
<file path=[Content_Types].xml><?xml version="1.0" encoding="utf-8"?>
<Types xmlns="http://schemas.openxmlformats.org/package/2006/content-types">
  <Default Extension="0777426077728" ContentType="image/jpeg"/>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5.xml" ContentType="application/vnd.openxmlformats-officedocument.spreadsheetml.comments+xml"/>
  <Override PartName="/xl/drawings/drawing6.xml" ContentType="application/vnd.openxmlformats-officedocument.drawing+xml"/>
  <Override PartName="/xl/comments6.xml" ContentType="application/vnd.openxmlformats-officedocument.spreadsheetml.comments+xml"/>
  <Override PartName="/xl/drawings/drawing7.xml" ContentType="application/vnd.openxmlformats-officedocument.drawing+xml"/>
  <Override PartName="/xl/comments7.xml" ContentType="application/vnd.openxmlformats-officedocument.spreadsheetml.comments+xml"/>
  <Override PartName="/xl/drawings/drawing8.xml" ContentType="application/vnd.openxmlformats-officedocument.drawing+xml"/>
  <Override PartName="/xl/comments8.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drawings/drawing1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2.xml" ContentType="application/vnd.openxmlformats-officedocument.spreadsheetml.comments+xml"/>
  <Override PartName="/xl/drawings/drawing1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3.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5.xml" ContentType="application/vnd.openxmlformats-officedocument.drawing+xml"/>
  <Override PartName="/xl/comments14.xml" ContentType="application/vnd.openxmlformats-officedocument.spreadsheetml.comments+xml"/>
  <Override PartName="/xl/drawings/drawing16.xml" ContentType="application/vnd.openxmlformats-officedocument.drawing+xml"/>
  <Override PartName="/xl/comments15.xml" ContentType="application/vnd.openxmlformats-officedocument.spreadsheetml.comments+xml"/>
  <Override PartName="/xl/drawings/drawing17.xml" ContentType="application/vnd.openxmlformats-officedocument.drawing+xml"/>
  <Override PartName="/xl/comments16.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comments17.xml" ContentType="application/vnd.openxmlformats-officedocument.spreadsheetml.comments+xml"/>
  <Override PartName="/xl/drawings/drawing20.xml" ContentType="application/vnd.openxmlformats-officedocument.drawing+xml"/>
  <Override PartName="/xl/drawings/drawing21.xml" ContentType="application/vnd.openxmlformats-officedocument.drawing+xml"/>
  <Override PartName="/xl/comments18.xml" ContentType="application/vnd.openxmlformats-officedocument.spreadsheetml.comments+xml"/>
  <Override PartName="/xl/drawings/drawing22.xml" ContentType="application/vnd.openxmlformats-officedocument.drawing+xml"/>
  <Override PartName="/xl/comments19.xml" ContentType="application/vnd.openxmlformats-officedocument.spreadsheetml.comments+xml"/>
  <Override PartName="/xl/drawings/drawing23.xml" ContentType="application/vnd.openxmlformats-officedocument.drawing+xml"/>
  <Override PartName="/xl/comments20.xml" ContentType="application/vnd.openxmlformats-officedocument.spreadsheetml.comments+xml"/>
  <Override PartName="/xl/drawings/drawing24.xml" ContentType="application/vnd.openxmlformats-officedocument.drawing+xml"/>
  <Override PartName="/xl/comments21.xml" ContentType="application/vnd.openxmlformats-officedocument.spreadsheetml.comments+xml"/>
  <Override PartName="/xl/drawings/drawing25.xml" ContentType="application/vnd.openxmlformats-officedocument.drawing+xml"/>
  <Override PartName="/xl/comments22.xml" ContentType="application/vnd.openxmlformats-officedocument.spreadsheetml.comments+xml"/>
  <Override PartName="/xl/drawings/drawing26.xml" ContentType="application/vnd.openxmlformats-officedocument.drawing+xml"/>
  <Override PartName="/xl/comments23.xml" ContentType="application/vnd.openxmlformats-officedocument.spreadsheetml.comments+xml"/>
  <Override PartName="/xl/drawings/drawing27.xml" ContentType="application/vnd.openxmlformats-officedocument.drawing+xml"/>
  <Override PartName="/xl/comments24.xml" ContentType="application/vnd.openxmlformats-officedocument.spreadsheetml.comments+xml"/>
  <Override PartName="/xl/drawings/drawing28.xml" ContentType="application/vnd.openxmlformats-officedocument.drawing+xml"/>
  <Override PartName="/xl/comments25.xml" ContentType="application/vnd.openxmlformats-officedocument.spreadsheetml.comments+xml"/>
  <Override PartName="/xl/drawings/drawing29.xml" ContentType="application/vnd.openxmlformats-officedocument.drawing+xml"/>
  <Override PartName="/xl/comments26.xml" ContentType="application/vnd.openxmlformats-officedocument.spreadsheetml.comments+xml"/>
  <Override PartName="/xl/drawings/drawing30.xml" ContentType="application/vnd.openxmlformats-officedocument.drawing+xml"/>
  <Override PartName="/xl/comments27.xml" ContentType="application/vnd.openxmlformats-officedocument.spreadsheetml.comments+xml"/>
  <Override PartName="/xl/drawings/drawing31.xml" ContentType="application/vnd.openxmlformats-officedocument.drawing+xml"/>
  <Override PartName="/xl/comments28.xml" ContentType="application/vnd.openxmlformats-officedocument.spreadsheetml.comments+xml"/>
  <Override PartName="/xl/drawings/drawing32.xml" ContentType="application/vnd.openxmlformats-officedocument.drawing+xml"/>
  <Override PartName="/xl/comments29.xml" ContentType="application/vnd.openxmlformats-officedocument.spreadsheetml.comments+xml"/>
  <Override PartName="/xl/drawings/drawing33.xml" ContentType="application/vnd.openxmlformats-officedocument.drawing+xml"/>
  <Override PartName="/xl/comments30.xml" ContentType="application/vnd.openxmlformats-officedocument.spreadsheetml.comments+xml"/>
  <Override PartName="/xl/drawings/drawing34.xml" ContentType="application/vnd.openxmlformats-officedocument.drawing+xml"/>
  <Override PartName="/xl/comments31.xml" ContentType="application/vnd.openxmlformats-officedocument.spreadsheetml.comments+xml"/>
  <Override PartName="/xl/drawings/drawing35.xml" ContentType="application/vnd.openxmlformats-officedocument.drawing+xml"/>
  <Override PartName="/xl/comments32.xml" ContentType="application/vnd.openxmlformats-officedocument.spreadsheetml.comments+xml"/>
  <Override PartName="/xl/drawings/drawing36.xml" ContentType="application/vnd.openxmlformats-officedocument.drawing+xml"/>
  <Override PartName="/xl/comments33.xml" ContentType="application/vnd.openxmlformats-officedocument.spreadsheetml.comments+xml"/>
  <Override PartName="/xl/drawings/drawing37.xml" ContentType="application/vnd.openxmlformats-officedocument.drawing+xml"/>
  <Override PartName="/xl/comments34.xml" ContentType="application/vnd.openxmlformats-officedocument.spreadsheetml.comments+xml"/>
  <Override PartName="/xl/drawings/drawing38.xml" ContentType="application/vnd.openxmlformats-officedocument.drawing+xml"/>
  <Override PartName="/xl/comments35.xml" ContentType="application/vnd.openxmlformats-officedocument.spreadsheetml.comments+xml"/>
  <Override PartName="/xl/drawings/drawing39.xml" ContentType="application/vnd.openxmlformats-officedocument.drawing+xml"/>
  <Override PartName="/xl/ctrlProps/ctrlProp10.xml" ContentType="application/vnd.ms-excel.controlproperties+xml"/>
  <Override PartName="/xl/drawings/drawing40.xml" ContentType="application/vnd.openxmlformats-officedocument.drawing+xml"/>
  <Override PartName="/xl/comments36.xml" ContentType="application/vnd.openxmlformats-officedocument.spreadsheetml.comments+xml"/>
  <Override PartName="/xl/drawings/drawing41.xml" ContentType="application/vnd.openxmlformats-officedocument.drawing+xml"/>
  <Override PartName="/xl/comments37.xml" ContentType="application/vnd.openxmlformats-officedocument.spreadsheetml.comments+xml"/>
  <Override PartName="/xl/drawings/drawing42.xml" ContentType="application/vnd.openxmlformats-officedocument.drawing+xml"/>
  <Override PartName="/xl/drawings/drawing43.xml" ContentType="application/vnd.openxmlformats-officedocument.drawing+xml"/>
  <Override PartName="/xl/comments38.xml" ContentType="application/vnd.openxmlformats-officedocument.spreadsheetml.comments+xml"/>
  <Override PartName="/xl/drawings/drawing44.xml" ContentType="application/vnd.openxmlformats-officedocument.drawing+xml"/>
  <Override PartName="/xl/comments39.xml" ContentType="application/vnd.openxmlformats-officedocument.spreadsheetml.comments+xml"/>
  <Override PartName="/xl/drawings/drawing45.xml" ContentType="application/vnd.openxmlformats-officedocument.drawing+xml"/>
  <Override PartName="/xl/comments40.xml" ContentType="application/vnd.openxmlformats-officedocument.spreadsheetml.comments+xml"/>
  <Override PartName="/xl/drawings/drawing46.xml" ContentType="application/vnd.openxmlformats-officedocument.drawing+xml"/>
  <Override PartName="/xl/comments41.xml" ContentType="application/vnd.openxmlformats-officedocument.spreadsheetml.comments+xml"/>
  <Override PartName="/xl/drawings/drawing47.xml" ContentType="application/vnd.openxmlformats-officedocument.drawing+xml"/>
  <Override PartName="/xl/comments42.xml" ContentType="application/vnd.openxmlformats-officedocument.spreadsheetml.comments+xml"/>
  <Override PartName="/xl/drawings/drawing48.xml" ContentType="application/vnd.openxmlformats-officedocument.drawing+xml"/>
  <Override PartName="/xl/comments43.xml" ContentType="application/vnd.openxmlformats-officedocument.spreadsheetml.comments+xml"/>
  <Override PartName="/xl/drawings/drawing49.xml" ContentType="application/vnd.openxmlformats-officedocument.drawing+xml"/>
  <Override PartName="/xl/comments44.xml" ContentType="application/vnd.openxmlformats-officedocument.spreadsheetml.comments+xml"/>
  <Override PartName="/xl/drawings/drawing50.xml" ContentType="application/vnd.openxmlformats-officedocument.drawing+xml"/>
  <Override PartName="/xl/comments45.xml" ContentType="application/vnd.openxmlformats-officedocument.spreadsheetml.comments+xml"/>
  <Override PartName="/xl/drawings/drawing51.xml" ContentType="application/vnd.openxmlformats-officedocument.drawing+xml"/>
  <Override PartName="/xl/comments46.xml" ContentType="application/vnd.openxmlformats-officedocument.spreadsheetml.comments+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2.xml" ContentType="application/vnd.openxmlformats-officedocument.drawing+xml"/>
  <Override PartName="/xl/comments47.xml" ContentType="application/vnd.openxmlformats-officedocument.spreadsheetml.comments+xml"/>
  <Override PartName="/xl/charts/chart9.xml" ContentType="application/vnd.openxmlformats-officedocument.drawingml.chart+xml"/>
  <Override PartName="/xl/drawings/drawing53.xml" ContentType="application/vnd.openxmlformats-officedocument.drawing+xml"/>
  <Override PartName="/xl/drawings/drawing54.xml" ContentType="application/vnd.openxmlformats-officedocument.drawing+xml"/>
  <Override PartName="/xl/comments48.xml" ContentType="application/vnd.openxmlformats-officedocument.spreadsheetml.comments+xml"/>
  <Override PartName="/xl/drawings/drawing55.xml" ContentType="application/vnd.openxmlformats-officedocument.drawing+xml"/>
  <Override PartName="/xl/comments49.xml" ContentType="application/vnd.openxmlformats-officedocument.spreadsheetml.comments+xml"/>
  <Override PartName="/xl/drawings/drawing56.xml" ContentType="application/vnd.openxmlformats-officedocument.drawing+xml"/>
  <Override PartName="/xl/drawings/drawing57.xml" ContentType="application/vnd.openxmlformats-officedocument.drawing+xml"/>
  <Override PartName="/xl/comments50.xml" ContentType="application/vnd.openxmlformats-officedocument.spreadsheetml.comments+xml"/>
  <Override PartName="/xl/drawings/drawing58.xml" ContentType="application/vnd.openxmlformats-officedocument.drawing+xml"/>
  <Override PartName="/xl/comments51.xml" ContentType="application/vnd.openxmlformats-officedocument.spreadsheetml.comments+xml"/>
  <Override PartName="/xl/drawings/drawing59.xml" ContentType="application/vnd.openxmlformats-officedocument.drawing+xml"/>
  <Override PartName="/xl/comments52.xml" ContentType="application/vnd.openxmlformats-officedocument.spreadsheetml.comments+xml"/>
  <Override PartName="/xl/drawings/drawing60.xml" ContentType="application/vnd.openxmlformats-officedocument.drawing+xml"/>
  <Override PartName="/xl/tables/table8.xml" ContentType="application/vnd.openxmlformats-officedocument.spreadsheetml.table+xml"/>
  <Override PartName="/xl/drawings/drawing61.xml" ContentType="application/vnd.openxmlformats-officedocument.drawing+xml"/>
  <Override PartName="/xl/comments53.xml" ContentType="application/vnd.openxmlformats-officedocument.spreadsheetml.comments+xml"/>
  <Override PartName="/xl/drawings/drawing62.xml" ContentType="application/vnd.openxmlformats-officedocument.drawing+xml"/>
  <Override PartName="/xl/comments54.xml" ContentType="application/vnd.openxmlformats-officedocument.spreadsheetml.comments+xml"/>
  <Override PartName="/xl/drawings/drawing63.xml" ContentType="application/vnd.openxmlformats-officedocument.drawing+xml"/>
  <Override PartName="/xl/comments55.xml" ContentType="application/vnd.openxmlformats-officedocument.spreadsheetml.comments+xml"/>
  <Override PartName="/xl/drawings/drawing64.xml" ContentType="application/vnd.openxmlformats-officedocument.drawing+xml"/>
  <Override PartName="/xl/comments56.xml" ContentType="application/vnd.openxmlformats-officedocument.spreadsheetml.comments+xml"/>
  <Override PartName="/xl/drawings/drawing65.xml" ContentType="application/vnd.openxmlformats-officedocument.drawing+xml"/>
  <Override PartName="/xl/drawings/drawing66.xml" ContentType="application/vnd.openxmlformats-officedocument.drawing+xml"/>
  <Override PartName="/xl/drawings/drawing67.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comments57.xml" ContentType="application/vnd.openxmlformats-officedocument.spreadsheetml.comments+xml"/>
  <Override PartName="/xl/drawings/drawing71.xml" ContentType="application/vnd.openxmlformats-officedocument.drawing+xml"/>
  <Override PartName="/xl/comments58.xml" ContentType="application/vnd.openxmlformats-officedocument.spreadsheetml.comments+xml"/>
  <Override PartName="/xl/drawings/drawing72.xml" ContentType="application/vnd.openxmlformats-officedocument.drawing+xml"/>
  <Override PartName="/xl/comments59.xml" ContentType="application/vnd.openxmlformats-officedocument.spreadsheetml.comments+xml"/>
  <Override PartName="/xl/drawings/drawing73.xml" ContentType="application/vnd.openxmlformats-officedocument.drawing+xml"/>
  <Override PartName="/xl/comments60.xml" ContentType="application/vnd.openxmlformats-officedocument.spreadsheetml.comments+xml"/>
  <Override PartName="/xl/drawings/drawing7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61.xml" ContentType="application/vnd.openxmlformats-officedocument.spreadsheetml.comments+xml"/>
  <Override PartName="/xl/drawings/drawing75.xml" ContentType="application/vnd.openxmlformats-officedocument.drawing+xml"/>
  <Override PartName="/xl/comments6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S:\01_Commercial\08_2025 Review_Valuation_Appeals\SCARTER\BAA\2025 BAA3708\"/>
    </mc:Choice>
  </mc:AlternateContent>
  <xr:revisionPtr revIDLastSave="0" documentId="14_{ABFF644E-725E-4A9C-A24B-CBA9C8DC7F77}" xr6:coauthVersionLast="47" xr6:coauthVersionMax="47" xr10:uidLastSave="{00000000-0000-0000-0000-000000000000}"/>
  <bookViews>
    <workbookView xWindow="14400" yWindow="795" windowWidth="22020" windowHeight="19800" tabRatio="661" firstSheet="21" activeTab="28" xr2:uid="{B23D07CB-168A-45B4-8D7E-6BD4FD391E35}"/>
  </bookViews>
  <sheets>
    <sheet name="Main" sheetId="1" r:id="rId1"/>
    <sheet name="Subject" sheetId="2" r:id="rId2"/>
    <sheet name="Salient Facts" sheetId="67" r:id="rId3"/>
    <sheet name="Value Indications" sheetId="3" r:id="rId4"/>
    <sheet name="RegionalBLS" sheetId="7" r:id="rId5"/>
    <sheet name="RegionalLBX" sheetId="118" state="hidden" r:id="rId6"/>
    <sheet name="NeighborhoodLBX" sheetId="61" state="hidden" r:id="rId7"/>
    <sheet name="RegionalESRI" sheetId="119" r:id="rId8"/>
    <sheet name="NeighborhoodESRI" sheetId="122" r:id="rId9"/>
    <sheet name="BLS Tables" sheetId="102" state="hidden" r:id="rId10"/>
    <sheet name="A States" sheetId="106" state="hidden" r:id="rId11"/>
    <sheet name="B C D E Metro Areas" sheetId="103" state="hidden" r:id="rId12"/>
    <sheet name="F County" sheetId="104" state="hidden" r:id="rId13"/>
    <sheet name="G H J Cities Towns LMAs" sheetId="105" state="hidden" r:id="rId14"/>
    <sheet name="JsonPayload" sheetId="101" state="hidden" r:id="rId15"/>
    <sheet name="MapCoord" sheetId="123" state="hidden" r:id="rId16"/>
    <sheet name="ESRI_Rings" sheetId="120" state="hidden" r:id="rId17"/>
    <sheet name="ESRI_Geography" sheetId="121" state="hidden" r:id="rId18"/>
    <sheet name="ESRI_EmplByIndus" sheetId="124" state="hidden" r:id="rId19"/>
    <sheet name="Building Area Breakdown" sheetId="63" state="hidden" r:id="rId20"/>
    <sheet name="Tax Schedule" sheetId="4" r:id="rId21"/>
    <sheet name="Tax Comps" sheetId="12" r:id="rId22"/>
    <sheet name="Market Study" sheetId="14" state="hidden" r:id="rId23"/>
    <sheet name="MS Charts" sheetId="113" r:id="rId24"/>
    <sheet name="MS Data" sheetId="114" state="hidden" r:id="rId25"/>
    <sheet name="Land Summary Light" sheetId="13" r:id="rId26"/>
    <sheet name="Land Summary Detailed" sheetId="65" r:id="rId27"/>
    <sheet name="Land Adjustments" sheetId="24" r:id="rId28"/>
    <sheet name="Building RCN" sheetId="26" r:id="rId29"/>
    <sheet name="Cost Comps" sheetId="110" state="hidden" r:id="rId30"/>
    <sheet name="Other RCN" sheetId="75" r:id="rId31"/>
    <sheet name="Depreciation Extraction" sheetId="78" r:id="rId32"/>
    <sheet name="Cost Depreciation" sheetId="27" r:id="rId33"/>
    <sheet name="Cost Approach Schedule" sheetId="25" r:id="rId34"/>
    <sheet name="Insurable Cost" sheetId="28" r:id="rId35"/>
    <sheet name="Land Adjustments 1" sheetId="86" state="hidden" r:id="rId36"/>
    <sheet name="Land Adjustments 2" sheetId="87" state="hidden" r:id="rId37"/>
    <sheet name="Improved Sales Summary Light" sheetId="62" r:id="rId38"/>
    <sheet name="Improved Sales Summary Detailed" sheetId="56" r:id="rId39"/>
    <sheet name="Automated Sales Adjustments" sheetId="60" r:id="rId40"/>
    <sheet name="Specialty Sales Adjustments" sheetId="80" r:id="rId41"/>
    <sheet name="Improved Sales Adjustments" sheetId="57" r:id="rId42"/>
    <sheet name="Automated Bucket 1 Sales Adj" sheetId="93" state="hidden" r:id="rId43"/>
    <sheet name="Specialty Bucket 1 Sales Adj" sheetId="95" state="hidden" r:id="rId44"/>
    <sheet name="Improved Sales Adjustments 1" sheetId="92" state="hidden" r:id="rId45"/>
    <sheet name="Automated Bucket 2 Sales Adj" sheetId="94" state="hidden" r:id="rId46"/>
    <sheet name="Specialty Bucket 2 Sales Adj" sheetId="96" state="hidden" r:id="rId47"/>
    <sheet name="Improved Sales Adjustments 2" sheetId="91" state="hidden" r:id="rId48"/>
    <sheet name="EGIM Analysis" sheetId="76" state="hidden" r:id="rId49"/>
    <sheet name="Absorption" sheetId="100" r:id="rId50"/>
    <sheet name="Lease-Up" sheetId="45" r:id="rId51"/>
    <sheet name="Income Assumptions" sheetId="70" r:id="rId52"/>
    <sheet name="GL Rent" sheetId="79" r:id="rId53"/>
    <sheet name="Rent Summary Light" sheetId="29" r:id="rId54"/>
    <sheet name="Rent Summary Detail" sheetId="66" r:id="rId55"/>
    <sheet name="Automated Rent Adjustments" sheetId="68" r:id="rId56"/>
    <sheet name="Rent Adjustments" sheetId="30" r:id="rId57"/>
    <sheet name="Rent Adjustments 1" sheetId="84" state="hidden" r:id="rId58"/>
    <sheet name="Rent Adjustments 2" sheetId="85" state="hidden" r:id="rId59"/>
    <sheet name="Rent Roll" sheetId="39" r:id="rId60"/>
    <sheet name="Rent Roll - DP-Manual Entry" sheetId="38" r:id="rId61"/>
    <sheet name="Rent Roll Breakdown" sheetId="42" r:id="rId62"/>
    <sheet name="Lease Expiration" sheetId="55" r:id="rId63"/>
    <sheet name="Income Support" sheetId="43" r:id="rId64"/>
    <sheet name="Income Expense History" sheetId="35" r:id="rId65"/>
    <sheet name="Expense Comps" sheetId="33" r:id="rId66"/>
    <sheet name="Other Income Estimates" sheetId="88" r:id="rId67"/>
    <sheet name="Expense Estimates" sheetId="36" r:id="rId68"/>
    <sheet name="Market OAR" sheetId="59" r:id="rId69"/>
    <sheet name="BOI Investor Surveys" sheetId="46" r:id="rId70"/>
    <sheet name="InvestorSurveys" sheetId="112" state="hidden" r:id="rId71"/>
    <sheet name="Direct Capitalization" sheetId="44" r:id="rId72"/>
    <sheet name="DCF 2" sheetId="51" state="hidden" r:id="rId73"/>
    <sheet name="DCF 3" sheetId="52" state="hidden" r:id="rId74"/>
    <sheet name="DCF Reversion" sheetId="53" r:id="rId75"/>
    <sheet name="Blank1" sheetId="19" r:id="rId76"/>
    <sheet name="Blank2" sheetId="20" r:id="rId77"/>
    <sheet name="Blank3" sheetId="21" r:id="rId78"/>
    <sheet name="Blank4" sheetId="22" r:id="rId79"/>
    <sheet name="USPS" sheetId="77" state="hidden" r:id="rId80"/>
    <sheet name="ARGUS - Resale 1" sheetId="81" state="hidden" r:id="rId81"/>
    <sheet name="ARGUS - Resale 2" sheetId="82" state="hidden" r:id="rId82"/>
    <sheet name="ARGUS - Resale 3" sheetId="83" state="hidden" r:id="rId83"/>
    <sheet name="Moodys CLS" sheetId="98" state="hidden" r:id="rId84"/>
    <sheet name="Selection Tables" sheetId="11" r:id="rId85"/>
    <sheet name="DCF 1" sheetId="47" state="hidden" r:id="rId86"/>
    <sheet name="Narrative" sheetId="10" r:id="rId87"/>
    <sheet name="RawDemosLBX" sheetId="116" state="hidden" r:id="rId88"/>
    <sheet name="Wells Fargo" sheetId="115" state="hidden" r:id="rId89"/>
    <sheet name="Revisions-Additions History" sheetId="74" state="hidden" r:id="rId90"/>
    <sheet name="CoStar01" sheetId="15" state="hidden" r:id="rId91"/>
    <sheet name="CoStar02" sheetId="16" state="hidden" r:id="rId92"/>
    <sheet name="CoStar03" sheetId="17" state="hidden" r:id="rId93"/>
    <sheet name="CoStar04" sheetId="18" state="hidden" r:id="rId94"/>
    <sheet name="ARGUS - Tenant Rent Roll" sheetId="41" state="hidden" r:id="rId95"/>
    <sheet name="ARGUS - Cash Flow 1" sheetId="48" state="hidden" r:id="rId96"/>
    <sheet name="ARGUS - Cash Flow 2" sheetId="49" state="hidden" r:id="rId97"/>
    <sheet name="ARGUS - Cash Flow 3" sheetId="50" state="hidden" r:id="rId98"/>
  </sheets>
  <functionGroups builtInGroupCount="19"/>
  <definedNames>
    <definedName name="_xlnm._FilterDatabase" localSheetId="42" hidden="1">'Automated Bucket 1 Sales Adj'!$A$8:$A$172</definedName>
    <definedName name="_xlnm._FilterDatabase" localSheetId="45" hidden="1">'Automated Bucket 2 Sales Adj'!$A$8:$A$172</definedName>
    <definedName name="_xlnm._FilterDatabase" localSheetId="55" hidden="1">'Automated Rent Adjustments'!$A$88:$A$126</definedName>
    <definedName name="_xlnm._FilterDatabase" localSheetId="39" hidden="1">'Automated Sales Adjustments'!$A$8:$A$215</definedName>
    <definedName name="_xlnm._FilterDatabase" localSheetId="69" hidden="1">'BOI Investor Surveys'!$A$28:$A$146</definedName>
    <definedName name="_xlnm._FilterDatabase" localSheetId="19" hidden="1">'Building Area Breakdown'!$A$5:$A$70</definedName>
    <definedName name="_xlnm._FilterDatabase" localSheetId="28" hidden="1">'Building RCN'!$A$4:$A$55</definedName>
    <definedName name="_xlnm._FilterDatabase" localSheetId="33" hidden="1">'Cost Approach Schedule'!$A$5:$A$76</definedName>
    <definedName name="_xlnm._FilterDatabase" localSheetId="32" hidden="1">'Cost Depreciation'!$A$3:$A$208</definedName>
    <definedName name="_xlnm._FilterDatabase" localSheetId="85" hidden="1">'DCF 1'!$A$6:$A$119</definedName>
    <definedName name="_xlnm._FilterDatabase" localSheetId="72" hidden="1">'DCF 2'!$A$7:$A$116</definedName>
    <definedName name="_xlnm._FilterDatabase" localSheetId="73" hidden="1">'DCF 3'!$A$7:$A$116</definedName>
    <definedName name="_xlnm._FilterDatabase" localSheetId="74" hidden="1">'DCF Reversion'!$A$7:$A$20</definedName>
    <definedName name="_xlnm._FilterDatabase" localSheetId="31" hidden="1">'Depreciation Extraction'!$A$8:$A$18</definedName>
    <definedName name="_xlnm._FilterDatabase" localSheetId="71" hidden="1">'Direct Capitalization'!$A$3:$A$125</definedName>
    <definedName name="_xlnm._FilterDatabase" localSheetId="48" hidden="1">'EGIM Analysis'!$A$34:$A$56</definedName>
    <definedName name="_xlnm._FilterDatabase" localSheetId="65" hidden="1">'Expense Comps'!$AA$5:$AA$75</definedName>
    <definedName name="_xlnm._FilterDatabase" localSheetId="67" hidden="1">'Expense Estimates'!$A$8:$A$378</definedName>
    <definedName name="_xlnm._FilterDatabase" localSheetId="52" hidden="1">'GL Rent'!$A$6:$A$20</definedName>
    <definedName name="_xlnm._FilterDatabase" localSheetId="41" hidden="1">'Improved Sales Adjustments'!$A$9:$A$191</definedName>
    <definedName name="_xlnm._FilterDatabase" localSheetId="44" hidden="1">'Improved Sales Adjustments 1'!$A$9:$A$198</definedName>
    <definedName name="_xlnm._FilterDatabase" localSheetId="47" hidden="1">'Improved Sales Adjustments 2'!$A$9:$A$169</definedName>
    <definedName name="_xlnm._FilterDatabase" localSheetId="38" hidden="1">'Improved Sales Summary Detailed'!$A$6:$A$205</definedName>
    <definedName name="_xlnm._FilterDatabase" localSheetId="51" hidden="1">'Income Assumptions'!$B$5:$B$77</definedName>
    <definedName name="_xlnm._FilterDatabase" localSheetId="64" hidden="1">'Income Expense History'!$V$5:$V$76</definedName>
    <definedName name="_xlnm._FilterDatabase" localSheetId="63" hidden="1">'Income Support'!$A$18:$A$25</definedName>
    <definedName name="_xlnm._FilterDatabase" localSheetId="34" hidden="1">'Insurable Cost'!$A$5:$A$50</definedName>
    <definedName name="_xlnm._FilterDatabase" localSheetId="27" hidden="1">'Land Adjustments'!$A$10:$A$192</definedName>
    <definedName name="_xlnm._FilterDatabase" localSheetId="35" hidden="1">'Land Adjustments 1'!$A$10:$A$185</definedName>
    <definedName name="_xlnm._FilterDatabase" localSheetId="36" hidden="1">'Land Adjustments 2'!$A$10:$A$187</definedName>
    <definedName name="_xlnm._FilterDatabase" localSheetId="26" hidden="1">'Land Summary Detailed'!$A$6:$A$61</definedName>
    <definedName name="_xlnm._FilterDatabase" localSheetId="25" hidden="1">'Land Summary Light'!$E$12:$Z$12</definedName>
    <definedName name="_xlnm._FilterDatabase" localSheetId="50" hidden="1">'Lease-Up'!$A$5:$A$91</definedName>
    <definedName name="_xlnm._FilterDatabase" localSheetId="66" hidden="1">'Other Income Estimates'!$A$4:$A$52</definedName>
    <definedName name="_xlnm._FilterDatabase" localSheetId="30" hidden="1">'Other RCN'!$A$5:$A$94</definedName>
    <definedName name="_xlnm._FilterDatabase" localSheetId="4" hidden="1">RegionalLBX!$A$6:$A$20</definedName>
    <definedName name="_xlnm._FilterDatabase" localSheetId="56" hidden="1">'Rent Adjustments'!$A$11:$A$172</definedName>
    <definedName name="_xlnm._FilterDatabase" localSheetId="57" hidden="1">'Rent Adjustments 1'!$A$11:$A$172</definedName>
    <definedName name="_xlnm._FilterDatabase" localSheetId="58" hidden="1">'Rent Adjustments 2'!$A$11:$A$172</definedName>
    <definedName name="_xlnm._FilterDatabase" localSheetId="59" hidden="1">'Rent Roll'!$A$7:$A$217</definedName>
    <definedName name="_xlnm._FilterDatabase" localSheetId="60" hidden="1">'Rent Roll - DP-Manual Entry'!$I$5:$I$94</definedName>
    <definedName name="_xlnm._FilterDatabase" localSheetId="61" hidden="1">'Rent Roll Breakdown'!$A$3:$A$1724</definedName>
    <definedName name="_xlnm._FilterDatabase" localSheetId="54" hidden="1">'Rent Summary Detail'!$A$6:$A$44</definedName>
    <definedName name="_xlnm._FilterDatabase" localSheetId="2" hidden="1">'Salient Facts'!$A$5:$A$86</definedName>
    <definedName name="_xlnm._FilterDatabase" localSheetId="40" hidden="1">'Specialty Sales Adjustments'!$A$22:$A$24</definedName>
    <definedName name="_xlnm._FilterDatabase" localSheetId="21" hidden="1">'Tax Comps'!$A$6:$A$11</definedName>
    <definedName name="_xlnm._FilterDatabase" localSheetId="20" hidden="1">'Tax Schedule'!$A$7:$A$37</definedName>
    <definedName name="_xlnm._FilterDatabase" localSheetId="79" hidden="1">USPS!$A$7:$A$99</definedName>
    <definedName name="_xlnm._FilterDatabase" localSheetId="3" hidden="1">'Value Indications'!$A$5:$A$48</definedName>
    <definedName name="_FilterDatabase_1" localSheetId="39">'Automated Bucket 1 Sales Adj'!$A$8:$A$172</definedName>
    <definedName name="_FilterDatabase_1" localSheetId="41">'Improved Sales Adjustments 1'!$A$9:$A$193</definedName>
    <definedName name="_FilterDatabase_1" localSheetId="44">'Improved Sales Adjustments 2'!$A$9:$A$169</definedName>
    <definedName name="_FilterDatabase_1" localSheetId="40">'Specialty Bucket 1 Sales Adj'!$A$22:$A$24</definedName>
    <definedName name="_FilterDatabase_2" localSheetId="39">'Automated Bucket 2 Sales Adj'!$A$8:$A$172</definedName>
    <definedName name="_FilterDatabase_2" localSheetId="41">'Improved Sales Adjustments 2'!$A$9:$A$169</definedName>
    <definedName name="_FilterDatabase_2" localSheetId="40">'Specialty Bucket 2 Sales Adj'!$A$22:$A$24</definedName>
    <definedName name="Absorption_Categories">Absorption!$Y$50:$AB$53</definedName>
    <definedName name="Absorption_Comps">Absorption!$O$17:$R$22</definedName>
    <definedName name="Absorption_Period">Absorption!$O$29:$O$33</definedName>
    <definedName name="Absorption_Prospects">Absorption!$P$40:$R$43</definedName>
    <definedName name="Absorption_Weight">Absorption!$AB$50:$AB$53</definedName>
    <definedName name="AddDeduct_DefMaint">'Selection Tables'!$L$23</definedName>
    <definedName name="AddDeduct_LeaseHold">'Selection Tables'!$L$25</definedName>
    <definedName name="AddDeduct_LeaseUp">'Selection Tables'!$L$24</definedName>
    <definedName name="AddDeduct_UserDef1">'Selection Tables'!$L$26</definedName>
    <definedName name="AddDeduct_UserDef2">'Selection Tables'!$L$27</definedName>
    <definedName name="AdjSelect_LeaseHold_Cost">'Selection Tables'!$N$15</definedName>
    <definedName name="AdjSelect_LeaseHold_Income">'Selection Tables'!$N$17</definedName>
    <definedName name="AdjSelect_LeaseHold_SCA">'Selection Tables'!$N$16</definedName>
    <definedName name="AdjSelect_LeaseUp_Cost">'Selection Tables'!$M$15</definedName>
    <definedName name="AdjSelect_LeaseUp_Income">'Selection Tables'!$M$17</definedName>
    <definedName name="AdjSelect_LeaseUp_SCA">'Selection Tables'!$M$16</definedName>
    <definedName name="AdjSelect_UserDef1_Cost">'Selection Tables'!$O$15</definedName>
    <definedName name="AdjSelect_UserDef1_IncomeDCF">'Selection Tables'!$O$18</definedName>
    <definedName name="AdjSelect_UserDef1_IncomeDirectCap">'Selection Tables'!$O$17</definedName>
    <definedName name="AdjSelect_UserDef1_SCA">'Selection Tables'!$O$16</definedName>
    <definedName name="AdjSelect_UserDef2_Cost">'Selection Tables'!$P$15</definedName>
    <definedName name="AdjSelect_UserDef2_IncomeDCF">'Selection Tables'!$P$18</definedName>
    <definedName name="AdjSelect_UserDef2_IncomeDirectCap">'Selection Tables'!$P$17</definedName>
    <definedName name="AdjSelect_UserDef2_SCA">'Selection Tables'!$P$16</definedName>
    <definedName name="Analysis_ID_1_DirectCap">'Direct Capitalization'!$D$109:$D$113</definedName>
    <definedName name="Analysis_ID_1_EGIM">'EGIM Analysis'!$W$34:$W$38</definedName>
    <definedName name="Analysis_ID_1_Sales">'Improved Sales Adjustments'!$P$170:$P$174</definedName>
    <definedName name="Analysis_ID_1_SalesComponents">'Improved Sales Adjustments 1'!$R$177:$R$181</definedName>
    <definedName name="Analysis_ID_2_DirectCap">'Direct Capitalization'!$D$115:$D$119</definedName>
    <definedName name="Analysis_ID_2_EGIM">'EGIM Analysis'!$W$40:$W$44</definedName>
    <definedName name="Analysis_ID_2_Sales">'Improved Sales Adjustments'!$P$176:$P$180</definedName>
    <definedName name="Analysis_ID_2_SalesComponents">'Improved Sales Adjustments 1'!$R$183:$R$187</definedName>
    <definedName name="Analysis_ID_3_DirectCap">'Direct Capitalization'!$D$121:$D$124</definedName>
    <definedName name="Analysis_ID_3_EGIM">'EGIM Analysis'!$W$46:$W$49</definedName>
    <definedName name="Analysis_ID_3_Sales">'Improved Sales Adjustments'!$P$182:$P$185</definedName>
    <definedName name="Analysis_ID_3_SalesComponents">'Improved Sales Adjustments 1'!$R$189:$R$192</definedName>
    <definedName name="Analysis_ID_DCF1">'DCF 1'!$D$113:$D$115</definedName>
    <definedName name="Analysis_ID_DCF2">'DCF 2'!$D$113:$D$115</definedName>
    <definedName name="Analysis_ID_DCF3">'DCF 3'!$D$113:$D$115</definedName>
    <definedName name="Analysis_Line_1_Cost">'Cost Approach Schedule'!$D$28:$G$28</definedName>
    <definedName name="Analysis_Line_1_DCF1">'DCF 1'!$D$112:$R$112</definedName>
    <definedName name="Analysis_Line_1_DCF2">'DCF 2'!$D$112:$R$112</definedName>
    <definedName name="Analysis_Line_1_DCF3">'DCF 3'!$D$112:$R$112</definedName>
    <definedName name="Analysis_Line_1_DirectCap">'Direct Capitalization'!$D$114:$J$114</definedName>
    <definedName name="Analysis_Line_1_EGIM">'EGIM Analysis'!$W$33:$AC$33</definedName>
    <definedName name="Analysis_Line_1_Sales">'Improved Sales Adjustments'!$P$167:$V$167</definedName>
    <definedName name="Analysis_Line_1_SalesComponents">'Improved Sales Adjustments 1'!$R$176:$X$176</definedName>
    <definedName name="Analysis_Line_2_Sales">'Improved Sales Adjustments'!$P$169:$V$169</definedName>
    <definedName name="Analysis_Location_Cost">'Cost Approach Schedule'!$E$40:$F$44</definedName>
    <definedName name="Analysis_Location_EGIM">'EGIM Analysis'!$X$51:$Y$55</definedName>
    <definedName name="Analysis_Location_Income_DCF1">'DCF 1'!$E$117:$G$119</definedName>
    <definedName name="Analysis_Location_Income_DCF2">'DCF 2'!$E$117:$G$119</definedName>
    <definedName name="Analysis_Location_Income_DCF3">'DCF 3'!$E$117:$G$119</definedName>
    <definedName name="Analysis_Location_Income_DirectCap">'Direct Capitalization'!$E$126:$F$130</definedName>
    <definedName name="Analysis_Location_Sales">'Improved Sales Adjustments'!$Q$187:$R$191</definedName>
    <definedName name="Analysis_Location_SalesComponents">'Improved Sales Adjustments 1'!$S$194:$T$198</definedName>
    <definedName name="Appraiser1ContinueEd">Subject!$D$14</definedName>
    <definedName name="Appraiser1Designation">Subject!$D$13</definedName>
    <definedName name="Appraiser1Name">Subject!$D$12</definedName>
    <definedName name="Appraiser2ContinueEd">Subject!$D$17</definedName>
    <definedName name="Appraiser2Designation">Subject!$D$16</definedName>
    <definedName name="Appraiser2Name">Subject!$D$15</definedName>
    <definedName name="Appraiser3ContinueEd">Subject!$D$20</definedName>
    <definedName name="Appraiser3Designation">Subject!$D$19</definedName>
    <definedName name="Appraiser3Name">Subject!$D$18</definedName>
    <definedName name="ARGUS_CashFlow1_Array">'ARGUS - Cash Flow 1'!$A$1:$L$67</definedName>
    <definedName name="ARGUS_CashFlow2_Array">'ARGUS - Cash Flow 2'!$A$1:$L$64</definedName>
    <definedName name="ARGUS_CashFlow3_Array">'ARGUS - Cash Flow 3'!$A$1:$L$64</definedName>
    <definedName name="ARGUS_Resale_Array1">'ARGUS - Resale 1'!$A$1:$E$31</definedName>
    <definedName name="ARGUS_Resale_Array2">'ARGUS - Resale 2'!$A$1:$D$27</definedName>
    <definedName name="ARGUS_Resale_Array3">'ARGUS - Resale 3'!$A$1:$D$27</definedName>
    <definedName name="ARGUS_TenantRentRollArray">'ARGUS - Tenant Rent Roll'!$A$1:$V$11</definedName>
    <definedName name="AutoAdj_Marshall_DepreciationTable">'Automated Sales Adjustments'!$V$133:$AF$215</definedName>
    <definedName name="AutoAdj_Marshall_DepreciationTable_1">'Automated Bucket 1 Sales Adj'!$S$90:$AC$172</definedName>
    <definedName name="AutoAdj_Marshall_DepreciationTable_2">'Automated Bucket 2 Sales Adj'!$S$90:$AC$172</definedName>
    <definedName name="autoopen">'Selection Tables'!$B$5</definedName>
    <definedName name="blanksheetlist">'Selection Tables'!$AH$5:$AH$9</definedName>
    <definedName name="BLS_Filtered_County">'F County'!$C$3231:INDEX(BLS_TableCounty_Avail[area_text],'F County'!$B$3228)</definedName>
    <definedName name="BLS_Filtered_County_2">BLS_Filtered_County</definedName>
    <definedName name="BLS_Filtered_MSA">'B C D E Metro Areas'!$C$1231:INDEX(BLS_TableMSA_Avail[area_text],'B C D E Metro Areas'!$B$1228)</definedName>
    <definedName name="BLS_Filtered_MSA_2">BLS_Filtered_MSA</definedName>
    <definedName name="BLS_Filtered_State">BLS_TableState[area_text]</definedName>
    <definedName name="BLS_Filtered_State_2">BLS_Filtered_State</definedName>
    <definedName name="BLS_Filtered_Town">'G H J Cities Towns LMAs'!$C$3376:INDEX(BLS_TableTown_Avail[area_text],'G H J Cities Towns LMAs'!$B$3372)</definedName>
    <definedName name="BLS_Filtered_Town_2">BLS_Filtered_Town</definedName>
    <definedName name="BLS_Series0_ID">'BLS Tables'!$C$4</definedName>
    <definedName name="BLS_Series0_Name">'BLS Tables'!$D$4</definedName>
    <definedName name="BLS_Series1_ID">'BLS Tables'!$C$5</definedName>
    <definedName name="BLS_Series1_Name">'BLS Tables'!$D$5</definedName>
    <definedName name="BLS_Series2_ID">'BLS Tables'!$C$6</definedName>
    <definedName name="BLS_Series2_Name">'BLS Tables'!$D$6</definedName>
    <definedName name="BLS_Series3_ID">'BLS Tables'!$C$7</definedName>
    <definedName name="BLS_Series3_Name">'BLS Tables'!$D$7</definedName>
    <definedName name="BLS_Series4_ID">'BLS Tables'!$C$8</definedName>
    <definedName name="BLS_Series4_Name">'BLS Tables'!$D$8</definedName>
    <definedName name="BLS_State_Filter">'BLS Tables'!$L$5</definedName>
    <definedName name="BLS_Unemployment_Rates_Table">'BLS Tables'!$C$3:$K$8</definedName>
    <definedName name="BLS_YrEnd">RegionalBLS!$B$3</definedName>
    <definedName name="BuildingAreaCalc1">'Building Area Breakdown'!$E$6:$H$15</definedName>
    <definedName name="BuildingAreaCalc2">'Building Area Breakdown'!$E$19:$H$28</definedName>
    <definedName name="BuildingAreaCalc3">'Building Area Breakdown'!$E$32:$H$33</definedName>
    <definedName name="CashFlowList">'Selection Tables'!$AH$22:$AH$24</definedName>
    <definedName name="Chart_Construction1A">OFFSET('MS Data'!$T$4,,,SUMPRODUCT(--(LEN('MS Data'!$T$4:$T$82)&gt;0)))</definedName>
    <definedName name="Chart_Construction1B">OFFSET('MS Data'!$W$4,,,SUMPRODUCT(--(LEN('MS Data'!$W$4:$W$82)&gt;0)))</definedName>
    <definedName name="Chart_Construction2A">OFFSET('MS Data'!$Z$4,,,SUMPRODUCT(--(LEN('MS Data'!$Z$4:$Z$82)&gt;0)))</definedName>
    <definedName name="Chart_Construction2B">OFFSET('MS Data'!$AC$4,,,SUMPRODUCT(--(LEN('MS Data'!$AC$4:$AC$82)&gt;0)))</definedName>
    <definedName name="Chart_Deliveries_1A">OFFSET('MS Data'!$AT$4,,,SUMPRODUCT(--(LEN('MS Data'!$AT$4:$AT$82)&gt;0)))</definedName>
    <definedName name="Chart_Deliveries_1B">OFFSET('MS Data'!$AW$4,,,SUMPRODUCT(--(LEN('MS Data'!$AW$4:$AW$82)&gt;0)))</definedName>
    <definedName name="Chart_NetAbsorption_1A">OFFSET('MS Data'!$AS$4,,,SUMPRODUCT(--(LEN('MS Data'!$AS$4:$AS$82)&gt;0)))</definedName>
    <definedName name="Chart_NetAbsorption_1B">OFFSET('MS Data'!$AV$4,,,SUMPRODUCT(--(LEN('MS Data'!$AV$4:$AV$82)&gt;0)))</definedName>
    <definedName name="Chart_NetAbsorption_2A">OFFSET('MS Data'!$AY$4,,,SUMPRODUCT(--(LEN('MS Data'!$AY$4:$AY$82)&gt;0)))</definedName>
    <definedName name="Chart_NetAbsorption_2B">OFFSET('MS Data'!$BB$4,,,SUMPRODUCT(--(LEN('MS Data'!$BB$4:$BB$82)&gt;0)))</definedName>
    <definedName name="Chart_Periods">OFFSET('MS Data'!$D$4,,,SUMPRODUCT(--(LEN('MS Data'!$D$4:$D$82)&gt;0)))</definedName>
    <definedName name="Chart_Periods_Inventory">OFFSET('MS Charts'!$L$8,,,SUMPRODUCT(--(LEN('MS Charts'!$L$8:$L$18)&gt;0)))</definedName>
    <definedName name="Chart_Periods_RentRates">OFFSET('MS Data'!$BF$4,,,SUMPRODUCT(--(LEN('MS Data'!$BF$4:$BF$82)&gt;0)))</definedName>
    <definedName name="Chart_Periods_Vacancy">OFFSET('MS Data'!$AE$4,,,SUMPRODUCT(--(LEN('MS Data'!$AD$4:$AE$82)&gt;0)))</definedName>
    <definedName name="Chart_RentalRates_1A">OFFSET('MS Data'!$BL$4,,,SUMPRODUCT(--(LEN('MS Data'!$BL$4:$BL$82)&gt;0)))</definedName>
    <definedName name="Chart_RentalRates_1B">OFFSET('MS Data'!$BM$4,,,SUMPRODUCT(--(LEN('MS Data'!$BM$4:$BM$82)&gt;0)))</definedName>
    <definedName name="Chart_RentalRates_2A">OFFSET('MS Data'!$BN$4,,,SUMPRODUCT(--(LEN('MS Data'!$BN$4:$BN$82)&gt;0)))</definedName>
    <definedName name="Chart_RentalRates_2B">OFFSET('MS Data'!$BO$4,,,SUMPRODUCT(--(LEN('MS Data'!$BO$4:$BO$82)&gt;0)))</definedName>
    <definedName name="Chart_RentalRates_List_1A">OFFSET('Selection Tables'!$L$64,,,SUMPRODUCT(--(LEN('Selection Tables'!$L$64:$L$72)&gt;0)))</definedName>
    <definedName name="Chart_RentalRates_List_1B">OFFSET('Selection Tables'!$M$64,,,SUMPRODUCT(--(LEN('Selection Tables'!$M$64:$M$72)&gt;0)))</definedName>
    <definedName name="Chart_RentalRates_List_2A">OFFSET('Selection Tables'!$N$64,,,SUMPRODUCT(--(LEN('Selection Tables'!$N$64:$N$72)&gt;0)))</definedName>
    <definedName name="Chart_RentalRates_List_2B">OFFSET('Selection Tables'!$O$64,,,SUMPRODUCT(--(LEN('Selection Tables'!$O$64:$O$72)&gt;0)))</definedName>
    <definedName name="Chart_VacancyAbsorb_1A">OFFSET('MS Data'!$AU$4,,,SUMPRODUCT(--(LEN('MS Data'!$AU$4:$AU$82)&gt;0)))</definedName>
    <definedName name="Chart_VacancyAbsorb_1B">OFFSET('MS Data'!$AX$4,,,SUMPRODUCT(--(LEN('MS Data'!$AX$4:$AX$82)&gt;0)))</definedName>
    <definedName name="Chart_VacancyAbsorb_2A">OFFSET('MS Data'!$BA$4,,,SUMPRODUCT(--(LEN('MS Data'!$BA$4:$BA$82)&gt;0)))</definedName>
    <definedName name="Chart_VacancyAbsorb_2B">OFFSET('MS Data'!$BD$4,,,SUMPRODUCT(--(LEN('MS Data'!$BD$4:$BD$82)&gt;0)))</definedName>
    <definedName name="Chart_VacancyOptions_List">'Selection Tables'!$L$75:$L$77</definedName>
    <definedName name="comboboxfilterslist">'Selection Tables'!$AJ$5:$AJ$6</definedName>
    <definedName name="Cost_BaseCost_Interior_1">'Building RCN'!$E$6:$N$16</definedName>
    <definedName name="Cost_BaseCost_Interior_2">'Building RCN'!$E$18:$N$22</definedName>
    <definedName name="Cost_BaseRefine_Interior_1">'Building RCN'!$E$29:$N$31</definedName>
    <definedName name="Cost_BaseRefine_Interior_2">'Building RCN'!$E$33:$N$35</definedName>
    <definedName name="Cost_ClearHeight_Total">'Building RCN'!$O$12</definedName>
    <definedName name="Cost_CostComp_Table">'Cost Comps'!$E$5:$H$17</definedName>
    <definedName name="Cost_CostComps_GBARange">'Cost Comps'!$E$10:$H$10</definedName>
    <definedName name="Cost_CostComps_HardRange">'Cost Comps'!$E$19:$H$19</definedName>
    <definedName name="Cost_CostComps_SoftRange">'Cost Comps'!$E$16:$H$16</definedName>
    <definedName name="Cost_CostComps_TimeAdjRange">'Cost Comps'!$E$13:$H$13</definedName>
    <definedName name="Cost_CostComps_TotalRange">'Cost Comps'!$E$20:$H$20</definedName>
    <definedName name="Cost_Curable_Columns">'Cost Depreciation'!$D$6:$F$15</definedName>
    <definedName name="Cost_Curable_Row">'Cost Depreciation'!$D$16:$F$16</definedName>
    <definedName name="Cost_DepreciationMethod">'Selection Tables'!$J$13</definedName>
    <definedName name="Cost_DepreciationRateMethod">'Selection Tables'!$J$14</definedName>
    <definedName name="Cost_DirectBldgCost_Interior_1">'Building RCN'!$E$45:$N$47</definedName>
    <definedName name="Cost_DirectBldgCost_Interior_2">'Building RCN'!$E$49:$N$51</definedName>
    <definedName name="Cost_EffectiveAge_WA">'Building RCN'!$O$16</definedName>
    <definedName name="Cost_External1_Row">'Cost Depreciation'!$D$108:$J$108</definedName>
    <definedName name="Cost_External2_Row">'Cost Depreciation'!$D$119:$J$119</definedName>
    <definedName name="Cost_ExternalFO1_Column">'Cost Depreciation'!$H$98:$H$107</definedName>
    <definedName name="Cost_ExternalFO2_Column">'Cost Depreciation'!$H$109:$H$118</definedName>
    <definedName name="Cost_GBA_Total">'Building RCN'!$O$7</definedName>
    <definedName name="Cost_Incurable1_Row">'Cost Depreciation'!$D$78:$J$78</definedName>
    <definedName name="Cost_Incurable2_Row">'Cost Depreciation'!$D$89:$J$89</definedName>
    <definedName name="Cost_IncurableDM1_Column">'Cost Depreciation'!$F$68:$F$77</definedName>
    <definedName name="Cost_IncurableDM2_Column">'Cost Depreciation'!$F$79:$F$88</definedName>
    <definedName name="Cost_IncurableEA1_Column">'Cost Depreciation'!$I$68:$I$77</definedName>
    <definedName name="Cost_IncurableEA2_Column">'Cost Depreciation'!$I$79:$I$88</definedName>
    <definedName name="Cost_IncurableEL1_Column">'Cost Depreciation'!$J$68:$J$77</definedName>
    <definedName name="Cost_IncurableEL2_Column">'Cost Depreciation'!$J$79:$J$88</definedName>
    <definedName name="Cost_IncurableME_AvgDepRange">'Depreciation Extraction'!$F$24:$I$24</definedName>
    <definedName name="Cost_IncurableME_EffectiveAgeRange">'Depreciation Extraction'!$F$23:$I$23</definedName>
    <definedName name="Cost_IncurableME_GBARange">'Depreciation Extraction'!$F$7:$I$7</definedName>
    <definedName name="Cost_IncurableShort_Columns">'Cost Depreciation'!$D$25:$H$34</definedName>
    <definedName name="Cost_IncurableShort_Row">'Cost Depreciation'!$D$35:$J$35</definedName>
    <definedName name="Cost_Indirect_UserDefined_Area">'Other RCN'!$D$24:$K$28</definedName>
    <definedName name="Cost_NumFloors_Total">'Building RCN'!$O$11</definedName>
    <definedName name="Cost_RCNBase1_Column">'Other RCN'!$F$71:$F$80</definedName>
    <definedName name="Cost_RCNBase2_Column">'Other RCN'!$F$82:$F$91</definedName>
    <definedName name="Cost_RCNID1_Column">'Other RCN'!$D$71:$D$80</definedName>
    <definedName name="Cost_RCNID2_Column">'Other RCN'!$D$82:$D$91</definedName>
    <definedName name="Cost_RCNIndirect1_Column">'Other RCN'!$H$71:$H$80</definedName>
    <definedName name="Cost_RCNIndirect2_Column">'Other RCN'!$H$82:$H$91</definedName>
    <definedName name="Cost_RCNTotal1_Row">'Other RCN'!$D$81:$T$81</definedName>
    <definedName name="Cost_RCNTotal2_Row">'Other RCN'!$D$92:$T$92</definedName>
    <definedName name="Cost_SiteImpCurrent_Column">'Other RCN'!$K$7:$K$16</definedName>
    <definedName name="Cost_SiteImpID_Column">'Other RCN'!$D$7:$D$16</definedName>
    <definedName name="Cost_SiteImpLocal_Column">'Other RCN'!$N$7:$N$16</definedName>
    <definedName name="Cost_SiteImpQuantity_Column">'Other RCN'!$F$7:$F$16</definedName>
    <definedName name="Cost_SiteImpQuantity1">'Other RCN'!$F$7</definedName>
    <definedName name="Cost_SiteImpQuantity10">'Other RCN'!$F$16</definedName>
    <definedName name="Cost_SiteImpQuantity2">'Other RCN'!$F$8</definedName>
    <definedName name="Cost_SiteImpQuantity3">'Other RCN'!$F$9</definedName>
    <definedName name="Cost_SiteImpQuantity4">'Other RCN'!$F$10</definedName>
    <definedName name="Cost_SiteImpQuantity5">'Other RCN'!$F$11</definedName>
    <definedName name="Cost_SiteImpQuantity6">'Other RCN'!$F$12</definedName>
    <definedName name="Cost_SiteImpQuantity7">'Other RCN'!$F$13</definedName>
    <definedName name="Cost_SiteImpQuantity8">'Other RCN'!$F$14</definedName>
    <definedName name="Cost_SiteImpQuantity9">'Other RCN'!$F$15</definedName>
    <definedName name="Cost_SiteImpTotal_Row">'Other RCN'!$D$17:$P$17</definedName>
    <definedName name="Cost_SiteImpUnitCost_Column">'Other RCN'!$H$7:$H$16</definedName>
    <definedName name="Cost_SiteImpUnitCost1">'Other RCN'!$H$7</definedName>
    <definedName name="Cost_SiteImpUnitCost1_Option">'Other RCN'!$T$7</definedName>
    <definedName name="Cost_SiteImpUnitCost10">'Other RCN'!$H$16</definedName>
    <definedName name="Cost_SiteImpUnitCost10_Option">'Other RCN'!$T$16</definedName>
    <definedName name="Cost_SiteImpUnitCost2">'Other RCN'!$H$8</definedName>
    <definedName name="Cost_SiteImpUnitCost2_Option">'Other RCN'!$T$8</definedName>
    <definedName name="Cost_SiteImpUnitCost3">'Other RCN'!$H$9</definedName>
    <definedName name="Cost_SiteImpUnitCost3_Option">'Other RCN'!$T$9</definedName>
    <definedName name="Cost_SiteImpUnitCost4">'Other RCN'!$H$10</definedName>
    <definedName name="Cost_SiteImpUnitCost4_Option">'Other RCN'!$T$10</definedName>
    <definedName name="Cost_SiteImpUnitCost5">'Other RCN'!$H$11</definedName>
    <definedName name="Cost_SiteImpUnitCost5_Option">'Other RCN'!$T$11</definedName>
    <definedName name="Cost_SiteImpUnitCost6">'Other RCN'!$H$12</definedName>
    <definedName name="Cost_SiteImpUnitCost6_Option">'Other RCN'!$T$12</definedName>
    <definedName name="Cost_SiteImpUnitCost7">'Other RCN'!$H$13</definedName>
    <definedName name="Cost_SiteImpUnitCost7_Option">'Other RCN'!$T$13</definedName>
    <definedName name="Cost_SiteImpUnitCost8">'Other RCN'!$H$14</definedName>
    <definedName name="Cost_SiteImpUnitCost8_Option">'Other RCN'!$T$14</definedName>
    <definedName name="Cost_SiteImpUnitCost9">'Other RCN'!$H$15</definedName>
    <definedName name="Cost_SiteImpUnitCost9_Option">'Other RCN'!$T$15</definedName>
    <definedName name="Cost_TimeMult_List">'Selection Tables'!$K$13:$K$14</definedName>
    <definedName name="Cost_YOC_Total">'Building RCN'!$O$15</definedName>
    <definedName name="CoStar_Array_Absorption_1A">'Selection Tables'!$N$52</definedName>
    <definedName name="CoStar_Array_Absorption_1B">'Selection Tables'!$N$53</definedName>
    <definedName name="CoStar_Array_Absorption_2A">'Selection Tables'!$N$54</definedName>
    <definedName name="CoStar_Array_Absorption_2B">'Selection Tables'!$N$55</definedName>
    <definedName name="CoStar_Array_Inventory_1A">'Selection Tables'!$N$40</definedName>
    <definedName name="CoStar_Array_Inventory_1B">'Selection Tables'!$N$41</definedName>
    <definedName name="CoStar_Array_Inventory_2A">'Selection Tables'!$N$42</definedName>
    <definedName name="CoStar_Array_Inventory_2B">'Selection Tables'!$N$43</definedName>
    <definedName name="CoStar_Array_Rent_1A">'Selection Tables'!$N$48</definedName>
    <definedName name="CoStar_Array_Rent_1B">'Selection Tables'!$N$49</definedName>
    <definedName name="CoStar_Array_Rent_2A">'Selection Tables'!$N$50</definedName>
    <definedName name="CoStar_Array_Rent_2B">'Selection Tables'!$N$51</definedName>
    <definedName name="CoStar_Array_Vacancy_1">'Selection Tables'!$N$56</definedName>
    <definedName name="CoStar_Array_Vacancy_1A">'Selection Tables'!$N$44</definedName>
    <definedName name="CoStar_Array_Vacancy_1B">'Selection Tables'!$N$45</definedName>
    <definedName name="CoStar_Array_Vacancy_2">'Selection Tables'!$N$57</definedName>
    <definedName name="CoStar_Array_Vacancy_2A">'Selection Tables'!$N$46</definedName>
    <definedName name="CoStar_Array_Vacancy_2B">'Selection Tables'!$N$47</definedName>
    <definedName name="CoStar_Col1_HeaderA">'Selection Tables'!$F$40</definedName>
    <definedName name="CoStar_Col1_HeaderB">'Selection Tables'!$G$40</definedName>
    <definedName name="CoStar_Col1_HeaderC">'Selection Tables'!$H$40</definedName>
    <definedName name="CoStar_Col1_Selection">'Selection Tables'!$D$40</definedName>
    <definedName name="CoStar_Col2_HeaderA">'Selection Tables'!$F$66</definedName>
    <definedName name="CoStar_Col2_HeaderB">'Selection Tables'!$G$66</definedName>
    <definedName name="CoStar_Col2_HeaderC">'Selection Tables'!$H$66</definedName>
    <definedName name="CoStar_Col2_Selection">'Selection Tables'!$D$66</definedName>
    <definedName name="CoStar_Col3_HeaderA">'Selection Tables'!$F$92</definedName>
    <definedName name="CoStar_Col3_HeaderB">'Selection Tables'!$G$92</definedName>
    <definedName name="CoStar_Col3_HeaderC">'Selection Tables'!$H$92</definedName>
    <definedName name="CoStar_Col3_Selection">'Selection Tables'!$D$92</definedName>
    <definedName name="CoStar_Col4_HeaderA">'Selection Tables'!$F$118</definedName>
    <definedName name="CoStar_Col4_HeaderB">'Selection Tables'!$G$118</definedName>
    <definedName name="CoStar_Col4_HeaderC">'Selection Tables'!$H$118</definedName>
    <definedName name="CoStar_Col4_Selection">'Selection Tables'!$D$118</definedName>
    <definedName name="CoStar_Col5_HeaderA">'Selection Tables'!$F$144</definedName>
    <definedName name="CoStar_Col5_HeaderB">'Selection Tables'!$G$144</definedName>
    <definedName name="CoStar_Col5_HeaderC">'Selection Tables'!$H$144</definedName>
    <definedName name="CoStar_Col5_Selection">'Selection Tables'!$D$144</definedName>
    <definedName name="CoStar_DataSet_Inventory_1A">'Selection Tables'!$M$40</definedName>
    <definedName name="CoStar_DataSet_Inventory_1B">'Selection Tables'!$M$41</definedName>
    <definedName name="CoStar_DataSet_Inventory_2A">'Selection Tables'!$M$42</definedName>
    <definedName name="CoStar_DataSet_Inventory_2B">'Selection Tables'!$M$43</definedName>
    <definedName name="CoStar_DataSet_List">'Selection Tables'!$N$58:$N$61</definedName>
    <definedName name="CoStar_DataSet_Rent_1A">'Selection Tables'!$M$48</definedName>
    <definedName name="CoStar_DataSet_Rent_1B">'Selection Tables'!$M$49</definedName>
    <definedName name="CoStar_DataSet_Rent_2A">'Selection Tables'!$M$50</definedName>
    <definedName name="CoStar_DataSet_Rent_2B">'Selection Tables'!$M$51</definedName>
    <definedName name="CoStar_DataSet_Vacancy_1A">'Selection Tables'!$M$44</definedName>
    <definedName name="CoStar_DataSet_Vacancy_1B">'Selection Tables'!$M$45</definedName>
    <definedName name="CoStar_DataSet_Vacancy_2A">'Selection Tables'!$M$46</definedName>
    <definedName name="CoStar_DataSet_Vacancy_2B">'Selection Tables'!$M$47</definedName>
    <definedName name="CoStar_DataSet_VacancyOption">'Selection Tables'!$M$74</definedName>
    <definedName name="CoStar_Interval_Inventory">'Selection Tables'!$Q$40</definedName>
    <definedName name="CoStar_Interval_Master">'Selection Tables'!$M$35</definedName>
    <definedName name="CoStar_Interval_RentTrends">'Selection Tables'!$Q$48</definedName>
    <definedName name="CoStar_Interval_VacancyAbsorb">'Selection Tables'!$Q$44</definedName>
    <definedName name="CoStar_Inventory_Array">'MS Data'!$E$3:$P$82</definedName>
    <definedName name="CoStar_Periods_Inventory">'MS Charts'!$Q$3</definedName>
    <definedName name="CoStar_Periods_Master">'MS Charts'!$E$14</definedName>
    <definedName name="CoStar_Periods_RentTrends">'MS Charts'!$H$22</definedName>
    <definedName name="CoStar_Rent_Array">'MS Data'!$BG$3:$BJ$82</definedName>
    <definedName name="CoStar_Rent_Data_1A">'MS Charts'!$D$21</definedName>
    <definedName name="CoStar_Rent_Data_1B">'MS Charts'!$D$22</definedName>
    <definedName name="CoStar_Rent_Data_2A">'MS Charts'!$D$34</definedName>
    <definedName name="CoStar_Rent_Data_2B">'MS Charts'!$D$35</definedName>
    <definedName name="CoStar_RowOffset_Absorption">Absorption!$A$6</definedName>
    <definedName name="CoStar_RowOffset_Inventory">'MS Charts'!$M$3</definedName>
    <definedName name="CoStar_RowOffset_Master">'MS Charts'!$E$12</definedName>
    <definedName name="CoStar_RowOffset_Rent">'MS Charts'!$E$22</definedName>
    <definedName name="CoStar_RowOffset_VacancyAbsorb">'MS Charts'!$E$48</definedName>
    <definedName name="CoStar_Sector1_Master">'MS Charts'!$E$8</definedName>
    <definedName name="CoStar_Sector2_Master">'MS Charts'!$E$9</definedName>
    <definedName name="CoStar_Sector3_Master">'MS Charts'!$E$10</definedName>
    <definedName name="CoStar_Sector4_Master">'MS Charts'!$E$11</definedName>
    <definedName name="CoStar_VacancyAbsorb_Array">'MS Data'!$AF$3:$AQ$82</definedName>
    <definedName name="CoStar_VacancyAbsorb_ArrayHeader_1A">'Selection Tables'!$O$44</definedName>
    <definedName name="CoStar_VacancyAbsorb_ArrayHeader_1B">'Selection Tables'!$O$45</definedName>
    <definedName name="CoStar_VacancyAbsorb_ArrayHeader_2A">'Selection Tables'!$O$46</definedName>
    <definedName name="CoStar_VacancyAbsorb_ArrayHeader_2B">'Selection Tables'!$O$47</definedName>
    <definedName name="CoStar01Array">CoStar01!$A$1:$AS$108</definedName>
    <definedName name="CoStar01ArrayHeaderRow">CoStar01!$A$1:$BZ$1</definedName>
    <definedName name="CoStar02Array">CoStar02!$A$1:$AS$108</definedName>
    <definedName name="CoStar02ArrayHeaderRow">CoStar02!$A$1:$BZ$1</definedName>
    <definedName name="CoStar03Array">CoStar03!$A$1:$AS$107</definedName>
    <definedName name="CoStar03ArrayHeaderRow">CoStar03!$A$1:$BZ$1</definedName>
    <definedName name="CoStar04Array">CoStar04!$A$1:$AS$107</definedName>
    <definedName name="CoStar04ArrayHeaderRow">CoStar04!$A$1:$BZ$1</definedName>
    <definedName name="CostComps">'Selection Tables'!$J$16</definedName>
    <definedName name="CostComps_ScenarioSelection">'Selection Tables'!$H$16</definedName>
    <definedName name="CostCompsList">'Selection Tables'!$H$17:$H$18</definedName>
    <definedName name="costmethodlist">'Selection Tables'!$AJ$16:$AJ$19</definedName>
    <definedName name="costratemethodlist">'Selection Tables'!$AJ$21:$AJ$22</definedName>
    <definedName name="csref1">'Selection Tables'!$AF$24</definedName>
    <definedName name="csref2">'Selection Tables'!$AF$25</definedName>
    <definedName name="csref3">'Selection Tables'!$AF$26</definedName>
    <definedName name="Datappraise_RentRoll">'Rent Roll - DP-Manual Entry'!$D$4:$N$98</definedName>
    <definedName name="Datappraise_RentRoll_TenantCount">'Rent Roll - DP-Manual Entry'!$F$2</definedName>
    <definedName name="Date_Inspect">Subject!$D$22</definedName>
    <definedName name="Date_Report">Subject!$D$21</definedName>
    <definedName name="datesvaluelist">'Selection Tables'!$G$5:$G$7</definedName>
    <definedName name="datevalueinclist">'Selection Tables'!$G$9:$G$11</definedName>
    <definedName name="deferredlist">'Selection Tables'!$H$22:$H$23</definedName>
    <definedName name="DeferredMaintenance_Scenario">'Selection Tables'!$J$21</definedName>
    <definedName name="DeferredMaintenance_ScenarioSelection">'Selection Tables'!$H$21</definedName>
    <definedName name="DemosList">'Selection Tables'!$AH$12:$AH$14</definedName>
    <definedName name="DirectCapRentDisplay">'Selection Tables'!$AB$8</definedName>
    <definedName name="DirectCapRentDisplayList">'Selection Tables'!$AP$10:$AP$13</definedName>
    <definedName name="DOV1_Selection">'Selection Tables'!$Z$5</definedName>
    <definedName name="DOV2_Selection">'Selection Tables'!$Z$6</definedName>
    <definedName name="DOV3_Selection">'Selection Tables'!$Z$7</definedName>
    <definedName name="dpAbsorption_Categories">Narrative!$D$317</definedName>
    <definedName name="dpAbsorption_DataSet_1A">'Selection Tables'!$J$52</definedName>
    <definedName name="dpAbsorption_DataSet_1B">'Selection Tables'!$J$53</definedName>
    <definedName name="dpAbsorption_DataSet_2A">'Selection Tables'!$J$54</definedName>
    <definedName name="dpAbsorption_DataSet_2B">'Selection Tables'!$J$55</definedName>
    <definedName name="dpAbsorption_Location_1A">'Selection Tables'!$K$52</definedName>
    <definedName name="dpAbsorption_Location_1B">'Selection Tables'!$K$53</definedName>
    <definedName name="dpAbsorption_Location_2A">'Selection Tables'!$K$54</definedName>
    <definedName name="dpAbsorption_Location_2B">'Selection Tables'!$K$55</definedName>
    <definedName name="dpAbsorption_MonthlyEstimate">Absorption!$AD$54</definedName>
    <definedName name="dpAbsorption_Property_1A">'Selection Tables'!$L$52</definedName>
    <definedName name="dpAbsorption_Property_1B">'Selection Tables'!$L$53</definedName>
    <definedName name="dpAbsorption_Property_2A">'Selection Tables'!$L$54</definedName>
    <definedName name="dpAbsorption_Property_2B">'Selection Tables'!$L$55</definedName>
    <definedName name="dpAbsorption_Table">Absorption!$N$27:$T$34</definedName>
    <definedName name="dpAbsorptionComps_Table">Absorption!$N$15:$T$23</definedName>
    <definedName name="dpAbsorptionCoStar_Table">Absorption!$C$4:$J$11</definedName>
    <definedName name="dpAbsorptionEstimate_Table">Absorption!$X$48:$AE$59</definedName>
    <definedName name="dpAbsorptionProspects_Table">Absorption!$N$38:$T$44</definedName>
    <definedName name="dpAutoAdj_DepreciationTable">'Automated Sales Adjustments'!$T$132:$AG$215</definedName>
    <definedName name="dpAutoAdj_DepreciationTable_1">'Automated Bucket 1 Sales Adj'!$Q$89:$AD$172</definedName>
    <definedName name="dpAutoAdj_DepreciationTable_2">'Automated Bucket 2 Sales Adj'!$Q$89:$AD$172</definedName>
    <definedName name="dpBuilding_AgeLife_Summary">'Building Area Breakdown'!$AF$57:$AN$70</definedName>
    <definedName name="dpBuilding_Area_Breakdown">'Building Area Breakdown'!$C$4:$J$35</definedName>
    <definedName name="dpBuilding_Area_Summary">'Building Area Breakdown'!$N$39:$AB$52</definedName>
    <definedName name="dpCollect_CL">Narrative!$D$349</definedName>
    <definedName name="dpCollect_DiscRate">Narrative!$D$354</definedName>
    <definedName name="dpCollect_EffectiveDate_Imp">Narrative!$D$345</definedName>
    <definedName name="dpCollect_EffectiveDate_Land">Narrative!$D$344</definedName>
    <definedName name="dpCollect_EGI">Narrative!$D$350</definedName>
    <definedName name="dpCollect_ExpenseTotal">Narrative!$D$351</definedName>
    <definedName name="dpCollect_NOI">Narrative!$D$352</definedName>
    <definedName name="dpCollect_OAR">Narrative!$D$353</definedName>
    <definedName name="dpCollect_PGI">Narrative!$D$346</definedName>
    <definedName name="dpCollect_TermRate">Narrative!$D$355</definedName>
    <definedName name="dpCollect_Vacancy_Actual">Narrative!$D$347</definedName>
    <definedName name="dpCollect_Vacancy_Stab">Narrative!$D$348</definedName>
    <definedName name="dpCollect_Value_Improved">Narrative!$D$357</definedName>
    <definedName name="dpCollect_Value_Land">Narrative!$D$356</definedName>
    <definedName name="dpCost_ApproachTable">'Cost Approach Schedule'!$C$4:$H$44</definedName>
    <definedName name="dpCost_BaseCost_Table">'Building RCN'!$C$4:$P$22</definedName>
    <definedName name="dpCost_BaseRefine_Table">'Building RCN'!$C$26:$P$37</definedName>
    <definedName name="dpCost_CostComp_Table">'Cost Comps'!$C$4:$I$17</definedName>
    <definedName name="dpCost_CostCompIndication">'Cost Comps'!$Y$34</definedName>
    <definedName name="dpCost_CostCompIndication_Table">'Cost Comps'!$W$30:$Z$34</definedName>
    <definedName name="dpCost_CostCompIndicationPSF">'Cost Comps'!$Y$32</definedName>
    <definedName name="dpCost_CostCompStatistics_Table">'Cost Comps'!$M$21:$S$26</definedName>
    <definedName name="dpCost_CurableItemCost_Total">'Cost Depreciation'!$F$18</definedName>
    <definedName name="dpCost_CurableItemCost_Total_Word">Narrative!$D$15</definedName>
    <definedName name="dpCost_CurableTable">'Cost Depreciation'!$C$4:$G$18</definedName>
    <definedName name="dpCost_DeferMaintExhibited">Narrative!$D$138</definedName>
    <definedName name="dpCost_DepreciatedCost_Imp">'Cost Approach Schedule'!$G$20</definedName>
    <definedName name="dpCost_DepreciationMethod_Statement">Narrative!$D$137</definedName>
    <definedName name="dpCost_DICN_DevBudget">'Other RCN'!$H$47</definedName>
    <definedName name="dpCost_DICN_MSwift">'Other RCN'!$J$39</definedName>
    <definedName name="dpCost_DICN_Reconciled">'Other RCN'!$H$50</definedName>
    <definedName name="dpCost_DICN_Table">'Other RCN'!$C$34:$L$39</definedName>
    <definedName name="dpCost_DICN_Variance">'Other RCN'!$H$49</definedName>
    <definedName name="dpCost_DICNComparison_Table">'Other RCN'!$C$43:$I$50</definedName>
    <definedName name="dpCost_DirectBuildingCost_Table">'Building RCN'!$C$41:$P$55</definedName>
    <definedName name="dpCost_DirectBuildingCost_Total">'Building RCN'!$O$55</definedName>
    <definedName name="dpCost_DirectBuildingCost_Total_PSF">'Building RCN'!$O$53</definedName>
    <definedName name="dpCost_DirectSiteImpCost_Table">'Other RCN'!$C$4:$Q$17</definedName>
    <definedName name="dpCost_DM_ProfitIncentive">'Cost Depreciation'!$E$17</definedName>
    <definedName name="dpCost_External_Obs_Statement">Narrative!$D$141</definedName>
    <definedName name="dpCost_External_Obsolescence">'Cost Depreciation'!$F$61</definedName>
    <definedName name="dpCost_ExternalBreakout_Table">'Cost Depreciation'!$C$94:$M$120</definedName>
    <definedName name="dpCost_ExternalObsTable">'Cost Depreciation'!$C$51:$G$61</definedName>
    <definedName name="dpCost_Functional_Obs_Statement">Narrative!$D$140</definedName>
    <definedName name="dpCost_Functional_Obsolescence">'Cost Approach Schedule'!$G$17</definedName>
    <definedName name="dpCost_IncurableCostME_Total">'Depreciation Extraction'!$F$72</definedName>
    <definedName name="dpCost_IncurableLongAL_Table">'Cost Depreciation'!$C$39:$G$47</definedName>
    <definedName name="dpCost_IncurableLongALBreakout_Table">'Cost Depreciation'!$C$65:$Q$90</definedName>
    <definedName name="dpCost_IncurableLongCost_Percent">'Cost Depreciation'!$F$46</definedName>
    <definedName name="dpCost_IncurableLongCost_Statement">Narrative!$D$139</definedName>
    <definedName name="dpCost_IncurableLongCost_Total">'Cost Approach Schedule'!$G$13</definedName>
    <definedName name="dpCost_IncurableLongCostAL_Total">'Cost Depreciation'!$F$47</definedName>
    <definedName name="dpCost_IncurableLongEAL_Table">'Cost Depreciation'!$S$124:$AE$207</definedName>
    <definedName name="dpCost_IncurableME_Table">'Depreciation Extraction'!$C$4:$J$24</definedName>
    <definedName name="dpCost_IncurableMEAL_Table">'Depreciation Extraction'!$C$67:$F$72</definedName>
    <definedName name="dpCost_IncurableMEAnnual">'Depreciation Extraction'!$M$24</definedName>
    <definedName name="dpCost_IncurableMEStatistics_Table">'Depreciation Extraction'!$C$58:$G$63</definedName>
    <definedName name="dpCost_IncurableMETotal">'Depreciation Extraction'!$F$71</definedName>
    <definedName name="dpCost_IncurableShortItemCost_Total">'Cost Depreciation'!$J$35</definedName>
    <definedName name="dpCost_IncurableShortTable">'Cost Depreciation'!$C$22:$K$35</definedName>
    <definedName name="dpCost_IndicatedValue1">'Cost Approach Schedule'!$G$28</definedName>
    <definedName name="dpCost_IndicatedValue2">'Cost Approach Schedule'!$G$34</definedName>
    <definedName name="dpCost_IndicatedValue3">'Cost Approach Schedule'!$G$39</definedName>
    <definedName name="dpCost_IndirectCost_Table">'Other RCN'!$C$22:$L$30</definedName>
    <definedName name="dpCost_IndirectCost_Total">'Other RCN'!$K$30</definedName>
    <definedName name="dpCost_InsurableCostExclusionTotal">'Insurable Cost'!$G$22</definedName>
    <definedName name="dpCost_InsurableCostTable">'Insurable Cost'!$C$4:$I$50</definedName>
    <definedName name="dpCost_Land_Inflation">'Cost Approach Schedule'!$L$21</definedName>
    <definedName name="dpCost_LandValue">'Cost Approach Schedule'!$G$21</definedName>
    <definedName name="dpCost_MS_Class1">'Building RCN'!$E$8</definedName>
    <definedName name="dpCost_MS_Date1">'Building RCN'!$E$18</definedName>
    <definedName name="dpCost_MS_Page1">'Building RCN'!$E$20</definedName>
    <definedName name="dpCost_MS_Quality1">'Building RCN'!$E$9</definedName>
    <definedName name="dpCost_MS_Section1">'Building RCN'!$E$19</definedName>
    <definedName name="dpCost_MS_Type1">'Building RCN'!$E$21</definedName>
    <definedName name="dpCost_PreliminaryValue">'Cost Approach Schedule'!$G$22</definedName>
    <definedName name="dpCost_Profit_Percent">'Other RCN'!$F$56</definedName>
    <definedName name="dpCost_Profit_Statement">Narrative!$D$136</definedName>
    <definedName name="dpCost_Profit_Table">'Other RCN'!$C$54:$I$56</definedName>
    <definedName name="dpCost_Profit_Total">'Other RCN'!$H$56</definedName>
    <definedName name="dpCost_RCN_Table">'Other RCN'!$C$60:$I$64</definedName>
    <definedName name="dpCost_RCN_Total">'Cost Approach Schedule'!$G$8</definedName>
    <definedName name="dpCost_RCNBreakout_Table">'Other RCN'!$C$68:$U$94</definedName>
    <definedName name="dpCost_SiteImpCost_Total">'Other RCN'!$P$17</definedName>
    <definedName name="dpCost_Soft_Percent">'Other RCN'!$H$29</definedName>
    <definedName name="dpCost_Soft_Total">'Other RCN'!$K$29</definedName>
    <definedName name="dpCost_SprinklerStatement">Narrative!$D$135</definedName>
    <definedName name="dpCost_TotalAccruedDep_Narrative">Narrative!$D$142</definedName>
    <definedName name="dpCost_TotalAccruedDepreciation">'Cost Approach Schedule'!$G$19</definedName>
    <definedName name="dpCost_TotalObsolescence">'Cost Approach Schedule'!$G$18</definedName>
    <definedName name="dpCost_TotalPhysicalDeterioration">'Cost Approach Schedule'!$G$14</definedName>
    <definedName name="dpCost_Unit_Of_Measure_Land">Subject!$D$164</definedName>
    <definedName name="dpCost_ValueConclusionBreakout_Table">'Cost Approach Schedule'!$O$48:$U$75</definedName>
    <definedName name="dpEmployment_Chart">RegionalESRI!$Y$29:$AC$54</definedName>
    <definedName name="dpExpense_Admin_Years">'Selection Tables'!$X$27</definedName>
    <definedName name="dpExpense_CAM_Years">'Selection Tables'!$X$30</definedName>
    <definedName name="dpExpense_CJ_Years">'Selection Tables'!$X$31</definedName>
    <definedName name="dpExpense_Insurance_Years">'Selection Tables'!$X$25</definedName>
    <definedName name="dpExpense_LandlordCosts_Years">'Selection Tables'!$X$37</definedName>
    <definedName name="dpExpense_Leasing_Years">'Selection Tables'!$X$32</definedName>
    <definedName name="dpExpense_MgmtFees_Years">'Selection Tables'!$X$26</definedName>
    <definedName name="dpExpense_OtherOps_Years">'Selection Tables'!$X$36</definedName>
    <definedName name="dpExpense_OtherTax_Years">'Selection Tables'!$X$24</definedName>
    <definedName name="dpExpense_Payroll_Years">'Selection Tables'!$X$33</definedName>
    <definedName name="dpExpense_RealEstateTax_Years">'Selection Tables'!$X$23</definedName>
    <definedName name="dpExpense_RepairsMaintenance_Years">'Selection Tables'!$X$29</definedName>
    <definedName name="dpExpense_ReplacementReserves_Years">'Selection Tables'!$X$38</definedName>
    <definedName name="dpExpense_RG_Years">'Selection Tables'!$X$35</definedName>
    <definedName name="dpExpense_Security_Years">'Selection Tables'!$X$34</definedName>
    <definedName name="dpExpense_Utilities_Years">'Selection Tables'!$X$28</definedName>
    <definedName name="dpHBU_Label_Improved_Text">Narrative!$D$82</definedName>
    <definedName name="dpHBU_Label_Improved_Title">Narrative!$E$82</definedName>
    <definedName name="dpHBU_Label_Vacant_Text">Narrative!$D$81</definedName>
    <definedName name="dpHBU_Label_Vacant_Title">Narrative!$E$81</definedName>
    <definedName name="dpHBU_Zoned?">Narrative!$D$83</definedName>
    <definedName name="dpIncome_ActualOccupancy">'Income Assumptions'!$F$5</definedName>
    <definedName name="dpIncome_BOI_CapRate">'BOI Investor Surveys'!$H$17</definedName>
    <definedName name="dpIncome_BOI_LoadedCapRate">Narrative!$D$322</definedName>
    <definedName name="dpIncome_BOI_Table">'BOI Investor Surveys'!$C$6:$N$17</definedName>
    <definedName name="dpIncome_CollectionLoss">'Income Assumptions'!$E$7</definedName>
    <definedName name="dpIncome_Commissions_New">Narrative!$D$334</definedName>
    <definedName name="dpIncome_Commissions_Renewal">Narrative!$D$335</definedName>
    <definedName name="dpIncome_ContractLeaseStructure">'Rent Roll'!$O$207</definedName>
    <definedName name="dpIncome_ContractLeaseStructure_Plural">Narrative!$D$259</definedName>
    <definedName name="dpIncome_ContractRent_Average">'Rent Roll'!$AH$6</definedName>
    <definedName name="dpIncome_DataSet_Vacancy_1">'Selection Tables'!$J$56</definedName>
    <definedName name="dpIncome_DataSet_Vacancy_2">'Selection Tables'!$J$57</definedName>
    <definedName name="dpIncome_DCF_CashFlow_Narrative">Narrative!$D$326</definedName>
    <definedName name="dpIncome_DCF_CashFlows_Narrative">Narrative!$D$325</definedName>
    <definedName name="dpIncome_DCF_COS">'Income Assumptions'!$E$47</definedName>
    <definedName name="dpIncome_DCF_HoldingPeriod_Narrative">Narrative!$D$327</definedName>
    <definedName name="dpIncome_DCF_ReversionTable">'DCF Reversion'!$C$4:$N$24</definedName>
    <definedName name="dpIncome_DCF1_Table">'DCF 1'!$C$4:$S$119</definedName>
    <definedName name="dpIncome_DCF2_Table">'DCF 2'!$C$4:$S$119</definedName>
    <definedName name="dpIncome_DCF3_Table">'DCF 3'!$C$4:$S$119</definedName>
    <definedName name="dpIncome_DCFAssumptionsTable">'Income Assumptions'!$C$24:$P$58</definedName>
    <definedName name="dpIncome_DCR_CapRate">'BOI Investor Surveys'!$F$25</definedName>
    <definedName name="dpIncome_DCR_Table">'BOI Investor Surveys'!$C$20:$N$25</definedName>
    <definedName name="dpIncome_Direct_Capitalization_Table">'Direct Capitalization'!$C$105:$K$130</definedName>
    <definedName name="dpIncome_DirectCap_EGI">'Direct Capitalization'!$J$58</definedName>
    <definedName name="dpIncome_DirectCap_NOITable">'Direct Capitalization'!$C$4:$M$101</definedName>
    <definedName name="dpIncome_DirectCap_VacancyCollectionLoss">'Direct Capitalization'!$J$57</definedName>
    <definedName name="dpIncome_DirectCapAssumptionsTable">'Income Assumptions'!$C$4:$I$20</definedName>
    <definedName name="dpIncome_DiscRate1">'Income Assumptions'!$E$45</definedName>
    <definedName name="dpIncome_DiscRate2">'Income Assumptions'!$G$45</definedName>
    <definedName name="dpIncome_DiscRate3">'Income Assumptions'!$I$45</definedName>
    <definedName name="dpIncome_EGI">Narrative!$D$270</definedName>
    <definedName name="dpIncome_Expense_Admin_Narrative">Narrative!$D$292</definedName>
    <definedName name="dpIncome_Expense_Admin_Relativity">Narrative!$D$291</definedName>
    <definedName name="dpIncome_Expense_Admin_Stabilized">'Expense Estimates'!$K$97</definedName>
    <definedName name="dpIncome_Expense_Admin_Year1">'Expense Estimates'!$K$94</definedName>
    <definedName name="dpIncome_Expense_Admin_Year2">'Expense Estimates'!$K$95</definedName>
    <definedName name="dpIncome_Expense_Admin_Year3">'Expense Estimates'!$K$96</definedName>
    <definedName name="dpIncome_Expense_CAM_Narrative">Narrative!$D$298</definedName>
    <definedName name="dpIncome_Expense_CAM_Relativity">Narrative!$D$297</definedName>
    <definedName name="dpIncome_Expense_CAM_Stabilized">'Expense Estimates'!$K$151</definedName>
    <definedName name="dpIncome_Expense_CAM_Year1">'Expense Estimates'!$K$148</definedName>
    <definedName name="dpIncome_Expense_CAM_Year2">'Expense Estimates'!$K$149</definedName>
    <definedName name="dpIncome_Expense_CAM_Year3">'Expense Estimates'!$K$150</definedName>
    <definedName name="dpIncome_Expense_CJ_Narrative">Narrative!$D$300</definedName>
    <definedName name="dpIncome_Expense_CJ_Relativity">Narrative!$D$299</definedName>
    <definedName name="dpIncome_Expense_CJ_Stabilized">'Expense Estimates'!$K$169</definedName>
    <definedName name="dpIncome_Expense_CJ_Year1">'Expense Estimates'!$K$166</definedName>
    <definedName name="dpIncome_Expense_CJ_Year2">'Expense Estimates'!$K$167</definedName>
    <definedName name="dpIncome_Expense_CJ_Year3">'Expense Estimates'!$K$168</definedName>
    <definedName name="dpIncome_Expense_Comps_Table">'Expense Comps'!$C$4:$X$75</definedName>
    <definedName name="dpIncome_Expense_Insurance_Narrative">Narrative!$D$288</definedName>
    <definedName name="dpIncome_Expense_Insurance_Relativity">Narrative!$D$287</definedName>
    <definedName name="dpIncome_Expense_Insurance_Stabilized">'Expense Estimates'!$K$61</definedName>
    <definedName name="dpIncome_Expense_Insurance_Year1">'Expense Estimates'!$K$58</definedName>
    <definedName name="dpIncome_Expense_Insurance_Year2">'Expense Estimates'!$K$59</definedName>
    <definedName name="dpIncome_Expense_Insurance_Year3">'Expense Estimates'!$K$60</definedName>
    <definedName name="dpIncome_Expense_LC_Narrative">Narrative!$D$312</definedName>
    <definedName name="dpIncome_Expense_LC_Relativity">Narrative!$D$311</definedName>
    <definedName name="dpIncome_Expense_LC_Stabilized">'Expense Estimates'!$K$277</definedName>
    <definedName name="dpIncome_Expense_LC_Year1">'Expense Estimates'!$K$274</definedName>
    <definedName name="dpIncome_Expense_LC_Year2">'Expense Estimates'!$K$275</definedName>
    <definedName name="dpIncome_Expense_LC_Year3">'Expense Estimates'!$K$276</definedName>
    <definedName name="dpIncome_Expense_Leasing_Narrative">Narrative!$D$302</definedName>
    <definedName name="dpIncome_Expense_Leasing_Relativity">Narrative!$D$301</definedName>
    <definedName name="dpIncome_Expense_Leasing_Stabilized">'Expense Estimates'!$K$187</definedName>
    <definedName name="dpIncome_Expense_Leasing_Year1">'Expense Estimates'!$K$184</definedName>
    <definedName name="dpIncome_Expense_Leasing_Year2">'Expense Estimates'!$K$185</definedName>
    <definedName name="dpIncome_Expense_Leasing_Year3">'Expense Estimates'!$K$186</definedName>
    <definedName name="dpIncome_Expense_MgmtFees_Narrative">Narrative!$D$290</definedName>
    <definedName name="dpIncome_Expense_MgmtFees_Relativity">Narrative!$D$289</definedName>
    <definedName name="dpIncome_Expense_MgmtFees_Stabilized">'Expense Estimates'!$L$79</definedName>
    <definedName name="dpIncome_Expense_MgmtFees_Year1">'Expense Estimates'!$L$76</definedName>
    <definedName name="dpIncome_Expense_MgmtFees_Year2">'Expense Estimates'!$L$77</definedName>
    <definedName name="dpIncome_Expense_MgmtFees_Year3">'Expense Estimates'!$L$78</definedName>
    <definedName name="dpIncome_Expense_NonReimbTotalPSF">'Expense Estimates'!$K$355</definedName>
    <definedName name="dpIncome_Expense_OtherOps_Narrative">Narrative!$D$310</definedName>
    <definedName name="dpIncome_Expense_OtherOps_Relativity">Narrative!$D$309</definedName>
    <definedName name="dpIncome_Expense_OtherOps_Stabilized">'Expense Estimates'!$K$259</definedName>
    <definedName name="dpIncome_Expense_OtherOps_Year1">'Expense Estimates'!$K$256</definedName>
    <definedName name="dpIncome_Expense_OtherOps_Year2">'Expense Estimates'!$K$257</definedName>
    <definedName name="dpIncome_Expense_OtherOps_Year3">'Expense Estimates'!$K$258</definedName>
    <definedName name="dpIncome_Expense_OtherTax_Narrative">Narrative!$D$286</definedName>
    <definedName name="dpIncome_Expense_OtherTax_Relativity">Narrative!$D$285</definedName>
    <definedName name="dpIncome_Expense_OtherTaxes_Stabilized">'Expense Estimates'!$K$43</definedName>
    <definedName name="dpIncome_Expense_OtherTaxes_Year1">'Expense Estimates'!$K$40</definedName>
    <definedName name="dpIncome_Expense_OtherTaxes_Year2">'Expense Estimates'!$K$41</definedName>
    <definedName name="dpIncome_Expense_OtherTaxes_Year3">'Expense Estimates'!$K$42</definedName>
    <definedName name="dpIncome_Expense_Payroll_Narrative">Narrative!$D$304</definedName>
    <definedName name="dpIncome_Expense_Payroll_Relativity">Narrative!$D$303</definedName>
    <definedName name="dpIncome_Expense_Payroll_Stabilized">'Expense Estimates'!$K$205</definedName>
    <definedName name="dpIncome_Expense_Payroll_Year1">'Expense Estimates'!$K$202</definedName>
    <definedName name="dpIncome_Expense_Payroll_Year2">'Expense Estimates'!$K$203</definedName>
    <definedName name="dpIncome_Expense_Payroll_Year3">'Expense Estimates'!$K$204</definedName>
    <definedName name="dpIncome_Expense_ReimbStatement">Narrative!$D$273</definedName>
    <definedName name="dpIncome_Expense_ReimbTitle">Narrative!$D$274</definedName>
    <definedName name="dpIncome_Expense_ReimbTotal">Narrative!$D$278</definedName>
    <definedName name="dpIncome_Expense_ReimbTotalPSF">'Expense Estimates'!$K$337</definedName>
    <definedName name="dpIncome_Expense_Reserves_Avg">'BOI Investor Surveys'!$M$150</definedName>
    <definedName name="dpIncome_Expense_Reserves_Max">'BOI Investor Surveys'!$L$150</definedName>
    <definedName name="dpIncome_Expense_Reserves_Min">'BOI Investor Surveys'!$I$150</definedName>
    <definedName name="dpIncome_Expense_Reserves_Narrative">Narrative!$D$314</definedName>
    <definedName name="dpIncome_Expense_Reserves_Relativity">Narrative!$D$313</definedName>
    <definedName name="dpIncome_Expense_Reserves_Stabilized">'Expense Estimates'!$K$295</definedName>
    <definedName name="dpIncome_Expense_Reserves_Year1">'Expense Estimates'!$K$292</definedName>
    <definedName name="dpIncome_Expense_Reserves_Year2">'Expense Estimates'!$K$293</definedName>
    <definedName name="dpIncome_Expense_Reserves_Year3">'Expense Estimates'!$K$294</definedName>
    <definedName name="dpIncome_Expense_RETax_Narrative">Narrative!$D$284</definedName>
    <definedName name="dpIncome_Expense_RETax_Relativity">Narrative!$D$283</definedName>
    <definedName name="dpIncome_Expense_RETax_Stabilized">'Expense Estimates'!$K$25</definedName>
    <definedName name="dpIncome_Expense_RETax_Year1">'Expense Estimates'!$K$22</definedName>
    <definedName name="dpIncome_Expense_RETax_Year2">'Expense Estimates'!$K$23</definedName>
    <definedName name="dpIncome_Expense_RETax_Year3">'Expense Estimates'!$K$24</definedName>
    <definedName name="dpIncome_Expense_RG_Narrative">Narrative!$D$308</definedName>
    <definedName name="dpIncome_Expense_RG_Relativity">Narrative!$D$307</definedName>
    <definedName name="dpIncome_Expense_RG_Stabilized">'Expense Estimates'!$K$241</definedName>
    <definedName name="dpIncome_Expense_RG_Year1">'Expense Estimates'!$K$238</definedName>
    <definedName name="dpIncome_Expense_RG_Year2">'Expense Estimates'!$K$239</definedName>
    <definedName name="dpIncome_Expense_RG_Year3">'Expense Estimates'!$K$240</definedName>
    <definedName name="dpIncome_Expense_RM_Narrative">Narrative!$D$296</definedName>
    <definedName name="dpIncome_Expense_RM_Relativity">Narrative!$D$295</definedName>
    <definedName name="dpIncome_Expense_RM_Stabilized">'Expense Estimates'!$K$133</definedName>
    <definedName name="dpIncome_Expense_RM_Year1">'Expense Estimates'!$K$130</definedName>
    <definedName name="dpIncome_Expense_RM_Year2">'Expense Estimates'!$K$131</definedName>
    <definedName name="dpIncome_Expense_RM_Year3">'Expense Estimates'!$K$132</definedName>
    <definedName name="dpIncome_Expense_Security_Narrative">Narrative!$D$306</definedName>
    <definedName name="dpIncome_Expense_Security_Relativity">Narrative!$D$305</definedName>
    <definedName name="dpIncome_Expense_Security_Stabilized">'Expense Estimates'!$K$223</definedName>
    <definedName name="dpIncome_Expense_Security_Year1">'Expense Estimates'!$K$220</definedName>
    <definedName name="dpIncome_Expense_Security_Year2">'Expense Estimates'!$K$221</definedName>
    <definedName name="dpIncome_Expense_Security_Year3">'Expense Estimates'!$K$222</definedName>
    <definedName name="dpIncome_Expense_StaborYr1">Narrative!$D$276</definedName>
    <definedName name="dpIncome_Expense_Total">Narrative!$D$277</definedName>
    <definedName name="dpIncome_Expense_TotalOperatingExpenses_Stabilized">'Expense Estimates'!$K$313</definedName>
    <definedName name="dpIncome_Expense_TotalOperatingExpenses_Year1">'Expense Estimates'!$K$310</definedName>
    <definedName name="dpIncome_Expense_TotalOperatingExpenses_Year2">'Expense Estimates'!$K$311</definedName>
    <definedName name="dpIncome_Expense_TotalOperatingExpenses_Year3">'Expense Estimates'!$K$312</definedName>
    <definedName name="dpIncome_Expense_TotalPSF">'Expense Estimates'!$K$356</definedName>
    <definedName name="dpIncome_Expense_Utilities_Narrative">Narrative!$D$294</definedName>
    <definedName name="dpIncome_Expense_Utilities_Relativity">Narrative!$D$293</definedName>
    <definedName name="dpIncome_Expense_Utilities_Stabilized">'Expense Estimates'!$K$115</definedName>
    <definedName name="dpIncome_Expense_Utilities_Year1">'Expense Estimates'!$K$112</definedName>
    <definedName name="dpIncome_Expense_Utilities_Year2">'Expense Estimates'!$K$113</definedName>
    <definedName name="dpIncome_Expense_Utilities_Year3">'Expense Estimates'!$K$114</definedName>
    <definedName name="dpIncome_ExpenseCat_1">'Income Expense History'!$D$20</definedName>
    <definedName name="dpIncome_ExpenseCat_10">'Income Expense History'!$D$63</definedName>
    <definedName name="dpIncome_ExpenseCat_11">'Income Expense History'!$D$69</definedName>
    <definedName name="dpIncome_ExpenseCat_12">'Income Expense History'!$D$70</definedName>
    <definedName name="dpIncome_ExpenseCat_13">'Income Expense History'!$D$71</definedName>
    <definedName name="dpIncome_ExpenseCat_14">'Income Expense History'!$D$72</definedName>
    <definedName name="dpIncome_ExpenseCat_15">'Income Expense History'!$D$73</definedName>
    <definedName name="dpIncome_ExpenseCat_16">'Income Expense History'!$D$74</definedName>
    <definedName name="dpIncome_ExpenseCat_17">'Income Expense History'!$D$75</definedName>
    <definedName name="dpIncome_ExpenseCat_2">'Income Expense History'!$D$21</definedName>
    <definedName name="dpIncome_ExpenseCat_3">'Income Expense History'!$D$22</definedName>
    <definedName name="dpIncome_ExpenseCat_4">'Income Expense History'!$D$23</definedName>
    <definedName name="dpIncome_ExpenseCat_5">'Income Expense History'!$D$28</definedName>
    <definedName name="dpIncome_ExpenseCat_6">'Income Expense History'!$D$35</definedName>
    <definedName name="dpIncome_ExpenseCat_7">'Income Expense History'!$D$43</definedName>
    <definedName name="dpIncome_ExpenseCat_8">'Income Expense History'!$D$51</definedName>
    <definedName name="dpIncome_ExpenseCat_9">'Income Expense History'!$D$58</definedName>
    <definedName name="dpIncome_ExpenseGrowth1">'Income Assumptions'!$E$36</definedName>
    <definedName name="dpIncome_ExpenseGrowth2">'Income Assumptions'!$E$37</definedName>
    <definedName name="dpIncome_ExpenseGrowth3">'Income Assumptions'!$E$38</definedName>
    <definedName name="dpIncome_ExpenseGrowth4">'Income Assumptions'!$E$39</definedName>
    <definedName name="dpIncome_ExpenseStatement">Narrative!$D$279</definedName>
    <definedName name="dpIncome_ExpenseTable_Admin">'Expense Estimates'!$C$81:$M$97</definedName>
    <definedName name="dpIncome_ExpenseTable_CAM">'Expense Estimates'!$C$135:$M$151</definedName>
    <definedName name="dpIncome_ExpenseTable_CJ">'Expense Estimates'!$C$153:$M$169</definedName>
    <definedName name="dpIncome_ExpenseTable_Insurance">'Expense Estimates'!$C$45:$M$61</definedName>
    <definedName name="dpIncome_ExpenseTable_LC">'Expense Estimates'!$C$261:$M$277</definedName>
    <definedName name="dpIncome_ExpenseTable_Leasing">'Expense Estimates'!$C$171:$M$187</definedName>
    <definedName name="dpIncome_ExpenseTable_MgmtFees">'Expense Estimates'!$C$63:$M$79</definedName>
    <definedName name="dpIncome_ExpenseTable_Organized">'Expense Estimates'!$C$317:$M$356</definedName>
    <definedName name="dpIncome_ExpenseTable_OtherOps">'Expense Estimates'!$C$243:$M$259</definedName>
    <definedName name="dpIncome_ExpenseTable_OtherTaxes">'Expense Estimates'!$C$27:$M$43</definedName>
    <definedName name="dpIncome_ExpenseTable_Payroll">'Expense Estimates'!$C$189:$M$205</definedName>
    <definedName name="dpIncome_ExpenseTable_Reserves">'Expense Estimates'!$C$279:$M$295</definedName>
    <definedName name="dpIncome_ExpenseTable_RETaxes">'Expense Estimates'!$C$9:$M$25</definedName>
    <definedName name="dpIncome_ExpenseTable_RG">'Expense Estimates'!$C$225:$M$241</definedName>
    <definedName name="dpIncome_ExpenseTable_RM">'Expense Estimates'!$C$117:$M$133</definedName>
    <definedName name="dpIncome_ExpenseTable_Security">'Expense Estimates'!$C$207:$M$223</definedName>
    <definedName name="dpIncome_ExpenseTable_Summary">'Expense Estimates'!$S$360:$AE$378</definedName>
    <definedName name="dpIncome_ExpenseTable_TotalExpense">'Expense Estimates'!$C$297:$M$313</definedName>
    <definedName name="dpIncome_ExpenseTable_Utilities">'Expense Estimates'!$C$99:$M$115</definedName>
    <definedName name="dpIncome_ExpIndicators">Narrative!$D$280</definedName>
    <definedName name="dpIncome_FRED_AltRates_Table">'BOI Investor Surveys'!$C$166:$I$175</definedName>
    <definedName name="dpIncome_FRED_Baa">Narrative!$D$337</definedName>
    <definedName name="dpIncome_GroundRent_Return">'GL Rent'!$V$31</definedName>
    <definedName name="dpIncome_GroundRent_Table">'GL Rent'!$R$28:$Z$31</definedName>
    <definedName name="dpIncome_GroundRentComp_Table">'GL Rent'!$C$4:$N$24</definedName>
    <definedName name="dpIncome_HistoricalOccupancyTable">'Income Support'!$C$4:$H$12</definedName>
    <definedName name="dpIncome_Inc_OtherInc_Narrative">Narrative!$D$268</definedName>
    <definedName name="dpIncome_Inc_OtherInc_Relativity">Narrative!$D$267</definedName>
    <definedName name="dpIncome_Inc_OtherIncome_Stabilized">'Other Income Estimates'!$E$51</definedName>
    <definedName name="dpIncome_Inc_OtherIncome_Year1">'Other Income Estimates'!$E$48</definedName>
    <definedName name="dpIncome_Inc_OtherIncome_Year2">'Other Income Estimates'!$E$49</definedName>
    <definedName name="dpIncome_Inc_OtherIncome_Year3">'Other Income Estimates'!$E$50</definedName>
    <definedName name="dpIncome_Inc_ParkingInc_Stabilized">'Other Income Estimates'!$E$27</definedName>
    <definedName name="dpIncome_Inc_ParkingInc_Year1">'Other Income Estimates'!$E$24</definedName>
    <definedName name="dpIncome_Inc_ParkingInc_Year2">'Other Income Estimates'!$E$25</definedName>
    <definedName name="dpIncome_Inc_ParkingInc_Year3">'Other Income Estimates'!$E$26</definedName>
    <definedName name="dpIncome_Inc_ParkingRent_Narrative">Narrative!$D$264</definedName>
    <definedName name="dpIncome_Inc_ParkingRent_Relativity">Narrative!$D$263</definedName>
    <definedName name="dpIncome_Inc_PercentRent_Narrative">Narrative!$D$262</definedName>
    <definedName name="dpIncome_Inc_PercentRent_Relativity">Narrative!$D$261</definedName>
    <definedName name="dpIncome_Inc_PercentRent_Stabilized">'Other Income Estimates'!$E$15</definedName>
    <definedName name="dpIncome_Inc_PercentRent_Year1">'Other Income Estimates'!$E$12</definedName>
    <definedName name="dpIncome_Inc_PercentRent_Year2">'Other Income Estimates'!$E$13</definedName>
    <definedName name="dpIncome_Inc_PercentRent_Year3">'Other Income Estimates'!$E$14</definedName>
    <definedName name="dpIncome_Inc_UserDef_Narrative">Narrative!$D$266</definedName>
    <definedName name="dpIncome_Inc_UserDef_Relativity">Narrative!$D$265</definedName>
    <definedName name="dpIncome_Inc_UserDefInc_Stabilized">'Other Income Estimates'!$E$39</definedName>
    <definedName name="dpIncome_Inc_UserDefInc_Year1">'Other Income Estimates'!$E$36</definedName>
    <definedName name="dpIncome_Inc_UserDefInc_Year2">'Other Income Estimates'!$E$37</definedName>
    <definedName name="dpIncome_Inc_UserDefInc_Year3">'Other Income Estimates'!$E$38</definedName>
    <definedName name="dpIncome_IncomeCat_1">'Income Expense History'!$D$12</definedName>
    <definedName name="dpIncome_IncomeCat_2">'Income Expense History'!$D$13</definedName>
    <definedName name="dpIncome_IncomeCat_3">'Income Expense History'!$D$14</definedName>
    <definedName name="dpIncome_IncomeCat_4">'Income Expense History'!$D$15</definedName>
    <definedName name="dpIncome_IncomeCat_5">'Income Expense History'!$D$16</definedName>
    <definedName name="dpIncome_IncomeCat_6">'Income Expense History'!$D$17</definedName>
    <definedName name="dpIncome_IncomeTable_NOI">'Other Income Estimates'!$C$53:$G$63</definedName>
    <definedName name="dpIncome_IncomeTable_OtherIncome">'Other Income Estimates'!$C$41:$G$51</definedName>
    <definedName name="dpIncome_IncomeTable_ParkingIncome">'Other Income Estimates'!$C$17:$G$27</definedName>
    <definedName name="dpIncome_IncomeTable_PercentageRent">'Other Income Estimates'!$C$5:$G$15</definedName>
    <definedName name="dpIncome_IncomeTable_UserDefined">'Other Income Estimates'!$C$29:$G$39</definedName>
    <definedName name="dpIncome_InvestorSurvey_Relativity">Narrative!$D$336</definedName>
    <definedName name="dpIncome_InvSurvey_DiscRateHigh">'BOI Investor Surveys'!$S$29</definedName>
    <definedName name="dpIncome_InvSurvey_DiscRateLow">'BOI Investor Surveys'!$Q$29</definedName>
    <definedName name="dpIncome_InvSurvey_OARHigh">'BOI Investor Surveys'!$S$50</definedName>
    <definedName name="dpIncome_InvSurvey_OARLow">'BOI Investor Surveys'!$Q$50</definedName>
    <definedName name="dpIncome_InvSurvey_TeminalLow">'BOI Investor Surveys'!$Q$71</definedName>
    <definedName name="dpIncome_InvSurvey_TerminalHigh">'BOI Investor Surveys'!$S$71</definedName>
    <definedName name="dpIncome_InvSurveys_DiscRate_Table">'BOI Investor Surveys'!$C$28:$N$46</definedName>
    <definedName name="dpIncome_InvSurveys_Expense_Table">'BOI Investor Surveys'!$C$119:$N$131</definedName>
    <definedName name="dpIncome_InvSurveys_Marketing_Table">'BOI Investor Surveys'!$C$134:$N$146</definedName>
    <definedName name="dpIncome_InvSurveys_OAR_Table">'BOI Investor Surveys'!$C$49:$N$67</definedName>
    <definedName name="dpIncome_InvSurveys_RentChange_Table">'BOI Investor Surveys'!$C$104:$N$116</definedName>
    <definedName name="dpIncome_InvSurveys_Spread_Table">'BOI Investor Surveys'!$C$87:$N$101</definedName>
    <definedName name="dpIncome_InvSurveys_TermRate_Table">'BOI Investor Surveys'!$C$70:$N$84</definedName>
    <definedName name="dpIncome_Lease_AvgExpireDate">'Rent Roll'!$I$207</definedName>
    <definedName name="dpIncome_Lease_AvgRemTerm">'Rent Roll'!$J$207</definedName>
    <definedName name="dpIncome_Lease_AvgStartDate">'Rent Roll'!$H$216</definedName>
    <definedName name="dpIncome_LeaseAbstract_1">'Rent Roll - DP-Manual Entry'!$E$17:$H$24</definedName>
    <definedName name="dpIncome_LeaseAbstract_2">'Rent Roll - DP-Manual Entry'!$E$26:$H$33</definedName>
    <definedName name="dpIncome_LeaseExpiration_Chart">'Lease Expiration'!$J$2:$N$9</definedName>
    <definedName name="dpIncome_LeaseExpiration_Table">'Lease Expiration'!$C$12:$G$31</definedName>
    <definedName name="dpIncome_LeaseTerm1">Narrative!$D$331</definedName>
    <definedName name="dpIncome_LeaseTerm2">Narrative!$E$331</definedName>
    <definedName name="dpIncome_Market_vs_Contract">Narrative!$D$253</definedName>
    <definedName name="dpIncome_MarketRent_Average">'Income Assumptions'!$F$20</definedName>
    <definedName name="dpIncome_MarketRent_LeasedAvg">'Rent Roll'!$AI$6</definedName>
    <definedName name="dpIncome_MarketRent_LeaseStructure">'Selection Tables'!$AL$16</definedName>
    <definedName name="dpIncome_MarketRent_LeaseStructure_1">'Selection Tables'!$AM$16</definedName>
    <definedName name="dpIncome_MarketRent_LeaseStructure_2">'Selection Tables'!$AN$16</definedName>
    <definedName name="dpIncome_MarketRentCats_Plural">Narrative!$D$258</definedName>
    <definedName name="dpIncome_MarketRentEstimate">'Rent Adjustments'!$O$149</definedName>
    <definedName name="dpIncome_MarketRentEstimate_1">'Rent Adjustments 1'!$Q$149</definedName>
    <definedName name="dpIncome_MarketRentEstimate_2">'Rent Adjustments 2'!$Q$149</definedName>
    <definedName name="dpIncome_MarketRentEstimate_Table">'Rent Adjustments'!$N$162:$S$171</definedName>
    <definedName name="dpIncome_MarketRentEstimate_Table_1">'Rent Adjustments 1'!$P$162:$U$171</definedName>
    <definedName name="dpIncome_MarketRentEstimate_Table_2">'Rent Adjustments 2'!$P$162:$U$171</definedName>
    <definedName name="dpIncome_MethodUsed">Narrative!$D$206</definedName>
    <definedName name="dpIncome_MonthsVacant1">Narrative!$D$330</definedName>
    <definedName name="dpIncome_MonthsVacant2">Narrative!$E$330</definedName>
    <definedName name="dpIncome_NOI_Years">'Selection Tables'!$X$39</definedName>
    <definedName name="dpIncome_OAR">'Income Assumptions'!$E$9</definedName>
    <definedName name="dpIncome_OAR_Table">'Market OAR'!$C$5:$W$15</definedName>
    <definedName name="dpIncome_OAR_TableB1">'Market OAR'!$AH$19:$BB$27</definedName>
    <definedName name="dpIncome_OAR_TableB2">'Market OAR'!$BF$31:$BZ$39</definedName>
    <definedName name="dpIncome_OARComp_LoadedMax">Narrative!$D$321</definedName>
    <definedName name="dpIncome_OARComp_LoadedMin">Narrative!$D$320</definedName>
    <definedName name="dpIncome_OARComp_RangeHigh">'Market OAR'!$AC$5</definedName>
    <definedName name="dpIncome_OARComp_RangeHighB1">'Market OAR'!$AC$6</definedName>
    <definedName name="dpIncome_OARComp_RangeHighB2">'Market OAR'!$AC$7</definedName>
    <definedName name="dpIncome_OARComp_RangeLow">'Market OAR'!$AA$5</definedName>
    <definedName name="dpIncome_OARComp_RangeLowB1">'Market OAR'!$AA$6</definedName>
    <definedName name="dpIncome_OARComp_RangeLowB2">'Market OAR'!$AA$7</definedName>
    <definedName name="dpIncome_Occupancy_Narrative">Narrative!$D$328</definedName>
    <definedName name="dpIncome_OtherIncome_Years">'Selection Tables'!$X$22</definedName>
    <definedName name="dpIncome_ParkingIncome_Years">'Selection Tables'!$X$20</definedName>
    <definedName name="dpIncome_PercentageRent_Years">'Selection Tables'!$X$19</definedName>
    <definedName name="dpIncome_ReconciliationTable">'Income Assumptions'!$C$62:$I$76</definedName>
    <definedName name="dpIncome_ReimbExpList">Narrative!$D$275</definedName>
    <definedName name="dpIncome_ReimbOverride">'Direct Capitalization'!$P$48</definedName>
    <definedName name="dpIncome_ReimbursementRevenue">Narrative!$D$260</definedName>
    <definedName name="dpIncome_RenewalProb1">Narrative!$D$329</definedName>
    <definedName name="dpIncome_RenewalProb2">Narrative!$E$329</definedName>
    <definedName name="dpIncome_Rent_AgeCondition_1">Narrative!$D$218</definedName>
    <definedName name="dpIncome_Rent_AgeCondition_2">Narrative!$E$218</definedName>
    <definedName name="dpIncome_Rent_AgeCondition_3">Narrative!$F$218</definedName>
    <definedName name="dpIncome_Rent_AgeCondition_4">Narrative!$G$218</definedName>
    <definedName name="dpIncome_Rent_AgeCondition_5">Narrative!$H$218</definedName>
    <definedName name="dpIncome_Rent_AgeCondition_6">Narrative!$I$218</definedName>
    <definedName name="dpIncome_Rent_ClearHeight_1">Narrative!$D$230</definedName>
    <definedName name="dpIncome_Rent_ClearHeight_2">Narrative!$E$230</definedName>
    <definedName name="dpIncome_Rent_ClearHeight_3">Narrative!$F$230</definedName>
    <definedName name="dpIncome_Rent_ClearHeight_4">Narrative!$G$230</definedName>
    <definedName name="dpIncome_Rent_ClearHeight_5">Narrative!$H$230</definedName>
    <definedName name="dpIncome_Rent_ClearHeight_6">Narrative!$I$230</definedName>
    <definedName name="dpIncome_Rent_ClearHeight_AdjRange">Narrative!$D$231</definedName>
    <definedName name="dpIncome_Rent_Comp_Adjustments_Table">'Rent Adjustments'!$C$8:$K$146</definedName>
    <definedName name="dpIncome_Rent_Comp_Adjustments_Table1">'Rent Adjustments 1'!$C$8:$M$146</definedName>
    <definedName name="dpIncome_Rent_Comp_Adjustments_Table2">'Rent Adjustments 2'!$C$8:$M$146</definedName>
    <definedName name="dpIncome_Rent_Concessions_1">Narrative!$D$213</definedName>
    <definedName name="dpIncome_Rent_Concessions_2">Narrative!$E$213</definedName>
    <definedName name="dpIncome_Rent_Concessions_3">Narrative!$F$213</definedName>
    <definedName name="dpIncome_Rent_Concessions_4">Narrative!$G$213</definedName>
    <definedName name="dpIncome_Rent_Concessions_5">Narrative!$H$213</definedName>
    <definedName name="dpIncome_Rent_Concessions_6">Narrative!$I$213</definedName>
    <definedName name="dpIncome_Rent_ConditionsofLease_1">Narrative!$D$215</definedName>
    <definedName name="dpIncome_Rent_ConditionsofLease_2">Narrative!$E$215</definedName>
    <definedName name="dpIncome_Rent_ConditionsofLease_3">Narrative!$F$215</definedName>
    <definedName name="dpIncome_Rent_ConditionsofLease_4">Narrative!$G$215</definedName>
    <definedName name="dpIncome_Rent_ConditionsofLease_5">Narrative!$H$215</definedName>
    <definedName name="dpIncome_Rent_ConditionsofLease_6">Narrative!$I$215</definedName>
    <definedName name="dpIncome_Rent_DesignFunction_1">Narrative!$D$229</definedName>
    <definedName name="dpIncome_Rent_DesignFunction_2">Narrative!$E$229</definedName>
    <definedName name="dpIncome_Rent_DesignFunction_3">Narrative!$F$229</definedName>
    <definedName name="dpIncome_Rent_DesignFunction_4">Narrative!$G$229</definedName>
    <definedName name="dpIncome_Rent_DesignFunction_5">Narrative!$H$229</definedName>
    <definedName name="dpIncome_Rent_DesignFunction_6">Narrative!$I$229</definedName>
    <definedName name="dpIncome_Rent_DOV">'Rent Adjustments'!$F$11</definedName>
    <definedName name="dpIncome_Rent_DOV_1">'Rent Adjustments 1'!$F$11</definedName>
    <definedName name="dpIncome_Rent_DOV_2">'Rent Adjustments 2'!$F$11</definedName>
    <definedName name="dpIncome_Rent_EffAge_1">Narrative!$D$240</definedName>
    <definedName name="dpIncome_Rent_EffAge_2">Narrative!$E$240</definedName>
    <definedName name="dpIncome_Rent_EffAge_3">Narrative!$F$240</definedName>
    <definedName name="dpIncome_Rent_EffAge_4">Narrative!$G$240</definedName>
    <definedName name="dpIncome_Rent_EffAge_5">Narrative!$H$240</definedName>
    <definedName name="dpIncome_Rent_EffAge_6">Narrative!$I$240</definedName>
    <definedName name="dpIncome_Rent_EffAge_Range">Narrative!$D$241</definedName>
    <definedName name="dpIncome_Rent_ExpenseStructure_1">Narrative!$D$212</definedName>
    <definedName name="dpIncome_Rent_ExpenseStructure_2">Narrative!$E$212</definedName>
    <definedName name="dpIncome_Rent_ExpenseStructure_3">Narrative!$F$212</definedName>
    <definedName name="dpIncome_Rent_ExpenseStructure_4">Narrative!$G$212</definedName>
    <definedName name="dpIncome_Rent_ExpenseStructure_5">Narrative!$H$212</definedName>
    <definedName name="dpIncome_Rent_ExpenseStructure_6">Narrative!$I$212</definedName>
    <definedName name="dpIncome_Rent_LeaseTerm_1">Narrative!$D$236</definedName>
    <definedName name="dpIncome_Rent_LeaseTerm_2">Narrative!$E$236</definedName>
    <definedName name="dpIncome_Rent_LeaseTerm_3">Narrative!$F$236</definedName>
    <definedName name="dpIncome_Rent_LeaseTerm_4">Narrative!$G$236</definedName>
    <definedName name="dpIncome_Rent_LeaseTerm_5">Narrative!$H$236</definedName>
    <definedName name="dpIncome_Rent_LeaseTerm_6">Narrative!$I$236</definedName>
    <definedName name="dpIncome_Rent_Location_1">Narrative!$D$216</definedName>
    <definedName name="dpIncome_Rent_Location_2">Narrative!$E$216</definedName>
    <definedName name="dpIncome_Rent_Location_3">Narrative!$F$216</definedName>
    <definedName name="dpIncome_Rent_Location_4">Narrative!$G$216</definedName>
    <definedName name="dpIncome_Rent_Location_5">Narrative!$H$216</definedName>
    <definedName name="dpIncome_Rent_Location_6">Narrative!$I$216</definedName>
    <definedName name="dpIncome_Rent_LtoBRatio_1">Narrative!$D$233</definedName>
    <definedName name="dpIncome_Rent_LtoBRatio_2">Narrative!$E$233</definedName>
    <definedName name="dpIncome_Rent_LtoBRatio_3">Narrative!$F$233</definedName>
    <definedName name="dpIncome_Rent_LtoBRatio_4">Narrative!$G$233</definedName>
    <definedName name="dpIncome_Rent_LtoBRatio_5">Narrative!$H$233</definedName>
    <definedName name="dpIncome_Rent_LtoBRatio_6">Narrative!$I$233</definedName>
    <definedName name="dpIncome_Rent_ParkingRatio_1">Narrative!$D$234</definedName>
    <definedName name="dpIncome_Rent_ParkingRatio_2">Narrative!$E$234</definedName>
    <definedName name="dpIncome_Rent_ParkingRatio_3">Narrative!$F$234</definedName>
    <definedName name="dpIncome_Rent_ParkingRatio_4">Narrative!$G$234</definedName>
    <definedName name="dpIncome_Rent_ParkingRatio_5">Narrative!$H$234</definedName>
    <definedName name="dpIncome_Rent_ParkingRatio_6">Narrative!$I$234</definedName>
    <definedName name="dpIncome_Rent_PercentOffice_1">Narrative!$D$232</definedName>
    <definedName name="dpIncome_Rent_PercentOffice_2">Narrative!$E$232</definedName>
    <definedName name="dpIncome_Rent_PercentOffice_3">Narrative!$F$232</definedName>
    <definedName name="dpIncome_Rent_PercentOffice_4">Narrative!$G$232</definedName>
    <definedName name="dpIncome_Rent_PercentOffice_5">Narrative!$H$232</definedName>
    <definedName name="dpIncome_Rent_PercentOffice_6">Narrative!$I$232</definedName>
    <definedName name="dpIncome_Rent_Quality_1">Narrative!$D$242</definedName>
    <definedName name="dpIncome_Rent_Quality_2">Narrative!$E$242</definedName>
    <definedName name="dpIncome_Rent_Quality_3">Narrative!$F$242</definedName>
    <definedName name="dpIncome_Rent_Quality_4">Narrative!$G$242</definedName>
    <definedName name="dpIncome_Rent_Quality_5">Narrative!$H$242</definedName>
    <definedName name="dpIncome_Rent_Quality_6">Narrative!$I$242</definedName>
    <definedName name="dpIncome_Rent_Quality_AdjRange">Narrative!$G$228</definedName>
    <definedName name="dpIncome_Rent_Quality_ClassAdj">'Automated Rent Adjustments'!$L$3</definedName>
    <definedName name="dpIncome_Rent_Quality_Label">'Automated Rent Adjustments'!$F$7</definedName>
    <definedName name="dpIncome_Rent_Quality_Narrative1">Narrative!$D$228</definedName>
    <definedName name="dpIncome_Rent_Quality_Narrative2">Narrative!$E$228</definedName>
    <definedName name="dpIncome_Rent_Quality_Narrative3">Narrative!$F$228</definedName>
    <definedName name="dpIncome_Rent_Quality_RatingAdj">'Automated Rent Adjustments'!$L$4</definedName>
    <definedName name="dpIncome_Rent_QualityAdj_1">Narrative!$D$219</definedName>
    <definedName name="dpIncome_Rent_QualityAdj_2">Narrative!$E$219</definedName>
    <definedName name="dpIncome_Rent_QualityAdj_3">Narrative!$F$219</definedName>
    <definedName name="dpIncome_Rent_QualityAdj_4">Narrative!$G$219</definedName>
    <definedName name="dpIncome_Rent_QualityAdj_5">Narrative!$H$219</definedName>
    <definedName name="dpIncome_Rent_QualityAdj_6">Narrative!$I$219</definedName>
    <definedName name="dpIncome_Rent_RentEscalations_1">Narrative!$D$235</definedName>
    <definedName name="dpIncome_Rent_RentEscalations_2">Narrative!$E$235</definedName>
    <definedName name="dpIncome_Rent_RentEscalations_3">Narrative!$F$235</definedName>
    <definedName name="dpIncome_Rent_RentEscalations_4">Narrative!$G$235</definedName>
    <definedName name="dpIncome_Rent_RentEscalations_5">Narrative!$H$235</definedName>
    <definedName name="dpIncome_Rent_RentEscalations_6">Narrative!$I$235</definedName>
    <definedName name="dpIncome_Rent_Statistics_Table">'Rent Adjustments'!$N$152:$S$157</definedName>
    <definedName name="dpIncome_Rent_Statistics_Table_1">'Rent Adjustments 1'!$P$152:$U$157</definedName>
    <definedName name="dpIncome_Rent_Statistics_Table_2">'Rent Adjustments 2'!$P$152:$U$157</definedName>
    <definedName name="dpIncome_Rent_TenantSize_1">Narrative!$D$217</definedName>
    <definedName name="dpIncome_Rent_TenantSize_2">Narrative!$E$217</definedName>
    <definedName name="dpIncome_Rent_TenantSize_3">Narrative!$F$217</definedName>
    <definedName name="dpIncome_Rent_TenantSize_4">Narrative!$G$217</definedName>
    <definedName name="dpIncome_Rent_TenantSize_5">Narrative!$H$217</definedName>
    <definedName name="dpIncome_Rent_TenantSize_6">Narrative!$I$217</definedName>
    <definedName name="dpIncome_Rent_TI_1">Narrative!$D$214</definedName>
    <definedName name="dpIncome_Rent_TI_2">Narrative!$E$214</definedName>
    <definedName name="dpIncome_Rent_TI_3">Narrative!$F$214</definedName>
    <definedName name="dpIncome_Rent_TI_4">Narrative!$G$214</definedName>
    <definedName name="dpIncome_Rent_TI_5">Narrative!$H$214</definedName>
    <definedName name="dpIncome_Rent_TI_6">Narrative!$I$214</definedName>
    <definedName name="dpIncome_Rent_UserDefined1_1">Narrative!$D$237</definedName>
    <definedName name="dpIncome_Rent_UserDefined1_2">Narrative!$E$237</definedName>
    <definedName name="dpIncome_Rent_UserDefined1_3">Narrative!$F$237</definedName>
    <definedName name="dpIncome_Rent_UserDefined1_4">Narrative!$G$237</definedName>
    <definedName name="dpIncome_Rent_UserDefined1_5">Narrative!$H$237</definedName>
    <definedName name="dpIncome_Rent_UserDefined1_6">Narrative!$I$237</definedName>
    <definedName name="dpIncome_Rent_UserDefined2_1">Narrative!$D$238</definedName>
    <definedName name="dpIncome_Rent_UserDefined2_2">Narrative!$E$238</definedName>
    <definedName name="dpIncome_Rent_UserDefined2_3">Narrative!$F$238</definedName>
    <definedName name="dpIncome_Rent_UserDefined2_4">Narrative!$G$238</definedName>
    <definedName name="dpIncome_Rent_UserDefined2_5">Narrative!$H$238</definedName>
    <definedName name="dpIncome_Rent_UserDefined2_6">Narrative!$I$238</definedName>
    <definedName name="dpIncome_Rent_YOC_1">Narrative!$D$239</definedName>
    <definedName name="dpIncome_Rent_YOC_2">Narrative!$E$239</definedName>
    <definedName name="dpIncome_Rent_YOC_3">Narrative!$F$239</definedName>
    <definedName name="dpIncome_Rent_YOC_4">Narrative!$G$239</definedName>
    <definedName name="dpIncome_Rent_YOC_5">Narrative!$H$239</definedName>
    <definedName name="dpIncome_Rent_YOC_6">Narrative!$I$239</definedName>
    <definedName name="dpIncome_RentAdjustment_1">'Rent Adjustments'!$D$57</definedName>
    <definedName name="dpIncome_RentAdjustment_1_1">'Rent Adjustments 1'!$D$57</definedName>
    <definedName name="dpIncome_RentAdjustment_1_2">'Rent Adjustments 2'!$D$57</definedName>
    <definedName name="dpIncome_RentAdjustment_10">'Rent Adjustments'!$D$119</definedName>
    <definedName name="dpIncome_RentAdjustment_10_1">'Rent Adjustments 1'!$D$119</definedName>
    <definedName name="dpIncome_RentAdjustment_10_2">'Rent Adjustments 2'!$D$126</definedName>
    <definedName name="dpIncome_RentAdjustment_11">'Rent Adjustments'!$D$126</definedName>
    <definedName name="dpIncome_RentAdjustment_11_1">'Rent Adjustments 1'!$D$126</definedName>
    <definedName name="dpIncome_RentAdjustment_11_2">'Rent Adjustments 2'!$D$132</definedName>
    <definedName name="dpIncome_RentAdjustment_12">'Rent Adjustments'!$D$132</definedName>
    <definedName name="dpIncome_RentAdjustment_12_1">'Rent Adjustments 1'!$D$132</definedName>
    <definedName name="dpIncome_RentAdjustment_12_2">'Rent Adjustments 2'!$D$138</definedName>
    <definedName name="dpIncome_RentAdjustment_13">'Rent Adjustments'!$D$138</definedName>
    <definedName name="dpIncome_RentAdjustment_13_1">'Rent Adjustments 1'!$D$138</definedName>
    <definedName name="dpIncome_RentAdjustment_2">'Rent Adjustments'!$D$64</definedName>
    <definedName name="dpIncome_RentAdjustment_2_1">'Rent Adjustments 1'!$D$64</definedName>
    <definedName name="dpIncome_RentAdjustment_2_2">'Rent Adjustments 2'!$D$64</definedName>
    <definedName name="dpIncome_RentAdjustment_3">'Rent Adjustments'!$D$70</definedName>
    <definedName name="dpIncome_RentAdjustment_3_1">'Rent Adjustments 1'!$D$70</definedName>
    <definedName name="dpIncome_RentAdjustment_3_2">'Rent Adjustments 2'!$D$70</definedName>
    <definedName name="dpIncome_RentAdjustment_4">'Rent Adjustments'!$D$80</definedName>
    <definedName name="dpIncome_RentAdjustment_4_1">'Rent Adjustments 1'!$D$80</definedName>
    <definedName name="dpIncome_RentAdjustment_4_2">'Rent Adjustments 2'!$D$80</definedName>
    <definedName name="dpIncome_RentAdjustment_5">'Rent Adjustments'!$D$89</definedName>
    <definedName name="dpIncome_RentAdjustment_5_1">'Rent Adjustments 1'!$D$89</definedName>
    <definedName name="dpIncome_RentAdjustment_5_2">'Rent Adjustments 2'!$D$89</definedName>
    <definedName name="dpIncome_RentAdjustment_6">'Rent Adjustments'!$D$95</definedName>
    <definedName name="dpIncome_RentAdjustment_6_1">'Rent Adjustments 1'!$D$95</definedName>
    <definedName name="dpIncome_RentAdjustment_6_2">'Rent Adjustments 2'!$D$95</definedName>
    <definedName name="dpIncome_RentAdjustment_7">'Rent Adjustments'!$D$101</definedName>
    <definedName name="dpIncome_RentAdjustment_7_1">'Rent Adjustments 1'!$D$101</definedName>
    <definedName name="dpIncome_RentAdjustment_7_2">'Rent Adjustments 2'!$D$101</definedName>
    <definedName name="dpIncome_RentAdjustment_8">'Rent Adjustments'!$D$107</definedName>
    <definedName name="dpIncome_RentAdjustment_8_1">'Rent Adjustments 1'!$D$107</definedName>
    <definedName name="dpIncome_RentAdjustment_8_2">'Rent Adjustments 2'!$D$107</definedName>
    <definedName name="dpIncome_RentAdjustment_9">'Rent Adjustments'!$D$113</definedName>
    <definedName name="dpIncome_RentAdjustment_9_1">'Rent Adjustments 1'!$D$113</definedName>
    <definedName name="dpIncome_RentAdjustment_9_2">'Rent Adjustments 2'!$D$119</definedName>
    <definedName name="dpIncome_RentClearHeight_AdjperFoot">'Automated Rent Adjustments'!$K$49</definedName>
    <definedName name="dpIncome_RentClearHeight_AdjperFootB1">'Automated Rent Adjustments'!$K$90</definedName>
    <definedName name="dpIncome_RentClearHeight_AdjperFootB2">'Automated Rent Adjustments'!$K$131</definedName>
    <definedName name="dpIncome_RentClearHeight_AdjTable">'Automated Rent Adjustments'!$C$47:$M$64</definedName>
    <definedName name="dpIncome_RentClearHeight_Range">Narrative!$D$243</definedName>
    <definedName name="dpIncome_RentClearHeight_Relativity">Narrative!$D$244</definedName>
    <definedName name="dpIncome_RentClearHeightB1_AdjTable">'Automated Rent Adjustments'!$C$88:$M$105</definedName>
    <definedName name="dpIncome_RentClearHeightB2_AdjTable">'Automated Rent Adjustments'!$C$129:$M$146</definedName>
    <definedName name="dpIncome_RentComp_AdjustMax">'Rent Adjustments'!$R$155</definedName>
    <definedName name="dpIncome_RentComp_AdjustMax_1">'Rent Adjustments 1'!$T$155</definedName>
    <definedName name="dpIncome_RentComp_AdjustMax_2">'Rent Adjustments 2'!$T$155</definedName>
    <definedName name="dpIncome_RentComp_AdjustMean">'Rent Adjustments'!$R$157</definedName>
    <definedName name="dpIncome_RentComp_AdjustMean_1">'Rent Adjustments 1'!$T$157</definedName>
    <definedName name="dpIncome_RentComp_AdjustMean_2">'Rent Adjustments 2'!$T$157</definedName>
    <definedName name="dpIncome_RentComp_AdjustMedian">'Rent Adjustments'!$R$156</definedName>
    <definedName name="dpIncome_RentComp_AdjustMedian_1">'Rent Adjustments 1'!$T$156</definedName>
    <definedName name="dpIncome_RentComp_AdjustMedian_2">'Rent Adjustments 2'!$T$156</definedName>
    <definedName name="dpIncome_RentComp_AdjustMin">'Rent Adjustments'!$R$154</definedName>
    <definedName name="dpIncome_RentComp_AdjustMin_1">'Rent Adjustments 1'!$T$154</definedName>
    <definedName name="dpIncome_RentComp_AdjustMin_2">'Rent Adjustments 2'!$T$154</definedName>
    <definedName name="dpIncome_RentComp_AdjustRange">Narrative!$D$252</definedName>
    <definedName name="dpIncome_RentComp_UnAdjustMax">'Rent Adjustments'!$P$155</definedName>
    <definedName name="dpIncome_RentComp_UnAdjustMax_1">'Rent Adjustments 1'!$R$155</definedName>
    <definedName name="dpIncome_RentComp_UnAdjustMax_2">'Rent Adjustments 2'!$R$155</definedName>
    <definedName name="dpIncome_RentComp_UnAdjustMean">'Rent Adjustments'!$P$157</definedName>
    <definedName name="dpIncome_RentComp_UnAdjustMean_1">'Rent Adjustments 1'!$R$157</definedName>
    <definedName name="dpIncome_RentComp_UnAdjustMean_2">'Rent Adjustments 2'!$R$157</definedName>
    <definedName name="dpIncome_RentComp_UnAdjustMedian">'Rent Adjustments'!$P$156</definedName>
    <definedName name="dpIncome_RentComp_UnAdjustMedian_1">'Rent Adjustments 1'!$R$156</definedName>
    <definedName name="dpIncome_RentComp_UnAdjustMedian_2">'Rent Adjustments 2'!$R$156</definedName>
    <definedName name="dpIncome_RentComp_UnAdjustMin">'Rent Adjustments'!$P$154</definedName>
    <definedName name="dpIncome_RentComp_UnAdjustMin_1">'Rent Adjustments 1'!$R$154</definedName>
    <definedName name="dpIncome_RentComp_UnAdjustMin_2">'Rent Adjustments 2'!$R$154</definedName>
    <definedName name="dpIncome_RentComp_UnAdjustRange">Narrative!$D$251</definedName>
    <definedName name="dpIncome_RentComparisonDetailTable">'Income Support'!$L$16:$S$26</definedName>
    <definedName name="dpIncome_RentComparisonTable">'Income Support'!$L$9:$Q$12</definedName>
    <definedName name="dpIncome_RentCompsCount">Narrative!$D$209</definedName>
    <definedName name="dpIncome_RentCompsCountB1">Narrative!$E$209</definedName>
    <definedName name="dpIncome_RentCompsCountB2">Narrative!$F$209</definedName>
    <definedName name="dpIncome_RentConcessions_AdjTable">'Automated Rent Adjustments'!$C$68:$J$84</definedName>
    <definedName name="dpIncome_RentConcessionsB1_AdjTable">'Automated Rent Adjustments'!$C$109:$J$125</definedName>
    <definedName name="dpIncome_RentConcessionsB2_AdjTable">'Automated Rent Adjustments'!$C$150:$J$166</definedName>
    <definedName name="dpIncome_RentGrowth1">'Income Assumptions'!$E$31</definedName>
    <definedName name="dpIncome_RentGrowth2">'Income Assumptions'!$E$32</definedName>
    <definedName name="dpIncome_RentGrowth3">'Income Assumptions'!$E$33</definedName>
    <definedName name="dpIncome_RentGrowth4">'Income Assumptions'!$E$34</definedName>
    <definedName name="dpIncome_RentMaxHeightAdj">'Automated Rent Adjustments'!$H$50</definedName>
    <definedName name="dpIncome_RentMaxHeightAdjB1">'Automated Rent Adjustments'!$H$91</definedName>
    <definedName name="dpIncome_RentMaxHeightAdjB2">'Automated Rent Adjustments'!$H$132</definedName>
    <definedName name="dpIncome_RentMktCondAdj1">'Rent Adjustments'!$O$52</definedName>
    <definedName name="dpIncome_RentMktCondAdj1_1">'Rent Adjustments 1'!$Q$52</definedName>
    <definedName name="dpIncome_RentMktCondAdj1_2">'Rent Adjustments 2'!$Q$52</definedName>
    <definedName name="dpIncome_RentMktCondAdj2">'Rent Adjustments'!$O$53</definedName>
    <definedName name="dpIncome_RentMktCondAdj2_1">'Rent Adjustments 1'!$Q$53</definedName>
    <definedName name="dpIncome_RentMktCondAdj2_2">'Rent Adjustments 2'!$Q$53</definedName>
    <definedName name="dpIncome_RentMktCondDate1">'Rent Adjustments'!$F$52</definedName>
    <definedName name="dpIncome_RentMktCondDate1_1">'Rent Adjustments 1'!$F$52</definedName>
    <definedName name="dpIncome_RentMktCondDate1_2">'Rent Adjustments 2'!$F$52</definedName>
    <definedName name="dpIncome_RentMktCondDate2">'Rent Adjustments'!$F$53</definedName>
    <definedName name="dpIncome_RentMktCondDate2_1">'Rent Adjustments 1'!$F$53</definedName>
    <definedName name="dpIncome_RentMktCondDate2_2">'Rent Adjustments 2'!$F$53</definedName>
    <definedName name="dpIncome_RentOccMax">Narrative!$D$255</definedName>
    <definedName name="dpIncome_RentOccMean">Narrative!$D$256</definedName>
    <definedName name="dpIncome_RentOccMin">Narrative!$D$254</definedName>
    <definedName name="dpIncome_RentPercentOffice_Range">Narrative!$D$245</definedName>
    <definedName name="dpIncome_RentQualitativeQuantitative?">Narrative!$D$246</definedName>
    <definedName name="dpIncome_RentQuality_AdjTable">'Automated Rent Adjustments'!$C$6:$Q$43</definedName>
    <definedName name="dpIncome_RentRoll">'Rent Roll'!$D$4:$P$216</definedName>
    <definedName name="dpIncome_RentRoll_DOV">'Selection Tables'!$AB$6</definedName>
    <definedName name="dpIncome_RentRoll_SigTenants_Table">'Rent Roll Breakdown'!$T$37:$Y$59</definedName>
    <definedName name="dpIncome_RentRoll_UserDefine_Table">'Rent Roll Breakdown'!$L$19:$P$30</definedName>
    <definedName name="dpIncome_RentRoll_UserDefineChart">'Rent Roll Breakdown'!$K$33:$P$33</definedName>
    <definedName name="dpIncome_RentRollOccupancy">'Rent Roll'!$M$216</definedName>
    <definedName name="dpIncome_RentRollProfileTable">'Rent Roll Breakdown'!$C$4:$H$15</definedName>
    <definedName name="dpIncome_RentRollVacancy">'Income Support'!$G$6</definedName>
    <definedName name="dpIncome_Rents_SummaryDetail_Table">'Rent Summary Detail'!$C$4:$J$44</definedName>
    <definedName name="dpIncome_Rents_SummaryDetailB1_Table">'Rent Summary Detail'!$N$48:$V$88</definedName>
    <definedName name="dpIncome_Rents_SummaryDetailB2_Table">'Rent Summary Detail'!$Z$92:$AH$132</definedName>
    <definedName name="dpIncome_Rents_SummaryLight_Table">'Rent Summary Light'!$C$4:$X$10</definedName>
    <definedName name="dpIncome_Rents_SummaryLightB1_Table">'Rent Summary Light'!$AB$15:$AW$23</definedName>
    <definedName name="dpIncome_Rents_SummaryLightB2_Table">'Rent Summary Light'!$BA$27:$BV$35</definedName>
    <definedName name="dpIncome_RentTenantSize_Subject">'Rent Adjustments'!$F$64</definedName>
    <definedName name="dpIncome_RentTenantSize_Subject_1">'Rent Adjustments 1'!$F$64</definedName>
    <definedName name="dpIncome_RentTenantSize_Subject_2">'Rent Adjustments 2'!$F$64</definedName>
    <definedName name="dpIncome_RentTenantSizeMax">Narrative!$D$248</definedName>
    <definedName name="dpIncome_RentTenantSizeMax_Adjust">Narrative!$D$250</definedName>
    <definedName name="dpIncome_RentTenantSizeMin">Narrative!$D$247</definedName>
    <definedName name="dpIncome_RentTenantSizeMin_Adjust">Narrative!$D$249</definedName>
    <definedName name="dpIncome_RentTransAdjustment_1">'Rent Adjustments'!$D$27</definedName>
    <definedName name="dpIncome_RentTransAdjustment_1_1">'Rent Adjustments 1'!$D$27</definedName>
    <definedName name="dpIncome_RentTransAdjustment_1_2">'Rent Adjustments 2'!$D$27</definedName>
    <definedName name="dpIncome_RentTransAdjustment_2">'Rent Adjustments'!$D$33</definedName>
    <definedName name="dpIncome_RentTransAdjustment_2_1">'Rent Adjustments 1'!$D$33</definedName>
    <definedName name="dpIncome_RentTransAdjustment_2_2">'Rent Adjustments 2'!$D$33</definedName>
    <definedName name="dpIncome_RentTransAdjustment_3">'Rent Adjustments'!$D$36</definedName>
    <definedName name="dpIncome_RentTransAdjustment_3_1">'Rent Adjustments 1'!$D$36</definedName>
    <definedName name="dpIncome_RentTransAdjustment_3_2">'Rent Adjustments 2'!$D$36</definedName>
    <definedName name="dpIncome_RentUnitDisplay">'Selection Tables'!$AL$15</definedName>
    <definedName name="dpIncome_RentUnitDisplay_1">'Selection Tables'!$AM$15</definedName>
    <definedName name="dpIncome_RentUnitDisplay_2">'Selection Tables'!$AN$15</definedName>
    <definedName name="dpIncome_RentVacancyMax">Narrative!$E$255</definedName>
    <definedName name="dpIncome_RentVacancyMean">Narrative!$E$256</definedName>
    <definedName name="dpIncome_RentVacancyMin">Narrative!$E$254</definedName>
    <definedName name="dpIncome_RR_SurveyDate">'BOI Investor Surveys'!$H$42</definedName>
    <definedName name="dpIncome_SpaceCategory_MarketRent">'Selection Tables'!$AL$13</definedName>
    <definedName name="dpIncome_SpaceCategory_MarketRent_1">'Selection Tables'!$AM$13</definedName>
    <definedName name="dpIncome_SpaceCategory_MarketRent_2">'Selection Tables'!$AN$13</definedName>
    <definedName name="dpIncome_Spread_1to2">Narrative!$D$338</definedName>
    <definedName name="dpIncome_Spread_OARTerm">'BOI Investor Surveys'!$Q$101</definedName>
    <definedName name="dpIncome_StabilizedOccupancy">'Income Assumptions'!$F$6</definedName>
    <definedName name="dpIncome_StabilizedVacancy">'Income Assumptions'!$E$6</definedName>
    <definedName name="dpIncome_StabilizedVacancyCLoss">Narrative!$D$269</definedName>
    <definedName name="dpIncome_Subject_IE_History_Table">'Income Expense History'!$C$4:$T$76</definedName>
    <definedName name="dpIncome_TCat1_LeaseTable">'Rent Roll Breakdown'!$AB$63:$AG$267</definedName>
    <definedName name="dpIncome_TCat1_MonthsVacant">'Income Assumptions'!$W$50</definedName>
    <definedName name="dpIncome_TCat1_MonthsVacantTable">'Income Support'!$W$30:$AD$46</definedName>
    <definedName name="dpIncome_TCat1_NRA_Occupied">'Rent Roll Breakdown'!$AE$265</definedName>
    <definedName name="dpIncome_TCat1_NRA_Vacant">'Rent Roll Breakdown'!$AE$266</definedName>
    <definedName name="dpIncome_TCat1_RenewalProb_Avg">'BOI Investor Surveys'!$M$151</definedName>
    <definedName name="dpIncome_TCat1_RenewalProb_Max">'BOI Investor Surveys'!$L$151</definedName>
    <definedName name="dpIncome_TCat1_RenewalProb_Min">'BOI Investor Surveys'!$I$151</definedName>
    <definedName name="dpIncome_TCat1_WAContractRent">'Rent Roll Breakdown'!$AF$265</definedName>
    <definedName name="dpIncome_TCat1_WAContractSpeculativeRent">'Rent Roll Breakdown'!$AF$267</definedName>
    <definedName name="dpIncome_TCat2_LeaseTable">'Rent Roll Breakdown'!$AJ$271:$AO$475</definedName>
    <definedName name="dpIncome_TCat2_MonthsVacant">'Income Assumptions'!$W$51</definedName>
    <definedName name="dpIncome_TCat2_MonthsVacantTable">'Income Support'!$W$50:$AD$66</definedName>
    <definedName name="dpIncome_TCat2_NRA_Occupied">'Rent Roll Breakdown'!$AM$473</definedName>
    <definedName name="dpIncome_TCat2_NRA_Vacant">'Rent Roll Breakdown'!$AM$474</definedName>
    <definedName name="dpIncome_TCat2_WAContractRent">'Rent Roll Breakdown'!$AN$473</definedName>
    <definedName name="dpIncome_TCat2_WAContractSpeculativeRent">'Rent Roll Breakdown'!$AN$475</definedName>
    <definedName name="dpIncome_TCat3_LeaseTable">'Rent Roll Breakdown'!$AR$479:$AW$683</definedName>
    <definedName name="dpIncome_TCat3_MonthsVacant">'Income Assumptions'!$W$52</definedName>
    <definedName name="dpIncome_TCat3_MonthsVacantTable">'Income Support'!$W$70:$AD$86</definedName>
    <definedName name="dpIncome_TCat3_NRA_Occupied">'Rent Roll Breakdown'!$AU$681</definedName>
    <definedName name="dpIncome_TCat3_NRA_Vacant">'Rent Roll Breakdown'!$AU$682</definedName>
    <definedName name="dpIncome_TCat3_WAContractRent">'Rent Roll Breakdown'!$AV$681</definedName>
    <definedName name="dpIncome_TCat3_WAContractSpeculativeRent">'Rent Roll Breakdown'!$AV$683</definedName>
    <definedName name="dpIncome_TCat4_LeaseTable">'Rent Roll Breakdown'!$AZ$687:$BE$891</definedName>
    <definedName name="dpIncome_TCat4_MonthsVacant">'Income Assumptions'!$W$53</definedName>
    <definedName name="dpIncome_TCat4_MonthsVacantTable">'Income Support'!$W$90:$AD$106</definedName>
    <definedName name="dpIncome_TCat4_NRA_Occupied">'Rent Roll Breakdown'!$BC$889</definedName>
    <definedName name="dpIncome_TCat4_NRA_Vacant">'Rent Roll Breakdown'!$BC$890</definedName>
    <definedName name="dpIncome_TCat4_WAContractRent">'Rent Roll Breakdown'!$BD$889</definedName>
    <definedName name="dpIncome_TCat4_WAContractSpeculativeRent">'Rent Roll Breakdown'!$BD$891</definedName>
    <definedName name="dpIncome_TCat5_LeaseTable">'Rent Roll Breakdown'!$BH$895:$BM$1099</definedName>
    <definedName name="dpIncome_TCat5_MonthsVacant">'Income Assumptions'!$W$54</definedName>
    <definedName name="dpIncome_TCat5_MonthsVacantTable">'Income Support'!$W$110:$AD$126</definedName>
    <definedName name="dpIncome_TCat5_NRA_Occupied">'Rent Roll Breakdown'!$BK$1097</definedName>
    <definedName name="dpIncome_TCat5_NRA_Vacant">'Rent Roll Breakdown'!$BK$1098</definedName>
    <definedName name="dpIncome_TCat5_WAContractRent">'Rent Roll Breakdown'!$BL$1097</definedName>
    <definedName name="dpIncome_TCat5_WAContractSpeculativeRent">'Rent Roll Breakdown'!$BL$1099</definedName>
    <definedName name="dpIncome_TCat6_LeaseTable">'Rent Roll Breakdown'!$BP$1103:$BU$1307</definedName>
    <definedName name="dpIncome_TCat6_MonthsVacant">'Income Assumptions'!$W$55</definedName>
    <definedName name="dpIncome_TCat6_MonthsVacantTable">'Income Support'!$W$130:$AD$146</definedName>
    <definedName name="dpIncome_TCat6_NRA_Occupied">'Rent Roll Breakdown'!$BS$1305</definedName>
    <definedName name="dpIncome_TCat6_NRA_Vacant">'Rent Roll Breakdown'!$BS$1306</definedName>
    <definedName name="dpIncome_TCat6_WAContractRent">'Rent Roll Breakdown'!$BT$1305</definedName>
    <definedName name="dpIncome_TCat6_WAContractSpeculativeRent">'Rent Roll Breakdown'!$BT$1307</definedName>
    <definedName name="dpIncome_TCat7_LeaseTable">'Rent Roll Breakdown'!$BX$1311:$CC$1515</definedName>
    <definedName name="dpIncome_TCat7_MonthsVacant">'Income Assumptions'!$W$56</definedName>
    <definedName name="dpIncome_TCat7_MonthsVacantTable">'Income Support'!$W$150:$AD$166</definedName>
    <definedName name="dpIncome_TCat7_NRA_Occupied">'Rent Roll Breakdown'!$CA$1513</definedName>
    <definedName name="dpIncome_TCat7_NRA_Vacant">'Rent Roll Breakdown'!$CA$1514</definedName>
    <definedName name="dpIncome_TCat7_WAContractRent">'Rent Roll Breakdown'!$CB$1513</definedName>
    <definedName name="dpIncome_TCat7_WAContractSpeculativeRent">'Rent Roll Breakdown'!$CB$1515</definedName>
    <definedName name="dpIncome_TCat8_LeaseTable">'Rent Roll Breakdown'!$CF$1519:$CK$1723</definedName>
    <definedName name="dpIncome_TCat8_MonthsVacant">'Income Assumptions'!$W$57</definedName>
    <definedName name="dpIncome_TCat8_MonthsVacantTable">'Income Support'!$W$170:$AD$186</definedName>
    <definedName name="dpIncome_TCat8_NRA_Occupied">'Rent Roll Breakdown'!$CI$1721</definedName>
    <definedName name="dpIncome_TCat8_NRA_Vacant">'Rent Roll Breakdown'!$CI$1722</definedName>
    <definedName name="dpIncome_TCat8_WAContractRent">'Rent Roll Breakdown'!$CJ$1721</definedName>
    <definedName name="dpIncome_TCat8_WAContractSpeculativeRent">'Rent Roll Breakdown'!$CJ$1723</definedName>
    <definedName name="dpIncome_TenancyStatement">Narrative!$D$257</definedName>
    <definedName name="dpIncome_TenantCount">'Rent Roll'!$B$216</definedName>
    <definedName name="dpIncome_TerminalRate">'Income Assumptions'!$E$46</definedName>
    <definedName name="dpIncome_TI_New">Narrative!$D$332</definedName>
    <definedName name="dpIncome_TI_Renewal">Narrative!$D$333</definedName>
    <definedName name="dpIncome_Unit_Of_Measure_Rent">Subject!$D$167</definedName>
    <definedName name="dpIncome_UserDefinedIncome_Years">'Selection Tables'!$X$21</definedName>
    <definedName name="dpIncome_VacancyActual">'Income Assumptions'!$E$5</definedName>
    <definedName name="dpInsurable_IncurableLongCost_Percent">'Insurable Cost'!$G$38</definedName>
    <definedName name="dpInsurable_RCN_Total">'Insurable Cost'!$G$16</definedName>
    <definedName name="dpInsurable_Total">'Insurable Cost'!$G$34</definedName>
    <definedName name="dpIntro_IsAre">Narrative!$D$8</definedName>
    <definedName name="dpIntro_TaxAccounts">Narrative!$D$6</definedName>
    <definedName name="dpIntro_Users">Narrative!$D$7</definedName>
    <definedName name="dpLand_Adjustment_1">'Land Adjustments'!$D$65</definedName>
    <definedName name="dpLand_Adjustment_1_1">'Land Adjustments 1'!$D$65</definedName>
    <definedName name="dpLand_Adjustment_1_2">'Land Adjustments 2'!$D$65</definedName>
    <definedName name="dpLand_Adjustment_10">'Land Adjustments'!$D$123</definedName>
    <definedName name="dpLand_Adjustment_10_1">'Land Adjustments 1'!$D$123</definedName>
    <definedName name="dpLand_Adjustment_10_2">'Land Adjustments 2'!$D$123</definedName>
    <definedName name="dpLand_Adjustment_11">'Land Adjustments'!$D$129</definedName>
    <definedName name="dpLand_Adjustment_11_1">'Land Adjustments 1'!$D$129</definedName>
    <definedName name="dpLand_Adjustment_11_2">'Land Adjustments 2'!$D$129</definedName>
    <definedName name="dpLand_Adjustment_12">'Land Adjustments'!$D$135</definedName>
    <definedName name="dpLand_Adjustment_12_1">'Land Adjustments 1'!$D$135</definedName>
    <definedName name="dpLand_Adjustment_12_2">'Land Adjustments 2'!$D$135</definedName>
    <definedName name="dpLand_Adjustment_2">'Land Adjustments'!$D$72</definedName>
    <definedName name="dpLand_Adjustment_2_1">'Land Adjustments 1'!$D$72</definedName>
    <definedName name="dpLand_Adjustment_2_2">'Land Adjustments 2'!$D$72</definedName>
    <definedName name="dpLand_Adjustment_3">'Land Adjustments'!$D$79</definedName>
    <definedName name="dpLand_Adjustment_3_1">'Land Adjustments 1'!$D$79</definedName>
    <definedName name="dpLand_Adjustment_3_2">'Land Adjustments 2'!$D$79</definedName>
    <definedName name="dpLand_Adjustment_4">'Land Adjustments'!$D$85</definedName>
    <definedName name="dpLand_Adjustment_4_1">'Land Adjustments 1'!$D$85</definedName>
    <definedName name="dpLand_Adjustment_4_2">'Land Adjustments 2'!$D$85</definedName>
    <definedName name="dpLand_Adjustment_5">'Land Adjustments'!$D$91</definedName>
    <definedName name="dpLand_Adjustment_5_1">'Land Adjustments 1'!$D$91</definedName>
    <definedName name="dpLand_Adjustment_5_2">'Land Adjustments 2'!$D$91</definedName>
    <definedName name="dpLand_Adjustment_6">'Land Adjustments'!$D$99</definedName>
    <definedName name="dpLand_Adjustment_6_1">'Land Adjustments 1'!$D$99</definedName>
    <definedName name="dpLand_Adjustment_6_2">'Land Adjustments 2'!$D$99</definedName>
    <definedName name="dpLand_Adjustment_7">'Land Adjustments'!$D$105</definedName>
    <definedName name="dpLand_Adjustment_7_1">'Land Adjustments 1'!$D$105</definedName>
    <definedName name="dpLand_Adjustment_7_2">'Land Adjustments 2'!$D$105</definedName>
    <definedName name="dpLand_Adjustment_8">'Land Adjustments'!$D$111</definedName>
    <definedName name="dpLand_Adjustment_8_1">'Land Adjustments 1'!$D$111</definedName>
    <definedName name="dpLand_Adjustment_8_2">'Land Adjustments 2'!$D$111</definedName>
    <definedName name="dpLand_Adjustment_9">'Land Adjustments'!$D$117</definedName>
    <definedName name="dpLand_Adjustment_9_1">'Land Adjustments 1'!$D$117</definedName>
    <definedName name="dpLand_Adjustment_9_2">'Land Adjustments 2'!$D$117</definedName>
    <definedName name="dpLand_CompsCount">Narrative!$D$99</definedName>
    <definedName name="dpLand_Conclusion1">Narrative!$D$106</definedName>
    <definedName name="dpLand_Conclusion2">Narrative!$D$107</definedName>
    <definedName name="dpLand_ConditionsofSale_1">Narrative!$D$120</definedName>
    <definedName name="dpLand_ConditionsofSale_2">Narrative!$E$120</definedName>
    <definedName name="dpLand_ConditionsofSale_3">Narrative!$F$120</definedName>
    <definedName name="dpLand_ConditionsofSale_4">Narrative!$G$120</definedName>
    <definedName name="dpLand_ConditionsofSale_5">Narrative!$H$120</definedName>
    <definedName name="dpLand_ConditionsofSale_6">Narrative!$I$120</definedName>
    <definedName name="dpLand_ConditonsofSaleIntro">Narrative!$D$103</definedName>
    <definedName name="dpLand_Corner_1">Narrative!$D$125</definedName>
    <definedName name="dpLand_Corner_2">Narrative!$E$125</definedName>
    <definedName name="dpLand_Corner_3">Narrative!$F$125</definedName>
    <definedName name="dpLand_Corner_4">Narrative!$G$125</definedName>
    <definedName name="dpLand_Corner_5">Narrative!$H$125</definedName>
    <definedName name="dpLand_Corner_6">Narrative!$I$125</definedName>
    <definedName name="dpLand_DemolitionCost">'Land Adjustments'!$V$163</definedName>
    <definedName name="dpLand_DemolitionCost_1">'Land Adjustments 1'!$X$163</definedName>
    <definedName name="dpLand_DemolitionCost_2">'Land Adjustments 2'!$X$164</definedName>
    <definedName name="dpLand_DemolitionCost_Narrative">Narrative!$D$115</definedName>
    <definedName name="dpLand_DemolitionCost_Table">'Land Adjustments'!$AD$146:$AH$151</definedName>
    <definedName name="dpLand_DemolitionCost_Table_1">'Land Adjustments 1'!$AF$146:$AJ$151</definedName>
    <definedName name="dpLand_DemolitionCost_Table_2">'Land Adjustments 2'!$AF$146:$AJ$151</definedName>
    <definedName name="dpLand_DOV">'Land Adjustments'!$E$10</definedName>
    <definedName name="dpLand_DOV_1">'Land Adjustments 1'!$E$10</definedName>
    <definedName name="dpLand_DOV_2">'Land Adjustments 2'!$E$10</definedName>
    <definedName name="dpLand_ExcessSurplus?">Narrative!$D$114</definedName>
    <definedName name="dpLand_ExcessSurplus_LandValue">'Land Adjustments'!$V$174</definedName>
    <definedName name="dpLand_ExcessSurplus_LandValueUnit">'Land Adjustments'!$T$169</definedName>
    <definedName name="dpLand_ExcessSurplus_PrelimValue">'Land Adjustments'!$V$169</definedName>
    <definedName name="dpLand_ExcessSurplus_Size">'Land Adjustments'!$O$169</definedName>
    <definedName name="dpLand_ExcessSurplus_Statement">Narrative!$D$100</definedName>
    <definedName name="dpLand_ExpendituresAfterSale_1">Narrative!$D$121</definedName>
    <definedName name="dpLand_ExpendituresAfterSale_2">Narrative!$E$121</definedName>
    <definedName name="dpLand_ExpendituresAfterSale_3">Narrative!$F$121</definedName>
    <definedName name="dpLand_ExpendituresAfterSale_4">Narrative!$G$121</definedName>
    <definedName name="dpLand_ExpendituresAfterSale_5">Narrative!$H$121</definedName>
    <definedName name="dpLand_ExpendituresAfterSale_6">Narrative!$I$121</definedName>
    <definedName name="dpLand_ExpendituresAfterSaleIntro">Narrative!$D$104</definedName>
    <definedName name="dpLand_Final">Narrative!$D$108</definedName>
    <definedName name="dpLand_FinancingTerms_1">Narrative!$D$119</definedName>
    <definedName name="dpLand_FinancingTerms_2">Narrative!$E$119</definedName>
    <definedName name="dpLand_FinancingTerms_3">Narrative!$F$119</definedName>
    <definedName name="dpLand_FinancingTerms_4">Narrative!$G$119</definedName>
    <definedName name="dpLand_FinancingTerms_5">Narrative!$H$119</definedName>
    <definedName name="dpLand_FinancingTerms_6">Narrative!$I$119</definedName>
    <definedName name="dpLand_FinancingTermsIntro">Narrative!$D$102</definedName>
    <definedName name="dpLand_Floodplain_1">Narrative!$D$129</definedName>
    <definedName name="dpLand_Floodplain_2">Narrative!$E$129</definedName>
    <definedName name="dpLand_Floodplain_3">Narrative!$F$129</definedName>
    <definedName name="dpLand_Floodplain_4">Narrative!$G$129</definedName>
    <definedName name="dpLand_Floodplain_5">Narrative!$H$129</definedName>
    <definedName name="dpLand_Floodplain_6">Narrative!$I$129</definedName>
    <definedName name="dpLand_Frontage_1">Narrative!$D$126</definedName>
    <definedName name="dpLand_Frontage_2">Narrative!$E$126</definedName>
    <definedName name="dpLand_Frontage_3">Narrative!$F$126</definedName>
    <definedName name="dpLand_Frontage_4">Narrative!$G$126</definedName>
    <definedName name="dpLand_Frontage_5">Narrative!$H$126</definedName>
    <definedName name="dpLand_Frontage_6">Narrative!$I$126</definedName>
    <definedName name="dpLand_Location_1">Narrative!$D$122</definedName>
    <definedName name="dpLand_Location_2">Narrative!$E$122</definedName>
    <definedName name="dpLand_Location_3">Narrative!$F$122</definedName>
    <definedName name="dpLand_Location_4">Narrative!$G$122</definedName>
    <definedName name="dpLand_Location_5">Narrative!$H$122</definedName>
    <definedName name="dpLand_Location_6">Narrative!$I$122</definedName>
    <definedName name="dpLand_MktCondAdj1">'Land Adjustments'!$O$60</definedName>
    <definedName name="dpLand_MktCondAdj1_1">'Land Adjustments 1'!$Q$60</definedName>
    <definedName name="dpLand_MktCondAdj1_2">'Land Adjustments 2'!$Q$60</definedName>
    <definedName name="dpLand_MktCondAdj2">'Land Adjustments'!$O$61</definedName>
    <definedName name="dpLand_MktCondAdj2_1">'Land Adjustments 1'!$Q$61</definedName>
    <definedName name="dpLand_MktCondAdj2_2">'Land Adjustments 2'!$Q$61</definedName>
    <definedName name="dpLand_MktCondDate1">'Land Adjustments'!$E$60</definedName>
    <definedName name="dpLand_MktCondDate1_1">'Land Adjustments 1'!$E$60</definedName>
    <definedName name="dpLand_MktCondDate1_2">'Land Adjustments 2'!$E$60</definedName>
    <definedName name="dpLand_MktCondDate2">'Land Adjustments'!$E$61</definedName>
    <definedName name="dpLand_MktCondDate2_1">'Land Adjustments 1'!$E$61</definedName>
    <definedName name="dpLand_MktCondDate2_2">'Land Adjustments 2'!$E$61</definedName>
    <definedName name="dpLand_MostComparable">'Land Adjustments'!$A$9</definedName>
    <definedName name="dpLand_MostComparable_1">'Land Adjustments 1'!$A$9</definedName>
    <definedName name="dpLand_MostComparable_2">'Land Adjustments 2'!$A$9</definedName>
    <definedName name="dpLand_MostComparable_AdjustedPrice">Narrative!$D$109</definedName>
    <definedName name="dpLand_MostComparable_AdjustedPrice_1">Narrative!$E$109</definedName>
    <definedName name="dpLand_MostComparable_AdjustedPrice_2">Narrative!$F$109</definedName>
    <definedName name="dpLand_PreliminaryPrimary?">Narrative!$D$112</definedName>
    <definedName name="dpLand_PreliminarySecondary?">Narrative!$D$113</definedName>
    <definedName name="dpLand_Primary_PreliminaryValue">'Land Adjustments'!$V$162</definedName>
    <definedName name="dpLand_Primary_PreliminaryValue_1">'Land Adjustments 1'!$X$162</definedName>
    <definedName name="dpLand_Primary_PreliminaryValue_2">'Land Adjustments 2'!$X$162</definedName>
    <definedName name="dpLand_PrimaryLandValue">'Land Adjustments'!$V$167</definedName>
    <definedName name="dpLand_PrimaryLandValue_1">'Land Adjustments 1'!$X$167</definedName>
    <definedName name="dpLand_PrimaryLandValue_2">'Land Adjustments 2'!$X$168</definedName>
    <definedName name="dpLand_PrimaryLandValueUnit">'Land Adjustments'!$T$162</definedName>
    <definedName name="dpLand_PrimaryLandValueUnit_1">'Land Adjustments 1'!$V$162</definedName>
    <definedName name="dpLand_PrimaryLandValueUnit_2">'Land Adjustments 2'!$V$162</definedName>
    <definedName name="dpLand_PropertyRights_1">Narrative!$D$118</definedName>
    <definedName name="dpLand_PropertyRights_2">Narrative!$E$118</definedName>
    <definedName name="dpLand_PropertyRights_3">Narrative!$F$118</definedName>
    <definedName name="dpLand_PropertyRights_4">Narrative!$G$118</definedName>
    <definedName name="dpLand_PropertyRights_5">Narrative!$H$118</definedName>
    <definedName name="dpLand_PropertyRights_6">Narrative!$I$118</definedName>
    <definedName name="dpLand_PropertyRightsIntro">Narrative!$D$101</definedName>
    <definedName name="dpLand_QualitativeQuantitative?">Narrative!$D$105</definedName>
    <definedName name="dpLand_Sales_Comp_Approach_Table">'Land Adjustments'!$C$7:$J$143</definedName>
    <definedName name="dpLand_Sales_Comp_Approach_Table_1">'Land Adjustments 1'!$C$7:$L$143</definedName>
    <definedName name="dpLand_Sales_Comp_Approach_Table_2">'Land Adjustments 2'!$C$7:$L$143</definedName>
    <definedName name="dpLand_Sales_Statistics_Table">'Land Adjustments'!$N$146:$W$151</definedName>
    <definedName name="dpLand_Sales_Statistics_Table_1">'Land Adjustments 1'!$P$146:$Y$151</definedName>
    <definedName name="dpLand_Sales_Statistics_Table_2">'Land Adjustments 2'!$P$146:$Y$151</definedName>
    <definedName name="dpLand_Sales_SummaryDetail_Table">'Land Summary Detailed'!$C$4:$I$61</definedName>
    <definedName name="dpLand_Sales_SummaryDetailB1_Table">'Land Summary Detailed'!$M$65:$U$122</definedName>
    <definedName name="dpLand_Sales_SummaryDetailB2_Table">'Land Summary Detailed'!$Y$126:$AG$183</definedName>
    <definedName name="dpLand_Sales_SummaryLight_Table">'Land Summary Light'!$C$4:$AA$10</definedName>
    <definedName name="dpLand_Sales_SummaryLightB1_Table">'Land Summary Light'!$AE$15:$BC$23</definedName>
    <definedName name="dpLand_Sales_SummaryLightB2_Table">'Land Summary Light'!$BG$28:$CE$36</definedName>
    <definedName name="dpLand_Sales_Value_Table_1">'Land Adjustments 1'!$P$156:$Y$167</definedName>
    <definedName name="dpLand_Sales_Value_Table_2">'Land Adjustments 2'!$P$156:$Y$169</definedName>
    <definedName name="dpLand_Sales_ValueAlt_Table">'Land Adjustments'!$N$178:$W$192</definedName>
    <definedName name="dpLand_Sales_ValueAlt_Table_1">'Land Adjustments 1'!$P$171:$Y$185</definedName>
    <definedName name="dpLand_Sales_ValueAlt_Table_2">'Land Adjustments 2'!$P$173:$Y$187</definedName>
    <definedName name="dpLand_Sales_ValueConclusion_Table">'Land Adjustments'!$N$156:$W$174</definedName>
    <definedName name="dpLand_Shape_1">Narrative!$D$124</definedName>
    <definedName name="dpLand_Shape_2">Narrative!$E$124</definedName>
    <definedName name="dpLand_Shape_3">Narrative!$F$124</definedName>
    <definedName name="dpLand_Shape_4">Narrative!$G$124</definedName>
    <definedName name="dpLand_Shape_5">Narrative!$H$124</definedName>
    <definedName name="dpLand_Shape_6">Narrative!$I$124</definedName>
    <definedName name="dpLand_Size_1">Narrative!$D$123</definedName>
    <definedName name="dpLand_Size_2">Narrative!$E$123</definedName>
    <definedName name="dpLand_Size_3">Narrative!$F$123</definedName>
    <definedName name="dpLand_Size_4">Narrative!$G$123</definedName>
    <definedName name="dpLand_Size_5">Narrative!$H$123</definedName>
    <definedName name="dpLand_Size_6">Narrative!$I$123</definedName>
    <definedName name="dpLand_SizeAdjRange_Statement">Narrative!$D$111</definedName>
    <definedName name="dpLand_SizeFactor">'Land Adjustments'!$O$75</definedName>
    <definedName name="dpLand_SizeFactor_1">'Land Adjustments 1'!$Q$75</definedName>
    <definedName name="dpLand_SizeFactor_2">'Land Adjustments 2'!$Q$75</definedName>
    <definedName name="dpLand_SizeRange_Statement">Narrative!$D$110</definedName>
    <definedName name="dpLand_Topography_1">Narrative!$D$128</definedName>
    <definedName name="dpLand_Topography_2">Narrative!$E$128</definedName>
    <definedName name="dpLand_Topography_3">Narrative!$F$128</definedName>
    <definedName name="dpLand_Topography_4">Narrative!$G$128</definedName>
    <definedName name="dpLand_Topography_5">Narrative!$H$128</definedName>
    <definedName name="dpLand_Topography_6">Narrative!$I$128</definedName>
    <definedName name="dpLand_TractNameB1">'Selection Tables'!$F$19</definedName>
    <definedName name="dpLand_TractNameB2">'Selection Tables'!$F$20</definedName>
    <definedName name="dpLand_TrafficCounts_1">Narrative!$D$131</definedName>
    <definedName name="dpLand_TrafficCounts_2">Narrative!$E$131</definedName>
    <definedName name="dpLand_TrafficCounts_3">Narrative!$F$131</definedName>
    <definedName name="dpLand_TrafficCounts_4">Narrative!$G$131</definedName>
    <definedName name="dpLand_TrafficCounts_5">Narrative!$H$131</definedName>
    <definedName name="dpLand_TrafficCounts_6">Narrative!$I$131</definedName>
    <definedName name="dpLand_TransAdjustment_1">'Land Adjustments'!$D$33</definedName>
    <definedName name="dpLand_TransAdjustment_1_1">'Land Adjustments 1'!$D$33</definedName>
    <definedName name="dpLand_TransAdjustment_1_2">'Land Adjustments 2'!$D$33</definedName>
    <definedName name="dpLand_TransAdjustment_2">'Land Adjustments'!$D$40</definedName>
    <definedName name="dpLand_TransAdjustment_2_1">'Land Adjustments 1'!$D$40</definedName>
    <definedName name="dpLand_TransAdjustment_2_2">'Land Adjustments 2'!$D$40</definedName>
    <definedName name="dpLand_TransAdjustment_3">'Land Adjustments'!$D$47</definedName>
    <definedName name="dpLand_TransAdjustment_3_1">'Land Adjustments 1'!$D$47</definedName>
    <definedName name="dpLand_TransAdjustment_3_2">'Land Adjustments 2'!$D$47</definedName>
    <definedName name="dpLand_TransAdjustment_4">'Land Adjustments'!$D$54</definedName>
    <definedName name="dpLand_TransAdjustment_4_1">'Land Adjustments 1'!$D$54</definedName>
    <definedName name="dpLand_TransAdjustment_4_2">'Land Adjustments 2'!$D$54</definedName>
    <definedName name="dpLand_UserDefined1_1">Narrative!$D$132</definedName>
    <definedName name="dpLand_UserDefined1_2">Narrative!$E$132</definedName>
    <definedName name="dpLand_UserDefined1_3">Narrative!$F$132</definedName>
    <definedName name="dpLand_UserDefined1_4">Narrative!$G$132</definedName>
    <definedName name="dpLand_UserDefined1_5">Narrative!$H$132</definedName>
    <definedName name="dpLand_UserDefined1_6">Narrative!$I$132</definedName>
    <definedName name="dpLand_UserDefined2_1">Narrative!$D$133</definedName>
    <definedName name="dpLand_UserDefined2_2">Narrative!$E$133</definedName>
    <definedName name="dpLand_UserDefined2_3">Narrative!$F$133</definedName>
    <definedName name="dpLand_UserDefined2_4">Narrative!$G$133</definedName>
    <definedName name="dpLand_UserDefined2_5">Narrative!$H$133</definedName>
    <definedName name="dpLand_UserDefined2_6">Narrative!$I$133</definedName>
    <definedName name="dpLand_UserDefinedAdj1">'Land Adjustments'!$V$164</definedName>
    <definedName name="dpLand_UserDefinedAdj1_1">'Land Adjustments 1'!$X$164</definedName>
    <definedName name="dpLand_UserDefinedAdj1_2">'Land Adjustments 2'!$X$165</definedName>
    <definedName name="dpLand_UserDefinedAdj2">'Land Adjustments'!$V$165</definedName>
    <definedName name="dpLand_UserDefinedAdj2_1">'Land Adjustments 1'!$X$165</definedName>
    <definedName name="dpLand_UserDefinedAdj2_2">'Land Adjustments 2'!$X$166</definedName>
    <definedName name="dpLand_UserDefinedAdj3">'Land Adjustments'!$V$166</definedName>
    <definedName name="dpLand_UserDefinedAdj3_1">'Land Adjustments 1'!$X$166</definedName>
    <definedName name="dpLand_UserDefinedAdj3_2">'Land Adjustments 2'!$X$167</definedName>
    <definedName name="dpLand_Utilities_1">Narrative!$D$127</definedName>
    <definedName name="dpLand_Utilities_2">Narrative!$E$127</definedName>
    <definedName name="dpLand_Utilities_3">Narrative!$F$127</definedName>
    <definedName name="dpLand_Utilities_4">Narrative!$G$127</definedName>
    <definedName name="dpLand_Utilities_5">Narrative!$H$127</definedName>
    <definedName name="dpLand_Utilities_6">Narrative!$I$127</definedName>
    <definedName name="dpLand_Zoning_1">Narrative!$D$130</definedName>
    <definedName name="dpLand_Zoning_2">Narrative!$E$130</definedName>
    <definedName name="dpLand_Zoning_3">Narrative!$F$130</definedName>
    <definedName name="dpLand_Zoning_4">Narrative!$G$130</definedName>
    <definedName name="dpLand_Zoning_5">Narrative!$H$130</definedName>
    <definedName name="dpLand_Zoning_6">Narrative!$I$130</definedName>
    <definedName name="dpMarket_Area_Population_ESRI">RegionalESRI!$E$3:$L$12</definedName>
    <definedName name="dpMarket_Area_Population_LBX">RegionalLBX!$F$3:$M$10</definedName>
    <definedName name="dpMarketStudy_Absorb_1Yr_1A">Narrative!$G$35</definedName>
    <definedName name="dpMarketStudy_Absorb_1Yr_1B">Narrative!$G$40</definedName>
    <definedName name="dpMarketStudy_Absorb_1Yr_2A">Narrative!$G$47</definedName>
    <definedName name="dpMarketStudy_Absorb_1Yr_2B">Narrative!$G$52</definedName>
    <definedName name="dpMarketStudy_AbsorbSign_1Yr_1A">Narrative!$G$36</definedName>
    <definedName name="dpMarketStudy_AbsorbSign_1Yr_1B">Narrative!$G$41</definedName>
    <definedName name="dpMarketStudy_AbsorbSign_1Yr_2A">Narrative!$G$48</definedName>
    <definedName name="dpMarketStudy_AbsorbSign_1Yr_2B">Narrative!$G$53</definedName>
    <definedName name="dpMarketStudy_Bldg_1A">Narrative!$H$35</definedName>
    <definedName name="dpMarketStudy_Bldg_1B">Narrative!$H$40</definedName>
    <definedName name="dpMarketStudy_Bldg_2A">Narrative!$H$47</definedName>
    <definedName name="dpMarketStudy_Bldg_2B">Narrative!$H$52</definedName>
    <definedName name="dpMarketStudy_Construction_1A">Narrative!$I$35</definedName>
    <definedName name="dpMarketStudy_Construction_1B">Narrative!$I$40</definedName>
    <definedName name="dpMarketStudy_Construction_2A">Narrative!$I$47</definedName>
    <definedName name="dpMarketStudy_Construction_2B">Narrative!$I$52</definedName>
    <definedName name="dpMarketStudy_ConstructionRatio_1A">Narrative!$I$36</definedName>
    <definedName name="dpMarketStudy_ConstructionRatio_1B">Narrative!$I$41</definedName>
    <definedName name="dpMarketStudy_ConstructionRatio_2A">Narrative!$I$48</definedName>
    <definedName name="dpMarketStudy_ConstructionRatio_2B">Narrative!$I$53</definedName>
    <definedName name="dpMarketStudy_ConstructionShare_1">Narrative!$I$42</definedName>
    <definedName name="dpMarketStudy_ConstructionShare_2">Narrative!$I$54</definedName>
    <definedName name="dpMarketStudy_DataSet_Inventory_1A">'Selection Tables'!$J$40</definedName>
    <definedName name="dpMarketStudy_DataSet_Inventory_1B">'Selection Tables'!$J$41</definedName>
    <definedName name="dpMarketStudy_DataSet_Inventory_2A">'Selection Tables'!$J$42</definedName>
    <definedName name="dpMarketStudy_DataSet_Inventory_2B">'Selection Tables'!$J$43</definedName>
    <definedName name="dpMarketStudy_DataSet_Rent_1A">'Selection Tables'!$J$48</definedName>
    <definedName name="dpMarketStudy_DataSet_Rent_1B">'Selection Tables'!$J$49</definedName>
    <definedName name="dpMarketStudy_DataSet_Rent_2A">'Selection Tables'!$J$50</definedName>
    <definedName name="dpMarketStudy_DataSet_Rent_2B">'Selection Tables'!$J$51</definedName>
    <definedName name="dpMarketStudy_DataSet_Vacancy_1A">'Selection Tables'!$J$44</definedName>
    <definedName name="dpMarketStudy_DataSet_Vacancy_1B">'Selection Tables'!$J$45</definedName>
    <definedName name="dpMarketStudy_DataSet_Vacancy_2A">'Selection Tables'!$J$46</definedName>
    <definedName name="dpMarketStudy_DataSet_Vacancy_2B">'Selection Tables'!$J$47</definedName>
    <definedName name="dpMarketStudy_Deliver_1Yr_1A">Narrative!$G$37</definedName>
    <definedName name="dpMarketStudy_Deliver_1Yr_1B">Narrative!$G$42</definedName>
    <definedName name="dpMarketStudy_Deliver_1Yr_2A">Narrative!$G$49</definedName>
    <definedName name="dpMarketStudy_Deliver_1Yr_2B">Narrative!$G$54</definedName>
    <definedName name="dpMarketStudy_Inventory_Current_1A">Narrative!$H$36</definedName>
    <definedName name="dpMarketStudy_Inventory_Current_1B">Narrative!$H$41</definedName>
    <definedName name="dpMarketStudy_Inventory_Current_2A">Narrative!$H$48</definedName>
    <definedName name="dpMarketStudy_Inventory_Current_2B">Narrative!$H$53</definedName>
    <definedName name="dpMarketStudy_Inventory_Location_1A">'Selection Tables'!$K$40</definedName>
    <definedName name="dpMarketStudy_Inventory_Location_1B">'Selection Tables'!$K$41</definedName>
    <definedName name="dpMarketStudy_Inventory_Location_2A">'Selection Tables'!$K$42</definedName>
    <definedName name="dpMarketStudy_Inventory_Location_2B">'Selection Tables'!$K$43</definedName>
    <definedName name="dpMarketStudy_Inventory_Property_1A">'Selection Tables'!$L$40</definedName>
    <definedName name="dpMarketStudy_Inventory_Property_1B">'Selection Tables'!$L$41</definedName>
    <definedName name="dpMarketStudy_Inventory_Property_2A">'Selection Tables'!$L$42</definedName>
    <definedName name="dpMarketStudy_Inventory_Property_2B">'Selection Tables'!$L$43</definedName>
    <definedName name="dpMarketStudy_Inventory_Table_1">'MS Charts'!$L$6:$T$20</definedName>
    <definedName name="dpMarketStudy_Inventory_Table_2">'MS Charts'!$X$6:$AF$20</definedName>
    <definedName name="dpMarketStudy_Inventory_Title_1">'MS Charts'!$T$22</definedName>
    <definedName name="dpMarketStudy_Inventory_Title_2">'MS Charts'!$AF$22</definedName>
    <definedName name="dpMarketStudy_InventoryRatio_1">Narrative!$H$42</definedName>
    <definedName name="dpMarketStudy_InventoryRatio_2">Narrative!$H$54</definedName>
    <definedName name="dpMarketStudy_MetroTable">'Market Study'!$C$12:$P$37</definedName>
    <definedName name="dpMarketStudy_PropertySubType">'MS Charts'!$E$6</definedName>
    <definedName name="dpMarketStudy_PropertyType">'MS Charts'!$E$5</definedName>
    <definedName name="dpMarketStudy_Qtr_Compare">Narrative!$D$31</definedName>
    <definedName name="dpMarketStudy_Qtr_Current">Narrative!$D$30</definedName>
    <definedName name="dpMarketStudy_Rent_Current_1A">Narrative!$D$35</definedName>
    <definedName name="dpMarketStudy_Rent_Current_1B">Narrative!$D$40</definedName>
    <definedName name="dpMarketStudy_Rent_Current_2A">Narrative!$D$47</definedName>
    <definedName name="dpMarketStudy_Rent_Current_2B">Narrative!$D$52</definedName>
    <definedName name="dpMarketStudy_Rent_Location_1A">'Selection Tables'!$K$48</definedName>
    <definedName name="dpMarketStudy_Rent_Location_1B">'Selection Tables'!$K$49</definedName>
    <definedName name="dpMarketStudy_Rent_Location_2A">'Selection Tables'!$K$50</definedName>
    <definedName name="dpMarketStudy_Rent_Location_2B">'Selection Tables'!$K$51</definedName>
    <definedName name="dpMarketStudy_Rent_Prior_1A">Narrative!$D$36</definedName>
    <definedName name="dpMarketStudy_Rent_Prior_1B">Narrative!$D$41</definedName>
    <definedName name="dpMarketStudy_Rent_Prior_2A">Narrative!$D$48</definedName>
    <definedName name="dpMarketStudy_Rent_Prior_2B">Narrative!$D$53</definedName>
    <definedName name="dpMarketStudy_Rent_Property_1A">'Selection Tables'!$L$48</definedName>
    <definedName name="dpMarketStudy_Rent_Property_1B">'Selection Tables'!$L$49</definedName>
    <definedName name="dpMarketStudy_Rent_Property_2A">'Selection Tables'!$L$50</definedName>
    <definedName name="dpMarketStudy_Rent_Property_2B">'Selection Tables'!$L$51</definedName>
    <definedName name="dpMarketStudy_Rent_Table_1">'MS Charts'!$C$25:$J$31</definedName>
    <definedName name="dpMarketStudy_Rent_Table_2">'MS Charts'!$C$38:$J$44</definedName>
    <definedName name="dpMarketStudy_Rent_Title_1">'MS Charts'!$M$24</definedName>
    <definedName name="dpMarketStudy_Rent_Title_2">'MS Charts'!$M$37</definedName>
    <definedName name="dpMarketStudy_Rent_Trend_1A">Narrative!$D$37</definedName>
    <definedName name="dpMarketStudy_Rent_Trend_1B">Narrative!$D$42</definedName>
    <definedName name="dpMarketStudy_Rent_Trend_2A">Narrative!$D$49</definedName>
    <definedName name="dpMarketStudy_Rent_Trend_2B">Narrative!$D$54</definedName>
    <definedName name="dpMarketStudy_Rent_TrendComp_1">Narrative!$E$46</definedName>
    <definedName name="dpMarketStudy_Rent_TrendComp_2">Narrative!$E$56</definedName>
    <definedName name="dpMarketStudy_Rent_TrendNarrative_1A">Narrative!$D$38</definedName>
    <definedName name="dpMarketStudy_Rent_TrendNarrative_1B">Narrative!$D$43</definedName>
    <definedName name="dpMarketStudy_Rent_TrendNarrative_2A">Narrative!$D$50</definedName>
    <definedName name="dpMarketStudy_Rent_TrendNarrative_2B">Narrative!$D$55</definedName>
    <definedName name="dpMarketStudy_Rent_Variance_1">Narrative!$D$46</definedName>
    <definedName name="dpMarketStudy_Rent_Variance_2">Narrative!$D$56</definedName>
    <definedName name="dpMarketStudy_RentStructure_1A">Narrative!$D$32</definedName>
    <definedName name="dpMarketStudy_RentStructure_1B">Narrative!$E$32</definedName>
    <definedName name="dpMarketStudy_RentStructure_2A">Narrative!$D$33</definedName>
    <definedName name="dpMarketStudy_RentStructure_2B">Narrative!$E$33</definedName>
    <definedName name="dpMarketStudy_SubmarketTable">'Market Study'!$C$41:$P$66</definedName>
    <definedName name="dpMarketStudy_Vacancy_Current_1A">Narrative!$F$35</definedName>
    <definedName name="dpMarketStudy_Vacancy_Current_1B">Narrative!$F$40</definedName>
    <definedName name="dpMarketStudy_Vacancy_Current_2A">Narrative!$F$47</definedName>
    <definedName name="dpMarketStudy_Vacancy_Current_2B">Narrative!$F$52</definedName>
    <definedName name="dpMarketStudy_Vacancy_Location_1A">'Selection Tables'!$K$44</definedName>
    <definedName name="dpMarketStudy_Vacancy_Location_1B">'Selection Tables'!$K$45</definedName>
    <definedName name="dpMarketStudy_Vacancy_Location_2A">'Selection Tables'!$K$46</definedName>
    <definedName name="dpMarketStudy_Vacancy_Location_2B">'Selection Tables'!$K$47</definedName>
    <definedName name="dpMarketStudy_Vacancy_Prior_1A">Narrative!$F$36</definedName>
    <definedName name="dpMarketStudy_Vacancy_Prior_1B">Narrative!$F$41</definedName>
    <definedName name="dpMarketStudy_Vacancy_Prior_2A">Narrative!$F$48</definedName>
    <definedName name="dpMarketStudy_Vacancy_Prior_2B">Narrative!$F$53</definedName>
    <definedName name="dpMarketStudy_Vacancy_Property_1A">'Selection Tables'!$L$44</definedName>
    <definedName name="dpMarketStudy_Vacancy_Property_1B">'Selection Tables'!$L$45</definedName>
    <definedName name="dpMarketStudy_Vacancy_Property_2A">'Selection Tables'!$L$46</definedName>
    <definedName name="dpMarketStudy_Vacancy_Property_2B">'Selection Tables'!$L$47</definedName>
    <definedName name="dpMarketStudy_Vacancy_Table_1">'MS Charts'!$C$51:$J$59</definedName>
    <definedName name="dpMarketStudy_Vacancy_Table_2">'MS Charts'!$C$64:$J$72</definedName>
    <definedName name="dpMarketStudy_Vacancy_Title_1">'MS Charts'!$M$50</definedName>
    <definedName name="dpMarketStudy_Vacancy_Title_2">'MS Charts'!$M$63</definedName>
    <definedName name="dpMarketStudy_Vacancy_TrendNarrative_1A">Narrative!$F$38</definedName>
    <definedName name="dpMarketStudy_Vacancy_TrendNarrative_1B">Narrative!$F$43</definedName>
    <definedName name="dpMarketStudy_Vacancy_TrendNarrative_2A">Narrative!$F$50</definedName>
    <definedName name="dpMarketStudy_Vacancy_TrendNarrative_2B">Narrative!$F$55</definedName>
    <definedName name="dpMarketStudy_Vacancy_Variance_1">Narrative!$F$46</definedName>
    <definedName name="dpMarketStudy_Vacancy_Variance_2">Narrative!$F$58</definedName>
    <definedName name="dpMarketStudy_Vacancy_VarianceNarrative_1A">Narrative!$F$45</definedName>
    <definedName name="dpMarketStudy_Vacancy_VarianceNarrative_1B">Narrative!$F$57</definedName>
    <definedName name="dpMaximum_Adjusted_Land_Price_Per">'Land Adjustments'!$V$149</definedName>
    <definedName name="dpMaximum_Adjusted_Land_Price_Per_1">'Land Adjustments 1'!$X$149</definedName>
    <definedName name="dpMaximum_Adjusted_Land_Price_Per_2">'Land Adjustments 2'!$X$149</definedName>
    <definedName name="dpMaximum_Unadjusted_Land_Price_Per">'Land Adjustments'!$R$149</definedName>
    <definedName name="dpMaximum_Unadjusted_Land_Price_Per_1">'Land Adjustments 1'!$T$149</definedName>
    <definedName name="dpMaximum_Unadjusted_Land_Price_Per_2">'Land Adjustments 2'!$T$149</definedName>
    <definedName name="dpMean_Adjusted_Land_Price_Per">'Land Adjustments'!$V$151</definedName>
    <definedName name="dpMean_Adjusted_Land_Price_Per_1">'Land Adjustments 1'!$X$151</definedName>
    <definedName name="dpMean_Adjusted_Land_Price_Per_2">'Land Adjustments 2'!$X$151</definedName>
    <definedName name="dpMean_Adjusted_Price_Per_SF">'Improved Sales Adjustments'!$T$156</definedName>
    <definedName name="dpMean_Adjusted_Price_Per_SF_1">'Improved Sales Adjustments 1'!$V$156</definedName>
    <definedName name="dpMean_Adjusted_Price_Per_SF_2">'Improved Sales Adjustments 2'!$U$156</definedName>
    <definedName name="dpMean_Unadjusted_Land_Price_Per">'Land Adjustments'!$R$151</definedName>
    <definedName name="dpMean_Unadjusted_Land_Price_Per_1">'Land Adjustments 1'!$T$151</definedName>
    <definedName name="dpMean_Unadjusted_Land_Price_Per_2">'Land Adjustments 2'!$T$151</definedName>
    <definedName name="dpMean_Unadjusted_Price_Per_SF">'Improved Sales Adjustments'!$R$156</definedName>
    <definedName name="dpMean_Unadjusted_Price_Per_SF_1">'Improved Sales Adjustments 1'!$T$156</definedName>
    <definedName name="dpMean_Unadjusted_Price_Per_SF_2">'Improved Sales Adjustments 2'!$S$156</definedName>
    <definedName name="dpMedian_Adjusted_Land_Price_Per">'Land Adjustments'!$V$150</definedName>
    <definedName name="dpMedian_Adjusted_Land_Price_Per_1">'Land Adjustments 1'!$X$150</definedName>
    <definedName name="dpMedian_Adjusted_Land_Price_Per_2">'Land Adjustments 2'!$X$150</definedName>
    <definedName name="dpMedian_Adjusted_Price_Per_SF">'Improved Sales Adjustments'!$T$155</definedName>
    <definedName name="dpMedian_Adjusted_Price_Per_SF_1">'Improved Sales Adjustments 1'!$V$155</definedName>
    <definedName name="dpMedian_Adjusted_Price_Per_SF_2">'Improved Sales Adjustments 2'!$U$155</definedName>
    <definedName name="dpMedian_Househould_Income_ESRI">RegionalESRI!$P$16:$U$25</definedName>
    <definedName name="dpMedian_Househould_Income_LBX">RegionalLBX!$Q$14:$V$21</definedName>
    <definedName name="dpMedian_Unadjusted_Land_Price_Per">'Land Adjustments'!$R$150</definedName>
    <definedName name="dpMedian_Unadjusted_Land_Price_Per_1">'Land Adjustments 1'!$T$150</definedName>
    <definedName name="dpMedian_Unadjusted_Land_Price_Per_2">'Land Adjustments 2'!$T$150</definedName>
    <definedName name="dpMedian_Unadjusted_Price_Per_SF">'Improved Sales Adjustments'!$R$155</definedName>
    <definedName name="dpMedian_Unadjusted_Price_Per_SF_1">'Improved Sales Adjustments 1'!$T$155</definedName>
    <definedName name="dpMedian_Unadjusted_Price_Per_SF_2">'Improved Sales Adjustments 2'!$S$155</definedName>
    <definedName name="dpMinimum_Adjusted_Land_Price_Per">'Land Adjustments'!$V$148</definedName>
    <definedName name="dpMinimum_Adjusted_Land_Price_Per_1">'Land Adjustments 1'!$X$148</definedName>
    <definedName name="dpMinimum_Adjusted_Land_Price_Per_2">'Land Adjustments 2'!$X$148</definedName>
    <definedName name="dpMinimum_Unadjusted_Land_Price_Per">'Land Adjustments'!$R$148</definedName>
    <definedName name="dpMinimum_Unadjusted_Land_Price_Per_1">'Land Adjustments 1'!$T$148</definedName>
    <definedName name="dpMinimum_Unadjusted_Land_Price_Per_2">'Land Adjustments 2'!$T$148</definedName>
    <definedName name="dpNeighborhood_Demos_Table_1_ESRI">NeighborhoodESRI!$C$4:$H$27</definedName>
    <definedName name="dpNeighborhood_Demos_Table_1_LBX">NeighborhoodLBX!$C$4:$H$27</definedName>
    <definedName name="dpNeighborhood_Demos_Table_2_ESRI">NeighborhoodESRI!$C$31:$H$52</definedName>
    <definedName name="dpNeighborhood_Demos_Table_2_LBX">NeighborhoodLBX!$C$31:$H$52</definedName>
    <definedName name="dpNeighborhood_Demos_Table_3_LBX">NeighborhoodLBX!$C$56:$H$71</definedName>
    <definedName name="dpNeighborhood_Demos_Table_4_LBX">NeighborhoodLBX!$C$75:$H$89</definedName>
    <definedName name="dpNeighborhood_Demos_Table_5_LBX">NeighborhoodLBX!$C$93:$H$110</definedName>
    <definedName name="dpNeighborhood_HH_Current_All_1">NeighborhoodLBX!$E$38</definedName>
    <definedName name="dpNeighborhood_HH_Current_All_2">Narrative!$D$25</definedName>
    <definedName name="dpNeighborhood_HH_Current_All_3">NeighborhoodLBX!$G$38</definedName>
    <definedName name="dpNeighborhood_HH_Current_Owner_1">NeighborhoodLBX!$E$39</definedName>
    <definedName name="dpNeighborhood_HH_Current_Owner_2">NeighborhoodLBX!$F$39</definedName>
    <definedName name="dpNeighborhood_HH_Current_Owner_3">NeighborhoodLBX!$G$39</definedName>
    <definedName name="dpNeighborhood_HH_Current_Renter_1">NeighborhoodLBX!$E$40</definedName>
    <definedName name="dpNeighborhood_HH_Current_Renter_2">NeighborhoodLBX!$F$40</definedName>
    <definedName name="dpNeighborhood_HH_Current_Renter_3">NeighborhoodLBX!$G$40</definedName>
    <definedName name="dpNeighborhood_Income_Current_1">NeighborhoodLBX!$E$48</definedName>
    <definedName name="dpNeighborhood_Income_Current_2">Narrative!$D$27</definedName>
    <definedName name="dpNeighborhood_Income_Current_3">NeighborhoodLBX!$G$48</definedName>
    <definedName name="dpNeighborhood_OwnRent_Current_2">Narrative!$D$26</definedName>
    <definedName name="dpNeighborhood_Pop_Current_1">NeighborhoodLBX!$E$11</definedName>
    <definedName name="dpNeighborhood_Pop_Current_2">Narrative!$D$23</definedName>
    <definedName name="dpNeighborhood_Pop_Current_3">NeighborhoodLBX!$G$11</definedName>
    <definedName name="dpNeighborhood_Pop_Future_1">NeighborhoodLBX!$E$12</definedName>
    <definedName name="dpNeighborhood_Pop_Future_2">NeighborhoodLBX!$F$12</definedName>
    <definedName name="dpNeighborhood_Pop_Future_3">NeighborhoodLBX!$G$12</definedName>
    <definedName name="dpNeighborhood_Pop_Rate_1">NeighborhoodLBX!$E$16</definedName>
    <definedName name="dpNeighborhood_Pop_Rate_2">Narrative!$D$24</definedName>
    <definedName name="dpNeighborhood_Pop_Rate_3">NeighborhoodLBX!$G$16</definedName>
    <definedName name="dpNeighborhood_RadiusDriveTime">Narrative!$D$22</definedName>
    <definedName name="dpPluralCheck_ApproachesNotUsed">Narrative!$D$91</definedName>
    <definedName name="dpPluralCheck_ApproachesUsed">Narrative!$D$90</definedName>
    <definedName name="dpPrimaryLand_AdjCat1">'Land Adjustments'!$D$65</definedName>
    <definedName name="dpPrimaryLand_AdjCat1_1">'Land Adjustments 1'!$D$65</definedName>
    <definedName name="dpPrimaryLand_AdjCat1_2">'Land Adjustments 2'!$D$65</definedName>
    <definedName name="dpPrimaryLand_AdjCat10">'Land Adjustments'!$D$123</definedName>
    <definedName name="dpPrimaryLand_AdjCat10_1">'Land Adjustments 1'!$D$123</definedName>
    <definedName name="dpPrimaryLand_AdjCat10_2">'Land Adjustments 2'!$D$123</definedName>
    <definedName name="dpPrimaryLand_AdjCat11">'Land Adjustments'!$D$129</definedName>
    <definedName name="dpPrimaryLand_AdjCat11_1">'Land Adjustments 1'!$D$129</definedName>
    <definedName name="dpPrimaryLand_AdjCat11_2">'Land Adjustments 2'!$D$129</definedName>
    <definedName name="dpPrimaryLand_AdjCat12">'Land Adjustments'!$D$135</definedName>
    <definedName name="dpPrimaryLand_AdjCat12_1">'Land Adjustments 1'!$D$135</definedName>
    <definedName name="dpPrimaryLand_AdjCat12_2">'Land Adjustments 2'!$D$135</definedName>
    <definedName name="dpPrimaryLand_AdjCat2">'Land Adjustments'!$D$72</definedName>
    <definedName name="dpPrimaryLand_AdjCat2_1">'Land Adjustments 1'!$D$72</definedName>
    <definedName name="dpPrimaryLand_AdjCat2_2">'Land Adjustments 2'!$D$72</definedName>
    <definedName name="dpPrimaryLand_AdjCat3">'Land Adjustments'!$D$79</definedName>
    <definedName name="dpPrimaryLand_AdjCat3_1">'Land Adjustments 1'!$D$79</definedName>
    <definedName name="dpPrimaryLand_AdjCat3_2">'Land Adjustments 2'!$D$79</definedName>
    <definedName name="dpPrimaryLand_AdjCat4">'Land Adjustments'!$D$85</definedName>
    <definedName name="dpPrimaryLand_AdjCat4_1">'Land Adjustments 1'!$D$85</definedName>
    <definedName name="dpPrimaryLand_AdjCat4_2">'Land Adjustments 2'!$D$85</definedName>
    <definedName name="dpPrimaryLand_AdjCat5">'Land Adjustments'!$D$91</definedName>
    <definedName name="dpPrimaryLand_AdjCat5_1">'Land Adjustments 1'!$D$91</definedName>
    <definedName name="dpPrimaryLand_AdjCat5_2">'Land Adjustments 2'!$D$91</definedName>
    <definedName name="dpPrimaryLand_AdjCat6">'Land Adjustments'!$D$99</definedName>
    <definedName name="dpPrimaryLand_AdjCat6_1">'Land Adjustments 1'!$D$99</definedName>
    <definedName name="dpPrimaryLand_AdjCat6_2">'Land Adjustments 2'!$D$99</definedName>
    <definedName name="dpPrimaryLand_AdjCat7">'Land Adjustments'!$D$105</definedName>
    <definedName name="dpPrimaryLand_AdjCat7_1">'Land Adjustments 1'!$D$105</definedName>
    <definedName name="dpPrimaryLand_AdjCat7_2">'Land Adjustments 2'!$D$105</definedName>
    <definedName name="dpPrimaryLand_AdjCat8">'Land Adjustments'!$D$111</definedName>
    <definedName name="dpPrimaryLand_AdjCat8_1">'Land Adjustments 1'!$D$111</definedName>
    <definedName name="dpPrimaryLand_AdjCat8_2">'Land Adjustments 2'!$D$111</definedName>
    <definedName name="dpPrimaryLand_AdjCat9">'Land Adjustments'!$D$117</definedName>
    <definedName name="dpPrimaryLand_AdjCat9_1">'Land Adjustments 1'!$D$117</definedName>
    <definedName name="dpPrimaryLand_AdjCat9_2">'Land Adjustments 2'!$D$117</definedName>
    <definedName name="dpPropertyID">Subject!$D$10</definedName>
    <definedName name="dpReportType">Subject!$D$33</definedName>
    <definedName name="dpRingMap_ESRI">NeighborhoodESRI!$N$57:$N$59</definedName>
    <definedName name="dpRounding_Improved">Subject!$D$169</definedName>
    <definedName name="dpRounding_Land">Subject!$D$168</definedName>
    <definedName name="dpSale_Adjustments_Table">'Improved Sales Adjustments'!$C$7:$K$147</definedName>
    <definedName name="dpSale_Adjustments_Table_1">'Improved Sales Adjustments 1'!$C$7:$M$147</definedName>
    <definedName name="dpSale_Adjustments_Table_2">'Improved Sales Adjustments 2'!$C$7:$M$147</definedName>
    <definedName name="dpSale_DOV">'Improved Sales Adjustments'!$F$10</definedName>
    <definedName name="dpSale_DOV_1">'Improved Sales Adjustments 1'!$F$10</definedName>
    <definedName name="dpSale_DOV_2">'Improved Sales Adjustments 2'!$F$10</definedName>
    <definedName name="dpSale_Method">'Selection Tables'!$AL$9</definedName>
    <definedName name="dpSale_Method_1">'Selection Tables'!$AM$9</definedName>
    <definedName name="dpSale_Method_2">'Selection Tables'!$AN$9</definedName>
    <definedName name="dpSale_Statistics_Table">'Improved Sales Adjustments'!$O$151:$U$156</definedName>
    <definedName name="dpSale_Statistics_Table_1">'Improved Sales Adjustments 1'!$Q$151:$W$156</definedName>
    <definedName name="dpSale_Statistics_Table_2">'Improved Sales Adjustments 2'!$Q$151:$V$156</definedName>
    <definedName name="dpSale_Unit_Of_Measure_Improved">Subject!$D$165</definedName>
    <definedName name="dpSale_Unit_Of_Measure_Improved_Singular">Subject!$D$166</definedName>
    <definedName name="dpSales_AdjApplied_1">Narrative!$D$201</definedName>
    <definedName name="dpSales_AdjApplied_2">Narrative!$D$202</definedName>
    <definedName name="dpSales_Adjustment_1">'Improved Sales Adjustments'!$D$57</definedName>
    <definedName name="dpSales_Adjustment_1_1">'Improved Sales Adjustments 1'!$D$57</definedName>
    <definedName name="dpSales_Adjustment_1_2">'Improved Sales Adjustments 2'!$D$57</definedName>
    <definedName name="dpSales_Adjustment_10">'Improved Sales Adjustments'!$D$121</definedName>
    <definedName name="dpSales_Adjustment_10_1">'Improved Sales Adjustments 1'!$D$121</definedName>
    <definedName name="dpSales_Adjustment_10_2">'Improved Sales Adjustments 2'!$D$121</definedName>
    <definedName name="dpSales_Adjustment_11">'Improved Sales Adjustments'!$D$127</definedName>
    <definedName name="dpSales_Adjustment_11_1">'Improved Sales Adjustments 1'!$D$127</definedName>
    <definedName name="dpSales_Adjustment_11_2">'Improved Sales Adjustments 2'!$D$127</definedName>
    <definedName name="dpSales_Adjustment_12">'Improved Sales Adjustments'!$D$133</definedName>
    <definedName name="dpSales_Adjustment_12_1">'Improved Sales Adjustments 1'!$D$133</definedName>
    <definedName name="dpSales_Adjustment_12_2">'Improved Sales Adjustments 2'!$D$133</definedName>
    <definedName name="dpSales_Adjustment_13">'Improved Sales Adjustments'!$D$139</definedName>
    <definedName name="dpSales_Adjustment_13_1">'Improved Sales Adjustments 1'!$D$139</definedName>
    <definedName name="dpSales_Adjustment_13_2">'Improved Sales Adjustments 2'!$D$139</definedName>
    <definedName name="dpSales_Adjustment_2">'Improved Sales Adjustments'!$D$64</definedName>
    <definedName name="dpSales_Adjustment_2_1">'Improved Sales Adjustments 1'!$D$64</definedName>
    <definedName name="dpSales_Adjustment_2_2">'Improved Sales Adjustments 2'!$D$64</definedName>
    <definedName name="dpSales_Adjustment_3">'Improved Sales Adjustments'!$D$70</definedName>
    <definedName name="dpSales_Adjustment_3_1">'Improved Sales Adjustments 1'!$D$70</definedName>
    <definedName name="dpSales_Adjustment_3_2">'Improved Sales Adjustments 2'!$D$70</definedName>
    <definedName name="dpSales_Adjustment_4">'Improved Sales Adjustments'!$D$82</definedName>
    <definedName name="dpSales_Adjustment_4_1">'Improved Sales Adjustments 1'!$D$82</definedName>
    <definedName name="dpSales_Adjustment_4_2">'Improved Sales Adjustments 2'!$D$82</definedName>
    <definedName name="dpSales_Adjustment_5">'Improved Sales Adjustments'!$D$91</definedName>
    <definedName name="dpSales_Adjustment_5_1">'Improved Sales Adjustments 1'!$D$91</definedName>
    <definedName name="dpSales_Adjustment_5_2">'Improved Sales Adjustments 2'!$D$91</definedName>
    <definedName name="dpSales_Adjustment_6">'Improved Sales Adjustments'!$D$97</definedName>
    <definedName name="dpSales_Adjustment_6_1">'Improved Sales Adjustments 1'!$D$97</definedName>
    <definedName name="dpSales_Adjustment_6_2">'Improved Sales Adjustments 2'!$D$97</definedName>
    <definedName name="dpSales_Adjustment_7">'Improved Sales Adjustments'!$D$103</definedName>
    <definedName name="dpSales_Adjustment_7_1">'Improved Sales Adjustments 1'!$D$103</definedName>
    <definedName name="dpSales_Adjustment_7_2">'Improved Sales Adjustments 2'!$D$103</definedName>
    <definedName name="dpSales_Adjustment_8">'Improved Sales Adjustments'!$D$109</definedName>
    <definedName name="dpSales_Adjustment_8_1">'Improved Sales Adjustments 1'!$D$109</definedName>
    <definedName name="dpSales_Adjustment_8_2">'Improved Sales Adjustments 2'!$D$109</definedName>
    <definedName name="dpSales_Adjustment_9">'Improved Sales Adjustments'!$D$115</definedName>
    <definedName name="dpSales_Adjustment_9_1">'Improved Sales Adjustments 1'!$D$115</definedName>
    <definedName name="dpSales_Adjustment_9_2">'Improved Sales Adjustments 2'!$D$115</definedName>
    <definedName name="dpSales_AdjustRange">Narrative!$D$200</definedName>
    <definedName name="dpSales_AgeCondition_1">Narrative!$D$165</definedName>
    <definedName name="dpSales_AgeCondition_2">Narrative!$E$165</definedName>
    <definedName name="dpSales_AgeCondition_3">Narrative!$F$165</definedName>
    <definedName name="dpSales_AgeCondition_4">Narrative!$G$165</definedName>
    <definedName name="dpSales_AgeCondition_5">Narrative!$H$165</definedName>
    <definedName name="dpSales_AgeCondition_6">Narrative!$I$165</definedName>
    <definedName name="dpSales_AgeCondition_AdjTable">'Specialty Sales Adjustments'!$C$50:$AI$60</definedName>
    <definedName name="dpSales_AgeCondition_AdjTable_1">'Specialty Bucket 1 Sales Adj'!$C$50:$AI$60</definedName>
    <definedName name="dpSales_AgeCondition_AdjTable_2">'Specialty Bucket 2 Sales Adj'!$C$50:$AI$60</definedName>
    <definedName name="dpSales_AgeCondition_Ratio">'Specialty Sales Adjustments'!$F$59</definedName>
    <definedName name="dpSales_AgeCondition_Ratio_1">'Specialty Bucket 1 Sales Adj'!$F$59</definedName>
    <definedName name="dpSales_AgeCondition_Ratio_2">'Specialty Bucket 2 Sales Adj'!$F$59</definedName>
    <definedName name="dpSales_ClearHeight_1">Narrative!$D$177</definedName>
    <definedName name="dpSales_ClearHeight_2">Narrative!$E$177</definedName>
    <definedName name="dpSales_ClearHeight_3">Narrative!$F$177</definedName>
    <definedName name="dpSales_ClearHeight_4">Narrative!$G$177</definedName>
    <definedName name="dpSales_ClearHeight_5">Narrative!$H$177</definedName>
    <definedName name="dpSales_ClearHeight_6">Narrative!$I$177</definedName>
    <definedName name="dpSales_ClearHeight_AdjperFoot">'Automated Sales Adjustments'!$L$49</definedName>
    <definedName name="dpSales_ClearHeight_AdjperFoot_1">'Automated Bucket 1 Sales Adj'!$K$6</definedName>
    <definedName name="dpSales_ClearHeight_AdjperFoot_2">'Automated Bucket 2 Sales Adj'!$K$6</definedName>
    <definedName name="dpSales_ClearHeight_AdjRange">Narrative!$D$180</definedName>
    <definedName name="dpSales_ClearHeight_AdjTable">'Automated Sales Adjustments'!$C$47:$N$64</definedName>
    <definedName name="dpSales_ClearHeight_AdjTable_1">'Automated Bucket 1 Sales Adj'!$C$4:$L$21</definedName>
    <definedName name="dpSales_ClearHeight_AdjTable_2">'Automated Bucket 2 Sales Adj'!$C$4:$L$21</definedName>
    <definedName name="dpSales_ClearHeight_Range">Narrative!$D$179</definedName>
    <definedName name="dpSales_ClearHeight_Relativity">Narrative!$D$178</definedName>
    <definedName name="dpSales_ComponentNameB1">'Selection Tables'!$F$29</definedName>
    <definedName name="dpSales_ComponentNameB2">'Selection Tables'!$F$30</definedName>
    <definedName name="dpSales_CompsCount">Narrative!$D$146</definedName>
    <definedName name="dpSales_ConditionsofSale_1">Narrative!$D$154</definedName>
    <definedName name="dpSales_ConditionsofSale_2">Narrative!$E$154</definedName>
    <definedName name="dpSales_ConditionsofSale_3">Narrative!$F$154</definedName>
    <definedName name="dpSales_ConditionsofSale_4">Narrative!$G$154</definedName>
    <definedName name="dpSales_ConditionsofSale_5">Narrative!$H$154</definedName>
    <definedName name="dpSales_ConditionsofSale_6">Narrative!$I$154</definedName>
    <definedName name="dpSales_ConditonsofSaleIntro">Narrative!$D$148</definedName>
    <definedName name="dpSales_DesignFunction_1">Narrative!$D$176</definedName>
    <definedName name="dpSales_DesignFunction_2">Narrative!$E$176</definedName>
    <definedName name="dpSales_DesignFunction_3">Narrative!$F$176</definedName>
    <definedName name="dpSales_DesignFunction_4">Narrative!$G$176</definedName>
    <definedName name="dpSales_DesignFunction_5">Narrative!$H$176</definedName>
    <definedName name="dpSales_DesignFunction_6">Narrative!$I$176</definedName>
    <definedName name="dpSales_EffAge_1">Narrative!$D$193</definedName>
    <definedName name="dpSales_EffAge_2">Narrative!$E$193</definedName>
    <definedName name="dpSales_EffAge_3">Narrative!$F$193</definedName>
    <definedName name="dpSales_EffAge_4">Narrative!$G$193</definedName>
    <definedName name="dpSales_EffAge_5">Narrative!$H$193</definedName>
    <definedName name="dpSales_EffAge_6">Narrative!$I$193</definedName>
    <definedName name="dpSales_EffectiveAge_Range">Narrative!$D$192</definedName>
    <definedName name="dpSales_EGIM_Statistics_Table">'EGIM Analysis'!$V$16:$AB$21</definedName>
    <definedName name="dpSales_EGIM_Table">'EGIM Analysis'!$C$4:$R$12</definedName>
    <definedName name="dpSales_EGIMConclusion_Table">'EGIM Analysis'!$V$26:$AD$55</definedName>
    <definedName name="dpSales_ExpendituresAfterSale_1">Narrative!$D$155</definedName>
    <definedName name="dpSales_ExpendituresAfterSale_2">Narrative!$E$155</definedName>
    <definedName name="dpSales_ExpendituresAfterSale_3">Narrative!$F$155</definedName>
    <definedName name="dpSales_ExpendituresAfterSale_4">Narrative!$G$155</definedName>
    <definedName name="dpSales_ExpendituresAfterSale_5">Narrative!$H$155</definedName>
    <definedName name="dpSales_ExpendituresAfterSale_6">Narrative!$I$155</definedName>
    <definedName name="dpSales_ExpendituresAfterSale_Narrative">Narrative!$D$160</definedName>
    <definedName name="dpSales_ExpendituresAfterSaleIntro">Narrative!$D$149</definedName>
    <definedName name="dpSales_FinancingTerms_1">Narrative!$D$153</definedName>
    <definedName name="dpSales_FinancingTerms_2">Narrative!$E$153</definedName>
    <definedName name="dpSales_FinancingTerms_3">Narrative!$F$153</definedName>
    <definedName name="dpSales_FinancingTerms_4">Narrative!$G$153</definedName>
    <definedName name="dpSales_FinancingTerms_5">Narrative!$H$153</definedName>
    <definedName name="dpSales_FinancingTerms_6">Narrative!$I$153</definedName>
    <definedName name="dpSales_FinancingTermsIntro">Narrative!$D$147</definedName>
    <definedName name="dpSales_Location_1">Narrative!$D$161</definedName>
    <definedName name="dpSales_Location_2">Narrative!$E$161</definedName>
    <definedName name="dpSales_Location_3">Narrative!$F$161</definedName>
    <definedName name="dpSales_Location_4">Narrative!$G$161</definedName>
    <definedName name="dpSales_Location_5">Narrative!$H$161</definedName>
    <definedName name="dpSales_Location_6">Narrative!$I$161</definedName>
    <definedName name="dpSales_LocationNOI_AdjTable">'Specialty Sales Adjustments'!$C$18:$AI$25</definedName>
    <definedName name="dpSales_LocationNOI_AdjTable_1">'Specialty Bucket 1 Sales Adj'!$C$18:$AI$25</definedName>
    <definedName name="dpSales_LocationNOI_AdjTable_2">'Specialty Bucket 2 Sales Adj'!$C$18:$AI$25</definedName>
    <definedName name="dpSales_LtoBRatio_1">Narrative!$D$184</definedName>
    <definedName name="dpSales_LtoBRatio_2">Narrative!$E$184</definedName>
    <definedName name="dpSales_LtoBRatio_3">Narrative!$F$184</definedName>
    <definedName name="dpSales_LtoBRatio_4">Narrative!$G$184</definedName>
    <definedName name="dpSales_LtoBRatio_5">Narrative!$H$184</definedName>
    <definedName name="dpSales_LtoBRatio_6">Narrative!$I$184</definedName>
    <definedName name="dpSales_LtoBRatio_AdjTable">'Automated Sales Adjustments'!$C$89:$N$106</definedName>
    <definedName name="dpSales_LtoBRatio_AdjTable_1">'Automated Bucket 1 Sales Adj'!$C$46:$L$63</definedName>
    <definedName name="dpSales_LtoBRatio_AdjTable_2">'Automated Bucket 2 Sales Adj'!$C$46:$L$63</definedName>
    <definedName name="dpSales_MaxHeightAdj">'Automated Sales Adjustments'!$I$50</definedName>
    <definedName name="dpSales_MaxHeightAdj_1">'Automated Bucket 1 Sales Adj'!$H$7</definedName>
    <definedName name="dpSales_MaxHeightAdj_2">'Automated Bucket 2 Sales Adj'!$H$7</definedName>
    <definedName name="dpSales_MktCondAdj1">'Improved Sales Adjustments'!$Q$52</definedName>
    <definedName name="dpSales_MktCondAdj1_1">'Improved Sales Adjustments 1'!$S$52</definedName>
    <definedName name="dpSales_MktCondAdj1_2">'Improved Sales Adjustments 2'!$R$52</definedName>
    <definedName name="dpSales_MktCondAdj2">'Improved Sales Adjustments'!$Q$53</definedName>
    <definedName name="dpSales_MktCondAdj2_1">'Improved Sales Adjustments 1'!$S$53</definedName>
    <definedName name="dpSales_MktCondAdj2_2">'Improved Sales Adjustments 2'!$R$53</definedName>
    <definedName name="dpSales_MktCondDate1">'Improved Sales Adjustments'!$F$52</definedName>
    <definedName name="dpSales_MktCondDate1_1">'Improved Sales Adjustments 1'!$F$52</definedName>
    <definedName name="dpSales_MktCondDate1_2">'Improved Sales Adjustments 2'!$F$52</definedName>
    <definedName name="dpSales_MktCondDate2">'Improved Sales Adjustments'!$F$53</definedName>
    <definedName name="dpSales_MktCondDate2_1">'Improved Sales Adjustments 1'!$F$53</definedName>
    <definedName name="dpSales_MktCondDate2_2">'Improved Sales Adjustments 2'!$F$53</definedName>
    <definedName name="dpSales_MostComparable">'Improved Sales Adjustments'!$A$9</definedName>
    <definedName name="dpSales_MostComparable_1">'Improved Sales Adjustments 1'!$A$9</definedName>
    <definedName name="dpSales_MostComparable_2">'Improved Sales Adjustments 2'!$A$9</definedName>
    <definedName name="dpSales_MostComparable_AdjustedPrice">Narrative!$D$150</definedName>
    <definedName name="dpSales_NonRealty_1">Narrative!$D$187</definedName>
    <definedName name="dpSales_NonRealty_2">Narrative!$E$187</definedName>
    <definedName name="dpSales_NonRealty_3">Narrative!$F$187</definedName>
    <definedName name="dpSales_NonRealty_4">Narrative!$G$187</definedName>
    <definedName name="dpSales_NonRealty_5">Narrative!$H$187</definedName>
    <definedName name="dpSales_NonRealty_6">Narrative!$I$187</definedName>
    <definedName name="dpSales_ParkingRatio_1">Narrative!$D$185</definedName>
    <definedName name="dpSales_ParkingRatio_2">Narrative!$E$185</definedName>
    <definedName name="dpSales_ParkingRatio_3">Narrative!$F$185</definedName>
    <definedName name="dpSales_ParkingRatio_4">Narrative!$G$185</definedName>
    <definedName name="dpSales_ParkingRatio_5">Narrative!$H$185</definedName>
    <definedName name="dpSales_ParkingRatio_6">Narrative!$I$185</definedName>
    <definedName name="dpSales_ParkingRatio_ExpenseRatio">'Automated Sales Adjustments'!$V$111</definedName>
    <definedName name="dpSales_ParkingRatio_ExpenseRatio_1">'Automated Bucket 1 Sales Adj'!$S$68</definedName>
    <definedName name="dpSales_ParkingRatio_ExpenseRatio_2">'Automated Bucket 2 Sales Adj'!$S$68</definedName>
    <definedName name="dpSales_ParkingRatio_OAR">'Automated Sales Adjustments'!$V$113</definedName>
    <definedName name="dpSales_ParkingRatio_OAR_1">'Automated Bucket 1 Sales Adj'!$S$70</definedName>
    <definedName name="dpSales_ParkingRatio_OAR_2">'Automated Bucket 2 Sales Adj'!$S$70</definedName>
    <definedName name="dpSales_ParkingRatio_RateRange">Narrative!$D$197</definedName>
    <definedName name="dpSales_ParkingRatio_RatioRange">Narrative!$D$196</definedName>
    <definedName name="dpSales_ParkingRatio_SubjectRate">'Automated Sales Adjustments'!$J$114</definedName>
    <definedName name="dpSales_ParkingRatio_SubjectRate_1">'Automated Bucket 1 Sales Adj'!$I$71</definedName>
    <definedName name="dpSales_ParkingRatio_SubjectRate_2">'Automated Bucket 2 Sales Adj'!$I$71</definedName>
    <definedName name="dpSales_ParkingRatio_SubjectVacancy">'Automated Sales Adjustments'!$U$111</definedName>
    <definedName name="dpSales_ParkingRatio_SubjectVacancy_1">'Automated Bucket 1 Sales Adj'!$R$68</definedName>
    <definedName name="dpSales_ParkingRatio_SubjectVacancy_2">'Automated Bucket 2 Sales Adj'!$R$68</definedName>
    <definedName name="dpSales_ParkingRatio_Table">'Automated Sales Adjustments'!$C$110:$Q$128</definedName>
    <definedName name="dpSales_ParkingRatio_Table_1">'Automated Bucket 1 Sales Adj'!$C$67:$N$85</definedName>
    <definedName name="dpSales_ParkingRatio_Table_2">'Automated Bucket 2 Sales Adj'!$C$67:$N$85</definedName>
    <definedName name="dpSales_PercentOffice_1">Narrative!$D$181</definedName>
    <definedName name="dpSales_PercentOffice_2">Narrative!$E$181</definedName>
    <definedName name="dpSales_PercentOffice_3">Narrative!$F$181</definedName>
    <definedName name="dpSales_PercentOffice_4">Narrative!$G$181</definedName>
    <definedName name="dpSales_PercentOffice_5">Narrative!$H$181</definedName>
    <definedName name="dpSales_PercentOffice_6">Narrative!$I$181</definedName>
    <definedName name="dpSales_PercentOffice_AdjPSF">Narrative!$D$183</definedName>
    <definedName name="dpSales_PercentOffice_AdjPSF_1">Narrative!$E$183</definedName>
    <definedName name="dpSales_PercentOffice_AdjPSF_2">Narrative!$F$183</definedName>
    <definedName name="dpSales_PercentOffice_AdjRange">Narrative!$D$182</definedName>
    <definedName name="dpSales_PercentOffice_AdjTable">'Automated Sales Adjustments'!$C$68:$K$85</definedName>
    <definedName name="dpSales_PercentOffice_AdjTable_1">'Automated Bucket 1 Sales Adj'!$C$25:$J$42</definedName>
    <definedName name="dpSales_PercentOffice_AdjTable_2">'Automated Bucket 2 Sales Adj'!$C$25:$J$42</definedName>
    <definedName name="dpSales_PercentOffice_Range">Narrative!$D$195</definedName>
    <definedName name="dpSales_Preliminary_EGIM">'EGIM Analysis'!$AC$33</definedName>
    <definedName name="dpSales_Preliminary_Unit">'Improved Sales Adjustments'!$V$169</definedName>
    <definedName name="dpSales_Preliminary_Unit_1">'Improved Sales Adjustments 1'!$X$176</definedName>
    <definedName name="dpSales_Preliminary_Unit_2">'Improved Sales Adjustments 2'!$W$169</definedName>
    <definedName name="dpSales_PreliminaryValue_EGIM">'EGIM Analysis'!$Z$33</definedName>
    <definedName name="dpSales_PreliminaryValue_PSF">'Improved Sales Adjustments'!$S$167</definedName>
    <definedName name="dpSales_PreliminaryValue_PSF_1">'Improved Sales Adjustments 1'!$U$167</definedName>
    <definedName name="dpSales_PreliminaryValue_PSF_2">'Improved Sales Adjustments 2'!$T$167</definedName>
    <definedName name="dpSales_PropertyRights_1">Narrative!$D$152</definedName>
    <definedName name="dpSales_PropertyRights_2">Narrative!$E$152</definedName>
    <definedName name="dpSales_PropertyRights_3">Narrative!$F$152</definedName>
    <definedName name="dpSales_PropertyRights_4">Narrative!$G$152</definedName>
    <definedName name="dpSales_PropertyRights_5">Narrative!$H$152</definedName>
    <definedName name="dpSales_PropertyRights_6">Narrative!$I$152</definedName>
    <definedName name="dpSales_PropertyRights_AdjTable">'Specialty Sales Adjustments'!$C$4:$AI$13</definedName>
    <definedName name="dpSales_PropertyRights_AdjTable_1">'Specialty Bucket 1 Sales Adj'!$C$4:$AI$13</definedName>
    <definedName name="dpSales_PropertyRights_AdjTable_2">'Specialty Bucket 2 Sales Adj'!$C$4:$AI$13</definedName>
    <definedName name="dpSales_QualitativeQuantitative?">Narrative!$D$198</definedName>
    <definedName name="dpSales_Quality_1">Narrative!$D$194</definedName>
    <definedName name="dpSales_Quality_2">Narrative!$E$194</definedName>
    <definedName name="dpSales_Quality_3">Narrative!$F$194</definedName>
    <definedName name="dpSales_Quality_4">Narrative!$G$194</definedName>
    <definedName name="dpSales_Quality_5">Narrative!$H$194</definedName>
    <definedName name="dpSales_Quality_6">Narrative!$I$194</definedName>
    <definedName name="dpSales_Quality_AdjRange">Narrative!$G$175</definedName>
    <definedName name="dpSales_Quality_AdjTable">'Automated Sales Adjustments'!$C$6:$Q$43</definedName>
    <definedName name="dpSales_Quality_ClassAdj">'Automated Sales Adjustments'!$M$3</definedName>
    <definedName name="dpSales_Quality_Label">'Automated Sales Adjustments'!$F$7</definedName>
    <definedName name="dpSales_Quality_Narrative1">Narrative!$D$175</definedName>
    <definedName name="dpSales_Quality_Narrative2">Narrative!$E$175</definedName>
    <definedName name="dpSales_Quality_Narrative3">Narrative!$F$175</definedName>
    <definedName name="dpSales_Quality_RatingAdj">'Automated Sales Adjustments'!$M$4</definedName>
    <definedName name="dpSales_QualityAdj_1">Narrative!$D$166</definedName>
    <definedName name="dpSales_QualityAdj_2">Narrative!$E$166</definedName>
    <definedName name="dpSales_QualityAdj_3">Narrative!$F$166</definedName>
    <definedName name="dpSales_QualityAdj_4">Narrative!$G$166</definedName>
    <definedName name="dpSales_QualityAdj_5">Narrative!$H$166</definedName>
    <definedName name="dpSales_QualityAdj_6">Narrative!$I$166</definedName>
    <definedName name="dpSales_ReasonbleHigh">'Improved Sales Adjustments'!$S$165</definedName>
    <definedName name="dpSales_ReasonbleHigh_1">'Improved Sales Adjustments 1'!$U$165</definedName>
    <definedName name="dpSales_ReasonbleHigh_2">'Improved Sales Adjustments 2'!$T$165</definedName>
    <definedName name="dpSales_ReasonbleHigh_EGIM">'EGIM Analysis'!$Z$31</definedName>
    <definedName name="dpSales_ReasonbleLow">'Improved Sales Adjustments'!$S$163</definedName>
    <definedName name="dpSales_ReasonbleLow_1">'Improved Sales Adjustments 1'!$U$163</definedName>
    <definedName name="dpSales_ReasonbleLow_2">'Improved Sales Adjustments 2'!$T$163</definedName>
    <definedName name="dpSales_ReasonbleLow_EGIM">'EGIM Analysis'!$Z$29</definedName>
    <definedName name="dpSales_RemainTerm_AdjPerYr">'Specialty Sales Adjustments'!$F$45</definedName>
    <definedName name="dpSales_RemainTerm_AdjTable">'Specialty Sales Adjustments'!$C$40:$AI$46</definedName>
    <definedName name="dpSales_RemainTerm_AdjTable_1">'Specialty Bucket 1 Sales Adj'!$C$40:$AI$46</definedName>
    <definedName name="dpSales_RemainTerm_AdjTable_2">'Specialty Bucket 2 Sales Adj'!$C$40:$AI$46</definedName>
    <definedName name="dpSales_RemainTerm_BoulderDataTable">'Specialty Sales Adjustments'!$C$29:$L$36</definedName>
    <definedName name="dpSales_RemainTerm_BoulderDataTable_1">'Specialty Bucket 1 Sales Adj'!$C$29:$L$36</definedName>
    <definedName name="dpSales_RemainTerm_BoulderDataTable_2">'Specialty Bucket 2 Sales Adj'!$C$29:$L$36</definedName>
    <definedName name="dpSales_Size_1">Narrative!$D$162</definedName>
    <definedName name="dpSales_Size_2">Narrative!$E$162</definedName>
    <definedName name="dpSales_Size_3">Narrative!$F$162</definedName>
    <definedName name="dpSales_Size_4">Narrative!$G$162</definedName>
    <definedName name="dpSales_Size_5">Narrative!$H$162</definedName>
    <definedName name="dpSales_Size_6">Narrative!$I$162</definedName>
    <definedName name="dpSales_SizeAdjRange_Statement">Narrative!$D$164</definedName>
    <definedName name="dpSales_SizeFactor">'Improved Sales Adjustments'!$Q$66</definedName>
    <definedName name="dpSales_SizeFactor_1">'Improved Sales Adjustments 1'!$S$66</definedName>
    <definedName name="dpSales_SizeFactor_2">'Improved Sales Adjustments 2'!$R$66</definedName>
    <definedName name="dpSales_SizeRange_Statement">Narrative!$D$163</definedName>
    <definedName name="dpSales_SummaryTable_Detailed">'Improved Sales Summary Detailed'!$C$4:$J$68</definedName>
    <definedName name="dpSales_SummaryTable_Light">'Improved Sales Summary Light'!$C$4:$S$10</definedName>
    <definedName name="dpSales_SummaryTableB1_Detailed">'Improved Sales Summary Detailed'!$N$72:$V$136</definedName>
    <definedName name="dpSales_SummaryTableB1_Light">'Improved Sales Summary Light'!$W$15:$AM$23</definedName>
    <definedName name="dpSales_SummaryTableB2_Detailed">'Improved Sales Summary Detailed'!$Z$140:$AH$204</definedName>
    <definedName name="dpSales_SummaryTableB2_Light">'Improved Sales Summary Light'!$AQ$27:$BG$35</definedName>
    <definedName name="dpSales_TransAdjustment_1">'Improved Sales Adjustments'!$D$24</definedName>
    <definedName name="dpSales_TransAdjustment_1_1">'Improved Sales Adjustments 1'!$D$24</definedName>
    <definedName name="dpSales_TransAdjustment_1_2">'Improved Sales Adjustments 2'!$D$24</definedName>
    <definedName name="dpSales_TransAdjustment_2">'Improved Sales Adjustments'!$D$31</definedName>
    <definedName name="dpSales_TransAdjustment_2_1">'Improved Sales Adjustments 1'!$D$31</definedName>
    <definedName name="dpSales_TransAdjustment_2_2">'Improved Sales Adjustments 2'!$D$31</definedName>
    <definedName name="dpSales_TransAdjustment_3">'Improved Sales Adjustments'!$D$38</definedName>
    <definedName name="dpSales_TransAdjustment_3_1">'Improved Sales Adjustments 1'!$D$38</definedName>
    <definedName name="dpSales_TransAdjustment_3_2">'Improved Sales Adjustments 2'!$D$38</definedName>
    <definedName name="dpSales_TransAdjustment_4">'Improved Sales Adjustments'!$D$46</definedName>
    <definedName name="dpSales_TransAdjustment_4_1">'Improved Sales Adjustments 1'!$D$46</definedName>
    <definedName name="dpSales_TransAdjustment_4_2">'Improved Sales Adjustments 2'!$D$46</definedName>
    <definedName name="dpSales_UnAdjustRange">Narrative!$D$199</definedName>
    <definedName name="dpSales_Unit_Narrative">Narrative!$D$145</definedName>
    <definedName name="dpSales_UserDefined1_1">Narrative!$D$188</definedName>
    <definedName name="dpSales_UserDefined1_2">Narrative!$E$188</definedName>
    <definedName name="dpSales_UserDefined1_3">Narrative!$F$188</definedName>
    <definedName name="dpSales_UserDefined1_4">Narrative!$G$188</definedName>
    <definedName name="dpSales_UserDefined1_5">Narrative!$H$188</definedName>
    <definedName name="dpSales_UserDefined1_6">Narrative!$I$188</definedName>
    <definedName name="dpSales_UserDefined2_1">Narrative!$D$189</definedName>
    <definedName name="dpSales_UserDefined2_2">Narrative!$E$189</definedName>
    <definedName name="dpSales_UserDefined2_3">Narrative!$F$189</definedName>
    <definedName name="dpSales_UserDefined2_4">Narrative!$G$189</definedName>
    <definedName name="dpSales_UserDefined2_5">Narrative!$H$189</definedName>
    <definedName name="dpSales_UserDefined2_6">Narrative!$I$189</definedName>
    <definedName name="dpSales_Value1_EGIM">'EGIM Analysis'!$AC$39</definedName>
    <definedName name="dpSales_Value1_Unit">'Improved Sales Adjustments'!$V$175</definedName>
    <definedName name="dpSales_Value1_Unit_1">'Improved Sales Adjustments 1'!$X$182</definedName>
    <definedName name="dpSales_Value2_EGIM">'EGIM Analysis'!$AC$45</definedName>
    <definedName name="dpSales_Value2_Unit">'Improved Sales Adjustments'!$V$181</definedName>
    <definedName name="dpSales_Value2_Unit_1">'Improved Sales Adjustments 1'!$X$188</definedName>
    <definedName name="dpSales_Value3_EGIM">'EGIM Analysis'!$AC$50</definedName>
    <definedName name="dpSales_Value3_Unit">'Improved Sales Adjustments'!$V$186</definedName>
    <definedName name="dpSales_Value3_Unit_1">'Improved Sales Adjustments 1'!$X$193</definedName>
    <definedName name="dpSales_ValueComponents_Table">'Improved Sales Adjustments 1'!$Q$171:$Y$193</definedName>
    <definedName name="dpSales_ValueConclusion_Table">'Improved Sales Adjustments'!$O$161:$W$191</definedName>
    <definedName name="dpSales_ValueConclusion_Table_1">'Improved Sales Adjustments 1'!$Q$161:$Y$169</definedName>
    <definedName name="dpSales_ValueConclusion_Table_2">'Improved Sales Adjustments 2'!$Q$161:$X$169</definedName>
    <definedName name="dpSales_YOC_1">Narrative!$D$191</definedName>
    <definedName name="dpSales_YOC_2">Narrative!$E$191</definedName>
    <definedName name="dpSales_YOC_3">Narrative!$F$191</definedName>
    <definedName name="dpSales_YOC_4">Narrative!$G$191</definedName>
    <definedName name="dpSales_YOC_5">Narrative!$H$191</definedName>
    <definedName name="dpSales_YOC_6">Narrative!$I$191</definedName>
    <definedName name="dpSales_YOC_Range">Narrative!$D$190</definedName>
    <definedName name="dpSort_DOV_1">'Selection Tables'!$Q$5</definedName>
    <definedName name="dpSort_DOV_2">'Selection Tables'!$Q$6</definedName>
    <definedName name="dpSort_DOV_3">'Selection Tables'!$Q$7</definedName>
    <definedName name="dpSort_DOVlist">'Selection Tables'!$Q$5:$Q$7</definedName>
    <definedName name="dpSort_Interest_1">'Selection Tables'!$T$5</definedName>
    <definedName name="dpSort_ValueScenario_1">'Selection Tables'!$V$5</definedName>
    <definedName name="dpSort_ValueScenario_2">'Selection Tables'!$V$6</definedName>
    <definedName name="dpSort_ValueScenario_3">'Selection Tables'!$V$7</definedName>
    <definedName name="dpSpecialAssessTotal">'Tax Schedule'!$B$34</definedName>
    <definedName name="dpSubject_ClearHeight_RentB1">'Automated Rent Adjustments'!$G$91</definedName>
    <definedName name="dpSubject_ClearHeight_RentB2">'Automated Rent Adjustments'!$G$132</definedName>
    <definedName name="dpSubject_ConstructionClass">Narrative!$D$64</definedName>
    <definedName name="dpSubject_LtBRatio_Total">Narrative!$D$86</definedName>
    <definedName name="dpSubject_Older_Newer">Narrative!$D$65</definedName>
    <definedName name="dpSubject_ParkingSurface">Subject!$D$132</definedName>
    <definedName name="dpSubject_Sales_GBA_1">'Improved Sales Adjustments 1'!$F$13</definedName>
    <definedName name="dpSubject_Sales_GBA_2">'Improved Sales Adjustments 2'!$F$13</definedName>
    <definedName name="dpSubject_Sales_Land_1">'Improved Sales Adjustments 1'!$F$15</definedName>
    <definedName name="dpSubject_Sales_Land_2">'Improved Sales Adjustments 2'!$F$15</definedName>
    <definedName name="dpSubject_Sales_NRA_1">'Improved Sales Adjustments 1'!$F$12</definedName>
    <definedName name="dpSubject_Sales_NRA_2">'Improved Sales Adjustments 2'!$F$12</definedName>
    <definedName name="dpSubject_Sales_Units_1">'Improved Sales Adjustments 1'!$F$14</definedName>
    <definedName name="dpSubject_Sales_Units_2">'Improved Sales Adjustments 2'!$F$14</definedName>
    <definedName name="dpSubject_YOC_Option">Narrative!$D$66</definedName>
    <definedName name="dpSum_SalientIncomeTable">'Salient Facts'!$L$67:$Q$86</definedName>
    <definedName name="dpSum_SalientTable">'Salient Facts'!$C$5:$F$63</definedName>
    <definedName name="dpTax_AppraiserSpAssessEstY1">'Tax Schedule'!$I$34</definedName>
    <definedName name="dpTax_AppraiserSpAssessEstY2">'Tax Schedule'!$J$34</definedName>
    <definedName name="dpTax_AppraiserTaxEstY1">'Tax Schedule'!$I$11</definedName>
    <definedName name="dpTax_AppraiserTaxEstY1_Statement">Narrative!$D$78</definedName>
    <definedName name="dpTax_AppraiserTaxEstY1PSF">'Tax Schedule'!$I$12</definedName>
    <definedName name="dpTax_AppraiserTaxEstY2">'Tax Schedule'!$J$11</definedName>
    <definedName name="dpTax_AppraiserTaxEstY2PSF">'Tax Schedule'!$J$12</definedName>
    <definedName name="dpTax_AppraiserTaxExpY1">'Tax Schedule'!$I$36</definedName>
    <definedName name="dpTax_AppraiserTaxExpY1PSF">'Tax Schedule'!$I$37</definedName>
    <definedName name="dpTax_AppraiserTaxExpY2">'Tax Schedule'!$J$36</definedName>
    <definedName name="dpTax_AppraiserTaxExpY2PSF">'Tax Schedule'!$J$37</definedName>
    <definedName name="dpTax_AppraiserTaxRateEsc">'Tax Schedule'!$I$26</definedName>
    <definedName name="dpTax_AssessmentYr1">'Tax Schedule'!$I$22</definedName>
    <definedName name="dpTax_AssessmentYr2">'Tax Schedule'!$J$22</definedName>
    <definedName name="dpTax_AssessorValuePSF">Narrative!$D$76</definedName>
    <definedName name="dpTax_CompsCount">Narrative!$D$69</definedName>
    <definedName name="dpTax_CompsMaxNRA">Narrative!$D$73</definedName>
    <definedName name="dpTax_CompsMaxValuePSF">Narrative!$D$75</definedName>
    <definedName name="dpTax_CompsMaxYB">Narrative!$D$71</definedName>
    <definedName name="dpTax_CompsMedValuePSF">'Tax Comps'!$O$12</definedName>
    <definedName name="dpTax_CompsMinNRA">Narrative!$D$72</definedName>
    <definedName name="dpTax_CompsMinValuePSF">Narrative!$D$74</definedName>
    <definedName name="dpTax_CompsMinYB">Narrative!$D$70</definedName>
    <definedName name="dpTax_SubjectWithinCompRange">Narrative!$D$77</definedName>
    <definedName name="dpTax_Table_Current">'Tax Schedule'!$O$41:$AD$52</definedName>
    <definedName name="dpTaxCompTable">'Tax Comps'!$C$4:$P$14</definedName>
    <definedName name="dpTaxTable">'Tax Schedule'!$C$4:$K$37</definedName>
    <definedName name="dpUnemployment_Rates_Table">RegionalBLS!$F$9:$N$16</definedName>
    <definedName name="dpUnit_Land">'Selection Tables'!$AL$6</definedName>
    <definedName name="dpUnit_Land_1">'Selection Tables'!$AM$6</definedName>
    <definedName name="dpUnit_Land_2">'Selection Tables'!$AN$6</definedName>
    <definedName name="dpUnit_Sales">'Selection Tables'!$AL$10</definedName>
    <definedName name="dpUnit_Sales_1">'Selection Tables'!$AM$10</definedName>
    <definedName name="dpUnit_Sales_2">'Selection Tables'!$AN$10</definedName>
    <definedName name="dpUSPS_LeaseTermDate">USPS!$L$64</definedName>
    <definedName name="dpUSPS_MarketRent_LeaseTermDate">USPS!$L$65</definedName>
    <definedName name="dpUSPS_MarketRent_Table">USPS!$J$58:$M$68</definedName>
    <definedName name="dpUSPS_RentAnnualEscalationRate">USPS!$L$68</definedName>
    <definedName name="dpUSPS_RentMktCond">USPS!$L$63</definedName>
    <definedName name="dpUSPS_Sum_SalientTable">USPS!$C$7:$F$53</definedName>
    <definedName name="dpUSPS_ValuationTable">USPS!$J$57:$W$98</definedName>
    <definedName name="dpValuation_AltSummary_Table">'Value Indications'!$X$52:$AB$59</definedName>
    <definedName name="dpValuation_Indications_Table">'Value Indications'!$D$4:$J$35</definedName>
    <definedName name="dpValuation_Scenarios_Table">'Value Indications'!$O$39:$T$48</definedName>
    <definedName name="dpValuation_Summary_Table">'Value Indications'!$D$15:$J$35</definedName>
    <definedName name="dpValue_DOV_1">'Value Indications'!$F$19</definedName>
    <definedName name="dpValue_DOV_2">'Value Indications'!$G$19</definedName>
    <definedName name="dpValue_DOV_3">'Value Indications'!$H$19</definedName>
    <definedName name="dpValue_Final_1">'Value Indications'!$F$26</definedName>
    <definedName name="dpValue_Final_1_Unit">'Value Indications'!$F$35</definedName>
    <definedName name="dpValue_Final_2">'Value Indications'!$G$26</definedName>
    <definedName name="dpValue_Final_2_Unit">'Value Indications'!$G$35</definedName>
    <definedName name="dpValue_Final_3">'Value Indications'!$H$26</definedName>
    <definedName name="dpValue_Final_3_Unit">'Value Indications'!$H$35</definedName>
    <definedName name="dpValue_Interest_1">'Value Indications'!$F$18</definedName>
    <definedName name="dpValue_Interest_2">'Value Indications'!$G$18</definedName>
    <definedName name="dpValue_Interest_3">'Value Indications'!$H$18</definedName>
    <definedName name="dpValue_LeaseholdAdjustment">'Selection Tables'!$M$20</definedName>
    <definedName name="dpValue_LeaseholdAdjustment_Direction">Narrative!$E$17</definedName>
    <definedName name="dpValue_LeaseholdAdjustment_Word">Narrative!$D$17</definedName>
    <definedName name="dpValue_LUD_1stGen_NRA">'Lease-Up'!$F$112</definedName>
    <definedName name="dpValue_LUD_1stGen_TI">'Lease-Up'!$E$112</definedName>
    <definedName name="dpValue_LUD_2ndGen_TI">'Lease-Up'!$E$113</definedName>
    <definedName name="dpValue_LUD_Calc_Discount">'Lease-Up'!$O$91</definedName>
    <definedName name="dpValue_LUD_Calc_NoDiscount">'Lease-Up'!$G$121</definedName>
    <definedName name="dpValue_LUD_DCF">'Lease-Up'!$O$96</definedName>
    <definedName name="dpValue_LUD_DCF_Discounted">'Lease-Up'!$O$97</definedName>
    <definedName name="dpValue_LUD_Discount">'Lease-Up'!$J$4:$CI$91</definedName>
    <definedName name="dpValue_LUD_DiscountRate">'Lease-Up'!$M$84</definedName>
    <definedName name="dpValue_LUD_LC_Rate">'Lease-Up'!$F$116</definedName>
    <definedName name="dpValue_LUD_LC_Term">'Lease-Up'!$E$116</definedName>
    <definedName name="dpValue_LUD_LossFactor">'Lease-Up'!$G$108</definedName>
    <definedName name="dpValue_LUD_NoDiscount">'Lease-Up'!$C$96:$H$121</definedName>
    <definedName name="dpValue_LUD_Period">'Lease-Up'!$L$18</definedName>
    <definedName name="dpValue_LUD_Period_2">'Lease-Up'!$G$102</definedName>
    <definedName name="dpValue_LUD_ProfitIncentive">'Lease-Up'!$M$89</definedName>
    <definedName name="dpValue_LUD_ProfitIncentive_2">'Lease-Up'!$F$120</definedName>
    <definedName name="dpValue_LUD_Reconciled">'Lease-Up'!$O$100</definedName>
    <definedName name="dpValue_LUD_Reconciled_Word">Narrative!$D$16</definedName>
    <definedName name="dpValue_LUD_SFtoStable">'Lease-Up'!$G$101</definedName>
    <definedName name="dpValue_LUD_StartDate">'Lease-Up'!$O$21</definedName>
    <definedName name="dpValue_Scenario_PluralA">Narrative!$D$9</definedName>
    <definedName name="dpValue_Scenario_PluralB">Narrative!$D$10</definedName>
    <definedName name="dpValue_Scenario_PluralC">Narrative!$D$11</definedName>
    <definedName name="dpValue_Scenario_PluralD">Narrative!$D$12</definedName>
    <definedName name="dpValue_Scenario_PluralE">Narrative!$D$341</definedName>
    <definedName name="dpValue_Scenario1">'Value Indications'!$F$5</definedName>
    <definedName name="dpValue_Scenario2">'Value Indications'!$G$5</definedName>
    <definedName name="dpValue_Scenario3">'Value Indications'!$H$5</definedName>
    <definedName name="dpValue_UserDef1Adjustment_Name">'Selection Tables'!$L$21</definedName>
    <definedName name="dpValue_UserDef1Adjustment_Value">'Selection Tables'!$M$21</definedName>
    <definedName name="dpValue_UserDef1Adjustment_Value_Word">Narrative!$D$18</definedName>
    <definedName name="dpValue_UserDef2Adjustment_Name">'Selection Tables'!$L$22</definedName>
    <definedName name="dpValue_UserDef2Adjustment_Value">'Selection Tables'!$M$22</definedName>
    <definedName name="dpValue_UserDef2Adjustment_Value_Word">Narrative!$D$19</definedName>
    <definedName name="dpVowelCheck_OccupancyType">Narrative!$D$89</definedName>
    <definedName name="dpVowelCheck_ParcelLocation">Narrative!$D$60</definedName>
    <definedName name="dpVowelCheck_ParkingDesc">Narrative!$D$63</definedName>
    <definedName name="dpVowelCheck_ProbableBuyer">Narrative!$D$84</definedName>
    <definedName name="dpVowelCheck_ProbableUser">Narrative!$D$85</definedName>
    <definedName name="dpVowelCheck_ValueScenario1">Narrative!$D$94</definedName>
    <definedName name="dpVowelCheck_ValueScenario2">Narrative!$D$95</definedName>
    <definedName name="dpVowelCheck_ValueScenario3">Narrative!$D$96</definedName>
    <definedName name="EASI.CensusLatest">RegionalLBX!$C$7</definedName>
    <definedName name="EASI.CensusPrior">RegionalLBX!$C$6</definedName>
    <definedName name="EASI.CY">RegionalLBX!$C$8</definedName>
    <definedName name="EASI.FY">RegionalLBX!$C$9</definedName>
    <definedName name="EcoLifeFilter">'Improved Sales Adjustments'!$A$76</definedName>
    <definedName name="EcoLifeFilter_1">'Improved Sales Adjustments 1'!$A$76</definedName>
    <definedName name="EcoLifeFilter_2">'Improved Sales Adjustments 2'!$A$76</definedName>
    <definedName name="Employment_Chart_ColumnStart">RegionalESRI!$AE$30</definedName>
    <definedName name="Employment_Chart_Total">RegionalBLS!$W$40</definedName>
    <definedName name="ESRI_Census">RegionalESRI!$G$22</definedName>
    <definedName name="ESRI_CY">RegionalESRI!$B$9</definedName>
    <definedName name="ESRI_FY">RegionalESRI!$G$23</definedName>
    <definedName name="ESRIFirstClick">1</definedName>
    <definedName name="Expense_Administrative_Detail">'Income Expense History'!$Y$28</definedName>
    <definedName name="Expense_Administrative_NonReimb">'Income Expense History'!$X$28</definedName>
    <definedName name="Expense_Administrative_Number">'Selection Tables'!$V$27</definedName>
    <definedName name="Expense_Administrative_Reimb">'Income Expense History'!$W$28</definedName>
    <definedName name="Expense_Administrative_Reimb_Estimate">'Expense Estimates'!$P$84</definedName>
    <definedName name="Expense_CAM_Detail">'Income Expense History'!$Y$51</definedName>
    <definedName name="Expense_CAM_NonReimb">'Income Expense History'!$X$51</definedName>
    <definedName name="Expense_CAM_Number">'Selection Tables'!$V$30</definedName>
    <definedName name="Expense_CAM_Reimb">'Income Expense History'!$W$51</definedName>
    <definedName name="Expense_CAM_Reimb_Estimate">'Expense Estimates'!$P$138</definedName>
    <definedName name="Expense_CleaningJanitorial_Detail">'Income Expense History'!$Y$58</definedName>
    <definedName name="Expense_CleaningJanitorial_NonReimb">'Income Expense History'!$X$58</definedName>
    <definedName name="Expense_CleaningJanitorial_Number">'Selection Tables'!$V$31</definedName>
    <definedName name="Expense_CleaningJanitorial_Reimb">'Income Expense History'!$W$58</definedName>
    <definedName name="Expense_CleaningJanitorial_Reimb_Estimate">'Expense Estimates'!$P$156</definedName>
    <definedName name="Expense_Insurance_NonReimb">'Income Expense History'!$X$22</definedName>
    <definedName name="Expense_Insurance_Number">'Selection Tables'!$V$25</definedName>
    <definedName name="Expense_Insurance_Reimb">'Income Expense History'!$W$22</definedName>
    <definedName name="Expense_Insurance_Reimb_Estimate">'Expense Estimates'!$P$48</definedName>
    <definedName name="Expense_LandlordCosts_NonReimb">'Income Expense History'!$X$73</definedName>
    <definedName name="Expense_LandlordCosts_Number">'Selection Tables'!$V$37</definedName>
    <definedName name="Expense_LandlordCosts_Reimb">'Income Expense History'!$W$73</definedName>
    <definedName name="Expense_LandlordCosts_Reimb_Estimate">'Expense Estimates'!$P$264</definedName>
    <definedName name="Expense_Leasing_Detail">'Income Expense History'!$Y$63</definedName>
    <definedName name="Expense_Leasing_NonReimb">'Income Expense History'!$X$63</definedName>
    <definedName name="Expense_Leasing_Number">'Selection Tables'!$V$32</definedName>
    <definedName name="Expense_Leasing_Reimb">'Income Expense History'!$W$63</definedName>
    <definedName name="Expense_LeasingExpenses_Reimb_Estimate">'Expense Estimates'!$P$174</definedName>
    <definedName name="Expense_MgmtFees_NonReimb">'Income Expense History'!$X$23</definedName>
    <definedName name="Expense_MgmtFees_Number">'Selection Tables'!$V$26</definedName>
    <definedName name="Expense_MgmtFees_Reimb">'Income Expense History'!$W$23</definedName>
    <definedName name="Expense_MgmtFees_Reimb_Estimate">'Expense Estimates'!$P$66</definedName>
    <definedName name="Expense_OtherOps_Detail">'Income Expense History'!$Y$72</definedName>
    <definedName name="Expense_OtherOps_NonReimb">'Income Expense History'!$X$72</definedName>
    <definedName name="Expense_OtherOps_Number">'Selection Tables'!$V$36</definedName>
    <definedName name="Expense_OtherOps_Reimb">'Income Expense History'!$W$72</definedName>
    <definedName name="Expense_OtherOps_Reimb_Estimate">'Expense Estimates'!$P$246</definedName>
    <definedName name="Expense_OtherTaxes_NonReimb">'Income Expense History'!$X$21</definedName>
    <definedName name="Expense_OtherTaxes_Number">'Selection Tables'!$V$24</definedName>
    <definedName name="Expense_OtherTaxes_Reimb">'Income Expense History'!$W$21</definedName>
    <definedName name="Expense_OtherTaxes_Reimb_Estimate">'Expense Estimates'!$P$30</definedName>
    <definedName name="Expense_Payroll_Detail">'Income Expense History'!$Y$69</definedName>
    <definedName name="Expense_Payroll_NonReimb">'Income Expense History'!$X$69</definedName>
    <definedName name="Expense_Payroll_Number">'Selection Tables'!$V$33</definedName>
    <definedName name="Expense_Payroll_Reimb">'Income Expense History'!$W$69</definedName>
    <definedName name="Expense_Payroll_Reimb_Estimate">'Expense Estimates'!$P$192</definedName>
    <definedName name="Expense_RealEstateTax_NonReimb">'Income Expense History'!$X$20</definedName>
    <definedName name="Expense_RealEstateTax_Number">'Selection Tables'!$V$23</definedName>
    <definedName name="Expense_RealEstateTax_Reimb">'Income Expense History'!$W$20</definedName>
    <definedName name="Expense_RealEstateTax_Reimb_Estimate">'Expense Estimates'!$P$12</definedName>
    <definedName name="Expense_RepairsMaintenance_Detail">'Income Expense History'!$Y$43</definedName>
    <definedName name="Expense_RepairsMaintenance_NonReimb">'Income Expense History'!$X$43</definedName>
    <definedName name="Expense_RepairsMaintenance_Number">'Selection Tables'!$V$29</definedName>
    <definedName name="Expense_RepairsMaintenance_Reimb">'Income Expense History'!$W$43</definedName>
    <definedName name="Expense_RepairsMaintenance_Reimb_Estimate">'Expense Estimates'!$P$120</definedName>
    <definedName name="Expense_ReplacementReserves_Detail">'Income Expense History'!$Y$74</definedName>
    <definedName name="Expense_ReplacementReserves_NonReimb">'Income Expense History'!$X$74</definedName>
    <definedName name="Expense_ReplacementReserves_Number">'Selection Tables'!$V$38</definedName>
    <definedName name="Expense_ReplacementReserves_Reimb">'Income Expense History'!$W$74</definedName>
    <definedName name="Expense_ReplacementReserves_Reimb_Estimate">'Expense Estimates'!$P$282</definedName>
    <definedName name="Expense_RoadsGrounds_Detail">'Income Expense History'!$Y$71</definedName>
    <definedName name="Expense_RoadsGrounds_NonReimb">'Income Expense History'!$X$71</definedName>
    <definedName name="Expense_RoadsGrounds_Number">'Selection Tables'!$V$35</definedName>
    <definedName name="Expense_RoadsGrounds_Reimb">'Income Expense History'!$W$71</definedName>
    <definedName name="Expense_RoadsGrounds_Reimb_Estimate">'Expense Estimates'!$P$228</definedName>
    <definedName name="Expense_Security_Detail">'Income Expense History'!$Y$70</definedName>
    <definedName name="Expense_Security_NonReimb">'Income Expense History'!$X$70</definedName>
    <definedName name="Expense_Security_Number">'Selection Tables'!$V$34</definedName>
    <definedName name="Expense_Security_Reimb">'Income Expense History'!$W$70</definedName>
    <definedName name="Expense_Security_Reimb_Estimate">'Expense Estimates'!$P$210</definedName>
    <definedName name="Expense_Utilities_Detail">'Income Expense History'!$Y$35</definedName>
    <definedName name="Expense_Utilities_NonReimb">'Income Expense History'!$X$35</definedName>
    <definedName name="Expense_Utilities_Number">'Selection Tables'!$V$28</definedName>
    <definedName name="Expense_Utilities_Reimb">'Income Expense History'!$W$35</definedName>
    <definedName name="Expense_Utilities_Reimb_Estimate">'Expense Estimates'!$P$102</definedName>
    <definedName name="expenseinputlist">'Selection Tables'!$AP$5:$AP$8</definedName>
    <definedName name="ExpenseInputMethod">'Selection Tables'!$AB$9</definedName>
    <definedName name="ExpensePoolList">'Selection Tables'!$AH$17:$AH$19</definedName>
    <definedName name="Filter_AbsorptionCol">Absorption!$D$61:$I$61</definedName>
    <definedName name="Filter_AbsorptionRow">Absorption!$A$16:$A$60</definedName>
    <definedName name="Filter_AutoRentAdjRow">'Automated Rent Adjustments'!$A$3:$A$86</definedName>
    <definedName name="Filter_AutoRentAdjRow_1">'Automated Rent Adjustments'!$A$88:$A$126</definedName>
    <definedName name="Filter_AutoRentAdjRow_2">'Automated Rent Adjustments'!$A$129:$A$167</definedName>
    <definedName name="Filter_AutoSaleAdjCol">'Automated Sales Adjustments'!$W$130:$AF$130</definedName>
    <definedName name="Filter_AutoSaleAdjCol_1">'Automated Bucket 1 Sales Adj'!$T$87:$AC$87</definedName>
    <definedName name="Filter_AutoSaleAdjCol_2">'Automated Bucket 2 Sales Adj'!$T$87:$AC$87</definedName>
    <definedName name="Filter_AutoSaleAdjRow">'Automated Sales Adjustments'!$A$8:$A$215</definedName>
    <definedName name="Filter_AutoSaleAdjRow_1">'Automated Bucket 1 Sales Adj'!$A$8:$A$172</definedName>
    <definedName name="Filter_AutoSaleAdjRow_2">'Automated Bucket 2 Sales Adj'!$A$8:$A$172</definedName>
    <definedName name="Filter_BuildingAreaBreakdownCol">'Building Area Breakdown'!$E$37:$H$37</definedName>
    <definedName name="Filter_BuildingAreaBreakdownRow">'Building Area Breakdown'!$A$5:$A$70</definedName>
    <definedName name="Filter_BuildingRCNCol">'Building RCN'!$E$57:$O$57</definedName>
    <definedName name="Filter_BuildingRCNRow">'Building RCN'!$A$4:$A$55</definedName>
    <definedName name="Filter_CostApproachRow">'Cost Approach Schedule'!$A$5:$A$76</definedName>
    <definedName name="Filter_CostDepExtractionRow">'Depreciation Extraction'!$A$8:$A$18</definedName>
    <definedName name="Filter_CostDepreciationCol">'Cost Depreciation'!$V$209:$AE$209</definedName>
    <definedName name="Filter_CostDepreciationRow">'Cost Depreciation'!$A$3:$A$208</definedName>
    <definedName name="Filter_CostDepreciationRow2">'Cost Depreciation'!$B$20:$B$63</definedName>
    <definedName name="Filter_DCF1Col">'DCF 1'!$F$124:$R$124</definedName>
    <definedName name="Filter_DCF1Row">'DCF 1'!$A$6:$A$119</definedName>
    <definedName name="Filter_DCF2Col">'DCF 2'!$F$124:$R$124</definedName>
    <definedName name="Filter_DCF2Row">'DCF 2'!$A$7:$A$119</definedName>
    <definedName name="Filter_DCF3Col">'DCF 3'!$F$124:$R$124</definedName>
    <definedName name="Filter_DCF3Row">'DCF 3'!$A$7:$A$119</definedName>
    <definedName name="Filter_DCFReversionCol">'DCF Reversion'!$F$27:$M$27</definedName>
    <definedName name="Filter_DCFReversionRow">'DCF Reversion'!$A$7:$A$20</definedName>
    <definedName name="Filter_DirectCapitalizationRow">'Direct Capitalization'!$A$3:$A$130</definedName>
    <definedName name="Filter_ExpenseCompsCol_Filter">'Expense Comps'!$E$77:$W$77</definedName>
    <definedName name="Filter_ExpenseCompsRow_Filter">'Expense Comps'!$Z$5:$Z$75</definedName>
    <definedName name="Filter_ExpenseCompsRow_Total_Filter">'Expense Comps'!$AA$5:$AA$75</definedName>
    <definedName name="Filter_ExpenseEstimatesCol">'Expense Estimates'!$E$358:$AD$358</definedName>
    <definedName name="Filter_ExpenseEstimatesRow">'Expense Estimates'!$A$8:$A$378</definedName>
    <definedName name="Filter_IncomeAssumptionsRow">'Income Assumptions'!$A$5:$A$76</definedName>
    <definedName name="Filter_IncomeAssumptionsRow2">'Income Assumptions'!$B$5:$B$58</definedName>
    <definedName name="Filter_IncomeEstimatesRow">'Other Income Estimates'!$A$4:$A$64</definedName>
    <definedName name="Filter_IncomeExpenseHistoryCol_Filter">'Income Expense History'!$E$78:$S$78</definedName>
    <definedName name="Filter_IncomeExpenseHistoryRow_Filter">'Income Expense History'!$V$5:$V$76</definedName>
    <definedName name="Filter_IncomeGLRent_Row_Filter">'GL Rent'!$A$6:$A$20</definedName>
    <definedName name="Filter_IncomeSupportRow">'Income Support'!$A$18:$A$25</definedName>
    <definedName name="Filter_InsurableCostRow">'Insurable Cost'!$A$5:$A$50</definedName>
    <definedName name="Filter_InvestorSurveysRow">'BOI Investor Surveys'!$A$28:$A$176</definedName>
    <definedName name="Filter_LandAdjGridRow_Filter">'Land Adjustments'!$A$10:$A$192</definedName>
    <definedName name="Filter_LandAdjGridRow_Filter_1">'Land Adjustments 1'!$A$10:$A$185</definedName>
    <definedName name="Filter_LandAdjGridRow_Filter_2">'Land Adjustments 2'!$A$10:$A$187</definedName>
    <definedName name="Filter_LandSummaryDetailRow_Filter">'Land Summary Detailed'!$A$6:$A$61</definedName>
    <definedName name="Filter_LandSummaryDetailRow_Filter_1">'Land Summary Detailed'!$A$67:$A$122</definedName>
    <definedName name="Filter_LandSummaryDetailRow_Filter_2">'Land Summary Detailed'!$A$128:$A$183</definedName>
    <definedName name="Filter_LandSummaryLightCol_Filter">'Land Summary Light'!$D$12:$Z$12</definedName>
    <definedName name="Filter_LandSummaryLightColB1_Filter">'Land Summary Light'!$AF$25:$BB$25</definedName>
    <definedName name="Filter_LandSummaryLightColB2_Filter">'Land Summary Light'!$BH$38:$CD$38</definedName>
    <definedName name="Filter_LeaseExpirationRow">'Lease Expiration'!$A$15:$A$30</definedName>
    <definedName name="Filter_LeaseUpCol">'Lease-Up'!$O$94:$CH$94</definedName>
    <definedName name="Filter_LeaseUpRow">'Lease-Up'!$A$5:$A$91</definedName>
    <definedName name="Filter_MarketOARCol_Filter">'Market OAR'!$F$17:$V$17</definedName>
    <definedName name="Filter_MarketOARColB1_Filter">'Market OAR'!$AK$29:$BA$29</definedName>
    <definedName name="Filter_MarketOARColB2_Filter">'Market OAR'!$BI$41:$BY$41</definedName>
    <definedName name="Filter_MarketStudyRow">'MS Charts'!$A$8:$A$19</definedName>
    <definedName name="Filter_RCNRow">'Other RCN'!$A$5:$A$94</definedName>
    <definedName name="Filter_RegionalDataRow">RegionalESRI!$A$8:$A$24</definedName>
    <definedName name="Filter_RentAdjGridRow_Filter">'Rent Adjustments'!$A$11:$A$172</definedName>
    <definedName name="Filter_RentAdjGridRow_Filter_1">'Rent Adjustments 1'!$A$11:$A$172</definedName>
    <definedName name="Filter_RentAdjGridRow_Filter_2">'Rent Adjustments 2'!$A$11:$A$172</definedName>
    <definedName name="Filter_RentRollBreakdownRow">'Rent Roll Breakdown'!$A$3:$A$1724</definedName>
    <definedName name="Filter_RentRollCol">'Rent Roll'!$M$219:$U$219</definedName>
    <definedName name="Filter_RentRollRow">'Rent Roll'!$A$6:$A$217</definedName>
    <definedName name="Filter_RentSummaryDetailRow_Filter">'Rent Summary Detail'!$A$6:$A$44</definedName>
    <definedName name="Filter_RentSummaryDetailRow_Filter_1">'Rent Summary Detail'!$A$50:$A$88</definedName>
    <definedName name="Filter_RentSummaryDetailRow_Filter_2">'Rent Summary Detail'!$A$94:$A$132</definedName>
    <definedName name="Filter_RentSummaryLightCol_Filter">'Rent Summary Light'!$D$12:$W$12</definedName>
    <definedName name="Filter_RentSummaryLightColB1_Filter">'Rent Summary Light'!$AC$25:$AV$25</definedName>
    <definedName name="Filter_RentSummaryLightColB2_Filter">'Rent Summary Light'!$BB$37:$BU$37</definedName>
    <definedName name="Filter_SalesAdjGridRow_Filter">'Improved Sales Adjustments'!$A$9:$A$191</definedName>
    <definedName name="Filter_SalesAdjGridRow_Filter_1">'Improved Sales Adjustments 1'!$A$9:$A$198</definedName>
    <definedName name="Filter_SalesAdjGridRow_Filter_2">'Improved Sales Adjustments 2'!$A$9:$A$169</definedName>
    <definedName name="Filter_SalesEGIM_Col_Filter">'EGIM Analysis'!$E$14:$Q$14</definedName>
    <definedName name="Filter_SalesEGIM_Row_Filter">'EGIM Analysis'!$A$34:$A$55</definedName>
    <definedName name="Filter_SalesSumLightCol_Filter">'Improved Sales Summary Light'!$E$12:$R$12</definedName>
    <definedName name="Filter_SalesSumLightCol_Filter_1">'Improved Sales Summary Light'!$Y$25:$AL$25</definedName>
    <definedName name="Filter_SalesSumLightCol_Filter_2">'Improved Sales Summary Light'!$AS$37:$BF$37</definedName>
    <definedName name="Filter_SalesSummaryDetailRow_Filter">'Improved Sales Summary Detailed'!$A$6:$A$68</definedName>
    <definedName name="Filter_SalesSummaryDetailRow_Filter_1">'Improved Sales Summary Detailed'!$A$74:$A$136</definedName>
    <definedName name="Filter_SalesSummaryDetailRow_Filter_2">'Improved Sales Summary Detailed'!$A$142:$A$204</definedName>
    <definedName name="Filter_SalientFactsCol">'Salient Facts'!$O$89:$P$89</definedName>
    <definedName name="Filter_SalientFactsRow">'Salient Facts'!$A$5:$A$86</definedName>
    <definedName name="Filter_SpecialtySaleAdjCol">'Specialty Sales Adjustments'!$F$62:$AH$62</definedName>
    <definedName name="Filter_SpecialtySaleAdjCol_1">'Specialty Bucket 1 Sales Adj'!$F$62:$AH$62</definedName>
    <definedName name="Filter_SpecialtySaleAdjCol_2">'Specialty Bucket 2 Sales Adj'!$F$62:$AH$62</definedName>
    <definedName name="Filter_SpecialtySaleAdjRow">'Specialty Sales Adjustments'!$A$22:$A$35</definedName>
    <definedName name="Filter_SpecialtySaleAdjRow_1">'Specialty Bucket 1 Sales Adj'!$A$22:$A$35</definedName>
    <definedName name="Filter_SpecialtySaleAdjRow_2">'Specialty Bucket 2 Sales Adj'!$A$22:$A$35</definedName>
    <definedName name="Filter_TaxCompsCol">'Tax Comps'!$F$17:$M$17</definedName>
    <definedName name="Filter_TaxCompsRow">'Tax Comps'!$A$6:$A$11</definedName>
    <definedName name="Filter_TaxScheduleCol_Filter">'Tax Schedule'!$F$39:$J$39</definedName>
    <definedName name="Filter_TaxScheduleRow">'Tax Schedule'!$A$7:$A$37</definedName>
    <definedName name="Filter_USPSRow">USPS!$A$7:$A$99</definedName>
    <definedName name="Filter_ValueIndicationsCol">'Value Indications'!$F$38:$H$38</definedName>
    <definedName name="Filter_ValueIndicationsRow">'Value Indications'!$A$5:$A$48</definedName>
    <definedName name="Filter_ValueIndicationsRow2">'Value Indications'!$B$19:$B$26</definedName>
    <definedName name="Filter_WellsFargoCol">'Wells Fargo'!$D$83:$H$83</definedName>
    <definedName name="FIPS_CensusTract">NeighborhoodESRI!$L$2</definedName>
    <definedName name="FIPS_County">RegionalESRI!$H$18</definedName>
    <definedName name="FIPS_CSD">RegionalESRI!$H$20</definedName>
    <definedName name="FIPS_MSA">RegionalESRI!$H$17</definedName>
    <definedName name="FIPS_State">RegionalESRI!$H$16</definedName>
    <definedName name="FIPS_Town">RegionalESRI!$H$19</definedName>
    <definedName name="Fred_AltYieldRate_List">'Selection Tables'!$AU$5:$AU$12</definedName>
    <definedName name="FRED_Date_Current">'BOI Investor Surveys'!$H$163</definedName>
    <definedName name="FRED_Date_Retro">'BOI Investor Surveys'!$H$164</definedName>
    <definedName name="FRED_InterestRates_DateCol">'BOI Investor Surveys'!$H$168:$H$175</definedName>
    <definedName name="FRED_InterestRates_RateCol">'BOI Investor Surveys'!$I$168:$I$175</definedName>
    <definedName name="FRED_InterestRates_RateTypeCol">'BOI Investor Surveys'!$L$168:$L$175</definedName>
    <definedName name="Income_Absorb_Period1">Absorption!$O$29</definedName>
    <definedName name="Income_Absorb_Period2">Absorption!$O$30</definedName>
    <definedName name="Income_Absorb_Period3">Absorption!$O$31</definedName>
    <definedName name="Income_Absorb_Period4">Absorption!$O$32</definedName>
    <definedName name="Income_Absorb_Period5">Absorption!$O$33</definedName>
    <definedName name="Income_ActualVacancyRow">'Income Assumptions'!$E$41:$L$41</definedName>
    <definedName name="Income_BOI_Col_1">'BOI Investor Surveys'!$F$8:$F$10</definedName>
    <definedName name="Income_BOI_Col_2">'BOI Investor Surveys'!$K$8:$K$17</definedName>
    <definedName name="Income_BOI_RealtyRatesSource">'BOI Investor Surveys'!$D$4</definedName>
    <definedName name="Income_BOI_Row">'BOI Investor Surveys'!$D$17:$M$17</definedName>
    <definedName name="Income_CollectionLoss2">'Income Assumptions'!$E$43</definedName>
    <definedName name="Income_CollectionLoss3">'Direct Capitalization'!$F$56</definedName>
    <definedName name="Income_ConditionsofLease_Range">'Rent Adjustments'!$G$43:$J$43</definedName>
    <definedName name="Income_ConditionsofLease_Range_1">'Rent Adjustments 1'!$G$43:$L$43</definedName>
    <definedName name="Income_ConditionsofLease_Range_2">'Rent Adjustments 2'!$G$43:$L$43</definedName>
    <definedName name="Income_DCF_AssumpMatrix">'Income Assumptions'!$I$50:$O$57</definedName>
    <definedName name="Income_DCF_AssumpTotalRow">'Income Assumptions'!$D$58:$O$58</definedName>
    <definedName name="Income_DCF_HoldingPeriod1">'Income Assumptions'!$E$28</definedName>
    <definedName name="Income_DCF_HoldingPeriod2">'Income Assumptions'!$G$28</definedName>
    <definedName name="Income_DCF_HoldingPeriod3">'Income Assumptions'!$I$28</definedName>
    <definedName name="Income_DCF_IndicatedValue1">'DCF 1'!$I$116</definedName>
    <definedName name="Income_DCF_IndicatedValue2">'DCF 2'!$I$116</definedName>
    <definedName name="Income_DCF_IndicatedValue3">'DCF 3'!$I$116</definedName>
    <definedName name="Income_DCF_Reversion1">'DCF Reversion'!$F$23</definedName>
    <definedName name="Income_DCF_Reversion2">'DCF Reversion'!$I$23</definedName>
    <definedName name="Income_DCF_Reversion3">'DCF Reversion'!$L$23</definedName>
    <definedName name="Income_DCF1_Table_SubTitle">'DCF 1'!$D$108</definedName>
    <definedName name="Income_DCF2_Table_SubTitle">'DCF 2'!$D$108</definedName>
    <definedName name="Income_DCF3_Table_SubTitle">'DCF 3'!$D$108</definedName>
    <definedName name="Income_DCR">'BOI Investor Surveys'!$F$22</definedName>
    <definedName name="Income_Direct_Capitalization_Sensitivity">'Direct Capitalization'!$S$105:$X$125</definedName>
    <definedName name="Income_DirectCap_AssumpMatrix">'Income Assumptions'!$D$12:$H$19</definedName>
    <definedName name="Income_DirectCap_AssumpTotalRow">'Income Assumptions'!$D$20:$H$20</definedName>
    <definedName name="Income_DirectCap_IndicatedValue1">'Direct Capitalization'!$J$114</definedName>
    <definedName name="Income_DirectCap_IndicatedValue2">'Direct Capitalization'!$J$120</definedName>
    <definedName name="Income_DirectCap_IndicatedValue3">'Direct Capitalization'!$J$125</definedName>
    <definedName name="Income_DirectCap_NOI">'Direct Capitalization'!$J$100</definedName>
    <definedName name="Income_DirectCap_NOI_PSF">'Direct Capitalization'!$H$100</definedName>
    <definedName name="Income_DirectCap_PGI">'Direct Capitalization'!$J$53</definedName>
    <definedName name="Income_DirectCap_ReimbRevenue">'Direct Capitalization'!$J$48</definedName>
    <definedName name="Income_DirectCap_Total_ExpNonReimb">'Direct Capitalization'!$J$96</definedName>
    <definedName name="Income_DirectCap_Total_ExpNonReimb_PSF">'Direct Capitalization'!$H$96</definedName>
    <definedName name="Income_DirectCap_Total_ExpReimb">'Direct Capitalization'!$J$77</definedName>
    <definedName name="Income_DirectCap_Total_ExpReimb_PSF">'Direct Capitalization'!$H$77</definedName>
    <definedName name="Income_DirectCap_Total_OpEx">'Direct Capitalization'!$J$98</definedName>
    <definedName name="Income_DirectCap_Total_OpExRatio">'Direct Capitalization'!$L$98</definedName>
    <definedName name="Income_DirectCap_Total_PGNRI">'Direct Capitalization'!$J$51</definedName>
    <definedName name="Income_DirectCap_Total_PGRI">'Direct Capitalization'!$J$43</definedName>
    <definedName name="Income_DiscRate1_1">'DCF 1'!$I$109</definedName>
    <definedName name="Income_DiscRate2_1">'DCF 2'!$I$109</definedName>
    <definedName name="Income_DiscRate3_1">'DCF 3'!$I$109</definedName>
    <definedName name="Income_EGI_Pool1_1">'Expense Estimates'!$E$4</definedName>
    <definedName name="Income_EGI_Pool1_2">'Expense Estimates'!$E$5</definedName>
    <definedName name="Income_EGI_Pool1_3">'Expense Estimates'!$E$6</definedName>
    <definedName name="Income_EGI_Pool1_4">'Expense Estimates'!$E$7</definedName>
    <definedName name="Income_EGI_Pool2_1">'Expense Estimates'!$G$4</definedName>
    <definedName name="Income_EGI_Pool2_2">'Expense Estimates'!$G$5</definedName>
    <definedName name="Income_EGI_Pool2_3">'Expense Estimates'!$G$6</definedName>
    <definedName name="Income_EGI_Pool2_4">'Expense Estimates'!$G$7</definedName>
    <definedName name="Income_EGI_Pool3_1">'Expense Estimates'!$I$4</definedName>
    <definedName name="Income_EGI_Pool3_2">'Expense Estimates'!$I$5</definedName>
    <definedName name="Income_EGI_Pool3_3">'Expense Estimates'!$I$6</definedName>
    <definedName name="Income_EGI_Pool3_4">'Expense Estimates'!$I$7</definedName>
    <definedName name="Income_EquityDividendRate">'BOI Investor Surveys'!$F$12</definedName>
    <definedName name="Income_Expense_Admin_Pool_1">'Expense Estimates'!$E$89:$E$97</definedName>
    <definedName name="Income_Expense_Admin_Pool_2">'Expense Estimates'!$G$89:$G$97</definedName>
    <definedName name="Income_Expense_Admin_Pool_3">'Expense Estimates'!$I$89:$I$97</definedName>
    <definedName name="Income_Expense_Admin_Stabilized_1">'Direct Capitalization'!$H$65</definedName>
    <definedName name="Income_Expense_Admin_Stabilized_2">'Direct Capitalization'!$H$84</definedName>
    <definedName name="Income_Expense_CAM_Pool_1">'Expense Estimates'!$E$143:$E$151</definedName>
    <definedName name="Income_Expense_CAM_Pool_2">'Expense Estimates'!$G$143:$G$151</definedName>
    <definedName name="Income_Expense_CAM_Pool_3">'Expense Estimates'!$I$143:$I$151</definedName>
    <definedName name="Income_Expense_CAM_Stabilized_1">'Direct Capitalization'!$H$68</definedName>
    <definedName name="Income_Expense_CAM_Stabilized_2">'Direct Capitalization'!$H$87</definedName>
    <definedName name="Income_Expense_CJ_Pool_1">'Expense Estimates'!$E$161:$E$169</definedName>
    <definedName name="Income_Expense_CJ_Pool_2">'Expense Estimates'!$G$161:$G$169</definedName>
    <definedName name="Income_Expense_CJ_Pool_3">'Expense Estimates'!$I$161:$I$169</definedName>
    <definedName name="Income_Expense_CJ_Stabilized_1">'Direct Capitalization'!$H$69</definedName>
    <definedName name="Income_Expense_CJ_Stabilized_2">'Direct Capitalization'!$H$88</definedName>
    <definedName name="Income_Expense_Insurance_Pool_1">'Expense Estimates'!$E$53:$E$61</definedName>
    <definedName name="Income_Expense_Insurance_Pool_2">'Expense Estimates'!$G$53:$G$61</definedName>
    <definedName name="Income_Expense_Insurance_Pool_3">'Expense Estimates'!$I$53:$I$61</definedName>
    <definedName name="Income_Expense_Insurance_Stabilized_1">'Direct Capitalization'!$H$63</definedName>
    <definedName name="Income_Expense_Insurance_Stabilized_2">'Direct Capitalization'!$H$82</definedName>
    <definedName name="Income_Expense_LC_Pool_1">'Expense Estimates'!$E$269:$E$277</definedName>
    <definedName name="Income_Expense_LC_Pool_2">'Expense Estimates'!$G$269:$G$277</definedName>
    <definedName name="Income_Expense_LC_Pool_3">'Expense Estimates'!$I$269:$I$277</definedName>
    <definedName name="Income_Expense_LC_Stabilized_1">'Direct Capitalization'!$H$75</definedName>
    <definedName name="Income_Expense_LC_Stabilized_2">'Direct Capitalization'!$H$94</definedName>
    <definedName name="Income_Expense_Leasing_Pool_1">'Expense Estimates'!$E$179:$E$187</definedName>
    <definedName name="Income_Expense_Leasing_Pool_2">'Expense Estimates'!$G$179:$G$187</definedName>
    <definedName name="Income_Expense_Leasing_Pool_3">'Expense Estimates'!$I$179:$I$187</definedName>
    <definedName name="Income_Expense_Leasing_Stabilized_1">'Direct Capitalization'!$H$70</definedName>
    <definedName name="Income_Expense_Leasing_Stabilized_2">'Direct Capitalization'!$H$89</definedName>
    <definedName name="Income_Expense_MgmtFees_Pool_1">'Expense Estimates'!$F$71:$F$79</definedName>
    <definedName name="Income_Expense_MgmtFees_Pool_2">'Expense Estimates'!$H$71:$H$79</definedName>
    <definedName name="Income_Expense_MgmtFees_Pool_3">'Expense Estimates'!$J$71:$J$79</definedName>
    <definedName name="Income_Expense_MgmtFees_Stabilized_1">'Direct Capitalization'!$L$64</definedName>
    <definedName name="Income_Expense_MgmtFees_Stabilized_2">'Direct Capitalization'!$L$83</definedName>
    <definedName name="Income_Expense_OtherOps_Pool_1">'Expense Estimates'!$E$251:$E$259</definedName>
    <definedName name="Income_Expense_OtherOps_Pool_2">'Expense Estimates'!$G$251:$G$259</definedName>
    <definedName name="Income_Expense_OtherOps_Pool_3">'Expense Estimates'!$I$251:$I$259</definedName>
    <definedName name="Income_Expense_OtherOps_Stabilized_1">'Direct Capitalization'!$H$74</definedName>
    <definedName name="Income_Expense_OtherOps_Stabilized_2">'Direct Capitalization'!$H$93</definedName>
    <definedName name="Income_Expense_OtherTax_Pool_1">'Expense Estimates'!$E$35:$E$43</definedName>
    <definedName name="Income_Expense_OtherTax_Pool_2">'Expense Estimates'!$G$35:$G$43</definedName>
    <definedName name="Income_Expense_OtherTax_Pool_3">'Expense Estimates'!$I$35:$I$43</definedName>
    <definedName name="Income_Expense_OtherTaxes_Stabilized_1">'Direct Capitalization'!$H$62</definedName>
    <definedName name="Income_Expense_OtherTaxes_Stabilized_2">'Direct Capitalization'!$H$81</definedName>
    <definedName name="Income_Expense_Payroll_Pool_1">'Expense Estimates'!$E$197:$E$205</definedName>
    <definedName name="Income_Expense_Payroll_Pool_2">'Expense Estimates'!$G$197:$G$205</definedName>
    <definedName name="Income_Expense_Payroll_Pool_3">'Expense Estimates'!$I$197:$I$205</definedName>
    <definedName name="Income_Expense_Payroll_Stabilized_1">'Direct Capitalization'!$H$71</definedName>
    <definedName name="Income_Expense_Payroll_Stabilized_2">'Direct Capitalization'!$H$90</definedName>
    <definedName name="Income_Expense_Reserves_Pool_1">'Expense Estimates'!$E$287:$E$295</definedName>
    <definedName name="Income_Expense_Reserves_Pool_2">'Expense Estimates'!$G$287:$G$295</definedName>
    <definedName name="Income_Expense_Reserves_Pool_3">'Expense Estimates'!$I$287:$I$295</definedName>
    <definedName name="Income_Expense_Reserves_Stabilized_1">'Direct Capitalization'!$H$76</definedName>
    <definedName name="Income_Expense_Reserves_Stabilized_2">'Direct Capitalization'!$H$95</definedName>
    <definedName name="Income_Expense_RETax_Pool_1">'Expense Estimates'!$E$17:$E$25</definedName>
    <definedName name="Income_Expense_RETax_Pool_2">'Expense Estimates'!$G$17:$G$25</definedName>
    <definedName name="Income_Expense_RETax_Pool_3">'Expense Estimates'!$I$17:$I$25</definedName>
    <definedName name="Income_Expense_RETax_Stabilized_1">'Direct Capitalization'!$H$61</definedName>
    <definedName name="Income_Expense_RETax_Stabilized_1_Total">'Direct Capitalization'!$J$61</definedName>
    <definedName name="Income_Expense_RETax_Stabilized_2">'Direct Capitalization'!$H$80</definedName>
    <definedName name="Income_Expense_RETax_Stabilized_2_Total">'Direct Capitalization'!$J$80</definedName>
    <definedName name="Income_Expense_RG_Pool_1">'Expense Estimates'!$E$233:$E$241</definedName>
    <definedName name="Income_Expense_RG_Pool_2">'Expense Estimates'!$G$233:$G$241</definedName>
    <definedName name="Income_Expense_RG_Pool_3">'Expense Estimates'!$I$233:$I$241</definedName>
    <definedName name="Income_Expense_RG_Stabilized_1">'Direct Capitalization'!$H$73</definedName>
    <definedName name="Income_Expense_RG_Stabilized_2">'Direct Capitalization'!$H$92</definedName>
    <definedName name="Income_Expense_RM_Pool_1">'Expense Estimates'!$E$125:$E$133</definedName>
    <definedName name="Income_Expense_RM_Pool_2">'Expense Estimates'!$G$125:$G$133</definedName>
    <definedName name="Income_Expense_RM_Pool_3">'Expense Estimates'!$I$125:$I$133</definedName>
    <definedName name="Income_Expense_RM_Stabilized_1">'Direct Capitalization'!$H$67</definedName>
    <definedName name="Income_Expense_RM_Stabilized_2">'Direct Capitalization'!$H$86</definedName>
    <definedName name="Income_Expense_Security_Pool_1">'Expense Estimates'!$E$215:$E$223</definedName>
    <definedName name="Income_Expense_Security_Pool_2">'Expense Estimates'!$G$215:$G$223</definedName>
    <definedName name="Income_Expense_Security_Pool_3">'Expense Estimates'!$I$215:$I$223</definedName>
    <definedName name="Income_Expense_Security_Stabilized_1">'Direct Capitalization'!$H$72</definedName>
    <definedName name="Income_Expense_Security_Stabilized_2">'Direct Capitalization'!$H$91</definedName>
    <definedName name="Income_Expense_Utilities_Pool_1">'Expense Estimates'!$E$107:$E$115</definedName>
    <definedName name="Income_Expense_Utilities_Pool_2">'Expense Estimates'!$G$107:$G$115</definedName>
    <definedName name="Income_Expense_Utilities_Pool_3">'Expense Estimates'!$I$107:$I$115</definedName>
    <definedName name="Income_Expense_Utilities_Stabilized_1">'Direct Capitalization'!$H$66</definedName>
    <definedName name="Income_Expense_Utilities_Stabilized_2">'Direct Capitalization'!$H$85</definedName>
    <definedName name="Income_ExpenseCat_1_DataRange">'Expense Estimates'!$K$12:$K$21</definedName>
    <definedName name="Income_ExpenseCat_10_DataRange">'Expense Estimates'!$K$174:$K$183</definedName>
    <definedName name="Income_ExpenseCat_11_DataRange">'Expense Estimates'!$K$192:$K$201</definedName>
    <definedName name="Income_ExpenseCat_12_DataRange">'Expense Estimates'!$K$210:$K$219</definedName>
    <definedName name="Income_ExpenseCat_13_DataRange">'Expense Estimates'!$K$228:$K$237</definedName>
    <definedName name="Income_ExpenseCat_14_DataRange">'Expense Estimates'!$K$246:$K$255</definedName>
    <definedName name="Income_ExpenseCat_15_DataRange">'Expense Estimates'!$K$264:$K$273</definedName>
    <definedName name="Income_ExpenseCat_16_DataRange">'Expense Estimates'!$K$282:$K$291</definedName>
    <definedName name="Income_ExpenseCat_17_DataRange">'Expense Estimates'!$K$300:$K$309</definedName>
    <definedName name="Income_ExpenseCat_2_DataRange">'Expense Estimates'!$K$30:$K$39</definedName>
    <definedName name="Income_ExpenseCat_3_DataRange">'Expense Estimates'!$K$48:$K$57</definedName>
    <definedName name="Income_ExpenseCat_4_DataRange">'Expense Estimates'!$L$66:$L$75</definedName>
    <definedName name="Income_ExpenseCat_5_DataRange">'Expense Estimates'!$K$84:$K$93</definedName>
    <definedName name="Income_ExpenseCat_6_DataRange">'Expense Estimates'!$K$102:$K$111</definedName>
    <definedName name="Income_ExpenseCat_7_DataRange">'Expense Estimates'!$K$120:$K$129</definedName>
    <definedName name="Income_ExpenseCat_8_DataRange">'Expense Estimates'!$K$138:$K$147</definedName>
    <definedName name="Income_ExpenseCat_9_DataRange">'Expense Estimates'!$K$156:$K$165</definedName>
    <definedName name="Income_ExpenseGrowthCol">'Income Assumptions'!$E$36:$F$39</definedName>
    <definedName name="Income_ExpenseReimbursements">'Income Expense History'!$W$15</definedName>
    <definedName name="Income_GroundRentComp_AnnualRentCol">'GL Rent'!$J$6:$J$20</definedName>
    <definedName name="Income_GroundRentComp_AnnualReturnCol">'GL Rent'!$M$6:$M$20</definedName>
    <definedName name="Income_GroundRentComp_LandValueEstCol">'GL Rent'!$K$6:$K$20</definedName>
    <definedName name="Income_Inc_OtherIncome_Stabilized_1">'Direct Capitalization'!$H$50</definedName>
    <definedName name="Income_Inc_ParkingInc_Stabilized_1">'Direct Capitalization'!$H$47</definedName>
    <definedName name="Income_Inc_PercentRent_Stabilized_1">'Direct Capitalization'!$H$46</definedName>
    <definedName name="Income_Inc_UserDefInc_Stabilized_1">'Direct Capitalization'!$H$49</definedName>
    <definedName name="Income_IncCat_2_DataRange">'Other Income Estimates'!$E$7:$E$11</definedName>
    <definedName name="Income_IncCat_3_DataRange">'Other Income Estimates'!$E$19:$E$23</definedName>
    <definedName name="Income_IncCat_5_DataRange">'Other Income Estimates'!$E$31:$E$35</definedName>
    <definedName name="Income_IncCat_6_DataRange">'Other Income Estimates'!$E$43:$E$47</definedName>
    <definedName name="Income_IndicatedValue1">'Income Assumptions'!$H$66</definedName>
    <definedName name="Income_IndicatedValue2">'Income Assumptions'!$H$71</definedName>
    <definedName name="Income_IndicatedValue3">'Income Assumptions'!$H$76</definedName>
    <definedName name="Income_InvSurvey_PwC">InvestorSurveys!$B$4:$U$29</definedName>
    <definedName name="Income_InvSurvey_PwC_Category">InvestorSurveys!$B$4:$B$29</definedName>
    <definedName name="Income_InvSurvey_PWC_Date">'BOI Investor Surveys'!$H$30</definedName>
    <definedName name="Income_InvSurvey_RERC">InvestorSurveys!$B$33:$U$66</definedName>
    <definedName name="Income_InvSurvey_RERC_Category">InvestorSurveys!$B$33:$B$66</definedName>
    <definedName name="Income_InvSurvey_RERC_Date">'BOI Investor Surveys'!$H$35</definedName>
    <definedName name="Income_InvSurveys_DiscRate_Col_1">'BOI Investor Surveys'!$D$30:$G$45</definedName>
    <definedName name="Income_InvSurveys_DiscRate_Col_2">'BOI Investor Surveys'!$I$33:$M$34</definedName>
    <definedName name="Income_InvSurveys_DiscRate_Col_3">'BOI Investor Surveys'!$I$38:$M$39</definedName>
    <definedName name="Income_InvSurveys_DiscRate_Col_4">'BOI Investor Surveys'!$M$41</definedName>
    <definedName name="Income_InvSurveys_DiscRate_Row">'BOI Investor Surveys'!$D$46:$M$46</definedName>
    <definedName name="Income_InvSurveys_Expense_Col_1">'BOI Investor Surveys'!$I$124:$M$125</definedName>
    <definedName name="Income_InvSurveys_Expense_Col_2">'BOI Investor Surveys'!$I$129:$M$130</definedName>
    <definedName name="Income_InvSurveys_Expense_Row">'BOI Investor Surveys'!$D$131:$M$131</definedName>
    <definedName name="Income_InvSurveys_Marketing_Col_1">'BOI Investor Surveys'!$I$139:$M$140</definedName>
    <definedName name="Income_InvSurveys_Marketing_Col_2">'BOI Investor Surveys'!$I$144:$M$145</definedName>
    <definedName name="Income_InvSurveys_Marketing_Row">'BOI Investor Surveys'!$D$146:$M$146</definedName>
    <definedName name="Income_InvSurveys_OAR_Col_1">'BOI Investor Surveys'!$I$54:$M$55</definedName>
    <definedName name="Income_InvSurveys_OAR_Col_2">'BOI Investor Surveys'!$I$59:$M$60</definedName>
    <definedName name="Income_InvSurveys_OAR_Col_3">'BOI Investor Surveys'!$M$62</definedName>
    <definedName name="Income_InvSurveys_OAR_Row">'BOI Investor Surveys'!$D$67:$M$67</definedName>
    <definedName name="Income_InvSurveys_RentChange_Col_1">'BOI Investor Surveys'!$I$109:$M$110</definedName>
    <definedName name="Income_InvSurveys_RentChange_Col_2">'BOI Investor Surveys'!$I$114:$M$115</definedName>
    <definedName name="Income_InvSurveys_RentChange_Row">'BOI Investor Surveys'!$D$116:$M$116</definedName>
    <definedName name="Income_InvSurveys_Spread_Row">'BOI Investor Surveys'!$D$101:$M$101</definedName>
    <definedName name="Income_InvSurveys_TermRate_Col_1">'BOI Investor Surveys'!$I$75:$M$76</definedName>
    <definedName name="Income_InvSurveys_TermRate_Col_2">'BOI Investor Surveys'!$I$80:$M$81</definedName>
    <definedName name="Income_InvSurveys_TermRate_Col_3">'BOI Investor Surveys'!$M$83</definedName>
    <definedName name="Income_InvSurveys_TermRate_Row">'BOI Investor Surveys'!$D$84:$M$84</definedName>
    <definedName name="Income_Lease_SignCommence">'Rent Adjustments'!$O$11</definedName>
    <definedName name="Income_Lease_SignCommence_1">'Rent Adjustments 1'!$Q$11</definedName>
    <definedName name="Income_Lease_SignCommence_2">'Rent Adjustments 2'!$Q$11</definedName>
    <definedName name="Income_MarketRentCatCount">'Rent Roll Breakdown'!$A$7:$A$14</definedName>
    <definedName name="Income_MarketRentSpaceTypeRange">'Rent Adjustments'!$O$164:$O$170</definedName>
    <definedName name="Income_MarketRentSpaceTypeRange_1">'Rent Adjustments 1'!$Q$164:$Q$170</definedName>
    <definedName name="Income_MarketRentSpaceTypeRange_2">'Rent Adjustments 2'!$Q$164:$Q$170</definedName>
    <definedName name="Income_MortgageConstant">'BOI Investor Surveys'!$F$11</definedName>
    <definedName name="Income_MortgageInterestRate">'BOI Investor Surveys'!$F$8</definedName>
    <definedName name="Income_MortgageRatio">'BOI Investor Surveys'!$F$10</definedName>
    <definedName name="Income_MortgageTerm">'BOI Investor Surveys'!$F$9</definedName>
    <definedName name="Income_NOI_Number">'Selection Tables'!$V$39</definedName>
    <definedName name="Income_NRA_Pool_1">'Expense Estimates'!$E$3</definedName>
    <definedName name="Income_NRA_Pool_2">'Expense Estimates'!$G$3</definedName>
    <definedName name="Income_NRA_Pool_3">'Expense Estimates'!$I$3</definedName>
    <definedName name="Income_OAR_ActualCol">'Market OAR'!$O$8:$O$14</definedName>
    <definedName name="Income_OAR_ActualColB1">'Market OAR'!$AT$22:$AT$26</definedName>
    <definedName name="Income_OAR_ActualColB2">'Market OAR'!$BR$34:$BR$38</definedName>
    <definedName name="Income_OAR_RemLeaseTermOption">'Market OAR'!$AE$5</definedName>
    <definedName name="Income_OAR_RemLeaseTermOptionB1">'Market OAR'!$AE$6</definedName>
    <definedName name="Income_OAR_RemLeaseTermOptionB2">'Market OAR'!$AE$7</definedName>
    <definedName name="Income_OAR_StabAfterReserveCol">'Market OAR'!$Q$8:$Q$14</definedName>
    <definedName name="Income_OAR_StabAfterReserveColB1">'Market OAR'!$AV$22:$AV$26</definedName>
    <definedName name="Income_OAR_StabAfterReserveColB2">'Market OAR'!$BT$34:$BT$38</definedName>
    <definedName name="Income_OAR_StabPriorReserveCol">'Market OAR'!$P$8:$P$14</definedName>
    <definedName name="Income_OAR_StabPriorReserveColB1">'Market OAR'!$AU$22:$AU$26</definedName>
    <definedName name="Income_OAR_StabPriorReserveColB2">'Market OAR'!$BS$34:$BS$38</definedName>
    <definedName name="Income_OAR2">'Direct Capitalization'!$J$107</definedName>
    <definedName name="Income_OtherIncome">'Income Expense History'!$W$17</definedName>
    <definedName name="Income_OtherIncome_Number">'Selection Tables'!$V$22</definedName>
    <definedName name="Income_ParkingIncome">'Income Expense History'!$W$14</definedName>
    <definedName name="Income_ParkingIncome_Number">'Selection Tables'!$V$20</definedName>
    <definedName name="Income_PercentageRent">'Income Expense History'!$W$13</definedName>
    <definedName name="Income_PercentageRent_Number">'Selection Tables'!$V$19</definedName>
    <definedName name="Income_PRI_Row">'Direct Capitalization'!$D$43:$L$43</definedName>
    <definedName name="Income_RateCol">'Income Assumptions'!$E$45:$F$47</definedName>
    <definedName name="Income_RentAdjGridSelection">'Selection Tables'!$AB$18:$AB$20</definedName>
    <definedName name="Income_RentAdjPrice1">'Rent Adjustments'!$G$41:$J$41</definedName>
    <definedName name="Income_RentAdjPrice1_1">'Rent Adjustments 1'!$G$41:$L$41</definedName>
    <definedName name="Income_RentAdjPrice1_2">'Rent Adjustments 2'!$G$41:$L$41</definedName>
    <definedName name="Income_RentAdjPrice2">'Rent Adjustments'!$G$48:$J$48</definedName>
    <definedName name="Income_RentAdjPrice2_1">'Rent Adjustments 1'!$G$48:$L$48</definedName>
    <definedName name="Income_RentAdjPrice2_2">'Rent Adjustments 2'!$G$48:$L$48</definedName>
    <definedName name="Income_RentAdjPrice3">'Rent Adjustments'!$G$54:$J$54</definedName>
    <definedName name="Income_RentAdjPrice3_1">'Rent Adjustments 1'!$G$54:$L$54</definedName>
    <definedName name="Income_RentAdjPrice3_2">'Rent Adjustments 2'!$G$54:$L$54</definedName>
    <definedName name="Income_RentAdjType">'Selection Tables'!$AL$14</definedName>
    <definedName name="Income_RentAdjType_1">'Selection Tables'!$AM$14</definedName>
    <definedName name="Income_RentAdjType_2">'Selection Tables'!$AN$14</definedName>
    <definedName name="Income_RentAdjustment_11_Range">'Rent Adjustments'!$D$132:$J$132</definedName>
    <definedName name="Income_RentAdjustment_11_Range_1">'Rent Adjustments 1'!$D$132:$L$132</definedName>
    <definedName name="Income_RentAdjustment_11_Range_2">'Rent Adjustments 2'!$D$132:$L$132</definedName>
    <definedName name="Income_RentAdjustment_12_Range">'Rent Adjustments'!$D$138:$J$138</definedName>
    <definedName name="Income_RentAdjustment_12_Range_1">'Rent Adjustments 1'!$D$138:$L$138</definedName>
    <definedName name="Income_RentAdjustment_12_Range_2">'Rent Adjustments 2'!$D$138:$L$138</definedName>
    <definedName name="Income_RentAdjustment_5_Range">'Rent Adjustments'!$G$89:$J$89</definedName>
    <definedName name="Income_RentAdjustment_5_Range_1">'Rent Adjustments 1'!$G$89:$L$89</definedName>
    <definedName name="Income_RentAdjustment_5_Range_2">'Rent Adjustments 2'!$G$89:$L$89</definedName>
    <definedName name="Income_RentClearHeight_AdjRange">'Automated Rent Adjustments'!$K$50:$L$64</definedName>
    <definedName name="Income_RentClearHeight_AdjRange_1">'Automated Rent Adjustments'!$K$91:$L$105</definedName>
    <definedName name="Income_RentClearHeight_AdjRange_2">'Automated Rent Adjustments'!$K$132:$L$146</definedName>
    <definedName name="Income_RentCompOccRange">'Rent Summary Light'!$Q$7:$Q$10</definedName>
    <definedName name="Income_RentCompOccRangeB1">'Rent Summary Light'!$AP$18:$AP$23</definedName>
    <definedName name="Income_RentCompOccRangeB2">'Rent Summary Light'!$BO$30:$BO$35</definedName>
    <definedName name="Income_RentConcessions_MonthsFreeColumn">'Automated Rent Adjustments'!$F$70:$F$84</definedName>
    <definedName name="Income_RentConcessions_MonthsFreeColumnB1">'Automated Rent Adjustments'!$F$111:$F$125</definedName>
    <definedName name="Income_RentConcessions_MonthsFreeColumnB2">'Automated Rent Adjustments'!$F$152:$F$166</definedName>
    <definedName name="Income_RentGrowthCol">'Income Assumptions'!$E$31:$F$34</definedName>
    <definedName name="Income_RentRoll_ManualEntry_End">'Rent Roll - DP-Manual Entry'!$D$98</definedName>
    <definedName name="Income_RentRoll_ManualEntry_Start">'Rent Roll - DP-Manual Entry'!$D$11</definedName>
    <definedName name="Income_RentRoll_SigTenants_Credit">'Rent Roll Breakdown'!$V$39:$V$58</definedName>
    <definedName name="Income_RentRoll_UserDefineCats">'Rent Roll Breakdown'!$M$22:$M$29</definedName>
    <definedName name="Income_RentRollSource">'Selection Tables'!$AB$7</definedName>
    <definedName name="Income_RentRollSourceList">'Selection Tables'!$AP$18:$AP$20</definedName>
    <definedName name="Income_SpaceTypeSelectionRange">'Income Assumptions'!$D$12:$D$19</definedName>
    <definedName name="Income_StabilizedVacancy2">'Income Assumptions'!$E$42</definedName>
    <definedName name="Income_StabilizedVacancy3">'Direct Capitalization'!$F$55</definedName>
    <definedName name="Income_StabVacancyCL">'Income Assumptions'!$E$8</definedName>
    <definedName name="Income_TCat1">'Income Assumptions'!$D$12</definedName>
    <definedName name="Income_TCat1_2">'Income Assumptions'!$D$50</definedName>
    <definedName name="Income_TCat1_3">'Direct Capitalization'!$E$35</definedName>
    <definedName name="Income_TCat1_4">'Rent Roll Breakdown'!$D$7</definedName>
    <definedName name="Income_TCat1_5">'Lease-Up'!$K$6</definedName>
    <definedName name="Income_TCat1_ContractRent_Manual">'Income Assumptions'!$G$12</definedName>
    <definedName name="Income_TCat1_LCNew">'Income Assumptions'!$N$50</definedName>
    <definedName name="Income_TCat1_LCNew_2">'Lease-Up'!$M$73</definedName>
    <definedName name="Income_TCat1_LCRenew">'Income Assumptions'!$O$50</definedName>
    <definedName name="Income_TCat1_LeaseStructure">'Income Assumptions'!$H$12</definedName>
    <definedName name="Income_TCat1_LeaseStructure_DCF">'Income Assumptions'!$I$50</definedName>
    <definedName name="Income_TCat1_LeaseTerm">'Income Assumptions'!$U$50</definedName>
    <definedName name="Income_TCat1_LeaseTerm_2">'Lease-Up'!$L$73</definedName>
    <definedName name="Income_TCat1_MarketRent">'Income Assumptions'!$F$12</definedName>
    <definedName name="Income_TCat1_MarketRent_2">'Income Assumptions'!$G$50</definedName>
    <definedName name="Income_TCat1_MarketRent_3">'Direct Capitalization'!$H$35</definedName>
    <definedName name="Income_TCat1_MarketRent_4">'Lease-Up'!$L$48</definedName>
    <definedName name="Income_TCat1_MonthsVacant_NoGenVac">'Income Support'!$AC$45</definedName>
    <definedName name="Income_TCat1_NRA">'Rent Roll Breakdown'!$AE$267</definedName>
    <definedName name="Income_TCat1_NRA_Manual">'Income Assumptions'!$E$12</definedName>
    <definedName name="Income_TCat1_NRA_Manual_2">'Direct Capitalization'!$F$35</definedName>
    <definedName name="Income_TCat1_NRA_Manual_3">'Lease-Up'!$M$6</definedName>
    <definedName name="Income_TCat1_RenewalProb">'Income Assumptions'!$V$50</definedName>
    <definedName name="Income_TCat1_TINew">'Income Assumptions'!$L$50</definedName>
    <definedName name="Income_TCat1_TINew_2">'Lease-Up'!$L$62</definedName>
    <definedName name="Income_TCat1_TIRenew">'Income Assumptions'!$M$50</definedName>
    <definedName name="Income_TCat2">'Income Assumptions'!$D$13</definedName>
    <definedName name="Income_TCat2_2">'Income Assumptions'!$D$51</definedName>
    <definedName name="Income_TCat2_3">'Direct Capitalization'!$E$36</definedName>
    <definedName name="Income_TCat2_4">'Rent Roll Breakdown'!$D$8</definedName>
    <definedName name="Income_TCat2_5">'Lease-Up'!$K$7</definedName>
    <definedName name="Income_TCat2_ContractRent_Manual">'Income Assumptions'!$G$13</definedName>
    <definedName name="Income_TCat2_LCNew">'Income Assumptions'!$N$51</definedName>
    <definedName name="Income_TCat2_LCNew_2">'Lease-Up'!$M$74</definedName>
    <definedName name="Income_TCat2_LCRenew">'Income Assumptions'!$O$51</definedName>
    <definedName name="Income_TCat2_LeaseStructure">'Income Assumptions'!$H$13</definedName>
    <definedName name="Income_TCat2_LeaseStructure_DCF">'Income Assumptions'!$I$51</definedName>
    <definedName name="Income_TCat2_LeaseTerm">'Income Assumptions'!$U$51</definedName>
    <definedName name="Income_TCat2_LeaseTerm_2">'Lease-Up'!$L$74</definedName>
    <definedName name="Income_TCat2_MarketRent">'Income Assumptions'!$F$13</definedName>
    <definedName name="Income_TCat2_MarketRent_2">'Income Assumptions'!$G$51</definedName>
    <definedName name="Income_TCat2_MarketRent_3">'Direct Capitalization'!$H$36</definedName>
    <definedName name="Income_TCat2_MarketRent_4">'Lease-Up'!$L$49</definedName>
    <definedName name="Income_TCat2_MonthsVacant_NoGenVac">'Income Support'!$AC$65</definedName>
    <definedName name="Income_TCat2_NRA">'Rent Roll Breakdown'!$AM$475</definedName>
    <definedName name="Income_TCat2_NRA_Manual">'Income Assumptions'!$E$13</definedName>
    <definedName name="Income_TCat2_NRA_Manual_2">'Direct Capitalization'!$F$36</definedName>
    <definedName name="Income_TCat2_NRA_Manual_3">'Lease-Up'!$M$7</definedName>
    <definedName name="Income_TCat2_RenewalProb">'Income Assumptions'!$V$51</definedName>
    <definedName name="Income_TCat2_TINew">'Income Assumptions'!$L$51</definedName>
    <definedName name="Income_TCat2_TINew_2">'Lease-Up'!$L$63</definedName>
    <definedName name="Income_TCat2_TIRenew">'Income Assumptions'!$M$51</definedName>
    <definedName name="Income_TCat3">'Income Assumptions'!$D$14</definedName>
    <definedName name="Income_TCat3_2">'Income Assumptions'!$D$52</definedName>
    <definedName name="Income_TCat3_3">'Direct Capitalization'!$E$37</definedName>
    <definedName name="Income_TCat3_4">'Rent Roll Breakdown'!$D$9</definedName>
    <definedName name="Income_TCat3_5">'Lease-Up'!$K$8</definedName>
    <definedName name="Income_TCat3_ContractRent_Manual">'Income Assumptions'!$G$14</definedName>
    <definedName name="Income_TCat3_LCNew">'Income Assumptions'!$N$52</definedName>
    <definedName name="Income_TCat3_LCNew_2">'Lease-Up'!$M$75</definedName>
    <definedName name="Income_TCat3_LCRenew">'Income Assumptions'!$O$52</definedName>
    <definedName name="Income_TCat3_LeaseStructure">'Income Assumptions'!$H$14</definedName>
    <definedName name="Income_TCat3_LeaseStructure_DCF">'Income Assumptions'!$I$52</definedName>
    <definedName name="Income_TCat3_LeaseTerm">'Income Assumptions'!$U$52</definedName>
    <definedName name="Income_TCat3_LeaseTerm_2">'Lease-Up'!$L$75</definedName>
    <definedName name="Income_TCat3_MarketRent">'Income Assumptions'!$F$14</definedName>
    <definedName name="Income_TCat3_MarketRent_2">'Income Assumptions'!$G$52</definedName>
    <definedName name="Income_TCat3_MarketRent_3">'Direct Capitalization'!$H$37</definedName>
    <definedName name="Income_TCat3_MarketRent_4">'Lease-Up'!$L$50</definedName>
    <definedName name="Income_TCat3_MonthsVacant_NoGenVac">'Income Support'!$AC$85</definedName>
    <definedName name="Income_TCat3_NRA">'Rent Roll Breakdown'!$AU$683</definedName>
    <definedName name="Income_TCat3_NRA_Manual">'Income Assumptions'!$E$14</definedName>
    <definedName name="Income_TCat3_NRA_Manual_2">'Direct Capitalization'!$F$37</definedName>
    <definedName name="Income_TCat3_NRA_Manual_3">'Lease-Up'!$M$8</definedName>
    <definedName name="Income_TCat3_RenewalProb">'Income Assumptions'!$V$52</definedName>
    <definedName name="Income_TCat3_TINew">'Income Assumptions'!$L$52</definedName>
    <definedName name="Income_TCat3_TINew_2">'Lease-Up'!$L$64</definedName>
    <definedName name="Income_TCat3_TIRenew">'Income Assumptions'!$M$52</definedName>
    <definedName name="Income_TCat4">'Income Assumptions'!$D$15</definedName>
    <definedName name="Income_TCat4_2">'Income Assumptions'!$D$53</definedName>
    <definedName name="Income_TCat4_3">'Direct Capitalization'!$E$38</definedName>
    <definedName name="Income_TCat4_4">'Rent Roll Breakdown'!$D$10</definedName>
    <definedName name="Income_TCat4_5">'Lease-Up'!$K$9</definedName>
    <definedName name="Income_TCat4_ContractRent_Manual">'Income Assumptions'!$G$15</definedName>
    <definedName name="Income_TCat4_LCNew">'Income Assumptions'!$N$53</definedName>
    <definedName name="Income_TCat4_LCNew_2">'Lease-Up'!$M$76</definedName>
    <definedName name="Income_TCat4_LCRenew">'Income Assumptions'!$O$53</definedName>
    <definedName name="Income_TCat4_LeaseStructure">'Income Assumptions'!$H$15</definedName>
    <definedName name="Income_TCat4_LeaseStructure_DCF">'Income Assumptions'!$I$53</definedName>
    <definedName name="Income_TCat4_LeaseTerm">'Income Assumptions'!$U$53</definedName>
    <definedName name="Income_TCat4_LeaseTerm_2">'Lease-Up'!$L$76</definedName>
    <definedName name="Income_TCat4_MarketRent">'Income Assumptions'!$F$15</definedName>
    <definedName name="Income_TCat4_MarketRent_2">'Income Assumptions'!$G$53</definedName>
    <definedName name="Income_TCat4_MarketRent_3">'Direct Capitalization'!$H$38</definedName>
    <definedName name="Income_TCat4_MarketRent_4">'Lease-Up'!$L$51</definedName>
    <definedName name="Income_TCat4_MonthsVacant_NoGenVac">'Income Support'!$AC$105</definedName>
    <definedName name="Income_TCat4_NRA">'Rent Roll Breakdown'!$BC$891</definedName>
    <definedName name="Income_TCat4_NRA_Manual">'Income Assumptions'!$E$15</definedName>
    <definedName name="Income_TCat4_NRA_Manual_2">'Direct Capitalization'!$F$38</definedName>
    <definedName name="Income_TCat4_NRA_Manual_3">'Lease-Up'!$M$9</definedName>
    <definedName name="Income_TCat4_RenewalProb">'Income Assumptions'!$V$53</definedName>
    <definedName name="Income_TCat4_TINew">'Income Assumptions'!$L$53</definedName>
    <definedName name="Income_TCat4_TINew_2">'Lease-Up'!$L$65</definedName>
    <definedName name="Income_TCat4_TIRenew">'Income Assumptions'!$M$53</definedName>
    <definedName name="Income_TCat5">'Income Assumptions'!$D$16</definedName>
    <definedName name="Income_TCat5_2">'Income Assumptions'!$D$54</definedName>
    <definedName name="Income_TCat5_3">'Direct Capitalization'!$E$39</definedName>
    <definedName name="Income_TCat5_4">'Rent Roll Breakdown'!$D$11</definedName>
    <definedName name="Income_TCat5_5">'Lease-Up'!$K$10</definedName>
    <definedName name="Income_TCat5_ContractRent_Manual">'Income Assumptions'!$G$16</definedName>
    <definedName name="Income_TCat5_LCNew">'Income Assumptions'!$N$54</definedName>
    <definedName name="Income_TCat5_LCNew_2">'Lease-Up'!$M$77</definedName>
    <definedName name="Income_TCat5_LCRenew">'Income Assumptions'!$O$54</definedName>
    <definedName name="Income_TCat5_LeaseStructure">'Income Assumptions'!$H$16</definedName>
    <definedName name="Income_TCat5_LeaseStructure_DCF">'Income Assumptions'!$I$54</definedName>
    <definedName name="Income_TCat5_LeaseTerm">'Income Assumptions'!$U$54</definedName>
    <definedName name="Income_TCat5_LeaseTerm_2">'Lease-Up'!$L$77</definedName>
    <definedName name="Income_TCat5_MarketRent">'Income Assumptions'!$F$16</definedName>
    <definedName name="Income_TCat5_MarketRent_2">'Income Assumptions'!$G$54</definedName>
    <definedName name="Income_TCat5_MarketRent_3">'Direct Capitalization'!$H$39</definedName>
    <definedName name="Income_TCat5_MarketRent_4">'Lease-Up'!$L$52</definedName>
    <definedName name="Income_TCat5_MonthsVacant_NoGenVac">'Income Support'!$AC$125</definedName>
    <definedName name="Income_TCat5_NRA">'Rent Roll Breakdown'!$BK$1099</definedName>
    <definedName name="Income_TCat5_NRA_Manual">'Income Assumptions'!$E$16</definedName>
    <definedName name="Income_TCat5_NRA_Manual_2">'Direct Capitalization'!$F$39</definedName>
    <definedName name="Income_TCat5_NRA_Manual_3">'Lease-Up'!$M$10</definedName>
    <definedName name="Income_TCat5_RenewalProb">'Income Assumptions'!$V$54</definedName>
    <definedName name="Income_TCat5_TINew">'Income Assumptions'!$L$54</definedName>
    <definedName name="Income_TCat5_TINew_2">'Lease-Up'!$L$66</definedName>
    <definedName name="Income_TCat5_TIRenew">'Income Assumptions'!$M$54</definedName>
    <definedName name="Income_TCat6">'Income Assumptions'!$D$17</definedName>
    <definedName name="Income_TCat6_2">'Income Assumptions'!$D$55</definedName>
    <definedName name="Income_TCat6_3">'Direct Capitalization'!$E$40</definedName>
    <definedName name="Income_TCat6_4">'Rent Roll Breakdown'!$D$12</definedName>
    <definedName name="Income_TCat6_5">'Lease-Up'!$K$11</definedName>
    <definedName name="Income_TCat6_ContractRent_Manual">'Income Assumptions'!$G$17</definedName>
    <definedName name="Income_TCat6_LCNew">'Income Assumptions'!$N$55</definedName>
    <definedName name="Income_TCat6_LCNew_2">'Lease-Up'!$M$78</definedName>
    <definedName name="Income_TCat6_LCRenew">'Income Assumptions'!$O$55</definedName>
    <definedName name="Income_TCat6_LeaseStructure">'Income Assumptions'!$H$17</definedName>
    <definedName name="Income_TCat6_LeaseStructure_DCF">'Income Assumptions'!$I$55</definedName>
    <definedName name="Income_TCat6_LeaseTerm">'Income Assumptions'!$U$55</definedName>
    <definedName name="Income_TCat6_LeaseTerm_2">'Lease-Up'!$L$78</definedName>
    <definedName name="Income_TCat6_MarketRent">'Income Assumptions'!$F$17</definedName>
    <definedName name="Income_TCat6_MarketRent_2">'Income Assumptions'!$G$55</definedName>
    <definedName name="Income_TCat6_MarketRent_3">'Direct Capitalization'!$H$40</definedName>
    <definedName name="Income_TCat6_MarketRent_4">'Lease-Up'!$L$53</definedName>
    <definedName name="Income_TCat6_MonthsVacant_NoGenVac">'Income Support'!$AC$145</definedName>
    <definedName name="Income_TCat6_NRA">'Rent Roll Breakdown'!$BS$1307</definedName>
    <definedName name="Income_TCat6_NRA_Manual">'Income Assumptions'!$E$17</definedName>
    <definedName name="Income_TCat6_NRA_Manual_2">'Direct Capitalization'!$F$40</definedName>
    <definedName name="Income_TCat6_NRA_Manual_3">'Lease-Up'!$M$11</definedName>
    <definedName name="Income_TCat6_RenewalProb">'Income Assumptions'!$V$55</definedName>
    <definedName name="Income_TCat6_TINew">'Income Assumptions'!$L$55</definedName>
    <definedName name="Income_TCat6_TINew_2">'Lease-Up'!$L$67</definedName>
    <definedName name="Income_TCat6_TIRenew">'Income Assumptions'!$M$55</definedName>
    <definedName name="Income_TCat7">'Income Assumptions'!$D$18</definedName>
    <definedName name="Income_TCat7_2">'Income Assumptions'!$D$56</definedName>
    <definedName name="Income_TCat7_3">'Direct Capitalization'!$E$41</definedName>
    <definedName name="Income_TCat7_4">'Rent Roll Breakdown'!$D$13</definedName>
    <definedName name="Income_TCat7_5">'Lease-Up'!$K$12</definedName>
    <definedName name="Income_TCat7_ContractRent_Manual">'Income Assumptions'!$G$18</definedName>
    <definedName name="Income_TCat7_LCNew">'Income Assumptions'!$N$56</definedName>
    <definedName name="Income_TCat7_LCNew_2">'Lease-Up'!$M$79</definedName>
    <definedName name="Income_TCat7_LCRenew">'Income Assumptions'!$O$56</definedName>
    <definedName name="Income_TCat7_LeaseStructure">'Income Assumptions'!$H$18</definedName>
    <definedName name="Income_TCat7_LeaseStructure_DCF">'Income Assumptions'!$I$56</definedName>
    <definedName name="Income_TCat7_LeaseTerm">'Income Assumptions'!$U$56</definedName>
    <definedName name="Income_TCat7_LeaseTerm_2">'Lease-Up'!$L$79</definedName>
    <definedName name="Income_TCat7_MarketRent">'Income Assumptions'!$F$18</definedName>
    <definedName name="Income_TCat7_MarketRent_2">'Income Assumptions'!$G$56</definedName>
    <definedName name="Income_TCat7_MarketRent_3">'Direct Capitalization'!$H$41</definedName>
    <definedName name="Income_TCat7_MarketRent_4">'Lease-Up'!$L$54</definedName>
    <definedName name="Income_TCat7_MonthsVacant_NoGenVac">'Income Support'!$AC$165</definedName>
    <definedName name="Income_TCat7_NRA">'Rent Roll Breakdown'!$CA$1515</definedName>
    <definedName name="Income_TCat7_NRA_Manual">'Income Assumptions'!$E$18</definedName>
    <definedName name="Income_TCat7_NRA_Manual_2">'Direct Capitalization'!$F$41</definedName>
    <definedName name="Income_TCat7_NRA_Manual_3">'Lease-Up'!$M$12</definedName>
    <definedName name="Income_TCat7_RenewalProb">'Income Assumptions'!$V$56</definedName>
    <definedName name="Income_TCat7_TINew">'Income Assumptions'!$L$56</definedName>
    <definedName name="Income_TCat7_TINew_2">'Lease-Up'!$L$68</definedName>
    <definedName name="Income_TCat7_TIRenew">'Income Assumptions'!$M$56</definedName>
    <definedName name="Income_TCat8">'Income Assumptions'!$D$19</definedName>
    <definedName name="Income_TCat8_2">'Income Assumptions'!$D$57</definedName>
    <definedName name="Income_TCat8_3">'Direct Capitalization'!$E$42</definedName>
    <definedName name="Income_TCat8_4">'Rent Roll Breakdown'!$D$14</definedName>
    <definedName name="Income_TCat8_5">'Lease-Up'!$K$13</definedName>
    <definedName name="Income_TCat8_ContractRent_Manual">'Income Assumptions'!$G$19</definedName>
    <definedName name="Income_TCat8_LCNew">'Income Assumptions'!$N$57</definedName>
    <definedName name="Income_TCat8_LCNew_2">'Lease-Up'!$M$80</definedName>
    <definedName name="Income_TCat8_LCRenew">'Income Assumptions'!$O$57</definedName>
    <definedName name="Income_TCat8_LeaseStructure">'Income Assumptions'!$H$19</definedName>
    <definedName name="Income_TCat8_LeaseStructure_DCF">'Income Assumptions'!$I$57</definedName>
    <definedName name="Income_TCat8_LeaseTerm">'Income Assumptions'!$U$57</definedName>
    <definedName name="Income_TCat8_LeaseTerm_2">'Lease-Up'!$L$80</definedName>
    <definedName name="Income_TCat8_MarketRent">'Income Assumptions'!$F$19</definedName>
    <definedName name="Income_TCat8_MarketRent_2">'Income Assumptions'!$G$57</definedName>
    <definedName name="Income_TCat8_MarketRent_3">'Direct Capitalization'!$H$42</definedName>
    <definedName name="Income_TCat8_MarketRent_4">'Lease-Up'!$L$55</definedName>
    <definedName name="Income_TCat8_MonthsVacant_NoGenVac">'Income Support'!$AC$185</definedName>
    <definedName name="Income_TCat8_NRA">'Rent Roll Breakdown'!$CI$1723</definedName>
    <definedName name="Income_TCat8_NRA_Manual">'Income Assumptions'!$E$19</definedName>
    <definedName name="Income_TCat8_NRA_Manual_2">'Direct Capitalization'!$F$42</definedName>
    <definedName name="Income_TCat8_NRA_Manual_3">'Lease-Up'!$M$13</definedName>
    <definedName name="Income_TCat8_RenewalProb">'Income Assumptions'!$V$57</definedName>
    <definedName name="Income_TCat8_TINew">'Income Assumptions'!$L$57</definedName>
    <definedName name="Income_TCat8_TINew_2">'Lease-Up'!$L$69</definedName>
    <definedName name="Income_TCat8_TIRenew">'Income Assumptions'!$M$57</definedName>
    <definedName name="Income_TechniqueUsed">'Selection Tables'!$AB$5</definedName>
    <definedName name="Income_TerminalRate_1">'DCF Reversion'!$F$12</definedName>
    <definedName name="Income_UserDefined">'Income Expense History'!$W$16</definedName>
    <definedName name="Income_UserDefinedIncome_Number">'Selection Tables'!$V$21</definedName>
    <definedName name="Income_VacancyActual_2">'Income Assumptions'!$E$41</definedName>
    <definedName name="Income_VandCLCol">'Income Assumptions'!$E$41:$F$43</definedName>
    <definedName name="IncomeTechnique">'Selection Tables'!$AB$29</definedName>
    <definedName name="inctechlist">'Selection Tables'!$AJ$28:$AJ$30</definedName>
    <definedName name="InsurableCost_Method">'Selection Tables'!$H$36</definedName>
    <definedName name="Land_AdjGrid_CornerExp_1">'Land Adjustments 1'!$E$85</definedName>
    <definedName name="Land_AdjGrid_CornerExp_2">'Land Adjustments 2'!$E$85</definedName>
    <definedName name="Land_AdjGrid_FloodPlain_1">'Land Adjustments 1'!$E$111</definedName>
    <definedName name="Land_AdjGrid_FloodPlain_2">'Land Adjustments 2'!$E$111</definedName>
    <definedName name="Land_AdjGrid_Frontage_1">'Land Adjustments 1'!$E$91</definedName>
    <definedName name="Land_AdjGrid_Frontage_2">'Land Adjustments 2'!$E$91</definedName>
    <definedName name="Land_AdjGrid_Location_1">'Land Adjustments 1'!$E$65</definedName>
    <definedName name="Land_AdjGrid_Location_2">'Land Adjustments 2'!$E$65</definedName>
    <definedName name="Land_AdjGrid_PropertyRights_1">'Land Adjustments 1'!$E$33</definedName>
    <definedName name="Land_AdjGrid_PropertyRights_2">'Land Adjustments 2'!$E$33</definedName>
    <definedName name="Land_AdjGrid_ShapeDepth_1">'Land Adjustments 1'!$E$79</definedName>
    <definedName name="Land_AdjGrid_ShapeDepth_2">'Land Adjustments 2'!$E$79</definedName>
    <definedName name="Land_AdjGrid_Topography_1">'Land Adjustments 1'!$E$105</definedName>
    <definedName name="Land_AdjGrid_Topography_2">'Land Adjustments 2'!$E$105</definedName>
    <definedName name="Land_AdjGrid_TrafficCounts_1">'Land Adjustments 1'!$E$123</definedName>
    <definedName name="Land_AdjGrid_TrafficCounts_2">'Land Adjustments 2'!$E$123</definedName>
    <definedName name="Land_AdjGrid_UserDefined_1">'Land Adjustments'!$D$12:$I$12</definedName>
    <definedName name="Land_AdjGrid_UserDefined_1_1">'Land Adjustments 1'!$D$12:$K$12</definedName>
    <definedName name="Land_AdjGrid_UserDefined_1_2">'Land Adjustments 2'!$D$12:$K$12</definedName>
    <definedName name="Land_AdjGrid_UserDefined_2">'Land Adjustments'!$D$13:$I$13</definedName>
    <definedName name="Land_AdjGrid_UserDefined_2_1">'Land Adjustments 1'!$D$13:$K$13</definedName>
    <definedName name="Land_AdjGrid_UserDefined_2_2">'Land Adjustments 2'!$D$13:$K$13</definedName>
    <definedName name="Land_AdjGrid_Utilities_1">'Land Adjustments 1'!$E$99</definedName>
    <definedName name="Land_AdjGrid_Utilities_2">'Land Adjustments 2'!$E$99</definedName>
    <definedName name="Land_AdjGrid_ValueUnits_1">'Land Adjustments 1'!$E$15:$E$22</definedName>
    <definedName name="Land_AdjGrid_ValueUnits_2">'Land Adjustments 2'!$E$15:$E$22</definedName>
    <definedName name="Land_AdjGrid_Zoning_1">'Land Adjustments 1'!$E$117</definedName>
    <definedName name="Land_AdjGrid_Zoning_2">'Land Adjustments 2'!$E$117</definedName>
    <definedName name="Land_AdjGridSelection">'Selection Tables'!$F$17:$F$18</definedName>
    <definedName name="Land_AdjPrice1">'Land Adjustments'!$F$56:$I$56</definedName>
    <definedName name="Land_AdjPrice1_1">'Land Adjustments 1'!$F$56:$K$56</definedName>
    <definedName name="Land_AdjPrice1_2">'Land Adjustments 2'!$F$56:$K$56</definedName>
    <definedName name="Land_AdjPrice2">'Land Adjustments'!$F$62:$I$62</definedName>
    <definedName name="Land_AdjPrice2_1">'Land Adjustments 1'!$F$62:$K$62</definedName>
    <definedName name="Land_AdjPrice2_2">'Land Adjustments 2'!$F$62:$K$62</definedName>
    <definedName name="Land_AdjType">'Selection Tables'!$AL$5</definedName>
    <definedName name="Land_AdjType_1">'Selection Tables'!$AM$5</definedName>
    <definedName name="Land_AdjType_2">'Selection Tables'!$AN$5</definedName>
    <definedName name="Land_Adjustment_11_Range">'Land Adjustments'!$D$129:$I$129</definedName>
    <definedName name="Land_Adjustment_11_Range_1">'Land Adjustments 1'!$D$129:$K$129</definedName>
    <definedName name="Land_Adjustment_11_Range_2">'Land Adjustments 2'!$D$129:$K$129</definedName>
    <definedName name="Land_Adjustment_12_Range">'Land Adjustments'!$D$135:$I$135</definedName>
    <definedName name="Land_Adjustment_12_Range_1">'Land Adjustments 1'!$D$135:$K$135</definedName>
    <definedName name="Land_Adjustment_12_Range_2">'Land Adjustments 2'!$D$135:$K$135</definedName>
    <definedName name="land_adjustmentlist">'Selection Tables'!$I$5:$I$7</definedName>
    <definedName name="Land_ConditionsofSale_AdjustedRange">'Land Adjustments'!$F$52:$I$52</definedName>
    <definedName name="Land_ConditionsofSale_AdjustedRange_1">'Land Adjustments 1'!$F$52:$K$52</definedName>
    <definedName name="Land_ConditionsofSale_AdjustedRange_2">'Land Adjustments 2'!$F$52:$K$52</definedName>
    <definedName name="Land_ConditionsofSaleRange">'Land Adjustments'!$F$48:$I$48</definedName>
    <definedName name="Land_ConditionsofSaleRange_1">'Land Adjustments 1'!$F$48:$K$48</definedName>
    <definedName name="Land_ConditionsofSaleRange_2">'Land Adjustments 2'!$F$48:$K$48</definedName>
    <definedName name="Land_ConditionsofSaleRange_UserInput">'Land Adjustments'!$F$49:$I$51</definedName>
    <definedName name="Land_ConditionsofSaleRange_UserInput_1">'Land Adjustments 1'!$F$49:$K$51</definedName>
    <definedName name="Land_ConditionsofSaleRange_UserInput_2">'Land Adjustments 2'!$F$49:$K$51</definedName>
    <definedName name="Land_CornerExpnrr_UserInput_2">'Land Adjustments 2'!$F$87:$K$89</definedName>
    <definedName name="Land_CornerExpRange">'Land Adjustments'!$F$86:$I$86</definedName>
    <definedName name="Land_CornerExpRange_1">'Land Adjustments 1'!$F$86:$K$86</definedName>
    <definedName name="Land_CornerExpRange_2">'Land Adjustments 2'!$F$86:$K$86</definedName>
    <definedName name="Land_CornerExpRange_UserInput">'Land Adjustments'!$F$87:$I$89</definedName>
    <definedName name="Land_CornerExpRange_UserInput_1">'Land Adjustments 1'!$F$87:$K$89</definedName>
    <definedName name="Land_CornerExpRange_UserInput_2">'Land Adjustments 2'!$F$87:$K$89</definedName>
    <definedName name="Land_DemolitionCost_Table">'Land Adjustments'!$AG$148:$AG$150</definedName>
    <definedName name="Land_DemolitionCost_Table_1">'Land Adjustments 1'!$AI$148:$AI$150</definedName>
    <definedName name="Land_DemolitionCost_Table_2">'Land Adjustments 2'!$AI$148:$AI$150</definedName>
    <definedName name="Land_ExcessSurplusUserDefined_NameRange">'Land Adjustments'!$T$171:$T$173</definedName>
    <definedName name="Land_ExcessSurplusUserDefined_ValueRange">'Land Adjustments'!$V$170:$V$173</definedName>
    <definedName name="Land_ExpendituresAfterSaleRange">'Land Adjustments'!$F$55:$I$55</definedName>
    <definedName name="Land_ExpendituresAfterSaleRange_1">'Land Adjustments 1'!$F$55:$K$55</definedName>
    <definedName name="Land_ExpendituresAfterSaleRange_2">'Land Adjustments 2'!$F$55:$K$55</definedName>
    <definedName name="Land_FinalAdjustedRange">'Land Adjustments'!$F$143:$I$143</definedName>
    <definedName name="Land_FinalAdjustedRange_1">'Land Adjustments 1'!$F$143:$K$143</definedName>
    <definedName name="Land_FinalAdjustedRange_2">'Land Adjustments 2'!$F$143:$K$143</definedName>
    <definedName name="Land_FinancingTerms_AdjustedRange">'Land Adjustments'!$F$45:$I$45</definedName>
    <definedName name="Land_FinancingTerms_AdjustedRange_1">'Land Adjustments 1'!$F$45:$K$45</definedName>
    <definedName name="Land_FinancingTerms_AdjustedRange_2">'Land Adjustments 2'!$F$45:$K$45</definedName>
    <definedName name="Land_FinancingTermsRange">'Land Adjustments'!$F$41:$I$41</definedName>
    <definedName name="Land_FinancingTermsRange_1">'Land Adjustments 1'!$F$41:$K$41</definedName>
    <definedName name="Land_FinancingTermsRange_2">'Land Adjustments 2'!$F$41:$K$41</definedName>
    <definedName name="Land_FinancingTermsRange_UserInput">'Land Adjustments'!$F$42:$I$44</definedName>
    <definedName name="Land_FinancingTermsRange_UserInput_1">'Land Adjustments 1'!$F$42:$K$44</definedName>
    <definedName name="Land_FinancingTermsRange_UserInput_2">'Land Adjustments 2'!$F$42:$K$44</definedName>
    <definedName name="Land_FloodplainRange">'Land Adjustments'!$F$112:$I$112</definedName>
    <definedName name="Land_FloodplainRange_1">'Land Adjustments 1'!$F$112:$K$112</definedName>
    <definedName name="Land_FloodplainRange_2">'Land Adjustments 2'!$F$112:$K$112</definedName>
    <definedName name="Land_FloodplainRange_UserInput">'Land Adjustments'!$F$113:$I$115</definedName>
    <definedName name="Land_FloodplainRange_UserInput_1">'Land Adjustments 1'!$F$113:$K$115</definedName>
    <definedName name="Land_FloodplainRange_UserInput_2">'Land Adjustments 2'!$F$113:$K$115</definedName>
    <definedName name="Land_FrontageRange">'Land Adjustments'!$F$94:$I$94</definedName>
    <definedName name="Land_FrontageRange_1">'Land Adjustments 1'!$F$94:$K$94</definedName>
    <definedName name="Land_FrontageRange_2">'Land Adjustments 2'!$F$94:$K$94</definedName>
    <definedName name="Land_FrontageRange_UserInput">'Land Adjustments'!$F$95:$I$97</definedName>
    <definedName name="Land_FrontageRange_UserInput_1">'Land Adjustments 1'!$F$95:$K$97</definedName>
    <definedName name="Land_FrontageRange_UserInput_2">'Land Adjustments 2'!$F$95:$K$97</definedName>
    <definedName name="Land_IndicationSize_1">'Land Adjustments'!$O$158</definedName>
    <definedName name="Land_IndicationSize_1_1">'Land Adjustments 1'!$Q$158</definedName>
    <definedName name="Land_IndicationSize_1_2">'Land Adjustments 2'!$Q$158</definedName>
    <definedName name="Land_IndicationSize_2">'Land Adjustments'!$O$160</definedName>
    <definedName name="Land_IndicationSize_2_1">'Land Adjustments 1'!$Q$160</definedName>
    <definedName name="Land_IndicationSize_2_2">'Land Adjustments 2'!$Q$160</definedName>
    <definedName name="Land_IndicationSize_3">'Land Adjustments'!$O$162</definedName>
    <definedName name="Land_IndicationSize_3_1">'Land Adjustments 1'!$Q$162</definedName>
    <definedName name="Land_IndicationSize_3_2">'Land Adjustments 2'!$Q$162</definedName>
    <definedName name="Land_LandSizeAlt">'Land Adjustments'!$P$180:$P$191</definedName>
    <definedName name="Land_LandSizeAlt_1">'Land Adjustments 1'!$R$173:$R$184</definedName>
    <definedName name="Land_LandSizeAlt_2">'Land Adjustments 2'!$R$175:$R$186</definedName>
    <definedName name="Land_LandValueUnitAlt">'Land Adjustments'!$R$180:$T$191</definedName>
    <definedName name="Land_LandValueUnitAlt_1">'Land Adjustments 1'!$T$173:$V$184</definedName>
    <definedName name="Land_LandValueUnitAlt_2">'Land Adjustments 2'!$T$175:$V$186</definedName>
    <definedName name="Land_LocationRange">'Land Adjustments'!$F$67:$I$67</definedName>
    <definedName name="Land_LocationRange_1">'Land Adjustments 1'!$F$67:$K$67</definedName>
    <definedName name="Land_LocationRange_2">'Land Adjustments 2'!$F$67:$K$67</definedName>
    <definedName name="Land_LocationRange_UserInput">'Land Adjustments'!$F$68:$I$70</definedName>
    <definedName name="Land_LocationRange_UserInput_1">'Land Adjustments 1'!$F$68:$K$70</definedName>
    <definedName name="Land_LocationRange_UserInput_2">'Land Adjustments 2'!$F$68:$K$70</definedName>
    <definedName name="Land_MostComparableRange">'Land Adjustments'!$F$7:$I$7</definedName>
    <definedName name="Land_MostComparableRange_1">'Land Adjustments 1'!$F$7:$K$7</definedName>
    <definedName name="Land_MostComparableRange_2">'Land Adjustments 2'!$F$7:$K$7</definedName>
    <definedName name="Land_NetPhysicalRange">'Land Adjustments'!$F$140:$I$140</definedName>
    <definedName name="Land_NetPhysicalRange_1">'Land Adjustments 1'!$F$140:$K$140</definedName>
    <definedName name="Land_NetPhysicalRange_2">'Land Adjustments 2'!$F$140:$K$140</definedName>
    <definedName name="Land_PrimaryUserDefined_NameRange">'Land Adjustments'!$T$164:$T$166</definedName>
    <definedName name="Land_PrimaryUserDefined_NameRange_1">'Land Adjustments 1'!$V$164:$V$166</definedName>
    <definedName name="Land_PrimaryUserDefined_NameRange_2">'Land Adjustments 2'!$V$165:$V$167</definedName>
    <definedName name="Land_PropertyRightsConveyed_AdjustedRange">'Land Adjustments'!$F$38:$I$38</definedName>
    <definedName name="Land_PropertyRightsConveyed_AdjustedRange_1">'Land Adjustments 1'!$F$38:$K$38</definedName>
    <definedName name="Land_PropertyRightsConveyed_AdjustedRange_2">'Land Adjustments 2'!$F$38:$K$38</definedName>
    <definedName name="Land_PropertyRightsRange">'Land Adjustments'!$F$34:$I$34</definedName>
    <definedName name="Land_PropertyRightsRange_1">'Land Adjustments 1'!$F$34:$K$34</definedName>
    <definedName name="Land_PropertyRightsRange_2">'Land Adjustments 2'!$F$34:$K$34</definedName>
    <definedName name="Land_PropertyRightsRange_UserInput">'Land Adjustments'!$F$35:$I$37</definedName>
    <definedName name="Land_PropertyRightsRange_UserInput_1">'Land Adjustments 1'!$F$35:$K$37</definedName>
    <definedName name="Land_PropertyRightsRange_UserInput_2">'Land Adjustments 2'!$F$35:$K$37</definedName>
    <definedName name="Land_ReasonableHigh">'Land Adjustments'!$T$160</definedName>
    <definedName name="Land_ReasonableHigh_1">'Land Adjustments 1'!$V$160</definedName>
    <definedName name="Land_ReasonableHigh_2">'Land Adjustments 2'!$V$160</definedName>
    <definedName name="Land_ReasonableLow">'Land Adjustments'!$T$158</definedName>
    <definedName name="Land_ReasonableLow_1">'Land Adjustments 1'!$V$158</definedName>
    <definedName name="Land_ReasonableLow_2">'Land Adjustments 2'!$V$158</definedName>
    <definedName name="Land_ShapeDepthRange">'Land Adjustments'!$F$80:$I$80</definedName>
    <definedName name="Land_ShapeDepthRange_1">'Land Adjustments 1'!$F$80:$K$80</definedName>
    <definedName name="Land_ShapeDepthRange_2">'Land Adjustments 2'!$F$80:$K$80</definedName>
    <definedName name="Land_ShapeDepthRange_UserInput">'Land Adjustments'!$F$81:$I$83</definedName>
    <definedName name="Land_ShapeDepthRange_UserInput_1">'Land Adjustments 1'!$F$81:$K$83</definedName>
    <definedName name="Land_ShapeDepthRange_UserInput_2">'Land Adjustments 2'!$F$81:$K$83</definedName>
    <definedName name="land_sizelist">'Selection Tables'!$C$12:$C$19</definedName>
    <definedName name="Land_SizeRange">'Land Adjustments'!$F$74:$I$74</definedName>
    <definedName name="Land_SizeRange_1">'Land Adjustments 1'!$F$74:$K$74</definedName>
    <definedName name="Land_SizeRange_2">'Land Adjustments 2'!$F$74:$K$74</definedName>
    <definedName name="Land_SizeRange_Narrative">'Land Adjustments'!$F$73:$I$73</definedName>
    <definedName name="Land_SizeRange_Narrative_1">'Land Adjustments 1'!$F$73:$K$73</definedName>
    <definedName name="Land_SizeRange_Narrative_2">'Land Adjustments 2'!$F$73:$K$73</definedName>
    <definedName name="Land_SizeRange_UserInput">'Land Adjustments'!$F$75:$I$77</definedName>
    <definedName name="Land_SizeRange_UserInput_1">'Land Adjustments 1'!$F$75:$K$77</definedName>
    <definedName name="Land_SizeRange_UserInput_2">'Land Adjustments 2'!$F$75:$K$77</definedName>
    <definedName name="Land_TopographyRange">'Land Adjustments'!$F$106:$I$106</definedName>
    <definedName name="Land_TopographyRange_1">'Land Adjustments 1'!$F$106:$K$106</definedName>
    <definedName name="Land_TopographyRange_2">'Land Adjustments 2'!$F$106:$K$106</definedName>
    <definedName name="Land_TopographyRange_UserInput">'Land Adjustments'!$F$107:$I$109</definedName>
    <definedName name="Land_TopographyRange_UserInput_1">'Land Adjustments 1'!$F$107:$K$109</definedName>
    <definedName name="Land_TopographyRange_UserInput_2">'Land Adjustments 2'!$F$107:$K$109</definedName>
    <definedName name="Land_TractNames">'Land Adjustments'!$O$180:$O$191</definedName>
    <definedName name="Land_TractNames_1">'Land Adjustments 1'!$Q$173:$Q$184</definedName>
    <definedName name="Land_TractNames_2">'Land Adjustments 2'!$Q$175:$Q$186</definedName>
    <definedName name="Land_TrafficCountsRange">'Land Adjustments'!$F$124:$I$124</definedName>
    <definedName name="Land_TrafficCountsRange_1">'Land Adjustments 1'!$F$124:$K$124</definedName>
    <definedName name="Land_TrafficCountsRange_2">'Land Adjustments 2'!$F$124:$K$124</definedName>
    <definedName name="Land_TrafficCountsRange_UserInput">'Land Adjustments'!$F$125:$I$127</definedName>
    <definedName name="Land_TrafficCountsRange_UserInput_1">'Land Adjustments 1'!$F$125:$K$127</definedName>
    <definedName name="Land_TrafficCountsRange_UserInput_2">'Land Adjustments 2'!$F$125:$K$127</definedName>
    <definedName name="Land_UnAdjustedRange_Front_Foot">'Land Adjustments'!$F$27:$I$27</definedName>
    <definedName name="Land_UnAdjustedRange_Front_Foot_1">'Land Adjustments 1'!$F$27:$K$27</definedName>
    <definedName name="Land_UnAdjustedRange_Front_Foot_2">'Land Adjustments 2'!$F$27:$K$27</definedName>
    <definedName name="Land_UnAdjustedRange_Gross_Per_Acre">'Land Adjustments'!$F$25:$I$25</definedName>
    <definedName name="Land_UnAdjustedRange_Gross_Per_Acre_1">'Land Adjustments 1'!$F$25:$K$25</definedName>
    <definedName name="Land_UnAdjustedRange_Gross_Per_Acre_2">'Land Adjustments 2'!$F$25:$K$25</definedName>
    <definedName name="Land_UnAdjustedRange_Gross_PSF">'Land Adjustments'!$F$26:$I$26</definedName>
    <definedName name="Land_UnAdjustedRange_Gross_PSF_1">'Land Adjustments 1'!$F$26:$K$26</definedName>
    <definedName name="Land_UnAdjustedRange_Gross_PSF_2">'Land Adjustments 2'!$F$26:$K$26</definedName>
    <definedName name="Land_UnAdjustedRange_Lot">'Land Adjustments'!$F$29:$I$29</definedName>
    <definedName name="Land_UnAdjustedRange_Lot_1">'Land Adjustments 1'!$F$29:$K$29</definedName>
    <definedName name="Land_UnAdjustedRange_Lot_2">'Land Adjustments 2'!$F$29:$K$29</definedName>
    <definedName name="Land_UnAdjustedRange_Proposed_SF">'Land Adjustments'!$F$28:$I$28</definedName>
    <definedName name="Land_UnAdjustedRange_Proposed_SF_1">'Land Adjustments 1'!$F$28:$K$28</definedName>
    <definedName name="Land_UnAdjustedRange_Proposed_SF_2">'Land Adjustments 2'!$F$28:$K$28</definedName>
    <definedName name="Land_UnAdjustedRange_Unit">'Land Adjustments'!$F$30:$I$30</definedName>
    <definedName name="Land_UnAdjustedRange_Unit_1">'Land Adjustments 1'!$F$30:$K$30</definedName>
    <definedName name="Land_UnAdjustedRange_Unit_2">'Land Adjustments 2'!$F$30:$K$30</definedName>
    <definedName name="Land_UnAdjustedRange_Usable_Per_Acre">'Land Adjustments'!$F$23:$I$23</definedName>
    <definedName name="Land_UnAdjustedRange_Usable_Per_Acre_1">'Land Adjustments 1'!$F$23:$K$23</definedName>
    <definedName name="Land_UnAdjustedRange_Usable_Per_Acre_2">'Land Adjustments 2'!$F$23:$K$23</definedName>
    <definedName name="Land_UnAdjustedRange_Usable_PSF">'Land Adjustments'!$F$24:$I$24</definedName>
    <definedName name="Land_UnAdjustedRange_Usable_PSF_1">'Land Adjustments 1'!$F$24:$K$24</definedName>
    <definedName name="Land_UnAdjustedRange_Usable_PSF_2">'Land Adjustments 2'!$F$24:$K$24</definedName>
    <definedName name="land_unitslist">'Selection Tables'!$C$23:$C$30</definedName>
    <definedName name="Land_UserDefined1Range">'Land Adjustments'!$F$130:$I$130</definedName>
    <definedName name="Land_UserDefined1Range_1">'Land Adjustments 1'!$F$130:$K$130</definedName>
    <definedName name="Land_UserDefined1Range_2">'Land Adjustments 2'!$F$130:$K$130</definedName>
    <definedName name="Land_UserDefined1Range_UserInput">'Land Adjustments'!$F$131:$I$133</definedName>
    <definedName name="Land_UserDefined1Range_UserInput_1">'Land Adjustments 1'!$F$131:$K$133</definedName>
    <definedName name="Land_UserDefined1Range_UserInput_2">'Land Adjustments 2'!$F$131:$K$133</definedName>
    <definedName name="Land_UserDefined2Range">'Land Adjustments'!$F$136:$I$136</definedName>
    <definedName name="Land_UserDefined2Range_1">'Land Adjustments 1'!$F$136:$K$136</definedName>
    <definedName name="Land_UserDefined2Range_2">'Land Adjustments 2'!$F$136:$K$136</definedName>
    <definedName name="Land_UserDefined2Range_UserInput">'Land Adjustments'!$F$137:$I$139</definedName>
    <definedName name="Land_UserDefined2Range_UserInput_1">'Land Adjustments 1'!$F$137:$K$139</definedName>
    <definedName name="Land_UserDefined2Range_UserInput_2">'Land Adjustments 2'!$F$137:$K$139</definedName>
    <definedName name="Land_UtilitiesRange">'Land Adjustments'!$F$100:$I$100</definedName>
    <definedName name="Land_UtilitiesRange_1">'Land Adjustments 1'!$F$100:$K$100</definedName>
    <definedName name="Land_UtilitiesRange_2">'Land Adjustments 2'!$F$100:$K$100</definedName>
    <definedName name="Land_UtilitiesRange_UserInput">'Land Adjustments'!$F$101:$I$103</definedName>
    <definedName name="Land_UtilitiesRange_UserInput_1">'Land Adjustments 1'!$F$101:$K$103</definedName>
    <definedName name="Land_UtilitiesRange_UserInput_2">'Land Adjustments 2'!$F$101:$K$103</definedName>
    <definedName name="Land_ZoningRange">'Land Adjustments'!$F$118:$I$118</definedName>
    <definedName name="Land_ZoningRange_1">'Land Adjustments 1'!$F$118:$K$118</definedName>
    <definedName name="Land_ZoningRange_2">'Land Adjustments 2'!$F$118:$K$118</definedName>
    <definedName name="Land_ZoningRange_UserInput">'Land Adjustments'!$F$119:$I$121</definedName>
    <definedName name="Land_ZoningRange_UserInput_1">'Land Adjustments 1'!$F$119:$K$121</definedName>
    <definedName name="Land_ZoningRange_UserInput_2">'Land Adjustments 2'!$F$119:$K$121</definedName>
    <definedName name="LandAdjustmentGrid">'Selection Tables'!$F$16</definedName>
    <definedName name="LandUnitDisplay">'Selection Tables'!$AL$7</definedName>
    <definedName name="LandUnitDisplay_1">'Selection Tables'!$AM$7</definedName>
    <definedName name="LandUnitDisplay_2">'Selection Tables'!$AN$7</definedName>
    <definedName name="LandValueEstimate?">'Selection Tables'!$F$14</definedName>
    <definedName name="LBX_Demos">RawDemosLBX!$B$3:$I$84</definedName>
    <definedName name="leasetypelist">'Selection Tables'!$AC$5:$AC$14</definedName>
    <definedName name="lightdetailedlist">'Selection Tables'!$AJ$12:$AJ$14</definedName>
    <definedName name="LightOption_ImpSales">'Selection Tables'!$D$32</definedName>
    <definedName name="LightOption_LandSales">'Selection Tables'!$D$31</definedName>
    <definedName name="LightOption_Rents">'Selection Tables'!$D$33</definedName>
    <definedName name="LUD_ExpenseGrowth">'Lease-Up'!$Q$58</definedName>
    <definedName name="LUD_RentGrowth">'Lease-Up'!$Q$47</definedName>
    <definedName name="LUD_VacantSF_Column">'Lease-Up'!$O$23:$O$30</definedName>
    <definedName name="Main_BlankWS">'Selection Tables'!$AF$14</definedName>
    <definedName name="Main_BuildingAreaBreakDown">'Selection Tables'!$AF$9</definedName>
    <definedName name="Main_CashFlow_Count">'Selection Tables'!$AH$21</definedName>
    <definedName name="Main_Cost">'Selection Tables'!$AF$16</definedName>
    <definedName name="Main_DeferMaint">'Selection Tables'!$AF$6</definedName>
    <definedName name="Main_Demos_Select">'Selection Tables'!$AH$11</definedName>
    <definedName name="Main_EGIM">'Selection Tables'!$AF$18</definedName>
    <definedName name="Main_ExpensePool_Count">'Selection Tables'!$AH$16</definedName>
    <definedName name="Main_GroundLease">'Selection Tables'!$AF$23</definedName>
    <definedName name="Main_Income">'Selection Tables'!$AF$19</definedName>
    <definedName name="Main_Insurable">'Selection Tables'!$AF$7</definedName>
    <definedName name="Main_Land">'Selection Tables'!$AF$15</definedName>
    <definedName name="Main_LBX_Demos">'Selection Tables'!$AF$8</definedName>
    <definedName name="Main_LeaseUp">'Selection Tables'!$AF$5</definedName>
    <definedName name="Main_MarketStudy">'Selection Tables'!$AF$12</definedName>
    <definedName name="Main_Moodys">'Selection Tables'!$AF$13</definedName>
    <definedName name="Main_RiskAssess">'Selection Tables'!$AF$22</definedName>
    <definedName name="Main_Sales">'Selection Tables'!$AF$17</definedName>
    <definedName name="Main_TaxComparables">'Selection Tables'!$AF$11</definedName>
    <definedName name="Main_TaxSchedule">'Selection Tables'!$AF$10</definedName>
    <definedName name="Main_USPS">'Selection Tables'!$AF$20</definedName>
    <definedName name="Main_WF">'Selection Tables'!$AF$21</definedName>
    <definedName name="MapScaleList">NeighborhoodESRI!$P$4:$P$12</definedName>
    <definedName name="MapScaleValue">NeighborhoodESRI!$P$3</definedName>
    <definedName name="MapSizeList">NeighborhoodESRI!$V$4:$V$7</definedName>
    <definedName name="MapSizeValue">NeighborhoodESRI!$V$3</definedName>
    <definedName name="MarketStudy_Vacancy_Trend_1A">Narrative!$F$37</definedName>
    <definedName name="MarketStudy_Vacancy_Trend_1B">Narrative!$F$42</definedName>
    <definedName name="MarketStudy_Vacancy_Trend_2A">Narrative!$F$49</definedName>
    <definedName name="MarketStudy_Vacancy_Trend_2B">Narrative!$F$54</definedName>
    <definedName name="MedianHH_Estimate_1">RegionalLBX!$S$17</definedName>
    <definedName name="MedianHH_Estimate_2">RegionalLBX!$S$18</definedName>
    <definedName name="MedianHH_Estimate_3">RegionalLBX!$S$19</definedName>
    <definedName name="MedianHH_Estimate_4">RegionalLBX!$S$20</definedName>
    <definedName name="Net_Absorption">OFFSET('MS Data'!$AF$4,,,SUMPRODUCT(--(LEN('MS Data'!$AF$4:$AF$82)&gt;0)))</definedName>
    <definedName name="NonRealtyCreditList">'Selection Tables'!$G$32:$G$33</definedName>
    <definedName name="Obsolescence">'Selection Tables'!$J$31</definedName>
    <definedName name="Obsolescencelist">'Selection Tables'!$H$32:$H$33</definedName>
    <definedName name="Population_2010_1">RegionalLBX!$H$6</definedName>
    <definedName name="Population_2010_2">RegionalLBX!$H$7</definedName>
    <definedName name="Population_2010_3">RegionalLBX!$H$8</definedName>
    <definedName name="Population_2010_4">RegionalLBX!$H$9</definedName>
    <definedName name="Population_Estimate_1">RegionalLBX!$I$6</definedName>
    <definedName name="Population_Estimate_2">RegionalLBX!$I$7</definedName>
    <definedName name="Population_Estimate_3">RegionalLBX!$I$8</definedName>
    <definedName name="Population_Estimate_4">RegionalLBX!$I$9</definedName>
    <definedName name="Population_Projection_1">RegionalLBX!$K$6</definedName>
    <definedName name="Population_Projection_2">RegionalLBX!$K$7</definedName>
    <definedName name="Population_Projection_3">RegionalLBX!$K$8</definedName>
    <definedName name="Population_Projection_4">RegionalLBX!$K$9</definedName>
    <definedName name="_xlnm.Print_Area" localSheetId="55">'Automated Rent Adjustments'!$C$47:$M$64</definedName>
    <definedName name="_xlnm.Print_Area" localSheetId="39">'Automated Sales Adjustments'!$C$47:$N$64,'Automated Sales Adjustments'!$C$68:$K$85,'Automated Sales Adjustments'!$C$89:$N$106,'Automated Sales Adjustments'!$C$110:$Q$128</definedName>
    <definedName name="_xlnm.Print_Area" localSheetId="19">'Building Area Breakdown'!$C$4:$J$35</definedName>
    <definedName name="_xlnm.Print_Area" localSheetId="28">'Building RCN'!$C$4:$P$55</definedName>
    <definedName name="_xlnm.Print_Area" localSheetId="33">'Cost Approach Schedule'!$C$4:$H$21</definedName>
    <definedName name="_xlnm.Print_Area" localSheetId="32">'Cost Depreciation'!$C$4:$G$18,'Cost Depreciation'!$C$22:$K$35,'Cost Depreciation'!$C$39:$G$47,'Cost Depreciation'!$C$51:$G$61,'Cost Depreciation'!$C$65:$Q$90,'Cost Depreciation'!$C$94:$M$120,'Cost Depreciation'!$S$124:$AE$207</definedName>
    <definedName name="_xlnm.Print_Area" localSheetId="85">'DCF 1'!$C$4:$S$116</definedName>
    <definedName name="_xlnm.Print_Area" localSheetId="72">'DCF 2'!$C$4:$S$117</definedName>
    <definedName name="_xlnm.Print_Area" localSheetId="73">'DCF 3'!$C$4:$S$119</definedName>
    <definedName name="_xlnm.Print_Area" localSheetId="31">'Depreciation Extraction'!$C$4:$J$24,'Depreciation Extraction'!$C$58:$G$63,'Depreciation Extraction'!$C$67:$F$72</definedName>
    <definedName name="_xlnm.Print_Area" localSheetId="48">'EGIM Analysis'!$C$4:$R$12,'EGIM Analysis'!$V$26:$AD$50</definedName>
    <definedName name="_xlnm.Print_Area" localSheetId="65">'Expense Comps'!$C$4:$X$75</definedName>
    <definedName name="_xlnm.Print_Area" localSheetId="52">'GL Rent'!$C$4:$N$24,'GL Rent'!$R$28:$Z$31</definedName>
    <definedName name="_xlnm.Print_Area" localSheetId="41">'Improved Sales Adjustments'!$C$7:$K$147,'Improved Sales Adjustments'!$O$161:$W$186</definedName>
    <definedName name="_xlnm.Print_Area" localSheetId="38">'Improved Sales Summary Detailed'!$C$4:$J$67</definedName>
    <definedName name="_xlnm.Print_Area" localSheetId="37">'Improved Sales Summary Light'!$C$4:$S$9</definedName>
    <definedName name="_xlnm.Print_Area" localSheetId="51">'Income Assumptions'!$C$4:$I$20,'Income Assumptions'!$C$24:$P$58</definedName>
    <definedName name="_xlnm.Print_Area" localSheetId="64">'Income Expense History'!$C$4:$T$76</definedName>
    <definedName name="_xlnm.Print_Area" localSheetId="34">'Insurable Cost'!$C$4:$I$50</definedName>
    <definedName name="_xlnm.Print_Area" localSheetId="27">'Land Adjustments'!$C$7:$J$143,'Land Adjustments'!$N$156:$W$174</definedName>
    <definedName name="_xlnm.Print_Area" localSheetId="26">'Land Summary Detailed'!$C$4:$I$61</definedName>
    <definedName name="_xlnm.Print_Area" localSheetId="25">'Land Summary Light'!$C$4:$AA$10</definedName>
    <definedName name="_xlnm.Print_Area" localSheetId="50">'Lease-Up'!$J$4:$CI$91</definedName>
    <definedName name="_xlnm.Print_Area" localSheetId="68">'Market OAR'!$C$5:$W$15</definedName>
    <definedName name="_xlnm.Print_Area" localSheetId="30">'Other RCN'!$C$4:$Q$17,'Other RCN'!$C$22:$L$30,'Other RCN'!$C$34:$L$39,'Other RCN'!$C$43:$I$50,'Other RCN'!$C$54:$I$56</definedName>
    <definedName name="_xlnm.Print_Area" localSheetId="56">'Rent Adjustments'!$C$8:$K$146</definedName>
    <definedName name="_xlnm.Print_Area" localSheetId="57">'Rent Adjustments 1'!$C$8:$M$146</definedName>
    <definedName name="_xlnm.Print_Area" localSheetId="58">'Rent Adjustments 2'!$C$8:$M$146</definedName>
    <definedName name="_xlnm.Print_Area" localSheetId="59">'Rent Roll'!$D$4:$P$216</definedName>
    <definedName name="_xlnm.Print_Area" localSheetId="61">'Rent Roll Breakdown'!$C$4:$H$15,'Rent Roll Breakdown'!$AB$63:$AG$267,'Rent Roll Breakdown'!$AJ$271:$AO$475,'Rent Roll Breakdown'!$AR$479:$AW$683,'Rent Roll Breakdown'!$AZ$687:$BE$891,'Rent Roll Breakdown'!$BH$895:$BM$1099,'Rent Roll Breakdown'!$BP$1103:$BU$1307,'Rent Roll Breakdown'!$BX$1311:$CC$1515,'Rent Roll Breakdown'!$CF$1519:$CK$1723</definedName>
    <definedName name="_xlnm.Print_Area" localSheetId="54">'Rent Summary Detail'!$C$4:$J$44,'Rent Summary Detail'!$N$48:$V$88,'Rent Summary Detail'!$Z$92:$AH$132</definedName>
    <definedName name="_xlnm.Print_Area" localSheetId="53">'Rent Summary Light'!$C$4:$W$9</definedName>
    <definedName name="_xlnm.Print_Area" localSheetId="2">'Salient Facts'!$C$4:$F$63</definedName>
    <definedName name="_xlnm.Print_Area" localSheetId="40">'Specialty Sales Adjustments'!$C$4:$AI$13,'Specialty Sales Adjustments'!$C$18:$AI$25</definedName>
    <definedName name="_xlnm.Print_Area" localSheetId="21">'Tax Comps'!$C$4:$P$15</definedName>
    <definedName name="_xlnm.Print_Area" localSheetId="20">'Tax Schedule'!$C$4:$K$37</definedName>
    <definedName name="_xlnm.Print_Area" localSheetId="79">USPS!$C$7:$F$53,USPS!$J$57:$W$98</definedName>
    <definedName name="_xlnm.Print_Area" localSheetId="3">'Value Indications'!$D$4:$J$35,'Value Indications'!$O$39:$T$48</definedName>
    <definedName name="Print_Area_1" localSheetId="39">'Automated Bucket 1 Sales Adj'!$C$4:$L$21,'Automated Bucket 1 Sales Adj'!$C$25:$J$42,'Automated Bucket 1 Sales Adj'!$C$46:$L$63,'Automated Bucket 1 Sales Adj'!$C$67:$N$85</definedName>
    <definedName name="Print_Area_1" localSheetId="41">'Improved Sales Adjustments 1'!$C$7:$M$147,'Improved Sales Adjustments 1'!$Q$171:$Y$193</definedName>
    <definedName name="Print_Area_1" localSheetId="27">'Land Adjustments 1'!$C$7:$L$143,'Land Adjustments 1'!$P$156:$Y$167</definedName>
    <definedName name="Print_Area_1" localSheetId="56">'Rent Adjustments 1'!$C$8:$M$146</definedName>
    <definedName name="Print_Area_1" localSheetId="40">'Specialty Bucket 1 Sales Adj'!$C$4:$AI$13,'Specialty Bucket 1 Sales Adj'!$C$18:$AI$25</definedName>
    <definedName name="Print_Area_2" localSheetId="39">'Automated Bucket 2 Sales Adj'!$C$4:$L$21,'Automated Bucket 2 Sales Adj'!$C$25:$J$42,'Automated Bucket 2 Sales Adj'!$C$46:$L$63,'Automated Bucket 2 Sales Adj'!$C$67:$N$85</definedName>
    <definedName name="Print_Area_2" localSheetId="41">'Improved Sales Adjustments 2'!$C$7:$M$147,'Improved Sales Adjustments 2'!$Q$161:$X$169</definedName>
    <definedName name="Print_Area_2" localSheetId="27">'Land Adjustments 2'!$C$7:$L$143,'Land Adjustments 2'!$P$156:$Y$169</definedName>
    <definedName name="Print_Area_2" localSheetId="56">'Rent Adjustments 2'!$C$8:$M$146</definedName>
    <definedName name="Print_Area_2" localSheetId="40">'Specialty Bucket 2 Sales Adj'!$C$4:$AI$13,'Specialty Bucket 2 Sales Adj'!$C$18:$AI$25</definedName>
    <definedName name="Profit_Application">'Selection Tables'!$H$26</definedName>
    <definedName name="Profit_Application_Selection">'Selection Tables'!$J$26</definedName>
    <definedName name="profitinclist">'Selection Tables'!$H$27:$H$28</definedName>
    <definedName name="QualityList">'Selection Tables'!$G$26:$G$27</definedName>
    <definedName name="QuarterlyInterval_List">'Selection Tables'!$L$36:$L$38</definedName>
    <definedName name="RawData_ESRI_EmplByIndus">ESRI_EmplByIndus!$A$2:$C$24</definedName>
    <definedName name="RawData_ESRI_Geography">ESRI_Geography!$A$2:$H$10</definedName>
    <definedName name="RawData_ESRI_Rings">ESRI_Rings!$A$2:$E$29</definedName>
    <definedName name="Regional_Area_1">RegionalLBX!$G$6</definedName>
    <definedName name="Regional_Area_2">RegionalLBX!$G$7</definedName>
    <definedName name="Regional_Area_3">RegionalLBX!$G$8</definedName>
    <definedName name="Regional_Area_4">RegionalLBX!$G$9</definedName>
    <definedName name="RegionalTableEdits">RegionalBLS!#REF!,RegionalLBX!#REF!,RegionalLBX!#REF!,RegionalLBX!#REF!</definedName>
    <definedName name="RemTermList">'Selection Tables'!$G$29:$G$30</definedName>
    <definedName name="Rent_AgeConditionRange">'Rent Adjustments'!$G$75:$J$75</definedName>
    <definedName name="Rent_AgeConditionRange_1">'Rent Adjustments 1'!$G$75:$L$75</definedName>
    <definedName name="Rent_AgeConditionRange_2">'Rent Adjustments 2'!$G$75:$L$75</definedName>
    <definedName name="Rent_AgeConditionRange_UserInput">'Rent Adjustments'!$G$76:$J$78</definedName>
    <definedName name="Rent_AgeConditionRange_UserInput_1">'Rent Adjustments 1'!$G$76:$L$78</definedName>
    <definedName name="Rent_AgeConditionRange_UserInput_2">'Rent Adjustments 2'!$G$76:$L$78</definedName>
    <definedName name="Rent_ClearHeightRange">'Rent Adjustments'!$G$96:$J$96</definedName>
    <definedName name="Rent_ClearHeightRange_1">'Rent Adjustments 1'!$G$96:$L$96</definedName>
    <definedName name="Rent_ClearHeightRange_2">'Rent Adjustments 2'!$G$96:$L$96</definedName>
    <definedName name="Rent_ClearHeightRange_Narrative">'Rent Adjustments'!$G$95:$J$95</definedName>
    <definedName name="Rent_ClearHeightRange_Narrative_1">'Rent Adjustments 1'!$G$95:$L$95</definedName>
    <definedName name="Rent_ClearHeightRange_Narrative_2">'Rent Adjustments 2'!$G$95:$L$95</definedName>
    <definedName name="Rent_ClearHeightRange_UserInput">'Rent Adjustments'!$G$97:$J$99</definedName>
    <definedName name="Rent_ClearHeightRange_UserInput_1">'Rent Adjustments 1'!$G$97:$L$99</definedName>
    <definedName name="Rent_ClearHeightRange_UserInput_2">'Rent Adjustments 2'!$G$97:$L$99</definedName>
    <definedName name="Rent_ConcessionsRange">'Rent Adjustments'!$G$34:$J$34</definedName>
    <definedName name="Rent_ConcessionsRange_1">'Rent Adjustments 1'!$G$34:$L$34</definedName>
    <definedName name="Rent_ConcessionsRange_2">'Rent Adjustments 2'!$G$34:$L$34</definedName>
    <definedName name="Rent_ConditionofLeaseRange">'Rent Adjustments'!$G$44:$J$44</definedName>
    <definedName name="Rent_ConditionofLeaseRange_1">'Rent Adjustments 1'!$G$44:$L$44</definedName>
    <definedName name="Rent_ConditionofLeaseRange_2">'Rent Adjustments 2'!$G$44:$L$44</definedName>
    <definedName name="Rent_ConditionofLeaseRange_UserInput">'Rent Adjustments'!$G$45:$J$47</definedName>
    <definedName name="Rent_ConditionofLeaseRange_UserInput_1">'Rent Adjustments 1'!$G$45:$L$47</definedName>
    <definedName name="Rent_ConditionofLeaseRange_UserInput_2">'Rent Adjustments 2'!$G$45:$L$47</definedName>
    <definedName name="Rent_ConstructionQualityRange">'Rent Adjustments'!$G$84:$I$84</definedName>
    <definedName name="Rent_ConstructionQualityRange1">'Rent Adjustments'!$G$81:$I$81</definedName>
    <definedName name="Rent_DesignFunctionalUtilityRange">'Rent Adjustments'!$G$90:$J$90</definedName>
    <definedName name="Rent_DesignFunctionalUtilityRange_1">'Rent Adjustments 1'!$G$90:$L$90</definedName>
    <definedName name="Rent_DesignFunctionalUtilityRange_2">'Rent Adjustments 2'!$G$90:$L$90</definedName>
    <definedName name="Rent_DesignFunctionalUtilityRange_UserInput">'Rent Adjustments'!$G$91:$J$93</definedName>
    <definedName name="Rent_DesignFunctionalUtilityRange_UserInput_1">'Rent Adjustments 1'!$G$91:$L$93</definedName>
    <definedName name="Rent_DesignFunctionalUtilityRange_UserInput_2">'Rent Adjustments 2'!$G$91:$L$93</definedName>
    <definedName name="Rent_EffectiveAgeRange">'Rent Adjustments'!$G$74:$J$74</definedName>
    <definedName name="Rent_EffectiveAgeRange_1">'Rent Adjustments 1'!$G$74:$L$74</definedName>
    <definedName name="Rent_EffectiveAgeRange_2">'Rent Adjustments 2'!$G$74:$L$74</definedName>
    <definedName name="Rent_EscalationsRange">'Rent Adjustments'!$G$120:$J$120</definedName>
    <definedName name="Rent_EscalationsRange_1">'Rent Adjustments 1'!$G$120:$L$120</definedName>
    <definedName name="Rent_EscalationsRange_2">'Rent Adjustments 2'!$G$120:$L$120</definedName>
    <definedName name="Rent_EscalationsRange_UserInput">'Rent Adjustments'!$G$121:$J$123</definedName>
    <definedName name="Rent_EscalationsRange_UserInput_1">'Rent Adjustments 1'!$G$121:$L$123</definedName>
    <definedName name="Rent_EscalationsRange_UserInput_2">'Rent Adjustments 2'!$G$121:$L$123</definedName>
    <definedName name="Rent_ExpenseReimbursementRange">'Rent Adjustments'!$G$30:$J$30</definedName>
    <definedName name="Rent_ExpenseReimbursementRange_1">'Rent Adjustments 1'!$G$30:$L$30</definedName>
    <definedName name="Rent_ExpenseReimbursementRange_2">'Rent Adjustments 2'!$G$30:$L$30</definedName>
    <definedName name="Rent_ExpenseReimbursementRange_UserInput">'Rent Adjustments'!$G$31:$J$31</definedName>
    <definedName name="Rent_ExpenseReimbursementRange_UserInput_1">'Rent Adjustments 1'!$G$31:$L$31</definedName>
    <definedName name="Rent_ExpenseReimbursementRange_UserInput_2">'Rent Adjustments 2'!$G$31:$L$31</definedName>
    <definedName name="Rent_FinalAdjustedRange">'Rent Adjustments'!$G$146:$J$146</definedName>
    <definedName name="Rent_FinalAdjustedRange_1">'Rent Adjustments 1'!$G$146:$L$146</definedName>
    <definedName name="Rent_FinalAdjustedRange_2">'Rent Adjustments 2'!$G$146:$L$146</definedName>
    <definedName name="Rent_LeaseTermRange">'Rent Adjustments'!$G$127:$J$127</definedName>
    <definedName name="Rent_LeaseTermRange_1">'Rent Adjustments 1'!$G$127:$L$127</definedName>
    <definedName name="Rent_LeaseTermRange_2">'Rent Adjustments 2'!$G$127:$L$127</definedName>
    <definedName name="Rent_LeaseTermRange_UserInput">'Rent Adjustments'!$G$128:$J$130</definedName>
    <definedName name="Rent_LeaseTermRange_UserInput_1">'Rent Adjustments 1'!$G$128:$L$130</definedName>
    <definedName name="Rent_LeaseTermRange_UserInput_2">'Rent Adjustments 2'!$G$128:$L$130</definedName>
    <definedName name="Rent_LocationRange">'Rent Adjustments'!$G$59:$J$59</definedName>
    <definedName name="Rent_LocationRange_1">'Rent Adjustments 1'!$G$59:$L$59</definedName>
    <definedName name="Rent_LocationRange_2">'Rent Adjustments 2'!$G$59:$L$59</definedName>
    <definedName name="Rent_LocationRange_UserInput">'Rent Adjustments'!$G$60:$J$62</definedName>
    <definedName name="Rent_LocationRange_UserInput_1">'Rent Adjustments 1'!$G$60:$L$62</definedName>
    <definedName name="Rent_LocationRange_UserInput_2">'Rent Adjustments 2'!$G$60:$L$62</definedName>
    <definedName name="Rent_LtBRatioRange">'Rent Adjustments'!$G$108:$J$108</definedName>
    <definedName name="Rent_LtBRatioRange_1">'Rent Adjustments 1'!$G$108:$L$108</definedName>
    <definedName name="Rent_LtBRatioRange_2">'Rent Adjustments 2'!$G$108:$L$108</definedName>
    <definedName name="Rent_LtBRatioRange_UserInput">'Rent Adjustments'!$G$109:$J$111</definedName>
    <definedName name="Rent_LtBRatioRange_UserInput_1">'Rent Adjustments 1'!$G$109:$L$111</definedName>
    <definedName name="Rent_LtBRatioRange_UserInput_2">'Rent Adjustments 2'!$G$109:$L$111</definedName>
    <definedName name="Rent_NetPhysicalEcoRange">'Rent Adjustments'!$G$143:$J$143</definedName>
    <definedName name="Rent_NetPhysicalEcoRange_1">'Rent Adjustments 1'!$G$143:$L$143</definedName>
    <definedName name="Rent_NetPhysicalEcoRange_2">'Rent Adjustments 2'!$G$143:$L$143</definedName>
    <definedName name="Rent_ParkingRatioRange">'Rent Adjustments'!$G$114:$J$114</definedName>
    <definedName name="Rent_ParkingRatioRange_1">'Rent Adjustments 1'!$G$114:$L$114</definedName>
    <definedName name="Rent_ParkingRatioRange_UserInput">'Rent Adjustments'!$G$115:$J$117</definedName>
    <definedName name="Rent_ParkingRatioRange_UserInput_1">'Rent Adjustments 1'!$G$115:$L$117</definedName>
    <definedName name="Rent_ParkingRatioRange_UserInput_2">'Rent Adjustments 2'!$G$115:$L$117</definedName>
    <definedName name="Rent_PercentOfficeFinishRange">'Rent Adjustments'!$G$102:$J$102</definedName>
    <definedName name="Rent_PercentOfficeFinishRange_1">'Rent Adjustments 1'!$G$102:$L$102</definedName>
    <definedName name="Rent_PercentOfficeFinishRange_2">'Rent Adjustments 2'!$G$102:$L$102</definedName>
    <definedName name="Rent_PercentOfficeFinishRange_Narrative">'Rent Adjustments'!$G$101:$J$101</definedName>
    <definedName name="Rent_PercentOfficeFinishRange_Narrative_1">'Rent Adjustments 1'!$G$101:$L$101</definedName>
    <definedName name="Rent_PercentOfficeFinishRange_Narrative_2">'Rent Adjustments 2'!$G$101:$L$101</definedName>
    <definedName name="Rent_PercentOfficeFinishRange_UserInput">'Rent Adjustments'!$G$103:$J$105</definedName>
    <definedName name="Rent_PercentOfficeFinishRange_UserInput_1">'Rent Adjustments 1'!$G$103:$L$105</definedName>
    <definedName name="Rent_PercentOfficeFinishRange_UserInput_2">'Rent Adjustments 2'!$G$103:$L$105</definedName>
    <definedName name="Rent_QualityRange">'Rent Adjustments'!$G$84:$J$84</definedName>
    <definedName name="Rent_QualityRange_1">'Rent Adjustments 1'!$G$84:$L$84</definedName>
    <definedName name="Rent_QualityRange_2">'Rent Adjustments 2'!$G$84:$L$84</definedName>
    <definedName name="Rent_QualityRange_UserInput">'Rent Adjustments'!$G$85:$J$87</definedName>
    <definedName name="Rent_QualityRange_UserInput_1">'Rent Adjustments 1'!$G$85:$L$87</definedName>
    <definedName name="Rent_QualityRange_UserInput_2">'Rent Adjustments 2'!$G$85:$L$87</definedName>
    <definedName name="Rent_QualityRange1">'Rent Adjustments'!$G$81:$J$81</definedName>
    <definedName name="Rent_TenantImpAllowanceRange">'Rent Adjustments'!$G$37:$J$37</definedName>
    <definedName name="Rent_TenantImpAllowanceRange_1">'Rent Adjustments 1'!$G$37:$L$37</definedName>
    <definedName name="Rent_TenantImpAllowanceRange_2">'Rent Adjustments 2'!$G$37:$L$37</definedName>
    <definedName name="Rent_TenantImpAllowanceRange_UserInput">'Rent Adjustments'!$G$38:$J$38</definedName>
    <definedName name="Rent_TenantImpAllowanceRange_UserInput_1">'Rent Adjustments 1'!$G$38:$L$38</definedName>
    <definedName name="Rent_TenantImpAllowanceRange_UserInput_2">'Rent Adjustments 2'!$G$38:$L$38</definedName>
    <definedName name="Rent_TenantSizeRange">'Rent Adjustments'!$G$65:$J$65</definedName>
    <definedName name="Rent_TenantSizeRange_1">'Rent Adjustments 1'!$G$65:$L$65</definedName>
    <definedName name="Rent_TenantSizeRange_2">'Rent Adjustments 2'!$G$65:$L$65</definedName>
    <definedName name="Rent_TenantSizeRange_Narrative">'Rent Adjustments'!$G$64:$J$64</definedName>
    <definedName name="Rent_TenantSizeRange_Narrative_1">'Rent Adjustments 1'!$G$64:$L$64</definedName>
    <definedName name="Rent_TenantSizeRange_Narrative_2">'Rent Adjustments 2'!$G$64:$L$64</definedName>
    <definedName name="Rent_TenantSizeRange_UserInput">'Rent Adjustments'!$G$66:$J$68</definedName>
    <definedName name="Rent_TenantSizeRange_UserInput_1">'Rent Adjustments 1'!$G$66:$L$68</definedName>
    <definedName name="Rent_TenantSizeRange_UserInput_2">'Rent Adjustments 2'!$G$66:$L$68</definedName>
    <definedName name="Rent_UserDefined1Range">'Rent Adjustments'!$G$133:$J$133</definedName>
    <definedName name="Rent_UserDefined1Range_1">'Rent Adjustments 1'!$G$133:$L$133</definedName>
    <definedName name="Rent_UserDefined1Range_2">'Rent Adjustments 2'!$G$133:$L$133</definedName>
    <definedName name="Rent_UserDefined1Range_UserInput">'Rent Adjustments'!$G$134:$J$136</definedName>
    <definedName name="Rent_UserDefined1Range_UserInput_1">'Rent Adjustments 1'!$G$134:$L$136</definedName>
    <definedName name="Rent_UserDefined1Range_UserInput_2">'Rent Adjustments 2'!$G$134:$L$136</definedName>
    <definedName name="Rent_UserDefined2Range">'Rent Adjustments'!$G$139:$J$139</definedName>
    <definedName name="Rent_UserDefined2Range_1">'Rent Adjustments 1'!$G$139:$L$139</definedName>
    <definedName name="Rent_UserDefined2Range_2">'Rent Adjustments 2'!$G$139:$L$139</definedName>
    <definedName name="Rent_UserDefined2Range_UserInput">'Rent Adjustments'!$G$140:$J$142</definedName>
    <definedName name="Rent_UserDefined2Range_UserInput_1">'Rent Adjustments 1'!$G$140:$L$142</definedName>
    <definedName name="Rent_UserDefined2Range_UserInput_2">'Rent Adjustments 2'!$G$140:$L$142</definedName>
    <definedName name="Rent_YOCRange">'Rent Adjustments'!$G$70:$J$70</definedName>
    <definedName name="Rent_YOCRange_1">'Rent Adjustments 1'!$G$70:$L$70</definedName>
    <definedName name="Rent_YOCRange_2">'Rent Adjustments 2'!$G$70:$L$70</definedName>
    <definedName name="RentAdjustmentGrid">'Selection Tables'!$AB$17</definedName>
    <definedName name="Rentals_Quality_AdjRange">'Automated Rent Adjustments'!$P$9:$P$43</definedName>
    <definedName name="Rentals_Quality_Average">'Automated Rent Adjustments'!$A$29:$A$33</definedName>
    <definedName name="Rentals_Quality_Excellent">'Automated Rent Adjustments'!$A$14:$A$18</definedName>
    <definedName name="Rentals_Quality_Fair">'Automated Rent Adjustments'!$A$34:$A$38</definedName>
    <definedName name="Rentals_Quality_Good">'Automated Rent Adjustments'!$A$24:$A$28</definedName>
    <definedName name="Rentals_Quality_HighValue">'Automated Rent Adjustments'!$A$9:$A$13</definedName>
    <definedName name="Rentals_Quality_LowCost">'Automated Rent Adjustments'!$A$39:$A$43</definedName>
    <definedName name="rentdisplaylist">'Selection Tables'!$G$14:$G$15</definedName>
    <definedName name="RentRoll_LeaseStructure_Clear">'Rent Roll'!$U$7:$U$206</definedName>
    <definedName name="Rents_AdjGrid_UserDefined_1">'Rent Adjustments'!$D$19:$J$19</definedName>
    <definedName name="Rents_AdjGrid_UserDefined_1_1">'Rent Adjustments 1'!$D$19:$L$19</definedName>
    <definedName name="Rents_AdjGrid_UserDefined_1_2">'Rent Adjustments 2'!$D$19:$L$19</definedName>
    <definedName name="Rents_AdjGrid_UserDefined_2">'Rent Adjustments'!$D$20:$J$20</definedName>
    <definedName name="Rents_AdjGrid_UserDefined_2_1">'Rent Adjustments 1'!$D$20:$L$20</definedName>
    <definedName name="Rents_AdjGrid_UserDefined_2_2">'Rent Adjustments 2'!$D$20:$L$20</definedName>
    <definedName name="Rents_MostComparableRange">'Rent Adjustments'!$G$8:$J$8</definedName>
    <definedName name="Rents_UnadjustedRange">'Rent Adjustments'!$G$21:$J$21</definedName>
    <definedName name="Rents_UnadjustedRange_1">'Rent Adjustments 1'!$G$21:$L$21</definedName>
    <definedName name="Rents_UnadjustedRange_2">'Rent Adjustments 2'!$G$21:$L$21</definedName>
    <definedName name="Ring1">RegionalESRI!$B$6</definedName>
    <definedName name="Ring1Pixels">NeighborhoodESRI!$S$3</definedName>
    <definedName name="Ring2">RegionalESRI!$B$7</definedName>
    <definedName name="Ring2Pixels">NeighborhoodESRI!$T$3</definedName>
    <definedName name="Ring3">RegionalESRI!$B$8</definedName>
    <definedName name="Ring3Pixels">NeighborhoodESRI!$U$3</definedName>
    <definedName name="RingMap">NeighborhoodESRI!$N$57</definedName>
    <definedName name="rngBothOption">RegionalESRI!$I$18</definedName>
    <definedName name="rngDriveTimeOption">RegionalESRI!$B$5</definedName>
    <definedName name="rngNeighborhoodOption">RegionalESRI!$I$17</definedName>
    <definedName name="rngRegionalOption">RegionalESRI!$I$16</definedName>
    <definedName name="rngRing1">MapCoord!$I$8:$I$24</definedName>
    <definedName name="rngRing2">MapCoord!$Q$8:$Q$24</definedName>
    <definedName name="rngRing3">MapCoord!$Y$8:$Y$24</definedName>
    <definedName name="Rounding_Label">'Selection Tables'!$J$65:$J$72</definedName>
    <definedName name="Rounding_Options">'Selection Tables'!$J$65:$K$72</definedName>
    <definedName name="RR_Category">tblRR_Data[Category]</definedName>
    <definedName name="Sales_ActualEGIMRange">'EGIM Analysis'!$N$7:$N$12</definedName>
    <definedName name="Sales_AdjGrid_AgeCondition_1">'Improved Sales Adjustments 1'!$F$70:$F$76</definedName>
    <definedName name="Sales_AdjGrid_AgeCondition_2">'Improved Sales Adjustments 2'!$F$70:$F$76</definedName>
    <definedName name="Sales_AdjGrid_AgeEffective_1">'Improved Sales Adjustments 1'!$F$74</definedName>
    <definedName name="Sales_AdjGrid_AgeEffective_2">'Improved Sales Adjustments 2'!$F$74</definedName>
    <definedName name="Sales_AdjGrid_AgeTotalEco_1">'Improved Sales Adjustments 1'!$F$76</definedName>
    <definedName name="Sales_AdjGrid_AgeTotalEco_2">'Improved Sales Adjustments 2'!$F$76</definedName>
    <definedName name="Sales_AdjGrid_ClearHeight_1">'Improved Sales Adjustments 1'!$F$97</definedName>
    <definedName name="Sales_AdjGrid_ClearHeight_2">'Improved Sales Adjustments 2'!$F$97</definedName>
    <definedName name="Sales_AdjGrid_Location_1">'Improved Sales Adjustments 1'!$F$57</definedName>
    <definedName name="Sales_AdjGrid_Location_2">'Improved Sales Adjustments 2'!$F$57</definedName>
    <definedName name="Sales_AdjGrid_LtoBRatio_1">'Improved Sales Adjustments 1'!$F$109</definedName>
    <definedName name="Sales_AdjGrid_LtoBRatio_2">'Improved Sales Adjustments 2'!$F$109</definedName>
    <definedName name="Sales_AdjGrid_ParkingRatio_1">'Improved Sales Adjustments 1'!$F$115</definedName>
    <definedName name="Sales_AdjGrid_ParkingRatio_2">'Improved Sales Adjustments 2'!$F$115</definedName>
    <definedName name="Sales_AdjGrid_PercentOffice_1">'Improved Sales Adjustments 1'!$F$103</definedName>
    <definedName name="Sales_AdjGrid_PercentOffice_2">'Improved Sales Adjustments 2'!$F$103</definedName>
    <definedName name="Sales_AdjGrid_Quality_1">'Improved Sales Adjustments 1'!$F$82</definedName>
    <definedName name="Sales_AdjGrid_Quality_2">'Improved Sales Adjustments 2'!$F$82</definedName>
    <definedName name="Sales_AdjGrid_UserDefined_1">'Improved Sales Adjustments'!$D$16:$J$16</definedName>
    <definedName name="Sales_AdjGrid_UserDefined_1_1">'Improved Sales Adjustments 1'!$D$16:$L$16</definedName>
    <definedName name="Sales_AdjGrid_UserDefined_1_2">'Improved Sales Adjustments 2'!$D$16:$L$16</definedName>
    <definedName name="Sales_AdjGrid_UserDefined_2">'Improved Sales Adjustments'!$D$17:$J$17</definedName>
    <definedName name="Sales_AdjGrid_UserDefined_2_1">'Improved Sales Adjustments 1'!$D$17:$L$17</definedName>
    <definedName name="Sales_AdjGrid_UserDefined_2_2">'Improved Sales Adjustments 2'!$D$17:$L$17</definedName>
    <definedName name="Sales_AdjGrid_ValueUnits_1">'Improved Sales Adjustments 1'!$F$12:$F$15</definedName>
    <definedName name="Sales_AdjGrid_ValueUnits_2">'Improved Sales Adjustments 2'!$F$12:$F$15</definedName>
    <definedName name="Sales_AdjGridSelection">'Selection Tables'!$F$27:$F$28</definedName>
    <definedName name="Sales_AdjPrice1">'Improved Sales Adjustments'!$G$48:$J$48</definedName>
    <definedName name="Sales_AdjPrice1_1">'Improved Sales Adjustments 1'!$G$48:$L$48</definedName>
    <definedName name="Sales_AdjPrice1_2">'Improved Sales Adjustments 2'!$G$48:$L$48</definedName>
    <definedName name="Sales_AdjPrice2">'Improved Sales Adjustments'!$G$54:$J$54</definedName>
    <definedName name="Sales_AdjPrice2_1">'Improved Sales Adjustments 1'!$G$54:$L$54</definedName>
    <definedName name="Sales_AdjPrice2_2">'Improved Sales Adjustments 2'!$G$54:$L$54</definedName>
    <definedName name="Sales_AdjType">'Selection Tables'!$AL$11</definedName>
    <definedName name="Sales_AdjType_1">'Selection Tables'!$AM$11</definedName>
    <definedName name="Sales_AdjType_2">'Selection Tables'!$AN$11</definedName>
    <definedName name="Sales_Adjust_MaxPrice_Unit">'Improved Sales Adjustments'!$T$154</definedName>
    <definedName name="Sales_Adjust_MaxPrice_Unit_1">'Improved Sales Adjustments 1'!$V$154</definedName>
    <definedName name="Sales_Adjust_MaxPrice_Unit_2">'Improved Sales Adjustments 2'!$U$154</definedName>
    <definedName name="Sales_Adjust_MinPrice_Unit">'Improved Sales Adjustments'!$T$153</definedName>
    <definedName name="Sales_Adjust_MinPrice_Unit_1">'Improved Sales Adjustments 1'!$V$153</definedName>
    <definedName name="Sales_Adjust_MinPrice_Unit_2">'Improved Sales Adjustments 2'!$U$153</definedName>
    <definedName name="Sales_Adjustment_12_Range">'Improved Sales Adjustments'!$G$133:$J$133</definedName>
    <definedName name="Sales_Adjustment_12_Range_1">'Improved Sales Adjustments 1'!$G$133:$L$133</definedName>
    <definedName name="Sales_Adjustment_12_Range_2">'Improved Sales Adjustments 2'!$G$133:$L$133</definedName>
    <definedName name="Sales_Adjustment_13_Range">'Improved Sales Adjustments'!$G$139:$J$139</definedName>
    <definedName name="Sales_Adjustment_13_Range_1">'Improved Sales Adjustments 1'!$G$139:$L$139</definedName>
    <definedName name="Sales_Adjustment_13_Range_2">'Improved Sales Adjustments 2'!$G$139:$L$139</definedName>
    <definedName name="Sales_AgeCondition_AdjustApplied">'Specialty Sales Adjustments'!$F$59:$AH$59</definedName>
    <definedName name="Sales_AgeCondition_AdjustApplied_1">'Specialty Bucket 1 Sales Adj'!$F$59:$AH$59</definedName>
    <definedName name="Sales_AgeCondition_AdjustApplied_2">'Specialty Bucket 2 Sales Adj'!$F$59:$AH$59</definedName>
    <definedName name="Sales_AgeConditionRange">'Improved Sales Adjustments'!$G$77:$J$77</definedName>
    <definedName name="Sales_AgeConditionRange_1">'Improved Sales Adjustments 1'!$G$77:$L$77</definedName>
    <definedName name="Sales_AgeConditionRange_2">'Improved Sales Adjustments 2'!$G$77:$L$77</definedName>
    <definedName name="Sales_AgeConditionRange_UserInput">'Improved Sales Adjustments'!$G$78:$J$80</definedName>
    <definedName name="Sales_AgeConditionRange_UserInput_1">'Improved Sales Adjustments 1'!$G$78:$L$80</definedName>
    <definedName name="Sales_AgeConditionRange_UserInput_2">'Improved Sales Adjustments 2'!$G$78:$L$80</definedName>
    <definedName name="Sales_ClearHeight_AdjRange">'Automated Sales Adjustments'!$L$50:$M$64</definedName>
    <definedName name="Sales_ClearHeight_AdjRange_1">'Automated Bucket 1 Sales Adj'!$K$7:$K$21</definedName>
    <definedName name="Sales_ClearHeight_AdjRange_2">'Automated Bucket 2 Sales Adj'!$K$7:$K$21</definedName>
    <definedName name="Sales_ClearHeightRange">'Improved Sales Adjustments'!$G$98:$J$98</definedName>
    <definedName name="Sales_ClearHeightRange_1">'Improved Sales Adjustments 1'!$G$98:$L$98</definedName>
    <definedName name="Sales_ClearHeightRange_2">'Improved Sales Adjustments 2'!$G$98:$L$98</definedName>
    <definedName name="Sales_ClearHeightRange_Narrative">'Improved Sales Adjustments'!$G$97:$J$97</definedName>
    <definedName name="Sales_ClearHeightRange_Narrative_1">'Improved Sales Adjustments 1'!$G$97:$L$97</definedName>
    <definedName name="Sales_ClearHeightRange_Narrative_2">'Improved Sales Adjustments 2'!$G$97:$L$97</definedName>
    <definedName name="Sales_ClearHeightRange_UserInput">'Improved Sales Adjustments'!$G$99:$J$101</definedName>
    <definedName name="Sales_ClearHeightRange_UserInput_1">'Improved Sales Adjustments 1'!$G$99:$L$101</definedName>
    <definedName name="Sales_ClearHeightRange_UserInput_2">'Improved Sales Adjustments 2'!$G$99:$L$101</definedName>
    <definedName name="Sales_ConditionsofSaleRange">'Improved Sales Adjustments'!$G$39:$J$39</definedName>
    <definedName name="Sales_ConditionsofSaleRange_1">'Improved Sales Adjustments 1'!$G$39:$L$39</definedName>
    <definedName name="Sales_ConditionsofSaleRange_2">'Improved Sales Adjustments 2'!$G$39:$L$39</definedName>
    <definedName name="Sales_ConditionsofSaleRange_UserInput">'Improved Sales Adjustments'!$G$40:$J$43</definedName>
    <definedName name="Sales_ConditionsofSaleRange_UserInput_1">'Improved Sales Adjustments 1'!$G$40:$L$43</definedName>
    <definedName name="Sales_ConditionsofSaleRange_UserInput_2">'Improved Sales Adjustments 2'!$G$40:$L$43</definedName>
    <definedName name="Sales_DesignFunctionalUtilityRange">'Improved Sales Adjustments'!$G$92:$J$92</definedName>
    <definedName name="Sales_DesignFunctionalUtilityRange_1">'Improved Sales Adjustments 1'!$G$92:$L$92</definedName>
    <definedName name="Sales_DesignFunctionalUtilityRange_2">'Improved Sales Adjustments 2'!$G$92:$L$92</definedName>
    <definedName name="Sales_DesignFunctionalUtilityRange_UserInput">'Improved Sales Adjustments'!$G$93:$J$95</definedName>
    <definedName name="Sales_DesignFunctionalUtilityRange_UserInput_1">'Improved Sales Adjustments 1'!$G$93:$L$95</definedName>
    <definedName name="Sales_DesignFunctionalUtilityRange_UserInput_2">'Improved Sales Adjustments 2'!$G$93:$L$95</definedName>
    <definedName name="Sales_EconomicLifeRange">'Improved Sales Adjustments'!$G$76:$J$76</definedName>
    <definedName name="Sales_EconomicLifeRange_1">'Improved Sales Adjustments 1'!$G$76:$L$76</definedName>
    <definedName name="Sales_EconomicLifeRange_2">'Improved Sales Adjustments 2'!$G$76:$L$76</definedName>
    <definedName name="Sales_EffectiveAgeRange">'Improved Sales Adjustments'!$G$74:$J$74</definedName>
    <definedName name="Sales_EffectiveAgeRange_1">'Improved Sales Adjustments 1'!$G$74:$L$74</definedName>
    <definedName name="Sales_EffectiveAgeRange_2">'Improved Sales Adjustments 2'!$G$74:$L$74</definedName>
    <definedName name="Sales_ExpendituresAfterSaleRange">'Improved Sales Adjustments'!$G$47:$J$47</definedName>
    <definedName name="Sales_ExpendituresAfterSaleRange_1">'Improved Sales Adjustments 1'!$G$47:$L$47</definedName>
    <definedName name="Sales_ExpendituresAfterSaleRange_2">'Improved Sales Adjustments 2'!$G$47:$L$47</definedName>
    <definedName name="Sales_FinalAdjustedRange">'Improved Sales Adjustments'!$G$147:$J$147</definedName>
    <definedName name="Sales_FinalAdjustedRange_1">'Improved Sales Adjustments 1'!$G$147:$L$147</definedName>
    <definedName name="Sales_FinalAdjustedRange_2">'Improved Sales Adjustments 2'!$G$147:$L$147</definedName>
    <definedName name="Sales_FinancingTermsRange">'Improved Sales Adjustments'!$G$32:$J$32</definedName>
    <definedName name="Sales_FinancingTermsRange_1">'Improved Sales Adjustments 1'!$G$32:$L$32</definedName>
    <definedName name="Sales_FinancingTermsRange_2">'Improved Sales Adjustments 2'!$G$32:$L$32</definedName>
    <definedName name="Sales_FinancingTermsRange_UserInput">'Improved Sales Adjustments'!$G$33:$J$35</definedName>
    <definedName name="Sales_FinancingTermsRange_UserInput_1">'Improved Sales Adjustments 1'!$G$33:$L$35</definedName>
    <definedName name="Sales_FinancingTermsRange_UserInput_2">'Improved Sales Adjustments 2'!$G$33:$L$35</definedName>
    <definedName name="Sales_IndicationSize_1">'Improved Sales Adjustments'!$Q$163</definedName>
    <definedName name="Sales_IndicationSize_1_1">'Improved Sales Adjustments 1'!$S$163</definedName>
    <definedName name="Sales_IndicationSize_1_2">'Improved Sales Adjustments 2'!$R$163</definedName>
    <definedName name="Sales_IndicationSize_2">'Improved Sales Adjustments'!$Q$165</definedName>
    <definedName name="Sales_IndicationSize_2_1">'Improved Sales Adjustments 1'!$S$165</definedName>
    <definedName name="Sales_IndicationSize_2_2">'Improved Sales Adjustments 2'!$R$165</definedName>
    <definedName name="Sales_IndicationSize_3">'Improved Sales Adjustments'!$Q$167</definedName>
    <definedName name="Sales_IndicationSize_3_1">'Improved Sales Adjustments 1'!$R$167</definedName>
    <definedName name="Sales_IndicationSize_3_2">'Improved Sales Adjustments 2'!$R$167</definedName>
    <definedName name="Sales_LocationNOI_AdjustApplied">'Specialty Sales Adjustments'!$F$25:$AH$25</definedName>
    <definedName name="Sales_LocationNOI_AdjustApplied_1">'Specialty Bucket 1 Sales Adj'!$F$25:$AH$25</definedName>
    <definedName name="Sales_LocationNOI_AdjustApplied_2">'Specialty Bucket 2 Sales Adj'!$F$25:$AH$25</definedName>
    <definedName name="Sales_LocationNOI_VarianceAttributeLoc">'Specialty Sales Adjustments'!$F$23:$AH$23</definedName>
    <definedName name="Sales_LocationNOI_VarianceAttributeLoc_1">'Specialty Bucket 1 Sales Adj'!$F$23:$AH$23</definedName>
    <definedName name="Sales_LocationNOI_VarianceAttributeLoc_2">'Specialty Bucket 2 Sales Adj'!$F$23:$AH$23</definedName>
    <definedName name="Sales_LocationRange">'Improved Sales Adjustments'!$G$59:$J$59</definedName>
    <definedName name="Sales_LocationRange_1">'Improved Sales Adjustments 1'!$G$59:$L$59</definedName>
    <definedName name="Sales_LocationRange_2">'Improved Sales Adjustments 2'!$G$59:$L$59</definedName>
    <definedName name="Sales_LocationRange_UserInput">'Improved Sales Adjustments'!$G$60:$J$62</definedName>
    <definedName name="Sales_LocationRange_UserInput_1">'Improved Sales Adjustments 1'!$G$60:$L$62</definedName>
    <definedName name="Sales_LocationRange_UserInput_2">'Improved Sales Adjustments 2'!$G$60:$L$62</definedName>
    <definedName name="Sales_LtB_AdjRange">'Automated Sales Adjustments'!$K$92:$M$106</definedName>
    <definedName name="Sales_LtB_AdjRange_1">'Automated Bucket 1 Sales Adj'!$K$49:$K$63</definedName>
    <definedName name="Sales_LtB_AdjRange_2">'Automated Bucket 2 Sales Adj'!$K$49:$K$63</definedName>
    <definedName name="Sales_LtBAdj_Ratio">'Automated Sales Adjustments'!$K$91</definedName>
    <definedName name="Sales_LtBAdj_Ratio_1">'Automated Bucket 1 Sales Adj'!$K$48</definedName>
    <definedName name="Sales_LtBAdj_Ratio_2">'Automated Bucket 2 Sales Adj'!$K$48</definedName>
    <definedName name="Sales_LtBRange">'Improved Sales Adjustments'!$G$110:$J$110</definedName>
    <definedName name="Sales_LtBRange_1">'Improved Sales Adjustments 1'!$G$110:$L$110</definedName>
    <definedName name="Sales_LtBRange_2">'Improved Sales Adjustments 2'!$G$110:$L$110</definedName>
    <definedName name="Sales_LtBRange_Narrative">'Improved Sales Adjustments'!$G$109:$J$109</definedName>
    <definedName name="Sales_LtBRange_Narrative_1">'Improved Sales Adjustments 1'!$G$109:$L$109</definedName>
    <definedName name="Sales_LtBRange_Narrative_2">'Improved Sales Adjustments 2'!$G$109:$L$109</definedName>
    <definedName name="Sales_LtBRange_UserInput">'Improved Sales Adjustments'!$G$111:$J$113</definedName>
    <definedName name="Sales_LtBRange_UserInput_1">'Improved Sales Adjustments 1'!$G$111:$L$113</definedName>
    <definedName name="Sales_LtBRange_UserInput_2">'Improved Sales Adjustments 2'!$G$111:$L$113</definedName>
    <definedName name="Sales_MostComparableRange">'Improved Sales Adjustments'!$G$5:$J$5</definedName>
    <definedName name="Sales_MostComparableRange_1">'Improved Sales Adjustments 1'!$G$5:$L$5</definedName>
    <definedName name="Sales_MostComparableRange_2">'Improved Sales Adjustments 2'!$G$5:$L$5</definedName>
    <definedName name="Sales_NetPhysicalEcoRange">'Improved Sales Adjustments'!$G$144:$J$144</definedName>
    <definedName name="Sales_NetPhysicalEcoRange_1">'Improved Sales Adjustments 1'!$G$144:$L$144</definedName>
    <definedName name="Sales_NetPhysicalEcoRange_2">'Improved Sales Adjustments 2'!$G$144:$L$144</definedName>
    <definedName name="Sales_NonRealtyRange">'Improved Sales Adjustments'!$G$128:$J$128</definedName>
    <definedName name="Sales_NonRealtyRange_1">'Improved Sales Adjustments 1'!$G$128:$L$128</definedName>
    <definedName name="Sales_NonRealtyRange_2">'Improved Sales Adjustments 2'!$G$128:$L$128</definedName>
    <definedName name="Sales_NonRealtyRange_UserInput">'Improved Sales Adjustments'!$G$129:$J$131</definedName>
    <definedName name="Sales_NonRealtyRange_UserInput_1">'Improved Sales Adjustments 1'!$G$129:$L$131</definedName>
    <definedName name="Sales_NonRealtyRange_UserInput_2">'Improved Sales Adjustments 2'!$G$129:$L$131</definedName>
    <definedName name="Sales_ParkingRatio_AdjRange">'Automated Sales Adjustments'!$M$114:$P$128</definedName>
    <definedName name="Sales_ParkingRatio_AdjRange_1">'Automated Bucket 1 Sales Adj'!$M$71:$M$85</definedName>
    <definedName name="Sales_ParkingRatio_AdjRange_2">'Automated Bucket 2 Sales Adj'!$M$71:$M$85</definedName>
    <definedName name="Sales_ParkingRatio_ParkingRates">'Automated Sales Adjustments'!$I$114:$I$128</definedName>
    <definedName name="Sales_ParkingRatio_ParkingRates_1">'Automated Bucket 1 Sales Adj'!$H$71:$H$85</definedName>
    <definedName name="Sales_ParkingRatio_ParkingRates_2">'Automated Bucket 2 Sales Adj'!$H$71:$H$85</definedName>
    <definedName name="Sales_ParkingRatioRange">'Improved Sales Adjustments'!$G$116:$J$116</definedName>
    <definedName name="Sales_ParkingRatioRange_1">'Improved Sales Adjustments 1'!$G$116:$L$116</definedName>
    <definedName name="Sales_ParkingRatioRange_2">'Improved Sales Adjustments 2'!$G$116:$L$116</definedName>
    <definedName name="Sales_ParkingRatioRange_Narrative">'Improved Sales Adjustments'!$G$115:$J$115</definedName>
    <definedName name="Sales_ParkingRatioRange_Narrative_1">'Improved Sales Adjustments 1'!$G$115:$L$115</definedName>
    <definedName name="Sales_ParkingRatioRange_Narrative_2">'Improved Sales Adjustments 2'!$G$115:$L$115</definedName>
    <definedName name="Sales_ParkingRatioRange_UserInput">'Improved Sales Adjustments'!$G$117:$J$119</definedName>
    <definedName name="Sales_ParkingRatioRange_UserInput_1">'Improved Sales Adjustments 1'!$G$117:$L$119</definedName>
    <definedName name="Sales_ParkingRatioRange_UserInput_2">'Improved Sales Adjustments 2'!$G$117:$L$119</definedName>
    <definedName name="Sales_PercentOffice_AdjPSF">'Automated Sales Adjustments'!$J$70</definedName>
    <definedName name="Sales_PercentOffice_AdjPSF_1">'Automated Bucket 1 Sales Adj'!$I$27</definedName>
    <definedName name="Sales_PercentOffice_AdjPSF_2">'Automated Bucket 2 Sales Adj'!$I$27</definedName>
    <definedName name="Sales_PercentOffice_AdjRange">'Automated Sales Adjustments'!$J$71:$J$85</definedName>
    <definedName name="Sales_PercentOffice_AdjRange_1">'Automated Bucket 1 Sales Adj'!$I$28:$I$42</definedName>
    <definedName name="Sales_PercentOffice_AdjRange_2">'Automated Bucket 2 Sales Adj'!$I$28:$I$42</definedName>
    <definedName name="Sales_PercentOfficeRange">'Improved Sales Adjustments'!$G$104:$J$104</definedName>
    <definedName name="Sales_PercentOfficeRange_1">'Improved Sales Adjustments 1'!$G$104:$L$104</definedName>
    <definedName name="Sales_PercentOfficeRange_2">'Improved Sales Adjustments 2'!$G$104:$L$104</definedName>
    <definedName name="Sales_PercentOfficeRange_Narrative">'Improved Sales Adjustments'!$G$103:$J$103</definedName>
    <definedName name="Sales_PercentOfficeRange_Narrative_1">'Improved Sales Adjustments 1'!$G$103:$L$103</definedName>
    <definedName name="Sales_PercentOfficeRange_Narrative_2">'Improved Sales Adjustments 2'!$G$103:$L$103</definedName>
    <definedName name="Sales_PercentOfficeRange_UserInput">'Improved Sales Adjustments'!$G$105:$J$107</definedName>
    <definedName name="Sales_PercentOfficeRange_UserInput_1">'Improved Sales Adjustments 1'!$G$105:$L$107</definedName>
    <definedName name="Sales_PercentOfficeRange_UserInput_2">'Improved Sales Adjustments 2'!$G$105:$L$107</definedName>
    <definedName name="Sales_PrelimBold">'Improved Sales Adjustments'!$A$175</definedName>
    <definedName name="Sales_PrelimBold_1">'Improved Sales Adjustments 1'!$A$182</definedName>
    <definedName name="Sales_PropertyRights_AvgRemainTerm">'Specialty Sales Adjustments'!$F$6:$AH$6</definedName>
    <definedName name="Sales_PropertyRights_AvgRemainTerm_1">'Specialty Bucket 1 Sales Adj'!$F$6:$AH$6</definedName>
    <definedName name="Sales_PropertyRights_AvgRemainTerm_2">'Specialty Bucket 2 Sales Adj'!$F$6:$AH$6</definedName>
    <definedName name="Sales_PropertyRights_MarketvsContract">'Specialty Sales Adjustments'!$F$12:$AH$12</definedName>
    <definedName name="Sales_PropertyRights_MarketvsContract_1">'Specialty Bucket 1 Sales Adj'!$F$12:$AH$12</definedName>
    <definedName name="Sales_PropertyRights_MarketvsContract_2">'Specialty Bucket 2 Sales Adj'!$F$12:$AH$12</definedName>
    <definedName name="Sales_PropertyRightsRange">'Improved Sales Adjustments'!$G$25:$J$25</definedName>
    <definedName name="Sales_PropertyRightsRange_1">'Improved Sales Adjustments 1'!$G$25:$L$25</definedName>
    <definedName name="Sales_PropertyRightsRange_2">'Improved Sales Adjustments 2'!$G$25:$L$25</definedName>
    <definedName name="Sales_PropertyRightsRange_UserInput">'Improved Sales Adjustments'!$G$26:$J$28</definedName>
    <definedName name="Sales_PropertyRightsRange_UserInput_1">'Improved Sales Adjustments 1'!$G$26:$L$28</definedName>
    <definedName name="Sales_PropertyRightsRange_UserInput_2">'Improved Sales Adjustments 2'!$G$26:$L$28</definedName>
    <definedName name="Sales_Quality_AdjRange">'Automated Sales Adjustments'!$P$9:$P$43</definedName>
    <definedName name="Sales_Quality_Average">'Automated Sales Adjustments'!$A$29:$A$33</definedName>
    <definedName name="Sales_Quality_Excellent">'Automated Sales Adjustments'!$A$14:$A$18</definedName>
    <definedName name="Sales_Quality_Fair">'Automated Sales Adjustments'!$A$34:$A$38</definedName>
    <definedName name="Sales_Quality_Good">'Automated Sales Adjustments'!$A$24:$A$28</definedName>
    <definedName name="Sales_Quality_HighValue">'Automated Sales Adjustments'!$A$9:$A$13</definedName>
    <definedName name="Sales_Quality_LowCost">'Automated Sales Adjustments'!$A$39:$A$43</definedName>
    <definedName name="Sales_QualityRange">'Improved Sales Adjustments'!$G$86:$J$86</definedName>
    <definedName name="Sales_QualityRange_1">'Improved Sales Adjustments 1'!$G$86:$L$86</definedName>
    <definedName name="Sales_QualityRange_2">'Improved Sales Adjustments 2'!$G$86:$L$86</definedName>
    <definedName name="Sales_QualityRange_UserInput">'Improved Sales Adjustments'!$G$87:$J$89</definedName>
    <definedName name="Sales_QualityRange_UserInput_1">'Improved Sales Adjustments 1'!$G$87:$L$89</definedName>
    <definedName name="Sales_QualityRange_UserInput_2">'Improved Sales Adjustments 2'!$G$87:$L$89</definedName>
    <definedName name="Sales_QualityRange1">'Improved Sales Adjustments'!$G$83:$J$83</definedName>
    <definedName name="Sales_QualityRange1_1">'Improved Sales Adjustments 1'!$G$83:$L$83</definedName>
    <definedName name="Sales_QualityRange1_2">'Improved Sales Adjustments 2'!$G$83:$L$83</definedName>
    <definedName name="Sales_RemainTerm_AdjustApplied">'Specialty Sales Adjustments'!$F$45:$AH$45</definedName>
    <definedName name="Sales_RemainTerm_AdjustApplied_1">'Specialty Bucket 1 Sales Adj'!$F$45:$AH$45</definedName>
    <definedName name="Sales_RemainTerm_AdjustApplied_2">'Specialty Bucket 2 Sales Adj'!$F$45:$AH$45</definedName>
    <definedName name="Sales_RemainTerm_Subject">'Specialty Sales Adjustments'!$F$42</definedName>
    <definedName name="Sales_RemainTerm_Subject_1">'Specialty Bucket 1 Sales Adj'!$F$42</definedName>
    <definedName name="Sales_RemainTerm_Subject_2">'Specialty Bucket 2 Sales Adj'!$F$42</definedName>
    <definedName name="Sales_RemTermRange">'Improved Sales Adjustments'!$G$122:$J$122</definedName>
    <definedName name="Sales_RemTermRange_1">'Improved Sales Adjustments 1'!$G$122:$L$122</definedName>
    <definedName name="Sales_RemTermRange_2">'Improved Sales Adjustments 2'!$G$122:$L$122</definedName>
    <definedName name="Sales_RemTermRange_UserInput">'Improved Sales Adjustments'!$G$123:$J$125</definedName>
    <definedName name="Sales_RemTermRange_UserInput_1">'Improved Sales Adjustments 1'!$G$123:$L$125</definedName>
    <definedName name="Sales_RemTermRange_UserInput_2">'Improved Sales Adjustments 2'!$G$123:$L$125</definedName>
    <definedName name="Sales_Size_Subject">'Improved Sales Adjustments'!$F$64</definedName>
    <definedName name="Sales_Size_Subject_1">'Improved Sales Adjustments 1'!$F$64</definedName>
    <definedName name="Sales_Size_Subject_2">'Improved Sales Adjustments 2'!$F$64</definedName>
    <definedName name="Sales_SizeRange">'Improved Sales Adjustments'!$G$65:$J$65</definedName>
    <definedName name="Sales_SizeRange_1">'Improved Sales Adjustments 1'!$G$65:$L$65</definedName>
    <definedName name="Sales_SizeRange_2">'Improved Sales Adjustments 2'!$G$65:$L$65</definedName>
    <definedName name="Sales_SizeRange_Narrative">'Improved Sales Adjustments'!$G$64:$J$64</definedName>
    <definedName name="Sales_SizeRange_Narrative_1">'Improved Sales Adjustments 1'!$G$64:$L$64</definedName>
    <definedName name="Sales_SizeRange_Narrative_2">'Improved Sales Adjustments 2'!$G$64:$L$64</definedName>
    <definedName name="Sales_SizeRange_UserInput">'Improved Sales Adjustments'!$G$66:$J$68</definedName>
    <definedName name="Sales_SizeRange_UserInput_1">'Improved Sales Adjustments 1'!$G$66:$L$68</definedName>
    <definedName name="Sales_SizeRange_UserInput_2">'Improved Sales Adjustments 2'!$G$66:$L$68</definedName>
    <definedName name="Sales_StabilizedEGIMRange">'EGIM Analysis'!$P$7:$P$12</definedName>
    <definedName name="Sales_SummaryTable_Detailed">'Improved Sales Summary Detailed'!$D$5:$I$68</definedName>
    <definedName name="Sales_SummaryTableB1_Detailed">'Improved Sales Summary Detailed'!$O$73:$U$136</definedName>
    <definedName name="Sales_SummaryTableB2_Detailed">'Improved Sales Summary Detailed'!$AA$141:$AG$204</definedName>
    <definedName name="Sales_TechniqueUsed">'Selection Tables'!$F$24</definedName>
    <definedName name="Sales_Unadjust_MaxPrice_Unit">'Improved Sales Adjustments'!$R$154</definedName>
    <definedName name="Sales_Unadjust_MaxPrice_Unit_1">'Improved Sales Adjustments 1'!$T$154</definedName>
    <definedName name="Sales_Unadjust_MaxPrice_Unit_2">'Improved Sales Adjustments 2'!$S$154</definedName>
    <definedName name="Sales_Unadjust_MinPrice_Unit">'Improved Sales Adjustments'!$R$153</definedName>
    <definedName name="Sales_Unadjust_MinPrice_Unit_1">'Improved Sales Adjustments 1'!$T$153</definedName>
    <definedName name="Sales_Unadjust_MinPrice_Unit_2">'Improved Sales Adjustments 2'!$S$153</definedName>
    <definedName name="Sales_UnAdjustedRange">'Improved Sales Adjustments'!$G$21:$J$21</definedName>
    <definedName name="Sales_UnAdjustedRange_1">'Improved Sales Adjustments 1'!$G$21:$L$21</definedName>
    <definedName name="Sales_UnAdjustedRange_2">'Improved Sales Adjustments 2'!$G$21:$L$21</definedName>
    <definedName name="Sales_UseAutoAdj">'Selection Tables'!$F$31</definedName>
    <definedName name="Sales_UseAutoAdjSelection">'Selection Tables'!$F$32:$F$35</definedName>
    <definedName name="Sales_UserDefined1Range">'Improved Sales Adjustments'!$G$134:$J$134</definedName>
    <definedName name="Sales_UserDefined1Range_1">'Improved Sales Adjustments 1'!$G$134:$L$134</definedName>
    <definedName name="Sales_UserDefined1Range_2">'Improved Sales Adjustments 2'!$G$134:$L$134</definedName>
    <definedName name="Sales_UserDefined1Range_UserInput">'Improved Sales Adjustments'!$G$135:$J$137</definedName>
    <definedName name="Sales_UserDefined1Range_UserInput_1">'Improved Sales Adjustments 1'!$G$135:$L$137</definedName>
    <definedName name="Sales_UserDefined1Range_UserInput_2">'Improved Sales Adjustments 2'!$G$135:$L$137</definedName>
    <definedName name="Sales_UserDefined2Range">'Improved Sales Adjustments'!$G$140:$J$140</definedName>
    <definedName name="Sales_UserDefined2Range_1">'Improved Sales Adjustments 1'!$G$140:$L$140</definedName>
    <definedName name="Sales_UserDefined2Range_2">'Improved Sales Adjustments 2'!$G$140:$L$140</definedName>
    <definedName name="Sales_UserDefined2Range_UserInput">'Improved Sales Adjustments'!$G$141:$J$143</definedName>
    <definedName name="Sales_UserDefined2Range_UserInput_1">'Improved Sales Adjustments 1'!$G$141:$L$143</definedName>
    <definedName name="Sales_UserDefined2Range_UserInput_2">'Improved Sales Adjustments 2'!$G$141:$L$143</definedName>
    <definedName name="Sales_YOCRange">'Improved Sales Adjustments'!$G$70:$J$70</definedName>
    <definedName name="Sales_YOCRange_1">'Improved Sales Adjustments 1'!$G$70:$L$70</definedName>
    <definedName name="Sales_YOCRange_2">'Improved Sales Adjustments 2'!$G$70:$L$70</definedName>
    <definedName name="SalesAdjustmentGrid">'Selection Tables'!$F$26</definedName>
    <definedName name="salestechlist1">'Selection Tables'!$AJ$24:$AJ$26</definedName>
    <definedName name="salesunitvaluelist">'Selection Tables'!$G$22:$G$24</definedName>
    <definedName name="salesvalmethodlist">'Selection Tables'!$F$22:$F$23</definedName>
    <definedName name="Salient_Sort_DOV_1">'Selection Tables'!$Q$9</definedName>
    <definedName name="Salient_Sort_DOV_2">'Selection Tables'!$Q$10</definedName>
    <definedName name="Salient_Sort_DOV_3">'Selection Tables'!$Q$11</definedName>
    <definedName name="Salient_Sort_Interest_1">'Selection Tables'!$T$9</definedName>
    <definedName name="Salient_Sort_Interest_2">'Selection Tables'!$T$10</definedName>
    <definedName name="Salient_Sort_Interest_3">'Selection Tables'!$T$11</definedName>
    <definedName name="Salient_Sort_NumValues">'Selection Tables'!$AA$12</definedName>
    <definedName name="Salient_Sort_Perspective_1">'Selection Tables'!$R$9</definedName>
    <definedName name="Salient_Sort_Perspective_2">'Selection Tables'!$R$10</definedName>
    <definedName name="Salient_Sort_Perspective_3">'Selection Tables'!$R$11</definedName>
    <definedName name="Salient_Sort_Premise_1">'Selection Tables'!$S$9</definedName>
    <definedName name="Salient_Sort_Premise_2">'Selection Tables'!$S$10</definedName>
    <definedName name="Salient_Sort_Premise_3">'Selection Tables'!$S$11</definedName>
    <definedName name="Salient_Sort_Type_1">'Selection Tables'!$U$9</definedName>
    <definedName name="Salient_Sort_Type_2">'Selection Tables'!$U$10</definedName>
    <definedName name="Salient_Sort_Type_3">'Selection Tables'!$U$11</definedName>
    <definedName name="Salient_ValueScenario_1">'Selection Tables'!$V$9</definedName>
    <definedName name="Salient_ValueScenario_2">'Selection Tables'!$V$10</definedName>
    <definedName name="Salient_ValueScenario_3">'Selection Tables'!$V$11</definedName>
    <definedName name="ScreenSetting">'Selection Tables'!$D$10</definedName>
    <definedName name="ScreenSettingValue">'Selection Tables'!$D$11</definedName>
    <definedName name="Select_TaxActualPrelim">'Tax Schedule'!$H$6</definedName>
    <definedName name="Select_TaxAppraiseAssess">'Tax Schedule'!$D$8</definedName>
    <definedName name="Sort_Interest_2">'Selection Tables'!$T$6</definedName>
    <definedName name="Sort_Interest_3">'Selection Tables'!$T$7</definedName>
    <definedName name="Sort_NumValues">'Selection Tables'!$AA$8</definedName>
    <definedName name="Sort_Perspective_1">'Selection Tables'!$R$5</definedName>
    <definedName name="Sort_Perspective_2">'Selection Tables'!$R$6</definedName>
    <definedName name="Sort_Perspective_3">'Selection Tables'!$R$7</definedName>
    <definedName name="Sort_Premise_1">'Selection Tables'!$S$5</definedName>
    <definedName name="Sort_Premise_2">'Selection Tables'!$S$6</definedName>
    <definedName name="Sort_Premise_3">'Selection Tables'!$S$7</definedName>
    <definedName name="Sort_Type_1">'Selection Tables'!$U$5</definedName>
    <definedName name="Sort_Type_2">'Selection Tables'!$U$6</definedName>
    <definedName name="Sort_Type_3">'Selection Tables'!$U$7</definedName>
    <definedName name="Source_EASI">RegionalLBX!$G$10</definedName>
    <definedName name="Source_ESRI">RegionalESRI!$F$12</definedName>
    <definedName name="SpaceType_DP1">'Selection Tables'!$AR$6</definedName>
    <definedName name="SpaceType_DP2">'Selection Tables'!$AR$7</definedName>
    <definedName name="SpaceType_DP3">'Selection Tables'!$AR$8</definedName>
    <definedName name="SpaceType_DP4">'Selection Tables'!$AR$9</definedName>
    <definedName name="SpaceType_DP5">'Selection Tables'!$AR$10</definedName>
    <definedName name="SpaceType_DP6">'Selection Tables'!$AR$11</definedName>
    <definedName name="SpaceType_DP7">'Selection Tables'!$AR$12</definedName>
    <definedName name="SpaceType_DP8">'Selection Tables'!$AR$13</definedName>
    <definedName name="Subject_Address">Subject!$D$73</definedName>
    <definedName name="Subject_AgeEffective">Subject!$D$138</definedName>
    <definedName name="Subject_AgeRemainEco">Subject!$D$140</definedName>
    <definedName name="Subject_AgeTotalEco">Subject!$D$139</definedName>
    <definedName name="Subject_BuildingCount">Subject!$D$136</definedName>
    <definedName name="Subject_CensusTract">Subject!$D$81</definedName>
    <definedName name="Subject_CensusTract_2">NeighborhoodESRI!$K$2</definedName>
    <definedName name="Subject_City">Subject!$D$74</definedName>
    <definedName name="Subject_ClearHeight">Subject!$D$125</definedName>
    <definedName name="Subject_ClientCompanyName">Subject!$D$24</definedName>
    <definedName name="Subject_ClientContactName">Subject!$D$25</definedName>
    <definedName name="Subject_ClientIDNumber">Subject!$D$23</definedName>
    <definedName name="Subject_Condition">Subject!$D$87</definedName>
    <definedName name="Subject_ConstructionClass">Subject!$D$89</definedName>
    <definedName name="Subject_ConstructionQuality">Subject!$D$88</definedName>
    <definedName name="Subject_CornerExposure">Subject!$D$113</definedName>
    <definedName name="Subject_County">Subject!$D$75</definedName>
    <definedName name="Subject_CountyorParish">Subject!$C$75</definedName>
    <definedName name="Subject_ExposureTime">Subject!$D$157</definedName>
    <definedName name="Subject_ExteriorWalls">Subject!$D$90</definedName>
    <definedName name="Subject_Extraordinary_1">Subject!$D$150</definedName>
    <definedName name="Subject_Extraordinary_2">Subject!$D$151</definedName>
    <definedName name="Subject_Extraordinary_3">Subject!$D$152</definedName>
    <definedName name="Subject_Extraordinary_Question">Subject!$D$149</definedName>
    <definedName name="Subject_GBA">Subject!$D$121</definedName>
    <definedName name="Subject_Geocode">NeighborhoodESRI!$N$55</definedName>
    <definedName name="Subject_HBU_AsImproved">Subject!$D$145</definedName>
    <definedName name="Subject_HBU_AsVacant">Subject!$D$144</definedName>
    <definedName name="Subject_HBU_ProbableBuyer">Subject!$D$146</definedName>
    <definedName name="Subject_HBU_ProbableUser">Subject!$D$147</definedName>
    <definedName name="Subject_Hypothetical_1">Subject!$D$154</definedName>
    <definedName name="Subject_Hypothetical_2">Subject!$D$155</definedName>
    <definedName name="Subject_Hypothetical_3">Subject!$D$156</definedName>
    <definedName name="Subject_Hypothetical_Question">Subject!$D$153</definedName>
    <definedName name="Subject_IntendedUse">Subject!$D$31</definedName>
    <definedName name="Subject_IntendedUser">Subject!$D$32</definedName>
    <definedName name="Subject_InternalFileNumber">Subject!$D$8</definedName>
    <definedName name="Subject_InvestmentClass">Subject!$D$91</definedName>
    <definedName name="Subject_Land_FrontageFeet_1">'Land Adjustments 1'!$E$19</definedName>
    <definedName name="Subject_Land_FrontageFeet_2">'Land Adjustments 2'!$E$19</definedName>
    <definedName name="Subject_Land_GrossAcres_1">'Land Adjustments 1'!$E$17</definedName>
    <definedName name="Subject_Land_GrossAcres_2">'Land Adjustments 2'!$E$17</definedName>
    <definedName name="Subject_Land_GrossSF_1">'Land Adjustments 1'!$E$18</definedName>
    <definedName name="Subject_Land_GrossSF_2">'Land Adjustments 2'!$E$18</definedName>
    <definedName name="Subject_Land_Lots_1">'Land Adjustments 1'!$E$21</definedName>
    <definedName name="Subject_Land_Lots_2">'Land Adjustments 2'!$E$21</definedName>
    <definedName name="Subject_Land_ProposedSF_1">'Land Adjustments 1'!$E$20</definedName>
    <definedName name="Subject_Land_ProposedSF_2">'Land Adjustments 2'!$E$20</definedName>
    <definedName name="Subject_Land_ProposedUnits_1">'Land Adjustments 1'!$E$22</definedName>
    <definedName name="Subject_Land_ProposedUnits_2">'Land Adjustments 2'!$E$22</definedName>
    <definedName name="Subject_Land_UsableAcres_1">'Land Adjustments 1'!$E$15</definedName>
    <definedName name="Subject_Land_UsableAcres_2">'Land Adjustments 2'!$E$15</definedName>
    <definedName name="Subject_Land_UsableSF_1">'Land Adjustments 1'!$E$16</definedName>
    <definedName name="Subject_Land_UsableSF_2">'Land Adjustments 2'!$E$16</definedName>
    <definedName name="Subject_LandAppraisal">Subject!$D$63</definedName>
    <definedName name="Subject_LandExcessAcres">Subject!$D$102</definedName>
    <definedName name="Subject_LandExcessSF">Subject!$D$101</definedName>
    <definedName name="Subject_LandFlood">Subject!$D$116</definedName>
    <definedName name="Subject_LandFloodMapNo">Subject!$D$115</definedName>
    <definedName name="Subject_LandPrimary_GrossAcres">Subject!$D$100</definedName>
    <definedName name="Subject_LandPrimary_GrossSF">Subject!$D$99</definedName>
    <definedName name="Subject_LandPrimary_UsableAcres">Subject!$D$98</definedName>
    <definedName name="Subject_LandPrimary_UsableSF">Subject!$D$97</definedName>
    <definedName name="Subject_LandShape">Subject!$D$111</definedName>
    <definedName name="Subject_LandSurplusAcres">Subject!$D$104</definedName>
    <definedName name="Subject_LandSurplusSF">Subject!$D$103</definedName>
    <definedName name="Subject_LandTotal_GrossAcres">Subject!$D$106</definedName>
    <definedName name="Subject_LandTotal_UsableAcres">Subject!$D$105</definedName>
    <definedName name="Subject_LandUtilities">Subject!$D$114</definedName>
    <definedName name="Subject_Latitude">Subject!$D$79</definedName>
    <definedName name="Subject_ListPrice">Subject!$D$37</definedName>
    <definedName name="Subject_Longitude">Subject!$D$80</definedName>
    <definedName name="Subject_Lots">Subject!$D$108</definedName>
    <definedName name="Subject_LtoBRatio_Gross">Subject!$D$129</definedName>
    <definedName name="Subject_LtoBRatio_Usable">Subject!$D$130</definedName>
    <definedName name="Subject_MarketingPeriod">Subject!$D$158</definedName>
    <definedName name="Subject_MSA">Subject!$D$78</definedName>
    <definedName name="Subject_NonRealtyDesc">Subject!$D$142</definedName>
    <definedName name="Subject_NRA">Subject!$D$122</definedName>
    <definedName name="Subject_NumFloors">Subject!$D$128</definedName>
    <definedName name="Subject_OccupancyRate">Subject!$D$94</definedName>
    <definedName name="Subject_OccupancyType">Subject!$D$93</definedName>
    <definedName name="Subject_OwnerName">Subject!$D$11</definedName>
    <definedName name="Subject_ParkingDescription">Subject!$D$131</definedName>
    <definedName name="Subject_ParkingGarage">Subject!$D$133</definedName>
    <definedName name="Subject_ParkingRatio">Subject!$D$135</definedName>
    <definedName name="Subject_ParkingTotal">Subject!$D$134</definedName>
    <definedName name="Subject_PercentOfficeFinish">Subject!$D$126</definedName>
    <definedName name="Subject_PrimaryFrontageFeet">Subject!$D$117</definedName>
    <definedName name="Subject_PriorSaleDate">Subject!$D$36</definedName>
    <definedName name="Subject_PriorServices">Subject!$D$38</definedName>
    <definedName name="Subject_Property_Sub_Type">Subject!$D$71</definedName>
    <definedName name="Subject_PropertyContactName">Subject!$D$28</definedName>
    <definedName name="Subject_PropertyName">Subject!$D$9</definedName>
    <definedName name="Subject_PropertyType">Subject!$D$70</definedName>
    <definedName name="Subject_PropertyUse">Subject!$D$72</definedName>
    <definedName name="Subject_ProposedUnits">Subject!$D$109</definedName>
    <definedName name="Subject_SalePrice">Subject!$D$35</definedName>
    <definedName name="Subject_SecondaryFrontageFeet">Subject!$D$118</definedName>
    <definedName name="Subject_Sold3Yrs">Subject!$D$34</definedName>
    <definedName name="Subject_State">Subject!$D$76</definedName>
    <definedName name="Subject_TaxAccounts">Subject!$D$159</definedName>
    <definedName name="Subject_Tenancy">Subject!$D$92</definedName>
    <definedName name="Subject_Topography">Subject!$D$112</definedName>
    <definedName name="Subject_TrafficCounts">Subject!$D$119</definedName>
    <definedName name="Subject_Units">Subject!$D$124</definedName>
    <definedName name="Subject_UseCostApproach">Subject!$D$64</definedName>
    <definedName name="Subject_UseIncomeApproach">Subject!$D$66</definedName>
    <definedName name="Subject_UseSaleApproach">Subject!$D$65</definedName>
    <definedName name="Subject_Value1DOV">Subject!$D$47</definedName>
    <definedName name="Subject_Value1InterestAppraised">Subject!$D$46</definedName>
    <definedName name="Subject_Value1Perspective">Subject!$D$45</definedName>
    <definedName name="Subject_Value1Premise">Subject!$D$44</definedName>
    <definedName name="Subject_Value1Scenario">'Selection Tables'!$N$20</definedName>
    <definedName name="Subject_Value1Type">Subject!$D$43</definedName>
    <definedName name="Subject_Value2DOV">Subject!$D$54</definedName>
    <definedName name="Subject_Value2InterestAppraised">Subject!$D$53</definedName>
    <definedName name="Subject_Value2Perspective">Subject!$D$52</definedName>
    <definedName name="Subject_Value2Premise">Subject!$D$51</definedName>
    <definedName name="Subject_Value2Scenario">'Selection Tables'!$N$21</definedName>
    <definedName name="Subject_Value2Type">Subject!$D$50</definedName>
    <definedName name="Subject_Value3DOV">Subject!$D$61</definedName>
    <definedName name="Subject_Value3InterestAppraised">Subject!$D$60</definedName>
    <definedName name="Subject_Value3Perspective">Subject!$D$59</definedName>
    <definedName name="Subject_Value3Premise">Subject!$D$58</definedName>
    <definedName name="Subject_Value3Scenario">'Selection Tables'!$N$22</definedName>
    <definedName name="Subject_Value3Type">Subject!$D$57</definedName>
    <definedName name="Subject_Year_Built">Subject!$D$85</definedName>
    <definedName name="Subject_Year_Built_Range">Subject!$D$86</definedName>
    <definedName name="Subject_Zip">Subject!$D$77</definedName>
    <definedName name="Subject_ZoningCode">Subject!$D$82</definedName>
    <definedName name="Subject_ZoningDescription">Subject!$D$83</definedName>
    <definedName name="Sum_DCF1_ColFilter">'DCF 1'!$E$124</definedName>
    <definedName name="Sum_DCF2_ColFilter">'DCF 2'!$E$124</definedName>
    <definedName name="Sum_DCF3_ColFilter">'DCF 3'!$E$124</definedName>
    <definedName name="Sum_LeaseUp_ColFilter">'Lease-Up'!$N$102</definedName>
    <definedName name="Sum_SalientUserDefineContract">'Salient Facts'!$O$74:$P$86</definedName>
    <definedName name="Sum_SalientUserDefineImp">'Salient Facts'!$D$52:$E$55</definedName>
    <definedName name="Sum_SalientUserDefineMkt">'Salient Facts'!$M$85:$N$86</definedName>
    <definedName name="Sum_SalientUserDefineSite">'Salient Facts'!$D$32:$E$33</definedName>
    <definedName name="Tax_CurrentValue">'Tax Schedule'!$H$11</definedName>
    <definedName name="Tax_DatappraiseAPN">'Tax Schedule'!$R$44:$R$50</definedName>
    <definedName name="Tax_DatappraiseAssessValue">'Tax Schedule'!$X$44:$X$50</definedName>
    <definedName name="Tax_DatappraiseImpAssessRatio">'Tax Schedule'!$V$44:$V$44</definedName>
    <definedName name="Tax_DatappraiseImpValue">'Tax Schedule'!$U$44:$U$50</definedName>
    <definedName name="Tax_DatappraiseLandAssessRatio">'Tax Schedule'!$T$44:$T$44</definedName>
    <definedName name="Tax_DatappraiseLandValue">'Tax Schedule'!$S$44:$S$50</definedName>
    <definedName name="Tax_DatappraiseMatrix">'Tax Schedule'!$Q$43:$AB$50</definedName>
    <definedName name="Tax_DatappraiseMillageRate">'Tax Schedule'!$Z$44:$Z$44</definedName>
    <definedName name="Tax_DatappraiseSpecialAssess">'Tax Schedule'!$AB$44:$AB$50</definedName>
    <definedName name="Tax_DatappraiseTaxRate">'Tax Schedule'!$Y$44:$Y$44</definedName>
    <definedName name="Tax_DatappraiseTotalValue">'Tax Schedule'!$W$44:$W$50</definedName>
    <definedName name="Tax_DatappraiseYear">'Tax Schedule'!$Q$44:$Q$50</definedName>
    <definedName name="TaxCompTable_InputArea1">'Tax Comps'!$E$7:$H$11</definedName>
    <definedName name="TaxCompTable_InputArea2">'Tax Comps'!$J$7:$N$11</definedName>
    <definedName name="TaxCompTable_MedianRow">'Tax Comps'!$D$12:$O$12</definedName>
    <definedName name="TaxCompTable_ShadeCol1">'Tax Comps'!$D$7:$D$11</definedName>
    <definedName name="TaxCompTable_ShadeCol2">'Tax Comps'!$I$7:$I$11</definedName>
    <definedName name="TaxCompTable_ShadeCol3">'Tax Comps'!$O$7:$O$11</definedName>
    <definedName name="tblScaleLookup">NeighborhoodESRI!$P$4:$U$12</definedName>
    <definedName name="Unemp_Area_1_First">RegionalBLS!$H$11</definedName>
    <definedName name="Unemp_Area_1_Last">RegionalBLS!$M$11</definedName>
    <definedName name="Unemp_Area_2_First">RegionalBLS!$H$12</definedName>
    <definedName name="Unemp_Area_2_Last">RegionalBLS!$M$12</definedName>
    <definedName name="Unemp_Area_3_First">RegionalBLS!$H$13</definedName>
    <definedName name="Unemp_Area_3_Last">RegionalBLS!$M$13</definedName>
    <definedName name="Unemp_Area_4_First">RegionalBLS!$H$14</definedName>
    <definedName name="Unemp_Area_4_Last">RegionalBLS!$M$14</definedName>
    <definedName name="Unemp_Area_5_First">RegionalBLS!$H$15</definedName>
    <definedName name="Unemp_Area_5_Last">RegionalBLS!$M$15</definedName>
    <definedName name="Unemployment_Area_1">RegionalBLS!$H$11:$M$11</definedName>
    <definedName name="Unemployment_Area_2">RegionalBLS!$H$12:$M$12</definedName>
    <definedName name="Unemployment_Rates_SourceRow">RegionalBLS!$G$16:$M$16</definedName>
    <definedName name="USPS_ReportSelection">'Selection Tables'!$L$29</definedName>
    <definedName name="USPS_UserDefineImp">USPS!$D$42:$E$45</definedName>
    <definedName name="USPS_UserDefineSite">USPS!$D$20:$E$21</definedName>
    <definedName name="USPS_ValuationTable_1">USPS!$K$59:$V$68</definedName>
    <definedName name="USPS_ValuationTable_2">USPS!$K$71:$V$82</definedName>
    <definedName name="USPS_ValuationTable_3">USPS!$K$84:$V$98</definedName>
    <definedName name="VacancyApplicationMethod">'Selection Tables'!$AB$10</definedName>
    <definedName name="VacancyAppList">'Selection Tables'!$AP$15:$AP$16</definedName>
    <definedName name="Valuation_Stripe_1">'Value Indications'!$D$5:$J$5</definedName>
    <definedName name="Valuation_Stripe_2">'Value Indications'!$D$16:$J$16</definedName>
    <definedName name="Valuation_Stripe_3">'Value Indications'!$O$39:$T$39</definedName>
    <definedName name="Valuation_UserInputs">'Value Indications'!$F$23:$H$26</definedName>
    <definedName name="Value_Real_MVTAB">'Value Indications'!$M$3</definedName>
    <definedName name="ValueAdj_Select1">'Selection Tables'!$M$23</definedName>
    <definedName name="ValueAdj_Select2">'Selection Tables'!$M$24</definedName>
    <definedName name="ValueAdj_Select3">'Selection Tables'!$M$25</definedName>
    <definedName name="ValueAdj_Select4">'Selection Tables'!$M$26</definedName>
    <definedName name="ValueAdj_Select5">'Selection Tables'!$M$27</definedName>
    <definedName name="ValueAdjApp_Option1">'Selection Tables'!$Q$14</definedName>
    <definedName name="ValueAdjApp_Option2">'Selection Tables'!$Q$15</definedName>
    <definedName name="ValueAdjApp_Option3">'Selection Tables'!$Q$16</definedName>
    <definedName name="ValueAdjApp_Option4">'Selection Tables'!$Q$17</definedName>
    <definedName name="ValueAdjApplist">'Selection Tables'!$Q$14:$Q$17</definedName>
    <definedName name="ValueScenarioList">'Selection Tables'!$AJ$8:$AJ$10</definedName>
    <definedName name="WellsFargo_List_SizeUnits">'Wells Fargo'!$L$22:$L$51</definedName>
    <definedName name="WellsFargo_List_ValueInterest">'Wells Fargo'!$N$2:$N$14</definedName>
    <definedName name="WellsFargo_List_ValuePremise">'Wells Fargo'!$L$2:$L$19</definedName>
    <definedName name="WellsFargo_List_ValueType">'Wells Fargo'!$M$2:$M$15</definedName>
    <definedName name="yesno">'Selection Tables'!$AJ$32:$AJ$33</definedName>
    <definedName name="ZoomSettingList">'Selection Tables'!$D$12:$D$20</definedName>
  </definedNames>
  <calcPr calcId="191029" iterate="1" iterateDelta="0.01"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28" i="67" l="1"/>
  <c r="F28" i="67"/>
  <c r="F27" i="67"/>
  <c r="H27" i="67"/>
  <c r="E27" i="67"/>
  <c r="H26" i="67"/>
  <c r="H25" i="67"/>
  <c r="H24" i="67"/>
  <c r="H23" i="67"/>
  <c r="H22" i="67"/>
  <c r="H21" i="67"/>
  <c r="H20" i="67"/>
  <c r="H19" i="67"/>
  <c r="F19" i="67"/>
  <c r="H7" i="67"/>
  <c r="F7" i="67"/>
  <c r="F34" i="3"/>
  <c r="J151" i="57" l="1"/>
  <c r="H151" i="57"/>
  <c r="H15" i="57"/>
  <c r="F151" i="57"/>
  <c r="I151" i="57" l="1"/>
  <c r="G151" i="57"/>
  <c r="AD57" i="44" l="1"/>
  <c r="N18" i="21"/>
  <c r="O12" i="21"/>
  <c r="I12" i="21"/>
  <c r="M31" i="67" l="1"/>
  <c r="I15" i="22"/>
  <c r="I14" i="22"/>
  <c r="I12" i="22"/>
  <c r="I11" i="22"/>
  <c r="AA23" i="57"/>
  <c r="G158" i="57"/>
  <c r="G165" i="57"/>
  <c r="O9" i="20"/>
  <c r="O7" i="20"/>
  <c r="K10" i="20"/>
  <c r="K7" i="20"/>
  <c r="Q16" i="62" l="1"/>
  <c r="Q15" i="62"/>
  <c r="J63" i="44" l="1"/>
  <c r="J67" i="44"/>
  <c r="F70" i="78"/>
  <c r="T74" i="24"/>
  <c r="R74" i="24"/>
  <c r="T24" i="24"/>
  <c r="R24" i="24"/>
  <c r="CK8" i="13"/>
  <c r="CK9" i="13"/>
  <c r="CK10" i="13"/>
  <c r="CK7" i="13"/>
  <c r="CH7" i="13"/>
  <c r="CG8" i="13"/>
  <c r="CG9" i="13"/>
  <c r="CG10" i="13"/>
  <c r="CG7" i="13"/>
  <c r="AM7" i="36"/>
  <c r="CQ11" i="13"/>
  <c r="R18" i="19"/>
  <c r="R13" i="19"/>
  <c r="O15" i="19"/>
  <c r="P13" i="19"/>
  <c r="H157" i="24" l="1"/>
  <c r="Q17" i="3"/>
  <c r="O13" i="19"/>
  <c r="T10" i="13"/>
  <c r="T9" i="13"/>
  <c r="T8" i="13"/>
  <c r="T7" i="13"/>
  <c r="T41" i="67"/>
  <c r="T133" i="57"/>
  <c r="T110" i="57"/>
  <c r="S38" i="57"/>
  <c r="S44" i="57" s="1"/>
  <c r="S48" i="57" s="1"/>
  <c r="R15" i="57"/>
  <c r="R16" i="57" s="1"/>
  <c r="R14" i="57"/>
  <c r="R10" i="57"/>
  <c r="F64" i="57" l="1"/>
  <c r="F152" i="57" s="1"/>
  <c r="J118" i="2" l="1"/>
  <c r="J114" i="2"/>
  <c r="D98" i="2"/>
  <c r="AC6" i="113" l="1"/>
  <c r="D69" i="113"/>
  <c r="D42" i="113"/>
  <c r="Z6" i="113"/>
  <c r="D66" i="113"/>
  <c r="D40" i="113"/>
  <c r="Q6" i="113"/>
  <c r="D56" i="113"/>
  <c r="D29" i="113"/>
  <c r="AK9" i="36" l="1"/>
  <c r="F109" i="57"/>
  <c r="Q38" i="57"/>
  <c r="Q29" i="57"/>
  <c r="T73" i="57"/>
  <c r="T65" i="57"/>
  <c r="T64" i="57"/>
  <c r="S29" i="57"/>
  <c r="S24" i="57"/>
  <c r="AJ63" i="36"/>
  <c r="N6" i="113" l="1"/>
  <c r="D53" i="113"/>
  <c r="D27" i="113"/>
  <c r="Q113" i="57"/>
  <c r="Q112" i="57"/>
  <c r="F11" i="19"/>
  <c r="F10" i="19"/>
  <c r="F9" i="19"/>
  <c r="F8" i="19"/>
  <c r="F7" i="19"/>
  <c r="J139" i="30"/>
  <c r="J137" i="30"/>
  <c r="J133" i="30"/>
  <c r="J131" i="30"/>
  <c r="J127" i="30"/>
  <c r="J126" i="30"/>
  <c r="J124" i="30"/>
  <c r="J120" i="30"/>
  <c r="J118" i="30"/>
  <c r="J114" i="30"/>
  <c r="J112" i="30"/>
  <c r="J108" i="30"/>
  <c r="J106" i="30"/>
  <c r="J102" i="30"/>
  <c r="J100" i="30"/>
  <c r="J96" i="30"/>
  <c r="J94" i="30"/>
  <c r="J90" i="30"/>
  <c r="J88" i="30"/>
  <c r="J84" i="30"/>
  <c r="J80" i="30"/>
  <c r="J79" i="30"/>
  <c r="J75" i="30"/>
  <c r="J69" i="30"/>
  <c r="J65" i="30"/>
  <c r="J63" i="30"/>
  <c r="J59" i="30"/>
  <c r="J55" i="30"/>
  <c r="J53" i="30"/>
  <c r="J49" i="30"/>
  <c r="J44" i="30"/>
  <c r="J37" i="30"/>
  <c r="J30" i="30"/>
  <c r="J28" i="30"/>
  <c r="I39" i="66"/>
  <c r="I19" i="66"/>
  <c r="I7" i="66"/>
  <c r="I10" i="29"/>
  <c r="S14" i="59"/>
  <c r="N14" i="59"/>
  <c r="J39" i="30" l="1"/>
  <c r="J41" i="30" s="1"/>
  <c r="J48" i="30" s="1"/>
  <c r="J143" i="30"/>
  <c r="J145" i="30" s="1"/>
  <c r="J144" i="30"/>
  <c r="J51" i="30"/>
  <c r="J140" i="57" l="1"/>
  <c r="J138" i="57"/>
  <c r="J134" i="57"/>
  <c r="J132" i="57"/>
  <c r="J128" i="57"/>
  <c r="J126" i="57"/>
  <c r="J122" i="57"/>
  <c r="J120" i="57"/>
  <c r="J116" i="57"/>
  <c r="J114" i="57"/>
  <c r="J110" i="57"/>
  <c r="J108" i="57"/>
  <c r="J104" i="57"/>
  <c r="J102" i="57"/>
  <c r="J98" i="57"/>
  <c r="J96" i="57"/>
  <c r="J92" i="57"/>
  <c r="J90" i="57"/>
  <c r="J86" i="57"/>
  <c r="J82" i="57"/>
  <c r="J81" i="57"/>
  <c r="J77" i="57"/>
  <c r="J76" i="57"/>
  <c r="J69" i="57"/>
  <c r="J65" i="57"/>
  <c r="J64" i="57"/>
  <c r="J152" i="57" s="1"/>
  <c r="J109" i="57" s="1"/>
  <c r="J63" i="57"/>
  <c r="J59" i="57"/>
  <c r="J55" i="57"/>
  <c r="J53" i="57"/>
  <c r="J51" i="57"/>
  <c r="J49" i="57"/>
  <c r="J45" i="57"/>
  <c r="J39" i="57"/>
  <c r="J37" i="57"/>
  <c r="J32" i="57"/>
  <c r="J30" i="57"/>
  <c r="J25" i="57"/>
  <c r="J22" i="57"/>
  <c r="J21" i="57"/>
  <c r="J20" i="57"/>
  <c r="J5" i="57"/>
  <c r="I54" i="56"/>
  <c r="I53" i="56"/>
  <c r="I41" i="56"/>
  <c r="I43" i="56" s="1"/>
  <c r="I39" i="56"/>
  <c r="I38" i="56"/>
  <c r="I40" i="56" s="1"/>
  <c r="I35" i="56"/>
  <c r="I29" i="56"/>
  <c r="I27" i="56"/>
  <c r="I26" i="56"/>
  <c r="I20" i="56"/>
  <c r="Q10" i="62"/>
  <c r="AA45" i="4"/>
  <c r="X45" i="4"/>
  <c r="AC45" i="4" s="1"/>
  <c r="E11" i="67"/>
  <c r="J29" i="57" l="1"/>
  <c r="J36" i="57" s="1"/>
  <c r="J44" i="57" s="1"/>
  <c r="J47" i="57" s="1"/>
  <c r="J48" i="57" s="1"/>
  <c r="J145" i="57"/>
  <c r="J144" i="57"/>
  <c r="J146" i="57" s="1"/>
  <c r="I42" i="56"/>
  <c r="I44" i="56" s="1"/>
  <c r="P70" i="75"/>
  <c r="D93" i="75"/>
  <c r="A93" i="75"/>
  <c r="AF52" i="119" l="1" a="1"/>
  <c r="AF52" i="119" s="1"/>
  <c r="Z54" i="119" s="1"/>
  <c r="AF32" i="119" a="1"/>
  <c r="AF32" i="119" s="1"/>
  <c r="AF33" i="119" a="1"/>
  <c r="AF33" i="119" s="1"/>
  <c r="AF34" i="119" a="1"/>
  <c r="AF34" i="119" s="1"/>
  <c r="AF35" i="119" a="1"/>
  <c r="AF35" i="119" s="1"/>
  <c r="AF36" i="119" a="1"/>
  <c r="AF36" i="119" s="1"/>
  <c r="AF37" i="119" a="1"/>
  <c r="AF37" i="119" s="1"/>
  <c r="AF38" i="119" a="1"/>
  <c r="AF38" i="119" s="1"/>
  <c r="AF39" i="119" a="1"/>
  <c r="AF39" i="119" s="1"/>
  <c r="AF40" i="119" a="1"/>
  <c r="AF40" i="119" s="1"/>
  <c r="AF41" i="119" a="1"/>
  <c r="AF41" i="119" s="1"/>
  <c r="AF42" i="119" a="1"/>
  <c r="AF42" i="119" s="1"/>
  <c r="AF43" i="119" a="1"/>
  <c r="AF43" i="119" s="1"/>
  <c r="AF44" i="119" a="1"/>
  <c r="AF44" i="119" s="1"/>
  <c r="AF45" i="119" a="1"/>
  <c r="AF45" i="119" s="1"/>
  <c r="AF46" i="119" a="1"/>
  <c r="AF46" i="119" s="1"/>
  <c r="AF47" i="119" a="1"/>
  <c r="AF47" i="119" s="1"/>
  <c r="AF48" i="119" a="1"/>
  <c r="AF48" i="119" s="1"/>
  <c r="AF49" i="119" a="1"/>
  <c r="AF49" i="119" s="1"/>
  <c r="AF50" i="119" a="1"/>
  <c r="AF50" i="119" s="1"/>
  <c r="AH42" i="119" s="1" a="1"/>
  <c r="AH42" i="119" s="1"/>
  <c r="AF31" i="119" a="1"/>
  <c r="AF31" i="119" s="1"/>
  <c r="AF30" i="119" a="1"/>
  <c r="AF30" i="119" s="1"/>
  <c r="AH41" i="119" l="1" a="1"/>
  <c r="AH41" i="119" s="1"/>
  <c r="AH35" i="119" a="1"/>
  <c r="AH35" i="119" s="1"/>
  <c r="AH47" i="119" a="1"/>
  <c r="AH47" i="119" s="1"/>
  <c r="AH40" i="119" a="1"/>
  <c r="AH40" i="119" s="1"/>
  <c r="AH34" i="119" a="1"/>
  <c r="AH34" i="119" s="1"/>
  <c r="AH46" i="119" a="1"/>
  <c r="AH46" i="119" s="1"/>
  <c r="AH33" i="119" a="1"/>
  <c r="AH33" i="119" s="1"/>
  <c r="AH45" i="119" a="1"/>
  <c r="AH45" i="119" s="1"/>
  <c r="AH39" i="119" a="1"/>
  <c r="AH39" i="119" s="1"/>
  <c r="AH32" i="119" a="1"/>
  <c r="AH32" i="119" s="1"/>
  <c r="AH30" i="119" a="1"/>
  <c r="AH30" i="119" s="1"/>
  <c r="AH44" i="119" a="1"/>
  <c r="AH44" i="119" s="1"/>
  <c r="AH38" i="119" a="1"/>
  <c r="AH38" i="119" s="1"/>
  <c r="AH50" i="119" a="1"/>
  <c r="AH50" i="119" s="1"/>
  <c r="AH31" i="119" a="1"/>
  <c r="AH31" i="119" s="1"/>
  <c r="AH37" i="119" a="1"/>
  <c r="AH37" i="119" s="1"/>
  <c r="AH49" i="119" a="1"/>
  <c r="AH49" i="119" s="1"/>
  <c r="AH43" i="119" a="1"/>
  <c r="AH43" i="119" s="1"/>
  <c r="AH36" i="119" a="1"/>
  <c r="AH36" i="119" s="1"/>
  <c r="AH48" i="119" a="1"/>
  <c r="AH48" i="119" s="1"/>
  <c r="AH51" i="119" l="1"/>
  <c r="D6" i="10"/>
  <c r="D22" i="10" a="1"/>
  <c r="D22" i="10" l="1"/>
  <c r="H16" i="119"/>
  <c r="I20" i="119" s="1"/>
  <c r="H17" i="119" l="1"/>
  <c r="I19" i="119"/>
  <c r="K2" i="122"/>
  <c r="Q25" i="119" l="1"/>
  <c r="D110" i="61"/>
  <c r="D89" i="61"/>
  <c r="D71" i="61"/>
  <c r="D52" i="61"/>
  <c r="D27" i="61"/>
  <c r="R21" i="118"/>
  <c r="G52" i="122"/>
  <c r="G27" i="122"/>
  <c r="F9" i="123"/>
  <c r="V9" i="123" s="1"/>
  <c r="U9" i="123" s="1"/>
  <c r="F8" i="123"/>
  <c r="F24" i="123" s="1"/>
  <c r="T5" i="123"/>
  <c r="U5" i="123" s="1"/>
  <c r="S5" i="123"/>
  <c r="L5" i="123"/>
  <c r="M5" i="123" s="1"/>
  <c r="K5" i="123"/>
  <c r="D5" i="123"/>
  <c r="E5" i="123" s="1"/>
  <c r="T3" i="123"/>
  <c r="S3" i="123"/>
  <c r="L3" i="123"/>
  <c r="K3" i="123"/>
  <c r="D3" i="123"/>
  <c r="C3" i="123"/>
  <c r="C9" i="123" l="1"/>
  <c r="G9" i="123" s="1"/>
  <c r="N24" i="123"/>
  <c r="M24" i="123" s="1"/>
  <c r="K24" i="123" s="1"/>
  <c r="E24" i="123"/>
  <c r="C24" i="123" s="1"/>
  <c r="V24" i="123"/>
  <c r="U24" i="123" s="1"/>
  <c r="S24" i="123" s="1"/>
  <c r="F10" i="123"/>
  <c r="K8" i="123"/>
  <c r="O8" i="123" s="1"/>
  <c r="N9" i="123"/>
  <c r="M9" i="123" s="1"/>
  <c r="K9" i="123" s="1"/>
  <c r="E9" i="123"/>
  <c r="V8" i="123"/>
  <c r="U8" i="123" s="1"/>
  <c r="S8" i="123" s="1"/>
  <c r="E8" i="123"/>
  <c r="C8" i="123" s="1"/>
  <c r="N8" i="123"/>
  <c r="M8" i="123" s="1"/>
  <c r="S9" i="123"/>
  <c r="W9" i="123" s="1"/>
  <c r="D9" i="123" l="1"/>
  <c r="H9" i="123" s="1"/>
  <c r="I9" i="123" s="1"/>
  <c r="G8" i="123"/>
  <c r="D8" i="123"/>
  <c r="H8" i="123" s="1"/>
  <c r="O9" i="123"/>
  <c r="L9" i="123"/>
  <c r="P9" i="123" s="1"/>
  <c r="W24" i="123"/>
  <c r="T24" i="123"/>
  <c r="X24" i="123" s="1"/>
  <c r="O24" i="123"/>
  <c r="L24" i="123"/>
  <c r="P24" i="123" s="1"/>
  <c r="Q24" i="123" s="1"/>
  <c r="G24" i="123"/>
  <c r="D24" i="123"/>
  <c r="H24" i="123" s="1"/>
  <c r="I24" i="123" s="1"/>
  <c r="W8" i="123"/>
  <c r="T8" i="123"/>
  <c r="X8" i="123" s="1"/>
  <c r="L8" i="123"/>
  <c r="P8" i="123" s="1"/>
  <c r="Q8" i="123" s="1"/>
  <c r="N10" i="123"/>
  <c r="M10" i="123" s="1"/>
  <c r="K10" i="123" s="1"/>
  <c r="E10" i="123"/>
  <c r="C10" i="123" s="1"/>
  <c r="V10" i="123"/>
  <c r="U10" i="123" s="1"/>
  <c r="S10" i="123" s="1"/>
  <c r="F11" i="123"/>
  <c r="T9" i="123"/>
  <c r="X9" i="123" s="1"/>
  <c r="Y9" i="123" s="1"/>
  <c r="Y24" i="123" l="1"/>
  <c r="I8" i="123"/>
  <c r="Y8" i="123"/>
  <c r="Q9" i="123"/>
  <c r="W10" i="123"/>
  <c r="T10" i="123"/>
  <c r="X10" i="123" s="1"/>
  <c r="G10" i="123"/>
  <c r="D10" i="123"/>
  <c r="H10" i="123" s="1"/>
  <c r="I10" i="123" s="1"/>
  <c r="O10" i="123"/>
  <c r="L10" i="123"/>
  <c r="P10" i="123" s="1"/>
  <c r="N11" i="123"/>
  <c r="M11" i="123" s="1"/>
  <c r="K11" i="123" s="1"/>
  <c r="E11" i="123"/>
  <c r="C11" i="123" s="1"/>
  <c r="V11" i="123"/>
  <c r="U11" i="123" s="1"/>
  <c r="S11" i="123" s="1"/>
  <c r="F12" i="123"/>
  <c r="Q10" i="123" l="1"/>
  <c r="G11" i="123"/>
  <c r="D11" i="123"/>
  <c r="H11" i="123" s="1"/>
  <c r="O11" i="123"/>
  <c r="L11" i="123"/>
  <c r="P11" i="123" s="1"/>
  <c r="W11" i="123"/>
  <c r="T11" i="123"/>
  <c r="X11" i="123" s="1"/>
  <c r="F13" i="123"/>
  <c r="N12" i="123"/>
  <c r="M12" i="123" s="1"/>
  <c r="K12" i="123" s="1"/>
  <c r="E12" i="123"/>
  <c r="C12" i="123" s="1"/>
  <c r="V12" i="123"/>
  <c r="U12" i="123" s="1"/>
  <c r="S12" i="123" s="1"/>
  <c r="Y10" i="123"/>
  <c r="Y11" i="123" l="1"/>
  <c r="Q11" i="123"/>
  <c r="G12" i="123"/>
  <c r="D12" i="123"/>
  <c r="H12" i="123" s="1"/>
  <c r="O12" i="123"/>
  <c r="L12" i="123"/>
  <c r="P12" i="123" s="1"/>
  <c r="N13" i="123"/>
  <c r="M13" i="123" s="1"/>
  <c r="K13" i="123" s="1"/>
  <c r="E13" i="123"/>
  <c r="C13" i="123" s="1"/>
  <c r="V13" i="123"/>
  <c r="U13" i="123" s="1"/>
  <c r="S13" i="123" s="1"/>
  <c r="F14" i="123"/>
  <c r="W12" i="123"/>
  <c r="T12" i="123"/>
  <c r="X12" i="123" s="1"/>
  <c r="Y12" i="123" s="1"/>
  <c r="I11" i="123"/>
  <c r="I12" i="123" l="1"/>
  <c r="Q12" i="123"/>
  <c r="N14" i="123"/>
  <c r="M14" i="123" s="1"/>
  <c r="K14" i="123" s="1"/>
  <c r="E14" i="123"/>
  <c r="C14" i="123" s="1"/>
  <c r="F15" i="123"/>
  <c r="V14" i="123"/>
  <c r="U14" i="123" s="1"/>
  <c r="S14" i="123" s="1"/>
  <c r="W13" i="123"/>
  <c r="T13" i="123"/>
  <c r="X13" i="123" s="1"/>
  <c r="Y13" i="123" s="1"/>
  <c r="G13" i="123"/>
  <c r="D13" i="123"/>
  <c r="H13" i="123" s="1"/>
  <c r="I13" i="123" s="1"/>
  <c r="O13" i="123"/>
  <c r="L13" i="123"/>
  <c r="P13" i="123" s="1"/>
  <c r="W14" i="123" l="1"/>
  <c r="T14" i="123"/>
  <c r="X14" i="123" s="1"/>
  <c r="V15" i="123"/>
  <c r="U15" i="123" s="1"/>
  <c r="S15" i="123" s="1"/>
  <c r="F16" i="123"/>
  <c r="N15" i="123"/>
  <c r="M15" i="123" s="1"/>
  <c r="K15" i="123" s="1"/>
  <c r="E15" i="123"/>
  <c r="C15" i="123" s="1"/>
  <c r="O14" i="123"/>
  <c r="L14" i="123"/>
  <c r="P14" i="123" s="1"/>
  <c r="Q14" i="123" s="1"/>
  <c r="Q13" i="123"/>
  <c r="G14" i="123"/>
  <c r="D14" i="123"/>
  <c r="H14" i="123" s="1"/>
  <c r="I14" i="123" s="1"/>
  <c r="G15" i="123" l="1"/>
  <c r="D15" i="123"/>
  <c r="H15" i="123" s="1"/>
  <c r="O15" i="123"/>
  <c r="L15" i="123"/>
  <c r="P15" i="123" s="1"/>
  <c r="N16" i="123"/>
  <c r="M16" i="123" s="1"/>
  <c r="K16" i="123" s="1"/>
  <c r="E16" i="123"/>
  <c r="C16" i="123" s="1"/>
  <c r="V16" i="123"/>
  <c r="U16" i="123" s="1"/>
  <c r="S16" i="123" s="1"/>
  <c r="F17" i="123"/>
  <c r="W15" i="123"/>
  <c r="T15" i="123"/>
  <c r="X15" i="123" s="1"/>
  <c r="Y14" i="123"/>
  <c r="Q15" i="123" l="1"/>
  <c r="G16" i="123"/>
  <c r="D16" i="123"/>
  <c r="H16" i="123" s="1"/>
  <c r="O16" i="123"/>
  <c r="L16" i="123"/>
  <c r="P16" i="123" s="1"/>
  <c r="V17" i="123"/>
  <c r="U17" i="123" s="1"/>
  <c r="S17" i="123" s="1"/>
  <c r="E17" i="123"/>
  <c r="C17" i="123" s="1"/>
  <c r="F18" i="123"/>
  <c r="N17" i="123"/>
  <c r="M17" i="123" s="1"/>
  <c r="K17" i="123" s="1"/>
  <c r="W16" i="123"/>
  <c r="T16" i="123"/>
  <c r="X16" i="123" s="1"/>
  <c r="Y15" i="123"/>
  <c r="I15" i="123"/>
  <c r="G17" i="123" l="1"/>
  <c r="D17" i="123"/>
  <c r="H17" i="123" s="1"/>
  <c r="I17" i="123" s="1"/>
  <c r="O17" i="123"/>
  <c r="L17" i="123"/>
  <c r="P17" i="123" s="1"/>
  <c r="N18" i="123"/>
  <c r="M18" i="123" s="1"/>
  <c r="K18" i="123" s="1"/>
  <c r="E18" i="123"/>
  <c r="C18" i="123" s="1"/>
  <c r="V18" i="123"/>
  <c r="U18" i="123" s="1"/>
  <c r="S18" i="123" s="1"/>
  <c r="F19" i="123"/>
  <c r="Q16" i="123"/>
  <c r="W17" i="123"/>
  <c r="T17" i="123"/>
  <c r="X17" i="123" s="1"/>
  <c r="Y16" i="123"/>
  <c r="I16" i="123"/>
  <c r="Q17" i="123" l="1"/>
  <c r="O18" i="123"/>
  <c r="L18" i="123"/>
  <c r="P18" i="123" s="1"/>
  <c r="Y17" i="123"/>
  <c r="W18" i="123"/>
  <c r="T18" i="123"/>
  <c r="X18" i="123" s="1"/>
  <c r="Y18" i="123" s="1"/>
  <c r="G18" i="123"/>
  <c r="D18" i="123"/>
  <c r="H18" i="123" s="1"/>
  <c r="I18" i="123" s="1"/>
  <c r="N19" i="123"/>
  <c r="M19" i="123" s="1"/>
  <c r="K19" i="123" s="1"/>
  <c r="E19" i="123"/>
  <c r="C19" i="123" s="1"/>
  <c r="V19" i="123"/>
  <c r="U19" i="123" s="1"/>
  <c r="S19" i="123" s="1"/>
  <c r="F20" i="123"/>
  <c r="Q18" i="123" l="1"/>
  <c r="O19" i="123"/>
  <c r="L19" i="123"/>
  <c r="P19" i="123" s="1"/>
  <c r="F21" i="123"/>
  <c r="N20" i="123"/>
  <c r="M20" i="123" s="1"/>
  <c r="K20" i="123" s="1"/>
  <c r="E20" i="123"/>
  <c r="C20" i="123" s="1"/>
  <c r="V20" i="123"/>
  <c r="U20" i="123" s="1"/>
  <c r="S20" i="123" s="1"/>
  <c r="W19" i="123"/>
  <c r="T19" i="123"/>
  <c r="X19" i="123" s="1"/>
  <c r="G19" i="123"/>
  <c r="D19" i="123"/>
  <c r="H19" i="123" s="1"/>
  <c r="I19" i="123" s="1"/>
  <c r="Y19" i="123" l="1"/>
  <c r="Q19" i="123"/>
  <c r="G20" i="123"/>
  <c r="D20" i="123"/>
  <c r="H20" i="123" s="1"/>
  <c r="W20" i="123"/>
  <c r="T20" i="123"/>
  <c r="X20" i="123" s="1"/>
  <c r="Y20" i="123" s="1"/>
  <c r="O20" i="123"/>
  <c r="L20" i="123"/>
  <c r="P20" i="123" s="1"/>
  <c r="Q20" i="123" s="1"/>
  <c r="N21" i="123"/>
  <c r="M21" i="123" s="1"/>
  <c r="K21" i="123" s="1"/>
  <c r="E21" i="123"/>
  <c r="C21" i="123" s="1"/>
  <c r="V21" i="123"/>
  <c r="U21" i="123" s="1"/>
  <c r="S21" i="123" s="1"/>
  <c r="F22" i="123"/>
  <c r="I20" i="123" l="1"/>
  <c r="G21" i="123"/>
  <c r="D21" i="123"/>
  <c r="H21" i="123" s="1"/>
  <c r="O21" i="123"/>
  <c r="L21" i="123"/>
  <c r="P21" i="123" s="1"/>
  <c r="N22" i="123"/>
  <c r="M22" i="123" s="1"/>
  <c r="K22" i="123" s="1"/>
  <c r="E22" i="123"/>
  <c r="C22" i="123" s="1"/>
  <c r="F23" i="123"/>
  <c r="V22" i="123"/>
  <c r="U22" i="123" s="1"/>
  <c r="S22" i="123" s="1"/>
  <c r="W21" i="123"/>
  <c r="T21" i="123"/>
  <c r="X21" i="123" s="1"/>
  <c r="Q21" i="123" l="1"/>
  <c r="G22" i="123"/>
  <c r="D22" i="123"/>
  <c r="H22" i="123" s="1"/>
  <c r="O22" i="123"/>
  <c r="L22" i="123"/>
  <c r="P22" i="123" s="1"/>
  <c r="W22" i="123"/>
  <c r="T22" i="123"/>
  <c r="X22" i="123" s="1"/>
  <c r="V23" i="123"/>
  <c r="U23" i="123" s="1"/>
  <c r="S23" i="123" s="1"/>
  <c r="E23" i="123"/>
  <c r="C23" i="123" s="1"/>
  <c r="N23" i="123"/>
  <c r="M23" i="123" s="1"/>
  <c r="K23" i="123" s="1"/>
  <c r="Y21" i="123"/>
  <c r="I21" i="123"/>
  <c r="Y22" i="123" l="1"/>
  <c r="I22" i="123"/>
  <c r="Q22" i="123"/>
  <c r="G23" i="123"/>
  <c r="D23" i="123"/>
  <c r="H23" i="123" s="1"/>
  <c r="W23" i="123"/>
  <c r="T23" i="123"/>
  <c r="X23" i="123" s="1"/>
  <c r="Y23" i="123" s="1"/>
  <c r="O23" i="123"/>
  <c r="L23" i="123"/>
  <c r="P23" i="123" s="1"/>
  <c r="Q23" i="123" s="1"/>
  <c r="I23" i="123" l="1"/>
  <c r="R12" i="122"/>
  <c r="U12" i="122" s="1"/>
  <c r="R11" i="122"/>
  <c r="U11" i="122" s="1"/>
  <c r="R10" i="122"/>
  <c r="S10" i="122" s="1"/>
  <c r="R9" i="122"/>
  <c r="U9" i="122" s="1"/>
  <c r="R8" i="122"/>
  <c r="U8" i="122" s="1"/>
  <c r="R7" i="122"/>
  <c r="T7" i="122" s="1"/>
  <c r="R6" i="122"/>
  <c r="U6" i="122" s="1"/>
  <c r="R5" i="122"/>
  <c r="U5" i="122" s="1"/>
  <c r="R4" i="122"/>
  <c r="U4" i="122" s="1"/>
  <c r="U2" i="122"/>
  <c r="T2" i="122"/>
  <c r="S2" i="122"/>
  <c r="N58" i="122"/>
  <c r="N55" i="122"/>
  <c r="B12" i="119" s="1"/>
  <c r="D52" i="122"/>
  <c r="K51" i="122" a="1"/>
  <c r="K51" i="122" s="1"/>
  <c r="G51" i="122" a="1"/>
  <c r="G51" i="122" s="1"/>
  <c r="F51" i="122" a="1"/>
  <c r="F51" i="122" s="1"/>
  <c r="E51" i="122" a="1"/>
  <c r="E51" i="122" s="1"/>
  <c r="D51" i="122"/>
  <c r="K50" i="122" a="1"/>
  <c r="K50" i="122" s="1"/>
  <c r="G50" i="122" a="1"/>
  <c r="G50" i="122" s="1"/>
  <c r="F50" i="122" a="1"/>
  <c r="F50" i="122" s="1"/>
  <c r="E50" i="122" a="1"/>
  <c r="E50" i="122" s="1"/>
  <c r="D50" i="122"/>
  <c r="K49" i="122" a="1"/>
  <c r="K49" i="122" s="1"/>
  <c r="G49" i="122" a="1"/>
  <c r="G49" i="122" s="1"/>
  <c r="F49" i="122" a="1"/>
  <c r="F49" i="122" s="1"/>
  <c r="E49" i="122" a="1"/>
  <c r="E49" i="122" s="1"/>
  <c r="D49" i="122"/>
  <c r="K48" i="122" a="1"/>
  <c r="K48" i="122" s="1"/>
  <c r="G48" i="122" a="1"/>
  <c r="G48" i="122" s="1"/>
  <c r="F48" i="122" a="1"/>
  <c r="F48" i="122" s="1"/>
  <c r="D27" i="10" s="1"/>
  <c r="E48" i="122" a="1"/>
  <c r="E48" i="122" s="1"/>
  <c r="D48" i="122"/>
  <c r="D47" i="122"/>
  <c r="K46" i="122" a="1"/>
  <c r="K46" i="122" s="1"/>
  <c r="G46" i="122" a="1"/>
  <c r="G46" i="122" s="1"/>
  <c r="F46" i="122" a="1"/>
  <c r="F46" i="122" s="1"/>
  <c r="E46" i="122" a="1"/>
  <c r="E46" i="122" s="1"/>
  <c r="D46" i="122"/>
  <c r="K45" i="122" a="1"/>
  <c r="K45" i="122" s="1"/>
  <c r="G45" i="122" a="1"/>
  <c r="G45" i="122" s="1"/>
  <c r="F45" i="122" a="1"/>
  <c r="F45" i="122" s="1"/>
  <c r="E45" i="122" a="1"/>
  <c r="E45" i="122" s="1"/>
  <c r="D45" i="122"/>
  <c r="K44" i="122" a="1"/>
  <c r="K44" i="122" s="1"/>
  <c r="G44" i="122" a="1"/>
  <c r="G44" i="122" s="1"/>
  <c r="F44" i="122" a="1"/>
  <c r="F44" i="122" s="1"/>
  <c r="E44" i="122" a="1"/>
  <c r="E44" i="122" s="1"/>
  <c r="D44" i="122"/>
  <c r="K43" i="122" a="1"/>
  <c r="K43" i="122" s="1"/>
  <c r="G43" i="122" a="1"/>
  <c r="G43" i="122" s="1"/>
  <c r="F43" i="122" a="1"/>
  <c r="F43" i="122" s="1"/>
  <c r="E43" i="122" a="1"/>
  <c r="E43" i="122" s="1"/>
  <c r="D43" i="122"/>
  <c r="D42" i="122"/>
  <c r="K41" i="122" a="1"/>
  <c r="K41" i="122" s="1"/>
  <c r="D41" i="122"/>
  <c r="K40" i="122" a="1"/>
  <c r="K40" i="122" s="1"/>
  <c r="D40" i="122"/>
  <c r="K39" i="122" a="1"/>
  <c r="K39" i="122" s="1"/>
  <c r="D39" i="122"/>
  <c r="K38" i="122" a="1"/>
  <c r="K38" i="122" s="1"/>
  <c r="G38" i="122" a="1"/>
  <c r="G38" i="122" s="1"/>
  <c r="G41" i="122" s="1" a="1"/>
  <c r="G41" i="122" s="1"/>
  <c r="F38" i="122" a="1"/>
  <c r="F38" i="122" s="1"/>
  <c r="F41" i="122" s="1" a="1"/>
  <c r="F41" i="122" s="1"/>
  <c r="E38" i="122" a="1"/>
  <c r="E38" i="122" s="1"/>
  <c r="E41" i="122" s="1" a="1"/>
  <c r="E41" i="122" s="1"/>
  <c r="D38" i="122"/>
  <c r="K37" i="122" a="1"/>
  <c r="K37" i="122" s="1"/>
  <c r="G37" i="122" a="1"/>
  <c r="G37" i="122" s="1"/>
  <c r="F37" i="122" a="1"/>
  <c r="F37" i="122" s="1"/>
  <c r="E37" i="122" a="1"/>
  <c r="E37" i="122" s="1"/>
  <c r="D37" i="122"/>
  <c r="K36" i="122" a="1"/>
  <c r="K36" i="122" s="1"/>
  <c r="G36" i="122" a="1"/>
  <c r="G36" i="122" s="1"/>
  <c r="F36" i="122" a="1"/>
  <c r="F36" i="122" s="1"/>
  <c r="E36" i="122" a="1"/>
  <c r="E36" i="122" s="1"/>
  <c r="D36" i="122"/>
  <c r="D35" i="122"/>
  <c r="D27" i="122"/>
  <c r="K26" i="122" a="1"/>
  <c r="K26" i="122" s="1"/>
  <c r="G26" i="122" a="1"/>
  <c r="G26" i="122" s="1"/>
  <c r="F26" i="122" a="1"/>
  <c r="F26" i="122" s="1"/>
  <c r="E26" i="122" a="1"/>
  <c r="E26" i="122" s="1"/>
  <c r="D26" i="122"/>
  <c r="D24" i="122"/>
  <c r="D23" i="122"/>
  <c r="K21" i="122" a="1"/>
  <c r="K21" i="122" s="1"/>
  <c r="G21" i="122" a="1"/>
  <c r="G21" i="122" s="1"/>
  <c r="F21" i="122" a="1"/>
  <c r="F21" i="122" s="1"/>
  <c r="E21" i="122" a="1"/>
  <c r="E21" i="122" s="1"/>
  <c r="K20" i="122" a="1"/>
  <c r="K20" i="122" s="1"/>
  <c r="G20" i="122" a="1"/>
  <c r="G20" i="122" s="1"/>
  <c r="F20" i="122" a="1"/>
  <c r="F20" i="122" s="1"/>
  <c r="E20" i="122" a="1"/>
  <c r="E20" i="122" s="1"/>
  <c r="D20" i="122"/>
  <c r="K19" i="122" a="1"/>
  <c r="K19" i="122" s="1"/>
  <c r="G19" i="122" a="1"/>
  <c r="G19" i="122" s="1"/>
  <c r="F19" i="122" a="1"/>
  <c r="F19" i="122" s="1"/>
  <c r="E19" i="122" a="1"/>
  <c r="E19" i="122" s="1"/>
  <c r="D19" i="122"/>
  <c r="K18" i="122" a="1"/>
  <c r="K18" i="122" s="1"/>
  <c r="G18" i="122" a="1"/>
  <c r="G18" i="122" s="1"/>
  <c r="F18" i="122" a="1"/>
  <c r="F18" i="122" s="1"/>
  <c r="E18" i="122" a="1"/>
  <c r="E18" i="122" s="1"/>
  <c r="D18" i="122"/>
  <c r="D15" i="122"/>
  <c r="D14" i="122"/>
  <c r="K12" i="122" a="1"/>
  <c r="K12" i="122" s="1"/>
  <c r="G12" i="122" a="1"/>
  <c r="G12" i="122" s="1"/>
  <c r="F12" i="122" a="1"/>
  <c r="F12" i="122" s="1"/>
  <c r="E12" i="122" a="1"/>
  <c r="E12" i="122" s="1"/>
  <c r="K11" i="122" a="1"/>
  <c r="K11" i="122" s="1"/>
  <c r="G11" i="122" a="1"/>
  <c r="G11" i="122" s="1"/>
  <c r="F11" i="122" a="1"/>
  <c r="F11" i="122" s="1"/>
  <c r="D23" i="10" s="1"/>
  <c r="E11" i="122" a="1"/>
  <c r="E11" i="122" s="1"/>
  <c r="D11" i="122"/>
  <c r="K10" i="122" a="1"/>
  <c r="K10" i="122" s="1"/>
  <c r="G10" i="122" a="1"/>
  <c r="G10" i="122" s="1"/>
  <c r="F10" i="122" a="1"/>
  <c r="F10" i="122" s="1"/>
  <c r="E10" i="122" a="1"/>
  <c r="E10" i="122" s="1"/>
  <c r="D10" i="122"/>
  <c r="K9" i="122" a="1"/>
  <c r="K9" i="122" s="1"/>
  <c r="G9" i="122" a="1"/>
  <c r="G9" i="122" s="1"/>
  <c r="F9" i="122" a="1"/>
  <c r="F9" i="122" s="1"/>
  <c r="E9" i="122" a="1"/>
  <c r="E9" i="122" s="1"/>
  <c r="D9" i="122"/>
  <c r="G7" i="122" a="1"/>
  <c r="G7" i="122" s="1"/>
  <c r="G34" i="122" s="1"/>
  <c r="F7" i="122" a="1"/>
  <c r="F7" i="122" s="1"/>
  <c r="F34" i="122" s="1"/>
  <c r="E7" i="122" a="1"/>
  <c r="E7" i="122" s="1"/>
  <c r="E34" i="122" s="1"/>
  <c r="G6" i="122" a="1"/>
  <c r="G6" i="122" s="1"/>
  <c r="G33" i="122" s="1"/>
  <c r="F6" i="122" a="1"/>
  <c r="F6" i="122" s="1"/>
  <c r="F33" i="122" s="1"/>
  <c r="E6" i="122" a="1"/>
  <c r="E6" i="122" s="1"/>
  <c r="E33" i="122" s="1"/>
  <c r="G5" i="122" a="1"/>
  <c r="G5" i="122" s="1"/>
  <c r="G32" i="122" s="1"/>
  <c r="F5" i="122" a="1"/>
  <c r="F5" i="122" s="1"/>
  <c r="F32" i="122" s="1"/>
  <c r="E5" i="122" a="1"/>
  <c r="E5" i="122" s="1"/>
  <c r="E32" i="122" s="1"/>
  <c r="D5" i="122"/>
  <c r="D32" i="122" s="1"/>
  <c r="G20" i="119"/>
  <c r="H20" i="119" s="1"/>
  <c r="G19" i="119"/>
  <c r="H19" i="119" s="1"/>
  <c r="G18" i="119"/>
  <c r="H18" i="119" s="1"/>
  <c r="G17" i="119"/>
  <c r="G16" i="119"/>
  <c r="R17" i="119"/>
  <c r="T24" i="119"/>
  <c r="S24" i="119"/>
  <c r="R24" i="119"/>
  <c r="T23" i="119"/>
  <c r="S23" i="119"/>
  <c r="R23" i="119"/>
  <c r="T22" i="119"/>
  <c r="S22" i="119"/>
  <c r="R22" i="119"/>
  <c r="T21" i="119"/>
  <c r="S21" i="119"/>
  <c r="R21" i="119"/>
  <c r="T20" i="119"/>
  <c r="S20" i="119"/>
  <c r="R20" i="119"/>
  <c r="Q21" i="119"/>
  <c r="A21" i="119" s="1"/>
  <c r="Q22" i="119"/>
  <c r="Q23" i="119"/>
  <c r="A23" i="119" s="1"/>
  <c r="Q24" i="119"/>
  <c r="A24" i="119" s="1"/>
  <c r="Q20" i="119"/>
  <c r="T17" i="119"/>
  <c r="S17" i="119"/>
  <c r="I6" i="119"/>
  <c r="G11" i="119"/>
  <c r="H11" i="119"/>
  <c r="F40" i="122" l="1" a="1"/>
  <c r="F40" i="122" s="1"/>
  <c r="D25" i="10"/>
  <c r="G14" i="122"/>
  <c r="F14" i="122"/>
  <c r="G23" i="122"/>
  <c r="E24" i="122"/>
  <c r="E15" i="122"/>
  <c r="T5" i="122"/>
  <c r="U7" i="122"/>
  <c r="S8" i="122"/>
  <c r="T10" i="122"/>
  <c r="U10" i="122"/>
  <c r="S5" i="122"/>
  <c r="T8" i="122"/>
  <c r="S11" i="122"/>
  <c r="S6" i="122"/>
  <c r="T11" i="122"/>
  <c r="T6" i="122"/>
  <c r="S9" i="122"/>
  <c r="S4" i="122"/>
  <c r="T9" i="122"/>
  <c r="S12" i="122"/>
  <c r="T4" i="122"/>
  <c r="S7" i="122"/>
  <c r="T12" i="122"/>
  <c r="G39" i="122" a="1"/>
  <c r="G39" i="122" s="1"/>
  <c r="G40" i="122" a="1"/>
  <c r="G40" i="122" s="1"/>
  <c r="F24" i="122"/>
  <c r="F15" i="122"/>
  <c r="E23" i="122"/>
  <c r="F23" i="122"/>
  <c r="G15" i="122"/>
  <c r="G24" i="122"/>
  <c r="E14" i="122"/>
  <c r="E40" i="122" a="1"/>
  <c r="E40" i="122" s="1"/>
  <c r="E39" i="122" a="1"/>
  <c r="E39" i="122" s="1"/>
  <c r="F39" i="122" a="1"/>
  <c r="F39" i="122" s="1"/>
  <c r="D26" i="10" s="1"/>
  <c r="I11" i="119"/>
  <c r="I5" i="119" l="1"/>
  <c r="H4" i="119"/>
  <c r="G4" i="119"/>
  <c r="G21" i="119"/>
  <c r="G23" i="119"/>
  <c r="J11" i="119"/>
  <c r="J10" i="119"/>
  <c r="J9" i="119"/>
  <c r="J8" i="119"/>
  <c r="J7" i="119"/>
  <c r="H10" i="119"/>
  <c r="G10" i="119"/>
  <c r="H9" i="119"/>
  <c r="G9" i="119"/>
  <c r="H8" i="119"/>
  <c r="G8" i="119"/>
  <c r="H7" i="119"/>
  <c r="G7" i="119"/>
  <c r="F8" i="119"/>
  <c r="A8" i="119" s="1"/>
  <c r="F9" i="119"/>
  <c r="F10" i="119"/>
  <c r="A10" i="119" s="1"/>
  <c r="F11" i="119"/>
  <c r="A11" i="119" s="1"/>
  <c r="F7" i="119"/>
  <c r="G9" i="118" a="1"/>
  <c r="G9" i="118" s="1"/>
  <c r="G8" i="118" a="1"/>
  <c r="G8" i="118" s="1"/>
  <c r="D21" i="122" l="1"/>
  <c r="D16" i="122"/>
  <c r="D25" i="122"/>
  <c r="D12" i="122"/>
  <c r="E16" i="122"/>
  <c r="G25" i="122"/>
  <c r="F25" i="122"/>
  <c r="E25" i="122"/>
  <c r="F16" i="122"/>
  <c r="D24" i="10" s="1"/>
  <c r="G16" i="122"/>
  <c r="I10" i="119"/>
  <c r="I7" i="119"/>
  <c r="I8" i="119"/>
  <c r="K10" i="119"/>
  <c r="K6" i="119"/>
  <c r="K7" i="119"/>
  <c r="K8" i="119"/>
  <c r="K9" i="119"/>
  <c r="K11" i="119"/>
  <c r="K5" i="119"/>
  <c r="J4" i="119"/>
  <c r="I9" i="119"/>
  <c r="U20" i="118" a="1"/>
  <c r="U20" i="118" s="1"/>
  <c r="T20" i="118" a="1"/>
  <c r="T20" i="118" s="1"/>
  <c r="S20" i="118" a="1"/>
  <c r="S20" i="118" s="1"/>
  <c r="U19" i="118" a="1"/>
  <c r="U19" i="118" s="1"/>
  <c r="T19" i="118" a="1"/>
  <c r="T19" i="118" s="1"/>
  <c r="S19" i="118" a="1"/>
  <c r="S19" i="118" s="1"/>
  <c r="U18" i="118" a="1"/>
  <c r="U18" i="118" s="1"/>
  <c r="T18" i="118" a="1"/>
  <c r="T18" i="118" s="1"/>
  <c r="S18" i="118" a="1"/>
  <c r="S18" i="118" s="1"/>
  <c r="U17" i="118" a="1"/>
  <c r="U17" i="118" s="1"/>
  <c r="T17" i="118" a="1"/>
  <c r="T17" i="118" s="1"/>
  <c r="S17" i="118" a="1"/>
  <c r="S17" i="118" s="1"/>
  <c r="U15" i="118"/>
  <c r="T15" i="118"/>
  <c r="S15" i="118"/>
  <c r="K9" i="118" a="1"/>
  <c r="K9" i="118" s="1"/>
  <c r="I9" i="118" a="1"/>
  <c r="I9" i="118" s="1"/>
  <c r="H9" i="118" a="1"/>
  <c r="H9" i="118" s="1"/>
  <c r="K8" i="118" a="1"/>
  <c r="K8" i="118" s="1"/>
  <c r="I8" i="118" a="1"/>
  <c r="I8" i="118" s="1"/>
  <c r="H8" i="118" a="1"/>
  <c r="H8" i="118" s="1"/>
  <c r="C9" i="118"/>
  <c r="K7" i="118" a="1"/>
  <c r="K7" i="118" s="1"/>
  <c r="I7" i="118" a="1"/>
  <c r="I7" i="118" s="1"/>
  <c r="H7" i="118" a="1"/>
  <c r="H7" i="118" s="1"/>
  <c r="G7" i="118" a="1"/>
  <c r="G7" i="118" s="1"/>
  <c r="K6" i="118" a="1"/>
  <c r="K6" i="118" s="1"/>
  <c r="I6" i="118" a="1"/>
  <c r="I6" i="118" s="1"/>
  <c r="H6" i="118" a="1"/>
  <c r="H6" i="118" s="1"/>
  <c r="G6" i="118" a="1"/>
  <c r="G6" i="118" s="1"/>
  <c r="R19" i="118" l="1"/>
  <c r="R18" i="118"/>
  <c r="R17" i="118"/>
  <c r="R20" i="118"/>
  <c r="U3" i="39" l="1"/>
  <c r="L168" i="46" l="1"/>
  <c r="K22" i="46"/>
  <c r="I23" i="46"/>
  <c r="I22" i="46"/>
  <c r="H21" i="46" l="1"/>
  <c r="K23" i="46"/>
  <c r="M23" i="46"/>
  <c r="L23" i="46"/>
  <c r="M22" i="46"/>
  <c r="L22" i="46"/>
  <c r="H22" i="46"/>
  <c r="M21" i="46"/>
  <c r="I21" i="46"/>
  <c r="F23" i="46"/>
  <c r="D74" i="33"/>
  <c r="D73" i="33"/>
  <c r="D72" i="33"/>
  <c r="D71" i="33"/>
  <c r="D70" i="33"/>
  <c r="D23" i="33"/>
  <c r="D22" i="33"/>
  <c r="D21" i="33"/>
  <c r="D20" i="33"/>
  <c r="K336" i="36"/>
  <c r="K335" i="36"/>
  <c r="K334" i="36"/>
  <c r="K333" i="36"/>
  <c r="K332" i="36"/>
  <c r="K331" i="36"/>
  <c r="K330" i="36"/>
  <c r="K329" i="36"/>
  <c r="K328" i="36"/>
  <c r="K322" i="36"/>
  <c r="K321" i="36"/>
  <c r="K327" i="36" l="1"/>
  <c r="K326" i="36"/>
  <c r="K325" i="36"/>
  <c r="K323" i="36"/>
  <c r="K354" i="36"/>
  <c r="K353" i="36"/>
  <c r="K352" i="36"/>
  <c r="K351" i="36"/>
  <c r="K350" i="36"/>
  <c r="K349" i="36"/>
  <c r="K348" i="36"/>
  <c r="K347" i="36"/>
  <c r="K346" i="36"/>
  <c r="K345" i="36"/>
  <c r="K344" i="36"/>
  <c r="K343" i="36"/>
  <c r="K341" i="36"/>
  <c r="K340" i="36"/>
  <c r="K339" i="36"/>
  <c r="D18" i="27"/>
  <c r="A17" i="27"/>
  <c r="F16" i="27" l="1"/>
  <c r="A15" i="27"/>
  <c r="B84" i="116"/>
  <c r="I39" i="116"/>
  <c r="H39" i="116"/>
  <c r="G39" i="116"/>
  <c r="F39" i="116"/>
  <c r="E39" i="116"/>
  <c r="D39" i="116"/>
  <c r="C39" i="116"/>
  <c r="B39" i="116"/>
  <c r="I38" i="116"/>
  <c r="H38" i="116"/>
  <c r="G38" i="116"/>
  <c r="F38" i="116"/>
  <c r="E38" i="116"/>
  <c r="D38" i="116"/>
  <c r="C38" i="116"/>
  <c r="B38" i="116"/>
  <c r="B35" i="116"/>
  <c r="B34" i="116"/>
  <c r="B33" i="116"/>
  <c r="I17" i="116"/>
  <c r="J6" i="118" s="1" a="1"/>
  <c r="J6" i="118" s="1"/>
  <c r="H17" i="116"/>
  <c r="J7" i="118" s="1" a="1"/>
  <c r="J7" i="118" s="1"/>
  <c r="G17" i="116"/>
  <c r="J8" i="118" s="1" a="1"/>
  <c r="J8" i="118" s="1"/>
  <c r="F17" i="116"/>
  <c r="J9" i="118" s="1" a="1"/>
  <c r="J9" i="118" s="1"/>
  <c r="E17" i="116"/>
  <c r="D17" i="116"/>
  <c r="C17" i="116"/>
  <c r="B17" i="116"/>
  <c r="J5" i="118" s="1" a="1"/>
  <c r="J5" i="118" s="1"/>
  <c r="I16" i="116"/>
  <c r="H16" i="116"/>
  <c r="G16" i="116"/>
  <c r="F16" i="116"/>
  <c r="E16" i="116"/>
  <c r="D16" i="116"/>
  <c r="C16" i="116"/>
  <c r="B16" i="116"/>
  <c r="B13" i="116"/>
  <c r="I4" i="118" s="1" a="1"/>
  <c r="I4" i="118" s="1"/>
  <c r="B12" i="116"/>
  <c r="H4" i="118" s="1" a="1"/>
  <c r="H4" i="118" s="1"/>
  <c r="B11" i="116"/>
  <c r="I6" i="116"/>
  <c r="H6" i="116"/>
  <c r="G6" i="116"/>
  <c r="F6" i="116"/>
  <c r="E6" i="116"/>
  <c r="D6" i="116"/>
  <c r="C6" i="116"/>
  <c r="D337" i="10"/>
  <c r="F17" i="27" l="1"/>
  <c r="F18" i="27" s="1"/>
  <c r="AH8" i="96"/>
  <c r="AF8" i="96"/>
  <c r="AD8" i="96"/>
  <c r="AB8" i="96"/>
  <c r="Z8" i="96"/>
  <c r="X8" i="96"/>
  <c r="V8" i="96"/>
  <c r="T8" i="96"/>
  <c r="R8" i="96"/>
  <c r="P8" i="96"/>
  <c r="N8" i="96"/>
  <c r="L8" i="96"/>
  <c r="J8" i="96"/>
  <c r="J62" i="96" s="1"/>
  <c r="I62" i="96" s="1"/>
  <c r="H8" i="96"/>
  <c r="H9" i="96" s="1"/>
  <c r="H11" i="96" s="1"/>
  <c r="H13" i="96" s="1"/>
  <c r="F8" i="96"/>
  <c r="F9" i="96" s="1"/>
  <c r="F11" i="96" s="1"/>
  <c r="F13" i="96" s="1"/>
  <c r="AH8" i="95"/>
  <c r="AH62" i="95" s="1"/>
  <c r="AG62" i="95" s="1"/>
  <c r="AF8" i="95"/>
  <c r="AF62" i="95" s="1"/>
  <c r="AE62" i="95" s="1"/>
  <c r="AD8" i="95"/>
  <c r="AD9" i="95" s="1"/>
  <c r="AD11" i="95" s="1"/>
  <c r="AD13" i="95" s="1"/>
  <c r="AB8" i="95"/>
  <c r="AB9" i="95" s="1"/>
  <c r="AB11" i="95" s="1"/>
  <c r="AB13" i="95" s="1"/>
  <c r="Z8" i="95"/>
  <c r="Z62" i="95" s="1"/>
  <c r="Y62" i="95" s="1"/>
  <c r="X8" i="95"/>
  <c r="V8" i="95"/>
  <c r="T8" i="95"/>
  <c r="R8" i="95"/>
  <c r="P8" i="95"/>
  <c r="N8" i="95"/>
  <c r="L8" i="95"/>
  <c r="J8" i="95"/>
  <c r="H8" i="95"/>
  <c r="H62" i="95" s="1"/>
  <c r="G62" i="95" s="1"/>
  <c r="F8" i="95"/>
  <c r="F62" i="95" s="1"/>
  <c r="D31" i="10"/>
  <c r="D95" i="61"/>
  <c r="D77" i="61"/>
  <c r="D58" i="61"/>
  <c r="D47" i="61"/>
  <c r="D42" i="61"/>
  <c r="D35" i="61"/>
  <c r="G109" i="61" a="1"/>
  <c r="G109" i="61" s="1"/>
  <c r="F109" i="61" a="1"/>
  <c r="F109" i="61" s="1"/>
  <c r="E109" i="61" a="1"/>
  <c r="E109" i="61" s="1"/>
  <c r="D109" i="61" a="1"/>
  <c r="D109" i="61" s="1"/>
  <c r="D14" i="61" a="1"/>
  <c r="D14" i="61" s="1"/>
  <c r="D107" i="61" a="1"/>
  <c r="D107" i="61" s="1"/>
  <c r="G110" i="61"/>
  <c r="D108" i="61" a="1"/>
  <c r="D108" i="61" s="1"/>
  <c r="D106" i="61" a="1"/>
  <c r="D106" i="61" s="1"/>
  <c r="D105" i="61" a="1"/>
  <c r="D105" i="61" s="1"/>
  <c r="D104" i="61" a="1"/>
  <c r="D104" i="61" s="1"/>
  <c r="D103" i="61" a="1"/>
  <c r="D103" i="61" s="1"/>
  <c r="D102" i="61" a="1"/>
  <c r="D102" i="61" s="1"/>
  <c r="D101" i="61" a="1"/>
  <c r="D101" i="61" s="1"/>
  <c r="D100" i="61" a="1"/>
  <c r="D100" i="61" s="1"/>
  <c r="D99" i="61" a="1"/>
  <c r="D99" i="61" s="1"/>
  <c r="D98" i="61" a="1"/>
  <c r="D98" i="61" s="1"/>
  <c r="D97" i="61" a="1"/>
  <c r="D97" i="61" s="1"/>
  <c r="D96" i="61" a="1"/>
  <c r="D96" i="61" s="1"/>
  <c r="G94" i="61" a="1"/>
  <c r="G94" i="61" s="1"/>
  <c r="F94" i="61" a="1"/>
  <c r="F94" i="61" s="1"/>
  <c r="E94" i="61" a="1"/>
  <c r="E94" i="61" s="1"/>
  <c r="G89" i="61"/>
  <c r="G87" i="61" a="1"/>
  <c r="G87" i="61" s="1"/>
  <c r="F87" i="61" a="1"/>
  <c r="F87" i="61" s="1"/>
  <c r="E87" i="61" a="1"/>
  <c r="E87" i="61" s="1"/>
  <c r="D87" i="61" a="1"/>
  <c r="D87" i="61" s="1"/>
  <c r="G86" i="61" a="1"/>
  <c r="G86" i="61" s="1"/>
  <c r="F86" i="61" a="1"/>
  <c r="F86" i="61" s="1"/>
  <c r="E86" i="61" a="1"/>
  <c r="E86" i="61" s="1"/>
  <c r="D86" i="61" a="1"/>
  <c r="D86" i="61" s="1"/>
  <c r="G85" i="61" a="1"/>
  <c r="G85" i="61" s="1"/>
  <c r="F85" i="61" a="1"/>
  <c r="F85" i="61" s="1"/>
  <c r="E85" i="61" a="1"/>
  <c r="E85" i="61" s="1"/>
  <c r="D85" i="61" a="1"/>
  <c r="D85" i="61" s="1"/>
  <c r="G84" i="61" a="1"/>
  <c r="G84" i="61" s="1"/>
  <c r="F84" i="61" a="1"/>
  <c r="F84" i="61" s="1"/>
  <c r="E84" i="61" a="1"/>
  <c r="E84" i="61" s="1"/>
  <c r="D84" i="61" a="1"/>
  <c r="D84" i="61" s="1"/>
  <c r="G83" i="61" a="1"/>
  <c r="G83" i="61" s="1"/>
  <c r="F83" i="61" a="1"/>
  <c r="F83" i="61" s="1"/>
  <c r="E83" i="61" a="1"/>
  <c r="E83" i="61" s="1"/>
  <c r="D83" i="61" a="1"/>
  <c r="D83" i="61" s="1"/>
  <c r="G82" i="61" a="1"/>
  <c r="G82" i="61" s="1"/>
  <c r="F82" i="61" a="1"/>
  <c r="F82" i="61" s="1"/>
  <c r="E82" i="61" a="1"/>
  <c r="E82" i="61" s="1"/>
  <c r="D82" i="61" a="1"/>
  <c r="D82" i="61" s="1"/>
  <c r="G81" i="61" a="1"/>
  <c r="G81" i="61" s="1"/>
  <c r="F81" i="61" a="1"/>
  <c r="F81" i="61" s="1"/>
  <c r="E81" i="61" a="1"/>
  <c r="E81" i="61" s="1"/>
  <c r="D81" i="61" a="1"/>
  <c r="D81" i="61" s="1"/>
  <c r="G80" i="61" a="1"/>
  <c r="G80" i="61" s="1"/>
  <c r="F80" i="61" a="1"/>
  <c r="F80" i="61" s="1"/>
  <c r="E80" i="61" a="1"/>
  <c r="E80" i="61" s="1"/>
  <c r="D80" i="61" a="1"/>
  <c r="D80" i="61" s="1"/>
  <c r="G79" i="61" a="1"/>
  <c r="G79" i="61" s="1"/>
  <c r="F79" i="61" a="1"/>
  <c r="F79" i="61" s="1"/>
  <c r="E79" i="61" a="1"/>
  <c r="E79" i="61" s="1"/>
  <c r="D79" i="61" a="1"/>
  <c r="D79" i="61" s="1"/>
  <c r="G78" i="61" a="1"/>
  <c r="G78" i="61" s="1"/>
  <c r="F78" i="61" a="1"/>
  <c r="F78" i="61" s="1"/>
  <c r="E78" i="61" a="1"/>
  <c r="E78" i="61" s="1"/>
  <c r="D78" i="61" a="1"/>
  <c r="D78" i="61" s="1"/>
  <c r="G88" i="61" a="1"/>
  <c r="G88" i="61" s="1"/>
  <c r="F88" i="61" a="1"/>
  <c r="F88" i="61" s="1"/>
  <c r="E88" i="61" a="1"/>
  <c r="E88" i="61" s="1"/>
  <c r="D88" i="61" a="1"/>
  <c r="D88" i="61" s="1"/>
  <c r="G76" i="61" a="1"/>
  <c r="G76" i="61" s="1"/>
  <c r="F76" i="61" a="1"/>
  <c r="F76" i="61" s="1"/>
  <c r="E76" i="61" a="1"/>
  <c r="E76" i="61" s="1"/>
  <c r="G71" i="61"/>
  <c r="G69" i="61" a="1"/>
  <c r="G69" i="61" s="1"/>
  <c r="F69" i="61" a="1"/>
  <c r="F69" i="61" s="1"/>
  <c r="E69" i="61" a="1"/>
  <c r="E69" i="61" s="1"/>
  <c r="D69" i="61" a="1"/>
  <c r="D69" i="61" s="1"/>
  <c r="G68" i="61" a="1"/>
  <c r="G68" i="61" s="1"/>
  <c r="F68" i="61" a="1"/>
  <c r="F68" i="61" s="1"/>
  <c r="E68" i="61" a="1"/>
  <c r="E68" i="61" s="1"/>
  <c r="D68" i="61" a="1"/>
  <c r="D68" i="61" s="1"/>
  <c r="G67" i="61" a="1"/>
  <c r="G67" i="61" s="1"/>
  <c r="F67" i="61" a="1"/>
  <c r="F67" i="61" s="1"/>
  <c r="E67" i="61" a="1"/>
  <c r="E67" i="61" s="1"/>
  <c r="D67" i="61" a="1"/>
  <c r="D67" i="61" s="1"/>
  <c r="G66" i="61" a="1"/>
  <c r="G66" i="61" s="1"/>
  <c r="F66" i="61" a="1"/>
  <c r="F66" i="61" s="1"/>
  <c r="E66" i="61" a="1"/>
  <c r="E66" i="61" s="1"/>
  <c r="D66" i="61" a="1"/>
  <c r="D66" i="61" s="1"/>
  <c r="G65" i="61" a="1"/>
  <c r="G65" i="61" s="1"/>
  <c r="F65" i="61" a="1"/>
  <c r="F65" i="61" s="1"/>
  <c r="E65" i="61" a="1"/>
  <c r="E65" i="61" s="1"/>
  <c r="D65" i="61" a="1"/>
  <c r="D65" i="61" s="1"/>
  <c r="G64" i="61" a="1"/>
  <c r="G64" i="61" s="1"/>
  <c r="F64" i="61" a="1"/>
  <c r="F64" i="61" s="1"/>
  <c r="E64" i="61" a="1"/>
  <c r="E64" i="61" s="1"/>
  <c r="D64" i="61" a="1"/>
  <c r="D64" i="61" s="1"/>
  <c r="G63" i="61" a="1"/>
  <c r="G63" i="61" s="1"/>
  <c r="F63" i="61" a="1"/>
  <c r="F63" i="61" s="1"/>
  <c r="E63" i="61" a="1"/>
  <c r="E63" i="61" s="1"/>
  <c r="D63" i="61" a="1"/>
  <c r="D63" i="61" s="1"/>
  <c r="G62" i="61" a="1"/>
  <c r="G62" i="61" s="1"/>
  <c r="F62" i="61" a="1"/>
  <c r="F62" i="61" s="1"/>
  <c r="E62" i="61" a="1"/>
  <c r="E62" i="61" s="1"/>
  <c r="D62" i="61" a="1"/>
  <c r="D62" i="61" s="1"/>
  <c r="G61" i="61" a="1"/>
  <c r="G61" i="61" s="1"/>
  <c r="F61" i="61" a="1"/>
  <c r="F61" i="61" s="1"/>
  <c r="E61" i="61" a="1"/>
  <c r="E61" i="61" s="1"/>
  <c r="D61" i="61" a="1"/>
  <c r="D61" i="61" s="1"/>
  <c r="G60" i="61" a="1"/>
  <c r="G60" i="61" s="1"/>
  <c r="F60" i="61" a="1"/>
  <c r="F60" i="61" s="1"/>
  <c r="E60" i="61" a="1"/>
  <c r="E60" i="61" s="1"/>
  <c r="D60" i="61" a="1"/>
  <c r="D60" i="61" s="1"/>
  <c r="G59" i="61" a="1"/>
  <c r="G59" i="61" s="1"/>
  <c r="F59" i="61" a="1"/>
  <c r="F59" i="61" s="1"/>
  <c r="E59" i="61" a="1"/>
  <c r="E59" i="61" s="1"/>
  <c r="D59" i="61" a="1"/>
  <c r="D59" i="61" s="1"/>
  <c r="G70" i="61" a="1"/>
  <c r="G70" i="61" s="1"/>
  <c r="F70" i="61" a="1"/>
  <c r="F70" i="61" s="1"/>
  <c r="E70" i="61" a="1"/>
  <c r="E70" i="61" s="1"/>
  <c r="D70" i="61" a="1"/>
  <c r="D70" i="61" s="1"/>
  <c r="G57" i="61" a="1"/>
  <c r="G57" i="61" s="1"/>
  <c r="F57" i="61" a="1"/>
  <c r="F57" i="61" s="1"/>
  <c r="E57" i="61" a="1"/>
  <c r="E57" i="61" s="1"/>
  <c r="G51" i="61" a="1"/>
  <c r="G51" i="61" s="1"/>
  <c r="F51" i="61" a="1"/>
  <c r="F51" i="61" s="1"/>
  <c r="E51" i="61" a="1"/>
  <c r="E51" i="61" s="1"/>
  <c r="D51" i="61" a="1"/>
  <c r="D51" i="61" s="1"/>
  <c r="G50" i="61" a="1"/>
  <c r="G50" i="61" s="1"/>
  <c r="F50" i="61" a="1"/>
  <c r="F50" i="61" s="1"/>
  <c r="E50" i="61" a="1"/>
  <c r="E50" i="61" s="1"/>
  <c r="D50" i="61" a="1"/>
  <c r="D50" i="61" s="1"/>
  <c r="G49" i="61" a="1"/>
  <c r="G49" i="61" s="1"/>
  <c r="F49" i="61" a="1"/>
  <c r="F49" i="61" s="1"/>
  <c r="E49" i="61" a="1"/>
  <c r="E49" i="61" s="1"/>
  <c r="D49" i="61" a="1"/>
  <c r="D49" i="61" s="1"/>
  <c r="G48" i="61" a="1"/>
  <c r="G48" i="61" s="1"/>
  <c r="F48" i="61" a="1"/>
  <c r="F48" i="61" s="1"/>
  <c r="E48" i="61" a="1"/>
  <c r="E48" i="61" s="1"/>
  <c r="D48" i="61" a="1"/>
  <c r="D48" i="61" s="1"/>
  <c r="G46" i="61" a="1"/>
  <c r="G46" i="61" s="1"/>
  <c r="F46" i="61" a="1"/>
  <c r="F46" i="61" s="1"/>
  <c r="E46" i="61" a="1"/>
  <c r="E46" i="61" s="1"/>
  <c r="D46" i="61" a="1"/>
  <c r="D46" i="61" s="1"/>
  <c r="G45" i="61" a="1"/>
  <c r="G45" i="61" s="1"/>
  <c r="F45" i="61" a="1"/>
  <c r="F45" i="61" s="1"/>
  <c r="E45" i="61" a="1"/>
  <c r="E45" i="61" s="1"/>
  <c r="D45" i="61" a="1"/>
  <c r="D45" i="61" s="1"/>
  <c r="G44" i="61" a="1"/>
  <c r="G44" i="61" s="1"/>
  <c r="F44" i="61" a="1"/>
  <c r="F44" i="61" s="1"/>
  <c r="E44" i="61" a="1"/>
  <c r="E44" i="61" s="1"/>
  <c r="D44" i="61" a="1"/>
  <c r="D44" i="61" s="1"/>
  <c r="G43" i="61" a="1"/>
  <c r="G43" i="61" s="1"/>
  <c r="F43" i="61" a="1"/>
  <c r="F43" i="61" s="1"/>
  <c r="E43" i="61" a="1"/>
  <c r="E43" i="61" s="1"/>
  <c r="D43" i="61" a="1"/>
  <c r="D43" i="61" s="1"/>
  <c r="G34" i="61" a="1"/>
  <c r="G34" i="61" s="1"/>
  <c r="F34" i="61" a="1"/>
  <c r="F34" i="61" s="1"/>
  <c r="E34" i="61" a="1"/>
  <c r="E34" i="61" s="1"/>
  <c r="D34" i="61" a="1"/>
  <c r="D34" i="61" s="1"/>
  <c r="G33" i="61" a="1"/>
  <c r="G33" i="61" s="1"/>
  <c r="F33" i="61" a="1"/>
  <c r="F33" i="61" s="1"/>
  <c r="E33" i="61" a="1"/>
  <c r="E33" i="61" s="1"/>
  <c r="D33" i="61" a="1"/>
  <c r="D33" i="61" s="1"/>
  <c r="G32" i="61" a="1"/>
  <c r="G32" i="61" s="1"/>
  <c r="F32" i="61" a="1"/>
  <c r="F32" i="61" s="1"/>
  <c r="E32" i="61" a="1"/>
  <c r="E32" i="61" s="1"/>
  <c r="G27" i="61"/>
  <c r="G41" i="61" a="1"/>
  <c r="G41" i="61" s="1"/>
  <c r="F41" i="61" a="1"/>
  <c r="F41" i="61" s="1"/>
  <c r="E41" i="61" a="1"/>
  <c r="E41" i="61" s="1"/>
  <c r="G40" i="61" a="1"/>
  <c r="G40" i="61" s="1"/>
  <c r="F40" i="61" a="1"/>
  <c r="F40" i="61" s="1"/>
  <c r="E40" i="61" a="1"/>
  <c r="E40" i="61" s="1"/>
  <c r="G39" i="61" a="1"/>
  <c r="G39" i="61" s="1"/>
  <c r="F39" i="61" a="1"/>
  <c r="F39" i="61" s="1"/>
  <c r="E39" i="61" a="1"/>
  <c r="E39" i="61" s="1"/>
  <c r="D41" i="61" a="1"/>
  <c r="D41" i="61" s="1"/>
  <c r="D40" i="61" a="1"/>
  <c r="D40" i="61" s="1"/>
  <c r="D39" i="61" a="1"/>
  <c r="D39" i="61" s="1"/>
  <c r="G38" i="61" a="1"/>
  <c r="G38" i="61" s="1"/>
  <c r="F38" i="61" a="1"/>
  <c r="F38" i="61" s="1"/>
  <c r="E38" i="61" a="1"/>
  <c r="E38" i="61" s="1"/>
  <c r="D38" i="61" a="1"/>
  <c r="D38" i="61" s="1"/>
  <c r="G37" i="61" a="1"/>
  <c r="G37" i="61" s="1"/>
  <c r="F37" i="61" a="1"/>
  <c r="F37" i="61" s="1"/>
  <c r="E37" i="61" a="1"/>
  <c r="E37" i="61" s="1"/>
  <c r="D37" i="61" a="1"/>
  <c r="D37" i="61" s="1"/>
  <c r="G36" i="61" a="1"/>
  <c r="G36" i="61" s="1"/>
  <c r="F36" i="61" a="1"/>
  <c r="F36" i="61" s="1"/>
  <c r="E36" i="61" a="1"/>
  <c r="E36" i="61" s="1"/>
  <c r="D36" i="61" a="1"/>
  <c r="D36" i="61" s="1"/>
  <c r="G26" i="61" a="1"/>
  <c r="G26" i="61" s="1"/>
  <c r="F26" i="61" a="1"/>
  <c r="F26" i="61" s="1"/>
  <c r="E26" i="61" a="1"/>
  <c r="E26" i="61" s="1"/>
  <c r="D26" i="61" a="1"/>
  <c r="D26" i="61" s="1"/>
  <c r="G7" i="61" a="1"/>
  <c r="G7" i="61" s="1"/>
  <c r="F7" i="61" a="1"/>
  <c r="F7" i="61" s="1"/>
  <c r="E7" i="61" a="1"/>
  <c r="E7" i="61" s="1"/>
  <c r="D7" i="61" a="1"/>
  <c r="D7" i="61" s="1"/>
  <c r="G6" i="61" a="1"/>
  <c r="G6" i="61" s="1"/>
  <c r="F6" i="61" a="1"/>
  <c r="F6" i="61" s="1"/>
  <c r="E6" i="61" a="1"/>
  <c r="E6" i="61" s="1"/>
  <c r="D6" i="61" a="1"/>
  <c r="D6" i="61" s="1"/>
  <c r="G5" i="61" a="1"/>
  <c r="G5" i="61" s="1"/>
  <c r="F5" i="61" a="1"/>
  <c r="F5" i="61" s="1"/>
  <c r="E5" i="61" a="1"/>
  <c r="E5" i="61" s="1"/>
  <c r="G21" i="61" a="1"/>
  <c r="G21" i="61" s="1"/>
  <c r="F21" i="61" a="1"/>
  <c r="F21" i="61" s="1"/>
  <c r="E21" i="61" a="1"/>
  <c r="E21" i="61" s="1"/>
  <c r="G20" i="61" a="1"/>
  <c r="G20" i="61" s="1"/>
  <c r="F20" i="61" a="1"/>
  <c r="F20" i="61" s="1"/>
  <c r="E20" i="61" a="1"/>
  <c r="E20" i="61" s="1"/>
  <c r="G19" i="61" a="1"/>
  <c r="G19" i="61" s="1"/>
  <c r="F19" i="61" a="1"/>
  <c r="F19" i="61" s="1"/>
  <c r="E19" i="61" a="1"/>
  <c r="E19" i="61" s="1"/>
  <c r="G18" i="61" a="1"/>
  <c r="G18" i="61" s="1"/>
  <c r="F18" i="61" a="1"/>
  <c r="F18" i="61" s="1"/>
  <c r="E18" i="61" a="1"/>
  <c r="E18" i="61" s="1"/>
  <c r="G12" i="61" a="1"/>
  <c r="G12" i="61" s="1"/>
  <c r="F12" i="61" a="1"/>
  <c r="F12" i="61" s="1"/>
  <c r="E12" i="61" a="1"/>
  <c r="E12" i="61" s="1"/>
  <c r="G11" i="61" a="1"/>
  <c r="G11" i="61" s="1"/>
  <c r="F11" i="61" a="1"/>
  <c r="F11" i="61" s="1"/>
  <c r="E11" i="61" a="1"/>
  <c r="E11" i="61" s="1"/>
  <c r="G10" i="61" a="1"/>
  <c r="G10" i="61" s="1"/>
  <c r="F10" i="61" a="1"/>
  <c r="F10" i="61" s="1"/>
  <c r="E10" i="61" a="1"/>
  <c r="E10" i="61" s="1"/>
  <c r="F9" i="61" a="1"/>
  <c r="F9" i="61" s="1"/>
  <c r="G9" i="61" a="1"/>
  <c r="G9" i="61" s="1"/>
  <c r="E9" i="61" a="1"/>
  <c r="E9" i="61" s="1"/>
  <c r="D15" i="61" a="1"/>
  <c r="D15" i="61" s="1"/>
  <c r="D24" i="61" a="1"/>
  <c r="D24" i="61" s="1"/>
  <c r="D23" i="61" a="1"/>
  <c r="D23" i="61" s="1"/>
  <c r="D20" i="61" a="1"/>
  <c r="D20" i="61" s="1"/>
  <c r="D19" i="61" a="1"/>
  <c r="D19" i="61" s="1"/>
  <c r="D18" i="61" a="1"/>
  <c r="D18" i="61" s="1"/>
  <c r="D9" i="61" a="1"/>
  <c r="D9" i="61" s="1"/>
  <c r="D10" i="61" a="1"/>
  <c r="D10" i="61" s="1"/>
  <c r="D11" i="61" a="1"/>
  <c r="D11" i="61" s="1"/>
  <c r="G24" i="61" a="1"/>
  <c r="G24" i="61" s="1"/>
  <c r="F24" i="61" a="1"/>
  <c r="F24" i="61" s="1"/>
  <c r="E24" i="61" a="1"/>
  <c r="E24" i="61" s="1"/>
  <c r="G23" i="61" a="1"/>
  <c r="G23" i="61" s="1"/>
  <c r="F23" i="61" a="1"/>
  <c r="F23" i="61" s="1"/>
  <c r="E23" i="61" a="1"/>
  <c r="E23" i="61" s="1"/>
  <c r="G15" i="61" a="1"/>
  <c r="G15" i="61" s="1"/>
  <c r="F15" i="61" a="1"/>
  <c r="F15" i="61" s="1"/>
  <c r="E15" i="61" a="1"/>
  <c r="E15" i="61" s="1"/>
  <c r="G14" i="61" a="1"/>
  <c r="G14" i="61" s="1"/>
  <c r="F14" i="61" a="1"/>
  <c r="F14" i="61" s="1"/>
  <c r="E14" i="61" a="1"/>
  <c r="E14" i="61" s="1"/>
  <c r="K13" i="26"/>
  <c r="F52" i="26"/>
  <c r="G52" i="26"/>
  <c r="H52" i="26"/>
  <c r="I52" i="26"/>
  <c r="J52" i="26"/>
  <c r="K52" i="26"/>
  <c r="L52" i="26"/>
  <c r="M52" i="26"/>
  <c r="N52" i="26"/>
  <c r="A50" i="26"/>
  <c r="E52" i="26"/>
  <c r="D22" i="70"/>
  <c r="D45" i="27"/>
  <c r="D46" i="27"/>
  <c r="V3" i="114"/>
  <c r="F25" i="115"/>
  <c r="E25" i="115"/>
  <c r="D25" i="115"/>
  <c r="M51" i="115"/>
  <c r="M47" i="115"/>
  <c r="M42" i="115"/>
  <c r="M41" i="115"/>
  <c r="M40" i="115"/>
  <c r="G25" i="115" s="1"/>
  <c r="M34" i="115"/>
  <c r="M26" i="115"/>
  <c r="M24" i="115"/>
  <c r="D10" i="115"/>
  <c r="D12" i="115" s="1"/>
  <c r="F56" i="115"/>
  <c r="F57" i="115"/>
  <c r="E57" i="115"/>
  <c r="F54" i="115"/>
  <c r="E54" i="115"/>
  <c r="F53" i="115"/>
  <c r="E53" i="115"/>
  <c r="F52" i="115"/>
  <c r="E52" i="115"/>
  <c r="F51" i="115"/>
  <c r="E51" i="115"/>
  <c r="F50" i="115"/>
  <c r="E56" i="115"/>
  <c r="E50" i="115"/>
  <c r="L169" i="46"/>
  <c r="L170" i="46"/>
  <c r="L171" i="46"/>
  <c r="L172" i="46"/>
  <c r="L173" i="46"/>
  <c r="L174" i="46"/>
  <c r="L175" i="46"/>
  <c r="A169" i="46"/>
  <c r="A170" i="46"/>
  <c r="A171" i="46"/>
  <c r="A172" i="46"/>
  <c r="A173" i="46"/>
  <c r="A174" i="46"/>
  <c r="A175" i="46"/>
  <c r="A168" i="46"/>
  <c r="F5" i="43"/>
  <c r="J57" i="11" s="1"/>
  <c r="E5" i="43"/>
  <c r="J56" i="11" s="1"/>
  <c r="O40" i="42"/>
  <c r="O41" i="42" s="1"/>
  <c r="O42" i="42" s="1"/>
  <c r="O43" i="42" s="1"/>
  <c r="O44" i="42" s="1"/>
  <c r="O45" i="42" s="1"/>
  <c r="O46" i="42" s="1"/>
  <c r="O47" i="42" s="1"/>
  <c r="O48" i="42" s="1"/>
  <c r="O49" i="42" s="1"/>
  <c r="O50" i="42" s="1"/>
  <c r="O51" i="42" s="1"/>
  <c r="O52" i="42" s="1"/>
  <c r="O53" i="42" s="1"/>
  <c r="O54" i="42" s="1"/>
  <c r="O55" i="42" s="1"/>
  <c r="O56" i="42" s="1"/>
  <c r="O57" i="42" s="1"/>
  <c r="O58" i="42" s="1"/>
  <c r="AZ3" i="114"/>
  <c r="A5" i="41"/>
  <c r="A6" i="41"/>
  <c r="A7" i="41"/>
  <c r="A41" i="100"/>
  <c r="A40" i="100"/>
  <c r="A42" i="100"/>
  <c r="A43" i="100"/>
  <c r="U16" i="33"/>
  <c r="Q16" i="33"/>
  <c r="M16" i="33"/>
  <c r="I16" i="33"/>
  <c r="E16" i="33"/>
  <c r="J61" i="11"/>
  <c r="J60" i="11"/>
  <c r="J59" i="11"/>
  <c r="J58" i="11"/>
  <c r="N61" i="11"/>
  <c r="N60" i="11"/>
  <c r="N59" i="11"/>
  <c r="N58" i="11"/>
  <c r="D5" i="38"/>
  <c r="C53" i="10"/>
  <c r="C48" i="10"/>
  <c r="C41" i="10"/>
  <c r="C36" i="10"/>
  <c r="D197" i="10"/>
  <c r="F152" i="68"/>
  <c r="F111" i="68"/>
  <c r="F70" i="68"/>
  <c r="Q152" i="84"/>
  <c r="Q152" i="85"/>
  <c r="D7" i="85"/>
  <c r="H83" i="115"/>
  <c r="G83" i="115"/>
  <c r="F76" i="115"/>
  <c r="E76" i="115"/>
  <c r="D76" i="115"/>
  <c r="F67" i="115"/>
  <c r="E67" i="115"/>
  <c r="D68" i="115"/>
  <c r="D67" i="115"/>
  <c r="E68" i="115"/>
  <c r="F68" i="115"/>
  <c r="F62" i="115"/>
  <c r="E62" i="115"/>
  <c r="D62" i="115"/>
  <c r="F48" i="115"/>
  <c r="E48" i="115"/>
  <c r="F45" i="115"/>
  <c r="F43" i="115"/>
  <c r="E43" i="115"/>
  <c r="F42" i="115"/>
  <c r="E42" i="115"/>
  <c r="D80" i="115"/>
  <c r="F80" i="115"/>
  <c r="E80" i="115"/>
  <c r="E78" i="115"/>
  <c r="F78" i="115"/>
  <c r="E79" i="115"/>
  <c r="F79" i="115"/>
  <c r="D79" i="115"/>
  <c r="D78" i="115"/>
  <c r="H72" i="115"/>
  <c r="G72" i="115"/>
  <c r="F72" i="115"/>
  <c r="E72" i="115"/>
  <c r="D72" i="115"/>
  <c r="H66" i="115"/>
  <c r="G66" i="115"/>
  <c r="F66" i="115"/>
  <c r="E66" i="115"/>
  <c r="D66" i="115"/>
  <c r="H61" i="115"/>
  <c r="G61" i="115"/>
  <c r="F61" i="115"/>
  <c r="E61" i="115"/>
  <c r="D61" i="115"/>
  <c r="H47" i="115"/>
  <c r="G47" i="115"/>
  <c r="F47" i="115"/>
  <c r="E47" i="115"/>
  <c r="D47" i="115"/>
  <c r="E41" i="115"/>
  <c r="F41" i="115"/>
  <c r="G41" i="115"/>
  <c r="H41" i="115"/>
  <c r="D41" i="115"/>
  <c r="F37" i="115"/>
  <c r="E37" i="115"/>
  <c r="E38" i="115" s="1"/>
  <c r="D37" i="115"/>
  <c r="D38" i="115" s="1"/>
  <c r="F36" i="115"/>
  <c r="E36" i="115"/>
  <c r="D36" i="115"/>
  <c r="F33" i="115"/>
  <c r="E33" i="115"/>
  <c r="D33" i="115"/>
  <c r="F34" i="115"/>
  <c r="E34" i="115"/>
  <c r="D34" i="115"/>
  <c r="H35" i="3"/>
  <c r="F39" i="3"/>
  <c r="W47" i="4"/>
  <c r="D6" i="115"/>
  <c r="F183" i="10"/>
  <c r="E183" i="10"/>
  <c r="D338" i="10"/>
  <c r="R75" i="35"/>
  <c r="N75" i="35"/>
  <c r="J75" i="35"/>
  <c r="F75" i="35"/>
  <c r="W39" i="11"/>
  <c r="V39" i="11" s="1"/>
  <c r="F74" i="35"/>
  <c r="W22" i="11"/>
  <c r="V22" i="11" s="1"/>
  <c r="D63" i="88"/>
  <c r="Q33" i="100"/>
  <c r="Q32" i="100"/>
  <c r="Q31" i="100"/>
  <c r="Q30" i="100"/>
  <c r="S43" i="100"/>
  <c r="S42" i="100"/>
  <c r="S41" i="100"/>
  <c r="S40" i="100"/>
  <c r="S44" i="100"/>
  <c r="Z53" i="100"/>
  <c r="L342" i="36"/>
  <c r="L324" i="36"/>
  <c r="AC361" i="36"/>
  <c r="AB361" i="36"/>
  <c r="AA361" i="36"/>
  <c r="H32" i="46"/>
  <c r="H91" i="46" s="1"/>
  <c r="H31" i="46"/>
  <c r="H107" i="46" s="1"/>
  <c r="H40" i="46"/>
  <c r="H99" i="46" s="1"/>
  <c r="H37" i="46"/>
  <c r="H36" i="46"/>
  <c r="H95" i="46" s="1"/>
  <c r="M37" i="46"/>
  <c r="L37" i="46"/>
  <c r="I37" i="46"/>
  <c r="M32" i="46"/>
  <c r="L32" i="46"/>
  <c r="I32" i="46"/>
  <c r="M40" i="46"/>
  <c r="M36" i="46"/>
  <c r="L36" i="46"/>
  <c r="I36" i="46"/>
  <c r="M35" i="46"/>
  <c r="L35" i="46"/>
  <c r="I35" i="46"/>
  <c r="M31" i="46"/>
  <c r="L31" i="46"/>
  <c r="I31" i="46"/>
  <c r="H35" i="46"/>
  <c r="H94" i="46" s="1"/>
  <c r="M30" i="46"/>
  <c r="L30" i="46"/>
  <c r="I30" i="46"/>
  <c r="H30" i="46"/>
  <c r="E115" i="51"/>
  <c r="E114" i="51"/>
  <c r="E115" i="47"/>
  <c r="E114" i="47"/>
  <c r="E115" i="52"/>
  <c r="E114" i="52"/>
  <c r="E119" i="44"/>
  <c r="E113" i="44"/>
  <c r="E124" i="44"/>
  <c r="E117" i="44"/>
  <c r="E111" i="44"/>
  <c r="I115" i="52"/>
  <c r="A115" i="52" s="1"/>
  <c r="I115" i="51"/>
  <c r="A115" i="51" s="1"/>
  <c r="I115" i="47"/>
  <c r="A115" i="47" s="1"/>
  <c r="A124" i="44"/>
  <c r="A117" i="44"/>
  <c r="A119" i="44"/>
  <c r="H95" i="44"/>
  <c r="J95" i="44" s="1"/>
  <c r="H94" i="44"/>
  <c r="J94" i="44" s="1"/>
  <c r="H93" i="44"/>
  <c r="J93" i="44" s="1"/>
  <c r="H92" i="44"/>
  <c r="J92" i="44" s="1"/>
  <c r="H91" i="44"/>
  <c r="J91" i="44" s="1"/>
  <c r="H90" i="44"/>
  <c r="J90" i="44" s="1"/>
  <c r="H89" i="44"/>
  <c r="J89" i="44" s="1"/>
  <c r="H88" i="44"/>
  <c r="J88" i="44" s="1"/>
  <c r="H87" i="44"/>
  <c r="J87" i="44" s="1"/>
  <c r="H86" i="44"/>
  <c r="J86" i="44" s="1"/>
  <c r="H85" i="44"/>
  <c r="J85" i="44" s="1"/>
  <c r="H84" i="44"/>
  <c r="J84" i="44" s="1"/>
  <c r="L83" i="44"/>
  <c r="H82" i="44"/>
  <c r="J82" i="44" s="1"/>
  <c r="H81" i="44"/>
  <c r="J81" i="44" s="1"/>
  <c r="H80" i="44"/>
  <c r="J80" i="44" s="1"/>
  <c r="H76" i="44"/>
  <c r="H75" i="44"/>
  <c r="J75" i="44" s="1"/>
  <c r="H74" i="44"/>
  <c r="J74" i="44" s="1"/>
  <c r="H73" i="44"/>
  <c r="J73" i="44" s="1"/>
  <c r="H72" i="44"/>
  <c r="J72" i="44" s="1"/>
  <c r="H71" i="44"/>
  <c r="J71" i="44" s="1"/>
  <c r="H70" i="44"/>
  <c r="M93" i="77" s="1"/>
  <c r="H69" i="44"/>
  <c r="J69" i="44" s="1"/>
  <c r="H68" i="44"/>
  <c r="J68" i="44" s="1"/>
  <c r="H66" i="44"/>
  <c r="J66" i="44" s="1"/>
  <c r="H65" i="44"/>
  <c r="J65" i="44" s="1"/>
  <c r="L64" i="44"/>
  <c r="H62" i="44"/>
  <c r="J62" i="44" s="1"/>
  <c r="H61" i="44"/>
  <c r="J61" i="44" s="1"/>
  <c r="H50" i="44"/>
  <c r="H49" i="44"/>
  <c r="H47" i="44"/>
  <c r="H46" i="44"/>
  <c r="N208" i="39"/>
  <c r="L100" i="46"/>
  <c r="I100" i="46"/>
  <c r="AD374" i="36"/>
  <c r="AD373" i="36"/>
  <c r="AD369" i="36"/>
  <c r="AD368" i="36"/>
  <c r="AD363" i="36"/>
  <c r="AD365" i="36"/>
  <c r="Z361" i="36"/>
  <c r="A145" i="46"/>
  <c r="A144" i="46"/>
  <c r="A140" i="46"/>
  <c r="A139" i="46"/>
  <c r="A130" i="46"/>
  <c r="A129" i="46"/>
  <c r="A125" i="46"/>
  <c r="A124" i="46"/>
  <c r="A109" i="46"/>
  <c r="A110" i="46"/>
  <c r="A114" i="46"/>
  <c r="A115" i="46"/>
  <c r="D106" i="46"/>
  <c r="D107" i="46"/>
  <c r="D108" i="46"/>
  <c r="D109" i="46"/>
  <c r="D110" i="46"/>
  <c r="D111" i="46"/>
  <c r="M111" i="46" s="1"/>
  <c r="A111" i="46" s="1"/>
  <c r="D112" i="46"/>
  <c r="D113" i="46"/>
  <c r="D114" i="46"/>
  <c r="D115" i="46"/>
  <c r="D121" i="46"/>
  <c r="I121" i="46" s="1"/>
  <c r="D122" i="46"/>
  <c r="L137" i="46" s="1"/>
  <c r="D123" i="46"/>
  <c r="M123" i="46" s="1"/>
  <c r="A123" i="46" s="1"/>
  <c r="D124" i="46"/>
  <c r="D125" i="46"/>
  <c r="L125" i="46" s="1"/>
  <c r="D126" i="46"/>
  <c r="I126" i="46" s="1"/>
  <c r="D127" i="46"/>
  <c r="D128" i="46"/>
  <c r="D129" i="46"/>
  <c r="D130" i="46"/>
  <c r="L130" i="46" s="1"/>
  <c r="T365" i="36"/>
  <c r="E152" i="68"/>
  <c r="E111" i="68"/>
  <c r="AD371" i="36"/>
  <c r="AD377" i="36"/>
  <c r="AD376" i="36"/>
  <c r="AD375" i="36"/>
  <c r="AD372" i="36"/>
  <c r="AD370" i="36"/>
  <c r="AD367" i="36"/>
  <c r="AD366" i="36"/>
  <c r="AD364" i="36"/>
  <c r="AD362" i="36"/>
  <c r="T377" i="36"/>
  <c r="T376" i="36"/>
  <c r="T375" i="36"/>
  <c r="T374" i="36"/>
  <c r="T373" i="36"/>
  <c r="T364" i="36"/>
  <c r="T363" i="36"/>
  <c r="T362" i="36"/>
  <c r="Q3" i="113"/>
  <c r="J43" i="11"/>
  <c r="J42" i="11"/>
  <c r="M42" i="11" s="1"/>
  <c r="J41" i="11"/>
  <c r="L41" i="11" s="1"/>
  <c r="J40" i="11"/>
  <c r="K40" i="11" s="1"/>
  <c r="T22" i="113" s="1"/>
  <c r="M5" i="113" s="1"/>
  <c r="J51" i="11"/>
  <c r="M51" i="11" s="1"/>
  <c r="BN3" i="114"/>
  <c r="J49" i="11"/>
  <c r="L49" i="11" s="1"/>
  <c r="H5" i="100"/>
  <c r="AX3" i="114"/>
  <c r="J44" i="11"/>
  <c r="E5" i="100"/>
  <c r="X171" i="43"/>
  <c r="X151" i="43"/>
  <c r="X131" i="43"/>
  <c r="X111" i="43"/>
  <c r="X91" i="43"/>
  <c r="X71" i="43"/>
  <c r="X51" i="43"/>
  <c r="X31" i="43"/>
  <c r="L74" i="11"/>
  <c r="M74" i="11"/>
  <c r="AN2" i="114"/>
  <c r="D6" i="7"/>
  <c r="D22" i="113"/>
  <c r="E32" i="10" s="1"/>
  <c r="F32" i="10" s="1"/>
  <c r="BH2" i="114"/>
  <c r="D34" i="113"/>
  <c r="D35" i="113" s="1"/>
  <c r="E33" i="10" s="1"/>
  <c r="K13" i="14"/>
  <c r="E13" i="14"/>
  <c r="D12" i="14"/>
  <c r="D32" i="10"/>
  <c r="BL3" i="114"/>
  <c r="I65" i="11"/>
  <c r="M65" i="11" a="1"/>
  <c r="M65" i="11" s="1"/>
  <c r="O65" i="11" a="1"/>
  <c r="O65" i="11" s="1"/>
  <c r="O64" i="11" a="1"/>
  <c r="O64" i="11" s="1"/>
  <c r="N64" i="11" a="1"/>
  <c r="N64" i="11" s="1"/>
  <c r="M64" i="11" a="1"/>
  <c r="M64" i="11" s="1"/>
  <c r="L64" i="11" a="1"/>
  <c r="L64" i="11" s="1"/>
  <c r="P48" i="11"/>
  <c r="Q48" i="11" s="1"/>
  <c r="BG2" i="114"/>
  <c r="K59" i="11"/>
  <c r="K60" i="11"/>
  <c r="K61" i="11"/>
  <c r="O3" i="113"/>
  <c r="Y19" i="113" s="1"/>
  <c r="G48" i="113"/>
  <c r="P44" i="11" s="1"/>
  <c r="Q44" i="11" s="1"/>
  <c r="BD3" i="114"/>
  <c r="BC3" i="114"/>
  <c r="BB3" i="114"/>
  <c r="BA3" i="114"/>
  <c r="AA3" i="114"/>
  <c r="D153" i="11" a="1"/>
  <c r="D153" i="11" s="1"/>
  <c r="A152" i="11"/>
  <c r="A151" i="11"/>
  <c r="A140" i="11"/>
  <c r="A139" i="11"/>
  <c r="A138" i="11"/>
  <c r="A137" i="11"/>
  <c r="M57" i="113"/>
  <c r="M40" i="113"/>
  <c r="T3" i="114"/>
  <c r="X3" i="114"/>
  <c r="AC22" i="113"/>
  <c r="M66" i="113"/>
  <c r="Y3" i="114"/>
  <c r="Z3" i="114"/>
  <c r="AC3" i="114"/>
  <c r="AB3" i="114"/>
  <c r="Z22" i="113"/>
  <c r="Q22" i="113"/>
  <c r="N22" i="113"/>
  <c r="M29" i="113"/>
  <c r="R3" i="114"/>
  <c r="AS3" i="114"/>
  <c r="S3" i="114"/>
  <c r="AT3" i="114"/>
  <c r="M27" i="113"/>
  <c r="W3" i="114"/>
  <c r="M54" i="113"/>
  <c r="AU3" i="114"/>
  <c r="BO3" i="114"/>
  <c r="F3" i="114"/>
  <c r="BM3" i="114"/>
  <c r="AG3" i="114"/>
  <c r="A4" i="114"/>
  <c r="BH3" i="114"/>
  <c r="BI3" i="114"/>
  <c r="BJ3" i="114"/>
  <c r="G3" i="114"/>
  <c r="H3" i="114"/>
  <c r="I3" i="114"/>
  <c r="J3" i="114"/>
  <c r="K3" i="114"/>
  <c r="L3" i="114"/>
  <c r="M3" i="114"/>
  <c r="N3" i="114"/>
  <c r="O3" i="114"/>
  <c r="P3" i="114"/>
  <c r="AH3" i="114"/>
  <c r="AI3" i="114"/>
  <c r="A5" i="114"/>
  <c r="D115" i="52"/>
  <c r="D115" i="51"/>
  <c r="D115" i="47"/>
  <c r="L35" i="11"/>
  <c r="M35" i="11" s="1"/>
  <c r="H26" i="11"/>
  <c r="A47" i="75"/>
  <c r="D19" i="110"/>
  <c r="F19" i="110"/>
  <c r="H19" i="110"/>
  <c r="D20" i="110"/>
  <c r="F20" i="110"/>
  <c r="H20" i="110"/>
  <c r="D96" i="46"/>
  <c r="A96" i="46" s="1"/>
  <c r="D97" i="46"/>
  <c r="A97" i="46" s="1"/>
  <c r="D98" i="46"/>
  <c r="A98" i="46" s="1"/>
  <c r="D99" i="46"/>
  <c r="A99" i="46" s="1"/>
  <c r="D100" i="46"/>
  <c r="A100" i="46" s="1"/>
  <c r="D94" i="46"/>
  <c r="D90" i="46"/>
  <c r="D91" i="46"/>
  <c r="A91" i="46" s="1"/>
  <c r="D92" i="46"/>
  <c r="A92" i="46" s="1"/>
  <c r="D93" i="46"/>
  <c r="A93" i="46" s="1"/>
  <c r="D89" i="46"/>
  <c r="L89" i="46" s="1"/>
  <c r="D145" i="46"/>
  <c r="L145" i="46" s="1"/>
  <c r="D144" i="46"/>
  <c r="D143" i="46"/>
  <c r="D142" i="46"/>
  <c r="M142" i="46" s="1"/>
  <c r="D141" i="46"/>
  <c r="M141" i="46" s="1"/>
  <c r="A141" i="46" s="1"/>
  <c r="D140" i="46"/>
  <c r="L140" i="46" s="1"/>
  <c r="D139" i="46"/>
  <c r="D138" i="46"/>
  <c r="D137" i="46"/>
  <c r="D136" i="46"/>
  <c r="D95" i="46"/>
  <c r="A95" i="46" s="1"/>
  <c r="D73" i="46"/>
  <c r="D74" i="46"/>
  <c r="A74" i="46" s="1"/>
  <c r="D75" i="46"/>
  <c r="A75" i="46" s="1"/>
  <c r="D76" i="46"/>
  <c r="A76" i="46" s="1"/>
  <c r="D77" i="46"/>
  <c r="A77" i="46" s="1"/>
  <c r="D78" i="46"/>
  <c r="L78" i="46" s="1"/>
  <c r="D79" i="46"/>
  <c r="M79" i="46" s="1"/>
  <c r="D80" i="46"/>
  <c r="L80" i="46" s="1"/>
  <c r="D81" i="46"/>
  <c r="L81" i="46" s="1"/>
  <c r="D82" i="46"/>
  <c r="A82" i="46" s="1"/>
  <c r="D83" i="46"/>
  <c r="A83" i="46" s="1"/>
  <c r="D72" i="46"/>
  <c r="D53" i="46"/>
  <c r="L53" i="46" s="1"/>
  <c r="D54" i="46"/>
  <c r="A54" i="46" s="1"/>
  <c r="D55" i="46"/>
  <c r="M55" i="46" s="1"/>
  <c r="I93" i="46" s="1"/>
  <c r="D56" i="46"/>
  <c r="D57" i="46"/>
  <c r="M57" i="46" s="1"/>
  <c r="D58" i="46"/>
  <c r="M58" i="46" s="1"/>
  <c r="D59" i="46"/>
  <c r="I59" i="46" s="1"/>
  <c r="D60" i="46"/>
  <c r="L60" i="46" s="1"/>
  <c r="D61" i="46"/>
  <c r="M61" i="46" s="1"/>
  <c r="D62" i="46"/>
  <c r="D63" i="46"/>
  <c r="I63" i="46" s="1"/>
  <c r="D64" i="46"/>
  <c r="M64" i="46" s="1"/>
  <c r="D65" i="46"/>
  <c r="M65" i="46" s="1"/>
  <c r="D66" i="46"/>
  <c r="I66" i="46" s="1"/>
  <c r="A51" i="46"/>
  <c r="A41" i="46"/>
  <c r="A40" i="46"/>
  <c r="A39" i="46"/>
  <c r="A38" i="46"/>
  <c r="M45" i="46"/>
  <c r="L45" i="46"/>
  <c r="I45" i="46"/>
  <c r="H45" i="46"/>
  <c r="H66" i="46" s="1"/>
  <c r="M44" i="46"/>
  <c r="L44" i="46"/>
  <c r="I44" i="46"/>
  <c r="H44" i="46"/>
  <c r="H65" i="46" s="1"/>
  <c r="M43" i="46"/>
  <c r="L43" i="46"/>
  <c r="I43" i="46"/>
  <c r="H43" i="46"/>
  <c r="H64" i="46" s="1"/>
  <c r="M42" i="46"/>
  <c r="L42" i="46"/>
  <c r="I42" i="46"/>
  <c r="H42" i="46"/>
  <c r="H63" i="46" s="1"/>
  <c r="F11" i="46"/>
  <c r="F16" i="46"/>
  <c r="D16" i="46"/>
  <c r="D14" i="46"/>
  <c r="E79" i="36"/>
  <c r="E313" i="36" s="1"/>
  <c r="F313" i="36" s="1"/>
  <c r="E78" i="36"/>
  <c r="E312" i="36"/>
  <c r="F312" i="36" s="1"/>
  <c r="E77" i="36"/>
  <c r="E311" i="36" s="1"/>
  <c r="F311" i="36" s="1"/>
  <c r="E76" i="36"/>
  <c r="E310" i="36"/>
  <c r="F310" i="36" s="1"/>
  <c r="G79" i="36"/>
  <c r="G313" i="36" s="1"/>
  <c r="H313" i="36" s="1"/>
  <c r="G78" i="36"/>
  <c r="G312" i="36"/>
  <c r="H312" i="36" s="1"/>
  <c r="G77" i="36"/>
  <c r="G311" i="36" s="1"/>
  <c r="H311" i="36" s="1"/>
  <c r="G76" i="36"/>
  <c r="G310" i="36"/>
  <c r="H310" i="36" s="1"/>
  <c r="I79" i="36"/>
  <c r="I313" i="36" s="1"/>
  <c r="J313" i="36" s="1"/>
  <c r="I78" i="36"/>
  <c r="I312" i="36"/>
  <c r="J312" i="36" s="1"/>
  <c r="I77" i="36"/>
  <c r="I311" i="36" s="1"/>
  <c r="J311" i="36" s="1"/>
  <c r="I76" i="36"/>
  <c r="I310" i="36"/>
  <c r="J310" i="36" s="1"/>
  <c r="S8" i="39"/>
  <c r="H8" i="44" s="1"/>
  <c r="S9" i="39"/>
  <c r="H9" i="44" s="1"/>
  <c r="S10" i="39"/>
  <c r="H10" i="44" s="1"/>
  <c r="S11" i="39"/>
  <c r="H11" i="44" s="1"/>
  <c r="S12" i="39"/>
  <c r="H12" i="44" s="1"/>
  <c r="S13" i="39"/>
  <c r="H13" i="44" s="1"/>
  <c r="S14" i="39"/>
  <c r="H14" i="44" s="1"/>
  <c r="S15" i="39"/>
  <c r="H15" i="44" s="1"/>
  <c r="S16" i="39"/>
  <c r="H16" i="44" s="1"/>
  <c r="S17" i="39"/>
  <c r="H17" i="44" s="1"/>
  <c r="S18" i="39"/>
  <c r="H18" i="44" s="1"/>
  <c r="S19" i="39"/>
  <c r="H19" i="44" s="1"/>
  <c r="S20" i="39"/>
  <c r="H20" i="44" s="1"/>
  <c r="S21" i="39"/>
  <c r="H21" i="44" s="1"/>
  <c r="S22" i="39"/>
  <c r="H22" i="44" s="1"/>
  <c r="S23" i="39"/>
  <c r="H23" i="44" s="1"/>
  <c r="S24" i="39"/>
  <c r="H24" i="44" s="1"/>
  <c r="S25" i="39"/>
  <c r="H25" i="44" s="1"/>
  <c r="S26" i="39"/>
  <c r="H26" i="44" s="1"/>
  <c r="S27" i="39"/>
  <c r="S28" i="39"/>
  <c r="S29" i="39"/>
  <c r="S30" i="39"/>
  <c r="S31" i="39"/>
  <c r="S32" i="39"/>
  <c r="S33" i="39"/>
  <c r="S34" i="39"/>
  <c r="S35" i="39"/>
  <c r="S36" i="39"/>
  <c r="S37" i="39"/>
  <c r="S38" i="39"/>
  <c r="S39" i="39"/>
  <c r="S40" i="39"/>
  <c r="S41" i="39"/>
  <c r="S42" i="39"/>
  <c r="S43" i="39"/>
  <c r="S44" i="39"/>
  <c r="S45" i="39"/>
  <c r="S46" i="39"/>
  <c r="S47" i="39"/>
  <c r="S48" i="39"/>
  <c r="S49" i="39"/>
  <c r="S50" i="39"/>
  <c r="S51" i="39"/>
  <c r="S52" i="39"/>
  <c r="S53" i="39"/>
  <c r="S54" i="39"/>
  <c r="S55" i="39"/>
  <c r="S56" i="39"/>
  <c r="S57" i="39"/>
  <c r="S58" i="39"/>
  <c r="S59" i="39"/>
  <c r="S60" i="39"/>
  <c r="S61" i="39"/>
  <c r="S62" i="39"/>
  <c r="S63" i="39"/>
  <c r="S64" i="39"/>
  <c r="S65" i="39"/>
  <c r="S66" i="39"/>
  <c r="S67" i="39"/>
  <c r="S68" i="39"/>
  <c r="S69" i="39"/>
  <c r="S70" i="39"/>
  <c r="S71" i="39"/>
  <c r="S72" i="39"/>
  <c r="S73" i="39"/>
  <c r="S74" i="39"/>
  <c r="S75" i="39"/>
  <c r="S76" i="39"/>
  <c r="S77" i="39"/>
  <c r="S78" i="39"/>
  <c r="S79" i="39"/>
  <c r="S80" i="39"/>
  <c r="S81" i="39"/>
  <c r="S82" i="39"/>
  <c r="S83" i="39"/>
  <c r="S84" i="39"/>
  <c r="S85" i="39"/>
  <c r="S86" i="39"/>
  <c r="S87" i="39"/>
  <c r="S88" i="39"/>
  <c r="S89" i="39"/>
  <c r="S90" i="39"/>
  <c r="S91" i="39"/>
  <c r="S92" i="39"/>
  <c r="S93" i="39"/>
  <c r="S94" i="39"/>
  <c r="S95" i="39"/>
  <c r="S96" i="39"/>
  <c r="S97" i="39"/>
  <c r="S98" i="39"/>
  <c r="S99" i="39"/>
  <c r="S100" i="39"/>
  <c r="S101" i="39"/>
  <c r="S102" i="39"/>
  <c r="S103" i="39"/>
  <c r="S104" i="39"/>
  <c r="S105" i="39"/>
  <c r="S106" i="39"/>
  <c r="S107" i="39"/>
  <c r="S108" i="39"/>
  <c r="S109" i="39"/>
  <c r="S110" i="39"/>
  <c r="S111" i="39"/>
  <c r="S112" i="39"/>
  <c r="S113" i="39"/>
  <c r="S114" i="39"/>
  <c r="S115" i="39"/>
  <c r="S116" i="39"/>
  <c r="S117" i="39"/>
  <c r="S118" i="39"/>
  <c r="S119" i="39"/>
  <c r="S120" i="39"/>
  <c r="S121" i="39"/>
  <c r="S122" i="39"/>
  <c r="S123" i="39"/>
  <c r="S124" i="39"/>
  <c r="S125" i="39"/>
  <c r="S126" i="39"/>
  <c r="S127" i="39"/>
  <c r="S128" i="39"/>
  <c r="S129" i="39"/>
  <c r="S130" i="39"/>
  <c r="S131" i="39"/>
  <c r="S132" i="39"/>
  <c r="S133" i="39"/>
  <c r="S134" i="39"/>
  <c r="S135" i="39"/>
  <c r="S136" i="39"/>
  <c r="S137" i="39"/>
  <c r="S138" i="39"/>
  <c r="S139" i="39"/>
  <c r="S140" i="39"/>
  <c r="S141" i="39"/>
  <c r="S142" i="39"/>
  <c r="S143" i="39"/>
  <c r="S144" i="39"/>
  <c r="S145" i="39"/>
  <c r="S146" i="39"/>
  <c r="S147" i="39"/>
  <c r="S148" i="39"/>
  <c r="S149" i="39"/>
  <c r="S150" i="39"/>
  <c r="S151" i="39"/>
  <c r="S152" i="39"/>
  <c r="S153" i="39"/>
  <c r="S154" i="39"/>
  <c r="S155" i="39"/>
  <c r="S156" i="39"/>
  <c r="S157" i="39"/>
  <c r="S158" i="39"/>
  <c r="S159" i="39"/>
  <c r="S160" i="39"/>
  <c r="S161" i="39"/>
  <c r="S162" i="39"/>
  <c r="S163" i="39"/>
  <c r="S164" i="39"/>
  <c r="S165" i="39"/>
  <c r="S166" i="39"/>
  <c r="S167" i="39"/>
  <c r="S168" i="39"/>
  <c r="S169" i="39"/>
  <c r="S170" i="39"/>
  <c r="S171" i="39"/>
  <c r="S172" i="39"/>
  <c r="S173" i="39"/>
  <c r="S174" i="39"/>
  <c r="S175" i="39"/>
  <c r="S176" i="39"/>
  <c r="S177" i="39"/>
  <c r="S178" i="39"/>
  <c r="S179" i="39"/>
  <c r="S180" i="39"/>
  <c r="S182" i="39"/>
  <c r="S183" i="39"/>
  <c r="S184" i="39"/>
  <c r="S185" i="39"/>
  <c r="S186" i="39"/>
  <c r="S187" i="39"/>
  <c r="S188" i="39"/>
  <c r="S189" i="39"/>
  <c r="S190" i="39"/>
  <c r="S191" i="39"/>
  <c r="S192" i="39"/>
  <c r="S193" i="39"/>
  <c r="S194" i="39"/>
  <c r="S195" i="39"/>
  <c r="S196" i="39"/>
  <c r="S197" i="39"/>
  <c r="S198" i="39"/>
  <c r="S199" i="39"/>
  <c r="S200" i="39"/>
  <c r="S201" i="39"/>
  <c r="S202" i="39"/>
  <c r="S203" i="39"/>
  <c r="S204" i="39"/>
  <c r="S205" i="39"/>
  <c r="S206" i="39"/>
  <c r="J18" i="11"/>
  <c r="H16" i="11"/>
  <c r="F14" i="110"/>
  <c r="F17" i="110"/>
  <c r="F15" i="110"/>
  <c r="F16" i="110"/>
  <c r="H14" i="110"/>
  <c r="H17" i="110"/>
  <c r="H15" i="110"/>
  <c r="H16" i="110"/>
  <c r="Y33" i="110"/>
  <c r="Y34" i="110" s="1"/>
  <c r="H46" i="75" s="1"/>
  <c r="A46" i="75" s="1"/>
  <c r="O23" i="110"/>
  <c r="O26" i="110"/>
  <c r="G17" i="110"/>
  <c r="O25" i="110"/>
  <c r="O24" i="110"/>
  <c r="E17" i="110"/>
  <c r="I76" i="57"/>
  <c r="H76" i="57"/>
  <c r="G76" i="57"/>
  <c r="F55" i="80" s="1"/>
  <c r="F54" i="80"/>
  <c r="C132" i="11"/>
  <c r="C131" i="11"/>
  <c r="C130" i="11"/>
  <c r="C129" i="11"/>
  <c r="C128" i="11"/>
  <c r="C127" i="11"/>
  <c r="C126" i="11"/>
  <c r="C125" i="11"/>
  <c r="C124" i="11"/>
  <c r="C123" i="11"/>
  <c r="C122" i="11"/>
  <c r="C121" i="11"/>
  <c r="C120" i="11"/>
  <c r="C119" i="11"/>
  <c r="C106" i="11"/>
  <c r="C105" i="11"/>
  <c r="C104" i="11"/>
  <c r="C103" i="11"/>
  <c r="C102" i="11"/>
  <c r="C101" i="11"/>
  <c r="C100" i="11"/>
  <c r="C99" i="11"/>
  <c r="C98" i="11"/>
  <c r="C97" i="11"/>
  <c r="C96" i="11"/>
  <c r="C95" i="11"/>
  <c r="C94" i="11"/>
  <c r="C93" i="11"/>
  <c r="C80" i="11"/>
  <c r="C79" i="11"/>
  <c r="C78" i="11"/>
  <c r="C77" i="11"/>
  <c r="C76" i="11"/>
  <c r="C75" i="11"/>
  <c r="C74" i="11"/>
  <c r="C73" i="11"/>
  <c r="C72" i="11"/>
  <c r="C71" i="11"/>
  <c r="C70" i="11"/>
  <c r="C69" i="11"/>
  <c r="C68" i="11"/>
  <c r="C67" i="11"/>
  <c r="C42" i="11"/>
  <c r="C43" i="11"/>
  <c r="C44" i="11"/>
  <c r="C45" i="11"/>
  <c r="C46" i="11"/>
  <c r="C47" i="11"/>
  <c r="C48" i="11"/>
  <c r="C49" i="11"/>
  <c r="C50" i="11"/>
  <c r="C51" i="11"/>
  <c r="C52" i="11"/>
  <c r="C53" i="11"/>
  <c r="C54" i="11"/>
  <c r="C41" i="11"/>
  <c r="D63" i="11" a="1"/>
  <c r="D63" i="11" s="1"/>
  <c r="D89" i="11" a="1"/>
  <c r="D89" i="11" s="1"/>
  <c r="D115" i="11" a="1"/>
  <c r="D115" i="11" s="1"/>
  <c r="D141" i="11" a="1"/>
  <c r="D141" i="11" s="1"/>
  <c r="D140" i="11" a="1"/>
  <c r="D140" i="11" s="1"/>
  <c r="D139" i="11" a="1"/>
  <c r="D139" i="11" s="1"/>
  <c r="D138" i="11" a="1"/>
  <c r="D138" i="11" s="1"/>
  <c r="A62" i="11"/>
  <c r="D62" i="11" a="1"/>
  <c r="D62" i="11" s="1"/>
  <c r="A61" i="11"/>
  <c r="D61" i="11" a="1"/>
  <c r="D61" i="11" s="1"/>
  <c r="A60" i="11"/>
  <c r="D60" i="11" a="1"/>
  <c r="D60" i="11" s="1"/>
  <c r="A59" i="11"/>
  <c r="D59" i="11" a="1"/>
  <c r="D59" i="11" s="1"/>
  <c r="A88" i="11"/>
  <c r="A87" i="11"/>
  <c r="A114" i="11"/>
  <c r="D114" i="11" a="1"/>
  <c r="D114" i="11" s="1"/>
  <c r="A113" i="11"/>
  <c r="D113" i="11" a="1"/>
  <c r="D113" i="11" s="1"/>
  <c r="B146" i="11"/>
  <c r="B147" i="11"/>
  <c r="B148" i="11"/>
  <c r="B149" i="11"/>
  <c r="B120" i="11"/>
  <c r="B121" i="11"/>
  <c r="B122" i="11"/>
  <c r="B123" i="11"/>
  <c r="B124" i="11"/>
  <c r="B125" i="11"/>
  <c r="B126" i="11"/>
  <c r="B127" i="11"/>
  <c r="B128" i="11"/>
  <c r="B129" i="11"/>
  <c r="B130" i="11"/>
  <c r="B94" i="11"/>
  <c r="B95" i="11"/>
  <c r="B96" i="11"/>
  <c r="B97" i="11"/>
  <c r="B98" i="11"/>
  <c r="B99" i="11"/>
  <c r="B100" i="11"/>
  <c r="B101" i="11"/>
  <c r="B102" i="11"/>
  <c r="B103" i="11"/>
  <c r="B104" i="11"/>
  <c r="B68" i="11"/>
  <c r="B69" i="11"/>
  <c r="B70" i="11"/>
  <c r="B71" i="11"/>
  <c r="B72" i="11"/>
  <c r="B73" i="11"/>
  <c r="B74" i="11"/>
  <c r="B75" i="11"/>
  <c r="B76" i="11"/>
  <c r="B77" i="11"/>
  <c r="B78" i="11"/>
  <c r="B42" i="11"/>
  <c r="B43" i="11"/>
  <c r="B44" i="11"/>
  <c r="B45" i="11"/>
  <c r="B46" i="11"/>
  <c r="B47" i="11"/>
  <c r="B48" i="11"/>
  <c r="B49" i="11"/>
  <c r="B50" i="11"/>
  <c r="B51" i="11"/>
  <c r="B52" i="11"/>
  <c r="AC174" i="56"/>
  <c r="AC176" i="56" s="1"/>
  <c r="AD174" i="56"/>
  <c r="AD176" i="56" s="1"/>
  <c r="AE174" i="56"/>
  <c r="AE176" i="56" s="1"/>
  <c r="AF174" i="56"/>
  <c r="AF176" i="56" s="1"/>
  <c r="AG174" i="56"/>
  <c r="AG176" i="56" s="1"/>
  <c r="AC175" i="56"/>
  <c r="AD175" i="56"/>
  <c r="AE175" i="56"/>
  <c r="AF175" i="56"/>
  <c r="AG175" i="56"/>
  <c r="AB174" i="56"/>
  <c r="AB176" i="56" s="1"/>
  <c r="AB175" i="56"/>
  <c r="AC165" i="56"/>
  <c r="AD165" i="56"/>
  <c r="AE165" i="56"/>
  <c r="AF165" i="56"/>
  <c r="AG165" i="56"/>
  <c r="AB165" i="56"/>
  <c r="AC162" i="56"/>
  <c r="AD162" i="56"/>
  <c r="AE162" i="56"/>
  <c r="AF162" i="56"/>
  <c r="AG162" i="56"/>
  <c r="AC163" i="56"/>
  <c r="AD163" i="56"/>
  <c r="AE163" i="56"/>
  <c r="AF163" i="56"/>
  <c r="AG163" i="56"/>
  <c r="AB163" i="56"/>
  <c r="AB162" i="56"/>
  <c r="P106" i="56"/>
  <c r="P108" i="56" s="1"/>
  <c r="Q106" i="56"/>
  <c r="Q108" i="56" s="1"/>
  <c r="R106" i="56"/>
  <c r="R108" i="56" s="1"/>
  <c r="S106" i="56"/>
  <c r="S108" i="56" s="1"/>
  <c r="T106" i="56"/>
  <c r="T108" i="56" s="1"/>
  <c r="U106" i="56"/>
  <c r="U108" i="56" s="1"/>
  <c r="Q107" i="56"/>
  <c r="R107" i="56"/>
  <c r="S107" i="56"/>
  <c r="T107" i="56"/>
  <c r="U107" i="56"/>
  <c r="P107" i="56"/>
  <c r="P94" i="56"/>
  <c r="Q97" i="56"/>
  <c r="R97" i="56"/>
  <c r="S97" i="56"/>
  <c r="T97" i="56"/>
  <c r="U97" i="56"/>
  <c r="P97" i="56"/>
  <c r="Q94" i="56"/>
  <c r="R94" i="56"/>
  <c r="S94" i="56"/>
  <c r="T94" i="56"/>
  <c r="U94" i="56"/>
  <c r="Q95" i="56"/>
  <c r="R95" i="56"/>
  <c r="S95" i="56"/>
  <c r="T95" i="56"/>
  <c r="U95" i="56"/>
  <c r="P95" i="56"/>
  <c r="P103" i="56"/>
  <c r="E35" i="56"/>
  <c r="D45" i="14"/>
  <c r="F35" i="56"/>
  <c r="G35" i="56"/>
  <c r="H35" i="56"/>
  <c r="J121" i="57" s="1"/>
  <c r="D29" i="95"/>
  <c r="D29" i="96"/>
  <c r="D18" i="96"/>
  <c r="N32" i="96"/>
  <c r="N33" i="96"/>
  <c r="N34" i="96"/>
  <c r="N35" i="96"/>
  <c r="H34" i="96"/>
  <c r="A34" i="96"/>
  <c r="H33" i="96"/>
  <c r="J33" i="96"/>
  <c r="A33" i="96"/>
  <c r="H32" i="96"/>
  <c r="J32" i="96"/>
  <c r="A32" i="96"/>
  <c r="H31" i="96"/>
  <c r="J31" i="96"/>
  <c r="N32" i="95"/>
  <c r="N33" i="95"/>
  <c r="N34" i="95"/>
  <c r="N35" i="95"/>
  <c r="H34" i="95"/>
  <c r="A34" i="95"/>
  <c r="H33" i="95"/>
  <c r="A33" i="95"/>
  <c r="H32" i="95"/>
  <c r="A32" i="95"/>
  <c r="H31" i="95"/>
  <c r="J31" i="95"/>
  <c r="A34" i="80"/>
  <c r="A33" i="80"/>
  <c r="A32" i="80"/>
  <c r="H34" i="80"/>
  <c r="N32" i="80"/>
  <c r="N33" i="80"/>
  <c r="N34" i="80" s="1"/>
  <c r="N35" i="80" s="1"/>
  <c r="H33" i="80"/>
  <c r="H32" i="80"/>
  <c r="J32" i="80" s="1"/>
  <c r="H31" i="80"/>
  <c r="J31" i="80" s="1"/>
  <c r="A202" i="56"/>
  <c r="A201" i="56"/>
  <c r="O321" i="36"/>
  <c r="Q322" i="36" s="1"/>
  <c r="O322" i="36"/>
  <c r="O323" i="36"/>
  <c r="O324" i="36"/>
  <c r="O325" i="36"/>
  <c r="O326" i="36"/>
  <c r="O327" i="36"/>
  <c r="O328" i="36"/>
  <c r="O329" i="36"/>
  <c r="O330" i="36"/>
  <c r="O331" i="36"/>
  <c r="O332" i="36"/>
  <c r="O333" i="36"/>
  <c r="O334" i="36"/>
  <c r="O335" i="36"/>
  <c r="O336" i="36"/>
  <c r="D21" i="25"/>
  <c r="L5" i="11"/>
  <c r="L6" i="11"/>
  <c r="L7" i="11"/>
  <c r="O5" i="11"/>
  <c r="O6" i="11"/>
  <c r="O7" i="11"/>
  <c r="H51" i="96"/>
  <c r="J51" i="96"/>
  <c r="L70" i="91"/>
  <c r="K70" i="91"/>
  <c r="J70" i="91"/>
  <c r="I70" i="91"/>
  <c r="H70" i="91"/>
  <c r="H52" i="96"/>
  <c r="G70" i="91"/>
  <c r="F52" i="96"/>
  <c r="H51" i="95"/>
  <c r="J51" i="95"/>
  <c r="L70" i="92"/>
  <c r="K70" i="92"/>
  <c r="J70" i="92"/>
  <c r="I70" i="92"/>
  <c r="H70" i="92"/>
  <c r="G70" i="92"/>
  <c r="F52" i="95"/>
  <c r="H51" i="80"/>
  <c r="J51" i="80" s="1"/>
  <c r="F6" i="47"/>
  <c r="G6" i="47"/>
  <c r="R8" i="52"/>
  <c r="Q8" i="52"/>
  <c r="P8" i="52"/>
  <c r="O8" i="52"/>
  <c r="A50" i="70"/>
  <c r="A12" i="70"/>
  <c r="E7" i="87"/>
  <c r="F34" i="87"/>
  <c r="F38" i="87" s="1"/>
  <c r="F45" i="87" s="1"/>
  <c r="F52" i="87" s="1"/>
  <c r="F55" i="87" s="1"/>
  <c r="F24" i="87"/>
  <c r="F41" i="87"/>
  <c r="F48" i="87"/>
  <c r="E60" i="87"/>
  <c r="F60" i="87" s="1"/>
  <c r="F61" i="87"/>
  <c r="F67" i="87"/>
  <c r="F74" i="87"/>
  <c r="F80" i="87"/>
  <c r="F86" i="87"/>
  <c r="F94" i="87"/>
  <c r="F100" i="87"/>
  <c r="F106" i="87"/>
  <c r="F112" i="87"/>
  <c r="F118" i="87"/>
  <c r="F124" i="87"/>
  <c r="F130" i="87"/>
  <c r="F136" i="87"/>
  <c r="F7" i="87"/>
  <c r="D21" i="57"/>
  <c r="D59" i="57"/>
  <c r="D65" i="57"/>
  <c r="D77" i="57"/>
  <c r="D86" i="57"/>
  <c r="D92" i="57"/>
  <c r="D98" i="57"/>
  <c r="D104" i="57"/>
  <c r="D110" i="57"/>
  <c r="D116" i="57"/>
  <c r="D122" i="57"/>
  <c r="D128" i="57"/>
  <c r="D134" i="57"/>
  <c r="D140" i="57"/>
  <c r="D144" i="57"/>
  <c r="D145" i="57"/>
  <c r="D147" i="57"/>
  <c r="E7" i="86"/>
  <c r="F34" i="86"/>
  <c r="F24" i="86"/>
  <c r="T152" i="86"/>
  <c r="F41" i="86"/>
  <c r="F48" i="86"/>
  <c r="E60" i="86"/>
  <c r="F60" i="86"/>
  <c r="F61" i="86"/>
  <c r="F67" i="86"/>
  <c r="F74" i="86"/>
  <c r="F80" i="86"/>
  <c r="F86" i="86"/>
  <c r="F94" i="86"/>
  <c r="F100" i="86"/>
  <c r="F106" i="86"/>
  <c r="F112" i="86"/>
  <c r="F118" i="86"/>
  <c r="F124" i="86"/>
  <c r="F130" i="86"/>
  <c r="F136" i="86"/>
  <c r="F7" i="86"/>
  <c r="F34" i="24"/>
  <c r="D118" i="10" s="1"/>
  <c r="F41" i="24"/>
  <c r="D119" i="10" s="1"/>
  <c r="F48" i="24"/>
  <c r="D120" i="10" s="1"/>
  <c r="F67" i="24"/>
  <c r="D122" i="10" s="1"/>
  <c r="F74" i="24"/>
  <c r="F80" i="24"/>
  <c r="D124" i="10" s="1"/>
  <c r="F86" i="24"/>
  <c r="F94" i="24"/>
  <c r="D126" i="10" s="1"/>
  <c r="F100" i="24"/>
  <c r="D127" i="10" s="1"/>
  <c r="F106" i="24"/>
  <c r="D128" i="10" s="1"/>
  <c r="F112" i="24"/>
  <c r="D129" i="10" s="1"/>
  <c r="F118" i="24"/>
  <c r="D130" i="10" s="1"/>
  <c r="F124" i="24"/>
  <c r="D131" i="10" s="1"/>
  <c r="F130" i="24"/>
  <c r="D132" i="10" s="1"/>
  <c r="F136" i="24"/>
  <c r="D133" i="10" s="1"/>
  <c r="E2" i="105"/>
  <c r="D2" i="105" s="1"/>
  <c r="E3" i="105"/>
  <c r="D3" i="105" s="1"/>
  <c r="E4" i="105"/>
  <c r="D4" i="105" s="1"/>
  <c r="E5" i="105"/>
  <c r="D5" i="105" s="1"/>
  <c r="E6" i="105"/>
  <c r="D6" i="105" s="1"/>
  <c r="E7" i="105"/>
  <c r="D7" i="105" s="1"/>
  <c r="E8" i="105"/>
  <c r="D8" i="105" s="1"/>
  <c r="E9" i="105"/>
  <c r="D9" i="105" s="1"/>
  <c r="E10" i="105"/>
  <c r="D10" i="105" s="1"/>
  <c r="E11" i="105"/>
  <c r="D11" i="105" s="1"/>
  <c r="E12" i="105"/>
  <c r="D12" i="105" s="1"/>
  <c r="E13" i="105"/>
  <c r="D13" i="105" s="1"/>
  <c r="E14" i="105"/>
  <c r="D14" i="105" s="1"/>
  <c r="E15" i="105"/>
  <c r="D15" i="105" s="1"/>
  <c r="E16" i="105"/>
  <c r="D16" i="105" s="1"/>
  <c r="E17" i="105"/>
  <c r="D17" i="105" s="1"/>
  <c r="E18" i="105"/>
  <c r="D18" i="105" s="1"/>
  <c r="E19" i="105"/>
  <c r="D19" i="105" s="1"/>
  <c r="E20" i="105"/>
  <c r="D20" i="105" s="1"/>
  <c r="E21" i="105"/>
  <c r="D21" i="105" s="1"/>
  <c r="E22" i="105"/>
  <c r="D22" i="105" s="1"/>
  <c r="E23" i="105"/>
  <c r="D23" i="105" s="1"/>
  <c r="E24" i="105"/>
  <c r="D24" i="105" s="1"/>
  <c r="E25" i="105"/>
  <c r="D25" i="105" s="1"/>
  <c r="E26" i="105"/>
  <c r="D26" i="105" s="1"/>
  <c r="E27" i="105"/>
  <c r="D27" i="105" s="1"/>
  <c r="E28" i="105"/>
  <c r="D28" i="105" s="1"/>
  <c r="E29" i="105"/>
  <c r="D29" i="105" s="1"/>
  <c r="E30" i="105"/>
  <c r="D30" i="105" s="1"/>
  <c r="E31" i="105"/>
  <c r="D31" i="105" s="1"/>
  <c r="E32" i="105"/>
  <c r="D32" i="105" s="1"/>
  <c r="E33" i="105"/>
  <c r="D33" i="105" s="1"/>
  <c r="E34" i="105"/>
  <c r="D34" i="105" s="1"/>
  <c r="E35" i="105"/>
  <c r="D35" i="105" s="1"/>
  <c r="E36" i="105"/>
  <c r="D36" i="105" s="1"/>
  <c r="E37" i="105"/>
  <c r="D37" i="105" s="1"/>
  <c r="E38" i="105"/>
  <c r="D38" i="105" s="1"/>
  <c r="E39" i="105"/>
  <c r="D39" i="105" s="1"/>
  <c r="E40" i="105"/>
  <c r="D40" i="105" s="1"/>
  <c r="E41" i="105"/>
  <c r="D41" i="105" s="1"/>
  <c r="E42" i="105"/>
  <c r="D42" i="105" s="1"/>
  <c r="E43" i="105"/>
  <c r="D43" i="105" s="1"/>
  <c r="E44" i="105"/>
  <c r="D44" i="105" s="1"/>
  <c r="E45" i="105"/>
  <c r="D45" i="105" s="1"/>
  <c r="E46" i="105"/>
  <c r="D46" i="105" s="1"/>
  <c r="E47" i="105"/>
  <c r="D47" i="105" s="1"/>
  <c r="E48" i="105"/>
  <c r="D48" i="105" s="1"/>
  <c r="E49" i="105"/>
  <c r="D49" i="105" s="1"/>
  <c r="E50" i="105"/>
  <c r="D50" i="105" s="1"/>
  <c r="E51" i="105"/>
  <c r="D51" i="105" s="1"/>
  <c r="E52" i="105"/>
  <c r="D52" i="105" s="1"/>
  <c r="E53" i="105"/>
  <c r="D53" i="105" s="1"/>
  <c r="E54" i="105"/>
  <c r="D54" i="105" s="1"/>
  <c r="E55" i="105"/>
  <c r="D55" i="105" s="1"/>
  <c r="E56" i="105"/>
  <c r="D56" i="105" s="1"/>
  <c r="E57" i="105"/>
  <c r="D57" i="105" s="1"/>
  <c r="E58" i="105"/>
  <c r="D58" i="105" s="1"/>
  <c r="E59" i="105"/>
  <c r="D59" i="105" s="1"/>
  <c r="E60" i="105"/>
  <c r="D60" i="105" s="1"/>
  <c r="E61" i="105"/>
  <c r="D61" i="105" s="1"/>
  <c r="E62" i="105"/>
  <c r="D62" i="105" s="1"/>
  <c r="E63" i="105"/>
  <c r="D63" i="105" s="1"/>
  <c r="E64" i="105"/>
  <c r="D64" i="105" s="1"/>
  <c r="E65" i="105"/>
  <c r="D65" i="105" s="1"/>
  <c r="E66" i="105"/>
  <c r="D66" i="105" s="1"/>
  <c r="E67" i="105"/>
  <c r="D67" i="105" s="1"/>
  <c r="E68" i="105"/>
  <c r="D68" i="105" s="1"/>
  <c r="E69" i="105"/>
  <c r="D69" i="105" s="1"/>
  <c r="E70" i="105"/>
  <c r="D70" i="105" s="1"/>
  <c r="E71" i="105"/>
  <c r="D71" i="105" s="1"/>
  <c r="E72" i="105"/>
  <c r="D72" i="105" s="1"/>
  <c r="E73" i="105"/>
  <c r="D73" i="105" s="1"/>
  <c r="E74" i="105"/>
  <c r="D74" i="105" s="1"/>
  <c r="E75" i="105"/>
  <c r="D75" i="105" s="1"/>
  <c r="E76" i="105"/>
  <c r="D76" i="105" s="1"/>
  <c r="E77" i="105"/>
  <c r="D77" i="105" s="1"/>
  <c r="E78" i="105"/>
  <c r="D78" i="105" s="1"/>
  <c r="E79" i="105"/>
  <c r="D79" i="105" s="1"/>
  <c r="E80" i="105"/>
  <c r="D80" i="105" s="1"/>
  <c r="E81" i="105"/>
  <c r="D81" i="105" s="1"/>
  <c r="E82" i="105"/>
  <c r="D82" i="105" s="1"/>
  <c r="E83" i="105"/>
  <c r="D83" i="105" s="1"/>
  <c r="E84" i="105"/>
  <c r="D84" i="105" s="1"/>
  <c r="E85" i="105"/>
  <c r="D85" i="105" s="1"/>
  <c r="E86" i="105"/>
  <c r="D86" i="105" s="1"/>
  <c r="E87" i="105"/>
  <c r="D87" i="105" s="1"/>
  <c r="E88" i="105"/>
  <c r="D88" i="105" s="1"/>
  <c r="E89" i="105"/>
  <c r="D89" i="105" s="1"/>
  <c r="E90" i="105"/>
  <c r="D90" i="105" s="1"/>
  <c r="E91" i="105"/>
  <c r="D91" i="105" s="1"/>
  <c r="E92" i="105"/>
  <c r="D92" i="105" s="1"/>
  <c r="E93" i="105"/>
  <c r="D93" i="105" s="1"/>
  <c r="E94" i="105"/>
  <c r="D94" i="105" s="1"/>
  <c r="E95" i="105"/>
  <c r="D95" i="105" s="1"/>
  <c r="E96" i="105"/>
  <c r="D96" i="105" s="1"/>
  <c r="E97" i="105"/>
  <c r="D97" i="105" s="1"/>
  <c r="E98" i="105"/>
  <c r="D98" i="105" s="1"/>
  <c r="E99" i="105"/>
  <c r="D99" i="105" s="1"/>
  <c r="E100" i="105"/>
  <c r="D100" i="105" s="1"/>
  <c r="E101" i="105"/>
  <c r="D101" i="105" s="1"/>
  <c r="E102" i="105"/>
  <c r="D102" i="105" s="1"/>
  <c r="E103" i="105"/>
  <c r="D103" i="105" s="1"/>
  <c r="E104" i="105"/>
  <c r="D104" i="105" s="1"/>
  <c r="E105" i="105"/>
  <c r="D105" i="105" s="1"/>
  <c r="E106" i="105"/>
  <c r="D106" i="105" s="1"/>
  <c r="E107" i="105"/>
  <c r="D107" i="105" s="1"/>
  <c r="E108" i="105"/>
  <c r="D108" i="105" s="1"/>
  <c r="E109" i="105"/>
  <c r="D109" i="105" s="1"/>
  <c r="E110" i="105"/>
  <c r="D110" i="105" s="1"/>
  <c r="E111" i="105"/>
  <c r="D111" i="105" s="1"/>
  <c r="E112" i="105"/>
  <c r="D112" i="105" s="1"/>
  <c r="E113" i="105"/>
  <c r="D113" i="105" s="1"/>
  <c r="E114" i="105"/>
  <c r="D114" i="105" s="1"/>
  <c r="E115" i="105"/>
  <c r="D115" i="105" s="1"/>
  <c r="E116" i="105"/>
  <c r="D116" i="105" s="1"/>
  <c r="E117" i="105"/>
  <c r="D117" i="105" s="1"/>
  <c r="E118" i="105"/>
  <c r="D118" i="105" s="1"/>
  <c r="E119" i="105"/>
  <c r="D119" i="105" s="1"/>
  <c r="E120" i="105"/>
  <c r="D120" i="105" s="1"/>
  <c r="E121" i="105"/>
  <c r="D121" i="105" s="1"/>
  <c r="E122" i="105"/>
  <c r="D122" i="105" s="1"/>
  <c r="E123" i="105"/>
  <c r="D123" i="105" s="1"/>
  <c r="E124" i="105"/>
  <c r="D124" i="105" s="1"/>
  <c r="E125" i="105"/>
  <c r="D125" i="105" s="1"/>
  <c r="E126" i="105"/>
  <c r="D126" i="105" s="1"/>
  <c r="E127" i="105"/>
  <c r="D127" i="105" s="1"/>
  <c r="E128" i="105"/>
  <c r="D128" i="105" s="1"/>
  <c r="E129" i="105"/>
  <c r="D129" i="105" s="1"/>
  <c r="E130" i="105"/>
  <c r="D130" i="105" s="1"/>
  <c r="E131" i="105"/>
  <c r="D131" i="105" s="1"/>
  <c r="E132" i="105"/>
  <c r="D132" i="105" s="1"/>
  <c r="E133" i="105"/>
  <c r="D133" i="105" s="1"/>
  <c r="E134" i="105"/>
  <c r="D134" i="105" s="1"/>
  <c r="E135" i="105"/>
  <c r="D135" i="105" s="1"/>
  <c r="E136" i="105"/>
  <c r="D136" i="105" s="1"/>
  <c r="E137" i="105"/>
  <c r="D137" i="105" s="1"/>
  <c r="E138" i="105"/>
  <c r="D138" i="105" s="1"/>
  <c r="E139" i="105"/>
  <c r="D139" i="105" s="1"/>
  <c r="E140" i="105"/>
  <c r="D140" i="105" s="1"/>
  <c r="E141" i="105"/>
  <c r="D141" i="105" s="1"/>
  <c r="E142" i="105"/>
  <c r="D142" i="105" s="1"/>
  <c r="E143" i="105"/>
  <c r="D143" i="105" s="1"/>
  <c r="E144" i="105"/>
  <c r="D144" i="105" s="1"/>
  <c r="E145" i="105"/>
  <c r="D145" i="105" s="1"/>
  <c r="E146" i="105"/>
  <c r="D146" i="105" s="1"/>
  <c r="E147" i="105"/>
  <c r="D147" i="105" s="1"/>
  <c r="E148" i="105"/>
  <c r="D148" i="105" s="1"/>
  <c r="E149" i="105"/>
  <c r="D149" i="105" s="1"/>
  <c r="E150" i="105"/>
  <c r="D150" i="105" s="1"/>
  <c r="E151" i="105"/>
  <c r="D151" i="105" s="1"/>
  <c r="E152" i="105"/>
  <c r="D152" i="105" s="1"/>
  <c r="E153" i="105"/>
  <c r="D153" i="105" s="1"/>
  <c r="E154" i="105"/>
  <c r="D154" i="105" s="1"/>
  <c r="E155" i="105"/>
  <c r="D155" i="105" s="1"/>
  <c r="E156" i="105"/>
  <c r="D156" i="105" s="1"/>
  <c r="E157" i="105"/>
  <c r="D157" i="105" s="1"/>
  <c r="E158" i="105"/>
  <c r="D158" i="105" s="1"/>
  <c r="E159" i="105"/>
  <c r="D159" i="105" s="1"/>
  <c r="E160" i="105"/>
  <c r="D160" i="105" s="1"/>
  <c r="E161" i="105"/>
  <c r="D161" i="105" s="1"/>
  <c r="E162" i="105"/>
  <c r="D162" i="105" s="1"/>
  <c r="E163" i="105"/>
  <c r="D163" i="105" s="1"/>
  <c r="E164" i="105"/>
  <c r="D164" i="105" s="1"/>
  <c r="E165" i="105"/>
  <c r="D165" i="105" s="1"/>
  <c r="E166" i="105"/>
  <c r="D166" i="105" s="1"/>
  <c r="E167" i="105"/>
  <c r="D167" i="105" s="1"/>
  <c r="E168" i="105"/>
  <c r="D168" i="105" s="1"/>
  <c r="E169" i="105"/>
  <c r="D169" i="105" s="1"/>
  <c r="E170" i="105"/>
  <c r="D170" i="105" s="1"/>
  <c r="E171" i="105"/>
  <c r="D171" i="105" s="1"/>
  <c r="E172" i="105"/>
  <c r="D172" i="105" s="1"/>
  <c r="E173" i="105"/>
  <c r="D173" i="105" s="1"/>
  <c r="E174" i="105"/>
  <c r="D174" i="105" s="1"/>
  <c r="E175" i="105"/>
  <c r="D175" i="105" s="1"/>
  <c r="E176" i="105"/>
  <c r="D176" i="105" s="1"/>
  <c r="E177" i="105"/>
  <c r="D177" i="105" s="1"/>
  <c r="E178" i="105"/>
  <c r="D178" i="105" s="1"/>
  <c r="E179" i="105"/>
  <c r="D179" i="105" s="1"/>
  <c r="E180" i="105"/>
  <c r="D180" i="105" s="1"/>
  <c r="E181" i="105"/>
  <c r="D181" i="105" s="1"/>
  <c r="E182" i="105"/>
  <c r="D182" i="105" s="1"/>
  <c r="E183" i="105"/>
  <c r="D183" i="105" s="1"/>
  <c r="E184" i="105"/>
  <c r="D184" i="105" s="1"/>
  <c r="E185" i="105"/>
  <c r="D185" i="105" s="1"/>
  <c r="E186" i="105"/>
  <c r="D186" i="105" s="1"/>
  <c r="E187" i="105"/>
  <c r="D187" i="105" s="1"/>
  <c r="E188" i="105"/>
  <c r="D188" i="105" s="1"/>
  <c r="E189" i="105"/>
  <c r="D189" i="105" s="1"/>
  <c r="E190" i="105"/>
  <c r="D190" i="105" s="1"/>
  <c r="E191" i="105"/>
  <c r="D191" i="105" s="1"/>
  <c r="E192" i="105"/>
  <c r="D192" i="105" s="1"/>
  <c r="E193" i="105"/>
  <c r="D193" i="105" s="1"/>
  <c r="E194" i="105"/>
  <c r="D194" i="105" s="1"/>
  <c r="E195" i="105"/>
  <c r="D195" i="105" s="1"/>
  <c r="E196" i="105"/>
  <c r="D196" i="105" s="1"/>
  <c r="E197" i="105"/>
  <c r="D197" i="105" s="1"/>
  <c r="E198" i="105"/>
  <c r="D198" i="105" s="1"/>
  <c r="E199" i="105"/>
  <c r="D199" i="105" s="1"/>
  <c r="E200" i="105"/>
  <c r="D200" i="105" s="1"/>
  <c r="E201" i="105"/>
  <c r="D201" i="105" s="1"/>
  <c r="E202" i="105"/>
  <c r="D202" i="105" s="1"/>
  <c r="E203" i="105"/>
  <c r="D203" i="105" s="1"/>
  <c r="E204" i="105"/>
  <c r="D204" i="105" s="1"/>
  <c r="E205" i="105"/>
  <c r="D205" i="105" s="1"/>
  <c r="E206" i="105"/>
  <c r="D206" i="105" s="1"/>
  <c r="E207" i="105"/>
  <c r="D207" i="105" s="1"/>
  <c r="E208" i="105"/>
  <c r="D208" i="105" s="1"/>
  <c r="E209" i="105"/>
  <c r="D209" i="105" s="1"/>
  <c r="E210" i="105"/>
  <c r="D210" i="105" s="1"/>
  <c r="E211" i="105"/>
  <c r="D211" i="105" s="1"/>
  <c r="E212" i="105"/>
  <c r="D212" i="105" s="1"/>
  <c r="E213" i="105"/>
  <c r="D213" i="105" s="1"/>
  <c r="E214" i="105"/>
  <c r="D214" i="105" s="1"/>
  <c r="E215" i="105"/>
  <c r="D215" i="105" s="1"/>
  <c r="E216" i="105"/>
  <c r="D216" i="105" s="1"/>
  <c r="E217" i="105"/>
  <c r="D217" i="105" s="1"/>
  <c r="E218" i="105"/>
  <c r="D218" i="105" s="1"/>
  <c r="E219" i="105"/>
  <c r="D219" i="105" s="1"/>
  <c r="E220" i="105"/>
  <c r="D220" i="105" s="1"/>
  <c r="E221" i="105"/>
  <c r="D221" i="105" s="1"/>
  <c r="E222" i="105"/>
  <c r="D222" i="105" s="1"/>
  <c r="E223" i="105"/>
  <c r="D223" i="105" s="1"/>
  <c r="E224" i="105"/>
  <c r="D224" i="105" s="1"/>
  <c r="E225" i="105"/>
  <c r="D225" i="105" s="1"/>
  <c r="E226" i="105"/>
  <c r="D226" i="105" s="1"/>
  <c r="E227" i="105"/>
  <c r="D227" i="105" s="1"/>
  <c r="E228" i="105"/>
  <c r="D228" i="105" s="1"/>
  <c r="E229" i="105"/>
  <c r="D229" i="105" s="1"/>
  <c r="E230" i="105"/>
  <c r="D230" i="105" s="1"/>
  <c r="E231" i="105"/>
  <c r="D231" i="105" s="1"/>
  <c r="E232" i="105"/>
  <c r="D232" i="105" s="1"/>
  <c r="E233" i="105"/>
  <c r="D233" i="105" s="1"/>
  <c r="E234" i="105"/>
  <c r="D234" i="105" s="1"/>
  <c r="E235" i="105"/>
  <c r="D235" i="105" s="1"/>
  <c r="E236" i="105"/>
  <c r="D236" i="105" s="1"/>
  <c r="E237" i="105"/>
  <c r="D237" i="105" s="1"/>
  <c r="E238" i="105"/>
  <c r="D238" i="105" s="1"/>
  <c r="E239" i="105"/>
  <c r="D239" i="105" s="1"/>
  <c r="E240" i="105"/>
  <c r="D240" i="105" s="1"/>
  <c r="E241" i="105"/>
  <c r="D241" i="105" s="1"/>
  <c r="E242" i="105"/>
  <c r="D242" i="105" s="1"/>
  <c r="E243" i="105"/>
  <c r="D243" i="105" s="1"/>
  <c r="E244" i="105"/>
  <c r="D244" i="105" s="1"/>
  <c r="E245" i="105"/>
  <c r="D245" i="105" s="1"/>
  <c r="E246" i="105"/>
  <c r="D246" i="105" s="1"/>
  <c r="E247" i="105"/>
  <c r="D247" i="105" s="1"/>
  <c r="E248" i="105"/>
  <c r="D248" i="105" s="1"/>
  <c r="E249" i="105"/>
  <c r="D249" i="105" s="1"/>
  <c r="E250" i="105"/>
  <c r="D250" i="105" s="1"/>
  <c r="E251" i="105"/>
  <c r="D251" i="105" s="1"/>
  <c r="E252" i="105"/>
  <c r="D252" i="105" s="1"/>
  <c r="E253" i="105"/>
  <c r="D253" i="105" s="1"/>
  <c r="E254" i="105"/>
  <c r="D254" i="105" s="1"/>
  <c r="E255" i="105"/>
  <c r="D255" i="105" s="1"/>
  <c r="E256" i="105"/>
  <c r="D256" i="105" s="1"/>
  <c r="E257" i="105"/>
  <c r="D257" i="105" s="1"/>
  <c r="E258" i="105"/>
  <c r="D258" i="105" s="1"/>
  <c r="E259" i="105"/>
  <c r="D259" i="105" s="1"/>
  <c r="E260" i="105"/>
  <c r="D260" i="105" s="1"/>
  <c r="E261" i="105"/>
  <c r="D261" i="105" s="1"/>
  <c r="E262" i="105"/>
  <c r="D262" i="105" s="1"/>
  <c r="E263" i="105"/>
  <c r="D263" i="105" s="1"/>
  <c r="E264" i="105"/>
  <c r="D264" i="105" s="1"/>
  <c r="E265" i="105"/>
  <c r="D265" i="105" s="1"/>
  <c r="E266" i="105"/>
  <c r="D266" i="105" s="1"/>
  <c r="E267" i="105"/>
  <c r="D267" i="105" s="1"/>
  <c r="E268" i="105"/>
  <c r="D268" i="105" s="1"/>
  <c r="E269" i="105"/>
  <c r="D269" i="105" s="1"/>
  <c r="E270" i="105"/>
  <c r="D270" i="105" s="1"/>
  <c r="E271" i="105"/>
  <c r="D271" i="105" s="1"/>
  <c r="E272" i="105"/>
  <c r="D272" i="105" s="1"/>
  <c r="E273" i="105"/>
  <c r="D273" i="105" s="1"/>
  <c r="E274" i="105"/>
  <c r="D274" i="105" s="1"/>
  <c r="E275" i="105"/>
  <c r="D275" i="105" s="1"/>
  <c r="E276" i="105"/>
  <c r="D276" i="105" s="1"/>
  <c r="E277" i="105"/>
  <c r="D277" i="105" s="1"/>
  <c r="E278" i="105"/>
  <c r="D278" i="105" s="1"/>
  <c r="E279" i="105"/>
  <c r="D279" i="105" s="1"/>
  <c r="E280" i="105"/>
  <c r="D280" i="105" s="1"/>
  <c r="E281" i="105"/>
  <c r="D281" i="105" s="1"/>
  <c r="E282" i="105"/>
  <c r="D282" i="105" s="1"/>
  <c r="E283" i="105"/>
  <c r="D283" i="105" s="1"/>
  <c r="E284" i="105"/>
  <c r="D284" i="105" s="1"/>
  <c r="E285" i="105"/>
  <c r="D285" i="105" s="1"/>
  <c r="E286" i="105"/>
  <c r="D286" i="105" s="1"/>
  <c r="E287" i="105"/>
  <c r="D287" i="105" s="1"/>
  <c r="E288" i="105"/>
  <c r="D288" i="105" s="1"/>
  <c r="E289" i="105"/>
  <c r="D289" i="105" s="1"/>
  <c r="E290" i="105"/>
  <c r="D290" i="105" s="1"/>
  <c r="E291" i="105"/>
  <c r="D291" i="105" s="1"/>
  <c r="E292" i="105"/>
  <c r="D292" i="105" s="1"/>
  <c r="E293" i="105"/>
  <c r="D293" i="105" s="1"/>
  <c r="E294" i="105"/>
  <c r="D294" i="105" s="1"/>
  <c r="E295" i="105"/>
  <c r="D295" i="105" s="1"/>
  <c r="E296" i="105"/>
  <c r="D296" i="105" s="1"/>
  <c r="E297" i="105"/>
  <c r="D297" i="105" s="1"/>
  <c r="E298" i="105"/>
  <c r="D298" i="105" s="1"/>
  <c r="E299" i="105"/>
  <c r="D299" i="105" s="1"/>
  <c r="E300" i="105"/>
  <c r="D300" i="105" s="1"/>
  <c r="E301" i="105"/>
  <c r="D301" i="105" s="1"/>
  <c r="E302" i="105"/>
  <c r="D302" i="105" s="1"/>
  <c r="E303" i="105"/>
  <c r="D303" i="105" s="1"/>
  <c r="E304" i="105"/>
  <c r="D304" i="105" s="1"/>
  <c r="E305" i="105"/>
  <c r="D305" i="105" s="1"/>
  <c r="E306" i="105"/>
  <c r="D306" i="105" s="1"/>
  <c r="E307" i="105"/>
  <c r="D307" i="105" s="1"/>
  <c r="E308" i="105"/>
  <c r="D308" i="105" s="1"/>
  <c r="E309" i="105"/>
  <c r="D309" i="105" s="1"/>
  <c r="E310" i="105"/>
  <c r="D310" i="105" s="1"/>
  <c r="E311" i="105"/>
  <c r="D311" i="105" s="1"/>
  <c r="E312" i="105"/>
  <c r="D312" i="105" s="1"/>
  <c r="E313" i="105"/>
  <c r="D313" i="105" s="1"/>
  <c r="E314" i="105"/>
  <c r="D314" i="105" s="1"/>
  <c r="E315" i="105"/>
  <c r="D315" i="105" s="1"/>
  <c r="E316" i="105"/>
  <c r="D316" i="105" s="1"/>
  <c r="E317" i="105"/>
  <c r="D317" i="105" s="1"/>
  <c r="E318" i="105"/>
  <c r="D318" i="105" s="1"/>
  <c r="E319" i="105"/>
  <c r="D319" i="105" s="1"/>
  <c r="E320" i="105"/>
  <c r="D320" i="105" s="1"/>
  <c r="E321" i="105"/>
  <c r="D321" i="105" s="1"/>
  <c r="E322" i="105"/>
  <c r="D322" i="105" s="1"/>
  <c r="E323" i="105"/>
  <c r="D323" i="105" s="1"/>
  <c r="E324" i="105"/>
  <c r="D324" i="105" s="1"/>
  <c r="E325" i="105"/>
  <c r="D325" i="105" s="1"/>
  <c r="E326" i="105"/>
  <c r="D326" i="105" s="1"/>
  <c r="E327" i="105"/>
  <c r="D327" i="105" s="1"/>
  <c r="E328" i="105"/>
  <c r="D328" i="105" s="1"/>
  <c r="E329" i="105"/>
  <c r="D329" i="105" s="1"/>
  <c r="E330" i="105"/>
  <c r="D330" i="105" s="1"/>
  <c r="E331" i="105"/>
  <c r="D331" i="105" s="1"/>
  <c r="E332" i="105"/>
  <c r="D332" i="105" s="1"/>
  <c r="E333" i="105"/>
  <c r="D333" i="105" s="1"/>
  <c r="E334" i="105"/>
  <c r="D334" i="105" s="1"/>
  <c r="E335" i="105"/>
  <c r="D335" i="105" s="1"/>
  <c r="E336" i="105"/>
  <c r="D336" i="105" s="1"/>
  <c r="E337" i="105"/>
  <c r="D337" i="105" s="1"/>
  <c r="E338" i="105"/>
  <c r="D338" i="105" s="1"/>
  <c r="E339" i="105"/>
  <c r="D339" i="105" s="1"/>
  <c r="E340" i="105"/>
  <c r="D340" i="105" s="1"/>
  <c r="E341" i="105"/>
  <c r="D341" i="105" s="1"/>
  <c r="E342" i="105"/>
  <c r="D342" i="105" s="1"/>
  <c r="E343" i="105"/>
  <c r="D343" i="105" s="1"/>
  <c r="E344" i="105"/>
  <c r="D344" i="105" s="1"/>
  <c r="E345" i="105"/>
  <c r="D345" i="105" s="1"/>
  <c r="E346" i="105"/>
  <c r="D346" i="105" s="1"/>
  <c r="E347" i="105"/>
  <c r="D347" i="105" s="1"/>
  <c r="E348" i="105"/>
  <c r="D348" i="105" s="1"/>
  <c r="E349" i="105"/>
  <c r="D349" i="105" s="1"/>
  <c r="E350" i="105"/>
  <c r="D350" i="105" s="1"/>
  <c r="E351" i="105"/>
  <c r="D351" i="105" s="1"/>
  <c r="E352" i="105"/>
  <c r="D352" i="105" s="1"/>
  <c r="E353" i="105"/>
  <c r="D353" i="105" s="1"/>
  <c r="E354" i="105"/>
  <c r="D354" i="105" s="1"/>
  <c r="E355" i="105"/>
  <c r="D355" i="105" s="1"/>
  <c r="E356" i="105"/>
  <c r="D356" i="105" s="1"/>
  <c r="E357" i="105"/>
  <c r="D357" i="105" s="1"/>
  <c r="E358" i="105"/>
  <c r="D358" i="105" s="1"/>
  <c r="E359" i="105"/>
  <c r="D359" i="105" s="1"/>
  <c r="E360" i="105"/>
  <c r="D360" i="105" s="1"/>
  <c r="E361" i="105"/>
  <c r="D361" i="105" s="1"/>
  <c r="E362" i="105"/>
  <c r="D362" i="105" s="1"/>
  <c r="E363" i="105"/>
  <c r="D363" i="105" s="1"/>
  <c r="E364" i="105"/>
  <c r="D364" i="105" s="1"/>
  <c r="E365" i="105"/>
  <c r="D365" i="105" s="1"/>
  <c r="E366" i="105"/>
  <c r="D366" i="105" s="1"/>
  <c r="E367" i="105"/>
  <c r="D367" i="105" s="1"/>
  <c r="E368" i="105"/>
  <c r="D368" i="105" s="1"/>
  <c r="E369" i="105"/>
  <c r="D369" i="105" s="1"/>
  <c r="E370" i="105"/>
  <c r="D370" i="105" s="1"/>
  <c r="E371" i="105"/>
  <c r="D371" i="105" s="1"/>
  <c r="E372" i="105"/>
  <c r="D372" i="105" s="1"/>
  <c r="E373" i="105"/>
  <c r="D373" i="105" s="1"/>
  <c r="E374" i="105"/>
  <c r="D374" i="105" s="1"/>
  <c r="E375" i="105"/>
  <c r="D375" i="105" s="1"/>
  <c r="E376" i="105"/>
  <c r="D376" i="105" s="1"/>
  <c r="E377" i="105"/>
  <c r="D377" i="105" s="1"/>
  <c r="E378" i="105"/>
  <c r="D378" i="105" s="1"/>
  <c r="E379" i="105"/>
  <c r="D379" i="105" s="1"/>
  <c r="E380" i="105"/>
  <c r="D380" i="105" s="1"/>
  <c r="E381" i="105"/>
  <c r="D381" i="105" s="1"/>
  <c r="E382" i="105"/>
  <c r="D382" i="105" s="1"/>
  <c r="E383" i="105"/>
  <c r="D383" i="105" s="1"/>
  <c r="E384" i="105"/>
  <c r="D384" i="105" s="1"/>
  <c r="E385" i="105"/>
  <c r="D385" i="105" s="1"/>
  <c r="E386" i="105"/>
  <c r="D386" i="105" s="1"/>
  <c r="E387" i="105"/>
  <c r="D387" i="105" s="1"/>
  <c r="E388" i="105"/>
  <c r="D388" i="105" s="1"/>
  <c r="E389" i="105"/>
  <c r="D389" i="105" s="1"/>
  <c r="E390" i="105"/>
  <c r="D390" i="105" s="1"/>
  <c r="E391" i="105"/>
  <c r="D391" i="105" s="1"/>
  <c r="E392" i="105"/>
  <c r="D392" i="105" s="1"/>
  <c r="E393" i="105"/>
  <c r="D393" i="105" s="1"/>
  <c r="E394" i="105"/>
  <c r="D394" i="105" s="1"/>
  <c r="E395" i="105"/>
  <c r="D395" i="105" s="1"/>
  <c r="E396" i="105"/>
  <c r="D396" i="105" s="1"/>
  <c r="E397" i="105"/>
  <c r="D397" i="105" s="1"/>
  <c r="E398" i="105"/>
  <c r="D398" i="105" s="1"/>
  <c r="E399" i="105"/>
  <c r="D399" i="105" s="1"/>
  <c r="E400" i="105"/>
  <c r="D400" i="105" s="1"/>
  <c r="E401" i="105"/>
  <c r="D401" i="105" s="1"/>
  <c r="E402" i="105"/>
  <c r="D402" i="105" s="1"/>
  <c r="E403" i="105"/>
  <c r="D403" i="105" s="1"/>
  <c r="E404" i="105"/>
  <c r="D404" i="105" s="1"/>
  <c r="E405" i="105"/>
  <c r="D405" i="105" s="1"/>
  <c r="E406" i="105"/>
  <c r="D406" i="105" s="1"/>
  <c r="E407" i="105"/>
  <c r="D407" i="105" s="1"/>
  <c r="E408" i="105"/>
  <c r="D408" i="105" s="1"/>
  <c r="E409" i="105"/>
  <c r="D409" i="105" s="1"/>
  <c r="E410" i="105"/>
  <c r="D410" i="105" s="1"/>
  <c r="E411" i="105"/>
  <c r="D411" i="105" s="1"/>
  <c r="E412" i="105"/>
  <c r="D412" i="105" s="1"/>
  <c r="E413" i="105"/>
  <c r="D413" i="105" s="1"/>
  <c r="E414" i="105"/>
  <c r="D414" i="105" s="1"/>
  <c r="E415" i="105"/>
  <c r="D415" i="105" s="1"/>
  <c r="E416" i="105"/>
  <c r="D416" i="105" s="1"/>
  <c r="E417" i="105"/>
  <c r="D417" i="105" s="1"/>
  <c r="E418" i="105"/>
  <c r="D418" i="105" s="1"/>
  <c r="E419" i="105"/>
  <c r="D419" i="105" s="1"/>
  <c r="E420" i="105"/>
  <c r="D420" i="105" s="1"/>
  <c r="E421" i="105"/>
  <c r="D421" i="105" s="1"/>
  <c r="E422" i="105"/>
  <c r="D422" i="105" s="1"/>
  <c r="E423" i="105"/>
  <c r="D423" i="105" s="1"/>
  <c r="E424" i="105"/>
  <c r="D424" i="105" s="1"/>
  <c r="E425" i="105"/>
  <c r="D425" i="105" s="1"/>
  <c r="E426" i="105"/>
  <c r="D426" i="105" s="1"/>
  <c r="E427" i="105"/>
  <c r="D427" i="105" s="1"/>
  <c r="E428" i="105"/>
  <c r="D428" i="105" s="1"/>
  <c r="E429" i="105"/>
  <c r="D429" i="105" s="1"/>
  <c r="E430" i="105"/>
  <c r="D430" i="105" s="1"/>
  <c r="E431" i="105"/>
  <c r="D431" i="105" s="1"/>
  <c r="E432" i="105"/>
  <c r="D432" i="105" s="1"/>
  <c r="E433" i="105"/>
  <c r="D433" i="105" s="1"/>
  <c r="E434" i="105"/>
  <c r="D434" i="105" s="1"/>
  <c r="E435" i="105"/>
  <c r="D435" i="105" s="1"/>
  <c r="E436" i="105"/>
  <c r="D436" i="105" s="1"/>
  <c r="E437" i="105"/>
  <c r="D437" i="105" s="1"/>
  <c r="E438" i="105"/>
  <c r="D438" i="105" s="1"/>
  <c r="E439" i="105"/>
  <c r="D439" i="105" s="1"/>
  <c r="E440" i="105"/>
  <c r="D440" i="105" s="1"/>
  <c r="E441" i="105"/>
  <c r="D441" i="105" s="1"/>
  <c r="E442" i="105"/>
  <c r="D442" i="105" s="1"/>
  <c r="E443" i="105"/>
  <c r="D443" i="105" s="1"/>
  <c r="E444" i="105"/>
  <c r="D444" i="105" s="1"/>
  <c r="E445" i="105"/>
  <c r="D445" i="105" s="1"/>
  <c r="E446" i="105"/>
  <c r="D446" i="105" s="1"/>
  <c r="E447" i="105"/>
  <c r="D447" i="105" s="1"/>
  <c r="E448" i="105"/>
  <c r="D448" i="105" s="1"/>
  <c r="E449" i="105"/>
  <c r="D449" i="105" s="1"/>
  <c r="E450" i="105"/>
  <c r="D450" i="105" s="1"/>
  <c r="E451" i="105"/>
  <c r="D451" i="105" s="1"/>
  <c r="E452" i="105"/>
  <c r="D452" i="105" s="1"/>
  <c r="E453" i="105"/>
  <c r="D453" i="105" s="1"/>
  <c r="E454" i="105"/>
  <c r="D454" i="105" s="1"/>
  <c r="E455" i="105"/>
  <c r="D455" i="105" s="1"/>
  <c r="E456" i="105"/>
  <c r="D456" i="105" s="1"/>
  <c r="E457" i="105"/>
  <c r="D457" i="105" s="1"/>
  <c r="E458" i="105"/>
  <c r="D458" i="105" s="1"/>
  <c r="E459" i="105"/>
  <c r="D459" i="105" s="1"/>
  <c r="E460" i="105"/>
  <c r="D460" i="105" s="1"/>
  <c r="E461" i="105"/>
  <c r="D461" i="105" s="1"/>
  <c r="E462" i="105"/>
  <c r="D462" i="105" s="1"/>
  <c r="E463" i="105"/>
  <c r="D463" i="105" s="1"/>
  <c r="E464" i="105"/>
  <c r="D464" i="105" s="1"/>
  <c r="E465" i="105"/>
  <c r="D465" i="105" s="1"/>
  <c r="E466" i="105"/>
  <c r="D466" i="105" s="1"/>
  <c r="E467" i="105"/>
  <c r="D467" i="105" s="1"/>
  <c r="E468" i="105"/>
  <c r="D468" i="105" s="1"/>
  <c r="E469" i="105"/>
  <c r="D469" i="105" s="1"/>
  <c r="E470" i="105"/>
  <c r="D470" i="105" s="1"/>
  <c r="E471" i="105"/>
  <c r="D471" i="105" s="1"/>
  <c r="E472" i="105"/>
  <c r="D472" i="105" s="1"/>
  <c r="E473" i="105"/>
  <c r="D473" i="105" s="1"/>
  <c r="E474" i="105"/>
  <c r="D474" i="105" s="1"/>
  <c r="E475" i="105"/>
  <c r="D475" i="105" s="1"/>
  <c r="E476" i="105"/>
  <c r="D476" i="105" s="1"/>
  <c r="E477" i="105"/>
  <c r="D477" i="105" s="1"/>
  <c r="E478" i="105"/>
  <c r="D478" i="105" s="1"/>
  <c r="E479" i="105"/>
  <c r="D479" i="105" s="1"/>
  <c r="E480" i="105"/>
  <c r="D480" i="105" s="1"/>
  <c r="E481" i="105"/>
  <c r="D481" i="105" s="1"/>
  <c r="E482" i="105"/>
  <c r="D482" i="105" s="1"/>
  <c r="E483" i="105"/>
  <c r="D483" i="105" s="1"/>
  <c r="E484" i="105"/>
  <c r="D484" i="105" s="1"/>
  <c r="E485" i="105"/>
  <c r="D485" i="105" s="1"/>
  <c r="E486" i="105"/>
  <c r="D486" i="105" s="1"/>
  <c r="E487" i="105"/>
  <c r="D487" i="105" s="1"/>
  <c r="E488" i="105"/>
  <c r="D488" i="105" s="1"/>
  <c r="E489" i="105"/>
  <c r="D489" i="105" s="1"/>
  <c r="E490" i="105"/>
  <c r="D490" i="105" s="1"/>
  <c r="E491" i="105"/>
  <c r="D491" i="105" s="1"/>
  <c r="E492" i="105"/>
  <c r="D492" i="105" s="1"/>
  <c r="E493" i="105"/>
  <c r="D493" i="105" s="1"/>
  <c r="E494" i="105"/>
  <c r="D494" i="105" s="1"/>
  <c r="E495" i="105"/>
  <c r="D495" i="105" s="1"/>
  <c r="E496" i="105"/>
  <c r="D496" i="105" s="1"/>
  <c r="E497" i="105"/>
  <c r="D497" i="105" s="1"/>
  <c r="E498" i="105"/>
  <c r="D498" i="105" s="1"/>
  <c r="E499" i="105"/>
  <c r="D499" i="105" s="1"/>
  <c r="E500" i="105"/>
  <c r="D500" i="105" s="1"/>
  <c r="E501" i="105"/>
  <c r="D501" i="105" s="1"/>
  <c r="E502" i="105"/>
  <c r="D502" i="105" s="1"/>
  <c r="E503" i="105"/>
  <c r="D503" i="105" s="1"/>
  <c r="E504" i="105"/>
  <c r="D504" i="105" s="1"/>
  <c r="E505" i="105"/>
  <c r="D505" i="105" s="1"/>
  <c r="E506" i="105"/>
  <c r="D506" i="105" s="1"/>
  <c r="E507" i="105"/>
  <c r="D507" i="105" s="1"/>
  <c r="E508" i="105"/>
  <c r="D508" i="105" s="1"/>
  <c r="E509" i="105"/>
  <c r="D509" i="105" s="1"/>
  <c r="E510" i="105"/>
  <c r="D510" i="105" s="1"/>
  <c r="E511" i="105"/>
  <c r="D511" i="105" s="1"/>
  <c r="E512" i="105"/>
  <c r="D512" i="105" s="1"/>
  <c r="E513" i="105"/>
  <c r="D513" i="105" s="1"/>
  <c r="E514" i="105"/>
  <c r="D514" i="105" s="1"/>
  <c r="E515" i="105"/>
  <c r="D515" i="105" s="1"/>
  <c r="E516" i="105"/>
  <c r="D516" i="105" s="1"/>
  <c r="E517" i="105"/>
  <c r="D517" i="105" s="1"/>
  <c r="E518" i="105"/>
  <c r="D518" i="105" s="1"/>
  <c r="E519" i="105"/>
  <c r="D519" i="105" s="1"/>
  <c r="E520" i="105"/>
  <c r="D520" i="105" s="1"/>
  <c r="E521" i="105"/>
  <c r="D521" i="105" s="1"/>
  <c r="E522" i="105"/>
  <c r="D522" i="105" s="1"/>
  <c r="E523" i="105"/>
  <c r="D523" i="105" s="1"/>
  <c r="E524" i="105"/>
  <c r="D524" i="105" s="1"/>
  <c r="E525" i="105"/>
  <c r="D525" i="105" s="1"/>
  <c r="E526" i="105"/>
  <c r="D526" i="105" s="1"/>
  <c r="E527" i="105"/>
  <c r="D527" i="105" s="1"/>
  <c r="E528" i="105"/>
  <c r="D528" i="105" s="1"/>
  <c r="E529" i="105"/>
  <c r="D529" i="105" s="1"/>
  <c r="E530" i="105"/>
  <c r="D530" i="105" s="1"/>
  <c r="E531" i="105"/>
  <c r="D531" i="105" s="1"/>
  <c r="E532" i="105"/>
  <c r="D532" i="105" s="1"/>
  <c r="E533" i="105"/>
  <c r="D533" i="105" s="1"/>
  <c r="E534" i="105"/>
  <c r="D534" i="105" s="1"/>
  <c r="E535" i="105"/>
  <c r="D535" i="105" s="1"/>
  <c r="E536" i="105"/>
  <c r="D536" i="105" s="1"/>
  <c r="E537" i="105"/>
  <c r="D537" i="105" s="1"/>
  <c r="E538" i="105"/>
  <c r="D538" i="105" s="1"/>
  <c r="E539" i="105"/>
  <c r="D539" i="105" s="1"/>
  <c r="E540" i="105"/>
  <c r="D540" i="105" s="1"/>
  <c r="E541" i="105"/>
  <c r="D541" i="105" s="1"/>
  <c r="E542" i="105"/>
  <c r="D542" i="105" s="1"/>
  <c r="E543" i="105"/>
  <c r="D543" i="105" s="1"/>
  <c r="E544" i="105"/>
  <c r="D544" i="105" s="1"/>
  <c r="E545" i="105"/>
  <c r="D545" i="105" s="1"/>
  <c r="E546" i="105"/>
  <c r="D546" i="105" s="1"/>
  <c r="E547" i="105"/>
  <c r="D547" i="105" s="1"/>
  <c r="E548" i="105"/>
  <c r="D548" i="105" s="1"/>
  <c r="E549" i="105"/>
  <c r="D549" i="105" s="1"/>
  <c r="E550" i="105"/>
  <c r="D550" i="105" s="1"/>
  <c r="E551" i="105"/>
  <c r="D551" i="105" s="1"/>
  <c r="E552" i="105"/>
  <c r="D552" i="105" s="1"/>
  <c r="E553" i="105"/>
  <c r="D553" i="105" s="1"/>
  <c r="E554" i="105"/>
  <c r="D554" i="105" s="1"/>
  <c r="E555" i="105"/>
  <c r="D555" i="105" s="1"/>
  <c r="E556" i="105"/>
  <c r="D556" i="105" s="1"/>
  <c r="E557" i="105"/>
  <c r="D557" i="105" s="1"/>
  <c r="E558" i="105"/>
  <c r="D558" i="105" s="1"/>
  <c r="E559" i="105"/>
  <c r="D559" i="105" s="1"/>
  <c r="E560" i="105"/>
  <c r="D560" i="105" s="1"/>
  <c r="E561" i="105"/>
  <c r="D561" i="105" s="1"/>
  <c r="E562" i="105"/>
  <c r="D562" i="105" s="1"/>
  <c r="E563" i="105"/>
  <c r="D563" i="105" s="1"/>
  <c r="E564" i="105"/>
  <c r="D564" i="105" s="1"/>
  <c r="E565" i="105"/>
  <c r="D565" i="105" s="1"/>
  <c r="E566" i="105"/>
  <c r="D566" i="105" s="1"/>
  <c r="E567" i="105"/>
  <c r="D567" i="105" s="1"/>
  <c r="E568" i="105"/>
  <c r="D568" i="105" s="1"/>
  <c r="E569" i="105"/>
  <c r="D569" i="105" s="1"/>
  <c r="E570" i="105"/>
  <c r="D570" i="105" s="1"/>
  <c r="E571" i="105"/>
  <c r="D571" i="105" s="1"/>
  <c r="E572" i="105"/>
  <c r="D572" i="105" s="1"/>
  <c r="E573" i="105"/>
  <c r="D573" i="105" s="1"/>
  <c r="E574" i="105"/>
  <c r="D574" i="105" s="1"/>
  <c r="E575" i="105"/>
  <c r="D575" i="105" s="1"/>
  <c r="E576" i="105"/>
  <c r="D576" i="105" s="1"/>
  <c r="E577" i="105"/>
  <c r="D577" i="105" s="1"/>
  <c r="E578" i="105"/>
  <c r="D578" i="105" s="1"/>
  <c r="E579" i="105"/>
  <c r="D579" i="105" s="1"/>
  <c r="E580" i="105"/>
  <c r="D580" i="105" s="1"/>
  <c r="E581" i="105"/>
  <c r="D581" i="105" s="1"/>
  <c r="E582" i="105"/>
  <c r="D582" i="105" s="1"/>
  <c r="E583" i="105"/>
  <c r="D583" i="105" s="1"/>
  <c r="E584" i="105"/>
  <c r="D584" i="105" s="1"/>
  <c r="E585" i="105"/>
  <c r="D585" i="105" s="1"/>
  <c r="E586" i="105"/>
  <c r="D586" i="105" s="1"/>
  <c r="E587" i="105"/>
  <c r="D587" i="105" s="1"/>
  <c r="E588" i="105"/>
  <c r="D588" i="105" s="1"/>
  <c r="E589" i="105"/>
  <c r="D589" i="105" s="1"/>
  <c r="E590" i="105"/>
  <c r="D590" i="105" s="1"/>
  <c r="E591" i="105"/>
  <c r="D591" i="105" s="1"/>
  <c r="E592" i="105"/>
  <c r="D592" i="105" s="1"/>
  <c r="E593" i="105"/>
  <c r="D593" i="105" s="1"/>
  <c r="E594" i="105"/>
  <c r="D594" i="105" s="1"/>
  <c r="E595" i="105"/>
  <c r="D595" i="105" s="1"/>
  <c r="E596" i="105"/>
  <c r="D596" i="105" s="1"/>
  <c r="E597" i="105"/>
  <c r="D597" i="105" s="1"/>
  <c r="E598" i="105"/>
  <c r="D598" i="105" s="1"/>
  <c r="E599" i="105"/>
  <c r="D599" i="105" s="1"/>
  <c r="E600" i="105"/>
  <c r="D600" i="105" s="1"/>
  <c r="E601" i="105"/>
  <c r="D601" i="105" s="1"/>
  <c r="E602" i="105"/>
  <c r="D602" i="105" s="1"/>
  <c r="E603" i="105"/>
  <c r="D603" i="105" s="1"/>
  <c r="E604" i="105"/>
  <c r="D604" i="105" s="1"/>
  <c r="E605" i="105"/>
  <c r="D605" i="105" s="1"/>
  <c r="E606" i="105"/>
  <c r="D606" i="105" s="1"/>
  <c r="E607" i="105"/>
  <c r="D607" i="105" s="1"/>
  <c r="E608" i="105"/>
  <c r="D608" i="105" s="1"/>
  <c r="E609" i="105"/>
  <c r="D609" i="105" s="1"/>
  <c r="E610" i="105"/>
  <c r="D610" i="105" s="1"/>
  <c r="E611" i="105"/>
  <c r="D611" i="105" s="1"/>
  <c r="E612" i="105"/>
  <c r="D612" i="105" s="1"/>
  <c r="E613" i="105"/>
  <c r="D613" i="105" s="1"/>
  <c r="E614" i="105"/>
  <c r="D614" i="105" s="1"/>
  <c r="E615" i="105"/>
  <c r="D615" i="105" s="1"/>
  <c r="E616" i="105"/>
  <c r="D616" i="105" s="1"/>
  <c r="E617" i="105"/>
  <c r="D617" i="105" s="1"/>
  <c r="E618" i="105"/>
  <c r="D618" i="105" s="1"/>
  <c r="E619" i="105"/>
  <c r="D619" i="105" s="1"/>
  <c r="E620" i="105"/>
  <c r="D620" i="105" s="1"/>
  <c r="E621" i="105"/>
  <c r="D621" i="105" s="1"/>
  <c r="E622" i="105"/>
  <c r="D622" i="105" s="1"/>
  <c r="E623" i="105"/>
  <c r="D623" i="105" s="1"/>
  <c r="E624" i="105"/>
  <c r="D624" i="105" s="1"/>
  <c r="E625" i="105"/>
  <c r="D625" i="105" s="1"/>
  <c r="E626" i="105"/>
  <c r="D626" i="105" s="1"/>
  <c r="E627" i="105"/>
  <c r="D627" i="105" s="1"/>
  <c r="E628" i="105"/>
  <c r="D628" i="105" s="1"/>
  <c r="E629" i="105"/>
  <c r="D629" i="105" s="1"/>
  <c r="E630" i="105"/>
  <c r="D630" i="105" s="1"/>
  <c r="E631" i="105"/>
  <c r="D631" i="105" s="1"/>
  <c r="E632" i="105"/>
  <c r="D632" i="105" s="1"/>
  <c r="E633" i="105"/>
  <c r="D633" i="105" s="1"/>
  <c r="E634" i="105"/>
  <c r="D634" i="105" s="1"/>
  <c r="E635" i="105"/>
  <c r="D635" i="105" s="1"/>
  <c r="E636" i="105"/>
  <c r="D636" i="105" s="1"/>
  <c r="E637" i="105"/>
  <c r="D637" i="105" s="1"/>
  <c r="E638" i="105"/>
  <c r="D638" i="105" s="1"/>
  <c r="E639" i="105"/>
  <c r="D639" i="105" s="1"/>
  <c r="E640" i="105"/>
  <c r="D640" i="105" s="1"/>
  <c r="E641" i="105"/>
  <c r="D641" i="105" s="1"/>
  <c r="E642" i="105"/>
  <c r="D642" i="105" s="1"/>
  <c r="E643" i="105"/>
  <c r="D643" i="105" s="1"/>
  <c r="E644" i="105"/>
  <c r="D644" i="105" s="1"/>
  <c r="E645" i="105"/>
  <c r="D645" i="105" s="1"/>
  <c r="E646" i="105"/>
  <c r="D646" i="105" s="1"/>
  <c r="E647" i="105"/>
  <c r="D647" i="105" s="1"/>
  <c r="E648" i="105"/>
  <c r="D648" i="105" s="1"/>
  <c r="E649" i="105"/>
  <c r="D649" i="105" s="1"/>
  <c r="E650" i="105"/>
  <c r="D650" i="105" s="1"/>
  <c r="E651" i="105"/>
  <c r="D651" i="105" s="1"/>
  <c r="E652" i="105"/>
  <c r="D652" i="105" s="1"/>
  <c r="E653" i="105"/>
  <c r="D653" i="105" s="1"/>
  <c r="E654" i="105"/>
  <c r="D654" i="105" s="1"/>
  <c r="E655" i="105"/>
  <c r="D655" i="105" s="1"/>
  <c r="E656" i="105"/>
  <c r="D656" i="105" s="1"/>
  <c r="E657" i="105"/>
  <c r="D657" i="105" s="1"/>
  <c r="E658" i="105"/>
  <c r="D658" i="105" s="1"/>
  <c r="E659" i="105"/>
  <c r="D659" i="105" s="1"/>
  <c r="E660" i="105"/>
  <c r="D660" i="105" s="1"/>
  <c r="E661" i="105"/>
  <c r="D661" i="105" s="1"/>
  <c r="E662" i="105"/>
  <c r="D662" i="105" s="1"/>
  <c r="E663" i="105"/>
  <c r="D663" i="105" s="1"/>
  <c r="E664" i="105"/>
  <c r="D664" i="105" s="1"/>
  <c r="E665" i="105"/>
  <c r="D665" i="105" s="1"/>
  <c r="E666" i="105"/>
  <c r="D666" i="105" s="1"/>
  <c r="E667" i="105"/>
  <c r="D667" i="105" s="1"/>
  <c r="E668" i="105"/>
  <c r="D668" i="105" s="1"/>
  <c r="E669" i="105"/>
  <c r="D669" i="105" s="1"/>
  <c r="E670" i="105"/>
  <c r="D670" i="105" s="1"/>
  <c r="E671" i="105"/>
  <c r="D671" i="105" s="1"/>
  <c r="E672" i="105"/>
  <c r="D672" i="105" s="1"/>
  <c r="E673" i="105"/>
  <c r="D673" i="105" s="1"/>
  <c r="E674" i="105"/>
  <c r="D674" i="105" s="1"/>
  <c r="E675" i="105"/>
  <c r="D675" i="105" s="1"/>
  <c r="E676" i="105"/>
  <c r="D676" i="105" s="1"/>
  <c r="E677" i="105"/>
  <c r="D677" i="105" s="1"/>
  <c r="E678" i="105"/>
  <c r="D678" i="105" s="1"/>
  <c r="E679" i="105"/>
  <c r="D679" i="105" s="1"/>
  <c r="E680" i="105"/>
  <c r="D680" i="105" s="1"/>
  <c r="E681" i="105"/>
  <c r="D681" i="105" s="1"/>
  <c r="E682" i="105"/>
  <c r="D682" i="105" s="1"/>
  <c r="E683" i="105"/>
  <c r="D683" i="105" s="1"/>
  <c r="E684" i="105"/>
  <c r="D684" i="105" s="1"/>
  <c r="E685" i="105"/>
  <c r="D685" i="105" s="1"/>
  <c r="E686" i="105"/>
  <c r="D686" i="105" s="1"/>
  <c r="E687" i="105"/>
  <c r="D687" i="105" s="1"/>
  <c r="E688" i="105"/>
  <c r="D688" i="105" s="1"/>
  <c r="E689" i="105"/>
  <c r="D689" i="105" s="1"/>
  <c r="E690" i="105"/>
  <c r="D690" i="105" s="1"/>
  <c r="E691" i="105"/>
  <c r="D691" i="105" s="1"/>
  <c r="E692" i="105"/>
  <c r="D692" i="105" s="1"/>
  <c r="E693" i="105"/>
  <c r="D693" i="105" s="1"/>
  <c r="E694" i="105"/>
  <c r="D694" i="105" s="1"/>
  <c r="E695" i="105"/>
  <c r="D695" i="105" s="1"/>
  <c r="E696" i="105"/>
  <c r="D696" i="105" s="1"/>
  <c r="E697" i="105"/>
  <c r="D697" i="105" s="1"/>
  <c r="E698" i="105"/>
  <c r="D698" i="105" s="1"/>
  <c r="E699" i="105"/>
  <c r="D699" i="105" s="1"/>
  <c r="E700" i="105"/>
  <c r="D700" i="105" s="1"/>
  <c r="E701" i="105"/>
  <c r="D701" i="105" s="1"/>
  <c r="E702" i="105"/>
  <c r="D702" i="105" s="1"/>
  <c r="E703" i="105"/>
  <c r="D703" i="105" s="1"/>
  <c r="E704" i="105"/>
  <c r="D704" i="105" s="1"/>
  <c r="E705" i="105"/>
  <c r="D705" i="105" s="1"/>
  <c r="E706" i="105"/>
  <c r="D706" i="105" s="1"/>
  <c r="E707" i="105"/>
  <c r="D707" i="105" s="1"/>
  <c r="E708" i="105"/>
  <c r="D708" i="105" s="1"/>
  <c r="E709" i="105"/>
  <c r="D709" i="105" s="1"/>
  <c r="E710" i="105"/>
  <c r="D710" i="105" s="1"/>
  <c r="E711" i="105"/>
  <c r="D711" i="105" s="1"/>
  <c r="E712" i="105"/>
  <c r="D712" i="105" s="1"/>
  <c r="E713" i="105"/>
  <c r="D713" i="105" s="1"/>
  <c r="E714" i="105"/>
  <c r="D714" i="105" s="1"/>
  <c r="E715" i="105"/>
  <c r="D715" i="105" s="1"/>
  <c r="E716" i="105"/>
  <c r="D716" i="105" s="1"/>
  <c r="E717" i="105"/>
  <c r="D717" i="105" s="1"/>
  <c r="E718" i="105"/>
  <c r="D718" i="105" s="1"/>
  <c r="E719" i="105"/>
  <c r="D719" i="105" s="1"/>
  <c r="E720" i="105"/>
  <c r="D720" i="105" s="1"/>
  <c r="E721" i="105"/>
  <c r="D721" i="105" s="1"/>
  <c r="E722" i="105"/>
  <c r="D722" i="105" s="1"/>
  <c r="E723" i="105"/>
  <c r="D723" i="105" s="1"/>
  <c r="E724" i="105"/>
  <c r="D724" i="105" s="1"/>
  <c r="E725" i="105"/>
  <c r="D725" i="105" s="1"/>
  <c r="E726" i="105"/>
  <c r="D726" i="105" s="1"/>
  <c r="E727" i="105"/>
  <c r="D727" i="105" s="1"/>
  <c r="E728" i="105"/>
  <c r="D728" i="105" s="1"/>
  <c r="E729" i="105"/>
  <c r="D729" i="105" s="1"/>
  <c r="E730" i="105"/>
  <c r="D730" i="105" s="1"/>
  <c r="E731" i="105"/>
  <c r="D731" i="105" s="1"/>
  <c r="E732" i="105"/>
  <c r="D732" i="105" s="1"/>
  <c r="E733" i="105"/>
  <c r="D733" i="105" s="1"/>
  <c r="E734" i="105"/>
  <c r="D734" i="105" s="1"/>
  <c r="E735" i="105"/>
  <c r="D735" i="105" s="1"/>
  <c r="E736" i="105"/>
  <c r="D736" i="105" s="1"/>
  <c r="E737" i="105"/>
  <c r="D737" i="105" s="1"/>
  <c r="E738" i="105"/>
  <c r="D738" i="105" s="1"/>
  <c r="E739" i="105"/>
  <c r="D739" i="105" s="1"/>
  <c r="E740" i="105"/>
  <c r="D740" i="105" s="1"/>
  <c r="E741" i="105"/>
  <c r="D741" i="105" s="1"/>
  <c r="E742" i="105"/>
  <c r="D742" i="105" s="1"/>
  <c r="E743" i="105"/>
  <c r="D743" i="105" s="1"/>
  <c r="E744" i="105"/>
  <c r="D744" i="105" s="1"/>
  <c r="E745" i="105"/>
  <c r="D745" i="105" s="1"/>
  <c r="E746" i="105"/>
  <c r="D746" i="105" s="1"/>
  <c r="E747" i="105"/>
  <c r="D747" i="105" s="1"/>
  <c r="E748" i="105"/>
  <c r="D748" i="105" s="1"/>
  <c r="E749" i="105"/>
  <c r="D749" i="105" s="1"/>
  <c r="E750" i="105"/>
  <c r="D750" i="105" s="1"/>
  <c r="E751" i="105"/>
  <c r="D751" i="105" s="1"/>
  <c r="E752" i="105"/>
  <c r="D752" i="105" s="1"/>
  <c r="E753" i="105"/>
  <c r="D753" i="105" s="1"/>
  <c r="E754" i="105"/>
  <c r="D754" i="105" s="1"/>
  <c r="E755" i="105"/>
  <c r="D755" i="105" s="1"/>
  <c r="E756" i="105"/>
  <c r="D756" i="105" s="1"/>
  <c r="E757" i="105"/>
  <c r="D757" i="105" s="1"/>
  <c r="E758" i="105"/>
  <c r="D758" i="105" s="1"/>
  <c r="E759" i="105"/>
  <c r="D759" i="105" s="1"/>
  <c r="E760" i="105"/>
  <c r="D760" i="105" s="1"/>
  <c r="E761" i="105"/>
  <c r="D761" i="105" s="1"/>
  <c r="E762" i="105"/>
  <c r="D762" i="105" s="1"/>
  <c r="E763" i="105"/>
  <c r="D763" i="105" s="1"/>
  <c r="E764" i="105"/>
  <c r="D764" i="105" s="1"/>
  <c r="E765" i="105"/>
  <c r="D765" i="105" s="1"/>
  <c r="E766" i="105"/>
  <c r="D766" i="105" s="1"/>
  <c r="E767" i="105"/>
  <c r="D767" i="105" s="1"/>
  <c r="E768" i="105"/>
  <c r="D768" i="105" s="1"/>
  <c r="E769" i="105"/>
  <c r="D769" i="105" s="1"/>
  <c r="E770" i="105"/>
  <c r="D770" i="105" s="1"/>
  <c r="E771" i="105"/>
  <c r="D771" i="105" s="1"/>
  <c r="E772" i="105"/>
  <c r="D772" i="105" s="1"/>
  <c r="E773" i="105"/>
  <c r="D773" i="105" s="1"/>
  <c r="E774" i="105"/>
  <c r="D774" i="105" s="1"/>
  <c r="E775" i="105"/>
  <c r="D775" i="105" s="1"/>
  <c r="E776" i="105"/>
  <c r="D776" i="105" s="1"/>
  <c r="E777" i="105"/>
  <c r="D777" i="105" s="1"/>
  <c r="E778" i="105"/>
  <c r="D778" i="105" s="1"/>
  <c r="E779" i="105"/>
  <c r="D779" i="105" s="1"/>
  <c r="E780" i="105"/>
  <c r="D780" i="105" s="1"/>
  <c r="E781" i="105"/>
  <c r="D781" i="105" s="1"/>
  <c r="E782" i="105"/>
  <c r="D782" i="105" s="1"/>
  <c r="E783" i="105"/>
  <c r="D783" i="105" s="1"/>
  <c r="E784" i="105"/>
  <c r="D784" i="105" s="1"/>
  <c r="E785" i="105"/>
  <c r="D785" i="105" s="1"/>
  <c r="E786" i="105"/>
  <c r="D786" i="105" s="1"/>
  <c r="E787" i="105"/>
  <c r="D787" i="105" s="1"/>
  <c r="E788" i="105"/>
  <c r="D788" i="105" s="1"/>
  <c r="E789" i="105"/>
  <c r="D789" i="105" s="1"/>
  <c r="E790" i="105"/>
  <c r="D790" i="105" s="1"/>
  <c r="E791" i="105"/>
  <c r="D791" i="105" s="1"/>
  <c r="E792" i="105"/>
  <c r="D792" i="105" s="1"/>
  <c r="E793" i="105"/>
  <c r="D793" i="105" s="1"/>
  <c r="E794" i="105"/>
  <c r="D794" i="105" s="1"/>
  <c r="E795" i="105"/>
  <c r="D795" i="105" s="1"/>
  <c r="E796" i="105"/>
  <c r="D796" i="105" s="1"/>
  <c r="E797" i="105"/>
  <c r="D797" i="105" s="1"/>
  <c r="E798" i="105"/>
  <c r="D798" i="105" s="1"/>
  <c r="E799" i="105"/>
  <c r="D799" i="105" s="1"/>
  <c r="E800" i="105"/>
  <c r="D800" i="105" s="1"/>
  <c r="E801" i="105"/>
  <c r="D801" i="105" s="1"/>
  <c r="E802" i="105"/>
  <c r="D802" i="105" s="1"/>
  <c r="E803" i="105"/>
  <c r="D803" i="105" s="1"/>
  <c r="E804" i="105"/>
  <c r="D804" i="105" s="1"/>
  <c r="E805" i="105"/>
  <c r="D805" i="105" s="1"/>
  <c r="E806" i="105"/>
  <c r="D806" i="105" s="1"/>
  <c r="E807" i="105"/>
  <c r="D807" i="105" s="1"/>
  <c r="E808" i="105"/>
  <c r="D808" i="105" s="1"/>
  <c r="E809" i="105"/>
  <c r="D809" i="105" s="1"/>
  <c r="E810" i="105"/>
  <c r="D810" i="105" s="1"/>
  <c r="E811" i="105"/>
  <c r="D811" i="105" s="1"/>
  <c r="E812" i="105"/>
  <c r="D812" i="105" s="1"/>
  <c r="E813" i="105"/>
  <c r="D813" i="105" s="1"/>
  <c r="E814" i="105"/>
  <c r="D814" i="105" s="1"/>
  <c r="E815" i="105"/>
  <c r="D815" i="105" s="1"/>
  <c r="E816" i="105"/>
  <c r="D816" i="105" s="1"/>
  <c r="E817" i="105"/>
  <c r="D817" i="105" s="1"/>
  <c r="E818" i="105"/>
  <c r="D818" i="105" s="1"/>
  <c r="E819" i="105"/>
  <c r="D819" i="105" s="1"/>
  <c r="E820" i="105"/>
  <c r="D820" i="105" s="1"/>
  <c r="E821" i="105"/>
  <c r="D821" i="105" s="1"/>
  <c r="E822" i="105"/>
  <c r="D822" i="105" s="1"/>
  <c r="E823" i="105"/>
  <c r="D823" i="105" s="1"/>
  <c r="E824" i="105"/>
  <c r="D824" i="105" s="1"/>
  <c r="E825" i="105"/>
  <c r="D825" i="105" s="1"/>
  <c r="E826" i="105"/>
  <c r="D826" i="105" s="1"/>
  <c r="E827" i="105"/>
  <c r="D827" i="105" s="1"/>
  <c r="E828" i="105"/>
  <c r="D828" i="105" s="1"/>
  <c r="E829" i="105"/>
  <c r="D829" i="105" s="1"/>
  <c r="E830" i="105"/>
  <c r="D830" i="105" s="1"/>
  <c r="E831" i="105"/>
  <c r="D831" i="105" s="1"/>
  <c r="E832" i="105"/>
  <c r="D832" i="105" s="1"/>
  <c r="E833" i="105"/>
  <c r="D833" i="105" s="1"/>
  <c r="E834" i="105"/>
  <c r="D834" i="105" s="1"/>
  <c r="E835" i="105"/>
  <c r="D835" i="105" s="1"/>
  <c r="E836" i="105"/>
  <c r="D836" i="105" s="1"/>
  <c r="E837" i="105"/>
  <c r="D837" i="105" s="1"/>
  <c r="E838" i="105"/>
  <c r="D838" i="105" s="1"/>
  <c r="E839" i="105"/>
  <c r="D839" i="105" s="1"/>
  <c r="E840" i="105"/>
  <c r="D840" i="105" s="1"/>
  <c r="E841" i="105"/>
  <c r="D841" i="105" s="1"/>
  <c r="E842" i="105"/>
  <c r="D842" i="105" s="1"/>
  <c r="E843" i="105"/>
  <c r="D843" i="105" s="1"/>
  <c r="E844" i="105"/>
  <c r="D844" i="105" s="1"/>
  <c r="E845" i="105"/>
  <c r="D845" i="105" s="1"/>
  <c r="E846" i="105"/>
  <c r="D846" i="105" s="1"/>
  <c r="E847" i="105"/>
  <c r="D847" i="105" s="1"/>
  <c r="E848" i="105"/>
  <c r="D848" i="105" s="1"/>
  <c r="E849" i="105"/>
  <c r="D849" i="105" s="1"/>
  <c r="E850" i="105"/>
  <c r="D850" i="105" s="1"/>
  <c r="E851" i="105"/>
  <c r="D851" i="105" s="1"/>
  <c r="E852" i="105"/>
  <c r="D852" i="105" s="1"/>
  <c r="E853" i="105"/>
  <c r="D853" i="105" s="1"/>
  <c r="E854" i="105"/>
  <c r="D854" i="105" s="1"/>
  <c r="E855" i="105"/>
  <c r="D855" i="105" s="1"/>
  <c r="E856" i="105"/>
  <c r="D856" i="105" s="1"/>
  <c r="E857" i="105"/>
  <c r="D857" i="105" s="1"/>
  <c r="E858" i="105"/>
  <c r="D858" i="105" s="1"/>
  <c r="E859" i="105"/>
  <c r="D859" i="105" s="1"/>
  <c r="E860" i="105"/>
  <c r="D860" i="105" s="1"/>
  <c r="E861" i="105"/>
  <c r="D861" i="105" s="1"/>
  <c r="E862" i="105"/>
  <c r="D862" i="105" s="1"/>
  <c r="E863" i="105"/>
  <c r="D863" i="105" s="1"/>
  <c r="E864" i="105"/>
  <c r="D864" i="105" s="1"/>
  <c r="E865" i="105"/>
  <c r="D865" i="105" s="1"/>
  <c r="E866" i="105"/>
  <c r="D866" i="105" s="1"/>
  <c r="E867" i="105"/>
  <c r="D867" i="105" s="1"/>
  <c r="E868" i="105"/>
  <c r="D868" i="105" s="1"/>
  <c r="E869" i="105"/>
  <c r="D869" i="105" s="1"/>
  <c r="E870" i="105"/>
  <c r="D870" i="105" s="1"/>
  <c r="E871" i="105"/>
  <c r="D871" i="105" s="1"/>
  <c r="E872" i="105"/>
  <c r="D872" i="105" s="1"/>
  <c r="E873" i="105"/>
  <c r="D873" i="105" s="1"/>
  <c r="E874" i="105"/>
  <c r="D874" i="105" s="1"/>
  <c r="E875" i="105"/>
  <c r="D875" i="105" s="1"/>
  <c r="E876" i="105"/>
  <c r="D876" i="105" s="1"/>
  <c r="E877" i="105"/>
  <c r="D877" i="105" s="1"/>
  <c r="E878" i="105"/>
  <c r="D878" i="105" s="1"/>
  <c r="E879" i="105"/>
  <c r="D879" i="105" s="1"/>
  <c r="E880" i="105"/>
  <c r="D880" i="105" s="1"/>
  <c r="E881" i="105"/>
  <c r="D881" i="105" s="1"/>
  <c r="E882" i="105"/>
  <c r="D882" i="105" s="1"/>
  <c r="E883" i="105"/>
  <c r="D883" i="105" s="1"/>
  <c r="E884" i="105"/>
  <c r="D884" i="105" s="1"/>
  <c r="E885" i="105"/>
  <c r="D885" i="105" s="1"/>
  <c r="E886" i="105"/>
  <c r="D886" i="105" s="1"/>
  <c r="E887" i="105"/>
  <c r="D887" i="105" s="1"/>
  <c r="E888" i="105"/>
  <c r="D888" i="105" s="1"/>
  <c r="E889" i="105"/>
  <c r="D889" i="105" s="1"/>
  <c r="E890" i="105"/>
  <c r="D890" i="105" s="1"/>
  <c r="E891" i="105"/>
  <c r="D891" i="105" s="1"/>
  <c r="E892" i="105"/>
  <c r="D892" i="105" s="1"/>
  <c r="E893" i="105"/>
  <c r="D893" i="105" s="1"/>
  <c r="E894" i="105"/>
  <c r="D894" i="105" s="1"/>
  <c r="E895" i="105"/>
  <c r="D895" i="105" s="1"/>
  <c r="E896" i="105"/>
  <c r="D896" i="105" s="1"/>
  <c r="E897" i="105"/>
  <c r="D897" i="105" s="1"/>
  <c r="E898" i="105"/>
  <c r="D898" i="105" s="1"/>
  <c r="E899" i="105"/>
  <c r="D899" i="105" s="1"/>
  <c r="E900" i="105"/>
  <c r="D900" i="105" s="1"/>
  <c r="E901" i="105"/>
  <c r="D901" i="105" s="1"/>
  <c r="E902" i="105"/>
  <c r="D902" i="105" s="1"/>
  <c r="E903" i="105"/>
  <c r="D903" i="105" s="1"/>
  <c r="E904" i="105"/>
  <c r="D904" i="105" s="1"/>
  <c r="E905" i="105"/>
  <c r="D905" i="105" s="1"/>
  <c r="E906" i="105"/>
  <c r="D906" i="105" s="1"/>
  <c r="E907" i="105"/>
  <c r="D907" i="105" s="1"/>
  <c r="E908" i="105"/>
  <c r="D908" i="105" s="1"/>
  <c r="E909" i="105"/>
  <c r="D909" i="105" s="1"/>
  <c r="E910" i="105"/>
  <c r="D910" i="105" s="1"/>
  <c r="E911" i="105"/>
  <c r="D911" i="105" s="1"/>
  <c r="E912" i="105"/>
  <c r="D912" i="105" s="1"/>
  <c r="E913" i="105"/>
  <c r="D913" i="105" s="1"/>
  <c r="E914" i="105"/>
  <c r="D914" i="105" s="1"/>
  <c r="E915" i="105"/>
  <c r="D915" i="105" s="1"/>
  <c r="E916" i="105"/>
  <c r="D916" i="105" s="1"/>
  <c r="E917" i="105"/>
  <c r="D917" i="105" s="1"/>
  <c r="E918" i="105"/>
  <c r="D918" i="105" s="1"/>
  <c r="E919" i="105"/>
  <c r="D919" i="105" s="1"/>
  <c r="E920" i="105"/>
  <c r="D920" i="105" s="1"/>
  <c r="E921" i="105"/>
  <c r="D921" i="105" s="1"/>
  <c r="E922" i="105"/>
  <c r="D922" i="105" s="1"/>
  <c r="E923" i="105"/>
  <c r="D923" i="105" s="1"/>
  <c r="E924" i="105"/>
  <c r="D924" i="105" s="1"/>
  <c r="E925" i="105"/>
  <c r="D925" i="105" s="1"/>
  <c r="E926" i="105"/>
  <c r="D926" i="105" s="1"/>
  <c r="E927" i="105"/>
  <c r="D927" i="105" s="1"/>
  <c r="E928" i="105"/>
  <c r="D928" i="105" s="1"/>
  <c r="E929" i="105"/>
  <c r="D929" i="105" s="1"/>
  <c r="E930" i="105"/>
  <c r="D930" i="105" s="1"/>
  <c r="E931" i="105"/>
  <c r="D931" i="105" s="1"/>
  <c r="E932" i="105"/>
  <c r="D932" i="105" s="1"/>
  <c r="E933" i="105"/>
  <c r="D933" i="105" s="1"/>
  <c r="E934" i="105"/>
  <c r="D934" i="105" s="1"/>
  <c r="E935" i="105"/>
  <c r="D935" i="105" s="1"/>
  <c r="E936" i="105"/>
  <c r="D936" i="105" s="1"/>
  <c r="E937" i="105"/>
  <c r="D937" i="105" s="1"/>
  <c r="E938" i="105"/>
  <c r="D938" i="105" s="1"/>
  <c r="E939" i="105"/>
  <c r="D939" i="105" s="1"/>
  <c r="E940" i="105"/>
  <c r="D940" i="105" s="1"/>
  <c r="E941" i="105"/>
  <c r="D941" i="105" s="1"/>
  <c r="E942" i="105"/>
  <c r="D942" i="105" s="1"/>
  <c r="E943" i="105"/>
  <c r="D943" i="105" s="1"/>
  <c r="E944" i="105"/>
  <c r="D944" i="105" s="1"/>
  <c r="E945" i="105"/>
  <c r="D945" i="105" s="1"/>
  <c r="E946" i="105"/>
  <c r="D946" i="105" s="1"/>
  <c r="E947" i="105"/>
  <c r="D947" i="105" s="1"/>
  <c r="E948" i="105"/>
  <c r="D948" i="105" s="1"/>
  <c r="E949" i="105"/>
  <c r="D949" i="105" s="1"/>
  <c r="E950" i="105"/>
  <c r="D950" i="105" s="1"/>
  <c r="E951" i="105"/>
  <c r="D951" i="105" s="1"/>
  <c r="E952" i="105"/>
  <c r="D952" i="105" s="1"/>
  <c r="E953" i="105"/>
  <c r="D953" i="105" s="1"/>
  <c r="E954" i="105"/>
  <c r="D954" i="105" s="1"/>
  <c r="E955" i="105"/>
  <c r="D955" i="105" s="1"/>
  <c r="E956" i="105"/>
  <c r="D956" i="105" s="1"/>
  <c r="E957" i="105"/>
  <c r="D957" i="105" s="1"/>
  <c r="E958" i="105"/>
  <c r="D958" i="105" s="1"/>
  <c r="E959" i="105"/>
  <c r="D959" i="105" s="1"/>
  <c r="E960" i="105"/>
  <c r="D960" i="105" s="1"/>
  <c r="E961" i="105"/>
  <c r="D961" i="105" s="1"/>
  <c r="E962" i="105"/>
  <c r="D962" i="105" s="1"/>
  <c r="E963" i="105"/>
  <c r="D963" i="105" s="1"/>
  <c r="E964" i="105"/>
  <c r="D964" i="105" s="1"/>
  <c r="E965" i="105"/>
  <c r="D965" i="105" s="1"/>
  <c r="E966" i="105"/>
  <c r="D966" i="105" s="1"/>
  <c r="E967" i="105"/>
  <c r="D967" i="105" s="1"/>
  <c r="E968" i="105"/>
  <c r="D968" i="105" s="1"/>
  <c r="E969" i="105"/>
  <c r="D969" i="105" s="1"/>
  <c r="E970" i="105"/>
  <c r="D970" i="105" s="1"/>
  <c r="E971" i="105"/>
  <c r="D971" i="105" s="1"/>
  <c r="E972" i="105"/>
  <c r="D972" i="105" s="1"/>
  <c r="E973" i="105"/>
  <c r="D973" i="105" s="1"/>
  <c r="E974" i="105"/>
  <c r="D974" i="105" s="1"/>
  <c r="E975" i="105"/>
  <c r="D975" i="105" s="1"/>
  <c r="E976" i="105"/>
  <c r="D976" i="105" s="1"/>
  <c r="E977" i="105"/>
  <c r="D977" i="105" s="1"/>
  <c r="E978" i="105"/>
  <c r="D978" i="105" s="1"/>
  <c r="E979" i="105"/>
  <c r="D979" i="105" s="1"/>
  <c r="E980" i="105"/>
  <c r="D980" i="105" s="1"/>
  <c r="E981" i="105"/>
  <c r="D981" i="105" s="1"/>
  <c r="E982" i="105"/>
  <c r="D982" i="105" s="1"/>
  <c r="E983" i="105"/>
  <c r="D983" i="105" s="1"/>
  <c r="E984" i="105"/>
  <c r="D984" i="105" s="1"/>
  <c r="E985" i="105"/>
  <c r="D985" i="105" s="1"/>
  <c r="E986" i="105"/>
  <c r="D986" i="105" s="1"/>
  <c r="E987" i="105"/>
  <c r="D987" i="105" s="1"/>
  <c r="E988" i="105"/>
  <c r="D988" i="105" s="1"/>
  <c r="E989" i="105"/>
  <c r="D989" i="105" s="1"/>
  <c r="E990" i="105"/>
  <c r="D990" i="105" s="1"/>
  <c r="E991" i="105"/>
  <c r="D991" i="105" s="1"/>
  <c r="E992" i="105"/>
  <c r="D992" i="105" s="1"/>
  <c r="E993" i="105"/>
  <c r="D993" i="105" s="1"/>
  <c r="E994" i="105"/>
  <c r="D994" i="105" s="1"/>
  <c r="E995" i="105"/>
  <c r="D995" i="105" s="1"/>
  <c r="E996" i="105"/>
  <c r="D996" i="105" s="1"/>
  <c r="E997" i="105"/>
  <c r="D997" i="105" s="1"/>
  <c r="E998" i="105"/>
  <c r="D998" i="105" s="1"/>
  <c r="E999" i="105"/>
  <c r="D999" i="105" s="1"/>
  <c r="E1000" i="105"/>
  <c r="D1000" i="105" s="1"/>
  <c r="E1001" i="105"/>
  <c r="D1001" i="105" s="1"/>
  <c r="E1002" i="105"/>
  <c r="D1002" i="105" s="1"/>
  <c r="E1003" i="105"/>
  <c r="D1003" i="105" s="1"/>
  <c r="E1004" i="105"/>
  <c r="D1004" i="105" s="1"/>
  <c r="E1005" i="105"/>
  <c r="D1005" i="105" s="1"/>
  <c r="E1006" i="105"/>
  <c r="D1006" i="105" s="1"/>
  <c r="E1007" i="105"/>
  <c r="D1007" i="105" s="1"/>
  <c r="E1008" i="105"/>
  <c r="D1008" i="105" s="1"/>
  <c r="E1009" i="105"/>
  <c r="D1009" i="105" s="1"/>
  <c r="E1010" i="105"/>
  <c r="D1010" i="105" s="1"/>
  <c r="E1011" i="105"/>
  <c r="D1011" i="105" s="1"/>
  <c r="E1012" i="105"/>
  <c r="D1012" i="105" s="1"/>
  <c r="E1013" i="105"/>
  <c r="D1013" i="105" s="1"/>
  <c r="E1014" i="105"/>
  <c r="D1014" i="105" s="1"/>
  <c r="E1015" i="105"/>
  <c r="D1015" i="105" s="1"/>
  <c r="E1016" i="105"/>
  <c r="D1016" i="105" s="1"/>
  <c r="E1017" i="105"/>
  <c r="D1017" i="105" s="1"/>
  <c r="E1018" i="105"/>
  <c r="D1018" i="105" s="1"/>
  <c r="E1019" i="105"/>
  <c r="D1019" i="105" s="1"/>
  <c r="E1020" i="105"/>
  <c r="D1020" i="105" s="1"/>
  <c r="E1021" i="105"/>
  <c r="D1021" i="105" s="1"/>
  <c r="E1022" i="105"/>
  <c r="D1022" i="105" s="1"/>
  <c r="E1023" i="105"/>
  <c r="D1023" i="105" s="1"/>
  <c r="E1024" i="105"/>
  <c r="D1024" i="105" s="1"/>
  <c r="E1025" i="105"/>
  <c r="D1025" i="105" s="1"/>
  <c r="E1026" i="105"/>
  <c r="D1026" i="105" s="1"/>
  <c r="E1027" i="105"/>
  <c r="D1027" i="105" s="1"/>
  <c r="E1028" i="105"/>
  <c r="D1028" i="105" s="1"/>
  <c r="E1029" i="105"/>
  <c r="D1029" i="105" s="1"/>
  <c r="E1030" i="105"/>
  <c r="D1030" i="105" s="1"/>
  <c r="E1031" i="105"/>
  <c r="D1031" i="105" s="1"/>
  <c r="E1032" i="105"/>
  <c r="D1032" i="105" s="1"/>
  <c r="E1033" i="105"/>
  <c r="D1033" i="105" s="1"/>
  <c r="E1034" i="105"/>
  <c r="D1034" i="105" s="1"/>
  <c r="E1035" i="105"/>
  <c r="D1035" i="105" s="1"/>
  <c r="E1036" i="105"/>
  <c r="D1036" i="105" s="1"/>
  <c r="E1037" i="105"/>
  <c r="D1037" i="105" s="1"/>
  <c r="E1038" i="105"/>
  <c r="D1038" i="105" s="1"/>
  <c r="E1039" i="105"/>
  <c r="D1039" i="105" s="1"/>
  <c r="E1040" i="105"/>
  <c r="D1040" i="105" s="1"/>
  <c r="E1041" i="105"/>
  <c r="D1041" i="105" s="1"/>
  <c r="E1042" i="105"/>
  <c r="D1042" i="105" s="1"/>
  <c r="E1043" i="105"/>
  <c r="D1043" i="105" s="1"/>
  <c r="E1044" i="105"/>
  <c r="D1044" i="105" s="1"/>
  <c r="E1045" i="105"/>
  <c r="D1045" i="105" s="1"/>
  <c r="E1046" i="105"/>
  <c r="D1046" i="105" s="1"/>
  <c r="E1047" i="105"/>
  <c r="D1047" i="105" s="1"/>
  <c r="E1048" i="105"/>
  <c r="D1048" i="105" s="1"/>
  <c r="E1049" i="105"/>
  <c r="D1049" i="105" s="1"/>
  <c r="E1050" i="105"/>
  <c r="D1050" i="105" s="1"/>
  <c r="E1051" i="105"/>
  <c r="D1051" i="105" s="1"/>
  <c r="E1052" i="105"/>
  <c r="D1052" i="105" s="1"/>
  <c r="E1053" i="105"/>
  <c r="D1053" i="105" s="1"/>
  <c r="E1054" i="105"/>
  <c r="D1054" i="105" s="1"/>
  <c r="E1055" i="105"/>
  <c r="D1055" i="105" s="1"/>
  <c r="E1056" i="105"/>
  <c r="D1056" i="105" s="1"/>
  <c r="E1057" i="105"/>
  <c r="D1057" i="105" s="1"/>
  <c r="E1058" i="105"/>
  <c r="D1058" i="105" s="1"/>
  <c r="E1059" i="105"/>
  <c r="D1059" i="105" s="1"/>
  <c r="E1060" i="105"/>
  <c r="D1060" i="105" s="1"/>
  <c r="E1061" i="105"/>
  <c r="D1061" i="105" s="1"/>
  <c r="E1062" i="105"/>
  <c r="D1062" i="105" s="1"/>
  <c r="E1063" i="105"/>
  <c r="D1063" i="105" s="1"/>
  <c r="E1064" i="105"/>
  <c r="D1064" i="105" s="1"/>
  <c r="E1065" i="105"/>
  <c r="D1065" i="105" s="1"/>
  <c r="E1066" i="105"/>
  <c r="D1066" i="105" s="1"/>
  <c r="E1067" i="105"/>
  <c r="D1067" i="105" s="1"/>
  <c r="E1068" i="105"/>
  <c r="D1068" i="105" s="1"/>
  <c r="E1069" i="105"/>
  <c r="D1069" i="105" s="1"/>
  <c r="E1070" i="105"/>
  <c r="D1070" i="105" s="1"/>
  <c r="E1071" i="105"/>
  <c r="D1071" i="105" s="1"/>
  <c r="E1072" i="105"/>
  <c r="D1072" i="105" s="1"/>
  <c r="E1073" i="105"/>
  <c r="D1073" i="105" s="1"/>
  <c r="E1074" i="105"/>
  <c r="D1074" i="105" s="1"/>
  <c r="E1075" i="105"/>
  <c r="D1075" i="105" s="1"/>
  <c r="E1076" i="105"/>
  <c r="D1076" i="105" s="1"/>
  <c r="E1077" i="105"/>
  <c r="D1077" i="105" s="1"/>
  <c r="E1078" i="105"/>
  <c r="D1078" i="105" s="1"/>
  <c r="E1079" i="105"/>
  <c r="D1079" i="105" s="1"/>
  <c r="E1080" i="105"/>
  <c r="D1080" i="105" s="1"/>
  <c r="E1081" i="105"/>
  <c r="D1081" i="105" s="1"/>
  <c r="E1082" i="105"/>
  <c r="D1082" i="105" s="1"/>
  <c r="E1083" i="105"/>
  <c r="D1083" i="105" s="1"/>
  <c r="E1084" i="105"/>
  <c r="D1084" i="105" s="1"/>
  <c r="E1085" i="105"/>
  <c r="D1085" i="105" s="1"/>
  <c r="E1086" i="105"/>
  <c r="D1086" i="105" s="1"/>
  <c r="E1087" i="105"/>
  <c r="D1087" i="105" s="1"/>
  <c r="E1088" i="105"/>
  <c r="D1088" i="105" s="1"/>
  <c r="E1089" i="105"/>
  <c r="D1089" i="105" s="1"/>
  <c r="E1090" i="105"/>
  <c r="D1090" i="105" s="1"/>
  <c r="E1091" i="105"/>
  <c r="D1091" i="105" s="1"/>
  <c r="E1092" i="105"/>
  <c r="D1092" i="105" s="1"/>
  <c r="E1093" i="105"/>
  <c r="D1093" i="105" s="1"/>
  <c r="E1094" i="105"/>
  <c r="D1094" i="105" s="1"/>
  <c r="E1095" i="105"/>
  <c r="D1095" i="105" s="1"/>
  <c r="E1096" i="105"/>
  <c r="D1096" i="105" s="1"/>
  <c r="E1097" i="105"/>
  <c r="D1097" i="105" s="1"/>
  <c r="E1098" i="105"/>
  <c r="D1098" i="105" s="1"/>
  <c r="E1099" i="105"/>
  <c r="D1099" i="105" s="1"/>
  <c r="E1100" i="105"/>
  <c r="D1100" i="105" s="1"/>
  <c r="E1101" i="105"/>
  <c r="D1101" i="105" s="1"/>
  <c r="E1102" i="105"/>
  <c r="D1102" i="105" s="1"/>
  <c r="E1103" i="105"/>
  <c r="D1103" i="105" s="1"/>
  <c r="E1104" i="105"/>
  <c r="D1104" i="105" s="1"/>
  <c r="E1105" i="105"/>
  <c r="D1105" i="105" s="1"/>
  <c r="E1106" i="105"/>
  <c r="D1106" i="105" s="1"/>
  <c r="E1107" i="105"/>
  <c r="D1107" i="105" s="1"/>
  <c r="E1108" i="105"/>
  <c r="D1108" i="105" s="1"/>
  <c r="E1109" i="105"/>
  <c r="D1109" i="105" s="1"/>
  <c r="E1110" i="105"/>
  <c r="D1110" i="105" s="1"/>
  <c r="E1111" i="105"/>
  <c r="D1111" i="105" s="1"/>
  <c r="E1112" i="105"/>
  <c r="D1112" i="105" s="1"/>
  <c r="E1113" i="105"/>
  <c r="D1113" i="105" s="1"/>
  <c r="E1114" i="105"/>
  <c r="D1114" i="105" s="1"/>
  <c r="E1115" i="105"/>
  <c r="D1115" i="105" s="1"/>
  <c r="E1116" i="105"/>
  <c r="D1116" i="105" s="1"/>
  <c r="E1117" i="105"/>
  <c r="D1117" i="105" s="1"/>
  <c r="E1118" i="105"/>
  <c r="D1118" i="105" s="1"/>
  <c r="E1119" i="105"/>
  <c r="D1119" i="105" s="1"/>
  <c r="E1120" i="105"/>
  <c r="D1120" i="105" s="1"/>
  <c r="E1121" i="105"/>
  <c r="D1121" i="105" s="1"/>
  <c r="E1122" i="105"/>
  <c r="D1122" i="105" s="1"/>
  <c r="E1123" i="105"/>
  <c r="D1123" i="105" s="1"/>
  <c r="E1124" i="105"/>
  <c r="D1124" i="105" s="1"/>
  <c r="E1125" i="105"/>
  <c r="D1125" i="105" s="1"/>
  <c r="E1126" i="105"/>
  <c r="D1126" i="105" s="1"/>
  <c r="E1127" i="105"/>
  <c r="D1127" i="105" s="1"/>
  <c r="E1128" i="105"/>
  <c r="D1128" i="105" s="1"/>
  <c r="E1129" i="105"/>
  <c r="D1129" i="105" s="1"/>
  <c r="E1130" i="105"/>
  <c r="D1130" i="105" s="1"/>
  <c r="E1131" i="105"/>
  <c r="D1131" i="105" s="1"/>
  <c r="E1132" i="105"/>
  <c r="D1132" i="105" s="1"/>
  <c r="E1133" i="105"/>
  <c r="D1133" i="105" s="1"/>
  <c r="E1134" i="105"/>
  <c r="D1134" i="105" s="1"/>
  <c r="E1135" i="105"/>
  <c r="D1135" i="105" s="1"/>
  <c r="E1136" i="105"/>
  <c r="D1136" i="105" s="1"/>
  <c r="E1137" i="105"/>
  <c r="D1137" i="105" s="1"/>
  <c r="E1138" i="105"/>
  <c r="D1138" i="105" s="1"/>
  <c r="E1139" i="105"/>
  <c r="D1139" i="105" s="1"/>
  <c r="E1140" i="105"/>
  <c r="D1140" i="105" s="1"/>
  <c r="E1141" i="105"/>
  <c r="D1141" i="105" s="1"/>
  <c r="E1142" i="105"/>
  <c r="D1142" i="105" s="1"/>
  <c r="E1143" i="105"/>
  <c r="D1143" i="105" s="1"/>
  <c r="E1144" i="105"/>
  <c r="D1144" i="105" s="1"/>
  <c r="E1145" i="105"/>
  <c r="D1145" i="105" s="1"/>
  <c r="E1146" i="105"/>
  <c r="D1146" i="105" s="1"/>
  <c r="E1147" i="105"/>
  <c r="D1147" i="105" s="1"/>
  <c r="E1148" i="105"/>
  <c r="D1148" i="105" s="1"/>
  <c r="E1149" i="105"/>
  <c r="D1149" i="105" s="1"/>
  <c r="E1150" i="105"/>
  <c r="D1150" i="105" s="1"/>
  <c r="E1151" i="105"/>
  <c r="D1151" i="105" s="1"/>
  <c r="E1152" i="105"/>
  <c r="D1152" i="105" s="1"/>
  <c r="E1153" i="105"/>
  <c r="D1153" i="105" s="1"/>
  <c r="E1154" i="105"/>
  <c r="D1154" i="105" s="1"/>
  <c r="E1155" i="105"/>
  <c r="D1155" i="105" s="1"/>
  <c r="E1156" i="105"/>
  <c r="D1156" i="105" s="1"/>
  <c r="E1157" i="105"/>
  <c r="D1157" i="105" s="1"/>
  <c r="E1158" i="105"/>
  <c r="D1158" i="105" s="1"/>
  <c r="E1159" i="105"/>
  <c r="D1159" i="105" s="1"/>
  <c r="E1160" i="105"/>
  <c r="D1160" i="105" s="1"/>
  <c r="E1161" i="105"/>
  <c r="D1161" i="105" s="1"/>
  <c r="E1162" i="105"/>
  <c r="D1162" i="105" s="1"/>
  <c r="E1163" i="105"/>
  <c r="D1163" i="105" s="1"/>
  <c r="E1164" i="105"/>
  <c r="D1164" i="105" s="1"/>
  <c r="E1165" i="105"/>
  <c r="D1165" i="105" s="1"/>
  <c r="E1166" i="105"/>
  <c r="D1166" i="105" s="1"/>
  <c r="E1167" i="105"/>
  <c r="D1167" i="105" s="1"/>
  <c r="E1168" i="105"/>
  <c r="D1168" i="105" s="1"/>
  <c r="E1169" i="105"/>
  <c r="D1169" i="105" s="1"/>
  <c r="E1170" i="105"/>
  <c r="D1170" i="105" s="1"/>
  <c r="E1171" i="105"/>
  <c r="D1171" i="105" s="1"/>
  <c r="E1172" i="105"/>
  <c r="D1172" i="105" s="1"/>
  <c r="E1173" i="105"/>
  <c r="D1173" i="105" s="1"/>
  <c r="E1174" i="105"/>
  <c r="D1174" i="105" s="1"/>
  <c r="E1175" i="105"/>
  <c r="D1175" i="105" s="1"/>
  <c r="E1176" i="105"/>
  <c r="D1176" i="105" s="1"/>
  <c r="E1177" i="105"/>
  <c r="D1177" i="105" s="1"/>
  <c r="E1178" i="105"/>
  <c r="D1178" i="105" s="1"/>
  <c r="E1179" i="105"/>
  <c r="D1179" i="105" s="1"/>
  <c r="E1180" i="105"/>
  <c r="D1180" i="105" s="1"/>
  <c r="E1181" i="105"/>
  <c r="D1181" i="105" s="1"/>
  <c r="E1182" i="105"/>
  <c r="D1182" i="105" s="1"/>
  <c r="E1183" i="105"/>
  <c r="D1183" i="105" s="1"/>
  <c r="E1184" i="105"/>
  <c r="D1184" i="105" s="1"/>
  <c r="E1185" i="105"/>
  <c r="D1185" i="105" s="1"/>
  <c r="E1186" i="105"/>
  <c r="D1186" i="105" s="1"/>
  <c r="E1187" i="105"/>
  <c r="D1187" i="105" s="1"/>
  <c r="E1188" i="105"/>
  <c r="D1188" i="105" s="1"/>
  <c r="E1189" i="105"/>
  <c r="D1189" i="105" s="1"/>
  <c r="E1190" i="105"/>
  <c r="D1190" i="105" s="1"/>
  <c r="E1191" i="105"/>
  <c r="D1191" i="105" s="1"/>
  <c r="E1192" i="105"/>
  <c r="D1192" i="105" s="1"/>
  <c r="E1193" i="105"/>
  <c r="D1193" i="105" s="1"/>
  <c r="E1194" i="105"/>
  <c r="D1194" i="105" s="1"/>
  <c r="E1195" i="105"/>
  <c r="D1195" i="105" s="1"/>
  <c r="E1196" i="105"/>
  <c r="D1196" i="105" s="1"/>
  <c r="E1197" i="105"/>
  <c r="D1197" i="105" s="1"/>
  <c r="E1198" i="105"/>
  <c r="D1198" i="105" s="1"/>
  <c r="E1199" i="105"/>
  <c r="D1199" i="105" s="1"/>
  <c r="E1200" i="105"/>
  <c r="D1200" i="105" s="1"/>
  <c r="E1201" i="105"/>
  <c r="D1201" i="105" s="1"/>
  <c r="E1202" i="105"/>
  <c r="D1202" i="105" s="1"/>
  <c r="E1203" i="105"/>
  <c r="D1203" i="105" s="1"/>
  <c r="E1204" i="105"/>
  <c r="D1204" i="105" s="1"/>
  <c r="E1205" i="105"/>
  <c r="D1205" i="105" s="1"/>
  <c r="E1206" i="105"/>
  <c r="D1206" i="105" s="1"/>
  <c r="E1207" i="105"/>
  <c r="D1207" i="105" s="1"/>
  <c r="E1208" i="105"/>
  <c r="D1208" i="105" s="1"/>
  <c r="E1209" i="105"/>
  <c r="D1209" i="105" s="1"/>
  <c r="E1210" i="105"/>
  <c r="D1210" i="105" s="1"/>
  <c r="E1211" i="105"/>
  <c r="D1211" i="105" s="1"/>
  <c r="E1212" i="105"/>
  <c r="D1212" i="105" s="1"/>
  <c r="E1213" i="105"/>
  <c r="D1213" i="105" s="1"/>
  <c r="E1214" i="105"/>
  <c r="D1214" i="105" s="1"/>
  <c r="E1215" i="105"/>
  <c r="D1215" i="105" s="1"/>
  <c r="E1216" i="105"/>
  <c r="D1216" i="105" s="1"/>
  <c r="E1217" i="105"/>
  <c r="D1217" i="105" s="1"/>
  <c r="E1218" i="105"/>
  <c r="D1218" i="105" s="1"/>
  <c r="E1219" i="105"/>
  <c r="D1219" i="105" s="1"/>
  <c r="E1220" i="105"/>
  <c r="D1220" i="105" s="1"/>
  <c r="E1221" i="105"/>
  <c r="D1221" i="105" s="1"/>
  <c r="E1222" i="105"/>
  <c r="D1222" i="105" s="1"/>
  <c r="E1223" i="105"/>
  <c r="D1223" i="105" s="1"/>
  <c r="E1224" i="105"/>
  <c r="D1224" i="105" s="1"/>
  <c r="E1225" i="105"/>
  <c r="D1225" i="105" s="1"/>
  <c r="E1226" i="105"/>
  <c r="D1226" i="105" s="1"/>
  <c r="E1227" i="105"/>
  <c r="D1227" i="105" s="1"/>
  <c r="E1228" i="105"/>
  <c r="D1228" i="105" s="1"/>
  <c r="E1229" i="105"/>
  <c r="D1229" i="105" s="1"/>
  <c r="E1230" i="105"/>
  <c r="D1230" i="105" s="1"/>
  <c r="E1231" i="105"/>
  <c r="D1231" i="105" s="1"/>
  <c r="E1232" i="105"/>
  <c r="D1232" i="105" s="1"/>
  <c r="E1233" i="105"/>
  <c r="D1233" i="105" s="1"/>
  <c r="E1234" i="105"/>
  <c r="D1234" i="105" s="1"/>
  <c r="E1235" i="105"/>
  <c r="D1235" i="105" s="1"/>
  <c r="E1236" i="105"/>
  <c r="D1236" i="105" s="1"/>
  <c r="E1237" i="105"/>
  <c r="D1237" i="105" s="1"/>
  <c r="E1238" i="105"/>
  <c r="D1238" i="105" s="1"/>
  <c r="E1239" i="105"/>
  <c r="D1239" i="105" s="1"/>
  <c r="E1240" i="105"/>
  <c r="D1240" i="105" s="1"/>
  <c r="E1241" i="105"/>
  <c r="D1241" i="105" s="1"/>
  <c r="E1242" i="105"/>
  <c r="D1242" i="105" s="1"/>
  <c r="E1243" i="105"/>
  <c r="D1243" i="105" s="1"/>
  <c r="E1244" i="105"/>
  <c r="D1244" i="105" s="1"/>
  <c r="E1245" i="105"/>
  <c r="D1245" i="105" s="1"/>
  <c r="E1246" i="105"/>
  <c r="D1246" i="105" s="1"/>
  <c r="E1247" i="105"/>
  <c r="D1247" i="105" s="1"/>
  <c r="E1248" i="105"/>
  <c r="D1248" i="105" s="1"/>
  <c r="E1249" i="105"/>
  <c r="D1249" i="105" s="1"/>
  <c r="E1250" i="105"/>
  <c r="D1250" i="105" s="1"/>
  <c r="E1251" i="105"/>
  <c r="D1251" i="105" s="1"/>
  <c r="E1252" i="105"/>
  <c r="D1252" i="105" s="1"/>
  <c r="E1253" i="105"/>
  <c r="D1253" i="105" s="1"/>
  <c r="E1254" i="105"/>
  <c r="D1254" i="105" s="1"/>
  <c r="E1255" i="105"/>
  <c r="D1255" i="105" s="1"/>
  <c r="E1256" i="105"/>
  <c r="D1256" i="105" s="1"/>
  <c r="E1257" i="105"/>
  <c r="D1257" i="105" s="1"/>
  <c r="E1258" i="105"/>
  <c r="D1258" i="105" s="1"/>
  <c r="E1259" i="105"/>
  <c r="D1259" i="105" s="1"/>
  <c r="E1260" i="105"/>
  <c r="D1260" i="105" s="1"/>
  <c r="E1261" i="105"/>
  <c r="D1261" i="105" s="1"/>
  <c r="E1262" i="105"/>
  <c r="D1262" i="105" s="1"/>
  <c r="E1263" i="105"/>
  <c r="D1263" i="105" s="1"/>
  <c r="E1264" i="105"/>
  <c r="D1264" i="105" s="1"/>
  <c r="E1265" i="105"/>
  <c r="D1265" i="105" s="1"/>
  <c r="E1266" i="105"/>
  <c r="D1266" i="105" s="1"/>
  <c r="E1267" i="105"/>
  <c r="D1267" i="105" s="1"/>
  <c r="E1268" i="105"/>
  <c r="D1268" i="105" s="1"/>
  <c r="E1269" i="105"/>
  <c r="D1269" i="105" s="1"/>
  <c r="E1270" i="105"/>
  <c r="D1270" i="105" s="1"/>
  <c r="E1271" i="105"/>
  <c r="D1271" i="105" s="1"/>
  <c r="E1272" i="105"/>
  <c r="D1272" i="105" s="1"/>
  <c r="E1273" i="105"/>
  <c r="D1273" i="105" s="1"/>
  <c r="E1274" i="105"/>
  <c r="D1274" i="105" s="1"/>
  <c r="E1275" i="105"/>
  <c r="D1275" i="105" s="1"/>
  <c r="E1276" i="105"/>
  <c r="D1276" i="105" s="1"/>
  <c r="E1277" i="105"/>
  <c r="D1277" i="105" s="1"/>
  <c r="E1278" i="105"/>
  <c r="D1278" i="105" s="1"/>
  <c r="E1279" i="105"/>
  <c r="D1279" i="105" s="1"/>
  <c r="E1280" i="105"/>
  <c r="D1280" i="105" s="1"/>
  <c r="E1281" i="105"/>
  <c r="D1281" i="105" s="1"/>
  <c r="E1282" i="105"/>
  <c r="D1282" i="105" s="1"/>
  <c r="E1283" i="105"/>
  <c r="D1283" i="105" s="1"/>
  <c r="E1284" i="105"/>
  <c r="D1284" i="105" s="1"/>
  <c r="E1285" i="105"/>
  <c r="D1285" i="105" s="1"/>
  <c r="E1286" i="105"/>
  <c r="D1286" i="105" s="1"/>
  <c r="E1287" i="105"/>
  <c r="D1287" i="105" s="1"/>
  <c r="E1288" i="105"/>
  <c r="D1288" i="105" s="1"/>
  <c r="E1289" i="105"/>
  <c r="D1289" i="105" s="1"/>
  <c r="E1290" i="105"/>
  <c r="D1290" i="105" s="1"/>
  <c r="E1291" i="105"/>
  <c r="D1291" i="105" s="1"/>
  <c r="E1292" i="105"/>
  <c r="D1292" i="105" s="1"/>
  <c r="E1293" i="105"/>
  <c r="D1293" i="105" s="1"/>
  <c r="E1294" i="105"/>
  <c r="D1294" i="105" s="1"/>
  <c r="E1295" i="105"/>
  <c r="D1295" i="105" s="1"/>
  <c r="E1296" i="105"/>
  <c r="D1296" i="105" s="1"/>
  <c r="E1297" i="105"/>
  <c r="D1297" i="105" s="1"/>
  <c r="E1298" i="105"/>
  <c r="D1298" i="105" s="1"/>
  <c r="E1299" i="105"/>
  <c r="D1299" i="105" s="1"/>
  <c r="E1300" i="105"/>
  <c r="D1300" i="105" s="1"/>
  <c r="E1301" i="105"/>
  <c r="D1301" i="105" s="1"/>
  <c r="E1302" i="105"/>
  <c r="D1302" i="105" s="1"/>
  <c r="E1303" i="105"/>
  <c r="D1303" i="105" s="1"/>
  <c r="E1304" i="105"/>
  <c r="D1304" i="105" s="1"/>
  <c r="E1305" i="105"/>
  <c r="D1305" i="105" s="1"/>
  <c r="E1306" i="105"/>
  <c r="D1306" i="105" s="1"/>
  <c r="E1307" i="105"/>
  <c r="D1307" i="105" s="1"/>
  <c r="E1308" i="105"/>
  <c r="D1308" i="105" s="1"/>
  <c r="E1309" i="105"/>
  <c r="D1309" i="105" s="1"/>
  <c r="E1310" i="105"/>
  <c r="D1310" i="105" s="1"/>
  <c r="E1311" i="105"/>
  <c r="D1311" i="105" s="1"/>
  <c r="E1312" i="105"/>
  <c r="D1312" i="105" s="1"/>
  <c r="E1313" i="105"/>
  <c r="D1313" i="105" s="1"/>
  <c r="E1314" i="105"/>
  <c r="D1314" i="105" s="1"/>
  <c r="E1315" i="105"/>
  <c r="D1315" i="105" s="1"/>
  <c r="E1316" i="105"/>
  <c r="D1316" i="105" s="1"/>
  <c r="E1317" i="105"/>
  <c r="D1317" i="105" s="1"/>
  <c r="E1318" i="105"/>
  <c r="D1318" i="105" s="1"/>
  <c r="E1319" i="105"/>
  <c r="D1319" i="105" s="1"/>
  <c r="E1320" i="105"/>
  <c r="D1320" i="105" s="1"/>
  <c r="E1321" i="105"/>
  <c r="D1321" i="105" s="1"/>
  <c r="E1322" i="105"/>
  <c r="D1322" i="105" s="1"/>
  <c r="E1323" i="105"/>
  <c r="D1323" i="105" s="1"/>
  <c r="E1324" i="105"/>
  <c r="D1324" i="105" s="1"/>
  <c r="E1325" i="105"/>
  <c r="D1325" i="105" s="1"/>
  <c r="E1326" i="105"/>
  <c r="D1326" i="105" s="1"/>
  <c r="E1327" i="105"/>
  <c r="D1327" i="105" s="1"/>
  <c r="E1328" i="105"/>
  <c r="D1328" i="105" s="1"/>
  <c r="E1329" i="105"/>
  <c r="D1329" i="105" s="1"/>
  <c r="E1330" i="105"/>
  <c r="D1330" i="105" s="1"/>
  <c r="E1331" i="105"/>
  <c r="D1331" i="105" s="1"/>
  <c r="E1332" i="105"/>
  <c r="D1332" i="105" s="1"/>
  <c r="E1333" i="105"/>
  <c r="D1333" i="105" s="1"/>
  <c r="E1334" i="105"/>
  <c r="D1334" i="105" s="1"/>
  <c r="E1335" i="105"/>
  <c r="D1335" i="105" s="1"/>
  <c r="E1336" i="105"/>
  <c r="D1336" i="105" s="1"/>
  <c r="E1337" i="105"/>
  <c r="D1337" i="105" s="1"/>
  <c r="E1338" i="105"/>
  <c r="D1338" i="105" s="1"/>
  <c r="E1339" i="105"/>
  <c r="D1339" i="105" s="1"/>
  <c r="E1340" i="105"/>
  <c r="D1340" i="105" s="1"/>
  <c r="E1341" i="105"/>
  <c r="D1341" i="105" s="1"/>
  <c r="E1342" i="105"/>
  <c r="D1342" i="105" s="1"/>
  <c r="E1343" i="105"/>
  <c r="D1343" i="105" s="1"/>
  <c r="E1344" i="105"/>
  <c r="D1344" i="105" s="1"/>
  <c r="E1345" i="105"/>
  <c r="D1345" i="105" s="1"/>
  <c r="E1346" i="105"/>
  <c r="D1346" i="105" s="1"/>
  <c r="E1347" i="105"/>
  <c r="D1347" i="105" s="1"/>
  <c r="E1348" i="105"/>
  <c r="D1348" i="105" s="1"/>
  <c r="E1349" i="105"/>
  <c r="D1349" i="105" s="1"/>
  <c r="E1350" i="105"/>
  <c r="D1350" i="105" s="1"/>
  <c r="E1351" i="105"/>
  <c r="D1351" i="105" s="1"/>
  <c r="E1352" i="105"/>
  <c r="D1352" i="105" s="1"/>
  <c r="E1353" i="105"/>
  <c r="D1353" i="105" s="1"/>
  <c r="E1354" i="105"/>
  <c r="D1354" i="105" s="1"/>
  <c r="E1355" i="105"/>
  <c r="D1355" i="105" s="1"/>
  <c r="E1356" i="105"/>
  <c r="D1356" i="105" s="1"/>
  <c r="E1357" i="105"/>
  <c r="D1357" i="105" s="1"/>
  <c r="E1358" i="105"/>
  <c r="D1358" i="105" s="1"/>
  <c r="E1359" i="105"/>
  <c r="D1359" i="105" s="1"/>
  <c r="E1360" i="105"/>
  <c r="D1360" i="105" s="1"/>
  <c r="E1361" i="105"/>
  <c r="D1361" i="105" s="1"/>
  <c r="E1362" i="105"/>
  <c r="D1362" i="105" s="1"/>
  <c r="E1363" i="105"/>
  <c r="D1363" i="105" s="1"/>
  <c r="E1364" i="105"/>
  <c r="D1364" i="105" s="1"/>
  <c r="E1365" i="105"/>
  <c r="D1365" i="105" s="1"/>
  <c r="E1366" i="105"/>
  <c r="D1366" i="105" s="1"/>
  <c r="E1367" i="105"/>
  <c r="D1367" i="105" s="1"/>
  <c r="E1368" i="105"/>
  <c r="D1368" i="105" s="1"/>
  <c r="E1369" i="105"/>
  <c r="D1369" i="105" s="1"/>
  <c r="E1370" i="105"/>
  <c r="D1370" i="105" s="1"/>
  <c r="E1371" i="105"/>
  <c r="D1371" i="105" s="1"/>
  <c r="E1372" i="105"/>
  <c r="D1372" i="105" s="1"/>
  <c r="E1373" i="105"/>
  <c r="D1373" i="105" s="1"/>
  <c r="E1374" i="105"/>
  <c r="D1374" i="105" s="1"/>
  <c r="E1375" i="105"/>
  <c r="D1375" i="105" s="1"/>
  <c r="E1376" i="105"/>
  <c r="D1376" i="105" s="1"/>
  <c r="E1377" i="105"/>
  <c r="D1377" i="105" s="1"/>
  <c r="E1378" i="105"/>
  <c r="D1378" i="105" s="1"/>
  <c r="E1379" i="105"/>
  <c r="D1379" i="105" s="1"/>
  <c r="E1380" i="105"/>
  <c r="D1380" i="105" s="1"/>
  <c r="E1381" i="105"/>
  <c r="D1381" i="105" s="1"/>
  <c r="E1382" i="105"/>
  <c r="D1382" i="105" s="1"/>
  <c r="E1383" i="105"/>
  <c r="D1383" i="105" s="1"/>
  <c r="E1384" i="105"/>
  <c r="D1384" i="105" s="1"/>
  <c r="E1385" i="105"/>
  <c r="D1385" i="105" s="1"/>
  <c r="E1386" i="105"/>
  <c r="D1386" i="105" s="1"/>
  <c r="E1387" i="105"/>
  <c r="D1387" i="105" s="1"/>
  <c r="E1388" i="105"/>
  <c r="D1388" i="105" s="1"/>
  <c r="E1389" i="105"/>
  <c r="D1389" i="105" s="1"/>
  <c r="E1390" i="105"/>
  <c r="D1390" i="105" s="1"/>
  <c r="E1391" i="105"/>
  <c r="D1391" i="105" s="1"/>
  <c r="E1392" i="105"/>
  <c r="D1392" i="105" s="1"/>
  <c r="E1393" i="105"/>
  <c r="D1393" i="105" s="1"/>
  <c r="E1394" i="105"/>
  <c r="D1394" i="105" s="1"/>
  <c r="E1395" i="105"/>
  <c r="D1395" i="105" s="1"/>
  <c r="E1396" i="105"/>
  <c r="D1396" i="105" s="1"/>
  <c r="E1397" i="105"/>
  <c r="D1397" i="105" s="1"/>
  <c r="E1398" i="105"/>
  <c r="D1398" i="105" s="1"/>
  <c r="E1399" i="105"/>
  <c r="D1399" i="105" s="1"/>
  <c r="E1400" i="105"/>
  <c r="D1400" i="105" s="1"/>
  <c r="E1401" i="105"/>
  <c r="D1401" i="105" s="1"/>
  <c r="E1402" i="105"/>
  <c r="D1402" i="105" s="1"/>
  <c r="E1403" i="105"/>
  <c r="D1403" i="105" s="1"/>
  <c r="E1404" i="105"/>
  <c r="D1404" i="105" s="1"/>
  <c r="E1405" i="105"/>
  <c r="D1405" i="105" s="1"/>
  <c r="E1406" i="105"/>
  <c r="D1406" i="105" s="1"/>
  <c r="E1407" i="105"/>
  <c r="D1407" i="105" s="1"/>
  <c r="E1408" i="105"/>
  <c r="D1408" i="105" s="1"/>
  <c r="E1409" i="105"/>
  <c r="D1409" i="105" s="1"/>
  <c r="E1410" i="105"/>
  <c r="D1410" i="105" s="1"/>
  <c r="E1411" i="105"/>
  <c r="D1411" i="105" s="1"/>
  <c r="E1412" i="105"/>
  <c r="D1412" i="105" s="1"/>
  <c r="E1413" i="105"/>
  <c r="D1413" i="105" s="1"/>
  <c r="E1414" i="105"/>
  <c r="D1414" i="105" s="1"/>
  <c r="E1415" i="105"/>
  <c r="D1415" i="105" s="1"/>
  <c r="E1416" i="105"/>
  <c r="D1416" i="105" s="1"/>
  <c r="E1417" i="105"/>
  <c r="D1417" i="105" s="1"/>
  <c r="E1418" i="105"/>
  <c r="D1418" i="105" s="1"/>
  <c r="E1419" i="105"/>
  <c r="D1419" i="105" s="1"/>
  <c r="E1420" i="105"/>
  <c r="D1420" i="105" s="1"/>
  <c r="E1421" i="105"/>
  <c r="D1421" i="105" s="1"/>
  <c r="E1422" i="105"/>
  <c r="D1422" i="105" s="1"/>
  <c r="E1423" i="105"/>
  <c r="D1423" i="105" s="1"/>
  <c r="E1424" i="105"/>
  <c r="D1424" i="105" s="1"/>
  <c r="E1425" i="105"/>
  <c r="D1425" i="105" s="1"/>
  <c r="E1426" i="105"/>
  <c r="D1426" i="105" s="1"/>
  <c r="E1427" i="105"/>
  <c r="D1427" i="105" s="1"/>
  <c r="E1428" i="105"/>
  <c r="D1428" i="105" s="1"/>
  <c r="E1429" i="105"/>
  <c r="D1429" i="105" s="1"/>
  <c r="E1430" i="105"/>
  <c r="D1430" i="105" s="1"/>
  <c r="E1431" i="105"/>
  <c r="D1431" i="105" s="1"/>
  <c r="E1432" i="105"/>
  <c r="D1432" i="105" s="1"/>
  <c r="E1433" i="105"/>
  <c r="D1433" i="105" s="1"/>
  <c r="E1434" i="105"/>
  <c r="D1434" i="105" s="1"/>
  <c r="E1435" i="105"/>
  <c r="D1435" i="105" s="1"/>
  <c r="E1436" i="105"/>
  <c r="D1436" i="105" s="1"/>
  <c r="E1437" i="105"/>
  <c r="D1437" i="105" s="1"/>
  <c r="E1438" i="105"/>
  <c r="D1438" i="105" s="1"/>
  <c r="E1439" i="105"/>
  <c r="D1439" i="105" s="1"/>
  <c r="E1440" i="105"/>
  <c r="D1440" i="105" s="1"/>
  <c r="E1441" i="105"/>
  <c r="D1441" i="105" s="1"/>
  <c r="E1442" i="105"/>
  <c r="D1442" i="105" s="1"/>
  <c r="E1443" i="105"/>
  <c r="D1443" i="105" s="1"/>
  <c r="E1444" i="105"/>
  <c r="D1444" i="105" s="1"/>
  <c r="E1445" i="105"/>
  <c r="D1445" i="105" s="1"/>
  <c r="E1446" i="105"/>
  <c r="D1446" i="105" s="1"/>
  <c r="E1447" i="105"/>
  <c r="D1447" i="105" s="1"/>
  <c r="E1448" i="105"/>
  <c r="D1448" i="105" s="1"/>
  <c r="E1449" i="105"/>
  <c r="D1449" i="105" s="1"/>
  <c r="E1450" i="105"/>
  <c r="D1450" i="105" s="1"/>
  <c r="E1451" i="105"/>
  <c r="D1451" i="105" s="1"/>
  <c r="E1452" i="105"/>
  <c r="D1452" i="105" s="1"/>
  <c r="E1453" i="105"/>
  <c r="D1453" i="105" s="1"/>
  <c r="E1454" i="105"/>
  <c r="D1454" i="105" s="1"/>
  <c r="E1455" i="105"/>
  <c r="D1455" i="105" s="1"/>
  <c r="E1456" i="105"/>
  <c r="D1456" i="105" s="1"/>
  <c r="E1457" i="105"/>
  <c r="D1457" i="105" s="1"/>
  <c r="E1458" i="105"/>
  <c r="D1458" i="105" s="1"/>
  <c r="E1459" i="105"/>
  <c r="D1459" i="105" s="1"/>
  <c r="E1460" i="105"/>
  <c r="D1460" i="105" s="1"/>
  <c r="E1461" i="105"/>
  <c r="D1461" i="105" s="1"/>
  <c r="E1462" i="105"/>
  <c r="D1462" i="105" s="1"/>
  <c r="E1463" i="105"/>
  <c r="D1463" i="105" s="1"/>
  <c r="E1464" i="105"/>
  <c r="D1464" i="105" s="1"/>
  <c r="E1465" i="105"/>
  <c r="D1465" i="105" s="1"/>
  <c r="E1466" i="105"/>
  <c r="D1466" i="105" s="1"/>
  <c r="E1467" i="105"/>
  <c r="D1467" i="105" s="1"/>
  <c r="E1468" i="105"/>
  <c r="D1468" i="105" s="1"/>
  <c r="E1469" i="105"/>
  <c r="D1469" i="105" s="1"/>
  <c r="E1470" i="105"/>
  <c r="D1470" i="105" s="1"/>
  <c r="E1471" i="105"/>
  <c r="D1471" i="105" s="1"/>
  <c r="E1472" i="105"/>
  <c r="D1472" i="105" s="1"/>
  <c r="E1473" i="105"/>
  <c r="D1473" i="105" s="1"/>
  <c r="E1474" i="105"/>
  <c r="D1474" i="105" s="1"/>
  <c r="E1475" i="105"/>
  <c r="D1475" i="105" s="1"/>
  <c r="E1476" i="105"/>
  <c r="D1476" i="105" s="1"/>
  <c r="E1477" i="105"/>
  <c r="D1477" i="105" s="1"/>
  <c r="E1478" i="105"/>
  <c r="D1478" i="105" s="1"/>
  <c r="E1479" i="105"/>
  <c r="D1479" i="105" s="1"/>
  <c r="E1480" i="105"/>
  <c r="D1480" i="105" s="1"/>
  <c r="E1481" i="105"/>
  <c r="D1481" i="105" s="1"/>
  <c r="E1482" i="105"/>
  <c r="D1482" i="105" s="1"/>
  <c r="E1483" i="105"/>
  <c r="D1483" i="105" s="1"/>
  <c r="E1484" i="105"/>
  <c r="D1484" i="105" s="1"/>
  <c r="E1485" i="105"/>
  <c r="D1485" i="105" s="1"/>
  <c r="E1486" i="105"/>
  <c r="D1486" i="105" s="1"/>
  <c r="E1487" i="105"/>
  <c r="D1487" i="105" s="1"/>
  <c r="E1488" i="105"/>
  <c r="D1488" i="105" s="1"/>
  <c r="E1489" i="105"/>
  <c r="D1489" i="105" s="1"/>
  <c r="E1490" i="105"/>
  <c r="D1490" i="105" s="1"/>
  <c r="E1491" i="105"/>
  <c r="D1491" i="105" s="1"/>
  <c r="E1492" i="105"/>
  <c r="D1492" i="105" s="1"/>
  <c r="E1493" i="105"/>
  <c r="D1493" i="105" s="1"/>
  <c r="E1494" i="105"/>
  <c r="D1494" i="105" s="1"/>
  <c r="E1495" i="105"/>
  <c r="D1495" i="105" s="1"/>
  <c r="E1496" i="105"/>
  <c r="D1496" i="105" s="1"/>
  <c r="E1497" i="105"/>
  <c r="D1497" i="105" s="1"/>
  <c r="E1498" i="105"/>
  <c r="D1498" i="105" s="1"/>
  <c r="E1499" i="105"/>
  <c r="D1499" i="105" s="1"/>
  <c r="E1500" i="105"/>
  <c r="D1500" i="105" s="1"/>
  <c r="E1501" i="105"/>
  <c r="D1501" i="105" s="1"/>
  <c r="E1502" i="105"/>
  <c r="D1502" i="105" s="1"/>
  <c r="E1503" i="105"/>
  <c r="D1503" i="105" s="1"/>
  <c r="E1504" i="105"/>
  <c r="D1504" i="105" s="1"/>
  <c r="E1505" i="105"/>
  <c r="D1505" i="105" s="1"/>
  <c r="E1506" i="105"/>
  <c r="D1506" i="105" s="1"/>
  <c r="E1507" i="105"/>
  <c r="D1507" i="105" s="1"/>
  <c r="E1508" i="105"/>
  <c r="D1508" i="105" s="1"/>
  <c r="E1509" i="105"/>
  <c r="D1509" i="105" s="1"/>
  <c r="E1510" i="105"/>
  <c r="D1510" i="105" s="1"/>
  <c r="E1511" i="105"/>
  <c r="D1511" i="105" s="1"/>
  <c r="E1512" i="105"/>
  <c r="D1512" i="105" s="1"/>
  <c r="E1513" i="105"/>
  <c r="D1513" i="105" s="1"/>
  <c r="E1514" i="105"/>
  <c r="D1514" i="105" s="1"/>
  <c r="E1515" i="105"/>
  <c r="D1515" i="105" s="1"/>
  <c r="E1516" i="105"/>
  <c r="D1516" i="105" s="1"/>
  <c r="E1517" i="105"/>
  <c r="D1517" i="105" s="1"/>
  <c r="E1518" i="105"/>
  <c r="D1518" i="105" s="1"/>
  <c r="E1519" i="105"/>
  <c r="D1519" i="105" s="1"/>
  <c r="E1520" i="105"/>
  <c r="D1520" i="105" s="1"/>
  <c r="E1521" i="105"/>
  <c r="D1521" i="105" s="1"/>
  <c r="E1522" i="105"/>
  <c r="D1522" i="105" s="1"/>
  <c r="E1523" i="105"/>
  <c r="D1523" i="105" s="1"/>
  <c r="E1524" i="105"/>
  <c r="D1524" i="105" s="1"/>
  <c r="E1525" i="105"/>
  <c r="D1525" i="105" s="1"/>
  <c r="E1526" i="105"/>
  <c r="D1526" i="105" s="1"/>
  <c r="E1527" i="105"/>
  <c r="D1527" i="105" s="1"/>
  <c r="E1528" i="105"/>
  <c r="D1528" i="105" s="1"/>
  <c r="E1529" i="105"/>
  <c r="D1529" i="105" s="1"/>
  <c r="E1530" i="105"/>
  <c r="D1530" i="105" s="1"/>
  <c r="E1531" i="105"/>
  <c r="D1531" i="105" s="1"/>
  <c r="E1532" i="105"/>
  <c r="D1532" i="105" s="1"/>
  <c r="E1533" i="105"/>
  <c r="D1533" i="105" s="1"/>
  <c r="E1534" i="105"/>
  <c r="D1534" i="105" s="1"/>
  <c r="E1535" i="105"/>
  <c r="D1535" i="105" s="1"/>
  <c r="E1536" i="105"/>
  <c r="D1536" i="105" s="1"/>
  <c r="E1537" i="105"/>
  <c r="D1537" i="105" s="1"/>
  <c r="E1538" i="105"/>
  <c r="D1538" i="105" s="1"/>
  <c r="E1539" i="105"/>
  <c r="D1539" i="105" s="1"/>
  <c r="E1540" i="105"/>
  <c r="D1540" i="105" s="1"/>
  <c r="E1541" i="105"/>
  <c r="D1541" i="105" s="1"/>
  <c r="E1542" i="105"/>
  <c r="D1542" i="105" s="1"/>
  <c r="E1543" i="105"/>
  <c r="D1543" i="105" s="1"/>
  <c r="E1544" i="105"/>
  <c r="D1544" i="105" s="1"/>
  <c r="E1545" i="105"/>
  <c r="D1545" i="105" s="1"/>
  <c r="E1546" i="105"/>
  <c r="D1546" i="105" s="1"/>
  <c r="E1547" i="105"/>
  <c r="D1547" i="105" s="1"/>
  <c r="E1548" i="105"/>
  <c r="D1548" i="105" s="1"/>
  <c r="E1549" i="105"/>
  <c r="D1549" i="105" s="1"/>
  <c r="E1550" i="105"/>
  <c r="D1550" i="105" s="1"/>
  <c r="E1551" i="105"/>
  <c r="D1551" i="105" s="1"/>
  <c r="E1552" i="105"/>
  <c r="D1552" i="105" s="1"/>
  <c r="E1553" i="105"/>
  <c r="D1553" i="105" s="1"/>
  <c r="E1554" i="105"/>
  <c r="D1554" i="105" s="1"/>
  <c r="E1555" i="105"/>
  <c r="D1555" i="105" s="1"/>
  <c r="E1556" i="105"/>
  <c r="D1556" i="105" s="1"/>
  <c r="E1557" i="105"/>
  <c r="D1557" i="105" s="1"/>
  <c r="E1558" i="105"/>
  <c r="D1558" i="105" s="1"/>
  <c r="E1559" i="105"/>
  <c r="D1559" i="105" s="1"/>
  <c r="E1560" i="105"/>
  <c r="D1560" i="105" s="1"/>
  <c r="E1561" i="105"/>
  <c r="D1561" i="105" s="1"/>
  <c r="E1562" i="105"/>
  <c r="D1562" i="105" s="1"/>
  <c r="E1563" i="105"/>
  <c r="D1563" i="105" s="1"/>
  <c r="E1564" i="105"/>
  <c r="D1564" i="105" s="1"/>
  <c r="E1565" i="105"/>
  <c r="D1565" i="105" s="1"/>
  <c r="E1566" i="105"/>
  <c r="D1566" i="105" s="1"/>
  <c r="E1567" i="105"/>
  <c r="D1567" i="105" s="1"/>
  <c r="E1568" i="105"/>
  <c r="D1568" i="105" s="1"/>
  <c r="E1569" i="105"/>
  <c r="D1569" i="105" s="1"/>
  <c r="E1570" i="105"/>
  <c r="D1570" i="105" s="1"/>
  <c r="E1571" i="105"/>
  <c r="D1571" i="105" s="1"/>
  <c r="E1572" i="105"/>
  <c r="D1572" i="105" s="1"/>
  <c r="E1573" i="105"/>
  <c r="D1573" i="105" s="1"/>
  <c r="E1574" i="105"/>
  <c r="D1574" i="105" s="1"/>
  <c r="E1575" i="105"/>
  <c r="D1575" i="105" s="1"/>
  <c r="E1576" i="105"/>
  <c r="D1576" i="105" s="1"/>
  <c r="E1577" i="105"/>
  <c r="D1577" i="105" s="1"/>
  <c r="E1578" i="105"/>
  <c r="D1578" i="105" s="1"/>
  <c r="E1579" i="105"/>
  <c r="D1579" i="105" s="1"/>
  <c r="E1580" i="105"/>
  <c r="D1580" i="105" s="1"/>
  <c r="E1581" i="105"/>
  <c r="D1581" i="105" s="1"/>
  <c r="E1582" i="105"/>
  <c r="D1582" i="105" s="1"/>
  <c r="E1583" i="105"/>
  <c r="D1583" i="105" s="1"/>
  <c r="E1584" i="105"/>
  <c r="D1584" i="105" s="1"/>
  <c r="E1585" i="105"/>
  <c r="D1585" i="105" s="1"/>
  <c r="E1586" i="105"/>
  <c r="D1586" i="105" s="1"/>
  <c r="E1587" i="105"/>
  <c r="D1587" i="105" s="1"/>
  <c r="E1588" i="105"/>
  <c r="D1588" i="105" s="1"/>
  <c r="E1589" i="105"/>
  <c r="D1589" i="105" s="1"/>
  <c r="E1590" i="105"/>
  <c r="D1590" i="105" s="1"/>
  <c r="E1591" i="105"/>
  <c r="D1591" i="105" s="1"/>
  <c r="E1592" i="105"/>
  <c r="D1592" i="105" s="1"/>
  <c r="E1593" i="105"/>
  <c r="D1593" i="105" s="1"/>
  <c r="E1594" i="105"/>
  <c r="D1594" i="105" s="1"/>
  <c r="E1595" i="105"/>
  <c r="D1595" i="105" s="1"/>
  <c r="E1596" i="105"/>
  <c r="D1596" i="105" s="1"/>
  <c r="E1597" i="105"/>
  <c r="D1597" i="105" s="1"/>
  <c r="E1598" i="105"/>
  <c r="D1598" i="105" s="1"/>
  <c r="E1599" i="105"/>
  <c r="D1599" i="105" s="1"/>
  <c r="E1600" i="105"/>
  <c r="D1600" i="105" s="1"/>
  <c r="E1601" i="105"/>
  <c r="D1601" i="105" s="1"/>
  <c r="E1602" i="105"/>
  <c r="D1602" i="105" s="1"/>
  <c r="E1603" i="105"/>
  <c r="D1603" i="105" s="1"/>
  <c r="E1604" i="105"/>
  <c r="D1604" i="105" s="1"/>
  <c r="E1605" i="105"/>
  <c r="D1605" i="105" s="1"/>
  <c r="E1606" i="105"/>
  <c r="D1606" i="105" s="1"/>
  <c r="E1607" i="105"/>
  <c r="D1607" i="105" s="1"/>
  <c r="E1608" i="105"/>
  <c r="D1608" i="105" s="1"/>
  <c r="E1609" i="105"/>
  <c r="D1609" i="105" s="1"/>
  <c r="E1610" i="105"/>
  <c r="D1610" i="105" s="1"/>
  <c r="E1611" i="105"/>
  <c r="D1611" i="105" s="1"/>
  <c r="E1612" i="105"/>
  <c r="D1612" i="105" s="1"/>
  <c r="E1613" i="105"/>
  <c r="D1613" i="105" s="1"/>
  <c r="E1614" i="105"/>
  <c r="D1614" i="105" s="1"/>
  <c r="E1615" i="105"/>
  <c r="D1615" i="105" s="1"/>
  <c r="E1616" i="105"/>
  <c r="D1616" i="105" s="1"/>
  <c r="E1617" i="105"/>
  <c r="D1617" i="105" s="1"/>
  <c r="E1618" i="105"/>
  <c r="D1618" i="105" s="1"/>
  <c r="E1619" i="105"/>
  <c r="D1619" i="105" s="1"/>
  <c r="E1620" i="105"/>
  <c r="D1620" i="105" s="1"/>
  <c r="E1621" i="105"/>
  <c r="D1621" i="105" s="1"/>
  <c r="E1622" i="105"/>
  <c r="D1622" i="105" s="1"/>
  <c r="E1623" i="105"/>
  <c r="D1623" i="105" s="1"/>
  <c r="E1624" i="105"/>
  <c r="D1624" i="105" s="1"/>
  <c r="E1625" i="105"/>
  <c r="D1625" i="105" s="1"/>
  <c r="E1626" i="105"/>
  <c r="D1626" i="105" s="1"/>
  <c r="E1627" i="105"/>
  <c r="D1627" i="105" s="1"/>
  <c r="E1628" i="105"/>
  <c r="D1628" i="105" s="1"/>
  <c r="E1629" i="105"/>
  <c r="D1629" i="105" s="1"/>
  <c r="E1630" i="105"/>
  <c r="D1630" i="105" s="1"/>
  <c r="E1631" i="105"/>
  <c r="D1631" i="105" s="1"/>
  <c r="E1632" i="105"/>
  <c r="D1632" i="105" s="1"/>
  <c r="E1633" i="105"/>
  <c r="D1633" i="105" s="1"/>
  <c r="E1634" i="105"/>
  <c r="D1634" i="105" s="1"/>
  <c r="E1635" i="105"/>
  <c r="D1635" i="105" s="1"/>
  <c r="E1636" i="105"/>
  <c r="D1636" i="105" s="1"/>
  <c r="E1637" i="105"/>
  <c r="D1637" i="105" s="1"/>
  <c r="E1638" i="105"/>
  <c r="D1638" i="105" s="1"/>
  <c r="E1639" i="105"/>
  <c r="D1639" i="105" s="1"/>
  <c r="E1640" i="105"/>
  <c r="D1640" i="105" s="1"/>
  <c r="E1641" i="105"/>
  <c r="D1641" i="105" s="1"/>
  <c r="E1642" i="105"/>
  <c r="D1642" i="105" s="1"/>
  <c r="E1643" i="105"/>
  <c r="D1643" i="105" s="1"/>
  <c r="E1644" i="105"/>
  <c r="D1644" i="105" s="1"/>
  <c r="E1645" i="105"/>
  <c r="D1645" i="105" s="1"/>
  <c r="E1646" i="105"/>
  <c r="D1646" i="105" s="1"/>
  <c r="E1647" i="105"/>
  <c r="D1647" i="105" s="1"/>
  <c r="E1648" i="105"/>
  <c r="D1648" i="105" s="1"/>
  <c r="E1649" i="105"/>
  <c r="D1649" i="105" s="1"/>
  <c r="E1650" i="105"/>
  <c r="D1650" i="105" s="1"/>
  <c r="E1651" i="105"/>
  <c r="D1651" i="105" s="1"/>
  <c r="E1652" i="105"/>
  <c r="D1652" i="105" s="1"/>
  <c r="E1653" i="105"/>
  <c r="D1653" i="105" s="1"/>
  <c r="E1654" i="105"/>
  <c r="D1654" i="105" s="1"/>
  <c r="E1655" i="105"/>
  <c r="D1655" i="105" s="1"/>
  <c r="E1656" i="105"/>
  <c r="D1656" i="105" s="1"/>
  <c r="E1657" i="105"/>
  <c r="D1657" i="105" s="1"/>
  <c r="E1658" i="105"/>
  <c r="D1658" i="105" s="1"/>
  <c r="E1659" i="105"/>
  <c r="D1659" i="105" s="1"/>
  <c r="E1660" i="105"/>
  <c r="D1660" i="105" s="1"/>
  <c r="E1661" i="105"/>
  <c r="D1661" i="105" s="1"/>
  <c r="E1662" i="105"/>
  <c r="D1662" i="105" s="1"/>
  <c r="E1663" i="105"/>
  <c r="D1663" i="105" s="1"/>
  <c r="E1664" i="105"/>
  <c r="D1664" i="105" s="1"/>
  <c r="E1665" i="105"/>
  <c r="D1665" i="105" s="1"/>
  <c r="E1666" i="105"/>
  <c r="D1666" i="105" s="1"/>
  <c r="E1667" i="105"/>
  <c r="D1667" i="105" s="1"/>
  <c r="E1668" i="105"/>
  <c r="D1668" i="105" s="1"/>
  <c r="E1669" i="105"/>
  <c r="D1669" i="105" s="1"/>
  <c r="E1670" i="105"/>
  <c r="D1670" i="105" s="1"/>
  <c r="E1671" i="105"/>
  <c r="D1671" i="105" s="1"/>
  <c r="E1672" i="105"/>
  <c r="D1672" i="105" s="1"/>
  <c r="E1673" i="105"/>
  <c r="D1673" i="105" s="1"/>
  <c r="E1674" i="105"/>
  <c r="D1674" i="105" s="1"/>
  <c r="E1675" i="105"/>
  <c r="D1675" i="105" s="1"/>
  <c r="E1676" i="105"/>
  <c r="D1676" i="105" s="1"/>
  <c r="E1677" i="105"/>
  <c r="D1677" i="105" s="1"/>
  <c r="E1678" i="105"/>
  <c r="D1678" i="105" s="1"/>
  <c r="E1679" i="105"/>
  <c r="D1679" i="105" s="1"/>
  <c r="E1680" i="105"/>
  <c r="D1680" i="105" s="1"/>
  <c r="E1681" i="105"/>
  <c r="D1681" i="105" s="1"/>
  <c r="E1682" i="105"/>
  <c r="D1682" i="105" s="1"/>
  <c r="E1683" i="105"/>
  <c r="D1683" i="105" s="1"/>
  <c r="E1684" i="105"/>
  <c r="D1684" i="105" s="1"/>
  <c r="E1685" i="105"/>
  <c r="D1685" i="105" s="1"/>
  <c r="E1686" i="105"/>
  <c r="D1686" i="105" s="1"/>
  <c r="E1687" i="105"/>
  <c r="D1687" i="105" s="1"/>
  <c r="E1688" i="105"/>
  <c r="D1688" i="105" s="1"/>
  <c r="E1689" i="105"/>
  <c r="D1689" i="105" s="1"/>
  <c r="E1690" i="105"/>
  <c r="D1690" i="105" s="1"/>
  <c r="E1691" i="105"/>
  <c r="D1691" i="105" s="1"/>
  <c r="E1692" i="105"/>
  <c r="D1692" i="105" s="1"/>
  <c r="E1693" i="105"/>
  <c r="D1693" i="105" s="1"/>
  <c r="E1694" i="105"/>
  <c r="D1694" i="105" s="1"/>
  <c r="E1695" i="105"/>
  <c r="D1695" i="105" s="1"/>
  <c r="E1696" i="105"/>
  <c r="D1696" i="105" s="1"/>
  <c r="E1697" i="105"/>
  <c r="D1697" i="105" s="1"/>
  <c r="E1698" i="105"/>
  <c r="D1698" i="105" s="1"/>
  <c r="E1699" i="105"/>
  <c r="D1699" i="105" s="1"/>
  <c r="E1700" i="105"/>
  <c r="D1700" i="105" s="1"/>
  <c r="E1701" i="105"/>
  <c r="D1701" i="105" s="1"/>
  <c r="E1702" i="105"/>
  <c r="D1702" i="105" s="1"/>
  <c r="E1703" i="105"/>
  <c r="D1703" i="105" s="1"/>
  <c r="E1704" i="105"/>
  <c r="D1704" i="105" s="1"/>
  <c r="E1705" i="105"/>
  <c r="D1705" i="105" s="1"/>
  <c r="E1706" i="105"/>
  <c r="D1706" i="105" s="1"/>
  <c r="E1707" i="105"/>
  <c r="D1707" i="105" s="1"/>
  <c r="E1708" i="105"/>
  <c r="D1708" i="105" s="1"/>
  <c r="E1709" i="105"/>
  <c r="D1709" i="105" s="1"/>
  <c r="E1710" i="105"/>
  <c r="D1710" i="105" s="1"/>
  <c r="E1711" i="105"/>
  <c r="D1711" i="105" s="1"/>
  <c r="E1712" i="105"/>
  <c r="D1712" i="105" s="1"/>
  <c r="E1713" i="105"/>
  <c r="D1713" i="105" s="1"/>
  <c r="E1714" i="105"/>
  <c r="D1714" i="105" s="1"/>
  <c r="E1715" i="105"/>
  <c r="D1715" i="105" s="1"/>
  <c r="E1716" i="105"/>
  <c r="D1716" i="105" s="1"/>
  <c r="E1717" i="105"/>
  <c r="D1717" i="105" s="1"/>
  <c r="E1718" i="105"/>
  <c r="D1718" i="105" s="1"/>
  <c r="E1719" i="105"/>
  <c r="D1719" i="105" s="1"/>
  <c r="E1720" i="105"/>
  <c r="D1720" i="105" s="1"/>
  <c r="E1721" i="105"/>
  <c r="D1721" i="105" s="1"/>
  <c r="E1722" i="105"/>
  <c r="D1722" i="105" s="1"/>
  <c r="E1723" i="105"/>
  <c r="D1723" i="105" s="1"/>
  <c r="E1724" i="105"/>
  <c r="D1724" i="105" s="1"/>
  <c r="E1725" i="105"/>
  <c r="D1725" i="105" s="1"/>
  <c r="E1726" i="105"/>
  <c r="D1726" i="105" s="1"/>
  <c r="E1727" i="105"/>
  <c r="D1727" i="105" s="1"/>
  <c r="E1728" i="105"/>
  <c r="D1728" i="105" s="1"/>
  <c r="E1729" i="105"/>
  <c r="D1729" i="105" s="1"/>
  <c r="E1730" i="105"/>
  <c r="D1730" i="105" s="1"/>
  <c r="E1731" i="105"/>
  <c r="D1731" i="105" s="1"/>
  <c r="E1732" i="105"/>
  <c r="D1732" i="105" s="1"/>
  <c r="E1733" i="105"/>
  <c r="D1733" i="105" s="1"/>
  <c r="E1734" i="105"/>
  <c r="D1734" i="105" s="1"/>
  <c r="E1735" i="105"/>
  <c r="D1735" i="105" s="1"/>
  <c r="E1736" i="105"/>
  <c r="D1736" i="105" s="1"/>
  <c r="E1737" i="105"/>
  <c r="D1737" i="105" s="1"/>
  <c r="E1738" i="105"/>
  <c r="D1738" i="105" s="1"/>
  <c r="E1739" i="105"/>
  <c r="D1739" i="105" s="1"/>
  <c r="E1740" i="105"/>
  <c r="D1740" i="105" s="1"/>
  <c r="E1741" i="105"/>
  <c r="D1741" i="105" s="1"/>
  <c r="E1742" i="105"/>
  <c r="D1742" i="105" s="1"/>
  <c r="E1743" i="105"/>
  <c r="D1743" i="105" s="1"/>
  <c r="E1744" i="105"/>
  <c r="D1744" i="105" s="1"/>
  <c r="E1745" i="105"/>
  <c r="D1745" i="105" s="1"/>
  <c r="E1746" i="105"/>
  <c r="D1746" i="105" s="1"/>
  <c r="E1747" i="105"/>
  <c r="D1747" i="105" s="1"/>
  <c r="E1748" i="105"/>
  <c r="D1748" i="105" s="1"/>
  <c r="E1749" i="105"/>
  <c r="D1749" i="105" s="1"/>
  <c r="E1750" i="105"/>
  <c r="D1750" i="105" s="1"/>
  <c r="E1751" i="105"/>
  <c r="D1751" i="105" s="1"/>
  <c r="E1752" i="105"/>
  <c r="D1752" i="105" s="1"/>
  <c r="E1753" i="105"/>
  <c r="D1753" i="105" s="1"/>
  <c r="E1754" i="105"/>
  <c r="D1754" i="105" s="1"/>
  <c r="E1755" i="105"/>
  <c r="D1755" i="105" s="1"/>
  <c r="E1756" i="105"/>
  <c r="D1756" i="105" s="1"/>
  <c r="E1757" i="105"/>
  <c r="D1757" i="105" s="1"/>
  <c r="E1758" i="105"/>
  <c r="D1758" i="105" s="1"/>
  <c r="E1759" i="105"/>
  <c r="D1759" i="105" s="1"/>
  <c r="E1760" i="105"/>
  <c r="D1760" i="105" s="1"/>
  <c r="E1761" i="105"/>
  <c r="D1761" i="105" s="1"/>
  <c r="E1762" i="105"/>
  <c r="D1762" i="105" s="1"/>
  <c r="E1763" i="105"/>
  <c r="D1763" i="105" s="1"/>
  <c r="E1764" i="105"/>
  <c r="D1764" i="105" s="1"/>
  <c r="E1765" i="105"/>
  <c r="D1765" i="105" s="1"/>
  <c r="E1766" i="105"/>
  <c r="D1766" i="105" s="1"/>
  <c r="E1767" i="105"/>
  <c r="D1767" i="105" s="1"/>
  <c r="E1768" i="105"/>
  <c r="D1768" i="105" s="1"/>
  <c r="E1769" i="105"/>
  <c r="D1769" i="105" s="1"/>
  <c r="E1770" i="105"/>
  <c r="D1770" i="105" s="1"/>
  <c r="E1771" i="105"/>
  <c r="D1771" i="105" s="1"/>
  <c r="E1772" i="105"/>
  <c r="D1772" i="105" s="1"/>
  <c r="E1773" i="105"/>
  <c r="D1773" i="105" s="1"/>
  <c r="E1774" i="105"/>
  <c r="D1774" i="105" s="1"/>
  <c r="E1775" i="105"/>
  <c r="D1775" i="105" s="1"/>
  <c r="E1776" i="105"/>
  <c r="D1776" i="105" s="1"/>
  <c r="E1777" i="105"/>
  <c r="D1777" i="105" s="1"/>
  <c r="E1778" i="105"/>
  <c r="D1778" i="105" s="1"/>
  <c r="E1779" i="105"/>
  <c r="D1779" i="105" s="1"/>
  <c r="E1780" i="105"/>
  <c r="D1780" i="105" s="1"/>
  <c r="E1781" i="105"/>
  <c r="D1781" i="105" s="1"/>
  <c r="E1782" i="105"/>
  <c r="D1782" i="105" s="1"/>
  <c r="E1783" i="105"/>
  <c r="D1783" i="105" s="1"/>
  <c r="E1784" i="105"/>
  <c r="D1784" i="105" s="1"/>
  <c r="E1785" i="105"/>
  <c r="D1785" i="105" s="1"/>
  <c r="E1786" i="105"/>
  <c r="D1786" i="105" s="1"/>
  <c r="E1787" i="105"/>
  <c r="D1787" i="105" s="1"/>
  <c r="E1788" i="105"/>
  <c r="D1788" i="105" s="1"/>
  <c r="E1789" i="105"/>
  <c r="D1789" i="105" s="1"/>
  <c r="E1790" i="105"/>
  <c r="D1790" i="105" s="1"/>
  <c r="E1791" i="105"/>
  <c r="D1791" i="105" s="1"/>
  <c r="E1792" i="105"/>
  <c r="D1792" i="105" s="1"/>
  <c r="E1793" i="105"/>
  <c r="D1793" i="105" s="1"/>
  <c r="E1794" i="105"/>
  <c r="D1794" i="105" s="1"/>
  <c r="E1795" i="105"/>
  <c r="D1795" i="105" s="1"/>
  <c r="E1796" i="105"/>
  <c r="D1796" i="105" s="1"/>
  <c r="E1797" i="105"/>
  <c r="D1797" i="105" s="1"/>
  <c r="E1798" i="105"/>
  <c r="D1798" i="105" s="1"/>
  <c r="E1799" i="105"/>
  <c r="D1799" i="105" s="1"/>
  <c r="E1800" i="105"/>
  <c r="D1800" i="105" s="1"/>
  <c r="E1801" i="105"/>
  <c r="D1801" i="105" s="1"/>
  <c r="E1802" i="105"/>
  <c r="D1802" i="105" s="1"/>
  <c r="E1803" i="105"/>
  <c r="D1803" i="105" s="1"/>
  <c r="E1804" i="105"/>
  <c r="D1804" i="105" s="1"/>
  <c r="E1805" i="105"/>
  <c r="D1805" i="105" s="1"/>
  <c r="E1806" i="105"/>
  <c r="D1806" i="105" s="1"/>
  <c r="E1807" i="105"/>
  <c r="D1807" i="105" s="1"/>
  <c r="E1808" i="105"/>
  <c r="D1808" i="105" s="1"/>
  <c r="E1809" i="105"/>
  <c r="D1809" i="105" s="1"/>
  <c r="E1810" i="105"/>
  <c r="D1810" i="105" s="1"/>
  <c r="E1811" i="105"/>
  <c r="D1811" i="105" s="1"/>
  <c r="E1812" i="105"/>
  <c r="D1812" i="105" s="1"/>
  <c r="E1813" i="105"/>
  <c r="D1813" i="105" s="1"/>
  <c r="E1814" i="105"/>
  <c r="D1814" i="105" s="1"/>
  <c r="E1815" i="105"/>
  <c r="D1815" i="105" s="1"/>
  <c r="E1816" i="105"/>
  <c r="D1816" i="105" s="1"/>
  <c r="E1817" i="105"/>
  <c r="D1817" i="105" s="1"/>
  <c r="E1818" i="105"/>
  <c r="D1818" i="105" s="1"/>
  <c r="E1819" i="105"/>
  <c r="D1819" i="105" s="1"/>
  <c r="E1820" i="105"/>
  <c r="D1820" i="105" s="1"/>
  <c r="E1821" i="105"/>
  <c r="D1821" i="105" s="1"/>
  <c r="E1822" i="105"/>
  <c r="D1822" i="105" s="1"/>
  <c r="E1823" i="105"/>
  <c r="D1823" i="105" s="1"/>
  <c r="E1824" i="105"/>
  <c r="D1824" i="105" s="1"/>
  <c r="E1825" i="105"/>
  <c r="D1825" i="105" s="1"/>
  <c r="E1826" i="105"/>
  <c r="D1826" i="105" s="1"/>
  <c r="E1827" i="105"/>
  <c r="D1827" i="105" s="1"/>
  <c r="E1828" i="105"/>
  <c r="D1828" i="105" s="1"/>
  <c r="E1829" i="105"/>
  <c r="D1829" i="105" s="1"/>
  <c r="E1830" i="105"/>
  <c r="D1830" i="105" s="1"/>
  <c r="E1831" i="105"/>
  <c r="D1831" i="105" s="1"/>
  <c r="E1832" i="105"/>
  <c r="D1832" i="105" s="1"/>
  <c r="E1833" i="105"/>
  <c r="D1833" i="105" s="1"/>
  <c r="E1834" i="105"/>
  <c r="D1834" i="105" s="1"/>
  <c r="E1835" i="105"/>
  <c r="D1835" i="105" s="1"/>
  <c r="E1836" i="105"/>
  <c r="D1836" i="105" s="1"/>
  <c r="E1837" i="105"/>
  <c r="D1837" i="105" s="1"/>
  <c r="E1838" i="105"/>
  <c r="D1838" i="105" s="1"/>
  <c r="E1839" i="105"/>
  <c r="D1839" i="105" s="1"/>
  <c r="E1840" i="105"/>
  <c r="D1840" i="105" s="1"/>
  <c r="E1841" i="105"/>
  <c r="D1841" i="105" s="1"/>
  <c r="E1842" i="105"/>
  <c r="D1842" i="105" s="1"/>
  <c r="E1843" i="105"/>
  <c r="D1843" i="105" s="1"/>
  <c r="E1844" i="105"/>
  <c r="D1844" i="105" s="1"/>
  <c r="E1845" i="105"/>
  <c r="D1845" i="105" s="1"/>
  <c r="E1846" i="105"/>
  <c r="D1846" i="105" s="1"/>
  <c r="E1847" i="105"/>
  <c r="D1847" i="105" s="1"/>
  <c r="E1848" i="105"/>
  <c r="D1848" i="105" s="1"/>
  <c r="E1849" i="105"/>
  <c r="D1849" i="105" s="1"/>
  <c r="E1850" i="105"/>
  <c r="D1850" i="105" s="1"/>
  <c r="E1851" i="105"/>
  <c r="D1851" i="105" s="1"/>
  <c r="E1852" i="105"/>
  <c r="D1852" i="105" s="1"/>
  <c r="E1853" i="105"/>
  <c r="D1853" i="105" s="1"/>
  <c r="E1854" i="105"/>
  <c r="D1854" i="105" s="1"/>
  <c r="E1855" i="105"/>
  <c r="D1855" i="105" s="1"/>
  <c r="E1856" i="105"/>
  <c r="D1856" i="105" s="1"/>
  <c r="E1857" i="105"/>
  <c r="D1857" i="105" s="1"/>
  <c r="E1858" i="105"/>
  <c r="D1858" i="105" s="1"/>
  <c r="E1859" i="105"/>
  <c r="D1859" i="105" s="1"/>
  <c r="E1860" i="105"/>
  <c r="D1860" i="105" s="1"/>
  <c r="E1861" i="105"/>
  <c r="D1861" i="105" s="1"/>
  <c r="E1862" i="105"/>
  <c r="D1862" i="105" s="1"/>
  <c r="E1863" i="105"/>
  <c r="D1863" i="105" s="1"/>
  <c r="E1864" i="105"/>
  <c r="D1864" i="105" s="1"/>
  <c r="E1865" i="105"/>
  <c r="D1865" i="105" s="1"/>
  <c r="E1866" i="105"/>
  <c r="D1866" i="105" s="1"/>
  <c r="E1867" i="105"/>
  <c r="D1867" i="105" s="1"/>
  <c r="E1868" i="105"/>
  <c r="D1868" i="105" s="1"/>
  <c r="E1869" i="105"/>
  <c r="D1869" i="105" s="1"/>
  <c r="E1870" i="105"/>
  <c r="D1870" i="105" s="1"/>
  <c r="E1871" i="105"/>
  <c r="D1871" i="105" s="1"/>
  <c r="E1872" i="105"/>
  <c r="D1872" i="105" s="1"/>
  <c r="E1873" i="105"/>
  <c r="D1873" i="105" s="1"/>
  <c r="E1874" i="105"/>
  <c r="D1874" i="105" s="1"/>
  <c r="E1875" i="105"/>
  <c r="D1875" i="105" s="1"/>
  <c r="E1876" i="105"/>
  <c r="D1876" i="105" s="1"/>
  <c r="E1877" i="105"/>
  <c r="D1877" i="105" s="1"/>
  <c r="E1878" i="105"/>
  <c r="D1878" i="105" s="1"/>
  <c r="E1879" i="105"/>
  <c r="D1879" i="105" s="1"/>
  <c r="E1880" i="105"/>
  <c r="D1880" i="105" s="1"/>
  <c r="E1881" i="105"/>
  <c r="D1881" i="105" s="1"/>
  <c r="E1882" i="105"/>
  <c r="D1882" i="105" s="1"/>
  <c r="E1883" i="105"/>
  <c r="D1883" i="105" s="1"/>
  <c r="E1884" i="105"/>
  <c r="D1884" i="105" s="1"/>
  <c r="E1885" i="105"/>
  <c r="D1885" i="105" s="1"/>
  <c r="E1886" i="105"/>
  <c r="D1886" i="105" s="1"/>
  <c r="E1887" i="105"/>
  <c r="D1887" i="105" s="1"/>
  <c r="E1888" i="105"/>
  <c r="D1888" i="105" s="1"/>
  <c r="E1889" i="105"/>
  <c r="D1889" i="105" s="1"/>
  <c r="E1890" i="105"/>
  <c r="D1890" i="105" s="1"/>
  <c r="E1891" i="105"/>
  <c r="D1891" i="105" s="1"/>
  <c r="E1892" i="105"/>
  <c r="D1892" i="105" s="1"/>
  <c r="E1893" i="105"/>
  <c r="D1893" i="105" s="1"/>
  <c r="E1894" i="105"/>
  <c r="D1894" i="105" s="1"/>
  <c r="E1895" i="105"/>
  <c r="D1895" i="105" s="1"/>
  <c r="E1896" i="105"/>
  <c r="D1896" i="105" s="1"/>
  <c r="E1897" i="105"/>
  <c r="D1897" i="105" s="1"/>
  <c r="E1898" i="105"/>
  <c r="D1898" i="105" s="1"/>
  <c r="E1899" i="105"/>
  <c r="D1899" i="105" s="1"/>
  <c r="E1900" i="105"/>
  <c r="D1900" i="105" s="1"/>
  <c r="E1901" i="105"/>
  <c r="D1901" i="105" s="1"/>
  <c r="E1902" i="105"/>
  <c r="D1902" i="105" s="1"/>
  <c r="E1903" i="105"/>
  <c r="D1903" i="105" s="1"/>
  <c r="E1904" i="105"/>
  <c r="D1904" i="105" s="1"/>
  <c r="E1905" i="105"/>
  <c r="D1905" i="105" s="1"/>
  <c r="E1906" i="105"/>
  <c r="D1906" i="105" s="1"/>
  <c r="E1907" i="105"/>
  <c r="D1907" i="105" s="1"/>
  <c r="E1908" i="105"/>
  <c r="D1908" i="105" s="1"/>
  <c r="E1909" i="105"/>
  <c r="D1909" i="105" s="1"/>
  <c r="E1910" i="105"/>
  <c r="D1910" i="105" s="1"/>
  <c r="E1911" i="105"/>
  <c r="D1911" i="105" s="1"/>
  <c r="E1912" i="105"/>
  <c r="D1912" i="105" s="1"/>
  <c r="E1913" i="105"/>
  <c r="D1913" i="105" s="1"/>
  <c r="E1914" i="105"/>
  <c r="D1914" i="105" s="1"/>
  <c r="E1915" i="105"/>
  <c r="D1915" i="105" s="1"/>
  <c r="E1916" i="105"/>
  <c r="D1916" i="105" s="1"/>
  <c r="E1917" i="105"/>
  <c r="D1917" i="105" s="1"/>
  <c r="E1918" i="105"/>
  <c r="D1918" i="105" s="1"/>
  <c r="E1919" i="105"/>
  <c r="D1919" i="105" s="1"/>
  <c r="E1920" i="105"/>
  <c r="D1920" i="105" s="1"/>
  <c r="E1921" i="105"/>
  <c r="D1921" i="105" s="1"/>
  <c r="E1922" i="105"/>
  <c r="D1922" i="105" s="1"/>
  <c r="E1923" i="105"/>
  <c r="D1923" i="105" s="1"/>
  <c r="E1924" i="105"/>
  <c r="D1924" i="105" s="1"/>
  <c r="E1925" i="105"/>
  <c r="D1925" i="105" s="1"/>
  <c r="E1926" i="105"/>
  <c r="D1926" i="105" s="1"/>
  <c r="E1927" i="105"/>
  <c r="D1927" i="105" s="1"/>
  <c r="E1928" i="105"/>
  <c r="D1928" i="105" s="1"/>
  <c r="E1929" i="105"/>
  <c r="D1929" i="105" s="1"/>
  <c r="E1930" i="105"/>
  <c r="D1930" i="105" s="1"/>
  <c r="E1931" i="105"/>
  <c r="D1931" i="105" s="1"/>
  <c r="E1932" i="105"/>
  <c r="D1932" i="105" s="1"/>
  <c r="E1933" i="105"/>
  <c r="D1933" i="105" s="1"/>
  <c r="E1934" i="105"/>
  <c r="D1934" i="105" s="1"/>
  <c r="E1935" i="105"/>
  <c r="D1935" i="105" s="1"/>
  <c r="E1936" i="105"/>
  <c r="D1936" i="105" s="1"/>
  <c r="E1937" i="105"/>
  <c r="D1937" i="105" s="1"/>
  <c r="E1938" i="105"/>
  <c r="D1938" i="105" s="1"/>
  <c r="E1939" i="105"/>
  <c r="D1939" i="105" s="1"/>
  <c r="E1940" i="105"/>
  <c r="D1940" i="105" s="1"/>
  <c r="E1941" i="105"/>
  <c r="D1941" i="105" s="1"/>
  <c r="E1942" i="105"/>
  <c r="D1942" i="105" s="1"/>
  <c r="E1943" i="105"/>
  <c r="D1943" i="105" s="1"/>
  <c r="E1944" i="105"/>
  <c r="D1944" i="105" s="1"/>
  <c r="E1945" i="105"/>
  <c r="D1945" i="105" s="1"/>
  <c r="E1946" i="105"/>
  <c r="D1946" i="105" s="1"/>
  <c r="E1947" i="105"/>
  <c r="D1947" i="105" s="1"/>
  <c r="E1948" i="105"/>
  <c r="D1948" i="105" s="1"/>
  <c r="E1949" i="105"/>
  <c r="D1949" i="105" s="1"/>
  <c r="E1950" i="105"/>
  <c r="D1950" i="105" s="1"/>
  <c r="E1951" i="105"/>
  <c r="D1951" i="105" s="1"/>
  <c r="E1952" i="105"/>
  <c r="D1952" i="105" s="1"/>
  <c r="E1953" i="105"/>
  <c r="D1953" i="105" s="1"/>
  <c r="E1954" i="105"/>
  <c r="D1954" i="105" s="1"/>
  <c r="E1955" i="105"/>
  <c r="D1955" i="105" s="1"/>
  <c r="E1956" i="105"/>
  <c r="D1956" i="105" s="1"/>
  <c r="E1957" i="105"/>
  <c r="D1957" i="105" s="1"/>
  <c r="E1958" i="105"/>
  <c r="D1958" i="105" s="1"/>
  <c r="E1959" i="105"/>
  <c r="D1959" i="105" s="1"/>
  <c r="E1960" i="105"/>
  <c r="D1960" i="105" s="1"/>
  <c r="E1961" i="105"/>
  <c r="D1961" i="105" s="1"/>
  <c r="E1962" i="105"/>
  <c r="D1962" i="105" s="1"/>
  <c r="E1963" i="105"/>
  <c r="D1963" i="105" s="1"/>
  <c r="E1964" i="105"/>
  <c r="D1964" i="105" s="1"/>
  <c r="E1965" i="105"/>
  <c r="D1965" i="105" s="1"/>
  <c r="E1966" i="105"/>
  <c r="D1966" i="105" s="1"/>
  <c r="E1967" i="105"/>
  <c r="D1967" i="105" s="1"/>
  <c r="E1968" i="105"/>
  <c r="D1968" i="105" s="1"/>
  <c r="E1969" i="105"/>
  <c r="D1969" i="105" s="1"/>
  <c r="E1970" i="105"/>
  <c r="D1970" i="105" s="1"/>
  <c r="E1971" i="105"/>
  <c r="D1971" i="105" s="1"/>
  <c r="E1972" i="105"/>
  <c r="D1972" i="105" s="1"/>
  <c r="E1973" i="105"/>
  <c r="D1973" i="105" s="1"/>
  <c r="E1974" i="105"/>
  <c r="D1974" i="105" s="1"/>
  <c r="E1975" i="105"/>
  <c r="D1975" i="105" s="1"/>
  <c r="E1976" i="105"/>
  <c r="D1976" i="105" s="1"/>
  <c r="E1977" i="105"/>
  <c r="D1977" i="105" s="1"/>
  <c r="E1978" i="105"/>
  <c r="D1978" i="105" s="1"/>
  <c r="E1979" i="105"/>
  <c r="D1979" i="105" s="1"/>
  <c r="E1980" i="105"/>
  <c r="D1980" i="105" s="1"/>
  <c r="E1981" i="105"/>
  <c r="D1981" i="105" s="1"/>
  <c r="E1982" i="105"/>
  <c r="D1982" i="105" s="1"/>
  <c r="E1983" i="105"/>
  <c r="D1983" i="105" s="1"/>
  <c r="E1984" i="105"/>
  <c r="D1984" i="105" s="1"/>
  <c r="E1985" i="105"/>
  <c r="D1985" i="105" s="1"/>
  <c r="E1986" i="105"/>
  <c r="D1986" i="105" s="1"/>
  <c r="E1987" i="105"/>
  <c r="D1987" i="105" s="1"/>
  <c r="E1988" i="105"/>
  <c r="D1988" i="105" s="1"/>
  <c r="E1989" i="105"/>
  <c r="D1989" i="105" s="1"/>
  <c r="E1990" i="105"/>
  <c r="D1990" i="105" s="1"/>
  <c r="E1991" i="105"/>
  <c r="D1991" i="105" s="1"/>
  <c r="E1992" i="105"/>
  <c r="D1992" i="105" s="1"/>
  <c r="E1993" i="105"/>
  <c r="D1993" i="105" s="1"/>
  <c r="E1994" i="105"/>
  <c r="D1994" i="105" s="1"/>
  <c r="E1995" i="105"/>
  <c r="D1995" i="105" s="1"/>
  <c r="E1996" i="105"/>
  <c r="D1996" i="105" s="1"/>
  <c r="E1997" i="105"/>
  <c r="D1997" i="105" s="1"/>
  <c r="E1998" i="105"/>
  <c r="D1998" i="105" s="1"/>
  <c r="E1999" i="105"/>
  <c r="D1999" i="105" s="1"/>
  <c r="E2000" i="105"/>
  <c r="D2000" i="105" s="1"/>
  <c r="E2001" i="105"/>
  <c r="D2001" i="105" s="1"/>
  <c r="E2002" i="105"/>
  <c r="D2002" i="105" s="1"/>
  <c r="E2003" i="105"/>
  <c r="D2003" i="105" s="1"/>
  <c r="E2004" i="105"/>
  <c r="D2004" i="105" s="1"/>
  <c r="E2005" i="105"/>
  <c r="D2005" i="105" s="1"/>
  <c r="E2006" i="105"/>
  <c r="D2006" i="105" s="1"/>
  <c r="E2007" i="105"/>
  <c r="D2007" i="105" s="1"/>
  <c r="E2008" i="105"/>
  <c r="D2008" i="105" s="1"/>
  <c r="E2009" i="105"/>
  <c r="D2009" i="105" s="1"/>
  <c r="E2010" i="105"/>
  <c r="D2010" i="105" s="1"/>
  <c r="E2011" i="105"/>
  <c r="D2011" i="105" s="1"/>
  <c r="E2012" i="105"/>
  <c r="D2012" i="105" s="1"/>
  <c r="E2013" i="105"/>
  <c r="D2013" i="105" s="1"/>
  <c r="E2014" i="105"/>
  <c r="D2014" i="105" s="1"/>
  <c r="E2015" i="105"/>
  <c r="D2015" i="105" s="1"/>
  <c r="E2016" i="105"/>
  <c r="D2016" i="105" s="1"/>
  <c r="E2017" i="105"/>
  <c r="D2017" i="105" s="1"/>
  <c r="E2018" i="105"/>
  <c r="D2018" i="105" s="1"/>
  <c r="E2019" i="105"/>
  <c r="D2019" i="105" s="1"/>
  <c r="E2020" i="105"/>
  <c r="D2020" i="105" s="1"/>
  <c r="E2021" i="105"/>
  <c r="D2021" i="105" s="1"/>
  <c r="E2022" i="105"/>
  <c r="D2022" i="105" s="1"/>
  <c r="E2023" i="105"/>
  <c r="D2023" i="105" s="1"/>
  <c r="E2024" i="105"/>
  <c r="D2024" i="105" s="1"/>
  <c r="E2025" i="105"/>
  <c r="D2025" i="105" s="1"/>
  <c r="E2026" i="105"/>
  <c r="D2026" i="105" s="1"/>
  <c r="E2027" i="105"/>
  <c r="D2027" i="105" s="1"/>
  <c r="E2028" i="105"/>
  <c r="D2028" i="105" s="1"/>
  <c r="E2029" i="105"/>
  <c r="D2029" i="105" s="1"/>
  <c r="E2030" i="105"/>
  <c r="D2030" i="105" s="1"/>
  <c r="E2031" i="105"/>
  <c r="D2031" i="105" s="1"/>
  <c r="E2032" i="105"/>
  <c r="D2032" i="105" s="1"/>
  <c r="E2033" i="105"/>
  <c r="D2033" i="105" s="1"/>
  <c r="E2034" i="105"/>
  <c r="D2034" i="105" s="1"/>
  <c r="E2035" i="105"/>
  <c r="D2035" i="105" s="1"/>
  <c r="E2036" i="105"/>
  <c r="D2036" i="105" s="1"/>
  <c r="E2037" i="105"/>
  <c r="D2037" i="105" s="1"/>
  <c r="E2038" i="105"/>
  <c r="D2038" i="105" s="1"/>
  <c r="E2039" i="105"/>
  <c r="D2039" i="105" s="1"/>
  <c r="E2040" i="105"/>
  <c r="D2040" i="105" s="1"/>
  <c r="E2041" i="105"/>
  <c r="D2041" i="105" s="1"/>
  <c r="E2042" i="105"/>
  <c r="D2042" i="105" s="1"/>
  <c r="E2043" i="105"/>
  <c r="D2043" i="105" s="1"/>
  <c r="E2044" i="105"/>
  <c r="D2044" i="105" s="1"/>
  <c r="E2045" i="105"/>
  <c r="D2045" i="105" s="1"/>
  <c r="E2046" i="105"/>
  <c r="D2046" i="105" s="1"/>
  <c r="E2047" i="105"/>
  <c r="D2047" i="105" s="1"/>
  <c r="E2048" i="105"/>
  <c r="D2048" i="105" s="1"/>
  <c r="E2049" i="105"/>
  <c r="D2049" i="105" s="1"/>
  <c r="E2050" i="105"/>
  <c r="D2050" i="105" s="1"/>
  <c r="E2051" i="105"/>
  <c r="D2051" i="105" s="1"/>
  <c r="E2052" i="105"/>
  <c r="D2052" i="105" s="1"/>
  <c r="E2053" i="105"/>
  <c r="D2053" i="105" s="1"/>
  <c r="E2054" i="105"/>
  <c r="D2054" i="105" s="1"/>
  <c r="E2055" i="105"/>
  <c r="D2055" i="105" s="1"/>
  <c r="E2056" i="105"/>
  <c r="D2056" i="105" s="1"/>
  <c r="E2057" i="105"/>
  <c r="D2057" i="105" s="1"/>
  <c r="E2058" i="105"/>
  <c r="D2058" i="105" s="1"/>
  <c r="E2059" i="105"/>
  <c r="D2059" i="105" s="1"/>
  <c r="E2060" i="105"/>
  <c r="D2060" i="105" s="1"/>
  <c r="E2061" i="105"/>
  <c r="D2061" i="105" s="1"/>
  <c r="E2062" i="105"/>
  <c r="D2062" i="105" s="1"/>
  <c r="E2063" i="105"/>
  <c r="D2063" i="105" s="1"/>
  <c r="E2064" i="105"/>
  <c r="D2064" i="105" s="1"/>
  <c r="E2065" i="105"/>
  <c r="D2065" i="105" s="1"/>
  <c r="E2066" i="105"/>
  <c r="D2066" i="105" s="1"/>
  <c r="E2067" i="105"/>
  <c r="D2067" i="105" s="1"/>
  <c r="E2068" i="105"/>
  <c r="D2068" i="105" s="1"/>
  <c r="E2069" i="105"/>
  <c r="D2069" i="105" s="1"/>
  <c r="E2070" i="105"/>
  <c r="D2070" i="105" s="1"/>
  <c r="E2071" i="105"/>
  <c r="D2071" i="105" s="1"/>
  <c r="E2072" i="105"/>
  <c r="D2072" i="105" s="1"/>
  <c r="E2073" i="105"/>
  <c r="D2073" i="105" s="1"/>
  <c r="E2074" i="105"/>
  <c r="D2074" i="105" s="1"/>
  <c r="E2075" i="105"/>
  <c r="D2075" i="105" s="1"/>
  <c r="E2076" i="105"/>
  <c r="D2076" i="105" s="1"/>
  <c r="E2077" i="105"/>
  <c r="D2077" i="105" s="1"/>
  <c r="E2078" i="105"/>
  <c r="D2078" i="105" s="1"/>
  <c r="E2079" i="105"/>
  <c r="D2079" i="105" s="1"/>
  <c r="E2080" i="105"/>
  <c r="D2080" i="105" s="1"/>
  <c r="E2081" i="105"/>
  <c r="D2081" i="105" s="1"/>
  <c r="E2082" i="105"/>
  <c r="D2082" i="105" s="1"/>
  <c r="E2083" i="105"/>
  <c r="D2083" i="105" s="1"/>
  <c r="E2084" i="105"/>
  <c r="D2084" i="105" s="1"/>
  <c r="E2085" i="105"/>
  <c r="D2085" i="105" s="1"/>
  <c r="E2086" i="105"/>
  <c r="D2086" i="105" s="1"/>
  <c r="E2087" i="105"/>
  <c r="D2087" i="105" s="1"/>
  <c r="E2088" i="105"/>
  <c r="D2088" i="105" s="1"/>
  <c r="E2089" i="105"/>
  <c r="D2089" i="105" s="1"/>
  <c r="E2090" i="105"/>
  <c r="D2090" i="105" s="1"/>
  <c r="E2091" i="105"/>
  <c r="D2091" i="105" s="1"/>
  <c r="E2092" i="105"/>
  <c r="D2092" i="105" s="1"/>
  <c r="E2093" i="105"/>
  <c r="D2093" i="105" s="1"/>
  <c r="E2094" i="105"/>
  <c r="D2094" i="105" s="1"/>
  <c r="E2095" i="105"/>
  <c r="D2095" i="105" s="1"/>
  <c r="E2096" i="105"/>
  <c r="D2096" i="105" s="1"/>
  <c r="E2097" i="105"/>
  <c r="D2097" i="105" s="1"/>
  <c r="E2098" i="105"/>
  <c r="D2098" i="105" s="1"/>
  <c r="E2099" i="105"/>
  <c r="D2099" i="105" s="1"/>
  <c r="E2100" i="105"/>
  <c r="D2100" i="105" s="1"/>
  <c r="E2101" i="105"/>
  <c r="D2101" i="105" s="1"/>
  <c r="E2102" i="105"/>
  <c r="D2102" i="105" s="1"/>
  <c r="E2103" i="105"/>
  <c r="D2103" i="105" s="1"/>
  <c r="E2104" i="105"/>
  <c r="D2104" i="105" s="1"/>
  <c r="E2105" i="105"/>
  <c r="D2105" i="105" s="1"/>
  <c r="E2106" i="105"/>
  <c r="D2106" i="105" s="1"/>
  <c r="E2107" i="105"/>
  <c r="D2107" i="105" s="1"/>
  <c r="E2108" i="105"/>
  <c r="D2108" i="105" s="1"/>
  <c r="E2109" i="105"/>
  <c r="D2109" i="105" s="1"/>
  <c r="E2110" i="105"/>
  <c r="D2110" i="105" s="1"/>
  <c r="E2111" i="105"/>
  <c r="D2111" i="105" s="1"/>
  <c r="E2112" i="105"/>
  <c r="D2112" i="105" s="1"/>
  <c r="E2113" i="105"/>
  <c r="D2113" i="105" s="1"/>
  <c r="E2114" i="105"/>
  <c r="D2114" i="105" s="1"/>
  <c r="E2115" i="105"/>
  <c r="D2115" i="105" s="1"/>
  <c r="E2116" i="105"/>
  <c r="D2116" i="105" s="1"/>
  <c r="E2117" i="105"/>
  <c r="D2117" i="105" s="1"/>
  <c r="E2118" i="105"/>
  <c r="D2118" i="105" s="1"/>
  <c r="E2119" i="105"/>
  <c r="D2119" i="105" s="1"/>
  <c r="E2120" i="105"/>
  <c r="D2120" i="105" s="1"/>
  <c r="E2121" i="105"/>
  <c r="D2121" i="105" s="1"/>
  <c r="E2122" i="105"/>
  <c r="D2122" i="105" s="1"/>
  <c r="E2123" i="105"/>
  <c r="D2123" i="105" s="1"/>
  <c r="E2124" i="105"/>
  <c r="D2124" i="105" s="1"/>
  <c r="E2125" i="105"/>
  <c r="D2125" i="105" s="1"/>
  <c r="E2126" i="105"/>
  <c r="D2126" i="105" s="1"/>
  <c r="E2127" i="105"/>
  <c r="D2127" i="105" s="1"/>
  <c r="E2128" i="105"/>
  <c r="D2128" i="105" s="1"/>
  <c r="E2129" i="105"/>
  <c r="D2129" i="105" s="1"/>
  <c r="E2130" i="105"/>
  <c r="D2130" i="105" s="1"/>
  <c r="E2131" i="105"/>
  <c r="D2131" i="105" s="1"/>
  <c r="E2132" i="105"/>
  <c r="D2132" i="105" s="1"/>
  <c r="E2133" i="105"/>
  <c r="D2133" i="105" s="1"/>
  <c r="E2134" i="105"/>
  <c r="D2134" i="105" s="1"/>
  <c r="E2135" i="105"/>
  <c r="D2135" i="105" s="1"/>
  <c r="E2136" i="105"/>
  <c r="D2136" i="105" s="1"/>
  <c r="E2137" i="105"/>
  <c r="D2137" i="105" s="1"/>
  <c r="E2138" i="105"/>
  <c r="D2138" i="105" s="1"/>
  <c r="E2139" i="105"/>
  <c r="D2139" i="105" s="1"/>
  <c r="E2140" i="105"/>
  <c r="D2140" i="105" s="1"/>
  <c r="E2141" i="105"/>
  <c r="D2141" i="105" s="1"/>
  <c r="E2142" i="105"/>
  <c r="D2142" i="105" s="1"/>
  <c r="E2143" i="105"/>
  <c r="D2143" i="105" s="1"/>
  <c r="E2144" i="105"/>
  <c r="D2144" i="105" s="1"/>
  <c r="E2145" i="105"/>
  <c r="D2145" i="105" s="1"/>
  <c r="E2146" i="105"/>
  <c r="D2146" i="105" s="1"/>
  <c r="E2147" i="105"/>
  <c r="D2147" i="105" s="1"/>
  <c r="E2148" i="105"/>
  <c r="D2148" i="105" s="1"/>
  <c r="E2149" i="105"/>
  <c r="D2149" i="105" s="1"/>
  <c r="E2150" i="105"/>
  <c r="D2150" i="105" s="1"/>
  <c r="E2151" i="105"/>
  <c r="D2151" i="105" s="1"/>
  <c r="E2152" i="105"/>
  <c r="D2152" i="105" s="1"/>
  <c r="E2153" i="105"/>
  <c r="D2153" i="105" s="1"/>
  <c r="E2154" i="105"/>
  <c r="D2154" i="105" s="1"/>
  <c r="E2155" i="105"/>
  <c r="D2155" i="105" s="1"/>
  <c r="E2156" i="105"/>
  <c r="D2156" i="105" s="1"/>
  <c r="E2157" i="105"/>
  <c r="D2157" i="105" s="1"/>
  <c r="E2158" i="105"/>
  <c r="D2158" i="105" s="1"/>
  <c r="E2159" i="105"/>
  <c r="D2159" i="105" s="1"/>
  <c r="E2160" i="105"/>
  <c r="D2160" i="105" s="1"/>
  <c r="E2161" i="105"/>
  <c r="D2161" i="105" s="1"/>
  <c r="E2162" i="105"/>
  <c r="D2162" i="105" s="1"/>
  <c r="E2163" i="105"/>
  <c r="D2163" i="105" s="1"/>
  <c r="E2164" i="105"/>
  <c r="D2164" i="105" s="1"/>
  <c r="E2165" i="105"/>
  <c r="D2165" i="105" s="1"/>
  <c r="E2166" i="105"/>
  <c r="D2166" i="105" s="1"/>
  <c r="E2167" i="105"/>
  <c r="D2167" i="105" s="1"/>
  <c r="E2168" i="105"/>
  <c r="D2168" i="105" s="1"/>
  <c r="E2169" i="105"/>
  <c r="D2169" i="105" s="1"/>
  <c r="E2170" i="105"/>
  <c r="D2170" i="105" s="1"/>
  <c r="E2171" i="105"/>
  <c r="D2171" i="105" s="1"/>
  <c r="E2172" i="105"/>
  <c r="D2172" i="105" s="1"/>
  <c r="E2173" i="105"/>
  <c r="D2173" i="105" s="1"/>
  <c r="E2174" i="105"/>
  <c r="D2174" i="105" s="1"/>
  <c r="E2175" i="105"/>
  <c r="D2175" i="105" s="1"/>
  <c r="E2176" i="105"/>
  <c r="D2176" i="105" s="1"/>
  <c r="E2177" i="105"/>
  <c r="D2177" i="105" s="1"/>
  <c r="E2178" i="105"/>
  <c r="D2178" i="105" s="1"/>
  <c r="E2179" i="105"/>
  <c r="D2179" i="105" s="1"/>
  <c r="E2180" i="105"/>
  <c r="D2180" i="105" s="1"/>
  <c r="E2181" i="105"/>
  <c r="D2181" i="105" s="1"/>
  <c r="E2182" i="105"/>
  <c r="D2182" i="105" s="1"/>
  <c r="E2183" i="105"/>
  <c r="D2183" i="105" s="1"/>
  <c r="E2184" i="105"/>
  <c r="D2184" i="105" s="1"/>
  <c r="E2185" i="105"/>
  <c r="D2185" i="105" s="1"/>
  <c r="E2186" i="105"/>
  <c r="D2186" i="105" s="1"/>
  <c r="E2187" i="105"/>
  <c r="D2187" i="105" s="1"/>
  <c r="E2188" i="105"/>
  <c r="D2188" i="105" s="1"/>
  <c r="E2189" i="105"/>
  <c r="D2189" i="105" s="1"/>
  <c r="E2190" i="105"/>
  <c r="D2190" i="105" s="1"/>
  <c r="E2191" i="105"/>
  <c r="D2191" i="105" s="1"/>
  <c r="E2192" i="105"/>
  <c r="D2192" i="105" s="1"/>
  <c r="E2193" i="105"/>
  <c r="D2193" i="105" s="1"/>
  <c r="E2194" i="105"/>
  <c r="D2194" i="105" s="1"/>
  <c r="E2195" i="105"/>
  <c r="D2195" i="105" s="1"/>
  <c r="E2196" i="105"/>
  <c r="D2196" i="105" s="1"/>
  <c r="E2197" i="105"/>
  <c r="D2197" i="105" s="1"/>
  <c r="E2198" i="105"/>
  <c r="D2198" i="105" s="1"/>
  <c r="E2199" i="105"/>
  <c r="D2199" i="105" s="1"/>
  <c r="E2200" i="105"/>
  <c r="D2200" i="105" s="1"/>
  <c r="E2201" i="105"/>
  <c r="D2201" i="105" s="1"/>
  <c r="E2202" i="105"/>
  <c r="D2202" i="105" s="1"/>
  <c r="E2203" i="105"/>
  <c r="D2203" i="105" s="1"/>
  <c r="E2204" i="105"/>
  <c r="D2204" i="105" s="1"/>
  <c r="E2205" i="105"/>
  <c r="D2205" i="105" s="1"/>
  <c r="E2206" i="105"/>
  <c r="D2206" i="105" s="1"/>
  <c r="E2207" i="105"/>
  <c r="D2207" i="105" s="1"/>
  <c r="E2208" i="105"/>
  <c r="D2208" i="105" s="1"/>
  <c r="E2209" i="105"/>
  <c r="D2209" i="105" s="1"/>
  <c r="E2210" i="105"/>
  <c r="D2210" i="105" s="1"/>
  <c r="E2211" i="105"/>
  <c r="D2211" i="105" s="1"/>
  <c r="E2212" i="105"/>
  <c r="D2212" i="105" s="1"/>
  <c r="E2213" i="105"/>
  <c r="D2213" i="105" s="1"/>
  <c r="E2214" i="105"/>
  <c r="D2214" i="105" s="1"/>
  <c r="E2215" i="105"/>
  <c r="D2215" i="105" s="1"/>
  <c r="E2216" i="105"/>
  <c r="D2216" i="105" s="1"/>
  <c r="E2217" i="105"/>
  <c r="D2217" i="105" s="1"/>
  <c r="E2218" i="105"/>
  <c r="D2218" i="105" s="1"/>
  <c r="E2219" i="105"/>
  <c r="D2219" i="105" s="1"/>
  <c r="E2220" i="105"/>
  <c r="D2220" i="105" s="1"/>
  <c r="E2221" i="105"/>
  <c r="D2221" i="105" s="1"/>
  <c r="E2222" i="105"/>
  <c r="D2222" i="105" s="1"/>
  <c r="E2223" i="105"/>
  <c r="D2223" i="105" s="1"/>
  <c r="E2224" i="105"/>
  <c r="D2224" i="105" s="1"/>
  <c r="E2225" i="105"/>
  <c r="D2225" i="105" s="1"/>
  <c r="E2226" i="105"/>
  <c r="D2226" i="105" s="1"/>
  <c r="E2227" i="105"/>
  <c r="D2227" i="105" s="1"/>
  <c r="E2228" i="105"/>
  <c r="D2228" i="105" s="1"/>
  <c r="E2229" i="105"/>
  <c r="D2229" i="105" s="1"/>
  <c r="E2230" i="105"/>
  <c r="D2230" i="105" s="1"/>
  <c r="E2231" i="105"/>
  <c r="D2231" i="105" s="1"/>
  <c r="E2232" i="105"/>
  <c r="D2232" i="105" s="1"/>
  <c r="E2233" i="105"/>
  <c r="D2233" i="105" s="1"/>
  <c r="E2234" i="105"/>
  <c r="D2234" i="105" s="1"/>
  <c r="E2235" i="105"/>
  <c r="D2235" i="105" s="1"/>
  <c r="E2236" i="105"/>
  <c r="D2236" i="105" s="1"/>
  <c r="E2237" i="105"/>
  <c r="D2237" i="105" s="1"/>
  <c r="E2238" i="105"/>
  <c r="D2238" i="105" s="1"/>
  <c r="E2239" i="105"/>
  <c r="D2239" i="105" s="1"/>
  <c r="E2240" i="105"/>
  <c r="D2240" i="105" s="1"/>
  <c r="E2241" i="105"/>
  <c r="D2241" i="105" s="1"/>
  <c r="E2242" i="105"/>
  <c r="D2242" i="105" s="1"/>
  <c r="E2243" i="105"/>
  <c r="D2243" i="105" s="1"/>
  <c r="E2244" i="105"/>
  <c r="D2244" i="105" s="1"/>
  <c r="E2245" i="105"/>
  <c r="D2245" i="105" s="1"/>
  <c r="E2246" i="105"/>
  <c r="D2246" i="105" s="1"/>
  <c r="E2247" i="105"/>
  <c r="D2247" i="105" s="1"/>
  <c r="E2248" i="105"/>
  <c r="D2248" i="105" s="1"/>
  <c r="E2249" i="105"/>
  <c r="D2249" i="105" s="1"/>
  <c r="E2250" i="105"/>
  <c r="D2250" i="105" s="1"/>
  <c r="E2251" i="105"/>
  <c r="D2251" i="105" s="1"/>
  <c r="E2252" i="105"/>
  <c r="D2252" i="105" s="1"/>
  <c r="E2253" i="105"/>
  <c r="D2253" i="105" s="1"/>
  <c r="E2254" i="105"/>
  <c r="D2254" i="105" s="1"/>
  <c r="E2255" i="105"/>
  <c r="D2255" i="105" s="1"/>
  <c r="E2256" i="105"/>
  <c r="D2256" i="105" s="1"/>
  <c r="E2257" i="105"/>
  <c r="D2257" i="105" s="1"/>
  <c r="E2258" i="105"/>
  <c r="D2258" i="105" s="1"/>
  <c r="E2259" i="105"/>
  <c r="D2259" i="105" s="1"/>
  <c r="E2260" i="105"/>
  <c r="D2260" i="105" s="1"/>
  <c r="E2261" i="105"/>
  <c r="D2261" i="105" s="1"/>
  <c r="E2262" i="105"/>
  <c r="D2262" i="105" s="1"/>
  <c r="E2263" i="105"/>
  <c r="D2263" i="105" s="1"/>
  <c r="E2264" i="105"/>
  <c r="D2264" i="105" s="1"/>
  <c r="E2265" i="105"/>
  <c r="D2265" i="105" s="1"/>
  <c r="E2266" i="105"/>
  <c r="D2266" i="105" s="1"/>
  <c r="E2267" i="105"/>
  <c r="D2267" i="105" s="1"/>
  <c r="E2268" i="105"/>
  <c r="D2268" i="105" s="1"/>
  <c r="E2269" i="105"/>
  <c r="D2269" i="105" s="1"/>
  <c r="E2270" i="105"/>
  <c r="D2270" i="105" s="1"/>
  <c r="E2271" i="105"/>
  <c r="D2271" i="105" s="1"/>
  <c r="E2272" i="105"/>
  <c r="D2272" i="105" s="1"/>
  <c r="E2273" i="105"/>
  <c r="D2273" i="105" s="1"/>
  <c r="E2274" i="105"/>
  <c r="D2274" i="105" s="1"/>
  <c r="E2275" i="105"/>
  <c r="D2275" i="105" s="1"/>
  <c r="E2276" i="105"/>
  <c r="D2276" i="105" s="1"/>
  <c r="E2277" i="105"/>
  <c r="D2277" i="105" s="1"/>
  <c r="E2278" i="105"/>
  <c r="D2278" i="105" s="1"/>
  <c r="E2279" i="105"/>
  <c r="D2279" i="105" s="1"/>
  <c r="E2280" i="105"/>
  <c r="D2280" i="105" s="1"/>
  <c r="E2281" i="105"/>
  <c r="D2281" i="105" s="1"/>
  <c r="E2282" i="105"/>
  <c r="D2282" i="105" s="1"/>
  <c r="E2283" i="105"/>
  <c r="D2283" i="105" s="1"/>
  <c r="E2284" i="105"/>
  <c r="D2284" i="105" s="1"/>
  <c r="E2285" i="105"/>
  <c r="D2285" i="105" s="1"/>
  <c r="E2286" i="105"/>
  <c r="D2286" i="105" s="1"/>
  <c r="E2287" i="105"/>
  <c r="D2287" i="105" s="1"/>
  <c r="E2288" i="105"/>
  <c r="D2288" i="105" s="1"/>
  <c r="E2289" i="105"/>
  <c r="D2289" i="105" s="1"/>
  <c r="E2290" i="105"/>
  <c r="D2290" i="105" s="1"/>
  <c r="E2291" i="105"/>
  <c r="D2291" i="105" s="1"/>
  <c r="E2292" i="105"/>
  <c r="D2292" i="105" s="1"/>
  <c r="E2293" i="105"/>
  <c r="D2293" i="105" s="1"/>
  <c r="E2294" i="105"/>
  <c r="D2294" i="105" s="1"/>
  <c r="E2295" i="105"/>
  <c r="D2295" i="105" s="1"/>
  <c r="E2296" i="105"/>
  <c r="D2296" i="105" s="1"/>
  <c r="E2297" i="105"/>
  <c r="D2297" i="105" s="1"/>
  <c r="E2298" i="105"/>
  <c r="D2298" i="105" s="1"/>
  <c r="E2299" i="105"/>
  <c r="D2299" i="105" s="1"/>
  <c r="E2300" i="105"/>
  <c r="D2300" i="105" s="1"/>
  <c r="E2301" i="105"/>
  <c r="D2301" i="105" s="1"/>
  <c r="E2302" i="105"/>
  <c r="D2302" i="105" s="1"/>
  <c r="E2303" i="105"/>
  <c r="D2303" i="105" s="1"/>
  <c r="E2304" i="105"/>
  <c r="D2304" i="105" s="1"/>
  <c r="E2305" i="105"/>
  <c r="D2305" i="105" s="1"/>
  <c r="E2306" i="105"/>
  <c r="D2306" i="105" s="1"/>
  <c r="E2307" i="105"/>
  <c r="D2307" i="105" s="1"/>
  <c r="E2308" i="105"/>
  <c r="D2308" i="105" s="1"/>
  <c r="E2309" i="105"/>
  <c r="D2309" i="105" s="1"/>
  <c r="E2310" i="105"/>
  <c r="D2310" i="105" s="1"/>
  <c r="E2311" i="105"/>
  <c r="D2311" i="105" s="1"/>
  <c r="E2312" i="105"/>
  <c r="D2312" i="105" s="1"/>
  <c r="E2313" i="105"/>
  <c r="D2313" i="105" s="1"/>
  <c r="E2314" i="105"/>
  <c r="D2314" i="105" s="1"/>
  <c r="E2315" i="105"/>
  <c r="D2315" i="105" s="1"/>
  <c r="E2316" i="105"/>
  <c r="D2316" i="105" s="1"/>
  <c r="E2317" i="105"/>
  <c r="D2317" i="105" s="1"/>
  <c r="E2318" i="105"/>
  <c r="D2318" i="105" s="1"/>
  <c r="E2319" i="105"/>
  <c r="D2319" i="105" s="1"/>
  <c r="E2320" i="105"/>
  <c r="D2320" i="105" s="1"/>
  <c r="E2321" i="105"/>
  <c r="D2321" i="105" s="1"/>
  <c r="E2322" i="105"/>
  <c r="D2322" i="105" s="1"/>
  <c r="E2323" i="105"/>
  <c r="D2323" i="105" s="1"/>
  <c r="E2324" i="105"/>
  <c r="D2324" i="105" s="1"/>
  <c r="E2325" i="105"/>
  <c r="D2325" i="105" s="1"/>
  <c r="E2326" i="105"/>
  <c r="D2326" i="105" s="1"/>
  <c r="E2327" i="105"/>
  <c r="D2327" i="105" s="1"/>
  <c r="E2328" i="105"/>
  <c r="D2328" i="105" s="1"/>
  <c r="E2329" i="105"/>
  <c r="D2329" i="105" s="1"/>
  <c r="E2330" i="105"/>
  <c r="D2330" i="105" s="1"/>
  <c r="E2331" i="105"/>
  <c r="D2331" i="105" s="1"/>
  <c r="E2332" i="105"/>
  <c r="D2332" i="105" s="1"/>
  <c r="E2333" i="105"/>
  <c r="D2333" i="105" s="1"/>
  <c r="E2334" i="105"/>
  <c r="D2334" i="105" s="1"/>
  <c r="E2335" i="105"/>
  <c r="D2335" i="105" s="1"/>
  <c r="E2336" i="105"/>
  <c r="D2336" i="105" s="1"/>
  <c r="E2337" i="105"/>
  <c r="D2337" i="105" s="1"/>
  <c r="E2338" i="105"/>
  <c r="D2338" i="105" s="1"/>
  <c r="E2339" i="105"/>
  <c r="D2339" i="105" s="1"/>
  <c r="E2340" i="105"/>
  <c r="D2340" i="105" s="1"/>
  <c r="E2341" i="105"/>
  <c r="D2341" i="105" s="1"/>
  <c r="E2342" i="105"/>
  <c r="D2342" i="105" s="1"/>
  <c r="E2343" i="105"/>
  <c r="D2343" i="105" s="1"/>
  <c r="E2344" i="105"/>
  <c r="D2344" i="105" s="1"/>
  <c r="E2345" i="105"/>
  <c r="D2345" i="105" s="1"/>
  <c r="E2346" i="105"/>
  <c r="D2346" i="105" s="1"/>
  <c r="E2347" i="105"/>
  <c r="D2347" i="105" s="1"/>
  <c r="E2348" i="105"/>
  <c r="D2348" i="105" s="1"/>
  <c r="E2349" i="105"/>
  <c r="D2349" i="105" s="1"/>
  <c r="E2350" i="105"/>
  <c r="D2350" i="105" s="1"/>
  <c r="E2351" i="105"/>
  <c r="D2351" i="105" s="1"/>
  <c r="E2352" i="105"/>
  <c r="D2352" i="105" s="1"/>
  <c r="E2353" i="105"/>
  <c r="D2353" i="105" s="1"/>
  <c r="E2354" i="105"/>
  <c r="D2354" i="105" s="1"/>
  <c r="E2355" i="105"/>
  <c r="D2355" i="105" s="1"/>
  <c r="E2356" i="105"/>
  <c r="D2356" i="105" s="1"/>
  <c r="E2357" i="105"/>
  <c r="D2357" i="105" s="1"/>
  <c r="E2358" i="105"/>
  <c r="D2358" i="105" s="1"/>
  <c r="E2359" i="105"/>
  <c r="D2359" i="105" s="1"/>
  <c r="E2360" i="105"/>
  <c r="D2360" i="105" s="1"/>
  <c r="E2361" i="105"/>
  <c r="D2361" i="105" s="1"/>
  <c r="E2362" i="105"/>
  <c r="D2362" i="105" s="1"/>
  <c r="E2363" i="105"/>
  <c r="D2363" i="105" s="1"/>
  <c r="E2364" i="105"/>
  <c r="D2364" i="105" s="1"/>
  <c r="E2365" i="105"/>
  <c r="D2365" i="105" s="1"/>
  <c r="E2366" i="105"/>
  <c r="D2366" i="105" s="1"/>
  <c r="E2367" i="105"/>
  <c r="D2367" i="105" s="1"/>
  <c r="E2368" i="105"/>
  <c r="D2368" i="105" s="1"/>
  <c r="E2369" i="105"/>
  <c r="D2369" i="105" s="1"/>
  <c r="E2370" i="105"/>
  <c r="D2370" i="105" s="1"/>
  <c r="E2371" i="105"/>
  <c r="D2371" i="105" s="1"/>
  <c r="E2372" i="105"/>
  <c r="D2372" i="105" s="1"/>
  <c r="E2373" i="105"/>
  <c r="D2373" i="105" s="1"/>
  <c r="E2374" i="105"/>
  <c r="D2374" i="105" s="1"/>
  <c r="E2375" i="105"/>
  <c r="D2375" i="105" s="1"/>
  <c r="E2376" i="105"/>
  <c r="D2376" i="105" s="1"/>
  <c r="E2377" i="105"/>
  <c r="D2377" i="105" s="1"/>
  <c r="E2378" i="105"/>
  <c r="D2378" i="105" s="1"/>
  <c r="E2379" i="105"/>
  <c r="D2379" i="105" s="1"/>
  <c r="E2380" i="105"/>
  <c r="D2380" i="105" s="1"/>
  <c r="E2381" i="105"/>
  <c r="D2381" i="105" s="1"/>
  <c r="E2382" i="105"/>
  <c r="D2382" i="105" s="1"/>
  <c r="E2383" i="105"/>
  <c r="D2383" i="105" s="1"/>
  <c r="E2384" i="105"/>
  <c r="D2384" i="105" s="1"/>
  <c r="E2385" i="105"/>
  <c r="D2385" i="105" s="1"/>
  <c r="E2386" i="105"/>
  <c r="D2386" i="105" s="1"/>
  <c r="E2387" i="105"/>
  <c r="D2387" i="105" s="1"/>
  <c r="E2388" i="105"/>
  <c r="D2388" i="105" s="1"/>
  <c r="E2389" i="105"/>
  <c r="D2389" i="105" s="1"/>
  <c r="E2390" i="105"/>
  <c r="D2390" i="105" s="1"/>
  <c r="E2391" i="105"/>
  <c r="D2391" i="105" s="1"/>
  <c r="E2392" i="105"/>
  <c r="D2392" i="105" s="1"/>
  <c r="E2393" i="105"/>
  <c r="D2393" i="105" s="1"/>
  <c r="E2394" i="105"/>
  <c r="D2394" i="105" s="1"/>
  <c r="E2395" i="105"/>
  <c r="D2395" i="105" s="1"/>
  <c r="E2396" i="105"/>
  <c r="D2396" i="105" s="1"/>
  <c r="E2397" i="105"/>
  <c r="D2397" i="105" s="1"/>
  <c r="E2398" i="105"/>
  <c r="D2398" i="105" s="1"/>
  <c r="E2399" i="105"/>
  <c r="D2399" i="105" s="1"/>
  <c r="E2400" i="105"/>
  <c r="D2400" i="105" s="1"/>
  <c r="E2401" i="105"/>
  <c r="D2401" i="105" s="1"/>
  <c r="E2402" i="105"/>
  <c r="D2402" i="105" s="1"/>
  <c r="E2403" i="105"/>
  <c r="D2403" i="105" s="1"/>
  <c r="E2404" i="105"/>
  <c r="D2404" i="105" s="1"/>
  <c r="E2405" i="105"/>
  <c r="D2405" i="105" s="1"/>
  <c r="E2406" i="105"/>
  <c r="D2406" i="105" s="1"/>
  <c r="E2407" i="105"/>
  <c r="D2407" i="105" s="1"/>
  <c r="E2408" i="105"/>
  <c r="D2408" i="105" s="1"/>
  <c r="E2409" i="105"/>
  <c r="D2409" i="105" s="1"/>
  <c r="E2410" i="105"/>
  <c r="D2410" i="105" s="1"/>
  <c r="E2411" i="105"/>
  <c r="D2411" i="105" s="1"/>
  <c r="E2412" i="105"/>
  <c r="D2412" i="105" s="1"/>
  <c r="E2413" i="105"/>
  <c r="D2413" i="105" s="1"/>
  <c r="E2414" i="105"/>
  <c r="D2414" i="105" s="1"/>
  <c r="E2415" i="105"/>
  <c r="D2415" i="105" s="1"/>
  <c r="E2416" i="105"/>
  <c r="D2416" i="105" s="1"/>
  <c r="E2417" i="105"/>
  <c r="D2417" i="105" s="1"/>
  <c r="E2418" i="105"/>
  <c r="D2418" i="105" s="1"/>
  <c r="E2419" i="105"/>
  <c r="D2419" i="105" s="1"/>
  <c r="E2420" i="105"/>
  <c r="D2420" i="105" s="1"/>
  <c r="E2421" i="105"/>
  <c r="D2421" i="105" s="1"/>
  <c r="E2422" i="105"/>
  <c r="D2422" i="105" s="1"/>
  <c r="E2423" i="105"/>
  <c r="D2423" i="105" s="1"/>
  <c r="E2424" i="105"/>
  <c r="D2424" i="105" s="1"/>
  <c r="E2425" i="105"/>
  <c r="D2425" i="105" s="1"/>
  <c r="E2426" i="105"/>
  <c r="D2426" i="105" s="1"/>
  <c r="E2427" i="105"/>
  <c r="D2427" i="105" s="1"/>
  <c r="E2428" i="105"/>
  <c r="D2428" i="105" s="1"/>
  <c r="E2429" i="105"/>
  <c r="D2429" i="105" s="1"/>
  <c r="E2430" i="105"/>
  <c r="D2430" i="105" s="1"/>
  <c r="E2431" i="105"/>
  <c r="D2431" i="105" s="1"/>
  <c r="E2432" i="105"/>
  <c r="D2432" i="105" s="1"/>
  <c r="E2433" i="105"/>
  <c r="D2433" i="105" s="1"/>
  <c r="E2434" i="105"/>
  <c r="D2434" i="105" s="1"/>
  <c r="E2435" i="105"/>
  <c r="D2435" i="105" s="1"/>
  <c r="E2436" i="105"/>
  <c r="D2436" i="105" s="1"/>
  <c r="E2437" i="105"/>
  <c r="D2437" i="105" s="1"/>
  <c r="E2438" i="105"/>
  <c r="D2438" i="105" s="1"/>
  <c r="E2439" i="105"/>
  <c r="D2439" i="105" s="1"/>
  <c r="E2440" i="105"/>
  <c r="D2440" i="105" s="1"/>
  <c r="E2441" i="105"/>
  <c r="D2441" i="105" s="1"/>
  <c r="E2442" i="105"/>
  <c r="D2442" i="105" s="1"/>
  <c r="E2443" i="105"/>
  <c r="D2443" i="105" s="1"/>
  <c r="E2444" i="105"/>
  <c r="D2444" i="105" s="1"/>
  <c r="E2445" i="105"/>
  <c r="D2445" i="105" s="1"/>
  <c r="E2446" i="105"/>
  <c r="D2446" i="105" s="1"/>
  <c r="E2447" i="105"/>
  <c r="D2447" i="105" s="1"/>
  <c r="E2448" i="105"/>
  <c r="D2448" i="105" s="1"/>
  <c r="E2449" i="105"/>
  <c r="D2449" i="105" s="1"/>
  <c r="E2450" i="105"/>
  <c r="D2450" i="105" s="1"/>
  <c r="E2451" i="105"/>
  <c r="D2451" i="105" s="1"/>
  <c r="E2452" i="105"/>
  <c r="D2452" i="105" s="1"/>
  <c r="E2453" i="105"/>
  <c r="D2453" i="105" s="1"/>
  <c r="E2454" i="105"/>
  <c r="D2454" i="105" s="1"/>
  <c r="E2455" i="105"/>
  <c r="D2455" i="105" s="1"/>
  <c r="E2456" i="105"/>
  <c r="D2456" i="105" s="1"/>
  <c r="E2457" i="105"/>
  <c r="D2457" i="105" s="1"/>
  <c r="E2458" i="105"/>
  <c r="D2458" i="105" s="1"/>
  <c r="E2459" i="105"/>
  <c r="D2459" i="105" s="1"/>
  <c r="E2460" i="105"/>
  <c r="D2460" i="105" s="1"/>
  <c r="E2461" i="105"/>
  <c r="D2461" i="105" s="1"/>
  <c r="E2462" i="105"/>
  <c r="D2462" i="105" s="1"/>
  <c r="E2463" i="105"/>
  <c r="D2463" i="105" s="1"/>
  <c r="E2464" i="105"/>
  <c r="D2464" i="105" s="1"/>
  <c r="E2465" i="105"/>
  <c r="D2465" i="105" s="1"/>
  <c r="E2466" i="105"/>
  <c r="D2466" i="105" s="1"/>
  <c r="E2467" i="105"/>
  <c r="D2467" i="105" s="1"/>
  <c r="E2468" i="105"/>
  <c r="D2468" i="105" s="1"/>
  <c r="E2469" i="105"/>
  <c r="D2469" i="105" s="1"/>
  <c r="E2470" i="105"/>
  <c r="D2470" i="105" s="1"/>
  <c r="E2471" i="105"/>
  <c r="D2471" i="105" s="1"/>
  <c r="E2472" i="105"/>
  <c r="D2472" i="105" s="1"/>
  <c r="E2473" i="105"/>
  <c r="D2473" i="105" s="1"/>
  <c r="E2474" i="105"/>
  <c r="D2474" i="105" s="1"/>
  <c r="E2475" i="105"/>
  <c r="D2475" i="105" s="1"/>
  <c r="E2476" i="105"/>
  <c r="D2476" i="105" s="1"/>
  <c r="E2477" i="105"/>
  <c r="D2477" i="105" s="1"/>
  <c r="E2478" i="105"/>
  <c r="D2478" i="105" s="1"/>
  <c r="E2479" i="105"/>
  <c r="D2479" i="105" s="1"/>
  <c r="E2480" i="105"/>
  <c r="D2480" i="105" s="1"/>
  <c r="E2481" i="105"/>
  <c r="D2481" i="105" s="1"/>
  <c r="E2482" i="105"/>
  <c r="D2482" i="105" s="1"/>
  <c r="E2483" i="105"/>
  <c r="D2483" i="105" s="1"/>
  <c r="E2484" i="105"/>
  <c r="D2484" i="105" s="1"/>
  <c r="E2485" i="105"/>
  <c r="D2485" i="105" s="1"/>
  <c r="E2486" i="105"/>
  <c r="D2486" i="105" s="1"/>
  <c r="E2487" i="105"/>
  <c r="D2487" i="105" s="1"/>
  <c r="E2488" i="105"/>
  <c r="D2488" i="105" s="1"/>
  <c r="E2489" i="105"/>
  <c r="D2489" i="105" s="1"/>
  <c r="E2490" i="105"/>
  <c r="D2490" i="105" s="1"/>
  <c r="E2491" i="105"/>
  <c r="D2491" i="105" s="1"/>
  <c r="E2492" i="105"/>
  <c r="D2492" i="105" s="1"/>
  <c r="E2493" i="105"/>
  <c r="D2493" i="105" s="1"/>
  <c r="E2494" i="105"/>
  <c r="D2494" i="105" s="1"/>
  <c r="E2495" i="105"/>
  <c r="D2495" i="105" s="1"/>
  <c r="E2496" i="105"/>
  <c r="D2496" i="105" s="1"/>
  <c r="E2497" i="105"/>
  <c r="D2497" i="105" s="1"/>
  <c r="E2498" i="105"/>
  <c r="D2498" i="105" s="1"/>
  <c r="E2499" i="105"/>
  <c r="D2499" i="105" s="1"/>
  <c r="E2500" i="105"/>
  <c r="D2500" i="105" s="1"/>
  <c r="E2501" i="105"/>
  <c r="D2501" i="105" s="1"/>
  <c r="E2502" i="105"/>
  <c r="D2502" i="105" s="1"/>
  <c r="E2503" i="105"/>
  <c r="D2503" i="105" s="1"/>
  <c r="E2504" i="105"/>
  <c r="D2504" i="105" s="1"/>
  <c r="E2505" i="105"/>
  <c r="D2505" i="105" s="1"/>
  <c r="E2506" i="105"/>
  <c r="D2506" i="105" s="1"/>
  <c r="E2507" i="105"/>
  <c r="D2507" i="105" s="1"/>
  <c r="E2508" i="105"/>
  <c r="D2508" i="105" s="1"/>
  <c r="E2509" i="105"/>
  <c r="D2509" i="105" s="1"/>
  <c r="E2510" i="105"/>
  <c r="D2510" i="105" s="1"/>
  <c r="E2511" i="105"/>
  <c r="D2511" i="105" s="1"/>
  <c r="E2512" i="105"/>
  <c r="D2512" i="105" s="1"/>
  <c r="E2513" i="105"/>
  <c r="D2513" i="105" s="1"/>
  <c r="E2514" i="105"/>
  <c r="D2514" i="105" s="1"/>
  <c r="E2515" i="105"/>
  <c r="D2515" i="105" s="1"/>
  <c r="E2516" i="105"/>
  <c r="D2516" i="105" s="1"/>
  <c r="E2517" i="105"/>
  <c r="D2517" i="105" s="1"/>
  <c r="E2518" i="105"/>
  <c r="D2518" i="105" s="1"/>
  <c r="E2519" i="105"/>
  <c r="D2519" i="105" s="1"/>
  <c r="E2520" i="105"/>
  <c r="D2520" i="105" s="1"/>
  <c r="E2521" i="105"/>
  <c r="D2521" i="105" s="1"/>
  <c r="E2522" i="105"/>
  <c r="D2522" i="105" s="1"/>
  <c r="E2523" i="105"/>
  <c r="D2523" i="105" s="1"/>
  <c r="E2524" i="105"/>
  <c r="D2524" i="105" s="1"/>
  <c r="E2525" i="105"/>
  <c r="D2525" i="105" s="1"/>
  <c r="E2526" i="105"/>
  <c r="D2526" i="105" s="1"/>
  <c r="E2527" i="105"/>
  <c r="D2527" i="105" s="1"/>
  <c r="E2528" i="105"/>
  <c r="D2528" i="105" s="1"/>
  <c r="E2529" i="105"/>
  <c r="D2529" i="105" s="1"/>
  <c r="E2530" i="105"/>
  <c r="D2530" i="105" s="1"/>
  <c r="E2531" i="105"/>
  <c r="D2531" i="105" s="1"/>
  <c r="E2532" i="105"/>
  <c r="D2532" i="105" s="1"/>
  <c r="E2533" i="105"/>
  <c r="D2533" i="105" s="1"/>
  <c r="E2534" i="105"/>
  <c r="D2534" i="105" s="1"/>
  <c r="E2535" i="105"/>
  <c r="D2535" i="105" s="1"/>
  <c r="E2536" i="105"/>
  <c r="D2536" i="105" s="1"/>
  <c r="E2537" i="105"/>
  <c r="D2537" i="105" s="1"/>
  <c r="E2538" i="105"/>
  <c r="D2538" i="105" s="1"/>
  <c r="E2539" i="105"/>
  <c r="D2539" i="105" s="1"/>
  <c r="E2540" i="105"/>
  <c r="D2540" i="105" s="1"/>
  <c r="E2541" i="105"/>
  <c r="D2541" i="105" s="1"/>
  <c r="E2542" i="105"/>
  <c r="D2542" i="105" s="1"/>
  <c r="E2543" i="105"/>
  <c r="D2543" i="105" s="1"/>
  <c r="E2544" i="105"/>
  <c r="D2544" i="105" s="1"/>
  <c r="E2545" i="105"/>
  <c r="D2545" i="105" s="1"/>
  <c r="E2546" i="105"/>
  <c r="D2546" i="105" s="1"/>
  <c r="E2547" i="105"/>
  <c r="D2547" i="105" s="1"/>
  <c r="E2548" i="105"/>
  <c r="D2548" i="105" s="1"/>
  <c r="E2549" i="105"/>
  <c r="D2549" i="105" s="1"/>
  <c r="E2550" i="105"/>
  <c r="D2550" i="105" s="1"/>
  <c r="E2551" i="105"/>
  <c r="D2551" i="105" s="1"/>
  <c r="E2552" i="105"/>
  <c r="D2552" i="105" s="1"/>
  <c r="E2553" i="105"/>
  <c r="D2553" i="105" s="1"/>
  <c r="E2554" i="105"/>
  <c r="D2554" i="105" s="1"/>
  <c r="E2555" i="105"/>
  <c r="D2555" i="105" s="1"/>
  <c r="E2556" i="105"/>
  <c r="D2556" i="105" s="1"/>
  <c r="E2557" i="105"/>
  <c r="D2557" i="105" s="1"/>
  <c r="E2558" i="105"/>
  <c r="D2558" i="105" s="1"/>
  <c r="E2559" i="105"/>
  <c r="D2559" i="105" s="1"/>
  <c r="E2560" i="105"/>
  <c r="D2560" i="105" s="1"/>
  <c r="E2561" i="105"/>
  <c r="D2561" i="105" s="1"/>
  <c r="E2562" i="105"/>
  <c r="D2562" i="105" s="1"/>
  <c r="E2563" i="105"/>
  <c r="D2563" i="105" s="1"/>
  <c r="E2564" i="105"/>
  <c r="D2564" i="105" s="1"/>
  <c r="E2565" i="105"/>
  <c r="D2565" i="105" s="1"/>
  <c r="E2566" i="105"/>
  <c r="D2566" i="105" s="1"/>
  <c r="E2567" i="105"/>
  <c r="D2567" i="105"/>
  <c r="E2568" i="105"/>
  <c r="D2568" i="105" s="1"/>
  <c r="E2569" i="105"/>
  <c r="D2569" i="105" s="1"/>
  <c r="E2570" i="105"/>
  <c r="D2570" i="105" s="1"/>
  <c r="E2571" i="105"/>
  <c r="D2571" i="105" s="1"/>
  <c r="E2572" i="105"/>
  <c r="D2572" i="105" s="1"/>
  <c r="E2573" i="105"/>
  <c r="D2573" i="105" s="1"/>
  <c r="E2574" i="105"/>
  <c r="D2574" i="105" s="1"/>
  <c r="E2575" i="105"/>
  <c r="D2575" i="105" s="1"/>
  <c r="E2576" i="105"/>
  <c r="D2576" i="105" s="1"/>
  <c r="E2577" i="105"/>
  <c r="D2577" i="105" s="1"/>
  <c r="E2578" i="105"/>
  <c r="D2578" i="105" s="1"/>
  <c r="E2579" i="105"/>
  <c r="D2579" i="105" s="1"/>
  <c r="E2580" i="105"/>
  <c r="D2580" i="105" s="1"/>
  <c r="E2581" i="105"/>
  <c r="D2581" i="105" s="1"/>
  <c r="E2582" i="105"/>
  <c r="D2582" i="105" s="1"/>
  <c r="E2583" i="105"/>
  <c r="D2583" i="105" s="1"/>
  <c r="E2584" i="105"/>
  <c r="D2584" i="105" s="1"/>
  <c r="E2585" i="105"/>
  <c r="D2585" i="105" s="1"/>
  <c r="E2586" i="105"/>
  <c r="D2586" i="105" s="1"/>
  <c r="E2587" i="105"/>
  <c r="D2587" i="105" s="1"/>
  <c r="E2588" i="105"/>
  <c r="D2588" i="105" s="1"/>
  <c r="E2589" i="105"/>
  <c r="D2589" i="105" s="1"/>
  <c r="E2590" i="105"/>
  <c r="D2590" i="105" s="1"/>
  <c r="E2591" i="105"/>
  <c r="D2591" i="105" s="1"/>
  <c r="E2592" i="105"/>
  <c r="D2592" i="105" s="1"/>
  <c r="E2593" i="105"/>
  <c r="D2593" i="105" s="1"/>
  <c r="E2594" i="105"/>
  <c r="D2594" i="105" s="1"/>
  <c r="E2595" i="105"/>
  <c r="D2595" i="105" s="1"/>
  <c r="E2596" i="105"/>
  <c r="D2596" i="105" s="1"/>
  <c r="E2597" i="105"/>
  <c r="D2597" i="105" s="1"/>
  <c r="E2598" i="105"/>
  <c r="D2598" i="105" s="1"/>
  <c r="E2599" i="105"/>
  <c r="D2599" i="105" s="1"/>
  <c r="E2600" i="105"/>
  <c r="D2600" i="105" s="1"/>
  <c r="E2601" i="105"/>
  <c r="D2601" i="105" s="1"/>
  <c r="E2602" i="105"/>
  <c r="D2602" i="105" s="1"/>
  <c r="E2603" i="105"/>
  <c r="D2603" i="105" s="1"/>
  <c r="E2604" i="105"/>
  <c r="D2604" i="105" s="1"/>
  <c r="E2605" i="105"/>
  <c r="D2605" i="105" s="1"/>
  <c r="E2606" i="105"/>
  <c r="D2606" i="105" s="1"/>
  <c r="E2607" i="105"/>
  <c r="D2607" i="105" s="1"/>
  <c r="E2608" i="105"/>
  <c r="D2608" i="105" s="1"/>
  <c r="E2609" i="105"/>
  <c r="D2609" i="105" s="1"/>
  <c r="E2610" i="105"/>
  <c r="D2610" i="105" s="1"/>
  <c r="E2611" i="105"/>
  <c r="D2611" i="105" s="1"/>
  <c r="E2612" i="105"/>
  <c r="D2612" i="105" s="1"/>
  <c r="E2613" i="105"/>
  <c r="D2613" i="105" s="1"/>
  <c r="E2614" i="105"/>
  <c r="D2614" i="105" s="1"/>
  <c r="E2615" i="105"/>
  <c r="D2615" i="105" s="1"/>
  <c r="E2616" i="105"/>
  <c r="D2616" i="105" s="1"/>
  <c r="E2617" i="105"/>
  <c r="D2617" i="105" s="1"/>
  <c r="E2618" i="105"/>
  <c r="D2618" i="105" s="1"/>
  <c r="E2619" i="105"/>
  <c r="D2619" i="105" s="1"/>
  <c r="E2620" i="105"/>
  <c r="D2620" i="105" s="1"/>
  <c r="E2621" i="105"/>
  <c r="D2621" i="105" s="1"/>
  <c r="E2622" i="105"/>
  <c r="D2622" i="105" s="1"/>
  <c r="E2623" i="105"/>
  <c r="D2623" i="105" s="1"/>
  <c r="E2624" i="105"/>
  <c r="D2624" i="105" s="1"/>
  <c r="E2625" i="105"/>
  <c r="D2625" i="105" s="1"/>
  <c r="E2626" i="105"/>
  <c r="D2626" i="105" s="1"/>
  <c r="E2627" i="105"/>
  <c r="D2627" i="105" s="1"/>
  <c r="E2628" i="105"/>
  <c r="D2628" i="105" s="1"/>
  <c r="E2629" i="105"/>
  <c r="D2629" i="105" s="1"/>
  <c r="E2630" i="105"/>
  <c r="D2630" i="105" s="1"/>
  <c r="E2631" i="105"/>
  <c r="D2631" i="105" s="1"/>
  <c r="E2632" i="105"/>
  <c r="D2632" i="105" s="1"/>
  <c r="E2633" i="105"/>
  <c r="D2633" i="105" s="1"/>
  <c r="E2634" i="105"/>
  <c r="D2634" i="105" s="1"/>
  <c r="E2635" i="105"/>
  <c r="D2635" i="105" s="1"/>
  <c r="E2636" i="105"/>
  <c r="D2636" i="105" s="1"/>
  <c r="E2637" i="105"/>
  <c r="D2637" i="105" s="1"/>
  <c r="E2638" i="105"/>
  <c r="D2638" i="105" s="1"/>
  <c r="E2639" i="105"/>
  <c r="D2639" i="105" s="1"/>
  <c r="E2640" i="105"/>
  <c r="D2640" i="105" s="1"/>
  <c r="E2641" i="105"/>
  <c r="D2641" i="105" s="1"/>
  <c r="E2642" i="105"/>
  <c r="D2642" i="105" s="1"/>
  <c r="E2643" i="105"/>
  <c r="D2643" i="105" s="1"/>
  <c r="E2644" i="105"/>
  <c r="D2644" i="105" s="1"/>
  <c r="E2645" i="105"/>
  <c r="D2645" i="105" s="1"/>
  <c r="E2646" i="105"/>
  <c r="D2646" i="105" s="1"/>
  <c r="E2647" i="105"/>
  <c r="D2647" i="105" s="1"/>
  <c r="E2648" i="105"/>
  <c r="D2648" i="105" s="1"/>
  <c r="E2649" i="105"/>
  <c r="D2649" i="105" s="1"/>
  <c r="E2650" i="105"/>
  <c r="D2650" i="105" s="1"/>
  <c r="E2651" i="105"/>
  <c r="D2651" i="105" s="1"/>
  <c r="E2652" i="105"/>
  <c r="D2652" i="105" s="1"/>
  <c r="E2653" i="105"/>
  <c r="D2653" i="105" s="1"/>
  <c r="E2654" i="105"/>
  <c r="D2654" i="105" s="1"/>
  <c r="E2655" i="105"/>
  <c r="D2655" i="105" s="1"/>
  <c r="E2656" i="105"/>
  <c r="D2656" i="105" s="1"/>
  <c r="E2657" i="105"/>
  <c r="D2657" i="105" s="1"/>
  <c r="E2658" i="105"/>
  <c r="D2658" i="105" s="1"/>
  <c r="E2659" i="105"/>
  <c r="D2659" i="105" s="1"/>
  <c r="E2660" i="105"/>
  <c r="D2660" i="105" s="1"/>
  <c r="E2661" i="105"/>
  <c r="D2661" i="105" s="1"/>
  <c r="E2662" i="105"/>
  <c r="D2662" i="105" s="1"/>
  <c r="E2663" i="105"/>
  <c r="D2663" i="105" s="1"/>
  <c r="E2664" i="105"/>
  <c r="D2664" i="105" s="1"/>
  <c r="E2665" i="105"/>
  <c r="D2665" i="105" s="1"/>
  <c r="E2666" i="105"/>
  <c r="D2666" i="105" s="1"/>
  <c r="E2667" i="105"/>
  <c r="D2667" i="105" s="1"/>
  <c r="E2668" i="105"/>
  <c r="D2668" i="105" s="1"/>
  <c r="E2669" i="105"/>
  <c r="D2669" i="105" s="1"/>
  <c r="E2670" i="105"/>
  <c r="D2670" i="105" s="1"/>
  <c r="E2671" i="105"/>
  <c r="D2671" i="105" s="1"/>
  <c r="E2672" i="105"/>
  <c r="D2672" i="105" s="1"/>
  <c r="E2673" i="105"/>
  <c r="D2673" i="105" s="1"/>
  <c r="E2674" i="105"/>
  <c r="D2674" i="105" s="1"/>
  <c r="E2675" i="105"/>
  <c r="D2675" i="105" s="1"/>
  <c r="E2676" i="105"/>
  <c r="D2676" i="105" s="1"/>
  <c r="E2677" i="105"/>
  <c r="D2677" i="105" s="1"/>
  <c r="E2678" i="105"/>
  <c r="D2678" i="105" s="1"/>
  <c r="E2679" i="105"/>
  <c r="D2679" i="105" s="1"/>
  <c r="E2680" i="105"/>
  <c r="D2680" i="105" s="1"/>
  <c r="E2681" i="105"/>
  <c r="D2681" i="105" s="1"/>
  <c r="E2682" i="105"/>
  <c r="D2682" i="105" s="1"/>
  <c r="E2683" i="105"/>
  <c r="D2683" i="105" s="1"/>
  <c r="E2684" i="105"/>
  <c r="D2684" i="105" s="1"/>
  <c r="E2685" i="105"/>
  <c r="D2685" i="105" s="1"/>
  <c r="E2686" i="105"/>
  <c r="D2686" i="105" s="1"/>
  <c r="E2687" i="105"/>
  <c r="D2687" i="105" s="1"/>
  <c r="E2688" i="105"/>
  <c r="D2688" i="105" s="1"/>
  <c r="E2689" i="105"/>
  <c r="D2689" i="105" s="1"/>
  <c r="E2690" i="105"/>
  <c r="D2690" i="105" s="1"/>
  <c r="E2691" i="105"/>
  <c r="D2691" i="105" s="1"/>
  <c r="E2692" i="105"/>
  <c r="D2692" i="105" s="1"/>
  <c r="E2693" i="105"/>
  <c r="D2693" i="105" s="1"/>
  <c r="E2694" i="105"/>
  <c r="D2694" i="105" s="1"/>
  <c r="E2695" i="105"/>
  <c r="D2695" i="105" s="1"/>
  <c r="E2696" i="105"/>
  <c r="D2696" i="105" s="1"/>
  <c r="E2697" i="105"/>
  <c r="D2697" i="105" s="1"/>
  <c r="E2698" i="105"/>
  <c r="D2698" i="105" s="1"/>
  <c r="E2699" i="105"/>
  <c r="D2699" i="105" s="1"/>
  <c r="E2700" i="105"/>
  <c r="D2700" i="105" s="1"/>
  <c r="E2701" i="105"/>
  <c r="D2701" i="105" s="1"/>
  <c r="E2702" i="105"/>
  <c r="D2702" i="105" s="1"/>
  <c r="E2703" i="105"/>
  <c r="D2703" i="105" s="1"/>
  <c r="E2704" i="105"/>
  <c r="D2704" i="105" s="1"/>
  <c r="E2705" i="105"/>
  <c r="D2705" i="105" s="1"/>
  <c r="E2706" i="105"/>
  <c r="D2706" i="105" s="1"/>
  <c r="E2707" i="105"/>
  <c r="D2707" i="105" s="1"/>
  <c r="E2708" i="105"/>
  <c r="D2708" i="105" s="1"/>
  <c r="E2709" i="105"/>
  <c r="D2709" i="105" s="1"/>
  <c r="E2710" i="105"/>
  <c r="D2710" i="105" s="1"/>
  <c r="E2711" i="105"/>
  <c r="D2711" i="105" s="1"/>
  <c r="E2712" i="105"/>
  <c r="D2712" i="105" s="1"/>
  <c r="E2713" i="105"/>
  <c r="D2713" i="105" s="1"/>
  <c r="E2714" i="105"/>
  <c r="D2714" i="105" s="1"/>
  <c r="E2715" i="105"/>
  <c r="D2715" i="105" s="1"/>
  <c r="E2716" i="105"/>
  <c r="D2716" i="105" s="1"/>
  <c r="E2717" i="105"/>
  <c r="D2717" i="105" s="1"/>
  <c r="E2718" i="105"/>
  <c r="D2718" i="105" s="1"/>
  <c r="E2719" i="105"/>
  <c r="D2719" i="105" s="1"/>
  <c r="E2720" i="105"/>
  <c r="D2720" i="105" s="1"/>
  <c r="E2721" i="105"/>
  <c r="D2721" i="105" s="1"/>
  <c r="E2722" i="105"/>
  <c r="D2722" i="105" s="1"/>
  <c r="E2723" i="105"/>
  <c r="D2723" i="105" s="1"/>
  <c r="E2724" i="105"/>
  <c r="D2724" i="105" s="1"/>
  <c r="E2725" i="105"/>
  <c r="D2725" i="105" s="1"/>
  <c r="E2726" i="105"/>
  <c r="D2726" i="105" s="1"/>
  <c r="E2727" i="105"/>
  <c r="D2727" i="105" s="1"/>
  <c r="E2728" i="105"/>
  <c r="D2728" i="105" s="1"/>
  <c r="E2729" i="105"/>
  <c r="D2729" i="105" s="1"/>
  <c r="E2730" i="105"/>
  <c r="D2730" i="105" s="1"/>
  <c r="E2731" i="105"/>
  <c r="D2731" i="105" s="1"/>
  <c r="E2732" i="105"/>
  <c r="D2732" i="105" s="1"/>
  <c r="E2733" i="105"/>
  <c r="D2733" i="105" s="1"/>
  <c r="E2734" i="105"/>
  <c r="D2734" i="105" s="1"/>
  <c r="E2735" i="105"/>
  <c r="D2735" i="105" s="1"/>
  <c r="E2736" i="105"/>
  <c r="D2736" i="105" s="1"/>
  <c r="E2737" i="105"/>
  <c r="D2737" i="105" s="1"/>
  <c r="E2738" i="105"/>
  <c r="D2738" i="105" s="1"/>
  <c r="E2739" i="105"/>
  <c r="D2739" i="105" s="1"/>
  <c r="E2740" i="105"/>
  <c r="D2740" i="105" s="1"/>
  <c r="E2741" i="105"/>
  <c r="D2741" i="105" s="1"/>
  <c r="E2742" i="105"/>
  <c r="D2742" i="105" s="1"/>
  <c r="E2743" i="105"/>
  <c r="D2743" i="105" s="1"/>
  <c r="E2744" i="105"/>
  <c r="D2744" i="105" s="1"/>
  <c r="E2745" i="105"/>
  <c r="D2745" i="105" s="1"/>
  <c r="E2746" i="105"/>
  <c r="D2746" i="105" s="1"/>
  <c r="E2747" i="105"/>
  <c r="D2747" i="105" s="1"/>
  <c r="E2748" i="105"/>
  <c r="D2748" i="105" s="1"/>
  <c r="E2749" i="105"/>
  <c r="D2749" i="105" s="1"/>
  <c r="E2750" i="105"/>
  <c r="D2750" i="105" s="1"/>
  <c r="E2751" i="105"/>
  <c r="D2751" i="105" s="1"/>
  <c r="E2752" i="105"/>
  <c r="D2752" i="105" s="1"/>
  <c r="E2753" i="105"/>
  <c r="D2753" i="105" s="1"/>
  <c r="E2754" i="105"/>
  <c r="D2754" i="105" s="1"/>
  <c r="E2755" i="105"/>
  <c r="D2755" i="105" s="1"/>
  <c r="E2756" i="105"/>
  <c r="D2756" i="105" s="1"/>
  <c r="E2757" i="105"/>
  <c r="D2757" i="105" s="1"/>
  <c r="E2758" i="105"/>
  <c r="D2758" i="105" s="1"/>
  <c r="E2759" i="105"/>
  <c r="D2759" i="105" s="1"/>
  <c r="E2760" i="105"/>
  <c r="D2760" i="105" s="1"/>
  <c r="E2761" i="105"/>
  <c r="D2761" i="105" s="1"/>
  <c r="E2762" i="105"/>
  <c r="D2762" i="105" s="1"/>
  <c r="E2763" i="105"/>
  <c r="D2763" i="105" s="1"/>
  <c r="E2764" i="105"/>
  <c r="D2764" i="105" s="1"/>
  <c r="E2765" i="105"/>
  <c r="D2765" i="105" s="1"/>
  <c r="E2766" i="105"/>
  <c r="D2766" i="105" s="1"/>
  <c r="E2767" i="105"/>
  <c r="D2767" i="105" s="1"/>
  <c r="E2768" i="105"/>
  <c r="D2768" i="105" s="1"/>
  <c r="E2769" i="105"/>
  <c r="D2769" i="105" s="1"/>
  <c r="E2770" i="105"/>
  <c r="D2770" i="105" s="1"/>
  <c r="E2771" i="105"/>
  <c r="D2771" i="105" s="1"/>
  <c r="E2772" i="105"/>
  <c r="D2772" i="105" s="1"/>
  <c r="E2773" i="105"/>
  <c r="D2773" i="105" s="1"/>
  <c r="E2774" i="105"/>
  <c r="D2774" i="105" s="1"/>
  <c r="E2775" i="105"/>
  <c r="D2775" i="105" s="1"/>
  <c r="E2776" i="105"/>
  <c r="D2776" i="105" s="1"/>
  <c r="E2777" i="105"/>
  <c r="D2777" i="105" s="1"/>
  <c r="E2778" i="105"/>
  <c r="D2778" i="105" s="1"/>
  <c r="E2779" i="105"/>
  <c r="D2779" i="105" s="1"/>
  <c r="E2780" i="105"/>
  <c r="D2780" i="105" s="1"/>
  <c r="E2781" i="105"/>
  <c r="D2781" i="105" s="1"/>
  <c r="E2782" i="105"/>
  <c r="D2782" i="105" s="1"/>
  <c r="E2783" i="105"/>
  <c r="D2783" i="105" s="1"/>
  <c r="E2784" i="105"/>
  <c r="D2784" i="105" s="1"/>
  <c r="E2785" i="105"/>
  <c r="D2785" i="105" s="1"/>
  <c r="E2786" i="105"/>
  <c r="D2786" i="105" s="1"/>
  <c r="E2787" i="105"/>
  <c r="D2787" i="105" s="1"/>
  <c r="E2788" i="105"/>
  <c r="D2788" i="105" s="1"/>
  <c r="E2789" i="105"/>
  <c r="D2789" i="105" s="1"/>
  <c r="E2790" i="105"/>
  <c r="D2790" i="105" s="1"/>
  <c r="E2791" i="105"/>
  <c r="D2791" i="105" s="1"/>
  <c r="E2792" i="105"/>
  <c r="D2792" i="105" s="1"/>
  <c r="E2793" i="105"/>
  <c r="D2793" i="105" s="1"/>
  <c r="E2794" i="105"/>
  <c r="D2794" i="105" s="1"/>
  <c r="E2795" i="105"/>
  <c r="D2795" i="105" s="1"/>
  <c r="E2796" i="105"/>
  <c r="D2796" i="105" s="1"/>
  <c r="E2797" i="105"/>
  <c r="D2797" i="105" s="1"/>
  <c r="E2798" i="105"/>
  <c r="D2798" i="105" s="1"/>
  <c r="E2799" i="105"/>
  <c r="D2799" i="105" s="1"/>
  <c r="E2800" i="105"/>
  <c r="D2800" i="105" s="1"/>
  <c r="E2801" i="105"/>
  <c r="D2801" i="105" s="1"/>
  <c r="E2802" i="105"/>
  <c r="D2802" i="105" s="1"/>
  <c r="E2803" i="105"/>
  <c r="D2803" i="105" s="1"/>
  <c r="E2804" i="105"/>
  <c r="D2804" i="105" s="1"/>
  <c r="E2805" i="105"/>
  <c r="D2805" i="105" s="1"/>
  <c r="E2806" i="105"/>
  <c r="D2806" i="105" s="1"/>
  <c r="E2807" i="105"/>
  <c r="D2807" i="105" s="1"/>
  <c r="E2808" i="105"/>
  <c r="D2808" i="105" s="1"/>
  <c r="E2809" i="105"/>
  <c r="D2809" i="105" s="1"/>
  <c r="E2810" i="105"/>
  <c r="D2810" i="105" s="1"/>
  <c r="E2811" i="105"/>
  <c r="D2811" i="105" s="1"/>
  <c r="E2812" i="105"/>
  <c r="D2812" i="105" s="1"/>
  <c r="E2813" i="105"/>
  <c r="D2813" i="105" s="1"/>
  <c r="E2814" i="105"/>
  <c r="D2814" i="105" s="1"/>
  <c r="E2815" i="105"/>
  <c r="D2815" i="105" s="1"/>
  <c r="E2816" i="105"/>
  <c r="D2816" i="105" s="1"/>
  <c r="E2817" i="105"/>
  <c r="D2817" i="105" s="1"/>
  <c r="E2818" i="105"/>
  <c r="D2818" i="105" s="1"/>
  <c r="E2819" i="105"/>
  <c r="D2819" i="105" s="1"/>
  <c r="E2820" i="105"/>
  <c r="D2820" i="105" s="1"/>
  <c r="E2821" i="105"/>
  <c r="D2821" i="105" s="1"/>
  <c r="E2822" i="105"/>
  <c r="D2822" i="105" s="1"/>
  <c r="E2823" i="105"/>
  <c r="D2823" i="105" s="1"/>
  <c r="E2824" i="105"/>
  <c r="D2824" i="105" s="1"/>
  <c r="E2825" i="105"/>
  <c r="D2825" i="105" s="1"/>
  <c r="E2826" i="105"/>
  <c r="D2826" i="105" s="1"/>
  <c r="E2827" i="105"/>
  <c r="D2827" i="105" s="1"/>
  <c r="E2828" i="105"/>
  <c r="D2828" i="105" s="1"/>
  <c r="E2829" i="105"/>
  <c r="D2829" i="105" s="1"/>
  <c r="E2830" i="105"/>
  <c r="D2830" i="105" s="1"/>
  <c r="E2831" i="105"/>
  <c r="D2831" i="105" s="1"/>
  <c r="E2832" i="105"/>
  <c r="D2832" i="105" s="1"/>
  <c r="E2833" i="105"/>
  <c r="D2833" i="105" s="1"/>
  <c r="E2834" i="105"/>
  <c r="D2834" i="105" s="1"/>
  <c r="E2835" i="105"/>
  <c r="D2835" i="105" s="1"/>
  <c r="E2836" i="105"/>
  <c r="D2836" i="105" s="1"/>
  <c r="E2837" i="105"/>
  <c r="D2837" i="105" s="1"/>
  <c r="E2838" i="105"/>
  <c r="D2838" i="105" s="1"/>
  <c r="E2839" i="105"/>
  <c r="D2839" i="105" s="1"/>
  <c r="E2840" i="105"/>
  <c r="D2840" i="105" s="1"/>
  <c r="E2841" i="105"/>
  <c r="D2841" i="105" s="1"/>
  <c r="E2842" i="105"/>
  <c r="D2842" i="105" s="1"/>
  <c r="E2843" i="105"/>
  <c r="D2843" i="105" s="1"/>
  <c r="E2844" i="105"/>
  <c r="D2844" i="105" s="1"/>
  <c r="E2845" i="105"/>
  <c r="D2845" i="105" s="1"/>
  <c r="E2846" i="105"/>
  <c r="D2846" i="105" s="1"/>
  <c r="E2847" i="105"/>
  <c r="D2847" i="105" s="1"/>
  <c r="E2848" i="105"/>
  <c r="D2848" i="105" s="1"/>
  <c r="E2849" i="105"/>
  <c r="D2849" i="105" s="1"/>
  <c r="E2850" i="105"/>
  <c r="D2850" i="105" s="1"/>
  <c r="E2851" i="105"/>
  <c r="D2851" i="105" s="1"/>
  <c r="E2852" i="105"/>
  <c r="D2852" i="105" s="1"/>
  <c r="E2853" i="105"/>
  <c r="D2853" i="105" s="1"/>
  <c r="E2854" i="105"/>
  <c r="D2854" i="105" s="1"/>
  <c r="E2855" i="105"/>
  <c r="D2855" i="105" s="1"/>
  <c r="E2856" i="105"/>
  <c r="D2856" i="105" s="1"/>
  <c r="E2857" i="105"/>
  <c r="D2857" i="105" s="1"/>
  <c r="E2858" i="105"/>
  <c r="D2858" i="105" s="1"/>
  <c r="E2859" i="105"/>
  <c r="D2859" i="105" s="1"/>
  <c r="E2860" i="105"/>
  <c r="D2860" i="105" s="1"/>
  <c r="E2861" i="105"/>
  <c r="D2861" i="105" s="1"/>
  <c r="E2862" i="105"/>
  <c r="D2862" i="105" s="1"/>
  <c r="E2863" i="105"/>
  <c r="D2863" i="105" s="1"/>
  <c r="E2864" i="105"/>
  <c r="D2864" i="105" s="1"/>
  <c r="E2865" i="105"/>
  <c r="D2865" i="105" s="1"/>
  <c r="E2866" i="105"/>
  <c r="D2866" i="105" s="1"/>
  <c r="E2867" i="105"/>
  <c r="D2867" i="105" s="1"/>
  <c r="E2868" i="105"/>
  <c r="D2868" i="105" s="1"/>
  <c r="E2869" i="105"/>
  <c r="D2869" i="105" s="1"/>
  <c r="E2870" i="105"/>
  <c r="D2870" i="105" s="1"/>
  <c r="E2871" i="105"/>
  <c r="D2871" i="105" s="1"/>
  <c r="E2872" i="105"/>
  <c r="D2872" i="105" s="1"/>
  <c r="E2873" i="105"/>
  <c r="D2873" i="105" s="1"/>
  <c r="E2874" i="105"/>
  <c r="D2874" i="105" s="1"/>
  <c r="E2875" i="105"/>
  <c r="D2875" i="105" s="1"/>
  <c r="E2876" i="105"/>
  <c r="D2876" i="105" s="1"/>
  <c r="E2877" i="105"/>
  <c r="D2877" i="105" s="1"/>
  <c r="E2878" i="105"/>
  <c r="D2878" i="105" s="1"/>
  <c r="E2879" i="105"/>
  <c r="D2879" i="105" s="1"/>
  <c r="E2880" i="105"/>
  <c r="D2880" i="105" s="1"/>
  <c r="E2881" i="105"/>
  <c r="D2881" i="105" s="1"/>
  <c r="E2882" i="105"/>
  <c r="D2882" i="105" s="1"/>
  <c r="E2883" i="105"/>
  <c r="D2883" i="105" s="1"/>
  <c r="E2884" i="105"/>
  <c r="D2884" i="105" s="1"/>
  <c r="E2885" i="105"/>
  <c r="D2885" i="105" s="1"/>
  <c r="E2886" i="105"/>
  <c r="D2886" i="105" s="1"/>
  <c r="E2887" i="105"/>
  <c r="D2887" i="105" s="1"/>
  <c r="E2888" i="105"/>
  <c r="D2888" i="105" s="1"/>
  <c r="E2889" i="105"/>
  <c r="D2889" i="105" s="1"/>
  <c r="E2890" i="105"/>
  <c r="D2890" i="105" s="1"/>
  <c r="E2891" i="105"/>
  <c r="D2891" i="105" s="1"/>
  <c r="E2892" i="105"/>
  <c r="D2892" i="105" s="1"/>
  <c r="E2893" i="105"/>
  <c r="D2893" i="105" s="1"/>
  <c r="E2894" i="105"/>
  <c r="D2894" i="105" s="1"/>
  <c r="E2895" i="105"/>
  <c r="D2895" i="105" s="1"/>
  <c r="E2896" i="105"/>
  <c r="D2896" i="105" s="1"/>
  <c r="E2897" i="105"/>
  <c r="D2897" i="105" s="1"/>
  <c r="E2898" i="105"/>
  <c r="D2898" i="105" s="1"/>
  <c r="E2899" i="105"/>
  <c r="D2899" i="105" s="1"/>
  <c r="E2900" i="105"/>
  <c r="D2900" i="105" s="1"/>
  <c r="E2901" i="105"/>
  <c r="D2901" i="105" s="1"/>
  <c r="E2902" i="105"/>
  <c r="D2902" i="105" s="1"/>
  <c r="E2903" i="105"/>
  <c r="D2903" i="105" s="1"/>
  <c r="E2904" i="105"/>
  <c r="D2904" i="105" s="1"/>
  <c r="E2905" i="105"/>
  <c r="D2905" i="105" s="1"/>
  <c r="E2906" i="105"/>
  <c r="D2906" i="105" s="1"/>
  <c r="E2907" i="105"/>
  <c r="D2907" i="105" s="1"/>
  <c r="E2908" i="105"/>
  <c r="D2908" i="105" s="1"/>
  <c r="E2909" i="105"/>
  <c r="D2909" i="105" s="1"/>
  <c r="E2910" i="105"/>
  <c r="D2910" i="105" s="1"/>
  <c r="E2911" i="105"/>
  <c r="D2911" i="105" s="1"/>
  <c r="E2912" i="105"/>
  <c r="D2912" i="105" s="1"/>
  <c r="E2913" i="105"/>
  <c r="D2913" i="105" s="1"/>
  <c r="E2914" i="105"/>
  <c r="D2914" i="105" s="1"/>
  <c r="E2915" i="105"/>
  <c r="D2915" i="105" s="1"/>
  <c r="E2916" i="105"/>
  <c r="D2916" i="105" s="1"/>
  <c r="E2917" i="105"/>
  <c r="D2917" i="105" s="1"/>
  <c r="E2918" i="105"/>
  <c r="D2918" i="105" s="1"/>
  <c r="E2919" i="105"/>
  <c r="D2919" i="105" s="1"/>
  <c r="E2920" i="105"/>
  <c r="D2920" i="105" s="1"/>
  <c r="E2921" i="105"/>
  <c r="D2921" i="105" s="1"/>
  <c r="E2922" i="105"/>
  <c r="D2922" i="105" s="1"/>
  <c r="E2923" i="105"/>
  <c r="D2923" i="105" s="1"/>
  <c r="E2924" i="105"/>
  <c r="D2924" i="105" s="1"/>
  <c r="E2925" i="105"/>
  <c r="D2925" i="105" s="1"/>
  <c r="E2926" i="105"/>
  <c r="D2926" i="105" s="1"/>
  <c r="E2927" i="105"/>
  <c r="D2927" i="105" s="1"/>
  <c r="E2928" i="105"/>
  <c r="D2928" i="105" s="1"/>
  <c r="E2929" i="105"/>
  <c r="D2929" i="105" s="1"/>
  <c r="E2930" i="105"/>
  <c r="D2930" i="105" s="1"/>
  <c r="E2931" i="105"/>
  <c r="D2931" i="105" s="1"/>
  <c r="E2932" i="105"/>
  <c r="D2932" i="105" s="1"/>
  <c r="E2933" i="105"/>
  <c r="D2933" i="105" s="1"/>
  <c r="E2934" i="105"/>
  <c r="D2934" i="105" s="1"/>
  <c r="E2935" i="105"/>
  <c r="D2935" i="105" s="1"/>
  <c r="E2936" i="105"/>
  <c r="D2936" i="105" s="1"/>
  <c r="E2937" i="105"/>
  <c r="D2937" i="105" s="1"/>
  <c r="E2938" i="105"/>
  <c r="D2938" i="105" s="1"/>
  <c r="E2939" i="105"/>
  <c r="D2939" i="105" s="1"/>
  <c r="E2940" i="105"/>
  <c r="D2940" i="105" s="1"/>
  <c r="E2941" i="105"/>
  <c r="D2941" i="105" s="1"/>
  <c r="E2942" i="105"/>
  <c r="D2942" i="105" s="1"/>
  <c r="E2943" i="105"/>
  <c r="D2943" i="105" s="1"/>
  <c r="E2944" i="105"/>
  <c r="D2944" i="105" s="1"/>
  <c r="E2945" i="105"/>
  <c r="D2945" i="105" s="1"/>
  <c r="E2946" i="105"/>
  <c r="D2946" i="105" s="1"/>
  <c r="E2947" i="105"/>
  <c r="D2947" i="105" s="1"/>
  <c r="E2948" i="105"/>
  <c r="D2948" i="105" s="1"/>
  <c r="E2949" i="105"/>
  <c r="D2949" i="105" s="1"/>
  <c r="E2950" i="105"/>
  <c r="D2950" i="105" s="1"/>
  <c r="E2951" i="105"/>
  <c r="D2951" i="105" s="1"/>
  <c r="E2952" i="105"/>
  <c r="D2952" i="105" s="1"/>
  <c r="E2953" i="105"/>
  <c r="D2953" i="105" s="1"/>
  <c r="E2954" i="105"/>
  <c r="D2954" i="105" s="1"/>
  <c r="E2955" i="105"/>
  <c r="D2955" i="105" s="1"/>
  <c r="E2956" i="105"/>
  <c r="D2956" i="105" s="1"/>
  <c r="E2957" i="105"/>
  <c r="D2957" i="105" s="1"/>
  <c r="E2958" i="105"/>
  <c r="D2958" i="105" s="1"/>
  <c r="E2959" i="105"/>
  <c r="D2959" i="105" s="1"/>
  <c r="E2960" i="105"/>
  <c r="D2960" i="105" s="1"/>
  <c r="E2961" i="105"/>
  <c r="D2961" i="105" s="1"/>
  <c r="E2962" i="105"/>
  <c r="D2962" i="105" s="1"/>
  <c r="E2963" i="105"/>
  <c r="D2963" i="105" s="1"/>
  <c r="E2964" i="105"/>
  <c r="D2964" i="105" s="1"/>
  <c r="E2965" i="105"/>
  <c r="D2965" i="105" s="1"/>
  <c r="E2966" i="105"/>
  <c r="D2966" i="105" s="1"/>
  <c r="E2967" i="105"/>
  <c r="D2967" i="105" s="1"/>
  <c r="E2968" i="105"/>
  <c r="D2968" i="105" s="1"/>
  <c r="E2969" i="105"/>
  <c r="D2969" i="105" s="1"/>
  <c r="E2970" i="105"/>
  <c r="D2970" i="105" s="1"/>
  <c r="E2971" i="105"/>
  <c r="D2971" i="105" s="1"/>
  <c r="E2972" i="105"/>
  <c r="D2972" i="105" s="1"/>
  <c r="E2973" i="105"/>
  <c r="D2973" i="105" s="1"/>
  <c r="E2974" i="105"/>
  <c r="D2974" i="105" s="1"/>
  <c r="E2975" i="105"/>
  <c r="D2975" i="105" s="1"/>
  <c r="E2976" i="105"/>
  <c r="D2976" i="105" s="1"/>
  <c r="E2977" i="105"/>
  <c r="D2977" i="105" s="1"/>
  <c r="E2978" i="105"/>
  <c r="D2978" i="105" s="1"/>
  <c r="E2979" i="105"/>
  <c r="D2979" i="105" s="1"/>
  <c r="E2980" i="105"/>
  <c r="D2980" i="105" s="1"/>
  <c r="E2981" i="105"/>
  <c r="D2981" i="105" s="1"/>
  <c r="E2982" i="105"/>
  <c r="D2982" i="105" s="1"/>
  <c r="E2983" i="105"/>
  <c r="D2983" i="105" s="1"/>
  <c r="E2984" i="105"/>
  <c r="D2984" i="105" s="1"/>
  <c r="E2985" i="105"/>
  <c r="D2985" i="105" s="1"/>
  <c r="E2986" i="105"/>
  <c r="D2986" i="105" s="1"/>
  <c r="E2987" i="105"/>
  <c r="D2987" i="105" s="1"/>
  <c r="E2988" i="105"/>
  <c r="D2988" i="105" s="1"/>
  <c r="E2989" i="105"/>
  <c r="D2989" i="105" s="1"/>
  <c r="E2990" i="105"/>
  <c r="D2990" i="105" s="1"/>
  <c r="E2991" i="105"/>
  <c r="D2991" i="105" s="1"/>
  <c r="E2992" i="105"/>
  <c r="D2992" i="105" s="1"/>
  <c r="E2993" i="105"/>
  <c r="D2993" i="105" s="1"/>
  <c r="E2994" i="105"/>
  <c r="D2994" i="105" s="1"/>
  <c r="E2995" i="105"/>
  <c r="D2995" i="105" s="1"/>
  <c r="E2996" i="105"/>
  <c r="D2996" i="105" s="1"/>
  <c r="E2997" i="105"/>
  <c r="D2997" i="105" s="1"/>
  <c r="E2998" i="105"/>
  <c r="D2998" i="105" s="1"/>
  <c r="E2999" i="105"/>
  <c r="D2999" i="105" s="1"/>
  <c r="E3000" i="105"/>
  <c r="D3000" i="105" s="1"/>
  <c r="E3001" i="105"/>
  <c r="D3001" i="105" s="1"/>
  <c r="E3002" i="105"/>
  <c r="D3002" i="105" s="1"/>
  <c r="E3003" i="105"/>
  <c r="D3003" i="105" s="1"/>
  <c r="E3004" i="105"/>
  <c r="D3004" i="105" s="1"/>
  <c r="E3005" i="105"/>
  <c r="D3005" i="105" s="1"/>
  <c r="E3006" i="105"/>
  <c r="D3006" i="105" s="1"/>
  <c r="E3007" i="105"/>
  <c r="D3007" i="105" s="1"/>
  <c r="E3008" i="105"/>
  <c r="D3008" i="105" s="1"/>
  <c r="E3009" i="105"/>
  <c r="D3009" i="105" s="1"/>
  <c r="E3010" i="105"/>
  <c r="D3010" i="105" s="1"/>
  <c r="E3011" i="105"/>
  <c r="D3011" i="105" s="1"/>
  <c r="E3012" i="105"/>
  <c r="D3012" i="105" s="1"/>
  <c r="E3013" i="105"/>
  <c r="D3013" i="105" s="1"/>
  <c r="E3014" i="105"/>
  <c r="D3014" i="105" s="1"/>
  <c r="E3015" i="105"/>
  <c r="D3015" i="105" s="1"/>
  <c r="E3016" i="105"/>
  <c r="D3016" i="105" s="1"/>
  <c r="E3017" i="105"/>
  <c r="D3017" i="105" s="1"/>
  <c r="E3018" i="105"/>
  <c r="D3018" i="105" s="1"/>
  <c r="E3019" i="105"/>
  <c r="D3019" i="105" s="1"/>
  <c r="E3020" i="105"/>
  <c r="D3020" i="105" s="1"/>
  <c r="E3021" i="105"/>
  <c r="D3021" i="105" s="1"/>
  <c r="E3022" i="105"/>
  <c r="D3022" i="105" s="1"/>
  <c r="E3023" i="105"/>
  <c r="D3023" i="105" s="1"/>
  <c r="E3024" i="105"/>
  <c r="D3024" i="105" s="1"/>
  <c r="E3025" i="105"/>
  <c r="D3025" i="105" s="1"/>
  <c r="E3026" i="105"/>
  <c r="D3026" i="105" s="1"/>
  <c r="E3027" i="105"/>
  <c r="D3027" i="105" s="1"/>
  <c r="E3028" i="105"/>
  <c r="D3028" i="105" s="1"/>
  <c r="E3029" i="105"/>
  <c r="D3029" i="105" s="1"/>
  <c r="E3030" i="105"/>
  <c r="D3030" i="105" s="1"/>
  <c r="E3031" i="105"/>
  <c r="D3031" i="105" s="1"/>
  <c r="E3032" i="105"/>
  <c r="D3032" i="105" s="1"/>
  <c r="E3033" i="105"/>
  <c r="D3033" i="105" s="1"/>
  <c r="E3034" i="105"/>
  <c r="D3034" i="105" s="1"/>
  <c r="E3035" i="105"/>
  <c r="D3035" i="105" s="1"/>
  <c r="E3036" i="105"/>
  <c r="D3036" i="105" s="1"/>
  <c r="E3037" i="105"/>
  <c r="D3037" i="105" s="1"/>
  <c r="E3038" i="105"/>
  <c r="D3038" i="105" s="1"/>
  <c r="E3039" i="105"/>
  <c r="D3039" i="105" s="1"/>
  <c r="E3040" i="105"/>
  <c r="D3040" i="105" s="1"/>
  <c r="E3041" i="105"/>
  <c r="D3041" i="105" s="1"/>
  <c r="E3042" i="105"/>
  <c r="D3042" i="105" s="1"/>
  <c r="E3043" i="105"/>
  <c r="D3043" i="105" s="1"/>
  <c r="E3044" i="105"/>
  <c r="D3044" i="105" s="1"/>
  <c r="E3045" i="105"/>
  <c r="D3045" i="105" s="1"/>
  <c r="E3046" i="105"/>
  <c r="D3046" i="105" s="1"/>
  <c r="E3047" i="105"/>
  <c r="D3047" i="105" s="1"/>
  <c r="E3048" i="105"/>
  <c r="D3048" i="105" s="1"/>
  <c r="E3049" i="105"/>
  <c r="D3049" i="105" s="1"/>
  <c r="E3050" i="105"/>
  <c r="D3050" i="105" s="1"/>
  <c r="E3051" i="105"/>
  <c r="D3051" i="105" s="1"/>
  <c r="E3052" i="105"/>
  <c r="D3052" i="105" s="1"/>
  <c r="E3053" i="105"/>
  <c r="D3053" i="105" s="1"/>
  <c r="E3054" i="105"/>
  <c r="D3054" i="105" s="1"/>
  <c r="E3055" i="105"/>
  <c r="D3055" i="105" s="1"/>
  <c r="E3056" i="105"/>
  <c r="D3056" i="105" s="1"/>
  <c r="E3057" i="105"/>
  <c r="D3057" i="105" s="1"/>
  <c r="E3058" i="105"/>
  <c r="D3058" i="105" s="1"/>
  <c r="E3059" i="105"/>
  <c r="D3059" i="105" s="1"/>
  <c r="E3060" i="105"/>
  <c r="D3060" i="105" s="1"/>
  <c r="E3061" i="105"/>
  <c r="D3061" i="105" s="1"/>
  <c r="E3062" i="105"/>
  <c r="D3062" i="105" s="1"/>
  <c r="E3063" i="105"/>
  <c r="D3063" i="105" s="1"/>
  <c r="E3064" i="105"/>
  <c r="D3064" i="105" s="1"/>
  <c r="E3065" i="105"/>
  <c r="D3065" i="105" s="1"/>
  <c r="E3066" i="105"/>
  <c r="D3066" i="105" s="1"/>
  <c r="E3067" i="105"/>
  <c r="D3067" i="105" s="1"/>
  <c r="E3068" i="105"/>
  <c r="D3068" i="105" s="1"/>
  <c r="E3069" i="105"/>
  <c r="D3069" i="105" s="1"/>
  <c r="E3070" i="105"/>
  <c r="D3070" i="105" s="1"/>
  <c r="E3071" i="105"/>
  <c r="D3071" i="105" s="1"/>
  <c r="E3072" i="105"/>
  <c r="D3072" i="105" s="1"/>
  <c r="E3073" i="105"/>
  <c r="D3073" i="105" s="1"/>
  <c r="E3074" i="105"/>
  <c r="D3074" i="105" s="1"/>
  <c r="E3075" i="105"/>
  <c r="D3075" i="105" s="1"/>
  <c r="E3076" i="105"/>
  <c r="D3076" i="105" s="1"/>
  <c r="E3077" i="105"/>
  <c r="D3077" i="105" s="1"/>
  <c r="E3078" i="105"/>
  <c r="D3078" i="105" s="1"/>
  <c r="E3079" i="105"/>
  <c r="D3079" i="105" s="1"/>
  <c r="E3080" i="105"/>
  <c r="D3080" i="105" s="1"/>
  <c r="E3081" i="105"/>
  <c r="D3081" i="105" s="1"/>
  <c r="E3082" i="105"/>
  <c r="D3082" i="105" s="1"/>
  <c r="E3083" i="105"/>
  <c r="D3083" i="105" s="1"/>
  <c r="E3084" i="105"/>
  <c r="D3084" i="105" s="1"/>
  <c r="E3085" i="105"/>
  <c r="D3085" i="105" s="1"/>
  <c r="E3086" i="105"/>
  <c r="D3086" i="105" s="1"/>
  <c r="E3087" i="105"/>
  <c r="D3087" i="105" s="1"/>
  <c r="E3088" i="105"/>
  <c r="D3088" i="105" s="1"/>
  <c r="E3089" i="105"/>
  <c r="D3089" i="105" s="1"/>
  <c r="E3090" i="105"/>
  <c r="D3090" i="105" s="1"/>
  <c r="E3091" i="105"/>
  <c r="D3091" i="105" s="1"/>
  <c r="E3092" i="105"/>
  <c r="D3092" i="105" s="1"/>
  <c r="E3093" i="105"/>
  <c r="D3093" i="105" s="1"/>
  <c r="E3094" i="105"/>
  <c r="D3094" i="105" s="1"/>
  <c r="E3095" i="105"/>
  <c r="D3095" i="105" s="1"/>
  <c r="E3096" i="105"/>
  <c r="D3096" i="105" s="1"/>
  <c r="E3097" i="105"/>
  <c r="D3097" i="105" s="1"/>
  <c r="E3098" i="105"/>
  <c r="D3098" i="105" s="1"/>
  <c r="E3099" i="105"/>
  <c r="D3099" i="105" s="1"/>
  <c r="E3100" i="105"/>
  <c r="D3100" i="105" s="1"/>
  <c r="E3101" i="105"/>
  <c r="D3101" i="105" s="1"/>
  <c r="E3102" i="105"/>
  <c r="D3102" i="105" s="1"/>
  <c r="E3103" i="105"/>
  <c r="D3103" i="105" s="1"/>
  <c r="E3104" i="105"/>
  <c r="D3104" i="105" s="1"/>
  <c r="E3105" i="105"/>
  <c r="D3105" i="105" s="1"/>
  <c r="E3106" i="105"/>
  <c r="D3106" i="105" s="1"/>
  <c r="E3107" i="105"/>
  <c r="D3107" i="105" s="1"/>
  <c r="E3108" i="105"/>
  <c r="D3108" i="105" s="1"/>
  <c r="E3109" i="105"/>
  <c r="D3109" i="105" s="1"/>
  <c r="E3110" i="105"/>
  <c r="D3110" i="105" s="1"/>
  <c r="E3111" i="105"/>
  <c r="D3111" i="105" s="1"/>
  <c r="E3112" i="105"/>
  <c r="D3112" i="105" s="1"/>
  <c r="E3113" i="105"/>
  <c r="D3113" i="105" s="1"/>
  <c r="E3114" i="105"/>
  <c r="D3114" i="105" s="1"/>
  <c r="E3115" i="105"/>
  <c r="D3115" i="105" s="1"/>
  <c r="E3116" i="105"/>
  <c r="D3116" i="105" s="1"/>
  <c r="E3117" i="105"/>
  <c r="D3117" i="105" s="1"/>
  <c r="E3118" i="105"/>
  <c r="D3118" i="105" s="1"/>
  <c r="E3119" i="105"/>
  <c r="D3119" i="105" s="1"/>
  <c r="E3120" i="105"/>
  <c r="D3120" i="105" s="1"/>
  <c r="E3121" i="105"/>
  <c r="D3121" i="105" s="1"/>
  <c r="E3122" i="105"/>
  <c r="D3122" i="105" s="1"/>
  <c r="E3123" i="105"/>
  <c r="D3123" i="105" s="1"/>
  <c r="E3124" i="105"/>
  <c r="D3124" i="105" s="1"/>
  <c r="E3125" i="105"/>
  <c r="D3125" i="105" s="1"/>
  <c r="E3126" i="105"/>
  <c r="D3126" i="105" s="1"/>
  <c r="E3127" i="105"/>
  <c r="D3127" i="105" s="1"/>
  <c r="E3128" i="105"/>
  <c r="D3128" i="105" s="1"/>
  <c r="E3129" i="105"/>
  <c r="D3129" i="105" s="1"/>
  <c r="E3130" i="105"/>
  <c r="D3130" i="105" s="1"/>
  <c r="E3131" i="105"/>
  <c r="D3131" i="105" s="1"/>
  <c r="E3132" i="105"/>
  <c r="D3132" i="105" s="1"/>
  <c r="E3133" i="105"/>
  <c r="D3133" i="105" s="1"/>
  <c r="E3134" i="105"/>
  <c r="D3134" i="105" s="1"/>
  <c r="E3135" i="105"/>
  <c r="D3135" i="105" s="1"/>
  <c r="E3136" i="105"/>
  <c r="D3136" i="105" s="1"/>
  <c r="E3137" i="105"/>
  <c r="D3137" i="105" s="1"/>
  <c r="E3138" i="105"/>
  <c r="D3138" i="105" s="1"/>
  <c r="E3139" i="105"/>
  <c r="D3139" i="105" s="1"/>
  <c r="E3140" i="105"/>
  <c r="D3140" i="105" s="1"/>
  <c r="E3141" i="105"/>
  <c r="D3141" i="105" s="1"/>
  <c r="E3142" i="105"/>
  <c r="D3142" i="105" s="1"/>
  <c r="E3143" i="105"/>
  <c r="D3143" i="105" s="1"/>
  <c r="E3144" i="105"/>
  <c r="D3144" i="105" s="1"/>
  <c r="E3145" i="105"/>
  <c r="D3145" i="105" s="1"/>
  <c r="E3146" i="105"/>
  <c r="D3146" i="105" s="1"/>
  <c r="E3147" i="105"/>
  <c r="D3147" i="105" s="1"/>
  <c r="E3148" i="105"/>
  <c r="D3148" i="105" s="1"/>
  <c r="E3149" i="105"/>
  <c r="D3149" i="105" s="1"/>
  <c r="E3150" i="105"/>
  <c r="D3150" i="105" s="1"/>
  <c r="E3151" i="105"/>
  <c r="D3151" i="105" s="1"/>
  <c r="E3152" i="105"/>
  <c r="D3152" i="105" s="1"/>
  <c r="E3153" i="105"/>
  <c r="D3153" i="105" s="1"/>
  <c r="E3154" i="105"/>
  <c r="D3154" i="105" s="1"/>
  <c r="E3155" i="105"/>
  <c r="D3155" i="105" s="1"/>
  <c r="E3156" i="105"/>
  <c r="D3156" i="105" s="1"/>
  <c r="E3157" i="105"/>
  <c r="D3157" i="105" s="1"/>
  <c r="E3158" i="105"/>
  <c r="D3158" i="105" s="1"/>
  <c r="E3159" i="105"/>
  <c r="D3159" i="105" s="1"/>
  <c r="E3160" i="105"/>
  <c r="D3160" i="105" s="1"/>
  <c r="E3161" i="105"/>
  <c r="D3161" i="105" s="1"/>
  <c r="E3162" i="105"/>
  <c r="D3162" i="105" s="1"/>
  <c r="E3163" i="105"/>
  <c r="D3163" i="105" s="1"/>
  <c r="E3164" i="105"/>
  <c r="D3164" i="105" s="1"/>
  <c r="E3165" i="105"/>
  <c r="D3165" i="105" s="1"/>
  <c r="E3166" i="105"/>
  <c r="D3166" i="105" s="1"/>
  <c r="E3167" i="105"/>
  <c r="D3167" i="105" s="1"/>
  <c r="E3168" i="105"/>
  <c r="D3168" i="105" s="1"/>
  <c r="E3169" i="105"/>
  <c r="D3169" i="105" s="1"/>
  <c r="E3170" i="105"/>
  <c r="D3170" i="105" s="1"/>
  <c r="E3171" i="105"/>
  <c r="D3171" i="105" s="1"/>
  <c r="E3172" i="105"/>
  <c r="D3172" i="105" s="1"/>
  <c r="E3173" i="105"/>
  <c r="D3173" i="105" s="1"/>
  <c r="E3174" i="105"/>
  <c r="D3174" i="105" s="1"/>
  <c r="E3175" i="105"/>
  <c r="D3175" i="105" s="1"/>
  <c r="E3176" i="105"/>
  <c r="D3176" i="105" s="1"/>
  <c r="E3177" i="105"/>
  <c r="D3177" i="105" s="1"/>
  <c r="E3178" i="105"/>
  <c r="D3178" i="105" s="1"/>
  <c r="E3179" i="105"/>
  <c r="D3179" i="105" s="1"/>
  <c r="E3180" i="105"/>
  <c r="D3180" i="105" s="1"/>
  <c r="E3181" i="105"/>
  <c r="D3181" i="105" s="1"/>
  <c r="E3182" i="105"/>
  <c r="D3182" i="105" s="1"/>
  <c r="E3183" i="105"/>
  <c r="D3183" i="105" s="1"/>
  <c r="E3184" i="105"/>
  <c r="D3184" i="105" s="1"/>
  <c r="E3185" i="105"/>
  <c r="D3185" i="105" s="1"/>
  <c r="E3186" i="105"/>
  <c r="D3186" i="105" s="1"/>
  <c r="E3187" i="105"/>
  <c r="D3187" i="105" s="1"/>
  <c r="E3188" i="105"/>
  <c r="D3188" i="105" s="1"/>
  <c r="E3189" i="105"/>
  <c r="D3189" i="105" s="1"/>
  <c r="E3190" i="105"/>
  <c r="D3190" i="105" s="1"/>
  <c r="E3191" i="105"/>
  <c r="D3191" i="105" s="1"/>
  <c r="E3192" i="105"/>
  <c r="D3192" i="105" s="1"/>
  <c r="E3193" i="105"/>
  <c r="D3193" i="105" s="1"/>
  <c r="E3194" i="105"/>
  <c r="D3194" i="105" s="1"/>
  <c r="E3195" i="105"/>
  <c r="D3195" i="105" s="1"/>
  <c r="E3196" i="105"/>
  <c r="D3196" i="105" s="1"/>
  <c r="E3197" i="105"/>
  <c r="D3197" i="105" s="1"/>
  <c r="E3198" i="105"/>
  <c r="D3198" i="105" s="1"/>
  <c r="E3199" i="105"/>
  <c r="D3199" i="105" s="1"/>
  <c r="E3200" i="105"/>
  <c r="D3200" i="105" s="1"/>
  <c r="E3201" i="105"/>
  <c r="D3201" i="105" s="1"/>
  <c r="E3202" i="105"/>
  <c r="D3202" i="105" s="1"/>
  <c r="E3203" i="105"/>
  <c r="D3203" i="105" s="1"/>
  <c r="E3204" i="105"/>
  <c r="D3204" i="105" s="1"/>
  <c r="E3205" i="105"/>
  <c r="D3205" i="105" s="1"/>
  <c r="E3206" i="105"/>
  <c r="D3206" i="105" s="1"/>
  <c r="E3207" i="105"/>
  <c r="D3207" i="105" s="1"/>
  <c r="E3208" i="105"/>
  <c r="D3208" i="105" s="1"/>
  <c r="E3209" i="105"/>
  <c r="D3209" i="105" s="1"/>
  <c r="E3210" i="105"/>
  <c r="D3210" i="105" s="1"/>
  <c r="E3211" i="105"/>
  <c r="D3211" i="105" s="1"/>
  <c r="E3212" i="105"/>
  <c r="D3212" i="105" s="1"/>
  <c r="E3213" i="105"/>
  <c r="D3213" i="105" s="1"/>
  <c r="E3214" i="105"/>
  <c r="D3214" i="105" s="1"/>
  <c r="E3215" i="105"/>
  <c r="D3215" i="105" s="1"/>
  <c r="E3216" i="105"/>
  <c r="D3216" i="105" s="1"/>
  <c r="E3217" i="105"/>
  <c r="D3217" i="105" s="1"/>
  <c r="E3218" i="105"/>
  <c r="D3218" i="105" s="1"/>
  <c r="E3219" i="105"/>
  <c r="D3219" i="105" s="1"/>
  <c r="E3220" i="105"/>
  <c r="D3220" i="105" s="1"/>
  <c r="E3221" i="105"/>
  <c r="D3221" i="105" s="1"/>
  <c r="E3222" i="105"/>
  <c r="D3222" i="105" s="1"/>
  <c r="E3223" i="105"/>
  <c r="D3223" i="105" s="1"/>
  <c r="E3224" i="105"/>
  <c r="D3224" i="105" s="1"/>
  <c r="E3225" i="105"/>
  <c r="D3225" i="105" s="1"/>
  <c r="E3226" i="105"/>
  <c r="D3226" i="105" s="1"/>
  <c r="E3227" i="105"/>
  <c r="D3227" i="105" s="1"/>
  <c r="E3228" i="105"/>
  <c r="D3228" i="105" s="1"/>
  <c r="E3229" i="105"/>
  <c r="D3229" i="105" s="1"/>
  <c r="E3230" i="105"/>
  <c r="D3230" i="105" s="1"/>
  <c r="E3231" i="105"/>
  <c r="D3231" i="105" s="1"/>
  <c r="E3232" i="105"/>
  <c r="D3232" i="105" s="1"/>
  <c r="E3233" i="105"/>
  <c r="D3233" i="105" s="1"/>
  <c r="E3234" i="105"/>
  <c r="D3234" i="105" s="1"/>
  <c r="E3235" i="105"/>
  <c r="D3235" i="105" s="1"/>
  <c r="E3236" i="105"/>
  <c r="D3236" i="105" s="1"/>
  <c r="E3237" i="105"/>
  <c r="D3237" i="105" s="1"/>
  <c r="E3238" i="105"/>
  <c r="D3238" i="105" s="1"/>
  <c r="E3239" i="105"/>
  <c r="D3239" i="105" s="1"/>
  <c r="E3240" i="105"/>
  <c r="D3240" i="105" s="1"/>
  <c r="E3241" i="105"/>
  <c r="D3241" i="105" s="1"/>
  <c r="E3242" i="105"/>
  <c r="D3242" i="105" s="1"/>
  <c r="E3243" i="105"/>
  <c r="D3243" i="105" s="1"/>
  <c r="E3244" i="105"/>
  <c r="D3244" i="105" s="1"/>
  <c r="E3245" i="105"/>
  <c r="D3245" i="105" s="1"/>
  <c r="E3246" i="105"/>
  <c r="D3246" i="105" s="1"/>
  <c r="E3247" i="105"/>
  <c r="D3247" i="105" s="1"/>
  <c r="E3248" i="105"/>
  <c r="D3248" i="105" s="1"/>
  <c r="E3249" i="105"/>
  <c r="D3249" i="105" s="1"/>
  <c r="E3250" i="105"/>
  <c r="D3250" i="105" s="1"/>
  <c r="E3251" i="105"/>
  <c r="D3251" i="105" s="1"/>
  <c r="E3252" i="105"/>
  <c r="D3252" i="105" s="1"/>
  <c r="E3253" i="105"/>
  <c r="D3253" i="105" s="1"/>
  <c r="E3254" i="105"/>
  <c r="D3254" i="105" s="1"/>
  <c r="E3255" i="105"/>
  <c r="D3255" i="105" s="1"/>
  <c r="E3256" i="105"/>
  <c r="D3256" i="105" s="1"/>
  <c r="E3257" i="105"/>
  <c r="D3257" i="105" s="1"/>
  <c r="E3258" i="105"/>
  <c r="D3258" i="105" s="1"/>
  <c r="E3259" i="105"/>
  <c r="D3259" i="105" s="1"/>
  <c r="E3260" i="105"/>
  <c r="D3260" i="105" s="1"/>
  <c r="E3261" i="105"/>
  <c r="D3261" i="105" s="1"/>
  <c r="E3262" i="105"/>
  <c r="D3262" i="105" s="1"/>
  <c r="E3263" i="105"/>
  <c r="D3263" i="105" s="1"/>
  <c r="E3264" i="105"/>
  <c r="D3264" i="105" s="1"/>
  <c r="E3265" i="105"/>
  <c r="D3265" i="105" s="1"/>
  <c r="E3266" i="105"/>
  <c r="D3266" i="105" s="1"/>
  <c r="E3267" i="105"/>
  <c r="D3267" i="105" s="1"/>
  <c r="E3268" i="105"/>
  <c r="D3268" i="105" s="1"/>
  <c r="E3269" i="105"/>
  <c r="D3269" i="105" s="1"/>
  <c r="E3270" i="105"/>
  <c r="D3270" i="105" s="1"/>
  <c r="E3271" i="105"/>
  <c r="D3271" i="105" s="1"/>
  <c r="E3272" i="105"/>
  <c r="D3272" i="105" s="1"/>
  <c r="E3273" i="105"/>
  <c r="D3273" i="105" s="1"/>
  <c r="E3274" i="105"/>
  <c r="D3274" i="105" s="1"/>
  <c r="E3275" i="105"/>
  <c r="D3275" i="105" s="1"/>
  <c r="E3276" i="105"/>
  <c r="D3276" i="105" s="1"/>
  <c r="E3277" i="105"/>
  <c r="D3277" i="105" s="1"/>
  <c r="E3278" i="105"/>
  <c r="D3278" i="105" s="1"/>
  <c r="E3279" i="105"/>
  <c r="D3279" i="105" s="1"/>
  <c r="E3280" i="105"/>
  <c r="D3280" i="105" s="1"/>
  <c r="E3281" i="105"/>
  <c r="D3281" i="105" s="1"/>
  <c r="E3282" i="105"/>
  <c r="D3282" i="105" s="1"/>
  <c r="E3283" i="105"/>
  <c r="D3283" i="105" s="1"/>
  <c r="E3284" i="105"/>
  <c r="D3284" i="105" s="1"/>
  <c r="E3285" i="105"/>
  <c r="D3285" i="105" s="1"/>
  <c r="E3286" i="105"/>
  <c r="D3286" i="105" s="1"/>
  <c r="E3287" i="105"/>
  <c r="D3287" i="105" s="1"/>
  <c r="E3288" i="105"/>
  <c r="D3288" i="105" s="1"/>
  <c r="E3289" i="105"/>
  <c r="D3289" i="105" s="1"/>
  <c r="E3290" i="105"/>
  <c r="D3290" i="105" s="1"/>
  <c r="E3291" i="105"/>
  <c r="D3291" i="105" s="1"/>
  <c r="E3292" i="105"/>
  <c r="D3292" i="105" s="1"/>
  <c r="E3293" i="105"/>
  <c r="D3293" i="105" s="1"/>
  <c r="E3294" i="105"/>
  <c r="D3294" i="105" s="1"/>
  <c r="E3295" i="105"/>
  <c r="D3295" i="105" s="1"/>
  <c r="E3296" i="105"/>
  <c r="D3296" i="105" s="1"/>
  <c r="E3297" i="105"/>
  <c r="D3297" i="105" s="1"/>
  <c r="E3298" i="105"/>
  <c r="D3298" i="105" s="1"/>
  <c r="E3299" i="105"/>
  <c r="D3299" i="105" s="1"/>
  <c r="E3300" i="105"/>
  <c r="D3300" i="105" s="1"/>
  <c r="E3301" i="105"/>
  <c r="D3301" i="105" s="1"/>
  <c r="E3302" i="105"/>
  <c r="D3302" i="105" s="1"/>
  <c r="E3303" i="105"/>
  <c r="D3303" i="105" s="1"/>
  <c r="E3304" i="105"/>
  <c r="D3304" i="105" s="1"/>
  <c r="E3305" i="105"/>
  <c r="D3305" i="105" s="1"/>
  <c r="E3306" i="105"/>
  <c r="D3306" i="105" s="1"/>
  <c r="E3307" i="105"/>
  <c r="D3307" i="105" s="1"/>
  <c r="E3308" i="105"/>
  <c r="D3308" i="105" s="1"/>
  <c r="E3309" i="105"/>
  <c r="D3309" i="105" s="1"/>
  <c r="E3310" i="105"/>
  <c r="D3310" i="105" s="1"/>
  <c r="E3311" i="105"/>
  <c r="D3311" i="105" s="1"/>
  <c r="E3312" i="105"/>
  <c r="D3312" i="105" s="1"/>
  <c r="E3313" i="105"/>
  <c r="D3313" i="105" s="1"/>
  <c r="E3314" i="105"/>
  <c r="D3314" i="105" s="1"/>
  <c r="E3315" i="105"/>
  <c r="D3315" i="105" s="1"/>
  <c r="E3316" i="105"/>
  <c r="D3316" i="105" s="1"/>
  <c r="E3317" i="105"/>
  <c r="D3317" i="105" s="1"/>
  <c r="E3318" i="105"/>
  <c r="D3318" i="105" s="1"/>
  <c r="E3319" i="105"/>
  <c r="D3319" i="105" s="1"/>
  <c r="E3320" i="105"/>
  <c r="D3320" i="105" s="1"/>
  <c r="E3321" i="105"/>
  <c r="D3321" i="105" s="1"/>
  <c r="E3322" i="105"/>
  <c r="D3322" i="105" s="1"/>
  <c r="E3323" i="105"/>
  <c r="D3323" i="105" s="1"/>
  <c r="E3324" i="105"/>
  <c r="D3324" i="105" s="1"/>
  <c r="E3325" i="105"/>
  <c r="D3325" i="105" s="1"/>
  <c r="E3326" i="105"/>
  <c r="D3326" i="105" s="1"/>
  <c r="E3327" i="105"/>
  <c r="D3327" i="105" s="1"/>
  <c r="E3328" i="105"/>
  <c r="D3328" i="105" s="1"/>
  <c r="E3329" i="105"/>
  <c r="D3329" i="105" s="1"/>
  <c r="E3330" i="105"/>
  <c r="D3330" i="105" s="1"/>
  <c r="E3331" i="105"/>
  <c r="D3331" i="105" s="1"/>
  <c r="E3332" i="105"/>
  <c r="D3332" i="105" s="1"/>
  <c r="E3333" i="105"/>
  <c r="D3333" i="105" s="1"/>
  <c r="E3334" i="105"/>
  <c r="D3334" i="105" s="1"/>
  <c r="E3335" i="105"/>
  <c r="D3335" i="105" s="1"/>
  <c r="E3336" i="105"/>
  <c r="D3336" i="105" s="1"/>
  <c r="E3337" i="105"/>
  <c r="D3337" i="105" s="1"/>
  <c r="E3338" i="105"/>
  <c r="D3338" i="105" s="1"/>
  <c r="E3339" i="105"/>
  <c r="D3339" i="105" s="1"/>
  <c r="E3340" i="105"/>
  <c r="D3340" i="105" s="1"/>
  <c r="E3341" i="105"/>
  <c r="D3341" i="105" s="1"/>
  <c r="E3342" i="105"/>
  <c r="D3342" i="105" s="1"/>
  <c r="E3343" i="105"/>
  <c r="D3343" i="105" s="1"/>
  <c r="E3344" i="105"/>
  <c r="D3344" i="105" s="1"/>
  <c r="E3345" i="105"/>
  <c r="D3345" i="105" s="1"/>
  <c r="E3346" i="105"/>
  <c r="D3346" i="105" s="1"/>
  <c r="E3347" i="105"/>
  <c r="D3347" i="105" s="1"/>
  <c r="E3348" i="105"/>
  <c r="D3348" i="105" s="1"/>
  <c r="E3349" i="105"/>
  <c r="D3349" i="105" s="1"/>
  <c r="E3350" i="105"/>
  <c r="D3350" i="105" s="1"/>
  <c r="E3351" i="105"/>
  <c r="D3351" i="105" s="1"/>
  <c r="E3352" i="105"/>
  <c r="D3352" i="105" s="1"/>
  <c r="E3353" i="105"/>
  <c r="D3353" i="105" s="1"/>
  <c r="E3354" i="105"/>
  <c r="D3354" i="105" s="1"/>
  <c r="E3355" i="105"/>
  <c r="D3355" i="105" s="1"/>
  <c r="E3356" i="105"/>
  <c r="D3356" i="105" s="1"/>
  <c r="E3357" i="105"/>
  <c r="D3357" i="105" s="1"/>
  <c r="E3358" i="105"/>
  <c r="D3358" i="105" s="1"/>
  <c r="E3359" i="105"/>
  <c r="D3359" i="105" s="1"/>
  <c r="E3360" i="105"/>
  <c r="D3360" i="105" s="1"/>
  <c r="E3361" i="105"/>
  <c r="D3361" i="105" s="1"/>
  <c r="E3362" i="105"/>
  <c r="D3362" i="105" s="1"/>
  <c r="E3363" i="105"/>
  <c r="D3363" i="105" s="1"/>
  <c r="E3364" i="105"/>
  <c r="D3364" i="105" s="1"/>
  <c r="E3365" i="105"/>
  <c r="D3365" i="105" s="1"/>
  <c r="E3366" i="105"/>
  <c r="D3366" i="105" s="1"/>
  <c r="E3367" i="105"/>
  <c r="D3367" i="105" s="1"/>
  <c r="H412" i="103"/>
  <c r="G412" i="103"/>
  <c r="F412" i="103"/>
  <c r="E412" i="103"/>
  <c r="D412" i="103" s="1"/>
  <c r="H815" i="103"/>
  <c r="G815" i="103"/>
  <c r="F815" i="103"/>
  <c r="E815" i="103"/>
  <c r="D815" i="103" s="1"/>
  <c r="H839" i="103"/>
  <c r="G839" i="103"/>
  <c r="F839" i="103"/>
  <c r="E839" i="103"/>
  <c r="D839" i="103" s="1"/>
  <c r="H550" i="103"/>
  <c r="G550" i="103"/>
  <c r="F550" i="103"/>
  <c r="E550" i="103"/>
  <c r="D550" i="103" s="1"/>
  <c r="H61" i="103"/>
  <c r="G61" i="103"/>
  <c r="F61" i="103"/>
  <c r="E61" i="103"/>
  <c r="D61" i="103" s="1"/>
  <c r="H55" i="103"/>
  <c r="G55" i="103"/>
  <c r="F55" i="103"/>
  <c r="E55" i="103"/>
  <c r="D55" i="103"/>
  <c r="H614" i="103"/>
  <c r="G614" i="103"/>
  <c r="F614" i="103"/>
  <c r="E614" i="103"/>
  <c r="D614" i="103" s="1"/>
  <c r="H1110" i="103"/>
  <c r="G1110" i="103"/>
  <c r="F1110" i="103"/>
  <c r="E1110" i="103"/>
  <c r="D1110" i="103" s="1"/>
  <c r="H405" i="103"/>
  <c r="G405" i="103"/>
  <c r="F405" i="103"/>
  <c r="E405" i="103"/>
  <c r="D405" i="103" s="1"/>
  <c r="H207" i="103"/>
  <c r="G207" i="103"/>
  <c r="F207" i="103"/>
  <c r="E207" i="103"/>
  <c r="D207" i="103" s="1"/>
  <c r="H661" i="103"/>
  <c r="G661" i="103"/>
  <c r="F661" i="103"/>
  <c r="E661" i="103"/>
  <c r="D661" i="103" s="1"/>
  <c r="H938" i="103"/>
  <c r="G938" i="103"/>
  <c r="F938" i="103"/>
  <c r="E938" i="103"/>
  <c r="D938" i="103" s="1"/>
  <c r="H336" i="103"/>
  <c r="G336" i="103"/>
  <c r="F336" i="103"/>
  <c r="E336" i="103"/>
  <c r="D336" i="103" s="1"/>
  <c r="H406" i="103"/>
  <c r="G406" i="103"/>
  <c r="F406" i="103"/>
  <c r="E406" i="103"/>
  <c r="D406" i="103" s="1"/>
  <c r="H917" i="103"/>
  <c r="G917" i="103"/>
  <c r="F917" i="103"/>
  <c r="E917" i="103"/>
  <c r="D917" i="103" s="1"/>
  <c r="H719" i="103"/>
  <c r="G719" i="103"/>
  <c r="F719" i="103"/>
  <c r="E719" i="103"/>
  <c r="D719" i="103" s="1"/>
  <c r="H492" i="103"/>
  <c r="G492" i="103"/>
  <c r="F492" i="103"/>
  <c r="E492" i="103"/>
  <c r="D492" i="103" s="1"/>
  <c r="H488" i="103"/>
  <c r="G488" i="103"/>
  <c r="F488" i="103"/>
  <c r="E488" i="103"/>
  <c r="D488" i="103" s="1"/>
  <c r="H264" i="103"/>
  <c r="G264" i="103"/>
  <c r="F264" i="103"/>
  <c r="E264" i="103"/>
  <c r="D264" i="103" s="1"/>
  <c r="H547" i="103"/>
  <c r="G547" i="103"/>
  <c r="F547" i="103"/>
  <c r="E547" i="103"/>
  <c r="D547" i="103" s="1"/>
  <c r="H944" i="103"/>
  <c r="G944" i="103"/>
  <c r="F944" i="103"/>
  <c r="E944" i="103"/>
  <c r="D944" i="103" s="1"/>
  <c r="H327" i="103"/>
  <c r="G327" i="103"/>
  <c r="F327" i="103"/>
  <c r="E327" i="103"/>
  <c r="D327" i="103" s="1"/>
  <c r="H396" i="103"/>
  <c r="G396" i="103"/>
  <c r="F396" i="103"/>
  <c r="E396" i="103"/>
  <c r="D396" i="103" s="1"/>
  <c r="H293" i="103"/>
  <c r="G293" i="103"/>
  <c r="F293" i="103"/>
  <c r="E293" i="103"/>
  <c r="D293" i="103" s="1"/>
  <c r="H1171" i="103"/>
  <c r="G1171" i="103"/>
  <c r="F1171" i="103"/>
  <c r="E1171" i="103"/>
  <c r="D1171" i="103" s="1"/>
  <c r="H1155" i="103"/>
  <c r="G1155" i="103"/>
  <c r="F1155" i="103"/>
  <c r="E1155" i="103"/>
  <c r="D1155" i="103" s="1"/>
  <c r="H155" i="103"/>
  <c r="G155" i="103"/>
  <c r="F155" i="103"/>
  <c r="E155" i="103"/>
  <c r="D155" i="103" s="1"/>
  <c r="H1191" i="103"/>
  <c r="G1191" i="103"/>
  <c r="F1191" i="103"/>
  <c r="E1191" i="103"/>
  <c r="D1191" i="103"/>
  <c r="H1188" i="103"/>
  <c r="G1188" i="103"/>
  <c r="F1188" i="103"/>
  <c r="E1188" i="103"/>
  <c r="D1188" i="103" s="1"/>
  <c r="H150" i="103"/>
  <c r="G150" i="103"/>
  <c r="F150" i="103"/>
  <c r="E150" i="103"/>
  <c r="D150" i="103" s="1"/>
  <c r="H148" i="103"/>
  <c r="G148" i="103"/>
  <c r="F148" i="103"/>
  <c r="E148" i="103"/>
  <c r="D148" i="103" s="1"/>
  <c r="H705" i="103"/>
  <c r="G705" i="103"/>
  <c r="F705" i="103"/>
  <c r="E705" i="103"/>
  <c r="D705" i="103" s="1"/>
  <c r="H533" i="103"/>
  <c r="G533" i="103"/>
  <c r="F533" i="103"/>
  <c r="E533" i="103"/>
  <c r="D533" i="103" s="1"/>
  <c r="H409" i="103"/>
  <c r="G409" i="103"/>
  <c r="F409" i="103"/>
  <c r="E409" i="103"/>
  <c r="D409" i="103" s="1"/>
  <c r="H1154" i="103"/>
  <c r="G1154" i="103"/>
  <c r="F1154" i="103"/>
  <c r="E1154" i="103"/>
  <c r="D1154" i="103" s="1"/>
  <c r="H335" i="103"/>
  <c r="G335" i="103"/>
  <c r="F335" i="103"/>
  <c r="E335" i="103"/>
  <c r="D335" i="103" s="1"/>
  <c r="H968" i="103"/>
  <c r="G968" i="103"/>
  <c r="F968" i="103"/>
  <c r="E968" i="103"/>
  <c r="D968" i="103" s="1"/>
  <c r="H703" i="103"/>
  <c r="G703" i="103"/>
  <c r="F703" i="103"/>
  <c r="E703" i="103"/>
  <c r="D703" i="103" s="1"/>
  <c r="H302" i="103"/>
  <c r="G302" i="103"/>
  <c r="F302" i="103"/>
  <c r="E302" i="103"/>
  <c r="D302" i="103" s="1"/>
  <c r="H13" i="103"/>
  <c r="G13" i="103"/>
  <c r="F13" i="103"/>
  <c r="E13" i="103"/>
  <c r="D13" i="103" s="1"/>
  <c r="H941" i="103"/>
  <c r="G941" i="103"/>
  <c r="F941" i="103"/>
  <c r="E941" i="103"/>
  <c r="D941" i="103" s="1"/>
  <c r="H1210" i="103"/>
  <c r="G1210" i="103"/>
  <c r="F1210" i="103"/>
  <c r="E1210" i="103"/>
  <c r="D1210" i="103" s="1"/>
  <c r="H1118" i="103"/>
  <c r="G1118" i="103"/>
  <c r="F1118" i="103"/>
  <c r="E1118" i="103"/>
  <c r="D1118" i="103" s="1"/>
  <c r="H483" i="103"/>
  <c r="G483" i="103"/>
  <c r="F483" i="103"/>
  <c r="E483" i="103"/>
  <c r="D483" i="103" s="1"/>
  <c r="H939" i="103"/>
  <c r="G939" i="103"/>
  <c r="F939" i="103"/>
  <c r="E939" i="103"/>
  <c r="D939" i="103" s="1"/>
  <c r="H853" i="103"/>
  <c r="G853" i="103"/>
  <c r="F853" i="103"/>
  <c r="E853" i="103"/>
  <c r="D853" i="103" s="1"/>
  <c r="H571" i="103"/>
  <c r="G571" i="103"/>
  <c r="F571" i="103"/>
  <c r="E571" i="103"/>
  <c r="D571" i="103" s="1"/>
  <c r="H544" i="103"/>
  <c r="G544" i="103"/>
  <c r="F544" i="103"/>
  <c r="E544" i="103"/>
  <c r="D544" i="103" s="1"/>
  <c r="H675" i="103"/>
  <c r="G675" i="103"/>
  <c r="F675" i="103"/>
  <c r="E675" i="103"/>
  <c r="D675" i="103" s="1"/>
  <c r="D357" i="10"/>
  <c r="D355" i="10"/>
  <c r="D354" i="10"/>
  <c r="D353" i="10"/>
  <c r="L9" i="11"/>
  <c r="L10" i="11"/>
  <c r="L11" i="11"/>
  <c r="D336" i="10"/>
  <c r="D335" i="10"/>
  <c r="D334" i="10"/>
  <c r="D333" i="10"/>
  <c r="D332" i="10"/>
  <c r="D331" i="10"/>
  <c r="E331" i="10" s="1"/>
  <c r="D330" i="10"/>
  <c r="D329" i="10"/>
  <c r="E329" i="10" s="1"/>
  <c r="M5" i="11"/>
  <c r="N5" i="11"/>
  <c r="M6" i="11"/>
  <c r="N6" i="11"/>
  <c r="S15" i="11"/>
  <c r="S16" i="11"/>
  <c r="S17" i="11"/>
  <c r="A111" i="44"/>
  <c r="A113" i="44"/>
  <c r="E314" i="10"/>
  <c r="E312" i="10"/>
  <c r="E310" i="10"/>
  <c r="E308" i="10"/>
  <c r="E306" i="10"/>
  <c r="E304" i="10"/>
  <c r="E302" i="10"/>
  <c r="E300" i="10"/>
  <c r="E298" i="10"/>
  <c r="E296" i="10"/>
  <c r="E294" i="10"/>
  <c r="E292" i="10"/>
  <c r="E290" i="10"/>
  <c r="E288" i="10"/>
  <c r="E286" i="10"/>
  <c r="E284" i="10"/>
  <c r="D280" i="10"/>
  <c r="D279" i="10"/>
  <c r="D276" i="10"/>
  <c r="P325" i="36"/>
  <c r="P326" i="36"/>
  <c r="P328" i="36"/>
  <c r="P329" i="36"/>
  <c r="P330" i="36"/>
  <c r="P331" i="36"/>
  <c r="P332" i="36"/>
  <c r="P333" i="36"/>
  <c r="P334" i="36"/>
  <c r="P335" i="36"/>
  <c r="P336" i="36"/>
  <c r="D274" i="10"/>
  <c r="D273" i="10"/>
  <c r="D269" i="10"/>
  <c r="N72" i="67" s="1"/>
  <c r="D257" i="10"/>
  <c r="D256" i="10"/>
  <c r="E256" i="10" s="1"/>
  <c r="D254" i="10"/>
  <c r="E255" i="10" s="1"/>
  <c r="D255" i="10"/>
  <c r="E254" i="10" s="1"/>
  <c r="G44" i="30"/>
  <c r="D215" i="10" s="1"/>
  <c r="G59" i="30"/>
  <c r="G65" i="30"/>
  <c r="D217" i="10" s="1"/>
  <c r="G75" i="30"/>
  <c r="D218" i="10" s="1"/>
  <c r="G84" i="30"/>
  <c r="D221" i="10" s="1"/>
  <c r="D222" i="10" s="1"/>
  <c r="G90" i="30"/>
  <c r="D229" i="10" s="1"/>
  <c r="G102" i="30"/>
  <c r="D232" i="10" s="1"/>
  <c r="G108" i="30"/>
  <c r="D233" i="10" s="1"/>
  <c r="G114" i="30"/>
  <c r="D234" i="10" s="1"/>
  <c r="G120" i="30"/>
  <c r="D235" i="10" s="1"/>
  <c r="G127" i="30"/>
  <c r="D236" i="10" s="1"/>
  <c r="G133" i="30"/>
  <c r="D237" i="10" s="1"/>
  <c r="G139" i="30"/>
  <c r="D238" i="10" s="1"/>
  <c r="E3" i="10"/>
  <c r="H65" i="30"/>
  <c r="I65" i="30"/>
  <c r="D248" i="10"/>
  <c r="D247" i="10"/>
  <c r="D246" i="10"/>
  <c r="D245" i="10"/>
  <c r="D244" i="10"/>
  <c r="D243" i="10"/>
  <c r="E211" i="10"/>
  <c r="E240" i="10" s="1"/>
  <c r="D241" i="10"/>
  <c r="D240" i="10"/>
  <c r="I69" i="30"/>
  <c r="H69" i="30"/>
  <c r="E239" i="10" s="1"/>
  <c r="G69" i="30"/>
  <c r="D239" i="10" s="1"/>
  <c r="I139" i="30"/>
  <c r="H139" i="30"/>
  <c r="E238" i="10" s="1"/>
  <c r="C238" i="10"/>
  <c r="I133" i="30"/>
  <c r="H133" i="30"/>
  <c r="E237" i="10" s="1"/>
  <c r="C237" i="10"/>
  <c r="I127" i="30"/>
  <c r="H127" i="30"/>
  <c r="E236" i="10" s="1"/>
  <c r="C236" i="10"/>
  <c r="I120" i="30"/>
  <c r="H120" i="30"/>
  <c r="E235" i="10" s="1"/>
  <c r="C235" i="10"/>
  <c r="I114" i="30"/>
  <c r="H114" i="30"/>
  <c r="E234" i="10" s="1"/>
  <c r="C234" i="10"/>
  <c r="I108" i="30"/>
  <c r="H108" i="30"/>
  <c r="E233" i="10" s="1"/>
  <c r="C233" i="10"/>
  <c r="I102" i="30"/>
  <c r="H102" i="30"/>
  <c r="C232" i="10"/>
  <c r="C230" i="10"/>
  <c r="I90" i="30"/>
  <c r="H90" i="30"/>
  <c r="E229" i="10" s="1"/>
  <c r="C229" i="10"/>
  <c r="H84" i="30"/>
  <c r="E220" i="10" s="1"/>
  <c r="I84" i="30"/>
  <c r="D225" i="10"/>
  <c r="D227" i="10" s="1"/>
  <c r="E225" i="10"/>
  <c r="E227" i="10" s="1"/>
  <c r="F225" i="10"/>
  <c r="F227" i="10" s="1"/>
  <c r="G225" i="10"/>
  <c r="G227" i="10" s="1"/>
  <c r="H225" i="10"/>
  <c r="I225" i="10"/>
  <c r="J225" i="10"/>
  <c r="J227" i="10" s="1"/>
  <c r="K225" i="10"/>
  <c r="K227" i="10" s="1"/>
  <c r="L225" i="10"/>
  <c r="L227" i="10" s="1"/>
  <c r="M225" i="10"/>
  <c r="M227" i="10" s="1"/>
  <c r="N225" i="10"/>
  <c r="N227" i="10" s="1"/>
  <c r="D228" i="10"/>
  <c r="C228" i="10"/>
  <c r="C219" i="10"/>
  <c r="I75" i="30"/>
  <c r="H75" i="30"/>
  <c r="C218" i="10"/>
  <c r="C217" i="10"/>
  <c r="I59" i="30"/>
  <c r="H59" i="30"/>
  <c r="E216" i="10" s="1"/>
  <c r="C216" i="10"/>
  <c r="I44" i="30"/>
  <c r="H44" i="30"/>
  <c r="E215" i="10" s="1"/>
  <c r="C215" i="10"/>
  <c r="C214" i="10"/>
  <c r="D213" i="10"/>
  <c r="C213" i="10"/>
  <c r="C212" i="10"/>
  <c r="D206" i="10"/>
  <c r="A178" i="57"/>
  <c r="A180" i="57"/>
  <c r="A172" i="57"/>
  <c r="A174" i="57"/>
  <c r="D198" i="10"/>
  <c r="D195" i="10"/>
  <c r="E151" i="10"/>
  <c r="F151" i="10" s="1"/>
  <c r="D193" i="10"/>
  <c r="D192" i="10"/>
  <c r="C189" i="10"/>
  <c r="C188" i="10"/>
  <c r="C187" i="10"/>
  <c r="C186" i="10"/>
  <c r="C185" i="10"/>
  <c r="C184" i="10"/>
  <c r="D183" i="10"/>
  <c r="C181" i="10"/>
  <c r="D179" i="10"/>
  <c r="D178" i="10"/>
  <c r="C177" i="10"/>
  <c r="C176" i="10"/>
  <c r="D175" i="10"/>
  <c r="C175" i="10"/>
  <c r="N172" i="10"/>
  <c r="N174" i="10" s="1"/>
  <c r="M172" i="10"/>
  <c r="M174" i="10" s="1"/>
  <c r="L172" i="10"/>
  <c r="L174" i="10" s="1"/>
  <c r="K172" i="10"/>
  <c r="K174" i="10" s="1"/>
  <c r="J172" i="10"/>
  <c r="J174" i="10" s="1"/>
  <c r="I172" i="10"/>
  <c r="I174" i="10" s="1"/>
  <c r="H172" i="10"/>
  <c r="G172" i="10"/>
  <c r="G174" i="10" s="1"/>
  <c r="F172" i="10"/>
  <c r="F174" i="10" s="1"/>
  <c r="E172" i="10"/>
  <c r="E174" i="10" s="1"/>
  <c r="D172" i="10"/>
  <c r="D174" i="10" s="1"/>
  <c r="C166" i="10"/>
  <c r="C165" i="10"/>
  <c r="C162" i="10"/>
  <c r="C161" i="10"/>
  <c r="C155" i="10"/>
  <c r="C154" i="10"/>
  <c r="C153" i="10"/>
  <c r="C152" i="10"/>
  <c r="D145" i="10"/>
  <c r="D140" i="10"/>
  <c r="D137" i="10"/>
  <c r="D136" i="10"/>
  <c r="I136" i="24"/>
  <c r="H136" i="24"/>
  <c r="G136" i="24"/>
  <c r="E133" i="10" s="1"/>
  <c r="C133" i="10"/>
  <c r="I130" i="24"/>
  <c r="H130" i="24"/>
  <c r="G130" i="24"/>
  <c r="E132" i="10" s="1"/>
  <c r="C132" i="10"/>
  <c r="I124" i="24"/>
  <c r="H124" i="24"/>
  <c r="G124" i="24"/>
  <c r="C131" i="10"/>
  <c r="I118" i="24"/>
  <c r="H118" i="24"/>
  <c r="G118" i="24"/>
  <c r="E130" i="10" s="1"/>
  <c r="C130" i="10"/>
  <c r="I112" i="24"/>
  <c r="H112" i="24"/>
  <c r="G112" i="24"/>
  <c r="E129" i="10" s="1"/>
  <c r="C129" i="10"/>
  <c r="I106" i="24"/>
  <c r="H106" i="24"/>
  <c r="G106" i="24"/>
  <c r="E128" i="10" s="1"/>
  <c r="C128" i="10"/>
  <c r="I100" i="24"/>
  <c r="H100" i="24"/>
  <c r="G100" i="24"/>
  <c r="E127" i="10" s="1"/>
  <c r="C127" i="10"/>
  <c r="I94" i="24"/>
  <c r="H94" i="24"/>
  <c r="G94" i="24"/>
  <c r="E126" i="10" s="1"/>
  <c r="C126" i="10"/>
  <c r="I86" i="24"/>
  <c r="H86" i="24"/>
  <c r="G86" i="24"/>
  <c r="E125" i="10" s="1"/>
  <c r="C125" i="10"/>
  <c r="I80" i="24"/>
  <c r="H80" i="24"/>
  <c r="G80" i="24"/>
  <c r="E124" i="10" s="1"/>
  <c r="C124" i="10"/>
  <c r="I74" i="24"/>
  <c r="H74" i="24"/>
  <c r="G74" i="24"/>
  <c r="E123" i="10" s="1"/>
  <c r="C123" i="10"/>
  <c r="I67" i="24"/>
  <c r="H67" i="24"/>
  <c r="G67" i="24"/>
  <c r="E122" i="10" s="1"/>
  <c r="C122" i="10"/>
  <c r="I34" i="24"/>
  <c r="I41" i="24"/>
  <c r="I48" i="24"/>
  <c r="H34" i="24"/>
  <c r="H41" i="24"/>
  <c r="H48" i="24"/>
  <c r="G34" i="24"/>
  <c r="E118" i="10" s="1"/>
  <c r="G41" i="24"/>
  <c r="E119" i="10" s="1"/>
  <c r="G48" i="24"/>
  <c r="E120" i="10" s="1"/>
  <c r="C121" i="10"/>
  <c r="C120" i="10"/>
  <c r="C119" i="10"/>
  <c r="C118" i="10"/>
  <c r="E117" i="10"/>
  <c r="F117" i="10" s="1"/>
  <c r="G117" i="10" s="1"/>
  <c r="H117" i="10" s="1"/>
  <c r="I117" i="10" s="1"/>
  <c r="D115" i="10"/>
  <c r="D113" i="10"/>
  <c r="D112" i="10"/>
  <c r="A15" i="24"/>
  <c r="F73" i="24" s="1"/>
  <c r="D105" i="10"/>
  <c r="P5" i="11"/>
  <c r="D90" i="10"/>
  <c r="D91" i="10" s="1"/>
  <c r="D89" i="10"/>
  <c r="D85" i="10"/>
  <c r="D84" i="10"/>
  <c r="D83" i="10"/>
  <c r="D73" i="10"/>
  <c r="D72" i="10"/>
  <c r="D71" i="10"/>
  <c r="D70" i="10"/>
  <c r="D66" i="10"/>
  <c r="D65" i="10"/>
  <c r="D64" i="10"/>
  <c r="D63" i="10"/>
  <c r="D60" i="10"/>
  <c r="D19" i="10"/>
  <c r="D18" i="10"/>
  <c r="E17" i="10"/>
  <c r="D17" i="10"/>
  <c r="D16" i="10"/>
  <c r="D8" i="10"/>
  <c r="D7" i="10"/>
  <c r="W38" i="11"/>
  <c r="V38" i="11" s="1"/>
  <c r="W37" i="11"/>
  <c r="V37" i="11" s="1"/>
  <c r="W36" i="11"/>
  <c r="V36" i="11" s="1"/>
  <c r="W35" i="11"/>
  <c r="V35" i="11" s="1"/>
  <c r="W34" i="11"/>
  <c r="V34" i="11" s="1"/>
  <c r="D207" i="36"/>
  <c r="F70" i="33"/>
  <c r="J70" i="33"/>
  <c r="N70" i="33"/>
  <c r="R70" i="33"/>
  <c r="V70" i="33"/>
  <c r="D69" i="35"/>
  <c r="D69" i="33" s="1"/>
  <c r="F70" i="35"/>
  <c r="Z373" i="36" s="1"/>
  <c r="J70" i="35"/>
  <c r="AA373" i="36" s="1"/>
  <c r="N70" i="35"/>
  <c r="R70" i="35"/>
  <c r="W33" i="11"/>
  <c r="V33" i="11" s="1"/>
  <c r="F69" i="33"/>
  <c r="J69" i="33"/>
  <c r="N69" i="33"/>
  <c r="R69" i="33"/>
  <c r="V69" i="33"/>
  <c r="F69" i="35"/>
  <c r="J69" i="35"/>
  <c r="AA372" i="36" s="1"/>
  <c r="N69" i="35"/>
  <c r="AB372" i="36" s="1"/>
  <c r="R69" i="35"/>
  <c r="AC372" i="36" s="1"/>
  <c r="J38" i="11"/>
  <c r="W32" i="11"/>
  <c r="V32" i="11" s="1"/>
  <c r="D63" i="35"/>
  <c r="D63" i="33" s="1"/>
  <c r="F63" i="33"/>
  <c r="J63" i="33"/>
  <c r="N63" i="33"/>
  <c r="R63" i="33"/>
  <c r="V63" i="33"/>
  <c r="F63" i="35"/>
  <c r="J63" i="35"/>
  <c r="N63" i="35"/>
  <c r="R63" i="35"/>
  <c r="K182" i="36" s="1"/>
  <c r="W31" i="11"/>
  <c r="V31" i="11" s="1"/>
  <c r="D300" i="10" s="1"/>
  <c r="D58" i="35"/>
  <c r="D58" i="33" s="1"/>
  <c r="F58" i="33"/>
  <c r="J58" i="33"/>
  <c r="N58" i="33"/>
  <c r="R58" i="33"/>
  <c r="V58" i="33"/>
  <c r="E58" i="35"/>
  <c r="F58" i="35" s="1"/>
  <c r="I58" i="35"/>
  <c r="J58" i="35" s="1"/>
  <c r="M58" i="35"/>
  <c r="N58" i="35" s="1"/>
  <c r="Q58" i="35"/>
  <c r="R58" i="35" s="1"/>
  <c r="L29" i="11"/>
  <c r="O63" i="77"/>
  <c r="H36" i="11"/>
  <c r="W30" i="11"/>
  <c r="V30" i="11" s="1"/>
  <c r="B24" i="11"/>
  <c r="B25" i="11"/>
  <c r="B26" i="11"/>
  <c r="W29" i="11"/>
  <c r="V29" i="11" s="1"/>
  <c r="D43" i="35"/>
  <c r="D43" i="33" s="1"/>
  <c r="F43" i="33"/>
  <c r="J43" i="33"/>
  <c r="N43" i="33"/>
  <c r="R43" i="33"/>
  <c r="V43" i="33"/>
  <c r="F43" i="35"/>
  <c r="Z368" i="36" s="1"/>
  <c r="J43" i="35"/>
  <c r="N43" i="35"/>
  <c r="R43" i="35"/>
  <c r="D35" i="35"/>
  <c r="D35" i="33" s="1"/>
  <c r="F35" i="33"/>
  <c r="J35" i="33"/>
  <c r="N35" i="33"/>
  <c r="R35" i="33"/>
  <c r="V35" i="33"/>
  <c r="F35" i="35"/>
  <c r="Z367" i="36" s="1"/>
  <c r="J35" i="35"/>
  <c r="N35" i="35"/>
  <c r="R35" i="35"/>
  <c r="W28" i="11"/>
  <c r="V28" i="11" s="1"/>
  <c r="J33" i="11"/>
  <c r="H31" i="11"/>
  <c r="W27" i="11"/>
  <c r="V27" i="11" s="1"/>
  <c r="D28" i="35"/>
  <c r="D28" i="33" s="1"/>
  <c r="F28" i="33"/>
  <c r="J28" i="33"/>
  <c r="N28" i="33"/>
  <c r="R28" i="33"/>
  <c r="V28" i="33"/>
  <c r="E28" i="35"/>
  <c r="F28" i="35" s="1"/>
  <c r="I28" i="35"/>
  <c r="J28" i="35" s="1"/>
  <c r="M28" i="35"/>
  <c r="N28" i="35" s="1"/>
  <c r="Q28" i="35"/>
  <c r="W26" i="11"/>
  <c r="V26" i="11" s="1"/>
  <c r="D63" i="36"/>
  <c r="L66" i="36"/>
  <c r="G23" i="33"/>
  <c r="U365" i="36"/>
  <c r="K23" i="33"/>
  <c r="V365" i="36"/>
  <c r="O23" i="33"/>
  <c r="W365" i="36" s="1"/>
  <c r="S23" i="33"/>
  <c r="X365" i="36" s="1"/>
  <c r="W23" i="33"/>
  <c r="Y365" i="36" s="1"/>
  <c r="E18" i="35"/>
  <c r="G23" i="35" s="1"/>
  <c r="I18" i="35"/>
  <c r="K23" i="35"/>
  <c r="AA365" i="36" s="1"/>
  <c r="M18" i="35"/>
  <c r="O23" i="35" s="1"/>
  <c r="Q18" i="35"/>
  <c r="S23" i="35" s="1"/>
  <c r="W25" i="11"/>
  <c r="V25" i="11" s="1"/>
  <c r="D45" i="36"/>
  <c r="F22" i="33"/>
  <c r="J22" i="33"/>
  <c r="N22" i="33"/>
  <c r="R22" i="33"/>
  <c r="V22" i="33"/>
  <c r="Y364" i="36" s="1"/>
  <c r="F22" i="35"/>
  <c r="K53" i="36" s="1"/>
  <c r="A53" i="36" s="1"/>
  <c r="J22" i="35"/>
  <c r="AA364" i="36" s="1"/>
  <c r="N22" i="35"/>
  <c r="AB364" i="36" s="1"/>
  <c r="R22" i="35"/>
  <c r="K56" i="36" s="1"/>
  <c r="A56" i="36" s="1"/>
  <c r="W24" i="11"/>
  <c r="V24" i="11" s="1"/>
  <c r="D27" i="36"/>
  <c r="F21" i="33"/>
  <c r="U363" i="36" s="1"/>
  <c r="J21" i="33"/>
  <c r="N21" i="33"/>
  <c r="R21" i="33"/>
  <c r="V21" i="33"/>
  <c r="F21" i="35"/>
  <c r="K35" i="36" s="1"/>
  <c r="J21" i="35"/>
  <c r="K36" i="36" s="1"/>
  <c r="N21" i="35"/>
  <c r="AB363" i="36" s="1"/>
  <c r="R21" i="35"/>
  <c r="K38" i="36" s="1"/>
  <c r="W23" i="11"/>
  <c r="V23" i="11" s="1"/>
  <c r="D9" i="36"/>
  <c r="F20" i="33"/>
  <c r="J20" i="33"/>
  <c r="N20" i="33"/>
  <c r="R20" i="33"/>
  <c r="V20" i="33"/>
  <c r="F20" i="35"/>
  <c r="K17" i="36" s="1"/>
  <c r="A17" i="36" s="1"/>
  <c r="J20" i="35"/>
  <c r="AA362" i="36" s="1"/>
  <c r="N20" i="35"/>
  <c r="K19" i="36" s="1"/>
  <c r="A19" i="36" s="1"/>
  <c r="R20" i="35"/>
  <c r="AC362" i="36" s="1"/>
  <c r="J28" i="11"/>
  <c r="A23" i="11"/>
  <c r="D41" i="88"/>
  <c r="F17" i="35"/>
  <c r="E43" i="88" s="1"/>
  <c r="J17" i="35"/>
  <c r="E44" i="88" s="1"/>
  <c r="N17" i="35"/>
  <c r="E45" i="88" s="1"/>
  <c r="R17" i="35"/>
  <c r="E46" i="88" s="1"/>
  <c r="W21" i="11"/>
  <c r="V21" i="11" s="1"/>
  <c r="D29" i="88"/>
  <c r="E32" i="88"/>
  <c r="N22" i="11"/>
  <c r="W20" i="11"/>
  <c r="V20" i="11" s="1"/>
  <c r="D17" i="88"/>
  <c r="F14" i="35"/>
  <c r="E19" i="88" s="1"/>
  <c r="J14" i="35"/>
  <c r="E20" i="88" s="1"/>
  <c r="N14" i="35"/>
  <c r="E21" i="88" s="1"/>
  <c r="R14" i="35"/>
  <c r="E22" i="88" s="1"/>
  <c r="N21" i="11"/>
  <c r="D13" i="11"/>
  <c r="D14" i="11"/>
  <c r="D15" i="11"/>
  <c r="D16" i="11"/>
  <c r="D17" i="11"/>
  <c r="D18" i="11"/>
  <c r="D19" i="11"/>
  <c r="D20" i="11"/>
  <c r="W19" i="11"/>
  <c r="V19" i="11" s="1"/>
  <c r="D5" i="88"/>
  <c r="F13" i="35"/>
  <c r="J13" i="35"/>
  <c r="E8" i="88" s="1"/>
  <c r="N13" i="35"/>
  <c r="E9" i="88" s="1"/>
  <c r="R13" i="35"/>
  <c r="E10" i="88" s="1"/>
  <c r="N20" i="11"/>
  <c r="B13" i="11"/>
  <c r="B14" i="11"/>
  <c r="Y15" i="11"/>
  <c r="Y16" i="11"/>
  <c r="Y17" i="11"/>
  <c r="Y18" i="11"/>
  <c r="X16" i="11"/>
  <c r="X17" i="11"/>
  <c r="X18" i="11"/>
  <c r="V18" i="11"/>
  <c r="J23" i="11"/>
  <c r="H21" i="11"/>
  <c r="V17" i="11"/>
  <c r="V16" i="11"/>
  <c r="U15" i="11"/>
  <c r="U16" i="11"/>
  <c r="P14" i="11"/>
  <c r="O14" i="11"/>
  <c r="AQ8" i="11"/>
  <c r="AQ9" i="11"/>
  <c r="AQ10" i="11"/>
  <c r="AQ11" i="11"/>
  <c r="AQ12" i="11"/>
  <c r="AQ13" i="11"/>
  <c r="H6" i="11"/>
  <c r="I13" i="11"/>
  <c r="P11" i="11"/>
  <c r="O11" i="11"/>
  <c r="N11" i="11"/>
  <c r="M11" i="11"/>
  <c r="I11" i="11"/>
  <c r="F10" i="11"/>
  <c r="F11" i="11"/>
  <c r="P10" i="11"/>
  <c r="O10" i="11"/>
  <c r="N10" i="11"/>
  <c r="M10" i="11"/>
  <c r="K6" i="11"/>
  <c r="K7" i="11"/>
  <c r="K8" i="11"/>
  <c r="K9" i="11"/>
  <c r="K10" i="11"/>
  <c r="M9" i="11"/>
  <c r="N9" i="11"/>
  <c r="O9" i="11"/>
  <c r="P9" i="11"/>
  <c r="I9" i="11"/>
  <c r="P7" i="11"/>
  <c r="N7" i="11"/>
  <c r="M7" i="11"/>
  <c r="H7" i="11"/>
  <c r="G7" i="11"/>
  <c r="F6" i="11"/>
  <c r="F7" i="11"/>
  <c r="P6" i="11"/>
  <c r="G6" i="11"/>
  <c r="G5" i="11"/>
  <c r="L87" i="77"/>
  <c r="K98" i="77"/>
  <c r="A84" i="77"/>
  <c r="A85" i="77"/>
  <c r="A86" i="77"/>
  <c r="A87" i="77"/>
  <c r="A88" i="77"/>
  <c r="A89" i="77"/>
  <c r="A90" i="77"/>
  <c r="A91" i="77"/>
  <c r="A92" i="77"/>
  <c r="A93" i="77"/>
  <c r="A94" i="77"/>
  <c r="A95" i="77"/>
  <c r="A96" i="77"/>
  <c r="A97" i="77"/>
  <c r="K97" i="77"/>
  <c r="K96" i="77"/>
  <c r="K95" i="77"/>
  <c r="D51" i="35"/>
  <c r="D51" i="33" s="1"/>
  <c r="D135" i="36"/>
  <c r="K89" i="77"/>
  <c r="K87" i="77"/>
  <c r="K86" i="77"/>
  <c r="K85" i="77"/>
  <c r="K84" i="77"/>
  <c r="L61" i="77"/>
  <c r="L63" i="77"/>
  <c r="L60" i="77"/>
  <c r="W73" i="77"/>
  <c r="M70" i="77"/>
  <c r="N70" i="77" s="1"/>
  <c r="O70" i="77" s="1"/>
  <c r="P70" i="77" s="1"/>
  <c r="Q70" i="77" s="1"/>
  <c r="R70" i="77" s="1"/>
  <c r="S70" i="77" s="1"/>
  <c r="T70" i="77" s="1"/>
  <c r="U70" i="77" s="1"/>
  <c r="V70" i="77" s="1"/>
  <c r="N69" i="77"/>
  <c r="O69" i="77"/>
  <c r="P69" i="77"/>
  <c r="Q69" i="77"/>
  <c r="R69" i="77"/>
  <c r="S69" i="77"/>
  <c r="T69" i="77"/>
  <c r="U69" i="77"/>
  <c r="V69" i="77"/>
  <c r="L67" i="77"/>
  <c r="S61" i="77"/>
  <c r="S58" i="77"/>
  <c r="E53" i="77"/>
  <c r="A53" i="77"/>
  <c r="E52" i="77"/>
  <c r="E51" i="77"/>
  <c r="A51" i="77"/>
  <c r="E50" i="77"/>
  <c r="E48" i="77"/>
  <c r="E47" i="77"/>
  <c r="A47" i="77" s="1"/>
  <c r="A45" i="77"/>
  <c r="A44" i="77"/>
  <c r="A43" i="77"/>
  <c r="A42" i="77"/>
  <c r="E41" i="77"/>
  <c r="A41" i="77"/>
  <c r="E40" i="77"/>
  <c r="A40" i="77"/>
  <c r="E39" i="77"/>
  <c r="A39" i="77"/>
  <c r="E38" i="77"/>
  <c r="A38" i="77"/>
  <c r="E37" i="77"/>
  <c r="A37" i="77"/>
  <c r="A36" i="77"/>
  <c r="E35" i="77"/>
  <c r="A35" i="77"/>
  <c r="E34" i="77"/>
  <c r="A34" i="77"/>
  <c r="E32" i="77"/>
  <c r="E31" i="77"/>
  <c r="A31" i="77"/>
  <c r="E30" i="77"/>
  <c r="A30" i="77"/>
  <c r="E29" i="77"/>
  <c r="A29" i="77"/>
  <c r="E28" i="77"/>
  <c r="A28" i="77"/>
  <c r="E27" i="77"/>
  <c r="A27" i="77"/>
  <c r="A26" i="77"/>
  <c r="A21" i="77"/>
  <c r="A20" i="77"/>
  <c r="E19" i="77"/>
  <c r="E18" i="77"/>
  <c r="E17" i="77"/>
  <c r="E15" i="77"/>
  <c r="D15" i="77"/>
  <c r="E14" i="77"/>
  <c r="D14" i="77"/>
  <c r="E13" i="77"/>
  <c r="A13" i="77" s="1"/>
  <c r="E12" i="77"/>
  <c r="A12" i="77" s="1"/>
  <c r="E10" i="77"/>
  <c r="E9" i="77"/>
  <c r="E8" i="77"/>
  <c r="A8" i="77"/>
  <c r="D22" i="53"/>
  <c r="L19" i="53"/>
  <c r="I19" i="53"/>
  <c r="F19" i="53"/>
  <c r="A19" i="53" s="1"/>
  <c r="L18" i="53"/>
  <c r="I18" i="53"/>
  <c r="F18" i="53"/>
  <c r="A18" i="53" s="1"/>
  <c r="L17" i="53"/>
  <c r="I17" i="53"/>
  <c r="F17" i="53"/>
  <c r="A17" i="53" s="1"/>
  <c r="L16" i="53"/>
  <c r="I16" i="53"/>
  <c r="F16" i="53"/>
  <c r="A16" i="53" s="1"/>
  <c r="L15" i="53"/>
  <c r="I15" i="53"/>
  <c r="F15" i="53"/>
  <c r="A15" i="53" s="1"/>
  <c r="L12" i="53"/>
  <c r="L13" i="53" s="1"/>
  <c r="L20" i="53" s="1"/>
  <c r="L22" i="53" s="1"/>
  <c r="I12" i="53"/>
  <c r="I13" i="53" s="1"/>
  <c r="I20" i="53" s="1"/>
  <c r="L9" i="53"/>
  <c r="I9" i="53"/>
  <c r="A9" i="53" s="1"/>
  <c r="F9" i="53"/>
  <c r="L8" i="53"/>
  <c r="I8" i="53"/>
  <c r="F8" i="53"/>
  <c r="A8" i="53"/>
  <c r="L7" i="53"/>
  <c r="L10" i="53" s="1"/>
  <c r="I7" i="53"/>
  <c r="I10" i="53"/>
  <c r="F7" i="53"/>
  <c r="L6" i="53"/>
  <c r="I6" i="53"/>
  <c r="F6" i="53"/>
  <c r="D118" i="52"/>
  <c r="D119" i="52"/>
  <c r="K109" i="52"/>
  <c r="J109" i="52"/>
  <c r="H109" i="52"/>
  <c r="G109" i="52"/>
  <c r="B9" i="52"/>
  <c r="E8" i="52"/>
  <c r="G7" i="52"/>
  <c r="H7" i="52"/>
  <c r="I7" i="52"/>
  <c r="J7" i="52"/>
  <c r="K7" i="52"/>
  <c r="L7" i="52"/>
  <c r="M7" i="52"/>
  <c r="N7" i="52"/>
  <c r="O7" i="52"/>
  <c r="P7" i="52"/>
  <c r="Q7" i="52"/>
  <c r="R7" i="52"/>
  <c r="F6" i="52"/>
  <c r="G6" i="52"/>
  <c r="D118" i="51"/>
  <c r="D119" i="51"/>
  <c r="K109" i="51"/>
  <c r="J109" i="51"/>
  <c r="H109" i="51"/>
  <c r="G109" i="51"/>
  <c r="B9" i="51"/>
  <c r="E8" i="51"/>
  <c r="G7" i="51"/>
  <c r="H7" i="51"/>
  <c r="I7" i="51"/>
  <c r="J7" i="51"/>
  <c r="K7" i="51"/>
  <c r="L7" i="51"/>
  <c r="M7" i="51"/>
  <c r="N7" i="51"/>
  <c r="O7" i="51"/>
  <c r="P7" i="51"/>
  <c r="Q7" i="51"/>
  <c r="R7" i="51"/>
  <c r="F6" i="51"/>
  <c r="F8" i="51"/>
  <c r="D118" i="47"/>
  <c r="D119" i="47"/>
  <c r="K109" i="47"/>
  <c r="J109" i="47"/>
  <c r="H109" i="47"/>
  <c r="G109" i="47"/>
  <c r="B10" i="47"/>
  <c r="G7" i="47"/>
  <c r="H7" i="47"/>
  <c r="I7" i="47"/>
  <c r="J7" i="47"/>
  <c r="K7" i="47"/>
  <c r="L7" i="47"/>
  <c r="M7" i="47"/>
  <c r="N7" i="47"/>
  <c r="O7" i="47"/>
  <c r="P7" i="47"/>
  <c r="Q7" i="47"/>
  <c r="R7" i="47"/>
  <c r="D111" i="44"/>
  <c r="D113" i="44"/>
  <c r="D117" i="44"/>
  <c r="D119" i="44"/>
  <c r="D124" i="44"/>
  <c r="D127" i="44"/>
  <c r="D128" i="44" s="1"/>
  <c r="D129" i="44" s="1"/>
  <c r="D130" i="44" s="1"/>
  <c r="X124" i="44"/>
  <c r="W124" i="44"/>
  <c r="V124" i="44"/>
  <c r="U124" i="44"/>
  <c r="T124" i="44"/>
  <c r="J124" i="44"/>
  <c r="X119" i="44"/>
  <c r="W119" i="44"/>
  <c r="V119" i="44"/>
  <c r="U119" i="44"/>
  <c r="T119" i="44"/>
  <c r="J119" i="44"/>
  <c r="X117" i="44"/>
  <c r="W117" i="44"/>
  <c r="V117" i="44"/>
  <c r="U117" i="44"/>
  <c r="T117" i="44"/>
  <c r="J117" i="44"/>
  <c r="X113" i="44"/>
  <c r="W113" i="44"/>
  <c r="V113" i="44"/>
  <c r="U113" i="44"/>
  <c r="T113" i="44"/>
  <c r="J113" i="44"/>
  <c r="X111" i="44"/>
  <c r="W111" i="44"/>
  <c r="V111" i="44"/>
  <c r="U111" i="44"/>
  <c r="T111" i="44"/>
  <c r="J111" i="44"/>
  <c r="X107" i="44"/>
  <c r="W107" i="44"/>
  <c r="V107" i="44"/>
  <c r="U107" i="44"/>
  <c r="T107" i="44"/>
  <c r="D107" i="44"/>
  <c r="D100" i="44"/>
  <c r="A80" i="44"/>
  <c r="A81" i="44"/>
  <c r="A82" i="44"/>
  <c r="A83" i="44"/>
  <c r="A84" i="44"/>
  <c r="A85" i="44"/>
  <c r="A86" i="44"/>
  <c r="A87" i="44"/>
  <c r="A88" i="44"/>
  <c r="A89" i="44"/>
  <c r="A90" i="44"/>
  <c r="A91" i="44"/>
  <c r="A92" i="44"/>
  <c r="A93" i="44"/>
  <c r="A94" i="44"/>
  <c r="A95" i="44"/>
  <c r="E95" i="44"/>
  <c r="E94" i="44"/>
  <c r="E93" i="44"/>
  <c r="E92" i="44"/>
  <c r="E91" i="44"/>
  <c r="E85" i="44"/>
  <c r="J83" i="44"/>
  <c r="H83" i="44"/>
  <c r="E83" i="44"/>
  <c r="E82" i="44"/>
  <c r="E81" i="44"/>
  <c r="E80" i="44"/>
  <c r="A61" i="44"/>
  <c r="A62" i="44"/>
  <c r="A63" i="44"/>
  <c r="A64" i="44"/>
  <c r="A65" i="44"/>
  <c r="A66" i="44"/>
  <c r="A67" i="44"/>
  <c r="A68" i="44"/>
  <c r="A69" i="44"/>
  <c r="A70" i="44"/>
  <c r="A71" i="44"/>
  <c r="A72" i="44"/>
  <c r="A73" i="44"/>
  <c r="A74" i="44"/>
  <c r="A75" i="44"/>
  <c r="A76" i="44"/>
  <c r="E76" i="44"/>
  <c r="E75" i="44"/>
  <c r="E74" i="44"/>
  <c r="E73" i="44"/>
  <c r="E72" i="44"/>
  <c r="E71" i="44"/>
  <c r="E70" i="44"/>
  <c r="E69" i="44"/>
  <c r="E67" i="44"/>
  <c r="E66" i="44"/>
  <c r="E64" i="44"/>
  <c r="E63" i="44"/>
  <c r="E62" i="44"/>
  <c r="E61" i="44"/>
  <c r="A46" i="44"/>
  <c r="A47" i="44"/>
  <c r="A48" i="44"/>
  <c r="A49" i="44"/>
  <c r="A50" i="44"/>
  <c r="J50" i="44"/>
  <c r="E50" i="44"/>
  <c r="J49" i="44"/>
  <c r="E49" i="44"/>
  <c r="J47" i="44"/>
  <c r="J46" i="44"/>
  <c r="D45" i="44"/>
  <c r="E34" i="44"/>
  <c r="E33" i="44"/>
  <c r="E32" i="44"/>
  <c r="E31" i="44"/>
  <c r="E30" i="44"/>
  <c r="E29" i="44"/>
  <c r="E28" i="44"/>
  <c r="E27" i="44"/>
  <c r="D4" i="44"/>
  <c r="M151" i="46"/>
  <c r="L151" i="46"/>
  <c r="I151" i="46"/>
  <c r="E151" i="46"/>
  <c r="E152" i="46" s="1"/>
  <c r="E153" i="46" s="1"/>
  <c r="E154" i="46" s="1"/>
  <c r="E155" i="46" s="1"/>
  <c r="E156" i="46" s="1"/>
  <c r="E157" i="46" s="1"/>
  <c r="E158" i="46" s="1"/>
  <c r="E159" i="46" s="1"/>
  <c r="E160" i="46" s="1"/>
  <c r="E161" i="46" s="1"/>
  <c r="M150" i="46"/>
  <c r="L150" i="46"/>
  <c r="I150" i="46"/>
  <c r="Q101" i="46"/>
  <c r="A94" i="46"/>
  <c r="A62" i="46"/>
  <c r="A56" i="46"/>
  <c r="A45" i="46"/>
  <c r="A44" i="46"/>
  <c r="A43" i="46"/>
  <c r="A42" i="46"/>
  <c r="A37" i="46"/>
  <c r="A36" i="46"/>
  <c r="A35" i="46"/>
  <c r="A34" i="46"/>
  <c r="A33" i="46"/>
  <c r="A32" i="46"/>
  <c r="A31" i="46"/>
  <c r="A30" i="46"/>
  <c r="BV41" i="59"/>
  <c r="BQ39" i="59"/>
  <c r="BV38" i="59"/>
  <c r="BQ38" i="59"/>
  <c r="BL38" i="59"/>
  <c r="BV37" i="59"/>
  <c r="BQ37" i="59"/>
  <c r="BL37" i="59"/>
  <c r="BV36" i="59"/>
  <c r="BQ36" i="59"/>
  <c r="BL36" i="59"/>
  <c r="BV35" i="59"/>
  <c r="BQ35" i="59"/>
  <c r="BL35" i="59"/>
  <c r="BV34" i="59"/>
  <c r="BQ34" i="59"/>
  <c r="BL34" i="59"/>
  <c r="BK33" i="59"/>
  <c r="BG31" i="59"/>
  <c r="AX29" i="59"/>
  <c r="AV27" i="59"/>
  <c r="AU27" i="59"/>
  <c r="AT27" i="59"/>
  <c r="AS27" i="59"/>
  <c r="AQ27" i="59"/>
  <c r="AX26" i="59"/>
  <c r="AS26" i="59"/>
  <c r="AN26" i="59"/>
  <c r="AX25" i="59"/>
  <c r="AS25" i="59"/>
  <c r="AN25" i="59"/>
  <c r="AX24" i="59"/>
  <c r="AS24" i="59"/>
  <c r="AN24" i="59"/>
  <c r="AX23" i="59"/>
  <c r="AS23" i="59"/>
  <c r="AN23" i="59"/>
  <c r="AX22" i="59"/>
  <c r="AS22" i="59"/>
  <c r="AN22" i="59"/>
  <c r="AM21" i="59"/>
  <c r="AI19" i="59"/>
  <c r="S17" i="59"/>
  <c r="Q15" i="59"/>
  <c r="P15" i="59"/>
  <c r="O15" i="59"/>
  <c r="N15" i="59"/>
  <c r="L15" i="59"/>
  <c r="S13" i="59"/>
  <c r="N13" i="59"/>
  <c r="S9" i="59"/>
  <c r="N9" i="59"/>
  <c r="S8" i="59"/>
  <c r="N8" i="59"/>
  <c r="H7" i="59"/>
  <c r="D5" i="59"/>
  <c r="J358" i="36"/>
  <c r="I358" i="36"/>
  <c r="H358" i="36"/>
  <c r="G358" i="36"/>
  <c r="F358" i="36"/>
  <c r="E358" i="36"/>
  <c r="I321" i="36"/>
  <c r="J321" i="36" s="1"/>
  <c r="J337" i="36" s="1"/>
  <c r="I339" i="36"/>
  <c r="J339" i="36" s="1"/>
  <c r="I322" i="36"/>
  <c r="J322" i="36" s="1"/>
  <c r="I323" i="36"/>
  <c r="J323" i="36" s="1"/>
  <c r="I324" i="36"/>
  <c r="J324" i="36" s="1"/>
  <c r="I325" i="36"/>
  <c r="J325" i="36" s="1"/>
  <c r="I326" i="36"/>
  <c r="J326" i="36" s="1"/>
  <c r="I327" i="36"/>
  <c r="J327" i="36" s="1"/>
  <c r="I328" i="36"/>
  <c r="J328" i="36" s="1"/>
  <c r="I329" i="36"/>
  <c r="J329" i="36" s="1"/>
  <c r="I330" i="36"/>
  <c r="J330" i="36" s="1"/>
  <c r="I331" i="36"/>
  <c r="J331" i="36" s="1"/>
  <c r="I332" i="36"/>
  <c r="J332" i="36" s="1"/>
  <c r="I333" i="36"/>
  <c r="J333" i="36" s="1"/>
  <c r="I334" i="36"/>
  <c r="J334" i="36" s="1"/>
  <c r="I335" i="36"/>
  <c r="J335" i="36" s="1"/>
  <c r="I336" i="36"/>
  <c r="J336" i="36" s="1"/>
  <c r="I340" i="36"/>
  <c r="J340" i="36" s="1"/>
  <c r="I341" i="36"/>
  <c r="J341" i="36" s="1"/>
  <c r="I342" i="36"/>
  <c r="J342" i="36" s="1"/>
  <c r="I343" i="36"/>
  <c r="J343" i="36" s="1"/>
  <c r="I344" i="36"/>
  <c r="J344" i="36" s="1"/>
  <c r="I345" i="36"/>
  <c r="J345" i="36" s="1"/>
  <c r="I346" i="36"/>
  <c r="J346" i="36" s="1"/>
  <c r="I347" i="36"/>
  <c r="J347" i="36" s="1"/>
  <c r="I348" i="36"/>
  <c r="J348" i="36" s="1"/>
  <c r="I349" i="36"/>
  <c r="J349" i="36" s="1"/>
  <c r="I350" i="36"/>
  <c r="J350" i="36" s="1"/>
  <c r="I351" i="36"/>
  <c r="J351" i="36" s="1"/>
  <c r="I352" i="36"/>
  <c r="J352" i="36" s="1"/>
  <c r="I353" i="36"/>
  <c r="J353" i="36" s="1"/>
  <c r="I354" i="36"/>
  <c r="J354" i="36" s="1"/>
  <c r="G321" i="36"/>
  <c r="H321" i="36" s="1"/>
  <c r="H337" i="36" s="1"/>
  <c r="G339" i="36"/>
  <c r="H339" i="36" s="1"/>
  <c r="G322" i="36"/>
  <c r="H322" i="36" s="1"/>
  <c r="G323" i="36"/>
  <c r="H323" i="36" s="1"/>
  <c r="G324" i="36"/>
  <c r="H324" i="36" s="1"/>
  <c r="G325" i="36"/>
  <c r="H325" i="36" s="1"/>
  <c r="G326" i="36"/>
  <c r="H326" i="36" s="1"/>
  <c r="G327" i="36"/>
  <c r="H327" i="36" s="1"/>
  <c r="G328" i="36"/>
  <c r="H328" i="36" s="1"/>
  <c r="G329" i="36"/>
  <c r="H329" i="36" s="1"/>
  <c r="G330" i="36"/>
  <c r="H330" i="36" s="1"/>
  <c r="G331" i="36"/>
  <c r="H331" i="36" s="1"/>
  <c r="G332" i="36"/>
  <c r="H332" i="36" s="1"/>
  <c r="G333" i="36"/>
  <c r="H333" i="36" s="1"/>
  <c r="G334" i="36"/>
  <c r="H334" i="36" s="1"/>
  <c r="G335" i="36"/>
  <c r="H335" i="36" s="1"/>
  <c r="G336" i="36"/>
  <c r="H336" i="36" s="1"/>
  <c r="G340" i="36"/>
  <c r="H340" i="36" s="1"/>
  <c r="G341" i="36"/>
  <c r="H341" i="36" s="1"/>
  <c r="G342" i="36"/>
  <c r="H342" i="36" s="1"/>
  <c r="G343" i="36"/>
  <c r="H343" i="36" s="1"/>
  <c r="G344" i="36"/>
  <c r="H344" i="36" s="1"/>
  <c r="G345" i="36"/>
  <c r="H345" i="36" s="1"/>
  <c r="G346" i="36"/>
  <c r="H346" i="36" s="1"/>
  <c r="G347" i="36"/>
  <c r="H347" i="36" s="1"/>
  <c r="G348" i="36"/>
  <c r="H348" i="36" s="1"/>
  <c r="G349" i="36"/>
  <c r="H349" i="36" s="1"/>
  <c r="G350" i="36"/>
  <c r="H350" i="36" s="1"/>
  <c r="G351" i="36"/>
  <c r="H351" i="36" s="1"/>
  <c r="G352" i="36"/>
  <c r="H352" i="36" s="1"/>
  <c r="G353" i="36"/>
  <c r="H353" i="36" s="1"/>
  <c r="G354" i="36"/>
  <c r="H354" i="36" s="1"/>
  <c r="E321" i="36"/>
  <c r="F321" i="36" s="1"/>
  <c r="F337" i="36" s="1"/>
  <c r="E339" i="36"/>
  <c r="F339" i="36" s="1"/>
  <c r="E322" i="36"/>
  <c r="F322" i="36" s="1"/>
  <c r="E323" i="36"/>
  <c r="F323" i="36" s="1"/>
  <c r="E325" i="36"/>
  <c r="F325" i="36" s="1"/>
  <c r="E326" i="36"/>
  <c r="F326" i="36" s="1"/>
  <c r="E327" i="36"/>
  <c r="F327" i="36" s="1"/>
  <c r="E328" i="36"/>
  <c r="F328" i="36" s="1"/>
  <c r="E329" i="36"/>
  <c r="F329" i="36" s="1"/>
  <c r="E330" i="36"/>
  <c r="F330" i="36" s="1"/>
  <c r="E331" i="36"/>
  <c r="F331" i="36" s="1"/>
  <c r="E332" i="36"/>
  <c r="F332" i="36" s="1"/>
  <c r="E333" i="36"/>
  <c r="F333" i="36" s="1"/>
  <c r="E334" i="36"/>
  <c r="F334" i="36" s="1"/>
  <c r="E335" i="36"/>
  <c r="F335" i="36" s="1"/>
  <c r="E336" i="36"/>
  <c r="F336" i="36" s="1"/>
  <c r="E340" i="36"/>
  <c r="F340" i="36" s="1"/>
  <c r="E341" i="36"/>
  <c r="F341" i="36" s="1"/>
  <c r="E342" i="36"/>
  <c r="F342" i="36" s="1"/>
  <c r="E343" i="36"/>
  <c r="F343" i="36" s="1"/>
  <c r="E344" i="36"/>
  <c r="F344" i="36" s="1"/>
  <c r="E345" i="36"/>
  <c r="F345" i="36" s="1"/>
  <c r="E346" i="36"/>
  <c r="F346" i="36" s="1"/>
  <c r="E347" i="36"/>
  <c r="F347" i="36" s="1"/>
  <c r="E348" i="36"/>
  <c r="F348" i="36" s="1"/>
  <c r="E349" i="36"/>
  <c r="F349" i="36" s="1"/>
  <c r="E350" i="36"/>
  <c r="F350" i="36" s="1"/>
  <c r="E351" i="36"/>
  <c r="F351" i="36" s="1"/>
  <c r="E352" i="36"/>
  <c r="F352" i="36" s="1"/>
  <c r="E353" i="36"/>
  <c r="F353" i="36" s="1"/>
  <c r="E354" i="36"/>
  <c r="F354" i="36" s="1"/>
  <c r="D356" i="36"/>
  <c r="A339" i="36"/>
  <c r="A340" i="36"/>
  <c r="A341" i="36"/>
  <c r="A342" i="36"/>
  <c r="A343" i="36"/>
  <c r="A344" i="36"/>
  <c r="A345" i="36"/>
  <c r="A346" i="36"/>
  <c r="A347" i="36"/>
  <c r="A348" i="36"/>
  <c r="A349" i="36"/>
  <c r="A350" i="36"/>
  <c r="A351" i="36"/>
  <c r="A352" i="36"/>
  <c r="A353" i="36"/>
  <c r="A354" i="36"/>
  <c r="D354" i="36"/>
  <c r="D353" i="36"/>
  <c r="D352" i="36"/>
  <c r="D351" i="36"/>
  <c r="D350" i="36"/>
  <c r="D347" i="36"/>
  <c r="D344" i="36"/>
  <c r="D342" i="36"/>
  <c r="D341" i="36"/>
  <c r="D340" i="36"/>
  <c r="D339" i="36"/>
  <c r="A321" i="36"/>
  <c r="A322" i="36"/>
  <c r="A323" i="36"/>
  <c r="A324" i="36"/>
  <c r="A325" i="36"/>
  <c r="A326" i="36"/>
  <c r="A327" i="36"/>
  <c r="A328" i="36"/>
  <c r="A329" i="36"/>
  <c r="A330" i="36"/>
  <c r="A331" i="36"/>
  <c r="A332" i="36"/>
  <c r="A333" i="36"/>
  <c r="A334" i="36"/>
  <c r="A335" i="36"/>
  <c r="A336" i="36"/>
  <c r="D336" i="36"/>
  <c r="D335" i="36"/>
  <c r="D334" i="36"/>
  <c r="D333" i="36"/>
  <c r="D332" i="36"/>
  <c r="D326" i="36"/>
  <c r="D324" i="36"/>
  <c r="D323" i="36"/>
  <c r="D322" i="36"/>
  <c r="D321" i="36"/>
  <c r="K318" i="36"/>
  <c r="I10" i="36"/>
  <c r="I318" i="36"/>
  <c r="G10" i="36"/>
  <c r="G318" i="36"/>
  <c r="E10" i="36"/>
  <c r="E64" i="36"/>
  <c r="A318" i="36"/>
  <c r="D317" i="36"/>
  <c r="D313" i="36"/>
  <c r="A312" i="36"/>
  <c r="A311" i="36"/>
  <c r="A310" i="36"/>
  <c r="D297" i="36"/>
  <c r="G75" i="33"/>
  <c r="K75" i="33"/>
  <c r="O75" i="33"/>
  <c r="S75" i="33"/>
  <c r="W75" i="33"/>
  <c r="G75" i="35"/>
  <c r="K75" i="35"/>
  <c r="O75" i="35"/>
  <c r="S75" i="35"/>
  <c r="F75" i="33"/>
  <c r="J75" i="33"/>
  <c r="N75" i="33"/>
  <c r="K302" i="36"/>
  <c r="A302" i="36" s="1"/>
  <c r="R75" i="33"/>
  <c r="V75" i="33"/>
  <c r="I71" i="36"/>
  <c r="I305" i="36" s="1"/>
  <c r="I72" i="36"/>
  <c r="I306" i="36" s="1"/>
  <c r="J306" i="36" s="1"/>
  <c r="I73" i="36"/>
  <c r="I307" i="36" s="1"/>
  <c r="J307" i="36" s="1"/>
  <c r="I74" i="36"/>
  <c r="I308" i="36" s="1"/>
  <c r="J308" i="36" s="1"/>
  <c r="G71" i="36"/>
  <c r="G305" i="36" s="1"/>
  <c r="G72" i="36"/>
  <c r="G306" i="36" s="1"/>
  <c r="H306" i="36" s="1"/>
  <c r="G73" i="36"/>
  <c r="G307" i="36" s="1"/>
  <c r="H307" i="36" s="1"/>
  <c r="G74" i="36"/>
  <c r="G308" i="36" s="1"/>
  <c r="H308" i="36" s="1"/>
  <c r="E71" i="36"/>
  <c r="E305" i="36" s="1"/>
  <c r="E72" i="36"/>
  <c r="E306" i="36" s="1"/>
  <c r="F306" i="36" s="1"/>
  <c r="E73" i="36"/>
  <c r="E307" i="36" s="1"/>
  <c r="F307" i="36" s="1"/>
  <c r="E74" i="36"/>
  <c r="E308" i="36" s="1"/>
  <c r="F308" i="36" s="1"/>
  <c r="Q5" i="35"/>
  <c r="D308" i="36" s="1"/>
  <c r="M5" i="35"/>
  <c r="D235" i="36" s="1"/>
  <c r="I5" i="35"/>
  <c r="D306" i="36" s="1"/>
  <c r="E5" i="35"/>
  <c r="D305" i="36" s="1"/>
  <c r="U9" i="33"/>
  <c r="D304" i="36" s="1"/>
  <c r="Q9" i="33"/>
  <c r="D285" i="36" s="1"/>
  <c r="M9" i="33"/>
  <c r="D302" i="36" s="1"/>
  <c r="I9" i="33"/>
  <c r="D247" i="36" s="1"/>
  <c r="E9" i="33"/>
  <c r="D264" i="36" s="1"/>
  <c r="K298" i="36"/>
  <c r="A298" i="36"/>
  <c r="A296" i="36"/>
  <c r="J295" i="36"/>
  <c r="H295" i="36"/>
  <c r="F295" i="36"/>
  <c r="D295" i="36"/>
  <c r="A295" i="36"/>
  <c r="J294" i="36"/>
  <c r="H294" i="36"/>
  <c r="F294" i="36"/>
  <c r="J293" i="36"/>
  <c r="H293" i="36"/>
  <c r="F293" i="36"/>
  <c r="J292" i="36"/>
  <c r="H292" i="36"/>
  <c r="F292" i="36"/>
  <c r="D279" i="36"/>
  <c r="G74" i="33"/>
  <c r="K74" i="33"/>
  <c r="O74" i="33"/>
  <c r="S74" i="33"/>
  <c r="W74" i="33"/>
  <c r="G74" i="35"/>
  <c r="K74" i="35"/>
  <c r="L288" i="36" s="1"/>
  <c r="O74" i="35"/>
  <c r="S74" i="35"/>
  <c r="F74" i="33"/>
  <c r="J74" i="33"/>
  <c r="N74" i="33"/>
  <c r="R74" i="33"/>
  <c r="V74" i="33"/>
  <c r="J74" i="35"/>
  <c r="AA377" i="36" s="1"/>
  <c r="N74" i="35"/>
  <c r="AB377" i="36" s="1"/>
  <c r="R74" i="35"/>
  <c r="K290" i="36" s="1"/>
  <c r="A290" i="36" s="1"/>
  <c r="J287" i="36"/>
  <c r="J288" i="36"/>
  <c r="J289" i="36"/>
  <c r="J290" i="36"/>
  <c r="I291" i="36"/>
  <c r="H287" i="36"/>
  <c r="H288" i="36"/>
  <c r="H289" i="36"/>
  <c r="H290" i="36"/>
  <c r="H291" i="36" s="1"/>
  <c r="G291" i="36"/>
  <c r="F287" i="36"/>
  <c r="F288" i="36"/>
  <c r="F289" i="36"/>
  <c r="F290" i="36"/>
  <c r="E291" i="36"/>
  <c r="P282" i="36"/>
  <c r="A281" i="36"/>
  <c r="K280" i="36"/>
  <c r="A280" i="36"/>
  <c r="A279" i="36"/>
  <c r="A278" i="36"/>
  <c r="J277" i="36"/>
  <c r="H277" i="36"/>
  <c r="F277" i="36"/>
  <c r="D277" i="36"/>
  <c r="A277" i="36"/>
  <c r="J276" i="36"/>
  <c r="H276" i="36"/>
  <c r="F276" i="36"/>
  <c r="J275" i="36"/>
  <c r="H275" i="36"/>
  <c r="F275" i="36"/>
  <c r="J274" i="36"/>
  <c r="H274" i="36"/>
  <c r="F274" i="36"/>
  <c r="D261" i="36"/>
  <c r="G73" i="33"/>
  <c r="K73" i="33"/>
  <c r="O73" i="33"/>
  <c r="S73" i="33"/>
  <c r="W73" i="33"/>
  <c r="G73" i="35"/>
  <c r="K73" i="35"/>
  <c r="O73" i="35"/>
  <c r="S73" i="35"/>
  <c r="F73" i="33"/>
  <c r="J73" i="33"/>
  <c r="V376" i="36"/>
  <c r="N73" i="33"/>
  <c r="R73" i="33"/>
  <c r="V73" i="33"/>
  <c r="K268" i="36" s="1"/>
  <c r="A268" i="36" s="1"/>
  <c r="F73" i="35"/>
  <c r="K269" i="36" s="1"/>
  <c r="A269" i="36" s="1"/>
  <c r="J73" i="35"/>
  <c r="K270" i="36" s="1"/>
  <c r="A270" i="36" s="1"/>
  <c r="N73" i="35"/>
  <c r="AB376" i="36" s="1"/>
  <c r="R73" i="35"/>
  <c r="K272" i="36" s="1"/>
  <c r="A272" i="36" s="1"/>
  <c r="J269" i="36"/>
  <c r="J273" i="36" s="1"/>
  <c r="J270" i="36"/>
  <c r="J271" i="36"/>
  <c r="J272" i="36"/>
  <c r="I273" i="36"/>
  <c r="H269" i="36"/>
  <c r="H270" i="36"/>
  <c r="H271" i="36"/>
  <c r="H272" i="36"/>
  <c r="G273" i="36"/>
  <c r="F269" i="36"/>
  <c r="F270" i="36"/>
  <c r="F271" i="36"/>
  <c r="F272" i="36"/>
  <c r="E273" i="36"/>
  <c r="P264" i="36"/>
  <c r="A263" i="36"/>
  <c r="K262" i="36"/>
  <c r="A262" i="36"/>
  <c r="A261" i="36"/>
  <c r="A260" i="36"/>
  <c r="J259" i="36"/>
  <c r="H259" i="36"/>
  <c r="F259" i="36"/>
  <c r="D259" i="36"/>
  <c r="A259" i="36"/>
  <c r="J258" i="36"/>
  <c r="H258" i="36"/>
  <c r="F258" i="36"/>
  <c r="J257" i="36"/>
  <c r="H257" i="36"/>
  <c r="F257" i="36"/>
  <c r="J256" i="36"/>
  <c r="H256" i="36"/>
  <c r="F256" i="36"/>
  <c r="D243" i="36"/>
  <c r="G72" i="33"/>
  <c r="K72" i="33"/>
  <c r="O72" i="33"/>
  <c r="S72" i="33"/>
  <c r="W72" i="33"/>
  <c r="G72" i="35"/>
  <c r="K72" i="35"/>
  <c r="O72" i="35"/>
  <c r="S72" i="35"/>
  <c r="F72" i="33"/>
  <c r="J72" i="33"/>
  <c r="N72" i="33"/>
  <c r="R72" i="33"/>
  <c r="V72" i="33"/>
  <c r="F72" i="35"/>
  <c r="K251" i="36" s="1"/>
  <c r="J72" i="35"/>
  <c r="K252" i="36" s="1"/>
  <c r="N72" i="35"/>
  <c r="R72" i="35"/>
  <c r="K254" i="36" s="1"/>
  <c r="J251" i="36"/>
  <c r="J252" i="36"/>
  <c r="J253" i="36"/>
  <c r="J254" i="36"/>
  <c r="I255" i="36"/>
  <c r="H251" i="36"/>
  <c r="H252" i="36"/>
  <c r="H253" i="36"/>
  <c r="H254" i="36"/>
  <c r="G255" i="36"/>
  <c r="F251" i="36"/>
  <c r="F252" i="36"/>
  <c r="F253" i="36"/>
  <c r="F254" i="36"/>
  <c r="E255" i="36"/>
  <c r="A255" i="36"/>
  <c r="A254" i="36"/>
  <c r="A253" i="36"/>
  <c r="A252" i="36"/>
  <c r="A251" i="36"/>
  <c r="A250" i="36"/>
  <c r="A249" i="36"/>
  <c r="D248" i="36"/>
  <c r="A248" i="36"/>
  <c r="A247" i="36"/>
  <c r="P246" i="36"/>
  <c r="D246" i="36"/>
  <c r="A246" i="36"/>
  <c r="A245" i="36"/>
  <c r="K244" i="36"/>
  <c r="A244" i="36"/>
  <c r="A243" i="36"/>
  <c r="A242" i="36"/>
  <c r="J241" i="36"/>
  <c r="H241" i="36"/>
  <c r="F241" i="36"/>
  <c r="D241" i="36"/>
  <c r="A241" i="36"/>
  <c r="J240" i="36"/>
  <c r="H240" i="36"/>
  <c r="F240" i="36"/>
  <c r="J239" i="36"/>
  <c r="H239" i="36"/>
  <c r="F239" i="36"/>
  <c r="J238" i="36"/>
  <c r="H238" i="36"/>
  <c r="F238" i="36"/>
  <c r="D225" i="36"/>
  <c r="G71" i="33"/>
  <c r="K71" i="33"/>
  <c r="O71" i="33"/>
  <c r="S71" i="33"/>
  <c r="W71" i="33"/>
  <c r="G71" i="35"/>
  <c r="K71" i="35"/>
  <c r="O71" i="35"/>
  <c r="S71" i="35"/>
  <c r="F71" i="33"/>
  <c r="J71" i="33"/>
  <c r="N71" i="33"/>
  <c r="R71" i="33"/>
  <c r="V71" i="33"/>
  <c r="F71" i="35"/>
  <c r="K233" i="36" s="1"/>
  <c r="J71" i="35"/>
  <c r="AA374" i="36" s="1"/>
  <c r="N71" i="35"/>
  <c r="K235" i="36" s="1"/>
  <c r="R71" i="35"/>
  <c r="AC374" i="36" s="1"/>
  <c r="J233" i="36"/>
  <c r="J234" i="36"/>
  <c r="J235" i="36"/>
  <c r="J236" i="36"/>
  <c r="I237" i="36"/>
  <c r="H233" i="36"/>
  <c r="H234" i="36"/>
  <c r="H235" i="36"/>
  <c r="H236" i="36"/>
  <c r="G237" i="36"/>
  <c r="F233" i="36"/>
  <c r="F234" i="36"/>
  <c r="F235" i="36"/>
  <c r="F236" i="36"/>
  <c r="E237" i="36"/>
  <c r="A237" i="36"/>
  <c r="A236" i="36"/>
  <c r="A235" i="36"/>
  <c r="D234" i="36"/>
  <c r="A234" i="36"/>
  <c r="A233" i="36"/>
  <c r="D232" i="36"/>
  <c r="A232" i="36"/>
  <c r="D231" i="36"/>
  <c r="A231" i="36"/>
  <c r="D230" i="36"/>
  <c r="A230" i="36"/>
  <c r="D229" i="36"/>
  <c r="A229" i="36"/>
  <c r="P228" i="36"/>
  <c r="D228" i="36"/>
  <c r="A228" i="36"/>
  <c r="A227" i="36"/>
  <c r="K226" i="36"/>
  <c r="A226" i="36"/>
  <c r="A225" i="36"/>
  <c r="A224" i="36"/>
  <c r="J223" i="36"/>
  <c r="H223" i="36"/>
  <c r="F223" i="36"/>
  <c r="D223" i="36"/>
  <c r="A223" i="36"/>
  <c r="J222" i="36"/>
  <c r="H222" i="36"/>
  <c r="F222" i="36"/>
  <c r="J221" i="36"/>
  <c r="H221" i="36"/>
  <c r="F221" i="36"/>
  <c r="J220" i="36"/>
  <c r="H220" i="36"/>
  <c r="F220" i="36"/>
  <c r="G70" i="33"/>
  <c r="K70" i="33"/>
  <c r="L211" i="36"/>
  <c r="O70" i="33"/>
  <c r="S70" i="33"/>
  <c r="W70" i="33"/>
  <c r="G70" i="35"/>
  <c r="K70" i="35"/>
  <c r="O70" i="35"/>
  <c r="S70" i="35"/>
  <c r="L218" i="36" s="1"/>
  <c r="J215" i="36"/>
  <c r="J216" i="36"/>
  <c r="J217" i="36"/>
  <c r="J218" i="36"/>
  <c r="I219" i="36"/>
  <c r="H215" i="36"/>
  <c r="H216" i="36"/>
  <c r="H217" i="36"/>
  <c r="H218" i="36"/>
  <c r="G219" i="36"/>
  <c r="F215" i="36"/>
  <c r="F216" i="36"/>
  <c r="F217" i="36"/>
  <c r="F218" i="36"/>
  <c r="E219" i="36"/>
  <c r="A219" i="36"/>
  <c r="A218" i="36"/>
  <c r="D217" i="36"/>
  <c r="A217" i="36"/>
  <c r="D216" i="36"/>
  <c r="A216" i="36"/>
  <c r="D215" i="36"/>
  <c r="A215" i="36"/>
  <c r="D214" i="36"/>
  <c r="A214" i="36"/>
  <c r="D213" i="36"/>
  <c r="A213" i="36"/>
  <c r="D212" i="36"/>
  <c r="A212" i="36"/>
  <c r="D211" i="36"/>
  <c r="A211" i="36"/>
  <c r="P210" i="36"/>
  <c r="D210" i="36"/>
  <c r="A210" i="36"/>
  <c r="A209" i="36"/>
  <c r="K208" i="36"/>
  <c r="A208" i="36"/>
  <c r="A207" i="36"/>
  <c r="A206" i="36"/>
  <c r="J205" i="36"/>
  <c r="H205" i="36"/>
  <c r="F205" i="36"/>
  <c r="D205" i="36"/>
  <c r="A205" i="36"/>
  <c r="J204" i="36"/>
  <c r="H204" i="36"/>
  <c r="F204" i="36"/>
  <c r="J203" i="36"/>
  <c r="H203" i="36"/>
  <c r="F203" i="36"/>
  <c r="J202" i="36"/>
  <c r="H202" i="36"/>
  <c r="F202" i="36"/>
  <c r="G69" i="33"/>
  <c r="K69" i="33"/>
  <c r="O69" i="33"/>
  <c r="S69" i="33"/>
  <c r="W69" i="33"/>
  <c r="G69" i="35"/>
  <c r="K69" i="35"/>
  <c r="O69" i="35"/>
  <c r="S69" i="35"/>
  <c r="J197" i="36"/>
  <c r="J198" i="36"/>
  <c r="J199" i="36"/>
  <c r="J200" i="36"/>
  <c r="I201" i="36"/>
  <c r="H197" i="36"/>
  <c r="H198" i="36"/>
  <c r="H199" i="36"/>
  <c r="H200" i="36"/>
  <c r="G201" i="36"/>
  <c r="F197" i="36"/>
  <c r="F198" i="36"/>
  <c r="F199" i="36"/>
  <c r="F200" i="36"/>
  <c r="E201" i="36"/>
  <c r="A201" i="36"/>
  <c r="A200" i="36"/>
  <c r="D199" i="36"/>
  <c r="A199" i="36"/>
  <c r="D198" i="36"/>
  <c r="A198" i="36"/>
  <c r="D197" i="36"/>
  <c r="A197" i="36"/>
  <c r="D196" i="36"/>
  <c r="A196" i="36"/>
  <c r="D195" i="36"/>
  <c r="A195" i="36"/>
  <c r="D194" i="36"/>
  <c r="A194" i="36"/>
  <c r="D193" i="36"/>
  <c r="A193" i="36"/>
  <c r="P192" i="36"/>
  <c r="D192" i="36"/>
  <c r="A192" i="36"/>
  <c r="A191" i="36"/>
  <c r="K190" i="36"/>
  <c r="A190" i="36"/>
  <c r="A189" i="36"/>
  <c r="A188" i="36"/>
  <c r="J187" i="36"/>
  <c r="H187" i="36"/>
  <c r="F187" i="36"/>
  <c r="D187" i="36"/>
  <c r="A187" i="36"/>
  <c r="J186" i="36"/>
  <c r="H186" i="36"/>
  <c r="F186" i="36"/>
  <c r="J185" i="36"/>
  <c r="H185" i="36"/>
  <c r="F185" i="36"/>
  <c r="J184" i="36"/>
  <c r="H184" i="36"/>
  <c r="F184" i="36"/>
  <c r="G63" i="33"/>
  <c r="K63" i="33"/>
  <c r="O63" i="33"/>
  <c r="S63" i="33"/>
  <c r="W63" i="33"/>
  <c r="G63" i="35"/>
  <c r="K63" i="35"/>
  <c r="O63" i="35"/>
  <c r="S63" i="35"/>
  <c r="J179" i="36"/>
  <c r="J180" i="36"/>
  <c r="J181" i="36"/>
  <c r="J182" i="36"/>
  <c r="I183" i="36"/>
  <c r="H179" i="36"/>
  <c r="H180" i="36"/>
  <c r="H181" i="36"/>
  <c r="H182" i="36"/>
  <c r="G183" i="36"/>
  <c r="F179" i="36"/>
  <c r="F180" i="36"/>
  <c r="F181" i="36"/>
  <c r="F182" i="36"/>
  <c r="E183" i="36"/>
  <c r="A183" i="36"/>
  <c r="A182" i="36"/>
  <c r="D181" i="36"/>
  <c r="A181" i="36"/>
  <c r="D180" i="36"/>
  <c r="A180" i="36"/>
  <c r="D179" i="36"/>
  <c r="A179" i="36"/>
  <c r="D178" i="36"/>
  <c r="A178" i="36"/>
  <c r="D177" i="36"/>
  <c r="A177" i="36"/>
  <c r="D176" i="36"/>
  <c r="A176" i="36"/>
  <c r="D175" i="36"/>
  <c r="A175" i="36"/>
  <c r="P174" i="36"/>
  <c r="D174" i="36"/>
  <c r="A174" i="36"/>
  <c r="A173" i="36"/>
  <c r="K172" i="36"/>
  <c r="A172" i="36"/>
  <c r="A171" i="36"/>
  <c r="A170" i="36"/>
  <c r="J169" i="36"/>
  <c r="H169" i="36"/>
  <c r="F169" i="36"/>
  <c r="D169" i="36"/>
  <c r="A169" i="36"/>
  <c r="J168" i="36"/>
  <c r="H168" i="36"/>
  <c r="F168" i="36"/>
  <c r="J167" i="36"/>
  <c r="H167" i="36"/>
  <c r="F167" i="36"/>
  <c r="J166" i="36"/>
  <c r="H166" i="36"/>
  <c r="F166" i="36"/>
  <c r="G58" i="33"/>
  <c r="K58" i="33"/>
  <c r="O58" i="33"/>
  <c r="S58" i="33"/>
  <c r="W58" i="33"/>
  <c r="G58" i="35"/>
  <c r="K58" i="35"/>
  <c r="O58" i="35"/>
  <c r="J161" i="36"/>
  <c r="J162" i="36"/>
  <c r="J163" i="36"/>
  <c r="J164" i="36"/>
  <c r="I165" i="36"/>
  <c r="H161" i="36"/>
  <c r="H162" i="36"/>
  <c r="H163" i="36"/>
  <c r="H164" i="36"/>
  <c r="G165" i="36"/>
  <c r="F161" i="36"/>
  <c r="F162" i="36"/>
  <c r="F163" i="36"/>
  <c r="F164" i="36"/>
  <c r="E165" i="36"/>
  <c r="A165" i="36"/>
  <c r="A164" i="36"/>
  <c r="D163" i="36"/>
  <c r="A163" i="36"/>
  <c r="A162" i="36"/>
  <c r="D161" i="36"/>
  <c r="A161" i="36"/>
  <c r="D160" i="36"/>
  <c r="A160" i="36"/>
  <c r="D159" i="36"/>
  <c r="A159" i="36"/>
  <c r="D158" i="36"/>
  <c r="A158" i="36"/>
  <c r="D157" i="36"/>
  <c r="A157" i="36"/>
  <c r="P156" i="36"/>
  <c r="D156" i="36"/>
  <c r="A156" i="36"/>
  <c r="A155" i="36"/>
  <c r="K154" i="36"/>
  <c r="A154" i="36"/>
  <c r="A153" i="36"/>
  <c r="A152" i="36"/>
  <c r="J151" i="36"/>
  <c r="H151" i="36"/>
  <c r="F151" i="36"/>
  <c r="D151" i="36"/>
  <c r="A151" i="36"/>
  <c r="J150" i="36"/>
  <c r="H150" i="36"/>
  <c r="F150" i="36"/>
  <c r="J149" i="36"/>
  <c r="H149" i="36"/>
  <c r="F149" i="36"/>
  <c r="J148" i="36"/>
  <c r="H148" i="36"/>
  <c r="F148" i="36"/>
  <c r="G51" i="33"/>
  <c r="K51" i="33"/>
  <c r="O51" i="33"/>
  <c r="S51" i="33"/>
  <c r="W51" i="33"/>
  <c r="G51" i="35"/>
  <c r="K51" i="35"/>
  <c r="O51" i="35"/>
  <c r="S51" i="35"/>
  <c r="F51" i="33"/>
  <c r="J51" i="33"/>
  <c r="N51" i="33"/>
  <c r="R51" i="33"/>
  <c r="V51" i="33"/>
  <c r="F51" i="35"/>
  <c r="J51" i="35"/>
  <c r="K144" i="36" s="1"/>
  <c r="N51" i="35"/>
  <c r="K145" i="36" s="1"/>
  <c r="R51" i="35"/>
  <c r="K146" i="36" s="1"/>
  <c r="J143" i="36"/>
  <c r="J144" i="36"/>
  <c r="J145" i="36"/>
  <c r="J146" i="36"/>
  <c r="I147" i="36"/>
  <c r="H143" i="36"/>
  <c r="H144" i="36"/>
  <c r="H145" i="36"/>
  <c r="H146" i="36"/>
  <c r="G147" i="36"/>
  <c r="F143" i="36"/>
  <c r="F144" i="36"/>
  <c r="F145" i="36"/>
  <c r="F146" i="36"/>
  <c r="E147" i="36"/>
  <c r="A147" i="36"/>
  <c r="A146" i="36"/>
  <c r="D145" i="36"/>
  <c r="A145" i="36"/>
  <c r="D144" i="36"/>
  <c r="A144" i="36"/>
  <c r="D143" i="36"/>
  <c r="A143" i="36"/>
  <c r="D142" i="36"/>
  <c r="A142" i="36"/>
  <c r="D141" i="36"/>
  <c r="A141" i="36"/>
  <c r="D140" i="36"/>
  <c r="A140" i="36"/>
  <c r="D139" i="36"/>
  <c r="A139" i="36"/>
  <c r="P138" i="36"/>
  <c r="D138" i="36"/>
  <c r="A138" i="36"/>
  <c r="A137" i="36"/>
  <c r="K136" i="36"/>
  <c r="A136" i="36"/>
  <c r="A135" i="36"/>
  <c r="A134" i="36"/>
  <c r="J133" i="36"/>
  <c r="H133" i="36"/>
  <c r="F133" i="36"/>
  <c r="D133" i="36"/>
  <c r="A133" i="36"/>
  <c r="J132" i="36"/>
  <c r="H132" i="36"/>
  <c r="F132" i="36"/>
  <c r="J131" i="36"/>
  <c r="H131" i="36"/>
  <c r="F131" i="36"/>
  <c r="J130" i="36"/>
  <c r="H130" i="36"/>
  <c r="F130" i="36"/>
  <c r="G43" i="33"/>
  <c r="K43" i="33"/>
  <c r="O43" i="33"/>
  <c r="S43" i="33"/>
  <c r="W43" i="33"/>
  <c r="G43" i="35"/>
  <c r="K43" i="35"/>
  <c r="O43" i="35"/>
  <c r="S43" i="35"/>
  <c r="J125" i="36"/>
  <c r="J126" i="36"/>
  <c r="J127" i="36"/>
  <c r="J128" i="36"/>
  <c r="I129" i="36"/>
  <c r="H125" i="36"/>
  <c r="H126" i="36"/>
  <c r="H127" i="36"/>
  <c r="H128" i="36"/>
  <c r="G129" i="36"/>
  <c r="F125" i="36"/>
  <c r="F126" i="36"/>
  <c r="F127" i="36"/>
  <c r="F128" i="36"/>
  <c r="E129" i="36"/>
  <c r="D127" i="36"/>
  <c r="D125" i="36"/>
  <c r="D124" i="36"/>
  <c r="D123" i="36"/>
  <c r="D122" i="36"/>
  <c r="D121" i="36"/>
  <c r="P120" i="36"/>
  <c r="D120" i="36"/>
  <c r="A119" i="36"/>
  <c r="K118" i="36"/>
  <c r="I118" i="36"/>
  <c r="A118" i="36"/>
  <c r="A117" i="36"/>
  <c r="A116" i="36"/>
  <c r="J115" i="36"/>
  <c r="H115" i="36"/>
  <c r="F115" i="36"/>
  <c r="D115" i="36"/>
  <c r="A115" i="36"/>
  <c r="J114" i="36"/>
  <c r="H114" i="36"/>
  <c r="F114" i="36"/>
  <c r="J113" i="36"/>
  <c r="H113" i="36"/>
  <c r="F113" i="36"/>
  <c r="J112" i="36"/>
  <c r="H112" i="36"/>
  <c r="F112" i="36"/>
  <c r="G35" i="33"/>
  <c r="K35" i="33"/>
  <c r="O35" i="33"/>
  <c r="S35" i="33"/>
  <c r="W35" i="33"/>
  <c r="G35" i="35"/>
  <c r="K35" i="35"/>
  <c r="O35" i="35"/>
  <c r="S35" i="35"/>
  <c r="J107" i="36"/>
  <c r="J108" i="36"/>
  <c r="J109" i="36"/>
  <c r="J110" i="36"/>
  <c r="I111" i="36"/>
  <c r="H107" i="36"/>
  <c r="H108" i="36"/>
  <c r="H109" i="36"/>
  <c r="H110" i="36"/>
  <c r="G111" i="36"/>
  <c r="F107" i="36"/>
  <c r="F108" i="36"/>
  <c r="F109" i="36"/>
  <c r="F110" i="36"/>
  <c r="E111" i="36"/>
  <c r="A111" i="36"/>
  <c r="A110" i="36"/>
  <c r="D109" i="36"/>
  <c r="A109" i="36"/>
  <c r="A108" i="36"/>
  <c r="D107" i="36"/>
  <c r="A107" i="36"/>
  <c r="D106" i="36"/>
  <c r="A106" i="36"/>
  <c r="D105" i="36"/>
  <c r="A105" i="36"/>
  <c r="D104" i="36"/>
  <c r="A104" i="36"/>
  <c r="D103" i="36"/>
  <c r="A103" i="36"/>
  <c r="P102" i="36"/>
  <c r="D102" i="36"/>
  <c r="A102" i="36"/>
  <c r="A101" i="36"/>
  <c r="K100" i="36"/>
  <c r="A100" i="36"/>
  <c r="A99" i="36"/>
  <c r="A98" i="36"/>
  <c r="J97" i="36"/>
  <c r="H97" i="36"/>
  <c r="F97" i="36"/>
  <c r="D97" i="36"/>
  <c r="A97" i="36"/>
  <c r="J96" i="36"/>
  <c r="H96" i="36"/>
  <c r="F96" i="36"/>
  <c r="J95" i="36"/>
  <c r="H95" i="36"/>
  <c r="F95" i="36"/>
  <c r="J94" i="36"/>
  <c r="H94" i="36"/>
  <c r="F94" i="36"/>
  <c r="G28" i="33"/>
  <c r="K28" i="33"/>
  <c r="O28" i="33"/>
  <c r="S28" i="33"/>
  <c r="W28" i="33"/>
  <c r="G28" i="35"/>
  <c r="K28" i="35"/>
  <c r="O28" i="35"/>
  <c r="J89" i="36"/>
  <c r="J90" i="36"/>
  <c r="J91" i="36"/>
  <c r="J92" i="36"/>
  <c r="I93" i="36"/>
  <c r="H89" i="36"/>
  <c r="H90" i="36"/>
  <c r="H91" i="36"/>
  <c r="H92" i="36"/>
  <c r="H93" i="36" s="1"/>
  <c r="G93" i="36"/>
  <c r="F89" i="36"/>
  <c r="F90" i="36"/>
  <c r="F91" i="36"/>
  <c r="F92" i="36"/>
  <c r="E93" i="36"/>
  <c r="A93" i="36"/>
  <c r="D92" i="36"/>
  <c r="A92" i="36"/>
  <c r="D91" i="36"/>
  <c r="A91" i="36"/>
  <c r="D90" i="36"/>
  <c r="A90" i="36"/>
  <c r="D89" i="36"/>
  <c r="A89" i="36"/>
  <c r="D88" i="36"/>
  <c r="A88" i="36"/>
  <c r="D87" i="36"/>
  <c r="A87" i="36"/>
  <c r="D86" i="36"/>
  <c r="A86" i="36"/>
  <c r="D85" i="36"/>
  <c r="A85" i="36"/>
  <c r="P84" i="36"/>
  <c r="D84" i="36"/>
  <c r="A84" i="36"/>
  <c r="A83" i="36"/>
  <c r="K82" i="36"/>
  <c r="A82" i="36"/>
  <c r="A81" i="36"/>
  <c r="A80" i="36"/>
  <c r="D79" i="36"/>
  <c r="A79" i="36"/>
  <c r="F23" i="33"/>
  <c r="J23" i="33"/>
  <c r="N23" i="33"/>
  <c r="R23" i="33"/>
  <c r="V23" i="33"/>
  <c r="F23" i="35"/>
  <c r="K71" i="36" s="1"/>
  <c r="A71" i="36" s="1"/>
  <c r="J23" i="35"/>
  <c r="K72" i="36" s="1"/>
  <c r="A72" i="36" s="1"/>
  <c r="N23" i="35"/>
  <c r="K73" i="36" s="1"/>
  <c r="A73" i="36" s="1"/>
  <c r="R23" i="35"/>
  <c r="K74" i="36" s="1"/>
  <c r="A74" i="36" s="1"/>
  <c r="J75" i="36"/>
  <c r="H75" i="36"/>
  <c r="F75" i="36"/>
  <c r="D73" i="36"/>
  <c r="D72" i="36"/>
  <c r="D71" i="36"/>
  <c r="D70" i="36"/>
  <c r="D69" i="36"/>
  <c r="D68" i="36"/>
  <c r="D67" i="36"/>
  <c r="D66" i="36"/>
  <c r="A65" i="36"/>
  <c r="K64" i="36"/>
  <c r="A64" i="36"/>
  <c r="A63" i="36"/>
  <c r="A62" i="36"/>
  <c r="J61" i="36"/>
  <c r="H61" i="36"/>
  <c r="F61" i="36"/>
  <c r="D61" i="36"/>
  <c r="A61" i="36"/>
  <c r="J60" i="36"/>
  <c r="H60" i="36"/>
  <c r="F60" i="36"/>
  <c r="J59" i="36"/>
  <c r="H59" i="36"/>
  <c r="F59" i="36"/>
  <c r="J58" i="36"/>
  <c r="H58" i="36"/>
  <c r="F58" i="36"/>
  <c r="G22" i="33"/>
  <c r="K22" i="33"/>
  <c r="O22" i="33"/>
  <c r="S22" i="33"/>
  <c r="W22" i="33"/>
  <c r="G22" i="35"/>
  <c r="K22" i="35"/>
  <c r="O22" i="35"/>
  <c r="S22" i="35"/>
  <c r="J53" i="36"/>
  <c r="J54" i="36"/>
  <c r="J55" i="36"/>
  <c r="J56" i="36"/>
  <c r="I57" i="36"/>
  <c r="H53" i="36"/>
  <c r="H54" i="36"/>
  <c r="H55" i="36"/>
  <c r="H56" i="36"/>
  <c r="G57" i="36"/>
  <c r="F53" i="36"/>
  <c r="F54" i="36"/>
  <c r="F55" i="36"/>
  <c r="F56" i="36"/>
  <c r="E57" i="36"/>
  <c r="D55" i="36"/>
  <c r="D53" i="36"/>
  <c r="D52" i="36"/>
  <c r="D51" i="36"/>
  <c r="D50" i="36"/>
  <c r="D49" i="36"/>
  <c r="P48" i="36"/>
  <c r="D48" i="36"/>
  <c r="A47" i="36"/>
  <c r="K46" i="36"/>
  <c r="E46" i="36"/>
  <c r="A46" i="36"/>
  <c r="A45" i="36"/>
  <c r="A44" i="36"/>
  <c r="J43" i="36"/>
  <c r="H43" i="36"/>
  <c r="F43" i="36"/>
  <c r="D43" i="36"/>
  <c r="A43" i="36"/>
  <c r="J42" i="36"/>
  <c r="H42" i="36"/>
  <c r="F42" i="36"/>
  <c r="J41" i="36"/>
  <c r="H41" i="36"/>
  <c r="F41" i="36"/>
  <c r="J40" i="36"/>
  <c r="H40" i="36"/>
  <c r="F40" i="36"/>
  <c r="G21" i="33"/>
  <c r="L30" i="36" s="1"/>
  <c r="K21" i="33"/>
  <c r="L31" i="36" s="1"/>
  <c r="O21" i="33"/>
  <c r="L32" i="36" s="1"/>
  <c r="S21" i="33"/>
  <c r="L33" i="36" s="1"/>
  <c r="W21" i="33"/>
  <c r="L34" i="36" s="1"/>
  <c r="G21" i="35"/>
  <c r="L35" i="36" s="1"/>
  <c r="K21" i="35"/>
  <c r="L36" i="36" s="1"/>
  <c r="O21" i="35"/>
  <c r="L37" i="36" s="1"/>
  <c r="S21" i="35"/>
  <c r="L38" i="36" s="1"/>
  <c r="J35" i="36"/>
  <c r="J36" i="36"/>
  <c r="J37" i="36"/>
  <c r="J38" i="36"/>
  <c r="I39" i="36"/>
  <c r="H35" i="36"/>
  <c r="H36" i="36"/>
  <c r="H37" i="36"/>
  <c r="H38" i="36"/>
  <c r="G39" i="36"/>
  <c r="F35" i="36"/>
  <c r="F36" i="36"/>
  <c r="F37" i="36"/>
  <c r="F38" i="36"/>
  <c r="E39" i="36"/>
  <c r="D37" i="36"/>
  <c r="D36" i="36"/>
  <c r="D35" i="36"/>
  <c r="D34" i="36"/>
  <c r="D33" i="36"/>
  <c r="D32" i="36"/>
  <c r="D31" i="36"/>
  <c r="P30" i="36"/>
  <c r="D30" i="36"/>
  <c r="A29" i="36"/>
  <c r="K28" i="36"/>
  <c r="E28" i="36"/>
  <c r="A28" i="36"/>
  <c r="A27" i="36"/>
  <c r="A26" i="36"/>
  <c r="J25" i="36"/>
  <c r="H25" i="36"/>
  <c r="F25" i="36"/>
  <c r="D25" i="36"/>
  <c r="A25" i="36"/>
  <c r="J24" i="36"/>
  <c r="H24" i="36"/>
  <c r="F24" i="36"/>
  <c r="J23" i="36"/>
  <c r="H23" i="36"/>
  <c r="F23" i="36"/>
  <c r="J22" i="36"/>
  <c r="H22" i="36"/>
  <c r="F22" i="36"/>
  <c r="G20" i="33"/>
  <c r="K20" i="33"/>
  <c r="O20" i="33"/>
  <c r="L14" i="36" s="1"/>
  <c r="S20" i="33"/>
  <c r="W20" i="33"/>
  <c r="G20" i="35"/>
  <c r="K20" i="35"/>
  <c r="L18" i="36" s="1"/>
  <c r="O20" i="35"/>
  <c r="S20" i="35"/>
  <c r="J17" i="36"/>
  <c r="J18" i="36"/>
  <c r="J19" i="36"/>
  <c r="J20" i="36"/>
  <c r="I21" i="36"/>
  <c r="H17" i="36"/>
  <c r="H18" i="36"/>
  <c r="H19" i="36"/>
  <c r="H20" i="36"/>
  <c r="G21" i="36"/>
  <c r="F17" i="36"/>
  <c r="F18" i="36"/>
  <c r="F19" i="36"/>
  <c r="F20" i="36"/>
  <c r="E21" i="36"/>
  <c r="D19" i="36"/>
  <c r="D6" i="36" s="1"/>
  <c r="D18" i="36"/>
  <c r="D5" i="36" s="1"/>
  <c r="D17" i="36"/>
  <c r="D4" i="36" s="1"/>
  <c r="D16" i="36"/>
  <c r="D15" i="36"/>
  <c r="D14" i="36"/>
  <c r="D13" i="36"/>
  <c r="P12" i="36"/>
  <c r="D12" i="36"/>
  <c r="A11" i="36"/>
  <c r="A10" i="36"/>
  <c r="A9" i="36"/>
  <c r="D51" i="88"/>
  <c r="A51" i="88"/>
  <c r="G17" i="35"/>
  <c r="F43" i="88" s="1"/>
  <c r="K17" i="35"/>
  <c r="F44" i="88" s="1"/>
  <c r="O17" i="35"/>
  <c r="F45" i="88" s="1"/>
  <c r="S17" i="35"/>
  <c r="F46" i="88" s="1"/>
  <c r="A46" i="88"/>
  <c r="D45" i="88"/>
  <c r="A45" i="88"/>
  <c r="D44" i="88"/>
  <c r="A44" i="88"/>
  <c r="D43" i="88"/>
  <c r="A43" i="88"/>
  <c r="A42" i="88"/>
  <c r="A41" i="88"/>
  <c r="A40" i="88"/>
  <c r="D39" i="88"/>
  <c r="A39" i="88"/>
  <c r="G16" i="35"/>
  <c r="F31" i="88" s="1"/>
  <c r="K16" i="35"/>
  <c r="F32" i="88" s="1"/>
  <c r="O16" i="35"/>
  <c r="F33" i="88" s="1"/>
  <c r="S16" i="35"/>
  <c r="F34" i="88" s="1"/>
  <c r="A35" i="88"/>
  <c r="A34" i="88"/>
  <c r="D33" i="88"/>
  <c r="A33" i="88"/>
  <c r="D32" i="88"/>
  <c r="A32" i="88"/>
  <c r="D31" i="88"/>
  <c r="A31" i="88"/>
  <c r="A30" i="88"/>
  <c r="A29" i="88"/>
  <c r="A28" i="88"/>
  <c r="D27" i="88"/>
  <c r="A27" i="88"/>
  <c r="G14" i="35"/>
  <c r="K14" i="35"/>
  <c r="O14" i="35"/>
  <c r="S14" i="35"/>
  <c r="A23" i="88"/>
  <c r="A22" i="88"/>
  <c r="D21" i="88"/>
  <c r="A21" i="88"/>
  <c r="D20" i="88"/>
  <c r="A20" i="88"/>
  <c r="D19" i="88"/>
  <c r="A19" i="88"/>
  <c r="A18" i="88"/>
  <c r="A17" i="88"/>
  <c r="A16" i="88"/>
  <c r="D15" i="88"/>
  <c r="A15" i="88"/>
  <c r="G13" i="35"/>
  <c r="K13" i="35"/>
  <c r="O13" i="35"/>
  <c r="S13" i="35"/>
  <c r="A11" i="88"/>
  <c r="D10" i="88"/>
  <c r="A10" i="88"/>
  <c r="D9" i="88"/>
  <c r="A9" i="88"/>
  <c r="D8" i="88"/>
  <c r="A8" i="88"/>
  <c r="D7" i="88"/>
  <c r="A7" i="88"/>
  <c r="A6" i="88"/>
  <c r="A5" i="88"/>
  <c r="U77" i="33"/>
  <c r="W77" i="33" s="1"/>
  <c r="Q77" i="33"/>
  <c r="S77" i="33" s="1"/>
  <c r="M77" i="33"/>
  <c r="N77" i="33" s="1"/>
  <c r="I77" i="33"/>
  <c r="L77" i="33" s="1"/>
  <c r="E77" i="33"/>
  <c r="H77" i="33" s="1"/>
  <c r="Z70" i="33"/>
  <c r="Z68" i="33"/>
  <c r="W68" i="33"/>
  <c r="V68" i="33"/>
  <c r="S68" i="33"/>
  <c r="R68" i="33"/>
  <c r="O68" i="33"/>
  <c r="N68" i="33"/>
  <c r="K68" i="33"/>
  <c r="J68" i="33"/>
  <c r="G68" i="33"/>
  <c r="F68" i="33"/>
  <c r="Z67" i="33"/>
  <c r="W67" i="33"/>
  <c r="V67" i="33"/>
  <c r="S67" i="33"/>
  <c r="R67" i="33"/>
  <c r="O67" i="33"/>
  <c r="N67" i="33"/>
  <c r="K67" i="33"/>
  <c r="J67" i="33"/>
  <c r="G67" i="33"/>
  <c r="F67" i="33"/>
  <c r="Z66" i="33"/>
  <c r="W66" i="33"/>
  <c r="V66" i="33"/>
  <c r="S66" i="33"/>
  <c r="R66" i="33"/>
  <c r="O66" i="33"/>
  <c r="N66" i="33"/>
  <c r="K66" i="33"/>
  <c r="J66" i="33"/>
  <c r="G66" i="33"/>
  <c r="F66" i="33"/>
  <c r="Z65" i="33"/>
  <c r="W65" i="33"/>
  <c r="V65" i="33"/>
  <c r="S65" i="33"/>
  <c r="R65" i="33"/>
  <c r="O65" i="33"/>
  <c r="N65" i="33"/>
  <c r="K65" i="33"/>
  <c r="J65" i="33"/>
  <c r="G65" i="33"/>
  <c r="F65" i="33"/>
  <c r="Z64" i="33"/>
  <c r="Z62" i="33"/>
  <c r="W62" i="33"/>
  <c r="V62" i="33"/>
  <c r="S62" i="33"/>
  <c r="R62" i="33"/>
  <c r="O62" i="33"/>
  <c r="N62" i="33"/>
  <c r="K62" i="33"/>
  <c r="J62" i="33"/>
  <c r="G62" i="33"/>
  <c r="F62" i="33"/>
  <c r="Z61" i="33"/>
  <c r="W61" i="33"/>
  <c r="V61" i="33"/>
  <c r="S61" i="33"/>
  <c r="R61" i="33"/>
  <c r="O61" i="33"/>
  <c r="N61" i="33"/>
  <c r="K61" i="33"/>
  <c r="J61" i="33"/>
  <c r="G61" i="33"/>
  <c r="F61" i="33"/>
  <c r="Z60" i="33"/>
  <c r="W60" i="33"/>
  <c r="V60" i="33"/>
  <c r="S60" i="33"/>
  <c r="R60" i="33"/>
  <c r="O60" i="33"/>
  <c r="N60" i="33"/>
  <c r="K60" i="33"/>
  <c r="J60" i="33"/>
  <c r="G60" i="33"/>
  <c r="F60" i="33"/>
  <c r="Z59" i="33"/>
  <c r="E58" i="33"/>
  <c r="I58" i="33"/>
  <c r="M58" i="33"/>
  <c r="Q58" i="33"/>
  <c r="U58" i="33"/>
  <c r="Z57" i="33"/>
  <c r="W57" i="33"/>
  <c r="V57" i="33"/>
  <c r="S57" i="33"/>
  <c r="R57" i="33"/>
  <c r="O57" i="33"/>
  <c r="N57" i="33"/>
  <c r="K57" i="33"/>
  <c r="J57" i="33"/>
  <c r="G57" i="33"/>
  <c r="F57" i="33"/>
  <c r="Z56" i="33"/>
  <c r="W56" i="33"/>
  <c r="V56" i="33"/>
  <c r="S56" i="33"/>
  <c r="R56" i="33"/>
  <c r="O56" i="33"/>
  <c r="N56" i="33"/>
  <c r="K56" i="33"/>
  <c r="J56" i="33"/>
  <c r="G56" i="33"/>
  <c r="F56" i="33"/>
  <c r="Z55" i="33"/>
  <c r="W55" i="33"/>
  <c r="V55" i="33"/>
  <c r="S55" i="33"/>
  <c r="R55" i="33"/>
  <c r="O55" i="33"/>
  <c r="N55" i="33"/>
  <c r="K55" i="33"/>
  <c r="J55" i="33"/>
  <c r="G55" i="33"/>
  <c r="F55" i="33"/>
  <c r="Z54" i="33"/>
  <c r="W54" i="33"/>
  <c r="V54" i="33"/>
  <c r="S54" i="33"/>
  <c r="R54" i="33"/>
  <c r="O54" i="33"/>
  <c r="N54" i="33"/>
  <c r="K54" i="33"/>
  <c r="J54" i="33"/>
  <c r="G54" i="33"/>
  <c r="F54" i="33"/>
  <c r="Z53" i="33"/>
  <c r="W53" i="33"/>
  <c r="V53" i="33"/>
  <c r="S53" i="33"/>
  <c r="R53" i="33"/>
  <c r="O53" i="33"/>
  <c r="N53" i="33"/>
  <c r="K53" i="33"/>
  <c r="J53" i="33"/>
  <c r="G53" i="33"/>
  <c r="F53" i="33"/>
  <c r="Z52" i="33"/>
  <c r="Z50" i="33"/>
  <c r="W50" i="33"/>
  <c r="V50" i="33"/>
  <c r="S50" i="33"/>
  <c r="R50" i="33"/>
  <c r="O50" i="33"/>
  <c r="N50" i="33"/>
  <c r="K50" i="33"/>
  <c r="J50" i="33"/>
  <c r="G50" i="33"/>
  <c r="F50" i="33"/>
  <c r="Z49" i="33"/>
  <c r="W49" i="33"/>
  <c r="V49" i="33"/>
  <c r="S49" i="33"/>
  <c r="R49" i="33"/>
  <c r="O49" i="33"/>
  <c r="N49" i="33"/>
  <c r="K49" i="33"/>
  <c r="J49" i="33"/>
  <c r="G49" i="33"/>
  <c r="F49" i="33"/>
  <c r="Z48" i="33"/>
  <c r="W48" i="33"/>
  <c r="V48" i="33"/>
  <c r="S48" i="33"/>
  <c r="R48" i="33"/>
  <c r="O48" i="33"/>
  <c r="N48" i="33"/>
  <c r="K48" i="33"/>
  <c r="J48" i="33"/>
  <c r="G48" i="33"/>
  <c r="F48" i="33"/>
  <c r="Z47" i="33"/>
  <c r="W47" i="33"/>
  <c r="V47" i="33"/>
  <c r="S47" i="33"/>
  <c r="R47" i="33"/>
  <c r="O47" i="33"/>
  <c r="N47" i="33"/>
  <c r="K47" i="33"/>
  <c r="J47" i="33"/>
  <c r="G47" i="33"/>
  <c r="F47" i="33"/>
  <c r="Z46" i="33"/>
  <c r="W46" i="33"/>
  <c r="V46" i="33"/>
  <c r="S46" i="33"/>
  <c r="R46" i="33"/>
  <c r="O46" i="33"/>
  <c r="N46" i="33"/>
  <c r="K46" i="33"/>
  <c r="J46" i="33"/>
  <c r="G46" i="33"/>
  <c r="F46" i="33"/>
  <c r="Z45" i="33"/>
  <c r="W45" i="33"/>
  <c r="V45" i="33"/>
  <c r="S45" i="33"/>
  <c r="R45" i="33"/>
  <c r="O45" i="33"/>
  <c r="N45" i="33"/>
  <c r="K45" i="33"/>
  <c r="J45" i="33"/>
  <c r="G45" i="33"/>
  <c r="F45" i="33"/>
  <c r="Z44" i="33"/>
  <c r="Z42" i="33"/>
  <c r="W42" i="33"/>
  <c r="V42" i="33"/>
  <c r="S42" i="33"/>
  <c r="R42" i="33"/>
  <c r="O42" i="33"/>
  <c r="N42" i="33"/>
  <c r="K42" i="33"/>
  <c r="J42" i="33"/>
  <c r="G42" i="33"/>
  <c r="F42" i="33"/>
  <c r="Z41" i="33"/>
  <c r="W41" i="33"/>
  <c r="V41" i="33"/>
  <c r="S41" i="33"/>
  <c r="R41" i="33"/>
  <c r="O41" i="33"/>
  <c r="N41" i="33"/>
  <c r="K41" i="33"/>
  <c r="J41" i="33"/>
  <c r="G41" i="33"/>
  <c r="F41" i="33"/>
  <c r="Z40" i="33"/>
  <c r="W40" i="33"/>
  <c r="V40" i="33"/>
  <c r="S40" i="33"/>
  <c r="R40" i="33"/>
  <c r="O40" i="33"/>
  <c r="N40" i="33"/>
  <c r="K40" i="33"/>
  <c r="J40" i="33"/>
  <c r="G40" i="33"/>
  <c r="F40" i="33"/>
  <c r="Z39" i="33"/>
  <c r="W39" i="33"/>
  <c r="V39" i="33"/>
  <c r="S39" i="33"/>
  <c r="R39" i="33"/>
  <c r="O39" i="33"/>
  <c r="N39" i="33"/>
  <c r="K39" i="33"/>
  <c r="J39" i="33"/>
  <c r="G39" i="33"/>
  <c r="F39" i="33"/>
  <c r="Z38" i="33"/>
  <c r="W38" i="33"/>
  <c r="V38" i="33"/>
  <c r="S38" i="33"/>
  <c r="R38" i="33"/>
  <c r="O38" i="33"/>
  <c r="N38" i="33"/>
  <c r="K38" i="33"/>
  <c r="J38" i="33"/>
  <c r="G38" i="33"/>
  <c r="F38" i="33"/>
  <c r="Z37" i="33"/>
  <c r="W37" i="33"/>
  <c r="V37" i="33"/>
  <c r="S37" i="33"/>
  <c r="R37" i="33"/>
  <c r="O37" i="33"/>
  <c r="N37" i="33"/>
  <c r="K37" i="33"/>
  <c r="J37" i="33"/>
  <c r="G37" i="33"/>
  <c r="F37" i="33"/>
  <c r="Z36" i="33"/>
  <c r="Z34" i="33"/>
  <c r="W34" i="33"/>
  <c r="V34" i="33"/>
  <c r="S34" i="33"/>
  <c r="R34" i="33"/>
  <c r="O34" i="33"/>
  <c r="N34" i="33"/>
  <c r="K34" i="33"/>
  <c r="J34" i="33"/>
  <c r="G34" i="33"/>
  <c r="F34" i="33"/>
  <c r="Z33" i="33"/>
  <c r="W33" i="33"/>
  <c r="V33" i="33"/>
  <c r="S33" i="33"/>
  <c r="R33" i="33"/>
  <c r="O33" i="33"/>
  <c r="N33" i="33"/>
  <c r="K33" i="33"/>
  <c r="J33" i="33"/>
  <c r="G33" i="33"/>
  <c r="F33" i="33"/>
  <c r="Z32" i="33"/>
  <c r="W32" i="33"/>
  <c r="V32" i="33"/>
  <c r="S32" i="33"/>
  <c r="R32" i="33"/>
  <c r="O32" i="33"/>
  <c r="N32" i="33"/>
  <c r="K32" i="33"/>
  <c r="J32" i="33"/>
  <c r="G32" i="33"/>
  <c r="F32" i="33"/>
  <c r="Z31" i="33"/>
  <c r="W31" i="33"/>
  <c r="V31" i="33"/>
  <c r="S31" i="33"/>
  <c r="R31" i="33"/>
  <c r="O31" i="33"/>
  <c r="N31" i="33"/>
  <c r="K31" i="33"/>
  <c r="J31" i="33"/>
  <c r="G31" i="33"/>
  <c r="F31" i="33"/>
  <c r="Z30" i="33"/>
  <c r="W30" i="33"/>
  <c r="V30" i="33"/>
  <c r="S30" i="33"/>
  <c r="R30" i="33"/>
  <c r="O30" i="33"/>
  <c r="N30" i="33"/>
  <c r="K30" i="33"/>
  <c r="J30" i="33"/>
  <c r="G30" i="33"/>
  <c r="F30" i="33"/>
  <c r="Z29" i="33"/>
  <c r="W29" i="33"/>
  <c r="V29" i="33"/>
  <c r="S29" i="33"/>
  <c r="R29" i="33"/>
  <c r="O29" i="33"/>
  <c r="N29" i="33"/>
  <c r="K29" i="33"/>
  <c r="J29" i="33"/>
  <c r="G29" i="33"/>
  <c r="F29" i="33"/>
  <c r="E28" i="33"/>
  <c r="I28" i="33"/>
  <c r="M28" i="33"/>
  <c r="Q28" i="33"/>
  <c r="U28" i="33"/>
  <c r="Z27" i="33"/>
  <c r="Z26" i="33"/>
  <c r="W26" i="33"/>
  <c r="V26" i="33"/>
  <c r="S26" i="33"/>
  <c r="R26" i="33"/>
  <c r="O26" i="33"/>
  <c r="N26" i="33"/>
  <c r="K26" i="33"/>
  <c r="J26" i="33"/>
  <c r="G26" i="33"/>
  <c r="F26" i="33"/>
  <c r="Z25" i="33"/>
  <c r="W25" i="33"/>
  <c r="V25" i="33"/>
  <c r="S25" i="33"/>
  <c r="R25" i="33"/>
  <c r="O25" i="33"/>
  <c r="N25" i="33"/>
  <c r="K25" i="33"/>
  <c r="J25" i="33"/>
  <c r="G25" i="33"/>
  <c r="F25" i="33"/>
  <c r="Z24" i="33"/>
  <c r="W18" i="33"/>
  <c r="V18" i="33"/>
  <c r="S18" i="33"/>
  <c r="R18" i="33"/>
  <c r="O18" i="33"/>
  <c r="N18" i="33"/>
  <c r="K18" i="33"/>
  <c r="J18" i="33"/>
  <c r="G18" i="33"/>
  <c r="F18" i="33"/>
  <c r="W17" i="33"/>
  <c r="S17" i="33"/>
  <c r="O17" i="33"/>
  <c r="K17" i="33"/>
  <c r="G17" i="33"/>
  <c r="Q76" i="35"/>
  <c r="R76" i="35" s="1"/>
  <c r="E58" i="88" s="1"/>
  <c r="A58" i="88" s="1"/>
  <c r="M76" i="35"/>
  <c r="O76" i="35" s="1"/>
  <c r="F57" i="88" s="1"/>
  <c r="I76" i="35"/>
  <c r="J76" i="35" s="1"/>
  <c r="E56" i="88" s="1"/>
  <c r="A56" i="88" s="1"/>
  <c r="E76" i="35"/>
  <c r="G76" i="35" s="1"/>
  <c r="F55" i="88" s="1"/>
  <c r="V74" i="35"/>
  <c r="V73" i="35"/>
  <c r="V72" i="35"/>
  <c r="V71" i="35"/>
  <c r="V70" i="35"/>
  <c r="V69" i="35"/>
  <c r="V68" i="35"/>
  <c r="S68" i="35"/>
  <c r="R68" i="35"/>
  <c r="O68" i="35"/>
  <c r="N68" i="35"/>
  <c r="K68" i="35"/>
  <c r="J68" i="35"/>
  <c r="G68" i="35"/>
  <c r="F68" i="35"/>
  <c r="V67" i="35"/>
  <c r="S67" i="35"/>
  <c r="R67" i="35"/>
  <c r="O67" i="35"/>
  <c r="N67" i="35"/>
  <c r="K67" i="35"/>
  <c r="J67" i="35"/>
  <c r="G67" i="35"/>
  <c r="F67" i="35"/>
  <c r="V66" i="35"/>
  <c r="S66" i="35"/>
  <c r="R66" i="35"/>
  <c r="O66" i="35"/>
  <c r="N66" i="35"/>
  <c r="K66" i="35"/>
  <c r="J66" i="35"/>
  <c r="G66" i="35"/>
  <c r="F66" i="35"/>
  <c r="V65" i="35"/>
  <c r="S65" i="35"/>
  <c r="R65" i="35"/>
  <c r="O65" i="35"/>
  <c r="N65" i="35"/>
  <c r="K65" i="35"/>
  <c r="J65" i="35"/>
  <c r="G65" i="35"/>
  <c r="F65" i="35"/>
  <c r="V64" i="35"/>
  <c r="V63" i="35"/>
  <c r="V62" i="35"/>
  <c r="S62" i="35"/>
  <c r="R62" i="35"/>
  <c r="O62" i="35"/>
  <c r="N62" i="35"/>
  <c r="K62" i="35"/>
  <c r="J62" i="35"/>
  <c r="G62" i="35"/>
  <c r="F62" i="35"/>
  <c r="V61" i="35"/>
  <c r="S61" i="35"/>
  <c r="R61" i="35"/>
  <c r="O61" i="35"/>
  <c r="N61" i="35"/>
  <c r="K61" i="35"/>
  <c r="J61" i="35"/>
  <c r="G61" i="35"/>
  <c r="F61" i="35"/>
  <c r="V60" i="35"/>
  <c r="S60" i="35"/>
  <c r="R60" i="35"/>
  <c r="O60" i="35"/>
  <c r="N60" i="35"/>
  <c r="K60" i="35"/>
  <c r="J60" i="35"/>
  <c r="G60" i="35"/>
  <c r="F60" i="35"/>
  <c r="V59" i="35"/>
  <c r="V58" i="35"/>
  <c r="V57" i="35"/>
  <c r="S57" i="35"/>
  <c r="O57" i="35"/>
  <c r="K57" i="35"/>
  <c r="G57" i="35"/>
  <c r="V56" i="35"/>
  <c r="S56" i="35"/>
  <c r="R56" i="35"/>
  <c r="O56" i="35"/>
  <c r="N56" i="35"/>
  <c r="K56" i="35"/>
  <c r="J56" i="35"/>
  <c r="G56" i="35"/>
  <c r="F56" i="35"/>
  <c r="V55" i="35"/>
  <c r="S55" i="35"/>
  <c r="R55" i="35"/>
  <c r="O55" i="35"/>
  <c r="N55" i="35"/>
  <c r="K55" i="35"/>
  <c r="J55" i="35"/>
  <c r="G55" i="35"/>
  <c r="F55" i="35"/>
  <c r="V54" i="35"/>
  <c r="S54" i="35"/>
  <c r="R54" i="35"/>
  <c r="O54" i="35"/>
  <c r="N54" i="35"/>
  <c r="K54" i="35"/>
  <c r="J54" i="35"/>
  <c r="G54" i="35"/>
  <c r="F54" i="35"/>
  <c r="V53" i="35"/>
  <c r="S53" i="35"/>
  <c r="R53" i="35"/>
  <c r="O53" i="35"/>
  <c r="N53" i="35"/>
  <c r="K53" i="35"/>
  <c r="J53" i="35"/>
  <c r="G53" i="35"/>
  <c r="F53" i="35"/>
  <c r="V52" i="35"/>
  <c r="V51" i="35"/>
  <c r="V50" i="35"/>
  <c r="S50" i="35"/>
  <c r="R50" i="35"/>
  <c r="O50" i="35"/>
  <c r="N50" i="35"/>
  <c r="K50" i="35"/>
  <c r="J50" i="35"/>
  <c r="G50" i="35"/>
  <c r="F50" i="35"/>
  <c r="V49" i="35"/>
  <c r="S49" i="35"/>
  <c r="R49" i="35"/>
  <c r="O49" i="35"/>
  <c r="N49" i="35"/>
  <c r="K49" i="35"/>
  <c r="J49" i="35"/>
  <c r="G49" i="35"/>
  <c r="F49" i="35"/>
  <c r="V48" i="35"/>
  <c r="S48" i="35"/>
  <c r="R48" i="35"/>
  <c r="O48" i="35"/>
  <c r="N48" i="35"/>
  <c r="K48" i="35"/>
  <c r="J48" i="35"/>
  <c r="G48" i="35"/>
  <c r="F48" i="35"/>
  <c r="V47" i="35"/>
  <c r="S47" i="35"/>
  <c r="R47" i="35"/>
  <c r="O47" i="35"/>
  <c r="N47" i="35"/>
  <c r="K47" i="35"/>
  <c r="J47" i="35"/>
  <c r="G47" i="35"/>
  <c r="F47" i="35"/>
  <c r="V46" i="35"/>
  <c r="S46" i="35"/>
  <c r="R46" i="35"/>
  <c r="O46" i="35"/>
  <c r="N46" i="35"/>
  <c r="K46" i="35"/>
  <c r="J46" i="35"/>
  <c r="G46" i="35"/>
  <c r="F46" i="35"/>
  <c r="V45" i="35"/>
  <c r="S45" i="35"/>
  <c r="R45" i="35"/>
  <c r="O45" i="35"/>
  <c r="N45" i="35"/>
  <c r="K45" i="35"/>
  <c r="J45" i="35"/>
  <c r="G45" i="35"/>
  <c r="F45" i="35"/>
  <c r="V44" i="35"/>
  <c r="V43" i="35"/>
  <c r="V42" i="35"/>
  <c r="S42" i="35"/>
  <c r="R42" i="35"/>
  <c r="O42" i="35"/>
  <c r="N42" i="35"/>
  <c r="K42" i="35"/>
  <c r="J42" i="35"/>
  <c r="G42" i="35"/>
  <c r="F42" i="35"/>
  <c r="V41" i="35"/>
  <c r="S41" i="35"/>
  <c r="R41" i="35"/>
  <c r="O41" i="35"/>
  <c r="N41" i="35"/>
  <c r="K41" i="35"/>
  <c r="J41" i="35"/>
  <c r="G41" i="35"/>
  <c r="F41" i="35"/>
  <c r="V40" i="35"/>
  <c r="S40" i="35"/>
  <c r="R40" i="35"/>
  <c r="O40" i="35"/>
  <c r="N40" i="35"/>
  <c r="K40" i="35"/>
  <c r="J40" i="35"/>
  <c r="G40" i="35"/>
  <c r="F40" i="35"/>
  <c r="V39" i="35"/>
  <c r="S39" i="35"/>
  <c r="R39" i="35"/>
  <c r="O39" i="35"/>
  <c r="N39" i="35"/>
  <c r="K39" i="35"/>
  <c r="J39" i="35"/>
  <c r="G39" i="35"/>
  <c r="F39" i="35"/>
  <c r="V38" i="35"/>
  <c r="S38" i="35"/>
  <c r="R38" i="35"/>
  <c r="O38" i="35"/>
  <c r="N38" i="35"/>
  <c r="K38" i="35"/>
  <c r="J38" i="35"/>
  <c r="G38" i="35"/>
  <c r="F38" i="35"/>
  <c r="V37" i="35"/>
  <c r="S37" i="35"/>
  <c r="R37" i="35"/>
  <c r="O37" i="35"/>
  <c r="N37" i="35"/>
  <c r="K37" i="35"/>
  <c r="J37" i="35"/>
  <c r="G37" i="35"/>
  <c r="F37" i="35"/>
  <c r="V36" i="35"/>
  <c r="V35" i="35"/>
  <c r="V34" i="35"/>
  <c r="S34" i="35"/>
  <c r="R34" i="35"/>
  <c r="O34" i="35"/>
  <c r="N34" i="35"/>
  <c r="K34" i="35"/>
  <c r="J34" i="35"/>
  <c r="G34" i="35"/>
  <c r="F34" i="35"/>
  <c r="V33" i="35"/>
  <c r="S33" i="35"/>
  <c r="R33" i="35"/>
  <c r="O33" i="35"/>
  <c r="N33" i="35"/>
  <c r="K33" i="35"/>
  <c r="J33" i="35"/>
  <c r="G33" i="35"/>
  <c r="F33" i="35"/>
  <c r="V32" i="35"/>
  <c r="S32" i="35"/>
  <c r="R32" i="35"/>
  <c r="O32" i="35"/>
  <c r="N32" i="35"/>
  <c r="K32" i="35"/>
  <c r="J32" i="35"/>
  <c r="G32" i="35"/>
  <c r="F32" i="35"/>
  <c r="V31" i="35"/>
  <c r="S31" i="35"/>
  <c r="R31" i="35"/>
  <c r="O31" i="35"/>
  <c r="N31" i="35"/>
  <c r="K31" i="35"/>
  <c r="J31" i="35"/>
  <c r="G31" i="35"/>
  <c r="F31" i="35"/>
  <c r="V30" i="35"/>
  <c r="S30" i="35"/>
  <c r="R30" i="35"/>
  <c r="O30" i="35"/>
  <c r="N30" i="35"/>
  <c r="K30" i="35"/>
  <c r="J30" i="35"/>
  <c r="G30" i="35"/>
  <c r="F30" i="35"/>
  <c r="V29" i="35"/>
  <c r="V27" i="35"/>
  <c r="V26" i="35"/>
  <c r="S26" i="35"/>
  <c r="R26" i="35"/>
  <c r="O26" i="35"/>
  <c r="N26" i="35"/>
  <c r="K26" i="35"/>
  <c r="J26" i="35"/>
  <c r="G26" i="35"/>
  <c r="F26" i="35"/>
  <c r="V25" i="35"/>
  <c r="S25" i="35"/>
  <c r="R25" i="35"/>
  <c r="O25" i="35"/>
  <c r="N25" i="35"/>
  <c r="K25" i="35"/>
  <c r="J25" i="35"/>
  <c r="G25" i="35"/>
  <c r="F25" i="35"/>
  <c r="V24" i="35"/>
  <c r="V23" i="35"/>
  <c r="V22" i="35"/>
  <c r="V21" i="35"/>
  <c r="V20" i="35"/>
  <c r="S18" i="35"/>
  <c r="R18" i="35"/>
  <c r="O18" i="35"/>
  <c r="N18" i="35"/>
  <c r="K18" i="35"/>
  <c r="J18" i="35"/>
  <c r="G18" i="35"/>
  <c r="F18" i="35"/>
  <c r="F15" i="35"/>
  <c r="G15" i="35"/>
  <c r="J15" i="35"/>
  <c r="K15" i="35"/>
  <c r="N15" i="35"/>
  <c r="O15" i="35"/>
  <c r="R15" i="35"/>
  <c r="S15" i="35"/>
  <c r="F12" i="35"/>
  <c r="J12" i="35"/>
  <c r="N12" i="35"/>
  <c r="R12" i="35"/>
  <c r="G12" i="35"/>
  <c r="K12" i="35"/>
  <c r="O12" i="35"/>
  <c r="S12" i="35"/>
  <c r="S11" i="35"/>
  <c r="O11" i="35"/>
  <c r="K11" i="35"/>
  <c r="G11" i="35"/>
  <c r="X184" i="43"/>
  <c r="AA182" i="43"/>
  <c r="AA178" i="43"/>
  <c r="Y174" i="43"/>
  <c r="AC174" i="43" s="1"/>
  <c r="Y178" i="43" s="1"/>
  <c r="X164" i="43"/>
  <c r="AA162" i="43"/>
  <c r="AA158" i="43"/>
  <c r="Y154" i="43"/>
  <c r="AC154" i="43" s="1"/>
  <c r="Y158" i="43" s="1"/>
  <c r="X144" i="43"/>
  <c r="AA142" i="43"/>
  <c r="AA138" i="43"/>
  <c r="Y134" i="43"/>
  <c r="AC134" i="43" s="1"/>
  <c r="Y138" i="43" s="1"/>
  <c r="X124" i="43"/>
  <c r="AA122" i="43"/>
  <c r="AA118" i="43"/>
  <c r="Y114" i="43"/>
  <c r="AC114" i="43" s="1"/>
  <c r="Y118" i="43" s="1"/>
  <c r="X104" i="43"/>
  <c r="AA102" i="43"/>
  <c r="AA98" i="43"/>
  <c r="Y94" i="43"/>
  <c r="AC94" i="43" s="1"/>
  <c r="Y98" i="43" s="1"/>
  <c r="X84" i="43"/>
  <c r="AA82" i="43"/>
  <c r="AA78" i="43"/>
  <c r="Y74" i="43"/>
  <c r="AC74" i="43" s="1"/>
  <c r="Y78" i="43" s="1"/>
  <c r="X64" i="43"/>
  <c r="AA62" i="43"/>
  <c r="AA58" i="43"/>
  <c r="Y54" i="43"/>
  <c r="AC54" i="43" s="1"/>
  <c r="Y58" i="43" s="1"/>
  <c r="X44" i="43"/>
  <c r="AA42" i="43"/>
  <c r="AA38" i="43"/>
  <c r="Y34" i="43"/>
  <c r="AC34" i="43" s="1"/>
  <c r="Y38" i="43" s="1"/>
  <c r="O25" i="43"/>
  <c r="M25" i="43"/>
  <c r="A25" i="43" s="1"/>
  <c r="O24" i="43"/>
  <c r="M24" i="43"/>
  <c r="A24" i="43" s="1"/>
  <c r="O23" i="43"/>
  <c r="M23" i="43"/>
  <c r="A23" i="43" s="1"/>
  <c r="O22" i="43"/>
  <c r="M22" i="43"/>
  <c r="A22" i="43" s="1"/>
  <c r="O21" i="43"/>
  <c r="M21" i="43"/>
  <c r="A21" i="43" s="1"/>
  <c r="O20" i="43"/>
  <c r="M20" i="43"/>
  <c r="A20" i="43" s="1"/>
  <c r="O19" i="43"/>
  <c r="M19" i="43"/>
  <c r="A19" i="43" s="1"/>
  <c r="M18" i="43"/>
  <c r="A18" i="43" s="1"/>
  <c r="G7" i="43"/>
  <c r="G8" i="43"/>
  <c r="G9" i="43"/>
  <c r="G10" i="43"/>
  <c r="D16" i="55"/>
  <c r="D17" i="55"/>
  <c r="D18" i="55"/>
  <c r="D19" i="55"/>
  <c r="D20" i="55"/>
  <c r="D21" i="55"/>
  <c r="D22" i="55"/>
  <c r="D23" i="55" s="1"/>
  <c r="D24" i="55" s="1"/>
  <c r="D25" i="55" s="1"/>
  <c r="D26" i="55" s="1"/>
  <c r="D27" i="55" s="1"/>
  <c r="D28" i="55" s="1"/>
  <c r="D29" i="55" s="1"/>
  <c r="CJ1722" i="42"/>
  <c r="CG1519" i="42"/>
  <c r="CB1514" i="42"/>
  <c r="BY1311" i="42"/>
  <c r="BT1306" i="42"/>
  <c r="BQ1103" i="42"/>
  <c r="BL1098" i="42"/>
  <c r="BI895" i="42"/>
  <c r="BD890" i="42"/>
  <c r="BA687" i="42"/>
  <c r="AV682" i="42"/>
  <c r="AS479" i="42"/>
  <c r="AN474" i="42"/>
  <c r="AK271" i="42"/>
  <c r="AC63" i="42"/>
  <c r="A22" i="42"/>
  <c r="A23" i="42"/>
  <c r="A33" i="42" s="1"/>
  <c r="A24" i="42"/>
  <c r="A25" i="42"/>
  <c r="A26" i="42"/>
  <c r="A27" i="42"/>
  <c r="A28" i="42"/>
  <c r="A29" i="42"/>
  <c r="N29" i="42"/>
  <c r="O29" i="42" s="1"/>
  <c r="N28" i="42"/>
  <c r="O28" i="42" s="1"/>
  <c r="N27" i="42"/>
  <c r="O27" i="42" s="1"/>
  <c r="N26" i="42"/>
  <c r="O26" i="42" s="1"/>
  <c r="N25" i="42"/>
  <c r="O25" i="42" s="1"/>
  <c r="N24" i="42"/>
  <c r="O24" i="42" s="1"/>
  <c r="N23" i="42"/>
  <c r="N22" i="42"/>
  <c r="O22" i="42" s="1"/>
  <c r="E6" i="42"/>
  <c r="E5" i="42"/>
  <c r="F31" i="38"/>
  <c r="F30" i="38"/>
  <c r="H29" i="38"/>
  <c r="F29" i="38"/>
  <c r="H28" i="38"/>
  <c r="F28" i="38"/>
  <c r="H27" i="38"/>
  <c r="F22" i="38"/>
  <c r="F21" i="38"/>
  <c r="H20" i="38"/>
  <c r="F20" i="38"/>
  <c r="H19" i="38"/>
  <c r="F19" i="38"/>
  <c r="H18" i="38"/>
  <c r="U219" i="39"/>
  <c r="T219" i="39"/>
  <c r="O215" i="39"/>
  <c r="N215" i="39"/>
  <c r="E215" i="39"/>
  <c r="O214" i="39"/>
  <c r="N214" i="39"/>
  <c r="E214" i="39"/>
  <c r="O213" i="39"/>
  <c r="N213" i="39"/>
  <c r="E213" i="39"/>
  <c r="O212" i="39"/>
  <c r="N212" i="39"/>
  <c r="E212" i="39"/>
  <c r="O211" i="39"/>
  <c r="N211" i="39"/>
  <c r="E211" i="39"/>
  <c r="O210" i="39"/>
  <c r="N210" i="39"/>
  <c r="E210" i="39"/>
  <c r="O209" i="39"/>
  <c r="N209" i="39"/>
  <c r="E209" i="39"/>
  <c r="O208" i="39"/>
  <c r="E208" i="39"/>
  <c r="B8" i="39"/>
  <c r="B9" i="39" s="1"/>
  <c r="B10" i="39" s="1"/>
  <c r="B11" i="39" s="1"/>
  <c r="B12" i="39" s="1"/>
  <c r="B13" i="39" s="1"/>
  <c r="B14" i="39" s="1"/>
  <c r="B15" i="39" s="1"/>
  <c r="B16" i="39" s="1"/>
  <c r="B17" i="39" s="1"/>
  <c r="B18" i="39" s="1"/>
  <c r="B19" i="39" s="1"/>
  <c r="B20" i="39" s="1"/>
  <c r="B21" i="39" s="1"/>
  <c r="B22" i="39" s="1"/>
  <c r="B23" i="39" s="1"/>
  <c r="B24" i="39" s="1"/>
  <c r="B25" i="39" s="1"/>
  <c r="B26" i="39" s="1"/>
  <c r="B27" i="39" s="1"/>
  <c r="B28" i="39" s="1"/>
  <c r="B29" i="39" s="1"/>
  <c r="B30" i="39" s="1"/>
  <c r="B31" i="39" s="1"/>
  <c r="B32" i="39" s="1"/>
  <c r="B33" i="39" s="1"/>
  <c r="B34" i="39" s="1"/>
  <c r="B35" i="39" s="1"/>
  <c r="B36" i="39" s="1"/>
  <c r="B37" i="39" s="1"/>
  <c r="B38" i="39" s="1"/>
  <c r="B39" i="39" s="1"/>
  <c r="B40" i="39" s="1"/>
  <c r="B41" i="39" s="1"/>
  <c r="B42" i="39" s="1"/>
  <c r="B43" i="39" s="1"/>
  <c r="B44" i="39" s="1"/>
  <c r="B45" i="39" s="1"/>
  <c r="B46" i="39" s="1"/>
  <c r="B47" i="39" s="1"/>
  <c r="B48" i="39" s="1"/>
  <c r="B49" i="39" s="1"/>
  <c r="B50" i="39" s="1"/>
  <c r="B51" i="39" s="1"/>
  <c r="B52" i="39" s="1"/>
  <c r="B53" i="39" s="1"/>
  <c r="B54" i="39" s="1"/>
  <c r="B55" i="39" s="1"/>
  <c r="B56" i="39" s="1"/>
  <c r="B57" i="39" s="1"/>
  <c r="B58" i="39" s="1"/>
  <c r="B59" i="39" s="1"/>
  <c r="B60" i="39" s="1"/>
  <c r="B61" i="39" s="1"/>
  <c r="B62" i="39" s="1"/>
  <c r="B63" i="39" s="1"/>
  <c r="B64" i="39" s="1"/>
  <c r="B65" i="39" s="1"/>
  <c r="B66" i="39" s="1"/>
  <c r="B67" i="39" s="1"/>
  <c r="B68" i="39" s="1"/>
  <c r="B69" i="39" s="1"/>
  <c r="B70" i="39" s="1"/>
  <c r="B71" i="39" s="1"/>
  <c r="B72" i="39" s="1"/>
  <c r="B73" i="39" s="1"/>
  <c r="B74" i="39" s="1"/>
  <c r="B75" i="39" s="1"/>
  <c r="B76" i="39" s="1"/>
  <c r="B77" i="39" s="1"/>
  <c r="B78" i="39" s="1"/>
  <c r="B79" i="39" s="1"/>
  <c r="B80" i="39" s="1"/>
  <c r="B81" i="39" s="1"/>
  <c r="B82" i="39" s="1"/>
  <c r="B83" i="39" s="1"/>
  <c r="B84" i="39" s="1"/>
  <c r="B85" i="39" s="1"/>
  <c r="B86" i="39" s="1"/>
  <c r="B87" i="39" s="1"/>
  <c r="B88" i="39" s="1"/>
  <c r="B89" i="39" s="1"/>
  <c r="B90" i="39" s="1"/>
  <c r="B91" i="39" s="1"/>
  <c r="B92" i="39" s="1"/>
  <c r="B93" i="39" s="1"/>
  <c r="B94" i="39" s="1"/>
  <c r="B95" i="39" s="1"/>
  <c r="B96" i="39" s="1"/>
  <c r="B97" i="39" s="1"/>
  <c r="B98" i="39" s="1"/>
  <c r="B99" i="39" s="1"/>
  <c r="B100" i="39" s="1"/>
  <c r="B101" i="39" s="1"/>
  <c r="B102" i="39" s="1"/>
  <c r="B103" i="39" s="1"/>
  <c r="B104" i="39" s="1"/>
  <c r="B105" i="39" s="1"/>
  <c r="B106" i="39" s="1"/>
  <c r="B107" i="39" s="1"/>
  <c r="B108" i="39" s="1"/>
  <c r="B109" i="39" s="1"/>
  <c r="B110" i="39" s="1"/>
  <c r="B111" i="39" s="1"/>
  <c r="B112" i="39" s="1"/>
  <c r="B113" i="39" s="1"/>
  <c r="B114" i="39" s="1"/>
  <c r="B115" i="39" s="1"/>
  <c r="B116" i="39" s="1"/>
  <c r="B117" i="39" s="1"/>
  <c r="B118" i="39" s="1"/>
  <c r="B119" i="39" s="1"/>
  <c r="B120" i="39" s="1"/>
  <c r="B121" i="39" s="1"/>
  <c r="B122" i="39" s="1"/>
  <c r="B123" i="39" s="1"/>
  <c r="B124" i="39" s="1"/>
  <c r="B125" i="39" s="1"/>
  <c r="B126" i="39" s="1"/>
  <c r="B127" i="39" s="1"/>
  <c r="B128" i="39" s="1"/>
  <c r="B129" i="39" s="1"/>
  <c r="B130" i="39" s="1"/>
  <c r="B131" i="39" s="1"/>
  <c r="B132" i="39" s="1"/>
  <c r="B133" i="39" s="1"/>
  <c r="B134" i="39" s="1"/>
  <c r="B135" i="39" s="1"/>
  <c r="B136" i="39" s="1"/>
  <c r="B137" i="39" s="1"/>
  <c r="B138" i="39" s="1"/>
  <c r="B139" i="39" s="1"/>
  <c r="B140" i="39" s="1"/>
  <c r="B141" i="39" s="1"/>
  <c r="B142" i="39" s="1"/>
  <c r="B143" i="39" s="1"/>
  <c r="B144" i="39" s="1"/>
  <c r="B145" i="39" s="1"/>
  <c r="B146" i="39" s="1"/>
  <c r="B147" i="39" s="1"/>
  <c r="B148" i="39" s="1"/>
  <c r="B149" i="39" s="1"/>
  <c r="B150" i="39" s="1"/>
  <c r="B151" i="39" s="1"/>
  <c r="B152" i="39" s="1"/>
  <c r="B153" i="39" s="1"/>
  <c r="B154" i="39" s="1"/>
  <c r="B155" i="39" s="1"/>
  <c r="B156" i="39" s="1"/>
  <c r="B157" i="39" s="1"/>
  <c r="B158" i="39" s="1"/>
  <c r="B159" i="39" s="1"/>
  <c r="B160" i="39" s="1"/>
  <c r="B161" i="39" s="1"/>
  <c r="B162" i="39" s="1"/>
  <c r="B163" i="39" s="1"/>
  <c r="B164" i="39" s="1"/>
  <c r="B165" i="39" s="1"/>
  <c r="B166" i="39" s="1"/>
  <c r="B167" i="39" s="1"/>
  <c r="B168" i="39" s="1"/>
  <c r="B169" i="39" s="1"/>
  <c r="B170" i="39" s="1"/>
  <c r="B171" i="39" s="1"/>
  <c r="B172" i="39" s="1"/>
  <c r="B173" i="39" s="1"/>
  <c r="B174" i="39" s="1"/>
  <c r="B175" i="39" s="1"/>
  <c r="B176" i="39" s="1"/>
  <c r="B177" i="39" s="1"/>
  <c r="B178" i="39" s="1"/>
  <c r="B179" i="39" s="1"/>
  <c r="B180" i="39" s="1"/>
  <c r="B181" i="39" s="1"/>
  <c r="B182" i="39" s="1"/>
  <c r="B183" i="39" s="1"/>
  <c r="B184" i="39" s="1"/>
  <c r="B185" i="39" s="1"/>
  <c r="B186" i="39" s="1"/>
  <c r="B187" i="39" s="1"/>
  <c r="B188" i="39" s="1"/>
  <c r="B189" i="39" s="1"/>
  <c r="B190" i="39" s="1"/>
  <c r="B191" i="39" s="1"/>
  <c r="B192" i="39" s="1"/>
  <c r="B193" i="39" s="1"/>
  <c r="B194" i="39" s="1"/>
  <c r="B195" i="39" s="1"/>
  <c r="B196" i="39" s="1"/>
  <c r="B197" i="39" s="1"/>
  <c r="B198" i="39" s="1"/>
  <c r="B199" i="39" s="1"/>
  <c r="B200" i="39" s="1"/>
  <c r="B201" i="39" s="1"/>
  <c r="B202" i="39" s="1"/>
  <c r="B203" i="39" s="1"/>
  <c r="B204" i="39" s="1"/>
  <c r="B205" i="39" s="1"/>
  <c r="B206" i="39" s="1"/>
  <c r="AF6" i="39"/>
  <c r="AE6" i="39"/>
  <c r="AD6" i="39"/>
  <c r="AC6" i="39"/>
  <c r="AB6" i="39"/>
  <c r="AA6" i="39"/>
  <c r="Z6" i="39"/>
  <c r="Y6" i="39"/>
  <c r="T171" i="85"/>
  <c r="S171" i="85"/>
  <c r="A171" i="85"/>
  <c r="T170" i="85"/>
  <c r="S170" i="85"/>
  <c r="A170" i="85"/>
  <c r="T169" i="85"/>
  <c r="S169" i="85"/>
  <c r="A169" i="85"/>
  <c r="T168" i="85"/>
  <c r="S168" i="85"/>
  <c r="A168" i="85"/>
  <c r="T167" i="85"/>
  <c r="S167" i="85"/>
  <c r="A167" i="85"/>
  <c r="T166" i="85"/>
  <c r="S166" i="85"/>
  <c r="A166" i="85"/>
  <c r="T165" i="85"/>
  <c r="S165" i="85"/>
  <c r="A165" i="85"/>
  <c r="T164" i="85"/>
  <c r="S164" i="85"/>
  <c r="A164" i="85"/>
  <c r="G44" i="85"/>
  <c r="G21" i="85"/>
  <c r="G30" i="85"/>
  <c r="G37" i="85"/>
  <c r="F52" i="85"/>
  <c r="I52" i="85" s="1"/>
  <c r="G11" i="85"/>
  <c r="G53" i="85"/>
  <c r="G59" i="85"/>
  <c r="G65" i="85"/>
  <c r="G75" i="85"/>
  <c r="G84" i="85"/>
  <c r="G90" i="85"/>
  <c r="G96" i="85"/>
  <c r="G102" i="85"/>
  <c r="G108" i="85"/>
  <c r="G114" i="85"/>
  <c r="G120" i="85"/>
  <c r="G127" i="85"/>
  <c r="G133" i="85"/>
  <c r="G139" i="85"/>
  <c r="H21" i="85"/>
  <c r="I21" i="85"/>
  <c r="J21" i="85"/>
  <c r="K21" i="85"/>
  <c r="L21" i="85"/>
  <c r="Q148" i="85"/>
  <c r="Q147" i="85"/>
  <c r="L44" i="85"/>
  <c r="L30" i="85"/>
  <c r="L37" i="85"/>
  <c r="L11" i="85"/>
  <c r="L51" i="85"/>
  <c r="L53" i="85"/>
  <c r="L59" i="85"/>
  <c r="L65" i="85"/>
  <c r="L75" i="85"/>
  <c r="L84" i="85"/>
  <c r="L143" i="85" s="1"/>
  <c r="L145" i="85" s="1"/>
  <c r="L90" i="85"/>
  <c r="L96" i="85"/>
  <c r="L102" i="85"/>
  <c r="L108" i="85"/>
  <c r="L114" i="85"/>
  <c r="L120" i="85"/>
  <c r="L127" i="85"/>
  <c r="L133" i="85"/>
  <c r="L139" i="85"/>
  <c r="K44" i="85"/>
  <c r="K30" i="85"/>
  <c r="K39" i="85"/>
  <c r="K41" i="85"/>
  <c r="K37" i="85"/>
  <c r="K11" i="85"/>
  <c r="K53" i="85"/>
  <c r="K59" i="85"/>
  <c r="K65" i="85"/>
  <c r="K75" i="85"/>
  <c r="K84" i="85"/>
  <c r="K90" i="85"/>
  <c r="K96" i="85"/>
  <c r="K102" i="85"/>
  <c r="K108" i="85"/>
  <c r="K114" i="85"/>
  <c r="K120" i="85"/>
  <c r="K127" i="85"/>
  <c r="K133" i="85"/>
  <c r="K139" i="85"/>
  <c r="J44" i="85"/>
  <c r="J30" i="85"/>
  <c r="J37" i="85"/>
  <c r="J11" i="85"/>
  <c r="J53" i="85"/>
  <c r="J59" i="85"/>
  <c r="J65" i="85"/>
  <c r="J75" i="85"/>
  <c r="J84" i="85"/>
  <c r="J90" i="85"/>
  <c r="J96" i="85"/>
  <c r="J143" i="85" s="1"/>
  <c r="J145" i="85" s="1"/>
  <c r="J102" i="85"/>
  <c r="J108" i="85"/>
  <c r="J114" i="85"/>
  <c r="J120" i="85"/>
  <c r="J127" i="85"/>
  <c r="J133" i="85"/>
  <c r="J139" i="85"/>
  <c r="I44" i="85"/>
  <c r="I30" i="85"/>
  <c r="I37" i="85"/>
  <c r="I11" i="85"/>
  <c r="I53" i="85"/>
  <c r="I59" i="85"/>
  <c r="I65" i="85"/>
  <c r="I75" i="85"/>
  <c r="I84" i="85"/>
  <c r="I90" i="85"/>
  <c r="I96" i="85"/>
  <c r="I102" i="85"/>
  <c r="I108" i="85"/>
  <c r="I143" i="85" s="1"/>
  <c r="I145" i="85" s="1"/>
  <c r="I114" i="85"/>
  <c r="I120" i="85"/>
  <c r="I127" i="85"/>
  <c r="I133" i="85"/>
  <c r="I139" i="85"/>
  <c r="H44" i="85"/>
  <c r="H30" i="85"/>
  <c r="H37" i="85"/>
  <c r="H11" i="85"/>
  <c r="H53" i="85"/>
  <c r="H59" i="85"/>
  <c r="H65" i="85"/>
  <c r="H75" i="85"/>
  <c r="H84" i="85"/>
  <c r="H90" i="85"/>
  <c r="H96" i="85"/>
  <c r="H102" i="85"/>
  <c r="H108" i="85"/>
  <c r="H114" i="85"/>
  <c r="H120" i="85"/>
  <c r="H144" i="85" s="1"/>
  <c r="H127" i="85"/>
  <c r="H133" i="85"/>
  <c r="H139" i="85"/>
  <c r="D146" i="85"/>
  <c r="A146" i="85"/>
  <c r="A145" i="85"/>
  <c r="D144" i="85"/>
  <c r="D143" i="85"/>
  <c r="A139" i="85"/>
  <c r="A140" i="85"/>
  <c r="A141" i="85"/>
  <c r="A142" i="85"/>
  <c r="D139" i="85"/>
  <c r="L137" i="85"/>
  <c r="K137" i="85"/>
  <c r="J137" i="85"/>
  <c r="I137" i="85"/>
  <c r="H137" i="85"/>
  <c r="G137" i="85"/>
  <c r="A133" i="85"/>
  <c r="A134" i="85"/>
  <c r="A135" i="85"/>
  <c r="A136" i="85"/>
  <c r="D133" i="85"/>
  <c r="L131" i="85"/>
  <c r="K131" i="85"/>
  <c r="J131" i="85"/>
  <c r="I131" i="85"/>
  <c r="H131" i="85"/>
  <c r="G131" i="85"/>
  <c r="A127" i="85"/>
  <c r="A126" i="85"/>
  <c r="D127" i="85"/>
  <c r="L126" i="85"/>
  <c r="K126" i="85"/>
  <c r="J126" i="85"/>
  <c r="I126" i="85"/>
  <c r="H126" i="85"/>
  <c r="G126" i="85"/>
  <c r="L124" i="85"/>
  <c r="K124" i="85"/>
  <c r="J124" i="85"/>
  <c r="I124" i="85"/>
  <c r="H124" i="85"/>
  <c r="G124" i="85"/>
  <c r="A120" i="85"/>
  <c r="A118" i="85"/>
  <c r="D120" i="85"/>
  <c r="L118" i="85"/>
  <c r="K118" i="85"/>
  <c r="J118" i="85"/>
  <c r="I118" i="85"/>
  <c r="H118" i="85"/>
  <c r="G118" i="85"/>
  <c r="A114" i="85"/>
  <c r="A115" i="85"/>
  <c r="A116" i="85"/>
  <c r="A117" i="85"/>
  <c r="D114" i="85"/>
  <c r="F113" i="85"/>
  <c r="L112" i="85"/>
  <c r="K112" i="85"/>
  <c r="J112" i="85"/>
  <c r="I112" i="85"/>
  <c r="H112" i="85"/>
  <c r="G112" i="85"/>
  <c r="A108" i="85"/>
  <c r="A109" i="85"/>
  <c r="A110" i="85"/>
  <c r="A111" i="85"/>
  <c r="D108" i="85"/>
  <c r="F107" i="85"/>
  <c r="L106" i="85"/>
  <c r="K106" i="85"/>
  <c r="J106" i="85"/>
  <c r="I106" i="85"/>
  <c r="H106" i="85"/>
  <c r="G106" i="85"/>
  <c r="A102" i="85"/>
  <c r="A100" i="85"/>
  <c r="D102" i="85"/>
  <c r="F101" i="85"/>
  <c r="L100" i="85"/>
  <c r="K100" i="85"/>
  <c r="J100" i="85"/>
  <c r="I100" i="85"/>
  <c r="H100" i="85"/>
  <c r="G100" i="85"/>
  <c r="A96" i="85"/>
  <c r="A97" i="85"/>
  <c r="A98" i="85"/>
  <c r="A99" i="85"/>
  <c r="D96" i="85"/>
  <c r="F95" i="85"/>
  <c r="L94" i="85"/>
  <c r="K94" i="85"/>
  <c r="J94" i="85"/>
  <c r="I94" i="85"/>
  <c r="H94" i="85"/>
  <c r="G94" i="85"/>
  <c r="A90" i="85"/>
  <c r="A89" i="85"/>
  <c r="D90" i="85"/>
  <c r="L88" i="85"/>
  <c r="K88" i="85"/>
  <c r="J88" i="85"/>
  <c r="I88" i="85"/>
  <c r="H88" i="85"/>
  <c r="G88" i="85"/>
  <c r="A84" i="85"/>
  <c r="A80" i="85"/>
  <c r="D84" i="85"/>
  <c r="L80" i="85"/>
  <c r="K80" i="85"/>
  <c r="J80" i="85"/>
  <c r="I80" i="85"/>
  <c r="H80" i="85"/>
  <c r="G80" i="85"/>
  <c r="F80" i="85"/>
  <c r="L79" i="85"/>
  <c r="K79" i="85"/>
  <c r="J79" i="85"/>
  <c r="I79" i="85"/>
  <c r="H79" i="85"/>
  <c r="G79" i="85"/>
  <c r="A75" i="85"/>
  <c r="A76" i="85"/>
  <c r="A77" i="85"/>
  <c r="A78" i="85"/>
  <c r="D75" i="85"/>
  <c r="F74" i="85"/>
  <c r="F73" i="85"/>
  <c r="F72" i="85"/>
  <c r="F71" i="85"/>
  <c r="L70" i="85"/>
  <c r="K70" i="85"/>
  <c r="J70" i="85"/>
  <c r="I70" i="85"/>
  <c r="H70" i="85"/>
  <c r="G70" i="85"/>
  <c r="F70" i="85"/>
  <c r="A70" i="85"/>
  <c r="L69" i="85"/>
  <c r="K69" i="85"/>
  <c r="J69" i="85"/>
  <c r="I69" i="85"/>
  <c r="H69" i="85"/>
  <c r="G69" i="85"/>
  <c r="A65" i="85"/>
  <c r="A66" i="85"/>
  <c r="A67" i="85"/>
  <c r="A68" i="85"/>
  <c r="D65" i="85"/>
  <c r="L63" i="85"/>
  <c r="K63" i="85"/>
  <c r="J63" i="85"/>
  <c r="I63" i="85"/>
  <c r="H63" i="85"/>
  <c r="G63" i="85"/>
  <c r="A59" i="85"/>
  <c r="A57" i="85"/>
  <c r="D59" i="85"/>
  <c r="F58" i="85"/>
  <c r="F57" i="85"/>
  <c r="L55" i="85"/>
  <c r="K55" i="85"/>
  <c r="J55" i="85"/>
  <c r="I55" i="85"/>
  <c r="H55" i="85"/>
  <c r="G55" i="85"/>
  <c r="A53" i="85"/>
  <c r="G51" i="85"/>
  <c r="L49" i="85"/>
  <c r="K49" i="85"/>
  <c r="J49" i="85"/>
  <c r="I49" i="85"/>
  <c r="H49" i="85"/>
  <c r="G49" i="85"/>
  <c r="L28" i="85"/>
  <c r="K28" i="85"/>
  <c r="J28" i="85"/>
  <c r="I28" i="85"/>
  <c r="H28" i="85"/>
  <c r="G28" i="85"/>
  <c r="F28" i="85"/>
  <c r="F27" i="85"/>
  <c r="D21" i="85"/>
  <c r="A20" i="85"/>
  <c r="A19" i="85"/>
  <c r="F17" i="85"/>
  <c r="A16" i="85"/>
  <c r="F15" i="85"/>
  <c r="T171" i="84"/>
  <c r="S171" i="84"/>
  <c r="A171" i="84"/>
  <c r="T170" i="84"/>
  <c r="S170" i="84"/>
  <c r="A170" i="84"/>
  <c r="T169" i="84"/>
  <c r="S169" i="84"/>
  <c r="A169" i="84"/>
  <c r="T168" i="84"/>
  <c r="S168" i="84"/>
  <c r="A168" i="84"/>
  <c r="T167" i="84"/>
  <c r="S167" i="84"/>
  <c r="A167" i="84"/>
  <c r="T166" i="84"/>
  <c r="S166" i="84"/>
  <c r="A166" i="84"/>
  <c r="T165" i="84"/>
  <c r="S165" i="84"/>
  <c r="A165" i="84"/>
  <c r="T164" i="84"/>
  <c r="S164" i="84"/>
  <c r="A164" i="84"/>
  <c r="G44" i="84"/>
  <c r="G21" i="84"/>
  <c r="G30" i="84"/>
  <c r="G39" i="84"/>
  <c r="G37" i="84"/>
  <c r="F52" i="84"/>
  <c r="G52" i="84" s="1"/>
  <c r="G11" i="84"/>
  <c r="G53" i="84"/>
  <c r="G59" i="84"/>
  <c r="G65" i="84"/>
  <c r="G75" i="84"/>
  <c r="G84" i="84"/>
  <c r="G90" i="84"/>
  <c r="F50" i="68"/>
  <c r="G102" i="84"/>
  <c r="G108" i="84"/>
  <c r="G114" i="84"/>
  <c r="G120" i="84"/>
  <c r="G127" i="84"/>
  <c r="G133" i="84"/>
  <c r="G139" i="84"/>
  <c r="H21" i="84"/>
  <c r="I21" i="84"/>
  <c r="J21" i="84"/>
  <c r="K21" i="84"/>
  <c r="L21" i="84"/>
  <c r="R155" i="84"/>
  <c r="Q148" i="84"/>
  <c r="Q147" i="84"/>
  <c r="L44" i="84"/>
  <c r="L30" i="84"/>
  <c r="L37" i="84"/>
  <c r="L11" i="84"/>
  <c r="L53" i="84"/>
  <c r="L59" i="84"/>
  <c r="L65" i="84"/>
  <c r="L75" i="84"/>
  <c r="L84" i="84"/>
  <c r="L90" i="84"/>
  <c r="L102" i="84"/>
  <c r="L108" i="84"/>
  <c r="L114" i="84"/>
  <c r="L120" i="84"/>
  <c r="L127" i="84"/>
  <c r="L133" i="84"/>
  <c r="L139" i="84"/>
  <c r="K44" i="84"/>
  <c r="K30" i="84"/>
  <c r="K37" i="84"/>
  <c r="K11" i="84"/>
  <c r="K51" i="84" s="1"/>
  <c r="K53" i="84"/>
  <c r="K59" i="84"/>
  <c r="K65" i="84"/>
  <c r="K75" i="84"/>
  <c r="K84" i="84"/>
  <c r="K90" i="84"/>
  <c r="K102" i="84"/>
  <c r="K108" i="84"/>
  <c r="K114" i="84"/>
  <c r="K120" i="84"/>
  <c r="K127" i="84"/>
  <c r="K133" i="84"/>
  <c r="K139" i="84"/>
  <c r="J44" i="84"/>
  <c r="J30" i="84"/>
  <c r="J39" i="84"/>
  <c r="J37" i="84"/>
  <c r="J11" i="84"/>
  <c r="J51" i="84"/>
  <c r="J53" i="84"/>
  <c r="J59" i="84"/>
  <c r="J65" i="84"/>
  <c r="J75" i="84"/>
  <c r="J84" i="84"/>
  <c r="J90" i="84"/>
  <c r="J102" i="84"/>
  <c r="J108" i="84"/>
  <c r="J114" i="84"/>
  <c r="J120" i="84"/>
  <c r="J127" i="84"/>
  <c r="J133" i="84"/>
  <c r="J139" i="84"/>
  <c r="I44" i="84"/>
  <c r="I30" i="84"/>
  <c r="I37" i="84"/>
  <c r="I11" i="84"/>
  <c r="I51" i="84" s="1"/>
  <c r="I53" i="84"/>
  <c r="I59" i="84"/>
  <c r="I65" i="84"/>
  <c r="I75" i="84"/>
  <c r="I84" i="84"/>
  <c r="I90" i="84"/>
  <c r="I102" i="84"/>
  <c r="I108" i="84"/>
  <c r="I114" i="84"/>
  <c r="I120" i="84"/>
  <c r="I127" i="84"/>
  <c r="I133" i="84"/>
  <c r="I139" i="84"/>
  <c r="H44" i="84"/>
  <c r="H30" i="84"/>
  <c r="H37" i="84"/>
  <c r="H11" i="84"/>
  <c r="H53" i="84"/>
  <c r="H59" i="84"/>
  <c r="H65" i="84"/>
  <c r="H75" i="84"/>
  <c r="H84" i="84"/>
  <c r="H90" i="84"/>
  <c r="H102" i="84"/>
  <c r="H108" i="84"/>
  <c r="H114" i="84"/>
  <c r="H120" i="84"/>
  <c r="H127" i="84"/>
  <c r="H133" i="84"/>
  <c r="H139" i="84"/>
  <c r="D146" i="84"/>
  <c r="A146" i="84"/>
  <c r="A145" i="84"/>
  <c r="D144" i="84"/>
  <c r="D143" i="84"/>
  <c r="A139" i="84"/>
  <c r="A138" i="84"/>
  <c r="D139" i="84"/>
  <c r="L137" i="84"/>
  <c r="K137" i="84"/>
  <c r="J137" i="84"/>
  <c r="I137" i="84"/>
  <c r="H137" i="84"/>
  <c r="G137" i="84"/>
  <c r="A133" i="84"/>
  <c r="A132" i="84"/>
  <c r="D133" i="84"/>
  <c r="L131" i="84"/>
  <c r="K131" i="84"/>
  <c r="J131" i="84"/>
  <c r="I131" i="84"/>
  <c r="H131" i="84"/>
  <c r="G131" i="84"/>
  <c r="A127" i="84"/>
  <c r="A126" i="84"/>
  <c r="D127" i="84"/>
  <c r="L126" i="84"/>
  <c r="K126" i="84"/>
  <c r="J126" i="84"/>
  <c r="I126" i="84"/>
  <c r="H126" i="84"/>
  <c r="G126" i="84"/>
  <c r="L124" i="84"/>
  <c r="K124" i="84"/>
  <c r="J124" i="84"/>
  <c r="I124" i="84"/>
  <c r="H124" i="84"/>
  <c r="G124" i="84"/>
  <c r="A120" i="84"/>
  <c r="A118" i="84"/>
  <c r="D120" i="84"/>
  <c r="L118" i="84"/>
  <c r="K118" i="84"/>
  <c r="J118" i="84"/>
  <c r="I118" i="84"/>
  <c r="H118" i="84"/>
  <c r="G118" i="84"/>
  <c r="A114" i="84"/>
  <c r="A115" i="84"/>
  <c r="A116" i="84"/>
  <c r="A117" i="84"/>
  <c r="D114" i="84"/>
  <c r="F113" i="84"/>
  <c r="L112" i="84"/>
  <c r="K112" i="84"/>
  <c r="J112" i="84"/>
  <c r="I112" i="84"/>
  <c r="H112" i="84"/>
  <c r="G112" i="84"/>
  <c r="A108" i="84"/>
  <c r="A109" i="84"/>
  <c r="A110" i="84"/>
  <c r="A111" i="84"/>
  <c r="D108" i="84"/>
  <c r="F107" i="84"/>
  <c r="L106" i="84"/>
  <c r="K106" i="84"/>
  <c r="J106" i="84"/>
  <c r="I106" i="84"/>
  <c r="H106" i="84"/>
  <c r="G106" i="84"/>
  <c r="A102" i="84"/>
  <c r="A100" i="84"/>
  <c r="D102" i="84"/>
  <c r="F101" i="84"/>
  <c r="L100" i="84"/>
  <c r="K100" i="84"/>
  <c r="J100" i="84"/>
  <c r="I100" i="84"/>
  <c r="H100" i="84"/>
  <c r="G100" i="84"/>
  <c r="A96" i="84"/>
  <c r="A97" i="84"/>
  <c r="A98" i="84"/>
  <c r="A99" i="84"/>
  <c r="D96" i="84"/>
  <c r="F95" i="84"/>
  <c r="A90" i="84"/>
  <c r="A89" i="84"/>
  <c r="D90" i="84"/>
  <c r="L88" i="84"/>
  <c r="K88" i="84"/>
  <c r="J88" i="84"/>
  <c r="I88" i="84"/>
  <c r="H88" i="84"/>
  <c r="G88" i="84"/>
  <c r="A84" i="84"/>
  <c r="A80" i="84"/>
  <c r="D84" i="84"/>
  <c r="L80" i="84"/>
  <c r="K80" i="84"/>
  <c r="J80" i="84"/>
  <c r="I80" i="84"/>
  <c r="H80" i="84"/>
  <c r="G80" i="84"/>
  <c r="F80" i="84"/>
  <c r="L79" i="84"/>
  <c r="K79" i="84"/>
  <c r="J79" i="84"/>
  <c r="I79" i="84"/>
  <c r="H79" i="84"/>
  <c r="G79" i="84"/>
  <c r="A75" i="84"/>
  <c r="A71" i="84"/>
  <c r="D75" i="84"/>
  <c r="F74" i="84"/>
  <c r="F73" i="84"/>
  <c r="F72" i="84"/>
  <c r="F71" i="84"/>
  <c r="L70" i="84"/>
  <c r="K70" i="84"/>
  <c r="J70" i="84"/>
  <c r="I70" i="84"/>
  <c r="H70" i="84"/>
  <c r="G70" i="84"/>
  <c r="F70" i="84"/>
  <c r="L69" i="84"/>
  <c r="K69" i="84"/>
  <c r="J69" i="84"/>
  <c r="I69" i="84"/>
  <c r="H69" i="84"/>
  <c r="G69" i="84"/>
  <c r="A69" i="84"/>
  <c r="A65" i="84"/>
  <c r="A66" i="84"/>
  <c r="A67" i="84"/>
  <c r="A68" i="84"/>
  <c r="D65" i="84"/>
  <c r="L63" i="84"/>
  <c r="K63" i="84"/>
  <c r="J63" i="84"/>
  <c r="I63" i="84"/>
  <c r="H63" i="84"/>
  <c r="G63" i="84"/>
  <c r="A59" i="84"/>
  <c r="A60" i="84"/>
  <c r="A61" i="84"/>
  <c r="A62" i="84"/>
  <c r="D59" i="84"/>
  <c r="F58" i="84"/>
  <c r="F57" i="84"/>
  <c r="L55" i="84"/>
  <c r="K55" i="84"/>
  <c r="J55" i="84"/>
  <c r="I55" i="84"/>
  <c r="H55" i="84"/>
  <c r="G55" i="84"/>
  <c r="A53" i="84"/>
  <c r="H51" i="84"/>
  <c r="G51" i="84"/>
  <c r="L49" i="84"/>
  <c r="K49" i="84"/>
  <c r="J49" i="84"/>
  <c r="I49" i="84"/>
  <c r="H49" i="84"/>
  <c r="G49" i="84"/>
  <c r="L28" i="84"/>
  <c r="K28" i="84"/>
  <c r="J28" i="84"/>
  <c r="I28" i="84"/>
  <c r="H28" i="84"/>
  <c r="G28" i="84"/>
  <c r="F28" i="84"/>
  <c r="F27" i="84"/>
  <c r="D21" i="84"/>
  <c r="A20" i="84"/>
  <c r="A19" i="84"/>
  <c r="F17" i="84"/>
  <c r="A16" i="84"/>
  <c r="F15" i="84"/>
  <c r="D7" i="84"/>
  <c r="R171" i="30"/>
  <c r="Q171" i="30"/>
  <c r="A171" i="30"/>
  <c r="R170" i="30"/>
  <c r="Q170" i="30"/>
  <c r="A170" i="30"/>
  <c r="R169" i="30"/>
  <c r="Q169" i="30"/>
  <c r="A169" i="30"/>
  <c r="R168" i="30"/>
  <c r="Q168" i="30"/>
  <c r="A168" i="30"/>
  <c r="R167" i="30"/>
  <c r="Q167" i="30"/>
  <c r="A167" i="30"/>
  <c r="R166" i="30"/>
  <c r="Q166" i="30"/>
  <c r="A166" i="30"/>
  <c r="R165" i="30"/>
  <c r="Q165" i="30"/>
  <c r="A165" i="30"/>
  <c r="A164" i="30"/>
  <c r="O148" i="30"/>
  <c r="D146" i="30"/>
  <c r="A146" i="30"/>
  <c r="A145" i="30"/>
  <c r="D144" i="30"/>
  <c r="D143" i="30"/>
  <c r="D139" i="30"/>
  <c r="A139" i="30"/>
  <c r="A140" i="30" s="1"/>
  <c r="A141" i="30" s="1"/>
  <c r="A142" i="30" s="1"/>
  <c r="I137" i="30"/>
  <c r="H137" i="30"/>
  <c r="G137" i="30"/>
  <c r="D133" i="30"/>
  <c r="A133" i="30"/>
  <c r="A134" i="30" s="1"/>
  <c r="A135" i="30" s="1"/>
  <c r="A136" i="30" s="1"/>
  <c r="I131" i="30"/>
  <c r="H131" i="30"/>
  <c r="G131" i="30"/>
  <c r="D127" i="30"/>
  <c r="A127" i="30"/>
  <c r="A128" i="30" s="1"/>
  <c r="A129" i="30" s="1"/>
  <c r="A130" i="30" s="1"/>
  <c r="I126" i="30"/>
  <c r="H126" i="30"/>
  <c r="G126" i="30"/>
  <c r="I124" i="30"/>
  <c r="H124" i="30"/>
  <c r="G124" i="30"/>
  <c r="D120" i="30"/>
  <c r="A120" i="30"/>
  <c r="A118" i="30" s="1"/>
  <c r="I118" i="30"/>
  <c r="H118" i="30"/>
  <c r="G118" i="30"/>
  <c r="D114" i="30"/>
  <c r="A114" i="30"/>
  <c r="A115" i="30" s="1"/>
  <c r="A116" i="30" s="1"/>
  <c r="A117" i="30" s="1"/>
  <c r="F113" i="30"/>
  <c r="I112" i="30"/>
  <c r="H112" i="30"/>
  <c r="G112" i="30"/>
  <c r="D108" i="30"/>
  <c r="A108" i="30"/>
  <c r="A107" i="30" s="1"/>
  <c r="F107" i="30"/>
  <c r="I106" i="30"/>
  <c r="H106" i="30"/>
  <c r="G106" i="30"/>
  <c r="D102" i="30"/>
  <c r="A102" i="30"/>
  <c r="A100" i="30" s="1"/>
  <c r="F101" i="30"/>
  <c r="I100" i="30"/>
  <c r="H100" i="30"/>
  <c r="G100" i="30"/>
  <c r="D96" i="30"/>
  <c r="A96" i="30"/>
  <c r="A97" i="30" s="1"/>
  <c r="A98" i="30" s="1"/>
  <c r="A99" i="30" s="1"/>
  <c r="F95" i="30"/>
  <c r="D90" i="30"/>
  <c r="A90" i="30"/>
  <c r="A91" i="30" s="1"/>
  <c r="A92" i="30" s="1"/>
  <c r="A93" i="30" s="1"/>
  <c r="I88" i="30"/>
  <c r="H88" i="30"/>
  <c r="G88" i="30"/>
  <c r="D84" i="30"/>
  <c r="A84" i="30"/>
  <c r="A85" i="30" s="1"/>
  <c r="A86" i="30" s="1"/>
  <c r="A87" i="30" s="1"/>
  <c r="I80" i="30"/>
  <c r="H80" i="30"/>
  <c r="E242" i="10" s="1"/>
  <c r="G80" i="30"/>
  <c r="D242" i="10" s="1"/>
  <c r="F80" i="30"/>
  <c r="I79" i="30"/>
  <c r="H79" i="30"/>
  <c r="G79" i="30"/>
  <c r="D75" i="30"/>
  <c r="A75" i="30"/>
  <c r="A69" i="30" s="1"/>
  <c r="F74" i="30"/>
  <c r="F72" i="30"/>
  <c r="F71" i="30"/>
  <c r="D65" i="30"/>
  <c r="A65" i="30"/>
  <c r="A64" i="30" s="1"/>
  <c r="I63" i="30"/>
  <c r="H63" i="30"/>
  <c r="G63" i="30"/>
  <c r="D59" i="30"/>
  <c r="A59" i="30"/>
  <c r="A57" i="30" s="1"/>
  <c r="I55" i="30"/>
  <c r="H55" i="30"/>
  <c r="G55" i="30"/>
  <c r="I53" i="30"/>
  <c r="H53" i="30"/>
  <c r="G53" i="30"/>
  <c r="A53" i="30"/>
  <c r="F52" i="30"/>
  <c r="J52" i="30" s="1"/>
  <c r="J54" i="30" s="1"/>
  <c r="J146" i="30" s="1"/>
  <c r="I49" i="30"/>
  <c r="H49" i="30"/>
  <c r="G49" i="30"/>
  <c r="I37" i="30"/>
  <c r="H37" i="30"/>
  <c r="E214" i="10" s="1"/>
  <c r="G37" i="30"/>
  <c r="D214" i="10" s="1"/>
  <c r="I30" i="30"/>
  <c r="H30" i="30"/>
  <c r="G30" i="30"/>
  <c r="D212" i="10" s="1"/>
  <c r="I28" i="30"/>
  <c r="H28" i="30"/>
  <c r="G28" i="30"/>
  <c r="F28" i="30"/>
  <c r="F27" i="30"/>
  <c r="D21" i="30"/>
  <c r="A20" i="30"/>
  <c r="A19" i="30"/>
  <c r="A16" i="30"/>
  <c r="I51" i="30"/>
  <c r="H51" i="30"/>
  <c r="A167" i="68"/>
  <c r="D153" i="68"/>
  <c r="F153" i="68" s="1"/>
  <c r="H152" i="68"/>
  <c r="A152" i="68"/>
  <c r="A151" i="68"/>
  <c r="D150" i="68"/>
  <c r="A150" i="68"/>
  <c r="A149" i="68"/>
  <c r="A148" i="68"/>
  <c r="A147" i="68"/>
  <c r="H146" i="68"/>
  <c r="G146" i="68"/>
  <c r="H145" i="68"/>
  <c r="G145" i="68"/>
  <c r="H144" i="68"/>
  <c r="G144" i="68"/>
  <c r="H143" i="68"/>
  <c r="G143" i="68"/>
  <c r="H142" i="68"/>
  <c r="G142" i="68"/>
  <c r="H141" i="68"/>
  <c r="G141" i="68"/>
  <c r="H140" i="68"/>
  <c r="G140" i="68"/>
  <c r="H139" i="68"/>
  <c r="G139" i="68"/>
  <c r="H138" i="68"/>
  <c r="G138" i="68"/>
  <c r="H137" i="68"/>
  <c r="G137" i="68"/>
  <c r="H136" i="68"/>
  <c r="G136" i="68"/>
  <c r="H135" i="68"/>
  <c r="G135" i="68"/>
  <c r="H134" i="68"/>
  <c r="G134" i="68"/>
  <c r="H133" i="68"/>
  <c r="G133" i="68"/>
  <c r="D133" i="68"/>
  <c r="D134" i="68" s="1"/>
  <c r="F132" i="68"/>
  <c r="G132" i="68"/>
  <c r="A131" i="68"/>
  <c r="A130" i="68"/>
  <c r="D129" i="68"/>
  <c r="A129" i="68"/>
  <c r="A126" i="68"/>
  <c r="D112" i="68"/>
  <c r="E112" i="68" s="1"/>
  <c r="H111" i="68"/>
  <c r="A110" i="68"/>
  <c r="D109" i="68"/>
  <c r="A109" i="68"/>
  <c r="A108" i="68"/>
  <c r="A107" i="68"/>
  <c r="A106" i="68"/>
  <c r="H105" i="68"/>
  <c r="G105" i="68"/>
  <c r="H104" i="68"/>
  <c r="G104" i="68"/>
  <c r="H103" i="68"/>
  <c r="G103" i="68"/>
  <c r="H102" i="68"/>
  <c r="G102" i="68"/>
  <c r="H101" i="68"/>
  <c r="G101" i="68"/>
  <c r="H100" i="68"/>
  <c r="G100" i="68"/>
  <c r="H99" i="68"/>
  <c r="G99" i="68"/>
  <c r="H98" i="68"/>
  <c r="G98" i="68"/>
  <c r="H97" i="68"/>
  <c r="G97" i="68"/>
  <c r="H96" i="68"/>
  <c r="G96" i="68"/>
  <c r="H95" i="68"/>
  <c r="G95" i="68"/>
  <c r="H94" i="68"/>
  <c r="G94" i="68"/>
  <c r="H93" i="68"/>
  <c r="G93" i="68"/>
  <c r="H92" i="68"/>
  <c r="G92" i="68"/>
  <c r="D92" i="68"/>
  <c r="F92" i="68" s="1"/>
  <c r="F91" i="68"/>
  <c r="G91" i="68"/>
  <c r="A90" i="68"/>
  <c r="A89" i="68"/>
  <c r="D88" i="68"/>
  <c r="A88" i="68"/>
  <c r="A85" i="68"/>
  <c r="D71" i="68"/>
  <c r="D72" i="68" s="1"/>
  <c r="E70" i="68"/>
  <c r="A69" i="68"/>
  <c r="A68" i="68"/>
  <c r="A67" i="68"/>
  <c r="A66" i="68"/>
  <c r="A65" i="68"/>
  <c r="H64" i="68"/>
  <c r="G64" i="68"/>
  <c r="H63" i="68"/>
  <c r="G63" i="68"/>
  <c r="H62" i="68"/>
  <c r="G62" i="68"/>
  <c r="H61" i="68"/>
  <c r="G61" i="68"/>
  <c r="H60" i="68"/>
  <c r="G60" i="68"/>
  <c r="H59" i="68"/>
  <c r="G59" i="68"/>
  <c r="H58" i="68"/>
  <c r="G58" i="68"/>
  <c r="H57" i="68"/>
  <c r="G57" i="68"/>
  <c r="H56" i="68"/>
  <c r="G56" i="68"/>
  <c r="H55" i="68"/>
  <c r="G55" i="68"/>
  <c r="H54" i="68"/>
  <c r="G54" i="68"/>
  <c r="H53" i="68"/>
  <c r="G53" i="68"/>
  <c r="H52" i="68"/>
  <c r="G52" i="68"/>
  <c r="H51" i="68"/>
  <c r="G51" i="68"/>
  <c r="D51" i="68"/>
  <c r="F51" i="68" s="1"/>
  <c r="G50" i="68"/>
  <c r="A49" i="68"/>
  <c r="A48" i="68"/>
  <c r="A47" i="68"/>
  <c r="A46" i="68"/>
  <c r="A45" i="68"/>
  <c r="A44" i="68"/>
  <c r="F43" i="68"/>
  <c r="W43" i="68" s="1"/>
  <c r="F42" i="68"/>
  <c r="W42" i="68" s="1"/>
  <c r="AS42" i="68" s="1"/>
  <c r="F41" i="68"/>
  <c r="W41" i="68" s="1"/>
  <c r="F40" i="68"/>
  <c r="T40" i="68" s="1"/>
  <c r="F39" i="68"/>
  <c r="W39" i="68" s="1"/>
  <c r="F38" i="68"/>
  <c r="W38" i="68" s="1"/>
  <c r="AS38" i="68" s="1"/>
  <c r="F37" i="68"/>
  <c r="X37" i="68" s="1"/>
  <c r="AT37" i="68" s="1"/>
  <c r="F36" i="68"/>
  <c r="W36" i="68" s="1"/>
  <c r="AS36" i="68" s="1"/>
  <c r="F35" i="68"/>
  <c r="T35" i="68" s="1"/>
  <c r="F34" i="68"/>
  <c r="W34" i="68" s="1"/>
  <c r="AS34" i="68" s="1"/>
  <c r="F33" i="68"/>
  <c r="W33" i="68" s="1"/>
  <c r="F32" i="68"/>
  <c r="W32" i="68" s="1"/>
  <c r="F31" i="68"/>
  <c r="T31" i="68" s="1"/>
  <c r="F30" i="68"/>
  <c r="W30" i="68" s="1"/>
  <c r="AH30" i="68" s="1"/>
  <c r="F29" i="68"/>
  <c r="W29" i="68" s="1"/>
  <c r="AS29" i="68" s="1"/>
  <c r="F28" i="68"/>
  <c r="W28" i="68" s="1"/>
  <c r="AS28" i="68" s="1"/>
  <c r="F27" i="68"/>
  <c r="W27" i="68" s="1"/>
  <c r="F26" i="68"/>
  <c r="W26" i="68" s="1"/>
  <c r="AH26" i="68" s="1"/>
  <c r="F25" i="68"/>
  <c r="W25" i="68" s="1"/>
  <c r="F24" i="68"/>
  <c r="W24" i="68" s="1"/>
  <c r="F23" i="68"/>
  <c r="W23" i="68" s="1"/>
  <c r="F22" i="68"/>
  <c r="W22" i="68" s="1"/>
  <c r="AS22" i="68" s="1"/>
  <c r="F21" i="68"/>
  <c r="W21" i="68" s="1"/>
  <c r="AS21" i="68" s="1"/>
  <c r="F20" i="68"/>
  <c r="W20" i="68" s="1"/>
  <c r="AS20" i="68" s="1"/>
  <c r="F19" i="68"/>
  <c r="W19" i="68" s="1"/>
  <c r="F18" i="68"/>
  <c r="W18" i="68" s="1"/>
  <c r="AS18" i="68" s="1"/>
  <c r="F17" i="68"/>
  <c r="W17" i="68" s="1"/>
  <c r="F16" i="68"/>
  <c r="W16" i="68" s="1"/>
  <c r="F15" i="68"/>
  <c r="T15" i="68" s="1"/>
  <c r="F14" i="68"/>
  <c r="W14" i="68" s="1"/>
  <c r="AS14" i="68" s="1"/>
  <c r="F13" i="68"/>
  <c r="X13" i="68" s="1"/>
  <c r="AT13" i="68" s="1"/>
  <c r="F12" i="68"/>
  <c r="W12" i="68" s="1"/>
  <c r="AH12" i="68" s="1"/>
  <c r="F11" i="68"/>
  <c r="X11" i="68" s="1"/>
  <c r="AT11" i="68" s="1"/>
  <c r="F10" i="68"/>
  <c r="T10" i="68" s="1"/>
  <c r="F9" i="68"/>
  <c r="W9" i="68" s="1"/>
  <c r="AT8" i="68"/>
  <c r="AJ8" i="68"/>
  <c r="AK8" i="68" s="1"/>
  <c r="AL8" i="68" s="1"/>
  <c r="AM8" i="68" s="1"/>
  <c r="AN8" i="68" s="1"/>
  <c r="AO8" i="68" s="1"/>
  <c r="AP8" i="68" s="1"/>
  <c r="AQ8" i="68" s="1"/>
  <c r="AR8" i="68" s="1"/>
  <c r="Y8" i="68"/>
  <c r="L8" i="68"/>
  <c r="A8" i="68"/>
  <c r="F7" i="68"/>
  <c r="A7" i="68"/>
  <c r="A6" i="68"/>
  <c r="A5" i="68"/>
  <c r="A4" i="68"/>
  <c r="K3" i="68"/>
  <c r="A3" i="68"/>
  <c r="A132" i="66"/>
  <c r="A131" i="66"/>
  <c r="A130" i="66"/>
  <c r="A129" i="66"/>
  <c r="A128" i="66"/>
  <c r="AG127" i="66"/>
  <c r="AF127" i="66"/>
  <c r="AE127" i="66"/>
  <c r="AD127" i="66"/>
  <c r="AC127" i="66"/>
  <c r="AB127" i="66"/>
  <c r="A127" i="66"/>
  <c r="A125" i="66"/>
  <c r="A124" i="66"/>
  <c r="AG123" i="66"/>
  <c r="AF123" i="66"/>
  <c r="AE123" i="66"/>
  <c r="AD123" i="66"/>
  <c r="AC123" i="66"/>
  <c r="AB123" i="66"/>
  <c r="AA123" i="66"/>
  <c r="A123" i="66"/>
  <c r="A120" i="66"/>
  <c r="A119" i="66"/>
  <c r="A118" i="66"/>
  <c r="A117" i="66"/>
  <c r="A116" i="66"/>
  <c r="A115" i="66"/>
  <c r="A114" i="66"/>
  <c r="A113" i="66"/>
  <c r="A112" i="66"/>
  <c r="A111" i="66"/>
  <c r="A110" i="66"/>
  <c r="AG107" i="66"/>
  <c r="AF107" i="66"/>
  <c r="AE107" i="66"/>
  <c r="AD107" i="66"/>
  <c r="AC107" i="66"/>
  <c r="AB107" i="66"/>
  <c r="A107" i="66"/>
  <c r="A106" i="66"/>
  <c r="A103" i="66"/>
  <c r="A102" i="66"/>
  <c r="A101" i="66"/>
  <c r="A100" i="66"/>
  <c r="A99" i="66"/>
  <c r="AG95" i="66"/>
  <c r="AF95" i="66"/>
  <c r="AE95" i="66"/>
  <c r="AD95" i="66"/>
  <c r="AC95" i="66"/>
  <c r="AB95" i="66"/>
  <c r="A95" i="66"/>
  <c r="A94" i="66"/>
  <c r="AA92" i="66"/>
  <c r="A88" i="66"/>
  <c r="A87" i="66"/>
  <c r="A86" i="66"/>
  <c r="A85" i="66"/>
  <c r="A84" i="66"/>
  <c r="U83" i="66"/>
  <c r="T83" i="66"/>
  <c r="S83" i="66"/>
  <c r="R83" i="66"/>
  <c r="Q83" i="66"/>
  <c r="P83" i="66"/>
  <c r="A83" i="66"/>
  <c r="A81" i="66"/>
  <c r="A80" i="66"/>
  <c r="U79" i="66"/>
  <c r="T79" i="66"/>
  <c r="S79" i="66"/>
  <c r="R79" i="66"/>
  <c r="Q79" i="66"/>
  <c r="P79" i="66"/>
  <c r="O79" i="66"/>
  <c r="A79" i="66"/>
  <c r="A76" i="66"/>
  <c r="A75" i="66"/>
  <c r="A74" i="66"/>
  <c r="A73" i="66"/>
  <c r="A72" i="66"/>
  <c r="A71" i="66"/>
  <c r="A70" i="66"/>
  <c r="A69" i="66"/>
  <c r="A68" i="66"/>
  <c r="A67" i="66"/>
  <c r="A66" i="66"/>
  <c r="U63" i="66"/>
  <c r="T63" i="66"/>
  <c r="S63" i="66"/>
  <c r="R63" i="66"/>
  <c r="Q63" i="66"/>
  <c r="P63" i="66"/>
  <c r="A63" i="66"/>
  <c r="A62" i="66"/>
  <c r="A59" i="66"/>
  <c r="A58" i="66"/>
  <c r="A57" i="66"/>
  <c r="A56" i="66"/>
  <c r="A55" i="66"/>
  <c r="U51" i="66"/>
  <c r="T51" i="66"/>
  <c r="S51" i="66"/>
  <c r="R51" i="66"/>
  <c r="Q51" i="66"/>
  <c r="P51" i="66"/>
  <c r="A51" i="66"/>
  <c r="A50" i="66"/>
  <c r="O48" i="66"/>
  <c r="A42" i="66"/>
  <c r="A41" i="66"/>
  <c r="A40" i="66"/>
  <c r="H39" i="66"/>
  <c r="G39" i="66"/>
  <c r="F39" i="66"/>
  <c r="E39" i="66"/>
  <c r="A39" i="66"/>
  <c r="A37" i="66"/>
  <c r="A36" i="66"/>
  <c r="D35" i="66"/>
  <c r="A35" i="66"/>
  <c r="A32" i="66"/>
  <c r="A31" i="66"/>
  <c r="A30" i="66"/>
  <c r="A29" i="66"/>
  <c r="A28" i="66"/>
  <c r="A27" i="66"/>
  <c r="H19" i="66"/>
  <c r="G19" i="66"/>
  <c r="F19" i="66"/>
  <c r="E19" i="66"/>
  <c r="A19" i="66"/>
  <c r="A18" i="66"/>
  <c r="A15" i="66"/>
  <c r="A14" i="66"/>
  <c r="A13" i="66"/>
  <c r="A12" i="66"/>
  <c r="A11" i="66"/>
  <c r="H7" i="66"/>
  <c r="G7" i="66"/>
  <c r="F7" i="66"/>
  <c r="A7" i="66"/>
  <c r="BT37" i="29"/>
  <c r="BQ37" i="29"/>
  <c r="BP37" i="29"/>
  <c r="BO37" i="29"/>
  <c r="BN37" i="29"/>
  <c r="BK37" i="29"/>
  <c r="BJ37" i="29"/>
  <c r="BI37" i="29"/>
  <c r="BJ29" i="29" s="1"/>
  <c r="BH37" i="29"/>
  <c r="BG37" i="29"/>
  <c r="BC37" i="29"/>
  <c r="BB37" i="29"/>
  <c r="BP35" i="29"/>
  <c r="BK35" i="29"/>
  <c r="BG35" i="29"/>
  <c r="BC35" i="29"/>
  <c r="BP34" i="29"/>
  <c r="BK34" i="29"/>
  <c r="BG34" i="29"/>
  <c r="BC34" i="29"/>
  <c r="BP33" i="29"/>
  <c r="BK33" i="29"/>
  <c r="BG33" i="29"/>
  <c r="BC33" i="29"/>
  <c r="BP32" i="29"/>
  <c r="BK32" i="29"/>
  <c r="BG32" i="29"/>
  <c r="BC32" i="29"/>
  <c r="BP31" i="29"/>
  <c r="BK31" i="29"/>
  <c r="BG31" i="29"/>
  <c r="BC31" i="29"/>
  <c r="BP30" i="29"/>
  <c r="BK30" i="29"/>
  <c r="BG30" i="29"/>
  <c r="BC30" i="29"/>
  <c r="BB27" i="29"/>
  <c r="AU25" i="29"/>
  <c r="AR25" i="29"/>
  <c r="AQ25" i="29"/>
  <c r="AP25" i="29"/>
  <c r="AO25" i="29"/>
  <c r="AL25" i="29"/>
  <c r="AK25" i="29"/>
  <c r="AJ25" i="29"/>
  <c r="AK17" i="29" s="1"/>
  <c r="AI25" i="29"/>
  <c r="AH25" i="29"/>
  <c r="AD25" i="29"/>
  <c r="AC25" i="29"/>
  <c r="AQ23" i="29"/>
  <c r="AL23" i="29"/>
  <c r="AH23" i="29"/>
  <c r="AD23" i="29"/>
  <c r="AQ22" i="29"/>
  <c r="AL22" i="29"/>
  <c r="AH22" i="29"/>
  <c r="AD22" i="29"/>
  <c r="AQ21" i="29"/>
  <c r="AL21" i="29"/>
  <c r="AH21" i="29"/>
  <c r="AD21" i="29"/>
  <c r="AQ20" i="29"/>
  <c r="AL20" i="29"/>
  <c r="AH20" i="29"/>
  <c r="AD20" i="29"/>
  <c r="AQ19" i="29"/>
  <c r="AL19" i="29"/>
  <c r="AH19" i="29"/>
  <c r="AD19" i="29"/>
  <c r="AQ18" i="29"/>
  <c r="AL18" i="29"/>
  <c r="AH18" i="29"/>
  <c r="AD18" i="29"/>
  <c r="AC15" i="29"/>
  <c r="S12" i="29"/>
  <c r="R12" i="29"/>
  <c r="P12" i="29"/>
  <c r="M12" i="29"/>
  <c r="L12" i="29"/>
  <c r="K12" i="29"/>
  <c r="L6" i="29" s="1"/>
  <c r="J12" i="29"/>
  <c r="I12" i="29"/>
  <c r="E12" i="29"/>
  <c r="D12" i="29"/>
  <c r="I9" i="29"/>
  <c r="I8" i="29"/>
  <c r="I7" i="29"/>
  <c r="K20" i="79"/>
  <c r="M20" i="79" s="1"/>
  <c r="A20" i="79" s="1"/>
  <c r="J20" i="79"/>
  <c r="K19" i="79"/>
  <c r="M19" i="79" s="1"/>
  <c r="A19" i="79" s="1"/>
  <c r="J19" i="79"/>
  <c r="K18" i="79"/>
  <c r="M18" i="79" s="1"/>
  <c r="A18" i="79" s="1"/>
  <c r="J18" i="79"/>
  <c r="K17" i="79"/>
  <c r="M17" i="79" s="1"/>
  <c r="A17" i="79" s="1"/>
  <c r="J17" i="79"/>
  <c r="K16" i="79"/>
  <c r="M16" i="79" s="1"/>
  <c r="A16" i="79" s="1"/>
  <c r="J16" i="79"/>
  <c r="K15" i="79"/>
  <c r="M15" i="79" s="1"/>
  <c r="A15" i="79" s="1"/>
  <c r="J15" i="79"/>
  <c r="K14" i="79"/>
  <c r="M14" i="79" s="1"/>
  <c r="A14" i="79" s="1"/>
  <c r="J14" i="79"/>
  <c r="K13" i="79"/>
  <c r="M13" i="79" s="1"/>
  <c r="A13" i="79" s="1"/>
  <c r="J13" i="79"/>
  <c r="K12" i="79"/>
  <c r="M12" i="79" s="1"/>
  <c r="A12" i="79" s="1"/>
  <c r="J12" i="79"/>
  <c r="K11" i="79"/>
  <c r="M11" i="79" s="1"/>
  <c r="A11" i="79" s="1"/>
  <c r="J11" i="79"/>
  <c r="K10" i="79"/>
  <c r="M10" i="79" s="1"/>
  <c r="A10" i="79" s="1"/>
  <c r="J10" i="79"/>
  <c r="K9" i="79"/>
  <c r="M9" i="79" s="1"/>
  <c r="A9" i="79" s="1"/>
  <c r="J9" i="79"/>
  <c r="K8" i="79"/>
  <c r="M8" i="79" s="1"/>
  <c r="A8" i="79" s="1"/>
  <c r="J8" i="79"/>
  <c r="K7" i="79"/>
  <c r="M7" i="79" s="1"/>
  <c r="A7" i="79" s="1"/>
  <c r="J7" i="79"/>
  <c r="K6" i="79"/>
  <c r="M6" i="79" s="1"/>
  <c r="J6" i="79"/>
  <c r="B77" i="70"/>
  <c r="B62" i="70"/>
  <c r="B61" i="70"/>
  <c r="B58" i="70"/>
  <c r="B57" i="70"/>
  <c r="B56" i="70"/>
  <c r="B55" i="70"/>
  <c r="B54" i="70"/>
  <c r="B53" i="70"/>
  <c r="B52" i="70"/>
  <c r="B51" i="70"/>
  <c r="B50" i="70"/>
  <c r="B49" i="70"/>
  <c r="A49" i="70"/>
  <c r="B48" i="70"/>
  <c r="A48" i="70"/>
  <c r="B47" i="70"/>
  <c r="A47" i="70"/>
  <c r="B46" i="70"/>
  <c r="A46" i="70"/>
  <c r="B45" i="70"/>
  <c r="A45" i="70"/>
  <c r="B44" i="70"/>
  <c r="A44" i="70"/>
  <c r="B43" i="70"/>
  <c r="A43" i="70"/>
  <c r="B42" i="70"/>
  <c r="A42" i="70"/>
  <c r="B41" i="70"/>
  <c r="A41" i="70"/>
  <c r="B40" i="70"/>
  <c r="A40" i="70"/>
  <c r="B39" i="70"/>
  <c r="A39" i="70"/>
  <c r="B38" i="70"/>
  <c r="A38" i="70"/>
  <c r="D37" i="70"/>
  <c r="D38" i="70" s="1"/>
  <c r="D39" i="70" s="1"/>
  <c r="B37" i="70"/>
  <c r="A37" i="70"/>
  <c r="B36" i="70"/>
  <c r="A36" i="70"/>
  <c r="E35" i="70"/>
  <c r="B35" i="70"/>
  <c r="A35" i="70"/>
  <c r="B34" i="70"/>
  <c r="A34" i="70"/>
  <c r="B33" i="70"/>
  <c r="A33" i="70"/>
  <c r="D32" i="70"/>
  <c r="D33" i="70" s="1"/>
  <c r="D34" i="70" s="1"/>
  <c r="B32" i="70"/>
  <c r="A32" i="70"/>
  <c r="B31" i="70"/>
  <c r="A31" i="70"/>
  <c r="E30" i="70"/>
  <c r="B30" i="70"/>
  <c r="A30" i="70"/>
  <c r="B29" i="70"/>
  <c r="A29" i="70"/>
  <c r="B28" i="70"/>
  <c r="A28" i="70"/>
  <c r="B27" i="70"/>
  <c r="A27" i="70"/>
  <c r="B26" i="70"/>
  <c r="A26" i="70"/>
  <c r="B25" i="70"/>
  <c r="A25" i="70"/>
  <c r="B20" i="70"/>
  <c r="B19" i="70"/>
  <c r="B18" i="70"/>
  <c r="B17" i="70"/>
  <c r="B16" i="70"/>
  <c r="B15" i="70"/>
  <c r="B14" i="70"/>
  <c r="B13" i="70"/>
  <c r="B12" i="70"/>
  <c r="B11" i="70"/>
  <c r="A11" i="70"/>
  <c r="B10" i="70"/>
  <c r="A10" i="70"/>
  <c r="B9" i="70"/>
  <c r="A9" i="70"/>
  <c r="E8" i="70"/>
  <c r="B8" i="70"/>
  <c r="A8" i="70"/>
  <c r="B7" i="70"/>
  <c r="A7" i="70"/>
  <c r="F6" i="70"/>
  <c r="B6" i="70"/>
  <c r="A6" i="70"/>
  <c r="B5" i="70"/>
  <c r="A5" i="70"/>
  <c r="G112" i="45"/>
  <c r="D108" i="45"/>
  <c r="F107" i="45"/>
  <c r="G99" i="45"/>
  <c r="G98" i="45"/>
  <c r="P97" i="45"/>
  <c r="O84" i="45"/>
  <c r="M80" i="45"/>
  <c r="L80" i="45"/>
  <c r="K80" i="45"/>
  <c r="M79" i="45"/>
  <c r="L79" i="45"/>
  <c r="K79" i="45"/>
  <c r="M78" i="45"/>
  <c r="L78" i="45"/>
  <c r="K78" i="45"/>
  <c r="M77" i="45"/>
  <c r="L77" i="45"/>
  <c r="K77" i="45"/>
  <c r="M76" i="45"/>
  <c r="L76" i="45"/>
  <c r="K76" i="45"/>
  <c r="M75" i="45"/>
  <c r="L75" i="45"/>
  <c r="K75" i="45"/>
  <c r="M74" i="45"/>
  <c r="L74" i="45"/>
  <c r="K74" i="45"/>
  <c r="M73" i="45"/>
  <c r="L73" i="45"/>
  <c r="K73" i="45"/>
  <c r="L69" i="45"/>
  <c r="K69" i="45"/>
  <c r="L68" i="45"/>
  <c r="K68" i="45"/>
  <c r="L67" i="45"/>
  <c r="K67" i="45"/>
  <c r="L66" i="45"/>
  <c r="K66" i="45"/>
  <c r="L65" i="45"/>
  <c r="K65" i="45"/>
  <c r="L64" i="45"/>
  <c r="K64" i="45"/>
  <c r="L63" i="45"/>
  <c r="K63" i="45"/>
  <c r="L62" i="45"/>
  <c r="K62" i="45"/>
  <c r="AX61" i="45"/>
  <c r="AW61" i="45"/>
  <c r="AM61" i="45"/>
  <c r="AL61" i="45"/>
  <c r="AA61" i="45"/>
  <c r="Z61" i="45"/>
  <c r="P61" i="45"/>
  <c r="AY58" i="45"/>
  <c r="AX58" i="45"/>
  <c r="AM58" i="45"/>
  <c r="AL58" i="45"/>
  <c r="AA58" i="45"/>
  <c r="Z58" i="45"/>
  <c r="Q58" i="45"/>
  <c r="Q61" i="45" s="1"/>
  <c r="P58" i="45"/>
  <c r="K55" i="45"/>
  <c r="K54" i="45"/>
  <c r="K53" i="45"/>
  <c r="K52" i="45"/>
  <c r="K51" i="45"/>
  <c r="K50" i="45"/>
  <c r="K49" i="45"/>
  <c r="K48" i="45"/>
  <c r="AX47" i="45"/>
  <c r="AW47" i="45"/>
  <c r="AM47" i="45"/>
  <c r="AL47" i="45"/>
  <c r="AA47" i="45"/>
  <c r="Z47" i="45"/>
  <c r="Q47" i="45"/>
  <c r="P47" i="45"/>
  <c r="K41" i="45"/>
  <c r="K40" i="45"/>
  <c r="K39" i="45"/>
  <c r="K38" i="45"/>
  <c r="K37" i="45"/>
  <c r="K36" i="45"/>
  <c r="K35" i="45"/>
  <c r="K34" i="45"/>
  <c r="K30" i="45"/>
  <c r="K29" i="45"/>
  <c r="K28" i="45"/>
  <c r="K27" i="45"/>
  <c r="K26" i="45"/>
  <c r="K25" i="45"/>
  <c r="K24" i="45"/>
  <c r="K23" i="45"/>
  <c r="Q21" i="45"/>
  <c r="P21" i="45"/>
  <c r="P20" i="45"/>
  <c r="P84" i="45" s="1"/>
  <c r="L17" i="45"/>
  <c r="M17" i="45" s="1"/>
  <c r="M14" i="45"/>
  <c r="L14" i="45" s="1"/>
  <c r="AB56" i="100"/>
  <c r="AD56" i="100" s="1"/>
  <c r="Y52" i="100"/>
  <c r="Y51" i="100"/>
  <c r="Y50" i="100"/>
  <c r="A33" i="100"/>
  <c r="A32" i="100"/>
  <c r="A31" i="100"/>
  <c r="A30" i="100"/>
  <c r="A29" i="100"/>
  <c r="S17" i="100"/>
  <c r="S23" i="100"/>
  <c r="Z51" i="100"/>
  <c r="S22" i="100"/>
  <c r="A22" i="100"/>
  <c r="S21" i="100"/>
  <c r="A21" i="100"/>
  <c r="S20" i="100"/>
  <c r="A20" i="100"/>
  <c r="S19" i="100"/>
  <c r="A19" i="100"/>
  <c r="S18" i="100"/>
  <c r="A18" i="100"/>
  <c r="A17" i="100"/>
  <c r="W36" i="76"/>
  <c r="W38" i="76"/>
  <c r="W42" i="76"/>
  <c r="W44" i="76"/>
  <c r="W49" i="76"/>
  <c r="W52" i="76"/>
  <c r="W53" i="76"/>
  <c r="W54" i="76"/>
  <c r="W55" i="76"/>
  <c r="AC49" i="76"/>
  <c r="X49" i="76"/>
  <c r="A49" i="76"/>
  <c r="AC44" i="76"/>
  <c r="X44" i="76"/>
  <c r="A44" i="76"/>
  <c r="AC42" i="76"/>
  <c r="X42" i="76"/>
  <c r="A42" i="76"/>
  <c r="A36" i="76"/>
  <c r="A38" i="76"/>
  <c r="AC38" i="76"/>
  <c r="X38" i="76"/>
  <c r="AC36" i="76"/>
  <c r="X36" i="76"/>
  <c r="AA21" i="76"/>
  <c r="Z21" i="76"/>
  <c r="AA20" i="76"/>
  <c r="Z20" i="76"/>
  <c r="AA19" i="76"/>
  <c r="Z19" i="76"/>
  <c r="AA18" i="76"/>
  <c r="Z18" i="76"/>
  <c r="I12" i="76"/>
  <c r="I11" i="76"/>
  <c r="I10" i="76"/>
  <c r="I9" i="76"/>
  <c r="I8" i="76"/>
  <c r="I7" i="76"/>
  <c r="A179" i="92"/>
  <c r="A181" i="92"/>
  <c r="A169" i="91"/>
  <c r="W168" i="91"/>
  <c r="A168" i="91"/>
  <c r="F12" i="91"/>
  <c r="F64" i="91" s="1"/>
  <c r="R161" i="91"/>
  <c r="R156" i="91"/>
  <c r="R155" i="91"/>
  <c r="R154" i="91"/>
  <c r="R153" i="91"/>
  <c r="R151" i="91"/>
  <c r="D147" i="91"/>
  <c r="A147" i="91"/>
  <c r="A146" i="91"/>
  <c r="D145" i="91"/>
  <c r="D144" i="91"/>
  <c r="A144" i="91"/>
  <c r="L140" i="91"/>
  <c r="K140" i="91"/>
  <c r="J140" i="91"/>
  <c r="I140" i="91"/>
  <c r="H140" i="91"/>
  <c r="G140" i="91"/>
  <c r="D140" i="91"/>
  <c r="A140" i="91"/>
  <c r="A138" i="91" s="1"/>
  <c r="L138" i="91"/>
  <c r="K138" i="91"/>
  <c r="J138" i="91"/>
  <c r="I138" i="91"/>
  <c r="H138" i="91"/>
  <c r="G138" i="91"/>
  <c r="L134" i="91"/>
  <c r="K134" i="91"/>
  <c r="J134" i="91"/>
  <c r="I134" i="91"/>
  <c r="H134" i="91"/>
  <c r="G134" i="91"/>
  <c r="D134" i="91"/>
  <c r="A134" i="91"/>
  <c r="A132" i="91" s="1"/>
  <c r="L132" i="91"/>
  <c r="K132" i="91"/>
  <c r="J132" i="91"/>
  <c r="I132" i="91"/>
  <c r="H132" i="91"/>
  <c r="G132" i="91"/>
  <c r="L128" i="91"/>
  <c r="K128" i="91"/>
  <c r="J128" i="91"/>
  <c r="I128" i="91"/>
  <c r="H128" i="91"/>
  <c r="G128" i="91"/>
  <c r="D128" i="91"/>
  <c r="A128" i="91"/>
  <c r="A126" i="91" s="1"/>
  <c r="L126" i="91"/>
  <c r="K126" i="91"/>
  <c r="J126" i="91"/>
  <c r="I126" i="91"/>
  <c r="H126" i="91"/>
  <c r="G126" i="91"/>
  <c r="L122" i="91"/>
  <c r="K122" i="91"/>
  <c r="J122" i="91"/>
  <c r="I122" i="91"/>
  <c r="H122" i="91"/>
  <c r="G122" i="91"/>
  <c r="D122" i="91"/>
  <c r="A122" i="91"/>
  <c r="A120" i="91" s="1"/>
  <c r="L120" i="91"/>
  <c r="K120" i="91"/>
  <c r="J120" i="91"/>
  <c r="I120" i="91"/>
  <c r="H120" i="91"/>
  <c r="G120" i="91"/>
  <c r="L116" i="91"/>
  <c r="K116" i="91"/>
  <c r="J116" i="91"/>
  <c r="I116" i="91"/>
  <c r="H116" i="91"/>
  <c r="G116" i="91"/>
  <c r="D116" i="91"/>
  <c r="A116" i="91"/>
  <c r="A114" i="91" s="1"/>
  <c r="F115" i="91"/>
  <c r="F80" i="94" s="1"/>
  <c r="L114" i="91"/>
  <c r="K114" i="91"/>
  <c r="J114" i="91"/>
  <c r="I114" i="91"/>
  <c r="H114" i="91"/>
  <c r="G114" i="91"/>
  <c r="L110" i="91"/>
  <c r="K110" i="91"/>
  <c r="J110" i="91"/>
  <c r="I110" i="91"/>
  <c r="H110" i="91"/>
  <c r="G110" i="91"/>
  <c r="D110" i="91"/>
  <c r="A110" i="91"/>
  <c r="A108" i="91" s="1"/>
  <c r="F109" i="91"/>
  <c r="G63" i="94" s="1"/>
  <c r="L108" i="91"/>
  <c r="K108" i="91"/>
  <c r="J108" i="91"/>
  <c r="I108" i="91"/>
  <c r="H108" i="91"/>
  <c r="G108" i="91"/>
  <c r="L104" i="91"/>
  <c r="K104" i="91"/>
  <c r="J104" i="91"/>
  <c r="I104" i="91"/>
  <c r="H104" i="91"/>
  <c r="G104" i="91"/>
  <c r="D104" i="91"/>
  <c r="A104" i="91"/>
  <c r="A102" i="91" s="1"/>
  <c r="F103" i="91"/>
  <c r="G34" i="94" s="1"/>
  <c r="L102" i="91"/>
  <c r="K102" i="91"/>
  <c r="J102" i="91"/>
  <c r="I102" i="91"/>
  <c r="H102" i="91"/>
  <c r="G102" i="91"/>
  <c r="D98" i="91"/>
  <c r="A98" i="91"/>
  <c r="A96" i="91" s="1"/>
  <c r="F97" i="91"/>
  <c r="L92" i="91"/>
  <c r="K92" i="91"/>
  <c r="J92" i="91"/>
  <c r="I92" i="91"/>
  <c r="H92" i="91"/>
  <c r="G92" i="91"/>
  <c r="D92" i="91"/>
  <c r="A92" i="91"/>
  <c r="A90" i="91" s="1"/>
  <c r="L90" i="91"/>
  <c r="K90" i="91"/>
  <c r="J90" i="91"/>
  <c r="I90" i="91"/>
  <c r="H90" i="91"/>
  <c r="G90" i="91"/>
  <c r="L86" i="91"/>
  <c r="K86" i="91"/>
  <c r="J86" i="91"/>
  <c r="I86" i="91"/>
  <c r="H86" i="91"/>
  <c r="G86" i="91"/>
  <c r="D86" i="91"/>
  <c r="A86" i="91"/>
  <c r="A82" i="91" s="1"/>
  <c r="L82" i="91"/>
  <c r="K82" i="91"/>
  <c r="J82" i="91"/>
  <c r="I82" i="91"/>
  <c r="H82" i="91"/>
  <c r="G82" i="91"/>
  <c r="F82" i="91"/>
  <c r="L81" i="91"/>
  <c r="K81" i="91"/>
  <c r="J81" i="91"/>
  <c r="I81" i="91"/>
  <c r="H81" i="91"/>
  <c r="G81" i="91"/>
  <c r="L77" i="91"/>
  <c r="K77" i="91"/>
  <c r="J77" i="91"/>
  <c r="I77" i="91"/>
  <c r="H77" i="91"/>
  <c r="G77" i="91"/>
  <c r="D77" i="91"/>
  <c r="A77" i="91"/>
  <c r="A70" i="91" s="1"/>
  <c r="L76" i="91"/>
  <c r="K76" i="91"/>
  <c r="J76" i="91"/>
  <c r="AC87" i="94"/>
  <c r="I76" i="91"/>
  <c r="H76" i="91"/>
  <c r="G76" i="91"/>
  <c r="F76" i="91"/>
  <c r="F75" i="91"/>
  <c r="F74" i="91"/>
  <c r="F73" i="91"/>
  <c r="F72" i="91"/>
  <c r="F71" i="91"/>
  <c r="F70" i="91"/>
  <c r="L69" i="91"/>
  <c r="K69" i="91"/>
  <c r="J69" i="91"/>
  <c r="I69" i="91"/>
  <c r="H69" i="91"/>
  <c r="G69" i="91"/>
  <c r="L65" i="91"/>
  <c r="K65" i="91"/>
  <c r="J65" i="91"/>
  <c r="I65" i="91"/>
  <c r="I59" i="91"/>
  <c r="H65" i="91"/>
  <c r="G65" i="91"/>
  <c r="D65" i="91"/>
  <c r="A65" i="91"/>
  <c r="A64" i="91" s="1"/>
  <c r="L64" i="91"/>
  <c r="K64" i="91"/>
  <c r="J64" i="91"/>
  <c r="I64" i="91"/>
  <c r="H64" i="91"/>
  <c r="G64" i="91"/>
  <c r="L63" i="91"/>
  <c r="K63" i="91"/>
  <c r="J63" i="91"/>
  <c r="I63" i="91"/>
  <c r="H63" i="91"/>
  <c r="G63" i="91"/>
  <c r="L59" i="91"/>
  <c r="K59" i="91"/>
  <c r="J59" i="91"/>
  <c r="H59" i="91"/>
  <c r="G59" i="91"/>
  <c r="D59" i="91"/>
  <c r="A59" i="91"/>
  <c r="A60" i="91" s="1"/>
  <c r="A61" i="91" s="1"/>
  <c r="A62" i="91" s="1"/>
  <c r="F58" i="91"/>
  <c r="F57" i="91"/>
  <c r="L55" i="91"/>
  <c r="K55" i="91"/>
  <c r="J55" i="91"/>
  <c r="I55" i="91"/>
  <c r="H55" i="91"/>
  <c r="G55" i="91"/>
  <c r="L53" i="91"/>
  <c r="K53" i="91"/>
  <c r="J53" i="91"/>
  <c r="I53" i="91"/>
  <c r="H53" i="91"/>
  <c r="G53" i="91"/>
  <c r="A53" i="91"/>
  <c r="F52" i="91"/>
  <c r="H52" i="91" s="1"/>
  <c r="L51" i="91"/>
  <c r="K51" i="91"/>
  <c r="J51" i="91"/>
  <c r="I51" i="91"/>
  <c r="H51" i="91"/>
  <c r="G51" i="91"/>
  <c r="L25" i="91"/>
  <c r="L29" i="91" s="1"/>
  <c r="L20" i="91"/>
  <c r="L21" i="91"/>
  <c r="L32" i="91"/>
  <c r="L39" i="91"/>
  <c r="L49" i="91"/>
  <c r="K25" i="91"/>
  <c r="K29" i="91" s="1"/>
  <c r="K20" i="91"/>
  <c r="K21" i="91"/>
  <c r="K32" i="91"/>
  <c r="K39" i="91"/>
  <c r="K49" i="91"/>
  <c r="J25" i="91"/>
  <c r="J29" i="91" s="1"/>
  <c r="J21" i="91"/>
  <c r="J20" i="91"/>
  <c r="J32" i="91"/>
  <c r="J39" i="91"/>
  <c r="J49" i="91"/>
  <c r="I25" i="91"/>
  <c r="I20" i="91"/>
  <c r="I21" i="91"/>
  <c r="I32" i="91"/>
  <c r="I39" i="91"/>
  <c r="I49" i="91"/>
  <c r="H25" i="91"/>
  <c r="H20" i="91"/>
  <c r="H21" i="91"/>
  <c r="H32" i="91"/>
  <c r="H39" i="91"/>
  <c r="H49" i="91"/>
  <c r="G25" i="91"/>
  <c r="G29" i="91" s="1"/>
  <c r="G20" i="91"/>
  <c r="G21" i="91"/>
  <c r="S157" i="91" s="1"/>
  <c r="G32" i="91"/>
  <c r="G39" i="91"/>
  <c r="G49" i="91"/>
  <c r="A48" i="91"/>
  <c r="L45" i="91"/>
  <c r="K45" i="91"/>
  <c r="J45" i="91"/>
  <c r="I45" i="91"/>
  <c r="H45" i="91"/>
  <c r="G45" i="91"/>
  <c r="A44" i="91"/>
  <c r="L37" i="91"/>
  <c r="K37" i="91"/>
  <c r="J37" i="91"/>
  <c r="I37" i="91"/>
  <c r="H37" i="91"/>
  <c r="G37" i="91"/>
  <c r="A36" i="91"/>
  <c r="L30" i="91"/>
  <c r="K30" i="91"/>
  <c r="J30" i="91"/>
  <c r="I30" i="91"/>
  <c r="H30" i="91"/>
  <c r="G30" i="91"/>
  <c r="A29" i="91"/>
  <c r="L22" i="91"/>
  <c r="K22" i="91"/>
  <c r="J22" i="91"/>
  <c r="I22" i="91"/>
  <c r="H22" i="91"/>
  <c r="G22" i="91"/>
  <c r="D21" i="91"/>
  <c r="A20" i="91"/>
  <c r="A19" i="91"/>
  <c r="A17" i="91"/>
  <c r="A16" i="91"/>
  <c r="F14" i="91"/>
  <c r="A14" i="91"/>
  <c r="F13" i="91"/>
  <c r="A13" i="91"/>
  <c r="A12" i="91"/>
  <c r="F11" i="91"/>
  <c r="D6" i="91"/>
  <c r="L5" i="91"/>
  <c r="K5" i="91"/>
  <c r="J5" i="91"/>
  <c r="I5" i="91"/>
  <c r="H5" i="91"/>
  <c r="G5" i="91"/>
  <c r="AH59" i="96"/>
  <c r="AF59" i="96"/>
  <c r="AD59" i="96"/>
  <c r="AB59" i="96"/>
  <c r="Z59" i="96"/>
  <c r="X59" i="96"/>
  <c r="V59" i="96"/>
  <c r="T59" i="96"/>
  <c r="R59" i="96"/>
  <c r="P59" i="96"/>
  <c r="N59" i="96"/>
  <c r="L59" i="96"/>
  <c r="J59" i="96"/>
  <c r="H59" i="96"/>
  <c r="H55" i="96"/>
  <c r="F55" i="96"/>
  <c r="H54" i="96"/>
  <c r="F54" i="96"/>
  <c r="H53" i="96"/>
  <c r="F53" i="96"/>
  <c r="D50" i="96"/>
  <c r="AH45" i="96"/>
  <c r="AF45" i="96"/>
  <c r="AD45" i="96"/>
  <c r="AB45" i="96"/>
  <c r="Z45" i="96"/>
  <c r="X45" i="96"/>
  <c r="V45" i="96"/>
  <c r="T45" i="96"/>
  <c r="R45" i="96"/>
  <c r="P45" i="96"/>
  <c r="N45" i="96"/>
  <c r="L45" i="96"/>
  <c r="J45" i="96"/>
  <c r="H45" i="96"/>
  <c r="H41" i="96"/>
  <c r="J41" i="96"/>
  <c r="L41" i="96"/>
  <c r="N41" i="96"/>
  <c r="D40" i="96"/>
  <c r="A23" i="96"/>
  <c r="A24" i="96" s="1"/>
  <c r="H5" i="96"/>
  <c r="J5" i="96"/>
  <c r="H21" i="96"/>
  <c r="F21" i="96"/>
  <c r="H19" i="96"/>
  <c r="J19" i="96"/>
  <c r="L19" i="96"/>
  <c r="N19" i="96"/>
  <c r="P19" i="96"/>
  <c r="R19" i="96"/>
  <c r="T19" i="96"/>
  <c r="V19" i="96"/>
  <c r="X19" i="96"/>
  <c r="Z19" i="96"/>
  <c r="AB19" i="96"/>
  <c r="AD19" i="96"/>
  <c r="AF19" i="96"/>
  <c r="AH19" i="96"/>
  <c r="D4" i="96"/>
  <c r="S94" i="94"/>
  <c r="S95" i="94"/>
  <c r="S96" i="94"/>
  <c r="AI91" i="94"/>
  <c r="AJ91" i="94"/>
  <c r="AH172" i="94"/>
  <c r="BD172" i="94" s="1"/>
  <c r="AH171" i="94"/>
  <c r="BD171" i="94" s="1"/>
  <c r="T168" i="94"/>
  <c r="T169" i="94"/>
  <c r="T170" i="94"/>
  <c r="T171" i="94"/>
  <c r="AI170" i="94"/>
  <c r="BE170" i="94" s="1"/>
  <c r="AH170" i="94"/>
  <c r="BD170" i="94" s="1"/>
  <c r="AH169" i="94"/>
  <c r="BD169" i="94" s="1"/>
  <c r="AI168" i="94"/>
  <c r="BE168" i="94" s="1"/>
  <c r="AH168" i="94"/>
  <c r="BD168" i="94" s="1"/>
  <c r="AI167" i="94"/>
  <c r="BE167" i="94" s="1"/>
  <c r="AH167" i="94"/>
  <c r="BD167" i="94" s="1"/>
  <c r="AI166" i="94"/>
  <c r="BE166" i="94" s="1"/>
  <c r="AH166" i="94"/>
  <c r="BD166" i="94" s="1"/>
  <c r="T163" i="94"/>
  <c r="T164" i="94"/>
  <c r="T165" i="94"/>
  <c r="T166" i="94"/>
  <c r="AH165" i="94"/>
  <c r="BD165" i="94" s="1"/>
  <c r="AH164" i="94"/>
  <c r="BD164" i="94" s="1"/>
  <c r="AI163" i="94"/>
  <c r="BE163" i="94" s="1"/>
  <c r="AH163" i="94"/>
  <c r="BD163" i="94" s="1"/>
  <c r="AI162" i="94"/>
  <c r="BE162" i="94" s="1"/>
  <c r="AH162" i="94"/>
  <c r="BD162" i="94" s="1"/>
  <c r="AI161" i="94"/>
  <c r="BE161" i="94" s="1"/>
  <c r="AH161" i="94"/>
  <c r="BD161" i="94" s="1"/>
  <c r="U158" i="94"/>
  <c r="U159" i="94"/>
  <c r="U160" i="94"/>
  <c r="U161" i="94"/>
  <c r="T158" i="94"/>
  <c r="T159" i="94"/>
  <c r="T160" i="94"/>
  <c r="T161" i="94"/>
  <c r="AI160" i="94"/>
  <c r="BE160" i="94" s="1"/>
  <c r="AH160" i="94"/>
  <c r="BD160" i="94" s="1"/>
  <c r="AI159" i="94"/>
  <c r="BE159" i="94" s="1"/>
  <c r="AH159" i="94"/>
  <c r="BD159" i="94" s="1"/>
  <c r="AI158" i="94"/>
  <c r="BE158" i="94" s="1"/>
  <c r="AH158" i="94"/>
  <c r="BD158" i="94" s="1"/>
  <c r="AI157" i="94"/>
  <c r="BE157" i="94" s="1"/>
  <c r="AH157" i="94"/>
  <c r="BD157" i="94" s="1"/>
  <c r="AH156" i="94"/>
  <c r="BD156" i="94" s="1"/>
  <c r="V153" i="94"/>
  <c r="V154" i="94"/>
  <c r="V155" i="94"/>
  <c r="V156" i="94"/>
  <c r="U153" i="94"/>
  <c r="U154" i="94"/>
  <c r="U155" i="94"/>
  <c r="U156" i="94"/>
  <c r="T153" i="94"/>
  <c r="T154" i="94"/>
  <c r="T155" i="94"/>
  <c r="T156" i="94"/>
  <c r="AI155" i="94"/>
  <c r="BE155" i="94" s="1"/>
  <c r="AH155" i="94"/>
  <c r="BD155" i="94" s="1"/>
  <c r="AI154" i="94"/>
  <c r="BE154" i="94" s="1"/>
  <c r="AH154" i="94"/>
  <c r="BD154" i="94" s="1"/>
  <c r="AI153" i="94"/>
  <c r="BE153" i="94" s="1"/>
  <c r="AH153" i="94"/>
  <c r="BD153" i="94" s="1"/>
  <c r="AI152" i="94"/>
  <c r="BE152" i="94" s="1"/>
  <c r="AH152" i="94"/>
  <c r="BD152" i="94" s="1"/>
  <c r="AI151" i="94"/>
  <c r="BE151" i="94" s="1"/>
  <c r="AH151" i="94"/>
  <c r="BD151" i="94" s="1"/>
  <c r="V148" i="94"/>
  <c r="V149" i="94"/>
  <c r="V150" i="94"/>
  <c r="V151" i="94"/>
  <c r="U148" i="94"/>
  <c r="U149" i="94"/>
  <c r="U150" i="94"/>
  <c r="U151" i="94"/>
  <c r="T148" i="94"/>
  <c r="T149" i="94"/>
  <c r="T150" i="94"/>
  <c r="T151" i="94"/>
  <c r="AI150" i="94"/>
  <c r="BE150" i="94" s="1"/>
  <c r="AH150" i="94"/>
  <c r="BD150" i="94" s="1"/>
  <c r="AI149" i="94"/>
  <c r="BE149" i="94" s="1"/>
  <c r="AH149" i="94"/>
  <c r="BD149" i="94" s="1"/>
  <c r="AI148" i="94"/>
  <c r="BE148" i="94" s="1"/>
  <c r="AH148" i="94"/>
  <c r="BD148" i="94" s="1"/>
  <c r="AI147" i="94"/>
  <c r="BE147" i="94" s="1"/>
  <c r="AH147" i="94"/>
  <c r="BD147" i="94" s="1"/>
  <c r="AI146" i="94"/>
  <c r="BE146" i="94" s="1"/>
  <c r="AH146" i="94"/>
  <c r="BD146" i="94" s="1"/>
  <c r="W143" i="94"/>
  <c r="W144" i="94"/>
  <c r="W145" i="94"/>
  <c r="W146" i="94"/>
  <c r="V143" i="94"/>
  <c r="V144" i="94"/>
  <c r="V145" i="94"/>
  <c r="V146" i="94"/>
  <c r="U143" i="94"/>
  <c r="U144" i="94"/>
  <c r="U145" i="94"/>
  <c r="U146" i="94"/>
  <c r="T143" i="94"/>
  <c r="T144" i="94"/>
  <c r="T145" i="94"/>
  <c r="T146" i="94"/>
  <c r="AI145" i="94"/>
  <c r="BE145" i="94" s="1"/>
  <c r="AH145" i="94"/>
  <c r="BD145" i="94" s="1"/>
  <c r="AI144" i="94"/>
  <c r="BE144" i="94" s="1"/>
  <c r="AH144" i="94"/>
  <c r="BD144" i="94" s="1"/>
  <c r="AI143" i="94"/>
  <c r="BE143" i="94" s="1"/>
  <c r="AH143" i="94"/>
  <c r="BD143" i="94" s="1"/>
  <c r="AI142" i="94"/>
  <c r="BE142" i="94" s="1"/>
  <c r="AH142" i="94"/>
  <c r="BD142" i="94" s="1"/>
  <c r="AI141" i="94"/>
  <c r="BE141" i="94" s="1"/>
  <c r="AH141" i="94"/>
  <c r="BD141" i="94" s="1"/>
  <c r="X141" i="94"/>
  <c r="W141" i="94"/>
  <c r="V141" i="94"/>
  <c r="U141" i="94"/>
  <c r="T141" i="94"/>
  <c r="AI140" i="94"/>
  <c r="BE140" i="94" s="1"/>
  <c r="AH140" i="94"/>
  <c r="BD140" i="94" s="1"/>
  <c r="AI139" i="94"/>
  <c r="BE139" i="94" s="1"/>
  <c r="AH139" i="94"/>
  <c r="BD139" i="94" s="1"/>
  <c r="X139" i="94"/>
  <c r="W139" i="94"/>
  <c r="V139" i="94"/>
  <c r="U139" i="94"/>
  <c r="T139" i="94"/>
  <c r="AI138" i="94"/>
  <c r="BE138" i="94" s="1"/>
  <c r="AH138" i="94"/>
  <c r="BD138" i="94" s="1"/>
  <c r="AI137" i="94"/>
  <c r="BE137" i="94" s="1"/>
  <c r="AH137" i="94"/>
  <c r="BD137" i="94" s="1"/>
  <c r="X137" i="94"/>
  <c r="W137" i="94"/>
  <c r="V137" i="94"/>
  <c r="U137" i="94"/>
  <c r="T137" i="94"/>
  <c r="AI136" i="94"/>
  <c r="BE136" i="94" s="1"/>
  <c r="AH136" i="94"/>
  <c r="BD136" i="94" s="1"/>
  <c r="AI135" i="94"/>
  <c r="BE135" i="94" s="1"/>
  <c r="AH135" i="94"/>
  <c r="BD135" i="94" s="1"/>
  <c r="X135" i="94"/>
  <c r="W135" i="94"/>
  <c r="V135" i="94"/>
  <c r="U135" i="94"/>
  <c r="T135" i="94"/>
  <c r="AI134" i="94"/>
  <c r="BE134" i="94" s="1"/>
  <c r="AH134" i="94"/>
  <c r="BD134" i="94" s="1"/>
  <c r="AI133" i="94"/>
  <c r="BE133" i="94" s="1"/>
  <c r="AH133" i="94"/>
  <c r="BD133" i="94" s="1"/>
  <c r="Y133" i="94"/>
  <c r="X133" i="94"/>
  <c r="W133" i="94"/>
  <c r="V133" i="94"/>
  <c r="U133" i="94"/>
  <c r="T133" i="94"/>
  <c r="AI132" i="94"/>
  <c r="BE132" i="94" s="1"/>
  <c r="AH132" i="94"/>
  <c r="BD132" i="94" s="1"/>
  <c r="AI131" i="94"/>
  <c r="BE131" i="94" s="1"/>
  <c r="AH131" i="94"/>
  <c r="BD131" i="94" s="1"/>
  <c r="Y131" i="94"/>
  <c r="X131" i="94"/>
  <c r="W131" i="94"/>
  <c r="V131" i="94"/>
  <c r="U131" i="94"/>
  <c r="AI130" i="94"/>
  <c r="BE130" i="94" s="1"/>
  <c r="AH130" i="94"/>
  <c r="BD130" i="94" s="1"/>
  <c r="AI129" i="94"/>
  <c r="BE129" i="94" s="1"/>
  <c r="AH129" i="94"/>
  <c r="BD129" i="94" s="1"/>
  <c r="Z129" i="94"/>
  <c r="Y129" i="94"/>
  <c r="X129" i="94"/>
  <c r="W129" i="94"/>
  <c r="V129" i="94"/>
  <c r="U129" i="94"/>
  <c r="AI128" i="94"/>
  <c r="BE128" i="94" s="1"/>
  <c r="AH128" i="94"/>
  <c r="BD128" i="94" s="1"/>
  <c r="AI127" i="94"/>
  <c r="BE127" i="94" s="1"/>
  <c r="AH127" i="94"/>
  <c r="BD127" i="94" s="1"/>
  <c r="Z127" i="94"/>
  <c r="Y127" i="94"/>
  <c r="X127" i="94"/>
  <c r="W127" i="94"/>
  <c r="V127" i="94"/>
  <c r="U127" i="94"/>
  <c r="AI126" i="94"/>
  <c r="BE126" i="94" s="1"/>
  <c r="AH126" i="94"/>
  <c r="BD126" i="94" s="1"/>
  <c r="AI125" i="94"/>
  <c r="BE125" i="94" s="1"/>
  <c r="AH125" i="94"/>
  <c r="BD125" i="94" s="1"/>
  <c r="Z125" i="94"/>
  <c r="Y125" i="94"/>
  <c r="X125" i="94"/>
  <c r="W125" i="94"/>
  <c r="V125" i="94"/>
  <c r="U125" i="94"/>
  <c r="AI124" i="94"/>
  <c r="BE124" i="94" s="1"/>
  <c r="AH124" i="94"/>
  <c r="BD124" i="94" s="1"/>
  <c r="AI123" i="94"/>
  <c r="BE123" i="94" s="1"/>
  <c r="AH123" i="94"/>
  <c r="BD123" i="94" s="1"/>
  <c r="AA123" i="94"/>
  <c r="Z123" i="94"/>
  <c r="Y123" i="94"/>
  <c r="X123" i="94"/>
  <c r="W123" i="94"/>
  <c r="V123" i="94"/>
  <c r="U123" i="94"/>
  <c r="AI122" i="94"/>
  <c r="BE122" i="94" s="1"/>
  <c r="AH122" i="94"/>
  <c r="BD122" i="94" s="1"/>
  <c r="AI121" i="94"/>
  <c r="BE121" i="94" s="1"/>
  <c r="AH121" i="94"/>
  <c r="BD121" i="94" s="1"/>
  <c r="AI120" i="94"/>
  <c r="BE120" i="94" s="1"/>
  <c r="AH120" i="94"/>
  <c r="BD120" i="94" s="1"/>
  <c r="AI119" i="94"/>
  <c r="BE119" i="94" s="1"/>
  <c r="AH119" i="94"/>
  <c r="BD119" i="94" s="1"/>
  <c r="AI118" i="94"/>
  <c r="BE118" i="94" s="1"/>
  <c r="AH118" i="94"/>
  <c r="BD118" i="94" s="1"/>
  <c r="AI117" i="94"/>
  <c r="BE117" i="94" s="1"/>
  <c r="AH117" i="94"/>
  <c r="BD117" i="94" s="1"/>
  <c r="AI116" i="94"/>
  <c r="BE116" i="94" s="1"/>
  <c r="AH116" i="94"/>
  <c r="BD116" i="94" s="1"/>
  <c r="AI115" i="94"/>
  <c r="BE115" i="94" s="1"/>
  <c r="AH115" i="94"/>
  <c r="BD115" i="94" s="1"/>
  <c r="AI114" i="94"/>
  <c r="BE114" i="94" s="1"/>
  <c r="AH114" i="94"/>
  <c r="BD114" i="94" s="1"/>
  <c r="AI113" i="94"/>
  <c r="BE113" i="94" s="1"/>
  <c r="AH113" i="94"/>
  <c r="BD113" i="94" s="1"/>
  <c r="AI112" i="94"/>
  <c r="BE112" i="94" s="1"/>
  <c r="AH112" i="94"/>
  <c r="BD112" i="94" s="1"/>
  <c r="AI111" i="94"/>
  <c r="BE111" i="94" s="1"/>
  <c r="AH111" i="94"/>
  <c r="BD111" i="94" s="1"/>
  <c r="AI110" i="94"/>
  <c r="BE110" i="94" s="1"/>
  <c r="AH110" i="94"/>
  <c r="BD110" i="94" s="1"/>
  <c r="AI109" i="94"/>
  <c r="BE109" i="94" s="1"/>
  <c r="AH109" i="94"/>
  <c r="BD109" i="94" s="1"/>
  <c r="AI108" i="94"/>
  <c r="BE108" i="94" s="1"/>
  <c r="AH108" i="94"/>
  <c r="BD108" i="94" s="1"/>
  <c r="AI107" i="94"/>
  <c r="BE107" i="94" s="1"/>
  <c r="AH107" i="94"/>
  <c r="BD107" i="94" s="1"/>
  <c r="AI106" i="94"/>
  <c r="BE106" i="94" s="1"/>
  <c r="AH106" i="94"/>
  <c r="BD106" i="94" s="1"/>
  <c r="AI105" i="94"/>
  <c r="BE105" i="94" s="1"/>
  <c r="AH105" i="94"/>
  <c r="BD105" i="94" s="1"/>
  <c r="AI104" i="94"/>
  <c r="BE104" i="94" s="1"/>
  <c r="AH104" i="94"/>
  <c r="BD104" i="94" s="1"/>
  <c r="AI103" i="94"/>
  <c r="BE103" i="94" s="1"/>
  <c r="AH103" i="94"/>
  <c r="BD103" i="94" s="1"/>
  <c r="AI102" i="94"/>
  <c r="BE102" i="94" s="1"/>
  <c r="AH102" i="94"/>
  <c r="BD102" i="94" s="1"/>
  <c r="AI101" i="94"/>
  <c r="BE101" i="94" s="1"/>
  <c r="AH101" i="94"/>
  <c r="BD101" i="94" s="1"/>
  <c r="AI100" i="94"/>
  <c r="BE100" i="94" s="1"/>
  <c r="AH100" i="94"/>
  <c r="BD100" i="94" s="1"/>
  <c r="AI99" i="94"/>
  <c r="BE99" i="94" s="1"/>
  <c r="AH99" i="94"/>
  <c r="BD99" i="94" s="1"/>
  <c r="AI98" i="94"/>
  <c r="BE98" i="94" s="1"/>
  <c r="AH98" i="94"/>
  <c r="BD98" i="94" s="1"/>
  <c r="AI97" i="94"/>
  <c r="BE97" i="94" s="1"/>
  <c r="AH97" i="94"/>
  <c r="BD97" i="94" s="1"/>
  <c r="AI96" i="94"/>
  <c r="BE96" i="94" s="1"/>
  <c r="AH96" i="94"/>
  <c r="BD96" i="94" s="1"/>
  <c r="AI95" i="94"/>
  <c r="BE95" i="94" s="1"/>
  <c r="AH95" i="94"/>
  <c r="BD95" i="94" s="1"/>
  <c r="AI94" i="94"/>
  <c r="BE94" i="94" s="1"/>
  <c r="AH94" i="94"/>
  <c r="BD94" i="94" s="1"/>
  <c r="AI93" i="94"/>
  <c r="BE93" i="94" s="1"/>
  <c r="AH93" i="94"/>
  <c r="BD93" i="94" s="1"/>
  <c r="AI92" i="94"/>
  <c r="BE92" i="94" s="1"/>
  <c r="AH92" i="94"/>
  <c r="AT91" i="94"/>
  <c r="BE91" i="94"/>
  <c r="AS91" i="94"/>
  <c r="BD91" i="94"/>
  <c r="AR91" i="94"/>
  <c r="R89" i="94"/>
  <c r="T87" i="94"/>
  <c r="I85" i="94"/>
  <c r="D72" i="94"/>
  <c r="E72" i="94"/>
  <c r="A72" i="94" s="1"/>
  <c r="I84" i="94"/>
  <c r="I83" i="94"/>
  <c r="I82" i="94"/>
  <c r="I81" i="94"/>
  <c r="F81" i="94"/>
  <c r="I80" i="94"/>
  <c r="I79" i="94"/>
  <c r="F79" i="94"/>
  <c r="I78" i="94"/>
  <c r="I77" i="94"/>
  <c r="I76" i="94"/>
  <c r="I75" i="94"/>
  <c r="F75" i="94"/>
  <c r="I74" i="94"/>
  <c r="I73" i="94"/>
  <c r="I72" i="94"/>
  <c r="E71" i="94"/>
  <c r="A71" i="94" s="1"/>
  <c r="D67" i="94"/>
  <c r="D50" i="94"/>
  <c r="F50" i="94"/>
  <c r="I49" i="94"/>
  <c r="F49" i="94"/>
  <c r="D46" i="94"/>
  <c r="D29" i="94"/>
  <c r="D30" i="94"/>
  <c r="D31" i="94"/>
  <c r="F28" i="94"/>
  <c r="D25" i="94"/>
  <c r="H21" i="94"/>
  <c r="G21" i="94"/>
  <c r="D8" i="94"/>
  <c r="F8" i="94"/>
  <c r="H20" i="94"/>
  <c r="G20" i="94"/>
  <c r="H19" i="94"/>
  <c r="G19" i="94"/>
  <c r="H18" i="94"/>
  <c r="G18" i="94"/>
  <c r="H17" i="94"/>
  <c r="G17" i="94"/>
  <c r="H16" i="94"/>
  <c r="G16" i="94"/>
  <c r="H15" i="94"/>
  <c r="G15" i="94"/>
  <c r="H14" i="94"/>
  <c r="G14" i="94"/>
  <c r="H13" i="94"/>
  <c r="G13" i="94"/>
  <c r="H12" i="94"/>
  <c r="G12" i="94"/>
  <c r="H11" i="94"/>
  <c r="G11" i="94"/>
  <c r="H10" i="94"/>
  <c r="G10" i="94"/>
  <c r="H9" i="94"/>
  <c r="G9" i="94"/>
  <c r="H8" i="94"/>
  <c r="G8" i="94"/>
  <c r="G7" i="94"/>
  <c r="F7" i="94"/>
  <c r="D4" i="94"/>
  <c r="R195" i="92"/>
  <c r="R196" i="92"/>
  <c r="R197" i="92"/>
  <c r="R198" i="92"/>
  <c r="X192" i="92"/>
  <c r="S192" i="92"/>
  <c r="R192" i="92"/>
  <c r="A192" i="92"/>
  <c r="X187" i="92"/>
  <c r="S187" i="92"/>
  <c r="R187" i="92"/>
  <c r="A187" i="92"/>
  <c r="X185" i="92"/>
  <c r="S185" i="92"/>
  <c r="R185" i="92"/>
  <c r="A185" i="92"/>
  <c r="X181" i="92"/>
  <c r="S181" i="92"/>
  <c r="R181" i="92"/>
  <c r="X179" i="92"/>
  <c r="S179" i="92"/>
  <c r="R179" i="92"/>
  <c r="A176" i="92"/>
  <c r="U175" i="92"/>
  <c r="R174" i="92"/>
  <c r="U173" i="92"/>
  <c r="R172" i="92"/>
  <c r="A169" i="92"/>
  <c r="X168" i="92"/>
  <c r="A168" i="92"/>
  <c r="F12" i="92"/>
  <c r="F64" i="92" s="1"/>
  <c r="M66" i="92" s="1"/>
  <c r="R161" i="92"/>
  <c r="R156" i="92"/>
  <c r="R155" i="92"/>
  <c r="R154" i="92"/>
  <c r="R153" i="92"/>
  <c r="R151" i="92"/>
  <c r="D147" i="92"/>
  <c r="A147" i="92"/>
  <c r="A146" i="92"/>
  <c r="D145" i="92"/>
  <c r="D144" i="92"/>
  <c r="A144" i="92"/>
  <c r="L140" i="92"/>
  <c r="K140" i="92"/>
  <c r="J140" i="92"/>
  <c r="I140" i="92"/>
  <c r="H140" i="92"/>
  <c r="G140" i="92"/>
  <c r="D140" i="92"/>
  <c r="A140" i="92"/>
  <c r="A139" i="92"/>
  <c r="L138" i="92"/>
  <c r="K138" i="92"/>
  <c r="J138" i="92"/>
  <c r="I138" i="92"/>
  <c r="H138" i="92"/>
  <c r="G138" i="92"/>
  <c r="L134" i="92"/>
  <c r="K134" i="92"/>
  <c r="J134" i="92"/>
  <c r="I134" i="92"/>
  <c r="H134" i="92"/>
  <c r="G134" i="92"/>
  <c r="D134" i="92"/>
  <c r="A134" i="92"/>
  <c r="A135" i="92"/>
  <c r="A136" i="92"/>
  <c r="A137" i="92"/>
  <c r="L132" i="92"/>
  <c r="K132" i="92"/>
  <c r="J132" i="92"/>
  <c r="I132" i="92"/>
  <c r="H132" i="92"/>
  <c r="G132" i="92"/>
  <c r="L128" i="92"/>
  <c r="K128" i="92"/>
  <c r="J128" i="92"/>
  <c r="I128" i="92"/>
  <c r="H128" i="92"/>
  <c r="G128" i="92"/>
  <c r="D128" i="92"/>
  <c r="A128" i="92"/>
  <c r="A127" i="92"/>
  <c r="L126" i="92"/>
  <c r="K126" i="92"/>
  <c r="J126" i="92"/>
  <c r="I126" i="92"/>
  <c r="H126" i="92"/>
  <c r="G126" i="92"/>
  <c r="L122" i="92"/>
  <c r="K122" i="92"/>
  <c r="J122" i="92"/>
  <c r="I122" i="92"/>
  <c r="H122" i="92"/>
  <c r="G122" i="92"/>
  <c r="D122" i="92"/>
  <c r="A122" i="92"/>
  <c r="A121" i="92"/>
  <c r="L120" i="92"/>
  <c r="K120" i="92"/>
  <c r="J120" i="92"/>
  <c r="I120" i="92"/>
  <c r="H120" i="92"/>
  <c r="G120" i="92"/>
  <c r="L116" i="92"/>
  <c r="K116" i="92"/>
  <c r="J116" i="92"/>
  <c r="I116" i="92"/>
  <c r="H116" i="92"/>
  <c r="G116" i="92"/>
  <c r="D116" i="92"/>
  <c r="A116" i="92"/>
  <c r="A115" i="92"/>
  <c r="F115" i="92"/>
  <c r="L114" i="92"/>
  <c r="K114" i="92"/>
  <c r="J114" i="92"/>
  <c r="I114" i="92"/>
  <c r="H114" i="92"/>
  <c r="G114" i="92"/>
  <c r="L110" i="92"/>
  <c r="K110" i="92"/>
  <c r="J110" i="92"/>
  <c r="I110" i="92"/>
  <c r="H110" i="92"/>
  <c r="G110" i="92"/>
  <c r="D110" i="92"/>
  <c r="A110" i="92"/>
  <c r="F109" i="92"/>
  <c r="G56" i="93" s="1"/>
  <c r="L108" i="92"/>
  <c r="K108" i="92"/>
  <c r="J108" i="92"/>
  <c r="I108" i="92"/>
  <c r="H108" i="92"/>
  <c r="G108" i="92"/>
  <c r="L104" i="92"/>
  <c r="K104" i="92"/>
  <c r="J104" i="92"/>
  <c r="I104" i="92"/>
  <c r="H104" i="92"/>
  <c r="G104" i="92"/>
  <c r="D104" i="92"/>
  <c r="A104" i="92"/>
  <c r="A103" i="92"/>
  <c r="F103" i="92"/>
  <c r="G41" i="93" s="1"/>
  <c r="L102" i="92"/>
  <c r="K102" i="92"/>
  <c r="J102" i="92"/>
  <c r="I102" i="92"/>
  <c r="H102" i="92"/>
  <c r="G102" i="92"/>
  <c r="L98" i="92"/>
  <c r="K98" i="92"/>
  <c r="J98" i="92"/>
  <c r="I98" i="92"/>
  <c r="H98" i="92"/>
  <c r="G98" i="92"/>
  <c r="D98" i="92"/>
  <c r="A98" i="92"/>
  <c r="A97" i="92"/>
  <c r="F97" i="92"/>
  <c r="L96" i="92"/>
  <c r="K96" i="92"/>
  <c r="J96" i="92"/>
  <c r="I96" i="92"/>
  <c r="H96" i="92"/>
  <c r="G96" i="92"/>
  <c r="L92" i="92"/>
  <c r="K92" i="92"/>
  <c r="J92" i="92"/>
  <c r="I92" i="92"/>
  <c r="H92" i="92"/>
  <c r="G92" i="92"/>
  <c r="D92" i="92"/>
  <c r="A92" i="92"/>
  <c r="A91" i="92"/>
  <c r="L90" i="92"/>
  <c r="K90" i="92"/>
  <c r="J90" i="92"/>
  <c r="I90" i="92"/>
  <c r="H90" i="92"/>
  <c r="G90" i="92"/>
  <c r="L86" i="92"/>
  <c r="K86" i="92"/>
  <c r="J86" i="92"/>
  <c r="I86" i="92"/>
  <c r="H86" i="92"/>
  <c r="G86" i="92"/>
  <c r="D86" i="92"/>
  <c r="A86" i="92"/>
  <c r="A85" i="92"/>
  <c r="L82" i="92"/>
  <c r="K82" i="92"/>
  <c r="J82" i="92"/>
  <c r="I82" i="92"/>
  <c r="H82" i="92"/>
  <c r="G82" i="92"/>
  <c r="F82" i="92"/>
  <c r="L81" i="92"/>
  <c r="K81" i="92"/>
  <c r="J81" i="92"/>
  <c r="I81" i="92"/>
  <c r="H81" i="92"/>
  <c r="G81" i="92"/>
  <c r="L77" i="92"/>
  <c r="K77" i="92"/>
  <c r="J77" i="92"/>
  <c r="I77" i="92"/>
  <c r="H77" i="92"/>
  <c r="G77" i="92"/>
  <c r="D77" i="92"/>
  <c r="A77" i="92"/>
  <c r="A78" i="92"/>
  <c r="A79" i="92"/>
  <c r="A80" i="92"/>
  <c r="L76" i="92"/>
  <c r="K76" i="92"/>
  <c r="J76" i="92"/>
  <c r="I76" i="92"/>
  <c r="H76" i="92"/>
  <c r="G76" i="92"/>
  <c r="F76" i="92"/>
  <c r="F75" i="92"/>
  <c r="F74" i="92"/>
  <c r="A93" i="93" s="1"/>
  <c r="F73" i="92"/>
  <c r="F72" i="92"/>
  <c r="F71" i="92"/>
  <c r="F70" i="92"/>
  <c r="L69" i="92"/>
  <c r="K69" i="92"/>
  <c r="J69" i="92"/>
  <c r="I69" i="92"/>
  <c r="H69" i="92"/>
  <c r="G69" i="92"/>
  <c r="L65" i="92"/>
  <c r="K65" i="92"/>
  <c r="J65" i="92"/>
  <c r="I65" i="92"/>
  <c r="H65" i="92"/>
  <c r="G65" i="92"/>
  <c r="D65" i="92"/>
  <c r="A65" i="92"/>
  <c r="A63" i="92"/>
  <c r="L64" i="92"/>
  <c r="K64" i="92"/>
  <c r="J64" i="92"/>
  <c r="I64" i="92"/>
  <c r="H64" i="92"/>
  <c r="G64" i="92"/>
  <c r="L63" i="92"/>
  <c r="K63" i="92"/>
  <c r="J63" i="92"/>
  <c r="I63" i="92"/>
  <c r="H63" i="92"/>
  <c r="G63" i="92"/>
  <c r="L59" i="92"/>
  <c r="K59" i="92"/>
  <c r="J59" i="92"/>
  <c r="I59" i="92"/>
  <c r="H59" i="92"/>
  <c r="G59" i="92"/>
  <c r="D59" i="92"/>
  <c r="A59" i="92"/>
  <c r="A58" i="92" s="1"/>
  <c r="F58" i="92"/>
  <c r="F57" i="92"/>
  <c r="L55" i="92"/>
  <c r="K55" i="92"/>
  <c r="J55" i="92"/>
  <c r="I55" i="92"/>
  <c r="H55" i="92"/>
  <c r="G55" i="92"/>
  <c r="L53" i="92"/>
  <c r="K53" i="92"/>
  <c r="J53" i="92"/>
  <c r="I53" i="92"/>
  <c r="H53" i="92"/>
  <c r="G53" i="92"/>
  <c r="A53" i="92"/>
  <c r="F52" i="92"/>
  <c r="L52" i="92"/>
  <c r="L51" i="92"/>
  <c r="K51" i="92"/>
  <c r="J51" i="92"/>
  <c r="I51" i="92"/>
  <c r="H51" i="92"/>
  <c r="G51" i="92"/>
  <c r="L49" i="92"/>
  <c r="K49" i="92"/>
  <c r="J49" i="92"/>
  <c r="I49" i="92"/>
  <c r="H49" i="92"/>
  <c r="G49" i="92"/>
  <c r="A48" i="92"/>
  <c r="L45" i="92"/>
  <c r="K45" i="92"/>
  <c r="J45" i="92"/>
  <c r="I45" i="92"/>
  <c r="H45" i="92"/>
  <c r="G45" i="92"/>
  <c r="A44" i="92"/>
  <c r="L39" i="92"/>
  <c r="K39" i="92"/>
  <c r="J39" i="92"/>
  <c r="I39" i="92"/>
  <c r="H39" i="92"/>
  <c r="G39" i="92"/>
  <c r="L37" i="92"/>
  <c r="K37" i="92"/>
  <c r="J37" i="92"/>
  <c r="I37" i="92"/>
  <c r="H37" i="92"/>
  <c r="G37" i="92"/>
  <c r="A36" i="92"/>
  <c r="L32" i="92"/>
  <c r="K32" i="92"/>
  <c r="J32" i="92"/>
  <c r="I32" i="92"/>
  <c r="H32" i="92"/>
  <c r="G32" i="92"/>
  <c r="L30" i="92"/>
  <c r="K30" i="92"/>
  <c r="J30" i="92"/>
  <c r="I30" i="92"/>
  <c r="H30" i="92"/>
  <c r="G30" i="92"/>
  <c r="A29" i="92"/>
  <c r="L25" i="92"/>
  <c r="K25" i="92"/>
  <c r="J25" i="92"/>
  <c r="J29" i="92" s="1"/>
  <c r="J21" i="92"/>
  <c r="I25" i="92"/>
  <c r="H25" i="92"/>
  <c r="G25" i="92"/>
  <c r="G29" i="92" s="1"/>
  <c r="L22" i="92"/>
  <c r="K22" i="92"/>
  <c r="J22" i="92"/>
  <c r="I22" i="92"/>
  <c r="H22" i="92"/>
  <c r="G22" i="92"/>
  <c r="L21" i="92"/>
  <c r="K21" i="92"/>
  <c r="I21" i="92"/>
  <c r="H21" i="92"/>
  <c r="G21" i="92"/>
  <c r="T155" i="92" s="1"/>
  <c r="D21" i="92"/>
  <c r="L20" i="92"/>
  <c r="K20" i="92"/>
  <c r="J20" i="92"/>
  <c r="I20" i="92"/>
  <c r="H20" i="92"/>
  <c r="G20" i="92"/>
  <c r="A20" i="92"/>
  <c r="A19" i="92"/>
  <c r="A17" i="92"/>
  <c r="A16" i="92"/>
  <c r="F14" i="92"/>
  <c r="A14" i="92"/>
  <c r="F13" i="92"/>
  <c r="A13" i="92"/>
  <c r="A12" i="92"/>
  <c r="F11" i="92"/>
  <c r="D6" i="92"/>
  <c r="L5" i="92"/>
  <c r="K5" i="92"/>
  <c r="J5" i="92"/>
  <c r="I5" i="92"/>
  <c r="H5" i="92"/>
  <c r="G5" i="92"/>
  <c r="AH59" i="95"/>
  <c r="AF59" i="95"/>
  <c r="AD59" i="95"/>
  <c r="AB59" i="95"/>
  <c r="Z59" i="95"/>
  <c r="X59" i="95"/>
  <c r="V59" i="95"/>
  <c r="T59" i="95"/>
  <c r="R59" i="95"/>
  <c r="P59" i="95"/>
  <c r="N59" i="95"/>
  <c r="L59" i="95"/>
  <c r="J59" i="95"/>
  <c r="H59" i="95"/>
  <c r="H55" i="95"/>
  <c r="F55" i="95"/>
  <c r="H54" i="95"/>
  <c r="F54" i="95"/>
  <c r="H53" i="95"/>
  <c r="F53" i="95"/>
  <c r="D50" i="95"/>
  <c r="AH45" i="95"/>
  <c r="AF45" i="95"/>
  <c r="AD45" i="95"/>
  <c r="AB45" i="95"/>
  <c r="Z45" i="95"/>
  <c r="X45" i="95"/>
  <c r="V45" i="95"/>
  <c r="T45" i="95"/>
  <c r="R45" i="95"/>
  <c r="P45" i="95"/>
  <c r="N45" i="95"/>
  <c r="L45" i="95"/>
  <c r="J45" i="95"/>
  <c r="H45" i="95"/>
  <c r="H41" i="95"/>
  <c r="J41" i="95"/>
  <c r="D40" i="95"/>
  <c r="A23" i="95"/>
  <c r="A24" i="95" s="1"/>
  <c r="H5" i="95"/>
  <c r="J5" i="95"/>
  <c r="H21" i="95"/>
  <c r="F21" i="95"/>
  <c r="H19" i="95"/>
  <c r="J19" i="95"/>
  <c r="L19" i="95"/>
  <c r="N19" i="95"/>
  <c r="P19" i="95"/>
  <c r="R19" i="95"/>
  <c r="T19" i="95"/>
  <c r="V19" i="95"/>
  <c r="X19" i="95"/>
  <c r="Z19" i="95"/>
  <c r="AB19" i="95"/>
  <c r="AD19" i="95"/>
  <c r="AF19" i="95"/>
  <c r="AH19" i="95"/>
  <c r="D18" i="95"/>
  <c r="D4" i="95"/>
  <c r="AI91" i="93"/>
  <c r="AI172" i="93"/>
  <c r="BE172" i="93" s="1"/>
  <c r="AJ91" i="93"/>
  <c r="AJ172" i="93"/>
  <c r="BF172" i="93" s="1"/>
  <c r="AH172" i="93"/>
  <c r="BD172" i="93" s="1"/>
  <c r="S94" i="93"/>
  <c r="S95" i="93"/>
  <c r="AH171" i="93"/>
  <c r="BD171" i="93" s="1"/>
  <c r="T168" i="93"/>
  <c r="T169" i="93"/>
  <c r="T170" i="93"/>
  <c r="T171" i="93"/>
  <c r="AH170" i="93"/>
  <c r="BD170" i="93" s="1"/>
  <c r="AH169" i="93"/>
  <c r="BD169" i="93" s="1"/>
  <c r="AH168" i="93"/>
  <c r="BD168" i="93" s="1"/>
  <c r="AI167" i="93"/>
  <c r="BE167" i="93" s="1"/>
  <c r="AH167" i="93"/>
  <c r="BD167" i="93" s="1"/>
  <c r="AI166" i="93"/>
  <c r="BE166" i="93" s="1"/>
  <c r="AH166" i="93"/>
  <c r="BD166" i="93" s="1"/>
  <c r="T163" i="93"/>
  <c r="T164" i="93"/>
  <c r="T165" i="93"/>
  <c r="T166" i="93"/>
  <c r="AI165" i="93"/>
  <c r="BE165" i="93" s="1"/>
  <c r="AH165" i="93"/>
  <c r="BD165" i="93" s="1"/>
  <c r="AJ164" i="93"/>
  <c r="BF164" i="93" s="1"/>
  <c r="AI164" i="93"/>
  <c r="BE164" i="93" s="1"/>
  <c r="AH164" i="93"/>
  <c r="BD164" i="93" s="1"/>
  <c r="AI163" i="93"/>
  <c r="BE163" i="93" s="1"/>
  <c r="AH163" i="93"/>
  <c r="BD163" i="93" s="1"/>
  <c r="AI162" i="93"/>
  <c r="BE162" i="93" s="1"/>
  <c r="AH162" i="93"/>
  <c r="BD162" i="93" s="1"/>
  <c r="AJ161" i="93"/>
  <c r="BF161" i="93" s="1"/>
  <c r="AI161" i="93"/>
  <c r="BE161" i="93" s="1"/>
  <c r="AH161" i="93"/>
  <c r="BD161" i="93" s="1"/>
  <c r="U158" i="93"/>
  <c r="U159" i="93"/>
  <c r="U160" i="93"/>
  <c r="U161" i="93"/>
  <c r="T158" i="93"/>
  <c r="T159" i="93"/>
  <c r="T160" i="93"/>
  <c r="T161" i="93"/>
  <c r="AJ160" i="93"/>
  <c r="BF160" i="93" s="1"/>
  <c r="AI160" i="93"/>
  <c r="BE160" i="93" s="1"/>
  <c r="AH160" i="93"/>
  <c r="BD160" i="93" s="1"/>
  <c r="AI159" i="93"/>
  <c r="BE159" i="93" s="1"/>
  <c r="AH159" i="93"/>
  <c r="BD159" i="93" s="1"/>
  <c r="AJ158" i="93"/>
  <c r="BF158" i="93" s="1"/>
  <c r="AI158" i="93"/>
  <c r="BE158" i="93" s="1"/>
  <c r="AH158" i="93"/>
  <c r="BD158" i="93" s="1"/>
  <c r="AI157" i="93"/>
  <c r="BE157" i="93" s="1"/>
  <c r="AH157" i="93"/>
  <c r="BD157" i="93" s="1"/>
  <c r="AI156" i="93"/>
  <c r="BE156" i="93" s="1"/>
  <c r="AH156" i="93"/>
  <c r="BD156" i="93" s="1"/>
  <c r="V153" i="93"/>
  <c r="V154" i="93"/>
  <c r="V155" i="93"/>
  <c r="V156" i="93"/>
  <c r="U153" i="93"/>
  <c r="U154" i="93"/>
  <c r="U155" i="93"/>
  <c r="U156" i="93"/>
  <c r="T153" i="93"/>
  <c r="T154" i="93"/>
  <c r="T155" i="93"/>
  <c r="T156" i="93"/>
  <c r="AJ155" i="93"/>
  <c r="BF155" i="93" s="1"/>
  <c r="AH155" i="93"/>
  <c r="BD155" i="93" s="1"/>
  <c r="AI155" i="93"/>
  <c r="BE155" i="93" s="1"/>
  <c r="AH154" i="93"/>
  <c r="BD154" i="93" s="1"/>
  <c r="AI154" i="93"/>
  <c r="BE154" i="93" s="1"/>
  <c r="AJ154" i="93"/>
  <c r="BF154" i="93" s="1"/>
  <c r="AJ153" i="93"/>
  <c r="BF153" i="93" s="1"/>
  <c r="AI153" i="93"/>
  <c r="BE153" i="93" s="1"/>
  <c r="AH153" i="93"/>
  <c r="BD153" i="93" s="1"/>
  <c r="AH152" i="93"/>
  <c r="BD152" i="93" s="1"/>
  <c r="AI152" i="93"/>
  <c r="BE152" i="93" s="1"/>
  <c r="AJ152" i="93"/>
  <c r="BF152" i="93" s="1"/>
  <c r="AH151" i="93"/>
  <c r="BD151" i="93" s="1"/>
  <c r="AJ151" i="93"/>
  <c r="BF151" i="93" s="1"/>
  <c r="V148" i="93"/>
  <c r="V149" i="93"/>
  <c r="V150" i="93"/>
  <c r="V151" i="93"/>
  <c r="U148" i="93"/>
  <c r="U149" i="93"/>
  <c r="U150" i="93"/>
  <c r="U151" i="93"/>
  <c r="T148" i="93"/>
  <c r="T149" i="93"/>
  <c r="T150" i="93"/>
  <c r="T151" i="93"/>
  <c r="AH150" i="93"/>
  <c r="BD150" i="93" s="1"/>
  <c r="AI150" i="93"/>
  <c r="BE150" i="93" s="1"/>
  <c r="AJ150" i="93"/>
  <c r="BF150" i="93" s="1"/>
  <c r="AH149" i="93"/>
  <c r="BD149" i="93" s="1"/>
  <c r="AI149" i="93"/>
  <c r="BE149" i="93" s="1"/>
  <c r="AJ149" i="93"/>
  <c r="BF149" i="93" s="1"/>
  <c r="AJ148" i="93"/>
  <c r="BF148" i="93" s="1"/>
  <c r="AI148" i="93"/>
  <c r="BE148" i="93" s="1"/>
  <c r="AH148" i="93"/>
  <c r="BD148" i="93" s="1"/>
  <c r="AJ147" i="93"/>
  <c r="BF147" i="93" s="1"/>
  <c r="AI147" i="93"/>
  <c r="BE147" i="93" s="1"/>
  <c r="AH147" i="93"/>
  <c r="BD147" i="93" s="1"/>
  <c r="AJ146" i="93"/>
  <c r="BF146" i="93" s="1"/>
  <c r="AI146" i="93"/>
  <c r="BE146" i="93" s="1"/>
  <c r="AH146" i="93"/>
  <c r="BD146" i="93" s="1"/>
  <c r="W143" i="93"/>
  <c r="W144" i="93"/>
  <c r="W145" i="93"/>
  <c r="W146" i="93"/>
  <c r="V143" i="93"/>
  <c r="V144" i="93"/>
  <c r="V145" i="93"/>
  <c r="V146" i="93"/>
  <c r="U143" i="93"/>
  <c r="U144" i="93"/>
  <c r="U145" i="93"/>
  <c r="U146" i="93"/>
  <c r="T143" i="93"/>
  <c r="T144" i="93"/>
  <c r="T145" i="93"/>
  <c r="T146" i="93"/>
  <c r="AJ145" i="93"/>
  <c r="BF145" i="93" s="1"/>
  <c r="AI145" i="93"/>
  <c r="BE145" i="93" s="1"/>
  <c r="AH145" i="93"/>
  <c r="BD145" i="93" s="1"/>
  <c r="AJ144" i="93"/>
  <c r="BF144" i="93" s="1"/>
  <c r="AI144" i="93"/>
  <c r="BE144" i="93" s="1"/>
  <c r="AH144" i="93"/>
  <c r="BD144" i="93" s="1"/>
  <c r="AH143" i="93"/>
  <c r="BD143" i="93" s="1"/>
  <c r="AI143" i="93"/>
  <c r="BE143" i="93" s="1"/>
  <c r="AJ143" i="93"/>
  <c r="BF143" i="93" s="1"/>
  <c r="AJ142" i="93"/>
  <c r="BF142" i="93" s="1"/>
  <c r="AI142" i="93"/>
  <c r="BE142" i="93" s="1"/>
  <c r="AH142" i="93"/>
  <c r="BD142" i="93" s="1"/>
  <c r="AJ141" i="93"/>
  <c r="BF141" i="93" s="1"/>
  <c r="AI141" i="93"/>
  <c r="BE141" i="93" s="1"/>
  <c r="AH141" i="93"/>
  <c r="BD141" i="93" s="1"/>
  <c r="X141" i="93"/>
  <c r="W141" i="93"/>
  <c r="V141" i="93"/>
  <c r="U141" i="93"/>
  <c r="T141" i="93"/>
  <c r="AH140" i="93"/>
  <c r="BD140" i="93" s="1"/>
  <c r="AI140" i="93"/>
  <c r="BE140" i="93" s="1"/>
  <c r="AJ140" i="93"/>
  <c r="BF140" i="93" s="1"/>
  <c r="AJ139" i="93"/>
  <c r="BF139" i="93" s="1"/>
  <c r="AI139" i="93"/>
  <c r="BE139" i="93" s="1"/>
  <c r="AH139" i="93"/>
  <c r="BD139" i="93" s="1"/>
  <c r="X139" i="93"/>
  <c r="W139" i="93"/>
  <c r="V139" i="93"/>
  <c r="U139" i="93"/>
  <c r="T139" i="93"/>
  <c r="AJ138" i="93"/>
  <c r="BF138" i="93" s="1"/>
  <c r="AI138" i="93"/>
  <c r="BE138" i="93" s="1"/>
  <c r="AH138" i="93"/>
  <c r="BD138" i="93" s="1"/>
  <c r="AJ137" i="93"/>
  <c r="BF137" i="93" s="1"/>
  <c r="AI137" i="93"/>
  <c r="BE137" i="93" s="1"/>
  <c r="AH137" i="93"/>
  <c r="BD137" i="93" s="1"/>
  <c r="X137" i="93"/>
  <c r="W137" i="93"/>
  <c r="V137" i="93"/>
  <c r="U137" i="93"/>
  <c r="T137" i="93"/>
  <c r="AH136" i="93"/>
  <c r="BD136" i="93" s="1"/>
  <c r="AI136" i="93"/>
  <c r="BE136" i="93" s="1"/>
  <c r="AJ136" i="93"/>
  <c r="BF136" i="93" s="1"/>
  <c r="AH135" i="93"/>
  <c r="BD135" i="93" s="1"/>
  <c r="AI135" i="93"/>
  <c r="BE135" i="93" s="1"/>
  <c r="AJ135" i="93"/>
  <c r="BF135" i="93" s="1"/>
  <c r="X135" i="93"/>
  <c r="W135" i="93"/>
  <c r="V135" i="93"/>
  <c r="U135" i="93"/>
  <c r="T135" i="93"/>
  <c r="AJ134" i="93"/>
  <c r="BF134" i="93" s="1"/>
  <c r="AI134" i="93"/>
  <c r="BE134" i="93" s="1"/>
  <c r="AH134" i="93"/>
  <c r="BD134" i="93" s="1"/>
  <c r="AJ133" i="93"/>
  <c r="BF133" i="93" s="1"/>
  <c r="AI133" i="93"/>
  <c r="BE133" i="93" s="1"/>
  <c r="AH133" i="93"/>
  <c r="BD133" i="93" s="1"/>
  <c r="Y133" i="93"/>
  <c r="X133" i="93"/>
  <c r="W133" i="93"/>
  <c r="V133" i="93"/>
  <c r="U133" i="93"/>
  <c r="T133" i="93"/>
  <c r="AJ132" i="93"/>
  <c r="BF132" i="93" s="1"/>
  <c r="AI132" i="93"/>
  <c r="BE132" i="93" s="1"/>
  <c r="AH132" i="93"/>
  <c r="BD132" i="93" s="1"/>
  <c r="AH131" i="93"/>
  <c r="BD131" i="93" s="1"/>
  <c r="AI131" i="93"/>
  <c r="BE131" i="93" s="1"/>
  <c r="AJ131" i="93"/>
  <c r="BF131" i="93" s="1"/>
  <c r="Y131" i="93"/>
  <c r="X131" i="93"/>
  <c r="W131" i="93"/>
  <c r="V131" i="93"/>
  <c r="U131" i="93"/>
  <c r="AH130" i="93"/>
  <c r="BD130" i="93" s="1"/>
  <c r="AI130" i="93"/>
  <c r="BE130" i="93" s="1"/>
  <c r="AJ130" i="93"/>
  <c r="BF130" i="93" s="1"/>
  <c r="AJ129" i="93"/>
  <c r="BF129" i="93" s="1"/>
  <c r="AI129" i="93"/>
  <c r="BE129" i="93" s="1"/>
  <c r="AH129" i="93"/>
  <c r="BD129" i="93" s="1"/>
  <c r="Z129" i="93"/>
  <c r="Y129" i="93"/>
  <c r="X129" i="93"/>
  <c r="W129" i="93"/>
  <c r="V129" i="93"/>
  <c r="U129" i="93"/>
  <c r="AH128" i="93"/>
  <c r="BD128" i="93" s="1"/>
  <c r="AI128" i="93"/>
  <c r="BE128" i="93" s="1"/>
  <c r="AJ128" i="93"/>
  <c r="BF128" i="93" s="1"/>
  <c r="AJ127" i="93"/>
  <c r="BF127" i="93" s="1"/>
  <c r="AI127" i="93"/>
  <c r="BE127" i="93" s="1"/>
  <c r="AH127" i="93"/>
  <c r="BD127" i="93" s="1"/>
  <c r="Z127" i="93"/>
  <c r="Y127" i="93"/>
  <c r="X127" i="93"/>
  <c r="W127" i="93"/>
  <c r="V127" i="93"/>
  <c r="U127" i="93"/>
  <c r="AJ126" i="93"/>
  <c r="BF126" i="93" s="1"/>
  <c r="AI126" i="93"/>
  <c r="BE126" i="93" s="1"/>
  <c r="AH126" i="93"/>
  <c r="BD126" i="93" s="1"/>
  <c r="AJ125" i="93"/>
  <c r="BF125" i="93" s="1"/>
  <c r="AI125" i="93"/>
  <c r="BE125" i="93" s="1"/>
  <c r="AH125" i="93"/>
  <c r="BD125" i="93" s="1"/>
  <c r="Z125" i="93"/>
  <c r="Y125" i="93"/>
  <c r="X125" i="93"/>
  <c r="W125" i="93"/>
  <c r="V125" i="93"/>
  <c r="U125" i="93"/>
  <c r="AH124" i="93"/>
  <c r="BD124" i="93" s="1"/>
  <c r="AI124" i="93"/>
  <c r="BE124" i="93" s="1"/>
  <c r="AJ124" i="93"/>
  <c r="BF124" i="93" s="1"/>
  <c r="AH123" i="93"/>
  <c r="BD123" i="93" s="1"/>
  <c r="AI123" i="93"/>
  <c r="BE123" i="93" s="1"/>
  <c r="AJ123" i="93"/>
  <c r="BF123" i="93" s="1"/>
  <c r="AA123" i="93"/>
  <c r="Z123" i="93"/>
  <c r="Y123" i="93"/>
  <c r="X123" i="93"/>
  <c r="W123" i="93"/>
  <c r="V123" i="93"/>
  <c r="U123" i="93"/>
  <c r="AH122" i="93"/>
  <c r="BD122" i="93" s="1"/>
  <c r="AI122" i="93"/>
  <c r="BE122" i="93" s="1"/>
  <c r="AJ122" i="93"/>
  <c r="BF122" i="93" s="1"/>
  <c r="AJ121" i="93"/>
  <c r="BF121" i="93" s="1"/>
  <c r="AI121" i="93"/>
  <c r="BE121" i="93" s="1"/>
  <c r="AH121" i="93"/>
  <c r="BD121" i="93" s="1"/>
  <c r="AJ120" i="93"/>
  <c r="BF120" i="93" s="1"/>
  <c r="AI120" i="93"/>
  <c r="BE120" i="93" s="1"/>
  <c r="AH120" i="93"/>
  <c r="BD120" i="93" s="1"/>
  <c r="AJ119" i="93"/>
  <c r="BF119" i="93" s="1"/>
  <c r="AH119" i="93"/>
  <c r="BD119" i="93" s="1"/>
  <c r="AI119" i="93"/>
  <c r="BE119" i="93" s="1"/>
  <c r="AJ118" i="93"/>
  <c r="BF118" i="93" s="1"/>
  <c r="AI118" i="93"/>
  <c r="BE118" i="93" s="1"/>
  <c r="AH118" i="93"/>
  <c r="BD118" i="93" s="1"/>
  <c r="AH117" i="93"/>
  <c r="BD117" i="93" s="1"/>
  <c r="AI117" i="93"/>
  <c r="BE117" i="93" s="1"/>
  <c r="AJ117" i="93"/>
  <c r="BF117" i="93" s="1"/>
  <c r="AJ116" i="93"/>
  <c r="BF116" i="93" s="1"/>
  <c r="AI116" i="93"/>
  <c r="BE116" i="93" s="1"/>
  <c r="AH116" i="93"/>
  <c r="BD116" i="93" s="1"/>
  <c r="AH115" i="93"/>
  <c r="BD115" i="93" s="1"/>
  <c r="AI115" i="93"/>
  <c r="BE115" i="93" s="1"/>
  <c r="AJ115" i="93"/>
  <c r="BF115" i="93" s="1"/>
  <c r="AH114" i="93"/>
  <c r="BD114" i="93" s="1"/>
  <c r="AI114" i="93"/>
  <c r="BE114" i="93" s="1"/>
  <c r="AJ114" i="93"/>
  <c r="BF114" i="93" s="1"/>
  <c r="AH113" i="93"/>
  <c r="BD113" i="93" s="1"/>
  <c r="AI113" i="93"/>
  <c r="BE113" i="93" s="1"/>
  <c r="AJ113" i="93"/>
  <c r="BF113" i="93" s="1"/>
  <c r="AH112" i="93"/>
  <c r="BD112" i="93" s="1"/>
  <c r="AI112" i="93"/>
  <c r="BE112" i="93" s="1"/>
  <c r="AJ112" i="93"/>
  <c r="BF112" i="93" s="1"/>
  <c r="AJ111" i="93"/>
  <c r="BF111" i="93" s="1"/>
  <c r="AI111" i="93"/>
  <c r="BE111" i="93" s="1"/>
  <c r="AH111" i="93"/>
  <c r="BD111" i="93" s="1"/>
  <c r="AJ110" i="93"/>
  <c r="BF110" i="93" s="1"/>
  <c r="AI110" i="93"/>
  <c r="BE110" i="93" s="1"/>
  <c r="AH110" i="93"/>
  <c r="BD110" i="93" s="1"/>
  <c r="AJ109" i="93"/>
  <c r="BF109" i="93" s="1"/>
  <c r="AH109" i="93"/>
  <c r="BD109" i="93" s="1"/>
  <c r="AI109" i="93"/>
  <c r="BE109" i="93" s="1"/>
  <c r="AH108" i="93"/>
  <c r="BD108" i="93" s="1"/>
  <c r="AI108" i="93"/>
  <c r="BE108" i="93" s="1"/>
  <c r="AJ108" i="93"/>
  <c r="BF108" i="93" s="1"/>
  <c r="AJ107" i="93"/>
  <c r="BF107" i="93" s="1"/>
  <c r="AI107" i="93"/>
  <c r="BE107" i="93" s="1"/>
  <c r="AH107" i="93"/>
  <c r="BD107" i="93" s="1"/>
  <c r="AH106" i="93"/>
  <c r="BD106" i="93" s="1"/>
  <c r="AI106" i="93"/>
  <c r="BE106" i="93" s="1"/>
  <c r="AJ106" i="93"/>
  <c r="BF106" i="93" s="1"/>
  <c r="AJ105" i="93"/>
  <c r="BF105" i="93" s="1"/>
  <c r="AI105" i="93"/>
  <c r="BE105" i="93" s="1"/>
  <c r="AH105" i="93"/>
  <c r="BD105" i="93" s="1"/>
  <c r="AH104" i="93"/>
  <c r="BD104" i="93" s="1"/>
  <c r="AI104" i="93"/>
  <c r="BE104" i="93" s="1"/>
  <c r="AJ104" i="93"/>
  <c r="BF104" i="93" s="1"/>
  <c r="AH103" i="93"/>
  <c r="BD103" i="93" s="1"/>
  <c r="AI103" i="93"/>
  <c r="BE103" i="93" s="1"/>
  <c r="AJ103" i="93"/>
  <c r="BF103" i="93" s="1"/>
  <c r="AJ102" i="93"/>
  <c r="BF102" i="93" s="1"/>
  <c r="AI102" i="93"/>
  <c r="BE102" i="93" s="1"/>
  <c r="AH102" i="93"/>
  <c r="BD102" i="93" s="1"/>
  <c r="AH101" i="93"/>
  <c r="BD101" i="93" s="1"/>
  <c r="AI101" i="93"/>
  <c r="BE101" i="93" s="1"/>
  <c r="AJ101" i="93"/>
  <c r="BF101" i="93" s="1"/>
  <c r="AJ100" i="93"/>
  <c r="BF100" i="93" s="1"/>
  <c r="AI100" i="93"/>
  <c r="BE100" i="93" s="1"/>
  <c r="AH100" i="93"/>
  <c r="AJ99" i="93"/>
  <c r="BF99" i="93" s="1"/>
  <c r="AI99" i="93"/>
  <c r="BE99" i="93" s="1"/>
  <c r="AH99" i="93"/>
  <c r="BD99" i="93" s="1"/>
  <c r="AJ98" i="93"/>
  <c r="BF98" i="93" s="1"/>
  <c r="AI98" i="93"/>
  <c r="BE98" i="93" s="1"/>
  <c r="AH98" i="93"/>
  <c r="BD98" i="93" s="1"/>
  <c r="AJ97" i="93"/>
  <c r="BF97" i="93" s="1"/>
  <c r="AH97" i="93"/>
  <c r="BD97" i="93" s="1"/>
  <c r="AI97" i="93"/>
  <c r="BE97" i="93" s="1"/>
  <c r="AJ96" i="93"/>
  <c r="BF96" i="93" s="1"/>
  <c r="AH96" i="93"/>
  <c r="BD96" i="93" s="1"/>
  <c r="AI96" i="93"/>
  <c r="BE96" i="93" s="1"/>
  <c r="AH95" i="93"/>
  <c r="BD95" i="93" s="1"/>
  <c r="AI95" i="93"/>
  <c r="BE95" i="93" s="1"/>
  <c r="AJ95" i="93"/>
  <c r="AH94" i="93"/>
  <c r="BD94" i="93" s="1"/>
  <c r="AI94" i="93"/>
  <c r="BE94" i="93" s="1"/>
  <c r="AJ94" i="93"/>
  <c r="BF94" i="93" s="1"/>
  <c r="A94" i="93"/>
  <c r="AH93" i="93"/>
  <c r="BD93" i="93" s="1"/>
  <c r="AI93" i="93"/>
  <c r="BE93" i="93" s="1"/>
  <c r="AJ93" i="93"/>
  <c r="BF93" i="93" s="1"/>
  <c r="AH92" i="93"/>
  <c r="BD92" i="93" s="1"/>
  <c r="AI92" i="93"/>
  <c r="BE92" i="93" s="1"/>
  <c r="AJ92" i="93"/>
  <c r="BF92" i="93" s="1"/>
  <c r="AU91" i="93"/>
  <c r="BF91" i="93"/>
  <c r="AT91" i="93"/>
  <c r="BE91" i="93"/>
  <c r="AS91" i="93"/>
  <c r="BD91" i="93"/>
  <c r="AR91" i="93"/>
  <c r="R89" i="93"/>
  <c r="AC87" i="93"/>
  <c r="AB87" i="93"/>
  <c r="AA87" i="93"/>
  <c r="Z87" i="93"/>
  <c r="Y87" i="93"/>
  <c r="X87" i="93"/>
  <c r="W87" i="93"/>
  <c r="V87" i="93"/>
  <c r="U87" i="93"/>
  <c r="T87" i="93"/>
  <c r="I85" i="93"/>
  <c r="F85" i="93"/>
  <c r="D72" i="93"/>
  <c r="D73" i="93"/>
  <c r="I84" i="93"/>
  <c r="F84" i="93"/>
  <c r="I83" i="93"/>
  <c r="F83" i="93"/>
  <c r="I82" i="93"/>
  <c r="F82" i="93"/>
  <c r="I81" i="93"/>
  <c r="F81" i="93"/>
  <c r="I80" i="93"/>
  <c r="F80" i="93"/>
  <c r="I79" i="93"/>
  <c r="F79" i="93"/>
  <c r="I78" i="93"/>
  <c r="F78" i="93"/>
  <c r="I77" i="93"/>
  <c r="F77" i="93"/>
  <c r="I76" i="93"/>
  <c r="F76" i="93"/>
  <c r="I75" i="93"/>
  <c r="F75" i="93"/>
  <c r="I74" i="93"/>
  <c r="F74" i="93"/>
  <c r="I73" i="93"/>
  <c r="F73" i="93"/>
  <c r="I72" i="93"/>
  <c r="F72" i="93"/>
  <c r="F71" i="93"/>
  <c r="E71" i="93"/>
  <c r="D67" i="93"/>
  <c r="D50" i="93"/>
  <c r="D51" i="93"/>
  <c r="G63" i="93"/>
  <c r="G61" i="93"/>
  <c r="G60" i="93"/>
  <c r="G58" i="93"/>
  <c r="G57" i="93"/>
  <c r="I49" i="93"/>
  <c r="F49" i="93"/>
  <c r="D46" i="93"/>
  <c r="D29" i="93"/>
  <c r="D30" i="93"/>
  <c r="F28" i="93"/>
  <c r="D25" i="93"/>
  <c r="H21" i="93"/>
  <c r="D8" i="93"/>
  <c r="D9" i="93"/>
  <c r="H20" i="93"/>
  <c r="H19" i="93"/>
  <c r="G19" i="93"/>
  <c r="H18" i="93"/>
  <c r="H17" i="93"/>
  <c r="H16" i="93"/>
  <c r="H15" i="93"/>
  <c r="H14" i="93"/>
  <c r="H13" i="93"/>
  <c r="H12" i="93"/>
  <c r="H11" i="93"/>
  <c r="H10" i="93"/>
  <c r="H9" i="93"/>
  <c r="H8" i="93"/>
  <c r="F7" i="93"/>
  <c r="D4" i="93"/>
  <c r="P188" i="57"/>
  <c r="P189" i="57" s="1"/>
  <c r="P190" i="57" s="1"/>
  <c r="P191" i="57" s="1"/>
  <c r="V185" i="57"/>
  <c r="Q185" i="57"/>
  <c r="P185" i="57"/>
  <c r="A185" i="57"/>
  <c r="V180" i="57"/>
  <c r="Q180" i="57"/>
  <c r="P180" i="57"/>
  <c r="V178" i="57"/>
  <c r="Q178" i="57"/>
  <c r="P178" i="57"/>
  <c r="V174" i="57"/>
  <c r="Q174" i="57"/>
  <c r="P174" i="57"/>
  <c r="V172" i="57"/>
  <c r="Q172" i="57"/>
  <c r="P172" i="57"/>
  <c r="A169" i="57"/>
  <c r="V168" i="57"/>
  <c r="A168" i="57"/>
  <c r="V167" i="57"/>
  <c r="V165" i="57"/>
  <c r="V163" i="57"/>
  <c r="P156" i="57"/>
  <c r="P155" i="57"/>
  <c r="P154" i="57"/>
  <c r="P153" i="57"/>
  <c r="A147" i="57"/>
  <c r="A146" i="57"/>
  <c r="A144" i="57"/>
  <c r="I140" i="57"/>
  <c r="H140" i="57"/>
  <c r="E189" i="10" s="1"/>
  <c r="G140" i="57"/>
  <c r="D189" i="10" s="1"/>
  <c r="A140" i="57"/>
  <c r="A138" i="57" s="1"/>
  <c r="I138" i="57"/>
  <c r="H138" i="57"/>
  <c r="G138" i="57"/>
  <c r="I134" i="57"/>
  <c r="H134" i="57"/>
  <c r="E188" i="10" s="1"/>
  <c r="G134" i="57"/>
  <c r="D188" i="10" s="1"/>
  <c r="A134" i="57"/>
  <c r="A132" i="57" s="1"/>
  <c r="I132" i="57"/>
  <c r="H132" i="57"/>
  <c r="G132" i="57"/>
  <c r="I128" i="57"/>
  <c r="H128" i="57"/>
  <c r="E187" i="10" s="1"/>
  <c r="G128" i="57"/>
  <c r="D187" i="10" s="1"/>
  <c r="A128" i="57"/>
  <c r="A127" i="57" s="1"/>
  <c r="I126" i="57"/>
  <c r="H126" i="57"/>
  <c r="G126" i="57"/>
  <c r="A122" i="57"/>
  <c r="A120" i="57" s="1"/>
  <c r="I116" i="57"/>
  <c r="H116" i="57"/>
  <c r="E185" i="10" s="1"/>
  <c r="G116" i="57"/>
  <c r="D185" i="10" s="1"/>
  <c r="A116" i="57"/>
  <c r="A117" i="57" s="1"/>
  <c r="A118" i="57" s="1"/>
  <c r="A119" i="57" s="1"/>
  <c r="F115" i="57"/>
  <c r="I114" i="57"/>
  <c r="H114" i="57"/>
  <c r="G114" i="57"/>
  <c r="I110" i="57"/>
  <c r="H110" i="57"/>
  <c r="E184" i="10" s="1"/>
  <c r="G110" i="57"/>
  <c r="D184" i="10" s="1"/>
  <c r="A110" i="57"/>
  <c r="A108" i="57" s="1"/>
  <c r="I108" i="57"/>
  <c r="H108" i="57"/>
  <c r="G108" i="57"/>
  <c r="I104" i="57"/>
  <c r="H104" i="57"/>
  <c r="E181" i="10" s="1"/>
  <c r="G104" i="57"/>
  <c r="D181" i="10" s="1"/>
  <c r="A104" i="57"/>
  <c r="A102" i="57" s="1"/>
  <c r="F103" i="57"/>
  <c r="I102" i="57"/>
  <c r="H102" i="57"/>
  <c r="G102" i="57"/>
  <c r="A98" i="57"/>
  <c r="A96" i="57" s="1"/>
  <c r="F97" i="57"/>
  <c r="I92" i="57"/>
  <c r="H92" i="57"/>
  <c r="E176" i="10" s="1"/>
  <c r="G92" i="57"/>
  <c r="D176" i="10" s="1"/>
  <c r="A92" i="57"/>
  <c r="A91" i="57" s="1"/>
  <c r="I90" i="57"/>
  <c r="H90" i="57"/>
  <c r="G90" i="57"/>
  <c r="A86" i="57"/>
  <c r="A85" i="57" s="1"/>
  <c r="I82" i="57"/>
  <c r="H82" i="57"/>
  <c r="E194" i="10" s="1"/>
  <c r="G82" i="57"/>
  <c r="D194" i="10" s="1"/>
  <c r="F82" i="57"/>
  <c r="A77" i="57"/>
  <c r="A78" i="57" s="1"/>
  <c r="A79" i="57" s="1"/>
  <c r="A80" i="57" s="1"/>
  <c r="F76" i="57"/>
  <c r="F75" i="57"/>
  <c r="F74" i="57"/>
  <c r="F72" i="57"/>
  <c r="F71" i="57"/>
  <c r="E191" i="10"/>
  <c r="F52" i="80"/>
  <c r="I65" i="57"/>
  <c r="H65" i="57"/>
  <c r="E162" i="10" s="1"/>
  <c r="G65" i="57"/>
  <c r="D162" i="10" s="1"/>
  <c r="A65" i="57"/>
  <c r="A66" i="57" s="1"/>
  <c r="A67" i="57" s="1"/>
  <c r="A68" i="57" s="1"/>
  <c r="I64" i="57"/>
  <c r="I152" i="57" s="1"/>
  <c r="I109" i="57" s="1"/>
  <c r="H64" i="57"/>
  <c r="H152" i="57" s="1"/>
  <c r="H109" i="57" s="1"/>
  <c r="G64" i="57"/>
  <c r="G152" i="57" s="1"/>
  <c r="G109" i="57" s="1"/>
  <c r="F92" i="60" s="1"/>
  <c r="I63" i="57"/>
  <c r="H63" i="57"/>
  <c r="G63" i="57"/>
  <c r="I59" i="57"/>
  <c r="H59" i="57"/>
  <c r="E161" i="10" s="1"/>
  <c r="G59" i="57"/>
  <c r="D161" i="10" s="1"/>
  <c r="A59" i="57"/>
  <c r="A58" i="57" s="1"/>
  <c r="I55" i="57"/>
  <c r="H55" i="57"/>
  <c r="G55" i="57"/>
  <c r="I53" i="57"/>
  <c r="H53" i="57"/>
  <c r="G53" i="57"/>
  <c r="A53" i="57"/>
  <c r="F52" i="57"/>
  <c r="J52" i="57" s="1"/>
  <c r="J54" i="57" s="1"/>
  <c r="J147" i="57" s="1"/>
  <c r="I51" i="57"/>
  <c r="H51" i="57"/>
  <c r="G51" i="57"/>
  <c r="I49" i="57"/>
  <c r="H49" i="57"/>
  <c r="G49" i="57"/>
  <c r="A48" i="57"/>
  <c r="I45" i="57"/>
  <c r="H45" i="57"/>
  <c r="G45" i="57"/>
  <c r="A44" i="57"/>
  <c r="I39" i="57"/>
  <c r="H39" i="57"/>
  <c r="G39" i="57"/>
  <c r="D154" i="10" s="1"/>
  <c r="I37" i="57"/>
  <c r="H37" i="57"/>
  <c r="G37" i="57"/>
  <c r="A36" i="57"/>
  <c r="I32" i="57"/>
  <c r="H32" i="57"/>
  <c r="E153" i="10" s="1"/>
  <c r="G32" i="57"/>
  <c r="D153" i="10" s="1"/>
  <c r="I30" i="57"/>
  <c r="H30" i="57"/>
  <c r="G30" i="57"/>
  <c r="A29" i="57"/>
  <c r="I25" i="57"/>
  <c r="H25" i="57"/>
  <c r="E152" i="10" s="1"/>
  <c r="G25" i="57"/>
  <c r="D152" i="10" s="1"/>
  <c r="I22" i="57"/>
  <c r="H22" i="57"/>
  <c r="G22" i="57"/>
  <c r="I21" i="57"/>
  <c r="H21" i="57"/>
  <c r="G21" i="57"/>
  <c r="I20" i="57"/>
  <c r="H20" i="57"/>
  <c r="G20" i="57"/>
  <c r="A20" i="57"/>
  <c r="A19" i="57"/>
  <c r="A17" i="57"/>
  <c r="A16" i="57"/>
  <c r="F14" i="57"/>
  <c r="A14" i="57"/>
  <c r="F13" i="57"/>
  <c r="A13" i="57"/>
  <c r="A12" i="57"/>
  <c r="I5" i="57"/>
  <c r="H5" i="57"/>
  <c r="G5" i="57"/>
  <c r="AH59" i="80"/>
  <c r="AF59" i="80"/>
  <c r="AD59" i="80"/>
  <c r="AB59" i="80"/>
  <c r="Z59" i="80"/>
  <c r="X59" i="80"/>
  <c r="V59" i="80"/>
  <c r="T59" i="80"/>
  <c r="R59" i="80"/>
  <c r="P59" i="80"/>
  <c r="N59" i="80"/>
  <c r="L59" i="80"/>
  <c r="J59" i="80"/>
  <c r="H59" i="80"/>
  <c r="AH57" i="80"/>
  <c r="AF57" i="80"/>
  <c r="AD57" i="80"/>
  <c r="AB57" i="80"/>
  <c r="Z57" i="80"/>
  <c r="X57" i="80"/>
  <c r="V57" i="80"/>
  <c r="T57" i="80"/>
  <c r="R57" i="80"/>
  <c r="P57" i="80"/>
  <c r="N57" i="80"/>
  <c r="L57" i="80"/>
  <c r="J57" i="80"/>
  <c r="H57" i="80"/>
  <c r="F57" i="80"/>
  <c r="H53" i="80"/>
  <c r="F53" i="80"/>
  <c r="AH45" i="80"/>
  <c r="AF45" i="80"/>
  <c r="AD45" i="80"/>
  <c r="AB45" i="80"/>
  <c r="Z45" i="80"/>
  <c r="X45" i="80"/>
  <c r="V45" i="80"/>
  <c r="T45" i="80"/>
  <c r="R45" i="80"/>
  <c r="P45" i="80"/>
  <c r="N45" i="80"/>
  <c r="L45" i="80"/>
  <c r="J45" i="80"/>
  <c r="H45" i="80"/>
  <c r="H41" i="80"/>
  <c r="J41" i="80"/>
  <c r="A23" i="80"/>
  <c r="A24" i="80" s="1"/>
  <c r="H5" i="80"/>
  <c r="J5" i="80"/>
  <c r="J21" i="80" s="1"/>
  <c r="F21" i="80"/>
  <c r="H19" i="80"/>
  <c r="J19" i="80" s="1"/>
  <c r="L19" i="80" s="1"/>
  <c r="N19" i="80" s="1"/>
  <c r="P19" i="80" s="1"/>
  <c r="R19" i="80" s="1"/>
  <c r="T19" i="80" s="1"/>
  <c r="V19" i="80" s="1"/>
  <c r="X19" i="80" s="1"/>
  <c r="Z19" i="80" s="1"/>
  <c r="AB19" i="80" s="1"/>
  <c r="AD19" i="80" s="1"/>
  <c r="AF19" i="80" s="1"/>
  <c r="AH19" i="80" s="1"/>
  <c r="F8" i="80"/>
  <c r="F9" i="80" s="1"/>
  <c r="F11" i="80" s="1"/>
  <c r="F13" i="80" s="1"/>
  <c r="W211" i="60"/>
  <c r="W212" i="60" s="1"/>
  <c r="W213" i="60" s="1"/>
  <c r="W214" i="60" s="1"/>
  <c r="W206" i="60"/>
  <c r="W207" i="60" s="1"/>
  <c r="W208" i="60" s="1"/>
  <c r="W209" i="60" s="1"/>
  <c r="X201" i="60"/>
  <c r="X202" i="60" s="1"/>
  <c r="X203" i="60" s="1"/>
  <c r="X204" i="60" s="1"/>
  <c r="W201" i="60"/>
  <c r="W202" i="60"/>
  <c r="W203" i="60" s="1"/>
  <c r="W204" i="60" s="1"/>
  <c r="Y196" i="60"/>
  <c r="Y197" i="60" s="1"/>
  <c r="Y198" i="60" s="1"/>
  <c r="Y199" i="60" s="1"/>
  <c r="X196" i="60"/>
  <c r="X197" i="60" s="1"/>
  <c r="X198" i="60" s="1"/>
  <c r="X199" i="60" s="1"/>
  <c r="W196" i="60"/>
  <c r="W197" i="60" s="1"/>
  <c r="W198" i="60" s="1"/>
  <c r="W199" i="60" s="1"/>
  <c r="Y191" i="60"/>
  <c r="Y192" i="60"/>
  <c r="Y193" i="60" s="1"/>
  <c r="Y194" i="60" s="1"/>
  <c r="X191" i="60"/>
  <c r="X192" i="60" s="1"/>
  <c r="X193" i="60" s="1"/>
  <c r="X194" i="60" s="1"/>
  <c r="W191" i="60"/>
  <c r="W192" i="60" s="1"/>
  <c r="W193" i="60" s="1"/>
  <c r="W194" i="60" s="1"/>
  <c r="Z186" i="60"/>
  <c r="Z187" i="60" s="1"/>
  <c r="Z188" i="60" s="1"/>
  <c r="Z189" i="60" s="1"/>
  <c r="Y186" i="60"/>
  <c r="Y187" i="60" s="1"/>
  <c r="Y188" i="60" s="1"/>
  <c r="Y189" i="60" s="1"/>
  <c r="X186" i="60"/>
  <c r="X187" i="60" s="1"/>
  <c r="X188" i="60" s="1"/>
  <c r="X189" i="60" s="1"/>
  <c r="W186" i="60"/>
  <c r="W187" i="60" s="1"/>
  <c r="W188" i="60" s="1"/>
  <c r="W189" i="60" s="1"/>
  <c r="AA184" i="60"/>
  <c r="Z184" i="60"/>
  <c r="Y184" i="60"/>
  <c r="X184" i="60"/>
  <c r="W184" i="60"/>
  <c r="AA182" i="60"/>
  <c r="Z182" i="60"/>
  <c r="Y182" i="60"/>
  <c r="X182" i="60"/>
  <c r="W182" i="60"/>
  <c r="AA180" i="60"/>
  <c r="Z180" i="60"/>
  <c r="Y180" i="60"/>
  <c r="X180" i="60"/>
  <c r="W180" i="60"/>
  <c r="AA178" i="60"/>
  <c r="Z178" i="60"/>
  <c r="Y178" i="60"/>
  <c r="X178" i="60"/>
  <c r="W178" i="60"/>
  <c r="AB176" i="60"/>
  <c r="AA176" i="60"/>
  <c r="Z176" i="60"/>
  <c r="Y176" i="60"/>
  <c r="X176" i="60"/>
  <c r="W176" i="60"/>
  <c r="AB174" i="60"/>
  <c r="AA174" i="60"/>
  <c r="Z174" i="60"/>
  <c r="Y174" i="60"/>
  <c r="X174" i="60"/>
  <c r="AC172" i="60"/>
  <c r="AB172" i="60"/>
  <c r="AA172" i="60"/>
  <c r="Z172" i="60"/>
  <c r="Y172" i="60"/>
  <c r="X172" i="60"/>
  <c r="AC170" i="60"/>
  <c r="AB170" i="60"/>
  <c r="AA170" i="60"/>
  <c r="Z170" i="60"/>
  <c r="Y170" i="60"/>
  <c r="X170" i="60"/>
  <c r="AC168" i="60"/>
  <c r="AB168" i="60"/>
  <c r="AA168" i="60"/>
  <c r="Z168" i="60"/>
  <c r="Y168" i="60"/>
  <c r="X168" i="60"/>
  <c r="AD166" i="60"/>
  <c r="AC166" i="60"/>
  <c r="AB166" i="60"/>
  <c r="AA166" i="60"/>
  <c r="Z166" i="60"/>
  <c r="Y166" i="60"/>
  <c r="X166" i="60"/>
  <c r="AK137" i="60"/>
  <c r="BG137" i="60" s="1"/>
  <c r="V137" i="60"/>
  <c r="AJ137" i="60" s="1"/>
  <c r="BF137" i="60" s="1"/>
  <c r="AK136" i="60"/>
  <c r="BG136" i="60" s="1"/>
  <c r="AJ136" i="60"/>
  <c r="BF136" i="60" s="1"/>
  <c r="A136" i="60"/>
  <c r="AK135" i="60"/>
  <c r="BG135" i="60" s="1"/>
  <c r="AJ135" i="60"/>
  <c r="AU135" i="60" s="1"/>
  <c r="A135" i="60"/>
  <c r="AV134" i="60"/>
  <c r="BG134" i="60"/>
  <c r="AU134" i="60"/>
  <c r="AL134" i="60"/>
  <c r="J128" i="60"/>
  <c r="F128" i="60"/>
  <c r="J127" i="60"/>
  <c r="F127" i="60"/>
  <c r="J126" i="60"/>
  <c r="F126" i="60"/>
  <c r="J125" i="60"/>
  <c r="F125" i="60"/>
  <c r="J124" i="60"/>
  <c r="F124" i="60"/>
  <c r="J123" i="60"/>
  <c r="F123" i="60"/>
  <c r="J122" i="60"/>
  <c r="F122" i="60"/>
  <c r="J121" i="60"/>
  <c r="F121" i="60"/>
  <c r="J120" i="60"/>
  <c r="F120" i="60"/>
  <c r="J119" i="60"/>
  <c r="F119" i="60"/>
  <c r="J118" i="60"/>
  <c r="F118" i="60"/>
  <c r="J117" i="60"/>
  <c r="F117" i="60"/>
  <c r="J116" i="60"/>
  <c r="F116" i="60"/>
  <c r="J115" i="60"/>
  <c r="F115" i="60"/>
  <c r="D115" i="60"/>
  <c r="E115" i="60" s="1"/>
  <c r="G115" i="60" s="1"/>
  <c r="F114" i="60"/>
  <c r="E114" i="60"/>
  <c r="G106" i="60"/>
  <c r="G105" i="60"/>
  <c r="G104" i="60"/>
  <c r="G103" i="60"/>
  <c r="G102" i="60"/>
  <c r="G101" i="60"/>
  <c r="G100" i="60"/>
  <c r="G99" i="60"/>
  <c r="G98" i="60"/>
  <c r="G97" i="60"/>
  <c r="G96" i="60"/>
  <c r="G95" i="60"/>
  <c r="G94" i="60"/>
  <c r="G93" i="60"/>
  <c r="D93" i="60"/>
  <c r="D94" i="60" s="1"/>
  <c r="D95" i="60" s="1"/>
  <c r="G92" i="60"/>
  <c r="G85" i="60"/>
  <c r="G84" i="60"/>
  <c r="G83" i="60"/>
  <c r="G82" i="60"/>
  <c r="G81" i="60"/>
  <c r="G80" i="60"/>
  <c r="G79" i="60"/>
  <c r="G78" i="60"/>
  <c r="G77" i="60"/>
  <c r="G76" i="60"/>
  <c r="G75" i="60"/>
  <c r="G74" i="60"/>
  <c r="G73" i="60"/>
  <c r="G72" i="60"/>
  <c r="D72" i="60"/>
  <c r="F72" i="60" s="1"/>
  <c r="D73" i="60"/>
  <c r="D74" i="60" s="1"/>
  <c r="G71" i="60"/>
  <c r="F71" i="60"/>
  <c r="I64" i="60"/>
  <c r="G64" i="60"/>
  <c r="I63" i="60"/>
  <c r="G63" i="60"/>
  <c r="I62" i="60"/>
  <c r="G62" i="60"/>
  <c r="I61" i="60"/>
  <c r="G61" i="60"/>
  <c r="I60" i="60"/>
  <c r="G60" i="60"/>
  <c r="I59" i="60"/>
  <c r="G59" i="60"/>
  <c r="I58" i="60"/>
  <c r="G58" i="60"/>
  <c r="I57" i="60"/>
  <c r="G57" i="60"/>
  <c r="I56" i="60"/>
  <c r="G56" i="60"/>
  <c r="I55" i="60"/>
  <c r="G55" i="60"/>
  <c r="I54" i="60"/>
  <c r="G54" i="60"/>
  <c r="I53" i="60"/>
  <c r="G53" i="60"/>
  <c r="I52" i="60"/>
  <c r="G52" i="60"/>
  <c r="I51" i="60"/>
  <c r="G51" i="60"/>
  <c r="D51" i="60"/>
  <c r="G50" i="60"/>
  <c r="F50" i="60"/>
  <c r="F43" i="60"/>
  <c r="X43" i="60" s="1"/>
  <c r="F42" i="60"/>
  <c r="X42" i="60" s="1"/>
  <c r="F41" i="60"/>
  <c r="X41" i="60" s="1"/>
  <c r="AI41" i="60" s="1"/>
  <c r="F40" i="60"/>
  <c r="X40" i="60" s="1"/>
  <c r="AI40" i="60" s="1"/>
  <c r="F39" i="60"/>
  <c r="X39" i="60" s="1"/>
  <c r="AT39" i="60" s="1"/>
  <c r="F38" i="60"/>
  <c r="X38" i="60" s="1"/>
  <c r="AI38" i="60" s="1"/>
  <c r="F37" i="60"/>
  <c r="X37" i="60" s="1"/>
  <c r="AT37" i="60" s="1"/>
  <c r="F36" i="60"/>
  <c r="X36" i="60" s="1"/>
  <c r="AI36" i="60" s="1"/>
  <c r="F35" i="60"/>
  <c r="X35" i="60" s="1"/>
  <c r="AT35" i="60" s="1"/>
  <c r="F34" i="60"/>
  <c r="X34" i="60" s="1"/>
  <c r="AT34" i="60" s="1"/>
  <c r="F33" i="60"/>
  <c r="X33" i="60" s="1"/>
  <c r="AI33" i="60" s="1"/>
  <c r="F32" i="60"/>
  <c r="X32" i="60" s="1"/>
  <c r="AI32" i="60" s="1"/>
  <c r="F31" i="60"/>
  <c r="X31" i="60" s="1"/>
  <c r="AT31" i="60" s="1"/>
  <c r="F30" i="60"/>
  <c r="X30" i="60" s="1"/>
  <c r="F29" i="60"/>
  <c r="X29" i="60" s="1"/>
  <c r="AI29" i="60" s="1"/>
  <c r="F28" i="60"/>
  <c r="X28" i="60" s="1"/>
  <c r="AT28" i="60" s="1"/>
  <c r="F27" i="60"/>
  <c r="X27" i="60" s="1"/>
  <c r="AI27" i="60" s="1"/>
  <c r="F26" i="60"/>
  <c r="X26" i="60" s="1"/>
  <c r="AI26" i="60" s="1"/>
  <c r="F25" i="60"/>
  <c r="X25" i="60" s="1"/>
  <c r="F24" i="60"/>
  <c r="X24" i="60" s="1"/>
  <c r="F23" i="60"/>
  <c r="X23" i="60" s="1"/>
  <c r="F22" i="60"/>
  <c r="X22" i="60" s="1"/>
  <c r="F21" i="60"/>
  <c r="X21" i="60" s="1"/>
  <c r="AT21" i="60" s="1"/>
  <c r="F20" i="60"/>
  <c r="X20" i="60" s="1"/>
  <c r="AT20" i="60" s="1"/>
  <c r="F19" i="60"/>
  <c r="X19" i="60" s="1"/>
  <c r="AT19" i="60" s="1"/>
  <c r="F18" i="60"/>
  <c r="X18" i="60" s="1"/>
  <c r="F17" i="60"/>
  <c r="X17" i="60" s="1"/>
  <c r="F16" i="60"/>
  <c r="X16" i="60" s="1"/>
  <c r="AI16" i="60" s="1"/>
  <c r="F15" i="60"/>
  <c r="X15" i="60" s="1"/>
  <c r="F14" i="60"/>
  <c r="X14" i="60" s="1"/>
  <c r="F13" i="60"/>
  <c r="X13" i="60" s="1"/>
  <c r="AT13" i="60" s="1"/>
  <c r="F12" i="60"/>
  <c r="U12" i="60" s="1"/>
  <c r="U17" i="60" s="1"/>
  <c r="U22" i="60" s="1"/>
  <c r="F11" i="60"/>
  <c r="Y11" i="60" s="1"/>
  <c r="AU11" i="60" s="1"/>
  <c r="F10" i="60"/>
  <c r="X10" i="60" s="1"/>
  <c r="F9" i="60"/>
  <c r="X9" i="60" s="1"/>
  <c r="AU8" i="60"/>
  <c r="AK8" i="60"/>
  <c r="AL8" i="60" s="1"/>
  <c r="AM8" i="60" s="1"/>
  <c r="AN8" i="60" s="1"/>
  <c r="AO8" i="60" s="1"/>
  <c r="AP8" i="60" s="1"/>
  <c r="AQ8" i="60" s="1"/>
  <c r="AR8" i="60" s="1"/>
  <c r="AS8" i="60" s="1"/>
  <c r="Z8" i="60"/>
  <c r="L8" i="60"/>
  <c r="F7" i="60"/>
  <c r="L3" i="60"/>
  <c r="A204" i="56"/>
  <c r="A203" i="56"/>
  <c r="A196" i="56"/>
  <c r="A195" i="56"/>
  <c r="A194" i="56"/>
  <c r="AG190" i="56"/>
  <c r="AF190" i="56"/>
  <c r="AE190" i="56"/>
  <c r="AD190" i="56"/>
  <c r="AC190" i="56"/>
  <c r="AB190" i="56"/>
  <c r="AG189" i="56"/>
  <c r="AF189" i="56"/>
  <c r="AE189" i="56"/>
  <c r="AD189" i="56"/>
  <c r="AC189" i="56"/>
  <c r="AB189" i="56"/>
  <c r="A180" i="56"/>
  <c r="A179" i="56"/>
  <c r="A178" i="56"/>
  <c r="AG177" i="56"/>
  <c r="AG179" i="56" s="1"/>
  <c r="AF177" i="56"/>
  <c r="AF179" i="56" s="1"/>
  <c r="AE177" i="56"/>
  <c r="AE178" i="56" s="1"/>
  <c r="AE180" i="56" s="1"/>
  <c r="AD177" i="56"/>
  <c r="AD178" i="56" s="1"/>
  <c r="AD180" i="56" s="1"/>
  <c r="AC177" i="56"/>
  <c r="AC178" i="56" s="1"/>
  <c r="AC180" i="56" s="1"/>
  <c r="AB177" i="56"/>
  <c r="AB178" i="56" s="1"/>
  <c r="AB180" i="56" s="1"/>
  <c r="A177" i="56"/>
  <c r="A176" i="56"/>
  <c r="A175" i="56"/>
  <c r="A174" i="56"/>
  <c r="AG171" i="56"/>
  <c r="AF171" i="56"/>
  <c r="AE171" i="56"/>
  <c r="AD171" i="56"/>
  <c r="AC171" i="56"/>
  <c r="H43" i="96" s="1"/>
  <c r="AB171" i="56"/>
  <c r="F43" i="96" s="1"/>
  <c r="A171" i="56"/>
  <c r="A165" i="56"/>
  <c r="A164" i="56"/>
  <c r="A163" i="56"/>
  <c r="A162" i="56"/>
  <c r="AG156" i="56"/>
  <c r="AF156" i="56"/>
  <c r="AE156" i="56"/>
  <c r="AD156" i="56"/>
  <c r="AC156" i="56"/>
  <c r="AB156" i="56"/>
  <c r="AA140" i="56"/>
  <c r="A136" i="56"/>
  <c r="A135" i="56"/>
  <c r="A134" i="56"/>
  <c r="A133" i="56"/>
  <c r="A128" i="56"/>
  <c r="A127" i="56"/>
  <c r="A126" i="56"/>
  <c r="A112" i="56"/>
  <c r="A111" i="56"/>
  <c r="A110" i="56"/>
  <c r="U109" i="56"/>
  <c r="U110" i="56" s="1"/>
  <c r="U112" i="56" s="1"/>
  <c r="T109" i="56"/>
  <c r="T110" i="56" s="1"/>
  <c r="T112" i="56" s="1"/>
  <c r="S109" i="56"/>
  <c r="S110" i="56" s="1"/>
  <c r="S112" i="56" s="1"/>
  <c r="R109" i="56"/>
  <c r="R110" i="56" s="1"/>
  <c r="R112" i="56" s="1"/>
  <c r="Q109" i="56"/>
  <c r="Q110" i="56" s="1"/>
  <c r="Q112" i="56" s="1"/>
  <c r="P109" i="56"/>
  <c r="P111" i="56" s="1"/>
  <c r="A109" i="56"/>
  <c r="A108" i="56"/>
  <c r="A107" i="56"/>
  <c r="A106" i="56"/>
  <c r="U103" i="56"/>
  <c r="P43" i="95" s="1"/>
  <c r="T103" i="56"/>
  <c r="N43" i="95" s="1"/>
  <c r="S103" i="56"/>
  <c r="L43" i="95" s="1"/>
  <c r="R103" i="56"/>
  <c r="Q103" i="56"/>
  <c r="H43" i="95" s="1"/>
  <c r="A97" i="56"/>
  <c r="A96" i="56"/>
  <c r="A95" i="56"/>
  <c r="A94" i="56"/>
  <c r="U88" i="56"/>
  <c r="T88" i="56"/>
  <c r="S88" i="56"/>
  <c r="R88" i="56"/>
  <c r="Q88" i="56"/>
  <c r="P88" i="56"/>
  <c r="O72" i="56"/>
  <c r="A68" i="56"/>
  <c r="A67" i="56"/>
  <c r="A66" i="56"/>
  <c r="A65" i="56"/>
  <c r="A60" i="56"/>
  <c r="A59" i="56"/>
  <c r="A58" i="56"/>
  <c r="H54" i="56"/>
  <c r="G54" i="56"/>
  <c r="F54" i="56"/>
  <c r="E54" i="56"/>
  <c r="H53" i="56"/>
  <c r="G53" i="56"/>
  <c r="F53" i="56"/>
  <c r="E53" i="56"/>
  <c r="A44" i="56"/>
  <c r="A43" i="56"/>
  <c r="A42" i="56"/>
  <c r="H41" i="56"/>
  <c r="H43" i="56" s="1"/>
  <c r="G41" i="56"/>
  <c r="G42" i="56" s="1"/>
  <c r="G44" i="56" s="1"/>
  <c r="F41" i="56"/>
  <c r="F43" i="56" s="1"/>
  <c r="E41" i="56"/>
  <c r="E42" i="56" s="1"/>
  <c r="E44" i="56" s="1"/>
  <c r="A41" i="56"/>
  <c r="A40" i="56"/>
  <c r="H39" i="56"/>
  <c r="G39" i="56"/>
  <c r="F39" i="56"/>
  <c r="E39" i="56"/>
  <c r="A39" i="56"/>
  <c r="H38" i="56"/>
  <c r="H40" i="56" s="1"/>
  <c r="G38" i="56"/>
  <c r="G40" i="56" s="1"/>
  <c r="F38" i="56"/>
  <c r="F40" i="56" s="1"/>
  <c r="E38" i="56"/>
  <c r="E40" i="56" s="1"/>
  <c r="A38" i="56"/>
  <c r="H29" i="56"/>
  <c r="G29" i="56"/>
  <c r="F29" i="56"/>
  <c r="E29" i="56"/>
  <c r="A29" i="56"/>
  <c r="A28" i="56"/>
  <c r="H27" i="56"/>
  <c r="G27" i="56"/>
  <c r="F27" i="56"/>
  <c r="E27" i="56"/>
  <c r="A27" i="56"/>
  <c r="H26" i="56"/>
  <c r="G26" i="56"/>
  <c r="F26" i="56"/>
  <c r="E26" i="56"/>
  <c r="A26" i="56"/>
  <c r="H20" i="56"/>
  <c r="G20" i="56"/>
  <c r="F20" i="56"/>
  <c r="E20" i="56"/>
  <c r="BB37" i="62"/>
  <c r="BA37" i="62"/>
  <c r="AZ37" i="62"/>
  <c r="BE35" i="62"/>
  <c r="AW35" i="62"/>
  <c r="BE34" i="62"/>
  <c r="AW34" i="62"/>
  <c r="BE33" i="62"/>
  <c r="AW33" i="62"/>
  <c r="BE32" i="62"/>
  <c r="AW32" i="62"/>
  <c r="BE31" i="62"/>
  <c r="AW31" i="62"/>
  <c r="BE30" i="62"/>
  <c r="AW30" i="62"/>
  <c r="BE29" i="62"/>
  <c r="AV29" i="62"/>
  <c r="AR27" i="62"/>
  <c r="AH25" i="62"/>
  <c r="AG25" i="62"/>
  <c r="AF25" i="62"/>
  <c r="AK23" i="62"/>
  <c r="AC23" i="62"/>
  <c r="AK22" i="62"/>
  <c r="AC22" i="62"/>
  <c r="AK21" i="62"/>
  <c r="AC21" i="62"/>
  <c r="AK20" i="62"/>
  <c r="AC20" i="62"/>
  <c r="AK19" i="62"/>
  <c r="AC19" i="62"/>
  <c r="AK18" i="62"/>
  <c r="AC18" i="62"/>
  <c r="AK17" i="62"/>
  <c r="AB17" i="62"/>
  <c r="X15" i="62"/>
  <c r="N12" i="62"/>
  <c r="M12" i="62"/>
  <c r="L12" i="62"/>
  <c r="Q9" i="62"/>
  <c r="Q8" i="62"/>
  <c r="Q7" i="62"/>
  <c r="Q6" i="62"/>
  <c r="H6" i="62"/>
  <c r="X186" i="87"/>
  <c r="A186" i="87" s="1"/>
  <c r="X185" i="87"/>
  <c r="A185" i="87" s="1"/>
  <c r="X184" i="87"/>
  <c r="A184" i="87" s="1"/>
  <c r="X183" i="87"/>
  <c r="A183" i="87" s="1"/>
  <c r="X182" i="87"/>
  <c r="A182" i="87" s="1"/>
  <c r="X181" i="87"/>
  <c r="A181" i="87" s="1"/>
  <c r="X180" i="87"/>
  <c r="A180" i="87" s="1"/>
  <c r="X179" i="87"/>
  <c r="A179" i="87" s="1"/>
  <c r="X178" i="87"/>
  <c r="A178" i="87" s="1"/>
  <c r="X177" i="87"/>
  <c r="A177" i="87" s="1"/>
  <c r="X176" i="87"/>
  <c r="A176" i="87" s="1"/>
  <c r="X175" i="87"/>
  <c r="A175" i="87" s="1"/>
  <c r="Q173" i="87"/>
  <c r="AI148" i="87"/>
  <c r="AI151" i="87" s="1"/>
  <c r="X164" i="87" s="1"/>
  <c r="X161" i="87" s="1"/>
  <c r="A165" i="87"/>
  <c r="A166" i="87"/>
  <c r="A167" i="87"/>
  <c r="Q156" i="87"/>
  <c r="T152" i="87"/>
  <c r="T151" i="87"/>
  <c r="Q151" i="87"/>
  <c r="T150" i="87"/>
  <c r="Q150" i="87"/>
  <c r="T149" i="87"/>
  <c r="Q149" i="87"/>
  <c r="T148" i="87"/>
  <c r="Q148" i="87"/>
  <c r="Q146" i="87"/>
  <c r="K34" i="87"/>
  <c r="K24" i="87"/>
  <c r="K41" i="87"/>
  <c r="K48" i="87"/>
  <c r="K60" i="87"/>
  <c r="K61" i="87"/>
  <c r="K67" i="87"/>
  <c r="K74" i="87"/>
  <c r="K80" i="87"/>
  <c r="K86" i="87"/>
  <c r="K94" i="87"/>
  <c r="K100" i="87"/>
  <c r="K106" i="87"/>
  <c r="K112" i="87"/>
  <c r="K118" i="87"/>
  <c r="K124" i="87"/>
  <c r="K130" i="87"/>
  <c r="K136" i="87"/>
  <c r="J34" i="87"/>
  <c r="J38" i="87" s="1"/>
  <c r="J24" i="87"/>
  <c r="J41" i="87"/>
  <c r="J48" i="87"/>
  <c r="J60" i="87"/>
  <c r="J61" i="87"/>
  <c r="J67" i="87"/>
  <c r="J74" i="87"/>
  <c r="J80" i="87"/>
  <c r="J86" i="87"/>
  <c r="J94" i="87"/>
  <c r="J100" i="87"/>
  <c r="J106" i="87"/>
  <c r="J112" i="87"/>
  <c r="J118" i="87"/>
  <c r="J124" i="87"/>
  <c r="J130" i="87"/>
  <c r="J136" i="87"/>
  <c r="I34" i="87"/>
  <c r="I24" i="87"/>
  <c r="I41" i="87"/>
  <c r="I48" i="87"/>
  <c r="I60" i="87"/>
  <c r="I61" i="87"/>
  <c r="I67" i="87"/>
  <c r="I74" i="87"/>
  <c r="I80" i="87"/>
  <c r="I86" i="87"/>
  <c r="I94" i="87"/>
  <c r="I100" i="87"/>
  <c r="I106" i="87"/>
  <c r="I112" i="87"/>
  <c r="I118" i="87"/>
  <c r="I124" i="87"/>
  <c r="I130" i="87"/>
  <c r="I136" i="87"/>
  <c r="H34" i="87"/>
  <c r="H38" i="87" s="1"/>
  <c r="H45" i="87" s="1"/>
  <c r="H52" i="87" s="1"/>
  <c r="H24" i="87"/>
  <c r="H41" i="87"/>
  <c r="H48" i="87"/>
  <c r="H60" i="87"/>
  <c r="H61" i="87"/>
  <c r="H67" i="87"/>
  <c r="H74" i="87"/>
  <c r="H80" i="87"/>
  <c r="H86" i="87"/>
  <c r="H94" i="87"/>
  <c r="H100" i="87"/>
  <c r="H106" i="87"/>
  <c r="H112" i="87"/>
  <c r="H118" i="87"/>
  <c r="H124" i="87"/>
  <c r="H130" i="87"/>
  <c r="H136" i="87"/>
  <c r="G34" i="87"/>
  <c r="G24" i="87"/>
  <c r="G41" i="87"/>
  <c r="G48" i="87"/>
  <c r="G60" i="87"/>
  <c r="G61" i="87"/>
  <c r="G67" i="87"/>
  <c r="G74" i="87"/>
  <c r="G80" i="87"/>
  <c r="G86" i="87"/>
  <c r="G94" i="87"/>
  <c r="G100" i="87"/>
  <c r="G106" i="87"/>
  <c r="G112" i="87"/>
  <c r="G118" i="87"/>
  <c r="G124" i="87"/>
  <c r="G130" i="87"/>
  <c r="G136" i="87"/>
  <c r="D143" i="87"/>
  <c r="A143" i="87"/>
  <c r="K63" i="87"/>
  <c r="K71" i="87"/>
  <c r="K78" i="87"/>
  <c r="K84" i="87"/>
  <c r="K90" i="87"/>
  <c r="K98" i="87"/>
  <c r="K104" i="87"/>
  <c r="K110" i="87"/>
  <c r="K116" i="87"/>
  <c r="K122" i="87"/>
  <c r="K128" i="87"/>
  <c r="K134" i="87"/>
  <c r="J63" i="87"/>
  <c r="J71" i="87"/>
  <c r="J78" i="87"/>
  <c r="J84" i="87"/>
  <c r="J90" i="87"/>
  <c r="J98" i="87"/>
  <c r="J104" i="87"/>
  <c r="J110" i="87"/>
  <c r="J116" i="87"/>
  <c r="J122" i="87"/>
  <c r="J128" i="87"/>
  <c r="J134" i="87"/>
  <c r="I63" i="87"/>
  <c r="I71" i="87"/>
  <c r="I78" i="87"/>
  <c r="I84" i="87"/>
  <c r="I90" i="87"/>
  <c r="I98" i="87"/>
  <c r="I104" i="87"/>
  <c r="I110" i="87"/>
  <c r="I116" i="87"/>
  <c r="I122" i="87"/>
  <c r="I128" i="87"/>
  <c r="I134" i="87"/>
  <c r="H63" i="87"/>
  <c r="H71" i="87"/>
  <c r="H78" i="87"/>
  <c r="H84" i="87"/>
  <c r="H90" i="87"/>
  <c r="H98" i="87"/>
  <c r="H104" i="87"/>
  <c r="H110" i="87"/>
  <c r="H116" i="87"/>
  <c r="H122" i="87"/>
  <c r="H128" i="87"/>
  <c r="H134" i="87"/>
  <c r="G63" i="87"/>
  <c r="G71" i="87"/>
  <c r="G78" i="87"/>
  <c r="G84" i="87"/>
  <c r="G90" i="87"/>
  <c r="G98" i="87"/>
  <c r="G104" i="87"/>
  <c r="G110" i="87"/>
  <c r="G116" i="87"/>
  <c r="G122" i="87"/>
  <c r="G128" i="87"/>
  <c r="G134" i="87"/>
  <c r="F63" i="87"/>
  <c r="F71" i="87"/>
  <c r="F78" i="87"/>
  <c r="F84" i="87"/>
  <c r="F90" i="87"/>
  <c r="F98" i="87"/>
  <c r="F104" i="87"/>
  <c r="F110" i="87"/>
  <c r="F116" i="87"/>
  <c r="F122" i="87"/>
  <c r="F128" i="87"/>
  <c r="F134" i="87"/>
  <c r="A142" i="87"/>
  <c r="D141" i="87"/>
  <c r="D140" i="87"/>
  <c r="A140" i="87"/>
  <c r="E139" i="87"/>
  <c r="A136" i="87"/>
  <c r="A134" i="87"/>
  <c r="A137" i="87"/>
  <c r="A138" i="87"/>
  <c r="A139" i="87"/>
  <c r="D136" i="87"/>
  <c r="A135" i="87"/>
  <c r="E133" i="87"/>
  <c r="A130" i="87"/>
  <c r="A131" i="87"/>
  <c r="A132" i="87"/>
  <c r="A133" i="87"/>
  <c r="D130" i="87"/>
  <c r="E127" i="87"/>
  <c r="A124" i="87"/>
  <c r="A123" i="87"/>
  <c r="A125" i="87"/>
  <c r="A126" i="87"/>
  <c r="A127" i="87"/>
  <c r="D124" i="87"/>
  <c r="E123" i="87"/>
  <c r="E121" i="87"/>
  <c r="A118" i="87"/>
  <c r="A119" i="87"/>
  <c r="A120" i="87"/>
  <c r="A121" i="87"/>
  <c r="D118" i="87"/>
  <c r="E117" i="87"/>
  <c r="E115" i="87"/>
  <c r="A112" i="87"/>
  <c r="A113" i="87"/>
  <c r="A114" i="87"/>
  <c r="A115" i="87"/>
  <c r="D112" i="87"/>
  <c r="E111" i="87"/>
  <c r="A111" i="87"/>
  <c r="E109" i="87"/>
  <c r="A106" i="87"/>
  <c r="A104" i="87"/>
  <c r="A107" i="87"/>
  <c r="A108" i="87"/>
  <c r="A109" i="87"/>
  <c r="D106" i="87"/>
  <c r="E105" i="87"/>
  <c r="E103" i="87"/>
  <c r="A100" i="87"/>
  <c r="A99" i="87"/>
  <c r="A101" i="87"/>
  <c r="A102" i="87"/>
  <c r="A103" i="87"/>
  <c r="D100" i="87"/>
  <c r="E99" i="87"/>
  <c r="A98" i="87"/>
  <c r="E97" i="87"/>
  <c r="A94" i="87"/>
  <c r="A91" i="87"/>
  <c r="D94" i="87"/>
  <c r="K91" i="87"/>
  <c r="J91" i="87"/>
  <c r="I91" i="87"/>
  <c r="H91" i="87"/>
  <c r="G91" i="87"/>
  <c r="F91" i="87"/>
  <c r="E91" i="87"/>
  <c r="E89" i="87"/>
  <c r="A86" i="87"/>
  <c r="A85" i="87"/>
  <c r="D86" i="87"/>
  <c r="E85" i="87"/>
  <c r="E83" i="87"/>
  <c r="A80" i="87"/>
  <c r="A78" i="87"/>
  <c r="A81" i="87"/>
  <c r="A82" i="87"/>
  <c r="A83" i="87"/>
  <c r="D80" i="87"/>
  <c r="E79" i="87"/>
  <c r="A79" i="87"/>
  <c r="E77" i="87"/>
  <c r="A74" i="87"/>
  <c r="A71" i="87"/>
  <c r="D74" i="87"/>
  <c r="A15" i="87"/>
  <c r="E70" i="87"/>
  <c r="A67" i="87"/>
  <c r="A66" i="87"/>
  <c r="D67" i="87"/>
  <c r="E66" i="87"/>
  <c r="E65" i="87"/>
  <c r="A61" i="87"/>
  <c r="K59" i="87"/>
  <c r="J59" i="87"/>
  <c r="I59" i="87"/>
  <c r="H59" i="87"/>
  <c r="G59" i="87"/>
  <c r="F59" i="87"/>
  <c r="A56" i="87"/>
  <c r="A52" i="87"/>
  <c r="E51" i="87"/>
  <c r="A45" i="87"/>
  <c r="E44" i="87"/>
  <c r="A38" i="87"/>
  <c r="E37" i="87"/>
  <c r="K30" i="87"/>
  <c r="J30" i="87"/>
  <c r="I30" i="87"/>
  <c r="H30" i="87"/>
  <c r="G30" i="87"/>
  <c r="F30" i="87"/>
  <c r="A30" i="87"/>
  <c r="K29" i="87"/>
  <c r="J29" i="87"/>
  <c r="I29" i="87"/>
  <c r="H29" i="87"/>
  <c r="G29" i="87"/>
  <c r="F29" i="87"/>
  <c r="A29" i="87"/>
  <c r="K28" i="87"/>
  <c r="J28" i="87"/>
  <c r="I28" i="87"/>
  <c r="H28" i="87"/>
  <c r="G28" i="87"/>
  <c r="F28" i="87"/>
  <c r="A28" i="87"/>
  <c r="K27" i="87"/>
  <c r="J27" i="87"/>
  <c r="I27" i="87"/>
  <c r="H27" i="87"/>
  <c r="G27" i="87"/>
  <c r="F27" i="87"/>
  <c r="A27" i="87"/>
  <c r="K26" i="87"/>
  <c r="J26" i="87"/>
  <c r="I26" i="87"/>
  <c r="H26" i="87"/>
  <c r="G26" i="87"/>
  <c r="F26" i="87"/>
  <c r="A26" i="87"/>
  <c r="K25" i="87"/>
  <c r="J25" i="87"/>
  <c r="I25" i="87"/>
  <c r="H25" i="87"/>
  <c r="G25" i="87"/>
  <c r="F25" i="87"/>
  <c r="A25" i="87"/>
  <c r="A24" i="87"/>
  <c r="K23" i="87"/>
  <c r="J23" i="87"/>
  <c r="I23" i="87"/>
  <c r="H23" i="87"/>
  <c r="G23" i="87"/>
  <c r="F23" i="87"/>
  <c r="A23" i="87"/>
  <c r="E22" i="87"/>
  <c r="A22" i="87"/>
  <c r="E21" i="87"/>
  <c r="A21" i="87"/>
  <c r="E20" i="87"/>
  <c r="A20" i="87"/>
  <c r="E19" i="87"/>
  <c r="A19" i="87"/>
  <c r="A18" i="87"/>
  <c r="A17" i="87"/>
  <c r="A16" i="87"/>
  <c r="A13" i="87"/>
  <c r="A12" i="87"/>
  <c r="E11" i="87"/>
  <c r="A11" i="87"/>
  <c r="K7" i="87"/>
  <c r="J7" i="87"/>
  <c r="I7" i="87"/>
  <c r="H7" i="87"/>
  <c r="G7" i="87"/>
  <c r="D6" i="87"/>
  <c r="X184" i="86"/>
  <c r="A184" i="86" s="1"/>
  <c r="X183" i="86"/>
  <c r="A183" i="86" s="1"/>
  <c r="X182" i="86"/>
  <c r="A182" i="86" s="1"/>
  <c r="X181" i="86"/>
  <c r="A181" i="86" s="1"/>
  <c r="X180" i="86"/>
  <c r="A180" i="86" s="1"/>
  <c r="X179" i="86"/>
  <c r="A179" i="86" s="1"/>
  <c r="X178" i="86"/>
  <c r="A178" i="86" s="1"/>
  <c r="X177" i="86"/>
  <c r="A177" i="86" s="1"/>
  <c r="X176" i="86"/>
  <c r="A176" i="86" s="1"/>
  <c r="X175" i="86"/>
  <c r="A175" i="86" s="1"/>
  <c r="X174" i="86"/>
  <c r="A174" i="86" s="1"/>
  <c r="X173" i="86"/>
  <c r="A173" i="86" s="1"/>
  <c r="AI148" i="86"/>
  <c r="AI151" i="86" s="1"/>
  <c r="X163" i="86" s="1"/>
  <c r="A164" i="86"/>
  <c r="A165" i="86"/>
  <c r="A166" i="86"/>
  <c r="Q161" i="86"/>
  <c r="Q156" i="86"/>
  <c r="Q151" i="86"/>
  <c r="Q150" i="86"/>
  <c r="Q149" i="86"/>
  <c r="Q148" i="86"/>
  <c r="Q146" i="86"/>
  <c r="K34" i="86"/>
  <c r="K38" i="86" s="1"/>
  <c r="K24" i="86"/>
  <c r="K41" i="86"/>
  <c r="K48" i="86"/>
  <c r="K60" i="86"/>
  <c r="K61" i="86"/>
  <c r="K67" i="86"/>
  <c r="K74" i="86"/>
  <c r="K80" i="86"/>
  <c r="K86" i="86"/>
  <c r="K94" i="86"/>
  <c r="K100" i="86"/>
  <c r="K106" i="86"/>
  <c r="K112" i="86"/>
  <c r="K118" i="86"/>
  <c r="K124" i="86"/>
  <c r="K130" i="86"/>
  <c r="K136" i="86"/>
  <c r="J34" i="86"/>
  <c r="J24" i="86"/>
  <c r="J41" i="86"/>
  <c r="J48" i="86"/>
  <c r="J60" i="86"/>
  <c r="J61" i="86"/>
  <c r="J67" i="86"/>
  <c r="J74" i="86"/>
  <c r="J80" i="86"/>
  <c r="J86" i="86"/>
  <c r="J94" i="86"/>
  <c r="J100" i="86"/>
  <c r="J106" i="86"/>
  <c r="J112" i="86"/>
  <c r="J118" i="86"/>
  <c r="J124" i="86"/>
  <c r="J130" i="86"/>
  <c r="J136" i="86"/>
  <c r="I34" i="86"/>
  <c r="I24" i="86"/>
  <c r="I41" i="86"/>
  <c r="I48" i="86"/>
  <c r="I60" i="86"/>
  <c r="I61" i="86"/>
  <c r="I67" i="86"/>
  <c r="I74" i="86"/>
  <c r="I80" i="86"/>
  <c r="I86" i="86"/>
  <c r="I94" i="86"/>
  <c r="I100" i="86"/>
  <c r="I106" i="86"/>
  <c r="I112" i="86"/>
  <c r="I118" i="86"/>
  <c r="I124" i="86"/>
  <c r="I130" i="86"/>
  <c r="I136" i="86"/>
  <c r="H34" i="86"/>
  <c r="H24" i="86"/>
  <c r="H41" i="86"/>
  <c r="H48" i="86"/>
  <c r="H60" i="86"/>
  <c r="H61" i="86"/>
  <c r="H67" i="86"/>
  <c r="H74" i="86"/>
  <c r="H80" i="86"/>
  <c r="H86" i="86"/>
  <c r="H94" i="86"/>
  <c r="H100" i="86"/>
  <c r="H106" i="86"/>
  <c r="H112" i="86"/>
  <c r="H118" i="86"/>
  <c r="H124" i="86"/>
  <c r="H130" i="86"/>
  <c r="H136" i="86"/>
  <c r="G34" i="86"/>
  <c r="G24" i="86"/>
  <c r="G41" i="86"/>
  <c r="G48" i="86"/>
  <c r="G60" i="86"/>
  <c r="G61" i="86"/>
  <c r="G67" i="86"/>
  <c r="G74" i="86"/>
  <c r="G80" i="86"/>
  <c r="G86" i="86"/>
  <c r="G94" i="86"/>
  <c r="G100" i="86"/>
  <c r="G106" i="86"/>
  <c r="G112" i="86"/>
  <c r="G118" i="86"/>
  <c r="G124" i="86"/>
  <c r="G130" i="86"/>
  <c r="G136" i="86"/>
  <c r="D143" i="86"/>
  <c r="A143" i="86"/>
  <c r="K63" i="86"/>
  <c r="K71" i="86"/>
  <c r="K78" i="86"/>
  <c r="K84" i="86"/>
  <c r="K90" i="86"/>
  <c r="K98" i="86"/>
  <c r="K104" i="86"/>
  <c r="K110" i="86"/>
  <c r="K116" i="86"/>
  <c r="K122" i="86"/>
  <c r="K128" i="86"/>
  <c r="K134" i="86"/>
  <c r="J63" i="86"/>
  <c r="J71" i="86"/>
  <c r="J78" i="86"/>
  <c r="J84" i="86"/>
  <c r="J90" i="86"/>
  <c r="J98" i="86"/>
  <c r="J104" i="86"/>
  <c r="J110" i="86"/>
  <c r="J116" i="86"/>
  <c r="J122" i="86"/>
  <c r="J128" i="86"/>
  <c r="J134" i="86"/>
  <c r="I63" i="86"/>
  <c r="I71" i="86"/>
  <c r="I78" i="86"/>
  <c r="I84" i="86"/>
  <c r="I90" i="86"/>
  <c r="I98" i="86"/>
  <c r="I104" i="86"/>
  <c r="I110" i="86"/>
  <c r="I116" i="86"/>
  <c r="I122" i="86"/>
  <c r="I128" i="86"/>
  <c r="I134" i="86"/>
  <c r="H63" i="86"/>
  <c r="H71" i="86"/>
  <c r="H78" i="86"/>
  <c r="H84" i="86"/>
  <c r="H90" i="86"/>
  <c r="H98" i="86"/>
  <c r="H104" i="86"/>
  <c r="H110" i="86"/>
  <c r="H116" i="86"/>
  <c r="H122" i="86"/>
  <c r="H128" i="86"/>
  <c r="H134" i="86"/>
  <c r="G63" i="86"/>
  <c r="G71" i="86"/>
  <c r="G78" i="86"/>
  <c r="G84" i="86"/>
  <c r="G90" i="86"/>
  <c r="G98" i="86"/>
  <c r="G104" i="86"/>
  <c r="G110" i="86"/>
  <c r="G116" i="86"/>
  <c r="G122" i="86"/>
  <c r="G128" i="86"/>
  <c r="G134" i="86"/>
  <c r="F63" i="86"/>
  <c r="F71" i="86"/>
  <c r="F78" i="86"/>
  <c r="F84" i="86"/>
  <c r="F90" i="86"/>
  <c r="F98" i="86"/>
  <c r="F104" i="86"/>
  <c r="F110" i="86"/>
  <c r="F116" i="86"/>
  <c r="F122" i="86"/>
  <c r="F128" i="86"/>
  <c r="F134" i="86"/>
  <c r="A142" i="86"/>
  <c r="D141" i="86"/>
  <c r="D140" i="86"/>
  <c r="A140" i="86"/>
  <c r="E139" i="86"/>
  <c r="A136" i="86"/>
  <c r="A135" i="86"/>
  <c r="D136" i="86"/>
  <c r="E133" i="86"/>
  <c r="A130" i="86"/>
  <c r="A131" i="86"/>
  <c r="A132" i="86"/>
  <c r="A133" i="86"/>
  <c r="D130" i="86"/>
  <c r="E127" i="86"/>
  <c r="A124" i="86"/>
  <c r="A125" i="86"/>
  <c r="A126" i="86"/>
  <c r="A127" i="86"/>
  <c r="D124" i="86"/>
  <c r="E123" i="86"/>
  <c r="E121" i="86"/>
  <c r="A118" i="86"/>
  <c r="A117" i="86"/>
  <c r="D118" i="86"/>
  <c r="E117" i="86"/>
  <c r="E115" i="86"/>
  <c r="A112" i="86"/>
  <c r="A113" i="86"/>
  <c r="A114" i="86"/>
  <c r="A115" i="86"/>
  <c r="D112" i="86"/>
  <c r="E111" i="86"/>
  <c r="E109" i="86"/>
  <c r="A106" i="86"/>
  <c r="A107" i="86"/>
  <c r="A108" i="86"/>
  <c r="A109" i="86"/>
  <c r="D106" i="86"/>
  <c r="E105" i="86"/>
  <c r="E103" i="86"/>
  <c r="A100" i="86"/>
  <c r="A101" i="86"/>
  <c r="A102" i="86"/>
  <c r="A103" i="86"/>
  <c r="D100" i="86"/>
  <c r="E99" i="86"/>
  <c r="E97" i="86"/>
  <c r="A94" i="86"/>
  <c r="A95" i="86"/>
  <c r="A96" i="86"/>
  <c r="A97" i="86"/>
  <c r="D94" i="86"/>
  <c r="K91" i="86"/>
  <c r="J91" i="86"/>
  <c r="I91" i="86"/>
  <c r="H91" i="86"/>
  <c r="G91" i="86"/>
  <c r="F91" i="86"/>
  <c r="E91" i="86"/>
  <c r="E89" i="86"/>
  <c r="A86" i="86"/>
  <c r="A87" i="86"/>
  <c r="A88" i="86"/>
  <c r="A89" i="86"/>
  <c r="D86" i="86"/>
  <c r="E85" i="86"/>
  <c r="E83" i="86"/>
  <c r="A80" i="86"/>
  <c r="A79" i="86"/>
  <c r="A81" i="86"/>
  <c r="A82" i="86"/>
  <c r="A83" i="86"/>
  <c r="D80" i="86"/>
  <c r="E79" i="86"/>
  <c r="E77" i="86"/>
  <c r="A74" i="86"/>
  <c r="A71" i="86"/>
  <c r="D74" i="86"/>
  <c r="A15" i="86"/>
  <c r="J73" i="86" s="1"/>
  <c r="E70" i="86"/>
  <c r="A67" i="86"/>
  <c r="A65" i="86"/>
  <c r="D67" i="86"/>
  <c r="E66" i="86"/>
  <c r="E65" i="86"/>
  <c r="A61" i="86"/>
  <c r="K59" i="86"/>
  <c r="J59" i="86"/>
  <c r="I59" i="86"/>
  <c r="H59" i="86"/>
  <c r="G59" i="86"/>
  <c r="F59" i="86"/>
  <c r="A56" i="86"/>
  <c r="A52" i="86"/>
  <c r="E51" i="86"/>
  <c r="A45" i="86"/>
  <c r="E44" i="86"/>
  <c r="A38" i="86"/>
  <c r="E37" i="86"/>
  <c r="K30" i="86"/>
  <c r="J30" i="86"/>
  <c r="I30" i="86"/>
  <c r="H30" i="86"/>
  <c r="G30" i="86"/>
  <c r="F30" i="86"/>
  <c r="A30" i="86"/>
  <c r="K29" i="86"/>
  <c r="J29" i="86"/>
  <c r="I29" i="86"/>
  <c r="H29" i="86"/>
  <c r="G29" i="86"/>
  <c r="F29" i="86"/>
  <c r="A29" i="86"/>
  <c r="K28" i="86"/>
  <c r="J28" i="86"/>
  <c r="I28" i="86"/>
  <c r="H28" i="86"/>
  <c r="G28" i="86"/>
  <c r="F28" i="86"/>
  <c r="A28" i="86"/>
  <c r="K27" i="86"/>
  <c r="J27" i="86"/>
  <c r="I27" i="86"/>
  <c r="H27" i="86"/>
  <c r="G27" i="86"/>
  <c r="F27" i="86"/>
  <c r="A27" i="86"/>
  <c r="K26" i="86"/>
  <c r="J26" i="86"/>
  <c r="I26" i="86"/>
  <c r="H26" i="86"/>
  <c r="G26" i="86"/>
  <c r="F26" i="86"/>
  <c r="A26" i="86"/>
  <c r="K25" i="86"/>
  <c r="J25" i="86"/>
  <c r="I25" i="86"/>
  <c r="H25" i="86"/>
  <c r="G25" i="86"/>
  <c r="F25" i="86"/>
  <c r="A25" i="86"/>
  <c r="A24" i="86"/>
  <c r="K23" i="86"/>
  <c r="J23" i="86"/>
  <c r="I23" i="86"/>
  <c r="H23" i="86"/>
  <c r="G23" i="86"/>
  <c r="F23" i="86"/>
  <c r="A23" i="86"/>
  <c r="E22" i="86"/>
  <c r="A22" i="86"/>
  <c r="E21" i="86"/>
  <c r="A21" i="86"/>
  <c r="E20" i="86"/>
  <c r="A20" i="86"/>
  <c r="E19" i="86"/>
  <c r="A19" i="86"/>
  <c r="A18" i="86"/>
  <c r="A17" i="86"/>
  <c r="A16" i="86"/>
  <c r="A13" i="86"/>
  <c r="A12" i="86"/>
  <c r="E11" i="86"/>
  <c r="A11" i="86"/>
  <c r="K7" i="86"/>
  <c r="J7" i="86"/>
  <c r="I7" i="86"/>
  <c r="H7" i="86"/>
  <c r="G7" i="86"/>
  <c r="D6" i="86"/>
  <c r="E28" i="26"/>
  <c r="E32" i="26" s="1"/>
  <c r="E36" i="26"/>
  <c r="E41" i="28"/>
  <c r="E42" i="28"/>
  <c r="E43" i="28"/>
  <c r="E44" i="28"/>
  <c r="E45" i="28"/>
  <c r="E46" i="28"/>
  <c r="E47" i="28"/>
  <c r="E48" i="28"/>
  <c r="E49" i="28"/>
  <c r="A50" i="28"/>
  <c r="N28" i="26"/>
  <c r="N32" i="26"/>
  <c r="N36" i="26"/>
  <c r="E15" i="28"/>
  <c r="D49" i="28"/>
  <c r="D15" i="28"/>
  <c r="A15" i="28" s="1"/>
  <c r="M28" i="26"/>
  <c r="M32" i="26"/>
  <c r="M36" i="26"/>
  <c r="E14" i="28"/>
  <c r="D48" i="28"/>
  <c r="D14" i="28"/>
  <c r="A14" i="28" s="1"/>
  <c r="A48" i="28" s="1"/>
  <c r="L28" i="26"/>
  <c r="L32" i="26" s="1"/>
  <c r="L36" i="26"/>
  <c r="E13" i="28"/>
  <c r="D47" i="28"/>
  <c r="D13" i="28"/>
  <c r="A13" i="28" s="1"/>
  <c r="K28" i="26"/>
  <c r="K32" i="26" s="1"/>
  <c r="K36" i="26"/>
  <c r="E12" i="28"/>
  <c r="D46" i="28"/>
  <c r="D12" i="28"/>
  <c r="A12" i="28" s="1"/>
  <c r="J28" i="26"/>
  <c r="J32" i="26" s="1"/>
  <c r="J36" i="26"/>
  <c r="E11" i="28"/>
  <c r="D45" i="28"/>
  <c r="D11" i="28"/>
  <c r="A11" i="28" s="1"/>
  <c r="I28" i="26"/>
  <c r="I32" i="26" s="1"/>
  <c r="I36" i="26"/>
  <c r="E10" i="28"/>
  <c r="D44" i="28"/>
  <c r="D10" i="28"/>
  <c r="A10" i="28" s="1"/>
  <c r="H28" i="26"/>
  <c r="H32" i="26"/>
  <c r="H36" i="26"/>
  <c r="E9" i="28"/>
  <c r="D43" i="28"/>
  <c r="D9" i="28"/>
  <c r="A9" i="28" s="1"/>
  <c r="G28" i="26"/>
  <c r="G32" i="26" s="1"/>
  <c r="G36" i="26"/>
  <c r="E8" i="28"/>
  <c r="D42" i="28"/>
  <c r="D8" i="28"/>
  <c r="A8" i="28" s="1"/>
  <c r="A42" i="28" s="1"/>
  <c r="F28" i="26"/>
  <c r="F32" i="26" s="1"/>
  <c r="F36" i="26"/>
  <c r="E7" i="28"/>
  <c r="D41" i="28"/>
  <c r="D7" i="28"/>
  <c r="A7" i="28" s="1"/>
  <c r="D40" i="28"/>
  <c r="A39" i="28"/>
  <c r="A38" i="28"/>
  <c r="G37" i="28"/>
  <c r="A37" i="28"/>
  <c r="A36" i="28"/>
  <c r="A35" i="28"/>
  <c r="E25" i="28"/>
  <c r="E26" i="28"/>
  <c r="E27" i="28"/>
  <c r="E28" i="28"/>
  <c r="E29" i="28"/>
  <c r="E30" i="28"/>
  <c r="E31" i="28"/>
  <c r="E32" i="28"/>
  <c r="E33" i="28"/>
  <c r="D33" i="28"/>
  <c r="D32" i="28"/>
  <c r="D31" i="28"/>
  <c r="D30" i="28"/>
  <c r="D29" i="28"/>
  <c r="D28" i="28"/>
  <c r="D27" i="28"/>
  <c r="D26" i="28"/>
  <c r="D25" i="28"/>
  <c r="D24" i="28"/>
  <c r="G22" i="28"/>
  <c r="A21" i="28"/>
  <c r="D6" i="28"/>
  <c r="H71" i="75"/>
  <c r="F54" i="26"/>
  <c r="H72" i="75"/>
  <c r="G54" i="26"/>
  <c r="H73" i="75"/>
  <c r="H54" i="26"/>
  <c r="H74" i="75"/>
  <c r="I54" i="26"/>
  <c r="H75" i="75"/>
  <c r="J54" i="26"/>
  <c r="H76" i="75"/>
  <c r="K54" i="26"/>
  <c r="H77" i="75"/>
  <c r="L54" i="26"/>
  <c r="H78" i="75"/>
  <c r="M54" i="26"/>
  <c r="H79" i="75"/>
  <c r="N54" i="26"/>
  <c r="H80" i="75"/>
  <c r="P7" i="75"/>
  <c r="F82" i="75" s="1"/>
  <c r="H82" i="75"/>
  <c r="P8" i="75"/>
  <c r="F83" i="75" s="1"/>
  <c r="H83" i="75"/>
  <c r="P9" i="75"/>
  <c r="F84" i="75" s="1"/>
  <c r="H84" i="75"/>
  <c r="P10" i="75"/>
  <c r="F85" i="75" s="1"/>
  <c r="H85" i="75"/>
  <c r="P11" i="75"/>
  <c r="F86" i="75" s="1"/>
  <c r="H86" i="75"/>
  <c r="P12" i="75"/>
  <c r="F87" i="75" s="1"/>
  <c r="H87" i="75"/>
  <c r="P13" i="75"/>
  <c r="F88" i="75" s="1"/>
  <c r="H88" i="75"/>
  <c r="P14" i="75"/>
  <c r="F89" i="75" s="1"/>
  <c r="H89" i="75"/>
  <c r="P15" i="75"/>
  <c r="F90" i="75" s="1"/>
  <c r="H90" i="75"/>
  <c r="P16" i="75"/>
  <c r="F91" i="75" s="1"/>
  <c r="H91" i="75"/>
  <c r="P74" i="25"/>
  <c r="P72" i="25"/>
  <c r="P71" i="25"/>
  <c r="P70" i="25"/>
  <c r="P69" i="25"/>
  <c r="P68" i="25"/>
  <c r="P67" i="25"/>
  <c r="P66" i="25"/>
  <c r="P65" i="25"/>
  <c r="P64" i="25"/>
  <c r="P63" i="25"/>
  <c r="P61" i="25"/>
  <c r="P60" i="25"/>
  <c r="P59" i="25"/>
  <c r="P58" i="25"/>
  <c r="P57" i="25"/>
  <c r="P56" i="25"/>
  <c r="P55" i="25"/>
  <c r="P54" i="25"/>
  <c r="P53" i="25"/>
  <c r="P52" i="25"/>
  <c r="D25" i="25"/>
  <c r="D26" i="25"/>
  <c r="D27" i="25"/>
  <c r="D31" i="25"/>
  <c r="D32" i="25"/>
  <c r="D33" i="25"/>
  <c r="D37" i="25"/>
  <c r="D38" i="25"/>
  <c r="D41" i="25"/>
  <c r="D42" i="25" s="1"/>
  <c r="D43" i="25" s="1"/>
  <c r="D44" i="25" s="1"/>
  <c r="G38" i="25"/>
  <c r="E38" i="25"/>
  <c r="A38" i="25"/>
  <c r="G37" i="25"/>
  <c r="E37" i="25"/>
  <c r="A37" i="25"/>
  <c r="G33" i="25"/>
  <c r="E33" i="25"/>
  <c r="A33" i="25"/>
  <c r="G32" i="25"/>
  <c r="E32" i="25"/>
  <c r="A32" i="25"/>
  <c r="G31" i="25"/>
  <c r="E31" i="25"/>
  <c r="A31" i="25"/>
  <c r="G27" i="25"/>
  <c r="E27" i="25"/>
  <c r="A27" i="25"/>
  <c r="G26" i="25"/>
  <c r="E26" i="25"/>
  <c r="A26" i="25"/>
  <c r="G25" i="25"/>
  <c r="E25" i="25"/>
  <c r="A25" i="25"/>
  <c r="A18" i="25"/>
  <c r="A17" i="25"/>
  <c r="G16" i="25"/>
  <c r="G18" i="25" s="1"/>
  <c r="A16" i="25"/>
  <c r="A15" i="25"/>
  <c r="A14" i="25"/>
  <c r="I25" i="27"/>
  <c r="J25" i="27" s="1"/>
  <c r="I26" i="27"/>
  <c r="J26" i="27" s="1"/>
  <c r="I27" i="27"/>
  <c r="J27" i="27" s="1"/>
  <c r="I28" i="27"/>
  <c r="J28" i="27" s="1"/>
  <c r="I29" i="27"/>
  <c r="J29" i="27" s="1"/>
  <c r="I30" i="27"/>
  <c r="J30" i="27" s="1"/>
  <c r="I31" i="27"/>
  <c r="J31" i="27" s="1"/>
  <c r="I32" i="27"/>
  <c r="J32" i="27" s="1"/>
  <c r="I33" i="27"/>
  <c r="J33" i="27" s="1"/>
  <c r="I34" i="27"/>
  <c r="J34" i="27" s="1"/>
  <c r="E11" i="25"/>
  <c r="A10" i="25"/>
  <c r="AE209" i="27"/>
  <c r="AD209" i="27"/>
  <c r="AC209" i="27"/>
  <c r="AB209" i="27"/>
  <c r="AA209" i="27"/>
  <c r="Z209" i="27"/>
  <c r="Y209" i="27"/>
  <c r="X209" i="27"/>
  <c r="W209" i="27"/>
  <c r="V209" i="27"/>
  <c r="V203" i="27"/>
  <c r="V204" i="27" s="1"/>
  <c r="V205" i="27" s="1"/>
  <c r="V206" i="27" s="1"/>
  <c r="V198" i="27"/>
  <c r="V199" i="27" s="1"/>
  <c r="V200" i="27" s="1"/>
  <c r="V201" i="27" s="1"/>
  <c r="W193" i="27"/>
  <c r="W194" i="27" s="1"/>
  <c r="W195" i="27" s="1"/>
  <c r="W196" i="27" s="1"/>
  <c r="V193" i="27"/>
  <c r="V194" i="27" s="1"/>
  <c r="V195" i="27" s="1"/>
  <c r="V196" i="27" s="1"/>
  <c r="X188" i="27"/>
  <c r="X189" i="27" s="1"/>
  <c r="X190" i="27" s="1"/>
  <c r="X191" i="27" s="1"/>
  <c r="W188" i="27"/>
  <c r="W189" i="27" s="1"/>
  <c r="W190" i="27" s="1"/>
  <c r="W191" i="27" s="1"/>
  <c r="V188" i="27"/>
  <c r="V189" i="27" s="1"/>
  <c r="V190" i="27" s="1"/>
  <c r="V191" i="27" s="1"/>
  <c r="X183" i="27"/>
  <c r="X184" i="27" s="1"/>
  <c r="X185" i="27" s="1"/>
  <c r="X186" i="27" s="1"/>
  <c r="W183" i="27"/>
  <c r="W184" i="27" s="1"/>
  <c r="W185" i="27" s="1"/>
  <c r="W186" i="27" s="1"/>
  <c r="V183" i="27"/>
  <c r="V184" i="27" s="1"/>
  <c r="V185" i="27" s="1"/>
  <c r="V186" i="27" s="1"/>
  <c r="Y178" i="27"/>
  <c r="Y179" i="27" s="1"/>
  <c r="Y180" i="27" s="1"/>
  <c r="Y181" i="27" s="1"/>
  <c r="X178" i="27"/>
  <c r="X179" i="27" s="1"/>
  <c r="X180" i="27" s="1"/>
  <c r="X181" i="27" s="1"/>
  <c r="W178" i="27"/>
  <c r="W179" i="27" s="1"/>
  <c r="W180" i="27" s="1"/>
  <c r="W181" i="27" s="1"/>
  <c r="V178" i="27"/>
  <c r="V179" i="27" s="1"/>
  <c r="V180" i="27" s="1"/>
  <c r="V181" i="27" s="1"/>
  <c r="Z176" i="27"/>
  <c r="Y176" i="27"/>
  <c r="X176" i="27"/>
  <c r="W176" i="27"/>
  <c r="V176" i="27"/>
  <c r="Z174" i="27"/>
  <c r="Y174" i="27"/>
  <c r="X174" i="27"/>
  <c r="W174" i="27"/>
  <c r="V174" i="27"/>
  <c r="Z172" i="27"/>
  <c r="Y172" i="27"/>
  <c r="X172" i="27"/>
  <c r="W172" i="27"/>
  <c r="V172" i="27"/>
  <c r="Z170" i="27"/>
  <c r="Y170" i="27"/>
  <c r="X170" i="27"/>
  <c r="W170" i="27"/>
  <c r="V170" i="27"/>
  <c r="AA168" i="27"/>
  <c r="Z168" i="27"/>
  <c r="Y168" i="27"/>
  <c r="X168" i="27"/>
  <c r="W168" i="27"/>
  <c r="V168" i="27"/>
  <c r="AA166" i="27"/>
  <c r="Z166" i="27"/>
  <c r="Y166" i="27"/>
  <c r="X166" i="27"/>
  <c r="W166" i="27"/>
  <c r="AB164" i="27"/>
  <c r="AA164" i="27"/>
  <c r="Z164" i="27"/>
  <c r="Y164" i="27"/>
  <c r="X164" i="27"/>
  <c r="W164" i="27"/>
  <c r="AB162" i="27"/>
  <c r="AA162" i="27"/>
  <c r="Z162" i="27"/>
  <c r="Y162" i="27"/>
  <c r="X162" i="27"/>
  <c r="W162" i="27"/>
  <c r="AB160" i="27"/>
  <c r="AA160" i="27"/>
  <c r="Z160" i="27"/>
  <c r="Y160" i="27"/>
  <c r="X160" i="27"/>
  <c r="W160" i="27"/>
  <c r="AC158" i="27"/>
  <c r="AB158" i="27"/>
  <c r="AA158" i="27"/>
  <c r="Z158" i="27"/>
  <c r="Y158" i="27"/>
  <c r="X158" i="27"/>
  <c r="W158" i="27"/>
  <c r="U129" i="27"/>
  <c r="A129" i="27" s="1"/>
  <c r="T128" i="27"/>
  <c r="A128" i="27"/>
  <c r="T127" i="27"/>
  <c r="A127" i="27"/>
  <c r="B122" i="27"/>
  <c r="B121" i="27"/>
  <c r="B120" i="27"/>
  <c r="H119" i="27"/>
  <c r="B119" i="27"/>
  <c r="D118" i="27"/>
  <c r="B118" i="27"/>
  <c r="D117" i="27"/>
  <c r="B117" i="27"/>
  <c r="D116" i="27"/>
  <c r="B116" i="27"/>
  <c r="D115" i="27"/>
  <c r="B115" i="27"/>
  <c r="D114" i="27"/>
  <c r="B114" i="27"/>
  <c r="D113" i="27"/>
  <c r="B113" i="27"/>
  <c r="D112" i="27"/>
  <c r="B112" i="27"/>
  <c r="D111" i="27"/>
  <c r="B111" i="27"/>
  <c r="D110" i="27"/>
  <c r="B110" i="27"/>
  <c r="D109" i="27"/>
  <c r="B109" i="27"/>
  <c r="H108" i="27"/>
  <c r="H120" i="27" s="1"/>
  <c r="B108" i="27"/>
  <c r="D107" i="27"/>
  <c r="B107" i="27"/>
  <c r="D106" i="27"/>
  <c r="B106" i="27"/>
  <c r="D105" i="27"/>
  <c r="B105" i="27"/>
  <c r="D104" i="27"/>
  <c r="B104" i="27"/>
  <c r="D103" i="27"/>
  <c r="B103" i="27"/>
  <c r="D102" i="27"/>
  <c r="B102" i="27"/>
  <c r="D101" i="27"/>
  <c r="B101" i="27"/>
  <c r="D100" i="27"/>
  <c r="B100" i="27"/>
  <c r="D99" i="27"/>
  <c r="B99" i="27"/>
  <c r="D98" i="27"/>
  <c r="B98" i="27"/>
  <c r="B97" i="27"/>
  <c r="B96" i="27"/>
  <c r="B95" i="27"/>
  <c r="B94" i="27"/>
  <c r="B93" i="27"/>
  <c r="B92" i="27"/>
  <c r="B91" i="27"/>
  <c r="D90" i="27"/>
  <c r="B90" i="27"/>
  <c r="F89" i="27"/>
  <c r="B89" i="27"/>
  <c r="O88" i="27"/>
  <c r="L88" i="27"/>
  <c r="D88" i="27"/>
  <c r="B88" i="27"/>
  <c r="O87" i="27"/>
  <c r="L87" i="27"/>
  <c r="D87" i="27"/>
  <c r="B87" i="27"/>
  <c r="O86" i="27"/>
  <c r="L86" i="27"/>
  <c r="D86" i="27"/>
  <c r="B86" i="27"/>
  <c r="O85" i="27"/>
  <c r="L85" i="27"/>
  <c r="D85" i="27"/>
  <c r="B85" i="27"/>
  <c r="O84" i="27"/>
  <c r="L84" i="27"/>
  <c r="D84" i="27"/>
  <c r="B84" i="27"/>
  <c r="O83" i="27"/>
  <c r="L83" i="27"/>
  <c r="D83" i="27"/>
  <c r="B83" i="27"/>
  <c r="O82" i="27"/>
  <c r="L82" i="27"/>
  <c r="D82" i="27"/>
  <c r="B82" i="27"/>
  <c r="O81" i="27"/>
  <c r="L81" i="27"/>
  <c r="D81" i="27"/>
  <c r="B81" i="27"/>
  <c r="O80" i="27"/>
  <c r="L80" i="27"/>
  <c r="D80" i="27"/>
  <c r="B80" i="27"/>
  <c r="O79" i="27"/>
  <c r="L79" i="27"/>
  <c r="D79" i="27"/>
  <c r="B79" i="27"/>
  <c r="F78" i="27"/>
  <c r="B78" i="27"/>
  <c r="O77" i="27"/>
  <c r="L77" i="27"/>
  <c r="D77" i="27"/>
  <c r="B77" i="27"/>
  <c r="O76" i="27"/>
  <c r="L76" i="27"/>
  <c r="D76" i="27"/>
  <c r="B76" i="27"/>
  <c r="O75" i="27"/>
  <c r="L75" i="27"/>
  <c r="D75" i="27"/>
  <c r="B75" i="27"/>
  <c r="O74" i="27"/>
  <c r="L74" i="27"/>
  <c r="D74" i="27"/>
  <c r="B74" i="27"/>
  <c r="O73" i="27"/>
  <c r="L73" i="27"/>
  <c r="D73" i="27"/>
  <c r="B73" i="27"/>
  <c r="O72" i="27"/>
  <c r="L72" i="27"/>
  <c r="D72" i="27"/>
  <c r="B72" i="27"/>
  <c r="O71" i="27"/>
  <c r="L71" i="27"/>
  <c r="D71" i="27"/>
  <c r="B71" i="27"/>
  <c r="O70" i="27"/>
  <c r="L70" i="27"/>
  <c r="D70" i="27"/>
  <c r="B70" i="27"/>
  <c r="O69" i="27"/>
  <c r="L69" i="27"/>
  <c r="D69" i="27"/>
  <c r="B69" i="27"/>
  <c r="O68" i="27"/>
  <c r="L68" i="27"/>
  <c r="D68" i="27"/>
  <c r="B68" i="27"/>
  <c r="B67" i="27"/>
  <c r="N66" i="27"/>
  <c r="B66" i="27"/>
  <c r="D65" i="27"/>
  <c r="B65" i="27"/>
  <c r="B64" i="27"/>
  <c r="B63" i="27"/>
  <c r="B62" i="27"/>
  <c r="B61" i="27"/>
  <c r="F60" i="27"/>
  <c r="B60" i="27"/>
  <c r="B59" i="27"/>
  <c r="B58" i="27"/>
  <c r="B57" i="27"/>
  <c r="F56" i="27"/>
  <c r="B56" i="27"/>
  <c r="B55" i="27"/>
  <c r="F54" i="27"/>
  <c r="B54" i="27"/>
  <c r="B53" i="27"/>
  <c r="D52" i="27"/>
  <c r="B52" i="27"/>
  <c r="B51" i="27"/>
  <c r="B50" i="27"/>
  <c r="D47" i="27"/>
  <c r="F45" i="27"/>
  <c r="F46" i="27"/>
  <c r="A41" i="27"/>
  <c r="F41" i="27"/>
  <c r="D39" i="27"/>
  <c r="B37" i="27"/>
  <c r="B36" i="27"/>
  <c r="E35" i="27"/>
  <c r="H35" i="27" s="1"/>
  <c r="B35" i="27"/>
  <c r="B34" i="27"/>
  <c r="A34" i="27"/>
  <c r="B33" i="27"/>
  <c r="A33" i="27"/>
  <c r="B32" i="27"/>
  <c r="A32" i="27"/>
  <c r="B31" i="27"/>
  <c r="A31" i="27"/>
  <c r="B30" i="27"/>
  <c r="A30" i="27"/>
  <c r="B29" i="27"/>
  <c r="A29" i="27"/>
  <c r="B28" i="27"/>
  <c r="A28" i="27"/>
  <c r="B27" i="27"/>
  <c r="A27" i="27"/>
  <c r="B26" i="27"/>
  <c r="A26" i="27"/>
  <c r="B25" i="27"/>
  <c r="A25" i="27"/>
  <c r="B24" i="27"/>
  <c r="B23" i="27"/>
  <c r="B22" i="27"/>
  <c r="B21" i="27"/>
  <c r="A14" i="27"/>
  <c r="A13" i="27"/>
  <c r="A12" i="27"/>
  <c r="A11" i="27"/>
  <c r="A10" i="27"/>
  <c r="A9" i="27"/>
  <c r="A8" i="27"/>
  <c r="A7" i="27"/>
  <c r="A6" i="27"/>
  <c r="F69" i="78"/>
  <c r="F63" i="78"/>
  <c r="E63" i="78"/>
  <c r="F62" i="78"/>
  <c r="E62" i="78"/>
  <c r="F61" i="78"/>
  <c r="E61" i="78"/>
  <c r="F60" i="78"/>
  <c r="E60" i="78"/>
  <c r="I49" i="78"/>
  <c r="H49" i="78"/>
  <c r="G49" i="78"/>
  <c r="F49" i="78"/>
  <c r="I41" i="78"/>
  <c r="I50" i="78"/>
  <c r="I54" i="78"/>
  <c r="I19" i="78"/>
  <c r="H41" i="78"/>
  <c r="H50" i="78"/>
  <c r="H54" i="78"/>
  <c r="H19" i="78"/>
  <c r="G41" i="78"/>
  <c r="G50" i="78"/>
  <c r="G54" i="78"/>
  <c r="G19" i="78"/>
  <c r="F41" i="78"/>
  <c r="F50" i="78"/>
  <c r="F54" i="78"/>
  <c r="F19" i="78"/>
  <c r="I16" i="78"/>
  <c r="I17" i="78" s="1"/>
  <c r="I20" i="78" s="1"/>
  <c r="H16" i="78"/>
  <c r="H17" i="78" s="1"/>
  <c r="H20" i="78" s="1"/>
  <c r="G16" i="78"/>
  <c r="G17" i="78"/>
  <c r="G20" i="78" s="1"/>
  <c r="F16" i="78"/>
  <c r="F17" i="78" s="1"/>
  <c r="F20" i="78" s="1"/>
  <c r="I13" i="78"/>
  <c r="H13" i="78"/>
  <c r="G13" i="78"/>
  <c r="F13" i="78"/>
  <c r="I8" i="78"/>
  <c r="H8" i="78"/>
  <c r="G8" i="78"/>
  <c r="F8" i="78"/>
  <c r="D91" i="75"/>
  <c r="D90" i="75"/>
  <c r="D89" i="75"/>
  <c r="D88" i="75"/>
  <c r="D87" i="75"/>
  <c r="D86" i="75"/>
  <c r="D85" i="75"/>
  <c r="D84" i="75"/>
  <c r="D83" i="75"/>
  <c r="D82" i="75"/>
  <c r="D80" i="75"/>
  <c r="D79" i="75"/>
  <c r="D78" i="75"/>
  <c r="D77" i="75"/>
  <c r="D76" i="75"/>
  <c r="D75" i="75"/>
  <c r="D74" i="75"/>
  <c r="D73" i="75"/>
  <c r="D72" i="75"/>
  <c r="D71" i="75"/>
  <c r="D63" i="75"/>
  <c r="D55" i="75"/>
  <c r="A29" i="75"/>
  <c r="A28" i="75"/>
  <c r="A27" i="75"/>
  <c r="A26" i="75"/>
  <c r="A25" i="75"/>
  <c r="A24" i="75"/>
  <c r="A16" i="75"/>
  <c r="A15" i="75"/>
  <c r="A14" i="75"/>
  <c r="A13" i="75"/>
  <c r="A12" i="75"/>
  <c r="A11" i="75"/>
  <c r="A10" i="75"/>
  <c r="A9" i="75"/>
  <c r="A8" i="75"/>
  <c r="A7" i="75"/>
  <c r="F57" i="26"/>
  <c r="G57" i="26"/>
  <c r="H57" i="26"/>
  <c r="I57" i="26"/>
  <c r="J57" i="26"/>
  <c r="K57" i="26"/>
  <c r="L57" i="26"/>
  <c r="M57" i="26"/>
  <c r="N57" i="26"/>
  <c r="P48" i="26"/>
  <c r="N42" i="26"/>
  <c r="M42" i="26"/>
  <c r="L42" i="26"/>
  <c r="K42" i="26"/>
  <c r="J42" i="26"/>
  <c r="I42" i="26"/>
  <c r="H42" i="26"/>
  <c r="G42" i="26"/>
  <c r="F42" i="26"/>
  <c r="E42" i="26"/>
  <c r="N27" i="26"/>
  <c r="M27" i="26"/>
  <c r="L27" i="26"/>
  <c r="K27" i="26"/>
  <c r="J27" i="26"/>
  <c r="I27" i="26"/>
  <c r="H27" i="26"/>
  <c r="G27" i="26"/>
  <c r="F27" i="26"/>
  <c r="E27" i="26"/>
  <c r="E16" i="26"/>
  <c r="O14" i="26"/>
  <c r="N13" i="26"/>
  <c r="M13" i="26"/>
  <c r="L13" i="26"/>
  <c r="J13" i="26"/>
  <c r="I13" i="26"/>
  <c r="H13" i="26"/>
  <c r="G13" i="26"/>
  <c r="F13" i="26"/>
  <c r="E12" i="26"/>
  <c r="E24" i="28"/>
  <c r="F5" i="26"/>
  <c r="G5" i="26" s="1"/>
  <c r="H5" i="26" s="1"/>
  <c r="I5" i="26" s="1"/>
  <c r="J5" i="26" s="1"/>
  <c r="K5" i="26" s="1"/>
  <c r="L5" i="26" s="1"/>
  <c r="M5" i="26" s="1"/>
  <c r="N5" i="26" s="1"/>
  <c r="V191" i="24"/>
  <c r="A191" i="24" s="1"/>
  <c r="V190" i="24"/>
  <c r="A190" i="24" s="1"/>
  <c r="V189" i="24"/>
  <c r="A189" i="24" s="1"/>
  <c r="V188" i="24"/>
  <c r="A188" i="24" s="1"/>
  <c r="V187" i="24"/>
  <c r="A187" i="24" s="1"/>
  <c r="V186" i="24"/>
  <c r="A186" i="24" s="1"/>
  <c r="V185" i="24"/>
  <c r="A185" i="24" s="1"/>
  <c r="V184" i="24"/>
  <c r="A184" i="24" s="1"/>
  <c r="V183" i="24"/>
  <c r="A183" i="24" s="1"/>
  <c r="V182" i="24"/>
  <c r="A182" i="24" s="1"/>
  <c r="V181" i="24"/>
  <c r="A181" i="24" s="1"/>
  <c r="V180" i="24"/>
  <c r="A180" i="24" s="1"/>
  <c r="A173" i="24"/>
  <c r="A172" i="24"/>
  <c r="A171" i="24"/>
  <c r="A170" i="24"/>
  <c r="V168" i="24"/>
  <c r="A166" i="24"/>
  <c r="A165" i="24"/>
  <c r="A164" i="24"/>
  <c r="A163" i="24"/>
  <c r="V161" i="24"/>
  <c r="O151" i="24"/>
  <c r="O150" i="24"/>
  <c r="O149" i="24"/>
  <c r="AG148" i="24"/>
  <c r="AG151" i="24" s="1"/>
  <c r="O148" i="24"/>
  <c r="D143" i="24"/>
  <c r="A143" i="24"/>
  <c r="I63" i="24"/>
  <c r="I71" i="24"/>
  <c r="I78" i="24"/>
  <c r="I84" i="24"/>
  <c r="I90" i="24"/>
  <c r="I98" i="24"/>
  <c r="I104" i="24"/>
  <c r="I110" i="24"/>
  <c r="I116" i="24"/>
  <c r="I122" i="24"/>
  <c r="I128" i="24"/>
  <c r="I134" i="24"/>
  <c r="H63" i="24"/>
  <c r="H71" i="24"/>
  <c r="H78" i="24"/>
  <c r="H84" i="24"/>
  <c r="H90" i="24"/>
  <c r="H98" i="24"/>
  <c r="H104" i="24"/>
  <c r="H110" i="24"/>
  <c r="H116" i="24"/>
  <c r="H122" i="24"/>
  <c r="H128" i="24"/>
  <c r="H134" i="24"/>
  <c r="G63" i="24"/>
  <c r="G71" i="24"/>
  <c r="G78" i="24"/>
  <c r="G84" i="24"/>
  <c r="G90" i="24"/>
  <c r="G98" i="24"/>
  <c r="G104" i="24"/>
  <c r="G110" i="24"/>
  <c r="G116" i="24"/>
  <c r="G122" i="24"/>
  <c r="G128" i="24"/>
  <c r="G134" i="24"/>
  <c r="F63" i="24"/>
  <c r="F71" i="24"/>
  <c r="F78" i="24"/>
  <c r="F84" i="24"/>
  <c r="F90" i="24"/>
  <c r="F98" i="24"/>
  <c r="F104" i="24"/>
  <c r="F110" i="24"/>
  <c r="F116" i="24"/>
  <c r="F122" i="24"/>
  <c r="F128" i="24"/>
  <c r="F134" i="24"/>
  <c r="A142" i="24"/>
  <c r="D141" i="24"/>
  <c r="D140" i="24"/>
  <c r="A140" i="24"/>
  <c r="E139" i="24"/>
  <c r="D136" i="24"/>
  <c r="A136" i="24"/>
  <c r="A135" i="24" s="1"/>
  <c r="E133" i="24"/>
  <c r="D130" i="24"/>
  <c r="A130" i="24"/>
  <c r="A131" i="24" s="1"/>
  <c r="A132" i="24" s="1"/>
  <c r="A133" i="24" s="1"/>
  <c r="E127" i="24"/>
  <c r="D124" i="24"/>
  <c r="A124" i="24"/>
  <c r="A125" i="24" s="1"/>
  <c r="A126" i="24" s="1"/>
  <c r="A127" i="24" s="1"/>
  <c r="E123" i="24"/>
  <c r="E121" i="24"/>
  <c r="D118" i="24"/>
  <c r="A118" i="24"/>
  <c r="A119" i="24" s="1"/>
  <c r="A120" i="24" s="1"/>
  <c r="A121" i="24" s="1"/>
  <c r="E117" i="24"/>
  <c r="E115" i="24"/>
  <c r="D112" i="24"/>
  <c r="A112" i="24"/>
  <c r="A113" i="24" s="1"/>
  <c r="A114" i="24" s="1"/>
  <c r="A115" i="24" s="1"/>
  <c r="E111" i="24"/>
  <c r="E109" i="24"/>
  <c r="D106" i="24"/>
  <c r="A106" i="24"/>
  <c r="A104" i="24" s="1"/>
  <c r="E105" i="24"/>
  <c r="E103" i="24"/>
  <c r="D100" i="24"/>
  <c r="A100" i="24"/>
  <c r="A101" i="24" s="1"/>
  <c r="A102" i="24" s="1"/>
  <c r="A103" i="24" s="1"/>
  <c r="E99" i="24"/>
  <c r="E97" i="24"/>
  <c r="D94" i="24"/>
  <c r="A94" i="24"/>
  <c r="A91" i="24" s="1"/>
  <c r="I91" i="24"/>
  <c r="H91" i="24"/>
  <c r="G91" i="24"/>
  <c r="F91" i="24"/>
  <c r="E91" i="24"/>
  <c r="E89" i="24"/>
  <c r="D86" i="24"/>
  <c r="A86" i="24"/>
  <c r="A87" i="24" s="1"/>
  <c r="A88" i="24" s="1"/>
  <c r="A89" i="24" s="1"/>
  <c r="E85" i="24"/>
  <c r="E83" i="24"/>
  <c r="D80" i="24"/>
  <c r="A80" i="24"/>
  <c r="A81" i="24" s="1"/>
  <c r="A82" i="24" s="1"/>
  <c r="A83" i="24" s="1"/>
  <c r="E79" i="24"/>
  <c r="E77" i="24"/>
  <c r="D74" i="24"/>
  <c r="A74" i="24"/>
  <c r="A75" i="24" s="1"/>
  <c r="A76" i="24" s="1"/>
  <c r="A77" i="24" s="1"/>
  <c r="I72" i="24"/>
  <c r="H72" i="24"/>
  <c r="G72" i="24"/>
  <c r="F72" i="24"/>
  <c r="E70" i="24"/>
  <c r="D67" i="24"/>
  <c r="A67" i="24"/>
  <c r="A68" i="24" s="1"/>
  <c r="A69" i="24" s="1"/>
  <c r="A70" i="24" s="1"/>
  <c r="E66" i="24"/>
  <c r="E65" i="24"/>
  <c r="I61" i="24"/>
  <c r="H61" i="24"/>
  <c r="G61" i="24"/>
  <c r="F61" i="24"/>
  <c r="A61" i="24"/>
  <c r="E60" i="24"/>
  <c r="G60" i="24" s="1"/>
  <c r="I59" i="24"/>
  <c r="H59" i="24"/>
  <c r="G59" i="24"/>
  <c r="F59" i="24"/>
  <c r="A56" i="24"/>
  <c r="A52" i="24"/>
  <c r="E51" i="24"/>
  <c r="A45" i="24"/>
  <c r="E44" i="24"/>
  <c r="A38" i="24"/>
  <c r="E37" i="24"/>
  <c r="I30" i="24"/>
  <c r="H30" i="24"/>
  <c r="G30" i="24"/>
  <c r="F30" i="24"/>
  <c r="A30" i="24"/>
  <c r="I29" i="24"/>
  <c r="H29" i="24"/>
  <c r="G29" i="24"/>
  <c r="F29" i="24"/>
  <c r="A29" i="24"/>
  <c r="I28" i="24"/>
  <c r="H28" i="24"/>
  <c r="G28" i="24"/>
  <c r="F28" i="24"/>
  <c r="A28" i="24"/>
  <c r="I27" i="24"/>
  <c r="H27" i="24"/>
  <c r="G27" i="24"/>
  <c r="F27" i="24"/>
  <c r="A27" i="24"/>
  <c r="I26" i="24"/>
  <c r="H26" i="24"/>
  <c r="G26" i="24"/>
  <c r="F26" i="24"/>
  <c r="A26" i="24"/>
  <c r="I25" i="24"/>
  <c r="H25" i="24"/>
  <c r="G25" i="24"/>
  <c r="F25" i="24"/>
  <c r="A25" i="24"/>
  <c r="R149" i="24"/>
  <c r="A24" i="24"/>
  <c r="I23" i="24"/>
  <c r="H23" i="24"/>
  <c r="G23" i="24"/>
  <c r="F23" i="24"/>
  <c r="A23" i="24"/>
  <c r="E22" i="24"/>
  <c r="A22" i="24"/>
  <c r="E21" i="24"/>
  <c r="A21" i="24"/>
  <c r="E20" i="24"/>
  <c r="A20" i="24"/>
  <c r="E19" i="24"/>
  <c r="A19" i="24"/>
  <c r="A18" i="24"/>
  <c r="A17" i="24"/>
  <c r="A16" i="24"/>
  <c r="A13" i="24"/>
  <c r="A12" i="24"/>
  <c r="E11" i="24"/>
  <c r="A11" i="24"/>
  <c r="I7" i="24"/>
  <c r="H7" i="24"/>
  <c r="G7" i="24"/>
  <c r="F7" i="24"/>
  <c r="A183" i="65"/>
  <c r="A182" i="65"/>
  <c r="AF181" i="65"/>
  <c r="AE181" i="65"/>
  <c r="AD181" i="65"/>
  <c r="AC181" i="65"/>
  <c r="AB181" i="65"/>
  <c r="AA181" i="65"/>
  <c r="A181" i="65"/>
  <c r="AF178" i="65"/>
  <c r="AE178" i="65"/>
  <c r="AD178" i="65"/>
  <c r="AC178" i="65"/>
  <c r="AB178" i="65"/>
  <c r="AA178" i="65"/>
  <c r="A178" i="65"/>
  <c r="AF175" i="65"/>
  <c r="AE175" i="65"/>
  <c r="AD175" i="65"/>
  <c r="AC175" i="65"/>
  <c r="AB175" i="65"/>
  <c r="AA175" i="65"/>
  <c r="A175" i="65"/>
  <c r="A172" i="65"/>
  <c r="A171" i="65"/>
  <c r="A170" i="65"/>
  <c r="A169" i="65"/>
  <c r="A168" i="65"/>
  <c r="A167" i="65"/>
  <c r="AF166" i="65"/>
  <c r="AE166" i="65"/>
  <c r="AD166" i="65"/>
  <c r="AC166" i="65"/>
  <c r="AB166" i="65"/>
  <c r="AA166" i="65"/>
  <c r="A166" i="65"/>
  <c r="A163" i="65"/>
  <c r="A162" i="65"/>
  <c r="A161" i="65"/>
  <c r="A160" i="65"/>
  <c r="A159" i="65"/>
  <c r="A158" i="65"/>
  <c r="A157" i="65"/>
  <c r="A156" i="65"/>
  <c r="A155" i="65"/>
  <c r="A154" i="65"/>
  <c r="A153" i="65"/>
  <c r="A152" i="65"/>
  <c r="A151" i="65"/>
  <c r="A150" i="65"/>
  <c r="A149" i="65"/>
  <c r="A148" i="65"/>
  <c r="A147" i="65"/>
  <c r="A146" i="65"/>
  <c r="AF145" i="65"/>
  <c r="AE145" i="65"/>
  <c r="AD145" i="65"/>
  <c r="AC145" i="65"/>
  <c r="AB145" i="65"/>
  <c r="AA145" i="65"/>
  <c r="A145" i="65"/>
  <c r="AF144" i="65"/>
  <c r="AE144" i="65"/>
  <c r="AD144" i="65"/>
  <c r="AC144" i="65"/>
  <c r="AB144" i="65"/>
  <c r="AA144" i="65"/>
  <c r="A144" i="65"/>
  <c r="AF143" i="65"/>
  <c r="AE143" i="65"/>
  <c r="AD143" i="65"/>
  <c r="AC143" i="65"/>
  <c r="AB143" i="65"/>
  <c r="AA143" i="65"/>
  <c r="A143" i="65"/>
  <c r="AF142" i="65"/>
  <c r="AE142" i="65"/>
  <c r="AD142" i="65"/>
  <c r="AC142" i="65"/>
  <c r="AB142" i="65"/>
  <c r="AA142" i="65"/>
  <c r="A142" i="65"/>
  <c r="AF141" i="65"/>
  <c r="AE141" i="65"/>
  <c r="AD141" i="65"/>
  <c r="AC141" i="65"/>
  <c r="AB141" i="65"/>
  <c r="AA141" i="65"/>
  <c r="A141" i="65"/>
  <c r="AF140" i="65"/>
  <c r="AE140" i="65"/>
  <c r="AD140" i="65"/>
  <c r="AC140" i="65"/>
  <c r="AB140" i="65"/>
  <c r="AA140" i="65"/>
  <c r="A140" i="65"/>
  <c r="AF139" i="65"/>
  <c r="AE139" i="65"/>
  <c r="AD139" i="65"/>
  <c r="AC139" i="65"/>
  <c r="AB139" i="65"/>
  <c r="AA139" i="65"/>
  <c r="A139" i="65"/>
  <c r="AF138" i="65"/>
  <c r="AE138" i="65"/>
  <c r="AD138" i="65"/>
  <c r="AC138" i="65"/>
  <c r="AB138" i="65"/>
  <c r="AA138" i="65"/>
  <c r="A138" i="65"/>
  <c r="A137" i="65"/>
  <c r="A136" i="65"/>
  <c r="A135" i="65"/>
  <c r="A134" i="65"/>
  <c r="A133" i="65"/>
  <c r="A132" i="65"/>
  <c r="A131" i="65"/>
  <c r="A130" i="65"/>
  <c r="A129" i="65"/>
  <c r="A128" i="65"/>
  <c r="Z126" i="65"/>
  <c r="A122" i="65"/>
  <c r="A121" i="65"/>
  <c r="T120" i="65"/>
  <c r="S120" i="65"/>
  <c r="R120" i="65"/>
  <c r="Q120" i="65"/>
  <c r="P120" i="65"/>
  <c r="O120" i="65"/>
  <c r="A120" i="65"/>
  <c r="T117" i="65"/>
  <c r="S117" i="65"/>
  <c r="R117" i="65"/>
  <c r="Q117" i="65"/>
  <c r="P117" i="65"/>
  <c r="O117" i="65"/>
  <c r="A117" i="65"/>
  <c r="T114" i="65"/>
  <c r="S114" i="65"/>
  <c r="R114" i="65"/>
  <c r="Q114" i="65"/>
  <c r="P114" i="65"/>
  <c r="O114" i="65"/>
  <c r="A114" i="65"/>
  <c r="A111" i="65"/>
  <c r="A110" i="65"/>
  <c r="A109" i="65"/>
  <c r="A108" i="65"/>
  <c r="A107" i="65"/>
  <c r="A106" i="65"/>
  <c r="T105" i="65"/>
  <c r="S105" i="65"/>
  <c r="R105" i="65"/>
  <c r="Q105" i="65"/>
  <c r="P105" i="65"/>
  <c r="O105" i="65"/>
  <c r="A105" i="65"/>
  <c r="A102" i="65"/>
  <c r="A101" i="65"/>
  <c r="A100" i="65"/>
  <c r="A99" i="65"/>
  <c r="A98" i="65"/>
  <c r="A97" i="65"/>
  <c r="A96" i="65"/>
  <c r="A95" i="65"/>
  <c r="A94" i="65"/>
  <c r="A93" i="65"/>
  <c r="A92" i="65"/>
  <c r="A91" i="65"/>
  <c r="A90" i="65"/>
  <c r="A89" i="65"/>
  <c r="A88" i="65"/>
  <c r="A87" i="65"/>
  <c r="A86" i="65"/>
  <c r="A85" i="65"/>
  <c r="T84" i="65"/>
  <c r="S84" i="65"/>
  <c r="R84" i="65"/>
  <c r="Q84" i="65"/>
  <c r="P84" i="65"/>
  <c r="O84" i="65"/>
  <c r="A84" i="65"/>
  <c r="T83" i="65"/>
  <c r="S83" i="65"/>
  <c r="R83" i="65"/>
  <c r="Q83" i="65"/>
  <c r="P83" i="65"/>
  <c r="O83" i="65"/>
  <c r="A83" i="65"/>
  <c r="T82" i="65"/>
  <c r="S82" i="65"/>
  <c r="R82" i="65"/>
  <c r="Q82" i="65"/>
  <c r="P82" i="65"/>
  <c r="O82" i="65"/>
  <c r="A82" i="65"/>
  <c r="T81" i="65"/>
  <c r="S81" i="65"/>
  <c r="R81" i="65"/>
  <c r="Q81" i="65"/>
  <c r="P81" i="65"/>
  <c r="O81" i="65"/>
  <c r="A81" i="65"/>
  <c r="T80" i="65"/>
  <c r="S80" i="65"/>
  <c r="R80" i="65"/>
  <c r="Q80" i="65"/>
  <c r="P80" i="65"/>
  <c r="O80" i="65"/>
  <c r="A80" i="65"/>
  <c r="T79" i="65"/>
  <c r="S79" i="65"/>
  <c r="R79" i="65"/>
  <c r="Q79" i="65"/>
  <c r="P79" i="65"/>
  <c r="O79" i="65"/>
  <c r="A79" i="65"/>
  <c r="T78" i="65"/>
  <c r="S78" i="65"/>
  <c r="R78" i="65"/>
  <c r="Q78" i="65"/>
  <c r="P78" i="65"/>
  <c r="O78" i="65"/>
  <c r="A78" i="65"/>
  <c r="T77" i="65"/>
  <c r="S77" i="65"/>
  <c r="R77" i="65"/>
  <c r="Q77" i="65"/>
  <c r="P77" i="65"/>
  <c r="O77" i="65"/>
  <c r="A77" i="65"/>
  <c r="A76" i="65"/>
  <c r="A75" i="65"/>
  <c r="A74" i="65"/>
  <c r="A73" i="65"/>
  <c r="A72" i="65"/>
  <c r="A71" i="65"/>
  <c r="A70" i="65"/>
  <c r="A69" i="65"/>
  <c r="A68" i="65"/>
  <c r="A67" i="65"/>
  <c r="N65" i="65"/>
  <c r="H59" i="65"/>
  <c r="G59" i="65"/>
  <c r="F59" i="65"/>
  <c r="E59" i="65"/>
  <c r="H56" i="65"/>
  <c r="G56" i="65"/>
  <c r="F56" i="65"/>
  <c r="E56" i="65"/>
  <c r="A53" i="65"/>
  <c r="A47" i="65"/>
  <c r="A46" i="65"/>
  <c r="A45" i="65"/>
  <c r="A41" i="65"/>
  <c r="A40" i="65"/>
  <c r="A39" i="65"/>
  <c r="A38" i="65"/>
  <c r="A37" i="65"/>
  <c r="A36" i="65"/>
  <c r="A35" i="65"/>
  <c r="A34" i="65"/>
  <c r="A33" i="65"/>
  <c r="A32" i="65"/>
  <c r="A31" i="65"/>
  <c r="A30" i="65"/>
  <c r="A29" i="65"/>
  <c r="A28" i="65"/>
  <c r="A27" i="65"/>
  <c r="A26" i="65"/>
  <c r="A25" i="65"/>
  <c r="A24" i="65"/>
  <c r="H23" i="65"/>
  <c r="G23" i="65"/>
  <c r="F23" i="65"/>
  <c r="E23" i="65"/>
  <c r="A23" i="65"/>
  <c r="H22" i="65"/>
  <c r="G22" i="65"/>
  <c r="F22" i="65"/>
  <c r="E22" i="65"/>
  <c r="A22" i="65"/>
  <c r="H21" i="65"/>
  <c r="G21" i="65"/>
  <c r="F21" i="65"/>
  <c r="E21" i="65"/>
  <c r="A21" i="65"/>
  <c r="H20" i="65"/>
  <c r="G20" i="65"/>
  <c r="F20" i="65"/>
  <c r="E20" i="65"/>
  <c r="A20" i="65"/>
  <c r="H19" i="65"/>
  <c r="G19" i="65"/>
  <c r="F19" i="65"/>
  <c r="E19" i="65"/>
  <c r="A19" i="65"/>
  <c r="H18" i="65"/>
  <c r="G18" i="65"/>
  <c r="F18" i="65"/>
  <c r="E18" i="65"/>
  <c r="A18" i="65"/>
  <c r="H17" i="65"/>
  <c r="G17" i="65"/>
  <c r="F17" i="65"/>
  <c r="E17" i="65"/>
  <c r="A17" i="65"/>
  <c r="H16" i="65"/>
  <c r="G16" i="65"/>
  <c r="F16" i="65"/>
  <c r="E16" i="65"/>
  <c r="A16" i="65"/>
  <c r="A15" i="65"/>
  <c r="A14" i="65"/>
  <c r="A13" i="65"/>
  <c r="A12" i="65"/>
  <c r="A11" i="65"/>
  <c r="A10" i="65"/>
  <c r="A9" i="65"/>
  <c r="A8" i="65"/>
  <c r="A7" i="65"/>
  <c r="A6" i="65"/>
  <c r="CC38" i="13"/>
  <c r="CB38" i="13"/>
  <c r="CA38" i="13"/>
  <c r="BZ38" i="13"/>
  <c r="BY38" i="13"/>
  <c r="BX38" i="13"/>
  <c r="BW38" i="13"/>
  <c r="BV38" i="13"/>
  <c r="BU38" i="13"/>
  <c r="BT38" i="13"/>
  <c r="BS38" i="13"/>
  <c r="BR38" i="13"/>
  <c r="BS30" i="13" s="1"/>
  <c r="BQ38" i="13"/>
  <c r="BP38" i="13"/>
  <c r="BO38" i="13"/>
  <c r="BN38" i="13"/>
  <c r="BM38" i="13"/>
  <c r="BL38" i="13"/>
  <c r="BK38" i="13"/>
  <c r="BJ38" i="13"/>
  <c r="BI38" i="13"/>
  <c r="BH38" i="13"/>
  <c r="CC36" i="13"/>
  <c r="CB36" i="13"/>
  <c r="CA36" i="13"/>
  <c r="BZ36" i="13"/>
  <c r="BY36" i="13"/>
  <c r="BX36" i="13"/>
  <c r="CC35" i="13"/>
  <c r="CB35" i="13"/>
  <c r="CA35" i="13"/>
  <c r="BZ35" i="13"/>
  <c r="BY35" i="13"/>
  <c r="BX35" i="13"/>
  <c r="CC34" i="13"/>
  <c r="CB34" i="13"/>
  <c r="CA34" i="13"/>
  <c r="BZ34" i="13"/>
  <c r="BY34" i="13"/>
  <c r="BX34" i="13"/>
  <c r="CC33" i="13"/>
  <c r="CB33" i="13"/>
  <c r="CA33" i="13"/>
  <c r="BZ33" i="13"/>
  <c r="BY33" i="13"/>
  <c r="BX33" i="13"/>
  <c r="CC32" i="13"/>
  <c r="CB32" i="13"/>
  <c r="CA32" i="13"/>
  <c r="BZ32" i="13"/>
  <c r="BY32" i="13"/>
  <c r="BX32" i="13"/>
  <c r="CC31" i="13"/>
  <c r="CB31" i="13"/>
  <c r="CA31" i="13"/>
  <c r="BZ31" i="13"/>
  <c r="BY31" i="13"/>
  <c r="BX31" i="13"/>
  <c r="BH28" i="13"/>
  <c r="BA25" i="13"/>
  <c r="AZ25" i="13"/>
  <c r="AY25" i="13"/>
  <c r="AX25" i="13"/>
  <c r="AW25" i="13"/>
  <c r="AV25" i="13"/>
  <c r="AU25" i="13"/>
  <c r="AT25" i="13"/>
  <c r="AS25" i="13"/>
  <c r="AR25" i="13"/>
  <c r="AQ25" i="13"/>
  <c r="AP25" i="13"/>
  <c r="AQ17" i="13" s="1"/>
  <c r="AO25" i="13"/>
  <c r="AN25" i="13"/>
  <c r="AM25" i="13"/>
  <c r="AL25" i="13"/>
  <c r="AK25" i="13"/>
  <c r="AJ25" i="13"/>
  <c r="AI25" i="13"/>
  <c r="AH25" i="13"/>
  <c r="AG25" i="13"/>
  <c r="AF25" i="13"/>
  <c r="BA23" i="13"/>
  <c r="AZ23" i="13"/>
  <c r="AY23" i="13"/>
  <c r="AX23" i="13"/>
  <c r="AW23" i="13"/>
  <c r="AV23" i="13"/>
  <c r="BA22" i="13"/>
  <c r="AZ22" i="13"/>
  <c r="AY22" i="13"/>
  <c r="AX22" i="13"/>
  <c r="AW22" i="13"/>
  <c r="AV22" i="13"/>
  <c r="BA21" i="13"/>
  <c r="AZ21" i="13"/>
  <c r="AY21" i="13"/>
  <c r="AX21" i="13"/>
  <c r="AW21" i="13"/>
  <c r="AV21" i="13"/>
  <c r="BA20" i="13"/>
  <c r="AZ20" i="13"/>
  <c r="AY20" i="13"/>
  <c r="AX20" i="13"/>
  <c r="AW20" i="13"/>
  <c r="AV20" i="13"/>
  <c r="BA19" i="13"/>
  <c r="AZ19" i="13"/>
  <c r="AY19" i="13"/>
  <c r="AX19" i="13"/>
  <c r="AW19" i="13"/>
  <c r="AV19" i="13"/>
  <c r="BA18" i="13"/>
  <c r="AZ18" i="13"/>
  <c r="AY18" i="13"/>
  <c r="AX18" i="13"/>
  <c r="AW18" i="13"/>
  <c r="AV18" i="13"/>
  <c r="AF15" i="13"/>
  <c r="Y12" i="13"/>
  <c r="X12" i="13"/>
  <c r="W12" i="13"/>
  <c r="V12" i="13"/>
  <c r="U12" i="13"/>
  <c r="T12" i="13"/>
  <c r="S12" i="13"/>
  <c r="R12" i="13"/>
  <c r="P12" i="13"/>
  <c r="O12" i="13"/>
  <c r="N12" i="13"/>
  <c r="O6" i="13" s="1"/>
  <c r="M12" i="13"/>
  <c r="L12" i="13"/>
  <c r="K12" i="13"/>
  <c r="J12" i="13"/>
  <c r="I12" i="13"/>
  <c r="H12" i="13"/>
  <c r="G12" i="13"/>
  <c r="F12" i="13"/>
  <c r="E12" i="13"/>
  <c r="D12" i="13"/>
  <c r="Y10" i="13"/>
  <c r="X10" i="13"/>
  <c r="W10" i="13"/>
  <c r="V10" i="13"/>
  <c r="U10" i="13"/>
  <c r="Y9" i="13"/>
  <c r="X9" i="13"/>
  <c r="W9" i="13"/>
  <c r="V9" i="13"/>
  <c r="U9" i="13"/>
  <c r="Y8" i="13"/>
  <c r="X8" i="13"/>
  <c r="W8" i="13"/>
  <c r="V8" i="13"/>
  <c r="U8" i="13"/>
  <c r="Y7" i="13"/>
  <c r="X7" i="13"/>
  <c r="W7" i="13"/>
  <c r="V7" i="13"/>
  <c r="U7" i="13"/>
  <c r="F17" i="12"/>
  <c r="K14" i="12"/>
  <c r="J14" i="12"/>
  <c r="G14" i="12"/>
  <c r="F14" i="12"/>
  <c r="E14" i="12"/>
  <c r="N12" i="12"/>
  <c r="M12" i="12"/>
  <c r="L12" i="12"/>
  <c r="K12" i="12"/>
  <c r="J12" i="12"/>
  <c r="O11" i="12"/>
  <c r="I11" i="12"/>
  <c r="A11" i="12"/>
  <c r="O10" i="12"/>
  <c r="I10" i="12"/>
  <c r="A10" i="12"/>
  <c r="O9" i="12"/>
  <c r="I9" i="12"/>
  <c r="A9" i="12"/>
  <c r="O8" i="12"/>
  <c r="I8" i="12"/>
  <c r="D8" i="12"/>
  <c r="D9" i="12" s="1"/>
  <c r="D10" i="12" s="1"/>
  <c r="D11" i="12" s="1"/>
  <c r="A8" i="12"/>
  <c r="O7" i="12"/>
  <c r="I7" i="12"/>
  <c r="A7" i="12"/>
  <c r="M6" i="12"/>
  <c r="M17" i="12" s="1"/>
  <c r="L6" i="12"/>
  <c r="L17" i="12" s="1"/>
  <c r="N5" i="12"/>
  <c r="M5" i="12"/>
  <c r="L5" i="12"/>
  <c r="AB47" i="4"/>
  <c r="U47" i="4"/>
  <c r="S47" i="4"/>
  <c r="AA44" i="4"/>
  <c r="X44" i="4"/>
  <c r="X47" i="4" s="1"/>
  <c r="I31" i="4"/>
  <c r="J30" i="4"/>
  <c r="I30" i="4"/>
  <c r="H30" i="4"/>
  <c r="J26" i="4"/>
  <c r="D19" i="4"/>
  <c r="A17" i="4"/>
  <c r="A16" i="4"/>
  <c r="J7" i="4"/>
  <c r="J31" i="4" s="1"/>
  <c r="H7" i="4"/>
  <c r="H25" i="4" s="1"/>
  <c r="F7" i="4"/>
  <c r="F34" i="4" s="1"/>
  <c r="D5" i="4"/>
  <c r="AM70" i="63"/>
  <c r="AL70" i="63"/>
  <c r="AK70" i="63"/>
  <c r="AJ70" i="63"/>
  <c r="AI70" i="63"/>
  <c r="AM69" i="63"/>
  <c r="AI69" i="63"/>
  <c r="AH69" i="63"/>
  <c r="AG69" i="63"/>
  <c r="A69" i="63"/>
  <c r="AM68" i="63"/>
  <c r="AI68" i="63"/>
  <c r="AH68" i="63"/>
  <c r="AG68" i="63"/>
  <c r="A68" i="63"/>
  <c r="AM67" i="63"/>
  <c r="AI67" i="63"/>
  <c r="AH67" i="63"/>
  <c r="AG67" i="63"/>
  <c r="A67" i="63"/>
  <c r="AM66" i="63"/>
  <c r="AI66" i="63"/>
  <c r="AH66" i="63"/>
  <c r="AG66" i="63"/>
  <c r="A66" i="63"/>
  <c r="AM65" i="63"/>
  <c r="AI65" i="63"/>
  <c r="AH65" i="63"/>
  <c r="AG65" i="63"/>
  <c r="A65" i="63"/>
  <c r="AM64" i="63"/>
  <c r="AI64" i="63"/>
  <c r="AH64" i="63"/>
  <c r="AG64" i="63"/>
  <c r="A64" i="63"/>
  <c r="AM63" i="63"/>
  <c r="AI63" i="63"/>
  <c r="AH63" i="63"/>
  <c r="AG63" i="63"/>
  <c r="A63" i="63"/>
  <c r="AM62" i="63"/>
  <c r="AI62" i="63"/>
  <c r="AH62" i="63"/>
  <c r="AG62" i="63"/>
  <c r="A62" i="63"/>
  <c r="AM61" i="63"/>
  <c r="AI61" i="63"/>
  <c r="AH61" i="63"/>
  <c r="AG61" i="63"/>
  <c r="A61" i="63"/>
  <c r="AM60" i="63"/>
  <c r="AI60" i="63"/>
  <c r="AH60" i="63"/>
  <c r="A60" i="63"/>
  <c r="AG57" i="63"/>
  <c r="AA52" i="63"/>
  <c r="Z52" i="63"/>
  <c r="W52" i="63"/>
  <c r="V52" i="63"/>
  <c r="U52" i="63"/>
  <c r="T52" i="63"/>
  <c r="S52" i="63"/>
  <c r="R52" i="63"/>
  <c r="O51" i="63"/>
  <c r="A51" i="63"/>
  <c r="O50" i="63"/>
  <c r="A50" i="63"/>
  <c r="O49" i="63"/>
  <c r="A49" i="63"/>
  <c r="O48" i="63"/>
  <c r="A48" i="63"/>
  <c r="O47" i="63"/>
  <c r="A47" i="63"/>
  <c r="O46" i="63"/>
  <c r="A46" i="63"/>
  <c r="O45" i="63"/>
  <c r="A45" i="63"/>
  <c r="O44" i="63"/>
  <c r="A44" i="63"/>
  <c r="O43" i="63"/>
  <c r="A43" i="63"/>
  <c r="A42" i="63"/>
  <c r="O39" i="63"/>
  <c r="H37" i="63"/>
  <c r="G37" i="63"/>
  <c r="F37" i="63"/>
  <c r="E37" i="63"/>
  <c r="I34" i="63"/>
  <c r="H34" i="63"/>
  <c r="G34" i="63"/>
  <c r="F34" i="63"/>
  <c r="E34" i="63"/>
  <c r="I33" i="63"/>
  <c r="I32" i="63"/>
  <c r="I29" i="63"/>
  <c r="H29" i="63"/>
  <c r="G29" i="63"/>
  <c r="F29" i="63"/>
  <c r="E29" i="63"/>
  <c r="I28" i="63"/>
  <c r="D28" i="63"/>
  <c r="A28" i="63"/>
  <c r="I27" i="63"/>
  <c r="D27" i="63"/>
  <c r="A27" i="63"/>
  <c r="I26" i="63"/>
  <c r="D26" i="63"/>
  <c r="A26" i="63"/>
  <c r="I25" i="63"/>
  <c r="D25" i="63"/>
  <c r="A25" i="63"/>
  <c r="I24" i="63"/>
  <c r="D24" i="63"/>
  <c r="A24" i="63"/>
  <c r="I23" i="63"/>
  <c r="D23" i="63"/>
  <c r="A23" i="63"/>
  <c r="I22" i="63"/>
  <c r="D22" i="63"/>
  <c r="A22" i="63"/>
  <c r="I21" i="63"/>
  <c r="D21" i="63"/>
  <c r="A21" i="63"/>
  <c r="I20" i="63"/>
  <c r="D20" i="63"/>
  <c r="A20" i="63"/>
  <c r="I19" i="63"/>
  <c r="A19" i="63"/>
  <c r="I16" i="63"/>
  <c r="G16" i="63"/>
  <c r="F16" i="63"/>
  <c r="E16" i="63"/>
  <c r="I15" i="63"/>
  <c r="D15" i="63"/>
  <c r="A15" i="63"/>
  <c r="I14" i="63"/>
  <c r="D14" i="63"/>
  <c r="A14" i="63"/>
  <c r="I13" i="63"/>
  <c r="D13" i="63"/>
  <c r="A13" i="63"/>
  <c r="I12" i="63"/>
  <c r="D12" i="63"/>
  <c r="A12" i="63"/>
  <c r="I11" i="63"/>
  <c r="D11" i="63"/>
  <c r="A11" i="63"/>
  <c r="I10" i="63"/>
  <c r="D10" i="63"/>
  <c r="A10" i="63"/>
  <c r="I9" i="63"/>
  <c r="D9" i="63"/>
  <c r="A9" i="63"/>
  <c r="I8" i="63"/>
  <c r="D8" i="63"/>
  <c r="A8" i="63"/>
  <c r="I7" i="63"/>
  <c r="D7" i="63"/>
  <c r="A7" i="63"/>
  <c r="I6" i="63"/>
  <c r="A6" i="63"/>
  <c r="G52" i="61"/>
  <c r="H3367" i="105"/>
  <c r="G3367" i="105"/>
  <c r="F3367" i="105"/>
  <c r="H3366" i="105"/>
  <c r="G3366" i="105"/>
  <c r="F3366" i="105"/>
  <c r="H3365" i="105"/>
  <c r="G3365" i="105"/>
  <c r="F3365" i="105"/>
  <c r="H3364" i="105"/>
  <c r="G3364" i="105"/>
  <c r="F3364" i="105"/>
  <c r="H3363" i="105"/>
  <c r="G3363" i="105"/>
  <c r="F3363" i="105"/>
  <c r="H3362" i="105"/>
  <c r="G3362" i="105"/>
  <c r="F3362" i="105"/>
  <c r="H3361" i="105"/>
  <c r="G3361" i="105"/>
  <c r="F3361" i="105"/>
  <c r="H3360" i="105"/>
  <c r="G3360" i="105"/>
  <c r="F3360" i="105"/>
  <c r="H3359" i="105"/>
  <c r="G3359" i="105"/>
  <c r="F3359" i="105"/>
  <c r="H3358" i="105"/>
  <c r="G3358" i="105"/>
  <c r="F3358" i="105"/>
  <c r="H3357" i="105"/>
  <c r="G3357" i="105"/>
  <c r="F3357" i="105"/>
  <c r="H3356" i="105"/>
  <c r="G3356" i="105"/>
  <c r="F3356" i="105"/>
  <c r="H3355" i="105"/>
  <c r="G3355" i="105"/>
  <c r="F3355" i="105"/>
  <c r="H3354" i="105"/>
  <c r="G3354" i="105"/>
  <c r="F3354" i="105"/>
  <c r="H3353" i="105"/>
  <c r="G3353" i="105"/>
  <c r="F3353" i="105"/>
  <c r="H3352" i="105"/>
  <c r="G3352" i="105"/>
  <c r="F3352" i="105"/>
  <c r="H3351" i="105"/>
  <c r="G3351" i="105"/>
  <c r="F3351" i="105"/>
  <c r="H3350" i="105"/>
  <c r="G3350" i="105"/>
  <c r="F3350" i="105"/>
  <c r="H3349" i="105"/>
  <c r="G3349" i="105"/>
  <c r="F3349" i="105"/>
  <c r="H3348" i="105"/>
  <c r="G3348" i="105"/>
  <c r="F3348" i="105"/>
  <c r="H3347" i="105"/>
  <c r="G3347" i="105"/>
  <c r="F3347" i="105"/>
  <c r="H3346" i="105"/>
  <c r="G3346" i="105"/>
  <c r="F3346" i="105"/>
  <c r="H3345" i="105"/>
  <c r="G3345" i="105"/>
  <c r="F3345" i="105"/>
  <c r="H3344" i="105"/>
  <c r="G3344" i="105"/>
  <c r="F3344" i="105"/>
  <c r="H3343" i="105"/>
  <c r="G3343" i="105"/>
  <c r="F3343" i="105"/>
  <c r="H3342" i="105"/>
  <c r="G3342" i="105"/>
  <c r="F3342" i="105"/>
  <c r="H3341" i="105"/>
  <c r="G3341" i="105"/>
  <c r="F3341" i="105"/>
  <c r="H3340" i="105"/>
  <c r="G3340" i="105"/>
  <c r="F3340" i="105"/>
  <c r="H3339" i="105"/>
  <c r="G3339" i="105"/>
  <c r="F3339" i="105"/>
  <c r="H3338" i="105"/>
  <c r="G3338" i="105"/>
  <c r="F3338" i="105"/>
  <c r="H3337" i="105"/>
  <c r="G3337" i="105"/>
  <c r="F3337" i="105"/>
  <c r="H3336" i="105"/>
  <c r="G3336" i="105"/>
  <c r="F3336" i="105"/>
  <c r="H3335" i="105"/>
  <c r="G3335" i="105"/>
  <c r="F3335" i="105"/>
  <c r="H3334" i="105"/>
  <c r="G3334" i="105"/>
  <c r="F3334" i="105"/>
  <c r="H3333" i="105"/>
  <c r="G3333" i="105"/>
  <c r="F3333" i="105"/>
  <c r="H3332" i="105"/>
  <c r="G3332" i="105"/>
  <c r="F3332" i="105"/>
  <c r="H3331" i="105"/>
  <c r="G3331" i="105"/>
  <c r="F3331" i="105"/>
  <c r="H3330" i="105"/>
  <c r="G3330" i="105"/>
  <c r="F3330" i="105"/>
  <c r="H3329" i="105"/>
  <c r="G3329" i="105"/>
  <c r="F3329" i="105"/>
  <c r="H3328" i="105"/>
  <c r="G3328" i="105"/>
  <c r="F3328" i="105"/>
  <c r="H3327" i="105"/>
  <c r="G3327" i="105"/>
  <c r="F3327" i="105"/>
  <c r="H3326" i="105"/>
  <c r="G3326" i="105"/>
  <c r="F3326" i="105"/>
  <c r="H3325" i="105"/>
  <c r="G3325" i="105"/>
  <c r="F3325" i="105"/>
  <c r="H3324" i="105"/>
  <c r="G3324" i="105"/>
  <c r="F3324" i="105"/>
  <c r="H3323" i="105"/>
  <c r="G3323" i="105"/>
  <c r="F3323" i="105"/>
  <c r="H3322" i="105"/>
  <c r="G3322" i="105"/>
  <c r="F3322" i="105"/>
  <c r="H3321" i="105"/>
  <c r="G3321" i="105"/>
  <c r="F3321" i="105"/>
  <c r="H3320" i="105"/>
  <c r="G3320" i="105"/>
  <c r="F3320" i="105"/>
  <c r="H3319" i="105"/>
  <c r="G3319" i="105"/>
  <c r="F3319" i="105"/>
  <c r="H3318" i="105"/>
  <c r="G3318" i="105"/>
  <c r="F3318" i="105"/>
  <c r="H3317" i="105"/>
  <c r="G3317" i="105"/>
  <c r="F3317" i="105"/>
  <c r="H3316" i="105"/>
  <c r="G3316" i="105"/>
  <c r="F3316" i="105"/>
  <c r="H3315" i="105"/>
  <c r="G3315" i="105"/>
  <c r="F3315" i="105"/>
  <c r="H3314" i="105"/>
  <c r="G3314" i="105"/>
  <c r="F3314" i="105"/>
  <c r="H3313" i="105"/>
  <c r="G3313" i="105"/>
  <c r="F3313" i="105"/>
  <c r="H3312" i="105"/>
  <c r="G3312" i="105"/>
  <c r="F3312" i="105"/>
  <c r="H3311" i="105"/>
  <c r="G3311" i="105"/>
  <c r="F3311" i="105"/>
  <c r="H3310" i="105"/>
  <c r="G3310" i="105"/>
  <c r="F3310" i="105"/>
  <c r="H3309" i="105"/>
  <c r="G3309" i="105"/>
  <c r="F3309" i="105"/>
  <c r="H3308" i="105"/>
  <c r="G3308" i="105"/>
  <c r="F3308" i="105"/>
  <c r="H3307" i="105"/>
  <c r="G3307" i="105"/>
  <c r="F3307" i="105"/>
  <c r="H3306" i="105"/>
  <c r="G3306" i="105"/>
  <c r="F3306" i="105"/>
  <c r="H3305" i="105"/>
  <c r="G3305" i="105"/>
  <c r="F3305" i="105"/>
  <c r="H3304" i="105"/>
  <c r="G3304" i="105"/>
  <c r="F3304" i="105"/>
  <c r="H3303" i="105"/>
  <c r="G3303" i="105"/>
  <c r="F3303" i="105"/>
  <c r="H3302" i="105"/>
  <c r="G3302" i="105"/>
  <c r="F3302" i="105"/>
  <c r="H3301" i="105"/>
  <c r="G3301" i="105"/>
  <c r="F3301" i="105"/>
  <c r="H3300" i="105"/>
  <c r="G3300" i="105"/>
  <c r="F3300" i="105"/>
  <c r="H3299" i="105"/>
  <c r="G3299" i="105"/>
  <c r="F3299" i="105"/>
  <c r="H3298" i="105"/>
  <c r="G3298" i="105"/>
  <c r="F3298" i="105"/>
  <c r="H3297" i="105"/>
  <c r="G3297" i="105"/>
  <c r="F3297" i="105"/>
  <c r="H3296" i="105"/>
  <c r="G3296" i="105"/>
  <c r="F3296" i="105"/>
  <c r="H3295" i="105"/>
  <c r="G3295" i="105"/>
  <c r="F3295" i="105"/>
  <c r="H3294" i="105"/>
  <c r="G3294" i="105"/>
  <c r="F3294" i="105"/>
  <c r="H3293" i="105"/>
  <c r="G3293" i="105"/>
  <c r="F3293" i="105"/>
  <c r="H3292" i="105"/>
  <c r="G3292" i="105"/>
  <c r="F3292" i="105"/>
  <c r="H3291" i="105"/>
  <c r="G3291" i="105"/>
  <c r="F3291" i="105"/>
  <c r="H3290" i="105"/>
  <c r="G3290" i="105"/>
  <c r="F3290" i="105"/>
  <c r="H3289" i="105"/>
  <c r="G3289" i="105"/>
  <c r="F3289" i="105"/>
  <c r="H3288" i="105"/>
  <c r="G3288" i="105"/>
  <c r="F3288" i="105"/>
  <c r="H3287" i="105"/>
  <c r="G3287" i="105"/>
  <c r="F3287" i="105"/>
  <c r="H3286" i="105"/>
  <c r="G3286" i="105"/>
  <c r="F3286" i="105"/>
  <c r="H3285" i="105"/>
  <c r="G3285" i="105"/>
  <c r="F3285" i="105"/>
  <c r="H3284" i="105"/>
  <c r="G3284" i="105"/>
  <c r="F3284" i="105"/>
  <c r="H3283" i="105"/>
  <c r="G3283" i="105"/>
  <c r="F3283" i="105"/>
  <c r="H3282" i="105"/>
  <c r="G3282" i="105"/>
  <c r="F3282" i="105"/>
  <c r="H3281" i="105"/>
  <c r="G3281" i="105"/>
  <c r="F3281" i="105"/>
  <c r="H3280" i="105"/>
  <c r="G3280" i="105"/>
  <c r="F3280" i="105"/>
  <c r="H3279" i="105"/>
  <c r="G3279" i="105"/>
  <c r="F3279" i="105"/>
  <c r="H3278" i="105"/>
  <c r="G3278" i="105"/>
  <c r="F3278" i="105"/>
  <c r="H3277" i="105"/>
  <c r="G3277" i="105"/>
  <c r="F3277" i="105"/>
  <c r="H3276" i="105"/>
  <c r="G3276" i="105"/>
  <c r="F3276" i="105"/>
  <c r="H3275" i="105"/>
  <c r="G3275" i="105"/>
  <c r="F3275" i="105"/>
  <c r="H3274" i="105"/>
  <c r="G3274" i="105"/>
  <c r="F3274" i="105"/>
  <c r="H3273" i="105"/>
  <c r="G3273" i="105"/>
  <c r="F3273" i="105"/>
  <c r="H3272" i="105"/>
  <c r="G3272" i="105"/>
  <c r="F3272" i="105"/>
  <c r="H3271" i="105"/>
  <c r="G3271" i="105"/>
  <c r="F3271" i="105"/>
  <c r="H3270" i="105"/>
  <c r="G3270" i="105"/>
  <c r="F3270" i="105"/>
  <c r="H3269" i="105"/>
  <c r="G3269" i="105"/>
  <c r="F3269" i="105"/>
  <c r="H3268" i="105"/>
  <c r="G3268" i="105"/>
  <c r="F3268" i="105"/>
  <c r="H3267" i="105"/>
  <c r="G3267" i="105"/>
  <c r="F3267" i="105"/>
  <c r="H3266" i="105"/>
  <c r="G3266" i="105"/>
  <c r="F3266" i="105"/>
  <c r="H3265" i="105"/>
  <c r="G3265" i="105"/>
  <c r="F3265" i="105"/>
  <c r="H3264" i="105"/>
  <c r="G3264" i="105"/>
  <c r="F3264" i="105"/>
  <c r="H3263" i="105"/>
  <c r="G3263" i="105"/>
  <c r="F3263" i="105"/>
  <c r="H3262" i="105"/>
  <c r="G3262" i="105"/>
  <c r="F3262" i="105"/>
  <c r="H3261" i="105"/>
  <c r="G3261" i="105"/>
  <c r="F3261" i="105"/>
  <c r="H3260" i="105"/>
  <c r="G3260" i="105"/>
  <c r="F3260" i="105"/>
  <c r="H3259" i="105"/>
  <c r="G3259" i="105"/>
  <c r="F3259" i="105"/>
  <c r="H3258" i="105"/>
  <c r="G3258" i="105"/>
  <c r="F3258" i="105"/>
  <c r="H3257" i="105"/>
  <c r="G3257" i="105"/>
  <c r="F3257" i="105"/>
  <c r="H3256" i="105"/>
  <c r="G3256" i="105"/>
  <c r="F3256" i="105"/>
  <c r="H3255" i="105"/>
  <c r="G3255" i="105"/>
  <c r="F3255" i="105"/>
  <c r="H3254" i="105"/>
  <c r="G3254" i="105"/>
  <c r="F3254" i="105"/>
  <c r="H3253" i="105"/>
  <c r="G3253" i="105"/>
  <c r="F3253" i="105"/>
  <c r="H3252" i="105"/>
  <c r="G3252" i="105"/>
  <c r="F3252" i="105"/>
  <c r="H3251" i="105"/>
  <c r="G3251" i="105"/>
  <c r="F3251" i="105"/>
  <c r="H3250" i="105"/>
  <c r="G3250" i="105"/>
  <c r="F3250" i="105"/>
  <c r="H3249" i="105"/>
  <c r="G3249" i="105"/>
  <c r="F3249" i="105"/>
  <c r="H3248" i="105"/>
  <c r="G3248" i="105"/>
  <c r="F3248" i="105"/>
  <c r="H3247" i="105"/>
  <c r="G3247" i="105"/>
  <c r="F3247" i="105"/>
  <c r="H3246" i="105"/>
  <c r="G3246" i="105"/>
  <c r="F3246" i="105"/>
  <c r="H3245" i="105"/>
  <c r="G3245" i="105"/>
  <c r="F3245" i="105"/>
  <c r="H3244" i="105"/>
  <c r="G3244" i="105"/>
  <c r="F3244" i="105"/>
  <c r="H3243" i="105"/>
  <c r="G3243" i="105"/>
  <c r="F3243" i="105"/>
  <c r="H3242" i="105"/>
  <c r="G3242" i="105"/>
  <c r="F3242" i="105"/>
  <c r="H3241" i="105"/>
  <c r="G3241" i="105"/>
  <c r="F3241" i="105"/>
  <c r="H3240" i="105"/>
  <c r="G3240" i="105"/>
  <c r="F3240" i="105"/>
  <c r="H3239" i="105"/>
  <c r="G3239" i="105"/>
  <c r="F3239" i="105"/>
  <c r="H3238" i="105"/>
  <c r="G3238" i="105"/>
  <c r="F3238" i="105"/>
  <c r="H3237" i="105"/>
  <c r="G3237" i="105"/>
  <c r="F3237" i="105"/>
  <c r="H3236" i="105"/>
  <c r="G3236" i="105"/>
  <c r="F3236" i="105"/>
  <c r="H3235" i="105"/>
  <c r="G3235" i="105"/>
  <c r="F3235" i="105"/>
  <c r="H3234" i="105"/>
  <c r="G3234" i="105"/>
  <c r="F3234" i="105"/>
  <c r="H3233" i="105"/>
  <c r="G3233" i="105"/>
  <c r="F3233" i="105"/>
  <c r="H3232" i="105"/>
  <c r="G3232" i="105"/>
  <c r="F3232" i="105"/>
  <c r="H3231" i="105"/>
  <c r="G3231" i="105"/>
  <c r="F3231" i="105"/>
  <c r="H3230" i="105"/>
  <c r="G3230" i="105"/>
  <c r="F3230" i="105"/>
  <c r="H3229" i="105"/>
  <c r="G3229" i="105"/>
  <c r="F3229" i="105"/>
  <c r="H3228" i="105"/>
  <c r="G3228" i="105"/>
  <c r="F3228" i="105"/>
  <c r="H3227" i="105"/>
  <c r="G3227" i="105"/>
  <c r="F3227" i="105"/>
  <c r="H3226" i="105"/>
  <c r="G3226" i="105"/>
  <c r="F3226" i="105"/>
  <c r="H3225" i="105"/>
  <c r="G3225" i="105"/>
  <c r="F3225" i="105"/>
  <c r="H3224" i="105"/>
  <c r="G3224" i="105"/>
  <c r="F3224" i="105"/>
  <c r="H3223" i="105"/>
  <c r="G3223" i="105"/>
  <c r="F3223" i="105"/>
  <c r="H3222" i="105"/>
  <c r="G3222" i="105"/>
  <c r="F3222" i="105"/>
  <c r="H3221" i="105"/>
  <c r="G3221" i="105"/>
  <c r="F3221" i="105"/>
  <c r="H3220" i="105"/>
  <c r="G3220" i="105"/>
  <c r="F3220" i="105"/>
  <c r="H3219" i="105"/>
  <c r="G3219" i="105"/>
  <c r="F3219" i="105"/>
  <c r="H3218" i="105"/>
  <c r="G3218" i="105"/>
  <c r="F3218" i="105"/>
  <c r="H3217" i="105"/>
  <c r="G3217" i="105"/>
  <c r="F3217" i="105"/>
  <c r="H3216" i="105"/>
  <c r="G3216" i="105"/>
  <c r="F3216" i="105"/>
  <c r="H3215" i="105"/>
  <c r="G3215" i="105"/>
  <c r="F3215" i="105"/>
  <c r="H3214" i="105"/>
  <c r="G3214" i="105"/>
  <c r="F3214" i="105"/>
  <c r="H3213" i="105"/>
  <c r="G3213" i="105"/>
  <c r="F3213" i="105"/>
  <c r="H3212" i="105"/>
  <c r="G3212" i="105"/>
  <c r="F3212" i="105"/>
  <c r="H3211" i="105"/>
  <c r="G3211" i="105"/>
  <c r="F3211" i="105"/>
  <c r="H3210" i="105"/>
  <c r="G3210" i="105"/>
  <c r="F3210" i="105"/>
  <c r="H3209" i="105"/>
  <c r="G3209" i="105"/>
  <c r="F3209" i="105"/>
  <c r="H3208" i="105"/>
  <c r="G3208" i="105"/>
  <c r="F3208" i="105"/>
  <c r="H3207" i="105"/>
  <c r="G3207" i="105"/>
  <c r="F3207" i="105"/>
  <c r="H3206" i="105"/>
  <c r="G3206" i="105"/>
  <c r="F3206" i="105"/>
  <c r="H3205" i="105"/>
  <c r="G3205" i="105"/>
  <c r="F3205" i="105"/>
  <c r="H3204" i="105"/>
  <c r="G3204" i="105"/>
  <c r="F3204" i="105"/>
  <c r="H3203" i="105"/>
  <c r="G3203" i="105"/>
  <c r="F3203" i="105"/>
  <c r="H3202" i="105"/>
  <c r="G3202" i="105"/>
  <c r="F3202" i="105"/>
  <c r="H3201" i="105"/>
  <c r="G3201" i="105"/>
  <c r="F3201" i="105"/>
  <c r="H3200" i="105"/>
  <c r="G3200" i="105"/>
  <c r="F3200" i="105"/>
  <c r="H3199" i="105"/>
  <c r="G3199" i="105"/>
  <c r="F3199" i="105"/>
  <c r="H3198" i="105"/>
  <c r="G3198" i="105"/>
  <c r="F3198" i="105"/>
  <c r="H3197" i="105"/>
  <c r="G3197" i="105"/>
  <c r="F3197" i="105"/>
  <c r="H3196" i="105"/>
  <c r="G3196" i="105"/>
  <c r="F3196" i="105"/>
  <c r="H3195" i="105"/>
  <c r="G3195" i="105"/>
  <c r="F3195" i="105"/>
  <c r="H3194" i="105"/>
  <c r="G3194" i="105"/>
  <c r="F3194" i="105"/>
  <c r="H3193" i="105"/>
  <c r="G3193" i="105"/>
  <c r="F3193" i="105"/>
  <c r="H3192" i="105"/>
  <c r="G3192" i="105"/>
  <c r="F3192" i="105"/>
  <c r="H3191" i="105"/>
  <c r="G3191" i="105"/>
  <c r="F3191" i="105"/>
  <c r="H3190" i="105"/>
  <c r="G3190" i="105"/>
  <c r="F3190" i="105"/>
  <c r="H3189" i="105"/>
  <c r="G3189" i="105"/>
  <c r="F3189" i="105"/>
  <c r="H3188" i="105"/>
  <c r="G3188" i="105"/>
  <c r="F3188" i="105"/>
  <c r="H3187" i="105"/>
  <c r="G3187" i="105"/>
  <c r="F3187" i="105"/>
  <c r="H3186" i="105"/>
  <c r="G3186" i="105"/>
  <c r="F3186" i="105"/>
  <c r="H3185" i="105"/>
  <c r="G3185" i="105"/>
  <c r="F3185" i="105"/>
  <c r="H3184" i="105"/>
  <c r="G3184" i="105"/>
  <c r="F3184" i="105"/>
  <c r="H3183" i="105"/>
  <c r="G3183" i="105"/>
  <c r="F3183" i="105"/>
  <c r="H3182" i="105"/>
  <c r="G3182" i="105"/>
  <c r="F3182" i="105"/>
  <c r="H3181" i="105"/>
  <c r="G3181" i="105"/>
  <c r="F3181" i="105"/>
  <c r="H3180" i="105"/>
  <c r="G3180" i="105"/>
  <c r="F3180" i="105"/>
  <c r="H3179" i="105"/>
  <c r="G3179" i="105"/>
  <c r="F3179" i="105"/>
  <c r="H3178" i="105"/>
  <c r="G3178" i="105"/>
  <c r="F3178" i="105"/>
  <c r="H3177" i="105"/>
  <c r="G3177" i="105"/>
  <c r="F3177" i="105"/>
  <c r="H3176" i="105"/>
  <c r="G3176" i="105"/>
  <c r="F3176" i="105"/>
  <c r="H3175" i="105"/>
  <c r="G3175" i="105"/>
  <c r="F3175" i="105"/>
  <c r="H3174" i="105"/>
  <c r="G3174" i="105"/>
  <c r="F3174" i="105"/>
  <c r="H3173" i="105"/>
  <c r="G3173" i="105"/>
  <c r="F3173" i="105"/>
  <c r="H3172" i="105"/>
  <c r="G3172" i="105"/>
  <c r="F3172" i="105"/>
  <c r="H3171" i="105"/>
  <c r="G3171" i="105"/>
  <c r="F3171" i="105"/>
  <c r="H3170" i="105"/>
  <c r="G3170" i="105"/>
  <c r="F3170" i="105"/>
  <c r="H3169" i="105"/>
  <c r="G3169" i="105"/>
  <c r="F3169" i="105"/>
  <c r="H3168" i="105"/>
  <c r="G3168" i="105"/>
  <c r="F3168" i="105"/>
  <c r="H3167" i="105"/>
  <c r="G3167" i="105"/>
  <c r="F3167" i="105"/>
  <c r="H3166" i="105"/>
  <c r="G3166" i="105"/>
  <c r="F3166" i="105"/>
  <c r="H3165" i="105"/>
  <c r="G3165" i="105"/>
  <c r="F3165" i="105"/>
  <c r="H3164" i="105"/>
  <c r="G3164" i="105"/>
  <c r="F3164" i="105"/>
  <c r="H3163" i="105"/>
  <c r="G3163" i="105"/>
  <c r="F3163" i="105"/>
  <c r="H3162" i="105"/>
  <c r="G3162" i="105"/>
  <c r="F3162" i="105"/>
  <c r="H3161" i="105"/>
  <c r="G3161" i="105"/>
  <c r="F3161" i="105"/>
  <c r="H3160" i="105"/>
  <c r="G3160" i="105"/>
  <c r="F3160" i="105"/>
  <c r="H3159" i="105"/>
  <c r="G3159" i="105"/>
  <c r="F3159" i="105"/>
  <c r="H3158" i="105"/>
  <c r="G3158" i="105"/>
  <c r="F3158" i="105"/>
  <c r="H3157" i="105"/>
  <c r="G3157" i="105"/>
  <c r="F3157" i="105"/>
  <c r="H3156" i="105"/>
  <c r="G3156" i="105"/>
  <c r="F3156" i="105"/>
  <c r="H3155" i="105"/>
  <c r="G3155" i="105"/>
  <c r="F3155" i="105"/>
  <c r="H3154" i="105"/>
  <c r="G3154" i="105"/>
  <c r="F3154" i="105"/>
  <c r="H3153" i="105"/>
  <c r="G3153" i="105"/>
  <c r="F3153" i="105"/>
  <c r="H3152" i="105"/>
  <c r="G3152" i="105"/>
  <c r="F3152" i="105"/>
  <c r="H3151" i="105"/>
  <c r="G3151" i="105"/>
  <c r="F3151" i="105"/>
  <c r="H3150" i="105"/>
  <c r="G3150" i="105"/>
  <c r="F3150" i="105"/>
  <c r="H3149" i="105"/>
  <c r="G3149" i="105"/>
  <c r="F3149" i="105"/>
  <c r="H3148" i="105"/>
  <c r="G3148" i="105"/>
  <c r="F3148" i="105"/>
  <c r="H3147" i="105"/>
  <c r="G3147" i="105"/>
  <c r="F3147" i="105"/>
  <c r="H3146" i="105"/>
  <c r="G3146" i="105"/>
  <c r="F3146" i="105"/>
  <c r="H3145" i="105"/>
  <c r="G3145" i="105"/>
  <c r="F3145" i="105"/>
  <c r="H3144" i="105"/>
  <c r="G3144" i="105"/>
  <c r="F3144" i="105"/>
  <c r="H3143" i="105"/>
  <c r="G3143" i="105"/>
  <c r="F3143" i="105"/>
  <c r="H3142" i="105"/>
  <c r="G3142" i="105"/>
  <c r="F3142" i="105"/>
  <c r="H3141" i="105"/>
  <c r="G3141" i="105"/>
  <c r="F3141" i="105"/>
  <c r="H3140" i="105"/>
  <c r="G3140" i="105"/>
  <c r="F3140" i="105"/>
  <c r="H3139" i="105"/>
  <c r="G3139" i="105"/>
  <c r="F3139" i="105"/>
  <c r="H3138" i="105"/>
  <c r="G3138" i="105"/>
  <c r="F3138" i="105"/>
  <c r="H3137" i="105"/>
  <c r="G3137" i="105"/>
  <c r="F3137" i="105"/>
  <c r="H3136" i="105"/>
  <c r="G3136" i="105"/>
  <c r="F3136" i="105"/>
  <c r="H3135" i="105"/>
  <c r="G3135" i="105"/>
  <c r="F3135" i="105"/>
  <c r="H3134" i="105"/>
  <c r="G3134" i="105"/>
  <c r="F3134" i="105"/>
  <c r="H3133" i="105"/>
  <c r="G3133" i="105"/>
  <c r="F3133" i="105"/>
  <c r="H3132" i="105"/>
  <c r="G3132" i="105"/>
  <c r="F3132" i="105"/>
  <c r="H3131" i="105"/>
  <c r="G3131" i="105"/>
  <c r="F3131" i="105"/>
  <c r="H3130" i="105"/>
  <c r="G3130" i="105"/>
  <c r="F3130" i="105"/>
  <c r="H3129" i="105"/>
  <c r="G3129" i="105"/>
  <c r="F3129" i="105"/>
  <c r="H3128" i="105"/>
  <c r="G3128" i="105"/>
  <c r="F3128" i="105"/>
  <c r="H3127" i="105"/>
  <c r="G3127" i="105"/>
  <c r="F3127" i="105"/>
  <c r="H3126" i="105"/>
  <c r="G3126" i="105"/>
  <c r="F3126" i="105"/>
  <c r="H3125" i="105"/>
  <c r="G3125" i="105"/>
  <c r="F3125" i="105"/>
  <c r="H3124" i="105"/>
  <c r="G3124" i="105"/>
  <c r="F3124" i="105"/>
  <c r="H3123" i="105"/>
  <c r="G3123" i="105"/>
  <c r="F3123" i="105"/>
  <c r="H3122" i="105"/>
  <c r="G3122" i="105"/>
  <c r="F3122" i="105"/>
  <c r="H3121" i="105"/>
  <c r="G3121" i="105"/>
  <c r="F3121" i="105"/>
  <c r="H3120" i="105"/>
  <c r="G3120" i="105"/>
  <c r="F3120" i="105"/>
  <c r="H3119" i="105"/>
  <c r="G3119" i="105"/>
  <c r="F3119" i="105"/>
  <c r="H3118" i="105"/>
  <c r="G3118" i="105"/>
  <c r="F3118" i="105"/>
  <c r="H3117" i="105"/>
  <c r="G3117" i="105"/>
  <c r="F3117" i="105"/>
  <c r="H3116" i="105"/>
  <c r="G3116" i="105"/>
  <c r="F3116" i="105"/>
  <c r="H3115" i="105"/>
  <c r="G3115" i="105"/>
  <c r="F3115" i="105"/>
  <c r="H3114" i="105"/>
  <c r="G3114" i="105"/>
  <c r="F3114" i="105"/>
  <c r="H3113" i="105"/>
  <c r="G3113" i="105"/>
  <c r="F3113" i="105"/>
  <c r="H3112" i="105"/>
  <c r="G3112" i="105"/>
  <c r="F3112" i="105"/>
  <c r="H3111" i="105"/>
  <c r="G3111" i="105"/>
  <c r="F3111" i="105"/>
  <c r="H3110" i="105"/>
  <c r="G3110" i="105"/>
  <c r="F3110" i="105"/>
  <c r="H3109" i="105"/>
  <c r="G3109" i="105"/>
  <c r="F3109" i="105"/>
  <c r="H3108" i="105"/>
  <c r="G3108" i="105"/>
  <c r="F3108" i="105"/>
  <c r="H3107" i="105"/>
  <c r="G3107" i="105"/>
  <c r="F3107" i="105"/>
  <c r="H3106" i="105"/>
  <c r="G3106" i="105"/>
  <c r="F3106" i="105"/>
  <c r="H3105" i="105"/>
  <c r="G3105" i="105"/>
  <c r="F3105" i="105"/>
  <c r="H3104" i="105"/>
  <c r="G3104" i="105"/>
  <c r="F3104" i="105"/>
  <c r="H3103" i="105"/>
  <c r="G3103" i="105"/>
  <c r="F3103" i="105"/>
  <c r="H3102" i="105"/>
  <c r="G3102" i="105"/>
  <c r="F3102" i="105"/>
  <c r="H3101" i="105"/>
  <c r="G3101" i="105"/>
  <c r="F3101" i="105"/>
  <c r="H3100" i="105"/>
  <c r="G3100" i="105"/>
  <c r="F3100" i="105"/>
  <c r="H3099" i="105"/>
  <c r="G3099" i="105"/>
  <c r="F3099" i="105"/>
  <c r="H3098" i="105"/>
  <c r="G3098" i="105"/>
  <c r="F3098" i="105"/>
  <c r="H3097" i="105"/>
  <c r="G3097" i="105"/>
  <c r="F3097" i="105"/>
  <c r="H3096" i="105"/>
  <c r="G3096" i="105"/>
  <c r="F3096" i="105"/>
  <c r="H3095" i="105"/>
  <c r="G3095" i="105"/>
  <c r="F3095" i="105"/>
  <c r="H3094" i="105"/>
  <c r="G3094" i="105"/>
  <c r="F3094" i="105"/>
  <c r="H3093" i="105"/>
  <c r="G3093" i="105"/>
  <c r="F3093" i="105"/>
  <c r="H3092" i="105"/>
  <c r="G3092" i="105"/>
  <c r="F3092" i="105"/>
  <c r="H3091" i="105"/>
  <c r="G3091" i="105"/>
  <c r="F3091" i="105"/>
  <c r="H3090" i="105"/>
  <c r="G3090" i="105"/>
  <c r="F3090" i="105"/>
  <c r="H3089" i="105"/>
  <c r="G3089" i="105"/>
  <c r="F3089" i="105"/>
  <c r="H3088" i="105"/>
  <c r="G3088" i="105"/>
  <c r="F3088" i="105"/>
  <c r="H3087" i="105"/>
  <c r="G3087" i="105"/>
  <c r="F3087" i="105"/>
  <c r="H3086" i="105"/>
  <c r="G3086" i="105"/>
  <c r="F3086" i="105"/>
  <c r="H3085" i="105"/>
  <c r="G3085" i="105"/>
  <c r="F3085" i="105"/>
  <c r="H3084" i="105"/>
  <c r="G3084" i="105"/>
  <c r="F3084" i="105"/>
  <c r="H3083" i="105"/>
  <c r="G3083" i="105"/>
  <c r="F3083" i="105"/>
  <c r="H3082" i="105"/>
  <c r="G3082" i="105"/>
  <c r="F3082" i="105"/>
  <c r="H3081" i="105"/>
  <c r="G3081" i="105"/>
  <c r="F3081" i="105"/>
  <c r="H3080" i="105"/>
  <c r="G3080" i="105"/>
  <c r="F3080" i="105"/>
  <c r="H3079" i="105"/>
  <c r="G3079" i="105"/>
  <c r="F3079" i="105"/>
  <c r="H3078" i="105"/>
  <c r="G3078" i="105"/>
  <c r="F3078" i="105"/>
  <c r="H3077" i="105"/>
  <c r="G3077" i="105"/>
  <c r="F3077" i="105"/>
  <c r="H3076" i="105"/>
  <c r="G3076" i="105"/>
  <c r="F3076" i="105"/>
  <c r="H3075" i="105"/>
  <c r="G3075" i="105"/>
  <c r="F3075" i="105"/>
  <c r="H3074" i="105"/>
  <c r="G3074" i="105"/>
  <c r="F3074" i="105"/>
  <c r="H3073" i="105"/>
  <c r="G3073" i="105"/>
  <c r="F3073" i="105"/>
  <c r="H3072" i="105"/>
  <c r="G3072" i="105"/>
  <c r="F3072" i="105"/>
  <c r="H3071" i="105"/>
  <c r="G3071" i="105"/>
  <c r="F3071" i="105"/>
  <c r="H3070" i="105"/>
  <c r="G3070" i="105"/>
  <c r="F3070" i="105"/>
  <c r="H3069" i="105"/>
  <c r="G3069" i="105"/>
  <c r="F3069" i="105"/>
  <c r="H3068" i="105"/>
  <c r="G3068" i="105"/>
  <c r="F3068" i="105"/>
  <c r="H3067" i="105"/>
  <c r="G3067" i="105"/>
  <c r="F3067" i="105"/>
  <c r="H3066" i="105"/>
  <c r="G3066" i="105"/>
  <c r="F3066" i="105"/>
  <c r="H3065" i="105"/>
  <c r="G3065" i="105"/>
  <c r="F3065" i="105"/>
  <c r="H3064" i="105"/>
  <c r="G3064" i="105"/>
  <c r="F3064" i="105"/>
  <c r="H3063" i="105"/>
  <c r="G3063" i="105"/>
  <c r="F3063" i="105"/>
  <c r="H3062" i="105"/>
  <c r="G3062" i="105"/>
  <c r="F3062" i="105"/>
  <c r="H3061" i="105"/>
  <c r="G3061" i="105"/>
  <c r="F3061" i="105"/>
  <c r="H3060" i="105"/>
  <c r="G3060" i="105"/>
  <c r="F3060" i="105"/>
  <c r="H3059" i="105"/>
  <c r="G3059" i="105"/>
  <c r="F3059" i="105"/>
  <c r="H3058" i="105"/>
  <c r="G3058" i="105"/>
  <c r="F3058" i="105"/>
  <c r="H3057" i="105"/>
  <c r="G3057" i="105"/>
  <c r="F3057" i="105"/>
  <c r="H3056" i="105"/>
  <c r="G3056" i="105"/>
  <c r="F3056" i="105"/>
  <c r="H3055" i="105"/>
  <c r="G3055" i="105"/>
  <c r="F3055" i="105"/>
  <c r="H3054" i="105"/>
  <c r="G3054" i="105"/>
  <c r="F3054" i="105"/>
  <c r="H3053" i="105"/>
  <c r="G3053" i="105"/>
  <c r="F3053" i="105"/>
  <c r="H3052" i="105"/>
  <c r="G3052" i="105"/>
  <c r="F3052" i="105"/>
  <c r="H3051" i="105"/>
  <c r="G3051" i="105"/>
  <c r="F3051" i="105"/>
  <c r="H3050" i="105"/>
  <c r="G3050" i="105"/>
  <c r="F3050" i="105"/>
  <c r="H3049" i="105"/>
  <c r="G3049" i="105"/>
  <c r="F3049" i="105"/>
  <c r="H3048" i="105"/>
  <c r="G3048" i="105"/>
  <c r="F3048" i="105"/>
  <c r="H3047" i="105"/>
  <c r="G3047" i="105"/>
  <c r="F3047" i="105"/>
  <c r="H3046" i="105"/>
  <c r="G3046" i="105"/>
  <c r="F3046" i="105"/>
  <c r="H3045" i="105"/>
  <c r="G3045" i="105"/>
  <c r="F3045" i="105"/>
  <c r="H3044" i="105"/>
  <c r="G3044" i="105"/>
  <c r="F3044" i="105"/>
  <c r="H3043" i="105"/>
  <c r="G3043" i="105"/>
  <c r="F3043" i="105"/>
  <c r="H3042" i="105"/>
  <c r="G3042" i="105"/>
  <c r="F3042" i="105"/>
  <c r="H3041" i="105"/>
  <c r="G3041" i="105"/>
  <c r="F3041" i="105"/>
  <c r="H3040" i="105"/>
  <c r="G3040" i="105"/>
  <c r="F3040" i="105"/>
  <c r="H3039" i="105"/>
  <c r="G3039" i="105"/>
  <c r="F3039" i="105"/>
  <c r="H3038" i="105"/>
  <c r="G3038" i="105"/>
  <c r="F3038" i="105"/>
  <c r="H3037" i="105"/>
  <c r="G3037" i="105"/>
  <c r="F3037" i="105"/>
  <c r="H3036" i="105"/>
  <c r="G3036" i="105"/>
  <c r="F3036" i="105"/>
  <c r="H3035" i="105"/>
  <c r="G3035" i="105"/>
  <c r="F3035" i="105"/>
  <c r="H3034" i="105"/>
  <c r="G3034" i="105"/>
  <c r="F3034" i="105"/>
  <c r="H3033" i="105"/>
  <c r="G3033" i="105"/>
  <c r="F3033" i="105"/>
  <c r="H3032" i="105"/>
  <c r="G3032" i="105"/>
  <c r="F3032" i="105"/>
  <c r="H3031" i="105"/>
  <c r="G3031" i="105"/>
  <c r="F3031" i="105"/>
  <c r="H3030" i="105"/>
  <c r="G3030" i="105"/>
  <c r="F3030" i="105"/>
  <c r="H3029" i="105"/>
  <c r="G3029" i="105"/>
  <c r="F3029" i="105"/>
  <c r="H3028" i="105"/>
  <c r="G3028" i="105"/>
  <c r="F3028" i="105"/>
  <c r="H3027" i="105"/>
  <c r="G3027" i="105"/>
  <c r="F3027" i="105"/>
  <c r="H3026" i="105"/>
  <c r="G3026" i="105"/>
  <c r="F3026" i="105"/>
  <c r="H3025" i="105"/>
  <c r="G3025" i="105"/>
  <c r="F3025" i="105"/>
  <c r="H3024" i="105"/>
  <c r="G3024" i="105"/>
  <c r="F3024" i="105"/>
  <c r="H3023" i="105"/>
  <c r="G3023" i="105"/>
  <c r="F3023" i="105"/>
  <c r="H3022" i="105"/>
  <c r="G3022" i="105"/>
  <c r="F3022" i="105"/>
  <c r="H3021" i="105"/>
  <c r="G3021" i="105"/>
  <c r="F3021" i="105"/>
  <c r="H3020" i="105"/>
  <c r="G3020" i="105"/>
  <c r="F3020" i="105"/>
  <c r="H3019" i="105"/>
  <c r="G3019" i="105"/>
  <c r="F3019" i="105"/>
  <c r="H3018" i="105"/>
  <c r="G3018" i="105"/>
  <c r="F3018" i="105"/>
  <c r="H3017" i="105"/>
  <c r="G3017" i="105"/>
  <c r="F3017" i="105"/>
  <c r="H3016" i="105"/>
  <c r="G3016" i="105"/>
  <c r="F3016" i="105"/>
  <c r="H3015" i="105"/>
  <c r="G3015" i="105"/>
  <c r="F3015" i="105"/>
  <c r="H3014" i="105"/>
  <c r="G3014" i="105"/>
  <c r="F3014" i="105"/>
  <c r="H3013" i="105"/>
  <c r="G3013" i="105"/>
  <c r="F3013" i="105"/>
  <c r="H3012" i="105"/>
  <c r="G3012" i="105"/>
  <c r="F3012" i="105"/>
  <c r="H3011" i="105"/>
  <c r="G3011" i="105"/>
  <c r="F3011" i="105"/>
  <c r="H3010" i="105"/>
  <c r="G3010" i="105"/>
  <c r="F3010" i="105"/>
  <c r="H3009" i="105"/>
  <c r="G3009" i="105"/>
  <c r="F3009" i="105"/>
  <c r="H3008" i="105"/>
  <c r="G3008" i="105"/>
  <c r="F3008" i="105"/>
  <c r="H3007" i="105"/>
  <c r="G3007" i="105"/>
  <c r="F3007" i="105"/>
  <c r="H3006" i="105"/>
  <c r="G3006" i="105"/>
  <c r="F3006" i="105"/>
  <c r="H3005" i="105"/>
  <c r="G3005" i="105"/>
  <c r="F3005" i="105"/>
  <c r="H3004" i="105"/>
  <c r="G3004" i="105"/>
  <c r="F3004" i="105"/>
  <c r="H3003" i="105"/>
  <c r="G3003" i="105"/>
  <c r="F3003" i="105"/>
  <c r="H3002" i="105"/>
  <c r="G3002" i="105"/>
  <c r="F3002" i="105"/>
  <c r="H3001" i="105"/>
  <c r="G3001" i="105"/>
  <c r="F3001" i="105"/>
  <c r="H3000" i="105"/>
  <c r="G3000" i="105"/>
  <c r="F3000" i="105"/>
  <c r="H2999" i="105"/>
  <c r="G2999" i="105"/>
  <c r="F2999" i="105"/>
  <c r="H2998" i="105"/>
  <c r="G2998" i="105"/>
  <c r="F2998" i="105"/>
  <c r="H2997" i="105"/>
  <c r="G2997" i="105"/>
  <c r="F2997" i="105"/>
  <c r="H2996" i="105"/>
  <c r="G2996" i="105"/>
  <c r="F2996" i="105"/>
  <c r="H2995" i="105"/>
  <c r="G2995" i="105"/>
  <c r="F2995" i="105"/>
  <c r="H2994" i="105"/>
  <c r="G2994" i="105"/>
  <c r="F2994" i="105"/>
  <c r="H2993" i="105"/>
  <c r="G2993" i="105"/>
  <c r="F2993" i="105"/>
  <c r="H2992" i="105"/>
  <c r="G2992" i="105"/>
  <c r="F2992" i="105"/>
  <c r="H2991" i="105"/>
  <c r="G2991" i="105"/>
  <c r="F2991" i="105"/>
  <c r="H2990" i="105"/>
  <c r="G2990" i="105"/>
  <c r="F2990" i="105"/>
  <c r="H2989" i="105"/>
  <c r="G2989" i="105"/>
  <c r="F2989" i="105"/>
  <c r="H2988" i="105"/>
  <c r="G2988" i="105"/>
  <c r="F2988" i="105"/>
  <c r="H2987" i="105"/>
  <c r="G2987" i="105"/>
  <c r="F2987" i="105"/>
  <c r="H2986" i="105"/>
  <c r="G2986" i="105"/>
  <c r="F2986" i="105"/>
  <c r="H2985" i="105"/>
  <c r="G2985" i="105"/>
  <c r="F2985" i="105"/>
  <c r="H2984" i="105"/>
  <c r="G2984" i="105"/>
  <c r="F2984" i="105"/>
  <c r="H2983" i="105"/>
  <c r="G2983" i="105"/>
  <c r="F2983" i="105"/>
  <c r="H2982" i="105"/>
  <c r="G2982" i="105"/>
  <c r="F2982" i="105"/>
  <c r="H2981" i="105"/>
  <c r="G2981" i="105"/>
  <c r="F2981" i="105"/>
  <c r="H2980" i="105"/>
  <c r="G2980" i="105"/>
  <c r="F2980" i="105"/>
  <c r="H2979" i="105"/>
  <c r="G2979" i="105"/>
  <c r="F2979" i="105"/>
  <c r="H2978" i="105"/>
  <c r="G2978" i="105"/>
  <c r="F2978" i="105"/>
  <c r="H2977" i="105"/>
  <c r="G2977" i="105"/>
  <c r="F2977" i="105"/>
  <c r="H2976" i="105"/>
  <c r="G2976" i="105"/>
  <c r="F2976" i="105"/>
  <c r="H2975" i="105"/>
  <c r="G2975" i="105"/>
  <c r="F2975" i="105"/>
  <c r="H2974" i="105"/>
  <c r="G2974" i="105"/>
  <c r="F2974" i="105"/>
  <c r="H2973" i="105"/>
  <c r="G2973" i="105"/>
  <c r="F2973" i="105"/>
  <c r="H2972" i="105"/>
  <c r="G2972" i="105"/>
  <c r="F2972" i="105"/>
  <c r="H2971" i="105"/>
  <c r="G2971" i="105"/>
  <c r="F2971" i="105"/>
  <c r="H2970" i="105"/>
  <c r="G2970" i="105"/>
  <c r="F2970" i="105"/>
  <c r="H2969" i="105"/>
  <c r="G2969" i="105"/>
  <c r="F2969" i="105"/>
  <c r="H2968" i="105"/>
  <c r="G2968" i="105"/>
  <c r="F2968" i="105"/>
  <c r="H2967" i="105"/>
  <c r="G2967" i="105"/>
  <c r="F2967" i="105"/>
  <c r="H2966" i="105"/>
  <c r="G2966" i="105"/>
  <c r="F2966" i="105"/>
  <c r="H2965" i="105"/>
  <c r="G2965" i="105"/>
  <c r="F2965" i="105"/>
  <c r="H2964" i="105"/>
  <c r="G2964" i="105"/>
  <c r="F2964" i="105"/>
  <c r="H2963" i="105"/>
  <c r="G2963" i="105"/>
  <c r="F2963" i="105"/>
  <c r="H2962" i="105"/>
  <c r="G2962" i="105"/>
  <c r="F2962" i="105"/>
  <c r="H2961" i="105"/>
  <c r="G2961" i="105"/>
  <c r="F2961" i="105"/>
  <c r="H2960" i="105"/>
  <c r="G2960" i="105"/>
  <c r="F2960" i="105"/>
  <c r="H2959" i="105"/>
  <c r="G2959" i="105"/>
  <c r="F2959" i="105"/>
  <c r="H2958" i="105"/>
  <c r="G2958" i="105"/>
  <c r="F2958" i="105"/>
  <c r="H2957" i="105"/>
  <c r="G2957" i="105"/>
  <c r="F2957" i="105"/>
  <c r="H2956" i="105"/>
  <c r="G2956" i="105"/>
  <c r="F2956" i="105"/>
  <c r="H2955" i="105"/>
  <c r="G2955" i="105"/>
  <c r="F2955" i="105"/>
  <c r="H2954" i="105"/>
  <c r="G2954" i="105"/>
  <c r="F2954" i="105"/>
  <c r="H2953" i="105"/>
  <c r="G2953" i="105"/>
  <c r="F2953" i="105"/>
  <c r="H2952" i="105"/>
  <c r="G2952" i="105"/>
  <c r="F2952" i="105"/>
  <c r="H2951" i="105"/>
  <c r="G2951" i="105"/>
  <c r="F2951" i="105"/>
  <c r="H2950" i="105"/>
  <c r="G2950" i="105"/>
  <c r="F2950" i="105"/>
  <c r="H2949" i="105"/>
  <c r="G2949" i="105"/>
  <c r="F2949" i="105"/>
  <c r="H2948" i="105"/>
  <c r="G2948" i="105"/>
  <c r="F2948" i="105"/>
  <c r="H2947" i="105"/>
  <c r="G2947" i="105"/>
  <c r="F2947" i="105"/>
  <c r="H2946" i="105"/>
  <c r="G2946" i="105"/>
  <c r="F2946" i="105"/>
  <c r="H2945" i="105"/>
  <c r="G2945" i="105"/>
  <c r="F2945" i="105"/>
  <c r="H2944" i="105"/>
  <c r="G2944" i="105"/>
  <c r="F2944" i="105"/>
  <c r="H2943" i="105"/>
  <c r="G2943" i="105"/>
  <c r="F2943" i="105"/>
  <c r="H2942" i="105"/>
  <c r="G2942" i="105"/>
  <c r="F2942" i="105"/>
  <c r="H2941" i="105"/>
  <c r="G2941" i="105"/>
  <c r="F2941" i="105"/>
  <c r="H2940" i="105"/>
  <c r="G2940" i="105"/>
  <c r="F2940" i="105"/>
  <c r="H2939" i="105"/>
  <c r="G2939" i="105"/>
  <c r="F2939" i="105"/>
  <c r="H2938" i="105"/>
  <c r="G2938" i="105"/>
  <c r="F2938" i="105"/>
  <c r="H2937" i="105"/>
  <c r="G2937" i="105"/>
  <c r="F2937" i="105"/>
  <c r="H2936" i="105"/>
  <c r="G2936" i="105"/>
  <c r="F2936" i="105"/>
  <c r="H2935" i="105"/>
  <c r="G2935" i="105"/>
  <c r="F2935" i="105"/>
  <c r="H2934" i="105"/>
  <c r="G2934" i="105"/>
  <c r="F2934" i="105"/>
  <c r="H2933" i="105"/>
  <c r="G2933" i="105"/>
  <c r="F2933" i="105"/>
  <c r="H2932" i="105"/>
  <c r="G2932" i="105"/>
  <c r="F2932" i="105"/>
  <c r="H2931" i="105"/>
  <c r="G2931" i="105"/>
  <c r="F2931" i="105"/>
  <c r="H2930" i="105"/>
  <c r="G2930" i="105"/>
  <c r="F2930" i="105"/>
  <c r="H2929" i="105"/>
  <c r="G2929" i="105"/>
  <c r="F2929" i="105"/>
  <c r="H2928" i="105"/>
  <c r="G2928" i="105"/>
  <c r="F2928" i="105"/>
  <c r="H2927" i="105"/>
  <c r="G2927" i="105"/>
  <c r="F2927" i="105"/>
  <c r="H2926" i="105"/>
  <c r="G2926" i="105"/>
  <c r="F2926" i="105"/>
  <c r="H2925" i="105"/>
  <c r="G2925" i="105"/>
  <c r="F2925" i="105"/>
  <c r="H2924" i="105"/>
  <c r="G2924" i="105"/>
  <c r="F2924" i="105"/>
  <c r="H2923" i="105"/>
  <c r="G2923" i="105"/>
  <c r="F2923" i="105"/>
  <c r="H2922" i="105"/>
  <c r="G2922" i="105"/>
  <c r="F2922" i="105"/>
  <c r="H2921" i="105"/>
  <c r="G2921" i="105"/>
  <c r="F2921" i="105"/>
  <c r="H2920" i="105"/>
  <c r="G2920" i="105"/>
  <c r="F2920" i="105"/>
  <c r="H2919" i="105"/>
  <c r="G2919" i="105"/>
  <c r="F2919" i="105"/>
  <c r="H2918" i="105"/>
  <c r="G2918" i="105"/>
  <c r="F2918" i="105"/>
  <c r="H2917" i="105"/>
  <c r="G2917" i="105"/>
  <c r="F2917" i="105"/>
  <c r="H2916" i="105"/>
  <c r="G2916" i="105"/>
  <c r="F2916" i="105"/>
  <c r="H2915" i="105"/>
  <c r="G2915" i="105"/>
  <c r="F2915" i="105"/>
  <c r="H2914" i="105"/>
  <c r="G2914" i="105"/>
  <c r="F2914" i="105"/>
  <c r="H2913" i="105"/>
  <c r="G2913" i="105"/>
  <c r="F2913" i="105"/>
  <c r="H2912" i="105"/>
  <c r="G2912" i="105"/>
  <c r="F2912" i="105"/>
  <c r="H2911" i="105"/>
  <c r="G2911" i="105"/>
  <c r="F2911" i="105"/>
  <c r="H2910" i="105"/>
  <c r="G2910" i="105"/>
  <c r="F2910" i="105"/>
  <c r="H2909" i="105"/>
  <c r="G2909" i="105"/>
  <c r="F2909" i="105"/>
  <c r="H2908" i="105"/>
  <c r="G2908" i="105"/>
  <c r="F2908" i="105"/>
  <c r="H2907" i="105"/>
  <c r="G2907" i="105"/>
  <c r="F2907" i="105"/>
  <c r="H2906" i="105"/>
  <c r="G2906" i="105"/>
  <c r="F2906" i="105"/>
  <c r="H2905" i="105"/>
  <c r="G2905" i="105"/>
  <c r="F2905" i="105"/>
  <c r="H2904" i="105"/>
  <c r="G2904" i="105"/>
  <c r="F2904" i="105"/>
  <c r="H2903" i="105"/>
  <c r="G2903" i="105"/>
  <c r="F2903" i="105"/>
  <c r="H2902" i="105"/>
  <c r="G2902" i="105"/>
  <c r="F2902" i="105"/>
  <c r="H2901" i="105"/>
  <c r="G2901" i="105"/>
  <c r="F2901" i="105"/>
  <c r="H2900" i="105"/>
  <c r="G2900" i="105"/>
  <c r="F2900" i="105"/>
  <c r="H2899" i="105"/>
  <c r="G2899" i="105"/>
  <c r="F2899" i="105"/>
  <c r="H2898" i="105"/>
  <c r="G2898" i="105"/>
  <c r="F2898" i="105"/>
  <c r="H2897" i="105"/>
  <c r="G2897" i="105"/>
  <c r="F2897" i="105"/>
  <c r="H2896" i="105"/>
  <c r="G2896" i="105"/>
  <c r="F2896" i="105"/>
  <c r="H2895" i="105"/>
  <c r="G2895" i="105"/>
  <c r="F2895" i="105"/>
  <c r="H2894" i="105"/>
  <c r="G2894" i="105"/>
  <c r="F2894" i="105"/>
  <c r="H2893" i="105"/>
  <c r="G2893" i="105"/>
  <c r="F2893" i="105"/>
  <c r="H2892" i="105"/>
  <c r="G2892" i="105"/>
  <c r="F2892" i="105"/>
  <c r="H2891" i="105"/>
  <c r="G2891" i="105"/>
  <c r="F2891" i="105"/>
  <c r="H2890" i="105"/>
  <c r="G2890" i="105"/>
  <c r="F2890" i="105"/>
  <c r="H2889" i="105"/>
  <c r="G2889" i="105"/>
  <c r="F2889" i="105"/>
  <c r="H2888" i="105"/>
  <c r="G2888" i="105"/>
  <c r="F2888" i="105"/>
  <c r="H2887" i="105"/>
  <c r="G2887" i="105"/>
  <c r="F2887" i="105"/>
  <c r="H2886" i="105"/>
  <c r="G2886" i="105"/>
  <c r="F2886" i="105"/>
  <c r="H2885" i="105"/>
  <c r="G2885" i="105"/>
  <c r="F2885" i="105"/>
  <c r="H2884" i="105"/>
  <c r="G2884" i="105"/>
  <c r="F2884" i="105"/>
  <c r="H2883" i="105"/>
  <c r="G2883" i="105"/>
  <c r="F2883" i="105"/>
  <c r="H2882" i="105"/>
  <c r="G2882" i="105"/>
  <c r="F2882" i="105"/>
  <c r="H2881" i="105"/>
  <c r="G2881" i="105"/>
  <c r="F2881" i="105"/>
  <c r="H2880" i="105"/>
  <c r="G2880" i="105"/>
  <c r="F2880" i="105"/>
  <c r="H2879" i="105"/>
  <c r="G2879" i="105"/>
  <c r="F2879" i="105"/>
  <c r="H2878" i="105"/>
  <c r="G2878" i="105"/>
  <c r="F2878" i="105"/>
  <c r="H2877" i="105"/>
  <c r="G2877" i="105"/>
  <c r="F2877" i="105"/>
  <c r="H2876" i="105"/>
  <c r="G2876" i="105"/>
  <c r="F2876" i="105"/>
  <c r="H2875" i="105"/>
  <c r="G2875" i="105"/>
  <c r="F2875" i="105"/>
  <c r="H2874" i="105"/>
  <c r="G2874" i="105"/>
  <c r="F2874" i="105"/>
  <c r="H2873" i="105"/>
  <c r="G2873" i="105"/>
  <c r="F2873" i="105"/>
  <c r="H2872" i="105"/>
  <c r="G2872" i="105"/>
  <c r="F2872" i="105"/>
  <c r="H2871" i="105"/>
  <c r="G2871" i="105"/>
  <c r="F2871" i="105"/>
  <c r="H2870" i="105"/>
  <c r="G2870" i="105"/>
  <c r="F2870" i="105"/>
  <c r="H2869" i="105"/>
  <c r="G2869" i="105"/>
  <c r="F2869" i="105"/>
  <c r="H2868" i="105"/>
  <c r="G2868" i="105"/>
  <c r="F2868" i="105"/>
  <c r="H2867" i="105"/>
  <c r="G2867" i="105"/>
  <c r="F2867" i="105"/>
  <c r="H2866" i="105"/>
  <c r="G2866" i="105"/>
  <c r="F2866" i="105"/>
  <c r="H2865" i="105"/>
  <c r="G2865" i="105"/>
  <c r="F2865" i="105"/>
  <c r="H2864" i="105"/>
  <c r="G2864" i="105"/>
  <c r="F2864" i="105"/>
  <c r="H2863" i="105"/>
  <c r="G2863" i="105"/>
  <c r="F2863" i="105"/>
  <c r="H2862" i="105"/>
  <c r="G2862" i="105"/>
  <c r="F2862" i="105"/>
  <c r="H2861" i="105"/>
  <c r="G2861" i="105"/>
  <c r="F2861" i="105"/>
  <c r="H2860" i="105"/>
  <c r="G2860" i="105"/>
  <c r="F2860" i="105"/>
  <c r="H2859" i="105"/>
  <c r="G2859" i="105"/>
  <c r="F2859" i="105"/>
  <c r="H2858" i="105"/>
  <c r="G2858" i="105"/>
  <c r="F2858" i="105"/>
  <c r="H2857" i="105"/>
  <c r="G2857" i="105"/>
  <c r="F2857" i="105"/>
  <c r="H2856" i="105"/>
  <c r="G2856" i="105"/>
  <c r="F2856" i="105"/>
  <c r="H2855" i="105"/>
  <c r="G2855" i="105"/>
  <c r="F2855" i="105"/>
  <c r="H2854" i="105"/>
  <c r="G2854" i="105"/>
  <c r="F2854" i="105"/>
  <c r="H2853" i="105"/>
  <c r="G2853" i="105"/>
  <c r="F2853" i="105"/>
  <c r="H2852" i="105"/>
  <c r="G2852" i="105"/>
  <c r="F2852" i="105"/>
  <c r="H2851" i="105"/>
  <c r="G2851" i="105"/>
  <c r="F2851" i="105"/>
  <c r="H2850" i="105"/>
  <c r="G2850" i="105"/>
  <c r="F2850" i="105"/>
  <c r="H2849" i="105"/>
  <c r="G2849" i="105"/>
  <c r="F2849" i="105"/>
  <c r="H2848" i="105"/>
  <c r="G2848" i="105"/>
  <c r="F2848" i="105"/>
  <c r="H2847" i="105"/>
  <c r="G2847" i="105"/>
  <c r="F2847" i="105"/>
  <c r="H2846" i="105"/>
  <c r="G2846" i="105"/>
  <c r="F2846" i="105"/>
  <c r="H2845" i="105"/>
  <c r="G2845" i="105"/>
  <c r="F2845" i="105"/>
  <c r="H2844" i="105"/>
  <c r="G2844" i="105"/>
  <c r="F2844" i="105"/>
  <c r="H2843" i="105"/>
  <c r="G2843" i="105"/>
  <c r="F2843" i="105"/>
  <c r="H2842" i="105"/>
  <c r="G2842" i="105"/>
  <c r="F2842" i="105"/>
  <c r="H2841" i="105"/>
  <c r="G2841" i="105"/>
  <c r="F2841" i="105"/>
  <c r="H2840" i="105"/>
  <c r="G2840" i="105"/>
  <c r="F2840" i="105"/>
  <c r="H2839" i="105"/>
  <c r="G2839" i="105"/>
  <c r="F2839" i="105"/>
  <c r="H2838" i="105"/>
  <c r="G2838" i="105"/>
  <c r="F2838" i="105"/>
  <c r="H2837" i="105"/>
  <c r="G2837" i="105"/>
  <c r="F2837" i="105"/>
  <c r="H2836" i="105"/>
  <c r="G2836" i="105"/>
  <c r="F2836" i="105"/>
  <c r="H2835" i="105"/>
  <c r="G2835" i="105"/>
  <c r="F2835" i="105"/>
  <c r="H2834" i="105"/>
  <c r="G2834" i="105"/>
  <c r="F2834" i="105"/>
  <c r="H2833" i="105"/>
  <c r="G2833" i="105"/>
  <c r="F2833" i="105"/>
  <c r="H2832" i="105"/>
  <c r="G2832" i="105"/>
  <c r="F2832" i="105"/>
  <c r="H2831" i="105"/>
  <c r="G2831" i="105"/>
  <c r="F2831" i="105"/>
  <c r="H2830" i="105"/>
  <c r="G2830" i="105"/>
  <c r="F2830" i="105"/>
  <c r="H2829" i="105"/>
  <c r="G2829" i="105"/>
  <c r="F2829" i="105"/>
  <c r="H2828" i="105"/>
  <c r="G2828" i="105"/>
  <c r="F2828" i="105"/>
  <c r="H2827" i="105"/>
  <c r="G2827" i="105"/>
  <c r="F2827" i="105"/>
  <c r="H2826" i="105"/>
  <c r="G2826" i="105"/>
  <c r="F2826" i="105"/>
  <c r="H2825" i="105"/>
  <c r="G2825" i="105"/>
  <c r="F2825" i="105"/>
  <c r="H2824" i="105"/>
  <c r="G2824" i="105"/>
  <c r="F2824" i="105"/>
  <c r="H2823" i="105"/>
  <c r="G2823" i="105"/>
  <c r="F2823" i="105"/>
  <c r="H2822" i="105"/>
  <c r="G2822" i="105"/>
  <c r="F2822" i="105"/>
  <c r="H2821" i="105"/>
  <c r="G2821" i="105"/>
  <c r="F2821" i="105"/>
  <c r="H2820" i="105"/>
  <c r="G2820" i="105"/>
  <c r="F2820" i="105"/>
  <c r="H2819" i="105"/>
  <c r="G2819" i="105"/>
  <c r="F2819" i="105"/>
  <c r="H2818" i="105"/>
  <c r="G2818" i="105"/>
  <c r="F2818" i="105"/>
  <c r="H2817" i="105"/>
  <c r="G2817" i="105"/>
  <c r="F2817" i="105"/>
  <c r="H2816" i="105"/>
  <c r="G2816" i="105"/>
  <c r="F2816" i="105"/>
  <c r="H2815" i="105"/>
  <c r="G2815" i="105"/>
  <c r="F2815" i="105"/>
  <c r="H2814" i="105"/>
  <c r="G2814" i="105"/>
  <c r="F2814" i="105"/>
  <c r="H2813" i="105"/>
  <c r="G2813" i="105"/>
  <c r="F2813" i="105"/>
  <c r="H2812" i="105"/>
  <c r="G2812" i="105"/>
  <c r="F2812" i="105"/>
  <c r="H2811" i="105"/>
  <c r="G2811" i="105"/>
  <c r="F2811" i="105"/>
  <c r="H2810" i="105"/>
  <c r="G2810" i="105"/>
  <c r="F2810" i="105"/>
  <c r="H2809" i="105"/>
  <c r="G2809" i="105"/>
  <c r="F2809" i="105"/>
  <c r="H2808" i="105"/>
  <c r="G2808" i="105"/>
  <c r="F2808" i="105"/>
  <c r="H2807" i="105"/>
  <c r="G2807" i="105"/>
  <c r="F2807" i="105"/>
  <c r="H2806" i="105"/>
  <c r="G2806" i="105"/>
  <c r="F2806" i="105"/>
  <c r="H2805" i="105"/>
  <c r="G2805" i="105"/>
  <c r="F2805" i="105"/>
  <c r="H2804" i="105"/>
  <c r="G2804" i="105"/>
  <c r="F2804" i="105"/>
  <c r="H2803" i="105"/>
  <c r="G2803" i="105"/>
  <c r="F2803" i="105"/>
  <c r="H2802" i="105"/>
  <c r="G2802" i="105"/>
  <c r="F2802" i="105"/>
  <c r="H2801" i="105"/>
  <c r="G2801" i="105"/>
  <c r="F2801" i="105"/>
  <c r="H2800" i="105"/>
  <c r="G2800" i="105"/>
  <c r="F2800" i="105"/>
  <c r="H2799" i="105"/>
  <c r="G2799" i="105"/>
  <c r="F2799" i="105"/>
  <c r="H2798" i="105"/>
  <c r="G2798" i="105"/>
  <c r="F2798" i="105"/>
  <c r="H2797" i="105"/>
  <c r="G2797" i="105"/>
  <c r="F2797" i="105"/>
  <c r="H2796" i="105"/>
  <c r="G2796" i="105"/>
  <c r="F2796" i="105"/>
  <c r="H2795" i="105"/>
  <c r="G2795" i="105"/>
  <c r="F2795" i="105"/>
  <c r="H2794" i="105"/>
  <c r="G2794" i="105"/>
  <c r="F2794" i="105"/>
  <c r="H2793" i="105"/>
  <c r="G2793" i="105"/>
  <c r="F2793" i="105"/>
  <c r="H2792" i="105"/>
  <c r="G2792" i="105"/>
  <c r="F2792" i="105"/>
  <c r="H2791" i="105"/>
  <c r="G2791" i="105"/>
  <c r="F2791" i="105"/>
  <c r="H2790" i="105"/>
  <c r="G2790" i="105"/>
  <c r="F2790" i="105"/>
  <c r="H2789" i="105"/>
  <c r="G2789" i="105"/>
  <c r="F2789" i="105"/>
  <c r="H2788" i="105"/>
  <c r="G2788" i="105"/>
  <c r="F2788" i="105"/>
  <c r="H2787" i="105"/>
  <c r="G2787" i="105"/>
  <c r="F2787" i="105"/>
  <c r="H2786" i="105"/>
  <c r="G2786" i="105"/>
  <c r="F2786" i="105"/>
  <c r="H2785" i="105"/>
  <c r="G2785" i="105"/>
  <c r="F2785" i="105"/>
  <c r="H2784" i="105"/>
  <c r="G2784" i="105"/>
  <c r="F2784" i="105"/>
  <c r="H2783" i="105"/>
  <c r="G2783" i="105"/>
  <c r="F2783" i="105"/>
  <c r="H2782" i="105"/>
  <c r="G2782" i="105"/>
  <c r="F2782" i="105"/>
  <c r="H2781" i="105"/>
  <c r="G2781" i="105"/>
  <c r="F2781" i="105"/>
  <c r="H2780" i="105"/>
  <c r="G2780" i="105"/>
  <c r="F2780" i="105"/>
  <c r="H2779" i="105"/>
  <c r="G2779" i="105"/>
  <c r="F2779" i="105"/>
  <c r="H2778" i="105"/>
  <c r="G2778" i="105"/>
  <c r="F2778" i="105"/>
  <c r="H2777" i="105"/>
  <c r="G2777" i="105"/>
  <c r="F2777" i="105"/>
  <c r="H2776" i="105"/>
  <c r="G2776" i="105"/>
  <c r="F2776" i="105"/>
  <c r="H2775" i="105"/>
  <c r="G2775" i="105"/>
  <c r="F2775" i="105"/>
  <c r="H2774" i="105"/>
  <c r="G2774" i="105"/>
  <c r="F2774" i="105"/>
  <c r="H2773" i="105"/>
  <c r="G2773" i="105"/>
  <c r="F2773" i="105"/>
  <c r="H2772" i="105"/>
  <c r="G2772" i="105"/>
  <c r="F2772" i="105"/>
  <c r="H2771" i="105"/>
  <c r="G2771" i="105"/>
  <c r="F2771" i="105"/>
  <c r="H2770" i="105"/>
  <c r="G2770" i="105"/>
  <c r="F2770" i="105"/>
  <c r="H2769" i="105"/>
  <c r="G2769" i="105"/>
  <c r="F2769" i="105"/>
  <c r="H2768" i="105"/>
  <c r="G2768" i="105"/>
  <c r="F2768" i="105"/>
  <c r="H2767" i="105"/>
  <c r="G2767" i="105"/>
  <c r="F2767" i="105"/>
  <c r="H2766" i="105"/>
  <c r="G2766" i="105"/>
  <c r="F2766" i="105"/>
  <c r="H2765" i="105"/>
  <c r="G2765" i="105"/>
  <c r="F2765" i="105"/>
  <c r="H2764" i="105"/>
  <c r="G2764" i="105"/>
  <c r="F2764" i="105"/>
  <c r="H2763" i="105"/>
  <c r="G2763" i="105"/>
  <c r="F2763" i="105"/>
  <c r="H2762" i="105"/>
  <c r="G2762" i="105"/>
  <c r="F2762" i="105"/>
  <c r="H2761" i="105"/>
  <c r="G2761" i="105"/>
  <c r="F2761" i="105"/>
  <c r="H2760" i="105"/>
  <c r="G2760" i="105"/>
  <c r="F2760" i="105"/>
  <c r="H2759" i="105"/>
  <c r="G2759" i="105"/>
  <c r="F2759" i="105"/>
  <c r="H2758" i="105"/>
  <c r="G2758" i="105"/>
  <c r="F2758" i="105"/>
  <c r="H2757" i="105"/>
  <c r="G2757" i="105"/>
  <c r="F2757" i="105"/>
  <c r="H2756" i="105"/>
  <c r="G2756" i="105"/>
  <c r="F2756" i="105"/>
  <c r="H2755" i="105"/>
  <c r="G2755" i="105"/>
  <c r="F2755" i="105"/>
  <c r="H2754" i="105"/>
  <c r="G2754" i="105"/>
  <c r="F2754" i="105"/>
  <c r="H2753" i="105"/>
  <c r="G2753" i="105"/>
  <c r="F2753" i="105"/>
  <c r="H2752" i="105"/>
  <c r="G2752" i="105"/>
  <c r="F2752" i="105"/>
  <c r="H2751" i="105"/>
  <c r="G2751" i="105"/>
  <c r="F2751" i="105"/>
  <c r="H2750" i="105"/>
  <c r="G2750" i="105"/>
  <c r="F2750" i="105"/>
  <c r="H2749" i="105"/>
  <c r="G2749" i="105"/>
  <c r="F2749" i="105"/>
  <c r="H2748" i="105"/>
  <c r="G2748" i="105"/>
  <c r="F2748" i="105"/>
  <c r="H2747" i="105"/>
  <c r="G2747" i="105"/>
  <c r="F2747" i="105"/>
  <c r="H2746" i="105"/>
  <c r="G2746" i="105"/>
  <c r="F2746" i="105"/>
  <c r="H2745" i="105"/>
  <c r="G2745" i="105"/>
  <c r="F2745" i="105"/>
  <c r="H2744" i="105"/>
  <c r="G2744" i="105"/>
  <c r="F2744" i="105"/>
  <c r="H2743" i="105"/>
  <c r="G2743" i="105"/>
  <c r="F2743" i="105"/>
  <c r="H2742" i="105"/>
  <c r="G2742" i="105"/>
  <c r="F2742" i="105"/>
  <c r="H2741" i="105"/>
  <c r="G2741" i="105"/>
  <c r="F2741" i="105"/>
  <c r="H2740" i="105"/>
  <c r="G2740" i="105"/>
  <c r="F2740" i="105"/>
  <c r="H2739" i="105"/>
  <c r="G2739" i="105"/>
  <c r="F2739" i="105"/>
  <c r="H2738" i="105"/>
  <c r="G2738" i="105"/>
  <c r="F2738" i="105"/>
  <c r="H2737" i="105"/>
  <c r="G2737" i="105"/>
  <c r="F2737" i="105"/>
  <c r="H2736" i="105"/>
  <c r="G2736" i="105"/>
  <c r="F2736" i="105"/>
  <c r="H2735" i="105"/>
  <c r="G2735" i="105"/>
  <c r="F2735" i="105"/>
  <c r="H2734" i="105"/>
  <c r="G2734" i="105"/>
  <c r="F2734" i="105"/>
  <c r="H2733" i="105"/>
  <c r="G2733" i="105"/>
  <c r="F2733" i="105"/>
  <c r="H2732" i="105"/>
  <c r="G2732" i="105"/>
  <c r="F2732" i="105"/>
  <c r="H2731" i="105"/>
  <c r="G2731" i="105"/>
  <c r="F2731" i="105"/>
  <c r="H2730" i="105"/>
  <c r="G2730" i="105"/>
  <c r="F2730" i="105"/>
  <c r="H2729" i="105"/>
  <c r="G2729" i="105"/>
  <c r="F2729" i="105"/>
  <c r="H2728" i="105"/>
  <c r="G2728" i="105"/>
  <c r="F2728" i="105"/>
  <c r="H2727" i="105"/>
  <c r="G2727" i="105"/>
  <c r="F2727" i="105"/>
  <c r="H2726" i="105"/>
  <c r="G2726" i="105"/>
  <c r="F2726" i="105"/>
  <c r="H2725" i="105"/>
  <c r="G2725" i="105"/>
  <c r="F2725" i="105"/>
  <c r="H2724" i="105"/>
  <c r="G2724" i="105"/>
  <c r="F2724" i="105"/>
  <c r="H2723" i="105"/>
  <c r="G2723" i="105"/>
  <c r="F2723" i="105"/>
  <c r="H2722" i="105"/>
  <c r="G2722" i="105"/>
  <c r="F2722" i="105"/>
  <c r="H2721" i="105"/>
  <c r="G2721" i="105"/>
  <c r="F2721" i="105"/>
  <c r="H2720" i="105"/>
  <c r="G2720" i="105"/>
  <c r="F2720" i="105"/>
  <c r="H2719" i="105"/>
  <c r="G2719" i="105"/>
  <c r="F2719" i="105"/>
  <c r="H2718" i="105"/>
  <c r="G2718" i="105"/>
  <c r="F2718" i="105"/>
  <c r="H2717" i="105"/>
  <c r="G2717" i="105"/>
  <c r="F2717" i="105"/>
  <c r="H2716" i="105"/>
  <c r="G2716" i="105"/>
  <c r="F2716" i="105"/>
  <c r="H2715" i="105"/>
  <c r="G2715" i="105"/>
  <c r="F2715" i="105"/>
  <c r="H2714" i="105"/>
  <c r="G2714" i="105"/>
  <c r="F2714" i="105"/>
  <c r="H2713" i="105"/>
  <c r="G2713" i="105"/>
  <c r="F2713" i="105"/>
  <c r="H2712" i="105"/>
  <c r="G2712" i="105"/>
  <c r="F2712" i="105"/>
  <c r="H2711" i="105"/>
  <c r="G2711" i="105"/>
  <c r="F2711" i="105"/>
  <c r="H2710" i="105"/>
  <c r="G2710" i="105"/>
  <c r="F2710" i="105"/>
  <c r="H2709" i="105"/>
  <c r="G2709" i="105"/>
  <c r="F2709" i="105"/>
  <c r="H2708" i="105"/>
  <c r="G2708" i="105"/>
  <c r="F2708" i="105"/>
  <c r="H2707" i="105"/>
  <c r="G2707" i="105"/>
  <c r="F2707" i="105"/>
  <c r="H2706" i="105"/>
  <c r="G2706" i="105"/>
  <c r="F2706" i="105"/>
  <c r="H2705" i="105"/>
  <c r="G2705" i="105"/>
  <c r="F2705" i="105"/>
  <c r="H2704" i="105"/>
  <c r="G2704" i="105"/>
  <c r="F2704" i="105"/>
  <c r="H2703" i="105"/>
  <c r="G2703" i="105"/>
  <c r="F2703" i="105"/>
  <c r="H2702" i="105"/>
  <c r="G2702" i="105"/>
  <c r="F2702" i="105"/>
  <c r="H2701" i="105"/>
  <c r="G2701" i="105"/>
  <c r="F2701" i="105"/>
  <c r="H2700" i="105"/>
  <c r="G2700" i="105"/>
  <c r="F2700" i="105"/>
  <c r="H2699" i="105"/>
  <c r="G2699" i="105"/>
  <c r="F2699" i="105"/>
  <c r="H2698" i="105"/>
  <c r="G2698" i="105"/>
  <c r="F2698" i="105"/>
  <c r="H2697" i="105"/>
  <c r="G2697" i="105"/>
  <c r="F2697" i="105"/>
  <c r="H2696" i="105"/>
  <c r="G2696" i="105"/>
  <c r="F2696" i="105"/>
  <c r="H2695" i="105"/>
  <c r="G2695" i="105"/>
  <c r="F2695" i="105"/>
  <c r="H2694" i="105"/>
  <c r="G2694" i="105"/>
  <c r="F2694" i="105"/>
  <c r="H2693" i="105"/>
  <c r="G2693" i="105"/>
  <c r="F2693" i="105"/>
  <c r="H2692" i="105"/>
  <c r="G2692" i="105"/>
  <c r="F2692" i="105"/>
  <c r="H2691" i="105"/>
  <c r="G2691" i="105"/>
  <c r="F2691" i="105"/>
  <c r="H2690" i="105"/>
  <c r="G2690" i="105"/>
  <c r="F2690" i="105"/>
  <c r="H2689" i="105"/>
  <c r="G2689" i="105"/>
  <c r="F2689" i="105"/>
  <c r="H2688" i="105"/>
  <c r="G2688" i="105"/>
  <c r="F2688" i="105"/>
  <c r="H2687" i="105"/>
  <c r="G2687" i="105"/>
  <c r="F2687" i="105"/>
  <c r="H2686" i="105"/>
  <c r="G2686" i="105"/>
  <c r="F2686" i="105"/>
  <c r="H2685" i="105"/>
  <c r="G2685" i="105"/>
  <c r="F2685" i="105"/>
  <c r="H2684" i="105"/>
  <c r="G2684" i="105"/>
  <c r="F2684" i="105"/>
  <c r="H2683" i="105"/>
  <c r="G2683" i="105"/>
  <c r="F2683" i="105"/>
  <c r="H2682" i="105"/>
  <c r="G2682" i="105"/>
  <c r="F2682" i="105"/>
  <c r="H2681" i="105"/>
  <c r="G2681" i="105"/>
  <c r="F2681" i="105"/>
  <c r="H2680" i="105"/>
  <c r="G2680" i="105"/>
  <c r="F2680" i="105"/>
  <c r="H2679" i="105"/>
  <c r="G2679" i="105"/>
  <c r="F2679" i="105"/>
  <c r="H2678" i="105"/>
  <c r="G2678" i="105"/>
  <c r="F2678" i="105"/>
  <c r="H2677" i="105"/>
  <c r="G2677" i="105"/>
  <c r="F2677" i="105"/>
  <c r="H2676" i="105"/>
  <c r="G2676" i="105"/>
  <c r="F2676" i="105"/>
  <c r="H2675" i="105"/>
  <c r="G2675" i="105"/>
  <c r="F2675" i="105"/>
  <c r="H2674" i="105"/>
  <c r="G2674" i="105"/>
  <c r="F2674" i="105"/>
  <c r="H2673" i="105"/>
  <c r="G2673" i="105"/>
  <c r="F2673" i="105"/>
  <c r="H2672" i="105"/>
  <c r="G2672" i="105"/>
  <c r="F2672" i="105"/>
  <c r="H2671" i="105"/>
  <c r="G2671" i="105"/>
  <c r="F2671" i="105"/>
  <c r="H2670" i="105"/>
  <c r="G2670" i="105"/>
  <c r="F2670" i="105"/>
  <c r="H2669" i="105"/>
  <c r="G2669" i="105"/>
  <c r="F2669" i="105"/>
  <c r="H2668" i="105"/>
  <c r="G2668" i="105"/>
  <c r="F2668" i="105"/>
  <c r="H2667" i="105"/>
  <c r="G2667" i="105"/>
  <c r="F2667" i="105"/>
  <c r="H2666" i="105"/>
  <c r="G2666" i="105"/>
  <c r="F2666" i="105"/>
  <c r="H2665" i="105"/>
  <c r="G2665" i="105"/>
  <c r="F2665" i="105"/>
  <c r="H2664" i="105"/>
  <c r="G2664" i="105"/>
  <c r="F2664" i="105"/>
  <c r="H2663" i="105"/>
  <c r="G2663" i="105"/>
  <c r="F2663" i="105"/>
  <c r="H2662" i="105"/>
  <c r="G2662" i="105"/>
  <c r="F2662" i="105"/>
  <c r="H2661" i="105"/>
  <c r="G2661" i="105"/>
  <c r="F2661" i="105"/>
  <c r="H2660" i="105"/>
  <c r="G2660" i="105"/>
  <c r="F2660" i="105"/>
  <c r="H2659" i="105"/>
  <c r="G2659" i="105"/>
  <c r="F2659" i="105"/>
  <c r="H2658" i="105"/>
  <c r="G2658" i="105"/>
  <c r="F2658" i="105"/>
  <c r="H2657" i="105"/>
  <c r="G2657" i="105"/>
  <c r="F2657" i="105"/>
  <c r="H2656" i="105"/>
  <c r="G2656" i="105"/>
  <c r="F2656" i="105"/>
  <c r="H2655" i="105"/>
  <c r="G2655" i="105"/>
  <c r="F2655" i="105"/>
  <c r="H2654" i="105"/>
  <c r="G2654" i="105"/>
  <c r="F2654" i="105"/>
  <c r="H2653" i="105"/>
  <c r="G2653" i="105"/>
  <c r="F2653" i="105"/>
  <c r="H2652" i="105"/>
  <c r="G2652" i="105"/>
  <c r="F2652" i="105"/>
  <c r="H2651" i="105"/>
  <c r="G2651" i="105"/>
  <c r="F2651" i="105"/>
  <c r="H2650" i="105"/>
  <c r="G2650" i="105"/>
  <c r="F2650" i="105"/>
  <c r="H2649" i="105"/>
  <c r="G2649" i="105"/>
  <c r="F2649" i="105"/>
  <c r="H2648" i="105"/>
  <c r="G2648" i="105"/>
  <c r="F2648" i="105"/>
  <c r="H2647" i="105"/>
  <c r="G2647" i="105"/>
  <c r="F2647" i="105"/>
  <c r="H2646" i="105"/>
  <c r="G2646" i="105"/>
  <c r="F2646" i="105"/>
  <c r="H2645" i="105"/>
  <c r="G2645" i="105"/>
  <c r="F2645" i="105"/>
  <c r="H2644" i="105"/>
  <c r="G2644" i="105"/>
  <c r="F2644" i="105"/>
  <c r="H2643" i="105"/>
  <c r="G2643" i="105"/>
  <c r="F2643" i="105"/>
  <c r="H2642" i="105"/>
  <c r="G2642" i="105"/>
  <c r="F2642" i="105"/>
  <c r="H2641" i="105"/>
  <c r="G2641" i="105"/>
  <c r="F2641" i="105"/>
  <c r="H2640" i="105"/>
  <c r="G2640" i="105"/>
  <c r="F2640" i="105"/>
  <c r="H2639" i="105"/>
  <c r="G2639" i="105"/>
  <c r="F2639" i="105"/>
  <c r="H2638" i="105"/>
  <c r="G2638" i="105"/>
  <c r="F2638" i="105"/>
  <c r="H2637" i="105"/>
  <c r="G2637" i="105"/>
  <c r="F2637" i="105"/>
  <c r="H2636" i="105"/>
  <c r="G2636" i="105"/>
  <c r="F2636" i="105"/>
  <c r="H2635" i="105"/>
  <c r="G2635" i="105"/>
  <c r="F2635" i="105"/>
  <c r="H2634" i="105"/>
  <c r="G2634" i="105"/>
  <c r="F2634" i="105"/>
  <c r="H2633" i="105"/>
  <c r="G2633" i="105"/>
  <c r="F2633" i="105"/>
  <c r="H2632" i="105"/>
  <c r="G2632" i="105"/>
  <c r="F2632" i="105"/>
  <c r="H2631" i="105"/>
  <c r="G2631" i="105"/>
  <c r="F2631" i="105"/>
  <c r="H2630" i="105"/>
  <c r="G2630" i="105"/>
  <c r="F2630" i="105"/>
  <c r="H2629" i="105"/>
  <c r="G2629" i="105"/>
  <c r="F2629" i="105"/>
  <c r="H2628" i="105"/>
  <c r="G2628" i="105"/>
  <c r="F2628" i="105"/>
  <c r="H2627" i="105"/>
  <c r="G2627" i="105"/>
  <c r="F2627" i="105"/>
  <c r="H2626" i="105"/>
  <c r="G2626" i="105"/>
  <c r="F2626" i="105"/>
  <c r="H2625" i="105"/>
  <c r="G2625" i="105"/>
  <c r="F2625" i="105"/>
  <c r="H2624" i="105"/>
  <c r="G2624" i="105"/>
  <c r="F2624" i="105"/>
  <c r="H2623" i="105"/>
  <c r="G2623" i="105"/>
  <c r="F2623" i="105"/>
  <c r="H2622" i="105"/>
  <c r="G2622" i="105"/>
  <c r="F2622" i="105"/>
  <c r="H2621" i="105"/>
  <c r="G2621" i="105"/>
  <c r="F2621" i="105"/>
  <c r="H2620" i="105"/>
  <c r="G2620" i="105"/>
  <c r="F2620" i="105"/>
  <c r="H2619" i="105"/>
  <c r="G2619" i="105"/>
  <c r="F2619" i="105"/>
  <c r="H2618" i="105"/>
  <c r="G2618" i="105"/>
  <c r="F2618" i="105"/>
  <c r="H2617" i="105"/>
  <c r="G2617" i="105"/>
  <c r="F2617" i="105"/>
  <c r="H2616" i="105"/>
  <c r="G2616" i="105"/>
  <c r="F2616" i="105"/>
  <c r="H2615" i="105"/>
  <c r="G2615" i="105"/>
  <c r="F2615" i="105"/>
  <c r="H2614" i="105"/>
  <c r="G2614" i="105"/>
  <c r="F2614" i="105"/>
  <c r="H2613" i="105"/>
  <c r="G2613" i="105"/>
  <c r="F2613" i="105"/>
  <c r="H2612" i="105"/>
  <c r="G2612" i="105"/>
  <c r="F2612" i="105"/>
  <c r="H2611" i="105"/>
  <c r="G2611" i="105"/>
  <c r="F2611" i="105"/>
  <c r="H2610" i="105"/>
  <c r="G2610" i="105"/>
  <c r="F2610" i="105"/>
  <c r="H2609" i="105"/>
  <c r="G2609" i="105"/>
  <c r="F2609" i="105"/>
  <c r="H2608" i="105"/>
  <c r="G2608" i="105"/>
  <c r="F2608" i="105"/>
  <c r="H2607" i="105"/>
  <c r="G2607" i="105"/>
  <c r="F2607" i="105"/>
  <c r="H2606" i="105"/>
  <c r="G2606" i="105"/>
  <c r="F2606" i="105"/>
  <c r="H2605" i="105"/>
  <c r="G2605" i="105"/>
  <c r="F2605" i="105"/>
  <c r="H2604" i="105"/>
  <c r="G2604" i="105"/>
  <c r="F2604" i="105"/>
  <c r="H2603" i="105"/>
  <c r="G2603" i="105"/>
  <c r="F2603" i="105"/>
  <c r="H2602" i="105"/>
  <c r="G2602" i="105"/>
  <c r="F2602" i="105"/>
  <c r="H2601" i="105"/>
  <c r="G2601" i="105"/>
  <c r="F2601" i="105"/>
  <c r="H2600" i="105"/>
  <c r="G2600" i="105"/>
  <c r="F2600" i="105"/>
  <c r="H2599" i="105"/>
  <c r="G2599" i="105"/>
  <c r="F2599" i="105"/>
  <c r="H2598" i="105"/>
  <c r="G2598" i="105"/>
  <c r="F2598" i="105"/>
  <c r="H2597" i="105"/>
  <c r="G2597" i="105"/>
  <c r="F2597" i="105"/>
  <c r="H2596" i="105"/>
  <c r="G2596" i="105"/>
  <c r="F2596" i="105"/>
  <c r="H2595" i="105"/>
  <c r="G2595" i="105"/>
  <c r="F2595" i="105"/>
  <c r="H2594" i="105"/>
  <c r="G2594" i="105"/>
  <c r="F2594" i="105"/>
  <c r="H2593" i="105"/>
  <c r="G2593" i="105"/>
  <c r="F2593" i="105"/>
  <c r="H2592" i="105"/>
  <c r="G2592" i="105"/>
  <c r="F2592" i="105"/>
  <c r="H2591" i="105"/>
  <c r="G2591" i="105"/>
  <c r="F2591" i="105"/>
  <c r="H2590" i="105"/>
  <c r="G2590" i="105"/>
  <c r="F2590" i="105"/>
  <c r="H2589" i="105"/>
  <c r="G2589" i="105"/>
  <c r="F2589" i="105"/>
  <c r="H2588" i="105"/>
  <c r="G2588" i="105"/>
  <c r="F2588" i="105"/>
  <c r="H2587" i="105"/>
  <c r="G2587" i="105"/>
  <c r="F2587" i="105"/>
  <c r="H2586" i="105"/>
  <c r="G2586" i="105"/>
  <c r="F2586" i="105"/>
  <c r="H2585" i="105"/>
  <c r="G2585" i="105"/>
  <c r="F2585" i="105"/>
  <c r="H2584" i="105"/>
  <c r="G2584" i="105"/>
  <c r="F2584" i="105"/>
  <c r="H2583" i="105"/>
  <c r="G2583" i="105"/>
  <c r="F2583" i="105"/>
  <c r="H2582" i="105"/>
  <c r="G2582" i="105"/>
  <c r="F2582" i="105"/>
  <c r="H2581" i="105"/>
  <c r="G2581" i="105"/>
  <c r="F2581" i="105"/>
  <c r="H2580" i="105"/>
  <c r="G2580" i="105"/>
  <c r="F2580" i="105"/>
  <c r="H2579" i="105"/>
  <c r="G2579" i="105"/>
  <c r="F2579" i="105"/>
  <c r="H2578" i="105"/>
  <c r="G2578" i="105"/>
  <c r="F2578" i="105"/>
  <c r="H2577" i="105"/>
  <c r="G2577" i="105"/>
  <c r="F2577" i="105"/>
  <c r="H2576" i="105"/>
  <c r="G2576" i="105"/>
  <c r="F2576" i="105"/>
  <c r="H2575" i="105"/>
  <c r="G2575" i="105"/>
  <c r="F2575" i="105"/>
  <c r="H2574" i="105"/>
  <c r="G2574" i="105"/>
  <c r="F2574" i="105"/>
  <c r="H2573" i="105"/>
  <c r="G2573" i="105"/>
  <c r="F2573" i="105"/>
  <c r="H2572" i="105"/>
  <c r="G2572" i="105"/>
  <c r="F2572" i="105"/>
  <c r="H2571" i="105"/>
  <c r="G2571" i="105"/>
  <c r="F2571" i="105"/>
  <c r="H2570" i="105"/>
  <c r="G2570" i="105"/>
  <c r="F2570" i="105"/>
  <c r="H2569" i="105"/>
  <c r="G2569" i="105"/>
  <c r="F2569" i="105"/>
  <c r="H2568" i="105"/>
  <c r="G2568" i="105"/>
  <c r="F2568" i="105"/>
  <c r="H2567" i="105"/>
  <c r="G2567" i="105"/>
  <c r="F2567" i="105"/>
  <c r="H2566" i="105"/>
  <c r="G2566" i="105"/>
  <c r="F2566" i="105"/>
  <c r="H2565" i="105"/>
  <c r="G2565" i="105"/>
  <c r="F2565" i="105"/>
  <c r="H2564" i="105"/>
  <c r="G2564" i="105"/>
  <c r="F2564" i="105"/>
  <c r="H2563" i="105"/>
  <c r="G2563" i="105"/>
  <c r="F2563" i="105"/>
  <c r="H2562" i="105"/>
  <c r="G2562" i="105"/>
  <c r="F2562" i="105"/>
  <c r="H2561" i="105"/>
  <c r="G2561" i="105"/>
  <c r="F2561" i="105"/>
  <c r="H2560" i="105"/>
  <c r="G2560" i="105"/>
  <c r="F2560" i="105"/>
  <c r="H2559" i="105"/>
  <c r="G2559" i="105"/>
  <c r="F2559" i="105"/>
  <c r="H2558" i="105"/>
  <c r="G2558" i="105"/>
  <c r="F2558" i="105"/>
  <c r="H2557" i="105"/>
  <c r="G2557" i="105"/>
  <c r="F2557" i="105"/>
  <c r="H2556" i="105"/>
  <c r="G2556" i="105"/>
  <c r="F2556" i="105"/>
  <c r="H2555" i="105"/>
  <c r="G2555" i="105"/>
  <c r="F2555" i="105"/>
  <c r="H2554" i="105"/>
  <c r="G2554" i="105"/>
  <c r="F2554" i="105"/>
  <c r="H2553" i="105"/>
  <c r="G2553" i="105"/>
  <c r="F2553" i="105"/>
  <c r="H2552" i="105"/>
  <c r="G2552" i="105"/>
  <c r="F2552" i="105"/>
  <c r="H2551" i="105"/>
  <c r="G2551" i="105"/>
  <c r="F2551" i="105"/>
  <c r="H2550" i="105"/>
  <c r="G2550" i="105"/>
  <c r="F2550" i="105"/>
  <c r="H2549" i="105"/>
  <c r="G2549" i="105"/>
  <c r="F2549" i="105"/>
  <c r="H2548" i="105"/>
  <c r="G2548" i="105"/>
  <c r="F2548" i="105"/>
  <c r="H2547" i="105"/>
  <c r="G2547" i="105"/>
  <c r="F2547" i="105"/>
  <c r="H2546" i="105"/>
  <c r="G2546" i="105"/>
  <c r="F2546" i="105"/>
  <c r="H2545" i="105"/>
  <c r="G2545" i="105"/>
  <c r="F2545" i="105"/>
  <c r="H2544" i="105"/>
  <c r="G2544" i="105"/>
  <c r="F2544" i="105"/>
  <c r="H2543" i="105"/>
  <c r="G2543" i="105"/>
  <c r="F2543" i="105"/>
  <c r="H2542" i="105"/>
  <c r="G2542" i="105"/>
  <c r="F2542" i="105"/>
  <c r="H2541" i="105"/>
  <c r="G2541" i="105"/>
  <c r="F2541" i="105"/>
  <c r="H2540" i="105"/>
  <c r="G2540" i="105"/>
  <c r="F2540" i="105"/>
  <c r="H2539" i="105"/>
  <c r="G2539" i="105"/>
  <c r="F2539" i="105"/>
  <c r="H2538" i="105"/>
  <c r="G2538" i="105"/>
  <c r="F2538" i="105"/>
  <c r="H2537" i="105"/>
  <c r="G2537" i="105"/>
  <c r="F2537" i="105"/>
  <c r="H2536" i="105"/>
  <c r="G2536" i="105"/>
  <c r="F2536" i="105"/>
  <c r="H2535" i="105"/>
  <c r="G2535" i="105"/>
  <c r="F2535" i="105"/>
  <c r="H2534" i="105"/>
  <c r="G2534" i="105"/>
  <c r="F2534" i="105"/>
  <c r="H2533" i="105"/>
  <c r="G2533" i="105"/>
  <c r="F2533" i="105"/>
  <c r="H2532" i="105"/>
  <c r="G2532" i="105"/>
  <c r="F2532" i="105"/>
  <c r="H2531" i="105"/>
  <c r="G2531" i="105"/>
  <c r="F2531" i="105"/>
  <c r="H2530" i="105"/>
  <c r="G2530" i="105"/>
  <c r="F2530" i="105"/>
  <c r="H2529" i="105"/>
  <c r="G2529" i="105"/>
  <c r="F2529" i="105"/>
  <c r="H2528" i="105"/>
  <c r="G2528" i="105"/>
  <c r="F2528" i="105"/>
  <c r="H2527" i="105"/>
  <c r="G2527" i="105"/>
  <c r="F2527" i="105"/>
  <c r="H2526" i="105"/>
  <c r="G2526" i="105"/>
  <c r="F2526" i="105"/>
  <c r="H2525" i="105"/>
  <c r="G2525" i="105"/>
  <c r="F2525" i="105"/>
  <c r="H2524" i="105"/>
  <c r="G2524" i="105"/>
  <c r="F2524" i="105"/>
  <c r="H2523" i="105"/>
  <c r="G2523" i="105"/>
  <c r="F2523" i="105"/>
  <c r="H2522" i="105"/>
  <c r="G2522" i="105"/>
  <c r="F2522" i="105"/>
  <c r="H2521" i="105"/>
  <c r="G2521" i="105"/>
  <c r="F2521" i="105"/>
  <c r="H2520" i="105"/>
  <c r="G2520" i="105"/>
  <c r="F2520" i="105"/>
  <c r="H2519" i="105"/>
  <c r="G2519" i="105"/>
  <c r="F2519" i="105"/>
  <c r="H2518" i="105"/>
  <c r="G2518" i="105"/>
  <c r="F2518" i="105"/>
  <c r="H2517" i="105"/>
  <c r="G2517" i="105"/>
  <c r="F2517" i="105"/>
  <c r="H2516" i="105"/>
  <c r="G2516" i="105"/>
  <c r="F2516" i="105"/>
  <c r="H2515" i="105"/>
  <c r="G2515" i="105"/>
  <c r="F2515" i="105"/>
  <c r="H2514" i="105"/>
  <c r="G2514" i="105"/>
  <c r="F2514" i="105"/>
  <c r="H2513" i="105"/>
  <c r="G2513" i="105"/>
  <c r="F2513" i="105"/>
  <c r="H2512" i="105"/>
  <c r="G2512" i="105"/>
  <c r="F2512" i="105"/>
  <c r="H2511" i="105"/>
  <c r="G2511" i="105"/>
  <c r="F2511" i="105"/>
  <c r="H2510" i="105"/>
  <c r="G2510" i="105"/>
  <c r="F2510" i="105"/>
  <c r="H2509" i="105"/>
  <c r="G2509" i="105"/>
  <c r="F2509" i="105"/>
  <c r="H2508" i="105"/>
  <c r="G2508" i="105"/>
  <c r="F2508" i="105"/>
  <c r="H2507" i="105"/>
  <c r="G2507" i="105"/>
  <c r="F2507" i="105"/>
  <c r="H2506" i="105"/>
  <c r="G2506" i="105"/>
  <c r="F2506" i="105"/>
  <c r="H2505" i="105"/>
  <c r="G2505" i="105"/>
  <c r="F2505" i="105"/>
  <c r="H2504" i="105"/>
  <c r="G2504" i="105"/>
  <c r="F2504" i="105"/>
  <c r="H2503" i="105"/>
  <c r="G2503" i="105"/>
  <c r="F2503" i="105"/>
  <c r="H2502" i="105"/>
  <c r="G2502" i="105"/>
  <c r="F2502" i="105"/>
  <c r="H2501" i="105"/>
  <c r="G2501" i="105"/>
  <c r="F2501" i="105"/>
  <c r="H2500" i="105"/>
  <c r="G2500" i="105"/>
  <c r="F2500" i="105"/>
  <c r="H2499" i="105"/>
  <c r="G2499" i="105"/>
  <c r="F2499" i="105"/>
  <c r="H2498" i="105"/>
  <c r="G2498" i="105"/>
  <c r="F2498" i="105"/>
  <c r="H2497" i="105"/>
  <c r="G2497" i="105"/>
  <c r="F2497" i="105"/>
  <c r="H2496" i="105"/>
  <c r="G2496" i="105"/>
  <c r="F2496" i="105"/>
  <c r="H2495" i="105"/>
  <c r="G2495" i="105"/>
  <c r="F2495" i="105"/>
  <c r="H2494" i="105"/>
  <c r="G2494" i="105"/>
  <c r="F2494" i="105"/>
  <c r="H2493" i="105"/>
  <c r="G2493" i="105"/>
  <c r="F2493" i="105"/>
  <c r="H2492" i="105"/>
  <c r="G2492" i="105"/>
  <c r="F2492" i="105"/>
  <c r="H2491" i="105"/>
  <c r="G2491" i="105"/>
  <c r="F2491" i="105"/>
  <c r="H2490" i="105"/>
  <c r="G2490" i="105"/>
  <c r="F2490" i="105"/>
  <c r="H2489" i="105"/>
  <c r="G2489" i="105"/>
  <c r="F2489" i="105"/>
  <c r="H2488" i="105"/>
  <c r="G2488" i="105"/>
  <c r="F2488" i="105"/>
  <c r="H2487" i="105"/>
  <c r="G2487" i="105"/>
  <c r="F2487" i="105"/>
  <c r="H2486" i="105"/>
  <c r="G2486" i="105"/>
  <c r="F2486" i="105"/>
  <c r="H2485" i="105"/>
  <c r="G2485" i="105"/>
  <c r="F2485" i="105"/>
  <c r="H2484" i="105"/>
  <c r="G2484" i="105"/>
  <c r="F2484" i="105"/>
  <c r="H2483" i="105"/>
  <c r="G2483" i="105"/>
  <c r="F2483" i="105"/>
  <c r="H2482" i="105"/>
  <c r="G2482" i="105"/>
  <c r="F2482" i="105"/>
  <c r="H2481" i="105"/>
  <c r="G2481" i="105"/>
  <c r="F2481" i="105"/>
  <c r="H2480" i="105"/>
  <c r="G2480" i="105"/>
  <c r="F2480" i="105"/>
  <c r="H2479" i="105"/>
  <c r="G2479" i="105"/>
  <c r="F2479" i="105"/>
  <c r="H2478" i="105"/>
  <c r="G2478" i="105"/>
  <c r="F2478" i="105"/>
  <c r="H2477" i="105"/>
  <c r="G2477" i="105"/>
  <c r="F2477" i="105"/>
  <c r="H2476" i="105"/>
  <c r="G2476" i="105"/>
  <c r="F2476" i="105"/>
  <c r="H2475" i="105"/>
  <c r="G2475" i="105"/>
  <c r="F2475" i="105"/>
  <c r="H2474" i="105"/>
  <c r="G2474" i="105"/>
  <c r="F2474" i="105"/>
  <c r="H2473" i="105"/>
  <c r="G2473" i="105"/>
  <c r="F2473" i="105"/>
  <c r="H2472" i="105"/>
  <c r="G2472" i="105"/>
  <c r="F2472" i="105"/>
  <c r="H2471" i="105"/>
  <c r="G2471" i="105"/>
  <c r="F2471" i="105"/>
  <c r="H2470" i="105"/>
  <c r="G2470" i="105"/>
  <c r="F2470" i="105"/>
  <c r="H2469" i="105"/>
  <c r="G2469" i="105"/>
  <c r="F2469" i="105"/>
  <c r="H2468" i="105"/>
  <c r="G2468" i="105"/>
  <c r="F2468" i="105"/>
  <c r="H2467" i="105"/>
  <c r="G2467" i="105"/>
  <c r="F2467" i="105"/>
  <c r="H2466" i="105"/>
  <c r="G2466" i="105"/>
  <c r="F2466" i="105"/>
  <c r="H2465" i="105"/>
  <c r="G2465" i="105"/>
  <c r="F2465" i="105"/>
  <c r="H2464" i="105"/>
  <c r="G2464" i="105"/>
  <c r="F2464" i="105"/>
  <c r="H2463" i="105"/>
  <c r="G2463" i="105"/>
  <c r="F2463" i="105"/>
  <c r="H2462" i="105"/>
  <c r="G2462" i="105"/>
  <c r="F2462" i="105"/>
  <c r="H2461" i="105"/>
  <c r="G2461" i="105"/>
  <c r="F2461" i="105"/>
  <c r="H2460" i="105"/>
  <c r="G2460" i="105"/>
  <c r="F2460" i="105"/>
  <c r="H2459" i="105"/>
  <c r="G2459" i="105"/>
  <c r="F2459" i="105"/>
  <c r="H2458" i="105"/>
  <c r="G2458" i="105"/>
  <c r="F2458" i="105"/>
  <c r="H2457" i="105"/>
  <c r="G2457" i="105"/>
  <c r="F2457" i="105"/>
  <c r="H2456" i="105"/>
  <c r="G2456" i="105"/>
  <c r="F2456" i="105"/>
  <c r="H2455" i="105"/>
  <c r="G2455" i="105"/>
  <c r="F2455" i="105"/>
  <c r="H2454" i="105"/>
  <c r="G2454" i="105"/>
  <c r="F2454" i="105"/>
  <c r="H2453" i="105"/>
  <c r="G2453" i="105"/>
  <c r="F2453" i="105"/>
  <c r="H2452" i="105"/>
  <c r="G2452" i="105"/>
  <c r="F2452" i="105"/>
  <c r="H2451" i="105"/>
  <c r="G2451" i="105"/>
  <c r="F2451" i="105"/>
  <c r="H2450" i="105"/>
  <c r="G2450" i="105"/>
  <c r="F2450" i="105"/>
  <c r="H2449" i="105"/>
  <c r="G2449" i="105"/>
  <c r="F2449" i="105"/>
  <c r="H2448" i="105"/>
  <c r="G2448" i="105"/>
  <c r="F2448" i="105"/>
  <c r="H2447" i="105"/>
  <c r="G2447" i="105"/>
  <c r="F2447" i="105"/>
  <c r="H2446" i="105"/>
  <c r="G2446" i="105"/>
  <c r="F2446" i="105"/>
  <c r="H2445" i="105"/>
  <c r="G2445" i="105"/>
  <c r="F2445" i="105"/>
  <c r="H2444" i="105"/>
  <c r="G2444" i="105"/>
  <c r="F2444" i="105"/>
  <c r="H2443" i="105"/>
  <c r="G2443" i="105"/>
  <c r="F2443" i="105"/>
  <c r="H2442" i="105"/>
  <c r="G2442" i="105"/>
  <c r="F2442" i="105"/>
  <c r="H2441" i="105"/>
  <c r="G2441" i="105"/>
  <c r="F2441" i="105"/>
  <c r="H2440" i="105"/>
  <c r="G2440" i="105"/>
  <c r="F2440" i="105"/>
  <c r="H2439" i="105"/>
  <c r="G2439" i="105"/>
  <c r="F2439" i="105"/>
  <c r="H2438" i="105"/>
  <c r="G2438" i="105"/>
  <c r="F2438" i="105"/>
  <c r="H2437" i="105"/>
  <c r="G2437" i="105"/>
  <c r="F2437" i="105"/>
  <c r="H2436" i="105"/>
  <c r="G2436" i="105"/>
  <c r="F2436" i="105"/>
  <c r="H2435" i="105"/>
  <c r="G2435" i="105"/>
  <c r="F2435" i="105"/>
  <c r="H2434" i="105"/>
  <c r="G2434" i="105"/>
  <c r="F2434" i="105"/>
  <c r="H2433" i="105"/>
  <c r="G2433" i="105"/>
  <c r="F2433" i="105"/>
  <c r="H2432" i="105"/>
  <c r="G2432" i="105"/>
  <c r="F2432" i="105"/>
  <c r="H2431" i="105"/>
  <c r="G2431" i="105"/>
  <c r="F2431" i="105"/>
  <c r="H2430" i="105"/>
  <c r="G2430" i="105"/>
  <c r="F2430" i="105"/>
  <c r="H2429" i="105"/>
  <c r="G2429" i="105"/>
  <c r="F2429" i="105"/>
  <c r="H2428" i="105"/>
  <c r="G2428" i="105"/>
  <c r="F2428" i="105"/>
  <c r="H2427" i="105"/>
  <c r="G2427" i="105"/>
  <c r="F2427" i="105"/>
  <c r="H2426" i="105"/>
  <c r="G2426" i="105"/>
  <c r="F2426" i="105"/>
  <c r="H2425" i="105"/>
  <c r="G2425" i="105"/>
  <c r="F2425" i="105"/>
  <c r="H2424" i="105"/>
  <c r="G2424" i="105"/>
  <c r="F2424" i="105"/>
  <c r="H2423" i="105"/>
  <c r="G2423" i="105"/>
  <c r="F2423" i="105"/>
  <c r="H2422" i="105"/>
  <c r="G2422" i="105"/>
  <c r="F2422" i="105"/>
  <c r="H2421" i="105"/>
  <c r="G2421" i="105"/>
  <c r="F2421" i="105"/>
  <c r="H2420" i="105"/>
  <c r="G2420" i="105"/>
  <c r="F2420" i="105"/>
  <c r="H2419" i="105"/>
  <c r="G2419" i="105"/>
  <c r="F2419" i="105"/>
  <c r="H2418" i="105"/>
  <c r="G2418" i="105"/>
  <c r="F2418" i="105"/>
  <c r="H2417" i="105"/>
  <c r="G2417" i="105"/>
  <c r="F2417" i="105"/>
  <c r="H2416" i="105"/>
  <c r="G2416" i="105"/>
  <c r="F2416" i="105"/>
  <c r="H2415" i="105"/>
  <c r="G2415" i="105"/>
  <c r="F2415" i="105"/>
  <c r="H2414" i="105"/>
  <c r="G2414" i="105"/>
  <c r="F2414" i="105"/>
  <c r="H2413" i="105"/>
  <c r="G2413" i="105"/>
  <c r="F2413" i="105"/>
  <c r="H2412" i="105"/>
  <c r="G2412" i="105"/>
  <c r="F2412" i="105"/>
  <c r="H2411" i="105"/>
  <c r="G2411" i="105"/>
  <c r="F2411" i="105"/>
  <c r="H2410" i="105"/>
  <c r="G2410" i="105"/>
  <c r="F2410" i="105"/>
  <c r="H2409" i="105"/>
  <c r="G2409" i="105"/>
  <c r="F2409" i="105"/>
  <c r="H2408" i="105"/>
  <c r="G2408" i="105"/>
  <c r="F2408" i="105"/>
  <c r="H2407" i="105"/>
  <c r="G2407" i="105"/>
  <c r="F2407" i="105"/>
  <c r="H2406" i="105"/>
  <c r="G2406" i="105"/>
  <c r="F2406" i="105"/>
  <c r="H2405" i="105"/>
  <c r="G2405" i="105"/>
  <c r="F2405" i="105"/>
  <c r="H2404" i="105"/>
  <c r="G2404" i="105"/>
  <c r="F2404" i="105"/>
  <c r="H2403" i="105"/>
  <c r="G2403" i="105"/>
  <c r="F2403" i="105"/>
  <c r="H2402" i="105"/>
  <c r="G2402" i="105"/>
  <c r="F2402" i="105"/>
  <c r="H2401" i="105"/>
  <c r="G2401" i="105"/>
  <c r="F2401" i="105"/>
  <c r="H2400" i="105"/>
  <c r="G2400" i="105"/>
  <c r="F2400" i="105"/>
  <c r="H2399" i="105"/>
  <c r="G2399" i="105"/>
  <c r="F2399" i="105"/>
  <c r="H2398" i="105"/>
  <c r="G2398" i="105"/>
  <c r="F2398" i="105"/>
  <c r="H2397" i="105"/>
  <c r="G2397" i="105"/>
  <c r="F2397" i="105"/>
  <c r="H2396" i="105"/>
  <c r="G2396" i="105"/>
  <c r="F2396" i="105"/>
  <c r="H2395" i="105"/>
  <c r="G2395" i="105"/>
  <c r="F2395" i="105"/>
  <c r="H2394" i="105"/>
  <c r="G2394" i="105"/>
  <c r="F2394" i="105"/>
  <c r="H2393" i="105"/>
  <c r="G2393" i="105"/>
  <c r="F2393" i="105"/>
  <c r="H2392" i="105"/>
  <c r="G2392" i="105"/>
  <c r="F2392" i="105"/>
  <c r="H2391" i="105"/>
  <c r="G2391" i="105"/>
  <c r="F2391" i="105"/>
  <c r="H2390" i="105"/>
  <c r="G2390" i="105"/>
  <c r="F2390" i="105"/>
  <c r="H2389" i="105"/>
  <c r="G2389" i="105"/>
  <c r="F2389" i="105"/>
  <c r="H2388" i="105"/>
  <c r="G2388" i="105"/>
  <c r="F2388" i="105"/>
  <c r="H2387" i="105"/>
  <c r="G2387" i="105"/>
  <c r="F2387" i="105"/>
  <c r="H2386" i="105"/>
  <c r="G2386" i="105"/>
  <c r="F2386" i="105"/>
  <c r="H2385" i="105"/>
  <c r="G2385" i="105"/>
  <c r="F2385" i="105"/>
  <c r="H2384" i="105"/>
  <c r="G2384" i="105"/>
  <c r="F2384" i="105"/>
  <c r="H2383" i="105"/>
  <c r="G2383" i="105"/>
  <c r="F2383" i="105"/>
  <c r="H2382" i="105"/>
  <c r="G2382" i="105"/>
  <c r="F2382" i="105"/>
  <c r="H2381" i="105"/>
  <c r="G2381" i="105"/>
  <c r="F2381" i="105"/>
  <c r="H2380" i="105"/>
  <c r="G2380" i="105"/>
  <c r="F2380" i="105"/>
  <c r="H2379" i="105"/>
  <c r="G2379" i="105"/>
  <c r="F2379" i="105"/>
  <c r="H2378" i="105"/>
  <c r="G2378" i="105"/>
  <c r="F2378" i="105"/>
  <c r="H2377" i="105"/>
  <c r="G2377" i="105"/>
  <c r="F2377" i="105"/>
  <c r="H2376" i="105"/>
  <c r="G2376" i="105"/>
  <c r="F2376" i="105"/>
  <c r="H2375" i="105"/>
  <c r="G2375" i="105"/>
  <c r="F2375" i="105"/>
  <c r="H2374" i="105"/>
  <c r="G2374" i="105"/>
  <c r="F2374" i="105"/>
  <c r="H2373" i="105"/>
  <c r="G2373" i="105"/>
  <c r="F2373" i="105"/>
  <c r="H2372" i="105"/>
  <c r="G2372" i="105"/>
  <c r="F2372" i="105"/>
  <c r="H2371" i="105"/>
  <c r="G2371" i="105"/>
  <c r="F2371" i="105"/>
  <c r="H2370" i="105"/>
  <c r="G2370" i="105"/>
  <c r="F2370" i="105"/>
  <c r="H2369" i="105"/>
  <c r="G2369" i="105"/>
  <c r="F2369" i="105"/>
  <c r="H2368" i="105"/>
  <c r="G2368" i="105"/>
  <c r="F2368" i="105"/>
  <c r="H2367" i="105"/>
  <c r="G2367" i="105"/>
  <c r="F2367" i="105"/>
  <c r="H2366" i="105"/>
  <c r="G2366" i="105"/>
  <c r="F2366" i="105"/>
  <c r="H2365" i="105"/>
  <c r="G2365" i="105"/>
  <c r="F2365" i="105"/>
  <c r="H2364" i="105"/>
  <c r="G2364" i="105"/>
  <c r="F2364" i="105"/>
  <c r="H2363" i="105"/>
  <c r="G2363" i="105"/>
  <c r="F2363" i="105"/>
  <c r="H2362" i="105"/>
  <c r="G2362" i="105"/>
  <c r="F2362" i="105"/>
  <c r="H2361" i="105"/>
  <c r="G2361" i="105"/>
  <c r="F2361" i="105"/>
  <c r="H2360" i="105"/>
  <c r="G2360" i="105"/>
  <c r="F2360" i="105"/>
  <c r="H2359" i="105"/>
  <c r="G2359" i="105"/>
  <c r="F2359" i="105"/>
  <c r="H2358" i="105"/>
  <c r="G2358" i="105"/>
  <c r="F2358" i="105"/>
  <c r="H2357" i="105"/>
  <c r="G2357" i="105"/>
  <c r="F2357" i="105"/>
  <c r="H2356" i="105"/>
  <c r="G2356" i="105"/>
  <c r="F2356" i="105"/>
  <c r="H2355" i="105"/>
  <c r="G2355" i="105"/>
  <c r="F2355" i="105"/>
  <c r="H2354" i="105"/>
  <c r="G2354" i="105"/>
  <c r="F2354" i="105"/>
  <c r="H2353" i="105"/>
  <c r="G2353" i="105"/>
  <c r="F2353" i="105"/>
  <c r="H2352" i="105"/>
  <c r="G2352" i="105"/>
  <c r="F2352" i="105"/>
  <c r="H2351" i="105"/>
  <c r="G2351" i="105"/>
  <c r="F2351" i="105"/>
  <c r="H2350" i="105"/>
  <c r="G2350" i="105"/>
  <c r="F2350" i="105"/>
  <c r="H2349" i="105"/>
  <c r="G2349" i="105"/>
  <c r="F2349" i="105"/>
  <c r="H2348" i="105"/>
  <c r="G2348" i="105"/>
  <c r="F2348" i="105"/>
  <c r="H2347" i="105"/>
  <c r="G2347" i="105"/>
  <c r="F2347" i="105"/>
  <c r="H2346" i="105"/>
  <c r="G2346" i="105"/>
  <c r="F2346" i="105"/>
  <c r="H2345" i="105"/>
  <c r="G2345" i="105"/>
  <c r="F2345" i="105"/>
  <c r="H2344" i="105"/>
  <c r="G2344" i="105"/>
  <c r="F2344" i="105"/>
  <c r="H2343" i="105"/>
  <c r="G2343" i="105"/>
  <c r="F2343" i="105"/>
  <c r="H2342" i="105"/>
  <c r="G2342" i="105"/>
  <c r="F2342" i="105"/>
  <c r="H2341" i="105"/>
  <c r="G2341" i="105"/>
  <c r="F2341" i="105"/>
  <c r="H2340" i="105"/>
  <c r="G2340" i="105"/>
  <c r="F2340" i="105"/>
  <c r="H2339" i="105"/>
  <c r="G2339" i="105"/>
  <c r="F2339" i="105"/>
  <c r="H2338" i="105"/>
  <c r="G2338" i="105"/>
  <c r="F2338" i="105"/>
  <c r="H2337" i="105"/>
  <c r="G2337" i="105"/>
  <c r="F2337" i="105"/>
  <c r="H2336" i="105"/>
  <c r="G2336" i="105"/>
  <c r="F2336" i="105"/>
  <c r="H2335" i="105"/>
  <c r="G2335" i="105"/>
  <c r="F2335" i="105"/>
  <c r="H2334" i="105"/>
  <c r="G2334" i="105"/>
  <c r="F2334" i="105"/>
  <c r="H2333" i="105"/>
  <c r="G2333" i="105"/>
  <c r="F2333" i="105"/>
  <c r="H2332" i="105"/>
  <c r="G2332" i="105"/>
  <c r="F2332" i="105"/>
  <c r="H2331" i="105"/>
  <c r="G2331" i="105"/>
  <c r="F2331" i="105"/>
  <c r="H2330" i="105"/>
  <c r="G2330" i="105"/>
  <c r="F2330" i="105"/>
  <c r="H2329" i="105"/>
  <c r="G2329" i="105"/>
  <c r="F2329" i="105"/>
  <c r="H2328" i="105"/>
  <c r="G2328" i="105"/>
  <c r="F2328" i="105"/>
  <c r="H2327" i="105"/>
  <c r="G2327" i="105"/>
  <c r="F2327" i="105"/>
  <c r="H2326" i="105"/>
  <c r="G2326" i="105"/>
  <c r="F2326" i="105"/>
  <c r="H2325" i="105"/>
  <c r="G2325" i="105"/>
  <c r="F2325" i="105"/>
  <c r="H2324" i="105"/>
  <c r="G2324" i="105"/>
  <c r="F2324" i="105"/>
  <c r="H2323" i="105"/>
  <c r="G2323" i="105"/>
  <c r="F2323" i="105"/>
  <c r="H2322" i="105"/>
  <c r="G2322" i="105"/>
  <c r="F2322" i="105"/>
  <c r="H2321" i="105"/>
  <c r="G2321" i="105"/>
  <c r="F2321" i="105"/>
  <c r="H2320" i="105"/>
  <c r="G2320" i="105"/>
  <c r="F2320" i="105"/>
  <c r="H2319" i="105"/>
  <c r="G2319" i="105"/>
  <c r="F2319" i="105"/>
  <c r="H2318" i="105"/>
  <c r="G2318" i="105"/>
  <c r="F2318" i="105"/>
  <c r="H2317" i="105"/>
  <c r="G2317" i="105"/>
  <c r="F2317" i="105"/>
  <c r="H2316" i="105"/>
  <c r="G2316" i="105"/>
  <c r="F2316" i="105"/>
  <c r="H2315" i="105"/>
  <c r="G2315" i="105"/>
  <c r="F2315" i="105"/>
  <c r="H2314" i="105"/>
  <c r="G2314" i="105"/>
  <c r="F2314" i="105"/>
  <c r="H2313" i="105"/>
  <c r="G2313" i="105"/>
  <c r="F2313" i="105"/>
  <c r="H2312" i="105"/>
  <c r="G2312" i="105"/>
  <c r="F2312" i="105"/>
  <c r="H2311" i="105"/>
  <c r="G2311" i="105"/>
  <c r="F2311" i="105"/>
  <c r="H2310" i="105"/>
  <c r="G2310" i="105"/>
  <c r="F2310" i="105"/>
  <c r="H2309" i="105"/>
  <c r="G2309" i="105"/>
  <c r="F2309" i="105"/>
  <c r="H2308" i="105"/>
  <c r="G2308" i="105"/>
  <c r="F2308" i="105"/>
  <c r="H2307" i="105"/>
  <c r="G2307" i="105"/>
  <c r="F2307" i="105"/>
  <c r="H2306" i="105"/>
  <c r="G2306" i="105"/>
  <c r="F2306" i="105"/>
  <c r="H2305" i="105"/>
  <c r="G2305" i="105"/>
  <c r="F2305" i="105"/>
  <c r="H2304" i="105"/>
  <c r="G2304" i="105"/>
  <c r="F2304" i="105"/>
  <c r="H2303" i="105"/>
  <c r="G2303" i="105"/>
  <c r="F2303" i="105"/>
  <c r="H2302" i="105"/>
  <c r="G2302" i="105"/>
  <c r="F2302" i="105"/>
  <c r="H2301" i="105"/>
  <c r="G2301" i="105"/>
  <c r="F2301" i="105"/>
  <c r="H2300" i="105"/>
  <c r="G2300" i="105"/>
  <c r="F2300" i="105"/>
  <c r="H2299" i="105"/>
  <c r="G2299" i="105"/>
  <c r="F2299" i="105"/>
  <c r="H2298" i="105"/>
  <c r="G2298" i="105"/>
  <c r="F2298" i="105"/>
  <c r="H2297" i="105"/>
  <c r="G2297" i="105"/>
  <c r="F2297" i="105"/>
  <c r="H2296" i="105"/>
  <c r="G2296" i="105"/>
  <c r="F2296" i="105"/>
  <c r="H2295" i="105"/>
  <c r="G2295" i="105"/>
  <c r="F2295" i="105"/>
  <c r="H2294" i="105"/>
  <c r="G2294" i="105"/>
  <c r="F2294" i="105"/>
  <c r="H2293" i="105"/>
  <c r="G2293" i="105"/>
  <c r="F2293" i="105"/>
  <c r="H2292" i="105"/>
  <c r="G2292" i="105"/>
  <c r="F2292" i="105"/>
  <c r="H2291" i="105"/>
  <c r="G2291" i="105"/>
  <c r="F2291" i="105"/>
  <c r="H2290" i="105"/>
  <c r="G2290" i="105"/>
  <c r="F2290" i="105"/>
  <c r="H2289" i="105"/>
  <c r="G2289" i="105"/>
  <c r="F2289" i="105"/>
  <c r="H2288" i="105"/>
  <c r="G2288" i="105"/>
  <c r="F2288" i="105"/>
  <c r="H2287" i="105"/>
  <c r="G2287" i="105"/>
  <c r="F2287" i="105"/>
  <c r="H2286" i="105"/>
  <c r="G2286" i="105"/>
  <c r="F2286" i="105"/>
  <c r="H2285" i="105"/>
  <c r="G2285" i="105"/>
  <c r="F2285" i="105"/>
  <c r="H2284" i="105"/>
  <c r="G2284" i="105"/>
  <c r="F2284" i="105"/>
  <c r="H2283" i="105"/>
  <c r="G2283" i="105"/>
  <c r="F2283" i="105"/>
  <c r="H2282" i="105"/>
  <c r="G2282" i="105"/>
  <c r="F2282" i="105"/>
  <c r="H2281" i="105"/>
  <c r="G2281" i="105"/>
  <c r="F2281" i="105"/>
  <c r="H2280" i="105"/>
  <c r="G2280" i="105"/>
  <c r="F2280" i="105"/>
  <c r="H2279" i="105"/>
  <c r="G2279" i="105"/>
  <c r="F2279" i="105"/>
  <c r="H2278" i="105"/>
  <c r="G2278" i="105"/>
  <c r="F2278" i="105"/>
  <c r="H2277" i="105"/>
  <c r="G2277" i="105"/>
  <c r="F2277" i="105"/>
  <c r="H2276" i="105"/>
  <c r="G2276" i="105"/>
  <c r="F2276" i="105"/>
  <c r="H2275" i="105"/>
  <c r="G2275" i="105"/>
  <c r="F2275" i="105"/>
  <c r="H2274" i="105"/>
  <c r="G2274" i="105"/>
  <c r="F2274" i="105"/>
  <c r="H2273" i="105"/>
  <c r="G2273" i="105"/>
  <c r="F2273" i="105"/>
  <c r="H2272" i="105"/>
  <c r="G2272" i="105"/>
  <c r="F2272" i="105"/>
  <c r="H2271" i="105"/>
  <c r="G2271" i="105"/>
  <c r="F2271" i="105"/>
  <c r="H2270" i="105"/>
  <c r="G2270" i="105"/>
  <c r="F2270" i="105"/>
  <c r="H2269" i="105"/>
  <c r="G2269" i="105"/>
  <c r="F2269" i="105"/>
  <c r="H2268" i="105"/>
  <c r="G2268" i="105"/>
  <c r="F2268" i="105"/>
  <c r="H2267" i="105"/>
  <c r="G2267" i="105"/>
  <c r="F2267" i="105"/>
  <c r="H2266" i="105"/>
  <c r="G2266" i="105"/>
  <c r="F2266" i="105"/>
  <c r="H2265" i="105"/>
  <c r="G2265" i="105"/>
  <c r="F2265" i="105"/>
  <c r="H2264" i="105"/>
  <c r="G2264" i="105"/>
  <c r="F2264" i="105"/>
  <c r="H2263" i="105"/>
  <c r="G2263" i="105"/>
  <c r="F2263" i="105"/>
  <c r="H2262" i="105"/>
  <c r="G2262" i="105"/>
  <c r="F2262" i="105"/>
  <c r="H2261" i="105"/>
  <c r="G2261" i="105"/>
  <c r="F2261" i="105"/>
  <c r="H2260" i="105"/>
  <c r="G2260" i="105"/>
  <c r="F2260" i="105"/>
  <c r="H2259" i="105"/>
  <c r="G2259" i="105"/>
  <c r="F2259" i="105"/>
  <c r="H2258" i="105"/>
  <c r="G2258" i="105"/>
  <c r="F2258" i="105"/>
  <c r="H2257" i="105"/>
  <c r="G2257" i="105"/>
  <c r="F2257" i="105"/>
  <c r="H2256" i="105"/>
  <c r="G2256" i="105"/>
  <c r="F2256" i="105"/>
  <c r="H2255" i="105"/>
  <c r="G2255" i="105"/>
  <c r="F2255" i="105"/>
  <c r="H2254" i="105"/>
  <c r="G2254" i="105"/>
  <c r="F2254" i="105"/>
  <c r="H2253" i="105"/>
  <c r="G2253" i="105"/>
  <c r="F2253" i="105"/>
  <c r="H2252" i="105"/>
  <c r="G2252" i="105"/>
  <c r="F2252" i="105"/>
  <c r="H2251" i="105"/>
  <c r="G2251" i="105"/>
  <c r="F2251" i="105"/>
  <c r="H2250" i="105"/>
  <c r="G2250" i="105"/>
  <c r="F2250" i="105"/>
  <c r="H2249" i="105"/>
  <c r="G2249" i="105"/>
  <c r="F2249" i="105"/>
  <c r="H2248" i="105"/>
  <c r="G2248" i="105"/>
  <c r="F2248" i="105"/>
  <c r="H2247" i="105"/>
  <c r="G2247" i="105"/>
  <c r="F2247" i="105"/>
  <c r="H2246" i="105"/>
  <c r="G2246" i="105"/>
  <c r="F2246" i="105"/>
  <c r="H2245" i="105"/>
  <c r="G2245" i="105"/>
  <c r="F2245" i="105"/>
  <c r="H2244" i="105"/>
  <c r="G2244" i="105"/>
  <c r="F2244" i="105"/>
  <c r="H2243" i="105"/>
  <c r="G2243" i="105"/>
  <c r="F2243" i="105"/>
  <c r="H2242" i="105"/>
  <c r="G2242" i="105"/>
  <c r="F2242" i="105"/>
  <c r="H2241" i="105"/>
  <c r="G2241" i="105"/>
  <c r="F2241" i="105"/>
  <c r="H2240" i="105"/>
  <c r="G2240" i="105"/>
  <c r="F2240" i="105"/>
  <c r="H2239" i="105"/>
  <c r="G2239" i="105"/>
  <c r="F2239" i="105"/>
  <c r="H2238" i="105"/>
  <c r="G2238" i="105"/>
  <c r="F2238" i="105"/>
  <c r="H2237" i="105"/>
  <c r="G2237" i="105"/>
  <c r="F2237" i="105"/>
  <c r="H2236" i="105"/>
  <c r="G2236" i="105"/>
  <c r="F2236" i="105"/>
  <c r="H2235" i="105"/>
  <c r="G2235" i="105"/>
  <c r="F2235" i="105"/>
  <c r="H2234" i="105"/>
  <c r="G2234" i="105"/>
  <c r="F2234" i="105"/>
  <c r="H2233" i="105"/>
  <c r="G2233" i="105"/>
  <c r="F2233" i="105"/>
  <c r="H2232" i="105"/>
  <c r="G2232" i="105"/>
  <c r="F2232" i="105"/>
  <c r="H2231" i="105"/>
  <c r="G2231" i="105"/>
  <c r="F2231" i="105"/>
  <c r="H2230" i="105"/>
  <c r="G2230" i="105"/>
  <c r="F2230" i="105"/>
  <c r="H2229" i="105"/>
  <c r="G2229" i="105"/>
  <c r="F2229" i="105"/>
  <c r="H2228" i="105"/>
  <c r="G2228" i="105"/>
  <c r="F2228" i="105"/>
  <c r="H2227" i="105"/>
  <c r="G2227" i="105"/>
  <c r="F2227" i="105"/>
  <c r="H2226" i="105"/>
  <c r="G2226" i="105"/>
  <c r="F2226" i="105"/>
  <c r="H2225" i="105"/>
  <c r="G2225" i="105"/>
  <c r="F2225" i="105"/>
  <c r="H2224" i="105"/>
  <c r="G2224" i="105"/>
  <c r="F2224" i="105"/>
  <c r="H2223" i="105"/>
  <c r="G2223" i="105"/>
  <c r="F2223" i="105"/>
  <c r="H2222" i="105"/>
  <c r="G2222" i="105"/>
  <c r="F2222" i="105"/>
  <c r="H2221" i="105"/>
  <c r="G2221" i="105"/>
  <c r="F2221" i="105"/>
  <c r="H2220" i="105"/>
  <c r="G2220" i="105"/>
  <c r="F2220" i="105"/>
  <c r="H2219" i="105"/>
  <c r="G2219" i="105"/>
  <c r="F2219" i="105"/>
  <c r="H2218" i="105"/>
  <c r="G2218" i="105"/>
  <c r="F2218" i="105"/>
  <c r="H2217" i="105"/>
  <c r="G2217" i="105"/>
  <c r="F2217" i="105"/>
  <c r="H2216" i="105"/>
  <c r="G2216" i="105"/>
  <c r="F2216" i="105"/>
  <c r="H2215" i="105"/>
  <c r="G2215" i="105"/>
  <c r="F2215" i="105"/>
  <c r="H2214" i="105"/>
  <c r="G2214" i="105"/>
  <c r="F2214" i="105"/>
  <c r="H2213" i="105"/>
  <c r="G2213" i="105"/>
  <c r="F2213" i="105"/>
  <c r="H2212" i="105"/>
  <c r="G2212" i="105"/>
  <c r="F2212" i="105"/>
  <c r="H2211" i="105"/>
  <c r="G2211" i="105"/>
  <c r="F2211" i="105"/>
  <c r="H2210" i="105"/>
  <c r="G2210" i="105"/>
  <c r="F2210" i="105"/>
  <c r="H2209" i="105"/>
  <c r="G2209" i="105"/>
  <c r="F2209" i="105"/>
  <c r="H2208" i="105"/>
  <c r="G2208" i="105"/>
  <c r="F2208" i="105"/>
  <c r="H2207" i="105"/>
  <c r="G2207" i="105"/>
  <c r="F2207" i="105"/>
  <c r="H2206" i="105"/>
  <c r="G2206" i="105"/>
  <c r="F2206" i="105"/>
  <c r="H2205" i="105"/>
  <c r="G2205" i="105"/>
  <c r="F2205" i="105"/>
  <c r="H2204" i="105"/>
  <c r="G2204" i="105"/>
  <c r="F2204" i="105"/>
  <c r="H2203" i="105"/>
  <c r="G2203" i="105"/>
  <c r="F2203" i="105"/>
  <c r="H2202" i="105"/>
  <c r="G2202" i="105"/>
  <c r="F2202" i="105"/>
  <c r="H2201" i="105"/>
  <c r="G2201" i="105"/>
  <c r="F2201" i="105"/>
  <c r="H2200" i="105"/>
  <c r="G2200" i="105"/>
  <c r="F2200" i="105"/>
  <c r="H2199" i="105"/>
  <c r="G2199" i="105"/>
  <c r="F2199" i="105"/>
  <c r="H2198" i="105"/>
  <c r="G2198" i="105"/>
  <c r="F2198" i="105"/>
  <c r="H2197" i="105"/>
  <c r="G2197" i="105"/>
  <c r="F2197" i="105"/>
  <c r="H2196" i="105"/>
  <c r="G2196" i="105"/>
  <c r="F2196" i="105"/>
  <c r="H2195" i="105"/>
  <c r="G2195" i="105"/>
  <c r="F2195" i="105"/>
  <c r="H2194" i="105"/>
  <c r="G2194" i="105"/>
  <c r="F2194" i="105"/>
  <c r="H2193" i="105"/>
  <c r="G2193" i="105"/>
  <c r="F2193" i="105"/>
  <c r="H2192" i="105"/>
  <c r="G2192" i="105"/>
  <c r="F2192" i="105"/>
  <c r="H2191" i="105"/>
  <c r="G2191" i="105"/>
  <c r="F2191" i="105"/>
  <c r="H2190" i="105"/>
  <c r="G2190" i="105"/>
  <c r="F2190" i="105"/>
  <c r="H2189" i="105"/>
  <c r="G2189" i="105"/>
  <c r="F2189" i="105"/>
  <c r="H2188" i="105"/>
  <c r="G2188" i="105"/>
  <c r="F2188" i="105"/>
  <c r="H2187" i="105"/>
  <c r="G2187" i="105"/>
  <c r="F2187" i="105"/>
  <c r="H2186" i="105"/>
  <c r="G2186" i="105"/>
  <c r="F2186" i="105"/>
  <c r="H2185" i="105"/>
  <c r="G2185" i="105"/>
  <c r="F2185" i="105"/>
  <c r="H2184" i="105"/>
  <c r="G2184" i="105"/>
  <c r="F2184" i="105"/>
  <c r="H2183" i="105"/>
  <c r="G2183" i="105"/>
  <c r="F2183" i="105"/>
  <c r="H2182" i="105"/>
  <c r="G2182" i="105"/>
  <c r="F2182" i="105"/>
  <c r="H2181" i="105"/>
  <c r="G2181" i="105"/>
  <c r="F2181" i="105"/>
  <c r="H2180" i="105"/>
  <c r="G2180" i="105"/>
  <c r="F2180" i="105"/>
  <c r="H2179" i="105"/>
  <c r="G2179" i="105"/>
  <c r="F2179" i="105"/>
  <c r="H2178" i="105"/>
  <c r="G2178" i="105"/>
  <c r="F2178" i="105"/>
  <c r="H2177" i="105"/>
  <c r="G2177" i="105"/>
  <c r="F2177" i="105"/>
  <c r="H2176" i="105"/>
  <c r="G2176" i="105"/>
  <c r="F2176" i="105"/>
  <c r="H2175" i="105"/>
  <c r="G2175" i="105"/>
  <c r="F2175" i="105"/>
  <c r="H2174" i="105"/>
  <c r="G2174" i="105"/>
  <c r="F2174" i="105"/>
  <c r="H2173" i="105"/>
  <c r="G2173" i="105"/>
  <c r="F2173" i="105"/>
  <c r="H2172" i="105"/>
  <c r="G2172" i="105"/>
  <c r="F2172" i="105"/>
  <c r="H2171" i="105"/>
  <c r="G2171" i="105"/>
  <c r="F2171" i="105"/>
  <c r="H2170" i="105"/>
  <c r="G2170" i="105"/>
  <c r="F2170" i="105"/>
  <c r="H2169" i="105"/>
  <c r="G2169" i="105"/>
  <c r="F2169" i="105"/>
  <c r="H2168" i="105"/>
  <c r="G2168" i="105"/>
  <c r="F2168" i="105"/>
  <c r="H2167" i="105"/>
  <c r="G2167" i="105"/>
  <c r="F2167" i="105"/>
  <c r="H2166" i="105"/>
  <c r="G2166" i="105"/>
  <c r="F2166" i="105"/>
  <c r="H2165" i="105"/>
  <c r="G2165" i="105"/>
  <c r="F2165" i="105"/>
  <c r="H2164" i="105"/>
  <c r="G2164" i="105"/>
  <c r="F2164" i="105"/>
  <c r="H2163" i="105"/>
  <c r="G2163" i="105"/>
  <c r="F2163" i="105"/>
  <c r="H2162" i="105"/>
  <c r="G2162" i="105"/>
  <c r="F2162" i="105"/>
  <c r="H2161" i="105"/>
  <c r="G2161" i="105"/>
  <c r="F2161" i="105"/>
  <c r="H2160" i="105"/>
  <c r="G2160" i="105"/>
  <c r="F2160" i="105"/>
  <c r="H2159" i="105"/>
  <c r="G2159" i="105"/>
  <c r="F2159" i="105"/>
  <c r="H2158" i="105"/>
  <c r="G2158" i="105"/>
  <c r="F2158" i="105"/>
  <c r="H2157" i="105"/>
  <c r="G2157" i="105"/>
  <c r="F2157" i="105"/>
  <c r="H2156" i="105"/>
  <c r="G2156" i="105"/>
  <c r="F2156" i="105"/>
  <c r="H2155" i="105"/>
  <c r="G2155" i="105"/>
  <c r="F2155" i="105"/>
  <c r="H2154" i="105"/>
  <c r="G2154" i="105"/>
  <c r="F2154" i="105"/>
  <c r="H2153" i="105"/>
  <c r="G2153" i="105"/>
  <c r="F2153" i="105"/>
  <c r="H2152" i="105"/>
  <c r="G2152" i="105"/>
  <c r="F2152" i="105"/>
  <c r="H2151" i="105"/>
  <c r="G2151" i="105"/>
  <c r="F2151" i="105"/>
  <c r="H2150" i="105"/>
  <c r="G2150" i="105"/>
  <c r="F2150" i="105"/>
  <c r="H2149" i="105"/>
  <c r="G2149" i="105"/>
  <c r="F2149" i="105"/>
  <c r="H2148" i="105"/>
  <c r="G2148" i="105"/>
  <c r="F2148" i="105"/>
  <c r="H2147" i="105"/>
  <c r="G2147" i="105"/>
  <c r="F2147" i="105"/>
  <c r="H2146" i="105"/>
  <c r="G2146" i="105"/>
  <c r="F2146" i="105"/>
  <c r="H2145" i="105"/>
  <c r="G2145" i="105"/>
  <c r="F2145" i="105"/>
  <c r="H2144" i="105"/>
  <c r="G2144" i="105"/>
  <c r="F2144" i="105"/>
  <c r="H2143" i="105"/>
  <c r="G2143" i="105"/>
  <c r="F2143" i="105"/>
  <c r="H2142" i="105"/>
  <c r="G2142" i="105"/>
  <c r="F2142" i="105"/>
  <c r="H2141" i="105"/>
  <c r="G2141" i="105"/>
  <c r="F2141" i="105"/>
  <c r="H2140" i="105"/>
  <c r="G2140" i="105"/>
  <c r="F2140" i="105"/>
  <c r="H2139" i="105"/>
  <c r="G2139" i="105"/>
  <c r="F2139" i="105"/>
  <c r="H2138" i="105"/>
  <c r="G2138" i="105"/>
  <c r="F2138" i="105"/>
  <c r="H2137" i="105"/>
  <c r="G2137" i="105"/>
  <c r="F2137" i="105"/>
  <c r="H2136" i="105"/>
  <c r="G2136" i="105"/>
  <c r="F2136" i="105"/>
  <c r="H2135" i="105"/>
  <c r="G2135" i="105"/>
  <c r="F2135" i="105"/>
  <c r="H2134" i="105"/>
  <c r="G2134" i="105"/>
  <c r="F2134" i="105"/>
  <c r="H2133" i="105"/>
  <c r="G2133" i="105"/>
  <c r="F2133" i="105"/>
  <c r="H2132" i="105"/>
  <c r="G2132" i="105"/>
  <c r="F2132" i="105"/>
  <c r="H2131" i="105"/>
  <c r="G2131" i="105"/>
  <c r="F2131" i="105"/>
  <c r="H2130" i="105"/>
  <c r="G2130" i="105"/>
  <c r="F2130" i="105"/>
  <c r="H2129" i="105"/>
  <c r="G2129" i="105"/>
  <c r="F2129" i="105"/>
  <c r="H2128" i="105"/>
  <c r="G2128" i="105"/>
  <c r="F2128" i="105"/>
  <c r="H2127" i="105"/>
  <c r="G2127" i="105"/>
  <c r="F2127" i="105"/>
  <c r="H2126" i="105"/>
  <c r="G2126" i="105"/>
  <c r="F2126" i="105"/>
  <c r="H2125" i="105"/>
  <c r="G2125" i="105"/>
  <c r="F2125" i="105"/>
  <c r="H2124" i="105"/>
  <c r="G2124" i="105"/>
  <c r="F2124" i="105"/>
  <c r="H2123" i="105"/>
  <c r="G2123" i="105"/>
  <c r="F2123" i="105"/>
  <c r="H2122" i="105"/>
  <c r="G2122" i="105"/>
  <c r="F2122" i="105"/>
  <c r="H2121" i="105"/>
  <c r="G2121" i="105"/>
  <c r="F2121" i="105"/>
  <c r="H2120" i="105"/>
  <c r="G2120" i="105"/>
  <c r="F2120" i="105"/>
  <c r="H2119" i="105"/>
  <c r="G2119" i="105"/>
  <c r="F2119" i="105"/>
  <c r="H2118" i="105"/>
  <c r="G2118" i="105"/>
  <c r="F2118" i="105"/>
  <c r="H2117" i="105"/>
  <c r="G2117" i="105"/>
  <c r="F2117" i="105"/>
  <c r="H2116" i="105"/>
  <c r="G2116" i="105"/>
  <c r="F2116" i="105"/>
  <c r="H2115" i="105"/>
  <c r="G2115" i="105"/>
  <c r="F2115" i="105"/>
  <c r="H2114" i="105"/>
  <c r="G2114" i="105"/>
  <c r="F2114" i="105"/>
  <c r="H2113" i="105"/>
  <c r="G2113" i="105"/>
  <c r="F2113" i="105"/>
  <c r="H2112" i="105"/>
  <c r="G2112" i="105"/>
  <c r="F2112" i="105"/>
  <c r="H2111" i="105"/>
  <c r="G2111" i="105"/>
  <c r="F2111" i="105"/>
  <c r="H2110" i="105"/>
  <c r="G2110" i="105"/>
  <c r="F2110" i="105"/>
  <c r="H2109" i="105"/>
  <c r="G2109" i="105"/>
  <c r="F2109" i="105"/>
  <c r="H2108" i="105"/>
  <c r="G2108" i="105"/>
  <c r="F2108" i="105"/>
  <c r="H2107" i="105"/>
  <c r="G2107" i="105"/>
  <c r="F2107" i="105"/>
  <c r="H2106" i="105"/>
  <c r="G2106" i="105"/>
  <c r="F2106" i="105"/>
  <c r="H2105" i="105"/>
  <c r="G2105" i="105"/>
  <c r="F2105" i="105"/>
  <c r="H2104" i="105"/>
  <c r="G2104" i="105"/>
  <c r="F2104" i="105"/>
  <c r="H2103" i="105"/>
  <c r="G2103" i="105"/>
  <c r="F2103" i="105"/>
  <c r="H2102" i="105"/>
  <c r="G2102" i="105"/>
  <c r="F2102" i="105"/>
  <c r="H2101" i="105"/>
  <c r="G2101" i="105"/>
  <c r="F2101" i="105"/>
  <c r="H2100" i="105"/>
  <c r="G2100" i="105"/>
  <c r="F2100" i="105"/>
  <c r="H2099" i="105"/>
  <c r="G2099" i="105"/>
  <c r="F2099" i="105"/>
  <c r="H2098" i="105"/>
  <c r="G2098" i="105"/>
  <c r="F2098" i="105"/>
  <c r="H2097" i="105"/>
  <c r="G2097" i="105"/>
  <c r="F2097" i="105"/>
  <c r="H2096" i="105"/>
  <c r="G2096" i="105"/>
  <c r="F2096" i="105"/>
  <c r="H2095" i="105"/>
  <c r="G2095" i="105"/>
  <c r="F2095" i="105"/>
  <c r="H2094" i="105"/>
  <c r="G2094" i="105"/>
  <c r="F2094" i="105"/>
  <c r="H2093" i="105"/>
  <c r="G2093" i="105"/>
  <c r="F2093" i="105"/>
  <c r="H2092" i="105"/>
  <c r="G2092" i="105"/>
  <c r="F2092" i="105"/>
  <c r="H2091" i="105"/>
  <c r="G2091" i="105"/>
  <c r="F2091" i="105"/>
  <c r="H2090" i="105"/>
  <c r="G2090" i="105"/>
  <c r="F2090" i="105"/>
  <c r="H2089" i="105"/>
  <c r="G2089" i="105"/>
  <c r="F2089" i="105"/>
  <c r="H2088" i="105"/>
  <c r="G2088" i="105"/>
  <c r="F2088" i="105"/>
  <c r="H2087" i="105"/>
  <c r="G2087" i="105"/>
  <c r="F2087" i="105"/>
  <c r="H2086" i="105"/>
  <c r="G2086" i="105"/>
  <c r="F2086" i="105"/>
  <c r="H2085" i="105"/>
  <c r="G2085" i="105"/>
  <c r="F2085" i="105"/>
  <c r="H2084" i="105"/>
  <c r="G2084" i="105"/>
  <c r="F2084" i="105"/>
  <c r="H2083" i="105"/>
  <c r="G2083" i="105"/>
  <c r="F2083" i="105"/>
  <c r="H2082" i="105"/>
  <c r="G2082" i="105"/>
  <c r="F2082" i="105"/>
  <c r="H2081" i="105"/>
  <c r="G2081" i="105"/>
  <c r="F2081" i="105"/>
  <c r="H2080" i="105"/>
  <c r="G2080" i="105"/>
  <c r="F2080" i="105"/>
  <c r="H2079" i="105"/>
  <c r="G2079" i="105"/>
  <c r="F2079" i="105"/>
  <c r="H2078" i="105"/>
  <c r="G2078" i="105"/>
  <c r="F2078" i="105"/>
  <c r="H2077" i="105"/>
  <c r="G2077" i="105"/>
  <c r="F2077" i="105"/>
  <c r="H2076" i="105"/>
  <c r="G2076" i="105"/>
  <c r="F2076" i="105"/>
  <c r="H2075" i="105"/>
  <c r="G2075" i="105"/>
  <c r="F2075" i="105"/>
  <c r="H2074" i="105"/>
  <c r="G2074" i="105"/>
  <c r="F2074" i="105"/>
  <c r="H2073" i="105"/>
  <c r="G2073" i="105"/>
  <c r="F2073" i="105"/>
  <c r="H2072" i="105"/>
  <c r="G2072" i="105"/>
  <c r="F2072" i="105"/>
  <c r="H2071" i="105"/>
  <c r="G2071" i="105"/>
  <c r="F2071" i="105"/>
  <c r="H2070" i="105"/>
  <c r="G2070" i="105"/>
  <c r="F2070" i="105"/>
  <c r="H2069" i="105"/>
  <c r="G2069" i="105"/>
  <c r="F2069" i="105"/>
  <c r="H2068" i="105"/>
  <c r="G2068" i="105"/>
  <c r="F2068" i="105"/>
  <c r="H2067" i="105"/>
  <c r="G2067" i="105"/>
  <c r="F2067" i="105"/>
  <c r="H2066" i="105"/>
  <c r="G2066" i="105"/>
  <c r="F2066" i="105"/>
  <c r="H2065" i="105"/>
  <c r="G2065" i="105"/>
  <c r="F2065" i="105"/>
  <c r="H2064" i="105"/>
  <c r="G2064" i="105"/>
  <c r="F2064" i="105"/>
  <c r="H2063" i="105"/>
  <c r="G2063" i="105"/>
  <c r="F2063" i="105"/>
  <c r="H2062" i="105"/>
  <c r="G2062" i="105"/>
  <c r="F2062" i="105"/>
  <c r="H2061" i="105"/>
  <c r="G2061" i="105"/>
  <c r="F2061" i="105"/>
  <c r="H2060" i="105"/>
  <c r="G2060" i="105"/>
  <c r="F2060" i="105"/>
  <c r="H2059" i="105"/>
  <c r="G2059" i="105"/>
  <c r="F2059" i="105"/>
  <c r="H2058" i="105"/>
  <c r="G2058" i="105"/>
  <c r="F2058" i="105"/>
  <c r="H2057" i="105"/>
  <c r="G2057" i="105"/>
  <c r="F2057" i="105"/>
  <c r="H2056" i="105"/>
  <c r="G2056" i="105"/>
  <c r="F2056" i="105"/>
  <c r="H2055" i="105"/>
  <c r="G2055" i="105"/>
  <c r="F2055" i="105"/>
  <c r="H2054" i="105"/>
  <c r="G2054" i="105"/>
  <c r="F2054" i="105"/>
  <c r="H2053" i="105"/>
  <c r="G2053" i="105"/>
  <c r="F2053" i="105"/>
  <c r="H2052" i="105"/>
  <c r="G2052" i="105"/>
  <c r="F2052" i="105"/>
  <c r="H2051" i="105"/>
  <c r="G2051" i="105"/>
  <c r="F2051" i="105"/>
  <c r="H2050" i="105"/>
  <c r="G2050" i="105"/>
  <c r="F2050" i="105"/>
  <c r="H2049" i="105"/>
  <c r="G2049" i="105"/>
  <c r="F2049" i="105"/>
  <c r="H2048" i="105"/>
  <c r="G2048" i="105"/>
  <c r="F2048" i="105"/>
  <c r="H2047" i="105"/>
  <c r="G2047" i="105"/>
  <c r="F2047" i="105"/>
  <c r="H2046" i="105"/>
  <c r="G2046" i="105"/>
  <c r="F2046" i="105"/>
  <c r="H2045" i="105"/>
  <c r="G2045" i="105"/>
  <c r="F2045" i="105"/>
  <c r="H2044" i="105"/>
  <c r="G2044" i="105"/>
  <c r="F2044" i="105"/>
  <c r="H2043" i="105"/>
  <c r="G2043" i="105"/>
  <c r="F2043" i="105"/>
  <c r="H2042" i="105"/>
  <c r="G2042" i="105"/>
  <c r="F2042" i="105"/>
  <c r="H2041" i="105"/>
  <c r="G2041" i="105"/>
  <c r="F2041" i="105"/>
  <c r="H2040" i="105"/>
  <c r="G2040" i="105"/>
  <c r="F2040" i="105"/>
  <c r="H2039" i="105"/>
  <c r="G2039" i="105"/>
  <c r="F2039" i="105"/>
  <c r="H2038" i="105"/>
  <c r="G2038" i="105"/>
  <c r="F2038" i="105"/>
  <c r="H2037" i="105"/>
  <c r="G2037" i="105"/>
  <c r="F2037" i="105"/>
  <c r="H2036" i="105"/>
  <c r="G2036" i="105"/>
  <c r="F2036" i="105"/>
  <c r="H2035" i="105"/>
  <c r="G2035" i="105"/>
  <c r="F2035" i="105"/>
  <c r="H2034" i="105"/>
  <c r="G2034" i="105"/>
  <c r="F2034" i="105"/>
  <c r="H2033" i="105"/>
  <c r="G2033" i="105"/>
  <c r="F2033" i="105"/>
  <c r="H2032" i="105"/>
  <c r="G2032" i="105"/>
  <c r="F2032" i="105"/>
  <c r="H2031" i="105"/>
  <c r="G2031" i="105"/>
  <c r="F2031" i="105"/>
  <c r="H2030" i="105"/>
  <c r="G2030" i="105"/>
  <c r="F2030" i="105"/>
  <c r="H2029" i="105"/>
  <c r="G2029" i="105"/>
  <c r="F2029" i="105"/>
  <c r="H2028" i="105"/>
  <c r="G2028" i="105"/>
  <c r="F2028" i="105"/>
  <c r="H2027" i="105"/>
  <c r="G2027" i="105"/>
  <c r="F2027" i="105"/>
  <c r="H2026" i="105"/>
  <c r="G2026" i="105"/>
  <c r="F2026" i="105"/>
  <c r="H2025" i="105"/>
  <c r="G2025" i="105"/>
  <c r="F2025" i="105"/>
  <c r="H2024" i="105"/>
  <c r="G2024" i="105"/>
  <c r="F2024" i="105"/>
  <c r="H2023" i="105"/>
  <c r="G2023" i="105"/>
  <c r="F2023" i="105"/>
  <c r="H2022" i="105"/>
  <c r="G2022" i="105"/>
  <c r="F2022" i="105"/>
  <c r="H2021" i="105"/>
  <c r="G2021" i="105"/>
  <c r="F2021" i="105"/>
  <c r="H2020" i="105"/>
  <c r="G2020" i="105"/>
  <c r="F2020" i="105"/>
  <c r="H2019" i="105"/>
  <c r="G2019" i="105"/>
  <c r="F2019" i="105"/>
  <c r="H2018" i="105"/>
  <c r="G2018" i="105"/>
  <c r="F2018" i="105"/>
  <c r="H2017" i="105"/>
  <c r="G2017" i="105"/>
  <c r="F2017" i="105"/>
  <c r="H2016" i="105"/>
  <c r="G2016" i="105"/>
  <c r="F2016" i="105"/>
  <c r="H2015" i="105"/>
  <c r="G2015" i="105"/>
  <c r="F2015" i="105"/>
  <c r="H2014" i="105"/>
  <c r="G2014" i="105"/>
  <c r="F2014" i="105"/>
  <c r="H2013" i="105"/>
  <c r="G2013" i="105"/>
  <c r="F2013" i="105"/>
  <c r="H2012" i="105"/>
  <c r="G2012" i="105"/>
  <c r="F2012" i="105"/>
  <c r="H2011" i="105"/>
  <c r="G2011" i="105"/>
  <c r="F2011" i="105"/>
  <c r="H2010" i="105"/>
  <c r="G2010" i="105"/>
  <c r="F2010" i="105"/>
  <c r="H2009" i="105"/>
  <c r="G2009" i="105"/>
  <c r="F2009" i="105"/>
  <c r="H2008" i="105"/>
  <c r="G2008" i="105"/>
  <c r="F2008" i="105"/>
  <c r="H2007" i="105"/>
  <c r="G2007" i="105"/>
  <c r="F2007" i="105"/>
  <c r="H2006" i="105"/>
  <c r="G2006" i="105"/>
  <c r="F2006" i="105"/>
  <c r="H2005" i="105"/>
  <c r="G2005" i="105"/>
  <c r="F2005" i="105"/>
  <c r="H2004" i="105"/>
  <c r="G2004" i="105"/>
  <c r="F2004" i="105"/>
  <c r="H2003" i="105"/>
  <c r="G2003" i="105"/>
  <c r="F2003" i="105"/>
  <c r="H2002" i="105"/>
  <c r="G2002" i="105"/>
  <c r="F2002" i="105"/>
  <c r="H2001" i="105"/>
  <c r="G2001" i="105"/>
  <c r="F2001" i="105"/>
  <c r="H2000" i="105"/>
  <c r="G2000" i="105"/>
  <c r="F2000" i="105"/>
  <c r="H1999" i="105"/>
  <c r="G1999" i="105"/>
  <c r="F1999" i="105"/>
  <c r="H1998" i="105"/>
  <c r="G1998" i="105"/>
  <c r="F1998" i="105"/>
  <c r="H1997" i="105"/>
  <c r="G1997" i="105"/>
  <c r="F1997" i="105"/>
  <c r="H1996" i="105"/>
  <c r="G1996" i="105"/>
  <c r="F1996" i="105"/>
  <c r="H1995" i="105"/>
  <c r="G1995" i="105"/>
  <c r="F1995" i="105"/>
  <c r="H1994" i="105"/>
  <c r="G1994" i="105"/>
  <c r="F1994" i="105"/>
  <c r="H1993" i="105"/>
  <c r="G1993" i="105"/>
  <c r="F1993" i="105"/>
  <c r="H1992" i="105"/>
  <c r="G1992" i="105"/>
  <c r="F1992" i="105"/>
  <c r="H1991" i="105"/>
  <c r="G1991" i="105"/>
  <c r="F1991" i="105"/>
  <c r="H1990" i="105"/>
  <c r="G1990" i="105"/>
  <c r="F1990" i="105"/>
  <c r="H1989" i="105"/>
  <c r="G1989" i="105"/>
  <c r="F1989" i="105"/>
  <c r="H1988" i="105"/>
  <c r="G1988" i="105"/>
  <c r="F1988" i="105"/>
  <c r="H1987" i="105"/>
  <c r="G1987" i="105"/>
  <c r="F1987" i="105"/>
  <c r="H1986" i="105"/>
  <c r="G1986" i="105"/>
  <c r="F1986" i="105"/>
  <c r="H1985" i="105"/>
  <c r="G1985" i="105"/>
  <c r="F1985" i="105"/>
  <c r="H1984" i="105"/>
  <c r="G1984" i="105"/>
  <c r="F1984" i="105"/>
  <c r="H1983" i="105"/>
  <c r="G1983" i="105"/>
  <c r="F1983" i="105"/>
  <c r="H1982" i="105"/>
  <c r="G1982" i="105"/>
  <c r="F1982" i="105"/>
  <c r="H1981" i="105"/>
  <c r="G1981" i="105"/>
  <c r="F1981" i="105"/>
  <c r="H1980" i="105"/>
  <c r="G1980" i="105"/>
  <c r="F1980" i="105"/>
  <c r="H1979" i="105"/>
  <c r="G1979" i="105"/>
  <c r="F1979" i="105"/>
  <c r="H1978" i="105"/>
  <c r="G1978" i="105"/>
  <c r="F1978" i="105"/>
  <c r="H1977" i="105"/>
  <c r="G1977" i="105"/>
  <c r="F1977" i="105"/>
  <c r="H1976" i="105"/>
  <c r="G1976" i="105"/>
  <c r="F1976" i="105"/>
  <c r="H1975" i="105"/>
  <c r="G1975" i="105"/>
  <c r="F1975" i="105"/>
  <c r="H1974" i="105"/>
  <c r="G1974" i="105"/>
  <c r="F1974" i="105"/>
  <c r="H1973" i="105"/>
  <c r="G1973" i="105"/>
  <c r="F1973" i="105"/>
  <c r="H1972" i="105"/>
  <c r="G1972" i="105"/>
  <c r="F1972" i="105"/>
  <c r="H1971" i="105"/>
  <c r="G1971" i="105"/>
  <c r="F1971" i="105"/>
  <c r="H1970" i="105"/>
  <c r="G1970" i="105"/>
  <c r="F1970" i="105"/>
  <c r="H1969" i="105"/>
  <c r="G1969" i="105"/>
  <c r="F1969" i="105"/>
  <c r="H1968" i="105"/>
  <c r="G1968" i="105"/>
  <c r="F1968" i="105"/>
  <c r="H1967" i="105"/>
  <c r="G1967" i="105"/>
  <c r="F1967" i="105"/>
  <c r="H1966" i="105"/>
  <c r="G1966" i="105"/>
  <c r="F1966" i="105"/>
  <c r="H1965" i="105"/>
  <c r="G1965" i="105"/>
  <c r="F1965" i="105"/>
  <c r="H1964" i="105"/>
  <c r="G1964" i="105"/>
  <c r="F1964" i="105"/>
  <c r="H1963" i="105"/>
  <c r="G1963" i="105"/>
  <c r="F1963" i="105"/>
  <c r="H1962" i="105"/>
  <c r="G1962" i="105"/>
  <c r="F1962" i="105"/>
  <c r="H1961" i="105"/>
  <c r="G1961" i="105"/>
  <c r="F1961" i="105"/>
  <c r="H1960" i="105"/>
  <c r="G1960" i="105"/>
  <c r="F1960" i="105"/>
  <c r="H1959" i="105"/>
  <c r="G1959" i="105"/>
  <c r="F1959" i="105"/>
  <c r="H1958" i="105"/>
  <c r="G1958" i="105"/>
  <c r="F1958" i="105"/>
  <c r="H1957" i="105"/>
  <c r="G1957" i="105"/>
  <c r="F1957" i="105"/>
  <c r="H1956" i="105"/>
  <c r="G1956" i="105"/>
  <c r="F1956" i="105"/>
  <c r="H1955" i="105"/>
  <c r="G1955" i="105"/>
  <c r="F1955" i="105"/>
  <c r="H1954" i="105"/>
  <c r="G1954" i="105"/>
  <c r="F1954" i="105"/>
  <c r="H1953" i="105"/>
  <c r="G1953" i="105"/>
  <c r="F1953" i="105"/>
  <c r="H1952" i="105"/>
  <c r="G1952" i="105"/>
  <c r="F1952" i="105"/>
  <c r="H1951" i="105"/>
  <c r="G1951" i="105"/>
  <c r="F1951" i="105"/>
  <c r="H1950" i="105"/>
  <c r="G1950" i="105"/>
  <c r="F1950" i="105"/>
  <c r="H1949" i="105"/>
  <c r="G1949" i="105"/>
  <c r="F1949" i="105"/>
  <c r="H1948" i="105"/>
  <c r="G1948" i="105"/>
  <c r="F1948" i="105"/>
  <c r="H1947" i="105"/>
  <c r="G1947" i="105"/>
  <c r="F1947" i="105"/>
  <c r="H1946" i="105"/>
  <c r="G1946" i="105"/>
  <c r="F1946" i="105"/>
  <c r="H1945" i="105"/>
  <c r="G1945" i="105"/>
  <c r="F1945" i="105"/>
  <c r="H1944" i="105"/>
  <c r="G1944" i="105"/>
  <c r="F1944" i="105"/>
  <c r="H1943" i="105"/>
  <c r="G1943" i="105"/>
  <c r="F1943" i="105"/>
  <c r="H1942" i="105"/>
  <c r="G1942" i="105"/>
  <c r="F1942" i="105"/>
  <c r="H1941" i="105"/>
  <c r="G1941" i="105"/>
  <c r="F1941" i="105"/>
  <c r="H1940" i="105"/>
  <c r="G1940" i="105"/>
  <c r="F1940" i="105"/>
  <c r="H1939" i="105"/>
  <c r="G1939" i="105"/>
  <c r="F1939" i="105"/>
  <c r="H1938" i="105"/>
  <c r="G1938" i="105"/>
  <c r="F1938" i="105"/>
  <c r="H1937" i="105"/>
  <c r="G1937" i="105"/>
  <c r="F1937" i="105"/>
  <c r="H1936" i="105"/>
  <c r="G1936" i="105"/>
  <c r="F1936" i="105"/>
  <c r="H1935" i="105"/>
  <c r="G1935" i="105"/>
  <c r="F1935" i="105"/>
  <c r="H1934" i="105"/>
  <c r="G1934" i="105"/>
  <c r="F1934" i="105"/>
  <c r="H1933" i="105"/>
  <c r="G1933" i="105"/>
  <c r="F1933" i="105"/>
  <c r="H1932" i="105"/>
  <c r="G1932" i="105"/>
  <c r="F1932" i="105"/>
  <c r="H1931" i="105"/>
  <c r="G1931" i="105"/>
  <c r="F1931" i="105"/>
  <c r="H1930" i="105"/>
  <c r="G1930" i="105"/>
  <c r="F1930" i="105"/>
  <c r="H1929" i="105"/>
  <c r="G1929" i="105"/>
  <c r="F1929" i="105"/>
  <c r="H1928" i="105"/>
  <c r="G1928" i="105"/>
  <c r="F1928" i="105"/>
  <c r="H1927" i="105"/>
  <c r="G1927" i="105"/>
  <c r="F1927" i="105"/>
  <c r="H1926" i="105"/>
  <c r="G1926" i="105"/>
  <c r="F1926" i="105"/>
  <c r="H1925" i="105"/>
  <c r="G1925" i="105"/>
  <c r="F1925" i="105"/>
  <c r="H1924" i="105"/>
  <c r="G1924" i="105"/>
  <c r="F1924" i="105"/>
  <c r="H1923" i="105"/>
  <c r="G1923" i="105"/>
  <c r="F1923" i="105"/>
  <c r="H1922" i="105"/>
  <c r="G1922" i="105"/>
  <c r="F1922" i="105"/>
  <c r="H1921" i="105"/>
  <c r="G1921" i="105"/>
  <c r="F1921" i="105"/>
  <c r="H1920" i="105"/>
  <c r="G1920" i="105"/>
  <c r="F1920" i="105"/>
  <c r="H1919" i="105"/>
  <c r="G1919" i="105"/>
  <c r="F1919" i="105"/>
  <c r="H1918" i="105"/>
  <c r="G1918" i="105"/>
  <c r="F1918" i="105"/>
  <c r="H1917" i="105"/>
  <c r="G1917" i="105"/>
  <c r="F1917" i="105"/>
  <c r="H1916" i="105"/>
  <c r="G1916" i="105"/>
  <c r="F1916" i="105"/>
  <c r="H1915" i="105"/>
  <c r="G1915" i="105"/>
  <c r="F1915" i="105"/>
  <c r="H1914" i="105"/>
  <c r="G1914" i="105"/>
  <c r="F1914" i="105"/>
  <c r="H1913" i="105"/>
  <c r="G1913" i="105"/>
  <c r="F1913" i="105"/>
  <c r="H1912" i="105"/>
  <c r="G1912" i="105"/>
  <c r="F1912" i="105"/>
  <c r="H1911" i="105"/>
  <c r="G1911" i="105"/>
  <c r="F1911" i="105"/>
  <c r="H1910" i="105"/>
  <c r="G1910" i="105"/>
  <c r="F1910" i="105"/>
  <c r="H1909" i="105"/>
  <c r="G1909" i="105"/>
  <c r="F1909" i="105"/>
  <c r="H1908" i="105"/>
  <c r="G1908" i="105"/>
  <c r="F1908" i="105"/>
  <c r="H1907" i="105"/>
  <c r="G1907" i="105"/>
  <c r="F1907" i="105"/>
  <c r="H1906" i="105"/>
  <c r="G1906" i="105"/>
  <c r="F1906" i="105"/>
  <c r="H1905" i="105"/>
  <c r="G1905" i="105"/>
  <c r="F1905" i="105"/>
  <c r="H1904" i="105"/>
  <c r="G1904" i="105"/>
  <c r="F1904" i="105"/>
  <c r="H1903" i="105"/>
  <c r="G1903" i="105"/>
  <c r="F1903" i="105"/>
  <c r="H1902" i="105"/>
  <c r="G1902" i="105"/>
  <c r="F1902" i="105"/>
  <c r="H1901" i="105"/>
  <c r="G1901" i="105"/>
  <c r="F1901" i="105"/>
  <c r="H1900" i="105"/>
  <c r="G1900" i="105"/>
  <c r="F1900" i="105"/>
  <c r="H1899" i="105"/>
  <c r="G1899" i="105"/>
  <c r="F1899" i="105"/>
  <c r="H1898" i="105"/>
  <c r="G1898" i="105"/>
  <c r="F1898" i="105"/>
  <c r="H1897" i="105"/>
  <c r="G1897" i="105"/>
  <c r="F1897" i="105"/>
  <c r="H1896" i="105"/>
  <c r="G1896" i="105"/>
  <c r="F1896" i="105"/>
  <c r="H1895" i="105"/>
  <c r="G1895" i="105"/>
  <c r="F1895" i="105"/>
  <c r="H1894" i="105"/>
  <c r="G1894" i="105"/>
  <c r="F1894" i="105"/>
  <c r="H1893" i="105"/>
  <c r="G1893" i="105"/>
  <c r="F1893" i="105"/>
  <c r="H1892" i="105"/>
  <c r="G1892" i="105"/>
  <c r="F1892" i="105"/>
  <c r="H1891" i="105"/>
  <c r="G1891" i="105"/>
  <c r="F1891" i="105"/>
  <c r="H1890" i="105"/>
  <c r="G1890" i="105"/>
  <c r="F1890" i="105"/>
  <c r="H1889" i="105"/>
  <c r="G1889" i="105"/>
  <c r="F1889" i="105"/>
  <c r="H1888" i="105"/>
  <c r="G1888" i="105"/>
  <c r="F1888" i="105"/>
  <c r="H1887" i="105"/>
  <c r="G1887" i="105"/>
  <c r="F1887" i="105"/>
  <c r="H1886" i="105"/>
  <c r="G1886" i="105"/>
  <c r="F1886" i="105"/>
  <c r="H1885" i="105"/>
  <c r="G1885" i="105"/>
  <c r="F1885" i="105"/>
  <c r="H1884" i="105"/>
  <c r="G1884" i="105"/>
  <c r="F1884" i="105"/>
  <c r="H1883" i="105"/>
  <c r="G1883" i="105"/>
  <c r="F1883" i="105"/>
  <c r="H1882" i="105"/>
  <c r="G1882" i="105"/>
  <c r="F1882" i="105"/>
  <c r="H1881" i="105"/>
  <c r="G1881" i="105"/>
  <c r="F1881" i="105"/>
  <c r="H1880" i="105"/>
  <c r="G1880" i="105"/>
  <c r="F1880" i="105"/>
  <c r="H1879" i="105"/>
  <c r="G1879" i="105"/>
  <c r="F1879" i="105"/>
  <c r="H1878" i="105"/>
  <c r="G1878" i="105"/>
  <c r="F1878" i="105"/>
  <c r="H1877" i="105"/>
  <c r="G1877" i="105"/>
  <c r="F1877" i="105"/>
  <c r="H1876" i="105"/>
  <c r="G1876" i="105"/>
  <c r="F1876" i="105"/>
  <c r="H1875" i="105"/>
  <c r="G1875" i="105"/>
  <c r="F1875" i="105"/>
  <c r="H1874" i="105"/>
  <c r="G1874" i="105"/>
  <c r="F1874" i="105"/>
  <c r="H1873" i="105"/>
  <c r="G1873" i="105"/>
  <c r="F1873" i="105"/>
  <c r="H1872" i="105"/>
  <c r="G1872" i="105"/>
  <c r="F1872" i="105"/>
  <c r="H1871" i="105"/>
  <c r="G1871" i="105"/>
  <c r="F1871" i="105"/>
  <c r="H1870" i="105"/>
  <c r="G1870" i="105"/>
  <c r="F1870" i="105"/>
  <c r="H1869" i="105"/>
  <c r="G1869" i="105"/>
  <c r="F1869" i="105"/>
  <c r="H1868" i="105"/>
  <c r="G1868" i="105"/>
  <c r="F1868" i="105"/>
  <c r="H1867" i="105"/>
  <c r="G1867" i="105"/>
  <c r="F1867" i="105"/>
  <c r="H1866" i="105"/>
  <c r="G1866" i="105"/>
  <c r="F1866" i="105"/>
  <c r="H1865" i="105"/>
  <c r="G1865" i="105"/>
  <c r="F1865" i="105"/>
  <c r="H1864" i="105"/>
  <c r="G1864" i="105"/>
  <c r="F1864" i="105"/>
  <c r="H1863" i="105"/>
  <c r="G1863" i="105"/>
  <c r="F1863" i="105"/>
  <c r="H1862" i="105"/>
  <c r="G1862" i="105"/>
  <c r="F1862" i="105"/>
  <c r="H1861" i="105"/>
  <c r="G1861" i="105"/>
  <c r="F1861" i="105"/>
  <c r="H1860" i="105"/>
  <c r="G1860" i="105"/>
  <c r="F1860" i="105"/>
  <c r="H1859" i="105"/>
  <c r="G1859" i="105"/>
  <c r="F1859" i="105"/>
  <c r="H1858" i="105"/>
  <c r="G1858" i="105"/>
  <c r="F1858" i="105"/>
  <c r="H1857" i="105"/>
  <c r="G1857" i="105"/>
  <c r="F1857" i="105"/>
  <c r="H1856" i="105"/>
  <c r="G1856" i="105"/>
  <c r="F1856" i="105"/>
  <c r="H1855" i="105"/>
  <c r="G1855" i="105"/>
  <c r="F1855" i="105"/>
  <c r="H1854" i="105"/>
  <c r="G1854" i="105"/>
  <c r="F1854" i="105"/>
  <c r="H1853" i="105"/>
  <c r="G1853" i="105"/>
  <c r="F1853" i="105"/>
  <c r="H1852" i="105"/>
  <c r="G1852" i="105"/>
  <c r="F1852" i="105"/>
  <c r="H1851" i="105"/>
  <c r="G1851" i="105"/>
  <c r="F1851" i="105"/>
  <c r="H1850" i="105"/>
  <c r="G1850" i="105"/>
  <c r="F1850" i="105"/>
  <c r="H1849" i="105"/>
  <c r="G1849" i="105"/>
  <c r="F1849" i="105"/>
  <c r="H1848" i="105"/>
  <c r="G1848" i="105"/>
  <c r="F1848" i="105"/>
  <c r="H1847" i="105"/>
  <c r="G1847" i="105"/>
  <c r="F1847" i="105"/>
  <c r="H1846" i="105"/>
  <c r="G1846" i="105"/>
  <c r="F1846" i="105"/>
  <c r="H1845" i="105"/>
  <c r="G1845" i="105"/>
  <c r="F1845" i="105"/>
  <c r="H1844" i="105"/>
  <c r="G1844" i="105"/>
  <c r="F1844" i="105"/>
  <c r="H1843" i="105"/>
  <c r="G1843" i="105"/>
  <c r="F1843" i="105"/>
  <c r="H1842" i="105"/>
  <c r="G1842" i="105"/>
  <c r="F1842" i="105"/>
  <c r="H1841" i="105"/>
  <c r="G1841" i="105"/>
  <c r="F1841" i="105"/>
  <c r="H1840" i="105"/>
  <c r="G1840" i="105"/>
  <c r="F1840" i="105"/>
  <c r="H1839" i="105"/>
  <c r="G1839" i="105"/>
  <c r="F1839" i="105"/>
  <c r="H1838" i="105"/>
  <c r="G1838" i="105"/>
  <c r="F1838" i="105"/>
  <c r="H1837" i="105"/>
  <c r="G1837" i="105"/>
  <c r="F1837" i="105"/>
  <c r="H1836" i="105"/>
  <c r="G1836" i="105"/>
  <c r="F1836" i="105"/>
  <c r="H1835" i="105"/>
  <c r="G1835" i="105"/>
  <c r="F1835" i="105"/>
  <c r="H1834" i="105"/>
  <c r="G1834" i="105"/>
  <c r="F1834" i="105"/>
  <c r="H1833" i="105"/>
  <c r="G1833" i="105"/>
  <c r="F1833" i="105"/>
  <c r="H1832" i="105"/>
  <c r="G1832" i="105"/>
  <c r="F1832" i="105"/>
  <c r="H1831" i="105"/>
  <c r="G1831" i="105"/>
  <c r="F1831" i="105"/>
  <c r="H1830" i="105"/>
  <c r="G1830" i="105"/>
  <c r="F1830" i="105"/>
  <c r="H1829" i="105"/>
  <c r="G1829" i="105"/>
  <c r="F1829" i="105"/>
  <c r="H1828" i="105"/>
  <c r="G1828" i="105"/>
  <c r="F1828" i="105"/>
  <c r="H1827" i="105"/>
  <c r="G1827" i="105"/>
  <c r="F1827" i="105"/>
  <c r="H1826" i="105"/>
  <c r="G1826" i="105"/>
  <c r="F1826" i="105"/>
  <c r="H1825" i="105"/>
  <c r="G1825" i="105"/>
  <c r="F1825" i="105"/>
  <c r="H1824" i="105"/>
  <c r="G1824" i="105"/>
  <c r="F1824" i="105"/>
  <c r="H1823" i="105"/>
  <c r="G1823" i="105"/>
  <c r="F1823" i="105"/>
  <c r="H1822" i="105"/>
  <c r="G1822" i="105"/>
  <c r="F1822" i="105"/>
  <c r="H1821" i="105"/>
  <c r="G1821" i="105"/>
  <c r="F1821" i="105"/>
  <c r="H1820" i="105"/>
  <c r="G1820" i="105"/>
  <c r="F1820" i="105"/>
  <c r="H1819" i="105"/>
  <c r="G1819" i="105"/>
  <c r="F1819" i="105"/>
  <c r="H1818" i="105"/>
  <c r="G1818" i="105"/>
  <c r="F1818" i="105"/>
  <c r="H1817" i="105"/>
  <c r="G1817" i="105"/>
  <c r="F1817" i="105"/>
  <c r="H1816" i="105"/>
  <c r="G1816" i="105"/>
  <c r="F1816" i="105"/>
  <c r="H1815" i="105"/>
  <c r="G1815" i="105"/>
  <c r="F1815" i="105"/>
  <c r="H1814" i="105"/>
  <c r="G1814" i="105"/>
  <c r="F1814" i="105"/>
  <c r="H1813" i="105"/>
  <c r="G1813" i="105"/>
  <c r="F1813" i="105"/>
  <c r="H1812" i="105"/>
  <c r="G1812" i="105"/>
  <c r="F1812" i="105"/>
  <c r="H1811" i="105"/>
  <c r="G1811" i="105"/>
  <c r="F1811" i="105"/>
  <c r="H1810" i="105"/>
  <c r="G1810" i="105"/>
  <c r="F1810" i="105"/>
  <c r="H1809" i="105"/>
  <c r="G1809" i="105"/>
  <c r="F1809" i="105"/>
  <c r="H1808" i="105"/>
  <c r="G1808" i="105"/>
  <c r="F1808" i="105"/>
  <c r="H1807" i="105"/>
  <c r="G1807" i="105"/>
  <c r="F1807" i="105"/>
  <c r="H1806" i="105"/>
  <c r="G1806" i="105"/>
  <c r="F1806" i="105"/>
  <c r="H1805" i="105"/>
  <c r="G1805" i="105"/>
  <c r="F1805" i="105"/>
  <c r="H1804" i="105"/>
  <c r="G1804" i="105"/>
  <c r="F1804" i="105"/>
  <c r="H1803" i="105"/>
  <c r="G1803" i="105"/>
  <c r="F1803" i="105"/>
  <c r="H1802" i="105"/>
  <c r="G1802" i="105"/>
  <c r="F1802" i="105"/>
  <c r="H1801" i="105"/>
  <c r="G1801" i="105"/>
  <c r="F1801" i="105"/>
  <c r="H1800" i="105"/>
  <c r="G1800" i="105"/>
  <c r="F1800" i="105"/>
  <c r="H1799" i="105"/>
  <c r="G1799" i="105"/>
  <c r="F1799" i="105"/>
  <c r="H1798" i="105"/>
  <c r="G1798" i="105"/>
  <c r="F1798" i="105"/>
  <c r="H1797" i="105"/>
  <c r="G1797" i="105"/>
  <c r="F1797" i="105"/>
  <c r="H1796" i="105"/>
  <c r="G1796" i="105"/>
  <c r="F1796" i="105"/>
  <c r="H1795" i="105"/>
  <c r="G1795" i="105"/>
  <c r="F1795" i="105"/>
  <c r="H1794" i="105"/>
  <c r="G1794" i="105"/>
  <c r="F1794" i="105"/>
  <c r="H1793" i="105"/>
  <c r="G1793" i="105"/>
  <c r="F1793" i="105"/>
  <c r="H1792" i="105"/>
  <c r="G1792" i="105"/>
  <c r="F1792" i="105"/>
  <c r="H1791" i="105"/>
  <c r="G1791" i="105"/>
  <c r="F1791" i="105"/>
  <c r="H1790" i="105"/>
  <c r="G1790" i="105"/>
  <c r="F1790" i="105"/>
  <c r="H1789" i="105"/>
  <c r="G1789" i="105"/>
  <c r="F1789" i="105"/>
  <c r="H1788" i="105"/>
  <c r="G1788" i="105"/>
  <c r="F1788" i="105"/>
  <c r="H1787" i="105"/>
  <c r="G1787" i="105"/>
  <c r="F1787" i="105"/>
  <c r="H1786" i="105"/>
  <c r="G1786" i="105"/>
  <c r="F1786" i="105"/>
  <c r="H1785" i="105"/>
  <c r="G1785" i="105"/>
  <c r="F1785" i="105"/>
  <c r="H1784" i="105"/>
  <c r="G1784" i="105"/>
  <c r="F1784" i="105"/>
  <c r="H1783" i="105"/>
  <c r="G1783" i="105"/>
  <c r="F1783" i="105"/>
  <c r="H1782" i="105"/>
  <c r="G1782" i="105"/>
  <c r="F1782" i="105"/>
  <c r="H1781" i="105"/>
  <c r="G1781" i="105"/>
  <c r="F1781" i="105"/>
  <c r="H1780" i="105"/>
  <c r="G1780" i="105"/>
  <c r="F1780" i="105"/>
  <c r="H1779" i="105"/>
  <c r="G1779" i="105"/>
  <c r="F1779" i="105"/>
  <c r="H1778" i="105"/>
  <c r="G1778" i="105"/>
  <c r="F1778" i="105"/>
  <c r="H1777" i="105"/>
  <c r="G1777" i="105"/>
  <c r="F1777" i="105"/>
  <c r="H1776" i="105"/>
  <c r="G1776" i="105"/>
  <c r="F1776" i="105"/>
  <c r="H1775" i="105"/>
  <c r="G1775" i="105"/>
  <c r="F1775" i="105"/>
  <c r="H1774" i="105"/>
  <c r="G1774" i="105"/>
  <c r="F1774" i="105"/>
  <c r="H1773" i="105"/>
  <c r="G1773" i="105"/>
  <c r="F1773" i="105"/>
  <c r="H1772" i="105"/>
  <c r="G1772" i="105"/>
  <c r="F1772" i="105"/>
  <c r="H1771" i="105"/>
  <c r="G1771" i="105"/>
  <c r="F1771" i="105"/>
  <c r="H1770" i="105"/>
  <c r="G1770" i="105"/>
  <c r="F1770" i="105"/>
  <c r="H1769" i="105"/>
  <c r="G1769" i="105"/>
  <c r="F1769" i="105"/>
  <c r="H1768" i="105"/>
  <c r="G1768" i="105"/>
  <c r="F1768" i="105"/>
  <c r="H1767" i="105"/>
  <c r="G1767" i="105"/>
  <c r="F1767" i="105"/>
  <c r="H1766" i="105"/>
  <c r="G1766" i="105"/>
  <c r="F1766" i="105"/>
  <c r="H1765" i="105"/>
  <c r="G1765" i="105"/>
  <c r="F1765" i="105"/>
  <c r="H1764" i="105"/>
  <c r="G1764" i="105"/>
  <c r="F1764" i="105"/>
  <c r="H1763" i="105"/>
  <c r="G1763" i="105"/>
  <c r="F1763" i="105"/>
  <c r="H1762" i="105"/>
  <c r="G1762" i="105"/>
  <c r="F1762" i="105"/>
  <c r="H1761" i="105"/>
  <c r="G1761" i="105"/>
  <c r="F1761" i="105"/>
  <c r="H1760" i="105"/>
  <c r="G1760" i="105"/>
  <c r="F1760" i="105"/>
  <c r="H1759" i="105"/>
  <c r="G1759" i="105"/>
  <c r="F1759" i="105"/>
  <c r="H1758" i="105"/>
  <c r="G1758" i="105"/>
  <c r="F1758" i="105"/>
  <c r="H1757" i="105"/>
  <c r="G1757" i="105"/>
  <c r="F1757" i="105"/>
  <c r="H1756" i="105"/>
  <c r="G1756" i="105"/>
  <c r="F1756" i="105"/>
  <c r="H1755" i="105"/>
  <c r="G1755" i="105"/>
  <c r="F1755" i="105"/>
  <c r="H1754" i="105"/>
  <c r="G1754" i="105"/>
  <c r="F1754" i="105"/>
  <c r="H1753" i="105"/>
  <c r="G1753" i="105"/>
  <c r="F1753" i="105"/>
  <c r="H1752" i="105"/>
  <c r="G1752" i="105"/>
  <c r="F1752" i="105"/>
  <c r="H1751" i="105"/>
  <c r="G1751" i="105"/>
  <c r="F1751" i="105"/>
  <c r="H1750" i="105"/>
  <c r="G1750" i="105"/>
  <c r="F1750" i="105"/>
  <c r="H1749" i="105"/>
  <c r="G1749" i="105"/>
  <c r="F1749" i="105"/>
  <c r="H1748" i="105"/>
  <c r="G1748" i="105"/>
  <c r="F1748" i="105"/>
  <c r="H1747" i="105"/>
  <c r="G1747" i="105"/>
  <c r="F1747" i="105"/>
  <c r="H1746" i="105"/>
  <c r="G1746" i="105"/>
  <c r="F1746" i="105"/>
  <c r="H1745" i="105"/>
  <c r="G1745" i="105"/>
  <c r="F1745" i="105"/>
  <c r="H1744" i="105"/>
  <c r="G1744" i="105"/>
  <c r="F1744" i="105"/>
  <c r="H1743" i="105"/>
  <c r="G1743" i="105"/>
  <c r="F1743" i="105"/>
  <c r="H1742" i="105"/>
  <c r="G1742" i="105"/>
  <c r="F1742" i="105"/>
  <c r="H1741" i="105"/>
  <c r="G1741" i="105"/>
  <c r="F1741" i="105"/>
  <c r="H1740" i="105"/>
  <c r="G1740" i="105"/>
  <c r="F1740" i="105"/>
  <c r="H1739" i="105"/>
  <c r="G1739" i="105"/>
  <c r="F1739" i="105"/>
  <c r="H1738" i="105"/>
  <c r="G1738" i="105"/>
  <c r="F1738" i="105"/>
  <c r="H1737" i="105"/>
  <c r="G1737" i="105"/>
  <c r="F1737" i="105"/>
  <c r="H1736" i="105"/>
  <c r="G1736" i="105"/>
  <c r="F1736" i="105"/>
  <c r="H1735" i="105"/>
  <c r="G1735" i="105"/>
  <c r="F1735" i="105"/>
  <c r="H1734" i="105"/>
  <c r="G1734" i="105"/>
  <c r="F1734" i="105"/>
  <c r="H1733" i="105"/>
  <c r="G1733" i="105"/>
  <c r="F1733" i="105"/>
  <c r="H1732" i="105"/>
  <c r="G1732" i="105"/>
  <c r="F1732" i="105"/>
  <c r="H1731" i="105"/>
  <c r="G1731" i="105"/>
  <c r="F1731" i="105"/>
  <c r="H1730" i="105"/>
  <c r="G1730" i="105"/>
  <c r="F1730" i="105"/>
  <c r="H1729" i="105"/>
  <c r="G1729" i="105"/>
  <c r="F1729" i="105"/>
  <c r="H1728" i="105"/>
  <c r="G1728" i="105"/>
  <c r="F1728" i="105"/>
  <c r="H1727" i="105"/>
  <c r="G1727" i="105"/>
  <c r="F1727" i="105"/>
  <c r="H1726" i="105"/>
  <c r="G1726" i="105"/>
  <c r="F1726" i="105"/>
  <c r="H1725" i="105"/>
  <c r="G1725" i="105"/>
  <c r="F1725" i="105"/>
  <c r="H1724" i="105"/>
  <c r="G1724" i="105"/>
  <c r="F1724" i="105"/>
  <c r="H1723" i="105"/>
  <c r="G1723" i="105"/>
  <c r="F1723" i="105"/>
  <c r="H1722" i="105"/>
  <c r="G1722" i="105"/>
  <c r="F1722" i="105"/>
  <c r="H1721" i="105"/>
  <c r="G1721" i="105"/>
  <c r="F1721" i="105"/>
  <c r="H1720" i="105"/>
  <c r="G1720" i="105"/>
  <c r="F1720" i="105"/>
  <c r="H1719" i="105"/>
  <c r="G1719" i="105"/>
  <c r="F1719" i="105"/>
  <c r="H1718" i="105"/>
  <c r="G1718" i="105"/>
  <c r="F1718" i="105"/>
  <c r="H1717" i="105"/>
  <c r="G1717" i="105"/>
  <c r="F1717" i="105"/>
  <c r="H1716" i="105"/>
  <c r="G1716" i="105"/>
  <c r="F1716" i="105"/>
  <c r="H1715" i="105"/>
  <c r="G1715" i="105"/>
  <c r="F1715" i="105"/>
  <c r="H1714" i="105"/>
  <c r="G1714" i="105"/>
  <c r="F1714" i="105"/>
  <c r="H1713" i="105"/>
  <c r="G1713" i="105"/>
  <c r="F1713" i="105"/>
  <c r="H1712" i="105"/>
  <c r="G1712" i="105"/>
  <c r="F1712" i="105"/>
  <c r="H1711" i="105"/>
  <c r="G1711" i="105"/>
  <c r="F1711" i="105"/>
  <c r="H1710" i="105"/>
  <c r="G1710" i="105"/>
  <c r="F1710" i="105"/>
  <c r="H1709" i="105"/>
  <c r="G1709" i="105"/>
  <c r="F1709" i="105"/>
  <c r="H1708" i="105"/>
  <c r="G1708" i="105"/>
  <c r="F1708" i="105"/>
  <c r="H1707" i="105"/>
  <c r="G1707" i="105"/>
  <c r="F1707" i="105"/>
  <c r="H1706" i="105"/>
  <c r="G1706" i="105"/>
  <c r="F1706" i="105"/>
  <c r="H1705" i="105"/>
  <c r="G1705" i="105"/>
  <c r="F1705" i="105"/>
  <c r="H1704" i="105"/>
  <c r="G1704" i="105"/>
  <c r="F1704" i="105"/>
  <c r="H1703" i="105"/>
  <c r="G1703" i="105"/>
  <c r="F1703" i="105"/>
  <c r="H1702" i="105"/>
  <c r="G1702" i="105"/>
  <c r="F1702" i="105"/>
  <c r="H1701" i="105"/>
  <c r="G1701" i="105"/>
  <c r="F1701" i="105"/>
  <c r="H1700" i="105"/>
  <c r="G1700" i="105"/>
  <c r="F1700" i="105"/>
  <c r="H1699" i="105"/>
  <c r="G1699" i="105"/>
  <c r="F1699" i="105"/>
  <c r="H1698" i="105"/>
  <c r="G1698" i="105"/>
  <c r="F1698" i="105"/>
  <c r="H1697" i="105"/>
  <c r="G1697" i="105"/>
  <c r="F1697" i="105"/>
  <c r="H1696" i="105"/>
  <c r="G1696" i="105"/>
  <c r="F1696" i="105"/>
  <c r="H1695" i="105"/>
  <c r="G1695" i="105"/>
  <c r="F1695" i="105"/>
  <c r="H1694" i="105"/>
  <c r="G1694" i="105"/>
  <c r="F1694" i="105"/>
  <c r="H1693" i="105"/>
  <c r="G1693" i="105"/>
  <c r="F1693" i="105"/>
  <c r="H1692" i="105"/>
  <c r="G1692" i="105"/>
  <c r="F1692" i="105"/>
  <c r="H1691" i="105"/>
  <c r="G1691" i="105"/>
  <c r="F1691" i="105"/>
  <c r="H1690" i="105"/>
  <c r="G1690" i="105"/>
  <c r="F1690" i="105"/>
  <c r="H1689" i="105"/>
  <c r="G1689" i="105"/>
  <c r="F1689" i="105"/>
  <c r="H1688" i="105"/>
  <c r="G1688" i="105"/>
  <c r="F1688" i="105"/>
  <c r="H1687" i="105"/>
  <c r="G1687" i="105"/>
  <c r="F1687" i="105"/>
  <c r="H1686" i="105"/>
  <c r="G1686" i="105"/>
  <c r="F1686" i="105"/>
  <c r="H1685" i="105"/>
  <c r="G1685" i="105"/>
  <c r="F1685" i="105"/>
  <c r="H1684" i="105"/>
  <c r="G1684" i="105"/>
  <c r="F1684" i="105"/>
  <c r="H1683" i="105"/>
  <c r="G1683" i="105"/>
  <c r="F1683" i="105"/>
  <c r="H1682" i="105"/>
  <c r="G1682" i="105"/>
  <c r="F1682" i="105"/>
  <c r="H1681" i="105"/>
  <c r="G1681" i="105"/>
  <c r="F1681" i="105"/>
  <c r="H1680" i="105"/>
  <c r="G1680" i="105"/>
  <c r="F1680" i="105"/>
  <c r="H1679" i="105"/>
  <c r="G1679" i="105"/>
  <c r="F1679" i="105"/>
  <c r="H1678" i="105"/>
  <c r="G1678" i="105"/>
  <c r="F1678" i="105"/>
  <c r="H1677" i="105"/>
  <c r="G1677" i="105"/>
  <c r="F1677" i="105"/>
  <c r="H1676" i="105"/>
  <c r="G1676" i="105"/>
  <c r="F1676" i="105"/>
  <c r="H1675" i="105"/>
  <c r="G1675" i="105"/>
  <c r="F1675" i="105"/>
  <c r="H1674" i="105"/>
  <c r="G1674" i="105"/>
  <c r="F1674" i="105"/>
  <c r="H1673" i="105"/>
  <c r="G1673" i="105"/>
  <c r="F1673" i="105"/>
  <c r="H1672" i="105"/>
  <c r="G1672" i="105"/>
  <c r="F1672" i="105"/>
  <c r="H1671" i="105"/>
  <c r="G1671" i="105"/>
  <c r="F1671" i="105"/>
  <c r="H1670" i="105"/>
  <c r="G1670" i="105"/>
  <c r="F1670" i="105"/>
  <c r="H1669" i="105"/>
  <c r="G1669" i="105"/>
  <c r="F1669" i="105"/>
  <c r="H1668" i="105"/>
  <c r="G1668" i="105"/>
  <c r="F1668" i="105"/>
  <c r="H1667" i="105"/>
  <c r="G1667" i="105"/>
  <c r="F1667" i="105"/>
  <c r="H1666" i="105"/>
  <c r="G1666" i="105"/>
  <c r="F1666" i="105"/>
  <c r="H1665" i="105"/>
  <c r="G1665" i="105"/>
  <c r="F1665" i="105"/>
  <c r="H1664" i="105"/>
  <c r="G1664" i="105"/>
  <c r="F1664" i="105"/>
  <c r="H1663" i="105"/>
  <c r="G1663" i="105"/>
  <c r="F1663" i="105"/>
  <c r="H1662" i="105"/>
  <c r="G1662" i="105"/>
  <c r="F1662" i="105"/>
  <c r="H1661" i="105"/>
  <c r="G1661" i="105"/>
  <c r="F1661" i="105"/>
  <c r="H1660" i="105"/>
  <c r="G1660" i="105"/>
  <c r="F1660" i="105"/>
  <c r="H1659" i="105"/>
  <c r="G1659" i="105"/>
  <c r="F1659" i="105"/>
  <c r="H1658" i="105"/>
  <c r="G1658" i="105"/>
  <c r="F1658" i="105"/>
  <c r="H1657" i="105"/>
  <c r="G1657" i="105"/>
  <c r="F1657" i="105"/>
  <c r="H1656" i="105"/>
  <c r="G1656" i="105"/>
  <c r="F1656" i="105"/>
  <c r="H1655" i="105"/>
  <c r="G1655" i="105"/>
  <c r="F1655" i="105"/>
  <c r="H1654" i="105"/>
  <c r="G1654" i="105"/>
  <c r="F1654" i="105"/>
  <c r="H1653" i="105"/>
  <c r="G1653" i="105"/>
  <c r="F1653" i="105"/>
  <c r="H1652" i="105"/>
  <c r="G1652" i="105"/>
  <c r="F1652" i="105"/>
  <c r="H1651" i="105"/>
  <c r="G1651" i="105"/>
  <c r="F1651" i="105"/>
  <c r="H1650" i="105"/>
  <c r="G1650" i="105"/>
  <c r="F1650" i="105"/>
  <c r="H1649" i="105"/>
  <c r="G1649" i="105"/>
  <c r="F1649" i="105"/>
  <c r="H1648" i="105"/>
  <c r="G1648" i="105"/>
  <c r="F1648" i="105"/>
  <c r="H1647" i="105"/>
  <c r="G1647" i="105"/>
  <c r="F1647" i="105"/>
  <c r="H1646" i="105"/>
  <c r="G1646" i="105"/>
  <c r="F1646" i="105"/>
  <c r="H1645" i="105"/>
  <c r="G1645" i="105"/>
  <c r="F1645" i="105"/>
  <c r="H1644" i="105"/>
  <c r="G1644" i="105"/>
  <c r="F1644" i="105"/>
  <c r="H1643" i="105"/>
  <c r="G1643" i="105"/>
  <c r="F1643" i="105"/>
  <c r="H1642" i="105"/>
  <c r="G1642" i="105"/>
  <c r="F1642" i="105"/>
  <c r="H1641" i="105"/>
  <c r="G1641" i="105"/>
  <c r="F1641" i="105"/>
  <c r="H1640" i="105"/>
  <c r="G1640" i="105"/>
  <c r="F1640" i="105"/>
  <c r="H1639" i="105"/>
  <c r="G1639" i="105"/>
  <c r="F1639" i="105"/>
  <c r="H1638" i="105"/>
  <c r="G1638" i="105"/>
  <c r="F1638" i="105"/>
  <c r="H1637" i="105"/>
  <c r="G1637" i="105"/>
  <c r="F1637" i="105"/>
  <c r="H1636" i="105"/>
  <c r="G1636" i="105"/>
  <c r="F1636" i="105"/>
  <c r="H1635" i="105"/>
  <c r="G1635" i="105"/>
  <c r="F1635" i="105"/>
  <c r="H1634" i="105"/>
  <c r="G1634" i="105"/>
  <c r="F1634" i="105"/>
  <c r="H1633" i="105"/>
  <c r="G1633" i="105"/>
  <c r="F1633" i="105"/>
  <c r="H1632" i="105"/>
  <c r="G1632" i="105"/>
  <c r="F1632" i="105"/>
  <c r="H1631" i="105"/>
  <c r="G1631" i="105"/>
  <c r="F1631" i="105"/>
  <c r="H1630" i="105"/>
  <c r="G1630" i="105"/>
  <c r="F1630" i="105"/>
  <c r="H1629" i="105"/>
  <c r="G1629" i="105"/>
  <c r="F1629" i="105"/>
  <c r="H1628" i="105"/>
  <c r="G1628" i="105"/>
  <c r="F1628" i="105"/>
  <c r="H1627" i="105"/>
  <c r="G1627" i="105"/>
  <c r="F1627" i="105"/>
  <c r="H1626" i="105"/>
  <c r="G1626" i="105"/>
  <c r="F1626" i="105"/>
  <c r="H1625" i="105"/>
  <c r="G1625" i="105"/>
  <c r="F1625" i="105"/>
  <c r="H1624" i="105"/>
  <c r="G1624" i="105"/>
  <c r="F1624" i="105"/>
  <c r="H1623" i="105"/>
  <c r="G1623" i="105"/>
  <c r="F1623" i="105"/>
  <c r="H1622" i="105"/>
  <c r="G1622" i="105"/>
  <c r="F1622" i="105"/>
  <c r="H1621" i="105"/>
  <c r="G1621" i="105"/>
  <c r="F1621" i="105"/>
  <c r="H1620" i="105"/>
  <c r="G1620" i="105"/>
  <c r="F1620" i="105"/>
  <c r="H1619" i="105"/>
  <c r="G1619" i="105"/>
  <c r="F1619" i="105"/>
  <c r="H1618" i="105"/>
  <c r="G1618" i="105"/>
  <c r="F1618" i="105"/>
  <c r="H1617" i="105"/>
  <c r="G1617" i="105"/>
  <c r="F1617" i="105"/>
  <c r="H1616" i="105"/>
  <c r="G1616" i="105"/>
  <c r="F1616" i="105"/>
  <c r="H1615" i="105"/>
  <c r="G1615" i="105"/>
  <c r="F1615" i="105"/>
  <c r="H1614" i="105"/>
  <c r="G1614" i="105"/>
  <c r="F1614" i="105"/>
  <c r="H1613" i="105"/>
  <c r="G1613" i="105"/>
  <c r="F1613" i="105"/>
  <c r="H1612" i="105"/>
  <c r="G1612" i="105"/>
  <c r="F1612" i="105"/>
  <c r="H1611" i="105"/>
  <c r="G1611" i="105"/>
  <c r="F1611" i="105"/>
  <c r="H1610" i="105"/>
  <c r="G1610" i="105"/>
  <c r="F1610" i="105"/>
  <c r="H1609" i="105"/>
  <c r="G1609" i="105"/>
  <c r="F1609" i="105"/>
  <c r="H1608" i="105"/>
  <c r="G1608" i="105"/>
  <c r="F1608" i="105"/>
  <c r="H1607" i="105"/>
  <c r="G1607" i="105"/>
  <c r="F1607" i="105"/>
  <c r="H1606" i="105"/>
  <c r="G1606" i="105"/>
  <c r="F1606" i="105"/>
  <c r="H1605" i="105"/>
  <c r="G1605" i="105"/>
  <c r="F1605" i="105"/>
  <c r="H1604" i="105"/>
  <c r="G1604" i="105"/>
  <c r="F1604" i="105"/>
  <c r="H1603" i="105"/>
  <c r="G1603" i="105"/>
  <c r="F1603" i="105"/>
  <c r="H1602" i="105"/>
  <c r="G1602" i="105"/>
  <c r="F1602" i="105"/>
  <c r="H1601" i="105"/>
  <c r="G1601" i="105"/>
  <c r="F1601" i="105"/>
  <c r="H1600" i="105"/>
  <c r="G1600" i="105"/>
  <c r="F1600" i="105"/>
  <c r="H1599" i="105"/>
  <c r="G1599" i="105"/>
  <c r="F1599" i="105"/>
  <c r="H1598" i="105"/>
  <c r="G1598" i="105"/>
  <c r="F1598" i="105"/>
  <c r="H1597" i="105"/>
  <c r="G1597" i="105"/>
  <c r="F1597" i="105"/>
  <c r="H1596" i="105"/>
  <c r="G1596" i="105"/>
  <c r="F1596" i="105"/>
  <c r="H1595" i="105"/>
  <c r="G1595" i="105"/>
  <c r="F1595" i="105"/>
  <c r="H1594" i="105"/>
  <c r="G1594" i="105"/>
  <c r="F1594" i="105"/>
  <c r="H1593" i="105"/>
  <c r="G1593" i="105"/>
  <c r="F1593" i="105"/>
  <c r="H1592" i="105"/>
  <c r="G1592" i="105"/>
  <c r="F1592" i="105"/>
  <c r="H1591" i="105"/>
  <c r="G1591" i="105"/>
  <c r="F1591" i="105"/>
  <c r="H1590" i="105"/>
  <c r="G1590" i="105"/>
  <c r="F1590" i="105"/>
  <c r="H1589" i="105"/>
  <c r="G1589" i="105"/>
  <c r="F1589" i="105"/>
  <c r="H1588" i="105"/>
  <c r="G1588" i="105"/>
  <c r="F1588" i="105"/>
  <c r="H1587" i="105"/>
  <c r="G1587" i="105"/>
  <c r="F1587" i="105"/>
  <c r="H1586" i="105"/>
  <c r="G1586" i="105"/>
  <c r="F1586" i="105"/>
  <c r="H1585" i="105"/>
  <c r="G1585" i="105"/>
  <c r="F1585" i="105"/>
  <c r="H1584" i="105"/>
  <c r="G1584" i="105"/>
  <c r="F1584" i="105"/>
  <c r="H1583" i="105"/>
  <c r="G1583" i="105"/>
  <c r="F1583" i="105"/>
  <c r="H1582" i="105"/>
  <c r="G1582" i="105"/>
  <c r="F1582" i="105"/>
  <c r="H1581" i="105"/>
  <c r="G1581" i="105"/>
  <c r="F1581" i="105"/>
  <c r="H1580" i="105"/>
  <c r="G1580" i="105"/>
  <c r="F1580" i="105"/>
  <c r="H1579" i="105"/>
  <c r="G1579" i="105"/>
  <c r="F1579" i="105"/>
  <c r="H1578" i="105"/>
  <c r="G1578" i="105"/>
  <c r="F1578" i="105"/>
  <c r="H1577" i="105"/>
  <c r="G1577" i="105"/>
  <c r="F1577" i="105"/>
  <c r="H1576" i="105"/>
  <c r="G1576" i="105"/>
  <c r="F1576" i="105"/>
  <c r="H1575" i="105"/>
  <c r="G1575" i="105"/>
  <c r="F1575" i="105"/>
  <c r="H1574" i="105"/>
  <c r="G1574" i="105"/>
  <c r="F1574" i="105"/>
  <c r="H1573" i="105"/>
  <c r="G1573" i="105"/>
  <c r="F1573" i="105"/>
  <c r="H1572" i="105"/>
  <c r="G1572" i="105"/>
  <c r="F1572" i="105"/>
  <c r="H1571" i="105"/>
  <c r="G1571" i="105"/>
  <c r="F1571" i="105"/>
  <c r="H1570" i="105"/>
  <c r="G1570" i="105"/>
  <c r="F1570" i="105"/>
  <c r="H1569" i="105"/>
  <c r="G1569" i="105"/>
  <c r="F1569" i="105"/>
  <c r="H1568" i="105"/>
  <c r="G1568" i="105"/>
  <c r="F1568" i="105"/>
  <c r="H1567" i="105"/>
  <c r="G1567" i="105"/>
  <c r="F1567" i="105"/>
  <c r="H1566" i="105"/>
  <c r="G1566" i="105"/>
  <c r="F1566" i="105"/>
  <c r="H1565" i="105"/>
  <c r="G1565" i="105"/>
  <c r="F1565" i="105"/>
  <c r="H1564" i="105"/>
  <c r="G1564" i="105"/>
  <c r="F1564" i="105"/>
  <c r="H1563" i="105"/>
  <c r="G1563" i="105"/>
  <c r="F1563" i="105"/>
  <c r="H1562" i="105"/>
  <c r="G1562" i="105"/>
  <c r="F1562" i="105"/>
  <c r="H1561" i="105"/>
  <c r="G1561" i="105"/>
  <c r="F1561" i="105"/>
  <c r="H1560" i="105"/>
  <c r="G1560" i="105"/>
  <c r="F1560" i="105"/>
  <c r="H1559" i="105"/>
  <c r="G1559" i="105"/>
  <c r="F1559" i="105"/>
  <c r="H1558" i="105"/>
  <c r="G1558" i="105"/>
  <c r="F1558" i="105"/>
  <c r="H1557" i="105"/>
  <c r="G1557" i="105"/>
  <c r="F1557" i="105"/>
  <c r="H1556" i="105"/>
  <c r="G1556" i="105"/>
  <c r="F1556" i="105"/>
  <c r="H1555" i="105"/>
  <c r="G1555" i="105"/>
  <c r="F1555" i="105"/>
  <c r="H1554" i="105"/>
  <c r="G1554" i="105"/>
  <c r="F1554" i="105"/>
  <c r="H1553" i="105"/>
  <c r="G1553" i="105"/>
  <c r="F1553" i="105"/>
  <c r="H1552" i="105"/>
  <c r="G1552" i="105"/>
  <c r="F1552" i="105"/>
  <c r="H1551" i="105"/>
  <c r="G1551" i="105"/>
  <c r="F1551" i="105"/>
  <c r="H1550" i="105"/>
  <c r="G1550" i="105"/>
  <c r="F1550" i="105"/>
  <c r="H1549" i="105"/>
  <c r="G1549" i="105"/>
  <c r="F1549" i="105"/>
  <c r="H1548" i="105"/>
  <c r="G1548" i="105"/>
  <c r="F1548" i="105"/>
  <c r="H1547" i="105"/>
  <c r="G1547" i="105"/>
  <c r="F1547" i="105"/>
  <c r="H1546" i="105"/>
  <c r="G1546" i="105"/>
  <c r="F1546" i="105"/>
  <c r="H1545" i="105"/>
  <c r="G1545" i="105"/>
  <c r="F1545" i="105"/>
  <c r="H1544" i="105"/>
  <c r="G1544" i="105"/>
  <c r="F1544" i="105"/>
  <c r="H1543" i="105"/>
  <c r="G1543" i="105"/>
  <c r="F1543" i="105"/>
  <c r="H1542" i="105"/>
  <c r="G1542" i="105"/>
  <c r="F1542" i="105"/>
  <c r="H1541" i="105"/>
  <c r="G1541" i="105"/>
  <c r="F1541" i="105"/>
  <c r="H1540" i="105"/>
  <c r="G1540" i="105"/>
  <c r="F1540" i="105"/>
  <c r="H1539" i="105"/>
  <c r="G1539" i="105"/>
  <c r="F1539" i="105"/>
  <c r="H1538" i="105"/>
  <c r="G1538" i="105"/>
  <c r="F1538" i="105"/>
  <c r="H1537" i="105"/>
  <c r="G1537" i="105"/>
  <c r="F1537" i="105"/>
  <c r="H1536" i="105"/>
  <c r="G1536" i="105"/>
  <c r="F1536" i="105"/>
  <c r="H1535" i="105"/>
  <c r="G1535" i="105"/>
  <c r="F1535" i="105"/>
  <c r="H1534" i="105"/>
  <c r="G1534" i="105"/>
  <c r="F1534" i="105"/>
  <c r="H1533" i="105"/>
  <c r="G1533" i="105"/>
  <c r="F1533" i="105"/>
  <c r="H1532" i="105"/>
  <c r="G1532" i="105"/>
  <c r="F1532" i="105"/>
  <c r="H1531" i="105"/>
  <c r="G1531" i="105"/>
  <c r="F1531" i="105"/>
  <c r="H1530" i="105"/>
  <c r="G1530" i="105"/>
  <c r="F1530" i="105"/>
  <c r="H1529" i="105"/>
  <c r="G1529" i="105"/>
  <c r="F1529" i="105"/>
  <c r="H1528" i="105"/>
  <c r="G1528" i="105"/>
  <c r="F1528" i="105"/>
  <c r="H1527" i="105"/>
  <c r="G1527" i="105"/>
  <c r="F1527" i="105"/>
  <c r="H1526" i="105"/>
  <c r="G1526" i="105"/>
  <c r="F1526" i="105"/>
  <c r="H1525" i="105"/>
  <c r="G1525" i="105"/>
  <c r="F1525" i="105"/>
  <c r="H1524" i="105"/>
  <c r="G1524" i="105"/>
  <c r="F1524" i="105"/>
  <c r="H1523" i="105"/>
  <c r="G1523" i="105"/>
  <c r="F1523" i="105"/>
  <c r="H1522" i="105"/>
  <c r="G1522" i="105"/>
  <c r="F1522" i="105"/>
  <c r="H1521" i="105"/>
  <c r="G1521" i="105"/>
  <c r="F1521" i="105"/>
  <c r="H1520" i="105"/>
  <c r="G1520" i="105"/>
  <c r="F1520" i="105"/>
  <c r="H1519" i="105"/>
  <c r="G1519" i="105"/>
  <c r="F1519" i="105"/>
  <c r="H1518" i="105"/>
  <c r="G1518" i="105"/>
  <c r="F1518" i="105"/>
  <c r="H1517" i="105"/>
  <c r="G1517" i="105"/>
  <c r="F1517" i="105"/>
  <c r="H1516" i="105"/>
  <c r="G1516" i="105"/>
  <c r="F1516" i="105"/>
  <c r="H1515" i="105"/>
  <c r="G1515" i="105"/>
  <c r="F1515" i="105"/>
  <c r="H1514" i="105"/>
  <c r="G1514" i="105"/>
  <c r="F1514" i="105"/>
  <c r="H1513" i="105"/>
  <c r="G1513" i="105"/>
  <c r="F1513" i="105"/>
  <c r="H1512" i="105"/>
  <c r="G1512" i="105"/>
  <c r="F1512" i="105"/>
  <c r="H1511" i="105"/>
  <c r="G1511" i="105"/>
  <c r="F1511" i="105"/>
  <c r="H1510" i="105"/>
  <c r="G1510" i="105"/>
  <c r="F1510" i="105"/>
  <c r="H1509" i="105"/>
  <c r="G1509" i="105"/>
  <c r="F1509" i="105"/>
  <c r="H1508" i="105"/>
  <c r="G1508" i="105"/>
  <c r="F1508" i="105"/>
  <c r="H1507" i="105"/>
  <c r="G1507" i="105"/>
  <c r="F1507" i="105"/>
  <c r="H1506" i="105"/>
  <c r="G1506" i="105"/>
  <c r="F1506" i="105"/>
  <c r="H1505" i="105"/>
  <c r="G1505" i="105"/>
  <c r="F1505" i="105"/>
  <c r="H1504" i="105"/>
  <c r="G1504" i="105"/>
  <c r="F1504" i="105"/>
  <c r="H1503" i="105"/>
  <c r="G1503" i="105"/>
  <c r="F1503" i="105"/>
  <c r="H1502" i="105"/>
  <c r="G1502" i="105"/>
  <c r="F1502" i="105"/>
  <c r="H1501" i="105"/>
  <c r="G1501" i="105"/>
  <c r="F1501" i="105"/>
  <c r="H1500" i="105"/>
  <c r="G1500" i="105"/>
  <c r="F1500" i="105"/>
  <c r="H1499" i="105"/>
  <c r="G1499" i="105"/>
  <c r="F1499" i="105"/>
  <c r="H1498" i="105"/>
  <c r="G1498" i="105"/>
  <c r="F1498" i="105"/>
  <c r="H1497" i="105"/>
  <c r="G1497" i="105"/>
  <c r="F1497" i="105"/>
  <c r="H1496" i="105"/>
  <c r="G1496" i="105"/>
  <c r="F1496" i="105"/>
  <c r="H1495" i="105"/>
  <c r="G1495" i="105"/>
  <c r="F1495" i="105"/>
  <c r="H1494" i="105"/>
  <c r="G1494" i="105"/>
  <c r="F1494" i="105"/>
  <c r="H1493" i="105"/>
  <c r="G1493" i="105"/>
  <c r="F1493" i="105"/>
  <c r="H1492" i="105"/>
  <c r="G1492" i="105"/>
  <c r="F1492" i="105"/>
  <c r="H1491" i="105"/>
  <c r="G1491" i="105"/>
  <c r="F1491" i="105"/>
  <c r="H1490" i="105"/>
  <c r="G1490" i="105"/>
  <c r="F1490" i="105"/>
  <c r="H1489" i="105"/>
  <c r="G1489" i="105"/>
  <c r="F1489" i="105"/>
  <c r="H1488" i="105"/>
  <c r="G1488" i="105"/>
  <c r="F1488" i="105"/>
  <c r="H1487" i="105"/>
  <c r="G1487" i="105"/>
  <c r="F1487" i="105"/>
  <c r="H1486" i="105"/>
  <c r="G1486" i="105"/>
  <c r="F1486" i="105"/>
  <c r="H1485" i="105"/>
  <c r="G1485" i="105"/>
  <c r="F1485" i="105"/>
  <c r="H1484" i="105"/>
  <c r="G1484" i="105"/>
  <c r="F1484" i="105"/>
  <c r="H1483" i="105"/>
  <c r="G1483" i="105"/>
  <c r="F1483" i="105"/>
  <c r="H1482" i="105"/>
  <c r="G1482" i="105"/>
  <c r="F1482" i="105"/>
  <c r="H1481" i="105"/>
  <c r="G1481" i="105"/>
  <c r="F1481" i="105"/>
  <c r="H1480" i="105"/>
  <c r="G1480" i="105"/>
  <c r="F1480" i="105"/>
  <c r="H1479" i="105"/>
  <c r="G1479" i="105"/>
  <c r="F1479" i="105"/>
  <c r="H1478" i="105"/>
  <c r="G1478" i="105"/>
  <c r="F1478" i="105"/>
  <c r="H1477" i="105"/>
  <c r="G1477" i="105"/>
  <c r="F1477" i="105"/>
  <c r="H1476" i="105"/>
  <c r="G1476" i="105"/>
  <c r="F1476" i="105"/>
  <c r="H1475" i="105"/>
  <c r="G1475" i="105"/>
  <c r="F1475" i="105"/>
  <c r="H1474" i="105"/>
  <c r="G1474" i="105"/>
  <c r="F1474" i="105"/>
  <c r="H1473" i="105"/>
  <c r="G1473" i="105"/>
  <c r="F1473" i="105"/>
  <c r="H1472" i="105"/>
  <c r="G1472" i="105"/>
  <c r="F1472" i="105"/>
  <c r="H1471" i="105"/>
  <c r="G1471" i="105"/>
  <c r="F1471" i="105"/>
  <c r="H1470" i="105"/>
  <c r="G1470" i="105"/>
  <c r="F1470" i="105"/>
  <c r="H1469" i="105"/>
  <c r="G1469" i="105"/>
  <c r="F1469" i="105"/>
  <c r="H1468" i="105"/>
  <c r="G1468" i="105"/>
  <c r="F1468" i="105"/>
  <c r="H1467" i="105"/>
  <c r="G1467" i="105"/>
  <c r="F1467" i="105"/>
  <c r="H1466" i="105"/>
  <c r="G1466" i="105"/>
  <c r="F1466" i="105"/>
  <c r="H1465" i="105"/>
  <c r="G1465" i="105"/>
  <c r="F1465" i="105"/>
  <c r="H1464" i="105"/>
  <c r="G1464" i="105"/>
  <c r="F1464" i="105"/>
  <c r="H1463" i="105"/>
  <c r="G1463" i="105"/>
  <c r="F1463" i="105"/>
  <c r="H1462" i="105"/>
  <c r="G1462" i="105"/>
  <c r="F1462" i="105"/>
  <c r="H1461" i="105"/>
  <c r="G1461" i="105"/>
  <c r="F1461" i="105"/>
  <c r="H1460" i="105"/>
  <c r="G1460" i="105"/>
  <c r="F1460" i="105"/>
  <c r="H1459" i="105"/>
  <c r="G1459" i="105"/>
  <c r="F1459" i="105"/>
  <c r="H1458" i="105"/>
  <c r="G1458" i="105"/>
  <c r="F1458" i="105"/>
  <c r="H1457" i="105"/>
  <c r="G1457" i="105"/>
  <c r="F1457" i="105"/>
  <c r="H1456" i="105"/>
  <c r="G1456" i="105"/>
  <c r="F1456" i="105"/>
  <c r="H1455" i="105"/>
  <c r="G1455" i="105"/>
  <c r="F1455" i="105"/>
  <c r="H1454" i="105"/>
  <c r="G1454" i="105"/>
  <c r="F1454" i="105"/>
  <c r="H1453" i="105"/>
  <c r="G1453" i="105"/>
  <c r="F1453" i="105"/>
  <c r="H1452" i="105"/>
  <c r="G1452" i="105"/>
  <c r="F1452" i="105"/>
  <c r="H1451" i="105"/>
  <c r="G1451" i="105"/>
  <c r="F1451" i="105"/>
  <c r="H1450" i="105"/>
  <c r="G1450" i="105"/>
  <c r="F1450" i="105"/>
  <c r="H1449" i="105"/>
  <c r="G1449" i="105"/>
  <c r="F1449" i="105"/>
  <c r="H1448" i="105"/>
  <c r="G1448" i="105"/>
  <c r="F1448" i="105"/>
  <c r="H1447" i="105"/>
  <c r="G1447" i="105"/>
  <c r="F1447" i="105"/>
  <c r="H1446" i="105"/>
  <c r="G1446" i="105"/>
  <c r="F1446" i="105"/>
  <c r="H1445" i="105"/>
  <c r="G1445" i="105"/>
  <c r="F1445" i="105"/>
  <c r="H1444" i="105"/>
  <c r="G1444" i="105"/>
  <c r="F1444" i="105"/>
  <c r="H1443" i="105"/>
  <c r="G1443" i="105"/>
  <c r="F1443" i="105"/>
  <c r="H1442" i="105"/>
  <c r="G1442" i="105"/>
  <c r="F1442" i="105"/>
  <c r="H1441" i="105"/>
  <c r="G1441" i="105"/>
  <c r="F1441" i="105"/>
  <c r="H1440" i="105"/>
  <c r="G1440" i="105"/>
  <c r="F1440" i="105"/>
  <c r="H1439" i="105"/>
  <c r="G1439" i="105"/>
  <c r="F1439" i="105"/>
  <c r="H1438" i="105"/>
  <c r="G1438" i="105"/>
  <c r="F1438" i="105"/>
  <c r="H1437" i="105"/>
  <c r="G1437" i="105"/>
  <c r="F1437" i="105"/>
  <c r="H1436" i="105"/>
  <c r="G1436" i="105"/>
  <c r="F1436" i="105"/>
  <c r="H1435" i="105"/>
  <c r="G1435" i="105"/>
  <c r="F1435" i="105"/>
  <c r="H1434" i="105"/>
  <c r="G1434" i="105"/>
  <c r="F1434" i="105"/>
  <c r="H1433" i="105"/>
  <c r="G1433" i="105"/>
  <c r="F1433" i="105"/>
  <c r="H1432" i="105"/>
  <c r="G1432" i="105"/>
  <c r="F1432" i="105"/>
  <c r="H1431" i="105"/>
  <c r="G1431" i="105"/>
  <c r="F1431" i="105"/>
  <c r="H1430" i="105"/>
  <c r="G1430" i="105"/>
  <c r="F1430" i="105"/>
  <c r="H1429" i="105"/>
  <c r="G1429" i="105"/>
  <c r="F1429" i="105"/>
  <c r="H1428" i="105"/>
  <c r="G1428" i="105"/>
  <c r="F1428" i="105"/>
  <c r="H1427" i="105"/>
  <c r="G1427" i="105"/>
  <c r="F1427" i="105"/>
  <c r="H1426" i="105"/>
  <c r="G1426" i="105"/>
  <c r="F1426" i="105"/>
  <c r="H1425" i="105"/>
  <c r="G1425" i="105"/>
  <c r="F1425" i="105"/>
  <c r="H1424" i="105"/>
  <c r="G1424" i="105"/>
  <c r="F1424" i="105"/>
  <c r="H1423" i="105"/>
  <c r="G1423" i="105"/>
  <c r="F1423" i="105"/>
  <c r="H1422" i="105"/>
  <c r="G1422" i="105"/>
  <c r="F1422" i="105"/>
  <c r="H1421" i="105"/>
  <c r="G1421" i="105"/>
  <c r="F1421" i="105"/>
  <c r="H1420" i="105"/>
  <c r="G1420" i="105"/>
  <c r="F1420" i="105"/>
  <c r="H1419" i="105"/>
  <c r="G1419" i="105"/>
  <c r="F1419" i="105"/>
  <c r="H1418" i="105"/>
  <c r="G1418" i="105"/>
  <c r="F1418" i="105"/>
  <c r="H1417" i="105"/>
  <c r="G1417" i="105"/>
  <c r="F1417" i="105"/>
  <c r="H1416" i="105"/>
  <c r="G1416" i="105"/>
  <c r="F1416" i="105"/>
  <c r="H1415" i="105"/>
  <c r="G1415" i="105"/>
  <c r="F1415" i="105"/>
  <c r="H1414" i="105"/>
  <c r="G1414" i="105"/>
  <c r="F1414" i="105"/>
  <c r="H1413" i="105"/>
  <c r="G1413" i="105"/>
  <c r="F1413" i="105"/>
  <c r="H1412" i="105"/>
  <c r="G1412" i="105"/>
  <c r="F1412" i="105"/>
  <c r="H1411" i="105"/>
  <c r="G1411" i="105"/>
  <c r="F1411" i="105"/>
  <c r="H1410" i="105"/>
  <c r="G1410" i="105"/>
  <c r="F1410" i="105"/>
  <c r="H1409" i="105"/>
  <c r="G1409" i="105"/>
  <c r="F1409" i="105"/>
  <c r="H1408" i="105"/>
  <c r="G1408" i="105"/>
  <c r="F1408" i="105"/>
  <c r="H1407" i="105"/>
  <c r="G1407" i="105"/>
  <c r="F1407" i="105"/>
  <c r="H1406" i="105"/>
  <c r="G1406" i="105"/>
  <c r="F1406" i="105"/>
  <c r="H1405" i="105"/>
  <c r="G1405" i="105"/>
  <c r="F1405" i="105"/>
  <c r="H1404" i="105"/>
  <c r="G1404" i="105"/>
  <c r="F1404" i="105"/>
  <c r="H1403" i="105"/>
  <c r="G1403" i="105"/>
  <c r="F1403" i="105"/>
  <c r="H1402" i="105"/>
  <c r="G1402" i="105"/>
  <c r="F1402" i="105"/>
  <c r="H1401" i="105"/>
  <c r="G1401" i="105"/>
  <c r="F1401" i="105"/>
  <c r="H1400" i="105"/>
  <c r="G1400" i="105"/>
  <c r="F1400" i="105"/>
  <c r="H1399" i="105"/>
  <c r="G1399" i="105"/>
  <c r="F1399" i="105"/>
  <c r="H1398" i="105"/>
  <c r="G1398" i="105"/>
  <c r="F1398" i="105"/>
  <c r="H1397" i="105"/>
  <c r="G1397" i="105"/>
  <c r="F1397" i="105"/>
  <c r="H1396" i="105"/>
  <c r="G1396" i="105"/>
  <c r="F1396" i="105"/>
  <c r="H1395" i="105"/>
  <c r="G1395" i="105"/>
  <c r="F1395" i="105"/>
  <c r="H1394" i="105"/>
  <c r="G1394" i="105"/>
  <c r="F1394" i="105"/>
  <c r="H1393" i="105"/>
  <c r="G1393" i="105"/>
  <c r="F1393" i="105"/>
  <c r="H1392" i="105"/>
  <c r="G1392" i="105"/>
  <c r="F1392" i="105"/>
  <c r="H1391" i="105"/>
  <c r="G1391" i="105"/>
  <c r="F1391" i="105"/>
  <c r="H1390" i="105"/>
  <c r="G1390" i="105"/>
  <c r="F1390" i="105"/>
  <c r="H1389" i="105"/>
  <c r="G1389" i="105"/>
  <c r="F1389" i="105"/>
  <c r="H1388" i="105"/>
  <c r="G1388" i="105"/>
  <c r="F1388" i="105"/>
  <c r="H1387" i="105"/>
  <c r="G1387" i="105"/>
  <c r="F1387" i="105"/>
  <c r="H1386" i="105"/>
  <c r="G1386" i="105"/>
  <c r="F1386" i="105"/>
  <c r="H1385" i="105"/>
  <c r="G1385" i="105"/>
  <c r="F1385" i="105"/>
  <c r="H1384" i="105"/>
  <c r="G1384" i="105"/>
  <c r="F1384" i="105"/>
  <c r="H1383" i="105"/>
  <c r="G1383" i="105"/>
  <c r="F1383" i="105"/>
  <c r="H1382" i="105"/>
  <c r="G1382" i="105"/>
  <c r="F1382" i="105"/>
  <c r="H1381" i="105"/>
  <c r="G1381" i="105"/>
  <c r="F1381" i="105"/>
  <c r="H1380" i="105"/>
  <c r="G1380" i="105"/>
  <c r="F1380" i="105"/>
  <c r="H1379" i="105"/>
  <c r="G1379" i="105"/>
  <c r="F1379" i="105"/>
  <c r="H1378" i="105"/>
  <c r="G1378" i="105"/>
  <c r="F1378" i="105"/>
  <c r="H1377" i="105"/>
  <c r="G1377" i="105"/>
  <c r="F1377" i="105"/>
  <c r="H1376" i="105"/>
  <c r="G1376" i="105"/>
  <c r="F1376" i="105"/>
  <c r="H1375" i="105"/>
  <c r="G1375" i="105"/>
  <c r="F1375" i="105"/>
  <c r="H1374" i="105"/>
  <c r="G1374" i="105"/>
  <c r="F1374" i="105"/>
  <c r="H1373" i="105"/>
  <c r="G1373" i="105"/>
  <c r="F1373" i="105"/>
  <c r="H1372" i="105"/>
  <c r="G1372" i="105"/>
  <c r="F1372" i="105"/>
  <c r="H1371" i="105"/>
  <c r="G1371" i="105"/>
  <c r="F1371" i="105"/>
  <c r="H1370" i="105"/>
  <c r="G1370" i="105"/>
  <c r="F1370" i="105"/>
  <c r="H1369" i="105"/>
  <c r="G1369" i="105"/>
  <c r="F1369" i="105"/>
  <c r="H1368" i="105"/>
  <c r="G1368" i="105"/>
  <c r="F1368" i="105"/>
  <c r="H1367" i="105"/>
  <c r="G1367" i="105"/>
  <c r="F1367" i="105"/>
  <c r="H1366" i="105"/>
  <c r="G1366" i="105"/>
  <c r="F1366" i="105"/>
  <c r="H1365" i="105"/>
  <c r="G1365" i="105"/>
  <c r="F1365" i="105"/>
  <c r="H1364" i="105"/>
  <c r="G1364" i="105"/>
  <c r="F1364" i="105"/>
  <c r="H1363" i="105"/>
  <c r="G1363" i="105"/>
  <c r="F1363" i="105"/>
  <c r="H1362" i="105"/>
  <c r="G1362" i="105"/>
  <c r="F1362" i="105"/>
  <c r="H1361" i="105"/>
  <c r="G1361" i="105"/>
  <c r="F1361" i="105"/>
  <c r="H1360" i="105"/>
  <c r="G1360" i="105"/>
  <c r="F1360" i="105"/>
  <c r="H1359" i="105"/>
  <c r="G1359" i="105"/>
  <c r="F1359" i="105"/>
  <c r="H1358" i="105"/>
  <c r="G1358" i="105"/>
  <c r="F1358" i="105"/>
  <c r="H1357" i="105"/>
  <c r="G1357" i="105"/>
  <c r="F1357" i="105"/>
  <c r="H1356" i="105"/>
  <c r="G1356" i="105"/>
  <c r="F1356" i="105"/>
  <c r="H1355" i="105"/>
  <c r="G1355" i="105"/>
  <c r="F1355" i="105"/>
  <c r="H1354" i="105"/>
  <c r="G1354" i="105"/>
  <c r="F1354" i="105"/>
  <c r="H1353" i="105"/>
  <c r="G1353" i="105"/>
  <c r="F1353" i="105"/>
  <c r="H1352" i="105"/>
  <c r="G1352" i="105"/>
  <c r="F1352" i="105"/>
  <c r="H1351" i="105"/>
  <c r="G1351" i="105"/>
  <c r="F1351" i="105"/>
  <c r="H1350" i="105"/>
  <c r="G1350" i="105"/>
  <c r="F1350" i="105"/>
  <c r="H1349" i="105"/>
  <c r="G1349" i="105"/>
  <c r="F1349" i="105"/>
  <c r="H1348" i="105"/>
  <c r="G1348" i="105"/>
  <c r="F1348" i="105"/>
  <c r="H1347" i="105"/>
  <c r="G1347" i="105"/>
  <c r="F1347" i="105"/>
  <c r="H1346" i="105"/>
  <c r="G1346" i="105"/>
  <c r="F1346" i="105"/>
  <c r="H1345" i="105"/>
  <c r="G1345" i="105"/>
  <c r="F1345" i="105"/>
  <c r="H1344" i="105"/>
  <c r="G1344" i="105"/>
  <c r="F1344" i="105"/>
  <c r="H1343" i="105"/>
  <c r="G1343" i="105"/>
  <c r="F1343" i="105"/>
  <c r="H1342" i="105"/>
  <c r="G1342" i="105"/>
  <c r="F1342" i="105"/>
  <c r="H1341" i="105"/>
  <c r="G1341" i="105"/>
  <c r="F1341" i="105"/>
  <c r="H1340" i="105"/>
  <c r="G1340" i="105"/>
  <c r="F1340" i="105"/>
  <c r="H1339" i="105"/>
  <c r="G1339" i="105"/>
  <c r="F1339" i="105"/>
  <c r="H1338" i="105"/>
  <c r="G1338" i="105"/>
  <c r="F1338" i="105"/>
  <c r="H1337" i="105"/>
  <c r="G1337" i="105"/>
  <c r="F1337" i="105"/>
  <c r="H1336" i="105"/>
  <c r="G1336" i="105"/>
  <c r="F1336" i="105"/>
  <c r="H1335" i="105"/>
  <c r="G1335" i="105"/>
  <c r="F1335" i="105"/>
  <c r="H1334" i="105"/>
  <c r="G1334" i="105"/>
  <c r="F1334" i="105"/>
  <c r="H1333" i="105"/>
  <c r="G1333" i="105"/>
  <c r="F1333" i="105"/>
  <c r="H1332" i="105"/>
  <c r="G1332" i="105"/>
  <c r="F1332" i="105"/>
  <c r="H1331" i="105"/>
  <c r="G1331" i="105"/>
  <c r="F1331" i="105"/>
  <c r="H1330" i="105"/>
  <c r="G1330" i="105"/>
  <c r="F1330" i="105"/>
  <c r="H1329" i="105"/>
  <c r="G1329" i="105"/>
  <c r="F1329" i="105"/>
  <c r="H1328" i="105"/>
  <c r="G1328" i="105"/>
  <c r="F1328" i="105"/>
  <c r="H1327" i="105"/>
  <c r="G1327" i="105"/>
  <c r="F1327" i="105"/>
  <c r="H1326" i="105"/>
  <c r="G1326" i="105"/>
  <c r="F1326" i="105"/>
  <c r="H1325" i="105"/>
  <c r="G1325" i="105"/>
  <c r="F1325" i="105"/>
  <c r="H1324" i="105"/>
  <c r="G1324" i="105"/>
  <c r="F1324" i="105"/>
  <c r="H1323" i="105"/>
  <c r="G1323" i="105"/>
  <c r="F1323" i="105"/>
  <c r="H1322" i="105"/>
  <c r="G1322" i="105"/>
  <c r="F1322" i="105"/>
  <c r="H1321" i="105"/>
  <c r="G1321" i="105"/>
  <c r="F1321" i="105"/>
  <c r="H1320" i="105"/>
  <c r="G1320" i="105"/>
  <c r="F1320" i="105"/>
  <c r="H1319" i="105"/>
  <c r="G1319" i="105"/>
  <c r="F1319" i="105"/>
  <c r="H1318" i="105"/>
  <c r="G1318" i="105"/>
  <c r="F1318" i="105"/>
  <c r="H1317" i="105"/>
  <c r="G1317" i="105"/>
  <c r="F1317" i="105"/>
  <c r="H1316" i="105"/>
  <c r="G1316" i="105"/>
  <c r="F1316" i="105"/>
  <c r="H1315" i="105"/>
  <c r="G1315" i="105"/>
  <c r="F1315" i="105"/>
  <c r="H1314" i="105"/>
  <c r="G1314" i="105"/>
  <c r="F1314" i="105"/>
  <c r="H1313" i="105"/>
  <c r="G1313" i="105"/>
  <c r="F1313" i="105"/>
  <c r="H1312" i="105"/>
  <c r="G1312" i="105"/>
  <c r="F1312" i="105"/>
  <c r="H1311" i="105"/>
  <c r="G1311" i="105"/>
  <c r="F1311" i="105"/>
  <c r="H1310" i="105"/>
  <c r="G1310" i="105"/>
  <c r="F1310" i="105"/>
  <c r="H1309" i="105"/>
  <c r="G1309" i="105"/>
  <c r="F1309" i="105"/>
  <c r="H1308" i="105"/>
  <c r="G1308" i="105"/>
  <c r="F1308" i="105"/>
  <c r="H1307" i="105"/>
  <c r="G1307" i="105"/>
  <c r="F1307" i="105"/>
  <c r="H1306" i="105"/>
  <c r="G1306" i="105"/>
  <c r="F1306" i="105"/>
  <c r="H1305" i="105"/>
  <c r="G1305" i="105"/>
  <c r="F1305" i="105"/>
  <c r="H1304" i="105"/>
  <c r="G1304" i="105"/>
  <c r="F1304" i="105"/>
  <c r="H1303" i="105"/>
  <c r="G1303" i="105"/>
  <c r="F1303" i="105"/>
  <c r="H1302" i="105"/>
  <c r="G1302" i="105"/>
  <c r="F1302" i="105"/>
  <c r="H1301" i="105"/>
  <c r="G1301" i="105"/>
  <c r="F1301" i="105"/>
  <c r="H1300" i="105"/>
  <c r="G1300" i="105"/>
  <c r="F1300" i="105"/>
  <c r="H1299" i="105"/>
  <c r="G1299" i="105"/>
  <c r="F1299" i="105"/>
  <c r="H1298" i="105"/>
  <c r="G1298" i="105"/>
  <c r="F1298" i="105"/>
  <c r="H1297" i="105"/>
  <c r="G1297" i="105"/>
  <c r="F1297" i="105"/>
  <c r="H1296" i="105"/>
  <c r="G1296" i="105"/>
  <c r="F1296" i="105"/>
  <c r="H1295" i="105"/>
  <c r="G1295" i="105"/>
  <c r="F1295" i="105"/>
  <c r="H1294" i="105"/>
  <c r="G1294" i="105"/>
  <c r="F1294" i="105"/>
  <c r="H1293" i="105"/>
  <c r="G1293" i="105"/>
  <c r="F1293" i="105"/>
  <c r="H1292" i="105"/>
  <c r="G1292" i="105"/>
  <c r="F1292" i="105"/>
  <c r="H1291" i="105"/>
  <c r="G1291" i="105"/>
  <c r="F1291" i="105"/>
  <c r="H1290" i="105"/>
  <c r="G1290" i="105"/>
  <c r="F1290" i="105"/>
  <c r="H1289" i="105"/>
  <c r="G1289" i="105"/>
  <c r="F1289" i="105"/>
  <c r="H1288" i="105"/>
  <c r="G1288" i="105"/>
  <c r="F1288" i="105"/>
  <c r="H1287" i="105"/>
  <c r="G1287" i="105"/>
  <c r="F1287" i="105"/>
  <c r="H1286" i="105"/>
  <c r="G1286" i="105"/>
  <c r="F1286" i="105"/>
  <c r="H1285" i="105"/>
  <c r="G1285" i="105"/>
  <c r="F1285" i="105"/>
  <c r="H1284" i="105"/>
  <c r="G1284" i="105"/>
  <c r="F1284" i="105"/>
  <c r="H1283" i="105"/>
  <c r="G1283" i="105"/>
  <c r="F1283" i="105"/>
  <c r="H1282" i="105"/>
  <c r="G1282" i="105"/>
  <c r="F1282" i="105"/>
  <c r="H1281" i="105"/>
  <c r="G1281" i="105"/>
  <c r="F1281" i="105"/>
  <c r="H1280" i="105"/>
  <c r="G1280" i="105"/>
  <c r="F1280" i="105"/>
  <c r="H1279" i="105"/>
  <c r="G1279" i="105"/>
  <c r="F1279" i="105"/>
  <c r="H1278" i="105"/>
  <c r="G1278" i="105"/>
  <c r="F1278" i="105"/>
  <c r="H1277" i="105"/>
  <c r="G1277" i="105"/>
  <c r="F1277" i="105"/>
  <c r="H1276" i="105"/>
  <c r="G1276" i="105"/>
  <c r="F1276" i="105"/>
  <c r="H1275" i="105"/>
  <c r="G1275" i="105"/>
  <c r="F1275" i="105"/>
  <c r="H1274" i="105"/>
  <c r="G1274" i="105"/>
  <c r="F1274" i="105"/>
  <c r="H1273" i="105"/>
  <c r="G1273" i="105"/>
  <c r="F1273" i="105"/>
  <c r="H1272" i="105"/>
  <c r="G1272" i="105"/>
  <c r="F1272" i="105"/>
  <c r="H1271" i="105"/>
  <c r="G1271" i="105"/>
  <c r="F1271" i="105"/>
  <c r="H1270" i="105"/>
  <c r="G1270" i="105"/>
  <c r="F1270" i="105"/>
  <c r="H1269" i="105"/>
  <c r="G1269" i="105"/>
  <c r="F1269" i="105"/>
  <c r="H1268" i="105"/>
  <c r="G1268" i="105"/>
  <c r="F1268" i="105"/>
  <c r="H1267" i="105"/>
  <c r="G1267" i="105"/>
  <c r="F1267" i="105"/>
  <c r="H1266" i="105"/>
  <c r="G1266" i="105"/>
  <c r="F1266" i="105"/>
  <c r="H1265" i="105"/>
  <c r="G1265" i="105"/>
  <c r="F1265" i="105"/>
  <c r="H1264" i="105"/>
  <c r="G1264" i="105"/>
  <c r="F1264" i="105"/>
  <c r="H1263" i="105"/>
  <c r="G1263" i="105"/>
  <c r="F1263" i="105"/>
  <c r="H1262" i="105"/>
  <c r="G1262" i="105"/>
  <c r="F1262" i="105"/>
  <c r="H1261" i="105"/>
  <c r="G1261" i="105"/>
  <c r="F1261" i="105"/>
  <c r="H1260" i="105"/>
  <c r="G1260" i="105"/>
  <c r="F1260" i="105"/>
  <c r="H1259" i="105"/>
  <c r="G1259" i="105"/>
  <c r="F1259" i="105"/>
  <c r="H1258" i="105"/>
  <c r="G1258" i="105"/>
  <c r="F1258" i="105"/>
  <c r="H1257" i="105"/>
  <c r="G1257" i="105"/>
  <c r="F1257" i="105"/>
  <c r="H1256" i="105"/>
  <c r="G1256" i="105"/>
  <c r="F1256" i="105"/>
  <c r="H1255" i="105"/>
  <c r="G1255" i="105"/>
  <c r="F1255" i="105"/>
  <c r="H1254" i="105"/>
  <c r="G1254" i="105"/>
  <c r="F1254" i="105"/>
  <c r="H1253" i="105"/>
  <c r="G1253" i="105"/>
  <c r="F1253" i="105"/>
  <c r="H1252" i="105"/>
  <c r="G1252" i="105"/>
  <c r="F1252" i="105"/>
  <c r="H1251" i="105"/>
  <c r="G1251" i="105"/>
  <c r="F1251" i="105"/>
  <c r="H1250" i="105"/>
  <c r="G1250" i="105"/>
  <c r="F1250" i="105"/>
  <c r="H1249" i="105"/>
  <c r="G1249" i="105"/>
  <c r="F1249" i="105"/>
  <c r="H1248" i="105"/>
  <c r="G1248" i="105"/>
  <c r="F1248" i="105"/>
  <c r="H1247" i="105"/>
  <c r="G1247" i="105"/>
  <c r="F1247" i="105"/>
  <c r="H1246" i="105"/>
  <c r="G1246" i="105"/>
  <c r="F1246" i="105"/>
  <c r="H1245" i="105"/>
  <c r="G1245" i="105"/>
  <c r="F1245" i="105"/>
  <c r="H1244" i="105"/>
  <c r="G1244" i="105"/>
  <c r="F1244" i="105"/>
  <c r="H1243" i="105"/>
  <c r="G1243" i="105"/>
  <c r="F1243" i="105"/>
  <c r="H1242" i="105"/>
  <c r="G1242" i="105"/>
  <c r="F1242" i="105"/>
  <c r="H1241" i="105"/>
  <c r="G1241" i="105"/>
  <c r="F1241" i="105"/>
  <c r="H1240" i="105"/>
  <c r="G1240" i="105"/>
  <c r="F1240" i="105"/>
  <c r="H1239" i="105"/>
  <c r="G1239" i="105"/>
  <c r="F1239" i="105"/>
  <c r="H1238" i="105"/>
  <c r="G1238" i="105"/>
  <c r="F1238" i="105"/>
  <c r="H1237" i="105"/>
  <c r="G1237" i="105"/>
  <c r="F1237" i="105"/>
  <c r="H1236" i="105"/>
  <c r="G1236" i="105"/>
  <c r="F1236" i="105"/>
  <c r="H1235" i="105"/>
  <c r="G1235" i="105"/>
  <c r="F1235" i="105"/>
  <c r="H1234" i="105"/>
  <c r="G1234" i="105"/>
  <c r="F1234" i="105"/>
  <c r="H1233" i="105"/>
  <c r="G1233" i="105"/>
  <c r="F1233" i="105"/>
  <c r="H1232" i="105"/>
  <c r="G1232" i="105"/>
  <c r="F1232" i="105"/>
  <c r="H1231" i="105"/>
  <c r="G1231" i="105"/>
  <c r="F1231" i="105"/>
  <c r="H1230" i="105"/>
  <c r="G1230" i="105"/>
  <c r="F1230" i="105"/>
  <c r="H1229" i="105"/>
  <c r="G1229" i="105"/>
  <c r="F1229" i="105"/>
  <c r="H1228" i="105"/>
  <c r="G1228" i="105"/>
  <c r="F1228" i="105"/>
  <c r="H1227" i="105"/>
  <c r="G1227" i="105"/>
  <c r="F1227" i="105"/>
  <c r="H1226" i="105"/>
  <c r="G1226" i="105"/>
  <c r="F1226" i="105"/>
  <c r="H1225" i="105"/>
  <c r="G1225" i="105"/>
  <c r="F1225" i="105"/>
  <c r="H1224" i="105"/>
  <c r="G1224" i="105"/>
  <c r="F1224" i="105"/>
  <c r="H1223" i="105"/>
  <c r="G1223" i="105"/>
  <c r="F1223" i="105"/>
  <c r="H1222" i="105"/>
  <c r="G1222" i="105"/>
  <c r="F1222" i="105"/>
  <c r="H1221" i="105"/>
  <c r="G1221" i="105"/>
  <c r="F1221" i="105"/>
  <c r="H1220" i="105"/>
  <c r="G1220" i="105"/>
  <c r="F1220" i="105"/>
  <c r="H1219" i="105"/>
  <c r="G1219" i="105"/>
  <c r="F1219" i="105"/>
  <c r="H1218" i="105"/>
  <c r="G1218" i="105"/>
  <c r="F1218" i="105"/>
  <c r="H1217" i="105"/>
  <c r="G1217" i="105"/>
  <c r="F1217" i="105"/>
  <c r="H1216" i="105"/>
  <c r="G1216" i="105"/>
  <c r="F1216" i="105"/>
  <c r="H1215" i="105"/>
  <c r="G1215" i="105"/>
  <c r="F1215" i="105"/>
  <c r="H1214" i="105"/>
  <c r="G1214" i="105"/>
  <c r="F1214" i="105"/>
  <c r="H1213" i="105"/>
  <c r="G1213" i="105"/>
  <c r="F1213" i="105"/>
  <c r="H1212" i="105"/>
  <c r="G1212" i="105"/>
  <c r="F1212" i="105"/>
  <c r="H1211" i="105"/>
  <c r="G1211" i="105"/>
  <c r="F1211" i="105"/>
  <c r="H1210" i="105"/>
  <c r="G1210" i="105"/>
  <c r="F1210" i="105"/>
  <c r="H1209" i="105"/>
  <c r="G1209" i="105"/>
  <c r="F1209" i="105"/>
  <c r="H1208" i="105"/>
  <c r="G1208" i="105"/>
  <c r="F1208" i="105"/>
  <c r="H1207" i="105"/>
  <c r="G1207" i="105"/>
  <c r="F1207" i="105"/>
  <c r="H1206" i="105"/>
  <c r="G1206" i="105"/>
  <c r="F1206" i="105"/>
  <c r="H1205" i="105"/>
  <c r="G1205" i="105"/>
  <c r="F1205" i="105"/>
  <c r="H1204" i="105"/>
  <c r="G1204" i="105"/>
  <c r="F1204" i="105"/>
  <c r="H1203" i="105"/>
  <c r="G1203" i="105"/>
  <c r="F1203" i="105"/>
  <c r="H1202" i="105"/>
  <c r="G1202" i="105"/>
  <c r="F1202" i="105"/>
  <c r="H1201" i="105"/>
  <c r="G1201" i="105"/>
  <c r="F1201" i="105"/>
  <c r="H1200" i="105"/>
  <c r="G1200" i="105"/>
  <c r="F1200" i="105"/>
  <c r="H1199" i="105"/>
  <c r="G1199" i="105"/>
  <c r="F1199" i="105"/>
  <c r="H1198" i="105"/>
  <c r="G1198" i="105"/>
  <c r="F1198" i="105"/>
  <c r="H1197" i="105"/>
  <c r="G1197" i="105"/>
  <c r="F1197" i="105"/>
  <c r="H1196" i="105"/>
  <c r="G1196" i="105"/>
  <c r="F1196" i="105"/>
  <c r="H1195" i="105"/>
  <c r="G1195" i="105"/>
  <c r="F1195" i="105"/>
  <c r="H1194" i="105"/>
  <c r="G1194" i="105"/>
  <c r="F1194" i="105"/>
  <c r="H1193" i="105"/>
  <c r="G1193" i="105"/>
  <c r="F1193" i="105"/>
  <c r="H1192" i="105"/>
  <c r="G1192" i="105"/>
  <c r="F1192" i="105"/>
  <c r="H1191" i="105"/>
  <c r="G1191" i="105"/>
  <c r="F1191" i="105"/>
  <c r="H1190" i="105"/>
  <c r="G1190" i="105"/>
  <c r="F1190" i="105"/>
  <c r="H1189" i="105"/>
  <c r="G1189" i="105"/>
  <c r="F1189" i="105"/>
  <c r="H1188" i="105"/>
  <c r="G1188" i="105"/>
  <c r="F1188" i="105"/>
  <c r="H1187" i="105"/>
  <c r="G1187" i="105"/>
  <c r="F1187" i="105"/>
  <c r="H1186" i="105"/>
  <c r="G1186" i="105"/>
  <c r="F1186" i="105"/>
  <c r="H1185" i="105"/>
  <c r="G1185" i="105"/>
  <c r="F1185" i="105"/>
  <c r="H1184" i="105"/>
  <c r="G1184" i="105"/>
  <c r="F1184" i="105"/>
  <c r="H1183" i="105"/>
  <c r="G1183" i="105"/>
  <c r="F1183" i="105"/>
  <c r="H1182" i="105"/>
  <c r="G1182" i="105"/>
  <c r="F1182" i="105"/>
  <c r="H1181" i="105"/>
  <c r="G1181" i="105"/>
  <c r="F1181" i="105"/>
  <c r="H1180" i="105"/>
  <c r="G1180" i="105"/>
  <c r="F1180" i="105"/>
  <c r="H1179" i="105"/>
  <c r="G1179" i="105"/>
  <c r="F1179" i="105"/>
  <c r="H1178" i="105"/>
  <c r="G1178" i="105"/>
  <c r="F1178" i="105"/>
  <c r="H1177" i="105"/>
  <c r="G1177" i="105"/>
  <c r="F1177" i="105"/>
  <c r="H1176" i="105"/>
  <c r="G1176" i="105"/>
  <c r="F1176" i="105"/>
  <c r="H1175" i="105"/>
  <c r="G1175" i="105"/>
  <c r="F1175" i="105"/>
  <c r="H1174" i="105"/>
  <c r="G1174" i="105"/>
  <c r="F1174" i="105"/>
  <c r="H1173" i="105"/>
  <c r="G1173" i="105"/>
  <c r="F1173" i="105"/>
  <c r="H1172" i="105"/>
  <c r="G1172" i="105"/>
  <c r="F1172" i="105"/>
  <c r="H1171" i="105"/>
  <c r="G1171" i="105"/>
  <c r="F1171" i="105"/>
  <c r="H1170" i="105"/>
  <c r="G1170" i="105"/>
  <c r="F1170" i="105"/>
  <c r="H1169" i="105"/>
  <c r="G1169" i="105"/>
  <c r="F1169" i="105"/>
  <c r="H1168" i="105"/>
  <c r="G1168" i="105"/>
  <c r="F1168" i="105"/>
  <c r="H1167" i="105"/>
  <c r="G1167" i="105"/>
  <c r="F1167" i="105"/>
  <c r="H1166" i="105"/>
  <c r="G1166" i="105"/>
  <c r="F1166" i="105"/>
  <c r="H1165" i="105"/>
  <c r="G1165" i="105"/>
  <c r="F1165" i="105"/>
  <c r="H1164" i="105"/>
  <c r="G1164" i="105"/>
  <c r="F1164" i="105"/>
  <c r="H1163" i="105"/>
  <c r="G1163" i="105"/>
  <c r="F1163" i="105"/>
  <c r="H1162" i="105"/>
  <c r="G1162" i="105"/>
  <c r="F1162" i="105"/>
  <c r="H1161" i="105"/>
  <c r="G1161" i="105"/>
  <c r="F1161" i="105"/>
  <c r="H1160" i="105"/>
  <c r="G1160" i="105"/>
  <c r="F1160" i="105"/>
  <c r="H1159" i="105"/>
  <c r="G1159" i="105"/>
  <c r="F1159" i="105"/>
  <c r="H1158" i="105"/>
  <c r="G1158" i="105"/>
  <c r="F1158" i="105"/>
  <c r="H1157" i="105"/>
  <c r="G1157" i="105"/>
  <c r="F1157" i="105"/>
  <c r="H1156" i="105"/>
  <c r="G1156" i="105"/>
  <c r="F1156" i="105"/>
  <c r="H1155" i="105"/>
  <c r="G1155" i="105"/>
  <c r="F1155" i="105"/>
  <c r="H1154" i="105"/>
  <c r="G1154" i="105"/>
  <c r="F1154" i="105"/>
  <c r="H1153" i="105"/>
  <c r="G1153" i="105"/>
  <c r="F1153" i="105"/>
  <c r="H1152" i="105"/>
  <c r="G1152" i="105"/>
  <c r="F1152" i="105"/>
  <c r="H1151" i="105"/>
  <c r="G1151" i="105"/>
  <c r="F1151" i="105"/>
  <c r="H1150" i="105"/>
  <c r="G1150" i="105"/>
  <c r="F1150" i="105"/>
  <c r="H1149" i="105"/>
  <c r="G1149" i="105"/>
  <c r="F1149" i="105"/>
  <c r="H1148" i="105"/>
  <c r="G1148" i="105"/>
  <c r="F1148" i="105"/>
  <c r="H1147" i="105"/>
  <c r="G1147" i="105"/>
  <c r="F1147" i="105"/>
  <c r="H1146" i="105"/>
  <c r="G1146" i="105"/>
  <c r="F1146" i="105"/>
  <c r="H1145" i="105"/>
  <c r="G1145" i="105"/>
  <c r="F1145" i="105"/>
  <c r="H1144" i="105"/>
  <c r="G1144" i="105"/>
  <c r="F1144" i="105"/>
  <c r="H1143" i="105"/>
  <c r="G1143" i="105"/>
  <c r="F1143" i="105"/>
  <c r="H1142" i="105"/>
  <c r="G1142" i="105"/>
  <c r="F1142" i="105"/>
  <c r="H1141" i="105"/>
  <c r="G1141" i="105"/>
  <c r="F1141" i="105"/>
  <c r="H1140" i="105"/>
  <c r="G1140" i="105"/>
  <c r="F1140" i="105"/>
  <c r="H1139" i="105"/>
  <c r="G1139" i="105"/>
  <c r="F1139" i="105"/>
  <c r="H1138" i="105"/>
  <c r="G1138" i="105"/>
  <c r="F1138" i="105"/>
  <c r="H1137" i="105"/>
  <c r="G1137" i="105"/>
  <c r="F1137" i="105"/>
  <c r="H1136" i="105"/>
  <c r="G1136" i="105"/>
  <c r="F1136" i="105"/>
  <c r="H1135" i="105"/>
  <c r="G1135" i="105"/>
  <c r="F1135" i="105"/>
  <c r="H1134" i="105"/>
  <c r="G1134" i="105"/>
  <c r="F1134" i="105"/>
  <c r="H1133" i="105"/>
  <c r="G1133" i="105"/>
  <c r="F1133" i="105"/>
  <c r="H1132" i="105"/>
  <c r="G1132" i="105"/>
  <c r="F1132" i="105"/>
  <c r="H1131" i="105"/>
  <c r="G1131" i="105"/>
  <c r="F1131" i="105"/>
  <c r="H1130" i="105"/>
  <c r="G1130" i="105"/>
  <c r="F1130" i="105"/>
  <c r="H1129" i="105"/>
  <c r="G1129" i="105"/>
  <c r="F1129" i="105"/>
  <c r="H1128" i="105"/>
  <c r="G1128" i="105"/>
  <c r="F1128" i="105"/>
  <c r="H1127" i="105"/>
  <c r="G1127" i="105"/>
  <c r="F1127" i="105"/>
  <c r="H1126" i="105"/>
  <c r="G1126" i="105"/>
  <c r="F1126" i="105"/>
  <c r="H1125" i="105"/>
  <c r="G1125" i="105"/>
  <c r="F1125" i="105"/>
  <c r="H1124" i="105"/>
  <c r="G1124" i="105"/>
  <c r="F1124" i="105"/>
  <c r="H1123" i="105"/>
  <c r="G1123" i="105"/>
  <c r="F1123" i="105"/>
  <c r="H1122" i="105"/>
  <c r="G1122" i="105"/>
  <c r="F1122" i="105"/>
  <c r="H1121" i="105"/>
  <c r="G1121" i="105"/>
  <c r="F1121" i="105"/>
  <c r="H1120" i="105"/>
  <c r="G1120" i="105"/>
  <c r="F1120" i="105"/>
  <c r="H1119" i="105"/>
  <c r="G1119" i="105"/>
  <c r="F1119" i="105"/>
  <c r="H1118" i="105"/>
  <c r="G1118" i="105"/>
  <c r="F1118" i="105"/>
  <c r="H1117" i="105"/>
  <c r="G1117" i="105"/>
  <c r="F1117" i="105"/>
  <c r="H1116" i="105"/>
  <c r="G1116" i="105"/>
  <c r="F1116" i="105"/>
  <c r="H1115" i="105"/>
  <c r="G1115" i="105"/>
  <c r="F1115" i="105"/>
  <c r="H1114" i="105"/>
  <c r="G1114" i="105"/>
  <c r="F1114" i="105"/>
  <c r="H1113" i="105"/>
  <c r="G1113" i="105"/>
  <c r="F1113" i="105"/>
  <c r="H1112" i="105"/>
  <c r="G1112" i="105"/>
  <c r="F1112" i="105"/>
  <c r="H1111" i="105"/>
  <c r="G1111" i="105"/>
  <c r="F1111" i="105"/>
  <c r="H1110" i="105"/>
  <c r="G1110" i="105"/>
  <c r="F1110" i="105"/>
  <c r="H1109" i="105"/>
  <c r="G1109" i="105"/>
  <c r="F1109" i="105"/>
  <c r="H1108" i="105"/>
  <c r="G1108" i="105"/>
  <c r="F1108" i="105"/>
  <c r="H1107" i="105"/>
  <c r="G1107" i="105"/>
  <c r="F1107" i="105"/>
  <c r="H1106" i="105"/>
  <c r="G1106" i="105"/>
  <c r="F1106" i="105"/>
  <c r="H1105" i="105"/>
  <c r="G1105" i="105"/>
  <c r="F1105" i="105"/>
  <c r="H1104" i="105"/>
  <c r="G1104" i="105"/>
  <c r="F1104" i="105"/>
  <c r="H1103" i="105"/>
  <c r="G1103" i="105"/>
  <c r="F1103" i="105"/>
  <c r="H1102" i="105"/>
  <c r="G1102" i="105"/>
  <c r="F1102" i="105"/>
  <c r="H1101" i="105"/>
  <c r="G1101" i="105"/>
  <c r="F1101" i="105"/>
  <c r="H1100" i="105"/>
  <c r="G1100" i="105"/>
  <c r="F1100" i="105"/>
  <c r="H1099" i="105"/>
  <c r="G1099" i="105"/>
  <c r="F1099" i="105"/>
  <c r="H1098" i="105"/>
  <c r="G1098" i="105"/>
  <c r="F1098" i="105"/>
  <c r="H1097" i="105"/>
  <c r="G1097" i="105"/>
  <c r="F1097" i="105"/>
  <c r="H1096" i="105"/>
  <c r="G1096" i="105"/>
  <c r="F1096" i="105"/>
  <c r="H1095" i="105"/>
  <c r="G1095" i="105"/>
  <c r="F1095" i="105"/>
  <c r="H1094" i="105"/>
  <c r="G1094" i="105"/>
  <c r="F1094" i="105"/>
  <c r="H1093" i="105"/>
  <c r="G1093" i="105"/>
  <c r="F1093" i="105"/>
  <c r="H1092" i="105"/>
  <c r="G1092" i="105"/>
  <c r="F1092" i="105"/>
  <c r="H1091" i="105"/>
  <c r="G1091" i="105"/>
  <c r="F1091" i="105"/>
  <c r="H1090" i="105"/>
  <c r="G1090" i="105"/>
  <c r="F1090" i="105"/>
  <c r="H1089" i="105"/>
  <c r="G1089" i="105"/>
  <c r="F1089" i="105"/>
  <c r="H1088" i="105"/>
  <c r="G1088" i="105"/>
  <c r="F1088" i="105"/>
  <c r="H1087" i="105"/>
  <c r="G1087" i="105"/>
  <c r="F1087" i="105"/>
  <c r="H1086" i="105"/>
  <c r="G1086" i="105"/>
  <c r="F1086" i="105"/>
  <c r="H1085" i="105"/>
  <c r="G1085" i="105"/>
  <c r="F1085" i="105"/>
  <c r="H1084" i="105"/>
  <c r="G1084" i="105"/>
  <c r="F1084" i="105"/>
  <c r="H1083" i="105"/>
  <c r="G1083" i="105"/>
  <c r="F1083" i="105"/>
  <c r="H1082" i="105"/>
  <c r="G1082" i="105"/>
  <c r="F1082" i="105"/>
  <c r="H1081" i="105"/>
  <c r="G1081" i="105"/>
  <c r="F1081" i="105"/>
  <c r="H1080" i="105"/>
  <c r="G1080" i="105"/>
  <c r="F1080" i="105"/>
  <c r="H1079" i="105"/>
  <c r="G1079" i="105"/>
  <c r="F1079" i="105"/>
  <c r="H1078" i="105"/>
  <c r="G1078" i="105"/>
  <c r="F1078" i="105"/>
  <c r="H1077" i="105"/>
  <c r="G1077" i="105"/>
  <c r="F1077" i="105"/>
  <c r="H1076" i="105"/>
  <c r="G1076" i="105"/>
  <c r="F1076" i="105"/>
  <c r="H1075" i="105"/>
  <c r="G1075" i="105"/>
  <c r="F1075" i="105"/>
  <c r="H1074" i="105"/>
  <c r="G1074" i="105"/>
  <c r="F1074" i="105"/>
  <c r="H1073" i="105"/>
  <c r="G1073" i="105"/>
  <c r="F1073" i="105"/>
  <c r="H1072" i="105"/>
  <c r="G1072" i="105"/>
  <c r="F1072" i="105"/>
  <c r="H1071" i="105"/>
  <c r="G1071" i="105"/>
  <c r="F1071" i="105"/>
  <c r="H1070" i="105"/>
  <c r="G1070" i="105"/>
  <c r="F1070" i="105"/>
  <c r="H1069" i="105"/>
  <c r="G1069" i="105"/>
  <c r="F1069" i="105"/>
  <c r="H1068" i="105"/>
  <c r="G1068" i="105"/>
  <c r="F1068" i="105"/>
  <c r="H1067" i="105"/>
  <c r="G1067" i="105"/>
  <c r="F1067" i="105"/>
  <c r="H1066" i="105"/>
  <c r="G1066" i="105"/>
  <c r="F1066" i="105"/>
  <c r="H1065" i="105"/>
  <c r="G1065" i="105"/>
  <c r="F1065" i="105"/>
  <c r="H1064" i="105"/>
  <c r="G1064" i="105"/>
  <c r="F1064" i="105"/>
  <c r="H1063" i="105"/>
  <c r="G1063" i="105"/>
  <c r="F1063" i="105"/>
  <c r="H1062" i="105"/>
  <c r="G1062" i="105"/>
  <c r="F1062" i="105"/>
  <c r="H1061" i="105"/>
  <c r="G1061" i="105"/>
  <c r="F1061" i="105"/>
  <c r="H1060" i="105"/>
  <c r="G1060" i="105"/>
  <c r="F1060" i="105"/>
  <c r="H1059" i="105"/>
  <c r="G1059" i="105"/>
  <c r="F1059" i="105"/>
  <c r="H1058" i="105"/>
  <c r="G1058" i="105"/>
  <c r="F1058" i="105"/>
  <c r="H1057" i="105"/>
  <c r="G1057" i="105"/>
  <c r="F1057" i="105"/>
  <c r="H1056" i="105"/>
  <c r="G1056" i="105"/>
  <c r="F1056" i="105"/>
  <c r="H1055" i="105"/>
  <c r="G1055" i="105"/>
  <c r="F1055" i="105"/>
  <c r="H1054" i="105"/>
  <c r="G1054" i="105"/>
  <c r="F1054" i="105"/>
  <c r="H1053" i="105"/>
  <c r="G1053" i="105"/>
  <c r="F1053" i="105"/>
  <c r="H1052" i="105"/>
  <c r="G1052" i="105"/>
  <c r="F1052" i="105"/>
  <c r="H1051" i="105"/>
  <c r="G1051" i="105"/>
  <c r="F1051" i="105"/>
  <c r="H1050" i="105"/>
  <c r="G1050" i="105"/>
  <c r="F1050" i="105"/>
  <c r="H1049" i="105"/>
  <c r="G1049" i="105"/>
  <c r="F1049" i="105"/>
  <c r="H1048" i="105"/>
  <c r="G1048" i="105"/>
  <c r="F1048" i="105"/>
  <c r="H1047" i="105"/>
  <c r="G1047" i="105"/>
  <c r="F1047" i="105"/>
  <c r="H1046" i="105"/>
  <c r="G1046" i="105"/>
  <c r="F1046" i="105"/>
  <c r="H1045" i="105"/>
  <c r="G1045" i="105"/>
  <c r="F1045" i="105"/>
  <c r="H1044" i="105"/>
  <c r="G1044" i="105"/>
  <c r="F1044" i="105"/>
  <c r="H1043" i="105"/>
  <c r="G1043" i="105"/>
  <c r="F1043" i="105"/>
  <c r="H1042" i="105"/>
  <c r="G1042" i="105"/>
  <c r="F1042" i="105"/>
  <c r="H1041" i="105"/>
  <c r="G1041" i="105"/>
  <c r="F1041" i="105"/>
  <c r="H1040" i="105"/>
  <c r="G1040" i="105"/>
  <c r="F1040" i="105"/>
  <c r="H1039" i="105"/>
  <c r="G1039" i="105"/>
  <c r="F1039" i="105"/>
  <c r="H1038" i="105"/>
  <c r="G1038" i="105"/>
  <c r="F1038" i="105"/>
  <c r="H1037" i="105"/>
  <c r="G1037" i="105"/>
  <c r="F1037" i="105"/>
  <c r="H1036" i="105"/>
  <c r="G1036" i="105"/>
  <c r="F1036" i="105"/>
  <c r="H1035" i="105"/>
  <c r="G1035" i="105"/>
  <c r="F1035" i="105"/>
  <c r="H1034" i="105"/>
  <c r="G1034" i="105"/>
  <c r="F1034" i="105"/>
  <c r="H1033" i="105"/>
  <c r="G1033" i="105"/>
  <c r="F1033" i="105"/>
  <c r="H1032" i="105"/>
  <c r="G1032" i="105"/>
  <c r="F1032" i="105"/>
  <c r="H1031" i="105"/>
  <c r="G1031" i="105"/>
  <c r="F1031" i="105"/>
  <c r="H1030" i="105"/>
  <c r="G1030" i="105"/>
  <c r="F1030" i="105"/>
  <c r="H1029" i="105"/>
  <c r="G1029" i="105"/>
  <c r="F1029" i="105"/>
  <c r="H1028" i="105"/>
  <c r="G1028" i="105"/>
  <c r="F1028" i="105"/>
  <c r="H1027" i="105"/>
  <c r="G1027" i="105"/>
  <c r="F1027" i="105"/>
  <c r="H1026" i="105"/>
  <c r="G1026" i="105"/>
  <c r="F1026" i="105"/>
  <c r="H1025" i="105"/>
  <c r="G1025" i="105"/>
  <c r="F1025" i="105"/>
  <c r="H1024" i="105"/>
  <c r="G1024" i="105"/>
  <c r="F1024" i="105"/>
  <c r="H1023" i="105"/>
  <c r="G1023" i="105"/>
  <c r="F1023" i="105"/>
  <c r="H1022" i="105"/>
  <c r="G1022" i="105"/>
  <c r="F1022" i="105"/>
  <c r="H1021" i="105"/>
  <c r="G1021" i="105"/>
  <c r="F1021" i="105"/>
  <c r="H1020" i="105"/>
  <c r="G1020" i="105"/>
  <c r="F1020" i="105"/>
  <c r="H1019" i="105"/>
  <c r="G1019" i="105"/>
  <c r="F1019" i="105"/>
  <c r="H1018" i="105"/>
  <c r="G1018" i="105"/>
  <c r="F1018" i="105"/>
  <c r="H1017" i="105"/>
  <c r="G1017" i="105"/>
  <c r="F1017" i="105"/>
  <c r="H1016" i="105"/>
  <c r="G1016" i="105"/>
  <c r="F1016" i="105"/>
  <c r="H1015" i="105"/>
  <c r="G1015" i="105"/>
  <c r="F1015" i="105"/>
  <c r="H1014" i="105"/>
  <c r="G1014" i="105"/>
  <c r="F1014" i="105"/>
  <c r="H1013" i="105"/>
  <c r="G1013" i="105"/>
  <c r="F1013" i="105"/>
  <c r="H1012" i="105"/>
  <c r="G1012" i="105"/>
  <c r="F1012" i="105"/>
  <c r="H1011" i="105"/>
  <c r="G1011" i="105"/>
  <c r="F1011" i="105"/>
  <c r="H1010" i="105"/>
  <c r="G1010" i="105"/>
  <c r="F1010" i="105"/>
  <c r="H1009" i="105"/>
  <c r="G1009" i="105"/>
  <c r="F1009" i="105"/>
  <c r="H1008" i="105"/>
  <c r="G1008" i="105"/>
  <c r="F1008" i="105"/>
  <c r="H1007" i="105"/>
  <c r="G1007" i="105"/>
  <c r="F1007" i="105"/>
  <c r="H1006" i="105"/>
  <c r="G1006" i="105"/>
  <c r="F1006" i="105"/>
  <c r="H1005" i="105"/>
  <c r="G1005" i="105"/>
  <c r="F1005" i="105"/>
  <c r="H1004" i="105"/>
  <c r="G1004" i="105"/>
  <c r="F1004" i="105"/>
  <c r="H1003" i="105"/>
  <c r="G1003" i="105"/>
  <c r="F1003" i="105"/>
  <c r="H1002" i="105"/>
  <c r="G1002" i="105"/>
  <c r="F1002" i="105"/>
  <c r="H1001" i="105"/>
  <c r="G1001" i="105"/>
  <c r="F1001" i="105"/>
  <c r="H1000" i="105"/>
  <c r="G1000" i="105"/>
  <c r="F1000" i="105"/>
  <c r="H999" i="105"/>
  <c r="G999" i="105"/>
  <c r="F999" i="105"/>
  <c r="H998" i="105"/>
  <c r="G998" i="105"/>
  <c r="F998" i="105"/>
  <c r="H997" i="105"/>
  <c r="G997" i="105"/>
  <c r="F997" i="105"/>
  <c r="H996" i="105"/>
  <c r="G996" i="105"/>
  <c r="F996" i="105"/>
  <c r="H995" i="105"/>
  <c r="G995" i="105"/>
  <c r="F995" i="105"/>
  <c r="H994" i="105"/>
  <c r="G994" i="105"/>
  <c r="F994" i="105"/>
  <c r="H993" i="105"/>
  <c r="G993" i="105"/>
  <c r="F993" i="105"/>
  <c r="H992" i="105"/>
  <c r="G992" i="105"/>
  <c r="F992" i="105"/>
  <c r="H991" i="105"/>
  <c r="G991" i="105"/>
  <c r="F991" i="105"/>
  <c r="H990" i="105"/>
  <c r="G990" i="105"/>
  <c r="F990" i="105"/>
  <c r="H989" i="105"/>
  <c r="G989" i="105"/>
  <c r="F989" i="105"/>
  <c r="H988" i="105"/>
  <c r="G988" i="105"/>
  <c r="F988" i="105"/>
  <c r="H987" i="105"/>
  <c r="G987" i="105"/>
  <c r="F987" i="105"/>
  <c r="H986" i="105"/>
  <c r="G986" i="105"/>
  <c r="F986" i="105"/>
  <c r="H985" i="105"/>
  <c r="G985" i="105"/>
  <c r="F985" i="105"/>
  <c r="H984" i="105"/>
  <c r="G984" i="105"/>
  <c r="F984" i="105"/>
  <c r="H983" i="105"/>
  <c r="G983" i="105"/>
  <c r="F983" i="105"/>
  <c r="H982" i="105"/>
  <c r="G982" i="105"/>
  <c r="F982" i="105"/>
  <c r="H981" i="105"/>
  <c r="G981" i="105"/>
  <c r="F981" i="105"/>
  <c r="H980" i="105"/>
  <c r="G980" i="105"/>
  <c r="F980" i="105"/>
  <c r="H979" i="105"/>
  <c r="G979" i="105"/>
  <c r="F979" i="105"/>
  <c r="H978" i="105"/>
  <c r="G978" i="105"/>
  <c r="F978" i="105"/>
  <c r="H977" i="105"/>
  <c r="G977" i="105"/>
  <c r="F977" i="105"/>
  <c r="H976" i="105"/>
  <c r="G976" i="105"/>
  <c r="F976" i="105"/>
  <c r="H975" i="105"/>
  <c r="G975" i="105"/>
  <c r="F975" i="105"/>
  <c r="H974" i="105"/>
  <c r="G974" i="105"/>
  <c r="F974" i="105"/>
  <c r="H973" i="105"/>
  <c r="G973" i="105"/>
  <c r="F973" i="105"/>
  <c r="H972" i="105"/>
  <c r="G972" i="105"/>
  <c r="F972" i="105"/>
  <c r="H971" i="105"/>
  <c r="G971" i="105"/>
  <c r="F971" i="105"/>
  <c r="H970" i="105"/>
  <c r="G970" i="105"/>
  <c r="F970" i="105"/>
  <c r="H969" i="105"/>
  <c r="G969" i="105"/>
  <c r="F969" i="105"/>
  <c r="H968" i="105"/>
  <c r="G968" i="105"/>
  <c r="F968" i="105"/>
  <c r="H967" i="105"/>
  <c r="G967" i="105"/>
  <c r="F967" i="105"/>
  <c r="H966" i="105"/>
  <c r="G966" i="105"/>
  <c r="F966" i="105"/>
  <c r="H965" i="105"/>
  <c r="G965" i="105"/>
  <c r="F965" i="105"/>
  <c r="H964" i="105"/>
  <c r="G964" i="105"/>
  <c r="F964" i="105"/>
  <c r="H963" i="105"/>
  <c r="G963" i="105"/>
  <c r="F963" i="105"/>
  <c r="H962" i="105"/>
  <c r="G962" i="105"/>
  <c r="F962" i="105"/>
  <c r="H961" i="105"/>
  <c r="G961" i="105"/>
  <c r="F961" i="105"/>
  <c r="H960" i="105"/>
  <c r="G960" i="105"/>
  <c r="F960" i="105"/>
  <c r="H959" i="105"/>
  <c r="G959" i="105"/>
  <c r="F959" i="105"/>
  <c r="H958" i="105"/>
  <c r="G958" i="105"/>
  <c r="F958" i="105"/>
  <c r="H957" i="105"/>
  <c r="G957" i="105"/>
  <c r="F957" i="105"/>
  <c r="H956" i="105"/>
  <c r="G956" i="105"/>
  <c r="F956" i="105"/>
  <c r="H955" i="105"/>
  <c r="G955" i="105"/>
  <c r="F955" i="105"/>
  <c r="H954" i="105"/>
  <c r="G954" i="105"/>
  <c r="F954" i="105"/>
  <c r="H953" i="105"/>
  <c r="G953" i="105"/>
  <c r="F953" i="105"/>
  <c r="H952" i="105"/>
  <c r="G952" i="105"/>
  <c r="F952" i="105"/>
  <c r="H951" i="105"/>
  <c r="G951" i="105"/>
  <c r="F951" i="105"/>
  <c r="H950" i="105"/>
  <c r="G950" i="105"/>
  <c r="F950" i="105"/>
  <c r="H949" i="105"/>
  <c r="G949" i="105"/>
  <c r="F949" i="105"/>
  <c r="H948" i="105"/>
  <c r="G948" i="105"/>
  <c r="F948" i="105"/>
  <c r="H947" i="105"/>
  <c r="G947" i="105"/>
  <c r="F947" i="105"/>
  <c r="H946" i="105"/>
  <c r="G946" i="105"/>
  <c r="F946" i="105"/>
  <c r="H945" i="105"/>
  <c r="G945" i="105"/>
  <c r="F945" i="105"/>
  <c r="H944" i="105"/>
  <c r="G944" i="105"/>
  <c r="F944" i="105"/>
  <c r="H943" i="105"/>
  <c r="G943" i="105"/>
  <c r="F943" i="105"/>
  <c r="H942" i="105"/>
  <c r="G942" i="105"/>
  <c r="F942" i="105"/>
  <c r="H941" i="105"/>
  <c r="G941" i="105"/>
  <c r="F941" i="105"/>
  <c r="H940" i="105"/>
  <c r="G940" i="105"/>
  <c r="F940" i="105"/>
  <c r="H939" i="105"/>
  <c r="G939" i="105"/>
  <c r="F939" i="105"/>
  <c r="H938" i="105"/>
  <c r="G938" i="105"/>
  <c r="F938" i="105"/>
  <c r="H937" i="105"/>
  <c r="G937" i="105"/>
  <c r="F937" i="105"/>
  <c r="H936" i="105"/>
  <c r="G936" i="105"/>
  <c r="F936" i="105"/>
  <c r="H935" i="105"/>
  <c r="G935" i="105"/>
  <c r="F935" i="105"/>
  <c r="H934" i="105"/>
  <c r="G934" i="105"/>
  <c r="F934" i="105"/>
  <c r="H933" i="105"/>
  <c r="G933" i="105"/>
  <c r="F933" i="105"/>
  <c r="H932" i="105"/>
  <c r="G932" i="105"/>
  <c r="F932" i="105"/>
  <c r="H931" i="105"/>
  <c r="G931" i="105"/>
  <c r="F931" i="105"/>
  <c r="H930" i="105"/>
  <c r="G930" i="105"/>
  <c r="F930" i="105"/>
  <c r="H929" i="105"/>
  <c r="G929" i="105"/>
  <c r="F929" i="105"/>
  <c r="H928" i="105"/>
  <c r="G928" i="105"/>
  <c r="F928" i="105"/>
  <c r="H927" i="105"/>
  <c r="G927" i="105"/>
  <c r="F927" i="105"/>
  <c r="H926" i="105"/>
  <c r="G926" i="105"/>
  <c r="F926" i="105"/>
  <c r="H925" i="105"/>
  <c r="G925" i="105"/>
  <c r="F925" i="105"/>
  <c r="H924" i="105"/>
  <c r="G924" i="105"/>
  <c r="F924" i="105"/>
  <c r="H923" i="105"/>
  <c r="G923" i="105"/>
  <c r="F923" i="105"/>
  <c r="H922" i="105"/>
  <c r="G922" i="105"/>
  <c r="F922" i="105"/>
  <c r="H921" i="105"/>
  <c r="G921" i="105"/>
  <c r="F921" i="105"/>
  <c r="H920" i="105"/>
  <c r="G920" i="105"/>
  <c r="F920" i="105"/>
  <c r="H919" i="105"/>
  <c r="G919" i="105"/>
  <c r="F919" i="105"/>
  <c r="H918" i="105"/>
  <c r="G918" i="105"/>
  <c r="F918" i="105"/>
  <c r="H917" i="105"/>
  <c r="G917" i="105"/>
  <c r="F917" i="105"/>
  <c r="H916" i="105"/>
  <c r="G916" i="105"/>
  <c r="F916" i="105"/>
  <c r="H915" i="105"/>
  <c r="G915" i="105"/>
  <c r="F915" i="105"/>
  <c r="H914" i="105"/>
  <c r="G914" i="105"/>
  <c r="F914" i="105"/>
  <c r="H913" i="105"/>
  <c r="G913" i="105"/>
  <c r="F913" i="105"/>
  <c r="H912" i="105"/>
  <c r="G912" i="105"/>
  <c r="F912" i="105"/>
  <c r="H911" i="105"/>
  <c r="G911" i="105"/>
  <c r="F911" i="105"/>
  <c r="H910" i="105"/>
  <c r="G910" i="105"/>
  <c r="F910" i="105"/>
  <c r="H909" i="105"/>
  <c r="G909" i="105"/>
  <c r="F909" i="105"/>
  <c r="H908" i="105"/>
  <c r="G908" i="105"/>
  <c r="F908" i="105"/>
  <c r="H907" i="105"/>
  <c r="G907" i="105"/>
  <c r="F907" i="105"/>
  <c r="H906" i="105"/>
  <c r="G906" i="105"/>
  <c r="F906" i="105"/>
  <c r="H905" i="105"/>
  <c r="G905" i="105"/>
  <c r="F905" i="105"/>
  <c r="H904" i="105"/>
  <c r="G904" i="105"/>
  <c r="F904" i="105"/>
  <c r="H903" i="105"/>
  <c r="G903" i="105"/>
  <c r="F903" i="105"/>
  <c r="H902" i="105"/>
  <c r="G902" i="105"/>
  <c r="F902" i="105"/>
  <c r="H901" i="105"/>
  <c r="G901" i="105"/>
  <c r="F901" i="105"/>
  <c r="H900" i="105"/>
  <c r="G900" i="105"/>
  <c r="F900" i="105"/>
  <c r="H899" i="105"/>
  <c r="G899" i="105"/>
  <c r="F899" i="105"/>
  <c r="H898" i="105"/>
  <c r="G898" i="105"/>
  <c r="F898" i="105"/>
  <c r="H897" i="105"/>
  <c r="G897" i="105"/>
  <c r="F897" i="105"/>
  <c r="H896" i="105"/>
  <c r="G896" i="105"/>
  <c r="F896" i="105"/>
  <c r="H895" i="105"/>
  <c r="G895" i="105"/>
  <c r="F895" i="105"/>
  <c r="H894" i="105"/>
  <c r="G894" i="105"/>
  <c r="F894" i="105"/>
  <c r="H893" i="105"/>
  <c r="G893" i="105"/>
  <c r="F893" i="105"/>
  <c r="H892" i="105"/>
  <c r="G892" i="105"/>
  <c r="F892" i="105"/>
  <c r="H891" i="105"/>
  <c r="G891" i="105"/>
  <c r="F891" i="105"/>
  <c r="H890" i="105"/>
  <c r="G890" i="105"/>
  <c r="F890" i="105"/>
  <c r="H889" i="105"/>
  <c r="G889" i="105"/>
  <c r="F889" i="105"/>
  <c r="H888" i="105"/>
  <c r="G888" i="105"/>
  <c r="F888" i="105"/>
  <c r="H887" i="105"/>
  <c r="G887" i="105"/>
  <c r="F887" i="105"/>
  <c r="H886" i="105"/>
  <c r="G886" i="105"/>
  <c r="F886" i="105"/>
  <c r="H885" i="105"/>
  <c r="G885" i="105"/>
  <c r="F885" i="105"/>
  <c r="H884" i="105"/>
  <c r="G884" i="105"/>
  <c r="F884" i="105"/>
  <c r="H883" i="105"/>
  <c r="G883" i="105"/>
  <c r="F883" i="105"/>
  <c r="H882" i="105"/>
  <c r="G882" i="105"/>
  <c r="F882" i="105"/>
  <c r="H881" i="105"/>
  <c r="G881" i="105"/>
  <c r="F881" i="105"/>
  <c r="H880" i="105"/>
  <c r="G880" i="105"/>
  <c r="F880" i="105"/>
  <c r="H879" i="105"/>
  <c r="G879" i="105"/>
  <c r="F879" i="105"/>
  <c r="H878" i="105"/>
  <c r="G878" i="105"/>
  <c r="F878" i="105"/>
  <c r="H877" i="105"/>
  <c r="G877" i="105"/>
  <c r="F877" i="105"/>
  <c r="H876" i="105"/>
  <c r="G876" i="105"/>
  <c r="F876" i="105"/>
  <c r="H875" i="105"/>
  <c r="G875" i="105"/>
  <c r="F875" i="105"/>
  <c r="H874" i="105"/>
  <c r="G874" i="105"/>
  <c r="F874" i="105"/>
  <c r="H873" i="105"/>
  <c r="G873" i="105"/>
  <c r="F873" i="105"/>
  <c r="H872" i="105"/>
  <c r="G872" i="105"/>
  <c r="F872" i="105"/>
  <c r="H871" i="105"/>
  <c r="G871" i="105"/>
  <c r="F871" i="105"/>
  <c r="H870" i="105"/>
  <c r="G870" i="105"/>
  <c r="F870" i="105"/>
  <c r="H869" i="105"/>
  <c r="G869" i="105"/>
  <c r="F869" i="105"/>
  <c r="H868" i="105"/>
  <c r="G868" i="105"/>
  <c r="F868" i="105"/>
  <c r="H867" i="105"/>
  <c r="G867" i="105"/>
  <c r="F867" i="105"/>
  <c r="H866" i="105"/>
  <c r="G866" i="105"/>
  <c r="F866" i="105"/>
  <c r="H865" i="105"/>
  <c r="G865" i="105"/>
  <c r="F865" i="105"/>
  <c r="H864" i="105"/>
  <c r="G864" i="105"/>
  <c r="F864" i="105"/>
  <c r="H863" i="105"/>
  <c r="G863" i="105"/>
  <c r="F863" i="105"/>
  <c r="H862" i="105"/>
  <c r="G862" i="105"/>
  <c r="F862" i="105"/>
  <c r="H861" i="105"/>
  <c r="G861" i="105"/>
  <c r="F861" i="105"/>
  <c r="H860" i="105"/>
  <c r="G860" i="105"/>
  <c r="F860" i="105"/>
  <c r="H859" i="105"/>
  <c r="G859" i="105"/>
  <c r="F859" i="105"/>
  <c r="H858" i="105"/>
  <c r="G858" i="105"/>
  <c r="F858" i="105"/>
  <c r="H857" i="105"/>
  <c r="G857" i="105"/>
  <c r="F857" i="105"/>
  <c r="H856" i="105"/>
  <c r="G856" i="105"/>
  <c r="F856" i="105"/>
  <c r="H855" i="105"/>
  <c r="G855" i="105"/>
  <c r="F855" i="105"/>
  <c r="H854" i="105"/>
  <c r="G854" i="105"/>
  <c r="F854" i="105"/>
  <c r="H853" i="105"/>
  <c r="G853" i="105"/>
  <c r="F853" i="105"/>
  <c r="H852" i="105"/>
  <c r="G852" i="105"/>
  <c r="F852" i="105"/>
  <c r="H851" i="105"/>
  <c r="G851" i="105"/>
  <c r="F851" i="105"/>
  <c r="H850" i="105"/>
  <c r="G850" i="105"/>
  <c r="F850" i="105"/>
  <c r="H849" i="105"/>
  <c r="G849" i="105"/>
  <c r="F849" i="105"/>
  <c r="H848" i="105"/>
  <c r="G848" i="105"/>
  <c r="F848" i="105"/>
  <c r="H847" i="105"/>
  <c r="G847" i="105"/>
  <c r="F847" i="105"/>
  <c r="H846" i="105"/>
  <c r="G846" i="105"/>
  <c r="F846" i="105"/>
  <c r="H845" i="105"/>
  <c r="G845" i="105"/>
  <c r="F845" i="105"/>
  <c r="H844" i="105"/>
  <c r="G844" i="105"/>
  <c r="F844" i="105"/>
  <c r="H843" i="105"/>
  <c r="G843" i="105"/>
  <c r="F843" i="105"/>
  <c r="H842" i="105"/>
  <c r="G842" i="105"/>
  <c r="F842" i="105"/>
  <c r="H841" i="105"/>
  <c r="G841" i="105"/>
  <c r="F841" i="105"/>
  <c r="H840" i="105"/>
  <c r="G840" i="105"/>
  <c r="F840" i="105"/>
  <c r="H839" i="105"/>
  <c r="G839" i="105"/>
  <c r="F839" i="105"/>
  <c r="H838" i="105"/>
  <c r="G838" i="105"/>
  <c r="F838" i="105"/>
  <c r="H837" i="105"/>
  <c r="G837" i="105"/>
  <c r="F837" i="105"/>
  <c r="H836" i="105"/>
  <c r="G836" i="105"/>
  <c r="F836" i="105"/>
  <c r="H835" i="105"/>
  <c r="G835" i="105"/>
  <c r="F835" i="105"/>
  <c r="H834" i="105"/>
  <c r="G834" i="105"/>
  <c r="F834" i="105"/>
  <c r="H833" i="105"/>
  <c r="G833" i="105"/>
  <c r="F833" i="105"/>
  <c r="H832" i="105"/>
  <c r="G832" i="105"/>
  <c r="F832" i="105"/>
  <c r="H831" i="105"/>
  <c r="G831" i="105"/>
  <c r="F831" i="105"/>
  <c r="H830" i="105"/>
  <c r="G830" i="105"/>
  <c r="F830" i="105"/>
  <c r="H829" i="105"/>
  <c r="G829" i="105"/>
  <c r="F829" i="105"/>
  <c r="H828" i="105"/>
  <c r="G828" i="105"/>
  <c r="F828" i="105"/>
  <c r="H827" i="105"/>
  <c r="G827" i="105"/>
  <c r="F827" i="105"/>
  <c r="H826" i="105"/>
  <c r="G826" i="105"/>
  <c r="F826" i="105"/>
  <c r="H825" i="105"/>
  <c r="G825" i="105"/>
  <c r="F825" i="105"/>
  <c r="H824" i="105"/>
  <c r="G824" i="105"/>
  <c r="F824" i="105"/>
  <c r="H823" i="105"/>
  <c r="G823" i="105"/>
  <c r="F823" i="105"/>
  <c r="H822" i="105"/>
  <c r="G822" i="105"/>
  <c r="F822" i="105"/>
  <c r="H821" i="105"/>
  <c r="G821" i="105"/>
  <c r="F821" i="105"/>
  <c r="H820" i="105"/>
  <c r="G820" i="105"/>
  <c r="F820" i="105"/>
  <c r="H819" i="105"/>
  <c r="G819" i="105"/>
  <c r="F819" i="105"/>
  <c r="H818" i="105"/>
  <c r="G818" i="105"/>
  <c r="F818" i="105"/>
  <c r="H817" i="105"/>
  <c r="G817" i="105"/>
  <c r="F817" i="105"/>
  <c r="H816" i="105"/>
  <c r="G816" i="105"/>
  <c r="F816" i="105"/>
  <c r="H815" i="105"/>
  <c r="G815" i="105"/>
  <c r="F815" i="105"/>
  <c r="H814" i="105"/>
  <c r="G814" i="105"/>
  <c r="F814" i="105"/>
  <c r="H813" i="105"/>
  <c r="G813" i="105"/>
  <c r="F813" i="105"/>
  <c r="H812" i="105"/>
  <c r="G812" i="105"/>
  <c r="F812" i="105"/>
  <c r="H811" i="105"/>
  <c r="G811" i="105"/>
  <c r="F811" i="105"/>
  <c r="H810" i="105"/>
  <c r="G810" i="105"/>
  <c r="F810" i="105"/>
  <c r="H809" i="105"/>
  <c r="G809" i="105"/>
  <c r="F809" i="105"/>
  <c r="H808" i="105"/>
  <c r="G808" i="105"/>
  <c r="F808" i="105"/>
  <c r="H807" i="105"/>
  <c r="G807" i="105"/>
  <c r="F807" i="105"/>
  <c r="H806" i="105"/>
  <c r="G806" i="105"/>
  <c r="F806" i="105"/>
  <c r="H805" i="105"/>
  <c r="G805" i="105"/>
  <c r="F805" i="105"/>
  <c r="H804" i="105"/>
  <c r="G804" i="105"/>
  <c r="F804" i="105"/>
  <c r="H803" i="105"/>
  <c r="G803" i="105"/>
  <c r="F803" i="105"/>
  <c r="H802" i="105"/>
  <c r="G802" i="105"/>
  <c r="F802" i="105"/>
  <c r="H801" i="105"/>
  <c r="G801" i="105"/>
  <c r="F801" i="105"/>
  <c r="H800" i="105"/>
  <c r="G800" i="105"/>
  <c r="F800" i="105"/>
  <c r="H799" i="105"/>
  <c r="G799" i="105"/>
  <c r="F799" i="105"/>
  <c r="H798" i="105"/>
  <c r="G798" i="105"/>
  <c r="F798" i="105"/>
  <c r="H797" i="105"/>
  <c r="G797" i="105"/>
  <c r="F797" i="105"/>
  <c r="H796" i="105"/>
  <c r="G796" i="105"/>
  <c r="F796" i="105"/>
  <c r="H795" i="105"/>
  <c r="G795" i="105"/>
  <c r="F795" i="105"/>
  <c r="H794" i="105"/>
  <c r="G794" i="105"/>
  <c r="F794" i="105"/>
  <c r="H793" i="105"/>
  <c r="G793" i="105"/>
  <c r="F793" i="105"/>
  <c r="H792" i="105"/>
  <c r="G792" i="105"/>
  <c r="F792" i="105"/>
  <c r="H791" i="105"/>
  <c r="G791" i="105"/>
  <c r="F791" i="105"/>
  <c r="H790" i="105"/>
  <c r="G790" i="105"/>
  <c r="F790" i="105"/>
  <c r="H789" i="105"/>
  <c r="G789" i="105"/>
  <c r="F789" i="105"/>
  <c r="H788" i="105"/>
  <c r="G788" i="105"/>
  <c r="F788" i="105"/>
  <c r="H787" i="105"/>
  <c r="G787" i="105"/>
  <c r="F787" i="105"/>
  <c r="H786" i="105"/>
  <c r="G786" i="105"/>
  <c r="F786" i="105"/>
  <c r="H785" i="105"/>
  <c r="G785" i="105"/>
  <c r="F785" i="105"/>
  <c r="H784" i="105"/>
  <c r="G784" i="105"/>
  <c r="F784" i="105"/>
  <c r="H783" i="105"/>
  <c r="G783" i="105"/>
  <c r="F783" i="105"/>
  <c r="H782" i="105"/>
  <c r="G782" i="105"/>
  <c r="F782" i="105"/>
  <c r="H781" i="105"/>
  <c r="G781" i="105"/>
  <c r="F781" i="105"/>
  <c r="H780" i="105"/>
  <c r="G780" i="105"/>
  <c r="F780" i="105"/>
  <c r="H779" i="105"/>
  <c r="G779" i="105"/>
  <c r="F779" i="105"/>
  <c r="H778" i="105"/>
  <c r="G778" i="105"/>
  <c r="F778" i="105"/>
  <c r="H777" i="105"/>
  <c r="G777" i="105"/>
  <c r="F777" i="105"/>
  <c r="H776" i="105"/>
  <c r="G776" i="105"/>
  <c r="F776" i="105"/>
  <c r="H775" i="105"/>
  <c r="G775" i="105"/>
  <c r="F775" i="105"/>
  <c r="H774" i="105"/>
  <c r="G774" i="105"/>
  <c r="F774" i="105"/>
  <c r="H773" i="105"/>
  <c r="G773" i="105"/>
  <c r="F773" i="105"/>
  <c r="H772" i="105"/>
  <c r="G772" i="105"/>
  <c r="F772" i="105"/>
  <c r="H771" i="105"/>
  <c r="G771" i="105"/>
  <c r="F771" i="105"/>
  <c r="H770" i="105"/>
  <c r="G770" i="105"/>
  <c r="F770" i="105"/>
  <c r="H769" i="105"/>
  <c r="G769" i="105"/>
  <c r="F769" i="105"/>
  <c r="H768" i="105"/>
  <c r="G768" i="105"/>
  <c r="F768" i="105"/>
  <c r="H767" i="105"/>
  <c r="G767" i="105"/>
  <c r="F767" i="105"/>
  <c r="H766" i="105"/>
  <c r="G766" i="105"/>
  <c r="F766" i="105"/>
  <c r="H765" i="105"/>
  <c r="G765" i="105"/>
  <c r="F765" i="105"/>
  <c r="H764" i="105"/>
  <c r="G764" i="105"/>
  <c r="F764" i="105"/>
  <c r="H763" i="105"/>
  <c r="G763" i="105"/>
  <c r="F763" i="105"/>
  <c r="H762" i="105"/>
  <c r="G762" i="105"/>
  <c r="F762" i="105"/>
  <c r="H761" i="105"/>
  <c r="G761" i="105"/>
  <c r="F761" i="105"/>
  <c r="H760" i="105"/>
  <c r="G760" i="105"/>
  <c r="F760" i="105"/>
  <c r="H759" i="105"/>
  <c r="G759" i="105"/>
  <c r="F759" i="105"/>
  <c r="H758" i="105"/>
  <c r="G758" i="105"/>
  <c r="F758" i="105"/>
  <c r="H757" i="105"/>
  <c r="G757" i="105"/>
  <c r="F757" i="105"/>
  <c r="H756" i="105"/>
  <c r="G756" i="105"/>
  <c r="F756" i="105"/>
  <c r="H755" i="105"/>
  <c r="G755" i="105"/>
  <c r="F755" i="105"/>
  <c r="H754" i="105"/>
  <c r="G754" i="105"/>
  <c r="F754" i="105"/>
  <c r="H753" i="105"/>
  <c r="G753" i="105"/>
  <c r="F753" i="105"/>
  <c r="H752" i="105"/>
  <c r="G752" i="105"/>
  <c r="F752" i="105"/>
  <c r="H751" i="105"/>
  <c r="G751" i="105"/>
  <c r="F751" i="105"/>
  <c r="H750" i="105"/>
  <c r="G750" i="105"/>
  <c r="F750" i="105"/>
  <c r="H749" i="105"/>
  <c r="G749" i="105"/>
  <c r="F749" i="105"/>
  <c r="H748" i="105"/>
  <c r="G748" i="105"/>
  <c r="F748" i="105"/>
  <c r="H747" i="105"/>
  <c r="G747" i="105"/>
  <c r="F747" i="105"/>
  <c r="H746" i="105"/>
  <c r="G746" i="105"/>
  <c r="F746" i="105"/>
  <c r="H745" i="105"/>
  <c r="G745" i="105"/>
  <c r="F745" i="105"/>
  <c r="H744" i="105"/>
  <c r="G744" i="105"/>
  <c r="F744" i="105"/>
  <c r="H743" i="105"/>
  <c r="G743" i="105"/>
  <c r="F743" i="105"/>
  <c r="H742" i="105"/>
  <c r="G742" i="105"/>
  <c r="F742" i="105"/>
  <c r="H741" i="105"/>
  <c r="G741" i="105"/>
  <c r="F741" i="105"/>
  <c r="H740" i="105"/>
  <c r="G740" i="105"/>
  <c r="F740" i="105"/>
  <c r="H739" i="105"/>
  <c r="G739" i="105"/>
  <c r="F739" i="105"/>
  <c r="H738" i="105"/>
  <c r="G738" i="105"/>
  <c r="F738" i="105"/>
  <c r="H737" i="105"/>
  <c r="G737" i="105"/>
  <c r="F737" i="105"/>
  <c r="H736" i="105"/>
  <c r="G736" i="105"/>
  <c r="F736" i="105"/>
  <c r="H735" i="105"/>
  <c r="G735" i="105"/>
  <c r="F735" i="105"/>
  <c r="H734" i="105"/>
  <c r="G734" i="105"/>
  <c r="F734" i="105"/>
  <c r="H733" i="105"/>
  <c r="G733" i="105"/>
  <c r="F733" i="105"/>
  <c r="H732" i="105"/>
  <c r="G732" i="105"/>
  <c r="F732" i="105"/>
  <c r="H731" i="105"/>
  <c r="G731" i="105"/>
  <c r="F731" i="105"/>
  <c r="H730" i="105"/>
  <c r="G730" i="105"/>
  <c r="F730" i="105"/>
  <c r="H729" i="105"/>
  <c r="G729" i="105"/>
  <c r="F729" i="105"/>
  <c r="H728" i="105"/>
  <c r="G728" i="105"/>
  <c r="F728" i="105"/>
  <c r="H727" i="105"/>
  <c r="G727" i="105"/>
  <c r="F727" i="105"/>
  <c r="H726" i="105"/>
  <c r="G726" i="105"/>
  <c r="F726" i="105"/>
  <c r="H725" i="105"/>
  <c r="G725" i="105"/>
  <c r="F725" i="105"/>
  <c r="H724" i="105"/>
  <c r="G724" i="105"/>
  <c r="F724" i="105"/>
  <c r="H723" i="105"/>
  <c r="G723" i="105"/>
  <c r="F723" i="105"/>
  <c r="H722" i="105"/>
  <c r="G722" i="105"/>
  <c r="F722" i="105"/>
  <c r="H721" i="105"/>
  <c r="G721" i="105"/>
  <c r="F721" i="105"/>
  <c r="H720" i="105"/>
  <c r="G720" i="105"/>
  <c r="F720" i="105"/>
  <c r="H719" i="105"/>
  <c r="G719" i="105"/>
  <c r="F719" i="105"/>
  <c r="H718" i="105"/>
  <c r="G718" i="105"/>
  <c r="F718" i="105"/>
  <c r="H717" i="105"/>
  <c r="G717" i="105"/>
  <c r="F717" i="105"/>
  <c r="H716" i="105"/>
  <c r="G716" i="105"/>
  <c r="F716" i="105"/>
  <c r="H715" i="105"/>
  <c r="G715" i="105"/>
  <c r="F715" i="105"/>
  <c r="H714" i="105"/>
  <c r="G714" i="105"/>
  <c r="F714" i="105"/>
  <c r="H713" i="105"/>
  <c r="G713" i="105"/>
  <c r="F713" i="105"/>
  <c r="H712" i="105"/>
  <c r="G712" i="105"/>
  <c r="F712" i="105"/>
  <c r="H711" i="105"/>
  <c r="G711" i="105"/>
  <c r="F711" i="105"/>
  <c r="H710" i="105"/>
  <c r="G710" i="105"/>
  <c r="F710" i="105"/>
  <c r="H709" i="105"/>
  <c r="G709" i="105"/>
  <c r="F709" i="105"/>
  <c r="H708" i="105"/>
  <c r="G708" i="105"/>
  <c r="F708" i="105"/>
  <c r="H707" i="105"/>
  <c r="G707" i="105"/>
  <c r="F707" i="105"/>
  <c r="H706" i="105"/>
  <c r="G706" i="105"/>
  <c r="F706" i="105"/>
  <c r="H705" i="105"/>
  <c r="G705" i="105"/>
  <c r="F705" i="105"/>
  <c r="H704" i="105"/>
  <c r="G704" i="105"/>
  <c r="F704" i="105"/>
  <c r="H703" i="105"/>
  <c r="G703" i="105"/>
  <c r="F703" i="105"/>
  <c r="H702" i="105"/>
  <c r="G702" i="105"/>
  <c r="F702" i="105"/>
  <c r="H701" i="105"/>
  <c r="G701" i="105"/>
  <c r="F701" i="105"/>
  <c r="H700" i="105"/>
  <c r="G700" i="105"/>
  <c r="F700" i="105"/>
  <c r="H699" i="105"/>
  <c r="G699" i="105"/>
  <c r="F699" i="105"/>
  <c r="H698" i="105"/>
  <c r="G698" i="105"/>
  <c r="F698" i="105"/>
  <c r="H697" i="105"/>
  <c r="G697" i="105"/>
  <c r="F697" i="105"/>
  <c r="H696" i="105"/>
  <c r="G696" i="105"/>
  <c r="F696" i="105"/>
  <c r="H695" i="105"/>
  <c r="G695" i="105"/>
  <c r="F695" i="105"/>
  <c r="H694" i="105"/>
  <c r="G694" i="105"/>
  <c r="F694" i="105"/>
  <c r="H693" i="105"/>
  <c r="G693" i="105"/>
  <c r="F693" i="105"/>
  <c r="H692" i="105"/>
  <c r="G692" i="105"/>
  <c r="F692" i="105"/>
  <c r="H691" i="105"/>
  <c r="G691" i="105"/>
  <c r="F691" i="105"/>
  <c r="H690" i="105"/>
  <c r="G690" i="105"/>
  <c r="F690" i="105"/>
  <c r="H689" i="105"/>
  <c r="G689" i="105"/>
  <c r="F689" i="105"/>
  <c r="H688" i="105"/>
  <c r="G688" i="105"/>
  <c r="F688" i="105"/>
  <c r="H687" i="105"/>
  <c r="G687" i="105"/>
  <c r="F687" i="105"/>
  <c r="H686" i="105"/>
  <c r="G686" i="105"/>
  <c r="F686" i="105"/>
  <c r="H685" i="105"/>
  <c r="G685" i="105"/>
  <c r="F685" i="105"/>
  <c r="H684" i="105"/>
  <c r="G684" i="105"/>
  <c r="F684" i="105"/>
  <c r="H683" i="105"/>
  <c r="G683" i="105"/>
  <c r="F683" i="105"/>
  <c r="H682" i="105"/>
  <c r="G682" i="105"/>
  <c r="F682" i="105"/>
  <c r="H681" i="105"/>
  <c r="G681" i="105"/>
  <c r="F681" i="105"/>
  <c r="H680" i="105"/>
  <c r="G680" i="105"/>
  <c r="F680" i="105"/>
  <c r="H679" i="105"/>
  <c r="G679" i="105"/>
  <c r="F679" i="105"/>
  <c r="H678" i="105"/>
  <c r="G678" i="105"/>
  <c r="F678" i="105"/>
  <c r="H677" i="105"/>
  <c r="G677" i="105"/>
  <c r="F677" i="105"/>
  <c r="H676" i="105"/>
  <c r="G676" i="105"/>
  <c r="F676" i="105"/>
  <c r="H675" i="105"/>
  <c r="G675" i="105"/>
  <c r="F675" i="105"/>
  <c r="H674" i="105"/>
  <c r="G674" i="105"/>
  <c r="F674" i="105"/>
  <c r="H673" i="105"/>
  <c r="G673" i="105"/>
  <c r="F673" i="105"/>
  <c r="H672" i="105"/>
  <c r="G672" i="105"/>
  <c r="F672" i="105"/>
  <c r="H671" i="105"/>
  <c r="G671" i="105"/>
  <c r="F671" i="105"/>
  <c r="H670" i="105"/>
  <c r="G670" i="105"/>
  <c r="F670" i="105"/>
  <c r="H669" i="105"/>
  <c r="G669" i="105"/>
  <c r="F669" i="105"/>
  <c r="H668" i="105"/>
  <c r="G668" i="105"/>
  <c r="F668" i="105"/>
  <c r="H667" i="105"/>
  <c r="G667" i="105"/>
  <c r="F667" i="105"/>
  <c r="H666" i="105"/>
  <c r="G666" i="105"/>
  <c r="F666" i="105"/>
  <c r="H665" i="105"/>
  <c r="G665" i="105"/>
  <c r="F665" i="105"/>
  <c r="H664" i="105"/>
  <c r="G664" i="105"/>
  <c r="F664" i="105"/>
  <c r="H663" i="105"/>
  <c r="G663" i="105"/>
  <c r="F663" i="105"/>
  <c r="H662" i="105"/>
  <c r="G662" i="105"/>
  <c r="F662" i="105"/>
  <c r="H661" i="105"/>
  <c r="G661" i="105"/>
  <c r="F661" i="105"/>
  <c r="H660" i="105"/>
  <c r="G660" i="105"/>
  <c r="F660" i="105"/>
  <c r="H659" i="105"/>
  <c r="G659" i="105"/>
  <c r="F659" i="105"/>
  <c r="H658" i="105"/>
  <c r="G658" i="105"/>
  <c r="F658" i="105"/>
  <c r="H657" i="105"/>
  <c r="G657" i="105"/>
  <c r="F657" i="105"/>
  <c r="H656" i="105"/>
  <c r="G656" i="105"/>
  <c r="F656" i="105"/>
  <c r="H655" i="105"/>
  <c r="G655" i="105"/>
  <c r="F655" i="105"/>
  <c r="H654" i="105"/>
  <c r="G654" i="105"/>
  <c r="F654" i="105"/>
  <c r="H653" i="105"/>
  <c r="G653" i="105"/>
  <c r="F653" i="105"/>
  <c r="H652" i="105"/>
  <c r="G652" i="105"/>
  <c r="F652" i="105"/>
  <c r="H651" i="105"/>
  <c r="G651" i="105"/>
  <c r="F651" i="105"/>
  <c r="H650" i="105"/>
  <c r="G650" i="105"/>
  <c r="F650" i="105"/>
  <c r="H649" i="105"/>
  <c r="G649" i="105"/>
  <c r="F649" i="105"/>
  <c r="H648" i="105"/>
  <c r="G648" i="105"/>
  <c r="F648" i="105"/>
  <c r="H647" i="105"/>
  <c r="G647" i="105"/>
  <c r="F647" i="105"/>
  <c r="H646" i="105"/>
  <c r="G646" i="105"/>
  <c r="F646" i="105"/>
  <c r="H645" i="105"/>
  <c r="G645" i="105"/>
  <c r="F645" i="105"/>
  <c r="H644" i="105"/>
  <c r="G644" i="105"/>
  <c r="F644" i="105"/>
  <c r="H643" i="105"/>
  <c r="G643" i="105"/>
  <c r="F643" i="105"/>
  <c r="H642" i="105"/>
  <c r="G642" i="105"/>
  <c r="F642" i="105"/>
  <c r="H641" i="105"/>
  <c r="G641" i="105"/>
  <c r="F641" i="105"/>
  <c r="H640" i="105"/>
  <c r="G640" i="105"/>
  <c r="F640" i="105"/>
  <c r="H639" i="105"/>
  <c r="G639" i="105"/>
  <c r="F639" i="105"/>
  <c r="H638" i="105"/>
  <c r="G638" i="105"/>
  <c r="F638" i="105"/>
  <c r="H637" i="105"/>
  <c r="G637" i="105"/>
  <c r="F637" i="105"/>
  <c r="H636" i="105"/>
  <c r="G636" i="105"/>
  <c r="F636" i="105"/>
  <c r="H635" i="105"/>
  <c r="G635" i="105"/>
  <c r="F635" i="105"/>
  <c r="H634" i="105"/>
  <c r="G634" i="105"/>
  <c r="F634" i="105"/>
  <c r="H633" i="105"/>
  <c r="G633" i="105"/>
  <c r="F633" i="105"/>
  <c r="H632" i="105"/>
  <c r="G632" i="105"/>
  <c r="F632" i="105"/>
  <c r="H631" i="105"/>
  <c r="G631" i="105"/>
  <c r="F631" i="105"/>
  <c r="H630" i="105"/>
  <c r="G630" i="105"/>
  <c r="F630" i="105"/>
  <c r="H629" i="105"/>
  <c r="G629" i="105"/>
  <c r="F629" i="105"/>
  <c r="H628" i="105"/>
  <c r="G628" i="105"/>
  <c r="F628" i="105"/>
  <c r="H627" i="105"/>
  <c r="G627" i="105"/>
  <c r="F627" i="105"/>
  <c r="H626" i="105"/>
  <c r="G626" i="105"/>
  <c r="F626" i="105"/>
  <c r="H625" i="105"/>
  <c r="G625" i="105"/>
  <c r="F625" i="105"/>
  <c r="H624" i="105"/>
  <c r="G624" i="105"/>
  <c r="F624" i="105"/>
  <c r="H623" i="105"/>
  <c r="G623" i="105"/>
  <c r="F623" i="105"/>
  <c r="H622" i="105"/>
  <c r="G622" i="105"/>
  <c r="F622" i="105"/>
  <c r="H621" i="105"/>
  <c r="G621" i="105"/>
  <c r="F621" i="105"/>
  <c r="H620" i="105"/>
  <c r="G620" i="105"/>
  <c r="F620" i="105"/>
  <c r="H619" i="105"/>
  <c r="G619" i="105"/>
  <c r="F619" i="105"/>
  <c r="H618" i="105"/>
  <c r="G618" i="105"/>
  <c r="F618" i="105"/>
  <c r="H617" i="105"/>
  <c r="G617" i="105"/>
  <c r="F617" i="105"/>
  <c r="H616" i="105"/>
  <c r="G616" i="105"/>
  <c r="F616" i="105"/>
  <c r="H615" i="105"/>
  <c r="G615" i="105"/>
  <c r="F615" i="105"/>
  <c r="H614" i="105"/>
  <c r="G614" i="105"/>
  <c r="F614" i="105"/>
  <c r="H613" i="105"/>
  <c r="G613" i="105"/>
  <c r="F613" i="105"/>
  <c r="H612" i="105"/>
  <c r="G612" i="105"/>
  <c r="F612" i="105"/>
  <c r="H611" i="105"/>
  <c r="G611" i="105"/>
  <c r="F611" i="105"/>
  <c r="H610" i="105"/>
  <c r="G610" i="105"/>
  <c r="F610" i="105"/>
  <c r="H609" i="105"/>
  <c r="G609" i="105"/>
  <c r="F609" i="105"/>
  <c r="H608" i="105"/>
  <c r="G608" i="105"/>
  <c r="F608" i="105"/>
  <c r="H607" i="105"/>
  <c r="G607" i="105"/>
  <c r="F607" i="105"/>
  <c r="H606" i="105"/>
  <c r="G606" i="105"/>
  <c r="F606" i="105"/>
  <c r="H605" i="105"/>
  <c r="G605" i="105"/>
  <c r="F605" i="105"/>
  <c r="H604" i="105"/>
  <c r="G604" i="105"/>
  <c r="F604" i="105"/>
  <c r="H603" i="105"/>
  <c r="G603" i="105"/>
  <c r="F603" i="105"/>
  <c r="H602" i="105"/>
  <c r="G602" i="105"/>
  <c r="F602" i="105"/>
  <c r="H601" i="105"/>
  <c r="G601" i="105"/>
  <c r="F601" i="105"/>
  <c r="H600" i="105"/>
  <c r="G600" i="105"/>
  <c r="F600" i="105"/>
  <c r="H599" i="105"/>
  <c r="G599" i="105"/>
  <c r="F599" i="105"/>
  <c r="H598" i="105"/>
  <c r="G598" i="105"/>
  <c r="F598" i="105"/>
  <c r="H597" i="105"/>
  <c r="G597" i="105"/>
  <c r="F597" i="105"/>
  <c r="H596" i="105"/>
  <c r="G596" i="105"/>
  <c r="F596" i="105"/>
  <c r="H595" i="105"/>
  <c r="G595" i="105"/>
  <c r="F595" i="105"/>
  <c r="H594" i="105"/>
  <c r="G594" i="105"/>
  <c r="F594" i="105"/>
  <c r="H593" i="105"/>
  <c r="G593" i="105"/>
  <c r="F593" i="105"/>
  <c r="H592" i="105"/>
  <c r="G592" i="105"/>
  <c r="F592" i="105"/>
  <c r="H591" i="105"/>
  <c r="G591" i="105"/>
  <c r="F591" i="105"/>
  <c r="H590" i="105"/>
  <c r="G590" i="105"/>
  <c r="F590" i="105"/>
  <c r="H589" i="105"/>
  <c r="G589" i="105"/>
  <c r="F589" i="105"/>
  <c r="H588" i="105"/>
  <c r="G588" i="105"/>
  <c r="F588" i="105"/>
  <c r="H587" i="105"/>
  <c r="G587" i="105"/>
  <c r="F587" i="105"/>
  <c r="H586" i="105"/>
  <c r="G586" i="105"/>
  <c r="F586" i="105"/>
  <c r="H585" i="105"/>
  <c r="G585" i="105"/>
  <c r="F585" i="105"/>
  <c r="H584" i="105"/>
  <c r="G584" i="105"/>
  <c r="F584" i="105"/>
  <c r="H583" i="105"/>
  <c r="G583" i="105"/>
  <c r="F583" i="105"/>
  <c r="H582" i="105"/>
  <c r="G582" i="105"/>
  <c r="F582" i="105"/>
  <c r="H581" i="105"/>
  <c r="G581" i="105"/>
  <c r="F581" i="105"/>
  <c r="H580" i="105"/>
  <c r="G580" i="105"/>
  <c r="F580" i="105"/>
  <c r="H579" i="105"/>
  <c r="G579" i="105"/>
  <c r="F579" i="105"/>
  <c r="H578" i="105"/>
  <c r="G578" i="105"/>
  <c r="F578" i="105"/>
  <c r="H577" i="105"/>
  <c r="G577" i="105"/>
  <c r="F577" i="105"/>
  <c r="H576" i="105"/>
  <c r="G576" i="105"/>
  <c r="F576" i="105"/>
  <c r="H575" i="105"/>
  <c r="G575" i="105"/>
  <c r="F575" i="105"/>
  <c r="H574" i="105"/>
  <c r="G574" i="105"/>
  <c r="F574" i="105"/>
  <c r="H573" i="105"/>
  <c r="G573" i="105"/>
  <c r="F573" i="105"/>
  <c r="H572" i="105"/>
  <c r="G572" i="105"/>
  <c r="F572" i="105"/>
  <c r="H571" i="105"/>
  <c r="G571" i="105"/>
  <c r="F571" i="105"/>
  <c r="H570" i="105"/>
  <c r="G570" i="105"/>
  <c r="F570" i="105"/>
  <c r="H569" i="105"/>
  <c r="G569" i="105"/>
  <c r="F569" i="105"/>
  <c r="H568" i="105"/>
  <c r="G568" i="105"/>
  <c r="F568" i="105"/>
  <c r="H567" i="105"/>
  <c r="G567" i="105"/>
  <c r="F567" i="105"/>
  <c r="H566" i="105"/>
  <c r="G566" i="105"/>
  <c r="F566" i="105"/>
  <c r="H565" i="105"/>
  <c r="G565" i="105"/>
  <c r="F565" i="105"/>
  <c r="H564" i="105"/>
  <c r="G564" i="105"/>
  <c r="F564" i="105"/>
  <c r="H563" i="105"/>
  <c r="G563" i="105"/>
  <c r="F563" i="105"/>
  <c r="H562" i="105"/>
  <c r="G562" i="105"/>
  <c r="F562" i="105"/>
  <c r="H561" i="105"/>
  <c r="G561" i="105"/>
  <c r="F561" i="105"/>
  <c r="H560" i="105"/>
  <c r="G560" i="105"/>
  <c r="F560" i="105"/>
  <c r="H559" i="105"/>
  <c r="G559" i="105"/>
  <c r="F559" i="105"/>
  <c r="H558" i="105"/>
  <c r="G558" i="105"/>
  <c r="F558" i="105"/>
  <c r="H557" i="105"/>
  <c r="G557" i="105"/>
  <c r="F557" i="105"/>
  <c r="H556" i="105"/>
  <c r="G556" i="105"/>
  <c r="F556" i="105"/>
  <c r="H555" i="105"/>
  <c r="G555" i="105"/>
  <c r="F555" i="105"/>
  <c r="H554" i="105"/>
  <c r="G554" i="105"/>
  <c r="F554" i="105"/>
  <c r="H553" i="105"/>
  <c r="G553" i="105"/>
  <c r="F553" i="105"/>
  <c r="H552" i="105"/>
  <c r="G552" i="105"/>
  <c r="F552" i="105"/>
  <c r="H551" i="105"/>
  <c r="G551" i="105"/>
  <c r="F551" i="105"/>
  <c r="H550" i="105"/>
  <c r="G550" i="105"/>
  <c r="F550" i="105"/>
  <c r="H549" i="105"/>
  <c r="G549" i="105"/>
  <c r="F549" i="105"/>
  <c r="H548" i="105"/>
  <c r="G548" i="105"/>
  <c r="F548" i="105"/>
  <c r="H547" i="105"/>
  <c r="G547" i="105"/>
  <c r="F547" i="105"/>
  <c r="H546" i="105"/>
  <c r="G546" i="105"/>
  <c r="F546" i="105"/>
  <c r="H545" i="105"/>
  <c r="G545" i="105"/>
  <c r="F545" i="105"/>
  <c r="H544" i="105"/>
  <c r="G544" i="105"/>
  <c r="F544" i="105"/>
  <c r="H543" i="105"/>
  <c r="G543" i="105"/>
  <c r="F543" i="105"/>
  <c r="H542" i="105"/>
  <c r="G542" i="105"/>
  <c r="F542" i="105"/>
  <c r="H541" i="105"/>
  <c r="G541" i="105"/>
  <c r="F541" i="105"/>
  <c r="H540" i="105"/>
  <c r="G540" i="105"/>
  <c r="F540" i="105"/>
  <c r="H539" i="105"/>
  <c r="G539" i="105"/>
  <c r="F539" i="105"/>
  <c r="H538" i="105"/>
  <c r="G538" i="105"/>
  <c r="F538" i="105"/>
  <c r="H537" i="105"/>
  <c r="G537" i="105"/>
  <c r="F537" i="105"/>
  <c r="H536" i="105"/>
  <c r="G536" i="105"/>
  <c r="F536" i="105"/>
  <c r="H535" i="105"/>
  <c r="G535" i="105"/>
  <c r="F535" i="105"/>
  <c r="H534" i="105"/>
  <c r="G534" i="105"/>
  <c r="F534" i="105"/>
  <c r="H533" i="105"/>
  <c r="G533" i="105"/>
  <c r="F533" i="105"/>
  <c r="H532" i="105"/>
  <c r="G532" i="105"/>
  <c r="F532" i="105"/>
  <c r="H531" i="105"/>
  <c r="G531" i="105"/>
  <c r="F531" i="105"/>
  <c r="H530" i="105"/>
  <c r="G530" i="105"/>
  <c r="F530" i="105"/>
  <c r="H529" i="105"/>
  <c r="G529" i="105"/>
  <c r="F529" i="105"/>
  <c r="H528" i="105"/>
  <c r="G528" i="105"/>
  <c r="F528" i="105"/>
  <c r="H527" i="105"/>
  <c r="G527" i="105"/>
  <c r="F527" i="105"/>
  <c r="H526" i="105"/>
  <c r="G526" i="105"/>
  <c r="F526" i="105"/>
  <c r="H525" i="105"/>
  <c r="G525" i="105"/>
  <c r="F525" i="105"/>
  <c r="H524" i="105"/>
  <c r="G524" i="105"/>
  <c r="F524" i="105"/>
  <c r="H523" i="105"/>
  <c r="G523" i="105"/>
  <c r="F523" i="105"/>
  <c r="H522" i="105"/>
  <c r="G522" i="105"/>
  <c r="F522" i="105"/>
  <c r="H521" i="105"/>
  <c r="G521" i="105"/>
  <c r="F521" i="105"/>
  <c r="H520" i="105"/>
  <c r="G520" i="105"/>
  <c r="F520" i="105"/>
  <c r="H519" i="105"/>
  <c r="G519" i="105"/>
  <c r="F519" i="105"/>
  <c r="H518" i="105"/>
  <c r="G518" i="105"/>
  <c r="F518" i="105"/>
  <c r="H517" i="105"/>
  <c r="G517" i="105"/>
  <c r="F517" i="105"/>
  <c r="H516" i="105"/>
  <c r="G516" i="105"/>
  <c r="F516" i="105"/>
  <c r="H515" i="105"/>
  <c r="G515" i="105"/>
  <c r="F515" i="105"/>
  <c r="H514" i="105"/>
  <c r="G514" i="105"/>
  <c r="F514" i="105"/>
  <c r="H513" i="105"/>
  <c r="G513" i="105"/>
  <c r="F513" i="105"/>
  <c r="H512" i="105"/>
  <c r="G512" i="105"/>
  <c r="F512" i="105"/>
  <c r="H511" i="105"/>
  <c r="G511" i="105"/>
  <c r="F511" i="105"/>
  <c r="H510" i="105"/>
  <c r="G510" i="105"/>
  <c r="F510" i="105"/>
  <c r="H509" i="105"/>
  <c r="G509" i="105"/>
  <c r="F509" i="105"/>
  <c r="H508" i="105"/>
  <c r="G508" i="105"/>
  <c r="F508" i="105"/>
  <c r="H507" i="105"/>
  <c r="G507" i="105"/>
  <c r="F507" i="105"/>
  <c r="H506" i="105"/>
  <c r="G506" i="105"/>
  <c r="F506" i="105"/>
  <c r="H505" i="105"/>
  <c r="G505" i="105"/>
  <c r="F505" i="105"/>
  <c r="H504" i="105"/>
  <c r="G504" i="105"/>
  <c r="F504" i="105"/>
  <c r="H503" i="105"/>
  <c r="G503" i="105"/>
  <c r="F503" i="105"/>
  <c r="H502" i="105"/>
  <c r="G502" i="105"/>
  <c r="F502" i="105"/>
  <c r="H501" i="105"/>
  <c r="G501" i="105"/>
  <c r="F501" i="105"/>
  <c r="H500" i="105"/>
  <c r="G500" i="105"/>
  <c r="F500" i="105"/>
  <c r="H499" i="105"/>
  <c r="G499" i="105"/>
  <c r="F499" i="105"/>
  <c r="H498" i="105"/>
  <c r="G498" i="105"/>
  <c r="F498" i="105"/>
  <c r="H497" i="105"/>
  <c r="G497" i="105"/>
  <c r="F497" i="105"/>
  <c r="H496" i="105"/>
  <c r="G496" i="105"/>
  <c r="F496" i="105"/>
  <c r="H495" i="105"/>
  <c r="G495" i="105"/>
  <c r="F495" i="105"/>
  <c r="H494" i="105"/>
  <c r="G494" i="105"/>
  <c r="F494" i="105"/>
  <c r="H493" i="105"/>
  <c r="G493" i="105"/>
  <c r="F493" i="105"/>
  <c r="H492" i="105"/>
  <c r="G492" i="105"/>
  <c r="F492" i="105"/>
  <c r="H491" i="105"/>
  <c r="G491" i="105"/>
  <c r="F491" i="105"/>
  <c r="H490" i="105"/>
  <c r="G490" i="105"/>
  <c r="F490" i="105"/>
  <c r="H489" i="105"/>
  <c r="G489" i="105"/>
  <c r="F489" i="105"/>
  <c r="H488" i="105"/>
  <c r="G488" i="105"/>
  <c r="F488" i="105"/>
  <c r="H487" i="105"/>
  <c r="G487" i="105"/>
  <c r="F487" i="105"/>
  <c r="H486" i="105"/>
  <c r="G486" i="105"/>
  <c r="F486" i="105"/>
  <c r="H485" i="105"/>
  <c r="G485" i="105"/>
  <c r="F485" i="105"/>
  <c r="H484" i="105"/>
  <c r="G484" i="105"/>
  <c r="F484" i="105"/>
  <c r="H483" i="105"/>
  <c r="G483" i="105"/>
  <c r="F483" i="105"/>
  <c r="H482" i="105"/>
  <c r="G482" i="105"/>
  <c r="F482" i="105"/>
  <c r="H481" i="105"/>
  <c r="G481" i="105"/>
  <c r="F481" i="105"/>
  <c r="H480" i="105"/>
  <c r="G480" i="105"/>
  <c r="F480" i="105"/>
  <c r="H479" i="105"/>
  <c r="G479" i="105"/>
  <c r="F479" i="105"/>
  <c r="H478" i="105"/>
  <c r="G478" i="105"/>
  <c r="F478" i="105"/>
  <c r="H477" i="105"/>
  <c r="G477" i="105"/>
  <c r="F477" i="105"/>
  <c r="H476" i="105"/>
  <c r="G476" i="105"/>
  <c r="F476" i="105"/>
  <c r="H475" i="105"/>
  <c r="G475" i="105"/>
  <c r="F475" i="105"/>
  <c r="H474" i="105"/>
  <c r="G474" i="105"/>
  <c r="F474" i="105"/>
  <c r="H473" i="105"/>
  <c r="G473" i="105"/>
  <c r="F473" i="105"/>
  <c r="H472" i="105"/>
  <c r="G472" i="105"/>
  <c r="F472" i="105"/>
  <c r="H471" i="105"/>
  <c r="G471" i="105"/>
  <c r="F471" i="105"/>
  <c r="H470" i="105"/>
  <c r="G470" i="105"/>
  <c r="F470" i="105"/>
  <c r="H469" i="105"/>
  <c r="G469" i="105"/>
  <c r="F469" i="105"/>
  <c r="H468" i="105"/>
  <c r="G468" i="105"/>
  <c r="F468" i="105"/>
  <c r="H467" i="105"/>
  <c r="G467" i="105"/>
  <c r="F467" i="105"/>
  <c r="H466" i="105"/>
  <c r="G466" i="105"/>
  <c r="F466" i="105"/>
  <c r="H465" i="105"/>
  <c r="G465" i="105"/>
  <c r="F465" i="105"/>
  <c r="H464" i="105"/>
  <c r="G464" i="105"/>
  <c r="F464" i="105"/>
  <c r="H463" i="105"/>
  <c r="G463" i="105"/>
  <c r="F463" i="105"/>
  <c r="H462" i="105"/>
  <c r="G462" i="105"/>
  <c r="F462" i="105"/>
  <c r="H461" i="105"/>
  <c r="G461" i="105"/>
  <c r="F461" i="105"/>
  <c r="H460" i="105"/>
  <c r="G460" i="105"/>
  <c r="F460" i="105"/>
  <c r="H459" i="105"/>
  <c r="G459" i="105"/>
  <c r="F459" i="105"/>
  <c r="H458" i="105"/>
  <c r="G458" i="105"/>
  <c r="F458" i="105"/>
  <c r="H457" i="105"/>
  <c r="G457" i="105"/>
  <c r="F457" i="105"/>
  <c r="H456" i="105"/>
  <c r="G456" i="105"/>
  <c r="F456" i="105"/>
  <c r="H455" i="105"/>
  <c r="G455" i="105"/>
  <c r="F455" i="105"/>
  <c r="H454" i="105"/>
  <c r="G454" i="105"/>
  <c r="F454" i="105"/>
  <c r="H453" i="105"/>
  <c r="G453" i="105"/>
  <c r="F453" i="105"/>
  <c r="H452" i="105"/>
  <c r="G452" i="105"/>
  <c r="F452" i="105"/>
  <c r="H451" i="105"/>
  <c r="G451" i="105"/>
  <c r="F451" i="105"/>
  <c r="H450" i="105"/>
  <c r="G450" i="105"/>
  <c r="F450" i="105"/>
  <c r="H449" i="105"/>
  <c r="G449" i="105"/>
  <c r="F449" i="105"/>
  <c r="H448" i="105"/>
  <c r="G448" i="105"/>
  <c r="F448" i="105"/>
  <c r="H447" i="105"/>
  <c r="G447" i="105"/>
  <c r="F447" i="105"/>
  <c r="H446" i="105"/>
  <c r="G446" i="105"/>
  <c r="F446" i="105"/>
  <c r="H445" i="105"/>
  <c r="G445" i="105"/>
  <c r="F445" i="105"/>
  <c r="H444" i="105"/>
  <c r="G444" i="105"/>
  <c r="F444" i="105"/>
  <c r="H443" i="105"/>
  <c r="G443" i="105"/>
  <c r="F443" i="105"/>
  <c r="H442" i="105"/>
  <c r="G442" i="105"/>
  <c r="F442" i="105"/>
  <c r="H441" i="105"/>
  <c r="G441" i="105"/>
  <c r="F441" i="105"/>
  <c r="H440" i="105"/>
  <c r="G440" i="105"/>
  <c r="F440" i="105"/>
  <c r="H439" i="105"/>
  <c r="G439" i="105"/>
  <c r="F439" i="105"/>
  <c r="H438" i="105"/>
  <c r="G438" i="105"/>
  <c r="F438" i="105"/>
  <c r="H437" i="105"/>
  <c r="G437" i="105"/>
  <c r="F437" i="105"/>
  <c r="H436" i="105"/>
  <c r="G436" i="105"/>
  <c r="F436" i="105"/>
  <c r="H435" i="105"/>
  <c r="G435" i="105"/>
  <c r="F435" i="105"/>
  <c r="H434" i="105"/>
  <c r="G434" i="105"/>
  <c r="F434" i="105"/>
  <c r="H433" i="105"/>
  <c r="G433" i="105"/>
  <c r="F433" i="105"/>
  <c r="H432" i="105"/>
  <c r="G432" i="105"/>
  <c r="F432" i="105"/>
  <c r="H431" i="105"/>
  <c r="G431" i="105"/>
  <c r="F431" i="105"/>
  <c r="H430" i="105"/>
  <c r="G430" i="105"/>
  <c r="F430" i="105"/>
  <c r="H429" i="105"/>
  <c r="G429" i="105"/>
  <c r="F429" i="105"/>
  <c r="H428" i="105"/>
  <c r="G428" i="105"/>
  <c r="F428" i="105"/>
  <c r="H427" i="105"/>
  <c r="G427" i="105"/>
  <c r="F427" i="105"/>
  <c r="H426" i="105"/>
  <c r="G426" i="105"/>
  <c r="F426" i="105"/>
  <c r="H425" i="105"/>
  <c r="G425" i="105"/>
  <c r="F425" i="105"/>
  <c r="H424" i="105"/>
  <c r="G424" i="105"/>
  <c r="F424" i="105"/>
  <c r="H423" i="105"/>
  <c r="G423" i="105"/>
  <c r="F423" i="105"/>
  <c r="H422" i="105"/>
  <c r="G422" i="105"/>
  <c r="F422" i="105"/>
  <c r="H421" i="105"/>
  <c r="G421" i="105"/>
  <c r="F421" i="105"/>
  <c r="H420" i="105"/>
  <c r="G420" i="105"/>
  <c r="F420" i="105"/>
  <c r="H419" i="105"/>
  <c r="G419" i="105"/>
  <c r="F419" i="105"/>
  <c r="H418" i="105"/>
  <c r="G418" i="105"/>
  <c r="F418" i="105"/>
  <c r="H417" i="105"/>
  <c r="G417" i="105"/>
  <c r="F417" i="105"/>
  <c r="H416" i="105"/>
  <c r="G416" i="105"/>
  <c r="F416" i="105"/>
  <c r="H415" i="105"/>
  <c r="G415" i="105"/>
  <c r="F415" i="105"/>
  <c r="H414" i="105"/>
  <c r="G414" i="105"/>
  <c r="F414" i="105"/>
  <c r="H413" i="105"/>
  <c r="G413" i="105"/>
  <c r="F413" i="105"/>
  <c r="H412" i="105"/>
  <c r="G412" i="105"/>
  <c r="F412" i="105"/>
  <c r="H411" i="105"/>
  <c r="G411" i="105"/>
  <c r="F411" i="105"/>
  <c r="H410" i="105"/>
  <c r="G410" i="105"/>
  <c r="F410" i="105"/>
  <c r="H409" i="105"/>
  <c r="G409" i="105"/>
  <c r="F409" i="105"/>
  <c r="H408" i="105"/>
  <c r="G408" i="105"/>
  <c r="F408" i="105"/>
  <c r="H407" i="105"/>
  <c r="G407" i="105"/>
  <c r="F407" i="105"/>
  <c r="H406" i="105"/>
  <c r="G406" i="105"/>
  <c r="F406" i="105"/>
  <c r="H405" i="105"/>
  <c r="G405" i="105"/>
  <c r="F405" i="105"/>
  <c r="H404" i="105"/>
  <c r="G404" i="105"/>
  <c r="F404" i="105"/>
  <c r="H403" i="105"/>
  <c r="G403" i="105"/>
  <c r="F403" i="105"/>
  <c r="H402" i="105"/>
  <c r="G402" i="105"/>
  <c r="F402" i="105"/>
  <c r="H401" i="105"/>
  <c r="G401" i="105"/>
  <c r="F401" i="105"/>
  <c r="H400" i="105"/>
  <c r="G400" i="105"/>
  <c r="F400" i="105"/>
  <c r="H399" i="105"/>
  <c r="G399" i="105"/>
  <c r="F399" i="105"/>
  <c r="H398" i="105"/>
  <c r="G398" i="105"/>
  <c r="F398" i="105"/>
  <c r="H397" i="105"/>
  <c r="G397" i="105"/>
  <c r="F397" i="105"/>
  <c r="H396" i="105"/>
  <c r="G396" i="105"/>
  <c r="F396" i="105"/>
  <c r="H395" i="105"/>
  <c r="G395" i="105"/>
  <c r="F395" i="105"/>
  <c r="H394" i="105"/>
  <c r="G394" i="105"/>
  <c r="F394" i="105"/>
  <c r="H393" i="105"/>
  <c r="G393" i="105"/>
  <c r="F393" i="105"/>
  <c r="H392" i="105"/>
  <c r="G392" i="105"/>
  <c r="F392" i="105"/>
  <c r="H391" i="105"/>
  <c r="G391" i="105"/>
  <c r="F391" i="105"/>
  <c r="H390" i="105"/>
  <c r="G390" i="105"/>
  <c r="F390" i="105"/>
  <c r="H389" i="105"/>
  <c r="G389" i="105"/>
  <c r="F389" i="105"/>
  <c r="H388" i="105"/>
  <c r="G388" i="105"/>
  <c r="F388" i="105"/>
  <c r="H387" i="105"/>
  <c r="G387" i="105"/>
  <c r="F387" i="105"/>
  <c r="H386" i="105"/>
  <c r="G386" i="105"/>
  <c r="F386" i="105"/>
  <c r="H385" i="105"/>
  <c r="G385" i="105"/>
  <c r="F385" i="105"/>
  <c r="H384" i="105"/>
  <c r="G384" i="105"/>
  <c r="F384" i="105"/>
  <c r="H383" i="105"/>
  <c r="G383" i="105"/>
  <c r="F383" i="105"/>
  <c r="H382" i="105"/>
  <c r="G382" i="105"/>
  <c r="F382" i="105"/>
  <c r="H381" i="105"/>
  <c r="G381" i="105"/>
  <c r="F381" i="105"/>
  <c r="H380" i="105"/>
  <c r="G380" i="105"/>
  <c r="F380" i="105"/>
  <c r="H379" i="105"/>
  <c r="G379" i="105"/>
  <c r="F379" i="105"/>
  <c r="H378" i="105"/>
  <c r="G378" i="105"/>
  <c r="F378" i="105"/>
  <c r="H377" i="105"/>
  <c r="G377" i="105"/>
  <c r="F377" i="105"/>
  <c r="H376" i="105"/>
  <c r="G376" i="105"/>
  <c r="F376" i="105"/>
  <c r="H375" i="105"/>
  <c r="G375" i="105"/>
  <c r="F375" i="105"/>
  <c r="H374" i="105"/>
  <c r="G374" i="105"/>
  <c r="F374" i="105"/>
  <c r="H373" i="105"/>
  <c r="G373" i="105"/>
  <c r="F373" i="105"/>
  <c r="H372" i="105"/>
  <c r="G372" i="105"/>
  <c r="F372" i="105"/>
  <c r="H371" i="105"/>
  <c r="G371" i="105"/>
  <c r="F371" i="105"/>
  <c r="H370" i="105"/>
  <c r="G370" i="105"/>
  <c r="F370" i="105"/>
  <c r="H369" i="105"/>
  <c r="G369" i="105"/>
  <c r="F369" i="105"/>
  <c r="H368" i="105"/>
  <c r="G368" i="105"/>
  <c r="F368" i="105"/>
  <c r="H367" i="105"/>
  <c r="G367" i="105"/>
  <c r="F367" i="105"/>
  <c r="H366" i="105"/>
  <c r="G366" i="105"/>
  <c r="F366" i="105"/>
  <c r="H365" i="105"/>
  <c r="G365" i="105"/>
  <c r="F365" i="105"/>
  <c r="H364" i="105"/>
  <c r="G364" i="105"/>
  <c r="F364" i="105"/>
  <c r="H363" i="105"/>
  <c r="G363" i="105"/>
  <c r="F363" i="105"/>
  <c r="H362" i="105"/>
  <c r="G362" i="105"/>
  <c r="F362" i="105"/>
  <c r="H361" i="105"/>
  <c r="G361" i="105"/>
  <c r="F361" i="105"/>
  <c r="H360" i="105"/>
  <c r="G360" i="105"/>
  <c r="F360" i="105"/>
  <c r="H359" i="105"/>
  <c r="G359" i="105"/>
  <c r="F359" i="105"/>
  <c r="H358" i="105"/>
  <c r="G358" i="105"/>
  <c r="F358" i="105"/>
  <c r="H357" i="105"/>
  <c r="G357" i="105"/>
  <c r="F357" i="105"/>
  <c r="H356" i="105"/>
  <c r="G356" i="105"/>
  <c r="F356" i="105"/>
  <c r="H355" i="105"/>
  <c r="G355" i="105"/>
  <c r="F355" i="105"/>
  <c r="H354" i="105"/>
  <c r="G354" i="105"/>
  <c r="F354" i="105"/>
  <c r="H353" i="105"/>
  <c r="G353" i="105"/>
  <c r="F353" i="105"/>
  <c r="H352" i="105"/>
  <c r="G352" i="105"/>
  <c r="F352" i="105"/>
  <c r="H351" i="105"/>
  <c r="G351" i="105"/>
  <c r="F351" i="105"/>
  <c r="H350" i="105"/>
  <c r="G350" i="105"/>
  <c r="F350" i="105"/>
  <c r="H349" i="105"/>
  <c r="G349" i="105"/>
  <c r="F349" i="105"/>
  <c r="H348" i="105"/>
  <c r="G348" i="105"/>
  <c r="F348" i="105"/>
  <c r="H347" i="105"/>
  <c r="G347" i="105"/>
  <c r="F347" i="105"/>
  <c r="H346" i="105"/>
  <c r="G346" i="105"/>
  <c r="F346" i="105"/>
  <c r="H345" i="105"/>
  <c r="G345" i="105"/>
  <c r="F345" i="105"/>
  <c r="H344" i="105"/>
  <c r="G344" i="105"/>
  <c r="F344" i="105"/>
  <c r="H343" i="105"/>
  <c r="G343" i="105"/>
  <c r="F343" i="105"/>
  <c r="H342" i="105"/>
  <c r="G342" i="105"/>
  <c r="F342" i="105"/>
  <c r="H341" i="105"/>
  <c r="G341" i="105"/>
  <c r="F341" i="105"/>
  <c r="H340" i="105"/>
  <c r="G340" i="105"/>
  <c r="F340" i="105"/>
  <c r="H339" i="105"/>
  <c r="G339" i="105"/>
  <c r="F339" i="105"/>
  <c r="H338" i="105"/>
  <c r="G338" i="105"/>
  <c r="F338" i="105"/>
  <c r="H337" i="105"/>
  <c r="G337" i="105"/>
  <c r="F337" i="105"/>
  <c r="H336" i="105"/>
  <c r="G336" i="105"/>
  <c r="F336" i="105"/>
  <c r="H335" i="105"/>
  <c r="G335" i="105"/>
  <c r="F335" i="105"/>
  <c r="H334" i="105"/>
  <c r="G334" i="105"/>
  <c r="F334" i="105"/>
  <c r="H333" i="105"/>
  <c r="G333" i="105"/>
  <c r="F333" i="105"/>
  <c r="H332" i="105"/>
  <c r="G332" i="105"/>
  <c r="F332" i="105"/>
  <c r="H331" i="105"/>
  <c r="G331" i="105"/>
  <c r="F331" i="105"/>
  <c r="H330" i="105"/>
  <c r="G330" i="105"/>
  <c r="F330" i="105"/>
  <c r="H329" i="105"/>
  <c r="G329" i="105"/>
  <c r="F329" i="105"/>
  <c r="H328" i="105"/>
  <c r="G328" i="105"/>
  <c r="F328" i="105"/>
  <c r="H327" i="105"/>
  <c r="G327" i="105"/>
  <c r="F327" i="105"/>
  <c r="H326" i="105"/>
  <c r="G326" i="105"/>
  <c r="F326" i="105"/>
  <c r="H325" i="105"/>
  <c r="G325" i="105"/>
  <c r="F325" i="105"/>
  <c r="H324" i="105"/>
  <c r="G324" i="105"/>
  <c r="F324" i="105"/>
  <c r="H323" i="105"/>
  <c r="G323" i="105"/>
  <c r="F323" i="105"/>
  <c r="H322" i="105"/>
  <c r="G322" i="105"/>
  <c r="F322" i="105"/>
  <c r="H321" i="105"/>
  <c r="G321" i="105"/>
  <c r="F321" i="105"/>
  <c r="H320" i="105"/>
  <c r="G320" i="105"/>
  <c r="F320" i="105"/>
  <c r="H319" i="105"/>
  <c r="G319" i="105"/>
  <c r="F319" i="105"/>
  <c r="H318" i="105"/>
  <c r="G318" i="105"/>
  <c r="F318" i="105"/>
  <c r="H317" i="105"/>
  <c r="G317" i="105"/>
  <c r="F317" i="105"/>
  <c r="H316" i="105"/>
  <c r="G316" i="105"/>
  <c r="F316" i="105"/>
  <c r="H315" i="105"/>
  <c r="G315" i="105"/>
  <c r="F315" i="105"/>
  <c r="H314" i="105"/>
  <c r="G314" i="105"/>
  <c r="F314" i="105"/>
  <c r="H313" i="105"/>
  <c r="G313" i="105"/>
  <c r="F313" i="105"/>
  <c r="H312" i="105"/>
  <c r="G312" i="105"/>
  <c r="F312" i="105"/>
  <c r="H311" i="105"/>
  <c r="G311" i="105"/>
  <c r="F311" i="105"/>
  <c r="H310" i="105"/>
  <c r="G310" i="105"/>
  <c r="F310" i="105"/>
  <c r="H309" i="105"/>
  <c r="G309" i="105"/>
  <c r="F309" i="105"/>
  <c r="H308" i="105"/>
  <c r="G308" i="105"/>
  <c r="F308" i="105"/>
  <c r="H307" i="105"/>
  <c r="G307" i="105"/>
  <c r="F307" i="105"/>
  <c r="H306" i="105"/>
  <c r="G306" i="105"/>
  <c r="F306" i="105"/>
  <c r="H305" i="105"/>
  <c r="G305" i="105"/>
  <c r="F305" i="105"/>
  <c r="H304" i="105"/>
  <c r="G304" i="105"/>
  <c r="F304" i="105"/>
  <c r="H303" i="105"/>
  <c r="G303" i="105"/>
  <c r="F303" i="105"/>
  <c r="H302" i="105"/>
  <c r="G302" i="105"/>
  <c r="F302" i="105"/>
  <c r="H301" i="105"/>
  <c r="G301" i="105"/>
  <c r="F301" i="105"/>
  <c r="H300" i="105"/>
  <c r="G300" i="105"/>
  <c r="F300" i="105"/>
  <c r="H299" i="105"/>
  <c r="G299" i="105"/>
  <c r="F299" i="105"/>
  <c r="H298" i="105"/>
  <c r="G298" i="105"/>
  <c r="F298" i="105"/>
  <c r="H297" i="105"/>
  <c r="G297" i="105"/>
  <c r="F297" i="105"/>
  <c r="H296" i="105"/>
  <c r="G296" i="105"/>
  <c r="F296" i="105"/>
  <c r="H295" i="105"/>
  <c r="G295" i="105"/>
  <c r="F295" i="105"/>
  <c r="H294" i="105"/>
  <c r="G294" i="105"/>
  <c r="F294" i="105"/>
  <c r="H293" i="105"/>
  <c r="G293" i="105"/>
  <c r="F293" i="105"/>
  <c r="H292" i="105"/>
  <c r="G292" i="105"/>
  <c r="F292" i="105"/>
  <c r="H291" i="105"/>
  <c r="G291" i="105"/>
  <c r="F291" i="105"/>
  <c r="H290" i="105"/>
  <c r="G290" i="105"/>
  <c r="F290" i="105"/>
  <c r="H289" i="105"/>
  <c r="G289" i="105"/>
  <c r="F289" i="105"/>
  <c r="H288" i="105"/>
  <c r="G288" i="105"/>
  <c r="F288" i="105"/>
  <c r="H287" i="105"/>
  <c r="G287" i="105"/>
  <c r="F287" i="105"/>
  <c r="H286" i="105"/>
  <c r="G286" i="105"/>
  <c r="F286" i="105"/>
  <c r="H285" i="105"/>
  <c r="G285" i="105"/>
  <c r="F285" i="105"/>
  <c r="H284" i="105"/>
  <c r="G284" i="105"/>
  <c r="F284" i="105"/>
  <c r="H283" i="105"/>
  <c r="G283" i="105"/>
  <c r="F283" i="105"/>
  <c r="H282" i="105"/>
  <c r="G282" i="105"/>
  <c r="F282" i="105"/>
  <c r="H281" i="105"/>
  <c r="G281" i="105"/>
  <c r="F281" i="105"/>
  <c r="H280" i="105"/>
  <c r="G280" i="105"/>
  <c r="F280" i="105"/>
  <c r="H279" i="105"/>
  <c r="G279" i="105"/>
  <c r="F279" i="105"/>
  <c r="H278" i="105"/>
  <c r="G278" i="105"/>
  <c r="F278" i="105"/>
  <c r="H277" i="105"/>
  <c r="G277" i="105"/>
  <c r="F277" i="105"/>
  <c r="H276" i="105"/>
  <c r="G276" i="105"/>
  <c r="F276" i="105"/>
  <c r="H275" i="105"/>
  <c r="G275" i="105"/>
  <c r="F275" i="105"/>
  <c r="H274" i="105"/>
  <c r="G274" i="105"/>
  <c r="F274" i="105"/>
  <c r="H273" i="105"/>
  <c r="G273" i="105"/>
  <c r="F273" i="105"/>
  <c r="H272" i="105"/>
  <c r="G272" i="105"/>
  <c r="F272" i="105"/>
  <c r="H271" i="105"/>
  <c r="G271" i="105"/>
  <c r="F271" i="105"/>
  <c r="H270" i="105"/>
  <c r="G270" i="105"/>
  <c r="F270" i="105"/>
  <c r="H269" i="105"/>
  <c r="G269" i="105"/>
  <c r="F269" i="105"/>
  <c r="H268" i="105"/>
  <c r="G268" i="105"/>
  <c r="F268" i="105"/>
  <c r="H267" i="105"/>
  <c r="G267" i="105"/>
  <c r="F267" i="105"/>
  <c r="H266" i="105"/>
  <c r="G266" i="105"/>
  <c r="F266" i="105"/>
  <c r="H265" i="105"/>
  <c r="G265" i="105"/>
  <c r="F265" i="105"/>
  <c r="H264" i="105"/>
  <c r="G264" i="105"/>
  <c r="F264" i="105"/>
  <c r="H263" i="105"/>
  <c r="G263" i="105"/>
  <c r="F263" i="105"/>
  <c r="H262" i="105"/>
  <c r="G262" i="105"/>
  <c r="F262" i="105"/>
  <c r="H261" i="105"/>
  <c r="G261" i="105"/>
  <c r="F261" i="105"/>
  <c r="H260" i="105"/>
  <c r="G260" i="105"/>
  <c r="F260" i="105"/>
  <c r="H259" i="105"/>
  <c r="G259" i="105"/>
  <c r="F259" i="105"/>
  <c r="H258" i="105"/>
  <c r="G258" i="105"/>
  <c r="F258" i="105"/>
  <c r="H257" i="105"/>
  <c r="G257" i="105"/>
  <c r="F257" i="105"/>
  <c r="H256" i="105"/>
  <c r="G256" i="105"/>
  <c r="F256" i="105"/>
  <c r="H255" i="105"/>
  <c r="G255" i="105"/>
  <c r="F255" i="105"/>
  <c r="H254" i="105"/>
  <c r="G254" i="105"/>
  <c r="F254" i="105"/>
  <c r="H253" i="105"/>
  <c r="G253" i="105"/>
  <c r="F253" i="105"/>
  <c r="H252" i="105"/>
  <c r="G252" i="105"/>
  <c r="F252" i="105"/>
  <c r="H251" i="105"/>
  <c r="G251" i="105"/>
  <c r="F251" i="105"/>
  <c r="H250" i="105"/>
  <c r="G250" i="105"/>
  <c r="F250" i="105"/>
  <c r="H249" i="105"/>
  <c r="G249" i="105"/>
  <c r="F249" i="105"/>
  <c r="H248" i="105"/>
  <c r="G248" i="105"/>
  <c r="F248" i="105"/>
  <c r="H247" i="105"/>
  <c r="G247" i="105"/>
  <c r="F247" i="105"/>
  <c r="H246" i="105"/>
  <c r="G246" i="105"/>
  <c r="F246" i="105"/>
  <c r="H245" i="105"/>
  <c r="G245" i="105"/>
  <c r="F245" i="105"/>
  <c r="H244" i="105"/>
  <c r="G244" i="105"/>
  <c r="F244" i="105"/>
  <c r="H243" i="105"/>
  <c r="G243" i="105"/>
  <c r="F243" i="105"/>
  <c r="H242" i="105"/>
  <c r="G242" i="105"/>
  <c r="F242" i="105"/>
  <c r="H241" i="105"/>
  <c r="G241" i="105"/>
  <c r="F241" i="105"/>
  <c r="H240" i="105"/>
  <c r="G240" i="105"/>
  <c r="F240" i="105"/>
  <c r="H239" i="105"/>
  <c r="G239" i="105"/>
  <c r="F239" i="105"/>
  <c r="H238" i="105"/>
  <c r="G238" i="105"/>
  <c r="F238" i="105"/>
  <c r="H237" i="105"/>
  <c r="G237" i="105"/>
  <c r="F237" i="105"/>
  <c r="H236" i="105"/>
  <c r="G236" i="105"/>
  <c r="F236" i="105"/>
  <c r="H235" i="105"/>
  <c r="G235" i="105"/>
  <c r="F235" i="105"/>
  <c r="H234" i="105"/>
  <c r="G234" i="105"/>
  <c r="F234" i="105"/>
  <c r="H233" i="105"/>
  <c r="G233" i="105"/>
  <c r="F233" i="105"/>
  <c r="H232" i="105"/>
  <c r="G232" i="105"/>
  <c r="F232" i="105"/>
  <c r="H231" i="105"/>
  <c r="G231" i="105"/>
  <c r="F231" i="105"/>
  <c r="H230" i="105"/>
  <c r="G230" i="105"/>
  <c r="F230" i="105"/>
  <c r="H229" i="105"/>
  <c r="G229" i="105"/>
  <c r="F229" i="105"/>
  <c r="H228" i="105"/>
  <c r="G228" i="105"/>
  <c r="F228" i="105"/>
  <c r="H227" i="105"/>
  <c r="G227" i="105"/>
  <c r="F227" i="105"/>
  <c r="H226" i="105"/>
  <c r="G226" i="105"/>
  <c r="F226" i="105"/>
  <c r="H225" i="105"/>
  <c r="G225" i="105"/>
  <c r="F225" i="105"/>
  <c r="H224" i="105"/>
  <c r="G224" i="105"/>
  <c r="F224" i="105"/>
  <c r="H223" i="105"/>
  <c r="G223" i="105"/>
  <c r="F223" i="105"/>
  <c r="H222" i="105"/>
  <c r="G222" i="105"/>
  <c r="F222" i="105"/>
  <c r="H221" i="105"/>
  <c r="G221" i="105"/>
  <c r="F221" i="105"/>
  <c r="H220" i="105"/>
  <c r="G220" i="105"/>
  <c r="F220" i="105"/>
  <c r="H219" i="105"/>
  <c r="G219" i="105"/>
  <c r="F219" i="105"/>
  <c r="H218" i="105"/>
  <c r="G218" i="105"/>
  <c r="F218" i="105"/>
  <c r="H217" i="105"/>
  <c r="G217" i="105"/>
  <c r="F217" i="105"/>
  <c r="H216" i="105"/>
  <c r="G216" i="105"/>
  <c r="F216" i="105"/>
  <c r="H215" i="105"/>
  <c r="G215" i="105"/>
  <c r="F215" i="105"/>
  <c r="H214" i="105"/>
  <c r="G214" i="105"/>
  <c r="F214" i="105"/>
  <c r="H213" i="105"/>
  <c r="G213" i="105"/>
  <c r="F213" i="105"/>
  <c r="H212" i="105"/>
  <c r="G212" i="105"/>
  <c r="F212" i="105"/>
  <c r="H211" i="105"/>
  <c r="G211" i="105"/>
  <c r="F211" i="105"/>
  <c r="H210" i="105"/>
  <c r="G210" i="105"/>
  <c r="F210" i="105"/>
  <c r="H209" i="105"/>
  <c r="G209" i="105"/>
  <c r="F209" i="105"/>
  <c r="H208" i="105"/>
  <c r="G208" i="105"/>
  <c r="F208" i="105"/>
  <c r="H207" i="105"/>
  <c r="G207" i="105"/>
  <c r="F207" i="105"/>
  <c r="H206" i="105"/>
  <c r="G206" i="105"/>
  <c r="F206" i="105"/>
  <c r="H205" i="105"/>
  <c r="G205" i="105"/>
  <c r="F205" i="105"/>
  <c r="H204" i="105"/>
  <c r="G204" i="105"/>
  <c r="F204" i="105"/>
  <c r="H203" i="105"/>
  <c r="G203" i="105"/>
  <c r="F203" i="105"/>
  <c r="H202" i="105"/>
  <c r="G202" i="105"/>
  <c r="F202" i="105"/>
  <c r="H201" i="105"/>
  <c r="G201" i="105"/>
  <c r="F201" i="105"/>
  <c r="H200" i="105"/>
  <c r="G200" i="105"/>
  <c r="F200" i="105"/>
  <c r="H199" i="105"/>
  <c r="G199" i="105"/>
  <c r="F199" i="105"/>
  <c r="H198" i="105"/>
  <c r="G198" i="105"/>
  <c r="F198" i="105"/>
  <c r="H197" i="105"/>
  <c r="G197" i="105"/>
  <c r="F197" i="105"/>
  <c r="H196" i="105"/>
  <c r="G196" i="105"/>
  <c r="F196" i="105"/>
  <c r="H195" i="105"/>
  <c r="G195" i="105"/>
  <c r="F195" i="105"/>
  <c r="H194" i="105"/>
  <c r="G194" i="105"/>
  <c r="F194" i="105"/>
  <c r="H193" i="105"/>
  <c r="G193" i="105"/>
  <c r="F193" i="105"/>
  <c r="H192" i="105"/>
  <c r="G192" i="105"/>
  <c r="F192" i="105"/>
  <c r="H191" i="105"/>
  <c r="G191" i="105"/>
  <c r="F191" i="105"/>
  <c r="H190" i="105"/>
  <c r="G190" i="105"/>
  <c r="F190" i="105"/>
  <c r="H189" i="105"/>
  <c r="G189" i="105"/>
  <c r="F189" i="105"/>
  <c r="H188" i="105"/>
  <c r="G188" i="105"/>
  <c r="F188" i="105"/>
  <c r="H187" i="105"/>
  <c r="G187" i="105"/>
  <c r="F187" i="105"/>
  <c r="H186" i="105"/>
  <c r="G186" i="105"/>
  <c r="F186" i="105"/>
  <c r="H185" i="105"/>
  <c r="G185" i="105"/>
  <c r="F185" i="105"/>
  <c r="H184" i="105"/>
  <c r="G184" i="105"/>
  <c r="F184" i="105"/>
  <c r="H183" i="105"/>
  <c r="G183" i="105"/>
  <c r="F183" i="105"/>
  <c r="H182" i="105"/>
  <c r="G182" i="105"/>
  <c r="F182" i="105"/>
  <c r="H181" i="105"/>
  <c r="G181" i="105"/>
  <c r="F181" i="105"/>
  <c r="H180" i="105"/>
  <c r="G180" i="105"/>
  <c r="F180" i="105"/>
  <c r="H179" i="105"/>
  <c r="G179" i="105"/>
  <c r="F179" i="105"/>
  <c r="H178" i="105"/>
  <c r="G178" i="105"/>
  <c r="F178" i="105"/>
  <c r="H177" i="105"/>
  <c r="G177" i="105"/>
  <c r="F177" i="105"/>
  <c r="H176" i="105"/>
  <c r="G176" i="105"/>
  <c r="F176" i="105"/>
  <c r="H175" i="105"/>
  <c r="G175" i="105"/>
  <c r="F175" i="105"/>
  <c r="H174" i="105"/>
  <c r="G174" i="105"/>
  <c r="F174" i="105"/>
  <c r="H173" i="105"/>
  <c r="G173" i="105"/>
  <c r="F173" i="105"/>
  <c r="H172" i="105"/>
  <c r="G172" i="105"/>
  <c r="F172" i="105"/>
  <c r="H171" i="105"/>
  <c r="G171" i="105"/>
  <c r="F171" i="105"/>
  <c r="H170" i="105"/>
  <c r="G170" i="105"/>
  <c r="F170" i="105"/>
  <c r="H169" i="105"/>
  <c r="G169" i="105"/>
  <c r="F169" i="105"/>
  <c r="H168" i="105"/>
  <c r="G168" i="105"/>
  <c r="F168" i="105"/>
  <c r="H167" i="105"/>
  <c r="G167" i="105"/>
  <c r="F167" i="105"/>
  <c r="H166" i="105"/>
  <c r="G166" i="105"/>
  <c r="F166" i="105"/>
  <c r="H165" i="105"/>
  <c r="G165" i="105"/>
  <c r="F165" i="105"/>
  <c r="H164" i="105"/>
  <c r="G164" i="105"/>
  <c r="F164" i="105"/>
  <c r="H163" i="105"/>
  <c r="G163" i="105"/>
  <c r="F163" i="105"/>
  <c r="H162" i="105"/>
  <c r="G162" i="105"/>
  <c r="F162" i="105"/>
  <c r="H161" i="105"/>
  <c r="G161" i="105"/>
  <c r="F161" i="105"/>
  <c r="H160" i="105"/>
  <c r="G160" i="105"/>
  <c r="F160" i="105"/>
  <c r="H159" i="105"/>
  <c r="G159" i="105"/>
  <c r="F159" i="105"/>
  <c r="H158" i="105"/>
  <c r="G158" i="105"/>
  <c r="F158" i="105"/>
  <c r="H157" i="105"/>
  <c r="G157" i="105"/>
  <c r="F157" i="105"/>
  <c r="H156" i="105"/>
  <c r="G156" i="105"/>
  <c r="F156" i="105"/>
  <c r="H155" i="105"/>
  <c r="G155" i="105"/>
  <c r="F155" i="105"/>
  <c r="H154" i="105"/>
  <c r="G154" i="105"/>
  <c r="F154" i="105"/>
  <c r="H153" i="105"/>
  <c r="G153" i="105"/>
  <c r="F153" i="105"/>
  <c r="H152" i="105"/>
  <c r="G152" i="105"/>
  <c r="F152" i="105"/>
  <c r="H151" i="105"/>
  <c r="G151" i="105"/>
  <c r="F151" i="105"/>
  <c r="H150" i="105"/>
  <c r="G150" i="105"/>
  <c r="F150" i="105"/>
  <c r="H149" i="105"/>
  <c r="G149" i="105"/>
  <c r="F149" i="105"/>
  <c r="H148" i="105"/>
  <c r="G148" i="105"/>
  <c r="F148" i="105"/>
  <c r="H147" i="105"/>
  <c r="G147" i="105"/>
  <c r="F147" i="105"/>
  <c r="H146" i="105"/>
  <c r="G146" i="105"/>
  <c r="F146" i="105"/>
  <c r="H145" i="105"/>
  <c r="G145" i="105"/>
  <c r="F145" i="105"/>
  <c r="H144" i="105"/>
  <c r="G144" i="105"/>
  <c r="F144" i="105"/>
  <c r="H143" i="105"/>
  <c r="G143" i="105"/>
  <c r="F143" i="105"/>
  <c r="H142" i="105"/>
  <c r="G142" i="105"/>
  <c r="F142" i="105"/>
  <c r="H141" i="105"/>
  <c r="G141" i="105"/>
  <c r="F141" i="105"/>
  <c r="H140" i="105"/>
  <c r="G140" i="105"/>
  <c r="F140" i="105"/>
  <c r="H139" i="105"/>
  <c r="G139" i="105"/>
  <c r="F139" i="105"/>
  <c r="H138" i="105"/>
  <c r="G138" i="105"/>
  <c r="F138" i="105"/>
  <c r="H137" i="105"/>
  <c r="G137" i="105"/>
  <c r="F137" i="105"/>
  <c r="H136" i="105"/>
  <c r="G136" i="105"/>
  <c r="F136" i="105"/>
  <c r="H135" i="105"/>
  <c r="G135" i="105"/>
  <c r="F135" i="105"/>
  <c r="H134" i="105"/>
  <c r="G134" i="105"/>
  <c r="F134" i="105"/>
  <c r="H133" i="105"/>
  <c r="G133" i="105"/>
  <c r="F133" i="105"/>
  <c r="H132" i="105"/>
  <c r="G132" i="105"/>
  <c r="F132" i="105"/>
  <c r="H131" i="105"/>
  <c r="G131" i="105"/>
  <c r="F131" i="105"/>
  <c r="H130" i="105"/>
  <c r="G130" i="105"/>
  <c r="F130" i="105"/>
  <c r="H129" i="105"/>
  <c r="G129" i="105"/>
  <c r="F129" i="105"/>
  <c r="H128" i="105"/>
  <c r="G128" i="105"/>
  <c r="F128" i="105"/>
  <c r="H127" i="105"/>
  <c r="G127" i="105"/>
  <c r="F127" i="105"/>
  <c r="H126" i="105"/>
  <c r="G126" i="105"/>
  <c r="F126" i="105"/>
  <c r="H125" i="105"/>
  <c r="G125" i="105"/>
  <c r="F125" i="105"/>
  <c r="H124" i="105"/>
  <c r="G124" i="105"/>
  <c r="F124" i="105"/>
  <c r="H123" i="105"/>
  <c r="G123" i="105"/>
  <c r="F123" i="105"/>
  <c r="H122" i="105"/>
  <c r="G122" i="105"/>
  <c r="F122" i="105"/>
  <c r="H121" i="105"/>
  <c r="G121" i="105"/>
  <c r="F121" i="105"/>
  <c r="H120" i="105"/>
  <c r="G120" i="105"/>
  <c r="F120" i="105"/>
  <c r="H119" i="105"/>
  <c r="G119" i="105"/>
  <c r="F119" i="105"/>
  <c r="H118" i="105"/>
  <c r="G118" i="105"/>
  <c r="F118" i="105"/>
  <c r="H117" i="105"/>
  <c r="G117" i="105"/>
  <c r="F117" i="105"/>
  <c r="H116" i="105"/>
  <c r="G116" i="105"/>
  <c r="F116" i="105"/>
  <c r="H115" i="105"/>
  <c r="G115" i="105"/>
  <c r="F115" i="105"/>
  <c r="H114" i="105"/>
  <c r="G114" i="105"/>
  <c r="F114" i="105"/>
  <c r="H113" i="105"/>
  <c r="G113" i="105"/>
  <c r="F113" i="105"/>
  <c r="H112" i="105"/>
  <c r="G112" i="105"/>
  <c r="F112" i="105"/>
  <c r="H111" i="105"/>
  <c r="G111" i="105"/>
  <c r="F111" i="105"/>
  <c r="H110" i="105"/>
  <c r="G110" i="105"/>
  <c r="F110" i="105"/>
  <c r="H109" i="105"/>
  <c r="G109" i="105"/>
  <c r="F109" i="105"/>
  <c r="H108" i="105"/>
  <c r="G108" i="105"/>
  <c r="F108" i="105"/>
  <c r="H107" i="105"/>
  <c r="G107" i="105"/>
  <c r="F107" i="105"/>
  <c r="H106" i="105"/>
  <c r="G106" i="105"/>
  <c r="F106" i="105"/>
  <c r="H105" i="105"/>
  <c r="G105" i="105"/>
  <c r="F105" i="105"/>
  <c r="H104" i="105"/>
  <c r="G104" i="105"/>
  <c r="F104" i="105"/>
  <c r="H103" i="105"/>
  <c r="G103" i="105"/>
  <c r="F103" i="105"/>
  <c r="H102" i="105"/>
  <c r="G102" i="105"/>
  <c r="F102" i="105"/>
  <c r="H101" i="105"/>
  <c r="G101" i="105"/>
  <c r="F101" i="105"/>
  <c r="H100" i="105"/>
  <c r="G100" i="105"/>
  <c r="F100" i="105"/>
  <c r="H99" i="105"/>
  <c r="G99" i="105"/>
  <c r="F99" i="105"/>
  <c r="H98" i="105"/>
  <c r="G98" i="105"/>
  <c r="F98" i="105"/>
  <c r="H97" i="105"/>
  <c r="G97" i="105"/>
  <c r="F97" i="105"/>
  <c r="H96" i="105"/>
  <c r="G96" i="105"/>
  <c r="F96" i="105"/>
  <c r="H95" i="105"/>
  <c r="G95" i="105"/>
  <c r="F95" i="105"/>
  <c r="H94" i="105"/>
  <c r="G94" i="105"/>
  <c r="F94" i="105"/>
  <c r="H93" i="105"/>
  <c r="G93" i="105"/>
  <c r="F93" i="105"/>
  <c r="H92" i="105"/>
  <c r="G92" i="105"/>
  <c r="F92" i="105"/>
  <c r="H91" i="105"/>
  <c r="G91" i="105"/>
  <c r="F91" i="105"/>
  <c r="H90" i="105"/>
  <c r="G90" i="105"/>
  <c r="F90" i="105"/>
  <c r="H89" i="105"/>
  <c r="G89" i="105"/>
  <c r="F89" i="105"/>
  <c r="H88" i="105"/>
  <c r="G88" i="105"/>
  <c r="F88" i="105"/>
  <c r="H87" i="105"/>
  <c r="G87" i="105"/>
  <c r="F87" i="105"/>
  <c r="H86" i="105"/>
  <c r="G86" i="105"/>
  <c r="F86" i="105"/>
  <c r="H85" i="105"/>
  <c r="G85" i="105"/>
  <c r="F85" i="105"/>
  <c r="H84" i="105"/>
  <c r="G84" i="105"/>
  <c r="F84" i="105"/>
  <c r="H83" i="105"/>
  <c r="G83" i="105"/>
  <c r="F83" i="105"/>
  <c r="H82" i="105"/>
  <c r="G82" i="105"/>
  <c r="F82" i="105"/>
  <c r="H81" i="105"/>
  <c r="G81" i="105"/>
  <c r="F81" i="105"/>
  <c r="H80" i="105"/>
  <c r="G80" i="105"/>
  <c r="F80" i="105"/>
  <c r="H79" i="105"/>
  <c r="G79" i="105"/>
  <c r="F79" i="105"/>
  <c r="H78" i="105"/>
  <c r="G78" i="105"/>
  <c r="F78" i="105"/>
  <c r="H77" i="105"/>
  <c r="G77" i="105"/>
  <c r="F77" i="105"/>
  <c r="H76" i="105"/>
  <c r="G76" i="105"/>
  <c r="F76" i="105"/>
  <c r="H75" i="105"/>
  <c r="G75" i="105"/>
  <c r="F75" i="105"/>
  <c r="H74" i="105"/>
  <c r="G74" i="105"/>
  <c r="F74" i="105"/>
  <c r="H73" i="105"/>
  <c r="G73" i="105"/>
  <c r="F73" i="105"/>
  <c r="H72" i="105"/>
  <c r="G72" i="105"/>
  <c r="F72" i="105"/>
  <c r="H71" i="105"/>
  <c r="G71" i="105"/>
  <c r="F71" i="105"/>
  <c r="H70" i="105"/>
  <c r="G70" i="105"/>
  <c r="F70" i="105"/>
  <c r="H69" i="105"/>
  <c r="G69" i="105"/>
  <c r="F69" i="105"/>
  <c r="H68" i="105"/>
  <c r="G68" i="105"/>
  <c r="F68" i="105"/>
  <c r="H67" i="105"/>
  <c r="G67" i="105"/>
  <c r="F67" i="105"/>
  <c r="H66" i="105"/>
  <c r="G66" i="105"/>
  <c r="F66" i="105"/>
  <c r="H65" i="105"/>
  <c r="G65" i="105"/>
  <c r="F65" i="105"/>
  <c r="H64" i="105"/>
  <c r="G64" i="105"/>
  <c r="F64" i="105"/>
  <c r="H63" i="105"/>
  <c r="G63" i="105"/>
  <c r="F63" i="105"/>
  <c r="H62" i="105"/>
  <c r="G62" i="105"/>
  <c r="F62" i="105"/>
  <c r="H61" i="105"/>
  <c r="G61" i="105"/>
  <c r="F61" i="105"/>
  <c r="H60" i="105"/>
  <c r="G60" i="105"/>
  <c r="F60" i="105"/>
  <c r="H59" i="105"/>
  <c r="G59" i="105"/>
  <c r="F59" i="105"/>
  <c r="H58" i="105"/>
  <c r="G58" i="105"/>
  <c r="F58" i="105"/>
  <c r="H57" i="105"/>
  <c r="G57" i="105"/>
  <c r="F57" i="105"/>
  <c r="H56" i="105"/>
  <c r="G56" i="105"/>
  <c r="F56" i="105"/>
  <c r="H55" i="105"/>
  <c r="G55" i="105"/>
  <c r="F55" i="105"/>
  <c r="H54" i="105"/>
  <c r="G54" i="105"/>
  <c r="F54" i="105"/>
  <c r="H53" i="105"/>
  <c r="G53" i="105"/>
  <c r="F53" i="105"/>
  <c r="H52" i="105"/>
  <c r="G52" i="105"/>
  <c r="F52" i="105"/>
  <c r="H51" i="105"/>
  <c r="G51" i="105"/>
  <c r="F51" i="105"/>
  <c r="H50" i="105"/>
  <c r="G50" i="105"/>
  <c r="F50" i="105"/>
  <c r="H49" i="105"/>
  <c r="G49" i="105"/>
  <c r="F49" i="105"/>
  <c r="H48" i="105"/>
  <c r="G48" i="105"/>
  <c r="F48" i="105"/>
  <c r="H47" i="105"/>
  <c r="G47" i="105"/>
  <c r="F47" i="105"/>
  <c r="H46" i="105"/>
  <c r="G46" i="105"/>
  <c r="F46" i="105"/>
  <c r="H45" i="105"/>
  <c r="G45" i="105"/>
  <c r="F45" i="105"/>
  <c r="H44" i="105"/>
  <c r="G44" i="105"/>
  <c r="F44" i="105"/>
  <c r="H43" i="105"/>
  <c r="G43" i="105"/>
  <c r="F43" i="105"/>
  <c r="H42" i="105"/>
  <c r="G42" i="105"/>
  <c r="F42" i="105"/>
  <c r="H41" i="105"/>
  <c r="G41" i="105"/>
  <c r="F41" i="105"/>
  <c r="H40" i="105"/>
  <c r="G40" i="105"/>
  <c r="F40" i="105"/>
  <c r="H39" i="105"/>
  <c r="G39" i="105"/>
  <c r="F39" i="105"/>
  <c r="H38" i="105"/>
  <c r="G38" i="105"/>
  <c r="F38" i="105"/>
  <c r="H37" i="105"/>
  <c r="G37" i="105"/>
  <c r="F37" i="105"/>
  <c r="H36" i="105"/>
  <c r="G36" i="105"/>
  <c r="F36" i="105"/>
  <c r="H35" i="105"/>
  <c r="G35" i="105"/>
  <c r="F35" i="105"/>
  <c r="H34" i="105"/>
  <c r="G34" i="105"/>
  <c r="F34" i="105"/>
  <c r="H33" i="105"/>
  <c r="G33" i="105"/>
  <c r="F33" i="105"/>
  <c r="H32" i="105"/>
  <c r="G32" i="105"/>
  <c r="F32" i="105"/>
  <c r="H31" i="105"/>
  <c r="G31" i="105"/>
  <c r="F31" i="105"/>
  <c r="H30" i="105"/>
  <c r="G30" i="105"/>
  <c r="F30" i="105"/>
  <c r="H29" i="105"/>
  <c r="G29" i="105"/>
  <c r="F29" i="105"/>
  <c r="H28" i="105"/>
  <c r="G28" i="105"/>
  <c r="F28" i="105"/>
  <c r="H27" i="105"/>
  <c r="G27" i="105"/>
  <c r="F27" i="105"/>
  <c r="H26" i="105"/>
  <c r="G26" i="105"/>
  <c r="F26" i="105"/>
  <c r="H25" i="105"/>
  <c r="G25" i="105"/>
  <c r="F25" i="105"/>
  <c r="H24" i="105"/>
  <c r="G24" i="105"/>
  <c r="F24" i="105"/>
  <c r="H23" i="105"/>
  <c r="G23" i="105"/>
  <c r="F23" i="105"/>
  <c r="H22" i="105"/>
  <c r="G22" i="105"/>
  <c r="F22" i="105"/>
  <c r="H21" i="105"/>
  <c r="G21" i="105"/>
  <c r="F21" i="105"/>
  <c r="H20" i="105"/>
  <c r="G20" i="105"/>
  <c r="F20" i="105"/>
  <c r="H19" i="105"/>
  <c r="G19" i="105"/>
  <c r="F19" i="105"/>
  <c r="H18" i="105"/>
  <c r="G18" i="105"/>
  <c r="F18" i="105"/>
  <c r="H17" i="105"/>
  <c r="G17" i="105"/>
  <c r="F17" i="105"/>
  <c r="H16" i="105"/>
  <c r="G16" i="105"/>
  <c r="F16" i="105"/>
  <c r="H15" i="105"/>
  <c r="G15" i="105"/>
  <c r="F15" i="105"/>
  <c r="H14" i="105"/>
  <c r="G14" i="105"/>
  <c r="F14" i="105"/>
  <c r="H13" i="105"/>
  <c r="G13" i="105"/>
  <c r="F13" i="105"/>
  <c r="H12" i="105"/>
  <c r="G12" i="105"/>
  <c r="F12" i="105"/>
  <c r="H11" i="105"/>
  <c r="G11" i="105"/>
  <c r="F11" i="105"/>
  <c r="H10" i="105"/>
  <c r="G10" i="105"/>
  <c r="F10" i="105"/>
  <c r="H9" i="105"/>
  <c r="G9" i="105"/>
  <c r="F9" i="105"/>
  <c r="H8" i="105"/>
  <c r="G8" i="105"/>
  <c r="F8" i="105"/>
  <c r="H7" i="105"/>
  <c r="G7" i="105"/>
  <c r="F7" i="105"/>
  <c r="H6" i="105"/>
  <c r="G6" i="105"/>
  <c r="F6" i="105"/>
  <c r="H5" i="105"/>
  <c r="G5" i="105"/>
  <c r="F5" i="105"/>
  <c r="H4" i="105"/>
  <c r="G4" i="105"/>
  <c r="F4" i="105"/>
  <c r="H3" i="105"/>
  <c r="G3" i="105"/>
  <c r="F3" i="105"/>
  <c r="H2" i="105"/>
  <c r="G2" i="105"/>
  <c r="F2" i="105"/>
  <c r="G3223" i="104"/>
  <c r="F3223" i="104"/>
  <c r="E3223" i="104"/>
  <c r="D3223" i="104"/>
  <c r="G3222" i="104"/>
  <c r="F3222" i="104"/>
  <c r="E3222" i="104"/>
  <c r="D3222" i="104"/>
  <c r="G3221" i="104"/>
  <c r="F3221" i="104"/>
  <c r="E3221" i="104"/>
  <c r="D3221" i="104"/>
  <c r="G3220" i="104"/>
  <c r="F3220" i="104"/>
  <c r="E3220" i="104"/>
  <c r="D3220" i="104"/>
  <c r="G3219" i="104"/>
  <c r="F3219" i="104"/>
  <c r="E3219" i="104"/>
  <c r="D3219" i="104"/>
  <c r="G3218" i="104"/>
  <c r="F3218" i="104"/>
  <c r="E3218" i="104"/>
  <c r="D3218" i="104"/>
  <c r="G3217" i="104"/>
  <c r="F3217" i="104"/>
  <c r="E3217" i="104"/>
  <c r="D3217" i="104"/>
  <c r="G3216" i="104"/>
  <c r="F3216" i="104"/>
  <c r="E3216" i="104"/>
  <c r="D3216" i="104"/>
  <c r="G3215" i="104"/>
  <c r="F3215" i="104"/>
  <c r="E3215" i="104"/>
  <c r="D3215" i="104"/>
  <c r="G3214" i="104"/>
  <c r="F3214" i="104"/>
  <c r="E3214" i="104"/>
  <c r="D3214" i="104"/>
  <c r="G3213" i="104"/>
  <c r="F3213" i="104"/>
  <c r="E3213" i="104"/>
  <c r="D3213" i="104"/>
  <c r="G3212" i="104"/>
  <c r="F3212" i="104"/>
  <c r="E3212" i="104"/>
  <c r="D3212" i="104"/>
  <c r="G3211" i="104"/>
  <c r="F3211" i="104"/>
  <c r="E3211" i="104"/>
  <c r="D3211" i="104"/>
  <c r="G3210" i="104"/>
  <c r="F3210" i="104"/>
  <c r="E3210" i="104"/>
  <c r="D3210" i="104"/>
  <c r="G3209" i="104"/>
  <c r="F3209" i="104"/>
  <c r="E3209" i="104"/>
  <c r="D3209" i="104"/>
  <c r="G3208" i="104"/>
  <c r="F3208" i="104"/>
  <c r="E3208" i="104"/>
  <c r="D3208" i="104"/>
  <c r="G3207" i="104"/>
  <c r="F3207" i="104"/>
  <c r="E3207" i="104"/>
  <c r="D3207" i="104"/>
  <c r="G3206" i="104"/>
  <c r="F3206" i="104"/>
  <c r="E3206" i="104"/>
  <c r="D3206" i="104"/>
  <c r="G3205" i="104"/>
  <c r="F3205" i="104"/>
  <c r="E3205" i="104"/>
  <c r="D3205" i="104"/>
  <c r="G3204" i="104"/>
  <c r="F3204" i="104"/>
  <c r="E3204" i="104"/>
  <c r="D3204" i="104"/>
  <c r="G3203" i="104"/>
  <c r="F3203" i="104"/>
  <c r="E3203" i="104"/>
  <c r="D3203" i="104"/>
  <c r="G3202" i="104"/>
  <c r="F3202" i="104"/>
  <c r="E3202" i="104"/>
  <c r="D3202" i="104"/>
  <c r="G3201" i="104"/>
  <c r="F3201" i="104"/>
  <c r="E3201" i="104"/>
  <c r="D3201" i="104"/>
  <c r="G3200" i="104"/>
  <c r="F3200" i="104"/>
  <c r="E3200" i="104"/>
  <c r="D3200" i="104"/>
  <c r="G3199" i="104"/>
  <c r="F3199" i="104"/>
  <c r="E3199" i="104"/>
  <c r="D3199" i="104"/>
  <c r="G3198" i="104"/>
  <c r="F3198" i="104"/>
  <c r="E3198" i="104"/>
  <c r="D3198" i="104"/>
  <c r="G3197" i="104"/>
  <c r="F3197" i="104"/>
  <c r="E3197" i="104"/>
  <c r="D3197" i="104"/>
  <c r="G3196" i="104"/>
  <c r="F3196" i="104"/>
  <c r="E3196" i="104"/>
  <c r="D3196" i="104"/>
  <c r="G3195" i="104"/>
  <c r="F3195" i="104"/>
  <c r="E3195" i="104"/>
  <c r="D3195" i="104"/>
  <c r="G3194" i="104"/>
  <c r="F3194" i="104"/>
  <c r="E3194" i="104"/>
  <c r="D3194" i="104"/>
  <c r="G3193" i="104"/>
  <c r="F3193" i="104"/>
  <c r="E3193" i="104"/>
  <c r="D3193" i="104"/>
  <c r="G3192" i="104"/>
  <c r="F3192" i="104"/>
  <c r="E3192" i="104"/>
  <c r="D3192" i="104"/>
  <c r="G3191" i="104"/>
  <c r="F3191" i="104"/>
  <c r="E3191" i="104"/>
  <c r="D3191" i="104"/>
  <c r="G3190" i="104"/>
  <c r="F3190" i="104"/>
  <c r="E3190" i="104"/>
  <c r="D3190" i="104"/>
  <c r="G3189" i="104"/>
  <c r="F3189" i="104"/>
  <c r="E3189" i="104"/>
  <c r="D3189" i="104"/>
  <c r="G3188" i="104"/>
  <c r="F3188" i="104"/>
  <c r="E3188" i="104"/>
  <c r="D3188" i="104"/>
  <c r="G3187" i="104"/>
  <c r="F3187" i="104"/>
  <c r="E3187" i="104"/>
  <c r="D3187" i="104"/>
  <c r="G3186" i="104"/>
  <c r="F3186" i="104"/>
  <c r="E3186" i="104"/>
  <c r="D3186" i="104"/>
  <c r="G3185" i="104"/>
  <c r="F3185" i="104"/>
  <c r="E3185" i="104"/>
  <c r="D3185" i="104"/>
  <c r="G3184" i="104"/>
  <c r="F3184" i="104"/>
  <c r="E3184" i="104"/>
  <c r="D3184" i="104"/>
  <c r="G3183" i="104"/>
  <c r="F3183" i="104"/>
  <c r="E3183" i="104"/>
  <c r="D3183" i="104"/>
  <c r="G3182" i="104"/>
  <c r="F3182" i="104"/>
  <c r="E3182" i="104"/>
  <c r="D3182" i="104"/>
  <c r="G3181" i="104"/>
  <c r="F3181" i="104"/>
  <c r="E3181" i="104"/>
  <c r="D3181" i="104"/>
  <c r="G3180" i="104"/>
  <c r="F3180" i="104"/>
  <c r="E3180" i="104"/>
  <c r="D3180" i="104"/>
  <c r="G3179" i="104"/>
  <c r="F3179" i="104"/>
  <c r="E3179" i="104"/>
  <c r="D3179" i="104"/>
  <c r="G3178" i="104"/>
  <c r="F3178" i="104"/>
  <c r="E3178" i="104"/>
  <c r="D3178" i="104"/>
  <c r="G3177" i="104"/>
  <c r="F3177" i="104"/>
  <c r="E3177" i="104"/>
  <c r="D3177" i="104"/>
  <c r="G3176" i="104"/>
  <c r="F3176" i="104"/>
  <c r="E3176" i="104"/>
  <c r="D3176" i="104"/>
  <c r="G3175" i="104"/>
  <c r="F3175" i="104"/>
  <c r="E3175" i="104"/>
  <c r="D3175" i="104"/>
  <c r="G3174" i="104"/>
  <c r="F3174" i="104"/>
  <c r="E3174" i="104"/>
  <c r="D3174" i="104"/>
  <c r="G3173" i="104"/>
  <c r="F3173" i="104"/>
  <c r="E3173" i="104"/>
  <c r="D3173" i="104"/>
  <c r="G3172" i="104"/>
  <c r="F3172" i="104"/>
  <c r="E3172" i="104"/>
  <c r="D3172" i="104"/>
  <c r="G3171" i="104"/>
  <c r="F3171" i="104"/>
  <c r="E3171" i="104"/>
  <c r="D3171" i="104"/>
  <c r="G3170" i="104"/>
  <c r="F3170" i="104"/>
  <c r="E3170" i="104"/>
  <c r="D3170" i="104"/>
  <c r="G3169" i="104"/>
  <c r="F3169" i="104"/>
  <c r="E3169" i="104"/>
  <c r="D3169" i="104"/>
  <c r="G3168" i="104"/>
  <c r="F3168" i="104"/>
  <c r="E3168" i="104"/>
  <c r="D3168" i="104"/>
  <c r="G3167" i="104"/>
  <c r="F3167" i="104"/>
  <c r="E3167" i="104"/>
  <c r="D3167" i="104"/>
  <c r="G3166" i="104"/>
  <c r="F3166" i="104"/>
  <c r="E3166" i="104"/>
  <c r="D3166" i="104"/>
  <c r="G3165" i="104"/>
  <c r="F3165" i="104"/>
  <c r="E3165" i="104"/>
  <c r="D3165" i="104"/>
  <c r="G3164" i="104"/>
  <c r="F3164" i="104"/>
  <c r="E3164" i="104"/>
  <c r="D3164" i="104"/>
  <c r="G3163" i="104"/>
  <c r="F3163" i="104"/>
  <c r="E3163" i="104"/>
  <c r="D3163" i="104"/>
  <c r="G3162" i="104"/>
  <c r="F3162" i="104"/>
  <c r="E3162" i="104"/>
  <c r="D3162" i="104"/>
  <c r="G3161" i="104"/>
  <c r="F3161" i="104"/>
  <c r="E3161" i="104"/>
  <c r="D3161" i="104"/>
  <c r="G3160" i="104"/>
  <c r="F3160" i="104"/>
  <c r="E3160" i="104"/>
  <c r="D3160" i="104"/>
  <c r="G3159" i="104"/>
  <c r="F3159" i="104"/>
  <c r="E3159" i="104"/>
  <c r="D3159" i="104"/>
  <c r="G3158" i="104"/>
  <c r="F3158" i="104"/>
  <c r="E3158" i="104"/>
  <c r="D3158" i="104"/>
  <c r="G3157" i="104"/>
  <c r="F3157" i="104"/>
  <c r="E3157" i="104"/>
  <c r="D3157" i="104"/>
  <c r="G3156" i="104"/>
  <c r="F3156" i="104"/>
  <c r="E3156" i="104"/>
  <c r="D3156" i="104"/>
  <c r="G3155" i="104"/>
  <c r="F3155" i="104"/>
  <c r="E3155" i="104"/>
  <c r="D3155" i="104"/>
  <c r="G3154" i="104"/>
  <c r="F3154" i="104"/>
  <c r="E3154" i="104"/>
  <c r="D3154" i="104"/>
  <c r="G3153" i="104"/>
  <c r="F3153" i="104"/>
  <c r="E3153" i="104"/>
  <c r="D3153" i="104"/>
  <c r="G3152" i="104"/>
  <c r="F3152" i="104"/>
  <c r="E3152" i="104"/>
  <c r="D3152" i="104"/>
  <c r="G3151" i="104"/>
  <c r="F3151" i="104"/>
  <c r="E3151" i="104"/>
  <c r="D3151" i="104"/>
  <c r="G3150" i="104"/>
  <c r="F3150" i="104"/>
  <c r="E3150" i="104"/>
  <c r="D3150" i="104"/>
  <c r="G3149" i="104"/>
  <c r="F3149" i="104"/>
  <c r="E3149" i="104"/>
  <c r="D3149" i="104"/>
  <c r="G3148" i="104"/>
  <c r="F3148" i="104"/>
  <c r="E3148" i="104"/>
  <c r="D3148" i="104"/>
  <c r="G3147" i="104"/>
  <c r="F3147" i="104"/>
  <c r="E3147" i="104"/>
  <c r="D3147" i="104"/>
  <c r="G3146" i="104"/>
  <c r="F3146" i="104"/>
  <c r="E3146" i="104"/>
  <c r="D3146" i="104"/>
  <c r="G3145" i="104"/>
  <c r="F3145" i="104"/>
  <c r="E3145" i="104"/>
  <c r="D3145" i="104"/>
  <c r="G3144" i="104"/>
  <c r="F3144" i="104"/>
  <c r="E3144" i="104"/>
  <c r="D3144" i="104"/>
  <c r="G3143" i="104"/>
  <c r="F3143" i="104"/>
  <c r="E3143" i="104"/>
  <c r="D3143" i="104"/>
  <c r="G3142" i="104"/>
  <c r="F3142" i="104"/>
  <c r="E3142" i="104"/>
  <c r="D3142" i="104"/>
  <c r="G3141" i="104"/>
  <c r="F3141" i="104"/>
  <c r="E3141" i="104"/>
  <c r="D3141" i="104"/>
  <c r="G3140" i="104"/>
  <c r="F3140" i="104"/>
  <c r="E3140" i="104"/>
  <c r="D3140" i="104"/>
  <c r="G3139" i="104"/>
  <c r="F3139" i="104"/>
  <c r="E3139" i="104"/>
  <c r="D3139" i="104"/>
  <c r="G3138" i="104"/>
  <c r="F3138" i="104"/>
  <c r="E3138" i="104"/>
  <c r="D3138" i="104"/>
  <c r="G3137" i="104"/>
  <c r="F3137" i="104"/>
  <c r="E3137" i="104"/>
  <c r="D3137" i="104"/>
  <c r="G3136" i="104"/>
  <c r="F3136" i="104"/>
  <c r="E3136" i="104"/>
  <c r="D3136" i="104"/>
  <c r="G3135" i="104"/>
  <c r="F3135" i="104"/>
  <c r="E3135" i="104"/>
  <c r="D3135" i="104"/>
  <c r="G3134" i="104"/>
  <c r="F3134" i="104"/>
  <c r="E3134" i="104"/>
  <c r="D3134" i="104"/>
  <c r="G3133" i="104"/>
  <c r="F3133" i="104"/>
  <c r="E3133" i="104"/>
  <c r="D3133" i="104"/>
  <c r="G3132" i="104"/>
  <c r="F3132" i="104"/>
  <c r="E3132" i="104"/>
  <c r="D3132" i="104"/>
  <c r="G3131" i="104"/>
  <c r="F3131" i="104"/>
  <c r="E3131" i="104"/>
  <c r="D3131" i="104"/>
  <c r="G3130" i="104"/>
  <c r="F3130" i="104"/>
  <c r="E3130" i="104"/>
  <c r="D3130" i="104"/>
  <c r="G3129" i="104"/>
  <c r="F3129" i="104"/>
  <c r="E3129" i="104"/>
  <c r="D3129" i="104"/>
  <c r="G3128" i="104"/>
  <c r="F3128" i="104"/>
  <c r="E3128" i="104"/>
  <c r="D3128" i="104"/>
  <c r="G3127" i="104"/>
  <c r="F3127" i="104"/>
  <c r="E3127" i="104"/>
  <c r="D3127" i="104"/>
  <c r="G3126" i="104"/>
  <c r="F3126" i="104"/>
  <c r="E3126" i="104"/>
  <c r="D3126" i="104"/>
  <c r="G3125" i="104"/>
  <c r="F3125" i="104"/>
  <c r="E3125" i="104"/>
  <c r="D3125" i="104"/>
  <c r="G3124" i="104"/>
  <c r="F3124" i="104"/>
  <c r="E3124" i="104"/>
  <c r="D3124" i="104"/>
  <c r="G3123" i="104"/>
  <c r="F3123" i="104"/>
  <c r="E3123" i="104"/>
  <c r="D3123" i="104"/>
  <c r="G3122" i="104"/>
  <c r="F3122" i="104"/>
  <c r="E3122" i="104"/>
  <c r="D3122" i="104"/>
  <c r="G3121" i="104"/>
  <c r="F3121" i="104"/>
  <c r="E3121" i="104"/>
  <c r="D3121" i="104"/>
  <c r="G3120" i="104"/>
  <c r="F3120" i="104"/>
  <c r="E3120" i="104"/>
  <c r="D3120" i="104"/>
  <c r="G3119" i="104"/>
  <c r="F3119" i="104"/>
  <c r="E3119" i="104"/>
  <c r="D3119" i="104"/>
  <c r="G3118" i="104"/>
  <c r="F3118" i="104"/>
  <c r="E3118" i="104"/>
  <c r="D3118" i="104"/>
  <c r="G3117" i="104"/>
  <c r="F3117" i="104"/>
  <c r="E3117" i="104"/>
  <c r="D3117" i="104"/>
  <c r="G3116" i="104"/>
  <c r="F3116" i="104"/>
  <c r="E3116" i="104"/>
  <c r="D3116" i="104"/>
  <c r="G3115" i="104"/>
  <c r="F3115" i="104"/>
  <c r="E3115" i="104"/>
  <c r="D3115" i="104"/>
  <c r="G3114" i="104"/>
  <c r="F3114" i="104"/>
  <c r="E3114" i="104"/>
  <c r="D3114" i="104"/>
  <c r="G3113" i="104"/>
  <c r="F3113" i="104"/>
  <c r="E3113" i="104"/>
  <c r="D3113" i="104"/>
  <c r="G3112" i="104"/>
  <c r="F3112" i="104"/>
  <c r="E3112" i="104"/>
  <c r="D3112" i="104"/>
  <c r="G3111" i="104"/>
  <c r="F3111" i="104"/>
  <c r="E3111" i="104"/>
  <c r="D3111" i="104"/>
  <c r="G3110" i="104"/>
  <c r="F3110" i="104"/>
  <c r="E3110" i="104"/>
  <c r="D3110" i="104"/>
  <c r="G3109" i="104"/>
  <c r="F3109" i="104"/>
  <c r="E3109" i="104"/>
  <c r="D3109" i="104"/>
  <c r="G3108" i="104"/>
  <c r="F3108" i="104"/>
  <c r="E3108" i="104"/>
  <c r="D3108" i="104"/>
  <c r="G3107" i="104"/>
  <c r="F3107" i="104"/>
  <c r="E3107" i="104"/>
  <c r="D3107" i="104"/>
  <c r="G3106" i="104"/>
  <c r="F3106" i="104"/>
  <c r="E3106" i="104"/>
  <c r="D3106" i="104"/>
  <c r="G3105" i="104"/>
  <c r="F3105" i="104"/>
  <c r="E3105" i="104"/>
  <c r="D3105" i="104"/>
  <c r="G3104" i="104"/>
  <c r="F3104" i="104"/>
  <c r="E3104" i="104"/>
  <c r="D3104" i="104"/>
  <c r="G3103" i="104"/>
  <c r="F3103" i="104"/>
  <c r="E3103" i="104"/>
  <c r="D3103" i="104"/>
  <c r="G3102" i="104"/>
  <c r="F3102" i="104"/>
  <c r="E3102" i="104"/>
  <c r="D3102" i="104"/>
  <c r="G3101" i="104"/>
  <c r="F3101" i="104"/>
  <c r="E3101" i="104"/>
  <c r="D3101" i="104"/>
  <c r="G3100" i="104"/>
  <c r="F3100" i="104"/>
  <c r="E3100" i="104"/>
  <c r="D3100" i="104"/>
  <c r="G3099" i="104"/>
  <c r="F3099" i="104"/>
  <c r="E3099" i="104"/>
  <c r="D3099" i="104"/>
  <c r="G3098" i="104"/>
  <c r="F3098" i="104"/>
  <c r="E3098" i="104"/>
  <c r="D3098" i="104"/>
  <c r="G3097" i="104"/>
  <c r="F3097" i="104"/>
  <c r="E3097" i="104"/>
  <c r="D3097" i="104"/>
  <c r="G3096" i="104"/>
  <c r="F3096" i="104"/>
  <c r="E3096" i="104"/>
  <c r="D3096" i="104"/>
  <c r="G3095" i="104"/>
  <c r="F3095" i="104"/>
  <c r="E3095" i="104"/>
  <c r="D3095" i="104"/>
  <c r="G3094" i="104"/>
  <c r="F3094" i="104"/>
  <c r="E3094" i="104"/>
  <c r="D3094" i="104"/>
  <c r="G3093" i="104"/>
  <c r="F3093" i="104"/>
  <c r="E3093" i="104"/>
  <c r="D3093" i="104"/>
  <c r="G3092" i="104"/>
  <c r="F3092" i="104"/>
  <c r="E3092" i="104"/>
  <c r="D3092" i="104"/>
  <c r="G3091" i="104"/>
  <c r="F3091" i="104"/>
  <c r="E3091" i="104"/>
  <c r="D3091" i="104"/>
  <c r="G3090" i="104"/>
  <c r="F3090" i="104"/>
  <c r="E3090" i="104"/>
  <c r="D3090" i="104"/>
  <c r="G3089" i="104"/>
  <c r="F3089" i="104"/>
  <c r="E3089" i="104"/>
  <c r="D3089" i="104"/>
  <c r="G3088" i="104"/>
  <c r="F3088" i="104"/>
  <c r="E3088" i="104"/>
  <c r="D3088" i="104"/>
  <c r="G3087" i="104"/>
  <c r="F3087" i="104"/>
  <c r="E3087" i="104"/>
  <c r="D3087" i="104"/>
  <c r="G3086" i="104"/>
  <c r="F3086" i="104"/>
  <c r="E3086" i="104"/>
  <c r="D3086" i="104"/>
  <c r="G3085" i="104"/>
  <c r="F3085" i="104"/>
  <c r="E3085" i="104"/>
  <c r="D3085" i="104"/>
  <c r="G3084" i="104"/>
  <c r="F3084" i="104"/>
  <c r="E3084" i="104"/>
  <c r="D3084" i="104"/>
  <c r="G3083" i="104"/>
  <c r="F3083" i="104"/>
  <c r="E3083" i="104"/>
  <c r="D3083" i="104"/>
  <c r="G3082" i="104"/>
  <c r="F3082" i="104"/>
  <c r="E3082" i="104"/>
  <c r="D3082" i="104"/>
  <c r="G3081" i="104"/>
  <c r="F3081" i="104"/>
  <c r="E3081" i="104"/>
  <c r="D3081" i="104"/>
  <c r="G3080" i="104"/>
  <c r="F3080" i="104"/>
  <c r="E3080" i="104"/>
  <c r="D3080" i="104"/>
  <c r="G3079" i="104"/>
  <c r="F3079" i="104"/>
  <c r="E3079" i="104"/>
  <c r="D3079" i="104"/>
  <c r="G3078" i="104"/>
  <c r="F3078" i="104"/>
  <c r="E3078" i="104"/>
  <c r="D3078" i="104"/>
  <c r="G3077" i="104"/>
  <c r="F3077" i="104"/>
  <c r="E3077" i="104"/>
  <c r="D3077" i="104"/>
  <c r="G3076" i="104"/>
  <c r="F3076" i="104"/>
  <c r="E3076" i="104"/>
  <c r="D3076" i="104"/>
  <c r="G3075" i="104"/>
  <c r="F3075" i="104"/>
  <c r="E3075" i="104"/>
  <c r="D3075" i="104"/>
  <c r="G3074" i="104"/>
  <c r="F3074" i="104"/>
  <c r="E3074" i="104"/>
  <c r="D3074" i="104"/>
  <c r="G3073" i="104"/>
  <c r="F3073" i="104"/>
  <c r="E3073" i="104"/>
  <c r="D3073" i="104"/>
  <c r="G3072" i="104"/>
  <c r="F3072" i="104"/>
  <c r="E3072" i="104"/>
  <c r="D3072" i="104"/>
  <c r="G3071" i="104"/>
  <c r="F3071" i="104"/>
  <c r="E3071" i="104"/>
  <c r="D3071" i="104"/>
  <c r="G3070" i="104"/>
  <c r="F3070" i="104"/>
  <c r="E3070" i="104"/>
  <c r="D3070" i="104"/>
  <c r="G3069" i="104"/>
  <c r="F3069" i="104"/>
  <c r="E3069" i="104"/>
  <c r="D3069" i="104"/>
  <c r="G3068" i="104"/>
  <c r="F3068" i="104"/>
  <c r="E3068" i="104"/>
  <c r="D3068" i="104"/>
  <c r="G3067" i="104"/>
  <c r="F3067" i="104"/>
  <c r="E3067" i="104"/>
  <c r="D3067" i="104"/>
  <c r="G3066" i="104"/>
  <c r="F3066" i="104"/>
  <c r="E3066" i="104"/>
  <c r="D3066" i="104"/>
  <c r="G3065" i="104"/>
  <c r="F3065" i="104"/>
  <c r="E3065" i="104"/>
  <c r="D3065" i="104"/>
  <c r="G3064" i="104"/>
  <c r="F3064" i="104"/>
  <c r="E3064" i="104"/>
  <c r="D3064" i="104"/>
  <c r="G3063" i="104"/>
  <c r="F3063" i="104"/>
  <c r="E3063" i="104"/>
  <c r="D3063" i="104"/>
  <c r="G3062" i="104"/>
  <c r="F3062" i="104"/>
  <c r="E3062" i="104"/>
  <c r="D3062" i="104"/>
  <c r="G3061" i="104"/>
  <c r="F3061" i="104"/>
  <c r="E3061" i="104"/>
  <c r="D3061" i="104"/>
  <c r="G3060" i="104"/>
  <c r="F3060" i="104"/>
  <c r="E3060" i="104"/>
  <c r="D3060" i="104"/>
  <c r="G3059" i="104"/>
  <c r="F3059" i="104"/>
  <c r="E3059" i="104"/>
  <c r="D3059" i="104"/>
  <c r="G3058" i="104"/>
  <c r="F3058" i="104"/>
  <c r="E3058" i="104"/>
  <c r="D3058" i="104"/>
  <c r="G3057" i="104"/>
  <c r="F3057" i="104"/>
  <c r="E3057" i="104"/>
  <c r="D3057" i="104"/>
  <c r="G3056" i="104"/>
  <c r="F3056" i="104"/>
  <c r="E3056" i="104"/>
  <c r="D3056" i="104"/>
  <c r="G3055" i="104"/>
  <c r="F3055" i="104"/>
  <c r="E3055" i="104"/>
  <c r="D3055" i="104"/>
  <c r="G3054" i="104"/>
  <c r="F3054" i="104"/>
  <c r="E3054" i="104"/>
  <c r="D3054" i="104"/>
  <c r="G3053" i="104"/>
  <c r="F3053" i="104"/>
  <c r="E3053" i="104"/>
  <c r="D3053" i="104"/>
  <c r="G3052" i="104"/>
  <c r="F3052" i="104"/>
  <c r="E3052" i="104"/>
  <c r="D3052" i="104"/>
  <c r="G3051" i="104"/>
  <c r="F3051" i="104"/>
  <c r="E3051" i="104"/>
  <c r="D3051" i="104"/>
  <c r="G3050" i="104"/>
  <c r="F3050" i="104"/>
  <c r="E3050" i="104"/>
  <c r="D3050" i="104"/>
  <c r="G3049" i="104"/>
  <c r="F3049" i="104"/>
  <c r="E3049" i="104"/>
  <c r="D3049" i="104"/>
  <c r="G3048" i="104"/>
  <c r="F3048" i="104"/>
  <c r="E3048" i="104"/>
  <c r="D3048" i="104"/>
  <c r="G3047" i="104"/>
  <c r="F3047" i="104"/>
  <c r="E3047" i="104"/>
  <c r="D3047" i="104"/>
  <c r="G3046" i="104"/>
  <c r="F3046" i="104"/>
  <c r="E3046" i="104"/>
  <c r="D3046" i="104"/>
  <c r="G3045" i="104"/>
  <c r="F3045" i="104"/>
  <c r="E3045" i="104"/>
  <c r="D3045" i="104"/>
  <c r="G3044" i="104"/>
  <c r="F3044" i="104"/>
  <c r="E3044" i="104"/>
  <c r="D3044" i="104"/>
  <c r="G3043" i="104"/>
  <c r="F3043" i="104"/>
  <c r="E3043" i="104"/>
  <c r="D3043" i="104"/>
  <c r="G3042" i="104"/>
  <c r="F3042" i="104"/>
  <c r="E3042" i="104"/>
  <c r="D3042" i="104"/>
  <c r="G3041" i="104"/>
  <c r="F3041" i="104"/>
  <c r="E3041" i="104"/>
  <c r="D3041" i="104"/>
  <c r="G3040" i="104"/>
  <c r="F3040" i="104"/>
  <c r="E3040" i="104"/>
  <c r="D3040" i="104"/>
  <c r="G3039" i="104"/>
  <c r="F3039" i="104"/>
  <c r="E3039" i="104"/>
  <c r="D3039" i="104"/>
  <c r="G3038" i="104"/>
  <c r="F3038" i="104"/>
  <c r="E3038" i="104"/>
  <c r="D3038" i="104"/>
  <c r="G3037" i="104"/>
  <c r="F3037" i="104"/>
  <c r="E3037" i="104"/>
  <c r="D3037" i="104"/>
  <c r="G3036" i="104"/>
  <c r="F3036" i="104"/>
  <c r="E3036" i="104"/>
  <c r="D3036" i="104"/>
  <c r="G3035" i="104"/>
  <c r="F3035" i="104"/>
  <c r="E3035" i="104"/>
  <c r="D3035" i="104"/>
  <c r="G3034" i="104"/>
  <c r="F3034" i="104"/>
  <c r="E3034" i="104"/>
  <c r="D3034" i="104"/>
  <c r="G3033" i="104"/>
  <c r="F3033" i="104"/>
  <c r="E3033" i="104"/>
  <c r="D3033" i="104"/>
  <c r="G3032" i="104"/>
  <c r="F3032" i="104"/>
  <c r="E3032" i="104"/>
  <c r="D3032" i="104"/>
  <c r="G3031" i="104"/>
  <c r="F3031" i="104"/>
  <c r="E3031" i="104"/>
  <c r="D3031" i="104"/>
  <c r="G3030" i="104"/>
  <c r="F3030" i="104"/>
  <c r="E3030" i="104"/>
  <c r="D3030" i="104"/>
  <c r="G3029" i="104"/>
  <c r="F3029" i="104"/>
  <c r="E3029" i="104"/>
  <c r="D3029" i="104"/>
  <c r="G3028" i="104"/>
  <c r="F3028" i="104"/>
  <c r="E3028" i="104"/>
  <c r="D3028" i="104"/>
  <c r="G3027" i="104"/>
  <c r="F3027" i="104"/>
  <c r="E3027" i="104"/>
  <c r="D3027" i="104"/>
  <c r="G3026" i="104"/>
  <c r="F3026" i="104"/>
  <c r="E3026" i="104"/>
  <c r="D3026" i="104"/>
  <c r="G3025" i="104"/>
  <c r="F3025" i="104"/>
  <c r="E3025" i="104"/>
  <c r="D3025" i="104"/>
  <c r="G3024" i="104"/>
  <c r="F3024" i="104"/>
  <c r="E3024" i="104"/>
  <c r="D3024" i="104"/>
  <c r="G3023" i="104"/>
  <c r="F3023" i="104"/>
  <c r="E3023" i="104"/>
  <c r="D3023" i="104"/>
  <c r="G3022" i="104"/>
  <c r="F3022" i="104"/>
  <c r="E3022" i="104"/>
  <c r="D3022" i="104"/>
  <c r="G3021" i="104"/>
  <c r="F3021" i="104"/>
  <c r="E3021" i="104"/>
  <c r="D3021" i="104"/>
  <c r="G3020" i="104"/>
  <c r="F3020" i="104"/>
  <c r="E3020" i="104"/>
  <c r="D3020" i="104"/>
  <c r="G3019" i="104"/>
  <c r="F3019" i="104"/>
  <c r="E3019" i="104"/>
  <c r="D3019" i="104"/>
  <c r="G3018" i="104"/>
  <c r="F3018" i="104"/>
  <c r="E3018" i="104"/>
  <c r="D3018" i="104"/>
  <c r="G3017" i="104"/>
  <c r="F3017" i="104"/>
  <c r="E3017" i="104"/>
  <c r="D3017" i="104"/>
  <c r="G3016" i="104"/>
  <c r="F3016" i="104"/>
  <c r="E3016" i="104"/>
  <c r="D3016" i="104"/>
  <c r="G3015" i="104"/>
  <c r="F3015" i="104"/>
  <c r="E3015" i="104"/>
  <c r="D3015" i="104"/>
  <c r="G3014" i="104"/>
  <c r="F3014" i="104"/>
  <c r="E3014" i="104"/>
  <c r="D3014" i="104"/>
  <c r="G3013" i="104"/>
  <c r="F3013" i="104"/>
  <c r="E3013" i="104"/>
  <c r="D3013" i="104"/>
  <c r="G3012" i="104"/>
  <c r="F3012" i="104"/>
  <c r="E3012" i="104"/>
  <c r="D3012" i="104"/>
  <c r="G3011" i="104"/>
  <c r="F3011" i="104"/>
  <c r="E3011" i="104"/>
  <c r="D3011" i="104"/>
  <c r="G3010" i="104"/>
  <c r="F3010" i="104"/>
  <c r="E3010" i="104"/>
  <c r="D3010" i="104"/>
  <c r="G3009" i="104"/>
  <c r="F3009" i="104"/>
  <c r="E3009" i="104"/>
  <c r="D3009" i="104"/>
  <c r="G3008" i="104"/>
  <c r="F3008" i="104"/>
  <c r="E3008" i="104"/>
  <c r="D3008" i="104"/>
  <c r="G3007" i="104"/>
  <c r="F3007" i="104"/>
  <c r="E3007" i="104"/>
  <c r="D3007" i="104"/>
  <c r="G3006" i="104"/>
  <c r="F3006" i="104"/>
  <c r="E3006" i="104"/>
  <c r="D3006" i="104"/>
  <c r="G3005" i="104"/>
  <c r="F3005" i="104"/>
  <c r="E3005" i="104"/>
  <c r="D3005" i="104"/>
  <c r="G3004" i="104"/>
  <c r="F3004" i="104"/>
  <c r="E3004" i="104"/>
  <c r="D3004" i="104"/>
  <c r="G3003" i="104"/>
  <c r="F3003" i="104"/>
  <c r="E3003" i="104"/>
  <c r="D3003" i="104"/>
  <c r="G3002" i="104"/>
  <c r="F3002" i="104"/>
  <c r="E3002" i="104"/>
  <c r="D3002" i="104"/>
  <c r="G3001" i="104"/>
  <c r="F3001" i="104"/>
  <c r="E3001" i="104"/>
  <c r="D3001" i="104"/>
  <c r="G3000" i="104"/>
  <c r="F3000" i="104"/>
  <c r="E3000" i="104"/>
  <c r="D3000" i="104"/>
  <c r="G2999" i="104"/>
  <c r="F2999" i="104"/>
  <c r="E2999" i="104"/>
  <c r="D2999" i="104"/>
  <c r="G2998" i="104"/>
  <c r="F2998" i="104"/>
  <c r="E2998" i="104"/>
  <c r="D2998" i="104"/>
  <c r="G2997" i="104"/>
  <c r="F2997" i="104"/>
  <c r="E2997" i="104"/>
  <c r="D2997" i="104"/>
  <c r="G2996" i="104"/>
  <c r="F2996" i="104"/>
  <c r="E2996" i="104"/>
  <c r="D2996" i="104"/>
  <c r="G2995" i="104"/>
  <c r="F2995" i="104"/>
  <c r="E2995" i="104"/>
  <c r="D2995" i="104"/>
  <c r="G2994" i="104"/>
  <c r="F2994" i="104"/>
  <c r="E2994" i="104"/>
  <c r="D2994" i="104"/>
  <c r="G2993" i="104"/>
  <c r="F2993" i="104"/>
  <c r="E2993" i="104"/>
  <c r="D2993" i="104"/>
  <c r="G2992" i="104"/>
  <c r="F2992" i="104"/>
  <c r="E2992" i="104"/>
  <c r="D2992" i="104"/>
  <c r="G2991" i="104"/>
  <c r="F2991" i="104"/>
  <c r="E2991" i="104"/>
  <c r="D2991" i="104"/>
  <c r="G2990" i="104"/>
  <c r="F2990" i="104"/>
  <c r="E2990" i="104"/>
  <c r="D2990" i="104"/>
  <c r="G2989" i="104"/>
  <c r="F2989" i="104"/>
  <c r="E2989" i="104"/>
  <c r="D2989" i="104"/>
  <c r="G2988" i="104"/>
  <c r="F2988" i="104"/>
  <c r="E2988" i="104"/>
  <c r="D2988" i="104"/>
  <c r="G2987" i="104"/>
  <c r="F2987" i="104"/>
  <c r="E2987" i="104"/>
  <c r="D2987" i="104"/>
  <c r="G2986" i="104"/>
  <c r="F2986" i="104"/>
  <c r="E2986" i="104"/>
  <c r="D2986" i="104"/>
  <c r="G2985" i="104"/>
  <c r="F2985" i="104"/>
  <c r="E2985" i="104"/>
  <c r="D2985" i="104"/>
  <c r="G2984" i="104"/>
  <c r="F2984" i="104"/>
  <c r="E2984" i="104"/>
  <c r="D2984" i="104"/>
  <c r="G2983" i="104"/>
  <c r="F2983" i="104"/>
  <c r="E2983" i="104"/>
  <c r="D2983" i="104"/>
  <c r="G2982" i="104"/>
  <c r="F2982" i="104"/>
  <c r="E2982" i="104"/>
  <c r="D2982" i="104"/>
  <c r="G2981" i="104"/>
  <c r="F2981" i="104"/>
  <c r="E2981" i="104"/>
  <c r="D2981" i="104"/>
  <c r="G2980" i="104"/>
  <c r="F2980" i="104"/>
  <c r="E2980" i="104"/>
  <c r="D2980" i="104"/>
  <c r="G2979" i="104"/>
  <c r="F2979" i="104"/>
  <c r="E2979" i="104"/>
  <c r="D2979" i="104"/>
  <c r="G2978" i="104"/>
  <c r="F2978" i="104"/>
  <c r="E2978" i="104"/>
  <c r="D2978" i="104"/>
  <c r="G2977" i="104"/>
  <c r="F2977" i="104"/>
  <c r="E2977" i="104"/>
  <c r="D2977" i="104"/>
  <c r="G2976" i="104"/>
  <c r="F2976" i="104"/>
  <c r="E2976" i="104"/>
  <c r="D2976" i="104"/>
  <c r="G2975" i="104"/>
  <c r="F2975" i="104"/>
  <c r="E2975" i="104"/>
  <c r="D2975" i="104"/>
  <c r="G2974" i="104"/>
  <c r="F2974" i="104"/>
  <c r="E2974" i="104"/>
  <c r="D2974" i="104"/>
  <c r="G2973" i="104"/>
  <c r="F2973" i="104"/>
  <c r="E2973" i="104"/>
  <c r="D2973" i="104"/>
  <c r="G2972" i="104"/>
  <c r="F2972" i="104"/>
  <c r="E2972" i="104"/>
  <c r="D2972" i="104"/>
  <c r="G2971" i="104"/>
  <c r="F2971" i="104"/>
  <c r="E2971" i="104"/>
  <c r="D2971" i="104"/>
  <c r="G2970" i="104"/>
  <c r="F2970" i="104"/>
  <c r="E2970" i="104"/>
  <c r="D2970" i="104"/>
  <c r="G2969" i="104"/>
  <c r="F2969" i="104"/>
  <c r="E2969" i="104"/>
  <c r="D2969" i="104"/>
  <c r="G2968" i="104"/>
  <c r="F2968" i="104"/>
  <c r="E2968" i="104"/>
  <c r="D2968" i="104"/>
  <c r="G2967" i="104"/>
  <c r="F2967" i="104"/>
  <c r="E2967" i="104"/>
  <c r="D2967" i="104"/>
  <c r="G2966" i="104"/>
  <c r="F2966" i="104"/>
  <c r="E2966" i="104"/>
  <c r="D2966" i="104"/>
  <c r="G2965" i="104"/>
  <c r="F2965" i="104"/>
  <c r="E2965" i="104"/>
  <c r="D2965" i="104"/>
  <c r="G2964" i="104"/>
  <c r="F2964" i="104"/>
  <c r="E2964" i="104"/>
  <c r="D2964" i="104"/>
  <c r="G2963" i="104"/>
  <c r="F2963" i="104"/>
  <c r="E2963" i="104"/>
  <c r="D2963" i="104"/>
  <c r="G2962" i="104"/>
  <c r="F2962" i="104"/>
  <c r="E2962" i="104"/>
  <c r="D2962" i="104"/>
  <c r="G2961" i="104"/>
  <c r="F2961" i="104"/>
  <c r="E2961" i="104"/>
  <c r="D2961" i="104"/>
  <c r="G2960" i="104"/>
  <c r="F2960" i="104"/>
  <c r="E2960" i="104"/>
  <c r="D2960" i="104"/>
  <c r="G2959" i="104"/>
  <c r="F2959" i="104"/>
  <c r="E2959" i="104"/>
  <c r="D2959" i="104"/>
  <c r="G2958" i="104"/>
  <c r="F2958" i="104"/>
  <c r="E2958" i="104"/>
  <c r="D2958" i="104"/>
  <c r="G2957" i="104"/>
  <c r="F2957" i="104"/>
  <c r="E2957" i="104"/>
  <c r="D2957" i="104"/>
  <c r="G2956" i="104"/>
  <c r="F2956" i="104"/>
  <c r="E2956" i="104"/>
  <c r="D2956" i="104"/>
  <c r="G2955" i="104"/>
  <c r="F2955" i="104"/>
  <c r="E2955" i="104"/>
  <c r="D2955" i="104"/>
  <c r="G2954" i="104"/>
  <c r="F2954" i="104"/>
  <c r="E2954" i="104"/>
  <c r="D2954" i="104"/>
  <c r="G2953" i="104"/>
  <c r="F2953" i="104"/>
  <c r="E2953" i="104"/>
  <c r="D2953" i="104"/>
  <c r="G2952" i="104"/>
  <c r="F2952" i="104"/>
  <c r="E2952" i="104"/>
  <c r="D2952" i="104"/>
  <c r="G2951" i="104"/>
  <c r="F2951" i="104"/>
  <c r="E2951" i="104"/>
  <c r="D2951" i="104"/>
  <c r="G2950" i="104"/>
  <c r="F2950" i="104"/>
  <c r="E2950" i="104"/>
  <c r="D2950" i="104"/>
  <c r="G2949" i="104"/>
  <c r="F2949" i="104"/>
  <c r="E2949" i="104"/>
  <c r="D2949" i="104"/>
  <c r="G2948" i="104"/>
  <c r="F2948" i="104"/>
  <c r="E2948" i="104"/>
  <c r="D2948" i="104"/>
  <c r="G2947" i="104"/>
  <c r="F2947" i="104"/>
  <c r="E2947" i="104"/>
  <c r="D2947" i="104"/>
  <c r="G2946" i="104"/>
  <c r="F2946" i="104"/>
  <c r="E2946" i="104"/>
  <c r="D2946" i="104"/>
  <c r="G2945" i="104"/>
  <c r="F2945" i="104"/>
  <c r="E2945" i="104"/>
  <c r="D2945" i="104"/>
  <c r="G2944" i="104"/>
  <c r="F2944" i="104"/>
  <c r="E2944" i="104"/>
  <c r="D2944" i="104"/>
  <c r="G2943" i="104"/>
  <c r="F2943" i="104"/>
  <c r="E2943" i="104"/>
  <c r="D2943" i="104"/>
  <c r="G2942" i="104"/>
  <c r="F2942" i="104"/>
  <c r="E2942" i="104"/>
  <c r="D2942" i="104"/>
  <c r="G2941" i="104"/>
  <c r="F2941" i="104"/>
  <c r="E2941" i="104"/>
  <c r="D2941" i="104"/>
  <c r="G2940" i="104"/>
  <c r="F2940" i="104"/>
  <c r="E2940" i="104"/>
  <c r="D2940" i="104"/>
  <c r="G2939" i="104"/>
  <c r="F2939" i="104"/>
  <c r="E2939" i="104"/>
  <c r="D2939" i="104"/>
  <c r="G2938" i="104"/>
  <c r="F2938" i="104"/>
  <c r="E2938" i="104"/>
  <c r="D2938" i="104"/>
  <c r="G2937" i="104"/>
  <c r="F2937" i="104"/>
  <c r="E2937" i="104"/>
  <c r="D2937" i="104"/>
  <c r="G2936" i="104"/>
  <c r="F2936" i="104"/>
  <c r="E2936" i="104"/>
  <c r="D2936" i="104"/>
  <c r="G2935" i="104"/>
  <c r="F2935" i="104"/>
  <c r="E2935" i="104"/>
  <c r="D2935" i="104"/>
  <c r="G2934" i="104"/>
  <c r="F2934" i="104"/>
  <c r="E2934" i="104"/>
  <c r="D2934" i="104"/>
  <c r="G2933" i="104"/>
  <c r="F2933" i="104"/>
  <c r="E2933" i="104"/>
  <c r="D2933" i="104"/>
  <c r="G2932" i="104"/>
  <c r="F2932" i="104"/>
  <c r="E2932" i="104"/>
  <c r="D2932" i="104"/>
  <c r="G2931" i="104"/>
  <c r="F2931" i="104"/>
  <c r="E2931" i="104"/>
  <c r="D2931" i="104"/>
  <c r="G2930" i="104"/>
  <c r="F2930" i="104"/>
  <c r="E2930" i="104"/>
  <c r="D2930" i="104"/>
  <c r="G2929" i="104"/>
  <c r="F2929" i="104"/>
  <c r="E2929" i="104"/>
  <c r="D2929" i="104"/>
  <c r="G2928" i="104"/>
  <c r="F2928" i="104"/>
  <c r="E2928" i="104"/>
  <c r="D2928" i="104"/>
  <c r="G2927" i="104"/>
  <c r="F2927" i="104"/>
  <c r="E2927" i="104"/>
  <c r="D2927" i="104"/>
  <c r="G2926" i="104"/>
  <c r="F2926" i="104"/>
  <c r="E2926" i="104"/>
  <c r="D2926" i="104"/>
  <c r="G2925" i="104"/>
  <c r="F2925" i="104"/>
  <c r="E2925" i="104"/>
  <c r="D2925" i="104"/>
  <c r="G2924" i="104"/>
  <c r="F2924" i="104"/>
  <c r="E2924" i="104"/>
  <c r="D2924" i="104"/>
  <c r="G2923" i="104"/>
  <c r="F2923" i="104"/>
  <c r="E2923" i="104"/>
  <c r="D2923" i="104"/>
  <c r="G2922" i="104"/>
  <c r="F2922" i="104"/>
  <c r="E2922" i="104"/>
  <c r="D2922" i="104"/>
  <c r="G2921" i="104"/>
  <c r="F2921" i="104"/>
  <c r="E2921" i="104"/>
  <c r="D2921" i="104"/>
  <c r="G2920" i="104"/>
  <c r="F2920" i="104"/>
  <c r="E2920" i="104"/>
  <c r="D2920" i="104"/>
  <c r="G2919" i="104"/>
  <c r="F2919" i="104"/>
  <c r="E2919" i="104"/>
  <c r="D2919" i="104"/>
  <c r="G2918" i="104"/>
  <c r="F2918" i="104"/>
  <c r="E2918" i="104"/>
  <c r="D2918" i="104"/>
  <c r="G2917" i="104"/>
  <c r="F2917" i="104"/>
  <c r="E2917" i="104"/>
  <c r="D2917" i="104"/>
  <c r="G2916" i="104"/>
  <c r="F2916" i="104"/>
  <c r="E2916" i="104"/>
  <c r="D2916" i="104"/>
  <c r="G2915" i="104"/>
  <c r="F2915" i="104"/>
  <c r="E2915" i="104"/>
  <c r="D2915" i="104"/>
  <c r="G2914" i="104"/>
  <c r="F2914" i="104"/>
  <c r="E2914" i="104"/>
  <c r="D2914" i="104"/>
  <c r="G2913" i="104"/>
  <c r="F2913" i="104"/>
  <c r="E2913" i="104"/>
  <c r="D2913" i="104"/>
  <c r="G2912" i="104"/>
  <c r="F2912" i="104"/>
  <c r="E2912" i="104"/>
  <c r="D2912" i="104"/>
  <c r="G2911" i="104"/>
  <c r="F2911" i="104"/>
  <c r="E2911" i="104"/>
  <c r="D2911" i="104"/>
  <c r="G2910" i="104"/>
  <c r="F2910" i="104"/>
  <c r="E2910" i="104"/>
  <c r="D2910" i="104"/>
  <c r="G2909" i="104"/>
  <c r="F2909" i="104"/>
  <c r="E2909" i="104"/>
  <c r="D2909" i="104"/>
  <c r="G2908" i="104"/>
  <c r="F2908" i="104"/>
  <c r="E2908" i="104"/>
  <c r="D2908" i="104"/>
  <c r="G2907" i="104"/>
  <c r="F2907" i="104"/>
  <c r="E2907" i="104"/>
  <c r="D2907" i="104"/>
  <c r="G2906" i="104"/>
  <c r="F2906" i="104"/>
  <c r="E2906" i="104"/>
  <c r="D2906" i="104"/>
  <c r="G2905" i="104"/>
  <c r="F2905" i="104"/>
  <c r="E2905" i="104"/>
  <c r="D2905" i="104"/>
  <c r="G2904" i="104"/>
  <c r="F2904" i="104"/>
  <c r="E2904" i="104"/>
  <c r="D2904" i="104"/>
  <c r="G2903" i="104"/>
  <c r="F2903" i="104"/>
  <c r="E2903" i="104"/>
  <c r="D2903" i="104"/>
  <c r="G2902" i="104"/>
  <c r="F2902" i="104"/>
  <c r="E2902" i="104"/>
  <c r="D2902" i="104"/>
  <c r="G2901" i="104"/>
  <c r="F2901" i="104"/>
  <c r="E2901" i="104"/>
  <c r="D2901" i="104"/>
  <c r="G2900" i="104"/>
  <c r="F2900" i="104"/>
  <c r="E2900" i="104"/>
  <c r="D2900" i="104"/>
  <c r="G2899" i="104"/>
  <c r="F2899" i="104"/>
  <c r="E2899" i="104"/>
  <c r="D2899" i="104"/>
  <c r="G2898" i="104"/>
  <c r="F2898" i="104"/>
  <c r="E2898" i="104"/>
  <c r="D2898" i="104"/>
  <c r="G2897" i="104"/>
  <c r="F2897" i="104"/>
  <c r="E2897" i="104"/>
  <c r="D2897" i="104"/>
  <c r="G2896" i="104"/>
  <c r="F2896" i="104"/>
  <c r="E2896" i="104"/>
  <c r="D2896" i="104"/>
  <c r="G2895" i="104"/>
  <c r="F2895" i="104"/>
  <c r="E2895" i="104"/>
  <c r="D2895" i="104"/>
  <c r="G2894" i="104"/>
  <c r="F2894" i="104"/>
  <c r="E2894" i="104"/>
  <c r="D2894" i="104"/>
  <c r="G2893" i="104"/>
  <c r="F2893" i="104"/>
  <c r="E2893" i="104"/>
  <c r="D2893" i="104"/>
  <c r="G2892" i="104"/>
  <c r="F2892" i="104"/>
  <c r="E2892" i="104"/>
  <c r="D2892" i="104"/>
  <c r="G2891" i="104"/>
  <c r="F2891" i="104"/>
  <c r="E2891" i="104"/>
  <c r="D2891" i="104"/>
  <c r="G2890" i="104"/>
  <c r="F2890" i="104"/>
  <c r="E2890" i="104"/>
  <c r="D2890" i="104"/>
  <c r="G2889" i="104"/>
  <c r="F2889" i="104"/>
  <c r="E2889" i="104"/>
  <c r="D2889" i="104"/>
  <c r="G2888" i="104"/>
  <c r="F2888" i="104"/>
  <c r="E2888" i="104"/>
  <c r="D2888" i="104"/>
  <c r="G2887" i="104"/>
  <c r="F2887" i="104"/>
  <c r="E2887" i="104"/>
  <c r="D2887" i="104"/>
  <c r="G2886" i="104"/>
  <c r="F2886" i="104"/>
  <c r="E2886" i="104"/>
  <c r="D2886" i="104"/>
  <c r="G2885" i="104"/>
  <c r="F2885" i="104"/>
  <c r="E2885" i="104"/>
  <c r="D2885" i="104"/>
  <c r="G2884" i="104"/>
  <c r="F2884" i="104"/>
  <c r="E2884" i="104"/>
  <c r="D2884" i="104"/>
  <c r="G2883" i="104"/>
  <c r="F2883" i="104"/>
  <c r="E2883" i="104"/>
  <c r="D2883" i="104"/>
  <c r="G2882" i="104"/>
  <c r="F2882" i="104"/>
  <c r="E2882" i="104"/>
  <c r="D2882" i="104"/>
  <c r="G2881" i="104"/>
  <c r="F2881" i="104"/>
  <c r="E2881" i="104"/>
  <c r="D2881" i="104"/>
  <c r="G2880" i="104"/>
  <c r="F2880" i="104"/>
  <c r="E2880" i="104"/>
  <c r="D2880" i="104"/>
  <c r="G2879" i="104"/>
  <c r="F2879" i="104"/>
  <c r="E2879" i="104"/>
  <c r="D2879" i="104"/>
  <c r="G2878" i="104"/>
  <c r="F2878" i="104"/>
  <c r="E2878" i="104"/>
  <c r="D2878" i="104"/>
  <c r="G2877" i="104"/>
  <c r="F2877" i="104"/>
  <c r="E2877" i="104"/>
  <c r="D2877" i="104"/>
  <c r="G2876" i="104"/>
  <c r="F2876" i="104"/>
  <c r="E2876" i="104"/>
  <c r="D2876" i="104"/>
  <c r="G2875" i="104"/>
  <c r="F2875" i="104"/>
  <c r="E2875" i="104"/>
  <c r="D2875" i="104"/>
  <c r="G2874" i="104"/>
  <c r="F2874" i="104"/>
  <c r="E2874" i="104"/>
  <c r="D2874" i="104"/>
  <c r="G2873" i="104"/>
  <c r="F2873" i="104"/>
  <c r="E2873" i="104"/>
  <c r="D2873" i="104"/>
  <c r="G2872" i="104"/>
  <c r="F2872" i="104"/>
  <c r="E2872" i="104"/>
  <c r="D2872" i="104"/>
  <c r="G2871" i="104"/>
  <c r="F2871" i="104"/>
  <c r="E2871" i="104"/>
  <c r="D2871" i="104"/>
  <c r="G2870" i="104"/>
  <c r="F2870" i="104"/>
  <c r="E2870" i="104"/>
  <c r="D2870" i="104"/>
  <c r="G2869" i="104"/>
  <c r="F2869" i="104"/>
  <c r="E2869" i="104"/>
  <c r="D2869" i="104"/>
  <c r="G2868" i="104"/>
  <c r="F2868" i="104"/>
  <c r="E2868" i="104"/>
  <c r="D2868" i="104"/>
  <c r="G2867" i="104"/>
  <c r="F2867" i="104"/>
  <c r="E2867" i="104"/>
  <c r="D2867" i="104"/>
  <c r="G2866" i="104"/>
  <c r="F2866" i="104"/>
  <c r="E2866" i="104"/>
  <c r="D2866" i="104"/>
  <c r="G2865" i="104"/>
  <c r="F2865" i="104"/>
  <c r="E2865" i="104"/>
  <c r="D2865" i="104"/>
  <c r="G2864" i="104"/>
  <c r="F2864" i="104"/>
  <c r="E2864" i="104"/>
  <c r="D2864" i="104"/>
  <c r="G2863" i="104"/>
  <c r="F2863" i="104"/>
  <c r="E2863" i="104"/>
  <c r="D2863" i="104"/>
  <c r="G2862" i="104"/>
  <c r="F2862" i="104"/>
  <c r="E2862" i="104"/>
  <c r="D2862" i="104"/>
  <c r="G2861" i="104"/>
  <c r="F2861" i="104"/>
  <c r="E2861" i="104"/>
  <c r="D2861" i="104"/>
  <c r="G2860" i="104"/>
  <c r="F2860" i="104"/>
  <c r="E2860" i="104"/>
  <c r="D2860" i="104"/>
  <c r="G2859" i="104"/>
  <c r="F2859" i="104"/>
  <c r="E2859" i="104"/>
  <c r="D2859" i="104"/>
  <c r="G2858" i="104"/>
  <c r="F2858" i="104"/>
  <c r="E2858" i="104"/>
  <c r="D2858" i="104"/>
  <c r="G2857" i="104"/>
  <c r="F2857" i="104"/>
  <c r="E2857" i="104"/>
  <c r="D2857" i="104"/>
  <c r="G2856" i="104"/>
  <c r="F2856" i="104"/>
  <c r="E2856" i="104"/>
  <c r="D2856" i="104"/>
  <c r="G2855" i="104"/>
  <c r="F2855" i="104"/>
  <c r="E2855" i="104"/>
  <c r="D2855" i="104"/>
  <c r="G2854" i="104"/>
  <c r="F2854" i="104"/>
  <c r="E2854" i="104"/>
  <c r="D2854" i="104"/>
  <c r="G2853" i="104"/>
  <c r="F2853" i="104"/>
  <c r="E2853" i="104"/>
  <c r="D2853" i="104"/>
  <c r="G2852" i="104"/>
  <c r="F2852" i="104"/>
  <c r="E2852" i="104"/>
  <c r="D2852" i="104"/>
  <c r="G2851" i="104"/>
  <c r="F2851" i="104"/>
  <c r="E2851" i="104"/>
  <c r="D2851" i="104"/>
  <c r="G2850" i="104"/>
  <c r="F2850" i="104"/>
  <c r="E2850" i="104"/>
  <c r="D2850" i="104"/>
  <c r="G2849" i="104"/>
  <c r="F2849" i="104"/>
  <c r="E2849" i="104"/>
  <c r="D2849" i="104"/>
  <c r="G2848" i="104"/>
  <c r="F2848" i="104"/>
  <c r="E2848" i="104"/>
  <c r="D2848" i="104"/>
  <c r="G2847" i="104"/>
  <c r="F2847" i="104"/>
  <c r="E2847" i="104"/>
  <c r="D2847" i="104"/>
  <c r="G2846" i="104"/>
  <c r="F2846" i="104"/>
  <c r="E2846" i="104"/>
  <c r="D2846" i="104"/>
  <c r="G2845" i="104"/>
  <c r="F2845" i="104"/>
  <c r="E2845" i="104"/>
  <c r="D2845" i="104"/>
  <c r="G2844" i="104"/>
  <c r="F2844" i="104"/>
  <c r="E2844" i="104"/>
  <c r="D2844" i="104"/>
  <c r="G2843" i="104"/>
  <c r="F2843" i="104"/>
  <c r="E2843" i="104"/>
  <c r="D2843" i="104"/>
  <c r="G2842" i="104"/>
  <c r="F2842" i="104"/>
  <c r="E2842" i="104"/>
  <c r="D2842" i="104"/>
  <c r="G2841" i="104"/>
  <c r="F2841" i="104"/>
  <c r="E2841" i="104"/>
  <c r="D2841" i="104"/>
  <c r="G2840" i="104"/>
  <c r="F2840" i="104"/>
  <c r="E2840" i="104"/>
  <c r="D2840" i="104"/>
  <c r="G2839" i="104"/>
  <c r="F2839" i="104"/>
  <c r="E2839" i="104"/>
  <c r="D2839" i="104"/>
  <c r="G2838" i="104"/>
  <c r="F2838" i="104"/>
  <c r="E2838" i="104"/>
  <c r="D2838" i="104"/>
  <c r="G2837" i="104"/>
  <c r="F2837" i="104"/>
  <c r="E2837" i="104"/>
  <c r="D2837" i="104"/>
  <c r="G2836" i="104"/>
  <c r="F2836" i="104"/>
  <c r="E2836" i="104"/>
  <c r="D2836" i="104"/>
  <c r="G2835" i="104"/>
  <c r="F2835" i="104"/>
  <c r="E2835" i="104"/>
  <c r="D2835" i="104"/>
  <c r="G2834" i="104"/>
  <c r="F2834" i="104"/>
  <c r="E2834" i="104"/>
  <c r="D2834" i="104"/>
  <c r="G2833" i="104"/>
  <c r="F2833" i="104"/>
  <c r="E2833" i="104"/>
  <c r="D2833" i="104"/>
  <c r="G2832" i="104"/>
  <c r="F2832" i="104"/>
  <c r="E2832" i="104"/>
  <c r="D2832" i="104"/>
  <c r="G2831" i="104"/>
  <c r="F2831" i="104"/>
  <c r="E2831" i="104"/>
  <c r="D2831" i="104"/>
  <c r="G2830" i="104"/>
  <c r="F2830" i="104"/>
  <c r="E2830" i="104"/>
  <c r="D2830" i="104"/>
  <c r="G2829" i="104"/>
  <c r="F2829" i="104"/>
  <c r="E2829" i="104"/>
  <c r="D2829" i="104"/>
  <c r="G2828" i="104"/>
  <c r="F2828" i="104"/>
  <c r="E2828" i="104"/>
  <c r="D2828" i="104"/>
  <c r="G2827" i="104"/>
  <c r="F2827" i="104"/>
  <c r="E2827" i="104"/>
  <c r="D2827" i="104"/>
  <c r="G2826" i="104"/>
  <c r="F2826" i="104"/>
  <c r="E2826" i="104"/>
  <c r="D2826" i="104"/>
  <c r="G2825" i="104"/>
  <c r="F2825" i="104"/>
  <c r="E2825" i="104"/>
  <c r="D2825" i="104"/>
  <c r="G2824" i="104"/>
  <c r="F2824" i="104"/>
  <c r="E2824" i="104"/>
  <c r="D2824" i="104"/>
  <c r="G2823" i="104"/>
  <c r="F2823" i="104"/>
  <c r="E2823" i="104"/>
  <c r="D2823" i="104"/>
  <c r="G2822" i="104"/>
  <c r="F2822" i="104"/>
  <c r="E2822" i="104"/>
  <c r="D2822" i="104"/>
  <c r="G2821" i="104"/>
  <c r="F2821" i="104"/>
  <c r="E2821" i="104"/>
  <c r="D2821" i="104"/>
  <c r="G2820" i="104"/>
  <c r="F2820" i="104"/>
  <c r="E2820" i="104"/>
  <c r="D2820" i="104"/>
  <c r="G2819" i="104"/>
  <c r="F2819" i="104"/>
  <c r="E2819" i="104"/>
  <c r="D2819" i="104"/>
  <c r="G2818" i="104"/>
  <c r="F2818" i="104"/>
  <c r="E2818" i="104"/>
  <c r="D2818" i="104"/>
  <c r="G2817" i="104"/>
  <c r="F2817" i="104"/>
  <c r="E2817" i="104"/>
  <c r="D2817" i="104"/>
  <c r="G2816" i="104"/>
  <c r="F2816" i="104"/>
  <c r="E2816" i="104"/>
  <c r="D2816" i="104"/>
  <c r="G2815" i="104"/>
  <c r="F2815" i="104"/>
  <c r="E2815" i="104"/>
  <c r="D2815" i="104"/>
  <c r="G2814" i="104"/>
  <c r="F2814" i="104"/>
  <c r="E2814" i="104"/>
  <c r="D2814" i="104"/>
  <c r="G2813" i="104"/>
  <c r="F2813" i="104"/>
  <c r="E2813" i="104"/>
  <c r="D2813" i="104"/>
  <c r="G2812" i="104"/>
  <c r="F2812" i="104"/>
  <c r="E2812" i="104"/>
  <c r="D2812" i="104"/>
  <c r="G2811" i="104"/>
  <c r="F2811" i="104"/>
  <c r="E2811" i="104"/>
  <c r="D2811" i="104"/>
  <c r="G2810" i="104"/>
  <c r="F2810" i="104"/>
  <c r="E2810" i="104"/>
  <c r="D2810" i="104"/>
  <c r="G2809" i="104"/>
  <c r="F2809" i="104"/>
  <c r="E2809" i="104"/>
  <c r="D2809" i="104"/>
  <c r="G2808" i="104"/>
  <c r="F2808" i="104"/>
  <c r="E2808" i="104"/>
  <c r="D2808" i="104"/>
  <c r="G2807" i="104"/>
  <c r="F2807" i="104"/>
  <c r="E2807" i="104"/>
  <c r="D2807" i="104"/>
  <c r="G2806" i="104"/>
  <c r="F2806" i="104"/>
  <c r="E2806" i="104"/>
  <c r="D2806" i="104"/>
  <c r="G2805" i="104"/>
  <c r="F2805" i="104"/>
  <c r="E2805" i="104"/>
  <c r="D2805" i="104"/>
  <c r="G2804" i="104"/>
  <c r="F2804" i="104"/>
  <c r="E2804" i="104"/>
  <c r="D2804" i="104"/>
  <c r="G2803" i="104"/>
  <c r="F2803" i="104"/>
  <c r="E2803" i="104"/>
  <c r="D2803" i="104"/>
  <c r="G2802" i="104"/>
  <c r="F2802" i="104"/>
  <c r="E2802" i="104"/>
  <c r="D2802" i="104"/>
  <c r="G2801" i="104"/>
  <c r="F2801" i="104"/>
  <c r="E2801" i="104"/>
  <c r="D2801" i="104"/>
  <c r="G2800" i="104"/>
  <c r="F2800" i="104"/>
  <c r="E2800" i="104"/>
  <c r="D2800" i="104"/>
  <c r="G2799" i="104"/>
  <c r="F2799" i="104"/>
  <c r="E2799" i="104"/>
  <c r="D2799" i="104"/>
  <c r="G2798" i="104"/>
  <c r="F2798" i="104"/>
  <c r="E2798" i="104"/>
  <c r="D2798" i="104"/>
  <c r="G2797" i="104"/>
  <c r="F2797" i="104"/>
  <c r="E2797" i="104"/>
  <c r="D2797" i="104"/>
  <c r="G2796" i="104"/>
  <c r="F2796" i="104"/>
  <c r="E2796" i="104"/>
  <c r="D2796" i="104"/>
  <c r="G2795" i="104"/>
  <c r="F2795" i="104"/>
  <c r="E2795" i="104"/>
  <c r="D2795" i="104"/>
  <c r="G2794" i="104"/>
  <c r="F2794" i="104"/>
  <c r="E2794" i="104"/>
  <c r="D2794" i="104"/>
  <c r="G2793" i="104"/>
  <c r="F2793" i="104"/>
  <c r="E2793" i="104"/>
  <c r="D2793" i="104"/>
  <c r="G2792" i="104"/>
  <c r="F2792" i="104"/>
  <c r="E2792" i="104"/>
  <c r="D2792" i="104"/>
  <c r="G2791" i="104"/>
  <c r="F2791" i="104"/>
  <c r="E2791" i="104"/>
  <c r="D2791" i="104"/>
  <c r="G2790" i="104"/>
  <c r="F2790" i="104"/>
  <c r="E2790" i="104"/>
  <c r="D2790" i="104"/>
  <c r="G2789" i="104"/>
  <c r="F2789" i="104"/>
  <c r="E2789" i="104"/>
  <c r="D2789" i="104"/>
  <c r="G2788" i="104"/>
  <c r="F2788" i="104"/>
  <c r="E2788" i="104"/>
  <c r="D2788" i="104"/>
  <c r="G2787" i="104"/>
  <c r="F2787" i="104"/>
  <c r="E2787" i="104"/>
  <c r="D2787" i="104"/>
  <c r="G2786" i="104"/>
  <c r="F2786" i="104"/>
  <c r="E2786" i="104"/>
  <c r="D2786" i="104"/>
  <c r="G2785" i="104"/>
  <c r="F2785" i="104"/>
  <c r="E2785" i="104"/>
  <c r="D2785" i="104"/>
  <c r="G2784" i="104"/>
  <c r="F2784" i="104"/>
  <c r="E2784" i="104"/>
  <c r="D2784" i="104"/>
  <c r="G2783" i="104"/>
  <c r="F2783" i="104"/>
  <c r="E2783" i="104"/>
  <c r="D2783" i="104"/>
  <c r="G2782" i="104"/>
  <c r="F2782" i="104"/>
  <c r="E2782" i="104"/>
  <c r="D2782" i="104"/>
  <c r="G2781" i="104"/>
  <c r="F2781" i="104"/>
  <c r="E2781" i="104"/>
  <c r="D2781" i="104"/>
  <c r="G2780" i="104"/>
  <c r="F2780" i="104"/>
  <c r="E2780" i="104"/>
  <c r="D2780" i="104"/>
  <c r="G2779" i="104"/>
  <c r="F2779" i="104"/>
  <c r="E2779" i="104"/>
  <c r="D2779" i="104"/>
  <c r="G2778" i="104"/>
  <c r="F2778" i="104"/>
  <c r="E2778" i="104"/>
  <c r="D2778" i="104"/>
  <c r="G2777" i="104"/>
  <c r="F2777" i="104"/>
  <c r="E2777" i="104"/>
  <c r="D2777" i="104"/>
  <c r="G2776" i="104"/>
  <c r="F2776" i="104"/>
  <c r="E2776" i="104"/>
  <c r="D2776" i="104"/>
  <c r="G2775" i="104"/>
  <c r="F2775" i="104"/>
  <c r="E2775" i="104"/>
  <c r="D2775" i="104"/>
  <c r="G2774" i="104"/>
  <c r="F2774" i="104"/>
  <c r="E2774" i="104"/>
  <c r="D2774" i="104"/>
  <c r="G2773" i="104"/>
  <c r="F2773" i="104"/>
  <c r="E2773" i="104"/>
  <c r="D2773" i="104"/>
  <c r="G2772" i="104"/>
  <c r="F2772" i="104"/>
  <c r="E2772" i="104"/>
  <c r="D2772" i="104"/>
  <c r="G2771" i="104"/>
  <c r="F2771" i="104"/>
  <c r="E2771" i="104"/>
  <c r="D2771" i="104"/>
  <c r="G2770" i="104"/>
  <c r="F2770" i="104"/>
  <c r="E2770" i="104"/>
  <c r="D2770" i="104"/>
  <c r="G2769" i="104"/>
  <c r="F2769" i="104"/>
  <c r="E2769" i="104"/>
  <c r="D2769" i="104"/>
  <c r="G2768" i="104"/>
  <c r="F2768" i="104"/>
  <c r="E2768" i="104"/>
  <c r="D2768" i="104"/>
  <c r="G2767" i="104"/>
  <c r="F2767" i="104"/>
  <c r="E2767" i="104"/>
  <c r="D2767" i="104"/>
  <c r="G2766" i="104"/>
  <c r="F2766" i="104"/>
  <c r="E2766" i="104"/>
  <c r="D2766" i="104"/>
  <c r="G2765" i="104"/>
  <c r="F2765" i="104"/>
  <c r="E2765" i="104"/>
  <c r="D2765" i="104"/>
  <c r="G2764" i="104"/>
  <c r="F2764" i="104"/>
  <c r="E2764" i="104"/>
  <c r="D2764" i="104"/>
  <c r="G2763" i="104"/>
  <c r="F2763" i="104"/>
  <c r="E2763" i="104"/>
  <c r="D2763" i="104"/>
  <c r="G2762" i="104"/>
  <c r="F2762" i="104"/>
  <c r="E2762" i="104"/>
  <c r="D2762" i="104"/>
  <c r="G2761" i="104"/>
  <c r="F2761" i="104"/>
  <c r="E2761" i="104"/>
  <c r="D2761" i="104"/>
  <c r="G2760" i="104"/>
  <c r="F2760" i="104"/>
  <c r="E2760" i="104"/>
  <c r="D2760" i="104"/>
  <c r="G2759" i="104"/>
  <c r="F2759" i="104"/>
  <c r="E2759" i="104"/>
  <c r="D2759" i="104"/>
  <c r="G2758" i="104"/>
  <c r="F2758" i="104"/>
  <c r="E2758" i="104"/>
  <c r="D2758" i="104"/>
  <c r="G2757" i="104"/>
  <c r="F2757" i="104"/>
  <c r="E2757" i="104"/>
  <c r="D2757" i="104"/>
  <c r="G2756" i="104"/>
  <c r="F2756" i="104"/>
  <c r="E2756" i="104"/>
  <c r="D2756" i="104"/>
  <c r="G2755" i="104"/>
  <c r="F2755" i="104"/>
  <c r="E2755" i="104"/>
  <c r="D2755" i="104"/>
  <c r="G2754" i="104"/>
  <c r="F2754" i="104"/>
  <c r="E2754" i="104"/>
  <c r="D2754" i="104"/>
  <c r="G2753" i="104"/>
  <c r="F2753" i="104"/>
  <c r="E2753" i="104"/>
  <c r="D2753" i="104"/>
  <c r="G2752" i="104"/>
  <c r="F2752" i="104"/>
  <c r="E2752" i="104"/>
  <c r="D2752" i="104"/>
  <c r="G2751" i="104"/>
  <c r="F2751" i="104"/>
  <c r="E2751" i="104"/>
  <c r="D2751" i="104"/>
  <c r="G2750" i="104"/>
  <c r="F2750" i="104"/>
  <c r="E2750" i="104"/>
  <c r="D2750" i="104"/>
  <c r="G2749" i="104"/>
  <c r="F2749" i="104"/>
  <c r="E2749" i="104"/>
  <c r="D2749" i="104"/>
  <c r="G2748" i="104"/>
  <c r="F2748" i="104"/>
  <c r="E2748" i="104"/>
  <c r="D2748" i="104"/>
  <c r="G2747" i="104"/>
  <c r="F2747" i="104"/>
  <c r="E2747" i="104"/>
  <c r="D2747" i="104"/>
  <c r="G2746" i="104"/>
  <c r="F2746" i="104"/>
  <c r="E2746" i="104"/>
  <c r="D2746" i="104"/>
  <c r="G2745" i="104"/>
  <c r="F2745" i="104"/>
  <c r="E2745" i="104"/>
  <c r="D2745" i="104"/>
  <c r="G2744" i="104"/>
  <c r="F2744" i="104"/>
  <c r="E2744" i="104"/>
  <c r="D2744" i="104"/>
  <c r="G2743" i="104"/>
  <c r="F2743" i="104"/>
  <c r="E2743" i="104"/>
  <c r="D2743" i="104"/>
  <c r="G2742" i="104"/>
  <c r="F2742" i="104"/>
  <c r="E2742" i="104"/>
  <c r="D2742" i="104"/>
  <c r="G2741" i="104"/>
  <c r="F2741" i="104"/>
  <c r="E2741" i="104"/>
  <c r="D2741" i="104"/>
  <c r="G2740" i="104"/>
  <c r="F2740" i="104"/>
  <c r="E2740" i="104"/>
  <c r="D2740" i="104"/>
  <c r="G2739" i="104"/>
  <c r="F2739" i="104"/>
  <c r="E2739" i="104"/>
  <c r="D2739" i="104"/>
  <c r="G2738" i="104"/>
  <c r="F2738" i="104"/>
  <c r="E2738" i="104"/>
  <c r="D2738" i="104"/>
  <c r="G2737" i="104"/>
  <c r="F2737" i="104"/>
  <c r="E2737" i="104"/>
  <c r="D2737" i="104"/>
  <c r="G2736" i="104"/>
  <c r="F2736" i="104"/>
  <c r="E2736" i="104"/>
  <c r="D2736" i="104"/>
  <c r="G2735" i="104"/>
  <c r="F2735" i="104"/>
  <c r="E2735" i="104"/>
  <c r="D2735" i="104"/>
  <c r="G2734" i="104"/>
  <c r="F2734" i="104"/>
  <c r="E2734" i="104"/>
  <c r="D2734" i="104"/>
  <c r="G2733" i="104"/>
  <c r="F2733" i="104"/>
  <c r="E2733" i="104"/>
  <c r="D2733" i="104"/>
  <c r="G2732" i="104"/>
  <c r="F2732" i="104"/>
  <c r="E2732" i="104"/>
  <c r="D2732" i="104"/>
  <c r="G2731" i="104"/>
  <c r="F2731" i="104"/>
  <c r="E2731" i="104"/>
  <c r="D2731" i="104"/>
  <c r="G2730" i="104"/>
  <c r="F2730" i="104"/>
  <c r="E2730" i="104"/>
  <c r="D2730" i="104"/>
  <c r="G2729" i="104"/>
  <c r="F2729" i="104"/>
  <c r="E2729" i="104"/>
  <c r="D2729" i="104"/>
  <c r="G2728" i="104"/>
  <c r="F2728" i="104"/>
  <c r="E2728" i="104"/>
  <c r="D2728" i="104"/>
  <c r="G2727" i="104"/>
  <c r="F2727" i="104"/>
  <c r="E2727" i="104"/>
  <c r="D2727" i="104"/>
  <c r="G2726" i="104"/>
  <c r="F2726" i="104"/>
  <c r="E2726" i="104"/>
  <c r="D2726" i="104"/>
  <c r="G2725" i="104"/>
  <c r="F2725" i="104"/>
  <c r="E2725" i="104"/>
  <c r="D2725" i="104"/>
  <c r="G2724" i="104"/>
  <c r="F2724" i="104"/>
  <c r="E2724" i="104"/>
  <c r="D2724" i="104"/>
  <c r="G2723" i="104"/>
  <c r="F2723" i="104"/>
  <c r="E2723" i="104"/>
  <c r="D2723" i="104"/>
  <c r="G2722" i="104"/>
  <c r="F2722" i="104"/>
  <c r="E2722" i="104"/>
  <c r="D2722" i="104"/>
  <c r="G2721" i="104"/>
  <c r="F2721" i="104"/>
  <c r="E2721" i="104"/>
  <c r="D2721" i="104"/>
  <c r="G2720" i="104"/>
  <c r="F2720" i="104"/>
  <c r="E2720" i="104"/>
  <c r="D2720" i="104"/>
  <c r="G2719" i="104"/>
  <c r="F2719" i="104"/>
  <c r="E2719" i="104"/>
  <c r="D2719" i="104"/>
  <c r="G2718" i="104"/>
  <c r="F2718" i="104"/>
  <c r="E2718" i="104"/>
  <c r="D2718" i="104"/>
  <c r="G2717" i="104"/>
  <c r="F2717" i="104"/>
  <c r="E2717" i="104"/>
  <c r="D2717" i="104"/>
  <c r="G2716" i="104"/>
  <c r="F2716" i="104"/>
  <c r="E2716" i="104"/>
  <c r="D2716" i="104"/>
  <c r="G2715" i="104"/>
  <c r="F2715" i="104"/>
  <c r="E2715" i="104"/>
  <c r="D2715" i="104"/>
  <c r="G2714" i="104"/>
  <c r="F2714" i="104"/>
  <c r="E2714" i="104"/>
  <c r="D2714" i="104"/>
  <c r="G2713" i="104"/>
  <c r="F2713" i="104"/>
  <c r="E2713" i="104"/>
  <c r="D2713" i="104"/>
  <c r="G2712" i="104"/>
  <c r="F2712" i="104"/>
  <c r="E2712" i="104"/>
  <c r="D2712" i="104"/>
  <c r="G2711" i="104"/>
  <c r="F2711" i="104"/>
  <c r="E2711" i="104"/>
  <c r="D2711" i="104"/>
  <c r="G2710" i="104"/>
  <c r="F2710" i="104"/>
  <c r="E2710" i="104"/>
  <c r="D2710" i="104"/>
  <c r="G2709" i="104"/>
  <c r="F2709" i="104"/>
  <c r="E2709" i="104"/>
  <c r="D2709" i="104"/>
  <c r="G2708" i="104"/>
  <c r="F2708" i="104"/>
  <c r="E2708" i="104"/>
  <c r="D2708" i="104"/>
  <c r="G2707" i="104"/>
  <c r="F2707" i="104"/>
  <c r="E2707" i="104"/>
  <c r="D2707" i="104"/>
  <c r="G2706" i="104"/>
  <c r="F2706" i="104"/>
  <c r="E2706" i="104"/>
  <c r="D2706" i="104"/>
  <c r="G2705" i="104"/>
  <c r="F2705" i="104"/>
  <c r="E2705" i="104"/>
  <c r="D2705" i="104"/>
  <c r="G2704" i="104"/>
  <c r="F2704" i="104"/>
  <c r="E2704" i="104"/>
  <c r="D2704" i="104"/>
  <c r="G2703" i="104"/>
  <c r="F2703" i="104"/>
  <c r="E2703" i="104"/>
  <c r="D2703" i="104"/>
  <c r="G2702" i="104"/>
  <c r="F2702" i="104"/>
  <c r="E2702" i="104"/>
  <c r="D2702" i="104"/>
  <c r="G2701" i="104"/>
  <c r="F2701" i="104"/>
  <c r="E2701" i="104"/>
  <c r="D2701" i="104"/>
  <c r="G2700" i="104"/>
  <c r="F2700" i="104"/>
  <c r="E2700" i="104"/>
  <c r="D2700" i="104"/>
  <c r="G2699" i="104"/>
  <c r="F2699" i="104"/>
  <c r="E2699" i="104"/>
  <c r="D2699" i="104"/>
  <c r="G2698" i="104"/>
  <c r="F2698" i="104"/>
  <c r="E2698" i="104"/>
  <c r="D2698" i="104"/>
  <c r="G2697" i="104"/>
  <c r="F2697" i="104"/>
  <c r="E2697" i="104"/>
  <c r="D2697" i="104"/>
  <c r="G2696" i="104"/>
  <c r="F2696" i="104"/>
  <c r="E2696" i="104"/>
  <c r="D2696" i="104"/>
  <c r="G2695" i="104"/>
  <c r="F2695" i="104"/>
  <c r="E2695" i="104"/>
  <c r="D2695" i="104"/>
  <c r="G2694" i="104"/>
  <c r="F2694" i="104"/>
  <c r="E2694" i="104"/>
  <c r="D2694" i="104"/>
  <c r="G2693" i="104"/>
  <c r="F2693" i="104"/>
  <c r="E2693" i="104"/>
  <c r="D2693" i="104"/>
  <c r="G2692" i="104"/>
  <c r="F2692" i="104"/>
  <c r="E2692" i="104"/>
  <c r="D2692" i="104"/>
  <c r="G2691" i="104"/>
  <c r="F2691" i="104"/>
  <c r="E2691" i="104"/>
  <c r="D2691" i="104"/>
  <c r="G2690" i="104"/>
  <c r="F2690" i="104"/>
  <c r="E2690" i="104"/>
  <c r="D2690" i="104"/>
  <c r="G2689" i="104"/>
  <c r="F2689" i="104"/>
  <c r="E2689" i="104"/>
  <c r="D2689" i="104"/>
  <c r="G2688" i="104"/>
  <c r="F2688" i="104"/>
  <c r="E2688" i="104"/>
  <c r="D2688" i="104"/>
  <c r="G2687" i="104"/>
  <c r="F2687" i="104"/>
  <c r="E2687" i="104"/>
  <c r="D2687" i="104"/>
  <c r="G2686" i="104"/>
  <c r="F2686" i="104"/>
  <c r="E2686" i="104"/>
  <c r="D2686" i="104"/>
  <c r="G2685" i="104"/>
  <c r="F2685" i="104"/>
  <c r="E2685" i="104"/>
  <c r="D2685" i="104"/>
  <c r="G2684" i="104"/>
  <c r="F2684" i="104"/>
  <c r="E2684" i="104"/>
  <c r="D2684" i="104"/>
  <c r="G2683" i="104"/>
  <c r="F2683" i="104"/>
  <c r="E2683" i="104"/>
  <c r="D2683" i="104"/>
  <c r="G2682" i="104"/>
  <c r="F2682" i="104"/>
  <c r="E2682" i="104"/>
  <c r="D2682" i="104"/>
  <c r="G2681" i="104"/>
  <c r="F2681" i="104"/>
  <c r="E2681" i="104"/>
  <c r="D2681" i="104"/>
  <c r="G2680" i="104"/>
  <c r="F2680" i="104"/>
  <c r="E2680" i="104"/>
  <c r="D2680" i="104"/>
  <c r="G2679" i="104"/>
  <c r="F2679" i="104"/>
  <c r="E2679" i="104"/>
  <c r="D2679" i="104"/>
  <c r="G2678" i="104"/>
  <c r="F2678" i="104"/>
  <c r="E2678" i="104"/>
  <c r="D2678" i="104"/>
  <c r="G2677" i="104"/>
  <c r="F2677" i="104"/>
  <c r="E2677" i="104"/>
  <c r="D2677" i="104"/>
  <c r="G2676" i="104"/>
  <c r="F2676" i="104"/>
  <c r="E2676" i="104"/>
  <c r="D2676" i="104"/>
  <c r="G2675" i="104"/>
  <c r="F2675" i="104"/>
  <c r="E2675" i="104"/>
  <c r="D2675" i="104"/>
  <c r="G2674" i="104"/>
  <c r="F2674" i="104"/>
  <c r="E2674" i="104"/>
  <c r="D2674" i="104"/>
  <c r="G2673" i="104"/>
  <c r="F2673" i="104"/>
  <c r="E2673" i="104"/>
  <c r="D2673" i="104"/>
  <c r="G2672" i="104"/>
  <c r="F2672" i="104"/>
  <c r="E2672" i="104"/>
  <c r="D2672" i="104"/>
  <c r="G2671" i="104"/>
  <c r="F2671" i="104"/>
  <c r="E2671" i="104"/>
  <c r="D2671" i="104"/>
  <c r="G2670" i="104"/>
  <c r="F2670" i="104"/>
  <c r="E2670" i="104"/>
  <c r="D2670" i="104"/>
  <c r="G2669" i="104"/>
  <c r="F2669" i="104"/>
  <c r="E2669" i="104"/>
  <c r="D2669" i="104"/>
  <c r="G2668" i="104"/>
  <c r="F2668" i="104"/>
  <c r="E2668" i="104"/>
  <c r="D2668" i="104"/>
  <c r="G2667" i="104"/>
  <c r="F2667" i="104"/>
  <c r="E2667" i="104"/>
  <c r="D2667" i="104"/>
  <c r="G2666" i="104"/>
  <c r="F2666" i="104"/>
  <c r="E2666" i="104"/>
  <c r="D2666" i="104"/>
  <c r="G2665" i="104"/>
  <c r="F2665" i="104"/>
  <c r="E2665" i="104"/>
  <c r="D2665" i="104"/>
  <c r="G2664" i="104"/>
  <c r="F2664" i="104"/>
  <c r="E2664" i="104"/>
  <c r="D2664" i="104"/>
  <c r="G2663" i="104"/>
  <c r="F2663" i="104"/>
  <c r="E2663" i="104"/>
  <c r="D2663" i="104"/>
  <c r="G2662" i="104"/>
  <c r="F2662" i="104"/>
  <c r="E2662" i="104"/>
  <c r="D2662" i="104"/>
  <c r="G2661" i="104"/>
  <c r="F2661" i="104"/>
  <c r="E2661" i="104"/>
  <c r="D2661" i="104"/>
  <c r="G2660" i="104"/>
  <c r="F2660" i="104"/>
  <c r="E2660" i="104"/>
  <c r="D2660" i="104"/>
  <c r="G2659" i="104"/>
  <c r="F2659" i="104"/>
  <c r="E2659" i="104"/>
  <c r="D2659" i="104"/>
  <c r="G2658" i="104"/>
  <c r="F2658" i="104"/>
  <c r="E2658" i="104"/>
  <c r="D2658" i="104"/>
  <c r="G2657" i="104"/>
  <c r="F2657" i="104"/>
  <c r="E2657" i="104"/>
  <c r="D2657" i="104"/>
  <c r="G2656" i="104"/>
  <c r="F2656" i="104"/>
  <c r="E2656" i="104"/>
  <c r="D2656" i="104"/>
  <c r="G2655" i="104"/>
  <c r="F2655" i="104"/>
  <c r="E2655" i="104"/>
  <c r="D2655" i="104"/>
  <c r="G2654" i="104"/>
  <c r="F2654" i="104"/>
  <c r="E2654" i="104"/>
  <c r="D2654" i="104"/>
  <c r="G2653" i="104"/>
  <c r="F2653" i="104"/>
  <c r="E2653" i="104"/>
  <c r="D2653" i="104"/>
  <c r="G2652" i="104"/>
  <c r="F2652" i="104"/>
  <c r="E2652" i="104"/>
  <c r="D2652" i="104"/>
  <c r="G2651" i="104"/>
  <c r="F2651" i="104"/>
  <c r="E2651" i="104"/>
  <c r="D2651" i="104"/>
  <c r="G2650" i="104"/>
  <c r="F2650" i="104"/>
  <c r="E2650" i="104"/>
  <c r="D2650" i="104"/>
  <c r="G2649" i="104"/>
  <c r="F2649" i="104"/>
  <c r="E2649" i="104"/>
  <c r="D2649" i="104"/>
  <c r="G2648" i="104"/>
  <c r="F2648" i="104"/>
  <c r="E2648" i="104"/>
  <c r="D2648" i="104"/>
  <c r="G2647" i="104"/>
  <c r="F2647" i="104"/>
  <c r="E2647" i="104"/>
  <c r="D2647" i="104"/>
  <c r="G2646" i="104"/>
  <c r="F2646" i="104"/>
  <c r="E2646" i="104"/>
  <c r="D2646" i="104"/>
  <c r="G2645" i="104"/>
  <c r="F2645" i="104"/>
  <c r="E2645" i="104"/>
  <c r="D2645" i="104"/>
  <c r="G2644" i="104"/>
  <c r="F2644" i="104"/>
  <c r="E2644" i="104"/>
  <c r="D2644" i="104"/>
  <c r="G2643" i="104"/>
  <c r="F2643" i="104"/>
  <c r="E2643" i="104"/>
  <c r="D2643" i="104"/>
  <c r="G2642" i="104"/>
  <c r="F2642" i="104"/>
  <c r="E2642" i="104"/>
  <c r="D2642" i="104"/>
  <c r="G2641" i="104"/>
  <c r="F2641" i="104"/>
  <c r="E2641" i="104"/>
  <c r="D2641" i="104"/>
  <c r="G2640" i="104"/>
  <c r="F2640" i="104"/>
  <c r="E2640" i="104"/>
  <c r="D2640" i="104"/>
  <c r="G2639" i="104"/>
  <c r="F2639" i="104"/>
  <c r="E2639" i="104"/>
  <c r="D2639" i="104"/>
  <c r="G2638" i="104"/>
  <c r="F2638" i="104"/>
  <c r="E2638" i="104"/>
  <c r="D2638" i="104"/>
  <c r="G2637" i="104"/>
  <c r="F2637" i="104"/>
  <c r="E2637" i="104"/>
  <c r="D2637" i="104"/>
  <c r="G2636" i="104"/>
  <c r="F2636" i="104"/>
  <c r="E2636" i="104"/>
  <c r="D2636" i="104"/>
  <c r="G2635" i="104"/>
  <c r="F2635" i="104"/>
  <c r="E2635" i="104"/>
  <c r="D2635" i="104"/>
  <c r="G2634" i="104"/>
  <c r="F2634" i="104"/>
  <c r="E2634" i="104"/>
  <c r="D2634" i="104"/>
  <c r="G2633" i="104"/>
  <c r="F2633" i="104"/>
  <c r="E2633" i="104"/>
  <c r="D2633" i="104"/>
  <c r="G2632" i="104"/>
  <c r="F2632" i="104"/>
  <c r="E2632" i="104"/>
  <c r="D2632" i="104"/>
  <c r="G2631" i="104"/>
  <c r="F2631" i="104"/>
  <c r="E2631" i="104"/>
  <c r="D2631" i="104"/>
  <c r="G2630" i="104"/>
  <c r="F2630" i="104"/>
  <c r="E2630" i="104"/>
  <c r="D2630" i="104"/>
  <c r="G2629" i="104"/>
  <c r="F2629" i="104"/>
  <c r="E2629" i="104"/>
  <c r="D2629" i="104"/>
  <c r="G2628" i="104"/>
  <c r="F2628" i="104"/>
  <c r="E2628" i="104"/>
  <c r="D2628" i="104"/>
  <c r="G2627" i="104"/>
  <c r="F2627" i="104"/>
  <c r="E2627" i="104"/>
  <c r="D2627" i="104"/>
  <c r="G2626" i="104"/>
  <c r="F2626" i="104"/>
  <c r="E2626" i="104"/>
  <c r="D2626" i="104"/>
  <c r="G2625" i="104"/>
  <c r="F2625" i="104"/>
  <c r="E2625" i="104"/>
  <c r="D2625" i="104"/>
  <c r="G2624" i="104"/>
  <c r="F2624" i="104"/>
  <c r="E2624" i="104"/>
  <c r="D2624" i="104"/>
  <c r="G2623" i="104"/>
  <c r="F2623" i="104"/>
  <c r="E2623" i="104"/>
  <c r="D2623" i="104"/>
  <c r="G2622" i="104"/>
  <c r="F2622" i="104"/>
  <c r="E2622" i="104"/>
  <c r="D2622" i="104"/>
  <c r="G2621" i="104"/>
  <c r="F2621" i="104"/>
  <c r="E2621" i="104"/>
  <c r="D2621" i="104"/>
  <c r="G2620" i="104"/>
  <c r="F2620" i="104"/>
  <c r="E2620" i="104"/>
  <c r="D2620" i="104"/>
  <c r="G2619" i="104"/>
  <c r="F2619" i="104"/>
  <c r="E2619" i="104"/>
  <c r="D2619" i="104"/>
  <c r="G2618" i="104"/>
  <c r="F2618" i="104"/>
  <c r="E2618" i="104"/>
  <c r="D2618" i="104"/>
  <c r="G2617" i="104"/>
  <c r="F2617" i="104"/>
  <c r="E2617" i="104"/>
  <c r="D2617" i="104"/>
  <c r="G2616" i="104"/>
  <c r="F2616" i="104"/>
  <c r="E2616" i="104"/>
  <c r="D2616" i="104"/>
  <c r="G2615" i="104"/>
  <c r="F2615" i="104"/>
  <c r="E2615" i="104"/>
  <c r="D2615" i="104"/>
  <c r="G2614" i="104"/>
  <c r="F2614" i="104"/>
  <c r="E2614" i="104"/>
  <c r="D2614" i="104"/>
  <c r="G2613" i="104"/>
  <c r="F2613" i="104"/>
  <c r="E2613" i="104"/>
  <c r="D2613" i="104"/>
  <c r="G2612" i="104"/>
  <c r="F2612" i="104"/>
  <c r="E2612" i="104"/>
  <c r="D2612" i="104"/>
  <c r="G2611" i="104"/>
  <c r="F2611" i="104"/>
  <c r="E2611" i="104"/>
  <c r="D2611" i="104"/>
  <c r="G2610" i="104"/>
  <c r="F2610" i="104"/>
  <c r="E2610" i="104"/>
  <c r="D2610" i="104"/>
  <c r="G2609" i="104"/>
  <c r="F2609" i="104"/>
  <c r="E2609" i="104"/>
  <c r="D2609" i="104"/>
  <c r="G2608" i="104"/>
  <c r="F2608" i="104"/>
  <c r="E2608" i="104"/>
  <c r="D2608" i="104"/>
  <c r="G2607" i="104"/>
  <c r="F2607" i="104"/>
  <c r="E2607" i="104"/>
  <c r="D2607" i="104"/>
  <c r="G2606" i="104"/>
  <c r="F2606" i="104"/>
  <c r="E2606" i="104"/>
  <c r="D2606" i="104"/>
  <c r="G2605" i="104"/>
  <c r="F2605" i="104"/>
  <c r="E2605" i="104"/>
  <c r="D2605" i="104"/>
  <c r="G2604" i="104"/>
  <c r="F2604" i="104"/>
  <c r="E2604" i="104"/>
  <c r="D2604" i="104"/>
  <c r="G2603" i="104"/>
  <c r="F2603" i="104"/>
  <c r="E2603" i="104"/>
  <c r="D2603" i="104"/>
  <c r="G2602" i="104"/>
  <c r="F2602" i="104"/>
  <c r="E2602" i="104"/>
  <c r="D2602" i="104"/>
  <c r="G2601" i="104"/>
  <c r="F2601" i="104"/>
  <c r="E2601" i="104"/>
  <c r="D2601" i="104"/>
  <c r="G2600" i="104"/>
  <c r="F2600" i="104"/>
  <c r="E2600" i="104"/>
  <c r="D2600" i="104"/>
  <c r="G2599" i="104"/>
  <c r="F2599" i="104"/>
  <c r="E2599" i="104"/>
  <c r="D2599" i="104"/>
  <c r="G2598" i="104"/>
  <c r="F2598" i="104"/>
  <c r="E2598" i="104"/>
  <c r="D2598" i="104"/>
  <c r="G2597" i="104"/>
  <c r="F2597" i="104"/>
  <c r="E2597" i="104"/>
  <c r="D2597" i="104"/>
  <c r="G2596" i="104"/>
  <c r="F2596" i="104"/>
  <c r="E2596" i="104"/>
  <c r="D2596" i="104"/>
  <c r="G2595" i="104"/>
  <c r="F2595" i="104"/>
  <c r="E2595" i="104"/>
  <c r="D2595" i="104"/>
  <c r="G2594" i="104"/>
  <c r="F2594" i="104"/>
  <c r="E2594" i="104"/>
  <c r="D2594" i="104"/>
  <c r="G2593" i="104"/>
  <c r="F2593" i="104"/>
  <c r="E2593" i="104"/>
  <c r="D2593" i="104"/>
  <c r="G2592" i="104"/>
  <c r="F2592" i="104"/>
  <c r="E2592" i="104"/>
  <c r="D2592" i="104"/>
  <c r="G2591" i="104"/>
  <c r="F2591" i="104"/>
  <c r="E2591" i="104"/>
  <c r="D2591" i="104"/>
  <c r="G2590" i="104"/>
  <c r="F2590" i="104"/>
  <c r="E2590" i="104"/>
  <c r="D2590" i="104"/>
  <c r="G2589" i="104"/>
  <c r="F2589" i="104"/>
  <c r="E2589" i="104"/>
  <c r="D2589" i="104"/>
  <c r="G2588" i="104"/>
  <c r="F2588" i="104"/>
  <c r="E2588" i="104"/>
  <c r="D2588" i="104"/>
  <c r="G2587" i="104"/>
  <c r="F2587" i="104"/>
  <c r="E2587" i="104"/>
  <c r="D2587" i="104"/>
  <c r="G2586" i="104"/>
  <c r="F2586" i="104"/>
  <c r="E2586" i="104"/>
  <c r="D2586" i="104"/>
  <c r="G2585" i="104"/>
  <c r="F2585" i="104"/>
  <c r="E2585" i="104"/>
  <c r="D2585" i="104"/>
  <c r="G2584" i="104"/>
  <c r="F2584" i="104"/>
  <c r="E2584" i="104"/>
  <c r="D2584" i="104"/>
  <c r="G2583" i="104"/>
  <c r="F2583" i="104"/>
  <c r="E2583" i="104"/>
  <c r="D2583" i="104"/>
  <c r="G2582" i="104"/>
  <c r="F2582" i="104"/>
  <c r="E2582" i="104"/>
  <c r="D2582" i="104"/>
  <c r="G2581" i="104"/>
  <c r="F2581" i="104"/>
  <c r="E2581" i="104"/>
  <c r="D2581" i="104"/>
  <c r="G2580" i="104"/>
  <c r="F2580" i="104"/>
  <c r="E2580" i="104"/>
  <c r="D2580" i="104"/>
  <c r="G2579" i="104"/>
  <c r="F2579" i="104"/>
  <c r="E2579" i="104"/>
  <c r="D2579" i="104"/>
  <c r="G2578" i="104"/>
  <c r="F2578" i="104"/>
  <c r="E2578" i="104"/>
  <c r="D2578" i="104"/>
  <c r="G2577" i="104"/>
  <c r="F2577" i="104"/>
  <c r="E2577" i="104"/>
  <c r="D2577" i="104"/>
  <c r="G2576" i="104"/>
  <c r="F2576" i="104"/>
  <c r="E2576" i="104"/>
  <c r="D2576" i="104"/>
  <c r="G2575" i="104"/>
  <c r="F2575" i="104"/>
  <c r="E2575" i="104"/>
  <c r="D2575" i="104"/>
  <c r="G2574" i="104"/>
  <c r="F2574" i="104"/>
  <c r="E2574" i="104"/>
  <c r="D2574" i="104"/>
  <c r="G2573" i="104"/>
  <c r="F2573" i="104"/>
  <c r="E2573" i="104"/>
  <c r="D2573" i="104"/>
  <c r="G2572" i="104"/>
  <c r="F2572" i="104"/>
  <c r="E2572" i="104"/>
  <c r="D2572" i="104"/>
  <c r="G2571" i="104"/>
  <c r="F2571" i="104"/>
  <c r="E2571" i="104"/>
  <c r="D2571" i="104"/>
  <c r="G2570" i="104"/>
  <c r="F2570" i="104"/>
  <c r="E2570" i="104"/>
  <c r="D2570" i="104"/>
  <c r="G2569" i="104"/>
  <c r="F2569" i="104"/>
  <c r="E2569" i="104"/>
  <c r="D2569" i="104"/>
  <c r="G2568" i="104"/>
  <c r="F2568" i="104"/>
  <c r="E2568" i="104"/>
  <c r="D2568" i="104"/>
  <c r="G2567" i="104"/>
  <c r="F2567" i="104"/>
  <c r="E2567" i="104"/>
  <c r="D2567" i="104"/>
  <c r="G2566" i="104"/>
  <c r="F2566" i="104"/>
  <c r="E2566" i="104"/>
  <c r="D2566" i="104"/>
  <c r="G2565" i="104"/>
  <c r="F2565" i="104"/>
  <c r="E2565" i="104"/>
  <c r="D2565" i="104"/>
  <c r="G2564" i="104"/>
  <c r="F2564" i="104"/>
  <c r="E2564" i="104"/>
  <c r="D2564" i="104"/>
  <c r="G2563" i="104"/>
  <c r="F2563" i="104"/>
  <c r="E2563" i="104"/>
  <c r="D2563" i="104"/>
  <c r="G2562" i="104"/>
  <c r="F2562" i="104"/>
  <c r="E2562" i="104"/>
  <c r="D2562" i="104"/>
  <c r="G2561" i="104"/>
  <c r="F2561" i="104"/>
  <c r="E2561" i="104"/>
  <c r="D2561" i="104"/>
  <c r="G2560" i="104"/>
  <c r="F2560" i="104"/>
  <c r="E2560" i="104"/>
  <c r="D2560" i="104"/>
  <c r="G2559" i="104"/>
  <c r="F2559" i="104"/>
  <c r="E2559" i="104"/>
  <c r="D2559" i="104"/>
  <c r="G2558" i="104"/>
  <c r="F2558" i="104"/>
  <c r="E2558" i="104"/>
  <c r="D2558" i="104"/>
  <c r="G2557" i="104"/>
  <c r="F2557" i="104"/>
  <c r="E2557" i="104"/>
  <c r="D2557" i="104"/>
  <c r="G2556" i="104"/>
  <c r="F2556" i="104"/>
  <c r="E2556" i="104"/>
  <c r="D2556" i="104"/>
  <c r="G2555" i="104"/>
  <c r="F2555" i="104"/>
  <c r="E2555" i="104"/>
  <c r="D2555" i="104"/>
  <c r="G2554" i="104"/>
  <c r="F2554" i="104"/>
  <c r="E2554" i="104"/>
  <c r="D2554" i="104"/>
  <c r="G2553" i="104"/>
  <c r="F2553" i="104"/>
  <c r="E2553" i="104"/>
  <c r="D2553" i="104"/>
  <c r="G2552" i="104"/>
  <c r="F2552" i="104"/>
  <c r="E2552" i="104"/>
  <c r="D2552" i="104"/>
  <c r="G2551" i="104"/>
  <c r="F2551" i="104"/>
  <c r="E2551" i="104"/>
  <c r="D2551" i="104"/>
  <c r="G2550" i="104"/>
  <c r="F2550" i="104"/>
  <c r="E2550" i="104"/>
  <c r="D2550" i="104"/>
  <c r="G2549" i="104"/>
  <c r="F2549" i="104"/>
  <c r="E2549" i="104"/>
  <c r="D2549" i="104"/>
  <c r="G2548" i="104"/>
  <c r="F2548" i="104"/>
  <c r="E2548" i="104"/>
  <c r="D2548" i="104"/>
  <c r="G2547" i="104"/>
  <c r="F2547" i="104"/>
  <c r="E2547" i="104"/>
  <c r="D2547" i="104"/>
  <c r="G2546" i="104"/>
  <c r="F2546" i="104"/>
  <c r="E2546" i="104"/>
  <c r="D2546" i="104"/>
  <c r="G2545" i="104"/>
  <c r="F2545" i="104"/>
  <c r="E2545" i="104"/>
  <c r="D2545" i="104"/>
  <c r="G2544" i="104"/>
  <c r="F2544" i="104"/>
  <c r="E2544" i="104"/>
  <c r="D2544" i="104"/>
  <c r="G2543" i="104"/>
  <c r="F2543" i="104"/>
  <c r="E2543" i="104"/>
  <c r="D2543" i="104"/>
  <c r="G2542" i="104"/>
  <c r="F2542" i="104"/>
  <c r="E2542" i="104"/>
  <c r="D2542" i="104"/>
  <c r="G2541" i="104"/>
  <c r="F2541" i="104"/>
  <c r="E2541" i="104"/>
  <c r="D2541" i="104"/>
  <c r="G2540" i="104"/>
  <c r="F2540" i="104"/>
  <c r="E2540" i="104"/>
  <c r="D2540" i="104"/>
  <c r="G2539" i="104"/>
  <c r="F2539" i="104"/>
  <c r="E2539" i="104"/>
  <c r="D2539" i="104"/>
  <c r="G2538" i="104"/>
  <c r="F2538" i="104"/>
  <c r="E2538" i="104"/>
  <c r="D2538" i="104"/>
  <c r="G2537" i="104"/>
  <c r="F2537" i="104"/>
  <c r="E2537" i="104"/>
  <c r="D2537" i="104"/>
  <c r="G2536" i="104"/>
  <c r="F2536" i="104"/>
  <c r="E2536" i="104"/>
  <c r="D2536" i="104"/>
  <c r="G2535" i="104"/>
  <c r="F2535" i="104"/>
  <c r="E2535" i="104"/>
  <c r="D2535" i="104"/>
  <c r="G2534" i="104"/>
  <c r="F2534" i="104"/>
  <c r="E2534" i="104"/>
  <c r="D2534" i="104"/>
  <c r="G2533" i="104"/>
  <c r="F2533" i="104"/>
  <c r="E2533" i="104"/>
  <c r="D2533" i="104"/>
  <c r="G2532" i="104"/>
  <c r="F2532" i="104"/>
  <c r="E2532" i="104"/>
  <c r="D2532" i="104"/>
  <c r="G2531" i="104"/>
  <c r="F2531" i="104"/>
  <c r="E2531" i="104"/>
  <c r="D2531" i="104"/>
  <c r="G2530" i="104"/>
  <c r="F2530" i="104"/>
  <c r="E2530" i="104"/>
  <c r="D2530" i="104"/>
  <c r="G2529" i="104"/>
  <c r="F2529" i="104"/>
  <c r="E2529" i="104"/>
  <c r="D2529" i="104"/>
  <c r="G2528" i="104"/>
  <c r="F2528" i="104"/>
  <c r="E2528" i="104"/>
  <c r="D2528" i="104"/>
  <c r="G2527" i="104"/>
  <c r="F2527" i="104"/>
  <c r="E2527" i="104"/>
  <c r="D2527" i="104"/>
  <c r="G2526" i="104"/>
  <c r="F2526" i="104"/>
  <c r="E2526" i="104"/>
  <c r="D2526" i="104"/>
  <c r="G2525" i="104"/>
  <c r="F2525" i="104"/>
  <c r="E2525" i="104"/>
  <c r="D2525" i="104"/>
  <c r="G2524" i="104"/>
  <c r="F2524" i="104"/>
  <c r="E2524" i="104"/>
  <c r="D2524" i="104"/>
  <c r="G2523" i="104"/>
  <c r="F2523" i="104"/>
  <c r="E2523" i="104"/>
  <c r="D2523" i="104"/>
  <c r="G2522" i="104"/>
  <c r="F2522" i="104"/>
  <c r="E2522" i="104"/>
  <c r="D2522" i="104"/>
  <c r="G2521" i="104"/>
  <c r="F2521" i="104"/>
  <c r="E2521" i="104"/>
  <c r="D2521" i="104"/>
  <c r="G2520" i="104"/>
  <c r="F2520" i="104"/>
  <c r="E2520" i="104"/>
  <c r="D2520" i="104"/>
  <c r="G2519" i="104"/>
  <c r="F2519" i="104"/>
  <c r="E2519" i="104"/>
  <c r="D2519" i="104"/>
  <c r="G2518" i="104"/>
  <c r="F2518" i="104"/>
  <c r="E2518" i="104"/>
  <c r="D2518" i="104"/>
  <c r="G2517" i="104"/>
  <c r="F2517" i="104"/>
  <c r="E2517" i="104"/>
  <c r="D2517" i="104"/>
  <c r="G2516" i="104"/>
  <c r="F2516" i="104"/>
  <c r="E2516" i="104"/>
  <c r="D2516" i="104"/>
  <c r="G2515" i="104"/>
  <c r="F2515" i="104"/>
  <c r="E2515" i="104"/>
  <c r="D2515" i="104"/>
  <c r="G2514" i="104"/>
  <c r="F2514" i="104"/>
  <c r="E2514" i="104"/>
  <c r="D2514" i="104"/>
  <c r="G2513" i="104"/>
  <c r="F2513" i="104"/>
  <c r="E2513" i="104"/>
  <c r="D2513" i="104"/>
  <c r="G2512" i="104"/>
  <c r="F2512" i="104"/>
  <c r="E2512" i="104"/>
  <c r="D2512" i="104"/>
  <c r="G2511" i="104"/>
  <c r="F2511" i="104"/>
  <c r="E2511" i="104"/>
  <c r="D2511" i="104"/>
  <c r="G2510" i="104"/>
  <c r="F2510" i="104"/>
  <c r="E2510" i="104"/>
  <c r="D2510" i="104"/>
  <c r="G2509" i="104"/>
  <c r="F2509" i="104"/>
  <c r="E2509" i="104"/>
  <c r="D2509" i="104"/>
  <c r="G2508" i="104"/>
  <c r="F2508" i="104"/>
  <c r="E2508" i="104"/>
  <c r="D2508" i="104"/>
  <c r="G2507" i="104"/>
  <c r="F2507" i="104"/>
  <c r="E2507" i="104"/>
  <c r="D2507" i="104"/>
  <c r="G2506" i="104"/>
  <c r="F2506" i="104"/>
  <c r="E2506" i="104"/>
  <c r="D2506" i="104"/>
  <c r="G2505" i="104"/>
  <c r="F2505" i="104"/>
  <c r="E2505" i="104"/>
  <c r="D2505" i="104"/>
  <c r="G2504" i="104"/>
  <c r="F2504" i="104"/>
  <c r="E2504" i="104"/>
  <c r="D2504" i="104"/>
  <c r="G2503" i="104"/>
  <c r="F2503" i="104"/>
  <c r="E2503" i="104"/>
  <c r="D2503" i="104"/>
  <c r="G2502" i="104"/>
  <c r="F2502" i="104"/>
  <c r="E2502" i="104"/>
  <c r="D2502" i="104"/>
  <c r="G2501" i="104"/>
  <c r="F2501" i="104"/>
  <c r="E2501" i="104"/>
  <c r="D2501" i="104"/>
  <c r="G2500" i="104"/>
  <c r="F2500" i="104"/>
  <c r="E2500" i="104"/>
  <c r="D2500" i="104"/>
  <c r="G2499" i="104"/>
  <c r="F2499" i="104"/>
  <c r="E2499" i="104"/>
  <c r="D2499" i="104"/>
  <c r="G2498" i="104"/>
  <c r="F2498" i="104"/>
  <c r="E2498" i="104"/>
  <c r="D2498" i="104"/>
  <c r="G2497" i="104"/>
  <c r="F2497" i="104"/>
  <c r="E2497" i="104"/>
  <c r="D2497" i="104"/>
  <c r="G2496" i="104"/>
  <c r="F2496" i="104"/>
  <c r="E2496" i="104"/>
  <c r="D2496" i="104"/>
  <c r="G2495" i="104"/>
  <c r="F2495" i="104"/>
  <c r="E2495" i="104"/>
  <c r="D2495" i="104"/>
  <c r="G2494" i="104"/>
  <c r="F2494" i="104"/>
  <c r="E2494" i="104"/>
  <c r="D2494" i="104"/>
  <c r="G2493" i="104"/>
  <c r="F2493" i="104"/>
  <c r="E2493" i="104"/>
  <c r="D2493" i="104"/>
  <c r="G2492" i="104"/>
  <c r="F2492" i="104"/>
  <c r="E2492" i="104"/>
  <c r="D2492" i="104"/>
  <c r="G2491" i="104"/>
  <c r="F2491" i="104"/>
  <c r="E2491" i="104"/>
  <c r="D2491" i="104"/>
  <c r="G2490" i="104"/>
  <c r="F2490" i="104"/>
  <c r="E2490" i="104"/>
  <c r="D2490" i="104"/>
  <c r="G2489" i="104"/>
  <c r="F2489" i="104"/>
  <c r="E2489" i="104"/>
  <c r="D2489" i="104"/>
  <c r="G2488" i="104"/>
  <c r="F2488" i="104"/>
  <c r="E2488" i="104"/>
  <c r="D2488" i="104"/>
  <c r="G2487" i="104"/>
  <c r="F2487" i="104"/>
  <c r="E2487" i="104"/>
  <c r="D2487" i="104"/>
  <c r="G2486" i="104"/>
  <c r="F2486" i="104"/>
  <c r="E2486" i="104"/>
  <c r="D2486" i="104"/>
  <c r="G2485" i="104"/>
  <c r="F2485" i="104"/>
  <c r="E2485" i="104"/>
  <c r="D2485" i="104"/>
  <c r="G2484" i="104"/>
  <c r="F2484" i="104"/>
  <c r="E2484" i="104"/>
  <c r="D2484" i="104"/>
  <c r="G2483" i="104"/>
  <c r="F2483" i="104"/>
  <c r="E2483" i="104"/>
  <c r="D2483" i="104"/>
  <c r="G2482" i="104"/>
  <c r="F2482" i="104"/>
  <c r="E2482" i="104"/>
  <c r="D2482" i="104"/>
  <c r="G2481" i="104"/>
  <c r="F2481" i="104"/>
  <c r="E2481" i="104"/>
  <c r="D2481" i="104"/>
  <c r="G2480" i="104"/>
  <c r="F2480" i="104"/>
  <c r="E2480" i="104"/>
  <c r="D2480" i="104"/>
  <c r="G2479" i="104"/>
  <c r="F2479" i="104"/>
  <c r="E2479" i="104"/>
  <c r="D2479" i="104"/>
  <c r="G2478" i="104"/>
  <c r="F2478" i="104"/>
  <c r="E2478" i="104"/>
  <c r="D2478" i="104"/>
  <c r="G2477" i="104"/>
  <c r="F2477" i="104"/>
  <c r="E2477" i="104"/>
  <c r="D2477" i="104"/>
  <c r="G2476" i="104"/>
  <c r="F2476" i="104"/>
  <c r="E2476" i="104"/>
  <c r="D2476" i="104"/>
  <c r="G2475" i="104"/>
  <c r="F2475" i="104"/>
  <c r="E2475" i="104"/>
  <c r="D2475" i="104"/>
  <c r="G2474" i="104"/>
  <c r="F2474" i="104"/>
  <c r="E2474" i="104"/>
  <c r="D2474" i="104"/>
  <c r="G2473" i="104"/>
  <c r="F2473" i="104"/>
  <c r="E2473" i="104"/>
  <c r="D2473" i="104"/>
  <c r="G2472" i="104"/>
  <c r="F2472" i="104"/>
  <c r="E2472" i="104"/>
  <c r="D2472" i="104"/>
  <c r="G2471" i="104"/>
  <c r="F2471" i="104"/>
  <c r="E2471" i="104"/>
  <c r="D2471" i="104"/>
  <c r="G2470" i="104"/>
  <c r="F2470" i="104"/>
  <c r="E2470" i="104"/>
  <c r="D2470" i="104"/>
  <c r="G2469" i="104"/>
  <c r="F2469" i="104"/>
  <c r="E2469" i="104"/>
  <c r="D2469" i="104"/>
  <c r="G2468" i="104"/>
  <c r="F2468" i="104"/>
  <c r="E2468" i="104"/>
  <c r="D2468" i="104"/>
  <c r="G2467" i="104"/>
  <c r="F2467" i="104"/>
  <c r="E2467" i="104"/>
  <c r="D2467" i="104"/>
  <c r="G2466" i="104"/>
  <c r="F2466" i="104"/>
  <c r="E2466" i="104"/>
  <c r="D2466" i="104"/>
  <c r="G2465" i="104"/>
  <c r="F2465" i="104"/>
  <c r="E2465" i="104"/>
  <c r="D2465" i="104"/>
  <c r="G2464" i="104"/>
  <c r="F2464" i="104"/>
  <c r="E2464" i="104"/>
  <c r="D2464" i="104"/>
  <c r="G2463" i="104"/>
  <c r="F2463" i="104"/>
  <c r="E2463" i="104"/>
  <c r="D2463" i="104"/>
  <c r="G2462" i="104"/>
  <c r="F2462" i="104"/>
  <c r="E2462" i="104"/>
  <c r="D2462" i="104"/>
  <c r="G2461" i="104"/>
  <c r="F2461" i="104"/>
  <c r="E2461" i="104"/>
  <c r="D2461" i="104"/>
  <c r="G2460" i="104"/>
  <c r="F2460" i="104"/>
  <c r="E2460" i="104"/>
  <c r="D2460" i="104"/>
  <c r="G2459" i="104"/>
  <c r="F2459" i="104"/>
  <c r="E2459" i="104"/>
  <c r="D2459" i="104"/>
  <c r="G2458" i="104"/>
  <c r="F2458" i="104"/>
  <c r="E2458" i="104"/>
  <c r="D2458" i="104"/>
  <c r="G2457" i="104"/>
  <c r="F2457" i="104"/>
  <c r="E2457" i="104"/>
  <c r="D2457" i="104"/>
  <c r="G2456" i="104"/>
  <c r="F2456" i="104"/>
  <c r="E2456" i="104"/>
  <c r="D2456" i="104"/>
  <c r="G2455" i="104"/>
  <c r="F2455" i="104"/>
  <c r="E2455" i="104"/>
  <c r="D2455" i="104"/>
  <c r="G2454" i="104"/>
  <c r="F2454" i="104"/>
  <c r="E2454" i="104"/>
  <c r="D2454" i="104"/>
  <c r="G2453" i="104"/>
  <c r="F2453" i="104"/>
  <c r="E2453" i="104"/>
  <c r="D2453" i="104"/>
  <c r="G2452" i="104"/>
  <c r="F2452" i="104"/>
  <c r="E2452" i="104"/>
  <c r="D2452" i="104"/>
  <c r="G2451" i="104"/>
  <c r="F2451" i="104"/>
  <c r="E2451" i="104"/>
  <c r="D2451" i="104"/>
  <c r="G2450" i="104"/>
  <c r="F2450" i="104"/>
  <c r="E2450" i="104"/>
  <c r="D2450" i="104"/>
  <c r="G2449" i="104"/>
  <c r="F2449" i="104"/>
  <c r="E2449" i="104"/>
  <c r="D2449" i="104"/>
  <c r="G2448" i="104"/>
  <c r="F2448" i="104"/>
  <c r="E2448" i="104"/>
  <c r="D2448" i="104"/>
  <c r="G2447" i="104"/>
  <c r="F2447" i="104"/>
  <c r="E2447" i="104"/>
  <c r="D2447" i="104"/>
  <c r="G2446" i="104"/>
  <c r="F2446" i="104"/>
  <c r="E2446" i="104"/>
  <c r="D2446" i="104"/>
  <c r="G2445" i="104"/>
  <c r="F2445" i="104"/>
  <c r="E2445" i="104"/>
  <c r="D2445" i="104"/>
  <c r="G2444" i="104"/>
  <c r="F2444" i="104"/>
  <c r="E2444" i="104"/>
  <c r="D2444" i="104"/>
  <c r="G2443" i="104"/>
  <c r="F2443" i="104"/>
  <c r="E2443" i="104"/>
  <c r="D2443" i="104"/>
  <c r="G2442" i="104"/>
  <c r="F2442" i="104"/>
  <c r="E2442" i="104"/>
  <c r="D2442" i="104"/>
  <c r="G2441" i="104"/>
  <c r="F2441" i="104"/>
  <c r="E2441" i="104"/>
  <c r="D2441" i="104"/>
  <c r="G2440" i="104"/>
  <c r="F2440" i="104"/>
  <c r="E2440" i="104"/>
  <c r="D2440" i="104"/>
  <c r="G2439" i="104"/>
  <c r="F2439" i="104"/>
  <c r="E2439" i="104"/>
  <c r="D2439" i="104"/>
  <c r="G2438" i="104"/>
  <c r="F2438" i="104"/>
  <c r="E2438" i="104"/>
  <c r="D2438" i="104"/>
  <c r="G2437" i="104"/>
  <c r="F2437" i="104"/>
  <c r="E2437" i="104"/>
  <c r="D2437" i="104"/>
  <c r="G2436" i="104"/>
  <c r="F2436" i="104"/>
  <c r="E2436" i="104"/>
  <c r="D2436" i="104"/>
  <c r="G2435" i="104"/>
  <c r="F2435" i="104"/>
  <c r="E2435" i="104"/>
  <c r="D2435" i="104"/>
  <c r="G2434" i="104"/>
  <c r="F2434" i="104"/>
  <c r="E2434" i="104"/>
  <c r="D2434" i="104"/>
  <c r="G2433" i="104"/>
  <c r="F2433" i="104"/>
  <c r="E2433" i="104"/>
  <c r="D2433" i="104"/>
  <c r="G2432" i="104"/>
  <c r="F2432" i="104"/>
  <c r="E2432" i="104"/>
  <c r="D2432" i="104"/>
  <c r="G2431" i="104"/>
  <c r="F2431" i="104"/>
  <c r="E2431" i="104"/>
  <c r="D2431" i="104"/>
  <c r="G2430" i="104"/>
  <c r="F2430" i="104"/>
  <c r="E2430" i="104"/>
  <c r="D2430" i="104"/>
  <c r="G2429" i="104"/>
  <c r="F2429" i="104"/>
  <c r="E2429" i="104"/>
  <c r="D2429" i="104"/>
  <c r="G2428" i="104"/>
  <c r="F2428" i="104"/>
  <c r="E2428" i="104"/>
  <c r="D2428" i="104"/>
  <c r="G2427" i="104"/>
  <c r="F2427" i="104"/>
  <c r="E2427" i="104"/>
  <c r="D2427" i="104"/>
  <c r="G2426" i="104"/>
  <c r="F2426" i="104"/>
  <c r="E2426" i="104"/>
  <c r="D2426" i="104"/>
  <c r="G2425" i="104"/>
  <c r="F2425" i="104"/>
  <c r="E2425" i="104"/>
  <c r="D2425" i="104"/>
  <c r="G2424" i="104"/>
  <c r="F2424" i="104"/>
  <c r="E2424" i="104"/>
  <c r="D2424" i="104"/>
  <c r="G2423" i="104"/>
  <c r="F2423" i="104"/>
  <c r="E2423" i="104"/>
  <c r="D2423" i="104"/>
  <c r="G2422" i="104"/>
  <c r="F2422" i="104"/>
  <c r="E2422" i="104"/>
  <c r="D2422" i="104"/>
  <c r="G2421" i="104"/>
  <c r="F2421" i="104"/>
  <c r="E2421" i="104"/>
  <c r="D2421" i="104"/>
  <c r="G2420" i="104"/>
  <c r="F2420" i="104"/>
  <c r="E2420" i="104"/>
  <c r="D2420" i="104"/>
  <c r="G2419" i="104"/>
  <c r="F2419" i="104"/>
  <c r="E2419" i="104"/>
  <c r="D2419" i="104"/>
  <c r="G2418" i="104"/>
  <c r="F2418" i="104"/>
  <c r="E2418" i="104"/>
  <c r="D2418" i="104"/>
  <c r="G2417" i="104"/>
  <c r="F2417" i="104"/>
  <c r="E2417" i="104"/>
  <c r="D2417" i="104"/>
  <c r="G2416" i="104"/>
  <c r="F2416" i="104"/>
  <c r="E2416" i="104"/>
  <c r="D2416" i="104"/>
  <c r="G2415" i="104"/>
  <c r="F2415" i="104"/>
  <c r="E2415" i="104"/>
  <c r="D2415" i="104"/>
  <c r="G2414" i="104"/>
  <c r="F2414" i="104"/>
  <c r="E2414" i="104"/>
  <c r="D2414" i="104"/>
  <c r="G2413" i="104"/>
  <c r="F2413" i="104"/>
  <c r="E2413" i="104"/>
  <c r="D2413" i="104"/>
  <c r="G2412" i="104"/>
  <c r="F2412" i="104"/>
  <c r="E2412" i="104"/>
  <c r="D2412" i="104"/>
  <c r="G2411" i="104"/>
  <c r="F2411" i="104"/>
  <c r="E2411" i="104"/>
  <c r="D2411" i="104"/>
  <c r="G2410" i="104"/>
  <c r="F2410" i="104"/>
  <c r="E2410" i="104"/>
  <c r="D2410" i="104"/>
  <c r="G2409" i="104"/>
  <c r="F2409" i="104"/>
  <c r="E2409" i="104"/>
  <c r="D2409" i="104"/>
  <c r="G2408" i="104"/>
  <c r="F2408" i="104"/>
  <c r="E2408" i="104"/>
  <c r="D2408" i="104"/>
  <c r="G2407" i="104"/>
  <c r="F2407" i="104"/>
  <c r="E2407" i="104"/>
  <c r="D2407" i="104"/>
  <c r="G2406" i="104"/>
  <c r="F2406" i="104"/>
  <c r="E2406" i="104"/>
  <c r="D2406" i="104"/>
  <c r="G2405" i="104"/>
  <c r="F2405" i="104"/>
  <c r="E2405" i="104"/>
  <c r="D2405" i="104"/>
  <c r="G2404" i="104"/>
  <c r="F2404" i="104"/>
  <c r="E2404" i="104"/>
  <c r="D2404" i="104"/>
  <c r="G2403" i="104"/>
  <c r="F2403" i="104"/>
  <c r="E2403" i="104"/>
  <c r="D2403" i="104"/>
  <c r="G2402" i="104"/>
  <c r="F2402" i="104"/>
  <c r="E2402" i="104"/>
  <c r="D2402" i="104"/>
  <c r="G2401" i="104"/>
  <c r="F2401" i="104"/>
  <c r="E2401" i="104"/>
  <c r="D2401" i="104"/>
  <c r="G2400" i="104"/>
  <c r="F2400" i="104"/>
  <c r="E2400" i="104"/>
  <c r="D2400" i="104"/>
  <c r="G2399" i="104"/>
  <c r="F2399" i="104"/>
  <c r="E2399" i="104"/>
  <c r="D2399" i="104"/>
  <c r="G2398" i="104"/>
  <c r="F2398" i="104"/>
  <c r="E2398" i="104"/>
  <c r="D2398" i="104"/>
  <c r="G2397" i="104"/>
  <c r="F2397" i="104"/>
  <c r="E2397" i="104"/>
  <c r="D2397" i="104"/>
  <c r="G2396" i="104"/>
  <c r="F2396" i="104"/>
  <c r="E2396" i="104"/>
  <c r="D2396" i="104"/>
  <c r="G2395" i="104"/>
  <c r="F2395" i="104"/>
  <c r="E2395" i="104"/>
  <c r="D2395" i="104"/>
  <c r="G2394" i="104"/>
  <c r="F2394" i="104"/>
  <c r="E2394" i="104"/>
  <c r="D2394" i="104"/>
  <c r="G2393" i="104"/>
  <c r="F2393" i="104"/>
  <c r="E2393" i="104"/>
  <c r="D2393" i="104"/>
  <c r="G2392" i="104"/>
  <c r="F2392" i="104"/>
  <c r="E2392" i="104"/>
  <c r="D2392" i="104"/>
  <c r="G2391" i="104"/>
  <c r="F2391" i="104"/>
  <c r="E2391" i="104"/>
  <c r="D2391" i="104"/>
  <c r="G2390" i="104"/>
  <c r="F2390" i="104"/>
  <c r="E2390" i="104"/>
  <c r="D2390" i="104"/>
  <c r="G2389" i="104"/>
  <c r="F2389" i="104"/>
  <c r="E2389" i="104"/>
  <c r="D2389" i="104"/>
  <c r="G2388" i="104"/>
  <c r="F2388" i="104"/>
  <c r="E2388" i="104"/>
  <c r="D2388" i="104"/>
  <c r="G2387" i="104"/>
  <c r="F2387" i="104"/>
  <c r="E2387" i="104"/>
  <c r="D2387" i="104"/>
  <c r="G2386" i="104"/>
  <c r="F2386" i="104"/>
  <c r="E2386" i="104"/>
  <c r="D2386" i="104"/>
  <c r="G2385" i="104"/>
  <c r="F2385" i="104"/>
  <c r="E2385" i="104"/>
  <c r="D2385" i="104"/>
  <c r="G2384" i="104"/>
  <c r="F2384" i="104"/>
  <c r="E2384" i="104"/>
  <c r="D2384" i="104"/>
  <c r="G2383" i="104"/>
  <c r="F2383" i="104"/>
  <c r="E2383" i="104"/>
  <c r="D2383" i="104"/>
  <c r="G2382" i="104"/>
  <c r="F2382" i="104"/>
  <c r="E2382" i="104"/>
  <c r="D2382" i="104"/>
  <c r="G2381" i="104"/>
  <c r="F2381" i="104"/>
  <c r="E2381" i="104"/>
  <c r="D2381" i="104"/>
  <c r="G2380" i="104"/>
  <c r="F2380" i="104"/>
  <c r="E2380" i="104"/>
  <c r="D2380" i="104"/>
  <c r="G2379" i="104"/>
  <c r="F2379" i="104"/>
  <c r="E2379" i="104"/>
  <c r="D2379" i="104"/>
  <c r="G2378" i="104"/>
  <c r="F2378" i="104"/>
  <c r="E2378" i="104"/>
  <c r="D2378" i="104"/>
  <c r="G2377" i="104"/>
  <c r="F2377" i="104"/>
  <c r="E2377" i="104"/>
  <c r="D2377" i="104"/>
  <c r="G2376" i="104"/>
  <c r="F2376" i="104"/>
  <c r="E2376" i="104"/>
  <c r="D2376" i="104"/>
  <c r="G2375" i="104"/>
  <c r="F2375" i="104"/>
  <c r="E2375" i="104"/>
  <c r="D2375" i="104"/>
  <c r="G2374" i="104"/>
  <c r="F2374" i="104"/>
  <c r="E2374" i="104"/>
  <c r="D2374" i="104"/>
  <c r="G2373" i="104"/>
  <c r="F2373" i="104"/>
  <c r="E2373" i="104"/>
  <c r="D2373" i="104"/>
  <c r="G2372" i="104"/>
  <c r="F2372" i="104"/>
  <c r="E2372" i="104"/>
  <c r="D2372" i="104"/>
  <c r="G2371" i="104"/>
  <c r="F2371" i="104"/>
  <c r="E2371" i="104"/>
  <c r="D2371" i="104"/>
  <c r="G2370" i="104"/>
  <c r="F2370" i="104"/>
  <c r="E2370" i="104"/>
  <c r="D2370" i="104"/>
  <c r="G2369" i="104"/>
  <c r="F2369" i="104"/>
  <c r="E2369" i="104"/>
  <c r="D2369" i="104"/>
  <c r="G2368" i="104"/>
  <c r="F2368" i="104"/>
  <c r="E2368" i="104"/>
  <c r="D2368" i="104"/>
  <c r="G2367" i="104"/>
  <c r="F2367" i="104"/>
  <c r="E2367" i="104"/>
  <c r="D2367" i="104"/>
  <c r="G2366" i="104"/>
  <c r="F2366" i="104"/>
  <c r="E2366" i="104"/>
  <c r="D2366" i="104"/>
  <c r="G2365" i="104"/>
  <c r="F2365" i="104"/>
  <c r="E2365" i="104"/>
  <c r="D2365" i="104"/>
  <c r="G2364" i="104"/>
  <c r="F2364" i="104"/>
  <c r="E2364" i="104"/>
  <c r="D2364" i="104"/>
  <c r="G2363" i="104"/>
  <c r="F2363" i="104"/>
  <c r="E2363" i="104"/>
  <c r="D2363" i="104"/>
  <c r="G2362" i="104"/>
  <c r="F2362" i="104"/>
  <c r="E2362" i="104"/>
  <c r="D2362" i="104"/>
  <c r="G2361" i="104"/>
  <c r="F2361" i="104"/>
  <c r="E2361" i="104"/>
  <c r="D2361" i="104"/>
  <c r="G2360" i="104"/>
  <c r="F2360" i="104"/>
  <c r="E2360" i="104"/>
  <c r="D2360" i="104"/>
  <c r="G2359" i="104"/>
  <c r="F2359" i="104"/>
  <c r="E2359" i="104"/>
  <c r="D2359" i="104"/>
  <c r="G2358" i="104"/>
  <c r="F2358" i="104"/>
  <c r="E2358" i="104"/>
  <c r="D2358" i="104"/>
  <c r="G2357" i="104"/>
  <c r="F2357" i="104"/>
  <c r="E2357" i="104"/>
  <c r="D2357" i="104"/>
  <c r="G2356" i="104"/>
  <c r="F2356" i="104"/>
  <c r="E2356" i="104"/>
  <c r="D2356" i="104"/>
  <c r="G2355" i="104"/>
  <c r="F2355" i="104"/>
  <c r="E2355" i="104"/>
  <c r="D2355" i="104"/>
  <c r="G2354" i="104"/>
  <c r="F2354" i="104"/>
  <c r="E2354" i="104"/>
  <c r="D2354" i="104"/>
  <c r="G2353" i="104"/>
  <c r="F2353" i="104"/>
  <c r="E2353" i="104"/>
  <c r="D2353" i="104"/>
  <c r="G2352" i="104"/>
  <c r="F2352" i="104"/>
  <c r="E2352" i="104"/>
  <c r="D2352" i="104"/>
  <c r="G2351" i="104"/>
  <c r="F2351" i="104"/>
  <c r="E2351" i="104"/>
  <c r="D2351" i="104"/>
  <c r="G2350" i="104"/>
  <c r="F2350" i="104"/>
  <c r="E2350" i="104"/>
  <c r="D2350" i="104"/>
  <c r="G2349" i="104"/>
  <c r="F2349" i="104"/>
  <c r="E2349" i="104"/>
  <c r="D2349" i="104"/>
  <c r="G2348" i="104"/>
  <c r="F2348" i="104"/>
  <c r="E2348" i="104"/>
  <c r="D2348" i="104"/>
  <c r="G2347" i="104"/>
  <c r="F2347" i="104"/>
  <c r="E2347" i="104"/>
  <c r="D2347" i="104"/>
  <c r="G2346" i="104"/>
  <c r="F2346" i="104"/>
  <c r="E2346" i="104"/>
  <c r="D2346" i="104"/>
  <c r="G2345" i="104"/>
  <c r="F2345" i="104"/>
  <c r="E2345" i="104"/>
  <c r="D2345" i="104"/>
  <c r="G2344" i="104"/>
  <c r="F2344" i="104"/>
  <c r="E2344" i="104"/>
  <c r="D2344" i="104"/>
  <c r="G2343" i="104"/>
  <c r="F2343" i="104"/>
  <c r="E2343" i="104"/>
  <c r="D2343" i="104"/>
  <c r="G2342" i="104"/>
  <c r="F2342" i="104"/>
  <c r="E2342" i="104"/>
  <c r="D2342" i="104"/>
  <c r="G2341" i="104"/>
  <c r="F2341" i="104"/>
  <c r="E2341" i="104"/>
  <c r="D2341" i="104"/>
  <c r="G2340" i="104"/>
  <c r="F2340" i="104"/>
  <c r="E2340" i="104"/>
  <c r="D2340" i="104"/>
  <c r="G2339" i="104"/>
  <c r="F2339" i="104"/>
  <c r="E2339" i="104"/>
  <c r="D2339" i="104"/>
  <c r="G2338" i="104"/>
  <c r="F2338" i="104"/>
  <c r="E2338" i="104"/>
  <c r="D2338" i="104"/>
  <c r="G2337" i="104"/>
  <c r="F2337" i="104"/>
  <c r="E2337" i="104"/>
  <c r="D2337" i="104"/>
  <c r="G2336" i="104"/>
  <c r="F2336" i="104"/>
  <c r="E2336" i="104"/>
  <c r="D2336" i="104"/>
  <c r="G2335" i="104"/>
  <c r="F2335" i="104"/>
  <c r="E2335" i="104"/>
  <c r="D2335" i="104"/>
  <c r="G2334" i="104"/>
  <c r="F2334" i="104"/>
  <c r="E2334" i="104"/>
  <c r="D2334" i="104"/>
  <c r="G2333" i="104"/>
  <c r="F2333" i="104"/>
  <c r="E2333" i="104"/>
  <c r="D2333" i="104"/>
  <c r="G2332" i="104"/>
  <c r="F2332" i="104"/>
  <c r="E2332" i="104"/>
  <c r="D2332" i="104"/>
  <c r="G2331" i="104"/>
  <c r="F2331" i="104"/>
  <c r="E2331" i="104"/>
  <c r="D2331" i="104"/>
  <c r="G2330" i="104"/>
  <c r="F2330" i="104"/>
  <c r="E2330" i="104"/>
  <c r="D2330" i="104"/>
  <c r="G2329" i="104"/>
  <c r="F2329" i="104"/>
  <c r="E2329" i="104"/>
  <c r="D2329" i="104"/>
  <c r="G2328" i="104"/>
  <c r="F2328" i="104"/>
  <c r="E2328" i="104"/>
  <c r="D2328" i="104"/>
  <c r="G2327" i="104"/>
  <c r="F2327" i="104"/>
  <c r="E2327" i="104"/>
  <c r="D2327" i="104"/>
  <c r="G2326" i="104"/>
  <c r="F2326" i="104"/>
  <c r="E2326" i="104"/>
  <c r="D2326" i="104"/>
  <c r="G2325" i="104"/>
  <c r="F2325" i="104"/>
  <c r="E2325" i="104"/>
  <c r="D2325" i="104"/>
  <c r="G2324" i="104"/>
  <c r="F2324" i="104"/>
  <c r="E2324" i="104"/>
  <c r="D2324" i="104"/>
  <c r="G2323" i="104"/>
  <c r="F2323" i="104"/>
  <c r="E2323" i="104"/>
  <c r="D2323" i="104"/>
  <c r="G2322" i="104"/>
  <c r="F2322" i="104"/>
  <c r="E2322" i="104"/>
  <c r="D2322" i="104"/>
  <c r="G2321" i="104"/>
  <c r="F2321" i="104"/>
  <c r="E2321" i="104"/>
  <c r="D2321" i="104"/>
  <c r="G2320" i="104"/>
  <c r="F2320" i="104"/>
  <c r="E2320" i="104"/>
  <c r="D2320" i="104"/>
  <c r="G2319" i="104"/>
  <c r="F2319" i="104"/>
  <c r="E2319" i="104"/>
  <c r="D2319" i="104"/>
  <c r="G2318" i="104"/>
  <c r="F2318" i="104"/>
  <c r="E2318" i="104"/>
  <c r="D2318" i="104"/>
  <c r="G2317" i="104"/>
  <c r="F2317" i="104"/>
  <c r="E2317" i="104"/>
  <c r="D2317" i="104"/>
  <c r="G2316" i="104"/>
  <c r="F2316" i="104"/>
  <c r="E2316" i="104"/>
  <c r="D2316" i="104"/>
  <c r="G2315" i="104"/>
  <c r="F2315" i="104"/>
  <c r="E2315" i="104"/>
  <c r="D2315" i="104"/>
  <c r="G2314" i="104"/>
  <c r="F2314" i="104"/>
  <c r="E2314" i="104"/>
  <c r="D2314" i="104"/>
  <c r="G2313" i="104"/>
  <c r="F2313" i="104"/>
  <c r="E2313" i="104"/>
  <c r="D2313" i="104"/>
  <c r="G2312" i="104"/>
  <c r="F2312" i="104"/>
  <c r="E2312" i="104"/>
  <c r="D2312" i="104"/>
  <c r="G2311" i="104"/>
  <c r="F2311" i="104"/>
  <c r="E2311" i="104"/>
  <c r="D2311" i="104"/>
  <c r="G2310" i="104"/>
  <c r="F2310" i="104"/>
  <c r="E2310" i="104"/>
  <c r="D2310" i="104"/>
  <c r="G2309" i="104"/>
  <c r="F2309" i="104"/>
  <c r="E2309" i="104"/>
  <c r="D2309" i="104"/>
  <c r="G2308" i="104"/>
  <c r="F2308" i="104"/>
  <c r="E2308" i="104"/>
  <c r="D2308" i="104"/>
  <c r="G2307" i="104"/>
  <c r="F2307" i="104"/>
  <c r="E2307" i="104"/>
  <c r="D2307" i="104"/>
  <c r="G2306" i="104"/>
  <c r="F2306" i="104"/>
  <c r="E2306" i="104"/>
  <c r="D2306" i="104"/>
  <c r="G2305" i="104"/>
  <c r="F2305" i="104"/>
  <c r="E2305" i="104"/>
  <c r="D2305" i="104"/>
  <c r="G2304" i="104"/>
  <c r="F2304" i="104"/>
  <c r="E2304" i="104"/>
  <c r="D2304" i="104"/>
  <c r="G2303" i="104"/>
  <c r="F2303" i="104"/>
  <c r="E2303" i="104"/>
  <c r="D2303" i="104"/>
  <c r="G2302" i="104"/>
  <c r="F2302" i="104"/>
  <c r="E2302" i="104"/>
  <c r="D2302" i="104"/>
  <c r="G2301" i="104"/>
  <c r="F2301" i="104"/>
  <c r="E2301" i="104"/>
  <c r="D2301" i="104"/>
  <c r="G2300" i="104"/>
  <c r="F2300" i="104"/>
  <c r="E2300" i="104"/>
  <c r="D2300" i="104"/>
  <c r="G2299" i="104"/>
  <c r="F2299" i="104"/>
  <c r="E2299" i="104"/>
  <c r="D2299" i="104"/>
  <c r="G2298" i="104"/>
  <c r="F2298" i="104"/>
  <c r="E2298" i="104"/>
  <c r="D2298" i="104"/>
  <c r="G2297" i="104"/>
  <c r="F2297" i="104"/>
  <c r="E2297" i="104"/>
  <c r="D2297" i="104"/>
  <c r="G2296" i="104"/>
  <c r="F2296" i="104"/>
  <c r="E2296" i="104"/>
  <c r="D2296" i="104"/>
  <c r="G2295" i="104"/>
  <c r="F2295" i="104"/>
  <c r="E2295" i="104"/>
  <c r="D2295" i="104"/>
  <c r="G2294" i="104"/>
  <c r="F2294" i="104"/>
  <c r="E2294" i="104"/>
  <c r="D2294" i="104"/>
  <c r="G2293" i="104"/>
  <c r="F2293" i="104"/>
  <c r="E2293" i="104"/>
  <c r="D2293" i="104"/>
  <c r="G2292" i="104"/>
  <c r="F2292" i="104"/>
  <c r="E2292" i="104"/>
  <c r="D2292" i="104"/>
  <c r="G2291" i="104"/>
  <c r="F2291" i="104"/>
  <c r="E2291" i="104"/>
  <c r="D2291" i="104"/>
  <c r="G2290" i="104"/>
  <c r="F2290" i="104"/>
  <c r="E2290" i="104"/>
  <c r="D2290" i="104"/>
  <c r="G2289" i="104"/>
  <c r="F2289" i="104"/>
  <c r="E2289" i="104"/>
  <c r="D2289" i="104"/>
  <c r="G2288" i="104"/>
  <c r="F2288" i="104"/>
  <c r="E2288" i="104"/>
  <c r="D2288" i="104"/>
  <c r="G2287" i="104"/>
  <c r="F2287" i="104"/>
  <c r="E2287" i="104"/>
  <c r="D2287" i="104"/>
  <c r="G2286" i="104"/>
  <c r="F2286" i="104"/>
  <c r="E2286" i="104"/>
  <c r="D2286" i="104"/>
  <c r="G2285" i="104"/>
  <c r="F2285" i="104"/>
  <c r="E2285" i="104"/>
  <c r="D2285" i="104"/>
  <c r="G2284" i="104"/>
  <c r="F2284" i="104"/>
  <c r="E2284" i="104"/>
  <c r="D2284" i="104"/>
  <c r="G2283" i="104"/>
  <c r="F2283" i="104"/>
  <c r="E2283" i="104"/>
  <c r="D2283" i="104"/>
  <c r="G2282" i="104"/>
  <c r="F2282" i="104"/>
  <c r="E2282" i="104"/>
  <c r="D2282" i="104"/>
  <c r="G2281" i="104"/>
  <c r="F2281" i="104"/>
  <c r="E2281" i="104"/>
  <c r="D2281" i="104"/>
  <c r="G2280" i="104"/>
  <c r="F2280" i="104"/>
  <c r="E2280" i="104"/>
  <c r="D2280" i="104"/>
  <c r="G2279" i="104"/>
  <c r="F2279" i="104"/>
  <c r="E2279" i="104"/>
  <c r="D2279" i="104"/>
  <c r="G2278" i="104"/>
  <c r="F2278" i="104"/>
  <c r="E2278" i="104"/>
  <c r="D2278" i="104"/>
  <c r="G2277" i="104"/>
  <c r="F2277" i="104"/>
  <c r="E2277" i="104"/>
  <c r="D2277" i="104"/>
  <c r="G2276" i="104"/>
  <c r="F2276" i="104"/>
  <c r="E2276" i="104"/>
  <c r="D2276" i="104"/>
  <c r="G2275" i="104"/>
  <c r="F2275" i="104"/>
  <c r="E2275" i="104"/>
  <c r="D2275" i="104"/>
  <c r="G2274" i="104"/>
  <c r="F2274" i="104"/>
  <c r="E2274" i="104"/>
  <c r="D2274" i="104"/>
  <c r="G2273" i="104"/>
  <c r="F2273" i="104"/>
  <c r="E2273" i="104"/>
  <c r="D2273" i="104"/>
  <c r="G2272" i="104"/>
  <c r="F2272" i="104"/>
  <c r="E2272" i="104"/>
  <c r="D2272" i="104"/>
  <c r="G2271" i="104"/>
  <c r="F2271" i="104"/>
  <c r="E2271" i="104"/>
  <c r="D2271" i="104"/>
  <c r="G2270" i="104"/>
  <c r="F2270" i="104"/>
  <c r="E2270" i="104"/>
  <c r="D2270" i="104"/>
  <c r="G2269" i="104"/>
  <c r="F2269" i="104"/>
  <c r="E2269" i="104"/>
  <c r="D2269" i="104"/>
  <c r="G2268" i="104"/>
  <c r="F2268" i="104"/>
  <c r="E2268" i="104"/>
  <c r="D2268" i="104"/>
  <c r="G2267" i="104"/>
  <c r="F2267" i="104"/>
  <c r="E2267" i="104"/>
  <c r="D2267" i="104"/>
  <c r="G2266" i="104"/>
  <c r="F2266" i="104"/>
  <c r="E2266" i="104"/>
  <c r="D2266" i="104"/>
  <c r="G2265" i="104"/>
  <c r="F2265" i="104"/>
  <c r="E2265" i="104"/>
  <c r="D2265" i="104"/>
  <c r="G2264" i="104"/>
  <c r="F2264" i="104"/>
  <c r="E2264" i="104"/>
  <c r="D2264" i="104"/>
  <c r="G2263" i="104"/>
  <c r="F2263" i="104"/>
  <c r="E2263" i="104"/>
  <c r="D2263" i="104"/>
  <c r="G2262" i="104"/>
  <c r="F2262" i="104"/>
  <c r="E2262" i="104"/>
  <c r="D2262" i="104"/>
  <c r="G2261" i="104"/>
  <c r="F2261" i="104"/>
  <c r="E2261" i="104"/>
  <c r="D2261" i="104"/>
  <c r="G2260" i="104"/>
  <c r="F2260" i="104"/>
  <c r="E2260" i="104"/>
  <c r="D2260" i="104"/>
  <c r="G2259" i="104"/>
  <c r="F2259" i="104"/>
  <c r="E2259" i="104"/>
  <c r="D2259" i="104"/>
  <c r="G2258" i="104"/>
  <c r="F2258" i="104"/>
  <c r="E2258" i="104"/>
  <c r="D2258" i="104"/>
  <c r="G2257" i="104"/>
  <c r="F2257" i="104"/>
  <c r="E2257" i="104"/>
  <c r="D2257" i="104"/>
  <c r="G2256" i="104"/>
  <c r="F2256" i="104"/>
  <c r="E2256" i="104"/>
  <c r="D2256" i="104"/>
  <c r="G2255" i="104"/>
  <c r="F2255" i="104"/>
  <c r="E2255" i="104"/>
  <c r="D2255" i="104"/>
  <c r="G2254" i="104"/>
  <c r="F2254" i="104"/>
  <c r="E2254" i="104"/>
  <c r="D2254" i="104"/>
  <c r="G2253" i="104"/>
  <c r="F2253" i="104"/>
  <c r="E2253" i="104"/>
  <c r="D2253" i="104"/>
  <c r="G2252" i="104"/>
  <c r="F2252" i="104"/>
  <c r="E2252" i="104"/>
  <c r="D2252" i="104"/>
  <c r="G2251" i="104"/>
  <c r="F2251" i="104"/>
  <c r="E2251" i="104"/>
  <c r="D2251" i="104"/>
  <c r="G2250" i="104"/>
  <c r="F2250" i="104"/>
  <c r="E2250" i="104"/>
  <c r="D2250" i="104"/>
  <c r="G2249" i="104"/>
  <c r="F2249" i="104"/>
  <c r="E2249" i="104"/>
  <c r="D2249" i="104"/>
  <c r="G2248" i="104"/>
  <c r="F2248" i="104"/>
  <c r="E2248" i="104"/>
  <c r="D2248" i="104"/>
  <c r="G2247" i="104"/>
  <c r="F2247" i="104"/>
  <c r="E2247" i="104"/>
  <c r="D2247" i="104"/>
  <c r="G2246" i="104"/>
  <c r="F2246" i="104"/>
  <c r="E2246" i="104"/>
  <c r="D2246" i="104"/>
  <c r="G2245" i="104"/>
  <c r="F2245" i="104"/>
  <c r="E2245" i="104"/>
  <c r="D2245" i="104"/>
  <c r="G2244" i="104"/>
  <c r="F2244" i="104"/>
  <c r="E2244" i="104"/>
  <c r="D2244" i="104"/>
  <c r="G2243" i="104"/>
  <c r="F2243" i="104"/>
  <c r="E2243" i="104"/>
  <c r="D2243" i="104"/>
  <c r="G2242" i="104"/>
  <c r="F2242" i="104"/>
  <c r="E2242" i="104"/>
  <c r="D2242" i="104"/>
  <c r="G2241" i="104"/>
  <c r="F2241" i="104"/>
  <c r="E2241" i="104"/>
  <c r="D2241" i="104"/>
  <c r="G2240" i="104"/>
  <c r="F2240" i="104"/>
  <c r="E2240" i="104"/>
  <c r="D2240" i="104"/>
  <c r="G2239" i="104"/>
  <c r="F2239" i="104"/>
  <c r="E2239" i="104"/>
  <c r="D2239" i="104"/>
  <c r="G2238" i="104"/>
  <c r="F2238" i="104"/>
  <c r="E2238" i="104"/>
  <c r="D2238" i="104"/>
  <c r="G2237" i="104"/>
  <c r="F2237" i="104"/>
  <c r="E2237" i="104"/>
  <c r="D2237" i="104"/>
  <c r="G2236" i="104"/>
  <c r="F2236" i="104"/>
  <c r="E2236" i="104"/>
  <c r="D2236" i="104"/>
  <c r="G2235" i="104"/>
  <c r="F2235" i="104"/>
  <c r="E2235" i="104"/>
  <c r="D2235" i="104"/>
  <c r="G2234" i="104"/>
  <c r="F2234" i="104"/>
  <c r="E2234" i="104"/>
  <c r="D2234" i="104"/>
  <c r="G2233" i="104"/>
  <c r="F2233" i="104"/>
  <c r="E2233" i="104"/>
  <c r="D2233" i="104"/>
  <c r="G2232" i="104"/>
  <c r="F2232" i="104"/>
  <c r="E2232" i="104"/>
  <c r="D2232" i="104"/>
  <c r="G2231" i="104"/>
  <c r="F2231" i="104"/>
  <c r="E2231" i="104"/>
  <c r="D2231" i="104"/>
  <c r="G2230" i="104"/>
  <c r="F2230" i="104"/>
  <c r="E2230" i="104"/>
  <c r="D2230" i="104"/>
  <c r="G2229" i="104"/>
  <c r="F2229" i="104"/>
  <c r="E2229" i="104"/>
  <c r="D2229" i="104"/>
  <c r="G2228" i="104"/>
  <c r="F2228" i="104"/>
  <c r="E2228" i="104"/>
  <c r="D2228" i="104"/>
  <c r="G2227" i="104"/>
  <c r="F2227" i="104"/>
  <c r="E2227" i="104"/>
  <c r="D2227" i="104"/>
  <c r="G2226" i="104"/>
  <c r="F2226" i="104"/>
  <c r="E2226" i="104"/>
  <c r="D2226" i="104"/>
  <c r="G2225" i="104"/>
  <c r="F2225" i="104"/>
  <c r="E2225" i="104"/>
  <c r="D2225" i="104"/>
  <c r="G2224" i="104"/>
  <c r="F2224" i="104"/>
  <c r="E2224" i="104"/>
  <c r="D2224" i="104"/>
  <c r="G2223" i="104"/>
  <c r="F2223" i="104"/>
  <c r="E2223" i="104"/>
  <c r="D2223" i="104"/>
  <c r="G2222" i="104"/>
  <c r="F2222" i="104"/>
  <c r="E2222" i="104"/>
  <c r="D2222" i="104"/>
  <c r="G2221" i="104"/>
  <c r="F2221" i="104"/>
  <c r="E2221" i="104"/>
  <c r="D2221" i="104"/>
  <c r="G2220" i="104"/>
  <c r="F2220" i="104"/>
  <c r="E2220" i="104"/>
  <c r="D2220" i="104"/>
  <c r="G2219" i="104"/>
  <c r="F2219" i="104"/>
  <c r="E2219" i="104"/>
  <c r="D2219" i="104"/>
  <c r="G2218" i="104"/>
  <c r="F2218" i="104"/>
  <c r="E2218" i="104"/>
  <c r="D2218" i="104"/>
  <c r="G2217" i="104"/>
  <c r="F2217" i="104"/>
  <c r="E2217" i="104"/>
  <c r="D2217" i="104"/>
  <c r="G2216" i="104"/>
  <c r="F2216" i="104"/>
  <c r="E2216" i="104"/>
  <c r="D2216" i="104"/>
  <c r="G2215" i="104"/>
  <c r="F2215" i="104"/>
  <c r="E2215" i="104"/>
  <c r="D2215" i="104"/>
  <c r="G2214" i="104"/>
  <c r="F2214" i="104"/>
  <c r="E2214" i="104"/>
  <c r="D2214" i="104"/>
  <c r="G2213" i="104"/>
  <c r="F2213" i="104"/>
  <c r="E2213" i="104"/>
  <c r="D2213" i="104"/>
  <c r="G2212" i="104"/>
  <c r="F2212" i="104"/>
  <c r="E2212" i="104"/>
  <c r="D2212" i="104"/>
  <c r="G2211" i="104"/>
  <c r="F2211" i="104"/>
  <c r="E2211" i="104"/>
  <c r="D2211" i="104"/>
  <c r="G2210" i="104"/>
  <c r="F2210" i="104"/>
  <c r="E2210" i="104"/>
  <c r="D2210" i="104"/>
  <c r="G2209" i="104"/>
  <c r="F2209" i="104"/>
  <c r="E2209" i="104"/>
  <c r="D2209" i="104"/>
  <c r="G2208" i="104"/>
  <c r="F2208" i="104"/>
  <c r="E2208" i="104"/>
  <c r="D2208" i="104"/>
  <c r="G2207" i="104"/>
  <c r="F2207" i="104"/>
  <c r="E2207" i="104"/>
  <c r="D2207" i="104"/>
  <c r="G2206" i="104"/>
  <c r="F2206" i="104"/>
  <c r="E2206" i="104"/>
  <c r="D2206" i="104"/>
  <c r="G2205" i="104"/>
  <c r="F2205" i="104"/>
  <c r="E2205" i="104"/>
  <c r="D2205" i="104"/>
  <c r="G2204" i="104"/>
  <c r="F2204" i="104"/>
  <c r="E2204" i="104"/>
  <c r="D2204" i="104"/>
  <c r="G2203" i="104"/>
  <c r="F2203" i="104"/>
  <c r="E2203" i="104"/>
  <c r="D2203" i="104"/>
  <c r="G2202" i="104"/>
  <c r="F2202" i="104"/>
  <c r="E2202" i="104"/>
  <c r="D2202" i="104"/>
  <c r="G2201" i="104"/>
  <c r="F2201" i="104"/>
  <c r="E2201" i="104"/>
  <c r="D2201" i="104"/>
  <c r="G2200" i="104"/>
  <c r="F2200" i="104"/>
  <c r="E2200" i="104"/>
  <c r="D2200" i="104"/>
  <c r="G2199" i="104"/>
  <c r="F2199" i="104"/>
  <c r="E2199" i="104"/>
  <c r="D2199" i="104"/>
  <c r="G2198" i="104"/>
  <c r="F2198" i="104"/>
  <c r="E2198" i="104"/>
  <c r="D2198" i="104"/>
  <c r="G2197" i="104"/>
  <c r="F2197" i="104"/>
  <c r="E2197" i="104"/>
  <c r="D2197" i="104"/>
  <c r="G2196" i="104"/>
  <c r="F2196" i="104"/>
  <c r="E2196" i="104"/>
  <c r="D2196" i="104"/>
  <c r="G2195" i="104"/>
  <c r="F2195" i="104"/>
  <c r="E2195" i="104"/>
  <c r="D2195" i="104"/>
  <c r="G2194" i="104"/>
  <c r="F2194" i="104"/>
  <c r="E2194" i="104"/>
  <c r="D2194" i="104"/>
  <c r="G2193" i="104"/>
  <c r="F2193" i="104"/>
  <c r="E2193" i="104"/>
  <c r="D2193" i="104"/>
  <c r="G2192" i="104"/>
  <c r="F2192" i="104"/>
  <c r="E2192" i="104"/>
  <c r="D2192" i="104"/>
  <c r="G2191" i="104"/>
  <c r="F2191" i="104"/>
  <c r="E2191" i="104"/>
  <c r="D2191" i="104"/>
  <c r="G2190" i="104"/>
  <c r="F2190" i="104"/>
  <c r="E2190" i="104"/>
  <c r="D2190" i="104"/>
  <c r="G2189" i="104"/>
  <c r="F2189" i="104"/>
  <c r="E2189" i="104"/>
  <c r="D2189" i="104"/>
  <c r="G2188" i="104"/>
  <c r="F2188" i="104"/>
  <c r="E2188" i="104"/>
  <c r="D2188" i="104"/>
  <c r="G2187" i="104"/>
  <c r="F2187" i="104"/>
  <c r="E2187" i="104"/>
  <c r="D2187" i="104"/>
  <c r="G2186" i="104"/>
  <c r="F2186" i="104"/>
  <c r="E2186" i="104"/>
  <c r="D2186" i="104"/>
  <c r="G2185" i="104"/>
  <c r="F2185" i="104"/>
  <c r="E2185" i="104"/>
  <c r="D2185" i="104"/>
  <c r="G2184" i="104"/>
  <c r="F2184" i="104"/>
  <c r="E2184" i="104"/>
  <c r="D2184" i="104"/>
  <c r="G2183" i="104"/>
  <c r="F2183" i="104"/>
  <c r="E2183" i="104"/>
  <c r="D2183" i="104"/>
  <c r="G2182" i="104"/>
  <c r="F2182" i="104"/>
  <c r="E2182" i="104"/>
  <c r="D2182" i="104"/>
  <c r="G2181" i="104"/>
  <c r="F2181" i="104"/>
  <c r="E2181" i="104"/>
  <c r="D2181" i="104"/>
  <c r="G2180" i="104"/>
  <c r="F2180" i="104"/>
  <c r="E2180" i="104"/>
  <c r="D2180" i="104"/>
  <c r="G2179" i="104"/>
  <c r="F2179" i="104"/>
  <c r="E2179" i="104"/>
  <c r="D2179" i="104"/>
  <c r="G2178" i="104"/>
  <c r="F2178" i="104"/>
  <c r="E2178" i="104"/>
  <c r="D2178" i="104"/>
  <c r="G2177" i="104"/>
  <c r="F2177" i="104"/>
  <c r="E2177" i="104"/>
  <c r="D2177" i="104"/>
  <c r="G2176" i="104"/>
  <c r="F2176" i="104"/>
  <c r="E2176" i="104"/>
  <c r="D2176" i="104"/>
  <c r="G2175" i="104"/>
  <c r="F2175" i="104"/>
  <c r="E2175" i="104"/>
  <c r="D2175" i="104"/>
  <c r="G2174" i="104"/>
  <c r="F2174" i="104"/>
  <c r="E2174" i="104"/>
  <c r="D2174" i="104"/>
  <c r="G2173" i="104"/>
  <c r="F2173" i="104"/>
  <c r="E2173" i="104"/>
  <c r="D2173" i="104"/>
  <c r="G2172" i="104"/>
  <c r="F2172" i="104"/>
  <c r="E2172" i="104"/>
  <c r="D2172" i="104"/>
  <c r="G2171" i="104"/>
  <c r="F2171" i="104"/>
  <c r="E2171" i="104"/>
  <c r="D2171" i="104"/>
  <c r="G2170" i="104"/>
  <c r="F2170" i="104"/>
  <c r="E2170" i="104"/>
  <c r="D2170" i="104"/>
  <c r="G2169" i="104"/>
  <c r="F2169" i="104"/>
  <c r="E2169" i="104"/>
  <c r="D2169" i="104"/>
  <c r="G2168" i="104"/>
  <c r="F2168" i="104"/>
  <c r="E2168" i="104"/>
  <c r="D2168" i="104"/>
  <c r="G2167" i="104"/>
  <c r="F2167" i="104"/>
  <c r="E2167" i="104"/>
  <c r="D2167" i="104"/>
  <c r="G2166" i="104"/>
  <c r="F2166" i="104"/>
  <c r="E2166" i="104"/>
  <c r="D2166" i="104"/>
  <c r="G2165" i="104"/>
  <c r="F2165" i="104"/>
  <c r="E2165" i="104"/>
  <c r="D2165" i="104"/>
  <c r="G2164" i="104"/>
  <c r="F2164" i="104"/>
  <c r="E2164" i="104"/>
  <c r="D2164" i="104"/>
  <c r="G2163" i="104"/>
  <c r="F2163" i="104"/>
  <c r="E2163" i="104"/>
  <c r="D2163" i="104"/>
  <c r="G2162" i="104"/>
  <c r="F2162" i="104"/>
  <c r="E2162" i="104"/>
  <c r="D2162" i="104"/>
  <c r="G2161" i="104"/>
  <c r="F2161" i="104"/>
  <c r="E2161" i="104"/>
  <c r="D2161" i="104"/>
  <c r="G2160" i="104"/>
  <c r="F2160" i="104"/>
  <c r="E2160" i="104"/>
  <c r="D2160" i="104"/>
  <c r="G2159" i="104"/>
  <c r="F2159" i="104"/>
  <c r="E2159" i="104"/>
  <c r="D2159" i="104"/>
  <c r="G2158" i="104"/>
  <c r="F2158" i="104"/>
  <c r="E2158" i="104"/>
  <c r="D2158" i="104"/>
  <c r="G2157" i="104"/>
  <c r="F2157" i="104"/>
  <c r="E2157" i="104"/>
  <c r="D2157" i="104"/>
  <c r="G2156" i="104"/>
  <c r="F2156" i="104"/>
  <c r="E2156" i="104"/>
  <c r="D2156" i="104"/>
  <c r="G2155" i="104"/>
  <c r="F2155" i="104"/>
  <c r="E2155" i="104"/>
  <c r="D2155" i="104"/>
  <c r="G2154" i="104"/>
  <c r="F2154" i="104"/>
  <c r="E2154" i="104"/>
  <c r="D2154" i="104"/>
  <c r="G2153" i="104"/>
  <c r="F2153" i="104"/>
  <c r="E2153" i="104"/>
  <c r="D2153" i="104"/>
  <c r="G2152" i="104"/>
  <c r="F2152" i="104"/>
  <c r="E2152" i="104"/>
  <c r="D2152" i="104"/>
  <c r="G2151" i="104"/>
  <c r="F2151" i="104"/>
  <c r="E2151" i="104"/>
  <c r="D2151" i="104"/>
  <c r="G2150" i="104"/>
  <c r="F2150" i="104"/>
  <c r="E2150" i="104"/>
  <c r="D2150" i="104"/>
  <c r="G2149" i="104"/>
  <c r="F2149" i="104"/>
  <c r="E2149" i="104"/>
  <c r="D2149" i="104"/>
  <c r="G2148" i="104"/>
  <c r="F2148" i="104"/>
  <c r="E2148" i="104"/>
  <c r="D2148" i="104"/>
  <c r="G2147" i="104"/>
  <c r="F2147" i="104"/>
  <c r="E2147" i="104"/>
  <c r="D2147" i="104"/>
  <c r="G2146" i="104"/>
  <c r="F2146" i="104"/>
  <c r="E2146" i="104"/>
  <c r="D2146" i="104"/>
  <c r="G2145" i="104"/>
  <c r="F2145" i="104"/>
  <c r="E2145" i="104"/>
  <c r="D2145" i="104"/>
  <c r="G2144" i="104"/>
  <c r="F2144" i="104"/>
  <c r="E2144" i="104"/>
  <c r="D2144" i="104"/>
  <c r="G2143" i="104"/>
  <c r="F2143" i="104"/>
  <c r="E2143" i="104"/>
  <c r="D2143" i="104"/>
  <c r="G2142" i="104"/>
  <c r="F2142" i="104"/>
  <c r="E2142" i="104"/>
  <c r="D2142" i="104"/>
  <c r="G2141" i="104"/>
  <c r="F2141" i="104"/>
  <c r="E2141" i="104"/>
  <c r="D2141" i="104"/>
  <c r="G2140" i="104"/>
  <c r="F2140" i="104"/>
  <c r="E2140" i="104"/>
  <c r="D2140" i="104"/>
  <c r="G2139" i="104"/>
  <c r="F2139" i="104"/>
  <c r="E2139" i="104"/>
  <c r="D2139" i="104"/>
  <c r="G2138" i="104"/>
  <c r="F2138" i="104"/>
  <c r="E2138" i="104"/>
  <c r="D2138" i="104"/>
  <c r="G2137" i="104"/>
  <c r="F2137" i="104"/>
  <c r="E2137" i="104"/>
  <c r="D2137" i="104"/>
  <c r="G2136" i="104"/>
  <c r="F2136" i="104"/>
  <c r="E2136" i="104"/>
  <c r="D2136" i="104"/>
  <c r="G2135" i="104"/>
  <c r="F2135" i="104"/>
  <c r="E2135" i="104"/>
  <c r="D2135" i="104"/>
  <c r="G2134" i="104"/>
  <c r="F2134" i="104"/>
  <c r="E2134" i="104"/>
  <c r="D2134" i="104"/>
  <c r="G2133" i="104"/>
  <c r="F2133" i="104"/>
  <c r="E2133" i="104"/>
  <c r="D2133" i="104"/>
  <c r="G2132" i="104"/>
  <c r="F2132" i="104"/>
  <c r="E2132" i="104"/>
  <c r="D2132" i="104"/>
  <c r="G2131" i="104"/>
  <c r="F2131" i="104"/>
  <c r="E2131" i="104"/>
  <c r="D2131" i="104"/>
  <c r="G2130" i="104"/>
  <c r="F2130" i="104"/>
  <c r="E2130" i="104"/>
  <c r="D2130" i="104"/>
  <c r="G2129" i="104"/>
  <c r="F2129" i="104"/>
  <c r="E2129" i="104"/>
  <c r="D2129" i="104"/>
  <c r="G2128" i="104"/>
  <c r="F2128" i="104"/>
  <c r="E2128" i="104"/>
  <c r="D2128" i="104"/>
  <c r="G2127" i="104"/>
  <c r="F2127" i="104"/>
  <c r="E2127" i="104"/>
  <c r="D2127" i="104"/>
  <c r="G2126" i="104"/>
  <c r="F2126" i="104"/>
  <c r="E2126" i="104"/>
  <c r="D2126" i="104"/>
  <c r="G2125" i="104"/>
  <c r="F2125" i="104"/>
  <c r="E2125" i="104"/>
  <c r="D2125" i="104"/>
  <c r="G2124" i="104"/>
  <c r="F2124" i="104"/>
  <c r="E2124" i="104"/>
  <c r="D2124" i="104"/>
  <c r="G2123" i="104"/>
  <c r="F2123" i="104"/>
  <c r="E2123" i="104"/>
  <c r="D2123" i="104"/>
  <c r="G2122" i="104"/>
  <c r="F2122" i="104"/>
  <c r="E2122" i="104"/>
  <c r="D2122" i="104"/>
  <c r="G2121" i="104"/>
  <c r="F2121" i="104"/>
  <c r="E2121" i="104"/>
  <c r="D2121" i="104"/>
  <c r="G2120" i="104"/>
  <c r="F2120" i="104"/>
  <c r="E2120" i="104"/>
  <c r="D2120" i="104"/>
  <c r="G2119" i="104"/>
  <c r="F2119" i="104"/>
  <c r="E2119" i="104"/>
  <c r="D2119" i="104"/>
  <c r="G2118" i="104"/>
  <c r="F2118" i="104"/>
  <c r="E2118" i="104"/>
  <c r="D2118" i="104"/>
  <c r="G2117" i="104"/>
  <c r="F2117" i="104"/>
  <c r="E2117" i="104"/>
  <c r="D2117" i="104"/>
  <c r="G2116" i="104"/>
  <c r="F2116" i="104"/>
  <c r="E2116" i="104"/>
  <c r="D2116" i="104"/>
  <c r="G2115" i="104"/>
  <c r="F2115" i="104"/>
  <c r="E2115" i="104"/>
  <c r="D2115" i="104"/>
  <c r="G2114" i="104"/>
  <c r="F2114" i="104"/>
  <c r="E2114" i="104"/>
  <c r="D2114" i="104"/>
  <c r="G2113" i="104"/>
  <c r="F2113" i="104"/>
  <c r="E2113" i="104"/>
  <c r="D2113" i="104"/>
  <c r="G2112" i="104"/>
  <c r="F2112" i="104"/>
  <c r="E2112" i="104"/>
  <c r="D2112" i="104"/>
  <c r="G2111" i="104"/>
  <c r="F2111" i="104"/>
  <c r="E2111" i="104"/>
  <c r="D2111" i="104"/>
  <c r="G2110" i="104"/>
  <c r="F2110" i="104"/>
  <c r="E2110" i="104"/>
  <c r="D2110" i="104"/>
  <c r="G2109" i="104"/>
  <c r="F2109" i="104"/>
  <c r="E2109" i="104"/>
  <c r="D2109" i="104"/>
  <c r="G2108" i="104"/>
  <c r="F2108" i="104"/>
  <c r="E2108" i="104"/>
  <c r="D2108" i="104"/>
  <c r="G2107" i="104"/>
  <c r="F2107" i="104"/>
  <c r="E2107" i="104"/>
  <c r="D2107" i="104"/>
  <c r="G2106" i="104"/>
  <c r="F2106" i="104"/>
  <c r="E2106" i="104"/>
  <c r="D2106" i="104"/>
  <c r="G2105" i="104"/>
  <c r="F2105" i="104"/>
  <c r="E2105" i="104"/>
  <c r="D2105" i="104"/>
  <c r="G2104" i="104"/>
  <c r="F2104" i="104"/>
  <c r="E2104" i="104"/>
  <c r="D2104" i="104"/>
  <c r="G2103" i="104"/>
  <c r="F2103" i="104"/>
  <c r="E2103" i="104"/>
  <c r="D2103" i="104"/>
  <c r="G2102" i="104"/>
  <c r="F2102" i="104"/>
  <c r="E2102" i="104"/>
  <c r="D2102" i="104"/>
  <c r="G2101" i="104"/>
  <c r="F2101" i="104"/>
  <c r="E2101" i="104"/>
  <c r="D2101" i="104"/>
  <c r="G2100" i="104"/>
  <c r="F2100" i="104"/>
  <c r="E2100" i="104"/>
  <c r="D2100" i="104"/>
  <c r="G2099" i="104"/>
  <c r="F2099" i="104"/>
  <c r="E2099" i="104"/>
  <c r="D2099" i="104"/>
  <c r="G2098" i="104"/>
  <c r="F2098" i="104"/>
  <c r="E2098" i="104"/>
  <c r="D2098" i="104"/>
  <c r="G2097" i="104"/>
  <c r="F2097" i="104"/>
  <c r="E2097" i="104"/>
  <c r="D2097" i="104"/>
  <c r="G2096" i="104"/>
  <c r="F2096" i="104"/>
  <c r="E2096" i="104"/>
  <c r="D2096" i="104"/>
  <c r="G2095" i="104"/>
  <c r="F2095" i="104"/>
  <c r="E2095" i="104"/>
  <c r="D2095" i="104"/>
  <c r="G2094" i="104"/>
  <c r="F2094" i="104"/>
  <c r="E2094" i="104"/>
  <c r="D2094" i="104"/>
  <c r="G2093" i="104"/>
  <c r="F2093" i="104"/>
  <c r="E2093" i="104"/>
  <c r="D2093" i="104"/>
  <c r="G2092" i="104"/>
  <c r="F2092" i="104"/>
  <c r="E2092" i="104"/>
  <c r="D2092" i="104"/>
  <c r="G2091" i="104"/>
  <c r="F2091" i="104"/>
  <c r="E2091" i="104"/>
  <c r="D2091" i="104"/>
  <c r="G2090" i="104"/>
  <c r="F2090" i="104"/>
  <c r="E2090" i="104"/>
  <c r="D2090" i="104"/>
  <c r="G2089" i="104"/>
  <c r="F2089" i="104"/>
  <c r="E2089" i="104"/>
  <c r="D2089" i="104"/>
  <c r="G2088" i="104"/>
  <c r="F2088" i="104"/>
  <c r="E2088" i="104"/>
  <c r="D2088" i="104"/>
  <c r="G2087" i="104"/>
  <c r="F2087" i="104"/>
  <c r="E2087" i="104"/>
  <c r="D2087" i="104"/>
  <c r="G2086" i="104"/>
  <c r="F2086" i="104"/>
  <c r="E2086" i="104"/>
  <c r="D2086" i="104"/>
  <c r="G2085" i="104"/>
  <c r="F2085" i="104"/>
  <c r="E2085" i="104"/>
  <c r="D2085" i="104"/>
  <c r="G2084" i="104"/>
  <c r="F2084" i="104"/>
  <c r="E2084" i="104"/>
  <c r="D2084" i="104"/>
  <c r="G2083" i="104"/>
  <c r="F2083" i="104"/>
  <c r="E2083" i="104"/>
  <c r="D2083" i="104"/>
  <c r="G2082" i="104"/>
  <c r="F2082" i="104"/>
  <c r="E2082" i="104"/>
  <c r="D2082" i="104"/>
  <c r="G2081" i="104"/>
  <c r="F2081" i="104"/>
  <c r="E2081" i="104"/>
  <c r="D2081" i="104"/>
  <c r="G2080" i="104"/>
  <c r="F2080" i="104"/>
  <c r="E2080" i="104"/>
  <c r="D2080" i="104"/>
  <c r="G2079" i="104"/>
  <c r="F2079" i="104"/>
  <c r="E2079" i="104"/>
  <c r="D2079" i="104"/>
  <c r="G2078" i="104"/>
  <c r="F2078" i="104"/>
  <c r="E2078" i="104"/>
  <c r="D2078" i="104"/>
  <c r="G2077" i="104"/>
  <c r="F2077" i="104"/>
  <c r="E2077" i="104"/>
  <c r="D2077" i="104"/>
  <c r="G2076" i="104"/>
  <c r="F2076" i="104"/>
  <c r="E2076" i="104"/>
  <c r="D2076" i="104"/>
  <c r="G2075" i="104"/>
  <c r="F2075" i="104"/>
  <c r="E2075" i="104"/>
  <c r="D2075" i="104"/>
  <c r="G2074" i="104"/>
  <c r="F2074" i="104"/>
  <c r="E2074" i="104"/>
  <c r="D2074" i="104"/>
  <c r="G2073" i="104"/>
  <c r="F2073" i="104"/>
  <c r="E2073" i="104"/>
  <c r="D2073" i="104"/>
  <c r="G2072" i="104"/>
  <c r="F2072" i="104"/>
  <c r="E2072" i="104"/>
  <c r="D2072" i="104"/>
  <c r="G2071" i="104"/>
  <c r="F2071" i="104"/>
  <c r="E2071" i="104"/>
  <c r="D2071" i="104"/>
  <c r="G2070" i="104"/>
  <c r="F2070" i="104"/>
  <c r="E2070" i="104"/>
  <c r="D2070" i="104"/>
  <c r="G2069" i="104"/>
  <c r="F2069" i="104"/>
  <c r="E2069" i="104"/>
  <c r="D2069" i="104"/>
  <c r="G2068" i="104"/>
  <c r="F2068" i="104"/>
  <c r="E2068" i="104"/>
  <c r="D2068" i="104"/>
  <c r="G2067" i="104"/>
  <c r="F2067" i="104"/>
  <c r="E2067" i="104"/>
  <c r="D2067" i="104"/>
  <c r="G2066" i="104"/>
  <c r="F2066" i="104"/>
  <c r="E2066" i="104"/>
  <c r="D2066" i="104"/>
  <c r="G2065" i="104"/>
  <c r="F2065" i="104"/>
  <c r="E2065" i="104"/>
  <c r="D2065" i="104"/>
  <c r="G2064" i="104"/>
  <c r="F2064" i="104"/>
  <c r="E2064" i="104"/>
  <c r="D2064" i="104"/>
  <c r="G2063" i="104"/>
  <c r="F2063" i="104"/>
  <c r="E2063" i="104"/>
  <c r="D2063" i="104"/>
  <c r="G2062" i="104"/>
  <c r="F2062" i="104"/>
  <c r="E2062" i="104"/>
  <c r="D2062" i="104"/>
  <c r="G2061" i="104"/>
  <c r="F2061" i="104"/>
  <c r="E2061" i="104"/>
  <c r="D2061" i="104"/>
  <c r="G2060" i="104"/>
  <c r="F2060" i="104"/>
  <c r="E2060" i="104"/>
  <c r="D2060" i="104"/>
  <c r="G2059" i="104"/>
  <c r="F2059" i="104"/>
  <c r="E2059" i="104"/>
  <c r="D2059" i="104"/>
  <c r="G2058" i="104"/>
  <c r="F2058" i="104"/>
  <c r="E2058" i="104"/>
  <c r="D2058" i="104"/>
  <c r="G2057" i="104"/>
  <c r="F2057" i="104"/>
  <c r="E2057" i="104"/>
  <c r="D2057" i="104"/>
  <c r="G2056" i="104"/>
  <c r="F2056" i="104"/>
  <c r="E2056" i="104"/>
  <c r="D2056" i="104"/>
  <c r="G2055" i="104"/>
  <c r="F2055" i="104"/>
  <c r="E2055" i="104"/>
  <c r="D2055" i="104"/>
  <c r="G2054" i="104"/>
  <c r="F2054" i="104"/>
  <c r="E2054" i="104"/>
  <c r="D2054" i="104"/>
  <c r="G2053" i="104"/>
  <c r="F2053" i="104"/>
  <c r="E2053" i="104"/>
  <c r="D2053" i="104"/>
  <c r="G2052" i="104"/>
  <c r="F2052" i="104"/>
  <c r="E2052" i="104"/>
  <c r="D2052" i="104"/>
  <c r="G2051" i="104"/>
  <c r="F2051" i="104"/>
  <c r="E2051" i="104"/>
  <c r="D2051" i="104"/>
  <c r="G2050" i="104"/>
  <c r="F2050" i="104"/>
  <c r="E2050" i="104"/>
  <c r="D2050" i="104"/>
  <c r="G2049" i="104"/>
  <c r="F2049" i="104"/>
  <c r="E2049" i="104"/>
  <c r="D2049" i="104"/>
  <c r="G2048" i="104"/>
  <c r="F2048" i="104"/>
  <c r="E2048" i="104"/>
  <c r="D2048" i="104"/>
  <c r="G2047" i="104"/>
  <c r="F2047" i="104"/>
  <c r="E2047" i="104"/>
  <c r="D2047" i="104"/>
  <c r="G2046" i="104"/>
  <c r="F2046" i="104"/>
  <c r="E2046" i="104"/>
  <c r="D2046" i="104"/>
  <c r="G2045" i="104"/>
  <c r="F2045" i="104"/>
  <c r="E2045" i="104"/>
  <c r="D2045" i="104"/>
  <c r="G2044" i="104"/>
  <c r="F2044" i="104"/>
  <c r="E2044" i="104"/>
  <c r="D2044" i="104"/>
  <c r="G2043" i="104"/>
  <c r="F2043" i="104"/>
  <c r="E2043" i="104"/>
  <c r="D2043" i="104"/>
  <c r="G2042" i="104"/>
  <c r="F2042" i="104"/>
  <c r="E2042" i="104"/>
  <c r="D2042" i="104"/>
  <c r="G2041" i="104"/>
  <c r="F2041" i="104"/>
  <c r="E2041" i="104"/>
  <c r="D2041" i="104"/>
  <c r="G2040" i="104"/>
  <c r="F2040" i="104"/>
  <c r="E2040" i="104"/>
  <c r="D2040" i="104"/>
  <c r="G2039" i="104"/>
  <c r="F2039" i="104"/>
  <c r="E2039" i="104"/>
  <c r="D2039" i="104"/>
  <c r="G2038" i="104"/>
  <c r="F2038" i="104"/>
  <c r="E2038" i="104"/>
  <c r="D2038" i="104"/>
  <c r="G2037" i="104"/>
  <c r="F2037" i="104"/>
  <c r="E2037" i="104"/>
  <c r="D2037" i="104"/>
  <c r="G2036" i="104"/>
  <c r="F2036" i="104"/>
  <c r="E2036" i="104"/>
  <c r="D2036" i="104"/>
  <c r="G2035" i="104"/>
  <c r="F2035" i="104"/>
  <c r="E2035" i="104"/>
  <c r="D2035" i="104"/>
  <c r="G2034" i="104"/>
  <c r="F2034" i="104"/>
  <c r="E2034" i="104"/>
  <c r="D2034" i="104"/>
  <c r="G2033" i="104"/>
  <c r="F2033" i="104"/>
  <c r="E2033" i="104"/>
  <c r="D2033" i="104"/>
  <c r="G2032" i="104"/>
  <c r="F2032" i="104"/>
  <c r="E2032" i="104"/>
  <c r="D2032" i="104"/>
  <c r="G2031" i="104"/>
  <c r="F2031" i="104"/>
  <c r="E2031" i="104"/>
  <c r="D2031" i="104"/>
  <c r="G2030" i="104"/>
  <c r="F2030" i="104"/>
  <c r="E2030" i="104"/>
  <c r="D2030" i="104"/>
  <c r="G2029" i="104"/>
  <c r="F2029" i="104"/>
  <c r="E2029" i="104"/>
  <c r="D2029" i="104"/>
  <c r="G2028" i="104"/>
  <c r="F2028" i="104"/>
  <c r="E2028" i="104"/>
  <c r="D2028" i="104"/>
  <c r="G2027" i="104"/>
  <c r="F2027" i="104"/>
  <c r="E2027" i="104"/>
  <c r="D2027" i="104"/>
  <c r="G2026" i="104"/>
  <c r="F2026" i="104"/>
  <c r="E2026" i="104"/>
  <c r="D2026" i="104"/>
  <c r="G2025" i="104"/>
  <c r="F2025" i="104"/>
  <c r="E2025" i="104"/>
  <c r="D2025" i="104"/>
  <c r="G2024" i="104"/>
  <c r="F2024" i="104"/>
  <c r="E2024" i="104"/>
  <c r="D2024" i="104"/>
  <c r="G2023" i="104"/>
  <c r="F2023" i="104"/>
  <c r="E2023" i="104"/>
  <c r="D2023" i="104"/>
  <c r="G2022" i="104"/>
  <c r="F2022" i="104"/>
  <c r="E2022" i="104"/>
  <c r="D2022" i="104"/>
  <c r="G2021" i="104"/>
  <c r="F2021" i="104"/>
  <c r="E2021" i="104"/>
  <c r="D2021" i="104"/>
  <c r="G2020" i="104"/>
  <c r="F2020" i="104"/>
  <c r="E2020" i="104"/>
  <c r="D2020" i="104"/>
  <c r="G2019" i="104"/>
  <c r="F2019" i="104"/>
  <c r="E2019" i="104"/>
  <c r="D2019" i="104"/>
  <c r="G2018" i="104"/>
  <c r="F2018" i="104"/>
  <c r="E2018" i="104"/>
  <c r="D2018" i="104"/>
  <c r="G2017" i="104"/>
  <c r="F2017" i="104"/>
  <c r="E2017" i="104"/>
  <c r="D2017" i="104"/>
  <c r="G2016" i="104"/>
  <c r="F2016" i="104"/>
  <c r="E2016" i="104"/>
  <c r="D2016" i="104"/>
  <c r="G2015" i="104"/>
  <c r="F2015" i="104"/>
  <c r="E2015" i="104"/>
  <c r="D2015" i="104"/>
  <c r="G2014" i="104"/>
  <c r="F2014" i="104"/>
  <c r="E2014" i="104"/>
  <c r="D2014" i="104"/>
  <c r="G2013" i="104"/>
  <c r="F2013" i="104"/>
  <c r="E2013" i="104"/>
  <c r="D2013" i="104"/>
  <c r="G2012" i="104"/>
  <c r="F2012" i="104"/>
  <c r="E2012" i="104"/>
  <c r="D2012" i="104"/>
  <c r="G2011" i="104"/>
  <c r="F2011" i="104"/>
  <c r="E2011" i="104"/>
  <c r="D2011" i="104"/>
  <c r="G2010" i="104"/>
  <c r="F2010" i="104"/>
  <c r="E2010" i="104"/>
  <c r="D2010" i="104"/>
  <c r="G2009" i="104"/>
  <c r="F2009" i="104"/>
  <c r="E2009" i="104"/>
  <c r="D2009" i="104"/>
  <c r="G2008" i="104"/>
  <c r="F2008" i="104"/>
  <c r="E2008" i="104"/>
  <c r="D2008" i="104"/>
  <c r="G2007" i="104"/>
  <c r="F2007" i="104"/>
  <c r="E2007" i="104"/>
  <c r="D2007" i="104"/>
  <c r="G2006" i="104"/>
  <c r="F2006" i="104"/>
  <c r="E2006" i="104"/>
  <c r="D2006" i="104"/>
  <c r="G2005" i="104"/>
  <c r="F2005" i="104"/>
  <c r="E2005" i="104"/>
  <c r="D2005" i="104"/>
  <c r="G2004" i="104"/>
  <c r="F2004" i="104"/>
  <c r="E2004" i="104"/>
  <c r="D2004" i="104"/>
  <c r="G2003" i="104"/>
  <c r="F2003" i="104"/>
  <c r="E2003" i="104"/>
  <c r="D2003" i="104"/>
  <c r="G2002" i="104"/>
  <c r="F2002" i="104"/>
  <c r="E2002" i="104"/>
  <c r="D2002" i="104"/>
  <c r="G2001" i="104"/>
  <c r="F2001" i="104"/>
  <c r="E2001" i="104"/>
  <c r="D2001" i="104"/>
  <c r="G2000" i="104"/>
  <c r="F2000" i="104"/>
  <c r="E2000" i="104"/>
  <c r="D2000" i="104"/>
  <c r="G1999" i="104"/>
  <c r="F1999" i="104"/>
  <c r="E1999" i="104"/>
  <c r="D1999" i="104"/>
  <c r="G1998" i="104"/>
  <c r="F1998" i="104"/>
  <c r="E1998" i="104"/>
  <c r="D1998" i="104"/>
  <c r="G1997" i="104"/>
  <c r="F1997" i="104"/>
  <c r="E1997" i="104"/>
  <c r="D1997" i="104"/>
  <c r="G1996" i="104"/>
  <c r="F1996" i="104"/>
  <c r="E1996" i="104"/>
  <c r="D1996" i="104"/>
  <c r="G1995" i="104"/>
  <c r="F1995" i="104"/>
  <c r="E1995" i="104"/>
  <c r="D1995" i="104"/>
  <c r="G1994" i="104"/>
  <c r="F1994" i="104"/>
  <c r="E1994" i="104"/>
  <c r="D1994" i="104"/>
  <c r="G1993" i="104"/>
  <c r="F1993" i="104"/>
  <c r="E1993" i="104"/>
  <c r="D1993" i="104"/>
  <c r="G1992" i="104"/>
  <c r="F1992" i="104"/>
  <c r="E1992" i="104"/>
  <c r="D1992" i="104"/>
  <c r="G1991" i="104"/>
  <c r="F1991" i="104"/>
  <c r="E1991" i="104"/>
  <c r="D1991" i="104"/>
  <c r="G1990" i="104"/>
  <c r="F1990" i="104"/>
  <c r="E1990" i="104"/>
  <c r="D1990" i="104"/>
  <c r="G1989" i="104"/>
  <c r="F1989" i="104"/>
  <c r="E1989" i="104"/>
  <c r="D1989" i="104"/>
  <c r="G1988" i="104"/>
  <c r="F1988" i="104"/>
  <c r="E1988" i="104"/>
  <c r="D1988" i="104"/>
  <c r="G1987" i="104"/>
  <c r="F1987" i="104"/>
  <c r="E1987" i="104"/>
  <c r="D1987" i="104"/>
  <c r="G1986" i="104"/>
  <c r="F1986" i="104"/>
  <c r="E1986" i="104"/>
  <c r="D1986" i="104"/>
  <c r="G1985" i="104"/>
  <c r="F1985" i="104"/>
  <c r="E1985" i="104"/>
  <c r="D1985" i="104"/>
  <c r="G1984" i="104"/>
  <c r="F1984" i="104"/>
  <c r="E1984" i="104"/>
  <c r="D1984" i="104"/>
  <c r="G1983" i="104"/>
  <c r="F1983" i="104"/>
  <c r="E1983" i="104"/>
  <c r="D1983" i="104"/>
  <c r="G1982" i="104"/>
  <c r="F1982" i="104"/>
  <c r="E1982" i="104"/>
  <c r="D1982" i="104"/>
  <c r="G1981" i="104"/>
  <c r="F1981" i="104"/>
  <c r="E1981" i="104"/>
  <c r="D1981" i="104"/>
  <c r="G1980" i="104"/>
  <c r="F1980" i="104"/>
  <c r="E1980" i="104"/>
  <c r="D1980" i="104"/>
  <c r="G1979" i="104"/>
  <c r="F1979" i="104"/>
  <c r="E1979" i="104"/>
  <c r="D1979" i="104"/>
  <c r="G1978" i="104"/>
  <c r="F1978" i="104"/>
  <c r="E1978" i="104"/>
  <c r="D1978" i="104"/>
  <c r="G1977" i="104"/>
  <c r="F1977" i="104"/>
  <c r="E1977" i="104"/>
  <c r="D1977" i="104"/>
  <c r="G1976" i="104"/>
  <c r="F1976" i="104"/>
  <c r="E1976" i="104"/>
  <c r="D1976" i="104"/>
  <c r="G1975" i="104"/>
  <c r="F1975" i="104"/>
  <c r="E1975" i="104"/>
  <c r="D1975" i="104"/>
  <c r="G1974" i="104"/>
  <c r="F1974" i="104"/>
  <c r="E1974" i="104"/>
  <c r="D1974" i="104"/>
  <c r="G1973" i="104"/>
  <c r="F1973" i="104"/>
  <c r="E1973" i="104"/>
  <c r="D1973" i="104"/>
  <c r="G1972" i="104"/>
  <c r="F1972" i="104"/>
  <c r="E1972" i="104"/>
  <c r="D1972" i="104"/>
  <c r="G1971" i="104"/>
  <c r="F1971" i="104"/>
  <c r="E1971" i="104"/>
  <c r="D1971" i="104"/>
  <c r="G1970" i="104"/>
  <c r="F1970" i="104"/>
  <c r="E1970" i="104"/>
  <c r="D1970" i="104"/>
  <c r="G1969" i="104"/>
  <c r="F1969" i="104"/>
  <c r="E1969" i="104"/>
  <c r="D1969" i="104"/>
  <c r="G1968" i="104"/>
  <c r="F1968" i="104"/>
  <c r="E1968" i="104"/>
  <c r="D1968" i="104"/>
  <c r="G1967" i="104"/>
  <c r="F1967" i="104"/>
  <c r="E1967" i="104"/>
  <c r="D1967" i="104"/>
  <c r="G1966" i="104"/>
  <c r="F1966" i="104"/>
  <c r="E1966" i="104"/>
  <c r="D1966" i="104"/>
  <c r="G1965" i="104"/>
  <c r="F1965" i="104"/>
  <c r="E1965" i="104"/>
  <c r="D1965" i="104"/>
  <c r="G1964" i="104"/>
  <c r="F1964" i="104"/>
  <c r="E1964" i="104"/>
  <c r="D1964" i="104"/>
  <c r="G1963" i="104"/>
  <c r="F1963" i="104"/>
  <c r="E1963" i="104"/>
  <c r="D1963" i="104"/>
  <c r="G1962" i="104"/>
  <c r="F1962" i="104"/>
  <c r="E1962" i="104"/>
  <c r="D1962" i="104"/>
  <c r="G1961" i="104"/>
  <c r="F1961" i="104"/>
  <c r="E1961" i="104"/>
  <c r="D1961" i="104"/>
  <c r="G1960" i="104"/>
  <c r="F1960" i="104"/>
  <c r="E1960" i="104"/>
  <c r="D1960" i="104"/>
  <c r="G1959" i="104"/>
  <c r="F1959" i="104"/>
  <c r="E1959" i="104"/>
  <c r="D1959" i="104"/>
  <c r="G1958" i="104"/>
  <c r="F1958" i="104"/>
  <c r="E1958" i="104"/>
  <c r="D1958" i="104"/>
  <c r="G1957" i="104"/>
  <c r="F1957" i="104"/>
  <c r="E1957" i="104"/>
  <c r="D1957" i="104"/>
  <c r="G1956" i="104"/>
  <c r="F1956" i="104"/>
  <c r="E1956" i="104"/>
  <c r="D1956" i="104"/>
  <c r="G1955" i="104"/>
  <c r="F1955" i="104"/>
  <c r="E1955" i="104"/>
  <c r="D1955" i="104"/>
  <c r="G1954" i="104"/>
  <c r="F1954" i="104"/>
  <c r="E1954" i="104"/>
  <c r="D1954" i="104"/>
  <c r="G1953" i="104"/>
  <c r="F1953" i="104"/>
  <c r="E1953" i="104"/>
  <c r="D1953" i="104"/>
  <c r="G1952" i="104"/>
  <c r="F1952" i="104"/>
  <c r="E1952" i="104"/>
  <c r="D1952" i="104"/>
  <c r="G1951" i="104"/>
  <c r="F1951" i="104"/>
  <c r="E1951" i="104"/>
  <c r="D1951" i="104"/>
  <c r="G1950" i="104"/>
  <c r="F1950" i="104"/>
  <c r="E1950" i="104"/>
  <c r="D1950" i="104"/>
  <c r="G1949" i="104"/>
  <c r="F1949" i="104"/>
  <c r="E1949" i="104"/>
  <c r="D1949" i="104"/>
  <c r="G1948" i="104"/>
  <c r="F1948" i="104"/>
  <c r="E1948" i="104"/>
  <c r="D1948" i="104"/>
  <c r="G1947" i="104"/>
  <c r="F1947" i="104"/>
  <c r="E1947" i="104"/>
  <c r="D1947" i="104"/>
  <c r="G1946" i="104"/>
  <c r="F1946" i="104"/>
  <c r="E1946" i="104"/>
  <c r="D1946" i="104"/>
  <c r="G1945" i="104"/>
  <c r="F1945" i="104"/>
  <c r="E1945" i="104"/>
  <c r="D1945" i="104"/>
  <c r="G1944" i="104"/>
  <c r="F1944" i="104"/>
  <c r="E1944" i="104"/>
  <c r="D1944" i="104"/>
  <c r="G1943" i="104"/>
  <c r="F1943" i="104"/>
  <c r="E1943" i="104"/>
  <c r="D1943" i="104"/>
  <c r="G1942" i="104"/>
  <c r="F1942" i="104"/>
  <c r="E1942" i="104"/>
  <c r="D1942" i="104"/>
  <c r="G1941" i="104"/>
  <c r="F1941" i="104"/>
  <c r="E1941" i="104"/>
  <c r="D1941" i="104"/>
  <c r="G1940" i="104"/>
  <c r="F1940" i="104"/>
  <c r="E1940" i="104"/>
  <c r="D1940" i="104"/>
  <c r="G1939" i="104"/>
  <c r="F1939" i="104"/>
  <c r="E1939" i="104"/>
  <c r="D1939" i="104"/>
  <c r="G1938" i="104"/>
  <c r="F1938" i="104"/>
  <c r="E1938" i="104"/>
  <c r="D1938" i="104"/>
  <c r="G1937" i="104"/>
  <c r="F1937" i="104"/>
  <c r="E1937" i="104"/>
  <c r="D1937" i="104"/>
  <c r="G1936" i="104"/>
  <c r="F1936" i="104"/>
  <c r="E1936" i="104"/>
  <c r="D1936" i="104"/>
  <c r="G1935" i="104"/>
  <c r="F1935" i="104"/>
  <c r="E1935" i="104"/>
  <c r="D1935" i="104"/>
  <c r="G1934" i="104"/>
  <c r="F1934" i="104"/>
  <c r="E1934" i="104"/>
  <c r="D1934" i="104"/>
  <c r="G1933" i="104"/>
  <c r="F1933" i="104"/>
  <c r="E1933" i="104"/>
  <c r="D1933" i="104"/>
  <c r="G1932" i="104"/>
  <c r="F1932" i="104"/>
  <c r="E1932" i="104"/>
  <c r="D1932" i="104"/>
  <c r="G1931" i="104"/>
  <c r="F1931" i="104"/>
  <c r="E1931" i="104"/>
  <c r="D1931" i="104"/>
  <c r="G1930" i="104"/>
  <c r="F1930" i="104"/>
  <c r="E1930" i="104"/>
  <c r="D1930" i="104"/>
  <c r="G1929" i="104"/>
  <c r="F1929" i="104"/>
  <c r="E1929" i="104"/>
  <c r="D1929" i="104"/>
  <c r="G1928" i="104"/>
  <c r="F1928" i="104"/>
  <c r="E1928" i="104"/>
  <c r="D1928" i="104"/>
  <c r="G1927" i="104"/>
  <c r="F1927" i="104"/>
  <c r="E1927" i="104"/>
  <c r="D1927" i="104"/>
  <c r="G1926" i="104"/>
  <c r="F1926" i="104"/>
  <c r="E1926" i="104"/>
  <c r="D1926" i="104"/>
  <c r="G1925" i="104"/>
  <c r="F1925" i="104"/>
  <c r="E1925" i="104"/>
  <c r="D1925" i="104"/>
  <c r="G1924" i="104"/>
  <c r="F1924" i="104"/>
  <c r="E1924" i="104"/>
  <c r="D1924" i="104"/>
  <c r="G1923" i="104"/>
  <c r="F1923" i="104"/>
  <c r="E1923" i="104"/>
  <c r="D1923" i="104"/>
  <c r="G1922" i="104"/>
  <c r="F1922" i="104"/>
  <c r="E1922" i="104"/>
  <c r="D1922" i="104"/>
  <c r="G1921" i="104"/>
  <c r="F1921" i="104"/>
  <c r="E1921" i="104"/>
  <c r="D1921" i="104"/>
  <c r="G1920" i="104"/>
  <c r="F1920" i="104"/>
  <c r="E1920" i="104"/>
  <c r="D1920" i="104"/>
  <c r="G1919" i="104"/>
  <c r="F1919" i="104"/>
  <c r="E1919" i="104"/>
  <c r="D1919" i="104"/>
  <c r="G1918" i="104"/>
  <c r="F1918" i="104"/>
  <c r="E1918" i="104"/>
  <c r="D1918" i="104"/>
  <c r="G1917" i="104"/>
  <c r="F1917" i="104"/>
  <c r="E1917" i="104"/>
  <c r="D1917" i="104"/>
  <c r="G1916" i="104"/>
  <c r="F1916" i="104"/>
  <c r="E1916" i="104"/>
  <c r="D1916" i="104"/>
  <c r="G1915" i="104"/>
  <c r="F1915" i="104"/>
  <c r="E1915" i="104"/>
  <c r="D1915" i="104"/>
  <c r="G1914" i="104"/>
  <c r="F1914" i="104"/>
  <c r="E1914" i="104"/>
  <c r="D1914" i="104"/>
  <c r="G1913" i="104"/>
  <c r="F1913" i="104"/>
  <c r="E1913" i="104"/>
  <c r="D1913" i="104"/>
  <c r="G1912" i="104"/>
  <c r="F1912" i="104"/>
  <c r="E1912" i="104"/>
  <c r="D1912" i="104"/>
  <c r="G1911" i="104"/>
  <c r="F1911" i="104"/>
  <c r="E1911" i="104"/>
  <c r="D1911" i="104"/>
  <c r="G1910" i="104"/>
  <c r="F1910" i="104"/>
  <c r="E1910" i="104"/>
  <c r="D1910" i="104"/>
  <c r="G1909" i="104"/>
  <c r="F1909" i="104"/>
  <c r="E1909" i="104"/>
  <c r="D1909" i="104"/>
  <c r="G1908" i="104"/>
  <c r="F1908" i="104"/>
  <c r="E1908" i="104"/>
  <c r="D1908" i="104"/>
  <c r="G1907" i="104"/>
  <c r="F1907" i="104"/>
  <c r="E1907" i="104"/>
  <c r="D1907" i="104"/>
  <c r="G1906" i="104"/>
  <c r="F1906" i="104"/>
  <c r="E1906" i="104"/>
  <c r="D1906" i="104"/>
  <c r="G1905" i="104"/>
  <c r="F1905" i="104"/>
  <c r="E1905" i="104"/>
  <c r="D1905" i="104"/>
  <c r="G1904" i="104"/>
  <c r="F1904" i="104"/>
  <c r="E1904" i="104"/>
  <c r="D1904" i="104"/>
  <c r="G1903" i="104"/>
  <c r="F1903" i="104"/>
  <c r="E1903" i="104"/>
  <c r="D1903" i="104"/>
  <c r="G1902" i="104"/>
  <c r="F1902" i="104"/>
  <c r="E1902" i="104"/>
  <c r="D1902" i="104"/>
  <c r="G1901" i="104"/>
  <c r="F1901" i="104"/>
  <c r="E1901" i="104"/>
  <c r="D1901" i="104"/>
  <c r="G1900" i="104"/>
  <c r="F1900" i="104"/>
  <c r="E1900" i="104"/>
  <c r="D1900" i="104"/>
  <c r="G1899" i="104"/>
  <c r="F1899" i="104"/>
  <c r="E1899" i="104"/>
  <c r="D1899" i="104"/>
  <c r="G1898" i="104"/>
  <c r="F1898" i="104"/>
  <c r="E1898" i="104"/>
  <c r="D1898" i="104"/>
  <c r="G1897" i="104"/>
  <c r="F1897" i="104"/>
  <c r="E1897" i="104"/>
  <c r="D1897" i="104"/>
  <c r="G1896" i="104"/>
  <c r="F1896" i="104"/>
  <c r="E1896" i="104"/>
  <c r="D1896" i="104"/>
  <c r="G1895" i="104"/>
  <c r="F1895" i="104"/>
  <c r="E1895" i="104"/>
  <c r="D1895" i="104"/>
  <c r="G1894" i="104"/>
  <c r="F1894" i="104"/>
  <c r="E1894" i="104"/>
  <c r="D1894" i="104"/>
  <c r="G1893" i="104"/>
  <c r="F1893" i="104"/>
  <c r="E1893" i="104"/>
  <c r="D1893" i="104"/>
  <c r="G1892" i="104"/>
  <c r="F1892" i="104"/>
  <c r="E1892" i="104"/>
  <c r="D1892" i="104"/>
  <c r="G1891" i="104"/>
  <c r="F1891" i="104"/>
  <c r="E1891" i="104"/>
  <c r="D1891" i="104"/>
  <c r="G1890" i="104"/>
  <c r="F1890" i="104"/>
  <c r="E1890" i="104"/>
  <c r="D1890" i="104"/>
  <c r="G1889" i="104"/>
  <c r="F1889" i="104"/>
  <c r="E1889" i="104"/>
  <c r="D1889" i="104"/>
  <c r="G1888" i="104"/>
  <c r="F1888" i="104"/>
  <c r="E1888" i="104"/>
  <c r="D1888" i="104"/>
  <c r="G1887" i="104"/>
  <c r="F1887" i="104"/>
  <c r="E1887" i="104"/>
  <c r="D1887" i="104"/>
  <c r="G1886" i="104"/>
  <c r="F1886" i="104"/>
  <c r="E1886" i="104"/>
  <c r="D1886" i="104"/>
  <c r="G1885" i="104"/>
  <c r="F1885" i="104"/>
  <c r="E1885" i="104"/>
  <c r="D1885" i="104"/>
  <c r="G1884" i="104"/>
  <c r="F1884" i="104"/>
  <c r="E1884" i="104"/>
  <c r="D1884" i="104"/>
  <c r="G1883" i="104"/>
  <c r="F1883" i="104"/>
  <c r="E1883" i="104"/>
  <c r="D1883" i="104"/>
  <c r="G1882" i="104"/>
  <c r="F1882" i="104"/>
  <c r="E1882" i="104"/>
  <c r="D1882" i="104"/>
  <c r="G1881" i="104"/>
  <c r="F1881" i="104"/>
  <c r="E1881" i="104"/>
  <c r="D1881" i="104"/>
  <c r="G1880" i="104"/>
  <c r="F1880" i="104"/>
  <c r="E1880" i="104"/>
  <c r="D1880" i="104"/>
  <c r="G1879" i="104"/>
  <c r="F1879" i="104"/>
  <c r="E1879" i="104"/>
  <c r="D1879" i="104"/>
  <c r="G1878" i="104"/>
  <c r="F1878" i="104"/>
  <c r="E1878" i="104"/>
  <c r="D1878" i="104"/>
  <c r="G1877" i="104"/>
  <c r="F1877" i="104"/>
  <c r="E1877" i="104"/>
  <c r="D1877" i="104"/>
  <c r="G1876" i="104"/>
  <c r="F1876" i="104"/>
  <c r="E1876" i="104"/>
  <c r="D1876" i="104"/>
  <c r="G1875" i="104"/>
  <c r="F1875" i="104"/>
  <c r="E1875" i="104"/>
  <c r="D1875" i="104"/>
  <c r="G1874" i="104"/>
  <c r="F1874" i="104"/>
  <c r="E1874" i="104"/>
  <c r="D1874" i="104"/>
  <c r="G1873" i="104"/>
  <c r="F1873" i="104"/>
  <c r="E1873" i="104"/>
  <c r="D1873" i="104"/>
  <c r="G1872" i="104"/>
  <c r="F1872" i="104"/>
  <c r="E1872" i="104"/>
  <c r="D1872" i="104"/>
  <c r="G1871" i="104"/>
  <c r="F1871" i="104"/>
  <c r="E1871" i="104"/>
  <c r="D1871" i="104"/>
  <c r="G1870" i="104"/>
  <c r="F1870" i="104"/>
  <c r="E1870" i="104"/>
  <c r="D1870" i="104"/>
  <c r="G1869" i="104"/>
  <c r="F1869" i="104"/>
  <c r="E1869" i="104"/>
  <c r="D1869" i="104"/>
  <c r="G1868" i="104"/>
  <c r="F1868" i="104"/>
  <c r="E1868" i="104"/>
  <c r="D1868" i="104"/>
  <c r="G1867" i="104"/>
  <c r="F1867" i="104"/>
  <c r="E1867" i="104"/>
  <c r="D1867" i="104"/>
  <c r="G1866" i="104"/>
  <c r="F1866" i="104"/>
  <c r="E1866" i="104"/>
  <c r="D1866" i="104"/>
  <c r="G1865" i="104"/>
  <c r="F1865" i="104"/>
  <c r="E1865" i="104"/>
  <c r="D1865" i="104"/>
  <c r="G1864" i="104"/>
  <c r="F1864" i="104"/>
  <c r="E1864" i="104"/>
  <c r="D1864" i="104"/>
  <c r="G1863" i="104"/>
  <c r="F1863" i="104"/>
  <c r="E1863" i="104"/>
  <c r="D1863" i="104"/>
  <c r="G1862" i="104"/>
  <c r="F1862" i="104"/>
  <c r="E1862" i="104"/>
  <c r="D1862" i="104"/>
  <c r="G1861" i="104"/>
  <c r="F1861" i="104"/>
  <c r="E1861" i="104"/>
  <c r="D1861" i="104"/>
  <c r="G1860" i="104"/>
  <c r="F1860" i="104"/>
  <c r="E1860" i="104"/>
  <c r="D1860" i="104"/>
  <c r="G1859" i="104"/>
  <c r="F1859" i="104"/>
  <c r="E1859" i="104"/>
  <c r="D1859" i="104"/>
  <c r="G1858" i="104"/>
  <c r="F1858" i="104"/>
  <c r="E1858" i="104"/>
  <c r="D1858" i="104"/>
  <c r="G1857" i="104"/>
  <c r="F1857" i="104"/>
  <c r="E1857" i="104"/>
  <c r="D1857" i="104"/>
  <c r="G1856" i="104"/>
  <c r="F1856" i="104"/>
  <c r="E1856" i="104"/>
  <c r="D1856" i="104"/>
  <c r="G1855" i="104"/>
  <c r="F1855" i="104"/>
  <c r="E1855" i="104"/>
  <c r="D1855" i="104"/>
  <c r="G1854" i="104"/>
  <c r="F1854" i="104"/>
  <c r="E1854" i="104"/>
  <c r="D1854" i="104"/>
  <c r="G1853" i="104"/>
  <c r="F1853" i="104"/>
  <c r="E1853" i="104"/>
  <c r="D1853" i="104"/>
  <c r="G1852" i="104"/>
  <c r="F1852" i="104"/>
  <c r="E1852" i="104"/>
  <c r="D1852" i="104"/>
  <c r="G1851" i="104"/>
  <c r="F1851" i="104"/>
  <c r="E1851" i="104"/>
  <c r="D1851" i="104"/>
  <c r="G1850" i="104"/>
  <c r="F1850" i="104"/>
  <c r="E1850" i="104"/>
  <c r="D1850" i="104"/>
  <c r="G1849" i="104"/>
  <c r="F1849" i="104"/>
  <c r="E1849" i="104"/>
  <c r="D1849" i="104"/>
  <c r="G1848" i="104"/>
  <c r="F1848" i="104"/>
  <c r="E1848" i="104"/>
  <c r="D1848" i="104"/>
  <c r="G1847" i="104"/>
  <c r="F1847" i="104"/>
  <c r="E1847" i="104"/>
  <c r="D1847" i="104"/>
  <c r="G1846" i="104"/>
  <c r="F1846" i="104"/>
  <c r="E1846" i="104"/>
  <c r="D1846" i="104"/>
  <c r="G1845" i="104"/>
  <c r="F1845" i="104"/>
  <c r="E1845" i="104"/>
  <c r="D1845" i="104"/>
  <c r="G1844" i="104"/>
  <c r="F1844" i="104"/>
  <c r="E1844" i="104"/>
  <c r="D1844" i="104"/>
  <c r="G1843" i="104"/>
  <c r="F1843" i="104"/>
  <c r="E1843" i="104"/>
  <c r="D1843" i="104"/>
  <c r="G1842" i="104"/>
  <c r="F1842" i="104"/>
  <c r="E1842" i="104"/>
  <c r="D1842" i="104"/>
  <c r="G1841" i="104"/>
  <c r="F1841" i="104"/>
  <c r="E1841" i="104"/>
  <c r="D1841" i="104"/>
  <c r="G1840" i="104"/>
  <c r="F1840" i="104"/>
  <c r="E1840" i="104"/>
  <c r="D1840" i="104"/>
  <c r="G1839" i="104"/>
  <c r="F1839" i="104"/>
  <c r="E1839" i="104"/>
  <c r="D1839" i="104"/>
  <c r="G1838" i="104"/>
  <c r="F1838" i="104"/>
  <c r="E1838" i="104"/>
  <c r="D1838" i="104"/>
  <c r="G1837" i="104"/>
  <c r="F1837" i="104"/>
  <c r="E1837" i="104"/>
  <c r="D1837" i="104"/>
  <c r="G1836" i="104"/>
  <c r="F1836" i="104"/>
  <c r="E1836" i="104"/>
  <c r="D1836" i="104"/>
  <c r="G1835" i="104"/>
  <c r="F1835" i="104"/>
  <c r="E1835" i="104"/>
  <c r="D1835" i="104"/>
  <c r="G1834" i="104"/>
  <c r="F1834" i="104"/>
  <c r="E1834" i="104"/>
  <c r="D1834" i="104"/>
  <c r="G1833" i="104"/>
  <c r="F1833" i="104"/>
  <c r="E1833" i="104"/>
  <c r="D1833" i="104"/>
  <c r="G1832" i="104"/>
  <c r="F1832" i="104"/>
  <c r="E1832" i="104"/>
  <c r="D1832" i="104"/>
  <c r="G1831" i="104"/>
  <c r="F1831" i="104"/>
  <c r="E1831" i="104"/>
  <c r="D1831" i="104"/>
  <c r="G1830" i="104"/>
  <c r="F1830" i="104"/>
  <c r="E1830" i="104"/>
  <c r="D1830" i="104"/>
  <c r="G1829" i="104"/>
  <c r="F1829" i="104"/>
  <c r="E1829" i="104"/>
  <c r="D1829" i="104"/>
  <c r="G1828" i="104"/>
  <c r="F1828" i="104"/>
  <c r="E1828" i="104"/>
  <c r="D1828" i="104"/>
  <c r="G1827" i="104"/>
  <c r="F1827" i="104"/>
  <c r="E1827" i="104"/>
  <c r="D1827" i="104"/>
  <c r="G1826" i="104"/>
  <c r="F1826" i="104"/>
  <c r="E1826" i="104"/>
  <c r="D1826" i="104"/>
  <c r="G1825" i="104"/>
  <c r="F1825" i="104"/>
  <c r="E1825" i="104"/>
  <c r="D1825" i="104"/>
  <c r="G1824" i="104"/>
  <c r="F1824" i="104"/>
  <c r="E1824" i="104"/>
  <c r="D1824" i="104"/>
  <c r="G1823" i="104"/>
  <c r="F1823" i="104"/>
  <c r="E1823" i="104"/>
  <c r="D1823" i="104"/>
  <c r="G1822" i="104"/>
  <c r="F1822" i="104"/>
  <c r="E1822" i="104"/>
  <c r="D1822" i="104"/>
  <c r="G1821" i="104"/>
  <c r="F1821" i="104"/>
  <c r="E1821" i="104"/>
  <c r="D1821" i="104"/>
  <c r="G1820" i="104"/>
  <c r="F1820" i="104"/>
  <c r="E1820" i="104"/>
  <c r="D1820" i="104"/>
  <c r="G1819" i="104"/>
  <c r="F1819" i="104"/>
  <c r="E1819" i="104"/>
  <c r="D1819" i="104"/>
  <c r="G1818" i="104"/>
  <c r="F1818" i="104"/>
  <c r="E1818" i="104"/>
  <c r="D1818" i="104"/>
  <c r="G1817" i="104"/>
  <c r="F1817" i="104"/>
  <c r="E1817" i="104"/>
  <c r="D1817" i="104"/>
  <c r="G1816" i="104"/>
  <c r="F1816" i="104"/>
  <c r="E1816" i="104"/>
  <c r="D1816" i="104"/>
  <c r="G1815" i="104"/>
  <c r="F1815" i="104"/>
  <c r="E1815" i="104"/>
  <c r="D1815" i="104"/>
  <c r="G1814" i="104"/>
  <c r="F1814" i="104"/>
  <c r="E1814" i="104"/>
  <c r="D1814" i="104"/>
  <c r="G1813" i="104"/>
  <c r="F1813" i="104"/>
  <c r="E1813" i="104"/>
  <c r="D1813" i="104"/>
  <c r="G1812" i="104"/>
  <c r="F1812" i="104"/>
  <c r="E1812" i="104"/>
  <c r="D1812" i="104"/>
  <c r="G1811" i="104"/>
  <c r="F1811" i="104"/>
  <c r="E1811" i="104"/>
  <c r="D1811" i="104"/>
  <c r="G1810" i="104"/>
  <c r="F1810" i="104"/>
  <c r="E1810" i="104"/>
  <c r="D1810" i="104"/>
  <c r="G1809" i="104"/>
  <c r="F1809" i="104"/>
  <c r="E1809" i="104"/>
  <c r="D1809" i="104"/>
  <c r="G1808" i="104"/>
  <c r="F1808" i="104"/>
  <c r="E1808" i="104"/>
  <c r="D1808" i="104"/>
  <c r="G1807" i="104"/>
  <c r="F1807" i="104"/>
  <c r="E1807" i="104"/>
  <c r="D1807" i="104"/>
  <c r="G1806" i="104"/>
  <c r="F1806" i="104"/>
  <c r="E1806" i="104"/>
  <c r="D1806" i="104"/>
  <c r="G1805" i="104"/>
  <c r="F1805" i="104"/>
  <c r="E1805" i="104"/>
  <c r="D1805" i="104"/>
  <c r="G1804" i="104"/>
  <c r="F1804" i="104"/>
  <c r="E1804" i="104"/>
  <c r="D1804" i="104"/>
  <c r="G1803" i="104"/>
  <c r="F1803" i="104"/>
  <c r="E1803" i="104"/>
  <c r="D1803" i="104"/>
  <c r="G1802" i="104"/>
  <c r="F1802" i="104"/>
  <c r="E1802" i="104"/>
  <c r="D1802" i="104"/>
  <c r="G1801" i="104"/>
  <c r="F1801" i="104"/>
  <c r="E1801" i="104"/>
  <c r="D1801" i="104"/>
  <c r="G1800" i="104"/>
  <c r="F1800" i="104"/>
  <c r="E1800" i="104"/>
  <c r="D1800" i="104"/>
  <c r="G1799" i="104"/>
  <c r="F1799" i="104"/>
  <c r="E1799" i="104"/>
  <c r="D1799" i="104"/>
  <c r="G1798" i="104"/>
  <c r="F1798" i="104"/>
  <c r="E1798" i="104"/>
  <c r="D1798" i="104"/>
  <c r="G1797" i="104"/>
  <c r="F1797" i="104"/>
  <c r="E1797" i="104"/>
  <c r="D1797" i="104"/>
  <c r="G1796" i="104"/>
  <c r="F1796" i="104"/>
  <c r="E1796" i="104"/>
  <c r="D1796" i="104"/>
  <c r="G1795" i="104"/>
  <c r="F1795" i="104"/>
  <c r="E1795" i="104"/>
  <c r="D1795" i="104"/>
  <c r="G1794" i="104"/>
  <c r="F1794" i="104"/>
  <c r="E1794" i="104"/>
  <c r="D1794" i="104"/>
  <c r="G1793" i="104"/>
  <c r="F1793" i="104"/>
  <c r="E1793" i="104"/>
  <c r="D1793" i="104"/>
  <c r="G1792" i="104"/>
  <c r="F1792" i="104"/>
  <c r="E1792" i="104"/>
  <c r="D1792" i="104"/>
  <c r="G1791" i="104"/>
  <c r="F1791" i="104"/>
  <c r="E1791" i="104"/>
  <c r="D1791" i="104"/>
  <c r="G1790" i="104"/>
  <c r="F1790" i="104"/>
  <c r="E1790" i="104"/>
  <c r="D1790" i="104"/>
  <c r="G1789" i="104"/>
  <c r="F1789" i="104"/>
  <c r="E1789" i="104"/>
  <c r="D1789" i="104"/>
  <c r="G1788" i="104"/>
  <c r="F1788" i="104"/>
  <c r="E1788" i="104"/>
  <c r="D1788" i="104"/>
  <c r="G1787" i="104"/>
  <c r="F1787" i="104"/>
  <c r="E1787" i="104"/>
  <c r="D1787" i="104"/>
  <c r="G1786" i="104"/>
  <c r="F1786" i="104"/>
  <c r="E1786" i="104"/>
  <c r="D1786" i="104"/>
  <c r="G1785" i="104"/>
  <c r="F1785" i="104"/>
  <c r="E1785" i="104"/>
  <c r="D1785" i="104"/>
  <c r="G1784" i="104"/>
  <c r="F1784" i="104"/>
  <c r="E1784" i="104"/>
  <c r="D1784" i="104"/>
  <c r="G1783" i="104"/>
  <c r="F1783" i="104"/>
  <c r="E1783" i="104"/>
  <c r="D1783" i="104"/>
  <c r="G1782" i="104"/>
  <c r="F1782" i="104"/>
  <c r="E1782" i="104"/>
  <c r="D1782" i="104"/>
  <c r="G1781" i="104"/>
  <c r="F1781" i="104"/>
  <c r="E1781" i="104"/>
  <c r="D1781" i="104"/>
  <c r="G1780" i="104"/>
  <c r="F1780" i="104"/>
  <c r="E1780" i="104"/>
  <c r="D1780" i="104"/>
  <c r="G1779" i="104"/>
  <c r="F1779" i="104"/>
  <c r="E1779" i="104"/>
  <c r="D1779" i="104"/>
  <c r="G1778" i="104"/>
  <c r="F1778" i="104"/>
  <c r="E1778" i="104"/>
  <c r="D1778" i="104"/>
  <c r="G1777" i="104"/>
  <c r="F1777" i="104"/>
  <c r="E1777" i="104"/>
  <c r="D1777" i="104"/>
  <c r="G1776" i="104"/>
  <c r="F1776" i="104"/>
  <c r="E1776" i="104"/>
  <c r="D1776" i="104"/>
  <c r="G1775" i="104"/>
  <c r="F1775" i="104"/>
  <c r="E1775" i="104"/>
  <c r="D1775" i="104"/>
  <c r="G1774" i="104"/>
  <c r="F1774" i="104"/>
  <c r="E1774" i="104"/>
  <c r="D1774" i="104"/>
  <c r="G1773" i="104"/>
  <c r="F1773" i="104"/>
  <c r="E1773" i="104"/>
  <c r="D1773" i="104"/>
  <c r="G1772" i="104"/>
  <c r="F1772" i="104"/>
  <c r="E1772" i="104"/>
  <c r="D1772" i="104"/>
  <c r="G1771" i="104"/>
  <c r="F1771" i="104"/>
  <c r="E1771" i="104"/>
  <c r="D1771" i="104"/>
  <c r="G1770" i="104"/>
  <c r="F1770" i="104"/>
  <c r="E1770" i="104"/>
  <c r="D1770" i="104"/>
  <c r="G1769" i="104"/>
  <c r="F1769" i="104"/>
  <c r="E1769" i="104"/>
  <c r="D1769" i="104"/>
  <c r="G1768" i="104"/>
  <c r="F1768" i="104"/>
  <c r="E1768" i="104"/>
  <c r="D1768" i="104"/>
  <c r="G1767" i="104"/>
  <c r="F1767" i="104"/>
  <c r="E1767" i="104"/>
  <c r="D1767" i="104"/>
  <c r="G1766" i="104"/>
  <c r="F1766" i="104"/>
  <c r="E1766" i="104"/>
  <c r="D1766" i="104"/>
  <c r="G1765" i="104"/>
  <c r="F1765" i="104"/>
  <c r="E1765" i="104"/>
  <c r="D1765" i="104"/>
  <c r="G1764" i="104"/>
  <c r="F1764" i="104"/>
  <c r="E1764" i="104"/>
  <c r="D1764" i="104"/>
  <c r="G1763" i="104"/>
  <c r="F1763" i="104"/>
  <c r="E1763" i="104"/>
  <c r="D1763" i="104"/>
  <c r="G1762" i="104"/>
  <c r="F1762" i="104"/>
  <c r="E1762" i="104"/>
  <c r="D1762" i="104"/>
  <c r="G1761" i="104"/>
  <c r="F1761" i="104"/>
  <c r="E1761" i="104"/>
  <c r="D1761" i="104"/>
  <c r="G1760" i="104"/>
  <c r="F1760" i="104"/>
  <c r="E1760" i="104"/>
  <c r="D1760" i="104"/>
  <c r="G1759" i="104"/>
  <c r="F1759" i="104"/>
  <c r="E1759" i="104"/>
  <c r="D1759" i="104"/>
  <c r="G1758" i="104"/>
  <c r="F1758" i="104"/>
  <c r="E1758" i="104"/>
  <c r="D1758" i="104"/>
  <c r="G1757" i="104"/>
  <c r="F1757" i="104"/>
  <c r="E1757" i="104"/>
  <c r="D1757" i="104"/>
  <c r="G1756" i="104"/>
  <c r="F1756" i="104"/>
  <c r="E1756" i="104"/>
  <c r="D1756" i="104"/>
  <c r="G1755" i="104"/>
  <c r="F1755" i="104"/>
  <c r="E1755" i="104"/>
  <c r="D1755" i="104"/>
  <c r="G1754" i="104"/>
  <c r="F1754" i="104"/>
  <c r="E1754" i="104"/>
  <c r="D1754" i="104"/>
  <c r="G1753" i="104"/>
  <c r="F1753" i="104"/>
  <c r="E1753" i="104"/>
  <c r="D1753" i="104"/>
  <c r="G1752" i="104"/>
  <c r="F1752" i="104"/>
  <c r="E1752" i="104"/>
  <c r="D1752" i="104"/>
  <c r="G1751" i="104"/>
  <c r="F1751" i="104"/>
  <c r="E1751" i="104"/>
  <c r="D1751" i="104"/>
  <c r="G1750" i="104"/>
  <c r="F1750" i="104"/>
  <c r="E1750" i="104"/>
  <c r="D1750" i="104"/>
  <c r="G1749" i="104"/>
  <c r="F1749" i="104"/>
  <c r="E1749" i="104"/>
  <c r="D1749" i="104"/>
  <c r="G1748" i="104"/>
  <c r="F1748" i="104"/>
  <c r="E1748" i="104"/>
  <c r="D1748" i="104"/>
  <c r="G1747" i="104"/>
  <c r="F1747" i="104"/>
  <c r="E1747" i="104"/>
  <c r="D1747" i="104"/>
  <c r="G1746" i="104"/>
  <c r="F1746" i="104"/>
  <c r="E1746" i="104"/>
  <c r="D1746" i="104"/>
  <c r="G1745" i="104"/>
  <c r="F1745" i="104"/>
  <c r="E1745" i="104"/>
  <c r="D1745" i="104"/>
  <c r="G1744" i="104"/>
  <c r="F1744" i="104"/>
  <c r="E1744" i="104"/>
  <c r="D1744" i="104"/>
  <c r="G1743" i="104"/>
  <c r="F1743" i="104"/>
  <c r="E1743" i="104"/>
  <c r="D1743" i="104"/>
  <c r="G1742" i="104"/>
  <c r="F1742" i="104"/>
  <c r="E1742" i="104"/>
  <c r="D1742" i="104"/>
  <c r="G1741" i="104"/>
  <c r="F1741" i="104"/>
  <c r="E1741" i="104"/>
  <c r="D1741" i="104"/>
  <c r="G1740" i="104"/>
  <c r="F1740" i="104"/>
  <c r="E1740" i="104"/>
  <c r="D1740" i="104"/>
  <c r="G1739" i="104"/>
  <c r="F1739" i="104"/>
  <c r="E1739" i="104"/>
  <c r="D1739" i="104"/>
  <c r="G1738" i="104"/>
  <c r="F1738" i="104"/>
  <c r="E1738" i="104"/>
  <c r="D1738" i="104"/>
  <c r="G1737" i="104"/>
  <c r="F1737" i="104"/>
  <c r="E1737" i="104"/>
  <c r="D1737" i="104"/>
  <c r="G1736" i="104"/>
  <c r="F1736" i="104"/>
  <c r="E1736" i="104"/>
  <c r="D1736" i="104"/>
  <c r="G1735" i="104"/>
  <c r="F1735" i="104"/>
  <c r="E1735" i="104"/>
  <c r="D1735" i="104"/>
  <c r="G1734" i="104"/>
  <c r="F1734" i="104"/>
  <c r="E1734" i="104"/>
  <c r="D1734" i="104"/>
  <c r="G1733" i="104"/>
  <c r="F1733" i="104"/>
  <c r="E1733" i="104"/>
  <c r="D1733" i="104"/>
  <c r="G1732" i="104"/>
  <c r="F1732" i="104"/>
  <c r="E1732" i="104"/>
  <c r="D1732" i="104"/>
  <c r="G1731" i="104"/>
  <c r="F1731" i="104"/>
  <c r="E1731" i="104"/>
  <c r="D1731" i="104"/>
  <c r="G1730" i="104"/>
  <c r="F1730" i="104"/>
  <c r="E1730" i="104"/>
  <c r="D1730" i="104"/>
  <c r="G1729" i="104"/>
  <c r="F1729" i="104"/>
  <c r="E1729" i="104"/>
  <c r="D1729" i="104"/>
  <c r="G1728" i="104"/>
  <c r="F1728" i="104"/>
  <c r="E1728" i="104"/>
  <c r="D1728" i="104"/>
  <c r="G1727" i="104"/>
  <c r="F1727" i="104"/>
  <c r="E1727" i="104"/>
  <c r="D1727" i="104"/>
  <c r="G1726" i="104"/>
  <c r="F1726" i="104"/>
  <c r="E1726" i="104"/>
  <c r="D1726" i="104"/>
  <c r="G1725" i="104"/>
  <c r="F1725" i="104"/>
  <c r="E1725" i="104"/>
  <c r="D1725" i="104"/>
  <c r="G1724" i="104"/>
  <c r="F1724" i="104"/>
  <c r="E1724" i="104"/>
  <c r="D1724" i="104"/>
  <c r="G1723" i="104"/>
  <c r="F1723" i="104"/>
  <c r="E1723" i="104"/>
  <c r="D1723" i="104"/>
  <c r="G1722" i="104"/>
  <c r="F1722" i="104"/>
  <c r="E1722" i="104"/>
  <c r="D1722" i="104"/>
  <c r="G1721" i="104"/>
  <c r="F1721" i="104"/>
  <c r="E1721" i="104"/>
  <c r="D1721" i="104"/>
  <c r="G1720" i="104"/>
  <c r="F1720" i="104"/>
  <c r="E1720" i="104"/>
  <c r="D1720" i="104"/>
  <c r="G1719" i="104"/>
  <c r="F1719" i="104"/>
  <c r="E1719" i="104"/>
  <c r="D1719" i="104"/>
  <c r="G1718" i="104"/>
  <c r="F1718" i="104"/>
  <c r="E1718" i="104"/>
  <c r="D1718" i="104"/>
  <c r="G1717" i="104"/>
  <c r="F1717" i="104"/>
  <c r="E1717" i="104"/>
  <c r="D1717" i="104"/>
  <c r="G1716" i="104"/>
  <c r="F1716" i="104"/>
  <c r="E1716" i="104"/>
  <c r="D1716" i="104"/>
  <c r="G1715" i="104"/>
  <c r="F1715" i="104"/>
  <c r="E1715" i="104"/>
  <c r="D1715" i="104"/>
  <c r="G1714" i="104"/>
  <c r="F1714" i="104"/>
  <c r="E1714" i="104"/>
  <c r="D1714" i="104"/>
  <c r="G1713" i="104"/>
  <c r="F1713" i="104"/>
  <c r="E1713" i="104"/>
  <c r="D1713" i="104"/>
  <c r="G1712" i="104"/>
  <c r="F1712" i="104"/>
  <c r="E1712" i="104"/>
  <c r="D1712" i="104"/>
  <c r="G1711" i="104"/>
  <c r="F1711" i="104"/>
  <c r="E1711" i="104"/>
  <c r="D1711" i="104"/>
  <c r="G1710" i="104"/>
  <c r="F1710" i="104"/>
  <c r="E1710" i="104"/>
  <c r="D1710" i="104"/>
  <c r="G1709" i="104"/>
  <c r="F1709" i="104"/>
  <c r="E1709" i="104"/>
  <c r="D1709" i="104"/>
  <c r="G1708" i="104"/>
  <c r="F1708" i="104"/>
  <c r="E1708" i="104"/>
  <c r="D1708" i="104"/>
  <c r="G1707" i="104"/>
  <c r="F1707" i="104"/>
  <c r="E1707" i="104"/>
  <c r="D1707" i="104"/>
  <c r="G1706" i="104"/>
  <c r="F1706" i="104"/>
  <c r="E1706" i="104"/>
  <c r="D1706" i="104"/>
  <c r="G1705" i="104"/>
  <c r="F1705" i="104"/>
  <c r="E1705" i="104"/>
  <c r="D1705" i="104"/>
  <c r="G1704" i="104"/>
  <c r="F1704" i="104"/>
  <c r="E1704" i="104"/>
  <c r="D1704" i="104"/>
  <c r="G1703" i="104"/>
  <c r="F1703" i="104"/>
  <c r="E1703" i="104"/>
  <c r="D1703" i="104"/>
  <c r="G1702" i="104"/>
  <c r="F1702" i="104"/>
  <c r="E1702" i="104"/>
  <c r="D1702" i="104"/>
  <c r="G1701" i="104"/>
  <c r="F1701" i="104"/>
  <c r="E1701" i="104"/>
  <c r="D1701" i="104"/>
  <c r="G1700" i="104"/>
  <c r="F1700" i="104"/>
  <c r="E1700" i="104"/>
  <c r="D1700" i="104"/>
  <c r="G1699" i="104"/>
  <c r="F1699" i="104"/>
  <c r="E1699" i="104"/>
  <c r="D1699" i="104"/>
  <c r="G1698" i="104"/>
  <c r="F1698" i="104"/>
  <c r="E1698" i="104"/>
  <c r="D1698" i="104"/>
  <c r="G1697" i="104"/>
  <c r="F1697" i="104"/>
  <c r="E1697" i="104"/>
  <c r="D1697" i="104"/>
  <c r="G1696" i="104"/>
  <c r="F1696" i="104"/>
  <c r="E1696" i="104"/>
  <c r="D1696" i="104"/>
  <c r="G1695" i="104"/>
  <c r="F1695" i="104"/>
  <c r="E1695" i="104"/>
  <c r="D1695" i="104"/>
  <c r="G1694" i="104"/>
  <c r="F1694" i="104"/>
  <c r="E1694" i="104"/>
  <c r="D1694" i="104"/>
  <c r="G1693" i="104"/>
  <c r="F1693" i="104"/>
  <c r="E1693" i="104"/>
  <c r="D1693" i="104"/>
  <c r="G1692" i="104"/>
  <c r="F1692" i="104"/>
  <c r="E1692" i="104"/>
  <c r="D1692" i="104"/>
  <c r="G1691" i="104"/>
  <c r="F1691" i="104"/>
  <c r="E1691" i="104"/>
  <c r="D1691" i="104"/>
  <c r="G1690" i="104"/>
  <c r="F1690" i="104"/>
  <c r="E1690" i="104"/>
  <c r="D1690" i="104"/>
  <c r="G1689" i="104"/>
  <c r="F1689" i="104"/>
  <c r="E1689" i="104"/>
  <c r="D1689" i="104"/>
  <c r="G1688" i="104"/>
  <c r="F1688" i="104"/>
  <c r="E1688" i="104"/>
  <c r="D1688" i="104"/>
  <c r="G1687" i="104"/>
  <c r="F1687" i="104"/>
  <c r="E1687" i="104"/>
  <c r="D1687" i="104"/>
  <c r="G1686" i="104"/>
  <c r="F1686" i="104"/>
  <c r="E1686" i="104"/>
  <c r="D1686" i="104"/>
  <c r="G1685" i="104"/>
  <c r="F1685" i="104"/>
  <c r="E1685" i="104"/>
  <c r="D1685" i="104"/>
  <c r="G1684" i="104"/>
  <c r="F1684" i="104"/>
  <c r="E1684" i="104"/>
  <c r="D1684" i="104"/>
  <c r="G1683" i="104"/>
  <c r="F1683" i="104"/>
  <c r="E1683" i="104"/>
  <c r="D1683" i="104"/>
  <c r="G1682" i="104"/>
  <c r="F1682" i="104"/>
  <c r="E1682" i="104"/>
  <c r="D1682" i="104"/>
  <c r="G1681" i="104"/>
  <c r="F1681" i="104"/>
  <c r="E1681" i="104"/>
  <c r="D1681" i="104"/>
  <c r="G1680" i="104"/>
  <c r="F1680" i="104"/>
  <c r="E1680" i="104"/>
  <c r="D1680" i="104"/>
  <c r="G1679" i="104"/>
  <c r="F1679" i="104"/>
  <c r="E1679" i="104"/>
  <c r="D1679" i="104"/>
  <c r="G1678" i="104"/>
  <c r="F1678" i="104"/>
  <c r="E1678" i="104"/>
  <c r="D1678" i="104"/>
  <c r="G1677" i="104"/>
  <c r="F1677" i="104"/>
  <c r="E1677" i="104"/>
  <c r="D1677" i="104"/>
  <c r="G1676" i="104"/>
  <c r="F1676" i="104"/>
  <c r="E1676" i="104"/>
  <c r="D1676" i="104"/>
  <c r="G1675" i="104"/>
  <c r="F1675" i="104"/>
  <c r="E1675" i="104"/>
  <c r="D1675" i="104"/>
  <c r="G1674" i="104"/>
  <c r="F1674" i="104"/>
  <c r="E1674" i="104"/>
  <c r="D1674" i="104"/>
  <c r="G1673" i="104"/>
  <c r="F1673" i="104"/>
  <c r="E1673" i="104"/>
  <c r="D1673" i="104"/>
  <c r="G1672" i="104"/>
  <c r="F1672" i="104"/>
  <c r="E1672" i="104"/>
  <c r="D1672" i="104"/>
  <c r="G1671" i="104"/>
  <c r="F1671" i="104"/>
  <c r="E1671" i="104"/>
  <c r="D1671" i="104"/>
  <c r="G1670" i="104"/>
  <c r="F1670" i="104"/>
  <c r="E1670" i="104"/>
  <c r="D1670" i="104"/>
  <c r="G1669" i="104"/>
  <c r="F1669" i="104"/>
  <c r="E1669" i="104"/>
  <c r="D1669" i="104"/>
  <c r="G1668" i="104"/>
  <c r="F1668" i="104"/>
  <c r="E1668" i="104"/>
  <c r="D1668" i="104"/>
  <c r="G1667" i="104"/>
  <c r="F1667" i="104"/>
  <c r="E1667" i="104"/>
  <c r="D1667" i="104"/>
  <c r="G1666" i="104"/>
  <c r="F1666" i="104"/>
  <c r="E1666" i="104"/>
  <c r="D1666" i="104"/>
  <c r="G1665" i="104"/>
  <c r="F1665" i="104"/>
  <c r="E1665" i="104"/>
  <c r="D1665" i="104"/>
  <c r="G1664" i="104"/>
  <c r="F1664" i="104"/>
  <c r="E1664" i="104"/>
  <c r="D1664" i="104"/>
  <c r="G1663" i="104"/>
  <c r="F1663" i="104"/>
  <c r="E1663" i="104"/>
  <c r="D1663" i="104"/>
  <c r="G1662" i="104"/>
  <c r="F1662" i="104"/>
  <c r="E1662" i="104"/>
  <c r="D1662" i="104"/>
  <c r="G1661" i="104"/>
  <c r="F1661" i="104"/>
  <c r="E1661" i="104"/>
  <c r="D1661" i="104"/>
  <c r="G1660" i="104"/>
  <c r="F1660" i="104"/>
  <c r="E1660" i="104"/>
  <c r="D1660" i="104"/>
  <c r="G1659" i="104"/>
  <c r="F1659" i="104"/>
  <c r="E1659" i="104"/>
  <c r="D1659" i="104"/>
  <c r="G1658" i="104"/>
  <c r="F1658" i="104"/>
  <c r="E1658" i="104"/>
  <c r="D1658" i="104"/>
  <c r="G1657" i="104"/>
  <c r="F1657" i="104"/>
  <c r="E1657" i="104"/>
  <c r="D1657" i="104"/>
  <c r="G1656" i="104"/>
  <c r="F1656" i="104"/>
  <c r="E1656" i="104"/>
  <c r="D1656" i="104"/>
  <c r="G1655" i="104"/>
  <c r="F1655" i="104"/>
  <c r="E1655" i="104"/>
  <c r="D1655" i="104"/>
  <c r="G1654" i="104"/>
  <c r="F1654" i="104"/>
  <c r="E1654" i="104"/>
  <c r="D1654" i="104"/>
  <c r="G1653" i="104"/>
  <c r="F1653" i="104"/>
  <c r="E1653" i="104"/>
  <c r="D1653" i="104"/>
  <c r="G1652" i="104"/>
  <c r="F1652" i="104"/>
  <c r="E1652" i="104"/>
  <c r="D1652" i="104"/>
  <c r="G1651" i="104"/>
  <c r="F1651" i="104"/>
  <c r="E1651" i="104"/>
  <c r="D1651" i="104"/>
  <c r="G1650" i="104"/>
  <c r="F1650" i="104"/>
  <c r="E1650" i="104"/>
  <c r="D1650" i="104"/>
  <c r="G1649" i="104"/>
  <c r="F1649" i="104"/>
  <c r="E1649" i="104"/>
  <c r="D1649" i="104"/>
  <c r="G1648" i="104"/>
  <c r="F1648" i="104"/>
  <c r="E1648" i="104"/>
  <c r="D1648" i="104"/>
  <c r="G1647" i="104"/>
  <c r="F1647" i="104"/>
  <c r="E1647" i="104"/>
  <c r="D1647" i="104"/>
  <c r="G1646" i="104"/>
  <c r="F1646" i="104"/>
  <c r="E1646" i="104"/>
  <c r="D1646" i="104"/>
  <c r="G1645" i="104"/>
  <c r="F1645" i="104"/>
  <c r="E1645" i="104"/>
  <c r="D1645" i="104"/>
  <c r="G1644" i="104"/>
  <c r="F1644" i="104"/>
  <c r="E1644" i="104"/>
  <c r="D1644" i="104"/>
  <c r="G1643" i="104"/>
  <c r="F1643" i="104"/>
  <c r="E1643" i="104"/>
  <c r="D1643" i="104"/>
  <c r="G1642" i="104"/>
  <c r="F1642" i="104"/>
  <c r="E1642" i="104"/>
  <c r="D1642" i="104"/>
  <c r="G1641" i="104"/>
  <c r="F1641" i="104"/>
  <c r="E1641" i="104"/>
  <c r="D1641" i="104"/>
  <c r="G1640" i="104"/>
  <c r="F1640" i="104"/>
  <c r="E1640" i="104"/>
  <c r="D1640" i="104"/>
  <c r="G1639" i="104"/>
  <c r="F1639" i="104"/>
  <c r="E1639" i="104"/>
  <c r="D1639" i="104"/>
  <c r="G1638" i="104"/>
  <c r="F1638" i="104"/>
  <c r="E1638" i="104"/>
  <c r="D1638" i="104"/>
  <c r="G1637" i="104"/>
  <c r="F1637" i="104"/>
  <c r="E1637" i="104"/>
  <c r="D1637" i="104"/>
  <c r="G1636" i="104"/>
  <c r="F1636" i="104"/>
  <c r="E1636" i="104"/>
  <c r="D1636" i="104"/>
  <c r="G1635" i="104"/>
  <c r="F1635" i="104"/>
  <c r="E1635" i="104"/>
  <c r="D1635" i="104"/>
  <c r="G1634" i="104"/>
  <c r="F1634" i="104"/>
  <c r="E1634" i="104"/>
  <c r="D1634" i="104"/>
  <c r="G1633" i="104"/>
  <c r="F1633" i="104"/>
  <c r="E1633" i="104"/>
  <c r="D1633" i="104"/>
  <c r="G1632" i="104"/>
  <c r="F1632" i="104"/>
  <c r="E1632" i="104"/>
  <c r="D1632" i="104"/>
  <c r="G1631" i="104"/>
  <c r="F1631" i="104"/>
  <c r="E1631" i="104"/>
  <c r="D1631" i="104"/>
  <c r="G1630" i="104"/>
  <c r="F1630" i="104"/>
  <c r="E1630" i="104"/>
  <c r="D1630" i="104"/>
  <c r="G1629" i="104"/>
  <c r="F1629" i="104"/>
  <c r="E1629" i="104"/>
  <c r="D1629" i="104"/>
  <c r="G1628" i="104"/>
  <c r="F1628" i="104"/>
  <c r="E1628" i="104"/>
  <c r="D1628" i="104"/>
  <c r="G1627" i="104"/>
  <c r="F1627" i="104"/>
  <c r="E1627" i="104"/>
  <c r="D1627" i="104"/>
  <c r="G1626" i="104"/>
  <c r="F1626" i="104"/>
  <c r="E1626" i="104"/>
  <c r="D1626" i="104"/>
  <c r="G1625" i="104"/>
  <c r="F1625" i="104"/>
  <c r="E1625" i="104"/>
  <c r="D1625" i="104"/>
  <c r="G1624" i="104"/>
  <c r="F1624" i="104"/>
  <c r="E1624" i="104"/>
  <c r="D1624" i="104"/>
  <c r="G1623" i="104"/>
  <c r="F1623" i="104"/>
  <c r="E1623" i="104"/>
  <c r="D1623" i="104"/>
  <c r="G1622" i="104"/>
  <c r="F1622" i="104"/>
  <c r="E1622" i="104"/>
  <c r="D1622" i="104"/>
  <c r="G1621" i="104"/>
  <c r="F1621" i="104"/>
  <c r="E1621" i="104"/>
  <c r="D1621" i="104"/>
  <c r="G1620" i="104"/>
  <c r="F1620" i="104"/>
  <c r="E1620" i="104"/>
  <c r="D1620" i="104"/>
  <c r="G1619" i="104"/>
  <c r="F1619" i="104"/>
  <c r="E1619" i="104"/>
  <c r="D1619" i="104"/>
  <c r="G1618" i="104"/>
  <c r="F1618" i="104"/>
  <c r="E1618" i="104"/>
  <c r="D1618" i="104"/>
  <c r="G1617" i="104"/>
  <c r="F1617" i="104"/>
  <c r="E1617" i="104"/>
  <c r="D1617" i="104"/>
  <c r="G1616" i="104"/>
  <c r="F1616" i="104"/>
  <c r="E1616" i="104"/>
  <c r="D1616" i="104"/>
  <c r="G1615" i="104"/>
  <c r="F1615" i="104"/>
  <c r="E1615" i="104"/>
  <c r="D1615" i="104"/>
  <c r="G1614" i="104"/>
  <c r="F1614" i="104"/>
  <c r="E1614" i="104"/>
  <c r="D1614" i="104"/>
  <c r="G1613" i="104"/>
  <c r="F1613" i="104"/>
  <c r="E1613" i="104"/>
  <c r="D1613" i="104"/>
  <c r="G1612" i="104"/>
  <c r="F1612" i="104"/>
  <c r="E1612" i="104"/>
  <c r="D1612" i="104"/>
  <c r="G1611" i="104"/>
  <c r="F1611" i="104"/>
  <c r="E1611" i="104"/>
  <c r="D1611" i="104"/>
  <c r="G1610" i="104"/>
  <c r="F1610" i="104"/>
  <c r="E1610" i="104"/>
  <c r="D1610" i="104"/>
  <c r="G1609" i="104"/>
  <c r="F1609" i="104"/>
  <c r="E1609" i="104"/>
  <c r="D1609" i="104"/>
  <c r="G1608" i="104"/>
  <c r="F1608" i="104"/>
  <c r="E1608" i="104"/>
  <c r="D1608" i="104"/>
  <c r="G1607" i="104"/>
  <c r="F1607" i="104"/>
  <c r="E1607" i="104"/>
  <c r="D1607" i="104"/>
  <c r="G1606" i="104"/>
  <c r="F1606" i="104"/>
  <c r="E1606" i="104"/>
  <c r="D1606" i="104"/>
  <c r="G1605" i="104"/>
  <c r="F1605" i="104"/>
  <c r="E1605" i="104"/>
  <c r="D1605" i="104"/>
  <c r="G1604" i="104"/>
  <c r="F1604" i="104"/>
  <c r="E1604" i="104"/>
  <c r="D1604" i="104"/>
  <c r="G1603" i="104"/>
  <c r="F1603" i="104"/>
  <c r="E1603" i="104"/>
  <c r="D1603" i="104"/>
  <c r="G1602" i="104"/>
  <c r="F1602" i="104"/>
  <c r="E1602" i="104"/>
  <c r="D1602" i="104"/>
  <c r="G1601" i="104"/>
  <c r="F1601" i="104"/>
  <c r="E1601" i="104"/>
  <c r="D1601" i="104"/>
  <c r="G1600" i="104"/>
  <c r="F1600" i="104"/>
  <c r="E1600" i="104"/>
  <c r="D1600" i="104"/>
  <c r="G1599" i="104"/>
  <c r="F1599" i="104"/>
  <c r="E1599" i="104"/>
  <c r="D1599" i="104"/>
  <c r="G1598" i="104"/>
  <c r="F1598" i="104"/>
  <c r="E1598" i="104"/>
  <c r="D1598" i="104"/>
  <c r="G1597" i="104"/>
  <c r="F1597" i="104"/>
  <c r="E1597" i="104"/>
  <c r="D1597" i="104"/>
  <c r="G1596" i="104"/>
  <c r="F1596" i="104"/>
  <c r="E1596" i="104"/>
  <c r="D1596" i="104"/>
  <c r="G1595" i="104"/>
  <c r="F1595" i="104"/>
  <c r="E1595" i="104"/>
  <c r="D1595" i="104"/>
  <c r="G1594" i="104"/>
  <c r="F1594" i="104"/>
  <c r="E1594" i="104"/>
  <c r="D1594" i="104"/>
  <c r="G1593" i="104"/>
  <c r="F1593" i="104"/>
  <c r="E1593" i="104"/>
  <c r="D1593" i="104"/>
  <c r="G1592" i="104"/>
  <c r="F1592" i="104"/>
  <c r="E1592" i="104"/>
  <c r="D1592" i="104"/>
  <c r="G1591" i="104"/>
  <c r="F1591" i="104"/>
  <c r="E1591" i="104"/>
  <c r="D1591" i="104"/>
  <c r="G1590" i="104"/>
  <c r="F1590" i="104"/>
  <c r="E1590" i="104"/>
  <c r="D1590" i="104"/>
  <c r="G1589" i="104"/>
  <c r="F1589" i="104"/>
  <c r="E1589" i="104"/>
  <c r="D1589" i="104"/>
  <c r="G1588" i="104"/>
  <c r="F1588" i="104"/>
  <c r="E1588" i="104"/>
  <c r="D1588" i="104"/>
  <c r="G1587" i="104"/>
  <c r="F1587" i="104"/>
  <c r="E1587" i="104"/>
  <c r="D1587" i="104"/>
  <c r="G1586" i="104"/>
  <c r="F1586" i="104"/>
  <c r="E1586" i="104"/>
  <c r="D1586" i="104"/>
  <c r="G1585" i="104"/>
  <c r="F1585" i="104"/>
  <c r="E1585" i="104"/>
  <c r="D1585" i="104"/>
  <c r="G1584" i="104"/>
  <c r="F1584" i="104"/>
  <c r="E1584" i="104"/>
  <c r="D1584" i="104"/>
  <c r="G1583" i="104"/>
  <c r="F1583" i="104"/>
  <c r="E1583" i="104"/>
  <c r="D1583" i="104"/>
  <c r="G1582" i="104"/>
  <c r="F1582" i="104"/>
  <c r="E1582" i="104"/>
  <c r="D1582" i="104"/>
  <c r="G1581" i="104"/>
  <c r="F1581" i="104"/>
  <c r="E1581" i="104"/>
  <c r="D1581" i="104"/>
  <c r="G1580" i="104"/>
  <c r="F1580" i="104"/>
  <c r="E1580" i="104"/>
  <c r="D1580" i="104"/>
  <c r="G1579" i="104"/>
  <c r="F1579" i="104"/>
  <c r="E1579" i="104"/>
  <c r="D1579" i="104"/>
  <c r="G1578" i="104"/>
  <c r="F1578" i="104"/>
  <c r="E1578" i="104"/>
  <c r="D1578" i="104"/>
  <c r="G1577" i="104"/>
  <c r="F1577" i="104"/>
  <c r="E1577" i="104"/>
  <c r="D1577" i="104"/>
  <c r="G1576" i="104"/>
  <c r="F1576" i="104"/>
  <c r="E1576" i="104"/>
  <c r="D1576" i="104"/>
  <c r="G1575" i="104"/>
  <c r="F1575" i="104"/>
  <c r="E1575" i="104"/>
  <c r="D1575" i="104"/>
  <c r="G1574" i="104"/>
  <c r="F1574" i="104"/>
  <c r="E1574" i="104"/>
  <c r="D1574" i="104"/>
  <c r="G1573" i="104"/>
  <c r="F1573" i="104"/>
  <c r="E1573" i="104"/>
  <c r="D1573" i="104"/>
  <c r="G1572" i="104"/>
  <c r="F1572" i="104"/>
  <c r="E1572" i="104"/>
  <c r="D1572" i="104"/>
  <c r="G1571" i="104"/>
  <c r="F1571" i="104"/>
  <c r="E1571" i="104"/>
  <c r="D1571" i="104"/>
  <c r="G1570" i="104"/>
  <c r="F1570" i="104"/>
  <c r="E1570" i="104"/>
  <c r="D1570" i="104"/>
  <c r="G1569" i="104"/>
  <c r="F1569" i="104"/>
  <c r="E1569" i="104"/>
  <c r="D1569" i="104"/>
  <c r="G1568" i="104"/>
  <c r="F1568" i="104"/>
  <c r="E1568" i="104"/>
  <c r="D1568" i="104"/>
  <c r="G1567" i="104"/>
  <c r="F1567" i="104"/>
  <c r="E1567" i="104"/>
  <c r="D1567" i="104"/>
  <c r="G1566" i="104"/>
  <c r="F1566" i="104"/>
  <c r="E1566" i="104"/>
  <c r="D1566" i="104"/>
  <c r="G1565" i="104"/>
  <c r="F1565" i="104"/>
  <c r="E1565" i="104"/>
  <c r="D1565" i="104"/>
  <c r="G1564" i="104"/>
  <c r="F1564" i="104"/>
  <c r="E1564" i="104"/>
  <c r="D1564" i="104"/>
  <c r="G1563" i="104"/>
  <c r="F1563" i="104"/>
  <c r="E1563" i="104"/>
  <c r="D1563" i="104"/>
  <c r="G1562" i="104"/>
  <c r="F1562" i="104"/>
  <c r="E1562" i="104"/>
  <c r="D1562" i="104"/>
  <c r="G1561" i="104"/>
  <c r="F1561" i="104"/>
  <c r="E1561" i="104"/>
  <c r="D1561" i="104"/>
  <c r="G1560" i="104"/>
  <c r="F1560" i="104"/>
  <c r="E1560" i="104"/>
  <c r="D1560" i="104"/>
  <c r="G1559" i="104"/>
  <c r="F1559" i="104"/>
  <c r="E1559" i="104"/>
  <c r="D1559" i="104"/>
  <c r="G1558" i="104"/>
  <c r="F1558" i="104"/>
  <c r="E1558" i="104"/>
  <c r="D1558" i="104"/>
  <c r="G1557" i="104"/>
  <c r="F1557" i="104"/>
  <c r="E1557" i="104"/>
  <c r="D1557" i="104"/>
  <c r="G1556" i="104"/>
  <c r="F1556" i="104"/>
  <c r="E1556" i="104"/>
  <c r="D1556" i="104"/>
  <c r="G1555" i="104"/>
  <c r="F1555" i="104"/>
  <c r="E1555" i="104"/>
  <c r="D1555" i="104"/>
  <c r="G1554" i="104"/>
  <c r="F1554" i="104"/>
  <c r="E1554" i="104"/>
  <c r="D1554" i="104"/>
  <c r="G1553" i="104"/>
  <c r="F1553" i="104"/>
  <c r="E1553" i="104"/>
  <c r="D1553" i="104"/>
  <c r="G1552" i="104"/>
  <c r="F1552" i="104"/>
  <c r="E1552" i="104"/>
  <c r="D1552" i="104"/>
  <c r="G1551" i="104"/>
  <c r="F1551" i="104"/>
  <c r="E1551" i="104"/>
  <c r="D1551" i="104"/>
  <c r="G1550" i="104"/>
  <c r="F1550" i="104"/>
  <c r="E1550" i="104"/>
  <c r="D1550" i="104"/>
  <c r="G1549" i="104"/>
  <c r="F1549" i="104"/>
  <c r="E1549" i="104"/>
  <c r="D1549" i="104"/>
  <c r="G1548" i="104"/>
  <c r="F1548" i="104"/>
  <c r="E1548" i="104"/>
  <c r="D1548" i="104"/>
  <c r="G1547" i="104"/>
  <c r="F1547" i="104"/>
  <c r="E1547" i="104"/>
  <c r="D1547" i="104"/>
  <c r="G1546" i="104"/>
  <c r="F1546" i="104"/>
  <c r="E1546" i="104"/>
  <c r="D1546" i="104"/>
  <c r="G1545" i="104"/>
  <c r="F1545" i="104"/>
  <c r="E1545" i="104"/>
  <c r="D1545" i="104"/>
  <c r="G1544" i="104"/>
  <c r="F1544" i="104"/>
  <c r="E1544" i="104"/>
  <c r="D1544" i="104"/>
  <c r="G1543" i="104"/>
  <c r="F1543" i="104"/>
  <c r="E1543" i="104"/>
  <c r="D1543" i="104"/>
  <c r="G1542" i="104"/>
  <c r="F1542" i="104"/>
  <c r="E1542" i="104"/>
  <c r="D1542" i="104"/>
  <c r="G1541" i="104"/>
  <c r="F1541" i="104"/>
  <c r="E1541" i="104"/>
  <c r="D1541" i="104"/>
  <c r="G1540" i="104"/>
  <c r="F1540" i="104"/>
  <c r="E1540" i="104"/>
  <c r="D1540" i="104"/>
  <c r="G1539" i="104"/>
  <c r="F1539" i="104"/>
  <c r="E1539" i="104"/>
  <c r="D1539" i="104"/>
  <c r="G1538" i="104"/>
  <c r="F1538" i="104"/>
  <c r="E1538" i="104"/>
  <c r="D1538" i="104"/>
  <c r="G1537" i="104"/>
  <c r="F1537" i="104"/>
  <c r="E1537" i="104"/>
  <c r="D1537" i="104"/>
  <c r="G1536" i="104"/>
  <c r="F1536" i="104"/>
  <c r="E1536" i="104"/>
  <c r="D1536" i="104"/>
  <c r="G1535" i="104"/>
  <c r="F1535" i="104"/>
  <c r="E1535" i="104"/>
  <c r="D1535" i="104"/>
  <c r="G1534" i="104"/>
  <c r="F1534" i="104"/>
  <c r="E1534" i="104"/>
  <c r="D1534" i="104"/>
  <c r="G1533" i="104"/>
  <c r="F1533" i="104"/>
  <c r="E1533" i="104"/>
  <c r="D1533" i="104"/>
  <c r="G1532" i="104"/>
  <c r="F1532" i="104"/>
  <c r="E1532" i="104"/>
  <c r="D1532" i="104"/>
  <c r="G1531" i="104"/>
  <c r="F1531" i="104"/>
  <c r="E1531" i="104"/>
  <c r="D1531" i="104"/>
  <c r="G1530" i="104"/>
  <c r="F1530" i="104"/>
  <c r="E1530" i="104"/>
  <c r="D1530" i="104"/>
  <c r="G1529" i="104"/>
  <c r="F1529" i="104"/>
  <c r="E1529" i="104"/>
  <c r="D1529" i="104"/>
  <c r="G1528" i="104"/>
  <c r="F1528" i="104"/>
  <c r="E1528" i="104"/>
  <c r="D1528" i="104"/>
  <c r="G1527" i="104"/>
  <c r="F1527" i="104"/>
  <c r="E1527" i="104"/>
  <c r="D1527" i="104"/>
  <c r="G1526" i="104"/>
  <c r="F1526" i="104"/>
  <c r="E1526" i="104"/>
  <c r="D1526" i="104"/>
  <c r="G1525" i="104"/>
  <c r="F1525" i="104"/>
  <c r="E1525" i="104"/>
  <c r="D1525" i="104"/>
  <c r="G1524" i="104"/>
  <c r="F1524" i="104"/>
  <c r="E1524" i="104"/>
  <c r="D1524" i="104"/>
  <c r="G1523" i="104"/>
  <c r="F1523" i="104"/>
  <c r="E1523" i="104"/>
  <c r="D1523" i="104"/>
  <c r="G1522" i="104"/>
  <c r="F1522" i="104"/>
  <c r="E1522" i="104"/>
  <c r="D1522" i="104"/>
  <c r="G1521" i="104"/>
  <c r="F1521" i="104"/>
  <c r="E1521" i="104"/>
  <c r="D1521" i="104"/>
  <c r="G1520" i="104"/>
  <c r="F1520" i="104"/>
  <c r="E1520" i="104"/>
  <c r="D1520" i="104"/>
  <c r="G1519" i="104"/>
  <c r="F1519" i="104"/>
  <c r="E1519" i="104"/>
  <c r="D1519" i="104"/>
  <c r="G1518" i="104"/>
  <c r="F1518" i="104"/>
  <c r="E1518" i="104"/>
  <c r="D1518" i="104"/>
  <c r="G1517" i="104"/>
  <c r="F1517" i="104"/>
  <c r="E1517" i="104"/>
  <c r="D1517" i="104"/>
  <c r="G1516" i="104"/>
  <c r="F1516" i="104"/>
  <c r="E1516" i="104"/>
  <c r="D1516" i="104"/>
  <c r="G1515" i="104"/>
  <c r="F1515" i="104"/>
  <c r="E1515" i="104"/>
  <c r="D1515" i="104"/>
  <c r="G1514" i="104"/>
  <c r="F1514" i="104"/>
  <c r="E1514" i="104"/>
  <c r="D1514" i="104"/>
  <c r="G1513" i="104"/>
  <c r="F1513" i="104"/>
  <c r="E1513" i="104"/>
  <c r="D1513" i="104"/>
  <c r="G1512" i="104"/>
  <c r="F1512" i="104"/>
  <c r="E1512" i="104"/>
  <c r="D1512" i="104"/>
  <c r="G1511" i="104"/>
  <c r="F1511" i="104"/>
  <c r="E1511" i="104"/>
  <c r="D1511" i="104"/>
  <c r="G1510" i="104"/>
  <c r="F1510" i="104"/>
  <c r="E1510" i="104"/>
  <c r="D1510" i="104"/>
  <c r="G1509" i="104"/>
  <c r="F1509" i="104"/>
  <c r="E1509" i="104"/>
  <c r="D1509" i="104"/>
  <c r="G1508" i="104"/>
  <c r="F1508" i="104"/>
  <c r="E1508" i="104"/>
  <c r="D1508" i="104"/>
  <c r="G1507" i="104"/>
  <c r="F1507" i="104"/>
  <c r="E1507" i="104"/>
  <c r="D1507" i="104"/>
  <c r="G1506" i="104"/>
  <c r="F1506" i="104"/>
  <c r="E1506" i="104"/>
  <c r="D1506" i="104"/>
  <c r="G1505" i="104"/>
  <c r="F1505" i="104"/>
  <c r="E1505" i="104"/>
  <c r="D1505" i="104"/>
  <c r="G1504" i="104"/>
  <c r="F1504" i="104"/>
  <c r="E1504" i="104"/>
  <c r="D1504" i="104"/>
  <c r="G1503" i="104"/>
  <c r="F1503" i="104"/>
  <c r="E1503" i="104"/>
  <c r="D1503" i="104"/>
  <c r="G1502" i="104"/>
  <c r="F1502" i="104"/>
  <c r="E1502" i="104"/>
  <c r="D1502" i="104"/>
  <c r="G1501" i="104"/>
  <c r="F1501" i="104"/>
  <c r="E1501" i="104"/>
  <c r="D1501" i="104"/>
  <c r="G1500" i="104"/>
  <c r="F1500" i="104"/>
  <c r="E1500" i="104"/>
  <c r="D1500" i="104"/>
  <c r="G1499" i="104"/>
  <c r="F1499" i="104"/>
  <c r="E1499" i="104"/>
  <c r="D1499" i="104"/>
  <c r="G1498" i="104"/>
  <c r="F1498" i="104"/>
  <c r="E1498" i="104"/>
  <c r="D1498" i="104"/>
  <c r="G1497" i="104"/>
  <c r="F1497" i="104"/>
  <c r="E1497" i="104"/>
  <c r="D1497" i="104"/>
  <c r="G1496" i="104"/>
  <c r="F1496" i="104"/>
  <c r="E1496" i="104"/>
  <c r="D1496" i="104"/>
  <c r="G1495" i="104"/>
  <c r="F1495" i="104"/>
  <c r="E1495" i="104"/>
  <c r="D1495" i="104"/>
  <c r="G1494" i="104"/>
  <c r="F1494" i="104"/>
  <c r="E1494" i="104"/>
  <c r="D1494" i="104"/>
  <c r="G1493" i="104"/>
  <c r="F1493" i="104"/>
  <c r="E1493" i="104"/>
  <c r="D1493" i="104"/>
  <c r="G1492" i="104"/>
  <c r="F1492" i="104"/>
  <c r="E1492" i="104"/>
  <c r="D1492" i="104"/>
  <c r="G1491" i="104"/>
  <c r="F1491" i="104"/>
  <c r="E1491" i="104"/>
  <c r="D1491" i="104"/>
  <c r="G1490" i="104"/>
  <c r="F1490" i="104"/>
  <c r="E1490" i="104"/>
  <c r="D1490" i="104"/>
  <c r="G1489" i="104"/>
  <c r="F1489" i="104"/>
  <c r="E1489" i="104"/>
  <c r="D1489" i="104"/>
  <c r="G1488" i="104"/>
  <c r="F1488" i="104"/>
  <c r="E1488" i="104"/>
  <c r="D1488" i="104"/>
  <c r="G1487" i="104"/>
  <c r="F1487" i="104"/>
  <c r="E1487" i="104"/>
  <c r="D1487" i="104"/>
  <c r="G1486" i="104"/>
  <c r="F1486" i="104"/>
  <c r="E1486" i="104"/>
  <c r="D1486" i="104"/>
  <c r="G1485" i="104"/>
  <c r="F1485" i="104"/>
  <c r="E1485" i="104"/>
  <c r="D1485" i="104"/>
  <c r="G1484" i="104"/>
  <c r="F1484" i="104"/>
  <c r="E1484" i="104"/>
  <c r="D1484" i="104"/>
  <c r="G1483" i="104"/>
  <c r="F1483" i="104"/>
  <c r="E1483" i="104"/>
  <c r="D1483" i="104"/>
  <c r="G1482" i="104"/>
  <c r="F1482" i="104"/>
  <c r="E1482" i="104"/>
  <c r="D1482" i="104"/>
  <c r="G1481" i="104"/>
  <c r="F1481" i="104"/>
  <c r="E1481" i="104"/>
  <c r="D1481" i="104"/>
  <c r="G1480" i="104"/>
  <c r="F1480" i="104"/>
  <c r="E1480" i="104"/>
  <c r="D1480" i="104"/>
  <c r="G1479" i="104"/>
  <c r="F1479" i="104"/>
  <c r="E1479" i="104"/>
  <c r="D1479" i="104"/>
  <c r="G1478" i="104"/>
  <c r="F1478" i="104"/>
  <c r="E1478" i="104"/>
  <c r="D1478" i="104"/>
  <c r="G1477" i="104"/>
  <c r="F1477" i="104"/>
  <c r="E1477" i="104"/>
  <c r="D1477" i="104"/>
  <c r="G1476" i="104"/>
  <c r="F1476" i="104"/>
  <c r="E1476" i="104"/>
  <c r="D1476" i="104"/>
  <c r="G1475" i="104"/>
  <c r="F1475" i="104"/>
  <c r="E1475" i="104"/>
  <c r="D1475" i="104"/>
  <c r="G1474" i="104"/>
  <c r="F1474" i="104"/>
  <c r="E1474" i="104"/>
  <c r="D1474" i="104"/>
  <c r="G1473" i="104"/>
  <c r="F1473" i="104"/>
  <c r="E1473" i="104"/>
  <c r="D1473" i="104"/>
  <c r="G1472" i="104"/>
  <c r="F1472" i="104"/>
  <c r="E1472" i="104"/>
  <c r="D1472" i="104"/>
  <c r="G1471" i="104"/>
  <c r="F1471" i="104"/>
  <c r="E1471" i="104"/>
  <c r="D1471" i="104"/>
  <c r="G1470" i="104"/>
  <c r="F1470" i="104"/>
  <c r="E1470" i="104"/>
  <c r="D1470" i="104"/>
  <c r="G1469" i="104"/>
  <c r="F1469" i="104"/>
  <c r="E1469" i="104"/>
  <c r="D1469" i="104"/>
  <c r="G1468" i="104"/>
  <c r="F1468" i="104"/>
  <c r="E1468" i="104"/>
  <c r="D1468" i="104"/>
  <c r="G1467" i="104"/>
  <c r="F1467" i="104"/>
  <c r="E1467" i="104"/>
  <c r="D1467" i="104"/>
  <c r="G1466" i="104"/>
  <c r="F1466" i="104"/>
  <c r="E1466" i="104"/>
  <c r="D1466" i="104"/>
  <c r="G1465" i="104"/>
  <c r="F1465" i="104"/>
  <c r="E1465" i="104"/>
  <c r="D1465" i="104"/>
  <c r="G1464" i="104"/>
  <c r="F1464" i="104"/>
  <c r="E1464" i="104"/>
  <c r="D1464" i="104"/>
  <c r="G1463" i="104"/>
  <c r="F1463" i="104"/>
  <c r="E1463" i="104"/>
  <c r="D1463" i="104"/>
  <c r="G1462" i="104"/>
  <c r="F1462" i="104"/>
  <c r="E1462" i="104"/>
  <c r="D1462" i="104"/>
  <c r="G1461" i="104"/>
  <c r="F1461" i="104"/>
  <c r="E1461" i="104"/>
  <c r="D1461" i="104"/>
  <c r="G1460" i="104"/>
  <c r="F1460" i="104"/>
  <c r="E1460" i="104"/>
  <c r="D1460" i="104"/>
  <c r="G1459" i="104"/>
  <c r="F1459" i="104"/>
  <c r="E1459" i="104"/>
  <c r="D1459" i="104"/>
  <c r="G1458" i="104"/>
  <c r="F1458" i="104"/>
  <c r="E1458" i="104"/>
  <c r="D1458" i="104"/>
  <c r="G1457" i="104"/>
  <c r="F1457" i="104"/>
  <c r="E1457" i="104"/>
  <c r="D1457" i="104"/>
  <c r="G1456" i="104"/>
  <c r="F1456" i="104"/>
  <c r="E1456" i="104"/>
  <c r="D1456" i="104"/>
  <c r="G1455" i="104"/>
  <c r="F1455" i="104"/>
  <c r="E1455" i="104"/>
  <c r="D1455" i="104"/>
  <c r="G1454" i="104"/>
  <c r="F1454" i="104"/>
  <c r="E1454" i="104"/>
  <c r="D1454" i="104"/>
  <c r="G1453" i="104"/>
  <c r="F1453" i="104"/>
  <c r="E1453" i="104"/>
  <c r="D1453" i="104"/>
  <c r="G1452" i="104"/>
  <c r="F1452" i="104"/>
  <c r="E1452" i="104"/>
  <c r="D1452" i="104"/>
  <c r="G1451" i="104"/>
  <c r="F1451" i="104"/>
  <c r="E1451" i="104"/>
  <c r="D1451" i="104"/>
  <c r="G1450" i="104"/>
  <c r="F1450" i="104"/>
  <c r="E1450" i="104"/>
  <c r="D1450" i="104"/>
  <c r="G1449" i="104"/>
  <c r="F1449" i="104"/>
  <c r="E1449" i="104"/>
  <c r="D1449" i="104"/>
  <c r="G1448" i="104"/>
  <c r="F1448" i="104"/>
  <c r="E1448" i="104"/>
  <c r="D1448" i="104"/>
  <c r="G1447" i="104"/>
  <c r="F1447" i="104"/>
  <c r="E1447" i="104"/>
  <c r="D1447" i="104"/>
  <c r="G1446" i="104"/>
  <c r="F1446" i="104"/>
  <c r="E1446" i="104"/>
  <c r="D1446" i="104"/>
  <c r="G1445" i="104"/>
  <c r="F1445" i="104"/>
  <c r="E1445" i="104"/>
  <c r="D1445" i="104"/>
  <c r="G1444" i="104"/>
  <c r="F1444" i="104"/>
  <c r="E1444" i="104"/>
  <c r="D1444" i="104"/>
  <c r="G1443" i="104"/>
  <c r="F1443" i="104"/>
  <c r="E1443" i="104"/>
  <c r="D1443" i="104"/>
  <c r="G1442" i="104"/>
  <c r="F1442" i="104"/>
  <c r="E1442" i="104"/>
  <c r="D1442" i="104"/>
  <c r="G1441" i="104"/>
  <c r="F1441" i="104"/>
  <c r="E1441" i="104"/>
  <c r="D1441" i="104"/>
  <c r="G1440" i="104"/>
  <c r="F1440" i="104"/>
  <c r="E1440" i="104"/>
  <c r="D1440" i="104"/>
  <c r="G1439" i="104"/>
  <c r="F1439" i="104"/>
  <c r="E1439" i="104"/>
  <c r="D1439" i="104"/>
  <c r="G1438" i="104"/>
  <c r="F1438" i="104"/>
  <c r="E1438" i="104"/>
  <c r="D1438" i="104"/>
  <c r="G1437" i="104"/>
  <c r="F1437" i="104"/>
  <c r="E1437" i="104"/>
  <c r="D1437" i="104"/>
  <c r="G1436" i="104"/>
  <c r="F1436" i="104"/>
  <c r="E1436" i="104"/>
  <c r="D1436" i="104"/>
  <c r="G1435" i="104"/>
  <c r="F1435" i="104"/>
  <c r="E1435" i="104"/>
  <c r="D1435" i="104"/>
  <c r="G1434" i="104"/>
  <c r="F1434" i="104"/>
  <c r="E1434" i="104"/>
  <c r="D1434" i="104"/>
  <c r="G1433" i="104"/>
  <c r="F1433" i="104"/>
  <c r="E1433" i="104"/>
  <c r="D1433" i="104"/>
  <c r="G1432" i="104"/>
  <c r="F1432" i="104"/>
  <c r="E1432" i="104"/>
  <c r="D1432" i="104"/>
  <c r="G1431" i="104"/>
  <c r="F1431" i="104"/>
  <c r="E1431" i="104"/>
  <c r="D1431" i="104"/>
  <c r="G1430" i="104"/>
  <c r="F1430" i="104"/>
  <c r="E1430" i="104"/>
  <c r="D1430" i="104"/>
  <c r="G1429" i="104"/>
  <c r="F1429" i="104"/>
  <c r="E1429" i="104"/>
  <c r="D1429" i="104"/>
  <c r="G1428" i="104"/>
  <c r="F1428" i="104"/>
  <c r="E1428" i="104"/>
  <c r="D1428" i="104"/>
  <c r="G1427" i="104"/>
  <c r="F1427" i="104"/>
  <c r="E1427" i="104"/>
  <c r="D1427" i="104"/>
  <c r="G1426" i="104"/>
  <c r="F1426" i="104"/>
  <c r="E1426" i="104"/>
  <c r="D1426" i="104"/>
  <c r="G1425" i="104"/>
  <c r="F1425" i="104"/>
  <c r="E1425" i="104"/>
  <c r="D1425" i="104"/>
  <c r="G1424" i="104"/>
  <c r="F1424" i="104"/>
  <c r="E1424" i="104"/>
  <c r="D1424" i="104"/>
  <c r="G1423" i="104"/>
  <c r="F1423" i="104"/>
  <c r="E1423" i="104"/>
  <c r="D1423" i="104"/>
  <c r="G1422" i="104"/>
  <c r="F1422" i="104"/>
  <c r="E1422" i="104"/>
  <c r="D1422" i="104"/>
  <c r="G1421" i="104"/>
  <c r="F1421" i="104"/>
  <c r="E1421" i="104"/>
  <c r="D1421" i="104"/>
  <c r="G1420" i="104"/>
  <c r="F1420" i="104"/>
  <c r="E1420" i="104"/>
  <c r="D1420" i="104"/>
  <c r="G1419" i="104"/>
  <c r="F1419" i="104"/>
  <c r="E1419" i="104"/>
  <c r="D1419" i="104"/>
  <c r="G1418" i="104"/>
  <c r="F1418" i="104"/>
  <c r="E1418" i="104"/>
  <c r="D1418" i="104"/>
  <c r="G1417" i="104"/>
  <c r="F1417" i="104"/>
  <c r="E1417" i="104"/>
  <c r="D1417" i="104"/>
  <c r="G1416" i="104"/>
  <c r="F1416" i="104"/>
  <c r="E1416" i="104"/>
  <c r="D1416" i="104"/>
  <c r="G1415" i="104"/>
  <c r="F1415" i="104"/>
  <c r="E1415" i="104"/>
  <c r="D1415" i="104"/>
  <c r="G1414" i="104"/>
  <c r="F1414" i="104"/>
  <c r="E1414" i="104"/>
  <c r="D1414" i="104"/>
  <c r="G1413" i="104"/>
  <c r="F1413" i="104"/>
  <c r="E1413" i="104"/>
  <c r="D1413" i="104"/>
  <c r="G1412" i="104"/>
  <c r="F1412" i="104"/>
  <c r="E1412" i="104"/>
  <c r="D1412" i="104"/>
  <c r="G1411" i="104"/>
  <c r="F1411" i="104"/>
  <c r="E1411" i="104"/>
  <c r="D1411" i="104"/>
  <c r="G1410" i="104"/>
  <c r="F1410" i="104"/>
  <c r="E1410" i="104"/>
  <c r="D1410" i="104"/>
  <c r="G1409" i="104"/>
  <c r="F1409" i="104"/>
  <c r="E1409" i="104"/>
  <c r="D1409" i="104"/>
  <c r="G1408" i="104"/>
  <c r="F1408" i="104"/>
  <c r="E1408" i="104"/>
  <c r="D1408" i="104"/>
  <c r="G1407" i="104"/>
  <c r="F1407" i="104"/>
  <c r="E1407" i="104"/>
  <c r="D1407" i="104"/>
  <c r="G1406" i="104"/>
  <c r="F1406" i="104"/>
  <c r="E1406" i="104"/>
  <c r="D1406" i="104"/>
  <c r="G1405" i="104"/>
  <c r="F1405" i="104"/>
  <c r="E1405" i="104"/>
  <c r="D1405" i="104"/>
  <c r="G1404" i="104"/>
  <c r="F1404" i="104"/>
  <c r="E1404" i="104"/>
  <c r="D1404" i="104"/>
  <c r="G1403" i="104"/>
  <c r="F1403" i="104"/>
  <c r="E1403" i="104"/>
  <c r="D1403" i="104"/>
  <c r="G1402" i="104"/>
  <c r="F1402" i="104"/>
  <c r="E1402" i="104"/>
  <c r="D1402" i="104"/>
  <c r="G1401" i="104"/>
  <c r="F1401" i="104"/>
  <c r="E1401" i="104"/>
  <c r="D1401" i="104"/>
  <c r="G1400" i="104"/>
  <c r="F1400" i="104"/>
  <c r="E1400" i="104"/>
  <c r="D1400" i="104"/>
  <c r="G1399" i="104"/>
  <c r="F1399" i="104"/>
  <c r="E1399" i="104"/>
  <c r="D1399" i="104"/>
  <c r="G1398" i="104"/>
  <c r="F1398" i="104"/>
  <c r="E1398" i="104"/>
  <c r="D1398" i="104"/>
  <c r="G1397" i="104"/>
  <c r="F1397" i="104"/>
  <c r="E1397" i="104"/>
  <c r="D1397" i="104"/>
  <c r="G1396" i="104"/>
  <c r="F1396" i="104"/>
  <c r="E1396" i="104"/>
  <c r="D1396" i="104"/>
  <c r="G1395" i="104"/>
  <c r="F1395" i="104"/>
  <c r="E1395" i="104"/>
  <c r="D1395" i="104"/>
  <c r="G1394" i="104"/>
  <c r="F1394" i="104"/>
  <c r="E1394" i="104"/>
  <c r="D1394" i="104"/>
  <c r="G1393" i="104"/>
  <c r="F1393" i="104"/>
  <c r="E1393" i="104"/>
  <c r="D1393" i="104"/>
  <c r="G1392" i="104"/>
  <c r="F1392" i="104"/>
  <c r="E1392" i="104"/>
  <c r="D1392" i="104"/>
  <c r="G1391" i="104"/>
  <c r="F1391" i="104"/>
  <c r="E1391" i="104"/>
  <c r="D1391" i="104"/>
  <c r="G1390" i="104"/>
  <c r="F1390" i="104"/>
  <c r="E1390" i="104"/>
  <c r="D1390" i="104"/>
  <c r="G1389" i="104"/>
  <c r="F1389" i="104"/>
  <c r="E1389" i="104"/>
  <c r="D1389" i="104"/>
  <c r="G1388" i="104"/>
  <c r="F1388" i="104"/>
  <c r="E1388" i="104"/>
  <c r="D1388" i="104"/>
  <c r="G1387" i="104"/>
  <c r="F1387" i="104"/>
  <c r="E1387" i="104"/>
  <c r="D1387" i="104"/>
  <c r="G1386" i="104"/>
  <c r="F1386" i="104"/>
  <c r="E1386" i="104"/>
  <c r="D1386" i="104"/>
  <c r="G1385" i="104"/>
  <c r="F1385" i="104"/>
  <c r="E1385" i="104"/>
  <c r="D1385" i="104"/>
  <c r="G1384" i="104"/>
  <c r="F1384" i="104"/>
  <c r="E1384" i="104"/>
  <c r="D1384" i="104"/>
  <c r="G1383" i="104"/>
  <c r="F1383" i="104"/>
  <c r="E1383" i="104"/>
  <c r="D1383" i="104"/>
  <c r="G1382" i="104"/>
  <c r="F1382" i="104"/>
  <c r="E1382" i="104"/>
  <c r="D1382" i="104"/>
  <c r="G1381" i="104"/>
  <c r="F1381" i="104"/>
  <c r="E1381" i="104"/>
  <c r="D1381" i="104"/>
  <c r="G1380" i="104"/>
  <c r="F1380" i="104"/>
  <c r="E1380" i="104"/>
  <c r="D1380" i="104"/>
  <c r="G1379" i="104"/>
  <c r="F1379" i="104"/>
  <c r="E1379" i="104"/>
  <c r="D1379" i="104"/>
  <c r="G1378" i="104"/>
  <c r="F1378" i="104"/>
  <c r="E1378" i="104"/>
  <c r="D1378" i="104"/>
  <c r="G1377" i="104"/>
  <c r="F1377" i="104"/>
  <c r="E1377" i="104"/>
  <c r="D1377" i="104"/>
  <c r="G1376" i="104"/>
  <c r="F1376" i="104"/>
  <c r="E1376" i="104"/>
  <c r="D1376" i="104"/>
  <c r="G1375" i="104"/>
  <c r="F1375" i="104"/>
  <c r="E1375" i="104"/>
  <c r="D1375" i="104"/>
  <c r="G1374" i="104"/>
  <c r="F1374" i="104"/>
  <c r="E1374" i="104"/>
  <c r="D1374" i="104"/>
  <c r="G1373" i="104"/>
  <c r="F1373" i="104"/>
  <c r="E1373" i="104"/>
  <c r="D1373" i="104"/>
  <c r="G1372" i="104"/>
  <c r="F1372" i="104"/>
  <c r="E1372" i="104"/>
  <c r="D1372" i="104"/>
  <c r="G1371" i="104"/>
  <c r="F1371" i="104"/>
  <c r="E1371" i="104"/>
  <c r="D1371" i="104"/>
  <c r="G1370" i="104"/>
  <c r="F1370" i="104"/>
  <c r="E1370" i="104"/>
  <c r="D1370" i="104"/>
  <c r="G1369" i="104"/>
  <c r="F1369" i="104"/>
  <c r="E1369" i="104"/>
  <c r="D1369" i="104"/>
  <c r="G1368" i="104"/>
  <c r="F1368" i="104"/>
  <c r="E1368" i="104"/>
  <c r="D1368" i="104"/>
  <c r="G1367" i="104"/>
  <c r="F1367" i="104"/>
  <c r="E1367" i="104"/>
  <c r="D1367" i="104"/>
  <c r="G1366" i="104"/>
  <c r="F1366" i="104"/>
  <c r="E1366" i="104"/>
  <c r="D1366" i="104"/>
  <c r="G1365" i="104"/>
  <c r="F1365" i="104"/>
  <c r="E1365" i="104"/>
  <c r="D1365" i="104"/>
  <c r="G1364" i="104"/>
  <c r="F1364" i="104"/>
  <c r="E1364" i="104"/>
  <c r="D1364" i="104"/>
  <c r="G1363" i="104"/>
  <c r="F1363" i="104"/>
  <c r="E1363" i="104"/>
  <c r="D1363" i="104"/>
  <c r="G1362" i="104"/>
  <c r="F1362" i="104"/>
  <c r="E1362" i="104"/>
  <c r="D1362" i="104"/>
  <c r="G1361" i="104"/>
  <c r="F1361" i="104"/>
  <c r="E1361" i="104"/>
  <c r="D1361" i="104"/>
  <c r="G1360" i="104"/>
  <c r="F1360" i="104"/>
  <c r="E1360" i="104"/>
  <c r="D1360" i="104"/>
  <c r="G1359" i="104"/>
  <c r="F1359" i="104"/>
  <c r="E1359" i="104"/>
  <c r="D1359" i="104"/>
  <c r="G1358" i="104"/>
  <c r="F1358" i="104"/>
  <c r="E1358" i="104"/>
  <c r="D1358" i="104"/>
  <c r="G1357" i="104"/>
  <c r="F1357" i="104"/>
  <c r="E1357" i="104"/>
  <c r="D1357" i="104"/>
  <c r="G1356" i="104"/>
  <c r="F1356" i="104"/>
  <c r="E1356" i="104"/>
  <c r="D1356" i="104"/>
  <c r="G1355" i="104"/>
  <c r="F1355" i="104"/>
  <c r="E1355" i="104"/>
  <c r="D1355" i="104"/>
  <c r="G1354" i="104"/>
  <c r="F1354" i="104"/>
  <c r="E1354" i="104"/>
  <c r="D1354" i="104"/>
  <c r="G1353" i="104"/>
  <c r="F1353" i="104"/>
  <c r="E1353" i="104"/>
  <c r="D1353" i="104"/>
  <c r="G1352" i="104"/>
  <c r="F1352" i="104"/>
  <c r="E1352" i="104"/>
  <c r="D1352" i="104"/>
  <c r="G1351" i="104"/>
  <c r="F1351" i="104"/>
  <c r="E1351" i="104"/>
  <c r="D1351" i="104"/>
  <c r="G1350" i="104"/>
  <c r="F1350" i="104"/>
  <c r="E1350" i="104"/>
  <c r="D1350" i="104"/>
  <c r="G1349" i="104"/>
  <c r="F1349" i="104"/>
  <c r="E1349" i="104"/>
  <c r="D1349" i="104"/>
  <c r="G1348" i="104"/>
  <c r="F1348" i="104"/>
  <c r="E1348" i="104"/>
  <c r="D1348" i="104"/>
  <c r="G1347" i="104"/>
  <c r="F1347" i="104"/>
  <c r="E1347" i="104"/>
  <c r="D1347" i="104"/>
  <c r="G1346" i="104"/>
  <c r="F1346" i="104"/>
  <c r="E1346" i="104"/>
  <c r="D1346" i="104"/>
  <c r="G1345" i="104"/>
  <c r="F1345" i="104"/>
  <c r="E1345" i="104"/>
  <c r="D1345" i="104"/>
  <c r="G1344" i="104"/>
  <c r="F1344" i="104"/>
  <c r="E1344" i="104"/>
  <c r="D1344" i="104"/>
  <c r="G1343" i="104"/>
  <c r="F1343" i="104"/>
  <c r="E1343" i="104"/>
  <c r="D1343" i="104"/>
  <c r="G1342" i="104"/>
  <c r="F1342" i="104"/>
  <c r="E1342" i="104"/>
  <c r="D1342" i="104"/>
  <c r="G1341" i="104"/>
  <c r="F1341" i="104"/>
  <c r="E1341" i="104"/>
  <c r="D1341" i="104"/>
  <c r="G1340" i="104"/>
  <c r="F1340" i="104"/>
  <c r="E1340" i="104"/>
  <c r="D1340" i="104"/>
  <c r="G1339" i="104"/>
  <c r="F1339" i="104"/>
  <c r="E1339" i="104"/>
  <c r="D1339" i="104"/>
  <c r="G1338" i="104"/>
  <c r="F1338" i="104"/>
  <c r="E1338" i="104"/>
  <c r="D1338" i="104"/>
  <c r="G1337" i="104"/>
  <c r="F1337" i="104"/>
  <c r="E1337" i="104"/>
  <c r="D1337" i="104"/>
  <c r="G1336" i="104"/>
  <c r="F1336" i="104"/>
  <c r="E1336" i="104"/>
  <c r="D1336" i="104"/>
  <c r="G1335" i="104"/>
  <c r="F1335" i="104"/>
  <c r="E1335" i="104"/>
  <c r="D1335" i="104"/>
  <c r="G1334" i="104"/>
  <c r="F1334" i="104"/>
  <c r="E1334" i="104"/>
  <c r="D1334" i="104"/>
  <c r="G1333" i="104"/>
  <c r="F1333" i="104"/>
  <c r="E1333" i="104"/>
  <c r="D1333" i="104"/>
  <c r="G1332" i="104"/>
  <c r="F1332" i="104"/>
  <c r="E1332" i="104"/>
  <c r="D1332" i="104"/>
  <c r="G1331" i="104"/>
  <c r="F1331" i="104"/>
  <c r="E1331" i="104"/>
  <c r="D1331" i="104"/>
  <c r="G1330" i="104"/>
  <c r="F1330" i="104"/>
  <c r="E1330" i="104"/>
  <c r="D1330" i="104"/>
  <c r="G1329" i="104"/>
  <c r="F1329" i="104"/>
  <c r="E1329" i="104"/>
  <c r="D1329" i="104"/>
  <c r="G1328" i="104"/>
  <c r="F1328" i="104"/>
  <c r="E1328" i="104"/>
  <c r="D1328" i="104"/>
  <c r="G1327" i="104"/>
  <c r="F1327" i="104"/>
  <c r="E1327" i="104"/>
  <c r="D1327" i="104"/>
  <c r="G1326" i="104"/>
  <c r="F1326" i="104"/>
  <c r="E1326" i="104"/>
  <c r="D1326" i="104"/>
  <c r="G1325" i="104"/>
  <c r="F1325" i="104"/>
  <c r="E1325" i="104"/>
  <c r="D1325" i="104"/>
  <c r="G1324" i="104"/>
  <c r="F1324" i="104"/>
  <c r="E1324" i="104"/>
  <c r="D1324" i="104"/>
  <c r="G1323" i="104"/>
  <c r="F1323" i="104"/>
  <c r="E1323" i="104"/>
  <c r="D1323" i="104"/>
  <c r="G1322" i="104"/>
  <c r="F1322" i="104"/>
  <c r="E1322" i="104"/>
  <c r="D1322" i="104"/>
  <c r="G1321" i="104"/>
  <c r="F1321" i="104"/>
  <c r="E1321" i="104"/>
  <c r="D1321" i="104"/>
  <c r="G1320" i="104"/>
  <c r="F1320" i="104"/>
  <c r="E1320" i="104"/>
  <c r="D1320" i="104"/>
  <c r="G1319" i="104"/>
  <c r="F1319" i="104"/>
  <c r="E1319" i="104"/>
  <c r="D1319" i="104"/>
  <c r="G1318" i="104"/>
  <c r="F1318" i="104"/>
  <c r="E1318" i="104"/>
  <c r="D1318" i="104"/>
  <c r="G1317" i="104"/>
  <c r="F1317" i="104"/>
  <c r="E1317" i="104"/>
  <c r="D1317" i="104"/>
  <c r="G1316" i="104"/>
  <c r="F1316" i="104"/>
  <c r="E1316" i="104"/>
  <c r="D1316" i="104"/>
  <c r="G1315" i="104"/>
  <c r="F1315" i="104"/>
  <c r="E1315" i="104"/>
  <c r="D1315" i="104"/>
  <c r="G1314" i="104"/>
  <c r="F1314" i="104"/>
  <c r="E1314" i="104"/>
  <c r="D1314" i="104"/>
  <c r="G1313" i="104"/>
  <c r="F1313" i="104"/>
  <c r="E1313" i="104"/>
  <c r="D1313" i="104"/>
  <c r="G1312" i="104"/>
  <c r="F1312" i="104"/>
  <c r="E1312" i="104"/>
  <c r="D1312" i="104"/>
  <c r="G1311" i="104"/>
  <c r="F1311" i="104"/>
  <c r="E1311" i="104"/>
  <c r="D1311" i="104"/>
  <c r="G1310" i="104"/>
  <c r="F1310" i="104"/>
  <c r="E1310" i="104"/>
  <c r="D1310" i="104"/>
  <c r="G1309" i="104"/>
  <c r="F1309" i="104"/>
  <c r="E1309" i="104"/>
  <c r="D1309" i="104"/>
  <c r="G1308" i="104"/>
  <c r="F1308" i="104"/>
  <c r="E1308" i="104"/>
  <c r="D1308" i="104"/>
  <c r="G1307" i="104"/>
  <c r="F1307" i="104"/>
  <c r="E1307" i="104"/>
  <c r="D1307" i="104"/>
  <c r="G1306" i="104"/>
  <c r="F1306" i="104"/>
  <c r="E1306" i="104"/>
  <c r="D1306" i="104"/>
  <c r="G1305" i="104"/>
  <c r="F1305" i="104"/>
  <c r="E1305" i="104"/>
  <c r="D1305" i="104"/>
  <c r="G1304" i="104"/>
  <c r="F1304" i="104"/>
  <c r="E1304" i="104"/>
  <c r="D1304" i="104"/>
  <c r="G1303" i="104"/>
  <c r="F1303" i="104"/>
  <c r="E1303" i="104"/>
  <c r="D1303" i="104"/>
  <c r="G1302" i="104"/>
  <c r="F1302" i="104"/>
  <c r="E1302" i="104"/>
  <c r="D1302" i="104"/>
  <c r="G1301" i="104"/>
  <c r="F1301" i="104"/>
  <c r="E1301" i="104"/>
  <c r="D1301" i="104"/>
  <c r="G1300" i="104"/>
  <c r="F1300" i="104"/>
  <c r="E1300" i="104"/>
  <c r="D1300" i="104"/>
  <c r="G1299" i="104"/>
  <c r="F1299" i="104"/>
  <c r="E1299" i="104"/>
  <c r="D1299" i="104"/>
  <c r="G1298" i="104"/>
  <c r="F1298" i="104"/>
  <c r="E1298" i="104"/>
  <c r="D1298" i="104"/>
  <c r="G1297" i="104"/>
  <c r="F1297" i="104"/>
  <c r="E1297" i="104"/>
  <c r="D1297" i="104"/>
  <c r="G1296" i="104"/>
  <c r="F1296" i="104"/>
  <c r="E1296" i="104"/>
  <c r="D1296" i="104"/>
  <c r="G1295" i="104"/>
  <c r="F1295" i="104"/>
  <c r="E1295" i="104"/>
  <c r="D1295" i="104"/>
  <c r="G1294" i="104"/>
  <c r="F1294" i="104"/>
  <c r="E1294" i="104"/>
  <c r="D1294" i="104"/>
  <c r="G1293" i="104"/>
  <c r="F1293" i="104"/>
  <c r="E1293" i="104"/>
  <c r="D1293" i="104"/>
  <c r="G1292" i="104"/>
  <c r="F1292" i="104"/>
  <c r="E1292" i="104"/>
  <c r="D1292" i="104"/>
  <c r="G1291" i="104"/>
  <c r="F1291" i="104"/>
  <c r="E1291" i="104"/>
  <c r="D1291" i="104"/>
  <c r="G1290" i="104"/>
  <c r="F1290" i="104"/>
  <c r="E1290" i="104"/>
  <c r="D1290" i="104"/>
  <c r="G1289" i="104"/>
  <c r="F1289" i="104"/>
  <c r="E1289" i="104"/>
  <c r="D1289" i="104"/>
  <c r="G1288" i="104"/>
  <c r="F1288" i="104"/>
  <c r="E1288" i="104"/>
  <c r="D1288" i="104"/>
  <c r="G1287" i="104"/>
  <c r="F1287" i="104"/>
  <c r="E1287" i="104"/>
  <c r="D1287" i="104"/>
  <c r="G1286" i="104"/>
  <c r="F1286" i="104"/>
  <c r="E1286" i="104"/>
  <c r="D1286" i="104"/>
  <c r="G1285" i="104"/>
  <c r="F1285" i="104"/>
  <c r="E1285" i="104"/>
  <c r="D1285" i="104"/>
  <c r="G1284" i="104"/>
  <c r="F1284" i="104"/>
  <c r="E1284" i="104"/>
  <c r="D1284" i="104"/>
  <c r="G1283" i="104"/>
  <c r="F1283" i="104"/>
  <c r="E1283" i="104"/>
  <c r="D1283" i="104"/>
  <c r="G1282" i="104"/>
  <c r="F1282" i="104"/>
  <c r="E1282" i="104"/>
  <c r="D1282" i="104"/>
  <c r="G1281" i="104"/>
  <c r="F1281" i="104"/>
  <c r="E1281" i="104"/>
  <c r="D1281" i="104"/>
  <c r="G1280" i="104"/>
  <c r="F1280" i="104"/>
  <c r="E1280" i="104"/>
  <c r="D1280" i="104"/>
  <c r="G1279" i="104"/>
  <c r="F1279" i="104"/>
  <c r="E1279" i="104"/>
  <c r="D1279" i="104"/>
  <c r="G1278" i="104"/>
  <c r="F1278" i="104"/>
  <c r="E1278" i="104"/>
  <c r="D1278" i="104"/>
  <c r="G1277" i="104"/>
  <c r="F1277" i="104"/>
  <c r="E1277" i="104"/>
  <c r="D1277" i="104"/>
  <c r="G1276" i="104"/>
  <c r="F1276" i="104"/>
  <c r="E1276" i="104"/>
  <c r="D1276" i="104"/>
  <c r="G1275" i="104"/>
  <c r="F1275" i="104"/>
  <c r="E1275" i="104"/>
  <c r="D1275" i="104"/>
  <c r="G1274" i="104"/>
  <c r="F1274" i="104"/>
  <c r="E1274" i="104"/>
  <c r="D1274" i="104"/>
  <c r="G1273" i="104"/>
  <c r="F1273" i="104"/>
  <c r="E1273" i="104"/>
  <c r="D1273" i="104"/>
  <c r="G1272" i="104"/>
  <c r="F1272" i="104"/>
  <c r="E1272" i="104"/>
  <c r="D1272" i="104"/>
  <c r="G1271" i="104"/>
  <c r="F1271" i="104"/>
  <c r="E1271" i="104"/>
  <c r="D1271" i="104"/>
  <c r="G1270" i="104"/>
  <c r="F1270" i="104"/>
  <c r="E1270" i="104"/>
  <c r="D1270" i="104"/>
  <c r="G1269" i="104"/>
  <c r="F1269" i="104"/>
  <c r="E1269" i="104"/>
  <c r="D1269" i="104"/>
  <c r="G1268" i="104"/>
  <c r="F1268" i="104"/>
  <c r="E1268" i="104"/>
  <c r="D1268" i="104"/>
  <c r="G1267" i="104"/>
  <c r="F1267" i="104"/>
  <c r="E1267" i="104"/>
  <c r="D1267" i="104"/>
  <c r="G1266" i="104"/>
  <c r="F1266" i="104"/>
  <c r="E1266" i="104"/>
  <c r="D1266" i="104"/>
  <c r="G1265" i="104"/>
  <c r="F1265" i="104"/>
  <c r="E1265" i="104"/>
  <c r="D1265" i="104"/>
  <c r="G1264" i="104"/>
  <c r="F1264" i="104"/>
  <c r="E1264" i="104"/>
  <c r="D1264" i="104"/>
  <c r="G1263" i="104"/>
  <c r="F1263" i="104"/>
  <c r="E1263" i="104"/>
  <c r="D1263" i="104"/>
  <c r="G1262" i="104"/>
  <c r="F1262" i="104"/>
  <c r="E1262" i="104"/>
  <c r="D1262" i="104"/>
  <c r="G1261" i="104"/>
  <c r="F1261" i="104"/>
  <c r="E1261" i="104"/>
  <c r="D1261" i="104"/>
  <c r="G1260" i="104"/>
  <c r="F1260" i="104"/>
  <c r="E1260" i="104"/>
  <c r="D1260" i="104"/>
  <c r="G1259" i="104"/>
  <c r="F1259" i="104"/>
  <c r="E1259" i="104"/>
  <c r="D1259" i="104"/>
  <c r="G1258" i="104"/>
  <c r="F1258" i="104"/>
  <c r="E1258" i="104"/>
  <c r="D1258" i="104"/>
  <c r="G1257" i="104"/>
  <c r="F1257" i="104"/>
  <c r="E1257" i="104"/>
  <c r="D1257" i="104"/>
  <c r="G1256" i="104"/>
  <c r="F1256" i="104"/>
  <c r="E1256" i="104"/>
  <c r="D1256" i="104"/>
  <c r="G1255" i="104"/>
  <c r="F1255" i="104"/>
  <c r="E1255" i="104"/>
  <c r="D1255" i="104"/>
  <c r="G1254" i="104"/>
  <c r="F1254" i="104"/>
  <c r="E1254" i="104"/>
  <c r="D1254" i="104"/>
  <c r="G1253" i="104"/>
  <c r="F1253" i="104"/>
  <c r="E1253" i="104"/>
  <c r="D1253" i="104"/>
  <c r="G1252" i="104"/>
  <c r="F1252" i="104"/>
  <c r="E1252" i="104"/>
  <c r="D1252" i="104"/>
  <c r="G1251" i="104"/>
  <c r="F1251" i="104"/>
  <c r="E1251" i="104"/>
  <c r="D1251" i="104"/>
  <c r="G1250" i="104"/>
  <c r="F1250" i="104"/>
  <c r="E1250" i="104"/>
  <c r="D1250" i="104"/>
  <c r="G1249" i="104"/>
  <c r="F1249" i="104"/>
  <c r="E1249" i="104"/>
  <c r="D1249" i="104"/>
  <c r="G1248" i="104"/>
  <c r="F1248" i="104"/>
  <c r="E1248" i="104"/>
  <c r="D1248" i="104"/>
  <c r="G1247" i="104"/>
  <c r="F1247" i="104"/>
  <c r="E1247" i="104"/>
  <c r="D1247" i="104"/>
  <c r="G1246" i="104"/>
  <c r="F1246" i="104"/>
  <c r="E1246" i="104"/>
  <c r="D1246" i="104"/>
  <c r="G1245" i="104"/>
  <c r="F1245" i="104"/>
  <c r="E1245" i="104"/>
  <c r="D1245" i="104"/>
  <c r="G1244" i="104"/>
  <c r="F1244" i="104"/>
  <c r="E1244" i="104"/>
  <c r="D1244" i="104"/>
  <c r="G1243" i="104"/>
  <c r="F1243" i="104"/>
  <c r="E1243" i="104"/>
  <c r="D1243" i="104"/>
  <c r="G1242" i="104"/>
  <c r="F1242" i="104"/>
  <c r="E1242" i="104"/>
  <c r="D1242" i="104"/>
  <c r="G1241" i="104"/>
  <c r="F1241" i="104"/>
  <c r="E1241" i="104"/>
  <c r="D1241" i="104"/>
  <c r="G1240" i="104"/>
  <c r="F1240" i="104"/>
  <c r="E1240" i="104"/>
  <c r="D1240" i="104"/>
  <c r="G1239" i="104"/>
  <c r="F1239" i="104"/>
  <c r="E1239" i="104"/>
  <c r="D1239" i="104"/>
  <c r="G1238" i="104"/>
  <c r="F1238" i="104"/>
  <c r="E1238" i="104"/>
  <c r="D1238" i="104"/>
  <c r="G1237" i="104"/>
  <c r="F1237" i="104"/>
  <c r="E1237" i="104"/>
  <c r="D1237" i="104"/>
  <c r="G1236" i="104"/>
  <c r="F1236" i="104"/>
  <c r="E1236" i="104"/>
  <c r="D1236" i="104"/>
  <c r="G1235" i="104"/>
  <c r="F1235" i="104"/>
  <c r="E1235" i="104"/>
  <c r="D1235" i="104"/>
  <c r="G1234" i="104"/>
  <c r="F1234" i="104"/>
  <c r="E1234" i="104"/>
  <c r="D1234" i="104"/>
  <c r="G1233" i="104"/>
  <c r="F1233" i="104"/>
  <c r="E1233" i="104"/>
  <c r="D1233" i="104"/>
  <c r="G1232" i="104"/>
  <c r="F1232" i="104"/>
  <c r="E1232" i="104"/>
  <c r="D1232" i="104"/>
  <c r="G1231" i="104"/>
  <c r="F1231" i="104"/>
  <c r="E1231" i="104"/>
  <c r="D1231" i="104"/>
  <c r="G1230" i="104"/>
  <c r="F1230" i="104"/>
  <c r="E1230" i="104"/>
  <c r="D1230" i="104"/>
  <c r="G1229" i="104"/>
  <c r="F1229" i="104"/>
  <c r="E1229" i="104"/>
  <c r="D1229" i="104"/>
  <c r="G1228" i="104"/>
  <c r="F1228" i="104"/>
  <c r="E1228" i="104"/>
  <c r="D1228" i="104"/>
  <c r="G1227" i="104"/>
  <c r="F1227" i="104"/>
  <c r="E1227" i="104"/>
  <c r="D1227" i="104"/>
  <c r="G1226" i="104"/>
  <c r="F1226" i="104"/>
  <c r="E1226" i="104"/>
  <c r="D1226" i="104"/>
  <c r="G1225" i="104"/>
  <c r="F1225" i="104"/>
  <c r="E1225" i="104"/>
  <c r="D1225" i="104"/>
  <c r="G1224" i="104"/>
  <c r="F1224" i="104"/>
  <c r="E1224" i="104"/>
  <c r="D1224" i="104"/>
  <c r="G1223" i="104"/>
  <c r="F1223" i="104"/>
  <c r="E1223" i="104"/>
  <c r="D1223" i="104"/>
  <c r="G1222" i="104"/>
  <c r="F1222" i="104"/>
  <c r="E1222" i="104"/>
  <c r="D1222" i="104"/>
  <c r="G1221" i="104"/>
  <c r="F1221" i="104"/>
  <c r="E1221" i="104"/>
  <c r="D1221" i="104"/>
  <c r="G1220" i="104"/>
  <c r="F1220" i="104"/>
  <c r="E1220" i="104"/>
  <c r="D1220" i="104"/>
  <c r="G1219" i="104"/>
  <c r="F1219" i="104"/>
  <c r="E1219" i="104"/>
  <c r="D1219" i="104"/>
  <c r="G1218" i="104"/>
  <c r="F1218" i="104"/>
  <c r="E1218" i="104"/>
  <c r="D1218" i="104"/>
  <c r="G1217" i="104"/>
  <c r="F1217" i="104"/>
  <c r="E1217" i="104"/>
  <c r="D1217" i="104"/>
  <c r="G1216" i="104"/>
  <c r="F1216" i="104"/>
  <c r="E1216" i="104"/>
  <c r="D1216" i="104"/>
  <c r="G1215" i="104"/>
  <c r="F1215" i="104"/>
  <c r="E1215" i="104"/>
  <c r="D1215" i="104"/>
  <c r="G1214" i="104"/>
  <c r="F1214" i="104"/>
  <c r="E1214" i="104"/>
  <c r="D1214" i="104"/>
  <c r="G1213" i="104"/>
  <c r="F1213" i="104"/>
  <c r="E1213" i="104"/>
  <c r="D1213" i="104"/>
  <c r="G1212" i="104"/>
  <c r="F1212" i="104"/>
  <c r="E1212" i="104"/>
  <c r="D1212" i="104"/>
  <c r="G1211" i="104"/>
  <c r="F1211" i="104"/>
  <c r="E1211" i="104"/>
  <c r="D1211" i="104"/>
  <c r="G1210" i="104"/>
  <c r="F1210" i="104"/>
  <c r="E1210" i="104"/>
  <c r="D1210" i="104"/>
  <c r="G1209" i="104"/>
  <c r="F1209" i="104"/>
  <c r="E1209" i="104"/>
  <c r="D1209" i="104"/>
  <c r="G1208" i="104"/>
  <c r="F1208" i="104"/>
  <c r="E1208" i="104"/>
  <c r="D1208" i="104"/>
  <c r="G1207" i="104"/>
  <c r="F1207" i="104"/>
  <c r="E1207" i="104"/>
  <c r="D1207" i="104"/>
  <c r="G1206" i="104"/>
  <c r="F1206" i="104"/>
  <c r="E1206" i="104"/>
  <c r="D1206" i="104"/>
  <c r="G1205" i="104"/>
  <c r="F1205" i="104"/>
  <c r="E1205" i="104"/>
  <c r="D1205" i="104"/>
  <c r="G1204" i="104"/>
  <c r="F1204" i="104"/>
  <c r="E1204" i="104"/>
  <c r="D1204" i="104"/>
  <c r="G1203" i="104"/>
  <c r="F1203" i="104"/>
  <c r="E1203" i="104"/>
  <c r="D1203" i="104"/>
  <c r="G1202" i="104"/>
  <c r="F1202" i="104"/>
  <c r="E1202" i="104"/>
  <c r="D1202" i="104"/>
  <c r="G1201" i="104"/>
  <c r="F1201" i="104"/>
  <c r="E1201" i="104"/>
  <c r="D1201" i="104"/>
  <c r="G1200" i="104"/>
  <c r="F1200" i="104"/>
  <c r="E1200" i="104"/>
  <c r="D1200" i="104"/>
  <c r="G1199" i="104"/>
  <c r="F1199" i="104"/>
  <c r="E1199" i="104"/>
  <c r="D1199" i="104"/>
  <c r="G1198" i="104"/>
  <c r="F1198" i="104"/>
  <c r="E1198" i="104"/>
  <c r="D1198" i="104"/>
  <c r="G1197" i="104"/>
  <c r="F1197" i="104"/>
  <c r="E1197" i="104"/>
  <c r="D1197" i="104"/>
  <c r="G1196" i="104"/>
  <c r="F1196" i="104"/>
  <c r="E1196" i="104"/>
  <c r="D1196" i="104"/>
  <c r="G1195" i="104"/>
  <c r="F1195" i="104"/>
  <c r="E1195" i="104"/>
  <c r="D1195" i="104"/>
  <c r="G1194" i="104"/>
  <c r="F1194" i="104"/>
  <c r="E1194" i="104"/>
  <c r="D1194" i="104"/>
  <c r="G1193" i="104"/>
  <c r="F1193" i="104"/>
  <c r="E1193" i="104"/>
  <c r="D1193" i="104"/>
  <c r="G1192" i="104"/>
  <c r="F1192" i="104"/>
  <c r="E1192" i="104"/>
  <c r="D1192" i="104"/>
  <c r="G1191" i="104"/>
  <c r="F1191" i="104"/>
  <c r="E1191" i="104"/>
  <c r="D1191" i="104"/>
  <c r="G1190" i="104"/>
  <c r="F1190" i="104"/>
  <c r="E1190" i="104"/>
  <c r="D1190" i="104"/>
  <c r="G1189" i="104"/>
  <c r="F1189" i="104"/>
  <c r="E1189" i="104"/>
  <c r="D1189" i="104"/>
  <c r="G1188" i="104"/>
  <c r="F1188" i="104"/>
  <c r="E1188" i="104"/>
  <c r="D1188" i="104"/>
  <c r="G1187" i="104"/>
  <c r="F1187" i="104"/>
  <c r="E1187" i="104"/>
  <c r="D1187" i="104"/>
  <c r="G1186" i="104"/>
  <c r="F1186" i="104"/>
  <c r="E1186" i="104"/>
  <c r="D1186" i="104"/>
  <c r="G1185" i="104"/>
  <c r="F1185" i="104"/>
  <c r="E1185" i="104"/>
  <c r="D1185" i="104"/>
  <c r="G1184" i="104"/>
  <c r="F1184" i="104"/>
  <c r="E1184" i="104"/>
  <c r="D1184" i="104"/>
  <c r="G1183" i="104"/>
  <c r="F1183" i="104"/>
  <c r="E1183" i="104"/>
  <c r="D1183" i="104"/>
  <c r="G1182" i="104"/>
  <c r="F1182" i="104"/>
  <c r="E1182" i="104"/>
  <c r="D1182" i="104"/>
  <c r="G1181" i="104"/>
  <c r="F1181" i="104"/>
  <c r="E1181" i="104"/>
  <c r="D1181" i="104"/>
  <c r="G1180" i="104"/>
  <c r="F1180" i="104"/>
  <c r="E1180" i="104"/>
  <c r="D1180" i="104"/>
  <c r="G1179" i="104"/>
  <c r="F1179" i="104"/>
  <c r="E1179" i="104"/>
  <c r="D1179" i="104"/>
  <c r="G1178" i="104"/>
  <c r="F1178" i="104"/>
  <c r="E1178" i="104"/>
  <c r="D1178" i="104"/>
  <c r="G1177" i="104"/>
  <c r="F1177" i="104"/>
  <c r="E1177" i="104"/>
  <c r="D1177" i="104"/>
  <c r="G1176" i="104"/>
  <c r="F1176" i="104"/>
  <c r="E1176" i="104"/>
  <c r="D1176" i="104"/>
  <c r="G1175" i="104"/>
  <c r="F1175" i="104"/>
  <c r="E1175" i="104"/>
  <c r="D1175" i="104"/>
  <c r="G1174" i="104"/>
  <c r="F1174" i="104"/>
  <c r="E1174" i="104"/>
  <c r="D1174" i="104"/>
  <c r="G1173" i="104"/>
  <c r="F1173" i="104"/>
  <c r="E1173" i="104"/>
  <c r="D1173" i="104"/>
  <c r="G1172" i="104"/>
  <c r="F1172" i="104"/>
  <c r="E1172" i="104"/>
  <c r="D1172" i="104"/>
  <c r="G1171" i="104"/>
  <c r="F1171" i="104"/>
  <c r="E1171" i="104"/>
  <c r="D1171" i="104"/>
  <c r="G1170" i="104"/>
  <c r="F1170" i="104"/>
  <c r="E1170" i="104"/>
  <c r="D1170" i="104"/>
  <c r="G1169" i="104"/>
  <c r="F1169" i="104"/>
  <c r="E1169" i="104"/>
  <c r="D1169" i="104"/>
  <c r="G1168" i="104"/>
  <c r="F1168" i="104"/>
  <c r="E1168" i="104"/>
  <c r="D1168" i="104"/>
  <c r="G1167" i="104"/>
  <c r="F1167" i="104"/>
  <c r="E1167" i="104"/>
  <c r="D1167" i="104"/>
  <c r="G1166" i="104"/>
  <c r="F1166" i="104"/>
  <c r="E1166" i="104"/>
  <c r="D1166" i="104"/>
  <c r="G1165" i="104"/>
  <c r="F1165" i="104"/>
  <c r="E1165" i="104"/>
  <c r="D1165" i="104"/>
  <c r="G1164" i="104"/>
  <c r="F1164" i="104"/>
  <c r="E1164" i="104"/>
  <c r="D1164" i="104"/>
  <c r="G1163" i="104"/>
  <c r="F1163" i="104"/>
  <c r="E1163" i="104"/>
  <c r="D1163" i="104"/>
  <c r="G1162" i="104"/>
  <c r="F1162" i="104"/>
  <c r="E1162" i="104"/>
  <c r="D1162" i="104"/>
  <c r="G1161" i="104"/>
  <c r="F1161" i="104"/>
  <c r="E1161" i="104"/>
  <c r="D1161" i="104"/>
  <c r="G1160" i="104"/>
  <c r="F1160" i="104"/>
  <c r="E1160" i="104"/>
  <c r="D1160" i="104"/>
  <c r="G1159" i="104"/>
  <c r="F1159" i="104"/>
  <c r="E1159" i="104"/>
  <c r="D1159" i="104"/>
  <c r="G1158" i="104"/>
  <c r="F1158" i="104"/>
  <c r="E1158" i="104"/>
  <c r="D1158" i="104"/>
  <c r="G1157" i="104"/>
  <c r="F1157" i="104"/>
  <c r="E1157" i="104"/>
  <c r="D1157" i="104"/>
  <c r="G1156" i="104"/>
  <c r="F1156" i="104"/>
  <c r="E1156" i="104"/>
  <c r="D1156" i="104"/>
  <c r="G1155" i="104"/>
  <c r="F1155" i="104"/>
  <c r="E1155" i="104"/>
  <c r="D1155" i="104"/>
  <c r="G1154" i="104"/>
  <c r="F1154" i="104"/>
  <c r="E1154" i="104"/>
  <c r="D1154" i="104"/>
  <c r="G1153" i="104"/>
  <c r="F1153" i="104"/>
  <c r="E1153" i="104"/>
  <c r="D1153" i="104"/>
  <c r="G1152" i="104"/>
  <c r="F1152" i="104"/>
  <c r="E1152" i="104"/>
  <c r="D1152" i="104"/>
  <c r="G1151" i="104"/>
  <c r="F1151" i="104"/>
  <c r="E1151" i="104"/>
  <c r="D1151" i="104"/>
  <c r="G1150" i="104"/>
  <c r="F1150" i="104"/>
  <c r="E1150" i="104"/>
  <c r="D1150" i="104"/>
  <c r="G1149" i="104"/>
  <c r="F1149" i="104"/>
  <c r="E1149" i="104"/>
  <c r="D1149" i="104"/>
  <c r="G1148" i="104"/>
  <c r="F1148" i="104"/>
  <c r="E1148" i="104"/>
  <c r="D1148" i="104"/>
  <c r="G1147" i="104"/>
  <c r="F1147" i="104"/>
  <c r="E1147" i="104"/>
  <c r="D1147" i="104"/>
  <c r="G1146" i="104"/>
  <c r="F1146" i="104"/>
  <c r="E1146" i="104"/>
  <c r="D1146" i="104"/>
  <c r="G1145" i="104"/>
  <c r="F1145" i="104"/>
  <c r="E1145" i="104"/>
  <c r="D1145" i="104"/>
  <c r="G1144" i="104"/>
  <c r="F1144" i="104"/>
  <c r="E1144" i="104"/>
  <c r="D1144" i="104"/>
  <c r="G1143" i="104"/>
  <c r="F1143" i="104"/>
  <c r="E1143" i="104"/>
  <c r="D1143" i="104"/>
  <c r="G1142" i="104"/>
  <c r="F1142" i="104"/>
  <c r="E1142" i="104"/>
  <c r="D1142" i="104"/>
  <c r="G1141" i="104"/>
  <c r="F1141" i="104"/>
  <c r="E1141" i="104"/>
  <c r="D1141" i="104"/>
  <c r="G1140" i="104"/>
  <c r="F1140" i="104"/>
  <c r="E1140" i="104"/>
  <c r="D1140" i="104"/>
  <c r="G1139" i="104"/>
  <c r="F1139" i="104"/>
  <c r="E1139" i="104"/>
  <c r="D1139" i="104"/>
  <c r="G1138" i="104"/>
  <c r="F1138" i="104"/>
  <c r="E1138" i="104"/>
  <c r="D1138" i="104"/>
  <c r="G1137" i="104"/>
  <c r="F1137" i="104"/>
  <c r="E1137" i="104"/>
  <c r="D1137" i="104"/>
  <c r="G1136" i="104"/>
  <c r="F1136" i="104"/>
  <c r="E1136" i="104"/>
  <c r="D1136" i="104"/>
  <c r="G1135" i="104"/>
  <c r="F1135" i="104"/>
  <c r="E1135" i="104"/>
  <c r="D1135" i="104"/>
  <c r="G1134" i="104"/>
  <c r="F1134" i="104"/>
  <c r="E1134" i="104"/>
  <c r="D1134" i="104"/>
  <c r="G1133" i="104"/>
  <c r="F1133" i="104"/>
  <c r="E1133" i="104"/>
  <c r="D1133" i="104"/>
  <c r="G1132" i="104"/>
  <c r="F1132" i="104"/>
  <c r="E1132" i="104"/>
  <c r="D1132" i="104"/>
  <c r="G1131" i="104"/>
  <c r="F1131" i="104"/>
  <c r="E1131" i="104"/>
  <c r="D1131" i="104"/>
  <c r="G1130" i="104"/>
  <c r="F1130" i="104"/>
  <c r="E1130" i="104"/>
  <c r="D1130" i="104"/>
  <c r="G1129" i="104"/>
  <c r="F1129" i="104"/>
  <c r="E1129" i="104"/>
  <c r="D1129" i="104"/>
  <c r="G1128" i="104"/>
  <c r="F1128" i="104"/>
  <c r="E1128" i="104"/>
  <c r="D1128" i="104"/>
  <c r="G1127" i="104"/>
  <c r="F1127" i="104"/>
  <c r="E1127" i="104"/>
  <c r="D1127" i="104"/>
  <c r="G1126" i="104"/>
  <c r="F1126" i="104"/>
  <c r="E1126" i="104"/>
  <c r="D1126" i="104"/>
  <c r="G1125" i="104"/>
  <c r="F1125" i="104"/>
  <c r="E1125" i="104"/>
  <c r="D1125" i="104"/>
  <c r="G1124" i="104"/>
  <c r="F1124" i="104"/>
  <c r="E1124" i="104"/>
  <c r="D1124" i="104"/>
  <c r="G1123" i="104"/>
  <c r="F1123" i="104"/>
  <c r="E1123" i="104"/>
  <c r="D1123" i="104"/>
  <c r="G1122" i="104"/>
  <c r="F1122" i="104"/>
  <c r="E1122" i="104"/>
  <c r="D1122" i="104"/>
  <c r="G1121" i="104"/>
  <c r="F1121" i="104"/>
  <c r="E1121" i="104"/>
  <c r="D1121" i="104"/>
  <c r="G1120" i="104"/>
  <c r="F1120" i="104"/>
  <c r="E1120" i="104"/>
  <c r="D1120" i="104"/>
  <c r="G1119" i="104"/>
  <c r="F1119" i="104"/>
  <c r="E1119" i="104"/>
  <c r="D1119" i="104"/>
  <c r="G1118" i="104"/>
  <c r="F1118" i="104"/>
  <c r="E1118" i="104"/>
  <c r="D1118" i="104"/>
  <c r="G1117" i="104"/>
  <c r="F1117" i="104"/>
  <c r="E1117" i="104"/>
  <c r="D1117" i="104"/>
  <c r="G1116" i="104"/>
  <c r="F1116" i="104"/>
  <c r="E1116" i="104"/>
  <c r="D1116" i="104"/>
  <c r="G1115" i="104"/>
  <c r="F1115" i="104"/>
  <c r="E1115" i="104"/>
  <c r="D1115" i="104"/>
  <c r="G1114" i="104"/>
  <c r="F1114" i="104"/>
  <c r="E1114" i="104"/>
  <c r="D1114" i="104"/>
  <c r="G1113" i="104"/>
  <c r="F1113" i="104"/>
  <c r="E1113" i="104"/>
  <c r="D1113" i="104"/>
  <c r="G1112" i="104"/>
  <c r="F1112" i="104"/>
  <c r="E1112" i="104"/>
  <c r="D1112" i="104"/>
  <c r="G1111" i="104"/>
  <c r="F1111" i="104"/>
  <c r="E1111" i="104"/>
  <c r="D1111" i="104"/>
  <c r="G1110" i="104"/>
  <c r="F1110" i="104"/>
  <c r="E1110" i="104"/>
  <c r="D1110" i="104"/>
  <c r="G1109" i="104"/>
  <c r="F1109" i="104"/>
  <c r="E1109" i="104"/>
  <c r="D1109" i="104"/>
  <c r="G1108" i="104"/>
  <c r="F1108" i="104"/>
  <c r="E1108" i="104"/>
  <c r="D1108" i="104"/>
  <c r="G1107" i="104"/>
  <c r="F1107" i="104"/>
  <c r="E1107" i="104"/>
  <c r="D1107" i="104"/>
  <c r="G1106" i="104"/>
  <c r="F1106" i="104"/>
  <c r="E1106" i="104"/>
  <c r="D1106" i="104"/>
  <c r="G1105" i="104"/>
  <c r="F1105" i="104"/>
  <c r="E1105" i="104"/>
  <c r="D1105" i="104"/>
  <c r="G1104" i="104"/>
  <c r="F1104" i="104"/>
  <c r="E1104" i="104"/>
  <c r="D1104" i="104"/>
  <c r="G1103" i="104"/>
  <c r="F1103" i="104"/>
  <c r="E1103" i="104"/>
  <c r="D1103" i="104"/>
  <c r="G1102" i="104"/>
  <c r="F1102" i="104"/>
  <c r="E1102" i="104"/>
  <c r="D1102" i="104"/>
  <c r="G1101" i="104"/>
  <c r="F1101" i="104"/>
  <c r="E1101" i="104"/>
  <c r="D1101" i="104"/>
  <c r="G1100" i="104"/>
  <c r="F1100" i="104"/>
  <c r="E1100" i="104"/>
  <c r="D1100" i="104"/>
  <c r="G1099" i="104"/>
  <c r="F1099" i="104"/>
  <c r="E1099" i="104"/>
  <c r="D1099" i="104"/>
  <c r="G1098" i="104"/>
  <c r="F1098" i="104"/>
  <c r="E1098" i="104"/>
  <c r="D1098" i="104"/>
  <c r="G1097" i="104"/>
  <c r="F1097" i="104"/>
  <c r="E1097" i="104"/>
  <c r="D1097" i="104"/>
  <c r="G1096" i="104"/>
  <c r="F1096" i="104"/>
  <c r="E1096" i="104"/>
  <c r="D1096" i="104"/>
  <c r="G1095" i="104"/>
  <c r="F1095" i="104"/>
  <c r="E1095" i="104"/>
  <c r="D1095" i="104"/>
  <c r="G1094" i="104"/>
  <c r="F1094" i="104"/>
  <c r="E1094" i="104"/>
  <c r="D1094" i="104"/>
  <c r="G1093" i="104"/>
  <c r="F1093" i="104"/>
  <c r="E1093" i="104"/>
  <c r="D1093" i="104"/>
  <c r="G1092" i="104"/>
  <c r="F1092" i="104"/>
  <c r="E1092" i="104"/>
  <c r="D1092" i="104"/>
  <c r="G1091" i="104"/>
  <c r="F1091" i="104"/>
  <c r="E1091" i="104"/>
  <c r="D1091" i="104"/>
  <c r="G1090" i="104"/>
  <c r="F1090" i="104"/>
  <c r="E1090" i="104"/>
  <c r="D1090" i="104"/>
  <c r="G1089" i="104"/>
  <c r="F1089" i="104"/>
  <c r="E1089" i="104"/>
  <c r="D1089" i="104"/>
  <c r="G1088" i="104"/>
  <c r="F1088" i="104"/>
  <c r="E1088" i="104"/>
  <c r="D1088" i="104"/>
  <c r="G1087" i="104"/>
  <c r="F1087" i="104"/>
  <c r="E1087" i="104"/>
  <c r="D1087" i="104"/>
  <c r="G1086" i="104"/>
  <c r="F1086" i="104"/>
  <c r="E1086" i="104"/>
  <c r="D1086" i="104"/>
  <c r="G1085" i="104"/>
  <c r="F1085" i="104"/>
  <c r="E1085" i="104"/>
  <c r="D1085" i="104"/>
  <c r="G1084" i="104"/>
  <c r="F1084" i="104"/>
  <c r="E1084" i="104"/>
  <c r="D1084" i="104"/>
  <c r="G1083" i="104"/>
  <c r="F1083" i="104"/>
  <c r="E1083" i="104"/>
  <c r="D1083" i="104"/>
  <c r="G1082" i="104"/>
  <c r="F1082" i="104"/>
  <c r="E1082" i="104"/>
  <c r="D1082" i="104"/>
  <c r="G1081" i="104"/>
  <c r="F1081" i="104"/>
  <c r="E1081" i="104"/>
  <c r="D1081" i="104"/>
  <c r="G1080" i="104"/>
  <c r="F1080" i="104"/>
  <c r="E1080" i="104"/>
  <c r="D1080" i="104"/>
  <c r="G1079" i="104"/>
  <c r="F1079" i="104"/>
  <c r="E1079" i="104"/>
  <c r="D1079" i="104"/>
  <c r="G1078" i="104"/>
  <c r="F1078" i="104"/>
  <c r="E1078" i="104"/>
  <c r="D1078" i="104"/>
  <c r="G1077" i="104"/>
  <c r="F1077" i="104"/>
  <c r="E1077" i="104"/>
  <c r="D1077" i="104"/>
  <c r="G1076" i="104"/>
  <c r="F1076" i="104"/>
  <c r="E1076" i="104"/>
  <c r="D1076" i="104"/>
  <c r="G1075" i="104"/>
  <c r="F1075" i="104"/>
  <c r="E1075" i="104"/>
  <c r="D1075" i="104"/>
  <c r="G1074" i="104"/>
  <c r="F1074" i="104"/>
  <c r="E1074" i="104"/>
  <c r="D1074" i="104"/>
  <c r="G1073" i="104"/>
  <c r="F1073" i="104"/>
  <c r="E1073" i="104"/>
  <c r="D1073" i="104"/>
  <c r="G1072" i="104"/>
  <c r="F1072" i="104"/>
  <c r="E1072" i="104"/>
  <c r="D1072" i="104"/>
  <c r="G1071" i="104"/>
  <c r="F1071" i="104"/>
  <c r="E1071" i="104"/>
  <c r="D1071" i="104"/>
  <c r="G1070" i="104"/>
  <c r="F1070" i="104"/>
  <c r="E1070" i="104"/>
  <c r="D1070" i="104"/>
  <c r="G1069" i="104"/>
  <c r="F1069" i="104"/>
  <c r="E1069" i="104"/>
  <c r="D1069" i="104"/>
  <c r="G1068" i="104"/>
  <c r="F1068" i="104"/>
  <c r="E1068" i="104"/>
  <c r="D1068" i="104"/>
  <c r="G1067" i="104"/>
  <c r="F1067" i="104"/>
  <c r="E1067" i="104"/>
  <c r="D1067" i="104"/>
  <c r="G1066" i="104"/>
  <c r="F1066" i="104"/>
  <c r="E1066" i="104"/>
  <c r="D1066" i="104"/>
  <c r="G1065" i="104"/>
  <c r="F1065" i="104"/>
  <c r="E1065" i="104"/>
  <c r="D1065" i="104"/>
  <c r="G1064" i="104"/>
  <c r="F1064" i="104"/>
  <c r="E1064" i="104"/>
  <c r="D1064" i="104"/>
  <c r="G1063" i="104"/>
  <c r="F1063" i="104"/>
  <c r="E1063" i="104"/>
  <c r="D1063" i="104"/>
  <c r="G1062" i="104"/>
  <c r="F1062" i="104"/>
  <c r="E1062" i="104"/>
  <c r="D1062" i="104"/>
  <c r="G1061" i="104"/>
  <c r="F1061" i="104"/>
  <c r="E1061" i="104"/>
  <c r="D1061" i="104"/>
  <c r="G1060" i="104"/>
  <c r="F1060" i="104"/>
  <c r="E1060" i="104"/>
  <c r="D1060" i="104"/>
  <c r="G1059" i="104"/>
  <c r="F1059" i="104"/>
  <c r="E1059" i="104"/>
  <c r="D1059" i="104"/>
  <c r="G1058" i="104"/>
  <c r="F1058" i="104"/>
  <c r="E1058" i="104"/>
  <c r="D1058" i="104"/>
  <c r="G1057" i="104"/>
  <c r="F1057" i="104"/>
  <c r="E1057" i="104"/>
  <c r="D1057" i="104"/>
  <c r="G1056" i="104"/>
  <c r="F1056" i="104"/>
  <c r="E1056" i="104"/>
  <c r="D1056" i="104"/>
  <c r="G1055" i="104"/>
  <c r="F1055" i="104"/>
  <c r="E1055" i="104"/>
  <c r="D1055" i="104"/>
  <c r="G1054" i="104"/>
  <c r="F1054" i="104"/>
  <c r="E1054" i="104"/>
  <c r="D1054" i="104"/>
  <c r="G1053" i="104"/>
  <c r="F1053" i="104"/>
  <c r="E1053" i="104"/>
  <c r="D1053" i="104"/>
  <c r="G1052" i="104"/>
  <c r="F1052" i="104"/>
  <c r="E1052" i="104"/>
  <c r="D1052" i="104"/>
  <c r="G1051" i="104"/>
  <c r="F1051" i="104"/>
  <c r="E1051" i="104"/>
  <c r="D1051" i="104"/>
  <c r="G1050" i="104"/>
  <c r="F1050" i="104"/>
  <c r="E1050" i="104"/>
  <c r="D1050" i="104"/>
  <c r="G1049" i="104"/>
  <c r="F1049" i="104"/>
  <c r="E1049" i="104"/>
  <c r="D1049" i="104"/>
  <c r="G1048" i="104"/>
  <c r="F1048" i="104"/>
  <c r="E1048" i="104"/>
  <c r="D1048" i="104"/>
  <c r="G1047" i="104"/>
  <c r="F1047" i="104"/>
  <c r="E1047" i="104"/>
  <c r="D1047" i="104"/>
  <c r="G1046" i="104"/>
  <c r="F1046" i="104"/>
  <c r="E1046" i="104"/>
  <c r="D1046" i="104"/>
  <c r="G1045" i="104"/>
  <c r="F1045" i="104"/>
  <c r="E1045" i="104"/>
  <c r="D1045" i="104"/>
  <c r="G1044" i="104"/>
  <c r="F1044" i="104"/>
  <c r="E1044" i="104"/>
  <c r="D1044" i="104"/>
  <c r="G1043" i="104"/>
  <c r="F1043" i="104"/>
  <c r="E1043" i="104"/>
  <c r="D1043" i="104"/>
  <c r="G1042" i="104"/>
  <c r="F1042" i="104"/>
  <c r="E1042" i="104"/>
  <c r="D1042" i="104"/>
  <c r="G1041" i="104"/>
  <c r="F1041" i="104"/>
  <c r="E1041" i="104"/>
  <c r="D1041" i="104"/>
  <c r="G1040" i="104"/>
  <c r="F1040" i="104"/>
  <c r="E1040" i="104"/>
  <c r="D1040" i="104"/>
  <c r="G1039" i="104"/>
  <c r="F1039" i="104"/>
  <c r="E1039" i="104"/>
  <c r="D1039" i="104"/>
  <c r="G1038" i="104"/>
  <c r="F1038" i="104"/>
  <c r="E1038" i="104"/>
  <c r="D1038" i="104"/>
  <c r="G1037" i="104"/>
  <c r="F1037" i="104"/>
  <c r="E1037" i="104"/>
  <c r="D1037" i="104"/>
  <c r="G1036" i="104"/>
  <c r="F1036" i="104"/>
  <c r="E1036" i="104"/>
  <c r="D1036" i="104"/>
  <c r="G1035" i="104"/>
  <c r="F1035" i="104"/>
  <c r="E1035" i="104"/>
  <c r="D1035" i="104"/>
  <c r="G1034" i="104"/>
  <c r="F1034" i="104"/>
  <c r="E1034" i="104"/>
  <c r="D1034" i="104"/>
  <c r="G1033" i="104"/>
  <c r="F1033" i="104"/>
  <c r="E1033" i="104"/>
  <c r="D1033" i="104"/>
  <c r="G1032" i="104"/>
  <c r="F1032" i="104"/>
  <c r="E1032" i="104"/>
  <c r="D1032" i="104"/>
  <c r="G1031" i="104"/>
  <c r="F1031" i="104"/>
  <c r="E1031" i="104"/>
  <c r="D1031" i="104"/>
  <c r="G1030" i="104"/>
  <c r="F1030" i="104"/>
  <c r="E1030" i="104"/>
  <c r="D1030" i="104"/>
  <c r="G1029" i="104"/>
  <c r="F1029" i="104"/>
  <c r="E1029" i="104"/>
  <c r="D1029" i="104"/>
  <c r="G1028" i="104"/>
  <c r="F1028" i="104"/>
  <c r="E1028" i="104"/>
  <c r="D1028" i="104"/>
  <c r="G1027" i="104"/>
  <c r="F1027" i="104"/>
  <c r="E1027" i="104"/>
  <c r="D1027" i="104"/>
  <c r="G1026" i="104"/>
  <c r="F1026" i="104"/>
  <c r="E1026" i="104"/>
  <c r="D1026" i="104"/>
  <c r="G1025" i="104"/>
  <c r="F1025" i="104"/>
  <c r="E1025" i="104"/>
  <c r="D1025" i="104"/>
  <c r="G1024" i="104"/>
  <c r="F1024" i="104"/>
  <c r="E1024" i="104"/>
  <c r="D1024" i="104"/>
  <c r="G1023" i="104"/>
  <c r="F1023" i="104"/>
  <c r="E1023" i="104"/>
  <c r="D1023" i="104"/>
  <c r="G1022" i="104"/>
  <c r="F1022" i="104"/>
  <c r="E1022" i="104"/>
  <c r="D1022" i="104"/>
  <c r="G1021" i="104"/>
  <c r="F1021" i="104"/>
  <c r="E1021" i="104"/>
  <c r="D1021" i="104"/>
  <c r="G1020" i="104"/>
  <c r="F1020" i="104"/>
  <c r="E1020" i="104"/>
  <c r="D1020" i="104"/>
  <c r="G1019" i="104"/>
  <c r="F1019" i="104"/>
  <c r="E1019" i="104"/>
  <c r="D1019" i="104"/>
  <c r="G1018" i="104"/>
  <c r="F1018" i="104"/>
  <c r="E1018" i="104"/>
  <c r="D1018" i="104"/>
  <c r="G1017" i="104"/>
  <c r="F1017" i="104"/>
  <c r="E1017" i="104"/>
  <c r="D1017" i="104"/>
  <c r="G1016" i="104"/>
  <c r="F1016" i="104"/>
  <c r="E1016" i="104"/>
  <c r="D1016" i="104"/>
  <c r="G1015" i="104"/>
  <c r="F1015" i="104"/>
  <c r="E1015" i="104"/>
  <c r="D1015" i="104"/>
  <c r="G1014" i="104"/>
  <c r="F1014" i="104"/>
  <c r="E1014" i="104"/>
  <c r="D1014" i="104"/>
  <c r="G1013" i="104"/>
  <c r="F1013" i="104"/>
  <c r="E1013" i="104"/>
  <c r="D1013" i="104"/>
  <c r="G1012" i="104"/>
  <c r="F1012" i="104"/>
  <c r="E1012" i="104"/>
  <c r="D1012" i="104"/>
  <c r="G1011" i="104"/>
  <c r="F1011" i="104"/>
  <c r="E1011" i="104"/>
  <c r="D1011" i="104"/>
  <c r="G1010" i="104"/>
  <c r="F1010" i="104"/>
  <c r="E1010" i="104"/>
  <c r="D1010" i="104"/>
  <c r="G1009" i="104"/>
  <c r="F1009" i="104"/>
  <c r="E1009" i="104"/>
  <c r="D1009" i="104"/>
  <c r="G1008" i="104"/>
  <c r="F1008" i="104"/>
  <c r="E1008" i="104"/>
  <c r="D1008" i="104"/>
  <c r="G1007" i="104"/>
  <c r="F1007" i="104"/>
  <c r="E1007" i="104"/>
  <c r="D1007" i="104"/>
  <c r="G1006" i="104"/>
  <c r="F1006" i="104"/>
  <c r="E1006" i="104"/>
  <c r="D1006" i="104"/>
  <c r="G1005" i="104"/>
  <c r="F1005" i="104"/>
  <c r="E1005" i="104"/>
  <c r="D1005" i="104"/>
  <c r="G1004" i="104"/>
  <c r="F1004" i="104"/>
  <c r="E1004" i="104"/>
  <c r="D1004" i="104"/>
  <c r="G1003" i="104"/>
  <c r="F1003" i="104"/>
  <c r="E1003" i="104"/>
  <c r="D1003" i="104"/>
  <c r="G1002" i="104"/>
  <c r="F1002" i="104"/>
  <c r="E1002" i="104"/>
  <c r="D1002" i="104"/>
  <c r="G1001" i="104"/>
  <c r="F1001" i="104"/>
  <c r="E1001" i="104"/>
  <c r="D1001" i="104"/>
  <c r="G1000" i="104"/>
  <c r="F1000" i="104"/>
  <c r="E1000" i="104"/>
  <c r="D1000" i="104"/>
  <c r="G999" i="104"/>
  <c r="F999" i="104"/>
  <c r="E999" i="104"/>
  <c r="D999" i="104"/>
  <c r="G998" i="104"/>
  <c r="F998" i="104"/>
  <c r="E998" i="104"/>
  <c r="D998" i="104"/>
  <c r="G997" i="104"/>
  <c r="F997" i="104"/>
  <c r="E997" i="104"/>
  <c r="D997" i="104"/>
  <c r="G996" i="104"/>
  <c r="F996" i="104"/>
  <c r="E996" i="104"/>
  <c r="D996" i="104"/>
  <c r="G995" i="104"/>
  <c r="F995" i="104"/>
  <c r="E995" i="104"/>
  <c r="D995" i="104"/>
  <c r="G994" i="104"/>
  <c r="F994" i="104"/>
  <c r="E994" i="104"/>
  <c r="D994" i="104"/>
  <c r="G993" i="104"/>
  <c r="F993" i="104"/>
  <c r="E993" i="104"/>
  <c r="D993" i="104"/>
  <c r="G992" i="104"/>
  <c r="F992" i="104"/>
  <c r="E992" i="104"/>
  <c r="D992" i="104"/>
  <c r="G991" i="104"/>
  <c r="F991" i="104"/>
  <c r="E991" i="104"/>
  <c r="D991" i="104"/>
  <c r="G990" i="104"/>
  <c r="F990" i="104"/>
  <c r="E990" i="104"/>
  <c r="D990" i="104"/>
  <c r="G989" i="104"/>
  <c r="F989" i="104"/>
  <c r="E989" i="104"/>
  <c r="D989" i="104"/>
  <c r="G988" i="104"/>
  <c r="F988" i="104"/>
  <c r="E988" i="104"/>
  <c r="D988" i="104"/>
  <c r="G987" i="104"/>
  <c r="F987" i="104"/>
  <c r="E987" i="104"/>
  <c r="D987" i="104"/>
  <c r="G986" i="104"/>
  <c r="F986" i="104"/>
  <c r="E986" i="104"/>
  <c r="D986" i="104"/>
  <c r="G985" i="104"/>
  <c r="F985" i="104"/>
  <c r="E985" i="104"/>
  <c r="D985" i="104"/>
  <c r="G984" i="104"/>
  <c r="F984" i="104"/>
  <c r="E984" i="104"/>
  <c r="D984" i="104"/>
  <c r="G983" i="104"/>
  <c r="F983" i="104"/>
  <c r="E983" i="104"/>
  <c r="D983" i="104"/>
  <c r="G982" i="104"/>
  <c r="F982" i="104"/>
  <c r="E982" i="104"/>
  <c r="D982" i="104"/>
  <c r="G981" i="104"/>
  <c r="F981" i="104"/>
  <c r="E981" i="104"/>
  <c r="D981" i="104"/>
  <c r="G980" i="104"/>
  <c r="F980" i="104"/>
  <c r="E980" i="104"/>
  <c r="D980" i="104"/>
  <c r="G979" i="104"/>
  <c r="F979" i="104"/>
  <c r="E979" i="104"/>
  <c r="D979" i="104"/>
  <c r="G978" i="104"/>
  <c r="F978" i="104"/>
  <c r="E978" i="104"/>
  <c r="D978" i="104"/>
  <c r="G977" i="104"/>
  <c r="F977" i="104"/>
  <c r="E977" i="104"/>
  <c r="D977" i="104"/>
  <c r="G976" i="104"/>
  <c r="F976" i="104"/>
  <c r="E976" i="104"/>
  <c r="D976" i="104"/>
  <c r="G975" i="104"/>
  <c r="F975" i="104"/>
  <c r="E975" i="104"/>
  <c r="D975" i="104"/>
  <c r="G974" i="104"/>
  <c r="F974" i="104"/>
  <c r="E974" i="104"/>
  <c r="D974" i="104"/>
  <c r="G973" i="104"/>
  <c r="F973" i="104"/>
  <c r="E973" i="104"/>
  <c r="D973" i="104"/>
  <c r="G972" i="104"/>
  <c r="F972" i="104"/>
  <c r="E972" i="104"/>
  <c r="D972" i="104"/>
  <c r="G971" i="104"/>
  <c r="F971" i="104"/>
  <c r="E971" i="104"/>
  <c r="D971" i="104"/>
  <c r="G970" i="104"/>
  <c r="F970" i="104"/>
  <c r="E970" i="104"/>
  <c r="D970" i="104"/>
  <c r="G969" i="104"/>
  <c r="F969" i="104"/>
  <c r="E969" i="104"/>
  <c r="D969" i="104"/>
  <c r="G968" i="104"/>
  <c r="F968" i="104"/>
  <c r="E968" i="104"/>
  <c r="D968" i="104"/>
  <c r="G967" i="104"/>
  <c r="F967" i="104"/>
  <c r="E967" i="104"/>
  <c r="D967" i="104"/>
  <c r="G966" i="104"/>
  <c r="F966" i="104"/>
  <c r="E966" i="104"/>
  <c r="D966" i="104"/>
  <c r="G965" i="104"/>
  <c r="F965" i="104"/>
  <c r="E965" i="104"/>
  <c r="D965" i="104"/>
  <c r="G964" i="104"/>
  <c r="F964" i="104"/>
  <c r="E964" i="104"/>
  <c r="D964" i="104"/>
  <c r="G963" i="104"/>
  <c r="F963" i="104"/>
  <c r="E963" i="104"/>
  <c r="D963" i="104"/>
  <c r="G962" i="104"/>
  <c r="F962" i="104"/>
  <c r="E962" i="104"/>
  <c r="D962" i="104"/>
  <c r="G961" i="104"/>
  <c r="F961" i="104"/>
  <c r="E961" i="104"/>
  <c r="D961" i="104"/>
  <c r="G960" i="104"/>
  <c r="F960" i="104"/>
  <c r="E960" i="104"/>
  <c r="D960" i="104"/>
  <c r="G959" i="104"/>
  <c r="F959" i="104"/>
  <c r="E959" i="104"/>
  <c r="D959" i="104"/>
  <c r="G958" i="104"/>
  <c r="F958" i="104"/>
  <c r="E958" i="104"/>
  <c r="D958" i="104"/>
  <c r="G957" i="104"/>
  <c r="F957" i="104"/>
  <c r="E957" i="104"/>
  <c r="D957" i="104"/>
  <c r="G956" i="104"/>
  <c r="F956" i="104"/>
  <c r="E956" i="104"/>
  <c r="D956" i="104"/>
  <c r="G955" i="104"/>
  <c r="F955" i="104"/>
  <c r="E955" i="104"/>
  <c r="D955" i="104"/>
  <c r="G954" i="104"/>
  <c r="F954" i="104"/>
  <c r="E954" i="104"/>
  <c r="D954" i="104"/>
  <c r="G953" i="104"/>
  <c r="F953" i="104"/>
  <c r="E953" i="104"/>
  <c r="D953" i="104"/>
  <c r="G952" i="104"/>
  <c r="F952" i="104"/>
  <c r="E952" i="104"/>
  <c r="D952" i="104"/>
  <c r="G951" i="104"/>
  <c r="F951" i="104"/>
  <c r="E951" i="104"/>
  <c r="D951" i="104"/>
  <c r="G950" i="104"/>
  <c r="F950" i="104"/>
  <c r="E950" i="104"/>
  <c r="D950" i="104"/>
  <c r="G949" i="104"/>
  <c r="F949" i="104"/>
  <c r="E949" i="104"/>
  <c r="D949" i="104"/>
  <c r="G948" i="104"/>
  <c r="F948" i="104"/>
  <c r="E948" i="104"/>
  <c r="D948" i="104"/>
  <c r="G947" i="104"/>
  <c r="F947" i="104"/>
  <c r="E947" i="104"/>
  <c r="D947" i="104"/>
  <c r="G946" i="104"/>
  <c r="F946" i="104"/>
  <c r="E946" i="104"/>
  <c r="D946" i="104"/>
  <c r="G945" i="104"/>
  <c r="F945" i="104"/>
  <c r="E945" i="104"/>
  <c r="D945" i="104"/>
  <c r="G944" i="104"/>
  <c r="F944" i="104"/>
  <c r="E944" i="104"/>
  <c r="D944" i="104"/>
  <c r="G943" i="104"/>
  <c r="F943" i="104"/>
  <c r="E943" i="104"/>
  <c r="D943" i="104"/>
  <c r="G942" i="104"/>
  <c r="F942" i="104"/>
  <c r="E942" i="104"/>
  <c r="D942" i="104"/>
  <c r="G941" i="104"/>
  <c r="F941" i="104"/>
  <c r="E941" i="104"/>
  <c r="D941" i="104"/>
  <c r="G940" i="104"/>
  <c r="F940" i="104"/>
  <c r="E940" i="104"/>
  <c r="D940" i="104"/>
  <c r="G939" i="104"/>
  <c r="F939" i="104"/>
  <c r="E939" i="104"/>
  <c r="D939" i="104"/>
  <c r="G938" i="104"/>
  <c r="F938" i="104"/>
  <c r="E938" i="104"/>
  <c r="D938" i="104"/>
  <c r="G937" i="104"/>
  <c r="F937" i="104"/>
  <c r="E937" i="104"/>
  <c r="D937" i="104"/>
  <c r="G936" i="104"/>
  <c r="F936" i="104"/>
  <c r="E936" i="104"/>
  <c r="D936" i="104"/>
  <c r="G935" i="104"/>
  <c r="F935" i="104"/>
  <c r="E935" i="104"/>
  <c r="D935" i="104"/>
  <c r="G934" i="104"/>
  <c r="F934" i="104"/>
  <c r="E934" i="104"/>
  <c r="D934" i="104"/>
  <c r="G933" i="104"/>
  <c r="F933" i="104"/>
  <c r="E933" i="104"/>
  <c r="D933" i="104"/>
  <c r="G932" i="104"/>
  <c r="F932" i="104"/>
  <c r="E932" i="104"/>
  <c r="D932" i="104"/>
  <c r="G931" i="104"/>
  <c r="F931" i="104"/>
  <c r="E931" i="104"/>
  <c r="D931" i="104"/>
  <c r="G930" i="104"/>
  <c r="F930" i="104"/>
  <c r="E930" i="104"/>
  <c r="D930" i="104"/>
  <c r="G929" i="104"/>
  <c r="F929" i="104"/>
  <c r="E929" i="104"/>
  <c r="D929" i="104"/>
  <c r="G928" i="104"/>
  <c r="F928" i="104"/>
  <c r="E928" i="104"/>
  <c r="D928" i="104"/>
  <c r="G927" i="104"/>
  <c r="F927" i="104"/>
  <c r="E927" i="104"/>
  <c r="D927" i="104"/>
  <c r="G926" i="104"/>
  <c r="F926" i="104"/>
  <c r="E926" i="104"/>
  <c r="D926" i="104"/>
  <c r="G925" i="104"/>
  <c r="F925" i="104"/>
  <c r="E925" i="104"/>
  <c r="D925" i="104"/>
  <c r="G924" i="104"/>
  <c r="F924" i="104"/>
  <c r="E924" i="104"/>
  <c r="D924" i="104"/>
  <c r="G923" i="104"/>
  <c r="F923" i="104"/>
  <c r="E923" i="104"/>
  <c r="D923" i="104"/>
  <c r="G922" i="104"/>
  <c r="F922" i="104"/>
  <c r="E922" i="104"/>
  <c r="D922" i="104"/>
  <c r="G921" i="104"/>
  <c r="F921" i="104"/>
  <c r="E921" i="104"/>
  <c r="D921" i="104"/>
  <c r="G920" i="104"/>
  <c r="F920" i="104"/>
  <c r="E920" i="104"/>
  <c r="D920" i="104"/>
  <c r="G919" i="104"/>
  <c r="F919" i="104"/>
  <c r="E919" i="104"/>
  <c r="D919" i="104"/>
  <c r="G918" i="104"/>
  <c r="F918" i="104"/>
  <c r="E918" i="104"/>
  <c r="D918" i="104"/>
  <c r="G917" i="104"/>
  <c r="F917" i="104"/>
  <c r="E917" i="104"/>
  <c r="D917" i="104"/>
  <c r="G916" i="104"/>
  <c r="F916" i="104"/>
  <c r="E916" i="104"/>
  <c r="D916" i="104"/>
  <c r="G915" i="104"/>
  <c r="F915" i="104"/>
  <c r="E915" i="104"/>
  <c r="D915" i="104"/>
  <c r="G914" i="104"/>
  <c r="F914" i="104"/>
  <c r="E914" i="104"/>
  <c r="D914" i="104"/>
  <c r="G913" i="104"/>
  <c r="F913" i="104"/>
  <c r="E913" i="104"/>
  <c r="D913" i="104"/>
  <c r="G912" i="104"/>
  <c r="F912" i="104"/>
  <c r="E912" i="104"/>
  <c r="D912" i="104"/>
  <c r="G911" i="104"/>
  <c r="F911" i="104"/>
  <c r="E911" i="104"/>
  <c r="D911" i="104"/>
  <c r="G910" i="104"/>
  <c r="F910" i="104"/>
  <c r="E910" i="104"/>
  <c r="D910" i="104"/>
  <c r="G909" i="104"/>
  <c r="F909" i="104"/>
  <c r="E909" i="104"/>
  <c r="D909" i="104"/>
  <c r="G908" i="104"/>
  <c r="F908" i="104"/>
  <c r="E908" i="104"/>
  <c r="D908" i="104"/>
  <c r="G907" i="104"/>
  <c r="F907" i="104"/>
  <c r="E907" i="104"/>
  <c r="D907" i="104"/>
  <c r="G906" i="104"/>
  <c r="F906" i="104"/>
  <c r="E906" i="104"/>
  <c r="D906" i="104"/>
  <c r="G905" i="104"/>
  <c r="F905" i="104"/>
  <c r="E905" i="104"/>
  <c r="D905" i="104"/>
  <c r="G904" i="104"/>
  <c r="F904" i="104"/>
  <c r="E904" i="104"/>
  <c r="D904" i="104"/>
  <c r="G903" i="104"/>
  <c r="F903" i="104"/>
  <c r="E903" i="104"/>
  <c r="D903" i="104"/>
  <c r="G902" i="104"/>
  <c r="F902" i="104"/>
  <c r="E902" i="104"/>
  <c r="D902" i="104"/>
  <c r="G901" i="104"/>
  <c r="F901" i="104"/>
  <c r="E901" i="104"/>
  <c r="D901" i="104"/>
  <c r="G900" i="104"/>
  <c r="F900" i="104"/>
  <c r="E900" i="104"/>
  <c r="D900" i="104"/>
  <c r="G899" i="104"/>
  <c r="F899" i="104"/>
  <c r="E899" i="104"/>
  <c r="D899" i="104"/>
  <c r="G898" i="104"/>
  <c r="F898" i="104"/>
  <c r="E898" i="104"/>
  <c r="D898" i="104"/>
  <c r="G897" i="104"/>
  <c r="F897" i="104"/>
  <c r="E897" i="104"/>
  <c r="D897" i="104"/>
  <c r="G896" i="104"/>
  <c r="F896" i="104"/>
  <c r="E896" i="104"/>
  <c r="D896" i="104"/>
  <c r="G895" i="104"/>
  <c r="F895" i="104"/>
  <c r="E895" i="104"/>
  <c r="D895" i="104"/>
  <c r="G894" i="104"/>
  <c r="F894" i="104"/>
  <c r="E894" i="104"/>
  <c r="D894" i="104"/>
  <c r="G893" i="104"/>
  <c r="F893" i="104"/>
  <c r="E893" i="104"/>
  <c r="D893" i="104"/>
  <c r="G892" i="104"/>
  <c r="F892" i="104"/>
  <c r="E892" i="104"/>
  <c r="D892" i="104"/>
  <c r="G891" i="104"/>
  <c r="F891" i="104"/>
  <c r="E891" i="104"/>
  <c r="D891" i="104"/>
  <c r="G890" i="104"/>
  <c r="F890" i="104"/>
  <c r="E890" i="104"/>
  <c r="D890" i="104"/>
  <c r="G889" i="104"/>
  <c r="F889" i="104"/>
  <c r="E889" i="104"/>
  <c r="D889" i="104"/>
  <c r="G888" i="104"/>
  <c r="F888" i="104"/>
  <c r="E888" i="104"/>
  <c r="D888" i="104"/>
  <c r="G887" i="104"/>
  <c r="F887" i="104"/>
  <c r="E887" i="104"/>
  <c r="D887" i="104"/>
  <c r="G886" i="104"/>
  <c r="F886" i="104"/>
  <c r="E886" i="104"/>
  <c r="D886" i="104"/>
  <c r="G885" i="104"/>
  <c r="F885" i="104"/>
  <c r="E885" i="104"/>
  <c r="D885" i="104"/>
  <c r="G884" i="104"/>
  <c r="F884" i="104"/>
  <c r="E884" i="104"/>
  <c r="D884" i="104"/>
  <c r="G883" i="104"/>
  <c r="F883" i="104"/>
  <c r="E883" i="104"/>
  <c r="D883" i="104"/>
  <c r="G882" i="104"/>
  <c r="F882" i="104"/>
  <c r="E882" i="104"/>
  <c r="D882" i="104"/>
  <c r="G881" i="104"/>
  <c r="F881" i="104"/>
  <c r="E881" i="104"/>
  <c r="D881" i="104"/>
  <c r="G880" i="104"/>
  <c r="F880" i="104"/>
  <c r="E880" i="104"/>
  <c r="D880" i="104"/>
  <c r="G879" i="104"/>
  <c r="F879" i="104"/>
  <c r="E879" i="104"/>
  <c r="D879" i="104"/>
  <c r="G878" i="104"/>
  <c r="F878" i="104"/>
  <c r="E878" i="104"/>
  <c r="D878" i="104"/>
  <c r="G877" i="104"/>
  <c r="F877" i="104"/>
  <c r="E877" i="104"/>
  <c r="D877" i="104"/>
  <c r="G876" i="104"/>
  <c r="F876" i="104"/>
  <c r="E876" i="104"/>
  <c r="D876" i="104"/>
  <c r="G875" i="104"/>
  <c r="F875" i="104"/>
  <c r="E875" i="104"/>
  <c r="D875" i="104"/>
  <c r="G874" i="104"/>
  <c r="F874" i="104"/>
  <c r="E874" i="104"/>
  <c r="D874" i="104"/>
  <c r="G873" i="104"/>
  <c r="F873" i="104"/>
  <c r="E873" i="104"/>
  <c r="D873" i="104"/>
  <c r="G872" i="104"/>
  <c r="F872" i="104"/>
  <c r="E872" i="104"/>
  <c r="D872" i="104"/>
  <c r="G871" i="104"/>
  <c r="F871" i="104"/>
  <c r="E871" i="104"/>
  <c r="D871" i="104"/>
  <c r="G870" i="104"/>
  <c r="F870" i="104"/>
  <c r="E870" i="104"/>
  <c r="D870" i="104"/>
  <c r="G869" i="104"/>
  <c r="F869" i="104"/>
  <c r="E869" i="104"/>
  <c r="D869" i="104"/>
  <c r="G868" i="104"/>
  <c r="F868" i="104"/>
  <c r="E868" i="104"/>
  <c r="D868" i="104"/>
  <c r="G867" i="104"/>
  <c r="F867" i="104"/>
  <c r="E867" i="104"/>
  <c r="D867" i="104"/>
  <c r="G866" i="104"/>
  <c r="F866" i="104"/>
  <c r="E866" i="104"/>
  <c r="D866" i="104"/>
  <c r="G865" i="104"/>
  <c r="F865" i="104"/>
  <c r="E865" i="104"/>
  <c r="D865" i="104"/>
  <c r="G864" i="104"/>
  <c r="F864" i="104"/>
  <c r="E864" i="104"/>
  <c r="D864" i="104"/>
  <c r="G863" i="104"/>
  <c r="F863" i="104"/>
  <c r="E863" i="104"/>
  <c r="D863" i="104"/>
  <c r="G862" i="104"/>
  <c r="F862" i="104"/>
  <c r="E862" i="104"/>
  <c r="D862" i="104"/>
  <c r="G861" i="104"/>
  <c r="F861" i="104"/>
  <c r="E861" i="104"/>
  <c r="D861" i="104"/>
  <c r="G860" i="104"/>
  <c r="F860" i="104"/>
  <c r="E860" i="104"/>
  <c r="D860" i="104"/>
  <c r="G859" i="104"/>
  <c r="F859" i="104"/>
  <c r="E859" i="104"/>
  <c r="D859" i="104"/>
  <c r="G858" i="104"/>
  <c r="F858" i="104"/>
  <c r="E858" i="104"/>
  <c r="D858" i="104"/>
  <c r="G857" i="104"/>
  <c r="F857" i="104"/>
  <c r="E857" i="104"/>
  <c r="D857" i="104"/>
  <c r="G856" i="104"/>
  <c r="F856" i="104"/>
  <c r="E856" i="104"/>
  <c r="D856" i="104"/>
  <c r="G855" i="104"/>
  <c r="F855" i="104"/>
  <c r="E855" i="104"/>
  <c r="D855" i="104"/>
  <c r="G854" i="104"/>
  <c r="F854" i="104"/>
  <c r="E854" i="104"/>
  <c r="D854" i="104"/>
  <c r="G853" i="104"/>
  <c r="F853" i="104"/>
  <c r="E853" i="104"/>
  <c r="D853" i="104"/>
  <c r="G852" i="104"/>
  <c r="F852" i="104"/>
  <c r="E852" i="104"/>
  <c r="D852" i="104"/>
  <c r="G851" i="104"/>
  <c r="F851" i="104"/>
  <c r="E851" i="104"/>
  <c r="D851" i="104"/>
  <c r="G850" i="104"/>
  <c r="F850" i="104"/>
  <c r="E850" i="104"/>
  <c r="D850" i="104"/>
  <c r="G849" i="104"/>
  <c r="F849" i="104"/>
  <c r="E849" i="104"/>
  <c r="D849" i="104"/>
  <c r="G848" i="104"/>
  <c r="F848" i="104"/>
  <c r="E848" i="104"/>
  <c r="D848" i="104"/>
  <c r="G847" i="104"/>
  <c r="F847" i="104"/>
  <c r="E847" i="104"/>
  <c r="D847" i="104"/>
  <c r="G846" i="104"/>
  <c r="F846" i="104"/>
  <c r="E846" i="104"/>
  <c r="D846" i="104"/>
  <c r="G845" i="104"/>
  <c r="F845" i="104"/>
  <c r="E845" i="104"/>
  <c r="D845" i="104"/>
  <c r="G844" i="104"/>
  <c r="F844" i="104"/>
  <c r="E844" i="104"/>
  <c r="D844" i="104"/>
  <c r="G843" i="104"/>
  <c r="F843" i="104"/>
  <c r="E843" i="104"/>
  <c r="D843" i="104"/>
  <c r="G842" i="104"/>
  <c r="F842" i="104"/>
  <c r="E842" i="104"/>
  <c r="D842" i="104"/>
  <c r="G841" i="104"/>
  <c r="F841" i="104"/>
  <c r="E841" i="104"/>
  <c r="D841" i="104"/>
  <c r="G840" i="104"/>
  <c r="F840" i="104"/>
  <c r="E840" i="104"/>
  <c r="D840" i="104"/>
  <c r="G839" i="104"/>
  <c r="F839" i="104"/>
  <c r="E839" i="104"/>
  <c r="D839" i="104"/>
  <c r="G838" i="104"/>
  <c r="F838" i="104"/>
  <c r="E838" i="104"/>
  <c r="D838" i="104"/>
  <c r="G837" i="104"/>
  <c r="F837" i="104"/>
  <c r="E837" i="104"/>
  <c r="D837" i="104"/>
  <c r="G836" i="104"/>
  <c r="F836" i="104"/>
  <c r="E836" i="104"/>
  <c r="D836" i="104"/>
  <c r="G835" i="104"/>
  <c r="F835" i="104"/>
  <c r="E835" i="104"/>
  <c r="D835" i="104"/>
  <c r="G834" i="104"/>
  <c r="F834" i="104"/>
  <c r="E834" i="104"/>
  <c r="D834" i="104"/>
  <c r="G833" i="104"/>
  <c r="F833" i="104"/>
  <c r="E833" i="104"/>
  <c r="D833" i="104"/>
  <c r="G832" i="104"/>
  <c r="F832" i="104"/>
  <c r="E832" i="104"/>
  <c r="D832" i="104"/>
  <c r="G831" i="104"/>
  <c r="F831" i="104"/>
  <c r="E831" i="104"/>
  <c r="D831" i="104"/>
  <c r="G830" i="104"/>
  <c r="F830" i="104"/>
  <c r="E830" i="104"/>
  <c r="D830" i="104"/>
  <c r="G829" i="104"/>
  <c r="F829" i="104"/>
  <c r="E829" i="104"/>
  <c r="D829" i="104"/>
  <c r="G828" i="104"/>
  <c r="F828" i="104"/>
  <c r="E828" i="104"/>
  <c r="D828" i="104"/>
  <c r="G827" i="104"/>
  <c r="F827" i="104"/>
  <c r="E827" i="104"/>
  <c r="D827" i="104"/>
  <c r="G826" i="104"/>
  <c r="F826" i="104"/>
  <c r="E826" i="104"/>
  <c r="D826" i="104"/>
  <c r="G825" i="104"/>
  <c r="F825" i="104"/>
  <c r="E825" i="104"/>
  <c r="D825" i="104"/>
  <c r="G824" i="104"/>
  <c r="F824" i="104"/>
  <c r="E824" i="104"/>
  <c r="D824" i="104"/>
  <c r="G823" i="104"/>
  <c r="F823" i="104"/>
  <c r="E823" i="104"/>
  <c r="D823" i="104"/>
  <c r="G822" i="104"/>
  <c r="F822" i="104"/>
  <c r="E822" i="104"/>
  <c r="D822" i="104"/>
  <c r="G821" i="104"/>
  <c r="F821" i="104"/>
  <c r="E821" i="104"/>
  <c r="D821" i="104"/>
  <c r="G820" i="104"/>
  <c r="F820" i="104"/>
  <c r="E820" i="104"/>
  <c r="D820" i="104"/>
  <c r="G819" i="104"/>
  <c r="F819" i="104"/>
  <c r="E819" i="104"/>
  <c r="D819" i="104"/>
  <c r="G818" i="104"/>
  <c r="F818" i="104"/>
  <c r="E818" i="104"/>
  <c r="D818" i="104"/>
  <c r="G817" i="104"/>
  <c r="F817" i="104"/>
  <c r="E817" i="104"/>
  <c r="D817" i="104"/>
  <c r="G816" i="104"/>
  <c r="F816" i="104"/>
  <c r="E816" i="104"/>
  <c r="D816" i="104"/>
  <c r="G815" i="104"/>
  <c r="F815" i="104"/>
  <c r="E815" i="104"/>
  <c r="D815" i="104"/>
  <c r="G814" i="104"/>
  <c r="F814" i="104"/>
  <c r="E814" i="104"/>
  <c r="D814" i="104"/>
  <c r="G813" i="104"/>
  <c r="F813" i="104"/>
  <c r="E813" i="104"/>
  <c r="D813" i="104"/>
  <c r="G812" i="104"/>
  <c r="F812" i="104"/>
  <c r="E812" i="104"/>
  <c r="D812" i="104"/>
  <c r="G811" i="104"/>
  <c r="F811" i="104"/>
  <c r="E811" i="104"/>
  <c r="D811" i="104"/>
  <c r="G810" i="104"/>
  <c r="F810" i="104"/>
  <c r="E810" i="104"/>
  <c r="D810" i="104"/>
  <c r="G809" i="104"/>
  <c r="F809" i="104"/>
  <c r="E809" i="104"/>
  <c r="D809" i="104"/>
  <c r="G808" i="104"/>
  <c r="F808" i="104"/>
  <c r="E808" i="104"/>
  <c r="D808" i="104"/>
  <c r="G807" i="104"/>
  <c r="F807" i="104"/>
  <c r="E807" i="104"/>
  <c r="D807" i="104"/>
  <c r="G806" i="104"/>
  <c r="F806" i="104"/>
  <c r="E806" i="104"/>
  <c r="D806" i="104"/>
  <c r="G805" i="104"/>
  <c r="F805" i="104"/>
  <c r="E805" i="104"/>
  <c r="D805" i="104"/>
  <c r="G804" i="104"/>
  <c r="F804" i="104"/>
  <c r="E804" i="104"/>
  <c r="D804" i="104"/>
  <c r="G803" i="104"/>
  <c r="F803" i="104"/>
  <c r="E803" i="104"/>
  <c r="D803" i="104"/>
  <c r="G802" i="104"/>
  <c r="F802" i="104"/>
  <c r="E802" i="104"/>
  <c r="D802" i="104"/>
  <c r="G801" i="104"/>
  <c r="F801" i="104"/>
  <c r="E801" i="104"/>
  <c r="D801" i="104"/>
  <c r="G800" i="104"/>
  <c r="F800" i="104"/>
  <c r="E800" i="104"/>
  <c r="D800" i="104"/>
  <c r="G799" i="104"/>
  <c r="F799" i="104"/>
  <c r="E799" i="104"/>
  <c r="D799" i="104"/>
  <c r="G798" i="104"/>
  <c r="F798" i="104"/>
  <c r="E798" i="104"/>
  <c r="D798" i="104"/>
  <c r="G797" i="104"/>
  <c r="F797" i="104"/>
  <c r="E797" i="104"/>
  <c r="D797" i="104"/>
  <c r="G796" i="104"/>
  <c r="F796" i="104"/>
  <c r="E796" i="104"/>
  <c r="D796" i="104"/>
  <c r="G795" i="104"/>
  <c r="F795" i="104"/>
  <c r="E795" i="104"/>
  <c r="D795" i="104"/>
  <c r="G794" i="104"/>
  <c r="F794" i="104"/>
  <c r="E794" i="104"/>
  <c r="D794" i="104"/>
  <c r="G793" i="104"/>
  <c r="F793" i="104"/>
  <c r="E793" i="104"/>
  <c r="D793" i="104"/>
  <c r="G792" i="104"/>
  <c r="F792" i="104"/>
  <c r="E792" i="104"/>
  <c r="D792" i="104"/>
  <c r="G791" i="104"/>
  <c r="F791" i="104"/>
  <c r="E791" i="104"/>
  <c r="D791" i="104"/>
  <c r="G790" i="104"/>
  <c r="F790" i="104"/>
  <c r="E790" i="104"/>
  <c r="D790" i="104"/>
  <c r="G789" i="104"/>
  <c r="F789" i="104"/>
  <c r="E789" i="104"/>
  <c r="D789" i="104"/>
  <c r="G788" i="104"/>
  <c r="F788" i="104"/>
  <c r="E788" i="104"/>
  <c r="D788" i="104"/>
  <c r="G787" i="104"/>
  <c r="F787" i="104"/>
  <c r="E787" i="104"/>
  <c r="D787" i="104"/>
  <c r="G786" i="104"/>
  <c r="F786" i="104"/>
  <c r="E786" i="104"/>
  <c r="D786" i="104"/>
  <c r="G785" i="104"/>
  <c r="F785" i="104"/>
  <c r="E785" i="104"/>
  <c r="D785" i="104"/>
  <c r="G784" i="104"/>
  <c r="F784" i="104"/>
  <c r="E784" i="104"/>
  <c r="D784" i="104"/>
  <c r="G783" i="104"/>
  <c r="F783" i="104"/>
  <c r="E783" i="104"/>
  <c r="D783" i="104"/>
  <c r="G782" i="104"/>
  <c r="F782" i="104"/>
  <c r="E782" i="104"/>
  <c r="D782" i="104"/>
  <c r="G781" i="104"/>
  <c r="F781" i="104"/>
  <c r="E781" i="104"/>
  <c r="D781" i="104"/>
  <c r="G780" i="104"/>
  <c r="F780" i="104"/>
  <c r="E780" i="104"/>
  <c r="D780" i="104"/>
  <c r="G779" i="104"/>
  <c r="F779" i="104"/>
  <c r="E779" i="104"/>
  <c r="D779" i="104"/>
  <c r="G778" i="104"/>
  <c r="F778" i="104"/>
  <c r="E778" i="104"/>
  <c r="D778" i="104"/>
  <c r="G777" i="104"/>
  <c r="F777" i="104"/>
  <c r="E777" i="104"/>
  <c r="D777" i="104"/>
  <c r="G776" i="104"/>
  <c r="F776" i="104"/>
  <c r="E776" i="104"/>
  <c r="D776" i="104"/>
  <c r="G775" i="104"/>
  <c r="F775" i="104"/>
  <c r="E775" i="104"/>
  <c r="D775" i="104"/>
  <c r="G774" i="104"/>
  <c r="F774" i="104"/>
  <c r="E774" i="104"/>
  <c r="D774" i="104"/>
  <c r="G773" i="104"/>
  <c r="F773" i="104"/>
  <c r="E773" i="104"/>
  <c r="D773" i="104"/>
  <c r="G772" i="104"/>
  <c r="F772" i="104"/>
  <c r="E772" i="104"/>
  <c r="D772" i="104"/>
  <c r="G771" i="104"/>
  <c r="F771" i="104"/>
  <c r="E771" i="104"/>
  <c r="D771" i="104"/>
  <c r="G770" i="104"/>
  <c r="F770" i="104"/>
  <c r="E770" i="104"/>
  <c r="D770" i="104"/>
  <c r="G769" i="104"/>
  <c r="F769" i="104"/>
  <c r="E769" i="104"/>
  <c r="D769" i="104"/>
  <c r="G768" i="104"/>
  <c r="F768" i="104"/>
  <c r="E768" i="104"/>
  <c r="D768" i="104"/>
  <c r="G767" i="104"/>
  <c r="F767" i="104"/>
  <c r="E767" i="104"/>
  <c r="D767" i="104"/>
  <c r="G766" i="104"/>
  <c r="F766" i="104"/>
  <c r="E766" i="104"/>
  <c r="D766" i="104"/>
  <c r="G765" i="104"/>
  <c r="F765" i="104"/>
  <c r="E765" i="104"/>
  <c r="D765" i="104"/>
  <c r="G764" i="104"/>
  <c r="F764" i="104"/>
  <c r="E764" i="104"/>
  <c r="D764" i="104"/>
  <c r="G763" i="104"/>
  <c r="F763" i="104"/>
  <c r="E763" i="104"/>
  <c r="D763" i="104"/>
  <c r="G762" i="104"/>
  <c r="F762" i="104"/>
  <c r="E762" i="104"/>
  <c r="D762" i="104"/>
  <c r="G761" i="104"/>
  <c r="F761" i="104"/>
  <c r="E761" i="104"/>
  <c r="D761" i="104"/>
  <c r="G760" i="104"/>
  <c r="F760" i="104"/>
  <c r="E760" i="104"/>
  <c r="D760" i="104"/>
  <c r="G759" i="104"/>
  <c r="F759" i="104"/>
  <c r="E759" i="104"/>
  <c r="D759" i="104"/>
  <c r="G758" i="104"/>
  <c r="F758" i="104"/>
  <c r="E758" i="104"/>
  <c r="D758" i="104"/>
  <c r="G757" i="104"/>
  <c r="F757" i="104"/>
  <c r="E757" i="104"/>
  <c r="D757" i="104"/>
  <c r="G756" i="104"/>
  <c r="F756" i="104"/>
  <c r="E756" i="104"/>
  <c r="D756" i="104"/>
  <c r="G755" i="104"/>
  <c r="F755" i="104"/>
  <c r="E755" i="104"/>
  <c r="D755" i="104"/>
  <c r="G754" i="104"/>
  <c r="F754" i="104"/>
  <c r="E754" i="104"/>
  <c r="D754" i="104"/>
  <c r="G753" i="104"/>
  <c r="F753" i="104"/>
  <c r="E753" i="104"/>
  <c r="D753" i="104"/>
  <c r="G752" i="104"/>
  <c r="F752" i="104"/>
  <c r="E752" i="104"/>
  <c r="D752" i="104"/>
  <c r="G751" i="104"/>
  <c r="F751" i="104"/>
  <c r="E751" i="104"/>
  <c r="D751" i="104"/>
  <c r="G750" i="104"/>
  <c r="F750" i="104"/>
  <c r="E750" i="104"/>
  <c r="D750" i="104"/>
  <c r="G749" i="104"/>
  <c r="F749" i="104"/>
  <c r="E749" i="104"/>
  <c r="D749" i="104"/>
  <c r="G748" i="104"/>
  <c r="F748" i="104"/>
  <c r="E748" i="104"/>
  <c r="D748" i="104"/>
  <c r="G747" i="104"/>
  <c r="F747" i="104"/>
  <c r="E747" i="104"/>
  <c r="D747" i="104"/>
  <c r="G746" i="104"/>
  <c r="F746" i="104"/>
  <c r="E746" i="104"/>
  <c r="D746" i="104"/>
  <c r="G745" i="104"/>
  <c r="F745" i="104"/>
  <c r="E745" i="104"/>
  <c r="D745" i="104"/>
  <c r="G744" i="104"/>
  <c r="F744" i="104"/>
  <c r="E744" i="104"/>
  <c r="D744" i="104"/>
  <c r="G743" i="104"/>
  <c r="F743" i="104"/>
  <c r="E743" i="104"/>
  <c r="D743" i="104"/>
  <c r="G742" i="104"/>
  <c r="F742" i="104"/>
  <c r="E742" i="104"/>
  <c r="D742" i="104"/>
  <c r="G741" i="104"/>
  <c r="F741" i="104"/>
  <c r="E741" i="104"/>
  <c r="D741" i="104"/>
  <c r="G740" i="104"/>
  <c r="F740" i="104"/>
  <c r="E740" i="104"/>
  <c r="D740" i="104"/>
  <c r="G739" i="104"/>
  <c r="F739" i="104"/>
  <c r="E739" i="104"/>
  <c r="D739" i="104"/>
  <c r="G738" i="104"/>
  <c r="F738" i="104"/>
  <c r="E738" i="104"/>
  <c r="D738" i="104"/>
  <c r="G737" i="104"/>
  <c r="F737" i="104"/>
  <c r="E737" i="104"/>
  <c r="D737" i="104"/>
  <c r="G736" i="104"/>
  <c r="F736" i="104"/>
  <c r="E736" i="104"/>
  <c r="D736" i="104"/>
  <c r="G735" i="104"/>
  <c r="F735" i="104"/>
  <c r="E735" i="104"/>
  <c r="D735" i="104"/>
  <c r="G734" i="104"/>
  <c r="F734" i="104"/>
  <c r="E734" i="104"/>
  <c r="D734" i="104"/>
  <c r="G733" i="104"/>
  <c r="F733" i="104"/>
  <c r="E733" i="104"/>
  <c r="D733" i="104"/>
  <c r="G732" i="104"/>
  <c r="F732" i="104"/>
  <c r="E732" i="104"/>
  <c r="D732" i="104"/>
  <c r="G731" i="104"/>
  <c r="F731" i="104"/>
  <c r="E731" i="104"/>
  <c r="D731" i="104"/>
  <c r="G730" i="104"/>
  <c r="F730" i="104"/>
  <c r="E730" i="104"/>
  <c r="D730" i="104"/>
  <c r="G729" i="104"/>
  <c r="F729" i="104"/>
  <c r="E729" i="104"/>
  <c r="D729" i="104"/>
  <c r="G728" i="104"/>
  <c r="F728" i="104"/>
  <c r="E728" i="104"/>
  <c r="D728" i="104"/>
  <c r="G727" i="104"/>
  <c r="F727" i="104"/>
  <c r="E727" i="104"/>
  <c r="D727" i="104"/>
  <c r="G726" i="104"/>
  <c r="F726" i="104"/>
  <c r="E726" i="104"/>
  <c r="D726" i="104"/>
  <c r="G725" i="104"/>
  <c r="F725" i="104"/>
  <c r="E725" i="104"/>
  <c r="D725" i="104"/>
  <c r="G724" i="104"/>
  <c r="F724" i="104"/>
  <c r="E724" i="104"/>
  <c r="D724" i="104"/>
  <c r="G723" i="104"/>
  <c r="F723" i="104"/>
  <c r="E723" i="104"/>
  <c r="D723" i="104"/>
  <c r="G722" i="104"/>
  <c r="F722" i="104"/>
  <c r="E722" i="104"/>
  <c r="D722" i="104"/>
  <c r="G721" i="104"/>
  <c r="F721" i="104"/>
  <c r="E721" i="104"/>
  <c r="D721" i="104"/>
  <c r="G720" i="104"/>
  <c r="F720" i="104"/>
  <c r="E720" i="104"/>
  <c r="D720" i="104"/>
  <c r="G719" i="104"/>
  <c r="F719" i="104"/>
  <c r="E719" i="104"/>
  <c r="D719" i="104"/>
  <c r="G718" i="104"/>
  <c r="F718" i="104"/>
  <c r="E718" i="104"/>
  <c r="D718" i="104"/>
  <c r="G717" i="104"/>
  <c r="F717" i="104"/>
  <c r="E717" i="104"/>
  <c r="D717" i="104"/>
  <c r="G716" i="104"/>
  <c r="F716" i="104"/>
  <c r="E716" i="104"/>
  <c r="D716" i="104"/>
  <c r="G715" i="104"/>
  <c r="F715" i="104"/>
  <c r="E715" i="104"/>
  <c r="D715" i="104"/>
  <c r="G714" i="104"/>
  <c r="F714" i="104"/>
  <c r="E714" i="104"/>
  <c r="D714" i="104"/>
  <c r="G713" i="104"/>
  <c r="F713" i="104"/>
  <c r="E713" i="104"/>
  <c r="D713" i="104"/>
  <c r="G712" i="104"/>
  <c r="F712" i="104"/>
  <c r="E712" i="104"/>
  <c r="D712" i="104"/>
  <c r="G711" i="104"/>
  <c r="F711" i="104"/>
  <c r="E711" i="104"/>
  <c r="D711" i="104"/>
  <c r="G710" i="104"/>
  <c r="F710" i="104"/>
  <c r="E710" i="104"/>
  <c r="D710" i="104"/>
  <c r="G709" i="104"/>
  <c r="F709" i="104"/>
  <c r="E709" i="104"/>
  <c r="D709" i="104"/>
  <c r="G708" i="104"/>
  <c r="F708" i="104"/>
  <c r="E708" i="104"/>
  <c r="D708" i="104"/>
  <c r="G707" i="104"/>
  <c r="F707" i="104"/>
  <c r="E707" i="104"/>
  <c r="D707" i="104"/>
  <c r="G706" i="104"/>
  <c r="F706" i="104"/>
  <c r="E706" i="104"/>
  <c r="D706" i="104"/>
  <c r="G705" i="104"/>
  <c r="F705" i="104"/>
  <c r="E705" i="104"/>
  <c r="D705" i="104"/>
  <c r="G704" i="104"/>
  <c r="F704" i="104"/>
  <c r="E704" i="104"/>
  <c r="D704" i="104"/>
  <c r="G703" i="104"/>
  <c r="F703" i="104"/>
  <c r="E703" i="104"/>
  <c r="D703" i="104"/>
  <c r="G702" i="104"/>
  <c r="F702" i="104"/>
  <c r="E702" i="104"/>
  <c r="D702" i="104"/>
  <c r="G701" i="104"/>
  <c r="F701" i="104"/>
  <c r="E701" i="104"/>
  <c r="D701" i="104"/>
  <c r="G700" i="104"/>
  <c r="F700" i="104"/>
  <c r="E700" i="104"/>
  <c r="D700" i="104"/>
  <c r="G699" i="104"/>
  <c r="F699" i="104"/>
  <c r="E699" i="104"/>
  <c r="D699" i="104"/>
  <c r="G698" i="104"/>
  <c r="F698" i="104"/>
  <c r="E698" i="104"/>
  <c r="D698" i="104"/>
  <c r="G697" i="104"/>
  <c r="F697" i="104"/>
  <c r="E697" i="104"/>
  <c r="D697" i="104"/>
  <c r="G696" i="104"/>
  <c r="F696" i="104"/>
  <c r="E696" i="104"/>
  <c r="D696" i="104"/>
  <c r="G695" i="104"/>
  <c r="F695" i="104"/>
  <c r="E695" i="104"/>
  <c r="D695" i="104"/>
  <c r="G694" i="104"/>
  <c r="F694" i="104"/>
  <c r="E694" i="104"/>
  <c r="D694" i="104"/>
  <c r="G693" i="104"/>
  <c r="F693" i="104"/>
  <c r="E693" i="104"/>
  <c r="D693" i="104"/>
  <c r="G692" i="104"/>
  <c r="F692" i="104"/>
  <c r="E692" i="104"/>
  <c r="D692" i="104"/>
  <c r="G691" i="104"/>
  <c r="F691" i="104"/>
  <c r="E691" i="104"/>
  <c r="D691" i="104"/>
  <c r="G690" i="104"/>
  <c r="F690" i="104"/>
  <c r="E690" i="104"/>
  <c r="D690" i="104"/>
  <c r="G689" i="104"/>
  <c r="F689" i="104"/>
  <c r="E689" i="104"/>
  <c r="D689" i="104"/>
  <c r="G688" i="104"/>
  <c r="F688" i="104"/>
  <c r="E688" i="104"/>
  <c r="D688" i="104"/>
  <c r="G687" i="104"/>
  <c r="F687" i="104"/>
  <c r="E687" i="104"/>
  <c r="D687" i="104"/>
  <c r="G686" i="104"/>
  <c r="F686" i="104"/>
  <c r="E686" i="104"/>
  <c r="D686" i="104"/>
  <c r="G685" i="104"/>
  <c r="F685" i="104"/>
  <c r="E685" i="104"/>
  <c r="D685" i="104"/>
  <c r="G684" i="104"/>
  <c r="F684" i="104"/>
  <c r="E684" i="104"/>
  <c r="D684" i="104"/>
  <c r="G683" i="104"/>
  <c r="F683" i="104"/>
  <c r="E683" i="104"/>
  <c r="D683" i="104"/>
  <c r="G682" i="104"/>
  <c r="F682" i="104"/>
  <c r="E682" i="104"/>
  <c r="D682" i="104"/>
  <c r="G681" i="104"/>
  <c r="F681" i="104"/>
  <c r="E681" i="104"/>
  <c r="D681" i="104"/>
  <c r="G680" i="104"/>
  <c r="F680" i="104"/>
  <c r="E680" i="104"/>
  <c r="D680" i="104"/>
  <c r="G679" i="104"/>
  <c r="F679" i="104"/>
  <c r="E679" i="104"/>
  <c r="D679" i="104"/>
  <c r="G678" i="104"/>
  <c r="F678" i="104"/>
  <c r="E678" i="104"/>
  <c r="D678" i="104"/>
  <c r="G677" i="104"/>
  <c r="F677" i="104"/>
  <c r="E677" i="104"/>
  <c r="D677" i="104"/>
  <c r="G676" i="104"/>
  <c r="F676" i="104"/>
  <c r="E676" i="104"/>
  <c r="D676" i="104"/>
  <c r="G675" i="104"/>
  <c r="F675" i="104"/>
  <c r="E675" i="104"/>
  <c r="D675" i="104"/>
  <c r="G674" i="104"/>
  <c r="F674" i="104"/>
  <c r="E674" i="104"/>
  <c r="D674" i="104"/>
  <c r="G673" i="104"/>
  <c r="F673" i="104"/>
  <c r="E673" i="104"/>
  <c r="D673" i="104"/>
  <c r="G672" i="104"/>
  <c r="F672" i="104"/>
  <c r="E672" i="104"/>
  <c r="D672" i="104"/>
  <c r="G671" i="104"/>
  <c r="F671" i="104"/>
  <c r="E671" i="104"/>
  <c r="D671" i="104"/>
  <c r="G670" i="104"/>
  <c r="F670" i="104"/>
  <c r="E670" i="104"/>
  <c r="D670" i="104"/>
  <c r="G669" i="104"/>
  <c r="F669" i="104"/>
  <c r="E669" i="104"/>
  <c r="D669" i="104"/>
  <c r="G668" i="104"/>
  <c r="F668" i="104"/>
  <c r="E668" i="104"/>
  <c r="D668" i="104"/>
  <c r="G667" i="104"/>
  <c r="F667" i="104"/>
  <c r="E667" i="104"/>
  <c r="D667" i="104"/>
  <c r="G666" i="104"/>
  <c r="F666" i="104"/>
  <c r="E666" i="104"/>
  <c r="D666" i="104"/>
  <c r="G665" i="104"/>
  <c r="F665" i="104"/>
  <c r="E665" i="104"/>
  <c r="D665" i="104"/>
  <c r="G664" i="104"/>
  <c r="F664" i="104"/>
  <c r="E664" i="104"/>
  <c r="D664" i="104"/>
  <c r="G663" i="104"/>
  <c r="F663" i="104"/>
  <c r="E663" i="104"/>
  <c r="D663" i="104"/>
  <c r="G662" i="104"/>
  <c r="F662" i="104"/>
  <c r="E662" i="104"/>
  <c r="D662" i="104"/>
  <c r="G661" i="104"/>
  <c r="F661" i="104"/>
  <c r="E661" i="104"/>
  <c r="D661" i="104"/>
  <c r="G660" i="104"/>
  <c r="F660" i="104"/>
  <c r="E660" i="104"/>
  <c r="D660" i="104"/>
  <c r="G659" i="104"/>
  <c r="F659" i="104"/>
  <c r="E659" i="104"/>
  <c r="D659" i="104"/>
  <c r="G658" i="104"/>
  <c r="F658" i="104"/>
  <c r="E658" i="104"/>
  <c r="D658" i="104"/>
  <c r="G657" i="104"/>
  <c r="F657" i="104"/>
  <c r="E657" i="104"/>
  <c r="D657" i="104"/>
  <c r="G656" i="104"/>
  <c r="F656" i="104"/>
  <c r="E656" i="104"/>
  <c r="D656" i="104"/>
  <c r="G655" i="104"/>
  <c r="F655" i="104"/>
  <c r="E655" i="104"/>
  <c r="D655" i="104"/>
  <c r="G654" i="104"/>
  <c r="F654" i="104"/>
  <c r="E654" i="104"/>
  <c r="D654" i="104"/>
  <c r="G653" i="104"/>
  <c r="F653" i="104"/>
  <c r="E653" i="104"/>
  <c r="D653" i="104"/>
  <c r="G652" i="104"/>
  <c r="F652" i="104"/>
  <c r="E652" i="104"/>
  <c r="D652" i="104"/>
  <c r="G651" i="104"/>
  <c r="F651" i="104"/>
  <c r="E651" i="104"/>
  <c r="D651" i="104"/>
  <c r="G650" i="104"/>
  <c r="F650" i="104"/>
  <c r="E650" i="104"/>
  <c r="D650" i="104"/>
  <c r="G649" i="104"/>
  <c r="F649" i="104"/>
  <c r="E649" i="104"/>
  <c r="D649" i="104"/>
  <c r="G648" i="104"/>
  <c r="F648" i="104"/>
  <c r="E648" i="104"/>
  <c r="D648" i="104"/>
  <c r="G647" i="104"/>
  <c r="F647" i="104"/>
  <c r="E647" i="104"/>
  <c r="D647" i="104"/>
  <c r="G646" i="104"/>
  <c r="F646" i="104"/>
  <c r="E646" i="104"/>
  <c r="D646" i="104"/>
  <c r="G645" i="104"/>
  <c r="F645" i="104"/>
  <c r="E645" i="104"/>
  <c r="D645" i="104"/>
  <c r="G644" i="104"/>
  <c r="F644" i="104"/>
  <c r="E644" i="104"/>
  <c r="D644" i="104"/>
  <c r="G643" i="104"/>
  <c r="F643" i="104"/>
  <c r="E643" i="104"/>
  <c r="D643" i="104"/>
  <c r="G642" i="104"/>
  <c r="F642" i="104"/>
  <c r="E642" i="104"/>
  <c r="D642" i="104"/>
  <c r="G641" i="104"/>
  <c r="F641" i="104"/>
  <c r="E641" i="104"/>
  <c r="D641" i="104"/>
  <c r="G640" i="104"/>
  <c r="F640" i="104"/>
  <c r="E640" i="104"/>
  <c r="D640" i="104"/>
  <c r="G639" i="104"/>
  <c r="F639" i="104"/>
  <c r="E639" i="104"/>
  <c r="D639" i="104"/>
  <c r="G638" i="104"/>
  <c r="F638" i="104"/>
  <c r="E638" i="104"/>
  <c r="D638" i="104"/>
  <c r="G637" i="104"/>
  <c r="F637" i="104"/>
  <c r="E637" i="104"/>
  <c r="D637" i="104"/>
  <c r="G636" i="104"/>
  <c r="F636" i="104"/>
  <c r="E636" i="104"/>
  <c r="D636" i="104"/>
  <c r="G635" i="104"/>
  <c r="F635" i="104"/>
  <c r="E635" i="104"/>
  <c r="D635" i="104"/>
  <c r="G634" i="104"/>
  <c r="F634" i="104"/>
  <c r="E634" i="104"/>
  <c r="D634" i="104"/>
  <c r="G633" i="104"/>
  <c r="F633" i="104"/>
  <c r="E633" i="104"/>
  <c r="D633" i="104"/>
  <c r="G632" i="104"/>
  <c r="F632" i="104"/>
  <c r="E632" i="104"/>
  <c r="D632" i="104"/>
  <c r="G631" i="104"/>
  <c r="F631" i="104"/>
  <c r="E631" i="104"/>
  <c r="D631" i="104"/>
  <c r="G630" i="104"/>
  <c r="F630" i="104"/>
  <c r="E630" i="104"/>
  <c r="D630" i="104"/>
  <c r="G629" i="104"/>
  <c r="F629" i="104"/>
  <c r="E629" i="104"/>
  <c r="D629" i="104"/>
  <c r="G628" i="104"/>
  <c r="F628" i="104"/>
  <c r="E628" i="104"/>
  <c r="D628" i="104"/>
  <c r="G627" i="104"/>
  <c r="F627" i="104"/>
  <c r="E627" i="104"/>
  <c r="D627" i="104"/>
  <c r="G626" i="104"/>
  <c r="F626" i="104"/>
  <c r="E626" i="104"/>
  <c r="D626" i="104"/>
  <c r="G625" i="104"/>
  <c r="F625" i="104"/>
  <c r="E625" i="104"/>
  <c r="D625" i="104"/>
  <c r="G624" i="104"/>
  <c r="F624" i="104"/>
  <c r="E624" i="104"/>
  <c r="D624" i="104"/>
  <c r="G623" i="104"/>
  <c r="F623" i="104"/>
  <c r="E623" i="104"/>
  <c r="D623" i="104"/>
  <c r="G622" i="104"/>
  <c r="F622" i="104"/>
  <c r="E622" i="104"/>
  <c r="D622" i="104"/>
  <c r="G621" i="104"/>
  <c r="F621" i="104"/>
  <c r="E621" i="104"/>
  <c r="D621" i="104"/>
  <c r="G620" i="104"/>
  <c r="F620" i="104"/>
  <c r="E620" i="104"/>
  <c r="D620" i="104"/>
  <c r="G619" i="104"/>
  <c r="F619" i="104"/>
  <c r="E619" i="104"/>
  <c r="D619" i="104"/>
  <c r="G618" i="104"/>
  <c r="F618" i="104"/>
  <c r="E618" i="104"/>
  <c r="D618" i="104"/>
  <c r="G617" i="104"/>
  <c r="F617" i="104"/>
  <c r="E617" i="104"/>
  <c r="D617" i="104"/>
  <c r="G616" i="104"/>
  <c r="F616" i="104"/>
  <c r="E616" i="104"/>
  <c r="D616" i="104"/>
  <c r="G615" i="104"/>
  <c r="F615" i="104"/>
  <c r="E615" i="104"/>
  <c r="D615" i="104"/>
  <c r="G614" i="104"/>
  <c r="F614" i="104"/>
  <c r="E614" i="104"/>
  <c r="D614" i="104"/>
  <c r="G613" i="104"/>
  <c r="F613" i="104"/>
  <c r="E613" i="104"/>
  <c r="D613" i="104"/>
  <c r="G612" i="104"/>
  <c r="F612" i="104"/>
  <c r="E612" i="104"/>
  <c r="D612" i="104"/>
  <c r="G611" i="104"/>
  <c r="F611" i="104"/>
  <c r="E611" i="104"/>
  <c r="D611" i="104"/>
  <c r="G610" i="104"/>
  <c r="F610" i="104"/>
  <c r="E610" i="104"/>
  <c r="D610" i="104"/>
  <c r="G609" i="104"/>
  <c r="F609" i="104"/>
  <c r="E609" i="104"/>
  <c r="D609" i="104"/>
  <c r="G608" i="104"/>
  <c r="F608" i="104"/>
  <c r="E608" i="104"/>
  <c r="D608" i="104"/>
  <c r="G607" i="104"/>
  <c r="F607" i="104"/>
  <c r="E607" i="104"/>
  <c r="D607" i="104"/>
  <c r="G606" i="104"/>
  <c r="F606" i="104"/>
  <c r="E606" i="104"/>
  <c r="D606" i="104"/>
  <c r="G605" i="104"/>
  <c r="F605" i="104"/>
  <c r="E605" i="104"/>
  <c r="D605" i="104"/>
  <c r="G604" i="104"/>
  <c r="F604" i="104"/>
  <c r="E604" i="104"/>
  <c r="D604" i="104"/>
  <c r="G603" i="104"/>
  <c r="F603" i="104"/>
  <c r="E603" i="104"/>
  <c r="D603" i="104"/>
  <c r="G602" i="104"/>
  <c r="F602" i="104"/>
  <c r="E602" i="104"/>
  <c r="D602" i="104"/>
  <c r="G601" i="104"/>
  <c r="F601" i="104"/>
  <c r="E601" i="104"/>
  <c r="D601" i="104"/>
  <c r="G600" i="104"/>
  <c r="F600" i="104"/>
  <c r="E600" i="104"/>
  <c r="D600" i="104"/>
  <c r="G599" i="104"/>
  <c r="F599" i="104"/>
  <c r="E599" i="104"/>
  <c r="D599" i="104"/>
  <c r="G598" i="104"/>
  <c r="F598" i="104"/>
  <c r="E598" i="104"/>
  <c r="D598" i="104"/>
  <c r="G597" i="104"/>
  <c r="F597" i="104"/>
  <c r="E597" i="104"/>
  <c r="D597" i="104"/>
  <c r="G596" i="104"/>
  <c r="F596" i="104"/>
  <c r="E596" i="104"/>
  <c r="D596" i="104"/>
  <c r="G595" i="104"/>
  <c r="F595" i="104"/>
  <c r="E595" i="104"/>
  <c r="D595" i="104"/>
  <c r="G594" i="104"/>
  <c r="F594" i="104"/>
  <c r="E594" i="104"/>
  <c r="D594" i="104"/>
  <c r="G593" i="104"/>
  <c r="F593" i="104"/>
  <c r="E593" i="104"/>
  <c r="D593" i="104"/>
  <c r="G592" i="104"/>
  <c r="F592" i="104"/>
  <c r="E592" i="104"/>
  <c r="D592" i="104"/>
  <c r="G591" i="104"/>
  <c r="F591" i="104"/>
  <c r="E591" i="104"/>
  <c r="D591" i="104"/>
  <c r="G590" i="104"/>
  <c r="F590" i="104"/>
  <c r="E590" i="104"/>
  <c r="D590" i="104"/>
  <c r="G589" i="104"/>
  <c r="F589" i="104"/>
  <c r="E589" i="104"/>
  <c r="D589" i="104"/>
  <c r="G588" i="104"/>
  <c r="F588" i="104"/>
  <c r="E588" i="104"/>
  <c r="D588" i="104"/>
  <c r="G587" i="104"/>
  <c r="F587" i="104"/>
  <c r="E587" i="104"/>
  <c r="D587" i="104"/>
  <c r="G586" i="104"/>
  <c r="F586" i="104"/>
  <c r="E586" i="104"/>
  <c r="D586" i="104"/>
  <c r="G585" i="104"/>
  <c r="F585" i="104"/>
  <c r="E585" i="104"/>
  <c r="D585" i="104"/>
  <c r="G584" i="104"/>
  <c r="F584" i="104"/>
  <c r="E584" i="104"/>
  <c r="D584" i="104"/>
  <c r="G583" i="104"/>
  <c r="F583" i="104"/>
  <c r="E583" i="104"/>
  <c r="D583" i="104"/>
  <c r="G582" i="104"/>
  <c r="F582" i="104"/>
  <c r="E582" i="104"/>
  <c r="D582" i="104"/>
  <c r="G581" i="104"/>
  <c r="F581" i="104"/>
  <c r="E581" i="104"/>
  <c r="D581" i="104"/>
  <c r="G580" i="104"/>
  <c r="F580" i="104"/>
  <c r="E580" i="104"/>
  <c r="D580" i="104"/>
  <c r="G579" i="104"/>
  <c r="F579" i="104"/>
  <c r="E579" i="104"/>
  <c r="D579" i="104"/>
  <c r="G578" i="104"/>
  <c r="F578" i="104"/>
  <c r="E578" i="104"/>
  <c r="D578" i="104"/>
  <c r="G577" i="104"/>
  <c r="F577" i="104"/>
  <c r="E577" i="104"/>
  <c r="D577" i="104"/>
  <c r="G576" i="104"/>
  <c r="F576" i="104"/>
  <c r="E576" i="104"/>
  <c r="D576" i="104"/>
  <c r="G575" i="104"/>
  <c r="F575" i="104"/>
  <c r="E575" i="104"/>
  <c r="D575" i="104"/>
  <c r="G574" i="104"/>
  <c r="F574" i="104"/>
  <c r="E574" i="104"/>
  <c r="D574" i="104"/>
  <c r="G573" i="104"/>
  <c r="F573" i="104"/>
  <c r="E573" i="104"/>
  <c r="D573" i="104"/>
  <c r="G572" i="104"/>
  <c r="F572" i="104"/>
  <c r="E572" i="104"/>
  <c r="D572" i="104"/>
  <c r="G571" i="104"/>
  <c r="F571" i="104"/>
  <c r="E571" i="104"/>
  <c r="D571" i="104"/>
  <c r="G570" i="104"/>
  <c r="F570" i="104"/>
  <c r="E570" i="104"/>
  <c r="D570" i="104"/>
  <c r="G569" i="104"/>
  <c r="F569" i="104"/>
  <c r="E569" i="104"/>
  <c r="D569" i="104"/>
  <c r="G568" i="104"/>
  <c r="F568" i="104"/>
  <c r="E568" i="104"/>
  <c r="D568" i="104"/>
  <c r="G567" i="104"/>
  <c r="F567" i="104"/>
  <c r="E567" i="104"/>
  <c r="D567" i="104"/>
  <c r="G566" i="104"/>
  <c r="F566" i="104"/>
  <c r="E566" i="104"/>
  <c r="D566" i="104"/>
  <c r="G565" i="104"/>
  <c r="F565" i="104"/>
  <c r="E565" i="104"/>
  <c r="D565" i="104"/>
  <c r="G564" i="104"/>
  <c r="F564" i="104"/>
  <c r="E564" i="104"/>
  <c r="D564" i="104"/>
  <c r="G563" i="104"/>
  <c r="F563" i="104"/>
  <c r="E563" i="104"/>
  <c r="D563" i="104"/>
  <c r="G562" i="104"/>
  <c r="F562" i="104"/>
  <c r="E562" i="104"/>
  <c r="D562" i="104"/>
  <c r="G561" i="104"/>
  <c r="F561" i="104"/>
  <c r="E561" i="104"/>
  <c r="D561" i="104"/>
  <c r="G560" i="104"/>
  <c r="F560" i="104"/>
  <c r="E560" i="104"/>
  <c r="D560" i="104"/>
  <c r="G559" i="104"/>
  <c r="F559" i="104"/>
  <c r="E559" i="104"/>
  <c r="D559" i="104"/>
  <c r="G558" i="104"/>
  <c r="F558" i="104"/>
  <c r="E558" i="104"/>
  <c r="D558" i="104"/>
  <c r="G557" i="104"/>
  <c r="F557" i="104"/>
  <c r="E557" i="104"/>
  <c r="D557" i="104"/>
  <c r="G556" i="104"/>
  <c r="F556" i="104"/>
  <c r="E556" i="104"/>
  <c r="D556" i="104"/>
  <c r="G555" i="104"/>
  <c r="F555" i="104"/>
  <c r="E555" i="104"/>
  <c r="D555" i="104"/>
  <c r="G554" i="104"/>
  <c r="F554" i="104"/>
  <c r="E554" i="104"/>
  <c r="D554" i="104"/>
  <c r="G553" i="104"/>
  <c r="F553" i="104"/>
  <c r="E553" i="104"/>
  <c r="D553" i="104"/>
  <c r="G552" i="104"/>
  <c r="F552" i="104"/>
  <c r="E552" i="104"/>
  <c r="D552" i="104"/>
  <c r="G551" i="104"/>
  <c r="F551" i="104"/>
  <c r="E551" i="104"/>
  <c r="D551" i="104"/>
  <c r="G550" i="104"/>
  <c r="F550" i="104"/>
  <c r="E550" i="104"/>
  <c r="D550" i="104"/>
  <c r="G549" i="104"/>
  <c r="F549" i="104"/>
  <c r="E549" i="104"/>
  <c r="D549" i="104"/>
  <c r="G548" i="104"/>
  <c r="F548" i="104"/>
  <c r="E548" i="104"/>
  <c r="D548" i="104"/>
  <c r="G547" i="104"/>
  <c r="F547" i="104"/>
  <c r="E547" i="104"/>
  <c r="D547" i="104"/>
  <c r="G546" i="104"/>
  <c r="F546" i="104"/>
  <c r="E546" i="104"/>
  <c r="D546" i="104"/>
  <c r="G545" i="104"/>
  <c r="F545" i="104"/>
  <c r="E545" i="104"/>
  <c r="D545" i="104"/>
  <c r="G544" i="104"/>
  <c r="F544" i="104"/>
  <c r="E544" i="104"/>
  <c r="D544" i="104"/>
  <c r="G543" i="104"/>
  <c r="F543" i="104"/>
  <c r="E543" i="104"/>
  <c r="D543" i="104"/>
  <c r="G542" i="104"/>
  <c r="F542" i="104"/>
  <c r="E542" i="104"/>
  <c r="D542" i="104"/>
  <c r="G541" i="104"/>
  <c r="F541" i="104"/>
  <c r="E541" i="104"/>
  <c r="D541" i="104"/>
  <c r="G540" i="104"/>
  <c r="F540" i="104"/>
  <c r="E540" i="104"/>
  <c r="D540" i="104"/>
  <c r="G539" i="104"/>
  <c r="F539" i="104"/>
  <c r="E539" i="104"/>
  <c r="D539" i="104"/>
  <c r="G538" i="104"/>
  <c r="F538" i="104"/>
  <c r="E538" i="104"/>
  <c r="D538" i="104"/>
  <c r="G537" i="104"/>
  <c r="F537" i="104"/>
  <c r="E537" i="104"/>
  <c r="D537" i="104"/>
  <c r="G536" i="104"/>
  <c r="F536" i="104"/>
  <c r="E536" i="104"/>
  <c r="D536" i="104"/>
  <c r="G535" i="104"/>
  <c r="F535" i="104"/>
  <c r="E535" i="104"/>
  <c r="D535" i="104"/>
  <c r="G534" i="104"/>
  <c r="F534" i="104"/>
  <c r="E534" i="104"/>
  <c r="D534" i="104"/>
  <c r="G533" i="104"/>
  <c r="F533" i="104"/>
  <c r="E533" i="104"/>
  <c r="D533" i="104"/>
  <c r="G532" i="104"/>
  <c r="F532" i="104"/>
  <c r="E532" i="104"/>
  <c r="D532" i="104"/>
  <c r="G531" i="104"/>
  <c r="F531" i="104"/>
  <c r="E531" i="104"/>
  <c r="D531" i="104"/>
  <c r="G530" i="104"/>
  <c r="F530" i="104"/>
  <c r="E530" i="104"/>
  <c r="D530" i="104"/>
  <c r="G529" i="104"/>
  <c r="F529" i="104"/>
  <c r="E529" i="104"/>
  <c r="D529" i="104"/>
  <c r="G528" i="104"/>
  <c r="F528" i="104"/>
  <c r="E528" i="104"/>
  <c r="D528" i="104"/>
  <c r="G527" i="104"/>
  <c r="F527" i="104"/>
  <c r="E527" i="104"/>
  <c r="D527" i="104"/>
  <c r="G526" i="104"/>
  <c r="F526" i="104"/>
  <c r="E526" i="104"/>
  <c r="D526" i="104"/>
  <c r="G525" i="104"/>
  <c r="F525" i="104"/>
  <c r="E525" i="104"/>
  <c r="D525" i="104"/>
  <c r="G524" i="104"/>
  <c r="F524" i="104"/>
  <c r="E524" i="104"/>
  <c r="D524" i="104"/>
  <c r="G523" i="104"/>
  <c r="F523" i="104"/>
  <c r="E523" i="104"/>
  <c r="D523" i="104"/>
  <c r="G522" i="104"/>
  <c r="F522" i="104"/>
  <c r="E522" i="104"/>
  <c r="D522" i="104"/>
  <c r="G521" i="104"/>
  <c r="F521" i="104"/>
  <c r="E521" i="104"/>
  <c r="D521" i="104"/>
  <c r="G520" i="104"/>
  <c r="F520" i="104"/>
  <c r="E520" i="104"/>
  <c r="D520" i="104"/>
  <c r="G519" i="104"/>
  <c r="F519" i="104"/>
  <c r="E519" i="104"/>
  <c r="D519" i="104"/>
  <c r="G518" i="104"/>
  <c r="F518" i="104"/>
  <c r="E518" i="104"/>
  <c r="D518" i="104"/>
  <c r="G517" i="104"/>
  <c r="F517" i="104"/>
  <c r="E517" i="104"/>
  <c r="D517" i="104"/>
  <c r="G516" i="104"/>
  <c r="F516" i="104"/>
  <c r="E516" i="104"/>
  <c r="D516" i="104"/>
  <c r="G515" i="104"/>
  <c r="F515" i="104"/>
  <c r="E515" i="104"/>
  <c r="D515" i="104"/>
  <c r="G514" i="104"/>
  <c r="F514" i="104"/>
  <c r="E514" i="104"/>
  <c r="D514" i="104"/>
  <c r="G513" i="104"/>
  <c r="F513" i="104"/>
  <c r="E513" i="104"/>
  <c r="D513" i="104"/>
  <c r="G512" i="104"/>
  <c r="F512" i="104"/>
  <c r="E512" i="104"/>
  <c r="D512" i="104"/>
  <c r="G511" i="104"/>
  <c r="F511" i="104"/>
  <c r="E511" i="104"/>
  <c r="D511" i="104"/>
  <c r="G510" i="104"/>
  <c r="F510" i="104"/>
  <c r="E510" i="104"/>
  <c r="D510" i="104"/>
  <c r="G509" i="104"/>
  <c r="F509" i="104"/>
  <c r="E509" i="104"/>
  <c r="D509" i="104"/>
  <c r="G508" i="104"/>
  <c r="F508" i="104"/>
  <c r="E508" i="104"/>
  <c r="D508" i="104"/>
  <c r="G507" i="104"/>
  <c r="F507" i="104"/>
  <c r="E507" i="104"/>
  <c r="D507" i="104"/>
  <c r="G506" i="104"/>
  <c r="F506" i="104"/>
  <c r="E506" i="104"/>
  <c r="D506" i="104"/>
  <c r="G505" i="104"/>
  <c r="F505" i="104"/>
  <c r="E505" i="104"/>
  <c r="D505" i="104"/>
  <c r="G504" i="104"/>
  <c r="F504" i="104"/>
  <c r="E504" i="104"/>
  <c r="D504" i="104"/>
  <c r="G503" i="104"/>
  <c r="F503" i="104"/>
  <c r="E503" i="104"/>
  <c r="D503" i="104"/>
  <c r="G502" i="104"/>
  <c r="F502" i="104"/>
  <c r="E502" i="104"/>
  <c r="D502" i="104"/>
  <c r="G501" i="104"/>
  <c r="F501" i="104"/>
  <c r="E501" i="104"/>
  <c r="D501" i="104"/>
  <c r="G500" i="104"/>
  <c r="F500" i="104"/>
  <c r="E500" i="104"/>
  <c r="D500" i="104"/>
  <c r="G499" i="104"/>
  <c r="F499" i="104"/>
  <c r="E499" i="104"/>
  <c r="D499" i="104"/>
  <c r="G498" i="104"/>
  <c r="F498" i="104"/>
  <c r="E498" i="104"/>
  <c r="D498" i="104"/>
  <c r="G497" i="104"/>
  <c r="F497" i="104"/>
  <c r="E497" i="104"/>
  <c r="D497" i="104"/>
  <c r="G496" i="104"/>
  <c r="F496" i="104"/>
  <c r="E496" i="104"/>
  <c r="D496" i="104"/>
  <c r="G495" i="104"/>
  <c r="F495" i="104"/>
  <c r="E495" i="104"/>
  <c r="D495" i="104"/>
  <c r="G494" i="104"/>
  <c r="F494" i="104"/>
  <c r="E494" i="104"/>
  <c r="D494" i="104"/>
  <c r="G493" i="104"/>
  <c r="F493" i="104"/>
  <c r="E493" i="104"/>
  <c r="D493" i="104"/>
  <c r="G492" i="104"/>
  <c r="F492" i="104"/>
  <c r="E492" i="104"/>
  <c r="D492" i="104"/>
  <c r="G491" i="104"/>
  <c r="F491" i="104"/>
  <c r="E491" i="104"/>
  <c r="D491" i="104"/>
  <c r="G490" i="104"/>
  <c r="F490" i="104"/>
  <c r="E490" i="104"/>
  <c r="D490" i="104"/>
  <c r="G489" i="104"/>
  <c r="F489" i="104"/>
  <c r="E489" i="104"/>
  <c r="D489" i="104"/>
  <c r="G488" i="104"/>
  <c r="F488" i="104"/>
  <c r="E488" i="104"/>
  <c r="D488" i="104"/>
  <c r="G487" i="104"/>
  <c r="F487" i="104"/>
  <c r="E487" i="104"/>
  <c r="D487" i="104"/>
  <c r="G486" i="104"/>
  <c r="F486" i="104"/>
  <c r="E486" i="104"/>
  <c r="D486" i="104"/>
  <c r="G485" i="104"/>
  <c r="F485" i="104"/>
  <c r="E485" i="104"/>
  <c r="D485" i="104"/>
  <c r="G484" i="104"/>
  <c r="F484" i="104"/>
  <c r="E484" i="104"/>
  <c r="D484" i="104"/>
  <c r="G483" i="104"/>
  <c r="F483" i="104"/>
  <c r="E483" i="104"/>
  <c r="D483" i="104"/>
  <c r="G482" i="104"/>
  <c r="F482" i="104"/>
  <c r="E482" i="104"/>
  <c r="D482" i="104"/>
  <c r="G481" i="104"/>
  <c r="F481" i="104"/>
  <c r="E481" i="104"/>
  <c r="D481" i="104"/>
  <c r="G480" i="104"/>
  <c r="F480" i="104"/>
  <c r="E480" i="104"/>
  <c r="D480" i="104"/>
  <c r="G479" i="104"/>
  <c r="F479" i="104"/>
  <c r="E479" i="104"/>
  <c r="D479" i="104"/>
  <c r="G478" i="104"/>
  <c r="F478" i="104"/>
  <c r="E478" i="104"/>
  <c r="D478" i="104"/>
  <c r="G477" i="104"/>
  <c r="F477" i="104"/>
  <c r="E477" i="104"/>
  <c r="D477" i="104"/>
  <c r="G476" i="104"/>
  <c r="F476" i="104"/>
  <c r="E476" i="104"/>
  <c r="D476" i="104"/>
  <c r="G475" i="104"/>
  <c r="F475" i="104"/>
  <c r="E475" i="104"/>
  <c r="D475" i="104"/>
  <c r="G474" i="104"/>
  <c r="F474" i="104"/>
  <c r="E474" i="104"/>
  <c r="D474" i="104"/>
  <c r="G473" i="104"/>
  <c r="F473" i="104"/>
  <c r="E473" i="104"/>
  <c r="D473" i="104"/>
  <c r="G472" i="104"/>
  <c r="F472" i="104"/>
  <c r="E472" i="104"/>
  <c r="D472" i="104"/>
  <c r="G471" i="104"/>
  <c r="F471" i="104"/>
  <c r="E471" i="104"/>
  <c r="D471" i="104"/>
  <c r="G470" i="104"/>
  <c r="F470" i="104"/>
  <c r="E470" i="104"/>
  <c r="D470" i="104"/>
  <c r="G469" i="104"/>
  <c r="F469" i="104"/>
  <c r="E469" i="104"/>
  <c r="D469" i="104"/>
  <c r="G468" i="104"/>
  <c r="F468" i="104"/>
  <c r="E468" i="104"/>
  <c r="D468" i="104"/>
  <c r="G467" i="104"/>
  <c r="F467" i="104"/>
  <c r="E467" i="104"/>
  <c r="D467" i="104"/>
  <c r="G466" i="104"/>
  <c r="F466" i="104"/>
  <c r="E466" i="104"/>
  <c r="D466" i="104"/>
  <c r="G465" i="104"/>
  <c r="F465" i="104"/>
  <c r="E465" i="104"/>
  <c r="D465" i="104"/>
  <c r="G464" i="104"/>
  <c r="F464" i="104"/>
  <c r="E464" i="104"/>
  <c r="D464" i="104"/>
  <c r="G463" i="104"/>
  <c r="F463" i="104"/>
  <c r="E463" i="104"/>
  <c r="D463" i="104"/>
  <c r="G462" i="104"/>
  <c r="F462" i="104"/>
  <c r="E462" i="104"/>
  <c r="D462" i="104"/>
  <c r="G461" i="104"/>
  <c r="F461" i="104"/>
  <c r="E461" i="104"/>
  <c r="D461" i="104"/>
  <c r="G460" i="104"/>
  <c r="F460" i="104"/>
  <c r="E460" i="104"/>
  <c r="D460" i="104"/>
  <c r="G459" i="104"/>
  <c r="F459" i="104"/>
  <c r="E459" i="104"/>
  <c r="D459" i="104"/>
  <c r="G458" i="104"/>
  <c r="F458" i="104"/>
  <c r="E458" i="104"/>
  <c r="D458" i="104"/>
  <c r="G457" i="104"/>
  <c r="F457" i="104"/>
  <c r="E457" i="104"/>
  <c r="D457" i="104"/>
  <c r="G456" i="104"/>
  <c r="F456" i="104"/>
  <c r="E456" i="104"/>
  <c r="D456" i="104"/>
  <c r="G455" i="104"/>
  <c r="F455" i="104"/>
  <c r="E455" i="104"/>
  <c r="D455" i="104"/>
  <c r="G454" i="104"/>
  <c r="F454" i="104"/>
  <c r="E454" i="104"/>
  <c r="D454" i="104"/>
  <c r="G453" i="104"/>
  <c r="F453" i="104"/>
  <c r="E453" i="104"/>
  <c r="D453" i="104"/>
  <c r="G452" i="104"/>
  <c r="F452" i="104"/>
  <c r="E452" i="104"/>
  <c r="D452" i="104"/>
  <c r="G451" i="104"/>
  <c r="F451" i="104"/>
  <c r="E451" i="104"/>
  <c r="D451" i="104"/>
  <c r="G450" i="104"/>
  <c r="F450" i="104"/>
  <c r="E450" i="104"/>
  <c r="D450" i="104"/>
  <c r="G449" i="104"/>
  <c r="F449" i="104"/>
  <c r="E449" i="104"/>
  <c r="D449" i="104"/>
  <c r="G448" i="104"/>
  <c r="F448" i="104"/>
  <c r="E448" i="104"/>
  <c r="D448" i="104"/>
  <c r="G447" i="104"/>
  <c r="F447" i="104"/>
  <c r="E447" i="104"/>
  <c r="D447" i="104"/>
  <c r="G446" i="104"/>
  <c r="F446" i="104"/>
  <c r="E446" i="104"/>
  <c r="D446" i="104"/>
  <c r="G445" i="104"/>
  <c r="F445" i="104"/>
  <c r="E445" i="104"/>
  <c r="D445" i="104"/>
  <c r="G444" i="104"/>
  <c r="F444" i="104"/>
  <c r="E444" i="104"/>
  <c r="D444" i="104"/>
  <c r="G443" i="104"/>
  <c r="F443" i="104"/>
  <c r="E443" i="104"/>
  <c r="D443" i="104"/>
  <c r="G442" i="104"/>
  <c r="F442" i="104"/>
  <c r="E442" i="104"/>
  <c r="D442" i="104"/>
  <c r="G441" i="104"/>
  <c r="F441" i="104"/>
  <c r="E441" i="104"/>
  <c r="D441" i="104"/>
  <c r="G440" i="104"/>
  <c r="F440" i="104"/>
  <c r="E440" i="104"/>
  <c r="D440" i="104"/>
  <c r="G439" i="104"/>
  <c r="F439" i="104"/>
  <c r="E439" i="104"/>
  <c r="D439" i="104"/>
  <c r="G438" i="104"/>
  <c r="F438" i="104"/>
  <c r="E438" i="104"/>
  <c r="D438" i="104"/>
  <c r="G437" i="104"/>
  <c r="F437" i="104"/>
  <c r="E437" i="104"/>
  <c r="D437" i="104"/>
  <c r="G436" i="104"/>
  <c r="F436" i="104"/>
  <c r="E436" i="104"/>
  <c r="D436" i="104"/>
  <c r="G435" i="104"/>
  <c r="F435" i="104"/>
  <c r="E435" i="104"/>
  <c r="D435" i="104"/>
  <c r="G434" i="104"/>
  <c r="F434" i="104"/>
  <c r="E434" i="104"/>
  <c r="D434" i="104"/>
  <c r="G433" i="104"/>
  <c r="F433" i="104"/>
  <c r="E433" i="104"/>
  <c r="D433" i="104"/>
  <c r="G432" i="104"/>
  <c r="F432" i="104"/>
  <c r="E432" i="104"/>
  <c r="D432" i="104"/>
  <c r="G431" i="104"/>
  <c r="F431" i="104"/>
  <c r="E431" i="104"/>
  <c r="D431" i="104"/>
  <c r="G430" i="104"/>
  <c r="F430" i="104"/>
  <c r="E430" i="104"/>
  <c r="D430" i="104"/>
  <c r="G429" i="104"/>
  <c r="F429" i="104"/>
  <c r="E429" i="104"/>
  <c r="D429" i="104"/>
  <c r="G428" i="104"/>
  <c r="F428" i="104"/>
  <c r="E428" i="104"/>
  <c r="D428" i="104"/>
  <c r="G427" i="104"/>
  <c r="F427" i="104"/>
  <c r="E427" i="104"/>
  <c r="D427" i="104"/>
  <c r="G426" i="104"/>
  <c r="F426" i="104"/>
  <c r="E426" i="104"/>
  <c r="D426" i="104"/>
  <c r="G425" i="104"/>
  <c r="F425" i="104"/>
  <c r="E425" i="104"/>
  <c r="D425" i="104"/>
  <c r="G424" i="104"/>
  <c r="F424" i="104"/>
  <c r="E424" i="104"/>
  <c r="D424" i="104"/>
  <c r="G423" i="104"/>
  <c r="F423" i="104"/>
  <c r="E423" i="104"/>
  <c r="D423" i="104"/>
  <c r="G422" i="104"/>
  <c r="F422" i="104"/>
  <c r="E422" i="104"/>
  <c r="D422" i="104"/>
  <c r="G421" i="104"/>
  <c r="F421" i="104"/>
  <c r="E421" i="104"/>
  <c r="D421" i="104"/>
  <c r="G420" i="104"/>
  <c r="F420" i="104"/>
  <c r="E420" i="104"/>
  <c r="D420" i="104"/>
  <c r="G419" i="104"/>
  <c r="F419" i="104"/>
  <c r="E419" i="104"/>
  <c r="D419" i="104"/>
  <c r="G418" i="104"/>
  <c r="F418" i="104"/>
  <c r="E418" i="104"/>
  <c r="D418" i="104"/>
  <c r="G417" i="104"/>
  <c r="F417" i="104"/>
  <c r="E417" i="104"/>
  <c r="D417" i="104"/>
  <c r="G416" i="104"/>
  <c r="F416" i="104"/>
  <c r="E416" i="104"/>
  <c r="D416" i="104"/>
  <c r="G415" i="104"/>
  <c r="F415" i="104"/>
  <c r="E415" i="104"/>
  <c r="D415" i="104"/>
  <c r="G414" i="104"/>
  <c r="F414" i="104"/>
  <c r="E414" i="104"/>
  <c r="D414" i="104"/>
  <c r="G413" i="104"/>
  <c r="F413" i="104"/>
  <c r="E413" i="104"/>
  <c r="D413" i="104"/>
  <c r="G412" i="104"/>
  <c r="F412" i="104"/>
  <c r="E412" i="104"/>
  <c r="D412" i="104"/>
  <c r="G411" i="104"/>
  <c r="F411" i="104"/>
  <c r="E411" i="104"/>
  <c r="D411" i="104"/>
  <c r="G410" i="104"/>
  <c r="F410" i="104"/>
  <c r="E410" i="104"/>
  <c r="D410" i="104"/>
  <c r="G409" i="104"/>
  <c r="F409" i="104"/>
  <c r="E409" i="104"/>
  <c r="D409" i="104"/>
  <c r="G408" i="104"/>
  <c r="F408" i="104"/>
  <c r="E408" i="104"/>
  <c r="D408" i="104"/>
  <c r="G407" i="104"/>
  <c r="F407" i="104"/>
  <c r="E407" i="104"/>
  <c r="D407" i="104"/>
  <c r="G406" i="104"/>
  <c r="F406" i="104"/>
  <c r="E406" i="104"/>
  <c r="D406" i="104"/>
  <c r="G405" i="104"/>
  <c r="F405" i="104"/>
  <c r="E405" i="104"/>
  <c r="D405" i="104"/>
  <c r="G404" i="104"/>
  <c r="F404" i="104"/>
  <c r="E404" i="104"/>
  <c r="D404" i="104"/>
  <c r="G403" i="104"/>
  <c r="F403" i="104"/>
  <c r="E403" i="104"/>
  <c r="D403" i="104"/>
  <c r="G402" i="104"/>
  <c r="F402" i="104"/>
  <c r="E402" i="104"/>
  <c r="D402" i="104"/>
  <c r="G401" i="104"/>
  <c r="F401" i="104"/>
  <c r="E401" i="104"/>
  <c r="D401" i="104"/>
  <c r="G400" i="104"/>
  <c r="F400" i="104"/>
  <c r="E400" i="104"/>
  <c r="D400" i="104"/>
  <c r="G399" i="104"/>
  <c r="F399" i="104"/>
  <c r="E399" i="104"/>
  <c r="D399" i="104"/>
  <c r="G398" i="104"/>
  <c r="F398" i="104"/>
  <c r="E398" i="104"/>
  <c r="D398" i="104"/>
  <c r="G397" i="104"/>
  <c r="F397" i="104"/>
  <c r="E397" i="104"/>
  <c r="D397" i="104"/>
  <c r="G396" i="104"/>
  <c r="F396" i="104"/>
  <c r="E396" i="104"/>
  <c r="D396" i="104"/>
  <c r="G395" i="104"/>
  <c r="F395" i="104"/>
  <c r="E395" i="104"/>
  <c r="D395" i="104"/>
  <c r="G394" i="104"/>
  <c r="F394" i="104"/>
  <c r="E394" i="104"/>
  <c r="D394" i="104"/>
  <c r="G393" i="104"/>
  <c r="F393" i="104"/>
  <c r="E393" i="104"/>
  <c r="D393" i="104"/>
  <c r="G392" i="104"/>
  <c r="F392" i="104"/>
  <c r="E392" i="104"/>
  <c r="D392" i="104"/>
  <c r="G391" i="104"/>
  <c r="F391" i="104"/>
  <c r="E391" i="104"/>
  <c r="D391" i="104"/>
  <c r="G390" i="104"/>
  <c r="F390" i="104"/>
  <c r="E390" i="104"/>
  <c r="D390" i="104"/>
  <c r="G389" i="104"/>
  <c r="F389" i="104"/>
  <c r="E389" i="104"/>
  <c r="D389" i="104"/>
  <c r="G388" i="104"/>
  <c r="F388" i="104"/>
  <c r="E388" i="104"/>
  <c r="D388" i="104"/>
  <c r="G387" i="104"/>
  <c r="F387" i="104"/>
  <c r="E387" i="104"/>
  <c r="D387" i="104"/>
  <c r="G386" i="104"/>
  <c r="F386" i="104"/>
  <c r="E386" i="104"/>
  <c r="D386" i="104"/>
  <c r="G385" i="104"/>
  <c r="F385" i="104"/>
  <c r="E385" i="104"/>
  <c r="D385" i="104"/>
  <c r="G384" i="104"/>
  <c r="F384" i="104"/>
  <c r="E384" i="104"/>
  <c r="D384" i="104"/>
  <c r="G383" i="104"/>
  <c r="F383" i="104"/>
  <c r="E383" i="104"/>
  <c r="D383" i="104"/>
  <c r="G382" i="104"/>
  <c r="F382" i="104"/>
  <c r="E382" i="104"/>
  <c r="D382" i="104"/>
  <c r="G381" i="104"/>
  <c r="F381" i="104"/>
  <c r="E381" i="104"/>
  <c r="D381" i="104"/>
  <c r="G380" i="104"/>
  <c r="F380" i="104"/>
  <c r="E380" i="104"/>
  <c r="D380" i="104"/>
  <c r="G379" i="104"/>
  <c r="F379" i="104"/>
  <c r="E379" i="104"/>
  <c r="D379" i="104"/>
  <c r="G378" i="104"/>
  <c r="F378" i="104"/>
  <c r="E378" i="104"/>
  <c r="D378" i="104"/>
  <c r="G377" i="104"/>
  <c r="F377" i="104"/>
  <c r="E377" i="104"/>
  <c r="D377" i="104"/>
  <c r="G376" i="104"/>
  <c r="F376" i="104"/>
  <c r="E376" i="104"/>
  <c r="D376" i="104"/>
  <c r="G375" i="104"/>
  <c r="F375" i="104"/>
  <c r="E375" i="104"/>
  <c r="D375" i="104"/>
  <c r="G374" i="104"/>
  <c r="F374" i="104"/>
  <c r="E374" i="104"/>
  <c r="D374" i="104"/>
  <c r="G373" i="104"/>
  <c r="F373" i="104"/>
  <c r="E373" i="104"/>
  <c r="D373" i="104"/>
  <c r="G372" i="104"/>
  <c r="F372" i="104"/>
  <c r="E372" i="104"/>
  <c r="D372" i="104"/>
  <c r="G371" i="104"/>
  <c r="F371" i="104"/>
  <c r="E371" i="104"/>
  <c r="D371" i="104"/>
  <c r="G370" i="104"/>
  <c r="F370" i="104"/>
  <c r="E370" i="104"/>
  <c r="D370" i="104"/>
  <c r="G369" i="104"/>
  <c r="F369" i="104"/>
  <c r="E369" i="104"/>
  <c r="D369" i="104"/>
  <c r="G368" i="104"/>
  <c r="F368" i="104"/>
  <c r="E368" i="104"/>
  <c r="D368" i="104"/>
  <c r="G367" i="104"/>
  <c r="F367" i="104"/>
  <c r="E367" i="104"/>
  <c r="D367" i="104"/>
  <c r="G366" i="104"/>
  <c r="F366" i="104"/>
  <c r="E366" i="104"/>
  <c r="D366" i="104"/>
  <c r="G365" i="104"/>
  <c r="F365" i="104"/>
  <c r="E365" i="104"/>
  <c r="D365" i="104"/>
  <c r="G364" i="104"/>
  <c r="F364" i="104"/>
  <c r="E364" i="104"/>
  <c r="D364" i="104"/>
  <c r="G363" i="104"/>
  <c r="F363" i="104"/>
  <c r="E363" i="104"/>
  <c r="D363" i="104"/>
  <c r="G362" i="104"/>
  <c r="F362" i="104"/>
  <c r="E362" i="104"/>
  <c r="D362" i="104"/>
  <c r="G361" i="104"/>
  <c r="F361" i="104"/>
  <c r="E361" i="104"/>
  <c r="D361" i="104"/>
  <c r="G360" i="104"/>
  <c r="F360" i="104"/>
  <c r="E360" i="104"/>
  <c r="D360" i="104"/>
  <c r="G359" i="104"/>
  <c r="F359" i="104"/>
  <c r="E359" i="104"/>
  <c r="D359" i="104"/>
  <c r="G358" i="104"/>
  <c r="F358" i="104"/>
  <c r="E358" i="104"/>
  <c r="D358" i="104"/>
  <c r="G357" i="104"/>
  <c r="F357" i="104"/>
  <c r="E357" i="104"/>
  <c r="D357" i="104"/>
  <c r="G356" i="104"/>
  <c r="F356" i="104"/>
  <c r="E356" i="104"/>
  <c r="D356" i="104"/>
  <c r="G355" i="104"/>
  <c r="F355" i="104"/>
  <c r="E355" i="104"/>
  <c r="D355" i="104"/>
  <c r="G354" i="104"/>
  <c r="F354" i="104"/>
  <c r="E354" i="104"/>
  <c r="D354" i="104"/>
  <c r="G353" i="104"/>
  <c r="F353" i="104"/>
  <c r="E353" i="104"/>
  <c r="D353" i="104"/>
  <c r="G352" i="104"/>
  <c r="F352" i="104"/>
  <c r="E352" i="104"/>
  <c r="D352" i="104"/>
  <c r="G351" i="104"/>
  <c r="F351" i="104"/>
  <c r="E351" i="104"/>
  <c r="D351" i="104"/>
  <c r="G350" i="104"/>
  <c r="F350" i="104"/>
  <c r="E350" i="104"/>
  <c r="D350" i="104"/>
  <c r="G349" i="104"/>
  <c r="F349" i="104"/>
  <c r="E349" i="104"/>
  <c r="D349" i="104"/>
  <c r="G348" i="104"/>
  <c r="F348" i="104"/>
  <c r="E348" i="104"/>
  <c r="D348" i="104"/>
  <c r="G347" i="104"/>
  <c r="F347" i="104"/>
  <c r="E347" i="104"/>
  <c r="D347" i="104"/>
  <c r="G346" i="104"/>
  <c r="F346" i="104"/>
  <c r="E346" i="104"/>
  <c r="D346" i="104"/>
  <c r="G345" i="104"/>
  <c r="F345" i="104"/>
  <c r="E345" i="104"/>
  <c r="D345" i="104"/>
  <c r="G344" i="104"/>
  <c r="F344" i="104"/>
  <c r="E344" i="104"/>
  <c r="D344" i="104"/>
  <c r="G343" i="104"/>
  <c r="F343" i="104"/>
  <c r="E343" i="104"/>
  <c r="D343" i="104"/>
  <c r="G342" i="104"/>
  <c r="F342" i="104"/>
  <c r="E342" i="104"/>
  <c r="D342" i="104"/>
  <c r="G341" i="104"/>
  <c r="F341" i="104"/>
  <c r="E341" i="104"/>
  <c r="D341" i="104"/>
  <c r="G340" i="104"/>
  <c r="F340" i="104"/>
  <c r="E340" i="104"/>
  <c r="D340" i="104"/>
  <c r="G339" i="104"/>
  <c r="F339" i="104"/>
  <c r="E339" i="104"/>
  <c r="D339" i="104"/>
  <c r="G338" i="104"/>
  <c r="F338" i="104"/>
  <c r="E338" i="104"/>
  <c r="D338" i="104"/>
  <c r="G337" i="104"/>
  <c r="F337" i="104"/>
  <c r="E337" i="104"/>
  <c r="D337" i="104"/>
  <c r="G336" i="104"/>
  <c r="F336" i="104"/>
  <c r="E336" i="104"/>
  <c r="D336" i="104"/>
  <c r="G335" i="104"/>
  <c r="F335" i="104"/>
  <c r="E335" i="104"/>
  <c r="D335" i="104"/>
  <c r="G334" i="104"/>
  <c r="F334" i="104"/>
  <c r="E334" i="104"/>
  <c r="D334" i="104"/>
  <c r="G333" i="104"/>
  <c r="F333" i="104"/>
  <c r="E333" i="104"/>
  <c r="D333" i="104"/>
  <c r="G332" i="104"/>
  <c r="F332" i="104"/>
  <c r="E332" i="104"/>
  <c r="D332" i="104"/>
  <c r="G331" i="104"/>
  <c r="F331" i="104"/>
  <c r="E331" i="104"/>
  <c r="D331" i="104"/>
  <c r="G330" i="104"/>
  <c r="F330" i="104"/>
  <c r="E330" i="104"/>
  <c r="D330" i="104"/>
  <c r="G329" i="104"/>
  <c r="F329" i="104"/>
  <c r="E329" i="104"/>
  <c r="D329" i="104"/>
  <c r="G328" i="104"/>
  <c r="F328" i="104"/>
  <c r="E328" i="104"/>
  <c r="D328" i="104"/>
  <c r="G327" i="104"/>
  <c r="F327" i="104"/>
  <c r="E327" i="104"/>
  <c r="D327" i="104"/>
  <c r="G326" i="104"/>
  <c r="F326" i="104"/>
  <c r="E326" i="104"/>
  <c r="D326" i="104"/>
  <c r="G325" i="104"/>
  <c r="F325" i="104"/>
  <c r="E325" i="104"/>
  <c r="D325" i="104"/>
  <c r="G324" i="104"/>
  <c r="F324" i="104"/>
  <c r="E324" i="104"/>
  <c r="D324" i="104"/>
  <c r="G323" i="104"/>
  <c r="F323" i="104"/>
  <c r="E323" i="104"/>
  <c r="D323" i="104"/>
  <c r="G322" i="104"/>
  <c r="F322" i="104"/>
  <c r="E322" i="104"/>
  <c r="D322" i="104"/>
  <c r="G321" i="104"/>
  <c r="F321" i="104"/>
  <c r="E321" i="104"/>
  <c r="D321" i="104"/>
  <c r="G320" i="104"/>
  <c r="F320" i="104"/>
  <c r="E320" i="104"/>
  <c r="D320" i="104"/>
  <c r="G319" i="104"/>
  <c r="F319" i="104"/>
  <c r="E319" i="104"/>
  <c r="D319" i="104"/>
  <c r="G318" i="104"/>
  <c r="F318" i="104"/>
  <c r="E318" i="104"/>
  <c r="D318" i="104"/>
  <c r="G317" i="104"/>
  <c r="F317" i="104"/>
  <c r="E317" i="104"/>
  <c r="D317" i="104"/>
  <c r="G316" i="104"/>
  <c r="F316" i="104"/>
  <c r="E316" i="104"/>
  <c r="D316" i="104"/>
  <c r="G315" i="104"/>
  <c r="F315" i="104"/>
  <c r="E315" i="104"/>
  <c r="D315" i="104"/>
  <c r="G314" i="104"/>
  <c r="F314" i="104"/>
  <c r="E314" i="104"/>
  <c r="D314" i="104"/>
  <c r="G313" i="104"/>
  <c r="F313" i="104"/>
  <c r="E313" i="104"/>
  <c r="D313" i="104"/>
  <c r="G312" i="104"/>
  <c r="F312" i="104"/>
  <c r="E312" i="104"/>
  <c r="D312" i="104"/>
  <c r="G311" i="104"/>
  <c r="F311" i="104"/>
  <c r="E311" i="104"/>
  <c r="D311" i="104"/>
  <c r="G310" i="104"/>
  <c r="F310" i="104"/>
  <c r="E310" i="104"/>
  <c r="D310" i="104"/>
  <c r="G309" i="104"/>
  <c r="F309" i="104"/>
  <c r="E309" i="104"/>
  <c r="D309" i="104"/>
  <c r="G308" i="104"/>
  <c r="F308" i="104"/>
  <c r="E308" i="104"/>
  <c r="D308" i="104"/>
  <c r="G307" i="104"/>
  <c r="F307" i="104"/>
  <c r="E307" i="104"/>
  <c r="D307" i="104"/>
  <c r="G306" i="104"/>
  <c r="F306" i="104"/>
  <c r="E306" i="104"/>
  <c r="D306" i="104"/>
  <c r="G305" i="104"/>
  <c r="F305" i="104"/>
  <c r="E305" i="104"/>
  <c r="D305" i="104"/>
  <c r="G304" i="104"/>
  <c r="F304" i="104"/>
  <c r="E304" i="104"/>
  <c r="D304" i="104"/>
  <c r="G303" i="104"/>
  <c r="F303" i="104"/>
  <c r="E303" i="104"/>
  <c r="D303" i="104"/>
  <c r="G302" i="104"/>
  <c r="F302" i="104"/>
  <c r="E302" i="104"/>
  <c r="D302" i="104"/>
  <c r="G301" i="104"/>
  <c r="F301" i="104"/>
  <c r="E301" i="104"/>
  <c r="D301" i="104"/>
  <c r="G300" i="104"/>
  <c r="F300" i="104"/>
  <c r="E300" i="104"/>
  <c r="D300" i="104"/>
  <c r="G299" i="104"/>
  <c r="F299" i="104"/>
  <c r="E299" i="104"/>
  <c r="D299" i="104"/>
  <c r="G298" i="104"/>
  <c r="F298" i="104"/>
  <c r="E298" i="104"/>
  <c r="D298" i="104"/>
  <c r="G297" i="104"/>
  <c r="F297" i="104"/>
  <c r="E297" i="104"/>
  <c r="D297" i="104"/>
  <c r="G296" i="104"/>
  <c r="F296" i="104"/>
  <c r="E296" i="104"/>
  <c r="D296" i="104"/>
  <c r="G295" i="104"/>
  <c r="F295" i="104"/>
  <c r="E295" i="104"/>
  <c r="D295" i="104"/>
  <c r="G294" i="104"/>
  <c r="F294" i="104"/>
  <c r="E294" i="104"/>
  <c r="D294" i="104"/>
  <c r="G293" i="104"/>
  <c r="F293" i="104"/>
  <c r="E293" i="104"/>
  <c r="D293" i="104"/>
  <c r="G292" i="104"/>
  <c r="F292" i="104"/>
  <c r="E292" i="104"/>
  <c r="D292" i="104"/>
  <c r="G291" i="104"/>
  <c r="F291" i="104"/>
  <c r="E291" i="104"/>
  <c r="D291" i="104"/>
  <c r="G290" i="104"/>
  <c r="F290" i="104"/>
  <c r="E290" i="104"/>
  <c r="D290" i="104"/>
  <c r="G289" i="104"/>
  <c r="F289" i="104"/>
  <c r="E289" i="104"/>
  <c r="D289" i="104"/>
  <c r="G288" i="104"/>
  <c r="F288" i="104"/>
  <c r="E288" i="104"/>
  <c r="D288" i="104"/>
  <c r="G287" i="104"/>
  <c r="F287" i="104"/>
  <c r="E287" i="104"/>
  <c r="D287" i="104"/>
  <c r="G286" i="104"/>
  <c r="F286" i="104"/>
  <c r="E286" i="104"/>
  <c r="D286" i="104"/>
  <c r="G285" i="104"/>
  <c r="F285" i="104"/>
  <c r="E285" i="104"/>
  <c r="D285" i="104"/>
  <c r="G284" i="104"/>
  <c r="F284" i="104"/>
  <c r="E284" i="104"/>
  <c r="D284" i="104"/>
  <c r="G283" i="104"/>
  <c r="F283" i="104"/>
  <c r="E283" i="104"/>
  <c r="D283" i="104"/>
  <c r="G282" i="104"/>
  <c r="F282" i="104"/>
  <c r="E282" i="104"/>
  <c r="D282" i="104"/>
  <c r="G281" i="104"/>
  <c r="F281" i="104"/>
  <c r="E281" i="104"/>
  <c r="D281" i="104"/>
  <c r="G280" i="104"/>
  <c r="F280" i="104"/>
  <c r="E280" i="104"/>
  <c r="D280" i="104"/>
  <c r="G279" i="104"/>
  <c r="F279" i="104"/>
  <c r="E279" i="104"/>
  <c r="D279" i="104"/>
  <c r="G278" i="104"/>
  <c r="F278" i="104"/>
  <c r="E278" i="104"/>
  <c r="D278" i="104"/>
  <c r="G277" i="104"/>
  <c r="F277" i="104"/>
  <c r="E277" i="104"/>
  <c r="D277" i="104"/>
  <c r="G276" i="104"/>
  <c r="F276" i="104"/>
  <c r="E276" i="104"/>
  <c r="D276" i="104"/>
  <c r="G275" i="104"/>
  <c r="F275" i="104"/>
  <c r="E275" i="104"/>
  <c r="D275" i="104"/>
  <c r="G274" i="104"/>
  <c r="F274" i="104"/>
  <c r="E274" i="104"/>
  <c r="D274" i="104"/>
  <c r="G273" i="104"/>
  <c r="F273" i="104"/>
  <c r="E273" i="104"/>
  <c r="D273" i="104"/>
  <c r="G272" i="104"/>
  <c r="F272" i="104"/>
  <c r="E272" i="104"/>
  <c r="D272" i="104"/>
  <c r="G271" i="104"/>
  <c r="F271" i="104"/>
  <c r="E271" i="104"/>
  <c r="D271" i="104"/>
  <c r="G270" i="104"/>
  <c r="F270" i="104"/>
  <c r="E270" i="104"/>
  <c r="D270" i="104"/>
  <c r="G269" i="104"/>
  <c r="F269" i="104"/>
  <c r="E269" i="104"/>
  <c r="D269" i="104"/>
  <c r="G268" i="104"/>
  <c r="F268" i="104"/>
  <c r="E268" i="104"/>
  <c r="D268" i="104"/>
  <c r="G267" i="104"/>
  <c r="F267" i="104"/>
  <c r="E267" i="104"/>
  <c r="D267" i="104"/>
  <c r="G266" i="104"/>
  <c r="F266" i="104"/>
  <c r="E266" i="104"/>
  <c r="D266" i="104"/>
  <c r="G265" i="104"/>
  <c r="F265" i="104"/>
  <c r="E265" i="104"/>
  <c r="D265" i="104"/>
  <c r="G264" i="104"/>
  <c r="F264" i="104"/>
  <c r="E264" i="104"/>
  <c r="D264" i="104"/>
  <c r="G263" i="104"/>
  <c r="F263" i="104"/>
  <c r="E263" i="104"/>
  <c r="D263" i="104"/>
  <c r="G262" i="104"/>
  <c r="F262" i="104"/>
  <c r="E262" i="104"/>
  <c r="D262" i="104"/>
  <c r="G261" i="104"/>
  <c r="F261" i="104"/>
  <c r="E261" i="104"/>
  <c r="D261" i="104"/>
  <c r="G260" i="104"/>
  <c r="F260" i="104"/>
  <c r="E260" i="104"/>
  <c r="D260" i="104"/>
  <c r="G259" i="104"/>
  <c r="F259" i="104"/>
  <c r="E259" i="104"/>
  <c r="D259" i="104"/>
  <c r="G258" i="104"/>
  <c r="F258" i="104"/>
  <c r="E258" i="104"/>
  <c r="D258" i="104"/>
  <c r="G257" i="104"/>
  <c r="F257" i="104"/>
  <c r="E257" i="104"/>
  <c r="D257" i="104"/>
  <c r="G256" i="104"/>
  <c r="F256" i="104"/>
  <c r="E256" i="104"/>
  <c r="D256" i="104"/>
  <c r="G255" i="104"/>
  <c r="F255" i="104"/>
  <c r="E255" i="104"/>
  <c r="D255" i="104"/>
  <c r="G254" i="104"/>
  <c r="F254" i="104"/>
  <c r="E254" i="104"/>
  <c r="D254" i="104"/>
  <c r="G253" i="104"/>
  <c r="F253" i="104"/>
  <c r="E253" i="104"/>
  <c r="D253" i="104"/>
  <c r="G252" i="104"/>
  <c r="F252" i="104"/>
  <c r="E252" i="104"/>
  <c r="D252" i="104"/>
  <c r="G251" i="104"/>
  <c r="F251" i="104"/>
  <c r="E251" i="104"/>
  <c r="D251" i="104"/>
  <c r="G250" i="104"/>
  <c r="F250" i="104"/>
  <c r="E250" i="104"/>
  <c r="D250" i="104"/>
  <c r="G249" i="104"/>
  <c r="F249" i="104"/>
  <c r="E249" i="104"/>
  <c r="D249" i="104"/>
  <c r="G248" i="104"/>
  <c r="F248" i="104"/>
  <c r="E248" i="104"/>
  <c r="D248" i="104"/>
  <c r="G247" i="104"/>
  <c r="F247" i="104"/>
  <c r="E247" i="104"/>
  <c r="D247" i="104"/>
  <c r="G246" i="104"/>
  <c r="F246" i="104"/>
  <c r="E246" i="104"/>
  <c r="D246" i="104"/>
  <c r="G245" i="104"/>
  <c r="F245" i="104"/>
  <c r="E245" i="104"/>
  <c r="D245" i="104"/>
  <c r="G244" i="104"/>
  <c r="F244" i="104"/>
  <c r="E244" i="104"/>
  <c r="D244" i="104"/>
  <c r="G243" i="104"/>
  <c r="F243" i="104"/>
  <c r="E243" i="104"/>
  <c r="D243" i="104"/>
  <c r="G242" i="104"/>
  <c r="F242" i="104"/>
  <c r="E242" i="104"/>
  <c r="D242" i="104"/>
  <c r="G241" i="104"/>
  <c r="F241" i="104"/>
  <c r="E241" i="104"/>
  <c r="D241" i="104"/>
  <c r="G240" i="104"/>
  <c r="F240" i="104"/>
  <c r="E240" i="104"/>
  <c r="D240" i="104"/>
  <c r="G239" i="104"/>
  <c r="F239" i="104"/>
  <c r="E239" i="104"/>
  <c r="D239" i="104"/>
  <c r="G238" i="104"/>
  <c r="F238" i="104"/>
  <c r="E238" i="104"/>
  <c r="D238" i="104"/>
  <c r="G237" i="104"/>
  <c r="F237" i="104"/>
  <c r="E237" i="104"/>
  <c r="D237" i="104"/>
  <c r="G236" i="104"/>
  <c r="F236" i="104"/>
  <c r="E236" i="104"/>
  <c r="D236" i="104"/>
  <c r="G235" i="104"/>
  <c r="F235" i="104"/>
  <c r="E235" i="104"/>
  <c r="D235" i="104"/>
  <c r="G234" i="104"/>
  <c r="F234" i="104"/>
  <c r="E234" i="104"/>
  <c r="D234" i="104"/>
  <c r="G233" i="104"/>
  <c r="F233" i="104"/>
  <c r="E233" i="104"/>
  <c r="D233" i="104"/>
  <c r="G232" i="104"/>
  <c r="F232" i="104"/>
  <c r="E232" i="104"/>
  <c r="D232" i="104"/>
  <c r="G231" i="104"/>
  <c r="F231" i="104"/>
  <c r="E231" i="104"/>
  <c r="D231" i="104"/>
  <c r="G230" i="104"/>
  <c r="F230" i="104"/>
  <c r="E230" i="104"/>
  <c r="D230" i="104"/>
  <c r="G229" i="104"/>
  <c r="F229" i="104"/>
  <c r="E229" i="104"/>
  <c r="D229" i="104"/>
  <c r="G228" i="104"/>
  <c r="F228" i="104"/>
  <c r="E228" i="104"/>
  <c r="D228" i="104"/>
  <c r="G227" i="104"/>
  <c r="F227" i="104"/>
  <c r="E227" i="104"/>
  <c r="D227" i="104"/>
  <c r="G226" i="104"/>
  <c r="F226" i="104"/>
  <c r="E226" i="104"/>
  <c r="D226" i="104"/>
  <c r="G225" i="104"/>
  <c r="F225" i="104"/>
  <c r="E225" i="104"/>
  <c r="D225" i="104"/>
  <c r="G224" i="104"/>
  <c r="F224" i="104"/>
  <c r="E224" i="104"/>
  <c r="D224" i="104"/>
  <c r="G223" i="104"/>
  <c r="F223" i="104"/>
  <c r="E223" i="104"/>
  <c r="D223" i="104"/>
  <c r="G222" i="104"/>
  <c r="F222" i="104"/>
  <c r="E222" i="104"/>
  <c r="D222" i="104"/>
  <c r="G221" i="104"/>
  <c r="F221" i="104"/>
  <c r="E221" i="104"/>
  <c r="D221" i="104"/>
  <c r="G220" i="104"/>
  <c r="F220" i="104"/>
  <c r="E220" i="104"/>
  <c r="D220" i="104"/>
  <c r="G219" i="104"/>
  <c r="F219" i="104"/>
  <c r="E219" i="104"/>
  <c r="D219" i="104"/>
  <c r="G218" i="104"/>
  <c r="F218" i="104"/>
  <c r="E218" i="104"/>
  <c r="D218" i="104"/>
  <c r="G217" i="104"/>
  <c r="F217" i="104"/>
  <c r="E217" i="104"/>
  <c r="D217" i="104"/>
  <c r="G216" i="104"/>
  <c r="F216" i="104"/>
  <c r="E216" i="104"/>
  <c r="D216" i="104"/>
  <c r="G215" i="104"/>
  <c r="F215" i="104"/>
  <c r="E215" i="104"/>
  <c r="D215" i="104"/>
  <c r="G214" i="104"/>
  <c r="F214" i="104"/>
  <c r="E214" i="104"/>
  <c r="D214" i="104"/>
  <c r="G213" i="104"/>
  <c r="F213" i="104"/>
  <c r="E213" i="104"/>
  <c r="D213" i="104"/>
  <c r="G212" i="104"/>
  <c r="F212" i="104"/>
  <c r="E212" i="104"/>
  <c r="D212" i="104"/>
  <c r="G211" i="104"/>
  <c r="F211" i="104"/>
  <c r="E211" i="104"/>
  <c r="D211" i="104"/>
  <c r="G210" i="104"/>
  <c r="F210" i="104"/>
  <c r="E210" i="104"/>
  <c r="D210" i="104"/>
  <c r="G209" i="104"/>
  <c r="F209" i="104"/>
  <c r="E209" i="104"/>
  <c r="D209" i="104"/>
  <c r="G208" i="104"/>
  <c r="F208" i="104"/>
  <c r="E208" i="104"/>
  <c r="D208" i="104"/>
  <c r="G207" i="104"/>
  <c r="F207" i="104"/>
  <c r="E207" i="104"/>
  <c r="D207" i="104"/>
  <c r="G206" i="104"/>
  <c r="F206" i="104"/>
  <c r="E206" i="104"/>
  <c r="D206" i="104"/>
  <c r="G205" i="104"/>
  <c r="F205" i="104"/>
  <c r="E205" i="104"/>
  <c r="D205" i="104"/>
  <c r="G204" i="104"/>
  <c r="F204" i="104"/>
  <c r="E204" i="104"/>
  <c r="D204" i="104"/>
  <c r="G203" i="104"/>
  <c r="F203" i="104"/>
  <c r="E203" i="104"/>
  <c r="D203" i="104"/>
  <c r="G202" i="104"/>
  <c r="F202" i="104"/>
  <c r="E202" i="104"/>
  <c r="D202" i="104"/>
  <c r="G201" i="104"/>
  <c r="F201" i="104"/>
  <c r="E201" i="104"/>
  <c r="D201" i="104"/>
  <c r="G200" i="104"/>
  <c r="F200" i="104"/>
  <c r="E200" i="104"/>
  <c r="D200" i="104"/>
  <c r="G199" i="104"/>
  <c r="F199" i="104"/>
  <c r="E199" i="104"/>
  <c r="D199" i="104"/>
  <c r="G198" i="104"/>
  <c r="F198" i="104"/>
  <c r="E198" i="104"/>
  <c r="D198" i="104"/>
  <c r="G197" i="104"/>
  <c r="F197" i="104"/>
  <c r="E197" i="104"/>
  <c r="D197" i="104"/>
  <c r="G196" i="104"/>
  <c r="F196" i="104"/>
  <c r="E196" i="104"/>
  <c r="D196" i="104"/>
  <c r="G195" i="104"/>
  <c r="F195" i="104"/>
  <c r="E195" i="104"/>
  <c r="D195" i="104"/>
  <c r="G194" i="104"/>
  <c r="F194" i="104"/>
  <c r="E194" i="104"/>
  <c r="D194" i="104"/>
  <c r="G193" i="104"/>
  <c r="F193" i="104"/>
  <c r="E193" i="104"/>
  <c r="D193" i="104"/>
  <c r="G192" i="104"/>
  <c r="F192" i="104"/>
  <c r="E192" i="104"/>
  <c r="D192" i="104"/>
  <c r="G191" i="104"/>
  <c r="F191" i="104"/>
  <c r="E191" i="104"/>
  <c r="D191" i="104"/>
  <c r="G190" i="104"/>
  <c r="F190" i="104"/>
  <c r="E190" i="104"/>
  <c r="D190" i="104"/>
  <c r="G189" i="104"/>
  <c r="F189" i="104"/>
  <c r="E189" i="104"/>
  <c r="D189" i="104"/>
  <c r="G188" i="104"/>
  <c r="F188" i="104"/>
  <c r="E188" i="104"/>
  <c r="D188" i="104"/>
  <c r="G187" i="104"/>
  <c r="F187" i="104"/>
  <c r="E187" i="104"/>
  <c r="D187" i="104"/>
  <c r="G186" i="104"/>
  <c r="F186" i="104"/>
  <c r="E186" i="104"/>
  <c r="D186" i="104"/>
  <c r="G185" i="104"/>
  <c r="F185" i="104"/>
  <c r="E185" i="104"/>
  <c r="D185" i="104"/>
  <c r="G184" i="104"/>
  <c r="F184" i="104"/>
  <c r="E184" i="104"/>
  <c r="D184" i="104"/>
  <c r="G183" i="104"/>
  <c r="F183" i="104"/>
  <c r="E183" i="104"/>
  <c r="D183" i="104"/>
  <c r="G182" i="104"/>
  <c r="F182" i="104"/>
  <c r="E182" i="104"/>
  <c r="D182" i="104"/>
  <c r="G181" i="104"/>
  <c r="F181" i="104"/>
  <c r="E181" i="104"/>
  <c r="D181" i="104"/>
  <c r="G180" i="104"/>
  <c r="F180" i="104"/>
  <c r="E180" i="104"/>
  <c r="D180" i="104"/>
  <c r="G179" i="104"/>
  <c r="F179" i="104"/>
  <c r="E179" i="104"/>
  <c r="D179" i="104"/>
  <c r="G178" i="104"/>
  <c r="F178" i="104"/>
  <c r="E178" i="104"/>
  <c r="D178" i="104"/>
  <c r="G177" i="104"/>
  <c r="F177" i="104"/>
  <c r="E177" i="104"/>
  <c r="D177" i="104"/>
  <c r="G176" i="104"/>
  <c r="F176" i="104"/>
  <c r="E176" i="104"/>
  <c r="D176" i="104"/>
  <c r="G175" i="104"/>
  <c r="F175" i="104"/>
  <c r="E175" i="104"/>
  <c r="D175" i="104"/>
  <c r="G174" i="104"/>
  <c r="F174" i="104"/>
  <c r="E174" i="104"/>
  <c r="D174" i="104"/>
  <c r="G173" i="104"/>
  <c r="F173" i="104"/>
  <c r="E173" i="104"/>
  <c r="D173" i="104"/>
  <c r="G172" i="104"/>
  <c r="F172" i="104"/>
  <c r="E172" i="104"/>
  <c r="D172" i="104"/>
  <c r="G171" i="104"/>
  <c r="F171" i="104"/>
  <c r="E171" i="104"/>
  <c r="D171" i="104"/>
  <c r="G170" i="104"/>
  <c r="F170" i="104"/>
  <c r="E170" i="104"/>
  <c r="D170" i="104"/>
  <c r="G169" i="104"/>
  <c r="F169" i="104"/>
  <c r="E169" i="104"/>
  <c r="D169" i="104"/>
  <c r="G168" i="104"/>
  <c r="F168" i="104"/>
  <c r="E168" i="104"/>
  <c r="D168" i="104"/>
  <c r="G167" i="104"/>
  <c r="F167" i="104"/>
  <c r="E167" i="104"/>
  <c r="D167" i="104"/>
  <c r="G166" i="104"/>
  <c r="F166" i="104"/>
  <c r="E166" i="104"/>
  <c r="D166" i="104"/>
  <c r="G165" i="104"/>
  <c r="F165" i="104"/>
  <c r="E165" i="104"/>
  <c r="D165" i="104"/>
  <c r="G164" i="104"/>
  <c r="F164" i="104"/>
  <c r="E164" i="104"/>
  <c r="D164" i="104"/>
  <c r="G163" i="104"/>
  <c r="F163" i="104"/>
  <c r="E163" i="104"/>
  <c r="D163" i="104"/>
  <c r="G162" i="104"/>
  <c r="F162" i="104"/>
  <c r="E162" i="104"/>
  <c r="D162" i="104"/>
  <c r="G161" i="104"/>
  <c r="F161" i="104"/>
  <c r="E161" i="104"/>
  <c r="D161" i="104"/>
  <c r="G160" i="104"/>
  <c r="F160" i="104"/>
  <c r="E160" i="104"/>
  <c r="D160" i="104"/>
  <c r="G159" i="104"/>
  <c r="F159" i="104"/>
  <c r="E159" i="104"/>
  <c r="D159" i="104"/>
  <c r="G158" i="104"/>
  <c r="F158" i="104"/>
  <c r="E158" i="104"/>
  <c r="D158" i="104"/>
  <c r="G157" i="104"/>
  <c r="F157" i="104"/>
  <c r="E157" i="104"/>
  <c r="D157" i="104"/>
  <c r="G156" i="104"/>
  <c r="F156" i="104"/>
  <c r="E156" i="104"/>
  <c r="D156" i="104"/>
  <c r="G155" i="104"/>
  <c r="F155" i="104"/>
  <c r="E155" i="104"/>
  <c r="D155" i="104"/>
  <c r="G154" i="104"/>
  <c r="F154" i="104"/>
  <c r="E154" i="104"/>
  <c r="D154" i="104"/>
  <c r="G153" i="104"/>
  <c r="F153" i="104"/>
  <c r="E153" i="104"/>
  <c r="D153" i="104"/>
  <c r="G152" i="104"/>
  <c r="F152" i="104"/>
  <c r="E152" i="104"/>
  <c r="D152" i="104"/>
  <c r="G151" i="104"/>
  <c r="F151" i="104"/>
  <c r="E151" i="104"/>
  <c r="D151" i="104"/>
  <c r="G150" i="104"/>
  <c r="F150" i="104"/>
  <c r="E150" i="104"/>
  <c r="D150" i="104"/>
  <c r="G149" i="104"/>
  <c r="F149" i="104"/>
  <c r="E149" i="104"/>
  <c r="D149" i="104"/>
  <c r="G148" i="104"/>
  <c r="F148" i="104"/>
  <c r="E148" i="104"/>
  <c r="D148" i="104"/>
  <c r="G147" i="104"/>
  <c r="F147" i="104"/>
  <c r="E147" i="104"/>
  <c r="D147" i="104"/>
  <c r="G146" i="104"/>
  <c r="F146" i="104"/>
  <c r="E146" i="104"/>
  <c r="D146" i="104"/>
  <c r="G145" i="104"/>
  <c r="F145" i="104"/>
  <c r="E145" i="104"/>
  <c r="D145" i="104"/>
  <c r="G144" i="104"/>
  <c r="F144" i="104"/>
  <c r="E144" i="104"/>
  <c r="D144" i="104"/>
  <c r="G143" i="104"/>
  <c r="F143" i="104"/>
  <c r="E143" i="104"/>
  <c r="D143" i="104"/>
  <c r="G142" i="104"/>
  <c r="F142" i="104"/>
  <c r="E142" i="104"/>
  <c r="D142" i="104"/>
  <c r="G141" i="104"/>
  <c r="F141" i="104"/>
  <c r="E141" i="104"/>
  <c r="D141" i="104"/>
  <c r="G140" i="104"/>
  <c r="F140" i="104"/>
  <c r="E140" i="104"/>
  <c r="D140" i="104"/>
  <c r="G139" i="104"/>
  <c r="F139" i="104"/>
  <c r="E139" i="104"/>
  <c r="D139" i="104"/>
  <c r="G138" i="104"/>
  <c r="F138" i="104"/>
  <c r="E138" i="104"/>
  <c r="D138" i="104"/>
  <c r="G137" i="104"/>
  <c r="F137" i="104"/>
  <c r="E137" i="104"/>
  <c r="D137" i="104"/>
  <c r="G136" i="104"/>
  <c r="F136" i="104"/>
  <c r="E136" i="104"/>
  <c r="D136" i="104"/>
  <c r="G135" i="104"/>
  <c r="F135" i="104"/>
  <c r="E135" i="104"/>
  <c r="D135" i="104"/>
  <c r="G134" i="104"/>
  <c r="F134" i="104"/>
  <c r="E134" i="104"/>
  <c r="D134" i="104"/>
  <c r="G133" i="104"/>
  <c r="F133" i="104"/>
  <c r="E133" i="104"/>
  <c r="D133" i="104"/>
  <c r="G132" i="104"/>
  <c r="F132" i="104"/>
  <c r="E132" i="104"/>
  <c r="D132" i="104"/>
  <c r="G131" i="104"/>
  <c r="F131" i="104"/>
  <c r="E131" i="104"/>
  <c r="D131" i="104"/>
  <c r="G130" i="104"/>
  <c r="F130" i="104"/>
  <c r="E130" i="104"/>
  <c r="D130" i="104"/>
  <c r="G129" i="104"/>
  <c r="F129" i="104"/>
  <c r="E129" i="104"/>
  <c r="D129" i="104"/>
  <c r="G128" i="104"/>
  <c r="F128" i="104"/>
  <c r="E128" i="104"/>
  <c r="D128" i="104"/>
  <c r="G127" i="104"/>
  <c r="F127" i="104"/>
  <c r="E127" i="104"/>
  <c r="D127" i="104"/>
  <c r="G126" i="104"/>
  <c r="F126" i="104"/>
  <c r="E126" i="104"/>
  <c r="D126" i="104"/>
  <c r="G125" i="104"/>
  <c r="F125" i="104"/>
  <c r="E125" i="104"/>
  <c r="D125" i="104"/>
  <c r="G124" i="104"/>
  <c r="F124" i="104"/>
  <c r="E124" i="104"/>
  <c r="D124" i="104"/>
  <c r="G123" i="104"/>
  <c r="F123" i="104"/>
  <c r="E123" i="104"/>
  <c r="D123" i="104"/>
  <c r="G122" i="104"/>
  <c r="F122" i="104"/>
  <c r="E122" i="104"/>
  <c r="D122" i="104"/>
  <c r="G121" i="104"/>
  <c r="F121" i="104"/>
  <c r="E121" i="104"/>
  <c r="D121" i="104"/>
  <c r="G120" i="104"/>
  <c r="F120" i="104"/>
  <c r="E120" i="104"/>
  <c r="D120" i="104"/>
  <c r="G119" i="104"/>
  <c r="F119" i="104"/>
  <c r="E119" i="104"/>
  <c r="D119" i="104"/>
  <c r="G118" i="104"/>
  <c r="F118" i="104"/>
  <c r="E118" i="104"/>
  <c r="D118" i="104"/>
  <c r="G117" i="104"/>
  <c r="F117" i="104"/>
  <c r="E117" i="104"/>
  <c r="D117" i="104"/>
  <c r="G116" i="104"/>
  <c r="F116" i="104"/>
  <c r="E116" i="104"/>
  <c r="D116" i="104"/>
  <c r="G115" i="104"/>
  <c r="F115" i="104"/>
  <c r="E115" i="104"/>
  <c r="D115" i="104"/>
  <c r="G114" i="104"/>
  <c r="F114" i="104"/>
  <c r="E114" i="104"/>
  <c r="D114" i="104"/>
  <c r="G113" i="104"/>
  <c r="F113" i="104"/>
  <c r="E113" i="104"/>
  <c r="D113" i="104"/>
  <c r="G112" i="104"/>
  <c r="F112" i="104"/>
  <c r="E112" i="104"/>
  <c r="D112" i="104"/>
  <c r="G111" i="104"/>
  <c r="F111" i="104"/>
  <c r="E111" i="104"/>
  <c r="D111" i="104"/>
  <c r="G110" i="104"/>
  <c r="F110" i="104"/>
  <c r="E110" i="104"/>
  <c r="D110" i="104"/>
  <c r="G109" i="104"/>
  <c r="F109" i="104"/>
  <c r="E109" i="104"/>
  <c r="D109" i="104"/>
  <c r="G108" i="104"/>
  <c r="F108" i="104"/>
  <c r="E108" i="104"/>
  <c r="D108" i="104"/>
  <c r="G107" i="104"/>
  <c r="F107" i="104"/>
  <c r="E107" i="104"/>
  <c r="D107" i="104"/>
  <c r="G106" i="104"/>
  <c r="F106" i="104"/>
  <c r="E106" i="104"/>
  <c r="D106" i="104"/>
  <c r="G105" i="104"/>
  <c r="F105" i="104"/>
  <c r="E105" i="104"/>
  <c r="D105" i="104"/>
  <c r="G104" i="104"/>
  <c r="F104" i="104"/>
  <c r="E104" i="104"/>
  <c r="D104" i="104"/>
  <c r="G103" i="104"/>
  <c r="F103" i="104"/>
  <c r="E103" i="104"/>
  <c r="D103" i="104"/>
  <c r="G102" i="104"/>
  <c r="F102" i="104"/>
  <c r="E102" i="104"/>
  <c r="D102" i="104"/>
  <c r="G101" i="104"/>
  <c r="F101" i="104"/>
  <c r="E101" i="104"/>
  <c r="D101" i="104"/>
  <c r="G100" i="104"/>
  <c r="F100" i="104"/>
  <c r="E100" i="104"/>
  <c r="D100" i="104"/>
  <c r="G99" i="104"/>
  <c r="F99" i="104"/>
  <c r="E99" i="104"/>
  <c r="D99" i="104"/>
  <c r="G98" i="104"/>
  <c r="F98" i="104"/>
  <c r="E98" i="104"/>
  <c r="D98" i="104"/>
  <c r="G97" i="104"/>
  <c r="F97" i="104"/>
  <c r="E97" i="104"/>
  <c r="D97" i="104"/>
  <c r="G96" i="104"/>
  <c r="F96" i="104"/>
  <c r="E96" i="104"/>
  <c r="D96" i="104"/>
  <c r="G95" i="104"/>
  <c r="F95" i="104"/>
  <c r="E95" i="104"/>
  <c r="D95" i="104"/>
  <c r="G94" i="104"/>
  <c r="F94" i="104"/>
  <c r="E94" i="104"/>
  <c r="D94" i="104"/>
  <c r="G93" i="104"/>
  <c r="F93" i="104"/>
  <c r="E93" i="104"/>
  <c r="D93" i="104"/>
  <c r="G92" i="104"/>
  <c r="F92" i="104"/>
  <c r="E92" i="104"/>
  <c r="D92" i="104"/>
  <c r="G91" i="104"/>
  <c r="F91" i="104"/>
  <c r="E91" i="104"/>
  <c r="D91" i="104"/>
  <c r="G90" i="104"/>
  <c r="F90" i="104"/>
  <c r="E90" i="104"/>
  <c r="D90" i="104"/>
  <c r="G89" i="104"/>
  <c r="F89" i="104"/>
  <c r="E89" i="104"/>
  <c r="D89" i="104"/>
  <c r="G88" i="104"/>
  <c r="F88" i="104"/>
  <c r="E88" i="104"/>
  <c r="D88" i="104"/>
  <c r="G87" i="104"/>
  <c r="F87" i="104"/>
  <c r="E87" i="104"/>
  <c r="D87" i="104"/>
  <c r="G86" i="104"/>
  <c r="F86" i="104"/>
  <c r="E86" i="104"/>
  <c r="D86" i="104"/>
  <c r="G85" i="104"/>
  <c r="F85" i="104"/>
  <c r="E85" i="104"/>
  <c r="D85" i="104"/>
  <c r="G84" i="104"/>
  <c r="F84" i="104"/>
  <c r="E84" i="104"/>
  <c r="D84" i="104"/>
  <c r="G83" i="104"/>
  <c r="F83" i="104"/>
  <c r="E83" i="104"/>
  <c r="D83" i="104"/>
  <c r="G82" i="104"/>
  <c r="F82" i="104"/>
  <c r="E82" i="104"/>
  <c r="D82" i="104"/>
  <c r="G81" i="104"/>
  <c r="F81" i="104"/>
  <c r="E81" i="104"/>
  <c r="D81" i="104"/>
  <c r="G80" i="104"/>
  <c r="F80" i="104"/>
  <c r="E80" i="104"/>
  <c r="D80" i="104"/>
  <c r="G79" i="104"/>
  <c r="F79" i="104"/>
  <c r="E79" i="104"/>
  <c r="D79" i="104"/>
  <c r="G78" i="104"/>
  <c r="F78" i="104"/>
  <c r="E78" i="104"/>
  <c r="D78" i="104"/>
  <c r="G77" i="104"/>
  <c r="F77" i="104"/>
  <c r="E77" i="104"/>
  <c r="D77" i="104"/>
  <c r="G76" i="104"/>
  <c r="F76" i="104"/>
  <c r="E76" i="104"/>
  <c r="D76" i="104"/>
  <c r="G75" i="104"/>
  <c r="F75" i="104"/>
  <c r="E75" i="104"/>
  <c r="D75" i="104"/>
  <c r="G74" i="104"/>
  <c r="F74" i="104"/>
  <c r="E74" i="104"/>
  <c r="D74" i="104"/>
  <c r="G73" i="104"/>
  <c r="F73" i="104"/>
  <c r="E73" i="104"/>
  <c r="D73" i="104"/>
  <c r="G72" i="104"/>
  <c r="F72" i="104"/>
  <c r="E72" i="104"/>
  <c r="D72" i="104"/>
  <c r="G71" i="104"/>
  <c r="F71" i="104"/>
  <c r="E71" i="104"/>
  <c r="D71" i="104"/>
  <c r="G70" i="104"/>
  <c r="F70" i="104"/>
  <c r="E70" i="104"/>
  <c r="D70" i="104"/>
  <c r="G69" i="104"/>
  <c r="F69" i="104"/>
  <c r="E69" i="104"/>
  <c r="D69" i="104"/>
  <c r="G68" i="104"/>
  <c r="F68" i="104"/>
  <c r="E68" i="104"/>
  <c r="D68" i="104"/>
  <c r="G67" i="104"/>
  <c r="F67" i="104"/>
  <c r="E67" i="104"/>
  <c r="D67" i="104"/>
  <c r="G66" i="104"/>
  <c r="F66" i="104"/>
  <c r="E66" i="104"/>
  <c r="D66" i="104"/>
  <c r="G65" i="104"/>
  <c r="F65" i="104"/>
  <c r="E65" i="104"/>
  <c r="D65" i="104"/>
  <c r="G64" i="104"/>
  <c r="F64" i="104"/>
  <c r="E64" i="104"/>
  <c r="D64" i="104"/>
  <c r="G63" i="104"/>
  <c r="F63" i="104"/>
  <c r="E63" i="104"/>
  <c r="D63" i="104"/>
  <c r="G62" i="104"/>
  <c r="F62" i="104"/>
  <c r="E62" i="104"/>
  <c r="D62" i="104"/>
  <c r="G61" i="104"/>
  <c r="F61" i="104"/>
  <c r="E61" i="104"/>
  <c r="D61" i="104"/>
  <c r="G60" i="104"/>
  <c r="F60" i="104"/>
  <c r="E60" i="104"/>
  <c r="D60" i="104"/>
  <c r="G59" i="104"/>
  <c r="F59" i="104"/>
  <c r="E59" i="104"/>
  <c r="D59" i="104"/>
  <c r="G58" i="104"/>
  <c r="F58" i="104"/>
  <c r="E58" i="104"/>
  <c r="D58" i="104"/>
  <c r="G57" i="104"/>
  <c r="F57" i="104"/>
  <c r="E57" i="104"/>
  <c r="D57" i="104"/>
  <c r="G56" i="104"/>
  <c r="F56" i="104"/>
  <c r="E56" i="104"/>
  <c r="D56" i="104"/>
  <c r="G55" i="104"/>
  <c r="F55" i="104"/>
  <c r="E55" i="104"/>
  <c r="D55" i="104"/>
  <c r="G54" i="104"/>
  <c r="F54" i="104"/>
  <c r="E54" i="104"/>
  <c r="D54" i="104"/>
  <c r="G53" i="104"/>
  <c r="F53" i="104"/>
  <c r="E53" i="104"/>
  <c r="D53" i="104"/>
  <c r="G52" i="104"/>
  <c r="F52" i="104"/>
  <c r="E52" i="104"/>
  <c r="D52" i="104"/>
  <c r="G51" i="104"/>
  <c r="F51" i="104"/>
  <c r="E51" i="104"/>
  <c r="D51" i="104"/>
  <c r="G50" i="104"/>
  <c r="F50" i="104"/>
  <c r="E50" i="104"/>
  <c r="D50" i="104"/>
  <c r="G49" i="104"/>
  <c r="F49" i="104"/>
  <c r="E49" i="104"/>
  <c r="D49" i="104"/>
  <c r="G48" i="104"/>
  <c r="F48" i="104"/>
  <c r="E48" i="104"/>
  <c r="D48" i="104"/>
  <c r="G47" i="104"/>
  <c r="F47" i="104"/>
  <c r="E47" i="104"/>
  <c r="D47" i="104"/>
  <c r="G46" i="104"/>
  <c r="F46" i="104"/>
  <c r="E46" i="104"/>
  <c r="D46" i="104"/>
  <c r="G45" i="104"/>
  <c r="F45" i="104"/>
  <c r="E45" i="104"/>
  <c r="D45" i="104"/>
  <c r="G44" i="104"/>
  <c r="F44" i="104"/>
  <c r="E44" i="104"/>
  <c r="D44" i="104"/>
  <c r="G43" i="104"/>
  <c r="F43" i="104"/>
  <c r="E43" i="104"/>
  <c r="D43" i="104"/>
  <c r="G42" i="104"/>
  <c r="F42" i="104"/>
  <c r="E42" i="104"/>
  <c r="D42" i="104"/>
  <c r="G41" i="104"/>
  <c r="F41" i="104"/>
  <c r="E41" i="104"/>
  <c r="D41" i="104"/>
  <c r="G40" i="104"/>
  <c r="F40" i="104"/>
  <c r="E40" i="104"/>
  <c r="D40" i="104"/>
  <c r="G39" i="104"/>
  <c r="F39" i="104"/>
  <c r="E39" i="104"/>
  <c r="D39" i="104"/>
  <c r="G38" i="104"/>
  <c r="F38" i="104"/>
  <c r="E38" i="104"/>
  <c r="D38" i="104"/>
  <c r="G37" i="104"/>
  <c r="F37" i="104"/>
  <c r="E37" i="104"/>
  <c r="D37" i="104"/>
  <c r="G36" i="104"/>
  <c r="F36" i="104"/>
  <c r="E36" i="104"/>
  <c r="D36" i="104"/>
  <c r="G35" i="104"/>
  <c r="F35" i="104"/>
  <c r="E35" i="104"/>
  <c r="D35" i="104"/>
  <c r="G34" i="104"/>
  <c r="F34" i="104"/>
  <c r="E34" i="104"/>
  <c r="D34" i="104"/>
  <c r="G33" i="104"/>
  <c r="F33" i="104"/>
  <c r="E33" i="104"/>
  <c r="D33" i="104"/>
  <c r="G32" i="104"/>
  <c r="F32" i="104"/>
  <c r="E32" i="104"/>
  <c r="D32" i="104"/>
  <c r="G31" i="104"/>
  <c r="F31" i="104"/>
  <c r="E31" i="104"/>
  <c r="D31" i="104"/>
  <c r="G30" i="104"/>
  <c r="F30" i="104"/>
  <c r="E30" i="104"/>
  <c r="D30" i="104"/>
  <c r="G29" i="104"/>
  <c r="F29" i="104"/>
  <c r="E29" i="104"/>
  <c r="D29" i="104"/>
  <c r="G28" i="104"/>
  <c r="F28" i="104"/>
  <c r="E28" i="104"/>
  <c r="D28" i="104"/>
  <c r="G27" i="104"/>
  <c r="F27" i="104"/>
  <c r="E27" i="104"/>
  <c r="D27" i="104"/>
  <c r="G26" i="104"/>
  <c r="F26" i="104"/>
  <c r="E26" i="104"/>
  <c r="D26" i="104"/>
  <c r="G25" i="104"/>
  <c r="F25" i="104"/>
  <c r="E25" i="104"/>
  <c r="D25" i="104"/>
  <c r="G24" i="104"/>
  <c r="F24" i="104"/>
  <c r="E24" i="104"/>
  <c r="D24" i="104"/>
  <c r="G23" i="104"/>
  <c r="F23" i="104"/>
  <c r="E23" i="104"/>
  <c r="D23" i="104"/>
  <c r="G22" i="104"/>
  <c r="F22" i="104"/>
  <c r="E22" i="104"/>
  <c r="D22" i="104"/>
  <c r="G21" i="104"/>
  <c r="F21" i="104"/>
  <c r="E21" i="104"/>
  <c r="D21" i="104"/>
  <c r="G20" i="104"/>
  <c r="F20" i="104"/>
  <c r="E20" i="104"/>
  <c r="D20" i="104"/>
  <c r="G19" i="104"/>
  <c r="F19" i="104"/>
  <c r="E19" i="104"/>
  <c r="D19" i="104"/>
  <c r="G18" i="104"/>
  <c r="F18" i="104"/>
  <c r="E18" i="104"/>
  <c r="D18" i="104"/>
  <c r="G17" i="104"/>
  <c r="F17" i="104"/>
  <c r="E17" i="104"/>
  <c r="D17" i="104"/>
  <c r="G16" i="104"/>
  <c r="F16" i="104"/>
  <c r="E16" i="104"/>
  <c r="D16" i="104"/>
  <c r="G15" i="104"/>
  <c r="F15" i="104"/>
  <c r="E15" i="104"/>
  <c r="D15" i="104"/>
  <c r="G14" i="104"/>
  <c r="F14" i="104"/>
  <c r="E14" i="104"/>
  <c r="D14" i="104"/>
  <c r="G13" i="104"/>
  <c r="F13" i="104"/>
  <c r="E13" i="104"/>
  <c r="D13" i="104"/>
  <c r="G12" i="104"/>
  <c r="F12" i="104"/>
  <c r="E12" i="104"/>
  <c r="D12" i="104"/>
  <c r="G11" i="104"/>
  <c r="F11" i="104"/>
  <c r="E11" i="104"/>
  <c r="D11" i="104"/>
  <c r="G10" i="104"/>
  <c r="F10" i="104"/>
  <c r="E10" i="104"/>
  <c r="D10" i="104"/>
  <c r="G9" i="104"/>
  <c r="F9" i="104"/>
  <c r="E9" i="104"/>
  <c r="D9" i="104"/>
  <c r="G8" i="104"/>
  <c r="F8" i="104"/>
  <c r="E8" i="104"/>
  <c r="D8" i="104"/>
  <c r="G7" i="104"/>
  <c r="F7" i="104"/>
  <c r="E7" i="104"/>
  <c r="D7" i="104"/>
  <c r="G6" i="104"/>
  <c r="F6" i="104"/>
  <c r="E6" i="104"/>
  <c r="D6" i="104"/>
  <c r="G5" i="104"/>
  <c r="F5" i="104"/>
  <c r="E5" i="104"/>
  <c r="D5" i="104"/>
  <c r="G4" i="104"/>
  <c r="F4" i="104"/>
  <c r="E4" i="104"/>
  <c r="D4" i="104"/>
  <c r="G3" i="104"/>
  <c r="F3" i="104"/>
  <c r="E3" i="104"/>
  <c r="D3" i="104"/>
  <c r="G2" i="104"/>
  <c r="F2" i="104"/>
  <c r="E2" i="104"/>
  <c r="D2" i="104"/>
  <c r="H1225" i="103"/>
  <c r="G1225" i="103"/>
  <c r="F1225" i="103"/>
  <c r="E1225" i="103"/>
  <c r="D1225" i="103" s="1"/>
  <c r="H1224" i="103"/>
  <c r="G1224" i="103"/>
  <c r="F1224" i="103"/>
  <c r="E1224" i="103"/>
  <c r="D1224" i="103" s="1"/>
  <c r="H1223" i="103"/>
  <c r="G1223" i="103"/>
  <c r="F1223" i="103"/>
  <c r="E1223" i="103"/>
  <c r="D1223" i="103" s="1"/>
  <c r="H1222" i="103"/>
  <c r="G1222" i="103"/>
  <c r="F1222" i="103"/>
  <c r="E1222" i="103"/>
  <c r="D1222" i="103" s="1"/>
  <c r="H1221" i="103"/>
  <c r="G1221" i="103"/>
  <c r="F1221" i="103"/>
  <c r="E1221" i="103"/>
  <c r="D1221" i="103" s="1"/>
  <c r="H1220" i="103"/>
  <c r="G1220" i="103"/>
  <c r="F1220" i="103"/>
  <c r="E1220" i="103"/>
  <c r="D1220" i="103" s="1"/>
  <c r="H1219" i="103"/>
  <c r="G1219" i="103"/>
  <c r="F1219" i="103"/>
  <c r="E1219" i="103"/>
  <c r="D1219" i="103" s="1"/>
  <c r="H1218" i="103"/>
  <c r="G1218" i="103"/>
  <c r="F1218" i="103"/>
  <c r="E1218" i="103"/>
  <c r="D1218" i="103" s="1"/>
  <c r="H1217" i="103"/>
  <c r="G1217" i="103"/>
  <c r="F1217" i="103"/>
  <c r="E1217" i="103"/>
  <c r="D1217" i="103" s="1"/>
  <c r="H1216" i="103"/>
  <c r="G1216" i="103"/>
  <c r="F1216" i="103"/>
  <c r="E1216" i="103"/>
  <c r="D1216" i="103" s="1"/>
  <c r="H1215" i="103"/>
  <c r="G1215" i="103"/>
  <c r="F1215" i="103"/>
  <c r="E1215" i="103"/>
  <c r="D1215" i="103" s="1"/>
  <c r="H1214" i="103"/>
  <c r="G1214" i="103"/>
  <c r="F1214" i="103"/>
  <c r="E1214" i="103"/>
  <c r="D1214" i="103" s="1"/>
  <c r="H1213" i="103"/>
  <c r="G1213" i="103"/>
  <c r="F1213" i="103"/>
  <c r="E1213" i="103"/>
  <c r="D1213" i="103" s="1"/>
  <c r="H1212" i="103"/>
  <c r="G1212" i="103"/>
  <c r="F1212" i="103"/>
  <c r="E1212" i="103"/>
  <c r="D1212" i="103" s="1"/>
  <c r="H1211" i="103"/>
  <c r="G1211" i="103"/>
  <c r="F1211" i="103"/>
  <c r="E1211" i="103"/>
  <c r="D1211" i="103" s="1"/>
  <c r="H1209" i="103"/>
  <c r="G1209" i="103"/>
  <c r="F1209" i="103"/>
  <c r="E1209" i="103"/>
  <c r="D1209" i="103"/>
  <c r="H1208" i="103"/>
  <c r="G1208" i="103"/>
  <c r="F1208" i="103"/>
  <c r="E1208" i="103"/>
  <c r="D1208" i="103" s="1"/>
  <c r="H1207" i="103"/>
  <c r="G1207" i="103"/>
  <c r="F1207" i="103"/>
  <c r="E1207" i="103"/>
  <c r="D1207" i="103" s="1"/>
  <c r="H1206" i="103"/>
  <c r="G1206" i="103"/>
  <c r="F1206" i="103"/>
  <c r="E1206" i="103"/>
  <c r="D1206" i="103" s="1"/>
  <c r="H1205" i="103"/>
  <c r="G1205" i="103"/>
  <c r="F1205" i="103"/>
  <c r="E1205" i="103"/>
  <c r="D1205" i="103" s="1"/>
  <c r="H1204" i="103"/>
  <c r="G1204" i="103"/>
  <c r="F1204" i="103"/>
  <c r="E1204" i="103"/>
  <c r="D1204" i="103" s="1"/>
  <c r="H1203" i="103"/>
  <c r="G1203" i="103"/>
  <c r="F1203" i="103"/>
  <c r="E1203" i="103"/>
  <c r="D1203" i="103" s="1"/>
  <c r="H1202" i="103"/>
  <c r="G1202" i="103"/>
  <c r="F1202" i="103"/>
  <c r="E1202" i="103"/>
  <c r="D1202" i="103" s="1"/>
  <c r="H1201" i="103"/>
  <c r="G1201" i="103"/>
  <c r="F1201" i="103"/>
  <c r="E1201" i="103"/>
  <c r="D1201" i="103" s="1"/>
  <c r="H1200" i="103"/>
  <c r="G1200" i="103"/>
  <c r="F1200" i="103"/>
  <c r="E1200" i="103"/>
  <c r="D1200" i="103" s="1"/>
  <c r="H1199" i="103"/>
  <c r="G1199" i="103"/>
  <c r="F1199" i="103"/>
  <c r="E1199" i="103"/>
  <c r="D1199" i="103" s="1"/>
  <c r="H1198" i="103"/>
  <c r="G1198" i="103"/>
  <c r="F1198" i="103"/>
  <c r="E1198" i="103"/>
  <c r="D1198" i="103" s="1"/>
  <c r="H1197" i="103"/>
  <c r="G1197" i="103"/>
  <c r="F1197" i="103"/>
  <c r="E1197" i="103"/>
  <c r="D1197" i="103" s="1"/>
  <c r="H1196" i="103"/>
  <c r="G1196" i="103"/>
  <c r="F1196" i="103"/>
  <c r="E1196" i="103"/>
  <c r="D1196" i="103" s="1"/>
  <c r="H1195" i="103"/>
  <c r="G1195" i="103"/>
  <c r="F1195" i="103"/>
  <c r="E1195" i="103"/>
  <c r="D1195" i="103" s="1"/>
  <c r="H1194" i="103"/>
  <c r="G1194" i="103"/>
  <c r="F1194" i="103"/>
  <c r="E1194" i="103"/>
  <c r="D1194" i="103" s="1"/>
  <c r="H1193" i="103"/>
  <c r="G1193" i="103"/>
  <c r="F1193" i="103"/>
  <c r="E1193" i="103"/>
  <c r="D1193" i="103" s="1"/>
  <c r="H1192" i="103"/>
  <c r="G1192" i="103"/>
  <c r="F1192" i="103"/>
  <c r="E1192" i="103"/>
  <c r="D1192" i="103" s="1"/>
  <c r="H1190" i="103"/>
  <c r="G1190" i="103"/>
  <c r="F1190" i="103"/>
  <c r="E1190" i="103"/>
  <c r="D1190" i="103" s="1"/>
  <c r="H1189" i="103"/>
  <c r="G1189" i="103"/>
  <c r="F1189" i="103"/>
  <c r="E1189" i="103"/>
  <c r="D1189" i="103" s="1"/>
  <c r="H1187" i="103"/>
  <c r="G1187" i="103"/>
  <c r="F1187" i="103"/>
  <c r="E1187" i="103"/>
  <c r="D1187" i="103" s="1"/>
  <c r="H1186" i="103"/>
  <c r="G1186" i="103"/>
  <c r="F1186" i="103"/>
  <c r="E1186" i="103"/>
  <c r="D1186" i="103" s="1"/>
  <c r="H1185" i="103"/>
  <c r="G1185" i="103"/>
  <c r="F1185" i="103"/>
  <c r="E1185" i="103"/>
  <c r="D1185" i="103" s="1"/>
  <c r="H1184" i="103"/>
  <c r="G1184" i="103"/>
  <c r="F1184" i="103"/>
  <c r="E1184" i="103"/>
  <c r="D1184" i="103" s="1"/>
  <c r="H1183" i="103"/>
  <c r="G1183" i="103"/>
  <c r="F1183" i="103"/>
  <c r="E1183" i="103"/>
  <c r="D1183" i="103" s="1"/>
  <c r="H1182" i="103"/>
  <c r="G1182" i="103"/>
  <c r="F1182" i="103"/>
  <c r="E1182" i="103"/>
  <c r="D1182" i="103" s="1"/>
  <c r="H1181" i="103"/>
  <c r="G1181" i="103"/>
  <c r="F1181" i="103"/>
  <c r="E1181" i="103"/>
  <c r="D1181" i="103" s="1"/>
  <c r="H1180" i="103"/>
  <c r="G1180" i="103"/>
  <c r="F1180" i="103"/>
  <c r="E1180" i="103"/>
  <c r="D1180" i="103" s="1"/>
  <c r="H1179" i="103"/>
  <c r="G1179" i="103"/>
  <c r="F1179" i="103"/>
  <c r="E1179" i="103"/>
  <c r="D1179" i="103" s="1"/>
  <c r="H1178" i="103"/>
  <c r="G1178" i="103"/>
  <c r="F1178" i="103"/>
  <c r="E1178" i="103"/>
  <c r="D1178" i="103" s="1"/>
  <c r="H1177" i="103"/>
  <c r="G1177" i="103"/>
  <c r="F1177" i="103"/>
  <c r="E1177" i="103"/>
  <c r="D1177" i="103" s="1"/>
  <c r="H1176" i="103"/>
  <c r="G1176" i="103"/>
  <c r="F1176" i="103"/>
  <c r="E1176" i="103"/>
  <c r="D1176" i="103" s="1"/>
  <c r="H1175" i="103"/>
  <c r="G1175" i="103"/>
  <c r="F1175" i="103"/>
  <c r="E1175" i="103"/>
  <c r="D1175" i="103" s="1"/>
  <c r="H1174" i="103"/>
  <c r="G1174" i="103"/>
  <c r="F1174" i="103"/>
  <c r="E1174" i="103"/>
  <c r="D1174" i="103" s="1"/>
  <c r="H1173" i="103"/>
  <c r="G1173" i="103"/>
  <c r="F1173" i="103"/>
  <c r="E1173" i="103"/>
  <c r="D1173" i="103" s="1"/>
  <c r="H1172" i="103"/>
  <c r="G1172" i="103"/>
  <c r="F1172" i="103"/>
  <c r="E1172" i="103"/>
  <c r="D1172" i="103" s="1"/>
  <c r="H1170" i="103"/>
  <c r="G1170" i="103"/>
  <c r="F1170" i="103"/>
  <c r="E1170" i="103"/>
  <c r="D1170" i="103" s="1"/>
  <c r="H1169" i="103"/>
  <c r="G1169" i="103"/>
  <c r="F1169" i="103"/>
  <c r="E1169" i="103"/>
  <c r="D1169" i="103" s="1"/>
  <c r="H1168" i="103"/>
  <c r="G1168" i="103"/>
  <c r="F1168" i="103"/>
  <c r="E1168" i="103"/>
  <c r="D1168" i="103" s="1"/>
  <c r="H1167" i="103"/>
  <c r="G1167" i="103"/>
  <c r="F1167" i="103"/>
  <c r="E1167" i="103"/>
  <c r="D1167" i="103" s="1"/>
  <c r="H1166" i="103"/>
  <c r="G1166" i="103"/>
  <c r="F1166" i="103"/>
  <c r="E1166" i="103"/>
  <c r="D1166" i="103" s="1"/>
  <c r="H1165" i="103"/>
  <c r="G1165" i="103"/>
  <c r="F1165" i="103"/>
  <c r="E1165" i="103"/>
  <c r="D1165" i="103" s="1"/>
  <c r="H1164" i="103"/>
  <c r="G1164" i="103"/>
  <c r="F1164" i="103"/>
  <c r="E1164" i="103"/>
  <c r="D1164" i="103" s="1"/>
  <c r="H1163" i="103"/>
  <c r="G1163" i="103"/>
  <c r="F1163" i="103"/>
  <c r="E1163" i="103"/>
  <c r="D1163" i="103" s="1"/>
  <c r="H1162" i="103"/>
  <c r="G1162" i="103"/>
  <c r="F1162" i="103"/>
  <c r="E1162" i="103"/>
  <c r="D1162" i="103" s="1"/>
  <c r="H1161" i="103"/>
  <c r="G1161" i="103"/>
  <c r="F1161" i="103"/>
  <c r="E1161" i="103"/>
  <c r="D1161" i="103" s="1"/>
  <c r="H1160" i="103"/>
  <c r="G1160" i="103"/>
  <c r="F1160" i="103"/>
  <c r="E1160" i="103"/>
  <c r="D1160" i="103" s="1"/>
  <c r="H1159" i="103"/>
  <c r="G1159" i="103"/>
  <c r="F1159" i="103"/>
  <c r="E1159" i="103"/>
  <c r="D1159" i="103" s="1"/>
  <c r="H1158" i="103"/>
  <c r="G1158" i="103"/>
  <c r="F1158" i="103"/>
  <c r="E1158" i="103"/>
  <c r="D1158" i="103" s="1"/>
  <c r="H1157" i="103"/>
  <c r="G1157" i="103"/>
  <c r="F1157" i="103"/>
  <c r="E1157" i="103"/>
  <c r="D1157" i="103" s="1"/>
  <c r="H1156" i="103"/>
  <c r="G1156" i="103"/>
  <c r="F1156" i="103"/>
  <c r="E1156" i="103"/>
  <c r="D1156" i="103" s="1"/>
  <c r="H1153" i="103"/>
  <c r="G1153" i="103"/>
  <c r="F1153" i="103"/>
  <c r="E1153" i="103"/>
  <c r="D1153" i="103" s="1"/>
  <c r="H1152" i="103"/>
  <c r="G1152" i="103"/>
  <c r="F1152" i="103"/>
  <c r="E1152" i="103"/>
  <c r="D1152" i="103" s="1"/>
  <c r="H1151" i="103"/>
  <c r="G1151" i="103"/>
  <c r="F1151" i="103"/>
  <c r="E1151" i="103"/>
  <c r="D1151" i="103" s="1"/>
  <c r="H1150" i="103"/>
  <c r="G1150" i="103"/>
  <c r="F1150" i="103"/>
  <c r="E1150" i="103"/>
  <c r="D1150" i="103" s="1"/>
  <c r="H1149" i="103"/>
  <c r="G1149" i="103"/>
  <c r="F1149" i="103"/>
  <c r="E1149" i="103"/>
  <c r="D1149" i="103" s="1"/>
  <c r="H1148" i="103"/>
  <c r="G1148" i="103"/>
  <c r="F1148" i="103"/>
  <c r="E1148" i="103"/>
  <c r="D1148" i="103" s="1"/>
  <c r="H1147" i="103"/>
  <c r="G1147" i="103"/>
  <c r="F1147" i="103"/>
  <c r="E1147" i="103"/>
  <c r="D1147" i="103" s="1"/>
  <c r="H1146" i="103"/>
  <c r="G1146" i="103"/>
  <c r="F1146" i="103"/>
  <c r="E1146" i="103"/>
  <c r="D1146" i="103" s="1"/>
  <c r="H1145" i="103"/>
  <c r="G1145" i="103"/>
  <c r="F1145" i="103"/>
  <c r="E1145" i="103"/>
  <c r="D1145" i="103" s="1"/>
  <c r="H1144" i="103"/>
  <c r="G1144" i="103"/>
  <c r="F1144" i="103"/>
  <c r="E1144" i="103"/>
  <c r="D1144" i="103" s="1"/>
  <c r="H1143" i="103"/>
  <c r="G1143" i="103"/>
  <c r="F1143" i="103"/>
  <c r="E1143" i="103"/>
  <c r="D1143" i="103" s="1"/>
  <c r="H1142" i="103"/>
  <c r="G1142" i="103"/>
  <c r="F1142" i="103"/>
  <c r="E1142" i="103"/>
  <c r="D1142" i="103" s="1"/>
  <c r="H1141" i="103"/>
  <c r="G1141" i="103"/>
  <c r="F1141" i="103"/>
  <c r="E1141" i="103"/>
  <c r="D1141" i="103" s="1"/>
  <c r="H1140" i="103"/>
  <c r="G1140" i="103"/>
  <c r="F1140" i="103"/>
  <c r="E1140" i="103"/>
  <c r="D1140" i="103" s="1"/>
  <c r="H1139" i="103"/>
  <c r="G1139" i="103"/>
  <c r="F1139" i="103"/>
  <c r="E1139" i="103"/>
  <c r="D1139" i="103" s="1"/>
  <c r="H1138" i="103"/>
  <c r="G1138" i="103"/>
  <c r="F1138" i="103"/>
  <c r="E1138" i="103"/>
  <c r="D1138" i="103" s="1"/>
  <c r="H1137" i="103"/>
  <c r="G1137" i="103"/>
  <c r="F1137" i="103"/>
  <c r="E1137" i="103"/>
  <c r="D1137" i="103" s="1"/>
  <c r="H1136" i="103"/>
  <c r="G1136" i="103"/>
  <c r="F1136" i="103"/>
  <c r="E1136" i="103"/>
  <c r="D1136" i="103" s="1"/>
  <c r="H1135" i="103"/>
  <c r="G1135" i="103"/>
  <c r="F1135" i="103"/>
  <c r="E1135" i="103"/>
  <c r="D1135" i="103" s="1"/>
  <c r="H1134" i="103"/>
  <c r="G1134" i="103"/>
  <c r="F1134" i="103"/>
  <c r="E1134" i="103"/>
  <c r="D1134" i="103" s="1"/>
  <c r="H1133" i="103"/>
  <c r="G1133" i="103"/>
  <c r="F1133" i="103"/>
  <c r="E1133" i="103"/>
  <c r="D1133" i="103" s="1"/>
  <c r="H1132" i="103"/>
  <c r="G1132" i="103"/>
  <c r="F1132" i="103"/>
  <c r="E1132" i="103"/>
  <c r="D1132" i="103" s="1"/>
  <c r="H1131" i="103"/>
  <c r="G1131" i="103"/>
  <c r="F1131" i="103"/>
  <c r="E1131" i="103"/>
  <c r="D1131" i="103" s="1"/>
  <c r="H1130" i="103"/>
  <c r="G1130" i="103"/>
  <c r="F1130" i="103"/>
  <c r="E1130" i="103"/>
  <c r="D1130" i="103" s="1"/>
  <c r="H1129" i="103"/>
  <c r="G1129" i="103"/>
  <c r="F1129" i="103"/>
  <c r="E1129" i="103"/>
  <c r="D1129" i="103" s="1"/>
  <c r="H1128" i="103"/>
  <c r="G1128" i="103"/>
  <c r="F1128" i="103"/>
  <c r="E1128" i="103"/>
  <c r="D1128" i="103" s="1"/>
  <c r="H1127" i="103"/>
  <c r="G1127" i="103"/>
  <c r="F1127" i="103"/>
  <c r="E1127" i="103"/>
  <c r="D1127" i="103" s="1"/>
  <c r="H1126" i="103"/>
  <c r="G1126" i="103"/>
  <c r="F1126" i="103"/>
  <c r="E1126" i="103"/>
  <c r="D1126" i="103" s="1"/>
  <c r="H1125" i="103"/>
  <c r="G1125" i="103"/>
  <c r="F1125" i="103"/>
  <c r="E1125" i="103"/>
  <c r="D1125" i="103" s="1"/>
  <c r="H1124" i="103"/>
  <c r="G1124" i="103"/>
  <c r="F1124" i="103"/>
  <c r="E1124" i="103"/>
  <c r="D1124" i="103" s="1"/>
  <c r="H1123" i="103"/>
  <c r="G1123" i="103"/>
  <c r="F1123" i="103"/>
  <c r="E1123" i="103"/>
  <c r="D1123" i="103" s="1"/>
  <c r="H1122" i="103"/>
  <c r="G1122" i="103"/>
  <c r="F1122" i="103"/>
  <c r="E1122" i="103"/>
  <c r="D1122" i="103" s="1"/>
  <c r="H1121" i="103"/>
  <c r="G1121" i="103"/>
  <c r="F1121" i="103"/>
  <c r="E1121" i="103"/>
  <c r="D1121" i="103" s="1"/>
  <c r="H1120" i="103"/>
  <c r="G1120" i="103"/>
  <c r="F1120" i="103"/>
  <c r="E1120" i="103"/>
  <c r="D1120" i="103" s="1"/>
  <c r="H1119" i="103"/>
  <c r="G1119" i="103"/>
  <c r="F1119" i="103"/>
  <c r="E1119" i="103"/>
  <c r="D1119" i="103" s="1"/>
  <c r="H1117" i="103"/>
  <c r="G1117" i="103"/>
  <c r="F1117" i="103"/>
  <c r="E1117" i="103"/>
  <c r="D1117" i="103" s="1"/>
  <c r="H1116" i="103"/>
  <c r="G1116" i="103"/>
  <c r="F1116" i="103"/>
  <c r="E1116" i="103"/>
  <c r="D1116" i="103" s="1"/>
  <c r="H1115" i="103"/>
  <c r="G1115" i="103"/>
  <c r="F1115" i="103"/>
  <c r="E1115" i="103"/>
  <c r="D1115" i="103" s="1"/>
  <c r="H1114" i="103"/>
  <c r="G1114" i="103"/>
  <c r="F1114" i="103"/>
  <c r="E1114" i="103"/>
  <c r="D1114" i="103" s="1"/>
  <c r="H1113" i="103"/>
  <c r="G1113" i="103"/>
  <c r="F1113" i="103"/>
  <c r="E1113" i="103"/>
  <c r="D1113" i="103" s="1"/>
  <c r="H1112" i="103"/>
  <c r="G1112" i="103"/>
  <c r="F1112" i="103"/>
  <c r="E1112" i="103"/>
  <c r="D1112" i="103" s="1"/>
  <c r="H1111" i="103"/>
  <c r="G1111" i="103"/>
  <c r="F1111" i="103"/>
  <c r="E1111" i="103"/>
  <c r="D1111" i="103" s="1"/>
  <c r="H1109" i="103"/>
  <c r="G1109" i="103"/>
  <c r="F1109" i="103"/>
  <c r="E1109" i="103"/>
  <c r="D1109" i="103" s="1"/>
  <c r="H1108" i="103"/>
  <c r="G1108" i="103"/>
  <c r="F1108" i="103"/>
  <c r="E1108" i="103"/>
  <c r="D1108" i="103" s="1"/>
  <c r="H1107" i="103"/>
  <c r="G1107" i="103"/>
  <c r="F1107" i="103"/>
  <c r="E1107" i="103"/>
  <c r="D1107" i="103" s="1"/>
  <c r="H1106" i="103"/>
  <c r="G1106" i="103"/>
  <c r="F1106" i="103"/>
  <c r="E1106" i="103"/>
  <c r="D1106" i="103" s="1"/>
  <c r="H1105" i="103"/>
  <c r="G1105" i="103"/>
  <c r="F1105" i="103"/>
  <c r="E1105" i="103"/>
  <c r="D1105" i="103" s="1"/>
  <c r="H1104" i="103"/>
  <c r="G1104" i="103"/>
  <c r="F1104" i="103"/>
  <c r="E1104" i="103"/>
  <c r="D1104" i="103" s="1"/>
  <c r="H1103" i="103"/>
  <c r="G1103" i="103"/>
  <c r="F1103" i="103"/>
  <c r="E1103" i="103"/>
  <c r="D1103" i="103" s="1"/>
  <c r="H1102" i="103"/>
  <c r="G1102" i="103"/>
  <c r="F1102" i="103"/>
  <c r="E1102" i="103"/>
  <c r="D1102" i="103" s="1"/>
  <c r="H1101" i="103"/>
  <c r="G1101" i="103"/>
  <c r="F1101" i="103"/>
  <c r="E1101" i="103"/>
  <c r="D1101" i="103" s="1"/>
  <c r="H1100" i="103"/>
  <c r="G1100" i="103"/>
  <c r="F1100" i="103"/>
  <c r="E1100" i="103"/>
  <c r="D1100" i="103" s="1"/>
  <c r="H1099" i="103"/>
  <c r="G1099" i="103"/>
  <c r="F1099" i="103"/>
  <c r="E1099" i="103"/>
  <c r="D1099" i="103" s="1"/>
  <c r="H1098" i="103"/>
  <c r="G1098" i="103"/>
  <c r="F1098" i="103"/>
  <c r="E1098" i="103"/>
  <c r="D1098" i="103" s="1"/>
  <c r="H1097" i="103"/>
  <c r="G1097" i="103"/>
  <c r="F1097" i="103"/>
  <c r="E1097" i="103"/>
  <c r="D1097" i="103" s="1"/>
  <c r="H1096" i="103"/>
  <c r="G1096" i="103"/>
  <c r="F1096" i="103"/>
  <c r="E1096" i="103"/>
  <c r="D1096" i="103" s="1"/>
  <c r="H1095" i="103"/>
  <c r="G1095" i="103"/>
  <c r="F1095" i="103"/>
  <c r="E1095" i="103"/>
  <c r="D1095" i="103" s="1"/>
  <c r="H1094" i="103"/>
  <c r="G1094" i="103"/>
  <c r="F1094" i="103"/>
  <c r="E1094" i="103"/>
  <c r="D1094" i="103" s="1"/>
  <c r="H1093" i="103"/>
  <c r="G1093" i="103"/>
  <c r="F1093" i="103"/>
  <c r="E1093" i="103"/>
  <c r="D1093" i="103" s="1"/>
  <c r="H1092" i="103"/>
  <c r="G1092" i="103"/>
  <c r="F1092" i="103"/>
  <c r="E1092" i="103"/>
  <c r="D1092" i="103" s="1"/>
  <c r="H1091" i="103"/>
  <c r="G1091" i="103"/>
  <c r="F1091" i="103"/>
  <c r="E1091" i="103"/>
  <c r="D1091" i="103" s="1"/>
  <c r="H1090" i="103"/>
  <c r="G1090" i="103"/>
  <c r="F1090" i="103"/>
  <c r="E1090" i="103"/>
  <c r="D1090" i="103" s="1"/>
  <c r="H1089" i="103"/>
  <c r="G1089" i="103"/>
  <c r="F1089" i="103"/>
  <c r="E1089" i="103"/>
  <c r="D1089" i="103" s="1"/>
  <c r="H1088" i="103"/>
  <c r="G1088" i="103"/>
  <c r="F1088" i="103"/>
  <c r="E1088" i="103"/>
  <c r="D1088" i="103" s="1"/>
  <c r="H1087" i="103"/>
  <c r="G1087" i="103"/>
  <c r="F1087" i="103"/>
  <c r="E1087" i="103"/>
  <c r="D1087" i="103" s="1"/>
  <c r="H1086" i="103"/>
  <c r="G1086" i="103"/>
  <c r="F1086" i="103"/>
  <c r="E1086" i="103"/>
  <c r="D1086" i="103" s="1"/>
  <c r="H1085" i="103"/>
  <c r="G1085" i="103"/>
  <c r="F1085" i="103"/>
  <c r="E1085" i="103"/>
  <c r="D1085" i="103" s="1"/>
  <c r="H1084" i="103"/>
  <c r="G1084" i="103"/>
  <c r="F1084" i="103"/>
  <c r="E1084" i="103"/>
  <c r="D1084" i="103" s="1"/>
  <c r="H1083" i="103"/>
  <c r="G1083" i="103"/>
  <c r="F1083" i="103"/>
  <c r="E1083" i="103"/>
  <c r="D1083" i="103" s="1"/>
  <c r="H1082" i="103"/>
  <c r="G1082" i="103"/>
  <c r="F1082" i="103"/>
  <c r="E1082" i="103"/>
  <c r="D1082" i="103" s="1"/>
  <c r="H1081" i="103"/>
  <c r="G1081" i="103"/>
  <c r="F1081" i="103"/>
  <c r="E1081" i="103"/>
  <c r="D1081" i="103" s="1"/>
  <c r="H1080" i="103"/>
  <c r="G1080" i="103"/>
  <c r="F1080" i="103"/>
  <c r="E1080" i="103"/>
  <c r="D1080" i="103" s="1"/>
  <c r="H1079" i="103"/>
  <c r="G1079" i="103"/>
  <c r="F1079" i="103"/>
  <c r="E1079" i="103"/>
  <c r="D1079" i="103" s="1"/>
  <c r="H1078" i="103"/>
  <c r="G1078" i="103"/>
  <c r="F1078" i="103"/>
  <c r="E1078" i="103"/>
  <c r="D1078" i="103" s="1"/>
  <c r="H1077" i="103"/>
  <c r="G1077" i="103"/>
  <c r="F1077" i="103"/>
  <c r="E1077" i="103"/>
  <c r="D1077" i="103" s="1"/>
  <c r="H1076" i="103"/>
  <c r="G1076" i="103"/>
  <c r="F1076" i="103"/>
  <c r="E1076" i="103"/>
  <c r="D1076" i="103" s="1"/>
  <c r="H1075" i="103"/>
  <c r="G1075" i="103"/>
  <c r="F1075" i="103"/>
  <c r="E1075" i="103"/>
  <c r="D1075" i="103" s="1"/>
  <c r="H1074" i="103"/>
  <c r="G1074" i="103"/>
  <c r="F1074" i="103"/>
  <c r="E1074" i="103"/>
  <c r="D1074" i="103" s="1"/>
  <c r="H1073" i="103"/>
  <c r="G1073" i="103"/>
  <c r="F1073" i="103"/>
  <c r="E1073" i="103"/>
  <c r="D1073" i="103" s="1"/>
  <c r="H1072" i="103"/>
  <c r="G1072" i="103"/>
  <c r="F1072" i="103"/>
  <c r="E1072" i="103"/>
  <c r="D1072" i="103" s="1"/>
  <c r="H1071" i="103"/>
  <c r="G1071" i="103"/>
  <c r="F1071" i="103"/>
  <c r="E1071" i="103"/>
  <c r="D1071" i="103" s="1"/>
  <c r="H1070" i="103"/>
  <c r="G1070" i="103"/>
  <c r="F1070" i="103"/>
  <c r="E1070" i="103"/>
  <c r="D1070" i="103" s="1"/>
  <c r="H1069" i="103"/>
  <c r="G1069" i="103"/>
  <c r="F1069" i="103"/>
  <c r="E1069" i="103"/>
  <c r="D1069" i="103" s="1"/>
  <c r="H1068" i="103"/>
  <c r="G1068" i="103"/>
  <c r="F1068" i="103"/>
  <c r="E1068" i="103"/>
  <c r="D1068" i="103" s="1"/>
  <c r="H1067" i="103"/>
  <c r="G1067" i="103"/>
  <c r="F1067" i="103"/>
  <c r="E1067" i="103"/>
  <c r="D1067" i="103" s="1"/>
  <c r="H1066" i="103"/>
  <c r="G1066" i="103"/>
  <c r="F1066" i="103"/>
  <c r="E1066" i="103"/>
  <c r="D1066" i="103" s="1"/>
  <c r="H1065" i="103"/>
  <c r="G1065" i="103"/>
  <c r="F1065" i="103"/>
  <c r="E1065" i="103"/>
  <c r="D1065" i="103" s="1"/>
  <c r="H1064" i="103"/>
  <c r="G1064" i="103"/>
  <c r="F1064" i="103"/>
  <c r="E1064" i="103"/>
  <c r="D1064" i="103" s="1"/>
  <c r="H1063" i="103"/>
  <c r="G1063" i="103"/>
  <c r="F1063" i="103"/>
  <c r="E1063" i="103"/>
  <c r="D1063" i="103" s="1"/>
  <c r="H1062" i="103"/>
  <c r="G1062" i="103"/>
  <c r="F1062" i="103"/>
  <c r="E1062" i="103"/>
  <c r="D1062" i="103" s="1"/>
  <c r="H1061" i="103"/>
  <c r="G1061" i="103"/>
  <c r="F1061" i="103"/>
  <c r="E1061" i="103"/>
  <c r="D1061" i="103" s="1"/>
  <c r="H1060" i="103"/>
  <c r="G1060" i="103"/>
  <c r="F1060" i="103"/>
  <c r="E1060" i="103"/>
  <c r="D1060" i="103" s="1"/>
  <c r="H1059" i="103"/>
  <c r="G1059" i="103"/>
  <c r="F1059" i="103"/>
  <c r="E1059" i="103"/>
  <c r="D1059" i="103" s="1"/>
  <c r="H1058" i="103"/>
  <c r="G1058" i="103"/>
  <c r="F1058" i="103"/>
  <c r="E1058" i="103"/>
  <c r="D1058" i="103" s="1"/>
  <c r="H1057" i="103"/>
  <c r="G1057" i="103"/>
  <c r="F1057" i="103"/>
  <c r="E1057" i="103"/>
  <c r="D1057" i="103" s="1"/>
  <c r="H1056" i="103"/>
  <c r="G1056" i="103"/>
  <c r="F1056" i="103"/>
  <c r="E1056" i="103"/>
  <c r="D1056" i="103" s="1"/>
  <c r="H1055" i="103"/>
  <c r="G1055" i="103"/>
  <c r="F1055" i="103"/>
  <c r="E1055" i="103"/>
  <c r="D1055" i="103" s="1"/>
  <c r="H1054" i="103"/>
  <c r="G1054" i="103"/>
  <c r="F1054" i="103"/>
  <c r="E1054" i="103"/>
  <c r="D1054" i="103" s="1"/>
  <c r="H1053" i="103"/>
  <c r="G1053" i="103"/>
  <c r="F1053" i="103"/>
  <c r="E1053" i="103"/>
  <c r="D1053" i="103" s="1"/>
  <c r="H1052" i="103"/>
  <c r="G1052" i="103"/>
  <c r="F1052" i="103"/>
  <c r="E1052" i="103"/>
  <c r="D1052" i="103" s="1"/>
  <c r="H1051" i="103"/>
  <c r="G1051" i="103"/>
  <c r="F1051" i="103"/>
  <c r="E1051" i="103"/>
  <c r="D1051" i="103" s="1"/>
  <c r="H1050" i="103"/>
  <c r="G1050" i="103"/>
  <c r="F1050" i="103"/>
  <c r="E1050" i="103"/>
  <c r="D1050" i="103" s="1"/>
  <c r="H1049" i="103"/>
  <c r="G1049" i="103"/>
  <c r="F1049" i="103"/>
  <c r="E1049" i="103"/>
  <c r="D1049" i="103" s="1"/>
  <c r="H1048" i="103"/>
  <c r="G1048" i="103"/>
  <c r="F1048" i="103"/>
  <c r="E1048" i="103"/>
  <c r="D1048" i="103" s="1"/>
  <c r="H1047" i="103"/>
  <c r="G1047" i="103"/>
  <c r="F1047" i="103"/>
  <c r="E1047" i="103"/>
  <c r="D1047" i="103" s="1"/>
  <c r="H1046" i="103"/>
  <c r="G1046" i="103"/>
  <c r="F1046" i="103"/>
  <c r="E1046" i="103"/>
  <c r="D1046" i="103" s="1"/>
  <c r="H1045" i="103"/>
  <c r="G1045" i="103"/>
  <c r="F1045" i="103"/>
  <c r="E1045" i="103"/>
  <c r="D1045" i="103" s="1"/>
  <c r="H1044" i="103"/>
  <c r="G1044" i="103"/>
  <c r="F1044" i="103"/>
  <c r="E1044" i="103"/>
  <c r="D1044" i="103" s="1"/>
  <c r="H1043" i="103"/>
  <c r="G1043" i="103"/>
  <c r="F1043" i="103"/>
  <c r="E1043" i="103"/>
  <c r="D1043" i="103" s="1"/>
  <c r="H1042" i="103"/>
  <c r="G1042" i="103"/>
  <c r="F1042" i="103"/>
  <c r="E1042" i="103"/>
  <c r="D1042" i="103" s="1"/>
  <c r="H1041" i="103"/>
  <c r="G1041" i="103"/>
  <c r="F1041" i="103"/>
  <c r="E1041" i="103"/>
  <c r="D1041" i="103" s="1"/>
  <c r="H1040" i="103"/>
  <c r="G1040" i="103"/>
  <c r="F1040" i="103"/>
  <c r="E1040" i="103"/>
  <c r="D1040" i="103" s="1"/>
  <c r="H1039" i="103"/>
  <c r="G1039" i="103"/>
  <c r="F1039" i="103"/>
  <c r="E1039" i="103"/>
  <c r="D1039" i="103" s="1"/>
  <c r="H1038" i="103"/>
  <c r="G1038" i="103"/>
  <c r="F1038" i="103"/>
  <c r="E1038" i="103"/>
  <c r="D1038" i="103" s="1"/>
  <c r="H1037" i="103"/>
  <c r="G1037" i="103"/>
  <c r="F1037" i="103"/>
  <c r="E1037" i="103"/>
  <c r="D1037" i="103" s="1"/>
  <c r="H1036" i="103"/>
  <c r="G1036" i="103"/>
  <c r="F1036" i="103"/>
  <c r="E1036" i="103"/>
  <c r="D1036" i="103" s="1"/>
  <c r="H1035" i="103"/>
  <c r="G1035" i="103"/>
  <c r="F1035" i="103"/>
  <c r="E1035" i="103"/>
  <c r="D1035" i="103" s="1"/>
  <c r="H1034" i="103"/>
  <c r="G1034" i="103"/>
  <c r="F1034" i="103"/>
  <c r="E1034" i="103"/>
  <c r="D1034" i="103" s="1"/>
  <c r="H1033" i="103"/>
  <c r="G1033" i="103"/>
  <c r="F1033" i="103"/>
  <c r="E1033" i="103"/>
  <c r="D1033" i="103" s="1"/>
  <c r="H1032" i="103"/>
  <c r="G1032" i="103"/>
  <c r="F1032" i="103"/>
  <c r="E1032" i="103"/>
  <c r="D1032" i="103" s="1"/>
  <c r="H1031" i="103"/>
  <c r="G1031" i="103"/>
  <c r="F1031" i="103"/>
  <c r="E1031" i="103"/>
  <c r="D1031" i="103" s="1"/>
  <c r="H1030" i="103"/>
  <c r="G1030" i="103"/>
  <c r="F1030" i="103"/>
  <c r="E1030" i="103"/>
  <c r="D1030" i="103" s="1"/>
  <c r="H1029" i="103"/>
  <c r="G1029" i="103"/>
  <c r="F1029" i="103"/>
  <c r="E1029" i="103"/>
  <c r="D1029" i="103" s="1"/>
  <c r="H1028" i="103"/>
  <c r="G1028" i="103"/>
  <c r="F1028" i="103"/>
  <c r="E1028" i="103"/>
  <c r="D1028" i="103" s="1"/>
  <c r="H1027" i="103"/>
  <c r="G1027" i="103"/>
  <c r="F1027" i="103"/>
  <c r="E1027" i="103"/>
  <c r="D1027" i="103" s="1"/>
  <c r="H1026" i="103"/>
  <c r="G1026" i="103"/>
  <c r="F1026" i="103"/>
  <c r="E1026" i="103"/>
  <c r="D1026" i="103" s="1"/>
  <c r="H1025" i="103"/>
  <c r="G1025" i="103"/>
  <c r="F1025" i="103"/>
  <c r="E1025" i="103"/>
  <c r="D1025" i="103" s="1"/>
  <c r="H1024" i="103"/>
  <c r="G1024" i="103"/>
  <c r="F1024" i="103"/>
  <c r="E1024" i="103"/>
  <c r="D1024" i="103" s="1"/>
  <c r="H1023" i="103"/>
  <c r="G1023" i="103"/>
  <c r="F1023" i="103"/>
  <c r="E1023" i="103"/>
  <c r="D1023" i="103" s="1"/>
  <c r="H1022" i="103"/>
  <c r="G1022" i="103"/>
  <c r="F1022" i="103"/>
  <c r="E1022" i="103"/>
  <c r="D1022" i="103" s="1"/>
  <c r="H1021" i="103"/>
  <c r="G1021" i="103"/>
  <c r="F1021" i="103"/>
  <c r="E1021" i="103"/>
  <c r="D1021" i="103" s="1"/>
  <c r="H1020" i="103"/>
  <c r="G1020" i="103"/>
  <c r="F1020" i="103"/>
  <c r="E1020" i="103"/>
  <c r="D1020" i="103" s="1"/>
  <c r="H1019" i="103"/>
  <c r="G1019" i="103"/>
  <c r="F1019" i="103"/>
  <c r="E1019" i="103"/>
  <c r="D1019" i="103" s="1"/>
  <c r="H1018" i="103"/>
  <c r="G1018" i="103"/>
  <c r="F1018" i="103"/>
  <c r="E1018" i="103"/>
  <c r="D1018" i="103" s="1"/>
  <c r="H1017" i="103"/>
  <c r="G1017" i="103"/>
  <c r="F1017" i="103"/>
  <c r="E1017" i="103"/>
  <c r="D1017" i="103" s="1"/>
  <c r="H1016" i="103"/>
  <c r="G1016" i="103"/>
  <c r="F1016" i="103"/>
  <c r="E1016" i="103"/>
  <c r="D1016" i="103" s="1"/>
  <c r="H1015" i="103"/>
  <c r="G1015" i="103"/>
  <c r="F1015" i="103"/>
  <c r="E1015" i="103"/>
  <c r="D1015" i="103" s="1"/>
  <c r="H1014" i="103"/>
  <c r="G1014" i="103"/>
  <c r="F1014" i="103"/>
  <c r="E1014" i="103"/>
  <c r="D1014" i="103" s="1"/>
  <c r="H1013" i="103"/>
  <c r="G1013" i="103"/>
  <c r="F1013" i="103"/>
  <c r="E1013" i="103"/>
  <c r="D1013" i="103" s="1"/>
  <c r="H1012" i="103"/>
  <c r="G1012" i="103"/>
  <c r="F1012" i="103"/>
  <c r="E1012" i="103"/>
  <c r="D1012" i="103" s="1"/>
  <c r="H1011" i="103"/>
  <c r="G1011" i="103"/>
  <c r="F1011" i="103"/>
  <c r="E1011" i="103"/>
  <c r="D1011" i="103" s="1"/>
  <c r="H1010" i="103"/>
  <c r="G1010" i="103"/>
  <c r="F1010" i="103"/>
  <c r="E1010" i="103"/>
  <c r="D1010" i="103" s="1"/>
  <c r="H1009" i="103"/>
  <c r="G1009" i="103"/>
  <c r="F1009" i="103"/>
  <c r="E1009" i="103"/>
  <c r="D1009" i="103" s="1"/>
  <c r="H1008" i="103"/>
  <c r="G1008" i="103"/>
  <c r="F1008" i="103"/>
  <c r="E1008" i="103"/>
  <c r="D1008" i="103" s="1"/>
  <c r="H1007" i="103"/>
  <c r="G1007" i="103"/>
  <c r="F1007" i="103"/>
  <c r="E1007" i="103"/>
  <c r="D1007" i="103" s="1"/>
  <c r="H1006" i="103"/>
  <c r="G1006" i="103"/>
  <c r="F1006" i="103"/>
  <c r="E1006" i="103"/>
  <c r="D1006" i="103" s="1"/>
  <c r="H1005" i="103"/>
  <c r="G1005" i="103"/>
  <c r="F1005" i="103"/>
  <c r="E1005" i="103"/>
  <c r="D1005" i="103" s="1"/>
  <c r="H1004" i="103"/>
  <c r="G1004" i="103"/>
  <c r="F1004" i="103"/>
  <c r="E1004" i="103"/>
  <c r="D1004" i="103" s="1"/>
  <c r="H1003" i="103"/>
  <c r="G1003" i="103"/>
  <c r="F1003" i="103"/>
  <c r="E1003" i="103"/>
  <c r="D1003" i="103" s="1"/>
  <c r="H1002" i="103"/>
  <c r="G1002" i="103"/>
  <c r="F1002" i="103"/>
  <c r="E1002" i="103"/>
  <c r="D1002" i="103" s="1"/>
  <c r="H1001" i="103"/>
  <c r="G1001" i="103"/>
  <c r="F1001" i="103"/>
  <c r="E1001" i="103"/>
  <c r="D1001" i="103" s="1"/>
  <c r="H1000" i="103"/>
  <c r="G1000" i="103"/>
  <c r="F1000" i="103"/>
  <c r="E1000" i="103"/>
  <c r="D1000" i="103" s="1"/>
  <c r="H999" i="103"/>
  <c r="G999" i="103"/>
  <c r="F999" i="103"/>
  <c r="E999" i="103"/>
  <c r="D999" i="103" s="1"/>
  <c r="H998" i="103"/>
  <c r="G998" i="103"/>
  <c r="F998" i="103"/>
  <c r="E998" i="103"/>
  <c r="D998" i="103" s="1"/>
  <c r="H997" i="103"/>
  <c r="G997" i="103"/>
  <c r="F997" i="103"/>
  <c r="E997" i="103"/>
  <c r="D997" i="103" s="1"/>
  <c r="H996" i="103"/>
  <c r="G996" i="103"/>
  <c r="F996" i="103"/>
  <c r="E996" i="103"/>
  <c r="D996" i="103" s="1"/>
  <c r="H995" i="103"/>
  <c r="G995" i="103"/>
  <c r="F995" i="103"/>
  <c r="E995" i="103"/>
  <c r="D995" i="103" s="1"/>
  <c r="H994" i="103"/>
  <c r="G994" i="103"/>
  <c r="F994" i="103"/>
  <c r="E994" i="103"/>
  <c r="D994" i="103" s="1"/>
  <c r="H993" i="103"/>
  <c r="G993" i="103"/>
  <c r="F993" i="103"/>
  <c r="E993" i="103"/>
  <c r="D993" i="103" s="1"/>
  <c r="H992" i="103"/>
  <c r="G992" i="103"/>
  <c r="F992" i="103"/>
  <c r="E992" i="103"/>
  <c r="D992" i="103" s="1"/>
  <c r="H991" i="103"/>
  <c r="G991" i="103"/>
  <c r="F991" i="103"/>
  <c r="E991" i="103"/>
  <c r="D991" i="103" s="1"/>
  <c r="H990" i="103"/>
  <c r="G990" i="103"/>
  <c r="F990" i="103"/>
  <c r="E990" i="103"/>
  <c r="D990" i="103" s="1"/>
  <c r="H989" i="103"/>
  <c r="G989" i="103"/>
  <c r="F989" i="103"/>
  <c r="E989" i="103"/>
  <c r="D989" i="103" s="1"/>
  <c r="H988" i="103"/>
  <c r="G988" i="103"/>
  <c r="F988" i="103"/>
  <c r="E988" i="103"/>
  <c r="D988" i="103" s="1"/>
  <c r="H987" i="103"/>
  <c r="G987" i="103"/>
  <c r="F987" i="103"/>
  <c r="E987" i="103"/>
  <c r="D987" i="103" s="1"/>
  <c r="H986" i="103"/>
  <c r="G986" i="103"/>
  <c r="F986" i="103"/>
  <c r="E986" i="103"/>
  <c r="D986" i="103" s="1"/>
  <c r="H985" i="103"/>
  <c r="G985" i="103"/>
  <c r="F985" i="103"/>
  <c r="E985" i="103"/>
  <c r="D985" i="103" s="1"/>
  <c r="H984" i="103"/>
  <c r="G984" i="103"/>
  <c r="F984" i="103"/>
  <c r="E984" i="103"/>
  <c r="D984" i="103" s="1"/>
  <c r="H983" i="103"/>
  <c r="G983" i="103"/>
  <c r="F983" i="103"/>
  <c r="E983" i="103"/>
  <c r="D983" i="103" s="1"/>
  <c r="H982" i="103"/>
  <c r="G982" i="103"/>
  <c r="F982" i="103"/>
  <c r="E982" i="103"/>
  <c r="D982" i="103" s="1"/>
  <c r="H981" i="103"/>
  <c r="G981" i="103"/>
  <c r="F981" i="103"/>
  <c r="E981" i="103"/>
  <c r="D981" i="103"/>
  <c r="H980" i="103"/>
  <c r="G980" i="103"/>
  <c r="F980" i="103"/>
  <c r="E980" i="103"/>
  <c r="D980" i="103" s="1"/>
  <c r="H979" i="103"/>
  <c r="G979" i="103"/>
  <c r="F979" i="103"/>
  <c r="E979" i="103"/>
  <c r="D979" i="103" s="1"/>
  <c r="H978" i="103"/>
  <c r="G978" i="103"/>
  <c r="F978" i="103"/>
  <c r="E978" i="103"/>
  <c r="D978" i="103" s="1"/>
  <c r="H977" i="103"/>
  <c r="G977" i="103"/>
  <c r="F977" i="103"/>
  <c r="E977" i="103"/>
  <c r="D977" i="103" s="1"/>
  <c r="H976" i="103"/>
  <c r="G976" i="103"/>
  <c r="F976" i="103"/>
  <c r="E976" i="103"/>
  <c r="D976" i="103" s="1"/>
  <c r="H975" i="103"/>
  <c r="G975" i="103"/>
  <c r="F975" i="103"/>
  <c r="E975" i="103"/>
  <c r="D975" i="103" s="1"/>
  <c r="H974" i="103"/>
  <c r="G974" i="103"/>
  <c r="F974" i="103"/>
  <c r="E974" i="103"/>
  <c r="D974" i="103" s="1"/>
  <c r="H973" i="103"/>
  <c r="G973" i="103"/>
  <c r="F973" i="103"/>
  <c r="E973" i="103"/>
  <c r="D973" i="103" s="1"/>
  <c r="H972" i="103"/>
  <c r="G972" i="103"/>
  <c r="F972" i="103"/>
  <c r="E972" i="103"/>
  <c r="D972" i="103" s="1"/>
  <c r="H971" i="103"/>
  <c r="G971" i="103"/>
  <c r="F971" i="103"/>
  <c r="E971" i="103"/>
  <c r="D971" i="103" s="1"/>
  <c r="H970" i="103"/>
  <c r="G970" i="103"/>
  <c r="F970" i="103"/>
  <c r="E970" i="103"/>
  <c r="D970" i="103" s="1"/>
  <c r="H969" i="103"/>
  <c r="G969" i="103"/>
  <c r="F969" i="103"/>
  <c r="E969" i="103"/>
  <c r="D969" i="103" s="1"/>
  <c r="H967" i="103"/>
  <c r="G967" i="103"/>
  <c r="F967" i="103"/>
  <c r="E967" i="103"/>
  <c r="D967" i="103" s="1"/>
  <c r="H966" i="103"/>
  <c r="G966" i="103"/>
  <c r="F966" i="103"/>
  <c r="E966" i="103"/>
  <c r="D966" i="103" s="1"/>
  <c r="H965" i="103"/>
  <c r="G965" i="103"/>
  <c r="F965" i="103"/>
  <c r="E965" i="103"/>
  <c r="D965" i="103" s="1"/>
  <c r="H964" i="103"/>
  <c r="G964" i="103"/>
  <c r="F964" i="103"/>
  <c r="E964" i="103"/>
  <c r="D964" i="103" s="1"/>
  <c r="H963" i="103"/>
  <c r="G963" i="103"/>
  <c r="F963" i="103"/>
  <c r="E963" i="103"/>
  <c r="D963" i="103" s="1"/>
  <c r="H962" i="103"/>
  <c r="G962" i="103"/>
  <c r="F962" i="103"/>
  <c r="E962" i="103"/>
  <c r="D962" i="103" s="1"/>
  <c r="H961" i="103"/>
  <c r="G961" i="103"/>
  <c r="F961" i="103"/>
  <c r="E961" i="103"/>
  <c r="D961" i="103" s="1"/>
  <c r="H960" i="103"/>
  <c r="G960" i="103"/>
  <c r="F960" i="103"/>
  <c r="E960" i="103"/>
  <c r="D960" i="103" s="1"/>
  <c r="H959" i="103"/>
  <c r="G959" i="103"/>
  <c r="F959" i="103"/>
  <c r="E959" i="103"/>
  <c r="D959" i="103" s="1"/>
  <c r="H958" i="103"/>
  <c r="G958" i="103"/>
  <c r="F958" i="103"/>
  <c r="E958" i="103"/>
  <c r="D958" i="103" s="1"/>
  <c r="H957" i="103"/>
  <c r="G957" i="103"/>
  <c r="F957" i="103"/>
  <c r="E957" i="103"/>
  <c r="D957" i="103" s="1"/>
  <c r="H956" i="103"/>
  <c r="G956" i="103"/>
  <c r="F956" i="103"/>
  <c r="E956" i="103"/>
  <c r="D956" i="103" s="1"/>
  <c r="H955" i="103"/>
  <c r="G955" i="103"/>
  <c r="F955" i="103"/>
  <c r="E955" i="103"/>
  <c r="D955" i="103" s="1"/>
  <c r="H954" i="103"/>
  <c r="G954" i="103"/>
  <c r="F954" i="103"/>
  <c r="E954" i="103"/>
  <c r="D954" i="103" s="1"/>
  <c r="H953" i="103"/>
  <c r="G953" i="103"/>
  <c r="F953" i="103"/>
  <c r="E953" i="103"/>
  <c r="D953" i="103" s="1"/>
  <c r="H952" i="103"/>
  <c r="G952" i="103"/>
  <c r="F952" i="103"/>
  <c r="E952" i="103"/>
  <c r="D952" i="103" s="1"/>
  <c r="H951" i="103"/>
  <c r="G951" i="103"/>
  <c r="F951" i="103"/>
  <c r="E951" i="103"/>
  <c r="D951" i="103" s="1"/>
  <c r="H950" i="103"/>
  <c r="G950" i="103"/>
  <c r="F950" i="103"/>
  <c r="E950" i="103"/>
  <c r="D950" i="103" s="1"/>
  <c r="H949" i="103"/>
  <c r="G949" i="103"/>
  <c r="F949" i="103"/>
  <c r="E949" i="103"/>
  <c r="D949" i="103" s="1"/>
  <c r="H948" i="103"/>
  <c r="G948" i="103"/>
  <c r="F948" i="103"/>
  <c r="E948" i="103"/>
  <c r="D948" i="103" s="1"/>
  <c r="H947" i="103"/>
  <c r="G947" i="103"/>
  <c r="F947" i="103"/>
  <c r="E947" i="103"/>
  <c r="D947" i="103" s="1"/>
  <c r="H946" i="103"/>
  <c r="G946" i="103"/>
  <c r="F946" i="103"/>
  <c r="E946" i="103"/>
  <c r="D946" i="103" s="1"/>
  <c r="H945" i="103"/>
  <c r="G945" i="103"/>
  <c r="F945" i="103"/>
  <c r="E945" i="103"/>
  <c r="D945" i="103" s="1"/>
  <c r="H943" i="103"/>
  <c r="G943" i="103"/>
  <c r="F943" i="103"/>
  <c r="E943" i="103"/>
  <c r="D943" i="103" s="1"/>
  <c r="H942" i="103"/>
  <c r="G942" i="103"/>
  <c r="F942" i="103"/>
  <c r="E942" i="103"/>
  <c r="D942" i="103" s="1"/>
  <c r="H940" i="103"/>
  <c r="G940" i="103"/>
  <c r="F940" i="103"/>
  <c r="E940" i="103"/>
  <c r="D940" i="103" s="1"/>
  <c r="H937" i="103"/>
  <c r="G937" i="103"/>
  <c r="F937" i="103"/>
  <c r="E937" i="103"/>
  <c r="D937" i="103" s="1"/>
  <c r="H936" i="103"/>
  <c r="G936" i="103"/>
  <c r="F936" i="103"/>
  <c r="E936" i="103"/>
  <c r="D936" i="103" s="1"/>
  <c r="H935" i="103"/>
  <c r="G935" i="103"/>
  <c r="F935" i="103"/>
  <c r="E935" i="103"/>
  <c r="D935" i="103" s="1"/>
  <c r="H934" i="103"/>
  <c r="G934" i="103"/>
  <c r="F934" i="103"/>
  <c r="E934" i="103"/>
  <c r="D934" i="103" s="1"/>
  <c r="H933" i="103"/>
  <c r="G933" i="103"/>
  <c r="F933" i="103"/>
  <c r="E933" i="103"/>
  <c r="D933" i="103" s="1"/>
  <c r="H932" i="103"/>
  <c r="G932" i="103"/>
  <c r="F932" i="103"/>
  <c r="E932" i="103"/>
  <c r="D932" i="103" s="1"/>
  <c r="H931" i="103"/>
  <c r="G931" i="103"/>
  <c r="F931" i="103"/>
  <c r="E931" i="103"/>
  <c r="D931" i="103" s="1"/>
  <c r="H930" i="103"/>
  <c r="G930" i="103"/>
  <c r="F930" i="103"/>
  <c r="E930" i="103"/>
  <c r="D930" i="103" s="1"/>
  <c r="H929" i="103"/>
  <c r="G929" i="103"/>
  <c r="F929" i="103"/>
  <c r="E929" i="103"/>
  <c r="D929" i="103" s="1"/>
  <c r="H928" i="103"/>
  <c r="G928" i="103"/>
  <c r="F928" i="103"/>
  <c r="E928" i="103"/>
  <c r="D928" i="103" s="1"/>
  <c r="H927" i="103"/>
  <c r="G927" i="103"/>
  <c r="F927" i="103"/>
  <c r="E927" i="103"/>
  <c r="D927" i="103" s="1"/>
  <c r="H926" i="103"/>
  <c r="G926" i="103"/>
  <c r="F926" i="103"/>
  <c r="E926" i="103"/>
  <c r="D926" i="103" s="1"/>
  <c r="H925" i="103"/>
  <c r="G925" i="103"/>
  <c r="F925" i="103"/>
  <c r="E925" i="103"/>
  <c r="D925" i="103" s="1"/>
  <c r="H924" i="103"/>
  <c r="G924" i="103"/>
  <c r="F924" i="103"/>
  <c r="E924" i="103"/>
  <c r="D924" i="103" s="1"/>
  <c r="H923" i="103"/>
  <c r="G923" i="103"/>
  <c r="F923" i="103"/>
  <c r="E923" i="103"/>
  <c r="D923" i="103" s="1"/>
  <c r="H922" i="103"/>
  <c r="G922" i="103"/>
  <c r="F922" i="103"/>
  <c r="E922" i="103"/>
  <c r="D922" i="103" s="1"/>
  <c r="H921" i="103"/>
  <c r="G921" i="103"/>
  <c r="F921" i="103"/>
  <c r="E921" i="103"/>
  <c r="D921" i="103" s="1"/>
  <c r="H920" i="103"/>
  <c r="G920" i="103"/>
  <c r="F920" i="103"/>
  <c r="E920" i="103"/>
  <c r="D920" i="103" s="1"/>
  <c r="H919" i="103"/>
  <c r="G919" i="103"/>
  <c r="F919" i="103"/>
  <c r="E919" i="103"/>
  <c r="D919" i="103" s="1"/>
  <c r="H918" i="103"/>
  <c r="G918" i="103"/>
  <c r="F918" i="103"/>
  <c r="E918" i="103"/>
  <c r="D918" i="103" s="1"/>
  <c r="H916" i="103"/>
  <c r="G916" i="103"/>
  <c r="F916" i="103"/>
  <c r="E916" i="103"/>
  <c r="D916" i="103" s="1"/>
  <c r="H915" i="103"/>
  <c r="G915" i="103"/>
  <c r="F915" i="103"/>
  <c r="E915" i="103"/>
  <c r="D915" i="103" s="1"/>
  <c r="H914" i="103"/>
  <c r="G914" i="103"/>
  <c r="F914" i="103"/>
  <c r="E914" i="103"/>
  <c r="D914" i="103" s="1"/>
  <c r="H913" i="103"/>
  <c r="G913" i="103"/>
  <c r="F913" i="103"/>
  <c r="E913" i="103"/>
  <c r="D913" i="103" s="1"/>
  <c r="H912" i="103"/>
  <c r="G912" i="103"/>
  <c r="F912" i="103"/>
  <c r="E912" i="103"/>
  <c r="D912" i="103" s="1"/>
  <c r="H911" i="103"/>
  <c r="G911" i="103"/>
  <c r="F911" i="103"/>
  <c r="E911" i="103"/>
  <c r="D911" i="103" s="1"/>
  <c r="H910" i="103"/>
  <c r="G910" i="103"/>
  <c r="F910" i="103"/>
  <c r="E910" i="103"/>
  <c r="D910" i="103" s="1"/>
  <c r="H909" i="103"/>
  <c r="G909" i="103"/>
  <c r="F909" i="103"/>
  <c r="E909" i="103"/>
  <c r="D909" i="103" s="1"/>
  <c r="H908" i="103"/>
  <c r="G908" i="103"/>
  <c r="F908" i="103"/>
  <c r="E908" i="103"/>
  <c r="D908" i="103" s="1"/>
  <c r="H907" i="103"/>
  <c r="G907" i="103"/>
  <c r="F907" i="103"/>
  <c r="E907" i="103"/>
  <c r="D907" i="103" s="1"/>
  <c r="H906" i="103"/>
  <c r="G906" i="103"/>
  <c r="F906" i="103"/>
  <c r="E906" i="103"/>
  <c r="D906" i="103" s="1"/>
  <c r="H905" i="103"/>
  <c r="G905" i="103"/>
  <c r="F905" i="103"/>
  <c r="E905" i="103"/>
  <c r="D905" i="103" s="1"/>
  <c r="H904" i="103"/>
  <c r="G904" i="103"/>
  <c r="F904" i="103"/>
  <c r="E904" i="103"/>
  <c r="D904" i="103" s="1"/>
  <c r="H903" i="103"/>
  <c r="G903" i="103"/>
  <c r="F903" i="103"/>
  <c r="E903" i="103"/>
  <c r="D903" i="103" s="1"/>
  <c r="H902" i="103"/>
  <c r="G902" i="103"/>
  <c r="F902" i="103"/>
  <c r="E902" i="103"/>
  <c r="D902" i="103" s="1"/>
  <c r="H901" i="103"/>
  <c r="G901" i="103"/>
  <c r="F901" i="103"/>
  <c r="E901" i="103"/>
  <c r="D901" i="103" s="1"/>
  <c r="H900" i="103"/>
  <c r="G900" i="103"/>
  <c r="F900" i="103"/>
  <c r="E900" i="103"/>
  <c r="D900" i="103" s="1"/>
  <c r="H899" i="103"/>
  <c r="G899" i="103"/>
  <c r="F899" i="103"/>
  <c r="E899" i="103"/>
  <c r="D899" i="103" s="1"/>
  <c r="H898" i="103"/>
  <c r="G898" i="103"/>
  <c r="F898" i="103"/>
  <c r="E898" i="103"/>
  <c r="D898" i="103" s="1"/>
  <c r="H897" i="103"/>
  <c r="G897" i="103"/>
  <c r="F897" i="103"/>
  <c r="E897" i="103"/>
  <c r="D897" i="103" s="1"/>
  <c r="H896" i="103"/>
  <c r="G896" i="103"/>
  <c r="F896" i="103"/>
  <c r="E896" i="103"/>
  <c r="D896" i="103" s="1"/>
  <c r="H895" i="103"/>
  <c r="G895" i="103"/>
  <c r="F895" i="103"/>
  <c r="E895" i="103"/>
  <c r="D895" i="103" s="1"/>
  <c r="H894" i="103"/>
  <c r="G894" i="103"/>
  <c r="F894" i="103"/>
  <c r="E894" i="103"/>
  <c r="D894" i="103" s="1"/>
  <c r="H893" i="103"/>
  <c r="G893" i="103"/>
  <c r="F893" i="103"/>
  <c r="E893" i="103"/>
  <c r="D893" i="103" s="1"/>
  <c r="H892" i="103"/>
  <c r="G892" i="103"/>
  <c r="F892" i="103"/>
  <c r="E892" i="103"/>
  <c r="D892" i="103" s="1"/>
  <c r="H891" i="103"/>
  <c r="G891" i="103"/>
  <c r="F891" i="103"/>
  <c r="E891" i="103"/>
  <c r="D891" i="103" s="1"/>
  <c r="H890" i="103"/>
  <c r="G890" i="103"/>
  <c r="F890" i="103"/>
  <c r="E890" i="103"/>
  <c r="D890" i="103" s="1"/>
  <c r="H889" i="103"/>
  <c r="G889" i="103"/>
  <c r="F889" i="103"/>
  <c r="E889" i="103"/>
  <c r="D889" i="103" s="1"/>
  <c r="H888" i="103"/>
  <c r="G888" i="103"/>
  <c r="F888" i="103"/>
  <c r="E888" i="103"/>
  <c r="D888" i="103" s="1"/>
  <c r="H887" i="103"/>
  <c r="G887" i="103"/>
  <c r="F887" i="103"/>
  <c r="E887" i="103"/>
  <c r="D887" i="103" s="1"/>
  <c r="H886" i="103"/>
  <c r="G886" i="103"/>
  <c r="F886" i="103"/>
  <c r="E886" i="103"/>
  <c r="D886" i="103" s="1"/>
  <c r="H885" i="103"/>
  <c r="G885" i="103"/>
  <c r="F885" i="103"/>
  <c r="E885" i="103"/>
  <c r="D885" i="103" s="1"/>
  <c r="H884" i="103"/>
  <c r="G884" i="103"/>
  <c r="F884" i="103"/>
  <c r="E884" i="103"/>
  <c r="D884" i="103" s="1"/>
  <c r="H883" i="103"/>
  <c r="G883" i="103"/>
  <c r="F883" i="103"/>
  <c r="E883" i="103"/>
  <c r="D883" i="103" s="1"/>
  <c r="H882" i="103"/>
  <c r="G882" i="103"/>
  <c r="F882" i="103"/>
  <c r="E882" i="103"/>
  <c r="D882" i="103" s="1"/>
  <c r="H881" i="103"/>
  <c r="G881" i="103"/>
  <c r="F881" i="103"/>
  <c r="E881" i="103"/>
  <c r="D881" i="103" s="1"/>
  <c r="H880" i="103"/>
  <c r="G880" i="103"/>
  <c r="F880" i="103"/>
  <c r="E880" i="103"/>
  <c r="D880" i="103" s="1"/>
  <c r="H879" i="103"/>
  <c r="G879" i="103"/>
  <c r="F879" i="103"/>
  <c r="E879" i="103"/>
  <c r="D879" i="103" s="1"/>
  <c r="H878" i="103"/>
  <c r="G878" i="103"/>
  <c r="F878" i="103"/>
  <c r="E878" i="103"/>
  <c r="D878" i="103" s="1"/>
  <c r="H877" i="103"/>
  <c r="G877" i="103"/>
  <c r="F877" i="103"/>
  <c r="E877" i="103"/>
  <c r="D877" i="103" s="1"/>
  <c r="H876" i="103"/>
  <c r="G876" i="103"/>
  <c r="F876" i="103"/>
  <c r="E876" i="103"/>
  <c r="D876" i="103" s="1"/>
  <c r="H875" i="103"/>
  <c r="G875" i="103"/>
  <c r="F875" i="103"/>
  <c r="E875" i="103"/>
  <c r="D875" i="103" s="1"/>
  <c r="H874" i="103"/>
  <c r="G874" i="103"/>
  <c r="F874" i="103"/>
  <c r="E874" i="103"/>
  <c r="D874" i="103" s="1"/>
  <c r="H873" i="103"/>
  <c r="G873" i="103"/>
  <c r="F873" i="103"/>
  <c r="E873" i="103"/>
  <c r="D873" i="103" s="1"/>
  <c r="H872" i="103"/>
  <c r="G872" i="103"/>
  <c r="F872" i="103"/>
  <c r="E872" i="103"/>
  <c r="D872" i="103" s="1"/>
  <c r="H871" i="103"/>
  <c r="G871" i="103"/>
  <c r="F871" i="103"/>
  <c r="E871" i="103"/>
  <c r="D871" i="103" s="1"/>
  <c r="H870" i="103"/>
  <c r="G870" i="103"/>
  <c r="F870" i="103"/>
  <c r="E870" i="103"/>
  <c r="D870" i="103" s="1"/>
  <c r="H869" i="103"/>
  <c r="G869" i="103"/>
  <c r="F869" i="103"/>
  <c r="E869" i="103"/>
  <c r="D869" i="103" s="1"/>
  <c r="H868" i="103"/>
  <c r="G868" i="103"/>
  <c r="F868" i="103"/>
  <c r="E868" i="103"/>
  <c r="D868" i="103" s="1"/>
  <c r="H867" i="103"/>
  <c r="G867" i="103"/>
  <c r="F867" i="103"/>
  <c r="E867" i="103"/>
  <c r="D867" i="103" s="1"/>
  <c r="H866" i="103"/>
  <c r="G866" i="103"/>
  <c r="F866" i="103"/>
  <c r="E866" i="103"/>
  <c r="D866" i="103" s="1"/>
  <c r="H865" i="103"/>
  <c r="G865" i="103"/>
  <c r="F865" i="103"/>
  <c r="E865" i="103"/>
  <c r="D865" i="103" s="1"/>
  <c r="H864" i="103"/>
  <c r="G864" i="103"/>
  <c r="F864" i="103"/>
  <c r="E864" i="103"/>
  <c r="D864" i="103" s="1"/>
  <c r="H863" i="103"/>
  <c r="G863" i="103"/>
  <c r="F863" i="103"/>
  <c r="E863" i="103"/>
  <c r="D863" i="103" s="1"/>
  <c r="H862" i="103"/>
  <c r="G862" i="103"/>
  <c r="F862" i="103"/>
  <c r="E862" i="103"/>
  <c r="D862" i="103" s="1"/>
  <c r="H861" i="103"/>
  <c r="G861" i="103"/>
  <c r="F861" i="103"/>
  <c r="E861" i="103"/>
  <c r="D861" i="103" s="1"/>
  <c r="H860" i="103"/>
  <c r="G860" i="103"/>
  <c r="F860" i="103"/>
  <c r="E860" i="103"/>
  <c r="D860" i="103" s="1"/>
  <c r="H859" i="103"/>
  <c r="G859" i="103"/>
  <c r="F859" i="103"/>
  <c r="E859" i="103"/>
  <c r="D859" i="103" s="1"/>
  <c r="H858" i="103"/>
  <c r="G858" i="103"/>
  <c r="F858" i="103"/>
  <c r="E858" i="103"/>
  <c r="D858" i="103" s="1"/>
  <c r="H857" i="103"/>
  <c r="G857" i="103"/>
  <c r="F857" i="103"/>
  <c r="E857" i="103"/>
  <c r="D857" i="103" s="1"/>
  <c r="H856" i="103"/>
  <c r="G856" i="103"/>
  <c r="F856" i="103"/>
  <c r="E856" i="103"/>
  <c r="D856" i="103" s="1"/>
  <c r="H855" i="103"/>
  <c r="G855" i="103"/>
  <c r="F855" i="103"/>
  <c r="E855" i="103"/>
  <c r="D855" i="103" s="1"/>
  <c r="H854" i="103"/>
  <c r="G854" i="103"/>
  <c r="F854" i="103"/>
  <c r="E854" i="103"/>
  <c r="D854" i="103" s="1"/>
  <c r="H852" i="103"/>
  <c r="G852" i="103"/>
  <c r="F852" i="103"/>
  <c r="E852" i="103"/>
  <c r="D852" i="103" s="1"/>
  <c r="H851" i="103"/>
  <c r="G851" i="103"/>
  <c r="F851" i="103"/>
  <c r="E851" i="103"/>
  <c r="D851" i="103" s="1"/>
  <c r="H850" i="103"/>
  <c r="G850" i="103"/>
  <c r="F850" i="103"/>
  <c r="E850" i="103"/>
  <c r="D850" i="103" s="1"/>
  <c r="H849" i="103"/>
  <c r="G849" i="103"/>
  <c r="F849" i="103"/>
  <c r="E849" i="103"/>
  <c r="D849" i="103" s="1"/>
  <c r="H848" i="103"/>
  <c r="G848" i="103"/>
  <c r="F848" i="103"/>
  <c r="E848" i="103"/>
  <c r="D848" i="103" s="1"/>
  <c r="H847" i="103"/>
  <c r="G847" i="103"/>
  <c r="F847" i="103"/>
  <c r="E847" i="103"/>
  <c r="D847" i="103" s="1"/>
  <c r="H846" i="103"/>
  <c r="G846" i="103"/>
  <c r="F846" i="103"/>
  <c r="E846" i="103"/>
  <c r="D846" i="103" s="1"/>
  <c r="H845" i="103"/>
  <c r="G845" i="103"/>
  <c r="F845" i="103"/>
  <c r="E845" i="103"/>
  <c r="D845" i="103" s="1"/>
  <c r="H844" i="103"/>
  <c r="G844" i="103"/>
  <c r="F844" i="103"/>
  <c r="E844" i="103"/>
  <c r="D844" i="103" s="1"/>
  <c r="H843" i="103"/>
  <c r="G843" i="103"/>
  <c r="F843" i="103"/>
  <c r="E843" i="103"/>
  <c r="D843" i="103" s="1"/>
  <c r="H842" i="103"/>
  <c r="G842" i="103"/>
  <c r="F842" i="103"/>
  <c r="E842" i="103"/>
  <c r="D842" i="103" s="1"/>
  <c r="H841" i="103"/>
  <c r="G841" i="103"/>
  <c r="F841" i="103"/>
  <c r="E841" i="103"/>
  <c r="D841" i="103" s="1"/>
  <c r="H840" i="103"/>
  <c r="G840" i="103"/>
  <c r="F840" i="103"/>
  <c r="E840" i="103"/>
  <c r="D840" i="103" s="1"/>
  <c r="H838" i="103"/>
  <c r="G838" i="103"/>
  <c r="F838" i="103"/>
  <c r="E838" i="103"/>
  <c r="D838" i="103" s="1"/>
  <c r="H837" i="103"/>
  <c r="G837" i="103"/>
  <c r="F837" i="103"/>
  <c r="E837" i="103"/>
  <c r="D837" i="103" s="1"/>
  <c r="H836" i="103"/>
  <c r="G836" i="103"/>
  <c r="F836" i="103"/>
  <c r="E836" i="103"/>
  <c r="D836" i="103" s="1"/>
  <c r="H835" i="103"/>
  <c r="G835" i="103"/>
  <c r="F835" i="103"/>
  <c r="E835" i="103"/>
  <c r="D835" i="103" s="1"/>
  <c r="H834" i="103"/>
  <c r="G834" i="103"/>
  <c r="F834" i="103"/>
  <c r="E834" i="103"/>
  <c r="D834" i="103" s="1"/>
  <c r="H833" i="103"/>
  <c r="G833" i="103"/>
  <c r="F833" i="103"/>
  <c r="E833" i="103"/>
  <c r="D833" i="103" s="1"/>
  <c r="H832" i="103"/>
  <c r="G832" i="103"/>
  <c r="F832" i="103"/>
  <c r="E832" i="103"/>
  <c r="D832" i="103" s="1"/>
  <c r="H831" i="103"/>
  <c r="G831" i="103"/>
  <c r="F831" i="103"/>
  <c r="E831" i="103"/>
  <c r="D831" i="103" s="1"/>
  <c r="H830" i="103"/>
  <c r="G830" i="103"/>
  <c r="F830" i="103"/>
  <c r="E830" i="103"/>
  <c r="D830" i="103" s="1"/>
  <c r="H829" i="103"/>
  <c r="G829" i="103"/>
  <c r="F829" i="103"/>
  <c r="E829" i="103"/>
  <c r="D829" i="103" s="1"/>
  <c r="H828" i="103"/>
  <c r="G828" i="103"/>
  <c r="F828" i="103"/>
  <c r="E828" i="103"/>
  <c r="D828" i="103" s="1"/>
  <c r="H827" i="103"/>
  <c r="G827" i="103"/>
  <c r="F827" i="103"/>
  <c r="E827" i="103"/>
  <c r="D827" i="103" s="1"/>
  <c r="H826" i="103"/>
  <c r="G826" i="103"/>
  <c r="F826" i="103"/>
  <c r="E826" i="103"/>
  <c r="D826" i="103" s="1"/>
  <c r="H825" i="103"/>
  <c r="G825" i="103"/>
  <c r="F825" i="103"/>
  <c r="E825" i="103"/>
  <c r="D825" i="103" s="1"/>
  <c r="H824" i="103"/>
  <c r="G824" i="103"/>
  <c r="F824" i="103"/>
  <c r="E824" i="103"/>
  <c r="D824" i="103" s="1"/>
  <c r="H823" i="103"/>
  <c r="G823" i="103"/>
  <c r="F823" i="103"/>
  <c r="E823" i="103"/>
  <c r="D823" i="103" s="1"/>
  <c r="H822" i="103"/>
  <c r="G822" i="103"/>
  <c r="F822" i="103"/>
  <c r="E822" i="103"/>
  <c r="D822" i="103" s="1"/>
  <c r="H821" i="103"/>
  <c r="G821" i="103"/>
  <c r="F821" i="103"/>
  <c r="E821" i="103"/>
  <c r="D821" i="103" s="1"/>
  <c r="H820" i="103"/>
  <c r="G820" i="103"/>
  <c r="F820" i="103"/>
  <c r="E820" i="103"/>
  <c r="D820" i="103" s="1"/>
  <c r="H819" i="103"/>
  <c r="G819" i="103"/>
  <c r="F819" i="103"/>
  <c r="E819" i="103"/>
  <c r="D819" i="103" s="1"/>
  <c r="H818" i="103"/>
  <c r="G818" i="103"/>
  <c r="F818" i="103"/>
  <c r="E818" i="103"/>
  <c r="D818" i="103" s="1"/>
  <c r="H817" i="103"/>
  <c r="G817" i="103"/>
  <c r="F817" i="103"/>
  <c r="E817" i="103"/>
  <c r="D817" i="103" s="1"/>
  <c r="H816" i="103"/>
  <c r="G816" i="103"/>
  <c r="F816" i="103"/>
  <c r="E816" i="103"/>
  <c r="D816" i="103" s="1"/>
  <c r="H814" i="103"/>
  <c r="G814" i="103"/>
  <c r="F814" i="103"/>
  <c r="E814" i="103"/>
  <c r="D814" i="103" s="1"/>
  <c r="H813" i="103"/>
  <c r="G813" i="103"/>
  <c r="F813" i="103"/>
  <c r="E813" i="103"/>
  <c r="D813" i="103" s="1"/>
  <c r="H812" i="103"/>
  <c r="G812" i="103"/>
  <c r="F812" i="103"/>
  <c r="E812" i="103"/>
  <c r="D812" i="103" s="1"/>
  <c r="H811" i="103"/>
  <c r="G811" i="103"/>
  <c r="F811" i="103"/>
  <c r="E811" i="103"/>
  <c r="D811" i="103" s="1"/>
  <c r="H810" i="103"/>
  <c r="G810" i="103"/>
  <c r="F810" i="103"/>
  <c r="E810" i="103"/>
  <c r="D810" i="103" s="1"/>
  <c r="H809" i="103"/>
  <c r="G809" i="103"/>
  <c r="F809" i="103"/>
  <c r="E809" i="103"/>
  <c r="D809" i="103" s="1"/>
  <c r="H808" i="103"/>
  <c r="G808" i="103"/>
  <c r="F808" i="103"/>
  <c r="E808" i="103"/>
  <c r="D808" i="103" s="1"/>
  <c r="H807" i="103"/>
  <c r="G807" i="103"/>
  <c r="F807" i="103"/>
  <c r="E807" i="103"/>
  <c r="D807" i="103" s="1"/>
  <c r="H806" i="103"/>
  <c r="G806" i="103"/>
  <c r="F806" i="103"/>
  <c r="E806" i="103"/>
  <c r="D806" i="103" s="1"/>
  <c r="H805" i="103"/>
  <c r="G805" i="103"/>
  <c r="F805" i="103"/>
  <c r="E805" i="103"/>
  <c r="D805" i="103" s="1"/>
  <c r="H804" i="103"/>
  <c r="G804" i="103"/>
  <c r="F804" i="103"/>
  <c r="E804" i="103"/>
  <c r="D804" i="103" s="1"/>
  <c r="H803" i="103"/>
  <c r="G803" i="103"/>
  <c r="F803" i="103"/>
  <c r="E803" i="103"/>
  <c r="D803" i="103" s="1"/>
  <c r="H802" i="103"/>
  <c r="G802" i="103"/>
  <c r="F802" i="103"/>
  <c r="E802" i="103"/>
  <c r="D802" i="103" s="1"/>
  <c r="H801" i="103"/>
  <c r="G801" i="103"/>
  <c r="F801" i="103"/>
  <c r="E801" i="103"/>
  <c r="D801" i="103" s="1"/>
  <c r="H800" i="103"/>
  <c r="G800" i="103"/>
  <c r="F800" i="103"/>
  <c r="E800" i="103"/>
  <c r="D800" i="103" s="1"/>
  <c r="H799" i="103"/>
  <c r="G799" i="103"/>
  <c r="F799" i="103"/>
  <c r="E799" i="103"/>
  <c r="D799" i="103" s="1"/>
  <c r="H798" i="103"/>
  <c r="G798" i="103"/>
  <c r="F798" i="103"/>
  <c r="E798" i="103"/>
  <c r="D798" i="103" s="1"/>
  <c r="H797" i="103"/>
  <c r="G797" i="103"/>
  <c r="F797" i="103"/>
  <c r="E797" i="103"/>
  <c r="D797" i="103" s="1"/>
  <c r="H796" i="103"/>
  <c r="G796" i="103"/>
  <c r="F796" i="103"/>
  <c r="E796" i="103"/>
  <c r="D796" i="103" s="1"/>
  <c r="H795" i="103"/>
  <c r="G795" i="103"/>
  <c r="F795" i="103"/>
  <c r="E795" i="103"/>
  <c r="D795" i="103" s="1"/>
  <c r="H794" i="103"/>
  <c r="G794" i="103"/>
  <c r="F794" i="103"/>
  <c r="E794" i="103"/>
  <c r="D794" i="103" s="1"/>
  <c r="H793" i="103"/>
  <c r="G793" i="103"/>
  <c r="F793" i="103"/>
  <c r="E793" i="103"/>
  <c r="D793" i="103" s="1"/>
  <c r="H792" i="103"/>
  <c r="G792" i="103"/>
  <c r="F792" i="103"/>
  <c r="E792" i="103"/>
  <c r="D792" i="103" s="1"/>
  <c r="H791" i="103"/>
  <c r="G791" i="103"/>
  <c r="F791" i="103"/>
  <c r="E791" i="103"/>
  <c r="D791" i="103" s="1"/>
  <c r="H790" i="103"/>
  <c r="G790" i="103"/>
  <c r="F790" i="103"/>
  <c r="E790" i="103"/>
  <c r="D790" i="103" s="1"/>
  <c r="H789" i="103"/>
  <c r="G789" i="103"/>
  <c r="F789" i="103"/>
  <c r="E789" i="103"/>
  <c r="D789" i="103" s="1"/>
  <c r="H788" i="103"/>
  <c r="G788" i="103"/>
  <c r="F788" i="103"/>
  <c r="E788" i="103"/>
  <c r="D788" i="103" s="1"/>
  <c r="H787" i="103"/>
  <c r="G787" i="103"/>
  <c r="F787" i="103"/>
  <c r="E787" i="103"/>
  <c r="D787" i="103" s="1"/>
  <c r="H786" i="103"/>
  <c r="G786" i="103"/>
  <c r="F786" i="103"/>
  <c r="E786" i="103"/>
  <c r="D786" i="103" s="1"/>
  <c r="H785" i="103"/>
  <c r="G785" i="103"/>
  <c r="F785" i="103"/>
  <c r="E785" i="103"/>
  <c r="D785" i="103" s="1"/>
  <c r="H784" i="103"/>
  <c r="G784" i="103"/>
  <c r="F784" i="103"/>
  <c r="E784" i="103"/>
  <c r="D784" i="103" s="1"/>
  <c r="H783" i="103"/>
  <c r="G783" i="103"/>
  <c r="F783" i="103"/>
  <c r="E783" i="103"/>
  <c r="D783" i="103" s="1"/>
  <c r="H782" i="103"/>
  <c r="G782" i="103"/>
  <c r="F782" i="103"/>
  <c r="E782" i="103"/>
  <c r="D782" i="103" s="1"/>
  <c r="H781" i="103"/>
  <c r="G781" i="103"/>
  <c r="F781" i="103"/>
  <c r="E781" i="103"/>
  <c r="D781" i="103" s="1"/>
  <c r="H780" i="103"/>
  <c r="G780" i="103"/>
  <c r="F780" i="103"/>
  <c r="E780" i="103"/>
  <c r="D780" i="103" s="1"/>
  <c r="H779" i="103"/>
  <c r="G779" i="103"/>
  <c r="F779" i="103"/>
  <c r="E779" i="103"/>
  <c r="D779" i="103" s="1"/>
  <c r="H778" i="103"/>
  <c r="G778" i="103"/>
  <c r="F778" i="103"/>
  <c r="E778" i="103"/>
  <c r="D778" i="103" s="1"/>
  <c r="H777" i="103"/>
  <c r="G777" i="103"/>
  <c r="F777" i="103"/>
  <c r="E777" i="103"/>
  <c r="D777" i="103" s="1"/>
  <c r="H776" i="103"/>
  <c r="G776" i="103"/>
  <c r="F776" i="103"/>
  <c r="E776" i="103"/>
  <c r="D776" i="103" s="1"/>
  <c r="H775" i="103"/>
  <c r="G775" i="103"/>
  <c r="F775" i="103"/>
  <c r="E775" i="103"/>
  <c r="D775" i="103" s="1"/>
  <c r="H774" i="103"/>
  <c r="G774" i="103"/>
  <c r="F774" i="103"/>
  <c r="E774" i="103"/>
  <c r="D774" i="103" s="1"/>
  <c r="H773" i="103"/>
  <c r="G773" i="103"/>
  <c r="F773" i="103"/>
  <c r="E773" i="103"/>
  <c r="D773" i="103" s="1"/>
  <c r="H772" i="103"/>
  <c r="G772" i="103"/>
  <c r="F772" i="103"/>
  <c r="E772" i="103"/>
  <c r="D772" i="103" s="1"/>
  <c r="H771" i="103"/>
  <c r="G771" i="103"/>
  <c r="F771" i="103"/>
  <c r="E771" i="103"/>
  <c r="D771" i="103" s="1"/>
  <c r="H770" i="103"/>
  <c r="G770" i="103"/>
  <c r="F770" i="103"/>
  <c r="E770" i="103"/>
  <c r="D770" i="103" s="1"/>
  <c r="H769" i="103"/>
  <c r="G769" i="103"/>
  <c r="F769" i="103"/>
  <c r="E769" i="103"/>
  <c r="D769" i="103" s="1"/>
  <c r="H768" i="103"/>
  <c r="G768" i="103"/>
  <c r="F768" i="103"/>
  <c r="E768" i="103"/>
  <c r="D768" i="103" s="1"/>
  <c r="H767" i="103"/>
  <c r="G767" i="103"/>
  <c r="F767" i="103"/>
  <c r="E767" i="103"/>
  <c r="D767" i="103" s="1"/>
  <c r="H766" i="103"/>
  <c r="G766" i="103"/>
  <c r="F766" i="103"/>
  <c r="E766" i="103"/>
  <c r="D766" i="103" s="1"/>
  <c r="H765" i="103"/>
  <c r="G765" i="103"/>
  <c r="F765" i="103"/>
  <c r="E765" i="103"/>
  <c r="D765" i="103" s="1"/>
  <c r="H764" i="103"/>
  <c r="G764" i="103"/>
  <c r="F764" i="103"/>
  <c r="E764" i="103"/>
  <c r="D764" i="103" s="1"/>
  <c r="H763" i="103"/>
  <c r="G763" i="103"/>
  <c r="F763" i="103"/>
  <c r="E763" i="103"/>
  <c r="D763" i="103" s="1"/>
  <c r="H762" i="103"/>
  <c r="G762" i="103"/>
  <c r="F762" i="103"/>
  <c r="E762" i="103"/>
  <c r="D762" i="103" s="1"/>
  <c r="H761" i="103"/>
  <c r="G761" i="103"/>
  <c r="F761" i="103"/>
  <c r="E761" i="103"/>
  <c r="D761" i="103" s="1"/>
  <c r="H760" i="103"/>
  <c r="G760" i="103"/>
  <c r="F760" i="103"/>
  <c r="E760" i="103"/>
  <c r="D760" i="103" s="1"/>
  <c r="H759" i="103"/>
  <c r="G759" i="103"/>
  <c r="F759" i="103"/>
  <c r="E759" i="103"/>
  <c r="D759" i="103" s="1"/>
  <c r="H758" i="103"/>
  <c r="G758" i="103"/>
  <c r="F758" i="103"/>
  <c r="E758" i="103"/>
  <c r="D758" i="103" s="1"/>
  <c r="H757" i="103"/>
  <c r="G757" i="103"/>
  <c r="F757" i="103"/>
  <c r="E757" i="103"/>
  <c r="D757" i="103" s="1"/>
  <c r="H756" i="103"/>
  <c r="G756" i="103"/>
  <c r="F756" i="103"/>
  <c r="E756" i="103"/>
  <c r="D756" i="103" s="1"/>
  <c r="H755" i="103"/>
  <c r="G755" i="103"/>
  <c r="F755" i="103"/>
  <c r="E755" i="103"/>
  <c r="D755" i="103" s="1"/>
  <c r="H754" i="103"/>
  <c r="G754" i="103"/>
  <c r="F754" i="103"/>
  <c r="E754" i="103"/>
  <c r="D754" i="103" s="1"/>
  <c r="H753" i="103"/>
  <c r="G753" i="103"/>
  <c r="F753" i="103"/>
  <c r="E753" i="103"/>
  <c r="D753" i="103" s="1"/>
  <c r="H752" i="103"/>
  <c r="G752" i="103"/>
  <c r="F752" i="103"/>
  <c r="E752" i="103"/>
  <c r="D752" i="103" s="1"/>
  <c r="H751" i="103"/>
  <c r="G751" i="103"/>
  <c r="F751" i="103"/>
  <c r="E751" i="103"/>
  <c r="D751" i="103" s="1"/>
  <c r="H750" i="103"/>
  <c r="G750" i="103"/>
  <c r="F750" i="103"/>
  <c r="E750" i="103"/>
  <c r="D750" i="103" s="1"/>
  <c r="H749" i="103"/>
  <c r="G749" i="103"/>
  <c r="F749" i="103"/>
  <c r="E749" i="103"/>
  <c r="D749" i="103" s="1"/>
  <c r="H748" i="103"/>
  <c r="G748" i="103"/>
  <c r="F748" i="103"/>
  <c r="E748" i="103"/>
  <c r="D748" i="103" s="1"/>
  <c r="H747" i="103"/>
  <c r="G747" i="103"/>
  <c r="F747" i="103"/>
  <c r="E747" i="103"/>
  <c r="D747" i="103" s="1"/>
  <c r="H746" i="103"/>
  <c r="G746" i="103"/>
  <c r="F746" i="103"/>
  <c r="E746" i="103"/>
  <c r="D746" i="103" s="1"/>
  <c r="H745" i="103"/>
  <c r="G745" i="103"/>
  <c r="F745" i="103"/>
  <c r="E745" i="103"/>
  <c r="D745" i="103" s="1"/>
  <c r="H744" i="103"/>
  <c r="G744" i="103"/>
  <c r="F744" i="103"/>
  <c r="E744" i="103"/>
  <c r="D744" i="103" s="1"/>
  <c r="H743" i="103"/>
  <c r="G743" i="103"/>
  <c r="F743" i="103"/>
  <c r="E743" i="103"/>
  <c r="D743" i="103" s="1"/>
  <c r="H742" i="103"/>
  <c r="G742" i="103"/>
  <c r="F742" i="103"/>
  <c r="E742" i="103"/>
  <c r="D742" i="103" s="1"/>
  <c r="H741" i="103"/>
  <c r="G741" i="103"/>
  <c r="F741" i="103"/>
  <c r="E741" i="103"/>
  <c r="D741" i="103" s="1"/>
  <c r="H740" i="103"/>
  <c r="G740" i="103"/>
  <c r="F740" i="103"/>
  <c r="E740" i="103"/>
  <c r="D740" i="103" s="1"/>
  <c r="H739" i="103"/>
  <c r="G739" i="103"/>
  <c r="F739" i="103"/>
  <c r="E739" i="103"/>
  <c r="D739" i="103" s="1"/>
  <c r="H738" i="103"/>
  <c r="G738" i="103"/>
  <c r="F738" i="103"/>
  <c r="E738" i="103"/>
  <c r="D738" i="103" s="1"/>
  <c r="H737" i="103"/>
  <c r="G737" i="103"/>
  <c r="F737" i="103"/>
  <c r="E737" i="103"/>
  <c r="D737" i="103" s="1"/>
  <c r="H736" i="103"/>
  <c r="G736" i="103"/>
  <c r="F736" i="103"/>
  <c r="E736" i="103"/>
  <c r="D736" i="103" s="1"/>
  <c r="H735" i="103"/>
  <c r="G735" i="103"/>
  <c r="F735" i="103"/>
  <c r="E735" i="103"/>
  <c r="D735" i="103" s="1"/>
  <c r="H734" i="103"/>
  <c r="G734" i="103"/>
  <c r="F734" i="103"/>
  <c r="E734" i="103"/>
  <c r="D734" i="103" s="1"/>
  <c r="H733" i="103"/>
  <c r="G733" i="103"/>
  <c r="F733" i="103"/>
  <c r="E733" i="103"/>
  <c r="D733" i="103" s="1"/>
  <c r="H732" i="103"/>
  <c r="G732" i="103"/>
  <c r="F732" i="103"/>
  <c r="E732" i="103"/>
  <c r="D732" i="103" s="1"/>
  <c r="H731" i="103"/>
  <c r="G731" i="103"/>
  <c r="F731" i="103"/>
  <c r="E731" i="103"/>
  <c r="D731" i="103" s="1"/>
  <c r="H730" i="103"/>
  <c r="G730" i="103"/>
  <c r="F730" i="103"/>
  <c r="E730" i="103"/>
  <c r="D730" i="103" s="1"/>
  <c r="H729" i="103"/>
  <c r="G729" i="103"/>
  <c r="F729" i="103"/>
  <c r="E729" i="103"/>
  <c r="D729" i="103" s="1"/>
  <c r="H728" i="103"/>
  <c r="G728" i="103"/>
  <c r="F728" i="103"/>
  <c r="E728" i="103"/>
  <c r="D728" i="103" s="1"/>
  <c r="H727" i="103"/>
  <c r="G727" i="103"/>
  <c r="F727" i="103"/>
  <c r="E727" i="103"/>
  <c r="D727" i="103" s="1"/>
  <c r="H726" i="103"/>
  <c r="G726" i="103"/>
  <c r="F726" i="103"/>
  <c r="E726" i="103"/>
  <c r="D726" i="103" s="1"/>
  <c r="H725" i="103"/>
  <c r="G725" i="103"/>
  <c r="F725" i="103"/>
  <c r="E725" i="103"/>
  <c r="D725" i="103" s="1"/>
  <c r="H724" i="103"/>
  <c r="G724" i="103"/>
  <c r="F724" i="103"/>
  <c r="E724" i="103"/>
  <c r="D724" i="103" s="1"/>
  <c r="H723" i="103"/>
  <c r="G723" i="103"/>
  <c r="F723" i="103"/>
  <c r="E723" i="103"/>
  <c r="D723" i="103" s="1"/>
  <c r="H722" i="103"/>
  <c r="G722" i="103"/>
  <c r="F722" i="103"/>
  <c r="E722" i="103"/>
  <c r="D722" i="103" s="1"/>
  <c r="H721" i="103"/>
  <c r="G721" i="103"/>
  <c r="F721" i="103"/>
  <c r="E721" i="103"/>
  <c r="D721" i="103" s="1"/>
  <c r="H720" i="103"/>
  <c r="G720" i="103"/>
  <c r="F720" i="103"/>
  <c r="E720" i="103"/>
  <c r="D720" i="103" s="1"/>
  <c r="H718" i="103"/>
  <c r="G718" i="103"/>
  <c r="F718" i="103"/>
  <c r="E718" i="103"/>
  <c r="D718" i="103" s="1"/>
  <c r="H717" i="103"/>
  <c r="G717" i="103"/>
  <c r="F717" i="103"/>
  <c r="E717" i="103"/>
  <c r="D717" i="103" s="1"/>
  <c r="H716" i="103"/>
  <c r="G716" i="103"/>
  <c r="F716" i="103"/>
  <c r="E716" i="103"/>
  <c r="D716" i="103" s="1"/>
  <c r="H715" i="103"/>
  <c r="G715" i="103"/>
  <c r="F715" i="103"/>
  <c r="E715" i="103"/>
  <c r="D715" i="103" s="1"/>
  <c r="H714" i="103"/>
  <c r="G714" i="103"/>
  <c r="F714" i="103"/>
  <c r="E714" i="103"/>
  <c r="D714" i="103" s="1"/>
  <c r="H713" i="103"/>
  <c r="G713" i="103"/>
  <c r="F713" i="103"/>
  <c r="E713" i="103"/>
  <c r="D713" i="103" s="1"/>
  <c r="H712" i="103"/>
  <c r="G712" i="103"/>
  <c r="F712" i="103"/>
  <c r="E712" i="103"/>
  <c r="D712" i="103" s="1"/>
  <c r="H711" i="103"/>
  <c r="G711" i="103"/>
  <c r="F711" i="103"/>
  <c r="E711" i="103"/>
  <c r="D711" i="103" s="1"/>
  <c r="H710" i="103"/>
  <c r="G710" i="103"/>
  <c r="F710" i="103"/>
  <c r="E710" i="103"/>
  <c r="D710" i="103" s="1"/>
  <c r="H709" i="103"/>
  <c r="G709" i="103"/>
  <c r="F709" i="103"/>
  <c r="E709" i="103"/>
  <c r="D709" i="103" s="1"/>
  <c r="H708" i="103"/>
  <c r="G708" i="103"/>
  <c r="F708" i="103"/>
  <c r="E708" i="103"/>
  <c r="D708" i="103" s="1"/>
  <c r="H707" i="103"/>
  <c r="G707" i="103"/>
  <c r="F707" i="103"/>
  <c r="E707" i="103"/>
  <c r="D707" i="103" s="1"/>
  <c r="H706" i="103"/>
  <c r="G706" i="103"/>
  <c r="F706" i="103"/>
  <c r="E706" i="103"/>
  <c r="D706" i="103" s="1"/>
  <c r="H704" i="103"/>
  <c r="G704" i="103"/>
  <c r="F704" i="103"/>
  <c r="E704" i="103"/>
  <c r="D704" i="103" s="1"/>
  <c r="H702" i="103"/>
  <c r="G702" i="103"/>
  <c r="F702" i="103"/>
  <c r="E702" i="103"/>
  <c r="D702" i="103" s="1"/>
  <c r="H701" i="103"/>
  <c r="G701" i="103"/>
  <c r="F701" i="103"/>
  <c r="E701" i="103"/>
  <c r="D701" i="103" s="1"/>
  <c r="H700" i="103"/>
  <c r="G700" i="103"/>
  <c r="F700" i="103"/>
  <c r="E700" i="103"/>
  <c r="D700" i="103" s="1"/>
  <c r="H699" i="103"/>
  <c r="G699" i="103"/>
  <c r="F699" i="103"/>
  <c r="E699" i="103"/>
  <c r="D699" i="103" s="1"/>
  <c r="H698" i="103"/>
  <c r="G698" i="103"/>
  <c r="F698" i="103"/>
  <c r="E698" i="103"/>
  <c r="D698" i="103" s="1"/>
  <c r="H697" i="103"/>
  <c r="G697" i="103"/>
  <c r="F697" i="103"/>
  <c r="E697" i="103"/>
  <c r="D697" i="103" s="1"/>
  <c r="H696" i="103"/>
  <c r="G696" i="103"/>
  <c r="F696" i="103"/>
  <c r="E696" i="103"/>
  <c r="D696" i="103" s="1"/>
  <c r="H695" i="103"/>
  <c r="G695" i="103"/>
  <c r="F695" i="103"/>
  <c r="E695" i="103"/>
  <c r="D695" i="103" s="1"/>
  <c r="H694" i="103"/>
  <c r="G694" i="103"/>
  <c r="F694" i="103"/>
  <c r="E694" i="103"/>
  <c r="D694" i="103" s="1"/>
  <c r="H693" i="103"/>
  <c r="G693" i="103"/>
  <c r="F693" i="103"/>
  <c r="E693" i="103"/>
  <c r="D693" i="103" s="1"/>
  <c r="H692" i="103"/>
  <c r="G692" i="103"/>
  <c r="F692" i="103"/>
  <c r="E692" i="103"/>
  <c r="D692" i="103" s="1"/>
  <c r="H691" i="103"/>
  <c r="G691" i="103"/>
  <c r="F691" i="103"/>
  <c r="E691" i="103"/>
  <c r="D691" i="103" s="1"/>
  <c r="H690" i="103"/>
  <c r="G690" i="103"/>
  <c r="F690" i="103"/>
  <c r="E690" i="103"/>
  <c r="D690" i="103" s="1"/>
  <c r="H689" i="103"/>
  <c r="G689" i="103"/>
  <c r="F689" i="103"/>
  <c r="E689" i="103"/>
  <c r="D689" i="103" s="1"/>
  <c r="H688" i="103"/>
  <c r="G688" i="103"/>
  <c r="F688" i="103"/>
  <c r="E688" i="103"/>
  <c r="D688" i="103" s="1"/>
  <c r="H687" i="103"/>
  <c r="G687" i="103"/>
  <c r="F687" i="103"/>
  <c r="E687" i="103"/>
  <c r="D687" i="103" s="1"/>
  <c r="H686" i="103"/>
  <c r="G686" i="103"/>
  <c r="F686" i="103"/>
  <c r="E686" i="103"/>
  <c r="D686" i="103" s="1"/>
  <c r="H685" i="103"/>
  <c r="G685" i="103"/>
  <c r="F685" i="103"/>
  <c r="E685" i="103"/>
  <c r="D685" i="103" s="1"/>
  <c r="H684" i="103"/>
  <c r="G684" i="103"/>
  <c r="F684" i="103"/>
  <c r="E684" i="103"/>
  <c r="D684" i="103" s="1"/>
  <c r="H683" i="103"/>
  <c r="G683" i="103"/>
  <c r="F683" i="103"/>
  <c r="E683" i="103"/>
  <c r="D683" i="103" s="1"/>
  <c r="H682" i="103"/>
  <c r="G682" i="103"/>
  <c r="F682" i="103"/>
  <c r="E682" i="103"/>
  <c r="D682" i="103" s="1"/>
  <c r="H681" i="103"/>
  <c r="G681" i="103"/>
  <c r="F681" i="103"/>
  <c r="E681" i="103"/>
  <c r="D681" i="103" s="1"/>
  <c r="H680" i="103"/>
  <c r="G680" i="103"/>
  <c r="F680" i="103"/>
  <c r="E680" i="103"/>
  <c r="D680" i="103" s="1"/>
  <c r="H679" i="103"/>
  <c r="G679" i="103"/>
  <c r="F679" i="103"/>
  <c r="E679" i="103"/>
  <c r="D679" i="103" s="1"/>
  <c r="H678" i="103"/>
  <c r="G678" i="103"/>
  <c r="F678" i="103"/>
  <c r="E678" i="103"/>
  <c r="D678" i="103" s="1"/>
  <c r="H677" i="103"/>
  <c r="G677" i="103"/>
  <c r="F677" i="103"/>
  <c r="E677" i="103"/>
  <c r="D677" i="103" s="1"/>
  <c r="H676" i="103"/>
  <c r="G676" i="103"/>
  <c r="F676" i="103"/>
  <c r="E676" i="103"/>
  <c r="D676" i="103" s="1"/>
  <c r="H674" i="103"/>
  <c r="G674" i="103"/>
  <c r="F674" i="103"/>
  <c r="E674" i="103"/>
  <c r="D674" i="103" s="1"/>
  <c r="H673" i="103"/>
  <c r="G673" i="103"/>
  <c r="F673" i="103"/>
  <c r="E673" i="103"/>
  <c r="D673" i="103" s="1"/>
  <c r="H672" i="103"/>
  <c r="G672" i="103"/>
  <c r="F672" i="103"/>
  <c r="E672" i="103"/>
  <c r="D672" i="103" s="1"/>
  <c r="H671" i="103"/>
  <c r="G671" i="103"/>
  <c r="F671" i="103"/>
  <c r="E671" i="103"/>
  <c r="D671" i="103" s="1"/>
  <c r="H670" i="103"/>
  <c r="G670" i="103"/>
  <c r="F670" i="103"/>
  <c r="E670" i="103"/>
  <c r="D670" i="103" s="1"/>
  <c r="H669" i="103"/>
  <c r="G669" i="103"/>
  <c r="F669" i="103"/>
  <c r="E669" i="103"/>
  <c r="D669" i="103" s="1"/>
  <c r="H668" i="103"/>
  <c r="G668" i="103"/>
  <c r="F668" i="103"/>
  <c r="E668" i="103"/>
  <c r="D668" i="103" s="1"/>
  <c r="H667" i="103"/>
  <c r="G667" i="103"/>
  <c r="F667" i="103"/>
  <c r="E667" i="103"/>
  <c r="D667" i="103" s="1"/>
  <c r="H666" i="103"/>
  <c r="G666" i="103"/>
  <c r="F666" i="103"/>
  <c r="E666" i="103"/>
  <c r="D666" i="103" s="1"/>
  <c r="H665" i="103"/>
  <c r="G665" i="103"/>
  <c r="F665" i="103"/>
  <c r="E665" i="103"/>
  <c r="D665" i="103" s="1"/>
  <c r="H664" i="103"/>
  <c r="G664" i="103"/>
  <c r="F664" i="103"/>
  <c r="E664" i="103"/>
  <c r="D664" i="103" s="1"/>
  <c r="H663" i="103"/>
  <c r="G663" i="103"/>
  <c r="F663" i="103"/>
  <c r="E663" i="103"/>
  <c r="D663" i="103" s="1"/>
  <c r="H662" i="103"/>
  <c r="G662" i="103"/>
  <c r="F662" i="103"/>
  <c r="E662" i="103"/>
  <c r="D662" i="103" s="1"/>
  <c r="H660" i="103"/>
  <c r="G660" i="103"/>
  <c r="F660" i="103"/>
  <c r="E660" i="103"/>
  <c r="D660" i="103" s="1"/>
  <c r="H659" i="103"/>
  <c r="G659" i="103"/>
  <c r="F659" i="103"/>
  <c r="E659" i="103"/>
  <c r="D659" i="103" s="1"/>
  <c r="H658" i="103"/>
  <c r="G658" i="103"/>
  <c r="F658" i="103"/>
  <c r="E658" i="103"/>
  <c r="D658" i="103" s="1"/>
  <c r="H657" i="103"/>
  <c r="G657" i="103"/>
  <c r="F657" i="103"/>
  <c r="E657" i="103"/>
  <c r="D657" i="103" s="1"/>
  <c r="H656" i="103"/>
  <c r="G656" i="103"/>
  <c r="F656" i="103"/>
  <c r="E656" i="103"/>
  <c r="D656" i="103" s="1"/>
  <c r="H655" i="103"/>
  <c r="G655" i="103"/>
  <c r="F655" i="103"/>
  <c r="E655" i="103"/>
  <c r="D655" i="103" s="1"/>
  <c r="H654" i="103"/>
  <c r="G654" i="103"/>
  <c r="F654" i="103"/>
  <c r="E654" i="103"/>
  <c r="D654" i="103" s="1"/>
  <c r="H653" i="103"/>
  <c r="G653" i="103"/>
  <c r="F653" i="103"/>
  <c r="E653" i="103"/>
  <c r="D653" i="103" s="1"/>
  <c r="H652" i="103"/>
  <c r="G652" i="103"/>
  <c r="F652" i="103"/>
  <c r="E652" i="103"/>
  <c r="D652" i="103" s="1"/>
  <c r="H651" i="103"/>
  <c r="G651" i="103"/>
  <c r="F651" i="103"/>
  <c r="E651" i="103"/>
  <c r="D651" i="103" s="1"/>
  <c r="H650" i="103"/>
  <c r="G650" i="103"/>
  <c r="F650" i="103"/>
  <c r="E650" i="103"/>
  <c r="D650" i="103" s="1"/>
  <c r="H649" i="103"/>
  <c r="G649" i="103"/>
  <c r="F649" i="103"/>
  <c r="E649" i="103"/>
  <c r="D649" i="103" s="1"/>
  <c r="H648" i="103"/>
  <c r="G648" i="103"/>
  <c r="F648" i="103"/>
  <c r="E648" i="103"/>
  <c r="D648" i="103" s="1"/>
  <c r="H647" i="103"/>
  <c r="G647" i="103"/>
  <c r="F647" i="103"/>
  <c r="E647" i="103"/>
  <c r="D647" i="103" s="1"/>
  <c r="H646" i="103"/>
  <c r="G646" i="103"/>
  <c r="F646" i="103"/>
  <c r="E646" i="103"/>
  <c r="D646" i="103" s="1"/>
  <c r="H645" i="103"/>
  <c r="G645" i="103"/>
  <c r="F645" i="103"/>
  <c r="E645" i="103"/>
  <c r="D645" i="103" s="1"/>
  <c r="H644" i="103"/>
  <c r="G644" i="103"/>
  <c r="F644" i="103"/>
  <c r="E644" i="103"/>
  <c r="D644" i="103" s="1"/>
  <c r="H643" i="103"/>
  <c r="G643" i="103"/>
  <c r="F643" i="103"/>
  <c r="E643" i="103"/>
  <c r="D643" i="103" s="1"/>
  <c r="H642" i="103"/>
  <c r="G642" i="103"/>
  <c r="F642" i="103"/>
  <c r="E642" i="103"/>
  <c r="D642" i="103" s="1"/>
  <c r="H641" i="103"/>
  <c r="G641" i="103"/>
  <c r="F641" i="103"/>
  <c r="E641" i="103"/>
  <c r="D641" i="103" s="1"/>
  <c r="H640" i="103"/>
  <c r="G640" i="103"/>
  <c r="F640" i="103"/>
  <c r="E640" i="103"/>
  <c r="D640" i="103" s="1"/>
  <c r="H639" i="103"/>
  <c r="G639" i="103"/>
  <c r="F639" i="103"/>
  <c r="E639" i="103"/>
  <c r="D639" i="103" s="1"/>
  <c r="H638" i="103"/>
  <c r="G638" i="103"/>
  <c r="F638" i="103"/>
  <c r="E638" i="103"/>
  <c r="D638" i="103" s="1"/>
  <c r="H637" i="103"/>
  <c r="G637" i="103"/>
  <c r="F637" i="103"/>
  <c r="E637" i="103"/>
  <c r="D637" i="103" s="1"/>
  <c r="H636" i="103"/>
  <c r="G636" i="103"/>
  <c r="F636" i="103"/>
  <c r="E636" i="103"/>
  <c r="D636" i="103" s="1"/>
  <c r="H635" i="103"/>
  <c r="G635" i="103"/>
  <c r="F635" i="103"/>
  <c r="E635" i="103"/>
  <c r="D635" i="103" s="1"/>
  <c r="H634" i="103"/>
  <c r="G634" i="103"/>
  <c r="F634" i="103"/>
  <c r="E634" i="103"/>
  <c r="D634" i="103" s="1"/>
  <c r="H633" i="103"/>
  <c r="G633" i="103"/>
  <c r="F633" i="103"/>
  <c r="E633" i="103"/>
  <c r="D633" i="103" s="1"/>
  <c r="H632" i="103"/>
  <c r="G632" i="103"/>
  <c r="F632" i="103"/>
  <c r="E632" i="103"/>
  <c r="D632" i="103" s="1"/>
  <c r="H631" i="103"/>
  <c r="G631" i="103"/>
  <c r="F631" i="103"/>
  <c r="E631" i="103"/>
  <c r="D631" i="103" s="1"/>
  <c r="H630" i="103"/>
  <c r="G630" i="103"/>
  <c r="F630" i="103"/>
  <c r="E630" i="103"/>
  <c r="D630" i="103" s="1"/>
  <c r="H629" i="103"/>
  <c r="G629" i="103"/>
  <c r="F629" i="103"/>
  <c r="E629" i="103"/>
  <c r="D629" i="103" s="1"/>
  <c r="H628" i="103"/>
  <c r="G628" i="103"/>
  <c r="F628" i="103"/>
  <c r="E628" i="103"/>
  <c r="D628" i="103" s="1"/>
  <c r="H627" i="103"/>
  <c r="G627" i="103"/>
  <c r="F627" i="103"/>
  <c r="E627" i="103"/>
  <c r="D627" i="103" s="1"/>
  <c r="H626" i="103"/>
  <c r="G626" i="103"/>
  <c r="F626" i="103"/>
  <c r="E626" i="103"/>
  <c r="D626" i="103" s="1"/>
  <c r="H625" i="103"/>
  <c r="G625" i="103"/>
  <c r="F625" i="103"/>
  <c r="E625" i="103"/>
  <c r="D625" i="103" s="1"/>
  <c r="H624" i="103"/>
  <c r="G624" i="103"/>
  <c r="F624" i="103"/>
  <c r="E624" i="103"/>
  <c r="D624" i="103" s="1"/>
  <c r="H623" i="103"/>
  <c r="G623" i="103"/>
  <c r="F623" i="103"/>
  <c r="E623" i="103"/>
  <c r="D623" i="103" s="1"/>
  <c r="H622" i="103"/>
  <c r="G622" i="103"/>
  <c r="F622" i="103"/>
  <c r="E622" i="103"/>
  <c r="D622" i="103" s="1"/>
  <c r="H621" i="103"/>
  <c r="G621" i="103"/>
  <c r="F621" i="103"/>
  <c r="E621" i="103"/>
  <c r="D621" i="103" s="1"/>
  <c r="H620" i="103"/>
  <c r="G620" i="103"/>
  <c r="F620" i="103"/>
  <c r="E620" i="103"/>
  <c r="D620" i="103" s="1"/>
  <c r="H619" i="103"/>
  <c r="G619" i="103"/>
  <c r="F619" i="103"/>
  <c r="E619" i="103"/>
  <c r="D619" i="103" s="1"/>
  <c r="H618" i="103"/>
  <c r="G618" i="103"/>
  <c r="F618" i="103"/>
  <c r="E618" i="103"/>
  <c r="D618" i="103" s="1"/>
  <c r="H617" i="103"/>
  <c r="G617" i="103"/>
  <c r="F617" i="103"/>
  <c r="E617" i="103"/>
  <c r="D617" i="103" s="1"/>
  <c r="H616" i="103"/>
  <c r="G616" i="103"/>
  <c r="F616" i="103"/>
  <c r="E616" i="103"/>
  <c r="D616" i="103" s="1"/>
  <c r="H615" i="103"/>
  <c r="G615" i="103"/>
  <c r="F615" i="103"/>
  <c r="E615" i="103"/>
  <c r="D615" i="103" s="1"/>
  <c r="H613" i="103"/>
  <c r="G613" i="103"/>
  <c r="F613" i="103"/>
  <c r="E613" i="103"/>
  <c r="D613" i="103" s="1"/>
  <c r="H612" i="103"/>
  <c r="G612" i="103"/>
  <c r="F612" i="103"/>
  <c r="E612" i="103"/>
  <c r="D612" i="103" s="1"/>
  <c r="H611" i="103"/>
  <c r="G611" i="103"/>
  <c r="F611" i="103"/>
  <c r="E611" i="103"/>
  <c r="D611" i="103" s="1"/>
  <c r="H610" i="103"/>
  <c r="G610" i="103"/>
  <c r="F610" i="103"/>
  <c r="E610" i="103"/>
  <c r="D610" i="103" s="1"/>
  <c r="H609" i="103"/>
  <c r="G609" i="103"/>
  <c r="F609" i="103"/>
  <c r="E609" i="103"/>
  <c r="D609" i="103" s="1"/>
  <c r="H608" i="103"/>
  <c r="G608" i="103"/>
  <c r="F608" i="103"/>
  <c r="E608" i="103"/>
  <c r="D608" i="103" s="1"/>
  <c r="H607" i="103"/>
  <c r="G607" i="103"/>
  <c r="F607" i="103"/>
  <c r="E607" i="103"/>
  <c r="D607" i="103" s="1"/>
  <c r="H606" i="103"/>
  <c r="G606" i="103"/>
  <c r="F606" i="103"/>
  <c r="E606" i="103"/>
  <c r="D606" i="103" s="1"/>
  <c r="H605" i="103"/>
  <c r="G605" i="103"/>
  <c r="F605" i="103"/>
  <c r="E605" i="103"/>
  <c r="D605" i="103" s="1"/>
  <c r="H604" i="103"/>
  <c r="G604" i="103"/>
  <c r="F604" i="103"/>
  <c r="E604" i="103"/>
  <c r="D604" i="103" s="1"/>
  <c r="H603" i="103"/>
  <c r="G603" i="103"/>
  <c r="F603" i="103"/>
  <c r="E603" i="103"/>
  <c r="D603" i="103" s="1"/>
  <c r="H602" i="103"/>
  <c r="G602" i="103"/>
  <c r="F602" i="103"/>
  <c r="E602" i="103"/>
  <c r="D602" i="103" s="1"/>
  <c r="H601" i="103"/>
  <c r="G601" i="103"/>
  <c r="F601" i="103"/>
  <c r="E601" i="103"/>
  <c r="D601" i="103" s="1"/>
  <c r="H600" i="103"/>
  <c r="G600" i="103"/>
  <c r="F600" i="103"/>
  <c r="E600" i="103"/>
  <c r="D600" i="103" s="1"/>
  <c r="H599" i="103"/>
  <c r="G599" i="103"/>
  <c r="F599" i="103"/>
  <c r="E599" i="103"/>
  <c r="D599" i="103" s="1"/>
  <c r="H598" i="103"/>
  <c r="G598" i="103"/>
  <c r="F598" i="103"/>
  <c r="E598" i="103"/>
  <c r="D598" i="103" s="1"/>
  <c r="H597" i="103"/>
  <c r="G597" i="103"/>
  <c r="F597" i="103"/>
  <c r="E597" i="103"/>
  <c r="D597" i="103" s="1"/>
  <c r="H596" i="103"/>
  <c r="G596" i="103"/>
  <c r="F596" i="103"/>
  <c r="E596" i="103"/>
  <c r="D596" i="103" s="1"/>
  <c r="H595" i="103"/>
  <c r="G595" i="103"/>
  <c r="F595" i="103"/>
  <c r="E595" i="103"/>
  <c r="D595" i="103" s="1"/>
  <c r="H594" i="103"/>
  <c r="G594" i="103"/>
  <c r="F594" i="103"/>
  <c r="E594" i="103"/>
  <c r="D594" i="103" s="1"/>
  <c r="H593" i="103"/>
  <c r="G593" i="103"/>
  <c r="F593" i="103"/>
  <c r="E593" i="103"/>
  <c r="D593" i="103" s="1"/>
  <c r="H592" i="103"/>
  <c r="G592" i="103"/>
  <c r="F592" i="103"/>
  <c r="E592" i="103"/>
  <c r="D592" i="103" s="1"/>
  <c r="H591" i="103"/>
  <c r="G591" i="103"/>
  <c r="F591" i="103"/>
  <c r="E591" i="103"/>
  <c r="D591" i="103" s="1"/>
  <c r="H590" i="103"/>
  <c r="G590" i="103"/>
  <c r="F590" i="103"/>
  <c r="E590" i="103"/>
  <c r="D590" i="103" s="1"/>
  <c r="H589" i="103"/>
  <c r="G589" i="103"/>
  <c r="F589" i="103"/>
  <c r="E589" i="103"/>
  <c r="D589" i="103" s="1"/>
  <c r="H588" i="103"/>
  <c r="G588" i="103"/>
  <c r="F588" i="103"/>
  <c r="E588" i="103"/>
  <c r="D588" i="103" s="1"/>
  <c r="H587" i="103"/>
  <c r="G587" i="103"/>
  <c r="F587" i="103"/>
  <c r="E587" i="103"/>
  <c r="D587" i="103" s="1"/>
  <c r="H586" i="103"/>
  <c r="G586" i="103"/>
  <c r="F586" i="103"/>
  <c r="E586" i="103"/>
  <c r="D586" i="103" s="1"/>
  <c r="H585" i="103"/>
  <c r="G585" i="103"/>
  <c r="F585" i="103"/>
  <c r="E585" i="103"/>
  <c r="D585" i="103" s="1"/>
  <c r="H584" i="103"/>
  <c r="G584" i="103"/>
  <c r="F584" i="103"/>
  <c r="E584" i="103"/>
  <c r="D584" i="103" s="1"/>
  <c r="H583" i="103"/>
  <c r="G583" i="103"/>
  <c r="F583" i="103"/>
  <c r="E583" i="103"/>
  <c r="D583" i="103" s="1"/>
  <c r="H582" i="103"/>
  <c r="G582" i="103"/>
  <c r="F582" i="103"/>
  <c r="E582" i="103"/>
  <c r="D582" i="103" s="1"/>
  <c r="H581" i="103"/>
  <c r="G581" i="103"/>
  <c r="F581" i="103"/>
  <c r="E581" i="103"/>
  <c r="D581" i="103" s="1"/>
  <c r="H580" i="103"/>
  <c r="G580" i="103"/>
  <c r="F580" i="103"/>
  <c r="E580" i="103"/>
  <c r="D580" i="103" s="1"/>
  <c r="H579" i="103"/>
  <c r="G579" i="103"/>
  <c r="F579" i="103"/>
  <c r="E579" i="103"/>
  <c r="D579" i="103" s="1"/>
  <c r="H578" i="103"/>
  <c r="G578" i="103"/>
  <c r="F578" i="103"/>
  <c r="E578" i="103"/>
  <c r="D578" i="103" s="1"/>
  <c r="H577" i="103"/>
  <c r="G577" i="103"/>
  <c r="F577" i="103"/>
  <c r="E577" i="103"/>
  <c r="D577" i="103" s="1"/>
  <c r="H576" i="103"/>
  <c r="G576" i="103"/>
  <c r="F576" i="103"/>
  <c r="E576" i="103"/>
  <c r="D576" i="103" s="1"/>
  <c r="H575" i="103"/>
  <c r="G575" i="103"/>
  <c r="F575" i="103"/>
  <c r="E575" i="103"/>
  <c r="D575" i="103" s="1"/>
  <c r="H574" i="103"/>
  <c r="G574" i="103"/>
  <c r="F574" i="103"/>
  <c r="E574" i="103"/>
  <c r="D574" i="103" s="1"/>
  <c r="H573" i="103"/>
  <c r="G573" i="103"/>
  <c r="F573" i="103"/>
  <c r="E573" i="103"/>
  <c r="D573" i="103" s="1"/>
  <c r="H572" i="103"/>
  <c r="G572" i="103"/>
  <c r="F572" i="103"/>
  <c r="E572" i="103"/>
  <c r="D572" i="103" s="1"/>
  <c r="H570" i="103"/>
  <c r="G570" i="103"/>
  <c r="F570" i="103"/>
  <c r="E570" i="103"/>
  <c r="D570" i="103" s="1"/>
  <c r="H569" i="103"/>
  <c r="G569" i="103"/>
  <c r="F569" i="103"/>
  <c r="E569" i="103"/>
  <c r="D569" i="103" s="1"/>
  <c r="H568" i="103"/>
  <c r="G568" i="103"/>
  <c r="F568" i="103"/>
  <c r="E568" i="103"/>
  <c r="D568" i="103" s="1"/>
  <c r="H567" i="103"/>
  <c r="G567" i="103"/>
  <c r="F567" i="103"/>
  <c r="E567" i="103"/>
  <c r="D567" i="103" s="1"/>
  <c r="H566" i="103"/>
  <c r="G566" i="103"/>
  <c r="F566" i="103"/>
  <c r="E566" i="103"/>
  <c r="D566" i="103" s="1"/>
  <c r="H565" i="103"/>
  <c r="G565" i="103"/>
  <c r="F565" i="103"/>
  <c r="E565" i="103"/>
  <c r="D565" i="103" s="1"/>
  <c r="H564" i="103"/>
  <c r="G564" i="103"/>
  <c r="F564" i="103"/>
  <c r="E564" i="103"/>
  <c r="D564" i="103" s="1"/>
  <c r="H563" i="103"/>
  <c r="G563" i="103"/>
  <c r="F563" i="103"/>
  <c r="E563" i="103"/>
  <c r="D563" i="103" s="1"/>
  <c r="H562" i="103"/>
  <c r="G562" i="103"/>
  <c r="F562" i="103"/>
  <c r="E562" i="103"/>
  <c r="D562" i="103" s="1"/>
  <c r="H561" i="103"/>
  <c r="G561" i="103"/>
  <c r="F561" i="103"/>
  <c r="E561" i="103"/>
  <c r="D561" i="103" s="1"/>
  <c r="H560" i="103"/>
  <c r="G560" i="103"/>
  <c r="F560" i="103"/>
  <c r="E560" i="103"/>
  <c r="D560" i="103" s="1"/>
  <c r="H559" i="103"/>
  <c r="G559" i="103"/>
  <c r="F559" i="103"/>
  <c r="E559" i="103"/>
  <c r="D559" i="103" s="1"/>
  <c r="H558" i="103"/>
  <c r="G558" i="103"/>
  <c r="F558" i="103"/>
  <c r="E558" i="103"/>
  <c r="D558" i="103" s="1"/>
  <c r="H557" i="103"/>
  <c r="G557" i="103"/>
  <c r="F557" i="103"/>
  <c r="E557" i="103"/>
  <c r="D557" i="103" s="1"/>
  <c r="H556" i="103"/>
  <c r="G556" i="103"/>
  <c r="F556" i="103"/>
  <c r="E556" i="103"/>
  <c r="D556" i="103" s="1"/>
  <c r="H555" i="103"/>
  <c r="G555" i="103"/>
  <c r="F555" i="103"/>
  <c r="E555" i="103"/>
  <c r="D555" i="103" s="1"/>
  <c r="H554" i="103"/>
  <c r="G554" i="103"/>
  <c r="F554" i="103"/>
  <c r="E554" i="103"/>
  <c r="D554" i="103" s="1"/>
  <c r="H553" i="103"/>
  <c r="G553" i="103"/>
  <c r="F553" i="103"/>
  <c r="E553" i="103"/>
  <c r="D553" i="103" s="1"/>
  <c r="H552" i="103"/>
  <c r="G552" i="103"/>
  <c r="F552" i="103"/>
  <c r="E552" i="103"/>
  <c r="D552" i="103" s="1"/>
  <c r="H551" i="103"/>
  <c r="G551" i="103"/>
  <c r="F551" i="103"/>
  <c r="E551" i="103"/>
  <c r="D551" i="103" s="1"/>
  <c r="H549" i="103"/>
  <c r="G549" i="103"/>
  <c r="F549" i="103"/>
  <c r="E549" i="103"/>
  <c r="D549" i="103" s="1"/>
  <c r="H548" i="103"/>
  <c r="G548" i="103"/>
  <c r="F548" i="103"/>
  <c r="E548" i="103"/>
  <c r="D548" i="103" s="1"/>
  <c r="H546" i="103"/>
  <c r="G546" i="103"/>
  <c r="F546" i="103"/>
  <c r="E546" i="103"/>
  <c r="D546" i="103" s="1"/>
  <c r="H545" i="103"/>
  <c r="G545" i="103"/>
  <c r="F545" i="103"/>
  <c r="E545" i="103"/>
  <c r="D545" i="103" s="1"/>
  <c r="H543" i="103"/>
  <c r="G543" i="103"/>
  <c r="F543" i="103"/>
  <c r="E543" i="103"/>
  <c r="D543" i="103" s="1"/>
  <c r="H542" i="103"/>
  <c r="G542" i="103"/>
  <c r="F542" i="103"/>
  <c r="E542" i="103"/>
  <c r="D542" i="103" s="1"/>
  <c r="H541" i="103"/>
  <c r="G541" i="103"/>
  <c r="F541" i="103"/>
  <c r="E541" i="103"/>
  <c r="D541" i="103" s="1"/>
  <c r="H540" i="103"/>
  <c r="G540" i="103"/>
  <c r="F540" i="103"/>
  <c r="E540" i="103"/>
  <c r="D540" i="103" s="1"/>
  <c r="H539" i="103"/>
  <c r="G539" i="103"/>
  <c r="F539" i="103"/>
  <c r="E539" i="103"/>
  <c r="D539" i="103" s="1"/>
  <c r="H538" i="103"/>
  <c r="G538" i="103"/>
  <c r="F538" i="103"/>
  <c r="E538" i="103"/>
  <c r="D538" i="103" s="1"/>
  <c r="H537" i="103"/>
  <c r="G537" i="103"/>
  <c r="F537" i="103"/>
  <c r="E537" i="103"/>
  <c r="D537" i="103" s="1"/>
  <c r="H536" i="103"/>
  <c r="G536" i="103"/>
  <c r="F536" i="103"/>
  <c r="E536" i="103"/>
  <c r="D536" i="103" s="1"/>
  <c r="H535" i="103"/>
  <c r="G535" i="103"/>
  <c r="F535" i="103"/>
  <c r="E535" i="103"/>
  <c r="D535" i="103" s="1"/>
  <c r="H534" i="103"/>
  <c r="G534" i="103"/>
  <c r="F534" i="103"/>
  <c r="E534" i="103"/>
  <c r="D534" i="103" s="1"/>
  <c r="H532" i="103"/>
  <c r="G532" i="103"/>
  <c r="F532" i="103"/>
  <c r="E532" i="103"/>
  <c r="D532" i="103" s="1"/>
  <c r="H531" i="103"/>
  <c r="G531" i="103"/>
  <c r="F531" i="103"/>
  <c r="E531" i="103"/>
  <c r="D531" i="103" s="1"/>
  <c r="H530" i="103"/>
  <c r="G530" i="103"/>
  <c r="F530" i="103"/>
  <c r="E530" i="103"/>
  <c r="D530" i="103" s="1"/>
  <c r="H529" i="103"/>
  <c r="G529" i="103"/>
  <c r="F529" i="103"/>
  <c r="E529" i="103"/>
  <c r="D529" i="103" s="1"/>
  <c r="H528" i="103"/>
  <c r="G528" i="103"/>
  <c r="F528" i="103"/>
  <c r="E528" i="103"/>
  <c r="D528" i="103" s="1"/>
  <c r="H527" i="103"/>
  <c r="G527" i="103"/>
  <c r="F527" i="103"/>
  <c r="E527" i="103"/>
  <c r="D527" i="103" s="1"/>
  <c r="H526" i="103"/>
  <c r="G526" i="103"/>
  <c r="F526" i="103"/>
  <c r="E526" i="103"/>
  <c r="D526" i="103" s="1"/>
  <c r="H525" i="103"/>
  <c r="G525" i="103"/>
  <c r="F525" i="103"/>
  <c r="E525" i="103"/>
  <c r="D525" i="103" s="1"/>
  <c r="H524" i="103"/>
  <c r="G524" i="103"/>
  <c r="F524" i="103"/>
  <c r="E524" i="103"/>
  <c r="D524" i="103" s="1"/>
  <c r="H523" i="103"/>
  <c r="G523" i="103"/>
  <c r="F523" i="103"/>
  <c r="E523" i="103"/>
  <c r="D523" i="103" s="1"/>
  <c r="H522" i="103"/>
  <c r="G522" i="103"/>
  <c r="F522" i="103"/>
  <c r="E522" i="103"/>
  <c r="D522" i="103" s="1"/>
  <c r="H521" i="103"/>
  <c r="G521" i="103"/>
  <c r="F521" i="103"/>
  <c r="E521" i="103"/>
  <c r="D521" i="103" s="1"/>
  <c r="H520" i="103"/>
  <c r="G520" i="103"/>
  <c r="F520" i="103"/>
  <c r="E520" i="103"/>
  <c r="D520" i="103" s="1"/>
  <c r="H519" i="103"/>
  <c r="G519" i="103"/>
  <c r="F519" i="103"/>
  <c r="E519" i="103"/>
  <c r="D519" i="103" s="1"/>
  <c r="H518" i="103"/>
  <c r="G518" i="103"/>
  <c r="F518" i="103"/>
  <c r="E518" i="103"/>
  <c r="D518" i="103" s="1"/>
  <c r="H517" i="103"/>
  <c r="G517" i="103"/>
  <c r="F517" i="103"/>
  <c r="E517" i="103"/>
  <c r="D517" i="103" s="1"/>
  <c r="H516" i="103"/>
  <c r="G516" i="103"/>
  <c r="F516" i="103"/>
  <c r="E516" i="103"/>
  <c r="D516" i="103" s="1"/>
  <c r="H515" i="103"/>
  <c r="G515" i="103"/>
  <c r="F515" i="103"/>
  <c r="E515" i="103"/>
  <c r="D515" i="103" s="1"/>
  <c r="H514" i="103"/>
  <c r="G514" i="103"/>
  <c r="F514" i="103"/>
  <c r="E514" i="103"/>
  <c r="D514" i="103" s="1"/>
  <c r="H513" i="103"/>
  <c r="G513" i="103"/>
  <c r="F513" i="103"/>
  <c r="E513" i="103"/>
  <c r="D513" i="103" s="1"/>
  <c r="H512" i="103"/>
  <c r="G512" i="103"/>
  <c r="F512" i="103"/>
  <c r="E512" i="103"/>
  <c r="D512" i="103" s="1"/>
  <c r="H511" i="103"/>
  <c r="G511" i="103"/>
  <c r="F511" i="103"/>
  <c r="E511" i="103"/>
  <c r="D511" i="103" s="1"/>
  <c r="H510" i="103"/>
  <c r="G510" i="103"/>
  <c r="F510" i="103"/>
  <c r="E510" i="103"/>
  <c r="D510" i="103" s="1"/>
  <c r="H509" i="103"/>
  <c r="G509" i="103"/>
  <c r="F509" i="103"/>
  <c r="E509" i="103"/>
  <c r="D509" i="103" s="1"/>
  <c r="H508" i="103"/>
  <c r="G508" i="103"/>
  <c r="F508" i="103"/>
  <c r="E508" i="103"/>
  <c r="D508" i="103" s="1"/>
  <c r="H507" i="103"/>
  <c r="G507" i="103"/>
  <c r="F507" i="103"/>
  <c r="E507" i="103"/>
  <c r="D507" i="103" s="1"/>
  <c r="H506" i="103"/>
  <c r="G506" i="103"/>
  <c r="F506" i="103"/>
  <c r="E506" i="103"/>
  <c r="D506" i="103" s="1"/>
  <c r="H505" i="103"/>
  <c r="G505" i="103"/>
  <c r="F505" i="103"/>
  <c r="E505" i="103"/>
  <c r="D505" i="103" s="1"/>
  <c r="H504" i="103"/>
  <c r="G504" i="103"/>
  <c r="F504" i="103"/>
  <c r="E504" i="103"/>
  <c r="D504" i="103" s="1"/>
  <c r="H503" i="103"/>
  <c r="G503" i="103"/>
  <c r="F503" i="103"/>
  <c r="E503" i="103"/>
  <c r="D503" i="103" s="1"/>
  <c r="H502" i="103"/>
  <c r="G502" i="103"/>
  <c r="F502" i="103"/>
  <c r="E502" i="103"/>
  <c r="D502" i="103" s="1"/>
  <c r="H501" i="103"/>
  <c r="G501" i="103"/>
  <c r="F501" i="103"/>
  <c r="E501" i="103"/>
  <c r="D501" i="103" s="1"/>
  <c r="H500" i="103"/>
  <c r="G500" i="103"/>
  <c r="F500" i="103"/>
  <c r="E500" i="103"/>
  <c r="D500" i="103" s="1"/>
  <c r="H499" i="103"/>
  <c r="G499" i="103"/>
  <c r="F499" i="103"/>
  <c r="E499" i="103"/>
  <c r="D499" i="103" s="1"/>
  <c r="H498" i="103"/>
  <c r="G498" i="103"/>
  <c r="F498" i="103"/>
  <c r="E498" i="103"/>
  <c r="D498" i="103" s="1"/>
  <c r="H497" i="103"/>
  <c r="G497" i="103"/>
  <c r="F497" i="103"/>
  <c r="E497" i="103"/>
  <c r="D497" i="103" s="1"/>
  <c r="H496" i="103"/>
  <c r="G496" i="103"/>
  <c r="F496" i="103"/>
  <c r="E496" i="103"/>
  <c r="D496" i="103" s="1"/>
  <c r="H495" i="103"/>
  <c r="G495" i="103"/>
  <c r="F495" i="103"/>
  <c r="E495" i="103"/>
  <c r="D495" i="103" s="1"/>
  <c r="H494" i="103"/>
  <c r="G494" i="103"/>
  <c r="F494" i="103"/>
  <c r="E494" i="103"/>
  <c r="D494" i="103" s="1"/>
  <c r="H493" i="103"/>
  <c r="G493" i="103"/>
  <c r="F493" i="103"/>
  <c r="E493" i="103"/>
  <c r="D493" i="103" s="1"/>
  <c r="H491" i="103"/>
  <c r="G491" i="103"/>
  <c r="F491" i="103"/>
  <c r="E491" i="103"/>
  <c r="D491" i="103" s="1"/>
  <c r="H490" i="103"/>
  <c r="G490" i="103"/>
  <c r="F490" i="103"/>
  <c r="E490" i="103"/>
  <c r="D490" i="103" s="1"/>
  <c r="H489" i="103"/>
  <c r="G489" i="103"/>
  <c r="F489" i="103"/>
  <c r="E489" i="103"/>
  <c r="D489" i="103" s="1"/>
  <c r="H487" i="103"/>
  <c r="G487" i="103"/>
  <c r="F487" i="103"/>
  <c r="E487" i="103"/>
  <c r="D487" i="103" s="1"/>
  <c r="H486" i="103"/>
  <c r="G486" i="103"/>
  <c r="F486" i="103"/>
  <c r="E486" i="103"/>
  <c r="D486" i="103" s="1"/>
  <c r="H485" i="103"/>
  <c r="G485" i="103"/>
  <c r="F485" i="103"/>
  <c r="E485" i="103"/>
  <c r="D485" i="103" s="1"/>
  <c r="H484" i="103"/>
  <c r="G484" i="103"/>
  <c r="F484" i="103"/>
  <c r="E484" i="103"/>
  <c r="D484" i="103" s="1"/>
  <c r="H482" i="103"/>
  <c r="G482" i="103"/>
  <c r="F482" i="103"/>
  <c r="E482" i="103"/>
  <c r="D482" i="103" s="1"/>
  <c r="H481" i="103"/>
  <c r="G481" i="103"/>
  <c r="F481" i="103"/>
  <c r="E481" i="103"/>
  <c r="D481" i="103" s="1"/>
  <c r="H480" i="103"/>
  <c r="G480" i="103"/>
  <c r="F480" i="103"/>
  <c r="E480" i="103"/>
  <c r="D480" i="103" s="1"/>
  <c r="H479" i="103"/>
  <c r="G479" i="103"/>
  <c r="F479" i="103"/>
  <c r="E479" i="103"/>
  <c r="D479" i="103" s="1"/>
  <c r="H478" i="103"/>
  <c r="G478" i="103"/>
  <c r="F478" i="103"/>
  <c r="E478" i="103"/>
  <c r="D478" i="103" s="1"/>
  <c r="H477" i="103"/>
  <c r="G477" i="103"/>
  <c r="F477" i="103"/>
  <c r="E477" i="103"/>
  <c r="D477" i="103" s="1"/>
  <c r="H476" i="103"/>
  <c r="G476" i="103"/>
  <c r="F476" i="103"/>
  <c r="E476" i="103"/>
  <c r="D476" i="103" s="1"/>
  <c r="H475" i="103"/>
  <c r="G475" i="103"/>
  <c r="F475" i="103"/>
  <c r="E475" i="103"/>
  <c r="D475" i="103" s="1"/>
  <c r="H474" i="103"/>
  <c r="G474" i="103"/>
  <c r="F474" i="103"/>
  <c r="E474" i="103"/>
  <c r="D474" i="103" s="1"/>
  <c r="H473" i="103"/>
  <c r="G473" i="103"/>
  <c r="F473" i="103"/>
  <c r="E473" i="103"/>
  <c r="D473" i="103" s="1"/>
  <c r="H472" i="103"/>
  <c r="G472" i="103"/>
  <c r="F472" i="103"/>
  <c r="E472" i="103"/>
  <c r="D472" i="103" s="1"/>
  <c r="H471" i="103"/>
  <c r="G471" i="103"/>
  <c r="F471" i="103"/>
  <c r="E471" i="103"/>
  <c r="D471" i="103" s="1"/>
  <c r="H470" i="103"/>
  <c r="G470" i="103"/>
  <c r="F470" i="103"/>
  <c r="E470" i="103"/>
  <c r="D470" i="103" s="1"/>
  <c r="H469" i="103"/>
  <c r="G469" i="103"/>
  <c r="F469" i="103"/>
  <c r="E469" i="103"/>
  <c r="D469" i="103" s="1"/>
  <c r="H468" i="103"/>
  <c r="G468" i="103"/>
  <c r="F468" i="103"/>
  <c r="E468" i="103"/>
  <c r="D468" i="103" s="1"/>
  <c r="H467" i="103"/>
  <c r="G467" i="103"/>
  <c r="F467" i="103"/>
  <c r="E467" i="103"/>
  <c r="D467" i="103" s="1"/>
  <c r="H466" i="103"/>
  <c r="G466" i="103"/>
  <c r="F466" i="103"/>
  <c r="E466" i="103"/>
  <c r="D466" i="103" s="1"/>
  <c r="H465" i="103"/>
  <c r="G465" i="103"/>
  <c r="F465" i="103"/>
  <c r="E465" i="103"/>
  <c r="D465" i="103" s="1"/>
  <c r="H464" i="103"/>
  <c r="G464" i="103"/>
  <c r="F464" i="103"/>
  <c r="E464" i="103"/>
  <c r="D464" i="103" s="1"/>
  <c r="H463" i="103"/>
  <c r="G463" i="103"/>
  <c r="F463" i="103"/>
  <c r="E463" i="103"/>
  <c r="D463" i="103" s="1"/>
  <c r="H462" i="103"/>
  <c r="G462" i="103"/>
  <c r="F462" i="103"/>
  <c r="E462" i="103"/>
  <c r="D462" i="103" s="1"/>
  <c r="H461" i="103"/>
  <c r="G461" i="103"/>
  <c r="F461" i="103"/>
  <c r="E461" i="103"/>
  <c r="D461" i="103" s="1"/>
  <c r="H460" i="103"/>
  <c r="G460" i="103"/>
  <c r="F460" i="103"/>
  <c r="E460" i="103"/>
  <c r="D460" i="103" s="1"/>
  <c r="H459" i="103"/>
  <c r="G459" i="103"/>
  <c r="F459" i="103"/>
  <c r="E459" i="103"/>
  <c r="D459" i="103" s="1"/>
  <c r="H458" i="103"/>
  <c r="G458" i="103"/>
  <c r="F458" i="103"/>
  <c r="E458" i="103"/>
  <c r="D458" i="103" s="1"/>
  <c r="H457" i="103"/>
  <c r="G457" i="103"/>
  <c r="F457" i="103"/>
  <c r="E457" i="103"/>
  <c r="D457" i="103" s="1"/>
  <c r="H456" i="103"/>
  <c r="G456" i="103"/>
  <c r="F456" i="103"/>
  <c r="E456" i="103"/>
  <c r="D456" i="103" s="1"/>
  <c r="H455" i="103"/>
  <c r="G455" i="103"/>
  <c r="F455" i="103"/>
  <c r="E455" i="103"/>
  <c r="D455" i="103" s="1"/>
  <c r="H454" i="103"/>
  <c r="G454" i="103"/>
  <c r="F454" i="103"/>
  <c r="E454" i="103"/>
  <c r="D454" i="103" s="1"/>
  <c r="H453" i="103"/>
  <c r="G453" i="103"/>
  <c r="F453" i="103"/>
  <c r="E453" i="103"/>
  <c r="D453" i="103" s="1"/>
  <c r="H452" i="103"/>
  <c r="G452" i="103"/>
  <c r="F452" i="103"/>
  <c r="E452" i="103"/>
  <c r="D452" i="103" s="1"/>
  <c r="H451" i="103"/>
  <c r="G451" i="103"/>
  <c r="F451" i="103"/>
  <c r="E451" i="103"/>
  <c r="D451" i="103" s="1"/>
  <c r="H450" i="103"/>
  <c r="G450" i="103"/>
  <c r="F450" i="103"/>
  <c r="E450" i="103"/>
  <c r="D450" i="103" s="1"/>
  <c r="H449" i="103"/>
  <c r="G449" i="103"/>
  <c r="F449" i="103"/>
  <c r="E449" i="103"/>
  <c r="D449" i="103" s="1"/>
  <c r="H448" i="103"/>
  <c r="G448" i="103"/>
  <c r="F448" i="103"/>
  <c r="E448" i="103"/>
  <c r="D448" i="103" s="1"/>
  <c r="H447" i="103"/>
  <c r="G447" i="103"/>
  <c r="F447" i="103"/>
  <c r="E447" i="103"/>
  <c r="D447" i="103" s="1"/>
  <c r="H446" i="103"/>
  <c r="G446" i="103"/>
  <c r="F446" i="103"/>
  <c r="E446" i="103"/>
  <c r="D446" i="103" s="1"/>
  <c r="H445" i="103"/>
  <c r="G445" i="103"/>
  <c r="F445" i="103"/>
  <c r="E445" i="103"/>
  <c r="D445" i="103" s="1"/>
  <c r="H444" i="103"/>
  <c r="G444" i="103"/>
  <c r="F444" i="103"/>
  <c r="E444" i="103"/>
  <c r="D444" i="103" s="1"/>
  <c r="H443" i="103"/>
  <c r="G443" i="103"/>
  <c r="F443" i="103"/>
  <c r="E443" i="103"/>
  <c r="D443" i="103" s="1"/>
  <c r="H442" i="103"/>
  <c r="G442" i="103"/>
  <c r="F442" i="103"/>
  <c r="E442" i="103"/>
  <c r="D442" i="103" s="1"/>
  <c r="H441" i="103"/>
  <c r="G441" i="103"/>
  <c r="F441" i="103"/>
  <c r="E441" i="103"/>
  <c r="D441" i="103" s="1"/>
  <c r="H440" i="103"/>
  <c r="G440" i="103"/>
  <c r="F440" i="103"/>
  <c r="E440" i="103"/>
  <c r="D440" i="103" s="1"/>
  <c r="H439" i="103"/>
  <c r="G439" i="103"/>
  <c r="F439" i="103"/>
  <c r="E439" i="103"/>
  <c r="D439" i="103" s="1"/>
  <c r="H438" i="103"/>
  <c r="G438" i="103"/>
  <c r="F438" i="103"/>
  <c r="E438" i="103"/>
  <c r="D438" i="103" s="1"/>
  <c r="H437" i="103"/>
  <c r="G437" i="103"/>
  <c r="F437" i="103"/>
  <c r="E437" i="103"/>
  <c r="D437" i="103" s="1"/>
  <c r="H436" i="103"/>
  <c r="G436" i="103"/>
  <c r="F436" i="103"/>
  <c r="E436" i="103"/>
  <c r="D436" i="103" s="1"/>
  <c r="H435" i="103"/>
  <c r="G435" i="103"/>
  <c r="F435" i="103"/>
  <c r="E435" i="103"/>
  <c r="D435" i="103" s="1"/>
  <c r="H434" i="103"/>
  <c r="G434" i="103"/>
  <c r="F434" i="103"/>
  <c r="E434" i="103"/>
  <c r="D434" i="103" s="1"/>
  <c r="H433" i="103"/>
  <c r="G433" i="103"/>
  <c r="F433" i="103"/>
  <c r="E433" i="103"/>
  <c r="D433" i="103" s="1"/>
  <c r="H432" i="103"/>
  <c r="G432" i="103"/>
  <c r="F432" i="103"/>
  <c r="E432" i="103"/>
  <c r="D432" i="103" s="1"/>
  <c r="H431" i="103"/>
  <c r="G431" i="103"/>
  <c r="F431" i="103"/>
  <c r="E431" i="103"/>
  <c r="D431" i="103" s="1"/>
  <c r="H430" i="103"/>
  <c r="G430" i="103"/>
  <c r="F430" i="103"/>
  <c r="E430" i="103"/>
  <c r="D430" i="103" s="1"/>
  <c r="H429" i="103"/>
  <c r="G429" i="103"/>
  <c r="F429" i="103"/>
  <c r="E429" i="103"/>
  <c r="D429" i="103" s="1"/>
  <c r="H428" i="103"/>
  <c r="G428" i="103"/>
  <c r="F428" i="103"/>
  <c r="E428" i="103"/>
  <c r="D428" i="103" s="1"/>
  <c r="H427" i="103"/>
  <c r="G427" i="103"/>
  <c r="F427" i="103"/>
  <c r="E427" i="103"/>
  <c r="D427" i="103" s="1"/>
  <c r="H426" i="103"/>
  <c r="G426" i="103"/>
  <c r="F426" i="103"/>
  <c r="E426" i="103"/>
  <c r="D426" i="103" s="1"/>
  <c r="H425" i="103"/>
  <c r="G425" i="103"/>
  <c r="F425" i="103"/>
  <c r="E425" i="103"/>
  <c r="D425" i="103" s="1"/>
  <c r="H424" i="103"/>
  <c r="G424" i="103"/>
  <c r="F424" i="103"/>
  <c r="E424" i="103"/>
  <c r="D424" i="103" s="1"/>
  <c r="H423" i="103"/>
  <c r="G423" i="103"/>
  <c r="F423" i="103"/>
  <c r="E423" i="103"/>
  <c r="D423" i="103" s="1"/>
  <c r="H422" i="103"/>
  <c r="G422" i="103"/>
  <c r="F422" i="103"/>
  <c r="E422" i="103"/>
  <c r="D422" i="103" s="1"/>
  <c r="H421" i="103"/>
  <c r="G421" i="103"/>
  <c r="F421" i="103"/>
  <c r="E421" i="103"/>
  <c r="D421" i="103" s="1"/>
  <c r="H420" i="103"/>
  <c r="G420" i="103"/>
  <c r="F420" i="103"/>
  <c r="E420" i="103"/>
  <c r="D420" i="103" s="1"/>
  <c r="H419" i="103"/>
  <c r="G419" i="103"/>
  <c r="F419" i="103"/>
  <c r="E419" i="103"/>
  <c r="D419" i="103" s="1"/>
  <c r="H418" i="103"/>
  <c r="G418" i="103"/>
  <c r="F418" i="103"/>
  <c r="E418" i="103"/>
  <c r="D418" i="103" s="1"/>
  <c r="H417" i="103"/>
  <c r="G417" i="103"/>
  <c r="F417" i="103"/>
  <c r="E417" i="103"/>
  <c r="D417" i="103" s="1"/>
  <c r="H416" i="103"/>
  <c r="G416" i="103"/>
  <c r="F416" i="103"/>
  <c r="E416" i="103"/>
  <c r="D416" i="103" s="1"/>
  <c r="H415" i="103"/>
  <c r="G415" i="103"/>
  <c r="F415" i="103"/>
  <c r="E415" i="103"/>
  <c r="D415" i="103" s="1"/>
  <c r="H414" i="103"/>
  <c r="G414" i="103"/>
  <c r="F414" i="103"/>
  <c r="E414" i="103"/>
  <c r="D414" i="103" s="1"/>
  <c r="H413" i="103"/>
  <c r="G413" i="103"/>
  <c r="F413" i="103"/>
  <c r="E413" i="103"/>
  <c r="D413" i="103" s="1"/>
  <c r="H411" i="103"/>
  <c r="G411" i="103"/>
  <c r="F411" i="103"/>
  <c r="E411" i="103"/>
  <c r="D411" i="103" s="1"/>
  <c r="H410" i="103"/>
  <c r="G410" i="103"/>
  <c r="F410" i="103"/>
  <c r="E410" i="103"/>
  <c r="D410" i="103" s="1"/>
  <c r="H408" i="103"/>
  <c r="G408" i="103"/>
  <c r="F408" i="103"/>
  <c r="E408" i="103"/>
  <c r="D408" i="103" s="1"/>
  <c r="H407" i="103"/>
  <c r="G407" i="103"/>
  <c r="F407" i="103"/>
  <c r="E407" i="103"/>
  <c r="D407" i="103" s="1"/>
  <c r="H404" i="103"/>
  <c r="G404" i="103"/>
  <c r="F404" i="103"/>
  <c r="E404" i="103"/>
  <c r="D404" i="103" s="1"/>
  <c r="H403" i="103"/>
  <c r="G403" i="103"/>
  <c r="F403" i="103"/>
  <c r="E403" i="103"/>
  <c r="D403" i="103" s="1"/>
  <c r="H402" i="103"/>
  <c r="G402" i="103"/>
  <c r="F402" i="103"/>
  <c r="E402" i="103"/>
  <c r="D402" i="103" s="1"/>
  <c r="H401" i="103"/>
  <c r="G401" i="103"/>
  <c r="F401" i="103"/>
  <c r="E401" i="103"/>
  <c r="D401" i="103" s="1"/>
  <c r="H400" i="103"/>
  <c r="G400" i="103"/>
  <c r="F400" i="103"/>
  <c r="E400" i="103"/>
  <c r="D400" i="103" s="1"/>
  <c r="H399" i="103"/>
  <c r="G399" i="103"/>
  <c r="F399" i="103"/>
  <c r="E399" i="103"/>
  <c r="D399" i="103" s="1"/>
  <c r="H398" i="103"/>
  <c r="G398" i="103"/>
  <c r="F398" i="103"/>
  <c r="E398" i="103"/>
  <c r="D398" i="103" s="1"/>
  <c r="H397" i="103"/>
  <c r="G397" i="103"/>
  <c r="F397" i="103"/>
  <c r="E397" i="103"/>
  <c r="D397" i="103" s="1"/>
  <c r="H395" i="103"/>
  <c r="G395" i="103"/>
  <c r="F395" i="103"/>
  <c r="E395" i="103"/>
  <c r="D395" i="103" s="1"/>
  <c r="H394" i="103"/>
  <c r="G394" i="103"/>
  <c r="F394" i="103"/>
  <c r="E394" i="103"/>
  <c r="D394" i="103" s="1"/>
  <c r="H393" i="103"/>
  <c r="G393" i="103"/>
  <c r="F393" i="103"/>
  <c r="E393" i="103"/>
  <c r="D393" i="103" s="1"/>
  <c r="H392" i="103"/>
  <c r="G392" i="103"/>
  <c r="F392" i="103"/>
  <c r="E392" i="103"/>
  <c r="D392" i="103" s="1"/>
  <c r="H391" i="103"/>
  <c r="G391" i="103"/>
  <c r="F391" i="103"/>
  <c r="E391" i="103"/>
  <c r="D391" i="103" s="1"/>
  <c r="H390" i="103"/>
  <c r="G390" i="103"/>
  <c r="F390" i="103"/>
  <c r="E390" i="103"/>
  <c r="D390" i="103" s="1"/>
  <c r="H389" i="103"/>
  <c r="G389" i="103"/>
  <c r="F389" i="103"/>
  <c r="E389" i="103"/>
  <c r="D389" i="103" s="1"/>
  <c r="H388" i="103"/>
  <c r="G388" i="103"/>
  <c r="F388" i="103"/>
  <c r="E388" i="103"/>
  <c r="D388" i="103" s="1"/>
  <c r="H387" i="103"/>
  <c r="G387" i="103"/>
  <c r="F387" i="103"/>
  <c r="E387" i="103"/>
  <c r="D387" i="103" s="1"/>
  <c r="H386" i="103"/>
  <c r="G386" i="103"/>
  <c r="F386" i="103"/>
  <c r="E386" i="103"/>
  <c r="D386" i="103" s="1"/>
  <c r="H385" i="103"/>
  <c r="G385" i="103"/>
  <c r="F385" i="103"/>
  <c r="E385" i="103"/>
  <c r="D385" i="103" s="1"/>
  <c r="H384" i="103"/>
  <c r="G384" i="103"/>
  <c r="F384" i="103"/>
  <c r="E384" i="103"/>
  <c r="D384" i="103" s="1"/>
  <c r="H383" i="103"/>
  <c r="G383" i="103"/>
  <c r="F383" i="103"/>
  <c r="E383" i="103"/>
  <c r="D383" i="103" s="1"/>
  <c r="H382" i="103"/>
  <c r="G382" i="103"/>
  <c r="F382" i="103"/>
  <c r="E382" i="103"/>
  <c r="D382" i="103" s="1"/>
  <c r="H381" i="103"/>
  <c r="G381" i="103"/>
  <c r="F381" i="103"/>
  <c r="E381" i="103"/>
  <c r="D381" i="103" s="1"/>
  <c r="H380" i="103"/>
  <c r="G380" i="103"/>
  <c r="F380" i="103"/>
  <c r="E380" i="103"/>
  <c r="D380" i="103" s="1"/>
  <c r="H379" i="103"/>
  <c r="G379" i="103"/>
  <c r="F379" i="103"/>
  <c r="E379" i="103"/>
  <c r="D379" i="103" s="1"/>
  <c r="H378" i="103"/>
  <c r="G378" i="103"/>
  <c r="F378" i="103"/>
  <c r="E378" i="103"/>
  <c r="D378" i="103" s="1"/>
  <c r="H377" i="103"/>
  <c r="G377" i="103"/>
  <c r="F377" i="103"/>
  <c r="E377" i="103"/>
  <c r="D377" i="103" s="1"/>
  <c r="H376" i="103"/>
  <c r="G376" i="103"/>
  <c r="F376" i="103"/>
  <c r="E376" i="103"/>
  <c r="D376" i="103" s="1"/>
  <c r="H375" i="103"/>
  <c r="G375" i="103"/>
  <c r="F375" i="103"/>
  <c r="E375" i="103"/>
  <c r="D375" i="103" s="1"/>
  <c r="H374" i="103"/>
  <c r="G374" i="103"/>
  <c r="F374" i="103"/>
  <c r="E374" i="103"/>
  <c r="D374" i="103" s="1"/>
  <c r="H373" i="103"/>
  <c r="G373" i="103"/>
  <c r="F373" i="103"/>
  <c r="E373" i="103"/>
  <c r="D373" i="103" s="1"/>
  <c r="H372" i="103"/>
  <c r="G372" i="103"/>
  <c r="F372" i="103"/>
  <c r="E372" i="103"/>
  <c r="D372" i="103" s="1"/>
  <c r="H371" i="103"/>
  <c r="G371" i="103"/>
  <c r="F371" i="103"/>
  <c r="E371" i="103"/>
  <c r="D371" i="103" s="1"/>
  <c r="H370" i="103"/>
  <c r="G370" i="103"/>
  <c r="F370" i="103"/>
  <c r="E370" i="103"/>
  <c r="D370" i="103" s="1"/>
  <c r="H369" i="103"/>
  <c r="G369" i="103"/>
  <c r="F369" i="103"/>
  <c r="E369" i="103"/>
  <c r="D369" i="103" s="1"/>
  <c r="H368" i="103"/>
  <c r="G368" i="103"/>
  <c r="F368" i="103"/>
  <c r="E368" i="103"/>
  <c r="D368" i="103" s="1"/>
  <c r="H367" i="103"/>
  <c r="G367" i="103"/>
  <c r="F367" i="103"/>
  <c r="E367" i="103"/>
  <c r="D367" i="103" s="1"/>
  <c r="H366" i="103"/>
  <c r="G366" i="103"/>
  <c r="F366" i="103"/>
  <c r="E366" i="103"/>
  <c r="D366" i="103" s="1"/>
  <c r="H365" i="103"/>
  <c r="G365" i="103"/>
  <c r="F365" i="103"/>
  <c r="E365" i="103"/>
  <c r="D365" i="103" s="1"/>
  <c r="H364" i="103"/>
  <c r="G364" i="103"/>
  <c r="F364" i="103"/>
  <c r="E364" i="103"/>
  <c r="D364" i="103" s="1"/>
  <c r="H363" i="103"/>
  <c r="G363" i="103"/>
  <c r="F363" i="103"/>
  <c r="E363" i="103"/>
  <c r="D363" i="103" s="1"/>
  <c r="H362" i="103"/>
  <c r="G362" i="103"/>
  <c r="F362" i="103"/>
  <c r="E362" i="103"/>
  <c r="D362" i="103" s="1"/>
  <c r="H361" i="103"/>
  <c r="G361" i="103"/>
  <c r="F361" i="103"/>
  <c r="E361" i="103"/>
  <c r="D361" i="103" s="1"/>
  <c r="H360" i="103"/>
  <c r="G360" i="103"/>
  <c r="F360" i="103"/>
  <c r="E360" i="103"/>
  <c r="D360" i="103" s="1"/>
  <c r="H359" i="103"/>
  <c r="G359" i="103"/>
  <c r="F359" i="103"/>
  <c r="E359" i="103"/>
  <c r="D359" i="103" s="1"/>
  <c r="H358" i="103"/>
  <c r="G358" i="103"/>
  <c r="F358" i="103"/>
  <c r="E358" i="103"/>
  <c r="D358" i="103" s="1"/>
  <c r="H357" i="103"/>
  <c r="G357" i="103"/>
  <c r="F357" i="103"/>
  <c r="E357" i="103"/>
  <c r="D357" i="103" s="1"/>
  <c r="H356" i="103"/>
  <c r="G356" i="103"/>
  <c r="F356" i="103"/>
  <c r="E356" i="103"/>
  <c r="D356" i="103" s="1"/>
  <c r="H355" i="103"/>
  <c r="G355" i="103"/>
  <c r="F355" i="103"/>
  <c r="E355" i="103"/>
  <c r="D355" i="103" s="1"/>
  <c r="H354" i="103"/>
  <c r="G354" i="103"/>
  <c r="F354" i="103"/>
  <c r="E354" i="103"/>
  <c r="D354" i="103" s="1"/>
  <c r="H353" i="103"/>
  <c r="G353" i="103"/>
  <c r="F353" i="103"/>
  <c r="E353" i="103"/>
  <c r="D353" i="103" s="1"/>
  <c r="H352" i="103"/>
  <c r="G352" i="103"/>
  <c r="F352" i="103"/>
  <c r="E352" i="103"/>
  <c r="D352" i="103" s="1"/>
  <c r="H351" i="103"/>
  <c r="G351" i="103"/>
  <c r="F351" i="103"/>
  <c r="E351" i="103"/>
  <c r="D351" i="103" s="1"/>
  <c r="H350" i="103"/>
  <c r="G350" i="103"/>
  <c r="F350" i="103"/>
  <c r="E350" i="103"/>
  <c r="D350" i="103" s="1"/>
  <c r="H349" i="103"/>
  <c r="G349" i="103"/>
  <c r="F349" i="103"/>
  <c r="E349" i="103"/>
  <c r="D349" i="103" s="1"/>
  <c r="H348" i="103"/>
  <c r="G348" i="103"/>
  <c r="F348" i="103"/>
  <c r="E348" i="103"/>
  <c r="D348" i="103" s="1"/>
  <c r="H347" i="103"/>
  <c r="G347" i="103"/>
  <c r="F347" i="103"/>
  <c r="E347" i="103"/>
  <c r="D347" i="103" s="1"/>
  <c r="H346" i="103"/>
  <c r="G346" i="103"/>
  <c r="F346" i="103"/>
  <c r="E346" i="103"/>
  <c r="D346" i="103" s="1"/>
  <c r="H345" i="103"/>
  <c r="G345" i="103"/>
  <c r="F345" i="103"/>
  <c r="E345" i="103"/>
  <c r="D345" i="103" s="1"/>
  <c r="H344" i="103"/>
  <c r="G344" i="103"/>
  <c r="F344" i="103"/>
  <c r="E344" i="103"/>
  <c r="D344" i="103" s="1"/>
  <c r="H343" i="103"/>
  <c r="G343" i="103"/>
  <c r="F343" i="103"/>
  <c r="E343" i="103"/>
  <c r="D343" i="103" s="1"/>
  <c r="H342" i="103"/>
  <c r="G342" i="103"/>
  <c r="F342" i="103"/>
  <c r="E342" i="103"/>
  <c r="D342" i="103" s="1"/>
  <c r="H341" i="103"/>
  <c r="G341" i="103"/>
  <c r="F341" i="103"/>
  <c r="E341" i="103"/>
  <c r="D341" i="103" s="1"/>
  <c r="H340" i="103"/>
  <c r="G340" i="103"/>
  <c r="F340" i="103"/>
  <c r="E340" i="103"/>
  <c r="D340" i="103" s="1"/>
  <c r="H339" i="103"/>
  <c r="G339" i="103"/>
  <c r="F339" i="103"/>
  <c r="E339" i="103"/>
  <c r="D339" i="103" s="1"/>
  <c r="H338" i="103"/>
  <c r="G338" i="103"/>
  <c r="F338" i="103"/>
  <c r="E338" i="103"/>
  <c r="D338" i="103" s="1"/>
  <c r="H337" i="103"/>
  <c r="G337" i="103"/>
  <c r="F337" i="103"/>
  <c r="E337" i="103"/>
  <c r="D337" i="103" s="1"/>
  <c r="H334" i="103"/>
  <c r="G334" i="103"/>
  <c r="F334" i="103"/>
  <c r="E334" i="103"/>
  <c r="D334" i="103" s="1"/>
  <c r="H333" i="103"/>
  <c r="G333" i="103"/>
  <c r="F333" i="103"/>
  <c r="E333" i="103"/>
  <c r="D333" i="103" s="1"/>
  <c r="H332" i="103"/>
  <c r="G332" i="103"/>
  <c r="F332" i="103"/>
  <c r="E332" i="103"/>
  <c r="D332" i="103" s="1"/>
  <c r="H331" i="103"/>
  <c r="G331" i="103"/>
  <c r="F331" i="103"/>
  <c r="E331" i="103"/>
  <c r="D331" i="103" s="1"/>
  <c r="H330" i="103"/>
  <c r="G330" i="103"/>
  <c r="F330" i="103"/>
  <c r="E330" i="103"/>
  <c r="D330" i="103" s="1"/>
  <c r="H329" i="103"/>
  <c r="G329" i="103"/>
  <c r="F329" i="103"/>
  <c r="E329" i="103"/>
  <c r="D329" i="103" s="1"/>
  <c r="H328" i="103"/>
  <c r="G328" i="103"/>
  <c r="F328" i="103"/>
  <c r="E328" i="103"/>
  <c r="D328" i="103" s="1"/>
  <c r="H326" i="103"/>
  <c r="G326" i="103"/>
  <c r="F326" i="103"/>
  <c r="E326" i="103"/>
  <c r="D326" i="103" s="1"/>
  <c r="H325" i="103"/>
  <c r="G325" i="103"/>
  <c r="F325" i="103"/>
  <c r="E325" i="103"/>
  <c r="D325" i="103" s="1"/>
  <c r="H324" i="103"/>
  <c r="G324" i="103"/>
  <c r="F324" i="103"/>
  <c r="E324" i="103"/>
  <c r="D324" i="103" s="1"/>
  <c r="H323" i="103"/>
  <c r="G323" i="103"/>
  <c r="F323" i="103"/>
  <c r="E323" i="103"/>
  <c r="D323" i="103" s="1"/>
  <c r="H322" i="103"/>
  <c r="G322" i="103"/>
  <c r="F322" i="103"/>
  <c r="E322" i="103"/>
  <c r="D322" i="103" s="1"/>
  <c r="H321" i="103"/>
  <c r="G321" i="103"/>
  <c r="F321" i="103"/>
  <c r="E321" i="103"/>
  <c r="D321" i="103" s="1"/>
  <c r="H320" i="103"/>
  <c r="G320" i="103"/>
  <c r="F320" i="103"/>
  <c r="E320" i="103"/>
  <c r="D320" i="103" s="1"/>
  <c r="H319" i="103"/>
  <c r="G319" i="103"/>
  <c r="F319" i="103"/>
  <c r="E319" i="103"/>
  <c r="D319" i="103" s="1"/>
  <c r="H318" i="103"/>
  <c r="G318" i="103"/>
  <c r="F318" i="103"/>
  <c r="E318" i="103"/>
  <c r="D318" i="103" s="1"/>
  <c r="H317" i="103"/>
  <c r="G317" i="103"/>
  <c r="F317" i="103"/>
  <c r="E317" i="103"/>
  <c r="D317" i="103" s="1"/>
  <c r="H316" i="103"/>
  <c r="G316" i="103"/>
  <c r="F316" i="103"/>
  <c r="E316" i="103"/>
  <c r="D316" i="103" s="1"/>
  <c r="H315" i="103"/>
  <c r="G315" i="103"/>
  <c r="F315" i="103"/>
  <c r="E315" i="103"/>
  <c r="D315" i="103" s="1"/>
  <c r="H314" i="103"/>
  <c r="G314" i="103"/>
  <c r="F314" i="103"/>
  <c r="E314" i="103"/>
  <c r="D314" i="103" s="1"/>
  <c r="H313" i="103"/>
  <c r="G313" i="103"/>
  <c r="F313" i="103"/>
  <c r="E313" i="103"/>
  <c r="D313" i="103" s="1"/>
  <c r="H312" i="103"/>
  <c r="G312" i="103"/>
  <c r="F312" i="103"/>
  <c r="E312" i="103"/>
  <c r="D312" i="103" s="1"/>
  <c r="H311" i="103"/>
  <c r="G311" i="103"/>
  <c r="F311" i="103"/>
  <c r="E311" i="103"/>
  <c r="D311" i="103" s="1"/>
  <c r="H310" i="103"/>
  <c r="G310" i="103"/>
  <c r="F310" i="103"/>
  <c r="E310" i="103"/>
  <c r="D310" i="103" s="1"/>
  <c r="H309" i="103"/>
  <c r="G309" i="103"/>
  <c r="F309" i="103"/>
  <c r="E309" i="103"/>
  <c r="D309" i="103" s="1"/>
  <c r="H308" i="103"/>
  <c r="G308" i="103"/>
  <c r="F308" i="103"/>
  <c r="E308" i="103"/>
  <c r="D308" i="103" s="1"/>
  <c r="H307" i="103"/>
  <c r="G307" i="103"/>
  <c r="F307" i="103"/>
  <c r="E307" i="103"/>
  <c r="D307" i="103" s="1"/>
  <c r="H306" i="103"/>
  <c r="G306" i="103"/>
  <c r="F306" i="103"/>
  <c r="E306" i="103"/>
  <c r="D306" i="103" s="1"/>
  <c r="H305" i="103"/>
  <c r="G305" i="103"/>
  <c r="F305" i="103"/>
  <c r="E305" i="103"/>
  <c r="D305" i="103" s="1"/>
  <c r="H304" i="103"/>
  <c r="G304" i="103"/>
  <c r="F304" i="103"/>
  <c r="E304" i="103"/>
  <c r="D304" i="103" s="1"/>
  <c r="H303" i="103"/>
  <c r="G303" i="103"/>
  <c r="F303" i="103"/>
  <c r="E303" i="103"/>
  <c r="D303" i="103" s="1"/>
  <c r="H301" i="103"/>
  <c r="G301" i="103"/>
  <c r="F301" i="103"/>
  <c r="E301" i="103"/>
  <c r="D301" i="103" s="1"/>
  <c r="H300" i="103"/>
  <c r="G300" i="103"/>
  <c r="F300" i="103"/>
  <c r="E300" i="103"/>
  <c r="D300" i="103" s="1"/>
  <c r="H299" i="103"/>
  <c r="G299" i="103"/>
  <c r="F299" i="103"/>
  <c r="E299" i="103"/>
  <c r="D299" i="103" s="1"/>
  <c r="H298" i="103"/>
  <c r="G298" i="103"/>
  <c r="F298" i="103"/>
  <c r="E298" i="103"/>
  <c r="D298" i="103" s="1"/>
  <c r="H297" i="103"/>
  <c r="G297" i="103"/>
  <c r="F297" i="103"/>
  <c r="E297" i="103"/>
  <c r="D297" i="103" s="1"/>
  <c r="H296" i="103"/>
  <c r="G296" i="103"/>
  <c r="F296" i="103"/>
  <c r="E296" i="103"/>
  <c r="D296" i="103" s="1"/>
  <c r="H295" i="103"/>
  <c r="G295" i="103"/>
  <c r="F295" i="103"/>
  <c r="E295" i="103"/>
  <c r="D295" i="103" s="1"/>
  <c r="H294" i="103"/>
  <c r="G294" i="103"/>
  <c r="F294" i="103"/>
  <c r="E294" i="103"/>
  <c r="D294" i="103" s="1"/>
  <c r="H292" i="103"/>
  <c r="G292" i="103"/>
  <c r="F292" i="103"/>
  <c r="E292" i="103"/>
  <c r="D292" i="103" s="1"/>
  <c r="H291" i="103"/>
  <c r="G291" i="103"/>
  <c r="F291" i="103"/>
  <c r="E291" i="103"/>
  <c r="D291" i="103" s="1"/>
  <c r="H290" i="103"/>
  <c r="G290" i="103"/>
  <c r="F290" i="103"/>
  <c r="E290" i="103"/>
  <c r="D290" i="103" s="1"/>
  <c r="H289" i="103"/>
  <c r="G289" i="103"/>
  <c r="F289" i="103"/>
  <c r="E289" i="103"/>
  <c r="D289" i="103" s="1"/>
  <c r="H288" i="103"/>
  <c r="G288" i="103"/>
  <c r="F288" i="103"/>
  <c r="E288" i="103"/>
  <c r="D288" i="103" s="1"/>
  <c r="H287" i="103"/>
  <c r="G287" i="103"/>
  <c r="F287" i="103"/>
  <c r="E287" i="103"/>
  <c r="D287" i="103" s="1"/>
  <c r="H286" i="103"/>
  <c r="G286" i="103"/>
  <c r="F286" i="103"/>
  <c r="E286" i="103"/>
  <c r="D286" i="103" s="1"/>
  <c r="H285" i="103"/>
  <c r="G285" i="103"/>
  <c r="F285" i="103"/>
  <c r="E285" i="103"/>
  <c r="D285" i="103" s="1"/>
  <c r="H284" i="103"/>
  <c r="G284" i="103"/>
  <c r="F284" i="103"/>
  <c r="E284" i="103"/>
  <c r="D284" i="103" s="1"/>
  <c r="H283" i="103"/>
  <c r="G283" i="103"/>
  <c r="F283" i="103"/>
  <c r="E283" i="103"/>
  <c r="D283" i="103" s="1"/>
  <c r="H282" i="103"/>
  <c r="G282" i="103"/>
  <c r="F282" i="103"/>
  <c r="E282" i="103"/>
  <c r="D282" i="103" s="1"/>
  <c r="H281" i="103"/>
  <c r="G281" i="103"/>
  <c r="F281" i="103"/>
  <c r="E281" i="103"/>
  <c r="D281" i="103" s="1"/>
  <c r="H280" i="103"/>
  <c r="G280" i="103"/>
  <c r="F280" i="103"/>
  <c r="E280" i="103"/>
  <c r="D280" i="103" s="1"/>
  <c r="H279" i="103"/>
  <c r="G279" i="103"/>
  <c r="F279" i="103"/>
  <c r="E279" i="103"/>
  <c r="D279" i="103" s="1"/>
  <c r="H278" i="103"/>
  <c r="G278" i="103"/>
  <c r="F278" i="103"/>
  <c r="E278" i="103"/>
  <c r="D278" i="103" s="1"/>
  <c r="H277" i="103"/>
  <c r="G277" i="103"/>
  <c r="F277" i="103"/>
  <c r="E277" i="103"/>
  <c r="D277" i="103" s="1"/>
  <c r="H276" i="103"/>
  <c r="G276" i="103"/>
  <c r="F276" i="103"/>
  <c r="E276" i="103"/>
  <c r="D276" i="103" s="1"/>
  <c r="H275" i="103"/>
  <c r="G275" i="103"/>
  <c r="F275" i="103"/>
  <c r="E275" i="103"/>
  <c r="D275" i="103" s="1"/>
  <c r="H274" i="103"/>
  <c r="G274" i="103"/>
  <c r="F274" i="103"/>
  <c r="E274" i="103"/>
  <c r="D274" i="103" s="1"/>
  <c r="H273" i="103"/>
  <c r="G273" i="103"/>
  <c r="F273" i="103"/>
  <c r="E273" i="103"/>
  <c r="D273" i="103" s="1"/>
  <c r="H272" i="103"/>
  <c r="G272" i="103"/>
  <c r="F272" i="103"/>
  <c r="E272" i="103"/>
  <c r="D272" i="103" s="1"/>
  <c r="H271" i="103"/>
  <c r="G271" i="103"/>
  <c r="F271" i="103"/>
  <c r="E271" i="103"/>
  <c r="D271" i="103" s="1"/>
  <c r="H270" i="103"/>
  <c r="G270" i="103"/>
  <c r="F270" i="103"/>
  <c r="E270" i="103"/>
  <c r="D270" i="103" s="1"/>
  <c r="H269" i="103"/>
  <c r="G269" i="103"/>
  <c r="F269" i="103"/>
  <c r="E269" i="103"/>
  <c r="D269" i="103" s="1"/>
  <c r="H268" i="103"/>
  <c r="G268" i="103"/>
  <c r="F268" i="103"/>
  <c r="E268" i="103"/>
  <c r="D268" i="103" s="1"/>
  <c r="H267" i="103"/>
  <c r="G267" i="103"/>
  <c r="F267" i="103"/>
  <c r="E267" i="103"/>
  <c r="D267" i="103" s="1"/>
  <c r="H266" i="103"/>
  <c r="G266" i="103"/>
  <c r="F266" i="103"/>
  <c r="E266" i="103"/>
  <c r="D266" i="103" s="1"/>
  <c r="H265" i="103"/>
  <c r="G265" i="103"/>
  <c r="F265" i="103"/>
  <c r="E265" i="103"/>
  <c r="D265" i="103" s="1"/>
  <c r="H263" i="103"/>
  <c r="G263" i="103"/>
  <c r="F263" i="103"/>
  <c r="E263" i="103"/>
  <c r="D263" i="103" s="1"/>
  <c r="H262" i="103"/>
  <c r="G262" i="103"/>
  <c r="F262" i="103"/>
  <c r="E262" i="103"/>
  <c r="D262" i="103" s="1"/>
  <c r="H261" i="103"/>
  <c r="G261" i="103"/>
  <c r="F261" i="103"/>
  <c r="E261" i="103"/>
  <c r="D261" i="103" s="1"/>
  <c r="H260" i="103"/>
  <c r="G260" i="103"/>
  <c r="F260" i="103"/>
  <c r="E260" i="103"/>
  <c r="D260" i="103" s="1"/>
  <c r="H259" i="103"/>
  <c r="G259" i="103"/>
  <c r="F259" i="103"/>
  <c r="E259" i="103"/>
  <c r="D259" i="103" s="1"/>
  <c r="H258" i="103"/>
  <c r="G258" i="103"/>
  <c r="F258" i="103"/>
  <c r="E258" i="103"/>
  <c r="D258" i="103" s="1"/>
  <c r="H257" i="103"/>
  <c r="G257" i="103"/>
  <c r="F257" i="103"/>
  <c r="E257" i="103"/>
  <c r="D257" i="103" s="1"/>
  <c r="H256" i="103"/>
  <c r="G256" i="103"/>
  <c r="F256" i="103"/>
  <c r="E256" i="103"/>
  <c r="D256" i="103" s="1"/>
  <c r="H255" i="103"/>
  <c r="G255" i="103"/>
  <c r="F255" i="103"/>
  <c r="E255" i="103"/>
  <c r="D255" i="103" s="1"/>
  <c r="H254" i="103"/>
  <c r="G254" i="103"/>
  <c r="F254" i="103"/>
  <c r="E254" i="103"/>
  <c r="D254" i="103" s="1"/>
  <c r="H253" i="103"/>
  <c r="G253" i="103"/>
  <c r="F253" i="103"/>
  <c r="E253" i="103"/>
  <c r="D253" i="103" s="1"/>
  <c r="H252" i="103"/>
  <c r="G252" i="103"/>
  <c r="F252" i="103"/>
  <c r="E252" i="103"/>
  <c r="D252" i="103" s="1"/>
  <c r="H251" i="103"/>
  <c r="G251" i="103"/>
  <c r="F251" i="103"/>
  <c r="E251" i="103"/>
  <c r="D251" i="103" s="1"/>
  <c r="H250" i="103"/>
  <c r="G250" i="103"/>
  <c r="F250" i="103"/>
  <c r="E250" i="103"/>
  <c r="D250" i="103" s="1"/>
  <c r="H249" i="103"/>
  <c r="G249" i="103"/>
  <c r="F249" i="103"/>
  <c r="E249" i="103"/>
  <c r="D249" i="103" s="1"/>
  <c r="H248" i="103"/>
  <c r="G248" i="103"/>
  <c r="F248" i="103"/>
  <c r="E248" i="103"/>
  <c r="D248" i="103" s="1"/>
  <c r="H247" i="103"/>
  <c r="G247" i="103"/>
  <c r="F247" i="103"/>
  <c r="E247" i="103"/>
  <c r="D247" i="103" s="1"/>
  <c r="H246" i="103"/>
  <c r="G246" i="103"/>
  <c r="F246" i="103"/>
  <c r="E246" i="103"/>
  <c r="D246" i="103" s="1"/>
  <c r="H245" i="103"/>
  <c r="G245" i="103"/>
  <c r="F245" i="103"/>
  <c r="E245" i="103"/>
  <c r="D245" i="103" s="1"/>
  <c r="H244" i="103"/>
  <c r="G244" i="103"/>
  <c r="F244" i="103"/>
  <c r="E244" i="103"/>
  <c r="D244" i="103" s="1"/>
  <c r="H243" i="103"/>
  <c r="G243" i="103"/>
  <c r="F243" i="103"/>
  <c r="E243" i="103"/>
  <c r="D243" i="103" s="1"/>
  <c r="H242" i="103"/>
  <c r="G242" i="103"/>
  <c r="F242" i="103"/>
  <c r="E242" i="103"/>
  <c r="D242" i="103" s="1"/>
  <c r="H241" i="103"/>
  <c r="G241" i="103"/>
  <c r="F241" i="103"/>
  <c r="E241" i="103"/>
  <c r="D241" i="103" s="1"/>
  <c r="H240" i="103"/>
  <c r="G240" i="103"/>
  <c r="F240" i="103"/>
  <c r="E240" i="103"/>
  <c r="D240" i="103" s="1"/>
  <c r="H239" i="103"/>
  <c r="G239" i="103"/>
  <c r="F239" i="103"/>
  <c r="E239" i="103"/>
  <c r="D239" i="103" s="1"/>
  <c r="H238" i="103"/>
  <c r="G238" i="103"/>
  <c r="F238" i="103"/>
  <c r="E238" i="103"/>
  <c r="D238" i="103" s="1"/>
  <c r="H237" i="103"/>
  <c r="G237" i="103"/>
  <c r="F237" i="103"/>
  <c r="E237" i="103"/>
  <c r="D237" i="103" s="1"/>
  <c r="H236" i="103"/>
  <c r="G236" i="103"/>
  <c r="F236" i="103"/>
  <c r="E236" i="103"/>
  <c r="D236" i="103" s="1"/>
  <c r="H235" i="103"/>
  <c r="G235" i="103"/>
  <c r="F235" i="103"/>
  <c r="E235" i="103"/>
  <c r="D235" i="103" s="1"/>
  <c r="H234" i="103"/>
  <c r="G234" i="103"/>
  <c r="F234" i="103"/>
  <c r="E234" i="103"/>
  <c r="D234" i="103" s="1"/>
  <c r="H233" i="103"/>
  <c r="G233" i="103"/>
  <c r="F233" i="103"/>
  <c r="E233" i="103"/>
  <c r="D233" i="103" s="1"/>
  <c r="H232" i="103"/>
  <c r="G232" i="103"/>
  <c r="F232" i="103"/>
  <c r="E232" i="103"/>
  <c r="D232" i="103" s="1"/>
  <c r="H231" i="103"/>
  <c r="G231" i="103"/>
  <c r="F231" i="103"/>
  <c r="E231" i="103"/>
  <c r="D231" i="103" s="1"/>
  <c r="H230" i="103"/>
  <c r="G230" i="103"/>
  <c r="F230" i="103"/>
  <c r="E230" i="103"/>
  <c r="D230" i="103" s="1"/>
  <c r="H229" i="103"/>
  <c r="G229" i="103"/>
  <c r="F229" i="103"/>
  <c r="E229" i="103"/>
  <c r="D229" i="103" s="1"/>
  <c r="H228" i="103"/>
  <c r="G228" i="103"/>
  <c r="F228" i="103"/>
  <c r="E228" i="103"/>
  <c r="D228" i="103" s="1"/>
  <c r="H227" i="103"/>
  <c r="G227" i="103"/>
  <c r="F227" i="103"/>
  <c r="E227" i="103"/>
  <c r="D227" i="103" s="1"/>
  <c r="H226" i="103"/>
  <c r="G226" i="103"/>
  <c r="F226" i="103"/>
  <c r="E226" i="103"/>
  <c r="D226" i="103" s="1"/>
  <c r="H225" i="103"/>
  <c r="G225" i="103"/>
  <c r="F225" i="103"/>
  <c r="E225" i="103"/>
  <c r="D225" i="103" s="1"/>
  <c r="H224" i="103"/>
  <c r="G224" i="103"/>
  <c r="F224" i="103"/>
  <c r="E224" i="103"/>
  <c r="D224" i="103" s="1"/>
  <c r="H223" i="103"/>
  <c r="G223" i="103"/>
  <c r="F223" i="103"/>
  <c r="E223" i="103"/>
  <c r="D223" i="103" s="1"/>
  <c r="H222" i="103"/>
  <c r="G222" i="103"/>
  <c r="F222" i="103"/>
  <c r="E222" i="103"/>
  <c r="D222" i="103" s="1"/>
  <c r="H221" i="103"/>
  <c r="G221" i="103"/>
  <c r="F221" i="103"/>
  <c r="E221" i="103"/>
  <c r="D221" i="103" s="1"/>
  <c r="H220" i="103"/>
  <c r="G220" i="103"/>
  <c r="F220" i="103"/>
  <c r="E220" i="103"/>
  <c r="D220" i="103" s="1"/>
  <c r="H219" i="103"/>
  <c r="G219" i="103"/>
  <c r="F219" i="103"/>
  <c r="E219" i="103"/>
  <c r="D219" i="103" s="1"/>
  <c r="H218" i="103"/>
  <c r="G218" i="103"/>
  <c r="F218" i="103"/>
  <c r="E218" i="103"/>
  <c r="D218" i="103" s="1"/>
  <c r="H217" i="103"/>
  <c r="G217" i="103"/>
  <c r="F217" i="103"/>
  <c r="E217" i="103"/>
  <c r="D217" i="103" s="1"/>
  <c r="H216" i="103"/>
  <c r="G216" i="103"/>
  <c r="F216" i="103"/>
  <c r="E216" i="103"/>
  <c r="D216" i="103" s="1"/>
  <c r="H215" i="103"/>
  <c r="G215" i="103"/>
  <c r="F215" i="103"/>
  <c r="E215" i="103"/>
  <c r="D215" i="103" s="1"/>
  <c r="H214" i="103"/>
  <c r="G214" i="103"/>
  <c r="F214" i="103"/>
  <c r="E214" i="103"/>
  <c r="D214" i="103" s="1"/>
  <c r="H213" i="103"/>
  <c r="G213" i="103"/>
  <c r="F213" i="103"/>
  <c r="E213" i="103"/>
  <c r="D213" i="103" s="1"/>
  <c r="H212" i="103"/>
  <c r="G212" i="103"/>
  <c r="F212" i="103"/>
  <c r="E212" i="103"/>
  <c r="D212" i="103" s="1"/>
  <c r="H211" i="103"/>
  <c r="G211" i="103"/>
  <c r="F211" i="103"/>
  <c r="E211" i="103"/>
  <c r="D211" i="103" s="1"/>
  <c r="H210" i="103"/>
  <c r="G210" i="103"/>
  <c r="F210" i="103"/>
  <c r="E210" i="103"/>
  <c r="D210" i="103" s="1"/>
  <c r="H209" i="103"/>
  <c r="G209" i="103"/>
  <c r="F209" i="103"/>
  <c r="E209" i="103"/>
  <c r="D209" i="103" s="1"/>
  <c r="H208" i="103"/>
  <c r="G208" i="103"/>
  <c r="F208" i="103"/>
  <c r="E208" i="103"/>
  <c r="D208" i="103" s="1"/>
  <c r="H206" i="103"/>
  <c r="G206" i="103"/>
  <c r="F206" i="103"/>
  <c r="E206" i="103"/>
  <c r="D206" i="103" s="1"/>
  <c r="H205" i="103"/>
  <c r="G205" i="103"/>
  <c r="F205" i="103"/>
  <c r="E205" i="103"/>
  <c r="D205" i="103" s="1"/>
  <c r="H204" i="103"/>
  <c r="G204" i="103"/>
  <c r="F204" i="103"/>
  <c r="E204" i="103"/>
  <c r="D204" i="103" s="1"/>
  <c r="H203" i="103"/>
  <c r="G203" i="103"/>
  <c r="F203" i="103"/>
  <c r="E203" i="103"/>
  <c r="D203" i="103" s="1"/>
  <c r="H202" i="103"/>
  <c r="G202" i="103"/>
  <c r="F202" i="103"/>
  <c r="E202" i="103"/>
  <c r="D202" i="103" s="1"/>
  <c r="H201" i="103"/>
  <c r="G201" i="103"/>
  <c r="F201" i="103"/>
  <c r="E201" i="103"/>
  <c r="D201" i="103" s="1"/>
  <c r="H200" i="103"/>
  <c r="G200" i="103"/>
  <c r="F200" i="103"/>
  <c r="E200" i="103"/>
  <c r="D200" i="103" s="1"/>
  <c r="H199" i="103"/>
  <c r="G199" i="103"/>
  <c r="F199" i="103"/>
  <c r="E199" i="103"/>
  <c r="D199" i="103" s="1"/>
  <c r="H198" i="103"/>
  <c r="G198" i="103"/>
  <c r="F198" i="103"/>
  <c r="E198" i="103"/>
  <c r="D198" i="103" s="1"/>
  <c r="H197" i="103"/>
  <c r="G197" i="103"/>
  <c r="F197" i="103"/>
  <c r="E197" i="103"/>
  <c r="D197" i="103" s="1"/>
  <c r="H196" i="103"/>
  <c r="G196" i="103"/>
  <c r="F196" i="103"/>
  <c r="E196" i="103"/>
  <c r="D196" i="103" s="1"/>
  <c r="H195" i="103"/>
  <c r="G195" i="103"/>
  <c r="F195" i="103"/>
  <c r="E195" i="103"/>
  <c r="D195" i="103" s="1"/>
  <c r="H194" i="103"/>
  <c r="G194" i="103"/>
  <c r="F194" i="103"/>
  <c r="E194" i="103"/>
  <c r="D194" i="103" s="1"/>
  <c r="H193" i="103"/>
  <c r="G193" i="103"/>
  <c r="F193" i="103"/>
  <c r="E193" i="103"/>
  <c r="D193" i="103" s="1"/>
  <c r="H192" i="103"/>
  <c r="G192" i="103"/>
  <c r="F192" i="103"/>
  <c r="E192" i="103"/>
  <c r="D192" i="103" s="1"/>
  <c r="H191" i="103"/>
  <c r="G191" i="103"/>
  <c r="F191" i="103"/>
  <c r="E191" i="103"/>
  <c r="D191" i="103" s="1"/>
  <c r="H190" i="103"/>
  <c r="G190" i="103"/>
  <c r="F190" i="103"/>
  <c r="E190" i="103"/>
  <c r="D190" i="103" s="1"/>
  <c r="H189" i="103"/>
  <c r="G189" i="103"/>
  <c r="F189" i="103"/>
  <c r="E189" i="103"/>
  <c r="D189" i="103" s="1"/>
  <c r="H188" i="103"/>
  <c r="G188" i="103"/>
  <c r="F188" i="103"/>
  <c r="E188" i="103"/>
  <c r="D188" i="103" s="1"/>
  <c r="H187" i="103"/>
  <c r="G187" i="103"/>
  <c r="F187" i="103"/>
  <c r="E187" i="103"/>
  <c r="D187" i="103" s="1"/>
  <c r="H186" i="103"/>
  <c r="G186" i="103"/>
  <c r="F186" i="103"/>
  <c r="E186" i="103"/>
  <c r="D186" i="103" s="1"/>
  <c r="H185" i="103"/>
  <c r="G185" i="103"/>
  <c r="F185" i="103"/>
  <c r="E185" i="103"/>
  <c r="D185" i="103" s="1"/>
  <c r="H184" i="103"/>
  <c r="G184" i="103"/>
  <c r="F184" i="103"/>
  <c r="E184" i="103"/>
  <c r="D184" i="103" s="1"/>
  <c r="H183" i="103"/>
  <c r="G183" i="103"/>
  <c r="F183" i="103"/>
  <c r="E183" i="103"/>
  <c r="D183" i="103" s="1"/>
  <c r="H182" i="103"/>
  <c r="G182" i="103"/>
  <c r="F182" i="103"/>
  <c r="E182" i="103"/>
  <c r="D182" i="103" s="1"/>
  <c r="H181" i="103"/>
  <c r="G181" i="103"/>
  <c r="F181" i="103"/>
  <c r="E181" i="103"/>
  <c r="D181" i="103" s="1"/>
  <c r="H180" i="103"/>
  <c r="G180" i="103"/>
  <c r="F180" i="103"/>
  <c r="E180" i="103"/>
  <c r="D180" i="103" s="1"/>
  <c r="H179" i="103"/>
  <c r="G179" i="103"/>
  <c r="F179" i="103"/>
  <c r="E179" i="103"/>
  <c r="D179" i="103" s="1"/>
  <c r="H178" i="103"/>
  <c r="G178" i="103"/>
  <c r="F178" i="103"/>
  <c r="E178" i="103"/>
  <c r="D178" i="103" s="1"/>
  <c r="H177" i="103"/>
  <c r="G177" i="103"/>
  <c r="F177" i="103"/>
  <c r="E177" i="103"/>
  <c r="D177" i="103" s="1"/>
  <c r="H176" i="103"/>
  <c r="G176" i="103"/>
  <c r="F176" i="103"/>
  <c r="E176" i="103"/>
  <c r="D176" i="103" s="1"/>
  <c r="H175" i="103"/>
  <c r="G175" i="103"/>
  <c r="F175" i="103"/>
  <c r="E175" i="103"/>
  <c r="D175" i="103" s="1"/>
  <c r="H174" i="103"/>
  <c r="G174" i="103"/>
  <c r="F174" i="103"/>
  <c r="E174" i="103"/>
  <c r="D174" i="103" s="1"/>
  <c r="H173" i="103"/>
  <c r="G173" i="103"/>
  <c r="F173" i="103"/>
  <c r="E173" i="103"/>
  <c r="D173" i="103" s="1"/>
  <c r="H172" i="103"/>
  <c r="G172" i="103"/>
  <c r="F172" i="103"/>
  <c r="E172" i="103"/>
  <c r="D172" i="103" s="1"/>
  <c r="H171" i="103"/>
  <c r="G171" i="103"/>
  <c r="F171" i="103"/>
  <c r="E171" i="103"/>
  <c r="D171" i="103" s="1"/>
  <c r="H170" i="103"/>
  <c r="G170" i="103"/>
  <c r="F170" i="103"/>
  <c r="E170" i="103"/>
  <c r="D170" i="103" s="1"/>
  <c r="H169" i="103"/>
  <c r="G169" i="103"/>
  <c r="F169" i="103"/>
  <c r="E169" i="103"/>
  <c r="D169" i="103" s="1"/>
  <c r="H168" i="103"/>
  <c r="G168" i="103"/>
  <c r="F168" i="103"/>
  <c r="E168" i="103"/>
  <c r="D168" i="103" s="1"/>
  <c r="H167" i="103"/>
  <c r="G167" i="103"/>
  <c r="F167" i="103"/>
  <c r="E167" i="103"/>
  <c r="D167" i="103" s="1"/>
  <c r="H166" i="103"/>
  <c r="G166" i="103"/>
  <c r="F166" i="103"/>
  <c r="E166" i="103"/>
  <c r="D166" i="103" s="1"/>
  <c r="H165" i="103"/>
  <c r="G165" i="103"/>
  <c r="F165" i="103"/>
  <c r="E165" i="103"/>
  <c r="D165" i="103" s="1"/>
  <c r="H164" i="103"/>
  <c r="G164" i="103"/>
  <c r="F164" i="103"/>
  <c r="E164" i="103"/>
  <c r="D164" i="103" s="1"/>
  <c r="H163" i="103"/>
  <c r="G163" i="103"/>
  <c r="F163" i="103"/>
  <c r="E163" i="103"/>
  <c r="D163" i="103" s="1"/>
  <c r="H162" i="103"/>
  <c r="G162" i="103"/>
  <c r="F162" i="103"/>
  <c r="E162" i="103"/>
  <c r="D162" i="103" s="1"/>
  <c r="H161" i="103"/>
  <c r="G161" i="103"/>
  <c r="F161" i="103"/>
  <c r="E161" i="103"/>
  <c r="D161" i="103" s="1"/>
  <c r="H160" i="103"/>
  <c r="G160" i="103"/>
  <c r="F160" i="103"/>
  <c r="E160" i="103"/>
  <c r="D160" i="103" s="1"/>
  <c r="H159" i="103"/>
  <c r="G159" i="103"/>
  <c r="F159" i="103"/>
  <c r="E159" i="103"/>
  <c r="D159" i="103" s="1"/>
  <c r="H158" i="103"/>
  <c r="G158" i="103"/>
  <c r="F158" i="103"/>
  <c r="E158" i="103"/>
  <c r="D158" i="103" s="1"/>
  <c r="H157" i="103"/>
  <c r="G157" i="103"/>
  <c r="F157" i="103"/>
  <c r="E157" i="103"/>
  <c r="D157" i="103" s="1"/>
  <c r="H156" i="103"/>
  <c r="G156" i="103"/>
  <c r="F156" i="103"/>
  <c r="E156" i="103"/>
  <c r="D156" i="103" s="1"/>
  <c r="H154" i="103"/>
  <c r="G154" i="103"/>
  <c r="F154" i="103"/>
  <c r="E154" i="103"/>
  <c r="D154" i="103" s="1"/>
  <c r="H153" i="103"/>
  <c r="G153" i="103"/>
  <c r="F153" i="103"/>
  <c r="E153" i="103"/>
  <c r="D153" i="103" s="1"/>
  <c r="H152" i="103"/>
  <c r="G152" i="103"/>
  <c r="F152" i="103"/>
  <c r="E152" i="103"/>
  <c r="D152" i="103" s="1"/>
  <c r="H151" i="103"/>
  <c r="G151" i="103"/>
  <c r="F151" i="103"/>
  <c r="E151" i="103"/>
  <c r="D151" i="103" s="1"/>
  <c r="H149" i="103"/>
  <c r="G149" i="103"/>
  <c r="F149" i="103"/>
  <c r="E149" i="103"/>
  <c r="D149" i="103" s="1"/>
  <c r="H147" i="103"/>
  <c r="G147" i="103"/>
  <c r="F147" i="103"/>
  <c r="E147" i="103"/>
  <c r="D147" i="103" s="1"/>
  <c r="H146" i="103"/>
  <c r="G146" i="103"/>
  <c r="F146" i="103"/>
  <c r="E146" i="103"/>
  <c r="D146" i="103" s="1"/>
  <c r="H145" i="103"/>
  <c r="G145" i="103"/>
  <c r="F145" i="103"/>
  <c r="E145" i="103"/>
  <c r="D145" i="103" s="1"/>
  <c r="H144" i="103"/>
  <c r="G144" i="103"/>
  <c r="F144" i="103"/>
  <c r="E144" i="103"/>
  <c r="D144" i="103" s="1"/>
  <c r="H143" i="103"/>
  <c r="G143" i="103"/>
  <c r="F143" i="103"/>
  <c r="E143" i="103"/>
  <c r="D143" i="103" s="1"/>
  <c r="H142" i="103"/>
  <c r="G142" i="103"/>
  <c r="F142" i="103"/>
  <c r="E142" i="103"/>
  <c r="D142" i="103" s="1"/>
  <c r="H141" i="103"/>
  <c r="G141" i="103"/>
  <c r="F141" i="103"/>
  <c r="E141" i="103"/>
  <c r="D141" i="103" s="1"/>
  <c r="H140" i="103"/>
  <c r="G140" i="103"/>
  <c r="F140" i="103"/>
  <c r="E140" i="103"/>
  <c r="D140" i="103" s="1"/>
  <c r="H139" i="103"/>
  <c r="G139" i="103"/>
  <c r="F139" i="103"/>
  <c r="E139" i="103"/>
  <c r="D139" i="103" s="1"/>
  <c r="H138" i="103"/>
  <c r="G138" i="103"/>
  <c r="F138" i="103"/>
  <c r="E138" i="103"/>
  <c r="D138" i="103" s="1"/>
  <c r="H137" i="103"/>
  <c r="G137" i="103"/>
  <c r="F137" i="103"/>
  <c r="E137" i="103"/>
  <c r="D137" i="103" s="1"/>
  <c r="H136" i="103"/>
  <c r="G136" i="103"/>
  <c r="F136" i="103"/>
  <c r="E136" i="103"/>
  <c r="D136" i="103" s="1"/>
  <c r="H135" i="103"/>
  <c r="G135" i="103"/>
  <c r="F135" i="103"/>
  <c r="E135" i="103"/>
  <c r="D135" i="103" s="1"/>
  <c r="H134" i="103"/>
  <c r="G134" i="103"/>
  <c r="F134" i="103"/>
  <c r="E134" i="103"/>
  <c r="D134" i="103" s="1"/>
  <c r="H133" i="103"/>
  <c r="G133" i="103"/>
  <c r="F133" i="103"/>
  <c r="E133" i="103"/>
  <c r="D133" i="103" s="1"/>
  <c r="H132" i="103"/>
  <c r="G132" i="103"/>
  <c r="F132" i="103"/>
  <c r="E132" i="103"/>
  <c r="D132" i="103" s="1"/>
  <c r="H131" i="103"/>
  <c r="G131" i="103"/>
  <c r="F131" i="103"/>
  <c r="E131" i="103"/>
  <c r="D131" i="103" s="1"/>
  <c r="H130" i="103"/>
  <c r="G130" i="103"/>
  <c r="F130" i="103"/>
  <c r="E130" i="103"/>
  <c r="D130" i="103" s="1"/>
  <c r="H129" i="103"/>
  <c r="G129" i="103"/>
  <c r="F129" i="103"/>
  <c r="E129" i="103"/>
  <c r="D129" i="103" s="1"/>
  <c r="H128" i="103"/>
  <c r="G128" i="103"/>
  <c r="F128" i="103"/>
  <c r="E128" i="103"/>
  <c r="D128" i="103" s="1"/>
  <c r="H127" i="103"/>
  <c r="G127" i="103"/>
  <c r="F127" i="103"/>
  <c r="E127" i="103"/>
  <c r="D127" i="103" s="1"/>
  <c r="H126" i="103"/>
  <c r="G126" i="103"/>
  <c r="F126" i="103"/>
  <c r="E126" i="103"/>
  <c r="D126" i="103" s="1"/>
  <c r="H125" i="103"/>
  <c r="G125" i="103"/>
  <c r="F125" i="103"/>
  <c r="E125" i="103"/>
  <c r="D125" i="103" s="1"/>
  <c r="H124" i="103"/>
  <c r="G124" i="103"/>
  <c r="F124" i="103"/>
  <c r="E124" i="103"/>
  <c r="D124" i="103" s="1"/>
  <c r="H123" i="103"/>
  <c r="G123" i="103"/>
  <c r="F123" i="103"/>
  <c r="E123" i="103"/>
  <c r="D123" i="103" s="1"/>
  <c r="H122" i="103"/>
  <c r="G122" i="103"/>
  <c r="F122" i="103"/>
  <c r="E122" i="103"/>
  <c r="D122" i="103" s="1"/>
  <c r="H121" i="103"/>
  <c r="G121" i="103"/>
  <c r="F121" i="103"/>
  <c r="E121" i="103"/>
  <c r="D121" i="103" s="1"/>
  <c r="H120" i="103"/>
  <c r="G120" i="103"/>
  <c r="F120" i="103"/>
  <c r="E120" i="103"/>
  <c r="D120" i="103" s="1"/>
  <c r="H119" i="103"/>
  <c r="G119" i="103"/>
  <c r="F119" i="103"/>
  <c r="E119" i="103"/>
  <c r="D119" i="103" s="1"/>
  <c r="H118" i="103"/>
  <c r="G118" i="103"/>
  <c r="F118" i="103"/>
  <c r="E118" i="103"/>
  <c r="D118" i="103" s="1"/>
  <c r="H117" i="103"/>
  <c r="G117" i="103"/>
  <c r="F117" i="103"/>
  <c r="E117" i="103"/>
  <c r="D117" i="103" s="1"/>
  <c r="H116" i="103"/>
  <c r="G116" i="103"/>
  <c r="F116" i="103"/>
  <c r="E116" i="103"/>
  <c r="D116" i="103" s="1"/>
  <c r="H115" i="103"/>
  <c r="G115" i="103"/>
  <c r="F115" i="103"/>
  <c r="E115" i="103"/>
  <c r="D115" i="103" s="1"/>
  <c r="H114" i="103"/>
  <c r="G114" i="103"/>
  <c r="F114" i="103"/>
  <c r="E114" i="103"/>
  <c r="D114" i="103" s="1"/>
  <c r="H113" i="103"/>
  <c r="G113" i="103"/>
  <c r="F113" i="103"/>
  <c r="E113" i="103"/>
  <c r="D113" i="103" s="1"/>
  <c r="H112" i="103"/>
  <c r="G112" i="103"/>
  <c r="F112" i="103"/>
  <c r="E112" i="103"/>
  <c r="D112" i="103" s="1"/>
  <c r="H111" i="103"/>
  <c r="G111" i="103"/>
  <c r="F111" i="103"/>
  <c r="E111" i="103"/>
  <c r="D111" i="103" s="1"/>
  <c r="H110" i="103"/>
  <c r="G110" i="103"/>
  <c r="F110" i="103"/>
  <c r="E110" i="103"/>
  <c r="D110" i="103" s="1"/>
  <c r="H109" i="103"/>
  <c r="G109" i="103"/>
  <c r="F109" i="103"/>
  <c r="E109" i="103"/>
  <c r="D109" i="103" s="1"/>
  <c r="H108" i="103"/>
  <c r="G108" i="103"/>
  <c r="F108" i="103"/>
  <c r="E108" i="103"/>
  <c r="D108" i="103" s="1"/>
  <c r="H107" i="103"/>
  <c r="G107" i="103"/>
  <c r="F107" i="103"/>
  <c r="E107" i="103"/>
  <c r="D107" i="103" s="1"/>
  <c r="H106" i="103"/>
  <c r="G106" i="103"/>
  <c r="F106" i="103"/>
  <c r="E106" i="103"/>
  <c r="D106" i="103" s="1"/>
  <c r="H105" i="103"/>
  <c r="G105" i="103"/>
  <c r="F105" i="103"/>
  <c r="E105" i="103"/>
  <c r="D105" i="103" s="1"/>
  <c r="H104" i="103"/>
  <c r="G104" i="103"/>
  <c r="F104" i="103"/>
  <c r="E104" i="103"/>
  <c r="D104" i="103" s="1"/>
  <c r="H103" i="103"/>
  <c r="G103" i="103"/>
  <c r="F103" i="103"/>
  <c r="E103" i="103"/>
  <c r="D103" i="103" s="1"/>
  <c r="H102" i="103"/>
  <c r="G102" i="103"/>
  <c r="F102" i="103"/>
  <c r="E102" i="103"/>
  <c r="D102" i="103" s="1"/>
  <c r="H101" i="103"/>
  <c r="G101" i="103"/>
  <c r="F101" i="103"/>
  <c r="E101" i="103"/>
  <c r="D101" i="103" s="1"/>
  <c r="H100" i="103"/>
  <c r="G100" i="103"/>
  <c r="F100" i="103"/>
  <c r="E100" i="103"/>
  <c r="D100" i="103" s="1"/>
  <c r="H99" i="103"/>
  <c r="G99" i="103"/>
  <c r="F99" i="103"/>
  <c r="E99" i="103"/>
  <c r="D99" i="103" s="1"/>
  <c r="H98" i="103"/>
  <c r="G98" i="103"/>
  <c r="F98" i="103"/>
  <c r="E98" i="103"/>
  <c r="D98" i="103" s="1"/>
  <c r="H97" i="103"/>
  <c r="G97" i="103"/>
  <c r="F97" i="103"/>
  <c r="E97" i="103"/>
  <c r="D97" i="103" s="1"/>
  <c r="H96" i="103"/>
  <c r="G96" i="103"/>
  <c r="F96" i="103"/>
  <c r="E96" i="103"/>
  <c r="D96" i="103" s="1"/>
  <c r="H95" i="103"/>
  <c r="G95" i="103"/>
  <c r="F95" i="103"/>
  <c r="E95" i="103"/>
  <c r="D95" i="103" s="1"/>
  <c r="H94" i="103"/>
  <c r="G94" i="103"/>
  <c r="F94" i="103"/>
  <c r="E94" i="103"/>
  <c r="D94" i="103" s="1"/>
  <c r="H93" i="103"/>
  <c r="G93" i="103"/>
  <c r="F93" i="103"/>
  <c r="E93" i="103"/>
  <c r="D93" i="103" s="1"/>
  <c r="H92" i="103"/>
  <c r="G92" i="103"/>
  <c r="F92" i="103"/>
  <c r="E92" i="103"/>
  <c r="D92" i="103" s="1"/>
  <c r="H91" i="103"/>
  <c r="G91" i="103"/>
  <c r="F91" i="103"/>
  <c r="E91" i="103"/>
  <c r="D91" i="103" s="1"/>
  <c r="H90" i="103"/>
  <c r="G90" i="103"/>
  <c r="F90" i="103"/>
  <c r="E90" i="103"/>
  <c r="D90" i="103" s="1"/>
  <c r="H89" i="103"/>
  <c r="G89" i="103"/>
  <c r="F89" i="103"/>
  <c r="E89" i="103"/>
  <c r="D89" i="103" s="1"/>
  <c r="H88" i="103"/>
  <c r="G88" i="103"/>
  <c r="F88" i="103"/>
  <c r="E88" i="103"/>
  <c r="D88" i="103" s="1"/>
  <c r="H87" i="103"/>
  <c r="G87" i="103"/>
  <c r="F87" i="103"/>
  <c r="E87" i="103"/>
  <c r="D87" i="103" s="1"/>
  <c r="H86" i="103"/>
  <c r="G86" i="103"/>
  <c r="F86" i="103"/>
  <c r="E86" i="103"/>
  <c r="D86" i="103" s="1"/>
  <c r="H85" i="103"/>
  <c r="G85" i="103"/>
  <c r="F85" i="103"/>
  <c r="E85" i="103"/>
  <c r="D85" i="103" s="1"/>
  <c r="H84" i="103"/>
  <c r="G84" i="103"/>
  <c r="F84" i="103"/>
  <c r="E84" i="103"/>
  <c r="D84" i="103" s="1"/>
  <c r="H83" i="103"/>
  <c r="G83" i="103"/>
  <c r="F83" i="103"/>
  <c r="E83" i="103"/>
  <c r="D83" i="103" s="1"/>
  <c r="H82" i="103"/>
  <c r="G82" i="103"/>
  <c r="F82" i="103"/>
  <c r="E82" i="103"/>
  <c r="D82" i="103" s="1"/>
  <c r="H81" i="103"/>
  <c r="G81" i="103"/>
  <c r="F81" i="103"/>
  <c r="E81" i="103"/>
  <c r="D81" i="103" s="1"/>
  <c r="H80" i="103"/>
  <c r="G80" i="103"/>
  <c r="F80" i="103"/>
  <c r="E80" i="103"/>
  <c r="D80" i="103" s="1"/>
  <c r="H79" i="103"/>
  <c r="G79" i="103"/>
  <c r="F79" i="103"/>
  <c r="E79" i="103"/>
  <c r="D79" i="103" s="1"/>
  <c r="H78" i="103"/>
  <c r="G78" i="103"/>
  <c r="F78" i="103"/>
  <c r="E78" i="103"/>
  <c r="D78" i="103" s="1"/>
  <c r="H77" i="103"/>
  <c r="G77" i="103"/>
  <c r="F77" i="103"/>
  <c r="E77" i="103"/>
  <c r="D77" i="103" s="1"/>
  <c r="H76" i="103"/>
  <c r="G76" i="103"/>
  <c r="F76" i="103"/>
  <c r="E76" i="103"/>
  <c r="D76" i="103" s="1"/>
  <c r="H75" i="103"/>
  <c r="G75" i="103"/>
  <c r="F75" i="103"/>
  <c r="E75" i="103"/>
  <c r="D75" i="103" s="1"/>
  <c r="H74" i="103"/>
  <c r="G74" i="103"/>
  <c r="F74" i="103"/>
  <c r="E74" i="103"/>
  <c r="D74" i="103" s="1"/>
  <c r="H73" i="103"/>
  <c r="G73" i="103"/>
  <c r="F73" i="103"/>
  <c r="E73" i="103"/>
  <c r="D73" i="103" s="1"/>
  <c r="H72" i="103"/>
  <c r="G72" i="103"/>
  <c r="F72" i="103"/>
  <c r="E72" i="103"/>
  <c r="D72" i="103" s="1"/>
  <c r="H71" i="103"/>
  <c r="G71" i="103"/>
  <c r="F71" i="103"/>
  <c r="E71" i="103"/>
  <c r="D71" i="103" s="1"/>
  <c r="H70" i="103"/>
  <c r="G70" i="103"/>
  <c r="F70" i="103"/>
  <c r="E70" i="103"/>
  <c r="D70" i="103" s="1"/>
  <c r="H69" i="103"/>
  <c r="G69" i="103"/>
  <c r="F69" i="103"/>
  <c r="E69" i="103"/>
  <c r="D69" i="103" s="1"/>
  <c r="H68" i="103"/>
  <c r="G68" i="103"/>
  <c r="F68" i="103"/>
  <c r="E68" i="103"/>
  <c r="D68" i="103" s="1"/>
  <c r="H67" i="103"/>
  <c r="G67" i="103"/>
  <c r="F67" i="103"/>
  <c r="E67" i="103"/>
  <c r="D67" i="103" s="1"/>
  <c r="H66" i="103"/>
  <c r="G66" i="103"/>
  <c r="F66" i="103"/>
  <c r="E66" i="103"/>
  <c r="D66" i="103" s="1"/>
  <c r="H65" i="103"/>
  <c r="G65" i="103"/>
  <c r="F65" i="103"/>
  <c r="E65" i="103"/>
  <c r="D65" i="103" s="1"/>
  <c r="H64" i="103"/>
  <c r="G64" i="103"/>
  <c r="F64" i="103"/>
  <c r="E64" i="103"/>
  <c r="D64" i="103" s="1"/>
  <c r="H63" i="103"/>
  <c r="G63" i="103"/>
  <c r="F63" i="103"/>
  <c r="E63" i="103"/>
  <c r="D63" i="103" s="1"/>
  <c r="H62" i="103"/>
  <c r="G62" i="103"/>
  <c r="F62" i="103"/>
  <c r="E62" i="103"/>
  <c r="D62" i="103" s="1"/>
  <c r="H60" i="103"/>
  <c r="G60" i="103"/>
  <c r="F60" i="103"/>
  <c r="E60" i="103"/>
  <c r="D60" i="103" s="1"/>
  <c r="H59" i="103"/>
  <c r="G59" i="103"/>
  <c r="F59" i="103"/>
  <c r="E59" i="103"/>
  <c r="D59" i="103" s="1"/>
  <c r="H58" i="103"/>
  <c r="G58" i="103"/>
  <c r="F58" i="103"/>
  <c r="E58" i="103"/>
  <c r="D58" i="103" s="1"/>
  <c r="H57" i="103"/>
  <c r="G57" i="103"/>
  <c r="F57" i="103"/>
  <c r="E57" i="103"/>
  <c r="D57" i="103" s="1"/>
  <c r="H56" i="103"/>
  <c r="G56" i="103"/>
  <c r="F56" i="103"/>
  <c r="E56" i="103"/>
  <c r="D56" i="103" s="1"/>
  <c r="H54" i="103"/>
  <c r="G54" i="103"/>
  <c r="F54" i="103"/>
  <c r="E54" i="103"/>
  <c r="D54" i="103" s="1"/>
  <c r="H53" i="103"/>
  <c r="G53" i="103"/>
  <c r="F53" i="103"/>
  <c r="E53" i="103"/>
  <c r="D53" i="103" s="1"/>
  <c r="H52" i="103"/>
  <c r="G52" i="103"/>
  <c r="F52" i="103"/>
  <c r="E52" i="103"/>
  <c r="D52" i="103" s="1"/>
  <c r="H51" i="103"/>
  <c r="G51" i="103"/>
  <c r="F51" i="103"/>
  <c r="E51" i="103"/>
  <c r="D51" i="103" s="1"/>
  <c r="H50" i="103"/>
  <c r="G50" i="103"/>
  <c r="F50" i="103"/>
  <c r="E50" i="103"/>
  <c r="D50" i="103" s="1"/>
  <c r="H49" i="103"/>
  <c r="G49" i="103"/>
  <c r="F49" i="103"/>
  <c r="E49" i="103"/>
  <c r="D49" i="103" s="1"/>
  <c r="H48" i="103"/>
  <c r="G48" i="103"/>
  <c r="F48" i="103"/>
  <c r="E48" i="103"/>
  <c r="D48" i="103" s="1"/>
  <c r="H47" i="103"/>
  <c r="G47" i="103"/>
  <c r="F47" i="103"/>
  <c r="E47" i="103"/>
  <c r="D47" i="103" s="1"/>
  <c r="H46" i="103"/>
  <c r="G46" i="103"/>
  <c r="F46" i="103"/>
  <c r="E46" i="103"/>
  <c r="D46" i="103" s="1"/>
  <c r="H45" i="103"/>
  <c r="G45" i="103"/>
  <c r="F45" i="103"/>
  <c r="E45" i="103"/>
  <c r="D45" i="103" s="1"/>
  <c r="H44" i="103"/>
  <c r="G44" i="103"/>
  <c r="F44" i="103"/>
  <c r="E44" i="103"/>
  <c r="D44" i="103" s="1"/>
  <c r="H43" i="103"/>
  <c r="G43" i="103"/>
  <c r="F43" i="103"/>
  <c r="E43" i="103"/>
  <c r="D43" i="103" s="1"/>
  <c r="H42" i="103"/>
  <c r="G42" i="103"/>
  <c r="F42" i="103"/>
  <c r="E42" i="103"/>
  <c r="D42" i="103" s="1"/>
  <c r="H41" i="103"/>
  <c r="G41" i="103"/>
  <c r="F41" i="103"/>
  <c r="E41" i="103"/>
  <c r="D41" i="103" s="1"/>
  <c r="H40" i="103"/>
  <c r="G40" i="103"/>
  <c r="F40" i="103"/>
  <c r="E40" i="103"/>
  <c r="D40" i="103" s="1"/>
  <c r="H39" i="103"/>
  <c r="G39" i="103"/>
  <c r="F39" i="103"/>
  <c r="E39" i="103"/>
  <c r="D39" i="103" s="1"/>
  <c r="H38" i="103"/>
  <c r="G38" i="103"/>
  <c r="F38" i="103"/>
  <c r="E38" i="103"/>
  <c r="D38" i="103" s="1"/>
  <c r="H37" i="103"/>
  <c r="G37" i="103"/>
  <c r="F37" i="103"/>
  <c r="E37" i="103"/>
  <c r="D37" i="103" s="1"/>
  <c r="H36" i="103"/>
  <c r="G36" i="103"/>
  <c r="F36" i="103"/>
  <c r="E36" i="103"/>
  <c r="D36" i="103" s="1"/>
  <c r="H35" i="103"/>
  <c r="G35" i="103"/>
  <c r="F35" i="103"/>
  <c r="E35" i="103"/>
  <c r="D35" i="103" s="1"/>
  <c r="H34" i="103"/>
  <c r="G34" i="103"/>
  <c r="F34" i="103"/>
  <c r="E34" i="103"/>
  <c r="D34" i="103" s="1"/>
  <c r="H33" i="103"/>
  <c r="G33" i="103"/>
  <c r="F33" i="103"/>
  <c r="E33" i="103"/>
  <c r="D33" i="103" s="1"/>
  <c r="H32" i="103"/>
  <c r="G32" i="103"/>
  <c r="F32" i="103"/>
  <c r="E32" i="103"/>
  <c r="D32" i="103" s="1"/>
  <c r="H31" i="103"/>
  <c r="G31" i="103"/>
  <c r="F31" i="103"/>
  <c r="E31" i="103"/>
  <c r="D31" i="103" s="1"/>
  <c r="H30" i="103"/>
  <c r="G30" i="103"/>
  <c r="F30" i="103"/>
  <c r="E30" i="103"/>
  <c r="D30" i="103" s="1"/>
  <c r="H29" i="103"/>
  <c r="G29" i="103"/>
  <c r="F29" i="103"/>
  <c r="E29" i="103"/>
  <c r="D29" i="103" s="1"/>
  <c r="H28" i="103"/>
  <c r="G28" i="103"/>
  <c r="F28" i="103"/>
  <c r="E28" i="103"/>
  <c r="D28" i="103" s="1"/>
  <c r="H27" i="103"/>
  <c r="G27" i="103"/>
  <c r="F27" i="103"/>
  <c r="E27" i="103"/>
  <c r="D27" i="103" s="1"/>
  <c r="H26" i="103"/>
  <c r="G26" i="103"/>
  <c r="F26" i="103"/>
  <c r="E26" i="103"/>
  <c r="D26" i="103" s="1"/>
  <c r="H25" i="103"/>
  <c r="G25" i="103"/>
  <c r="F25" i="103"/>
  <c r="E25" i="103"/>
  <c r="D25" i="103" s="1"/>
  <c r="H24" i="103"/>
  <c r="G24" i="103"/>
  <c r="F24" i="103"/>
  <c r="E24" i="103"/>
  <c r="D24" i="103" s="1"/>
  <c r="H23" i="103"/>
  <c r="G23" i="103"/>
  <c r="F23" i="103"/>
  <c r="E23" i="103"/>
  <c r="D23" i="103" s="1"/>
  <c r="H22" i="103"/>
  <c r="G22" i="103"/>
  <c r="F22" i="103"/>
  <c r="E22" i="103"/>
  <c r="D22" i="103" s="1"/>
  <c r="H21" i="103"/>
  <c r="G21" i="103"/>
  <c r="F21" i="103"/>
  <c r="E21" i="103"/>
  <c r="D21" i="103" s="1"/>
  <c r="H20" i="103"/>
  <c r="G20" i="103"/>
  <c r="F20" i="103"/>
  <c r="E20" i="103"/>
  <c r="D20" i="103" s="1"/>
  <c r="H19" i="103"/>
  <c r="G19" i="103"/>
  <c r="F19" i="103"/>
  <c r="E19" i="103"/>
  <c r="D19" i="103" s="1"/>
  <c r="H18" i="103"/>
  <c r="G18" i="103"/>
  <c r="F18" i="103"/>
  <c r="E18" i="103"/>
  <c r="D18" i="103" s="1"/>
  <c r="H17" i="103"/>
  <c r="G17" i="103"/>
  <c r="F17" i="103"/>
  <c r="E17" i="103"/>
  <c r="D17" i="103" s="1"/>
  <c r="H16" i="103"/>
  <c r="G16" i="103"/>
  <c r="F16" i="103"/>
  <c r="E16" i="103"/>
  <c r="D16" i="103" s="1"/>
  <c r="H15" i="103"/>
  <c r="G15" i="103"/>
  <c r="F15" i="103"/>
  <c r="E15" i="103"/>
  <c r="D15" i="103" s="1"/>
  <c r="H14" i="103"/>
  <c r="G14" i="103"/>
  <c r="F14" i="103"/>
  <c r="E14" i="103"/>
  <c r="D14" i="103" s="1"/>
  <c r="H12" i="103"/>
  <c r="G12" i="103"/>
  <c r="F12" i="103"/>
  <c r="E12" i="103"/>
  <c r="D12" i="103" s="1"/>
  <c r="H11" i="103"/>
  <c r="G11" i="103"/>
  <c r="F11" i="103"/>
  <c r="E11" i="103"/>
  <c r="D11" i="103" s="1"/>
  <c r="H10" i="103"/>
  <c r="G10" i="103"/>
  <c r="F10" i="103"/>
  <c r="E10" i="103"/>
  <c r="D10" i="103" s="1"/>
  <c r="H9" i="103"/>
  <c r="G9" i="103"/>
  <c r="F9" i="103"/>
  <c r="E9" i="103"/>
  <c r="D9" i="103" s="1"/>
  <c r="H8" i="103"/>
  <c r="G8" i="103"/>
  <c r="F8" i="103"/>
  <c r="E8" i="103"/>
  <c r="D8" i="103" s="1"/>
  <c r="H7" i="103"/>
  <c r="G7" i="103"/>
  <c r="F7" i="103"/>
  <c r="E7" i="103"/>
  <c r="D7" i="103" s="1"/>
  <c r="H6" i="103"/>
  <c r="G6" i="103"/>
  <c r="F6" i="103"/>
  <c r="E6" i="103"/>
  <c r="D6" i="103" s="1"/>
  <c r="H5" i="103"/>
  <c r="G5" i="103"/>
  <c r="F5" i="103"/>
  <c r="E5" i="103"/>
  <c r="D5" i="103" s="1"/>
  <c r="H4" i="103"/>
  <c r="G4" i="103"/>
  <c r="F4" i="103"/>
  <c r="E4" i="103"/>
  <c r="D4" i="103" s="1"/>
  <c r="H3" i="103"/>
  <c r="G3" i="103"/>
  <c r="F3" i="103"/>
  <c r="E3" i="103"/>
  <c r="D3" i="103" s="1"/>
  <c r="H2" i="103"/>
  <c r="G2" i="103"/>
  <c r="F2" i="103"/>
  <c r="E2" i="103"/>
  <c r="D2" i="103" s="1"/>
  <c r="E53" i="106"/>
  <c r="E52" i="106"/>
  <c r="E51" i="106"/>
  <c r="E50" i="106"/>
  <c r="E49" i="106"/>
  <c r="E48" i="106"/>
  <c r="E47" i="106"/>
  <c r="E46" i="106"/>
  <c r="E45" i="106"/>
  <c r="E44" i="106"/>
  <c r="E43" i="106"/>
  <c r="E42" i="106"/>
  <c r="E41" i="106"/>
  <c r="E40" i="106"/>
  <c r="E39" i="106"/>
  <c r="E38" i="106"/>
  <c r="E37" i="106"/>
  <c r="E36" i="106"/>
  <c r="E35" i="106"/>
  <c r="E34" i="106"/>
  <c r="E33" i="106"/>
  <c r="E32" i="106"/>
  <c r="E31" i="106"/>
  <c r="E30" i="106"/>
  <c r="E29" i="106"/>
  <c r="E28" i="106"/>
  <c r="E27" i="106"/>
  <c r="E26" i="106"/>
  <c r="E25" i="106"/>
  <c r="E24" i="106"/>
  <c r="E23" i="106"/>
  <c r="E22" i="106"/>
  <c r="E21" i="106"/>
  <c r="E20" i="106"/>
  <c r="E19" i="106"/>
  <c r="E18" i="106"/>
  <c r="E17" i="106"/>
  <c r="E16" i="106"/>
  <c r="E15" i="106"/>
  <c r="E14" i="106"/>
  <c r="E13" i="106"/>
  <c r="E12" i="106"/>
  <c r="E11" i="106"/>
  <c r="E10" i="106"/>
  <c r="E9" i="106"/>
  <c r="E8" i="106"/>
  <c r="E7" i="106"/>
  <c r="E6" i="106"/>
  <c r="E5" i="106"/>
  <c r="E4" i="106"/>
  <c r="E3" i="106"/>
  <c r="E2" i="106"/>
  <c r="Q8" i="102"/>
  <c r="P8" i="102"/>
  <c r="O8" i="102"/>
  <c r="V8" i="102" s="1"/>
  <c r="U8" i="102" s="1"/>
  <c r="T8" i="102" s="1"/>
  <c r="S8" i="102" s="1"/>
  <c r="R8" i="102" s="1"/>
  <c r="N8" i="102"/>
  <c r="K8" i="102"/>
  <c r="C8" i="102"/>
  <c r="Q7" i="102"/>
  <c r="P7" i="102"/>
  <c r="O7" i="102"/>
  <c r="V7" i="102" s="1"/>
  <c r="U7" i="102" s="1"/>
  <c r="T7" i="102" s="1"/>
  <c r="S7" i="102" s="1"/>
  <c r="R7" i="102" s="1"/>
  <c r="N7" i="102"/>
  <c r="K7" i="102"/>
  <c r="C7" i="102"/>
  <c r="Q6" i="102"/>
  <c r="P6" i="102"/>
  <c r="O6" i="102"/>
  <c r="V6" i="102" s="1"/>
  <c r="U6" i="102" s="1"/>
  <c r="T6" i="102" s="1"/>
  <c r="S6" i="102" s="1"/>
  <c r="R6" i="102" s="1"/>
  <c r="N6" i="102"/>
  <c r="K6" i="102"/>
  <c r="C6" i="102"/>
  <c r="Q5" i="102"/>
  <c r="P5" i="102"/>
  <c r="O5" i="102"/>
  <c r="V5" i="102" s="1"/>
  <c r="U5" i="102" s="1"/>
  <c r="T5" i="102" s="1"/>
  <c r="S5" i="102" s="1"/>
  <c r="R5" i="102" s="1"/>
  <c r="N5" i="102"/>
  <c r="K5" i="102"/>
  <c r="Q12" i="7" s="1" a="1"/>
  <c r="Q12" i="7" s="1"/>
  <c r="C5" i="102"/>
  <c r="Q4" i="102"/>
  <c r="P4" i="102"/>
  <c r="O4" i="102"/>
  <c r="V4" i="102" s="1"/>
  <c r="N4" i="102"/>
  <c r="K4" i="102"/>
  <c r="M16" i="7" s="1" a="1"/>
  <c r="M16" i="7" s="1"/>
  <c r="J4" i="102"/>
  <c r="M11" i="7" s="1" a="1"/>
  <c r="M11" i="7" s="1"/>
  <c r="N3" i="102"/>
  <c r="J3" i="102"/>
  <c r="G15" i="7" a="1"/>
  <c r="G15" i="7" s="1"/>
  <c r="G14" i="7" a="1"/>
  <c r="G14" i="7" s="1"/>
  <c r="G13" i="7" a="1"/>
  <c r="G13" i="7" s="1"/>
  <c r="G12" i="7" a="1"/>
  <c r="G12" i="7" s="1"/>
  <c r="G11" i="7" a="1"/>
  <c r="G11" i="7" s="1"/>
  <c r="D9" i="7"/>
  <c r="D8" i="7"/>
  <c r="D7" i="7"/>
  <c r="AA56" i="3"/>
  <c r="AA55" i="3"/>
  <c r="AA54" i="3"/>
  <c r="Z53" i="3"/>
  <c r="E26" i="3"/>
  <c r="B22" i="3"/>
  <c r="B25" i="3" s="1"/>
  <c r="A22" i="3"/>
  <c r="A25" i="3" s="1"/>
  <c r="F21" i="3"/>
  <c r="F20" i="3"/>
  <c r="A14" i="3"/>
  <c r="A13" i="3"/>
  <c r="A12" i="3"/>
  <c r="H11" i="3"/>
  <c r="G11" i="3"/>
  <c r="F11" i="3"/>
  <c r="A10" i="3"/>
  <c r="H7" i="3"/>
  <c r="E7" i="3"/>
  <c r="H6" i="3"/>
  <c r="E6" i="3"/>
  <c r="A86" i="67"/>
  <c r="A85" i="67"/>
  <c r="N84" i="67"/>
  <c r="N83" i="67"/>
  <c r="A83" i="67"/>
  <c r="A84" i="67" s="1"/>
  <c r="N82" i="67"/>
  <c r="A82" i="67"/>
  <c r="N81" i="67"/>
  <c r="A81" i="67"/>
  <c r="N80" i="67"/>
  <c r="A80" i="67"/>
  <c r="N79" i="67"/>
  <c r="A79" i="67"/>
  <c r="N78" i="67"/>
  <c r="A78" i="67"/>
  <c r="N77" i="67"/>
  <c r="A77" i="67"/>
  <c r="N76" i="67"/>
  <c r="A76" i="67"/>
  <c r="N75" i="67"/>
  <c r="A75" i="67"/>
  <c r="N74" i="67"/>
  <c r="A74" i="67"/>
  <c r="N73" i="67"/>
  <c r="M71" i="67"/>
  <c r="N70" i="67"/>
  <c r="E63" i="67"/>
  <c r="E62" i="67"/>
  <c r="E61" i="67"/>
  <c r="A61" i="67"/>
  <c r="E60" i="67"/>
  <c r="E58" i="67"/>
  <c r="E57" i="67"/>
  <c r="A57" i="67" s="1"/>
  <c r="A55" i="67"/>
  <c r="A54" i="67"/>
  <c r="A53" i="67"/>
  <c r="A52" i="67"/>
  <c r="E51" i="67"/>
  <c r="E50" i="67"/>
  <c r="A49" i="67"/>
  <c r="E48" i="67"/>
  <c r="A47" i="67"/>
  <c r="A46" i="67"/>
  <c r="A45" i="67"/>
  <c r="A44" i="67"/>
  <c r="A42" i="67"/>
  <c r="A41" i="67"/>
  <c r="A40" i="67"/>
  <c r="E39" i="67"/>
  <c r="A38" i="67"/>
  <c r="A37" i="67"/>
  <c r="A33" i="67"/>
  <c r="A32" i="67"/>
  <c r="E10" i="67"/>
  <c r="E6" i="67"/>
  <c r="E46" i="77"/>
  <c r="A46" i="77" s="1"/>
  <c r="A48" i="77" s="1"/>
  <c r="D104" i="2"/>
  <c r="E24" i="77" s="1"/>
  <c r="A24" i="77" s="1"/>
  <c r="D102" i="2"/>
  <c r="E23" i="77" s="1"/>
  <c r="D100" i="2"/>
  <c r="E17" i="86" s="1"/>
  <c r="E18" i="86" s="1"/>
  <c r="M23" i="115"/>
  <c r="C75" i="2"/>
  <c r="D6" i="4" s="1"/>
  <c r="C3920" i="105"/>
  <c r="C3918" i="105"/>
  <c r="C3910" i="105"/>
  <c r="C3902" i="105"/>
  <c r="C3894" i="105"/>
  <c r="C3886" i="105"/>
  <c r="C3878" i="105"/>
  <c r="C3870" i="105"/>
  <c r="C3862" i="105"/>
  <c r="C3854" i="105"/>
  <c r="C3846" i="105"/>
  <c r="C3838" i="105"/>
  <c r="C3830" i="105"/>
  <c r="C3822" i="105"/>
  <c r="C3814" i="105"/>
  <c r="C3806" i="105"/>
  <c r="C3798" i="105"/>
  <c r="C3790" i="105"/>
  <c r="C3782" i="105"/>
  <c r="C3774" i="105"/>
  <c r="C3766" i="105"/>
  <c r="C3758" i="105"/>
  <c r="C3750" i="105"/>
  <c r="C3742" i="105"/>
  <c r="C3734" i="105"/>
  <c r="C3917" i="105"/>
  <c r="C3909" i="105"/>
  <c r="C3901" i="105"/>
  <c r="C3893" i="105"/>
  <c r="C3885" i="105"/>
  <c r="C3877" i="105"/>
  <c r="C3869" i="105"/>
  <c r="C3861" i="105"/>
  <c r="C3853" i="105"/>
  <c r="C3845" i="105"/>
  <c r="C3837" i="105"/>
  <c r="C3829" i="105"/>
  <c r="C3821" i="105"/>
  <c r="C3813" i="105"/>
  <c r="C3805" i="105"/>
  <c r="C3797" i="105"/>
  <c r="C3789" i="105"/>
  <c r="C3781" i="105"/>
  <c r="C3773" i="105"/>
  <c r="C3765" i="105"/>
  <c r="C3757" i="105"/>
  <c r="C3749" i="105"/>
  <c r="C3741" i="105"/>
  <c r="C3733" i="105"/>
  <c r="C3916" i="105"/>
  <c r="C3908" i="105"/>
  <c r="C3900" i="105"/>
  <c r="C3892" i="105"/>
  <c r="C3884" i="105"/>
  <c r="C3876" i="105"/>
  <c r="C3868" i="105"/>
  <c r="C3860" i="105"/>
  <c r="C3852" i="105"/>
  <c r="C3844" i="105"/>
  <c r="C3836" i="105"/>
  <c r="C3828" i="105"/>
  <c r="C3820" i="105"/>
  <c r="C3812" i="105"/>
  <c r="C3804" i="105"/>
  <c r="C3796" i="105"/>
  <c r="C3788" i="105"/>
  <c r="C3780" i="105"/>
  <c r="C3772" i="105"/>
  <c r="C3764" i="105"/>
  <c r="C3756" i="105"/>
  <c r="C3748" i="105"/>
  <c r="C3740" i="105"/>
  <c r="C3732" i="105"/>
  <c r="C3915" i="105"/>
  <c r="C3907" i="105"/>
  <c r="C3899" i="105"/>
  <c r="C3891" i="105"/>
  <c r="C3883" i="105"/>
  <c r="C3875" i="105"/>
  <c r="C3867" i="105"/>
  <c r="C3859" i="105"/>
  <c r="C3851" i="105"/>
  <c r="C3843" i="105"/>
  <c r="C3835" i="105"/>
  <c r="C3827" i="105"/>
  <c r="C3819" i="105"/>
  <c r="C3811" i="105"/>
  <c r="C3803" i="105"/>
  <c r="C3795" i="105"/>
  <c r="C3787" i="105"/>
  <c r="C3779" i="105"/>
  <c r="C3771" i="105"/>
  <c r="C3763" i="105"/>
  <c r="C3755" i="105"/>
  <c r="C3747" i="105"/>
  <c r="C3739" i="105"/>
  <c r="C3731" i="105"/>
  <c r="C3914" i="105"/>
  <c r="C3906" i="105"/>
  <c r="C3898" i="105"/>
  <c r="C3890" i="105"/>
  <c r="C3882" i="105"/>
  <c r="C3874" i="105"/>
  <c r="C3866" i="105"/>
  <c r="C3858" i="105"/>
  <c r="C3850" i="105"/>
  <c r="C3842" i="105"/>
  <c r="C3834" i="105"/>
  <c r="C3826" i="105"/>
  <c r="C3818" i="105"/>
  <c r="C3810" i="105"/>
  <c r="C3802" i="105"/>
  <c r="C3794" i="105"/>
  <c r="C3786" i="105"/>
  <c r="C3778" i="105"/>
  <c r="C3770" i="105"/>
  <c r="C3762" i="105"/>
  <c r="C3754" i="105"/>
  <c r="C3746" i="105"/>
  <c r="C3738" i="105"/>
  <c r="C3730" i="105"/>
  <c r="C3913" i="105"/>
  <c r="C3905" i="105"/>
  <c r="C3897" i="105"/>
  <c r="C3889" i="105"/>
  <c r="C3881" i="105"/>
  <c r="C3873" i="105"/>
  <c r="C3865" i="105"/>
  <c r="C3857" i="105"/>
  <c r="C3849" i="105"/>
  <c r="C3841" i="105"/>
  <c r="C3833" i="105"/>
  <c r="C3825" i="105"/>
  <c r="C3817" i="105"/>
  <c r="C3809" i="105"/>
  <c r="C3801" i="105"/>
  <c r="C3793" i="105"/>
  <c r="C3785" i="105"/>
  <c r="C3777" i="105"/>
  <c r="C3769" i="105"/>
  <c r="C3761" i="105"/>
  <c r="C3753" i="105"/>
  <c r="C3745" i="105"/>
  <c r="C3737" i="105"/>
  <c r="C3729" i="105"/>
  <c r="C3912" i="105"/>
  <c r="C3904" i="105"/>
  <c r="C3896" i="105"/>
  <c r="C3888" i="105"/>
  <c r="C3880" i="105"/>
  <c r="C3872" i="105"/>
  <c r="C3864" i="105"/>
  <c r="C3856" i="105"/>
  <c r="C3848" i="105"/>
  <c r="C3840" i="105"/>
  <c r="C3832" i="105"/>
  <c r="C3824" i="105"/>
  <c r="C3816" i="105"/>
  <c r="C3808" i="105"/>
  <c r="C3800" i="105"/>
  <c r="C3792" i="105"/>
  <c r="C3784" i="105"/>
  <c r="C3776" i="105"/>
  <c r="C3768" i="105"/>
  <c r="C3760" i="105"/>
  <c r="C3752" i="105"/>
  <c r="C3744" i="105"/>
  <c r="C3736" i="105"/>
  <c r="C3919" i="105"/>
  <c r="C3911" i="105"/>
  <c r="C3903" i="105"/>
  <c r="C3895" i="105"/>
  <c r="C3887" i="105"/>
  <c r="C3879" i="105"/>
  <c r="C3871" i="105"/>
  <c r="C3863" i="105"/>
  <c r="C3855" i="105"/>
  <c r="C3847" i="105"/>
  <c r="C3839" i="105"/>
  <c r="C3831" i="105"/>
  <c r="C3823" i="105"/>
  <c r="C3815" i="105"/>
  <c r="C3807" i="105"/>
  <c r="C3799" i="105"/>
  <c r="C3791" i="105"/>
  <c r="C3783" i="105"/>
  <c r="C3775" i="105"/>
  <c r="C3767" i="105"/>
  <c r="C3759" i="105"/>
  <c r="C3751" i="105"/>
  <c r="C3743" i="105"/>
  <c r="C3735" i="105"/>
  <c r="C3726" i="105"/>
  <c r="C3721" i="105"/>
  <c r="C3713" i="105"/>
  <c r="C3705" i="105"/>
  <c r="C3697" i="105"/>
  <c r="C3689" i="105"/>
  <c r="C3681" i="105"/>
  <c r="C3720" i="105"/>
  <c r="C3712" i="105"/>
  <c r="C3704" i="105"/>
  <c r="C3696" i="105"/>
  <c r="C3688" i="105"/>
  <c r="C3680" i="105"/>
  <c r="C3719" i="105"/>
  <c r="C3711" i="105"/>
  <c r="C3703" i="105"/>
  <c r="C3695" i="105"/>
  <c r="C3687" i="105"/>
  <c r="C3679" i="105"/>
  <c r="C3676" i="105"/>
  <c r="C3718" i="105"/>
  <c r="C3710" i="105"/>
  <c r="C3702" i="105"/>
  <c r="C3694" i="105"/>
  <c r="C3686" i="105"/>
  <c r="C3678" i="105"/>
  <c r="C3725" i="105"/>
  <c r="C3717" i="105"/>
  <c r="C3709" i="105"/>
  <c r="C3701" i="105"/>
  <c r="C3693" i="105"/>
  <c r="C3685" i="105"/>
  <c r="C3677" i="105"/>
  <c r="C3724" i="105"/>
  <c r="C3716" i="105"/>
  <c r="C3708" i="105"/>
  <c r="C3700" i="105"/>
  <c r="C3692" i="105"/>
  <c r="C3684" i="105"/>
  <c r="C3728" i="105"/>
  <c r="C3723" i="105"/>
  <c r="C3715" i="105"/>
  <c r="C3707" i="105"/>
  <c r="C3699" i="105"/>
  <c r="C3691" i="105"/>
  <c r="C3683" i="105"/>
  <c r="C3727" i="105"/>
  <c r="C3722" i="105"/>
  <c r="C3714" i="105"/>
  <c r="C3706" i="105"/>
  <c r="C3698" i="105"/>
  <c r="C3690" i="105"/>
  <c r="C3682" i="105"/>
  <c r="C3675" i="105"/>
  <c r="C3380" i="105"/>
  <c r="C3388" i="105"/>
  <c r="C3396" i="105"/>
  <c r="C3404" i="105"/>
  <c r="C3412" i="105"/>
  <c r="C3420" i="105"/>
  <c r="C3428" i="105"/>
  <c r="C3436" i="105"/>
  <c r="C3444" i="105"/>
  <c r="C3452" i="105"/>
  <c r="C3460" i="105"/>
  <c r="C3468" i="105"/>
  <c r="C3476" i="105"/>
  <c r="C3484" i="105"/>
  <c r="C3492" i="105"/>
  <c r="C3500" i="105"/>
  <c r="C3508" i="105"/>
  <c r="C3516" i="105"/>
  <c r="C3524" i="105"/>
  <c r="C3532" i="105"/>
  <c r="C3540" i="105"/>
  <c r="C3548" i="105"/>
  <c r="C3556" i="105"/>
  <c r="C3564" i="105"/>
  <c r="C3572" i="105"/>
  <c r="C3580" i="105"/>
  <c r="C3588" i="105"/>
  <c r="C3596" i="105"/>
  <c r="C3604" i="105"/>
  <c r="C3612" i="105"/>
  <c r="C3620" i="105"/>
  <c r="C3628" i="105"/>
  <c r="C3636" i="105"/>
  <c r="C3644" i="105"/>
  <c r="C3652" i="105"/>
  <c r="C3660" i="105"/>
  <c r="C3668" i="105"/>
  <c r="C3381" i="105"/>
  <c r="C3389" i="105"/>
  <c r="C3397" i="105"/>
  <c r="C3405" i="105"/>
  <c r="C3413" i="105"/>
  <c r="C3421" i="105"/>
  <c r="C3429" i="105"/>
  <c r="C3437" i="105"/>
  <c r="C3445" i="105"/>
  <c r="C3453" i="105"/>
  <c r="C3461" i="105"/>
  <c r="C3469" i="105"/>
  <c r="C3477" i="105"/>
  <c r="C3485" i="105"/>
  <c r="C3493" i="105"/>
  <c r="C3501" i="105"/>
  <c r="C3509" i="105"/>
  <c r="C3517" i="105"/>
  <c r="C3525" i="105"/>
  <c r="C3533" i="105"/>
  <c r="C3541" i="105"/>
  <c r="C3549" i="105"/>
  <c r="C3557" i="105"/>
  <c r="C3565" i="105"/>
  <c r="C3573" i="105"/>
  <c r="C3581" i="105"/>
  <c r="C3589" i="105"/>
  <c r="C3597" i="105"/>
  <c r="C3605" i="105"/>
  <c r="C3613" i="105"/>
  <c r="C3621" i="105"/>
  <c r="C3629" i="105"/>
  <c r="C3637" i="105"/>
  <c r="C3645" i="105"/>
  <c r="C3653" i="105"/>
  <c r="C3661" i="105"/>
  <c r="C3669" i="105"/>
  <c r="C3382" i="105"/>
  <c r="C3390" i="105"/>
  <c r="C3398" i="105"/>
  <c r="C3406" i="105"/>
  <c r="C3414" i="105"/>
  <c r="C3422" i="105"/>
  <c r="C3430" i="105"/>
  <c r="C3438" i="105"/>
  <c r="C3446" i="105"/>
  <c r="C3454" i="105"/>
  <c r="C3462" i="105"/>
  <c r="C3470" i="105"/>
  <c r="C3478" i="105"/>
  <c r="C3486" i="105"/>
  <c r="C3494" i="105"/>
  <c r="C3502" i="105"/>
  <c r="C3510" i="105"/>
  <c r="C3518" i="105"/>
  <c r="C3526" i="105"/>
  <c r="C3534" i="105"/>
  <c r="C3542" i="105"/>
  <c r="C3550" i="105"/>
  <c r="C3558" i="105"/>
  <c r="C3566" i="105"/>
  <c r="C3574" i="105"/>
  <c r="C3582" i="105"/>
  <c r="C3590" i="105"/>
  <c r="C3598" i="105"/>
  <c r="C3606" i="105"/>
  <c r="C3614" i="105"/>
  <c r="C3622" i="105"/>
  <c r="C3630" i="105"/>
  <c r="C3638" i="105"/>
  <c r="C3646" i="105"/>
  <c r="C3654" i="105"/>
  <c r="C3662" i="105"/>
  <c r="C3670" i="105"/>
  <c r="B3372" i="105"/>
  <c r="C3383" i="105"/>
  <c r="C3391" i="105"/>
  <c r="C3399" i="105"/>
  <c r="C3407" i="105"/>
  <c r="C3415" i="105"/>
  <c r="C3423" i="105"/>
  <c r="C3431" i="105"/>
  <c r="C3439" i="105"/>
  <c r="C3447" i="105"/>
  <c r="C3455" i="105"/>
  <c r="C3463" i="105"/>
  <c r="C3471" i="105"/>
  <c r="C3479" i="105"/>
  <c r="C3487" i="105"/>
  <c r="C3495" i="105"/>
  <c r="C3503" i="105"/>
  <c r="C3511" i="105"/>
  <c r="C3519" i="105"/>
  <c r="C3527" i="105"/>
  <c r="C3535" i="105"/>
  <c r="C3543" i="105"/>
  <c r="C3551" i="105"/>
  <c r="C3559" i="105"/>
  <c r="C3567" i="105"/>
  <c r="C3575" i="105"/>
  <c r="C3583" i="105"/>
  <c r="C3591" i="105"/>
  <c r="C3599" i="105"/>
  <c r="C3607" i="105"/>
  <c r="C3615" i="105"/>
  <c r="C3623" i="105"/>
  <c r="C3631" i="105"/>
  <c r="C3639" i="105"/>
  <c r="C3647" i="105"/>
  <c r="C3655" i="105"/>
  <c r="C3663" i="105"/>
  <c r="C3671" i="105"/>
  <c r="C3376" i="105"/>
  <c r="C3384" i="105"/>
  <c r="C3392" i="105"/>
  <c r="C3400" i="105"/>
  <c r="C3408" i="105"/>
  <c r="C3416" i="105"/>
  <c r="C3424" i="105"/>
  <c r="C3432" i="105"/>
  <c r="C3440" i="105"/>
  <c r="C3448" i="105"/>
  <c r="C3456" i="105"/>
  <c r="C3464" i="105"/>
  <c r="C3472" i="105"/>
  <c r="C3480" i="105"/>
  <c r="C3488" i="105"/>
  <c r="C3496" i="105"/>
  <c r="C3504" i="105"/>
  <c r="C3512" i="105"/>
  <c r="C3520" i="105"/>
  <c r="C3528" i="105"/>
  <c r="C3536" i="105"/>
  <c r="C3544" i="105"/>
  <c r="C3552" i="105"/>
  <c r="C3560" i="105"/>
  <c r="C3568" i="105"/>
  <c r="C3576" i="105"/>
  <c r="C3584" i="105"/>
  <c r="C3592" i="105"/>
  <c r="C3600" i="105"/>
  <c r="C3608" i="105"/>
  <c r="C3616" i="105"/>
  <c r="C3624" i="105"/>
  <c r="C3632" i="105"/>
  <c r="C3640" i="105"/>
  <c r="C3648" i="105"/>
  <c r="C3656" i="105"/>
  <c r="C3664" i="105"/>
  <c r="C3672" i="105"/>
  <c r="C3377" i="105"/>
  <c r="C3385" i="105"/>
  <c r="C3393" i="105"/>
  <c r="C3401" i="105"/>
  <c r="C3409" i="105"/>
  <c r="C3417" i="105"/>
  <c r="C3425" i="105"/>
  <c r="C3433" i="105"/>
  <c r="C3441" i="105"/>
  <c r="C3449" i="105"/>
  <c r="C3457" i="105"/>
  <c r="C3465" i="105"/>
  <c r="C3473" i="105"/>
  <c r="C3481" i="105"/>
  <c r="C3489" i="105"/>
  <c r="C3497" i="105"/>
  <c r="C3505" i="105"/>
  <c r="C3513" i="105"/>
  <c r="C3521" i="105"/>
  <c r="C3529" i="105"/>
  <c r="C3537" i="105"/>
  <c r="C3545" i="105"/>
  <c r="C3553" i="105"/>
  <c r="C3561" i="105"/>
  <c r="C3569" i="105"/>
  <c r="C3577" i="105"/>
  <c r="C3585" i="105"/>
  <c r="C3593" i="105"/>
  <c r="C3601" i="105"/>
  <c r="C3609" i="105"/>
  <c r="C3617" i="105"/>
  <c r="C3625" i="105"/>
  <c r="C3633" i="105"/>
  <c r="C3641" i="105"/>
  <c r="C3649" i="105"/>
  <c r="C3657" i="105"/>
  <c r="C3665" i="105"/>
  <c r="C3673" i="105"/>
  <c r="C3378" i="105"/>
  <c r="C3386" i="105"/>
  <c r="C3394" i="105"/>
  <c r="C3402" i="105"/>
  <c r="C3410" i="105"/>
  <c r="C3418" i="105"/>
  <c r="C3426" i="105"/>
  <c r="C3434" i="105"/>
  <c r="C3442" i="105"/>
  <c r="C3450" i="105"/>
  <c r="C3458" i="105"/>
  <c r="C3466" i="105"/>
  <c r="C3474" i="105"/>
  <c r="C3482" i="105"/>
  <c r="C3490" i="105"/>
  <c r="C3498" i="105"/>
  <c r="C3506" i="105"/>
  <c r="C3514" i="105"/>
  <c r="C3522" i="105"/>
  <c r="C3530" i="105"/>
  <c r="C3538" i="105"/>
  <c r="C3546" i="105"/>
  <c r="C3554" i="105"/>
  <c r="C3562" i="105"/>
  <c r="C3570" i="105"/>
  <c r="C3578" i="105"/>
  <c r="C3586" i="105"/>
  <c r="C3594" i="105"/>
  <c r="C3602" i="105"/>
  <c r="C3610" i="105"/>
  <c r="C3618" i="105"/>
  <c r="C3626" i="105"/>
  <c r="C3634" i="105"/>
  <c r="C3642" i="105"/>
  <c r="C3650" i="105"/>
  <c r="C3658" i="105"/>
  <c r="C3666" i="105"/>
  <c r="C3674" i="105"/>
  <c r="C3379" i="105"/>
  <c r="C3387" i="105"/>
  <c r="C3395" i="105"/>
  <c r="C3403" i="105"/>
  <c r="C3411" i="105"/>
  <c r="C3419" i="105"/>
  <c r="C3427" i="105"/>
  <c r="C3435" i="105"/>
  <c r="C3443" i="105"/>
  <c r="C3451" i="105"/>
  <c r="C3459" i="105"/>
  <c r="C3467" i="105"/>
  <c r="C3475" i="105"/>
  <c r="C3483" i="105"/>
  <c r="C3491" i="105"/>
  <c r="C3499" i="105"/>
  <c r="C3507" i="105"/>
  <c r="C3515" i="105"/>
  <c r="C3523" i="105"/>
  <c r="C3531" i="105"/>
  <c r="C3539" i="105"/>
  <c r="C3547" i="105"/>
  <c r="C3555" i="105"/>
  <c r="C3563" i="105"/>
  <c r="C3571" i="105"/>
  <c r="C3579" i="105"/>
  <c r="C3587" i="105"/>
  <c r="C3595" i="105"/>
  <c r="C3603" i="105"/>
  <c r="C3611" i="105"/>
  <c r="C3619" i="105"/>
  <c r="C3627" i="105"/>
  <c r="C3635" i="105"/>
  <c r="C3643" i="105"/>
  <c r="C3651" i="105"/>
  <c r="C3659" i="105"/>
  <c r="C3667" i="105"/>
  <c r="F43" i="95"/>
  <c r="H42" i="56"/>
  <c r="H44" i="56" s="1"/>
  <c r="S153" i="91"/>
  <c r="S154" i="91"/>
  <c r="S155" i="91"/>
  <c r="S156" i="91"/>
  <c r="A141" i="91"/>
  <c r="A142" i="91" s="1"/>
  <c r="A143" i="91" s="1"/>
  <c r="A139" i="91"/>
  <c r="A133" i="91"/>
  <c r="A135" i="91"/>
  <c r="A136" i="91" s="1"/>
  <c r="A137" i="91" s="1"/>
  <c r="A127" i="91"/>
  <c r="A129" i="91"/>
  <c r="A130" i="91" s="1"/>
  <c r="A131" i="91" s="1"/>
  <c r="A121" i="91"/>
  <c r="A123" i="91"/>
  <c r="A124" i="91" s="1"/>
  <c r="A125" i="91" s="1"/>
  <c r="A115" i="91"/>
  <c r="A117" i="91"/>
  <c r="A118" i="91" s="1"/>
  <c r="A119" i="91" s="1"/>
  <c r="A109" i="91"/>
  <c r="A111" i="91"/>
  <c r="A112" i="91" s="1"/>
  <c r="A113" i="91" s="1"/>
  <c r="A103" i="91"/>
  <c r="A105" i="91"/>
  <c r="A106" i="91" s="1"/>
  <c r="A107" i="91" s="1"/>
  <c r="A97" i="91"/>
  <c r="A99" i="91"/>
  <c r="A100" i="91" s="1"/>
  <c r="A101" i="91" s="1"/>
  <c r="A83" i="91"/>
  <c r="A84" i="91"/>
  <c r="A85" i="91"/>
  <c r="A81" i="91"/>
  <c r="A87" i="91"/>
  <c r="A88" i="91" s="1"/>
  <c r="A89" i="91" s="1"/>
  <c r="A71" i="91"/>
  <c r="A72" i="91"/>
  <c r="A73" i="91"/>
  <c r="A69" i="91"/>
  <c r="A78" i="91"/>
  <c r="A79" i="91" s="1"/>
  <c r="A80" i="91" s="1"/>
  <c r="A74" i="91"/>
  <c r="A75" i="91"/>
  <c r="A63" i="91"/>
  <c r="A66" i="91"/>
  <c r="A67" i="91" s="1"/>
  <c r="A68" i="91" s="1"/>
  <c r="A57" i="91"/>
  <c r="A132" i="92"/>
  <c r="A64" i="92"/>
  <c r="H52" i="92"/>
  <c r="A96" i="92"/>
  <c r="G52" i="92"/>
  <c r="I52" i="92"/>
  <c r="J52" i="92"/>
  <c r="A102" i="92"/>
  <c r="A74" i="92"/>
  <c r="A66" i="92"/>
  <c r="A67" i="92"/>
  <c r="A68" i="92"/>
  <c r="A114" i="92"/>
  <c r="A129" i="92"/>
  <c r="A130" i="92"/>
  <c r="A131" i="92"/>
  <c r="K52" i="92"/>
  <c r="A133" i="92"/>
  <c r="A71" i="92"/>
  <c r="A141" i="92"/>
  <c r="A142" i="92"/>
  <c r="A143" i="92"/>
  <c r="A72" i="92"/>
  <c r="A75" i="92"/>
  <c r="A81" i="92"/>
  <c r="A70" i="92"/>
  <c r="A123" i="92"/>
  <c r="A124" i="92"/>
  <c r="A125" i="92"/>
  <c r="A93" i="92"/>
  <c r="A94" i="92"/>
  <c r="A95" i="92"/>
  <c r="A99" i="92"/>
  <c r="A100" i="92"/>
  <c r="A101" i="92"/>
  <c r="A105" i="92"/>
  <c r="A106" i="92"/>
  <c r="A107" i="92"/>
  <c r="A117" i="92"/>
  <c r="A118" i="92"/>
  <c r="A119" i="92"/>
  <c r="A138" i="92"/>
  <c r="A87" i="92"/>
  <c r="A88" i="92"/>
  <c r="A89" i="92"/>
  <c r="A82" i="92"/>
  <c r="A126" i="92"/>
  <c r="A120" i="92"/>
  <c r="A90" i="92"/>
  <c r="A83" i="92"/>
  <c r="A73" i="92"/>
  <c r="A84" i="92"/>
  <c r="A69" i="92"/>
  <c r="F43" i="80"/>
  <c r="F42" i="56"/>
  <c r="F44" i="56" s="1"/>
  <c r="H43" i="80"/>
  <c r="H6" i="52"/>
  <c r="G8" i="52"/>
  <c r="G9" i="52"/>
  <c r="F8" i="52"/>
  <c r="B10" i="52"/>
  <c r="E9" i="52"/>
  <c r="F9" i="52"/>
  <c r="B10" i="51"/>
  <c r="G6" i="51"/>
  <c r="E9" i="51"/>
  <c r="F9" i="51"/>
  <c r="G9" i="51"/>
  <c r="B11" i="47"/>
  <c r="B12" i="47"/>
  <c r="F9" i="47"/>
  <c r="I10" i="52"/>
  <c r="H10" i="52"/>
  <c r="G10" i="52"/>
  <c r="F10" i="52"/>
  <c r="E10" i="52"/>
  <c r="B11" i="52"/>
  <c r="I6" i="52"/>
  <c r="H8" i="52"/>
  <c r="H9" i="52"/>
  <c r="G8" i="51"/>
  <c r="H6" i="51"/>
  <c r="B11" i="51"/>
  <c r="H10" i="51"/>
  <c r="G10" i="51"/>
  <c r="F10" i="51"/>
  <c r="E10" i="51"/>
  <c r="A9" i="51" s="1"/>
  <c r="I11" i="52"/>
  <c r="H11" i="52"/>
  <c r="G11" i="52"/>
  <c r="F11" i="52"/>
  <c r="E11" i="52"/>
  <c r="B12" i="52"/>
  <c r="I8" i="52"/>
  <c r="J6" i="52"/>
  <c r="I9" i="52"/>
  <c r="B12" i="51"/>
  <c r="H11" i="51"/>
  <c r="G11" i="51"/>
  <c r="F11" i="51"/>
  <c r="E11" i="51"/>
  <c r="H8" i="51"/>
  <c r="I6" i="51"/>
  <c r="H9" i="51"/>
  <c r="J8" i="52"/>
  <c r="K6" i="52"/>
  <c r="J9" i="52"/>
  <c r="J10" i="52"/>
  <c r="K12" i="52"/>
  <c r="J12" i="52"/>
  <c r="I12" i="52"/>
  <c r="H12" i="52"/>
  <c r="G12" i="52"/>
  <c r="F12" i="52"/>
  <c r="E12" i="52"/>
  <c r="B13" i="52"/>
  <c r="J11" i="52"/>
  <c r="I8" i="51"/>
  <c r="J6" i="51"/>
  <c r="I9" i="51"/>
  <c r="I10" i="51"/>
  <c r="I11" i="51"/>
  <c r="H12" i="51"/>
  <c r="G12" i="51"/>
  <c r="F12" i="51"/>
  <c r="E12" i="51"/>
  <c r="B13" i="51"/>
  <c r="I12" i="51"/>
  <c r="J12" i="51"/>
  <c r="K8" i="52"/>
  <c r="L6" i="52"/>
  <c r="K9" i="52"/>
  <c r="K10" i="52"/>
  <c r="K11" i="52"/>
  <c r="B14" i="52"/>
  <c r="K13" i="52"/>
  <c r="J13" i="52"/>
  <c r="I13" i="52"/>
  <c r="H13" i="52"/>
  <c r="G13" i="52"/>
  <c r="F13" i="52"/>
  <c r="E13" i="52"/>
  <c r="A11" i="51"/>
  <c r="J13" i="51"/>
  <c r="I13" i="51"/>
  <c r="H13" i="51"/>
  <c r="G13" i="51"/>
  <c r="F13" i="51"/>
  <c r="E13" i="51"/>
  <c r="B14" i="51"/>
  <c r="J8" i="51"/>
  <c r="K6" i="51"/>
  <c r="K13" i="51"/>
  <c r="J9" i="51"/>
  <c r="J10" i="51"/>
  <c r="J11" i="51"/>
  <c r="G14" i="52"/>
  <c r="F14" i="52"/>
  <c r="E14" i="52"/>
  <c r="A14" i="52" s="1"/>
  <c r="B15" i="52"/>
  <c r="M14" i="52"/>
  <c r="L14" i="52"/>
  <c r="K14" i="52"/>
  <c r="J14" i="52"/>
  <c r="I14" i="52"/>
  <c r="H14" i="52"/>
  <c r="A12" i="52"/>
  <c r="L8" i="52"/>
  <c r="M6" i="52"/>
  <c r="L9" i="52"/>
  <c r="L10" i="52"/>
  <c r="L11" i="52"/>
  <c r="L12" i="52"/>
  <c r="L13" i="52"/>
  <c r="A13" i="52"/>
  <c r="L14" i="51"/>
  <c r="K14" i="51"/>
  <c r="J14" i="51"/>
  <c r="I14" i="51"/>
  <c r="H14" i="51"/>
  <c r="G14" i="51"/>
  <c r="F14" i="51"/>
  <c r="E14" i="51"/>
  <c r="B15" i="51"/>
  <c r="A12" i="51"/>
  <c r="K8" i="51"/>
  <c r="L6" i="51"/>
  <c r="K9" i="51"/>
  <c r="K10" i="51"/>
  <c r="K11" i="51"/>
  <c r="K12" i="51"/>
  <c r="K15" i="52"/>
  <c r="J15" i="52"/>
  <c r="I15" i="52"/>
  <c r="H15" i="52"/>
  <c r="G15" i="52"/>
  <c r="F15" i="52"/>
  <c r="E15" i="52"/>
  <c r="A16" i="52" s="1"/>
  <c r="B16" i="52"/>
  <c r="M15" i="52"/>
  <c r="L15" i="52"/>
  <c r="M8" i="52"/>
  <c r="N6" i="52"/>
  <c r="N15" i="52"/>
  <c r="M9" i="52"/>
  <c r="M10" i="52"/>
  <c r="M11" i="52"/>
  <c r="M12" i="52"/>
  <c r="M13" i="52"/>
  <c r="B16" i="51"/>
  <c r="L15" i="51"/>
  <c r="K15" i="51"/>
  <c r="J15" i="51"/>
  <c r="I15" i="51"/>
  <c r="H15" i="51"/>
  <c r="G15" i="51"/>
  <c r="F15" i="51"/>
  <c r="E15" i="51"/>
  <c r="L8" i="51"/>
  <c r="M6" i="51"/>
  <c r="L9" i="51"/>
  <c r="L10" i="51"/>
  <c r="L11" i="51"/>
  <c r="L12" i="51"/>
  <c r="L13" i="51"/>
  <c r="N16" i="52"/>
  <c r="M16" i="52"/>
  <c r="L16" i="52"/>
  <c r="K16" i="52"/>
  <c r="J16" i="52"/>
  <c r="I16" i="52"/>
  <c r="H16" i="52"/>
  <c r="G16" i="52"/>
  <c r="F16" i="52"/>
  <c r="E16" i="52"/>
  <c r="B17" i="52"/>
  <c r="N8" i="52"/>
  <c r="O6" i="52"/>
  <c r="N9" i="52"/>
  <c r="N10" i="52"/>
  <c r="N11" i="52"/>
  <c r="N12" i="52"/>
  <c r="N13" i="52"/>
  <c r="N14" i="52"/>
  <c r="N6" i="51"/>
  <c r="M8" i="51"/>
  <c r="M9" i="51"/>
  <c r="M10" i="51"/>
  <c r="M11" i="51"/>
  <c r="M12" i="51"/>
  <c r="M13" i="51"/>
  <c r="M14" i="51"/>
  <c r="M15" i="51"/>
  <c r="B17" i="51"/>
  <c r="M16" i="51"/>
  <c r="L16" i="51"/>
  <c r="K16" i="51"/>
  <c r="J16" i="51"/>
  <c r="I16" i="51"/>
  <c r="H16" i="51"/>
  <c r="G16" i="51"/>
  <c r="F16" i="51"/>
  <c r="E16" i="51"/>
  <c r="O17" i="52"/>
  <c r="N17" i="52"/>
  <c r="M17" i="52"/>
  <c r="L17" i="52"/>
  <c r="K17" i="52"/>
  <c r="J17" i="52"/>
  <c r="I17" i="52"/>
  <c r="H17" i="52"/>
  <c r="G17" i="52"/>
  <c r="F17" i="52"/>
  <c r="E17" i="52"/>
  <c r="B18" i="52"/>
  <c r="P6" i="52"/>
  <c r="P17" i="52"/>
  <c r="O9" i="52"/>
  <c r="O10" i="52"/>
  <c r="O11" i="52"/>
  <c r="O12" i="52"/>
  <c r="O13" i="52"/>
  <c r="O14" i="52"/>
  <c r="O15" i="52"/>
  <c r="O16" i="52"/>
  <c r="H17" i="51"/>
  <c r="G17" i="51"/>
  <c r="F17" i="51"/>
  <c r="E17" i="51"/>
  <c r="B18" i="51"/>
  <c r="O17" i="51"/>
  <c r="N17" i="51"/>
  <c r="M17" i="51"/>
  <c r="L17" i="51"/>
  <c r="K17" i="51"/>
  <c r="J17" i="51"/>
  <c r="I17" i="51"/>
  <c r="O6" i="51"/>
  <c r="N8" i="51"/>
  <c r="N9" i="51"/>
  <c r="N10" i="51"/>
  <c r="N11" i="51"/>
  <c r="N12" i="51"/>
  <c r="N13" i="51"/>
  <c r="N14" i="51"/>
  <c r="N15" i="51"/>
  <c r="N16" i="51"/>
  <c r="B19" i="52"/>
  <c r="Q18" i="52"/>
  <c r="P18" i="52"/>
  <c r="O18" i="52"/>
  <c r="N18" i="52"/>
  <c r="M18" i="52"/>
  <c r="L18" i="52"/>
  <c r="K18" i="52"/>
  <c r="J18" i="52"/>
  <c r="I18" i="52"/>
  <c r="H18" i="52"/>
  <c r="G18" i="52"/>
  <c r="F18" i="52"/>
  <c r="E18" i="52"/>
  <c r="Q6" i="52"/>
  <c r="P9" i="52"/>
  <c r="P10" i="52"/>
  <c r="P11" i="52"/>
  <c r="P12" i="52"/>
  <c r="P13" i="52"/>
  <c r="P14" i="52"/>
  <c r="P15" i="52"/>
  <c r="P16" i="52"/>
  <c r="L18" i="51"/>
  <c r="K18" i="51"/>
  <c r="J18" i="51"/>
  <c r="I18" i="51"/>
  <c r="H18" i="51"/>
  <c r="G18" i="51"/>
  <c r="F18" i="51"/>
  <c r="E18" i="51"/>
  <c r="A17" i="51" s="1"/>
  <c r="B19" i="51"/>
  <c r="O18" i="51"/>
  <c r="N18" i="51"/>
  <c r="M18" i="51"/>
  <c r="P6" i="51"/>
  <c r="O8" i="51"/>
  <c r="O9" i="51"/>
  <c r="O10" i="51"/>
  <c r="O11" i="51"/>
  <c r="O12" i="51"/>
  <c r="O13" i="51"/>
  <c r="O14" i="51"/>
  <c r="O15" i="51"/>
  <c r="O16" i="51"/>
  <c r="A16" i="51"/>
  <c r="R6" i="52"/>
  <c r="Q9" i="52"/>
  <c r="Q10" i="52"/>
  <c r="Q11" i="52"/>
  <c r="Q12" i="52"/>
  <c r="Q13" i="52"/>
  <c r="Q14" i="52"/>
  <c r="Q15" i="52"/>
  <c r="Q16" i="52"/>
  <c r="Q17" i="52"/>
  <c r="G19" i="52"/>
  <c r="F19" i="52"/>
  <c r="E19" i="52"/>
  <c r="A19" i="52" s="1"/>
  <c r="B20" i="52"/>
  <c r="Q19" i="52"/>
  <c r="P19" i="52"/>
  <c r="O19" i="52"/>
  <c r="N19" i="52"/>
  <c r="M19" i="52"/>
  <c r="L19" i="52"/>
  <c r="K19" i="52"/>
  <c r="J19" i="52"/>
  <c r="I19" i="52"/>
  <c r="H19" i="52"/>
  <c r="A17" i="52"/>
  <c r="Q6" i="51"/>
  <c r="P8" i="51"/>
  <c r="P9" i="51"/>
  <c r="P10" i="51"/>
  <c r="P11" i="51"/>
  <c r="P12" i="51"/>
  <c r="P13" i="51"/>
  <c r="P14" i="51"/>
  <c r="P15" i="51"/>
  <c r="P16" i="51"/>
  <c r="P17" i="51"/>
  <c r="P18" i="51"/>
  <c r="P19" i="51"/>
  <c r="O19" i="51"/>
  <c r="N19" i="51"/>
  <c r="M19" i="51"/>
  <c r="L19" i="51"/>
  <c r="K19" i="51"/>
  <c r="J19" i="51"/>
  <c r="I19" i="51"/>
  <c r="H19" i="51"/>
  <c r="G19" i="51"/>
  <c r="F19" i="51"/>
  <c r="E19" i="51"/>
  <c r="B20" i="51"/>
  <c r="Q19" i="51"/>
  <c r="R9" i="52"/>
  <c r="R10" i="52"/>
  <c r="R11" i="52"/>
  <c r="R12" i="52"/>
  <c r="R13" i="52"/>
  <c r="R14" i="52"/>
  <c r="R15" i="52"/>
  <c r="R16" i="52"/>
  <c r="R17" i="52"/>
  <c r="R18" i="52"/>
  <c r="K20" i="52"/>
  <c r="J20" i="52"/>
  <c r="I20" i="52"/>
  <c r="H20" i="52"/>
  <c r="G20" i="52"/>
  <c r="F20" i="52"/>
  <c r="E20" i="52"/>
  <c r="B21" i="52"/>
  <c r="R20" i="52"/>
  <c r="Q20" i="52"/>
  <c r="P20" i="52"/>
  <c r="O20" i="52"/>
  <c r="N20" i="52"/>
  <c r="M20" i="52"/>
  <c r="L20" i="52"/>
  <c r="R19" i="52"/>
  <c r="A18" i="51"/>
  <c r="B21" i="51"/>
  <c r="R20" i="51"/>
  <c r="Q20" i="51"/>
  <c r="P20" i="51"/>
  <c r="O20" i="51"/>
  <c r="N20" i="51"/>
  <c r="M20" i="51"/>
  <c r="L20" i="51"/>
  <c r="K20" i="51"/>
  <c r="J20" i="51"/>
  <c r="I20" i="51"/>
  <c r="H20" i="51"/>
  <c r="G20" i="51"/>
  <c r="F20" i="51"/>
  <c r="E20" i="51"/>
  <c r="R6" i="51"/>
  <c r="Q8" i="51"/>
  <c r="Q9" i="51"/>
  <c r="Q10" i="51"/>
  <c r="Q11" i="51"/>
  <c r="Q12" i="51"/>
  <c r="Q13" i="51"/>
  <c r="Q14" i="51"/>
  <c r="Q15" i="51"/>
  <c r="Q16" i="51"/>
  <c r="Q17" i="51"/>
  <c r="Q18" i="51"/>
  <c r="O21" i="52"/>
  <c r="N21" i="52"/>
  <c r="M21" i="52"/>
  <c r="L21" i="52"/>
  <c r="K21" i="52"/>
  <c r="J21" i="52"/>
  <c r="I21" i="52"/>
  <c r="H21" i="52"/>
  <c r="G21" i="52"/>
  <c r="F21" i="52"/>
  <c r="E21" i="52"/>
  <c r="B22" i="52"/>
  <c r="R21" i="52"/>
  <c r="Q21" i="52"/>
  <c r="P21" i="52"/>
  <c r="A20" i="52"/>
  <c r="B22" i="51"/>
  <c r="R21" i="51"/>
  <c r="Q21" i="51"/>
  <c r="P21" i="51"/>
  <c r="O21" i="51"/>
  <c r="N21" i="51"/>
  <c r="M21" i="51"/>
  <c r="L21" i="51"/>
  <c r="K21" i="51"/>
  <c r="J21" i="51"/>
  <c r="I21" i="51"/>
  <c r="H21" i="51"/>
  <c r="G21" i="51"/>
  <c r="F21" i="51"/>
  <c r="E21" i="51"/>
  <c r="R8" i="51"/>
  <c r="R9" i="51"/>
  <c r="R10" i="51"/>
  <c r="R11" i="51"/>
  <c r="R12" i="51"/>
  <c r="R13" i="51"/>
  <c r="R14" i="51"/>
  <c r="R15" i="51"/>
  <c r="R16" i="51"/>
  <c r="R17" i="51"/>
  <c r="R18" i="51"/>
  <c r="R19" i="51"/>
  <c r="R22" i="52"/>
  <c r="Q22" i="52"/>
  <c r="P22" i="52"/>
  <c r="O22" i="52"/>
  <c r="N22" i="52"/>
  <c r="M22" i="52"/>
  <c r="L22" i="52"/>
  <c r="K22" i="52"/>
  <c r="J22" i="52"/>
  <c r="I22" i="52"/>
  <c r="H22" i="52"/>
  <c r="G22" i="52"/>
  <c r="F22" i="52"/>
  <c r="E22" i="52"/>
  <c r="B23" i="52"/>
  <c r="A21" i="52"/>
  <c r="H22" i="51"/>
  <c r="G22" i="51"/>
  <c r="F22" i="51"/>
  <c r="E22" i="51"/>
  <c r="B23" i="51"/>
  <c r="R22" i="51"/>
  <c r="Q22" i="51"/>
  <c r="P22" i="51"/>
  <c r="O22" i="51"/>
  <c r="N22" i="51"/>
  <c r="M22" i="51"/>
  <c r="L22" i="51"/>
  <c r="K22" i="51"/>
  <c r="J22" i="51"/>
  <c r="I22" i="51"/>
  <c r="B24" i="52"/>
  <c r="R23" i="52"/>
  <c r="Q23" i="52"/>
  <c r="P23" i="52"/>
  <c r="O23" i="52"/>
  <c r="N23" i="52"/>
  <c r="M23" i="52"/>
  <c r="L23" i="52"/>
  <c r="K23" i="52"/>
  <c r="J23" i="52"/>
  <c r="I23" i="52"/>
  <c r="H23" i="52"/>
  <c r="G23" i="52"/>
  <c r="F23" i="52"/>
  <c r="E23" i="52"/>
  <c r="L23" i="51"/>
  <c r="K23" i="51"/>
  <c r="J23" i="51"/>
  <c r="I23" i="51"/>
  <c r="H23" i="51"/>
  <c r="G23" i="51"/>
  <c r="F23" i="51"/>
  <c r="E23" i="51"/>
  <c r="A24" i="51" s="1"/>
  <c r="B24" i="51"/>
  <c r="R23" i="51"/>
  <c r="Q23" i="51"/>
  <c r="P23" i="51"/>
  <c r="O23" i="51"/>
  <c r="N23" i="51"/>
  <c r="M23" i="51"/>
  <c r="G24" i="52"/>
  <c r="F24" i="52"/>
  <c r="E24" i="52"/>
  <c r="B25" i="52"/>
  <c r="R24" i="52"/>
  <c r="Q24" i="52"/>
  <c r="P24" i="52"/>
  <c r="O24" i="52"/>
  <c r="N24" i="52"/>
  <c r="M24" i="52"/>
  <c r="L24" i="52"/>
  <c r="K24" i="52"/>
  <c r="J24" i="52"/>
  <c r="I24" i="52"/>
  <c r="H24" i="52"/>
  <c r="P24" i="51"/>
  <c r="O24" i="51"/>
  <c r="N24" i="51"/>
  <c r="M24" i="51"/>
  <c r="L24" i="51"/>
  <c r="K24" i="51"/>
  <c r="J24" i="51"/>
  <c r="I24" i="51"/>
  <c r="H24" i="51"/>
  <c r="G24" i="51"/>
  <c r="F24" i="51"/>
  <c r="E24" i="51"/>
  <c r="A25" i="51" s="1"/>
  <c r="B25" i="51"/>
  <c r="R24" i="51"/>
  <c r="Q24" i="51"/>
  <c r="K25" i="52"/>
  <c r="J25" i="52"/>
  <c r="I25" i="52"/>
  <c r="H25" i="52"/>
  <c r="G25" i="52"/>
  <c r="F25" i="52"/>
  <c r="E25" i="52"/>
  <c r="B26" i="52"/>
  <c r="R25" i="52"/>
  <c r="Q25" i="52"/>
  <c r="P25" i="52"/>
  <c r="O25" i="52"/>
  <c r="N25" i="52"/>
  <c r="M25" i="52"/>
  <c r="L25" i="52"/>
  <c r="B26" i="51"/>
  <c r="R25" i="51"/>
  <c r="Q25" i="51"/>
  <c r="P25" i="51"/>
  <c r="O25" i="51"/>
  <c r="N25" i="51"/>
  <c r="M25" i="51"/>
  <c r="L25" i="51"/>
  <c r="K25" i="51"/>
  <c r="J25" i="51"/>
  <c r="I25" i="51"/>
  <c r="H25" i="51"/>
  <c r="G25" i="51"/>
  <c r="F25" i="51"/>
  <c r="E25" i="51"/>
  <c r="O26" i="52"/>
  <c r="N26" i="52"/>
  <c r="M26" i="52"/>
  <c r="L26" i="52"/>
  <c r="K26" i="52"/>
  <c r="J26" i="52"/>
  <c r="I26" i="52"/>
  <c r="H26" i="52"/>
  <c r="G26" i="52"/>
  <c r="F26" i="52"/>
  <c r="E26" i="52"/>
  <c r="A25" i="52" s="1"/>
  <c r="B27" i="52"/>
  <c r="R26" i="52"/>
  <c r="Q26" i="52"/>
  <c r="P26" i="52"/>
  <c r="B27" i="51"/>
  <c r="R26" i="51"/>
  <c r="Q26" i="51"/>
  <c r="P26" i="51"/>
  <c r="O26" i="51"/>
  <c r="N26" i="51"/>
  <c r="M26" i="51"/>
  <c r="L26" i="51"/>
  <c r="K26" i="51"/>
  <c r="J26" i="51"/>
  <c r="I26" i="51"/>
  <c r="H26" i="51"/>
  <c r="G26" i="51"/>
  <c r="F26" i="51"/>
  <c r="E26" i="51"/>
  <c r="R27" i="52"/>
  <c r="Q27" i="52"/>
  <c r="P27" i="52"/>
  <c r="O27" i="52"/>
  <c r="N27" i="52"/>
  <c r="M27" i="52"/>
  <c r="L27" i="52"/>
  <c r="K27" i="52"/>
  <c r="J27" i="52"/>
  <c r="I27" i="52"/>
  <c r="H27" i="52"/>
  <c r="G27" i="52"/>
  <c r="F27" i="52"/>
  <c r="E27" i="52"/>
  <c r="A28" i="52" s="1"/>
  <c r="B28" i="52"/>
  <c r="H27" i="51"/>
  <c r="G27" i="51"/>
  <c r="F27" i="51"/>
  <c r="E27" i="51"/>
  <c r="A26" i="51" s="1"/>
  <c r="B28" i="51"/>
  <c r="R27" i="51"/>
  <c r="Q27" i="51"/>
  <c r="P27" i="51"/>
  <c r="O27" i="51"/>
  <c r="N27" i="51"/>
  <c r="M27" i="51"/>
  <c r="L27" i="51"/>
  <c r="K27" i="51"/>
  <c r="J27" i="51"/>
  <c r="I27" i="51"/>
  <c r="A26" i="52"/>
  <c r="B29" i="52"/>
  <c r="R28" i="52"/>
  <c r="Q28" i="52"/>
  <c r="P28" i="52"/>
  <c r="O28" i="52"/>
  <c r="N28" i="52"/>
  <c r="M28" i="52"/>
  <c r="L28" i="52"/>
  <c r="K28" i="52"/>
  <c r="J28" i="52"/>
  <c r="I28" i="52"/>
  <c r="H28" i="52"/>
  <c r="G28" i="52"/>
  <c r="F28" i="52"/>
  <c r="E28" i="52"/>
  <c r="L28" i="51"/>
  <c r="K28" i="51"/>
  <c r="J28" i="51"/>
  <c r="I28" i="51"/>
  <c r="H28" i="51"/>
  <c r="G28" i="51"/>
  <c r="F28" i="51"/>
  <c r="E28" i="51"/>
  <c r="B29" i="51"/>
  <c r="R28" i="51"/>
  <c r="Q28" i="51"/>
  <c r="P28" i="51"/>
  <c r="O28" i="51"/>
  <c r="N28" i="51"/>
  <c r="M28" i="51"/>
  <c r="A27" i="51"/>
  <c r="G29" i="52"/>
  <c r="F29" i="52"/>
  <c r="E29" i="52"/>
  <c r="B30" i="52"/>
  <c r="R29" i="52"/>
  <c r="Q29" i="52"/>
  <c r="P29" i="52"/>
  <c r="O29" i="52"/>
  <c r="N29" i="52"/>
  <c r="M29" i="52"/>
  <c r="L29" i="52"/>
  <c r="K29" i="52"/>
  <c r="J29" i="52"/>
  <c r="I29" i="52"/>
  <c r="H29" i="52"/>
  <c r="A27" i="52"/>
  <c r="P29" i="51"/>
  <c r="O29" i="51"/>
  <c r="N29" i="51"/>
  <c r="M29" i="51"/>
  <c r="L29" i="51"/>
  <c r="K29" i="51"/>
  <c r="J29" i="51"/>
  <c r="I29" i="51"/>
  <c r="H29" i="51"/>
  <c r="G29" i="51"/>
  <c r="F29" i="51"/>
  <c r="E29" i="51"/>
  <c r="B30" i="51"/>
  <c r="R29" i="51"/>
  <c r="Q29" i="51"/>
  <c r="K30" i="52"/>
  <c r="J30" i="52"/>
  <c r="I30" i="52"/>
  <c r="H30" i="52"/>
  <c r="G30" i="52"/>
  <c r="F30" i="52"/>
  <c r="E30" i="52"/>
  <c r="B31" i="52"/>
  <c r="R30" i="52"/>
  <c r="Q30" i="52"/>
  <c r="P30" i="52"/>
  <c r="O30" i="52"/>
  <c r="N30" i="52"/>
  <c r="M30" i="52"/>
  <c r="L30" i="52"/>
  <c r="A29" i="52"/>
  <c r="B31" i="51"/>
  <c r="R30" i="51"/>
  <c r="Q30" i="51"/>
  <c r="P30" i="51"/>
  <c r="O30" i="51"/>
  <c r="N30" i="51"/>
  <c r="M30" i="51"/>
  <c r="L30" i="51"/>
  <c r="K30" i="51"/>
  <c r="J30" i="51"/>
  <c r="I30" i="51"/>
  <c r="H30" i="51"/>
  <c r="G30" i="51"/>
  <c r="F30" i="51"/>
  <c r="E30" i="51"/>
  <c r="A29" i="51"/>
  <c r="A28" i="51"/>
  <c r="O31" i="52"/>
  <c r="N31" i="52"/>
  <c r="M31" i="52"/>
  <c r="L31" i="52"/>
  <c r="K31" i="52"/>
  <c r="J31" i="52"/>
  <c r="I31" i="52"/>
  <c r="H31" i="52"/>
  <c r="G31" i="52"/>
  <c r="F31" i="52"/>
  <c r="E31" i="52"/>
  <c r="B32" i="52"/>
  <c r="R31" i="52"/>
  <c r="Q31" i="52"/>
  <c r="P31" i="52"/>
  <c r="B32" i="51"/>
  <c r="R31" i="51"/>
  <c r="Q31" i="51"/>
  <c r="P31" i="51"/>
  <c r="O31" i="51"/>
  <c r="N31" i="51"/>
  <c r="M31" i="51"/>
  <c r="L31" i="51"/>
  <c r="K31" i="51"/>
  <c r="J31" i="51"/>
  <c r="I31" i="51"/>
  <c r="H31" i="51"/>
  <c r="G31" i="51"/>
  <c r="F31" i="51"/>
  <c r="E31" i="51"/>
  <c r="A30" i="52"/>
  <c r="R32" i="52"/>
  <c r="Q32" i="52"/>
  <c r="P32" i="52"/>
  <c r="O32" i="52"/>
  <c r="N32" i="52"/>
  <c r="M32" i="52"/>
  <c r="L32" i="52"/>
  <c r="K32" i="52"/>
  <c r="J32" i="52"/>
  <c r="I32" i="52"/>
  <c r="H32" i="52"/>
  <c r="G32" i="52"/>
  <c r="F32" i="52"/>
  <c r="E32" i="52"/>
  <c r="B33" i="52"/>
  <c r="H32" i="51"/>
  <c r="G32" i="51"/>
  <c r="F32" i="51"/>
  <c r="E32" i="51"/>
  <c r="A31" i="51" s="1"/>
  <c r="B33" i="51"/>
  <c r="R32" i="51"/>
  <c r="Q32" i="51"/>
  <c r="P32" i="51"/>
  <c r="O32" i="51"/>
  <c r="N32" i="51"/>
  <c r="M32" i="51"/>
  <c r="L32" i="51"/>
  <c r="K32" i="51"/>
  <c r="J32" i="51"/>
  <c r="I32" i="51"/>
  <c r="A30" i="51"/>
  <c r="A31" i="52"/>
  <c r="B34" i="52"/>
  <c r="R33" i="52"/>
  <c r="Q33" i="52"/>
  <c r="P33" i="52"/>
  <c r="O33" i="52"/>
  <c r="N33" i="52"/>
  <c r="M33" i="52"/>
  <c r="L33" i="52"/>
  <c r="K33" i="52"/>
  <c r="J33" i="52"/>
  <c r="I33" i="52"/>
  <c r="H33" i="52"/>
  <c r="G33" i="52"/>
  <c r="F33" i="52"/>
  <c r="E33" i="52"/>
  <c r="L33" i="51"/>
  <c r="K33" i="51"/>
  <c r="J33" i="51"/>
  <c r="I33" i="51"/>
  <c r="H33" i="51"/>
  <c r="G33" i="51"/>
  <c r="F33" i="51"/>
  <c r="E33" i="51"/>
  <c r="B34" i="51"/>
  <c r="R33" i="51"/>
  <c r="Q33" i="51"/>
  <c r="P33" i="51"/>
  <c r="O33" i="51"/>
  <c r="N33" i="51"/>
  <c r="M33" i="51"/>
  <c r="A32" i="51"/>
  <c r="G34" i="52"/>
  <c r="F34" i="52"/>
  <c r="E34" i="52"/>
  <c r="A35" i="52" s="1"/>
  <c r="B35" i="52"/>
  <c r="R34" i="52"/>
  <c r="Q34" i="52"/>
  <c r="P34" i="52"/>
  <c r="O34" i="52"/>
  <c r="N34" i="52"/>
  <c r="M34" i="52"/>
  <c r="L34" i="52"/>
  <c r="K34" i="52"/>
  <c r="J34" i="52"/>
  <c r="I34" i="52"/>
  <c r="H34" i="52"/>
  <c r="P34" i="51"/>
  <c r="O34" i="51"/>
  <c r="N34" i="51"/>
  <c r="M34" i="51"/>
  <c r="L34" i="51"/>
  <c r="K34" i="51"/>
  <c r="J34" i="51"/>
  <c r="I34" i="51"/>
  <c r="H34" i="51"/>
  <c r="G34" i="51"/>
  <c r="F34" i="51"/>
  <c r="E34" i="51"/>
  <c r="B35" i="51"/>
  <c r="R34" i="51"/>
  <c r="Q34" i="51"/>
  <c r="A33" i="51"/>
  <c r="K35" i="52"/>
  <c r="J35" i="52"/>
  <c r="I35" i="52"/>
  <c r="H35" i="52"/>
  <c r="G35" i="52"/>
  <c r="F35" i="52"/>
  <c r="E35" i="52"/>
  <c r="B36" i="52"/>
  <c r="R35" i="52"/>
  <c r="Q35" i="52"/>
  <c r="P35" i="52"/>
  <c r="O35" i="52"/>
  <c r="N35" i="52"/>
  <c r="M35" i="52"/>
  <c r="L35" i="52"/>
  <c r="B36" i="51"/>
  <c r="R35" i="51"/>
  <c r="Q35" i="51"/>
  <c r="P35" i="51"/>
  <c r="O35" i="51"/>
  <c r="N35" i="51"/>
  <c r="M35" i="51"/>
  <c r="L35" i="51"/>
  <c r="K35" i="51"/>
  <c r="J35" i="51"/>
  <c r="I35" i="51"/>
  <c r="H35" i="51"/>
  <c r="G35" i="51"/>
  <c r="F35" i="51"/>
  <c r="E35" i="51"/>
  <c r="O36" i="52"/>
  <c r="N36" i="52"/>
  <c r="M36" i="52"/>
  <c r="L36" i="52"/>
  <c r="K36" i="52"/>
  <c r="J36" i="52"/>
  <c r="I36" i="52"/>
  <c r="H36" i="52"/>
  <c r="G36" i="52"/>
  <c r="F36" i="52"/>
  <c r="E36" i="52"/>
  <c r="B37" i="52"/>
  <c r="R36" i="52"/>
  <c r="Q36" i="52"/>
  <c r="P36" i="52"/>
  <c r="B37" i="51"/>
  <c r="R36" i="51"/>
  <c r="Q36" i="51"/>
  <c r="P36" i="51"/>
  <c r="O36" i="51"/>
  <c r="N36" i="51"/>
  <c r="M36" i="51"/>
  <c r="L36" i="51"/>
  <c r="K36" i="51"/>
  <c r="J36" i="51"/>
  <c r="I36" i="51"/>
  <c r="H36" i="51"/>
  <c r="G36" i="51"/>
  <c r="F36" i="51"/>
  <c r="E36" i="51"/>
  <c r="R37" i="52"/>
  <c r="Q37" i="52"/>
  <c r="P37" i="52"/>
  <c r="O37" i="52"/>
  <c r="N37" i="52"/>
  <c r="M37" i="52"/>
  <c r="L37" i="52"/>
  <c r="K37" i="52"/>
  <c r="J37" i="52"/>
  <c r="I37" i="52"/>
  <c r="H37" i="52"/>
  <c r="G37" i="52"/>
  <c r="F37" i="52"/>
  <c r="E37" i="52"/>
  <c r="A38" i="52" s="1"/>
  <c r="B38" i="52"/>
  <c r="H37" i="51"/>
  <c r="G37" i="51"/>
  <c r="F37" i="51"/>
  <c r="E37" i="51"/>
  <c r="B38" i="51"/>
  <c r="R37" i="51"/>
  <c r="Q37" i="51"/>
  <c r="P37" i="51"/>
  <c r="O37" i="51"/>
  <c r="N37" i="51"/>
  <c r="M37" i="51"/>
  <c r="L37" i="51"/>
  <c r="K37" i="51"/>
  <c r="I37" i="51"/>
  <c r="J37" i="51"/>
  <c r="A35" i="51"/>
  <c r="B39" i="52"/>
  <c r="R38" i="52"/>
  <c r="Q38" i="52"/>
  <c r="P38" i="52"/>
  <c r="O38" i="52"/>
  <c r="N38" i="52"/>
  <c r="M38" i="52"/>
  <c r="L38" i="52"/>
  <c r="K38" i="52"/>
  <c r="J38" i="52"/>
  <c r="I38" i="52"/>
  <c r="H38" i="52"/>
  <c r="G38" i="52"/>
  <c r="F38" i="52"/>
  <c r="E38" i="52"/>
  <c r="A36" i="52"/>
  <c r="L38" i="51"/>
  <c r="K38" i="51"/>
  <c r="J38" i="51"/>
  <c r="I38" i="51"/>
  <c r="H38" i="51"/>
  <c r="G38" i="51"/>
  <c r="F38" i="51"/>
  <c r="E38" i="51"/>
  <c r="A39" i="51" s="1"/>
  <c r="B39" i="51"/>
  <c r="R38" i="51"/>
  <c r="Q38" i="51"/>
  <c r="P38" i="51"/>
  <c r="O38" i="51"/>
  <c r="N38" i="51"/>
  <c r="M38" i="51"/>
  <c r="A37" i="51"/>
  <c r="G39" i="52"/>
  <c r="F39" i="52"/>
  <c r="E39" i="52"/>
  <c r="B40" i="52"/>
  <c r="R39" i="52"/>
  <c r="Q39" i="52"/>
  <c r="P39" i="52"/>
  <c r="O39" i="52"/>
  <c r="N39" i="52"/>
  <c r="M39" i="52"/>
  <c r="L39" i="52"/>
  <c r="K39" i="52"/>
  <c r="J39" i="52"/>
  <c r="I39" i="52"/>
  <c r="H39" i="52"/>
  <c r="A37" i="52"/>
  <c r="P39" i="51"/>
  <c r="O39" i="51"/>
  <c r="N39" i="51"/>
  <c r="M39" i="51"/>
  <c r="L39" i="51"/>
  <c r="K39" i="51"/>
  <c r="J39" i="51"/>
  <c r="I39" i="51"/>
  <c r="H39" i="51"/>
  <c r="G39" i="51"/>
  <c r="F39" i="51"/>
  <c r="E39" i="51"/>
  <c r="B40" i="51"/>
  <c r="R39" i="51"/>
  <c r="Q39" i="51"/>
  <c r="K40" i="52"/>
  <c r="J40" i="52"/>
  <c r="I40" i="52"/>
  <c r="H40" i="52"/>
  <c r="G40" i="52"/>
  <c r="F40" i="52"/>
  <c r="E40" i="52"/>
  <c r="B41" i="52"/>
  <c r="R40" i="52"/>
  <c r="Q40" i="52"/>
  <c r="P40" i="52"/>
  <c r="O40" i="52"/>
  <c r="N40" i="52"/>
  <c r="M40" i="52"/>
  <c r="L40" i="52"/>
  <c r="B41" i="51"/>
  <c r="R40" i="51"/>
  <c r="Q40" i="51"/>
  <c r="P40" i="51"/>
  <c r="O40" i="51"/>
  <c r="N40" i="51"/>
  <c r="M40" i="51"/>
  <c r="L40" i="51"/>
  <c r="K40" i="51"/>
  <c r="J40" i="51"/>
  <c r="I40" i="51"/>
  <c r="H40" i="51"/>
  <c r="G40" i="51"/>
  <c r="F40" i="51"/>
  <c r="E40" i="51"/>
  <c r="A39" i="52"/>
  <c r="O41" i="52"/>
  <c r="N41" i="52"/>
  <c r="M41" i="52"/>
  <c r="L41" i="52"/>
  <c r="K41" i="52"/>
  <c r="J41" i="52"/>
  <c r="I41" i="52"/>
  <c r="H41" i="52"/>
  <c r="G41" i="52"/>
  <c r="F41" i="52"/>
  <c r="E41" i="52"/>
  <c r="B42" i="52"/>
  <c r="R41" i="52"/>
  <c r="Q41" i="52"/>
  <c r="P41" i="52"/>
  <c r="A40" i="52"/>
  <c r="B42" i="51"/>
  <c r="R41" i="51"/>
  <c r="Q41" i="51"/>
  <c r="P41" i="51"/>
  <c r="O41" i="51"/>
  <c r="N41" i="51"/>
  <c r="M41" i="51"/>
  <c r="L41" i="51"/>
  <c r="K41" i="51"/>
  <c r="J41" i="51"/>
  <c r="I41" i="51"/>
  <c r="H41" i="51"/>
  <c r="G41" i="51"/>
  <c r="F41" i="51"/>
  <c r="E41" i="51"/>
  <c r="A40" i="51"/>
  <c r="R42" i="52"/>
  <c r="Q42" i="52"/>
  <c r="P42" i="52"/>
  <c r="O42" i="52"/>
  <c r="N42" i="52"/>
  <c r="M42" i="52"/>
  <c r="L42" i="52"/>
  <c r="K42" i="52"/>
  <c r="J42" i="52"/>
  <c r="I42" i="52"/>
  <c r="H42" i="52"/>
  <c r="G42" i="52"/>
  <c r="F42" i="52"/>
  <c r="E42" i="52"/>
  <c r="B43" i="52"/>
  <c r="A41" i="52"/>
  <c r="H42" i="51"/>
  <c r="G42" i="51"/>
  <c r="F42" i="51"/>
  <c r="E42" i="51"/>
  <c r="B43" i="51"/>
  <c r="R42" i="51"/>
  <c r="Q42" i="51"/>
  <c r="P42" i="51"/>
  <c r="O42" i="51"/>
  <c r="N42" i="51"/>
  <c r="M42" i="51"/>
  <c r="L42" i="51"/>
  <c r="K42" i="51"/>
  <c r="J42" i="51"/>
  <c r="I42" i="51"/>
  <c r="A41" i="51"/>
  <c r="B44" i="52"/>
  <c r="R43" i="52"/>
  <c r="Q43" i="52"/>
  <c r="P43" i="52"/>
  <c r="O43" i="52"/>
  <c r="N43" i="52"/>
  <c r="M43" i="52"/>
  <c r="L43" i="52"/>
  <c r="K43" i="52"/>
  <c r="J43" i="52"/>
  <c r="I43" i="52"/>
  <c r="H43" i="52"/>
  <c r="G43" i="52"/>
  <c r="F43" i="52"/>
  <c r="E43" i="52"/>
  <c r="A43" i="52" s="1"/>
  <c r="L43" i="51"/>
  <c r="K43" i="51"/>
  <c r="J43" i="51"/>
  <c r="I43" i="51"/>
  <c r="H43" i="51"/>
  <c r="G43" i="51"/>
  <c r="F43" i="51"/>
  <c r="E43" i="51"/>
  <c r="B44" i="51"/>
  <c r="R43" i="51"/>
  <c r="Q43" i="51"/>
  <c r="P43" i="51"/>
  <c r="O43" i="51"/>
  <c r="N43" i="51"/>
  <c r="M43" i="51"/>
  <c r="A42" i="51"/>
  <c r="G44" i="52"/>
  <c r="F44" i="52"/>
  <c r="E44" i="52"/>
  <c r="B45" i="52"/>
  <c r="R44" i="52"/>
  <c r="Q44" i="52"/>
  <c r="P44" i="52"/>
  <c r="O44" i="52"/>
  <c r="N44" i="52"/>
  <c r="M44" i="52"/>
  <c r="L44" i="52"/>
  <c r="K44" i="52"/>
  <c r="J44" i="52"/>
  <c r="I44" i="52"/>
  <c r="H44" i="52"/>
  <c r="A42" i="52"/>
  <c r="P44" i="51"/>
  <c r="O44" i="51"/>
  <c r="N44" i="51"/>
  <c r="M44" i="51"/>
  <c r="L44" i="51"/>
  <c r="K44" i="51"/>
  <c r="J44" i="51"/>
  <c r="I44" i="51"/>
  <c r="H44" i="51"/>
  <c r="G44" i="51"/>
  <c r="F44" i="51"/>
  <c r="E44" i="51"/>
  <c r="B45" i="51"/>
  <c r="R44" i="51"/>
  <c r="Q44" i="51"/>
  <c r="K45" i="52"/>
  <c r="J45" i="52"/>
  <c r="I45" i="52"/>
  <c r="H45" i="52"/>
  <c r="G45" i="52"/>
  <c r="F45" i="52"/>
  <c r="E45" i="52"/>
  <c r="B46" i="52"/>
  <c r="R45" i="52"/>
  <c r="Q45" i="52"/>
  <c r="P45" i="52"/>
  <c r="O45" i="52"/>
  <c r="N45" i="52"/>
  <c r="M45" i="52"/>
  <c r="L45" i="52"/>
  <c r="B46" i="51"/>
  <c r="R45" i="51"/>
  <c r="Q45" i="51"/>
  <c r="P45" i="51"/>
  <c r="O45" i="51"/>
  <c r="N45" i="51"/>
  <c r="M45" i="51"/>
  <c r="L45" i="51"/>
  <c r="K45" i="51"/>
  <c r="J45" i="51"/>
  <c r="I45" i="51"/>
  <c r="H45" i="51"/>
  <c r="G45" i="51"/>
  <c r="F45" i="51"/>
  <c r="E45" i="51"/>
  <c r="O46" i="52"/>
  <c r="N46" i="52"/>
  <c r="M46" i="52"/>
  <c r="L46" i="52"/>
  <c r="K46" i="52"/>
  <c r="J46" i="52"/>
  <c r="I46" i="52"/>
  <c r="H46" i="52"/>
  <c r="G46" i="52"/>
  <c r="F46" i="52"/>
  <c r="E46" i="52"/>
  <c r="A46" i="52" s="1"/>
  <c r="B47" i="52"/>
  <c r="R46" i="52"/>
  <c r="Q46" i="52"/>
  <c r="P46" i="52"/>
  <c r="B47" i="51"/>
  <c r="R46" i="51"/>
  <c r="Q46" i="51"/>
  <c r="P46" i="51"/>
  <c r="O46" i="51"/>
  <c r="N46" i="51"/>
  <c r="M46" i="51"/>
  <c r="L46" i="51"/>
  <c r="K46" i="51"/>
  <c r="J46" i="51"/>
  <c r="I46" i="51"/>
  <c r="H46" i="51"/>
  <c r="G46" i="51"/>
  <c r="F46" i="51"/>
  <c r="E46" i="51"/>
  <c r="A45" i="52"/>
  <c r="R47" i="52"/>
  <c r="Q47" i="52"/>
  <c r="P47" i="52"/>
  <c r="O47" i="52"/>
  <c r="N47" i="52"/>
  <c r="M47" i="52"/>
  <c r="L47" i="52"/>
  <c r="K47" i="52"/>
  <c r="J47" i="52"/>
  <c r="I47" i="52"/>
  <c r="H47" i="52"/>
  <c r="G47" i="52"/>
  <c r="F47" i="52"/>
  <c r="E47" i="52"/>
  <c r="B48" i="52"/>
  <c r="A45" i="51"/>
  <c r="H47" i="51"/>
  <c r="G47" i="51"/>
  <c r="F47" i="51"/>
  <c r="E47" i="51"/>
  <c r="A47" i="51" s="1"/>
  <c r="B48" i="51"/>
  <c r="R47" i="51"/>
  <c r="Q47" i="51"/>
  <c r="P47" i="51"/>
  <c r="O47" i="51"/>
  <c r="N47" i="51"/>
  <c r="M47" i="51"/>
  <c r="L47" i="51"/>
  <c r="K47" i="51"/>
  <c r="J47" i="51"/>
  <c r="I47" i="51"/>
  <c r="B49" i="52"/>
  <c r="R48" i="52"/>
  <c r="Q48" i="52"/>
  <c r="P48" i="52"/>
  <c r="O48" i="52"/>
  <c r="N48" i="52"/>
  <c r="M48" i="52"/>
  <c r="L48" i="52"/>
  <c r="K48" i="52"/>
  <c r="J48" i="52"/>
  <c r="I48" i="52"/>
  <c r="H48" i="52"/>
  <c r="G48" i="52"/>
  <c r="F48" i="52"/>
  <c r="E48" i="52"/>
  <c r="L48" i="51"/>
  <c r="K48" i="51"/>
  <c r="J48" i="51"/>
  <c r="I48" i="51"/>
  <c r="H48" i="51"/>
  <c r="G48" i="51"/>
  <c r="F48" i="51"/>
  <c r="E48" i="51"/>
  <c r="B49" i="51"/>
  <c r="R48" i="51"/>
  <c r="Q48" i="51"/>
  <c r="P48" i="51"/>
  <c r="O48" i="51"/>
  <c r="N48" i="51"/>
  <c r="M48" i="51"/>
  <c r="A46" i="51"/>
  <c r="A47" i="52"/>
  <c r="G49" i="52"/>
  <c r="F49" i="52"/>
  <c r="E49" i="52"/>
  <c r="A49" i="52" s="1"/>
  <c r="B50" i="52"/>
  <c r="R49" i="52"/>
  <c r="Q49" i="52"/>
  <c r="P49" i="52"/>
  <c r="O49" i="52"/>
  <c r="N49" i="52"/>
  <c r="M49" i="52"/>
  <c r="L49" i="52"/>
  <c r="K49" i="52"/>
  <c r="J49" i="52"/>
  <c r="I49" i="52"/>
  <c r="H49" i="52"/>
  <c r="P49" i="51"/>
  <c r="O49" i="51"/>
  <c r="N49" i="51"/>
  <c r="M49" i="51"/>
  <c r="L49" i="51"/>
  <c r="K49" i="51"/>
  <c r="J49" i="51"/>
  <c r="I49" i="51"/>
  <c r="H49" i="51"/>
  <c r="G49" i="51"/>
  <c r="F49" i="51"/>
  <c r="E49" i="51"/>
  <c r="B50" i="51"/>
  <c r="R49" i="51"/>
  <c r="Q49" i="51"/>
  <c r="K50" i="52"/>
  <c r="J50" i="52"/>
  <c r="I50" i="52"/>
  <c r="H50" i="52"/>
  <c r="G50" i="52"/>
  <c r="F50" i="52"/>
  <c r="E50" i="52"/>
  <c r="B51" i="52"/>
  <c r="R50" i="52"/>
  <c r="Q50" i="52"/>
  <c r="P50" i="52"/>
  <c r="O50" i="52"/>
  <c r="N50" i="52"/>
  <c r="M50" i="52"/>
  <c r="L50" i="52"/>
  <c r="A48" i="52"/>
  <c r="A48" i="51"/>
  <c r="B51" i="51"/>
  <c r="R50" i="51"/>
  <c r="Q50" i="51"/>
  <c r="P50" i="51"/>
  <c r="O50" i="51"/>
  <c r="N50" i="51"/>
  <c r="M50" i="51"/>
  <c r="L50" i="51"/>
  <c r="K50" i="51"/>
  <c r="J50" i="51"/>
  <c r="I50" i="51"/>
  <c r="H50" i="51"/>
  <c r="G50" i="51"/>
  <c r="F50" i="51"/>
  <c r="E50" i="51"/>
  <c r="A50" i="51" s="1"/>
  <c r="O51" i="52"/>
  <c r="N51" i="52"/>
  <c r="M51" i="52"/>
  <c r="L51" i="52"/>
  <c r="K51" i="52"/>
  <c r="J51" i="52"/>
  <c r="I51" i="52"/>
  <c r="H51" i="52"/>
  <c r="G51" i="52"/>
  <c r="F51" i="52"/>
  <c r="E51" i="52"/>
  <c r="B52" i="52"/>
  <c r="R51" i="52"/>
  <c r="Q51" i="52"/>
  <c r="P51" i="52"/>
  <c r="A49" i="51"/>
  <c r="B52" i="51"/>
  <c r="R51" i="51"/>
  <c r="Q51" i="51"/>
  <c r="P51" i="51"/>
  <c r="O51" i="51"/>
  <c r="N51" i="51"/>
  <c r="M51" i="51"/>
  <c r="L51" i="51"/>
  <c r="K51" i="51"/>
  <c r="J51" i="51"/>
  <c r="I51" i="51"/>
  <c r="H51" i="51"/>
  <c r="G51" i="51"/>
  <c r="F51" i="51"/>
  <c r="E51" i="51"/>
  <c r="R52" i="52"/>
  <c r="Q52" i="52"/>
  <c r="P52" i="52"/>
  <c r="O52" i="52"/>
  <c r="N52" i="52"/>
  <c r="M52" i="52"/>
  <c r="L52" i="52"/>
  <c r="K52" i="52"/>
  <c r="J52" i="52"/>
  <c r="I52" i="52"/>
  <c r="H52" i="52"/>
  <c r="G52" i="52"/>
  <c r="F52" i="52"/>
  <c r="E52" i="52"/>
  <c r="B53" i="52"/>
  <c r="H52" i="51"/>
  <c r="G52" i="51"/>
  <c r="F52" i="51"/>
  <c r="E52" i="51"/>
  <c r="B53" i="51"/>
  <c r="R52" i="51"/>
  <c r="Q52" i="51"/>
  <c r="P52" i="51"/>
  <c r="O52" i="51"/>
  <c r="N52" i="51"/>
  <c r="M52" i="51"/>
  <c r="L52" i="51"/>
  <c r="K52" i="51"/>
  <c r="J52" i="51"/>
  <c r="I52" i="51"/>
  <c r="A51" i="52"/>
  <c r="B54" i="52"/>
  <c r="R53" i="52"/>
  <c r="Q53" i="52"/>
  <c r="P53" i="52"/>
  <c r="O53" i="52"/>
  <c r="N53" i="52"/>
  <c r="M53" i="52"/>
  <c r="L53" i="52"/>
  <c r="K53" i="52"/>
  <c r="J53" i="52"/>
  <c r="I53" i="52"/>
  <c r="H53" i="52"/>
  <c r="G53" i="52"/>
  <c r="F53" i="52"/>
  <c r="E53" i="52"/>
  <c r="A54" i="52" s="1"/>
  <c r="L53" i="51"/>
  <c r="K53" i="51"/>
  <c r="J53" i="51"/>
  <c r="I53" i="51"/>
  <c r="H53" i="51"/>
  <c r="G53" i="51"/>
  <c r="F53" i="51"/>
  <c r="E53" i="51"/>
  <c r="A54" i="51" s="1"/>
  <c r="B54" i="51"/>
  <c r="R53" i="51"/>
  <c r="Q53" i="51"/>
  <c r="P53" i="51"/>
  <c r="O53" i="51"/>
  <c r="N53" i="51"/>
  <c r="M53" i="51"/>
  <c r="A52" i="51"/>
  <c r="G54" i="52"/>
  <c r="F54" i="52"/>
  <c r="E54" i="52"/>
  <c r="A55" i="52" s="1"/>
  <c r="B55" i="52"/>
  <c r="R54" i="52"/>
  <c r="Q54" i="52"/>
  <c r="P54" i="52"/>
  <c r="O54" i="52"/>
  <c r="N54" i="52"/>
  <c r="M54" i="52"/>
  <c r="L54" i="52"/>
  <c r="K54" i="52"/>
  <c r="J54" i="52"/>
  <c r="I54" i="52"/>
  <c r="H54" i="52"/>
  <c r="A52" i="52"/>
  <c r="P54" i="51"/>
  <c r="O54" i="51"/>
  <c r="N54" i="51"/>
  <c r="M54" i="51"/>
  <c r="L54" i="51"/>
  <c r="K54" i="51"/>
  <c r="J54" i="51"/>
  <c r="I54" i="51"/>
  <c r="H54" i="51"/>
  <c r="G54" i="51"/>
  <c r="F54" i="51"/>
  <c r="E54" i="51"/>
  <c r="B55" i="51"/>
  <c r="R54" i="51"/>
  <c r="Q54" i="51"/>
  <c r="A53" i="51"/>
  <c r="K55" i="52"/>
  <c r="J55" i="52"/>
  <c r="I55" i="52"/>
  <c r="H55" i="52"/>
  <c r="G55" i="52"/>
  <c r="F55" i="52"/>
  <c r="E55" i="52"/>
  <c r="B56" i="52"/>
  <c r="R55" i="52"/>
  <c r="Q55" i="52"/>
  <c r="P55" i="52"/>
  <c r="O55" i="52"/>
  <c r="N55" i="52"/>
  <c r="M55" i="52"/>
  <c r="L55" i="52"/>
  <c r="A53" i="52"/>
  <c r="B56" i="51"/>
  <c r="R55" i="51"/>
  <c r="Q55" i="51"/>
  <c r="P55" i="51"/>
  <c r="O55" i="51"/>
  <c r="N55" i="51"/>
  <c r="M55" i="51"/>
  <c r="L55" i="51"/>
  <c r="K55" i="51"/>
  <c r="J55" i="51"/>
  <c r="I55" i="51"/>
  <c r="H55" i="51"/>
  <c r="G55" i="51"/>
  <c r="F55" i="51"/>
  <c r="E55" i="51"/>
  <c r="O56" i="52"/>
  <c r="N56" i="52"/>
  <c r="M56" i="52"/>
  <c r="L56" i="52"/>
  <c r="K56" i="52"/>
  <c r="J56" i="52"/>
  <c r="I56" i="52"/>
  <c r="H56" i="52"/>
  <c r="G56" i="52"/>
  <c r="F56" i="52"/>
  <c r="E56" i="52"/>
  <c r="B57" i="52"/>
  <c r="R56" i="52"/>
  <c r="Q56" i="52"/>
  <c r="P56" i="52"/>
  <c r="B57" i="51"/>
  <c r="R56" i="51"/>
  <c r="Q56" i="51"/>
  <c r="P56" i="51"/>
  <c r="O56" i="51"/>
  <c r="N56" i="51"/>
  <c r="M56" i="51"/>
  <c r="L56" i="51"/>
  <c r="K56" i="51"/>
  <c r="J56" i="51"/>
  <c r="I56" i="51"/>
  <c r="H56" i="51"/>
  <c r="G56" i="51"/>
  <c r="F56" i="51"/>
  <c r="E56" i="51"/>
  <c r="R57" i="52"/>
  <c r="Q57" i="52"/>
  <c r="P57" i="52"/>
  <c r="O57" i="52"/>
  <c r="N57" i="52"/>
  <c r="M57" i="52"/>
  <c r="L57" i="52"/>
  <c r="K57" i="52"/>
  <c r="J57" i="52"/>
  <c r="I57" i="52"/>
  <c r="H57" i="52"/>
  <c r="G57" i="52"/>
  <c r="F57" i="52"/>
  <c r="E57" i="52"/>
  <c r="B58" i="52"/>
  <c r="A55" i="51"/>
  <c r="H57" i="51"/>
  <c r="G57" i="51"/>
  <c r="F57" i="51"/>
  <c r="E57" i="51"/>
  <c r="B58" i="51"/>
  <c r="R57" i="51"/>
  <c r="Q57" i="51"/>
  <c r="P57" i="51"/>
  <c r="O57" i="51"/>
  <c r="N57" i="51"/>
  <c r="M57" i="51"/>
  <c r="L57" i="51"/>
  <c r="K57" i="51"/>
  <c r="J57" i="51"/>
  <c r="I57" i="51"/>
  <c r="A56" i="51"/>
  <c r="A56" i="52"/>
  <c r="B59" i="52"/>
  <c r="R58" i="52"/>
  <c r="Q58" i="52"/>
  <c r="P58" i="52"/>
  <c r="O58" i="52"/>
  <c r="N58" i="52"/>
  <c r="M58" i="52"/>
  <c r="L58" i="52"/>
  <c r="K58" i="52"/>
  <c r="J58" i="52"/>
  <c r="I58" i="52"/>
  <c r="H58" i="52"/>
  <c r="G58" i="52"/>
  <c r="F58" i="52"/>
  <c r="E58" i="52"/>
  <c r="L58" i="51"/>
  <c r="K58" i="51"/>
  <c r="J58" i="51"/>
  <c r="I58" i="51"/>
  <c r="H58" i="51"/>
  <c r="G58" i="51"/>
  <c r="F58" i="51"/>
  <c r="E58" i="51"/>
  <c r="B59" i="51"/>
  <c r="R58" i="51"/>
  <c r="Q58" i="51"/>
  <c r="P58" i="51"/>
  <c r="O58" i="51"/>
  <c r="N58" i="51"/>
  <c r="M58" i="51"/>
  <c r="A57" i="51"/>
  <c r="G59" i="52"/>
  <c r="F59" i="52"/>
  <c r="E59" i="52"/>
  <c r="A60" i="52" s="1"/>
  <c r="B60" i="52"/>
  <c r="R59" i="52"/>
  <c r="Q59" i="52"/>
  <c r="P59" i="52"/>
  <c r="O59" i="52"/>
  <c r="N59" i="52"/>
  <c r="M59" i="52"/>
  <c r="L59" i="52"/>
  <c r="K59" i="52"/>
  <c r="J59" i="52"/>
  <c r="I59" i="52"/>
  <c r="H59" i="52"/>
  <c r="P59" i="51"/>
  <c r="O59" i="51"/>
  <c r="N59" i="51"/>
  <c r="M59" i="51"/>
  <c r="L59" i="51"/>
  <c r="K59" i="51"/>
  <c r="J59" i="51"/>
  <c r="I59" i="51"/>
  <c r="H59" i="51"/>
  <c r="G59" i="51"/>
  <c r="F59" i="51"/>
  <c r="E59" i="51"/>
  <c r="A60" i="51" s="1"/>
  <c r="B60" i="51"/>
  <c r="R59" i="51"/>
  <c r="Q59" i="51"/>
  <c r="K60" i="52"/>
  <c r="J60" i="52"/>
  <c r="I60" i="52"/>
  <c r="H60" i="52"/>
  <c r="G60" i="52"/>
  <c r="F60" i="52"/>
  <c r="E60" i="52"/>
  <c r="B61" i="52"/>
  <c r="R60" i="52"/>
  <c r="Q60" i="52"/>
  <c r="P60" i="52"/>
  <c r="O60" i="52"/>
  <c r="N60" i="52"/>
  <c r="M60" i="52"/>
  <c r="L60" i="52"/>
  <c r="A59" i="52"/>
  <c r="B61" i="51"/>
  <c r="R60" i="51"/>
  <c r="Q60" i="51"/>
  <c r="P60" i="51"/>
  <c r="O60" i="51"/>
  <c r="N60" i="51"/>
  <c r="M60" i="51"/>
  <c r="L60" i="51"/>
  <c r="K60" i="51"/>
  <c r="J60" i="51"/>
  <c r="I60" i="51"/>
  <c r="H60" i="51"/>
  <c r="G60" i="51"/>
  <c r="F60" i="51"/>
  <c r="E60" i="51"/>
  <c r="O61" i="52"/>
  <c r="N61" i="52"/>
  <c r="M61" i="52"/>
  <c r="L61" i="52"/>
  <c r="K61" i="52"/>
  <c r="J61" i="52"/>
  <c r="I61" i="52"/>
  <c r="H61" i="52"/>
  <c r="G61" i="52"/>
  <c r="F61" i="52"/>
  <c r="E61" i="52"/>
  <c r="B62" i="52"/>
  <c r="R61" i="52"/>
  <c r="Q61" i="52"/>
  <c r="P61" i="52"/>
  <c r="B62" i="51"/>
  <c r="R61" i="51"/>
  <c r="Q61" i="51"/>
  <c r="P61" i="51"/>
  <c r="O61" i="51"/>
  <c r="N61" i="51"/>
  <c r="M61" i="51"/>
  <c r="L61" i="51"/>
  <c r="K61" i="51"/>
  <c r="J61" i="51"/>
  <c r="I61" i="51"/>
  <c r="H61" i="51"/>
  <c r="G61" i="51"/>
  <c r="F61" i="51"/>
  <c r="E61" i="51"/>
  <c r="R62" i="52"/>
  <c r="Q62" i="52"/>
  <c r="P62" i="52"/>
  <c r="O62" i="52"/>
  <c r="N62" i="52"/>
  <c r="M62" i="52"/>
  <c r="L62" i="52"/>
  <c r="K62" i="52"/>
  <c r="J62" i="52"/>
  <c r="I62" i="52"/>
  <c r="H62" i="52"/>
  <c r="G62" i="52"/>
  <c r="F62" i="52"/>
  <c r="E62" i="52"/>
  <c r="B63" i="52"/>
  <c r="H62" i="51"/>
  <c r="G62" i="51"/>
  <c r="F62" i="51"/>
  <c r="E62" i="51"/>
  <c r="B63" i="51"/>
  <c r="R62" i="51"/>
  <c r="Q62" i="51"/>
  <c r="P62" i="51"/>
  <c r="O62" i="51"/>
  <c r="N62" i="51"/>
  <c r="M62" i="51"/>
  <c r="L62" i="51"/>
  <c r="K62" i="51"/>
  <c r="J62" i="51"/>
  <c r="I62" i="51"/>
  <c r="A61" i="51"/>
  <c r="A61" i="52"/>
  <c r="B64" i="52"/>
  <c r="R63" i="52"/>
  <c r="Q63" i="52"/>
  <c r="P63" i="52"/>
  <c r="O63" i="52"/>
  <c r="N63" i="52"/>
  <c r="M63" i="52"/>
  <c r="L63" i="52"/>
  <c r="K63" i="52"/>
  <c r="J63" i="52"/>
  <c r="I63" i="52"/>
  <c r="H63" i="52"/>
  <c r="G63" i="52"/>
  <c r="F63" i="52"/>
  <c r="E63" i="52"/>
  <c r="A63" i="52" s="1"/>
  <c r="L63" i="51"/>
  <c r="K63" i="51"/>
  <c r="J63" i="51"/>
  <c r="I63" i="51"/>
  <c r="H63" i="51"/>
  <c r="G63" i="51"/>
  <c r="F63" i="51"/>
  <c r="E63" i="51"/>
  <c r="B64" i="51"/>
  <c r="R63" i="51"/>
  <c r="Q63" i="51"/>
  <c r="P63" i="51"/>
  <c r="O63" i="51"/>
  <c r="N63" i="51"/>
  <c r="M63" i="51"/>
  <c r="A62" i="51"/>
  <c r="G64" i="52"/>
  <c r="F64" i="52"/>
  <c r="E64" i="52"/>
  <c r="B65" i="52"/>
  <c r="R64" i="52"/>
  <c r="Q64" i="52"/>
  <c r="P64" i="52"/>
  <c r="O64" i="52"/>
  <c r="N64" i="52"/>
  <c r="M64" i="52"/>
  <c r="L64" i="52"/>
  <c r="K64" i="52"/>
  <c r="J64" i="52"/>
  <c r="I64" i="52"/>
  <c r="H64" i="52"/>
  <c r="A62" i="52"/>
  <c r="P64" i="51"/>
  <c r="O64" i="51"/>
  <c r="N64" i="51"/>
  <c r="M64" i="51"/>
  <c r="L64" i="51"/>
  <c r="K64" i="51"/>
  <c r="J64" i="51"/>
  <c r="I64" i="51"/>
  <c r="H64" i="51"/>
  <c r="G64" i="51"/>
  <c r="F64" i="51"/>
  <c r="E64" i="51"/>
  <c r="B65" i="51"/>
  <c r="R64" i="51"/>
  <c r="Q64" i="51"/>
  <c r="K65" i="52"/>
  <c r="J65" i="52"/>
  <c r="I65" i="52"/>
  <c r="H65" i="52"/>
  <c r="G65" i="52"/>
  <c r="F65" i="52"/>
  <c r="E65" i="52"/>
  <c r="B66" i="52"/>
  <c r="R65" i="52"/>
  <c r="Q65" i="52"/>
  <c r="P65" i="52"/>
  <c r="O65" i="52"/>
  <c r="N65" i="52"/>
  <c r="M65" i="52"/>
  <c r="L65" i="52"/>
  <c r="B66" i="51"/>
  <c r="R65" i="51"/>
  <c r="Q65" i="51"/>
  <c r="P65" i="51"/>
  <c r="O65" i="51"/>
  <c r="N65" i="51"/>
  <c r="M65" i="51"/>
  <c r="L65" i="51"/>
  <c r="K65" i="51"/>
  <c r="J65" i="51"/>
  <c r="I65" i="51"/>
  <c r="H65" i="51"/>
  <c r="G65" i="51"/>
  <c r="F65" i="51"/>
  <c r="E65" i="51"/>
  <c r="A66" i="51" s="1"/>
  <c r="O66" i="52"/>
  <c r="N66" i="52"/>
  <c r="M66" i="52"/>
  <c r="L66" i="52"/>
  <c r="K66" i="52"/>
  <c r="J66" i="52"/>
  <c r="I66" i="52"/>
  <c r="H66" i="52"/>
  <c r="G66" i="52"/>
  <c r="F66" i="52"/>
  <c r="E66" i="52"/>
  <c r="B67" i="52"/>
  <c r="R66" i="52"/>
  <c r="Q66" i="52"/>
  <c r="P66" i="52"/>
  <c r="B67" i="51"/>
  <c r="R66" i="51"/>
  <c r="Q66" i="51"/>
  <c r="P66" i="51"/>
  <c r="O66" i="51"/>
  <c r="N66" i="51"/>
  <c r="M66" i="51"/>
  <c r="L66" i="51"/>
  <c r="K66" i="51"/>
  <c r="J66" i="51"/>
  <c r="I66" i="51"/>
  <c r="H66" i="51"/>
  <c r="G66" i="51"/>
  <c r="F66" i="51"/>
  <c r="E66" i="51"/>
  <c r="A65" i="51"/>
  <c r="A65" i="52"/>
  <c r="R67" i="52"/>
  <c r="Q67" i="52"/>
  <c r="P67" i="52"/>
  <c r="O67" i="52"/>
  <c r="N67" i="52"/>
  <c r="M67" i="52"/>
  <c r="L67" i="52"/>
  <c r="K67" i="52"/>
  <c r="J67" i="52"/>
  <c r="I67" i="52"/>
  <c r="H67" i="52"/>
  <c r="G67" i="52"/>
  <c r="F67" i="52"/>
  <c r="E67" i="52"/>
  <c r="A66" i="52"/>
  <c r="B68" i="52"/>
  <c r="H67" i="51"/>
  <c r="G67" i="51"/>
  <c r="F67" i="51"/>
  <c r="E67" i="51"/>
  <c r="B68" i="51"/>
  <c r="R67" i="51"/>
  <c r="Q67" i="51"/>
  <c r="P67" i="51"/>
  <c r="O67" i="51"/>
  <c r="N67" i="51"/>
  <c r="M67" i="51"/>
  <c r="L67" i="51"/>
  <c r="K67" i="51"/>
  <c r="J67" i="51"/>
  <c r="I67" i="51"/>
  <c r="B69" i="52"/>
  <c r="R68" i="52"/>
  <c r="Q68" i="52"/>
  <c r="P68" i="52"/>
  <c r="O68" i="52"/>
  <c r="N68" i="52"/>
  <c r="M68" i="52"/>
  <c r="L68" i="52"/>
  <c r="K68" i="52"/>
  <c r="J68" i="52"/>
  <c r="I68" i="52"/>
  <c r="H68" i="52"/>
  <c r="G68" i="52"/>
  <c r="F68" i="52"/>
  <c r="E68" i="52"/>
  <c r="L68" i="51"/>
  <c r="K68" i="51"/>
  <c r="J68" i="51"/>
  <c r="I68" i="51"/>
  <c r="H68" i="51"/>
  <c r="G68" i="51"/>
  <c r="F68" i="51"/>
  <c r="E68" i="51"/>
  <c r="B69" i="51"/>
  <c r="R68" i="51"/>
  <c r="Q68" i="51"/>
  <c r="P68" i="51"/>
  <c r="O68" i="51"/>
  <c r="N68" i="51"/>
  <c r="M68" i="51"/>
  <c r="A67" i="51"/>
  <c r="G69" i="52"/>
  <c r="F69" i="52"/>
  <c r="E69" i="52"/>
  <c r="B70" i="52"/>
  <c r="R69" i="52"/>
  <c r="Q69" i="52"/>
  <c r="P69" i="52"/>
  <c r="O69" i="52"/>
  <c r="N69" i="52"/>
  <c r="M69" i="52"/>
  <c r="L69" i="52"/>
  <c r="K69" i="52"/>
  <c r="J69" i="52"/>
  <c r="I69" i="52"/>
  <c r="H69" i="52"/>
  <c r="P69" i="51"/>
  <c r="O69" i="51"/>
  <c r="N69" i="51"/>
  <c r="M69" i="51"/>
  <c r="L69" i="51"/>
  <c r="K69" i="51"/>
  <c r="J69" i="51"/>
  <c r="I69" i="51"/>
  <c r="H69" i="51"/>
  <c r="G69" i="51"/>
  <c r="F69" i="51"/>
  <c r="E69" i="51"/>
  <c r="B70" i="51"/>
  <c r="R69" i="51"/>
  <c r="Q69" i="51"/>
  <c r="A68" i="51"/>
  <c r="K70" i="52"/>
  <c r="J70" i="52"/>
  <c r="I70" i="52"/>
  <c r="H70" i="52"/>
  <c r="G70" i="52"/>
  <c r="F70" i="52"/>
  <c r="E70" i="52"/>
  <c r="B71" i="52"/>
  <c r="R70" i="52"/>
  <c r="Q70" i="52"/>
  <c r="P70" i="52"/>
  <c r="O70" i="52"/>
  <c r="N70" i="52"/>
  <c r="M70" i="52"/>
  <c r="L70" i="52"/>
  <c r="A68" i="52"/>
  <c r="B71" i="51"/>
  <c r="R70" i="51"/>
  <c r="Q70" i="51"/>
  <c r="P70" i="51"/>
  <c r="O70" i="51"/>
  <c r="N70" i="51"/>
  <c r="M70" i="51"/>
  <c r="L70" i="51"/>
  <c r="K70" i="51"/>
  <c r="J70" i="51"/>
  <c r="I70" i="51"/>
  <c r="H70" i="51"/>
  <c r="G70" i="51"/>
  <c r="F70" i="51"/>
  <c r="E70" i="51"/>
  <c r="A69" i="51" s="1"/>
  <c r="O71" i="52"/>
  <c r="N71" i="52"/>
  <c r="M71" i="52"/>
  <c r="L71" i="52"/>
  <c r="K71" i="52"/>
  <c r="J71" i="52"/>
  <c r="I71" i="52"/>
  <c r="H71" i="52"/>
  <c r="G71" i="52"/>
  <c r="F71" i="52"/>
  <c r="E71" i="52"/>
  <c r="B72" i="52"/>
  <c r="R71" i="52"/>
  <c r="Q71" i="52"/>
  <c r="P71" i="52"/>
  <c r="B72" i="51"/>
  <c r="R71" i="51"/>
  <c r="Q71" i="51"/>
  <c r="P71" i="51"/>
  <c r="O71" i="51"/>
  <c r="N71" i="51"/>
  <c r="M71" i="51"/>
  <c r="L71" i="51"/>
  <c r="K71" i="51"/>
  <c r="J71" i="51"/>
  <c r="I71" i="51"/>
  <c r="H71" i="51"/>
  <c r="G71" i="51"/>
  <c r="F71" i="51"/>
  <c r="E71" i="51"/>
  <c r="R72" i="52"/>
  <c r="Q72" i="52"/>
  <c r="P72" i="52"/>
  <c r="O72" i="52"/>
  <c r="N72" i="52"/>
  <c r="M72" i="52"/>
  <c r="L72" i="52"/>
  <c r="K72" i="52"/>
  <c r="J72" i="52"/>
  <c r="I72" i="52"/>
  <c r="H72" i="52"/>
  <c r="G72" i="52"/>
  <c r="F72" i="52"/>
  <c r="E72" i="52"/>
  <c r="B73" i="52"/>
  <c r="A70" i="52"/>
  <c r="H72" i="51"/>
  <c r="G72" i="51"/>
  <c r="F72" i="51"/>
  <c r="E72" i="51"/>
  <c r="B73" i="51"/>
  <c r="R72" i="51"/>
  <c r="Q72" i="51"/>
  <c r="P72" i="51"/>
  <c r="O72" i="51"/>
  <c r="N72" i="51"/>
  <c r="M72" i="51"/>
  <c r="L72" i="51"/>
  <c r="K72" i="51"/>
  <c r="J72" i="51"/>
  <c r="I72" i="51"/>
  <c r="A71" i="52"/>
  <c r="B74" i="52"/>
  <c r="R73" i="52"/>
  <c r="Q73" i="52"/>
  <c r="P73" i="52"/>
  <c r="O73" i="52"/>
  <c r="N73" i="52"/>
  <c r="M73" i="52"/>
  <c r="L73" i="52"/>
  <c r="K73" i="52"/>
  <c r="J73" i="52"/>
  <c r="I73" i="52"/>
  <c r="H73" i="52"/>
  <c r="G73" i="52"/>
  <c r="F73" i="52"/>
  <c r="E73" i="52"/>
  <c r="L73" i="51"/>
  <c r="K73" i="51"/>
  <c r="J73" i="51"/>
  <c r="I73" i="51"/>
  <c r="H73" i="51"/>
  <c r="G73" i="51"/>
  <c r="F73" i="51"/>
  <c r="E73" i="51"/>
  <c r="B74" i="51"/>
  <c r="R73" i="51"/>
  <c r="Q73" i="51"/>
  <c r="P73" i="51"/>
  <c r="O73" i="51"/>
  <c r="N73" i="51"/>
  <c r="M73" i="51"/>
  <c r="A72" i="51"/>
  <c r="G74" i="52"/>
  <c r="F74" i="52"/>
  <c r="E74" i="52"/>
  <c r="B75" i="52"/>
  <c r="R74" i="52"/>
  <c r="Q74" i="52"/>
  <c r="P74" i="52"/>
  <c r="O74" i="52"/>
  <c r="N74" i="52"/>
  <c r="M74" i="52"/>
  <c r="L74" i="52"/>
  <c r="K74" i="52"/>
  <c r="J74" i="52"/>
  <c r="I74" i="52"/>
  <c r="H74" i="52"/>
  <c r="P74" i="51"/>
  <c r="O74" i="51"/>
  <c r="N74" i="51"/>
  <c r="M74" i="51"/>
  <c r="L74" i="51"/>
  <c r="K74" i="51"/>
  <c r="J74" i="51"/>
  <c r="I74" i="51"/>
  <c r="H74" i="51"/>
  <c r="G74" i="51"/>
  <c r="F74" i="51"/>
  <c r="E74" i="51"/>
  <c r="B75" i="51"/>
  <c r="Q74" i="51"/>
  <c r="R74" i="51"/>
  <c r="A73" i="51"/>
  <c r="K75" i="52"/>
  <c r="J75" i="52"/>
  <c r="I75" i="52"/>
  <c r="H75" i="52"/>
  <c r="G75" i="52"/>
  <c r="F75" i="52"/>
  <c r="E75" i="52"/>
  <c r="A76" i="52" s="1"/>
  <c r="B76" i="52"/>
  <c r="R75" i="52"/>
  <c r="Q75" i="52"/>
  <c r="P75" i="52"/>
  <c r="O75" i="52"/>
  <c r="N75" i="52"/>
  <c r="M75" i="52"/>
  <c r="L75" i="52"/>
  <c r="B76" i="51"/>
  <c r="R75" i="51"/>
  <c r="Q75" i="51"/>
  <c r="P75" i="51"/>
  <c r="O75" i="51"/>
  <c r="N75" i="51"/>
  <c r="M75" i="51"/>
  <c r="L75" i="51"/>
  <c r="K75" i="51"/>
  <c r="J75" i="51"/>
  <c r="I75" i="51"/>
  <c r="H75" i="51"/>
  <c r="G75" i="51"/>
  <c r="F75" i="51"/>
  <c r="E75" i="51"/>
  <c r="A74" i="51" s="1"/>
  <c r="O76" i="52"/>
  <c r="N76" i="52"/>
  <c r="M76" i="52"/>
  <c r="L76" i="52"/>
  <c r="K76" i="52"/>
  <c r="J76" i="52"/>
  <c r="I76" i="52"/>
  <c r="H76" i="52"/>
  <c r="G76" i="52"/>
  <c r="F76" i="52"/>
  <c r="E76" i="52"/>
  <c r="B77" i="52"/>
  <c r="R76" i="52"/>
  <c r="Q76" i="52"/>
  <c r="P76" i="52"/>
  <c r="B77" i="51"/>
  <c r="R76" i="51"/>
  <c r="Q76" i="51"/>
  <c r="P76" i="51"/>
  <c r="O76" i="51"/>
  <c r="N76" i="51"/>
  <c r="M76" i="51"/>
  <c r="L76" i="51"/>
  <c r="K76" i="51"/>
  <c r="J76" i="51"/>
  <c r="I76" i="51"/>
  <c r="H76" i="51"/>
  <c r="G76" i="51"/>
  <c r="F76" i="51"/>
  <c r="E76" i="51"/>
  <c r="A75" i="52"/>
  <c r="R77" i="52"/>
  <c r="Q77" i="52"/>
  <c r="P77" i="52"/>
  <c r="O77" i="52"/>
  <c r="N77" i="52"/>
  <c r="M77" i="52"/>
  <c r="L77" i="52"/>
  <c r="K77" i="52"/>
  <c r="J77" i="52"/>
  <c r="I77" i="52"/>
  <c r="H77" i="52"/>
  <c r="G77" i="52"/>
  <c r="F77" i="52"/>
  <c r="E77" i="52"/>
  <c r="B78" i="52"/>
  <c r="A75" i="51"/>
  <c r="H77" i="51"/>
  <c r="G77" i="51"/>
  <c r="F77" i="51"/>
  <c r="E77" i="51"/>
  <c r="B78" i="51"/>
  <c r="R77" i="51"/>
  <c r="Q77" i="51"/>
  <c r="P77" i="51"/>
  <c r="O77" i="51"/>
  <c r="N77" i="51"/>
  <c r="M77" i="51"/>
  <c r="L77" i="51"/>
  <c r="K77" i="51"/>
  <c r="J77" i="51"/>
  <c r="I77" i="51"/>
  <c r="A76" i="51"/>
  <c r="B79" i="52"/>
  <c r="R78" i="52"/>
  <c r="Q78" i="52"/>
  <c r="P78" i="52"/>
  <c r="O78" i="52"/>
  <c r="N78" i="52"/>
  <c r="M78" i="52"/>
  <c r="L78" i="52"/>
  <c r="K78" i="52"/>
  <c r="J78" i="52"/>
  <c r="I78" i="52"/>
  <c r="H78" i="52"/>
  <c r="G78" i="52"/>
  <c r="F78" i="52"/>
  <c r="E78" i="52"/>
  <c r="L78" i="51"/>
  <c r="K78" i="51"/>
  <c r="J78" i="51"/>
  <c r="I78" i="51"/>
  <c r="H78" i="51"/>
  <c r="G78" i="51"/>
  <c r="F78" i="51"/>
  <c r="E78" i="51"/>
  <c r="A79" i="51" s="1"/>
  <c r="B79" i="51"/>
  <c r="R78" i="51"/>
  <c r="Q78" i="51"/>
  <c r="P78" i="51"/>
  <c r="O78" i="51"/>
  <c r="N78" i="51"/>
  <c r="M78" i="51"/>
  <c r="A77" i="51"/>
  <c r="G79" i="52"/>
  <c r="F79" i="52"/>
  <c r="E79" i="52"/>
  <c r="B80" i="52"/>
  <c r="R79" i="52"/>
  <c r="Q79" i="52"/>
  <c r="P79" i="52"/>
  <c r="O79" i="52"/>
  <c r="N79" i="52"/>
  <c r="M79" i="52"/>
  <c r="L79" i="52"/>
  <c r="K79" i="52"/>
  <c r="J79" i="52"/>
  <c r="I79" i="52"/>
  <c r="H79" i="52"/>
  <c r="P79" i="51"/>
  <c r="O79" i="51"/>
  <c r="N79" i="51"/>
  <c r="M79" i="51"/>
  <c r="L79" i="51"/>
  <c r="K79" i="51"/>
  <c r="J79" i="51"/>
  <c r="I79" i="51"/>
  <c r="H79" i="51"/>
  <c r="G79" i="51"/>
  <c r="F79" i="51"/>
  <c r="E79" i="51"/>
  <c r="B80" i="51"/>
  <c r="R79" i="51"/>
  <c r="Q79" i="51"/>
  <c r="K80" i="52"/>
  <c r="J80" i="52"/>
  <c r="I80" i="52"/>
  <c r="H80" i="52"/>
  <c r="G80" i="52"/>
  <c r="F80" i="52"/>
  <c r="E80" i="52"/>
  <c r="B81" i="52"/>
  <c r="R80" i="52"/>
  <c r="Q80" i="52"/>
  <c r="P80" i="52"/>
  <c r="O80" i="52"/>
  <c r="N80" i="52"/>
  <c r="M80" i="52"/>
  <c r="L80" i="52"/>
  <c r="A79" i="52"/>
  <c r="B81" i="51"/>
  <c r="R80" i="51"/>
  <c r="Q80" i="51"/>
  <c r="P80" i="51"/>
  <c r="O80" i="51"/>
  <c r="N80" i="51"/>
  <c r="M80" i="51"/>
  <c r="L80" i="51"/>
  <c r="K80" i="51"/>
  <c r="J80" i="51"/>
  <c r="I80" i="51"/>
  <c r="H80" i="51"/>
  <c r="G80" i="51"/>
  <c r="F80" i="51"/>
  <c r="E80" i="51"/>
  <c r="A78" i="51"/>
  <c r="O81" i="52"/>
  <c r="N81" i="52"/>
  <c r="M81" i="52"/>
  <c r="L81" i="52"/>
  <c r="K81" i="52"/>
  <c r="J81" i="52"/>
  <c r="I81" i="52"/>
  <c r="H81" i="52"/>
  <c r="G81" i="52"/>
  <c r="F81" i="52"/>
  <c r="E81" i="52"/>
  <c r="B82" i="52"/>
  <c r="R81" i="52"/>
  <c r="Q81" i="52"/>
  <c r="P81" i="52"/>
  <c r="A80" i="52"/>
  <c r="B82" i="51"/>
  <c r="R81" i="51"/>
  <c r="Q81" i="51"/>
  <c r="P81" i="51"/>
  <c r="O81" i="51"/>
  <c r="N81" i="51"/>
  <c r="M81" i="51"/>
  <c r="L81" i="51"/>
  <c r="K81" i="51"/>
  <c r="J81" i="51"/>
  <c r="I81" i="51"/>
  <c r="H81" i="51"/>
  <c r="G81" i="51"/>
  <c r="F81" i="51"/>
  <c r="E81" i="51"/>
  <c r="A81" i="51" s="1"/>
  <c r="R82" i="52"/>
  <c r="Q82" i="52"/>
  <c r="P82" i="52"/>
  <c r="O82" i="52"/>
  <c r="N82" i="52"/>
  <c r="M82" i="52"/>
  <c r="L82" i="52"/>
  <c r="K82" i="52"/>
  <c r="J82" i="52"/>
  <c r="I82" i="52"/>
  <c r="H82" i="52"/>
  <c r="G82" i="52"/>
  <c r="F82" i="52"/>
  <c r="E82" i="52"/>
  <c r="B83" i="52"/>
  <c r="H82" i="51"/>
  <c r="G82" i="51"/>
  <c r="F82" i="51"/>
  <c r="E82" i="51"/>
  <c r="B83" i="51"/>
  <c r="R82" i="51"/>
  <c r="Q82" i="51"/>
  <c r="P82" i="51"/>
  <c r="O82" i="51"/>
  <c r="N82" i="51"/>
  <c r="M82" i="51"/>
  <c r="L82" i="51"/>
  <c r="K82" i="51"/>
  <c r="J82" i="51"/>
  <c r="I82" i="51"/>
  <c r="B84" i="52"/>
  <c r="R83" i="52"/>
  <c r="Q83" i="52"/>
  <c r="P83" i="52"/>
  <c r="O83" i="52"/>
  <c r="N83" i="52"/>
  <c r="M83" i="52"/>
  <c r="L83" i="52"/>
  <c r="K83" i="52"/>
  <c r="J83" i="52"/>
  <c r="I83" i="52"/>
  <c r="H83" i="52"/>
  <c r="G83" i="52"/>
  <c r="F83" i="52"/>
  <c r="E83" i="52"/>
  <c r="A81" i="52"/>
  <c r="L83" i="51"/>
  <c r="K83" i="51"/>
  <c r="J83" i="51"/>
  <c r="I83" i="51"/>
  <c r="H83" i="51"/>
  <c r="G83" i="51"/>
  <c r="F83" i="51"/>
  <c r="E83" i="51"/>
  <c r="B84" i="51"/>
  <c r="R83" i="51"/>
  <c r="Q83" i="51"/>
  <c r="P83" i="51"/>
  <c r="O83" i="51"/>
  <c r="N83" i="51"/>
  <c r="M83" i="51"/>
  <c r="A82" i="51"/>
  <c r="A82" i="52"/>
  <c r="G84" i="52"/>
  <c r="F84" i="52"/>
  <c r="E84" i="52"/>
  <c r="A83" i="52" s="1"/>
  <c r="B85" i="52"/>
  <c r="R84" i="52"/>
  <c r="Q84" i="52"/>
  <c r="P84" i="52"/>
  <c r="O84" i="52"/>
  <c r="N84" i="52"/>
  <c r="M84" i="52"/>
  <c r="L84" i="52"/>
  <c r="K84" i="52"/>
  <c r="J84" i="52"/>
  <c r="I84" i="52"/>
  <c r="H84" i="52"/>
  <c r="P84" i="51"/>
  <c r="O84" i="51"/>
  <c r="N84" i="51"/>
  <c r="M84" i="51"/>
  <c r="L84" i="51"/>
  <c r="K84" i="51"/>
  <c r="J84" i="51"/>
  <c r="I84" i="51"/>
  <c r="H84" i="51"/>
  <c r="G84" i="51"/>
  <c r="F84" i="51"/>
  <c r="E84" i="51"/>
  <c r="A85" i="51" s="1"/>
  <c r="B85" i="51"/>
  <c r="R84" i="51"/>
  <c r="Q84" i="51"/>
  <c r="K85" i="52"/>
  <c r="J85" i="52"/>
  <c r="I85" i="52"/>
  <c r="H85" i="52"/>
  <c r="G85" i="52"/>
  <c r="F85" i="52"/>
  <c r="E85" i="52"/>
  <c r="B86" i="52"/>
  <c r="R85" i="52"/>
  <c r="Q85" i="52"/>
  <c r="P85" i="52"/>
  <c r="O85" i="52"/>
  <c r="N85" i="52"/>
  <c r="M85" i="52"/>
  <c r="L85" i="52"/>
  <c r="A84" i="52"/>
  <c r="B86" i="51"/>
  <c r="R85" i="51"/>
  <c r="Q85" i="51"/>
  <c r="P85" i="51"/>
  <c r="O85" i="51"/>
  <c r="N85" i="51"/>
  <c r="M85" i="51"/>
  <c r="L85" i="51"/>
  <c r="K85" i="51"/>
  <c r="J85" i="51"/>
  <c r="I85" i="51"/>
  <c r="H85" i="51"/>
  <c r="G85" i="51"/>
  <c r="F85" i="51"/>
  <c r="E85" i="51"/>
  <c r="O86" i="52"/>
  <c r="N86" i="52"/>
  <c r="M86" i="52"/>
  <c r="L86" i="52"/>
  <c r="K86" i="52"/>
  <c r="J86" i="52"/>
  <c r="I86" i="52"/>
  <c r="H86" i="52"/>
  <c r="G86" i="52"/>
  <c r="F86" i="52"/>
  <c r="E86" i="52"/>
  <c r="A87" i="52" s="1"/>
  <c r="B87" i="52"/>
  <c r="R86" i="52"/>
  <c r="Q86" i="52"/>
  <c r="P86" i="52"/>
  <c r="B87" i="51"/>
  <c r="R86" i="51"/>
  <c r="Q86" i="51"/>
  <c r="P86" i="51"/>
  <c r="O86" i="51"/>
  <c r="N86" i="51"/>
  <c r="M86" i="51"/>
  <c r="L86" i="51"/>
  <c r="K86" i="51"/>
  <c r="J86" i="51"/>
  <c r="I86" i="51"/>
  <c r="H86" i="51"/>
  <c r="G86" i="51"/>
  <c r="F86" i="51"/>
  <c r="E86" i="51"/>
  <c r="A85" i="52"/>
  <c r="R87" i="52"/>
  <c r="Q87" i="52"/>
  <c r="P87" i="52"/>
  <c r="O87" i="52"/>
  <c r="N87" i="52"/>
  <c r="M87" i="52"/>
  <c r="L87" i="52"/>
  <c r="K87" i="52"/>
  <c r="J87" i="52"/>
  <c r="I87" i="52"/>
  <c r="H87" i="52"/>
  <c r="G87" i="52"/>
  <c r="F87" i="52"/>
  <c r="E87" i="52"/>
  <c r="B88" i="52"/>
  <c r="H87" i="51"/>
  <c r="G87" i="51"/>
  <c r="F87" i="51"/>
  <c r="E87" i="51"/>
  <c r="B88" i="51"/>
  <c r="R87" i="51"/>
  <c r="Q87" i="51"/>
  <c r="P87" i="51"/>
  <c r="O87" i="51"/>
  <c r="N87" i="51"/>
  <c r="M87" i="51"/>
  <c r="L87" i="51"/>
  <c r="K87" i="51"/>
  <c r="J87" i="51"/>
  <c r="I87" i="51"/>
  <c r="A86" i="51"/>
  <c r="A86" i="52"/>
  <c r="B89" i="52"/>
  <c r="R88" i="52"/>
  <c r="Q88" i="52"/>
  <c r="P88" i="52"/>
  <c r="O88" i="52"/>
  <c r="N88" i="52"/>
  <c r="M88" i="52"/>
  <c r="L88" i="52"/>
  <c r="K88" i="52"/>
  <c r="J88" i="52"/>
  <c r="I88" i="52"/>
  <c r="H88" i="52"/>
  <c r="G88" i="52"/>
  <c r="F88" i="52"/>
  <c r="E88" i="52"/>
  <c r="L88" i="51"/>
  <c r="K88" i="51"/>
  <c r="J88" i="51"/>
  <c r="I88" i="51"/>
  <c r="H88" i="51"/>
  <c r="G88" i="51"/>
  <c r="F88" i="51"/>
  <c r="E88" i="51"/>
  <c r="A87" i="51" s="1"/>
  <c r="B89" i="51"/>
  <c r="R88" i="51"/>
  <c r="Q88" i="51"/>
  <c r="P88" i="51"/>
  <c r="O88" i="51"/>
  <c r="N88" i="51"/>
  <c r="M88" i="51"/>
  <c r="G89" i="52"/>
  <c r="F89" i="52"/>
  <c r="E89" i="52"/>
  <c r="B90" i="52"/>
  <c r="R89" i="52"/>
  <c r="Q89" i="52"/>
  <c r="P89" i="52"/>
  <c r="O89" i="52"/>
  <c r="N89" i="52"/>
  <c r="M89" i="52"/>
  <c r="L89" i="52"/>
  <c r="K89" i="52"/>
  <c r="J89" i="52"/>
  <c r="I89" i="52"/>
  <c r="H89" i="52"/>
  <c r="A88" i="52"/>
  <c r="P89" i="51"/>
  <c r="O89" i="51"/>
  <c r="N89" i="51"/>
  <c r="M89" i="51"/>
  <c r="L89" i="51"/>
  <c r="K89" i="51"/>
  <c r="J89" i="51"/>
  <c r="I89" i="51"/>
  <c r="H89" i="51"/>
  <c r="G89" i="51"/>
  <c r="F89" i="51"/>
  <c r="E89" i="51"/>
  <c r="B90" i="51"/>
  <c r="R89" i="51"/>
  <c r="Q89" i="51"/>
  <c r="K90" i="52"/>
  <c r="J90" i="52"/>
  <c r="I90" i="52"/>
  <c r="H90" i="52"/>
  <c r="G90" i="52"/>
  <c r="F90" i="52"/>
  <c r="E90" i="52"/>
  <c r="B91" i="52"/>
  <c r="R90" i="52"/>
  <c r="Q90" i="52"/>
  <c r="P90" i="52"/>
  <c r="O90" i="52"/>
  <c r="N90" i="52"/>
  <c r="M90" i="52"/>
  <c r="L90" i="52"/>
  <c r="A89" i="52"/>
  <c r="B91" i="51"/>
  <c r="R90" i="51"/>
  <c r="Q90" i="51"/>
  <c r="P90" i="51"/>
  <c r="O90" i="51"/>
  <c r="N90" i="51"/>
  <c r="M90" i="51"/>
  <c r="L90" i="51"/>
  <c r="K90" i="51"/>
  <c r="J90" i="51"/>
  <c r="I90" i="51"/>
  <c r="H90" i="51"/>
  <c r="G90" i="51"/>
  <c r="F90" i="51"/>
  <c r="E90" i="51"/>
  <c r="A88" i="51"/>
  <c r="O91" i="52"/>
  <c r="N91" i="52"/>
  <c r="M91" i="52"/>
  <c r="L91" i="52"/>
  <c r="K91" i="52"/>
  <c r="J91" i="52"/>
  <c r="I91" i="52"/>
  <c r="H91" i="52"/>
  <c r="G91" i="52"/>
  <c r="F91" i="52"/>
  <c r="E91" i="52"/>
  <c r="A90" i="52" s="1"/>
  <c r="B92" i="52"/>
  <c r="R91" i="52"/>
  <c r="Q91" i="52"/>
  <c r="P91" i="52"/>
  <c r="A89" i="51"/>
  <c r="B92" i="51"/>
  <c r="R91" i="51"/>
  <c r="Q91" i="51"/>
  <c r="P91" i="51"/>
  <c r="O91" i="51"/>
  <c r="N91" i="51"/>
  <c r="M91" i="51"/>
  <c r="L91" i="51"/>
  <c r="K91" i="51"/>
  <c r="J91" i="51"/>
  <c r="I91" i="51"/>
  <c r="H91" i="51"/>
  <c r="G91" i="51"/>
  <c r="F91" i="51"/>
  <c r="E91" i="51"/>
  <c r="R92" i="52"/>
  <c r="Q92" i="52"/>
  <c r="P92" i="52"/>
  <c r="O92" i="52"/>
  <c r="N92" i="52"/>
  <c r="M92" i="52"/>
  <c r="L92" i="52"/>
  <c r="K92" i="52"/>
  <c r="J92" i="52"/>
  <c r="I92" i="52"/>
  <c r="H92" i="52"/>
  <c r="G92" i="52"/>
  <c r="F92" i="52"/>
  <c r="E92" i="52"/>
  <c r="A93" i="52" s="1"/>
  <c r="B93" i="52"/>
  <c r="A90" i="51"/>
  <c r="H92" i="51"/>
  <c r="G92" i="51"/>
  <c r="F92" i="51"/>
  <c r="E92" i="51"/>
  <c r="B93" i="51"/>
  <c r="R92" i="51"/>
  <c r="Q92" i="51"/>
  <c r="P92" i="51"/>
  <c r="O92" i="51"/>
  <c r="N92" i="51"/>
  <c r="M92" i="51"/>
  <c r="L92" i="51"/>
  <c r="K92" i="51"/>
  <c r="J92" i="51"/>
  <c r="I92" i="51"/>
  <c r="A91" i="51"/>
  <c r="B94" i="52"/>
  <c r="R93" i="52"/>
  <c r="Q93" i="52"/>
  <c r="P93" i="52"/>
  <c r="O93" i="52"/>
  <c r="N93" i="52"/>
  <c r="M93" i="52"/>
  <c r="L93" i="52"/>
  <c r="K93" i="52"/>
  <c r="J93" i="52"/>
  <c r="I93" i="52"/>
  <c r="H93" i="52"/>
  <c r="G93" i="52"/>
  <c r="F93" i="52"/>
  <c r="E93" i="52"/>
  <c r="A91" i="52"/>
  <c r="L93" i="51"/>
  <c r="K93" i="51"/>
  <c r="J93" i="51"/>
  <c r="I93" i="51"/>
  <c r="H93" i="51"/>
  <c r="G93" i="51"/>
  <c r="F93" i="51"/>
  <c r="E93" i="51"/>
  <c r="A93" i="51" s="1"/>
  <c r="B94" i="51"/>
  <c r="R93" i="51"/>
  <c r="Q93" i="51"/>
  <c r="P93" i="51"/>
  <c r="O93" i="51"/>
  <c r="N93" i="51"/>
  <c r="M93" i="51"/>
  <c r="A92" i="51"/>
  <c r="G94" i="52"/>
  <c r="F94" i="52"/>
  <c r="E94" i="52"/>
  <c r="B95" i="52"/>
  <c r="R94" i="52"/>
  <c r="Q94" i="52"/>
  <c r="H94" i="52"/>
  <c r="P94" i="52"/>
  <c r="O94" i="52"/>
  <c r="N94" i="52"/>
  <c r="M94" i="52"/>
  <c r="L94" i="52"/>
  <c r="K94" i="52"/>
  <c r="J94" i="52"/>
  <c r="I94" i="52"/>
  <c r="A92" i="52"/>
  <c r="P94" i="51"/>
  <c r="O94" i="51"/>
  <c r="N94" i="51"/>
  <c r="M94" i="51"/>
  <c r="L94" i="51"/>
  <c r="K94" i="51"/>
  <c r="J94" i="51"/>
  <c r="I94" i="51"/>
  <c r="H94" i="51"/>
  <c r="G94" i="51"/>
  <c r="F94" i="51"/>
  <c r="E94" i="51"/>
  <c r="B95" i="51"/>
  <c r="R94" i="51"/>
  <c r="Q94" i="51"/>
  <c r="K95" i="52"/>
  <c r="L95" i="52"/>
  <c r="J95" i="52"/>
  <c r="I95" i="52"/>
  <c r="H95" i="52"/>
  <c r="G95" i="52"/>
  <c r="F95" i="52"/>
  <c r="E95" i="52"/>
  <c r="B96" i="52"/>
  <c r="R95" i="52"/>
  <c r="Q95" i="52"/>
  <c r="P95" i="52"/>
  <c r="O95" i="52"/>
  <c r="N95" i="52"/>
  <c r="M95" i="52"/>
  <c r="A94" i="52"/>
  <c r="B96" i="51"/>
  <c r="R95" i="51"/>
  <c r="Q95" i="51"/>
  <c r="P95" i="51"/>
  <c r="O95" i="51"/>
  <c r="N95" i="51"/>
  <c r="M95" i="51"/>
  <c r="L95" i="51"/>
  <c r="K95" i="51"/>
  <c r="J95" i="51"/>
  <c r="I95" i="51"/>
  <c r="H95" i="51"/>
  <c r="G95" i="51"/>
  <c r="F95" i="51"/>
  <c r="E95" i="51"/>
  <c r="A96" i="51" s="1"/>
  <c r="O96" i="52"/>
  <c r="N96" i="52"/>
  <c r="P96" i="52"/>
  <c r="M96" i="52"/>
  <c r="L96" i="52"/>
  <c r="K96" i="52"/>
  <c r="J96" i="52"/>
  <c r="I96" i="52"/>
  <c r="H96" i="52"/>
  <c r="G96" i="52"/>
  <c r="F96" i="52"/>
  <c r="E96" i="52"/>
  <c r="A96" i="52" s="1"/>
  <c r="B97" i="52"/>
  <c r="R96" i="52"/>
  <c r="Q96" i="52"/>
  <c r="B97" i="51"/>
  <c r="R96" i="51"/>
  <c r="Q96" i="51"/>
  <c r="P96" i="51"/>
  <c r="O96" i="51"/>
  <c r="N96" i="51"/>
  <c r="M96" i="51"/>
  <c r="L96" i="51"/>
  <c r="K96" i="51"/>
  <c r="J96" i="51"/>
  <c r="I96" i="51"/>
  <c r="H96" i="51"/>
  <c r="G96" i="51"/>
  <c r="F96" i="51"/>
  <c r="E96" i="51"/>
  <c r="A95" i="51"/>
  <c r="R97" i="52"/>
  <c r="Q97" i="52"/>
  <c r="P97" i="52"/>
  <c r="O97" i="52"/>
  <c r="N97" i="52"/>
  <c r="M97" i="52"/>
  <c r="L97" i="52"/>
  <c r="K97" i="52"/>
  <c r="J97" i="52"/>
  <c r="I97" i="52"/>
  <c r="H97" i="52"/>
  <c r="G97" i="52"/>
  <c r="F97" i="52"/>
  <c r="E97" i="52"/>
  <c r="B98" i="52"/>
  <c r="A95" i="52"/>
  <c r="H97" i="51"/>
  <c r="G97" i="51"/>
  <c r="F97" i="51"/>
  <c r="E97" i="51"/>
  <c r="B98" i="51"/>
  <c r="R97" i="51"/>
  <c r="Q97" i="51"/>
  <c r="P97" i="51"/>
  <c r="O97" i="51"/>
  <c r="N97" i="51"/>
  <c r="M97" i="51"/>
  <c r="L97" i="51"/>
  <c r="K97" i="51"/>
  <c r="J97" i="51"/>
  <c r="I97" i="51"/>
  <c r="B99" i="52"/>
  <c r="R98" i="52"/>
  <c r="Q98" i="52"/>
  <c r="P98" i="52"/>
  <c r="O98" i="52"/>
  <c r="N98" i="52"/>
  <c r="M98" i="52"/>
  <c r="L98" i="52"/>
  <c r="K98" i="52"/>
  <c r="J98" i="52"/>
  <c r="I98" i="52"/>
  <c r="H98" i="52"/>
  <c r="G98" i="52"/>
  <c r="F98" i="52"/>
  <c r="E98" i="52"/>
  <c r="M126" i="52" s="1"/>
  <c r="N124" i="52" s="1"/>
  <c r="L98" i="51"/>
  <c r="K98" i="51"/>
  <c r="J98" i="51"/>
  <c r="I98" i="51"/>
  <c r="H98" i="51"/>
  <c r="G98" i="51"/>
  <c r="F98" i="51"/>
  <c r="E98" i="51"/>
  <c r="A99" i="51" s="1"/>
  <c r="B99" i="51"/>
  <c r="R98" i="51"/>
  <c r="Q98" i="51"/>
  <c r="P98" i="51"/>
  <c r="O98" i="51"/>
  <c r="N98" i="51"/>
  <c r="M98" i="51"/>
  <c r="G99" i="52"/>
  <c r="F99" i="52"/>
  <c r="E99" i="52"/>
  <c r="B100" i="52"/>
  <c r="R99" i="52"/>
  <c r="Q99" i="52"/>
  <c r="P99" i="52"/>
  <c r="O99" i="52"/>
  <c r="N99" i="52"/>
  <c r="M99" i="52"/>
  <c r="L99" i="52"/>
  <c r="K99" i="52"/>
  <c r="J99" i="52"/>
  <c r="I99" i="52"/>
  <c r="H99" i="52"/>
  <c r="P99" i="51"/>
  <c r="O99" i="51"/>
  <c r="N99" i="51"/>
  <c r="M99" i="51"/>
  <c r="L99" i="51"/>
  <c r="K99" i="51"/>
  <c r="J99" i="51"/>
  <c r="I99" i="51"/>
  <c r="H99" i="51"/>
  <c r="G99" i="51"/>
  <c r="F99" i="51"/>
  <c r="E99" i="51"/>
  <c r="B100" i="51"/>
  <c r="Q99" i="51"/>
  <c r="R99" i="51"/>
  <c r="K100" i="52"/>
  <c r="J100" i="52"/>
  <c r="I100" i="52"/>
  <c r="H100" i="52"/>
  <c r="G100" i="52"/>
  <c r="F100" i="52"/>
  <c r="E100" i="52"/>
  <c r="L100" i="52"/>
  <c r="B101" i="52"/>
  <c r="R100" i="52"/>
  <c r="Q100" i="52"/>
  <c r="P100" i="52"/>
  <c r="O100" i="52"/>
  <c r="N100" i="52"/>
  <c r="M100" i="52"/>
  <c r="B101" i="51"/>
  <c r="R100" i="51"/>
  <c r="Q100" i="51"/>
  <c r="P100" i="51"/>
  <c r="O100" i="51"/>
  <c r="N100" i="51"/>
  <c r="M100" i="51"/>
  <c r="L100" i="51"/>
  <c r="K100" i="51"/>
  <c r="J100" i="51"/>
  <c r="I100" i="51"/>
  <c r="H100" i="51"/>
  <c r="G100" i="51"/>
  <c r="F100" i="51"/>
  <c r="E100" i="51"/>
  <c r="O101" i="52"/>
  <c r="N101" i="52"/>
  <c r="M101" i="52"/>
  <c r="L101" i="52"/>
  <c r="K101" i="52"/>
  <c r="J101" i="52"/>
  <c r="I101" i="52"/>
  <c r="H101" i="52"/>
  <c r="G101" i="52"/>
  <c r="F101" i="52"/>
  <c r="E101" i="52"/>
  <c r="P101" i="52"/>
  <c r="B102" i="52"/>
  <c r="R101" i="52"/>
  <c r="Q101" i="52"/>
  <c r="A100" i="52"/>
  <c r="B102" i="51"/>
  <c r="R101" i="51"/>
  <c r="Q101" i="51"/>
  <c r="P101" i="51"/>
  <c r="O101" i="51"/>
  <c r="N101" i="51"/>
  <c r="M101" i="51"/>
  <c r="L101" i="51"/>
  <c r="K101" i="51"/>
  <c r="J101" i="51"/>
  <c r="I101" i="51"/>
  <c r="H101" i="51"/>
  <c r="G101" i="51"/>
  <c r="F101" i="51"/>
  <c r="E101" i="51"/>
  <c r="A100" i="51"/>
  <c r="R102" i="52"/>
  <c r="Q102" i="52"/>
  <c r="P102" i="52"/>
  <c r="O102" i="52"/>
  <c r="N102" i="52"/>
  <c r="M102" i="52"/>
  <c r="L102" i="52"/>
  <c r="K102" i="52"/>
  <c r="J102" i="52"/>
  <c r="I102" i="52"/>
  <c r="H102" i="52"/>
  <c r="G102" i="52"/>
  <c r="F102" i="52"/>
  <c r="E102" i="52"/>
  <c r="B103" i="52"/>
  <c r="H102" i="51"/>
  <c r="G102" i="51"/>
  <c r="F102" i="51"/>
  <c r="E102" i="51"/>
  <c r="B103" i="51"/>
  <c r="R102" i="51"/>
  <c r="Q102" i="51"/>
  <c r="P102" i="51"/>
  <c r="O102" i="51"/>
  <c r="N102" i="51"/>
  <c r="M102" i="51"/>
  <c r="L102" i="51"/>
  <c r="K102" i="51"/>
  <c r="J102" i="51"/>
  <c r="I102" i="51"/>
  <c r="A101" i="51"/>
  <c r="A101" i="52"/>
  <c r="B104" i="52"/>
  <c r="R103" i="52"/>
  <c r="Q103" i="52"/>
  <c r="P103" i="52"/>
  <c r="O103" i="52"/>
  <c r="N103" i="52"/>
  <c r="M103" i="52"/>
  <c r="L103" i="52"/>
  <c r="K103" i="52"/>
  <c r="J103" i="52"/>
  <c r="I103" i="52"/>
  <c r="H103" i="52"/>
  <c r="G103" i="52"/>
  <c r="F103" i="52"/>
  <c r="E103" i="52"/>
  <c r="A102" i="52" s="1"/>
  <c r="L103" i="51"/>
  <c r="K103" i="51"/>
  <c r="J103" i="51"/>
  <c r="I103" i="51"/>
  <c r="H103" i="51"/>
  <c r="G103" i="51"/>
  <c r="F103" i="51"/>
  <c r="E103" i="51"/>
  <c r="B104" i="51"/>
  <c r="R103" i="51"/>
  <c r="Q103" i="51"/>
  <c r="P103" i="51"/>
  <c r="O103" i="51"/>
  <c r="N103" i="51"/>
  <c r="M103" i="51"/>
  <c r="G104" i="52"/>
  <c r="F104" i="52"/>
  <c r="E104" i="52"/>
  <c r="B105" i="52"/>
  <c r="R104" i="52"/>
  <c r="Q104" i="52"/>
  <c r="P104" i="52"/>
  <c r="O104" i="52"/>
  <c r="N104" i="52"/>
  <c r="M104" i="52"/>
  <c r="L104" i="52"/>
  <c r="K104" i="52"/>
  <c r="J104" i="52"/>
  <c r="I104" i="52"/>
  <c r="H104" i="52"/>
  <c r="P104" i="51"/>
  <c r="O104" i="51"/>
  <c r="N104" i="51"/>
  <c r="M104" i="51"/>
  <c r="L104" i="51"/>
  <c r="K104" i="51"/>
  <c r="J104" i="51"/>
  <c r="R104" i="51"/>
  <c r="I104" i="51"/>
  <c r="H104" i="51"/>
  <c r="G104" i="51"/>
  <c r="F104" i="51"/>
  <c r="E104" i="51"/>
  <c r="B105" i="51"/>
  <c r="Q104" i="51"/>
  <c r="K105" i="52"/>
  <c r="L105" i="52"/>
  <c r="J105" i="52"/>
  <c r="I105" i="52"/>
  <c r="H105" i="52"/>
  <c r="G105" i="52"/>
  <c r="F105" i="52"/>
  <c r="E105" i="52"/>
  <c r="A106" i="52" s="1"/>
  <c r="B106" i="52"/>
  <c r="R105" i="52"/>
  <c r="Q105" i="52"/>
  <c r="P105" i="52"/>
  <c r="O105" i="52"/>
  <c r="N105" i="52"/>
  <c r="M105" i="52"/>
  <c r="A104" i="52"/>
  <c r="B106" i="51"/>
  <c r="R105" i="51"/>
  <c r="Q105" i="51"/>
  <c r="P105" i="51"/>
  <c r="O105" i="51"/>
  <c r="N105" i="51"/>
  <c r="M105" i="51"/>
  <c r="L105" i="51"/>
  <c r="K105" i="51"/>
  <c r="J105" i="51"/>
  <c r="I105" i="51"/>
  <c r="H105" i="51"/>
  <c r="G105" i="51"/>
  <c r="F105" i="51"/>
  <c r="E105" i="51"/>
  <c r="A105" i="51" s="1"/>
  <c r="O106" i="52"/>
  <c r="N106" i="52"/>
  <c r="M106" i="52"/>
  <c r="L106" i="52"/>
  <c r="K106" i="52"/>
  <c r="J106" i="52"/>
  <c r="I106" i="52"/>
  <c r="H106" i="52"/>
  <c r="G106" i="52"/>
  <c r="F106" i="52"/>
  <c r="E106" i="52"/>
  <c r="P106" i="52"/>
  <c r="R106" i="52"/>
  <c r="Q106" i="52"/>
  <c r="R106" i="51"/>
  <c r="Q106" i="51"/>
  <c r="P106" i="51"/>
  <c r="O106" i="51"/>
  <c r="N106" i="51"/>
  <c r="M106" i="51"/>
  <c r="L106" i="51"/>
  <c r="K106" i="51"/>
  <c r="J106" i="51"/>
  <c r="I106" i="51"/>
  <c r="H106" i="51"/>
  <c r="G106" i="51"/>
  <c r="F106" i="51"/>
  <c r="E106" i="51"/>
  <c r="A106" i="51"/>
  <c r="N126" i="51"/>
  <c r="O124" i="51" s="1"/>
  <c r="D52" i="68"/>
  <c r="D53" i="68" s="1"/>
  <c r="H153" i="68"/>
  <c r="Z8" i="68"/>
  <c r="AU8" i="68"/>
  <c r="F133" i="68"/>
  <c r="H71" i="68"/>
  <c r="E71" i="68"/>
  <c r="A71" i="68" s="1"/>
  <c r="A111" i="68"/>
  <c r="A112" i="68"/>
  <c r="AV8" i="68"/>
  <c r="Q26" i="110"/>
  <c r="Q25" i="110"/>
  <c r="Q24" i="110"/>
  <c r="Q23" i="110"/>
  <c r="R23" i="110"/>
  <c r="R26" i="110"/>
  <c r="R25" i="110"/>
  <c r="R24" i="110"/>
  <c r="A72" i="46"/>
  <c r="A73" i="46"/>
  <c r="P23" i="110"/>
  <c r="P26" i="110"/>
  <c r="P25" i="110"/>
  <c r="P24" i="110"/>
  <c r="AJ3" i="114"/>
  <c r="A6" i="114"/>
  <c r="H72" i="86"/>
  <c r="K72" i="86"/>
  <c r="A109" i="92"/>
  <c r="A111" i="92"/>
  <c r="A112" i="92" s="1"/>
  <c r="A113" i="92" s="1"/>
  <c r="A108" i="92"/>
  <c r="I73" i="24"/>
  <c r="H73" i="24"/>
  <c r="J72" i="86"/>
  <c r="T154" i="92"/>
  <c r="H73" i="86"/>
  <c r="F73" i="86"/>
  <c r="F72" i="86"/>
  <c r="K73" i="86"/>
  <c r="H29" i="91"/>
  <c r="H36" i="91" s="1"/>
  <c r="H44" i="91" s="1"/>
  <c r="H47" i="91" s="1"/>
  <c r="H48" i="91" s="1"/>
  <c r="G72" i="86"/>
  <c r="G73" i="86"/>
  <c r="I72" i="86"/>
  <c r="I73" i="86"/>
  <c r="G73" i="24"/>
  <c r="AK3" i="114"/>
  <c r="A7" i="114"/>
  <c r="AL3" i="114"/>
  <c r="A8" i="114"/>
  <c r="AM3" i="114"/>
  <c r="A9" i="114"/>
  <c r="AN3" i="114"/>
  <c r="A10" i="114"/>
  <c r="AO3" i="114"/>
  <c r="A11" i="114"/>
  <c r="AP3" i="114"/>
  <c r="AQ3" i="114"/>
  <c r="A12" i="114"/>
  <c r="A13" i="114"/>
  <c r="A14" i="114"/>
  <c r="A15" i="114"/>
  <c r="A16" i="114"/>
  <c r="A17" i="114"/>
  <c r="A18" i="114"/>
  <c r="A19" i="114"/>
  <c r="A20" i="114"/>
  <c r="A21" i="114"/>
  <c r="A22" i="114"/>
  <c r="A23" i="114"/>
  <c r="A24" i="114"/>
  <c r="A25" i="114"/>
  <c r="A26" i="114"/>
  <c r="A27" i="114"/>
  <c r="A28" i="114"/>
  <c r="A29" i="114"/>
  <c r="A30" i="114"/>
  <c r="A31" i="114"/>
  <c r="A32" i="114"/>
  <c r="A33" i="114"/>
  <c r="A34" i="114"/>
  <c r="A35" i="114"/>
  <c r="A36" i="114"/>
  <c r="A37" i="114"/>
  <c r="A38" i="114"/>
  <c r="A39" i="114"/>
  <c r="A40" i="114"/>
  <c r="A41" i="114"/>
  <c r="A42" i="114"/>
  <c r="A43" i="114"/>
  <c r="A44" i="114"/>
  <c r="A45" i="114"/>
  <c r="A46" i="114"/>
  <c r="A47" i="114"/>
  <c r="A48" i="114"/>
  <c r="A49" i="114"/>
  <c r="A50" i="114"/>
  <c r="A51" i="114"/>
  <c r="A52" i="114"/>
  <c r="A53" i="114"/>
  <c r="A54" i="114"/>
  <c r="A55" i="114"/>
  <c r="A56" i="114"/>
  <c r="A57" i="114"/>
  <c r="A58" i="114"/>
  <c r="A59" i="114"/>
  <c r="A60" i="114"/>
  <c r="A61" i="114"/>
  <c r="A62" i="114"/>
  <c r="A63" i="114"/>
  <c r="A64" i="114"/>
  <c r="A65" i="114"/>
  <c r="A66" i="114"/>
  <c r="A67" i="114"/>
  <c r="A68" i="114"/>
  <c r="A69" i="114"/>
  <c r="A70" i="114"/>
  <c r="A71" i="114"/>
  <c r="A72" i="114"/>
  <c r="A73" i="114"/>
  <c r="A74" i="114"/>
  <c r="A75" i="114"/>
  <c r="A76" i="114"/>
  <c r="A77" i="114"/>
  <c r="A78" i="114"/>
  <c r="A79" i="114"/>
  <c r="A80" i="114"/>
  <c r="A81" i="114"/>
  <c r="A82" i="114"/>
  <c r="J55" i="11"/>
  <c r="L55" i="11" s="1"/>
  <c r="J47" i="11"/>
  <c r="L47" i="11" s="1"/>
  <c r="L54" i="46"/>
  <c r="A63" i="46"/>
  <c r="M63" i="46"/>
  <c r="L63" i="46"/>
  <c r="A61" i="46"/>
  <c r="M128" i="46"/>
  <c r="A128" i="46" s="1"/>
  <c r="L128" i="46"/>
  <c r="I128" i="46"/>
  <c r="M143" i="46"/>
  <c r="A143" i="46" s="1"/>
  <c r="L143" i="46"/>
  <c r="I143" i="46"/>
  <c r="M108" i="46"/>
  <c r="A108" i="46" s="1"/>
  <c r="L108" i="46"/>
  <c r="I108" i="46"/>
  <c r="L74" i="46"/>
  <c r="M74" i="46"/>
  <c r="A90" i="46"/>
  <c r="I90" i="46"/>
  <c r="L90" i="46"/>
  <c r="I94" i="46"/>
  <c r="L94" i="46"/>
  <c r="M72" i="46"/>
  <c r="L72" i="46"/>
  <c r="I72" i="46"/>
  <c r="L77" i="46"/>
  <c r="M77" i="46"/>
  <c r="I77" i="46"/>
  <c r="L107" i="46"/>
  <c r="M107" i="46"/>
  <c r="A107" i="46" s="1"/>
  <c r="I107" i="46"/>
  <c r="L73" i="46"/>
  <c r="M73" i="46"/>
  <c r="I73" i="46"/>
  <c r="M106" i="46"/>
  <c r="A106" i="46" s="1"/>
  <c r="L106" i="46"/>
  <c r="I106" i="46"/>
  <c r="I54" i="46"/>
  <c r="I56" i="46"/>
  <c r="L56" i="46"/>
  <c r="M56" i="46"/>
  <c r="I112" i="46"/>
  <c r="M112" i="46"/>
  <c r="A112" i="46" s="1"/>
  <c r="L112" i="46"/>
  <c r="M127" i="46"/>
  <c r="A127" i="46" s="1"/>
  <c r="L127" i="46"/>
  <c r="I127" i="46"/>
  <c r="I125" i="46"/>
  <c r="H58" i="46"/>
  <c r="H57" i="46"/>
  <c r="H127" i="46"/>
  <c r="H78" i="46"/>
  <c r="H142" i="46"/>
  <c r="H112" i="46"/>
  <c r="H106" i="46"/>
  <c r="D41" i="14"/>
  <c r="E42" i="14"/>
  <c r="K42" i="14"/>
  <c r="L40" i="11"/>
  <c r="E193" i="10"/>
  <c r="A134" i="24"/>
  <c r="A137" i="24"/>
  <c r="A138" i="24" s="1"/>
  <c r="A139" i="24" s="1"/>
  <c r="R148" i="24"/>
  <c r="G51" i="30"/>
  <c r="H70" i="68"/>
  <c r="AA8" i="60"/>
  <c r="AB8" i="60" s="1"/>
  <c r="AC8" i="60" s="1"/>
  <c r="AL135" i="60"/>
  <c r="AV8" i="60"/>
  <c r="U376" i="36"/>
  <c r="V375" i="36"/>
  <c r="U375" i="36"/>
  <c r="U373" i="36"/>
  <c r="Y374" i="36"/>
  <c r="W374" i="36"/>
  <c r="V374" i="36"/>
  <c r="W375" i="36"/>
  <c r="U374" i="36"/>
  <c r="X377" i="36"/>
  <c r="W377" i="36"/>
  <c r="V377" i="36"/>
  <c r="U378" i="36"/>
  <c r="U358" i="36" s="1"/>
  <c r="U377" i="36"/>
  <c r="V378" i="36"/>
  <c r="V358" i="36" s="1"/>
  <c r="X378" i="36"/>
  <c r="X358" i="36" s="1"/>
  <c r="K211" i="36"/>
  <c r="Y378" i="36"/>
  <c r="Y358" i="36" s="1"/>
  <c r="D153" i="36"/>
  <c r="K160" i="36" s="1"/>
  <c r="T368" i="36"/>
  <c r="W368" i="36" s="1"/>
  <c r="T367" i="36"/>
  <c r="G226" i="36"/>
  <c r="I136" i="36"/>
  <c r="I226" i="36"/>
  <c r="X374" i="36"/>
  <c r="I46" i="36"/>
  <c r="I190" i="36"/>
  <c r="I280" i="36"/>
  <c r="G64" i="36"/>
  <c r="I208" i="36"/>
  <c r="I64" i="36"/>
  <c r="I82" i="36"/>
  <c r="I28" i="36"/>
  <c r="G172" i="36"/>
  <c r="I262" i="36"/>
  <c r="I172" i="36"/>
  <c r="Y373" i="36"/>
  <c r="X373" i="36"/>
  <c r="I100" i="36"/>
  <c r="Y375" i="36"/>
  <c r="W373" i="36"/>
  <c r="X375" i="36"/>
  <c r="V373" i="36"/>
  <c r="Y377" i="36"/>
  <c r="I244" i="36"/>
  <c r="I154" i="36"/>
  <c r="I298" i="36"/>
  <c r="G262" i="36"/>
  <c r="G118" i="36"/>
  <c r="G154" i="36"/>
  <c r="G46" i="36"/>
  <c r="G244" i="36"/>
  <c r="L53" i="36"/>
  <c r="G136" i="36"/>
  <c r="G28" i="36"/>
  <c r="G82" i="36"/>
  <c r="G190" i="36"/>
  <c r="G280" i="36"/>
  <c r="G100" i="36"/>
  <c r="G208" i="36"/>
  <c r="L52" i="36"/>
  <c r="L51" i="36"/>
  <c r="L50" i="36"/>
  <c r="L49" i="36"/>
  <c r="L48" i="36"/>
  <c r="L56" i="36"/>
  <c r="L55" i="36"/>
  <c r="L54" i="36"/>
  <c r="K250" i="36"/>
  <c r="K249" i="36"/>
  <c r="K265" i="36"/>
  <c r="A265" i="36" s="1"/>
  <c r="K264" i="36"/>
  <c r="A264" i="36" s="1"/>
  <c r="K70" i="36"/>
  <c r="A70" i="36" s="1"/>
  <c r="K300" i="36"/>
  <c r="K69" i="36"/>
  <c r="A69" i="36" s="1"/>
  <c r="K68" i="36"/>
  <c r="A68" i="36" s="1"/>
  <c r="L247" i="36"/>
  <c r="K13" i="36"/>
  <c r="A13" i="36" s="1"/>
  <c r="K67" i="36"/>
  <c r="A67" i="36" s="1"/>
  <c r="K213" i="36"/>
  <c r="L268" i="36"/>
  <c r="K12" i="36"/>
  <c r="A12" i="36" s="1"/>
  <c r="K66" i="36"/>
  <c r="A66" i="36" s="1"/>
  <c r="K248" i="36"/>
  <c r="E318" i="36"/>
  <c r="L266" i="36"/>
  <c r="K51" i="36"/>
  <c r="A51" i="36" s="1"/>
  <c r="K210" i="36"/>
  <c r="K247" i="36"/>
  <c r="X364" i="36"/>
  <c r="K246" i="36"/>
  <c r="L264" i="36"/>
  <c r="G298" i="36"/>
  <c r="K48" i="36"/>
  <c r="A48" i="36" s="1"/>
  <c r="L72" i="36"/>
  <c r="K31" i="36"/>
  <c r="A31" i="36"/>
  <c r="K50" i="36"/>
  <c r="A50" i="36" s="1"/>
  <c r="W364" i="36"/>
  <c r="K49" i="36"/>
  <c r="A49" i="36" s="1"/>
  <c r="V364" i="36"/>
  <c r="K286" i="36"/>
  <c r="A286" i="36" s="1"/>
  <c r="L70" i="36"/>
  <c r="U364" i="36"/>
  <c r="K232" i="36"/>
  <c r="L250" i="36"/>
  <c r="L267" i="36"/>
  <c r="K285" i="36"/>
  <c r="A285" i="36" s="1"/>
  <c r="L231" i="36"/>
  <c r="A38" i="36"/>
  <c r="Y363" i="36"/>
  <c r="K231" i="36"/>
  <c r="K284" i="36"/>
  <c r="A284" i="36" s="1"/>
  <c r="L230" i="36"/>
  <c r="L304" i="36"/>
  <c r="A37" i="36"/>
  <c r="X363" i="36"/>
  <c r="K230" i="36"/>
  <c r="L248" i="36"/>
  <c r="L265" i="36"/>
  <c r="E298" i="36"/>
  <c r="K304" i="36"/>
  <c r="A304" i="36" s="1"/>
  <c r="K214" i="36"/>
  <c r="L229" i="36"/>
  <c r="L303" i="36"/>
  <c r="A36" i="36"/>
  <c r="E82" i="36"/>
  <c r="E172" i="36"/>
  <c r="K229" i="36"/>
  <c r="K303" i="36"/>
  <c r="A303" i="36" s="1"/>
  <c r="E136" i="36"/>
  <c r="E154" i="36"/>
  <c r="E208" i="36"/>
  <c r="L228" i="36"/>
  <c r="E280" i="36"/>
  <c r="L302" i="36"/>
  <c r="A35" i="36"/>
  <c r="V363" i="36"/>
  <c r="E100" i="36"/>
  <c r="E118" i="36"/>
  <c r="E190" i="36"/>
  <c r="E262" i="36"/>
  <c r="K212" i="36"/>
  <c r="E226" i="36"/>
  <c r="L301" i="36"/>
  <c r="K34" i="36"/>
  <c r="A34" i="36"/>
  <c r="E244" i="36"/>
  <c r="K301" i="36"/>
  <c r="A301" i="36" s="1"/>
  <c r="D154" i="68"/>
  <c r="F154" i="68" s="1"/>
  <c r="AA8" i="68"/>
  <c r="F52" i="68"/>
  <c r="AE179" i="56"/>
  <c r="AD179" i="56"/>
  <c r="AC179" i="56"/>
  <c r="AF178" i="56"/>
  <c r="AF180" i="56" s="1"/>
  <c r="AB179" i="56"/>
  <c r="U111" i="56"/>
  <c r="T111" i="56"/>
  <c r="S111" i="56"/>
  <c r="M40" i="11"/>
  <c r="N40" i="11"/>
  <c r="H128" i="46"/>
  <c r="H96" i="46"/>
  <c r="H79" i="46"/>
  <c r="H113" i="46"/>
  <c r="H143" i="46"/>
  <c r="U367" i="36"/>
  <c r="Y367" i="36"/>
  <c r="X367" i="36"/>
  <c r="V367" i="36"/>
  <c r="A154" i="68"/>
  <c r="I114" i="51"/>
  <c r="A114" i="51" s="1"/>
  <c r="I114" i="52"/>
  <c r="A114" i="52" s="1"/>
  <c r="I114" i="47"/>
  <c r="A114" i="47" s="1"/>
  <c r="A155" i="68"/>
  <c r="R167" i="84"/>
  <c r="P168" i="30"/>
  <c r="R168" i="85"/>
  <c r="R171" i="84"/>
  <c r="R166" i="84"/>
  <c r="P167" i="30"/>
  <c r="R167" i="85"/>
  <c r="R170" i="84"/>
  <c r="R165" i="84"/>
  <c r="P171" i="30"/>
  <c r="P166" i="30"/>
  <c r="R171" i="85"/>
  <c r="R166" i="85"/>
  <c r="R169" i="84"/>
  <c r="R164" i="84"/>
  <c r="P170" i="30"/>
  <c r="P165" i="30"/>
  <c r="R170" i="85"/>
  <c r="R165" i="85"/>
  <c r="R168" i="84"/>
  <c r="P169" i="30"/>
  <c r="R169" i="85"/>
  <c r="R164" i="85"/>
  <c r="L108" i="44"/>
  <c r="H52" i="84"/>
  <c r="I52" i="84"/>
  <c r="J52" i="84"/>
  <c r="K52" i="84"/>
  <c r="J70" i="44"/>
  <c r="L93" i="77"/>
  <c r="G9" i="93"/>
  <c r="G14" i="93"/>
  <c r="G8" i="93"/>
  <c r="G18" i="93"/>
  <c r="G7" i="93"/>
  <c r="G13" i="93"/>
  <c r="G17" i="93"/>
  <c r="G12" i="93"/>
  <c r="G16" i="93"/>
  <c r="G11" i="93"/>
  <c r="G20" i="93"/>
  <c r="G21" i="93"/>
  <c r="G15" i="93"/>
  <c r="G10" i="93"/>
  <c r="AG92" i="94"/>
  <c r="AR92" i="94" s="1"/>
  <c r="A92" i="94"/>
  <c r="A93" i="94"/>
  <c r="A94" i="94"/>
  <c r="AG93" i="94"/>
  <c r="AR93" i="94" s="1"/>
  <c r="AG94" i="94"/>
  <c r="BC94" i="94" s="1"/>
  <c r="AG94" i="93"/>
  <c r="BC94" i="93" s="1"/>
  <c r="G36" i="94"/>
  <c r="G30" i="94"/>
  <c r="AG93" i="93"/>
  <c r="G37" i="94"/>
  <c r="G32" i="94"/>
  <c r="A92" i="93"/>
  <c r="AG92" i="93"/>
  <c r="A56" i="67"/>
  <c r="E17" i="87"/>
  <c r="E18" i="87" s="1"/>
  <c r="J11" i="4"/>
  <c r="J39" i="4" s="1"/>
  <c r="I11" i="4"/>
  <c r="O156" i="24"/>
  <c r="A34" i="67"/>
  <c r="E34" i="67"/>
  <c r="V160" i="24"/>
  <c r="D114" i="10"/>
  <c r="E15" i="87"/>
  <c r="Q160" i="87" s="1"/>
  <c r="X160" i="87" s="1"/>
  <c r="K73" i="87"/>
  <c r="H72" i="87"/>
  <c r="H73" i="87"/>
  <c r="J72" i="87"/>
  <c r="I72" i="87"/>
  <c r="I73" i="87"/>
  <c r="K72" i="87"/>
  <c r="J73" i="87"/>
  <c r="F72" i="87"/>
  <c r="F73" i="87"/>
  <c r="G72" i="87"/>
  <c r="G73" i="87"/>
  <c r="H8" i="80"/>
  <c r="H9" i="80" s="1"/>
  <c r="H11" i="80" s="1"/>
  <c r="H13" i="80" s="1"/>
  <c r="H21" i="80"/>
  <c r="F211" i="10"/>
  <c r="AR92" i="93"/>
  <c r="E213" i="10"/>
  <c r="F3" i="10"/>
  <c r="L52" i="85"/>
  <c r="G52" i="85"/>
  <c r="E45" i="115"/>
  <c r="G35" i="3"/>
  <c r="D113" i="68"/>
  <c r="H113" i="68" s="1"/>
  <c r="H112" i="68"/>
  <c r="F71" i="68"/>
  <c r="AC44" i="4"/>
  <c r="A115" i="68"/>
  <c r="T157" i="92"/>
  <c r="A60" i="92"/>
  <c r="A61" i="92" s="1"/>
  <c r="A62" i="92" s="1"/>
  <c r="T156" i="92"/>
  <c r="T153" i="92"/>
  <c r="A57" i="92"/>
  <c r="L96" i="46"/>
  <c r="I96" i="46"/>
  <c r="M54" i="46"/>
  <c r="I92" i="46" s="1"/>
  <c r="N56" i="11"/>
  <c r="M56" i="11"/>
  <c r="I66" i="11"/>
  <c r="H40" i="11"/>
  <c r="E16" i="14" s="1"/>
  <c r="F40" i="11"/>
  <c r="E43" i="14" s="1"/>
  <c r="B53" i="11"/>
  <c r="B54" i="11"/>
  <c r="B55" i="11"/>
  <c r="B56" i="11"/>
  <c r="B57" i="11"/>
  <c r="B58" i="11"/>
  <c r="B59" i="11"/>
  <c r="B60" i="11"/>
  <c r="B61" i="11"/>
  <c r="B62" i="11"/>
  <c r="B63" i="11"/>
  <c r="G40" i="11"/>
  <c r="D40" i="11"/>
  <c r="K51" i="14" s="1"/>
  <c r="B79" i="11"/>
  <c r="B80" i="11"/>
  <c r="B81" i="11"/>
  <c r="B82" i="11"/>
  <c r="B83" i="11"/>
  <c r="B84" i="11"/>
  <c r="B85" i="11"/>
  <c r="B86" i="11"/>
  <c r="B87" i="11"/>
  <c r="B88" i="11"/>
  <c r="B89" i="11"/>
  <c r="D66" i="11"/>
  <c r="L56" i="14" s="1"/>
  <c r="F66" i="11"/>
  <c r="F43" i="14" s="1"/>
  <c r="H66" i="11"/>
  <c r="F45" i="14" s="1"/>
  <c r="G66" i="11"/>
  <c r="L44" i="14" s="1"/>
  <c r="D92" i="11"/>
  <c r="M51" i="14" s="1"/>
  <c r="H92" i="11"/>
  <c r="G92" i="11"/>
  <c r="F92" i="11"/>
  <c r="B105" i="11"/>
  <c r="B106" i="11"/>
  <c r="B107" i="11"/>
  <c r="B108" i="11"/>
  <c r="B109" i="11"/>
  <c r="B110" i="11"/>
  <c r="B111" i="11"/>
  <c r="B112" i="11"/>
  <c r="B113" i="11"/>
  <c r="B114" i="11"/>
  <c r="B115" i="11"/>
  <c r="C22" i="11"/>
  <c r="B27" i="11"/>
  <c r="B28" i="11"/>
  <c r="B29" i="11"/>
  <c r="B30" i="11"/>
  <c r="B131" i="11"/>
  <c r="B132" i="11"/>
  <c r="B133" i="11"/>
  <c r="B134" i="11"/>
  <c r="B135" i="11"/>
  <c r="B136" i="11"/>
  <c r="B137" i="11"/>
  <c r="B138" i="11"/>
  <c r="B139" i="11"/>
  <c r="B140" i="11"/>
  <c r="B141" i="11"/>
  <c r="H118" i="11"/>
  <c r="H16" i="14" s="1"/>
  <c r="G118" i="11"/>
  <c r="N44" i="14" s="1"/>
  <c r="F118" i="11"/>
  <c r="H14" i="14" s="1"/>
  <c r="D118" i="11"/>
  <c r="H54" i="14" s="1"/>
  <c r="B150" i="11"/>
  <c r="B151" i="11"/>
  <c r="B152" i="11"/>
  <c r="B153" i="11"/>
  <c r="A136" i="11"/>
  <c r="D137" i="11" a="1"/>
  <c r="D137" i="11" s="1"/>
  <c r="A150" i="11"/>
  <c r="D151" i="11" a="1"/>
  <c r="D151" i="11" s="1"/>
  <c r="A86" i="11"/>
  <c r="D87" i="11" a="1"/>
  <c r="D87" i="11" s="1"/>
  <c r="G11" i="25"/>
  <c r="F42" i="27"/>
  <c r="C11" i="11"/>
  <c r="B15" i="11"/>
  <c r="B16" i="11"/>
  <c r="B17" i="11"/>
  <c r="B18" i="11"/>
  <c r="B19" i="11"/>
  <c r="U61" i="77"/>
  <c r="A50" i="77"/>
  <c r="D152" i="11" a="1"/>
  <c r="D152" i="11" s="1"/>
  <c r="J38" i="86"/>
  <c r="A52" i="77"/>
  <c r="I38" i="86"/>
  <c r="I45" i="86" s="1"/>
  <c r="D88" i="11" a="1"/>
  <c r="D88" i="11" s="1"/>
  <c r="A58" i="11"/>
  <c r="A48" i="87"/>
  <c r="A41" i="87"/>
  <c r="O58" i="77"/>
  <c r="H141" i="86"/>
  <c r="G38" i="87"/>
  <c r="G45" i="87" s="1"/>
  <c r="G52" i="87" s="1"/>
  <c r="G55" i="87" s="1"/>
  <c r="A34" i="87"/>
  <c r="K141" i="86"/>
  <c r="U58" i="77"/>
  <c r="O59" i="77"/>
  <c r="O60" i="77"/>
  <c r="K47" i="11"/>
  <c r="O61" i="77"/>
  <c r="T61" i="77"/>
  <c r="A112" i="11"/>
  <c r="V61" i="77"/>
  <c r="O62" i="77"/>
  <c r="F142" i="87"/>
  <c r="N66" i="11" a="1"/>
  <c r="N66" i="11" s="1"/>
  <c r="N65" i="11" a="1"/>
  <c r="N65" i="11" s="1"/>
  <c r="L66" i="11" a="1"/>
  <c r="L66" i="11" s="1"/>
  <c r="L65" i="11" a="1"/>
  <c r="L65" i="11" s="1"/>
  <c r="K29" i="92"/>
  <c r="K36" i="92" s="1"/>
  <c r="K44" i="92" s="1"/>
  <c r="M66" i="11" a="1"/>
  <c r="M66" i="11" s="1"/>
  <c r="A58" i="91"/>
  <c r="I38" i="87"/>
  <c r="I45" i="87" s="1"/>
  <c r="I52" i="87" s="1"/>
  <c r="I55" i="87" s="1"/>
  <c r="L307" i="36"/>
  <c r="L287" i="36"/>
  <c r="K305" i="36"/>
  <c r="A305" i="36" s="1"/>
  <c r="L254" i="36"/>
  <c r="L217" i="36"/>
  <c r="L216" i="36"/>
  <c r="D349" i="36"/>
  <c r="L271" i="36"/>
  <c r="L251" i="36"/>
  <c r="L215" i="36"/>
  <c r="K94" i="77"/>
  <c r="L308" i="36"/>
  <c r="L270" i="36"/>
  <c r="L306" i="36"/>
  <c r="L252" i="36"/>
  <c r="L236" i="36"/>
  <c r="Z377" i="36"/>
  <c r="L305" i="36"/>
  <c r="AA378" i="36"/>
  <c r="AA358" i="36" s="1"/>
  <c r="L233" i="36"/>
  <c r="Z378" i="36"/>
  <c r="Z358" i="36" s="1"/>
  <c r="T372" i="36"/>
  <c r="L272" i="36"/>
  <c r="K308" i="36"/>
  <c r="A308" i="36" s="1"/>
  <c r="K287" i="36"/>
  <c r="A287" i="36" s="1"/>
  <c r="L289" i="36"/>
  <c r="L269" i="36"/>
  <c r="L290" i="36"/>
  <c r="D331" i="36"/>
  <c r="L253" i="36"/>
  <c r="D189" i="36"/>
  <c r="L198" i="36" s="1"/>
  <c r="L234" i="36"/>
  <c r="K307" i="36"/>
  <c r="A307" i="36" s="1"/>
  <c r="L235" i="36"/>
  <c r="K289" i="36"/>
  <c r="A289" i="36" s="1"/>
  <c r="K306" i="36"/>
  <c r="A306" i="36" s="1"/>
  <c r="AC378" i="36"/>
  <c r="AC358" i="36" s="1"/>
  <c r="E90" i="44"/>
  <c r="M92" i="77"/>
  <c r="K51" i="11"/>
  <c r="L51" i="11"/>
  <c r="K43" i="11"/>
  <c r="L43" i="11"/>
  <c r="J50" i="11"/>
  <c r="K50" i="11" s="1"/>
  <c r="M37" i="113" s="1"/>
  <c r="D37" i="113" s="1"/>
  <c r="J54" i="11"/>
  <c r="L54" i="11" s="1"/>
  <c r="J46" i="11"/>
  <c r="M46" i="11" s="1"/>
  <c r="J45" i="11"/>
  <c r="N45" i="11" s="1"/>
  <c r="F5" i="100"/>
  <c r="AW3" i="114"/>
  <c r="J53" i="11"/>
  <c r="L53" i="11" s="1"/>
  <c r="M53" i="113"/>
  <c r="M56" i="113"/>
  <c r="AV3" i="114"/>
  <c r="L44" i="11"/>
  <c r="M44" i="11"/>
  <c r="K44" i="11"/>
  <c r="M50" i="113" s="1"/>
  <c r="D50" i="113" s="1"/>
  <c r="O44" i="11"/>
  <c r="N44" i="11"/>
  <c r="J48" i="11"/>
  <c r="L48" i="11" s="1"/>
  <c r="J52" i="11"/>
  <c r="G98" i="57"/>
  <c r="D177" i="10" s="1"/>
  <c r="B13" i="47"/>
  <c r="G9" i="47"/>
  <c r="H6" i="47"/>
  <c r="A10" i="53"/>
  <c r="F10" i="53"/>
  <c r="F13" i="53" s="1"/>
  <c r="F20" i="53" s="1"/>
  <c r="F22" i="53" s="1"/>
  <c r="F23" i="53" s="1"/>
  <c r="A20" i="53"/>
  <c r="AG178" i="56"/>
  <c r="AG180" i="56" s="1"/>
  <c r="G96" i="57"/>
  <c r="L41" i="80"/>
  <c r="N41" i="80" s="1"/>
  <c r="P41" i="80" s="1"/>
  <c r="L51" i="95"/>
  <c r="J54" i="95"/>
  <c r="J53" i="95"/>
  <c r="J52" i="95"/>
  <c r="J55" i="95"/>
  <c r="J32" i="95"/>
  <c r="H52" i="95"/>
  <c r="J55" i="96"/>
  <c r="L51" i="96"/>
  <c r="J54" i="96"/>
  <c r="J52" i="96"/>
  <c r="J53" i="96"/>
  <c r="L5" i="96"/>
  <c r="J21" i="96"/>
  <c r="P41" i="96"/>
  <c r="N43" i="96"/>
  <c r="J34" i="96"/>
  <c r="J43" i="96"/>
  <c r="L43" i="96"/>
  <c r="AI156" i="94"/>
  <c r="BE156" i="94" s="1"/>
  <c r="AI165" i="94"/>
  <c r="BE165" i="94" s="1"/>
  <c r="AI169" i="94"/>
  <c r="BE169" i="94" s="1"/>
  <c r="AI171" i="94"/>
  <c r="BE171" i="94" s="1"/>
  <c r="AI164" i="94"/>
  <c r="BE164" i="94" s="1"/>
  <c r="D51" i="94"/>
  <c r="I51" i="94"/>
  <c r="I50" i="94"/>
  <c r="AI168" i="93"/>
  <c r="BE168" i="93" s="1"/>
  <c r="AI169" i="93"/>
  <c r="BE169" i="93" s="1"/>
  <c r="AI151" i="93"/>
  <c r="BE151" i="93" s="1"/>
  <c r="AJ156" i="93"/>
  <c r="BF156" i="93" s="1"/>
  <c r="AJ162" i="93"/>
  <c r="BF162" i="93" s="1"/>
  <c r="AI170" i="93"/>
  <c r="BE170" i="93" s="1"/>
  <c r="AJ157" i="93"/>
  <c r="BF157" i="93" s="1"/>
  <c r="AJ163" i="93"/>
  <c r="BF163" i="93" s="1"/>
  <c r="AJ171" i="93"/>
  <c r="BF171" i="93" s="1"/>
  <c r="AJ159" i="93"/>
  <c r="BF159" i="93" s="1"/>
  <c r="AJ165" i="93"/>
  <c r="BF165" i="93" s="1"/>
  <c r="E72" i="93"/>
  <c r="F8" i="93"/>
  <c r="I50" i="93"/>
  <c r="S96" i="93"/>
  <c r="A95" i="93"/>
  <c r="AG95" i="93"/>
  <c r="F50" i="93"/>
  <c r="D74" i="93"/>
  <c r="E73" i="93"/>
  <c r="F9" i="93"/>
  <c r="D10" i="93"/>
  <c r="F10" i="93"/>
  <c r="I51" i="93"/>
  <c r="F51" i="93"/>
  <c r="AJ167" i="93"/>
  <c r="BF167" i="93" s="1"/>
  <c r="AJ169" i="93"/>
  <c r="BF169" i="93" s="1"/>
  <c r="AI171" i="93"/>
  <c r="BE171" i="93" s="1"/>
  <c r="AK91" i="93"/>
  <c r="AJ166" i="93"/>
  <c r="BF166" i="93" s="1"/>
  <c r="AJ168" i="93"/>
  <c r="BF168" i="93" s="1"/>
  <c r="AJ170" i="93"/>
  <c r="BF170" i="93" s="1"/>
  <c r="D31" i="93"/>
  <c r="F30" i="93"/>
  <c r="A96" i="93"/>
  <c r="S97" i="93"/>
  <c r="AG96" i="93"/>
  <c r="D52" i="93"/>
  <c r="F29" i="93"/>
  <c r="U87" i="94"/>
  <c r="V87" i="94"/>
  <c r="W87" i="94"/>
  <c r="X87" i="94"/>
  <c r="Y87" i="94"/>
  <c r="Z87" i="94"/>
  <c r="L55" i="96"/>
  <c r="AA87" i="94"/>
  <c r="I52" i="91"/>
  <c r="AB87" i="94"/>
  <c r="G52" i="91"/>
  <c r="K52" i="91"/>
  <c r="AJ160" i="94"/>
  <c r="BF160" i="94" s="1"/>
  <c r="AJ158" i="94"/>
  <c r="BF158" i="94" s="1"/>
  <c r="AJ156" i="94"/>
  <c r="BF156" i="94" s="1"/>
  <c r="AJ149" i="94"/>
  <c r="BF149" i="94" s="1"/>
  <c r="AJ147" i="94"/>
  <c r="AJ126" i="94"/>
  <c r="AK91" i="94"/>
  <c r="AJ140" i="94"/>
  <c r="BF140" i="94" s="1"/>
  <c r="AJ135" i="94"/>
  <c r="BF135" i="94" s="1"/>
  <c r="AJ154" i="94"/>
  <c r="BF154" i="94" s="1"/>
  <c r="AJ152" i="94"/>
  <c r="BF152" i="94" s="1"/>
  <c r="AJ132" i="94"/>
  <c r="BF132" i="94" s="1"/>
  <c r="AJ121" i="94"/>
  <c r="BF121" i="94" s="1"/>
  <c r="AJ127" i="94"/>
  <c r="BF127" i="94" s="1"/>
  <c r="AJ119" i="94"/>
  <c r="BF119" i="94" s="1"/>
  <c r="AJ117" i="94"/>
  <c r="BF117" i="94" s="1"/>
  <c r="AJ115" i="94"/>
  <c r="BF115" i="94" s="1"/>
  <c r="AJ113" i="94"/>
  <c r="BF113" i="94" s="1"/>
  <c r="AJ171" i="94"/>
  <c r="BF171" i="94" s="1"/>
  <c r="AJ111" i="94"/>
  <c r="AJ169" i="94"/>
  <c r="BF169" i="94" s="1"/>
  <c r="AJ167" i="94"/>
  <c r="BF167" i="94" s="1"/>
  <c r="AJ145" i="94"/>
  <c r="BF145" i="94" s="1"/>
  <c r="AJ143" i="94"/>
  <c r="BF143" i="94" s="1"/>
  <c r="AJ141" i="94"/>
  <c r="BF141" i="94" s="1"/>
  <c r="AJ138" i="94"/>
  <c r="AJ133" i="94"/>
  <c r="BF133" i="94" s="1"/>
  <c r="AJ124" i="94"/>
  <c r="BF124" i="94" s="1"/>
  <c r="AJ109" i="94"/>
  <c r="BF109" i="94" s="1"/>
  <c r="AJ107" i="94"/>
  <c r="BF107" i="94" s="1"/>
  <c r="AJ105" i="94"/>
  <c r="BF105" i="94" s="1"/>
  <c r="AJ103" i="94"/>
  <c r="BF103" i="94" s="1"/>
  <c r="AJ101" i="94"/>
  <c r="BF101" i="94" s="1"/>
  <c r="AJ99" i="94"/>
  <c r="BF99" i="94" s="1"/>
  <c r="AJ97" i="94"/>
  <c r="BF97" i="94" s="1"/>
  <c r="AJ95" i="94"/>
  <c r="BF95" i="94" s="1"/>
  <c r="AJ93" i="94"/>
  <c r="BF93" i="94" s="1"/>
  <c r="AJ165" i="94"/>
  <c r="BF165" i="94" s="1"/>
  <c r="AJ163" i="94"/>
  <c r="BF163" i="94" s="1"/>
  <c r="AJ161" i="94"/>
  <c r="AJ130" i="94"/>
  <c r="BF130" i="94" s="1"/>
  <c r="AJ159" i="94"/>
  <c r="BF159" i="94" s="1"/>
  <c r="AJ157" i="94"/>
  <c r="BF157" i="94" s="1"/>
  <c r="AJ150" i="94"/>
  <c r="BF150" i="94" s="1"/>
  <c r="AJ148" i="94"/>
  <c r="AJ146" i="94"/>
  <c r="AJ125" i="94"/>
  <c r="BF125" i="94" s="1"/>
  <c r="AJ139" i="94"/>
  <c r="BF139" i="94" s="1"/>
  <c r="AJ136" i="94"/>
  <c r="BF136" i="94" s="1"/>
  <c r="AJ155" i="94"/>
  <c r="BF155" i="94" s="1"/>
  <c r="AJ153" i="94"/>
  <c r="BF153" i="94" s="1"/>
  <c r="AJ151" i="94"/>
  <c r="BF151" i="94" s="1"/>
  <c r="AJ131" i="94"/>
  <c r="BF131" i="94" s="1"/>
  <c r="AJ122" i="94"/>
  <c r="BF122" i="94" s="1"/>
  <c r="AJ120" i="94"/>
  <c r="BF120" i="94" s="1"/>
  <c r="AU91" i="94"/>
  <c r="BF91" i="94"/>
  <c r="AJ128" i="94"/>
  <c r="BF128" i="94" s="1"/>
  <c r="AJ118" i="94"/>
  <c r="BF118" i="94" s="1"/>
  <c r="AJ116" i="94"/>
  <c r="AJ114" i="94"/>
  <c r="BF114" i="94" s="1"/>
  <c r="AJ172" i="94"/>
  <c r="BF172" i="94" s="1"/>
  <c r="AJ112" i="94"/>
  <c r="BF112" i="94" s="1"/>
  <c r="AJ110" i="94"/>
  <c r="BF110" i="94" s="1"/>
  <c r="AJ170" i="94"/>
  <c r="BF170" i="94" s="1"/>
  <c r="AJ168" i="94"/>
  <c r="BF168" i="94" s="1"/>
  <c r="AJ166" i="94"/>
  <c r="BF166" i="94" s="1"/>
  <c r="AJ144" i="94"/>
  <c r="BF144" i="94" s="1"/>
  <c r="AJ142" i="94"/>
  <c r="BF142" i="94" s="1"/>
  <c r="AJ137" i="94"/>
  <c r="BF137" i="94" s="1"/>
  <c r="AJ134" i="94"/>
  <c r="BF134" i="94" s="1"/>
  <c r="AJ123" i="94"/>
  <c r="BF123" i="94" s="1"/>
  <c r="AJ108" i="94"/>
  <c r="BF108" i="94" s="1"/>
  <c r="AJ106" i="94"/>
  <c r="BF106" i="94" s="1"/>
  <c r="AJ104" i="94"/>
  <c r="BF104" i="94" s="1"/>
  <c r="AJ102" i="94"/>
  <c r="BF102" i="94" s="1"/>
  <c r="AJ100" i="94"/>
  <c r="BF100" i="94" s="1"/>
  <c r="AJ98" i="94"/>
  <c r="BF98" i="94" s="1"/>
  <c r="AJ96" i="94"/>
  <c r="BF96" i="94" s="1"/>
  <c r="AJ94" i="94"/>
  <c r="AJ92" i="94"/>
  <c r="BF92" i="94" s="1"/>
  <c r="AJ164" i="94"/>
  <c r="BF164" i="94" s="1"/>
  <c r="AJ162" i="94"/>
  <c r="BF162" i="94" s="1"/>
  <c r="AJ129" i="94"/>
  <c r="BF129" i="94" s="1"/>
  <c r="D52" i="94"/>
  <c r="F51" i="94"/>
  <c r="AI172" i="94"/>
  <c r="BE172" i="94" s="1"/>
  <c r="D9" i="94"/>
  <c r="F9" i="94"/>
  <c r="D73" i="94"/>
  <c r="F29" i="94"/>
  <c r="S97" i="94"/>
  <c r="AG96" i="94"/>
  <c r="BC96" i="94" s="1"/>
  <c r="A96" i="94"/>
  <c r="D32" i="94"/>
  <c r="F31" i="94"/>
  <c r="F30" i="94"/>
  <c r="AR94" i="94"/>
  <c r="A95" i="94"/>
  <c r="AG95" i="94"/>
  <c r="AR95" i="94" s="1"/>
  <c r="H29" i="92"/>
  <c r="H36" i="92" s="1"/>
  <c r="L5" i="95"/>
  <c r="J21" i="95"/>
  <c r="L41" i="95"/>
  <c r="L54" i="95"/>
  <c r="L55" i="95"/>
  <c r="N51" i="95"/>
  <c r="L52" i="95"/>
  <c r="L53" i="95"/>
  <c r="J33" i="95"/>
  <c r="J34" i="95"/>
  <c r="A104" i="86"/>
  <c r="A84" i="86"/>
  <c r="A68" i="86"/>
  <c r="A69" i="86"/>
  <c r="A70" i="86"/>
  <c r="G38" i="86"/>
  <c r="A137" i="86"/>
  <c r="A138" i="86"/>
  <c r="A139" i="86"/>
  <c r="A66" i="86"/>
  <c r="A110" i="86"/>
  <c r="A111" i="86"/>
  <c r="A85" i="86"/>
  <c r="A122" i="87"/>
  <c r="A84" i="87"/>
  <c r="A105" i="87"/>
  <c r="A87" i="87"/>
  <c r="A88" i="87"/>
  <c r="A89" i="87"/>
  <c r="A128" i="87"/>
  <c r="A72" i="87"/>
  <c r="A129" i="87"/>
  <c r="K38" i="87"/>
  <c r="K45" i="87" s="1"/>
  <c r="K52" i="87" s="1"/>
  <c r="A73" i="87"/>
  <c r="K142" i="87"/>
  <c r="A110" i="87"/>
  <c r="I142" i="87"/>
  <c r="A75" i="87"/>
  <c r="A76" i="87"/>
  <c r="A77" i="87"/>
  <c r="G7" i="3"/>
  <c r="F7" i="3"/>
  <c r="A7" i="3" s="1"/>
  <c r="A68" i="87"/>
  <c r="A69" i="87"/>
  <c r="A70" i="87"/>
  <c r="A95" i="87"/>
  <c r="A96" i="87"/>
  <c r="A97" i="87"/>
  <c r="A90" i="87"/>
  <c r="A65" i="87"/>
  <c r="A116" i="87"/>
  <c r="A117" i="87"/>
  <c r="J45" i="86"/>
  <c r="J52" i="86" s="1"/>
  <c r="A128" i="86"/>
  <c r="A72" i="86"/>
  <c r="A73" i="86"/>
  <c r="A116" i="86"/>
  <c r="A78" i="86"/>
  <c r="A119" i="86"/>
  <c r="A120" i="86"/>
  <c r="A121" i="86"/>
  <c r="G6" i="3"/>
  <c r="A99" i="86"/>
  <c r="A122" i="86"/>
  <c r="A123" i="86"/>
  <c r="A98" i="86"/>
  <c r="F38" i="86"/>
  <c r="F45" i="86" s="1"/>
  <c r="F52" i="86" s="1"/>
  <c r="T148" i="86"/>
  <c r="A75" i="86"/>
  <c r="A76" i="86"/>
  <c r="A77" i="86"/>
  <c r="T149" i="86"/>
  <c r="A90" i="86"/>
  <c r="A91" i="86"/>
  <c r="A129" i="86"/>
  <c r="T150" i="86"/>
  <c r="T151" i="86"/>
  <c r="A105" i="86"/>
  <c r="A134" i="86"/>
  <c r="A156" i="68"/>
  <c r="I39" i="85"/>
  <c r="A71" i="85"/>
  <c r="A103" i="85"/>
  <c r="A104" i="85"/>
  <c r="A105" i="85"/>
  <c r="A107" i="85"/>
  <c r="A132" i="85"/>
  <c r="A81" i="85"/>
  <c r="A91" i="85"/>
  <c r="A92" i="85"/>
  <c r="A93" i="85"/>
  <c r="G39" i="85"/>
  <c r="G41" i="85"/>
  <c r="G48" i="85"/>
  <c r="A58" i="85"/>
  <c r="A60" i="85"/>
  <c r="A61" i="85"/>
  <c r="A62" i="85"/>
  <c r="A124" i="85"/>
  <c r="I51" i="85"/>
  <c r="L39" i="85"/>
  <c r="L41" i="85"/>
  <c r="L48" i="85"/>
  <c r="H51" i="85"/>
  <c r="A131" i="85"/>
  <c r="H39" i="85"/>
  <c r="H41" i="85"/>
  <c r="H48" i="85"/>
  <c r="A72" i="85"/>
  <c r="A121" i="85"/>
  <c r="A122" i="85"/>
  <c r="A123" i="85"/>
  <c r="A73" i="85"/>
  <c r="Q162" i="85"/>
  <c r="A69" i="85"/>
  <c r="A74" i="85"/>
  <c r="A106" i="85"/>
  <c r="K48" i="85"/>
  <c r="J39" i="85"/>
  <c r="J41" i="85"/>
  <c r="J48" i="85"/>
  <c r="I41" i="85"/>
  <c r="I48" i="85"/>
  <c r="I54" i="85" s="1"/>
  <c r="A82" i="85"/>
  <c r="A94" i="85"/>
  <c r="A83" i="85"/>
  <c r="A101" i="85"/>
  <c r="A137" i="85"/>
  <c r="A112" i="85"/>
  <c r="A63" i="85"/>
  <c r="A119" i="85"/>
  <c r="J51" i="85"/>
  <c r="A79" i="85"/>
  <c r="A85" i="85"/>
  <c r="A86" i="85"/>
  <c r="A87" i="85"/>
  <c r="A128" i="85"/>
  <c r="A129" i="85"/>
  <c r="A130" i="85"/>
  <c r="A88" i="85"/>
  <c r="A95" i="85"/>
  <c r="A138" i="85"/>
  <c r="A113" i="85"/>
  <c r="R154" i="85"/>
  <c r="A64" i="85"/>
  <c r="R155" i="85"/>
  <c r="R156" i="85"/>
  <c r="R157" i="85"/>
  <c r="R158" i="85"/>
  <c r="A30" i="85"/>
  <c r="A72" i="84"/>
  <c r="A73" i="84"/>
  <c r="A70" i="84"/>
  <c r="A128" i="84"/>
  <c r="A129" i="84"/>
  <c r="A130" i="84"/>
  <c r="R158" i="84"/>
  <c r="R156" i="84"/>
  <c r="J41" i="84"/>
  <c r="J48" i="84"/>
  <c r="J54" i="84" s="1"/>
  <c r="A140" i="84"/>
  <c r="A141" i="84"/>
  <c r="A142" i="84"/>
  <c r="A82" i="84"/>
  <c r="A30" i="84"/>
  <c r="A112" i="84"/>
  <c r="A134" i="84"/>
  <c r="A135" i="84"/>
  <c r="A136" i="84"/>
  <c r="A137" i="84"/>
  <c r="K39" i="84"/>
  <c r="K41" i="84"/>
  <c r="K48" i="84"/>
  <c r="R157" i="84"/>
  <c r="H39" i="84"/>
  <c r="H41" i="84"/>
  <c r="H48" i="84"/>
  <c r="Q162" i="84"/>
  <c r="A121" i="84"/>
  <c r="A122" i="84"/>
  <c r="A123" i="84"/>
  <c r="A74" i="84"/>
  <c r="L39" i="84"/>
  <c r="L41" i="84"/>
  <c r="L48" i="84"/>
  <c r="A101" i="84"/>
  <c r="A113" i="84"/>
  <c r="A57" i="84"/>
  <c r="A103" i="84"/>
  <c r="A104" i="84"/>
  <c r="A105" i="84"/>
  <c r="R154" i="84"/>
  <c r="A58" i="84"/>
  <c r="A94" i="84"/>
  <c r="I39" i="84"/>
  <c r="I41" i="84"/>
  <c r="I48" i="84"/>
  <c r="I54" i="84" s="1"/>
  <c r="A95" i="84"/>
  <c r="A119" i="84"/>
  <c r="G41" i="84"/>
  <c r="G48" i="84"/>
  <c r="G54" i="84" s="1"/>
  <c r="A81" i="84"/>
  <c r="A83" i="84"/>
  <c r="A91" i="84"/>
  <c r="A92" i="84"/>
  <c r="A93" i="84"/>
  <c r="A76" i="84"/>
  <c r="A77" i="84"/>
  <c r="A78" i="84"/>
  <c r="A106" i="84"/>
  <c r="A131" i="84"/>
  <c r="A63" i="84"/>
  <c r="A124" i="84"/>
  <c r="A79" i="84"/>
  <c r="A85" i="84"/>
  <c r="A86" i="84"/>
  <c r="A87" i="84"/>
  <c r="A88" i="84"/>
  <c r="A107" i="84"/>
  <c r="A64" i="84"/>
  <c r="A14" i="53"/>
  <c r="I95" i="46"/>
  <c r="L95" i="46"/>
  <c r="I99" i="46"/>
  <c r="L99" i="46"/>
  <c r="H72" i="46"/>
  <c r="H33" i="46"/>
  <c r="H92" i="46" s="1"/>
  <c r="H34" i="46"/>
  <c r="H110" i="46" s="1"/>
  <c r="H89" i="46"/>
  <c r="H136" i="46"/>
  <c r="H121" i="46"/>
  <c r="K93" i="77"/>
  <c r="D348" i="36"/>
  <c r="D171" i="36"/>
  <c r="K174" i="36" s="1"/>
  <c r="D330" i="36"/>
  <c r="E89" i="44"/>
  <c r="K156" i="36"/>
  <c r="D343" i="36"/>
  <c r="D81" i="36"/>
  <c r="L84" i="36" s="1"/>
  <c r="D325" i="36"/>
  <c r="E84" i="44"/>
  <c r="E65" i="44"/>
  <c r="K88" i="77"/>
  <c r="A96" i="44"/>
  <c r="A97" i="44" s="1"/>
  <c r="U372" i="36"/>
  <c r="V368" i="36"/>
  <c r="U368" i="36"/>
  <c r="Y368" i="36"/>
  <c r="P77" i="33"/>
  <c r="R77" i="33"/>
  <c r="L300" i="36"/>
  <c r="L68" i="36"/>
  <c r="L69" i="36"/>
  <c r="X376" i="36"/>
  <c r="X362" i="36"/>
  <c r="D288" i="36"/>
  <c r="K33" i="36"/>
  <c r="A33" i="36"/>
  <c r="K76" i="35"/>
  <c r="F56" i="88" s="1"/>
  <c r="S76" i="35"/>
  <c r="F58" i="88" s="1"/>
  <c r="D307" i="36"/>
  <c r="I78" i="35"/>
  <c r="D270" i="36"/>
  <c r="E34" i="88"/>
  <c r="Q78" i="35"/>
  <c r="S78" i="35" s="1"/>
  <c r="E33" i="88"/>
  <c r="E31" i="88"/>
  <c r="S58" i="35"/>
  <c r="L146" i="36"/>
  <c r="L142" i="36"/>
  <c r="K142" i="36"/>
  <c r="K140" i="36"/>
  <c r="L138" i="36"/>
  <c r="L144" i="36"/>
  <c r="K141" i="36"/>
  <c r="K138" i="36"/>
  <c r="K139" i="36"/>
  <c r="L145" i="36"/>
  <c r="L140" i="36"/>
  <c r="L143" i="36"/>
  <c r="L141" i="36"/>
  <c r="L139" i="36"/>
  <c r="E78" i="35"/>
  <c r="G78" i="35" s="1"/>
  <c r="T369" i="36"/>
  <c r="R28" i="35"/>
  <c r="K92" i="36" s="1"/>
  <c r="M94" i="77"/>
  <c r="J78" i="35"/>
  <c r="K32" i="36"/>
  <c r="A32" i="36"/>
  <c r="L94" i="77"/>
  <c r="F10" i="88"/>
  <c r="D58" i="88"/>
  <c r="F9" i="88"/>
  <c r="K266" i="36"/>
  <c r="A266" i="36" s="1"/>
  <c r="F76" i="35"/>
  <c r="E55" i="88" s="1"/>
  <c r="F8" i="88"/>
  <c r="F22" i="88"/>
  <c r="D56" i="88"/>
  <c r="F7" i="88"/>
  <c r="F21" i="88"/>
  <c r="D55" i="88"/>
  <c r="F20" i="88"/>
  <c r="S28" i="35"/>
  <c r="F19" i="88"/>
  <c r="Y362" i="36"/>
  <c r="K91" i="77"/>
  <c r="M78" i="35"/>
  <c r="W362" i="36"/>
  <c r="V362" i="36"/>
  <c r="N76" i="35"/>
  <c r="E57" i="88" s="1"/>
  <c r="A57" i="88" s="1"/>
  <c r="U362" i="36"/>
  <c r="D346" i="36"/>
  <c r="D328" i="36"/>
  <c r="E46" i="44"/>
  <c r="E68" i="44"/>
  <c r="E87" i="44"/>
  <c r="X368" i="36"/>
  <c r="E47" i="44"/>
  <c r="K228" i="36"/>
  <c r="O77" i="33"/>
  <c r="T77" i="33"/>
  <c r="Z58" i="33"/>
  <c r="Z28" i="33"/>
  <c r="Z43" i="33"/>
  <c r="Z63" i="33"/>
  <c r="D284" i="36"/>
  <c r="W376" i="36"/>
  <c r="W363" i="36"/>
  <c r="Z74" i="33"/>
  <c r="Z35" i="33"/>
  <c r="K14" i="36"/>
  <c r="A14" i="36" s="1"/>
  <c r="W367" i="36"/>
  <c r="Z51" i="33"/>
  <c r="Z69" i="33"/>
  <c r="K30" i="36"/>
  <c r="Z71" i="33"/>
  <c r="L232" i="36"/>
  <c r="K84" i="36"/>
  <c r="K52" i="36"/>
  <c r="A52" i="36" s="1"/>
  <c r="L67" i="36"/>
  <c r="Z20" i="33"/>
  <c r="Y376" i="36"/>
  <c r="Z21" i="33"/>
  <c r="V77" i="33"/>
  <c r="D301" i="36"/>
  <c r="Z22" i="33"/>
  <c r="Z23" i="33"/>
  <c r="Z73" i="33"/>
  <c r="F77" i="33"/>
  <c r="G77" i="33"/>
  <c r="K88" i="36"/>
  <c r="L86" i="36"/>
  <c r="W378" i="36"/>
  <c r="W358" i="36" s="1"/>
  <c r="J77" i="33"/>
  <c r="K77" i="33"/>
  <c r="AG51" i="100"/>
  <c r="AH51" i="100"/>
  <c r="A51" i="100"/>
  <c r="AD51" i="100"/>
  <c r="AG53" i="100"/>
  <c r="A53" i="100"/>
  <c r="AD53" i="100"/>
  <c r="G152" i="68"/>
  <c r="I152" i="68" s="1"/>
  <c r="E153" i="68"/>
  <c r="A113" i="68"/>
  <c r="I67" i="11"/>
  <c r="O66" i="11" a="1"/>
  <c r="O66" i="11" s="1"/>
  <c r="N45" i="14"/>
  <c r="H45" i="14"/>
  <c r="A85" i="11"/>
  <c r="D86" i="11" a="1"/>
  <c r="D86" i="11" s="1"/>
  <c r="D58" i="11" a="1"/>
  <c r="D58" i="11" s="1"/>
  <c r="A57" i="11"/>
  <c r="A149" i="11"/>
  <c r="D150" i="11" a="1"/>
  <c r="D150" i="11" s="1"/>
  <c r="G14" i="14"/>
  <c r="M14" i="14"/>
  <c r="G43" i="14"/>
  <c r="M43" i="14"/>
  <c r="G15" i="14"/>
  <c r="G44" i="14"/>
  <c r="M15" i="14"/>
  <c r="M44" i="14"/>
  <c r="G16" i="14"/>
  <c r="G45" i="14"/>
  <c r="M16" i="14"/>
  <c r="M45" i="14"/>
  <c r="L16" i="14"/>
  <c r="L45" i="14"/>
  <c r="D112" i="11" a="1"/>
  <c r="D112" i="11" s="1"/>
  <c r="A111" i="11"/>
  <c r="A135" i="11"/>
  <c r="D136" i="11" a="1"/>
  <c r="D136" i="11" s="1"/>
  <c r="E15" i="14"/>
  <c r="K44" i="14"/>
  <c r="E44" i="14"/>
  <c r="K15" i="14"/>
  <c r="H144" i="11"/>
  <c r="O45" i="14" s="1"/>
  <c r="A134" i="68"/>
  <c r="L199" i="36"/>
  <c r="L194" i="36"/>
  <c r="L195" i="36"/>
  <c r="K195" i="36"/>
  <c r="V372" i="36"/>
  <c r="Y372" i="36"/>
  <c r="X372" i="36"/>
  <c r="W372" i="36"/>
  <c r="M53" i="11"/>
  <c r="M52" i="11"/>
  <c r="L52" i="11"/>
  <c r="N52" i="11"/>
  <c r="K52" i="11"/>
  <c r="I86" i="57"/>
  <c r="I81" i="57"/>
  <c r="G81" i="57"/>
  <c r="G86" i="57"/>
  <c r="D167" i="10" s="1"/>
  <c r="I6" i="47"/>
  <c r="H9" i="47"/>
  <c r="B14" i="47"/>
  <c r="R41" i="96"/>
  <c r="P43" i="96"/>
  <c r="J9" i="96"/>
  <c r="J11" i="96" s="1"/>
  <c r="J13" i="96" s="1"/>
  <c r="N5" i="96"/>
  <c r="L21" i="96"/>
  <c r="L54" i="96"/>
  <c r="N51" i="96"/>
  <c r="L52" i="96"/>
  <c r="L53" i="96"/>
  <c r="D10" i="94"/>
  <c r="D11" i="93"/>
  <c r="BC95" i="93"/>
  <c r="AK136" i="93"/>
  <c r="BG136" i="93" s="1"/>
  <c r="AK128" i="93"/>
  <c r="BG128" i="93" s="1"/>
  <c r="AK104" i="93"/>
  <c r="BG104" i="93" s="1"/>
  <c r="AK94" i="93"/>
  <c r="AK92" i="93"/>
  <c r="BG92" i="93" s="1"/>
  <c r="AK172" i="93"/>
  <c r="BG172" i="93" s="1"/>
  <c r="AK106" i="93"/>
  <c r="BG106" i="93" s="1"/>
  <c r="AK144" i="93"/>
  <c r="BG144" i="93" s="1"/>
  <c r="AK142" i="93"/>
  <c r="AK137" i="93"/>
  <c r="AK134" i="93"/>
  <c r="BG134" i="93" s="1"/>
  <c r="AK155" i="93"/>
  <c r="BG155" i="93" s="1"/>
  <c r="AK153" i="93"/>
  <c r="BG153" i="93" s="1"/>
  <c r="AK129" i="93"/>
  <c r="BG129" i="93" s="1"/>
  <c r="AK170" i="93"/>
  <c r="BG170" i="93" s="1"/>
  <c r="AK168" i="93"/>
  <c r="BG168" i="93" s="1"/>
  <c r="AK166" i="93"/>
  <c r="BG166" i="93" s="1"/>
  <c r="AK151" i="93"/>
  <c r="BG151" i="93" s="1"/>
  <c r="AK123" i="93"/>
  <c r="BG123" i="93" s="1"/>
  <c r="AK126" i="93"/>
  <c r="BG126" i="93" s="1"/>
  <c r="AK164" i="93"/>
  <c r="BG164" i="93" s="1"/>
  <c r="AK162" i="93"/>
  <c r="BG162" i="93" s="1"/>
  <c r="AK147" i="93"/>
  <c r="BG147" i="93" s="1"/>
  <c r="AK101" i="93"/>
  <c r="BG101" i="93" s="1"/>
  <c r="AK160" i="93"/>
  <c r="BG160" i="93" s="1"/>
  <c r="AK158" i="93"/>
  <c r="BG158" i="93" s="1"/>
  <c r="AK156" i="93"/>
  <c r="AK140" i="93"/>
  <c r="BG140" i="93" s="1"/>
  <c r="AK135" i="93"/>
  <c r="BG135" i="93" s="1"/>
  <c r="AK132" i="93"/>
  <c r="BG132" i="93" s="1"/>
  <c r="AK121" i="93"/>
  <c r="BG121" i="93" s="1"/>
  <c r="AK119" i="93"/>
  <c r="BG119" i="93" s="1"/>
  <c r="AK117" i="93"/>
  <c r="BG117" i="93" s="1"/>
  <c r="AK113" i="93"/>
  <c r="BG113" i="93" s="1"/>
  <c r="AK111" i="93"/>
  <c r="BG111" i="93" s="1"/>
  <c r="AK109" i="93"/>
  <c r="BG109" i="93" s="1"/>
  <c r="AK107" i="93"/>
  <c r="BG107" i="93" s="1"/>
  <c r="AK105" i="93"/>
  <c r="BG105" i="93" s="1"/>
  <c r="AK99" i="93"/>
  <c r="AK97" i="93"/>
  <c r="BG97" i="93" s="1"/>
  <c r="AL91" i="93"/>
  <c r="AK127" i="93"/>
  <c r="BG127" i="93" s="1"/>
  <c r="AK115" i="93"/>
  <c r="AK103" i="93"/>
  <c r="AK149" i="93"/>
  <c r="BG149" i="93" s="1"/>
  <c r="AK93" i="93"/>
  <c r="AK124" i="93"/>
  <c r="BG124" i="93" s="1"/>
  <c r="AK95" i="93"/>
  <c r="BG95" i="93" s="1"/>
  <c r="AK145" i="93"/>
  <c r="BG145" i="93" s="1"/>
  <c r="AK143" i="93"/>
  <c r="BG143" i="93" s="1"/>
  <c r="AK141" i="93"/>
  <c r="BG141" i="93" s="1"/>
  <c r="AK138" i="93"/>
  <c r="BG138" i="93" s="1"/>
  <c r="AK133" i="93"/>
  <c r="BG133" i="93" s="1"/>
  <c r="AK130" i="93"/>
  <c r="BG130" i="93" s="1"/>
  <c r="AK131" i="93"/>
  <c r="AK171" i="93"/>
  <c r="BG171" i="93" s="1"/>
  <c r="AK154" i="93"/>
  <c r="BG154" i="93" s="1"/>
  <c r="AK169" i="93"/>
  <c r="BG169" i="93" s="1"/>
  <c r="AK167" i="93"/>
  <c r="BG167" i="93" s="1"/>
  <c r="AK152" i="93"/>
  <c r="BG152" i="93" s="1"/>
  <c r="AK125" i="93"/>
  <c r="AK165" i="93"/>
  <c r="BG165" i="93" s="1"/>
  <c r="AK163" i="93"/>
  <c r="BG163" i="93" s="1"/>
  <c r="AK161" i="93"/>
  <c r="BG161" i="93" s="1"/>
  <c r="AK122" i="93"/>
  <c r="BG122" i="93" s="1"/>
  <c r="AV91" i="93"/>
  <c r="BG91" i="93"/>
  <c r="AK150" i="93"/>
  <c r="BG150" i="93" s="1"/>
  <c r="AK148" i="93"/>
  <c r="BG148" i="93" s="1"/>
  <c r="AK146" i="93"/>
  <c r="BG146" i="93" s="1"/>
  <c r="AK139" i="93"/>
  <c r="BG139" i="93" s="1"/>
  <c r="AK112" i="93"/>
  <c r="BG112" i="93" s="1"/>
  <c r="AK159" i="93"/>
  <c r="BG159" i="93" s="1"/>
  <c r="AK157" i="93"/>
  <c r="AK120" i="93"/>
  <c r="BG120" i="93" s="1"/>
  <c r="AK118" i="93"/>
  <c r="BG118" i="93" s="1"/>
  <c r="AK116" i="93"/>
  <c r="BG116" i="93" s="1"/>
  <c r="AK114" i="93"/>
  <c r="AK110" i="93"/>
  <c r="AK108" i="93"/>
  <c r="BG108" i="93" s="1"/>
  <c r="AK102" i="93"/>
  <c r="BG102" i="93" s="1"/>
  <c r="AK100" i="93"/>
  <c r="BG100" i="93" s="1"/>
  <c r="AK98" i="93"/>
  <c r="BG98" i="93" s="1"/>
  <c r="AK96" i="93"/>
  <c r="D75" i="93"/>
  <c r="E74" i="93"/>
  <c r="G74" i="93" s="1"/>
  <c r="I52" i="93"/>
  <c r="F52" i="93"/>
  <c r="D53" i="93"/>
  <c r="D12" i="93"/>
  <c r="F11" i="93"/>
  <c r="I11" i="93" s="1"/>
  <c r="K11" i="93" s="1"/>
  <c r="BC96" i="93"/>
  <c r="AR96" i="93"/>
  <c r="AG97" i="93"/>
  <c r="A97" i="93"/>
  <c r="S98" i="93"/>
  <c r="D32" i="93"/>
  <c r="F31" i="93"/>
  <c r="E73" i="94"/>
  <c r="A73" i="94" s="1"/>
  <c r="D74" i="94"/>
  <c r="AK126" i="94"/>
  <c r="BG126" i="94" s="1"/>
  <c r="AK140" i="94"/>
  <c r="BG140" i="94" s="1"/>
  <c r="AK135" i="94"/>
  <c r="BG135" i="94" s="1"/>
  <c r="AK154" i="94"/>
  <c r="BG154" i="94" s="1"/>
  <c r="AK152" i="94"/>
  <c r="BG152" i="94" s="1"/>
  <c r="AK132" i="94"/>
  <c r="AL91" i="94"/>
  <c r="AK121" i="94"/>
  <c r="BG121" i="94" s="1"/>
  <c r="AK127" i="94"/>
  <c r="BG127" i="94" s="1"/>
  <c r="AK119" i="94"/>
  <c r="BG119" i="94" s="1"/>
  <c r="AK117" i="94"/>
  <c r="AK115" i="94"/>
  <c r="AK113" i="94"/>
  <c r="BG113" i="94" s="1"/>
  <c r="AK171" i="94"/>
  <c r="BG171" i="94" s="1"/>
  <c r="AK111" i="94"/>
  <c r="BG111" i="94" s="1"/>
  <c r="AK169" i="94"/>
  <c r="BG169" i="94" s="1"/>
  <c r="AK167" i="94"/>
  <c r="BG167" i="94" s="1"/>
  <c r="AK145" i="94"/>
  <c r="BG145" i="94" s="1"/>
  <c r="AK143" i="94"/>
  <c r="BG143" i="94" s="1"/>
  <c r="AK141" i="94"/>
  <c r="BG141" i="94" s="1"/>
  <c r="AK138" i="94"/>
  <c r="BG138" i="94" s="1"/>
  <c r="AK133" i="94"/>
  <c r="BG133" i="94" s="1"/>
  <c r="AK124" i="94"/>
  <c r="BG124" i="94" s="1"/>
  <c r="AK109" i="94"/>
  <c r="BG109" i="94" s="1"/>
  <c r="AK107" i="94"/>
  <c r="BG107" i="94" s="1"/>
  <c r="AK105" i="94"/>
  <c r="AK103" i="94"/>
  <c r="BG103" i="94" s="1"/>
  <c r="AK101" i="94"/>
  <c r="BG101" i="94" s="1"/>
  <c r="AK99" i="94"/>
  <c r="BG99" i="94" s="1"/>
  <c r="AK97" i="94"/>
  <c r="BG97" i="94" s="1"/>
  <c r="AK95" i="94"/>
  <c r="BG95" i="94" s="1"/>
  <c r="AK93" i="94"/>
  <c r="AK165" i="94"/>
  <c r="BG165" i="94" s="1"/>
  <c r="AK163" i="94"/>
  <c r="BG163" i="94" s="1"/>
  <c r="AK161" i="94"/>
  <c r="BG161" i="94" s="1"/>
  <c r="AK130" i="94"/>
  <c r="BG130" i="94" s="1"/>
  <c r="AK159" i="94"/>
  <c r="BG159" i="94" s="1"/>
  <c r="AK157" i="94"/>
  <c r="BG157" i="94" s="1"/>
  <c r="AK150" i="94"/>
  <c r="BG150" i="94" s="1"/>
  <c r="AK148" i="94"/>
  <c r="BG148" i="94" s="1"/>
  <c r="AK146" i="94"/>
  <c r="BG146" i="94" s="1"/>
  <c r="AK125" i="94"/>
  <c r="BG125" i="94" s="1"/>
  <c r="AK139" i="94"/>
  <c r="BG139" i="94" s="1"/>
  <c r="AK136" i="94"/>
  <c r="BG136" i="94" s="1"/>
  <c r="AK155" i="94"/>
  <c r="BG155" i="94" s="1"/>
  <c r="AK153" i="94"/>
  <c r="AK151" i="94"/>
  <c r="BG151" i="94" s="1"/>
  <c r="AK131" i="94"/>
  <c r="BG131" i="94" s="1"/>
  <c r="AV91" i="94"/>
  <c r="BG91" i="94"/>
  <c r="AK122" i="94"/>
  <c r="AK120" i="94"/>
  <c r="AK128" i="94"/>
  <c r="BG128" i="94" s="1"/>
  <c r="AK118" i="94"/>
  <c r="BG118" i="94" s="1"/>
  <c r="AK116" i="94"/>
  <c r="BG116" i="94" s="1"/>
  <c r="AK114" i="94"/>
  <c r="BG114" i="94" s="1"/>
  <c r="AK172" i="94"/>
  <c r="BG172" i="94" s="1"/>
  <c r="AK112" i="94"/>
  <c r="BG112" i="94" s="1"/>
  <c r="AK110" i="94"/>
  <c r="BG110" i="94" s="1"/>
  <c r="AK170" i="94"/>
  <c r="BG170" i="94" s="1"/>
  <c r="AK168" i="94"/>
  <c r="BG168" i="94" s="1"/>
  <c r="AK166" i="94"/>
  <c r="BG166" i="94" s="1"/>
  <c r="AK144" i="94"/>
  <c r="BG144" i="94" s="1"/>
  <c r="AK142" i="94"/>
  <c r="BG142" i="94" s="1"/>
  <c r="AK137" i="94"/>
  <c r="BG137" i="94" s="1"/>
  <c r="AK134" i="94"/>
  <c r="AK123" i="94"/>
  <c r="BG123" i="94" s="1"/>
  <c r="AK108" i="94"/>
  <c r="BG108" i="94" s="1"/>
  <c r="AK106" i="94"/>
  <c r="BG106" i="94" s="1"/>
  <c r="AK104" i="94"/>
  <c r="BG104" i="94" s="1"/>
  <c r="AK102" i="94"/>
  <c r="BG102" i="94" s="1"/>
  <c r="AK100" i="94"/>
  <c r="AK98" i="94"/>
  <c r="BG98" i="94" s="1"/>
  <c r="AK96" i="94"/>
  <c r="BG96" i="94" s="1"/>
  <c r="AK94" i="94"/>
  <c r="BG94" i="94" s="1"/>
  <c r="AK92" i="94"/>
  <c r="BG92" i="94" s="1"/>
  <c r="AK164" i="94"/>
  <c r="BG164" i="94" s="1"/>
  <c r="AK162" i="94"/>
  <c r="BG162" i="94" s="1"/>
  <c r="AK129" i="94"/>
  <c r="BG129" i="94" s="1"/>
  <c r="AK160" i="94"/>
  <c r="BG160" i="94" s="1"/>
  <c r="AK158" i="94"/>
  <c r="BG158" i="94" s="1"/>
  <c r="AK156" i="94"/>
  <c r="BG156" i="94" s="1"/>
  <c r="AK149" i="94"/>
  <c r="BG149" i="94" s="1"/>
  <c r="AK147" i="94"/>
  <c r="BG147" i="94" s="1"/>
  <c r="D53" i="94"/>
  <c r="I52" i="94"/>
  <c r="F52" i="94"/>
  <c r="D11" i="94"/>
  <c r="F10" i="94"/>
  <c r="I10" i="94" s="1"/>
  <c r="K10" i="94" s="1"/>
  <c r="J98" i="91" s="1"/>
  <c r="D33" i="94"/>
  <c r="F32" i="94"/>
  <c r="AR96" i="94"/>
  <c r="AG97" i="94"/>
  <c r="AR97" i="94" s="1"/>
  <c r="S98" i="94"/>
  <c r="A97" i="94"/>
  <c r="N54" i="95"/>
  <c r="N55" i="95"/>
  <c r="P51" i="95"/>
  <c r="N52" i="95"/>
  <c r="N53" i="95"/>
  <c r="N41" i="95"/>
  <c r="J62" i="95"/>
  <c r="I62" i="95" s="1"/>
  <c r="J9" i="95"/>
  <c r="J11" i="95" s="1"/>
  <c r="J13" i="95" s="1"/>
  <c r="N5" i="95"/>
  <c r="L21" i="95"/>
  <c r="G96" i="30"/>
  <c r="D230" i="10" s="1"/>
  <c r="G94" i="30"/>
  <c r="A157" i="68"/>
  <c r="A153" i="68"/>
  <c r="A159" i="68"/>
  <c r="A158" i="68"/>
  <c r="A132" i="68"/>
  <c r="A133" i="68"/>
  <c r="K176" i="36"/>
  <c r="L176" i="36"/>
  <c r="L177" i="36"/>
  <c r="L178" i="36"/>
  <c r="L179" i="36"/>
  <c r="L180" i="36"/>
  <c r="L181" i="36"/>
  <c r="L175" i="36"/>
  <c r="K178" i="36"/>
  <c r="K177" i="36"/>
  <c r="L174" i="36"/>
  <c r="K85" i="36"/>
  <c r="L91" i="36"/>
  <c r="L89" i="36"/>
  <c r="A30" i="36"/>
  <c r="P322" i="36"/>
  <c r="K78" i="35"/>
  <c r="H78" i="35"/>
  <c r="R78" i="35"/>
  <c r="P78" i="35"/>
  <c r="O78" i="35"/>
  <c r="N78" i="35"/>
  <c r="L78" i="35"/>
  <c r="V369" i="36"/>
  <c r="W369" i="36"/>
  <c r="Y369" i="36"/>
  <c r="U369" i="36"/>
  <c r="X369" i="36"/>
  <c r="A135" i="68"/>
  <c r="O67" i="11" a="1"/>
  <c r="O67" i="11" s="1"/>
  <c r="I68" i="11"/>
  <c r="M67" i="11" a="1"/>
  <c r="M67" i="11" s="1"/>
  <c r="L67" i="11" a="1"/>
  <c r="L67" i="11" s="1"/>
  <c r="N67" i="11" a="1"/>
  <c r="N67" i="11" s="1"/>
  <c r="D111" i="11" a="1"/>
  <c r="D111" i="11" s="1"/>
  <c r="A110" i="11"/>
  <c r="A148" i="11"/>
  <c r="D149" i="11" a="1"/>
  <c r="D149" i="11" s="1"/>
  <c r="D57" i="11" a="1"/>
  <c r="D57" i="11" s="1"/>
  <c r="A56" i="11"/>
  <c r="A84" i="11"/>
  <c r="D85" i="11" a="1"/>
  <c r="D85" i="11" s="1"/>
  <c r="A134" i="11"/>
  <c r="D135" i="11" a="1"/>
  <c r="D135" i="11" s="1"/>
  <c r="H81" i="57"/>
  <c r="H86" i="57"/>
  <c r="H69" i="57"/>
  <c r="H77" i="57"/>
  <c r="E165" i="10" s="1"/>
  <c r="G77" i="57"/>
  <c r="D165" i="10" s="1"/>
  <c r="G69" i="57"/>
  <c r="E14" i="47"/>
  <c r="H14" i="47"/>
  <c r="B15" i="47"/>
  <c r="J6" i="47"/>
  <c r="I9" i="47"/>
  <c r="H98" i="57"/>
  <c r="E177" i="10" s="1"/>
  <c r="H96" i="57"/>
  <c r="N54" i="96"/>
  <c r="N55" i="96"/>
  <c r="P51" i="96"/>
  <c r="N52" i="96"/>
  <c r="N53" i="96"/>
  <c r="L62" i="96"/>
  <c r="K62" i="96" s="1"/>
  <c r="L9" i="96"/>
  <c r="L11" i="96" s="1"/>
  <c r="L13" i="96" s="1"/>
  <c r="P5" i="96"/>
  <c r="N21" i="96"/>
  <c r="T41" i="96"/>
  <c r="R43" i="96"/>
  <c r="D76" i="93"/>
  <c r="E75" i="93"/>
  <c r="AL114" i="93"/>
  <c r="BH114" i="93" s="1"/>
  <c r="AL172" i="93"/>
  <c r="BH172" i="93" s="1"/>
  <c r="AL123" i="93"/>
  <c r="BH123" i="93" s="1"/>
  <c r="AL144" i="93"/>
  <c r="BH144" i="93" s="1"/>
  <c r="AL142" i="93"/>
  <c r="BH142" i="93" s="1"/>
  <c r="AL137" i="93"/>
  <c r="BH137" i="93" s="1"/>
  <c r="AL134" i="93"/>
  <c r="BH134" i="93" s="1"/>
  <c r="AL131" i="93"/>
  <c r="BH131" i="93" s="1"/>
  <c r="AL94" i="93"/>
  <c r="BH94" i="93" s="1"/>
  <c r="AL92" i="93"/>
  <c r="BH92" i="93" s="1"/>
  <c r="AL155" i="93"/>
  <c r="BH155" i="93" s="1"/>
  <c r="AL153" i="93"/>
  <c r="BH153" i="93" s="1"/>
  <c r="AL129" i="93"/>
  <c r="BH129" i="93" s="1"/>
  <c r="AL104" i="93"/>
  <c r="BH104" i="93" s="1"/>
  <c r="AL170" i="93"/>
  <c r="BH170" i="93" s="1"/>
  <c r="AL168" i="93"/>
  <c r="BH168" i="93" s="1"/>
  <c r="AL166" i="93"/>
  <c r="BH166" i="93" s="1"/>
  <c r="AL126" i="93"/>
  <c r="BH126" i="93" s="1"/>
  <c r="AL164" i="93"/>
  <c r="BH164" i="93" s="1"/>
  <c r="AL162" i="93"/>
  <c r="BH162" i="93" s="1"/>
  <c r="AL151" i="93"/>
  <c r="BH151" i="93" s="1"/>
  <c r="AL149" i="93"/>
  <c r="BH149" i="93" s="1"/>
  <c r="AL147" i="93"/>
  <c r="BH147" i="93" s="1"/>
  <c r="AL160" i="93"/>
  <c r="BH160" i="93" s="1"/>
  <c r="AL158" i="93"/>
  <c r="BH158" i="93" s="1"/>
  <c r="AL156" i="93"/>
  <c r="BH156" i="93" s="1"/>
  <c r="AL132" i="93"/>
  <c r="BH132" i="93" s="1"/>
  <c r="AL121" i="93"/>
  <c r="BH121" i="93" s="1"/>
  <c r="AL119" i="93"/>
  <c r="BH119" i="93" s="1"/>
  <c r="AL117" i="93"/>
  <c r="BH117" i="93" s="1"/>
  <c r="AL111" i="93"/>
  <c r="BH111" i="93" s="1"/>
  <c r="AL109" i="93"/>
  <c r="BH109" i="93" s="1"/>
  <c r="AL107" i="93"/>
  <c r="BH107" i="93" s="1"/>
  <c r="AL105" i="93"/>
  <c r="AL99" i="93"/>
  <c r="BH99" i="93" s="1"/>
  <c r="AL97" i="93"/>
  <c r="BH97" i="93" s="1"/>
  <c r="AL95" i="93"/>
  <c r="BH95" i="93" s="1"/>
  <c r="AL127" i="93"/>
  <c r="BH127" i="93" s="1"/>
  <c r="AL101" i="93"/>
  <c r="AL140" i="93"/>
  <c r="AL135" i="93"/>
  <c r="BH135" i="93" s="1"/>
  <c r="AL113" i="93"/>
  <c r="BH113" i="93" s="1"/>
  <c r="AM91" i="93"/>
  <c r="AL124" i="93"/>
  <c r="BH124" i="93" s="1"/>
  <c r="AL115" i="93"/>
  <c r="BH115" i="93" s="1"/>
  <c r="AL103" i="93"/>
  <c r="BH103" i="93" s="1"/>
  <c r="AL145" i="93"/>
  <c r="BH145" i="93" s="1"/>
  <c r="AL143" i="93"/>
  <c r="BH143" i="93" s="1"/>
  <c r="AL141" i="93"/>
  <c r="BH141" i="93" s="1"/>
  <c r="AL138" i="93"/>
  <c r="BH138" i="93" s="1"/>
  <c r="AL133" i="93"/>
  <c r="BH133" i="93" s="1"/>
  <c r="AL93" i="93"/>
  <c r="BH93" i="93" s="1"/>
  <c r="AL171" i="93"/>
  <c r="BH171" i="93" s="1"/>
  <c r="AL154" i="93"/>
  <c r="BH154" i="93" s="1"/>
  <c r="AL169" i="93"/>
  <c r="BH169" i="93" s="1"/>
  <c r="AL167" i="93"/>
  <c r="BH167" i="93" s="1"/>
  <c r="AL130" i="93"/>
  <c r="BH130" i="93" s="1"/>
  <c r="AL125" i="93"/>
  <c r="BH125" i="93" s="1"/>
  <c r="AW91" i="93"/>
  <c r="BH91" i="93"/>
  <c r="AL165" i="93"/>
  <c r="BH165" i="93" s="1"/>
  <c r="AL163" i="93"/>
  <c r="BH163" i="93" s="1"/>
  <c r="AL161" i="93"/>
  <c r="BH161" i="93" s="1"/>
  <c r="AL152" i="93"/>
  <c r="BH152" i="93" s="1"/>
  <c r="AL136" i="93"/>
  <c r="BH136" i="93" s="1"/>
  <c r="AL150" i="93"/>
  <c r="BH150" i="93" s="1"/>
  <c r="AL148" i="93"/>
  <c r="BH148" i="93" s="1"/>
  <c r="AL146" i="93"/>
  <c r="BH146" i="93" s="1"/>
  <c r="AL139" i="93"/>
  <c r="BH139" i="93" s="1"/>
  <c r="AL159" i="93"/>
  <c r="BH159" i="93" s="1"/>
  <c r="AL157" i="93"/>
  <c r="BH157" i="93" s="1"/>
  <c r="AL122" i="93"/>
  <c r="AL120" i="93"/>
  <c r="BH120" i="93" s="1"/>
  <c r="AL118" i="93"/>
  <c r="BH118" i="93" s="1"/>
  <c r="AL116" i="93"/>
  <c r="BH116" i="93" s="1"/>
  <c r="AL110" i="93"/>
  <c r="BH110" i="93" s="1"/>
  <c r="AL108" i="93"/>
  <c r="BH108" i="93" s="1"/>
  <c r="AL106" i="93"/>
  <c r="BH106" i="93" s="1"/>
  <c r="AL102" i="93"/>
  <c r="BH102" i="93" s="1"/>
  <c r="AL100" i="93"/>
  <c r="BH100" i="93" s="1"/>
  <c r="AL98" i="93"/>
  <c r="BH98" i="93" s="1"/>
  <c r="AL96" i="93"/>
  <c r="AL128" i="93"/>
  <c r="BH128" i="93" s="1"/>
  <c r="AL112" i="93"/>
  <c r="BH112" i="93" s="1"/>
  <c r="D13" i="93"/>
  <c r="F12" i="93"/>
  <c r="I12" i="93" s="1"/>
  <c r="K12" i="93" s="1"/>
  <c r="F32" i="93"/>
  <c r="D33" i="93"/>
  <c r="I53" i="93"/>
  <c r="F53" i="93"/>
  <c r="D54" i="93"/>
  <c r="S99" i="93"/>
  <c r="AG98" i="93"/>
  <c r="AR98" i="93" s="1"/>
  <c r="A98" i="93"/>
  <c r="AL140" i="94"/>
  <c r="BH140" i="94" s="1"/>
  <c r="AL135" i="94"/>
  <c r="BH135" i="94" s="1"/>
  <c r="AL154" i="94"/>
  <c r="BH154" i="94" s="1"/>
  <c r="AL152" i="94"/>
  <c r="BH152" i="94" s="1"/>
  <c r="AL132" i="94"/>
  <c r="BH132" i="94" s="1"/>
  <c r="AL121" i="94"/>
  <c r="BH121" i="94" s="1"/>
  <c r="AL127" i="94"/>
  <c r="BH127" i="94" s="1"/>
  <c r="AL119" i="94"/>
  <c r="BH119" i="94" s="1"/>
  <c r="AL117" i="94"/>
  <c r="BH117" i="94" s="1"/>
  <c r="AL115" i="94"/>
  <c r="BH115" i="94" s="1"/>
  <c r="AL113" i="94"/>
  <c r="BH113" i="94" s="1"/>
  <c r="AM91" i="94"/>
  <c r="AL171" i="94"/>
  <c r="BH171" i="94" s="1"/>
  <c r="AL111" i="94"/>
  <c r="BH111" i="94" s="1"/>
  <c r="AL169" i="94"/>
  <c r="BH169" i="94" s="1"/>
  <c r="AL167" i="94"/>
  <c r="BH167" i="94" s="1"/>
  <c r="AL145" i="94"/>
  <c r="BH145" i="94" s="1"/>
  <c r="AL143" i="94"/>
  <c r="BH143" i="94" s="1"/>
  <c r="AL141" i="94"/>
  <c r="BH141" i="94" s="1"/>
  <c r="AL138" i="94"/>
  <c r="BH138" i="94" s="1"/>
  <c r="AL133" i="94"/>
  <c r="BH133" i="94" s="1"/>
  <c r="AL124" i="94"/>
  <c r="BH124" i="94" s="1"/>
  <c r="AL109" i="94"/>
  <c r="BH109" i="94" s="1"/>
  <c r="AL107" i="94"/>
  <c r="BH107" i="94" s="1"/>
  <c r="AL105" i="94"/>
  <c r="BH105" i="94" s="1"/>
  <c r="AL103" i="94"/>
  <c r="BH103" i="94" s="1"/>
  <c r="AL101" i="94"/>
  <c r="BH101" i="94" s="1"/>
  <c r="AL99" i="94"/>
  <c r="BH99" i="94" s="1"/>
  <c r="AL97" i="94"/>
  <c r="BH97" i="94" s="1"/>
  <c r="AL95" i="94"/>
  <c r="BH95" i="94" s="1"/>
  <c r="AL93" i="94"/>
  <c r="BH93" i="94" s="1"/>
  <c r="AL165" i="94"/>
  <c r="BH165" i="94" s="1"/>
  <c r="AL163" i="94"/>
  <c r="BH163" i="94" s="1"/>
  <c r="AL161" i="94"/>
  <c r="BH161" i="94" s="1"/>
  <c r="AL130" i="94"/>
  <c r="BH130" i="94" s="1"/>
  <c r="AL159" i="94"/>
  <c r="BH159" i="94" s="1"/>
  <c r="AL157" i="94"/>
  <c r="BH157" i="94" s="1"/>
  <c r="AL150" i="94"/>
  <c r="BH150" i="94" s="1"/>
  <c r="AL148" i="94"/>
  <c r="BH148" i="94" s="1"/>
  <c r="AL146" i="94"/>
  <c r="BH146" i="94" s="1"/>
  <c r="AL125" i="94"/>
  <c r="BH125" i="94" s="1"/>
  <c r="AL139" i="94"/>
  <c r="BH139" i="94" s="1"/>
  <c r="AL136" i="94"/>
  <c r="BH136" i="94" s="1"/>
  <c r="AW91" i="94"/>
  <c r="BH91" i="94"/>
  <c r="AL155" i="94"/>
  <c r="BH155" i="94" s="1"/>
  <c r="AL153" i="94"/>
  <c r="BH153" i="94" s="1"/>
  <c r="AL151" i="94"/>
  <c r="BH151" i="94" s="1"/>
  <c r="AL131" i="94"/>
  <c r="AL122" i="94"/>
  <c r="BH122" i="94" s="1"/>
  <c r="AL120" i="94"/>
  <c r="BH120" i="94" s="1"/>
  <c r="AL128" i="94"/>
  <c r="BH128" i="94" s="1"/>
  <c r="AL118" i="94"/>
  <c r="BH118" i="94" s="1"/>
  <c r="AL116" i="94"/>
  <c r="BH116" i="94" s="1"/>
  <c r="AL114" i="94"/>
  <c r="BH114" i="94" s="1"/>
  <c r="AL172" i="94"/>
  <c r="BH172" i="94" s="1"/>
  <c r="AL112" i="94"/>
  <c r="BH112" i="94" s="1"/>
  <c r="AL110" i="94"/>
  <c r="BH110" i="94" s="1"/>
  <c r="AL170" i="94"/>
  <c r="BH170" i="94" s="1"/>
  <c r="AL168" i="94"/>
  <c r="BH168" i="94" s="1"/>
  <c r="AL166" i="94"/>
  <c r="BH166" i="94" s="1"/>
  <c r="AL144" i="94"/>
  <c r="BH144" i="94" s="1"/>
  <c r="AL142" i="94"/>
  <c r="BH142" i="94" s="1"/>
  <c r="AL137" i="94"/>
  <c r="AL134" i="94"/>
  <c r="BH134" i="94" s="1"/>
  <c r="AL123" i="94"/>
  <c r="BH123" i="94" s="1"/>
  <c r="AL108" i="94"/>
  <c r="BH108" i="94" s="1"/>
  <c r="AL106" i="94"/>
  <c r="BH106" i="94" s="1"/>
  <c r="AL104" i="94"/>
  <c r="BH104" i="94" s="1"/>
  <c r="AL102" i="94"/>
  <c r="BH102" i="94" s="1"/>
  <c r="AL100" i="94"/>
  <c r="BH100" i="94" s="1"/>
  <c r="AL98" i="94"/>
  <c r="BH98" i="94" s="1"/>
  <c r="AL96" i="94"/>
  <c r="AL94" i="94"/>
  <c r="BH94" i="94" s="1"/>
  <c r="AL92" i="94"/>
  <c r="BH92" i="94" s="1"/>
  <c r="AL164" i="94"/>
  <c r="BH164" i="94" s="1"/>
  <c r="AL162" i="94"/>
  <c r="BH162" i="94" s="1"/>
  <c r="AL129" i="94"/>
  <c r="BH129" i="94" s="1"/>
  <c r="AL160" i="94"/>
  <c r="BH160" i="94" s="1"/>
  <c r="AL158" i="94"/>
  <c r="BH158" i="94" s="1"/>
  <c r="AL156" i="94"/>
  <c r="BH156" i="94" s="1"/>
  <c r="AL149" i="94"/>
  <c r="BH149" i="94" s="1"/>
  <c r="AL147" i="94"/>
  <c r="BH147" i="94" s="1"/>
  <c r="AL126" i="94"/>
  <c r="BH126" i="94" s="1"/>
  <c r="F53" i="94"/>
  <c r="I53" i="94"/>
  <c r="D54" i="94"/>
  <c r="E74" i="94"/>
  <c r="A74" i="94" s="1"/>
  <c r="D75" i="94"/>
  <c r="S99" i="94"/>
  <c r="AG98" i="94"/>
  <c r="AR98" i="94" s="1"/>
  <c r="A98" i="94"/>
  <c r="D12" i="94"/>
  <c r="F11" i="94"/>
  <c r="I11" i="94" s="1"/>
  <c r="K11" i="94" s="1"/>
  <c r="K98" i="91" s="1"/>
  <c r="D34" i="94"/>
  <c r="F33" i="94"/>
  <c r="L62" i="95"/>
  <c r="K62" i="95" s="1"/>
  <c r="L9" i="95"/>
  <c r="L11" i="95" s="1"/>
  <c r="L13" i="95" s="1"/>
  <c r="P5" i="95"/>
  <c r="N21" i="95"/>
  <c r="P41" i="95"/>
  <c r="P54" i="95"/>
  <c r="P55" i="95"/>
  <c r="P52" i="95"/>
  <c r="R51" i="95"/>
  <c r="P53" i="95"/>
  <c r="H96" i="30"/>
  <c r="H94" i="30"/>
  <c r="A160" i="68"/>
  <c r="A161" i="68"/>
  <c r="A47" i="88"/>
  <c r="A39" i="36"/>
  <c r="A136" i="68"/>
  <c r="I69" i="11"/>
  <c r="M68" i="11" a="1"/>
  <c r="M68" i="11" s="1"/>
  <c r="L68" i="11" a="1"/>
  <c r="L68" i="11" s="1"/>
  <c r="N68" i="11" a="1"/>
  <c r="N68" i="11" s="1"/>
  <c r="O68" i="11" a="1"/>
  <c r="O68" i="11" s="1"/>
  <c r="D56" i="11" a="1"/>
  <c r="D56" i="11" s="1"/>
  <c r="A55" i="11"/>
  <c r="D55" i="11" a="1"/>
  <c r="D55" i="11" s="1"/>
  <c r="A147" i="11"/>
  <c r="D148" i="11" a="1"/>
  <c r="D148" i="11" s="1"/>
  <c r="A133" i="11"/>
  <c r="D133" i="11" a="1"/>
  <c r="D133" i="11" s="1"/>
  <c r="D134" i="11" a="1"/>
  <c r="D134" i="11" s="1"/>
  <c r="A83" i="11"/>
  <c r="D84" i="11" a="1"/>
  <c r="D84" i="11" s="1"/>
  <c r="D110" i="11" a="1"/>
  <c r="D110" i="11" s="1"/>
  <c r="A109" i="11"/>
  <c r="G14" i="47"/>
  <c r="F14" i="47"/>
  <c r="I14" i="47"/>
  <c r="J9" i="47"/>
  <c r="K6" i="47"/>
  <c r="J14" i="47"/>
  <c r="B16" i="47"/>
  <c r="V41" i="96"/>
  <c r="T43" i="96"/>
  <c r="N9" i="96"/>
  <c r="N11" i="96" s="1"/>
  <c r="N13" i="96" s="1"/>
  <c r="N62" i="96"/>
  <c r="M62" i="96" s="1"/>
  <c r="P21" i="96"/>
  <c r="R5" i="96"/>
  <c r="P62" i="96"/>
  <c r="O62" i="96" s="1"/>
  <c r="P54" i="96"/>
  <c r="P55" i="96"/>
  <c r="P52" i="96"/>
  <c r="R51" i="96"/>
  <c r="P53" i="96"/>
  <c r="D77" i="93"/>
  <c r="E76" i="93"/>
  <c r="AM172" i="93"/>
  <c r="BI172" i="93" s="1"/>
  <c r="AM123" i="93"/>
  <c r="BI123" i="93" s="1"/>
  <c r="AM112" i="93"/>
  <c r="BI112" i="93" s="1"/>
  <c r="AM144" i="93"/>
  <c r="BI144" i="93" s="1"/>
  <c r="AM155" i="93"/>
  <c r="BI155" i="93" s="1"/>
  <c r="AM153" i="93"/>
  <c r="BI153" i="93" s="1"/>
  <c r="AM129" i="93"/>
  <c r="BI129" i="93" s="1"/>
  <c r="AM104" i="93"/>
  <c r="AM170" i="93"/>
  <c r="BI170" i="93" s="1"/>
  <c r="AM168" i="93"/>
  <c r="BI168" i="93" s="1"/>
  <c r="AM166" i="93"/>
  <c r="BI166" i="93" s="1"/>
  <c r="AM92" i="93"/>
  <c r="AM126" i="93"/>
  <c r="AM164" i="93"/>
  <c r="BI164" i="93" s="1"/>
  <c r="AM162" i="93"/>
  <c r="BI162" i="93" s="1"/>
  <c r="AM114" i="93"/>
  <c r="BI114" i="93" s="1"/>
  <c r="AM149" i="93"/>
  <c r="BI149" i="93" s="1"/>
  <c r="AM147" i="93"/>
  <c r="BI147" i="93" s="1"/>
  <c r="AM160" i="93"/>
  <c r="BI160" i="93" s="1"/>
  <c r="AM158" i="93"/>
  <c r="BI158" i="93" s="1"/>
  <c r="AM156" i="93"/>
  <c r="BI156" i="93" s="1"/>
  <c r="AM151" i="93"/>
  <c r="BI151" i="93" s="1"/>
  <c r="AM132" i="93"/>
  <c r="BI132" i="93" s="1"/>
  <c r="AM121" i="93"/>
  <c r="AM119" i="93"/>
  <c r="BI119" i="93" s="1"/>
  <c r="AM117" i="93"/>
  <c r="BI117" i="93" s="1"/>
  <c r="AM111" i="93"/>
  <c r="BI111" i="93" s="1"/>
  <c r="AM109" i="93"/>
  <c r="BI109" i="93" s="1"/>
  <c r="AM107" i="93"/>
  <c r="AM105" i="93"/>
  <c r="BI105" i="93" s="1"/>
  <c r="AM99" i="93"/>
  <c r="BI99" i="93" s="1"/>
  <c r="AM97" i="93"/>
  <c r="BI97" i="93" s="1"/>
  <c r="AM95" i="93"/>
  <c r="BI95" i="93" s="1"/>
  <c r="AM127" i="93"/>
  <c r="BI127" i="93" s="1"/>
  <c r="AM124" i="93"/>
  <c r="BI124" i="93" s="1"/>
  <c r="AM101" i="93"/>
  <c r="BI101" i="93" s="1"/>
  <c r="AM145" i="93"/>
  <c r="BI145" i="93" s="1"/>
  <c r="AM143" i="93"/>
  <c r="BI143" i="93" s="1"/>
  <c r="AM141" i="93"/>
  <c r="BI141" i="93" s="1"/>
  <c r="AM140" i="93"/>
  <c r="BI140" i="93" s="1"/>
  <c r="AM138" i="93"/>
  <c r="BI138" i="93" s="1"/>
  <c r="AM135" i="93"/>
  <c r="BI135" i="93" s="1"/>
  <c r="AM133" i="93"/>
  <c r="AM113" i="93"/>
  <c r="AN91" i="93"/>
  <c r="AM171" i="93"/>
  <c r="BI171" i="93" s="1"/>
  <c r="AM154" i="93"/>
  <c r="BI154" i="93" s="1"/>
  <c r="AM115" i="93"/>
  <c r="BI115" i="93" s="1"/>
  <c r="AM103" i="93"/>
  <c r="BI103" i="93" s="1"/>
  <c r="AM169" i="93"/>
  <c r="BI169" i="93" s="1"/>
  <c r="AM167" i="93"/>
  <c r="BI167" i="93" s="1"/>
  <c r="AM93" i="93"/>
  <c r="BI93" i="93" s="1"/>
  <c r="AX91" i="93"/>
  <c r="BI91" i="93"/>
  <c r="AM125" i="93"/>
  <c r="BI125" i="93" s="1"/>
  <c r="AM134" i="93"/>
  <c r="BI134" i="93" s="1"/>
  <c r="AM165" i="93"/>
  <c r="BI165" i="93" s="1"/>
  <c r="AM163" i="93"/>
  <c r="BI163" i="93" s="1"/>
  <c r="AM161" i="93"/>
  <c r="BI161" i="93" s="1"/>
  <c r="AM130" i="93"/>
  <c r="BI130" i="93" s="1"/>
  <c r="AM150" i="93"/>
  <c r="AM148" i="93"/>
  <c r="AM146" i="93"/>
  <c r="BI146" i="93" s="1"/>
  <c r="AM139" i="93"/>
  <c r="BI139" i="93" s="1"/>
  <c r="AM136" i="93"/>
  <c r="BI136" i="93" s="1"/>
  <c r="AM159" i="93"/>
  <c r="BI159" i="93" s="1"/>
  <c r="AM157" i="93"/>
  <c r="BI157" i="93" s="1"/>
  <c r="AM152" i="93"/>
  <c r="BI152" i="93" s="1"/>
  <c r="AM131" i="93"/>
  <c r="BI131" i="93" s="1"/>
  <c r="AM120" i="93"/>
  <c r="BI120" i="93" s="1"/>
  <c r="AM118" i="93"/>
  <c r="BI118" i="93" s="1"/>
  <c r="AM116" i="93"/>
  <c r="BI116" i="93" s="1"/>
  <c r="AM110" i="93"/>
  <c r="BI110" i="93" s="1"/>
  <c r="AM108" i="93"/>
  <c r="BI108" i="93" s="1"/>
  <c r="AM106" i="93"/>
  <c r="BI106" i="93" s="1"/>
  <c r="AM102" i="93"/>
  <c r="BI102" i="93" s="1"/>
  <c r="AM100" i="93"/>
  <c r="AM98" i="93"/>
  <c r="AM96" i="93"/>
  <c r="BI96" i="93" s="1"/>
  <c r="AM94" i="93"/>
  <c r="BI94" i="93" s="1"/>
  <c r="AM137" i="93"/>
  <c r="BI137" i="93" s="1"/>
  <c r="AM128" i="93"/>
  <c r="BI128" i="93" s="1"/>
  <c r="AM122" i="93"/>
  <c r="BI122" i="93" s="1"/>
  <c r="AM142" i="93"/>
  <c r="BI142" i="93" s="1"/>
  <c r="D14" i="93"/>
  <c r="F13" i="93"/>
  <c r="I13" i="93" s="1"/>
  <c r="K13" i="93" s="1"/>
  <c r="E13" i="93"/>
  <c r="A13" i="93" s="1"/>
  <c r="AG99" i="93"/>
  <c r="S100" i="93"/>
  <c r="A99" i="93"/>
  <c r="I54" i="93"/>
  <c r="F54" i="93"/>
  <c r="D55" i="93"/>
  <c r="F33" i="93"/>
  <c r="D34" i="93"/>
  <c r="AM154" i="94"/>
  <c r="BI154" i="94" s="1"/>
  <c r="AM152" i="94"/>
  <c r="BI152" i="94" s="1"/>
  <c r="AM132" i="94"/>
  <c r="BI132" i="94" s="1"/>
  <c r="AM121" i="94"/>
  <c r="BI121" i="94" s="1"/>
  <c r="AM127" i="94"/>
  <c r="BI127" i="94" s="1"/>
  <c r="AM119" i="94"/>
  <c r="BI119" i="94" s="1"/>
  <c r="AM117" i="94"/>
  <c r="BI117" i="94" s="1"/>
  <c r="AM115" i="94"/>
  <c r="BI115" i="94" s="1"/>
  <c r="AM113" i="94"/>
  <c r="BI113" i="94" s="1"/>
  <c r="AM171" i="94"/>
  <c r="BI171" i="94" s="1"/>
  <c r="AM111" i="94"/>
  <c r="BI111" i="94" s="1"/>
  <c r="AM169" i="94"/>
  <c r="BI169" i="94" s="1"/>
  <c r="AM167" i="94"/>
  <c r="BI167" i="94" s="1"/>
  <c r="AM145" i="94"/>
  <c r="AM143" i="94"/>
  <c r="BI143" i="94" s="1"/>
  <c r="AM141" i="94"/>
  <c r="BI141" i="94" s="1"/>
  <c r="AM138" i="94"/>
  <c r="BI138" i="94" s="1"/>
  <c r="AM133" i="94"/>
  <c r="BI133" i="94" s="1"/>
  <c r="AM124" i="94"/>
  <c r="AM109" i="94"/>
  <c r="BI109" i="94" s="1"/>
  <c r="AM107" i="94"/>
  <c r="BI107" i="94" s="1"/>
  <c r="AM105" i="94"/>
  <c r="BI105" i="94" s="1"/>
  <c r="AM103" i="94"/>
  <c r="BI103" i="94" s="1"/>
  <c r="AM101" i="94"/>
  <c r="BI101" i="94" s="1"/>
  <c r="AM99" i="94"/>
  <c r="BI99" i="94" s="1"/>
  <c r="AM97" i="94"/>
  <c r="BI97" i="94" s="1"/>
  <c r="AM95" i="94"/>
  <c r="BI95" i="94" s="1"/>
  <c r="AM93" i="94"/>
  <c r="BI93" i="94" s="1"/>
  <c r="AN91" i="94"/>
  <c r="AM165" i="94"/>
  <c r="BI165" i="94" s="1"/>
  <c r="AM163" i="94"/>
  <c r="BI163" i="94" s="1"/>
  <c r="AM161" i="94"/>
  <c r="BI161" i="94" s="1"/>
  <c r="AM130" i="94"/>
  <c r="BI130" i="94" s="1"/>
  <c r="AM159" i="94"/>
  <c r="BI159" i="94" s="1"/>
  <c r="AM157" i="94"/>
  <c r="BI157" i="94" s="1"/>
  <c r="AM150" i="94"/>
  <c r="BI150" i="94" s="1"/>
  <c r="AM148" i="94"/>
  <c r="BI148" i="94" s="1"/>
  <c r="AM146" i="94"/>
  <c r="BI146" i="94" s="1"/>
  <c r="AM125" i="94"/>
  <c r="BI125" i="94" s="1"/>
  <c r="AX91" i="94"/>
  <c r="BI91" i="94"/>
  <c r="AM139" i="94"/>
  <c r="BI139" i="94" s="1"/>
  <c r="AM136" i="94"/>
  <c r="BI136" i="94" s="1"/>
  <c r="AM155" i="94"/>
  <c r="BI155" i="94" s="1"/>
  <c r="AM153" i="94"/>
  <c r="BI153" i="94" s="1"/>
  <c r="AM151" i="94"/>
  <c r="BI151" i="94" s="1"/>
  <c r="AM131" i="94"/>
  <c r="BI131" i="94" s="1"/>
  <c r="AM122" i="94"/>
  <c r="BI122" i="94" s="1"/>
  <c r="AM120" i="94"/>
  <c r="BI120" i="94" s="1"/>
  <c r="AM128" i="94"/>
  <c r="BI128" i="94" s="1"/>
  <c r="AM118" i="94"/>
  <c r="BI118" i="94" s="1"/>
  <c r="AM116" i="94"/>
  <c r="BI116" i="94" s="1"/>
  <c r="AM114" i="94"/>
  <c r="BI114" i="94" s="1"/>
  <c r="AM172" i="94"/>
  <c r="BI172" i="94" s="1"/>
  <c r="AM112" i="94"/>
  <c r="BI112" i="94" s="1"/>
  <c r="AM110" i="94"/>
  <c r="BI110" i="94" s="1"/>
  <c r="AM170" i="94"/>
  <c r="BI170" i="94" s="1"/>
  <c r="AM168" i="94"/>
  <c r="BI168" i="94" s="1"/>
  <c r="AM166" i="94"/>
  <c r="BI166" i="94" s="1"/>
  <c r="AM144" i="94"/>
  <c r="BI144" i="94" s="1"/>
  <c r="AM142" i="94"/>
  <c r="BI142" i="94" s="1"/>
  <c r="AM137" i="94"/>
  <c r="BI137" i="94" s="1"/>
  <c r="AM134" i="94"/>
  <c r="BI134" i="94" s="1"/>
  <c r="AM123" i="94"/>
  <c r="BI123" i="94" s="1"/>
  <c r="AM108" i="94"/>
  <c r="BI108" i="94" s="1"/>
  <c r="AM106" i="94"/>
  <c r="BI106" i="94" s="1"/>
  <c r="AM104" i="94"/>
  <c r="BI104" i="94" s="1"/>
  <c r="AM102" i="94"/>
  <c r="BI102" i="94" s="1"/>
  <c r="AM100" i="94"/>
  <c r="BI100" i="94" s="1"/>
  <c r="AM98" i="94"/>
  <c r="BI98" i="94" s="1"/>
  <c r="AM96" i="94"/>
  <c r="BI96" i="94" s="1"/>
  <c r="AM94" i="94"/>
  <c r="BI94" i="94" s="1"/>
  <c r="AM92" i="94"/>
  <c r="BI92" i="94" s="1"/>
  <c r="AM164" i="94"/>
  <c r="BI164" i="94" s="1"/>
  <c r="AM162" i="94"/>
  <c r="BI162" i="94" s="1"/>
  <c r="AM129" i="94"/>
  <c r="BI129" i="94" s="1"/>
  <c r="AM160" i="94"/>
  <c r="BI160" i="94" s="1"/>
  <c r="AM158" i="94"/>
  <c r="BI158" i="94" s="1"/>
  <c r="AM156" i="94"/>
  <c r="BI156" i="94" s="1"/>
  <c r="AM149" i="94"/>
  <c r="BI149" i="94" s="1"/>
  <c r="AM147" i="94"/>
  <c r="BI147" i="94" s="1"/>
  <c r="AM126" i="94"/>
  <c r="BI126" i="94" s="1"/>
  <c r="AM140" i="94"/>
  <c r="BI140" i="94" s="1"/>
  <c r="AM135" i="94"/>
  <c r="BI135" i="94" s="1"/>
  <c r="F54" i="94"/>
  <c r="D55" i="94"/>
  <c r="I54" i="94"/>
  <c r="E75" i="94"/>
  <c r="A75" i="94" s="1"/>
  <c r="D76" i="94"/>
  <c r="D35" i="94"/>
  <c r="F34" i="94"/>
  <c r="E34" i="94"/>
  <c r="A34" i="94" s="1"/>
  <c r="D13" i="94"/>
  <c r="F12" i="94"/>
  <c r="I12" i="94" s="1"/>
  <c r="K12" i="94" s="1"/>
  <c r="L98" i="91" s="1"/>
  <c r="BC98" i="94"/>
  <c r="A99" i="94"/>
  <c r="S100" i="94"/>
  <c r="AG99" i="94"/>
  <c r="BC99" i="94" s="1"/>
  <c r="R55" i="95"/>
  <c r="R52" i="95"/>
  <c r="T51" i="95"/>
  <c r="R53" i="95"/>
  <c r="R54" i="95"/>
  <c r="R41" i="95"/>
  <c r="N62" i="95"/>
  <c r="M62" i="95" s="1"/>
  <c r="N9" i="95"/>
  <c r="N11" i="95" s="1"/>
  <c r="N13" i="95" s="1"/>
  <c r="P21" i="95"/>
  <c r="R5" i="95"/>
  <c r="P62" i="95"/>
  <c r="O62" i="95" s="1"/>
  <c r="I96" i="30"/>
  <c r="I94" i="30"/>
  <c r="A137" i="68"/>
  <c r="O69" i="11" a="1"/>
  <c r="O69" i="11" s="1"/>
  <c r="I70" i="11"/>
  <c r="M69" i="11" a="1"/>
  <c r="M69" i="11" s="1"/>
  <c r="L69" i="11" a="1"/>
  <c r="L69" i="11" s="1"/>
  <c r="N69" i="11" a="1"/>
  <c r="N69" i="11" s="1"/>
  <c r="D109" i="11" a="1"/>
  <c r="D109" i="11" s="1"/>
  <c r="A108" i="11"/>
  <c r="A82" i="11"/>
  <c r="D83" i="11" a="1"/>
  <c r="D83" i="11" s="1"/>
  <c r="A146" i="11"/>
  <c r="D147" i="11" a="1"/>
  <c r="D147" i="11" s="1"/>
  <c r="B17" i="47"/>
  <c r="K9" i="47"/>
  <c r="L6" i="47"/>
  <c r="K14" i="47"/>
  <c r="I98" i="57"/>
  <c r="I96" i="57"/>
  <c r="R55" i="96"/>
  <c r="R52" i="96"/>
  <c r="T51" i="96"/>
  <c r="R53" i="96"/>
  <c r="R54" i="96"/>
  <c r="R21" i="96"/>
  <c r="T5" i="96"/>
  <c r="X41" i="96"/>
  <c r="V43" i="96"/>
  <c r="E77" i="93"/>
  <c r="D78" i="93"/>
  <c r="AN144" i="93"/>
  <c r="BJ144" i="93" s="1"/>
  <c r="AN142" i="93"/>
  <c r="BJ142" i="93" s="1"/>
  <c r="AN137" i="93"/>
  <c r="BJ137" i="93" s="1"/>
  <c r="AN134" i="93"/>
  <c r="AN122" i="93"/>
  <c r="BJ122" i="93" s="1"/>
  <c r="AN155" i="93"/>
  <c r="BJ155" i="93" s="1"/>
  <c r="AN153" i="93"/>
  <c r="BJ153" i="93" s="1"/>
  <c r="AN151" i="93"/>
  <c r="BJ151" i="93" s="1"/>
  <c r="AN129" i="93"/>
  <c r="BJ129" i="93" s="1"/>
  <c r="AN170" i="93"/>
  <c r="BJ170" i="93" s="1"/>
  <c r="AN168" i="93"/>
  <c r="BJ168" i="93" s="1"/>
  <c r="AN166" i="93"/>
  <c r="BJ166" i="93" s="1"/>
  <c r="AN114" i="93"/>
  <c r="BJ114" i="93" s="1"/>
  <c r="AN126" i="93"/>
  <c r="BJ126" i="93" s="1"/>
  <c r="AN164" i="93"/>
  <c r="BJ164" i="93" s="1"/>
  <c r="AN162" i="93"/>
  <c r="BJ162" i="93" s="1"/>
  <c r="AN92" i="93"/>
  <c r="BJ92" i="93" s="1"/>
  <c r="AN149" i="93"/>
  <c r="BJ149" i="93" s="1"/>
  <c r="AN147" i="93"/>
  <c r="BJ147" i="93" s="1"/>
  <c r="AN140" i="93"/>
  <c r="BJ140" i="93" s="1"/>
  <c r="AN135" i="93"/>
  <c r="AN160" i="93"/>
  <c r="AN158" i="93"/>
  <c r="BJ158" i="93" s="1"/>
  <c r="AN156" i="93"/>
  <c r="BJ156" i="93" s="1"/>
  <c r="AN132" i="93"/>
  <c r="BJ132" i="93" s="1"/>
  <c r="AN121" i="93"/>
  <c r="BJ121" i="93" s="1"/>
  <c r="AN119" i="93"/>
  <c r="BJ119" i="93" s="1"/>
  <c r="AN117" i="93"/>
  <c r="BJ117" i="93" s="1"/>
  <c r="AN115" i="93"/>
  <c r="BJ115" i="93" s="1"/>
  <c r="AN111" i="93"/>
  <c r="BJ111" i="93" s="1"/>
  <c r="AN109" i="93"/>
  <c r="BJ109" i="93" s="1"/>
  <c r="AN107" i="93"/>
  <c r="BJ107" i="93" s="1"/>
  <c r="AN105" i="93"/>
  <c r="BJ105" i="93" s="1"/>
  <c r="AN103" i="93"/>
  <c r="BJ103" i="93" s="1"/>
  <c r="AN99" i="93"/>
  <c r="BJ99" i="93" s="1"/>
  <c r="AN97" i="93"/>
  <c r="AN95" i="93"/>
  <c r="BJ95" i="93" s="1"/>
  <c r="AN127" i="93"/>
  <c r="BJ127" i="93" s="1"/>
  <c r="AN93" i="93"/>
  <c r="AN112" i="93"/>
  <c r="AN124" i="93"/>
  <c r="BJ124" i="93" s="1"/>
  <c r="AN145" i="93"/>
  <c r="BJ145" i="93" s="1"/>
  <c r="AN143" i="93"/>
  <c r="BJ143" i="93" s="1"/>
  <c r="AN141" i="93"/>
  <c r="BJ141" i="93" s="1"/>
  <c r="AN138" i="93"/>
  <c r="BJ138" i="93" s="1"/>
  <c r="AN133" i="93"/>
  <c r="BJ133" i="93" s="1"/>
  <c r="AN171" i="93"/>
  <c r="BJ171" i="93" s="1"/>
  <c r="AN154" i="93"/>
  <c r="BJ154" i="93" s="1"/>
  <c r="AN152" i="93"/>
  <c r="BJ152" i="93" s="1"/>
  <c r="AN101" i="93"/>
  <c r="BJ101" i="93" s="1"/>
  <c r="AY91" i="93"/>
  <c r="BJ91" i="93"/>
  <c r="AN169" i="93"/>
  <c r="BJ169" i="93" s="1"/>
  <c r="AN167" i="93"/>
  <c r="BJ167" i="93" s="1"/>
  <c r="AN113" i="93"/>
  <c r="BJ113" i="93" s="1"/>
  <c r="AO91" i="93"/>
  <c r="AN125" i="93"/>
  <c r="BJ125" i="93" s="1"/>
  <c r="AN165" i="93"/>
  <c r="BJ165" i="93" s="1"/>
  <c r="AN163" i="93"/>
  <c r="BJ163" i="93" s="1"/>
  <c r="AN161" i="93"/>
  <c r="BJ161" i="93" s="1"/>
  <c r="AN150" i="93"/>
  <c r="BJ150" i="93" s="1"/>
  <c r="AN148" i="93"/>
  <c r="BJ148" i="93" s="1"/>
  <c r="AN146" i="93"/>
  <c r="BJ146" i="93" s="1"/>
  <c r="AN139" i="93"/>
  <c r="BJ139" i="93" s="1"/>
  <c r="AN136" i="93"/>
  <c r="BJ136" i="93" s="1"/>
  <c r="AN159" i="93"/>
  <c r="BJ159" i="93" s="1"/>
  <c r="AN157" i="93"/>
  <c r="BJ157" i="93" s="1"/>
  <c r="AN131" i="93"/>
  <c r="BJ131" i="93" s="1"/>
  <c r="AN130" i="93"/>
  <c r="BJ130" i="93" s="1"/>
  <c r="AN120" i="93"/>
  <c r="BJ120" i="93" s="1"/>
  <c r="AN118" i="93"/>
  <c r="AN116" i="93"/>
  <c r="AN110" i="93"/>
  <c r="BJ110" i="93" s="1"/>
  <c r="AN108" i="93"/>
  <c r="BJ108" i="93" s="1"/>
  <c r="AN106" i="93"/>
  <c r="BJ106" i="93" s="1"/>
  <c r="AN104" i="93"/>
  <c r="BJ104" i="93" s="1"/>
  <c r="AN102" i="93"/>
  <c r="BJ102" i="93" s="1"/>
  <c r="AN100" i="93"/>
  <c r="BJ100" i="93" s="1"/>
  <c r="AN98" i="93"/>
  <c r="BJ98" i="93" s="1"/>
  <c r="AN96" i="93"/>
  <c r="BJ96" i="93" s="1"/>
  <c r="AN94" i="93"/>
  <c r="BJ94" i="93" s="1"/>
  <c r="AN128" i="93"/>
  <c r="BJ128" i="93" s="1"/>
  <c r="AN172" i="93"/>
  <c r="BJ172" i="93" s="1"/>
  <c r="AN123" i="93"/>
  <c r="BJ123" i="93" s="1"/>
  <c r="F55" i="93"/>
  <c r="E55" i="93"/>
  <c r="A55" i="93" s="1"/>
  <c r="D56" i="93"/>
  <c r="I55" i="93"/>
  <c r="AG100" i="93"/>
  <c r="BC100" i="93" s="1"/>
  <c r="S101" i="93"/>
  <c r="A100" i="93"/>
  <c r="BC99" i="93"/>
  <c r="AR99" i="93"/>
  <c r="D15" i="93"/>
  <c r="F14" i="93"/>
  <c r="I14" i="93" s="1"/>
  <c r="K14" i="93" s="1"/>
  <c r="E14" i="93"/>
  <c r="A14" i="93" s="1"/>
  <c r="F34" i="93"/>
  <c r="E34" i="93"/>
  <c r="A34" i="93" s="1"/>
  <c r="D35" i="93"/>
  <c r="D56" i="94"/>
  <c r="I55" i="94"/>
  <c r="F55" i="94"/>
  <c r="E55" i="94"/>
  <c r="A55" i="94" s="1"/>
  <c r="AN121" i="94"/>
  <c r="BJ121" i="94" s="1"/>
  <c r="AN127" i="94"/>
  <c r="BJ127" i="94" s="1"/>
  <c r="AN119" i="94"/>
  <c r="BJ119" i="94" s="1"/>
  <c r="AN117" i="94"/>
  <c r="BJ117" i="94" s="1"/>
  <c r="AN115" i="94"/>
  <c r="BJ115" i="94" s="1"/>
  <c r="AN113" i="94"/>
  <c r="BJ113" i="94" s="1"/>
  <c r="AN171" i="94"/>
  <c r="BJ171" i="94" s="1"/>
  <c r="AN111" i="94"/>
  <c r="BJ111" i="94" s="1"/>
  <c r="AN169" i="94"/>
  <c r="BJ169" i="94" s="1"/>
  <c r="AN167" i="94"/>
  <c r="BJ167" i="94" s="1"/>
  <c r="AN145" i="94"/>
  <c r="BJ145" i="94" s="1"/>
  <c r="AN143" i="94"/>
  <c r="BJ143" i="94" s="1"/>
  <c r="AN141" i="94"/>
  <c r="BJ141" i="94" s="1"/>
  <c r="AN138" i="94"/>
  <c r="BJ138" i="94" s="1"/>
  <c r="AN133" i="94"/>
  <c r="BJ133" i="94" s="1"/>
  <c r="AN124" i="94"/>
  <c r="BJ124" i="94" s="1"/>
  <c r="AN109" i="94"/>
  <c r="BJ109" i="94" s="1"/>
  <c r="AN107" i="94"/>
  <c r="BJ107" i="94" s="1"/>
  <c r="AN105" i="94"/>
  <c r="BJ105" i="94" s="1"/>
  <c r="AN103" i="94"/>
  <c r="BJ103" i="94" s="1"/>
  <c r="AN101" i="94"/>
  <c r="BJ101" i="94" s="1"/>
  <c r="AN99" i="94"/>
  <c r="BJ99" i="94" s="1"/>
  <c r="AN97" i="94"/>
  <c r="BJ97" i="94" s="1"/>
  <c r="AN95" i="94"/>
  <c r="BJ95" i="94" s="1"/>
  <c r="AN93" i="94"/>
  <c r="AN165" i="94"/>
  <c r="BJ165" i="94" s="1"/>
  <c r="AN163" i="94"/>
  <c r="BJ163" i="94" s="1"/>
  <c r="AN161" i="94"/>
  <c r="BJ161" i="94" s="1"/>
  <c r="AN130" i="94"/>
  <c r="BJ130" i="94" s="1"/>
  <c r="AO91" i="94"/>
  <c r="AN159" i="94"/>
  <c r="BJ159" i="94" s="1"/>
  <c r="AN157" i="94"/>
  <c r="BJ157" i="94" s="1"/>
  <c r="AN150" i="94"/>
  <c r="BJ150" i="94" s="1"/>
  <c r="AN148" i="94"/>
  <c r="BJ148" i="94" s="1"/>
  <c r="AN146" i="94"/>
  <c r="BJ146" i="94" s="1"/>
  <c r="AY91" i="94"/>
  <c r="BJ91" i="94"/>
  <c r="AN125" i="94"/>
  <c r="BJ125" i="94" s="1"/>
  <c r="AN139" i="94"/>
  <c r="BJ139" i="94" s="1"/>
  <c r="AN136" i="94"/>
  <c r="BJ136" i="94" s="1"/>
  <c r="AN155" i="94"/>
  <c r="BJ155" i="94" s="1"/>
  <c r="AN153" i="94"/>
  <c r="BJ153" i="94" s="1"/>
  <c r="AN151" i="94"/>
  <c r="BJ151" i="94" s="1"/>
  <c r="AN131" i="94"/>
  <c r="BJ131" i="94" s="1"/>
  <c r="AN122" i="94"/>
  <c r="BJ122" i="94" s="1"/>
  <c r="AN120" i="94"/>
  <c r="BJ120" i="94" s="1"/>
  <c r="AN128" i="94"/>
  <c r="BJ128" i="94" s="1"/>
  <c r="AN118" i="94"/>
  <c r="BJ118" i="94" s="1"/>
  <c r="AN116" i="94"/>
  <c r="BJ116" i="94" s="1"/>
  <c r="AN114" i="94"/>
  <c r="BJ114" i="94" s="1"/>
  <c r="AN172" i="94"/>
  <c r="BJ172" i="94" s="1"/>
  <c r="AN112" i="94"/>
  <c r="BJ112" i="94" s="1"/>
  <c r="AN110" i="94"/>
  <c r="BJ110" i="94" s="1"/>
  <c r="AN170" i="94"/>
  <c r="BJ170" i="94" s="1"/>
  <c r="AN168" i="94"/>
  <c r="BJ168" i="94" s="1"/>
  <c r="AN166" i="94"/>
  <c r="BJ166" i="94" s="1"/>
  <c r="AN144" i="94"/>
  <c r="BJ144" i="94" s="1"/>
  <c r="AN142" i="94"/>
  <c r="BJ142" i="94" s="1"/>
  <c r="AN137" i="94"/>
  <c r="BJ137" i="94" s="1"/>
  <c r="AN134" i="94"/>
  <c r="BJ134" i="94" s="1"/>
  <c r="AN123" i="94"/>
  <c r="BJ123" i="94" s="1"/>
  <c r="AN108" i="94"/>
  <c r="BJ108" i="94" s="1"/>
  <c r="AN106" i="94"/>
  <c r="BJ106" i="94" s="1"/>
  <c r="AN104" i="94"/>
  <c r="BJ104" i="94" s="1"/>
  <c r="AN102" i="94"/>
  <c r="BJ102" i="94" s="1"/>
  <c r="AN100" i="94"/>
  <c r="AN98" i="94"/>
  <c r="BJ98" i="94" s="1"/>
  <c r="AN96" i="94"/>
  <c r="BJ96" i="94" s="1"/>
  <c r="AN94" i="94"/>
  <c r="BJ94" i="94" s="1"/>
  <c r="AN92" i="94"/>
  <c r="BJ92" i="94" s="1"/>
  <c r="AN164" i="94"/>
  <c r="BJ164" i="94" s="1"/>
  <c r="AN162" i="94"/>
  <c r="BJ162" i="94" s="1"/>
  <c r="AN129" i="94"/>
  <c r="BJ129" i="94" s="1"/>
  <c r="AN160" i="94"/>
  <c r="BJ160" i="94" s="1"/>
  <c r="AN158" i="94"/>
  <c r="BJ158" i="94" s="1"/>
  <c r="AN156" i="94"/>
  <c r="BJ156" i="94" s="1"/>
  <c r="AN149" i="94"/>
  <c r="BJ149" i="94" s="1"/>
  <c r="AN147" i="94"/>
  <c r="BJ147" i="94" s="1"/>
  <c r="AN126" i="94"/>
  <c r="BJ126" i="94" s="1"/>
  <c r="AN140" i="94"/>
  <c r="BJ140" i="94" s="1"/>
  <c r="AN135" i="94"/>
  <c r="BJ135" i="94" s="1"/>
  <c r="AN154" i="94"/>
  <c r="BJ154" i="94" s="1"/>
  <c r="AN152" i="94"/>
  <c r="BJ152" i="94" s="1"/>
  <c r="AN132" i="94"/>
  <c r="BJ132" i="94" s="1"/>
  <c r="E76" i="94"/>
  <c r="A76" i="94" s="1"/>
  <c r="D77" i="94"/>
  <c r="D14" i="94"/>
  <c r="F13" i="94"/>
  <c r="I13" i="94" s="1"/>
  <c r="K13" i="94" s="1"/>
  <c r="E13" i="94"/>
  <c r="A13" i="94" s="1"/>
  <c r="D36" i="94"/>
  <c r="F35" i="94"/>
  <c r="E35" i="94"/>
  <c r="A35" i="94" s="1"/>
  <c r="S101" i="94"/>
  <c r="A100" i="94"/>
  <c r="AG100" i="94"/>
  <c r="AR100" i="94" s="1"/>
  <c r="R21" i="95"/>
  <c r="T5" i="95"/>
  <c r="T41" i="95"/>
  <c r="R43" i="95"/>
  <c r="T55" i="95"/>
  <c r="T52" i="95"/>
  <c r="T53" i="95"/>
  <c r="V51" i="95"/>
  <c r="T54" i="95"/>
  <c r="A138" i="68"/>
  <c r="N70" i="11" a="1"/>
  <c r="N70" i="11" s="1"/>
  <c r="L70" i="11" a="1"/>
  <c r="L70" i="11" s="1"/>
  <c r="O70" i="11" a="1"/>
  <c r="O70" i="11" s="1"/>
  <c r="M70" i="11" a="1"/>
  <c r="M70" i="11" s="1"/>
  <c r="I71" i="11"/>
  <c r="D146" i="11" a="1"/>
  <c r="D146" i="11" s="1"/>
  <c r="A145" i="11"/>
  <c r="D145" i="11" a="1"/>
  <c r="D145" i="11" s="1"/>
  <c r="A81" i="11"/>
  <c r="D81" i="11" a="1"/>
  <c r="D81" i="11" s="1"/>
  <c r="F81" i="11" s="1"/>
  <c r="D82" i="11" a="1"/>
  <c r="D82" i="11" s="1"/>
  <c r="D108" i="11" a="1"/>
  <c r="D108" i="11" s="1"/>
  <c r="A107" i="11"/>
  <c r="D107" i="11" a="1"/>
  <c r="D107" i="11" s="1"/>
  <c r="I69" i="57"/>
  <c r="I77" i="57"/>
  <c r="M6" i="47"/>
  <c r="L9" i="47"/>
  <c r="L14" i="47"/>
  <c r="B18" i="47"/>
  <c r="Z41" i="96"/>
  <c r="X43" i="96"/>
  <c r="R62" i="96"/>
  <c r="Q62" i="96" s="1"/>
  <c r="R9" i="96"/>
  <c r="R11" i="96" s="1"/>
  <c r="R13" i="96" s="1"/>
  <c r="T21" i="96"/>
  <c r="V5" i="96"/>
  <c r="T62" i="96"/>
  <c r="S62" i="96" s="1"/>
  <c r="T55" i="96"/>
  <c r="T52" i="96"/>
  <c r="T53" i="96"/>
  <c r="V51" i="96"/>
  <c r="T54" i="96"/>
  <c r="E78" i="93"/>
  <c r="A78" i="93" s="1"/>
  <c r="D79" i="93"/>
  <c r="AO155" i="93"/>
  <c r="BK155" i="93" s="1"/>
  <c r="AO153" i="93"/>
  <c r="AO151" i="93"/>
  <c r="BK151" i="93" s="1"/>
  <c r="AO129" i="93"/>
  <c r="BK129" i="93" s="1"/>
  <c r="AO170" i="93"/>
  <c r="BK170" i="93" s="1"/>
  <c r="AO168" i="93"/>
  <c r="BK168" i="93" s="1"/>
  <c r="AO166" i="93"/>
  <c r="BK166" i="93" s="1"/>
  <c r="AO122" i="93"/>
  <c r="BK122" i="93" s="1"/>
  <c r="AO126" i="93"/>
  <c r="BK126" i="93" s="1"/>
  <c r="AO112" i="93"/>
  <c r="BK112" i="93" s="1"/>
  <c r="AO164" i="93"/>
  <c r="BK164" i="93" s="1"/>
  <c r="AO162" i="93"/>
  <c r="BK162" i="93" s="1"/>
  <c r="AO149" i="93"/>
  <c r="BK149" i="93" s="1"/>
  <c r="AO147" i="93"/>
  <c r="BK147" i="93" s="1"/>
  <c r="AO140" i="93"/>
  <c r="BK140" i="93" s="1"/>
  <c r="AO135" i="93"/>
  <c r="BK135" i="93" s="1"/>
  <c r="AO160" i="93"/>
  <c r="BK160" i="93" s="1"/>
  <c r="AO158" i="93"/>
  <c r="BK158" i="93" s="1"/>
  <c r="AO156" i="93"/>
  <c r="BK156" i="93" s="1"/>
  <c r="AO132" i="93"/>
  <c r="BK132" i="93" s="1"/>
  <c r="AO121" i="93"/>
  <c r="BK121" i="93" s="1"/>
  <c r="AO119" i="93"/>
  <c r="BK119" i="93" s="1"/>
  <c r="AO117" i="93"/>
  <c r="BK117" i="93" s="1"/>
  <c r="AO115" i="93"/>
  <c r="BK115" i="93" s="1"/>
  <c r="AO113" i="93"/>
  <c r="BK113" i="93" s="1"/>
  <c r="AO111" i="93"/>
  <c r="BK111" i="93" s="1"/>
  <c r="AO109" i="93"/>
  <c r="BK109" i="93" s="1"/>
  <c r="AO107" i="93"/>
  <c r="BK107" i="93" s="1"/>
  <c r="AO105" i="93"/>
  <c r="BK105" i="93" s="1"/>
  <c r="AO103" i="93"/>
  <c r="BK103" i="93" s="1"/>
  <c r="AO99" i="93"/>
  <c r="AO97" i="93"/>
  <c r="BK97" i="93" s="1"/>
  <c r="AO95" i="93"/>
  <c r="AO127" i="93"/>
  <c r="BK127" i="93" s="1"/>
  <c r="AO93" i="93"/>
  <c r="AO124" i="93"/>
  <c r="BK124" i="93" s="1"/>
  <c r="AO145" i="93"/>
  <c r="AO143" i="93"/>
  <c r="BK143" i="93" s="1"/>
  <c r="AO141" i="93"/>
  <c r="BK141" i="93" s="1"/>
  <c r="AO138" i="93"/>
  <c r="BK138" i="93" s="1"/>
  <c r="AO133" i="93"/>
  <c r="BK133" i="93" s="1"/>
  <c r="AZ91" i="93"/>
  <c r="BK91" i="93"/>
  <c r="AO171" i="93"/>
  <c r="BK171" i="93" s="1"/>
  <c r="AO154" i="93"/>
  <c r="BK154" i="93" s="1"/>
  <c r="AO152" i="93"/>
  <c r="BK152" i="93" s="1"/>
  <c r="AO169" i="93"/>
  <c r="BK169" i="93" s="1"/>
  <c r="AO167" i="93"/>
  <c r="BK167" i="93" s="1"/>
  <c r="AO125" i="93"/>
  <c r="BK125" i="93" s="1"/>
  <c r="AO101" i="93"/>
  <c r="AO165" i="93"/>
  <c r="BK165" i="93" s="1"/>
  <c r="AO163" i="93"/>
  <c r="BK163" i="93" s="1"/>
  <c r="AO161" i="93"/>
  <c r="AP91" i="93"/>
  <c r="AO150" i="93"/>
  <c r="BK150" i="93" s="1"/>
  <c r="AO148" i="93"/>
  <c r="BK148" i="93" s="1"/>
  <c r="AO146" i="93"/>
  <c r="BK146" i="93" s="1"/>
  <c r="AO139" i="93"/>
  <c r="BK139" i="93" s="1"/>
  <c r="AO136" i="93"/>
  <c r="BK136" i="93" s="1"/>
  <c r="AO159" i="93"/>
  <c r="BK159" i="93" s="1"/>
  <c r="AO157" i="93"/>
  <c r="BK157" i="93" s="1"/>
  <c r="AO131" i="93"/>
  <c r="AO120" i="93"/>
  <c r="BK120" i="93" s="1"/>
  <c r="AO118" i="93"/>
  <c r="BK118" i="93" s="1"/>
  <c r="AO116" i="93"/>
  <c r="BK116" i="93" s="1"/>
  <c r="AO114" i="93"/>
  <c r="BK114" i="93" s="1"/>
  <c r="AO110" i="93"/>
  <c r="BK110" i="93" s="1"/>
  <c r="AO108" i="93"/>
  <c r="BK108" i="93" s="1"/>
  <c r="AO106" i="93"/>
  <c r="BK106" i="93" s="1"/>
  <c r="AO104" i="93"/>
  <c r="BK104" i="93" s="1"/>
  <c r="AO102" i="93"/>
  <c r="AO100" i="93"/>
  <c r="BK100" i="93" s="1"/>
  <c r="AO98" i="93"/>
  <c r="AO96" i="93"/>
  <c r="BK96" i="93" s="1"/>
  <c r="AO94" i="93"/>
  <c r="BK94" i="93" s="1"/>
  <c r="AO128" i="93"/>
  <c r="BK128" i="93" s="1"/>
  <c r="AO130" i="93"/>
  <c r="AO92" i="93"/>
  <c r="BK92" i="93" s="1"/>
  <c r="AO172" i="93"/>
  <c r="BK172" i="93" s="1"/>
  <c r="AO123" i="93"/>
  <c r="BK123" i="93" s="1"/>
  <c r="AO144" i="93"/>
  <c r="BK144" i="93" s="1"/>
  <c r="AO142" i="93"/>
  <c r="BK142" i="93" s="1"/>
  <c r="AO137" i="93"/>
  <c r="BK137" i="93" s="1"/>
  <c r="AO134" i="93"/>
  <c r="BK134" i="93" s="1"/>
  <c r="D36" i="93"/>
  <c r="F35" i="93"/>
  <c r="E35" i="93"/>
  <c r="A35" i="93" s="1"/>
  <c r="AG101" i="93"/>
  <c r="AR101" i="93" s="1"/>
  <c r="S102" i="93"/>
  <c r="A101" i="93"/>
  <c r="D16" i="93"/>
  <c r="F15" i="93"/>
  <c r="I15" i="93" s="1"/>
  <c r="K15" i="93" s="1"/>
  <c r="E15" i="93"/>
  <c r="A15" i="93" s="1"/>
  <c r="I56" i="93"/>
  <c r="F56" i="93"/>
  <c r="E56" i="93"/>
  <c r="A56" i="93" s="1"/>
  <c r="D57" i="93"/>
  <c r="AO127" i="94"/>
  <c r="BK127" i="94" s="1"/>
  <c r="AO119" i="94"/>
  <c r="BK119" i="94" s="1"/>
  <c r="AO117" i="94"/>
  <c r="BK117" i="94" s="1"/>
  <c r="AO115" i="94"/>
  <c r="BK115" i="94" s="1"/>
  <c r="AO113" i="94"/>
  <c r="BK113" i="94" s="1"/>
  <c r="AO171" i="94"/>
  <c r="BK171" i="94" s="1"/>
  <c r="AO111" i="94"/>
  <c r="BK111" i="94" s="1"/>
  <c r="AO169" i="94"/>
  <c r="BK169" i="94" s="1"/>
  <c r="AO167" i="94"/>
  <c r="BK167" i="94" s="1"/>
  <c r="AO145" i="94"/>
  <c r="BK145" i="94" s="1"/>
  <c r="AO143" i="94"/>
  <c r="BK143" i="94" s="1"/>
  <c r="AO141" i="94"/>
  <c r="BK141" i="94" s="1"/>
  <c r="AO138" i="94"/>
  <c r="BK138" i="94" s="1"/>
  <c r="AO133" i="94"/>
  <c r="BK133" i="94" s="1"/>
  <c r="AO124" i="94"/>
  <c r="BK124" i="94" s="1"/>
  <c r="AO109" i="94"/>
  <c r="BK109" i="94" s="1"/>
  <c r="AO107" i="94"/>
  <c r="BK107" i="94" s="1"/>
  <c r="AO105" i="94"/>
  <c r="BK105" i="94" s="1"/>
  <c r="AO103" i="94"/>
  <c r="BK103" i="94" s="1"/>
  <c r="AO101" i="94"/>
  <c r="BK101" i="94" s="1"/>
  <c r="AO99" i="94"/>
  <c r="BK99" i="94" s="1"/>
  <c r="AO97" i="94"/>
  <c r="BK97" i="94" s="1"/>
  <c r="AO95" i="94"/>
  <c r="BK95" i="94" s="1"/>
  <c r="AO93" i="94"/>
  <c r="AO165" i="94"/>
  <c r="BK165" i="94" s="1"/>
  <c r="AO163" i="94"/>
  <c r="BK163" i="94" s="1"/>
  <c r="AO161" i="94"/>
  <c r="BK161" i="94" s="1"/>
  <c r="AO130" i="94"/>
  <c r="AZ91" i="94"/>
  <c r="BK91" i="94"/>
  <c r="AO159" i="94"/>
  <c r="BK159" i="94" s="1"/>
  <c r="AO157" i="94"/>
  <c r="BK157" i="94" s="1"/>
  <c r="AO150" i="94"/>
  <c r="BK150" i="94" s="1"/>
  <c r="AO148" i="94"/>
  <c r="BK148" i="94" s="1"/>
  <c r="AO146" i="94"/>
  <c r="BK146" i="94" s="1"/>
  <c r="AO125" i="94"/>
  <c r="BK125" i="94" s="1"/>
  <c r="AP91" i="94"/>
  <c r="AO139" i="94"/>
  <c r="BK139" i="94" s="1"/>
  <c r="AO136" i="94"/>
  <c r="BK136" i="94" s="1"/>
  <c r="AO155" i="94"/>
  <c r="BK155" i="94" s="1"/>
  <c r="AO153" i="94"/>
  <c r="BK153" i="94" s="1"/>
  <c r="AO151" i="94"/>
  <c r="BK151" i="94" s="1"/>
  <c r="AO131" i="94"/>
  <c r="BK131" i="94" s="1"/>
  <c r="AO122" i="94"/>
  <c r="BK122" i="94" s="1"/>
  <c r="AO120" i="94"/>
  <c r="BK120" i="94" s="1"/>
  <c r="AO128" i="94"/>
  <c r="BK128" i="94" s="1"/>
  <c r="AO118" i="94"/>
  <c r="BK118" i="94" s="1"/>
  <c r="AO116" i="94"/>
  <c r="BK116" i="94" s="1"/>
  <c r="AO114" i="94"/>
  <c r="BK114" i="94" s="1"/>
  <c r="AO172" i="94"/>
  <c r="BK172" i="94" s="1"/>
  <c r="AO112" i="94"/>
  <c r="BK112" i="94" s="1"/>
  <c r="AO110" i="94"/>
  <c r="BK110" i="94" s="1"/>
  <c r="AO170" i="94"/>
  <c r="BK170" i="94" s="1"/>
  <c r="AO168" i="94"/>
  <c r="BK168" i="94" s="1"/>
  <c r="AO166" i="94"/>
  <c r="BK166" i="94" s="1"/>
  <c r="AO144" i="94"/>
  <c r="BK144" i="94" s="1"/>
  <c r="AO142" i="94"/>
  <c r="BK142" i="94" s="1"/>
  <c r="AO137" i="94"/>
  <c r="BK137" i="94" s="1"/>
  <c r="AO134" i="94"/>
  <c r="BK134" i="94" s="1"/>
  <c r="AO123" i="94"/>
  <c r="BK123" i="94" s="1"/>
  <c r="AO108" i="94"/>
  <c r="BK108" i="94" s="1"/>
  <c r="AO106" i="94"/>
  <c r="BK106" i="94" s="1"/>
  <c r="AO104" i="94"/>
  <c r="BK104" i="94" s="1"/>
  <c r="AO102" i="94"/>
  <c r="BK102" i="94" s="1"/>
  <c r="AO100" i="94"/>
  <c r="AO98" i="94"/>
  <c r="BK98" i="94" s="1"/>
  <c r="AO96" i="94"/>
  <c r="AO94" i="94"/>
  <c r="BK94" i="94" s="1"/>
  <c r="AO92" i="94"/>
  <c r="BK92" i="94" s="1"/>
  <c r="AO164" i="94"/>
  <c r="BK164" i="94" s="1"/>
  <c r="AO162" i="94"/>
  <c r="BK162" i="94" s="1"/>
  <c r="AO129" i="94"/>
  <c r="BK129" i="94" s="1"/>
  <c r="AO160" i="94"/>
  <c r="BK160" i="94" s="1"/>
  <c r="AO158" i="94"/>
  <c r="BK158" i="94" s="1"/>
  <c r="AO156" i="94"/>
  <c r="BK156" i="94" s="1"/>
  <c r="AO149" i="94"/>
  <c r="BK149" i="94" s="1"/>
  <c r="AO147" i="94"/>
  <c r="BK147" i="94" s="1"/>
  <c r="AO126" i="94"/>
  <c r="BK126" i="94" s="1"/>
  <c r="AO140" i="94"/>
  <c r="BK140" i="94" s="1"/>
  <c r="AO135" i="94"/>
  <c r="BK135" i="94" s="1"/>
  <c r="AO154" i="94"/>
  <c r="BK154" i="94" s="1"/>
  <c r="AO152" i="94"/>
  <c r="BK152" i="94" s="1"/>
  <c r="AO132" i="94"/>
  <c r="BK132" i="94" s="1"/>
  <c r="AO121" i="94"/>
  <c r="BK121" i="94" s="1"/>
  <c r="I56" i="94"/>
  <c r="F56" i="94"/>
  <c r="E56" i="94"/>
  <c r="A56" i="94" s="1"/>
  <c r="D57" i="94"/>
  <c r="D78" i="94"/>
  <c r="E77" i="94"/>
  <c r="A77" i="94" s="1"/>
  <c r="AG101" i="94"/>
  <c r="AR101" i="94" s="1"/>
  <c r="S102" i="94"/>
  <c r="A101" i="94"/>
  <c r="F36" i="94"/>
  <c r="D37" i="94"/>
  <c r="E36" i="94"/>
  <c r="A36" i="94" s="1"/>
  <c r="F14" i="94"/>
  <c r="I14" i="94" s="1"/>
  <c r="K14" i="94" s="1"/>
  <c r="E14" i="94"/>
  <c r="A14" i="94" s="1"/>
  <c r="D15" i="94"/>
  <c r="V55" i="95"/>
  <c r="V52" i="95"/>
  <c r="V53" i="95"/>
  <c r="X51" i="95"/>
  <c r="V54" i="95"/>
  <c r="V41" i="95"/>
  <c r="T43" i="95"/>
  <c r="R9" i="95"/>
  <c r="R11" i="95" s="1"/>
  <c r="R13" i="95" s="1"/>
  <c r="R62" i="95"/>
  <c r="Q62" i="95" s="1"/>
  <c r="T21" i="95"/>
  <c r="V5" i="95"/>
  <c r="T62" i="95"/>
  <c r="S62" i="95" s="1"/>
  <c r="A139" i="68"/>
  <c r="A122" i="68"/>
  <c r="M71" i="11" a="1"/>
  <c r="M71" i="11" s="1"/>
  <c r="O71" i="11" a="1"/>
  <c r="O71" i="11" s="1"/>
  <c r="N71" i="11" a="1"/>
  <c r="N71" i="11" s="1"/>
  <c r="I72" i="11"/>
  <c r="L71" i="11" a="1"/>
  <c r="L71" i="11" s="1"/>
  <c r="B19" i="47"/>
  <c r="N6" i="47"/>
  <c r="M9" i="47"/>
  <c r="M14" i="47"/>
  <c r="V55" i="96"/>
  <c r="V52" i="96"/>
  <c r="V53" i="96"/>
  <c r="X51" i="96"/>
  <c r="V54" i="96"/>
  <c r="T9" i="96"/>
  <c r="T11" i="96" s="1"/>
  <c r="T13" i="96" s="1"/>
  <c r="V21" i="96"/>
  <c r="X5" i="96"/>
  <c r="V62" i="96"/>
  <c r="U62" i="96" s="1"/>
  <c r="AB41" i="96"/>
  <c r="Z43" i="96"/>
  <c r="D80" i="93"/>
  <c r="E79" i="93"/>
  <c r="AP170" i="93"/>
  <c r="BL170" i="93" s="1"/>
  <c r="AP168" i="93"/>
  <c r="BL168" i="93" s="1"/>
  <c r="AP166" i="93"/>
  <c r="BL166" i="93" s="1"/>
  <c r="AP126" i="93"/>
  <c r="BL126" i="93" s="1"/>
  <c r="AP164" i="93"/>
  <c r="BL164" i="93" s="1"/>
  <c r="AP162" i="93"/>
  <c r="BL162" i="93" s="1"/>
  <c r="AP122" i="93"/>
  <c r="BL122" i="93" s="1"/>
  <c r="AP149" i="93"/>
  <c r="BL149" i="93" s="1"/>
  <c r="AP147" i="93"/>
  <c r="BL147" i="93" s="1"/>
  <c r="AP140" i="93"/>
  <c r="BL140" i="93" s="1"/>
  <c r="AP135" i="93"/>
  <c r="BL135" i="93" s="1"/>
  <c r="AP160" i="93"/>
  <c r="BL160" i="93" s="1"/>
  <c r="AP158" i="93"/>
  <c r="BL158" i="93" s="1"/>
  <c r="AP156" i="93"/>
  <c r="BL156" i="93" s="1"/>
  <c r="AP132" i="93"/>
  <c r="AP121" i="93"/>
  <c r="BL121" i="93" s="1"/>
  <c r="AP119" i="93"/>
  <c r="BL119" i="93" s="1"/>
  <c r="AP117" i="93"/>
  <c r="BL117" i="93" s="1"/>
  <c r="AP115" i="93"/>
  <c r="BL115" i="93" s="1"/>
  <c r="AP113" i="93"/>
  <c r="BL113" i="93" s="1"/>
  <c r="AP111" i="93"/>
  <c r="BL111" i="93" s="1"/>
  <c r="AP109" i="93"/>
  <c r="BL109" i="93" s="1"/>
  <c r="AP107" i="93"/>
  <c r="AP105" i="93"/>
  <c r="BL105" i="93" s="1"/>
  <c r="AP103" i="93"/>
  <c r="BL103" i="93" s="1"/>
  <c r="AP101" i="93"/>
  <c r="AP99" i="93"/>
  <c r="BL99" i="93" s="1"/>
  <c r="AP97" i="93"/>
  <c r="BL97" i="93" s="1"/>
  <c r="AP95" i="93"/>
  <c r="BL95" i="93" s="1"/>
  <c r="AP127" i="93"/>
  <c r="AP93" i="93"/>
  <c r="BL93" i="93" s="1"/>
  <c r="AP124" i="93"/>
  <c r="BA91" i="93"/>
  <c r="BL91" i="93"/>
  <c r="AP145" i="93"/>
  <c r="BL145" i="93" s="1"/>
  <c r="AP143" i="93"/>
  <c r="BL143" i="93" s="1"/>
  <c r="AP141" i="93"/>
  <c r="BL141" i="93" s="1"/>
  <c r="AP138" i="93"/>
  <c r="BL138" i="93" s="1"/>
  <c r="AP133" i="93"/>
  <c r="BL133" i="93" s="1"/>
  <c r="AP171" i="93"/>
  <c r="BL171" i="93" s="1"/>
  <c r="AP154" i="93"/>
  <c r="BL154" i="93" s="1"/>
  <c r="AP152" i="93"/>
  <c r="BL152" i="93" s="1"/>
  <c r="AP130" i="93"/>
  <c r="BL130" i="93" s="1"/>
  <c r="AP169" i="93"/>
  <c r="BL169" i="93" s="1"/>
  <c r="AP167" i="93"/>
  <c r="BL167" i="93" s="1"/>
  <c r="AP125" i="93"/>
  <c r="BL125" i="93" s="1"/>
  <c r="AP165" i="93"/>
  <c r="BL165" i="93" s="1"/>
  <c r="AP163" i="93"/>
  <c r="BL163" i="93" s="1"/>
  <c r="AP161" i="93"/>
  <c r="BL161" i="93" s="1"/>
  <c r="AP150" i="93"/>
  <c r="BL150" i="93" s="1"/>
  <c r="AP148" i="93"/>
  <c r="BL148" i="93" s="1"/>
  <c r="AP146" i="93"/>
  <c r="BL146" i="93" s="1"/>
  <c r="AP139" i="93"/>
  <c r="BL139" i="93" s="1"/>
  <c r="AP136" i="93"/>
  <c r="BL136" i="93" s="1"/>
  <c r="AP159" i="93"/>
  <c r="BL159" i="93" s="1"/>
  <c r="AP157" i="93"/>
  <c r="BL157" i="93" s="1"/>
  <c r="AP131" i="93"/>
  <c r="BL131" i="93" s="1"/>
  <c r="AP120" i="93"/>
  <c r="BL120" i="93" s="1"/>
  <c r="AP118" i="93"/>
  <c r="BL118" i="93" s="1"/>
  <c r="AP116" i="93"/>
  <c r="BL116" i="93" s="1"/>
  <c r="AP114" i="93"/>
  <c r="BL114" i="93" s="1"/>
  <c r="AP112" i="93"/>
  <c r="BL112" i="93" s="1"/>
  <c r="AP110" i="93"/>
  <c r="BL110" i="93" s="1"/>
  <c r="AP108" i="93"/>
  <c r="BL108" i="93" s="1"/>
  <c r="AP106" i="93"/>
  <c r="BL106" i="93" s="1"/>
  <c r="AP104" i="93"/>
  <c r="BL104" i="93" s="1"/>
  <c r="AP102" i="93"/>
  <c r="AP100" i="93"/>
  <c r="BL100" i="93" s="1"/>
  <c r="AP98" i="93"/>
  <c r="BL98" i="93" s="1"/>
  <c r="AP96" i="93"/>
  <c r="BL96" i="93" s="1"/>
  <c r="AP94" i="93"/>
  <c r="BL94" i="93" s="1"/>
  <c r="AQ91" i="93"/>
  <c r="AP128" i="93"/>
  <c r="BL128" i="93" s="1"/>
  <c r="AP92" i="93"/>
  <c r="BL92" i="93" s="1"/>
  <c r="AP172" i="93"/>
  <c r="BL172" i="93" s="1"/>
  <c r="AP123" i="93"/>
  <c r="AP144" i="93"/>
  <c r="BL144" i="93" s="1"/>
  <c r="AP142" i="93"/>
  <c r="BL142" i="93" s="1"/>
  <c r="AP137" i="93"/>
  <c r="BL137" i="93" s="1"/>
  <c r="AP134" i="93"/>
  <c r="BL134" i="93" s="1"/>
  <c r="AP155" i="93"/>
  <c r="BL155" i="93" s="1"/>
  <c r="AP153" i="93"/>
  <c r="BL153" i="93" s="1"/>
  <c r="AP151" i="93"/>
  <c r="AP129" i="93"/>
  <c r="BL129" i="93" s="1"/>
  <c r="D58" i="93"/>
  <c r="I57" i="93"/>
  <c r="F57" i="93"/>
  <c r="E57" i="93"/>
  <c r="A57" i="93" s="1"/>
  <c r="D17" i="93"/>
  <c r="F16" i="93"/>
  <c r="I16" i="93" s="1"/>
  <c r="K16" i="93" s="1"/>
  <c r="E16" i="93"/>
  <c r="A16" i="93" s="1"/>
  <c r="A102" i="93"/>
  <c r="S103" i="93"/>
  <c r="AG102" i="93"/>
  <c r="D37" i="93"/>
  <c r="F36" i="93"/>
  <c r="E36" i="93"/>
  <c r="A36" i="93" s="1"/>
  <c r="AP171" i="94"/>
  <c r="BL171" i="94" s="1"/>
  <c r="AP111" i="94"/>
  <c r="BL111" i="94" s="1"/>
  <c r="AP169" i="94"/>
  <c r="BL169" i="94" s="1"/>
  <c r="AP167" i="94"/>
  <c r="BL167" i="94" s="1"/>
  <c r="AP145" i="94"/>
  <c r="BL145" i="94" s="1"/>
  <c r="AP143" i="94"/>
  <c r="BL143" i="94" s="1"/>
  <c r="AP141" i="94"/>
  <c r="BL141" i="94" s="1"/>
  <c r="AP138" i="94"/>
  <c r="BL138" i="94" s="1"/>
  <c r="AP133" i="94"/>
  <c r="BL133" i="94" s="1"/>
  <c r="AP124" i="94"/>
  <c r="BL124" i="94" s="1"/>
  <c r="AP109" i="94"/>
  <c r="BL109" i="94" s="1"/>
  <c r="AP107" i="94"/>
  <c r="BL107" i="94" s="1"/>
  <c r="AP105" i="94"/>
  <c r="BL105" i="94" s="1"/>
  <c r="AP103" i="94"/>
  <c r="BL103" i="94" s="1"/>
  <c r="AP101" i="94"/>
  <c r="BL101" i="94" s="1"/>
  <c r="AP99" i="94"/>
  <c r="BL99" i="94" s="1"/>
  <c r="AP97" i="94"/>
  <c r="BL97" i="94" s="1"/>
  <c r="AP95" i="94"/>
  <c r="BL95" i="94" s="1"/>
  <c r="AP93" i="94"/>
  <c r="BL93" i="94" s="1"/>
  <c r="AP165" i="94"/>
  <c r="BL165" i="94" s="1"/>
  <c r="AP163" i="94"/>
  <c r="BL163" i="94" s="1"/>
  <c r="AP161" i="94"/>
  <c r="BL161" i="94" s="1"/>
  <c r="BA91" i="94"/>
  <c r="BL91" i="94"/>
  <c r="AP130" i="94"/>
  <c r="BL130" i="94" s="1"/>
  <c r="AP159" i="94"/>
  <c r="BL159" i="94" s="1"/>
  <c r="AP157" i="94"/>
  <c r="BL157" i="94" s="1"/>
  <c r="AP150" i="94"/>
  <c r="BL150" i="94" s="1"/>
  <c r="AP148" i="94"/>
  <c r="BL148" i="94" s="1"/>
  <c r="AP146" i="94"/>
  <c r="BL146" i="94" s="1"/>
  <c r="AP125" i="94"/>
  <c r="BL125" i="94" s="1"/>
  <c r="AP139" i="94"/>
  <c r="BL139" i="94" s="1"/>
  <c r="AP136" i="94"/>
  <c r="BL136" i="94" s="1"/>
  <c r="AP155" i="94"/>
  <c r="BL155" i="94" s="1"/>
  <c r="AP153" i="94"/>
  <c r="BL153" i="94" s="1"/>
  <c r="AP151" i="94"/>
  <c r="BL151" i="94" s="1"/>
  <c r="AP131" i="94"/>
  <c r="BL131" i="94" s="1"/>
  <c r="AQ91" i="94"/>
  <c r="AP122" i="94"/>
  <c r="AP120" i="94"/>
  <c r="BL120" i="94" s="1"/>
  <c r="AP128" i="94"/>
  <c r="BL128" i="94" s="1"/>
  <c r="AP118" i="94"/>
  <c r="BL118" i="94" s="1"/>
  <c r="AP116" i="94"/>
  <c r="BL116" i="94" s="1"/>
  <c r="AP114" i="94"/>
  <c r="BL114" i="94" s="1"/>
  <c r="AP172" i="94"/>
  <c r="BL172" i="94" s="1"/>
  <c r="AP112" i="94"/>
  <c r="BL112" i="94" s="1"/>
  <c r="AP110" i="94"/>
  <c r="BL110" i="94" s="1"/>
  <c r="AP170" i="94"/>
  <c r="BL170" i="94" s="1"/>
  <c r="AP168" i="94"/>
  <c r="BL168" i="94" s="1"/>
  <c r="AP166" i="94"/>
  <c r="BL166" i="94" s="1"/>
  <c r="AP144" i="94"/>
  <c r="BL144" i="94" s="1"/>
  <c r="AP142" i="94"/>
  <c r="BL142" i="94" s="1"/>
  <c r="AP137" i="94"/>
  <c r="BL137" i="94" s="1"/>
  <c r="AP134" i="94"/>
  <c r="BL134" i="94" s="1"/>
  <c r="AP123" i="94"/>
  <c r="BL123" i="94" s="1"/>
  <c r="AP108" i="94"/>
  <c r="BL108" i="94" s="1"/>
  <c r="AP106" i="94"/>
  <c r="BL106" i="94" s="1"/>
  <c r="AP104" i="94"/>
  <c r="BL104" i="94" s="1"/>
  <c r="AP102" i="94"/>
  <c r="BL102" i="94" s="1"/>
  <c r="AP100" i="94"/>
  <c r="BL100" i="94" s="1"/>
  <c r="AP98" i="94"/>
  <c r="BL98" i="94" s="1"/>
  <c r="AP96" i="94"/>
  <c r="BL96" i="94" s="1"/>
  <c r="AP94" i="94"/>
  <c r="BL94" i="94" s="1"/>
  <c r="AP92" i="94"/>
  <c r="BL92" i="94" s="1"/>
  <c r="AP164" i="94"/>
  <c r="BL164" i="94" s="1"/>
  <c r="AP162" i="94"/>
  <c r="BL162" i="94" s="1"/>
  <c r="AP129" i="94"/>
  <c r="BL129" i="94" s="1"/>
  <c r="AP160" i="94"/>
  <c r="BL160" i="94" s="1"/>
  <c r="AP158" i="94"/>
  <c r="BL158" i="94" s="1"/>
  <c r="AP156" i="94"/>
  <c r="BL156" i="94" s="1"/>
  <c r="AP149" i="94"/>
  <c r="BL149" i="94" s="1"/>
  <c r="AP147" i="94"/>
  <c r="BL147" i="94" s="1"/>
  <c r="AP126" i="94"/>
  <c r="BL126" i="94" s="1"/>
  <c r="AP140" i="94"/>
  <c r="BL140" i="94" s="1"/>
  <c r="AP135" i="94"/>
  <c r="BL135" i="94" s="1"/>
  <c r="AP154" i="94"/>
  <c r="BL154" i="94" s="1"/>
  <c r="AP152" i="94"/>
  <c r="BL152" i="94" s="1"/>
  <c r="AP132" i="94"/>
  <c r="BL132" i="94" s="1"/>
  <c r="AP121" i="94"/>
  <c r="BL121" i="94" s="1"/>
  <c r="AP127" i="94"/>
  <c r="AP119" i="94"/>
  <c r="BL119" i="94" s="1"/>
  <c r="AP117" i="94"/>
  <c r="BL117" i="94" s="1"/>
  <c r="AP115" i="94"/>
  <c r="BL115" i="94" s="1"/>
  <c r="AP113" i="94"/>
  <c r="BL113" i="94" s="1"/>
  <c r="D79" i="94"/>
  <c r="E78" i="94"/>
  <c r="A78" i="94" s="1"/>
  <c r="D58" i="94"/>
  <c r="I57" i="94"/>
  <c r="F57" i="94"/>
  <c r="E57" i="94"/>
  <c r="A57" i="94" s="1"/>
  <c r="E15" i="94"/>
  <c r="A15" i="94" s="1"/>
  <c r="D16" i="94"/>
  <c r="F15" i="94"/>
  <c r="I15" i="94" s="1"/>
  <c r="K15" i="94" s="1"/>
  <c r="F37" i="94"/>
  <c r="E37" i="94"/>
  <c r="A37" i="94" s="1"/>
  <c r="D38" i="94"/>
  <c r="S103" i="94"/>
  <c r="AG102" i="94"/>
  <c r="A102" i="94"/>
  <c r="V21" i="95"/>
  <c r="X5" i="95"/>
  <c r="X41" i="95"/>
  <c r="V43" i="95"/>
  <c r="X55" i="95"/>
  <c r="X52" i="95"/>
  <c r="X53" i="95"/>
  <c r="X54" i="95"/>
  <c r="Z51" i="95"/>
  <c r="A162" i="68"/>
  <c r="A140" i="68"/>
  <c r="N72" i="11" a="1"/>
  <c r="N72" i="11" s="1"/>
  <c r="L72" i="11" a="1"/>
  <c r="L72" i="11" s="1"/>
  <c r="M72" i="11" a="1"/>
  <c r="M72" i="11" s="1"/>
  <c r="O72" i="11" a="1"/>
  <c r="O72" i="11" s="1"/>
  <c r="N9" i="47"/>
  <c r="O6" i="47"/>
  <c r="N14" i="47"/>
  <c r="B20" i="47"/>
  <c r="AD41" i="96"/>
  <c r="AB43" i="96"/>
  <c r="Z5" i="96"/>
  <c r="X21" i="96"/>
  <c r="X55" i="96"/>
  <c r="X52" i="96"/>
  <c r="X53" i="96"/>
  <c r="Z51" i="96"/>
  <c r="X54" i="96"/>
  <c r="AQ126" i="93"/>
  <c r="BM126" i="93" s="1"/>
  <c r="AQ164" i="93"/>
  <c r="BM164" i="93" s="1"/>
  <c r="AQ162" i="93"/>
  <c r="BM162" i="93" s="1"/>
  <c r="AQ149" i="93"/>
  <c r="BM149" i="93" s="1"/>
  <c r="AQ147" i="93"/>
  <c r="BM147" i="93" s="1"/>
  <c r="AQ140" i="93"/>
  <c r="BM140" i="93" s="1"/>
  <c r="AQ135" i="93"/>
  <c r="BM135" i="93" s="1"/>
  <c r="AQ160" i="93"/>
  <c r="BM160" i="93" s="1"/>
  <c r="AQ158" i="93"/>
  <c r="BM158" i="93" s="1"/>
  <c r="AQ156" i="93"/>
  <c r="BM156" i="93" s="1"/>
  <c r="AQ132" i="93"/>
  <c r="BM132" i="93" s="1"/>
  <c r="AQ121" i="93"/>
  <c r="BM121" i="93" s="1"/>
  <c r="AQ119" i="93"/>
  <c r="BM119" i="93" s="1"/>
  <c r="AQ117" i="93"/>
  <c r="AQ115" i="93"/>
  <c r="BM115" i="93" s="1"/>
  <c r="AQ113" i="93"/>
  <c r="BM113" i="93" s="1"/>
  <c r="AQ111" i="93"/>
  <c r="BM111" i="93" s="1"/>
  <c r="AQ109" i="93"/>
  <c r="BM109" i="93" s="1"/>
  <c r="AQ107" i="93"/>
  <c r="BM107" i="93" s="1"/>
  <c r="AQ105" i="93"/>
  <c r="BM105" i="93" s="1"/>
  <c r="AQ103" i="93"/>
  <c r="BM103" i="93" s="1"/>
  <c r="AQ101" i="93"/>
  <c r="BM101" i="93" s="1"/>
  <c r="AQ99" i="93"/>
  <c r="BM99" i="93" s="1"/>
  <c r="AQ97" i="93"/>
  <c r="BM97" i="93" s="1"/>
  <c r="AQ95" i="93"/>
  <c r="BM95" i="93" s="1"/>
  <c r="AQ127" i="93"/>
  <c r="BM127" i="93" s="1"/>
  <c r="AQ93" i="93"/>
  <c r="BM93" i="93" s="1"/>
  <c r="BB91" i="93"/>
  <c r="BM91" i="93"/>
  <c r="AQ124" i="93"/>
  <c r="BM124" i="93" s="1"/>
  <c r="AQ145" i="93"/>
  <c r="BM145" i="93" s="1"/>
  <c r="AQ143" i="93"/>
  <c r="BM143" i="93" s="1"/>
  <c r="AQ141" i="93"/>
  <c r="BM141" i="93" s="1"/>
  <c r="AQ138" i="93"/>
  <c r="BM138" i="93" s="1"/>
  <c r="AQ133" i="93"/>
  <c r="BM133" i="93" s="1"/>
  <c r="AQ171" i="93"/>
  <c r="BM171" i="93" s="1"/>
  <c r="AQ154" i="93"/>
  <c r="BM154" i="93" s="1"/>
  <c r="AQ152" i="93"/>
  <c r="BM152" i="93" s="1"/>
  <c r="AQ130" i="93"/>
  <c r="BM130" i="93" s="1"/>
  <c r="AQ169" i="93"/>
  <c r="BM169" i="93" s="1"/>
  <c r="AQ167" i="93"/>
  <c r="BM167" i="93" s="1"/>
  <c r="AQ125" i="93"/>
  <c r="BM125" i="93" s="1"/>
  <c r="AQ165" i="93"/>
  <c r="BM165" i="93" s="1"/>
  <c r="AQ163" i="93"/>
  <c r="BM163" i="93" s="1"/>
  <c r="AQ161" i="93"/>
  <c r="BM161" i="93" s="1"/>
  <c r="AQ150" i="93"/>
  <c r="BM150" i="93" s="1"/>
  <c r="AQ148" i="93"/>
  <c r="BM148" i="93" s="1"/>
  <c r="AQ146" i="93"/>
  <c r="BM146" i="93" s="1"/>
  <c r="AQ139" i="93"/>
  <c r="BM139" i="93" s="1"/>
  <c r="AQ136" i="93"/>
  <c r="BM136" i="93" s="1"/>
  <c r="AQ159" i="93"/>
  <c r="BM159" i="93" s="1"/>
  <c r="AQ157" i="93"/>
  <c r="BM157" i="93" s="1"/>
  <c r="AQ131" i="93"/>
  <c r="BM131" i="93" s="1"/>
  <c r="AQ122" i="93"/>
  <c r="BM122" i="93" s="1"/>
  <c r="AQ120" i="93"/>
  <c r="BM120" i="93" s="1"/>
  <c r="AQ118" i="93"/>
  <c r="BM118" i="93" s="1"/>
  <c r="AQ116" i="93"/>
  <c r="BM116" i="93" s="1"/>
  <c r="AQ114" i="93"/>
  <c r="BM114" i="93" s="1"/>
  <c r="AQ112" i="93"/>
  <c r="BM112" i="93" s="1"/>
  <c r="AQ110" i="93"/>
  <c r="BM110" i="93" s="1"/>
  <c r="AQ108" i="93"/>
  <c r="BM108" i="93" s="1"/>
  <c r="AQ106" i="93"/>
  <c r="BM106" i="93" s="1"/>
  <c r="AQ104" i="93"/>
  <c r="BM104" i="93" s="1"/>
  <c r="AQ102" i="93"/>
  <c r="BM102" i="93" s="1"/>
  <c r="AQ100" i="93"/>
  <c r="BM100" i="93" s="1"/>
  <c r="AQ98" i="93"/>
  <c r="BM98" i="93" s="1"/>
  <c r="AQ96" i="93"/>
  <c r="BM96" i="93" s="1"/>
  <c r="AQ94" i="93"/>
  <c r="BM94" i="93" s="1"/>
  <c r="AQ128" i="93"/>
  <c r="BM128" i="93" s="1"/>
  <c r="AQ92" i="93"/>
  <c r="BM92" i="93" s="1"/>
  <c r="AQ172" i="93"/>
  <c r="BM172" i="93" s="1"/>
  <c r="AQ123" i="93"/>
  <c r="BM123" i="93" s="1"/>
  <c r="AQ144" i="93"/>
  <c r="BM144" i="93" s="1"/>
  <c r="AQ142" i="93"/>
  <c r="BM142" i="93" s="1"/>
  <c r="AQ137" i="93"/>
  <c r="BM137" i="93" s="1"/>
  <c r="AQ134" i="93"/>
  <c r="BM134" i="93" s="1"/>
  <c r="AQ155" i="93"/>
  <c r="BM155" i="93" s="1"/>
  <c r="AQ153" i="93"/>
  <c r="BM153" i="93" s="1"/>
  <c r="AQ151" i="93"/>
  <c r="BM151" i="93" s="1"/>
  <c r="AQ129" i="93"/>
  <c r="BM129" i="93" s="1"/>
  <c r="AQ170" i="93"/>
  <c r="BM170" i="93" s="1"/>
  <c r="AQ168" i="93"/>
  <c r="BM168" i="93" s="1"/>
  <c r="AQ166" i="93"/>
  <c r="BM166" i="93" s="1"/>
  <c r="D81" i="93"/>
  <c r="E80" i="93"/>
  <c r="A80" i="93" s="1"/>
  <c r="AG103" i="93"/>
  <c r="A103" i="93"/>
  <c r="S104" i="93"/>
  <c r="F17" i="93"/>
  <c r="I17" i="93" s="1"/>
  <c r="K17" i="93" s="1"/>
  <c r="E17" i="93"/>
  <c r="A17" i="93" s="1"/>
  <c r="D18" i="93"/>
  <c r="D38" i="93"/>
  <c r="F37" i="93"/>
  <c r="E37" i="93"/>
  <c r="A37" i="93" s="1"/>
  <c r="D59" i="93"/>
  <c r="I58" i="93"/>
  <c r="F58" i="93"/>
  <c r="E58" i="93"/>
  <c r="A58" i="93" s="1"/>
  <c r="AQ169" i="94"/>
  <c r="AQ167" i="94"/>
  <c r="BM167" i="94" s="1"/>
  <c r="AQ145" i="94"/>
  <c r="BM145" i="94" s="1"/>
  <c r="AQ143" i="94"/>
  <c r="BM143" i="94" s="1"/>
  <c r="AQ141" i="94"/>
  <c r="BM141" i="94" s="1"/>
  <c r="AQ138" i="94"/>
  <c r="BM138" i="94" s="1"/>
  <c r="AQ133" i="94"/>
  <c r="BM133" i="94" s="1"/>
  <c r="AQ124" i="94"/>
  <c r="BM124" i="94" s="1"/>
  <c r="AQ109" i="94"/>
  <c r="BM109" i="94" s="1"/>
  <c r="AQ107" i="94"/>
  <c r="BM107" i="94" s="1"/>
  <c r="AQ105" i="94"/>
  <c r="BM105" i="94" s="1"/>
  <c r="AQ103" i="94"/>
  <c r="BM103" i="94" s="1"/>
  <c r="AQ101" i="94"/>
  <c r="BM101" i="94" s="1"/>
  <c r="AQ99" i="94"/>
  <c r="BM99" i="94" s="1"/>
  <c r="AQ97" i="94"/>
  <c r="BM97" i="94" s="1"/>
  <c r="AQ95" i="94"/>
  <c r="BM95" i="94" s="1"/>
  <c r="AQ93" i="94"/>
  <c r="BM93" i="94" s="1"/>
  <c r="BB91" i="94"/>
  <c r="BM91" i="94"/>
  <c r="AQ165" i="94"/>
  <c r="BM165" i="94" s="1"/>
  <c r="AQ163" i="94"/>
  <c r="BM163" i="94" s="1"/>
  <c r="AQ161" i="94"/>
  <c r="BM161" i="94" s="1"/>
  <c r="AQ130" i="94"/>
  <c r="BM130" i="94" s="1"/>
  <c r="AQ159" i="94"/>
  <c r="BM159" i="94" s="1"/>
  <c r="AQ157" i="94"/>
  <c r="BM157" i="94" s="1"/>
  <c r="AQ150" i="94"/>
  <c r="BM150" i="94" s="1"/>
  <c r="AQ148" i="94"/>
  <c r="BM148" i="94" s="1"/>
  <c r="AQ146" i="94"/>
  <c r="BM146" i="94" s="1"/>
  <c r="AQ125" i="94"/>
  <c r="BM125" i="94" s="1"/>
  <c r="AQ139" i="94"/>
  <c r="AQ136" i="94"/>
  <c r="BM136" i="94" s="1"/>
  <c r="AQ155" i="94"/>
  <c r="BM155" i="94" s="1"/>
  <c r="AQ153" i="94"/>
  <c r="BM153" i="94" s="1"/>
  <c r="AQ151" i="94"/>
  <c r="BM151" i="94" s="1"/>
  <c r="AQ131" i="94"/>
  <c r="BM131" i="94" s="1"/>
  <c r="AQ122" i="94"/>
  <c r="BM122" i="94" s="1"/>
  <c r="AQ120" i="94"/>
  <c r="BM120" i="94" s="1"/>
  <c r="AQ128" i="94"/>
  <c r="BM128" i="94" s="1"/>
  <c r="AQ118" i="94"/>
  <c r="BM118" i="94" s="1"/>
  <c r="AQ116" i="94"/>
  <c r="BM116" i="94" s="1"/>
  <c r="AQ114" i="94"/>
  <c r="BM114" i="94" s="1"/>
  <c r="AQ112" i="94"/>
  <c r="BM112" i="94" s="1"/>
  <c r="AQ172" i="94"/>
  <c r="BM172" i="94" s="1"/>
  <c r="AQ110" i="94"/>
  <c r="BM110" i="94" s="1"/>
  <c r="AQ170" i="94"/>
  <c r="BM170" i="94" s="1"/>
  <c r="AQ168" i="94"/>
  <c r="BM168" i="94" s="1"/>
  <c r="AQ166" i="94"/>
  <c r="BM166" i="94" s="1"/>
  <c r="AQ144" i="94"/>
  <c r="BM144" i="94" s="1"/>
  <c r="AQ142" i="94"/>
  <c r="BM142" i="94" s="1"/>
  <c r="AQ137" i="94"/>
  <c r="BM137" i="94" s="1"/>
  <c r="AQ134" i="94"/>
  <c r="BM134" i="94" s="1"/>
  <c r="AQ123" i="94"/>
  <c r="BM123" i="94" s="1"/>
  <c r="AQ108" i="94"/>
  <c r="BM108" i="94" s="1"/>
  <c r="AQ106" i="94"/>
  <c r="BM106" i="94" s="1"/>
  <c r="AQ104" i="94"/>
  <c r="BM104" i="94" s="1"/>
  <c r="AQ102" i="94"/>
  <c r="BM102" i="94" s="1"/>
  <c r="AQ100" i="94"/>
  <c r="BM100" i="94" s="1"/>
  <c r="AQ98" i="94"/>
  <c r="BM98" i="94" s="1"/>
  <c r="AQ96" i="94"/>
  <c r="AQ94" i="94"/>
  <c r="BM94" i="94" s="1"/>
  <c r="AQ92" i="94"/>
  <c r="BM92" i="94" s="1"/>
  <c r="AQ164" i="94"/>
  <c r="BM164" i="94" s="1"/>
  <c r="AQ162" i="94"/>
  <c r="BM162" i="94" s="1"/>
  <c r="AQ129" i="94"/>
  <c r="BM129" i="94" s="1"/>
  <c r="AQ160" i="94"/>
  <c r="BM160" i="94" s="1"/>
  <c r="AQ158" i="94"/>
  <c r="BM158" i="94" s="1"/>
  <c r="AQ156" i="94"/>
  <c r="BM156" i="94" s="1"/>
  <c r="AQ149" i="94"/>
  <c r="BM149" i="94" s="1"/>
  <c r="AQ147" i="94"/>
  <c r="BM147" i="94" s="1"/>
  <c r="AQ126" i="94"/>
  <c r="BM126" i="94" s="1"/>
  <c r="AQ140" i="94"/>
  <c r="BM140" i="94" s="1"/>
  <c r="AQ135" i="94"/>
  <c r="BM135" i="94" s="1"/>
  <c r="AQ154" i="94"/>
  <c r="BM154" i="94" s="1"/>
  <c r="AQ152" i="94"/>
  <c r="BM152" i="94" s="1"/>
  <c r="AQ132" i="94"/>
  <c r="BM132" i="94" s="1"/>
  <c r="AQ121" i="94"/>
  <c r="BM121" i="94" s="1"/>
  <c r="AQ119" i="94"/>
  <c r="BM119" i="94" s="1"/>
  <c r="AQ127" i="94"/>
  <c r="BM127" i="94" s="1"/>
  <c r="AQ117" i="94"/>
  <c r="BM117" i="94" s="1"/>
  <c r="AQ115" i="94"/>
  <c r="BM115" i="94" s="1"/>
  <c r="AQ113" i="94"/>
  <c r="BM113" i="94" s="1"/>
  <c r="AQ171" i="94"/>
  <c r="BM171" i="94" s="1"/>
  <c r="AQ111" i="94"/>
  <c r="BM111" i="94" s="1"/>
  <c r="I58" i="94"/>
  <c r="F58" i="94"/>
  <c r="E58" i="94"/>
  <c r="A58" i="94" s="1"/>
  <c r="D59" i="94"/>
  <c r="E79" i="94"/>
  <c r="D80" i="94"/>
  <c r="S104" i="94"/>
  <c r="AG103" i="94"/>
  <c r="A103" i="94"/>
  <c r="F38" i="94"/>
  <c r="E38" i="94"/>
  <c r="A38" i="94" s="1"/>
  <c r="D39" i="94"/>
  <c r="D17" i="94"/>
  <c r="F16" i="94"/>
  <c r="I16" i="94" s="1"/>
  <c r="K16" i="94" s="1"/>
  <c r="E16" i="94"/>
  <c r="A16" i="94" s="1"/>
  <c r="Z55" i="95"/>
  <c r="Z52" i="95"/>
  <c r="Z53" i="95"/>
  <c r="Z54" i="95"/>
  <c r="AB51" i="95"/>
  <c r="Z41" i="95"/>
  <c r="X43" i="95"/>
  <c r="V9" i="95"/>
  <c r="V11" i="95" s="1"/>
  <c r="V13" i="95" s="1"/>
  <c r="V62" i="95"/>
  <c r="U62" i="95" s="1"/>
  <c r="X21" i="95"/>
  <c r="Z5" i="95"/>
  <c r="X62" i="95"/>
  <c r="W62" i="95" s="1"/>
  <c r="A163" i="68"/>
  <c r="A141" i="68"/>
  <c r="A124" i="68"/>
  <c r="AH53" i="100"/>
  <c r="B21" i="47"/>
  <c r="O9" i="47"/>
  <c r="P6" i="47"/>
  <c r="O14" i="47"/>
  <c r="Z55" i="96"/>
  <c r="Z52" i="96"/>
  <c r="Z53" i="96"/>
  <c r="Z54" i="96"/>
  <c r="AB51" i="96"/>
  <c r="Z9" i="96"/>
  <c r="Z11" i="96" s="1"/>
  <c r="Z13" i="96" s="1"/>
  <c r="AB5" i="96"/>
  <c r="Z21" i="96"/>
  <c r="X62" i="96"/>
  <c r="W62" i="96" s="1"/>
  <c r="X9" i="96"/>
  <c r="X11" i="96" s="1"/>
  <c r="X13" i="96" s="1"/>
  <c r="AF41" i="96"/>
  <c r="AD43" i="96"/>
  <c r="E81" i="93"/>
  <c r="A81" i="93" s="1"/>
  <c r="D82" i="93"/>
  <c r="F18" i="93"/>
  <c r="I18" i="93" s="1"/>
  <c r="K18" i="93" s="1"/>
  <c r="E18" i="93"/>
  <c r="A18" i="93" s="1"/>
  <c r="D19" i="93"/>
  <c r="AG104" i="93"/>
  <c r="A104" i="93"/>
  <c r="S105" i="93"/>
  <c r="F38" i="93"/>
  <c r="E38" i="93"/>
  <c r="A38" i="93" s="1"/>
  <c r="D39" i="93"/>
  <c r="D60" i="93"/>
  <c r="I59" i="93"/>
  <c r="F59" i="93"/>
  <c r="E59" i="93"/>
  <c r="A59" i="93" s="1"/>
  <c r="F59" i="94"/>
  <c r="E59" i="94"/>
  <c r="A59" i="94" s="1"/>
  <c r="D60" i="94"/>
  <c r="I59" i="94"/>
  <c r="E80" i="94"/>
  <c r="D81" i="94"/>
  <c r="D18" i="94"/>
  <c r="F17" i="94"/>
  <c r="E17" i="94"/>
  <c r="A17" i="94" s="1"/>
  <c r="E39" i="94"/>
  <c r="A39" i="94" s="1"/>
  <c r="F39" i="94"/>
  <c r="D40" i="94"/>
  <c r="S105" i="94"/>
  <c r="A104" i="94"/>
  <c r="AG104" i="94"/>
  <c r="BC104" i="94" s="1"/>
  <c r="AB5" i="95"/>
  <c r="Z21" i="95"/>
  <c r="AB41" i="95"/>
  <c r="Z43" i="95"/>
  <c r="AB52" i="95"/>
  <c r="AB53" i="95"/>
  <c r="AB54" i="95"/>
  <c r="AD51" i="95"/>
  <c r="AB55" i="95"/>
  <c r="A164" i="68"/>
  <c r="A142" i="68"/>
  <c r="P9" i="47"/>
  <c r="Q6" i="47"/>
  <c r="P14" i="47"/>
  <c r="Q21" i="47"/>
  <c r="B22" i="47"/>
  <c r="AH41" i="96"/>
  <c r="AH43" i="96"/>
  <c r="AF43" i="96"/>
  <c r="AD5" i="96"/>
  <c r="AB21" i="96"/>
  <c r="AB52" i="96"/>
  <c r="AB53" i="96"/>
  <c r="AB54" i="96"/>
  <c r="AD51" i="96"/>
  <c r="AB55" i="96"/>
  <c r="D83" i="93"/>
  <c r="E82" i="93"/>
  <c r="A82" i="93" s="1"/>
  <c r="A105" i="93"/>
  <c r="AG105" i="93"/>
  <c r="BC105" i="93" s="1"/>
  <c r="S106" i="93"/>
  <c r="D20" i="93"/>
  <c r="F19" i="93"/>
  <c r="E19" i="93"/>
  <c r="A19" i="93" s="1"/>
  <c r="F60" i="93"/>
  <c r="E60" i="93"/>
  <c r="A60" i="93" s="1"/>
  <c r="D61" i="93"/>
  <c r="I60" i="93"/>
  <c r="F39" i="93"/>
  <c r="E39" i="93"/>
  <c r="A39" i="93" s="1"/>
  <c r="D40" i="93"/>
  <c r="D82" i="94"/>
  <c r="E81" i="94"/>
  <c r="I60" i="94"/>
  <c r="F60" i="94"/>
  <c r="E60" i="94"/>
  <c r="A60" i="94" s="1"/>
  <c r="D61" i="94"/>
  <c r="AG105" i="94"/>
  <c r="A105" i="94"/>
  <c r="S106" i="94"/>
  <c r="D41" i="94"/>
  <c r="F40" i="94"/>
  <c r="E40" i="94"/>
  <c r="A40" i="94" s="1"/>
  <c r="F18" i="94"/>
  <c r="E18" i="94"/>
  <c r="A18" i="94" s="1"/>
  <c r="D19" i="94"/>
  <c r="AF51" i="95"/>
  <c r="AD52" i="95"/>
  <c r="AD53" i="95"/>
  <c r="AD54" i="95"/>
  <c r="AD55" i="95"/>
  <c r="AD41" i="95"/>
  <c r="AB43" i="95"/>
  <c r="AD5" i="95"/>
  <c r="AB21" i="95"/>
  <c r="A165" i="68"/>
  <c r="A143" i="68"/>
  <c r="B23" i="47"/>
  <c r="Q22" i="47"/>
  <c r="Q9" i="47"/>
  <c r="Q10" i="47"/>
  <c r="Q11" i="47"/>
  <c r="R6" i="47"/>
  <c r="Q8" i="47"/>
  <c r="Q12" i="47"/>
  <c r="Q13" i="47"/>
  <c r="Q14" i="47"/>
  <c r="Q15" i="47"/>
  <c r="Q16" i="47"/>
  <c r="Q17" i="47"/>
  <c r="Q18" i="47"/>
  <c r="Q19" i="47"/>
  <c r="Q20" i="47"/>
  <c r="AD52" i="96"/>
  <c r="AD53" i="96"/>
  <c r="AD54" i="96"/>
  <c r="AF51" i="96"/>
  <c r="AD55" i="96"/>
  <c r="AD9" i="96"/>
  <c r="AD11" i="96" s="1"/>
  <c r="AD13" i="96" s="1"/>
  <c r="AF5" i="96"/>
  <c r="AD21" i="96"/>
  <c r="AB9" i="96"/>
  <c r="AB11" i="96" s="1"/>
  <c r="AB13" i="96" s="1"/>
  <c r="AB62" i="96"/>
  <c r="AA62" i="96" s="1"/>
  <c r="D84" i="93"/>
  <c r="E83" i="93"/>
  <c r="D21" i="93"/>
  <c r="F20" i="93"/>
  <c r="E20" i="93"/>
  <c r="A20" i="93" s="1"/>
  <c r="F40" i="93"/>
  <c r="E40" i="93"/>
  <c r="A40" i="93" s="1"/>
  <c r="D41" i="93"/>
  <c r="S107" i="93"/>
  <c r="AG106" i="93"/>
  <c r="A106" i="93"/>
  <c r="D62" i="93"/>
  <c r="I61" i="93"/>
  <c r="F61" i="93"/>
  <c r="H61" i="93" s="1"/>
  <c r="E61" i="93"/>
  <c r="A61" i="93" s="1"/>
  <c r="D62" i="94"/>
  <c r="F61" i="94"/>
  <c r="I61" i="94"/>
  <c r="E61" i="94"/>
  <c r="A61" i="94" s="1"/>
  <c r="D83" i="94"/>
  <c r="E82" i="94"/>
  <c r="A82" i="94" s="1"/>
  <c r="D42" i="94"/>
  <c r="F41" i="94"/>
  <c r="E41" i="94"/>
  <c r="A41" i="94" s="1"/>
  <c r="A106" i="94"/>
  <c r="S107" i="94"/>
  <c r="AG106" i="94"/>
  <c r="F19" i="94"/>
  <c r="E19" i="94"/>
  <c r="A19" i="94" s="1"/>
  <c r="D20" i="94"/>
  <c r="AF5" i="95"/>
  <c r="AD21" i="95"/>
  <c r="AF41" i="95"/>
  <c r="AD43" i="95"/>
  <c r="AH51" i="95"/>
  <c r="AF52" i="95"/>
  <c r="AF53" i="95"/>
  <c r="AF54" i="95"/>
  <c r="AF55" i="95"/>
  <c r="A166" i="68"/>
  <c r="A144" i="68"/>
  <c r="R9" i="47"/>
  <c r="R10" i="47"/>
  <c r="R11" i="47"/>
  <c r="R8" i="47"/>
  <c r="R12" i="47"/>
  <c r="R13" i="47"/>
  <c r="R14" i="47"/>
  <c r="R15" i="47"/>
  <c r="R16" i="47"/>
  <c r="R17" i="47"/>
  <c r="R18" i="47"/>
  <c r="R19" i="47"/>
  <c r="R20" i="47"/>
  <c r="R21" i="47"/>
  <c r="R22" i="47"/>
  <c r="B24" i="47"/>
  <c r="R23" i="47"/>
  <c r="Q23" i="47"/>
  <c r="AH5" i="96"/>
  <c r="AF21" i="96"/>
  <c r="AF52" i="96"/>
  <c r="AF53" i="96"/>
  <c r="AF54" i="96"/>
  <c r="AF55" i="96"/>
  <c r="AH51" i="96"/>
  <c r="D85" i="93"/>
  <c r="E85" i="93"/>
  <c r="A85" i="93" s="1"/>
  <c r="E84" i="93"/>
  <c r="S108" i="93"/>
  <c r="A107" i="93"/>
  <c r="AG107" i="93"/>
  <c r="E41" i="93"/>
  <c r="A41" i="93" s="1"/>
  <c r="D42" i="93"/>
  <c r="F41" i="93"/>
  <c r="D63" i="93"/>
  <c r="I62" i="93"/>
  <c r="F62" i="93"/>
  <c r="E62" i="93"/>
  <c r="A62" i="93" s="1"/>
  <c r="F21" i="93"/>
  <c r="E21" i="93"/>
  <c r="A21" i="93" s="1"/>
  <c r="D84" i="94"/>
  <c r="E83" i="94"/>
  <c r="I62" i="94"/>
  <c r="E62" i="94"/>
  <c r="A62" i="94" s="1"/>
  <c r="D63" i="94"/>
  <c r="F62" i="94"/>
  <c r="E20" i="94"/>
  <c r="A20" i="94" s="1"/>
  <c r="D21" i="94"/>
  <c r="F20" i="94"/>
  <c r="I20" i="94" s="1"/>
  <c r="K20" i="94" s="1"/>
  <c r="A107" i="94"/>
  <c r="S108" i="94"/>
  <c r="AG107" i="94"/>
  <c r="BC107" i="94" s="1"/>
  <c r="F42" i="94"/>
  <c r="E42" i="94"/>
  <c r="A42" i="94" s="1"/>
  <c r="AH41" i="95"/>
  <c r="AH43" i="95"/>
  <c r="AF43" i="95"/>
  <c r="AH5" i="95"/>
  <c r="AF21" i="95"/>
  <c r="AH52" i="95"/>
  <c r="AH53" i="95"/>
  <c r="AH54" i="95"/>
  <c r="AH55" i="95"/>
  <c r="A145" i="68"/>
  <c r="B25" i="47"/>
  <c r="R24" i="47"/>
  <c r="Q24" i="47"/>
  <c r="AH52" i="96"/>
  <c r="AH53" i="96"/>
  <c r="AH54" i="96"/>
  <c r="AH55" i="96"/>
  <c r="AH62" i="96"/>
  <c r="AG62" i="96" s="1"/>
  <c r="AH21" i="96"/>
  <c r="AF62" i="96"/>
  <c r="AE62" i="96" s="1"/>
  <c r="AF9" i="96"/>
  <c r="AF11" i="96" s="1"/>
  <c r="AF13" i="96" s="1"/>
  <c r="F42" i="93"/>
  <c r="E42" i="93"/>
  <c r="A42" i="93" s="1"/>
  <c r="S109" i="93"/>
  <c r="A108" i="93"/>
  <c r="AG108" i="93"/>
  <c r="I63" i="93"/>
  <c r="F63" i="93"/>
  <c r="E63" i="93"/>
  <c r="A63" i="93" s="1"/>
  <c r="E63" i="94"/>
  <c r="A63" i="94" s="1"/>
  <c r="I63" i="94"/>
  <c r="F63" i="94"/>
  <c r="D85" i="94"/>
  <c r="E85" i="94"/>
  <c r="A85" i="94" s="1"/>
  <c r="E84" i="94"/>
  <c r="AG108" i="94"/>
  <c r="AR108" i="94" s="1"/>
  <c r="S109" i="94"/>
  <c r="A108" i="94"/>
  <c r="F21" i="94"/>
  <c r="I21" i="94" s="1"/>
  <c r="K21" i="94" s="1"/>
  <c r="E21" i="94"/>
  <c r="A21" i="94" s="1"/>
  <c r="AH21" i="95"/>
  <c r="A146" i="68"/>
  <c r="B26" i="47"/>
  <c r="R25" i="47"/>
  <c r="Q25" i="47"/>
  <c r="S110" i="93"/>
  <c r="AG109" i="93"/>
  <c r="A109" i="93"/>
  <c r="A109" i="94"/>
  <c r="S110" i="94"/>
  <c r="AG109" i="94"/>
  <c r="B27" i="47"/>
  <c r="Q26" i="47"/>
  <c r="R26" i="47"/>
  <c r="A110" i="93"/>
  <c r="S111" i="93"/>
  <c r="AG110" i="93"/>
  <c r="A110" i="94"/>
  <c r="S111" i="94"/>
  <c r="AG110" i="94"/>
  <c r="BC110" i="94" s="1"/>
  <c r="B28" i="47"/>
  <c r="R27" i="47"/>
  <c r="Q27" i="47"/>
  <c r="AG111" i="93"/>
  <c r="S112" i="93"/>
  <c r="A111" i="93"/>
  <c r="A111" i="94"/>
  <c r="AG111" i="94"/>
  <c r="AR111" i="94" s="1"/>
  <c r="S112" i="94"/>
  <c r="B29" i="47"/>
  <c r="R28" i="47"/>
  <c r="Q28" i="47"/>
  <c r="P28" i="47"/>
  <c r="L28" i="47"/>
  <c r="I28" i="47"/>
  <c r="G28" i="47"/>
  <c r="M28" i="47"/>
  <c r="K28" i="47"/>
  <c r="J28" i="47"/>
  <c r="H28" i="47"/>
  <c r="O28" i="47"/>
  <c r="N28" i="47"/>
  <c r="F28" i="47"/>
  <c r="S113" i="93"/>
  <c r="AG112" i="93"/>
  <c r="AR112" i="93" s="1"/>
  <c r="A112" i="93"/>
  <c r="A112" i="94"/>
  <c r="S113" i="94"/>
  <c r="AG112" i="94"/>
  <c r="AR112" i="94" s="1"/>
  <c r="B30" i="47"/>
  <c r="Q29" i="47"/>
  <c r="R29" i="47"/>
  <c r="S114" i="93"/>
  <c r="AG113" i="93"/>
  <c r="BC113" i="93" s="1"/>
  <c r="A113" i="93"/>
  <c r="A113" i="94"/>
  <c r="AG113" i="94"/>
  <c r="BC113" i="94" s="1"/>
  <c r="S114" i="94"/>
  <c r="R30" i="47"/>
  <c r="Q30" i="47"/>
  <c r="B31" i="47"/>
  <c r="A114" i="93"/>
  <c r="S115" i="93"/>
  <c r="AG114" i="93"/>
  <c r="A114" i="94"/>
  <c r="S115" i="94"/>
  <c r="AG114" i="94"/>
  <c r="BC114" i="94" s="1"/>
  <c r="R31" i="47"/>
  <c r="Q31" i="47"/>
  <c r="B32" i="47"/>
  <c r="A115" i="93"/>
  <c r="AG115" i="93"/>
  <c r="S116" i="93"/>
  <c r="S116" i="94"/>
  <c r="A115" i="94"/>
  <c r="AG115" i="94"/>
  <c r="B33" i="47"/>
  <c r="Q32" i="47"/>
  <c r="R32" i="47"/>
  <c r="AG116" i="93"/>
  <c r="AR116" i="93" s="1"/>
  <c r="S117" i="93"/>
  <c r="A116" i="93"/>
  <c r="AG116" i="94"/>
  <c r="S117" i="94"/>
  <c r="A116" i="94"/>
  <c r="H33" i="47"/>
  <c r="E33" i="47"/>
  <c r="R33" i="47"/>
  <c r="P33" i="47"/>
  <c r="N33" i="47"/>
  <c r="B34" i="47"/>
  <c r="Q33" i="47"/>
  <c r="O33" i="47"/>
  <c r="K33" i="47"/>
  <c r="J33" i="47"/>
  <c r="I33" i="47"/>
  <c r="G33" i="47"/>
  <c r="F33" i="47"/>
  <c r="M33" i="47"/>
  <c r="L33" i="47"/>
  <c r="AG117" i="93"/>
  <c r="AR117" i="93" s="1"/>
  <c r="S118" i="93"/>
  <c r="A117" i="93"/>
  <c r="S118" i="94"/>
  <c r="AG117" i="94"/>
  <c r="BC117" i="94" s="1"/>
  <c r="A117" i="94"/>
  <c r="B35" i="47"/>
  <c r="Q34" i="47"/>
  <c r="R34" i="47"/>
  <c r="AG118" i="93"/>
  <c r="AR118" i="93" s="1"/>
  <c r="S119" i="93"/>
  <c r="A118" i="93"/>
  <c r="S119" i="94"/>
  <c r="A118" i="94"/>
  <c r="AG118" i="94"/>
  <c r="R35" i="47"/>
  <c r="B36" i="47"/>
  <c r="Q35" i="47"/>
  <c r="A119" i="93"/>
  <c r="S120" i="93"/>
  <c r="AG119" i="93"/>
  <c r="AR119" i="93" s="1"/>
  <c r="S120" i="94"/>
  <c r="AG119" i="94"/>
  <c r="AR119" i="94" s="1"/>
  <c r="A119" i="94"/>
  <c r="Q36" i="47"/>
  <c r="B37" i="47"/>
  <c r="R36" i="47"/>
  <c r="AG120" i="93"/>
  <c r="S121" i="93"/>
  <c r="A120" i="93"/>
  <c r="AG120" i="94"/>
  <c r="BC120" i="94" s="1"/>
  <c r="S121" i="94"/>
  <c r="A120" i="94"/>
  <c r="R37" i="47"/>
  <c r="Q37" i="47"/>
  <c r="B38" i="47"/>
  <c r="A121" i="93"/>
  <c r="S122" i="93"/>
  <c r="AG121" i="93"/>
  <c r="BC121" i="93" s="1"/>
  <c r="AG121" i="94"/>
  <c r="S122" i="94"/>
  <c r="A121" i="94"/>
  <c r="Q38" i="47"/>
  <c r="B39" i="47"/>
  <c r="R38" i="47"/>
  <c r="AG122" i="93"/>
  <c r="AR122" i="93" s="1"/>
  <c r="A122" i="93"/>
  <c r="S123" i="93"/>
  <c r="S123" i="94"/>
  <c r="A122" i="94"/>
  <c r="AG122" i="94"/>
  <c r="AR122" i="94" s="1"/>
  <c r="R39" i="47"/>
  <c r="B40" i="47"/>
  <c r="Q39" i="47"/>
  <c r="A123" i="93"/>
  <c r="S124" i="93"/>
  <c r="AG123" i="93"/>
  <c r="BC123" i="93" s="1"/>
  <c r="A123" i="94"/>
  <c r="AG123" i="94"/>
  <c r="S124" i="94"/>
  <c r="R40" i="47"/>
  <c r="Q40" i="47"/>
  <c r="B41" i="47"/>
  <c r="A124" i="93"/>
  <c r="AG124" i="93"/>
  <c r="BC124" i="93" s="1"/>
  <c r="S125" i="93"/>
  <c r="AG124" i="94"/>
  <c r="S125" i="94"/>
  <c r="A124" i="94"/>
  <c r="B42" i="47"/>
  <c r="Q41" i="47"/>
  <c r="R41" i="47"/>
  <c r="AG125" i="93"/>
  <c r="S126" i="93"/>
  <c r="A125" i="93"/>
  <c r="A125" i="94"/>
  <c r="S126" i="94"/>
  <c r="AG125" i="94"/>
  <c r="AR125" i="94" s="1"/>
  <c r="B43" i="47"/>
  <c r="R42" i="47"/>
  <c r="Q42" i="47"/>
  <c r="S127" i="93"/>
  <c r="A126" i="93"/>
  <c r="AG126" i="93"/>
  <c r="AG126" i="94"/>
  <c r="S127" i="94"/>
  <c r="A126" i="94"/>
  <c r="Q43" i="47"/>
  <c r="R43" i="47"/>
  <c r="B44" i="47"/>
  <c r="AG127" i="93"/>
  <c r="BC127" i="93" s="1"/>
  <c r="S128" i="93"/>
  <c r="A127" i="93"/>
  <c r="S128" i="94"/>
  <c r="AG127" i="94"/>
  <c r="A127" i="94"/>
  <c r="B45" i="47"/>
  <c r="R44" i="47"/>
  <c r="Q44" i="47"/>
  <c r="S129" i="93"/>
  <c r="A128" i="93"/>
  <c r="AG128" i="93"/>
  <c r="A128" i="94"/>
  <c r="S129" i="94"/>
  <c r="AG128" i="94"/>
  <c r="B46" i="47"/>
  <c r="R45" i="47"/>
  <c r="Q45" i="47"/>
  <c r="S130" i="93"/>
  <c r="AG129" i="93"/>
  <c r="BC129" i="93" s="1"/>
  <c r="A129" i="93"/>
  <c r="AG129" i="94"/>
  <c r="S130" i="94"/>
  <c r="A129" i="94"/>
  <c r="R46" i="47"/>
  <c r="Q46" i="47"/>
  <c r="B47" i="47"/>
  <c r="A130" i="93"/>
  <c r="S131" i="93"/>
  <c r="AG130" i="93"/>
  <c r="AG130" i="94"/>
  <c r="A130" i="94"/>
  <c r="S131" i="94"/>
  <c r="B48" i="47"/>
  <c r="R47" i="47"/>
  <c r="Q47" i="47"/>
  <c r="S132" i="93"/>
  <c r="A131" i="93"/>
  <c r="AG131" i="93"/>
  <c r="BC131" i="93" s="1"/>
  <c r="A131" i="94"/>
  <c r="S132" i="94"/>
  <c r="AG131" i="94"/>
  <c r="B49" i="47"/>
  <c r="R48" i="47"/>
  <c r="Q48" i="47"/>
  <c r="S133" i="93"/>
  <c r="A132" i="93"/>
  <c r="AG132" i="93"/>
  <c r="AR132" i="93" s="1"/>
  <c r="AG132" i="94"/>
  <c r="A132" i="94"/>
  <c r="S133" i="94"/>
  <c r="R49" i="47"/>
  <c r="B50" i="47"/>
  <c r="Q49" i="47"/>
  <c r="A133" i="93"/>
  <c r="S134" i="93"/>
  <c r="AG133" i="93"/>
  <c r="A133" i="94"/>
  <c r="AG133" i="94"/>
  <c r="S134" i="94"/>
  <c r="B51" i="47"/>
  <c r="R50" i="47"/>
  <c r="Q50" i="47"/>
  <c r="A134" i="93"/>
  <c r="S135" i="93"/>
  <c r="AG134" i="93"/>
  <c r="BC134" i="93" s="1"/>
  <c r="A134" i="94"/>
  <c r="S135" i="94"/>
  <c r="AG134" i="94"/>
  <c r="R51" i="47"/>
  <c r="B52" i="47"/>
  <c r="Q51" i="47"/>
  <c r="AR134" i="93"/>
  <c r="AG135" i="93"/>
  <c r="A135" i="93"/>
  <c r="S136" i="93"/>
  <c r="S136" i="94"/>
  <c r="AG135" i="94"/>
  <c r="A135" i="94"/>
  <c r="B53" i="47"/>
  <c r="Q52" i="47"/>
  <c r="R52" i="47"/>
  <c r="A136" i="93"/>
  <c r="S137" i="93"/>
  <c r="AG136" i="93"/>
  <c r="S137" i="94"/>
  <c r="A136" i="94"/>
  <c r="AG136" i="94"/>
  <c r="Q53" i="47"/>
  <c r="B54" i="47"/>
  <c r="R53" i="47"/>
  <c r="S138" i="93"/>
  <c r="A137" i="93"/>
  <c r="AG137" i="93"/>
  <c r="BC137" i="93" s="1"/>
  <c r="S138" i="94"/>
  <c r="A137" i="94"/>
  <c r="AG137" i="94"/>
  <c r="R54" i="47"/>
  <c r="B55" i="47"/>
  <c r="Q54" i="47"/>
  <c r="S139" i="93"/>
  <c r="AG138" i="93"/>
  <c r="A138" i="93"/>
  <c r="A138" i="94"/>
  <c r="S139" i="94"/>
  <c r="AG138" i="94"/>
  <c r="R55" i="47"/>
  <c r="Q55" i="47"/>
  <c r="B56" i="47"/>
  <c r="A139" i="93"/>
  <c r="AG139" i="93"/>
  <c r="AR139" i="93" s="1"/>
  <c r="S140" i="93"/>
  <c r="S140" i="94"/>
  <c r="A139" i="94"/>
  <c r="AG139" i="94"/>
  <c r="BC139" i="94" s="1"/>
  <c r="R56" i="47"/>
  <c r="P56" i="47"/>
  <c r="M56" i="47"/>
  <c r="K56" i="47"/>
  <c r="O56" i="47"/>
  <c r="N56" i="47"/>
  <c r="L56" i="47"/>
  <c r="B57" i="47"/>
  <c r="F56" i="47"/>
  <c r="J56" i="47"/>
  <c r="I56" i="47"/>
  <c r="Q56" i="47"/>
  <c r="H56" i="47"/>
  <c r="G56" i="47"/>
  <c r="A140" i="93"/>
  <c r="AG140" i="93"/>
  <c r="S141" i="93"/>
  <c r="AG140" i="94"/>
  <c r="AR140" i="94" s="1"/>
  <c r="S141" i="94"/>
  <c r="A140" i="94"/>
  <c r="R57" i="47"/>
  <c r="Q57" i="47"/>
  <c r="B58" i="47"/>
  <c r="AG141" i="93"/>
  <c r="A141" i="93"/>
  <c r="S142" i="93"/>
  <c r="A141" i="94"/>
  <c r="S142" i="94"/>
  <c r="AG141" i="94"/>
  <c r="AR141" i="94" s="1"/>
  <c r="B59" i="47"/>
  <c r="R58" i="47"/>
  <c r="Q58" i="47"/>
  <c r="AG142" i="93"/>
  <c r="A142" i="93"/>
  <c r="S143" i="93"/>
  <c r="AG142" i="94"/>
  <c r="BC142" i="94" s="1"/>
  <c r="S143" i="94"/>
  <c r="A142" i="94"/>
  <c r="B60" i="47"/>
  <c r="Q59" i="47"/>
  <c r="R59" i="47"/>
  <c r="AG143" i="93"/>
  <c r="A143" i="93"/>
  <c r="S144" i="93"/>
  <c r="A143" i="94"/>
  <c r="S144" i="94"/>
  <c r="AG143" i="94"/>
  <c r="BC143" i="94" s="1"/>
  <c r="B61" i="47"/>
  <c r="Q60" i="47"/>
  <c r="R60" i="47"/>
  <c r="AG144" i="93"/>
  <c r="A144" i="93"/>
  <c r="S145" i="93"/>
  <c r="S145" i="94"/>
  <c r="AG144" i="94"/>
  <c r="BC144" i="94" s="1"/>
  <c r="A144" i="94"/>
  <c r="B62" i="47"/>
  <c r="R61" i="47"/>
  <c r="Q61" i="47"/>
  <c r="A145" i="93"/>
  <c r="AG145" i="93"/>
  <c r="BC145" i="93" s="1"/>
  <c r="S146" i="93"/>
  <c r="AG145" i="94"/>
  <c r="S146" i="94"/>
  <c r="A145" i="94"/>
  <c r="B63" i="47"/>
  <c r="R62" i="47"/>
  <c r="Q62" i="47"/>
  <c r="S147" i="93"/>
  <c r="AG146" i="93"/>
  <c r="A146" i="93"/>
  <c r="A146" i="94"/>
  <c r="AG146" i="94"/>
  <c r="S147" i="94"/>
  <c r="B64" i="47"/>
  <c r="Q63" i="47"/>
  <c r="R63" i="47"/>
  <c r="S148" i="93"/>
  <c r="AG147" i="93"/>
  <c r="A147" i="93"/>
  <c r="AG147" i="94"/>
  <c r="AR147" i="94" s="1"/>
  <c r="A147" i="94"/>
  <c r="S148" i="94"/>
  <c r="P64" i="47"/>
  <c r="M64" i="47"/>
  <c r="K64" i="47"/>
  <c r="R64" i="47"/>
  <c r="O64" i="47"/>
  <c r="L64" i="47"/>
  <c r="N64" i="47"/>
  <c r="J64" i="47"/>
  <c r="I64" i="47"/>
  <c r="H64" i="47"/>
  <c r="F64" i="47"/>
  <c r="B65" i="47"/>
  <c r="G64" i="47"/>
  <c r="Q64" i="47"/>
  <c r="S149" i="93"/>
  <c r="A148" i="93"/>
  <c r="AG148" i="93"/>
  <c r="A148" i="94"/>
  <c r="AG148" i="94"/>
  <c r="S149" i="94"/>
  <c r="Q65" i="47"/>
  <c r="B66" i="47"/>
  <c r="R65" i="47"/>
  <c r="S150" i="93"/>
  <c r="AG149" i="93"/>
  <c r="BC149" i="93" s="1"/>
  <c r="A149" i="93"/>
  <c r="AG149" i="94"/>
  <c r="A149" i="94"/>
  <c r="S150" i="94"/>
  <c r="R66" i="47"/>
  <c r="B67" i="47"/>
  <c r="Q66" i="47"/>
  <c r="A150" i="93"/>
  <c r="S151" i="93"/>
  <c r="AG150" i="93"/>
  <c r="AG150" i="94"/>
  <c r="A150" i="94"/>
  <c r="S151" i="94"/>
  <c r="R67" i="47"/>
  <c r="B68" i="47"/>
  <c r="Q67" i="47"/>
  <c r="A151" i="93"/>
  <c r="S152" i="93"/>
  <c r="AG151" i="93"/>
  <c r="AR151" i="93" s="1"/>
  <c r="AG151" i="94"/>
  <c r="AR151" i="94" s="1"/>
  <c r="A151" i="94"/>
  <c r="S152" i="94"/>
  <c r="R68" i="47"/>
  <c r="P68" i="47"/>
  <c r="N68" i="47"/>
  <c r="M68" i="47"/>
  <c r="K68" i="47"/>
  <c r="J68" i="47"/>
  <c r="I68" i="47"/>
  <c r="H68" i="47"/>
  <c r="G68" i="47"/>
  <c r="F68" i="47"/>
  <c r="Q68" i="47"/>
  <c r="O68" i="47"/>
  <c r="L68" i="47"/>
  <c r="B69" i="47"/>
  <c r="A152" i="93"/>
  <c r="S153" i="93"/>
  <c r="AG152" i="93"/>
  <c r="AR152" i="93" s="1"/>
  <c r="A152" i="94"/>
  <c r="AG152" i="94"/>
  <c r="BC152" i="94" s="1"/>
  <c r="S153" i="94"/>
  <c r="B70" i="47"/>
  <c r="R69" i="47"/>
  <c r="Q69" i="47"/>
  <c r="AG153" i="93"/>
  <c r="S154" i="93"/>
  <c r="A153" i="93"/>
  <c r="AG153" i="94"/>
  <c r="BC153" i="94" s="1"/>
  <c r="A153" i="94"/>
  <c r="S154" i="94"/>
  <c r="R70" i="47"/>
  <c r="Q70" i="47"/>
  <c r="B71" i="47"/>
  <c r="A154" i="93"/>
  <c r="S155" i="93"/>
  <c r="AG154" i="93"/>
  <c r="AR154" i="93" s="1"/>
  <c r="S155" i="94"/>
  <c r="AG154" i="94"/>
  <c r="A154" i="94"/>
  <c r="Q71" i="47"/>
  <c r="B72" i="47"/>
  <c r="R71" i="47"/>
  <c r="S156" i="93"/>
  <c r="AG155" i="93"/>
  <c r="BC155" i="93" s="1"/>
  <c r="A155" i="93"/>
  <c r="S156" i="94"/>
  <c r="AG155" i="94"/>
  <c r="AR155" i="94" s="1"/>
  <c r="A155" i="94"/>
  <c r="B73" i="47"/>
  <c r="Q72" i="47"/>
  <c r="R72" i="47"/>
  <c r="S157" i="93"/>
  <c r="A156" i="93"/>
  <c r="AG156" i="93"/>
  <c r="S157" i="94"/>
  <c r="AG156" i="94"/>
  <c r="A156" i="94"/>
  <c r="R73" i="47"/>
  <c r="B74" i="47"/>
  <c r="Q73" i="47"/>
  <c r="S158" i="93"/>
  <c r="AG157" i="93"/>
  <c r="A157" i="93"/>
  <c r="A157" i="94"/>
  <c r="S158" i="94"/>
  <c r="AG157" i="94"/>
  <c r="R74" i="47"/>
  <c r="K74" i="47"/>
  <c r="F74" i="47"/>
  <c r="J74" i="47"/>
  <c r="H74" i="47"/>
  <c r="E74" i="47"/>
  <c r="N74" i="47"/>
  <c r="O74" i="47"/>
  <c r="B75" i="47"/>
  <c r="Q74" i="47"/>
  <c r="P74" i="47"/>
  <c r="M74" i="47"/>
  <c r="G74" i="47"/>
  <c r="L74" i="47"/>
  <c r="I74" i="47"/>
  <c r="AG158" i="93"/>
  <c r="A158" i="93"/>
  <c r="S159" i="93"/>
  <c r="A158" i="94"/>
  <c r="S159" i="94"/>
  <c r="AG158" i="94"/>
  <c r="P75" i="47"/>
  <c r="F75" i="47"/>
  <c r="H75" i="47"/>
  <c r="G75" i="47"/>
  <c r="J75" i="47"/>
  <c r="L75" i="47"/>
  <c r="R75" i="47"/>
  <c r="O75" i="47"/>
  <c r="Q75" i="47"/>
  <c r="E75" i="47"/>
  <c r="I75" i="47"/>
  <c r="N75" i="47"/>
  <c r="M75" i="47"/>
  <c r="B76" i="47"/>
  <c r="K75" i="47"/>
  <c r="AG159" i="93"/>
  <c r="A159" i="93"/>
  <c r="S160" i="93"/>
  <c r="S160" i="94"/>
  <c r="AG159" i="94"/>
  <c r="AR159" i="94" s="1"/>
  <c r="A159" i="94"/>
  <c r="O76" i="47"/>
  <c r="L76" i="47"/>
  <c r="K76" i="47"/>
  <c r="N76" i="47"/>
  <c r="M76" i="47"/>
  <c r="G76" i="47"/>
  <c r="B77" i="47"/>
  <c r="J76" i="47"/>
  <c r="I76" i="47"/>
  <c r="F76" i="47"/>
  <c r="H76" i="47"/>
  <c r="R76" i="47"/>
  <c r="Q76" i="47"/>
  <c r="P76" i="47"/>
  <c r="A160" i="93"/>
  <c r="S161" i="93"/>
  <c r="AG160" i="93"/>
  <c r="S161" i="94"/>
  <c r="A160" i="94"/>
  <c r="AG160" i="94"/>
  <c r="Q77" i="47"/>
  <c r="R77" i="47"/>
  <c r="B78" i="47"/>
  <c r="A161" i="93"/>
  <c r="AG161" i="93"/>
  <c r="AR161" i="93" s="1"/>
  <c r="S162" i="93"/>
  <c r="A161" i="94"/>
  <c r="AG161" i="94"/>
  <c r="BC161" i="94" s="1"/>
  <c r="S162" i="94"/>
  <c r="B79" i="47"/>
  <c r="R78" i="47"/>
  <c r="Q78" i="47"/>
  <c r="A162" i="93"/>
  <c r="AG162" i="93"/>
  <c r="AR162" i="93" s="1"/>
  <c r="S163" i="93"/>
  <c r="AG162" i="94"/>
  <c r="S163" i="94"/>
  <c r="A162" i="94"/>
  <c r="Q79" i="47"/>
  <c r="B80" i="47"/>
  <c r="R79" i="47"/>
  <c r="A163" i="93"/>
  <c r="AG163" i="93"/>
  <c r="BC163" i="93" s="1"/>
  <c r="S164" i="93"/>
  <c r="AG163" i="94"/>
  <c r="S164" i="94"/>
  <c r="A163" i="94"/>
  <c r="R80" i="47"/>
  <c r="B81" i="47"/>
  <c r="Q80" i="47"/>
  <c r="A164" i="93"/>
  <c r="AG164" i="93"/>
  <c r="S165" i="93"/>
  <c r="AR163" i="93"/>
  <c r="A164" i="94"/>
  <c r="AG164" i="94"/>
  <c r="S165" i="94"/>
  <c r="B82" i="47"/>
  <c r="R81" i="47"/>
  <c r="Q81" i="47"/>
  <c r="AG165" i="93"/>
  <c r="AR165" i="93" s="1"/>
  <c r="A165" i="93"/>
  <c r="S166" i="93"/>
  <c r="AR164" i="93"/>
  <c r="AG165" i="94"/>
  <c r="S166" i="94"/>
  <c r="A165" i="94"/>
  <c r="AR164" i="94"/>
  <c r="B83" i="47"/>
  <c r="G82" i="47"/>
  <c r="O82" i="47"/>
  <c r="K82" i="47"/>
  <c r="J82" i="47"/>
  <c r="Q82" i="47"/>
  <c r="E82" i="47"/>
  <c r="M82" i="47"/>
  <c r="N82" i="47"/>
  <c r="I82" i="47"/>
  <c r="F82" i="47"/>
  <c r="L82" i="47"/>
  <c r="P82" i="47"/>
  <c r="H82" i="47"/>
  <c r="R82" i="47"/>
  <c r="S167" i="93"/>
  <c r="AG166" i="93"/>
  <c r="A166" i="93"/>
  <c r="AG166" i="94"/>
  <c r="BC166" i="94" s="1"/>
  <c r="S167" i="94"/>
  <c r="A166" i="94"/>
  <c r="O83" i="47"/>
  <c r="E83" i="47"/>
  <c r="A84" i="47" s="1"/>
  <c r="M83" i="47"/>
  <c r="Q83" i="47"/>
  <c r="I83" i="47"/>
  <c r="B84" i="47"/>
  <c r="F83" i="47"/>
  <c r="G83" i="47"/>
  <c r="P83" i="47"/>
  <c r="R83" i="47"/>
  <c r="H83" i="47"/>
  <c r="L83" i="47"/>
  <c r="N83" i="47"/>
  <c r="K83" i="47"/>
  <c r="J83" i="47"/>
  <c r="S168" i="93"/>
  <c r="AG167" i="93"/>
  <c r="AR167" i="93" s="1"/>
  <c r="A167" i="93"/>
  <c r="A167" i="94"/>
  <c r="S168" i="94"/>
  <c r="AG167" i="94"/>
  <c r="AR167" i="94" s="1"/>
  <c r="K84" i="47"/>
  <c r="L84" i="47"/>
  <c r="J84" i="47"/>
  <c r="B85" i="47"/>
  <c r="R84" i="47"/>
  <c r="O84" i="47"/>
  <c r="Q84" i="47"/>
  <c r="M84" i="47"/>
  <c r="G84" i="47"/>
  <c r="H84" i="47"/>
  <c r="P84" i="47"/>
  <c r="E84" i="47"/>
  <c r="A83" i="47"/>
  <c r="F84" i="47"/>
  <c r="I84" i="47"/>
  <c r="N84" i="47"/>
  <c r="S169" i="93"/>
  <c r="AG168" i="93"/>
  <c r="A168" i="93"/>
  <c r="A168" i="94"/>
  <c r="S169" i="94"/>
  <c r="AG168" i="94"/>
  <c r="J85" i="47"/>
  <c r="E85" i="47"/>
  <c r="A85" i="47" s="1"/>
  <c r="H85" i="47"/>
  <c r="Q85" i="47"/>
  <c r="N85" i="47"/>
  <c r="O85" i="47"/>
  <c r="I85" i="47"/>
  <c r="G85" i="47"/>
  <c r="F85" i="47"/>
  <c r="P85" i="47"/>
  <c r="L85" i="47"/>
  <c r="K85" i="47"/>
  <c r="B86" i="47"/>
  <c r="R85" i="47"/>
  <c r="M85" i="47"/>
  <c r="S170" i="93"/>
  <c r="AG169" i="93"/>
  <c r="A169" i="93"/>
  <c r="AG169" i="94"/>
  <c r="S170" i="94"/>
  <c r="A169" i="94"/>
  <c r="R86" i="47"/>
  <c r="N86" i="47"/>
  <c r="K86" i="47"/>
  <c r="Q86" i="47"/>
  <c r="O86" i="47"/>
  <c r="J86" i="47"/>
  <c r="B87" i="47"/>
  <c r="I86" i="47"/>
  <c r="E86" i="47"/>
  <c r="G86" i="47"/>
  <c r="M86" i="47"/>
  <c r="F86" i="47"/>
  <c r="H86" i="47"/>
  <c r="P86" i="47"/>
  <c r="L86" i="47"/>
  <c r="S171" i="93"/>
  <c r="AG170" i="93"/>
  <c r="AR170" i="93" s="1"/>
  <c r="A170" i="93"/>
  <c r="AG170" i="94"/>
  <c r="A170" i="94"/>
  <c r="S171" i="94"/>
  <c r="K87" i="47"/>
  <c r="E87" i="47"/>
  <c r="A86" i="47" s="1"/>
  <c r="H87" i="47"/>
  <c r="Q87" i="47"/>
  <c r="G87" i="47"/>
  <c r="P87" i="47"/>
  <c r="J87" i="47"/>
  <c r="R87" i="47"/>
  <c r="N87" i="47"/>
  <c r="O87" i="47"/>
  <c r="F87" i="47"/>
  <c r="I87" i="47"/>
  <c r="M87" i="47"/>
  <c r="B88" i="47"/>
  <c r="L87" i="47"/>
  <c r="AG171" i="93"/>
  <c r="S172" i="93"/>
  <c r="A171" i="93"/>
  <c r="A171" i="94"/>
  <c r="AG171" i="94"/>
  <c r="S172" i="94"/>
  <c r="B89" i="47"/>
  <c r="L88" i="47"/>
  <c r="G88" i="47"/>
  <c r="E88" i="47"/>
  <c r="O88" i="47"/>
  <c r="K88" i="47"/>
  <c r="F88" i="47"/>
  <c r="R88" i="47"/>
  <c r="M88" i="47"/>
  <c r="J88" i="47"/>
  <c r="P88" i="47"/>
  <c r="Q88" i="47"/>
  <c r="N88" i="47"/>
  <c r="I88" i="47"/>
  <c r="H88" i="47"/>
  <c r="A87" i="47"/>
  <c r="AG172" i="93"/>
  <c r="A172" i="93"/>
  <c r="AG172" i="94"/>
  <c r="A172" i="94"/>
  <c r="K89" i="47"/>
  <c r="R89" i="47"/>
  <c r="P89" i="47"/>
  <c r="G89" i="47"/>
  <c r="L89" i="47"/>
  <c r="J89" i="47"/>
  <c r="E89" i="47"/>
  <c r="Q89" i="47"/>
  <c r="O89" i="47"/>
  <c r="M89" i="47"/>
  <c r="H89" i="47"/>
  <c r="I89" i="47"/>
  <c r="B90" i="47"/>
  <c r="F89" i="47"/>
  <c r="N89" i="47"/>
  <c r="A88" i="47"/>
  <c r="I90" i="47"/>
  <c r="N90" i="47"/>
  <c r="M90" i="47"/>
  <c r="G90" i="47"/>
  <c r="H90" i="47"/>
  <c r="F90" i="47"/>
  <c r="Q90" i="47"/>
  <c r="J90" i="47"/>
  <c r="B91" i="47"/>
  <c r="O90" i="47"/>
  <c r="L90" i="47"/>
  <c r="R90" i="47"/>
  <c r="P90" i="47"/>
  <c r="K90" i="47"/>
  <c r="E90" i="47"/>
  <c r="L91" i="47"/>
  <c r="Q91" i="47"/>
  <c r="R91" i="47"/>
  <c r="K91" i="47"/>
  <c r="F91" i="47"/>
  <c r="E91" i="47"/>
  <c r="A90" i="47" s="1"/>
  <c r="H91" i="47"/>
  <c r="G91" i="47"/>
  <c r="P91" i="47"/>
  <c r="M91" i="47"/>
  <c r="B92" i="47"/>
  <c r="O91" i="47"/>
  <c r="J91" i="47"/>
  <c r="I91" i="47"/>
  <c r="N91" i="47"/>
  <c r="A89" i="47"/>
  <c r="F92" i="47"/>
  <c r="B93" i="47"/>
  <c r="G92" i="47"/>
  <c r="J92" i="47"/>
  <c r="E92" i="47"/>
  <c r="A93" i="47" s="1"/>
  <c r="P92" i="47"/>
  <c r="K92" i="47"/>
  <c r="H92" i="47"/>
  <c r="I92" i="47"/>
  <c r="Q92" i="47"/>
  <c r="N92" i="47"/>
  <c r="L92" i="47"/>
  <c r="R92" i="47"/>
  <c r="O92" i="47"/>
  <c r="M92" i="47"/>
  <c r="K93" i="47"/>
  <c r="P93" i="47"/>
  <c r="L93" i="47"/>
  <c r="B94" i="47"/>
  <c r="J93" i="47"/>
  <c r="N93" i="47"/>
  <c r="I93" i="47"/>
  <c r="G93" i="47"/>
  <c r="R93" i="47"/>
  <c r="H93" i="47"/>
  <c r="Q93" i="47"/>
  <c r="E93" i="47"/>
  <c r="O93" i="47"/>
  <c r="M93" i="47"/>
  <c r="F93" i="47"/>
  <c r="G94" i="47"/>
  <c r="L94" i="47"/>
  <c r="E94" i="47"/>
  <c r="F94" i="47"/>
  <c r="P94" i="47"/>
  <c r="M94" i="47"/>
  <c r="K94" i="47"/>
  <c r="O94" i="47"/>
  <c r="N94" i="47"/>
  <c r="Q94" i="47"/>
  <c r="R94" i="47"/>
  <c r="B95" i="47"/>
  <c r="H94" i="47"/>
  <c r="J94" i="47"/>
  <c r="I94" i="47"/>
  <c r="E95" i="47"/>
  <c r="R95" i="47"/>
  <c r="M95" i="47"/>
  <c r="K95" i="47"/>
  <c r="B96" i="47"/>
  <c r="L95" i="47"/>
  <c r="P95" i="47"/>
  <c r="N95" i="47"/>
  <c r="I95" i="47"/>
  <c r="O95" i="47"/>
  <c r="H95" i="47"/>
  <c r="G95" i="47"/>
  <c r="J95" i="47"/>
  <c r="F95" i="47"/>
  <c r="Q95" i="47"/>
  <c r="R96" i="47"/>
  <c r="I96" i="47"/>
  <c r="H96" i="47"/>
  <c r="B97" i="47"/>
  <c r="L96" i="47"/>
  <c r="J96" i="47"/>
  <c r="P96" i="47"/>
  <c r="O96" i="47"/>
  <c r="G96" i="47"/>
  <c r="N96" i="47"/>
  <c r="F96" i="47"/>
  <c r="Q96" i="47"/>
  <c r="M96" i="47"/>
  <c r="E96" i="47"/>
  <c r="A95" i="47" s="1"/>
  <c r="K96" i="47"/>
  <c r="I97" i="47"/>
  <c r="E97" i="47"/>
  <c r="P97" i="47"/>
  <c r="J97" i="47"/>
  <c r="Q97" i="47"/>
  <c r="F97" i="47"/>
  <c r="O97" i="47"/>
  <c r="H97" i="47"/>
  <c r="B98" i="47"/>
  <c r="G97" i="47"/>
  <c r="L97" i="47"/>
  <c r="K97" i="47"/>
  <c r="R97" i="47"/>
  <c r="N97" i="47"/>
  <c r="M97" i="47"/>
  <c r="H98" i="47"/>
  <c r="I98" i="47"/>
  <c r="R98" i="47"/>
  <c r="K98" i="47"/>
  <c r="L98" i="47"/>
  <c r="F98" i="47"/>
  <c r="Q98" i="47"/>
  <c r="N98" i="47"/>
  <c r="G98" i="47"/>
  <c r="O98" i="47"/>
  <c r="M98" i="47"/>
  <c r="P98" i="47"/>
  <c r="J98" i="47"/>
  <c r="B99" i="47"/>
  <c r="E98" i="47"/>
  <c r="N99" i="47"/>
  <c r="L99" i="47"/>
  <c r="J99" i="47"/>
  <c r="H99" i="47"/>
  <c r="B100" i="47"/>
  <c r="K99" i="47"/>
  <c r="I99" i="47"/>
  <c r="Q99" i="47"/>
  <c r="M99" i="47"/>
  <c r="G99" i="47"/>
  <c r="E99" i="47"/>
  <c r="A98" i="47"/>
  <c r="P99" i="47"/>
  <c r="F99" i="47"/>
  <c r="O99" i="47"/>
  <c r="R99" i="47"/>
  <c r="J100" i="47"/>
  <c r="P100" i="47"/>
  <c r="G100" i="47"/>
  <c r="E100" i="47"/>
  <c r="L186" i="36" s="1"/>
  <c r="F100" i="47"/>
  <c r="L100" i="47"/>
  <c r="I100" i="47"/>
  <c r="H100" i="47"/>
  <c r="K100" i="47"/>
  <c r="N100" i="47"/>
  <c r="M100" i="47"/>
  <c r="B101" i="47"/>
  <c r="O100" i="47"/>
  <c r="R100" i="47"/>
  <c r="Q100" i="47"/>
  <c r="J101" i="47"/>
  <c r="G101" i="47"/>
  <c r="O101" i="47"/>
  <c r="R101" i="47"/>
  <c r="B102" i="47"/>
  <c r="I101" i="47"/>
  <c r="K101" i="47"/>
  <c r="Q101" i="47"/>
  <c r="N101" i="47"/>
  <c r="M101" i="47"/>
  <c r="L101" i="47"/>
  <c r="H101" i="47"/>
  <c r="F101" i="47"/>
  <c r="E101" i="47"/>
  <c r="P101" i="47"/>
  <c r="R102" i="47"/>
  <c r="B103" i="47"/>
  <c r="H102" i="47"/>
  <c r="E102" i="47"/>
  <c r="Q102" i="47"/>
  <c r="N102" i="47"/>
  <c r="K102" i="47"/>
  <c r="M102" i="47"/>
  <c r="G102" i="47"/>
  <c r="I102" i="47"/>
  <c r="F102" i="47"/>
  <c r="P102" i="47"/>
  <c r="L102" i="47"/>
  <c r="O102" i="47"/>
  <c r="J102" i="47"/>
  <c r="F103" i="47"/>
  <c r="Q103" i="47"/>
  <c r="P103" i="47"/>
  <c r="O103" i="47"/>
  <c r="N103" i="47"/>
  <c r="B104" i="47"/>
  <c r="L103" i="47"/>
  <c r="H103" i="47"/>
  <c r="E103" i="47"/>
  <c r="M103" i="47"/>
  <c r="R103" i="47"/>
  <c r="J103" i="47"/>
  <c r="G103" i="47"/>
  <c r="K103" i="47"/>
  <c r="I103" i="47"/>
  <c r="H104" i="47"/>
  <c r="R104" i="47"/>
  <c r="B105" i="47"/>
  <c r="F104" i="47"/>
  <c r="N104" i="47"/>
  <c r="M104" i="47"/>
  <c r="E104" i="47"/>
  <c r="G104" i="47"/>
  <c r="K104" i="47"/>
  <c r="I104" i="47"/>
  <c r="J104" i="47"/>
  <c r="Q104" i="47"/>
  <c r="P104" i="47"/>
  <c r="L104" i="47"/>
  <c r="O104" i="47"/>
  <c r="G105" i="47"/>
  <c r="R105" i="47"/>
  <c r="L105" i="47"/>
  <c r="K105" i="47"/>
  <c r="O105" i="47"/>
  <c r="P105" i="47"/>
  <c r="I105" i="47"/>
  <c r="F105" i="47"/>
  <c r="M105" i="47"/>
  <c r="H105" i="47"/>
  <c r="E105" i="47"/>
  <c r="A104" i="47"/>
  <c r="Q105" i="47"/>
  <c r="J105" i="47"/>
  <c r="B106" i="47"/>
  <c r="N105" i="47"/>
  <c r="Q106" i="47"/>
  <c r="O106" i="47"/>
  <c r="I106" i="47"/>
  <c r="R106" i="47"/>
  <c r="N106" i="47"/>
  <c r="F106" i="47"/>
  <c r="P106" i="47"/>
  <c r="M106" i="47"/>
  <c r="L106" i="47"/>
  <c r="H106" i="47"/>
  <c r="K106" i="47"/>
  <c r="J106" i="47"/>
  <c r="E106" i="47"/>
  <c r="A106" i="47" s="1"/>
  <c r="G106" i="47"/>
  <c r="F15" i="47"/>
  <c r="G15" i="47"/>
  <c r="H15" i="47"/>
  <c r="I15" i="47"/>
  <c r="J15" i="47"/>
  <c r="K15" i="47"/>
  <c r="L15" i="47"/>
  <c r="M15" i="47"/>
  <c r="N15" i="47"/>
  <c r="O15" i="47"/>
  <c r="P15" i="47"/>
  <c r="E18" i="47"/>
  <c r="F18" i="47"/>
  <c r="G18" i="47"/>
  <c r="H18" i="47"/>
  <c r="I18" i="47"/>
  <c r="J18" i="47"/>
  <c r="K18" i="47"/>
  <c r="L18" i="47"/>
  <c r="M18" i="47"/>
  <c r="N18" i="47"/>
  <c r="O18" i="47"/>
  <c r="P18" i="47"/>
  <c r="E20" i="47"/>
  <c r="F20" i="47"/>
  <c r="G20" i="47"/>
  <c r="H20" i="47"/>
  <c r="I20" i="47"/>
  <c r="J20" i="47"/>
  <c r="K20" i="47"/>
  <c r="L20" i="47"/>
  <c r="M20" i="47"/>
  <c r="N20" i="47"/>
  <c r="O20" i="47"/>
  <c r="P20" i="47"/>
  <c r="F21" i="47"/>
  <c r="G21" i="47"/>
  <c r="H21" i="47"/>
  <c r="I21" i="47"/>
  <c r="J21" i="47"/>
  <c r="K21" i="47"/>
  <c r="L21" i="47"/>
  <c r="M21" i="47"/>
  <c r="N21" i="47"/>
  <c r="O21" i="47"/>
  <c r="P21" i="47"/>
  <c r="E25" i="47"/>
  <c r="F25" i="47"/>
  <c r="G25" i="47"/>
  <c r="H25" i="47"/>
  <c r="I25" i="47"/>
  <c r="J25" i="47"/>
  <c r="K25" i="47"/>
  <c r="L25" i="47"/>
  <c r="M25" i="47"/>
  <c r="N25" i="47"/>
  <c r="O25" i="47"/>
  <c r="P25" i="47"/>
  <c r="E27" i="47"/>
  <c r="F27" i="47"/>
  <c r="G27" i="47"/>
  <c r="H27" i="47"/>
  <c r="I27" i="47"/>
  <c r="J27" i="47"/>
  <c r="K27" i="47"/>
  <c r="L27" i="47"/>
  <c r="M27" i="47"/>
  <c r="N27" i="47"/>
  <c r="O27" i="47"/>
  <c r="P27" i="47"/>
  <c r="E31" i="47"/>
  <c r="F31" i="47"/>
  <c r="G31" i="47"/>
  <c r="H31" i="47"/>
  <c r="I31" i="47"/>
  <c r="J31" i="47"/>
  <c r="K31" i="47"/>
  <c r="L31" i="47"/>
  <c r="M31" i="47"/>
  <c r="N31" i="47"/>
  <c r="O31" i="47"/>
  <c r="P31" i="47"/>
  <c r="F34" i="47"/>
  <c r="G34" i="47"/>
  <c r="H34" i="47"/>
  <c r="I34" i="47"/>
  <c r="J34" i="47"/>
  <c r="K34" i="47"/>
  <c r="L34" i="47"/>
  <c r="M34" i="47"/>
  <c r="N34" i="47"/>
  <c r="O34" i="47"/>
  <c r="P34" i="47"/>
  <c r="E48" i="47"/>
  <c r="F48" i="47"/>
  <c r="G48" i="47"/>
  <c r="H48" i="47"/>
  <c r="I48" i="47"/>
  <c r="J48" i="47"/>
  <c r="K48" i="47"/>
  <c r="L48" i="47"/>
  <c r="M48" i="47"/>
  <c r="N48" i="47"/>
  <c r="O48" i="47"/>
  <c r="P48" i="47"/>
  <c r="E50" i="47"/>
  <c r="F50" i="47"/>
  <c r="G50" i="47"/>
  <c r="H50" i="47"/>
  <c r="I50" i="47"/>
  <c r="J50" i="47"/>
  <c r="K50" i="47"/>
  <c r="L50" i="47"/>
  <c r="M50" i="47"/>
  <c r="N50" i="47"/>
  <c r="O50" i="47"/>
  <c r="P50" i="47"/>
  <c r="F51" i="47"/>
  <c r="G51" i="47"/>
  <c r="H51" i="47"/>
  <c r="I51" i="47"/>
  <c r="J51" i="47"/>
  <c r="K51" i="47"/>
  <c r="L51" i="47"/>
  <c r="M51" i="47"/>
  <c r="N51" i="47"/>
  <c r="O51" i="47"/>
  <c r="P51" i="47"/>
  <c r="E55" i="47"/>
  <c r="F55" i="47"/>
  <c r="G55" i="47"/>
  <c r="H55" i="47"/>
  <c r="I55" i="47"/>
  <c r="J55" i="47"/>
  <c r="K55" i="47"/>
  <c r="L55" i="47"/>
  <c r="M55" i="47"/>
  <c r="N55" i="47"/>
  <c r="O55" i="47"/>
  <c r="P55" i="47"/>
  <c r="E60" i="47"/>
  <c r="F60" i="47"/>
  <c r="G60" i="47"/>
  <c r="H60" i="47"/>
  <c r="I60" i="47"/>
  <c r="J60" i="47"/>
  <c r="K60" i="47"/>
  <c r="L60" i="47"/>
  <c r="M60" i="47"/>
  <c r="N60" i="47"/>
  <c r="O60" i="47"/>
  <c r="P60" i="47"/>
  <c r="E62" i="47"/>
  <c r="F62" i="47"/>
  <c r="G62" i="47"/>
  <c r="H62" i="47"/>
  <c r="I62" i="47"/>
  <c r="J62" i="47"/>
  <c r="K62" i="47"/>
  <c r="L62" i="47"/>
  <c r="M62" i="47"/>
  <c r="N62" i="47"/>
  <c r="O62" i="47"/>
  <c r="P62" i="47"/>
  <c r="E64" i="47"/>
  <c r="E66" i="47"/>
  <c r="F66" i="47"/>
  <c r="G66" i="47"/>
  <c r="H66" i="47"/>
  <c r="I66" i="47"/>
  <c r="J66" i="47"/>
  <c r="K66" i="47"/>
  <c r="L66" i="47"/>
  <c r="M66" i="47"/>
  <c r="N66" i="47"/>
  <c r="O66" i="47"/>
  <c r="P66" i="47"/>
  <c r="E67" i="47"/>
  <c r="F67" i="47"/>
  <c r="G67" i="47"/>
  <c r="H67" i="47"/>
  <c r="I67" i="47"/>
  <c r="J67" i="47"/>
  <c r="K67" i="47"/>
  <c r="L67" i="47"/>
  <c r="M67" i="47"/>
  <c r="N67" i="47"/>
  <c r="O67" i="47"/>
  <c r="P67" i="47"/>
  <c r="E76" i="47"/>
  <c r="A75" i="47"/>
  <c r="E77" i="47"/>
  <c r="F77" i="47"/>
  <c r="G77" i="47"/>
  <c r="H77" i="47"/>
  <c r="I77" i="47"/>
  <c r="J77" i="47"/>
  <c r="K77" i="47"/>
  <c r="L77" i="47"/>
  <c r="M77" i="47"/>
  <c r="N77" i="47"/>
  <c r="O77" i="47"/>
  <c r="P77" i="47"/>
  <c r="E78" i="47"/>
  <c r="G126" i="47" s="1"/>
  <c r="F78" i="47"/>
  <c r="G78" i="47"/>
  <c r="H78" i="47"/>
  <c r="I78" i="47"/>
  <c r="J78" i="47"/>
  <c r="K78" i="47"/>
  <c r="L78" i="47"/>
  <c r="M78" i="47"/>
  <c r="N78" i="47"/>
  <c r="O78" i="47"/>
  <c r="P78" i="47"/>
  <c r="E79" i="47"/>
  <c r="F79" i="47"/>
  <c r="G79" i="47"/>
  <c r="H79" i="47"/>
  <c r="I79" i="47"/>
  <c r="J79" i="47"/>
  <c r="K79" i="47"/>
  <c r="L79" i="47"/>
  <c r="M79" i="47"/>
  <c r="N79" i="47"/>
  <c r="O79" i="47"/>
  <c r="P79" i="47"/>
  <c r="E80" i="47"/>
  <c r="A81" i="47" s="1"/>
  <c r="F80" i="47"/>
  <c r="G80" i="47"/>
  <c r="H80" i="47"/>
  <c r="I80" i="47"/>
  <c r="J80" i="47"/>
  <c r="K80" i="47"/>
  <c r="L80" i="47"/>
  <c r="M80" i="47"/>
  <c r="N80" i="47"/>
  <c r="O80" i="47"/>
  <c r="P80" i="47"/>
  <c r="E81" i="47"/>
  <c r="A82" i="47" s="1"/>
  <c r="F81" i="47"/>
  <c r="G81" i="47"/>
  <c r="H81" i="47"/>
  <c r="I81" i="47"/>
  <c r="J81" i="47"/>
  <c r="K81" i="47"/>
  <c r="L81" i="47"/>
  <c r="M81" i="47"/>
  <c r="N81" i="47"/>
  <c r="O81" i="47"/>
  <c r="P81" i="47"/>
  <c r="E8" i="47"/>
  <c r="F8" i="47"/>
  <c r="G8" i="47"/>
  <c r="H8" i="47"/>
  <c r="I8" i="47"/>
  <c r="J8" i="47"/>
  <c r="K8" i="47"/>
  <c r="L8" i="47"/>
  <c r="M8" i="47"/>
  <c r="N8" i="47"/>
  <c r="O8" i="47"/>
  <c r="P8" i="47"/>
  <c r="E9" i="47"/>
  <c r="E10" i="47"/>
  <c r="F10" i="47"/>
  <c r="G10" i="47"/>
  <c r="H10" i="47"/>
  <c r="I10" i="47"/>
  <c r="J10" i="47"/>
  <c r="K10" i="47"/>
  <c r="L10" i="47"/>
  <c r="M10" i="47"/>
  <c r="N10" i="47"/>
  <c r="O10" i="47"/>
  <c r="P10" i="47"/>
  <c r="E11" i="47"/>
  <c r="A12" i="47" s="1"/>
  <c r="F11" i="47"/>
  <c r="G11" i="47"/>
  <c r="H11" i="47"/>
  <c r="I11" i="47"/>
  <c r="J11" i="47"/>
  <c r="K11" i="47"/>
  <c r="L11" i="47"/>
  <c r="M11" i="47"/>
  <c r="N11" i="47"/>
  <c r="O11" i="47"/>
  <c r="P11" i="47"/>
  <c r="E12" i="47"/>
  <c r="A13" i="47" s="1"/>
  <c r="F12" i="47"/>
  <c r="G12" i="47"/>
  <c r="H12" i="47"/>
  <c r="I12" i="47"/>
  <c r="J12" i="47"/>
  <c r="K12" i="47"/>
  <c r="L12" i="47"/>
  <c r="M12" i="47"/>
  <c r="N12" i="47"/>
  <c r="O12" i="47"/>
  <c r="P12" i="47"/>
  <c r="E13" i="47"/>
  <c r="F13" i="47"/>
  <c r="G13" i="47"/>
  <c r="H13" i="47"/>
  <c r="I13" i="47"/>
  <c r="J13" i="47"/>
  <c r="K13" i="47"/>
  <c r="L13" i="47"/>
  <c r="M13" i="47"/>
  <c r="N13" i="47"/>
  <c r="O13" i="47"/>
  <c r="P13" i="47"/>
  <c r="E15" i="47"/>
  <c r="A14" i="47"/>
  <c r="E16" i="47"/>
  <c r="A17" i="47" s="1"/>
  <c r="F16" i="47"/>
  <c r="G16" i="47"/>
  <c r="H16" i="47"/>
  <c r="I16" i="47"/>
  <c r="J16" i="47"/>
  <c r="K16" i="47"/>
  <c r="L16" i="47"/>
  <c r="M16" i="47"/>
  <c r="N16" i="47"/>
  <c r="O16" i="47"/>
  <c r="P16" i="47"/>
  <c r="E17" i="47"/>
  <c r="F17" i="47"/>
  <c r="G17" i="47"/>
  <c r="H17" i="47"/>
  <c r="I17" i="47"/>
  <c r="J17" i="47"/>
  <c r="K17" i="47"/>
  <c r="L17" i="47"/>
  <c r="M17" i="47"/>
  <c r="N17" i="47"/>
  <c r="O17" i="47"/>
  <c r="P17" i="47"/>
  <c r="E19" i="47"/>
  <c r="F19" i="47"/>
  <c r="G19" i="47"/>
  <c r="H19" i="47"/>
  <c r="I19" i="47"/>
  <c r="J19" i="47"/>
  <c r="K19" i="47"/>
  <c r="L19" i="47"/>
  <c r="M19" i="47"/>
  <c r="N19" i="47"/>
  <c r="O19" i="47"/>
  <c r="P19" i="47"/>
  <c r="E21" i="47"/>
  <c r="A20" i="47" s="1"/>
  <c r="E22" i="47"/>
  <c r="F22" i="47"/>
  <c r="G22" i="47"/>
  <c r="H22" i="47"/>
  <c r="I22" i="47"/>
  <c r="J22" i="47"/>
  <c r="K22" i="47"/>
  <c r="L22" i="47"/>
  <c r="M22" i="47"/>
  <c r="N22" i="47"/>
  <c r="O22" i="47"/>
  <c r="P22" i="47"/>
  <c r="E23" i="47"/>
  <c r="A24" i="47"/>
  <c r="F23" i="47"/>
  <c r="G23" i="47"/>
  <c r="H23" i="47"/>
  <c r="I23" i="47"/>
  <c r="J23" i="47"/>
  <c r="K23" i="47"/>
  <c r="L23" i="47"/>
  <c r="M23" i="47"/>
  <c r="N23" i="47"/>
  <c r="O23" i="47"/>
  <c r="P23" i="47"/>
  <c r="E24" i="47"/>
  <c r="A23" i="47" s="1"/>
  <c r="F24" i="47"/>
  <c r="G24" i="47"/>
  <c r="H24" i="47"/>
  <c r="I24" i="47"/>
  <c r="J24" i="47"/>
  <c r="K24" i="47"/>
  <c r="L24" i="47"/>
  <c r="M24" i="47"/>
  <c r="N24" i="47"/>
  <c r="O24" i="47"/>
  <c r="P24" i="47"/>
  <c r="E26" i="47"/>
  <c r="A27" i="47" s="1"/>
  <c r="F26" i="47"/>
  <c r="G26" i="47"/>
  <c r="H26" i="47"/>
  <c r="I26" i="47"/>
  <c r="J26" i="47"/>
  <c r="K26" i="47"/>
  <c r="L26" i="47"/>
  <c r="M26" i="47"/>
  <c r="N26" i="47"/>
  <c r="O26" i="47"/>
  <c r="P26" i="47"/>
  <c r="E28" i="47"/>
  <c r="A28" i="47"/>
  <c r="E29" i="47"/>
  <c r="A30" i="47"/>
  <c r="F29" i="47"/>
  <c r="G29" i="47"/>
  <c r="H29" i="47"/>
  <c r="I29" i="47"/>
  <c r="J29" i="47"/>
  <c r="K29" i="47"/>
  <c r="L29" i="47"/>
  <c r="M29" i="47"/>
  <c r="N29" i="47"/>
  <c r="O29" i="47"/>
  <c r="P29" i="47"/>
  <c r="E30" i="47"/>
  <c r="A31" i="47" s="1"/>
  <c r="F30" i="47"/>
  <c r="G30" i="47"/>
  <c r="H30" i="47"/>
  <c r="I30" i="47"/>
  <c r="J30" i="47"/>
  <c r="K30" i="47"/>
  <c r="L30" i="47"/>
  <c r="M30" i="47"/>
  <c r="N30" i="47"/>
  <c r="O30" i="47"/>
  <c r="P30" i="47"/>
  <c r="E32" i="47"/>
  <c r="A32" i="47" s="1"/>
  <c r="F32" i="47"/>
  <c r="G32" i="47"/>
  <c r="H32" i="47"/>
  <c r="I32" i="47"/>
  <c r="J32" i="47"/>
  <c r="K32" i="47"/>
  <c r="L32" i="47"/>
  <c r="M32" i="47"/>
  <c r="N32" i="47"/>
  <c r="O32" i="47"/>
  <c r="P32" i="47"/>
  <c r="E34" i="47"/>
  <c r="E35" i="47"/>
  <c r="A36" i="47" s="1"/>
  <c r="F35" i="47"/>
  <c r="G35" i="47"/>
  <c r="H35" i="47"/>
  <c r="I35" i="47"/>
  <c r="J35" i="47"/>
  <c r="K35" i="47"/>
  <c r="L35" i="47"/>
  <c r="M35" i="47"/>
  <c r="N35" i="47"/>
  <c r="O35" i="47"/>
  <c r="P35" i="47"/>
  <c r="E36" i="47"/>
  <c r="F36" i="47"/>
  <c r="G36" i="47"/>
  <c r="H36" i="47"/>
  <c r="I36" i="47"/>
  <c r="J36" i="47"/>
  <c r="K36" i="47"/>
  <c r="L36" i="47"/>
  <c r="M36" i="47"/>
  <c r="N36" i="47"/>
  <c r="O36" i="47"/>
  <c r="P36" i="47"/>
  <c r="E37" i="47"/>
  <c r="F37" i="47"/>
  <c r="G37" i="47"/>
  <c r="H37" i="47"/>
  <c r="I37" i="47"/>
  <c r="J37" i="47"/>
  <c r="K37" i="47"/>
  <c r="L37" i="47"/>
  <c r="M37" i="47"/>
  <c r="N37" i="47"/>
  <c r="O37" i="47"/>
  <c r="P37" i="47"/>
  <c r="E38" i="47"/>
  <c r="A37" i="47" s="1"/>
  <c r="F38" i="47"/>
  <c r="G38" i="47"/>
  <c r="H38" i="47"/>
  <c r="I38" i="47"/>
  <c r="J38" i="47"/>
  <c r="K38" i="47"/>
  <c r="L38" i="47"/>
  <c r="M38" i="47"/>
  <c r="N38" i="47"/>
  <c r="O38" i="47"/>
  <c r="P38" i="47"/>
  <c r="E39" i="47"/>
  <c r="F39" i="47"/>
  <c r="G39" i="47"/>
  <c r="H39" i="47"/>
  <c r="I39" i="47"/>
  <c r="J39" i="47"/>
  <c r="K39" i="47"/>
  <c r="L39" i="47"/>
  <c r="M39" i="47"/>
  <c r="N39" i="47"/>
  <c r="O39" i="47"/>
  <c r="P39" i="47"/>
  <c r="E40" i="47"/>
  <c r="A40" i="47" s="1"/>
  <c r="F40" i="47"/>
  <c r="G40" i="47"/>
  <c r="H40" i="47"/>
  <c r="I40" i="47"/>
  <c r="J40" i="47"/>
  <c r="K40" i="47"/>
  <c r="L40" i="47"/>
  <c r="M40" i="47"/>
  <c r="N40" i="47"/>
  <c r="O40" i="47"/>
  <c r="P40" i="47"/>
  <c r="E41" i="47"/>
  <c r="A42" i="47" s="1"/>
  <c r="F41" i="47"/>
  <c r="G41" i="47"/>
  <c r="H41" i="47"/>
  <c r="I41" i="47"/>
  <c r="J41" i="47"/>
  <c r="K41" i="47"/>
  <c r="L41" i="47"/>
  <c r="M41" i="47"/>
  <c r="N41" i="47"/>
  <c r="O41" i="47"/>
  <c r="P41" i="47"/>
  <c r="E42" i="47"/>
  <c r="A43" i="47" s="1"/>
  <c r="F42" i="47"/>
  <c r="G42" i="47"/>
  <c r="H42" i="47"/>
  <c r="I42" i="47"/>
  <c r="J42" i="47"/>
  <c r="K42" i="47"/>
  <c r="L42" i="47"/>
  <c r="M42" i="47"/>
  <c r="N42" i="47"/>
  <c r="O42" i="47"/>
  <c r="P42" i="47"/>
  <c r="E43" i="47"/>
  <c r="F43" i="47"/>
  <c r="G43" i="47"/>
  <c r="H43" i="47"/>
  <c r="I43" i="47"/>
  <c r="J43" i="47"/>
  <c r="K43" i="47"/>
  <c r="L43" i="47"/>
  <c r="M43" i="47"/>
  <c r="N43" i="47"/>
  <c r="O43" i="47"/>
  <c r="P43" i="47"/>
  <c r="E44" i="47"/>
  <c r="F44" i="47"/>
  <c r="G44" i="47"/>
  <c r="H44" i="47"/>
  <c r="I44" i="47"/>
  <c r="J44" i="47"/>
  <c r="K44" i="47"/>
  <c r="L44" i="47"/>
  <c r="M44" i="47"/>
  <c r="N44" i="47"/>
  <c r="O44" i="47"/>
  <c r="P44" i="47"/>
  <c r="E45" i="47"/>
  <c r="A46" i="47"/>
  <c r="F45" i="47"/>
  <c r="G45" i="47"/>
  <c r="H45" i="47"/>
  <c r="I45" i="47"/>
  <c r="J45" i="47"/>
  <c r="K45" i="47"/>
  <c r="L45" i="47"/>
  <c r="M45" i="47"/>
  <c r="N45" i="47"/>
  <c r="O45" i="47"/>
  <c r="P45" i="47"/>
  <c r="E46" i="47"/>
  <c r="A45" i="47" s="1"/>
  <c r="F46" i="47"/>
  <c r="G46" i="47"/>
  <c r="H46" i="47"/>
  <c r="I46" i="47"/>
  <c r="J46" i="47"/>
  <c r="K46" i="47"/>
  <c r="L46" i="47"/>
  <c r="M46" i="47"/>
  <c r="N46" i="47"/>
  <c r="O46" i="47"/>
  <c r="P46" i="47"/>
  <c r="A47" i="47"/>
  <c r="E47" i="47"/>
  <c r="A48" i="47" s="1"/>
  <c r="F47" i="47"/>
  <c r="G47" i="47"/>
  <c r="H47" i="47"/>
  <c r="I47" i="47"/>
  <c r="J47" i="47"/>
  <c r="K47" i="47"/>
  <c r="L47" i="47"/>
  <c r="M47" i="47"/>
  <c r="N47" i="47"/>
  <c r="O47" i="47"/>
  <c r="P47" i="47"/>
  <c r="E49" i="47"/>
  <c r="A50" i="47" s="1"/>
  <c r="F49" i="47"/>
  <c r="G49" i="47"/>
  <c r="H49" i="47"/>
  <c r="I49" i="47"/>
  <c r="J49" i="47"/>
  <c r="K49" i="47"/>
  <c r="L49" i="47"/>
  <c r="M49" i="47"/>
  <c r="N49" i="47"/>
  <c r="O49" i="47"/>
  <c r="P49" i="47"/>
  <c r="E51" i="47"/>
  <c r="A51" i="47"/>
  <c r="E52" i="47"/>
  <c r="F52" i="47"/>
  <c r="G52" i="47"/>
  <c r="H52" i="47"/>
  <c r="I52" i="47"/>
  <c r="J52" i="47"/>
  <c r="K52" i="47"/>
  <c r="L52" i="47"/>
  <c r="M52" i="47"/>
  <c r="N52" i="47"/>
  <c r="O52" i="47"/>
  <c r="P52" i="47"/>
  <c r="E53" i="47"/>
  <c r="A54" i="47" s="1"/>
  <c r="F53" i="47"/>
  <c r="G53" i="47"/>
  <c r="H53" i="47"/>
  <c r="I53" i="47"/>
  <c r="J53" i="47"/>
  <c r="K53" i="47"/>
  <c r="L53" i="47"/>
  <c r="M53" i="47"/>
  <c r="N53" i="47"/>
  <c r="O53" i="47"/>
  <c r="P53" i="47"/>
  <c r="E54" i="47"/>
  <c r="A55" i="47" s="1"/>
  <c r="F54" i="47"/>
  <c r="G54" i="47"/>
  <c r="H54" i="47"/>
  <c r="I54" i="47"/>
  <c r="J54" i="47"/>
  <c r="K54" i="47"/>
  <c r="L54" i="47"/>
  <c r="M54" i="47"/>
  <c r="N54" i="47"/>
  <c r="O54" i="47"/>
  <c r="P54" i="47"/>
  <c r="E56" i="47"/>
  <c r="A56" i="47"/>
  <c r="E57" i="47"/>
  <c r="F57" i="47"/>
  <c r="G57" i="47"/>
  <c r="H57" i="47"/>
  <c r="I57" i="47"/>
  <c r="J57" i="47"/>
  <c r="K57" i="47"/>
  <c r="L57" i="47"/>
  <c r="M57" i="47"/>
  <c r="N57" i="47"/>
  <c r="O57" i="47"/>
  <c r="P57" i="47"/>
  <c r="E58" i="47"/>
  <c r="F58" i="47"/>
  <c r="G58" i="47"/>
  <c r="H58" i="47"/>
  <c r="I58" i="47"/>
  <c r="J58" i="47"/>
  <c r="K58" i="47"/>
  <c r="L58" i="47"/>
  <c r="M58" i="47"/>
  <c r="N58" i="47"/>
  <c r="O58" i="47"/>
  <c r="P58" i="47"/>
  <c r="E59" i="47"/>
  <c r="A60" i="47" s="1"/>
  <c r="F59" i="47"/>
  <c r="G59" i="47"/>
  <c r="H59" i="47"/>
  <c r="I59" i="47"/>
  <c r="J59" i="47"/>
  <c r="K59" i="47"/>
  <c r="L59" i="47"/>
  <c r="M59" i="47"/>
  <c r="N59" i="47"/>
  <c r="O59" i="47"/>
  <c r="P59" i="47"/>
  <c r="E61" i="47"/>
  <c r="A61" i="47" s="1"/>
  <c r="F61" i="47"/>
  <c r="G61" i="47"/>
  <c r="H61" i="47"/>
  <c r="I61" i="47"/>
  <c r="J61" i="47"/>
  <c r="K61" i="47"/>
  <c r="L61" i="47"/>
  <c r="M61" i="47"/>
  <c r="N61" i="47"/>
  <c r="O61" i="47"/>
  <c r="P61" i="47"/>
  <c r="A62" i="47"/>
  <c r="A63" i="47"/>
  <c r="E63" i="47"/>
  <c r="F63" i="47"/>
  <c r="G63" i="47"/>
  <c r="H63" i="47"/>
  <c r="I63" i="47"/>
  <c r="J63" i="47"/>
  <c r="K63" i="47"/>
  <c r="L63" i="47"/>
  <c r="M63" i="47"/>
  <c r="N63" i="47"/>
  <c r="O63" i="47"/>
  <c r="P63" i="47"/>
  <c r="E65" i="47"/>
  <c r="A66" i="47" s="1"/>
  <c r="F65" i="47"/>
  <c r="G65" i="47"/>
  <c r="H65" i="47"/>
  <c r="I65" i="47"/>
  <c r="J65" i="47"/>
  <c r="K65" i="47"/>
  <c r="L65" i="47"/>
  <c r="M65" i="47"/>
  <c r="N65" i="47"/>
  <c r="O65" i="47"/>
  <c r="P65" i="47"/>
  <c r="E68" i="47"/>
  <c r="A67" i="47"/>
  <c r="E69" i="47"/>
  <c r="F69" i="47"/>
  <c r="G69" i="47"/>
  <c r="H69" i="47"/>
  <c r="I69" i="47"/>
  <c r="J69" i="47"/>
  <c r="K69" i="47"/>
  <c r="L69" i="47"/>
  <c r="M69" i="47"/>
  <c r="N69" i="47"/>
  <c r="O69" i="47"/>
  <c r="P69" i="47"/>
  <c r="E70" i="47"/>
  <c r="F70" i="47"/>
  <c r="G70" i="47"/>
  <c r="H70" i="47"/>
  <c r="I70" i="47"/>
  <c r="J70" i="47"/>
  <c r="K70" i="47"/>
  <c r="L70" i="47"/>
  <c r="M70" i="47"/>
  <c r="N70" i="47"/>
  <c r="O70" i="47"/>
  <c r="P70" i="47"/>
  <c r="E71" i="47"/>
  <c r="A70" i="47" s="1"/>
  <c r="F71" i="47"/>
  <c r="G71" i="47"/>
  <c r="H71" i="47"/>
  <c r="I71" i="47"/>
  <c r="J71" i="47"/>
  <c r="K71" i="47"/>
  <c r="L71" i="47"/>
  <c r="M71" i="47"/>
  <c r="N71" i="47"/>
  <c r="O71" i="47"/>
  <c r="P71" i="47"/>
  <c r="E72" i="47"/>
  <c r="A73" i="47"/>
  <c r="F72" i="47"/>
  <c r="G72" i="47"/>
  <c r="H72" i="47"/>
  <c r="I72" i="47"/>
  <c r="J72" i="47"/>
  <c r="K72" i="47"/>
  <c r="L72" i="47"/>
  <c r="M72" i="47"/>
  <c r="N72" i="47"/>
  <c r="O72" i="47"/>
  <c r="P72" i="47"/>
  <c r="E73" i="47"/>
  <c r="F73" i="47"/>
  <c r="G73" i="47"/>
  <c r="H73" i="47"/>
  <c r="I73" i="47"/>
  <c r="J73" i="47"/>
  <c r="K73" i="47"/>
  <c r="L73" i="47"/>
  <c r="M73" i="47"/>
  <c r="N73" i="47"/>
  <c r="O73" i="47"/>
  <c r="P73" i="47"/>
  <c r="A74" i="47"/>
  <c r="L96" i="36"/>
  <c r="L149" i="36"/>
  <c r="L222" i="36"/>
  <c r="L275" i="36"/>
  <c r="A58" i="47"/>
  <c r="A26" i="47"/>
  <c r="A22" i="47"/>
  <c r="A9" i="47"/>
  <c r="A35" i="47"/>
  <c r="A25" i="47"/>
  <c r="A71" i="47"/>
  <c r="A53" i="47"/>
  <c r="A38" i="47"/>
  <c r="A21" i="47"/>
  <c r="A41" i="47"/>
  <c r="A34" i="47"/>
  <c r="A16" i="47"/>
  <c r="A44" i="47"/>
  <c r="A29" i="47"/>
  <c r="A65" i="47"/>
  <c r="A15" i="47"/>
  <c r="A11" i="47"/>
  <c r="A64" i="47"/>
  <c r="A59" i="47"/>
  <c r="A69" i="47"/>
  <c r="A72" i="47"/>
  <c r="L95" i="36"/>
  <c r="A68" i="47"/>
  <c r="A49" i="47"/>
  <c r="K77" i="36"/>
  <c r="K311" i="36" s="1"/>
  <c r="L311" i="36" s="1"/>
  <c r="A57" i="47"/>
  <c r="A52" i="47"/>
  <c r="L59" i="36"/>
  <c r="F26" i="88"/>
  <c r="D46" i="14"/>
  <c r="J46" i="14" s="1"/>
  <c r="D47" i="14"/>
  <c r="J47" i="14" s="1"/>
  <c r="D48" i="14"/>
  <c r="J48" i="14" s="1"/>
  <c r="D49" i="14"/>
  <c r="J49" i="14" s="1"/>
  <c r="D50" i="14"/>
  <c r="J50" i="14" s="1"/>
  <c r="D51" i="14"/>
  <c r="J51" i="14" s="1"/>
  <c r="D52" i="14"/>
  <c r="J52" i="14" s="1"/>
  <c r="D53" i="14"/>
  <c r="J53" i="14" s="1"/>
  <c r="H53" i="14"/>
  <c r="D54" i="14"/>
  <c r="J54" i="14" s="1"/>
  <c r="D55" i="14"/>
  <c r="J55" i="14" s="1"/>
  <c r="D56" i="14"/>
  <c r="J56" i="14" s="1"/>
  <c r="D57" i="14"/>
  <c r="J57" i="14" s="1"/>
  <c r="D58" i="14"/>
  <c r="J58" i="14" s="1"/>
  <c r="D59" i="14"/>
  <c r="J59" i="14" s="1"/>
  <c r="D60" i="14"/>
  <c r="J60" i="14" s="1"/>
  <c r="D61" i="14"/>
  <c r="J61" i="14" s="1"/>
  <c r="D62" i="14"/>
  <c r="J62" i="14" s="1"/>
  <c r="D63" i="14"/>
  <c r="J63" i="14" s="1"/>
  <c r="D64" i="14"/>
  <c r="J64" i="14" s="1"/>
  <c r="D65" i="14"/>
  <c r="J65" i="14" s="1"/>
  <c r="M48" i="14"/>
  <c r="M64" i="14"/>
  <c r="B17" i="14"/>
  <c r="B18" i="14" s="1"/>
  <c r="B46" i="14"/>
  <c r="B47" i="14"/>
  <c r="B48" i="14" s="1"/>
  <c r="B49" i="14" s="1"/>
  <c r="B50" i="14" s="1"/>
  <c r="B51" i="14" s="1"/>
  <c r="B52" i="14" s="1"/>
  <c r="B53" i="14" s="1"/>
  <c r="B54" i="14" s="1"/>
  <c r="B55" i="14" s="1"/>
  <c r="B56" i="14" s="1"/>
  <c r="B57" i="14" s="1"/>
  <c r="B58" i="14" s="1"/>
  <c r="B59" i="14" s="1"/>
  <c r="B60" i="14" s="1"/>
  <c r="B61" i="14" s="1"/>
  <c r="B62" i="14" s="1"/>
  <c r="B63" i="14" s="1"/>
  <c r="B64" i="14" s="1"/>
  <c r="B65" i="14" s="1"/>
  <c r="M97" i="113"/>
  <c r="S97" i="113"/>
  <c r="M98" i="113"/>
  <c r="M99" i="113"/>
  <c r="M100" i="113"/>
  <c r="D69" i="10"/>
  <c r="I72" i="60" l="1"/>
  <c r="G28" i="93"/>
  <c r="F38" i="115"/>
  <c r="A82" i="30"/>
  <c r="A81" i="30"/>
  <c r="A58" i="30"/>
  <c r="A83" i="30"/>
  <c r="A80" i="30"/>
  <c r="F291" i="36"/>
  <c r="H237" i="36"/>
  <c r="J291" i="36"/>
  <c r="M97" i="77"/>
  <c r="F165" i="36"/>
  <c r="A77" i="44"/>
  <c r="A78" i="44" s="1"/>
  <c r="A60" i="44"/>
  <c r="Q321" i="36"/>
  <c r="Q323" i="36"/>
  <c r="D321" i="10"/>
  <c r="D320" i="10"/>
  <c r="AC35" i="60"/>
  <c r="AY35" i="60" s="1"/>
  <c r="AC26" i="60"/>
  <c r="AY26" i="60" s="1"/>
  <c r="AW8" i="60"/>
  <c r="Q7" i="11"/>
  <c r="Z374" i="36"/>
  <c r="I133" i="68"/>
  <c r="K133" i="68" s="1"/>
  <c r="F112" i="68"/>
  <c r="F113" i="68"/>
  <c r="D93" i="68"/>
  <c r="E93" i="68" s="1"/>
  <c r="A93" i="68" s="1"/>
  <c r="I51" i="68"/>
  <c r="K51" i="68" s="1"/>
  <c r="H97" i="84" s="1"/>
  <c r="H94" i="84" s="1"/>
  <c r="J34" i="80"/>
  <c r="D116" i="60"/>
  <c r="V138" i="60"/>
  <c r="AK138" i="60" s="1"/>
  <c r="BG138" i="60" s="1"/>
  <c r="A137" i="60"/>
  <c r="F93" i="60"/>
  <c r="I93" i="60" s="1"/>
  <c r="F73" i="60"/>
  <c r="I73" i="60" s="1"/>
  <c r="K90" i="75"/>
  <c r="O90" i="75" s="1"/>
  <c r="A47" i="28"/>
  <c r="A31" i="28"/>
  <c r="H37" i="26"/>
  <c r="H43" i="26" s="1"/>
  <c r="H48" i="26" s="1"/>
  <c r="H53" i="26" s="1"/>
  <c r="H9" i="28" s="1"/>
  <c r="G9" i="28" s="1"/>
  <c r="G27" i="28" s="1"/>
  <c r="H27" i="28" s="1"/>
  <c r="A98" i="24"/>
  <c r="F9" i="4"/>
  <c r="E36" i="77"/>
  <c r="R163" i="91"/>
  <c r="W163" i="91" s="1"/>
  <c r="G21" i="78"/>
  <c r="G22" i="78" s="1"/>
  <c r="G24" i="78" s="1"/>
  <c r="A24" i="3"/>
  <c r="B23" i="3"/>
  <c r="B24" i="3"/>
  <c r="F94" i="60"/>
  <c r="I94" i="60" s="1"/>
  <c r="AH9" i="95"/>
  <c r="AH11" i="95" s="1"/>
  <c r="AH13" i="95" s="1"/>
  <c r="AF9" i="95"/>
  <c r="AF11" i="95" s="1"/>
  <c r="AF13" i="95" s="1"/>
  <c r="H21" i="78"/>
  <c r="H22" i="78" s="1"/>
  <c r="H24" i="78" s="1"/>
  <c r="I21" i="78"/>
  <c r="I22" i="78" s="1"/>
  <c r="I24" i="78" s="1"/>
  <c r="F21" i="78"/>
  <c r="F22" i="78" s="1"/>
  <c r="F24" i="78" s="1"/>
  <c r="G60" i="78" s="1"/>
  <c r="P17" i="75"/>
  <c r="J37" i="75" s="1"/>
  <c r="O12" i="12"/>
  <c r="F16" i="4"/>
  <c r="F11" i="4"/>
  <c r="F12" i="4" s="1"/>
  <c r="F17" i="4"/>
  <c r="F31" i="4"/>
  <c r="F39" i="4"/>
  <c r="F28" i="4"/>
  <c r="F10" i="4"/>
  <c r="F25" i="4"/>
  <c r="G26" i="4" s="1"/>
  <c r="E37" i="26"/>
  <c r="E43" i="26" s="1"/>
  <c r="E48" i="26" s="1"/>
  <c r="E53" i="26" s="1"/>
  <c r="H6" i="28" s="1"/>
  <c r="A32" i="28"/>
  <c r="N37" i="26"/>
  <c r="N43" i="26" s="1"/>
  <c r="N48" i="26" s="1"/>
  <c r="N53" i="26" s="1"/>
  <c r="H15" i="28" s="1"/>
  <c r="G15" i="28" s="1"/>
  <c r="G33" i="28" s="1"/>
  <c r="H33" i="28" s="1"/>
  <c r="M37" i="26"/>
  <c r="M43" i="26" s="1"/>
  <c r="M48" i="26" s="1"/>
  <c r="M53" i="26" s="1"/>
  <c r="M55" i="26" s="1"/>
  <c r="F79" i="75" s="1"/>
  <c r="K79" i="75" s="1"/>
  <c r="O79" i="75" s="1"/>
  <c r="O57" i="26"/>
  <c r="U130" i="27"/>
  <c r="U131" i="27" s="1"/>
  <c r="U132" i="27" s="1"/>
  <c r="A132" i="27" s="1"/>
  <c r="T129" i="27"/>
  <c r="I37" i="26"/>
  <c r="I43" i="26" s="1"/>
  <c r="I48" i="26" s="1"/>
  <c r="I53" i="26" s="1"/>
  <c r="I55" i="26" s="1"/>
  <c r="F75" i="75" s="1"/>
  <c r="K75" i="75" s="1"/>
  <c r="O75" i="75" s="1"/>
  <c r="A6" i="28"/>
  <c r="A16" i="28" s="1"/>
  <c r="E34" i="28"/>
  <c r="J37" i="26"/>
  <c r="J43" i="26" s="1"/>
  <c r="J48" i="26" s="1"/>
  <c r="J53" i="26" s="1"/>
  <c r="H11" i="28" s="1"/>
  <c r="G11" i="28" s="1"/>
  <c r="G29" i="28" s="1"/>
  <c r="H29" i="28" s="1"/>
  <c r="K37" i="26"/>
  <c r="K43" i="26" s="1"/>
  <c r="K48" i="26" s="1"/>
  <c r="K53" i="26" s="1"/>
  <c r="H12" i="28" s="1"/>
  <c r="G12" i="28" s="1"/>
  <c r="G30" i="28" s="1"/>
  <c r="H30" i="28" s="1"/>
  <c r="A26" i="28"/>
  <c r="E32" i="115"/>
  <c r="E30" i="115" s="1"/>
  <c r="A71" i="24"/>
  <c r="A99" i="24"/>
  <c r="A123" i="24"/>
  <c r="A95" i="24"/>
  <c r="A96" i="24" s="1"/>
  <c r="A97" i="24" s="1"/>
  <c r="A79" i="24"/>
  <c r="A107" i="24"/>
  <c r="A108" i="24" s="1"/>
  <c r="A109" i="24" s="1"/>
  <c r="I146" i="85"/>
  <c r="L54" i="85"/>
  <c r="J144" i="85"/>
  <c r="I144" i="85"/>
  <c r="L144" i="85"/>
  <c r="H54" i="84"/>
  <c r="E92" i="68" s="1"/>
  <c r="A92" i="68" s="1"/>
  <c r="G54" i="85"/>
  <c r="K54" i="84"/>
  <c r="Q5" i="11"/>
  <c r="AA5" i="11" s="1"/>
  <c r="A105" i="24"/>
  <c r="A78" i="24"/>
  <c r="I38" i="24"/>
  <c r="I45" i="24" s="1"/>
  <c r="I52" i="24" s="1"/>
  <c r="I55" i="24" s="1"/>
  <c r="I56" i="24" s="1"/>
  <c r="A72" i="24"/>
  <c r="H60" i="24"/>
  <c r="R152" i="24"/>
  <c r="R151" i="24"/>
  <c r="R150" i="24"/>
  <c r="F38" i="24"/>
  <c r="F45" i="24" s="1"/>
  <c r="F52" i="24" s="1"/>
  <c r="F55" i="24" s="1"/>
  <c r="A122" i="24"/>
  <c r="A73" i="24"/>
  <c r="A84" i="24"/>
  <c r="A85" i="24"/>
  <c r="G38" i="24"/>
  <c r="G45" i="24" s="1"/>
  <c r="G52" i="24" s="1"/>
  <c r="G55" i="24" s="1"/>
  <c r="G56" i="24" s="1"/>
  <c r="G62" i="24" s="1"/>
  <c r="A111" i="24"/>
  <c r="A110" i="24"/>
  <c r="H38" i="24"/>
  <c r="H45" i="24" s="1"/>
  <c r="H52" i="24" s="1"/>
  <c r="H55" i="24" s="1"/>
  <c r="H56" i="24" s="1"/>
  <c r="A90" i="24"/>
  <c r="D108" i="10"/>
  <c r="O169" i="24"/>
  <c r="V169" i="24" s="1"/>
  <c r="V174" i="24" s="1"/>
  <c r="D107" i="10"/>
  <c r="Q161" i="87"/>
  <c r="D100" i="10"/>
  <c r="E35" i="67"/>
  <c r="Q157" i="87"/>
  <c r="A35" i="67"/>
  <c r="A36" i="67" s="1"/>
  <c r="Q157" i="86"/>
  <c r="O168" i="24"/>
  <c r="D106" i="10"/>
  <c r="F95" i="60"/>
  <c r="I95" i="60" s="1"/>
  <c r="D96" i="60"/>
  <c r="AW134" i="60"/>
  <c r="BH134" i="60" s="1"/>
  <c r="AM134" i="60"/>
  <c r="AL137" i="60"/>
  <c r="BH137" i="60" s="1"/>
  <c r="AL138" i="60"/>
  <c r="BH138" i="60" s="1"/>
  <c r="AL136" i="60"/>
  <c r="BH136" i="60" s="1"/>
  <c r="AC34" i="60"/>
  <c r="AY34" i="60" s="1"/>
  <c r="AC16" i="60"/>
  <c r="AY16" i="60" s="1"/>
  <c r="AC36" i="60"/>
  <c r="AY36" i="60" s="1"/>
  <c r="F74" i="60"/>
  <c r="I74" i="60" s="1"/>
  <c r="D75" i="60"/>
  <c r="AC27" i="60"/>
  <c r="AY27" i="60" s="1"/>
  <c r="AC39" i="60"/>
  <c r="AY39" i="60" s="1"/>
  <c r="AX8" i="60"/>
  <c r="AC23" i="60"/>
  <c r="AY23" i="60" s="1"/>
  <c r="AC18" i="60"/>
  <c r="AY18" i="60" s="1"/>
  <c r="AC40" i="60"/>
  <c r="AY40" i="60" s="1"/>
  <c r="AU136" i="60"/>
  <c r="AC11" i="60"/>
  <c r="AY11" i="60" s="1"/>
  <c r="D52" i="60"/>
  <c r="D53" i="60" s="1"/>
  <c r="F51" i="60"/>
  <c r="J51" i="60" s="1"/>
  <c r="L51" i="60" s="1"/>
  <c r="AC14" i="60"/>
  <c r="AY14" i="60" s="1"/>
  <c r="AC15" i="60"/>
  <c r="AY15" i="60" s="1"/>
  <c r="AC24" i="60"/>
  <c r="AY24" i="60" s="1"/>
  <c r="AC12" i="60"/>
  <c r="AY12" i="60" s="1"/>
  <c r="AC10" i="60"/>
  <c r="AY10" i="60" s="1"/>
  <c r="AC33" i="60"/>
  <c r="AY33" i="60" s="1"/>
  <c r="AC41" i="60"/>
  <c r="AY41" i="60" s="1"/>
  <c r="AC42" i="60"/>
  <c r="AY42" i="60" s="1"/>
  <c r="AC13" i="60"/>
  <c r="AY13" i="60" s="1"/>
  <c r="AC30" i="60"/>
  <c r="AY30" i="60" s="1"/>
  <c r="AC31" i="60"/>
  <c r="AY31" i="60" s="1"/>
  <c r="AD8" i="60"/>
  <c r="AC20" i="60"/>
  <c r="AY20" i="60" s="1"/>
  <c r="AC19" i="60"/>
  <c r="AY19" i="60" s="1"/>
  <c r="AC29" i="60"/>
  <c r="AY29" i="60" s="1"/>
  <c r="AC28" i="60"/>
  <c r="AY28" i="60" s="1"/>
  <c r="AC9" i="60"/>
  <c r="AY9" i="60" s="1"/>
  <c r="AY8" i="60"/>
  <c r="AC25" i="60"/>
  <c r="AY25" i="60" s="1"/>
  <c r="AC32" i="60"/>
  <c r="AY32" i="60" s="1"/>
  <c r="AC43" i="60"/>
  <c r="AY43" i="60" s="1"/>
  <c r="R41" i="80"/>
  <c r="P43" i="80"/>
  <c r="J54" i="80"/>
  <c r="J52" i="80"/>
  <c r="J53" i="80"/>
  <c r="L51" i="80"/>
  <c r="N43" i="80"/>
  <c r="J33" i="80"/>
  <c r="H54" i="80"/>
  <c r="L5" i="80"/>
  <c r="H55" i="80"/>
  <c r="J8" i="80"/>
  <c r="J9" i="80" s="1"/>
  <c r="J11" i="80" s="1"/>
  <c r="J13" i="80" s="1"/>
  <c r="J55" i="80"/>
  <c r="A23" i="3"/>
  <c r="H58" i="93"/>
  <c r="K58" i="93" s="1"/>
  <c r="G59" i="93"/>
  <c r="H56" i="93"/>
  <c r="K56" i="93" s="1"/>
  <c r="G50" i="94"/>
  <c r="H54" i="93"/>
  <c r="K54" i="93" s="1"/>
  <c r="G62" i="93"/>
  <c r="G49" i="93"/>
  <c r="H49" i="93" s="1"/>
  <c r="K49" i="93" s="1"/>
  <c r="G50" i="93"/>
  <c r="H50" i="93" s="1"/>
  <c r="K50" i="93" s="1"/>
  <c r="G51" i="93"/>
  <c r="H51" i="93" s="1"/>
  <c r="K51" i="93" s="1"/>
  <c r="G52" i="93"/>
  <c r="H52" i="93" s="1"/>
  <c r="K52" i="93" s="1"/>
  <c r="H55" i="93"/>
  <c r="K55" i="93" s="1"/>
  <c r="G53" i="93"/>
  <c r="H53" i="93" s="1"/>
  <c r="K53" i="93" s="1"/>
  <c r="H62" i="93"/>
  <c r="K62" i="93" s="1"/>
  <c r="H57" i="93"/>
  <c r="K57" i="93" s="1"/>
  <c r="G54" i="93"/>
  <c r="G55" i="93"/>
  <c r="H63" i="93"/>
  <c r="K63" i="93" s="1"/>
  <c r="H59" i="93"/>
  <c r="K59" i="93" s="1"/>
  <c r="K83" i="93"/>
  <c r="M83" i="93" s="1"/>
  <c r="K76" i="93"/>
  <c r="K73" i="93"/>
  <c r="S165" i="92"/>
  <c r="X165" i="92" s="1"/>
  <c r="AC364" i="36"/>
  <c r="K79" i="93"/>
  <c r="M79" i="93" s="1"/>
  <c r="K75" i="93"/>
  <c r="A139" i="57"/>
  <c r="AS116" i="94"/>
  <c r="M43" i="11"/>
  <c r="K53" i="11"/>
  <c r="M49" i="11"/>
  <c r="K59" i="14"/>
  <c r="N60" i="14"/>
  <c r="N59" i="14"/>
  <c r="K14" i="14"/>
  <c r="N54" i="14"/>
  <c r="F16" i="14"/>
  <c r="F44" i="14"/>
  <c r="F15" i="14"/>
  <c r="L15" i="14"/>
  <c r="A137" i="30"/>
  <c r="AS12" i="68"/>
  <c r="U13" i="60"/>
  <c r="U18" i="60" s="1"/>
  <c r="U23" i="60" s="1"/>
  <c r="AB32" i="60"/>
  <c r="AX32" i="60" s="1"/>
  <c r="AS94" i="94"/>
  <c r="AS123" i="94"/>
  <c r="F46" i="115"/>
  <c r="AR127" i="93"/>
  <c r="BC167" i="93"/>
  <c r="R167" i="93" s="1"/>
  <c r="I9" i="93"/>
  <c r="K9" i="93" s="1"/>
  <c r="G38" i="94"/>
  <c r="H38" i="94" s="1"/>
  <c r="I38" i="94" s="1"/>
  <c r="G42" i="94"/>
  <c r="H42" i="94" s="1"/>
  <c r="I42" i="94" s="1"/>
  <c r="I19" i="94"/>
  <c r="K19" i="94" s="1"/>
  <c r="AB362" i="36"/>
  <c r="H29" i="94"/>
  <c r="G31" i="94"/>
  <c r="H31" i="94" s="1"/>
  <c r="G49" i="94"/>
  <c r="H49" i="94" s="1"/>
  <c r="K49" i="94" s="1"/>
  <c r="H36" i="94"/>
  <c r="I36" i="94" s="1"/>
  <c r="H53" i="94"/>
  <c r="K53" i="94" s="1"/>
  <c r="I9" i="94"/>
  <c r="K9" i="94" s="1"/>
  <c r="I98" i="91" s="1"/>
  <c r="G42" i="93"/>
  <c r="H42" i="93" s="1"/>
  <c r="I42" i="93" s="1"/>
  <c r="I18" i="94"/>
  <c r="K18" i="94" s="1"/>
  <c r="E40" i="28"/>
  <c r="E50" i="28" s="1"/>
  <c r="G29" i="94"/>
  <c r="G52" i="94"/>
  <c r="H52" i="94" s="1"/>
  <c r="K52" i="94" s="1"/>
  <c r="AR104" i="94"/>
  <c r="I17" i="94"/>
  <c r="K17" i="94" s="1"/>
  <c r="G71" i="93"/>
  <c r="G53" i="94"/>
  <c r="D11" i="115"/>
  <c r="G41" i="94"/>
  <c r="H41" i="94" s="1"/>
  <c r="I41" i="94" s="1"/>
  <c r="G54" i="94"/>
  <c r="H54" i="94" s="1"/>
  <c r="K54" i="94" s="1"/>
  <c r="H34" i="94"/>
  <c r="I34" i="94" s="1"/>
  <c r="E11" i="77"/>
  <c r="G28" i="94"/>
  <c r="H28" i="94" s="1"/>
  <c r="G55" i="94"/>
  <c r="H55" i="94" s="1"/>
  <c r="K55" i="94" s="1"/>
  <c r="H37" i="94"/>
  <c r="I37" i="94" s="1"/>
  <c r="G56" i="94"/>
  <c r="H56" i="94" s="1"/>
  <c r="K56" i="94" s="1"/>
  <c r="E6" i="28"/>
  <c r="E16" i="28" s="1"/>
  <c r="G57" i="94"/>
  <c r="H57" i="94" s="1"/>
  <c r="K57" i="94" s="1"/>
  <c r="O7" i="26"/>
  <c r="O54" i="26" s="1"/>
  <c r="G58" i="94"/>
  <c r="H58" i="94" s="1"/>
  <c r="K58" i="94" s="1"/>
  <c r="G59" i="94"/>
  <c r="H59" i="94" s="1"/>
  <c r="K59" i="94" s="1"/>
  <c r="G39" i="94"/>
  <c r="H39" i="94" s="1"/>
  <c r="I39" i="94" s="1"/>
  <c r="G35" i="94"/>
  <c r="H35" i="94" s="1"/>
  <c r="I35" i="94" s="1"/>
  <c r="G60" i="94"/>
  <c r="H63" i="94"/>
  <c r="K63" i="94" s="1"/>
  <c r="H30" i="94"/>
  <c r="G40" i="94"/>
  <c r="G61" i="94"/>
  <c r="I50" i="68"/>
  <c r="K50" i="68" s="1"/>
  <c r="G97" i="84" s="1"/>
  <c r="G96" i="84" s="1"/>
  <c r="G51" i="94"/>
  <c r="H51" i="94" s="1"/>
  <c r="K51" i="94" s="1"/>
  <c r="G62" i="94"/>
  <c r="H62" i="94" s="1"/>
  <c r="K62" i="94" s="1"/>
  <c r="H60" i="94"/>
  <c r="K60" i="94" s="1"/>
  <c r="H60" i="93"/>
  <c r="K60" i="93" s="1"/>
  <c r="H32" i="94"/>
  <c r="I10" i="93"/>
  <c r="K10" i="93" s="1"/>
  <c r="G33" i="94"/>
  <c r="H33" i="94" s="1"/>
  <c r="K234" i="36"/>
  <c r="AA369" i="36"/>
  <c r="Z376" i="36"/>
  <c r="AB369" i="36"/>
  <c r="K20" i="36"/>
  <c r="A20" i="36" s="1"/>
  <c r="AC375" i="36"/>
  <c r="K79" i="94"/>
  <c r="M79" i="94" s="1"/>
  <c r="Z375" i="36"/>
  <c r="AA363" i="36"/>
  <c r="K37" i="36"/>
  <c r="K39" i="36" s="1"/>
  <c r="AA376" i="36"/>
  <c r="Z372" i="36"/>
  <c r="P372" i="36" s="1"/>
  <c r="A372" i="36" s="1"/>
  <c r="E54" i="26"/>
  <c r="E17" i="24"/>
  <c r="E18" i="24" s="1"/>
  <c r="E36" i="67"/>
  <c r="D106" i="2"/>
  <c r="D86" i="10" s="1"/>
  <c r="F18" i="84"/>
  <c r="V162" i="24"/>
  <c r="V167" i="24" s="1"/>
  <c r="F15" i="91"/>
  <c r="E15" i="24"/>
  <c r="E16" i="24" s="1"/>
  <c r="D22" i="77"/>
  <c r="F18" i="85"/>
  <c r="F15" i="92"/>
  <c r="E22" i="77"/>
  <c r="E25" i="77" s="1"/>
  <c r="E73" i="24"/>
  <c r="V158" i="24"/>
  <c r="F18" i="30"/>
  <c r="D105" i="2"/>
  <c r="E15" i="86"/>
  <c r="E16" i="86" s="1"/>
  <c r="H14" i="12"/>
  <c r="I14" i="12" s="1"/>
  <c r="S31" i="79"/>
  <c r="A103" i="30"/>
  <c r="A104" i="30" s="1"/>
  <c r="A105" i="30" s="1"/>
  <c r="A101" i="30"/>
  <c r="T16" i="68"/>
  <c r="AH36" i="68"/>
  <c r="T36" i="68"/>
  <c r="Z14" i="68"/>
  <c r="AV14" i="68" s="1"/>
  <c r="Y16" i="68"/>
  <c r="AU16" i="68" s="1"/>
  <c r="Z32" i="68"/>
  <c r="AV32" i="68" s="1"/>
  <c r="T27" i="68"/>
  <c r="Y35" i="68"/>
  <c r="AU35" i="68" s="1"/>
  <c r="A138" i="30"/>
  <c r="Y36" i="68"/>
  <c r="AU36" i="68" s="1"/>
  <c r="A79" i="30"/>
  <c r="Z16" i="68"/>
  <c r="AV16" i="68" s="1"/>
  <c r="Y10" i="68"/>
  <c r="AU10" i="68" s="1"/>
  <c r="Z36" i="68"/>
  <c r="AV36" i="68" s="1"/>
  <c r="Y14" i="68"/>
  <c r="AU14" i="68" s="1"/>
  <c r="Y13" i="68"/>
  <c r="AU13" i="68" s="1"/>
  <c r="AI13" i="60"/>
  <c r="Z13" i="60"/>
  <c r="AV13" i="60" s="1"/>
  <c r="A141" i="57"/>
  <c r="A142" i="57" s="1"/>
  <c r="A143" i="57" s="1"/>
  <c r="AS106" i="94"/>
  <c r="AT32" i="60"/>
  <c r="U10" i="60"/>
  <c r="U15" i="60" s="1"/>
  <c r="U25" i="60" s="1"/>
  <c r="U30" i="60" s="1"/>
  <c r="U35" i="60" s="1"/>
  <c r="U40" i="60" s="1"/>
  <c r="X12" i="60"/>
  <c r="AI12" i="60" s="1"/>
  <c r="Z32" i="60"/>
  <c r="AV32" i="60" s="1"/>
  <c r="Z12" i="60"/>
  <c r="AV12" i="60" s="1"/>
  <c r="AT150" i="94"/>
  <c r="AB12" i="60"/>
  <c r="AX12" i="60" s="1"/>
  <c r="AS158" i="94"/>
  <c r="AB13" i="60"/>
  <c r="AX13" i="60" s="1"/>
  <c r="AA12" i="60"/>
  <c r="AW12" i="60" s="1"/>
  <c r="A115" i="57"/>
  <c r="AA32" i="60"/>
  <c r="AW32" i="60" s="1"/>
  <c r="AS140" i="93"/>
  <c r="AT104" i="93"/>
  <c r="A114" i="57"/>
  <c r="AA13" i="60"/>
  <c r="AW13" i="60" s="1"/>
  <c r="AB29" i="60"/>
  <c r="AX29" i="60" s="1"/>
  <c r="AT29" i="60"/>
  <c r="AB20" i="60"/>
  <c r="AX20" i="60" s="1"/>
  <c r="H44" i="92"/>
  <c r="A75" i="57"/>
  <c r="AB35" i="60"/>
  <c r="AX35" i="60" s="1"/>
  <c r="AA39" i="60"/>
  <c r="AW39" i="60" s="1"/>
  <c r="A70" i="57"/>
  <c r="AA19" i="60"/>
  <c r="AW19" i="60" s="1"/>
  <c r="A69" i="57"/>
  <c r="AB40" i="60"/>
  <c r="AX40" i="60" s="1"/>
  <c r="AS126" i="94"/>
  <c r="AB15" i="60"/>
  <c r="AX15" i="60" s="1"/>
  <c r="A135" i="57"/>
  <c r="A136" i="57" s="1"/>
  <c r="A137" i="57" s="1"/>
  <c r="A133" i="57"/>
  <c r="G36" i="91"/>
  <c r="G44" i="91" s="1"/>
  <c r="G47" i="91" s="1"/>
  <c r="G48" i="91" s="1"/>
  <c r="G54" i="91" s="1"/>
  <c r="AS151" i="94"/>
  <c r="AI20" i="60"/>
  <c r="AT94" i="94"/>
  <c r="A71" i="57"/>
  <c r="A73" i="57"/>
  <c r="AS123" i="93"/>
  <c r="AT27" i="60"/>
  <c r="A72" i="57"/>
  <c r="AB18" i="60"/>
  <c r="AX18" i="60" s="1"/>
  <c r="D182" i="10"/>
  <c r="AI39" i="60"/>
  <c r="Z39" i="60"/>
  <c r="AV39" i="60" s="1"/>
  <c r="Z19" i="60"/>
  <c r="AV19" i="60" s="1"/>
  <c r="AT98" i="94"/>
  <c r="A129" i="57"/>
  <c r="A130" i="57" s="1"/>
  <c r="A131" i="57" s="1"/>
  <c r="Z40" i="60"/>
  <c r="AV40" i="60" s="1"/>
  <c r="AB19" i="60"/>
  <c r="AX19" i="60" s="1"/>
  <c r="AA35" i="60"/>
  <c r="AW35" i="60" s="1"/>
  <c r="Z20" i="60"/>
  <c r="AV20" i="60" s="1"/>
  <c r="Z18" i="60"/>
  <c r="AV18" i="60" s="1"/>
  <c r="H56" i="95"/>
  <c r="A103" i="57"/>
  <c r="AA16" i="60"/>
  <c r="AW16" i="60" s="1"/>
  <c r="A126" i="57"/>
  <c r="AA18" i="60"/>
  <c r="AW18" i="60" s="1"/>
  <c r="AA20" i="60"/>
  <c r="AW20" i="60" s="1"/>
  <c r="AB39" i="60"/>
  <c r="AX39" i="60" s="1"/>
  <c r="Z35" i="60"/>
  <c r="AV35" i="60" s="1"/>
  <c r="Z34" i="60"/>
  <c r="AV34" i="60" s="1"/>
  <c r="AS98" i="94"/>
  <c r="AA40" i="60"/>
  <c r="AW40" i="60" s="1"/>
  <c r="AS130" i="94"/>
  <c r="AA15" i="60"/>
  <c r="AW15" i="60" s="1"/>
  <c r="Z15" i="60"/>
  <c r="AV15" i="60" s="1"/>
  <c r="Z27" i="60"/>
  <c r="AV27" i="60" s="1"/>
  <c r="A90" i="57"/>
  <c r="A93" i="57"/>
  <c r="A94" i="57" s="1"/>
  <c r="A95" i="57" s="1"/>
  <c r="AI35" i="60"/>
  <c r="AT120" i="93"/>
  <c r="AB14" i="60"/>
  <c r="AX14" i="60" s="1"/>
  <c r="A58" i="67"/>
  <c r="L88" i="77"/>
  <c r="F219" i="36"/>
  <c r="F57" i="36"/>
  <c r="J111" i="36"/>
  <c r="F237" i="36"/>
  <c r="J165" i="36"/>
  <c r="F201" i="36"/>
  <c r="H39" i="36"/>
  <c r="J183" i="36"/>
  <c r="L97" i="77"/>
  <c r="H129" i="36"/>
  <c r="M96" i="77"/>
  <c r="G75" i="36"/>
  <c r="M88" i="77"/>
  <c r="F147" i="36"/>
  <c r="H21" i="36"/>
  <c r="H201" i="36"/>
  <c r="J93" i="36"/>
  <c r="L92" i="77"/>
  <c r="L96" i="77"/>
  <c r="H57" i="36"/>
  <c r="I337" i="36"/>
  <c r="G337" i="36"/>
  <c r="I75" i="36"/>
  <c r="H147" i="36"/>
  <c r="M89" i="77"/>
  <c r="F111" i="36"/>
  <c r="L95" i="77"/>
  <c r="H273" i="36"/>
  <c r="L86" i="77"/>
  <c r="L89" i="77"/>
  <c r="M84" i="77"/>
  <c r="L84" i="77"/>
  <c r="F183" i="36"/>
  <c r="H255" i="36"/>
  <c r="E324" i="36"/>
  <c r="F324" i="36" s="1"/>
  <c r="M95" i="77"/>
  <c r="X39" i="11"/>
  <c r="A60" i="88"/>
  <c r="A61" i="88"/>
  <c r="A62" i="88"/>
  <c r="A63" i="88"/>
  <c r="A51" i="44"/>
  <c r="A52" i="44" s="1"/>
  <c r="K199" i="36"/>
  <c r="L196" i="36"/>
  <c r="K198" i="36"/>
  <c r="K196" i="36"/>
  <c r="K192" i="36"/>
  <c r="L197" i="36"/>
  <c r="AC373" i="36"/>
  <c r="K217" i="36"/>
  <c r="K194" i="36"/>
  <c r="K193" i="36"/>
  <c r="L192" i="36"/>
  <c r="L193" i="36"/>
  <c r="K197" i="36"/>
  <c r="K181" i="36"/>
  <c r="AC369" i="36"/>
  <c r="AC368" i="36"/>
  <c r="AC367" i="36"/>
  <c r="AB367" i="36"/>
  <c r="L88" i="36"/>
  <c r="L85" i="36"/>
  <c r="K86" i="36"/>
  <c r="K87" i="36"/>
  <c r="L87" i="36"/>
  <c r="L92" i="36"/>
  <c r="A79" i="44"/>
  <c r="A338" i="36"/>
  <c r="Q332" i="36"/>
  <c r="L85" i="77"/>
  <c r="M85" i="77"/>
  <c r="E355" i="36"/>
  <c r="Q329" i="36"/>
  <c r="A98" i="77"/>
  <c r="Q334" i="36"/>
  <c r="Q324" i="36"/>
  <c r="M86" i="77"/>
  <c r="Q335" i="36"/>
  <c r="Q326" i="36"/>
  <c r="Q333" i="36"/>
  <c r="Q325" i="36"/>
  <c r="Q336" i="36"/>
  <c r="Q327" i="36"/>
  <c r="Q331" i="36"/>
  <c r="Q328" i="36"/>
  <c r="Q330" i="36"/>
  <c r="A45" i="44"/>
  <c r="A355" i="36"/>
  <c r="N47" i="11"/>
  <c r="O47" i="11"/>
  <c r="K54" i="11"/>
  <c r="N46" i="11"/>
  <c r="K46" i="11"/>
  <c r="M63" i="113" s="1"/>
  <c r="D63" i="113" s="1"/>
  <c r="N42" i="11"/>
  <c r="L46" i="11"/>
  <c r="N43" i="11"/>
  <c r="O46" i="11"/>
  <c r="N51" i="11"/>
  <c r="M47" i="11"/>
  <c r="M55" i="11"/>
  <c r="N50" i="11"/>
  <c r="L50" i="11"/>
  <c r="M50" i="11"/>
  <c r="L42" i="11"/>
  <c r="K42" i="11"/>
  <c r="AF22" i="113" s="1"/>
  <c r="Y5" i="113" s="1"/>
  <c r="N54" i="11"/>
  <c r="M54" i="11"/>
  <c r="D33" i="10"/>
  <c r="BJ2" i="114"/>
  <c r="BI2" i="114"/>
  <c r="E14" i="14"/>
  <c r="N16" i="14"/>
  <c r="K43" i="14"/>
  <c r="N58" i="14"/>
  <c r="H52" i="14"/>
  <c r="H63" i="14"/>
  <c r="H50" i="14"/>
  <c r="H62" i="14"/>
  <c r="H60" i="14"/>
  <c r="N57" i="14"/>
  <c r="I45" i="14"/>
  <c r="N56" i="14"/>
  <c r="H61" i="14"/>
  <c r="H51" i="14"/>
  <c r="I16" i="14"/>
  <c r="N55" i="14"/>
  <c r="O16" i="14"/>
  <c r="N15" i="14"/>
  <c r="K45" i="14"/>
  <c r="N51" i="14"/>
  <c r="K16" i="14"/>
  <c r="L14" i="14"/>
  <c r="N50" i="14"/>
  <c r="H58" i="14"/>
  <c r="H48" i="14"/>
  <c r="E45" i="14"/>
  <c r="L43" i="14"/>
  <c r="F14" i="14"/>
  <c r="H43" i="14"/>
  <c r="N65" i="14"/>
  <c r="N64" i="14"/>
  <c r="N47" i="14"/>
  <c r="H56" i="14"/>
  <c r="H46" i="14"/>
  <c r="N14" i="14"/>
  <c r="H59" i="14"/>
  <c r="N46" i="14"/>
  <c r="N43" i="14"/>
  <c r="N63" i="14"/>
  <c r="H65" i="14"/>
  <c r="H55" i="14"/>
  <c r="N53" i="14"/>
  <c r="H49" i="14"/>
  <c r="N49" i="14"/>
  <c r="N62" i="14"/>
  <c r="N52" i="14"/>
  <c r="N48" i="14"/>
  <c r="H57" i="14"/>
  <c r="H47" i="14"/>
  <c r="N61" i="14"/>
  <c r="H64" i="14"/>
  <c r="AB374" i="36"/>
  <c r="K215" i="36"/>
  <c r="AC363" i="36"/>
  <c r="K271" i="36"/>
  <c r="A271" i="36" s="1"/>
  <c r="K216" i="36"/>
  <c r="AA375" i="36"/>
  <c r="Z364" i="36"/>
  <c r="AB373" i="36"/>
  <c r="Z362" i="36"/>
  <c r="AC376" i="36"/>
  <c r="K218" i="36"/>
  <c r="K55" i="36"/>
  <c r="A55" i="36" s="1"/>
  <c r="K18" i="36"/>
  <c r="A18" i="36" s="1"/>
  <c r="K288" i="36"/>
  <c r="A288" i="36" s="1"/>
  <c r="R165" i="91"/>
  <c r="W165" i="91" s="1"/>
  <c r="R167" i="91"/>
  <c r="S175" i="92" s="1"/>
  <c r="AA367" i="36"/>
  <c r="AS98" i="93"/>
  <c r="K54" i="36"/>
  <c r="A54" i="36" s="1"/>
  <c r="AU109" i="93"/>
  <c r="AS122" i="93"/>
  <c r="AT109" i="93"/>
  <c r="A164" i="87"/>
  <c r="E46" i="115"/>
  <c r="AV126" i="93"/>
  <c r="AS159" i="93"/>
  <c r="AS110" i="93"/>
  <c r="AT99" i="93"/>
  <c r="AT103" i="93"/>
  <c r="F32" i="115"/>
  <c r="F30" i="115" s="1"/>
  <c r="E40" i="115"/>
  <c r="F40" i="115"/>
  <c r="Z37" i="68"/>
  <c r="AV37" i="68" s="1"/>
  <c r="Y17" i="68"/>
  <c r="AU17" i="68" s="1"/>
  <c r="Z17" i="68"/>
  <c r="AV17" i="68" s="1"/>
  <c r="Y37" i="68"/>
  <c r="AU37" i="68" s="1"/>
  <c r="AB27" i="60"/>
  <c r="AX27" i="60" s="1"/>
  <c r="AS95" i="93"/>
  <c r="AA10" i="60"/>
  <c r="AW10" i="60" s="1"/>
  <c r="AA27" i="60"/>
  <c r="AW27" i="60" s="1"/>
  <c r="AA29" i="60"/>
  <c r="AW29" i="60" s="1"/>
  <c r="Z10" i="60"/>
  <c r="AV10" i="60" s="1"/>
  <c r="AB10" i="60"/>
  <c r="AX10" i="60" s="1"/>
  <c r="Z29" i="60"/>
  <c r="AV29" i="60" s="1"/>
  <c r="O45" i="11"/>
  <c r="N53" i="11"/>
  <c r="K49" i="11"/>
  <c r="N49" i="11"/>
  <c r="K41" i="11"/>
  <c r="M41" i="11"/>
  <c r="N41" i="11"/>
  <c r="K45" i="11"/>
  <c r="M45" i="11"/>
  <c r="L45" i="11"/>
  <c r="AI34" i="60"/>
  <c r="AA14" i="60"/>
  <c r="AW14" i="60" s="1"/>
  <c r="AA34" i="60"/>
  <c r="AW34" i="60" s="1"/>
  <c r="AB34" i="60"/>
  <c r="AX34" i="60" s="1"/>
  <c r="Z14" i="60"/>
  <c r="AV14" i="60" s="1"/>
  <c r="Z24" i="60"/>
  <c r="AV24" i="60" s="1"/>
  <c r="AB24" i="60"/>
  <c r="AX24" i="60" s="1"/>
  <c r="AA24" i="60"/>
  <c r="AW24" i="60" s="1"/>
  <c r="AA42" i="60"/>
  <c r="AW42" i="60" s="1"/>
  <c r="Z42" i="60"/>
  <c r="AV42" i="60" s="1"/>
  <c r="AS125" i="94"/>
  <c r="AS169" i="94"/>
  <c r="AS128" i="93"/>
  <c r="AB42" i="60"/>
  <c r="AX42" i="60" s="1"/>
  <c r="H29" i="57"/>
  <c r="H36" i="57" s="1"/>
  <c r="H44" i="57" s="1"/>
  <c r="H47" i="57" s="1"/>
  <c r="H48" i="57" s="1"/>
  <c r="AT41" i="60"/>
  <c r="G29" i="57"/>
  <c r="G36" i="57" s="1"/>
  <c r="G44" i="57" s="1"/>
  <c r="G47" i="57" s="1"/>
  <c r="G48" i="57" s="1"/>
  <c r="A121" i="57"/>
  <c r="A123" i="57"/>
  <c r="A124" i="57" s="1"/>
  <c r="A125" i="57" s="1"/>
  <c r="AU123" i="93"/>
  <c r="AI37" i="60"/>
  <c r="AS99" i="93"/>
  <c r="A105" i="57"/>
  <c r="A106" i="57" s="1"/>
  <c r="A107" i="57" s="1"/>
  <c r="AB16" i="60"/>
  <c r="AX16" i="60" s="1"/>
  <c r="AT36" i="60"/>
  <c r="Z26" i="60"/>
  <c r="AV26" i="60" s="1"/>
  <c r="AB26" i="60"/>
  <c r="AX26" i="60" s="1"/>
  <c r="AA26" i="60"/>
  <c r="AW26" i="60" s="1"/>
  <c r="A64" i="57"/>
  <c r="AA36" i="60"/>
  <c r="AW36" i="60" s="1"/>
  <c r="A63" i="57"/>
  <c r="AT16" i="60"/>
  <c r="AB36" i="60"/>
  <c r="AX36" i="60" s="1"/>
  <c r="Z36" i="60"/>
  <c r="AV36" i="60" s="1"/>
  <c r="Z16" i="60"/>
  <c r="AV16" i="60" s="1"/>
  <c r="AA23" i="60"/>
  <c r="AW23" i="60" s="1"/>
  <c r="AA43" i="60"/>
  <c r="AW43" i="60" s="1"/>
  <c r="AB23" i="60"/>
  <c r="AX23" i="60" s="1"/>
  <c r="Z43" i="60"/>
  <c r="AV43" i="60" s="1"/>
  <c r="AB43" i="60"/>
  <c r="AX43" i="60" s="1"/>
  <c r="Z23" i="60"/>
  <c r="AV23" i="60" s="1"/>
  <c r="J36" i="91"/>
  <c r="J44" i="91" s="1"/>
  <c r="J47" i="91" s="1"/>
  <c r="J48" i="91" s="1"/>
  <c r="J54" i="91" s="1"/>
  <c r="AI31" i="60"/>
  <c r="AB11" i="60"/>
  <c r="AX11" i="60" s="1"/>
  <c r="X130" i="60"/>
  <c r="AA11" i="60"/>
  <c r="AW11" i="60" s="1"/>
  <c r="W130" i="60"/>
  <c r="AA28" i="60"/>
  <c r="AW28" i="60" s="1"/>
  <c r="AA31" i="60"/>
  <c r="AW31" i="60" s="1"/>
  <c r="AE130" i="60"/>
  <c r="A84" i="57"/>
  <c r="A83" i="57"/>
  <c r="Y130" i="60"/>
  <c r="AB28" i="60"/>
  <c r="AX28" i="60" s="1"/>
  <c r="AS102" i="94"/>
  <c r="AI28" i="60"/>
  <c r="Z130" i="60"/>
  <c r="A82" i="57"/>
  <c r="AA130" i="60"/>
  <c r="AB130" i="60"/>
  <c r="A87" i="57"/>
  <c r="A88" i="57" s="1"/>
  <c r="A89" i="57" s="1"/>
  <c r="AC130" i="60"/>
  <c r="AU170" i="94"/>
  <c r="AB31" i="60"/>
  <c r="AX31" i="60" s="1"/>
  <c r="AD130" i="60"/>
  <c r="J36" i="92"/>
  <c r="J44" i="92" s="1"/>
  <c r="J47" i="92" s="1"/>
  <c r="J48" i="92" s="1"/>
  <c r="J54" i="92" s="1"/>
  <c r="AF130" i="60"/>
  <c r="Z31" i="60"/>
  <c r="AV31" i="60" s="1"/>
  <c r="A81" i="57"/>
  <c r="Z11" i="60"/>
  <c r="AV11" i="60" s="1"/>
  <c r="AT114" i="93"/>
  <c r="R156" i="57"/>
  <c r="W10" i="68"/>
  <c r="AS10" i="68" s="1"/>
  <c r="AH29" i="68"/>
  <c r="E219" i="10"/>
  <c r="G39" i="30"/>
  <c r="G41" i="30" s="1"/>
  <c r="G48" i="30" s="1"/>
  <c r="T33" i="68"/>
  <c r="Y33" i="68"/>
  <c r="AU33" i="68" s="1"/>
  <c r="AH28" i="68"/>
  <c r="A72" i="30"/>
  <c r="D219" i="10"/>
  <c r="Z30" i="68"/>
  <c r="AV30" i="68" s="1"/>
  <c r="Z27" i="68"/>
  <c r="AV27" i="68" s="1"/>
  <c r="T29" i="68"/>
  <c r="Y27" i="68"/>
  <c r="AU27" i="68" s="1"/>
  <c r="Z35" i="68"/>
  <c r="AV35" i="68" s="1"/>
  <c r="Y29" i="68"/>
  <c r="AU29" i="68" s="1"/>
  <c r="Z13" i="68"/>
  <c r="AV13" i="68" s="1"/>
  <c r="Z33" i="68"/>
  <c r="AV33" i="68" s="1"/>
  <c r="Z10" i="68"/>
  <c r="AV10" i="68" s="1"/>
  <c r="Y30" i="68"/>
  <c r="AU30" i="68" s="1"/>
  <c r="A71" i="30"/>
  <c r="A76" i="30"/>
  <c r="A77" i="30" s="1"/>
  <c r="A78" i="30" s="1"/>
  <c r="T43" i="68"/>
  <c r="A124" i="30"/>
  <c r="T18" i="68"/>
  <c r="Y38" i="68"/>
  <c r="AU38" i="68" s="1"/>
  <c r="AH21" i="68"/>
  <c r="T32" i="68"/>
  <c r="Y25" i="68"/>
  <c r="AU25" i="68" s="1"/>
  <c r="Z21" i="68"/>
  <c r="AV21" i="68" s="1"/>
  <c r="Y39" i="68"/>
  <c r="AU39" i="68" s="1"/>
  <c r="Z38" i="68"/>
  <c r="AV38" i="68" s="1"/>
  <c r="A66" i="30"/>
  <c r="A67" i="30" s="1"/>
  <c r="A68" i="30" s="1"/>
  <c r="AH42" i="68"/>
  <c r="A63" i="30"/>
  <c r="T21" i="68"/>
  <c r="Z20" i="68"/>
  <c r="AV20" i="68" s="1"/>
  <c r="A60" i="30"/>
  <c r="A61" i="30" s="1"/>
  <c r="A62" i="30" s="1"/>
  <c r="Z29" i="68"/>
  <c r="AV29" i="68" s="1"/>
  <c r="Z18" i="68"/>
  <c r="AV18" i="68" s="1"/>
  <c r="Y43" i="68"/>
  <c r="AU43" i="68" s="1"/>
  <c r="A70" i="30"/>
  <c r="A132" i="30"/>
  <c r="Y21" i="68"/>
  <c r="AU21" i="68" s="1"/>
  <c r="A131" i="30"/>
  <c r="Z19" i="68"/>
  <c r="AV19" i="68" s="1"/>
  <c r="A112" i="30"/>
  <c r="Y32" i="68"/>
  <c r="AU32" i="68" s="1"/>
  <c r="Y18" i="68"/>
  <c r="AU18" i="68" s="1"/>
  <c r="Y19" i="68"/>
  <c r="AU19" i="68" s="1"/>
  <c r="AF266" i="42"/>
  <c r="T19" i="68"/>
  <c r="Z43" i="68"/>
  <c r="AV43" i="68" s="1"/>
  <c r="O18" i="43"/>
  <c r="D220" i="10"/>
  <c r="G11" i="11"/>
  <c r="M77" i="67"/>
  <c r="AB15" i="11"/>
  <c r="R7" i="11"/>
  <c r="M82" i="67"/>
  <c r="U7" i="11"/>
  <c r="V7" i="11"/>
  <c r="D96" i="10" s="1"/>
  <c r="AA7" i="11"/>
  <c r="Q9" i="11"/>
  <c r="S9" i="11" s="1"/>
  <c r="Q6" i="11"/>
  <c r="T6" i="11" s="1"/>
  <c r="Q10" i="11"/>
  <c r="T10" i="11" s="1"/>
  <c r="Q11" i="11"/>
  <c r="L62" i="77"/>
  <c r="AT109" i="94"/>
  <c r="AT169" i="93"/>
  <c r="AS160" i="93"/>
  <c r="AS163" i="93"/>
  <c r="AS94" i="93"/>
  <c r="AC17" i="60"/>
  <c r="AY17" i="60" s="1"/>
  <c r="Y24" i="68"/>
  <c r="AU24" i="68" s="1"/>
  <c r="Z24" i="68"/>
  <c r="AV24" i="68" s="1"/>
  <c r="X43" i="68"/>
  <c r="AT43" i="68" s="1"/>
  <c r="AH20" i="68"/>
  <c r="X24" i="68"/>
  <c r="AT24" i="68" s="1"/>
  <c r="A30" i="30"/>
  <c r="Y26" i="68"/>
  <c r="AU26" i="68" s="1"/>
  <c r="X42" i="68"/>
  <c r="AT42" i="68" s="1"/>
  <c r="A126" i="30"/>
  <c r="T41" i="68"/>
  <c r="Z26" i="68"/>
  <c r="AV26" i="68" s="1"/>
  <c r="T42" i="68"/>
  <c r="Z41" i="68"/>
  <c r="AV41" i="68" s="1"/>
  <c r="Y12" i="68"/>
  <c r="AU12" i="68" s="1"/>
  <c r="Z42" i="68"/>
  <c r="AV42" i="68" s="1"/>
  <c r="W11" i="68"/>
  <c r="AH11" i="68" s="1"/>
  <c r="Y41" i="68"/>
  <c r="AU41" i="68" s="1"/>
  <c r="T26" i="68"/>
  <c r="Z12" i="68"/>
  <c r="AV12" i="68" s="1"/>
  <c r="Z11" i="68"/>
  <c r="AV11" i="68" s="1"/>
  <c r="T12" i="68"/>
  <c r="Y42" i="68"/>
  <c r="AU42" i="68" s="1"/>
  <c r="AA25" i="68"/>
  <c r="AW25" i="68" s="1"/>
  <c r="T25" i="68"/>
  <c r="Y11" i="68"/>
  <c r="AU11" i="68" s="1"/>
  <c r="A113" i="30"/>
  <c r="Z25" i="68"/>
  <c r="AV25" i="68" s="1"/>
  <c r="Y34" i="68"/>
  <c r="AU34" i="68" s="1"/>
  <c r="X20" i="68"/>
  <c r="AT20" i="68" s="1"/>
  <c r="Y20" i="68"/>
  <c r="AU20" i="68" s="1"/>
  <c r="T20" i="68"/>
  <c r="Z34" i="68"/>
  <c r="AV34" i="68" s="1"/>
  <c r="T34" i="68"/>
  <c r="X30" i="68"/>
  <c r="AT30" i="68" s="1"/>
  <c r="AH34" i="68"/>
  <c r="T28" i="68"/>
  <c r="E212" i="10"/>
  <c r="Z9" i="68"/>
  <c r="AV9" i="68" s="1"/>
  <c r="A89" i="30"/>
  <c r="X18" i="68"/>
  <c r="Z22" i="68"/>
  <c r="AV22" i="68" s="1"/>
  <c r="X32" i="68"/>
  <c r="AT32" i="68" s="1"/>
  <c r="W40" i="68"/>
  <c r="AH40" i="68" s="1"/>
  <c r="Y22" i="68"/>
  <c r="AU22" i="68" s="1"/>
  <c r="Z28" i="68"/>
  <c r="AV28" i="68" s="1"/>
  <c r="X35" i="68"/>
  <c r="AT35" i="68" s="1"/>
  <c r="T9" i="68"/>
  <c r="Y40" i="68"/>
  <c r="AU40" i="68" s="1"/>
  <c r="Z40" i="68"/>
  <c r="AV40" i="68" s="1"/>
  <c r="X12" i="68"/>
  <c r="W35" i="68"/>
  <c r="AS35" i="68" s="1"/>
  <c r="Y28" i="68"/>
  <c r="AU28" i="68" s="1"/>
  <c r="Y9" i="68"/>
  <c r="AU9" i="68" s="1"/>
  <c r="X38" i="68"/>
  <c r="AI38" i="68" s="1"/>
  <c r="X29" i="68"/>
  <c r="AI29" i="68" s="1"/>
  <c r="X40" i="68"/>
  <c r="AT40" i="68" s="1"/>
  <c r="T11" i="68"/>
  <c r="X25" i="68"/>
  <c r="AT25" i="68" s="1"/>
  <c r="X28" i="68"/>
  <c r="AI28" i="68" s="1"/>
  <c r="X14" i="68"/>
  <c r="AT14" i="68" s="1"/>
  <c r="X41" i="68"/>
  <c r="AT41" i="68" s="1"/>
  <c r="X16" i="68"/>
  <c r="AT16" i="68" s="1"/>
  <c r="X33" i="68"/>
  <c r="AT33" i="68" s="1"/>
  <c r="X17" i="68"/>
  <c r="AT17" i="68" s="1"/>
  <c r="X34" i="68"/>
  <c r="AT34" i="68" s="1"/>
  <c r="X26" i="68"/>
  <c r="AT26" i="68" s="1"/>
  <c r="X27" i="68"/>
  <c r="AT27" i="68" s="1"/>
  <c r="X19" i="68"/>
  <c r="AT19" i="68" s="1"/>
  <c r="X21" i="68"/>
  <c r="AT21" i="68" s="1"/>
  <c r="X22" i="68"/>
  <c r="AT22" i="68" s="1"/>
  <c r="Z31" i="68"/>
  <c r="AV31" i="68" s="1"/>
  <c r="Y23" i="68"/>
  <c r="AU23" i="68" s="1"/>
  <c r="T23" i="68"/>
  <c r="Y15" i="68"/>
  <c r="AU15" i="68" s="1"/>
  <c r="Z39" i="68"/>
  <c r="AV39" i="68" s="1"/>
  <c r="X36" i="68"/>
  <c r="AT36" i="68" s="1"/>
  <c r="Z23" i="68"/>
  <c r="AV23" i="68" s="1"/>
  <c r="Y31" i="68"/>
  <c r="AU31" i="68" s="1"/>
  <c r="F236" i="10"/>
  <c r="T39" i="68"/>
  <c r="W15" i="68"/>
  <c r="AS15" i="68" s="1"/>
  <c r="X15" i="68"/>
  <c r="AT15" i="68" s="1"/>
  <c r="X23" i="68"/>
  <c r="AT23" i="68" s="1"/>
  <c r="X31" i="68"/>
  <c r="AT31" i="68" s="1"/>
  <c r="X39" i="68"/>
  <c r="AT39" i="68" s="1"/>
  <c r="W31" i="68"/>
  <c r="Z15" i="68"/>
  <c r="AV15" i="68" s="1"/>
  <c r="X10" i="68"/>
  <c r="AT10" i="68" s="1"/>
  <c r="O162" i="30"/>
  <c r="X9" i="68"/>
  <c r="AT9" i="68" s="1"/>
  <c r="I143" i="30"/>
  <c r="I145" i="30" s="1"/>
  <c r="T38" i="68"/>
  <c r="A88" i="30"/>
  <c r="T14" i="68"/>
  <c r="H39" i="30"/>
  <c r="H41" i="30" s="1"/>
  <c r="H48" i="30" s="1"/>
  <c r="P156" i="30"/>
  <c r="E33" i="77"/>
  <c r="AH14" i="68"/>
  <c r="AH16" i="68"/>
  <c r="AS16" i="68"/>
  <c r="AH9" i="68"/>
  <c r="AS9" i="68"/>
  <c r="A95" i="30"/>
  <c r="T30" i="68"/>
  <c r="AS30" i="68"/>
  <c r="D249" i="10"/>
  <c r="P155" i="30"/>
  <c r="P154" i="30"/>
  <c r="A121" i="30"/>
  <c r="A122" i="30" s="1"/>
  <c r="A123" i="30" s="1"/>
  <c r="AH38" i="68"/>
  <c r="D250" i="10"/>
  <c r="A119" i="30"/>
  <c r="A109" i="30"/>
  <c r="A110" i="30" s="1"/>
  <c r="A111" i="30" s="1"/>
  <c r="T22" i="68"/>
  <c r="I39" i="30"/>
  <c r="I41" i="30" s="1"/>
  <c r="I48" i="30" s="1"/>
  <c r="A106" i="30"/>
  <c r="P158" i="30"/>
  <c r="A94" i="30"/>
  <c r="AH22" i="68"/>
  <c r="P157" i="30"/>
  <c r="G70" i="68"/>
  <c r="I70" i="68" s="1"/>
  <c r="Z28" i="60"/>
  <c r="AV28" i="60" s="1"/>
  <c r="Q20" i="45"/>
  <c r="L126" i="46"/>
  <c r="M126" i="46"/>
  <c r="A126" i="46" s="1"/>
  <c r="M100" i="46"/>
  <c r="AA37" i="60"/>
  <c r="AW37" i="60" s="1"/>
  <c r="AC37" i="60"/>
  <c r="AY37" i="60" s="1"/>
  <c r="Z37" i="60"/>
  <c r="AV37" i="60" s="1"/>
  <c r="AU98" i="94"/>
  <c r="AC21" i="60"/>
  <c r="AY21" i="60" s="1"/>
  <c r="AB37" i="60"/>
  <c r="AX37" i="60" s="1"/>
  <c r="F37" i="26"/>
  <c r="F43" i="26" s="1"/>
  <c r="F48" i="26" s="1"/>
  <c r="F53" i="26" s="1"/>
  <c r="L37" i="26"/>
  <c r="L43" i="26" s="1"/>
  <c r="L48" i="26" s="1"/>
  <c r="L53" i="26" s="1"/>
  <c r="L55" i="26" s="1"/>
  <c r="F78" i="75" s="1"/>
  <c r="K78" i="75" s="1"/>
  <c r="O78" i="75" s="1"/>
  <c r="G37" i="26"/>
  <c r="G43" i="26" s="1"/>
  <c r="G48" i="26" s="1"/>
  <c r="G53" i="26" s="1"/>
  <c r="H8" i="28" s="1"/>
  <c r="G8" i="28" s="1"/>
  <c r="G26" i="28" s="1"/>
  <c r="H26" i="28" s="1"/>
  <c r="AW158" i="93"/>
  <c r="AC38" i="60"/>
  <c r="AY38" i="60" s="1"/>
  <c r="AC22" i="60"/>
  <c r="AY22" i="60" s="1"/>
  <c r="K36" i="91"/>
  <c r="K44" i="91" s="1"/>
  <c r="K47" i="91" s="1"/>
  <c r="K48" i="91" s="1"/>
  <c r="K54" i="91" s="1"/>
  <c r="AA38" i="60"/>
  <c r="AW38" i="60" s="1"/>
  <c r="AB38" i="60"/>
  <c r="AX38" i="60" s="1"/>
  <c r="U27" i="60"/>
  <c r="U32" i="60" s="1"/>
  <c r="U37" i="60" s="1"/>
  <c r="U42" i="60" s="1"/>
  <c r="AA22" i="60"/>
  <c r="AW22" i="60" s="1"/>
  <c r="AT38" i="60"/>
  <c r="Z38" i="60"/>
  <c r="AV38" i="60" s="1"/>
  <c r="AB22" i="60"/>
  <c r="Z22" i="60"/>
  <c r="AV22" i="60" s="1"/>
  <c r="Y24" i="60"/>
  <c r="AU24" i="60" s="1"/>
  <c r="Y20" i="60"/>
  <c r="AU20" i="60" s="1"/>
  <c r="Y22" i="60"/>
  <c r="AU22" i="60" s="1"/>
  <c r="Y36" i="60"/>
  <c r="AU36" i="60" s="1"/>
  <c r="Y27" i="60"/>
  <c r="AU27" i="60" s="1"/>
  <c r="Y16" i="60"/>
  <c r="Y31" i="60"/>
  <c r="Y39" i="60"/>
  <c r="AU39" i="60" s="1"/>
  <c r="Y18" i="60"/>
  <c r="AU18" i="60" s="1"/>
  <c r="Y29" i="60"/>
  <c r="AU29" i="60" s="1"/>
  <c r="Y12" i="60"/>
  <c r="AU12" i="60" s="1"/>
  <c r="Y35" i="60"/>
  <c r="AU35" i="60" s="1"/>
  <c r="AT141" i="93"/>
  <c r="AI21" i="60"/>
  <c r="Z21" i="60"/>
  <c r="AV21" i="60" s="1"/>
  <c r="Y21" i="60"/>
  <c r="AU21" i="60" s="1"/>
  <c r="Y30" i="60"/>
  <c r="AU30" i="60" s="1"/>
  <c r="Y13" i="60"/>
  <c r="Y40" i="60"/>
  <c r="AU40" i="60" s="1"/>
  <c r="Y14" i="60"/>
  <c r="AU14" i="60" s="1"/>
  <c r="Y23" i="60"/>
  <c r="AU23" i="60" s="1"/>
  <c r="Y32" i="60"/>
  <c r="AU32" i="60" s="1"/>
  <c r="AS103" i="94"/>
  <c r="Z30" i="60"/>
  <c r="AV30" i="60" s="1"/>
  <c r="Y15" i="60"/>
  <c r="AU15" i="60" s="1"/>
  <c r="Y43" i="60"/>
  <c r="AU43" i="60" s="1"/>
  <c r="AA30" i="60"/>
  <c r="AW30" i="60" s="1"/>
  <c r="AT106" i="93"/>
  <c r="AA21" i="60"/>
  <c r="AW21" i="60" s="1"/>
  <c r="Y10" i="60"/>
  <c r="AU10" i="60" s="1"/>
  <c r="A99" i="57"/>
  <c r="A100" i="57" s="1"/>
  <c r="A101" i="57" s="1"/>
  <c r="Y19" i="60"/>
  <c r="AU19" i="60" s="1"/>
  <c r="Y28" i="60"/>
  <c r="AU28" i="60" s="1"/>
  <c r="Y37" i="60"/>
  <c r="AU37" i="60" s="1"/>
  <c r="AS135" i="93"/>
  <c r="AB30" i="60"/>
  <c r="AX30" i="60" s="1"/>
  <c r="A97" i="57"/>
  <c r="AB21" i="60"/>
  <c r="AX21" i="60" s="1"/>
  <c r="AB9" i="60"/>
  <c r="AX9" i="60" s="1"/>
  <c r="Y41" i="60"/>
  <c r="AU41" i="60" s="1"/>
  <c r="AT33" i="60"/>
  <c r="U9" i="60"/>
  <c r="U14" i="60" s="1"/>
  <c r="U19" i="60" s="1"/>
  <c r="Z25" i="60"/>
  <c r="AV25" i="60" s="1"/>
  <c r="Y25" i="60"/>
  <c r="AU25" i="60" s="1"/>
  <c r="D173" i="10"/>
  <c r="AA17" i="60"/>
  <c r="AW17" i="60" s="1"/>
  <c r="Y26" i="60"/>
  <c r="AU26" i="60" s="1"/>
  <c r="Y34" i="60"/>
  <c r="AU34" i="60" s="1"/>
  <c r="Y42" i="60"/>
  <c r="AU42" i="60" s="1"/>
  <c r="Y9" i="60"/>
  <c r="AU9" i="60" s="1"/>
  <c r="Y33" i="60"/>
  <c r="AJ33" i="60" s="1"/>
  <c r="AA9" i="60"/>
  <c r="AW9" i="60" s="1"/>
  <c r="Z41" i="60"/>
  <c r="AV41" i="60" s="1"/>
  <c r="Y17" i="60"/>
  <c r="AU17" i="60" s="1"/>
  <c r="AB33" i="60"/>
  <c r="AX33" i="60" s="1"/>
  <c r="AA41" i="60"/>
  <c r="AW41" i="60" s="1"/>
  <c r="AB41" i="60"/>
  <c r="AX41" i="60" s="1"/>
  <c r="Y38" i="60"/>
  <c r="Z17" i="60"/>
  <c r="AV17" i="60" s="1"/>
  <c r="AB17" i="60"/>
  <c r="AX17" i="60" s="1"/>
  <c r="AB25" i="60"/>
  <c r="Z33" i="60"/>
  <c r="AV33" i="60" s="1"/>
  <c r="AA33" i="60"/>
  <c r="AW33" i="60" s="1"/>
  <c r="AA25" i="60"/>
  <c r="AW25" i="60" s="1"/>
  <c r="Z9" i="60"/>
  <c r="AV9" i="60" s="1"/>
  <c r="I29" i="57"/>
  <c r="I36" i="57" s="1"/>
  <c r="I44" i="57" s="1"/>
  <c r="I47" i="57" s="1"/>
  <c r="I48" i="57" s="1"/>
  <c r="AS97" i="94"/>
  <c r="AS97" i="93"/>
  <c r="AS138" i="94"/>
  <c r="F56" i="80"/>
  <c r="F58" i="80" s="1"/>
  <c r="F60" i="80" s="1"/>
  <c r="F62" i="80" s="1"/>
  <c r="AS96" i="94"/>
  <c r="AS164" i="94"/>
  <c r="AT156" i="94"/>
  <c r="AU143" i="93"/>
  <c r="AV172" i="93"/>
  <c r="AV146" i="93"/>
  <c r="AT119" i="93"/>
  <c r="AS92" i="93"/>
  <c r="AU97" i="93"/>
  <c r="AS96" i="93"/>
  <c r="AS125" i="93"/>
  <c r="AW119" i="93"/>
  <c r="AS105" i="94"/>
  <c r="AS148" i="93"/>
  <c r="AT93" i="93"/>
  <c r="AS134" i="94"/>
  <c r="AV126" i="94"/>
  <c r="AS137" i="94"/>
  <c r="AV93" i="93"/>
  <c r="AT92" i="93"/>
  <c r="AV137" i="60"/>
  <c r="Z22" i="76"/>
  <c r="AU167" i="93"/>
  <c r="AV165" i="94"/>
  <c r="A39" i="91"/>
  <c r="AI10" i="60"/>
  <c r="AT10" i="60"/>
  <c r="F56" i="95"/>
  <c r="A39" i="92"/>
  <c r="G145" i="92"/>
  <c r="AI18" i="60"/>
  <c r="AT18" i="60"/>
  <c r="AT42" i="60"/>
  <c r="AI42" i="60"/>
  <c r="AS156" i="93"/>
  <c r="AT104" i="94"/>
  <c r="AU92" i="93"/>
  <c r="G144" i="92"/>
  <c r="G146" i="92" s="1"/>
  <c r="AU133" i="94"/>
  <c r="AI19" i="60"/>
  <c r="AU157" i="94"/>
  <c r="AU118" i="94"/>
  <c r="AT96" i="94"/>
  <c r="AW157" i="93"/>
  <c r="AU152" i="94"/>
  <c r="AS136" i="93"/>
  <c r="AU104" i="94"/>
  <c r="AU118" i="93"/>
  <c r="E173" i="10"/>
  <c r="H9" i="95"/>
  <c r="H11" i="95" s="1"/>
  <c r="H13" i="95" s="1"/>
  <c r="L56" i="96"/>
  <c r="D40" i="115"/>
  <c r="H219" i="36"/>
  <c r="L91" i="77"/>
  <c r="M91" i="77"/>
  <c r="J57" i="36"/>
  <c r="H111" i="36"/>
  <c r="J147" i="36"/>
  <c r="H165" i="36"/>
  <c r="H183" i="36"/>
  <c r="J201" i="36"/>
  <c r="J219" i="36"/>
  <c r="J129" i="36"/>
  <c r="F273" i="36"/>
  <c r="G355" i="36"/>
  <c r="D284" i="10"/>
  <c r="A23" i="36"/>
  <c r="A24" i="36"/>
  <c r="A22" i="36"/>
  <c r="X23" i="11"/>
  <c r="A258" i="36"/>
  <c r="X36" i="11"/>
  <c r="A256" i="36"/>
  <c r="A257" i="36"/>
  <c r="D310" i="10"/>
  <c r="I355" i="36"/>
  <c r="E75" i="36"/>
  <c r="F129" i="36"/>
  <c r="F355" i="36"/>
  <c r="F356" i="36" s="1"/>
  <c r="J237" i="36"/>
  <c r="H355" i="36"/>
  <c r="H356" i="36" s="1"/>
  <c r="J355" i="36"/>
  <c r="J356" i="36" s="1"/>
  <c r="A25" i="88"/>
  <c r="X20" i="11"/>
  <c r="D264" i="10"/>
  <c r="A26" i="88"/>
  <c r="A24" i="88"/>
  <c r="D262" i="10"/>
  <c r="A13" i="88"/>
  <c r="A14" i="88"/>
  <c r="X19" i="11"/>
  <c r="A12" i="88"/>
  <c r="A320" i="36"/>
  <c r="A337" i="36"/>
  <c r="T371" i="36"/>
  <c r="K159" i="36"/>
  <c r="L158" i="36"/>
  <c r="L157" i="36"/>
  <c r="L156" i="36"/>
  <c r="L162" i="36"/>
  <c r="K157" i="36"/>
  <c r="L159" i="36"/>
  <c r="L164" i="36"/>
  <c r="L160" i="36"/>
  <c r="L163" i="36"/>
  <c r="L90" i="77"/>
  <c r="M90" i="77"/>
  <c r="T366" i="36"/>
  <c r="Z366" i="36" s="1"/>
  <c r="A83" i="77"/>
  <c r="A25" i="28"/>
  <c r="A41" i="28"/>
  <c r="A49" i="28"/>
  <c r="A33" i="28"/>
  <c r="A44" i="28"/>
  <c r="A28" i="28"/>
  <c r="A45" i="28"/>
  <c r="A29" i="28"/>
  <c r="A43" i="28"/>
  <c r="A27" i="28"/>
  <c r="A46" i="28"/>
  <c r="A30" i="28"/>
  <c r="AS19" i="68"/>
  <c r="AH19" i="68"/>
  <c r="AH27" i="68"/>
  <c r="AS27" i="68"/>
  <c r="AS43" i="68"/>
  <c r="AH43" i="68"/>
  <c r="AS24" i="68"/>
  <c r="AH24" i="68"/>
  <c r="AS32" i="68"/>
  <c r="AH32" i="68"/>
  <c r="AH17" i="68"/>
  <c r="AS17" i="68"/>
  <c r="T24" i="68"/>
  <c r="G71" i="68"/>
  <c r="I71" i="68" s="1"/>
  <c r="T17" i="68"/>
  <c r="AT15" i="60"/>
  <c r="AI15" i="60"/>
  <c r="AI23" i="60"/>
  <c r="AT23" i="60"/>
  <c r="AV162" i="94"/>
  <c r="A25" i="57"/>
  <c r="D166" i="10"/>
  <c r="D168" i="10"/>
  <c r="D169" i="10" s="1"/>
  <c r="A25" i="92"/>
  <c r="A34" i="24"/>
  <c r="A129" i="24"/>
  <c r="F60" i="24"/>
  <c r="I60" i="24"/>
  <c r="A128" i="24"/>
  <c r="A174" i="24"/>
  <c r="A167" i="24"/>
  <c r="A66" i="24"/>
  <c r="A116" i="24"/>
  <c r="A65" i="24"/>
  <c r="A117" i="24"/>
  <c r="G140" i="24"/>
  <c r="F140" i="24"/>
  <c r="A204" i="36"/>
  <c r="A203" i="36"/>
  <c r="X33" i="11"/>
  <c r="D304" i="10"/>
  <c r="A202" i="36"/>
  <c r="D312" i="10"/>
  <c r="A275" i="36"/>
  <c r="X37" i="11"/>
  <c r="A274" i="36"/>
  <c r="A276" i="36"/>
  <c r="A112" i="36"/>
  <c r="A113" i="36"/>
  <c r="X28" i="11"/>
  <c r="D294" i="10"/>
  <c r="A114" i="36"/>
  <c r="A293" i="36"/>
  <c r="D314" i="10"/>
  <c r="A294" i="36"/>
  <c r="A292" i="36"/>
  <c r="X38" i="11"/>
  <c r="E309" i="36"/>
  <c r="F305" i="36"/>
  <c r="F309" i="36" s="1"/>
  <c r="A76" i="36"/>
  <c r="A78" i="36"/>
  <c r="A77" i="36"/>
  <c r="X26" i="11"/>
  <c r="D290" i="10"/>
  <c r="A59" i="36"/>
  <c r="A58" i="36"/>
  <c r="X25" i="11"/>
  <c r="D288" i="10"/>
  <c r="A60" i="36"/>
  <c r="D302" i="10"/>
  <c r="A184" i="36"/>
  <c r="A185" i="36"/>
  <c r="A186" i="36"/>
  <c r="X32" i="11"/>
  <c r="G309" i="36"/>
  <c r="H305" i="36"/>
  <c r="H309" i="36" s="1"/>
  <c r="X29" i="11"/>
  <c r="A131" i="36"/>
  <c r="A130" i="36"/>
  <c r="A132" i="36"/>
  <c r="D296" i="10"/>
  <c r="D286" i="10"/>
  <c r="A42" i="36"/>
  <c r="A40" i="36"/>
  <c r="X24" i="11"/>
  <c r="A41" i="36"/>
  <c r="D298" i="10"/>
  <c r="A150" i="36"/>
  <c r="X30" i="11"/>
  <c r="A149" i="36"/>
  <c r="A148" i="36"/>
  <c r="J305" i="36"/>
  <c r="J309" i="36" s="1"/>
  <c r="I309" i="36"/>
  <c r="A220" i="36"/>
  <c r="X34" i="11"/>
  <c r="A221" i="36"/>
  <c r="A222" i="36"/>
  <c r="D306" i="10"/>
  <c r="D308" i="10"/>
  <c r="A239" i="36"/>
  <c r="A238" i="36"/>
  <c r="X35" i="11"/>
  <c r="A240" i="36"/>
  <c r="D292" i="10"/>
  <c r="A95" i="36"/>
  <c r="A96" i="36"/>
  <c r="X27" i="11"/>
  <c r="A94" i="36"/>
  <c r="J39" i="36"/>
  <c r="F21" i="36"/>
  <c r="F93" i="36"/>
  <c r="J255" i="36"/>
  <c r="D54" i="115"/>
  <c r="F39" i="36"/>
  <c r="J21" i="36"/>
  <c r="F255" i="36"/>
  <c r="A37" i="88"/>
  <c r="D266" i="10"/>
  <c r="X21" i="11"/>
  <c r="A38" i="88"/>
  <c r="A36" i="88"/>
  <c r="D268" i="10"/>
  <c r="A48" i="88"/>
  <c r="X22" i="11"/>
  <c r="A49" i="88"/>
  <c r="A50" i="88"/>
  <c r="K15" i="36"/>
  <c r="A15" i="36" s="1"/>
  <c r="J96" i="44"/>
  <c r="H96" i="44" s="1"/>
  <c r="D20" i="36"/>
  <c r="D7" i="36" s="1"/>
  <c r="K158" i="36"/>
  <c r="D74" i="36"/>
  <c r="D108" i="36"/>
  <c r="D126" i="36"/>
  <c r="D327" i="36"/>
  <c r="D233" i="36"/>
  <c r="E86" i="44"/>
  <c r="AB378" i="36"/>
  <c r="AB358" i="36" s="1"/>
  <c r="J76" i="44"/>
  <c r="D146" i="36"/>
  <c r="K200" i="36"/>
  <c r="D110" i="36"/>
  <c r="D128" i="36"/>
  <c r="D38" i="36"/>
  <c r="AB368" i="36"/>
  <c r="Z369" i="36"/>
  <c r="D162" i="36"/>
  <c r="D218" i="36"/>
  <c r="L249" i="36"/>
  <c r="AA368" i="36"/>
  <c r="D22" i="88"/>
  <c r="L90" i="36"/>
  <c r="D200" i="36"/>
  <c r="D254" i="36"/>
  <c r="D182" i="36"/>
  <c r="L200" i="36"/>
  <c r="K164" i="36"/>
  <c r="D34" i="88"/>
  <c r="D54" i="36"/>
  <c r="L182" i="36"/>
  <c r="L183" i="36" s="1"/>
  <c r="K253" i="36"/>
  <c r="K255" i="36" s="1"/>
  <c r="D309" i="10" s="1"/>
  <c r="L246" i="36"/>
  <c r="K163" i="36"/>
  <c r="D164" i="36"/>
  <c r="K162" i="36"/>
  <c r="D46" i="88"/>
  <c r="D56" i="36"/>
  <c r="K90" i="77"/>
  <c r="K161" i="36"/>
  <c r="D345" i="36"/>
  <c r="L161" i="36"/>
  <c r="M23" i="79"/>
  <c r="M24" i="79"/>
  <c r="A6" i="79"/>
  <c r="M21" i="79"/>
  <c r="M22" i="79"/>
  <c r="AS23" i="68"/>
  <c r="AH23" i="68"/>
  <c r="AS39" i="68"/>
  <c r="AH39" i="68"/>
  <c r="AH25" i="68"/>
  <c r="AS25" i="68"/>
  <c r="AS33" i="68"/>
  <c r="AH33" i="68"/>
  <c r="AS41" i="68"/>
  <c r="AH41" i="68"/>
  <c r="H154" i="68"/>
  <c r="D155" i="68"/>
  <c r="F155" i="68" s="1"/>
  <c r="I132" i="68"/>
  <c r="K132" i="68" s="1"/>
  <c r="E154" i="68"/>
  <c r="G154" i="68" s="1"/>
  <c r="E113" i="68"/>
  <c r="D114" i="68"/>
  <c r="AI43" i="60"/>
  <c r="AT43" i="60"/>
  <c r="AT14" i="60"/>
  <c r="AI14" i="60"/>
  <c r="AT22" i="60"/>
  <c r="AI22" i="60"/>
  <c r="AT30" i="60"/>
  <c r="AI30" i="60"/>
  <c r="AT9" i="60"/>
  <c r="AI9" i="60"/>
  <c r="AT17" i="60"/>
  <c r="AI17" i="60"/>
  <c r="AT25" i="60"/>
  <c r="AI25" i="60"/>
  <c r="AT40" i="60"/>
  <c r="R157" i="57"/>
  <c r="AV164" i="93"/>
  <c r="A57" i="57"/>
  <c r="A60" i="57"/>
  <c r="A61" i="57" s="1"/>
  <c r="A62" i="57" s="1"/>
  <c r="L29" i="92"/>
  <c r="L36" i="92" s="1"/>
  <c r="L44" i="92" s="1"/>
  <c r="L47" i="92" s="1"/>
  <c r="L48" i="92" s="1"/>
  <c r="L54" i="92" s="1"/>
  <c r="AS164" i="93"/>
  <c r="AS143" i="94"/>
  <c r="R153" i="57"/>
  <c r="AT164" i="93"/>
  <c r="AV138" i="93"/>
  <c r="I52" i="57"/>
  <c r="AT115" i="94"/>
  <c r="R154" i="57"/>
  <c r="G52" i="57"/>
  <c r="H52" i="57"/>
  <c r="A111" i="57"/>
  <c r="A112" i="57" s="1"/>
  <c r="A113" i="57" s="1"/>
  <c r="A109" i="57"/>
  <c r="H52" i="80"/>
  <c r="A32" i="91"/>
  <c r="AU111" i="93"/>
  <c r="R155" i="57"/>
  <c r="H14" i="28"/>
  <c r="G14" i="28" s="1"/>
  <c r="G32" i="28" s="1"/>
  <c r="H32" i="28" s="1"/>
  <c r="D74" i="10"/>
  <c r="D75" i="10"/>
  <c r="K52" i="14"/>
  <c r="M56" i="14"/>
  <c r="M61" i="14"/>
  <c r="K56" i="14"/>
  <c r="G65" i="14"/>
  <c r="G61" i="14"/>
  <c r="G57" i="14"/>
  <c r="G53" i="14"/>
  <c r="G49" i="14"/>
  <c r="M57" i="14"/>
  <c r="M62" i="14"/>
  <c r="K61" i="14"/>
  <c r="M50" i="14"/>
  <c r="E65" i="14"/>
  <c r="E61" i="14"/>
  <c r="E57" i="14"/>
  <c r="E53" i="14"/>
  <c r="E49" i="14"/>
  <c r="K55" i="14"/>
  <c r="M55" i="14"/>
  <c r="M60" i="14"/>
  <c r="M49" i="14"/>
  <c r="G64" i="14"/>
  <c r="G60" i="14"/>
  <c r="G56" i="14"/>
  <c r="G52" i="14"/>
  <c r="G48" i="14"/>
  <c r="M65" i="14"/>
  <c r="M54" i="14"/>
  <c r="K49" i="14"/>
  <c r="E64" i="14"/>
  <c r="E60" i="14"/>
  <c r="E56" i="14"/>
  <c r="E52" i="14"/>
  <c r="E48" i="14"/>
  <c r="K50" i="14"/>
  <c r="K60" i="14"/>
  <c r="K65" i="14"/>
  <c r="M59" i="14"/>
  <c r="K54" i="14"/>
  <c r="H44" i="14"/>
  <c r="K64" i="14"/>
  <c r="M53" i="14"/>
  <c r="K48" i="14"/>
  <c r="G63" i="14"/>
  <c r="G59" i="14"/>
  <c r="G55" i="14"/>
  <c r="G51" i="14"/>
  <c r="G47" i="14"/>
  <c r="M58" i="14"/>
  <c r="K53" i="14"/>
  <c r="E63" i="14"/>
  <c r="E59" i="14"/>
  <c r="E55" i="14"/>
  <c r="E51" i="14"/>
  <c r="E47" i="14"/>
  <c r="M63" i="14"/>
  <c r="K58" i="14"/>
  <c r="M47" i="14"/>
  <c r="K63" i="14"/>
  <c r="M52" i="14"/>
  <c r="K47" i="14"/>
  <c r="G62" i="14"/>
  <c r="G58" i="14"/>
  <c r="G54" i="14"/>
  <c r="G50" i="14"/>
  <c r="G46" i="14"/>
  <c r="M46" i="14"/>
  <c r="E62" i="14"/>
  <c r="E58" i="14"/>
  <c r="E54" i="14"/>
  <c r="E50" i="14"/>
  <c r="E46" i="14"/>
  <c r="K62" i="14"/>
  <c r="K46" i="14"/>
  <c r="K57" i="14"/>
  <c r="N55" i="11"/>
  <c r="K55" i="11"/>
  <c r="L57" i="11"/>
  <c r="N57" i="11"/>
  <c r="M57" i="11"/>
  <c r="M42" i="113"/>
  <c r="U3" i="114"/>
  <c r="K48" i="11"/>
  <c r="M24" i="113" s="1"/>
  <c r="D24" i="113" s="1"/>
  <c r="N48" i="11"/>
  <c r="M48" i="11"/>
  <c r="E5" i="102"/>
  <c r="D268" i="36"/>
  <c r="D286" i="36"/>
  <c r="D250" i="36"/>
  <c r="L285" i="36"/>
  <c r="K267" i="36"/>
  <c r="A267" i="36" s="1"/>
  <c r="Z72" i="33"/>
  <c r="D249" i="36"/>
  <c r="D267" i="36"/>
  <c r="D303" i="36"/>
  <c r="D266" i="36"/>
  <c r="D265" i="36"/>
  <c r="D283" i="36"/>
  <c r="L210" i="36"/>
  <c r="D282" i="36"/>
  <c r="D300" i="36"/>
  <c r="AC377" i="36"/>
  <c r="P377" i="36" s="1"/>
  <c r="A377" i="36" s="1"/>
  <c r="V17" i="35"/>
  <c r="AC365" i="36"/>
  <c r="L74" i="36"/>
  <c r="D272" i="36"/>
  <c r="D236" i="36"/>
  <c r="D290" i="36"/>
  <c r="AB375" i="36"/>
  <c r="AB366" i="36"/>
  <c r="K91" i="36"/>
  <c r="L73" i="36"/>
  <c r="AB365" i="36"/>
  <c r="D289" i="36"/>
  <c r="D253" i="36"/>
  <c r="D57" i="88"/>
  <c r="D271" i="36"/>
  <c r="AA366" i="36"/>
  <c r="K90" i="36"/>
  <c r="E35" i="88"/>
  <c r="D252" i="36"/>
  <c r="F78" i="35"/>
  <c r="V28" i="35"/>
  <c r="K89" i="36"/>
  <c r="F47" i="88"/>
  <c r="F59" i="88"/>
  <c r="Z365" i="36"/>
  <c r="L71" i="36"/>
  <c r="V16" i="35"/>
  <c r="L273" i="36"/>
  <c r="V13" i="35"/>
  <c r="V12" i="35"/>
  <c r="F35" i="88"/>
  <c r="D269" i="36"/>
  <c r="D251" i="36"/>
  <c r="D287" i="36"/>
  <c r="I144" i="30"/>
  <c r="H144" i="30"/>
  <c r="H143" i="30"/>
  <c r="H145" i="30" s="1"/>
  <c r="A70" i="68"/>
  <c r="G111" i="68"/>
  <c r="I111" i="68" s="1"/>
  <c r="L145" i="92"/>
  <c r="L144" i="92"/>
  <c r="L146" i="92" s="1"/>
  <c r="G75" i="93"/>
  <c r="A75" i="93"/>
  <c r="L36" i="91"/>
  <c r="L44" i="91" s="1"/>
  <c r="L47" i="91" s="1"/>
  <c r="L48" i="91" s="1"/>
  <c r="AW98" i="94"/>
  <c r="AX133" i="93"/>
  <c r="AW164" i="93"/>
  <c r="AY144" i="93"/>
  <c r="AX144" i="93"/>
  <c r="AW118" i="94"/>
  <c r="AY169" i="94"/>
  <c r="D163" i="10"/>
  <c r="BA148" i="94"/>
  <c r="AW107" i="93"/>
  <c r="AU99" i="93"/>
  <c r="AW166" i="93"/>
  <c r="H56" i="96"/>
  <c r="AU122" i="93"/>
  <c r="AT95" i="93"/>
  <c r="AX128" i="93"/>
  <c r="AY160" i="94"/>
  <c r="AU100" i="93"/>
  <c r="AU171" i="94"/>
  <c r="AX103" i="94"/>
  <c r="AZ106" i="93"/>
  <c r="AU103" i="94"/>
  <c r="AW106" i="93"/>
  <c r="AY106" i="93"/>
  <c r="AU117" i="94"/>
  <c r="D191" i="10"/>
  <c r="D190" i="10"/>
  <c r="AZ163" i="94"/>
  <c r="AU151" i="94"/>
  <c r="AU105" i="94"/>
  <c r="AY145" i="94"/>
  <c r="AV110" i="93"/>
  <c r="AW96" i="94"/>
  <c r="AU128" i="94"/>
  <c r="AU121" i="94"/>
  <c r="AU162" i="93"/>
  <c r="AT149" i="94"/>
  <c r="AT105" i="94"/>
  <c r="AU149" i="94"/>
  <c r="BA162" i="93"/>
  <c r="AY129" i="94"/>
  <c r="AW168" i="93"/>
  <c r="AT162" i="93"/>
  <c r="AX162" i="93"/>
  <c r="AV115" i="93"/>
  <c r="AV121" i="94"/>
  <c r="AV129" i="94"/>
  <c r="AW153" i="93"/>
  <c r="AV96" i="94"/>
  <c r="AT172" i="94"/>
  <c r="AY163" i="94"/>
  <c r="AT150" i="93"/>
  <c r="AW135" i="60"/>
  <c r="AV135" i="60"/>
  <c r="A115" i="60"/>
  <c r="K115" i="60"/>
  <c r="H62" i="96"/>
  <c r="G62" i="96" s="1"/>
  <c r="F62" i="96"/>
  <c r="F9" i="95"/>
  <c r="F11" i="95" s="1"/>
  <c r="F13" i="95" s="1"/>
  <c r="G43" i="56"/>
  <c r="I142" i="24"/>
  <c r="H141" i="24"/>
  <c r="H140" i="24"/>
  <c r="F142" i="24"/>
  <c r="D125" i="10"/>
  <c r="H28" i="4"/>
  <c r="H10" i="4"/>
  <c r="H17" i="4"/>
  <c r="J17" i="4" s="1"/>
  <c r="G7" i="4"/>
  <c r="G25" i="4" s="1"/>
  <c r="H26" i="4" s="1"/>
  <c r="H9" i="4"/>
  <c r="A22" i="4" s="1"/>
  <c r="H34" i="4"/>
  <c r="D5" i="12"/>
  <c r="H31" i="4"/>
  <c r="H16" i="4"/>
  <c r="J16" i="4" s="1"/>
  <c r="H11" i="4"/>
  <c r="D76" i="10" s="1"/>
  <c r="H39" i="4"/>
  <c r="G6" i="4" s="1"/>
  <c r="G30" i="4" s="1"/>
  <c r="AC47" i="4"/>
  <c r="AU129" i="93"/>
  <c r="AT128" i="93"/>
  <c r="AR94" i="93"/>
  <c r="AZ138" i="94"/>
  <c r="AZ162" i="93"/>
  <c r="AS163" i="94"/>
  <c r="AW162" i="93"/>
  <c r="AR128" i="93"/>
  <c r="BB162" i="93"/>
  <c r="AS162" i="93"/>
  <c r="AX164" i="93"/>
  <c r="BC162" i="93"/>
  <c r="R162" i="93" s="1"/>
  <c r="AR157" i="94"/>
  <c r="AZ132" i="93"/>
  <c r="AT117" i="94"/>
  <c r="AS106" i="93"/>
  <c r="AS147" i="94"/>
  <c r="AY132" i="93"/>
  <c r="AT121" i="93"/>
  <c r="AV106" i="93"/>
  <c r="AT147" i="94"/>
  <c r="AU132" i="93"/>
  <c r="AX106" i="93"/>
  <c r="AT132" i="93"/>
  <c r="BC98" i="93"/>
  <c r="AU164" i="93"/>
  <c r="AU149" i="93"/>
  <c r="AS132" i="93"/>
  <c r="AR106" i="93"/>
  <c r="AU134" i="93"/>
  <c r="AS121" i="94"/>
  <c r="BC106" i="93"/>
  <c r="R106" i="93" s="1"/>
  <c r="BC121" i="94"/>
  <c r="R121" i="94" s="1"/>
  <c r="AR170" i="94"/>
  <c r="AU148" i="93"/>
  <c r="AV116" i="93"/>
  <c r="AR148" i="93"/>
  <c r="BC145" i="94"/>
  <c r="AV162" i="93"/>
  <c r="AS151" i="93"/>
  <c r="AT148" i="93"/>
  <c r="AX145" i="94"/>
  <c r="AU128" i="93"/>
  <c r="AV106" i="94"/>
  <c r="BC105" i="94"/>
  <c r="BC151" i="93"/>
  <c r="AZ145" i="94"/>
  <c r="I91" i="68"/>
  <c r="K91" i="68" s="1"/>
  <c r="I20" i="93"/>
  <c r="K20" i="93" s="1"/>
  <c r="I19" i="93"/>
  <c r="K19" i="93" s="1"/>
  <c r="AX120" i="93"/>
  <c r="AV102" i="93"/>
  <c r="AX163" i="93"/>
  <c r="AX93" i="93"/>
  <c r="E7" i="88"/>
  <c r="E11" i="88" s="1"/>
  <c r="AU96" i="93"/>
  <c r="AV132" i="93"/>
  <c r="K143" i="36"/>
  <c r="K147" i="36" s="1"/>
  <c r="V14" i="35"/>
  <c r="AZ171" i="93"/>
  <c r="AS107" i="93"/>
  <c r="K236" i="36"/>
  <c r="AX159" i="93"/>
  <c r="AY171" i="93"/>
  <c r="AV124" i="93"/>
  <c r="AV101" i="93"/>
  <c r="BA132" i="93"/>
  <c r="BG93" i="93"/>
  <c r="BA170" i="93"/>
  <c r="AV165" i="93"/>
  <c r="AX124" i="93"/>
  <c r="AU102" i="93"/>
  <c r="AW170" i="93"/>
  <c r="AS165" i="93"/>
  <c r="K71" i="93"/>
  <c r="Z363" i="36"/>
  <c r="AU165" i="93"/>
  <c r="BA164" i="93"/>
  <c r="AS142" i="93"/>
  <c r="AW121" i="93"/>
  <c r="A71" i="93"/>
  <c r="AU142" i="93"/>
  <c r="AW141" i="93"/>
  <c r="AU141" i="93"/>
  <c r="AY130" i="93"/>
  <c r="AW127" i="93"/>
  <c r="AV96" i="93"/>
  <c r="BB164" i="93"/>
  <c r="AT142" i="93"/>
  <c r="AZ127" i="93"/>
  <c r="L309" i="36"/>
  <c r="BA163" i="93"/>
  <c r="AV163" i="93"/>
  <c r="AT147" i="93"/>
  <c r="AV129" i="93"/>
  <c r="AW163" i="93"/>
  <c r="AY142" i="93"/>
  <c r="AX167" i="93"/>
  <c r="AZ163" i="93"/>
  <c r="AW129" i="93"/>
  <c r="H25" i="115"/>
  <c r="V56" i="95"/>
  <c r="V169" i="57"/>
  <c r="AH18" i="68"/>
  <c r="AI24" i="60"/>
  <c r="AT24" i="60"/>
  <c r="A167" i="36"/>
  <c r="A168" i="36"/>
  <c r="X31" i="11"/>
  <c r="A166" i="36"/>
  <c r="K85" i="75"/>
  <c r="O85" i="75" s="1"/>
  <c r="K82" i="75"/>
  <c r="O82" i="75" s="1"/>
  <c r="A48" i="75"/>
  <c r="K89" i="75"/>
  <c r="O89" i="75" s="1"/>
  <c r="K83" i="75"/>
  <c r="O83" i="75" s="1"/>
  <c r="K87" i="75"/>
  <c r="O87" i="75" s="1"/>
  <c r="K88" i="75"/>
  <c r="O88" i="75" s="1"/>
  <c r="K86" i="75"/>
  <c r="O86" i="75" s="1"/>
  <c r="K84" i="75"/>
  <c r="O84" i="75" s="1"/>
  <c r="D226" i="10"/>
  <c r="F33" i="10"/>
  <c r="AR146" i="93"/>
  <c r="BC140" i="93"/>
  <c r="AR126" i="93"/>
  <c r="AR100" i="93"/>
  <c r="AU140" i="93"/>
  <c r="BC128" i="93"/>
  <c r="R128" i="93" s="1"/>
  <c r="AW126" i="93"/>
  <c r="AU119" i="93"/>
  <c r="AU126" i="93"/>
  <c r="AS99" i="94"/>
  <c r="AR148" i="94"/>
  <c r="BC126" i="93"/>
  <c r="AS105" i="93"/>
  <c r="AU104" i="93"/>
  <c r="AV148" i="94"/>
  <c r="AV148" i="93"/>
  <c r="AV111" i="93"/>
  <c r="AT105" i="93"/>
  <c r="BC104" i="93"/>
  <c r="BC93" i="93"/>
  <c r="AV157" i="94"/>
  <c r="AU147" i="93"/>
  <c r="AR93" i="93"/>
  <c r="AW162" i="94"/>
  <c r="AS159" i="94"/>
  <c r="AY111" i="93"/>
  <c r="AW104" i="93"/>
  <c r="AT171" i="94"/>
  <c r="AU168" i="93"/>
  <c r="BC167" i="94"/>
  <c r="R167" i="94" s="1"/>
  <c r="BC165" i="94"/>
  <c r="R165" i="94" s="1"/>
  <c r="AY164" i="93"/>
  <c r="BC159" i="94"/>
  <c r="R159" i="94" s="1"/>
  <c r="AT157" i="94"/>
  <c r="BA154" i="93"/>
  <c r="AX151" i="93"/>
  <c r="BC148" i="93"/>
  <c r="AS147" i="93"/>
  <c r="AU144" i="94"/>
  <c r="BA143" i="93"/>
  <c r="AV142" i="93"/>
  <c r="AX134" i="93"/>
  <c r="BC119" i="94"/>
  <c r="R119" i="94" s="1"/>
  <c r="AV117" i="94"/>
  <c r="AR114" i="93"/>
  <c r="AR105" i="94"/>
  <c r="AV104" i="93"/>
  <c r="AU103" i="93"/>
  <c r="AT159" i="94"/>
  <c r="BC157" i="94"/>
  <c r="R157" i="94" s="1"/>
  <c r="AT168" i="93"/>
  <c r="AS165" i="94"/>
  <c r="AW148" i="93"/>
  <c r="AX143" i="93"/>
  <c r="AS172" i="94"/>
  <c r="AW171" i="94"/>
  <c r="BC168" i="93"/>
  <c r="R168" i="93" s="1"/>
  <c r="AU165" i="94"/>
  <c r="BC164" i="93"/>
  <c r="R164" i="93" s="1"/>
  <c r="AS160" i="94"/>
  <c r="AS157" i="94"/>
  <c r="AU154" i="93"/>
  <c r="BA153" i="93"/>
  <c r="AS145" i="94"/>
  <c r="AT144" i="94"/>
  <c r="AR143" i="93"/>
  <c r="AW134" i="93"/>
  <c r="AX132" i="93"/>
  <c r="AS117" i="94"/>
  <c r="AW108" i="94"/>
  <c r="AT106" i="94"/>
  <c r="AR104" i="93"/>
  <c r="AR103" i="93"/>
  <c r="BC93" i="94"/>
  <c r="BC172" i="94"/>
  <c r="R172" i="94" s="1"/>
  <c r="AZ164" i="93"/>
  <c r="AX154" i="93"/>
  <c r="AX153" i="93"/>
  <c r="AR145" i="94"/>
  <c r="AR144" i="94"/>
  <c r="BC143" i="93"/>
  <c r="R143" i="93" s="1"/>
  <c r="AT134" i="93"/>
  <c r="AX108" i="94"/>
  <c r="AR106" i="94"/>
  <c r="AS118" i="94"/>
  <c r="BC97" i="94"/>
  <c r="R97" i="94" s="1"/>
  <c r="AT153" i="93"/>
  <c r="AT126" i="94"/>
  <c r="AW109" i="93"/>
  <c r="AT97" i="94"/>
  <c r="BA134" i="93"/>
  <c r="AW167" i="93"/>
  <c r="AR159" i="93"/>
  <c r="AX153" i="94"/>
  <c r="AU145" i="94"/>
  <c r="AR143" i="94"/>
  <c r="AZ134" i="93"/>
  <c r="AW132" i="93"/>
  <c r="AT122" i="94"/>
  <c r="AR121" i="94"/>
  <c r="AZ109" i="93"/>
  <c r="AU137" i="60"/>
  <c r="AX143" i="94"/>
  <c r="AV134" i="93"/>
  <c r="AY109" i="93"/>
  <c r="AZ126" i="93"/>
  <c r="AR166" i="94"/>
  <c r="AT143" i="94"/>
  <c r="AS109" i="93"/>
  <c r="AU153" i="93"/>
  <c r="AU166" i="94"/>
  <c r="AS171" i="93"/>
  <c r="AT170" i="94"/>
  <c r="AV109" i="93"/>
  <c r="BA163" i="94"/>
  <c r="AX160" i="93"/>
  <c r="AR158" i="94"/>
  <c r="AS155" i="94"/>
  <c r="AX145" i="93"/>
  <c r="BC132" i="93"/>
  <c r="AV127" i="93"/>
  <c r="AV120" i="93"/>
  <c r="AT116" i="93"/>
  <c r="BC109" i="93"/>
  <c r="R109" i="93" s="1"/>
  <c r="AU106" i="93"/>
  <c r="AR160" i="93"/>
  <c r="AZ136" i="93"/>
  <c r="AU120" i="93"/>
  <c r="AR109" i="93"/>
  <c r="AS100" i="93"/>
  <c r="BC171" i="93"/>
  <c r="R171" i="93" s="1"/>
  <c r="BC158" i="94"/>
  <c r="R158" i="94" s="1"/>
  <c r="AT158" i="94"/>
  <c r="AT166" i="94"/>
  <c r="AT155" i="94"/>
  <c r="BC147" i="94"/>
  <c r="AT126" i="93"/>
  <c r="AR120" i="93"/>
  <c r="BC115" i="94"/>
  <c r="AX109" i="93"/>
  <c r="AX163" i="94"/>
  <c r="AR138" i="94"/>
  <c r="AU127" i="93"/>
  <c r="AS126" i="93"/>
  <c r="AX119" i="93"/>
  <c r="AX118" i="93"/>
  <c r="G81" i="94"/>
  <c r="I21" i="93"/>
  <c r="K21" i="93" s="1"/>
  <c r="I92" i="60"/>
  <c r="BB144" i="93"/>
  <c r="E47" i="88"/>
  <c r="AW140" i="93"/>
  <c r="AY128" i="93"/>
  <c r="AZ168" i="93"/>
  <c r="AY147" i="93"/>
  <c r="AW128" i="93"/>
  <c r="BB171" i="93"/>
  <c r="BB159" i="93"/>
  <c r="AW123" i="93"/>
  <c r="AW100" i="93"/>
  <c r="AY161" i="93"/>
  <c r="AX123" i="93"/>
  <c r="F11" i="88"/>
  <c r="AX169" i="93"/>
  <c r="AW150" i="93"/>
  <c r="AW92" i="93"/>
  <c r="AY103" i="93"/>
  <c r="A74" i="93"/>
  <c r="F23" i="88"/>
  <c r="AZ150" i="93"/>
  <c r="E23" i="88"/>
  <c r="BB98" i="93"/>
  <c r="A25" i="77"/>
  <c r="A23" i="77"/>
  <c r="E59" i="88"/>
  <c r="A59" i="88" s="1"/>
  <c r="A55" i="88"/>
  <c r="X161" i="86"/>
  <c r="A163" i="86"/>
  <c r="A167" i="86" s="1"/>
  <c r="AV169" i="93"/>
  <c r="AR128" i="94"/>
  <c r="BC170" i="94"/>
  <c r="R170" i="94" s="1"/>
  <c r="AR169" i="94"/>
  <c r="AZ169" i="93"/>
  <c r="AX168" i="93"/>
  <c r="AS167" i="93"/>
  <c r="AR161" i="94"/>
  <c r="AW145" i="94"/>
  <c r="AR137" i="94"/>
  <c r="AS134" i="93"/>
  <c r="BC129" i="94"/>
  <c r="R129" i="94" s="1"/>
  <c r="AZ129" i="93"/>
  <c r="AS128" i="94"/>
  <c r="AV128" i="93"/>
  <c r="AR126" i="94"/>
  <c r="AS119" i="94"/>
  <c r="AZ120" i="93"/>
  <c r="AR117" i="94"/>
  <c r="AT111" i="94"/>
  <c r="AS111" i="93"/>
  <c r="AR110" i="93"/>
  <c r="H41" i="93"/>
  <c r="I41" i="93" s="1"/>
  <c r="G78" i="93"/>
  <c r="AR99" i="94"/>
  <c r="AV97" i="93"/>
  <c r="AT96" i="93"/>
  <c r="AR95" i="93"/>
  <c r="AR142" i="94"/>
  <c r="AT129" i="94"/>
  <c r="AR129" i="93"/>
  <c r="BC128" i="94"/>
  <c r="R128" i="94" s="1"/>
  <c r="BC126" i="94"/>
  <c r="AS111" i="94"/>
  <c r="BC111" i="93"/>
  <c r="R111" i="93" s="1"/>
  <c r="AT110" i="93"/>
  <c r="K78" i="93"/>
  <c r="M78" i="93" s="1"/>
  <c r="AT97" i="93"/>
  <c r="G29" i="93"/>
  <c r="H29" i="93" s="1"/>
  <c r="F71" i="94"/>
  <c r="AV169" i="94"/>
  <c r="AT161" i="94"/>
  <c r="AU169" i="94"/>
  <c r="AY168" i="93"/>
  <c r="AT167" i="93"/>
  <c r="AX162" i="94"/>
  <c r="AS153" i="94"/>
  <c r="AT142" i="94"/>
  <c r="AR129" i="94"/>
  <c r="AT129" i="93"/>
  <c r="AZ124" i="93"/>
  <c r="AX111" i="93"/>
  <c r="BC110" i="93"/>
  <c r="G80" i="94"/>
  <c r="A76" i="93"/>
  <c r="BC97" i="93"/>
  <c r="G30" i="93"/>
  <c r="H30" i="93" s="1"/>
  <c r="F72" i="94"/>
  <c r="F82" i="94"/>
  <c r="G82" i="94" s="1"/>
  <c r="AS142" i="94"/>
  <c r="BC100" i="94"/>
  <c r="G31" i="93"/>
  <c r="H31" i="93" s="1"/>
  <c r="AR162" i="94"/>
  <c r="AY160" i="93"/>
  <c r="AT153" i="94"/>
  <c r="AY134" i="94"/>
  <c r="AS129" i="94"/>
  <c r="BA129" i="93"/>
  <c r="AZ128" i="93"/>
  <c r="AS124" i="93"/>
  <c r="AU122" i="94"/>
  <c r="AW118" i="93"/>
  <c r="AR107" i="93"/>
  <c r="AS101" i="93"/>
  <c r="AT100" i="94"/>
  <c r="AC366" i="36"/>
  <c r="G32" i="93"/>
  <c r="H32" i="93" s="1"/>
  <c r="F73" i="94"/>
  <c r="F83" i="94"/>
  <c r="G83" i="94" s="1"/>
  <c r="AS100" i="94"/>
  <c r="G33" i="93"/>
  <c r="H33" i="93" s="1"/>
  <c r="AU160" i="94"/>
  <c r="AW129" i="94"/>
  <c r="BC115" i="93"/>
  <c r="BC107" i="93"/>
  <c r="AX148" i="94"/>
  <c r="AS144" i="94"/>
  <c r="AR142" i="93"/>
  <c r="BC133" i="93"/>
  <c r="AS129" i="93"/>
  <c r="AS127" i="93"/>
  <c r="AV125" i="93"/>
  <c r="AR124" i="93"/>
  <c r="BC122" i="94"/>
  <c r="BC122" i="93"/>
  <c r="AV118" i="93"/>
  <c r="AX115" i="93"/>
  <c r="AT107" i="93"/>
  <c r="BA105" i="93"/>
  <c r="K80" i="93"/>
  <c r="M80" i="93" s="1"/>
  <c r="AU101" i="93"/>
  <c r="S7" i="11"/>
  <c r="E13" i="26"/>
  <c r="G34" i="93"/>
  <c r="H34" i="93" s="1"/>
  <c r="I34" i="93" s="1"/>
  <c r="F74" i="94"/>
  <c r="F84" i="94"/>
  <c r="G84" i="94" s="1"/>
  <c r="AY129" i="93"/>
  <c r="AR125" i="93"/>
  <c r="AS166" i="94"/>
  <c r="BC165" i="93"/>
  <c r="R165" i="93" s="1"/>
  <c r="BC160" i="94"/>
  <c r="R160" i="94" s="1"/>
  <c r="BC160" i="93"/>
  <c r="BB158" i="93"/>
  <c r="AR168" i="93"/>
  <c r="AV166" i="94"/>
  <c r="AT165" i="94"/>
  <c r="AT165" i="93"/>
  <c r="AS162" i="94"/>
  <c r="AY162" i="93"/>
  <c r="AV161" i="93"/>
  <c r="AR160" i="94"/>
  <c r="AU160" i="93"/>
  <c r="AW159" i="93"/>
  <c r="BA158" i="93"/>
  <c r="AU156" i="93"/>
  <c r="AU152" i="93"/>
  <c r="AS148" i="94"/>
  <c r="AT143" i="93"/>
  <c r="BC142" i="93"/>
  <c r="AR133" i="94"/>
  <c r="AS133" i="93"/>
  <c r="AX129" i="93"/>
  <c r="AT127" i="93"/>
  <c r="AU124" i="93"/>
  <c r="AS122" i="94"/>
  <c r="BC118" i="93"/>
  <c r="AT115" i="93"/>
  <c r="AR107" i="94"/>
  <c r="AU107" i="93"/>
  <c r="G80" i="93"/>
  <c r="AT101" i="93"/>
  <c r="G35" i="93"/>
  <c r="H35" i="93" s="1"/>
  <c r="I35" i="93" s="1"/>
  <c r="AS169" i="93"/>
  <c r="AS172" i="93"/>
  <c r="AS168" i="93"/>
  <c r="AW165" i="94"/>
  <c r="BC162" i="94"/>
  <c r="R162" i="94" s="1"/>
  <c r="AZ161" i="93"/>
  <c r="BA159" i="93"/>
  <c r="AT172" i="93"/>
  <c r="AV168" i="93"/>
  <c r="AR165" i="94"/>
  <c r="AY165" i="93"/>
  <c r="AT163" i="93"/>
  <c r="AT161" i="93"/>
  <c r="AZ160" i="94"/>
  <c r="AW160" i="93"/>
  <c r="AT159" i="93"/>
  <c r="AS158" i="93"/>
  <c r="BA156" i="93"/>
  <c r="AS152" i="93"/>
  <c r="BC148" i="94"/>
  <c r="AW146" i="93"/>
  <c r="AY143" i="93"/>
  <c r="AX139" i="94"/>
  <c r="AT136" i="93"/>
  <c r="AS133" i="94"/>
  <c r="AU133" i="93"/>
  <c r="AT124" i="93"/>
  <c r="AS118" i="93"/>
  <c r="AU115" i="93"/>
  <c r="AZ114" i="93"/>
  <c r="AU107" i="94"/>
  <c r="AV107" i="93"/>
  <c r="AR105" i="93"/>
  <c r="X56" i="95"/>
  <c r="BG96" i="93"/>
  <c r="G36" i="93"/>
  <c r="H36" i="93" s="1"/>
  <c r="I36" i="93" s="1"/>
  <c r="AX165" i="93"/>
  <c r="AU162" i="94"/>
  <c r="AZ165" i="93"/>
  <c r="BC163" i="94"/>
  <c r="R163" i="94" s="1"/>
  <c r="AX161" i="93"/>
  <c r="AT160" i="94"/>
  <c r="AT160" i="93"/>
  <c r="AY159" i="93"/>
  <c r="BC158" i="93"/>
  <c r="R158" i="93" s="1"/>
  <c r="BC152" i="93"/>
  <c r="R152" i="93" s="1"/>
  <c r="AW136" i="93"/>
  <c r="AT133" i="93"/>
  <c r="AY124" i="93"/>
  <c r="AV121" i="93"/>
  <c r="AU116" i="93"/>
  <c r="AW115" i="93"/>
  <c r="AV105" i="93"/>
  <c r="BC103" i="94"/>
  <c r="R103" i="94" s="1"/>
  <c r="AW97" i="93"/>
  <c r="AV92" i="93"/>
  <c r="F71" i="78"/>
  <c r="G37" i="93"/>
  <c r="H37" i="93" s="1"/>
  <c r="I37" i="93" s="1"/>
  <c r="AW161" i="93"/>
  <c r="AW160" i="94"/>
  <c r="AZ158" i="93"/>
  <c r="AT152" i="93"/>
  <c r="AV150" i="93"/>
  <c r="BB146" i="93"/>
  <c r="AW143" i="93"/>
  <c r="AX136" i="93"/>
  <c r="AW124" i="93"/>
  <c r="AR121" i="93"/>
  <c r="BC116" i="93"/>
  <c r="AR115" i="93"/>
  <c r="AR103" i="94"/>
  <c r="J13" i="4"/>
  <c r="G38" i="93"/>
  <c r="H38" i="93" s="1"/>
  <c r="I38" i="93" s="1"/>
  <c r="F76" i="94"/>
  <c r="F85" i="94"/>
  <c r="K85" i="94" s="1"/>
  <c r="M85" i="94" s="1"/>
  <c r="AT154" i="93"/>
  <c r="AW165" i="93"/>
  <c r="AT163" i="94"/>
  <c r="AS161" i="93"/>
  <c r="AV160" i="94"/>
  <c r="AU158" i="93"/>
  <c r="AV154" i="93"/>
  <c r="AY145" i="93"/>
  <c r="AX141" i="93"/>
  <c r="AX140" i="93"/>
  <c r="AU137" i="93"/>
  <c r="BC136" i="93"/>
  <c r="R136" i="93" s="1"/>
  <c r="AT121" i="94"/>
  <c r="AY121" i="93"/>
  <c r="BC118" i="94"/>
  <c r="R118" i="94" s="1"/>
  <c r="AX116" i="93"/>
  <c r="AS115" i="93"/>
  <c r="AS113" i="93"/>
  <c r="G85" i="93"/>
  <c r="AS104" i="94"/>
  <c r="G81" i="93"/>
  <c r="AV103" i="94"/>
  <c r="G73" i="93"/>
  <c r="AT93" i="94"/>
  <c r="Q162" i="87"/>
  <c r="G39" i="93"/>
  <c r="H39" i="93" s="1"/>
  <c r="I39" i="93" s="1"/>
  <c r="AU161" i="93"/>
  <c r="AX160" i="94"/>
  <c r="AT158" i="93"/>
  <c r="AU155" i="94"/>
  <c r="AW154" i="93"/>
  <c r="BA150" i="93"/>
  <c r="AY149" i="93"/>
  <c r="BA145" i="93"/>
  <c r="BA140" i="93"/>
  <c r="AR137" i="93"/>
  <c r="AV136" i="93"/>
  <c r="BC125" i="94"/>
  <c r="R125" i="94" s="1"/>
  <c r="AS121" i="93"/>
  <c r="AT118" i="94"/>
  <c r="AS116" i="93"/>
  <c r="AW113" i="93"/>
  <c r="K85" i="93"/>
  <c r="M85" i="93" s="1"/>
  <c r="AW103" i="94"/>
  <c r="BC103" i="93"/>
  <c r="AV98" i="93"/>
  <c r="A73" i="93"/>
  <c r="E16" i="87"/>
  <c r="G40" i="93"/>
  <c r="H40" i="93" s="1"/>
  <c r="I40" i="93" s="1"/>
  <c r="F77" i="94"/>
  <c r="AS93" i="94"/>
  <c r="BC161" i="93"/>
  <c r="I39" i="4"/>
  <c r="F78" i="94"/>
  <c r="AU169" i="93"/>
  <c r="AW169" i="93"/>
  <c r="BA167" i="93"/>
  <c r="AR157" i="93"/>
  <c r="AU156" i="94"/>
  <c r="BC155" i="94"/>
  <c r="R155" i="94" s="1"/>
  <c r="AS154" i="93"/>
  <c r="AS141" i="94"/>
  <c r="AV140" i="93"/>
  <c r="AU136" i="93"/>
  <c r="AW128" i="94"/>
  <c r="AT125" i="94"/>
  <c r="AU121" i="93"/>
  <c r="BB116" i="93"/>
  <c r="AV112" i="93"/>
  <c r="AS103" i="93"/>
  <c r="E73" i="87"/>
  <c r="AS149" i="93"/>
  <c r="AX171" i="93"/>
  <c r="AZ167" i="93"/>
  <c r="AT157" i="93"/>
  <c r="BC154" i="93"/>
  <c r="R154" i="93" s="1"/>
  <c r="AS149" i="94"/>
  <c r="AT140" i="93"/>
  <c r="AY136" i="93"/>
  <c r="AU135" i="93"/>
  <c r="AV128" i="94"/>
  <c r="AV125" i="94"/>
  <c r="AW116" i="93"/>
  <c r="AW112" i="93"/>
  <c r="AR111" i="93"/>
  <c r="AU171" i="93"/>
  <c r="AY169" i="93"/>
  <c r="BA136" i="93"/>
  <c r="AU125" i="94"/>
  <c r="AW171" i="93"/>
  <c r="BA169" i="93"/>
  <c r="AT171" i="93"/>
  <c r="AR169" i="93"/>
  <c r="BB167" i="93"/>
  <c r="AT151" i="93"/>
  <c r="BC149" i="94"/>
  <c r="R149" i="94" s="1"/>
  <c r="AR140" i="93"/>
  <c r="AR136" i="93"/>
  <c r="AV135" i="93"/>
  <c r="AT128" i="94"/>
  <c r="AR123" i="93"/>
  <c r="AW111" i="93"/>
  <c r="AU110" i="93"/>
  <c r="AR97" i="93"/>
  <c r="AV136" i="60"/>
  <c r="AT111" i="93"/>
  <c r="AV98" i="94"/>
  <c r="AU96" i="94"/>
  <c r="BA153" i="94"/>
  <c r="AX108" i="93"/>
  <c r="AY101" i="93"/>
  <c r="AU100" i="94"/>
  <c r="BB165" i="93"/>
  <c r="AZ115" i="93"/>
  <c r="AW105" i="94"/>
  <c r="BB129" i="93"/>
  <c r="AX105" i="94"/>
  <c r="AZ154" i="93"/>
  <c r="BA165" i="93"/>
  <c r="AW93" i="93"/>
  <c r="BB147" i="93"/>
  <c r="AY102" i="93"/>
  <c r="AX96" i="94"/>
  <c r="K74" i="93"/>
  <c r="AY154" i="93"/>
  <c r="AY108" i="93"/>
  <c r="BB106" i="93"/>
  <c r="A79" i="93"/>
  <c r="G141" i="87"/>
  <c r="I140" i="87"/>
  <c r="G79" i="93"/>
  <c r="AU93" i="94"/>
  <c r="AY104" i="94"/>
  <c r="C3231" i="104"/>
  <c r="C1231" i="103"/>
  <c r="C3472" i="104"/>
  <c r="C3396" i="104"/>
  <c r="C3426" i="104"/>
  <c r="C3239" i="104"/>
  <c r="C3358" i="104"/>
  <c r="C1280" i="103"/>
  <c r="C1242" i="103"/>
  <c r="C3381" i="104"/>
  <c r="C3449" i="104"/>
  <c r="C1294" i="103"/>
  <c r="C3253" i="104"/>
  <c r="C3321" i="104"/>
  <c r="C1232" i="103"/>
  <c r="C3268" i="104"/>
  <c r="C3344" i="104"/>
  <c r="C1276" i="103"/>
  <c r="C3411" i="104"/>
  <c r="C3495" i="104"/>
  <c r="C3486" i="104"/>
  <c r="C3283" i="104"/>
  <c r="C3367" i="104"/>
  <c r="B3228" i="104"/>
  <c r="C3298" i="104"/>
  <c r="H7" i="102"/>
  <c r="K14" i="7" s="1" a="1"/>
  <c r="K14" i="7" s="1"/>
  <c r="J5" i="102"/>
  <c r="M12" i="7" s="1" a="1"/>
  <c r="M12" i="7" s="1"/>
  <c r="I5" i="102"/>
  <c r="L12" i="7" s="1" a="1"/>
  <c r="L12" i="7" s="1"/>
  <c r="Q14" i="7" a="1"/>
  <c r="Q14" i="7" s="1"/>
  <c r="U4" i="102"/>
  <c r="I4" i="102"/>
  <c r="V3" i="102"/>
  <c r="I8" i="102"/>
  <c r="I7" i="102"/>
  <c r="G6" i="102"/>
  <c r="F8" i="102"/>
  <c r="G5" i="102"/>
  <c r="F6" i="102"/>
  <c r="M10" i="7" a="1"/>
  <c r="M10" i="7" s="1"/>
  <c r="F5" i="102"/>
  <c r="W2" i="102"/>
  <c r="J7" i="102"/>
  <c r="J6" i="102"/>
  <c r="G8" i="102"/>
  <c r="H6" i="102"/>
  <c r="E7" i="102"/>
  <c r="E6" i="102"/>
  <c r="Q11" i="7" a="1"/>
  <c r="Q11" i="7" s="1"/>
  <c r="G7" i="102"/>
  <c r="H12" i="7" a="1"/>
  <c r="H12" i="7" s="1"/>
  <c r="J8" i="102"/>
  <c r="Q15" i="7" a="1"/>
  <c r="Q15" i="7" s="1"/>
  <c r="E8" i="102"/>
  <c r="H8" i="102"/>
  <c r="F7" i="102"/>
  <c r="I6" i="102"/>
  <c r="H5" i="102"/>
  <c r="Q13" i="7" a="1"/>
  <c r="Q13" i="7" s="1"/>
  <c r="C3326" i="104"/>
  <c r="C3349" i="104"/>
  <c r="C3364" i="104"/>
  <c r="C3379" i="104"/>
  <c r="C3394" i="104"/>
  <c r="C3417" i="104"/>
  <c r="C3440" i="104"/>
  <c r="C3463" i="104"/>
  <c r="C3294" i="104"/>
  <c r="C3317" i="104"/>
  <c r="C3332" i="104"/>
  <c r="C3347" i="104"/>
  <c r="C3362" i="104"/>
  <c r="C3385" i="104"/>
  <c r="C3408" i="104"/>
  <c r="C3431" i="104"/>
  <c r="C3262" i="104"/>
  <c r="C3285" i="104"/>
  <c r="C3300" i="104"/>
  <c r="C3315" i="104"/>
  <c r="C3330" i="104"/>
  <c r="C3353" i="104"/>
  <c r="C3376" i="104"/>
  <c r="C3399" i="104"/>
  <c r="C3454" i="104"/>
  <c r="C3477" i="104"/>
  <c r="C3492" i="104"/>
  <c r="C3236" i="104"/>
  <c r="C3251" i="104"/>
  <c r="C3266" i="104"/>
  <c r="C3289" i="104"/>
  <c r="C3312" i="104"/>
  <c r="C3335" i="104"/>
  <c r="C3422" i="104"/>
  <c r="C3445" i="104"/>
  <c r="C3460" i="104"/>
  <c r="C3475" i="104"/>
  <c r="C3490" i="104"/>
  <c r="C3234" i="104"/>
  <c r="C3257" i="104"/>
  <c r="C3280" i="104"/>
  <c r="C3303" i="104"/>
  <c r="C3390" i="104"/>
  <c r="C3413" i="104"/>
  <c r="C3428" i="104"/>
  <c r="C3443" i="104"/>
  <c r="C3458" i="104"/>
  <c r="C3481" i="104"/>
  <c r="C3504" i="104"/>
  <c r="C3248" i="104"/>
  <c r="C3271" i="104"/>
  <c r="C1274" i="103"/>
  <c r="C1326" i="103"/>
  <c r="C1312" i="103"/>
  <c r="C1241" i="103"/>
  <c r="C1235" i="103"/>
  <c r="C1255" i="103"/>
  <c r="C1273" i="103"/>
  <c r="C1306" i="103"/>
  <c r="C1236" i="103"/>
  <c r="C1267" i="103"/>
  <c r="C1287" i="103"/>
  <c r="C1305" i="103"/>
  <c r="C1277" i="103"/>
  <c r="C1299" i="103"/>
  <c r="C1319" i="103"/>
  <c r="C1269" i="103"/>
  <c r="C1316" i="103"/>
  <c r="C1325" i="103"/>
  <c r="B1228" i="103"/>
  <c r="C1260" i="103"/>
  <c r="C1262" i="103"/>
  <c r="C1248" i="103"/>
  <c r="C3470" i="104"/>
  <c r="C3406" i="104"/>
  <c r="C3342" i="104"/>
  <c r="C3278" i="104"/>
  <c r="C3493" i="104"/>
  <c r="C3429" i="104"/>
  <c r="C3365" i="104"/>
  <c r="C3301" i="104"/>
  <c r="C3237" i="104"/>
  <c r="C3444" i="104"/>
  <c r="C3380" i="104"/>
  <c r="C3316" i="104"/>
  <c r="C3252" i="104"/>
  <c r="C3459" i="104"/>
  <c r="C3395" i="104"/>
  <c r="C3331" i="104"/>
  <c r="C3267" i="104"/>
  <c r="C3474" i="104"/>
  <c r="C3410" i="104"/>
  <c r="C3346" i="104"/>
  <c r="C3282" i="104"/>
  <c r="C3497" i="104"/>
  <c r="C3433" i="104"/>
  <c r="C3369" i="104"/>
  <c r="C3305" i="104"/>
  <c r="C3241" i="104"/>
  <c r="C3456" i="104"/>
  <c r="C3392" i="104"/>
  <c r="C3328" i="104"/>
  <c r="C3264" i="104"/>
  <c r="C3479" i="104"/>
  <c r="C3415" i="104"/>
  <c r="C3351" i="104"/>
  <c r="C3287" i="104"/>
  <c r="C3462" i="104"/>
  <c r="C3398" i="104"/>
  <c r="C3334" i="104"/>
  <c r="C3270" i="104"/>
  <c r="C3485" i="104"/>
  <c r="C3421" i="104"/>
  <c r="C3357" i="104"/>
  <c r="C3293" i="104"/>
  <c r="C3500" i="104"/>
  <c r="C3436" i="104"/>
  <c r="C3372" i="104"/>
  <c r="C3308" i="104"/>
  <c r="C3244" i="104"/>
  <c r="C3451" i="104"/>
  <c r="C3387" i="104"/>
  <c r="C3323" i="104"/>
  <c r="C3259" i="104"/>
  <c r="C3466" i="104"/>
  <c r="C3402" i="104"/>
  <c r="C3338" i="104"/>
  <c r="C3274" i="104"/>
  <c r="C3489" i="104"/>
  <c r="C3425" i="104"/>
  <c r="C3361" i="104"/>
  <c r="C3297" i="104"/>
  <c r="C3233" i="104"/>
  <c r="C3448" i="104"/>
  <c r="C3384" i="104"/>
  <c r="C3320" i="104"/>
  <c r="C3256" i="104"/>
  <c r="C3471" i="104"/>
  <c r="C3407" i="104"/>
  <c r="C3343" i="104"/>
  <c r="C3279" i="104"/>
  <c r="C3446" i="104"/>
  <c r="C3382" i="104"/>
  <c r="C3318" i="104"/>
  <c r="C3254" i="104"/>
  <c r="C3469" i="104"/>
  <c r="C3405" i="104"/>
  <c r="C3341" i="104"/>
  <c r="C3277" i="104"/>
  <c r="C3484" i="104"/>
  <c r="C3420" i="104"/>
  <c r="C3356" i="104"/>
  <c r="C3292" i="104"/>
  <c r="C3499" i="104"/>
  <c r="C3435" i="104"/>
  <c r="C3371" i="104"/>
  <c r="C3307" i="104"/>
  <c r="C3243" i="104"/>
  <c r="C3450" i="104"/>
  <c r="C3386" i="104"/>
  <c r="C3322" i="104"/>
  <c r="C3258" i="104"/>
  <c r="C3473" i="104"/>
  <c r="C3409" i="104"/>
  <c r="C3345" i="104"/>
  <c r="C3281" i="104"/>
  <c r="C3496" i="104"/>
  <c r="C3432" i="104"/>
  <c r="C3368" i="104"/>
  <c r="C3304" i="104"/>
  <c r="C3240" i="104"/>
  <c r="C3455" i="104"/>
  <c r="C3391" i="104"/>
  <c r="C3327" i="104"/>
  <c r="C3263" i="104"/>
  <c r="C3438" i="104"/>
  <c r="C3374" i="104"/>
  <c r="C3310" i="104"/>
  <c r="C3246" i="104"/>
  <c r="C3461" i="104"/>
  <c r="C3397" i="104"/>
  <c r="C3333" i="104"/>
  <c r="C3269" i="104"/>
  <c r="C3476" i="104"/>
  <c r="C3412" i="104"/>
  <c r="C3348" i="104"/>
  <c r="C3284" i="104"/>
  <c r="C3491" i="104"/>
  <c r="C3427" i="104"/>
  <c r="C3363" i="104"/>
  <c r="C3299" i="104"/>
  <c r="C3235" i="104"/>
  <c r="C3442" i="104"/>
  <c r="C3378" i="104"/>
  <c r="C3314" i="104"/>
  <c r="C3250" i="104"/>
  <c r="C3465" i="104"/>
  <c r="C3401" i="104"/>
  <c r="C3337" i="104"/>
  <c r="C3273" i="104"/>
  <c r="C3488" i="104"/>
  <c r="C3424" i="104"/>
  <c r="C3360" i="104"/>
  <c r="C3296" i="104"/>
  <c r="C3232" i="104"/>
  <c r="C3447" i="104"/>
  <c r="C3383" i="104"/>
  <c r="C3319" i="104"/>
  <c r="C3255" i="104"/>
  <c r="C3502" i="104"/>
  <c r="C3494" i="104"/>
  <c r="C3430" i="104"/>
  <c r="C3366" i="104"/>
  <c r="C3302" i="104"/>
  <c r="C3238" i="104"/>
  <c r="C3453" i="104"/>
  <c r="C3389" i="104"/>
  <c r="C3325" i="104"/>
  <c r="C3261" i="104"/>
  <c r="C3468" i="104"/>
  <c r="C3404" i="104"/>
  <c r="C3340" i="104"/>
  <c r="C3276" i="104"/>
  <c r="C3483" i="104"/>
  <c r="C3419" i="104"/>
  <c r="C3355" i="104"/>
  <c r="C3291" i="104"/>
  <c r="C3498" i="104"/>
  <c r="C3434" i="104"/>
  <c r="C3370" i="104"/>
  <c r="C3306" i="104"/>
  <c r="C3242" i="104"/>
  <c r="C3457" i="104"/>
  <c r="C3393" i="104"/>
  <c r="C3329" i="104"/>
  <c r="C3265" i="104"/>
  <c r="C3480" i="104"/>
  <c r="C3416" i="104"/>
  <c r="C3352" i="104"/>
  <c r="C3288" i="104"/>
  <c r="C3503" i="104"/>
  <c r="C3439" i="104"/>
  <c r="C3375" i="104"/>
  <c r="C3311" i="104"/>
  <c r="C3247" i="104"/>
  <c r="C3478" i="104"/>
  <c r="C3414" i="104"/>
  <c r="C3350" i="104"/>
  <c r="C3286" i="104"/>
  <c r="C3501" i="104"/>
  <c r="C3437" i="104"/>
  <c r="C3373" i="104"/>
  <c r="C3309" i="104"/>
  <c r="C3245" i="104"/>
  <c r="C3452" i="104"/>
  <c r="C3388" i="104"/>
  <c r="C3324" i="104"/>
  <c r="C3260" i="104"/>
  <c r="C3467" i="104"/>
  <c r="C3403" i="104"/>
  <c r="C3339" i="104"/>
  <c r="C3275" i="104"/>
  <c r="C3482" i="104"/>
  <c r="C3418" i="104"/>
  <c r="C3354" i="104"/>
  <c r="C3290" i="104"/>
  <c r="C3505" i="104"/>
  <c r="C3441" i="104"/>
  <c r="C3377" i="104"/>
  <c r="C3313" i="104"/>
  <c r="C3249" i="104"/>
  <c r="C3464" i="104"/>
  <c r="C3400" i="104"/>
  <c r="C3336" i="104"/>
  <c r="C3272" i="104"/>
  <c r="C3487" i="104"/>
  <c r="C3423" i="104"/>
  <c r="C3359" i="104"/>
  <c r="C3295" i="104"/>
  <c r="C1268" i="103"/>
  <c r="C1253" i="103"/>
  <c r="C1250" i="103"/>
  <c r="C1314" i="103"/>
  <c r="C1275" i="103"/>
  <c r="C1238" i="103"/>
  <c r="C1302" i="103"/>
  <c r="C1263" i="103"/>
  <c r="C1327" i="103"/>
  <c r="C1288" i="103"/>
  <c r="C1249" i="103"/>
  <c r="C1313" i="103"/>
  <c r="C1237" i="103"/>
  <c r="C1300" i="103"/>
  <c r="C1285" i="103"/>
  <c r="C1258" i="103"/>
  <c r="C1322" i="103"/>
  <c r="C1283" i="103"/>
  <c r="C1246" i="103"/>
  <c r="C1310" i="103"/>
  <c r="C1271" i="103"/>
  <c r="C1296" i="103"/>
  <c r="C1257" i="103"/>
  <c r="C1321" i="103"/>
  <c r="C1245" i="103"/>
  <c r="C1317" i="103"/>
  <c r="C1266" i="103"/>
  <c r="C1330" i="103"/>
  <c r="C1291" i="103"/>
  <c r="C1254" i="103"/>
  <c r="C1318" i="103"/>
  <c r="C1279" i="103"/>
  <c r="C1240" i="103"/>
  <c r="C1304" i="103"/>
  <c r="C1265" i="103"/>
  <c r="C1329" i="103"/>
  <c r="C1308" i="103"/>
  <c r="C1309" i="103"/>
  <c r="C1292" i="103"/>
  <c r="C1282" i="103"/>
  <c r="C1243" i="103"/>
  <c r="C1307" i="103"/>
  <c r="C1270" i="103"/>
  <c r="C1295" i="103"/>
  <c r="C1256" i="103"/>
  <c r="C1320" i="103"/>
  <c r="C1281" i="103"/>
  <c r="C1261" i="103"/>
  <c r="C1301" i="103"/>
  <c r="C1252" i="103"/>
  <c r="C1324" i="103"/>
  <c r="C1290" i="103"/>
  <c r="C1251" i="103"/>
  <c r="C1315" i="103"/>
  <c r="C1278" i="103"/>
  <c r="C1239" i="103"/>
  <c r="C1303" i="103"/>
  <c r="C1264" i="103"/>
  <c r="C1328" i="103"/>
  <c r="C1289" i="103"/>
  <c r="C1244" i="103"/>
  <c r="C1293" i="103"/>
  <c r="C1284" i="103"/>
  <c r="C1234" i="103"/>
  <c r="C1298" i="103"/>
  <c r="C1259" i="103"/>
  <c r="C1323" i="103"/>
  <c r="C1286" i="103"/>
  <c r="C1247" i="103"/>
  <c r="C1311" i="103"/>
  <c r="C1272" i="103"/>
  <c r="C1233" i="103"/>
  <c r="C1297" i="103"/>
  <c r="AV154" i="94"/>
  <c r="BA154" i="94"/>
  <c r="L42" i="36"/>
  <c r="L148" i="36"/>
  <c r="AX168" i="94"/>
  <c r="AW168" i="94"/>
  <c r="AV168" i="94"/>
  <c r="AU168" i="94"/>
  <c r="AT168" i="94"/>
  <c r="AS168" i="94"/>
  <c r="BC168" i="94"/>
  <c r="R168" i="94" s="1"/>
  <c r="F50" i="88"/>
  <c r="F24" i="88"/>
  <c r="L292" i="36"/>
  <c r="L294" i="36"/>
  <c r="K76" i="36"/>
  <c r="K310" i="36" s="1"/>
  <c r="L310" i="36" s="1"/>
  <c r="L258" i="36"/>
  <c r="L220" i="36"/>
  <c r="L132" i="36"/>
  <c r="L40" i="36"/>
  <c r="A103" i="47"/>
  <c r="A102" i="47"/>
  <c r="A92" i="47"/>
  <c r="A94" i="47"/>
  <c r="AR168" i="94"/>
  <c r="AT166" i="93"/>
  <c r="AY166" i="93"/>
  <c r="BC166" i="93"/>
  <c r="R166" i="93" s="1"/>
  <c r="AR166" i="93"/>
  <c r="AS166" i="93"/>
  <c r="AV166" i="93"/>
  <c r="AZ166" i="93"/>
  <c r="AX166" i="93"/>
  <c r="AU166" i="93"/>
  <c r="F25" i="88"/>
  <c r="L221" i="36"/>
  <c r="F49" i="88"/>
  <c r="F14" i="88"/>
  <c r="L126" i="47"/>
  <c r="M124" i="47" s="1"/>
  <c r="L257" i="36"/>
  <c r="L204" i="36"/>
  <c r="L131" i="36"/>
  <c r="L24" i="36"/>
  <c r="A80" i="47"/>
  <c r="A77" i="47"/>
  <c r="AT155" i="93"/>
  <c r="AW155" i="93"/>
  <c r="AU155" i="93"/>
  <c r="AR155" i="93"/>
  <c r="AY155" i="93"/>
  <c r="AS155" i="93"/>
  <c r="AV155" i="93"/>
  <c r="AZ155" i="93"/>
  <c r="AX155" i="93"/>
  <c r="BA155" i="93"/>
  <c r="A99" i="47"/>
  <c r="A100" i="47"/>
  <c r="A101" i="47"/>
  <c r="E60" i="88"/>
  <c r="F60" i="88" s="1"/>
  <c r="Q126" i="47"/>
  <c r="R124" i="47" s="1"/>
  <c r="F48" i="88"/>
  <c r="F13" i="88"/>
  <c r="L58" i="36"/>
  <c r="N126" i="47"/>
  <c r="O124" i="47" s="1"/>
  <c r="K78" i="36"/>
  <c r="K312" i="36" s="1"/>
  <c r="L312" i="36" s="1"/>
  <c r="L256" i="36"/>
  <c r="L203" i="36"/>
  <c r="L130" i="36"/>
  <c r="J126" i="47"/>
  <c r="A18" i="47"/>
  <c r="L41" i="36"/>
  <c r="E62" i="88"/>
  <c r="F62" i="88" s="1"/>
  <c r="F38" i="88"/>
  <c r="F12" i="88"/>
  <c r="L168" i="36"/>
  <c r="L60" i="36"/>
  <c r="P126" i="47"/>
  <c r="Q124" i="47" s="1"/>
  <c r="L240" i="36"/>
  <c r="L202" i="36"/>
  <c r="L114" i="36"/>
  <c r="I126" i="47"/>
  <c r="AT132" i="94"/>
  <c r="AU132" i="94"/>
  <c r="L184" i="36"/>
  <c r="L274" i="36"/>
  <c r="F37" i="88"/>
  <c r="L293" i="36"/>
  <c r="L185" i="36"/>
  <c r="R126" i="47"/>
  <c r="L239" i="36"/>
  <c r="L166" i="36"/>
  <c r="L113" i="36"/>
  <c r="AS146" i="94"/>
  <c r="AT146" i="94"/>
  <c r="BC146" i="94"/>
  <c r="AR146" i="94"/>
  <c r="E61" i="88"/>
  <c r="F61" i="88" s="1"/>
  <c r="F36" i="88"/>
  <c r="M126" i="47"/>
  <c r="N124" i="47" s="1"/>
  <c r="O126" i="47"/>
  <c r="P124" i="47" s="1"/>
  <c r="L276" i="36"/>
  <c r="L238" i="36"/>
  <c r="L150" i="36"/>
  <c r="L112" i="36"/>
  <c r="A79" i="47"/>
  <c r="A78" i="47"/>
  <c r="K126" i="47"/>
  <c r="L124" i="47" s="1"/>
  <c r="L22" i="36"/>
  <c r="L23" i="36"/>
  <c r="A19" i="47"/>
  <c r="F126" i="47"/>
  <c r="K110" i="47" s="1"/>
  <c r="L167" i="36"/>
  <c r="H126" i="47"/>
  <c r="L94" i="36"/>
  <c r="BA166" i="93"/>
  <c r="A39" i="47"/>
  <c r="A33" i="47"/>
  <c r="AR172" i="94"/>
  <c r="AU172" i="93"/>
  <c r="BA171" i="93"/>
  <c r="AS170" i="94"/>
  <c r="AZ170" i="93"/>
  <c r="AX169" i="94"/>
  <c r="BC169" i="93"/>
  <c r="R169" i="93" s="1"/>
  <c r="AY167" i="93"/>
  <c r="AV167" i="93"/>
  <c r="BC164" i="94"/>
  <c r="R164" i="94" s="1"/>
  <c r="BB163" i="94"/>
  <c r="AR163" i="94"/>
  <c r="AU163" i="93"/>
  <c r="AY163" i="93"/>
  <c r="AT162" i="94"/>
  <c r="AV160" i="93"/>
  <c r="AZ159" i="93"/>
  <c r="AU159" i="93"/>
  <c r="AX158" i="93"/>
  <c r="AV158" i="93"/>
  <c r="AV157" i="93"/>
  <c r="AZ156" i="93"/>
  <c r="AU153" i="94"/>
  <c r="AY153" i="93"/>
  <c r="BC151" i="94"/>
  <c r="R151" i="94" s="1"/>
  <c r="AW151" i="93"/>
  <c r="AZ151" i="93"/>
  <c r="AR150" i="93"/>
  <c r="AS150" i="93"/>
  <c r="AR149" i="94"/>
  <c r="AR149" i="93"/>
  <c r="AT148" i="94"/>
  <c r="BA147" i="93"/>
  <c r="BC147" i="93"/>
  <c r="R147" i="93" s="1"/>
  <c r="AY146" i="93"/>
  <c r="AX146" i="93"/>
  <c r="AT145" i="93"/>
  <c r="AU144" i="93"/>
  <c r="AS143" i="93"/>
  <c r="AZ143" i="93"/>
  <c r="AV143" i="93"/>
  <c r="AU139" i="93"/>
  <c r="BA139" i="93"/>
  <c r="AZ139" i="93"/>
  <c r="AX139" i="93"/>
  <c r="BC139" i="93"/>
  <c r="R139" i="93" s="1"/>
  <c r="AW139" i="93"/>
  <c r="AS139" i="93"/>
  <c r="BB139" i="93"/>
  <c r="AT139" i="93"/>
  <c r="AY139" i="93"/>
  <c r="AW123" i="94"/>
  <c r="AV123" i="94"/>
  <c r="AT123" i="94"/>
  <c r="AR123" i="94"/>
  <c r="AX123" i="94"/>
  <c r="BC123" i="94"/>
  <c r="R123" i="94" s="1"/>
  <c r="AU123" i="94"/>
  <c r="A76" i="47"/>
  <c r="BC172" i="93"/>
  <c r="R172" i="93" s="1"/>
  <c r="BC171" i="94"/>
  <c r="R171" i="94" s="1"/>
  <c r="AV170" i="93"/>
  <c r="AW169" i="94"/>
  <c r="AU157" i="93"/>
  <c r="AR156" i="93"/>
  <c r="AS153" i="93"/>
  <c r="AT151" i="94"/>
  <c r="AV151" i="93"/>
  <c r="BC150" i="93"/>
  <c r="AZ149" i="93"/>
  <c r="AV149" i="93"/>
  <c r="AZ147" i="93"/>
  <c r="AW147" i="93"/>
  <c r="BA146" i="93"/>
  <c r="AT146" i="93"/>
  <c r="AR145" i="93"/>
  <c r="AW144" i="93"/>
  <c r="BC137" i="94"/>
  <c r="AU137" i="94"/>
  <c r="AT137" i="94"/>
  <c r="AR131" i="94"/>
  <c r="BC131" i="94"/>
  <c r="BB131" i="94"/>
  <c r="AV131" i="94"/>
  <c r="AT131" i="94"/>
  <c r="AU131" i="94"/>
  <c r="AS131" i="94"/>
  <c r="AY117" i="93"/>
  <c r="AW172" i="93"/>
  <c r="AV171" i="94"/>
  <c r="AV171" i="93"/>
  <c r="AR171" i="93"/>
  <c r="AU170" i="93"/>
  <c r="AY170" i="93"/>
  <c r="AT169" i="94"/>
  <c r="BB169" i="93"/>
  <c r="AW163" i="94"/>
  <c r="AU163" i="94"/>
  <c r="BB163" i="93"/>
  <c r="BC159" i="93"/>
  <c r="R159" i="93" s="1"/>
  <c r="AV159" i="93"/>
  <c r="AR158" i="93"/>
  <c r="AY158" i="93"/>
  <c r="AS157" i="93"/>
  <c r="AW156" i="93"/>
  <c r="AR153" i="94"/>
  <c r="AR153" i="93"/>
  <c r="AV151" i="94"/>
  <c r="AY151" i="93"/>
  <c r="AY150" i="93"/>
  <c r="BA149" i="93"/>
  <c r="AT149" i="93"/>
  <c r="AR147" i="93"/>
  <c r="AU146" i="93"/>
  <c r="AS146" i="93"/>
  <c r="AZ144" i="93"/>
  <c r="BB138" i="93"/>
  <c r="AT138" i="93"/>
  <c r="AZ138" i="93"/>
  <c r="AR138" i="93"/>
  <c r="AX138" i="93"/>
  <c r="AU138" i="93"/>
  <c r="BA138" i="93"/>
  <c r="AW138" i="93"/>
  <c r="AY138" i="93"/>
  <c r="AS138" i="93"/>
  <c r="A10" i="47"/>
  <c r="A105" i="47"/>
  <c r="A97" i="47"/>
  <c r="A96" i="47"/>
  <c r="A91" i="47"/>
  <c r="AR172" i="93"/>
  <c r="AS171" i="94"/>
  <c r="AX170" i="93"/>
  <c r="AS170" i="93"/>
  <c r="AV163" i="94"/>
  <c r="BC157" i="93"/>
  <c r="AT156" i="93"/>
  <c r="BC153" i="93"/>
  <c r="AU151" i="93"/>
  <c r="AU150" i="93"/>
  <c r="AX149" i="93"/>
  <c r="AW149" i="93"/>
  <c r="AU147" i="94"/>
  <c r="AX147" i="93"/>
  <c r="AZ146" i="93"/>
  <c r="AV145" i="94"/>
  <c r="AT145" i="94"/>
  <c r="BB141" i="93"/>
  <c r="BA141" i="93"/>
  <c r="AR141" i="93"/>
  <c r="AZ141" i="93"/>
  <c r="BC141" i="93"/>
  <c r="R141" i="93" s="1"/>
  <c r="AY141" i="93"/>
  <c r="AV141" i="93"/>
  <c r="AR120" i="94"/>
  <c r="AX120" i="94"/>
  <c r="BA120" i="94"/>
  <c r="AU120" i="94"/>
  <c r="AS120" i="94"/>
  <c r="AT120" i="94"/>
  <c r="AX172" i="93"/>
  <c r="AR171" i="94"/>
  <c r="BC170" i="93"/>
  <c r="R170" i="93" s="1"/>
  <c r="BB170" i="93"/>
  <c r="AZ169" i="94"/>
  <c r="AS161" i="94"/>
  <c r="BC156" i="93"/>
  <c r="AV153" i="93"/>
  <c r="AV147" i="93"/>
  <c r="AU145" i="93"/>
  <c r="AS145" i="93"/>
  <c r="AV145" i="93"/>
  <c r="AS117" i="93"/>
  <c r="AZ117" i="93"/>
  <c r="AT117" i="93"/>
  <c r="AW117" i="93"/>
  <c r="AV117" i="93"/>
  <c r="AU117" i="93"/>
  <c r="AX117" i="93"/>
  <c r="BC117" i="93"/>
  <c r="BA117" i="93"/>
  <c r="BC108" i="93"/>
  <c r="R108" i="93" s="1"/>
  <c r="AW108" i="93"/>
  <c r="AT108" i="93"/>
  <c r="AU108" i="93"/>
  <c r="AV108" i="93"/>
  <c r="AS108" i="93"/>
  <c r="AR108" i="93"/>
  <c r="AT170" i="93"/>
  <c r="BC169" i="94"/>
  <c r="BC146" i="93"/>
  <c r="R146" i="93" s="1"/>
  <c r="AW145" i="93"/>
  <c r="AU143" i="94"/>
  <c r="AV143" i="94"/>
  <c r="AW143" i="94"/>
  <c r="AS141" i="93"/>
  <c r="AV139" i="93"/>
  <c r="BC138" i="93"/>
  <c r="R138" i="93" s="1"/>
  <c r="AR131" i="93"/>
  <c r="AW131" i="93"/>
  <c r="AS131" i="93"/>
  <c r="AV131" i="93"/>
  <c r="AT131" i="93"/>
  <c r="BA131" i="93"/>
  <c r="AU131" i="93"/>
  <c r="AW130" i="94"/>
  <c r="AR130" i="94"/>
  <c r="AX130" i="94"/>
  <c r="BC130" i="94"/>
  <c r="AU130" i="94"/>
  <c r="AV130" i="94"/>
  <c r="AY130" i="94"/>
  <c r="AT130" i="94"/>
  <c r="AW130" i="93"/>
  <c r="AZ130" i="93"/>
  <c r="AT130" i="93"/>
  <c r="AR130" i="93"/>
  <c r="AS130" i="93"/>
  <c r="AV130" i="93"/>
  <c r="BC130" i="93"/>
  <c r="AU130" i="93"/>
  <c r="AX130" i="93"/>
  <c r="BC144" i="93"/>
  <c r="R144" i="93" s="1"/>
  <c r="AV144" i="93"/>
  <c r="AS144" i="93"/>
  <c r="AT144" i="93"/>
  <c r="BA144" i="93"/>
  <c r="AR144" i="93"/>
  <c r="AR127" i="94"/>
  <c r="AV127" i="94"/>
  <c r="AX127" i="94"/>
  <c r="BC141" i="94"/>
  <c r="R141" i="94" s="1"/>
  <c r="BC138" i="94"/>
  <c r="AT135" i="93"/>
  <c r="AU134" i="94"/>
  <c r="AV133" i="93"/>
  <c r="AY127" i="93"/>
  <c r="AT125" i="93"/>
  <c r="AZ123" i="93"/>
  <c r="AT122" i="93"/>
  <c r="BA120" i="93"/>
  <c r="AS119" i="93"/>
  <c r="AV118" i="94"/>
  <c r="AU114" i="93"/>
  <c r="AU113" i="93"/>
  <c r="AT112" i="93"/>
  <c r="AZ105" i="94"/>
  <c r="AU125" i="93"/>
  <c r="AT138" i="94"/>
  <c r="AT137" i="93"/>
  <c r="AW135" i="93"/>
  <c r="AW133" i="93"/>
  <c r="AX127" i="93"/>
  <c r="AT123" i="93"/>
  <c r="AZ122" i="94"/>
  <c r="AV122" i="93"/>
  <c r="AW120" i="93"/>
  <c r="AS120" i="93"/>
  <c r="AZ119" i="93"/>
  <c r="AV119" i="93"/>
  <c r="AX118" i="94"/>
  <c r="AR118" i="94"/>
  <c r="AT118" i="93"/>
  <c r="BC116" i="94"/>
  <c r="AV115" i="94"/>
  <c r="BA115" i="93"/>
  <c r="AS114" i="93"/>
  <c r="AT113" i="93"/>
  <c r="BA112" i="93"/>
  <c r="AU105" i="93"/>
  <c r="AS104" i="93"/>
  <c r="AT103" i="94"/>
  <c r="AS137" i="93"/>
  <c r="AY135" i="93"/>
  <c r="BC135" i="93"/>
  <c r="BC134" i="94"/>
  <c r="AR133" i="93"/>
  <c r="AV123" i="93"/>
  <c r="AW122" i="93"/>
  <c r="AY120" i="93"/>
  <c r="BC120" i="93"/>
  <c r="R120" i="93" s="1"/>
  <c r="AY119" i="93"/>
  <c r="BC119" i="93"/>
  <c r="R119" i="93" s="1"/>
  <c r="AY118" i="94"/>
  <c r="AR116" i="94"/>
  <c r="AS115" i="94"/>
  <c r="BB114" i="93"/>
  <c r="AX112" i="93"/>
  <c r="AS112" i="93"/>
  <c r="AR102" i="93"/>
  <c r="AX102" i="93"/>
  <c r="AT102" i="93"/>
  <c r="AS102" i="93"/>
  <c r="BC102" i="93"/>
  <c r="AW102" i="93"/>
  <c r="AZ135" i="93"/>
  <c r="AR135" i="93"/>
  <c r="AR134" i="94"/>
  <c r="BC125" i="93"/>
  <c r="AU116" i="94"/>
  <c r="AR115" i="94"/>
  <c r="AV114" i="94"/>
  <c r="BC114" i="93"/>
  <c r="AV113" i="93"/>
  <c r="BC112" i="93"/>
  <c r="AX135" i="93"/>
  <c r="AT134" i="94"/>
  <c r="AU115" i="94"/>
  <c r="AT114" i="94"/>
  <c r="AV114" i="93"/>
  <c r="AR113" i="93"/>
  <c r="AU112" i="93"/>
  <c r="AV110" i="94"/>
  <c r="K61" i="93"/>
  <c r="AY96" i="94"/>
  <c r="AT98" i="93"/>
  <c r="N56" i="96"/>
  <c r="K175" i="36"/>
  <c r="Q158" i="87"/>
  <c r="H126" i="51"/>
  <c r="A77" i="52"/>
  <c r="A78" i="52"/>
  <c r="A67" i="52"/>
  <c r="A69" i="52"/>
  <c r="AU98" i="93"/>
  <c r="L56" i="95"/>
  <c r="I17" i="4"/>
  <c r="A105" i="52"/>
  <c r="A97" i="51"/>
  <c r="T37" i="68"/>
  <c r="W37" i="68"/>
  <c r="BA130" i="93"/>
  <c r="A22" i="52"/>
  <c r="A23" i="52"/>
  <c r="A15" i="52"/>
  <c r="L126" i="52"/>
  <c r="M124" i="52" s="1"/>
  <c r="A11" i="52"/>
  <c r="J126" i="52"/>
  <c r="F126" i="52"/>
  <c r="N126" i="52"/>
  <c r="O124" i="52" s="1"/>
  <c r="A9" i="52"/>
  <c r="G126" i="52"/>
  <c r="Q126" i="52"/>
  <c r="R124" i="52" s="1"/>
  <c r="H126" i="52"/>
  <c r="P126" i="52"/>
  <c r="Q124" i="52" s="1"/>
  <c r="A10" i="52"/>
  <c r="I126" i="52"/>
  <c r="O126" i="52"/>
  <c r="P124" i="52" s="1"/>
  <c r="K126" i="52"/>
  <c r="L124" i="52" s="1"/>
  <c r="R126" i="52"/>
  <c r="L52" i="84"/>
  <c r="L51" i="84"/>
  <c r="V15" i="35"/>
  <c r="BB136" i="93"/>
  <c r="BA148" i="93"/>
  <c r="AZ92" i="93"/>
  <c r="E72" i="87"/>
  <c r="A72" i="52"/>
  <c r="A73" i="52"/>
  <c r="A74" i="52"/>
  <c r="A71" i="51"/>
  <c r="A51" i="51"/>
  <c r="A32" i="52"/>
  <c r="A33" i="52"/>
  <c r="A34" i="52"/>
  <c r="X11" i="60"/>
  <c r="U11" i="60"/>
  <c r="R167" i="92"/>
  <c r="S163" i="92"/>
  <c r="X163" i="92" s="1"/>
  <c r="K81" i="93"/>
  <c r="M81" i="93" s="1"/>
  <c r="BB151" i="93"/>
  <c r="N56" i="95"/>
  <c r="K179" i="36"/>
  <c r="J56" i="95"/>
  <c r="A84" i="51"/>
  <c r="A83" i="51"/>
  <c r="A80" i="51"/>
  <c r="A63" i="51"/>
  <c r="A64" i="51"/>
  <c r="A43" i="51"/>
  <c r="A44" i="51"/>
  <c r="A22" i="51"/>
  <c r="K52" i="85"/>
  <c r="K54" i="85" s="1"/>
  <c r="K51" i="85"/>
  <c r="L54" i="84"/>
  <c r="J54" i="85"/>
  <c r="J146" i="85" s="1"/>
  <c r="A102" i="51"/>
  <c r="A103" i="51"/>
  <c r="A104" i="51"/>
  <c r="A94" i="51"/>
  <c r="A70" i="51"/>
  <c r="A64" i="52"/>
  <c r="A44" i="52"/>
  <c r="A38" i="51"/>
  <c r="A23" i="51"/>
  <c r="A24" i="52"/>
  <c r="W13" i="68"/>
  <c r="T13" i="68"/>
  <c r="H52" i="30"/>
  <c r="I52" i="30"/>
  <c r="G52" i="30"/>
  <c r="K144" i="85"/>
  <c r="K143" i="85"/>
  <c r="K145" i="85" s="1"/>
  <c r="A103" i="52"/>
  <c r="A58" i="51"/>
  <c r="A59" i="51"/>
  <c r="A57" i="52"/>
  <c r="A58" i="52"/>
  <c r="A36" i="51"/>
  <c r="A34" i="51"/>
  <c r="K91" i="75"/>
  <c r="O91" i="75" s="1"/>
  <c r="K56" i="11" a="1"/>
  <c r="K56" i="11" s="1"/>
  <c r="L56" i="11"/>
  <c r="Z56" i="95"/>
  <c r="AY104" i="93"/>
  <c r="K180" i="36"/>
  <c r="A98" i="52"/>
  <c r="A99" i="52"/>
  <c r="A20" i="51"/>
  <c r="A21" i="51"/>
  <c r="M126" i="51"/>
  <c r="N124" i="51" s="1"/>
  <c r="G126" i="51"/>
  <c r="O126" i="51"/>
  <c r="P124" i="51" s="1"/>
  <c r="A14" i="51"/>
  <c r="A15" i="51"/>
  <c r="F126" i="51"/>
  <c r="P126" i="51"/>
  <c r="Q124" i="51" s="1"/>
  <c r="A13" i="51"/>
  <c r="J126" i="51"/>
  <c r="Q126" i="51"/>
  <c r="R124" i="51" s="1"/>
  <c r="I126" i="51"/>
  <c r="R126" i="51"/>
  <c r="K126" i="51"/>
  <c r="L124" i="51" s="1"/>
  <c r="L126" i="51"/>
  <c r="M124" i="51" s="1"/>
  <c r="H142" i="87"/>
  <c r="A19" i="51"/>
  <c r="I7" i="93"/>
  <c r="K7" i="93" s="1"/>
  <c r="L283" i="36"/>
  <c r="L286" i="36"/>
  <c r="J142" i="87"/>
  <c r="H140" i="87"/>
  <c r="J52" i="85"/>
  <c r="L16" i="36"/>
  <c r="L12" i="36"/>
  <c r="L213" i="36"/>
  <c r="L284" i="36"/>
  <c r="AY3" i="114"/>
  <c r="G5" i="100"/>
  <c r="K57" i="11"/>
  <c r="K282" i="36"/>
  <c r="A282" i="36" s="1"/>
  <c r="A39" i="57"/>
  <c r="F56" i="96"/>
  <c r="L19" i="36"/>
  <c r="E88" i="44"/>
  <c r="K92" i="77"/>
  <c r="D117" i="36"/>
  <c r="M67" i="113"/>
  <c r="A10" i="51"/>
  <c r="J50" i="60"/>
  <c r="L50" i="60" s="1"/>
  <c r="I71" i="60"/>
  <c r="H28" i="93"/>
  <c r="AF57" i="95"/>
  <c r="P57" i="95"/>
  <c r="R57" i="95"/>
  <c r="AD57" i="95"/>
  <c r="N57" i="95"/>
  <c r="AB57" i="95"/>
  <c r="L57" i="95"/>
  <c r="Z57" i="95"/>
  <c r="J57" i="95"/>
  <c r="X57" i="95"/>
  <c r="H57" i="95"/>
  <c r="T57" i="95"/>
  <c r="V57" i="95"/>
  <c r="F57" i="95"/>
  <c r="AH57" i="95"/>
  <c r="AH57" i="96"/>
  <c r="R57" i="96"/>
  <c r="AF57" i="96"/>
  <c r="P57" i="96"/>
  <c r="AD57" i="96"/>
  <c r="N57" i="96"/>
  <c r="AB57" i="96"/>
  <c r="H57" i="96"/>
  <c r="L57" i="96"/>
  <c r="F57" i="96"/>
  <c r="T57" i="96"/>
  <c r="Z57" i="96"/>
  <c r="J57" i="96"/>
  <c r="X57" i="96"/>
  <c r="V57" i="96"/>
  <c r="H52" i="85"/>
  <c r="H54" i="85" s="1"/>
  <c r="L15" i="36"/>
  <c r="L212" i="36"/>
  <c r="T370" i="36"/>
  <c r="K16" i="36"/>
  <c r="A16" i="36" s="1"/>
  <c r="M69" i="113"/>
  <c r="L282" i="36"/>
  <c r="K283" i="36"/>
  <c r="A283" i="36" s="1"/>
  <c r="I92" i="68"/>
  <c r="K92" i="68" s="1"/>
  <c r="A98" i="51"/>
  <c r="A97" i="52"/>
  <c r="A50" i="52"/>
  <c r="A18" i="52"/>
  <c r="K45" i="86"/>
  <c r="K52" i="86" s="1"/>
  <c r="L20" i="36"/>
  <c r="L39" i="36"/>
  <c r="M70" i="113"/>
  <c r="D32" i="115"/>
  <c r="D30" i="115" s="1"/>
  <c r="I142" i="86"/>
  <c r="A48" i="86"/>
  <c r="L17" i="36"/>
  <c r="L13" i="36"/>
  <c r="L214" i="36"/>
  <c r="D329" i="36"/>
  <c r="D99" i="36"/>
  <c r="G98" i="61" a="1"/>
  <c r="G98" i="61" s="1"/>
  <c r="G105" i="61" a="1"/>
  <c r="G105" i="61" s="1"/>
  <c r="G108" i="61" a="1"/>
  <c r="G108" i="61" s="1"/>
  <c r="G99" i="61" a="1"/>
  <c r="G99" i="61" s="1"/>
  <c r="G102" i="61" a="1"/>
  <c r="G102" i="61" s="1"/>
  <c r="G96" i="61" a="1"/>
  <c r="G96" i="61" s="1"/>
  <c r="G103" i="61" a="1"/>
  <c r="G103" i="61" s="1"/>
  <c r="G106" i="61" a="1"/>
  <c r="G106" i="61" s="1"/>
  <c r="G97" i="61" a="1"/>
  <c r="G97" i="61" s="1"/>
  <c r="G100" i="61" a="1"/>
  <c r="G100" i="61" s="1"/>
  <c r="G107" i="61" a="1"/>
  <c r="G107" i="61" s="1"/>
  <c r="G101" i="61" a="1"/>
  <c r="G101" i="61" s="1"/>
  <c r="G104" i="61" a="1"/>
  <c r="G104" i="61" s="1"/>
  <c r="F105" i="61" a="1"/>
  <c r="F105" i="61" s="1"/>
  <c r="F108" i="61" a="1"/>
  <c r="F108" i="61" s="1"/>
  <c r="F99" i="61" a="1"/>
  <c r="F99" i="61" s="1"/>
  <c r="F102" i="61" a="1"/>
  <c r="F102" i="61" s="1"/>
  <c r="F96" i="61" a="1"/>
  <c r="F96" i="61" s="1"/>
  <c r="F103" i="61" a="1"/>
  <c r="F103" i="61" s="1"/>
  <c r="F106" i="61" a="1"/>
  <c r="F106" i="61" s="1"/>
  <c r="F97" i="61" a="1"/>
  <c r="F97" i="61" s="1"/>
  <c r="F100" i="61" a="1"/>
  <c r="F100" i="61" s="1"/>
  <c r="F107" i="61" a="1"/>
  <c r="F107" i="61" s="1"/>
  <c r="F101" i="61" a="1"/>
  <c r="F101" i="61" s="1"/>
  <c r="F104" i="61" a="1"/>
  <c r="F104" i="61" s="1"/>
  <c r="F98" i="61" a="1"/>
  <c r="F98" i="61" s="1"/>
  <c r="E96" i="61" a="1"/>
  <c r="E96" i="61" s="1"/>
  <c r="E103" i="61" a="1"/>
  <c r="E103" i="61" s="1"/>
  <c r="E108" i="61" a="1"/>
  <c r="E108" i="61" s="1"/>
  <c r="E102" i="61" a="1"/>
  <c r="E102" i="61" s="1"/>
  <c r="E101" i="61" a="1"/>
  <c r="E101" i="61" s="1"/>
  <c r="E107" i="61" a="1"/>
  <c r="E107" i="61" s="1"/>
  <c r="E100" i="61" a="1"/>
  <c r="E100" i="61" s="1"/>
  <c r="E106" i="61" a="1"/>
  <c r="E106" i="61" s="1"/>
  <c r="E99" i="61" a="1"/>
  <c r="E99" i="61" s="1"/>
  <c r="E105" i="61" a="1"/>
  <c r="E105" i="61" s="1"/>
  <c r="E98" i="61" a="1"/>
  <c r="E98" i="61" s="1"/>
  <c r="E104" i="61" a="1"/>
  <c r="E104" i="61" s="1"/>
  <c r="E97" i="61" a="1"/>
  <c r="E97" i="61" s="1"/>
  <c r="C40" i="116"/>
  <c r="E25" i="61" s="1" a="1"/>
  <c r="E25" i="61" s="1"/>
  <c r="G18" i="116"/>
  <c r="L8" i="118" s="1" a="1"/>
  <c r="L8" i="118" s="1"/>
  <c r="B40" i="116"/>
  <c r="D25" i="61" s="1" a="1"/>
  <c r="D25" i="61" s="1"/>
  <c r="F18" i="116"/>
  <c r="L9" i="118" s="1" a="1"/>
  <c r="L9" i="118" s="1"/>
  <c r="I40" i="116"/>
  <c r="B36" i="116"/>
  <c r="D21" i="61" s="1" a="1"/>
  <c r="D21" i="61" s="1"/>
  <c r="E18" i="116"/>
  <c r="G16" i="61" s="1" a="1"/>
  <c r="G16" i="61" s="1"/>
  <c r="B14" i="116"/>
  <c r="K4" i="118" s="1" a="1"/>
  <c r="K4" i="118" s="1"/>
  <c r="H40" i="116"/>
  <c r="D18" i="116"/>
  <c r="F16" i="61" s="1" a="1"/>
  <c r="F16" i="61" s="1"/>
  <c r="G40" i="116"/>
  <c r="C18" i="116"/>
  <c r="E16" i="61" s="1" a="1"/>
  <c r="E16" i="61" s="1"/>
  <c r="F40" i="116"/>
  <c r="B18" i="116"/>
  <c r="L5" i="118" s="1" a="1"/>
  <c r="L5" i="118" s="1"/>
  <c r="E40" i="116"/>
  <c r="G25" i="61" s="1" a="1"/>
  <c r="G25" i="61" s="1"/>
  <c r="I18" i="116"/>
  <c r="L6" i="118" s="1" a="1"/>
  <c r="L6" i="118" s="1"/>
  <c r="D40" i="116"/>
  <c r="F25" i="61" s="1" a="1"/>
  <c r="F25" i="61" s="1"/>
  <c r="H18" i="116"/>
  <c r="L7" i="118" s="1" a="1"/>
  <c r="L7" i="118" s="1"/>
  <c r="AC38" i="43"/>
  <c r="Y42" i="43" s="1"/>
  <c r="AC42" i="43" s="1"/>
  <c r="AC45" i="43" s="1"/>
  <c r="W50" i="70" s="1"/>
  <c r="AC138" i="43"/>
  <c r="Y142" i="43" s="1"/>
  <c r="AC142" i="43" s="1"/>
  <c r="AC145" i="43" s="1"/>
  <c r="W55" i="70" s="1"/>
  <c r="AC58" i="43"/>
  <c r="Y62" i="43" s="1"/>
  <c r="AC62" i="43" s="1"/>
  <c r="AC65" i="43" s="1"/>
  <c r="W51" i="70" s="1"/>
  <c r="AC178" i="43"/>
  <c r="Y182" i="43" s="1"/>
  <c r="AC182" i="43" s="1"/>
  <c r="AC185" i="43" s="1"/>
  <c r="W57" i="70" s="1"/>
  <c r="AC98" i="43"/>
  <c r="Y102" i="43" s="1"/>
  <c r="AC102" i="43" s="1"/>
  <c r="AC105" i="43" s="1"/>
  <c r="W53" i="70" s="1"/>
  <c r="AC118" i="43"/>
  <c r="Y122" i="43" s="1"/>
  <c r="AC122" i="43" s="1"/>
  <c r="AC125" i="43" s="1"/>
  <c r="W54" i="70" s="1"/>
  <c r="I111" i="47"/>
  <c r="J111" i="47"/>
  <c r="G111" i="47"/>
  <c r="H111" i="47"/>
  <c r="K111" i="47"/>
  <c r="AC158" i="43"/>
  <c r="Y162" i="43" s="1"/>
  <c r="AC162" i="43" s="1"/>
  <c r="AC165" i="43" s="1"/>
  <c r="W56" i="70" s="1"/>
  <c r="AC78" i="43"/>
  <c r="Y82" i="43" s="1"/>
  <c r="AC82" i="43" s="1"/>
  <c r="AC85" i="43" s="1"/>
  <c r="W52" i="70" s="1"/>
  <c r="I22" i="53"/>
  <c r="I23" i="53" s="1"/>
  <c r="J110" i="47"/>
  <c r="L23" i="53"/>
  <c r="G110" i="47"/>
  <c r="H110" i="47"/>
  <c r="I110" i="47"/>
  <c r="I112" i="47" s="1"/>
  <c r="I116" i="47" s="1"/>
  <c r="F13" i="3" s="1"/>
  <c r="D64" i="115" s="1"/>
  <c r="D65" i="115" s="1"/>
  <c r="BE4" i="114"/>
  <c r="BE5" i="114" s="1"/>
  <c r="BF5" i="114" s="1"/>
  <c r="K17" i="14"/>
  <c r="H17" i="14"/>
  <c r="G17" i="14"/>
  <c r="D17" i="14"/>
  <c r="J17" i="14" s="1"/>
  <c r="E17" i="14"/>
  <c r="M17" i="14"/>
  <c r="N17" i="14"/>
  <c r="BB123" i="93"/>
  <c r="BL123" i="93"/>
  <c r="R123" i="93" s="1"/>
  <c r="BF94" i="94"/>
  <c r="R94" i="94" s="1"/>
  <c r="AU94" i="94"/>
  <c r="AV94" i="94"/>
  <c r="BF116" i="94"/>
  <c r="AZ116" i="94"/>
  <c r="AW116" i="94"/>
  <c r="BF161" i="94"/>
  <c r="R161" i="94" s="1"/>
  <c r="AU161" i="94"/>
  <c r="BF111" i="94"/>
  <c r="AW111" i="94"/>
  <c r="AU111" i="94"/>
  <c r="AV116" i="94"/>
  <c r="BG142" i="93"/>
  <c r="AW142" i="93"/>
  <c r="AX142" i="93"/>
  <c r="BH140" i="93"/>
  <c r="BB140" i="93"/>
  <c r="AY140" i="93"/>
  <c r="AZ140" i="93"/>
  <c r="BG156" i="93"/>
  <c r="AV156" i="93"/>
  <c r="AX156" i="93"/>
  <c r="AY156" i="93"/>
  <c r="BB156" i="93"/>
  <c r="BG137" i="93"/>
  <c r="R137" i="93" s="1"/>
  <c r="AV137" i="93"/>
  <c r="BB137" i="93"/>
  <c r="AW137" i="93"/>
  <c r="AZ137" i="93"/>
  <c r="AY137" i="93"/>
  <c r="BK153" i="93"/>
  <c r="AZ153" i="93"/>
  <c r="BB153" i="93"/>
  <c r="BH101" i="93"/>
  <c r="AW101" i="93"/>
  <c r="AX101" i="93"/>
  <c r="BG134" i="94"/>
  <c r="AW134" i="94"/>
  <c r="AX134" i="94"/>
  <c r="AV134" i="94"/>
  <c r="BG153" i="94"/>
  <c r="R153" i="94" s="1"/>
  <c r="AY153" i="94"/>
  <c r="AV153" i="94"/>
  <c r="AW153" i="94"/>
  <c r="AZ153" i="94"/>
  <c r="BG105" i="94"/>
  <c r="AY105" i="94"/>
  <c r="AV105" i="94"/>
  <c r="BG132" i="94"/>
  <c r="AW132" i="94"/>
  <c r="AX137" i="93"/>
  <c r="BL132" i="93"/>
  <c r="BB132" i="93"/>
  <c r="BK145" i="93"/>
  <c r="R145" i="93" s="1"/>
  <c r="BB145" i="93"/>
  <c r="AZ145" i="93"/>
  <c r="BH122" i="93"/>
  <c r="BA122" i="93"/>
  <c r="AY122" i="93"/>
  <c r="AX122" i="93"/>
  <c r="AZ122" i="93"/>
  <c r="BB122" i="93"/>
  <c r="BG103" i="93"/>
  <c r="AW103" i="93"/>
  <c r="BB103" i="93"/>
  <c r="AX103" i="93"/>
  <c r="AV103" i="93"/>
  <c r="AZ103" i="93"/>
  <c r="BG115" i="93"/>
  <c r="AY115" i="93"/>
  <c r="BB115" i="93"/>
  <c r="BA137" i="93"/>
  <c r="BK161" i="93"/>
  <c r="BB161" i="93"/>
  <c r="BA161" i="93"/>
  <c r="BJ134" i="93"/>
  <c r="R134" i="93" s="1"/>
  <c r="AY134" i="93"/>
  <c r="BI124" i="94"/>
  <c r="AX124" i="94"/>
  <c r="AW94" i="93"/>
  <c r="AY94" i="93"/>
  <c r="BA94" i="93"/>
  <c r="BG94" i="93"/>
  <c r="R94" i="93" s="1"/>
  <c r="AX94" i="93"/>
  <c r="AV94" i="93"/>
  <c r="BB94" i="93"/>
  <c r="BM117" i="93"/>
  <c r="BB117" i="93"/>
  <c r="BL124" i="93"/>
  <c r="R124" i="93" s="1"/>
  <c r="BA124" i="93"/>
  <c r="BI126" i="93"/>
  <c r="AY126" i="93"/>
  <c r="BA126" i="93"/>
  <c r="AX126" i="93"/>
  <c r="BH131" i="94"/>
  <c r="AY131" i="94"/>
  <c r="AW131" i="94"/>
  <c r="AX131" i="94"/>
  <c r="BG125" i="93"/>
  <c r="AZ125" i="93"/>
  <c r="AW125" i="93"/>
  <c r="AY125" i="93"/>
  <c r="AX125" i="93"/>
  <c r="E168" i="10"/>
  <c r="E167" i="10"/>
  <c r="E166" i="10"/>
  <c r="AW161" i="94"/>
  <c r="BJ160" i="93"/>
  <c r="AZ160" i="93"/>
  <c r="BB160" i="93"/>
  <c r="BI107" i="93"/>
  <c r="AX107" i="93"/>
  <c r="AY107" i="93"/>
  <c r="AZ107" i="93"/>
  <c r="BI92" i="93"/>
  <c r="AX92" i="93"/>
  <c r="AY92" i="93"/>
  <c r="BH105" i="93"/>
  <c r="R105" i="93" s="1"/>
  <c r="AY105" i="93"/>
  <c r="AZ105" i="93"/>
  <c r="AX105" i="93"/>
  <c r="BG110" i="93"/>
  <c r="BA110" i="93"/>
  <c r="AW110" i="93"/>
  <c r="AX110" i="93"/>
  <c r="BL102" i="93"/>
  <c r="BB102" i="93"/>
  <c r="BA102" i="93"/>
  <c r="BA95" i="93"/>
  <c r="BK95" i="93"/>
  <c r="BJ112" i="93"/>
  <c r="AZ112" i="93"/>
  <c r="BB112" i="93"/>
  <c r="AY112" i="93"/>
  <c r="BJ135" i="93"/>
  <c r="BB135" i="93"/>
  <c r="BG114" i="93"/>
  <c r="BA114" i="93"/>
  <c r="AW114" i="93"/>
  <c r="AX114" i="93"/>
  <c r="AY114" i="93"/>
  <c r="AW99" i="93"/>
  <c r="AV99" i="93"/>
  <c r="AX99" i="93"/>
  <c r="BG99" i="93"/>
  <c r="BB99" i="93"/>
  <c r="AY99" i="93"/>
  <c r="BB172" i="93"/>
  <c r="AV161" i="94"/>
  <c r="BA123" i="93"/>
  <c r="AV111" i="94"/>
  <c r="AY110" i="93"/>
  <c r="AY93" i="94"/>
  <c r="BJ93" i="94"/>
  <c r="BJ93" i="93"/>
  <c r="AY93" i="93"/>
  <c r="BA172" i="93"/>
  <c r="AX161" i="94"/>
  <c r="A84" i="93"/>
  <c r="G84" i="93"/>
  <c r="AW105" i="93"/>
  <c r="A77" i="93"/>
  <c r="K77" i="93"/>
  <c r="M77" i="93" s="1"/>
  <c r="G77" i="93"/>
  <c r="BI145" i="94"/>
  <c r="BA145" i="94"/>
  <c r="BI113" i="93"/>
  <c r="R113" i="93" s="1"/>
  <c r="AY113" i="93"/>
  <c r="AX113" i="93"/>
  <c r="AZ113" i="93"/>
  <c r="BA113" i="93"/>
  <c r="BL151" i="93"/>
  <c r="BA151" i="93"/>
  <c r="BI133" i="93"/>
  <c r="BB133" i="93"/>
  <c r="BI104" i="93"/>
  <c r="BB104" i="93"/>
  <c r="AX104" i="93"/>
  <c r="AZ104" i="93"/>
  <c r="BA104" i="93"/>
  <c r="BH137" i="94"/>
  <c r="BA137" i="94"/>
  <c r="BA96" i="93"/>
  <c r="AZ96" i="93"/>
  <c r="BB96" i="93"/>
  <c r="A72" i="93"/>
  <c r="G72" i="93"/>
  <c r="K72" i="93"/>
  <c r="AY161" i="94"/>
  <c r="AY126" i="94"/>
  <c r="BB101" i="93"/>
  <c r="BC101" i="93" s="1"/>
  <c r="BL101" i="93"/>
  <c r="BJ116" i="93"/>
  <c r="BA116" i="93"/>
  <c r="AY116" i="93"/>
  <c r="AZ116" i="93"/>
  <c r="BI150" i="93"/>
  <c r="AX150" i="93"/>
  <c r="BB150" i="93"/>
  <c r="AY157" i="93"/>
  <c r="AX157" i="93"/>
  <c r="BG157" i="93"/>
  <c r="BG131" i="93"/>
  <c r="AY131" i="93"/>
  <c r="BB131" i="93"/>
  <c r="AX131" i="93"/>
  <c r="BF146" i="94"/>
  <c r="AV146" i="94"/>
  <c r="AW146" i="94"/>
  <c r="AU146" i="94"/>
  <c r="AX146" i="94"/>
  <c r="BF138" i="94"/>
  <c r="AU138" i="94"/>
  <c r="AV138" i="94"/>
  <c r="AW138" i="94"/>
  <c r="BF126" i="94"/>
  <c r="AW126" i="94"/>
  <c r="BA126" i="94"/>
  <c r="AZ126" i="94"/>
  <c r="AX126" i="94"/>
  <c r="AU126" i="94"/>
  <c r="BI148" i="93"/>
  <c r="AZ148" i="93"/>
  <c r="AY148" i="93"/>
  <c r="BB148" i="93"/>
  <c r="AY133" i="93"/>
  <c r="BJ118" i="93"/>
  <c r="AZ118" i="93"/>
  <c r="AY118" i="93"/>
  <c r="BI98" i="93"/>
  <c r="BA98" i="93"/>
  <c r="BI121" i="93"/>
  <c r="R121" i="93" s="1"/>
  <c r="AX121" i="93"/>
  <c r="BF148" i="94"/>
  <c r="AY148" i="94"/>
  <c r="AU148" i="94"/>
  <c r="AW148" i="94"/>
  <c r="AZ148" i="94"/>
  <c r="BF147" i="94"/>
  <c r="AY147" i="94"/>
  <c r="AW147" i="94"/>
  <c r="AX147" i="94"/>
  <c r="AV147" i="94"/>
  <c r="AX148" i="93"/>
  <c r="AZ133" i="93"/>
  <c r="BB110" i="93"/>
  <c r="BI100" i="93"/>
  <c r="AY100" i="93"/>
  <c r="AX100" i="93"/>
  <c r="AZ100" i="93"/>
  <c r="BB100" i="93"/>
  <c r="AZ172" i="93"/>
  <c r="BA133" i="93"/>
  <c r="AY172" i="93"/>
  <c r="BK130" i="94"/>
  <c r="AZ130" i="94"/>
  <c r="BG100" i="94"/>
  <c r="AX100" i="94"/>
  <c r="AV100" i="94"/>
  <c r="AY100" i="94"/>
  <c r="AW100" i="94"/>
  <c r="BG120" i="94"/>
  <c r="R120" i="94" s="1"/>
  <c r="AV120" i="94"/>
  <c r="AW120" i="94"/>
  <c r="AZ120" i="94"/>
  <c r="AY120" i="94"/>
  <c r="BG93" i="94"/>
  <c r="AV93" i="94"/>
  <c r="BG115" i="94"/>
  <c r="AZ115" i="94"/>
  <c r="AY115" i="94"/>
  <c r="AX115" i="94"/>
  <c r="AW115" i="94"/>
  <c r="AZ110" i="93"/>
  <c r="BG122" i="94"/>
  <c r="AX122" i="94"/>
  <c r="AY122" i="94"/>
  <c r="AW122" i="94"/>
  <c r="AV122" i="94"/>
  <c r="BG117" i="94"/>
  <c r="R117" i="94" s="1"/>
  <c r="AY117" i="94"/>
  <c r="AX117" i="94"/>
  <c r="AW117" i="94"/>
  <c r="AZ108" i="94"/>
  <c r="AZ93" i="93"/>
  <c r="G140" i="87"/>
  <c r="AY124" i="94"/>
  <c r="BA109" i="93"/>
  <c r="AZ93" i="94"/>
  <c r="AZ101" i="93"/>
  <c r="AW98" i="93"/>
  <c r="E154" i="10"/>
  <c r="BB130" i="93"/>
  <c r="BB109" i="93"/>
  <c r="AY102" i="94"/>
  <c r="F142" i="86"/>
  <c r="H142" i="86"/>
  <c r="J142" i="86"/>
  <c r="K142" i="86"/>
  <c r="A41" i="86"/>
  <c r="K140" i="86"/>
  <c r="BB134" i="93"/>
  <c r="G142" i="24"/>
  <c r="H142" i="24"/>
  <c r="G76" i="93"/>
  <c r="L146" i="85"/>
  <c r="R129" i="93"/>
  <c r="AB56" i="95"/>
  <c r="AB58" i="95" s="1"/>
  <c r="AB60" i="95" s="1"/>
  <c r="AZ131" i="93"/>
  <c r="AX97" i="93"/>
  <c r="D148" i="10"/>
  <c r="D101" i="10"/>
  <c r="G83" i="93"/>
  <c r="BB107" i="93"/>
  <c r="D180" i="10"/>
  <c r="H140" i="86"/>
  <c r="I52" i="86"/>
  <c r="I55" i="86" s="1"/>
  <c r="I56" i="86" s="1"/>
  <c r="I62" i="86" s="1"/>
  <c r="D103" i="10"/>
  <c r="T7" i="11"/>
  <c r="AU94" i="93"/>
  <c r="A48" i="24"/>
  <c r="E217" i="10"/>
  <c r="AZ98" i="93"/>
  <c r="T56" i="96"/>
  <c r="T58" i="96" s="1"/>
  <c r="T60" i="96" s="1"/>
  <c r="AY116" i="94"/>
  <c r="AX98" i="93"/>
  <c r="AT94" i="93"/>
  <c r="H143" i="85"/>
  <c r="H145" i="85" s="1"/>
  <c r="G143" i="85"/>
  <c r="G145" i="85" s="1"/>
  <c r="D110" i="10"/>
  <c r="I123" i="46"/>
  <c r="H61" i="46"/>
  <c r="L138" i="46"/>
  <c r="H82" i="46"/>
  <c r="L123" i="46"/>
  <c r="M138" i="46"/>
  <c r="A138" i="46" s="1"/>
  <c r="I55" i="46"/>
  <c r="I138" i="46"/>
  <c r="L55" i="46"/>
  <c r="A55" i="46"/>
  <c r="I141" i="46"/>
  <c r="L141" i="46"/>
  <c r="I53" i="46"/>
  <c r="A53" i="46"/>
  <c r="M53" i="46"/>
  <c r="I140" i="46"/>
  <c r="L142" i="46"/>
  <c r="F14" i="46"/>
  <c r="H14" i="46" s="1"/>
  <c r="F24" i="46"/>
  <c r="F25" i="46" s="1"/>
  <c r="M96" i="46"/>
  <c r="A89" i="46"/>
  <c r="I89" i="46"/>
  <c r="M89" i="46" s="1"/>
  <c r="M94" i="46"/>
  <c r="M81" i="46"/>
  <c r="L98" i="46" s="1"/>
  <c r="I81" i="46"/>
  <c r="A81" i="46"/>
  <c r="I80" i="46"/>
  <c r="M80" i="46"/>
  <c r="L97" i="46" s="1"/>
  <c r="A78" i="46"/>
  <c r="L65" i="46"/>
  <c r="L79" i="46"/>
  <c r="A79" i="46"/>
  <c r="I79" i="46"/>
  <c r="I122" i="46"/>
  <c r="H41" i="46"/>
  <c r="H100" i="46" s="1"/>
  <c r="M137" i="46"/>
  <c r="A137" i="46" s="1"/>
  <c r="H137" i="46"/>
  <c r="M99" i="46"/>
  <c r="H140" i="46"/>
  <c r="H93" i="46"/>
  <c r="H76" i="46"/>
  <c r="H125" i="46"/>
  <c r="A66" i="46"/>
  <c r="H55" i="46"/>
  <c r="L66" i="46"/>
  <c r="H122" i="46"/>
  <c r="M78" i="46"/>
  <c r="I78" i="46"/>
  <c r="H141" i="46"/>
  <c r="H56" i="46"/>
  <c r="H39" i="46"/>
  <c r="H115" i="46" s="1"/>
  <c r="L121" i="46"/>
  <c r="M121" i="46"/>
  <c r="A121" i="46" s="1"/>
  <c r="M136" i="46"/>
  <c r="A136" i="46" s="1"/>
  <c r="I136" i="46"/>
  <c r="I46" i="46"/>
  <c r="H77" i="46"/>
  <c r="H126" i="46"/>
  <c r="L136" i="46"/>
  <c r="H38" i="46"/>
  <c r="H111" i="46"/>
  <c r="H73" i="46"/>
  <c r="A64" i="46"/>
  <c r="M122" i="46"/>
  <c r="A122" i="46" s="1"/>
  <c r="I64" i="46"/>
  <c r="I137" i="46"/>
  <c r="H90" i="46"/>
  <c r="L64" i="46"/>
  <c r="L122" i="46"/>
  <c r="A65" i="46"/>
  <c r="M66" i="46"/>
  <c r="M95" i="46"/>
  <c r="I65" i="46"/>
  <c r="M46" i="46"/>
  <c r="H16" i="46"/>
  <c r="L59" i="46"/>
  <c r="H138" i="46"/>
  <c r="L46" i="46"/>
  <c r="H75" i="46"/>
  <c r="H139" i="46"/>
  <c r="I74" i="46"/>
  <c r="I142" i="46"/>
  <c r="H124" i="46"/>
  <c r="I76" i="46"/>
  <c r="H109" i="46"/>
  <c r="L76" i="46"/>
  <c r="H54" i="46"/>
  <c r="M76" i="46"/>
  <c r="L93" i="46" s="1"/>
  <c r="M93" i="46" s="1"/>
  <c r="H108" i="46"/>
  <c r="I75" i="46"/>
  <c r="L75" i="46"/>
  <c r="M75" i="46"/>
  <c r="L92" i="46" s="1"/>
  <c r="M92" i="46" s="1"/>
  <c r="H74" i="46"/>
  <c r="H123" i="46"/>
  <c r="A59" i="46"/>
  <c r="A58" i="46"/>
  <c r="H53" i="46"/>
  <c r="L91" i="46"/>
  <c r="M59" i="46"/>
  <c r="I97" i="46" s="1"/>
  <c r="I91" i="46"/>
  <c r="L57" i="46"/>
  <c r="M90" i="46"/>
  <c r="I57" i="46"/>
  <c r="A57" i="46"/>
  <c r="A142" i="46"/>
  <c r="M82" i="46"/>
  <c r="I58" i="46"/>
  <c r="A80" i="46"/>
  <c r="L111" i="46"/>
  <c r="I111" i="46"/>
  <c r="I60" i="46"/>
  <c r="A60" i="46"/>
  <c r="M60" i="46"/>
  <c r="I98" i="46" s="1"/>
  <c r="L58" i="46"/>
  <c r="M113" i="46"/>
  <c r="A113" i="46" s="1"/>
  <c r="L113" i="46"/>
  <c r="I113" i="46"/>
  <c r="BB153" i="94"/>
  <c r="BA107" i="93"/>
  <c r="D123" i="10"/>
  <c r="F141" i="24"/>
  <c r="F141" i="86"/>
  <c r="F140" i="86"/>
  <c r="R149" i="93"/>
  <c r="BB126" i="93"/>
  <c r="AY123" i="93"/>
  <c r="BB120" i="93"/>
  <c r="BA103" i="93"/>
  <c r="D216" i="10"/>
  <c r="G143" i="30"/>
  <c r="G144" i="30"/>
  <c r="F141" i="87"/>
  <c r="F140" i="87"/>
  <c r="BA130" i="94"/>
  <c r="BB128" i="93"/>
  <c r="BA105" i="94"/>
  <c r="AD56" i="95"/>
  <c r="BA93" i="94"/>
  <c r="BB127" i="93"/>
  <c r="BK101" i="93"/>
  <c r="S155" i="84"/>
  <c r="S157" i="84"/>
  <c r="BH135" i="60"/>
  <c r="BK93" i="93"/>
  <c r="BB93" i="93"/>
  <c r="BB95" i="93"/>
  <c r="BA100" i="93"/>
  <c r="BB166" i="93"/>
  <c r="BB130" i="94"/>
  <c r="BA128" i="93"/>
  <c r="AH56" i="95"/>
  <c r="BA106" i="93"/>
  <c r="BB97" i="93"/>
  <c r="BD100" i="93"/>
  <c r="AT100" i="93"/>
  <c r="AV100" i="93"/>
  <c r="E131" i="10"/>
  <c r="BA142" i="93"/>
  <c r="BA108" i="93"/>
  <c r="BK130" i="93"/>
  <c r="BK131" i="93"/>
  <c r="O23" i="42"/>
  <c r="N30" i="42"/>
  <c r="O30" i="42" s="1"/>
  <c r="AV152" i="93"/>
  <c r="J140" i="87"/>
  <c r="J141" i="87"/>
  <c r="A32" i="92"/>
  <c r="G36" i="92"/>
  <c r="G44" i="92" s="1"/>
  <c r="I145" i="92"/>
  <c r="I144" i="92"/>
  <c r="I146" i="92" s="1"/>
  <c r="H145" i="92"/>
  <c r="H144" i="92"/>
  <c r="H146" i="92" s="1"/>
  <c r="K144" i="92"/>
  <c r="K146" i="92" s="1"/>
  <c r="K145" i="92"/>
  <c r="BD92" i="94"/>
  <c r="AT92" i="94"/>
  <c r="AU92" i="94"/>
  <c r="AV92" i="94"/>
  <c r="I29" i="91"/>
  <c r="I36" i="91" s="1"/>
  <c r="I44" i="91" s="1"/>
  <c r="I47" i="91" s="1"/>
  <c r="I48" i="91" s="1"/>
  <c r="I54" i="91" s="1"/>
  <c r="A25" i="91"/>
  <c r="BB152" i="93"/>
  <c r="AZ142" i="93"/>
  <c r="BA134" i="94"/>
  <c r="BA152" i="93"/>
  <c r="BB108" i="93"/>
  <c r="AD56" i="96"/>
  <c r="BF95" i="93"/>
  <c r="AY95" i="93"/>
  <c r="AU95" i="93"/>
  <c r="AX95" i="93"/>
  <c r="AW95" i="93"/>
  <c r="AV95" i="93"/>
  <c r="BB154" i="93"/>
  <c r="AY152" i="93"/>
  <c r="BB145" i="94"/>
  <c r="BB142" i="93"/>
  <c r="BA135" i="93"/>
  <c r="AZ111" i="93"/>
  <c r="AF56" i="95"/>
  <c r="BB92" i="93"/>
  <c r="BC92" i="93" s="1"/>
  <c r="BA93" i="93"/>
  <c r="R155" i="93"/>
  <c r="BA129" i="94"/>
  <c r="BA121" i="93"/>
  <c r="BA111" i="93"/>
  <c r="AZ108" i="93"/>
  <c r="BK93" i="94"/>
  <c r="AZ95" i="93"/>
  <c r="BL107" i="93"/>
  <c r="BK98" i="93"/>
  <c r="AW152" i="93"/>
  <c r="BB111" i="93"/>
  <c r="H38" i="86"/>
  <c r="H45" i="86" s="1"/>
  <c r="H52" i="86" s="1"/>
  <c r="H55" i="86" s="1"/>
  <c r="H56" i="86" s="1"/>
  <c r="H62" i="86" s="1"/>
  <c r="H143" i="86" s="1"/>
  <c r="A34" i="86"/>
  <c r="BA160" i="93"/>
  <c r="BB155" i="93"/>
  <c r="AX152" i="93"/>
  <c r="BB134" i="94"/>
  <c r="AZ94" i="93"/>
  <c r="AZ152" i="93"/>
  <c r="BA101" i="93"/>
  <c r="AZ134" i="94"/>
  <c r="BB124" i="93"/>
  <c r="BA92" i="93"/>
  <c r="E230" i="10"/>
  <c r="D147" i="10"/>
  <c r="A32" i="57"/>
  <c r="BA168" i="93"/>
  <c r="BB113" i="93"/>
  <c r="R163" i="93"/>
  <c r="BB149" i="93"/>
  <c r="G45" i="86"/>
  <c r="G52" i="86" s="1"/>
  <c r="G142" i="87"/>
  <c r="H141" i="87"/>
  <c r="I141" i="87"/>
  <c r="D231" i="10"/>
  <c r="R56" i="95"/>
  <c r="R58" i="95" s="1"/>
  <c r="R60" i="95" s="1"/>
  <c r="D164" i="10"/>
  <c r="G144" i="85"/>
  <c r="AY98" i="93"/>
  <c r="G141" i="24"/>
  <c r="G56" i="87"/>
  <c r="G62" i="87" s="1"/>
  <c r="F239" i="10"/>
  <c r="P56" i="95"/>
  <c r="T56" i="95"/>
  <c r="G142" i="86"/>
  <c r="G140" i="86"/>
  <c r="J45" i="87"/>
  <c r="J52" i="87" s="1"/>
  <c r="J55" i="87" s="1"/>
  <c r="J56" i="87" s="1"/>
  <c r="J62" i="87" s="1"/>
  <c r="J143" i="87" s="1"/>
  <c r="BH96" i="94"/>
  <c r="J56" i="96"/>
  <c r="I140" i="24"/>
  <c r="D102" i="10"/>
  <c r="I29" i="92"/>
  <c r="I36" i="92" s="1"/>
  <c r="I44" i="92" s="1"/>
  <c r="I47" i="92" s="1"/>
  <c r="I48" i="92" s="1"/>
  <c r="I54" i="92" s="1"/>
  <c r="AZ157" i="93"/>
  <c r="BL127" i="93"/>
  <c r="R127" i="93" s="1"/>
  <c r="S156" i="85"/>
  <c r="S157" i="85"/>
  <c r="S158" i="85"/>
  <c r="S155" i="85"/>
  <c r="S154" i="85"/>
  <c r="E132" i="68"/>
  <c r="AW172" i="94"/>
  <c r="BA157" i="93"/>
  <c r="BB125" i="93"/>
  <c r="BB168" i="93"/>
  <c r="AZ131" i="94"/>
  <c r="BA127" i="93"/>
  <c r="BA99" i="93"/>
  <c r="BK99" i="93"/>
  <c r="AZ99" i="93"/>
  <c r="BB148" i="94"/>
  <c r="BA131" i="94"/>
  <c r="AZ102" i="93"/>
  <c r="BK102" i="93"/>
  <c r="A55" i="87"/>
  <c r="F56" i="87"/>
  <c r="F62" i="87" s="1"/>
  <c r="BA125" i="93"/>
  <c r="BB119" i="93"/>
  <c r="K82" i="93"/>
  <c r="M82" i="93" s="1"/>
  <c r="H55" i="87"/>
  <c r="H56" i="87" s="1"/>
  <c r="H62" i="87" s="1"/>
  <c r="H143" i="87" s="1"/>
  <c r="G82" i="93"/>
  <c r="F55" i="86"/>
  <c r="A55" i="86" s="1"/>
  <c r="J55" i="86"/>
  <c r="J56" i="86" s="1"/>
  <c r="J62" i="86" s="1"/>
  <c r="K47" i="92"/>
  <c r="K48" i="92" s="1"/>
  <c r="K54" i="92" s="1"/>
  <c r="BB157" i="93"/>
  <c r="BA119" i="93"/>
  <c r="A83" i="93"/>
  <c r="BH96" i="93"/>
  <c r="AY96" i="93"/>
  <c r="AW96" i="93"/>
  <c r="AX96" i="93"/>
  <c r="AW164" i="94"/>
  <c r="BA118" i="93"/>
  <c r="BB117" i="94"/>
  <c r="H47" i="92"/>
  <c r="H48" i="92" s="1"/>
  <c r="H54" i="92" s="1"/>
  <c r="G55" i="86"/>
  <c r="G56" i="86" s="1"/>
  <c r="G62" i="86" s="1"/>
  <c r="K141" i="87"/>
  <c r="K140" i="87"/>
  <c r="BB143" i="93"/>
  <c r="AZ132" i="94"/>
  <c r="K84" i="93"/>
  <c r="M84" i="93" s="1"/>
  <c r="AZ117" i="94"/>
  <c r="K55" i="87"/>
  <c r="K56" i="87" s="1"/>
  <c r="K62" i="87" s="1"/>
  <c r="K55" i="86"/>
  <c r="K56" i="86" s="1"/>
  <c r="K62" i="86" s="1"/>
  <c r="K143" i="86" s="1"/>
  <c r="AZ121" i="93"/>
  <c r="BB118" i="93"/>
  <c r="BB121" i="93"/>
  <c r="BA117" i="94"/>
  <c r="BB105" i="93"/>
  <c r="BJ100" i="94"/>
  <c r="AZ100" i="94"/>
  <c r="AY97" i="93"/>
  <c r="AZ97" i="93"/>
  <c r="BA97" i="93"/>
  <c r="BJ97" i="93"/>
  <c r="J144" i="92"/>
  <c r="J146" i="92" s="1"/>
  <c r="J145" i="92"/>
  <c r="H54" i="91"/>
  <c r="E8" i="94" s="1"/>
  <c r="A8" i="94" s="1"/>
  <c r="AW92" i="94"/>
  <c r="AW94" i="94"/>
  <c r="A73" i="70"/>
  <c r="E91" i="68"/>
  <c r="A91" i="68" s="1"/>
  <c r="S156" i="84"/>
  <c r="I140" i="86"/>
  <c r="I141" i="86"/>
  <c r="J140" i="86"/>
  <c r="J141" i="86"/>
  <c r="K114" i="60"/>
  <c r="G114" i="60"/>
  <c r="A114" i="60"/>
  <c r="AX92" i="94"/>
  <c r="S158" i="84"/>
  <c r="P56" i="96"/>
  <c r="S154" i="84"/>
  <c r="AW93" i="94"/>
  <c r="AS93" i="93"/>
  <c r="AU93" i="93"/>
  <c r="AX93" i="94"/>
  <c r="G141" i="86"/>
  <c r="AX94" i="94"/>
  <c r="I56" i="87"/>
  <c r="I62" i="87" s="1"/>
  <c r="I143" i="87" s="1"/>
  <c r="I8" i="93"/>
  <c r="K8" i="93" s="1"/>
  <c r="D111" i="10"/>
  <c r="A41" i="24"/>
  <c r="I141" i="24"/>
  <c r="K309" i="36"/>
  <c r="L237" i="36"/>
  <c r="A300" i="36"/>
  <c r="L147" i="36"/>
  <c r="L57" i="36"/>
  <c r="K75" i="36"/>
  <c r="A75" i="36" s="1"/>
  <c r="A16" i="27"/>
  <c r="A42" i="27"/>
  <c r="A43" i="27" s="1"/>
  <c r="D15" i="10"/>
  <c r="F90" i="27"/>
  <c r="F35" i="27"/>
  <c r="O89" i="27"/>
  <c r="O78" i="27"/>
  <c r="J35" i="27"/>
  <c r="I35" i="27" s="1"/>
  <c r="E218" i="10"/>
  <c r="E221" i="10"/>
  <c r="E222" i="10" s="1"/>
  <c r="F240" i="10"/>
  <c r="G211" i="10"/>
  <c r="G239" i="10" s="1"/>
  <c r="G242" i="10"/>
  <c r="F226" i="10"/>
  <c r="E226" i="10"/>
  <c r="H226" i="10"/>
  <c r="G226" i="10"/>
  <c r="M226" i="10"/>
  <c r="L226" i="10"/>
  <c r="F212" i="10"/>
  <c r="F213" i="10"/>
  <c r="F177" i="10"/>
  <c r="F119" i="10"/>
  <c r="F216" i="10"/>
  <c r="F185" i="10"/>
  <c r="G3" i="10"/>
  <c r="G189" i="10" s="1"/>
  <c r="F162" i="10"/>
  <c r="F129" i="10"/>
  <c r="F188" i="10"/>
  <c r="F242" i="10"/>
  <c r="F230" i="10"/>
  <c r="F168" i="10"/>
  <c r="F234" i="10"/>
  <c r="F166" i="10"/>
  <c r="F214" i="10"/>
  <c r="F238" i="10"/>
  <c r="H173" i="10"/>
  <c r="F167" i="10"/>
  <c r="F128" i="10"/>
  <c r="F232" i="10"/>
  <c r="F154" i="10"/>
  <c r="F153" i="10"/>
  <c r="F124" i="10"/>
  <c r="E232" i="10"/>
  <c r="F229" i="10"/>
  <c r="F123" i="10"/>
  <c r="G173" i="10"/>
  <c r="F189" i="10"/>
  <c r="F127" i="10"/>
  <c r="F132" i="10"/>
  <c r="F131" i="10"/>
  <c r="F126" i="10"/>
  <c r="F233" i="10"/>
  <c r="F165" i="10"/>
  <c r="F220" i="10"/>
  <c r="F161" i="10"/>
  <c r="F217" i="10"/>
  <c r="F219" i="10"/>
  <c r="F118" i="10"/>
  <c r="F173" i="10"/>
  <c r="F130" i="10"/>
  <c r="F235" i="10"/>
  <c r="F120" i="10"/>
  <c r="F215" i="10"/>
  <c r="E134" i="68"/>
  <c r="D135" i="68"/>
  <c r="F134" i="68"/>
  <c r="I134" i="68" s="1"/>
  <c r="K134" i="68" s="1"/>
  <c r="G153" i="68"/>
  <c r="I153" i="68" s="1"/>
  <c r="E155" i="68"/>
  <c r="G112" i="68"/>
  <c r="I112" i="68" s="1"/>
  <c r="D54" i="68"/>
  <c r="F53" i="68"/>
  <c r="I53" i="68" s="1"/>
  <c r="K53" i="68" s="1"/>
  <c r="J97" i="84" s="1"/>
  <c r="J96" i="84" s="1"/>
  <c r="E72" i="68"/>
  <c r="A72" i="68" s="1"/>
  <c r="H72" i="68"/>
  <c r="F72" i="68"/>
  <c r="D73" i="68"/>
  <c r="AA13" i="68"/>
  <c r="AA16" i="68"/>
  <c r="AA26" i="68"/>
  <c r="AA30" i="68"/>
  <c r="I52" i="68"/>
  <c r="K52" i="68" s="1"/>
  <c r="I97" i="84" s="1"/>
  <c r="I96" i="84" s="1"/>
  <c r="AA42" i="68"/>
  <c r="AA23" i="68"/>
  <c r="AW23" i="68" s="1"/>
  <c r="AA21" i="68"/>
  <c r="AA24" i="68"/>
  <c r="AA27" i="68"/>
  <c r="AA39" i="68"/>
  <c r="A116" i="68"/>
  <c r="AA17" i="68"/>
  <c r="AA33" i="68"/>
  <c r="AA10" i="68"/>
  <c r="AA35" i="68"/>
  <c r="AA40" i="68"/>
  <c r="AA20" i="68"/>
  <c r="AA11" i="68"/>
  <c r="AA28" i="68"/>
  <c r="AW8" i="68"/>
  <c r="AA31" i="68"/>
  <c r="AB8" i="68"/>
  <c r="AA38" i="68"/>
  <c r="AA43" i="68"/>
  <c r="AA22" i="68"/>
  <c r="AA9" i="68"/>
  <c r="AA18" i="68"/>
  <c r="AA34" i="68"/>
  <c r="AA15" i="68"/>
  <c r="AA14" i="68"/>
  <c r="AA36" i="68"/>
  <c r="AA41" i="68"/>
  <c r="AA37" i="68"/>
  <c r="AA19" i="68"/>
  <c r="AA29" i="68"/>
  <c r="AA12" i="68"/>
  <c r="AA32" i="68"/>
  <c r="P110" i="56"/>
  <c r="P112" i="56" s="1"/>
  <c r="A103" i="56"/>
  <c r="R111" i="56"/>
  <c r="AB62" i="95"/>
  <c r="AA62" i="95" s="1"/>
  <c r="L43" i="80"/>
  <c r="J43" i="95"/>
  <c r="F194" i="10"/>
  <c r="F193" i="10"/>
  <c r="G151" i="10"/>
  <c r="F191" i="10"/>
  <c r="M173" i="10"/>
  <c r="F218" i="10"/>
  <c r="K173" i="10"/>
  <c r="L173" i="10"/>
  <c r="F237" i="10"/>
  <c r="F184" i="10"/>
  <c r="F187" i="10"/>
  <c r="F176" i="10"/>
  <c r="F181" i="10"/>
  <c r="F152" i="10"/>
  <c r="N173" i="10"/>
  <c r="J173" i="10"/>
  <c r="K226" i="10"/>
  <c r="I173" i="10"/>
  <c r="F133" i="10"/>
  <c r="J226" i="10"/>
  <c r="F122" i="10"/>
  <c r="I226" i="10"/>
  <c r="N226" i="10"/>
  <c r="I227" i="10"/>
  <c r="F125" i="10"/>
  <c r="F221" i="10"/>
  <c r="K77" i="94"/>
  <c r="M77" i="94" s="1"/>
  <c r="G77" i="94"/>
  <c r="BA96" i="94"/>
  <c r="BB171" i="94"/>
  <c r="AX171" i="94"/>
  <c r="AZ128" i="94"/>
  <c r="BB100" i="94"/>
  <c r="G75" i="94"/>
  <c r="BB162" i="94"/>
  <c r="AW136" i="94"/>
  <c r="AY135" i="94"/>
  <c r="BA98" i="94"/>
  <c r="K75" i="94"/>
  <c r="AX136" i="94"/>
  <c r="AV136" i="94"/>
  <c r="BK96" i="94"/>
  <c r="BA171" i="94"/>
  <c r="AV155" i="94"/>
  <c r="AZ143" i="94"/>
  <c r="AZ135" i="94"/>
  <c r="AX128" i="94"/>
  <c r="AZ171" i="94"/>
  <c r="BA169" i="94"/>
  <c r="AY166" i="94"/>
  <c r="AW155" i="94"/>
  <c r="AX142" i="94"/>
  <c r="BB128" i="94"/>
  <c r="BB120" i="94"/>
  <c r="BA118" i="94"/>
  <c r="AX166" i="94"/>
  <c r="BA143" i="94"/>
  <c r="AX140" i="94"/>
  <c r="AY98" i="94"/>
  <c r="BA166" i="94"/>
  <c r="AX155" i="94"/>
  <c r="AY142" i="94"/>
  <c r="AY128" i="94"/>
  <c r="BB118" i="94"/>
  <c r="AZ166" i="94"/>
  <c r="BB142" i="94"/>
  <c r="AY171" i="94"/>
  <c r="AW156" i="94"/>
  <c r="AW137" i="94"/>
  <c r="AY165" i="94"/>
  <c r="AU142" i="94"/>
  <c r="AZ137" i="94"/>
  <c r="AZ118" i="94"/>
  <c r="AW166" i="94"/>
  <c r="BA142" i="94"/>
  <c r="BA128" i="94"/>
  <c r="AW125" i="94"/>
  <c r="BA116" i="94"/>
  <c r="BB115" i="94"/>
  <c r="AZ98" i="94"/>
  <c r="AY162" i="94"/>
  <c r="AV142" i="94"/>
  <c r="AX137" i="94"/>
  <c r="AX98" i="94"/>
  <c r="BB166" i="94"/>
  <c r="BB165" i="94"/>
  <c r="AZ162" i="94"/>
  <c r="BB161" i="94"/>
  <c r="AW142" i="94"/>
  <c r="AY125" i="94"/>
  <c r="AX165" i="94"/>
  <c r="BB143" i="94"/>
  <c r="AZ142" i="94"/>
  <c r="AV137" i="94"/>
  <c r="BB94" i="94"/>
  <c r="BA94" i="94"/>
  <c r="BA162" i="94"/>
  <c r="AY143" i="94"/>
  <c r="AY137" i="94"/>
  <c r="AX125" i="94"/>
  <c r="BA115" i="94"/>
  <c r="AW107" i="94"/>
  <c r="AY94" i="94"/>
  <c r="K80" i="94"/>
  <c r="M80" i="94" s="1"/>
  <c r="AT140" i="94"/>
  <c r="AS108" i="94"/>
  <c r="K78" i="94"/>
  <c r="M78" i="94" s="1"/>
  <c r="AV140" i="94"/>
  <c r="J52" i="91"/>
  <c r="AX111" i="94"/>
  <c r="L52" i="91"/>
  <c r="BC111" i="94"/>
  <c r="BA108" i="94"/>
  <c r="AU108" i="94"/>
  <c r="AT116" i="94"/>
  <c r="AY108" i="94"/>
  <c r="AX116" i="94"/>
  <c r="AV108" i="94"/>
  <c r="AT108" i="94"/>
  <c r="BB108" i="94"/>
  <c r="BB140" i="94"/>
  <c r="AU140" i="94"/>
  <c r="BC108" i="94"/>
  <c r="R108" i="94" s="1"/>
  <c r="AW140" i="94"/>
  <c r="AR109" i="94"/>
  <c r="BB139" i="94"/>
  <c r="AU172" i="94"/>
  <c r="AU150" i="94"/>
  <c r="AT139" i="94"/>
  <c r="AV135" i="94"/>
  <c r="AT133" i="94"/>
  <c r="AY132" i="94"/>
  <c r="AY127" i="94"/>
  <c r="AR124" i="94"/>
  <c r="AY114" i="94"/>
  <c r="AU110" i="94"/>
  <c r="G78" i="94"/>
  <c r="AY164" i="94"/>
  <c r="AS150" i="94"/>
  <c r="BA146" i="94"/>
  <c r="AZ144" i="94"/>
  <c r="AV139" i="94"/>
  <c r="BB135" i="94"/>
  <c r="AV133" i="94"/>
  <c r="AR132" i="94"/>
  <c r="AU129" i="94"/>
  <c r="AU127" i="94"/>
  <c r="AZ124" i="94"/>
  <c r="AR114" i="94"/>
  <c r="AZ112" i="94"/>
  <c r="AR110" i="94"/>
  <c r="BA99" i="94"/>
  <c r="AZ94" i="94"/>
  <c r="AY99" i="94"/>
  <c r="AY172" i="94"/>
  <c r="AZ164" i="94"/>
  <c r="BB159" i="94"/>
  <c r="BC150" i="94"/>
  <c r="R150" i="94" s="1"/>
  <c r="BB146" i="94"/>
  <c r="AV144" i="94"/>
  <c r="AY139" i="94"/>
  <c r="BB138" i="94"/>
  <c r="BA135" i="94"/>
  <c r="AW133" i="94"/>
  <c r="AX132" i="94"/>
  <c r="AW127" i="94"/>
  <c r="BA114" i="94"/>
  <c r="BC112" i="94"/>
  <c r="R112" i="94" s="1"/>
  <c r="AS110" i="94"/>
  <c r="AU102" i="94"/>
  <c r="H50" i="94"/>
  <c r="K50" i="94" s="1"/>
  <c r="AX172" i="94"/>
  <c r="AV164" i="94"/>
  <c r="AU159" i="94"/>
  <c r="AR150" i="94"/>
  <c r="AW139" i="94"/>
  <c r="AY138" i="94"/>
  <c r="AX135" i="94"/>
  <c r="AS127" i="94"/>
  <c r="AT119" i="94"/>
  <c r="AS114" i="94"/>
  <c r="AV112" i="94"/>
  <c r="AT110" i="94"/>
  <c r="AX102" i="94"/>
  <c r="AV172" i="94"/>
  <c r="BA164" i="94"/>
  <c r="AZ159" i="94"/>
  <c r="AX144" i="94"/>
  <c r="AS139" i="94"/>
  <c r="BA138" i="94"/>
  <c r="BA136" i="94"/>
  <c r="AT135" i="94"/>
  <c r="AZ129" i="94"/>
  <c r="AZ127" i="94"/>
  <c r="AW119" i="94"/>
  <c r="AW114" i="94"/>
  <c r="AY112" i="94"/>
  <c r="AV102" i="94"/>
  <c r="I7" i="94"/>
  <c r="AS92" i="94"/>
  <c r="BB164" i="94"/>
  <c r="AW159" i="94"/>
  <c r="BA158" i="94"/>
  <c r="AW154" i="94"/>
  <c r="AR139" i="94"/>
  <c r="BB136" i="94"/>
  <c r="BC135" i="94"/>
  <c r="R135" i="94" s="1"/>
  <c r="AZ133" i="94"/>
  <c r="BC127" i="94"/>
  <c r="AX114" i="94"/>
  <c r="AT113" i="94"/>
  <c r="AU112" i="94"/>
  <c r="AR102" i="94"/>
  <c r="AT164" i="94"/>
  <c r="BA159" i="94"/>
  <c r="BB158" i="94"/>
  <c r="AZ154" i="94"/>
  <c r="AZ149" i="94"/>
  <c r="AY146" i="94"/>
  <c r="AY144" i="94"/>
  <c r="AU139" i="94"/>
  <c r="AX138" i="94"/>
  <c r="BB133" i="94"/>
  <c r="AT127" i="94"/>
  <c r="AU114" i="94"/>
  <c r="AZ113" i="94"/>
  <c r="BA112" i="94"/>
  <c r="BC102" i="94"/>
  <c r="R102" i="94" s="1"/>
  <c r="K76" i="94"/>
  <c r="AZ168" i="94"/>
  <c r="AX164" i="94"/>
  <c r="AY159" i="94"/>
  <c r="AX154" i="94"/>
  <c r="AX149" i="94"/>
  <c r="AS136" i="94"/>
  <c r="AX133" i="94"/>
  <c r="BB113" i="94"/>
  <c r="AX112" i="94"/>
  <c r="AZ102" i="94"/>
  <c r="AZ99" i="94"/>
  <c r="AV159" i="94"/>
  <c r="AX158" i="94"/>
  <c r="BA152" i="94"/>
  <c r="BA144" i="94"/>
  <c r="BA133" i="94"/>
  <c r="AW113" i="94"/>
  <c r="AT112" i="94"/>
  <c r="H40" i="94"/>
  <c r="I40" i="94" s="1"/>
  <c r="BB169" i="94"/>
  <c r="AW167" i="94"/>
  <c r="AZ158" i="94"/>
  <c r="BC154" i="94"/>
  <c r="R154" i="94" s="1"/>
  <c r="AX152" i="94"/>
  <c r="BB149" i="94"/>
  <c r="AU136" i="94"/>
  <c r="AY133" i="94"/>
  <c r="BA113" i="94"/>
  <c r="BB112" i="94"/>
  <c r="BA109" i="94"/>
  <c r="AT102" i="94"/>
  <c r="AT95" i="94"/>
  <c r="AY168" i="94"/>
  <c r="AX167" i="94"/>
  <c r="AX159" i="94"/>
  <c r="AW158" i="94"/>
  <c r="AV156" i="94"/>
  <c r="AS154" i="94"/>
  <c r="AW152" i="94"/>
  <c r="AY149" i="94"/>
  <c r="AW144" i="94"/>
  <c r="AY140" i="94"/>
  <c r="AY136" i="94"/>
  <c r="BC133" i="94"/>
  <c r="R133" i="94" s="1"/>
  <c r="BB124" i="94"/>
  <c r="AY113" i="94"/>
  <c r="AS112" i="94"/>
  <c r="AZ109" i="94"/>
  <c r="H61" i="94"/>
  <c r="K61" i="94" s="1"/>
  <c r="AW102" i="94"/>
  <c r="AS95" i="94"/>
  <c r="AT167" i="94"/>
  <c r="AV158" i="94"/>
  <c r="BC156" i="94"/>
  <c r="R156" i="94" s="1"/>
  <c r="AR154" i="94"/>
  <c r="AT152" i="94"/>
  <c r="BC140" i="94"/>
  <c r="R140" i="94" s="1"/>
  <c r="AZ136" i="94"/>
  <c r="AT124" i="94"/>
  <c r="AU113" i="94"/>
  <c r="AW112" i="94"/>
  <c r="AV109" i="94"/>
  <c r="AV107" i="94"/>
  <c r="BC95" i="94"/>
  <c r="R95" i="94" s="1"/>
  <c r="AU158" i="94"/>
  <c r="AS156" i="94"/>
  <c r="BB154" i="94"/>
  <c r="AV152" i="94"/>
  <c r="AW149" i="94"/>
  <c r="AS140" i="94"/>
  <c r="AT136" i="94"/>
  <c r="AV124" i="94"/>
  <c r="AS113" i="94"/>
  <c r="AX109" i="94"/>
  <c r="AS107" i="94"/>
  <c r="AW99" i="94"/>
  <c r="AS167" i="94"/>
  <c r="AR156" i="94"/>
  <c r="AU154" i="94"/>
  <c r="AS152" i="94"/>
  <c r="BA149" i="94"/>
  <c r="AR136" i="94"/>
  <c r="BA124" i="94"/>
  <c r="AR113" i="94"/>
  <c r="AY109" i="94"/>
  <c r="AX99" i="94"/>
  <c r="AV167" i="94"/>
  <c r="AY154" i="94"/>
  <c r="AY152" i="94"/>
  <c r="BC136" i="94"/>
  <c r="R136" i="94" s="1"/>
  <c r="AW135" i="94"/>
  <c r="AS132" i="94"/>
  <c r="AS124" i="94"/>
  <c r="AV113" i="94"/>
  <c r="AW109" i="94"/>
  <c r="AX107" i="94"/>
  <c r="BC106" i="94"/>
  <c r="R106" i="94" s="1"/>
  <c r="AU167" i="94"/>
  <c r="AY158" i="94"/>
  <c r="AT154" i="94"/>
  <c r="BB152" i="94"/>
  <c r="AV149" i="94"/>
  <c r="AZ146" i="94"/>
  <c r="AU135" i="94"/>
  <c r="AV132" i="94"/>
  <c r="AX129" i="94"/>
  <c r="AU124" i="94"/>
  <c r="AZ114" i="94"/>
  <c r="AX113" i="94"/>
  <c r="BC109" i="94"/>
  <c r="R109" i="94" s="1"/>
  <c r="AT107" i="94"/>
  <c r="BA106" i="94"/>
  <c r="AU99" i="94"/>
  <c r="AZ152" i="94"/>
  <c r="AU141" i="94"/>
  <c r="AZ139" i="94"/>
  <c r="AR135" i="94"/>
  <c r="BC132" i="94"/>
  <c r="AW124" i="94"/>
  <c r="BB114" i="94"/>
  <c r="AS109" i="94"/>
  <c r="AR152" i="94"/>
  <c r="BA139" i="94"/>
  <c r="AS135" i="94"/>
  <c r="BB126" i="94"/>
  <c r="BC124" i="94"/>
  <c r="AU109" i="94"/>
  <c r="AT99" i="94"/>
  <c r="AU164" i="94"/>
  <c r="AT141" i="94"/>
  <c r="BB129" i="94"/>
  <c r="AV99" i="94"/>
  <c r="A93" i="91"/>
  <c r="A94" i="91" s="1"/>
  <c r="A95" i="91" s="1"/>
  <c r="A91" i="91"/>
  <c r="L145" i="91"/>
  <c r="L144" i="91"/>
  <c r="BB96" i="94"/>
  <c r="L96" i="91"/>
  <c r="AF56" i="96"/>
  <c r="K145" i="91"/>
  <c r="K144" i="91"/>
  <c r="K96" i="91"/>
  <c r="J145" i="91"/>
  <c r="J144" i="91"/>
  <c r="J96" i="91"/>
  <c r="K81" i="94"/>
  <c r="M81" i="94" s="1"/>
  <c r="I145" i="91"/>
  <c r="I144" i="91"/>
  <c r="I96" i="91"/>
  <c r="Z56" i="96"/>
  <c r="Z58" i="96" s="1"/>
  <c r="Z60" i="96" s="1"/>
  <c r="BM96" i="94"/>
  <c r="K84" i="94"/>
  <c r="M84" i="94" s="1"/>
  <c r="K83" i="94"/>
  <c r="M83" i="94" s="1"/>
  <c r="A83" i="94"/>
  <c r="R56" i="96"/>
  <c r="R58" i="96" s="1"/>
  <c r="R60" i="96" s="1"/>
  <c r="A84" i="94"/>
  <c r="A81" i="94"/>
  <c r="BA122" i="94"/>
  <c r="AH56" i="96"/>
  <c r="BB102" i="94"/>
  <c r="AY92" i="94"/>
  <c r="A79" i="94"/>
  <c r="X56" i="96"/>
  <c r="R110" i="94"/>
  <c r="R107" i="94"/>
  <c r="A80" i="94"/>
  <c r="AB56" i="96"/>
  <c r="AB58" i="96" s="1"/>
  <c r="AB60" i="96" s="1"/>
  <c r="BA100" i="94"/>
  <c r="I8" i="94"/>
  <c r="BB127" i="94"/>
  <c r="R98" i="94"/>
  <c r="V56" i="96"/>
  <c r="R142" i="94"/>
  <c r="R143" i="94"/>
  <c r="R144" i="94"/>
  <c r="R104" i="94"/>
  <c r="R113" i="94"/>
  <c r="R99" i="94"/>
  <c r="R152" i="94"/>
  <c r="R114" i="94"/>
  <c r="R166" i="94"/>
  <c r="AZ172" i="94"/>
  <c r="BB170" i="94"/>
  <c r="AW157" i="94"/>
  <c r="AW141" i="94"/>
  <c r="AZ140" i="94"/>
  <c r="BB125" i="94"/>
  <c r="BB122" i="94"/>
  <c r="AZ119" i="94"/>
  <c r="AZ104" i="94"/>
  <c r="BB97" i="94"/>
  <c r="G76" i="94"/>
  <c r="BA165" i="94"/>
  <c r="AZ157" i="94"/>
  <c r="AZ151" i="94"/>
  <c r="BB106" i="94"/>
  <c r="BK100" i="94"/>
  <c r="AV97" i="94"/>
  <c r="AX151" i="94"/>
  <c r="AY119" i="94"/>
  <c r="BB116" i="94"/>
  <c r="BB111" i="94"/>
  <c r="AW110" i="94"/>
  <c r="AZ106" i="94"/>
  <c r="AZ103" i="94"/>
  <c r="BB95" i="94"/>
  <c r="BA102" i="94"/>
  <c r="AU97" i="94"/>
  <c r="AV95" i="94"/>
  <c r="BA170" i="94"/>
  <c r="AY155" i="94"/>
  <c r="AZ150" i="94"/>
  <c r="AX141" i="94"/>
  <c r="BB132" i="94"/>
  <c r="BB119" i="94"/>
  <c r="BB99" i="94"/>
  <c r="AU95" i="94"/>
  <c r="AY170" i="94"/>
  <c r="BB168" i="94"/>
  <c r="AZ165" i="94"/>
  <c r="AY141" i="94"/>
  <c r="AY123" i="94"/>
  <c r="AZ111" i="94"/>
  <c r="BB105" i="94"/>
  <c r="AW104" i="94"/>
  <c r="BB101" i="94"/>
  <c r="BC101" i="94" s="1"/>
  <c r="R101" i="94" s="1"/>
  <c r="BB92" i="94"/>
  <c r="BC92" i="94" s="1"/>
  <c r="BA101" i="94"/>
  <c r="BA172" i="94"/>
  <c r="AZ161" i="94"/>
  <c r="BA151" i="94"/>
  <c r="BB150" i="94"/>
  <c r="BB141" i="94"/>
  <c r="BA123" i="94"/>
  <c r="BA119" i="94"/>
  <c r="BA104" i="94"/>
  <c r="BA103" i="94"/>
  <c r="BA92" i="94"/>
  <c r="AZ101" i="94"/>
  <c r="AW170" i="94"/>
  <c r="BA160" i="94"/>
  <c r="BA157" i="94"/>
  <c r="AX150" i="94"/>
  <c r="BB144" i="94"/>
  <c r="BA132" i="94"/>
  <c r="BA125" i="94"/>
  <c r="AU119" i="94"/>
  <c r="G85" i="94"/>
  <c r="BA97" i="94"/>
  <c r="AU101" i="94"/>
  <c r="AX97" i="94"/>
  <c r="AW95" i="94"/>
  <c r="AV170" i="94"/>
  <c r="AY167" i="94"/>
  <c r="BB160" i="94"/>
  <c r="AY157" i="94"/>
  <c r="BA155" i="94"/>
  <c r="BA150" i="94"/>
  <c r="BA147" i="94"/>
  <c r="AV141" i="94"/>
  <c r="BA140" i="94"/>
  <c r="AZ123" i="94"/>
  <c r="AX119" i="94"/>
  <c r="G79" i="94"/>
  <c r="AT101" i="94"/>
  <c r="AZ170" i="94"/>
  <c r="AZ167" i="94"/>
  <c r="AX157" i="94"/>
  <c r="AW151" i="94"/>
  <c r="AW150" i="94"/>
  <c r="AY103" i="94"/>
  <c r="AX170" i="94"/>
  <c r="BA167" i="94"/>
  <c r="BB155" i="94"/>
  <c r="AY150" i="94"/>
  <c r="AZ141" i="94"/>
  <c r="BB137" i="94"/>
  <c r="AZ121" i="94"/>
  <c r="AY111" i="94"/>
  <c r="BB98" i="94"/>
  <c r="AY101" i="94"/>
  <c r="AZ92" i="94"/>
  <c r="AZ96" i="94"/>
  <c r="BB157" i="94"/>
  <c r="AZ156" i="94"/>
  <c r="AV150" i="94"/>
  <c r="BB123" i="94"/>
  <c r="BA121" i="94"/>
  <c r="BA111" i="94"/>
  <c r="AV101" i="94"/>
  <c r="AZ95" i="94"/>
  <c r="AY97" i="94"/>
  <c r="BA156" i="94"/>
  <c r="AZ155" i="94"/>
  <c r="BA127" i="94"/>
  <c r="BB121" i="94"/>
  <c r="AY107" i="94"/>
  <c r="BB93" i="94"/>
  <c r="AS101" i="94"/>
  <c r="BB167" i="94"/>
  <c r="AY121" i="94"/>
  <c r="BB109" i="94"/>
  <c r="AY106" i="94"/>
  <c r="BB103" i="94"/>
  <c r="AX101" i="94"/>
  <c r="AY95" i="94"/>
  <c r="BA161" i="94"/>
  <c r="BB156" i="94"/>
  <c r="AX110" i="94"/>
  <c r="BB107" i="94"/>
  <c r="AW106" i="94"/>
  <c r="AW101" i="94"/>
  <c r="BA168" i="94"/>
  <c r="AY156" i="94"/>
  <c r="AX121" i="94"/>
  <c r="BA110" i="94"/>
  <c r="AU106" i="94"/>
  <c r="BM139" i="94"/>
  <c r="R139" i="94" s="1"/>
  <c r="BM169" i="94"/>
  <c r="BL127" i="94"/>
  <c r="BL122" i="94"/>
  <c r="AW97" i="94"/>
  <c r="BB147" i="94"/>
  <c r="AZ107" i="94"/>
  <c r="BB172" i="94"/>
  <c r="AZ147" i="94"/>
  <c r="AZ125" i="94"/>
  <c r="AY110" i="94"/>
  <c r="BA107" i="94"/>
  <c r="AX104" i="94"/>
  <c r="BB104" i="94"/>
  <c r="BB151" i="94"/>
  <c r="BB110" i="94"/>
  <c r="AV104" i="94"/>
  <c r="AW121" i="94"/>
  <c r="AZ110" i="94"/>
  <c r="AX156" i="94"/>
  <c r="AY151" i="94"/>
  <c r="BA141" i="94"/>
  <c r="AV119" i="94"/>
  <c r="AX106" i="94"/>
  <c r="BA95" i="94"/>
  <c r="AZ97" i="94"/>
  <c r="AX95" i="94"/>
  <c r="AD62" i="96"/>
  <c r="AC62" i="96" s="1"/>
  <c r="X9" i="95"/>
  <c r="X11" i="95" s="1"/>
  <c r="X13" i="95" s="1"/>
  <c r="T9" i="95"/>
  <c r="T11" i="95" s="1"/>
  <c r="T13" i="95" s="1"/>
  <c r="Q111" i="56"/>
  <c r="P9" i="95"/>
  <c r="P11" i="95" s="1"/>
  <c r="P13" i="95" s="1"/>
  <c r="V9" i="96"/>
  <c r="V11" i="96" s="1"/>
  <c r="V13" i="96" s="1"/>
  <c r="A35" i="56"/>
  <c r="Z9" i="95"/>
  <c r="Z11" i="95" s="1"/>
  <c r="Z13" i="95" s="1"/>
  <c r="E43" i="56"/>
  <c r="AH9" i="96"/>
  <c r="AH11" i="96" s="1"/>
  <c r="AH13" i="96" s="1"/>
  <c r="AD62" i="95"/>
  <c r="AC62" i="95" s="1"/>
  <c r="Z62" i="96"/>
  <c r="Y62" i="96" s="1"/>
  <c r="J43" i="80"/>
  <c r="P9" i="96"/>
  <c r="P11" i="96" s="1"/>
  <c r="P13" i="96" s="1"/>
  <c r="F146" i="11"/>
  <c r="G146" i="11"/>
  <c r="F110" i="11"/>
  <c r="G110" i="11"/>
  <c r="L65" i="14"/>
  <c r="L60" i="14"/>
  <c r="L55" i="14"/>
  <c r="L50" i="14"/>
  <c r="F65" i="14"/>
  <c r="F61" i="14"/>
  <c r="F57" i="14"/>
  <c r="F53" i="14"/>
  <c r="F49" i="14"/>
  <c r="L64" i="14"/>
  <c r="L59" i="14"/>
  <c r="L54" i="14"/>
  <c r="L49" i="14"/>
  <c r="F64" i="14"/>
  <c r="F60" i="14"/>
  <c r="F56" i="14"/>
  <c r="F52" i="14"/>
  <c r="F48" i="14"/>
  <c r="L63" i="14"/>
  <c r="L58" i="14"/>
  <c r="L53" i="14"/>
  <c r="L48" i="14"/>
  <c r="L17" i="14"/>
  <c r="F63" i="14"/>
  <c r="F59" i="14"/>
  <c r="F55" i="14"/>
  <c r="F51" i="14"/>
  <c r="F47" i="14"/>
  <c r="L62" i="14"/>
  <c r="L57" i="14"/>
  <c r="L52" i="14"/>
  <c r="L47" i="14"/>
  <c r="F17" i="14"/>
  <c r="F62" i="14"/>
  <c r="F58" i="14"/>
  <c r="F54" i="14"/>
  <c r="F50" i="14"/>
  <c r="F46" i="14"/>
  <c r="L61" i="14"/>
  <c r="L51" i="14"/>
  <c r="L46" i="14"/>
  <c r="B4" i="114"/>
  <c r="B5" i="114" s="1"/>
  <c r="B6" i="114" s="1"/>
  <c r="B7" i="114" s="1"/>
  <c r="B8" i="114" s="1"/>
  <c r="B9" i="114" s="1"/>
  <c r="B10" i="114" s="1"/>
  <c r="B11" i="114" s="1"/>
  <c r="B12" i="114" s="1"/>
  <c r="B13" i="114" s="1"/>
  <c r="B14" i="114" s="1"/>
  <c r="B15" i="114" s="1"/>
  <c r="B16" i="114" s="1"/>
  <c r="B17" i="114" s="1"/>
  <c r="B18" i="114" s="1"/>
  <c r="B19" i="114" s="1"/>
  <c r="B20" i="114" s="1"/>
  <c r="B21" i="114" s="1"/>
  <c r="B22" i="114" s="1"/>
  <c r="B23" i="114" s="1"/>
  <c r="B24" i="114" s="1"/>
  <c r="B25" i="114" s="1"/>
  <c r="B26" i="114" s="1"/>
  <c r="B27" i="114" s="1"/>
  <c r="B28" i="114" s="1"/>
  <c r="B29" i="114" s="1"/>
  <c r="B30" i="114" s="1"/>
  <c r="B31" i="114" s="1"/>
  <c r="B32" i="114" s="1"/>
  <c r="B33" i="114" s="1"/>
  <c r="B34" i="114" s="1"/>
  <c r="B35" i="114" s="1"/>
  <c r="B36" i="114" s="1"/>
  <c r="B37" i="114" s="1"/>
  <c r="B38" i="114" s="1"/>
  <c r="B39" i="114" s="1"/>
  <c r="B40" i="114" s="1"/>
  <c r="B41" i="114" s="1"/>
  <c r="B42" i="114" s="1"/>
  <c r="B43" i="114" s="1"/>
  <c r="B44" i="114" s="1"/>
  <c r="B45" i="114" s="1"/>
  <c r="B46" i="114" s="1"/>
  <c r="B47" i="114" s="1"/>
  <c r="B48" i="114" s="1"/>
  <c r="B49" i="114" s="1"/>
  <c r="B50" i="114" s="1"/>
  <c r="B51" i="114" s="1"/>
  <c r="B52" i="114" s="1"/>
  <c r="B53" i="114" s="1"/>
  <c r="B54" i="114" s="1"/>
  <c r="B55" i="114" s="1"/>
  <c r="B56" i="114" s="1"/>
  <c r="B57" i="114" s="1"/>
  <c r="B58" i="114" s="1"/>
  <c r="B59" i="114" s="1"/>
  <c r="B60" i="114" s="1"/>
  <c r="B61" i="114" s="1"/>
  <c r="B62" i="114" s="1"/>
  <c r="B63" i="114" s="1"/>
  <c r="B64" i="114" s="1"/>
  <c r="B65" i="114" s="1"/>
  <c r="B66" i="114" s="1"/>
  <c r="B67" i="114" s="1"/>
  <c r="B68" i="114" s="1"/>
  <c r="B69" i="114" s="1"/>
  <c r="B70" i="114" s="1"/>
  <c r="B71" i="114" s="1"/>
  <c r="B72" i="114" s="1"/>
  <c r="B73" i="114" s="1"/>
  <c r="B74" i="114" s="1"/>
  <c r="B75" i="114" s="1"/>
  <c r="B76" i="114" s="1"/>
  <c r="B77" i="114" s="1"/>
  <c r="B78" i="114" s="1"/>
  <c r="B79" i="114" s="1"/>
  <c r="B80" i="114" s="1"/>
  <c r="B81" i="114" s="1"/>
  <c r="B82" i="114" s="1"/>
  <c r="AD4" i="114"/>
  <c r="P40" i="11"/>
  <c r="Q40" i="11" s="1"/>
  <c r="C4" i="114" s="1"/>
  <c r="M4" i="114" s="1"/>
  <c r="T4" i="114" s="1"/>
  <c r="P8" i="113" s="1"/>
  <c r="M19" i="113"/>
  <c r="M18" i="14"/>
  <c r="B19" i="14"/>
  <c r="L19" i="14" s="1"/>
  <c r="N18" i="14"/>
  <c r="L18" i="14"/>
  <c r="G18" i="14"/>
  <c r="F18" i="14"/>
  <c r="E18" i="14"/>
  <c r="D18" i="14"/>
  <c r="J18" i="14" s="1"/>
  <c r="K18" i="14"/>
  <c r="D11" i="43"/>
  <c r="D10" i="43"/>
  <c r="D9" i="43"/>
  <c r="D8" i="43"/>
  <c r="D7" i="43"/>
  <c r="D6" i="43"/>
  <c r="H18" i="14"/>
  <c r="E19" i="14"/>
  <c r="N19" i="14"/>
  <c r="F107" i="11"/>
  <c r="G107" i="11"/>
  <c r="G149" i="11"/>
  <c r="F149" i="11"/>
  <c r="F83" i="11"/>
  <c r="G83" i="11"/>
  <c r="G84" i="11"/>
  <c r="F84" i="11"/>
  <c r="F88" i="11"/>
  <c r="G88" i="11"/>
  <c r="G151" i="11"/>
  <c r="G144" i="11" s="1"/>
  <c r="D144" i="11"/>
  <c r="F151" i="11"/>
  <c r="F144" i="11" s="1"/>
  <c r="G57" i="11"/>
  <c r="F57" i="11"/>
  <c r="F134" i="11"/>
  <c r="G134" i="11"/>
  <c r="F61" i="11"/>
  <c r="G61" i="11"/>
  <c r="F133" i="11"/>
  <c r="G133" i="11"/>
  <c r="G150" i="11"/>
  <c r="F150" i="11"/>
  <c r="G152" i="11"/>
  <c r="F152" i="11"/>
  <c r="C152" i="11" s="1"/>
  <c r="G137" i="11"/>
  <c r="F137" i="11"/>
  <c r="F108" i="11"/>
  <c r="G108" i="11"/>
  <c r="F62" i="11"/>
  <c r="G62" i="11"/>
  <c r="F82" i="11"/>
  <c r="G82" i="11"/>
  <c r="F148" i="11"/>
  <c r="G148" i="11"/>
  <c r="G58" i="11"/>
  <c r="F58" i="11"/>
  <c r="G138" i="11"/>
  <c r="F138" i="11"/>
  <c r="G147" i="11"/>
  <c r="F147" i="11"/>
  <c r="G86" i="11"/>
  <c r="F86" i="11"/>
  <c r="G139" i="11"/>
  <c r="F139" i="11"/>
  <c r="F55" i="11"/>
  <c r="G55" i="11"/>
  <c r="F140" i="11"/>
  <c r="G140" i="11"/>
  <c r="F153" i="11"/>
  <c r="G153" i="11"/>
  <c r="F141" i="11"/>
  <c r="G141" i="11"/>
  <c r="F56" i="11"/>
  <c r="G56" i="11"/>
  <c r="F136" i="11"/>
  <c r="G136" i="11"/>
  <c r="F115" i="11"/>
  <c r="G115" i="11"/>
  <c r="F145" i="11"/>
  <c r="G145" i="11"/>
  <c r="G111" i="11"/>
  <c r="F111" i="11"/>
  <c r="F89" i="11"/>
  <c r="G89" i="11"/>
  <c r="F113" i="11"/>
  <c r="G113" i="11"/>
  <c r="F63" i="11"/>
  <c r="G63" i="11"/>
  <c r="F87" i="11"/>
  <c r="G87" i="11"/>
  <c r="F114" i="11"/>
  <c r="G114" i="11"/>
  <c r="G135" i="11"/>
  <c r="F135" i="11"/>
  <c r="F109" i="11"/>
  <c r="G109" i="11"/>
  <c r="G112" i="11"/>
  <c r="F112" i="11"/>
  <c r="G85" i="11"/>
  <c r="F85" i="11"/>
  <c r="F59" i="11"/>
  <c r="G59" i="11"/>
  <c r="G60" i="11"/>
  <c r="F60" i="11"/>
  <c r="H15" i="14"/>
  <c r="G81" i="11"/>
  <c r="C81" i="11" s="1"/>
  <c r="E337" i="36" l="1"/>
  <c r="P374" i="36"/>
  <c r="A374" i="36" s="1"/>
  <c r="D265" i="10"/>
  <c r="I356" i="36"/>
  <c r="E356" i="36"/>
  <c r="G113" i="68"/>
  <c r="I113" i="68" s="1"/>
  <c r="H96" i="84"/>
  <c r="AB13" i="11"/>
  <c r="D94" i="68"/>
  <c r="F93" i="68"/>
  <c r="I93" i="68" s="1"/>
  <c r="K93" i="68" s="1"/>
  <c r="A138" i="60"/>
  <c r="AJ138" i="60"/>
  <c r="V139" i="60"/>
  <c r="E116" i="60"/>
  <c r="D117" i="60"/>
  <c r="G63" i="78"/>
  <c r="F20" i="4"/>
  <c r="H15" i="4"/>
  <c r="I16" i="4"/>
  <c r="F21" i="4"/>
  <c r="H10" i="28"/>
  <c r="G10" i="28" s="1"/>
  <c r="G28" i="28" s="1"/>
  <c r="H28" i="28" s="1"/>
  <c r="O12" i="26"/>
  <c r="J55" i="26"/>
  <c r="F76" i="75" s="1"/>
  <c r="K76" i="75" s="1"/>
  <c r="O76" i="75" s="1"/>
  <c r="AW137" i="60"/>
  <c r="P362" i="36"/>
  <c r="A362" i="36" s="1"/>
  <c r="K237" i="36"/>
  <c r="D307" i="10" s="1"/>
  <c r="P364" i="36"/>
  <c r="A364" i="36" s="1"/>
  <c r="G61" i="78"/>
  <c r="G62" i="78"/>
  <c r="S5" i="11"/>
  <c r="R5" i="11"/>
  <c r="V5" i="11" s="1"/>
  <c r="R182" i="92" s="1"/>
  <c r="T5" i="11"/>
  <c r="F24" i="92" s="1"/>
  <c r="M75" i="67"/>
  <c r="G9" i="11"/>
  <c r="U5" i="11"/>
  <c r="E124" i="47"/>
  <c r="F52" i="60"/>
  <c r="J52" i="60" s="1"/>
  <c r="L52" i="60" s="1"/>
  <c r="T131" i="27"/>
  <c r="A131" i="27"/>
  <c r="T132" i="27"/>
  <c r="U133" i="27"/>
  <c r="T130" i="27"/>
  <c r="A130" i="27"/>
  <c r="N55" i="26"/>
  <c r="F80" i="75" s="1"/>
  <c r="K80" i="75" s="1"/>
  <c r="O80" i="75" s="1"/>
  <c r="H55" i="26"/>
  <c r="F74" i="75" s="1"/>
  <c r="K74" i="75" s="1"/>
  <c r="O74" i="75" s="1"/>
  <c r="D77" i="10"/>
  <c r="F15" i="4"/>
  <c r="E55" i="26"/>
  <c r="F71" i="75" s="1"/>
  <c r="K71" i="75" s="1"/>
  <c r="O71" i="75" s="1"/>
  <c r="G6" i="28"/>
  <c r="G24" i="28" s="1"/>
  <c r="H24" i="28" s="1"/>
  <c r="O30" i="26"/>
  <c r="K55" i="26"/>
  <c r="F77" i="75" s="1"/>
  <c r="K77" i="75" s="1"/>
  <c r="O77" i="75" s="1"/>
  <c r="G55" i="26"/>
  <c r="F73" i="75" s="1"/>
  <c r="K73" i="75" s="1"/>
  <c r="O73" i="75" s="1"/>
  <c r="O16" i="26"/>
  <c r="G36" i="28" s="1"/>
  <c r="G38" i="28" s="1"/>
  <c r="H13" i="28"/>
  <c r="G13" i="28" s="1"/>
  <c r="G31" i="28" s="1"/>
  <c r="H31" i="28" s="1"/>
  <c r="O13" i="26"/>
  <c r="O31" i="26"/>
  <c r="A31" i="26" s="1"/>
  <c r="O11" i="26"/>
  <c r="O53" i="26"/>
  <c r="O29" i="26"/>
  <c r="A29" i="26" s="1"/>
  <c r="O37" i="26"/>
  <c r="O43" i="26" s="1"/>
  <c r="O15" i="26"/>
  <c r="O22" i="26"/>
  <c r="O28" i="26" s="1"/>
  <c r="A24" i="28"/>
  <c r="A40" i="28"/>
  <c r="H62" i="24"/>
  <c r="H143" i="24" s="1"/>
  <c r="I154" i="68"/>
  <c r="AA9" i="11"/>
  <c r="G143" i="24"/>
  <c r="H56" i="80"/>
  <c r="H58" i="80" s="1"/>
  <c r="H60" i="80" s="1"/>
  <c r="H62" i="80" s="1"/>
  <c r="G62" i="80" s="1"/>
  <c r="J56" i="80"/>
  <c r="J58" i="80" s="1"/>
  <c r="J60" i="80" s="1"/>
  <c r="J62" i="80" s="1"/>
  <c r="I62" i="80" s="1"/>
  <c r="AW138" i="60"/>
  <c r="AW136" i="60"/>
  <c r="M73" i="93"/>
  <c r="F75" i="60"/>
  <c r="I75" i="60" s="1"/>
  <c r="D76" i="60"/>
  <c r="AM168" i="60"/>
  <c r="BI168" i="60" s="1"/>
  <c r="AM215" i="60"/>
  <c r="BI215" i="60" s="1"/>
  <c r="AM192" i="60"/>
  <c r="BI192" i="60" s="1"/>
  <c r="AM137" i="60"/>
  <c r="AX137" i="60" s="1"/>
  <c r="AM142" i="60"/>
  <c r="BI142" i="60" s="1"/>
  <c r="AM195" i="60"/>
  <c r="BI195" i="60" s="1"/>
  <c r="AM212" i="60"/>
  <c r="BI212" i="60" s="1"/>
  <c r="AM143" i="60"/>
  <c r="BI143" i="60" s="1"/>
  <c r="AM153" i="60"/>
  <c r="BI153" i="60" s="1"/>
  <c r="AM161" i="60"/>
  <c r="BI161" i="60" s="1"/>
  <c r="AM150" i="60"/>
  <c r="BI150" i="60" s="1"/>
  <c r="AM197" i="60"/>
  <c r="BI197" i="60" s="1"/>
  <c r="AM208" i="60"/>
  <c r="BI208" i="60" s="1"/>
  <c r="AM184" i="60"/>
  <c r="BI184" i="60" s="1"/>
  <c r="AM204" i="60"/>
  <c r="BI204" i="60" s="1"/>
  <c r="AM156" i="60"/>
  <c r="BI156" i="60" s="1"/>
  <c r="AM164" i="60"/>
  <c r="BI164" i="60" s="1"/>
  <c r="AM188" i="60"/>
  <c r="BI188" i="60" s="1"/>
  <c r="AM178" i="60"/>
  <c r="BI178" i="60" s="1"/>
  <c r="AM201" i="60"/>
  <c r="BI201" i="60" s="1"/>
  <c r="AM167" i="60"/>
  <c r="BI167" i="60" s="1"/>
  <c r="AM191" i="60"/>
  <c r="BI191" i="60" s="1"/>
  <c r="AM190" i="60"/>
  <c r="BI190" i="60" s="1"/>
  <c r="AM176" i="60"/>
  <c r="BI176" i="60" s="1"/>
  <c r="AM155" i="60"/>
  <c r="BI155" i="60" s="1"/>
  <c r="AM136" i="60"/>
  <c r="AM175" i="60"/>
  <c r="BI175" i="60" s="1"/>
  <c r="AM213" i="60"/>
  <c r="BI213" i="60" s="1"/>
  <c r="AX134" i="60"/>
  <c r="BI134" i="60" s="1"/>
  <c r="AM187" i="60"/>
  <c r="BI187" i="60" s="1"/>
  <c r="AM166" i="60"/>
  <c r="BI166" i="60" s="1"/>
  <c r="AM139" i="60"/>
  <c r="AM158" i="60"/>
  <c r="BI158" i="60" s="1"/>
  <c r="AM198" i="60"/>
  <c r="BI198" i="60" s="1"/>
  <c r="AM135" i="60"/>
  <c r="AM185" i="60"/>
  <c r="BI185" i="60" s="1"/>
  <c r="AM193" i="60"/>
  <c r="BI193" i="60" s="1"/>
  <c r="AM144" i="60"/>
  <c r="BI144" i="60" s="1"/>
  <c r="AM151" i="60"/>
  <c r="BI151" i="60" s="1"/>
  <c r="AM189" i="60"/>
  <c r="BI189" i="60" s="1"/>
  <c r="AM159" i="60"/>
  <c r="BI159" i="60" s="1"/>
  <c r="AM196" i="60"/>
  <c r="BI196" i="60" s="1"/>
  <c r="AM147" i="60"/>
  <c r="BI147" i="60" s="1"/>
  <c r="AM200" i="60"/>
  <c r="BI200" i="60" s="1"/>
  <c r="AM182" i="60"/>
  <c r="BI182" i="60" s="1"/>
  <c r="AM169" i="60"/>
  <c r="BI169" i="60" s="1"/>
  <c r="AM174" i="60"/>
  <c r="BI174" i="60" s="1"/>
  <c r="AM186" i="60"/>
  <c r="BI186" i="60" s="1"/>
  <c r="AM206" i="60"/>
  <c r="BI206" i="60" s="1"/>
  <c r="AM172" i="60"/>
  <c r="BI172" i="60" s="1"/>
  <c r="AM177" i="60"/>
  <c r="BI177" i="60" s="1"/>
  <c r="AM214" i="60"/>
  <c r="BI214" i="60" s="1"/>
  <c r="AM207" i="60"/>
  <c r="BI207" i="60" s="1"/>
  <c r="AM180" i="60"/>
  <c r="BI180" i="60" s="1"/>
  <c r="AM145" i="60"/>
  <c r="BI145" i="60" s="1"/>
  <c r="AM162" i="60"/>
  <c r="BI162" i="60" s="1"/>
  <c r="AM199" i="60"/>
  <c r="BI199" i="60" s="1"/>
  <c r="AM152" i="60"/>
  <c r="BI152" i="60" s="1"/>
  <c r="AM149" i="60"/>
  <c r="BI149" i="60" s="1"/>
  <c r="AM146" i="60"/>
  <c r="BI146" i="60" s="1"/>
  <c r="AM194" i="60"/>
  <c r="BI194" i="60" s="1"/>
  <c r="AM170" i="60"/>
  <c r="BI170" i="60" s="1"/>
  <c r="AM163" i="60"/>
  <c r="BI163" i="60" s="1"/>
  <c r="AM210" i="60"/>
  <c r="BI210" i="60" s="1"/>
  <c r="AM203" i="60"/>
  <c r="BI203" i="60" s="1"/>
  <c r="AM157" i="60"/>
  <c r="BI157" i="60" s="1"/>
  <c r="AM202" i="60"/>
  <c r="BI202" i="60" s="1"/>
  <c r="AM183" i="60"/>
  <c r="BI183" i="60" s="1"/>
  <c r="AM138" i="60"/>
  <c r="AM141" i="60"/>
  <c r="BI141" i="60" s="1"/>
  <c r="AM160" i="60"/>
  <c r="BI160" i="60" s="1"/>
  <c r="AM171" i="60"/>
  <c r="BI171" i="60" s="1"/>
  <c r="AM148" i="60"/>
  <c r="BI148" i="60" s="1"/>
  <c r="AM209" i="60"/>
  <c r="BI209" i="60" s="1"/>
  <c r="AM165" i="60"/>
  <c r="BI165" i="60" s="1"/>
  <c r="AM205" i="60"/>
  <c r="BI205" i="60" s="1"/>
  <c r="AN134" i="60"/>
  <c r="AM211" i="60"/>
  <c r="BI211" i="60" s="1"/>
  <c r="AM154" i="60"/>
  <c r="BI154" i="60" s="1"/>
  <c r="AM140" i="60"/>
  <c r="BI140" i="60" s="1"/>
  <c r="AM179" i="60"/>
  <c r="BI179" i="60" s="1"/>
  <c r="AM173" i="60"/>
  <c r="BI173" i="60" s="1"/>
  <c r="AM181" i="60"/>
  <c r="BI181" i="60" s="1"/>
  <c r="J96" i="60"/>
  <c r="F96" i="60"/>
  <c r="I96" i="60" s="1"/>
  <c r="D97" i="60"/>
  <c r="AD29" i="60"/>
  <c r="AZ29" i="60" s="1"/>
  <c r="AD25" i="60"/>
  <c r="AZ25" i="60" s="1"/>
  <c r="AD9" i="60"/>
  <c r="AZ9" i="60" s="1"/>
  <c r="AD24" i="60"/>
  <c r="AZ24" i="60" s="1"/>
  <c r="AD18" i="60"/>
  <c r="AZ18" i="60" s="1"/>
  <c r="AD27" i="60"/>
  <c r="AZ27" i="60" s="1"/>
  <c r="AD36" i="60"/>
  <c r="AZ36" i="60" s="1"/>
  <c r="AD26" i="60"/>
  <c r="AZ26" i="60" s="1"/>
  <c r="AD43" i="60"/>
  <c r="AZ43" i="60" s="1"/>
  <c r="AD23" i="60"/>
  <c r="AZ23" i="60" s="1"/>
  <c r="AD32" i="60"/>
  <c r="AZ32" i="60" s="1"/>
  <c r="AD42" i="60"/>
  <c r="AZ42" i="60" s="1"/>
  <c r="AD12" i="60"/>
  <c r="AZ12" i="60" s="1"/>
  <c r="AD33" i="60"/>
  <c r="AZ33" i="60" s="1"/>
  <c r="AD39" i="60"/>
  <c r="AZ39" i="60" s="1"/>
  <c r="AD15" i="60"/>
  <c r="AZ15" i="60" s="1"/>
  <c r="AD13" i="60"/>
  <c r="AZ13" i="60" s="1"/>
  <c r="AD11" i="60"/>
  <c r="AZ11" i="60" s="1"/>
  <c r="AD22" i="60"/>
  <c r="AZ22" i="60" s="1"/>
  <c r="AD28" i="60"/>
  <c r="AZ28" i="60" s="1"/>
  <c r="AD37" i="60"/>
  <c r="AZ37" i="60" s="1"/>
  <c r="AD31" i="60"/>
  <c r="AZ31" i="60" s="1"/>
  <c r="AD17" i="60"/>
  <c r="AZ17" i="60" s="1"/>
  <c r="AD40" i="60"/>
  <c r="AZ40" i="60" s="1"/>
  <c r="AZ8" i="60"/>
  <c r="AD21" i="60"/>
  <c r="AZ21" i="60" s="1"/>
  <c r="AD20" i="60"/>
  <c r="AZ20" i="60" s="1"/>
  <c r="AD34" i="60"/>
  <c r="AZ34" i="60" s="1"/>
  <c r="AD38" i="60"/>
  <c r="AZ38" i="60" s="1"/>
  <c r="AD16" i="60"/>
  <c r="AZ16" i="60" s="1"/>
  <c r="AD19" i="60"/>
  <c r="AZ19" i="60" s="1"/>
  <c r="AD14" i="60"/>
  <c r="AZ14" i="60" s="1"/>
  <c r="AD10" i="60"/>
  <c r="AZ10" i="60" s="1"/>
  <c r="AE8" i="60"/>
  <c r="AD35" i="60"/>
  <c r="AZ35" i="60" s="1"/>
  <c r="AD30" i="60"/>
  <c r="AZ30" i="60" s="1"/>
  <c r="AD41" i="60"/>
  <c r="AZ41" i="60" s="1"/>
  <c r="N5" i="80"/>
  <c r="L21" i="80"/>
  <c r="L8" i="80"/>
  <c r="L9" i="80" s="1"/>
  <c r="L11" i="80" s="1"/>
  <c r="L13" i="80" s="1"/>
  <c r="L53" i="80"/>
  <c r="L54" i="80"/>
  <c r="L55" i="80"/>
  <c r="N51" i="80"/>
  <c r="L52" i="80"/>
  <c r="R43" i="80"/>
  <c r="T41" i="80"/>
  <c r="P375" i="36"/>
  <c r="A375" i="36" s="1"/>
  <c r="T31" i="79"/>
  <c r="X31" i="79" s="1"/>
  <c r="Y31" i="79" s="1"/>
  <c r="O47" i="26"/>
  <c r="A47" i="26" s="1"/>
  <c r="O46" i="26"/>
  <c r="A46" i="26" s="1"/>
  <c r="G94" i="84"/>
  <c r="U28" i="60"/>
  <c r="U33" i="60" s="1"/>
  <c r="U38" i="60" s="1"/>
  <c r="U43" i="60" s="1"/>
  <c r="U20" i="60"/>
  <c r="Z54" i="3"/>
  <c r="R9" i="11"/>
  <c r="O73" i="67"/>
  <c r="U9" i="11"/>
  <c r="A18" i="3" s="1"/>
  <c r="AB14" i="11"/>
  <c r="M81" i="67"/>
  <c r="D9" i="10"/>
  <c r="D325" i="10"/>
  <c r="S6" i="11"/>
  <c r="D82" i="10" s="1"/>
  <c r="E82" i="10" s="1"/>
  <c r="V6" i="11"/>
  <c r="D95" i="10" s="1"/>
  <c r="D105" i="44"/>
  <c r="W26" i="76"/>
  <c r="D327" i="10"/>
  <c r="AA6" i="11"/>
  <c r="D81" i="10" s="1"/>
  <c r="E81" i="10" s="1"/>
  <c r="D10" i="10"/>
  <c r="X58" i="96"/>
  <c r="X60" i="96" s="1"/>
  <c r="K82" i="94"/>
  <c r="M82" i="94" s="1"/>
  <c r="AF58" i="96"/>
  <c r="AF60" i="96" s="1"/>
  <c r="AD58" i="96"/>
  <c r="AD60" i="96" s="1"/>
  <c r="D341" i="10"/>
  <c r="O45" i="26"/>
  <c r="A45" i="26" s="1"/>
  <c r="P373" i="36"/>
  <c r="A373" i="36" s="1"/>
  <c r="R6" i="11"/>
  <c r="P58" i="96"/>
  <c r="P60" i="96" s="1"/>
  <c r="P367" i="36"/>
  <c r="A367" i="36" s="1"/>
  <c r="P376" i="36"/>
  <c r="A376" i="36" s="1"/>
  <c r="E72" i="86"/>
  <c r="Q158" i="86"/>
  <c r="X158" i="86" s="1"/>
  <c r="E73" i="86"/>
  <c r="Q160" i="86"/>
  <c r="X160" i="86" s="1"/>
  <c r="Q162" i="86"/>
  <c r="X162" i="86" s="1"/>
  <c r="X167" i="86" s="1"/>
  <c r="AT12" i="60"/>
  <c r="AK37" i="68"/>
  <c r="AL13" i="60"/>
  <c r="H58" i="95"/>
  <c r="H60" i="95" s="1"/>
  <c r="L255" i="36"/>
  <c r="K201" i="36"/>
  <c r="D303" i="10" s="1"/>
  <c r="P369" i="36"/>
  <c r="A369" i="36" s="1"/>
  <c r="K219" i="36"/>
  <c r="D305" i="10" s="1"/>
  <c r="D263" i="10"/>
  <c r="G356" i="36"/>
  <c r="L201" i="36"/>
  <c r="D297" i="10"/>
  <c r="L93" i="36"/>
  <c r="K57" i="36"/>
  <c r="A57" i="36" s="1"/>
  <c r="P363" i="36"/>
  <c r="A363" i="36" s="1"/>
  <c r="P327" i="36"/>
  <c r="P324" i="36"/>
  <c r="P323" i="36"/>
  <c r="P321" i="36"/>
  <c r="BJ4" i="114"/>
  <c r="BO4" i="114" s="1"/>
  <c r="BH5" i="114"/>
  <c r="BM5" i="114" s="1"/>
  <c r="BG4" i="114"/>
  <c r="BL4" i="114" s="1"/>
  <c r="BH4" i="114"/>
  <c r="BM4" i="114" s="1"/>
  <c r="BF4" i="114"/>
  <c r="BI4" i="114"/>
  <c r="BN4" i="114" s="1"/>
  <c r="BJ5" i="114"/>
  <c r="BO5" i="114" s="1"/>
  <c r="BG5" i="114"/>
  <c r="BL5" i="114" s="1"/>
  <c r="BI5" i="114"/>
  <c r="BN5" i="114" s="1"/>
  <c r="BE6" i="114"/>
  <c r="BF6" i="114" s="1"/>
  <c r="C147" i="11"/>
  <c r="D6" i="100"/>
  <c r="C56" i="11"/>
  <c r="W167" i="91"/>
  <c r="W169" i="91" s="1"/>
  <c r="X175" i="92" s="1"/>
  <c r="D261" i="10"/>
  <c r="A168" i="87"/>
  <c r="A163" i="87"/>
  <c r="F58" i="95"/>
  <c r="F60" i="95" s="1"/>
  <c r="G54" i="57"/>
  <c r="E71" i="60" s="1"/>
  <c r="U24" i="60"/>
  <c r="U29" i="60" s="1"/>
  <c r="U34" i="60" s="1"/>
  <c r="U39" i="60" s="1"/>
  <c r="AL16" i="60"/>
  <c r="H58" i="96"/>
  <c r="H60" i="96" s="1"/>
  <c r="AL29" i="60"/>
  <c r="AN29" i="60"/>
  <c r="L58" i="96"/>
  <c r="L60" i="96" s="1"/>
  <c r="AM29" i="60"/>
  <c r="AN20" i="60"/>
  <c r="G54" i="30"/>
  <c r="E50" i="68" s="1"/>
  <c r="A50" i="68" s="1"/>
  <c r="AH10" i="68"/>
  <c r="AJ18" i="68"/>
  <c r="AT18" i="68"/>
  <c r="AS40" i="68"/>
  <c r="AL14" i="68"/>
  <c r="AJ43" i="68"/>
  <c r="AK29" i="68"/>
  <c r="AI43" i="68"/>
  <c r="AL25" i="68"/>
  <c r="AK38" i="68"/>
  <c r="AJ38" i="68"/>
  <c r="AT38" i="68"/>
  <c r="U11" i="11"/>
  <c r="S11" i="11"/>
  <c r="R11" i="11"/>
  <c r="V11" i="11"/>
  <c r="Z56" i="3"/>
  <c r="AA11" i="11"/>
  <c r="T11" i="11"/>
  <c r="S40" i="3"/>
  <c r="A40" i="3" s="1"/>
  <c r="Z55" i="3"/>
  <c r="V10" i="11"/>
  <c r="R10" i="11"/>
  <c r="AA10" i="11"/>
  <c r="U6" i="11"/>
  <c r="M76" i="67"/>
  <c r="F24" i="57"/>
  <c r="D345" i="10"/>
  <c r="S48" i="3"/>
  <c r="A48" i="3" s="1"/>
  <c r="T9" i="11"/>
  <c r="D344" i="10"/>
  <c r="U10" i="11"/>
  <c r="D11" i="10"/>
  <c r="P161" i="57"/>
  <c r="G10" i="11"/>
  <c r="D26" i="77"/>
  <c r="D12" i="10"/>
  <c r="D348" i="10"/>
  <c r="D349" i="10"/>
  <c r="D326" i="10"/>
  <c r="S10" i="11"/>
  <c r="S41" i="3"/>
  <c r="A41" i="3" s="1"/>
  <c r="F24" i="91"/>
  <c r="R171" i="92"/>
  <c r="D73" i="70"/>
  <c r="AK32" i="68"/>
  <c r="AI11" i="68"/>
  <c r="AK11" i="68"/>
  <c r="AJ11" i="68"/>
  <c r="AJ39" i="68"/>
  <c r="AJ29" i="68"/>
  <c r="AJ34" i="68"/>
  <c r="AK18" i="68"/>
  <c r="AI18" i="68"/>
  <c r="AJ32" i="68"/>
  <c r="AJ25" i="68"/>
  <c r="AI25" i="68"/>
  <c r="AK14" i="68"/>
  <c r="AI40" i="68"/>
  <c r="AI22" i="68"/>
  <c r="AJ40" i="68"/>
  <c r="AI27" i="68"/>
  <c r="AJ20" i="68"/>
  <c r="AK43" i="68"/>
  <c r="AI20" i="68"/>
  <c r="AJ23" i="68"/>
  <c r="AJ14" i="68"/>
  <c r="AK22" i="68"/>
  <c r="AJ21" i="60"/>
  <c r="AN13" i="60"/>
  <c r="AM18" i="60"/>
  <c r="AJ42" i="68"/>
  <c r="AI42" i="68"/>
  <c r="AK10" i="68"/>
  <c r="AK24" i="68"/>
  <c r="AJ24" i="68"/>
  <c r="AT29" i="68"/>
  <c r="AJ28" i="68"/>
  <c r="AI24" i="68"/>
  <c r="AK42" i="68"/>
  <c r="AS11" i="68"/>
  <c r="AJ12" i="68"/>
  <c r="AT28" i="68"/>
  <c r="AK34" i="68"/>
  <c r="AK30" i="68"/>
  <c r="AK20" i="68"/>
  <c r="AJ30" i="68"/>
  <c r="AH15" i="68"/>
  <c r="AJ22" i="68"/>
  <c r="AK12" i="68"/>
  <c r="AK41" i="68"/>
  <c r="AI30" i="68"/>
  <c r="AI14" i="68"/>
  <c r="AK36" i="68"/>
  <c r="AK21" i="68"/>
  <c r="AK27" i="68"/>
  <c r="AJ21" i="68"/>
  <c r="AK28" i="68"/>
  <c r="AK23" i="68"/>
  <c r="AJ41" i="68"/>
  <c r="AK16" i="68"/>
  <c r="AJ16" i="68"/>
  <c r="AK25" i="68"/>
  <c r="AI16" i="68"/>
  <c r="AI33" i="68"/>
  <c r="AK33" i="68"/>
  <c r="AJ36" i="68"/>
  <c r="AI41" i="68"/>
  <c r="U10" i="68"/>
  <c r="L10" i="68" s="1"/>
  <c r="AK17" i="68"/>
  <c r="AT12" i="68"/>
  <c r="AI12" i="68"/>
  <c r="AJ15" i="68"/>
  <c r="AJ33" i="68"/>
  <c r="AL40" i="68"/>
  <c r="AK15" i="68"/>
  <c r="AI15" i="68"/>
  <c r="AH35" i="68"/>
  <c r="AI35" i="68"/>
  <c r="AJ35" i="68"/>
  <c r="AL17" i="68"/>
  <c r="AK35" i="68"/>
  <c r="AK40" i="68"/>
  <c r="AK26" i="68"/>
  <c r="AI32" i="68"/>
  <c r="AK19" i="68"/>
  <c r="AI21" i="68"/>
  <c r="AJ27" i="68"/>
  <c r="AI17" i="68"/>
  <c r="AI19" i="68"/>
  <c r="AJ19" i="68"/>
  <c r="AI34" i="68"/>
  <c r="AJ17" i="68"/>
  <c r="AI39" i="68"/>
  <c r="AI26" i="68"/>
  <c r="AJ26" i="68"/>
  <c r="AS31" i="68"/>
  <c r="AH31" i="68"/>
  <c r="AJ31" i="68"/>
  <c r="AK31" i="68"/>
  <c r="AI36" i="68"/>
  <c r="AI31" i="68"/>
  <c r="AK39" i="68"/>
  <c r="AI23" i="68"/>
  <c r="D251" i="10"/>
  <c r="AJ10" i="68"/>
  <c r="AJ9" i="68"/>
  <c r="AI9" i="68"/>
  <c r="AI10" i="68"/>
  <c r="AK9" i="68"/>
  <c r="U12" i="68"/>
  <c r="U13" i="68" s="1"/>
  <c r="U18" i="68" s="1"/>
  <c r="H227" i="10"/>
  <c r="F228" i="10" s="1"/>
  <c r="I54" i="30"/>
  <c r="U9" i="68"/>
  <c r="U14" i="68" s="1"/>
  <c r="U24" i="68" s="1"/>
  <c r="H54" i="30"/>
  <c r="Q84" i="45"/>
  <c r="R21" i="45"/>
  <c r="R20" i="45"/>
  <c r="AK21" i="60"/>
  <c r="AL21" i="60"/>
  <c r="AN34" i="60"/>
  <c r="G17" i="4"/>
  <c r="G21" i="4" s="1"/>
  <c r="A9" i="4"/>
  <c r="AM26" i="60"/>
  <c r="AN26" i="60"/>
  <c r="AL30" i="60"/>
  <c r="AK36" i="60"/>
  <c r="AM24" i="60"/>
  <c r="AN38" i="60"/>
  <c r="AK18" i="60"/>
  <c r="AK35" i="60"/>
  <c r="AL36" i="60"/>
  <c r="AM20" i="60"/>
  <c r="AN35" i="60"/>
  <c r="AL20" i="60"/>
  <c r="AK20" i="60"/>
  <c r="AK22" i="60"/>
  <c r="AK12" i="60"/>
  <c r="AM12" i="60"/>
  <c r="AJ36" i="60"/>
  <c r="AJ35" i="60"/>
  <c r="AN25" i="60"/>
  <c r="AX25" i="60"/>
  <c r="AK24" i="60"/>
  <c r="AJ24" i="60"/>
  <c r="AN36" i="60"/>
  <c r="AL24" i="60"/>
  <c r="AN24" i="60"/>
  <c r="AN15" i="60"/>
  <c r="AM37" i="60"/>
  <c r="AL35" i="60"/>
  <c r="AM35" i="60"/>
  <c r="AM25" i="60"/>
  <c r="AM27" i="60"/>
  <c r="AK27" i="60"/>
  <c r="AL27" i="60"/>
  <c r="AN14" i="60"/>
  <c r="AK14" i="60"/>
  <c r="AL39" i="60"/>
  <c r="AN21" i="60"/>
  <c r="AN39" i="60"/>
  <c r="AM39" i="60"/>
  <c r="AJ20" i="60"/>
  <c r="AM21" i="60"/>
  <c r="AK39" i="60"/>
  <c r="AL22" i="60"/>
  <c r="AL43" i="60"/>
  <c r="AJ14" i="60"/>
  <c r="AM32" i="60"/>
  <c r="AL14" i="60"/>
  <c r="AL32" i="60"/>
  <c r="AM14" i="60"/>
  <c r="AJ27" i="60"/>
  <c r="AN32" i="60"/>
  <c r="AM23" i="60"/>
  <c r="AK37" i="60"/>
  <c r="AL23" i="60"/>
  <c r="AM36" i="60"/>
  <c r="AN30" i="60"/>
  <c r="AN27" i="60"/>
  <c r="AL31" i="60"/>
  <c r="AN31" i="60"/>
  <c r="AK31" i="60"/>
  <c r="AL37" i="60"/>
  <c r="AM31" i="60"/>
  <c r="AM30" i="60"/>
  <c r="AN22" i="60"/>
  <c r="AM16" i="60"/>
  <c r="AK38" i="60"/>
  <c r="AM22" i="60"/>
  <c r="AN16" i="60"/>
  <c r="AN37" i="60"/>
  <c r="AM38" i="60"/>
  <c r="AN23" i="60"/>
  <c r="AK16" i="60"/>
  <c r="AX22" i="60"/>
  <c r="AL38" i="60"/>
  <c r="AJ22" i="60"/>
  <c r="AJ32" i="60"/>
  <c r="AK32" i="60"/>
  <c r="AJ9" i="60"/>
  <c r="AJ23" i="60"/>
  <c r="AJ39" i="60"/>
  <c r="AK25" i="60"/>
  <c r="AJ37" i="60"/>
  <c r="AK23" i="60"/>
  <c r="AL28" i="60"/>
  <c r="AM28" i="60"/>
  <c r="AN28" i="60"/>
  <c r="AK29" i="60"/>
  <c r="AL18" i="60"/>
  <c r="AM42" i="60"/>
  <c r="AK9" i="60"/>
  <c r="AM15" i="60"/>
  <c r="AM40" i="60"/>
  <c r="AN18" i="60"/>
  <c r="AJ18" i="60"/>
  <c r="AN42" i="60"/>
  <c r="AK34" i="60"/>
  <c r="AL34" i="60"/>
  <c r="AJ25" i="60"/>
  <c r="AJ26" i="60"/>
  <c r="AK19" i="60"/>
  <c r="AM43" i="60"/>
  <c r="AL19" i="60"/>
  <c r="AK15" i="60"/>
  <c r="AJ15" i="60"/>
  <c r="AL42" i="60"/>
  <c r="AK40" i="60"/>
  <c r="AM34" i="60"/>
  <c r="AK42" i="60"/>
  <c r="AL40" i="60"/>
  <c r="AJ40" i="60"/>
  <c r="AN43" i="60"/>
  <c r="AM13" i="60"/>
  <c r="AK10" i="60"/>
  <c r="AL15" i="60"/>
  <c r="AJ42" i="60"/>
  <c r="AN10" i="60"/>
  <c r="AN19" i="60"/>
  <c r="AN12" i="60"/>
  <c r="AJ41" i="60"/>
  <c r="AN40" i="60"/>
  <c r="AJ12" i="60"/>
  <c r="AM19" i="60"/>
  <c r="AL12" i="60"/>
  <c r="AU31" i="60"/>
  <c r="AJ31" i="60"/>
  <c r="AJ34" i="60"/>
  <c r="AK28" i="60"/>
  <c r="AU16" i="60"/>
  <c r="AJ16" i="60"/>
  <c r="AJ29" i="60"/>
  <c r="AJ28" i="60"/>
  <c r="AL25" i="60"/>
  <c r="E169" i="10"/>
  <c r="AM41" i="60"/>
  <c r="AM10" i="60"/>
  <c r="AJ30" i="60"/>
  <c r="AL17" i="60"/>
  <c r="AK30" i="60"/>
  <c r="AU13" i="60"/>
  <c r="AL41" i="60"/>
  <c r="AL10" i="60"/>
  <c r="AJ10" i="60"/>
  <c r="AK26" i="60"/>
  <c r="AK43" i="60"/>
  <c r="AM33" i="60"/>
  <c r="AN41" i="60"/>
  <c r="AJ19" i="60"/>
  <c r="AK41" i="60"/>
  <c r="AK13" i="60"/>
  <c r="AJ13" i="60"/>
  <c r="AN33" i="60"/>
  <c r="AL26" i="60"/>
  <c r="AJ43" i="60"/>
  <c r="AU33" i="60"/>
  <c r="AM17" i="60"/>
  <c r="AK17" i="60"/>
  <c r="AN17" i="60"/>
  <c r="AL9" i="60"/>
  <c r="AM9" i="60"/>
  <c r="AN9" i="60"/>
  <c r="AL33" i="60"/>
  <c r="AJ38" i="60"/>
  <c r="AU38" i="60"/>
  <c r="AK33" i="60"/>
  <c r="AJ17" i="60"/>
  <c r="L147" i="92"/>
  <c r="E54" i="93"/>
  <c r="A54" i="93" s="1"/>
  <c r="M76" i="93"/>
  <c r="E33" i="93"/>
  <c r="A33" i="93" s="1"/>
  <c r="E12" i="93"/>
  <c r="A12" i="93" s="1"/>
  <c r="H174" i="10"/>
  <c r="F175" i="10" s="1"/>
  <c r="R148" i="93"/>
  <c r="R126" i="93"/>
  <c r="D199" i="10"/>
  <c r="H54" i="57"/>
  <c r="E72" i="60" s="1"/>
  <c r="A72" i="60" s="1"/>
  <c r="E157" i="10"/>
  <c r="E159" i="10" s="1"/>
  <c r="E156" i="10"/>
  <c r="E155" i="10"/>
  <c r="V58" i="95"/>
  <c r="V60" i="95" s="1"/>
  <c r="R115" i="94"/>
  <c r="L98" i="77"/>
  <c r="D285" i="10"/>
  <c r="K21" i="36"/>
  <c r="K273" i="36"/>
  <c r="D311" i="10" s="1"/>
  <c r="D267" i="10"/>
  <c r="L165" i="36"/>
  <c r="P368" i="36"/>
  <c r="A368" i="36" s="1"/>
  <c r="AB371" i="36"/>
  <c r="AA371" i="36"/>
  <c r="Z371" i="36"/>
  <c r="AC371" i="36"/>
  <c r="U371" i="36"/>
  <c r="V371" i="36"/>
  <c r="X371" i="36"/>
  <c r="W371" i="36"/>
  <c r="Y371" i="36"/>
  <c r="K165" i="36"/>
  <c r="D299" i="10" s="1"/>
  <c r="U366" i="36"/>
  <c r="Y366" i="36"/>
  <c r="X366" i="36"/>
  <c r="V366" i="36"/>
  <c r="W366" i="36"/>
  <c r="E124" i="52"/>
  <c r="E124" i="51"/>
  <c r="I54" i="57"/>
  <c r="E53" i="60" s="1"/>
  <c r="A53" i="60" s="1"/>
  <c r="D104" i="10"/>
  <c r="F121" i="10"/>
  <c r="I62" i="24"/>
  <c r="I143" i="24" s="1"/>
  <c r="E121" i="10"/>
  <c r="U11" i="68"/>
  <c r="L11" i="68" s="1"/>
  <c r="D156" i="68"/>
  <c r="H155" i="68"/>
  <c r="F114" i="68"/>
  <c r="D115" i="68"/>
  <c r="H114" i="68"/>
  <c r="E114" i="68"/>
  <c r="A114" i="68" s="1"/>
  <c r="K112" i="47"/>
  <c r="R105" i="94"/>
  <c r="R132" i="93"/>
  <c r="F53" i="60"/>
  <c r="J53" i="60" s="1"/>
  <c r="L53" i="60" s="1"/>
  <c r="D54" i="60"/>
  <c r="F55" i="26"/>
  <c r="F72" i="75" s="1"/>
  <c r="K72" i="75" s="1"/>
  <c r="O72" i="75" s="1"/>
  <c r="H7" i="28"/>
  <c r="G7" i="28" s="1"/>
  <c r="C149" i="11"/>
  <c r="C63" i="11"/>
  <c r="C107" i="11"/>
  <c r="C108" i="11"/>
  <c r="C110" i="11"/>
  <c r="K291" i="36"/>
  <c r="L219" i="36"/>
  <c r="L291" i="36"/>
  <c r="P365" i="36"/>
  <c r="A365" i="36" s="1"/>
  <c r="K93" i="36"/>
  <c r="D291" i="10" s="1"/>
  <c r="L75" i="36"/>
  <c r="D289" i="10" s="1"/>
  <c r="K183" i="36"/>
  <c r="D301" i="10" s="1"/>
  <c r="L21" i="36"/>
  <c r="R115" i="93"/>
  <c r="R122" i="93"/>
  <c r="R126" i="94"/>
  <c r="R96" i="93"/>
  <c r="E30" i="93"/>
  <c r="I30" i="93" s="1"/>
  <c r="R145" i="94"/>
  <c r="E50" i="94"/>
  <c r="A50" i="94" s="1"/>
  <c r="R147" i="94"/>
  <c r="R118" i="93"/>
  <c r="R169" i="94"/>
  <c r="R97" i="93"/>
  <c r="R161" i="93"/>
  <c r="R151" i="93"/>
  <c r="R132" i="94"/>
  <c r="R150" i="93"/>
  <c r="R122" i="94"/>
  <c r="R160" i="93"/>
  <c r="E29" i="94"/>
  <c r="A29" i="94" s="1"/>
  <c r="R133" i="93"/>
  <c r="R146" i="94"/>
  <c r="R131" i="94"/>
  <c r="R131" i="93"/>
  <c r="R156" i="93"/>
  <c r="R92" i="93"/>
  <c r="R135" i="93"/>
  <c r="R148" i="94"/>
  <c r="R134" i="94"/>
  <c r="R130" i="94"/>
  <c r="R117" i="93"/>
  <c r="R153" i="93"/>
  <c r="F56" i="24"/>
  <c r="F62" i="24" s="1"/>
  <c r="H20" i="4"/>
  <c r="I13" i="4"/>
  <c r="J15" i="4"/>
  <c r="G10" i="4"/>
  <c r="A10" i="4"/>
  <c r="N14" i="12"/>
  <c r="H12" i="4"/>
  <c r="H21" i="4"/>
  <c r="A20" i="4"/>
  <c r="A21" i="4"/>
  <c r="G9" i="4"/>
  <c r="G39" i="4"/>
  <c r="F6" i="4" s="1"/>
  <c r="F30" i="4" s="1"/>
  <c r="G11" i="4"/>
  <c r="G28" i="4"/>
  <c r="G34" i="4"/>
  <c r="B34" i="4" s="1"/>
  <c r="G31" i="4"/>
  <c r="G16" i="4"/>
  <c r="D15" i="4"/>
  <c r="D8" i="115"/>
  <c r="I28" i="4"/>
  <c r="J28" i="4" s="1"/>
  <c r="D25" i="4"/>
  <c r="T58" i="95"/>
  <c r="T60" i="95" s="1"/>
  <c r="V58" i="96"/>
  <c r="V60" i="96" s="1"/>
  <c r="R157" i="93"/>
  <c r="R142" i="93"/>
  <c r="R138" i="94"/>
  <c r="R116" i="93"/>
  <c r="R114" i="93"/>
  <c r="AH58" i="96"/>
  <c r="AH60" i="96" s="1"/>
  <c r="R93" i="94"/>
  <c r="R110" i="93"/>
  <c r="R140" i="93"/>
  <c r="R104" i="93"/>
  <c r="R112" i="93"/>
  <c r="G21" i="25"/>
  <c r="P93" i="75" s="1"/>
  <c r="T93" i="75" s="1"/>
  <c r="F6" i="3"/>
  <c r="M97" i="46"/>
  <c r="G240" i="10"/>
  <c r="H211" i="10"/>
  <c r="P89" i="67"/>
  <c r="O68" i="67"/>
  <c r="M69" i="67"/>
  <c r="R116" i="94"/>
  <c r="R100" i="94"/>
  <c r="P58" i="95"/>
  <c r="P60" i="95" s="1"/>
  <c r="R124" i="94"/>
  <c r="R92" i="94"/>
  <c r="J58" i="96"/>
  <c r="J60" i="96" s="1"/>
  <c r="AD58" i="95"/>
  <c r="AD60" i="95" s="1"/>
  <c r="R98" i="93"/>
  <c r="R111" i="94"/>
  <c r="R107" i="93"/>
  <c r="AH58" i="95"/>
  <c r="AH60" i="95" s="1"/>
  <c r="R93" i="93"/>
  <c r="R125" i="93"/>
  <c r="R101" i="93"/>
  <c r="K71" i="94"/>
  <c r="M71" i="94" s="1"/>
  <c r="G71" i="94"/>
  <c r="G72" i="94"/>
  <c r="K72" i="94"/>
  <c r="M72" i="94" s="1"/>
  <c r="K73" i="94"/>
  <c r="M73" i="94" s="1"/>
  <c r="G73" i="94"/>
  <c r="R103" i="93"/>
  <c r="K74" i="94"/>
  <c r="M74" i="94" s="1"/>
  <c r="G74" i="94"/>
  <c r="R95" i="93"/>
  <c r="R130" i="93"/>
  <c r="X58" i="95"/>
  <c r="X60" i="95" s="1"/>
  <c r="F58" i="96"/>
  <c r="F60" i="96" s="1"/>
  <c r="R127" i="94"/>
  <c r="AF58" i="95"/>
  <c r="AF60" i="95" s="1"/>
  <c r="R137" i="94"/>
  <c r="O72" i="67"/>
  <c r="K146" i="85"/>
  <c r="I147" i="92"/>
  <c r="A68" i="70"/>
  <c r="E51" i="93"/>
  <c r="A51" i="93" s="1"/>
  <c r="R100" i="93"/>
  <c r="E9" i="93"/>
  <c r="A9" i="93" s="1"/>
  <c r="G143" i="87"/>
  <c r="G146" i="85"/>
  <c r="T154" i="85" s="1"/>
  <c r="D121" i="10"/>
  <c r="A55" i="24"/>
  <c r="R96" i="94"/>
  <c r="L13" i="7" a="1"/>
  <c r="L13" i="7" s="1"/>
  <c r="M13" i="7" a="1"/>
  <c r="M13" i="7" s="1"/>
  <c r="J12" i="7" a="1"/>
  <c r="J12" i="7" s="1"/>
  <c r="I14" i="7" a="1"/>
  <c r="I14" i="7" s="1"/>
  <c r="M14" i="7" a="1"/>
  <c r="M14" i="7" s="1"/>
  <c r="I15" i="7" a="1"/>
  <c r="I15" i="7" s="1"/>
  <c r="K15" i="7" a="1"/>
  <c r="K15" i="7" s="1"/>
  <c r="J14" i="7" a="1"/>
  <c r="J14" i="7" s="1"/>
  <c r="J13" i="7" a="1"/>
  <c r="J13" i="7" s="1"/>
  <c r="H15" i="7" a="1"/>
  <c r="H15" i="7" s="1"/>
  <c r="I12" i="7" a="1"/>
  <c r="I12" i="7" s="1"/>
  <c r="L14" i="7" a="1"/>
  <c r="L14" i="7" s="1"/>
  <c r="H13" i="7" a="1"/>
  <c r="H13" i="7" s="1"/>
  <c r="L15" i="7" a="1"/>
  <c r="L15" i="7" s="1"/>
  <c r="M15" i="7" a="1"/>
  <c r="M15" i="7" s="1"/>
  <c r="H14" i="7" a="1"/>
  <c r="H14" i="7" s="1"/>
  <c r="I3" i="102"/>
  <c r="U3" i="102"/>
  <c r="K13" i="7" a="1"/>
  <c r="K13" i="7" s="1"/>
  <c r="L11" i="7" a="1"/>
  <c r="L11" i="7" s="1"/>
  <c r="K12" i="7" a="1"/>
  <c r="K12" i="7" s="1"/>
  <c r="J15" i="7" a="1"/>
  <c r="J15" i="7" s="1"/>
  <c r="I13" i="7" a="1"/>
  <c r="I13" i="7" s="1"/>
  <c r="T4" i="102"/>
  <c r="H4" i="102"/>
  <c r="H146" i="85"/>
  <c r="E133" i="68"/>
  <c r="C150" i="11"/>
  <c r="M19" i="14"/>
  <c r="C146" i="11"/>
  <c r="H83" i="46"/>
  <c r="I15" i="4"/>
  <c r="H22" i="4"/>
  <c r="H19" i="4"/>
  <c r="H110" i="51"/>
  <c r="J110" i="51"/>
  <c r="G110" i="51"/>
  <c r="I110" i="51"/>
  <c r="K110" i="51"/>
  <c r="Z58" i="95"/>
  <c r="Z60" i="95" s="1"/>
  <c r="C109" i="11"/>
  <c r="C139" i="11"/>
  <c r="B20" i="14"/>
  <c r="AH4" i="114"/>
  <c r="AE4" i="114"/>
  <c r="H62" i="46"/>
  <c r="AH37" i="68"/>
  <c r="AS37" i="68"/>
  <c r="AJ37" i="68"/>
  <c r="AI37" i="68"/>
  <c r="C135" i="11"/>
  <c r="C137" i="11"/>
  <c r="AL23" i="68"/>
  <c r="H60" i="46"/>
  <c r="J58" i="95"/>
  <c r="J60" i="95" s="1"/>
  <c r="S173" i="92"/>
  <c r="X167" i="92"/>
  <c r="X169" i="92" s="1"/>
  <c r="X173" i="92" s="1"/>
  <c r="AI13" i="68"/>
  <c r="AK13" i="68"/>
  <c r="AS13" i="68"/>
  <c r="AJ13" i="68"/>
  <c r="AH13" i="68"/>
  <c r="U16" i="60"/>
  <c r="L58" i="95"/>
  <c r="L60" i="95" s="1"/>
  <c r="N58" i="96"/>
  <c r="N60" i="96" s="1"/>
  <c r="I131" i="46"/>
  <c r="AA370" i="36"/>
  <c r="U370" i="36"/>
  <c r="AB370" i="36"/>
  <c r="W370" i="36"/>
  <c r="AC370" i="36"/>
  <c r="Y370" i="36"/>
  <c r="V370" i="36"/>
  <c r="Z370" i="36"/>
  <c r="X370" i="36"/>
  <c r="L127" i="36"/>
  <c r="L121" i="36"/>
  <c r="L126" i="36"/>
  <c r="L123" i="36"/>
  <c r="K120" i="36"/>
  <c r="A120" i="36" s="1"/>
  <c r="K122" i="36"/>
  <c r="A122" i="36" s="1"/>
  <c r="K128" i="36"/>
  <c r="A128" i="36" s="1"/>
  <c r="K127" i="36"/>
  <c r="A127" i="36" s="1"/>
  <c r="L122" i="36"/>
  <c r="L120" i="36"/>
  <c r="L125" i="36"/>
  <c r="K123" i="36"/>
  <c r="A123" i="36" s="1"/>
  <c r="K125" i="36"/>
  <c r="A125" i="36" s="1"/>
  <c r="K126" i="36"/>
  <c r="A126" i="36" s="1"/>
  <c r="L128" i="36"/>
  <c r="L124" i="36"/>
  <c r="K121" i="36"/>
  <c r="A121" i="36" s="1"/>
  <c r="K124" i="36"/>
  <c r="A124" i="36" s="1"/>
  <c r="AJ11" i="60"/>
  <c r="AK11" i="60"/>
  <c r="AI11" i="60"/>
  <c r="AN11" i="60"/>
  <c r="AL11" i="60"/>
  <c r="AT11" i="60"/>
  <c r="AM11" i="60"/>
  <c r="H110" i="52"/>
  <c r="I110" i="52"/>
  <c r="G110" i="52"/>
  <c r="J110" i="52"/>
  <c r="K110" i="52"/>
  <c r="A30" i="26"/>
  <c r="C114" i="11"/>
  <c r="L102" i="36"/>
  <c r="K106" i="36"/>
  <c r="K109" i="36"/>
  <c r="K105" i="36"/>
  <c r="L106" i="36"/>
  <c r="K102" i="36"/>
  <c r="L110" i="36"/>
  <c r="L108" i="36"/>
  <c r="K103" i="36"/>
  <c r="K107" i="36"/>
  <c r="L103" i="36"/>
  <c r="K104" i="36"/>
  <c r="L109" i="36"/>
  <c r="K108" i="36"/>
  <c r="K110" i="36"/>
  <c r="L107" i="36"/>
  <c r="L105" i="36"/>
  <c r="L104" i="36"/>
  <c r="N58" i="95"/>
  <c r="N60" i="95" s="1"/>
  <c r="X162" i="87"/>
  <c r="X168" i="87" s="1"/>
  <c r="X158" i="87"/>
  <c r="D12" i="61" a="1"/>
  <c r="D12" i="61" s="1"/>
  <c r="D16" i="61" a="1"/>
  <c r="D16" i="61" s="1"/>
  <c r="J112" i="47"/>
  <c r="E330" i="10"/>
  <c r="H112" i="47"/>
  <c r="G112" i="47"/>
  <c r="K111" i="52"/>
  <c r="K112" i="52" s="1"/>
  <c r="I111" i="52"/>
  <c r="G111" i="52"/>
  <c r="H111" i="52"/>
  <c r="J111" i="52"/>
  <c r="J111" i="51"/>
  <c r="G111" i="51"/>
  <c r="K111" i="51"/>
  <c r="I111" i="51"/>
  <c r="H111" i="51"/>
  <c r="F157" i="10"/>
  <c r="F159" i="10" s="1"/>
  <c r="R99" i="93"/>
  <c r="P71" i="67"/>
  <c r="G72" i="68"/>
  <c r="I72" i="68" s="1"/>
  <c r="G143" i="86"/>
  <c r="P70" i="67"/>
  <c r="P72" i="67"/>
  <c r="J4" i="114"/>
  <c r="AL4" i="114"/>
  <c r="AK4" i="114"/>
  <c r="F155" i="10"/>
  <c r="R102" i="93"/>
  <c r="O4" i="114"/>
  <c r="Z4" i="114" s="1"/>
  <c r="AB8" i="113" s="1"/>
  <c r="F156" i="10"/>
  <c r="L146" i="46"/>
  <c r="H98" i="46"/>
  <c r="H145" i="46"/>
  <c r="M146" i="46"/>
  <c r="H81" i="46"/>
  <c r="H17" i="46"/>
  <c r="D322" i="10" s="1"/>
  <c r="L131" i="46"/>
  <c r="H130" i="46"/>
  <c r="H144" i="46"/>
  <c r="H97" i="46"/>
  <c r="H59" i="46"/>
  <c r="H129" i="46"/>
  <c r="H80" i="46"/>
  <c r="H114" i="46"/>
  <c r="I146" i="46"/>
  <c r="M131" i="46"/>
  <c r="M91" i="46"/>
  <c r="L67" i="46"/>
  <c r="I84" i="46"/>
  <c r="L84" i="46"/>
  <c r="I101" i="46"/>
  <c r="I116" i="46"/>
  <c r="L116" i="46"/>
  <c r="I67" i="46"/>
  <c r="M84" i="46"/>
  <c r="L101" i="46"/>
  <c r="M98" i="46"/>
  <c r="M67" i="46"/>
  <c r="M116" i="46"/>
  <c r="E96" i="60"/>
  <c r="A96" i="60" s="1"/>
  <c r="E75" i="60"/>
  <c r="A75" i="60" s="1"/>
  <c r="E97" i="60"/>
  <c r="A97" i="60" s="1"/>
  <c r="E76" i="60"/>
  <c r="S62" i="77"/>
  <c r="S63" i="77" s="1"/>
  <c r="T63" i="77" s="1"/>
  <c r="T62" i="77"/>
  <c r="D29" i="115"/>
  <c r="D28" i="115" s="1"/>
  <c r="D356" i="10"/>
  <c r="T74" i="25"/>
  <c r="J143" i="86"/>
  <c r="G155" i="68"/>
  <c r="F56" i="86"/>
  <c r="F62" i="86" s="1"/>
  <c r="G47" i="92"/>
  <c r="G48" i="92" s="1"/>
  <c r="G54" i="92" s="1"/>
  <c r="K143" i="87"/>
  <c r="I143" i="86"/>
  <c r="G145" i="30"/>
  <c r="AG4" i="114"/>
  <c r="E31" i="93"/>
  <c r="J147" i="92"/>
  <c r="E52" i="93"/>
  <c r="A52" i="93" s="1"/>
  <c r="E10" i="93"/>
  <c r="A10" i="93" s="1"/>
  <c r="M74" i="93"/>
  <c r="E29" i="93"/>
  <c r="M72" i="93"/>
  <c r="E50" i="93"/>
  <c r="A50" i="93" s="1"/>
  <c r="E8" i="93"/>
  <c r="A8" i="93" s="1"/>
  <c r="H147" i="92"/>
  <c r="E32" i="93"/>
  <c r="E53" i="93"/>
  <c r="A53" i="93" s="1"/>
  <c r="K147" i="92"/>
  <c r="E11" i="93"/>
  <c r="A11" i="93" s="1"/>
  <c r="M75" i="93"/>
  <c r="T157" i="85"/>
  <c r="T158" i="85"/>
  <c r="T155" i="85"/>
  <c r="F143" i="87"/>
  <c r="V150" i="87"/>
  <c r="V148" i="87"/>
  <c r="V152" i="87"/>
  <c r="V151" i="87"/>
  <c r="V149" i="87"/>
  <c r="A63" i="70"/>
  <c r="D149" i="10"/>
  <c r="D155" i="10"/>
  <c r="D157" i="10"/>
  <c r="D156" i="10"/>
  <c r="L4" i="114"/>
  <c r="P4" i="114"/>
  <c r="AC4" i="114" s="1"/>
  <c r="V149" i="86"/>
  <c r="F143" i="86"/>
  <c r="V151" i="86"/>
  <c r="V150" i="86"/>
  <c r="V148" i="86"/>
  <c r="V152" i="86"/>
  <c r="A72" i="70"/>
  <c r="B72" i="70" s="1"/>
  <c r="A76" i="70"/>
  <c r="B76" i="70" s="1"/>
  <c r="A74" i="70"/>
  <c r="B74" i="70" s="1"/>
  <c r="A75" i="70"/>
  <c r="B75" i="70" s="1"/>
  <c r="B73" i="70"/>
  <c r="N4" i="114"/>
  <c r="W4" i="114" s="1"/>
  <c r="S8" i="113" s="1"/>
  <c r="O90" i="27"/>
  <c r="A12" i="25"/>
  <c r="G12" i="25"/>
  <c r="E13" i="25"/>
  <c r="T133" i="27"/>
  <c r="A133" i="27"/>
  <c r="U134" i="27"/>
  <c r="G122" i="10"/>
  <c r="G132" i="10"/>
  <c r="G220" i="10"/>
  <c r="G176" i="10"/>
  <c r="G184" i="10"/>
  <c r="G187" i="10"/>
  <c r="G133" i="10"/>
  <c r="G212" i="10"/>
  <c r="G216" i="10"/>
  <c r="G153" i="10"/>
  <c r="G234" i="10"/>
  <c r="G124" i="10"/>
  <c r="G125" i="10"/>
  <c r="H3" i="10"/>
  <c r="G120" i="10"/>
  <c r="G128" i="10"/>
  <c r="G181" i="10"/>
  <c r="G118" i="10"/>
  <c r="G127" i="10"/>
  <c r="G218" i="10"/>
  <c r="G161" i="10"/>
  <c r="G233" i="10"/>
  <c r="G162" i="10"/>
  <c r="H239" i="10"/>
  <c r="H242" i="10"/>
  <c r="I211" i="10"/>
  <c r="H240" i="10"/>
  <c r="F169" i="10"/>
  <c r="G131" i="10"/>
  <c r="G126" i="10"/>
  <c r="G157" i="10"/>
  <c r="G159" i="10" s="1"/>
  <c r="G232" i="10"/>
  <c r="G165" i="10"/>
  <c r="G238" i="10"/>
  <c r="G130" i="10"/>
  <c r="G121" i="10"/>
  <c r="G235" i="10"/>
  <c r="G215" i="10"/>
  <c r="G129" i="10"/>
  <c r="G167" i="10"/>
  <c r="G154" i="10"/>
  <c r="G168" i="10"/>
  <c r="G169" i="10" s="1"/>
  <c r="G155" i="10"/>
  <c r="G213" i="10"/>
  <c r="G166" i="10"/>
  <c r="G152" i="10"/>
  <c r="G177" i="10"/>
  <c r="G236" i="10"/>
  <c r="G230" i="10"/>
  <c r="G188" i="10"/>
  <c r="G237" i="10"/>
  <c r="G217" i="10"/>
  <c r="G185" i="10"/>
  <c r="G214" i="10"/>
  <c r="G219" i="10"/>
  <c r="G229" i="10"/>
  <c r="G123" i="10"/>
  <c r="G119" i="10"/>
  <c r="G221" i="10"/>
  <c r="G222" i="10" s="1"/>
  <c r="G156" i="10"/>
  <c r="D136" i="68"/>
  <c r="F135" i="68"/>
  <c r="I135" i="68" s="1"/>
  <c r="K135" i="68" s="1"/>
  <c r="E135" i="68"/>
  <c r="J94" i="84"/>
  <c r="I94" i="84"/>
  <c r="AW32" i="68"/>
  <c r="AL32" i="68"/>
  <c r="AW34" i="68"/>
  <c r="AW12" i="68"/>
  <c r="AL12" i="68"/>
  <c r="AL18" i="68"/>
  <c r="AW18" i="68"/>
  <c r="AW31" i="68"/>
  <c r="AW29" i="68"/>
  <c r="AL28" i="68"/>
  <c r="AW28" i="68"/>
  <c r="E54" i="68"/>
  <c r="A54" i="68" s="1"/>
  <c r="F54" i="68"/>
  <c r="I54" i="68" s="1"/>
  <c r="K54" i="68" s="1"/>
  <c r="K97" i="84" s="1"/>
  <c r="D55" i="68"/>
  <c r="AW10" i="68"/>
  <c r="AL10" i="68"/>
  <c r="E73" i="68"/>
  <c r="A73" i="68" s="1"/>
  <c r="H73" i="68"/>
  <c r="D74" i="68"/>
  <c r="F73" i="68"/>
  <c r="AL29" i="68"/>
  <c r="AL33" i="68"/>
  <c r="AW33" i="68"/>
  <c r="AW17" i="68"/>
  <c r="AL21" i="68"/>
  <c r="AW21" i="68"/>
  <c r="AW19" i="68"/>
  <c r="AL19" i="68"/>
  <c r="AW11" i="68"/>
  <c r="AL11" i="68"/>
  <c r="AW37" i="68"/>
  <c r="AL37" i="68"/>
  <c r="AL42" i="68"/>
  <c r="AW42" i="68"/>
  <c r="AW41" i="68"/>
  <c r="AL41" i="68"/>
  <c r="AL9" i="68"/>
  <c r="AW9" i="68"/>
  <c r="AW36" i="68"/>
  <c r="AL36" i="68"/>
  <c r="AW22" i="68"/>
  <c r="AW43" i="68"/>
  <c r="AL43" i="68"/>
  <c r="AL38" i="68"/>
  <c r="AW38" i="68"/>
  <c r="AL20" i="68"/>
  <c r="AW20" i="68"/>
  <c r="AL22" i="68"/>
  <c r="AW40" i="68"/>
  <c r="AL31" i="68"/>
  <c r="AW35" i="68"/>
  <c r="AL35" i="68"/>
  <c r="AW39" i="68"/>
  <c r="AL39" i="68"/>
  <c r="AL27" i="68"/>
  <c r="AW27" i="68"/>
  <c r="AL24" i="68"/>
  <c r="AW24" i="68"/>
  <c r="AL30" i="68"/>
  <c r="AW30" i="68"/>
  <c r="AL26" i="68"/>
  <c r="AW26" i="68"/>
  <c r="AW14" i="68"/>
  <c r="AB25" i="68"/>
  <c r="AB15" i="68"/>
  <c r="AX15" i="68" s="1"/>
  <c r="AB16" i="68"/>
  <c r="AX16" i="68" s="1"/>
  <c r="AB30" i="68"/>
  <c r="AX30" i="68" s="1"/>
  <c r="AB21" i="68"/>
  <c r="AX21" i="68" s="1"/>
  <c r="AB34" i="68"/>
  <c r="AX34" i="68" s="1"/>
  <c r="AB14" i="68"/>
  <c r="AB32" i="68"/>
  <c r="AX32" i="68" s="1"/>
  <c r="AB41" i="68"/>
  <c r="AX41" i="68" s="1"/>
  <c r="AB19" i="68"/>
  <c r="AX19" i="68" s="1"/>
  <c r="AB17" i="68"/>
  <c r="AX17" i="68" s="1"/>
  <c r="AB22" i="68"/>
  <c r="AB35" i="68"/>
  <c r="AX35" i="68" s="1"/>
  <c r="AB42" i="68"/>
  <c r="AX42" i="68" s="1"/>
  <c r="AB9" i="68"/>
  <c r="AX9" i="68" s="1"/>
  <c r="AB11" i="68"/>
  <c r="AX11" i="68" s="1"/>
  <c r="AB28" i="68"/>
  <c r="AX28" i="68" s="1"/>
  <c r="AB36" i="68"/>
  <c r="AX36" i="68" s="1"/>
  <c r="AC8" i="68"/>
  <c r="AB31" i="68"/>
  <c r="AX31" i="68" s="1"/>
  <c r="AX8" i="68"/>
  <c r="AB24" i="68"/>
  <c r="AX24" i="68" s="1"/>
  <c r="AB29" i="68"/>
  <c r="AX29" i="68" s="1"/>
  <c r="AB33" i="68"/>
  <c r="AX33" i="68" s="1"/>
  <c r="AB39" i="68"/>
  <c r="AX39" i="68" s="1"/>
  <c r="AB13" i="68"/>
  <c r="AX13" i="68" s="1"/>
  <c r="AB38" i="68"/>
  <c r="AX38" i="68" s="1"/>
  <c r="AB40" i="68"/>
  <c r="AM40" i="68" s="1"/>
  <c r="AB20" i="68"/>
  <c r="AX20" i="68" s="1"/>
  <c r="AB18" i="68"/>
  <c r="AX18" i="68" s="1"/>
  <c r="AB23" i="68"/>
  <c r="AB26" i="68"/>
  <c r="AX26" i="68" s="1"/>
  <c r="AB37" i="68"/>
  <c r="AX37" i="68" s="1"/>
  <c r="AB27" i="68"/>
  <c r="AX27" i="68" s="1"/>
  <c r="AB10" i="68"/>
  <c r="AX10" i="68" s="1"/>
  <c r="AB43" i="68"/>
  <c r="AX43" i="68" s="1"/>
  <c r="AB12" i="68"/>
  <c r="AX12" i="68" s="1"/>
  <c r="AL34" i="68"/>
  <c r="AL16" i="68"/>
  <c r="AW16" i="68"/>
  <c r="AW15" i="68"/>
  <c r="AL15" i="68"/>
  <c r="AL13" i="68"/>
  <c r="AW13" i="68"/>
  <c r="H144" i="84"/>
  <c r="H143" i="84"/>
  <c r="G144" i="84"/>
  <c r="G143" i="84"/>
  <c r="J144" i="84"/>
  <c r="J143" i="84"/>
  <c r="I143" i="84"/>
  <c r="I144" i="84"/>
  <c r="H238" i="10"/>
  <c r="H215" i="10"/>
  <c r="H162" i="10"/>
  <c r="H176" i="10"/>
  <c r="H124" i="10"/>
  <c r="H233" i="10"/>
  <c r="H132" i="10"/>
  <c r="H189" i="10"/>
  <c r="H133" i="10"/>
  <c r="H155" i="10"/>
  <c r="H130" i="10"/>
  <c r="H125" i="10"/>
  <c r="H156" i="10"/>
  <c r="H184" i="10"/>
  <c r="H181" i="10"/>
  <c r="H157" i="10"/>
  <c r="H216" i="10"/>
  <c r="H213" i="10"/>
  <c r="I3" i="10"/>
  <c r="H232" i="10"/>
  <c r="H220" i="10"/>
  <c r="H122" i="10"/>
  <c r="H126" i="10"/>
  <c r="H120" i="10"/>
  <c r="H128" i="10"/>
  <c r="H161" i="10"/>
  <c r="H127" i="10"/>
  <c r="H129" i="10"/>
  <c r="H187" i="10"/>
  <c r="H153" i="10"/>
  <c r="H123" i="10"/>
  <c r="H177" i="10"/>
  <c r="H185" i="10"/>
  <c r="H118" i="10"/>
  <c r="H221" i="10"/>
  <c r="H218" i="10"/>
  <c r="H188" i="10"/>
  <c r="H217" i="10"/>
  <c r="H214" i="10"/>
  <c r="H235" i="10"/>
  <c r="H219" i="10"/>
  <c r="H237" i="10"/>
  <c r="H234" i="10"/>
  <c r="H166" i="10"/>
  <c r="H230" i="10"/>
  <c r="H131" i="10"/>
  <c r="H154" i="10"/>
  <c r="H229" i="10"/>
  <c r="H152" i="10"/>
  <c r="H212" i="10"/>
  <c r="H168" i="10"/>
  <c r="H119" i="10"/>
  <c r="H236" i="10"/>
  <c r="H121" i="10"/>
  <c r="H167" i="10"/>
  <c r="H165" i="10"/>
  <c r="F222" i="10"/>
  <c r="G191" i="10"/>
  <c r="H151" i="10"/>
  <c r="G193" i="10"/>
  <c r="G194" i="10"/>
  <c r="K7" i="94"/>
  <c r="K8" i="94"/>
  <c r="E51" i="94"/>
  <c r="A51" i="94" s="1"/>
  <c r="E30" i="94"/>
  <c r="E9" i="94"/>
  <c r="A9" i="94" s="1"/>
  <c r="E49" i="94"/>
  <c r="A49" i="94" s="1"/>
  <c r="T155" i="91"/>
  <c r="T156" i="91"/>
  <c r="E7" i="94"/>
  <c r="A7" i="94" s="1"/>
  <c r="E28" i="94"/>
  <c r="T157" i="91"/>
  <c r="T154" i="91"/>
  <c r="T153" i="91"/>
  <c r="E11" i="94"/>
  <c r="A11" i="94" s="1"/>
  <c r="E53" i="94"/>
  <c r="A53" i="94" s="1"/>
  <c r="E32" i="94"/>
  <c r="M75" i="94"/>
  <c r="E10" i="94"/>
  <c r="A10" i="94" s="1"/>
  <c r="E31" i="94"/>
  <c r="E52" i="94"/>
  <c r="A52" i="94" s="1"/>
  <c r="L54" i="91"/>
  <c r="M76" i="94" s="1"/>
  <c r="L146" i="91"/>
  <c r="K147" i="91"/>
  <c r="K146" i="91"/>
  <c r="J147" i="91"/>
  <c r="J146" i="91"/>
  <c r="I147" i="91"/>
  <c r="I146" i="91"/>
  <c r="C87" i="11"/>
  <c r="C153" i="11"/>
  <c r="C84" i="11"/>
  <c r="C138" i="11"/>
  <c r="C151" i="11"/>
  <c r="C58" i="11"/>
  <c r="C141" i="11"/>
  <c r="C82" i="11"/>
  <c r="AD5" i="114"/>
  <c r="G4" i="114"/>
  <c r="X4" i="114" s="1" a="1"/>
  <c r="X4" i="114" s="1"/>
  <c r="Z8" i="113" s="1"/>
  <c r="F4" i="114"/>
  <c r="C5" i="114"/>
  <c r="K5" i="114" s="1"/>
  <c r="AP4" i="114"/>
  <c r="BD4" i="114" s="1"/>
  <c r="AO4" i="114"/>
  <c r="I4" i="114"/>
  <c r="S4" i="114" s="1"/>
  <c r="O8" i="113" s="1"/>
  <c r="AN4" i="114"/>
  <c r="AU4" i="114" s="1"/>
  <c r="AJ4" i="114"/>
  <c r="K4" i="114"/>
  <c r="H4" i="114"/>
  <c r="E4" i="114"/>
  <c r="AQ4" i="114"/>
  <c r="D4" i="114"/>
  <c r="L8" i="113" s="1"/>
  <c r="AM4" i="114"/>
  <c r="BC4" i="114" s="1"/>
  <c r="AI4" i="114"/>
  <c r="AF4" i="114"/>
  <c r="AS4" i="114" s="1"/>
  <c r="AI5" i="114"/>
  <c r="K19" i="14"/>
  <c r="G19" i="14"/>
  <c r="H19" i="14"/>
  <c r="F19" i="14"/>
  <c r="D19" i="14"/>
  <c r="J19" i="14" s="1"/>
  <c r="K20" i="14"/>
  <c r="N20" i="14"/>
  <c r="B21" i="14"/>
  <c r="D20" i="14"/>
  <c r="J20" i="14" s="1"/>
  <c r="E20" i="14"/>
  <c r="F20" i="14"/>
  <c r="G20" i="14"/>
  <c r="H20" i="14"/>
  <c r="M20" i="14"/>
  <c r="L20" i="14"/>
  <c r="AZ4" i="114"/>
  <c r="H5" i="114"/>
  <c r="C60" i="11"/>
  <c r="C113" i="11"/>
  <c r="C55" i="11"/>
  <c r="I43" i="14"/>
  <c r="I14" i="14"/>
  <c r="O43" i="14"/>
  <c r="O14" i="14"/>
  <c r="O46" i="14"/>
  <c r="O51" i="14"/>
  <c r="O32" i="14"/>
  <c r="O35" i="14"/>
  <c r="O56" i="14"/>
  <c r="O61" i="14"/>
  <c r="I47" i="14"/>
  <c r="I52" i="14"/>
  <c r="O19" i="14"/>
  <c r="O26" i="14"/>
  <c r="I57" i="14"/>
  <c r="I62" i="14"/>
  <c r="O47" i="14"/>
  <c r="O52" i="14"/>
  <c r="O57" i="14"/>
  <c r="O62" i="14"/>
  <c r="O18" i="14"/>
  <c r="O24" i="14"/>
  <c r="O25" i="14"/>
  <c r="I48" i="14"/>
  <c r="I53" i="14"/>
  <c r="I21" i="14"/>
  <c r="O22" i="14"/>
  <c r="O27" i="14"/>
  <c r="I58" i="14"/>
  <c r="I63" i="14"/>
  <c r="O48" i="14"/>
  <c r="O53" i="14"/>
  <c r="O58" i="14"/>
  <c r="O63" i="14"/>
  <c r="I18" i="14"/>
  <c r="O20" i="14"/>
  <c r="O31" i="14"/>
  <c r="I49" i="14"/>
  <c r="I54" i="14"/>
  <c r="I59" i="14"/>
  <c r="I64" i="14"/>
  <c r="O21" i="14"/>
  <c r="O36" i="14"/>
  <c r="O49" i="14"/>
  <c r="O54" i="14"/>
  <c r="O59" i="14"/>
  <c r="O64" i="14"/>
  <c r="O29" i="14"/>
  <c r="O30" i="14"/>
  <c r="I50" i="14"/>
  <c r="I55" i="14"/>
  <c r="O33" i="14"/>
  <c r="I60" i="14"/>
  <c r="I65" i="14"/>
  <c r="I17" i="14"/>
  <c r="O23" i="14"/>
  <c r="O55" i="14"/>
  <c r="O50" i="14"/>
  <c r="O34" i="14"/>
  <c r="O65" i="14"/>
  <c r="O60" i="14"/>
  <c r="I19" i="14"/>
  <c r="O28" i="14"/>
  <c r="I46" i="14"/>
  <c r="I51" i="14"/>
  <c r="O17" i="14"/>
  <c r="I20" i="14"/>
  <c r="I56" i="14"/>
  <c r="I61" i="14"/>
  <c r="C85" i="11"/>
  <c r="C88" i="11"/>
  <c r="C133" i="11"/>
  <c r="C61" i="11"/>
  <c r="C83" i="11"/>
  <c r="C134" i="11"/>
  <c r="C57" i="11"/>
  <c r="C62" i="11"/>
  <c r="C140" i="11"/>
  <c r="C59" i="11"/>
  <c r="C89" i="11"/>
  <c r="C112" i="11"/>
  <c r="C111" i="11"/>
  <c r="C86" i="11"/>
  <c r="C145" i="11"/>
  <c r="I44" i="14"/>
  <c r="O44" i="14"/>
  <c r="O15" i="14"/>
  <c r="I15" i="14"/>
  <c r="C115" i="11"/>
  <c r="C136" i="11"/>
  <c r="C148" i="11"/>
  <c r="F35" i="3" l="1"/>
  <c r="Q14" i="11"/>
  <c r="O89" i="67"/>
  <c r="O71" i="67"/>
  <c r="P73" i="67"/>
  <c r="O70" i="67"/>
  <c r="P69" i="67"/>
  <c r="G44" i="28"/>
  <c r="H44" i="28" s="1"/>
  <c r="Q15" i="11"/>
  <c r="D95" i="68"/>
  <c r="F94" i="68"/>
  <c r="I94" i="68" s="1"/>
  <c r="K94" i="68" s="1"/>
  <c r="E94" i="68"/>
  <c r="A94" i="68" s="1"/>
  <c r="E117" i="60"/>
  <c r="D118" i="60"/>
  <c r="A116" i="60"/>
  <c r="K116" i="60"/>
  <c r="M116" i="60" s="1"/>
  <c r="G116" i="60"/>
  <c r="AK139" i="60"/>
  <c r="BG139" i="60" s="1"/>
  <c r="AJ139" i="60"/>
  <c r="A139" i="60"/>
  <c r="V140" i="60"/>
  <c r="AL139" i="60"/>
  <c r="BH139" i="60" s="1"/>
  <c r="AV138" i="60"/>
  <c r="BF138" i="60"/>
  <c r="AU138" i="60"/>
  <c r="G48" i="28"/>
  <c r="H48" i="28" s="1"/>
  <c r="G42" i="28"/>
  <c r="H42" i="28" s="1"/>
  <c r="M80" i="67"/>
  <c r="D138" i="10"/>
  <c r="G112" i="51"/>
  <c r="G46" i="28"/>
  <c r="H46" i="28" s="1"/>
  <c r="G43" i="28"/>
  <c r="H43" i="28" s="1"/>
  <c r="G45" i="28"/>
  <c r="H45" i="28" s="1"/>
  <c r="G49" i="28"/>
  <c r="H49" i="28" s="1"/>
  <c r="G47" i="28"/>
  <c r="H47" i="28" s="1"/>
  <c r="G40" i="28"/>
  <c r="H40" i="28" s="1"/>
  <c r="A32" i="26"/>
  <c r="G15" i="4"/>
  <c r="F22" i="4"/>
  <c r="F32" i="4" s="1"/>
  <c r="F36" i="4" s="1"/>
  <c r="F37" i="4" s="1"/>
  <c r="F19" i="4"/>
  <c r="G23" i="4" s="1"/>
  <c r="O32" i="26"/>
  <c r="A26" i="3"/>
  <c r="A20" i="3"/>
  <c r="V9" i="11"/>
  <c r="Y54" i="3" s="1"/>
  <c r="S49" i="25"/>
  <c r="A21" i="3"/>
  <c r="A48" i="26"/>
  <c r="A44" i="26" s="1"/>
  <c r="T156" i="85"/>
  <c r="I155" i="68"/>
  <c r="AA8" i="11"/>
  <c r="A39" i="25" s="1"/>
  <c r="AO27" i="60"/>
  <c r="AO23" i="60"/>
  <c r="AO34" i="60"/>
  <c r="AO18" i="60"/>
  <c r="AO19" i="60"/>
  <c r="AO16" i="60"/>
  <c r="AO25" i="60"/>
  <c r="AO22" i="60"/>
  <c r="AO36" i="60"/>
  <c r="AO20" i="60"/>
  <c r="AO41" i="60"/>
  <c r="AO29" i="60"/>
  <c r="AO31" i="60"/>
  <c r="AO28" i="60"/>
  <c r="AO17" i="60"/>
  <c r="L56" i="80"/>
  <c r="L58" i="80" s="1"/>
  <c r="L60" i="80" s="1"/>
  <c r="L62" i="80" s="1"/>
  <c r="K62" i="80" s="1"/>
  <c r="AO37" i="60"/>
  <c r="AO9" i="60"/>
  <c r="BI139" i="60"/>
  <c r="AE13" i="60"/>
  <c r="BA13" i="60" s="1"/>
  <c r="AE35" i="60"/>
  <c r="BA35" i="60" s="1"/>
  <c r="AE11" i="60"/>
  <c r="BA11" i="60" s="1"/>
  <c r="AE22" i="60"/>
  <c r="AE15" i="60"/>
  <c r="BA15" i="60" s="1"/>
  <c r="AE40" i="60"/>
  <c r="AP40" i="60" s="1"/>
  <c r="AE31" i="60"/>
  <c r="AE32" i="60"/>
  <c r="AE9" i="60"/>
  <c r="AE36" i="60"/>
  <c r="AE16" i="60"/>
  <c r="AE25" i="60"/>
  <c r="AE37" i="60"/>
  <c r="AE21" i="60"/>
  <c r="AE39" i="60"/>
  <c r="BA39" i="60" s="1"/>
  <c r="AE23" i="60"/>
  <c r="AE34" i="60"/>
  <c r="AE33" i="60"/>
  <c r="BA33" i="60" s="1"/>
  <c r="AE12" i="60"/>
  <c r="BA12" i="60" s="1"/>
  <c r="AE42" i="60"/>
  <c r="AE38" i="60"/>
  <c r="BA38" i="60" s="1"/>
  <c r="AE10" i="60"/>
  <c r="BA10" i="60" s="1"/>
  <c r="AE41" i="60"/>
  <c r="BA41" i="60" s="1"/>
  <c r="AE27" i="60"/>
  <c r="AE28" i="60"/>
  <c r="AE29" i="60"/>
  <c r="BA8" i="60"/>
  <c r="AF8" i="60"/>
  <c r="AE17" i="60"/>
  <c r="AE26" i="60"/>
  <c r="AE24" i="60"/>
  <c r="AE20" i="60"/>
  <c r="AP20" i="60" s="1"/>
  <c r="AE19" i="60"/>
  <c r="AE18" i="60"/>
  <c r="AE14" i="60"/>
  <c r="AE43" i="60"/>
  <c r="AE30" i="60"/>
  <c r="AP30" i="60" s="1"/>
  <c r="BI136" i="60"/>
  <c r="AX136" i="60"/>
  <c r="AO13" i="60"/>
  <c r="BI137" i="60"/>
  <c r="AO35" i="60"/>
  <c r="AO15" i="60"/>
  <c r="AO42" i="60"/>
  <c r="AO30" i="60"/>
  <c r="AO32" i="60"/>
  <c r="AO10" i="60"/>
  <c r="AO11" i="60"/>
  <c r="D77" i="60"/>
  <c r="F76" i="60"/>
  <c r="I76" i="60" s="1"/>
  <c r="J76" i="60" s="1"/>
  <c r="AO38" i="60"/>
  <c r="AO21" i="60"/>
  <c r="AN195" i="60"/>
  <c r="BJ195" i="60" s="1"/>
  <c r="AN196" i="60"/>
  <c r="BJ196" i="60" s="1"/>
  <c r="AN163" i="60"/>
  <c r="BJ163" i="60" s="1"/>
  <c r="AN153" i="60"/>
  <c r="BJ153" i="60" s="1"/>
  <c r="AY134" i="60"/>
  <c r="BJ134" i="60" s="1"/>
  <c r="AN168" i="60"/>
  <c r="BJ168" i="60" s="1"/>
  <c r="AN178" i="60"/>
  <c r="BJ178" i="60" s="1"/>
  <c r="AN207" i="60"/>
  <c r="BJ207" i="60" s="1"/>
  <c r="AN185" i="60"/>
  <c r="BJ185" i="60" s="1"/>
  <c r="AN201" i="60"/>
  <c r="BJ201" i="60" s="1"/>
  <c r="AN151" i="60"/>
  <c r="BJ151" i="60" s="1"/>
  <c r="AN141" i="60"/>
  <c r="BJ141" i="60" s="1"/>
  <c r="AN181" i="60"/>
  <c r="BJ181" i="60" s="1"/>
  <c r="AN164" i="60"/>
  <c r="BJ164" i="60" s="1"/>
  <c r="AN154" i="60"/>
  <c r="BJ154" i="60" s="1"/>
  <c r="AN182" i="60"/>
  <c r="BJ182" i="60" s="1"/>
  <c r="AN142" i="60"/>
  <c r="BJ142" i="60" s="1"/>
  <c r="AN171" i="60"/>
  <c r="BJ171" i="60" s="1"/>
  <c r="AN203" i="60"/>
  <c r="BJ203" i="60" s="1"/>
  <c r="AN139" i="60"/>
  <c r="BJ139" i="60" s="1"/>
  <c r="AN179" i="60"/>
  <c r="BJ179" i="60" s="1"/>
  <c r="AN194" i="60"/>
  <c r="BJ194" i="60" s="1"/>
  <c r="AN149" i="60"/>
  <c r="BJ149" i="60" s="1"/>
  <c r="AN215" i="60"/>
  <c r="BJ215" i="60" s="1"/>
  <c r="AN137" i="60"/>
  <c r="AN162" i="60"/>
  <c r="BJ162" i="60" s="1"/>
  <c r="AN180" i="60"/>
  <c r="BJ180" i="60" s="1"/>
  <c r="AN140" i="60"/>
  <c r="AN135" i="60"/>
  <c r="BJ135" i="60" s="1"/>
  <c r="AN159" i="60"/>
  <c r="BJ159" i="60" s="1"/>
  <c r="AN150" i="60"/>
  <c r="BJ150" i="60" s="1"/>
  <c r="AN188" i="60"/>
  <c r="BJ188" i="60" s="1"/>
  <c r="AN184" i="60"/>
  <c r="BJ184" i="60" s="1"/>
  <c r="AN186" i="60"/>
  <c r="BJ186" i="60" s="1"/>
  <c r="AN192" i="60"/>
  <c r="BJ192" i="60" s="1"/>
  <c r="AN143" i="60"/>
  <c r="BJ143" i="60" s="1"/>
  <c r="AN170" i="60"/>
  <c r="BJ170" i="60" s="1"/>
  <c r="AN190" i="60"/>
  <c r="BJ190" i="60" s="1"/>
  <c r="AN167" i="60"/>
  <c r="BJ167" i="60" s="1"/>
  <c r="AN172" i="60"/>
  <c r="BJ172" i="60" s="1"/>
  <c r="AN165" i="60"/>
  <c r="BJ165" i="60" s="1"/>
  <c r="AN148" i="60"/>
  <c r="BJ148" i="60" s="1"/>
  <c r="AN158" i="60"/>
  <c r="BJ158" i="60" s="1"/>
  <c r="AN155" i="60"/>
  <c r="BJ155" i="60" s="1"/>
  <c r="AN211" i="60"/>
  <c r="BJ211" i="60" s="1"/>
  <c r="AN197" i="60"/>
  <c r="BJ197" i="60" s="1"/>
  <c r="AN145" i="60"/>
  <c r="BJ145" i="60" s="1"/>
  <c r="AN144" i="60"/>
  <c r="BJ144" i="60" s="1"/>
  <c r="AN166" i="60"/>
  <c r="BJ166" i="60" s="1"/>
  <c r="AN213" i="60"/>
  <c r="BJ213" i="60" s="1"/>
  <c r="AN199" i="60"/>
  <c r="BJ199" i="60" s="1"/>
  <c r="AN187" i="60"/>
  <c r="BJ187" i="60" s="1"/>
  <c r="AN212" i="60"/>
  <c r="BJ212" i="60" s="1"/>
  <c r="AN152" i="60"/>
  <c r="BJ152" i="60" s="1"/>
  <c r="AN193" i="60"/>
  <c r="BJ193" i="60" s="1"/>
  <c r="AN175" i="60"/>
  <c r="BJ175" i="60" s="1"/>
  <c r="AN205" i="60"/>
  <c r="BJ205" i="60" s="1"/>
  <c r="AN156" i="60"/>
  <c r="BJ156" i="60" s="1"/>
  <c r="AN204" i="60"/>
  <c r="BJ204" i="60" s="1"/>
  <c r="AN191" i="60"/>
  <c r="BJ191" i="60" s="1"/>
  <c r="AN198" i="60"/>
  <c r="BJ198" i="60" s="1"/>
  <c r="AN176" i="60"/>
  <c r="BJ176" i="60" s="1"/>
  <c r="AN202" i="60"/>
  <c r="BJ202" i="60" s="1"/>
  <c r="AN173" i="60"/>
  <c r="BJ173" i="60" s="1"/>
  <c r="AN157" i="60"/>
  <c r="BJ157" i="60" s="1"/>
  <c r="AN208" i="60"/>
  <c r="BJ208" i="60" s="1"/>
  <c r="AN200" i="60"/>
  <c r="BJ200" i="60" s="1"/>
  <c r="AN161" i="60"/>
  <c r="BJ161" i="60" s="1"/>
  <c r="AN183" i="60"/>
  <c r="BJ183" i="60" s="1"/>
  <c r="AN169" i="60"/>
  <c r="BJ169" i="60" s="1"/>
  <c r="AN138" i="60"/>
  <c r="BJ138" i="60" s="1"/>
  <c r="AN160" i="60"/>
  <c r="BJ160" i="60" s="1"/>
  <c r="AN189" i="60"/>
  <c r="BJ189" i="60" s="1"/>
  <c r="AN214" i="60"/>
  <c r="BJ214" i="60" s="1"/>
  <c r="AN174" i="60"/>
  <c r="BJ174" i="60" s="1"/>
  <c r="AO134" i="60"/>
  <c r="AN177" i="60"/>
  <c r="BJ177" i="60" s="1"/>
  <c r="AN146" i="60"/>
  <c r="BJ146" i="60" s="1"/>
  <c r="AN206" i="60"/>
  <c r="BJ206" i="60" s="1"/>
  <c r="AN209" i="60"/>
  <c r="BJ209" i="60" s="1"/>
  <c r="AN136" i="60"/>
  <c r="BJ136" i="60" s="1"/>
  <c r="AN210" i="60"/>
  <c r="BJ210" i="60" s="1"/>
  <c r="AN147" i="60"/>
  <c r="BJ147" i="60" s="1"/>
  <c r="BI138" i="60"/>
  <c r="AX138" i="60"/>
  <c r="AO39" i="60"/>
  <c r="AO40" i="60"/>
  <c r="AO26" i="60"/>
  <c r="AO33" i="60"/>
  <c r="AO43" i="60"/>
  <c r="AO14" i="60"/>
  <c r="J97" i="60"/>
  <c r="F97" i="60"/>
  <c r="I97" i="60" s="1"/>
  <c r="D98" i="60"/>
  <c r="BI135" i="60"/>
  <c r="AX135" i="60"/>
  <c r="AO12" i="60"/>
  <c r="AO24" i="60"/>
  <c r="T43" i="80"/>
  <c r="V41" i="80"/>
  <c r="P51" i="80"/>
  <c r="N55" i="80"/>
  <c r="N53" i="80"/>
  <c r="N52" i="80"/>
  <c r="N54" i="80"/>
  <c r="N21" i="80"/>
  <c r="N8" i="80"/>
  <c r="N9" i="80" s="1"/>
  <c r="N11" i="80" s="1"/>
  <c r="N13" i="80" s="1"/>
  <c r="P5" i="80"/>
  <c r="O48" i="26"/>
  <c r="Q41" i="3"/>
  <c r="X188" i="92"/>
  <c r="D114" i="44"/>
  <c r="P186" i="57"/>
  <c r="D5" i="52"/>
  <c r="W45" i="76"/>
  <c r="P181" i="57"/>
  <c r="W39" i="76"/>
  <c r="D63" i="70"/>
  <c r="R166" i="91"/>
  <c r="D28" i="25"/>
  <c r="D94" i="10"/>
  <c r="D68" i="70"/>
  <c r="P175" i="57"/>
  <c r="Q16" i="11"/>
  <c r="M26" i="11" s="1"/>
  <c r="K5" i="53"/>
  <c r="L27" i="53" s="1"/>
  <c r="K27" i="53" s="1"/>
  <c r="P75" i="25"/>
  <c r="V181" i="57"/>
  <c r="G34" i="25"/>
  <c r="G39" i="25"/>
  <c r="X193" i="92"/>
  <c r="E27" i="70"/>
  <c r="A193" i="92"/>
  <c r="AA12" i="11"/>
  <c r="E33" i="86" s="1"/>
  <c r="D120" i="44"/>
  <c r="I42" i="70"/>
  <c r="G30" i="70"/>
  <c r="D125" i="44"/>
  <c r="I26" i="70"/>
  <c r="G47" i="70"/>
  <c r="D116" i="47"/>
  <c r="G42" i="70"/>
  <c r="D34" i="25"/>
  <c r="X176" i="92"/>
  <c r="E50" i="60"/>
  <c r="A50" i="60" s="1"/>
  <c r="M114" i="60"/>
  <c r="E92" i="60"/>
  <c r="A92" i="60" s="1"/>
  <c r="A273" i="36"/>
  <c r="D287" i="10"/>
  <c r="D283" i="10"/>
  <c r="A21" i="36"/>
  <c r="D275" i="10"/>
  <c r="AB4" i="114"/>
  <c r="AD8" i="113" s="1"/>
  <c r="BE7" i="114"/>
  <c r="BI7" i="114" s="1"/>
  <c r="BI6" i="114"/>
  <c r="BN6" i="114" s="1"/>
  <c r="BJ6" i="114"/>
  <c r="BO6" i="114" s="1"/>
  <c r="BH6" i="114"/>
  <c r="BM6" i="114" s="1"/>
  <c r="BG6" i="114"/>
  <c r="BL6" i="114" s="1"/>
  <c r="G146" i="30"/>
  <c r="E52" i="60"/>
  <c r="A52" i="60" s="1"/>
  <c r="E53" i="68"/>
  <c r="A53" i="68" s="1"/>
  <c r="L13" i="68"/>
  <c r="U15" i="68"/>
  <c r="L15" i="68" s="1"/>
  <c r="Y55" i="3"/>
  <c r="E18" i="115"/>
  <c r="E23" i="115" s="1"/>
  <c r="Y56" i="3"/>
  <c r="F18" i="115"/>
  <c r="F23" i="115" s="1"/>
  <c r="Q40" i="3"/>
  <c r="R193" i="92"/>
  <c r="H146" i="30"/>
  <c r="Q157" i="30"/>
  <c r="L9" i="68"/>
  <c r="L14" i="68"/>
  <c r="U19" i="68"/>
  <c r="L19" i="68" s="1"/>
  <c r="Q154" i="30"/>
  <c r="Q158" i="30"/>
  <c r="Q155" i="30"/>
  <c r="Q156" i="30"/>
  <c r="L12" i="68"/>
  <c r="U17" i="68"/>
  <c r="U27" i="68" s="1"/>
  <c r="E51" i="68"/>
  <c r="A51" i="68" s="1"/>
  <c r="I146" i="30"/>
  <c r="E52" i="68"/>
  <c r="A52" i="68" s="1"/>
  <c r="U16" i="68"/>
  <c r="L16" i="68" s="1"/>
  <c r="S20" i="45"/>
  <c r="R84" i="45"/>
  <c r="S21" i="45"/>
  <c r="I33" i="93"/>
  <c r="K96" i="60"/>
  <c r="E95" i="60"/>
  <c r="E74" i="60"/>
  <c r="A74" i="60" s="1"/>
  <c r="E94" i="60"/>
  <c r="E73" i="60"/>
  <c r="A73" i="60" s="1"/>
  <c r="S153" i="57"/>
  <c r="S156" i="57"/>
  <c r="S154" i="57"/>
  <c r="S157" i="57"/>
  <c r="M115" i="60"/>
  <c r="S155" i="57"/>
  <c r="J72" i="60"/>
  <c r="E93" i="60"/>
  <c r="E51" i="60"/>
  <c r="A51" i="60" s="1"/>
  <c r="P366" i="36"/>
  <c r="A366" i="36" s="1"/>
  <c r="D313" i="10"/>
  <c r="A291" i="36"/>
  <c r="P371" i="36"/>
  <c r="A371" i="36" s="1"/>
  <c r="K112" i="51"/>
  <c r="I112" i="51"/>
  <c r="I116" i="51" s="1"/>
  <c r="T150" i="24"/>
  <c r="T151" i="24"/>
  <c r="F143" i="24"/>
  <c r="V148" i="24" s="1"/>
  <c r="T148" i="24"/>
  <c r="F156" i="68"/>
  <c r="H156" i="68"/>
  <c r="D157" i="68"/>
  <c r="E156" i="68"/>
  <c r="F115" i="68"/>
  <c r="D116" i="68"/>
  <c r="H115" i="68"/>
  <c r="E115" i="68"/>
  <c r="G114" i="68"/>
  <c r="I114" i="68" s="1"/>
  <c r="H112" i="51"/>
  <c r="J112" i="51"/>
  <c r="J112" i="52"/>
  <c r="H112" i="52"/>
  <c r="I112" i="52"/>
  <c r="I116" i="52" s="1"/>
  <c r="F54" i="60"/>
  <c r="J54" i="60" s="1"/>
  <c r="L54" i="60" s="1"/>
  <c r="D55" i="60"/>
  <c r="E54" i="60"/>
  <c r="A54" i="60" s="1"/>
  <c r="G25" i="28"/>
  <c r="G41" i="28"/>
  <c r="G16" i="28"/>
  <c r="H16" i="28" s="1"/>
  <c r="O55" i="26"/>
  <c r="T152" i="24"/>
  <c r="T149" i="24"/>
  <c r="A30" i="93"/>
  <c r="I29" i="94"/>
  <c r="A33" i="4"/>
  <c r="E32" i="4"/>
  <c r="A36" i="4"/>
  <c r="A35" i="4"/>
  <c r="A34" i="4"/>
  <c r="G13" i="4"/>
  <c r="I25" i="4"/>
  <c r="J25" i="4" s="1"/>
  <c r="G12" i="4"/>
  <c r="G20" i="4"/>
  <c r="G19" i="4"/>
  <c r="H23" i="4" s="1"/>
  <c r="G22" i="4"/>
  <c r="G32" i="4" s="1"/>
  <c r="G36" i="4" s="1"/>
  <c r="G37" i="4" s="1"/>
  <c r="I9" i="4"/>
  <c r="I19" i="4" s="1"/>
  <c r="O14" i="12"/>
  <c r="D78" i="10"/>
  <c r="H13" i="4"/>
  <c r="J75" i="60"/>
  <c r="H222" i="10"/>
  <c r="A76" i="60"/>
  <c r="A69" i="70"/>
  <c r="B69" i="70" s="1"/>
  <c r="A70" i="70"/>
  <c r="B70" i="70" s="1"/>
  <c r="A71" i="70"/>
  <c r="B71" i="70" s="1"/>
  <c r="A67" i="70"/>
  <c r="B67" i="70" s="1"/>
  <c r="B68" i="70"/>
  <c r="K11" i="7" a="1"/>
  <c r="K11" i="7" s="1"/>
  <c r="G4" i="102"/>
  <c r="S4" i="102"/>
  <c r="H3" i="102"/>
  <c r="T3" i="102"/>
  <c r="V2" i="102"/>
  <c r="L10" i="7" a="1"/>
  <c r="L10" i="7" s="1"/>
  <c r="L111" i="36"/>
  <c r="K129" i="36"/>
  <c r="A129" i="36" s="1"/>
  <c r="G112" i="52"/>
  <c r="AJ5" i="114"/>
  <c r="AT5" i="114" s="1"/>
  <c r="AE5" i="114"/>
  <c r="K111" i="36"/>
  <c r="D293" i="10" s="1"/>
  <c r="L129" i="36"/>
  <c r="P370" i="36"/>
  <c r="A370" i="36" s="1"/>
  <c r="H32" i="4"/>
  <c r="H36" i="4" s="1"/>
  <c r="H37" i="4" s="1"/>
  <c r="U26" i="60"/>
  <c r="U31" i="60" s="1"/>
  <c r="U36" i="60" s="1"/>
  <c r="U41" i="60" s="1"/>
  <c r="U21" i="60"/>
  <c r="BB4" i="114"/>
  <c r="AY4" i="114"/>
  <c r="AN5" i="114"/>
  <c r="AU5" i="114" s="1"/>
  <c r="AM5" i="114"/>
  <c r="BC5" i="114" s="1"/>
  <c r="AA4" i="114"/>
  <c r="AC8" i="113" s="1"/>
  <c r="AL5" i="114"/>
  <c r="N5" i="114"/>
  <c r="W5" i="114" s="1"/>
  <c r="M5" i="114"/>
  <c r="T5" i="114" s="1"/>
  <c r="AG5" i="114"/>
  <c r="AV5" i="114" s="1"/>
  <c r="AD6" i="114"/>
  <c r="AO5" i="114"/>
  <c r="AX5" i="114" s="1"/>
  <c r="M101" i="46"/>
  <c r="U155" i="92"/>
  <c r="E7" i="93"/>
  <c r="A7" i="93" s="1"/>
  <c r="E49" i="93"/>
  <c r="A49" i="93" s="1"/>
  <c r="U157" i="92"/>
  <c r="U156" i="92"/>
  <c r="M71" i="93"/>
  <c r="U154" i="92"/>
  <c r="U153" i="92"/>
  <c r="E28" i="93"/>
  <c r="G147" i="92"/>
  <c r="AM9" i="68"/>
  <c r="F29" i="115"/>
  <c r="F28" i="115" s="1"/>
  <c r="E29" i="115"/>
  <c r="E28" i="115" s="1"/>
  <c r="AH5" i="114"/>
  <c r="O5" i="114"/>
  <c r="AC5" i="114" s="1"/>
  <c r="AE9" i="113" s="1"/>
  <c r="AK5" i="114"/>
  <c r="AW5" i="114" s="1"/>
  <c r="D158" i="10"/>
  <c r="D159" i="10"/>
  <c r="E158" i="10"/>
  <c r="A32" i="93"/>
  <c r="I32" i="93"/>
  <c r="AP5" i="114"/>
  <c r="L147" i="91"/>
  <c r="A29" i="93"/>
  <c r="I29" i="93"/>
  <c r="P5" i="114"/>
  <c r="AM32" i="68"/>
  <c r="D5" i="114"/>
  <c r="X9" i="113" s="1"/>
  <c r="E5" i="114"/>
  <c r="R5" i="114" s="1"/>
  <c r="N9" i="113" s="1"/>
  <c r="AM35" i="68"/>
  <c r="A71" i="60"/>
  <c r="J71" i="60"/>
  <c r="F5" i="114"/>
  <c r="U5" i="114" s="1"/>
  <c r="Q9" i="113" s="1"/>
  <c r="AM16" i="68"/>
  <c r="X152" i="86"/>
  <c r="X151" i="86"/>
  <c r="X149" i="86"/>
  <c r="E109" i="10"/>
  <c r="X150" i="86"/>
  <c r="X148" i="86"/>
  <c r="G5" i="114"/>
  <c r="AF5" i="114"/>
  <c r="AS5" i="114" s="1"/>
  <c r="C6" i="114"/>
  <c r="M6" i="114" s="1"/>
  <c r="A66" i="70"/>
  <c r="B66" i="70" s="1"/>
  <c r="A64" i="70"/>
  <c r="B64" i="70" s="1"/>
  <c r="A65" i="70"/>
  <c r="B65" i="70" s="1"/>
  <c r="B63" i="70"/>
  <c r="F109" i="10"/>
  <c r="X150" i="87"/>
  <c r="X148" i="87"/>
  <c r="X152" i="87"/>
  <c r="X151" i="87"/>
  <c r="X149" i="87"/>
  <c r="BA4" i="114"/>
  <c r="I5" i="114"/>
  <c r="S5" i="114" s="1"/>
  <c r="O9" i="113" s="1"/>
  <c r="Y4" i="114"/>
  <c r="AA8" i="113" s="1"/>
  <c r="J5" i="114"/>
  <c r="L5" i="114"/>
  <c r="AB5" i="114" s="1"/>
  <c r="AD9" i="113" s="1"/>
  <c r="AQ5" i="114"/>
  <c r="BD5" i="114" s="1"/>
  <c r="F158" i="10"/>
  <c r="A31" i="93"/>
  <c r="I31" i="93"/>
  <c r="U135" i="27"/>
  <c r="T134" i="27"/>
  <c r="A134" i="27"/>
  <c r="I240" i="10"/>
  <c r="I242" i="10"/>
  <c r="I239" i="10"/>
  <c r="G158" i="10"/>
  <c r="D137" i="68"/>
  <c r="F136" i="68"/>
  <c r="I136" i="68" s="1"/>
  <c r="K136" i="68" s="1"/>
  <c r="E136" i="68"/>
  <c r="G73" i="68"/>
  <c r="I73" i="68" s="1"/>
  <c r="AM42" i="68"/>
  <c r="AX14" i="68"/>
  <c r="AM11" i="68"/>
  <c r="AM10" i="68"/>
  <c r="AM33" i="68"/>
  <c r="U28" i="68"/>
  <c r="L18" i="68"/>
  <c r="U23" i="68"/>
  <c r="L23" i="68" s="1"/>
  <c r="AM34" i="68"/>
  <c r="E55" i="68"/>
  <c r="A55" i="68" s="1"/>
  <c r="F55" i="68"/>
  <c r="I55" i="68" s="1"/>
  <c r="K55" i="68" s="1"/>
  <c r="L97" i="84" s="1"/>
  <c r="D56" i="68"/>
  <c r="AM13" i="68"/>
  <c r="AX25" i="68"/>
  <c r="AM25" i="68"/>
  <c r="K96" i="84"/>
  <c r="K94" i="84"/>
  <c r="L24" i="68"/>
  <c r="U29" i="68"/>
  <c r="AM20" i="68"/>
  <c r="AM18" i="68"/>
  <c r="AC18" i="68"/>
  <c r="AY18" i="68" s="1"/>
  <c r="AC27" i="68"/>
  <c r="AY27" i="68" s="1"/>
  <c r="AC28" i="68"/>
  <c r="AY28" i="68" s="1"/>
  <c r="AC25" i="68"/>
  <c r="AY25" i="68" s="1"/>
  <c r="AC12" i="68"/>
  <c r="AY12" i="68" s="1"/>
  <c r="AC40" i="68"/>
  <c r="AC16" i="68"/>
  <c r="AC23" i="68"/>
  <c r="AC24" i="68"/>
  <c r="AY24" i="68" s="1"/>
  <c r="AC38" i="68"/>
  <c r="AY38" i="68" s="1"/>
  <c r="AC19" i="68"/>
  <c r="AN19" i="68" s="1"/>
  <c r="AC36" i="68"/>
  <c r="AY36" i="68" s="1"/>
  <c r="AC29" i="68"/>
  <c r="AY29" i="68" s="1"/>
  <c r="AC30" i="68"/>
  <c r="AY30" i="68" s="1"/>
  <c r="AD8" i="68"/>
  <c r="AC10" i="68"/>
  <c r="AY10" i="68" s="1"/>
  <c r="AC14" i="68"/>
  <c r="AY14" i="68" s="1"/>
  <c r="AC37" i="68"/>
  <c r="AY37" i="68" s="1"/>
  <c r="AC35" i="68"/>
  <c r="AY8" i="68"/>
  <c r="AC13" i="68"/>
  <c r="AC22" i="68"/>
  <c r="AC41" i="68"/>
  <c r="AY41" i="68" s="1"/>
  <c r="AC43" i="68"/>
  <c r="AY43" i="68" s="1"/>
  <c r="AC21" i="68"/>
  <c r="AY21" i="68" s="1"/>
  <c r="AC42" i="68"/>
  <c r="AC33" i="68"/>
  <c r="AY33" i="68" s="1"/>
  <c r="AC32" i="68"/>
  <c r="AN32" i="68" s="1"/>
  <c r="AC20" i="68"/>
  <c r="AC31" i="68"/>
  <c r="AY31" i="68" s="1"/>
  <c r="AC17" i="68"/>
  <c r="AN17" i="68" s="1"/>
  <c r="AC15" i="68"/>
  <c r="AY15" i="68" s="1"/>
  <c r="AC26" i="68"/>
  <c r="AY26" i="68" s="1"/>
  <c r="AC9" i="68"/>
  <c r="AN9" i="68" s="1"/>
  <c r="AC34" i="68"/>
  <c r="AY34" i="68" s="1"/>
  <c r="AC11" i="68"/>
  <c r="AN11" i="68" s="1"/>
  <c r="AC39" i="68"/>
  <c r="AY39" i="68" s="1"/>
  <c r="AM41" i="68"/>
  <c r="AM19" i="68"/>
  <c r="AM30" i="68"/>
  <c r="AM28" i="68"/>
  <c r="E74" i="68"/>
  <c r="A74" i="68" s="1"/>
  <c r="H74" i="68"/>
  <c r="F74" i="68"/>
  <c r="D75" i="68"/>
  <c r="AM17" i="68"/>
  <c r="AM37" i="68"/>
  <c r="AM14" i="68"/>
  <c r="AM27" i="68"/>
  <c r="AM36" i="68"/>
  <c r="AM21" i="68"/>
  <c r="AX22" i="68"/>
  <c r="AM22" i="68"/>
  <c r="AM26" i="68"/>
  <c r="AM38" i="68"/>
  <c r="AX23" i="68"/>
  <c r="AM23" i="68"/>
  <c r="AM12" i="68"/>
  <c r="AM15" i="68"/>
  <c r="AM29" i="68"/>
  <c r="AM39" i="68"/>
  <c r="AX40" i="68"/>
  <c r="AM24" i="68"/>
  <c r="AM43" i="68"/>
  <c r="AM31" i="68"/>
  <c r="I145" i="84"/>
  <c r="I146" i="84"/>
  <c r="J145" i="84"/>
  <c r="J146" i="84"/>
  <c r="G146" i="84"/>
  <c r="G145" i="84"/>
  <c r="H145" i="84"/>
  <c r="H146" i="84"/>
  <c r="I122" i="10"/>
  <c r="I125" i="10"/>
  <c r="I218" i="10"/>
  <c r="I132" i="10"/>
  <c r="I212" i="10"/>
  <c r="I118" i="10"/>
  <c r="I221" i="10"/>
  <c r="I220" i="10"/>
  <c r="I216" i="10"/>
  <c r="I237" i="10"/>
  <c r="I154" i="10"/>
  <c r="I232" i="10"/>
  <c r="I120" i="10"/>
  <c r="I229" i="10"/>
  <c r="I130" i="10"/>
  <c r="I124" i="10"/>
  <c r="I161" i="10"/>
  <c r="I127" i="10"/>
  <c r="I215" i="10"/>
  <c r="I165" i="10"/>
  <c r="I152" i="10"/>
  <c r="I129" i="10"/>
  <c r="I230" i="10"/>
  <c r="I187" i="10"/>
  <c r="I181" i="10"/>
  <c r="I153" i="10"/>
  <c r="I236" i="10"/>
  <c r="I121" i="10"/>
  <c r="I185" i="10"/>
  <c r="I184" i="10"/>
  <c r="I128" i="10"/>
  <c r="I156" i="10"/>
  <c r="I188" i="10"/>
  <c r="I217" i="10"/>
  <c r="I157" i="10"/>
  <c r="I159" i="10" s="1"/>
  <c r="I123" i="10"/>
  <c r="I214" i="10"/>
  <c r="I119" i="10"/>
  <c r="I155" i="10"/>
  <c r="I166" i="10"/>
  <c r="I177" i="10"/>
  <c r="I189" i="10"/>
  <c r="I213" i="10"/>
  <c r="I133" i="10"/>
  <c r="I167" i="10"/>
  <c r="I175" i="10" s="1"/>
  <c r="I238" i="10"/>
  <c r="I176" i="10"/>
  <c r="I168" i="10"/>
  <c r="I219" i="10"/>
  <c r="I233" i="10"/>
  <c r="I126" i="10"/>
  <c r="I234" i="10"/>
  <c r="I162" i="10"/>
  <c r="I235" i="10"/>
  <c r="I131" i="10"/>
  <c r="H158" i="10"/>
  <c r="H159" i="10"/>
  <c r="H169" i="10"/>
  <c r="I151" i="10"/>
  <c r="H191" i="10"/>
  <c r="H194" i="10"/>
  <c r="H193" i="10"/>
  <c r="G96" i="91"/>
  <c r="G98" i="91"/>
  <c r="H96" i="91"/>
  <c r="H98" i="91"/>
  <c r="H145" i="91" s="1"/>
  <c r="A31" i="94"/>
  <c r="I31" i="94"/>
  <c r="A32" i="94"/>
  <c r="I32" i="94"/>
  <c r="A28" i="94"/>
  <c r="I28" i="94"/>
  <c r="E54" i="94"/>
  <c r="A54" i="94" s="1"/>
  <c r="E33" i="94"/>
  <c r="E12" i="94"/>
  <c r="A12" i="94" s="1"/>
  <c r="A30" i="94"/>
  <c r="I30" i="94"/>
  <c r="V4" i="114"/>
  <c r="R8" i="113" s="1"/>
  <c r="U4" i="114"/>
  <c r="Q8" i="113" s="1"/>
  <c r="R4" i="114"/>
  <c r="N8" i="113" s="1"/>
  <c r="X8" i="113"/>
  <c r="AT4" i="114"/>
  <c r="AW4" i="114"/>
  <c r="AV4" i="114"/>
  <c r="AX4" i="114"/>
  <c r="AJ6" i="114"/>
  <c r="AT6" i="114" s="1"/>
  <c r="AP6" i="114"/>
  <c r="BA6" i="114" s="1"/>
  <c r="AN6" i="114"/>
  <c r="AM6" i="114"/>
  <c r="AH6" i="114"/>
  <c r="AY6" i="114" s="1"/>
  <c r="AK6" i="114"/>
  <c r="AI6" i="114"/>
  <c r="AL6" i="114"/>
  <c r="AG6" i="114"/>
  <c r="AD7" i="114"/>
  <c r="AF6" i="114"/>
  <c r="AS6" i="114" s="1"/>
  <c r="AQ6" i="114"/>
  <c r="AZ5" i="114"/>
  <c r="BA5" i="114"/>
  <c r="BB5" i="114"/>
  <c r="AY5" i="114"/>
  <c r="AE8" i="113"/>
  <c r="X5" i="114" a="1"/>
  <c r="X5" i="114" s="1"/>
  <c r="Z9" i="113" s="1"/>
  <c r="AA5" i="114"/>
  <c r="AC9" i="113" s="1"/>
  <c r="D21" i="14"/>
  <c r="E21" i="14"/>
  <c r="F21" i="14"/>
  <c r="G21" i="14"/>
  <c r="H21" i="14"/>
  <c r="K21" i="14"/>
  <c r="M21" i="14"/>
  <c r="B22" i="14"/>
  <c r="L21" i="14"/>
  <c r="N21" i="14"/>
  <c r="E6" i="114"/>
  <c r="F6" i="114"/>
  <c r="G6" i="114"/>
  <c r="C7" i="114"/>
  <c r="H6" i="114"/>
  <c r="I6" i="114"/>
  <c r="J6" i="114"/>
  <c r="K6" i="114"/>
  <c r="L6" i="114"/>
  <c r="Y5" i="114"/>
  <c r="AA9" i="113" s="1"/>
  <c r="G46" i="70" l="1"/>
  <c r="G27" i="70"/>
  <c r="D116" i="51"/>
  <c r="A181" i="57"/>
  <c r="I47" i="70"/>
  <c r="I35" i="70"/>
  <c r="A186" i="57"/>
  <c r="I27" i="70"/>
  <c r="J125" i="44"/>
  <c r="H76" i="70" s="1"/>
  <c r="I41" i="70"/>
  <c r="D5" i="47"/>
  <c r="A34" i="25"/>
  <c r="J120" i="44"/>
  <c r="H71" i="70" s="1"/>
  <c r="W32" i="76"/>
  <c r="H5" i="53"/>
  <c r="I27" i="53" s="1"/>
  <c r="H27" i="53" s="1"/>
  <c r="A45" i="76"/>
  <c r="V186" i="57"/>
  <c r="W50" i="76"/>
  <c r="D116" i="52"/>
  <c r="D39" i="25"/>
  <c r="A188" i="92"/>
  <c r="A120" i="44"/>
  <c r="I46" i="70"/>
  <c r="E5" i="53"/>
  <c r="F27" i="53" s="1"/>
  <c r="G27" i="53" s="1"/>
  <c r="I43" i="70"/>
  <c r="R188" i="92"/>
  <c r="M23" i="11"/>
  <c r="D35" i="25" s="1"/>
  <c r="I30" i="70"/>
  <c r="E26" i="70"/>
  <c r="G26" i="70"/>
  <c r="AC50" i="76"/>
  <c r="A50" i="76"/>
  <c r="M24" i="11"/>
  <c r="W47" i="76" s="1"/>
  <c r="F95" i="68"/>
  <c r="I95" i="68" s="1"/>
  <c r="K95" i="68" s="1"/>
  <c r="D96" i="68"/>
  <c r="E95" i="68"/>
  <c r="A95" i="68" s="1"/>
  <c r="AK140" i="60"/>
  <c r="BG140" i="60" s="1"/>
  <c r="V141" i="60"/>
  <c r="A140" i="60"/>
  <c r="AJ140" i="60"/>
  <c r="AL140" i="60"/>
  <c r="BH140" i="60" s="1"/>
  <c r="BF139" i="60"/>
  <c r="AV139" i="60"/>
  <c r="AU139" i="60"/>
  <c r="AW139" i="60"/>
  <c r="D119" i="60"/>
  <c r="E118" i="60"/>
  <c r="AX139" i="60"/>
  <c r="K117" i="60"/>
  <c r="M117" i="60" s="1"/>
  <c r="G117" i="60"/>
  <c r="A117" i="60"/>
  <c r="BC6" i="114"/>
  <c r="D18" i="115"/>
  <c r="D23" i="115" s="1"/>
  <c r="G23" i="115" s="1"/>
  <c r="M27" i="53"/>
  <c r="AC45" i="76"/>
  <c r="G35" i="70"/>
  <c r="D5" i="51"/>
  <c r="M27" i="11"/>
  <c r="M25" i="11"/>
  <c r="A125" i="44"/>
  <c r="G43" i="70"/>
  <c r="AY135" i="60"/>
  <c r="X191" i="92"/>
  <c r="X123" i="44"/>
  <c r="AC43" i="76"/>
  <c r="S191" i="92"/>
  <c r="T118" i="44"/>
  <c r="X43" i="76"/>
  <c r="R191" i="92"/>
  <c r="W112" i="44"/>
  <c r="A43" i="76"/>
  <c r="A191" i="92"/>
  <c r="V184" i="57"/>
  <c r="W123" i="44"/>
  <c r="Q184" i="57"/>
  <c r="J118" i="44"/>
  <c r="S186" i="92"/>
  <c r="A123" i="44"/>
  <c r="T112" i="44"/>
  <c r="E118" i="44"/>
  <c r="X37" i="76"/>
  <c r="J123" i="44"/>
  <c r="A48" i="76"/>
  <c r="V118" i="44"/>
  <c r="V173" i="57"/>
  <c r="S180" i="92"/>
  <c r="Q173" i="57"/>
  <c r="X112" i="44"/>
  <c r="P184" i="57"/>
  <c r="V112" i="44"/>
  <c r="W48" i="76"/>
  <c r="A184" i="57"/>
  <c r="V123" i="44"/>
  <c r="U112" i="44"/>
  <c r="A37" i="76"/>
  <c r="X186" i="92"/>
  <c r="U123" i="44"/>
  <c r="A186" i="92"/>
  <c r="V179" i="57"/>
  <c r="A118" i="44"/>
  <c r="T123" i="44"/>
  <c r="A180" i="92"/>
  <c r="Q179" i="57"/>
  <c r="D123" i="44"/>
  <c r="J112" i="44"/>
  <c r="AC37" i="76"/>
  <c r="A173" i="57"/>
  <c r="X180" i="92"/>
  <c r="U118" i="44"/>
  <c r="E112" i="44"/>
  <c r="X118" i="44"/>
  <c r="A112" i="44"/>
  <c r="A179" i="57"/>
  <c r="AC48" i="76"/>
  <c r="D114" i="47"/>
  <c r="E123" i="44"/>
  <c r="X48" i="76"/>
  <c r="W118" i="44"/>
  <c r="AY138" i="60"/>
  <c r="K97" i="60"/>
  <c r="AP11" i="60"/>
  <c r="AP10" i="60"/>
  <c r="AP33" i="60"/>
  <c r="AP12" i="60"/>
  <c r="AP41" i="60"/>
  <c r="AP15" i="60"/>
  <c r="AY139" i="60"/>
  <c r="AP13" i="60"/>
  <c r="AP35" i="60"/>
  <c r="BA20" i="60"/>
  <c r="BA31" i="60"/>
  <c r="AP31" i="60"/>
  <c r="BA21" i="60"/>
  <c r="AP21" i="60"/>
  <c r="J98" i="60"/>
  <c r="F98" i="60"/>
  <c r="I98" i="60" s="1"/>
  <c r="E98" i="60"/>
  <c r="A98" i="60" s="1"/>
  <c r="D99" i="60"/>
  <c r="AP32" i="60"/>
  <c r="BA29" i="60"/>
  <c r="AP29" i="60"/>
  <c r="BA40" i="60"/>
  <c r="BJ140" i="60"/>
  <c r="BA27" i="60"/>
  <c r="AP27" i="60"/>
  <c r="BA22" i="60"/>
  <c r="AP22" i="60"/>
  <c r="AP134" i="60"/>
  <c r="AO192" i="60"/>
  <c r="BK192" i="60" s="1"/>
  <c r="AO164" i="60"/>
  <c r="BK164" i="60" s="1"/>
  <c r="AO207" i="60"/>
  <c r="BK207" i="60" s="1"/>
  <c r="AO179" i="60"/>
  <c r="BK179" i="60" s="1"/>
  <c r="AO201" i="60"/>
  <c r="BK201" i="60" s="1"/>
  <c r="AO197" i="60"/>
  <c r="BK197" i="60" s="1"/>
  <c r="AO167" i="60"/>
  <c r="BK167" i="60" s="1"/>
  <c r="AO154" i="60"/>
  <c r="BK154" i="60" s="1"/>
  <c r="AO165" i="60"/>
  <c r="BK165" i="60" s="1"/>
  <c r="AO142" i="60"/>
  <c r="BK142" i="60" s="1"/>
  <c r="AO173" i="60"/>
  <c r="BK173" i="60" s="1"/>
  <c r="AO210" i="60"/>
  <c r="BK210" i="60" s="1"/>
  <c r="AO168" i="60"/>
  <c r="BK168" i="60" s="1"/>
  <c r="AO184" i="60"/>
  <c r="BK184" i="60" s="1"/>
  <c r="AO152" i="60"/>
  <c r="BK152" i="60" s="1"/>
  <c r="AO187" i="60"/>
  <c r="BK187" i="60" s="1"/>
  <c r="AO185" i="60"/>
  <c r="BK185" i="60" s="1"/>
  <c r="AO139" i="60"/>
  <c r="AO204" i="60"/>
  <c r="BK204" i="60" s="1"/>
  <c r="AO183" i="60"/>
  <c r="BK183" i="60" s="1"/>
  <c r="AO214" i="60"/>
  <c r="BK214" i="60" s="1"/>
  <c r="AO163" i="60"/>
  <c r="BK163" i="60" s="1"/>
  <c r="AO169" i="60"/>
  <c r="BK169" i="60" s="1"/>
  <c r="AO140" i="60"/>
  <c r="AO145" i="60"/>
  <c r="BK145" i="60" s="1"/>
  <c r="AO213" i="60"/>
  <c r="BK213" i="60" s="1"/>
  <c r="AO150" i="60"/>
  <c r="BK150" i="60" s="1"/>
  <c r="AO181" i="60"/>
  <c r="BK181" i="60" s="1"/>
  <c r="AO180" i="60"/>
  <c r="BK180" i="60" s="1"/>
  <c r="AO160" i="60"/>
  <c r="BK160" i="60" s="1"/>
  <c r="AO205" i="60"/>
  <c r="BK205" i="60" s="1"/>
  <c r="AO176" i="60"/>
  <c r="BK176" i="60" s="1"/>
  <c r="AO143" i="60"/>
  <c r="BK143" i="60" s="1"/>
  <c r="AO206" i="60"/>
  <c r="BK206" i="60" s="1"/>
  <c r="AO203" i="60"/>
  <c r="BK203" i="60" s="1"/>
  <c r="AO170" i="60"/>
  <c r="BK170" i="60" s="1"/>
  <c r="AO198" i="60"/>
  <c r="BK198" i="60" s="1"/>
  <c r="AO149" i="60"/>
  <c r="BK149" i="60" s="1"/>
  <c r="AO162" i="60"/>
  <c r="BK162" i="60" s="1"/>
  <c r="AO178" i="60"/>
  <c r="BK178" i="60" s="1"/>
  <c r="AO138" i="60"/>
  <c r="AZ138" i="60" s="1"/>
  <c r="AO135" i="60"/>
  <c r="AO161" i="60"/>
  <c r="BK161" i="60" s="1"/>
  <c r="AZ134" i="60"/>
  <c r="BK134" i="60" s="1"/>
  <c r="AO157" i="60"/>
  <c r="BK157" i="60" s="1"/>
  <c r="AO158" i="60"/>
  <c r="BK158" i="60" s="1"/>
  <c r="AO196" i="60"/>
  <c r="BK196" i="60" s="1"/>
  <c r="AO146" i="60"/>
  <c r="BK146" i="60" s="1"/>
  <c r="AO200" i="60"/>
  <c r="BK200" i="60" s="1"/>
  <c r="AO182" i="60"/>
  <c r="BK182" i="60" s="1"/>
  <c r="AO193" i="60"/>
  <c r="BK193" i="60" s="1"/>
  <c r="AO212" i="60"/>
  <c r="BK212" i="60" s="1"/>
  <c r="AO148" i="60"/>
  <c r="BK148" i="60" s="1"/>
  <c r="AO215" i="60"/>
  <c r="BK215" i="60" s="1"/>
  <c r="AO194" i="60"/>
  <c r="BK194" i="60" s="1"/>
  <c r="AO199" i="60"/>
  <c r="BK199" i="60" s="1"/>
  <c r="AO189" i="60"/>
  <c r="BK189" i="60" s="1"/>
  <c r="AO174" i="60"/>
  <c r="BK174" i="60" s="1"/>
  <c r="AO202" i="60"/>
  <c r="BK202" i="60" s="1"/>
  <c r="AO153" i="60"/>
  <c r="BK153" i="60" s="1"/>
  <c r="AO177" i="60"/>
  <c r="BK177" i="60" s="1"/>
  <c r="AO155" i="60"/>
  <c r="BK155" i="60" s="1"/>
  <c r="AO208" i="60"/>
  <c r="BK208" i="60" s="1"/>
  <c r="AO211" i="60"/>
  <c r="BK211" i="60" s="1"/>
  <c r="AO188" i="60"/>
  <c r="BK188" i="60" s="1"/>
  <c r="AO175" i="60"/>
  <c r="BK175" i="60" s="1"/>
  <c r="AO171" i="60"/>
  <c r="BK171" i="60" s="1"/>
  <c r="AO144" i="60"/>
  <c r="BK144" i="60" s="1"/>
  <c r="AO136" i="60"/>
  <c r="AO195" i="60"/>
  <c r="BK195" i="60" s="1"/>
  <c r="AO151" i="60"/>
  <c r="BK151" i="60" s="1"/>
  <c r="AO141" i="60"/>
  <c r="AO137" i="60"/>
  <c r="AO166" i="60"/>
  <c r="BK166" i="60" s="1"/>
  <c r="AO172" i="60"/>
  <c r="BK172" i="60" s="1"/>
  <c r="AO190" i="60"/>
  <c r="BK190" i="60" s="1"/>
  <c r="AO191" i="60"/>
  <c r="BK191" i="60" s="1"/>
  <c r="AO147" i="60"/>
  <c r="BK147" i="60" s="1"/>
  <c r="AO186" i="60"/>
  <c r="BK186" i="60" s="1"/>
  <c r="AO209" i="60"/>
  <c r="BK209" i="60" s="1"/>
  <c r="AO159" i="60"/>
  <c r="BK159" i="60" s="1"/>
  <c r="AO156" i="60"/>
  <c r="BK156" i="60" s="1"/>
  <c r="BA36" i="60"/>
  <c r="AP36" i="60"/>
  <c r="BA9" i="60"/>
  <c r="AP9" i="60"/>
  <c r="BA37" i="60"/>
  <c r="AP37" i="60"/>
  <c r="BA24" i="60"/>
  <c r="AP24" i="60"/>
  <c r="AF28" i="60"/>
  <c r="BB28" i="60" s="1"/>
  <c r="AF33" i="60"/>
  <c r="AF22" i="60"/>
  <c r="BB22" i="60" s="1"/>
  <c r="AF13" i="60"/>
  <c r="AF34" i="60"/>
  <c r="BB34" i="60" s="1"/>
  <c r="BB8" i="60"/>
  <c r="AF9" i="60"/>
  <c r="BB9" i="60" s="1"/>
  <c r="AF41" i="60"/>
  <c r="AQ41" i="60" s="1"/>
  <c r="AF37" i="60"/>
  <c r="BB37" i="60" s="1"/>
  <c r="AF21" i="60"/>
  <c r="BB21" i="60" s="1"/>
  <c r="AF11" i="60"/>
  <c r="AF18" i="60"/>
  <c r="BB18" i="60" s="1"/>
  <c r="AF14" i="60"/>
  <c r="BB14" i="60" s="1"/>
  <c r="AF30" i="60"/>
  <c r="AF26" i="60"/>
  <c r="AF36" i="60"/>
  <c r="BB36" i="60" s="1"/>
  <c r="AF15" i="60"/>
  <c r="BB15" i="60" s="1"/>
  <c r="AF40" i="60"/>
  <c r="BB40" i="60" s="1"/>
  <c r="AF35" i="60"/>
  <c r="AF19" i="60"/>
  <c r="BB19" i="60" s="1"/>
  <c r="AF16" i="60"/>
  <c r="AF23" i="60"/>
  <c r="BB23" i="60" s="1"/>
  <c r="AG8" i="60"/>
  <c r="AF39" i="60"/>
  <c r="BB39" i="60" s="1"/>
  <c r="AF42" i="60"/>
  <c r="AF25" i="60"/>
  <c r="BB25" i="60" s="1"/>
  <c r="AF20" i="60"/>
  <c r="BB20" i="60" s="1"/>
  <c r="AF29" i="60"/>
  <c r="BB29" i="60" s="1"/>
  <c r="AF32" i="60"/>
  <c r="BB32" i="60" s="1"/>
  <c r="AF24" i="60"/>
  <c r="BB24" i="60" s="1"/>
  <c r="AF38" i="60"/>
  <c r="AF12" i="60"/>
  <c r="AF10" i="60"/>
  <c r="AF27" i="60"/>
  <c r="BB27" i="60" s="1"/>
  <c r="AF31" i="60"/>
  <c r="BB31" i="60" s="1"/>
  <c r="AF17" i="60"/>
  <c r="AF43" i="60"/>
  <c r="BB43" i="60" s="1"/>
  <c r="BJ137" i="60"/>
  <c r="AY136" i="60"/>
  <c r="BA14" i="60"/>
  <c r="BA18" i="60"/>
  <c r="AP18" i="60"/>
  <c r="BA19" i="60"/>
  <c r="AP19" i="60"/>
  <c r="D78" i="60"/>
  <c r="F77" i="60"/>
  <c r="I77" i="60" s="1"/>
  <c r="E77" i="60"/>
  <c r="A77" i="60" s="1"/>
  <c r="AP14" i="60"/>
  <c r="AP38" i="60"/>
  <c r="BA42" i="60"/>
  <c r="AP42" i="60"/>
  <c r="BA16" i="60"/>
  <c r="AP16" i="60"/>
  <c r="BA23" i="60"/>
  <c r="AP23" i="60"/>
  <c r="AP39" i="60"/>
  <c r="BA26" i="60"/>
  <c r="AP26" i="60"/>
  <c r="BA32" i="60"/>
  <c r="BA28" i="60"/>
  <c r="AP28" i="60"/>
  <c r="BA43" i="60"/>
  <c r="AP43" i="60"/>
  <c r="BA25" i="60"/>
  <c r="AP25" i="60"/>
  <c r="BA17" i="60"/>
  <c r="AP17" i="60"/>
  <c r="AY137" i="60"/>
  <c r="BA30" i="60"/>
  <c r="BA34" i="60"/>
  <c r="AP34" i="60"/>
  <c r="R5" i="80"/>
  <c r="P8" i="80"/>
  <c r="P9" i="80" s="1"/>
  <c r="P11" i="80" s="1"/>
  <c r="P13" i="80" s="1"/>
  <c r="P21" i="80"/>
  <c r="P53" i="80"/>
  <c r="P55" i="80"/>
  <c r="P54" i="80"/>
  <c r="P52" i="80"/>
  <c r="R51" i="80"/>
  <c r="V43" i="80"/>
  <c r="X41" i="80"/>
  <c r="N56" i="80"/>
  <c r="N58" i="80" s="1"/>
  <c r="N60" i="80" s="1"/>
  <c r="N62" i="80" s="1"/>
  <c r="M62" i="80" s="1"/>
  <c r="L9" i="113"/>
  <c r="A9" i="113" s="1"/>
  <c r="P6" i="114"/>
  <c r="AC6" i="114" s="1"/>
  <c r="AE10" i="113" s="1"/>
  <c r="O6" i="114"/>
  <c r="D6" i="114"/>
  <c r="N6" i="114"/>
  <c r="W6" i="114" s="1"/>
  <c r="S10" i="113" s="1"/>
  <c r="BH7" i="114"/>
  <c r="BM7" i="114" s="1"/>
  <c r="BG7" i="114"/>
  <c r="BL7" i="114" s="1"/>
  <c r="BF7" i="114"/>
  <c r="BJ7" i="114"/>
  <c r="BO7" i="114" s="1"/>
  <c r="BE8" i="114"/>
  <c r="BE9" i="114" s="1"/>
  <c r="F19" i="3"/>
  <c r="S59" i="77" s="1"/>
  <c r="L125" i="44"/>
  <c r="E33" i="87"/>
  <c r="G12" i="3"/>
  <c r="E59" i="115" s="1"/>
  <c r="E60" i="115" s="1"/>
  <c r="H74" i="70"/>
  <c r="G13" i="3"/>
  <c r="E64" i="115" s="1"/>
  <c r="E65" i="115" s="1"/>
  <c r="G19" i="3"/>
  <c r="U59" i="77" s="1"/>
  <c r="G8" i="3"/>
  <c r="E74" i="115" s="1"/>
  <c r="E75" i="115" s="1"/>
  <c r="L120" i="44"/>
  <c r="H12" i="3"/>
  <c r="F59" i="115" s="1"/>
  <c r="F60" i="115" s="1"/>
  <c r="G10" i="3"/>
  <c r="G17" i="3"/>
  <c r="H75" i="70"/>
  <c r="G5" i="3"/>
  <c r="H13" i="3"/>
  <c r="F64" i="115" s="1"/>
  <c r="F65" i="115" s="1"/>
  <c r="F18" i="3"/>
  <c r="S60" i="77" s="1"/>
  <c r="F5" i="3"/>
  <c r="D83" i="115" s="1"/>
  <c r="H5" i="3"/>
  <c r="H18" i="3"/>
  <c r="G14" i="3"/>
  <c r="G9" i="3"/>
  <c r="E70" i="115" s="1"/>
  <c r="E71" i="115" s="1"/>
  <c r="E33" i="24"/>
  <c r="H9" i="3"/>
  <c r="F70" i="115" s="1"/>
  <c r="F71" i="115" s="1"/>
  <c r="H70" i="70"/>
  <c r="H10" i="3"/>
  <c r="G18" i="3"/>
  <c r="U60" i="77" s="1"/>
  <c r="H17" i="3"/>
  <c r="H65" i="70"/>
  <c r="H14" i="3"/>
  <c r="H19" i="3"/>
  <c r="H8" i="3"/>
  <c r="F74" i="115" s="1"/>
  <c r="F75" i="115" s="1"/>
  <c r="U20" i="68"/>
  <c r="L20" i="68" s="1"/>
  <c r="U25" i="68"/>
  <c r="L25" i="68" s="1"/>
  <c r="K92" i="60"/>
  <c r="A94" i="60"/>
  <c r="K94" i="60"/>
  <c r="R154" i="30"/>
  <c r="U21" i="68"/>
  <c r="L21" i="68" s="1"/>
  <c r="R156" i="30"/>
  <c r="R158" i="30"/>
  <c r="R157" i="30"/>
  <c r="U26" i="68"/>
  <c r="L26" i="68" s="1"/>
  <c r="R155" i="30"/>
  <c r="L17" i="68"/>
  <c r="U22" i="68"/>
  <c r="L22" i="68" s="1"/>
  <c r="T20" i="45"/>
  <c r="S84" i="45"/>
  <c r="T21" i="45"/>
  <c r="A95" i="60"/>
  <c r="K95" i="60"/>
  <c r="J74" i="60"/>
  <c r="J73" i="60"/>
  <c r="A93" i="60"/>
  <c r="K93" i="60"/>
  <c r="V150" i="24"/>
  <c r="V152" i="24"/>
  <c r="V149" i="24"/>
  <c r="V151" i="24"/>
  <c r="D109" i="10"/>
  <c r="J116" i="44"/>
  <c r="AC41" i="76"/>
  <c r="J122" i="44"/>
  <c r="X41" i="76"/>
  <c r="V171" i="57"/>
  <c r="G24" i="25"/>
  <c r="Q171" i="57"/>
  <c r="E24" i="25"/>
  <c r="X178" i="92"/>
  <c r="AC47" i="76"/>
  <c r="S178" i="92"/>
  <c r="Q183" i="57"/>
  <c r="E36" i="25"/>
  <c r="X47" i="76"/>
  <c r="V177" i="57"/>
  <c r="G30" i="25"/>
  <c r="Q177" i="57"/>
  <c r="E30" i="25"/>
  <c r="X184" i="92"/>
  <c r="E122" i="44"/>
  <c r="S184" i="92"/>
  <c r="E116" i="44"/>
  <c r="J110" i="44"/>
  <c r="AC35" i="76"/>
  <c r="X190" i="92"/>
  <c r="E110" i="44"/>
  <c r="X35" i="76"/>
  <c r="S190" i="92"/>
  <c r="V183" i="57"/>
  <c r="G36" i="25"/>
  <c r="E157" i="68"/>
  <c r="F157" i="68"/>
  <c r="D158" i="68"/>
  <c r="H157" i="68"/>
  <c r="G156" i="68"/>
  <c r="I156" i="68" s="1"/>
  <c r="D117" i="68"/>
  <c r="E116" i="68"/>
  <c r="H116" i="68"/>
  <c r="F116" i="68"/>
  <c r="G115" i="68"/>
  <c r="I115" i="68" s="1"/>
  <c r="D56" i="60"/>
  <c r="F55" i="60"/>
  <c r="J55" i="60" s="1"/>
  <c r="L55" i="60" s="1"/>
  <c r="E55" i="60"/>
  <c r="A55" i="60" s="1"/>
  <c r="J36" i="75"/>
  <c r="K29" i="75"/>
  <c r="K30" i="75" s="1"/>
  <c r="J38" i="75" s="1"/>
  <c r="F29" i="75"/>
  <c r="H41" i="28"/>
  <c r="G50" i="28"/>
  <c r="H25" i="28"/>
  <c r="G34" i="28"/>
  <c r="Z5" i="114"/>
  <c r="AB9" i="113" s="1"/>
  <c r="V5" i="114"/>
  <c r="R9" i="113" s="1"/>
  <c r="AU6" i="114"/>
  <c r="H144" i="91"/>
  <c r="H146" i="91" s="1"/>
  <c r="I22" i="4"/>
  <c r="I23" i="4" s="1"/>
  <c r="I10" i="4"/>
  <c r="I21" i="4" s="1"/>
  <c r="J9" i="4"/>
  <c r="I20" i="4"/>
  <c r="A122" i="44"/>
  <c r="D116" i="44"/>
  <c r="A24" i="25"/>
  <c r="X110" i="44"/>
  <c r="X116" i="44"/>
  <c r="W41" i="76"/>
  <c r="T116" i="44"/>
  <c r="A41" i="76"/>
  <c r="D113" i="52"/>
  <c r="D114" i="52" s="1"/>
  <c r="I113" i="52"/>
  <c r="A113" i="52" s="1"/>
  <c r="T109" i="44"/>
  <c r="G29" i="25"/>
  <c r="G35" i="25"/>
  <c r="W109" i="44"/>
  <c r="J109" i="44"/>
  <c r="X109" i="44"/>
  <c r="X183" i="92"/>
  <c r="U109" i="44"/>
  <c r="A182" i="57"/>
  <c r="A46" i="76"/>
  <c r="AC34" i="76"/>
  <c r="T121" i="44"/>
  <c r="D113" i="47"/>
  <c r="A121" i="44"/>
  <c r="D121" i="44"/>
  <c r="V121" i="44"/>
  <c r="A109" i="44"/>
  <c r="P176" i="57"/>
  <c r="A189" i="92"/>
  <c r="D23" i="25"/>
  <c r="V115" i="44"/>
  <c r="W121" i="44"/>
  <c r="P170" i="57"/>
  <c r="P173" i="57" s="1"/>
  <c r="J121" i="44"/>
  <c r="D113" i="51"/>
  <c r="D114" i="51" s="1"/>
  <c r="AC40" i="76"/>
  <c r="X177" i="92"/>
  <c r="I113" i="47"/>
  <c r="A113" i="47" s="1"/>
  <c r="V182" i="57"/>
  <c r="W115" i="44"/>
  <c r="V109" i="44"/>
  <c r="P182" i="57"/>
  <c r="D29" i="25"/>
  <c r="A35" i="25"/>
  <c r="X115" i="44"/>
  <c r="A183" i="92"/>
  <c r="G23" i="25"/>
  <c r="W46" i="76"/>
  <c r="T115" i="44"/>
  <c r="J115" i="44"/>
  <c r="A115" i="44"/>
  <c r="R189" i="92"/>
  <c r="S3" i="102"/>
  <c r="G3" i="102"/>
  <c r="U2" i="102"/>
  <c r="K10" i="7" a="1"/>
  <c r="K10" i="7" s="1"/>
  <c r="F4" i="102"/>
  <c r="R4" i="102"/>
  <c r="E4" i="102" s="1"/>
  <c r="J11" i="7" a="1"/>
  <c r="J11" i="7" s="1"/>
  <c r="AJ7" i="114"/>
  <c r="AT7" i="114" s="1"/>
  <c r="AE7" i="114"/>
  <c r="V13" i="60"/>
  <c r="AO6" i="114"/>
  <c r="AX6" i="114" s="1"/>
  <c r="AE6" i="114"/>
  <c r="D295" i="10"/>
  <c r="V11" i="60"/>
  <c r="V10" i="60" s="1"/>
  <c r="V12" i="60"/>
  <c r="AN28" i="68"/>
  <c r="T74" i="75"/>
  <c r="T91" i="75"/>
  <c r="T85" i="75"/>
  <c r="T73" i="75"/>
  <c r="T88" i="75"/>
  <c r="T90" i="75"/>
  <c r="T83" i="75"/>
  <c r="T72" i="75"/>
  <c r="T87" i="75"/>
  <c r="T75" i="75"/>
  <c r="T76" i="75"/>
  <c r="T86" i="75"/>
  <c r="T79" i="75"/>
  <c r="T82" i="75"/>
  <c r="T80" i="75"/>
  <c r="T78" i="75"/>
  <c r="T84" i="75"/>
  <c r="T89" i="75"/>
  <c r="T77" i="75"/>
  <c r="T71" i="75"/>
  <c r="BD6" i="114"/>
  <c r="V154" i="92"/>
  <c r="V155" i="92"/>
  <c r="V157" i="92"/>
  <c r="V156" i="92"/>
  <c r="V153" i="92"/>
  <c r="A28" i="93"/>
  <c r="I28" i="93"/>
  <c r="AI7" i="114"/>
  <c r="G74" i="68"/>
  <c r="I74" i="68" s="1"/>
  <c r="AW6" i="114"/>
  <c r="AN15" i="68"/>
  <c r="AN21" i="68"/>
  <c r="AN38" i="68"/>
  <c r="AN24" i="68"/>
  <c r="T135" i="27"/>
  <c r="A135" i="27"/>
  <c r="U136" i="27"/>
  <c r="I158" i="10"/>
  <c r="D160" i="10" s="1"/>
  <c r="F137" i="68"/>
  <c r="I137" i="68" s="1"/>
  <c r="K137" i="68" s="1"/>
  <c r="D138" i="68"/>
  <c r="E137" i="68"/>
  <c r="AN26" i="68"/>
  <c r="AN36" i="68"/>
  <c r="AN30" i="68"/>
  <c r="AN37" i="68"/>
  <c r="AN34" i="68"/>
  <c r="AY16" i="68"/>
  <c r="AN16" i="68"/>
  <c r="AY42" i="68"/>
  <c r="AN42" i="68"/>
  <c r="AY40" i="68"/>
  <c r="AN39" i="68"/>
  <c r="AN29" i="68"/>
  <c r="AY22" i="68"/>
  <c r="AN22" i="68"/>
  <c r="AY13" i="68"/>
  <c r="AN27" i="68"/>
  <c r="AY35" i="68"/>
  <c r="AN35" i="68"/>
  <c r="AN10" i="68"/>
  <c r="AY11" i="68"/>
  <c r="AN25" i="68"/>
  <c r="L27" i="68"/>
  <c r="U32" i="68"/>
  <c r="AN40" i="68"/>
  <c r="AN41" i="68"/>
  <c r="AD13" i="68"/>
  <c r="AZ13" i="68" s="1"/>
  <c r="AD33" i="68"/>
  <c r="AD22" i="68"/>
  <c r="AZ22" i="68" s="1"/>
  <c r="AZ8" i="68"/>
  <c r="AD27" i="68"/>
  <c r="AD17" i="68"/>
  <c r="AD19" i="68"/>
  <c r="AZ19" i="68" s="1"/>
  <c r="AE8" i="68"/>
  <c r="AD38" i="68"/>
  <c r="AD42" i="68"/>
  <c r="AO42" i="68" s="1"/>
  <c r="AD29" i="68"/>
  <c r="AD10" i="68"/>
  <c r="AD23" i="68"/>
  <c r="AD26" i="68"/>
  <c r="AD11" i="68"/>
  <c r="AD35" i="68"/>
  <c r="AD9" i="68"/>
  <c r="AZ9" i="68" s="1"/>
  <c r="AD40" i="68"/>
  <c r="AZ40" i="68" s="1"/>
  <c r="AD36" i="68"/>
  <c r="AD41" i="68"/>
  <c r="AD21" i="68"/>
  <c r="AZ21" i="68" s="1"/>
  <c r="AD16" i="68"/>
  <c r="AZ16" i="68" s="1"/>
  <c r="AD24" i="68"/>
  <c r="AD34" i="68"/>
  <c r="AO34" i="68" s="1"/>
  <c r="AD31" i="68"/>
  <c r="AZ31" i="68" s="1"/>
  <c r="AD32" i="68"/>
  <c r="AD43" i="68"/>
  <c r="AZ43" i="68" s="1"/>
  <c r="AD37" i="68"/>
  <c r="AO37" i="68" s="1"/>
  <c r="AD25" i="68"/>
  <c r="AZ25" i="68" s="1"/>
  <c r="AD14" i="68"/>
  <c r="AO14" i="68" s="1"/>
  <c r="AD28" i="68"/>
  <c r="AD39" i="68"/>
  <c r="AZ39" i="68" s="1"/>
  <c r="AD12" i="68"/>
  <c r="AD20" i="68"/>
  <c r="AD18" i="68"/>
  <c r="AD15" i="68"/>
  <c r="AO15" i="68" s="1"/>
  <c r="AD30" i="68"/>
  <c r="D76" i="68"/>
  <c r="E75" i="68"/>
  <c r="A75" i="68" s="1"/>
  <c r="H75" i="68"/>
  <c r="F75" i="68"/>
  <c r="AY9" i="68"/>
  <c r="L29" i="68"/>
  <c r="U34" i="68"/>
  <c r="AN31" i="68"/>
  <c r="AN13" i="68"/>
  <c r="AN14" i="68"/>
  <c r="AN12" i="68"/>
  <c r="AY17" i="68"/>
  <c r="AY19" i="68"/>
  <c r="D57" i="68"/>
  <c r="F56" i="68"/>
  <c r="I56" i="68" s="1"/>
  <c r="K56" i="68" s="1"/>
  <c r="E56" i="68"/>
  <c r="A56" i="68" s="1"/>
  <c r="U33" i="68"/>
  <c r="L28" i="68"/>
  <c r="L94" i="84"/>
  <c r="L96" i="84"/>
  <c r="AY20" i="68"/>
  <c r="AN20" i="68"/>
  <c r="AN18" i="68"/>
  <c r="AY32" i="68"/>
  <c r="AY23" i="68"/>
  <c r="AN23" i="68"/>
  <c r="K143" i="84"/>
  <c r="K144" i="84"/>
  <c r="AN33" i="68"/>
  <c r="AN43" i="68"/>
  <c r="T154" i="84"/>
  <c r="T157" i="84"/>
  <c r="T156" i="84"/>
  <c r="T158" i="84"/>
  <c r="T155" i="84"/>
  <c r="I193" i="10"/>
  <c r="I191" i="10"/>
  <c r="I194" i="10"/>
  <c r="H228" i="10"/>
  <c r="G228" i="10" s="1"/>
  <c r="I228" i="10"/>
  <c r="I222" i="10"/>
  <c r="I169" i="10"/>
  <c r="H175" i="10"/>
  <c r="G175" i="10" s="1"/>
  <c r="G145" i="91"/>
  <c r="G144" i="91"/>
  <c r="A33" i="94"/>
  <c r="I33" i="94"/>
  <c r="BB6" i="114"/>
  <c r="AG7" i="114"/>
  <c r="AD8" i="114"/>
  <c r="AQ7" i="114"/>
  <c r="AP7" i="114"/>
  <c r="BA7" i="114" s="1"/>
  <c r="AZ6" i="114"/>
  <c r="AH7" i="114"/>
  <c r="AY7" i="114" s="1"/>
  <c r="AO7" i="114"/>
  <c r="AN7" i="114"/>
  <c r="AX7" i="114" s="1"/>
  <c r="AF7" i="114"/>
  <c r="AV7" i="114" s="1"/>
  <c r="AM7" i="114"/>
  <c r="AL7" i="114"/>
  <c r="AK7" i="114"/>
  <c r="AW7" i="114" s="1"/>
  <c r="AV6" i="114"/>
  <c r="T6" i="114"/>
  <c r="P10" i="113" s="1"/>
  <c r="Y6" i="114"/>
  <c r="AA10" i="113" s="1"/>
  <c r="AB6" i="114"/>
  <c r="AD10" i="113" s="1"/>
  <c r="J21" i="14"/>
  <c r="D7" i="100"/>
  <c r="V6" i="114"/>
  <c r="R10" i="113" s="1"/>
  <c r="S6" i="114"/>
  <c r="O10" i="113" s="1"/>
  <c r="L7" i="114"/>
  <c r="M7" i="114"/>
  <c r="N7" i="114"/>
  <c r="O7" i="114"/>
  <c r="P7" i="114"/>
  <c r="D7" i="114"/>
  <c r="E7" i="114"/>
  <c r="F7" i="114"/>
  <c r="G7" i="114"/>
  <c r="C8" i="114"/>
  <c r="H7" i="114"/>
  <c r="I7" i="114"/>
  <c r="J7" i="114"/>
  <c r="K7" i="114"/>
  <c r="X6" i="114" a="1"/>
  <c r="X6" i="114" s="1"/>
  <c r="Z10" i="113" s="1"/>
  <c r="AA6" i="114"/>
  <c r="AC10" i="113" s="1"/>
  <c r="S9" i="113"/>
  <c r="U6" i="114"/>
  <c r="Q10" i="113" s="1"/>
  <c r="R6" i="114"/>
  <c r="N10" i="113" s="1"/>
  <c r="P9" i="113"/>
  <c r="BN7" i="114"/>
  <c r="X10" i="113"/>
  <c r="L10" i="113"/>
  <c r="A10" i="113" s="1"/>
  <c r="Z6" i="114"/>
  <c r="AB10" i="113" s="1"/>
  <c r="G22" i="14"/>
  <c r="N22" i="14"/>
  <c r="B23" i="14"/>
  <c r="D22" i="14"/>
  <c r="J22" i="14" s="1"/>
  <c r="E22" i="14"/>
  <c r="F22" i="14"/>
  <c r="H22" i="14"/>
  <c r="L22" i="14"/>
  <c r="M22" i="14"/>
  <c r="K22" i="14"/>
  <c r="I22" i="14"/>
  <c r="V110" i="44" l="1"/>
  <c r="U122" i="44"/>
  <c r="J27" i="53"/>
  <c r="A176" i="57"/>
  <c r="R183" i="92"/>
  <c r="R186" i="92" s="1"/>
  <c r="D109" i="44"/>
  <c r="D112" i="44" s="1"/>
  <c r="A116" i="44"/>
  <c r="A177" i="92"/>
  <c r="W122" i="44"/>
  <c r="O96" i="45"/>
  <c r="T110" i="44"/>
  <c r="A40" i="76"/>
  <c r="R177" i="92"/>
  <c r="A196" i="92" s="1"/>
  <c r="V116" i="44"/>
  <c r="H69" i="70"/>
  <c r="U115" i="44"/>
  <c r="D115" i="44"/>
  <c r="A128" i="44" s="1"/>
  <c r="AC46" i="76"/>
  <c r="A171" i="57"/>
  <c r="A175" i="57" s="1"/>
  <c r="A177" i="57"/>
  <c r="D202" i="10" s="1"/>
  <c r="D122" i="44"/>
  <c r="O97" i="45"/>
  <c r="X189" i="92"/>
  <c r="W34" i="76"/>
  <c r="A183" i="57"/>
  <c r="R190" i="92"/>
  <c r="R178" i="92"/>
  <c r="R180" i="92" s="1"/>
  <c r="P183" i="57"/>
  <c r="W110" i="44"/>
  <c r="P177" i="57"/>
  <c r="A110" i="44"/>
  <c r="D108" i="44" s="1"/>
  <c r="A178" i="92"/>
  <c r="R169" i="92" s="1"/>
  <c r="X121" i="44"/>
  <c r="I113" i="51"/>
  <c r="A113" i="51" s="1"/>
  <c r="D112" i="51" s="1"/>
  <c r="A29" i="25"/>
  <c r="R184" i="92"/>
  <c r="D36" i="25"/>
  <c r="A43" i="25" s="1"/>
  <c r="A190" i="92"/>
  <c r="U116" i="44"/>
  <c r="W116" i="44"/>
  <c r="U110" i="44"/>
  <c r="A36" i="25"/>
  <c r="A184" i="92"/>
  <c r="A47" i="76"/>
  <c r="A30" i="25"/>
  <c r="D30" i="25"/>
  <c r="A42" i="25" s="1"/>
  <c r="X122" i="44"/>
  <c r="W35" i="76"/>
  <c r="W37" i="76" s="1"/>
  <c r="T122" i="44"/>
  <c r="U121" i="44"/>
  <c r="A23" i="25"/>
  <c r="A22" i="25" s="1"/>
  <c r="V176" i="57"/>
  <c r="V122" i="44"/>
  <c r="W40" i="76"/>
  <c r="W43" i="76" s="1"/>
  <c r="A34" i="76"/>
  <c r="A35" i="76"/>
  <c r="L59" i="77"/>
  <c r="L65" i="77" s="1"/>
  <c r="L66" i="77" s="1"/>
  <c r="H23" i="115"/>
  <c r="AY140" i="60"/>
  <c r="U30" i="68"/>
  <c r="U35" i="68" s="1"/>
  <c r="G157" i="68"/>
  <c r="E96" i="68"/>
  <c r="A96" i="68" s="1"/>
  <c r="F96" i="68"/>
  <c r="I96" i="68" s="1"/>
  <c r="K96" i="68" s="1"/>
  <c r="D97" i="68"/>
  <c r="A118" i="60"/>
  <c r="K118" i="60"/>
  <c r="M118" i="60" s="1"/>
  <c r="G118" i="60"/>
  <c r="D120" i="60"/>
  <c r="E119" i="60"/>
  <c r="BF140" i="60"/>
  <c r="AU140" i="60"/>
  <c r="AW140" i="60"/>
  <c r="AV140" i="60"/>
  <c r="AX140" i="60"/>
  <c r="AL141" i="60"/>
  <c r="BH141" i="60" s="1"/>
  <c r="AK141" i="60"/>
  <c r="BG141" i="60" s="1"/>
  <c r="V142" i="60"/>
  <c r="AJ141" i="60"/>
  <c r="A141" i="60"/>
  <c r="U62" i="77"/>
  <c r="U63" i="77" s="1"/>
  <c r="V63" i="77" s="1"/>
  <c r="AQ25" i="60"/>
  <c r="AQ9" i="60"/>
  <c r="AQ43" i="60"/>
  <c r="AQ23" i="60"/>
  <c r="P179" i="57"/>
  <c r="D118" i="44"/>
  <c r="AQ36" i="60"/>
  <c r="AQ31" i="60"/>
  <c r="AQ18" i="60"/>
  <c r="AQ22" i="60"/>
  <c r="AQ14" i="60"/>
  <c r="AQ27" i="60"/>
  <c r="AQ37" i="60"/>
  <c r="BB11" i="60"/>
  <c r="AQ11" i="60"/>
  <c r="AQ29" i="60"/>
  <c r="BB33" i="60"/>
  <c r="AQ33" i="60"/>
  <c r="BK136" i="60"/>
  <c r="AZ136" i="60"/>
  <c r="BB16" i="60"/>
  <c r="K98" i="60"/>
  <c r="BB35" i="60"/>
  <c r="AQ15" i="60"/>
  <c r="AZ140" i="60"/>
  <c r="BB42" i="60"/>
  <c r="AQ34" i="60"/>
  <c r="AQ39" i="60"/>
  <c r="AQ24" i="60"/>
  <c r="AQ19" i="60"/>
  <c r="BK137" i="60"/>
  <c r="AZ137" i="60"/>
  <c r="BB41" i="60"/>
  <c r="BK141" i="60"/>
  <c r="J77" i="60"/>
  <c r="BB17" i="60"/>
  <c r="AQ17" i="60"/>
  <c r="E78" i="60"/>
  <c r="A78" i="60" s="1"/>
  <c r="F78" i="60"/>
  <c r="I78" i="60" s="1"/>
  <c r="D79" i="60"/>
  <c r="BB26" i="60"/>
  <c r="AQ26" i="60"/>
  <c r="BK135" i="60"/>
  <c r="AZ135" i="60"/>
  <c r="AQ21" i="60"/>
  <c r="AQ32" i="60"/>
  <c r="BK139" i="60"/>
  <c r="AZ139" i="60"/>
  <c r="J99" i="60"/>
  <c r="D100" i="60"/>
  <c r="F99" i="60"/>
  <c r="I99" i="60" s="1"/>
  <c r="E99" i="60"/>
  <c r="A99" i="60" s="1"/>
  <c r="BK140" i="60"/>
  <c r="AQ35" i="60"/>
  <c r="BB30" i="60"/>
  <c r="AQ30" i="60"/>
  <c r="BK138" i="60"/>
  <c r="BB13" i="60"/>
  <c r="AQ13" i="60"/>
  <c r="AG43" i="60"/>
  <c r="AR43" i="60" s="1"/>
  <c r="AG19" i="60"/>
  <c r="AG39" i="60"/>
  <c r="BC39" i="60" s="1"/>
  <c r="AG33" i="60"/>
  <c r="BC33" i="60" s="1"/>
  <c r="AG17" i="60"/>
  <c r="AG30" i="60"/>
  <c r="AG15" i="60"/>
  <c r="AG37" i="60"/>
  <c r="BC37" i="60" s="1"/>
  <c r="AG22" i="60"/>
  <c r="AG18" i="60"/>
  <c r="AG21" i="60"/>
  <c r="BC21" i="60" s="1"/>
  <c r="AG11" i="60"/>
  <c r="BC11" i="60" s="1"/>
  <c r="AG13" i="60"/>
  <c r="BC13" i="60" s="1"/>
  <c r="AG31" i="60"/>
  <c r="AG42" i="60"/>
  <c r="BC42" i="60" s="1"/>
  <c r="AG24" i="60"/>
  <c r="BC24" i="60" s="1"/>
  <c r="AH8" i="60"/>
  <c r="BC8" i="60"/>
  <c r="AG40" i="60"/>
  <c r="AG26" i="60"/>
  <c r="AG28" i="60"/>
  <c r="BC28" i="60" s="1"/>
  <c r="AG34" i="60"/>
  <c r="BC34" i="60" s="1"/>
  <c r="AG10" i="60"/>
  <c r="BC10" i="60" s="1"/>
  <c r="AG29" i="60"/>
  <c r="BC29" i="60" s="1"/>
  <c r="AG38" i="60"/>
  <c r="BC38" i="60" s="1"/>
  <c r="AG27" i="60"/>
  <c r="AG14" i="60"/>
  <c r="AG9" i="60"/>
  <c r="BC9" i="60" s="1"/>
  <c r="AG32" i="60"/>
  <c r="BC32" i="60" s="1"/>
  <c r="AG25" i="60"/>
  <c r="AR25" i="60" s="1"/>
  <c r="AG23" i="60"/>
  <c r="AR23" i="60" s="1"/>
  <c r="AG20" i="60"/>
  <c r="BC20" i="60" s="1"/>
  <c r="AG35" i="60"/>
  <c r="BC35" i="60" s="1"/>
  <c r="AG36" i="60"/>
  <c r="AG41" i="60"/>
  <c r="BC41" i="60" s="1"/>
  <c r="AG16" i="60"/>
  <c r="AR16" i="60" s="1"/>
  <c r="AG12" i="60"/>
  <c r="BC12" i="60" s="1"/>
  <c r="AQ20" i="60"/>
  <c r="AQ42" i="60"/>
  <c r="AQ16" i="60"/>
  <c r="BB10" i="60"/>
  <c r="AQ10" i="60"/>
  <c r="AP166" i="60"/>
  <c r="BL166" i="60" s="1"/>
  <c r="AP185" i="60"/>
  <c r="BL185" i="60" s="1"/>
  <c r="AP179" i="60"/>
  <c r="BL179" i="60" s="1"/>
  <c r="AP198" i="60"/>
  <c r="BL198" i="60" s="1"/>
  <c r="AQ134" i="60"/>
  <c r="AP204" i="60"/>
  <c r="BL204" i="60" s="1"/>
  <c r="AP210" i="60"/>
  <c r="BL210" i="60" s="1"/>
  <c r="AP188" i="60"/>
  <c r="BL188" i="60" s="1"/>
  <c r="AP170" i="60"/>
  <c r="BL170" i="60" s="1"/>
  <c r="AP141" i="60"/>
  <c r="BL141" i="60" s="1"/>
  <c r="AP207" i="60"/>
  <c r="BL207" i="60" s="1"/>
  <c r="AP187" i="60"/>
  <c r="BL187" i="60" s="1"/>
  <c r="AP144" i="60"/>
  <c r="BL144" i="60" s="1"/>
  <c r="AP142" i="60"/>
  <c r="AP191" i="60"/>
  <c r="BL191" i="60" s="1"/>
  <c r="AP215" i="60"/>
  <c r="BL215" i="60" s="1"/>
  <c r="AP154" i="60"/>
  <c r="BL154" i="60" s="1"/>
  <c r="AP190" i="60"/>
  <c r="BL190" i="60" s="1"/>
  <c r="AP193" i="60"/>
  <c r="BL193" i="60" s="1"/>
  <c r="AP153" i="60"/>
  <c r="BL153" i="60" s="1"/>
  <c r="AP145" i="60"/>
  <c r="BL145" i="60" s="1"/>
  <c r="AP212" i="60"/>
  <c r="BL212" i="60" s="1"/>
  <c r="AP169" i="60"/>
  <c r="BL169" i="60" s="1"/>
  <c r="AP194" i="60"/>
  <c r="BL194" i="60" s="1"/>
  <c r="BA134" i="60"/>
  <c r="BL134" i="60" s="1"/>
  <c r="AP213" i="60"/>
  <c r="BL213" i="60" s="1"/>
  <c r="AP161" i="60"/>
  <c r="BL161" i="60" s="1"/>
  <c r="AP183" i="60"/>
  <c r="BL183" i="60" s="1"/>
  <c r="AP160" i="60"/>
  <c r="BL160" i="60" s="1"/>
  <c r="AP196" i="60"/>
  <c r="BL196" i="60" s="1"/>
  <c r="AP138" i="60"/>
  <c r="AP189" i="60"/>
  <c r="BL189" i="60" s="1"/>
  <c r="AP164" i="60"/>
  <c r="BL164" i="60" s="1"/>
  <c r="AP181" i="60"/>
  <c r="BL181" i="60" s="1"/>
  <c r="AP148" i="60"/>
  <c r="BL148" i="60" s="1"/>
  <c r="AP135" i="60"/>
  <c r="AP211" i="60"/>
  <c r="BL211" i="60" s="1"/>
  <c r="AP167" i="60"/>
  <c r="BL167" i="60" s="1"/>
  <c r="AP202" i="60"/>
  <c r="BL202" i="60" s="1"/>
  <c r="AP197" i="60"/>
  <c r="BL197" i="60" s="1"/>
  <c r="AP158" i="60"/>
  <c r="BL158" i="60" s="1"/>
  <c r="AP150" i="60"/>
  <c r="BL150" i="60" s="1"/>
  <c r="AP140" i="60"/>
  <c r="AP195" i="60"/>
  <c r="BL195" i="60" s="1"/>
  <c r="AP178" i="60"/>
  <c r="BL178" i="60" s="1"/>
  <c r="AP147" i="60"/>
  <c r="BL147" i="60" s="1"/>
  <c r="AP136" i="60"/>
  <c r="AP168" i="60"/>
  <c r="BL168" i="60" s="1"/>
  <c r="AP172" i="60"/>
  <c r="BL172" i="60" s="1"/>
  <c r="AP137" i="60"/>
  <c r="BL137" i="60" s="1"/>
  <c r="AP180" i="60"/>
  <c r="BL180" i="60" s="1"/>
  <c r="AP209" i="60"/>
  <c r="BL209" i="60" s="1"/>
  <c r="AP159" i="60"/>
  <c r="BL159" i="60" s="1"/>
  <c r="AP171" i="60"/>
  <c r="BL171" i="60" s="1"/>
  <c r="AP162" i="60"/>
  <c r="BL162" i="60" s="1"/>
  <c r="AP151" i="60"/>
  <c r="BL151" i="60" s="1"/>
  <c r="AP139" i="60"/>
  <c r="BL139" i="60" s="1"/>
  <c r="AP186" i="60"/>
  <c r="BL186" i="60" s="1"/>
  <c r="AP156" i="60"/>
  <c r="BL156" i="60" s="1"/>
  <c r="AP201" i="60"/>
  <c r="BL201" i="60" s="1"/>
  <c r="AP157" i="60"/>
  <c r="BL157" i="60" s="1"/>
  <c r="AP173" i="60"/>
  <c r="BL173" i="60" s="1"/>
  <c r="AP176" i="60"/>
  <c r="BL176" i="60" s="1"/>
  <c r="AP214" i="60"/>
  <c r="BL214" i="60" s="1"/>
  <c r="AP203" i="60"/>
  <c r="BL203" i="60" s="1"/>
  <c r="AP206" i="60"/>
  <c r="BL206" i="60" s="1"/>
  <c r="AP174" i="60"/>
  <c r="BL174" i="60" s="1"/>
  <c r="AP175" i="60"/>
  <c r="BL175" i="60" s="1"/>
  <c r="AP163" i="60"/>
  <c r="BL163" i="60" s="1"/>
  <c r="AP182" i="60"/>
  <c r="BL182" i="60" s="1"/>
  <c r="AP152" i="60"/>
  <c r="BL152" i="60" s="1"/>
  <c r="AP143" i="60"/>
  <c r="BL143" i="60" s="1"/>
  <c r="AP208" i="60"/>
  <c r="BL208" i="60" s="1"/>
  <c r="AP177" i="60"/>
  <c r="BL177" i="60" s="1"/>
  <c r="AP205" i="60"/>
  <c r="BL205" i="60" s="1"/>
  <c r="AP184" i="60"/>
  <c r="BL184" i="60" s="1"/>
  <c r="AP165" i="60"/>
  <c r="BL165" i="60" s="1"/>
  <c r="AP155" i="60"/>
  <c r="BL155" i="60" s="1"/>
  <c r="AP199" i="60"/>
  <c r="BL199" i="60" s="1"/>
  <c r="AP149" i="60"/>
  <c r="BL149" i="60" s="1"/>
  <c r="AP192" i="60"/>
  <c r="BL192" i="60" s="1"/>
  <c r="AP200" i="60"/>
  <c r="BL200" i="60" s="1"/>
  <c r="AP146" i="60"/>
  <c r="BL146" i="60" s="1"/>
  <c r="AQ40" i="60"/>
  <c r="BB38" i="60"/>
  <c r="AQ38" i="60"/>
  <c r="AQ28" i="60"/>
  <c r="BB12" i="60"/>
  <c r="AQ12" i="60"/>
  <c r="X43" i="80"/>
  <c r="Z41" i="80"/>
  <c r="R54" i="80"/>
  <c r="T51" i="80"/>
  <c r="R53" i="80"/>
  <c r="R55" i="80"/>
  <c r="R52" i="80"/>
  <c r="P56" i="80"/>
  <c r="P58" i="80" s="1"/>
  <c r="P60" i="80" s="1"/>
  <c r="P62" i="80" s="1"/>
  <c r="O62" i="80" s="1"/>
  <c r="R21" i="80"/>
  <c r="T5" i="80"/>
  <c r="R8" i="80"/>
  <c r="R9" i="80" s="1"/>
  <c r="R11" i="80" s="1"/>
  <c r="R13" i="80" s="1"/>
  <c r="BJ8" i="114"/>
  <c r="BO8" i="114" s="1"/>
  <c r="BI8" i="114"/>
  <c r="BN8" i="114" s="1"/>
  <c r="BH8" i="114"/>
  <c r="BM8" i="114" s="1"/>
  <c r="BG8" i="114"/>
  <c r="BF8" i="114"/>
  <c r="E83" i="115"/>
  <c r="G38" i="3"/>
  <c r="E15" i="3"/>
  <c r="G16" i="3"/>
  <c r="F38" i="3"/>
  <c r="F16" i="3"/>
  <c r="F83" i="115"/>
  <c r="H38" i="3"/>
  <c r="H16" i="3"/>
  <c r="J39" i="75"/>
  <c r="H45" i="75" s="1"/>
  <c r="D252" i="10"/>
  <c r="U31" i="68"/>
  <c r="U36" i="68" s="1"/>
  <c r="G116" i="68"/>
  <c r="I116" i="68" s="1"/>
  <c r="U20" i="45"/>
  <c r="U21" i="45"/>
  <c r="T84" i="45"/>
  <c r="I32" i="4"/>
  <c r="I36" i="4" s="1"/>
  <c r="I37" i="4" s="1"/>
  <c r="V175" i="57"/>
  <c r="F9" i="3" s="1"/>
  <c r="D70" i="115" s="1"/>
  <c r="D71" i="115" s="1"/>
  <c r="X182" i="92"/>
  <c r="D159" i="68"/>
  <c r="H158" i="68"/>
  <c r="E158" i="68"/>
  <c r="F158" i="68"/>
  <c r="I157" i="68"/>
  <c r="E117" i="68"/>
  <c r="A117" i="68" s="1"/>
  <c r="D118" i="68"/>
  <c r="H117" i="68"/>
  <c r="F117" i="68"/>
  <c r="H147" i="91"/>
  <c r="F56" i="60"/>
  <c r="J56" i="60" s="1"/>
  <c r="L56" i="60" s="1"/>
  <c r="E56" i="60"/>
  <c r="A56" i="60" s="1"/>
  <c r="D57" i="60"/>
  <c r="H28" i="115"/>
  <c r="H50" i="28"/>
  <c r="G6" i="25"/>
  <c r="H62" i="75"/>
  <c r="D56" i="75"/>
  <c r="H56" i="75" s="1"/>
  <c r="H34" i="28"/>
  <c r="G28" i="115"/>
  <c r="BC7" i="114"/>
  <c r="J10" i="4"/>
  <c r="J21" i="4" s="1"/>
  <c r="J22" i="4"/>
  <c r="J20" i="4"/>
  <c r="J19" i="4"/>
  <c r="D22" i="25"/>
  <c r="A108" i="44"/>
  <c r="V9" i="60"/>
  <c r="L9" i="60" s="1"/>
  <c r="V15" i="60"/>
  <c r="V25" i="60" s="1"/>
  <c r="L10" i="60"/>
  <c r="A40" i="25"/>
  <c r="V39" i="68"/>
  <c r="M39" i="68" s="1"/>
  <c r="A116" i="47"/>
  <c r="D112" i="47"/>
  <c r="A182" i="92"/>
  <c r="A116" i="52"/>
  <c r="D112" i="52"/>
  <c r="W39" i="60"/>
  <c r="M39" i="60" s="1"/>
  <c r="A118" i="47"/>
  <c r="A119" i="47"/>
  <c r="A117" i="47"/>
  <c r="A119" i="52"/>
  <c r="A118" i="52"/>
  <c r="A117" i="52"/>
  <c r="A119" i="51"/>
  <c r="A117" i="51"/>
  <c r="A118" i="51"/>
  <c r="A53" i="76"/>
  <c r="A116" i="51"/>
  <c r="AO19" i="68"/>
  <c r="H11" i="7" a="1"/>
  <c r="H11" i="7" s="1"/>
  <c r="I11" i="7" a="1"/>
  <c r="I11" i="7" s="1"/>
  <c r="T2" i="102"/>
  <c r="J10" i="7" a="1"/>
  <c r="J10" i="7" s="1"/>
  <c r="F3" i="102"/>
  <c r="R3" i="102"/>
  <c r="E3" i="102" s="1"/>
  <c r="AN8" i="114"/>
  <c r="AU8" i="114" s="1"/>
  <c r="AE8" i="114"/>
  <c r="V17" i="60"/>
  <c r="L12" i="60"/>
  <c r="V18" i="60"/>
  <c r="L13" i="60"/>
  <c r="V16" i="60"/>
  <c r="L11" i="60"/>
  <c r="AL8" i="114"/>
  <c r="AZ8" i="114" s="1"/>
  <c r="AF8" i="114"/>
  <c r="AS8" i="114" s="1"/>
  <c r="AM8" i="114"/>
  <c r="BC8" i="114" s="1"/>
  <c r="Q58" i="25"/>
  <c r="A58" i="25" s="1"/>
  <c r="E104" i="27"/>
  <c r="E74" i="27"/>
  <c r="A77" i="75"/>
  <c r="E86" i="27"/>
  <c r="E116" i="27"/>
  <c r="Q70" i="25"/>
  <c r="A70" i="25" s="1"/>
  <c r="A89" i="75"/>
  <c r="E111" i="27"/>
  <c r="E81" i="27"/>
  <c r="Q65" i="25"/>
  <c r="A65" i="25" s="1"/>
  <c r="A84" i="75"/>
  <c r="A78" i="75"/>
  <c r="E105" i="27"/>
  <c r="E75" i="27"/>
  <c r="Q59" i="25"/>
  <c r="A59" i="25" s="1"/>
  <c r="A80" i="75"/>
  <c r="E77" i="27"/>
  <c r="Q61" i="25"/>
  <c r="A61" i="25" s="1"/>
  <c r="E107" i="27"/>
  <c r="A107" i="27" s="1"/>
  <c r="Q63" i="25"/>
  <c r="E79" i="27"/>
  <c r="E109" i="27"/>
  <c r="T92" i="75"/>
  <c r="A82" i="75"/>
  <c r="E76" i="27"/>
  <c r="E106" i="27"/>
  <c r="Q60" i="25"/>
  <c r="A60" i="25" s="1"/>
  <c r="A79" i="75"/>
  <c r="BB7" i="114"/>
  <c r="E83" i="27"/>
  <c r="E113" i="27"/>
  <c r="A113" i="27" s="1"/>
  <c r="A86" i="75"/>
  <c r="Q67" i="25"/>
  <c r="A67" i="25" s="1"/>
  <c r="Q57" i="25"/>
  <c r="A57" i="25" s="1"/>
  <c r="A76" i="75"/>
  <c r="E103" i="27"/>
  <c r="A103" i="27" s="1"/>
  <c r="E73" i="27"/>
  <c r="Q56" i="25"/>
  <c r="A56" i="25" s="1"/>
  <c r="E102" i="27"/>
  <c r="A102" i="27" s="1"/>
  <c r="A75" i="75"/>
  <c r="E72" i="27"/>
  <c r="Q68" i="25"/>
  <c r="A68" i="25" s="1"/>
  <c r="E84" i="27"/>
  <c r="A87" i="75"/>
  <c r="E114" i="27"/>
  <c r="A72" i="75"/>
  <c r="E99" i="27"/>
  <c r="Q53" i="25"/>
  <c r="A53" i="25" s="1"/>
  <c r="E69" i="27"/>
  <c r="A83" i="75"/>
  <c r="Q64" i="25"/>
  <c r="A64" i="25" s="1"/>
  <c r="E110" i="27"/>
  <c r="E80" i="27"/>
  <c r="E87" i="27"/>
  <c r="E117" i="27"/>
  <c r="A117" i="27" s="1"/>
  <c r="A90" i="75"/>
  <c r="Q71" i="25"/>
  <c r="A71" i="25" s="1"/>
  <c r="E85" i="27"/>
  <c r="A88" i="75"/>
  <c r="Q69" i="25"/>
  <c r="A69" i="25" s="1"/>
  <c r="E115" i="27"/>
  <c r="Q54" i="25"/>
  <c r="A54" i="25" s="1"/>
  <c r="E100" i="27"/>
  <c r="E70" i="27"/>
  <c r="A73" i="75"/>
  <c r="A85" i="75"/>
  <c r="E112" i="27"/>
  <c r="Q66" i="25"/>
  <c r="A66" i="25" s="1"/>
  <c r="E82" i="27"/>
  <c r="E98" i="27"/>
  <c r="Q52" i="25"/>
  <c r="E68" i="27"/>
  <c r="A71" i="75"/>
  <c r="T81" i="75"/>
  <c r="E118" i="27"/>
  <c r="E88" i="27"/>
  <c r="A91" i="75"/>
  <c r="Q72" i="25"/>
  <c r="A72" i="25" s="1"/>
  <c r="A74" i="75"/>
  <c r="E71" i="27"/>
  <c r="Q55" i="25"/>
  <c r="A55" i="25" s="1"/>
  <c r="E101" i="27"/>
  <c r="A101" i="27" s="1"/>
  <c r="AK8" i="114"/>
  <c r="AW8" i="114" s="1"/>
  <c r="AJ8" i="114"/>
  <c r="AT8" i="114" s="1"/>
  <c r="AI8" i="114"/>
  <c r="BB8" i="114" s="1"/>
  <c r="AH8" i="114"/>
  <c r="AY8" i="114" s="1"/>
  <c r="AG8" i="114"/>
  <c r="AV8" i="114" s="1"/>
  <c r="AQ8" i="114"/>
  <c r="AP8" i="114"/>
  <c r="BA8" i="114" s="1"/>
  <c r="BD7" i="114"/>
  <c r="AD9" i="114"/>
  <c r="AE9" i="114" s="1"/>
  <c r="AO8" i="114"/>
  <c r="AX8" i="114" s="1"/>
  <c r="U137" i="27"/>
  <c r="A136" i="27"/>
  <c r="T136" i="27"/>
  <c r="E138" i="68"/>
  <c r="D139" i="68"/>
  <c r="F138" i="68"/>
  <c r="I138" i="68" s="1"/>
  <c r="K138" i="68" s="1"/>
  <c r="AO25" i="68"/>
  <c r="AZ33" i="68"/>
  <c r="AO33" i="68"/>
  <c r="AO39" i="68"/>
  <c r="D58" i="68"/>
  <c r="F57" i="68"/>
  <c r="I57" i="68" s="1"/>
  <c r="K57" i="68" s="1"/>
  <c r="E57" i="68"/>
  <c r="A57" i="68" s="1"/>
  <c r="AZ41" i="68"/>
  <c r="AO31" i="68"/>
  <c r="AZ36" i="68"/>
  <c r="AO36" i="68"/>
  <c r="AO22" i="68"/>
  <c r="AZ30" i="68"/>
  <c r="AO30" i="68"/>
  <c r="AO16" i="68"/>
  <c r="K145" i="84"/>
  <c r="K146" i="84"/>
  <c r="AZ15" i="68"/>
  <c r="AZ35" i="68"/>
  <c r="AO35" i="68"/>
  <c r="AZ18" i="68"/>
  <c r="AO18" i="68"/>
  <c r="AZ11" i="68"/>
  <c r="L143" i="84"/>
  <c r="L144" i="84"/>
  <c r="L34" i="68"/>
  <c r="U39" i="68"/>
  <c r="L39" i="68" s="1"/>
  <c r="AZ20" i="68"/>
  <c r="AO20" i="68"/>
  <c r="AZ26" i="68"/>
  <c r="AO26" i="68"/>
  <c r="U37" i="68"/>
  <c r="L32" i="68"/>
  <c r="AZ12" i="68"/>
  <c r="AO12" i="68"/>
  <c r="AZ23" i="68"/>
  <c r="AO23" i="68"/>
  <c r="AZ10" i="68"/>
  <c r="AO10" i="68"/>
  <c r="AZ28" i="68"/>
  <c r="AZ29" i="68"/>
  <c r="AO29" i="68"/>
  <c r="AO11" i="68"/>
  <c r="AO9" i="68"/>
  <c r="AZ14" i="68"/>
  <c r="AZ42" i="68"/>
  <c r="AO21" i="68"/>
  <c r="AZ38" i="68"/>
  <c r="AO38" i="68"/>
  <c r="G75" i="68"/>
  <c r="I75" i="68" s="1"/>
  <c r="AZ37" i="68"/>
  <c r="AF8" i="68"/>
  <c r="AE38" i="68"/>
  <c r="BA38" i="68" s="1"/>
  <c r="AE36" i="68"/>
  <c r="BA36" i="68" s="1"/>
  <c r="AE14" i="68"/>
  <c r="AE32" i="68"/>
  <c r="AE42" i="68"/>
  <c r="BA42" i="68" s="1"/>
  <c r="AE10" i="68"/>
  <c r="AE12" i="68"/>
  <c r="BA12" i="68" s="1"/>
  <c r="AE22" i="68"/>
  <c r="AE34" i="68"/>
  <c r="AP34" i="68" s="1"/>
  <c r="AE33" i="68"/>
  <c r="BA33" i="68" s="1"/>
  <c r="AE18" i="68"/>
  <c r="BA18" i="68" s="1"/>
  <c r="AE40" i="68"/>
  <c r="AP40" i="68" s="1"/>
  <c r="AE16" i="68"/>
  <c r="BA16" i="68" s="1"/>
  <c r="AE29" i="68"/>
  <c r="BA29" i="68" s="1"/>
  <c r="AE35" i="68"/>
  <c r="BA35" i="68" s="1"/>
  <c r="AE27" i="68"/>
  <c r="BA27" i="68" s="1"/>
  <c r="AE37" i="68"/>
  <c r="BA37" i="68" s="1"/>
  <c r="AE39" i="68"/>
  <c r="AP39" i="68" s="1"/>
  <c r="AE26" i="68"/>
  <c r="BA26" i="68" s="1"/>
  <c r="AE30" i="68"/>
  <c r="BA30" i="68" s="1"/>
  <c r="AE19" i="68"/>
  <c r="AE43" i="68"/>
  <c r="AE25" i="68"/>
  <c r="BA25" i="68" s="1"/>
  <c r="AE21" i="68"/>
  <c r="BA21" i="68" s="1"/>
  <c r="AE20" i="68"/>
  <c r="AE31" i="68"/>
  <c r="AE9" i="68"/>
  <c r="AP9" i="68" s="1"/>
  <c r="AE28" i="68"/>
  <c r="BA28" i="68" s="1"/>
  <c r="AE41" i="68"/>
  <c r="BA41" i="68" s="1"/>
  <c r="AE23" i="68"/>
  <c r="AP23" i="68" s="1"/>
  <c r="AE13" i="68"/>
  <c r="AE17" i="68"/>
  <c r="AE11" i="68"/>
  <c r="BA11" i="68" s="1"/>
  <c r="BA8" i="68"/>
  <c r="AE15" i="68"/>
  <c r="BA15" i="68" s="1"/>
  <c r="AE24" i="68"/>
  <c r="BA24" i="68" s="1"/>
  <c r="AO41" i="68"/>
  <c r="AO43" i="68"/>
  <c r="AO40" i="68"/>
  <c r="AZ32" i="68"/>
  <c r="AO32" i="68"/>
  <c r="AZ17" i="68"/>
  <c r="AO17" i="68"/>
  <c r="F76" i="68"/>
  <c r="D77" i="68"/>
  <c r="E76" i="68"/>
  <c r="A76" i="68" s="1"/>
  <c r="H76" i="68"/>
  <c r="AZ27" i="68"/>
  <c r="AO27" i="68"/>
  <c r="U38" i="68"/>
  <c r="L33" i="68"/>
  <c r="AO28" i="68"/>
  <c r="AZ34" i="68"/>
  <c r="AO13" i="68"/>
  <c r="AZ24" i="68"/>
  <c r="AO24" i="68"/>
  <c r="D170" i="10"/>
  <c r="E170" i="10"/>
  <c r="G170" i="10"/>
  <c r="F170" i="10"/>
  <c r="H170" i="10"/>
  <c r="E223" i="10"/>
  <c r="D223" i="10"/>
  <c r="F223" i="10"/>
  <c r="H223" i="10"/>
  <c r="G223" i="10"/>
  <c r="I223" i="10"/>
  <c r="I170" i="10"/>
  <c r="G146" i="91"/>
  <c r="G147" i="91"/>
  <c r="AS7" i="114"/>
  <c r="AU7" i="114"/>
  <c r="AZ7" i="114"/>
  <c r="BL8" i="114"/>
  <c r="BE10" i="114"/>
  <c r="BG9" i="114"/>
  <c r="BI9" i="114"/>
  <c r="BJ9" i="114"/>
  <c r="BF9" i="114"/>
  <c r="BH9" i="114"/>
  <c r="B24" i="14"/>
  <c r="F23" i="14"/>
  <c r="N23" i="14"/>
  <c r="D23" i="14"/>
  <c r="J23" i="14" s="1"/>
  <c r="E23" i="14"/>
  <c r="H23" i="14"/>
  <c r="K23" i="14"/>
  <c r="L23" i="14"/>
  <c r="M23" i="14"/>
  <c r="G23" i="14"/>
  <c r="I23" i="14"/>
  <c r="Y7" i="114"/>
  <c r="AA11" i="113" s="1"/>
  <c r="AB7" i="114"/>
  <c r="AD11" i="113" s="1"/>
  <c r="V7" i="114"/>
  <c r="R11" i="113" s="1"/>
  <c r="S7" i="114"/>
  <c r="O11" i="113" s="1"/>
  <c r="F8" i="114"/>
  <c r="G8" i="114"/>
  <c r="C9" i="114"/>
  <c r="H8" i="114"/>
  <c r="I8" i="114"/>
  <c r="J8" i="114"/>
  <c r="K8" i="114"/>
  <c r="L8" i="114"/>
  <c r="M8" i="114"/>
  <c r="N8" i="114"/>
  <c r="O8" i="114"/>
  <c r="P8" i="114"/>
  <c r="D8" i="114"/>
  <c r="E8" i="114"/>
  <c r="AA7" i="114"/>
  <c r="AC11" i="113" s="1"/>
  <c r="X7" i="114" a="1"/>
  <c r="X7" i="114" s="1"/>
  <c r="Z11" i="113" s="1"/>
  <c r="R7" i="114"/>
  <c r="N11" i="113" s="1"/>
  <c r="U7" i="114"/>
  <c r="Q11" i="113" s="1"/>
  <c r="L11" i="113"/>
  <c r="A11" i="113" s="1"/>
  <c r="X11" i="113"/>
  <c r="Z7" i="114"/>
  <c r="AB11" i="113" s="1"/>
  <c r="AC7" i="114"/>
  <c r="AD10" i="114"/>
  <c r="AE10" i="114" s="1"/>
  <c r="AF9" i="114"/>
  <c r="AG9" i="114"/>
  <c r="AH9" i="114"/>
  <c r="AJ9" i="114"/>
  <c r="AL9" i="114"/>
  <c r="AM9" i="114"/>
  <c r="AN9" i="114"/>
  <c r="AO9" i="114"/>
  <c r="AP9" i="114"/>
  <c r="AQ9" i="114"/>
  <c r="AI9" i="114"/>
  <c r="AK9" i="114"/>
  <c r="W7" i="114"/>
  <c r="T7" i="114"/>
  <c r="M78" i="77" l="1"/>
  <c r="M72" i="77"/>
  <c r="L30" i="68"/>
  <c r="P166" i="57"/>
  <c r="A197" i="92"/>
  <c r="D201" i="10"/>
  <c r="A39" i="76"/>
  <c r="A55" i="76"/>
  <c r="A198" i="92"/>
  <c r="R169" i="91"/>
  <c r="A195" i="92"/>
  <c r="P169" i="57"/>
  <c r="R176" i="92"/>
  <c r="R166" i="92"/>
  <c r="A129" i="44"/>
  <c r="A126" i="44"/>
  <c r="A130" i="44"/>
  <c r="A127" i="44"/>
  <c r="A187" i="57"/>
  <c r="A44" i="25"/>
  <c r="A41" i="25"/>
  <c r="A194" i="92"/>
  <c r="A189" i="57"/>
  <c r="A52" i="76"/>
  <c r="A51" i="76"/>
  <c r="A54" i="76"/>
  <c r="A191" i="57"/>
  <c r="V62" i="77"/>
  <c r="A188" i="57"/>
  <c r="D98" i="68"/>
  <c r="E97" i="68"/>
  <c r="A97" i="68" s="1"/>
  <c r="F97" i="68"/>
  <c r="I97" i="68" s="1"/>
  <c r="K97" i="68" s="1"/>
  <c r="K119" i="60"/>
  <c r="M119" i="60" s="1"/>
  <c r="A119" i="60"/>
  <c r="G119" i="60"/>
  <c r="D121" i="60"/>
  <c r="E120" i="60"/>
  <c r="AW141" i="60"/>
  <c r="AV141" i="60"/>
  <c r="BF141" i="60"/>
  <c r="AX141" i="60"/>
  <c r="AU141" i="60"/>
  <c r="AY141" i="60"/>
  <c r="AJ142" i="60"/>
  <c r="AL142" i="60"/>
  <c r="BH142" i="60" s="1"/>
  <c r="AK142" i="60"/>
  <c r="BG142" i="60" s="1"/>
  <c r="A142" i="60"/>
  <c r="V143" i="60"/>
  <c r="AZ141" i="60"/>
  <c r="A190" i="57"/>
  <c r="AR11" i="60"/>
  <c r="G158" i="68"/>
  <c r="I158" i="68" s="1"/>
  <c r="K99" i="60"/>
  <c r="AR20" i="60"/>
  <c r="AR13" i="60"/>
  <c r="AR41" i="60"/>
  <c r="AR12" i="60"/>
  <c r="J78" i="60"/>
  <c r="AR32" i="60"/>
  <c r="R56" i="80"/>
  <c r="R58" i="80" s="1"/>
  <c r="R60" i="80" s="1"/>
  <c r="R62" i="80" s="1"/>
  <c r="Q62" i="80" s="1"/>
  <c r="AR33" i="60"/>
  <c r="AR24" i="60"/>
  <c r="AR28" i="60"/>
  <c r="AR21" i="60"/>
  <c r="BA137" i="60"/>
  <c r="BC26" i="60"/>
  <c r="AR26" i="60"/>
  <c r="BC16" i="60"/>
  <c r="AR42" i="60"/>
  <c r="BA136" i="60"/>
  <c r="BC14" i="60"/>
  <c r="AR14" i="60"/>
  <c r="BC30" i="60"/>
  <c r="AR30" i="60"/>
  <c r="AR37" i="60"/>
  <c r="AR10" i="60"/>
  <c r="BC40" i="60"/>
  <c r="BL138" i="60"/>
  <c r="AQ209" i="60"/>
  <c r="BM209" i="60" s="1"/>
  <c r="AQ154" i="60"/>
  <c r="BM154" i="60" s="1"/>
  <c r="AQ192" i="60"/>
  <c r="BM192" i="60" s="1"/>
  <c r="AQ157" i="60"/>
  <c r="BM157" i="60" s="1"/>
  <c r="AQ213" i="60"/>
  <c r="BM213" i="60" s="1"/>
  <c r="AQ164" i="60"/>
  <c r="BM164" i="60" s="1"/>
  <c r="AQ195" i="60"/>
  <c r="BM195" i="60" s="1"/>
  <c r="AQ183" i="60"/>
  <c r="BM183" i="60" s="1"/>
  <c r="AQ174" i="60"/>
  <c r="BM174" i="60" s="1"/>
  <c r="AQ199" i="60"/>
  <c r="BM199" i="60" s="1"/>
  <c r="AQ214" i="60"/>
  <c r="BM214" i="60" s="1"/>
  <c r="AQ193" i="60"/>
  <c r="BM193" i="60" s="1"/>
  <c r="AQ200" i="60"/>
  <c r="BM200" i="60" s="1"/>
  <c r="AQ182" i="60"/>
  <c r="BM182" i="60" s="1"/>
  <c r="AQ198" i="60"/>
  <c r="BM198" i="60" s="1"/>
  <c r="AQ206" i="60"/>
  <c r="BM206" i="60" s="1"/>
  <c r="AQ145" i="60"/>
  <c r="BM145" i="60" s="1"/>
  <c r="AQ197" i="60"/>
  <c r="BM197" i="60" s="1"/>
  <c r="AQ190" i="60"/>
  <c r="BM190" i="60" s="1"/>
  <c r="AQ178" i="60"/>
  <c r="BM178" i="60" s="1"/>
  <c r="AQ147" i="60"/>
  <c r="BM147" i="60" s="1"/>
  <c r="AQ143" i="60"/>
  <c r="AQ160" i="60"/>
  <c r="BM160" i="60" s="1"/>
  <c r="AQ184" i="60"/>
  <c r="BM184" i="60" s="1"/>
  <c r="AQ135" i="60"/>
  <c r="AQ170" i="60"/>
  <c r="BM170" i="60" s="1"/>
  <c r="AQ212" i="60"/>
  <c r="BM212" i="60" s="1"/>
  <c r="AQ187" i="60"/>
  <c r="BM187" i="60" s="1"/>
  <c r="AQ139" i="60"/>
  <c r="AQ163" i="60"/>
  <c r="BM163" i="60" s="1"/>
  <c r="AQ148" i="60"/>
  <c r="BM148" i="60" s="1"/>
  <c r="AQ215" i="60"/>
  <c r="BM215" i="60" s="1"/>
  <c r="AQ155" i="60"/>
  <c r="BM155" i="60" s="1"/>
  <c r="AQ168" i="60"/>
  <c r="BM168" i="60" s="1"/>
  <c r="AQ161" i="60"/>
  <c r="BM161" i="60" s="1"/>
  <c r="AR134" i="60"/>
  <c r="AQ152" i="60"/>
  <c r="BM152" i="60" s="1"/>
  <c r="AQ142" i="60"/>
  <c r="BM142" i="60" s="1"/>
  <c r="AQ156" i="60"/>
  <c r="BM156" i="60" s="1"/>
  <c r="AQ137" i="60"/>
  <c r="AQ166" i="60"/>
  <c r="BM166" i="60" s="1"/>
  <c r="AQ172" i="60"/>
  <c r="BM172" i="60" s="1"/>
  <c r="AQ173" i="60"/>
  <c r="BM173" i="60" s="1"/>
  <c r="AQ159" i="60"/>
  <c r="BM159" i="60" s="1"/>
  <c r="AQ179" i="60"/>
  <c r="BM179" i="60" s="1"/>
  <c r="AQ201" i="60"/>
  <c r="BM201" i="60" s="1"/>
  <c r="AQ208" i="60"/>
  <c r="BM208" i="60" s="1"/>
  <c r="AQ204" i="60"/>
  <c r="BM204" i="60" s="1"/>
  <c r="AQ185" i="60"/>
  <c r="BM185" i="60" s="1"/>
  <c r="AQ149" i="60"/>
  <c r="BM149" i="60" s="1"/>
  <c r="BB134" i="60"/>
  <c r="BM134" i="60" s="1"/>
  <c r="AQ140" i="60"/>
  <c r="BM140" i="60" s="1"/>
  <c r="AQ150" i="60"/>
  <c r="BM150" i="60" s="1"/>
  <c r="AQ146" i="60"/>
  <c r="BM146" i="60" s="1"/>
  <c r="AQ210" i="60"/>
  <c r="BM210" i="60" s="1"/>
  <c r="AQ202" i="60"/>
  <c r="BM202" i="60" s="1"/>
  <c r="AQ153" i="60"/>
  <c r="BM153" i="60" s="1"/>
  <c r="AQ165" i="60"/>
  <c r="BM165" i="60" s="1"/>
  <c r="AQ196" i="60"/>
  <c r="BM196" i="60" s="1"/>
  <c r="AQ177" i="60"/>
  <c r="BM177" i="60" s="1"/>
  <c r="AQ207" i="60"/>
  <c r="BM207" i="60" s="1"/>
  <c r="AQ169" i="60"/>
  <c r="BM169" i="60" s="1"/>
  <c r="AQ186" i="60"/>
  <c r="BM186" i="60" s="1"/>
  <c r="AQ180" i="60"/>
  <c r="BM180" i="60" s="1"/>
  <c r="AQ211" i="60"/>
  <c r="BM211" i="60" s="1"/>
  <c r="AQ189" i="60"/>
  <c r="BM189" i="60" s="1"/>
  <c r="AQ188" i="60"/>
  <c r="BM188" i="60" s="1"/>
  <c r="AQ203" i="60"/>
  <c r="BM203" i="60" s="1"/>
  <c r="AQ144" i="60"/>
  <c r="BM144" i="60" s="1"/>
  <c r="AQ138" i="60"/>
  <c r="BM138" i="60" s="1"/>
  <c r="AQ136" i="60"/>
  <c r="BB136" i="60" s="1"/>
  <c r="AQ162" i="60"/>
  <c r="BM162" i="60" s="1"/>
  <c r="AQ175" i="60"/>
  <c r="BM175" i="60" s="1"/>
  <c r="AQ151" i="60"/>
  <c r="BM151" i="60" s="1"/>
  <c r="AQ141" i="60"/>
  <c r="AQ176" i="60"/>
  <c r="BM176" i="60" s="1"/>
  <c r="AQ191" i="60"/>
  <c r="BM191" i="60" s="1"/>
  <c r="AQ158" i="60"/>
  <c r="BM158" i="60" s="1"/>
  <c r="AQ205" i="60"/>
  <c r="BM205" i="60" s="1"/>
  <c r="AQ181" i="60"/>
  <c r="BM181" i="60" s="1"/>
  <c r="AQ167" i="60"/>
  <c r="BM167" i="60" s="1"/>
  <c r="AQ194" i="60"/>
  <c r="BM194" i="60" s="1"/>
  <c r="AQ171" i="60"/>
  <c r="BM171" i="60" s="1"/>
  <c r="BC17" i="60"/>
  <c r="AR17" i="60"/>
  <c r="BA139" i="60"/>
  <c r="BC27" i="60"/>
  <c r="AR27" i="60"/>
  <c r="AR34" i="60"/>
  <c r="BC43" i="60"/>
  <c r="BL135" i="60"/>
  <c r="BA135" i="60"/>
  <c r="AH43" i="60"/>
  <c r="BD43" i="60" s="1"/>
  <c r="AH39" i="60"/>
  <c r="BD39" i="60" s="1"/>
  <c r="D39" i="60" s="1"/>
  <c r="A39" i="60" s="1"/>
  <c r="AH31" i="60"/>
  <c r="BD31" i="60" s="1"/>
  <c r="AH29" i="60"/>
  <c r="AH17" i="60"/>
  <c r="BD17" i="60" s="1"/>
  <c r="AH13" i="60"/>
  <c r="AH23" i="60"/>
  <c r="BD23" i="60" s="1"/>
  <c r="AH40" i="60"/>
  <c r="BD40" i="60" s="1"/>
  <c r="AH11" i="60"/>
  <c r="AH16" i="60"/>
  <c r="BD16" i="60" s="1"/>
  <c r="AH35" i="60"/>
  <c r="BD35" i="60" s="1"/>
  <c r="D35" i="60" s="1"/>
  <c r="A35" i="60" s="1"/>
  <c r="BD8" i="60"/>
  <c r="AH33" i="60"/>
  <c r="AH25" i="60"/>
  <c r="BD25" i="60" s="1"/>
  <c r="AH12" i="60"/>
  <c r="AH26" i="60"/>
  <c r="BD26" i="60" s="1"/>
  <c r="AH42" i="60"/>
  <c r="BD42" i="60" s="1"/>
  <c r="D42" i="60" s="1"/>
  <c r="A42" i="60" s="1"/>
  <c r="AH32" i="60"/>
  <c r="AH28" i="60"/>
  <c r="AH9" i="60"/>
  <c r="BD9" i="60" s="1"/>
  <c r="D9" i="60" s="1"/>
  <c r="A9" i="60" s="1"/>
  <c r="AH27" i="60"/>
  <c r="BD27" i="60" s="1"/>
  <c r="AH30" i="60"/>
  <c r="AH34" i="60"/>
  <c r="BD34" i="60" s="1"/>
  <c r="D34" i="60" s="1"/>
  <c r="A34" i="60" s="1"/>
  <c r="AH15" i="60"/>
  <c r="BD15" i="60" s="1"/>
  <c r="AH41" i="60"/>
  <c r="AH22" i="60"/>
  <c r="AH38" i="60"/>
  <c r="BD38" i="60" s="1"/>
  <c r="D38" i="60" s="1"/>
  <c r="A38" i="60" s="1"/>
  <c r="AH14" i="60"/>
  <c r="BD14" i="60" s="1"/>
  <c r="AH20" i="60"/>
  <c r="AH37" i="60"/>
  <c r="BD37" i="60" s="1"/>
  <c r="D37" i="60" s="1"/>
  <c r="A37" i="60" s="1"/>
  <c r="AH21" i="60"/>
  <c r="AH18" i="60"/>
  <c r="BD18" i="60" s="1"/>
  <c r="AH24" i="60"/>
  <c r="AH36" i="60"/>
  <c r="BD36" i="60" s="1"/>
  <c r="AH19" i="60"/>
  <c r="BD19" i="60" s="1"/>
  <c r="AH10" i="60"/>
  <c r="BD10" i="60" s="1"/>
  <c r="D10" i="60" s="1"/>
  <c r="A10" i="60" s="1"/>
  <c r="AR9" i="60"/>
  <c r="BC36" i="60"/>
  <c r="AR36" i="60"/>
  <c r="AR40" i="60"/>
  <c r="E100" i="60"/>
  <c r="A100" i="60" s="1"/>
  <c r="F100" i="60"/>
  <c r="I100" i="60" s="1"/>
  <c r="D101" i="60"/>
  <c r="J100" i="60"/>
  <c r="BC15" i="60"/>
  <c r="BL140" i="60"/>
  <c r="BA140" i="60"/>
  <c r="AR15" i="60"/>
  <c r="BL142" i="60"/>
  <c r="BC31" i="60"/>
  <c r="AR31" i="60"/>
  <c r="BC23" i="60"/>
  <c r="BA138" i="60"/>
  <c r="D80" i="60"/>
  <c r="F79" i="60"/>
  <c r="I79" i="60" s="1"/>
  <c r="E79" i="60"/>
  <c r="A79" i="60" s="1"/>
  <c r="BA141" i="60"/>
  <c r="BC19" i="60"/>
  <c r="AR19" i="60"/>
  <c r="AR39" i="60"/>
  <c r="AR38" i="60"/>
  <c r="BL136" i="60"/>
  <c r="BC25" i="60"/>
  <c r="AR35" i="60"/>
  <c r="BC18" i="60"/>
  <c r="AR18" i="60"/>
  <c r="BC22" i="60"/>
  <c r="AR22" i="60"/>
  <c r="AR29" i="60"/>
  <c r="T53" i="80"/>
  <c r="T52" i="80"/>
  <c r="T55" i="80"/>
  <c r="T54" i="80"/>
  <c r="V51" i="80"/>
  <c r="T8" i="80"/>
  <c r="T9" i="80" s="1"/>
  <c r="T11" i="80" s="1"/>
  <c r="T13" i="80" s="1"/>
  <c r="T21" i="80"/>
  <c r="V5" i="80"/>
  <c r="Z43" i="80"/>
  <c r="AB41" i="80"/>
  <c r="L31" i="68"/>
  <c r="N78" i="77"/>
  <c r="M79" i="77"/>
  <c r="M73" i="77"/>
  <c r="N72" i="77"/>
  <c r="V20" i="45"/>
  <c r="V21" i="45"/>
  <c r="U84" i="45"/>
  <c r="V20" i="60"/>
  <c r="L20" i="60" s="1"/>
  <c r="V14" i="60"/>
  <c r="V19" i="60" s="1"/>
  <c r="L19" i="60" s="1"/>
  <c r="L15" i="60"/>
  <c r="G117" i="68"/>
  <c r="I117" i="68" s="1"/>
  <c r="D160" i="68"/>
  <c r="F159" i="68"/>
  <c r="E159" i="68"/>
  <c r="H159" i="68"/>
  <c r="D119" i="68"/>
  <c r="H118" i="68"/>
  <c r="E118" i="68"/>
  <c r="A118" i="68" s="1"/>
  <c r="F118" i="68"/>
  <c r="F57" i="60"/>
  <c r="J57" i="60" s="1"/>
  <c r="L57" i="60" s="1"/>
  <c r="E57" i="60"/>
  <c r="A57" i="60" s="1"/>
  <c r="D58" i="60"/>
  <c r="G40" i="115"/>
  <c r="G34" i="115"/>
  <c r="A45" i="75"/>
  <c r="D49" i="75" s="1"/>
  <c r="H48" i="75"/>
  <c r="H63" i="75"/>
  <c r="H64" i="75" s="1"/>
  <c r="G7" i="25"/>
  <c r="G8" i="25" s="1"/>
  <c r="H34" i="115"/>
  <c r="H40" i="115"/>
  <c r="AP27" i="68"/>
  <c r="J32" i="4"/>
  <c r="J36" i="4" s="1"/>
  <c r="J37" i="4" s="1"/>
  <c r="J23" i="4"/>
  <c r="P39" i="68"/>
  <c r="T94" i="75"/>
  <c r="I10" i="7" a="1"/>
  <c r="I10" i="7" s="1"/>
  <c r="S2" i="102"/>
  <c r="H10" i="7" a="1"/>
  <c r="H10" i="7" s="1"/>
  <c r="R2" i="102"/>
  <c r="L18" i="60"/>
  <c r="V28" i="60"/>
  <c r="V23" i="60"/>
  <c r="L23" i="60" s="1"/>
  <c r="V22" i="60"/>
  <c r="L22" i="60" s="1"/>
  <c r="L17" i="60"/>
  <c r="V27" i="60"/>
  <c r="V30" i="60"/>
  <c r="L25" i="60"/>
  <c r="V21" i="60"/>
  <c r="L21" i="60" s="1"/>
  <c r="L16" i="60"/>
  <c r="V26" i="60"/>
  <c r="A80" i="27"/>
  <c r="H80" i="27"/>
  <c r="N80" i="27" s="1"/>
  <c r="P80" i="27" s="1"/>
  <c r="F110" i="27" s="1"/>
  <c r="I110" i="27" s="1"/>
  <c r="A105" i="27"/>
  <c r="A75" i="27"/>
  <c r="H75" i="27"/>
  <c r="N75" i="27" s="1"/>
  <c r="P75" i="27" s="1"/>
  <c r="F105" i="27" s="1"/>
  <c r="I105" i="27" s="1"/>
  <c r="H68" i="27"/>
  <c r="A68" i="27"/>
  <c r="E78" i="27"/>
  <c r="A110" i="27"/>
  <c r="A52" i="25"/>
  <c r="Q62" i="25"/>
  <c r="A62" i="25" s="1"/>
  <c r="A98" i="27"/>
  <c r="E108" i="27"/>
  <c r="A83" i="27"/>
  <c r="H83" i="27"/>
  <c r="N83" i="27" s="1"/>
  <c r="P83" i="27" s="1"/>
  <c r="F113" i="27" s="1"/>
  <c r="I113" i="27" s="1"/>
  <c r="H82" i="27"/>
  <c r="N82" i="27" s="1"/>
  <c r="P82" i="27" s="1"/>
  <c r="F112" i="27" s="1"/>
  <c r="I112" i="27" s="1"/>
  <c r="A82" i="27"/>
  <c r="H69" i="27"/>
  <c r="N69" i="27" s="1"/>
  <c r="P69" i="27" s="1"/>
  <c r="F99" i="27" s="1"/>
  <c r="I99" i="27" s="1"/>
  <c r="A69" i="27"/>
  <c r="A81" i="27"/>
  <c r="H81" i="27"/>
  <c r="N81" i="27" s="1"/>
  <c r="P81" i="27" s="1"/>
  <c r="F111" i="27" s="1"/>
  <c r="I111" i="27" s="1"/>
  <c r="A111" i="27"/>
  <c r="A112" i="27"/>
  <c r="A99" i="27"/>
  <c r="A118" i="27"/>
  <c r="A106" i="27"/>
  <c r="BD8" i="114"/>
  <c r="A114" i="27"/>
  <c r="A76" i="27"/>
  <c r="H76" i="27"/>
  <c r="N76" i="27" s="1"/>
  <c r="P76" i="27" s="1"/>
  <c r="F106" i="27" s="1"/>
  <c r="I106" i="27" s="1"/>
  <c r="H70" i="27"/>
  <c r="N70" i="27" s="1"/>
  <c r="P70" i="27" s="1"/>
  <c r="F100" i="27" s="1"/>
  <c r="I100" i="27" s="1"/>
  <c r="A70" i="27"/>
  <c r="A100" i="27"/>
  <c r="A84" i="27"/>
  <c r="H84" i="27"/>
  <c r="N84" i="27" s="1"/>
  <c r="P84" i="27" s="1"/>
  <c r="F114" i="27" s="1"/>
  <c r="I114" i="27" s="1"/>
  <c r="A109" i="27"/>
  <c r="E119" i="27"/>
  <c r="A115" i="27"/>
  <c r="A72" i="27"/>
  <c r="H72" i="27"/>
  <c r="N72" i="27" s="1"/>
  <c r="P72" i="27" s="1"/>
  <c r="F102" i="27" s="1"/>
  <c r="I102" i="27" s="1"/>
  <c r="H79" i="27"/>
  <c r="A79" i="27"/>
  <c r="E89" i="27"/>
  <c r="A116" i="27"/>
  <c r="A87" i="27"/>
  <c r="H87" i="27"/>
  <c r="N87" i="27" s="1"/>
  <c r="P87" i="27" s="1"/>
  <c r="F117" i="27" s="1"/>
  <c r="I117" i="27" s="1"/>
  <c r="H71" i="27"/>
  <c r="N71" i="27" s="1"/>
  <c r="P71" i="27" s="1"/>
  <c r="F101" i="27" s="1"/>
  <c r="I101" i="27" s="1"/>
  <c r="A71" i="27"/>
  <c r="A63" i="25"/>
  <c r="Q73" i="25"/>
  <c r="A73" i="25" s="1"/>
  <c r="H86" i="27"/>
  <c r="N86" i="27" s="1"/>
  <c r="P86" i="27" s="1"/>
  <c r="F116" i="27" s="1"/>
  <c r="I116" i="27" s="1"/>
  <c r="A86" i="27"/>
  <c r="H85" i="27"/>
  <c r="N85" i="27" s="1"/>
  <c r="P85" i="27" s="1"/>
  <c r="F115" i="27" s="1"/>
  <c r="I115" i="27" s="1"/>
  <c r="A85" i="27"/>
  <c r="H74" i="27"/>
  <c r="N74" i="27" s="1"/>
  <c r="P74" i="27" s="1"/>
  <c r="F104" i="27" s="1"/>
  <c r="I104" i="27" s="1"/>
  <c r="A74" i="27"/>
  <c r="H73" i="27"/>
  <c r="N73" i="27" s="1"/>
  <c r="P73" i="27" s="1"/>
  <c r="F103" i="27" s="1"/>
  <c r="I103" i="27" s="1"/>
  <c r="A73" i="27"/>
  <c r="A77" i="27"/>
  <c r="H77" i="27"/>
  <c r="N77" i="27" s="1"/>
  <c r="P77" i="27" s="1"/>
  <c r="F107" i="27" s="1"/>
  <c r="I107" i="27" s="1"/>
  <c r="A104" i="27"/>
  <c r="H88" i="27"/>
  <c r="N88" i="27" s="1"/>
  <c r="P88" i="27" s="1"/>
  <c r="F118" i="27" s="1"/>
  <c r="I118" i="27" s="1"/>
  <c r="A88" i="27"/>
  <c r="AP16" i="68"/>
  <c r="AP24" i="68"/>
  <c r="T137" i="27"/>
  <c r="A137" i="27"/>
  <c r="U138" i="27"/>
  <c r="E228" i="10"/>
  <c r="E175" i="10"/>
  <c r="E139" i="68"/>
  <c r="D140" i="68"/>
  <c r="F139" i="68"/>
  <c r="I139" i="68" s="1"/>
  <c r="K139" i="68" s="1"/>
  <c r="AP21" i="68"/>
  <c r="AP42" i="68"/>
  <c r="BA31" i="68"/>
  <c r="BA10" i="68"/>
  <c r="AP10" i="68"/>
  <c r="U42" i="68"/>
  <c r="L42" i="68" s="1"/>
  <c r="P42" i="68" s="1"/>
  <c r="L37" i="68"/>
  <c r="AP30" i="68"/>
  <c r="L36" i="68"/>
  <c r="U41" i="68"/>
  <c r="L41" i="68" s="1"/>
  <c r="P41" i="68" s="1"/>
  <c r="BA20" i="68"/>
  <c r="AP20" i="68"/>
  <c r="BA32" i="68"/>
  <c r="AP32" i="68"/>
  <c r="AP31" i="68"/>
  <c r="BA14" i="68"/>
  <c r="AP25" i="68"/>
  <c r="BA43" i="68"/>
  <c r="AP43" i="68"/>
  <c r="AP26" i="68"/>
  <c r="BA19" i="68"/>
  <c r="AP19" i="68"/>
  <c r="AF25" i="68"/>
  <c r="BB25" i="68" s="1"/>
  <c r="AF12" i="68"/>
  <c r="AF28" i="68"/>
  <c r="BB28" i="68" s="1"/>
  <c r="AG8" i="68"/>
  <c r="AF35" i="68"/>
  <c r="AF14" i="68"/>
  <c r="BB14" i="68" s="1"/>
  <c r="AF36" i="68"/>
  <c r="BB36" i="68" s="1"/>
  <c r="AF13" i="68"/>
  <c r="AQ13" i="68" s="1"/>
  <c r="AF27" i="68"/>
  <c r="BB8" i="68"/>
  <c r="AF19" i="68"/>
  <c r="BB19" i="68" s="1"/>
  <c r="AF10" i="68"/>
  <c r="AQ10" i="68" s="1"/>
  <c r="AF11" i="68"/>
  <c r="BB11" i="68" s="1"/>
  <c r="AF43" i="68"/>
  <c r="BB43" i="68" s="1"/>
  <c r="AF42" i="68"/>
  <c r="BB42" i="68" s="1"/>
  <c r="AF29" i="68"/>
  <c r="AF38" i="68"/>
  <c r="BB38" i="68" s="1"/>
  <c r="AF15" i="68"/>
  <c r="BB15" i="68" s="1"/>
  <c r="AF16" i="68"/>
  <c r="AF37" i="68"/>
  <c r="AF9" i="68"/>
  <c r="BB9" i="68" s="1"/>
  <c r="AF30" i="68"/>
  <c r="BB30" i="68" s="1"/>
  <c r="AF26" i="68"/>
  <c r="BB26" i="68" s="1"/>
  <c r="AF22" i="68"/>
  <c r="AF24" i="68"/>
  <c r="BB24" i="68" s="1"/>
  <c r="AF20" i="68"/>
  <c r="BB20" i="68" s="1"/>
  <c r="AF41" i="68"/>
  <c r="AF33" i="68"/>
  <c r="AQ33" i="68" s="1"/>
  <c r="AF21" i="68"/>
  <c r="AQ21" i="68" s="1"/>
  <c r="AF18" i="68"/>
  <c r="AQ18" i="68" s="1"/>
  <c r="AF32" i="68"/>
  <c r="BB32" i="68" s="1"/>
  <c r="AF40" i="68"/>
  <c r="BB40" i="68" s="1"/>
  <c r="AF39" i="68"/>
  <c r="BB39" i="68" s="1"/>
  <c r="AF23" i="68"/>
  <c r="BB23" i="68" s="1"/>
  <c r="AF31" i="68"/>
  <c r="BB31" i="68" s="1"/>
  <c r="AF34" i="68"/>
  <c r="AF17" i="68"/>
  <c r="AP14" i="68"/>
  <c r="E58" i="68"/>
  <c r="A58" i="68" s="1"/>
  <c r="D59" i="68"/>
  <c r="F58" i="68"/>
  <c r="I58" i="68" s="1"/>
  <c r="K58" i="68" s="1"/>
  <c r="BA39" i="68"/>
  <c r="AP37" i="68"/>
  <c r="AP35" i="68"/>
  <c r="AP36" i="68"/>
  <c r="AP15" i="68"/>
  <c r="D78" i="68"/>
  <c r="H77" i="68"/>
  <c r="E77" i="68"/>
  <c r="A77" i="68" s="1"/>
  <c r="F77" i="68"/>
  <c r="L146" i="84"/>
  <c r="L145" i="84"/>
  <c r="G76" i="68"/>
  <c r="I76" i="68" s="1"/>
  <c r="AP18" i="68"/>
  <c r="AP33" i="68"/>
  <c r="AP29" i="68"/>
  <c r="AP12" i="68"/>
  <c r="BA17" i="68"/>
  <c r="AP17" i="68"/>
  <c r="BA40" i="68"/>
  <c r="BA13" i="68"/>
  <c r="AP13" i="68"/>
  <c r="BA23" i="68"/>
  <c r="AP11" i="68"/>
  <c r="BA34" i="68"/>
  <c r="L35" i="68"/>
  <c r="U40" i="68"/>
  <c r="L40" i="68" s="1"/>
  <c r="P40" i="68" s="1"/>
  <c r="AP41" i="68"/>
  <c r="BA22" i="68"/>
  <c r="AP22" i="68"/>
  <c r="AP38" i="68"/>
  <c r="AP28" i="68"/>
  <c r="L38" i="68"/>
  <c r="U43" i="68"/>
  <c r="L43" i="68" s="1"/>
  <c r="P43" i="68" s="1"/>
  <c r="BA9" i="68"/>
  <c r="U154" i="91"/>
  <c r="U153" i="91"/>
  <c r="U157" i="91"/>
  <c r="U156" i="91"/>
  <c r="U155" i="91"/>
  <c r="AK10" i="114"/>
  <c r="AM10" i="114"/>
  <c r="AN10" i="114"/>
  <c r="AO10" i="114"/>
  <c r="AP10" i="114"/>
  <c r="AD11" i="114"/>
  <c r="AE11" i="114" s="1"/>
  <c r="AF10" i="114"/>
  <c r="AG10" i="114"/>
  <c r="AH10" i="114"/>
  <c r="AI10" i="114"/>
  <c r="AJ10" i="114"/>
  <c r="AL10" i="114"/>
  <c r="AQ10" i="114"/>
  <c r="AE11" i="113"/>
  <c r="D9" i="114"/>
  <c r="E9" i="114"/>
  <c r="F9" i="114"/>
  <c r="G9" i="114"/>
  <c r="C10" i="114"/>
  <c r="H9" i="114"/>
  <c r="I9" i="114"/>
  <c r="J9" i="114"/>
  <c r="K9" i="114"/>
  <c r="L9" i="114"/>
  <c r="M9" i="114"/>
  <c r="N9" i="114"/>
  <c r="O9" i="114"/>
  <c r="P9" i="114"/>
  <c r="X8" i="114" a="1"/>
  <c r="X8" i="114" s="1"/>
  <c r="Z12" i="113" s="1"/>
  <c r="AA8" i="114"/>
  <c r="AC12" i="113" s="1"/>
  <c r="P11" i="113"/>
  <c r="S11" i="113"/>
  <c r="D24" i="14"/>
  <c r="J24" i="14" s="1"/>
  <c r="F24" i="14"/>
  <c r="G24" i="14"/>
  <c r="H24" i="14"/>
  <c r="M24" i="14"/>
  <c r="K24" i="14"/>
  <c r="L24" i="14"/>
  <c r="B25" i="14"/>
  <c r="E24" i="14"/>
  <c r="N24" i="14"/>
  <c r="I24" i="14"/>
  <c r="BA9" i="114"/>
  <c r="BD9" i="114"/>
  <c r="U8" i="114"/>
  <c r="Q12" i="113" s="1"/>
  <c r="R8" i="114"/>
  <c r="N12" i="113" s="1"/>
  <c r="BN9" i="114"/>
  <c r="BO9" i="114"/>
  <c r="L12" i="113"/>
  <c r="A12" i="113" s="1"/>
  <c r="X12" i="113"/>
  <c r="BM9" i="114"/>
  <c r="BL9" i="114"/>
  <c r="AX9" i="114"/>
  <c r="AU9" i="114"/>
  <c r="BE11" i="114"/>
  <c r="BF10" i="114"/>
  <c r="BI10" i="114"/>
  <c r="BJ10" i="114"/>
  <c r="BH10" i="114"/>
  <c r="BG10" i="114"/>
  <c r="Z8" i="114"/>
  <c r="AB12" i="113" s="1"/>
  <c r="AC8" i="114"/>
  <c r="AE12" i="113" s="1"/>
  <c r="AZ9" i="114"/>
  <c r="BC9" i="114"/>
  <c r="AT9" i="114"/>
  <c r="AW9" i="114"/>
  <c r="W8" i="114"/>
  <c r="S12" i="113" s="1"/>
  <c r="T8" i="114"/>
  <c r="P12" i="113" s="1"/>
  <c r="AY9" i="114"/>
  <c r="BB9" i="114"/>
  <c r="Y8" i="114"/>
  <c r="AA12" i="113" s="1"/>
  <c r="AB8" i="114"/>
  <c r="AD12" i="113" s="1"/>
  <c r="AS9" i="114"/>
  <c r="AV9" i="114"/>
  <c r="V8" i="114"/>
  <c r="R12" i="113" s="1"/>
  <c r="S8" i="114"/>
  <c r="O12" i="113" s="1"/>
  <c r="F98" i="68" l="1"/>
  <c r="I98" i="68" s="1"/>
  <c r="K98" i="68" s="1"/>
  <c r="E98" i="68"/>
  <c r="A98" i="68" s="1"/>
  <c r="D99" i="68"/>
  <c r="BA142" i="60"/>
  <c r="G120" i="60"/>
  <c r="K120" i="60"/>
  <c r="M120" i="60" s="1"/>
  <c r="A120" i="60"/>
  <c r="E121" i="60"/>
  <c r="D122" i="60"/>
  <c r="A143" i="60"/>
  <c r="V144" i="60"/>
  <c r="AJ143" i="60"/>
  <c r="AL143" i="60"/>
  <c r="BH143" i="60" s="1"/>
  <c r="AK143" i="60"/>
  <c r="BG143" i="60" s="1"/>
  <c r="AU142" i="60"/>
  <c r="AV142" i="60"/>
  <c r="AX142" i="60"/>
  <c r="BF142" i="60"/>
  <c r="AY142" i="60"/>
  <c r="AW142" i="60"/>
  <c r="AZ142" i="60"/>
  <c r="AS34" i="60"/>
  <c r="D27" i="60"/>
  <c r="A27" i="60" s="1"/>
  <c r="D15" i="60"/>
  <c r="A15" i="60" s="1"/>
  <c r="AS26" i="60"/>
  <c r="AT26" i="60" s="1"/>
  <c r="D26" i="60" s="1"/>
  <c r="A26" i="60" s="1"/>
  <c r="AS42" i="60"/>
  <c r="AS10" i="60"/>
  <c r="AS9" i="60"/>
  <c r="AS15" i="60"/>
  <c r="D16" i="60"/>
  <c r="A16" i="60" s="1"/>
  <c r="AS35" i="60"/>
  <c r="BB138" i="60"/>
  <c r="AS40" i="60"/>
  <c r="D31" i="60"/>
  <c r="A31" i="60" s="1"/>
  <c r="AS39" i="60"/>
  <c r="AS27" i="60"/>
  <c r="BD24" i="60"/>
  <c r="D24" i="60" s="1"/>
  <c r="A24" i="60" s="1"/>
  <c r="AS24" i="60"/>
  <c r="BD33" i="60"/>
  <c r="D33" i="60" s="1"/>
  <c r="A33" i="60" s="1"/>
  <c r="AS33" i="60"/>
  <c r="AS16" i="60"/>
  <c r="BM141" i="60"/>
  <c r="D40" i="60"/>
  <c r="A40" i="60" s="1"/>
  <c r="BD41" i="60"/>
  <c r="D41" i="60" s="1"/>
  <c r="A41" i="60" s="1"/>
  <c r="AS41" i="60"/>
  <c r="AS14" i="60"/>
  <c r="AS19" i="60"/>
  <c r="F101" i="60"/>
  <c r="I101" i="60" s="1"/>
  <c r="D102" i="60"/>
  <c r="J101" i="60"/>
  <c r="E101" i="60"/>
  <c r="A101" i="60" s="1"/>
  <c r="D14" i="60"/>
  <c r="A14" i="60" s="1"/>
  <c r="BM136" i="60"/>
  <c r="BM137" i="60"/>
  <c r="BB137" i="60"/>
  <c r="AR147" i="60"/>
  <c r="BN147" i="60" s="1"/>
  <c r="AR215" i="60"/>
  <c r="BN215" i="60" s="1"/>
  <c r="AR137" i="60"/>
  <c r="BN137" i="60" s="1"/>
  <c r="BC134" i="60"/>
  <c r="BN134" i="60" s="1"/>
  <c r="AR177" i="60"/>
  <c r="BN177" i="60" s="1"/>
  <c r="AR149" i="60"/>
  <c r="BN149" i="60" s="1"/>
  <c r="AR199" i="60"/>
  <c r="BN199" i="60" s="1"/>
  <c r="AR190" i="60"/>
  <c r="BN190" i="60" s="1"/>
  <c r="AR178" i="60"/>
  <c r="BN178" i="60" s="1"/>
  <c r="AR207" i="60"/>
  <c r="BN207" i="60" s="1"/>
  <c r="AR164" i="60"/>
  <c r="BN164" i="60" s="1"/>
  <c r="AR145" i="60"/>
  <c r="BN145" i="60" s="1"/>
  <c r="AR141" i="60"/>
  <c r="AR182" i="60"/>
  <c r="BN182" i="60" s="1"/>
  <c r="AR146" i="60"/>
  <c r="BN146" i="60" s="1"/>
  <c r="AR162" i="60"/>
  <c r="BN162" i="60" s="1"/>
  <c r="AR208" i="60"/>
  <c r="BN208" i="60" s="1"/>
  <c r="AR210" i="60"/>
  <c r="BN210" i="60" s="1"/>
  <c r="AR185" i="60"/>
  <c r="BN185" i="60" s="1"/>
  <c r="AR161" i="60"/>
  <c r="BN161" i="60" s="1"/>
  <c r="AR214" i="60"/>
  <c r="BN214" i="60" s="1"/>
  <c r="AR188" i="60"/>
  <c r="BN188" i="60" s="1"/>
  <c r="AR176" i="60"/>
  <c r="BN176" i="60" s="1"/>
  <c r="AR163" i="60"/>
  <c r="BN163" i="60" s="1"/>
  <c r="AR143" i="60"/>
  <c r="BN143" i="60" s="1"/>
  <c r="AR159" i="60"/>
  <c r="BN159" i="60" s="1"/>
  <c r="AR166" i="60"/>
  <c r="BN166" i="60" s="1"/>
  <c r="AR154" i="60"/>
  <c r="BN154" i="60" s="1"/>
  <c r="AR193" i="60"/>
  <c r="BN193" i="60" s="1"/>
  <c r="AR191" i="60"/>
  <c r="BN191" i="60" s="1"/>
  <c r="AR170" i="60"/>
  <c r="BN170" i="60" s="1"/>
  <c r="AR165" i="60"/>
  <c r="BN165" i="60" s="1"/>
  <c r="AS134" i="60"/>
  <c r="AR203" i="60"/>
  <c r="BN203" i="60" s="1"/>
  <c r="AR173" i="60"/>
  <c r="BN173" i="60" s="1"/>
  <c r="AR156" i="60"/>
  <c r="BN156" i="60" s="1"/>
  <c r="AR206" i="60"/>
  <c r="BN206" i="60" s="1"/>
  <c r="AR168" i="60"/>
  <c r="BN168" i="60" s="1"/>
  <c r="AR183" i="60"/>
  <c r="BN183" i="60" s="1"/>
  <c r="AR160" i="60"/>
  <c r="BN160" i="60" s="1"/>
  <c r="AR204" i="60"/>
  <c r="BN204" i="60" s="1"/>
  <c r="AR198" i="60"/>
  <c r="BN198" i="60" s="1"/>
  <c r="AR169" i="60"/>
  <c r="BN169" i="60" s="1"/>
  <c r="AR205" i="60"/>
  <c r="BN205" i="60" s="1"/>
  <c r="AR211" i="60"/>
  <c r="BN211" i="60" s="1"/>
  <c r="AR138" i="60"/>
  <c r="AR139" i="60"/>
  <c r="AR197" i="60"/>
  <c r="BN197" i="60" s="1"/>
  <c r="AR213" i="60"/>
  <c r="BN213" i="60" s="1"/>
  <c r="AR142" i="60"/>
  <c r="AR179" i="60"/>
  <c r="BN179" i="60" s="1"/>
  <c r="AR172" i="60"/>
  <c r="BN172" i="60" s="1"/>
  <c r="AR212" i="60"/>
  <c r="BN212" i="60" s="1"/>
  <c r="AR150" i="60"/>
  <c r="BN150" i="60" s="1"/>
  <c r="AR186" i="60"/>
  <c r="BN186" i="60" s="1"/>
  <c r="AR140" i="60"/>
  <c r="AR195" i="60"/>
  <c r="BN195" i="60" s="1"/>
  <c r="AR157" i="60"/>
  <c r="BN157" i="60" s="1"/>
  <c r="AR171" i="60"/>
  <c r="BN171" i="60" s="1"/>
  <c r="AR135" i="60"/>
  <c r="AR148" i="60"/>
  <c r="BN148" i="60" s="1"/>
  <c r="AR189" i="60"/>
  <c r="BN189" i="60" s="1"/>
  <c r="AR202" i="60"/>
  <c r="BN202" i="60" s="1"/>
  <c r="AR180" i="60"/>
  <c r="BN180" i="60" s="1"/>
  <c r="AR184" i="60"/>
  <c r="BN184" i="60" s="1"/>
  <c r="AR151" i="60"/>
  <c r="BN151" i="60" s="1"/>
  <c r="AR175" i="60"/>
  <c r="BN175" i="60" s="1"/>
  <c r="AR200" i="60"/>
  <c r="BN200" i="60" s="1"/>
  <c r="AR158" i="60"/>
  <c r="BN158" i="60" s="1"/>
  <c r="AR167" i="60"/>
  <c r="BN167" i="60" s="1"/>
  <c r="AR181" i="60"/>
  <c r="BN181" i="60" s="1"/>
  <c r="AR136" i="60"/>
  <c r="BC136" i="60" s="1"/>
  <c r="AR144" i="60"/>
  <c r="AR187" i="60"/>
  <c r="BN187" i="60" s="1"/>
  <c r="AR196" i="60"/>
  <c r="BN196" i="60" s="1"/>
  <c r="AR192" i="60"/>
  <c r="BN192" i="60" s="1"/>
  <c r="AR152" i="60"/>
  <c r="BN152" i="60" s="1"/>
  <c r="AR174" i="60"/>
  <c r="BN174" i="60" s="1"/>
  <c r="AR209" i="60"/>
  <c r="BN209" i="60" s="1"/>
  <c r="AR155" i="60"/>
  <c r="BN155" i="60" s="1"/>
  <c r="AR153" i="60"/>
  <c r="BN153" i="60" s="1"/>
  <c r="AR194" i="60"/>
  <c r="BN194" i="60" s="1"/>
  <c r="AR201" i="60"/>
  <c r="BN201" i="60" s="1"/>
  <c r="D18" i="60"/>
  <c r="A18" i="60" s="1"/>
  <c r="D19" i="60"/>
  <c r="A19" i="60" s="1"/>
  <c r="J79" i="60"/>
  <c r="D17" i="60"/>
  <c r="A17" i="60" s="1"/>
  <c r="BM135" i="60"/>
  <c r="AS18" i="60"/>
  <c r="AS37" i="60"/>
  <c r="BD29" i="60"/>
  <c r="D29" i="60" s="1"/>
  <c r="A29" i="60" s="1"/>
  <c r="AS29" i="60"/>
  <c r="D81" i="60"/>
  <c r="F80" i="60"/>
  <c r="I80" i="60" s="1"/>
  <c r="E80" i="60"/>
  <c r="A80" i="60" s="1"/>
  <c r="BB142" i="60"/>
  <c r="AS36" i="60"/>
  <c r="BD28" i="60"/>
  <c r="D28" i="60" s="1"/>
  <c r="A28" i="60" s="1"/>
  <c r="AS28" i="60"/>
  <c r="BD12" i="60"/>
  <c r="D12" i="60" s="1"/>
  <c r="A12" i="60" s="1"/>
  <c r="AS12" i="60"/>
  <c r="BD21" i="60"/>
  <c r="D21" i="60" s="1"/>
  <c r="A21" i="60" s="1"/>
  <c r="AS21" i="60"/>
  <c r="BD11" i="60"/>
  <c r="D11" i="60" s="1"/>
  <c r="A11" i="60" s="1"/>
  <c r="AS11" i="60"/>
  <c r="BD22" i="60"/>
  <c r="D22" i="60" s="1"/>
  <c r="A22" i="60" s="1"/>
  <c r="AS22" i="60"/>
  <c r="BD30" i="60"/>
  <c r="D30" i="60" s="1"/>
  <c r="A30" i="60" s="1"/>
  <c r="AS30" i="60"/>
  <c r="BB140" i="60"/>
  <c r="D36" i="60"/>
  <c r="A36" i="60" s="1"/>
  <c r="BD32" i="60"/>
  <c r="D32" i="60" s="1"/>
  <c r="A32" i="60" s="1"/>
  <c r="AS32" i="60"/>
  <c r="AS43" i="60"/>
  <c r="BM139" i="60"/>
  <c r="BB139" i="60"/>
  <c r="AS25" i="60"/>
  <c r="AS23" i="60"/>
  <c r="D43" i="60"/>
  <c r="A43" i="60" s="1"/>
  <c r="BM143" i="60"/>
  <c r="BB135" i="60"/>
  <c r="BD20" i="60"/>
  <c r="D20" i="60" s="1"/>
  <c r="A20" i="60" s="1"/>
  <c r="AS20" i="60"/>
  <c r="BB141" i="60"/>
  <c r="BD13" i="60"/>
  <c r="D13" i="60" s="1"/>
  <c r="A13" i="60" s="1"/>
  <c r="AS13" i="60"/>
  <c r="K100" i="60"/>
  <c r="AS38" i="60"/>
  <c r="AS17" i="60"/>
  <c r="D25" i="60"/>
  <c r="A25" i="60" s="1"/>
  <c r="D23" i="60"/>
  <c r="A23" i="60" s="1"/>
  <c r="AS31" i="60"/>
  <c r="AB43" i="80"/>
  <c r="AD41" i="80"/>
  <c r="V8" i="80"/>
  <c r="V9" i="80" s="1"/>
  <c r="V11" i="80" s="1"/>
  <c r="V13" i="80" s="1"/>
  <c r="V21" i="80"/>
  <c r="X5" i="80"/>
  <c r="X51" i="80"/>
  <c r="V53" i="80"/>
  <c r="V55" i="80"/>
  <c r="V54" i="80"/>
  <c r="V52" i="80"/>
  <c r="T56" i="80"/>
  <c r="T58" i="80" s="1"/>
  <c r="T60" i="80" s="1"/>
  <c r="T62" i="80" s="1"/>
  <c r="S62" i="80" s="1"/>
  <c r="O72" i="77"/>
  <c r="N73" i="77"/>
  <c r="O78" i="77"/>
  <c r="N79" i="77"/>
  <c r="G118" i="68"/>
  <c r="I118" i="68" s="1"/>
  <c r="W20" i="45"/>
  <c r="W21" i="45"/>
  <c r="V84" i="45"/>
  <c r="L14" i="60"/>
  <c r="V24" i="60"/>
  <c r="V29" i="60" s="1"/>
  <c r="G159" i="68"/>
  <c r="I159" i="68" s="1"/>
  <c r="F160" i="68"/>
  <c r="D161" i="68"/>
  <c r="E160" i="68"/>
  <c r="H160" i="68"/>
  <c r="H119" i="68"/>
  <c r="E119" i="68"/>
  <c r="A119" i="68" s="1"/>
  <c r="D120" i="68"/>
  <c r="F119" i="68"/>
  <c r="D59" i="60"/>
  <c r="F58" i="60"/>
  <c r="J58" i="60" s="1"/>
  <c r="L58" i="60" s="1"/>
  <c r="E58" i="60"/>
  <c r="A58" i="60" s="1"/>
  <c r="F52" i="27"/>
  <c r="F68" i="78"/>
  <c r="F72" i="78" s="1"/>
  <c r="F40" i="27"/>
  <c r="F43" i="27" s="1"/>
  <c r="F47" i="27" s="1"/>
  <c r="G13" i="25" s="1"/>
  <c r="AQ39" i="68"/>
  <c r="A74" i="25"/>
  <c r="V32" i="60"/>
  <c r="L27" i="60"/>
  <c r="L26" i="60"/>
  <c r="V31" i="60"/>
  <c r="V33" i="60"/>
  <c r="L28" i="60"/>
  <c r="V35" i="60"/>
  <c r="L30" i="60"/>
  <c r="E120" i="27"/>
  <c r="G77" i="68"/>
  <c r="I77" i="68" s="1"/>
  <c r="AQ38" i="68"/>
  <c r="AQ9" i="68"/>
  <c r="AQ25" i="68"/>
  <c r="N79" i="27"/>
  <c r="H89" i="27"/>
  <c r="I89" i="27" s="1"/>
  <c r="A75" i="25"/>
  <c r="E90" i="27"/>
  <c r="N68" i="27"/>
  <c r="H78" i="27"/>
  <c r="J78" i="27" s="1"/>
  <c r="AQ28" i="68"/>
  <c r="AQ26" i="68"/>
  <c r="AQ23" i="68"/>
  <c r="AQ30" i="68"/>
  <c r="U139" i="27"/>
  <c r="T138" i="27"/>
  <c r="A138" i="27"/>
  <c r="F140" i="68"/>
  <c r="I140" i="68" s="1"/>
  <c r="K140" i="68" s="1"/>
  <c r="E140" i="68"/>
  <c r="D141" i="68"/>
  <c r="AQ42" i="68"/>
  <c r="AQ32" i="68"/>
  <c r="AQ19" i="68"/>
  <c r="AQ11" i="68"/>
  <c r="BB41" i="68"/>
  <c r="AQ41" i="68"/>
  <c r="D60" i="68"/>
  <c r="F59" i="68"/>
  <c r="I59" i="68" s="1"/>
  <c r="K59" i="68" s="1"/>
  <c r="E59" i="68"/>
  <c r="A59" i="68" s="1"/>
  <c r="BB35" i="68"/>
  <c r="AQ35" i="68"/>
  <c r="BB22" i="68"/>
  <c r="AQ22" i="68"/>
  <c r="AG43" i="68"/>
  <c r="AG22" i="68"/>
  <c r="AG12" i="68"/>
  <c r="BC12" i="68" s="1"/>
  <c r="AG42" i="68"/>
  <c r="BC42" i="68" s="1"/>
  <c r="D42" i="68" s="1"/>
  <c r="A42" i="68" s="1"/>
  <c r="AG39" i="68"/>
  <c r="BC39" i="68" s="1"/>
  <c r="D39" i="68" s="1"/>
  <c r="A39" i="68" s="1"/>
  <c r="AG17" i="68"/>
  <c r="AG11" i="68"/>
  <c r="AG29" i="68"/>
  <c r="AG9" i="68"/>
  <c r="AG10" i="68"/>
  <c r="BC10" i="68" s="1"/>
  <c r="AG33" i="68"/>
  <c r="BC33" i="68" s="1"/>
  <c r="AG38" i="68"/>
  <c r="BC38" i="68" s="1"/>
  <c r="D38" i="68" s="1"/>
  <c r="A38" i="68" s="1"/>
  <c r="AG26" i="68"/>
  <c r="BC26" i="68" s="1"/>
  <c r="AG19" i="68"/>
  <c r="AG16" i="68"/>
  <c r="BC16" i="68" s="1"/>
  <c r="AG31" i="68"/>
  <c r="BC31" i="68" s="1"/>
  <c r="D31" i="68" s="1"/>
  <c r="A31" i="68" s="1"/>
  <c r="AG14" i="68"/>
  <c r="BC14" i="68" s="1"/>
  <c r="D14" i="68" s="1"/>
  <c r="A14" i="68" s="1"/>
  <c r="AG18" i="68"/>
  <c r="BC18" i="68" s="1"/>
  <c r="AG34" i="68"/>
  <c r="AG27" i="68"/>
  <c r="AG30" i="68"/>
  <c r="BC30" i="68" s="1"/>
  <c r="D30" i="68" s="1"/>
  <c r="A30" i="68" s="1"/>
  <c r="AG20" i="68"/>
  <c r="BC20" i="68" s="1"/>
  <c r="D20" i="68" s="1"/>
  <c r="A20" i="68" s="1"/>
  <c r="AG23" i="68"/>
  <c r="AG25" i="68"/>
  <c r="AG13" i="68"/>
  <c r="BC13" i="68" s="1"/>
  <c r="AG40" i="68"/>
  <c r="AG35" i="68"/>
  <c r="BC35" i="68" s="1"/>
  <c r="AG28" i="68"/>
  <c r="AG37" i="68"/>
  <c r="AG24" i="68"/>
  <c r="BC24" i="68" s="1"/>
  <c r="D24" i="68" s="1"/>
  <c r="A24" i="68" s="1"/>
  <c r="BC8" i="68"/>
  <c r="AG15" i="68"/>
  <c r="BC15" i="68" s="1"/>
  <c r="D15" i="68" s="1"/>
  <c r="A15" i="68" s="1"/>
  <c r="AG21" i="68"/>
  <c r="BC21" i="68" s="1"/>
  <c r="AG36" i="68"/>
  <c r="BC36" i="68" s="1"/>
  <c r="D36" i="68" s="1"/>
  <c r="A36" i="68" s="1"/>
  <c r="AG41" i="68"/>
  <c r="BC41" i="68" s="1"/>
  <c r="AG32" i="68"/>
  <c r="AQ14" i="68"/>
  <c r="BB12" i="68"/>
  <c r="AQ12" i="68"/>
  <c r="D79" i="68"/>
  <c r="E78" i="68"/>
  <c r="A78" i="68" s="1"/>
  <c r="H78" i="68"/>
  <c r="F78" i="68"/>
  <c r="BB37" i="68"/>
  <c r="AQ37" i="68"/>
  <c r="BB16" i="68"/>
  <c r="AQ16" i="68"/>
  <c r="AQ31" i="68"/>
  <c r="AQ36" i="68"/>
  <c r="BB17" i="68"/>
  <c r="AQ17" i="68"/>
  <c r="BB34" i="68"/>
  <c r="AQ34" i="68"/>
  <c r="BB29" i="68"/>
  <c r="AQ29" i="68"/>
  <c r="AQ24" i="68"/>
  <c r="AQ43" i="68"/>
  <c r="BB10" i="68"/>
  <c r="AQ20" i="68"/>
  <c r="AQ40" i="68"/>
  <c r="BB18" i="68"/>
  <c r="BB21" i="68"/>
  <c r="BB27" i="68"/>
  <c r="AQ27" i="68"/>
  <c r="AQ15" i="68"/>
  <c r="BB33" i="68"/>
  <c r="BB13" i="68"/>
  <c r="R9" i="114"/>
  <c r="N13" i="113" s="1"/>
  <c r="U9" i="114"/>
  <c r="Q13" i="113" s="1"/>
  <c r="L13" i="113"/>
  <c r="A13" i="113" s="1"/>
  <c r="X13" i="113"/>
  <c r="AZ10" i="114"/>
  <c r="BC10" i="114"/>
  <c r="AT10" i="114"/>
  <c r="AW10" i="114"/>
  <c r="AY10" i="114"/>
  <c r="BB10" i="114"/>
  <c r="Z9" i="114"/>
  <c r="AB13" i="113" s="1"/>
  <c r="AC9" i="114"/>
  <c r="AE13" i="113" s="1"/>
  <c r="AV10" i="114"/>
  <c r="AS10" i="114"/>
  <c r="W9" i="114"/>
  <c r="T9" i="114"/>
  <c r="P13" i="113" s="1"/>
  <c r="BM10" i="114"/>
  <c r="BL10" i="114"/>
  <c r="AG11" i="114"/>
  <c r="AI11" i="114"/>
  <c r="AJ11" i="114"/>
  <c r="AK11" i="114"/>
  <c r="AL11" i="114"/>
  <c r="AM11" i="114"/>
  <c r="AN11" i="114"/>
  <c r="AO11" i="114"/>
  <c r="AQ11" i="114"/>
  <c r="AD12" i="114"/>
  <c r="AE12" i="114" s="1"/>
  <c r="AF11" i="114"/>
  <c r="AH11" i="114"/>
  <c r="AP11" i="114"/>
  <c r="Y9" i="114"/>
  <c r="AA13" i="113" s="1"/>
  <c r="AB9" i="114"/>
  <c r="AD13" i="113" s="1"/>
  <c r="BA10" i="114"/>
  <c r="BD10" i="114"/>
  <c r="L25" i="14"/>
  <c r="M25" i="14"/>
  <c r="N25" i="14"/>
  <c r="B26" i="14"/>
  <c r="D25" i="14"/>
  <c r="E25" i="14"/>
  <c r="H25" i="14"/>
  <c r="K25" i="14"/>
  <c r="F25" i="14"/>
  <c r="G25" i="14"/>
  <c r="I25" i="14"/>
  <c r="BN10" i="114"/>
  <c r="BO10" i="114"/>
  <c r="V9" i="114"/>
  <c r="R13" i="113" s="1"/>
  <c r="S9" i="114"/>
  <c r="O13" i="113" s="1"/>
  <c r="AU10" i="114"/>
  <c r="AX10" i="114"/>
  <c r="BG11" i="114"/>
  <c r="BI11" i="114"/>
  <c r="BJ11" i="114"/>
  <c r="BF11" i="114"/>
  <c r="BH11" i="114"/>
  <c r="BE12" i="114"/>
  <c r="M10" i="114"/>
  <c r="N10" i="114"/>
  <c r="O10" i="114"/>
  <c r="P10" i="114"/>
  <c r="D10" i="114"/>
  <c r="E10" i="114"/>
  <c r="F10" i="114"/>
  <c r="G10" i="114"/>
  <c r="C11" i="114"/>
  <c r="H10" i="114"/>
  <c r="I10" i="114"/>
  <c r="J10" i="114"/>
  <c r="K10" i="114"/>
  <c r="L10" i="114"/>
  <c r="X9" i="114" a="1"/>
  <c r="X9" i="114" s="1"/>
  <c r="Z13" i="113" s="1"/>
  <c r="AA9" i="114"/>
  <c r="AC13" i="113" s="1"/>
  <c r="F99" i="68" l="1"/>
  <c r="I99" i="68" s="1"/>
  <c r="K99" i="68" s="1"/>
  <c r="D100" i="68"/>
  <c r="E99" i="68"/>
  <c r="A99" i="68" s="1"/>
  <c r="AY143" i="60"/>
  <c r="BF143" i="60"/>
  <c r="AZ143" i="60"/>
  <c r="AV143" i="60"/>
  <c r="AX143" i="60"/>
  <c r="AW143" i="60"/>
  <c r="AU143" i="60"/>
  <c r="BA143" i="60"/>
  <c r="A144" i="60"/>
  <c r="AL144" i="60"/>
  <c r="BH144" i="60" s="1"/>
  <c r="V145" i="60"/>
  <c r="AJ144" i="60"/>
  <c r="AK144" i="60"/>
  <c r="BG144" i="60" s="1"/>
  <c r="D123" i="60"/>
  <c r="E122" i="60"/>
  <c r="A121" i="60"/>
  <c r="G121" i="60"/>
  <c r="K121" i="60"/>
  <c r="M121" i="60" s="1"/>
  <c r="BB143" i="60"/>
  <c r="V56" i="80"/>
  <c r="V58" i="80" s="1"/>
  <c r="V60" i="80" s="1"/>
  <c r="V62" i="80" s="1"/>
  <c r="U62" i="80" s="1"/>
  <c r="K101" i="60"/>
  <c r="BN135" i="60"/>
  <c r="BC135" i="60"/>
  <c r="BN136" i="60"/>
  <c r="BC143" i="60"/>
  <c r="BN142" i="60"/>
  <c r="BN140" i="60"/>
  <c r="BC140" i="60"/>
  <c r="AS198" i="60"/>
  <c r="BO198" i="60" s="1"/>
  <c r="AS210" i="60"/>
  <c r="BO210" i="60" s="1"/>
  <c r="AS148" i="60"/>
  <c r="BO148" i="60" s="1"/>
  <c r="AS183" i="60"/>
  <c r="BO183" i="60" s="1"/>
  <c r="AS211" i="60"/>
  <c r="BO211" i="60" s="1"/>
  <c r="AS214" i="60"/>
  <c r="BO214" i="60" s="1"/>
  <c r="AS190" i="60"/>
  <c r="BO190" i="60" s="1"/>
  <c r="AS170" i="60"/>
  <c r="BO170" i="60" s="1"/>
  <c r="AS175" i="60"/>
  <c r="BO175" i="60" s="1"/>
  <c r="AS142" i="60"/>
  <c r="AS209" i="60"/>
  <c r="BO209" i="60" s="1"/>
  <c r="BD134" i="60"/>
  <c r="BO134" i="60" s="1"/>
  <c r="AS157" i="60"/>
  <c r="BO157" i="60" s="1"/>
  <c r="AS188" i="60"/>
  <c r="BO188" i="60" s="1"/>
  <c r="AS208" i="60"/>
  <c r="BO208" i="60" s="1"/>
  <c r="AS147" i="60"/>
  <c r="BO147" i="60" s="1"/>
  <c r="AS162" i="60"/>
  <c r="BO162" i="60" s="1"/>
  <c r="AS193" i="60"/>
  <c r="BO193" i="60" s="1"/>
  <c r="AS143" i="60"/>
  <c r="BO143" i="60" s="1"/>
  <c r="AS177" i="60"/>
  <c r="BO177" i="60" s="1"/>
  <c r="AS145" i="60"/>
  <c r="AS179" i="60"/>
  <c r="BO179" i="60" s="1"/>
  <c r="AS199" i="60"/>
  <c r="BO199" i="60" s="1"/>
  <c r="AS154" i="60"/>
  <c r="BO154" i="60" s="1"/>
  <c r="AS156" i="60"/>
  <c r="BO156" i="60" s="1"/>
  <c r="AS194" i="60"/>
  <c r="BO194" i="60" s="1"/>
  <c r="AS172" i="60"/>
  <c r="BO172" i="60" s="1"/>
  <c r="AS181" i="60"/>
  <c r="BO181" i="60" s="1"/>
  <c r="AS186" i="60"/>
  <c r="BO186" i="60" s="1"/>
  <c r="AS167" i="60"/>
  <c r="BO167" i="60" s="1"/>
  <c r="AS189" i="60"/>
  <c r="BO189" i="60" s="1"/>
  <c r="AS135" i="60"/>
  <c r="BO135" i="60" s="1"/>
  <c r="AS195" i="60"/>
  <c r="BO195" i="60" s="1"/>
  <c r="AS168" i="60"/>
  <c r="BO168" i="60" s="1"/>
  <c r="AS144" i="60"/>
  <c r="AS178" i="60"/>
  <c r="BO178" i="60" s="1"/>
  <c r="AS171" i="60"/>
  <c r="BO171" i="60" s="1"/>
  <c r="AS152" i="60"/>
  <c r="BO152" i="60" s="1"/>
  <c r="AS201" i="60"/>
  <c r="BO201" i="60" s="1"/>
  <c r="AS150" i="60"/>
  <c r="BO150" i="60" s="1"/>
  <c r="AS159" i="60"/>
  <c r="BO159" i="60" s="1"/>
  <c r="AS153" i="60"/>
  <c r="BO153" i="60" s="1"/>
  <c r="AS204" i="60"/>
  <c r="BO204" i="60" s="1"/>
  <c r="AS185" i="60"/>
  <c r="BO185" i="60" s="1"/>
  <c r="AS213" i="60"/>
  <c r="BO213" i="60" s="1"/>
  <c r="AS139" i="60"/>
  <c r="AS146" i="60"/>
  <c r="BO146" i="60" s="1"/>
  <c r="AS207" i="60"/>
  <c r="BO207" i="60" s="1"/>
  <c r="AS196" i="60"/>
  <c r="BO196" i="60" s="1"/>
  <c r="AS176" i="60"/>
  <c r="BO176" i="60" s="1"/>
  <c r="AS206" i="60"/>
  <c r="BO206" i="60" s="1"/>
  <c r="AS191" i="60"/>
  <c r="BO191" i="60" s="1"/>
  <c r="AS136" i="60"/>
  <c r="BD136" i="60" s="1"/>
  <c r="AS138" i="60"/>
  <c r="BO138" i="60" s="1"/>
  <c r="AS187" i="60"/>
  <c r="BO187" i="60" s="1"/>
  <c r="AS205" i="60"/>
  <c r="BO205" i="60" s="1"/>
  <c r="AS158" i="60"/>
  <c r="BO158" i="60" s="1"/>
  <c r="AS202" i="60"/>
  <c r="BO202" i="60" s="1"/>
  <c r="AS200" i="60"/>
  <c r="BO200" i="60" s="1"/>
  <c r="AS164" i="60"/>
  <c r="BO164" i="60" s="1"/>
  <c r="AS140" i="60"/>
  <c r="AS197" i="60"/>
  <c r="BO197" i="60" s="1"/>
  <c r="AS212" i="60"/>
  <c r="BO212" i="60" s="1"/>
  <c r="AS155" i="60"/>
  <c r="BO155" i="60" s="1"/>
  <c r="AS149" i="60"/>
  <c r="BO149" i="60" s="1"/>
  <c r="AS137" i="60"/>
  <c r="BO137" i="60" s="1"/>
  <c r="AS215" i="60"/>
  <c r="BO215" i="60" s="1"/>
  <c r="AS182" i="60"/>
  <c r="BO182" i="60" s="1"/>
  <c r="AS169" i="60"/>
  <c r="BO169" i="60" s="1"/>
  <c r="AS184" i="60"/>
  <c r="BO184" i="60" s="1"/>
  <c r="AS180" i="60"/>
  <c r="BO180" i="60" s="1"/>
  <c r="AS160" i="60"/>
  <c r="BO160" i="60" s="1"/>
  <c r="AS203" i="60"/>
  <c r="BO203" i="60" s="1"/>
  <c r="AT134" i="60"/>
  <c r="AS166" i="60"/>
  <c r="BO166" i="60" s="1"/>
  <c r="AS151" i="60"/>
  <c r="BO151" i="60" s="1"/>
  <c r="AS173" i="60"/>
  <c r="BO173" i="60" s="1"/>
  <c r="AS141" i="60"/>
  <c r="AS161" i="60"/>
  <c r="BO161" i="60" s="1"/>
  <c r="AS174" i="60"/>
  <c r="BO174" i="60" s="1"/>
  <c r="AS165" i="60"/>
  <c r="BO165" i="60" s="1"/>
  <c r="AS192" i="60"/>
  <c r="BO192" i="60" s="1"/>
  <c r="AS163" i="60"/>
  <c r="BO163" i="60" s="1"/>
  <c r="BC137" i="60"/>
  <c r="BN141" i="60"/>
  <c r="BC141" i="60"/>
  <c r="BC142" i="60"/>
  <c r="BN139" i="60"/>
  <c r="BC139" i="60"/>
  <c r="J80" i="60"/>
  <c r="D82" i="60"/>
  <c r="F81" i="60"/>
  <c r="I81" i="60" s="1"/>
  <c r="E81" i="60"/>
  <c r="A81" i="60" s="1"/>
  <c r="BN144" i="60"/>
  <c r="BN138" i="60"/>
  <c r="BC138" i="60"/>
  <c r="D103" i="60"/>
  <c r="F102" i="60"/>
  <c r="I102" i="60" s="1"/>
  <c r="X52" i="80"/>
  <c r="Z51" i="80"/>
  <c r="X53" i="80"/>
  <c r="X55" i="80"/>
  <c r="X54" i="80"/>
  <c r="AF41" i="80"/>
  <c r="AD43" i="80"/>
  <c r="X8" i="80"/>
  <c r="X9" i="80" s="1"/>
  <c r="X11" i="80" s="1"/>
  <c r="X13" i="80" s="1"/>
  <c r="X21" i="80"/>
  <c r="Z5" i="80"/>
  <c r="L24" i="60"/>
  <c r="O79" i="77"/>
  <c r="P78" i="77"/>
  <c r="P72" i="77"/>
  <c r="O73" i="77"/>
  <c r="G119" i="68"/>
  <c r="I119" i="68" s="1"/>
  <c r="X20" i="45"/>
  <c r="X21" i="45"/>
  <c r="W84" i="45"/>
  <c r="F161" i="68"/>
  <c r="D162" i="68"/>
  <c r="H161" i="68"/>
  <c r="E161" i="68"/>
  <c r="G160" i="68"/>
  <c r="I160" i="68" s="1"/>
  <c r="F120" i="68"/>
  <c r="E120" i="68"/>
  <c r="A120" i="68" s="1"/>
  <c r="D121" i="68"/>
  <c r="H120" i="68"/>
  <c r="E59" i="60"/>
  <c r="A59" i="60" s="1"/>
  <c r="D60" i="60"/>
  <c r="F59" i="60"/>
  <c r="J59" i="60" s="1"/>
  <c r="L59" i="60" s="1"/>
  <c r="G14" i="25"/>
  <c r="D139" i="10"/>
  <c r="AR14" i="68"/>
  <c r="I78" i="27"/>
  <c r="L78" i="27"/>
  <c r="AR38" i="68"/>
  <c r="D10" i="68"/>
  <c r="A10" i="68" s="1"/>
  <c r="V38" i="60"/>
  <c r="L33" i="60"/>
  <c r="V40" i="60"/>
  <c r="L40" i="60" s="1"/>
  <c r="P40" i="60" s="1"/>
  <c r="L35" i="60"/>
  <c r="V36" i="60"/>
  <c r="L31" i="60"/>
  <c r="V37" i="60"/>
  <c r="L32" i="60"/>
  <c r="L29" i="60"/>
  <c r="V34" i="60"/>
  <c r="AR21" i="68"/>
  <c r="AR26" i="68"/>
  <c r="AS26" i="68" s="1"/>
  <c r="D26" i="68" s="1"/>
  <c r="A26" i="68" s="1"/>
  <c r="L89" i="27"/>
  <c r="J89" i="27"/>
  <c r="AR39" i="68"/>
  <c r="H90" i="27"/>
  <c r="P68" i="27"/>
  <c r="N78" i="27"/>
  <c r="P79" i="27"/>
  <c r="N89" i="27"/>
  <c r="D21" i="68"/>
  <c r="A21" i="68" s="1"/>
  <c r="AR36" i="68"/>
  <c r="AR18" i="68"/>
  <c r="D18" i="68"/>
  <c r="A18" i="68" s="1"/>
  <c r="AR12" i="68"/>
  <c r="D12" i="68"/>
  <c r="A12" i="68" s="1"/>
  <c r="AR13" i="68"/>
  <c r="D13" i="68"/>
  <c r="A13" i="68" s="1"/>
  <c r="U140" i="27"/>
  <c r="T139" i="27"/>
  <c r="A139" i="27"/>
  <c r="D142" i="68"/>
  <c r="F141" i="68"/>
  <c r="I141" i="68" s="1"/>
  <c r="K141" i="68" s="1"/>
  <c r="E141" i="68"/>
  <c r="AR35" i="68"/>
  <c r="D35" i="68"/>
  <c r="A35" i="68" s="1"/>
  <c r="AR20" i="68"/>
  <c r="AR42" i="68"/>
  <c r="AR24" i="68"/>
  <c r="G78" i="68"/>
  <c r="I78" i="68" s="1"/>
  <c r="BC32" i="68"/>
  <c r="D32" i="68" s="1"/>
  <c r="A32" i="68" s="1"/>
  <c r="AR32" i="68"/>
  <c r="BC19" i="68"/>
  <c r="D19" i="68" s="1"/>
  <c r="A19" i="68" s="1"/>
  <c r="AR19" i="68"/>
  <c r="F60" i="68"/>
  <c r="I60" i="68" s="1"/>
  <c r="K60" i="68" s="1"/>
  <c r="E60" i="68"/>
  <c r="A60" i="68" s="1"/>
  <c r="D61" i="68"/>
  <c r="D41" i="68"/>
  <c r="A41" i="68" s="1"/>
  <c r="H79" i="68"/>
  <c r="F79" i="68"/>
  <c r="D80" i="68"/>
  <c r="E79" i="68"/>
  <c r="A79" i="68" s="1"/>
  <c r="BC37" i="68"/>
  <c r="D37" i="68" s="1"/>
  <c r="A37" i="68" s="1"/>
  <c r="AR37" i="68"/>
  <c r="BC9" i="68"/>
  <c r="D9" i="68" s="1"/>
  <c r="A9" i="68" s="1"/>
  <c r="AR9" i="68"/>
  <c r="BC28" i="68"/>
  <c r="D28" i="68" s="1"/>
  <c r="A28" i="68" s="1"/>
  <c r="AR28" i="68"/>
  <c r="BC29" i="68"/>
  <c r="D29" i="68" s="1"/>
  <c r="A29" i="68" s="1"/>
  <c r="AR29" i="68"/>
  <c r="BC11" i="68"/>
  <c r="D11" i="68" s="1"/>
  <c r="A11" i="68" s="1"/>
  <c r="AR11" i="68"/>
  <c r="BC40" i="68"/>
  <c r="D40" i="68" s="1"/>
  <c r="A40" i="68" s="1"/>
  <c r="AR40" i="68"/>
  <c r="BC17" i="68"/>
  <c r="D17" i="68" s="1"/>
  <c r="A17" i="68" s="1"/>
  <c r="AR17" i="68"/>
  <c r="BC25" i="68"/>
  <c r="D25" i="68" s="1"/>
  <c r="A25" i="68" s="1"/>
  <c r="AR25" i="68"/>
  <c r="BC23" i="68"/>
  <c r="D23" i="68" s="1"/>
  <c r="A23" i="68" s="1"/>
  <c r="AR23" i="68"/>
  <c r="AR33" i="68"/>
  <c r="AR10" i="68"/>
  <c r="AR16" i="68"/>
  <c r="BC22" i="68"/>
  <c r="D22" i="68" s="1"/>
  <c r="A22" i="68" s="1"/>
  <c r="AR22" i="68"/>
  <c r="D33" i="68"/>
  <c r="A33" i="68" s="1"/>
  <c r="D16" i="68"/>
  <c r="A16" i="68" s="1"/>
  <c r="BC43" i="68"/>
  <c r="D43" i="68" s="1"/>
  <c r="A43" i="68" s="1"/>
  <c r="AR43" i="68"/>
  <c r="AR41" i="68"/>
  <c r="BC27" i="68"/>
  <c r="D27" i="68" s="1"/>
  <c r="A27" i="68" s="1"/>
  <c r="AR27" i="68"/>
  <c r="AR15" i="68"/>
  <c r="BC34" i="68"/>
  <c r="D34" i="68" s="1"/>
  <c r="A34" i="68" s="1"/>
  <c r="AR34" i="68"/>
  <c r="AR30" i="68"/>
  <c r="AR31" i="68"/>
  <c r="BO11" i="114"/>
  <c r="BN11" i="114"/>
  <c r="BM11" i="114"/>
  <c r="BL11" i="114"/>
  <c r="S13" i="113"/>
  <c r="Y10" i="114"/>
  <c r="AA14" i="113" s="1"/>
  <c r="AB10" i="114"/>
  <c r="AD14" i="113" s="1"/>
  <c r="BA11" i="114"/>
  <c r="BD11" i="114"/>
  <c r="BB11" i="114"/>
  <c r="AY11" i="114"/>
  <c r="V10" i="114"/>
  <c r="R14" i="113" s="1"/>
  <c r="S10" i="114"/>
  <c r="O14" i="113" s="1"/>
  <c r="AS11" i="114"/>
  <c r="AV11" i="114"/>
  <c r="G11" i="114"/>
  <c r="C12" i="114"/>
  <c r="H11" i="114"/>
  <c r="I11" i="114"/>
  <c r="J11" i="114"/>
  <c r="K11" i="114"/>
  <c r="L11" i="114"/>
  <c r="M11" i="114"/>
  <c r="N11" i="114"/>
  <c r="O11" i="114"/>
  <c r="P11" i="114"/>
  <c r="D11" i="114"/>
  <c r="E11" i="114"/>
  <c r="F11" i="114"/>
  <c r="AQ12" i="114"/>
  <c r="AF12" i="114"/>
  <c r="AG12" i="114"/>
  <c r="AH12" i="114"/>
  <c r="AI12" i="114"/>
  <c r="AJ12" i="114"/>
  <c r="AK12" i="114"/>
  <c r="AL12" i="114"/>
  <c r="AM12" i="114"/>
  <c r="AN12" i="114"/>
  <c r="AO12" i="114"/>
  <c r="AP12" i="114"/>
  <c r="AD13" i="114"/>
  <c r="AE13" i="114" s="1"/>
  <c r="X10" i="114" a="1"/>
  <c r="X10" i="114" s="1"/>
  <c r="Z14" i="113" s="1"/>
  <c r="AA10" i="114"/>
  <c r="AC14" i="113" s="1"/>
  <c r="U10" i="114"/>
  <c r="Q14" i="113" s="1"/>
  <c r="R10" i="114"/>
  <c r="N14" i="113" s="1"/>
  <c r="AX11" i="114"/>
  <c r="AU11" i="114"/>
  <c r="X14" i="113"/>
  <c r="L14" i="113"/>
  <c r="A14" i="113" s="1"/>
  <c r="BC11" i="114"/>
  <c r="AZ11" i="114"/>
  <c r="Z10" i="114"/>
  <c r="AB14" i="113" s="1"/>
  <c r="AC10" i="114"/>
  <c r="AE14" i="113" s="1"/>
  <c r="D8" i="100"/>
  <c r="J25" i="14"/>
  <c r="AW11" i="114"/>
  <c r="AT11" i="114"/>
  <c r="W10" i="114"/>
  <c r="S14" i="113" s="1"/>
  <c r="T10" i="114"/>
  <c r="P14" i="113" s="1"/>
  <c r="E26" i="14"/>
  <c r="H26" i="14"/>
  <c r="K26" i="14"/>
  <c r="L26" i="14"/>
  <c r="M26" i="14"/>
  <c r="N26" i="14"/>
  <c r="B27" i="14"/>
  <c r="D26" i="14"/>
  <c r="J26" i="14" s="1"/>
  <c r="F26" i="14"/>
  <c r="G26" i="14"/>
  <c r="I26" i="14"/>
  <c r="BF12" i="114"/>
  <c r="BG12" i="114"/>
  <c r="BH12" i="114"/>
  <c r="BJ12" i="114"/>
  <c r="BE13" i="114"/>
  <c r="BI12" i="114"/>
  <c r="D101" i="68" l="1"/>
  <c r="E100" i="68"/>
  <c r="A100" i="68" s="1"/>
  <c r="F100" i="68"/>
  <c r="I100" i="68" s="1"/>
  <c r="K100" i="68" s="1"/>
  <c r="BC144" i="60"/>
  <c r="G122" i="60"/>
  <c r="K122" i="60"/>
  <c r="M122" i="60" s="1"/>
  <c r="A122" i="60"/>
  <c r="V146" i="60"/>
  <c r="AL145" i="60"/>
  <c r="A145" i="60"/>
  <c r="AJ145" i="60"/>
  <c r="AK145" i="60"/>
  <c r="E123" i="60"/>
  <c r="D124" i="60"/>
  <c r="AW144" i="60"/>
  <c r="AV144" i="60"/>
  <c r="AY144" i="60"/>
  <c r="BA144" i="60"/>
  <c r="AX144" i="60"/>
  <c r="AZ144" i="60"/>
  <c r="AU144" i="60"/>
  <c r="BF144" i="60" s="1"/>
  <c r="BB144" i="60"/>
  <c r="J81" i="60"/>
  <c r="BD137" i="60"/>
  <c r="BO140" i="60"/>
  <c r="BD140" i="60"/>
  <c r="BO145" i="60"/>
  <c r="BD143" i="60"/>
  <c r="D104" i="60"/>
  <c r="F103" i="60"/>
  <c r="I103" i="60" s="1"/>
  <c r="BO141" i="60"/>
  <c r="BD141" i="60"/>
  <c r="BO144" i="60"/>
  <c r="AT151" i="60"/>
  <c r="BP151" i="60" s="1"/>
  <c r="BE134" i="60"/>
  <c r="BP134" i="60" s="1"/>
  <c r="AT169" i="60"/>
  <c r="BP169" i="60" s="1"/>
  <c r="AT155" i="60"/>
  <c r="BP155" i="60" s="1"/>
  <c r="AT196" i="60"/>
  <c r="BP196" i="60" s="1"/>
  <c r="AT157" i="60"/>
  <c r="BP157" i="60" s="1"/>
  <c r="AT195" i="60"/>
  <c r="BP195" i="60" s="1"/>
  <c r="AT165" i="60"/>
  <c r="BP165" i="60" s="1"/>
  <c r="AT167" i="60"/>
  <c r="BP167" i="60" s="1"/>
  <c r="AT182" i="60"/>
  <c r="BP182" i="60" s="1"/>
  <c r="AT161" i="60"/>
  <c r="BP161" i="60" s="1"/>
  <c r="AT164" i="60"/>
  <c r="BP164" i="60" s="1"/>
  <c r="AT190" i="60"/>
  <c r="BP190" i="60" s="1"/>
  <c r="AT171" i="60"/>
  <c r="BP171" i="60" s="1"/>
  <c r="AT185" i="60"/>
  <c r="BP185" i="60" s="1"/>
  <c r="AT153" i="60"/>
  <c r="BP153" i="60" s="1"/>
  <c r="AT194" i="60"/>
  <c r="BP194" i="60" s="1"/>
  <c r="AT191" i="60"/>
  <c r="BP191" i="60" s="1"/>
  <c r="AT215" i="60"/>
  <c r="BP215" i="60" s="1"/>
  <c r="AT211" i="60"/>
  <c r="BP211" i="60" s="1"/>
  <c r="AT180" i="60"/>
  <c r="BP180" i="60" s="1"/>
  <c r="AT145" i="60"/>
  <c r="BP145" i="60" s="1"/>
  <c r="AT160" i="60"/>
  <c r="BP160" i="60" s="1"/>
  <c r="AT162" i="60"/>
  <c r="BP162" i="60" s="1"/>
  <c r="AT141" i="60"/>
  <c r="AT140" i="60"/>
  <c r="AT136" i="60"/>
  <c r="BP136" i="60" s="1"/>
  <c r="AT202" i="60"/>
  <c r="BP202" i="60" s="1"/>
  <c r="AT210" i="60"/>
  <c r="BP210" i="60" s="1"/>
  <c r="AT203" i="60"/>
  <c r="BP203" i="60" s="1"/>
  <c r="AT137" i="60"/>
  <c r="AT207" i="60"/>
  <c r="BP207" i="60" s="1"/>
  <c r="AT184" i="60"/>
  <c r="BP184" i="60" s="1"/>
  <c r="AT142" i="60"/>
  <c r="AT152" i="60"/>
  <c r="BP152" i="60" s="1"/>
  <c r="AT146" i="60"/>
  <c r="AT201" i="60"/>
  <c r="BP201" i="60" s="1"/>
  <c r="AT179" i="60"/>
  <c r="BP179" i="60" s="1"/>
  <c r="AT193" i="60"/>
  <c r="BP193" i="60" s="1"/>
  <c r="AT199" i="60"/>
  <c r="BP199" i="60" s="1"/>
  <c r="AT172" i="60"/>
  <c r="BP172" i="60" s="1"/>
  <c r="AT149" i="60"/>
  <c r="BP149" i="60" s="1"/>
  <c r="AT197" i="60"/>
  <c r="BP197" i="60" s="1"/>
  <c r="AT188" i="60"/>
  <c r="BP188" i="60" s="1"/>
  <c r="AT200" i="60"/>
  <c r="BP200" i="60" s="1"/>
  <c r="AT176" i="60"/>
  <c r="BP176" i="60" s="1"/>
  <c r="AT189" i="60"/>
  <c r="BP189" i="60" s="1"/>
  <c r="AT173" i="60"/>
  <c r="BP173" i="60" s="1"/>
  <c r="AT135" i="60"/>
  <c r="AT156" i="60"/>
  <c r="BP156" i="60" s="1"/>
  <c r="AT144" i="60"/>
  <c r="BP144" i="60" s="1"/>
  <c r="AT187" i="60"/>
  <c r="BP187" i="60" s="1"/>
  <c r="AT208" i="60"/>
  <c r="BP208" i="60" s="1"/>
  <c r="AT163" i="60"/>
  <c r="BP163" i="60" s="1"/>
  <c r="AT183" i="60"/>
  <c r="BP183" i="60" s="1"/>
  <c r="AT148" i="60"/>
  <c r="BP148" i="60" s="1"/>
  <c r="AT212" i="60"/>
  <c r="BP212" i="60" s="1"/>
  <c r="AT158" i="60"/>
  <c r="BP158" i="60" s="1"/>
  <c r="AT213" i="60"/>
  <c r="BP213" i="60" s="1"/>
  <c r="AT205" i="60"/>
  <c r="BP205" i="60" s="1"/>
  <c r="AT204" i="60"/>
  <c r="BP204" i="60" s="1"/>
  <c r="AT206" i="60"/>
  <c r="BP206" i="60" s="1"/>
  <c r="AT143" i="60"/>
  <c r="BP143" i="60" s="1"/>
  <c r="U143" i="60" s="1"/>
  <c r="AT186" i="60"/>
  <c r="BP186" i="60" s="1"/>
  <c r="AT150" i="60"/>
  <c r="BP150" i="60" s="1"/>
  <c r="AT192" i="60"/>
  <c r="BP192" i="60" s="1"/>
  <c r="AT139" i="60"/>
  <c r="BP139" i="60" s="1"/>
  <c r="AT166" i="60"/>
  <c r="BP166" i="60" s="1"/>
  <c r="AT177" i="60"/>
  <c r="BP177" i="60" s="1"/>
  <c r="AT209" i="60"/>
  <c r="BP209" i="60" s="1"/>
  <c r="AT178" i="60"/>
  <c r="BP178" i="60" s="1"/>
  <c r="AT170" i="60"/>
  <c r="BP170" i="60" s="1"/>
  <c r="AT159" i="60"/>
  <c r="BP159" i="60" s="1"/>
  <c r="AT174" i="60"/>
  <c r="BP174" i="60" s="1"/>
  <c r="AT214" i="60"/>
  <c r="BP214" i="60" s="1"/>
  <c r="AT168" i="60"/>
  <c r="BP168" i="60" s="1"/>
  <c r="AT198" i="60"/>
  <c r="BP198" i="60" s="1"/>
  <c r="AT138" i="60"/>
  <c r="BP138" i="60" s="1"/>
  <c r="U138" i="60" s="1"/>
  <c r="AT147" i="60"/>
  <c r="BP147" i="60" s="1"/>
  <c r="AT154" i="60"/>
  <c r="BP154" i="60" s="1"/>
  <c r="AT175" i="60"/>
  <c r="BP175" i="60" s="1"/>
  <c r="AT181" i="60"/>
  <c r="BP181" i="60" s="1"/>
  <c r="BO139" i="60"/>
  <c r="BD139" i="60"/>
  <c r="BD135" i="60"/>
  <c r="BD138" i="60"/>
  <c r="BO136" i="60"/>
  <c r="BO142" i="60"/>
  <c r="BD142" i="60"/>
  <c r="BD144" i="60"/>
  <c r="D83" i="60"/>
  <c r="E82" i="60"/>
  <c r="A82" i="60" s="1"/>
  <c r="F82" i="60"/>
  <c r="I82" i="60" s="1"/>
  <c r="AH41" i="80"/>
  <c r="AH43" i="80" s="1"/>
  <c r="AF43" i="80"/>
  <c r="AB51" i="80"/>
  <c r="Z55" i="80"/>
  <c r="Z54" i="80"/>
  <c r="Z52" i="80"/>
  <c r="Z53" i="80"/>
  <c r="Z21" i="80"/>
  <c r="Z8" i="80"/>
  <c r="Z9" i="80" s="1"/>
  <c r="Z11" i="80" s="1"/>
  <c r="Z13" i="80" s="1"/>
  <c r="AB5" i="80"/>
  <c r="X56" i="80"/>
  <c r="X58" i="80" s="1"/>
  <c r="X60" i="80" s="1"/>
  <c r="X62" i="80" s="1"/>
  <c r="W62" i="80" s="1"/>
  <c r="P73" i="77"/>
  <c r="Q72" i="77"/>
  <c r="Q75" i="77" s="1"/>
  <c r="Q76" i="77" s="1"/>
  <c r="P79" i="77"/>
  <c r="Q78" i="77"/>
  <c r="Y20" i="45"/>
  <c r="Y21" i="45"/>
  <c r="X84" i="45"/>
  <c r="I90" i="27"/>
  <c r="H162" i="68"/>
  <c r="F162" i="68"/>
  <c r="E162" i="68"/>
  <c r="D163" i="68"/>
  <c r="G161" i="68"/>
  <c r="I161" i="68" s="1"/>
  <c r="E121" i="68"/>
  <c r="A121" i="68" s="1"/>
  <c r="F121" i="68"/>
  <c r="H121" i="68"/>
  <c r="D122" i="68"/>
  <c r="G120" i="68"/>
  <c r="I120" i="68" s="1"/>
  <c r="E60" i="60"/>
  <c r="A60" i="60" s="1"/>
  <c r="D61" i="60"/>
  <c r="F60" i="60"/>
  <c r="J60" i="60" s="1"/>
  <c r="L60" i="60" s="1"/>
  <c r="F53" i="27"/>
  <c r="F55" i="27" s="1"/>
  <c r="F57" i="27" s="1"/>
  <c r="G19" i="25"/>
  <c r="J90" i="27"/>
  <c r="L90" i="27"/>
  <c r="V42" i="60"/>
  <c r="L42" i="60" s="1"/>
  <c r="P42" i="60" s="1"/>
  <c r="L37" i="60"/>
  <c r="V41" i="60"/>
  <c r="L41" i="60" s="1"/>
  <c r="P41" i="60" s="1"/>
  <c r="L36" i="60"/>
  <c r="V39" i="60"/>
  <c r="L39" i="60" s="1"/>
  <c r="P39" i="60" s="1"/>
  <c r="L34" i="60"/>
  <c r="V43" i="60"/>
  <c r="L43" i="60" s="1"/>
  <c r="P43" i="60" s="1"/>
  <c r="L38" i="60"/>
  <c r="F109" i="27"/>
  <c r="P89" i="27"/>
  <c r="N90" i="27"/>
  <c r="F98" i="27"/>
  <c r="P78" i="27"/>
  <c r="U141" i="27"/>
  <c r="T140" i="27"/>
  <c r="A140" i="27"/>
  <c r="E142" i="68"/>
  <c r="F142" i="68"/>
  <c r="I142" i="68" s="1"/>
  <c r="K142" i="68" s="1"/>
  <c r="D143" i="68"/>
  <c r="D81" i="68"/>
  <c r="E80" i="68"/>
  <c r="A80" i="68" s="1"/>
  <c r="F80" i="68"/>
  <c r="H80" i="68"/>
  <c r="G79" i="68"/>
  <c r="I79" i="68" s="1"/>
  <c r="F61" i="68"/>
  <c r="I61" i="68" s="1"/>
  <c r="K61" i="68" s="1"/>
  <c r="D62" i="68"/>
  <c r="E61" i="68"/>
  <c r="A61" i="68" s="1"/>
  <c r="AZ12" i="114"/>
  <c r="BC12" i="114"/>
  <c r="N12" i="114"/>
  <c r="O12" i="114"/>
  <c r="P12" i="114"/>
  <c r="D12" i="114"/>
  <c r="E12" i="114"/>
  <c r="F12" i="114"/>
  <c r="G12" i="114"/>
  <c r="C13" i="114"/>
  <c r="H12" i="114"/>
  <c r="I12" i="114"/>
  <c r="J12" i="114"/>
  <c r="K12" i="114"/>
  <c r="L12" i="114"/>
  <c r="M12" i="114"/>
  <c r="BL12" i="114"/>
  <c r="BM12" i="114"/>
  <c r="AW12" i="114"/>
  <c r="AT12" i="114"/>
  <c r="X11" i="114" a="1"/>
  <c r="X11" i="114" s="1"/>
  <c r="Z15" i="113" s="1"/>
  <c r="AA11" i="114"/>
  <c r="AC15" i="113" s="1"/>
  <c r="AY12" i="114"/>
  <c r="BB12" i="114"/>
  <c r="AV12" i="114"/>
  <c r="AS12" i="114"/>
  <c r="D27" i="14"/>
  <c r="J27" i="14" s="1"/>
  <c r="F27" i="14"/>
  <c r="G27" i="14"/>
  <c r="H27" i="14"/>
  <c r="N27" i="14"/>
  <c r="K27" i="14"/>
  <c r="L27" i="14"/>
  <c r="E27" i="14"/>
  <c r="M27" i="14"/>
  <c r="B28" i="14"/>
  <c r="I27" i="14"/>
  <c r="U11" i="114"/>
  <c r="Q15" i="113" s="1"/>
  <c r="R11" i="114"/>
  <c r="N15" i="113" s="1"/>
  <c r="X15" i="113"/>
  <c r="L15" i="113"/>
  <c r="A15" i="113" s="1"/>
  <c r="AC11" i="114"/>
  <c r="AE15" i="113" s="1"/>
  <c r="Z11" i="114"/>
  <c r="AB15" i="113" s="1"/>
  <c r="AI13" i="114"/>
  <c r="AK13" i="114"/>
  <c r="AM13" i="114"/>
  <c r="AO13" i="114"/>
  <c r="AP13" i="114"/>
  <c r="AQ13" i="114"/>
  <c r="AD14" i="114"/>
  <c r="AE14" i="114" s="1"/>
  <c r="AF13" i="114"/>
  <c r="AH13" i="114"/>
  <c r="AJ13" i="114"/>
  <c r="AL13" i="114"/>
  <c r="AN13" i="114"/>
  <c r="AG13" i="114"/>
  <c r="T11" i="114"/>
  <c r="W11" i="114"/>
  <c r="S15" i="113" s="1"/>
  <c r="BD12" i="114"/>
  <c r="BA12" i="114"/>
  <c r="Y11" i="114"/>
  <c r="AA15" i="113" s="1"/>
  <c r="AB11" i="114"/>
  <c r="AD15" i="113" s="1"/>
  <c r="BN12" i="114"/>
  <c r="BO12" i="114"/>
  <c r="AX12" i="114"/>
  <c r="AU12" i="114"/>
  <c r="BG13" i="114"/>
  <c r="BI13" i="114"/>
  <c r="BJ13" i="114"/>
  <c r="BE14" i="114"/>
  <c r="BF13" i="114"/>
  <c r="BH13" i="114"/>
  <c r="V11" i="114"/>
  <c r="R15" i="113" s="1"/>
  <c r="S11" i="114"/>
  <c r="O15" i="113" s="1"/>
  <c r="F101" i="68" l="1"/>
  <c r="I101" i="68" s="1"/>
  <c r="K101" i="68" s="1"/>
  <c r="E101" i="68"/>
  <c r="A101" i="68" s="1"/>
  <c r="D102" i="68"/>
  <c r="D125" i="60"/>
  <c r="E124" i="60"/>
  <c r="E102" i="60"/>
  <c r="A102" i="60" s="1"/>
  <c r="J102" i="60"/>
  <c r="K102" i="60" s="1"/>
  <c r="K123" i="60"/>
  <c r="M123" i="60" s="1"/>
  <c r="G123" i="60"/>
  <c r="A123" i="60"/>
  <c r="AU145" i="60"/>
  <c r="AV145" i="60"/>
  <c r="AX145" i="60"/>
  <c r="BA145" i="60"/>
  <c r="AY145" i="60"/>
  <c r="AZ145" i="60"/>
  <c r="BB145" i="60"/>
  <c r="AW145" i="60"/>
  <c r="BH145" i="60" s="1"/>
  <c r="BF145" i="60"/>
  <c r="BC145" i="60"/>
  <c r="V147" i="60"/>
  <c r="AJ146" i="60"/>
  <c r="AK146" i="60"/>
  <c r="BG146" i="60" s="1"/>
  <c r="AL146" i="60"/>
  <c r="BH146" i="60" s="1"/>
  <c r="A146" i="60"/>
  <c r="BD145" i="60"/>
  <c r="BE138" i="60"/>
  <c r="BE144" i="60"/>
  <c r="U144" i="60"/>
  <c r="U139" i="60"/>
  <c r="BE145" i="60"/>
  <c r="U136" i="60"/>
  <c r="F104" i="60"/>
  <c r="I104" i="60" s="1"/>
  <c r="D105" i="60"/>
  <c r="E83" i="60"/>
  <c r="A83" i="60" s="1"/>
  <c r="F83" i="60"/>
  <c r="I83" i="60" s="1"/>
  <c r="D84" i="60"/>
  <c r="BE139" i="60"/>
  <c r="BP140" i="60"/>
  <c r="U140" i="60" s="1"/>
  <c r="BE140" i="60"/>
  <c r="BP141" i="60"/>
  <c r="U141" i="60" s="1"/>
  <c r="BE141" i="60"/>
  <c r="BE143" i="60"/>
  <c r="BP142" i="60"/>
  <c r="U142" i="60" s="1"/>
  <c r="BE142" i="60"/>
  <c r="BP137" i="60"/>
  <c r="U137" i="60" s="1"/>
  <c r="BE137" i="60"/>
  <c r="BP146" i="60"/>
  <c r="BE136" i="60"/>
  <c r="J82" i="60"/>
  <c r="BP135" i="60"/>
  <c r="BE135" i="60"/>
  <c r="BF135" i="60" s="1"/>
  <c r="AB21" i="80"/>
  <c r="AB8" i="80"/>
  <c r="AB9" i="80" s="1"/>
  <c r="AB11" i="80" s="1"/>
  <c r="AB13" i="80" s="1"/>
  <c r="AD5" i="80"/>
  <c r="Z56" i="80"/>
  <c r="Z58" i="80" s="1"/>
  <c r="Z60" i="80" s="1"/>
  <c r="Z62" i="80" s="1"/>
  <c r="Y62" i="80" s="1"/>
  <c r="AD51" i="80"/>
  <c r="AB55" i="80"/>
  <c r="AB54" i="80"/>
  <c r="AB52" i="80"/>
  <c r="AB53" i="80"/>
  <c r="O75" i="77"/>
  <c r="O76" i="77" s="1"/>
  <c r="P75" i="77"/>
  <c r="P76" i="77" s="1"/>
  <c r="Q73" i="77"/>
  <c r="N75" i="77"/>
  <c r="N76" i="77" s="1"/>
  <c r="R72" i="77"/>
  <c r="M75" i="77"/>
  <c r="M76" i="77" s="1"/>
  <c r="R78" i="77"/>
  <c r="Q79" i="77"/>
  <c r="Z21" i="45"/>
  <c r="Y84" i="45"/>
  <c r="Z20" i="45"/>
  <c r="G121" i="68"/>
  <c r="I121" i="68" s="1"/>
  <c r="G162" i="68"/>
  <c r="I162" i="68" s="1"/>
  <c r="E163" i="68"/>
  <c r="F163" i="68"/>
  <c r="D164" i="68"/>
  <c r="H163" i="68"/>
  <c r="H122" i="68"/>
  <c r="D123" i="68"/>
  <c r="E122" i="68"/>
  <c r="F122" i="68"/>
  <c r="E61" i="60"/>
  <c r="A61" i="60" s="1"/>
  <c r="D62" i="60"/>
  <c r="F61" i="60"/>
  <c r="J61" i="60" s="1"/>
  <c r="L61" i="60" s="1"/>
  <c r="D142" i="10"/>
  <c r="G20" i="25"/>
  <c r="G22" i="25" s="1"/>
  <c r="G28" i="25" s="1"/>
  <c r="P90" i="27"/>
  <c r="F108" i="27"/>
  <c r="I98" i="27"/>
  <c r="I109" i="27"/>
  <c r="F119" i="27"/>
  <c r="T141" i="27"/>
  <c r="A141" i="27"/>
  <c r="U142" i="27"/>
  <c r="D144" i="68"/>
  <c r="F143" i="68"/>
  <c r="I143" i="68" s="1"/>
  <c r="K143" i="68" s="1"/>
  <c r="E143" i="68"/>
  <c r="F62" i="68"/>
  <c r="I62" i="68" s="1"/>
  <c r="K62" i="68" s="1"/>
  <c r="D63" i="68"/>
  <c r="E62" i="68"/>
  <c r="A62" i="68" s="1"/>
  <c r="G80" i="68"/>
  <c r="I80" i="68" s="1"/>
  <c r="H81" i="68"/>
  <c r="F81" i="68"/>
  <c r="D82" i="68"/>
  <c r="E81" i="68"/>
  <c r="A81" i="68" s="1"/>
  <c r="P15" i="113"/>
  <c r="AX13" i="114"/>
  <c r="AU13" i="114"/>
  <c r="BC13" i="114"/>
  <c r="AZ13" i="114"/>
  <c r="K28" i="14"/>
  <c r="L28" i="14"/>
  <c r="M28" i="14"/>
  <c r="N28" i="14"/>
  <c r="D28" i="14"/>
  <c r="J28" i="14" s="1"/>
  <c r="E28" i="14"/>
  <c r="F28" i="14"/>
  <c r="G28" i="14"/>
  <c r="H28" i="14"/>
  <c r="B29" i="14"/>
  <c r="I28" i="14"/>
  <c r="T12" i="114"/>
  <c r="P16" i="113" s="1"/>
  <c r="W12" i="114"/>
  <c r="S16" i="113" s="1"/>
  <c r="AW13" i="114"/>
  <c r="AT13" i="114"/>
  <c r="AY13" i="114"/>
  <c r="BB13" i="114"/>
  <c r="Y12" i="114"/>
  <c r="AA16" i="113" s="1"/>
  <c r="AB12" i="114"/>
  <c r="AD16" i="113" s="1"/>
  <c r="AV13" i="114"/>
  <c r="AS13" i="114"/>
  <c r="BH14" i="114"/>
  <c r="BJ14" i="114"/>
  <c r="BE15" i="114"/>
  <c r="BF14" i="114"/>
  <c r="BG14" i="114"/>
  <c r="BI14" i="114"/>
  <c r="S12" i="114"/>
  <c r="O16" i="113" s="1"/>
  <c r="V12" i="114"/>
  <c r="R16" i="113" s="1"/>
  <c r="AI14" i="114"/>
  <c r="AK14" i="114"/>
  <c r="AL14" i="114"/>
  <c r="AM14" i="114"/>
  <c r="AN14" i="114"/>
  <c r="AO14" i="114"/>
  <c r="AP14" i="114"/>
  <c r="AQ14" i="114"/>
  <c r="AD15" i="114"/>
  <c r="AE15" i="114" s="1"/>
  <c r="AF14" i="114"/>
  <c r="AG14" i="114"/>
  <c r="AH14" i="114"/>
  <c r="AJ14" i="114"/>
  <c r="BO13" i="114"/>
  <c r="BN13" i="114"/>
  <c r="K13" i="114"/>
  <c r="L13" i="114"/>
  <c r="M13" i="114"/>
  <c r="N13" i="114"/>
  <c r="O13" i="114"/>
  <c r="P13" i="114"/>
  <c r="D13" i="114"/>
  <c r="E13" i="114"/>
  <c r="F13" i="114"/>
  <c r="G13" i="114"/>
  <c r="C14" i="114"/>
  <c r="H13" i="114"/>
  <c r="I13" i="114"/>
  <c r="J13" i="114"/>
  <c r="BL13" i="114"/>
  <c r="BM13" i="114"/>
  <c r="BA13" i="114"/>
  <c r="BD13" i="114"/>
  <c r="AA12" i="114"/>
  <c r="AC16" i="113" s="1"/>
  <c r="X12" i="114" a="1"/>
  <c r="X12" i="114" s="1"/>
  <c r="Z16" i="113" s="1"/>
  <c r="U12" i="114"/>
  <c r="Q16" i="113" s="1"/>
  <c r="R12" i="114"/>
  <c r="N16" i="113" s="1"/>
  <c r="L16" i="113"/>
  <c r="A16" i="113" s="1"/>
  <c r="X16" i="113"/>
  <c r="Z12" i="114"/>
  <c r="AB16" i="113" s="1"/>
  <c r="AC12" i="114"/>
  <c r="AE16" i="113" s="1"/>
  <c r="F102" i="68" l="1"/>
  <c r="I102" i="68" s="1"/>
  <c r="K102" i="68" s="1"/>
  <c r="E102" i="68"/>
  <c r="A102" i="68" s="1"/>
  <c r="D103" i="68"/>
  <c r="BE146" i="60"/>
  <c r="BB146" i="60"/>
  <c r="AZ146" i="60"/>
  <c r="AU146" i="60"/>
  <c r="AV146" i="60"/>
  <c r="AY146" i="60"/>
  <c r="BC146" i="60"/>
  <c r="AX146" i="60"/>
  <c r="BF146" i="60"/>
  <c r="U146" i="60" s="1"/>
  <c r="AW146" i="60"/>
  <c r="BA146" i="60"/>
  <c r="BD146" i="60"/>
  <c r="AL147" i="60"/>
  <c r="BH147" i="60" s="1"/>
  <c r="AJ147" i="60"/>
  <c r="AK147" i="60"/>
  <c r="BG147" i="60" s="1"/>
  <c r="V148" i="60"/>
  <c r="A147" i="60"/>
  <c r="BG145" i="60"/>
  <c r="U145" i="60" s="1"/>
  <c r="K124" i="60"/>
  <c r="M124" i="60" s="1"/>
  <c r="A124" i="60"/>
  <c r="G124" i="60"/>
  <c r="J103" i="60"/>
  <c r="K103" i="60" s="1"/>
  <c r="E125" i="60"/>
  <c r="E103" i="60"/>
  <c r="A103" i="60" s="1"/>
  <c r="D126" i="60"/>
  <c r="D74" i="115"/>
  <c r="D75" i="115" s="1"/>
  <c r="G48" i="25"/>
  <c r="G163" i="68"/>
  <c r="I163" i="68" s="1"/>
  <c r="U135" i="60"/>
  <c r="J83" i="60"/>
  <c r="F105" i="60"/>
  <c r="I105" i="60" s="1"/>
  <c r="D106" i="60"/>
  <c r="F106" i="60" s="1"/>
  <c r="I106" i="60" s="1"/>
  <c r="E84" i="60"/>
  <c r="A84" i="60" s="1"/>
  <c r="F84" i="60"/>
  <c r="I84" i="60" s="1"/>
  <c r="D85" i="60"/>
  <c r="AF51" i="80"/>
  <c r="AD54" i="80"/>
  <c r="AD52" i="80"/>
  <c r="AD53" i="80"/>
  <c r="AD55" i="80"/>
  <c r="AB56" i="80"/>
  <c r="AB58" i="80" s="1"/>
  <c r="AB60" i="80" s="1"/>
  <c r="AB62" i="80" s="1"/>
  <c r="AA62" i="80" s="1"/>
  <c r="AF5" i="80"/>
  <c r="AD21" i="80"/>
  <c r="AD8" i="80"/>
  <c r="AD9" i="80" s="1"/>
  <c r="AD11" i="80" s="1"/>
  <c r="AD13" i="80" s="1"/>
  <c r="S78" i="77"/>
  <c r="R79" i="77"/>
  <c r="R73" i="77"/>
  <c r="S72" i="77"/>
  <c r="AA21" i="45"/>
  <c r="Z84" i="45"/>
  <c r="AA20" i="45"/>
  <c r="G122" i="68"/>
  <c r="I122" i="68" s="1"/>
  <c r="H164" i="68"/>
  <c r="D165" i="68"/>
  <c r="E164" i="68"/>
  <c r="F164" i="68"/>
  <c r="G164" i="68" s="1"/>
  <c r="I164" i="68" s="1"/>
  <c r="F123" i="68"/>
  <c r="E123" i="68"/>
  <c r="A123" i="68" s="1"/>
  <c r="D124" i="68"/>
  <c r="H123" i="68"/>
  <c r="D63" i="60"/>
  <c r="F62" i="60"/>
  <c r="J62" i="60" s="1"/>
  <c r="L62" i="60" s="1"/>
  <c r="E62" i="60"/>
  <c r="A62" i="60" s="1"/>
  <c r="I119" i="27"/>
  <c r="I108" i="27"/>
  <c r="F120" i="27"/>
  <c r="T142" i="27"/>
  <c r="A142" i="27"/>
  <c r="U143" i="27"/>
  <c r="F144" i="68"/>
  <c r="I144" i="68" s="1"/>
  <c r="K144" i="68" s="1"/>
  <c r="E144" i="68"/>
  <c r="D145" i="68"/>
  <c r="H82" i="68"/>
  <c r="E82" i="68"/>
  <c r="A82" i="68" s="1"/>
  <c r="D83" i="68"/>
  <c r="F82" i="68"/>
  <c r="G81" i="68"/>
  <c r="I81" i="68" s="1"/>
  <c r="D64" i="68"/>
  <c r="F63" i="68"/>
  <c r="I63" i="68" s="1"/>
  <c r="K63" i="68" s="1"/>
  <c r="E63" i="68"/>
  <c r="A63" i="68" s="1"/>
  <c r="AU14" i="114"/>
  <c r="AX14" i="114"/>
  <c r="U13" i="114"/>
  <c r="Q17" i="113" s="1"/>
  <c r="R13" i="114"/>
  <c r="N17" i="113" s="1"/>
  <c r="L17" i="113"/>
  <c r="A17" i="113" s="1"/>
  <c r="A19" i="113" s="1"/>
  <c r="X17" i="113"/>
  <c r="BC14" i="114"/>
  <c r="AZ14" i="114"/>
  <c r="Z13" i="114"/>
  <c r="AB17" i="113" s="1"/>
  <c r="AC13" i="114"/>
  <c r="AE17" i="113" s="1"/>
  <c r="N29" i="14"/>
  <c r="D29" i="14"/>
  <c r="B30" i="14"/>
  <c r="E29" i="14"/>
  <c r="F29" i="14"/>
  <c r="G29" i="14"/>
  <c r="H29" i="14"/>
  <c r="K29" i="14"/>
  <c r="L29" i="14"/>
  <c r="M29" i="14"/>
  <c r="I29" i="14"/>
  <c r="W13" i="114"/>
  <c r="S17" i="113" s="1"/>
  <c r="T13" i="114"/>
  <c r="P17" i="113" s="1"/>
  <c r="BN14" i="114"/>
  <c r="BO14" i="114"/>
  <c r="Y13" i="114"/>
  <c r="AA17" i="113" s="1"/>
  <c r="AB13" i="114"/>
  <c r="AD17" i="113" s="1"/>
  <c r="BL14" i="114"/>
  <c r="BM14" i="114"/>
  <c r="BJ15" i="114"/>
  <c r="BE16" i="114"/>
  <c r="BF15" i="114"/>
  <c r="BG15" i="114"/>
  <c r="BI15" i="114"/>
  <c r="BH15" i="114"/>
  <c r="AT14" i="114"/>
  <c r="AW14" i="114"/>
  <c r="AY14" i="114"/>
  <c r="BB14" i="114"/>
  <c r="AS14" i="114"/>
  <c r="AV14" i="114"/>
  <c r="S13" i="114"/>
  <c r="O17" i="113" s="1"/>
  <c r="V13" i="114"/>
  <c r="R17" i="113" s="1"/>
  <c r="AD16" i="114"/>
  <c r="AE16" i="114" s="1"/>
  <c r="AF15" i="114"/>
  <c r="AG15" i="114"/>
  <c r="AI15" i="114"/>
  <c r="AJ15" i="114"/>
  <c r="AK15" i="114"/>
  <c r="AL15" i="114"/>
  <c r="AM15" i="114"/>
  <c r="AN15" i="114"/>
  <c r="AO15" i="114"/>
  <c r="AQ15" i="114"/>
  <c r="AP15" i="114"/>
  <c r="AH15" i="114"/>
  <c r="K14" i="114"/>
  <c r="L14" i="114"/>
  <c r="M14" i="114"/>
  <c r="N14" i="114"/>
  <c r="O14" i="114"/>
  <c r="P14" i="114"/>
  <c r="D14" i="114"/>
  <c r="E14" i="114"/>
  <c r="F14" i="114"/>
  <c r="G14" i="114"/>
  <c r="C15" i="114"/>
  <c r="H14" i="114"/>
  <c r="I14" i="114"/>
  <c r="J14" i="114"/>
  <c r="BA14" i="114"/>
  <c r="BD14" i="114"/>
  <c r="X13" i="114" a="1"/>
  <c r="X13" i="114" s="1"/>
  <c r="Z17" i="113" s="1"/>
  <c r="AA13" i="114"/>
  <c r="AC17" i="113" s="1"/>
  <c r="F103" i="68" l="1"/>
  <c r="I103" i="68" s="1"/>
  <c r="K103" i="68" s="1"/>
  <c r="E103" i="68"/>
  <c r="A103" i="68" s="1"/>
  <c r="D104" i="68"/>
  <c r="AK148" i="60"/>
  <c r="BG148" i="60" s="1"/>
  <c r="AJ148" i="60"/>
  <c r="AL148" i="60"/>
  <c r="BH148" i="60" s="1"/>
  <c r="V149" i="60"/>
  <c r="A148" i="60"/>
  <c r="AX147" i="60"/>
  <c r="AY147" i="60"/>
  <c r="BA147" i="60"/>
  <c r="BD147" i="60"/>
  <c r="AU147" i="60"/>
  <c r="BB147" i="60"/>
  <c r="AZ147" i="60"/>
  <c r="AV147" i="60"/>
  <c r="BC147" i="60"/>
  <c r="AW147" i="60"/>
  <c r="BF147" i="60"/>
  <c r="U147" i="60" s="1"/>
  <c r="BE147" i="60"/>
  <c r="E126" i="60"/>
  <c r="D127" i="60"/>
  <c r="E104" i="60"/>
  <c r="A104" i="60" s="1"/>
  <c r="J104" i="60"/>
  <c r="K104" i="60" s="1"/>
  <c r="K125" i="60"/>
  <c r="M125" i="60" s="1"/>
  <c r="A125" i="60"/>
  <c r="G125" i="60"/>
  <c r="J84" i="60"/>
  <c r="AD56" i="80"/>
  <c r="AD58" i="80" s="1"/>
  <c r="AD60" i="80" s="1"/>
  <c r="AD62" i="80" s="1"/>
  <c r="AC62" i="80" s="1"/>
  <c r="E85" i="60"/>
  <c r="A85" i="60" s="1"/>
  <c r="F85" i="60"/>
  <c r="I85" i="60" s="1"/>
  <c r="AF8" i="80"/>
  <c r="AF9" i="80" s="1"/>
  <c r="AF11" i="80" s="1"/>
  <c r="AF13" i="80" s="1"/>
  <c r="AH5" i="80"/>
  <c r="AF21" i="80"/>
  <c r="AF55" i="80"/>
  <c r="AF54" i="80"/>
  <c r="AH51" i="80"/>
  <c r="AF52" i="80"/>
  <c r="AF53" i="80"/>
  <c r="S73" i="77"/>
  <c r="T72" i="77"/>
  <c r="S79" i="77"/>
  <c r="T78" i="77"/>
  <c r="AB21" i="45"/>
  <c r="AA84" i="45"/>
  <c r="AB20" i="45"/>
  <c r="E165" i="68"/>
  <c r="H165" i="68"/>
  <c r="F165" i="68"/>
  <c r="G165" i="68" s="1"/>
  <c r="I165" i="68" s="1"/>
  <c r="D166" i="68"/>
  <c r="H124" i="68"/>
  <c r="F124" i="68"/>
  <c r="D125" i="68"/>
  <c r="E124" i="68"/>
  <c r="G123" i="68"/>
  <c r="I123" i="68" s="1"/>
  <c r="D64" i="60"/>
  <c r="F63" i="60"/>
  <c r="J63" i="60" s="1"/>
  <c r="L63" i="60" s="1"/>
  <c r="E63" i="60"/>
  <c r="A63" i="60" s="1"/>
  <c r="I120" i="27"/>
  <c r="G82" i="68"/>
  <c r="I82" i="68" s="1"/>
  <c r="A143" i="27"/>
  <c r="T143" i="27"/>
  <c r="U144" i="27"/>
  <c r="F145" i="68"/>
  <c r="I145" i="68" s="1"/>
  <c r="K145" i="68" s="1"/>
  <c r="E145" i="68"/>
  <c r="D146" i="68"/>
  <c r="E64" i="68"/>
  <c r="A64" i="68" s="1"/>
  <c r="F64" i="68"/>
  <c r="I64" i="68" s="1"/>
  <c r="K64" i="68" s="1"/>
  <c r="E83" i="68"/>
  <c r="A83" i="68" s="1"/>
  <c r="H83" i="68"/>
  <c r="D84" i="68"/>
  <c r="F83" i="68"/>
  <c r="W14" i="114"/>
  <c r="S18" i="113" s="1"/>
  <c r="T14" i="114"/>
  <c r="P18" i="113" s="1"/>
  <c r="Y14" i="114"/>
  <c r="AA18" i="113" s="1"/>
  <c r="AB14" i="114"/>
  <c r="AD18" i="113" s="1"/>
  <c r="AY15" i="114"/>
  <c r="BB15" i="114"/>
  <c r="BA15" i="114"/>
  <c r="BD15" i="114"/>
  <c r="BN15" i="114"/>
  <c r="BO15" i="114"/>
  <c r="AU15" i="114"/>
  <c r="AX15" i="114"/>
  <c r="BM15" i="114"/>
  <c r="BL15" i="114"/>
  <c r="D30" i="14"/>
  <c r="J30" i="14" s="1"/>
  <c r="E30" i="14"/>
  <c r="F30" i="14"/>
  <c r="G30" i="14"/>
  <c r="H30" i="14"/>
  <c r="B31" i="14"/>
  <c r="K30" i="14"/>
  <c r="L30" i="14"/>
  <c r="N30" i="14"/>
  <c r="M30" i="14"/>
  <c r="I30" i="14"/>
  <c r="D9" i="100"/>
  <c r="J29" i="14"/>
  <c r="AZ15" i="114"/>
  <c r="BC15" i="114"/>
  <c r="BE17" i="114"/>
  <c r="BF16" i="114"/>
  <c r="BG16" i="114"/>
  <c r="BH16" i="114"/>
  <c r="BI16" i="114"/>
  <c r="BJ16" i="114"/>
  <c r="V14" i="114"/>
  <c r="R18" i="113" s="1"/>
  <c r="S14" i="114"/>
  <c r="O18" i="113" s="1"/>
  <c r="P15" i="114"/>
  <c r="D15" i="114"/>
  <c r="E15" i="114"/>
  <c r="C16" i="114"/>
  <c r="F15" i="114"/>
  <c r="G15" i="114"/>
  <c r="H15" i="114"/>
  <c r="I15" i="114"/>
  <c r="J15" i="114"/>
  <c r="K15" i="114"/>
  <c r="L15" i="114"/>
  <c r="M15" i="114"/>
  <c r="N15" i="114"/>
  <c r="O15" i="114"/>
  <c r="X14" i="114" a="1"/>
  <c r="X14" i="114" s="1"/>
  <c r="Z18" i="113" s="1"/>
  <c r="AA14" i="114"/>
  <c r="AC18" i="113" s="1"/>
  <c r="AV15" i="114"/>
  <c r="AS15" i="114"/>
  <c r="R14" i="114"/>
  <c r="N18" i="113" s="1"/>
  <c r="U14" i="114"/>
  <c r="Q18" i="113" s="1"/>
  <c r="X18" i="113"/>
  <c r="L18" i="113"/>
  <c r="A18" i="113" s="1"/>
  <c r="AG16" i="114"/>
  <c r="AH16" i="114"/>
  <c r="AI16" i="114"/>
  <c r="AJ16" i="114"/>
  <c r="AK16" i="114"/>
  <c r="AL16" i="114"/>
  <c r="AN16" i="114"/>
  <c r="AO16" i="114"/>
  <c r="AP16" i="114"/>
  <c r="AQ16" i="114"/>
  <c r="AD17" i="114"/>
  <c r="AE17" i="114" s="1"/>
  <c r="AF16" i="114"/>
  <c r="AM16" i="114"/>
  <c r="Z14" i="114"/>
  <c r="AB18" i="113" s="1"/>
  <c r="AC14" i="114"/>
  <c r="AE18" i="113" s="1"/>
  <c r="D105" i="68" l="1"/>
  <c r="F104" i="68"/>
  <c r="I104" i="68" s="1"/>
  <c r="K104" i="68" s="1"/>
  <c r="E104" i="68"/>
  <c r="A104" i="68" s="1"/>
  <c r="A149" i="60"/>
  <c r="AL149" i="60"/>
  <c r="BH149" i="60" s="1"/>
  <c r="AK149" i="60"/>
  <c r="BG149" i="60" s="1"/>
  <c r="AJ149" i="60"/>
  <c r="V150" i="60"/>
  <c r="BE148" i="60"/>
  <c r="BA148" i="60"/>
  <c r="AV148" i="60"/>
  <c r="AU148" i="60"/>
  <c r="AZ148" i="60"/>
  <c r="BD148" i="60"/>
  <c r="AX148" i="60"/>
  <c r="BF148" i="60"/>
  <c r="U148" i="60" s="1"/>
  <c r="BB148" i="60"/>
  <c r="AW148" i="60"/>
  <c r="AY148" i="60"/>
  <c r="BC148" i="60"/>
  <c r="A126" i="60"/>
  <c r="G126" i="60"/>
  <c r="K126" i="60"/>
  <c r="M126" i="60" s="1"/>
  <c r="E105" i="60"/>
  <c r="A105" i="60" s="1"/>
  <c r="D128" i="60"/>
  <c r="J105" i="60"/>
  <c r="K105" i="60" s="1"/>
  <c r="E127" i="60"/>
  <c r="J85" i="60"/>
  <c r="AH52" i="80"/>
  <c r="AH54" i="80"/>
  <c r="AH53" i="80"/>
  <c r="AH55" i="80"/>
  <c r="AF56" i="80"/>
  <c r="AF58" i="80" s="1"/>
  <c r="AF60" i="80" s="1"/>
  <c r="AF62" i="80" s="1"/>
  <c r="AE62" i="80" s="1"/>
  <c r="AH8" i="80"/>
  <c r="AH9" i="80" s="1"/>
  <c r="AH11" i="80" s="1"/>
  <c r="AH13" i="80" s="1"/>
  <c r="AH21" i="80"/>
  <c r="U72" i="77"/>
  <c r="T73" i="77"/>
  <c r="T79" i="77"/>
  <c r="U78" i="77"/>
  <c r="AC21" i="45"/>
  <c r="AB84" i="45"/>
  <c r="AC20" i="45"/>
  <c r="H166" i="68"/>
  <c r="F166" i="68"/>
  <c r="E166" i="68"/>
  <c r="G124" i="68"/>
  <c r="I124" i="68" s="1"/>
  <c r="F125" i="68"/>
  <c r="H125" i="68"/>
  <c r="E125" i="68"/>
  <c r="A125" i="68" s="1"/>
  <c r="E64" i="60"/>
  <c r="A64" i="60" s="1"/>
  <c r="F64" i="60"/>
  <c r="J64" i="60" s="1"/>
  <c r="L64" i="60" s="1"/>
  <c r="G83" i="68"/>
  <c r="I83" i="68" s="1"/>
  <c r="U145" i="27"/>
  <c r="T144" i="27"/>
  <c r="A144" i="27"/>
  <c r="E146" i="68"/>
  <c r="F146" i="68"/>
  <c r="I146" i="68" s="1"/>
  <c r="K146" i="68" s="1"/>
  <c r="F84" i="68"/>
  <c r="E84" i="68"/>
  <c r="A84" i="68" s="1"/>
  <c r="H84" i="68"/>
  <c r="R15" i="114"/>
  <c r="U15" i="114"/>
  <c r="K31" i="14"/>
  <c r="M31" i="14"/>
  <c r="L31" i="14"/>
  <c r="D31" i="14"/>
  <c r="J31" i="14" s="1"/>
  <c r="E31" i="14"/>
  <c r="F31" i="14"/>
  <c r="G31" i="14"/>
  <c r="H31" i="14"/>
  <c r="N31" i="14"/>
  <c r="B32" i="14"/>
  <c r="I31" i="14"/>
  <c r="BO16" i="114"/>
  <c r="BN16" i="114"/>
  <c r="BM16" i="114"/>
  <c r="BL16" i="114"/>
  <c r="AM17" i="114"/>
  <c r="AO17" i="114"/>
  <c r="AP17" i="114"/>
  <c r="AQ17" i="114"/>
  <c r="AD18" i="114"/>
  <c r="AE18" i="114" s="1"/>
  <c r="AG17" i="114"/>
  <c r="AH17" i="114"/>
  <c r="AI17" i="114"/>
  <c r="AJ17" i="114"/>
  <c r="AL17" i="114"/>
  <c r="AN17" i="114"/>
  <c r="AK17" i="114"/>
  <c r="AF17" i="114"/>
  <c r="Z15" i="114"/>
  <c r="AC15" i="114"/>
  <c r="BF17" i="114"/>
  <c r="BG17" i="114"/>
  <c r="BH17" i="114"/>
  <c r="BI17" i="114"/>
  <c r="BJ17" i="114"/>
  <c r="BE18" i="114"/>
  <c r="BD16" i="114"/>
  <c r="BA16" i="114"/>
  <c r="T15" i="114"/>
  <c r="W15" i="114"/>
  <c r="AX16" i="114"/>
  <c r="AU16" i="114"/>
  <c r="AB15" i="114"/>
  <c r="Y15" i="114"/>
  <c r="AZ16" i="114"/>
  <c r="BC16" i="114"/>
  <c r="V15" i="114"/>
  <c r="S15" i="114"/>
  <c r="X15" i="114" a="1"/>
  <c r="X15" i="114" s="1"/>
  <c r="AA15" i="114"/>
  <c r="BB16" i="114"/>
  <c r="AY16" i="114"/>
  <c r="AS16" i="114"/>
  <c r="AV16" i="114"/>
  <c r="K16" i="114"/>
  <c r="L16" i="114"/>
  <c r="M16" i="114"/>
  <c r="N16" i="114"/>
  <c r="O16" i="114"/>
  <c r="P16" i="114"/>
  <c r="D16" i="114"/>
  <c r="E16" i="114"/>
  <c r="C17" i="114"/>
  <c r="F16" i="114"/>
  <c r="G16" i="114"/>
  <c r="H16" i="114"/>
  <c r="I16" i="114"/>
  <c r="J16" i="114"/>
  <c r="E105" i="68" l="1"/>
  <c r="A105" i="68" s="1"/>
  <c r="F105" i="68"/>
  <c r="I105" i="68" s="1"/>
  <c r="K105" i="68" s="1"/>
  <c r="G127" i="60"/>
  <c r="K127" i="60"/>
  <c r="M127" i="60" s="1"/>
  <c r="A127" i="60"/>
  <c r="V151" i="60"/>
  <c r="AL150" i="60"/>
  <c r="BH150" i="60" s="1"/>
  <c r="AJ150" i="60"/>
  <c r="AK150" i="60"/>
  <c r="BG150" i="60" s="1"/>
  <c r="A150" i="60"/>
  <c r="AU149" i="60"/>
  <c r="BE149" i="60"/>
  <c r="AY149" i="60"/>
  <c r="AW149" i="60"/>
  <c r="AV149" i="60"/>
  <c r="BF149" i="60"/>
  <c r="U149" i="60" s="1"/>
  <c r="BB149" i="60"/>
  <c r="AZ149" i="60"/>
  <c r="BD149" i="60"/>
  <c r="BA149" i="60"/>
  <c r="AX149" i="60"/>
  <c r="BC149" i="60"/>
  <c r="J106" i="60"/>
  <c r="K106" i="60" s="1"/>
  <c r="E106" i="60"/>
  <c r="A106" i="60" s="1"/>
  <c r="E128" i="60"/>
  <c r="D196" i="10" s="1"/>
  <c r="AH56" i="80"/>
  <c r="AH58" i="80" s="1"/>
  <c r="AH60" i="80" s="1"/>
  <c r="AH62" i="80" s="1"/>
  <c r="AG62" i="80" s="1"/>
  <c r="V78" i="77"/>
  <c r="U79" i="77"/>
  <c r="U73" i="77"/>
  <c r="V72" i="77"/>
  <c r="AD21" i="45"/>
  <c r="AC84" i="45"/>
  <c r="AD20" i="45"/>
  <c r="G166" i="68"/>
  <c r="I166" i="68" s="1"/>
  <c r="G125" i="68"/>
  <c r="I125" i="68" s="1"/>
  <c r="U146" i="27"/>
  <c r="T145" i="27"/>
  <c r="A145" i="27"/>
  <c r="G84" i="68"/>
  <c r="I84" i="68" s="1"/>
  <c r="BA17" i="114"/>
  <c r="BD17" i="114"/>
  <c r="Y16" i="114"/>
  <c r="AB16" i="114"/>
  <c r="BJ18" i="114"/>
  <c r="BE19" i="114"/>
  <c r="BF18" i="114"/>
  <c r="BG18" i="114"/>
  <c r="BH18" i="114"/>
  <c r="BI18" i="114"/>
  <c r="BN17" i="114"/>
  <c r="BO17" i="114"/>
  <c r="BL17" i="114"/>
  <c r="BM17" i="114"/>
  <c r="B33" i="14"/>
  <c r="D32" i="14"/>
  <c r="J32" i="14" s="1"/>
  <c r="E32" i="14"/>
  <c r="F32" i="14"/>
  <c r="H32" i="14"/>
  <c r="L32" i="14"/>
  <c r="M32" i="14"/>
  <c r="N32" i="14"/>
  <c r="G32" i="14"/>
  <c r="K32" i="14"/>
  <c r="I32" i="14"/>
  <c r="S16" i="114"/>
  <c r="V16" i="114"/>
  <c r="AS17" i="114"/>
  <c r="AV17" i="114"/>
  <c r="X16" i="114" a="1"/>
  <c r="X16" i="114" s="1"/>
  <c r="AA16" i="114"/>
  <c r="AX17" i="114"/>
  <c r="AU17" i="114"/>
  <c r="AZ17" i="114"/>
  <c r="BC17" i="114"/>
  <c r="I17" i="114"/>
  <c r="K17" i="114"/>
  <c r="L17" i="114"/>
  <c r="M17" i="114"/>
  <c r="N17" i="114"/>
  <c r="O17" i="114"/>
  <c r="P17" i="114"/>
  <c r="D17" i="114"/>
  <c r="E17" i="114"/>
  <c r="C18" i="114"/>
  <c r="F17" i="114"/>
  <c r="G17" i="114"/>
  <c r="J17" i="114"/>
  <c r="H17" i="114"/>
  <c r="R16" i="114"/>
  <c r="U16" i="114"/>
  <c r="AY17" i="114"/>
  <c r="BB17" i="114"/>
  <c r="AC16" i="114"/>
  <c r="Z16" i="114"/>
  <c r="AP18" i="114"/>
  <c r="AD19" i="114"/>
  <c r="AE19" i="114" s="1"/>
  <c r="AF18" i="114"/>
  <c r="AG18" i="114"/>
  <c r="AH18" i="114"/>
  <c r="AI18" i="114"/>
  <c r="AK18" i="114"/>
  <c r="AM18" i="114"/>
  <c r="AN18" i="114"/>
  <c r="AO18" i="114"/>
  <c r="AJ18" i="114"/>
  <c r="AQ18" i="114"/>
  <c r="AL18" i="114"/>
  <c r="T16" i="114"/>
  <c r="W16" i="114"/>
  <c r="AK151" i="60" l="1"/>
  <c r="BG151" i="60" s="1"/>
  <c r="A151" i="60"/>
  <c r="AL151" i="60"/>
  <c r="BH151" i="60" s="1"/>
  <c r="V152" i="60"/>
  <c r="AJ151" i="60"/>
  <c r="A128" i="60"/>
  <c r="G128" i="60"/>
  <c r="K128" i="60"/>
  <c r="M128" i="60" s="1"/>
  <c r="BF150" i="60"/>
  <c r="U150" i="60" s="1"/>
  <c r="AU150" i="60"/>
  <c r="BE150" i="60"/>
  <c r="BB150" i="60"/>
  <c r="AZ150" i="60"/>
  <c r="BD150" i="60"/>
  <c r="AX150" i="60"/>
  <c r="AY150" i="60"/>
  <c r="AV150" i="60"/>
  <c r="BC150" i="60"/>
  <c r="AW150" i="60"/>
  <c r="BA150" i="60"/>
  <c r="V73" i="77"/>
  <c r="R75" i="77"/>
  <c r="V81" i="77"/>
  <c r="V82" i="77" s="1"/>
  <c r="V79" i="77"/>
  <c r="M81" i="77"/>
  <c r="M82" i="77" s="1"/>
  <c r="U81" i="77"/>
  <c r="U82" i="77" s="1"/>
  <c r="N81" i="77"/>
  <c r="N82" i="77" s="1"/>
  <c r="Q81" i="77"/>
  <c r="Q82" i="77" s="1"/>
  <c r="T81" i="77"/>
  <c r="T82" i="77" s="1"/>
  <c r="S81" i="77"/>
  <c r="S82" i="77" s="1"/>
  <c r="P81" i="77"/>
  <c r="P82" i="77" s="1"/>
  <c r="R81" i="77"/>
  <c r="R82" i="77" s="1"/>
  <c r="O81" i="77"/>
  <c r="O82" i="77" s="1"/>
  <c r="AE21" i="45"/>
  <c r="AD84" i="45"/>
  <c r="AE20" i="45"/>
  <c r="U147" i="27"/>
  <c r="T146" i="27"/>
  <c r="A146" i="27"/>
  <c r="V17" i="114"/>
  <c r="S17" i="114"/>
  <c r="H33" i="14"/>
  <c r="K33" i="14"/>
  <c r="L33" i="14"/>
  <c r="M33" i="14"/>
  <c r="N33" i="14"/>
  <c r="B34" i="14"/>
  <c r="D33" i="14"/>
  <c r="E33" i="14"/>
  <c r="F33" i="14"/>
  <c r="G33" i="14"/>
  <c r="I33" i="14"/>
  <c r="BA18" i="114"/>
  <c r="BD18" i="114"/>
  <c r="T17" i="114"/>
  <c r="W17" i="114"/>
  <c r="BN18" i="114"/>
  <c r="BO18" i="114"/>
  <c r="X17" i="114" a="1"/>
  <c r="X17" i="114" s="1"/>
  <c r="AA17" i="114"/>
  <c r="BM18" i="114"/>
  <c r="BL18" i="114"/>
  <c r="AZ18" i="114"/>
  <c r="BC18" i="114"/>
  <c r="AU18" i="114"/>
  <c r="AX18" i="114"/>
  <c r="G18" i="114"/>
  <c r="I18" i="114"/>
  <c r="J18" i="114"/>
  <c r="K18" i="114"/>
  <c r="L18" i="114"/>
  <c r="M18" i="114"/>
  <c r="N18" i="114"/>
  <c r="O18" i="114"/>
  <c r="P18" i="114"/>
  <c r="E18" i="114"/>
  <c r="D18" i="114"/>
  <c r="F18" i="114"/>
  <c r="H18" i="114"/>
  <c r="C19" i="114"/>
  <c r="BJ19" i="114"/>
  <c r="BE20" i="114"/>
  <c r="BF19" i="114"/>
  <c r="BG19" i="114"/>
  <c r="BI19" i="114"/>
  <c r="BH19" i="114"/>
  <c r="R17" i="114"/>
  <c r="U17" i="114"/>
  <c r="AV18" i="114"/>
  <c r="AS18" i="114"/>
  <c r="Y17" i="114"/>
  <c r="AB17" i="114"/>
  <c r="BB18" i="114"/>
  <c r="AY18" i="114"/>
  <c r="Z17" i="114"/>
  <c r="AC17" i="114"/>
  <c r="AL19" i="114"/>
  <c r="AN19" i="114"/>
  <c r="AO19" i="114"/>
  <c r="AP19" i="114"/>
  <c r="AQ19" i="114"/>
  <c r="AD20" i="114"/>
  <c r="AE20" i="114" s="1"/>
  <c r="AF19" i="114"/>
  <c r="AG19" i="114"/>
  <c r="AH19" i="114"/>
  <c r="AI19" i="114"/>
  <c r="AK19" i="114"/>
  <c r="AM19" i="114"/>
  <c r="AJ19" i="114"/>
  <c r="V153" i="60" l="1"/>
  <c r="A152" i="60"/>
  <c r="AJ152" i="60"/>
  <c r="AK152" i="60"/>
  <c r="BG152" i="60" s="1"/>
  <c r="AL152" i="60"/>
  <c r="BH152" i="60" s="1"/>
  <c r="AZ151" i="60"/>
  <c r="BA151" i="60"/>
  <c r="AV151" i="60"/>
  <c r="AW151" i="60"/>
  <c r="BE151" i="60"/>
  <c r="BB151" i="60"/>
  <c r="BC151" i="60"/>
  <c r="BD151" i="60"/>
  <c r="AY151" i="60"/>
  <c r="AU151" i="60"/>
  <c r="BF151" i="60"/>
  <c r="U151" i="60" s="1"/>
  <c r="AX151" i="60"/>
  <c r="R76" i="77"/>
  <c r="S75" i="77"/>
  <c r="AF21" i="45"/>
  <c r="AE84" i="45"/>
  <c r="AF20" i="45"/>
  <c r="U148" i="27"/>
  <c r="T147" i="27"/>
  <c r="A147" i="27"/>
  <c r="AU19" i="114"/>
  <c r="AX19" i="114"/>
  <c r="AZ19" i="114"/>
  <c r="BC19" i="114"/>
  <c r="U18" i="114"/>
  <c r="R18" i="114"/>
  <c r="Z18" i="114"/>
  <c r="AC18" i="114"/>
  <c r="W18" i="114"/>
  <c r="T18" i="114"/>
  <c r="Y18" i="114"/>
  <c r="AB18" i="114"/>
  <c r="S18" i="114"/>
  <c r="V18" i="114"/>
  <c r="J33" i="14"/>
  <c r="D10" i="100"/>
  <c r="AA18" i="114"/>
  <c r="X18" i="114" a="1"/>
  <c r="X18" i="114" s="1"/>
  <c r="L34" i="14"/>
  <c r="M34" i="14"/>
  <c r="N34" i="14"/>
  <c r="B35" i="14"/>
  <c r="D34" i="14"/>
  <c r="J34" i="14" s="1"/>
  <c r="E34" i="14"/>
  <c r="F34" i="14"/>
  <c r="G34" i="14"/>
  <c r="H34" i="14"/>
  <c r="K34" i="14"/>
  <c r="I34" i="14"/>
  <c r="AY19" i="114"/>
  <c r="BB19" i="114"/>
  <c r="BN19" i="114"/>
  <c r="BO19" i="114"/>
  <c r="AS19" i="114"/>
  <c r="AV19" i="114"/>
  <c r="BM19" i="114"/>
  <c r="BL19" i="114"/>
  <c r="AF20" i="114"/>
  <c r="AG20" i="114"/>
  <c r="AH20" i="114"/>
  <c r="AI20" i="114"/>
  <c r="AJ20" i="114"/>
  <c r="AL20" i="114"/>
  <c r="AN20" i="114"/>
  <c r="AO20" i="114"/>
  <c r="AP20" i="114"/>
  <c r="AQ20" i="114"/>
  <c r="AD21" i="114"/>
  <c r="AE21" i="114" s="1"/>
  <c r="AK20" i="114"/>
  <c r="AM20" i="114"/>
  <c r="BF20" i="114"/>
  <c r="BH20" i="114"/>
  <c r="BI20" i="114"/>
  <c r="BJ20" i="114"/>
  <c r="BE21" i="114"/>
  <c r="BG20" i="114"/>
  <c r="BA19" i="114"/>
  <c r="BD19" i="114"/>
  <c r="E19" i="114"/>
  <c r="C20" i="114"/>
  <c r="G19" i="114"/>
  <c r="H19" i="114"/>
  <c r="I19" i="114"/>
  <c r="J19" i="114"/>
  <c r="K19" i="114"/>
  <c r="L19" i="114"/>
  <c r="M19" i="114"/>
  <c r="N19" i="114"/>
  <c r="O19" i="114"/>
  <c r="D19" i="114"/>
  <c r="F19" i="114"/>
  <c r="P19" i="114"/>
  <c r="BF152" i="60" l="1"/>
  <c r="U152" i="60" s="1"/>
  <c r="BD152" i="60"/>
  <c r="AU152" i="60"/>
  <c r="AV152" i="60"/>
  <c r="BA152" i="60"/>
  <c r="BE152" i="60"/>
  <c r="AW152" i="60"/>
  <c r="BC152" i="60"/>
  <c r="AX152" i="60"/>
  <c r="BB152" i="60"/>
  <c r="AY152" i="60"/>
  <c r="AZ152" i="60"/>
  <c r="A153" i="60"/>
  <c r="AJ153" i="60"/>
  <c r="AL153" i="60"/>
  <c r="BH153" i="60" s="1"/>
  <c r="AK153" i="60"/>
  <c r="BG153" i="60" s="1"/>
  <c r="V154" i="60"/>
  <c r="T75" i="77"/>
  <c r="S76" i="77"/>
  <c r="AF84" i="45"/>
  <c r="AG21" i="45"/>
  <c r="AG20" i="45"/>
  <c r="T148" i="27"/>
  <c r="A148" i="27"/>
  <c r="U149" i="27"/>
  <c r="BL20" i="114"/>
  <c r="BM20" i="114"/>
  <c r="AV20" i="114"/>
  <c r="AS20" i="114"/>
  <c r="AJ21" i="114"/>
  <c r="AL21" i="114"/>
  <c r="AM21" i="114"/>
  <c r="AN21" i="114"/>
  <c r="AO21" i="114"/>
  <c r="AP21" i="114"/>
  <c r="AQ21" i="114"/>
  <c r="AG21" i="114"/>
  <c r="AH21" i="114"/>
  <c r="AI21" i="114"/>
  <c r="AD22" i="114"/>
  <c r="AE22" i="114" s="1"/>
  <c r="AK21" i="114"/>
  <c r="AF21" i="114"/>
  <c r="BN20" i="114"/>
  <c r="BO20" i="114"/>
  <c r="T19" i="114"/>
  <c r="W19" i="114"/>
  <c r="BA20" i="114"/>
  <c r="BD20" i="114"/>
  <c r="U19" i="114"/>
  <c r="R19" i="114"/>
  <c r="Y19" i="114"/>
  <c r="AB19" i="114"/>
  <c r="AX20" i="114"/>
  <c r="AU20" i="114"/>
  <c r="V19" i="114"/>
  <c r="S19" i="114"/>
  <c r="AZ20" i="114"/>
  <c r="BC20" i="114"/>
  <c r="BH21" i="114"/>
  <c r="BJ21" i="114"/>
  <c r="BE22" i="114"/>
  <c r="BG21" i="114"/>
  <c r="BI21" i="114"/>
  <c r="BF21" i="114"/>
  <c r="AC19" i="114"/>
  <c r="Z19" i="114"/>
  <c r="AA19" i="114"/>
  <c r="X19" i="114" a="1"/>
  <c r="X19" i="114" s="1"/>
  <c r="K35" i="14"/>
  <c r="D35" i="14"/>
  <c r="J35" i="14" s="1"/>
  <c r="G35" i="14"/>
  <c r="E35" i="14"/>
  <c r="B36" i="14"/>
  <c r="F35" i="14"/>
  <c r="L35" i="14"/>
  <c r="H35" i="14"/>
  <c r="N35" i="14"/>
  <c r="M35" i="14"/>
  <c r="I35" i="14"/>
  <c r="E20" i="114"/>
  <c r="C21" i="114"/>
  <c r="F20" i="114"/>
  <c r="G20" i="114"/>
  <c r="H20" i="114"/>
  <c r="I20" i="114"/>
  <c r="J20" i="114"/>
  <c r="K20" i="114"/>
  <c r="L20" i="114"/>
  <c r="O20" i="114"/>
  <c r="P20" i="114"/>
  <c r="D20" i="114"/>
  <c r="M20" i="114"/>
  <c r="N20" i="114"/>
  <c r="BB20" i="114"/>
  <c r="AY20" i="114"/>
  <c r="A154" i="60" l="1"/>
  <c r="AL154" i="60"/>
  <c r="BH154" i="60" s="1"/>
  <c r="AK154" i="60"/>
  <c r="BG154" i="60" s="1"/>
  <c r="V155" i="60"/>
  <c r="AJ154" i="60"/>
  <c r="BF153" i="60"/>
  <c r="U153" i="60" s="1"/>
  <c r="BD153" i="60"/>
  <c r="BB153" i="60"/>
  <c r="AZ153" i="60"/>
  <c r="AV153" i="60"/>
  <c r="AY153" i="60"/>
  <c r="AX153" i="60"/>
  <c r="BE153" i="60"/>
  <c r="BC153" i="60"/>
  <c r="AW153" i="60"/>
  <c r="AU153" i="60"/>
  <c r="BA153" i="60"/>
  <c r="U75" i="77"/>
  <c r="T76" i="77"/>
  <c r="AG84" i="45"/>
  <c r="AH21" i="45"/>
  <c r="AH20" i="45"/>
  <c r="A149" i="27"/>
  <c r="T149" i="27"/>
  <c r="U150" i="27"/>
  <c r="AV21" i="114"/>
  <c r="AS21" i="114"/>
  <c r="AP22" i="114"/>
  <c r="AD23" i="114"/>
  <c r="AE23" i="114" s="1"/>
  <c r="AF22" i="114"/>
  <c r="AG22" i="114"/>
  <c r="AH22" i="114"/>
  <c r="AJ22" i="114"/>
  <c r="AL22" i="114"/>
  <c r="AM22" i="114"/>
  <c r="AO22" i="114"/>
  <c r="AQ22" i="114"/>
  <c r="AN22" i="114"/>
  <c r="AI22" i="114"/>
  <c r="AK22" i="114"/>
  <c r="BB21" i="114"/>
  <c r="AY21" i="114"/>
  <c r="BL21" i="114"/>
  <c r="BM21" i="114"/>
  <c r="X20" i="114" a="1"/>
  <c r="X20" i="114" s="1"/>
  <c r="AA20" i="114"/>
  <c r="R20" i="114"/>
  <c r="U20" i="114"/>
  <c r="BA21" i="114"/>
  <c r="BD21" i="114"/>
  <c r="H36" i="14"/>
  <c r="G36" i="14"/>
  <c r="M36" i="14"/>
  <c r="K36" i="14"/>
  <c r="L36" i="14"/>
  <c r="N36" i="14"/>
  <c r="D36" i="14"/>
  <c r="J36" i="14" s="1"/>
  <c r="F36" i="14"/>
  <c r="E36" i="14"/>
  <c r="I36" i="14"/>
  <c r="T20" i="114"/>
  <c r="W20" i="114"/>
  <c r="AU21" i="114"/>
  <c r="AX21" i="114"/>
  <c r="BE23" i="114"/>
  <c r="BF22" i="114"/>
  <c r="BG22" i="114"/>
  <c r="BH22" i="114"/>
  <c r="BI22" i="114"/>
  <c r="BJ22" i="114"/>
  <c r="AZ21" i="114"/>
  <c r="BC21" i="114"/>
  <c r="K21" i="114"/>
  <c r="L21" i="114"/>
  <c r="O21" i="114"/>
  <c r="P21" i="114"/>
  <c r="D21" i="114"/>
  <c r="E21" i="114"/>
  <c r="C22" i="114"/>
  <c r="F21" i="114"/>
  <c r="G21" i="114"/>
  <c r="H21" i="114"/>
  <c r="I21" i="114"/>
  <c r="J21" i="114"/>
  <c r="M21" i="114"/>
  <c r="N21" i="114"/>
  <c r="Z20" i="114"/>
  <c r="AC20" i="114"/>
  <c r="Y20" i="114"/>
  <c r="AB20" i="114"/>
  <c r="BN21" i="114"/>
  <c r="BO21" i="114"/>
  <c r="S20" i="114"/>
  <c r="V20" i="114"/>
  <c r="BF154" i="60" l="1"/>
  <c r="U154" i="60" s="1"/>
  <c r="AX154" i="60"/>
  <c r="AW154" i="60"/>
  <c r="AV154" i="60"/>
  <c r="AY154" i="60"/>
  <c r="AU154" i="60"/>
  <c r="BB154" i="60"/>
  <c r="BE154" i="60"/>
  <c r="BC154" i="60"/>
  <c r="BD154" i="60"/>
  <c r="BA154" i="60"/>
  <c r="AZ154" i="60"/>
  <c r="V156" i="60"/>
  <c r="A155" i="60"/>
  <c r="AK155" i="60"/>
  <c r="BG155" i="60" s="1"/>
  <c r="AJ155" i="60"/>
  <c r="AL155" i="60"/>
  <c r="BH155" i="60" s="1"/>
  <c r="U76" i="77"/>
  <c r="V75" i="77"/>
  <c r="V76" i="77" s="1"/>
  <c r="AI20" i="45"/>
  <c r="AH84" i="45"/>
  <c r="AI21" i="45"/>
  <c r="U151" i="27"/>
  <c r="T150" i="27"/>
  <c r="A150" i="27"/>
  <c r="AU22" i="114"/>
  <c r="AX22" i="114"/>
  <c r="X21" i="114" a="1"/>
  <c r="X21" i="114" s="1"/>
  <c r="AA21" i="114"/>
  <c r="BC22" i="114"/>
  <c r="AZ22" i="114"/>
  <c r="U21" i="114"/>
  <c r="R21" i="114"/>
  <c r="Y21" i="114"/>
  <c r="AB21" i="114"/>
  <c r="AY22" i="114"/>
  <c r="BB22" i="114"/>
  <c r="Z21" i="114"/>
  <c r="AC21" i="114"/>
  <c r="S21" i="114"/>
  <c r="V21" i="114"/>
  <c r="P22" i="114"/>
  <c r="I22" i="114"/>
  <c r="J22" i="114"/>
  <c r="M22" i="114"/>
  <c r="N22" i="114"/>
  <c r="D22" i="114"/>
  <c r="E22" i="114"/>
  <c r="C23" i="114"/>
  <c r="F22" i="114"/>
  <c r="G22" i="114"/>
  <c r="H22" i="114"/>
  <c r="K22" i="114"/>
  <c r="L22" i="114"/>
  <c r="O22" i="114"/>
  <c r="AV22" i="114"/>
  <c r="AS22" i="114"/>
  <c r="BN22" i="114"/>
  <c r="BO22" i="114"/>
  <c r="AH23" i="114"/>
  <c r="AJ23" i="114"/>
  <c r="AK23" i="114"/>
  <c r="AL23" i="114"/>
  <c r="AM23" i="114"/>
  <c r="AN23" i="114"/>
  <c r="AO23" i="114"/>
  <c r="AQ23" i="114"/>
  <c r="AD24" i="114"/>
  <c r="AE24" i="114" s="1"/>
  <c r="AF23" i="114"/>
  <c r="AG23" i="114"/>
  <c r="AI23" i="114"/>
  <c r="AP23" i="114"/>
  <c r="BM22" i="114"/>
  <c r="BL22" i="114"/>
  <c r="BA22" i="114"/>
  <c r="BD22" i="114"/>
  <c r="W21" i="114"/>
  <c r="T21" i="114"/>
  <c r="BE24" i="114"/>
  <c r="BF23" i="114"/>
  <c r="BG23" i="114"/>
  <c r="BH23" i="114"/>
  <c r="BI23" i="114"/>
  <c r="BJ23" i="114"/>
  <c r="BD155" i="60" l="1"/>
  <c r="BB155" i="60"/>
  <c r="AX155" i="60"/>
  <c r="BA155" i="60"/>
  <c r="BC155" i="60"/>
  <c r="AZ155" i="60"/>
  <c r="AV155" i="60"/>
  <c r="AW155" i="60"/>
  <c r="BF155" i="60"/>
  <c r="U155" i="60" s="1"/>
  <c r="AU155" i="60"/>
  <c r="BE155" i="60"/>
  <c r="AY155" i="60"/>
  <c r="A156" i="60"/>
  <c r="AK156" i="60"/>
  <c r="BG156" i="60" s="1"/>
  <c r="V157" i="60"/>
  <c r="AJ156" i="60"/>
  <c r="AL156" i="60"/>
  <c r="BH156" i="60" s="1"/>
  <c r="AJ20" i="45"/>
  <c r="AI84" i="45"/>
  <c r="AJ21" i="45"/>
  <c r="U152" i="27"/>
  <c r="T151" i="27"/>
  <c r="A151" i="27"/>
  <c r="BM23" i="114"/>
  <c r="BL23" i="114"/>
  <c r="AU23" i="114"/>
  <c r="AX23" i="114"/>
  <c r="S22" i="114"/>
  <c r="V22" i="114"/>
  <c r="BN23" i="114"/>
  <c r="BO23" i="114"/>
  <c r="BA23" i="114"/>
  <c r="BD23" i="114"/>
  <c r="Y22" i="114"/>
  <c r="AB22" i="114"/>
  <c r="AZ23" i="114"/>
  <c r="BC23" i="114"/>
  <c r="BE25" i="114"/>
  <c r="BF24" i="114"/>
  <c r="BG24" i="114"/>
  <c r="BH24" i="114"/>
  <c r="BJ24" i="114"/>
  <c r="BI24" i="114"/>
  <c r="BB23" i="114"/>
  <c r="AY23" i="114"/>
  <c r="Z22" i="114"/>
  <c r="AC22" i="114"/>
  <c r="X22" i="114" a="1"/>
  <c r="X22" i="114" s="1"/>
  <c r="AA22" i="114"/>
  <c r="W22" i="114"/>
  <c r="T22" i="114"/>
  <c r="AS23" i="114"/>
  <c r="AV23" i="114"/>
  <c r="N23" i="114"/>
  <c r="O23" i="114"/>
  <c r="P23" i="114"/>
  <c r="C24" i="114"/>
  <c r="D23" i="114"/>
  <c r="E23" i="114"/>
  <c r="F23" i="114"/>
  <c r="J23" i="114"/>
  <c r="G23" i="114"/>
  <c r="H23" i="114"/>
  <c r="I23" i="114"/>
  <c r="K23" i="114"/>
  <c r="L23" i="114"/>
  <c r="M23" i="114"/>
  <c r="U22" i="114"/>
  <c r="R22" i="114"/>
  <c r="AO24" i="114"/>
  <c r="AQ24" i="114"/>
  <c r="AD25" i="114"/>
  <c r="AE25" i="114" s="1"/>
  <c r="AF24" i="114"/>
  <c r="AG24" i="114"/>
  <c r="AH24" i="114"/>
  <c r="AI24" i="114"/>
  <c r="AJ24" i="114"/>
  <c r="AK24" i="114"/>
  <c r="AL24" i="114"/>
  <c r="AN24" i="114"/>
  <c r="AP24" i="114"/>
  <c r="AM24" i="114"/>
  <c r="AX156" i="60" l="1"/>
  <c r="BE156" i="60"/>
  <c r="AZ156" i="60"/>
  <c r="AW156" i="60"/>
  <c r="BF156" i="60"/>
  <c r="U156" i="60" s="1"/>
  <c r="AV156" i="60"/>
  <c r="BD156" i="60"/>
  <c r="BB156" i="60"/>
  <c r="BA156" i="60"/>
  <c r="BC156" i="60"/>
  <c r="AU156" i="60"/>
  <c r="AY156" i="60"/>
  <c r="A157" i="60"/>
  <c r="AJ157" i="60"/>
  <c r="V158" i="60"/>
  <c r="AK157" i="60"/>
  <c r="BG157" i="60" s="1"/>
  <c r="AL157" i="60"/>
  <c r="BH157" i="60" s="1"/>
  <c r="AK20" i="45"/>
  <c r="AK21" i="45"/>
  <c r="AJ84" i="45"/>
  <c r="U153" i="27"/>
  <c r="T152" i="27"/>
  <c r="A152" i="27"/>
  <c r="X23" i="114" a="1"/>
  <c r="X23" i="114" s="1"/>
  <c r="AA23" i="114"/>
  <c r="BO24" i="114"/>
  <c r="BN24" i="114"/>
  <c r="N24" i="114"/>
  <c r="P24" i="114"/>
  <c r="D24" i="114"/>
  <c r="E24" i="114"/>
  <c r="C25" i="114"/>
  <c r="O24" i="114"/>
  <c r="H24" i="114"/>
  <c r="F24" i="114"/>
  <c r="G24" i="114"/>
  <c r="I24" i="114"/>
  <c r="J24" i="114"/>
  <c r="K24" i="114"/>
  <c r="L24" i="114"/>
  <c r="M24" i="114"/>
  <c r="U23" i="114"/>
  <c r="R23" i="114"/>
  <c r="AU24" i="114"/>
  <c r="AX24" i="114"/>
  <c r="Z23" i="114"/>
  <c r="AC23" i="114"/>
  <c r="AH25" i="114"/>
  <c r="AI25" i="114"/>
  <c r="AJ25" i="114"/>
  <c r="AK25" i="114"/>
  <c r="AM25" i="114"/>
  <c r="AO25" i="114"/>
  <c r="AP25" i="114"/>
  <c r="AQ25" i="114"/>
  <c r="AD26" i="114"/>
  <c r="AE26" i="114" s="1"/>
  <c r="AF25" i="114"/>
  <c r="AG25" i="114"/>
  <c r="AL25" i="114"/>
  <c r="AN25" i="114"/>
  <c r="AZ24" i="114"/>
  <c r="BC24" i="114"/>
  <c r="BA24" i="114"/>
  <c r="BD24" i="114"/>
  <c r="BJ25" i="114"/>
  <c r="BF25" i="114"/>
  <c r="BG25" i="114"/>
  <c r="BI25" i="114"/>
  <c r="BE26" i="114"/>
  <c r="BH25" i="114"/>
  <c r="BB24" i="114"/>
  <c r="AY24" i="114"/>
  <c r="BL24" i="114"/>
  <c r="BM24" i="114"/>
  <c r="T23" i="114"/>
  <c r="W23" i="114"/>
  <c r="AS24" i="114"/>
  <c r="AV24" i="114"/>
  <c r="Y23" i="114"/>
  <c r="AB23" i="114"/>
  <c r="V23" i="114"/>
  <c r="S23" i="114"/>
  <c r="AY157" i="60" l="1"/>
  <c r="AX157" i="60"/>
  <c r="AW157" i="60"/>
  <c r="BD157" i="60"/>
  <c r="BE157" i="60"/>
  <c r="BA157" i="60"/>
  <c r="BC157" i="60"/>
  <c r="AZ157" i="60"/>
  <c r="BB157" i="60"/>
  <c r="BF157" i="60"/>
  <c r="U157" i="60" s="1"/>
  <c r="AV157" i="60"/>
  <c r="AU157" i="60"/>
  <c r="AL158" i="60"/>
  <c r="BH158" i="60" s="1"/>
  <c r="AK158" i="60"/>
  <c r="BG158" i="60" s="1"/>
  <c r="A158" i="60"/>
  <c r="AJ158" i="60"/>
  <c r="V159" i="60"/>
  <c r="AL20" i="45"/>
  <c r="AL21" i="45"/>
  <c r="AK84" i="45"/>
  <c r="U154" i="27"/>
  <c r="T153" i="27"/>
  <c r="A153" i="27"/>
  <c r="X24" i="114" a="1"/>
  <c r="X24" i="114" s="1"/>
  <c r="AA24" i="114"/>
  <c r="AS25" i="114"/>
  <c r="AV25" i="114"/>
  <c r="Z24" i="114"/>
  <c r="AC24" i="114"/>
  <c r="Y24" i="114"/>
  <c r="AB24" i="114"/>
  <c r="N25" i="114"/>
  <c r="D25" i="114"/>
  <c r="E25" i="114"/>
  <c r="M25" i="114"/>
  <c r="O25" i="114"/>
  <c r="P25" i="114"/>
  <c r="F25" i="114"/>
  <c r="G25" i="114"/>
  <c r="C26" i="114"/>
  <c r="H25" i="114"/>
  <c r="I25" i="114"/>
  <c r="J25" i="114"/>
  <c r="K25" i="114"/>
  <c r="L25" i="114"/>
  <c r="R24" i="114"/>
  <c r="U24" i="114"/>
  <c r="BC25" i="114"/>
  <c r="AZ25" i="114"/>
  <c r="V24" i="114"/>
  <c r="S24" i="114"/>
  <c r="BE27" i="114"/>
  <c r="BF26" i="114"/>
  <c r="BG26" i="114"/>
  <c r="BH26" i="114"/>
  <c r="BJ26" i="114"/>
  <c r="BI26" i="114"/>
  <c r="W24" i="114"/>
  <c r="T24" i="114"/>
  <c r="AG26" i="114"/>
  <c r="AI26" i="114"/>
  <c r="AJ26" i="114"/>
  <c r="AK26" i="114"/>
  <c r="AL26" i="114"/>
  <c r="AM26" i="114"/>
  <c r="AN26" i="114"/>
  <c r="AO26" i="114"/>
  <c r="AP26" i="114"/>
  <c r="AQ26" i="114"/>
  <c r="AD27" i="114"/>
  <c r="AE27" i="114" s="1"/>
  <c r="AF26" i="114"/>
  <c r="AH26" i="114"/>
  <c r="BD25" i="114"/>
  <c r="BA25" i="114"/>
  <c r="BN25" i="114"/>
  <c r="BO25" i="114"/>
  <c r="BM25" i="114"/>
  <c r="BL25" i="114"/>
  <c r="AY25" i="114"/>
  <c r="BB25" i="114"/>
  <c r="AU25" i="114"/>
  <c r="AX25" i="114"/>
  <c r="BF158" i="60" l="1"/>
  <c r="U158" i="60" s="1"/>
  <c r="BC158" i="60"/>
  <c r="AZ158" i="60"/>
  <c r="BB158" i="60"/>
  <c r="BA158" i="60"/>
  <c r="AY158" i="60"/>
  <c r="BD158" i="60"/>
  <c r="AW158" i="60"/>
  <c r="AV158" i="60"/>
  <c r="AX158" i="60"/>
  <c r="BE158" i="60"/>
  <c r="AU158" i="60"/>
  <c r="AL159" i="60"/>
  <c r="BH159" i="60" s="1"/>
  <c r="A159" i="60"/>
  <c r="AK159" i="60"/>
  <c r="BG159" i="60" s="1"/>
  <c r="AJ159" i="60"/>
  <c r="V160" i="60"/>
  <c r="AM20" i="45"/>
  <c r="AM21" i="45"/>
  <c r="AL84" i="45"/>
  <c r="U155" i="27"/>
  <c r="T154" i="27"/>
  <c r="A154" i="27"/>
  <c r="I26" i="114"/>
  <c r="C27" i="114"/>
  <c r="J26" i="114"/>
  <c r="L26" i="114"/>
  <c r="K26" i="114"/>
  <c r="M26" i="114"/>
  <c r="N26" i="114"/>
  <c r="O26" i="114"/>
  <c r="P26" i="114"/>
  <c r="D26" i="114"/>
  <c r="E26" i="114"/>
  <c r="F26" i="114"/>
  <c r="G26" i="114"/>
  <c r="H26" i="114"/>
  <c r="X25" i="114" a="1"/>
  <c r="X25" i="114" s="1"/>
  <c r="AA25" i="114"/>
  <c r="BO26" i="114"/>
  <c r="BN26" i="114"/>
  <c r="R25" i="114"/>
  <c r="U25" i="114"/>
  <c r="V25" i="114"/>
  <c r="S25" i="114"/>
  <c r="W25" i="114"/>
  <c r="T25" i="114"/>
  <c r="AV26" i="114"/>
  <c r="AS26" i="114"/>
  <c r="BE28" i="114"/>
  <c r="BF27" i="114"/>
  <c r="BG27" i="114"/>
  <c r="BH27" i="114"/>
  <c r="BJ27" i="114"/>
  <c r="BI27" i="114"/>
  <c r="AY26" i="114"/>
  <c r="BB26" i="114"/>
  <c r="AD28" i="114"/>
  <c r="AE28" i="114" s="1"/>
  <c r="AF27" i="114"/>
  <c r="AG27" i="114"/>
  <c r="AH27" i="114"/>
  <c r="AJ27" i="114"/>
  <c r="AL27" i="114"/>
  <c r="AN27" i="114"/>
  <c r="AO27" i="114"/>
  <c r="AP27" i="114"/>
  <c r="AQ27" i="114"/>
  <c r="AI27" i="114"/>
  <c r="AK27" i="114"/>
  <c r="AM27" i="114"/>
  <c r="Z25" i="114"/>
  <c r="AC25" i="114"/>
  <c r="BL26" i="114"/>
  <c r="BM26" i="114"/>
  <c r="BA26" i="114"/>
  <c r="BD26" i="114"/>
  <c r="AX26" i="114"/>
  <c r="AU26" i="114"/>
  <c r="AZ26" i="114"/>
  <c r="BC26" i="114"/>
  <c r="Y25" i="114"/>
  <c r="AB25" i="114"/>
  <c r="AJ160" i="60" l="1"/>
  <c r="V161" i="60"/>
  <c r="AL160" i="60"/>
  <c r="BH160" i="60" s="1"/>
  <c r="A160" i="60"/>
  <c r="AK160" i="60"/>
  <c r="BG160" i="60" s="1"/>
  <c r="AZ159" i="60"/>
  <c r="BC159" i="60"/>
  <c r="BE159" i="60"/>
  <c r="BB159" i="60"/>
  <c r="AX159" i="60"/>
  <c r="BA159" i="60"/>
  <c r="AY159" i="60"/>
  <c r="AV159" i="60"/>
  <c r="AU159" i="60"/>
  <c r="BF159" i="60"/>
  <c r="U159" i="60" s="1"/>
  <c r="BD159" i="60"/>
  <c r="AW159" i="60"/>
  <c r="AN20" i="45"/>
  <c r="AN21" i="45"/>
  <c r="AM84" i="45"/>
  <c r="T155" i="27"/>
  <c r="A155" i="27"/>
  <c r="U156" i="27"/>
  <c r="AV27" i="114"/>
  <c r="AS27" i="114"/>
  <c r="R26" i="114"/>
  <c r="U26" i="114"/>
  <c r="BO27" i="114"/>
  <c r="BN27" i="114"/>
  <c r="BL27" i="114"/>
  <c r="BM27" i="114"/>
  <c r="AY27" i="114"/>
  <c r="BB27" i="114"/>
  <c r="AC26" i="114"/>
  <c r="Z26" i="114"/>
  <c r="X26" i="114" a="1"/>
  <c r="X26" i="114" s="1"/>
  <c r="AA26" i="114"/>
  <c r="BF28" i="114"/>
  <c r="BG28" i="114"/>
  <c r="BH28" i="114"/>
  <c r="BI28" i="114"/>
  <c r="BJ28" i="114"/>
  <c r="BE29" i="114"/>
  <c r="T26" i="114"/>
  <c r="W26" i="114"/>
  <c r="AB26" i="114"/>
  <c r="Y26" i="114"/>
  <c r="BA27" i="114"/>
  <c r="BD27" i="114"/>
  <c r="AP28" i="114"/>
  <c r="AD29" i="114"/>
  <c r="AE29" i="114" s="1"/>
  <c r="AG28" i="114"/>
  <c r="AI28" i="114"/>
  <c r="AJ28" i="114"/>
  <c r="AK28" i="114"/>
  <c r="AL28" i="114"/>
  <c r="AM28" i="114"/>
  <c r="AF28" i="114"/>
  <c r="AH28" i="114"/>
  <c r="AN28" i="114"/>
  <c r="AO28" i="114"/>
  <c r="AQ28" i="114"/>
  <c r="AX27" i="114"/>
  <c r="AU27" i="114"/>
  <c r="J27" i="114"/>
  <c r="O27" i="114"/>
  <c r="C28" i="114"/>
  <c r="P27" i="114"/>
  <c r="I27" i="114"/>
  <c r="K27" i="114"/>
  <c r="L27" i="114"/>
  <c r="M27" i="114"/>
  <c r="N27" i="114"/>
  <c r="D27" i="114"/>
  <c r="E27" i="114"/>
  <c r="F27" i="114"/>
  <c r="G27" i="114"/>
  <c r="H27" i="114"/>
  <c r="AZ27" i="114"/>
  <c r="BC27" i="114"/>
  <c r="S26" i="114"/>
  <c r="V26" i="114"/>
  <c r="V162" i="60" l="1"/>
  <c r="AJ161" i="60"/>
  <c r="AK161" i="60"/>
  <c r="BG161" i="60" s="1"/>
  <c r="AL161" i="60"/>
  <c r="BH161" i="60" s="1"/>
  <c r="A161" i="60"/>
  <c r="BD160" i="60"/>
  <c r="BE160" i="60"/>
  <c r="AX160" i="60"/>
  <c r="AV160" i="60"/>
  <c r="AY160" i="60"/>
  <c r="BA160" i="60"/>
  <c r="AU160" i="60"/>
  <c r="AZ160" i="60"/>
  <c r="BC160" i="60"/>
  <c r="BF160" i="60"/>
  <c r="U160" i="60" s="1"/>
  <c r="AW160" i="60"/>
  <c r="BB160" i="60"/>
  <c r="AO20" i="45"/>
  <c r="AO21" i="45"/>
  <c r="AN84" i="45"/>
  <c r="A156" i="27"/>
  <c r="T156" i="27"/>
  <c r="U157" i="27"/>
  <c r="AS28" i="114"/>
  <c r="AV28" i="114"/>
  <c r="BB28" i="114"/>
  <c r="AY28" i="114"/>
  <c r="AZ28" i="114"/>
  <c r="BC28" i="114"/>
  <c r="BN28" i="114"/>
  <c r="BO28" i="114"/>
  <c r="AH29" i="114"/>
  <c r="AI29" i="114"/>
  <c r="AJ29" i="114"/>
  <c r="AK29" i="114"/>
  <c r="AL29" i="114"/>
  <c r="AM29" i="114"/>
  <c r="AO29" i="114"/>
  <c r="AQ29" i="114"/>
  <c r="AF29" i="114"/>
  <c r="AG29" i="114"/>
  <c r="AN29" i="114"/>
  <c r="AP29" i="114"/>
  <c r="AD30" i="114"/>
  <c r="AE30" i="114" s="1"/>
  <c r="AU28" i="114"/>
  <c r="AX28" i="114"/>
  <c r="T27" i="114"/>
  <c r="W27" i="114"/>
  <c r="S27" i="114"/>
  <c r="V27" i="114"/>
  <c r="BA28" i="114"/>
  <c r="BD28" i="114"/>
  <c r="BF29" i="114"/>
  <c r="BH29" i="114"/>
  <c r="BI29" i="114"/>
  <c r="BJ29" i="114"/>
  <c r="BE30" i="114"/>
  <c r="BG29" i="114"/>
  <c r="BL28" i="114"/>
  <c r="BM28" i="114"/>
  <c r="R27" i="114"/>
  <c r="U27" i="114"/>
  <c r="N28" i="114"/>
  <c r="O28" i="114"/>
  <c r="C29" i="114"/>
  <c r="P28" i="114"/>
  <c r="D28" i="114"/>
  <c r="E28" i="114"/>
  <c r="F28" i="114"/>
  <c r="H28" i="114"/>
  <c r="M28" i="114"/>
  <c r="G28" i="114"/>
  <c r="I28" i="114"/>
  <c r="J28" i="114"/>
  <c r="K28" i="114"/>
  <c r="L28" i="114"/>
  <c r="AC27" i="114"/>
  <c r="Z27" i="114"/>
  <c r="Y27" i="114"/>
  <c r="AB27" i="114"/>
  <c r="X27" i="114" a="1"/>
  <c r="X27" i="114" s="1"/>
  <c r="AA27" i="114"/>
  <c r="BE161" i="60" l="1"/>
  <c r="BC161" i="60"/>
  <c r="AW161" i="60"/>
  <c r="BF161" i="60"/>
  <c r="U161" i="60" s="1"/>
  <c r="BB161" i="60"/>
  <c r="BD161" i="60"/>
  <c r="BA161" i="60"/>
  <c r="AZ161" i="60"/>
  <c r="AV161" i="60"/>
  <c r="AY161" i="60"/>
  <c r="AU161" i="60"/>
  <c r="AX161" i="60"/>
  <c r="AL162" i="60"/>
  <c r="BH162" i="60" s="1"/>
  <c r="AK162" i="60"/>
  <c r="BG162" i="60" s="1"/>
  <c r="V163" i="60"/>
  <c r="AJ162" i="60"/>
  <c r="A162" i="60"/>
  <c r="AP21" i="45"/>
  <c r="AO84" i="45"/>
  <c r="AP20" i="45"/>
  <c r="U158" i="27"/>
  <c r="T157" i="27"/>
  <c r="A157" i="27"/>
  <c r="AS29" i="114"/>
  <c r="AV29" i="114"/>
  <c r="BM29" i="114"/>
  <c r="BL29" i="114"/>
  <c r="AY29" i="114"/>
  <c r="BB29" i="114"/>
  <c r="AZ29" i="114"/>
  <c r="BC29" i="114"/>
  <c r="R28" i="114"/>
  <c r="U28" i="114"/>
  <c r="AX29" i="114"/>
  <c r="AU29" i="114"/>
  <c r="BN29" i="114"/>
  <c r="BO29" i="114"/>
  <c r="Y28" i="114"/>
  <c r="AB28" i="114"/>
  <c r="AA28" i="114"/>
  <c r="X28" i="114" a="1"/>
  <c r="X28" i="114" s="1"/>
  <c r="J29" i="114"/>
  <c r="D29" i="114"/>
  <c r="E29" i="114"/>
  <c r="F29" i="114"/>
  <c r="G29" i="114"/>
  <c r="K29" i="114"/>
  <c r="L29" i="114"/>
  <c r="M29" i="114"/>
  <c r="N29" i="114"/>
  <c r="O29" i="114"/>
  <c r="C30" i="114"/>
  <c r="P29" i="114"/>
  <c r="H29" i="114"/>
  <c r="I29" i="114"/>
  <c r="BF30" i="114"/>
  <c r="BH30" i="114"/>
  <c r="BI30" i="114"/>
  <c r="BG30" i="114"/>
  <c r="BJ30" i="114"/>
  <c r="BE31" i="114"/>
  <c r="T28" i="114"/>
  <c r="W28" i="114"/>
  <c r="AC28" i="114"/>
  <c r="Z28" i="114"/>
  <c r="AI30" i="114"/>
  <c r="AK30" i="114"/>
  <c r="AL30" i="114"/>
  <c r="AN30" i="114"/>
  <c r="AO30" i="114"/>
  <c r="AP30" i="114"/>
  <c r="AQ30" i="114"/>
  <c r="AD31" i="114"/>
  <c r="AE31" i="114" s="1"/>
  <c r="AF30" i="114"/>
  <c r="AM30" i="114"/>
  <c r="AG30" i="114"/>
  <c r="AH30" i="114"/>
  <c r="AJ30" i="114"/>
  <c r="V28" i="114"/>
  <c r="S28" i="114"/>
  <c r="BA29" i="114"/>
  <c r="BD29" i="114"/>
  <c r="AK163" i="60" l="1"/>
  <c r="BG163" i="60" s="1"/>
  <c r="AJ163" i="60"/>
  <c r="AL163" i="60"/>
  <c r="BH163" i="60" s="1"/>
  <c r="V164" i="60"/>
  <c r="A163" i="60"/>
  <c r="AY162" i="60"/>
  <c r="BE162" i="60"/>
  <c r="BD162" i="60"/>
  <c r="BB162" i="60"/>
  <c r="AW162" i="60"/>
  <c r="AZ162" i="60"/>
  <c r="BA162" i="60"/>
  <c r="BF162" i="60"/>
  <c r="U162" i="60" s="1"/>
  <c r="BC162" i="60"/>
  <c r="AX162" i="60"/>
  <c r="AU162" i="60"/>
  <c r="AV162" i="60"/>
  <c r="AQ21" i="45"/>
  <c r="AP84" i="45"/>
  <c r="AQ20" i="45"/>
  <c r="U159" i="27"/>
  <c r="T158" i="27"/>
  <c r="A158" i="27"/>
  <c r="BL30" i="114"/>
  <c r="BM30" i="114"/>
  <c r="H30" i="114"/>
  <c r="I30" i="114"/>
  <c r="J30" i="114"/>
  <c r="K30" i="114"/>
  <c r="L30" i="114"/>
  <c r="M30" i="114"/>
  <c r="N30" i="114"/>
  <c r="O30" i="114"/>
  <c r="P30" i="114"/>
  <c r="C31" i="114"/>
  <c r="D30" i="114"/>
  <c r="E30" i="114"/>
  <c r="F30" i="114"/>
  <c r="G30" i="114"/>
  <c r="AC29" i="114"/>
  <c r="Z29" i="114"/>
  <c r="BO30" i="114"/>
  <c r="BN30" i="114"/>
  <c r="BF31" i="114"/>
  <c r="BH31" i="114"/>
  <c r="BI31" i="114"/>
  <c r="BJ31" i="114"/>
  <c r="BE32" i="114"/>
  <c r="BG31" i="114"/>
  <c r="AV30" i="114"/>
  <c r="AS30" i="114"/>
  <c r="AU30" i="114"/>
  <c r="AX30" i="114"/>
  <c r="T29" i="114"/>
  <c r="W29" i="114"/>
  <c r="AG31" i="114"/>
  <c r="AH31" i="114"/>
  <c r="AI31" i="114"/>
  <c r="AJ31" i="114"/>
  <c r="AK31" i="114"/>
  <c r="AM31" i="114"/>
  <c r="AO31" i="114"/>
  <c r="AQ31" i="114"/>
  <c r="AF31" i="114"/>
  <c r="AP31" i="114"/>
  <c r="AN31" i="114"/>
  <c r="AD32" i="114"/>
  <c r="AE32" i="114" s="1"/>
  <c r="AL31" i="114"/>
  <c r="AZ30" i="114"/>
  <c r="BC30" i="114"/>
  <c r="AB29" i="114"/>
  <c r="Y29" i="114"/>
  <c r="AA29" i="114"/>
  <c r="X29" i="114" a="1"/>
  <c r="X29" i="114" s="1"/>
  <c r="AY30" i="114"/>
  <c r="BB30" i="114"/>
  <c r="S29" i="114"/>
  <c r="V29" i="114"/>
  <c r="BA30" i="114"/>
  <c r="BD30" i="114"/>
  <c r="R29" i="114"/>
  <c r="U29" i="114"/>
  <c r="V165" i="60" l="1"/>
  <c r="AK164" i="60"/>
  <c r="BG164" i="60" s="1"/>
  <c r="AJ164" i="60"/>
  <c r="A164" i="60"/>
  <c r="AL164" i="60"/>
  <c r="BH164" i="60" s="1"/>
  <c r="BF163" i="60"/>
  <c r="U163" i="60" s="1"/>
  <c r="AX163" i="60"/>
  <c r="AU163" i="60"/>
  <c r="BB163" i="60"/>
  <c r="AZ163" i="60"/>
  <c r="AY163" i="60"/>
  <c r="BC163" i="60"/>
  <c r="BE163" i="60"/>
  <c r="AW163" i="60"/>
  <c r="AV163" i="60"/>
  <c r="BD163" i="60"/>
  <c r="BA163" i="60"/>
  <c r="AR21" i="45"/>
  <c r="AQ84" i="45"/>
  <c r="AR20" i="45"/>
  <c r="T159" i="27"/>
  <c r="A159" i="27"/>
  <c r="U160" i="27"/>
  <c r="F31" i="114"/>
  <c r="G31" i="114"/>
  <c r="H31" i="114"/>
  <c r="I31" i="114"/>
  <c r="J31" i="114"/>
  <c r="K31" i="114"/>
  <c r="L31" i="114"/>
  <c r="M31" i="114"/>
  <c r="N31" i="114"/>
  <c r="O31" i="114"/>
  <c r="P31" i="114"/>
  <c r="D31" i="114"/>
  <c r="E31" i="114"/>
  <c r="C32" i="114"/>
  <c r="Z30" i="114"/>
  <c r="AC30" i="114"/>
  <c r="AY31" i="114"/>
  <c r="BB31" i="114"/>
  <c r="T30" i="114"/>
  <c r="W30" i="114"/>
  <c r="AZ31" i="114"/>
  <c r="BC31" i="114"/>
  <c r="BL31" i="114"/>
  <c r="BM31" i="114"/>
  <c r="AB30" i="114"/>
  <c r="Y30" i="114"/>
  <c r="AQ32" i="114"/>
  <c r="AF32" i="114"/>
  <c r="AH32" i="114"/>
  <c r="AJ32" i="114"/>
  <c r="AK32" i="114"/>
  <c r="AL32" i="114"/>
  <c r="AM32" i="114"/>
  <c r="AN32" i="114"/>
  <c r="AG32" i="114"/>
  <c r="AI32" i="114"/>
  <c r="AD33" i="114"/>
  <c r="AE33" i="114" s="1"/>
  <c r="AO32" i="114"/>
  <c r="AP32" i="114"/>
  <c r="BG32" i="114"/>
  <c r="BI32" i="114"/>
  <c r="BJ32" i="114"/>
  <c r="BE33" i="114"/>
  <c r="BF32" i="114"/>
  <c r="BH32" i="114"/>
  <c r="AU31" i="114"/>
  <c r="AX31" i="114"/>
  <c r="V30" i="114"/>
  <c r="S30" i="114"/>
  <c r="X30" i="114" a="1"/>
  <c r="X30" i="114" s="1"/>
  <c r="AA30" i="114"/>
  <c r="BA31" i="114"/>
  <c r="BD31" i="114"/>
  <c r="BN31" i="114"/>
  <c r="BO31" i="114"/>
  <c r="R30" i="114"/>
  <c r="U30" i="114"/>
  <c r="AV31" i="114"/>
  <c r="AS31" i="114"/>
  <c r="BE164" i="60" l="1"/>
  <c r="BC164" i="60"/>
  <c r="BA164" i="60"/>
  <c r="BD164" i="60"/>
  <c r="BF164" i="60"/>
  <c r="U164" i="60" s="1"/>
  <c r="AZ164" i="60"/>
  <c r="BB164" i="60"/>
  <c r="AV164" i="60"/>
  <c r="AW164" i="60"/>
  <c r="AU164" i="60"/>
  <c r="AY164" i="60"/>
  <c r="AX164" i="60"/>
  <c r="A165" i="60"/>
  <c r="V166" i="60"/>
  <c r="AJ165" i="60"/>
  <c r="AK165" i="60"/>
  <c r="BG165" i="60" s="1"/>
  <c r="AL165" i="60"/>
  <c r="BH165" i="60" s="1"/>
  <c r="AS21" i="45"/>
  <c r="AR84" i="45"/>
  <c r="AS20" i="45"/>
  <c r="A160" i="27"/>
  <c r="U161" i="27"/>
  <c r="T160" i="27"/>
  <c r="AU32" i="114"/>
  <c r="AX32" i="114"/>
  <c r="AC31" i="114"/>
  <c r="Z31" i="114"/>
  <c r="R31" i="114"/>
  <c r="U31" i="114"/>
  <c r="BB32" i="114"/>
  <c r="AY32" i="114"/>
  <c r="BA32" i="114"/>
  <c r="BD32" i="114"/>
  <c r="E32" i="114"/>
  <c r="F32" i="114"/>
  <c r="G32" i="114"/>
  <c r="H32" i="114"/>
  <c r="I32" i="114"/>
  <c r="J32" i="114"/>
  <c r="K32" i="114"/>
  <c r="L32" i="114"/>
  <c r="M32" i="114"/>
  <c r="N32" i="114"/>
  <c r="O32" i="114"/>
  <c r="P32" i="114"/>
  <c r="C33" i="114"/>
  <c r="D32" i="114"/>
  <c r="AZ32" i="114"/>
  <c r="BC32" i="114"/>
  <c r="AS32" i="114"/>
  <c r="AV32" i="114"/>
  <c r="W31" i="114"/>
  <c r="T31" i="114"/>
  <c r="Y31" i="114"/>
  <c r="AB31" i="114"/>
  <c r="BG33" i="114"/>
  <c r="BH33" i="114"/>
  <c r="BJ33" i="114"/>
  <c r="BE34" i="114"/>
  <c r="BF33" i="114"/>
  <c r="BI33" i="114"/>
  <c r="S31" i="114"/>
  <c r="V31" i="114"/>
  <c r="BN32" i="114"/>
  <c r="BO32" i="114"/>
  <c r="X31" i="114" a="1"/>
  <c r="X31" i="114" s="1"/>
  <c r="AA31" i="114"/>
  <c r="AI33" i="114"/>
  <c r="AK33" i="114"/>
  <c r="AL33" i="114"/>
  <c r="AM33" i="114"/>
  <c r="AN33" i="114"/>
  <c r="AO33" i="114"/>
  <c r="AD34" i="114"/>
  <c r="AE34" i="114" s="1"/>
  <c r="AF33" i="114"/>
  <c r="AH33" i="114"/>
  <c r="AP33" i="114"/>
  <c r="AG33" i="114"/>
  <c r="AJ33" i="114"/>
  <c r="AQ33" i="114"/>
  <c r="BL32" i="114"/>
  <c r="BM32" i="114"/>
  <c r="BC165" i="60" l="1"/>
  <c r="BF165" i="60"/>
  <c r="U165" i="60" s="1"/>
  <c r="BE165" i="60"/>
  <c r="BA165" i="60"/>
  <c r="AU165" i="60"/>
  <c r="AY165" i="60"/>
  <c r="AW165" i="60"/>
  <c r="AX165" i="60"/>
  <c r="AZ165" i="60"/>
  <c r="BD165" i="60"/>
  <c r="AV165" i="60"/>
  <c r="BB165" i="60"/>
  <c r="AJ166" i="60"/>
  <c r="V167" i="60"/>
  <c r="A166" i="60"/>
  <c r="AK166" i="60"/>
  <c r="BG166" i="60" s="1"/>
  <c r="AL166" i="60"/>
  <c r="BH166" i="60" s="1"/>
  <c r="AT21" i="45"/>
  <c r="AS84" i="45"/>
  <c r="AT20" i="45"/>
  <c r="U162" i="27"/>
  <c r="T161" i="27"/>
  <c r="A161" i="27"/>
  <c r="AA32" i="114"/>
  <c r="X32" i="114" a="1"/>
  <c r="X32" i="114" s="1"/>
  <c r="BM33" i="114"/>
  <c r="BL33" i="114"/>
  <c r="R32" i="114"/>
  <c r="U32" i="114"/>
  <c r="AU33" i="114"/>
  <c r="AX33" i="114"/>
  <c r="AJ34" i="114"/>
  <c r="AM34" i="114"/>
  <c r="AN34" i="114"/>
  <c r="AP34" i="114"/>
  <c r="AD35" i="114"/>
  <c r="AE35" i="114" s="1"/>
  <c r="AF34" i="114"/>
  <c r="AG34" i="114"/>
  <c r="AH34" i="114"/>
  <c r="AI34" i="114"/>
  <c r="AO34" i="114"/>
  <c r="AQ34" i="114"/>
  <c r="AL34" i="114"/>
  <c r="AK34" i="114"/>
  <c r="AZ33" i="114"/>
  <c r="BC33" i="114"/>
  <c r="T32" i="114"/>
  <c r="W32" i="114"/>
  <c r="S32" i="114"/>
  <c r="V32" i="114"/>
  <c r="AY33" i="114"/>
  <c r="BB33" i="114"/>
  <c r="AS33" i="114"/>
  <c r="AV33" i="114"/>
  <c r="BN33" i="114"/>
  <c r="BO33" i="114"/>
  <c r="N33" i="114"/>
  <c r="O33" i="114"/>
  <c r="D33" i="114"/>
  <c r="P33" i="114"/>
  <c r="E33" i="114"/>
  <c r="C34" i="114"/>
  <c r="F33" i="114"/>
  <c r="G33" i="114"/>
  <c r="H33" i="114"/>
  <c r="I33" i="114"/>
  <c r="J33" i="114"/>
  <c r="K33" i="114"/>
  <c r="L33" i="114"/>
  <c r="M33" i="114"/>
  <c r="AB32" i="114"/>
  <c r="Y32" i="114"/>
  <c r="BD33" i="114"/>
  <c r="BA33" i="114"/>
  <c r="BH34" i="114"/>
  <c r="BG34" i="114"/>
  <c r="BJ34" i="114"/>
  <c r="BE35" i="114"/>
  <c r="BF34" i="114"/>
  <c r="BI34" i="114"/>
  <c r="AC32" i="114"/>
  <c r="Z32" i="114"/>
  <c r="BF166" i="60" l="1"/>
  <c r="U166" i="60" s="1"/>
  <c r="BC166" i="60"/>
  <c r="BE166" i="60"/>
  <c r="AV166" i="60"/>
  <c r="AY166" i="60"/>
  <c r="AW166" i="60"/>
  <c r="BB166" i="60"/>
  <c r="AX166" i="60"/>
  <c r="BD166" i="60"/>
  <c r="BA166" i="60"/>
  <c r="AZ166" i="60"/>
  <c r="AU166" i="60"/>
  <c r="AL167" i="60"/>
  <c r="BH167" i="60" s="1"/>
  <c r="AK167" i="60"/>
  <c r="BG167" i="60" s="1"/>
  <c r="A167" i="60"/>
  <c r="V168" i="60"/>
  <c r="AJ167" i="60"/>
  <c r="AU21" i="45"/>
  <c r="AT84" i="45"/>
  <c r="AU20" i="45"/>
  <c r="A162" i="27"/>
  <c r="U163" i="27"/>
  <c r="T162" i="27"/>
  <c r="AZ34" i="114"/>
  <c r="BC34" i="114"/>
  <c r="BE36" i="114"/>
  <c r="BF35" i="114"/>
  <c r="BG35" i="114"/>
  <c r="BJ35" i="114"/>
  <c r="BI35" i="114"/>
  <c r="BH35" i="114"/>
  <c r="BA34" i="114"/>
  <c r="BD34" i="114"/>
  <c r="AX34" i="114"/>
  <c r="AU34" i="114"/>
  <c r="R33" i="114"/>
  <c r="U33" i="114"/>
  <c r="BL34" i="114"/>
  <c r="BM34" i="114"/>
  <c r="BB34" i="114"/>
  <c r="AY34" i="114"/>
  <c r="Y33" i="114"/>
  <c r="AB33" i="114"/>
  <c r="K34" i="114"/>
  <c r="L34" i="114"/>
  <c r="M34" i="114"/>
  <c r="O34" i="114"/>
  <c r="P34" i="114"/>
  <c r="N34" i="114"/>
  <c r="D34" i="114"/>
  <c r="E34" i="114"/>
  <c r="C35" i="114"/>
  <c r="F34" i="114"/>
  <c r="G34" i="114"/>
  <c r="H34" i="114"/>
  <c r="I34" i="114"/>
  <c r="J34" i="114"/>
  <c r="Z33" i="114"/>
  <c r="AC33" i="114"/>
  <c r="AO35" i="114"/>
  <c r="AD36" i="114"/>
  <c r="AE36" i="114" s="1"/>
  <c r="AG35" i="114"/>
  <c r="AI35" i="114"/>
  <c r="AK35" i="114"/>
  <c r="AL35" i="114"/>
  <c r="AM35" i="114"/>
  <c r="AN35" i="114"/>
  <c r="AH35" i="114"/>
  <c r="AF35" i="114"/>
  <c r="AJ35" i="114"/>
  <c r="AP35" i="114"/>
  <c r="AQ35" i="114"/>
  <c r="AV34" i="114"/>
  <c r="AS34" i="114"/>
  <c r="S33" i="114"/>
  <c r="V33" i="114"/>
  <c r="BN34" i="114"/>
  <c r="BO34" i="114"/>
  <c r="W33" i="114"/>
  <c r="T33" i="114"/>
  <c r="AA33" i="114"/>
  <c r="X33" i="114" a="1"/>
  <c r="X33" i="114" s="1"/>
  <c r="AZ167" i="60" l="1"/>
  <c r="BD167" i="60"/>
  <c r="BE167" i="60"/>
  <c r="AV167" i="60"/>
  <c r="BB167" i="60"/>
  <c r="AX167" i="60"/>
  <c r="BF167" i="60"/>
  <c r="U167" i="60" s="1"/>
  <c r="BA167" i="60"/>
  <c r="AW167" i="60"/>
  <c r="AY167" i="60"/>
  <c r="AU167" i="60"/>
  <c r="BC167" i="60"/>
  <c r="AL168" i="60"/>
  <c r="BH168" i="60" s="1"/>
  <c r="AK168" i="60"/>
  <c r="BG168" i="60" s="1"/>
  <c r="A168" i="60"/>
  <c r="AJ168" i="60"/>
  <c r="V169" i="60"/>
  <c r="AV21" i="45"/>
  <c r="AU84" i="45"/>
  <c r="AV20" i="45"/>
  <c r="A163" i="27"/>
  <c r="U164" i="27"/>
  <c r="T163" i="27"/>
  <c r="X34" i="114" a="1"/>
  <c r="X34" i="114" s="1"/>
  <c r="AA34" i="114"/>
  <c r="U34" i="114"/>
  <c r="R34" i="114"/>
  <c r="V34" i="114"/>
  <c r="S34" i="114"/>
  <c r="AS35" i="114"/>
  <c r="AV35" i="114"/>
  <c r="BN35" i="114"/>
  <c r="BO35" i="114"/>
  <c r="AY35" i="114"/>
  <c r="BB35" i="114"/>
  <c r="BM35" i="114"/>
  <c r="BL35" i="114"/>
  <c r="AU35" i="114"/>
  <c r="AX35" i="114"/>
  <c r="Z34" i="114"/>
  <c r="AC34" i="114"/>
  <c r="T34" i="114"/>
  <c r="W34" i="114"/>
  <c r="BI36" i="114"/>
  <c r="BE37" i="114"/>
  <c r="BF36" i="114"/>
  <c r="BG36" i="114"/>
  <c r="BH36" i="114"/>
  <c r="BJ36" i="114"/>
  <c r="H35" i="114"/>
  <c r="I35" i="114"/>
  <c r="J35" i="114"/>
  <c r="K35" i="114"/>
  <c r="M35" i="114"/>
  <c r="N35" i="114"/>
  <c r="O35" i="114"/>
  <c r="P35" i="114"/>
  <c r="L35" i="114"/>
  <c r="D35" i="114"/>
  <c r="E35" i="114"/>
  <c r="C36" i="114"/>
  <c r="F35" i="114"/>
  <c r="G35" i="114"/>
  <c r="AZ35" i="114"/>
  <c r="BC35" i="114"/>
  <c r="AQ36" i="114"/>
  <c r="AF36" i="114"/>
  <c r="AH36" i="114"/>
  <c r="AJ36" i="114"/>
  <c r="AK36" i="114"/>
  <c r="AL36" i="114"/>
  <c r="AM36" i="114"/>
  <c r="AN36" i="114"/>
  <c r="AO36" i="114"/>
  <c r="AP36" i="114"/>
  <c r="AD37" i="114"/>
  <c r="AE37" i="114" s="1"/>
  <c r="AG36" i="114"/>
  <c r="AI36" i="114"/>
  <c r="BA35" i="114"/>
  <c r="BD35" i="114"/>
  <c r="Y34" i="114"/>
  <c r="AB34" i="114"/>
  <c r="V170" i="60" l="1"/>
  <c r="A169" i="60"/>
  <c r="AJ169" i="60"/>
  <c r="AL169" i="60"/>
  <c r="BH169" i="60" s="1"/>
  <c r="AK169" i="60"/>
  <c r="BG169" i="60" s="1"/>
  <c r="AX168" i="60"/>
  <c r="AU168" i="60"/>
  <c r="BB168" i="60"/>
  <c r="BC168" i="60"/>
  <c r="AY168" i="60"/>
  <c r="AV168" i="60"/>
  <c r="AZ168" i="60"/>
  <c r="AW168" i="60"/>
  <c r="BE168" i="60"/>
  <c r="BF168" i="60"/>
  <c r="U168" i="60" s="1"/>
  <c r="BD168" i="60"/>
  <c r="BA168" i="60"/>
  <c r="AV84" i="45"/>
  <c r="AW20" i="45"/>
  <c r="AW21" i="45"/>
  <c r="U165" i="27"/>
  <c r="T164" i="27"/>
  <c r="A164" i="27"/>
  <c r="AQ37" i="114"/>
  <c r="AF37" i="114"/>
  <c r="AG37" i="114"/>
  <c r="AI37" i="114"/>
  <c r="AK37" i="114"/>
  <c r="AL37" i="114"/>
  <c r="AM37" i="114"/>
  <c r="AN37" i="114"/>
  <c r="AH37" i="114"/>
  <c r="AJ37" i="114"/>
  <c r="AP37" i="114"/>
  <c r="AO37" i="114"/>
  <c r="AD38" i="114"/>
  <c r="AE38" i="114" s="1"/>
  <c r="R35" i="114"/>
  <c r="U35" i="114"/>
  <c r="BC36" i="114"/>
  <c r="AZ36" i="114"/>
  <c r="S35" i="114"/>
  <c r="V35" i="114"/>
  <c r="BA36" i="114"/>
  <c r="BD36" i="114"/>
  <c r="T35" i="114"/>
  <c r="W35" i="114"/>
  <c r="Y35" i="114"/>
  <c r="AB35" i="114"/>
  <c r="BB36" i="114"/>
  <c r="AY36" i="114"/>
  <c r="F36" i="114"/>
  <c r="G36" i="114"/>
  <c r="H36" i="114"/>
  <c r="I36" i="114"/>
  <c r="K36" i="114"/>
  <c r="L36" i="114"/>
  <c r="M36" i="114"/>
  <c r="N36" i="114"/>
  <c r="O36" i="114"/>
  <c r="J36" i="114"/>
  <c r="P36" i="114"/>
  <c r="D36" i="114"/>
  <c r="E36" i="114"/>
  <c r="C37" i="114"/>
  <c r="AV36" i="114"/>
  <c r="AS36" i="114"/>
  <c r="BL36" i="114"/>
  <c r="BM36" i="114"/>
  <c r="AX36" i="114"/>
  <c r="AU36" i="114"/>
  <c r="BG37" i="114"/>
  <c r="BI37" i="114"/>
  <c r="BE38" i="114"/>
  <c r="BF37" i="114"/>
  <c r="BH37" i="114"/>
  <c r="BJ37" i="114"/>
  <c r="X35" i="114" a="1"/>
  <c r="X35" i="114" s="1"/>
  <c r="AA35" i="114"/>
  <c r="Z35" i="114"/>
  <c r="AC35" i="114"/>
  <c r="BN36" i="114"/>
  <c r="BO36" i="114"/>
  <c r="AW169" i="60" l="1"/>
  <c r="AY169" i="60"/>
  <c r="BE169" i="60"/>
  <c r="BC169" i="60"/>
  <c r="BA169" i="60"/>
  <c r="AV169" i="60"/>
  <c r="AZ169" i="60"/>
  <c r="AX169" i="60"/>
  <c r="BD169" i="60"/>
  <c r="BF169" i="60"/>
  <c r="U169" i="60" s="1"/>
  <c r="AU169" i="60"/>
  <c r="BB169" i="60"/>
  <c r="A170" i="60"/>
  <c r="AL170" i="60"/>
  <c r="BH170" i="60" s="1"/>
  <c r="V171" i="60"/>
  <c r="AK170" i="60"/>
  <c r="BG170" i="60" s="1"/>
  <c r="AJ170" i="60"/>
  <c r="AW84" i="45"/>
  <c r="AX20" i="45"/>
  <c r="AX21" i="45"/>
  <c r="U166" i="27"/>
  <c r="T165" i="27"/>
  <c r="A165" i="27"/>
  <c r="Y36" i="114"/>
  <c r="AB36" i="114"/>
  <c r="BA37" i="114"/>
  <c r="BD37" i="114"/>
  <c r="AP38" i="114"/>
  <c r="AD39" i="114"/>
  <c r="AE39" i="114" s="1"/>
  <c r="AF38" i="114"/>
  <c r="AG38" i="114"/>
  <c r="AK38" i="114"/>
  <c r="AJ38" i="114"/>
  <c r="AM38" i="114"/>
  <c r="AN38" i="114"/>
  <c r="AQ38" i="114"/>
  <c r="AL38" i="114"/>
  <c r="AO38" i="114"/>
  <c r="AH38" i="114"/>
  <c r="AI38" i="114"/>
  <c r="AY37" i="114"/>
  <c r="BB37" i="114"/>
  <c r="BL37" i="114"/>
  <c r="BM37" i="114"/>
  <c r="AX37" i="114"/>
  <c r="AU37" i="114"/>
  <c r="BJ38" i="114"/>
  <c r="BH38" i="114"/>
  <c r="BF38" i="114"/>
  <c r="BG38" i="114"/>
  <c r="BI38" i="114"/>
  <c r="BE39" i="114"/>
  <c r="AZ37" i="114"/>
  <c r="BC37" i="114"/>
  <c r="V36" i="114"/>
  <c r="S36" i="114"/>
  <c r="BN37" i="114"/>
  <c r="BO37" i="114"/>
  <c r="W36" i="114"/>
  <c r="T36" i="114"/>
  <c r="X36" i="114" a="1"/>
  <c r="X36" i="114" s="1"/>
  <c r="AA36" i="114"/>
  <c r="Z36" i="114"/>
  <c r="AC36" i="114"/>
  <c r="C38" i="114"/>
  <c r="F37" i="114"/>
  <c r="G37" i="114"/>
  <c r="I37" i="114"/>
  <c r="J37" i="114"/>
  <c r="K37" i="114"/>
  <c r="L37" i="114"/>
  <c r="M37" i="114"/>
  <c r="N37" i="114"/>
  <c r="O37" i="114"/>
  <c r="P37" i="114"/>
  <c r="H37" i="114"/>
  <c r="D37" i="114"/>
  <c r="E37" i="114"/>
  <c r="AS37" i="114"/>
  <c r="AV37" i="114"/>
  <c r="R36" i="114"/>
  <c r="U36" i="114"/>
  <c r="AW170" i="60" l="1"/>
  <c r="AY170" i="60"/>
  <c r="AX170" i="60"/>
  <c r="AZ170" i="60"/>
  <c r="AV170" i="60"/>
  <c r="BE170" i="60"/>
  <c r="BB170" i="60"/>
  <c r="BD170" i="60"/>
  <c r="BA170" i="60"/>
  <c r="AU170" i="60"/>
  <c r="BC170" i="60"/>
  <c r="BF170" i="60"/>
  <c r="U170" i="60" s="1"/>
  <c r="AJ171" i="60"/>
  <c r="AL171" i="60"/>
  <c r="BH171" i="60" s="1"/>
  <c r="V172" i="60"/>
  <c r="AK171" i="60"/>
  <c r="BG171" i="60" s="1"/>
  <c r="A171" i="60"/>
  <c r="AY20" i="45"/>
  <c r="AX84" i="45"/>
  <c r="AY21" i="45"/>
  <c r="U167" i="27"/>
  <c r="T166" i="27"/>
  <c r="A166" i="27"/>
  <c r="AY38" i="114"/>
  <c r="BB38" i="114"/>
  <c r="U37" i="114"/>
  <c r="R37" i="114"/>
  <c r="AU38" i="114"/>
  <c r="AX38" i="114"/>
  <c r="BN38" i="114"/>
  <c r="BO38" i="114"/>
  <c r="Y37" i="114"/>
  <c r="AB37" i="114"/>
  <c r="BL38" i="114"/>
  <c r="BM38" i="114"/>
  <c r="AS38" i="114"/>
  <c r="AV38" i="114"/>
  <c r="BC38" i="114"/>
  <c r="AZ38" i="114"/>
  <c r="V37" i="114"/>
  <c r="S37" i="114"/>
  <c r="AI39" i="114"/>
  <c r="AL39" i="114"/>
  <c r="AN39" i="114"/>
  <c r="AO39" i="114"/>
  <c r="AQ39" i="114"/>
  <c r="AD40" i="114"/>
  <c r="AE40" i="114" s="1"/>
  <c r="AF39" i="114"/>
  <c r="AG39" i="114"/>
  <c r="AJ39" i="114"/>
  <c r="AM39" i="114"/>
  <c r="AK39" i="114"/>
  <c r="AP39" i="114"/>
  <c r="AH39" i="114"/>
  <c r="T37" i="114"/>
  <c r="W37" i="114"/>
  <c r="X37" i="114" a="1"/>
  <c r="X37" i="114" s="1"/>
  <c r="AA37" i="114"/>
  <c r="BD38" i="114"/>
  <c r="BA38" i="114"/>
  <c r="BG39" i="114"/>
  <c r="BJ39" i="114"/>
  <c r="BI39" i="114"/>
  <c r="BF39" i="114"/>
  <c r="BH39" i="114"/>
  <c r="BE40" i="114"/>
  <c r="D38" i="114"/>
  <c r="E38" i="114"/>
  <c r="C39" i="114"/>
  <c r="G38" i="114"/>
  <c r="H38" i="114"/>
  <c r="I38" i="114"/>
  <c r="J38" i="114"/>
  <c r="K38" i="114"/>
  <c r="F38" i="114"/>
  <c r="L38" i="114"/>
  <c r="M38" i="114"/>
  <c r="N38" i="114"/>
  <c r="O38" i="114"/>
  <c r="P38" i="114"/>
  <c r="Z37" i="114"/>
  <c r="AC37" i="114"/>
  <c r="BD171" i="60" l="1"/>
  <c r="AW171" i="60"/>
  <c r="BB171" i="60"/>
  <c r="AY171" i="60"/>
  <c r="BA171" i="60"/>
  <c r="BE171" i="60"/>
  <c r="BC171" i="60"/>
  <c r="AV171" i="60"/>
  <c r="BF171" i="60"/>
  <c r="U171" i="60" s="1"/>
  <c r="AU171" i="60"/>
  <c r="AZ171" i="60"/>
  <c r="AX171" i="60"/>
  <c r="AJ172" i="60"/>
  <c r="A172" i="60"/>
  <c r="V173" i="60"/>
  <c r="AK172" i="60"/>
  <c r="BG172" i="60" s="1"/>
  <c r="AL172" i="60"/>
  <c r="BH172" i="60" s="1"/>
  <c r="AZ20" i="45"/>
  <c r="AY84" i="45"/>
  <c r="AZ21" i="45"/>
  <c r="U168" i="27"/>
  <c r="T167" i="27"/>
  <c r="A167" i="27"/>
  <c r="BL39" i="114"/>
  <c r="BM39" i="114"/>
  <c r="BC39" i="114"/>
  <c r="AZ39" i="114"/>
  <c r="T38" i="114"/>
  <c r="W38" i="114"/>
  <c r="BA39" i="114"/>
  <c r="BD39" i="114"/>
  <c r="Y38" i="114"/>
  <c r="AB38" i="114"/>
  <c r="V38" i="114"/>
  <c r="S38" i="114"/>
  <c r="N39" i="114"/>
  <c r="O39" i="114"/>
  <c r="P39" i="114"/>
  <c r="E39" i="114"/>
  <c r="C40" i="114"/>
  <c r="F39" i="114"/>
  <c r="G39" i="114"/>
  <c r="H39" i="114"/>
  <c r="I39" i="114"/>
  <c r="D39" i="114"/>
  <c r="J39" i="114"/>
  <c r="K39" i="114"/>
  <c r="L39" i="114"/>
  <c r="M39" i="114"/>
  <c r="BB39" i="114"/>
  <c r="AY39" i="114"/>
  <c r="AS39" i="114"/>
  <c r="AV39" i="114"/>
  <c r="AC38" i="114"/>
  <c r="Z38" i="114"/>
  <c r="BE41" i="114"/>
  <c r="BF40" i="114"/>
  <c r="BH40" i="114"/>
  <c r="BG40" i="114"/>
  <c r="BI40" i="114"/>
  <c r="BJ40" i="114"/>
  <c r="AM40" i="114"/>
  <c r="AP40" i="114"/>
  <c r="AQ40" i="114"/>
  <c r="AD41" i="114"/>
  <c r="AE41" i="114" s="1"/>
  <c r="AG40" i="114"/>
  <c r="AH40" i="114"/>
  <c r="AI40" i="114"/>
  <c r="AJ40" i="114"/>
  <c r="AF40" i="114"/>
  <c r="AL40" i="114"/>
  <c r="AO40" i="114"/>
  <c r="AK40" i="114"/>
  <c r="AN40" i="114"/>
  <c r="X38" i="114" a="1"/>
  <c r="X38" i="114" s="1"/>
  <c r="AA38" i="114"/>
  <c r="R38" i="114"/>
  <c r="U38" i="114"/>
  <c r="BN39" i="114"/>
  <c r="BO39" i="114"/>
  <c r="AU39" i="114"/>
  <c r="AX39" i="114"/>
  <c r="BB172" i="60" l="1"/>
  <c r="BD172" i="60"/>
  <c r="BE172" i="60"/>
  <c r="AZ172" i="60"/>
  <c r="BF172" i="60"/>
  <c r="U172" i="60" s="1"/>
  <c r="BC172" i="60"/>
  <c r="BA172" i="60"/>
  <c r="AW172" i="60"/>
  <c r="AV172" i="60"/>
  <c r="AY172" i="60"/>
  <c r="AX172" i="60"/>
  <c r="AU172" i="60"/>
  <c r="AK173" i="60"/>
  <c r="BG173" i="60" s="1"/>
  <c r="V174" i="60"/>
  <c r="A173" i="60"/>
  <c r="AJ173" i="60"/>
  <c r="AL173" i="60"/>
  <c r="BH173" i="60" s="1"/>
  <c r="BA20" i="45"/>
  <c r="BA21" i="45"/>
  <c r="AZ84" i="45"/>
  <c r="U169" i="27"/>
  <c r="T168" i="27"/>
  <c r="A168" i="27"/>
  <c r="BA40" i="114"/>
  <c r="BD40" i="114"/>
  <c r="BN40" i="114"/>
  <c r="BO40" i="114"/>
  <c r="U39" i="114"/>
  <c r="R39" i="114"/>
  <c r="Z39" i="114"/>
  <c r="AC39" i="114"/>
  <c r="AX40" i="114"/>
  <c r="AU40" i="114"/>
  <c r="L40" i="114"/>
  <c r="M40" i="114"/>
  <c r="N40" i="114"/>
  <c r="O40" i="114"/>
  <c r="P40" i="114"/>
  <c r="D40" i="114"/>
  <c r="E40" i="114"/>
  <c r="C41" i="114"/>
  <c r="F40" i="114"/>
  <c r="G40" i="114"/>
  <c r="H40" i="114"/>
  <c r="I40" i="114"/>
  <c r="J40" i="114"/>
  <c r="K40" i="114"/>
  <c r="BM40" i="114"/>
  <c r="BL40" i="114"/>
  <c r="AZ40" i="114"/>
  <c r="BC40" i="114"/>
  <c r="T39" i="114"/>
  <c r="W39" i="114"/>
  <c r="BG41" i="114"/>
  <c r="BI41" i="114"/>
  <c r="BE42" i="114"/>
  <c r="BF41" i="114"/>
  <c r="BH41" i="114"/>
  <c r="BJ41" i="114"/>
  <c r="BB40" i="114"/>
  <c r="AY40" i="114"/>
  <c r="Y39" i="114"/>
  <c r="AB39" i="114"/>
  <c r="AV40" i="114"/>
  <c r="AS40" i="114"/>
  <c r="AO41" i="114"/>
  <c r="AG41" i="114"/>
  <c r="AP41" i="114"/>
  <c r="AF41" i="114"/>
  <c r="AD42" i="114"/>
  <c r="AE42" i="114" s="1"/>
  <c r="AH41" i="114"/>
  <c r="AI41" i="114"/>
  <c r="AJ41" i="114"/>
  <c r="AK41" i="114"/>
  <c r="AL41" i="114"/>
  <c r="AM41" i="114"/>
  <c r="AN41" i="114"/>
  <c r="AQ41" i="114"/>
  <c r="X39" i="114" a="1"/>
  <c r="X39" i="114" s="1"/>
  <c r="AA39" i="114"/>
  <c r="V39" i="114"/>
  <c r="S39" i="114"/>
  <c r="A174" i="60" l="1"/>
  <c r="AL174" i="60"/>
  <c r="BH174" i="60" s="1"/>
  <c r="AK174" i="60"/>
  <c r="BG174" i="60" s="1"/>
  <c r="V175" i="60"/>
  <c r="AJ174" i="60"/>
  <c r="BB173" i="60"/>
  <c r="BC173" i="60"/>
  <c r="AY173" i="60"/>
  <c r="AW173" i="60"/>
  <c r="BE173" i="60"/>
  <c r="AX173" i="60"/>
  <c r="AU173" i="60"/>
  <c r="BA173" i="60"/>
  <c r="BF173" i="60"/>
  <c r="U173" i="60" s="1"/>
  <c r="BD173" i="60"/>
  <c r="AV173" i="60"/>
  <c r="AZ173" i="60"/>
  <c r="BB20" i="45"/>
  <c r="BB21" i="45"/>
  <c r="BA84" i="45"/>
  <c r="T169" i="27"/>
  <c r="A169" i="27"/>
  <c r="U170" i="27"/>
  <c r="AU41" i="114"/>
  <c r="AX41" i="114"/>
  <c r="T40" i="114"/>
  <c r="W40" i="114"/>
  <c r="X40" i="114" a="1"/>
  <c r="X40" i="114" s="1"/>
  <c r="AA40" i="114"/>
  <c r="R40" i="114"/>
  <c r="U40" i="114"/>
  <c r="Z40" i="114"/>
  <c r="AC40" i="114"/>
  <c r="BO41" i="114"/>
  <c r="BN41" i="114"/>
  <c r="AY41" i="114"/>
  <c r="BB41" i="114"/>
  <c r="BF42" i="114"/>
  <c r="BH42" i="114"/>
  <c r="BI42" i="114"/>
  <c r="BJ42" i="114"/>
  <c r="BE43" i="114"/>
  <c r="BG42" i="114"/>
  <c r="AI42" i="114"/>
  <c r="AK42" i="114"/>
  <c r="AM42" i="114"/>
  <c r="AO42" i="114"/>
  <c r="AQ42" i="114"/>
  <c r="AD43" i="114"/>
  <c r="AE43" i="114" s="1"/>
  <c r="AH42" i="114"/>
  <c r="AN42" i="114"/>
  <c r="AL42" i="114"/>
  <c r="AJ42" i="114"/>
  <c r="AP42" i="114"/>
  <c r="AF42" i="114"/>
  <c r="AG42" i="114"/>
  <c r="AV41" i="114"/>
  <c r="AS41" i="114"/>
  <c r="BA41" i="114"/>
  <c r="BD41" i="114"/>
  <c r="Y40" i="114"/>
  <c r="AB40" i="114"/>
  <c r="BL41" i="114"/>
  <c r="BM41" i="114"/>
  <c r="V40" i="114"/>
  <c r="S40" i="114"/>
  <c r="I41" i="114"/>
  <c r="J41" i="114"/>
  <c r="K41" i="114"/>
  <c r="L41" i="114"/>
  <c r="M41" i="114"/>
  <c r="N41" i="114"/>
  <c r="O41" i="114"/>
  <c r="P41" i="114"/>
  <c r="D41" i="114"/>
  <c r="E41" i="114"/>
  <c r="C42" i="114"/>
  <c r="F41" i="114"/>
  <c r="G41" i="114"/>
  <c r="H41" i="114"/>
  <c r="AZ41" i="114"/>
  <c r="BC41" i="114"/>
  <c r="AX174" i="60" l="1"/>
  <c r="BD174" i="60"/>
  <c r="BA174" i="60"/>
  <c r="AY174" i="60"/>
  <c r="BC174" i="60"/>
  <c r="BB174" i="60"/>
  <c r="BE174" i="60"/>
  <c r="BF174" i="60"/>
  <c r="U174" i="60" s="1"/>
  <c r="AZ174" i="60"/>
  <c r="AV174" i="60"/>
  <c r="AU174" i="60"/>
  <c r="AW174" i="60"/>
  <c r="V176" i="60"/>
  <c r="AL175" i="60"/>
  <c r="BH175" i="60" s="1"/>
  <c r="AJ175" i="60"/>
  <c r="AK175" i="60"/>
  <c r="BG175" i="60" s="1"/>
  <c r="A175" i="60"/>
  <c r="BC20" i="45"/>
  <c r="BC21" i="45"/>
  <c r="BB84" i="45"/>
  <c r="T170" i="27"/>
  <c r="A170" i="27"/>
  <c r="U171" i="27"/>
  <c r="BN42" i="114"/>
  <c r="BO42" i="114"/>
  <c r="BE44" i="114"/>
  <c r="BH43" i="114"/>
  <c r="BG43" i="114"/>
  <c r="BJ43" i="114"/>
  <c r="BF43" i="114"/>
  <c r="BI43" i="114"/>
  <c r="G42" i="114"/>
  <c r="H42" i="114"/>
  <c r="I42" i="114"/>
  <c r="J42" i="114"/>
  <c r="K42" i="114"/>
  <c r="L42" i="114"/>
  <c r="M42" i="114"/>
  <c r="N42" i="114"/>
  <c r="P42" i="114"/>
  <c r="D42" i="114"/>
  <c r="E42" i="114"/>
  <c r="F42" i="114"/>
  <c r="O42" i="114"/>
  <c r="C43" i="114"/>
  <c r="X41" i="114" a="1"/>
  <c r="X41" i="114" s="1"/>
  <c r="AA41" i="114"/>
  <c r="AX42" i="114"/>
  <c r="AU42" i="114"/>
  <c r="U41" i="114"/>
  <c r="R41" i="114"/>
  <c r="BB42" i="114"/>
  <c r="AY42" i="114"/>
  <c r="AS42" i="114"/>
  <c r="AV42" i="114"/>
  <c r="AC41" i="114"/>
  <c r="Z41" i="114"/>
  <c r="Y41" i="114"/>
  <c r="AB41" i="114"/>
  <c r="AZ42" i="114"/>
  <c r="BC42" i="114"/>
  <c r="AQ43" i="114"/>
  <c r="AF43" i="114"/>
  <c r="AO43" i="114"/>
  <c r="AH43" i="114"/>
  <c r="AL43" i="114"/>
  <c r="AD44" i="114"/>
  <c r="AE44" i="114" s="1"/>
  <c r="AJ43" i="114"/>
  <c r="AG43" i="114"/>
  <c r="AI43" i="114"/>
  <c r="AK43" i="114"/>
  <c r="AN43" i="114"/>
  <c r="AM43" i="114"/>
  <c r="AP43" i="114"/>
  <c r="BA42" i="114"/>
  <c r="BD42" i="114"/>
  <c r="BM42" i="114"/>
  <c r="BL42" i="114"/>
  <c r="V41" i="114"/>
  <c r="S41" i="114"/>
  <c r="W41" i="114"/>
  <c r="T41" i="114"/>
  <c r="AU175" i="60" l="1"/>
  <c r="BF175" i="60"/>
  <c r="U175" i="60" s="1"/>
  <c r="AV175" i="60"/>
  <c r="BE175" i="60"/>
  <c r="BB175" i="60"/>
  <c r="AZ175" i="60"/>
  <c r="AW175" i="60"/>
  <c r="AY175" i="60"/>
  <c r="AX175" i="60"/>
  <c r="BA175" i="60"/>
  <c r="BD175" i="60"/>
  <c r="BC175" i="60"/>
  <c r="A176" i="60"/>
  <c r="AK176" i="60"/>
  <c r="BG176" i="60" s="1"/>
  <c r="AL176" i="60"/>
  <c r="BH176" i="60" s="1"/>
  <c r="AJ176" i="60"/>
  <c r="V177" i="60"/>
  <c r="BD20" i="45"/>
  <c r="BD21" i="45"/>
  <c r="BC84" i="45"/>
  <c r="U172" i="27"/>
  <c r="T171" i="27"/>
  <c r="A171" i="27"/>
  <c r="W42" i="114"/>
  <c r="T42" i="114"/>
  <c r="S42" i="114"/>
  <c r="V42" i="114"/>
  <c r="AB42" i="114"/>
  <c r="Y42" i="114"/>
  <c r="AA42" i="114"/>
  <c r="X42" i="114" a="1"/>
  <c r="X42" i="114" s="1"/>
  <c r="BO43" i="114"/>
  <c r="BN43" i="114"/>
  <c r="BD43" i="114"/>
  <c r="BA43" i="114"/>
  <c r="AX43" i="114"/>
  <c r="AU43" i="114"/>
  <c r="AF44" i="114"/>
  <c r="AI44" i="114"/>
  <c r="AH44" i="114"/>
  <c r="AP44" i="114"/>
  <c r="AL44" i="114"/>
  <c r="AM44" i="114"/>
  <c r="AN44" i="114"/>
  <c r="AQ44" i="114"/>
  <c r="AJ44" i="114"/>
  <c r="AK44" i="114"/>
  <c r="AO44" i="114"/>
  <c r="AD45" i="114"/>
  <c r="AE45" i="114" s="1"/>
  <c r="AG44" i="114"/>
  <c r="U42" i="114"/>
  <c r="R42" i="114"/>
  <c r="AZ43" i="114"/>
  <c r="BC43" i="114"/>
  <c r="BM43" i="114"/>
  <c r="BL43" i="114"/>
  <c r="BB43" i="114"/>
  <c r="AY43" i="114"/>
  <c r="BE45" i="114"/>
  <c r="BF44" i="114"/>
  <c r="BG44" i="114"/>
  <c r="BH44" i="114"/>
  <c r="BI44" i="114"/>
  <c r="BJ44" i="114"/>
  <c r="AV43" i="114"/>
  <c r="AS43" i="114"/>
  <c r="P43" i="114"/>
  <c r="F43" i="114"/>
  <c r="G43" i="114"/>
  <c r="H43" i="114"/>
  <c r="I43" i="114"/>
  <c r="J43" i="114"/>
  <c r="K43" i="114"/>
  <c r="L43" i="114"/>
  <c r="N43" i="114"/>
  <c r="O43" i="114"/>
  <c r="C44" i="114"/>
  <c r="D43" i="114"/>
  <c r="E43" i="114"/>
  <c r="M43" i="114"/>
  <c r="AC42" i="114"/>
  <c r="Z42" i="114"/>
  <c r="A177" i="60" l="1"/>
  <c r="V178" i="60"/>
  <c r="AL177" i="60"/>
  <c r="BH177" i="60" s="1"/>
  <c r="AJ177" i="60"/>
  <c r="AK177" i="60"/>
  <c r="BG177" i="60" s="1"/>
  <c r="BC176" i="60"/>
  <c r="BD176" i="60"/>
  <c r="BA176" i="60"/>
  <c r="AV176" i="60"/>
  <c r="AZ176" i="60"/>
  <c r="AW176" i="60"/>
  <c r="AX176" i="60"/>
  <c r="BE176" i="60"/>
  <c r="AY176" i="60"/>
  <c r="BF176" i="60"/>
  <c r="U176" i="60" s="1"/>
  <c r="BB176" i="60"/>
  <c r="AU176" i="60"/>
  <c r="BE20" i="45"/>
  <c r="BE21" i="45"/>
  <c r="BD84" i="45"/>
  <c r="U173" i="27"/>
  <c r="T172" i="27"/>
  <c r="A172" i="27"/>
  <c r="BA44" i="114"/>
  <c r="BD44" i="114"/>
  <c r="AY44" i="114"/>
  <c r="BB44" i="114"/>
  <c r="R43" i="114"/>
  <c r="U43" i="114"/>
  <c r="AS44" i="114"/>
  <c r="AV44" i="114"/>
  <c r="AA43" i="114"/>
  <c r="X43" i="114" a="1"/>
  <c r="X43" i="114" s="1"/>
  <c r="AH45" i="114"/>
  <c r="AJ45" i="114"/>
  <c r="AQ45" i="114"/>
  <c r="AF45" i="114"/>
  <c r="AG45" i="114"/>
  <c r="AI45" i="114"/>
  <c r="AO45" i="114"/>
  <c r="AK45" i="114"/>
  <c r="AL45" i="114"/>
  <c r="AN45" i="114"/>
  <c r="AP45" i="114"/>
  <c r="AD46" i="114"/>
  <c r="AE46" i="114" s="1"/>
  <c r="AM45" i="114"/>
  <c r="W43" i="114"/>
  <c r="T43" i="114"/>
  <c r="BG45" i="114"/>
  <c r="BJ45" i="114"/>
  <c r="BE46" i="114"/>
  <c r="BI45" i="114"/>
  <c r="BH45" i="114"/>
  <c r="BF45" i="114"/>
  <c r="S43" i="114"/>
  <c r="V43" i="114"/>
  <c r="O44" i="114"/>
  <c r="P44" i="114"/>
  <c r="D44" i="114"/>
  <c r="E44" i="114"/>
  <c r="C45" i="114"/>
  <c r="F44" i="114"/>
  <c r="G44" i="114"/>
  <c r="H44" i="114"/>
  <c r="I44" i="114"/>
  <c r="J44" i="114"/>
  <c r="L44" i="114"/>
  <c r="M44" i="114"/>
  <c r="K44" i="114"/>
  <c r="N44" i="114"/>
  <c r="BL44" i="114"/>
  <c r="BM44" i="114"/>
  <c r="Z43" i="114"/>
  <c r="AC43" i="114"/>
  <c r="AB43" i="114"/>
  <c r="Y43" i="114"/>
  <c r="AX44" i="114"/>
  <c r="AU44" i="114"/>
  <c r="BN44" i="114"/>
  <c r="BO44" i="114"/>
  <c r="BC44" i="114"/>
  <c r="AZ44" i="114"/>
  <c r="AL178" i="60" l="1"/>
  <c r="BH178" i="60" s="1"/>
  <c r="AJ178" i="60"/>
  <c r="AK178" i="60"/>
  <c r="BG178" i="60" s="1"/>
  <c r="V179" i="60"/>
  <c r="A178" i="60"/>
  <c r="AU177" i="60"/>
  <c r="AY177" i="60"/>
  <c r="AV177" i="60"/>
  <c r="BB177" i="60"/>
  <c r="AW177" i="60"/>
  <c r="AX177" i="60"/>
  <c r="BC177" i="60"/>
  <c r="BE177" i="60"/>
  <c r="AZ177" i="60"/>
  <c r="BD177" i="60"/>
  <c r="BA177" i="60"/>
  <c r="BF177" i="60"/>
  <c r="U177" i="60" s="1"/>
  <c r="BF21" i="45"/>
  <c r="BE84" i="45"/>
  <c r="BF20" i="45"/>
  <c r="T173" i="27"/>
  <c r="A173" i="27"/>
  <c r="U174" i="27"/>
  <c r="AU45" i="114"/>
  <c r="AX45" i="114"/>
  <c r="AS45" i="114"/>
  <c r="AV45" i="114"/>
  <c r="AY45" i="114"/>
  <c r="BB45" i="114"/>
  <c r="BJ46" i="114"/>
  <c r="BH46" i="114"/>
  <c r="BI46" i="114"/>
  <c r="BE47" i="114"/>
  <c r="BG46" i="114"/>
  <c r="BF46" i="114"/>
  <c r="BC45" i="114"/>
  <c r="AZ45" i="114"/>
  <c r="BM45" i="114"/>
  <c r="BL45" i="114"/>
  <c r="W44" i="114"/>
  <c r="T44" i="114"/>
  <c r="U44" i="114"/>
  <c r="R44" i="114"/>
  <c r="N45" i="114"/>
  <c r="O45" i="114"/>
  <c r="P45" i="114"/>
  <c r="C46" i="114"/>
  <c r="D45" i="114"/>
  <c r="E45" i="114"/>
  <c r="F45" i="114"/>
  <c r="G45" i="114"/>
  <c r="H45" i="114"/>
  <c r="J45" i="114"/>
  <c r="K45" i="114"/>
  <c r="I45" i="114"/>
  <c r="L45" i="114"/>
  <c r="M45" i="114"/>
  <c r="V44" i="114"/>
  <c r="S44" i="114"/>
  <c r="BO45" i="114"/>
  <c r="BN45" i="114"/>
  <c r="Y44" i="114"/>
  <c r="AB44" i="114"/>
  <c r="AK46" i="114"/>
  <c r="AL46" i="114"/>
  <c r="AN46" i="114"/>
  <c r="AO46" i="114"/>
  <c r="AP46" i="114"/>
  <c r="AQ46" i="114"/>
  <c r="AF46" i="114"/>
  <c r="AH46" i="114"/>
  <c r="AI46" i="114"/>
  <c r="AJ46" i="114"/>
  <c r="AD47" i="114"/>
  <c r="AE47" i="114" s="1"/>
  <c r="AM46" i="114"/>
  <c r="AG46" i="114"/>
  <c r="Z44" i="114"/>
  <c r="AC44" i="114"/>
  <c r="AA44" i="114"/>
  <c r="X44" i="114" a="1"/>
  <c r="X44" i="114" s="1"/>
  <c r="BA45" i="114"/>
  <c r="BD45" i="114"/>
  <c r="V180" i="60" l="1"/>
  <c r="A179" i="60"/>
  <c r="AJ179" i="60"/>
  <c r="AL179" i="60"/>
  <c r="BH179" i="60" s="1"/>
  <c r="AK179" i="60"/>
  <c r="BG179" i="60" s="1"/>
  <c r="BE178" i="60"/>
  <c r="BB178" i="60"/>
  <c r="AZ178" i="60"/>
  <c r="AU178" i="60"/>
  <c r="AW178" i="60"/>
  <c r="AX178" i="60"/>
  <c r="AY178" i="60"/>
  <c r="BF178" i="60"/>
  <c r="U178" i="60" s="1"/>
  <c r="BD178" i="60"/>
  <c r="BA178" i="60"/>
  <c r="BC178" i="60"/>
  <c r="AV178" i="60"/>
  <c r="BG21" i="45"/>
  <c r="BF84" i="45"/>
  <c r="BG20" i="45"/>
  <c r="U175" i="27"/>
  <c r="A174" i="27"/>
  <c r="T174" i="27"/>
  <c r="BM46" i="114"/>
  <c r="BL46" i="114"/>
  <c r="BF47" i="114"/>
  <c r="BG47" i="114"/>
  <c r="BI47" i="114"/>
  <c r="BJ47" i="114"/>
  <c r="BE48" i="114"/>
  <c r="BH47" i="114"/>
  <c r="BN46" i="114"/>
  <c r="BO46" i="114"/>
  <c r="V45" i="114"/>
  <c r="S45" i="114"/>
  <c r="X45" i="114" a="1"/>
  <c r="X45" i="114" s="1"/>
  <c r="AA45" i="114"/>
  <c r="W45" i="114"/>
  <c r="T45" i="114"/>
  <c r="AV46" i="114"/>
  <c r="AS46" i="114"/>
  <c r="R45" i="114"/>
  <c r="U45" i="114"/>
  <c r="BA46" i="114"/>
  <c r="BD46" i="114"/>
  <c r="G46" i="114"/>
  <c r="J46" i="114"/>
  <c r="K46" i="114"/>
  <c r="D46" i="114"/>
  <c r="E46" i="114"/>
  <c r="F46" i="114"/>
  <c r="H46" i="114"/>
  <c r="I46" i="114"/>
  <c r="L46" i="114"/>
  <c r="M46" i="114"/>
  <c r="N46" i="114"/>
  <c r="O46" i="114"/>
  <c r="P46" i="114"/>
  <c r="C47" i="114"/>
  <c r="Y45" i="114"/>
  <c r="AB45" i="114"/>
  <c r="AX46" i="114"/>
  <c r="AU46" i="114"/>
  <c r="AG47" i="114"/>
  <c r="AH47" i="114"/>
  <c r="AP47" i="114"/>
  <c r="AQ47" i="114"/>
  <c r="AF47" i="114"/>
  <c r="AI47" i="114"/>
  <c r="AL47" i="114"/>
  <c r="AM47" i="114"/>
  <c r="AN47" i="114"/>
  <c r="AD48" i="114"/>
  <c r="AE48" i="114" s="1"/>
  <c r="AO47" i="114"/>
  <c r="AK47" i="114"/>
  <c r="AJ47" i="114"/>
  <c r="BB46" i="114"/>
  <c r="AY46" i="114"/>
  <c r="BC46" i="114"/>
  <c r="AZ46" i="114"/>
  <c r="Z45" i="114"/>
  <c r="AC45" i="114"/>
  <c r="BA179" i="60" l="1"/>
  <c r="BE179" i="60"/>
  <c r="AZ179" i="60"/>
  <c r="BB179" i="60"/>
  <c r="AX179" i="60"/>
  <c r="BC179" i="60"/>
  <c r="BF179" i="60"/>
  <c r="U179" i="60" s="1"/>
  <c r="BD179" i="60"/>
  <c r="AU179" i="60"/>
  <c r="AW179" i="60"/>
  <c r="AY179" i="60"/>
  <c r="AV179" i="60"/>
  <c r="AL180" i="60"/>
  <c r="BH180" i="60" s="1"/>
  <c r="A180" i="60"/>
  <c r="V181" i="60"/>
  <c r="AK180" i="60"/>
  <c r="BG180" i="60" s="1"/>
  <c r="AJ180" i="60"/>
  <c r="BH21" i="45"/>
  <c r="BG84" i="45"/>
  <c r="BH20" i="45"/>
  <c r="U176" i="27"/>
  <c r="T175" i="27"/>
  <c r="A175" i="27"/>
  <c r="T46" i="114"/>
  <c r="W46" i="114"/>
  <c r="AZ47" i="114"/>
  <c r="BC47" i="114"/>
  <c r="R46" i="114"/>
  <c r="U46" i="114"/>
  <c r="BE49" i="114"/>
  <c r="BJ48" i="114"/>
  <c r="BF48" i="114"/>
  <c r="BG48" i="114"/>
  <c r="BH48" i="114"/>
  <c r="BI48" i="114"/>
  <c r="H47" i="114"/>
  <c r="C48" i="114"/>
  <c r="I47" i="114"/>
  <c r="J47" i="114"/>
  <c r="K47" i="114"/>
  <c r="D47" i="114"/>
  <c r="F47" i="114"/>
  <c r="G47" i="114"/>
  <c r="L47" i="114"/>
  <c r="M47" i="114"/>
  <c r="N47" i="114"/>
  <c r="O47" i="114"/>
  <c r="P47" i="114"/>
  <c r="E47" i="114"/>
  <c r="AX47" i="114"/>
  <c r="AU47" i="114"/>
  <c r="AS47" i="114"/>
  <c r="AV47" i="114"/>
  <c r="Y46" i="114"/>
  <c r="AB46" i="114"/>
  <c r="BO47" i="114"/>
  <c r="BN47" i="114"/>
  <c r="BM47" i="114"/>
  <c r="BL47" i="114"/>
  <c r="V46" i="114"/>
  <c r="S46" i="114"/>
  <c r="BD47" i="114"/>
  <c r="BA47" i="114"/>
  <c r="X46" i="114" a="1"/>
  <c r="X46" i="114" s="1"/>
  <c r="AA46" i="114"/>
  <c r="AO48" i="114"/>
  <c r="AQ48" i="114"/>
  <c r="AJ48" i="114"/>
  <c r="AF48" i="114"/>
  <c r="AK48" i="114"/>
  <c r="AH48" i="114"/>
  <c r="AI48" i="114"/>
  <c r="AG48" i="114"/>
  <c r="AL48" i="114"/>
  <c r="AN48" i="114"/>
  <c r="AM48" i="114"/>
  <c r="AP48" i="114"/>
  <c r="AD49" i="114"/>
  <c r="AE49" i="114" s="1"/>
  <c r="AY47" i="114"/>
  <c r="BB47" i="114"/>
  <c r="Z46" i="114"/>
  <c r="AC46" i="114"/>
  <c r="AU180" i="60" l="1"/>
  <c r="BC180" i="60"/>
  <c r="AZ180" i="60"/>
  <c r="AX180" i="60"/>
  <c r="BF180" i="60"/>
  <c r="U180" i="60" s="1"/>
  <c r="BB180" i="60"/>
  <c r="AV180" i="60"/>
  <c r="AW180" i="60"/>
  <c r="BD180" i="60"/>
  <c r="BA180" i="60"/>
  <c r="AY180" i="60"/>
  <c r="BE180" i="60"/>
  <c r="AJ181" i="60"/>
  <c r="A181" i="60"/>
  <c r="AK181" i="60"/>
  <c r="BG181" i="60" s="1"/>
  <c r="V182" i="60"/>
  <c r="AL181" i="60"/>
  <c r="BH181" i="60" s="1"/>
  <c r="BI21" i="45"/>
  <c r="BH84" i="45"/>
  <c r="BI20" i="45"/>
  <c r="T176" i="27"/>
  <c r="A176" i="27"/>
  <c r="U177" i="27"/>
  <c r="AJ49" i="114"/>
  <c r="AL49" i="114"/>
  <c r="AG49" i="114"/>
  <c r="AI49" i="114"/>
  <c r="AK49" i="114"/>
  <c r="AM49" i="114"/>
  <c r="AN49" i="114"/>
  <c r="AO49" i="114"/>
  <c r="AP49" i="114"/>
  <c r="AQ49" i="114"/>
  <c r="AD50" i="114"/>
  <c r="AE50" i="114" s="1"/>
  <c r="AH49" i="114"/>
  <c r="AF49" i="114"/>
  <c r="BO48" i="114"/>
  <c r="BN48" i="114"/>
  <c r="BM48" i="114"/>
  <c r="BL48" i="114"/>
  <c r="S47" i="114"/>
  <c r="V47" i="114"/>
  <c r="BD48" i="114"/>
  <c r="BA48" i="114"/>
  <c r="BH49" i="114"/>
  <c r="BJ49" i="114"/>
  <c r="BI49" i="114"/>
  <c r="BG49" i="114"/>
  <c r="BF49" i="114"/>
  <c r="BE50" i="114"/>
  <c r="AZ48" i="114"/>
  <c r="BC48" i="114"/>
  <c r="AV48" i="114"/>
  <c r="AS48" i="114"/>
  <c r="R47" i="114"/>
  <c r="U47" i="114"/>
  <c r="AX48" i="114"/>
  <c r="AU48" i="114"/>
  <c r="BB48" i="114"/>
  <c r="AY48" i="114"/>
  <c r="Z47" i="114"/>
  <c r="AC47" i="114"/>
  <c r="AA47" i="114"/>
  <c r="X47" i="114" a="1"/>
  <c r="X47" i="114" s="1"/>
  <c r="Y47" i="114"/>
  <c r="AB47" i="114"/>
  <c r="I48" i="114"/>
  <c r="J48" i="114"/>
  <c r="K48" i="114"/>
  <c r="L48" i="114"/>
  <c r="M48" i="114"/>
  <c r="N48" i="114"/>
  <c r="O48" i="114"/>
  <c r="C49" i="114"/>
  <c r="E48" i="114"/>
  <c r="P48" i="114"/>
  <c r="D48" i="114"/>
  <c r="F48" i="114"/>
  <c r="G48" i="114"/>
  <c r="H48" i="114"/>
  <c r="T47" i="114"/>
  <c r="W47" i="114"/>
  <c r="BB181" i="60" l="1"/>
  <c r="AZ181" i="60"/>
  <c r="BD181" i="60"/>
  <c r="BA181" i="60"/>
  <c r="BC181" i="60"/>
  <c r="AV181" i="60"/>
  <c r="AU181" i="60"/>
  <c r="BE181" i="60"/>
  <c r="BF181" i="60"/>
  <c r="U181" i="60" s="1"/>
  <c r="AW181" i="60"/>
  <c r="AX181" i="60"/>
  <c r="AY181" i="60"/>
  <c r="AL182" i="60"/>
  <c r="BH182" i="60" s="1"/>
  <c r="AK182" i="60"/>
  <c r="BG182" i="60" s="1"/>
  <c r="AJ182" i="60"/>
  <c r="V183" i="60"/>
  <c r="A182" i="60"/>
  <c r="BJ21" i="45"/>
  <c r="BI84" i="45"/>
  <c r="BJ20" i="45"/>
  <c r="A177" i="27"/>
  <c r="T177" i="27"/>
  <c r="U178" i="27"/>
  <c r="AY49" i="114"/>
  <c r="BB49" i="114"/>
  <c r="AP50" i="114"/>
  <c r="AQ50" i="114"/>
  <c r="AJ50" i="114"/>
  <c r="AF50" i="114"/>
  <c r="AG50" i="114"/>
  <c r="AH50" i="114"/>
  <c r="AO50" i="114"/>
  <c r="AK50" i="114"/>
  <c r="AN50" i="114"/>
  <c r="AM50" i="114"/>
  <c r="AL50" i="114"/>
  <c r="AD51" i="114"/>
  <c r="AE51" i="114" s="1"/>
  <c r="AI50" i="114"/>
  <c r="X48" i="114" a="1"/>
  <c r="X48" i="114" s="1"/>
  <c r="AA48" i="114"/>
  <c r="AS49" i="114"/>
  <c r="AV49" i="114"/>
  <c r="BD49" i="114"/>
  <c r="BA49" i="114"/>
  <c r="AC48" i="114"/>
  <c r="Z48" i="114"/>
  <c r="BJ50" i="114"/>
  <c r="BH50" i="114"/>
  <c r="BE51" i="114"/>
  <c r="BI50" i="114"/>
  <c r="BF50" i="114"/>
  <c r="BG50" i="114"/>
  <c r="Y48" i="114"/>
  <c r="AB48" i="114"/>
  <c r="AU49" i="114"/>
  <c r="AX49" i="114"/>
  <c r="N49" i="114"/>
  <c r="P49" i="114"/>
  <c r="O49" i="114"/>
  <c r="C50" i="114"/>
  <c r="D49" i="114"/>
  <c r="E49" i="114"/>
  <c r="F49" i="114"/>
  <c r="G49" i="114"/>
  <c r="H49" i="114"/>
  <c r="I49" i="114"/>
  <c r="J49" i="114"/>
  <c r="K49" i="114"/>
  <c r="L49" i="114"/>
  <c r="M49" i="114"/>
  <c r="BL49" i="114"/>
  <c r="BM49" i="114"/>
  <c r="S48" i="114"/>
  <c r="V48" i="114"/>
  <c r="BN49" i="114"/>
  <c r="BO49" i="114"/>
  <c r="T48" i="114"/>
  <c r="W48" i="114"/>
  <c r="U48" i="114"/>
  <c r="R48" i="114"/>
  <c r="AZ49" i="114"/>
  <c r="BC49" i="114"/>
  <c r="BA182" i="60" l="1"/>
  <c r="BF182" i="60"/>
  <c r="U182" i="60" s="1"/>
  <c r="AV182" i="60"/>
  <c r="BD182" i="60"/>
  <c r="BE182" i="60"/>
  <c r="AX182" i="60"/>
  <c r="AW182" i="60"/>
  <c r="BB182" i="60"/>
  <c r="AU182" i="60"/>
  <c r="AY182" i="60"/>
  <c r="AZ182" i="60"/>
  <c r="BC182" i="60"/>
  <c r="AL183" i="60"/>
  <c r="BH183" i="60" s="1"/>
  <c r="V184" i="60"/>
  <c r="AJ183" i="60"/>
  <c r="AK183" i="60"/>
  <c r="BG183" i="60" s="1"/>
  <c r="A183" i="60"/>
  <c r="BK21" i="45"/>
  <c r="BJ84" i="45"/>
  <c r="BK20" i="45"/>
  <c r="U179" i="27"/>
  <c r="T178" i="27"/>
  <c r="A178" i="27"/>
  <c r="AI51" i="114"/>
  <c r="AJ51" i="114"/>
  <c r="AM51" i="114"/>
  <c r="AD52" i="114"/>
  <c r="AE52" i="114" s="1"/>
  <c r="AN51" i="114"/>
  <c r="AO51" i="114"/>
  <c r="AP51" i="114"/>
  <c r="AQ51" i="114"/>
  <c r="AG51" i="114"/>
  <c r="AL51" i="114"/>
  <c r="AF51" i="114"/>
  <c r="AH51" i="114"/>
  <c r="AK51" i="114"/>
  <c r="AZ50" i="114"/>
  <c r="BC50" i="114"/>
  <c r="BB50" i="114"/>
  <c r="AY50" i="114"/>
  <c r="W49" i="114"/>
  <c r="T49" i="114"/>
  <c r="BN50" i="114"/>
  <c r="BO50" i="114"/>
  <c r="Z49" i="114"/>
  <c r="AC49" i="114"/>
  <c r="BJ51" i="114"/>
  <c r="BF51" i="114"/>
  <c r="BG51" i="114"/>
  <c r="BH51" i="114"/>
  <c r="BE52" i="114"/>
  <c r="BI51" i="114"/>
  <c r="AV50" i="114"/>
  <c r="AS50" i="114"/>
  <c r="AU50" i="114"/>
  <c r="AX50" i="114"/>
  <c r="Y49" i="114"/>
  <c r="AB49" i="114"/>
  <c r="R49" i="114"/>
  <c r="U49" i="114"/>
  <c r="V49" i="114"/>
  <c r="S49" i="114"/>
  <c r="BM50" i="114"/>
  <c r="BL50" i="114"/>
  <c r="BA50" i="114"/>
  <c r="BD50" i="114"/>
  <c r="AA49" i="114"/>
  <c r="X49" i="114" a="1"/>
  <c r="X49" i="114" s="1"/>
  <c r="D50" i="114"/>
  <c r="E50" i="114"/>
  <c r="C51" i="114"/>
  <c r="F50" i="114"/>
  <c r="G50" i="114"/>
  <c r="H50" i="114"/>
  <c r="I50" i="114"/>
  <c r="J50" i="114"/>
  <c r="K50" i="114"/>
  <c r="L50" i="114"/>
  <c r="M50" i="114"/>
  <c r="N50" i="114"/>
  <c r="O50" i="114"/>
  <c r="P50" i="114"/>
  <c r="AK184" i="60" l="1"/>
  <c r="BG184" i="60" s="1"/>
  <c r="A184" i="60"/>
  <c r="AL184" i="60"/>
  <c r="BH184" i="60" s="1"/>
  <c r="V185" i="60"/>
  <c r="AJ184" i="60"/>
  <c r="AY183" i="60"/>
  <c r="BF183" i="60"/>
  <c r="U183" i="60" s="1"/>
  <c r="AV183" i="60"/>
  <c r="AZ183" i="60"/>
  <c r="BE183" i="60"/>
  <c r="BA183" i="60"/>
  <c r="BD183" i="60"/>
  <c r="BB183" i="60"/>
  <c r="AU183" i="60"/>
  <c r="AW183" i="60"/>
  <c r="BC183" i="60"/>
  <c r="AX183" i="60"/>
  <c r="BL21" i="45"/>
  <c r="BK84" i="45"/>
  <c r="BL20" i="45"/>
  <c r="U180" i="27"/>
  <c r="T179" i="27"/>
  <c r="A179" i="27"/>
  <c r="AC50" i="114"/>
  <c r="Z50" i="114"/>
  <c r="AV51" i="114"/>
  <c r="AS51" i="114"/>
  <c r="AZ51" i="114"/>
  <c r="BC51" i="114"/>
  <c r="N51" i="114"/>
  <c r="O51" i="114"/>
  <c r="P51" i="114"/>
  <c r="D51" i="114"/>
  <c r="E51" i="114"/>
  <c r="C52" i="114"/>
  <c r="F51" i="114"/>
  <c r="G51" i="114"/>
  <c r="H51" i="114"/>
  <c r="I51" i="114"/>
  <c r="J51" i="114"/>
  <c r="K51" i="114"/>
  <c r="L51" i="114"/>
  <c r="M51" i="114"/>
  <c r="BF52" i="114"/>
  <c r="BG52" i="114"/>
  <c r="BH52" i="114"/>
  <c r="BI52" i="114"/>
  <c r="BJ52" i="114"/>
  <c r="BE53" i="114"/>
  <c r="Y50" i="114"/>
  <c r="AB50" i="114"/>
  <c r="R50" i="114"/>
  <c r="U50" i="114"/>
  <c r="BM51" i="114"/>
  <c r="BL51" i="114"/>
  <c r="BA51" i="114"/>
  <c r="BD51" i="114"/>
  <c r="W50" i="114"/>
  <c r="T50" i="114"/>
  <c r="AY51" i="114"/>
  <c r="BB51" i="114"/>
  <c r="AU51" i="114"/>
  <c r="AX51" i="114"/>
  <c r="BO51" i="114"/>
  <c r="BN51" i="114"/>
  <c r="AL52" i="114"/>
  <c r="AM52" i="114"/>
  <c r="AO52" i="114"/>
  <c r="AP52" i="114"/>
  <c r="AQ52" i="114"/>
  <c r="AD53" i="114"/>
  <c r="AE53" i="114" s="1"/>
  <c r="AG52" i="114"/>
  <c r="AH52" i="114"/>
  <c r="AJ52" i="114"/>
  <c r="AI52" i="114"/>
  <c r="AF52" i="114"/>
  <c r="AK52" i="114"/>
  <c r="AN52" i="114"/>
  <c r="S50" i="114"/>
  <c r="V50" i="114"/>
  <c r="X50" i="114" a="1"/>
  <c r="X50" i="114" s="1"/>
  <c r="AA50" i="114"/>
  <c r="AK185" i="60" l="1"/>
  <c r="BG185" i="60" s="1"/>
  <c r="AJ185" i="60"/>
  <c r="AL185" i="60"/>
  <c r="BH185" i="60" s="1"/>
  <c r="A185" i="60"/>
  <c r="V186" i="60"/>
  <c r="AW184" i="60"/>
  <c r="BD184" i="60"/>
  <c r="AZ184" i="60"/>
  <c r="BC184" i="60"/>
  <c r="AY184" i="60"/>
  <c r="AU184" i="60"/>
  <c r="BA184" i="60"/>
  <c r="BE184" i="60"/>
  <c r="AX184" i="60"/>
  <c r="AV184" i="60"/>
  <c r="BF184" i="60"/>
  <c r="U184" i="60" s="1"/>
  <c r="BB184" i="60"/>
  <c r="BL84" i="45"/>
  <c r="BM21" i="45"/>
  <c r="BM20" i="45"/>
  <c r="T180" i="27"/>
  <c r="A180" i="27"/>
  <c r="U181" i="27"/>
  <c r="U51" i="114"/>
  <c r="R51" i="114"/>
  <c r="BB52" i="114"/>
  <c r="AY52" i="114"/>
  <c r="AX52" i="114"/>
  <c r="AU52" i="114"/>
  <c r="AV52" i="114"/>
  <c r="AS52" i="114"/>
  <c r="Z51" i="114"/>
  <c r="AC51" i="114"/>
  <c r="W51" i="114"/>
  <c r="T51" i="114"/>
  <c r="V51" i="114"/>
  <c r="S51" i="114"/>
  <c r="BA52" i="114"/>
  <c r="BD52" i="114"/>
  <c r="BJ53" i="114"/>
  <c r="BF53" i="114"/>
  <c r="BG53" i="114"/>
  <c r="BH53" i="114"/>
  <c r="BI53" i="114"/>
  <c r="BE54" i="114"/>
  <c r="M52" i="114"/>
  <c r="N52" i="114"/>
  <c r="O52" i="114"/>
  <c r="P52" i="114"/>
  <c r="D52" i="114"/>
  <c r="E52" i="114"/>
  <c r="C53" i="114"/>
  <c r="F52" i="114"/>
  <c r="G52" i="114"/>
  <c r="H52" i="114"/>
  <c r="I52" i="114"/>
  <c r="K52" i="114"/>
  <c r="L52" i="114"/>
  <c r="J52" i="114"/>
  <c r="BO52" i="114"/>
  <c r="BN52" i="114"/>
  <c r="Y51" i="114"/>
  <c r="AB51" i="114"/>
  <c r="X51" i="114" a="1"/>
  <c r="X51" i="114" s="1"/>
  <c r="AA51" i="114"/>
  <c r="AJ53" i="114"/>
  <c r="AK53" i="114"/>
  <c r="AM53" i="114"/>
  <c r="AN53" i="114"/>
  <c r="AO53" i="114"/>
  <c r="AP53" i="114"/>
  <c r="AQ53" i="114"/>
  <c r="AD54" i="114"/>
  <c r="AE54" i="114" s="1"/>
  <c r="AG53" i="114"/>
  <c r="AL53" i="114"/>
  <c r="AH53" i="114"/>
  <c r="AF53" i="114"/>
  <c r="AI53" i="114"/>
  <c r="BC52" i="114"/>
  <c r="AZ52" i="114"/>
  <c r="BL52" i="114"/>
  <c r="BM52" i="114"/>
  <c r="BF185" i="60" l="1"/>
  <c r="U185" i="60" s="1"/>
  <c r="BA185" i="60"/>
  <c r="AV185" i="60"/>
  <c r="AU185" i="60"/>
  <c r="AZ185" i="60"/>
  <c r="BB185" i="60"/>
  <c r="BE185" i="60"/>
  <c r="AY185" i="60"/>
  <c r="BC185" i="60"/>
  <c r="AW185" i="60"/>
  <c r="BD185" i="60"/>
  <c r="AX185" i="60"/>
  <c r="A186" i="60"/>
  <c r="V187" i="60"/>
  <c r="AK186" i="60"/>
  <c r="BG186" i="60" s="1"/>
  <c r="AJ186" i="60"/>
  <c r="AL186" i="60"/>
  <c r="BH186" i="60" s="1"/>
  <c r="BM84" i="45"/>
  <c r="BN20" i="45"/>
  <c r="BN21" i="45"/>
  <c r="U182" i="27"/>
  <c r="T181" i="27"/>
  <c r="A181" i="27"/>
  <c r="F53" i="114"/>
  <c r="G53" i="114"/>
  <c r="H53" i="114"/>
  <c r="I53" i="114"/>
  <c r="J53" i="114"/>
  <c r="K53" i="114"/>
  <c r="L53" i="114"/>
  <c r="M53" i="114"/>
  <c r="N53" i="114"/>
  <c r="O53" i="114"/>
  <c r="P53" i="114"/>
  <c r="D53" i="114"/>
  <c r="E53" i="114"/>
  <c r="C54" i="114"/>
  <c r="S52" i="114"/>
  <c r="V52" i="114"/>
  <c r="U52" i="114"/>
  <c r="R52" i="114"/>
  <c r="X52" i="114" a="1"/>
  <c r="X52" i="114" s="1"/>
  <c r="AA52" i="114"/>
  <c r="Y52" i="114"/>
  <c r="AB52" i="114"/>
  <c r="AF54" i="114"/>
  <c r="AG54" i="114"/>
  <c r="AH54" i="114"/>
  <c r="AI54" i="114"/>
  <c r="AK54" i="114"/>
  <c r="AM54" i="114"/>
  <c r="AJ54" i="114"/>
  <c r="AL54" i="114"/>
  <c r="AO54" i="114"/>
  <c r="AP54" i="114"/>
  <c r="AD55" i="114"/>
  <c r="AE55" i="114" s="1"/>
  <c r="AQ54" i="114"/>
  <c r="AN54" i="114"/>
  <c r="AU53" i="114"/>
  <c r="AX53" i="114"/>
  <c r="AS53" i="114"/>
  <c r="AV53" i="114"/>
  <c r="Z52" i="114"/>
  <c r="AC52" i="114"/>
  <c r="AY53" i="114"/>
  <c r="BB53" i="114"/>
  <c r="BL53" i="114"/>
  <c r="BM53" i="114"/>
  <c r="AZ53" i="114"/>
  <c r="BC53" i="114"/>
  <c r="BA53" i="114"/>
  <c r="BD53" i="114"/>
  <c r="T52" i="114"/>
  <c r="W52" i="114"/>
  <c r="BF54" i="114"/>
  <c r="BE55" i="114"/>
  <c r="BG54" i="114"/>
  <c r="BJ54" i="114"/>
  <c r="BI54" i="114"/>
  <c r="BH54" i="114"/>
  <c r="BN53" i="114"/>
  <c r="BO53" i="114"/>
  <c r="V188" i="60" l="1"/>
  <c r="AJ187" i="60"/>
  <c r="A187" i="60"/>
  <c r="AK187" i="60"/>
  <c r="BG187" i="60" s="1"/>
  <c r="AL187" i="60"/>
  <c r="BH187" i="60" s="1"/>
  <c r="BC186" i="60"/>
  <c r="BE186" i="60"/>
  <c r="AW186" i="60"/>
  <c r="AX186" i="60"/>
  <c r="BA186" i="60"/>
  <c r="BF186" i="60"/>
  <c r="U186" i="60" s="1"/>
  <c r="AU186" i="60"/>
  <c r="AZ186" i="60"/>
  <c r="AY186" i="60"/>
  <c r="BB186" i="60"/>
  <c r="BD186" i="60"/>
  <c r="AV186" i="60"/>
  <c r="BO20" i="45"/>
  <c r="BN84" i="45"/>
  <c r="BO21" i="45"/>
  <c r="U183" i="27"/>
  <c r="T182" i="27"/>
  <c r="A182" i="27"/>
  <c r="BO54" i="114"/>
  <c r="BN54" i="114"/>
  <c r="R53" i="114"/>
  <c r="U53" i="114"/>
  <c r="AX54" i="114"/>
  <c r="AU54" i="114"/>
  <c r="Z53" i="114"/>
  <c r="AC53" i="114"/>
  <c r="F54" i="114"/>
  <c r="G54" i="114"/>
  <c r="H54" i="114"/>
  <c r="I54" i="114"/>
  <c r="J54" i="114"/>
  <c r="K54" i="114"/>
  <c r="L54" i="114"/>
  <c r="M54" i="114"/>
  <c r="N54" i="114"/>
  <c r="O54" i="114"/>
  <c r="P54" i="114"/>
  <c r="D54" i="114"/>
  <c r="E54" i="114"/>
  <c r="C55" i="114"/>
  <c r="T53" i="114"/>
  <c r="W53" i="114"/>
  <c r="BJ55" i="114"/>
  <c r="BE56" i="114"/>
  <c r="BF55" i="114"/>
  <c r="BH55" i="114"/>
  <c r="BG55" i="114"/>
  <c r="BI55" i="114"/>
  <c r="AZ54" i="114"/>
  <c r="BC54" i="114"/>
  <c r="Y53" i="114"/>
  <c r="AB53" i="114"/>
  <c r="AY54" i="114"/>
  <c r="BB54" i="114"/>
  <c r="AH55" i="114"/>
  <c r="AI55" i="114"/>
  <c r="AL55" i="114"/>
  <c r="AM55" i="114"/>
  <c r="AN55" i="114"/>
  <c r="AO55" i="114"/>
  <c r="AP55" i="114"/>
  <c r="AQ55" i="114"/>
  <c r="AD56" i="114"/>
  <c r="AE56" i="114" s="1"/>
  <c r="AF55" i="114"/>
  <c r="AG55" i="114"/>
  <c r="AJ55" i="114"/>
  <c r="AK55" i="114"/>
  <c r="V53" i="114"/>
  <c r="S53" i="114"/>
  <c r="AS54" i="114"/>
  <c r="AV54" i="114"/>
  <c r="BD54" i="114"/>
  <c r="BA54" i="114"/>
  <c r="X53" i="114" a="1"/>
  <c r="X53" i="114" s="1"/>
  <c r="AA53" i="114"/>
  <c r="BL54" i="114"/>
  <c r="BM54" i="114"/>
  <c r="BE187" i="60" l="1"/>
  <c r="BF187" i="60"/>
  <c r="U187" i="60" s="1"/>
  <c r="AZ187" i="60"/>
  <c r="BC187" i="60"/>
  <c r="BD187" i="60"/>
  <c r="AY187" i="60"/>
  <c r="BA187" i="60"/>
  <c r="AW187" i="60"/>
  <c r="AX187" i="60"/>
  <c r="AV187" i="60"/>
  <c r="AU187" i="60"/>
  <c r="BB187" i="60"/>
  <c r="AJ188" i="60"/>
  <c r="A188" i="60"/>
  <c r="V189" i="60"/>
  <c r="AL188" i="60"/>
  <c r="BH188" i="60" s="1"/>
  <c r="AK188" i="60"/>
  <c r="BG188" i="60" s="1"/>
  <c r="BO84" i="45"/>
  <c r="BP20" i="45"/>
  <c r="BP21" i="45"/>
  <c r="T183" i="27"/>
  <c r="A183" i="27"/>
  <c r="U184" i="27"/>
  <c r="AY55" i="114"/>
  <c r="BB55" i="114"/>
  <c r="BC55" i="114"/>
  <c r="AZ55" i="114"/>
  <c r="V54" i="114"/>
  <c r="S54" i="114"/>
  <c r="X54" i="114" a="1"/>
  <c r="X54" i="114" s="1"/>
  <c r="AA54" i="114"/>
  <c r="Y54" i="114"/>
  <c r="AB54" i="114"/>
  <c r="AS55" i="114"/>
  <c r="AV55" i="114"/>
  <c r="BE57" i="114"/>
  <c r="BG56" i="114"/>
  <c r="BF56" i="114"/>
  <c r="BH56" i="114"/>
  <c r="BI56" i="114"/>
  <c r="BJ56" i="114"/>
  <c r="T54" i="114"/>
  <c r="W54" i="114"/>
  <c r="AO56" i="114"/>
  <c r="AP56" i="114"/>
  <c r="AF56" i="114"/>
  <c r="AH56" i="114"/>
  <c r="AK56" i="114"/>
  <c r="AL56" i="114"/>
  <c r="AN56" i="114"/>
  <c r="AG56" i="114"/>
  <c r="AI56" i="114"/>
  <c r="AJ56" i="114"/>
  <c r="AM56" i="114"/>
  <c r="AQ56" i="114"/>
  <c r="AD57" i="114"/>
  <c r="AE57" i="114" s="1"/>
  <c r="BN55" i="114"/>
  <c r="BO55" i="114"/>
  <c r="AC54" i="114"/>
  <c r="Z54" i="114"/>
  <c r="BL55" i="114"/>
  <c r="BM55" i="114"/>
  <c r="BA55" i="114"/>
  <c r="BD55" i="114"/>
  <c r="D55" i="114"/>
  <c r="E55" i="114"/>
  <c r="F55" i="114"/>
  <c r="C56" i="114"/>
  <c r="G55" i="114"/>
  <c r="H55" i="114"/>
  <c r="I55" i="114"/>
  <c r="J55" i="114"/>
  <c r="K55" i="114"/>
  <c r="L55" i="114"/>
  <c r="M55" i="114"/>
  <c r="N55" i="114"/>
  <c r="O55" i="114"/>
  <c r="P55" i="114"/>
  <c r="AX55" i="114"/>
  <c r="AU55" i="114"/>
  <c r="U54" i="114"/>
  <c r="R54" i="114"/>
  <c r="AK189" i="60" l="1"/>
  <c r="BG189" i="60" s="1"/>
  <c r="AL189" i="60"/>
  <c r="BH189" i="60" s="1"/>
  <c r="AJ189" i="60"/>
  <c r="V190" i="60"/>
  <c r="A189" i="60"/>
  <c r="BB188" i="60"/>
  <c r="AW188" i="60"/>
  <c r="BC188" i="60"/>
  <c r="AZ188" i="60"/>
  <c r="AU188" i="60"/>
  <c r="BA188" i="60"/>
  <c r="BE188" i="60"/>
  <c r="BF188" i="60"/>
  <c r="U188" i="60" s="1"/>
  <c r="AX188" i="60"/>
  <c r="BD188" i="60"/>
  <c r="AY188" i="60"/>
  <c r="AV188" i="60"/>
  <c r="BQ20" i="45"/>
  <c r="BQ21" i="45"/>
  <c r="BP84" i="45"/>
  <c r="A184" i="27"/>
  <c r="U185" i="27"/>
  <c r="T184" i="27"/>
  <c r="BE58" i="114"/>
  <c r="BG57" i="114"/>
  <c r="BH57" i="114"/>
  <c r="BJ57" i="114"/>
  <c r="BI57" i="114"/>
  <c r="BF57" i="114"/>
  <c r="BO56" i="114"/>
  <c r="BN56" i="114"/>
  <c r="BL56" i="114"/>
  <c r="BM56" i="114"/>
  <c r="S55" i="114"/>
  <c r="V55" i="114"/>
  <c r="AX56" i="114"/>
  <c r="AU56" i="114"/>
  <c r="AC55" i="114"/>
  <c r="Z55" i="114"/>
  <c r="N56" i="114"/>
  <c r="O56" i="114"/>
  <c r="P56" i="114"/>
  <c r="D56" i="114"/>
  <c r="E56" i="114"/>
  <c r="C57" i="114"/>
  <c r="F56" i="114"/>
  <c r="G56" i="114"/>
  <c r="H56" i="114"/>
  <c r="I56" i="114"/>
  <c r="J56" i="114"/>
  <c r="K56" i="114"/>
  <c r="L56" i="114"/>
  <c r="M56" i="114"/>
  <c r="BB56" i="114"/>
  <c r="AY56" i="114"/>
  <c r="AB55" i="114"/>
  <c r="Y55" i="114"/>
  <c r="R55" i="114"/>
  <c r="U55" i="114"/>
  <c r="AS56" i="114"/>
  <c r="AV56" i="114"/>
  <c r="AL57" i="114"/>
  <c r="AM57" i="114"/>
  <c r="AP57" i="114"/>
  <c r="AQ57" i="114"/>
  <c r="AH57" i="114"/>
  <c r="AD58" i="114"/>
  <c r="AE58" i="114" s="1"/>
  <c r="AI57" i="114"/>
  <c r="AF57" i="114"/>
  <c r="AG57" i="114"/>
  <c r="AJ57" i="114"/>
  <c r="AK57" i="114"/>
  <c r="AN57" i="114"/>
  <c r="AO57" i="114"/>
  <c r="BC56" i="114"/>
  <c r="AZ56" i="114"/>
  <c r="BD56" i="114"/>
  <c r="BA56" i="114"/>
  <c r="T55" i="114"/>
  <c r="W55" i="114"/>
  <c r="AA55" i="114"/>
  <c r="X55" i="114" a="1"/>
  <c r="X55" i="114" s="1"/>
  <c r="V191" i="60" l="1"/>
  <c r="AJ190" i="60"/>
  <c r="AL190" i="60"/>
  <c r="BH190" i="60" s="1"/>
  <c r="AK190" i="60"/>
  <c r="BG190" i="60" s="1"/>
  <c r="A190" i="60"/>
  <c r="AW189" i="60"/>
  <c r="BB189" i="60"/>
  <c r="AU189" i="60"/>
  <c r="BE189" i="60"/>
  <c r="BC189" i="60"/>
  <c r="AY189" i="60"/>
  <c r="AV189" i="60"/>
  <c r="AZ189" i="60"/>
  <c r="BD189" i="60"/>
  <c r="BF189" i="60"/>
  <c r="U189" i="60" s="1"/>
  <c r="AX189" i="60"/>
  <c r="BA189" i="60"/>
  <c r="BR20" i="45"/>
  <c r="BR21" i="45"/>
  <c r="BQ84" i="45"/>
  <c r="U186" i="27"/>
  <c r="T185" i="27"/>
  <c r="A185" i="27"/>
  <c r="BC57" i="114"/>
  <c r="AZ57" i="114"/>
  <c r="W56" i="114"/>
  <c r="T56" i="114"/>
  <c r="V56" i="114"/>
  <c r="S56" i="114"/>
  <c r="Z56" i="114"/>
  <c r="AC56" i="114"/>
  <c r="BN57" i="114"/>
  <c r="BO57" i="114"/>
  <c r="Y56" i="114"/>
  <c r="AB56" i="114"/>
  <c r="AO58" i="114"/>
  <c r="AP58" i="114"/>
  <c r="AD59" i="114"/>
  <c r="AE59" i="114" s="1"/>
  <c r="AQ58" i="114"/>
  <c r="AN58" i="114"/>
  <c r="AF58" i="114"/>
  <c r="AI58" i="114"/>
  <c r="AJ58" i="114"/>
  <c r="AL58" i="114"/>
  <c r="AM58" i="114"/>
  <c r="AG58" i="114"/>
  <c r="AH58" i="114"/>
  <c r="AK58" i="114"/>
  <c r="AA56" i="114"/>
  <c r="X56" i="114" a="1"/>
  <c r="X56" i="114" s="1"/>
  <c r="AY57" i="114"/>
  <c r="BB57" i="114"/>
  <c r="AX57" i="114"/>
  <c r="AU57" i="114"/>
  <c r="H57" i="114"/>
  <c r="I57" i="114"/>
  <c r="J57" i="114"/>
  <c r="K57" i="114"/>
  <c r="L57" i="114"/>
  <c r="M57" i="114"/>
  <c r="N57" i="114"/>
  <c r="O57" i="114"/>
  <c r="P57" i="114"/>
  <c r="D57" i="114"/>
  <c r="E57" i="114"/>
  <c r="C58" i="114"/>
  <c r="F57" i="114"/>
  <c r="G57" i="114"/>
  <c r="BL57" i="114"/>
  <c r="BM57" i="114"/>
  <c r="AV57" i="114"/>
  <c r="AS57" i="114"/>
  <c r="BD57" i="114"/>
  <c r="BA57" i="114"/>
  <c r="R56" i="114"/>
  <c r="U56" i="114"/>
  <c r="BF58" i="114"/>
  <c r="BG58" i="114"/>
  <c r="BI58" i="114"/>
  <c r="BH58" i="114"/>
  <c r="BJ58" i="114"/>
  <c r="BE59" i="114"/>
  <c r="AV190" i="60" l="1"/>
  <c r="BA190" i="60"/>
  <c r="BB190" i="60"/>
  <c r="BF190" i="60"/>
  <c r="U190" i="60" s="1"/>
  <c r="AW190" i="60"/>
  <c r="BE190" i="60"/>
  <c r="AZ190" i="60"/>
  <c r="BD190" i="60"/>
  <c r="AY190" i="60"/>
  <c r="AX190" i="60"/>
  <c r="AU190" i="60"/>
  <c r="BC190" i="60"/>
  <c r="AJ191" i="60"/>
  <c r="A191" i="60"/>
  <c r="AL191" i="60"/>
  <c r="BH191" i="60" s="1"/>
  <c r="V192" i="60"/>
  <c r="AK191" i="60"/>
  <c r="BG191" i="60" s="1"/>
  <c r="BS20" i="45"/>
  <c r="BS21" i="45"/>
  <c r="BR84" i="45"/>
  <c r="U187" i="27"/>
  <c r="T186" i="27"/>
  <c r="A186" i="27"/>
  <c r="Z57" i="114"/>
  <c r="AC57" i="114"/>
  <c r="BO58" i="114"/>
  <c r="BN58" i="114"/>
  <c r="V57" i="114"/>
  <c r="S57" i="114"/>
  <c r="AH59" i="114"/>
  <c r="AI59" i="114"/>
  <c r="AL59" i="114"/>
  <c r="AD60" i="114"/>
  <c r="AE60" i="114" s="1"/>
  <c r="AM59" i="114"/>
  <c r="AN59" i="114"/>
  <c r="AO59" i="114"/>
  <c r="AP59" i="114"/>
  <c r="AF59" i="114"/>
  <c r="AG59" i="114"/>
  <c r="AJ59" i="114"/>
  <c r="AK59" i="114"/>
  <c r="AQ59" i="114"/>
  <c r="AV58" i="114"/>
  <c r="AS58" i="114"/>
  <c r="BA58" i="114"/>
  <c r="BD58" i="114"/>
  <c r="BF59" i="114"/>
  <c r="BG59" i="114"/>
  <c r="BI59" i="114"/>
  <c r="BJ59" i="114"/>
  <c r="BE60" i="114"/>
  <c r="BH59" i="114"/>
  <c r="Y57" i="114"/>
  <c r="AB57" i="114"/>
  <c r="AY58" i="114"/>
  <c r="BB58" i="114"/>
  <c r="G58" i="114"/>
  <c r="H58" i="114"/>
  <c r="I58" i="114"/>
  <c r="J58" i="114"/>
  <c r="K58" i="114"/>
  <c r="L58" i="114"/>
  <c r="M58" i="114"/>
  <c r="N58" i="114"/>
  <c r="O58" i="114"/>
  <c r="P58" i="114"/>
  <c r="D58" i="114"/>
  <c r="E58" i="114"/>
  <c r="C59" i="114"/>
  <c r="F58" i="114"/>
  <c r="BL58" i="114"/>
  <c r="BM58" i="114"/>
  <c r="X57" i="114" a="1"/>
  <c r="X57" i="114" s="1"/>
  <c r="AA57" i="114"/>
  <c r="R57" i="114"/>
  <c r="U57" i="114"/>
  <c r="AU58" i="114"/>
  <c r="AX58" i="114"/>
  <c r="AZ58" i="114"/>
  <c r="BC58" i="114"/>
  <c r="T57" i="114"/>
  <c r="W57" i="114"/>
  <c r="BB191" i="60" l="1"/>
  <c r="BF191" i="60"/>
  <c r="U191" i="60" s="1"/>
  <c r="AZ191" i="60"/>
  <c r="BA191" i="60"/>
  <c r="AW191" i="60"/>
  <c r="BD191" i="60"/>
  <c r="AU191" i="60"/>
  <c r="BE191" i="60"/>
  <c r="AV191" i="60"/>
  <c r="BC191" i="60"/>
  <c r="AY191" i="60"/>
  <c r="AX191" i="60"/>
  <c r="A192" i="60"/>
  <c r="AJ192" i="60"/>
  <c r="V193" i="60"/>
  <c r="AK192" i="60"/>
  <c r="BG192" i="60" s="1"/>
  <c r="AL192" i="60"/>
  <c r="BH192" i="60" s="1"/>
  <c r="BT20" i="45"/>
  <c r="BT21" i="45"/>
  <c r="BS84" i="45"/>
  <c r="T187" i="27"/>
  <c r="A187" i="27"/>
  <c r="U188" i="27"/>
  <c r="S58" i="114"/>
  <c r="V58" i="114"/>
  <c r="AH60" i="114"/>
  <c r="AI60" i="114"/>
  <c r="AJ60" i="114"/>
  <c r="AK60" i="114"/>
  <c r="AL60" i="114"/>
  <c r="AM60" i="114"/>
  <c r="AO60" i="114"/>
  <c r="AD61" i="114"/>
  <c r="AE61" i="114" s="1"/>
  <c r="AG60" i="114"/>
  <c r="AF60" i="114"/>
  <c r="AN60" i="114"/>
  <c r="AP60" i="114"/>
  <c r="AQ60" i="114"/>
  <c r="BF60" i="114"/>
  <c r="BI60" i="114"/>
  <c r="BE61" i="114"/>
  <c r="BG60" i="114"/>
  <c r="BH60" i="114"/>
  <c r="BJ60" i="114"/>
  <c r="AZ59" i="114"/>
  <c r="BC59" i="114"/>
  <c r="BA59" i="114"/>
  <c r="BD59" i="114"/>
  <c r="AX59" i="114"/>
  <c r="AU59" i="114"/>
  <c r="AV59" i="114"/>
  <c r="AS59" i="114"/>
  <c r="H59" i="114"/>
  <c r="I59" i="114"/>
  <c r="J59" i="114"/>
  <c r="K59" i="114"/>
  <c r="L59" i="114"/>
  <c r="M59" i="114"/>
  <c r="O59" i="114"/>
  <c r="N59" i="114"/>
  <c r="P59" i="114"/>
  <c r="D59" i="114"/>
  <c r="E59" i="114"/>
  <c r="C60" i="114"/>
  <c r="F59" i="114"/>
  <c r="G59" i="114"/>
  <c r="BN59" i="114"/>
  <c r="BO59" i="114"/>
  <c r="AY59" i="114"/>
  <c r="BB59" i="114"/>
  <c r="X58" i="114" a="1"/>
  <c r="X58" i="114" s="1"/>
  <c r="AA58" i="114"/>
  <c r="R58" i="114"/>
  <c r="U58" i="114"/>
  <c r="BL59" i="114"/>
  <c r="BM59" i="114"/>
  <c r="Z58" i="114"/>
  <c r="AC58" i="114"/>
  <c r="Y58" i="114"/>
  <c r="AB58" i="114"/>
  <c r="T58" i="114"/>
  <c r="W58" i="114"/>
  <c r="AY192" i="60" l="1"/>
  <c r="BB192" i="60"/>
  <c r="BA192" i="60"/>
  <c r="AX192" i="60"/>
  <c r="AZ192" i="60"/>
  <c r="BE192" i="60"/>
  <c r="BC192" i="60"/>
  <c r="AW192" i="60"/>
  <c r="AV192" i="60"/>
  <c r="AU192" i="60"/>
  <c r="BD192" i="60"/>
  <c r="BF192" i="60"/>
  <c r="U192" i="60" s="1"/>
  <c r="A193" i="60"/>
  <c r="AK193" i="60"/>
  <c r="BG193" i="60" s="1"/>
  <c r="AL193" i="60"/>
  <c r="BH193" i="60" s="1"/>
  <c r="V194" i="60"/>
  <c r="AJ193" i="60"/>
  <c r="BU21" i="45"/>
  <c r="BT84" i="45"/>
  <c r="BU20" i="45"/>
  <c r="A188" i="27"/>
  <c r="U189" i="27"/>
  <c r="T188" i="27"/>
  <c r="BL60" i="114"/>
  <c r="BM60" i="114"/>
  <c r="BI61" i="114"/>
  <c r="BJ61" i="114"/>
  <c r="BE62" i="114"/>
  <c r="BG61" i="114"/>
  <c r="BH61" i="114"/>
  <c r="BF61" i="114"/>
  <c r="AS60" i="114"/>
  <c r="AV60" i="114"/>
  <c r="AP61" i="114"/>
  <c r="AQ61" i="114"/>
  <c r="AF61" i="114"/>
  <c r="AG61" i="114"/>
  <c r="AJ61" i="114"/>
  <c r="AI61" i="114"/>
  <c r="AM61" i="114"/>
  <c r="AK61" i="114"/>
  <c r="AL61" i="114"/>
  <c r="AN61" i="114"/>
  <c r="AO61" i="114"/>
  <c r="AD62" i="114"/>
  <c r="AE62" i="114" s="1"/>
  <c r="AH61" i="114"/>
  <c r="V59" i="114"/>
  <c r="S59" i="114"/>
  <c r="BN60" i="114"/>
  <c r="BO60" i="114"/>
  <c r="AZ60" i="114"/>
  <c r="BC60" i="114"/>
  <c r="W59" i="114"/>
  <c r="T59" i="114"/>
  <c r="Y59" i="114"/>
  <c r="AB59" i="114"/>
  <c r="BD60" i="114"/>
  <c r="BA60" i="114"/>
  <c r="X59" i="114" a="1"/>
  <c r="X59" i="114" s="1"/>
  <c r="AA59" i="114"/>
  <c r="AY60" i="114"/>
  <c r="BB60" i="114"/>
  <c r="G60" i="114"/>
  <c r="H60" i="114"/>
  <c r="I60" i="114"/>
  <c r="J60" i="114"/>
  <c r="C61" i="114"/>
  <c r="K60" i="114"/>
  <c r="L60" i="114"/>
  <c r="M60" i="114"/>
  <c r="N60" i="114"/>
  <c r="O60" i="114"/>
  <c r="P60" i="114"/>
  <c r="D60" i="114"/>
  <c r="E60" i="114"/>
  <c r="F60" i="114"/>
  <c r="Z59" i="114"/>
  <c r="AC59" i="114"/>
  <c r="AU60" i="114"/>
  <c r="AX60" i="114"/>
  <c r="R59" i="114"/>
  <c r="U59" i="114"/>
  <c r="AZ193" i="60" l="1"/>
  <c r="BD193" i="60"/>
  <c r="BB193" i="60"/>
  <c r="AX193" i="60"/>
  <c r="BC193" i="60"/>
  <c r="BE193" i="60"/>
  <c r="AW193" i="60"/>
  <c r="AV193" i="60"/>
  <c r="BF193" i="60"/>
  <c r="U193" i="60" s="1"/>
  <c r="AY193" i="60"/>
  <c r="AU193" i="60"/>
  <c r="BA193" i="60"/>
  <c r="AL194" i="60"/>
  <c r="BH194" i="60" s="1"/>
  <c r="AK194" i="60"/>
  <c r="BG194" i="60" s="1"/>
  <c r="A194" i="60"/>
  <c r="AJ194" i="60"/>
  <c r="V195" i="60"/>
  <c r="BV21" i="45"/>
  <c r="BU84" i="45"/>
  <c r="BV20" i="45"/>
  <c r="U190" i="27"/>
  <c r="T189" i="27"/>
  <c r="A189" i="27"/>
  <c r="AZ61" i="114"/>
  <c r="BC61" i="114"/>
  <c r="BA61" i="114"/>
  <c r="BD61" i="114"/>
  <c r="AV61" i="114"/>
  <c r="AS61" i="114"/>
  <c r="AB60" i="114"/>
  <c r="Y60" i="114"/>
  <c r="BL61" i="114"/>
  <c r="BM61" i="114"/>
  <c r="BE63" i="114"/>
  <c r="BF62" i="114"/>
  <c r="BH62" i="114"/>
  <c r="BI62" i="114"/>
  <c r="BJ62" i="114"/>
  <c r="BG62" i="114"/>
  <c r="W60" i="114"/>
  <c r="T60" i="114"/>
  <c r="AY61" i="114"/>
  <c r="BB61" i="114"/>
  <c r="U60" i="114"/>
  <c r="R60" i="114"/>
  <c r="Z60" i="114"/>
  <c r="AC60" i="114"/>
  <c r="O61" i="114"/>
  <c r="P61" i="114"/>
  <c r="D61" i="114"/>
  <c r="E61" i="114"/>
  <c r="C62" i="114"/>
  <c r="F61" i="114"/>
  <c r="G61" i="114"/>
  <c r="H61" i="114"/>
  <c r="I61" i="114"/>
  <c r="J61" i="114"/>
  <c r="K61" i="114"/>
  <c r="L61" i="114"/>
  <c r="M61" i="114"/>
  <c r="N61" i="114"/>
  <c r="V60" i="114"/>
  <c r="S60" i="114"/>
  <c r="AP62" i="114"/>
  <c r="AQ62" i="114"/>
  <c r="AF62" i="114"/>
  <c r="AM62" i="114"/>
  <c r="AG62" i="114"/>
  <c r="AH62" i="114"/>
  <c r="AI62" i="114"/>
  <c r="AJ62" i="114"/>
  <c r="AK62" i="114"/>
  <c r="AD63" i="114"/>
  <c r="AE63" i="114" s="1"/>
  <c r="AO62" i="114"/>
  <c r="AN62" i="114"/>
  <c r="AL62" i="114"/>
  <c r="BN61" i="114"/>
  <c r="BO61" i="114"/>
  <c r="X60" i="114" a="1"/>
  <c r="X60" i="114" s="1"/>
  <c r="AA60" i="114"/>
  <c r="AX61" i="114"/>
  <c r="AU61" i="114"/>
  <c r="AW194" i="60" l="1"/>
  <c r="AX194" i="60"/>
  <c r="BC194" i="60"/>
  <c r="BF194" i="60"/>
  <c r="U194" i="60" s="1"/>
  <c r="BE194" i="60"/>
  <c r="AZ194" i="60"/>
  <c r="AY194" i="60"/>
  <c r="BD194" i="60"/>
  <c r="AV194" i="60"/>
  <c r="BB194" i="60"/>
  <c r="AU194" i="60"/>
  <c r="BA194" i="60"/>
  <c r="AL195" i="60"/>
  <c r="BH195" i="60" s="1"/>
  <c r="AK195" i="60"/>
  <c r="BG195" i="60" s="1"/>
  <c r="A195" i="60"/>
  <c r="V196" i="60"/>
  <c r="AJ195" i="60"/>
  <c r="BW21" i="45"/>
  <c r="BV84" i="45"/>
  <c r="BW20" i="45"/>
  <c r="T190" i="27"/>
  <c r="A190" i="27"/>
  <c r="U191" i="27"/>
  <c r="BM62" i="114"/>
  <c r="BL62" i="114"/>
  <c r="BF63" i="114"/>
  <c r="BE64" i="114"/>
  <c r="BG63" i="114"/>
  <c r="BH63" i="114"/>
  <c r="BJ63" i="114"/>
  <c r="BI63" i="114"/>
  <c r="Y61" i="114"/>
  <c r="AB61" i="114"/>
  <c r="N62" i="114"/>
  <c r="O62" i="114"/>
  <c r="P62" i="114"/>
  <c r="D62" i="114"/>
  <c r="F62" i="114"/>
  <c r="E62" i="114"/>
  <c r="G62" i="114"/>
  <c r="H62" i="114"/>
  <c r="I62" i="114"/>
  <c r="J62" i="114"/>
  <c r="C63" i="114"/>
  <c r="K62" i="114"/>
  <c r="L62" i="114"/>
  <c r="M62" i="114"/>
  <c r="BN62" i="114"/>
  <c r="BO62" i="114"/>
  <c r="U61" i="114"/>
  <c r="R61" i="114"/>
  <c r="T61" i="114"/>
  <c r="W61" i="114"/>
  <c r="AZ62" i="114"/>
  <c r="BC62" i="114"/>
  <c r="AX62" i="114"/>
  <c r="AU62" i="114"/>
  <c r="AA61" i="114"/>
  <c r="X61" i="114" a="1"/>
  <c r="X61" i="114" s="1"/>
  <c r="AK63" i="114"/>
  <c r="AL63" i="114"/>
  <c r="AO63" i="114"/>
  <c r="AP63" i="114"/>
  <c r="AQ63" i="114"/>
  <c r="AG63" i="114"/>
  <c r="AD64" i="114"/>
  <c r="AE64" i="114" s="1"/>
  <c r="AI63" i="114"/>
  <c r="AF63" i="114"/>
  <c r="AH63" i="114"/>
  <c r="AJ63" i="114"/>
  <c r="AM63" i="114"/>
  <c r="AN63" i="114"/>
  <c r="AY62" i="114"/>
  <c r="BB62" i="114"/>
  <c r="AC61" i="114"/>
  <c r="Z61" i="114"/>
  <c r="AS62" i="114"/>
  <c r="AV62" i="114"/>
  <c r="V61" i="114"/>
  <c r="S61" i="114"/>
  <c r="BA62" i="114"/>
  <c r="BD62" i="114"/>
  <c r="AL196" i="60" l="1"/>
  <c r="BH196" i="60" s="1"/>
  <c r="AK196" i="60"/>
  <c r="BG196" i="60" s="1"/>
  <c r="V197" i="60"/>
  <c r="AJ196" i="60"/>
  <c r="A196" i="60"/>
  <c r="AY195" i="60"/>
  <c r="BA195" i="60"/>
  <c r="BF195" i="60"/>
  <c r="U195" i="60" s="1"/>
  <c r="AW195" i="60"/>
  <c r="AV195" i="60"/>
  <c r="BC195" i="60"/>
  <c r="AZ195" i="60"/>
  <c r="BD195" i="60"/>
  <c r="AU195" i="60"/>
  <c r="BB195" i="60"/>
  <c r="BE195" i="60"/>
  <c r="AX195" i="60"/>
  <c r="BX21" i="45"/>
  <c r="BW84" i="45"/>
  <c r="BX20" i="45"/>
  <c r="T191" i="27"/>
  <c r="A191" i="27"/>
  <c r="U192" i="27"/>
  <c r="S62" i="114"/>
  <c r="V62" i="114"/>
  <c r="Z62" i="114"/>
  <c r="AC62" i="114"/>
  <c r="BC63" i="114"/>
  <c r="AZ63" i="114"/>
  <c r="BN63" i="114"/>
  <c r="BO63" i="114"/>
  <c r="U62" i="114"/>
  <c r="R62" i="114"/>
  <c r="AX63" i="114"/>
  <c r="AU63" i="114"/>
  <c r="BM63" i="114"/>
  <c r="BL63" i="114"/>
  <c r="AH64" i="114"/>
  <c r="AI64" i="114"/>
  <c r="AJ64" i="114"/>
  <c r="AK64" i="114"/>
  <c r="AL64" i="114"/>
  <c r="AM64" i="114"/>
  <c r="AN64" i="114"/>
  <c r="AO64" i="114"/>
  <c r="AD65" i="114"/>
  <c r="AE65" i="114" s="1"/>
  <c r="AF64" i="114"/>
  <c r="AG64" i="114"/>
  <c r="AP64" i="114"/>
  <c r="AQ64" i="114"/>
  <c r="W62" i="114"/>
  <c r="T62" i="114"/>
  <c r="BJ64" i="114"/>
  <c r="BE65" i="114"/>
  <c r="BF64" i="114"/>
  <c r="BH64" i="114"/>
  <c r="BI64" i="114"/>
  <c r="BG64" i="114"/>
  <c r="BD63" i="114"/>
  <c r="BA63" i="114"/>
  <c r="BB63" i="114"/>
  <c r="AY63" i="114"/>
  <c r="AV63" i="114"/>
  <c r="AS63" i="114"/>
  <c r="Y62" i="114"/>
  <c r="AB62" i="114"/>
  <c r="AA62" i="114"/>
  <c r="X62" i="114" a="1"/>
  <c r="X62" i="114" s="1"/>
  <c r="K63" i="114"/>
  <c r="L63" i="114"/>
  <c r="M63" i="114"/>
  <c r="N63" i="114"/>
  <c r="O63" i="114"/>
  <c r="P63" i="114"/>
  <c r="D63" i="114"/>
  <c r="E63" i="114"/>
  <c r="F63" i="114"/>
  <c r="G63" i="114"/>
  <c r="H63" i="114"/>
  <c r="I63" i="114"/>
  <c r="C64" i="114"/>
  <c r="J63" i="114"/>
  <c r="BF196" i="60" l="1"/>
  <c r="U196" i="60" s="1"/>
  <c r="BA196" i="60"/>
  <c r="AU196" i="60"/>
  <c r="AY196" i="60"/>
  <c r="AX196" i="60"/>
  <c r="BB196" i="60"/>
  <c r="BD196" i="60"/>
  <c r="BC196" i="60"/>
  <c r="BE196" i="60"/>
  <c r="AZ196" i="60"/>
  <c r="AW196" i="60"/>
  <c r="AV196" i="60"/>
  <c r="AJ197" i="60"/>
  <c r="AK197" i="60"/>
  <c r="BG197" i="60" s="1"/>
  <c r="A197" i="60"/>
  <c r="V198" i="60"/>
  <c r="AL197" i="60"/>
  <c r="BH197" i="60" s="1"/>
  <c r="BY21" i="45"/>
  <c r="BX84" i="45"/>
  <c r="BY20" i="45"/>
  <c r="U193" i="27"/>
  <c r="T192" i="27"/>
  <c r="A192" i="27"/>
  <c r="AZ64" i="114"/>
  <c r="BC64" i="114"/>
  <c r="AY64" i="114"/>
  <c r="BB64" i="114"/>
  <c r="BL64" i="114"/>
  <c r="BM64" i="114"/>
  <c r="AB63" i="114"/>
  <c r="Y63" i="114"/>
  <c r="BD64" i="114"/>
  <c r="BA64" i="114"/>
  <c r="I64" i="114"/>
  <c r="J64" i="114"/>
  <c r="K64" i="114"/>
  <c r="L64" i="114"/>
  <c r="M64" i="114"/>
  <c r="N64" i="114"/>
  <c r="O64" i="114"/>
  <c r="P64" i="114"/>
  <c r="E64" i="114"/>
  <c r="F64" i="114"/>
  <c r="G64" i="114"/>
  <c r="H64" i="114"/>
  <c r="C65" i="114"/>
  <c r="D64" i="114"/>
  <c r="X63" i="114" a="1"/>
  <c r="X63" i="114" s="1"/>
  <c r="AA63" i="114"/>
  <c r="U63" i="114"/>
  <c r="R63" i="114"/>
  <c r="BG65" i="114"/>
  <c r="BH65" i="114"/>
  <c r="BI65" i="114"/>
  <c r="BJ65" i="114"/>
  <c r="BF65" i="114"/>
  <c r="BE66" i="114"/>
  <c r="AS64" i="114"/>
  <c r="AV64" i="114"/>
  <c r="BO64" i="114"/>
  <c r="BN64" i="114"/>
  <c r="T63" i="114"/>
  <c r="W63" i="114"/>
  <c r="AF65" i="114"/>
  <c r="AH65" i="114"/>
  <c r="AJ65" i="114"/>
  <c r="AK65" i="114"/>
  <c r="AM65" i="114"/>
  <c r="AP65" i="114"/>
  <c r="AQ65" i="114"/>
  <c r="AI65" i="114"/>
  <c r="AL65" i="114"/>
  <c r="AN65" i="114"/>
  <c r="AO65" i="114"/>
  <c r="AD66" i="114"/>
  <c r="AE66" i="114" s="1"/>
  <c r="AG65" i="114"/>
  <c r="AX64" i="114"/>
  <c r="AU64" i="114"/>
  <c r="V63" i="114"/>
  <c r="S63" i="114"/>
  <c r="Z63" i="114"/>
  <c r="AC63" i="114"/>
  <c r="AL198" i="60" l="1"/>
  <c r="BH198" i="60" s="1"/>
  <c r="AK198" i="60"/>
  <c r="BG198" i="60" s="1"/>
  <c r="A198" i="60"/>
  <c r="V199" i="60"/>
  <c r="AJ198" i="60"/>
  <c r="AW197" i="60"/>
  <c r="AY197" i="60"/>
  <c r="AU197" i="60"/>
  <c r="BF197" i="60"/>
  <c r="U197" i="60" s="1"/>
  <c r="BB197" i="60"/>
  <c r="AZ197" i="60"/>
  <c r="BD197" i="60"/>
  <c r="BA197" i="60"/>
  <c r="BE197" i="60"/>
  <c r="AX197" i="60"/>
  <c r="BC197" i="60"/>
  <c r="AV197" i="60"/>
  <c r="BZ21" i="45"/>
  <c r="BY84" i="45"/>
  <c r="BZ20" i="45"/>
  <c r="U194" i="27"/>
  <c r="T193" i="27"/>
  <c r="A193" i="27"/>
  <c r="S64" i="114"/>
  <c r="V64" i="114"/>
  <c r="BL65" i="114"/>
  <c r="BM65" i="114"/>
  <c r="Y64" i="114"/>
  <c r="AB64" i="114"/>
  <c r="AU65" i="114"/>
  <c r="AX65" i="114"/>
  <c r="U64" i="114"/>
  <c r="R64" i="114"/>
  <c r="BN65" i="114"/>
  <c r="BO65" i="114"/>
  <c r="AZ65" i="114"/>
  <c r="BC65" i="114"/>
  <c r="BA65" i="114"/>
  <c r="BD65" i="114"/>
  <c r="AN66" i="114"/>
  <c r="AH66" i="114"/>
  <c r="AI66" i="114"/>
  <c r="AK66" i="114"/>
  <c r="AJ66" i="114"/>
  <c r="AM66" i="114"/>
  <c r="AL66" i="114"/>
  <c r="AO66" i="114"/>
  <c r="AQ66" i="114"/>
  <c r="AP66" i="114"/>
  <c r="AG66" i="114"/>
  <c r="AD67" i="114"/>
  <c r="AE67" i="114" s="1"/>
  <c r="AF66" i="114"/>
  <c r="AC64" i="114"/>
  <c r="Z64" i="114"/>
  <c r="BJ66" i="114"/>
  <c r="BG66" i="114"/>
  <c r="BH66" i="114"/>
  <c r="BI66" i="114"/>
  <c r="BE67" i="114"/>
  <c r="BF66" i="114"/>
  <c r="D65" i="114"/>
  <c r="E65" i="114"/>
  <c r="F65" i="114"/>
  <c r="O65" i="114"/>
  <c r="G65" i="114"/>
  <c r="H65" i="114"/>
  <c r="I65" i="114"/>
  <c r="J65" i="114"/>
  <c r="K65" i="114"/>
  <c r="L65" i="114"/>
  <c r="M65" i="114"/>
  <c r="N65" i="114"/>
  <c r="P65" i="114"/>
  <c r="C66" i="114"/>
  <c r="AY65" i="114"/>
  <c r="BB65" i="114"/>
  <c r="T64" i="114"/>
  <c r="W64" i="114"/>
  <c r="AS65" i="114"/>
  <c r="AV65" i="114"/>
  <c r="X64" i="114" a="1"/>
  <c r="X64" i="114" s="1"/>
  <c r="AA64" i="114"/>
  <c r="AK199" i="60" l="1"/>
  <c r="BG199" i="60" s="1"/>
  <c r="AJ199" i="60"/>
  <c r="A199" i="60"/>
  <c r="AL199" i="60"/>
  <c r="BH199" i="60" s="1"/>
  <c r="V200" i="60"/>
  <c r="AX198" i="60"/>
  <c r="AU198" i="60"/>
  <c r="BD198" i="60"/>
  <c r="BA198" i="60"/>
  <c r="BE198" i="60"/>
  <c r="AY198" i="60"/>
  <c r="AZ198" i="60"/>
  <c r="AW198" i="60"/>
  <c r="AV198" i="60"/>
  <c r="BB198" i="60"/>
  <c r="BF198" i="60"/>
  <c r="U198" i="60" s="1"/>
  <c r="BC198" i="60"/>
  <c r="CA21" i="45"/>
  <c r="BZ84" i="45"/>
  <c r="CA20" i="45"/>
  <c r="T194" i="27"/>
  <c r="A194" i="27"/>
  <c r="U195" i="27"/>
  <c r="AY66" i="114"/>
  <c r="BB66" i="114"/>
  <c r="R65" i="114"/>
  <c r="U65" i="114"/>
  <c r="BN66" i="114"/>
  <c r="BO66" i="114"/>
  <c r="AX66" i="114"/>
  <c r="AU66" i="114"/>
  <c r="BE68" i="114"/>
  <c r="BF67" i="114"/>
  <c r="BG67" i="114"/>
  <c r="BI67" i="114"/>
  <c r="BH67" i="114"/>
  <c r="BJ67" i="114"/>
  <c r="BL66" i="114"/>
  <c r="BM66" i="114"/>
  <c r="AK67" i="114"/>
  <c r="AL67" i="114"/>
  <c r="AD68" i="114"/>
  <c r="AE68" i="114" s="1"/>
  <c r="AO67" i="114"/>
  <c r="AP67" i="114"/>
  <c r="AQ67" i="114"/>
  <c r="AF67" i="114"/>
  <c r="AG67" i="114"/>
  <c r="AI67" i="114"/>
  <c r="AH67" i="114"/>
  <c r="AJ67" i="114"/>
  <c r="AM67" i="114"/>
  <c r="AN67" i="114"/>
  <c r="BA66" i="114"/>
  <c r="BD66" i="114"/>
  <c r="E66" i="114"/>
  <c r="F66" i="114"/>
  <c r="H66" i="114"/>
  <c r="I66" i="114"/>
  <c r="J66" i="114"/>
  <c r="L66" i="114"/>
  <c r="N66" i="114"/>
  <c r="D66" i="114"/>
  <c r="C67" i="114"/>
  <c r="G66" i="114"/>
  <c r="K66" i="114"/>
  <c r="M66" i="114"/>
  <c r="O66" i="114"/>
  <c r="P66" i="114"/>
  <c r="V65" i="114"/>
  <c r="S65" i="114"/>
  <c r="AZ66" i="114"/>
  <c r="BC66" i="114"/>
  <c r="AA65" i="114"/>
  <c r="X65" i="114" a="1"/>
  <c r="X65" i="114" s="1"/>
  <c r="AS66" i="114"/>
  <c r="AV66" i="114"/>
  <c r="AB65" i="114"/>
  <c r="Y65" i="114"/>
  <c r="AC65" i="114"/>
  <c r="Z65" i="114"/>
  <c r="T65" i="114"/>
  <c r="W65" i="114"/>
  <c r="A200" i="60" l="1"/>
  <c r="V201" i="60"/>
  <c r="AJ200" i="60"/>
  <c r="AK200" i="60"/>
  <c r="BG200" i="60" s="1"/>
  <c r="AL200" i="60"/>
  <c r="BH200" i="60" s="1"/>
  <c r="AW199" i="60"/>
  <c r="AV199" i="60"/>
  <c r="AX199" i="60"/>
  <c r="BF199" i="60"/>
  <c r="U199" i="60" s="1"/>
  <c r="BE199" i="60"/>
  <c r="BA199" i="60"/>
  <c r="AY199" i="60"/>
  <c r="BC199" i="60"/>
  <c r="BB199" i="60"/>
  <c r="BD199" i="60"/>
  <c r="AU199" i="60"/>
  <c r="AZ199" i="60"/>
  <c r="CB21" i="45"/>
  <c r="CA84" i="45"/>
  <c r="CB20" i="45"/>
  <c r="T195" i="27"/>
  <c r="A195" i="27"/>
  <c r="U196" i="27"/>
  <c r="S66" i="114"/>
  <c r="V66" i="114"/>
  <c r="BM67" i="114"/>
  <c r="BL67" i="114"/>
  <c r="AZ67" i="114"/>
  <c r="BC67" i="114"/>
  <c r="BF68" i="114"/>
  <c r="BH68" i="114"/>
  <c r="BI68" i="114"/>
  <c r="BG68" i="114"/>
  <c r="BE69" i="114"/>
  <c r="BJ68" i="114"/>
  <c r="AY67" i="114"/>
  <c r="BB67" i="114"/>
  <c r="AU67" i="114"/>
  <c r="AX67" i="114"/>
  <c r="Z66" i="114"/>
  <c r="AC66" i="114"/>
  <c r="AQ68" i="114"/>
  <c r="AD69" i="114"/>
  <c r="AE69" i="114" s="1"/>
  <c r="AF68" i="114"/>
  <c r="AG68" i="114"/>
  <c r="AI68" i="114"/>
  <c r="AL68" i="114"/>
  <c r="AM68" i="114"/>
  <c r="AO68" i="114"/>
  <c r="AP68" i="114"/>
  <c r="AJ68" i="114"/>
  <c r="AK68" i="114"/>
  <c r="AH68" i="114"/>
  <c r="AN68" i="114"/>
  <c r="U66" i="114"/>
  <c r="R66" i="114"/>
  <c r="T66" i="114"/>
  <c r="W66" i="114"/>
  <c r="Y66" i="114"/>
  <c r="AB66" i="114"/>
  <c r="AV67" i="114"/>
  <c r="AS67" i="114"/>
  <c r="X66" i="114" a="1"/>
  <c r="X66" i="114" s="1"/>
  <c r="AA66" i="114"/>
  <c r="BN67" i="114"/>
  <c r="BO67" i="114"/>
  <c r="O67" i="114"/>
  <c r="C68" i="114"/>
  <c r="P67" i="114"/>
  <c r="D67" i="114"/>
  <c r="F67" i="114"/>
  <c r="G67" i="114"/>
  <c r="J67" i="114"/>
  <c r="L67" i="114"/>
  <c r="E67" i="114"/>
  <c r="H67" i="114"/>
  <c r="I67" i="114"/>
  <c r="K67" i="114"/>
  <c r="M67" i="114"/>
  <c r="N67" i="114"/>
  <c r="BA67" i="114"/>
  <c r="BD67" i="114"/>
  <c r="AU200" i="60" l="1"/>
  <c r="BA200" i="60"/>
  <c r="AY200" i="60"/>
  <c r="BF200" i="60"/>
  <c r="U200" i="60" s="1"/>
  <c r="AZ200" i="60"/>
  <c r="BE200" i="60"/>
  <c r="AV200" i="60"/>
  <c r="BB200" i="60"/>
  <c r="BD200" i="60"/>
  <c r="AX200" i="60"/>
  <c r="AW200" i="60"/>
  <c r="BC200" i="60"/>
  <c r="V202" i="60"/>
  <c r="AJ201" i="60"/>
  <c r="AL201" i="60"/>
  <c r="BH201" i="60" s="1"/>
  <c r="AK201" i="60"/>
  <c r="BG201" i="60" s="1"/>
  <c r="A201" i="60"/>
  <c r="CB84" i="45"/>
  <c r="CC21" i="45"/>
  <c r="CC20" i="45"/>
  <c r="A196" i="27"/>
  <c r="T196" i="27"/>
  <c r="U197" i="27"/>
  <c r="W67" i="114"/>
  <c r="T67" i="114"/>
  <c r="Y67" i="114"/>
  <c r="AB67" i="114"/>
  <c r="BG69" i="114"/>
  <c r="BF69" i="114"/>
  <c r="BH69" i="114"/>
  <c r="BI69" i="114"/>
  <c r="BJ69" i="114"/>
  <c r="BE70" i="114"/>
  <c r="BL68" i="114"/>
  <c r="BM68" i="114"/>
  <c r="BN68" i="114"/>
  <c r="BO68" i="114"/>
  <c r="BD68" i="114"/>
  <c r="BA68" i="114"/>
  <c r="N68" i="114"/>
  <c r="O68" i="114"/>
  <c r="P68" i="114"/>
  <c r="C69" i="114"/>
  <c r="F68" i="114"/>
  <c r="E68" i="114"/>
  <c r="D68" i="114"/>
  <c r="H68" i="114"/>
  <c r="G68" i="114"/>
  <c r="I68" i="114"/>
  <c r="J68" i="114"/>
  <c r="K68" i="114"/>
  <c r="L68" i="114"/>
  <c r="M68" i="114"/>
  <c r="AU68" i="114"/>
  <c r="AX68" i="114"/>
  <c r="AA67" i="114"/>
  <c r="X67" i="114" a="1"/>
  <c r="X67" i="114" s="1"/>
  <c r="Z67" i="114"/>
  <c r="AC67" i="114"/>
  <c r="AZ68" i="114"/>
  <c r="BC68" i="114"/>
  <c r="BB68" i="114"/>
  <c r="AY68" i="114"/>
  <c r="AG69" i="114"/>
  <c r="AL69" i="114"/>
  <c r="AJ69" i="114"/>
  <c r="AK69" i="114"/>
  <c r="AM69" i="114"/>
  <c r="AN69" i="114"/>
  <c r="AP69" i="114"/>
  <c r="AD70" i="114"/>
  <c r="AE70" i="114" s="1"/>
  <c r="AI69" i="114"/>
  <c r="AF69" i="114"/>
  <c r="AO69" i="114"/>
  <c r="AQ69" i="114"/>
  <c r="AH69" i="114"/>
  <c r="V67" i="114"/>
  <c r="S67" i="114"/>
  <c r="R67" i="114"/>
  <c r="U67" i="114"/>
  <c r="AS68" i="114"/>
  <c r="AV68" i="114"/>
  <c r="BA201" i="60" l="1"/>
  <c r="BC201" i="60"/>
  <c r="AW201" i="60"/>
  <c r="AY201" i="60"/>
  <c r="AX201" i="60"/>
  <c r="AU201" i="60"/>
  <c r="BD201" i="60"/>
  <c r="BF201" i="60"/>
  <c r="U201" i="60" s="1"/>
  <c r="BE201" i="60"/>
  <c r="AV201" i="60"/>
  <c r="AZ201" i="60"/>
  <c r="BB201" i="60"/>
  <c r="AK202" i="60"/>
  <c r="BG202" i="60" s="1"/>
  <c r="AJ202" i="60"/>
  <c r="A202" i="60"/>
  <c r="V203" i="60"/>
  <c r="AL202" i="60"/>
  <c r="BH202" i="60" s="1"/>
  <c r="CC84" i="45"/>
  <c r="CD20" i="45"/>
  <c r="CD21" i="45"/>
  <c r="U198" i="27"/>
  <c r="T197" i="27"/>
  <c r="A197" i="27"/>
  <c r="G69" i="114"/>
  <c r="H69" i="114"/>
  <c r="I69" i="114"/>
  <c r="J69" i="114"/>
  <c r="K69" i="114"/>
  <c r="L69" i="114"/>
  <c r="M69" i="114"/>
  <c r="N69" i="114"/>
  <c r="O69" i="114"/>
  <c r="P69" i="114"/>
  <c r="D69" i="114"/>
  <c r="C70" i="114"/>
  <c r="E69" i="114"/>
  <c r="F69" i="114"/>
  <c r="BF70" i="114"/>
  <c r="BE71" i="114"/>
  <c r="BJ70" i="114"/>
  <c r="BG70" i="114"/>
  <c r="BH70" i="114"/>
  <c r="BI70" i="114"/>
  <c r="Z68" i="114"/>
  <c r="AC68" i="114"/>
  <c r="AY69" i="114"/>
  <c r="BB69" i="114"/>
  <c r="AB68" i="114"/>
  <c r="Y68" i="114"/>
  <c r="BN69" i="114"/>
  <c r="BO69" i="114"/>
  <c r="BD69" i="114"/>
  <c r="BA69" i="114"/>
  <c r="AU69" i="114"/>
  <c r="AX69" i="114"/>
  <c r="S68" i="114"/>
  <c r="V68" i="114"/>
  <c r="W68" i="114"/>
  <c r="T68" i="114"/>
  <c r="X68" i="114" a="1"/>
  <c r="X68" i="114" s="1"/>
  <c r="AA68" i="114"/>
  <c r="BL69" i="114"/>
  <c r="BM69" i="114"/>
  <c r="AV69" i="114"/>
  <c r="AS69" i="114"/>
  <c r="AH70" i="114"/>
  <c r="AI70" i="114"/>
  <c r="AK70" i="114"/>
  <c r="AL70" i="114"/>
  <c r="AO70" i="114"/>
  <c r="AD71" i="114"/>
  <c r="AE71" i="114" s="1"/>
  <c r="AM70" i="114"/>
  <c r="AF70" i="114"/>
  <c r="AP70" i="114"/>
  <c r="AQ70" i="114"/>
  <c r="AG70" i="114"/>
  <c r="AJ70" i="114"/>
  <c r="AN70" i="114"/>
  <c r="AZ69" i="114"/>
  <c r="BC69" i="114"/>
  <c r="U68" i="114"/>
  <c r="R68" i="114"/>
  <c r="AX202" i="60" l="1"/>
  <c r="AU202" i="60"/>
  <c r="BE202" i="60"/>
  <c r="BF202" i="60"/>
  <c r="U202" i="60" s="1"/>
  <c r="BB202" i="60"/>
  <c r="AZ202" i="60"/>
  <c r="BA202" i="60"/>
  <c r="AW202" i="60"/>
  <c r="BC202" i="60"/>
  <c r="BD202" i="60"/>
  <c r="AV202" i="60"/>
  <c r="AY202" i="60"/>
  <c r="V204" i="60"/>
  <c r="A203" i="60"/>
  <c r="AJ203" i="60"/>
  <c r="AL203" i="60"/>
  <c r="BH203" i="60" s="1"/>
  <c r="AK203" i="60"/>
  <c r="BG203" i="60" s="1"/>
  <c r="CE20" i="45"/>
  <c r="CD84" i="45"/>
  <c r="CE21" i="45"/>
  <c r="U199" i="27"/>
  <c r="T198" i="27"/>
  <c r="A198" i="27"/>
  <c r="BN70" i="114"/>
  <c r="BO70" i="114"/>
  <c r="BE72" i="114"/>
  <c r="BH71" i="114"/>
  <c r="BI71" i="114"/>
  <c r="BJ71" i="114"/>
  <c r="BF71" i="114"/>
  <c r="BG71" i="114"/>
  <c r="C71" i="114"/>
  <c r="F70" i="114"/>
  <c r="G70" i="114"/>
  <c r="H70" i="114"/>
  <c r="I70" i="114"/>
  <c r="J70" i="114"/>
  <c r="K70" i="114"/>
  <c r="L70" i="114"/>
  <c r="M70" i="114"/>
  <c r="N70" i="114"/>
  <c r="O70" i="114"/>
  <c r="P70" i="114"/>
  <c r="D70" i="114"/>
  <c r="E70" i="114"/>
  <c r="Z69" i="114"/>
  <c r="AC69" i="114"/>
  <c r="T69" i="114"/>
  <c r="W69" i="114"/>
  <c r="AZ70" i="114"/>
  <c r="BC70" i="114"/>
  <c r="BA70" i="114"/>
  <c r="BD70" i="114"/>
  <c r="Y69" i="114"/>
  <c r="AB69" i="114"/>
  <c r="U69" i="114"/>
  <c r="R69" i="114"/>
  <c r="AV70" i="114"/>
  <c r="AS70" i="114"/>
  <c r="AY70" i="114"/>
  <c r="BB70" i="114"/>
  <c r="S69" i="114"/>
  <c r="V69" i="114"/>
  <c r="BL70" i="114"/>
  <c r="BM70" i="114"/>
  <c r="AU70" i="114"/>
  <c r="AX70" i="114"/>
  <c r="AM71" i="114"/>
  <c r="AN71" i="114"/>
  <c r="AQ71" i="114"/>
  <c r="AF71" i="114"/>
  <c r="AI71" i="114"/>
  <c r="AD72" i="114"/>
  <c r="AE72" i="114" s="1"/>
  <c r="AK71" i="114"/>
  <c r="AL71" i="114"/>
  <c r="AG71" i="114"/>
  <c r="AH71" i="114"/>
  <c r="AJ71" i="114"/>
  <c r="AP71" i="114"/>
  <c r="AO71" i="114"/>
  <c r="X69" i="114" a="1"/>
  <c r="X69" i="114" s="1"/>
  <c r="AA69" i="114"/>
  <c r="AJ204" i="60" l="1"/>
  <c r="AK204" i="60"/>
  <c r="BG204" i="60" s="1"/>
  <c r="A204" i="60"/>
  <c r="AL204" i="60"/>
  <c r="BH204" i="60" s="1"/>
  <c r="V205" i="60"/>
  <c r="BA203" i="60"/>
  <c r="AU203" i="60"/>
  <c r="BC203" i="60"/>
  <c r="BD203" i="60"/>
  <c r="AX203" i="60"/>
  <c r="AW203" i="60"/>
  <c r="BB203" i="60"/>
  <c r="BF203" i="60"/>
  <c r="U203" i="60" s="1"/>
  <c r="AZ203" i="60"/>
  <c r="AY203" i="60"/>
  <c r="AV203" i="60"/>
  <c r="BE203" i="60"/>
  <c r="CE84" i="45"/>
  <c r="CF20" i="45"/>
  <c r="CF21" i="45"/>
  <c r="T199" i="27"/>
  <c r="A199" i="27"/>
  <c r="U200" i="27"/>
  <c r="BD71" i="114"/>
  <c r="BA71" i="114"/>
  <c r="X70" i="114" a="1"/>
  <c r="X70" i="114" s="1"/>
  <c r="AA70" i="114"/>
  <c r="BB71" i="114"/>
  <c r="AY71" i="114"/>
  <c r="Z70" i="114"/>
  <c r="AC70" i="114"/>
  <c r="AZ71" i="114"/>
  <c r="BC71" i="114"/>
  <c r="K71" i="114"/>
  <c r="L71" i="114"/>
  <c r="M71" i="114"/>
  <c r="N71" i="114"/>
  <c r="O71" i="114"/>
  <c r="P71" i="114"/>
  <c r="D71" i="114"/>
  <c r="E71" i="114"/>
  <c r="C72" i="114"/>
  <c r="F71" i="114"/>
  <c r="G71" i="114"/>
  <c r="H71" i="114"/>
  <c r="I71" i="114"/>
  <c r="J71" i="114"/>
  <c r="AS71" i="114"/>
  <c r="AV71" i="114"/>
  <c r="BL71" i="114"/>
  <c r="BM71" i="114"/>
  <c r="Y70" i="114"/>
  <c r="AB70" i="114"/>
  <c r="AU71" i="114"/>
  <c r="AX71" i="114"/>
  <c r="BN71" i="114"/>
  <c r="BO71" i="114"/>
  <c r="BG72" i="114"/>
  <c r="BH72" i="114"/>
  <c r="BJ72" i="114"/>
  <c r="BE73" i="114"/>
  <c r="BF72" i="114"/>
  <c r="BI72" i="114"/>
  <c r="T70" i="114"/>
  <c r="W70" i="114"/>
  <c r="R70" i="114"/>
  <c r="U70" i="114"/>
  <c r="S70" i="114"/>
  <c r="V70" i="114"/>
  <c r="AI72" i="114"/>
  <c r="AJ72" i="114"/>
  <c r="AM72" i="114"/>
  <c r="AN72" i="114"/>
  <c r="AP72" i="114"/>
  <c r="AO72" i="114"/>
  <c r="AQ72" i="114"/>
  <c r="AD73" i="114"/>
  <c r="AE73" i="114" s="1"/>
  <c r="AF72" i="114"/>
  <c r="AK72" i="114"/>
  <c r="AL72" i="114"/>
  <c r="AG72" i="114"/>
  <c r="AH72" i="114"/>
  <c r="A205" i="60" l="1"/>
  <c r="V206" i="60"/>
  <c r="AK205" i="60"/>
  <c r="BG205" i="60" s="1"/>
  <c r="AJ205" i="60"/>
  <c r="AL205" i="60"/>
  <c r="BH205" i="60" s="1"/>
  <c r="AW204" i="60"/>
  <c r="AY204" i="60"/>
  <c r="BA204" i="60"/>
  <c r="AZ204" i="60"/>
  <c r="BC204" i="60"/>
  <c r="BB204" i="60"/>
  <c r="AU204" i="60"/>
  <c r="AV204" i="60"/>
  <c r="AX204" i="60"/>
  <c r="BD204" i="60"/>
  <c r="BE204" i="60"/>
  <c r="BF204" i="60"/>
  <c r="U204" i="60" s="1"/>
  <c r="CG20" i="45"/>
  <c r="CG21" i="45"/>
  <c r="CF84" i="45"/>
  <c r="T200" i="27"/>
  <c r="A200" i="27"/>
  <c r="U201" i="27"/>
  <c r="BC72" i="114"/>
  <c r="AZ72" i="114"/>
  <c r="BB72" i="114"/>
  <c r="AY72" i="114"/>
  <c r="U71" i="114"/>
  <c r="R71" i="114"/>
  <c r="BL72" i="114"/>
  <c r="BM72" i="114"/>
  <c r="Y71" i="114"/>
  <c r="AB71" i="114"/>
  <c r="J72" i="114"/>
  <c r="K72" i="114"/>
  <c r="L72" i="114"/>
  <c r="M72" i="114"/>
  <c r="N72" i="114"/>
  <c r="O72" i="114"/>
  <c r="P72" i="114"/>
  <c r="D72" i="114"/>
  <c r="E72" i="114"/>
  <c r="C73" i="114"/>
  <c r="F72" i="114"/>
  <c r="G72" i="114"/>
  <c r="H72" i="114"/>
  <c r="I72" i="114"/>
  <c r="AS72" i="114"/>
  <c r="AV72" i="114"/>
  <c r="AI73" i="114"/>
  <c r="AJ73" i="114"/>
  <c r="AK73" i="114"/>
  <c r="AH73" i="114"/>
  <c r="AL73" i="114"/>
  <c r="AM73" i="114"/>
  <c r="AO73" i="114"/>
  <c r="AD74" i="114"/>
  <c r="AE74" i="114" s="1"/>
  <c r="AN73" i="114"/>
  <c r="AP73" i="114"/>
  <c r="AQ73" i="114"/>
  <c r="AF73" i="114"/>
  <c r="AG73" i="114"/>
  <c r="W71" i="114"/>
  <c r="T71" i="114"/>
  <c r="AU72" i="114"/>
  <c r="AX72" i="114"/>
  <c r="BI73" i="114"/>
  <c r="BJ73" i="114"/>
  <c r="BF73" i="114"/>
  <c r="BE74" i="114"/>
  <c r="BG73" i="114"/>
  <c r="BH73" i="114"/>
  <c r="Z71" i="114"/>
  <c r="AC71" i="114"/>
  <c r="V71" i="114"/>
  <c r="S71" i="114"/>
  <c r="BA72" i="114"/>
  <c r="BD72" i="114"/>
  <c r="BO72" i="114"/>
  <c r="BN72" i="114"/>
  <c r="X71" i="114" a="1"/>
  <c r="X71" i="114" s="1"/>
  <c r="AA71" i="114"/>
  <c r="AU205" i="60" l="1"/>
  <c r="BF205" i="60"/>
  <c r="U205" i="60" s="1"/>
  <c r="BC205" i="60"/>
  <c r="AX205" i="60"/>
  <c r="BD205" i="60"/>
  <c r="AV205" i="60"/>
  <c r="BB205" i="60"/>
  <c r="AY205" i="60"/>
  <c r="AZ205" i="60"/>
  <c r="AW205" i="60"/>
  <c r="BA205" i="60"/>
  <c r="BE205" i="60"/>
  <c r="AK206" i="60"/>
  <c r="BG206" i="60" s="1"/>
  <c r="AL206" i="60"/>
  <c r="BH206" i="60" s="1"/>
  <c r="V207" i="60"/>
  <c r="AJ206" i="60"/>
  <c r="A206" i="60"/>
  <c r="CH20" i="45"/>
  <c r="CH84" i="45" s="1"/>
  <c r="CH21" i="45"/>
  <c r="CG84" i="45"/>
  <c r="U202" i="27"/>
  <c r="T201" i="27"/>
  <c r="A201" i="27"/>
  <c r="AB72" i="114"/>
  <c r="Y72" i="114"/>
  <c r="AJ74" i="114"/>
  <c r="AK74" i="114"/>
  <c r="AO74" i="114"/>
  <c r="AP74" i="114"/>
  <c r="AD75" i="114"/>
  <c r="AE75" i="114" s="1"/>
  <c r="AF74" i="114"/>
  <c r="AH74" i="114"/>
  <c r="AI74" i="114"/>
  <c r="AM74" i="114"/>
  <c r="AL74" i="114"/>
  <c r="AQ74" i="114"/>
  <c r="AN74" i="114"/>
  <c r="AG74" i="114"/>
  <c r="BA73" i="114"/>
  <c r="BD73" i="114"/>
  <c r="BL73" i="114"/>
  <c r="BM73" i="114"/>
  <c r="R72" i="114"/>
  <c r="U72" i="114"/>
  <c r="BE75" i="114"/>
  <c r="BF74" i="114"/>
  <c r="BI74" i="114"/>
  <c r="BG74" i="114"/>
  <c r="BH74" i="114"/>
  <c r="BJ74" i="114"/>
  <c r="W72" i="114"/>
  <c r="T72" i="114"/>
  <c r="AY73" i="114"/>
  <c r="BB73" i="114"/>
  <c r="F73" i="114"/>
  <c r="G73" i="114"/>
  <c r="H73" i="114"/>
  <c r="I73" i="114"/>
  <c r="J73" i="114"/>
  <c r="K73" i="114"/>
  <c r="L73" i="114"/>
  <c r="M73" i="114"/>
  <c r="N73" i="114"/>
  <c r="O73" i="114"/>
  <c r="P73" i="114"/>
  <c r="D73" i="114"/>
  <c r="E73" i="114"/>
  <c r="C74" i="114"/>
  <c r="BN73" i="114"/>
  <c r="BO73" i="114"/>
  <c r="BC73" i="114"/>
  <c r="AZ73" i="114"/>
  <c r="V72" i="114"/>
  <c r="S72" i="114"/>
  <c r="AC72" i="114"/>
  <c r="Z72" i="114"/>
  <c r="X72" i="114" a="1"/>
  <c r="X72" i="114" s="1"/>
  <c r="AA72" i="114"/>
  <c r="AV73" i="114"/>
  <c r="AS73" i="114"/>
  <c r="AU73" i="114"/>
  <c r="AX73" i="114"/>
  <c r="AJ207" i="60" l="1"/>
  <c r="V208" i="60"/>
  <c r="AL207" i="60"/>
  <c r="BH207" i="60" s="1"/>
  <c r="AK207" i="60"/>
  <c r="BG207" i="60" s="1"/>
  <c r="A207" i="60"/>
  <c r="AU206" i="60"/>
  <c r="AY206" i="60"/>
  <c r="AW206" i="60"/>
  <c r="AV206" i="60"/>
  <c r="BC206" i="60"/>
  <c r="AX206" i="60"/>
  <c r="BE206" i="60"/>
  <c r="BA206" i="60"/>
  <c r="BD206" i="60"/>
  <c r="BF206" i="60"/>
  <c r="U206" i="60" s="1"/>
  <c r="BB206" i="60"/>
  <c r="AZ206" i="60"/>
  <c r="U203" i="27"/>
  <c r="T202" i="27"/>
  <c r="A202" i="27"/>
  <c r="AB73" i="114"/>
  <c r="Y73" i="114"/>
  <c r="S73" i="114"/>
  <c r="V73" i="114"/>
  <c r="AU74" i="114"/>
  <c r="AX74" i="114"/>
  <c r="AY74" i="114"/>
  <c r="BB74" i="114"/>
  <c r="T73" i="114"/>
  <c r="W73" i="114"/>
  <c r="AS74" i="114"/>
  <c r="AV74" i="114"/>
  <c r="AA73" i="114"/>
  <c r="X73" i="114" a="1"/>
  <c r="X73" i="114" s="1"/>
  <c r="AF75" i="114"/>
  <c r="AD76" i="114"/>
  <c r="AE76" i="114" s="1"/>
  <c r="AG75" i="114"/>
  <c r="AH75" i="114"/>
  <c r="AJ75" i="114"/>
  <c r="AM75" i="114"/>
  <c r="AN75" i="114"/>
  <c r="AP75" i="114"/>
  <c r="AQ75" i="114"/>
  <c r="AI75" i="114"/>
  <c r="AK75" i="114"/>
  <c r="AL75" i="114"/>
  <c r="AO75" i="114"/>
  <c r="D74" i="114"/>
  <c r="E74" i="114"/>
  <c r="C75" i="114"/>
  <c r="F74" i="114"/>
  <c r="G74" i="114"/>
  <c r="H74" i="114"/>
  <c r="I74" i="114"/>
  <c r="J74" i="114"/>
  <c r="K74" i="114"/>
  <c r="L74" i="114"/>
  <c r="M74" i="114"/>
  <c r="N74" i="114"/>
  <c r="O74" i="114"/>
  <c r="P74" i="114"/>
  <c r="BL74" i="114"/>
  <c r="BM74" i="114"/>
  <c r="BA74" i="114"/>
  <c r="BD74" i="114"/>
  <c r="AZ74" i="114"/>
  <c r="BC74" i="114"/>
  <c r="U73" i="114"/>
  <c r="R73" i="114"/>
  <c r="BN74" i="114"/>
  <c r="BO74" i="114"/>
  <c r="BG75" i="114"/>
  <c r="BH75" i="114"/>
  <c r="BE76" i="114"/>
  <c r="BI75" i="114"/>
  <c r="BF75" i="114"/>
  <c r="BJ75" i="114"/>
  <c r="Z73" i="114"/>
  <c r="AC73" i="114"/>
  <c r="V209" i="60" l="1"/>
  <c r="AK208" i="60"/>
  <c r="BG208" i="60" s="1"/>
  <c r="A208" i="60"/>
  <c r="AL208" i="60"/>
  <c r="BH208" i="60" s="1"/>
  <c r="AJ208" i="60"/>
  <c r="AZ207" i="60"/>
  <c r="BD207" i="60"/>
  <c r="BE207" i="60"/>
  <c r="BA207" i="60"/>
  <c r="AY207" i="60"/>
  <c r="AX207" i="60"/>
  <c r="AV207" i="60"/>
  <c r="BC207" i="60"/>
  <c r="BF207" i="60"/>
  <c r="U207" i="60" s="1"/>
  <c r="BB207" i="60"/>
  <c r="AU207" i="60"/>
  <c r="AW207" i="60"/>
  <c r="A203" i="27"/>
  <c r="U204" i="27"/>
  <c r="T203" i="27"/>
  <c r="BB75" i="114"/>
  <c r="AY75" i="114"/>
  <c r="AS75" i="114"/>
  <c r="AV75" i="114"/>
  <c r="W74" i="114"/>
  <c r="T74" i="114"/>
  <c r="S74" i="114"/>
  <c r="V74" i="114"/>
  <c r="J75" i="114"/>
  <c r="K75" i="114"/>
  <c r="L75" i="114"/>
  <c r="M75" i="114"/>
  <c r="O75" i="114"/>
  <c r="P75" i="114"/>
  <c r="D75" i="114"/>
  <c r="E75" i="114"/>
  <c r="C76" i="114"/>
  <c r="F75" i="114"/>
  <c r="G75" i="114"/>
  <c r="H75" i="114"/>
  <c r="I75" i="114"/>
  <c r="N75" i="114"/>
  <c r="AZ75" i="114"/>
  <c r="BC75" i="114"/>
  <c r="AA74" i="114"/>
  <c r="X74" i="114" a="1"/>
  <c r="X74" i="114" s="1"/>
  <c r="AD77" i="114"/>
  <c r="AE77" i="114" s="1"/>
  <c r="AF76" i="114"/>
  <c r="AG76" i="114"/>
  <c r="AH76" i="114"/>
  <c r="AJ76" i="114"/>
  <c r="AN76" i="114"/>
  <c r="AP76" i="114"/>
  <c r="AL76" i="114"/>
  <c r="AO76" i="114"/>
  <c r="AM76" i="114"/>
  <c r="AI76" i="114"/>
  <c r="AK76" i="114"/>
  <c r="AQ76" i="114"/>
  <c r="R74" i="114"/>
  <c r="U74" i="114"/>
  <c r="BD75" i="114"/>
  <c r="BA75" i="114"/>
  <c r="BN75" i="114"/>
  <c r="BO75" i="114"/>
  <c r="BL75" i="114"/>
  <c r="BM75" i="114"/>
  <c r="AU75" i="114"/>
  <c r="AX75" i="114"/>
  <c r="Y74" i="114"/>
  <c r="AB74" i="114"/>
  <c r="BE77" i="114"/>
  <c r="BF76" i="114"/>
  <c r="BH76" i="114"/>
  <c r="BG76" i="114"/>
  <c r="BI76" i="114"/>
  <c r="BJ76" i="114"/>
  <c r="Z74" i="114"/>
  <c r="AC74" i="114"/>
  <c r="AW208" i="60" l="1"/>
  <c r="BF208" i="60"/>
  <c r="U208" i="60" s="1"/>
  <c r="AY208" i="60"/>
  <c r="BD208" i="60"/>
  <c r="BA208" i="60"/>
  <c r="AX208" i="60"/>
  <c r="AV208" i="60"/>
  <c r="BC208" i="60"/>
  <c r="AZ208" i="60"/>
  <c r="BE208" i="60"/>
  <c r="AU208" i="60"/>
  <c r="BB208" i="60"/>
  <c r="AL209" i="60"/>
  <c r="BH209" i="60" s="1"/>
  <c r="AK209" i="60"/>
  <c r="BG209" i="60" s="1"/>
  <c r="AJ209" i="60"/>
  <c r="V210" i="60"/>
  <c r="A209" i="60"/>
  <c r="U205" i="27"/>
  <c r="T204" i="27"/>
  <c r="A204" i="27"/>
  <c r="Z75" i="114"/>
  <c r="AC75" i="114"/>
  <c r="T75" i="114"/>
  <c r="W75" i="114"/>
  <c r="BG77" i="114"/>
  <c r="BH77" i="114"/>
  <c r="BE78" i="114"/>
  <c r="BF77" i="114"/>
  <c r="BJ77" i="114"/>
  <c r="BI77" i="114"/>
  <c r="BD76" i="114"/>
  <c r="BA76" i="114"/>
  <c r="Y75" i="114"/>
  <c r="AB75" i="114"/>
  <c r="BL76" i="114"/>
  <c r="BM76" i="114"/>
  <c r="AS76" i="114"/>
  <c r="AV76" i="114"/>
  <c r="J76" i="114"/>
  <c r="K76" i="114"/>
  <c r="L76" i="114"/>
  <c r="N76" i="114"/>
  <c r="M76" i="114"/>
  <c r="D76" i="114"/>
  <c r="E76" i="114"/>
  <c r="C77" i="114"/>
  <c r="F76" i="114"/>
  <c r="P76" i="114"/>
  <c r="G76" i="114"/>
  <c r="H76" i="114"/>
  <c r="I76" i="114"/>
  <c r="O76" i="114"/>
  <c r="AI77" i="114"/>
  <c r="AG77" i="114"/>
  <c r="AK77" i="114"/>
  <c r="AL77" i="114"/>
  <c r="AN77" i="114"/>
  <c r="AP77" i="114"/>
  <c r="AD78" i="114"/>
  <c r="AE78" i="114" s="1"/>
  <c r="AM77" i="114"/>
  <c r="AH77" i="114"/>
  <c r="AJ77" i="114"/>
  <c r="AO77" i="114"/>
  <c r="AQ77" i="114"/>
  <c r="AF77" i="114"/>
  <c r="X75" i="114" a="1"/>
  <c r="X75" i="114" s="1"/>
  <c r="AA75" i="114"/>
  <c r="BC76" i="114"/>
  <c r="AZ76" i="114"/>
  <c r="BN76" i="114"/>
  <c r="BO76" i="114"/>
  <c r="AX76" i="114"/>
  <c r="AU76" i="114"/>
  <c r="BB76" i="114"/>
  <c r="AY76" i="114"/>
  <c r="U75" i="114"/>
  <c r="R75" i="114"/>
  <c r="V75" i="114"/>
  <c r="S75" i="114"/>
  <c r="BB209" i="60" l="1"/>
  <c r="BD209" i="60"/>
  <c r="BC209" i="60"/>
  <c r="AX209" i="60"/>
  <c r="AZ209" i="60"/>
  <c r="AY209" i="60"/>
  <c r="BA209" i="60"/>
  <c r="BE209" i="60"/>
  <c r="BF209" i="60"/>
  <c r="U209" i="60" s="1"/>
  <c r="AU209" i="60"/>
  <c r="AV209" i="60"/>
  <c r="AW209" i="60"/>
  <c r="V211" i="60"/>
  <c r="A210" i="60"/>
  <c r="AJ210" i="60"/>
  <c r="AL210" i="60"/>
  <c r="BH210" i="60" s="1"/>
  <c r="AK210" i="60"/>
  <c r="BG210" i="60" s="1"/>
  <c r="T205" i="27"/>
  <c r="A205" i="27"/>
  <c r="U206" i="27"/>
  <c r="AO78" i="114"/>
  <c r="AK78" i="114"/>
  <c r="AD79" i="114"/>
  <c r="AE79" i="114" s="1"/>
  <c r="AN78" i="114"/>
  <c r="AF78" i="114"/>
  <c r="AH78" i="114"/>
  <c r="AI78" i="114"/>
  <c r="AM78" i="114"/>
  <c r="AP78" i="114"/>
  <c r="AQ78" i="114"/>
  <c r="AG78" i="114"/>
  <c r="AJ78" i="114"/>
  <c r="AL78" i="114"/>
  <c r="BN77" i="114"/>
  <c r="BO77" i="114"/>
  <c r="X76" i="114" a="1"/>
  <c r="X76" i="114" s="1"/>
  <c r="AA76" i="114"/>
  <c r="Y76" i="114"/>
  <c r="AB76" i="114"/>
  <c r="BJ78" i="114"/>
  <c r="BE79" i="114"/>
  <c r="BH78" i="114"/>
  <c r="BG78" i="114"/>
  <c r="BF78" i="114"/>
  <c r="BI78" i="114"/>
  <c r="BA77" i="114"/>
  <c r="BD77" i="114"/>
  <c r="AS77" i="114"/>
  <c r="AV77" i="114"/>
  <c r="C78" i="114"/>
  <c r="F77" i="114"/>
  <c r="O77" i="114"/>
  <c r="K77" i="114"/>
  <c r="L77" i="114"/>
  <c r="P77" i="114"/>
  <c r="D77" i="114"/>
  <c r="E77" i="114"/>
  <c r="G77" i="114"/>
  <c r="I77" i="114"/>
  <c r="J77" i="114"/>
  <c r="N77" i="114"/>
  <c r="M77" i="114"/>
  <c r="H77" i="114"/>
  <c r="R76" i="114"/>
  <c r="U76" i="114"/>
  <c r="BL77" i="114"/>
  <c r="BM77" i="114"/>
  <c r="V76" i="114"/>
  <c r="S76" i="114"/>
  <c r="AZ77" i="114"/>
  <c r="BC77" i="114"/>
  <c r="T76" i="114"/>
  <c r="W76" i="114"/>
  <c r="AU77" i="114"/>
  <c r="AX77" i="114"/>
  <c r="AC76" i="114"/>
  <c r="Z76" i="114"/>
  <c r="AY77" i="114"/>
  <c r="BB77" i="114"/>
  <c r="BB210" i="60" l="1"/>
  <c r="BD210" i="60"/>
  <c r="BF210" i="60"/>
  <c r="U210" i="60" s="1"/>
  <c r="AU210" i="60"/>
  <c r="AY210" i="60"/>
  <c r="AV210" i="60"/>
  <c r="BE210" i="60"/>
  <c r="AZ210" i="60"/>
  <c r="BA210" i="60"/>
  <c r="BC210" i="60"/>
  <c r="AW210" i="60"/>
  <c r="AX210" i="60"/>
  <c r="AL211" i="60"/>
  <c r="BH211" i="60" s="1"/>
  <c r="AK211" i="60"/>
  <c r="BG211" i="60" s="1"/>
  <c r="V212" i="60"/>
  <c r="A211" i="60"/>
  <c r="AJ211" i="60"/>
  <c r="U207" i="27"/>
  <c r="T206" i="27"/>
  <c r="A206" i="27"/>
  <c r="V77" i="114"/>
  <c r="S77" i="114"/>
  <c r="BD78" i="114"/>
  <c r="BA78" i="114"/>
  <c r="X77" i="114" a="1"/>
  <c r="X77" i="114" s="1"/>
  <c r="AA77" i="114"/>
  <c r="AC77" i="114"/>
  <c r="Z77" i="114"/>
  <c r="AY78" i="114"/>
  <c r="BB78" i="114"/>
  <c r="P78" i="114"/>
  <c r="I78" i="114"/>
  <c r="G78" i="114"/>
  <c r="H78" i="114"/>
  <c r="L78" i="114"/>
  <c r="J78" i="114"/>
  <c r="K78" i="114"/>
  <c r="N78" i="114"/>
  <c r="O78" i="114"/>
  <c r="M78" i="114"/>
  <c r="D78" i="114"/>
  <c r="E78" i="114"/>
  <c r="C79" i="114"/>
  <c r="F78" i="114"/>
  <c r="BN78" i="114"/>
  <c r="BO78" i="114"/>
  <c r="AV78" i="114"/>
  <c r="AS78" i="114"/>
  <c r="AZ78" i="114"/>
  <c r="BC78" i="114"/>
  <c r="BL78" i="114"/>
  <c r="BM78" i="114"/>
  <c r="AU78" i="114"/>
  <c r="AX78" i="114"/>
  <c r="R77" i="114"/>
  <c r="U77" i="114"/>
  <c r="W77" i="114"/>
  <c r="T77" i="114"/>
  <c r="AH79" i="114"/>
  <c r="AI79" i="114"/>
  <c r="AL79" i="114"/>
  <c r="AM79" i="114"/>
  <c r="AN79" i="114"/>
  <c r="AO79" i="114"/>
  <c r="AQ79" i="114"/>
  <c r="AG79" i="114"/>
  <c r="AD80" i="114"/>
  <c r="AE80" i="114" s="1"/>
  <c r="AF79" i="114"/>
  <c r="AJ79" i="114"/>
  <c r="AK79" i="114"/>
  <c r="AP79" i="114"/>
  <c r="Y77" i="114"/>
  <c r="AB77" i="114"/>
  <c r="BF79" i="114"/>
  <c r="BG79" i="114"/>
  <c r="BI79" i="114"/>
  <c r="BE80" i="114"/>
  <c r="BH79" i="114"/>
  <c r="BJ79" i="114"/>
  <c r="A212" i="60" l="1"/>
  <c r="V213" i="60"/>
  <c r="AK212" i="60"/>
  <c r="BG212" i="60" s="1"/>
  <c r="AJ212" i="60"/>
  <c r="AL212" i="60"/>
  <c r="BH212" i="60" s="1"/>
  <c r="BF211" i="60"/>
  <c r="U211" i="60" s="1"/>
  <c r="AX211" i="60"/>
  <c r="BC211" i="60"/>
  <c r="AZ211" i="60"/>
  <c r="BD211" i="60"/>
  <c r="BA211" i="60"/>
  <c r="AW211" i="60"/>
  <c r="BE211" i="60"/>
  <c r="AY211" i="60"/>
  <c r="AU211" i="60"/>
  <c r="AV211" i="60"/>
  <c r="BB211" i="60"/>
  <c r="A207" i="27"/>
  <c r="T207" i="27"/>
  <c r="AB78" i="114"/>
  <c r="Y78" i="114"/>
  <c r="S78" i="114"/>
  <c r="V78" i="114"/>
  <c r="AC78" i="114"/>
  <c r="Z78" i="114"/>
  <c r="AA78" i="114"/>
  <c r="X78" i="114" a="1"/>
  <c r="X78" i="114" s="1"/>
  <c r="AF80" i="114"/>
  <c r="AL80" i="114"/>
  <c r="AH80" i="114"/>
  <c r="AJ80" i="114"/>
  <c r="AN80" i="114"/>
  <c r="AO80" i="114"/>
  <c r="AQ80" i="114"/>
  <c r="AG80" i="114"/>
  <c r="AI80" i="114"/>
  <c r="AK80" i="114"/>
  <c r="AM80" i="114"/>
  <c r="AP80" i="114"/>
  <c r="AD81" i="114"/>
  <c r="AE81" i="114" s="1"/>
  <c r="BI80" i="114"/>
  <c r="BF80" i="114"/>
  <c r="BG80" i="114"/>
  <c r="BH80" i="114"/>
  <c r="BJ80" i="114"/>
  <c r="BE81" i="114"/>
  <c r="AU79" i="114"/>
  <c r="AX79" i="114"/>
  <c r="N79" i="114"/>
  <c r="O79" i="114"/>
  <c r="H79" i="114"/>
  <c r="I79" i="114"/>
  <c r="M79" i="114"/>
  <c r="L79" i="114"/>
  <c r="P79" i="114"/>
  <c r="G79" i="114"/>
  <c r="C80" i="114"/>
  <c r="D79" i="114"/>
  <c r="E79" i="114"/>
  <c r="F79" i="114"/>
  <c r="K79" i="114"/>
  <c r="J79" i="114"/>
  <c r="BO79" i="114"/>
  <c r="BN79" i="114"/>
  <c r="AS79" i="114"/>
  <c r="AV79" i="114"/>
  <c r="R78" i="114"/>
  <c r="U78" i="114"/>
  <c r="AY79" i="114"/>
  <c r="BB79" i="114"/>
  <c r="BL79" i="114"/>
  <c r="BM79" i="114"/>
  <c r="AZ79" i="114"/>
  <c r="BC79" i="114"/>
  <c r="BD79" i="114"/>
  <c r="BA79" i="114"/>
  <c r="T78" i="114"/>
  <c r="W78" i="114"/>
  <c r="A213" i="60" l="1"/>
  <c r="V214" i="60"/>
  <c r="AK213" i="60"/>
  <c r="BG213" i="60" s="1"/>
  <c r="AL213" i="60"/>
  <c r="BH213" i="60" s="1"/>
  <c r="AJ213" i="60"/>
  <c r="BD212" i="60"/>
  <c r="AV212" i="60"/>
  <c r="AZ212" i="60"/>
  <c r="BF212" i="60"/>
  <c r="U212" i="60" s="1"/>
  <c r="BC212" i="60"/>
  <c r="AX212" i="60"/>
  <c r="BB212" i="60"/>
  <c r="AW212" i="60"/>
  <c r="BE212" i="60"/>
  <c r="AU212" i="60"/>
  <c r="AY212" i="60"/>
  <c r="BA212" i="60"/>
  <c r="W79" i="114"/>
  <c r="T79" i="114"/>
  <c r="AU80" i="114"/>
  <c r="AX80" i="114"/>
  <c r="AY80" i="114"/>
  <c r="BB80" i="114"/>
  <c r="BC80" i="114"/>
  <c r="AZ80" i="114"/>
  <c r="AV80" i="114"/>
  <c r="AS80" i="114"/>
  <c r="AA79" i="114"/>
  <c r="X79" i="114" a="1"/>
  <c r="X79" i="114" s="1"/>
  <c r="V79" i="114"/>
  <c r="S79" i="114"/>
  <c r="Z79" i="114"/>
  <c r="AC79" i="114"/>
  <c r="BH81" i="114"/>
  <c r="BJ81" i="114"/>
  <c r="BF81" i="114"/>
  <c r="BE82" i="114"/>
  <c r="BG81" i="114"/>
  <c r="BI81" i="114"/>
  <c r="L80" i="114"/>
  <c r="M80" i="114"/>
  <c r="P80" i="114"/>
  <c r="I80" i="114"/>
  <c r="D80" i="114"/>
  <c r="C81" i="114"/>
  <c r="E80" i="114"/>
  <c r="H80" i="114"/>
  <c r="F80" i="114"/>
  <c r="G80" i="114"/>
  <c r="J80" i="114"/>
  <c r="K80" i="114"/>
  <c r="N80" i="114"/>
  <c r="O80" i="114"/>
  <c r="BL80" i="114"/>
  <c r="BM80" i="114"/>
  <c r="Y79" i="114"/>
  <c r="AB79" i="114"/>
  <c r="BO80" i="114"/>
  <c r="BN80" i="114"/>
  <c r="AK81" i="114"/>
  <c r="AL81" i="114"/>
  <c r="AM81" i="114"/>
  <c r="AN81" i="114"/>
  <c r="AP81" i="114"/>
  <c r="AQ81" i="114"/>
  <c r="AD82" i="114"/>
  <c r="AE82" i="114" s="1"/>
  <c r="AG81" i="114"/>
  <c r="AH81" i="114"/>
  <c r="AF81" i="114"/>
  <c r="AJ81" i="114"/>
  <c r="AO81" i="114"/>
  <c r="AI81" i="114"/>
  <c r="R79" i="114"/>
  <c r="U79" i="114"/>
  <c r="BA80" i="114"/>
  <c r="BD80" i="114"/>
  <c r="AJ214" i="60" l="1"/>
  <c r="V215" i="60"/>
  <c r="A214" i="60"/>
  <c r="AL214" i="60"/>
  <c r="BH214" i="60" s="1"/>
  <c r="AK214" i="60"/>
  <c r="BG214" i="60" s="1"/>
  <c r="BE213" i="60"/>
  <c r="BC213" i="60"/>
  <c r="AX213" i="60"/>
  <c r="BD213" i="60"/>
  <c r="AU213" i="60"/>
  <c r="AW213" i="60"/>
  <c r="AZ213" i="60"/>
  <c r="BB213" i="60"/>
  <c r="BF213" i="60"/>
  <c r="U213" i="60" s="1"/>
  <c r="AY213" i="60"/>
  <c r="AV213" i="60"/>
  <c r="BA213" i="60"/>
  <c r="AS81" i="114"/>
  <c r="AV81" i="114"/>
  <c r="BI82" i="114"/>
  <c r="BH82" i="114"/>
  <c r="BF82" i="114"/>
  <c r="BG82" i="114"/>
  <c r="BJ82" i="114"/>
  <c r="U80" i="114"/>
  <c r="R80" i="114"/>
  <c r="BA81" i="114"/>
  <c r="BD81" i="114"/>
  <c r="P81" i="114"/>
  <c r="E81" i="114"/>
  <c r="I81" i="114"/>
  <c r="H81" i="114"/>
  <c r="K81" i="114"/>
  <c r="L81" i="114"/>
  <c r="O81" i="114"/>
  <c r="D81" i="114"/>
  <c r="M81" i="114"/>
  <c r="F81" i="114"/>
  <c r="G81" i="114"/>
  <c r="N81" i="114"/>
  <c r="J81" i="114"/>
  <c r="C82" i="114"/>
  <c r="AB80" i="114"/>
  <c r="Y80" i="114"/>
  <c r="S80" i="114"/>
  <c r="V80" i="114"/>
  <c r="Z80" i="114"/>
  <c r="AC80" i="114"/>
  <c r="BC81" i="114"/>
  <c r="AZ81" i="114"/>
  <c r="T80" i="114"/>
  <c r="W80" i="114"/>
  <c r="X80" i="114" a="1"/>
  <c r="X80" i="114" s="1"/>
  <c r="AA80" i="114"/>
  <c r="AG82" i="114"/>
  <c r="AI82" i="114"/>
  <c r="AO82" i="114"/>
  <c r="AF82" i="114"/>
  <c r="AM82" i="114"/>
  <c r="AN82" i="114"/>
  <c r="AP82" i="114"/>
  <c r="AQ82" i="114"/>
  <c r="AK82" i="114"/>
  <c r="AJ82" i="114"/>
  <c r="AH82" i="114"/>
  <c r="AL82" i="114"/>
  <c r="AU81" i="114"/>
  <c r="AX81" i="114"/>
  <c r="BN81" i="114"/>
  <c r="BO81" i="114"/>
  <c r="AY81" i="114"/>
  <c r="BB81" i="114"/>
  <c r="BL81" i="114"/>
  <c r="BM81" i="114"/>
  <c r="AK215" i="60" l="1"/>
  <c r="BG215" i="60" s="1"/>
  <c r="AL215" i="60"/>
  <c r="BH215" i="60" s="1"/>
  <c r="AJ215" i="60"/>
  <c r="A215" i="60"/>
  <c r="AX214" i="60"/>
  <c r="BB214" i="60"/>
  <c r="BA214" i="60"/>
  <c r="BE214" i="60"/>
  <c r="BD214" i="60"/>
  <c r="AY214" i="60"/>
  <c r="BF214" i="60"/>
  <c r="U214" i="60" s="1"/>
  <c r="BC214" i="60"/>
  <c r="AV214" i="60"/>
  <c r="AU214" i="60"/>
  <c r="AZ214" i="60"/>
  <c r="AW214" i="60"/>
  <c r="U81" i="114"/>
  <c r="R81" i="114"/>
  <c r="AB81" i="114"/>
  <c r="Y81" i="114"/>
  <c r="S81" i="114"/>
  <c r="V81" i="114"/>
  <c r="AY82" i="114"/>
  <c r="BB82" i="114"/>
  <c r="BC82" i="114"/>
  <c r="AZ82" i="114"/>
  <c r="BL82" i="114"/>
  <c r="BM82" i="114"/>
  <c r="BA82" i="114"/>
  <c r="BD82" i="114"/>
  <c r="E82" i="114"/>
  <c r="G82" i="114"/>
  <c r="I82" i="114"/>
  <c r="K82" i="114"/>
  <c r="O82" i="114"/>
  <c r="J82" i="114"/>
  <c r="M82" i="114"/>
  <c r="N82" i="114"/>
  <c r="P82" i="114"/>
  <c r="H82" i="114"/>
  <c r="L82" i="114"/>
  <c r="D82" i="114"/>
  <c r="F82" i="114"/>
  <c r="Z81" i="114"/>
  <c r="AC81" i="114"/>
  <c r="AX82" i="114"/>
  <c r="AU82" i="114"/>
  <c r="BO82" i="114"/>
  <c r="BN82" i="114"/>
  <c r="AS82" i="114"/>
  <c r="AV82" i="114"/>
  <c r="X81" i="114" a="1"/>
  <c r="X81" i="114" s="1"/>
  <c r="AA81" i="114"/>
  <c r="W81" i="114"/>
  <c r="T81" i="114"/>
  <c r="BF215" i="60" l="1"/>
  <c r="U215" i="60" s="1"/>
  <c r="BC215" i="60"/>
  <c r="AX215" i="60"/>
  <c r="BB215" i="60"/>
  <c r="AZ215" i="60"/>
  <c r="BD215" i="60"/>
  <c r="BE215" i="60"/>
  <c r="AW215" i="60"/>
  <c r="AY215" i="60"/>
  <c r="AU215" i="60"/>
  <c r="BA215" i="60"/>
  <c r="AV215" i="60"/>
  <c r="AA82" i="114"/>
  <c r="X82" i="114" a="1"/>
  <c r="X82" i="114" s="1"/>
  <c r="R82" i="114"/>
  <c r="U82" i="114"/>
  <c r="V82" i="114"/>
  <c r="S82" i="114"/>
  <c r="AB82" i="114"/>
  <c r="Y82" i="114"/>
  <c r="AC82" i="114"/>
  <c r="Z82" i="114"/>
  <c r="T82" i="114"/>
  <c r="W82" i="114"/>
  <c r="W34" i="60" l="1"/>
  <c r="M34" i="60" s="1"/>
  <c r="V34" i="68"/>
  <c r="M34" i="68" s="1"/>
  <c r="P37" i="68" s="1"/>
  <c r="L5" i="102"/>
  <c r="G121" i="57"/>
  <c r="H121" i="57"/>
  <c r="I121" i="57"/>
  <c r="G121" i="92"/>
  <c r="H121" i="92"/>
  <c r="I121" i="92"/>
  <c r="J121" i="92"/>
  <c r="K121" i="92"/>
  <c r="L121" i="92"/>
  <c r="G121" i="91"/>
  <c r="H121" i="91"/>
  <c r="I121" i="91"/>
  <c r="J121" i="91"/>
  <c r="K121" i="91"/>
  <c r="L121" i="91"/>
  <c r="H10" i="100"/>
  <c r="E9" i="100"/>
  <c r="F6" i="100"/>
  <c r="G6" i="100"/>
  <c r="H7" i="100"/>
  <c r="E7" i="100"/>
  <c r="G7" i="100"/>
  <c r="E8" i="100"/>
  <c r="H9" i="100"/>
  <c r="E6" i="43"/>
  <c r="E10" i="100"/>
  <c r="F9" i="100"/>
  <c r="F6" i="43"/>
  <c r="G10" i="100"/>
  <c r="F8" i="100"/>
  <c r="F7" i="100"/>
  <c r="G8" i="100"/>
  <c r="E6" i="100"/>
  <c r="G9" i="100"/>
  <c r="H6" i="100"/>
  <c r="F10" i="100"/>
  <c r="H8" i="100"/>
  <c r="W29" i="60" l="1"/>
  <c r="M29" i="60" s="1"/>
  <c r="P31" i="60" s="1"/>
  <c r="P38" i="60"/>
  <c r="P37" i="60"/>
  <c r="P36" i="60"/>
  <c r="P34" i="60"/>
  <c r="P35" i="60"/>
  <c r="V29" i="68"/>
  <c r="M29" i="68" s="1"/>
  <c r="P33" i="68" s="1"/>
  <c r="P36" i="68"/>
  <c r="P34" i="68"/>
  <c r="P38" i="68"/>
  <c r="P35" i="68"/>
  <c r="I9" i="100"/>
  <c r="I8" i="100"/>
  <c r="I7" i="100"/>
  <c r="H11" i="100"/>
  <c r="H61" i="100" s="1"/>
  <c r="G11" i="100"/>
  <c r="G61" i="100" s="1"/>
  <c r="F11" i="100"/>
  <c r="F61" i="100" s="1"/>
  <c r="I10" i="100"/>
  <c r="I6" i="100"/>
  <c r="E11" i="100"/>
  <c r="E61" i="100" s="1"/>
  <c r="E8" i="43"/>
  <c r="F10" i="43"/>
  <c r="E10" i="43"/>
  <c r="F9" i="43"/>
  <c r="E7" i="43"/>
  <c r="E9" i="43"/>
  <c r="F8" i="43"/>
  <c r="F7" i="43"/>
  <c r="W24" i="60" l="1"/>
  <c r="M24" i="60" s="1"/>
  <c r="P30" i="60"/>
  <c r="P33" i="60"/>
  <c r="P32" i="60"/>
  <c r="P29" i="60"/>
  <c r="P31" i="68"/>
  <c r="V24" i="68"/>
  <c r="M24" i="68" s="1"/>
  <c r="P28" i="68" s="1"/>
  <c r="P32" i="68"/>
  <c r="P30" i="68"/>
  <c r="P29" i="68"/>
  <c r="I11" i="100"/>
  <c r="Z50" i="100" s="1"/>
  <c r="AD50" i="100" s="1"/>
  <c r="P19" i="113"/>
  <c r="S19" i="113"/>
  <c r="AB19" i="113"/>
  <c r="AE19" i="113"/>
  <c r="E26" i="113" a="1"/>
  <c r="E26" i="113" s="1"/>
  <c r="D30" i="10" s="1"/>
  <c r="E39" i="113" a="1"/>
  <c r="E39" i="113" s="1"/>
  <c r="E52" i="113" a="1"/>
  <c r="E52" i="113" s="1"/>
  <c r="E65" i="113" a="1"/>
  <c r="E65" i="113" s="1"/>
  <c r="E150" i="10" a="1"/>
  <c r="E150" i="10" s="1"/>
  <c r="F150" i="10" a="1"/>
  <c r="F150" i="10" s="1"/>
  <c r="G150" i="10"/>
  <c r="H150" i="10"/>
  <c r="S3" i="122"/>
  <c r="T3" i="122"/>
  <c r="U3" i="122"/>
  <c r="D11" i="38"/>
  <c r="D37" i="67"/>
  <c r="H41" i="10"/>
  <c r="H36" i="10"/>
  <c r="I43" i="113"/>
  <c r="I36" i="10"/>
  <c r="E11" i="43"/>
  <c r="G58" i="113"/>
  <c r="F40" i="113"/>
  <c r="G49" i="10"/>
  <c r="G48" i="10"/>
  <c r="G70" i="113"/>
  <c r="E66" i="113"/>
  <c r="H54" i="113"/>
  <c r="H29" i="113"/>
  <c r="D47" i="10"/>
  <c r="I27" i="113"/>
  <c r="F67" i="113"/>
  <c r="E56" i="113"/>
  <c r="F36" i="10"/>
  <c r="F40" i="10"/>
  <c r="G53" i="10"/>
  <c r="H47" i="10"/>
  <c r="I53" i="10"/>
  <c r="I69" i="113"/>
  <c r="F43" i="113"/>
  <c r="E27" i="113"/>
  <c r="G53" i="113"/>
  <c r="G37" i="10"/>
  <c r="I66" i="113"/>
  <c r="F42" i="113"/>
  <c r="H53" i="113"/>
  <c r="G40" i="10"/>
  <c r="I40" i="113"/>
  <c r="F27" i="113"/>
  <c r="G29" i="113"/>
  <c r="I52" i="10"/>
  <c r="H57" i="113"/>
  <c r="H30" i="113"/>
  <c r="I35" i="10"/>
  <c r="G66" i="113"/>
  <c r="G42" i="10"/>
  <c r="G54" i="113"/>
  <c r="F28" i="113"/>
  <c r="I56" i="113"/>
  <c r="G69" i="113"/>
  <c r="F48" i="10"/>
  <c r="D35" i="10"/>
  <c r="I54" i="113"/>
  <c r="G68" i="113"/>
  <c r="G47" i="10"/>
  <c r="D48" i="10"/>
  <c r="G42" i="113"/>
  <c r="F54" i="113"/>
  <c r="H42" i="10"/>
  <c r="D41" i="10"/>
  <c r="G43" i="113"/>
  <c r="I71" i="113"/>
  <c r="F58" i="113"/>
  <c r="H55" i="113"/>
  <c r="F69" i="113"/>
  <c r="E29" i="113"/>
  <c r="I48" i="10"/>
  <c r="H54" i="10"/>
  <c r="H58" i="113"/>
  <c r="H56" i="113"/>
  <c r="G30" i="113"/>
  <c r="I54" i="10"/>
  <c r="G27" i="113"/>
  <c r="I29" i="113"/>
  <c r="I30" i="113"/>
  <c r="I53" i="113"/>
  <c r="I58" i="113"/>
  <c r="F56" i="113"/>
  <c r="I55" i="113"/>
  <c r="H69" i="113"/>
  <c r="H28" i="113"/>
  <c r="I41" i="10"/>
  <c r="D40" i="10"/>
  <c r="E40" i="113"/>
  <c r="I42" i="113"/>
  <c r="H68" i="113"/>
  <c r="G55" i="113"/>
  <c r="G40" i="113"/>
  <c r="F35" i="10"/>
  <c r="H40" i="10"/>
  <c r="H67" i="113"/>
  <c r="F29" i="113"/>
  <c r="I47" i="10"/>
  <c r="F66" i="113"/>
  <c r="F41" i="10"/>
  <c r="F57" i="113"/>
  <c r="H66" i="113"/>
  <c r="G41" i="10"/>
  <c r="G36" i="10"/>
  <c r="E42" i="113"/>
  <c r="I70" i="113"/>
  <c r="H52" i="10"/>
  <c r="E69" i="113"/>
  <c r="G67" i="113"/>
  <c r="E53" i="113"/>
  <c r="F52" i="10"/>
  <c r="F55" i="113"/>
  <c r="I67" i="113"/>
  <c r="I68" i="113"/>
  <c r="I40" i="10"/>
  <c r="G35" i="10"/>
  <c r="G28" i="113"/>
  <c r="G57" i="113"/>
  <c r="H42" i="113"/>
  <c r="I42" i="10"/>
  <c r="F30" i="113"/>
  <c r="H35" i="10"/>
  <c r="F71" i="113"/>
  <c r="D36" i="10"/>
  <c r="H71" i="113"/>
  <c r="D52" i="10"/>
  <c r="F47" i="10"/>
  <c r="G54" i="10"/>
  <c r="H53" i="10"/>
  <c r="H27" i="113"/>
  <c r="H70" i="113"/>
  <c r="D53" i="10"/>
  <c r="G71" i="113"/>
  <c r="F68" i="113"/>
  <c r="I28" i="113"/>
  <c r="G56" i="113"/>
  <c r="G52" i="10"/>
  <c r="F53" i="10"/>
  <c r="H43" i="113"/>
  <c r="H41" i="113"/>
  <c r="I41" i="113"/>
  <c r="I57" i="113"/>
  <c r="F53" i="113"/>
  <c r="G41" i="113"/>
  <c r="F41" i="113"/>
  <c r="H48" i="10"/>
  <c r="F70" i="113"/>
  <c r="H40" i="113"/>
  <c r="F11" i="43"/>
  <c r="D12" i="38" l="1"/>
  <c r="F2" i="38" s="1"/>
  <c r="G50" i="39" s="1"/>
  <c r="W19" i="60"/>
  <c r="W14" i="60" s="1"/>
  <c r="P26" i="68"/>
  <c r="P27" i="68"/>
  <c r="V19" i="68"/>
  <c r="M19" i="68" s="1"/>
  <c r="P20" i="68" s="1"/>
  <c r="P24" i="68"/>
  <c r="P25" i="68"/>
  <c r="AG50" i="100"/>
  <c r="AI51" i="100" s="1"/>
  <c r="A50" i="100"/>
  <c r="P26" i="60"/>
  <c r="P28" i="60"/>
  <c r="P27" i="60"/>
  <c r="P25" i="60"/>
  <c r="P24" i="60"/>
  <c r="F12" i="43"/>
  <c r="E12" i="43"/>
  <c r="E54" i="10"/>
  <c r="F58" i="10"/>
  <c r="F54" i="10"/>
  <c r="F55" i="10" s="1"/>
  <c r="F56" i="10"/>
  <c r="F39" i="10"/>
  <c r="F37" i="10"/>
  <c r="F38" i="10" s="1"/>
  <c r="E56" i="10"/>
  <c r="E37" i="10"/>
  <c r="D46" i="10"/>
  <c r="E46" i="10"/>
  <c r="F46" i="10"/>
  <c r="F49" i="10"/>
  <c r="F50" i="10" s="1"/>
  <c r="F51" i="10"/>
  <c r="E49" i="10"/>
  <c r="D56" i="10"/>
  <c r="F42" i="10"/>
  <c r="F43" i="10" s="1"/>
  <c r="F44" i="10"/>
  <c r="E42" i="10"/>
  <c r="O7" i="39"/>
  <c r="O151" i="39" l="1"/>
  <c r="G141" i="39"/>
  <c r="AI141" i="39" s="1"/>
  <c r="F152" i="39"/>
  <c r="O181" i="39"/>
  <c r="H192" i="39"/>
  <c r="K139" i="39"/>
  <c r="H123" i="39"/>
  <c r="H179" i="39"/>
  <c r="O163" i="39"/>
  <c r="I167" i="39"/>
  <c r="G114" i="39"/>
  <c r="AH114" i="39" s="1"/>
  <c r="E197" i="39"/>
  <c r="M197" i="39" s="1"/>
  <c r="K174" i="39"/>
  <c r="F154" i="39"/>
  <c r="F57" i="39"/>
  <c r="O34" i="39"/>
  <c r="O122" i="39"/>
  <c r="F171" i="39"/>
  <c r="E192" i="39"/>
  <c r="L192" i="39" s="1"/>
  <c r="F187" i="39"/>
  <c r="O90" i="39"/>
  <c r="G152" i="39"/>
  <c r="J152" i="39" s="1"/>
  <c r="G149" i="39"/>
  <c r="AI149" i="39" s="1"/>
  <c r="K69" i="39"/>
  <c r="I199" i="39"/>
  <c r="O39" i="39"/>
  <c r="F134" i="39"/>
  <c r="K159" i="39"/>
  <c r="I148" i="39"/>
  <c r="F75" i="39"/>
  <c r="O24" i="39"/>
  <c r="F148" i="39"/>
  <c r="I201" i="39"/>
  <c r="I196" i="39"/>
  <c r="K193" i="39"/>
  <c r="K182" i="39"/>
  <c r="F176" i="39"/>
  <c r="E132" i="39"/>
  <c r="L132" i="39" s="1"/>
  <c r="H95" i="39"/>
  <c r="I204" i="39"/>
  <c r="K195" i="39"/>
  <c r="E159" i="39"/>
  <c r="L159" i="39" s="1"/>
  <c r="I96" i="39"/>
  <c r="O19" i="39"/>
  <c r="F186" i="39"/>
  <c r="H204" i="39"/>
  <c r="G182" i="39"/>
  <c r="J182" i="39" s="1"/>
  <c r="G151" i="39"/>
  <c r="AI151" i="39" s="1"/>
  <c r="I8" i="39"/>
  <c r="O14" i="39"/>
  <c r="G194" i="39"/>
  <c r="AH194" i="39" s="1"/>
  <c r="H199" i="39"/>
  <c r="F181" i="39"/>
  <c r="F122" i="39"/>
  <c r="O193" i="39"/>
  <c r="O190" i="39"/>
  <c r="O189" i="39"/>
  <c r="O170" i="39"/>
  <c r="E198" i="39"/>
  <c r="L198" i="39" s="1"/>
  <c r="E156" i="39"/>
  <c r="A156" i="39" s="1"/>
  <c r="H167" i="39"/>
  <c r="E160" i="39"/>
  <c r="M160" i="39" s="1"/>
  <c r="I149" i="39"/>
  <c r="H175" i="39"/>
  <c r="E195" i="39"/>
  <c r="L195" i="39" s="1"/>
  <c r="G187" i="39"/>
  <c r="AJ187" i="39" s="1"/>
  <c r="G134" i="39"/>
  <c r="AH134" i="39" s="1"/>
  <c r="I152" i="39"/>
  <c r="O146" i="39"/>
  <c r="G186" i="39"/>
  <c r="AH186" i="39" s="1"/>
  <c r="G185" i="39"/>
  <c r="AI185" i="39" s="1"/>
  <c r="E199" i="39"/>
  <c r="A199" i="39" s="1"/>
  <c r="O203" i="39"/>
  <c r="E123" i="39"/>
  <c r="L123" i="39" s="1"/>
  <c r="G86" i="39"/>
  <c r="AI86" i="39" s="1"/>
  <c r="O164" i="39"/>
  <c r="K201" i="39"/>
  <c r="I168" i="39"/>
  <c r="O191" i="39"/>
  <c r="F183" i="39"/>
  <c r="F205" i="39"/>
  <c r="I185" i="39"/>
  <c r="I203" i="39"/>
  <c r="K131" i="39"/>
  <c r="F175" i="39"/>
  <c r="F190" i="39"/>
  <c r="F162" i="39"/>
  <c r="K116" i="39"/>
  <c r="O85" i="39"/>
  <c r="K90" i="39"/>
  <c r="G130" i="39"/>
  <c r="AH130" i="39" s="1"/>
  <c r="H152" i="39"/>
  <c r="I120" i="39"/>
  <c r="O206" i="39"/>
  <c r="K200" i="39"/>
  <c r="F159" i="39"/>
  <c r="K88" i="39"/>
  <c r="H143" i="39"/>
  <c r="E155" i="39"/>
  <c r="L155" i="39" s="1"/>
  <c r="I80" i="39"/>
  <c r="G169" i="39"/>
  <c r="AJ169" i="39" s="1"/>
  <c r="H189" i="39"/>
  <c r="K119" i="39"/>
  <c r="E105" i="39"/>
  <c r="A105" i="39" s="1"/>
  <c r="O199" i="39"/>
  <c r="H206" i="39"/>
  <c r="G184" i="39"/>
  <c r="AI184" i="39" s="1"/>
  <c r="E143" i="39"/>
  <c r="L143" i="39" s="1"/>
  <c r="G125" i="39"/>
  <c r="AJ125" i="39" s="1"/>
  <c r="E206" i="39"/>
  <c r="M206" i="39" s="1"/>
  <c r="E182" i="39"/>
  <c r="L182" i="39" s="1"/>
  <c r="K183" i="39"/>
  <c r="H98" i="39"/>
  <c r="O153" i="39"/>
  <c r="F130" i="39"/>
  <c r="F117" i="39"/>
  <c r="H121" i="39"/>
  <c r="I190" i="39"/>
  <c r="I195" i="39"/>
  <c r="F149" i="39"/>
  <c r="K185" i="39"/>
  <c r="H116" i="39"/>
  <c r="I197" i="39"/>
  <c r="H187" i="39"/>
  <c r="I192" i="39"/>
  <c r="F145" i="39"/>
  <c r="K180" i="39"/>
  <c r="E107" i="39"/>
  <c r="L107" i="39" s="1"/>
  <c r="O149" i="39"/>
  <c r="F167" i="39"/>
  <c r="H145" i="39"/>
  <c r="G172" i="39"/>
  <c r="J172" i="39" s="1"/>
  <c r="I156" i="39"/>
  <c r="H135" i="39"/>
  <c r="H102" i="39"/>
  <c r="G162" i="39"/>
  <c r="AH162" i="39" s="1"/>
  <c r="K181" i="39"/>
  <c r="G200" i="39"/>
  <c r="J200" i="39" s="1"/>
  <c r="E154" i="39"/>
  <c r="M154" i="39" s="1"/>
  <c r="E128" i="39"/>
  <c r="A128" i="39" s="1"/>
  <c r="F89" i="39"/>
  <c r="O121" i="39"/>
  <c r="K189" i="39"/>
  <c r="E135" i="39"/>
  <c r="M135" i="39" s="1"/>
  <c r="I142" i="39"/>
  <c r="H134" i="39"/>
  <c r="F31" i="39"/>
  <c r="O108" i="39"/>
  <c r="H106" i="39"/>
  <c r="G146" i="39"/>
  <c r="AI146" i="39" s="1"/>
  <c r="E121" i="39"/>
  <c r="M121" i="39" s="1"/>
  <c r="G72" i="39"/>
  <c r="AJ72" i="39" s="1"/>
  <c r="H104" i="39"/>
  <c r="G191" i="39"/>
  <c r="AH191" i="39" s="1"/>
  <c r="K186" i="39"/>
  <c r="F185" i="39"/>
  <c r="K148" i="39"/>
  <c r="G123" i="39"/>
  <c r="J123" i="39" s="1"/>
  <c r="E90" i="39"/>
  <c r="A90" i="39" s="1"/>
  <c r="I34" i="39"/>
  <c r="O103" i="39"/>
  <c r="H44" i="39"/>
  <c r="I93" i="39"/>
  <c r="H51" i="39"/>
  <c r="O109" i="39"/>
  <c r="I180" i="39"/>
  <c r="G93" i="39"/>
  <c r="AH93" i="39" s="1"/>
  <c r="G38" i="39"/>
  <c r="AJ38" i="39" s="1"/>
  <c r="O76" i="39"/>
  <c r="AP10" i="11"/>
  <c r="I144" i="39"/>
  <c r="E115" i="39"/>
  <c r="M115" i="39" s="1"/>
  <c r="E183" i="39"/>
  <c r="L183" i="39" s="1"/>
  <c r="K122" i="39"/>
  <c r="I85" i="39"/>
  <c r="H13" i="39"/>
  <c r="K202" i="39"/>
  <c r="E130" i="39"/>
  <c r="M130" i="39" s="1"/>
  <c r="K178" i="39"/>
  <c r="E178" i="39"/>
  <c r="A178" i="39" s="1"/>
  <c r="H83" i="39"/>
  <c r="E116" i="39"/>
  <c r="M116" i="39" s="1"/>
  <c r="I20" i="39"/>
  <c r="O112" i="39"/>
  <c r="H159" i="39"/>
  <c r="K168" i="39"/>
  <c r="K146" i="39"/>
  <c r="K54" i="39"/>
  <c r="K59" i="39"/>
  <c r="E8" i="39"/>
  <c r="E8" i="44" s="1"/>
  <c r="K100" i="39"/>
  <c r="E45" i="39"/>
  <c r="L45" i="39" s="1"/>
  <c r="H177" i="39"/>
  <c r="E145" i="39"/>
  <c r="L145" i="39" s="1"/>
  <c r="G142" i="39"/>
  <c r="J142" i="39" s="1"/>
  <c r="E138" i="39"/>
  <c r="L138" i="39" s="1"/>
  <c r="K66" i="39"/>
  <c r="I62" i="39"/>
  <c r="O107" i="39"/>
  <c r="H172" i="39"/>
  <c r="G144" i="39"/>
  <c r="J144" i="39" s="1"/>
  <c r="K147" i="39"/>
  <c r="G137" i="39"/>
  <c r="J137" i="39" s="1"/>
  <c r="I99" i="39"/>
  <c r="F32" i="39"/>
  <c r="O92" i="39"/>
  <c r="H157" i="39"/>
  <c r="F125" i="39"/>
  <c r="I158" i="39"/>
  <c r="K129" i="39"/>
  <c r="I92" i="39"/>
  <c r="G90" i="39"/>
  <c r="AH90" i="39" s="1"/>
  <c r="O115" i="39"/>
  <c r="G26" i="39"/>
  <c r="AH26" i="39" s="1"/>
  <c r="G88" i="39"/>
  <c r="AH88" i="39" s="1"/>
  <c r="G31" i="39"/>
  <c r="AH31" i="39" s="1"/>
  <c r="O61" i="39"/>
  <c r="F127" i="39"/>
  <c r="G133" i="39"/>
  <c r="AJ133" i="39" s="1"/>
  <c r="K79" i="39"/>
  <c r="K63" i="39"/>
  <c r="E53" i="39"/>
  <c r="L53" i="39" s="1"/>
  <c r="K150" i="39"/>
  <c r="G175" i="39"/>
  <c r="AJ175" i="39" s="1"/>
  <c r="F115" i="39"/>
  <c r="E93" i="39"/>
  <c r="M93" i="39" s="1"/>
  <c r="I106" i="39"/>
  <c r="O65" i="39"/>
  <c r="E142" i="39"/>
  <c r="A142" i="39" s="1"/>
  <c r="G170" i="39"/>
  <c r="J170" i="39" s="1"/>
  <c r="K101" i="39"/>
  <c r="E88" i="39"/>
  <c r="A88" i="39" s="1"/>
  <c r="I101" i="39"/>
  <c r="O62" i="39"/>
  <c r="I118" i="39"/>
  <c r="H47" i="39"/>
  <c r="O88" i="39"/>
  <c r="E166" i="39"/>
  <c r="M166" i="39" s="1"/>
  <c r="I175" i="39"/>
  <c r="I83" i="39"/>
  <c r="I107" i="39"/>
  <c r="F70" i="39"/>
  <c r="F21" i="39"/>
  <c r="O126" i="39"/>
  <c r="O99" i="39"/>
  <c r="E161" i="39"/>
  <c r="A161" i="39" s="1"/>
  <c r="E173" i="39"/>
  <c r="L173" i="39" s="1"/>
  <c r="K76" i="39"/>
  <c r="G98" i="39"/>
  <c r="AJ98" i="39" s="1"/>
  <c r="F65" i="39"/>
  <c r="E11" i="39"/>
  <c r="E11" i="44" s="1"/>
  <c r="O139" i="39"/>
  <c r="O94" i="39"/>
  <c r="I94" i="39"/>
  <c r="G24" i="39"/>
  <c r="AH24" i="39" s="1"/>
  <c r="H49" i="39"/>
  <c r="I194" i="39"/>
  <c r="K171" i="39"/>
  <c r="G198" i="39"/>
  <c r="AH198" i="39" s="1"/>
  <c r="E185" i="39"/>
  <c r="L185" i="39" s="1"/>
  <c r="H164" i="39"/>
  <c r="G181" i="39"/>
  <c r="AI181" i="39" s="1"/>
  <c r="F158" i="39"/>
  <c r="K145" i="39"/>
  <c r="E83" i="39"/>
  <c r="A83" i="39" s="1"/>
  <c r="E96" i="39"/>
  <c r="M96" i="39" s="1"/>
  <c r="H97" i="39"/>
  <c r="G23" i="39"/>
  <c r="J23" i="39" s="1"/>
  <c r="O152" i="39"/>
  <c r="O83" i="39"/>
  <c r="E100" i="39"/>
  <c r="A100" i="39" s="1"/>
  <c r="G136" i="39"/>
  <c r="AJ136" i="39" s="1"/>
  <c r="G63" i="39"/>
  <c r="AH63" i="39" s="1"/>
  <c r="E84" i="39"/>
  <c r="M84" i="39" s="1"/>
  <c r="E13" i="39"/>
  <c r="L13" i="39" s="1"/>
  <c r="E140" i="39"/>
  <c r="A140" i="39" s="1"/>
  <c r="I129" i="39"/>
  <c r="I97" i="39"/>
  <c r="E131" i="39"/>
  <c r="L131" i="39" s="1"/>
  <c r="E59" i="39"/>
  <c r="A59" i="39" s="1"/>
  <c r="G27" i="39"/>
  <c r="AH27" i="39" s="1"/>
  <c r="G15" i="39"/>
  <c r="J15" i="39" s="1"/>
  <c r="I102" i="39"/>
  <c r="E200" i="39"/>
  <c r="A200" i="39" s="1"/>
  <c r="K179" i="39"/>
  <c r="G201" i="39"/>
  <c r="AH201" i="39" s="1"/>
  <c r="K192" i="39"/>
  <c r="F174" i="39"/>
  <c r="F157" i="39"/>
  <c r="F164" i="39"/>
  <c r="G176" i="39"/>
  <c r="AH176" i="39" s="1"/>
  <c r="K120" i="39"/>
  <c r="H180" i="39"/>
  <c r="K109" i="39"/>
  <c r="H101" i="39"/>
  <c r="K106" i="39"/>
  <c r="I123" i="39"/>
  <c r="F28" i="39"/>
  <c r="E37" i="39"/>
  <c r="A37" i="39" s="1"/>
  <c r="K7" i="39"/>
  <c r="F7" i="44" s="1"/>
  <c r="O136" i="39"/>
  <c r="O55" i="39"/>
  <c r="E170" i="39"/>
  <c r="M170" i="39" s="1"/>
  <c r="G199" i="39"/>
  <c r="AH199" i="39" s="1"/>
  <c r="E201" i="39"/>
  <c r="M201" i="39" s="1"/>
  <c r="H174" i="39"/>
  <c r="G195" i="39"/>
  <c r="AH195" i="39" s="1"/>
  <c r="K125" i="39"/>
  <c r="G143" i="39"/>
  <c r="J143" i="39" s="1"/>
  <c r="K141" i="39"/>
  <c r="G178" i="39"/>
  <c r="AI178" i="39" s="1"/>
  <c r="K134" i="39"/>
  <c r="K83" i="39"/>
  <c r="E112" i="39"/>
  <c r="M112" i="39" s="1"/>
  <c r="E111" i="39"/>
  <c r="A111" i="39" s="1"/>
  <c r="I113" i="39"/>
  <c r="F79" i="39"/>
  <c r="H34" i="39"/>
  <c r="O161" i="39"/>
  <c r="O159" i="39"/>
  <c r="O75" i="39"/>
  <c r="K188" i="39"/>
  <c r="I179" i="39"/>
  <c r="I198" i="39"/>
  <c r="G197" i="39"/>
  <c r="AI197" i="39" s="1"/>
  <c r="G192" i="39"/>
  <c r="AI192" i="39" s="1"/>
  <c r="E118" i="39"/>
  <c r="M118" i="39" s="1"/>
  <c r="K142" i="39"/>
  <c r="K140" i="39"/>
  <c r="I150" i="39"/>
  <c r="F128" i="39"/>
  <c r="H120" i="39"/>
  <c r="F108" i="39"/>
  <c r="K110" i="39"/>
  <c r="K51" i="39"/>
  <c r="F76" i="39"/>
  <c r="H24" i="39"/>
  <c r="O148" i="39"/>
  <c r="O154" i="39"/>
  <c r="O48" i="39"/>
  <c r="F202" i="39"/>
  <c r="I205" i="39"/>
  <c r="G189" i="39"/>
  <c r="J189" i="39" s="1"/>
  <c r="E172" i="39"/>
  <c r="A172" i="39" s="1"/>
  <c r="I171" i="39"/>
  <c r="F156" i="39"/>
  <c r="H147" i="39"/>
  <c r="E120" i="39"/>
  <c r="M120" i="39" s="1"/>
  <c r="H115" i="39"/>
  <c r="E102" i="39"/>
  <c r="M102" i="39" s="1"/>
  <c r="F107" i="39"/>
  <c r="H52" i="39"/>
  <c r="K104" i="39"/>
  <c r="H14" i="39"/>
  <c r="O38" i="39"/>
  <c r="H149" i="39"/>
  <c r="E196" i="39"/>
  <c r="A196" i="39" s="1"/>
  <c r="F197" i="39"/>
  <c r="G204" i="39"/>
  <c r="AI204" i="39" s="1"/>
  <c r="G193" i="39"/>
  <c r="AJ193" i="39" s="1"/>
  <c r="E203" i="39"/>
  <c r="A203" i="39" s="1"/>
  <c r="E186" i="39"/>
  <c r="A186" i="39" s="1"/>
  <c r="I169" i="39"/>
  <c r="E164" i="39"/>
  <c r="M164" i="39" s="1"/>
  <c r="E148" i="39"/>
  <c r="L148" i="39" s="1"/>
  <c r="F123" i="39"/>
  <c r="K177" i="39"/>
  <c r="F109" i="39"/>
  <c r="I100" i="39"/>
  <c r="E98" i="39"/>
  <c r="A98" i="39" s="1"/>
  <c r="K65" i="39"/>
  <c r="E47" i="39"/>
  <c r="A47" i="39" s="1"/>
  <c r="G14" i="39"/>
  <c r="AH14" i="39" s="1"/>
  <c r="O195" i="39"/>
  <c r="O116" i="39"/>
  <c r="O74" i="39"/>
  <c r="I56" i="39"/>
  <c r="I75" i="39"/>
  <c r="G11" i="39"/>
  <c r="AI11" i="39" s="1"/>
  <c r="O93" i="39"/>
  <c r="E169" i="39"/>
  <c r="M169" i="39" s="1"/>
  <c r="F161" i="39"/>
  <c r="K170" i="39"/>
  <c r="I135" i="39"/>
  <c r="H74" i="39"/>
  <c r="E91" i="39"/>
  <c r="M91" i="39" s="1"/>
  <c r="F98" i="39"/>
  <c r="E126" i="39"/>
  <c r="L126" i="39" s="1"/>
  <c r="G46" i="39"/>
  <c r="AI46" i="39" s="1"/>
  <c r="E99" i="39"/>
  <c r="L99" i="39" s="1"/>
  <c r="K35" i="39"/>
  <c r="O142" i="39"/>
  <c r="O102" i="39"/>
  <c r="O77" i="39"/>
  <c r="K45" i="39"/>
  <c r="H18" i="39"/>
  <c r="E50" i="39"/>
  <c r="M50" i="39" s="1"/>
  <c r="G76" i="39"/>
  <c r="AH76" i="39" s="1"/>
  <c r="E25" i="39"/>
  <c r="M25" i="39" s="1"/>
  <c r="K40" i="39"/>
  <c r="O50" i="39"/>
  <c r="K58" i="39"/>
  <c r="E73" i="39"/>
  <c r="A73" i="39" s="1"/>
  <c r="I24" i="39"/>
  <c r="I50" i="39"/>
  <c r="O18" i="39"/>
  <c r="I145" i="39"/>
  <c r="H154" i="39"/>
  <c r="G148" i="39"/>
  <c r="AH148" i="39" s="1"/>
  <c r="I163" i="39"/>
  <c r="H128" i="39"/>
  <c r="G180" i="39"/>
  <c r="J180" i="39" s="1"/>
  <c r="G80" i="39"/>
  <c r="AH80" i="39" s="1"/>
  <c r="E103" i="39"/>
  <c r="M103" i="39" s="1"/>
  <c r="F97" i="39"/>
  <c r="I128" i="39"/>
  <c r="I64" i="39"/>
  <c r="K41" i="39"/>
  <c r="H19" i="39"/>
  <c r="G35" i="39"/>
  <c r="AJ35" i="39" s="1"/>
  <c r="O147" i="39"/>
  <c r="O118" i="39"/>
  <c r="O37" i="39"/>
  <c r="G45" i="39"/>
  <c r="AH45" i="39" s="1"/>
  <c r="H162" i="39"/>
  <c r="K143" i="39"/>
  <c r="I161" i="39"/>
  <c r="F166" i="39"/>
  <c r="G183" i="39"/>
  <c r="AI183" i="39" s="1"/>
  <c r="G139" i="39"/>
  <c r="AI139" i="39" s="1"/>
  <c r="F135" i="39"/>
  <c r="I103" i="39"/>
  <c r="E87" i="39"/>
  <c r="A87" i="39" s="1"/>
  <c r="F93" i="39"/>
  <c r="H91" i="39"/>
  <c r="I69" i="39"/>
  <c r="G29" i="39"/>
  <c r="AI29" i="39" s="1"/>
  <c r="H26" i="39"/>
  <c r="K12" i="39"/>
  <c r="F12" i="44" s="1"/>
  <c r="O150" i="39"/>
  <c r="O128" i="39"/>
  <c r="O25" i="39"/>
  <c r="G65" i="39"/>
  <c r="AI65" i="39" s="1"/>
  <c r="H87" i="39"/>
  <c r="E35" i="39"/>
  <c r="A35" i="39" s="1"/>
  <c r="H58" i="39"/>
  <c r="O187" i="39"/>
  <c r="O138" i="39"/>
  <c r="O120" i="39"/>
  <c r="O23" i="39"/>
  <c r="O32" i="39"/>
  <c r="O57" i="39"/>
  <c r="O51" i="39"/>
  <c r="O52" i="39"/>
  <c r="G173" i="39"/>
  <c r="AI173" i="39" s="1"/>
  <c r="I165" i="39"/>
  <c r="K167" i="39"/>
  <c r="G105" i="39"/>
  <c r="AI105" i="39" s="1"/>
  <c r="F67" i="39"/>
  <c r="K93" i="39"/>
  <c r="G96" i="39"/>
  <c r="J96" i="39" s="1"/>
  <c r="F94" i="39"/>
  <c r="K39" i="39"/>
  <c r="G64" i="39"/>
  <c r="J64" i="39" s="1"/>
  <c r="K48" i="39"/>
  <c r="I37" i="39"/>
  <c r="H46" i="39"/>
  <c r="I40" i="39"/>
  <c r="O200" i="39"/>
  <c r="O137" i="39"/>
  <c r="O119" i="39"/>
  <c r="O46" i="39"/>
  <c r="O56" i="39"/>
  <c r="O98" i="39"/>
  <c r="O40" i="39"/>
  <c r="O11" i="39"/>
  <c r="I139" i="39"/>
  <c r="F138" i="39"/>
  <c r="K124" i="39"/>
  <c r="K78" i="39"/>
  <c r="G91" i="39"/>
  <c r="J91" i="39" s="1"/>
  <c r="H114" i="39"/>
  <c r="G77" i="39"/>
  <c r="AJ77" i="39" s="1"/>
  <c r="G116" i="39"/>
  <c r="AJ116" i="39" s="1"/>
  <c r="K56" i="39"/>
  <c r="K87" i="39"/>
  <c r="H99" i="39"/>
  <c r="H32" i="39"/>
  <c r="F11" i="39"/>
  <c r="H80" i="39"/>
  <c r="O183" i="39"/>
  <c r="O182" i="39"/>
  <c r="O73" i="39"/>
  <c r="O89" i="39"/>
  <c r="O13" i="39"/>
  <c r="H138" i="39"/>
  <c r="E127" i="39"/>
  <c r="L127" i="39" s="1"/>
  <c r="F165" i="39"/>
  <c r="G74" i="39"/>
  <c r="AH74" i="39" s="1"/>
  <c r="G83" i="39"/>
  <c r="AH83" i="39" s="1"/>
  <c r="H111" i="39"/>
  <c r="E144" i="39"/>
  <c r="M144" i="39" s="1"/>
  <c r="I110" i="39"/>
  <c r="I54" i="39"/>
  <c r="I82" i="39"/>
  <c r="H89" i="39"/>
  <c r="H22" i="39"/>
  <c r="I63" i="39"/>
  <c r="H75" i="39"/>
  <c r="O205" i="39"/>
  <c r="O172" i="39"/>
  <c r="O97" i="39"/>
  <c r="O84" i="39"/>
  <c r="O8" i="39"/>
  <c r="K137" i="39"/>
  <c r="F120" i="39"/>
  <c r="F160" i="39"/>
  <c r="G71" i="39"/>
  <c r="AI71" i="39" s="1"/>
  <c r="I108" i="39"/>
  <c r="F100" i="39"/>
  <c r="I141" i="39"/>
  <c r="H110" i="39"/>
  <c r="G52" i="39"/>
  <c r="AH52" i="39" s="1"/>
  <c r="I76" i="39"/>
  <c r="I81" i="39"/>
  <c r="H17" i="39"/>
  <c r="E61" i="39"/>
  <c r="A61" i="39" s="1"/>
  <c r="H50" i="39"/>
  <c r="O201" i="39"/>
  <c r="O162" i="39"/>
  <c r="O79" i="39"/>
  <c r="O35" i="39"/>
  <c r="O15" i="39"/>
  <c r="G127" i="39"/>
  <c r="AJ127" i="39" s="1"/>
  <c r="H190" i="39"/>
  <c r="F155" i="39"/>
  <c r="F105" i="39"/>
  <c r="F103" i="39"/>
  <c r="F99" i="39"/>
  <c r="E134" i="39"/>
  <c r="A134" i="39" s="1"/>
  <c r="F106" i="39"/>
  <c r="G51" i="39"/>
  <c r="AI51" i="39" s="1"/>
  <c r="I73" i="39"/>
  <c r="I78" i="39"/>
  <c r="H12" i="39"/>
  <c r="I48" i="39"/>
  <c r="K47" i="39"/>
  <c r="O197" i="39"/>
  <c r="O157" i="39"/>
  <c r="O106" i="39"/>
  <c r="O78" i="39"/>
  <c r="O42" i="39"/>
  <c r="H42" i="39"/>
  <c r="K8" i="39"/>
  <c r="F8" i="44" s="1"/>
  <c r="E18" i="39"/>
  <c r="M18" i="39" s="1"/>
  <c r="O22" i="39"/>
  <c r="I57" i="39"/>
  <c r="E74" i="39"/>
  <c r="M74" i="39" s="1"/>
  <c r="G85" i="39"/>
  <c r="AH85" i="39" s="1"/>
  <c r="H92" i="39"/>
  <c r="H94" i="39"/>
  <c r="F25" i="39"/>
  <c r="H37" i="39"/>
  <c r="H39" i="39"/>
  <c r="F26" i="39"/>
  <c r="H8" i="39"/>
  <c r="I15" i="39"/>
  <c r="G10" i="39"/>
  <c r="AI10" i="39" s="1"/>
  <c r="O184" i="39"/>
  <c r="O158" i="39"/>
  <c r="O177" i="39"/>
  <c r="O144" i="39"/>
  <c r="O95" i="39"/>
  <c r="O104" i="39"/>
  <c r="O68" i="39"/>
  <c r="O80" i="39"/>
  <c r="O20" i="39"/>
  <c r="O9" i="39"/>
  <c r="E66" i="39"/>
  <c r="M66" i="39" s="1"/>
  <c r="I79" i="39"/>
  <c r="F82" i="39"/>
  <c r="H84" i="39"/>
  <c r="E104" i="39"/>
  <c r="A104" i="39" s="1"/>
  <c r="H27" i="39"/>
  <c r="H29" i="39"/>
  <c r="F16" i="39"/>
  <c r="G43" i="39"/>
  <c r="AH43" i="39" s="1"/>
  <c r="I10" i="39"/>
  <c r="O178" i="39"/>
  <c r="O192" i="39"/>
  <c r="O141" i="39"/>
  <c r="O167" i="39"/>
  <c r="O117" i="39"/>
  <c r="O110" i="39"/>
  <c r="O64" i="39"/>
  <c r="O81" i="39"/>
  <c r="O66" i="39"/>
  <c r="O10" i="39"/>
  <c r="E177" i="39"/>
  <c r="L177" i="39" s="1"/>
  <c r="G188" i="39"/>
  <c r="AI188" i="39" s="1"/>
  <c r="F179" i="39"/>
  <c r="E165" i="39"/>
  <c r="L165" i="39" s="1"/>
  <c r="I200" i="39"/>
  <c r="K197" i="39"/>
  <c r="I132" i="39"/>
  <c r="H169" i="39"/>
  <c r="I166" i="39"/>
  <c r="G171" i="39"/>
  <c r="AH171" i="39" s="1"/>
  <c r="I153" i="39"/>
  <c r="G140" i="39"/>
  <c r="AH140" i="39" s="1"/>
  <c r="E168" i="39"/>
  <c r="A168" i="39" s="1"/>
  <c r="F113" i="39"/>
  <c r="F146" i="39"/>
  <c r="G109" i="39"/>
  <c r="AI109" i="39" s="1"/>
  <c r="H103" i="39"/>
  <c r="F101" i="39"/>
  <c r="G111" i="39"/>
  <c r="J111" i="39" s="1"/>
  <c r="E114" i="39"/>
  <c r="L114" i="39" s="1"/>
  <c r="K85" i="39"/>
  <c r="G110" i="39"/>
  <c r="AI110" i="39" s="1"/>
  <c r="G39" i="39"/>
  <c r="AJ39" i="39" s="1"/>
  <c r="H62" i="39"/>
  <c r="F64" i="39"/>
  <c r="F69" i="39"/>
  <c r="F72" i="39"/>
  <c r="E94" i="39"/>
  <c r="M94" i="39" s="1"/>
  <c r="H7" i="39"/>
  <c r="H9" i="39"/>
  <c r="I58" i="39"/>
  <c r="G33" i="39"/>
  <c r="AI33" i="39" s="1"/>
  <c r="H70" i="39"/>
  <c r="O173" i="39"/>
  <c r="O202" i="39"/>
  <c r="O127" i="39"/>
  <c r="O134" i="39"/>
  <c r="O58" i="39"/>
  <c r="O123" i="39"/>
  <c r="O60" i="39"/>
  <c r="O33" i="39"/>
  <c r="O70" i="39"/>
  <c r="O27" i="39"/>
  <c r="F39" i="39"/>
  <c r="G59" i="39"/>
  <c r="AH59" i="39" s="1"/>
  <c r="H79" i="39"/>
  <c r="K84" i="39"/>
  <c r="G75" i="39"/>
  <c r="AJ75" i="39" s="1"/>
  <c r="G41" i="39"/>
  <c r="AH41" i="39" s="1"/>
  <c r="F22" i="39"/>
  <c r="I16" i="39"/>
  <c r="I28" i="39"/>
  <c r="F13" i="39"/>
  <c r="H10" i="39"/>
  <c r="O171" i="39"/>
  <c r="O143" i="39"/>
  <c r="O185" i="39"/>
  <c r="O132" i="39"/>
  <c r="O100" i="39"/>
  <c r="O113" i="39"/>
  <c r="O69" i="39"/>
  <c r="O101" i="39"/>
  <c r="O53" i="39"/>
  <c r="O17" i="39"/>
  <c r="K113" i="39"/>
  <c r="F50" i="39"/>
  <c r="E34" i="39"/>
  <c r="A34" i="39" s="1"/>
  <c r="F58" i="39"/>
  <c r="H76" i="39"/>
  <c r="E82" i="39"/>
  <c r="M82" i="39" s="1"/>
  <c r="E72" i="39"/>
  <c r="M72" i="39" s="1"/>
  <c r="F29" i="39"/>
  <c r="F17" i="39"/>
  <c r="E14" i="39"/>
  <c r="A14" i="39" s="1"/>
  <c r="E26" i="39"/>
  <c r="L26" i="39" s="1"/>
  <c r="F8" i="39"/>
  <c r="K62" i="39"/>
  <c r="O198" i="39"/>
  <c r="O168" i="39"/>
  <c r="O180" i="39"/>
  <c r="O145" i="39"/>
  <c r="O129" i="39"/>
  <c r="O105" i="39"/>
  <c r="O63" i="39"/>
  <c r="O96" i="39"/>
  <c r="O45" i="39"/>
  <c r="O12" i="39"/>
  <c r="E49" i="39"/>
  <c r="M49" i="39" s="1"/>
  <c r="F80" i="39"/>
  <c r="E57" i="39"/>
  <c r="M57" i="39" s="1"/>
  <c r="G73" i="39"/>
  <c r="AH73" i="39" s="1"/>
  <c r="E79" i="39"/>
  <c r="M79" i="39" s="1"/>
  <c r="K71" i="39"/>
  <c r="F27" i="39"/>
  <c r="F12" i="39"/>
  <c r="I11" i="39"/>
  <c r="I23" i="39"/>
  <c r="I65" i="39"/>
  <c r="G60" i="39"/>
  <c r="AI60" i="39" s="1"/>
  <c r="O166" i="39"/>
  <c r="O194" i="39"/>
  <c r="O175" i="39"/>
  <c r="O133" i="39"/>
  <c r="O124" i="39"/>
  <c r="O82" i="39"/>
  <c r="O30" i="39"/>
  <c r="O91" i="39"/>
  <c r="O36" i="39"/>
  <c r="F41" i="39"/>
  <c r="F20" i="39"/>
  <c r="K57" i="39"/>
  <c r="O131" i="39"/>
  <c r="O140" i="39"/>
  <c r="O28" i="39"/>
  <c r="O86" i="39"/>
  <c r="O31" i="39"/>
  <c r="O59" i="39"/>
  <c r="E97" i="39"/>
  <c r="A97" i="39" s="1"/>
  <c r="F56" i="39"/>
  <c r="F68" i="39"/>
  <c r="E21" i="39"/>
  <c r="A21" i="39" s="1"/>
  <c r="E63" i="39"/>
  <c r="A63" i="39" s="1"/>
  <c r="I191" i="39"/>
  <c r="E191" i="39"/>
  <c r="M191" i="39" s="1"/>
  <c r="F201" i="39"/>
  <c r="K144" i="39"/>
  <c r="G157" i="39"/>
  <c r="AH157" i="39" s="1"/>
  <c r="F184" i="39"/>
  <c r="G145" i="39"/>
  <c r="AH145" i="39" s="1"/>
  <c r="K156" i="39"/>
  <c r="I151" i="39"/>
  <c r="F126" i="39"/>
  <c r="F141" i="39"/>
  <c r="K114" i="39"/>
  <c r="I137" i="39"/>
  <c r="I146" i="39"/>
  <c r="F112" i="39"/>
  <c r="G104" i="39"/>
  <c r="J104" i="39" s="1"/>
  <c r="H117" i="39"/>
  <c r="E117" i="39"/>
  <c r="A117" i="39" s="1"/>
  <c r="K95" i="39"/>
  <c r="F96" i="39"/>
  <c r="F95" i="39"/>
  <c r="I36" i="39"/>
  <c r="F74" i="39"/>
  <c r="E54" i="39"/>
  <c r="L54" i="39" s="1"/>
  <c r="E64" i="39"/>
  <c r="A64" i="39" s="1"/>
  <c r="I72" i="39"/>
  <c r="I49" i="39"/>
  <c r="F15" i="39"/>
  <c r="I44" i="39"/>
  <c r="H66" i="39"/>
  <c r="I18" i="39"/>
  <c r="I60" i="39"/>
  <c r="G55" i="39"/>
  <c r="J55" i="39" s="1"/>
  <c r="O196" i="39"/>
  <c r="O188" i="39"/>
  <c r="O165" i="39"/>
  <c r="O179" i="39"/>
  <c r="O114" i="39"/>
  <c r="O135" i="39"/>
  <c r="O47" i="39"/>
  <c r="O71" i="39"/>
  <c r="O26" i="39"/>
  <c r="O54" i="39"/>
  <c r="I124" i="39"/>
  <c r="H122" i="39"/>
  <c r="H96" i="39"/>
  <c r="F77" i="39"/>
  <c r="E76" i="39"/>
  <c r="L76" i="39" s="1"/>
  <c r="E9" i="39"/>
  <c r="E9" i="44" s="1"/>
  <c r="K205" i="39"/>
  <c r="G154" i="39"/>
  <c r="AH154" i="39" s="1"/>
  <c r="H140" i="39"/>
  <c r="K136" i="39"/>
  <c r="H118" i="39"/>
  <c r="H90" i="39"/>
  <c r="G112" i="39"/>
  <c r="AH112" i="39" s="1"/>
  <c r="I98" i="39"/>
  <c r="I95" i="39"/>
  <c r="F121" i="39"/>
  <c r="E29" i="39"/>
  <c r="A29" i="39" s="1"/>
  <c r="G70" i="39"/>
  <c r="AJ70" i="39" s="1"/>
  <c r="I46" i="39"/>
  <c r="I47" i="39"/>
  <c r="E69" i="39"/>
  <c r="M69" i="39" s="1"/>
  <c r="G44" i="39"/>
  <c r="AJ44" i="39" s="1"/>
  <c r="F10" i="39"/>
  <c r="E42" i="39"/>
  <c r="M42" i="39" s="1"/>
  <c r="H61" i="39"/>
  <c r="E16" i="39"/>
  <c r="L16" i="39" s="1"/>
  <c r="E58" i="39"/>
  <c r="A58" i="39" s="1"/>
  <c r="K52" i="39"/>
  <c r="O186" i="39"/>
  <c r="O156" i="39"/>
  <c r="O160" i="39"/>
  <c r="O174" i="39"/>
  <c r="O87" i="39"/>
  <c r="O130" i="39"/>
  <c r="O43" i="39"/>
  <c r="O67" i="39"/>
  <c r="O21" i="39"/>
  <c r="O49" i="39"/>
  <c r="F87" i="39"/>
  <c r="G106" i="39"/>
  <c r="AH106" i="39" s="1"/>
  <c r="H69" i="39"/>
  <c r="F7" i="39"/>
  <c r="I188" i="39"/>
  <c r="E188" i="39"/>
  <c r="A188" i="39" s="1"/>
  <c r="F196" i="39"/>
  <c r="G206" i="39"/>
  <c r="AI206" i="39" s="1"/>
  <c r="G177" i="39"/>
  <c r="J177" i="39" s="1"/>
  <c r="F132" i="39"/>
  <c r="H148" i="39"/>
  <c r="E122" i="39"/>
  <c r="L122" i="39" s="1"/>
  <c r="F173" i="39"/>
  <c r="F137" i="39"/>
  <c r="H93" i="39"/>
  <c r="H178" i="39"/>
  <c r="K187" i="39"/>
  <c r="G190" i="39"/>
  <c r="AJ190" i="39" s="1"/>
  <c r="G203" i="39"/>
  <c r="AH203" i="39" s="1"/>
  <c r="H200" i="39"/>
  <c r="K199" i="39"/>
  <c r="F131" i="39"/>
  <c r="K151" i="39"/>
  <c r="G122" i="39"/>
  <c r="AI122" i="39" s="1"/>
  <c r="I119" i="39"/>
  <c r="I127" i="39"/>
  <c r="F163" i="39"/>
  <c r="G128" i="39"/>
  <c r="AI128" i="39" s="1"/>
  <c r="F136" i="39"/>
  <c r="F110" i="39"/>
  <c r="E86" i="39"/>
  <c r="L86" i="39" s="1"/>
  <c r="H108" i="39"/>
  <c r="K96" i="39"/>
  <c r="H77" i="39"/>
  <c r="G94" i="39"/>
  <c r="J94" i="39" s="1"/>
  <c r="F116" i="39"/>
  <c r="I52" i="39"/>
  <c r="F66" i="39"/>
  <c r="K26" i="39"/>
  <c r="F26" i="44" s="1"/>
  <c r="K43" i="39"/>
  <c r="K68" i="39"/>
  <c r="F38" i="39"/>
  <c r="E40" i="39"/>
  <c r="L40" i="39" s="1"/>
  <c r="I39" i="39"/>
  <c r="H56" i="39"/>
  <c r="I13" i="39"/>
  <c r="I55" i="39"/>
  <c r="O176" i="39"/>
  <c r="O204" i="39"/>
  <c r="O155" i="39"/>
  <c r="O169" i="39"/>
  <c r="O111" i="39"/>
  <c r="O125" i="39"/>
  <c r="O72" i="39"/>
  <c r="O41" i="39"/>
  <c r="O16" i="39"/>
  <c r="O44" i="39"/>
  <c r="AP11" i="11"/>
  <c r="K17" i="39"/>
  <c r="F17" i="44" s="1"/>
  <c r="H15" i="39"/>
  <c r="E23" i="39"/>
  <c r="A23" i="39" s="1"/>
  <c r="F18" i="39"/>
  <c r="H23" i="39"/>
  <c r="E31" i="39"/>
  <c r="L31" i="39" s="1"/>
  <c r="K13" i="39"/>
  <c r="F13" i="44" s="1"/>
  <c r="E19" i="39"/>
  <c r="E19" i="44" s="1"/>
  <c r="E7" i="39"/>
  <c r="E7" i="44" s="1"/>
  <c r="K9" i="39"/>
  <c r="F9" i="44" s="1"/>
  <c r="I7" i="39"/>
  <c r="E44" i="39"/>
  <c r="M44" i="39" s="1"/>
  <c r="K36" i="39"/>
  <c r="H78" i="39"/>
  <c r="H109" i="39"/>
  <c r="G87" i="39"/>
  <c r="AH87" i="39" s="1"/>
  <c r="H107" i="39"/>
  <c r="H82" i="39"/>
  <c r="K92" i="39"/>
  <c r="E60" i="39"/>
  <c r="L60" i="39" s="1"/>
  <c r="E39" i="39"/>
  <c r="A39" i="39" s="1"/>
  <c r="I42" i="39"/>
  <c r="I66" i="39"/>
  <c r="G67" i="39"/>
  <c r="AI67" i="39" s="1"/>
  <c r="I133" i="39"/>
  <c r="K118" i="39"/>
  <c r="H126" i="39"/>
  <c r="I116" i="39"/>
  <c r="G107" i="39"/>
  <c r="AH107" i="39" s="1"/>
  <c r="G119" i="39"/>
  <c r="AI119" i="39" s="1"/>
  <c r="G99" i="39"/>
  <c r="AI99" i="39" s="1"/>
  <c r="I70" i="39"/>
  <c r="H127" i="39"/>
  <c r="F104" i="39"/>
  <c r="H125" i="39"/>
  <c r="H105" i="39"/>
  <c r="I157" i="39"/>
  <c r="E150" i="39"/>
  <c r="L150" i="39" s="1"/>
  <c r="F139" i="39"/>
  <c r="F147" i="39"/>
  <c r="K135" i="39"/>
  <c r="G153" i="39"/>
  <c r="AH153" i="39" s="1"/>
  <c r="I147" i="39"/>
  <c r="E171" i="39"/>
  <c r="A171" i="39" s="1"/>
  <c r="F151" i="39"/>
  <c r="H156" i="39"/>
  <c r="E174" i="39"/>
  <c r="M174" i="39" s="1"/>
  <c r="G159" i="39"/>
  <c r="AH159" i="39" s="1"/>
  <c r="E152" i="39"/>
  <c r="A152" i="39" s="1"/>
  <c r="K111" i="39"/>
  <c r="H182" i="39"/>
  <c r="G205" i="39"/>
  <c r="AJ205" i="39" s="1"/>
  <c r="K164" i="39"/>
  <c r="I183" i="39"/>
  <c r="K184" i="39"/>
  <c r="F206" i="39"/>
  <c r="I193" i="39"/>
  <c r="E194" i="39"/>
  <c r="L194" i="39" s="1"/>
  <c r="I162" i="39"/>
  <c r="K191" i="39"/>
  <c r="G30" i="39"/>
  <c r="AH30" i="39" s="1"/>
  <c r="H16" i="39"/>
  <c r="G22" i="39"/>
  <c r="J22" i="39" s="1"/>
  <c r="I67" i="39"/>
  <c r="F37" i="39"/>
  <c r="G54" i="39"/>
  <c r="AH54" i="39" s="1"/>
  <c r="G131" i="39"/>
  <c r="AH131" i="39" s="1"/>
  <c r="K75" i="39"/>
  <c r="K117" i="39"/>
  <c r="I160" i="39"/>
  <c r="K163" i="39"/>
  <c r="H129" i="39"/>
  <c r="H203" i="39"/>
  <c r="E65" i="39"/>
  <c r="L65" i="39" s="1"/>
  <c r="I104" i="39"/>
  <c r="F153" i="39"/>
  <c r="E125" i="39"/>
  <c r="M125" i="39" s="1"/>
  <c r="H184" i="39"/>
  <c r="H194" i="39"/>
  <c r="G20" i="39"/>
  <c r="AH20" i="39" s="1"/>
  <c r="H20" i="39"/>
  <c r="I25" i="39"/>
  <c r="F23" i="39"/>
  <c r="H28" i="39"/>
  <c r="I33" i="39"/>
  <c r="G16" i="39"/>
  <c r="AH16" i="39" s="1"/>
  <c r="I21" i="39"/>
  <c r="I9" i="39"/>
  <c r="G12" i="39"/>
  <c r="AH12" i="39" s="1"/>
  <c r="E10" i="39"/>
  <c r="L10" i="39" s="1"/>
  <c r="F49" i="39"/>
  <c r="I41" i="39"/>
  <c r="H81" i="39"/>
  <c r="F33" i="39"/>
  <c r="K89" i="39"/>
  <c r="H112" i="39"/>
  <c r="F85" i="39"/>
  <c r="G95" i="39"/>
  <c r="J95" i="39" s="1"/>
  <c r="I61" i="39"/>
  <c r="G42" i="39"/>
  <c r="AJ42" i="39" s="1"/>
  <c r="F51" i="39"/>
  <c r="E71" i="39"/>
  <c r="A71" i="39" s="1"/>
  <c r="H71" i="39"/>
  <c r="E136" i="39"/>
  <c r="A136" i="39" s="1"/>
  <c r="G121" i="39"/>
  <c r="AI121" i="39" s="1"/>
  <c r="H131" i="39"/>
  <c r="E119" i="39"/>
  <c r="L119" i="39" s="1"/>
  <c r="F111" i="39"/>
  <c r="K121" i="39"/>
  <c r="H100" i="39"/>
  <c r="K73" i="39"/>
  <c r="H132" i="39"/>
  <c r="K108" i="39"/>
  <c r="F71" i="39"/>
  <c r="E110" i="39"/>
  <c r="M110" i="39" s="1"/>
  <c r="K130" i="39"/>
  <c r="K152" i="39"/>
  <c r="E147" i="39"/>
  <c r="M147" i="39" s="1"/>
  <c r="G150" i="39"/>
  <c r="AH150" i="39" s="1"/>
  <c r="G138" i="39"/>
  <c r="J138" i="39" s="1"/>
  <c r="K155" i="39"/>
  <c r="H153" i="39"/>
  <c r="I173" i="39"/>
  <c r="K153" i="39"/>
  <c r="H161" i="39"/>
  <c r="I176" i="39"/>
  <c r="K161" i="39"/>
  <c r="I154" i="39"/>
  <c r="F118" i="39"/>
  <c r="F170" i="39"/>
  <c r="H195" i="39"/>
  <c r="I172" i="39"/>
  <c r="I184" i="39"/>
  <c r="E187" i="39"/>
  <c r="L187" i="39" s="1"/>
  <c r="K198" i="39"/>
  <c r="G196" i="39"/>
  <c r="AH196" i="39" s="1"/>
  <c r="F199" i="39"/>
  <c r="G167" i="39"/>
  <c r="AJ167" i="39" s="1"/>
  <c r="K194" i="39"/>
  <c r="I19" i="39"/>
  <c r="K99" i="39"/>
  <c r="F54" i="39"/>
  <c r="H151" i="39"/>
  <c r="I111" i="39"/>
  <c r="E85" i="39"/>
  <c r="A85" i="39" s="1"/>
  <c r="K165" i="39"/>
  <c r="I122" i="39"/>
  <c r="K206" i="39"/>
  <c r="F194" i="39"/>
  <c r="I114" i="39"/>
  <c r="H170" i="39"/>
  <c r="F142" i="39"/>
  <c r="I130" i="39"/>
  <c r="K203" i="39"/>
  <c r="K22" i="39"/>
  <c r="F22" i="44" s="1"/>
  <c r="H25" i="39"/>
  <c r="E28" i="39"/>
  <c r="A28" i="39" s="1"/>
  <c r="K10" i="39"/>
  <c r="F10" i="44" s="1"/>
  <c r="H33" i="39"/>
  <c r="E36" i="39"/>
  <c r="A36" i="39" s="1"/>
  <c r="K18" i="39"/>
  <c r="F18" i="44" s="1"/>
  <c r="E24" i="39"/>
  <c r="E24" i="44" s="1"/>
  <c r="E12" i="39"/>
  <c r="M12" i="39" s="1"/>
  <c r="K14" i="39"/>
  <c r="F14" i="44" s="1"/>
  <c r="I12" i="39"/>
  <c r="H67" i="39"/>
  <c r="F44" i="39"/>
  <c r="G84" i="39"/>
  <c r="AI84" i="39" s="1"/>
  <c r="K38" i="39"/>
  <c r="G92" i="39"/>
  <c r="AH92" i="39" s="1"/>
  <c r="F40" i="39"/>
  <c r="F90" i="39"/>
  <c r="K97" i="39"/>
  <c r="G62" i="39"/>
  <c r="AJ62" i="39" s="1"/>
  <c r="K46" i="39"/>
  <c r="F52" i="39"/>
  <c r="F19" i="39"/>
  <c r="K74" i="39"/>
  <c r="I138" i="39"/>
  <c r="K123" i="39"/>
  <c r="H136" i="39"/>
  <c r="I121" i="39"/>
  <c r="F114" i="39"/>
  <c r="G124" i="39"/>
  <c r="AJ124" i="39" s="1"/>
  <c r="E101" i="39"/>
  <c r="L101" i="39" s="1"/>
  <c r="K81" i="39"/>
  <c r="H137" i="39"/>
  <c r="E109" i="39"/>
  <c r="L109" i="39" s="1"/>
  <c r="E80" i="39"/>
  <c r="M80" i="39" s="1"/>
  <c r="G113" i="39"/>
  <c r="J113" i="39" s="1"/>
  <c r="K132" i="39"/>
  <c r="G155" i="39"/>
  <c r="AH155" i="39" s="1"/>
  <c r="F150" i="39"/>
  <c r="E153" i="39"/>
  <c r="L153" i="39" s="1"/>
  <c r="H139" i="39"/>
  <c r="G158" i="39"/>
  <c r="AI158" i="39" s="1"/>
  <c r="H158" i="39"/>
  <c r="E176" i="39"/>
  <c r="A176" i="39" s="1"/>
  <c r="G156" i="39"/>
  <c r="J156" i="39" s="1"/>
  <c r="H166" i="39"/>
  <c r="E179" i="39"/>
  <c r="A179" i="39" s="1"/>
  <c r="G164" i="39"/>
  <c r="AH164" i="39" s="1"/>
  <c r="E157" i="39"/>
  <c r="M157" i="39" s="1"/>
  <c r="H130" i="39"/>
  <c r="F177" i="39"/>
  <c r="H205" i="39"/>
  <c r="G174" i="39"/>
  <c r="AH174" i="39" s="1"/>
  <c r="H186" i="39"/>
  <c r="E190" i="39"/>
  <c r="L190" i="39" s="1"/>
  <c r="F204" i="39"/>
  <c r="E204" i="39"/>
  <c r="A204" i="39" s="1"/>
  <c r="G132" i="39"/>
  <c r="AI132" i="39" s="1"/>
  <c r="E175" i="39"/>
  <c r="L175" i="39" s="1"/>
  <c r="H197" i="39"/>
  <c r="K91" i="39"/>
  <c r="F55" i="39"/>
  <c r="F129" i="39"/>
  <c r="K103" i="39"/>
  <c r="H150" i="39"/>
  <c r="H181" i="39"/>
  <c r="F195" i="39"/>
  <c r="K176" i="39"/>
  <c r="I77" i="39"/>
  <c r="E137" i="39"/>
  <c r="M137" i="39" s="1"/>
  <c r="G117" i="39"/>
  <c r="AI117" i="39" s="1"/>
  <c r="E167" i="39"/>
  <c r="L167" i="39" s="1"/>
  <c r="F180" i="39"/>
  <c r="G25" i="39"/>
  <c r="J25" i="39" s="1"/>
  <c r="H30" i="39"/>
  <c r="I30" i="39"/>
  <c r="G13" i="39"/>
  <c r="J13" i="39" s="1"/>
  <c r="H38" i="39"/>
  <c r="I38" i="39"/>
  <c r="G21" i="39"/>
  <c r="J21" i="39" s="1"/>
  <c r="F9" i="39"/>
  <c r="I14" i="39"/>
  <c r="G17" i="39"/>
  <c r="AH17" i="39" s="1"/>
  <c r="E15" i="39"/>
  <c r="E15" i="44" s="1"/>
  <c r="I71" i="39"/>
  <c r="G49" i="39"/>
  <c r="AH49" i="39" s="1"/>
  <c r="K86" i="39"/>
  <c r="K44" i="39"/>
  <c r="K94" i="39"/>
  <c r="G47" i="39"/>
  <c r="AH47" i="39" s="1"/>
  <c r="I26" i="39"/>
  <c r="G100" i="39"/>
  <c r="AH100" i="39" s="1"/>
  <c r="F24" i="39"/>
  <c r="E52" i="39"/>
  <c r="L52" i="39" s="1"/>
  <c r="G53" i="39"/>
  <c r="AH53" i="39" s="1"/>
  <c r="G34" i="39"/>
  <c r="AH34" i="39" s="1"/>
  <c r="K77" i="39"/>
  <c r="E141" i="39"/>
  <c r="A141" i="39" s="1"/>
  <c r="G126" i="39"/>
  <c r="AJ126" i="39" s="1"/>
  <c r="H141" i="39"/>
  <c r="E124" i="39"/>
  <c r="A124" i="39" s="1"/>
  <c r="F119" i="39"/>
  <c r="K126" i="39"/>
  <c r="K107" i="39"/>
  <c r="I87" i="39"/>
  <c r="H142" i="39"/>
  <c r="K112" i="39"/>
  <c r="F86" i="39"/>
  <c r="K115" i="39"/>
  <c r="H133" i="39"/>
  <c r="K157" i="39"/>
  <c r="H155" i="39"/>
  <c r="I155" i="39"/>
  <c r="F140" i="39"/>
  <c r="K160" i="39"/>
  <c r="H163" i="39"/>
  <c r="I178" i="39"/>
  <c r="K158" i="39"/>
  <c r="H171" i="39"/>
  <c r="I181" i="39"/>
  <c r="K166" i="39"/>
  <c r="I159" i="39"/>
  <c r="G118" i="39"/>
  <c r="J118" i="39" s="1"/>
  <c r="F189" i="39"/>
  <c r="F203" i="39"/>
  <c r="E181" i="39"/>
  <c r="L181" i="39" s="1"/>
  <c r="F198" i="39"/>
  <c r="F193" i="39"/>
  <c r="K204" i="39"/>
  <c r="G179" i="39"/>
  <c r="AH179" i="39" s="1"/>
  <c r="F188" i="39"/>
  <c r="F178" i="39"/>
  <c r="H202" i="39"/>
  <c r="H40" i="39"/>
  <c r="H48" i="39"/>
  <c r="G9" i="39"/>
  <c r="AI9" i="39" s="1"/>
  <c r="E20" i="39"/>
  <c r="M20" i="39" s="1"/>
  <c r="K72" i="39"/>
  <c r="F30" i="39"/>
  <c r="E81" i="39"/>
  <c r="L81" i="39" s="1"/>
  <c r="E129" i="39"/>
  <c r="A129" i="39" s="1"/>
  <c r="F91" i="39"/>
  <c r="K162" i="39"/>
  <c r="H173" i="39"/>
  <c r="I125" i="39"/>
  <c r="H183" i="39"/>
  <c r="H191" i="39"/>
  <c r="G103" i="39"/>
  <c r="AH103" i="39" s="1"/>
  <c r="G165" i="39"/>
  <c r="AJ165" i="39" s="1"/>
  <c r="G168" i="39"/>
  <c r="AH168" i="39" s="1"/>
  <c r="H144" i="39"/>
  <c r="I186" i="39"/>
  <c r="K196" i="39"/>
  <c r="K27" i="39"/>
  <c r="H35" i="39"/>
  <c r="E33" i="39"/>
  <c r="M33" i="39" s="1"/>
  <c r="K15" i="39"/>
  <c r="F15" i="44" s="1"/>
  <c r="H43" i="39"/>
  <c r="E41" i="39"/>
  <c r="L41" i="39" s="1"/>
  <c r="H11" i="39"/>
  <c r="F14" i="39"/>
  <c r="E17" i="39"/>
  <c r="E17" i="44" s="1"/>
  <c r="K19" i="39"/>
  <c r="F19" i="44" s="1"/>
  <c r="I17" i="39"/>
  <c r="E75" i="39"/>
  <c r="L75" i="39" s="1"/>
  <c r="K50" i="39"/>
  <c r="G89" i="39"/>
  <c r="AJ89" i="39" s="1"/>
  <c r="G48" i="39"/>
  <c r="AH48" i="39" s="1"/>
  <c r="G97" i="39"/>
  <c r="AJ97" i="39" s="1"/>
  <c r="G69" i="39"/>
  <c r="J69" i="39" s="1"/>
  <c r="K28" i="39"/>
  <c r="K102" i="39"/>
  <c r="F42" i="39"/>
  <c r="F53" i="39"/>
  <c r="H54" i="39"/>
  <c r="F36" i="39"/>
  <c r="E78" i="39"/>
  <c r="L78" i="39" s="1"/>
  <c r="I143" i="39"/>
  <c r="K128" i="39"/>
  <c r="H146" i="39"/>
  <c r="I126" i="39"/>
  <c r="F124" i="39"/>
  <c r="G129" i="39"/>
  <c r="AI129" i="39" s="1"/>
  <c r="E108" i="39"/>
  <c r="A108" i="39" s="1"/>
  <c r="K98" i="39"/>
  <c r="F83" i="39"/>
  <c r="G115" i="39"/>
  <c r="J115" i="39" s="1"/>
  <c r="I90" i="39"/>
  <c r="I74" i="39"/>
  <c r="I134" i="39"/>
  <c r="G160" i="39"/>
  <c r="AJ160" i="39" s="1"/>
  <c r="H160" i="39"/>
  <c r="E158" i="39"/>
  <c r="A158" i="39" s="1"/>
  <c r="G147" i="39"/>
  <c r="AI147" i="39" s="1"/>
  <c r="G163" i="39"/>
  <c r="AH163" i="39" s="1"/>
  <c r="H168" i="39"/>
  <c r="I117" i="39"/>
  <c r="G161" i="39"/>
  <c r="J161" i="39" s="1"/>
  <c r="H176" i="39"/>
  <c r="E184" i="39"/>
  <c r="L184" i="39" s="1"/>
  <c r="I109" i="39"/>
  <c r="E162" i="39"/>
  <c r="A162" i="39" s="1"/>
  <c r="H124" i="39"/>
  <c r="F192" i="39"/>
  <c r="I206" i="39"/>
  <c r="F182" i="39"/>
  <c r="H201" i="39"/>
  <c r="H198" i="39"/>
  <c r="F169" i="39"/>
  <c r="I187" i="39"/>
  <c r="F191" i="39"/>
  <c r="H188" i="39"/>
  <c r="I202" i="39"/>
  <c r="K49" i="39"/>
  <c r="E146" i="39"/>
  <c r="L146" i="39" s="1"/>
  <c r="G101" i="39"/>
  <c r="J101" i="39" s="1"/>
  <c r="H165" i="39"/>
  <c r="H119" i="39"/>
  <c r="I164" i="39"/>
  <c r="I182" i="39"/>
  <c r="E205" i="39"/>
  <c r="L205" i="39" s="1"/>
  <c r="F102" i="39"/>
  <c r="E163" i="39"/>
  <c r="A163" i="39" s="1"/>
  <c r="G166" i="39"/>
  <c r="AI166" i="39" s="1"/>
  <c r="F200" i="39"/>
  <c r="K169" i="39"/>
  <c r="I35" i="39"/>
  <c r="G18" i="39"/>
  <c r="AJ18" i="39" s="1"/>
  <c r="I43" i="39"/>
  <c r="F78" i="39"/>
  <c r="F45" i="39"/>
  <c r="G135" i="39"/>
  <c r="AH135" i="39" s="1"/>
  <c r="H196" i="39"/>
  <c r="G202" i="39"/>
  <c r="AJ202" i="39" s="1"/>
  <c r="K154" i="39"/>
  <c r="K32" i="39"/>
  <c r="H45" i="39"/>
  <c r="E38" i="39"/>
  <c r="A38" i="39" s="1"/>
  <c r="K20" i="39"/>
  <c r="F20" i="44" s="1"/>
  <c r="H53" i="39"/>
  <c r="E46" i="39"/>
  <c r="M46" i="39" s="1"/>
  <c r="H21" i="39"/>
  <c r="K11" i="39"/>
  <c r="F11" i="44" s="1"/>
  <c r="E22" i="39"/>
  <c r="L22" i="39" s="1"/>
  <c r="K24" i="39"/>
  <c r="F24" i="44" s="1"/>
  <c r="I22" i="39"/>
  <c r="F81" i="39"/>
  <c r="E68" i="39"/>
  <c r="A68" i="39" s="1"/>
  <c r="I31" i="39"/>
  <c r="I68" i="39"/>
  <c r="G102" i="39"/>
  <c r="AJ102" i="39" s="1"/>
  <c r="F73" i="39"/>
  <c r="F46" i="39"/>
  <c r="G37" i="39"/>
  <c r="AH37" i="39" s="1"/>
  <c r="G56" i="39"/>
  <c r="AH56" i="39" s="1"/>
  <c r="E55" i="39"/>
  <c r="L55" i="39" s="1"/>
  <c r="H57" i="39"/>
  <c r="I51" i="39"/>
  <c r="H86" i="39"/>
  <c r="K82" i="39"/>
  <c r="K133" i="39"/>
  <c r="H64" i="39"/>
  <c r="I131" i="39"/>
  <c r="G120" i="39"/>
  <c r="AH120" i="39" s="1"/>
  <c r="I105" i="39"/>
  <c r="I115" i="39"/>
  <c r="K37" i="39"/>
  <c r="H55" i="39"/>
  <c r="E43" i="39"/>
  <c r="L43" i="39" s="1"/>
  <c r="K25" i="39"/>
  <c r="F25" i="44" s="1"/>
  <c r="H63" i="39"/>
  <c r="E51" i="39"/>
  <c r="A51" i="39" s="1"/>
  <c r="H31" i="39"/>
  <c r="K16" i="39"/>
  <c r="F16" i="44" s="1"/>
  <c r="E27" i="39"/>
  <c r="L27" i="39" s="1"/>
  <c r="K29" i="39"/>
  <c r="I27" i="39"/>
  <c r="I86" i="39"/>
  <c r="G78" i="39"/>
  <c r="J78" i="39" s="1"/>
  <c r="F48" i="39"/>
  <c r="I84" i="39"/>
  <c r="F35" i="39"/>
  <c r="G79" i="39"/>
  <c r="AH79" i="39" s="1"/>
  <c r="F61" i="39"/>
  <c r="F59" i="39"/>
  <c r="G58" i="39"/>
  <c r="AH58" i="39" s="1"/>
  <c r="G57" i="39"/>
  <c r="AJ57" i="39" s="1"/>
  <c r="K60" i="39"/>
  <c r="K53" i="39"/>
  <c r="K80" i="39"/>
  <c r="I89" i="39"/>
  <c r="K138" i="39"/>
  <c r="E77" i="39"/>
  <c r="L77" i="39" s="1"/>
  <c r="I136" i="39"/>
  <c r="H88" i="39"/>
  <c r="I88" i="39"/>
  <c r="G66" i="39"/>
  <c r="AH66" i="39" s="1"/>
  <c r="G108" i="39"/>
  <c r="AH108" i="39" s="1"/>
  <c r="I112" i="39"/>
  <c r="G40" i="39"/>
  <c r="AH40" i="39" s="1"/>
  <c r="H60" i="39"/>
  <c r="I45" i="39"/>
  <c r="G28" i="39"/>
  <c r="AH28" i="39" s="1"/>
  <c r="H68" i="39"/>
  <c r="I53" i="39"/>
  <c r="H36" i="39"/>
  <c r="G19" i="39"/>
  <c r="AH19" i="39" s="1"/>
  <c r="I29" i="39"/>
  <c r="G32" i="39"/>
  <c r="AH32" i="39" s="1"/>
  <c r="E30" i="39"/>
  <c r="L30" i="39" s="1"/>
  <c r="E89" i="39"/>
  <c r="A89" i="39" s="1"/>
  <c r="G81" i="39"/>
  <c r="J81" i="39" s="1"/>
  <c r="K67" i="39"/>
  <c r="K31" i="39"/>
  <c r="F43" i="39"/>
  <c r="G82" i="39"/>
  <c r="AI82" i="39" s="1"/>
  <c r="E62" i="39"/>
  <c r="M62" i="39" s="1"/>
  <c r="G61" i="39"/>
  <c r="AJ61" i="39" s="1"/>
  <c r="H59" i="39"/>
  <c r="I59" i="39"/>
  <c r="K64" i="39"/>
  <c r="K55" i="39"/>
  <c r="H85" i="39"/>
  <c r="E95" i="39"/>
  <c r="A95" i="39" s="1"/>
  <c r="H72" i="39"/>
  <c r="F88" i="39"/>
  <c r="E139" i="39"/>
  <c r="L139" i="39" s="1"/>
  <c r="E92" i="39"/>
  <c r="A92" i="39" s="1"/>
  <c r="F92" i="39"/>
  <c r="E70" i="39"/>
  <c r="L70" i="39" s="1"/>
  <c r="K70" i="39"/>
  <c r="E67" i="39"/>
  <c r="L67" i="39" s="1"/>
  <c r="K127" i="39"/>
  <c r="E113" i="39"/>
  <c r="L113" i="39" s="1"/>
  <c r="H113" i="39"/>
  <c r="K149" i="39"/>
  <c r="K172" i="39"/>
  <c r="H185" i="39"/>
  <c r="I170" i="39"/>
  <c r="F168" i="39"/>
  <c r="K175" i="39"/>
  <c r="I140" i="39"/>
  <c r="E151" i="39"/>
  <c r="M151" i="39" s="1"/>
  <c r="K173" i="39"/>
  <c r="F143" i="39"/>
  <c r="F144" i="39"/>
  <c r="E149" i="39"/>
  <c r="L149" i="39" s="1"/>
  <c r="I174" i="39"/>
  <c r="F133" i="39"/>
  <c r="F172" i="39"/>
  <c r="I177" i="39"/>
  <c r="I189" i="39"/>
  <c r="E193" i="39"/>
  <c r="A193" i="39" s="1"/>
  <c r="E180" i="39"/>
  <c r="L180" i="39" s="1"/>
  <c r="H193" i="39"/>
  <c r="K190" i="39"/>
  <c r="E133" i="39"/>
  <c r="L133" i="39" s="1"/>
  <c r="E202" i="39"/>
  <c r="M202" i="39" s="1"/>
  <c r="E189" i="39"/>
  <c r="L189" i="39" s="1"/>
  <c r="K42" i="39"/>
  <c r="H65" i="39"/>
  <c r="E48" i="39"/>
  <c r="M48" i="39" s="1"/>
  <c r="K30" i="39"/>
  <c r="H73" i="39"/>
  <c r="E56" i="39"/>
  <c r="L56" i="39" s="1"/>
  <c r="H41" i="39"/>
  <c r="K21" i="39"/>
  <c r="F21" i="44" s="1"/>
  <c r="E32" i="39"/>
  <c r="L32" i="39" s="1"/>
  <c r="K34" i="39"/>
  <c r="I32" i="39"/>
  <c r="I91" i="39"/>
  <c r="F84" i="39"/>
  <c r="G68" i="39"/>
  <c r="AI68" i="39" s="1"/>
  <c r="K33" i="39"/>
  <c r="F47" i="39"/>
  <c r="K23" i="39"/>
  <c r="F23" i="44" s="1"/>
  <c r="F63" i="39"/>
  <c r="F62" i="39"/>
  <c r="F60" i="39"/>
  <c r="K61" i="39"/>
  <c r="F34" i="39"/>
  <c r="G36" i="39"/>
  <c r="AI36" i="39" s="1"/>
  <c r="E106" i="39"/>
  <c r="L106" i="39" s="1"/>
  <c r="K105" i="39"/>
  <c r="O29" i="39"/>
  <c r="M19" i="60"/>
  <c r="P20" i="60" s="1"/>
  <c r="P22" i="68"/>
  <c r="P23" i="68"/>
  <c r="P21" i="68"/>
  <c r="P19" i="68"/>
  <c r="V14" i="68"/>
  <c r="M14" i="68" s="1"/>
  <c r="P16" i="68" s="1"/>
  <c r="AI50" i="100"/>
  <c r="M14" i="60"/>
  <c r="W9" i="60"/>
  <c r="M9" i="60" s="1"/>
  <c r="F45" i="10"/>
  <c r="D42" i="10"/>
  <c r="D43" i="10"/>
  <c r="D49" i="10"/>
  <c r="D50" i="10"/>
  <c r="D37" i="10"/>
  <c r="D38" i="10"/>
  <c r="F57" i="10"/>
  <c r="D54" i="10"/>
  <c r="D55" i="10"/>
  <c r="J50" i="39"/>
  <c r="AH50" i="39"/>
  <c r="AI50" i="39"/>
  <c r="AJ50" i="39"/>
  <c r="J169" i="39" l="1"/>
  <c r="AI169" i="39"/>
  <c r="AH169" i="39"/>
  <c r="P17" i="68"/>
  <c r="P14" i="68"/>
  <c r="A160" i="39"/>
  <c r="Y160" i="39" s="1"/>
  <c r="AJ152" i="39"/>
  <c r="AI152" i="39"/>
  <c r="AH152" i="39"/>
  <c r="A159" i="39"/>
  <c r="Y159" i="39" s="1"/>
  <c r="L160" i="39"/>
  <c r="J141" i="39"/>
  <c r="AJ141" i="39"/>
  <c r="AJ149" i="39"/>
  <c r="AH149" i="39"/>
  <c r="J149" i="39"/>
  <c r="A195" i="39"/>
  <c r="AF195" i="39" s="1"/>
  <c r="M159" i="39"/>
  <c r="AH141" i="39"/>
  <c r="M195" i="39"/>
  <c r="J187" i="39"/>
  <c r="AI187" i="39"/>
  <c r="AH187" i="39"/>
  <c r="AL199" i="39"/>
  <c r="AH151" i="39"/>
  <c r="L197" i="39"/>
  <c r="AI186" i="39"/>
  <c r="AJ186" i="39"/>
  <c r="J186" i="39"/>
  <c r="A198" i="39"/>
  <c r="AP198" i="39" s="1"/>
  <c r="J194" i="39"/>
  <c r="AL179" i="39"/>
  <c r="A197" i="39"/>
  <c r="AN197" i="39" s="1"/>
  <c r="AR204" i="39"/>
  <c r="J151" i="39"/>
  <c r="AJ151" i="39"/>
  <c r="AJ130" i="39"/>
  <c r="AI130" i="39"/>
  <c r="AI114" i="39"/>
  <c r="AJ114" i="39"/>
  <c r="AH200" i="39"/>
  <c r="AI200" i="39"/>
  <c r="AJ200" i="39"/>
  <c r="M199" i="39"/>
  <c r="J130" i="39"/>
  <c r="AL152" i="39"/>
  <c r="AJ185" i="39"/>
  <c r="J86" i="39"/>
  <c r="A123" i="39"/>
  <c r="N123" i="39" s="1"/>
  <c r="AH185" i="39"/>
  <c r="AL95" i="39"/>
  <c r="AH86" i="39"/>
  <c r="M123" i="39"/>
  <c r="L199" i="39"/>
  <c r="J185" i="39"/>
  <c r="A132" i="39"/>
  <c r="AC132" i="39" s="1"/>
  <c r="M132" i="39"/>
  <c r="J114" i="39"/>
  <c r="A192" i="39"/>
  <c r="AN192" i="39" s="1"/>
  <c r="M192" i="39"/>
  <c r="L128" i="39"/>
  <c r="M156" i="39"/>
  <c r="L156" i="39"/>
  <c r="AJ194" i="39"/>
  <c r="AI194" i="39"/>
  <c r="L154" i="39"/>
  <c r="M155" i="39"/>
  <c r="A154" i="39"/>
  <c r="Z154" i="39" s="1"/>
  <c r="M128" i="39"/>
  <c r="AJ86" i="39"/>
  <c r="M198" i="39"/>
  <c r="A155" i="39"/>
  <c r="AR155" i="39" s="1"/>
  <c r="J134" i="39"/>
  <c r="AJ134" i="39"/>
  <c r="AI134" i="39"/>
  <c r="AJ182" i="39"/>
  <c r="AI182" i="39"/>
  <c r="AH182" i="39"/>
  <c r="M182" i="39"/>
  <c r="A182" i="39"/>
  <c r="AF182" i="39" s="1"/>
  <c r="M105" i="39"/>
  <c r="L105" i="39"/>
  <c r="AI125" i="39"/>
  <c r="AH125" i="39"/>
  <c r="L206" i="39"/>
  <c r="A206" i="39"/>
  <c r="AR206" i="39" s="1"/>
  <c r="AJ184" i="39"/>
  <c r="AH184" i="39"/>
  <c r="J184" i="39"/>
  <c r="J125" i="39"/>
  <c r="AI162" i="39"/>
  <c r="AN98" i="39"/>
  <c r="A143" i="39"/>
  <c r="AP143" i="39" s="1"/>
  <c r="AJ162" i="39"/>
  <c r="M143" i="39"/>
  <c r="J162" i="39"/>
  <c r="AJ191" i="39"/>
  <c r="A121" i="39"/>
  <c r="AL121" i="39" s="1"/>
  <c r="AH72" i="39"/>
  <c r="J72" i="39"/>
  <c r="AI72" i="39"/>
  <c r="AJ172" i="39"/>
  <c r="AI191" i="39"/>
  <c r="L121" i="39"/>
  <c r="AJ146" i="39"/>
  <c r="AH146" i="39"/>
  <c r="J146" i="39"/>
  <c r="M107" i="39"/>
  <c r="A107" i="39"/>
  <c r="AC107" i="39" s="1"/>
  <c r="AI172" i="39"/>
  <c r="AH172" i="39"/>
  <c r="J191" i="39"/>
  <c r="AR134" i="39"/>
  <c r="L135" i="39"/>
  <c r="A135" i="39"/>
  <c r="AL135" i="39" s="1"/>
  <c r="AJ123" i="39"/>
  <c r="AI123" i="39"/>
  <c r="AH123" i="39"/>
  <c r="M90" i="39"/>
  <c r="L90" i="39"/>
  <c r="J38" i="39"/>
  <c r="AI38" i="39"/>
  <c r="AH38" i="39"/>
  <c r="J201" i="39"/>
  <c r="AJ93" i="39"/>
  <c r="J93" i="39"/>
  <c r="AI93" i="39"/>
  <c r="A45" i="39"/>
  <c r="N45" i="39" s="1"/>
  <c r="M45" i="39"/>
  <c r="P21" i="60"/>
  <c r="P23" i="60"/>
  <c r="P22" i="60"/>
  <c r="P19" i="60"/>
  <c r="J31" i="39"/>
  <c r="AJ31" i="39"/>
  <c r="AH133" i="39"/>
  <c r="J133" i="39"/>
  <c r="AI133" i="39"/>
  <c r="M183" i="39"/>
  <c r="AH142" i="39"/>
  <c r="AI26" i="39"/>
  <c r="AJ142" i="39"/>
  <c r="J26" i="39"/>
  <c r="L130" i="39"/>
  <c r="A166" i="39"/>
  <c r="AE166" i="39" s="1"/>
  <c r="A130" i="39"/>
  <c r="AF130" i="39" s="1"/>
  <c r="AI31" i="39"/>
  <c r="L166" i="39"/>
  <c r="A138" i="39"/>
  <c r="Y138" i="39" s="1"/>
  <c r="M138" i="39"/>
  <c r="AI76" i="39"/>
  <c r="J76" i="39"/>
  <c r="AJ76" i="39"/>
  <c r="J88" i="39"/>
  <c r="A183" i="39"/>
  <c r="AL183" i="39" s="1"/>
  <c r="AJ26" i="39"/>
  <c r="M145" i="39"/>
  <c r="A145" i="39"/>
  <c r="AP145" i="39" s="1"/>
  <c r="M178" i="39"/>
  <c r="L178" i="39"/>
  <c r="AJ144" i="39"/>
  <c r="AN34" i="39"/>
  <c r="E25" i="44"/>
  <c r="AI144" i="39"/>
  <c r="AI142" i="39"/>
  <c r="L115" i="39"/>
  <c r="J90" i="39"/>
  <c r="A115" i="39"/>
  <c r="AB115" i="39" s="1"/>
  <c r="AI90" i="39"/>
  <c r="AJ90" i="39"/>
  <c r="AJ88" i="39"/>
  <c r="AI88" i="39"/>
  <c r="A131" i="39"/>
  <c r="AP131" i="39" s="1"/>
  <c r="AH144" i="39"/>
  <c r="AR172" i="39"/>
  <c r="A169" i="39"/>
  <c r="AP169" i="39" s="1"/>
  <c r="M59" i="39"/>
  <c r="AL83" i="39"/>
  <c r="L169" i="39"/>
  <c r="L170" i="39"/>
  <c r="AH175" i="39"/>
  <c r="A116" i="39"/>
  <c r="AN116" i="39" s="1"/>
  <c r="AI175" i="39"/>
  <c r="L116" i="39"/>
  <c r="J175" i="39"/>
  <c r="G8" i="39"/>
  <c r="AI8" i="39" s="1"/>
  <c r="L93" i="39"/>
  <c r="AH197" i="39"/>
  <c r="AJ137" i="39"/>
  <c r="AI137" i="39"/>
  <c r="A8" i="39"/>
  <c r="AL8" i="39" s="1"/>
  <c r="AH137" i="39"/>
  <c r="A93" i="39"/>
  <c r="AB93" i="39" s="1"/>
  <c r="AJ27" i="39"/>
  <c r="AI15" i="39"/>
  <c r="J181" i="39"/>
  <c r="AH181" i="39"/>
  <c r="A53" i="39"/>
  <c r="AP53" i="39" s="1"/>
  <c r="M53" i="39"/>
  <c r="M142" i="39"/>
  <c r="L142" i="39"/>
  <c r="AJ170" i="39"/>
  <c r="M88" i="39"/>
  <c r="L88" i="39"/>
  <c r="AI170" i="39"/>
  <c r="AH170" i="39"/>
  <c r="AP47" i="39"/>
  <c r="A170" i="39"/>
  <c r="AR170" i="39" s="1"/>
  <c r="AI193" i="39"/>
  <c r="M200" i="39"/>
  <c r="L200" i="39"/>
  <c r="L59" i="39"/>
  <c r="AH193" i="39"/>
  <c r="M185" i="39"/>
  <c r="A185" i="39"/>
  <c r="Y185" i="39" s="1"/>
  <c r="AJ181" i="39"/>
  <c r="M203" i="39"/>
  <c r="L203" i="39"/>
  <c r="J27" i="39"/>
  <c r="AI27" i="39"/>
  <c r="AI189" i="39"/>
  <c r="M131" i="39"/>
  <c r="J193" i="39"/>
  <c r="L25" i="39"/>
  <c r="AH180" i="39"/>
  <c r="AJ201" i="39"/>
  <c r="L83" i="39"/>
  <c r="AI201" i="39"/>
  <c r="AJ197" i="39"/>
  <c r="J11" i="39"/>
  <c r="AI199" i="39"/>
  <c r="M73" i="39"/>
  <c r="L73" i="39"/>
  <c r="J197" i="39"/>
  <c r="M148" i="39"/>
  <c r="L84" i="39"/>
  <c r="AJ24" i="39"/>
  <c r="M173" i="39"/>
  <c r="A173" i="39"/>
  <c r="AT173" i="39" s="1"/>
  <c r="AI24" i="39"/>
  <c r="A84" i="39"/>
  <c r="AL84" i="39" s="1"/>
  <c r="M11" i="39"/>
  <c r="L161" i="39"/>
  <c r="L50" i="39"/>
  <c r="AJ192" i="39"/>
  <c r="M161" i="39"/>
  <c r="L11" i="39"/>
  <c r="L112" i="39"/>
  <c r="A112" i="39"/>
  <c r="AD112" i="39" s="1"/>
  <c r="L140" i="39"/>
  <c r="J24" i="39"/>
  <c r="M13" i="39"/>
  <c r="A13" i="39"/>
  <c r="AL13" i="39" s="1"/>
  <c r="L111" i="39"/>
  <c r="E13" i="44"/>
  <c r="A11" i="39"/>
  <c r="AP11" i="39" s="1"/>
  <c r="M83" i="39"/>
  <c r="M111" i="39"/>
  <c r="AI98" i="39"/>
  <c r="M140" i="39"/>
  <c r="M196" i="39"/>
  <c r="J98" i="39"/>
  <c r="L196" i="39"/>
  <c r="A50" i="39"/>
  <c r="Z50" i="39" s="1"/>
  <c r="AH98" i="39"/>
  <c r="AJ143" i="39"/>
  <c r="AH192" i="39"/>
  <c r="AI143" i="39"/>
  <c r="J192" i="39"/>
  <c r="AJ23" i="39"/>
  <c r="AH143" i="39"/>
  <c r="A91" i="39"/>
  <c r="AT91" i="39" s="1"/>
  <c r="AI23" i="39"/>
  <c r="M172" i="39"/>
  <c r="L91" i="39"/>
  <c r="J63" i="39"/>
  <c r="A201" i="39"/>
  <c r="AL201" i="39" s="1"/>
  <c r="AH23" i="39"/>
  <c r="L201" i="39"/>
  <c r="L164" i="39"/>
  <c r="A164" i="39"/>
  <c r="AL164" i="39" s="1"/>
  <c r="L120" i="39"/>
  <c r="L172" i="39"/>
  <c r="A120" i="39"/>
  <c r="Z120" i="39" s="1"/>
  <c r="AH178" i="39"/>
  <c r="A96" i="39"/>
  <c r="AP96" i="39" s="1"/>
  <c r="L96" i="39"/>
  <c r="J198" i="39"/>
  <c r="AJ204" i="39"/>
  <c r="J195" i="39"/>
  <c r="M37" i="39"/>
  <c r="J204" i="39"/>
  <c r="AI195" i="39"/>
  <c r="AJ195" i="39"/>
  <c r="L37" i="39"/>
  <c r="AJ14" i="39"/>
  <c r="AI14" i="39"/>
  <c r="AJ176" i="39"/>
  <c r="J176" i="39"/>
  <c r="AI176" i="39"/>
  <c r="AH136" i="39"/>
  <c r="J136" i="39"/>
  <c r="A118" i="39"/>
  <c r="Z118" i="39" s="1"/>
  <c r="AJ15" i="39"/>
  <c r="AH11" i="39"/>
  <c r="AI136" i="39"/>
  <c r="L118" i="39"/>
  <c r="M100" i="39"/>
  <c r="L100" i="39"/>
  <c r="J14" i="39"/>
  <c r="AH204" i="39"/>
  <c r="AJ198" i="39"/>
  <c r="M186" i="39"/>
  <c r="AI198" i="39"/>
  <c r="L47" i="39"/>
  <c r="L186" i="39"/>
  <c r="J178" i="39"/>
  <c r="AR97" i="39"/>
  <c r="AH15" i="39"/>
  <c r="M47" i="39"/>
  <c r="AJ178" i="39"/>
  <c r="AI63" i="39"/>
  <c r="L102" i="39"/>
  <c r="A102" i="39"/>
  <c r="AD102" i="39" s="1"/>
  <c r="AH139" i="39"/>
  <c r="L98" i="39"/>
  <c r="M98" i="39"/>
  <c r="J199" i="39"/>
  <c r="AJ11" i="39"/>
  <c r="AJ189" i="39"/>
  <c r="AJ199" i="39"/>
  <c r="AJ63" i="39"/>
  <c r="AH189" i="39"/>
  <c r="A25" i="39"/>
  <c r="AE25" i="39" s="1"/>
  <c r="A148" i="39"/>
  <c r="AF148" i="39" s="1"/>
  <c r="AJ180" i="39"/>
  <c r="AJ148" i="39"/>
  <c r="M126" i="39"/>
  <c r="A126" i="39"/>
  <c r="Y126" i="39" s="1"/>
  <c r="J45" i="39"/>
  <c r="AJ45" i="39"/>
  <c r="M99" i="39"/>
  <c r="A99" i="39"/>
  <c r="AN99" i="39" s="1"/>
  <c r="AJ139" i="39"/>
  <c r="J139" i="39"/>
  <c r="J148" i="39"/>
  <c r="M87" i="39"/>
  <c r="AH183" i="39"/>
  <c r="AJ46" i="39"/>
  <c r="AH46" i="39"/>
  <c r="J46" i="39"/>
  <c r="J80" i="39"/>
  <c r="AI80" i="39"/>
  <c r="AJ80" i="39"/>
  <c r="AI116" i="39"/>
  <c r="AI148" i="39"/>
  <c r="A103" i="39"/>
  <c r="AT103" i="39" s="1"/>
  <c r="AI180" i="39"/>
  <c r="AH116" i="39"/>
  <c r="J116" i="39"/>
  <c r="AI35" i="39"/>
  <c r="J29" i="39"/>
  <c r="AL87" i="39"/>
  <c r="AH35" i="39"/>
  <c r="AT162" i="39"/>
  <c r="A127" i="39"/>
  <c r="Z127" i="39" s="1"/>
  <c r="AI45" i="39"/>
  <c r="M35" i="39"/>
  <c r="L103" i="39"/>
  <c r="L35" i="39"/>
  <c r="AJ64" i="39"/>
  <c r="AT58" i="39"/>
  <c r="J35" i="39"/>
  <c r="AI64" i="39"/>
  <c r="AH29" i="39"/>
  <c r="AH64" i="39"/>
  <c r="M64" i="39"/>
  <c r="AL128" i="39"/>
  <c r="AJ183" i="39"/>
  <c r="J183" i="39"/>
  <c r="AH77" i="39"/>
  <c r="AI127" i="39"/>
  <c r="J127" i="39"/>
  <c r="AJ52" i="39"/>
  <c r="L87" i="39"/>
  <c r="AJ29" i="39"/>
  <c r="AH127" i="39"/>
  <c r="J52" i="39"/>
  <c r="AI77" i="39"/>
  <c r="AI52" i="39"/>
  <c r="AI106" i="39"/>
  <c r="J77" i="39"/>
  <c r="M104" i="39"/>
  <c r="J65" i="39"/>
  <c r="AJ65" i="39"/>
  <c r="AH65" i="39"/>
  <c r="J106" i="39"/>
  <c r="M127" i="39"/>
  <c r="A18" i="39"/>
  <c r="AL18" i="39" s="1"/>
  <c r="AH60" i="39"/>
  <c r="E18" i="44"/>
  <c r="J188" i="39"/>
  <c r="L18" i="39"/>
  <c r="J110" i="39"/>
  <c r="J150" i="39"/>
  <c r="AH42" i="39"/>
  <c r="AH71" i="39"/>
  <c r="AH110" i="39"/>
  <c r="J173" i="39"/>
  <c r="AJ173" i="39"/>
  <c r="A66" i="39"/>
  <c r="AB66" i="39" s="1"/>
  <c r="AH173" i="39"/>
  <c r="AH105" i="39"/>
  <c r="AJ188" i="39"/>
  <c r="AJ96" i="39"/>
  <c r="AH188" i="39"/>
  <c r="AR117" i="39"/>
  <c r="AI42" i="39"/>
  <c r="L144" i="39"/>
  <c r="AL178" i="39"/>
  <c r="M63" i="39"/>
  <c r="A144" i="39"/>
  <c r="Y144" i="39" s="1"/>
  <c r="AJ91" i="39"/>
  <c r="AJ111" i="39"/>
  <c r="AH51" i="39"/>
  <c r="M134" i="39"/>
  <c r="AH190" i="39"/>
  <c r="AJ83" i="39"/>
  <c r="AJ51" i="39"/>
  <c r="M29" i="39"/>
  <c r="A177" i="39"/>
  <c r="AP177" i="39" s="1"/>
  <c r="AI83" i="39"/>
  <c r="AI190" i="39"/>
  <c r="AN142" i="39"/>
  <c r="L29" i="39"/>
  <c r="J60" i="39"/>
  <c r="AH111" i="39"/>
  <c r="M177" i="39"/>
  <c r="J51" i="39"/>
  <c r="J83" i="39"/>
  <c r="AI111" i="39"/>
  <c r="AJ60" i="39"/>
  <c r="E21" i="44"/>
  <c r="J105" i="39"/>
  <c r="L74" i="39"/>
  <c r="AT111" i="39"/>
  <c r="J20" i="39"/>
  <c r="M139" i="39"/>
  <c r="J71" i="39"/>
  <c r="AH39" i="39"/>
  <c r="AI96" i="39"/>
  <c r="L36" i="39"/>
  <c r="L134" i="39"/>
  <c r="AH96" i="39"/>
  <c r="J42" i="39"/>
  <c r="J190" i="39"/>
  <c r="L117" i="39"/>
  <c r="AJ156" i="39"/>
  <c r="AI91" i="39"/>
  <c r="AH156" i="39"/>
  <c r="J85" i="39"/>
  <c r="AJ164" i="39"/>
  <c r="AI74" i="39"/>
  <c r="AH91" i="39"/>
  <c r="M21" i="39"/>
  <c r="AJ85" i="39"/>
  <c r="AJ20" i="39"/>
  <c r="A60" i="39"/>
  <c r="AD60" i="39" s="1"/>
  <c r="AJ30" i="39"/>
  <c r="J74" i="39"/>
  <c r="AI156" i="39"/>
  <c r="L21" i="39"/>
  <c r="AJ105" i="39"/>
  <c r="A74" i="39"/>
  <c r="AL74" i="39" s="1"/>
  <c r="AI20" i="39"/>
  <c r="M60" i="39"/>
  <c r="J30" i="39"/>
  <c r="AJ71" i="39"/>
  <c r="AJ74" i="39"/>
  <c r="AJ138" i="39"/>
  <c r="AI85" i="39"/>
  <c r="AI89" i="39"/>
  <c r="A56" i="39"/>
  <c r="Z56" i="39" s="1"/>
  <c r="A181" i="39"/>
  <c r="AT181" i="39" s="1"/>
  <c r="A42" i="39"/>
  <c r="AT42" i="39" s="1"/>
  <c r="L42" i="39"/>
  <c r="A94" i="39"/>
  <c r="AL94" i="39" s="1"/>
  <c r="L94" i="39"/>
  <c r="AP89" i="39"/>
  <c r="M56" i="39"/>
  <c r="M61" i="39"/>
  <c r="L61" i="39"/>
  <c r="M71" i="39"/>
  <c r="AI115" i="39"/>
  <c r="AJ115" i="39"/>
  <c r="AH115" i="39"/>
  <c r="J70" i="39"/>
  <c r="J19" i="39"/>
  <c r="M39" i="39"/>
  <c r="AI70" i="39"/>
  <c r="J153" i="39"/>
  <c r="AH70" i="39"/>
  <c r="AI153" i="39"/>
  <c r="M179" i="39"/>
  <c r="L179" i="39"/>
  <c r="AL200" i="39"/>
  <c r="AI30" i="39"/>
  <c r="A139" i="39"/>
  <c r="AN139" i="39" s="1"/>
  <c r="A149" i="39"/>
  <c r="AN149" i="39" s="1"/>
  <c r="J203" i="39"/>
  <c r="M24" i="39"/>
  <c r="AI18" i="39"/>
  <c r="A165" i="39"/>
  <c r="AL165" i="39" s="1"/>
  <c r="E12" i="44"/>
  <c r="AH18" i="39"/>
  <c r="L68" i="39"/>
  <c r="M165" i="39"/>
  <c r="AI203" i="39"/>
  <c r="J89" i="39"/>
  <c r="J165" i="39"/>
  <c r="AH89" i="39"/>
  <c r="AJ203" i="39"/>
  <c r="AI39" i="39"/>
  <c r="J135" i="39"/>
  <c r="AT29" i="39"/>
  <c r="AH97" i="39"/>
  <c r="L64" i="39"/>
  <c r="A54" i="39"/>
  <c r="Y54" i="39" s="1"/>
  <c r="L12" i="39"/>
  <c r="AI59" i="39"/>
  <c r="AI157" i="39"/>
  <c r="AJ19" i="39"/>
  <c r="AN92" i="39"/>
  <c r="AJ157" i="39"/>
  <c r="J157" i="39"/>
  <c r="L39" i="39"/>
  <c r="J121" i="39"/>
  <c r="AJ100" i="39"/>
  <c r="AI22" i="39"/>
  <c r="AI19" i="39"/>
  <c r="L63" i="39"/>
  <c r="L69" i="39"/>
  <c r="J67" i="39"/>
  <c r="AJ150" i="39"/>
  <c r="J57" i="39"/>
  <c r="J59" i="39"/>
  <c r="AH22" i="39"/>
  <c r="AI150" i="39"/>
  <c r="L191" i="39"/>
  <c r="A75" i="39"/>
  <c r="AN75" i="39" s="1"/>
  <c r="AI57" i="39"/>
  <c r="A191" i="39"/>
  <c r="AR191" i="39" s="1"/>
  <c r="M75" i="39"/>
  <c r="AH57" i="39"/>
  <c r="AJ110" i="39"/>
  <c r="J100" i="39"/>
  <c r="A114" i="39"/>
  <c r="AP114" i="39" s="1"/>
  <c r="AL156" i="39"/>
  <c r="A76" i="39"/>
  <c r="N76" i="39" s="1"/>
  <c r="J54" i="39"/>
  <c r="AI44" i="39"/>
  <c r="AH10" i="39"/>
  <c r="AJ106" i="39"/>
  <c r="L49" i="39"/>
  <c r="M34" i="39"/>
  <c r="J10" i="39"/>
  <c r="A49" i="39"/>
  <c r="AL49" i="39" s="1"/>
  <c r="L34" i="39"/>
  <c r="AH122" i="39"/>
  <c r="AH44" i="39"/>
  <c r="J43" i="39"/>
  <c r="J44" i="39"/>
  <c r="J122" i="39"/>
  <c r="AH75" i="39"/>
  <c r="AJ122" i="39"/>
  <c r="AI75" i="39"/>
  <c r="J75" i="39"/>
  <c r="M76" i="39"/>
  <c r="A67" i="39"/>
  <c r="AT67" i="39" s="1"/>
  <c r="M167" i="39"/>
  <c r="M92" i="39"/>
  <c r="L92" i="39"/>
  <c r="AJ48" i="39"/>
  <c r="M68" i="39"/>
  <c r="AI103" i="39"/>
  <c r="J39" i="39"/>
  <c r="AI41" i="39"/>
  <c r="AJ145" i="39"/>
  <c r="AL38" i="39"/>
  <c r="AI73" i="39"/>
  <c r="A79" i="39"/>
  <c r="AL79" i="39" s="1"/>
  <c r="L57" i="39"/>
  <c r="A72" i="39"/>
  <c r="AL72" i="39" s="1"/>
  <c r="AI171" i="39"/>
  <c r="M9" i="39"/>
  <c r="AI49" i="39"/>
  <c r="AJ117" i="39"/>
  <c r="L9" i="39"/>
  <c r="J171" i="39"/>
  <c r="L72" i="39"/>
  <c r="A16" i="39"/>
  <c r="AB16" i="39" s="1"/>
  <c r="AH206" i="39"/>
  <c r="M181" i="39"/>
  <c r="A9" i="39"/>
  <c r="AT9" i="39" s="1"/>
  <c r="E16" i="44"/>
  <c r="J206" i="39"/>
  <c r="M54" i="39"/>
  <c r="AI102" i="39"/>
  <c r="AJ59" i="39"/>
  <c r="AH102" i="39"/>
  <c r="L137" i="39"/>
  <c r="A137" i="39"/>
  <c r="AP137" i="39" s="1"/>
  <c r="L89" i="39"/>
  <c r="M85" i="39"/>
  <c r="A40" i="39"/>
  <c r="AR40" i="39" s="1"/>
  <c r="L85" i="39"/>
  <c r="M136" i="39"/>
  <c r="M40" i="39"/>
  <c r="J168" i="39"/>
  <c r="AJ171" i="39"/>
  <c r="AH121" i="39"/>
  <c r="AI168" i="39"/>
  <c r="AJ121" i="39"/>
  <c r="AI69" i="39"/>
  <c r="AH117" i="39"/>
  <c r="A57" i="39"/>
  <c r="AP57" i="39" s="1"/>
  <c r="J117" i="39"/>
  <c r="M70" i="39"/>
  <c r="AT63" i="39"/>
  <c r="L104" i="39"/>
  <c r="AH160" i="39"/>
  <c r="AI160" i="39"/>
  <c r="AP161" i="39"/>
  <c r="A82" i="39"/>
  <c r="AP82" i="39" s="1"/>
  <c r="M101" i="39"/>
  <c r="J160" i="39"/>
  <c r="L82" i="39"/>
  <c r="A101" i="39"/>
  <c r="AP101" i="39" s="1"/>
  <c r="AJ10" i="39"/>
  <c r="J102" i="39"/>
  <c r="AP37" i="39"/>
  <c r="AI140" i="39"/>
  <c r="AN61" i="39"/>
  <c r="AH55" i="39"/>
  <c r="J73" i="39"/>
  <c r="AJ128" i="39"/>
  <c r="AJ73" i="39"/>
  <c r="AH128" i="39"/>
  <c r="J154" i="39"/>
  <c r="AJ41" i="39"/>
  <c r="AJ154" i="39"/>
  <c r="J58" i="39"/>
  <c r="M168" i="39"/>
  <c r="AI154" i="39"/>
  <c r="AJ58" i="39"/>
  <c r="L168" i="39"/>
  <c r="AI58" i="39"/>
  <c r="J33" i="39"/>
  <c r="J128" i="39"/>
  <c r="L188" i="39"/>
  <c r="A43" i="39"/>
  <c r="Y43" i="39" s="1"/>
  <c r="AH33" i="39"/>
  <c r="M36" i="39"/>
  <c r="AI138" i="39"/>
  <c r="AJ49" i="39"/>
  <c r="AJ68" i="39"/>
  <c r="L66" i="39"/>
  <c r="M16" i="39"/>
  <c r="AJ206" i="39"/>
  <c r="AH138" i="39"/>
  <c r="J49" i="39"/>
  <c r="AJ177" i="39"/>
  <c r="AH177" i="39"/>
  <c r="AP136" i="39"/>
  <c r="AJ94" i="39"/>
  <c r="M89" i="39"/>
  <c r="AH68" i="39"/>
  <c r="O207" i="39" a="1"/>
  <c r="O207" i="39" s="1"/>
  <c r="O216" i="39" s="1"/>
  <c r="M26" i="39"/>
  <c r="AJ55" i="39"/>
  <c r="AH109" i="39"/>
  <c r="AI55" i="39"/>
  <c r="AH104" i="39"/>
  <c r="AI104" i="39"/>
  <c r="A26" i="39"/>
  <c r="AR26" i="39" s="1"/>
  <c r="AH69" i="39"/>
  <c r="AJ168" i="39"/>
  <c r="AI177" i="39"/>
  <c r="E26" i="44"/>
  <c r="A70" i="39"/>
  <c r="AN70" i="39" s="1"/>
  <c r="AJ104" i="39"/>
  <c r="M14" i="39"/>
  <c r="AI47" i="39"/>
  <c r="AJ43" i="39"/>
  <c r="L14" i="39"/>
  <c r="AL140" i="39"/>
  <c r="J41" i="39"/>
  <c r="AI94" i="39"/>
  <c r="AI43" i="39"/>
  <c r="M114" i="39"/>
  <c r="M117" i="39"/>
  <c r="J112" i="39"/>
  <c r="AJ112" i="39"/>
  <c r="AI112" i="39"/>
  <c r="M97" i="39"/>
  <c r="M188" i="39"/>
  <c r="E14" i="44"/>
  <c r="AN39" i="39"/>
  <c r="L97" i="39"/>
  <c r="L79" i="39"/>
  <c r="AH67" i="39"/>
  <c r="AN90" i="39"/>
  <c r="L136" i="39"/>
  <c r="M58" i="39"/>
  <c r="A86" i="39"/>
  <c r="Z86" i="39" s="1"/>
  <c r="L58" i="39"/>
  <c r="AH94" i="39"/>
  <c r="AI145" i="39"/>
  <c r="J145" i="39"/>
  <c r="M86" i="39"/>
  <c r="J140" i="39"/>
  <c r="AJ140" i="39"/>
  <c r="A69" i="39"/>
  <c r="AF69" i="39" s="1"/>
  <c r="M122" i="39"/>
  <c r="J109" i="39"/>
  <c r="AJ33" i="39"/>
  <c r="A122" i="39"/>
  <c r="AN122" i="39" s="1"/>
  <c r="AJ109" i="39"/>
  <c r="AL108" i="39"/>
  <c r="AL176" i="39"/>
  <c r="AN28" i="39"/>
  <c r="AH9" i="39"/>
  <c r="L157" i="39"/>
  <c r="AJ22" i="39"/>
  <c r="A32" i="39"/>
  <c r="AP32" i="39" s="1"/>
  <c r="AJ99" i="39"/>
  <c r="M193" i="39"/>
  <c r="J179" i="39"/>
  <c r="J124" i="39"/>
  <c r="AJ179" i="39"/>
  <c r="AJ67" i="39"/>
  <c r="AJ69" i="39"/>
  <c r="AJ32" i="39"/>
  <c r="AJ47" i="39"/>
  <c r="J131" i="39"/>
  <c r="AJ13" i="39"/>
  <c r="AI13" i="39"/>
  <c r="AI100" i="39"/>
  <c r="AJ54" i="39"/>
  <c r="AI54" i="39"/>
  <c r="J103" i="39"/>
  <c r="J164" i="39"/>
  <c r="AJ103" i="39"/>
  <c r="L24" i="39"/>
  <c r="AI164" i="39"/>
  <c r="M32" i="39"/>
  <c r="A24" i="39"/>
  <c r="AN24" i="39" s="1"/>
  <c r="J18" i="39"/>
  <c r="AI131" i="39"/>
  <c r="L174" i="39"/>
  <c r="A180" i="39"/>
  <c r="AL180" i="39" s="1"/>
  <c r="A174" i="39"/>
  <c r="AP174" i="39" s="1"/>
  <c r="J84" i="39"/>
  <c r="AI165" i="39"/>
  <c r="M152" i="39"/>
  <c r="AH165" i="39"/>
  <c r="J32" i="39"/>
  <c r="AI32" i="39"/>
  <c r="AP188" i="39"/>
  <c r="M23" i="39"/>
  <c r="L23" i="39"/>
  <c r="A19" i="39"/>
  <c r="AL19" i="39" s="1"/>
  <c r="J87" i="39"/>
  <c r="L152" i="39"/>
  <c r="E23" i="44"/>
  <c r="A7" i="39"/>
  <c r="AT7" i="39" s="1"/>
  <c r="A153" i="39"/>
  <c r="AL153" i="39" s="1"/>
  <c r="L162" i="39"/>
  <c r="L193" i="39"/>
  <c r="AJ158" i="39"/>
  <c r="A133" i="39"/>
  <c r="AN133" i="39" s="1"/>
  <c r="M153" i="39"/>
  <c r="AH158" i="39"/>
  <c r="J174" i="39"/>
  <c r="A30" i="39"/>
  <c r="AT30" i="39" s="1"/>
  <c r="AT23" i="39"/>
  <c r="AI196" i="39"/>
  <c r="AI174" i="39"/>
  <c r="J158" i="39"/>
  <c r="J196" i="39"/>
  <c r="AJ196" i="39"/>
  <c r="J99" i="39"/>
  <c r="AN163" i="39"/>
  <c r="A10" i="39"/>
  <c r="AR10" i="39" s="1"/>
  <c r="J68" i="39"/>
  <c r="J9" i="39"/>
  <c r="AJ9" i="39"/>
  <c r="AR141" i="39"/>
  <c r="AJ21" i="39"/>
  <c r="M30" i="39"/>
  <c r="J47" i="39"/>
  <c r="AH84" i="39"/>
  <c r="AI179" i="39"/>
  <c r="AH119" i="39"/>
  <c r="AJ84" i="39"/>
  <c r="AJ131" i="39"/>
  <c r="AH62" i="39"/>
  <c r="AH147" i="39"/>
  <c r="M119" i="39"/>
  <c r="J56" i="39"/>
  <c r="A119" i="39"/>
  <c r="N119" i="39" s="1"/>
  <c r="AI124" i="39"/>
  <c r="M162" i="39"/>
  <c r="AJ56" i="39"/>
  <c r="A62" i="39"/>
  <c r="AR62" i="39" s="1"/>
  <c r="AT71" i="39"/>
  <c r="J163" i="39"/>
  <c r="L171" i="39"/>
  <c r="AH124" i="39"/>
  <c r="AI97" i="39"/>
  <c r="A77" i="39"/>
  <c r="AL77" i="39" s="1"/>
  <c r="AI21" i="39"/>
  <c r="AH21" i="39"/>
  <c r="M19" i="39"/>
  <c r="M171" i="39"/>
  <c r="A12" i="39"/>
  <c r="AT12" i="39" s="1"/>
  <c r="A157" i="39"/>
  <c r="AT157" i="39" s="1"/>
  <c r="M43" i="39"/>
  <c r="A146" i="39"/>
  <c r="AL146" i="39" s="1"/>
  <c r="AJ163" i="39"/>
  <c r="J97" i="39"/>
  <c r="L19" i="39"/>
  <c r="L44" i="39"/>
  <c r="AI202" i="39"/>
  <c r="AI87" i="39"/>
  <c r="AH202" i="39"/>
  <c r="M180" i="39"/>
  <c r="AJ174" i="39"/>
  <c r="AJ87" i="39"/>
  <c r="J202" i="39"/>
  <c r="M77" i="39"/>
  <c r="L62" i="39"/>
  <c r="AI159" i="39"/>
  <c r="AL196" i="39"/>
  <c r="M158" i="39"/>
  <c r="A109" i="39"/>
  <c r="AP109" i="39" s="1"/>
  <c r="L158" i="39"/>
  <c r="AJ159" i="39"/>
  <c r="M109" i="39"/>
  <c r="A52" i="39"/>
  <c r="AT52" i="39" s="1"/>
  <c r="A81" i="39"/>
  <c r="AP81" i="39" s="1"/>
  <c r="M52" i="39"/>
  <c r="J147" i="39"/>
  <c r="M81" i="39"/>
  <c r="L48" i="39"/>
  <c r="J159" i="39"/>
  <c r="AL21" i="39"/>
  <c r="AJ155" i="39"/>
  <c r="M124" i="39"/>
  <c r="AJ147" i="39"/>
  <c r="AH13" i="39"/>
  <c r="J61" i="39"/>
  <c r="J119" i="39"/>
  <c r="A55" i="39"/>
  <c r="AR55" i="39" s="1"/>
  <c r="AJ119" i="39"/>
  <c r="A80" i="39"/>
  <c r="AN80" i="39" s="1"/>
  <c r="A48" i="39"/>
  <c r="AR48" i="39" s="1"/>
  <c r="AH36" i="39"/>
  <c r="AP129" i="39"/>
  <c r="AT124" i="39"/>
  <c r="K210" i="39"/>
  <c r="A210" i="39" s="1"/>
  <c r="J155" i="39"/>
  <c r="A106" i="39"/>
  <c r="AP106" i="39" s="1"/>
  <c r="A78" i="39"/>
  <c r="AL78" i="39" s="1"/>
  <c r="AL85" i="39"/>
  <c r="AI205" i="39"/>
  <c r="AJ153" i="39"/>
  <c r="E10" i="44"/>
  <c r="AI62" i="39"/>
  <c r="A41" i="39"/>
  <c r="AT41" i="39" s="1"/>
  <c r="U52" i="42"/>
  <c r="W52" i="42" s="1"/>
  <c r="A17" i="39"/>
  <c r="AL17" i="39" s="1"/>
  <c r="AI101" i="39"/>
  <c r="J40" i="39"/>
  <c r="M67" i="39"/>
  <c r="AH99" i="39"/>
  <c r="M133" i="39"/>
  <c r="J53" i="39"/>
  <c r="AJ101" i="39"/>
  <c r="AJ25" i="39"/>
  <c r="AJ53" i="39"/>
  <c r="A190" i="39"/>
  <c r="AN190" i="39" s="1"/>
  <c r="AI25" i="39"/>
  <c r="M17" i="39"/>
  <c r="J34" i="39"/>
  <c r="AH101" i="39"/>
  <c r="AI40" i="39"/>
  <c r="AJ40" i="39"/>
  <c r="J205" i="39"/>
  <c r="AL105" i="39"/>
  <c r="AH25" i="39"/>
  <c r="L17" i="39"/>
  <c r="AH126" i="39"/>
  <c r="A113" i="39"/>
  <c r="AP113" i="39" s="1"/>
  <c r="L202" i="39"/>
  <c r="M78" i="39"/>
  <c r="K207" i="39"/>
  <c r="AH205" i="39"/>
  <c r="AT186" i="39"/>
  <c r="AJ37" i="39"/>
  <c r="M51" i="39"/>
  <c r="M113" i="39"/>
  <c r="L71" i="39"/>
  <c r="J37" i="39"/>
  <c r="A27" i="39"/>
  <c r="AL27" i="39" s="1"/>
  <c r="J82" i="39"/>
  <c r="A44" i="39"/>
  <c r="AL44" i="39" s="1"/>
  <c r="M10" i="39"/>
  <c r="J126" i="39"/>
  <c r="L33" i="39"/>
  <c r="A33" i="39"/>
  <c r="AL33" i="39" s="1"/>
  <c r="AI48" i="39"/>
  <c r="L20" i="39"/>
  <c r="AI37" i="39"/>
  <c r="AJ82" i="39"/>
  <c r="M149" i="39"/>
  <c r="AL100" i="39"/>
  <c r="J48" i="39"/>
  <c r="AL64" i="39"/>
  <c r="A31" i="39"/>
  <c r="AN31" i="39" s="1"/>
  <c r="E20" i="44"/>
  <c r="AH82" i="39"/>
  <c r="U42" i="42"/>
  <c r="W42" i="42" s="1"/>
  <c r="K214" i="39"/>
  <c r="AE214" i="39" s="1"/>
  <c r="AI155" i="39"/>
  <c r="AI126" i="39"/>
  <c r="AJ120" i="39"/>
  <c r="AJ28" i="39"/>
  <c r="M106" i="39"/>
  <c r="K209" i="39"/>
  <c r="A209" i="39" s="1"/>
  <c r="U51" i="42"/>
  <c r="W51" i="42" s="1"/>
  <c r="K213" i="39"/>
  <c r="A213" i="39" s="1"/>
  <c r="AJ95" i="39"/>
  <c r="L124" i="39"/>
  <c r="J120" i="39"/>
  <c r="J166" i="39"/>
  <c r="AI28" i="39"/>
  <c r="AL158" i="39"/>
  <c r="M175" i="39"/>
  <c r="L46" i="39"/>
  <c r="L125" i="39"/>
  <c r="AP73" i="39"/>
  <c r="AJ166" i="39"/>
  <c r="A110" i="39"/>
  <c r="AP110" i="39" s="1"/>
  <c r="A175" i="39"/>
  <c r="AB175" i="39" s="1"/>
  <c r="AI118" i="39"/>
  <c r="AH166" i="39"/>
  <c r="U50" i="42"/>
  <c r="W50" i="42" s="1"/>
  <c r="AI61" i="39"/>
  <c r="M28" i="39"/>
  <c r="A46" i="39"/>
  <c r="AP46" i="39" s="1"/>
  <c r="A125" i="39"/>
  <c r="AP125" i="39" s="1"/>
  <c r="AH61" i="39"/>
  <c r="L151" i="39"/>
  <c r="AI167" i="39"/>
  <c r="M31" i="39"/>
  <c r="L28" i="39"/>
  <c r="A150" i="39"/>
  <c r="AL150" i="39" s="1"/>
  <c r="M194" i="39"/>
  <c r="A147" i="39"/>
  <c r="AT147" i="39" s="1"/>
  <c r="L176" i="39"/>
  <c r="AJ135" i="39"/>
  <c r="M15" i="39"/>
  <c r="AI53" i="39"/>
  <c r="M108" i="39"/>
  <c r="AI163" i="39"/>
  <c r="A22" i="39"/>
  <c r="AT22" i="39" s="1"/>
  <c r="M146" i="39"/>
  <c r="AI56" i="39"/>
  <c r="L51" i="39"/>
  <c r="AI78" i="39"/>
  <c r="AJ66" i="39"/>
  <c r="M95" i="39"/>
  <c r="A151" i="39"/>
  <c r="AN151" i="39" s="1"/>
  <c r="U47" i="42"/>
  <c r="W47" i="42" s="1"/>
  <c r="K215" i="39"/>
  <c r="AF215" i="39" s="1"/>
  <c r="U41" i="42"/>
  <c r="W41" i="42" s="1"/>
  <c r="U54" i="42"/>
  <c r="W54" i="42" s="1"/>
  <c r="AH167" i="39"/>
  <c r="A189" i="39"/>
  <c r="AL189" i="39" s="1"/>
  <c r="AJ132" i="39"/>
  <c r="M176" i="39"/>
  <c r="AI135" i="39"/>
  <c r="L15" i="39"/>
  <c r="L108" i="39"/>
  <c r="M22" i="39"/>
  <c r="A167" i="39"/>
  <c r="AT167" i="39" s="1"/>
  <c r="AJ78" i="39"/>
  <c r="AI66" i="39"/>
  <c r="L95" i="39"/>
  <c r="AH132" i="39"/>
  <c r="L80" i="39"/>
  <c r="AJ34" i="39"/>
  <c r="M38" i="39"/>
  <c r="AJ161" i="39"/>
  <c r="E22" i="44"/>
  <c r="M55" i="39"/>
  <c r="M163" i="39"/>
  <c r="M27" i="39"/>
  <c r="AH78" i="39"/>
  <c r="J108" i="39"/>
  <c r="AP35" i="39"/>
  <c r="AJ17" i="39"/>
  <c r="A194" i="39"/>
  <c r="AA194" i="39" s="1"/>
  <c r="J132" i="39"/>
  <c r="AJ92" i="39"/>
  <c r="AI34" i="39"/>
  <c r="L38" i="39"/>
  <c r="AI161" i="39"/>
  <c r="L163" i="39"/>
  <c r="AI79" i="39"/>
  <c r="AJ108" i="39"/>
  <c r="U45" i="42"/>
  <c r="W45" i="42" s="1"/>
  <c r="J167" i="39"/>
  <c r="M189" i="39"/>
  <c r="M187" i="39"/>
  <c r="A187" i="39"/>
  <c r="AL187" i="39" s="1"/>
  <c r="U58" i="42"/>
  <c r="W58" i="42" s="1"/>
  <c r="A205" i="39"/>
  <c r="AL205" i="39" s="1"/>
  <c r="J16" i="39"/>
  <c r="AI92" i="39"/>
  <c r="AJ113" i="39"/>
  <c r="AH161" i="39"/>
  <c r="M65" i="39"/>
  <c r="J79" i="39"/>
  <c r="AI108" i="39"/>
  <c r="AN168" i="39"/>
  <c r="AI81" i="39"/>
  <c r="AI120" i="39"/>
  <c r="AI95" i="39"/>
  <c r="L110" i="39"/>
  <c r="AH95" i="39"/>
  <c r="AJ129" i="39"/>
  <c r="L147" i="39"/>
  <c r="L204" i="39"/>
  <c r="U53" i="42"/>
  <c r="W53" i="42" s="1"/>
  <c r="M205" i="39"/>
  <c r="AJ16" i="39"/>
  <c r="J107" i="39"/>
  <c r="J12" i="39"/>
  <c r="J92" i="39"/>
  <c r="AI113" i="39"/>
  <c r="M141" i="39"/>
  <c r="M184" i="39"/>
  <c r="M129" i="39"/>
  <c r="A65" i="39"/>
  <c r="AN65" i="39" s="1"/>
  <c r="AN59" i="39"/>
  <c r="AJ79" i="39"/>
  <c r="AH81" i="39"/>
  <c r="AL193" i="39"/>
  <c r="J28" i="39"/>
  <c r="U46" i="42"/>
  <c r="W46" i="42" s="1"/>
  <c r="AJ118" i="39"/>
  <c r="U55" i="42"/>
  <c r="W55" i="42" s="1"/>
  <c r="AI17" i="39"/>
  <c r="M150" i="39"/>
  <c r="AH118" i="39"/>
  <c r="J66" i="39"/>
  <c r="M204" i="39"/>
  <c r="U44" i="42"/>
  <c r="W44" i="42" s="1"/>
  <c r="U48" i="42"/>
  <c r="W48" i="42" s="1"/>
  <c r="K212" i="39"/>
  <c r="BK1098" i="42" s="1"/>
  <c r="AI16" i="39"/>
  <c r="AJ107" i="39"/>
  <c r="AJ12" i="39"/>
  <c r="AH113" i="39"/>
  <c r="L141" i="39"/>
  <c r="A184" i="39"/>
  <c r="AP184" i="39" s="1"/>
  <c r="L129" i="39"/>
  <c r="AJ81" i="39"/>
  <c r="AJ36" i="39"/>
  <c r="U56" i="42"/>
  <c r="W56" i="42" s="1"/>
  <c r="J17" i="39"/>
  <c r="AH129" i="39"/>
  <c r="U39" i="42"/>
  <c r="W39" i="42" s="1"/>
  <c r="U43" i="42"/>
  <c r="W43" i="42" s="1"/>
  <c r="K211" i="39"/>
  <c r="M190" i="39"/>
  <c r="AI107" i="39"/>
  <c r="AI12" i="39"/>
  <c r="J62" i="39"/>
  <c r="M41" i="39"/>
  <c r="A20" i="39"/>
  <c r="AP20" i="39" s="1"/>
  <c r="A202" i="39"/>
  <c r="AR202" i="39" s="1"/>
  <c r="J36" i="39"/>
  <c r="AL88" i="39"/>
  <c r="G7" i="39"/>
  <c r="K208" i="39"/>
  <c r="A208" i="39" s="1"/>
  <c r="J129" i="39"/>
  <c r="A15" i="39"/>
  <c r="AL15" i="39" s="1"/>
  <c r="U49" i="42"/>
  <c r="W49" i="42" s="1"/>
  <c r="U57" i="42"/>
  <c r="W57" i="42" s="1"/>
  <c r="AL68" i="39"/>
  <c r="P18" i="68"/>
  <c r="P15" i="68"/>
  <c r="V9" i="68"/>
  <c r="M9" i="68" s="1"/>
  <c r="P11" i="68" s="1"/>
  <c r="P11" i="60"/>
  <c r="P10" i="60"/>
  <c r="P13" i="60"/>
  <c r="P12" i="60"/>
  <c r="P9" i="60"/>
  <c r="P17" i="60"/>
  <c r="P18" i="60"/>
  <c r="P15" i="60"/>
  <c r="P16" i="60"/>
  <c r="P14" i="60"/>
  <c r="AR47" i="39"/>
  <c r="AL47" i="39"/>
  <c r="AN47" i="39"/>
  <c r="AT47" i="39"/>
  <c r="AN73" i="39"/>
  <c r="AL73" i="39"/>
  <c r="AP117" i="39"/>
  <c r="AT61" i="39"/>
  <c r="AN178" i="39"/>
  <c r="AT178" i="39"/>
  <c r="AL37" i="39"/>
  <c r="AN37" i="39"/>
  <c r="AT37" i="39"/>
  <c r="AR178" i="39"/>
  <c r="AP178" i="39"/>
  <c r="AP162" i="39"/>
  <c r="AL162" i="39"/>
  <c r="AR162" i="39"/>
  <c r="AT73" i="39"/>
  <c r="AP58" i="39"/>
  <c r="AN58" i="39"/>
  <c r="AR73" i="39"/>
  <c r="AR58" i="39"/>
  <c r="AL58" i="39"/>
  <c r="AL92" i="39"/>
  <c r="AN117" i="39"/>
  <c r="AN88" i="39"/>
  <c r="AT88" i="39"/>
  <c r="AP134" i="39"/>
  <c r="AR88" i="39"/>
  <c r="AP88" i="39"/>
  <c r="AN89" i="39"/>
  <c r="AL89" i="39"/>
  <c r="AR89" i="39"/>
  <c r="AT89" i="39"/>
  <c r="AR92" i="39"/>
  <c r="AP92" i="39"/>
  <c r="AT92" i="39"/>
  <c r="AN35" i="39"/>
  <c r="AN134" i="39"/>
  <c r="AL35" i="39"/>
  <c r="AL134" i="39"/>
  <c r="AT142" i="39"/>
  <c r="AR142" i="39"/>
  <c r="AR35" i="39"/>
  <c r="AP142" i="39"/>
  <c r="AT134" i="39"/>
  <c r="AT35" i="39"/>
  <c r="AL142" i="39"/>
  <c r="AL117" i="39"/>
  <c r="AT117" i="39"/>
  <c r="AP95" i="39"/>
  <c r="AN95" i="39"/>
  <c r="AT95" i="39"/>
  <c r="AR95" i="39"/>
  <c r="AP172" i="39"/>
  <c r="AL172" i="39"/>
  <c r="AN172" i="39"/>
  <c r="AT172" i="39"/>
  <c r="AN129" i="39"/>
  <c r="AL129" i="39"/>
  <c r="AN152" i="39"/>
  <c r="AR152" i="39"/>
  <c r="AN162" i="39"/>
  <c r="AP152" i="39"/>
  <c r="AT108" i="39"/>
  <c r="AR37" i="39"/>
  <c r="AT152" i="39"/>
  <c r="AL186" i="39"/>
  <c r="AT199" i="39"/>
  <c r="AR199" i="39"/>
  <c r="AP199" i="39"/>
  <c r="AN199" i="39"/>
  <c r="AR61" i="39"/>
  <c r="AP168" i="39"/>
  <c r="AP61" i="39"/>
  <c r="AL61" i="39"/>
  <c r="AL90" i="39"/>
  <c r="AR200" i="39"/>
  <c r="AR108" i="39"/>
  <c r="AP108" i="39"/>
  <c r="AN108" i="39"/>
  <c r="AT129" i="39"/>
  <c r="AR129" i="39"/>
  <c r="AN186" i="39"/>
  <c r="AR186" i="39"/>
  <c r="AP186" i="39"/>
  <c r="AT163" i="39"/>
  <c r="AR163" i="39"/>
  <c r="AT39" i="39"/>
  <c r="AR39" i="39"/>
  <c r="AL39" i="39"/>
  <c r="AP39" i="39"/>
  <c r="AL163" i="39"/>
  <c r="AL111" i="39"/>
  <c r="AN111" i="39"/>
  <c r="AP111" i="39"/>
  <c r="AN158" i="39"/>
  <c r="AT200" i="39"/>
  <c r="AL168" i="39"/>
  <c r="AR111" i="39"/>
  <c r="AR168" i="39"/>
  <c r="AR188" i="39"/>
  <c r="AN188" i="39"/>
  <c r="AL188" i="39"/>
  <c r="AT188" i="39"/>
  <c r="AT168" i="39"/>
  <c r="AT38" i="39"/>
  <c r="AP87" i="39"/>
  <c r="AT87" i="39"/>
  <c r="AN204" i="39"/>
  <c r="AR87" i="39"/>
  <c r="AP140" i="39"/>
  <c r="AN87" i="39"/>
  <c r="AN140" i="39"/>
  <c r="AL204" i="39"/>
  <c r="AR34" i="39"/>
  <c r="AL34" i="39"/>
  <c r="AP163" i="39"/>
  <c r="AT34" i="39"/>
  <c r="AP34" i="39"/>
  <c r="AL29" i="39"/>
  <c r="AN29" i="39"/>
  <c r="AP200" i="39"/>
  <c r="AR140" i="39"/>
  <c r="AP23" i="39"/>
  <c r="AP71" i="39"/>
  <c r="AL71" i="39"/>
  <c r="AN85" i="39"/>
  <c r="AT176" i="39"/>
  <c r="AR176" i="39"/>
  <c r="AP63" i="39"/>
  <c r="AR38" i="39"/>
  <c r="AP38" i="39"/>
  <c r="AT193" i="39"/>
  <c r="AN38" i="39"/>
  <c r="AR193" i="39"/>
  <c r="AP204" i="39"/>
  <c r="AP193" i="39"/>
  <c r="AT158" i="39"/>
  <c r="AN193" i="39"/>
  <c r="AR158" i="39"/>
  <c r="AP158" i="39"/>
  <c r="AP29" i="39"/>
  <c r="Z90" i="39"/>
  <c r="AA90" i="39"/>
  <c r="AB90" i="39"/>
  <c r="AC90" i="39"/>
  <c r="AF90" i="39"/>
  <c r="Y90" i="39"/>
  <c r="N90" i="39"/>
  <c r="AD90" i="39"/>
  <c r="AE90" i="39"/>
  <c r="Y141" i="39"/>
  <c r="AE141" i="39"/>
  <c r="AF141" i="39"/>
  <c r="N141" i="39"/>
  <c r="Z141" i="39"/>
  <c r="AA141" i="39"/>
  <c r="AB141" i="39"/>
  <c r="AD141" i="39"/>
  <c r="AC141" i="39"/>
  <c r="AE163" i="39"/>
  <c r="AF163" i="39"/>
  <c r="N163" i="39"/>
  <c r="Y163" i="39"/>
  <c r="Z163" i="39"/>
  <c r="AC163" i="39"/>
  <c r="AB163" i="39"/>
  <c r="AD163" i="39"/>
  <c r="AA163" i="39"/>
  <c r="AN63" i="39"/>
  <c r="AT68" i="39"/>
  <c r="AB171" i="39"/>
  <c r="AC171" i="39"/>
  <c r="AD171" i="39"/>
  <c r="AE171" i="39"/>
  <c r="AF171" i="39"/>
  <c r="Y171" i="39"/>
  <c r="N171" i="39"/>
  <c r="Z171" i="39"/>
  <c r="AA171" i="39"/>
  <c r="AR21" i="39"/>
  <c r="AD129" i="39"/>
  <c r="AF129" i="39"/>
  <c r="N129" i="39"/>
  <c r="Y129" i="39"/>
  <c r="Z129" i="39"/>
  <c r="AA129" i="39"/>
  <c r="AB129" i="39"/>
  <c r="AC129" i="39"/>
  <c r="AE129" i="39"/>
  <c r="AR68" i="39"/>
  <c r="Y14" i="39"/>
  <c r="Z14" i="39"/>
  <c r="AA14" i="39"/>
  <c r="AB14" i="39"/>
  <c r="AC14" i="39"/>
  <c r="AD14" i="39"/>
  <c r="AE14" i="39"/>
  <c r="AF14" i="39"/>
  <c r="N14" i="39"/>
  <c r="J14" i="44" s="1"/>
  <c r="A14" i="44" s="1"/>
  <c r="N83" i="39"/>
  <c r="Y83" i="39"/>
  <c r="Z83" i="39"/>
  <c r="AB83" i="39"/>
  <c r="AC83" i="39"/>
  <c r="AE83" i="39"/>
  <c r="AF83" i="39"/>
  <c r="AA83" i="39"/>
  <c r="AD83" i="39"/>
  <c r="AD97" i="39"/>
  <c r="N97" i="39"/>
  <c r="Y97" i="39"/>
  <c r="Z97" i="39"/>
  <c r="AA97" i="39"/>
  <c r="AB97" i="39"/>
  <c r="AC97" i="39"/>
  <c r="AE97" i="39"/>
  <c r="AF97" i="39"/>
  <c r="AP97" i="39"/>
  <c r="AR128" i="39"/>
  <c r="AT156" i="39"/>
  <c r="AC71" i="39"/>
  <c r="Y71" i="39"/>
  <c r="Z71" i="39"/>
  <c r="AA71" i="39"/>
  <c r="AB71" i="39"/>
  <c r="AD71" i="39"/>
  <c r="AF71" i="39"/>
  <c r="N71" i="39"/>
  <c r="AE71" i="39"/>
  <c r="AD158" i="39"/>
  <c r="AE158" i="39"/>
  <c r="AF158" i="39"/>
  <c r="N158" i="39"/>
  <c r="Y158" i="39"/>
  <c r="Z158" i="39"/>
  <c r="AA158" i="39"/>
  <c r="AC158" i="39"/>
  <c r="AB158" i="39"/>
  <c r="AP176" i="39"/>
  <c r="AT21" i="39"/>
  <c r="AP68" i="39"/>
  <c r="AC193" i="39"/>
  <c r="AD193" i="39"/>
  <c r="AE193" i="39"/>
  <c r="AF193" i="39"/>
  <c r="Z193" i="39"/>
  <c r="N193" i="39"/>
  <c r="Y193" i="39"/>
  <c r="AA193" i="39"/>
  <c r="AB193" i="39"/>
  <c r="AT97" i="39"/>
  <c r="AN128" i="39"/>
  <c r="AR156" i="39"/>
  <c r="AB36" i="39"/>
  <c r="AC36" i="39"/>
  <c r="AD36" i="39"/>
  <c r="AF36" i="39"/>
  <c r="Y36" i="39"/>
  <c r="Z36" i="39"/>
  <c r="N36" i="39"/>
  <c r="AA36" i="39"/>
  <c r="AE36" i="39"/>
  <c r="AT100" i="39"/>
  <c r="AN176" i="39"/>
  <c r="AP21" i="39"/>
  <c r="AB51" i="39"/>
  <c r="AC51" i="39"/>
  <c r="AD51" i="39"/>
  <c r="N51" i="39"/>
  <c r="Y51" i="39"/>
  <c r="Z51" i="39"/>
  <c r="AA51" i="39"/>
  <c r="AE51" i="39"/>
  <c r="AF51" i="39"/>
  <c r="Z117" i="39"/>
  <c r="AA117" i="39"/>
  <c r="AB117" i="39"/>
  <c r="AC117" i="39"/>
  <c r="AD117" i="39"/>
  <c r="AE117" i="39"/>
  <c r="AF117" i="39"/>
  <c r="Y117" i="39"/>
  <c r="N117" i="39"/>
  <c r="AT179" i="39"/>
  <c r="Z95" i="39"/>
  <c r="AC95" i="39"/>
  <c r="AF95" i="39"/>
  <c r="N95" i="39"/>
  <c r="Y95" i="39"/>
  <c r="AA95" i="39"/>
  <c r="AB95" i="39"/>
  <c r="AD95" i="39"/>
  <c r="AE95" i="39"/>
  <c r="AN97" i="39"/>
  <c r="Y111" i="39"/>
  <c r="AF111" i="39"/>
  <c r="N111" i="39"/>
  <c r="Z111" i="39"/>
  <c r="AA111" i="39"/>
  <c r="AB111" i="39"/>
  <c r="AD111" i="39"/>
  <c r="AE111" i="39"/>
  <c r="AC111" i="39"/>
  <c r="AP156" i="39"/>
  <c r="AC186" i="39"/>
  <c r="AF186" i="39"/>
  <c r="Y186" i="39"/>
  <c r="N186" i="39"/>
  <c r="Z186" i="39"/>
  <c r="AA186" i="39"/>
  <c r="AB186" i="39"/>
  <c r="AD186" i="39"/>
  <c r="AE186" i="39"/>
  <c r="AN71" i="39"/>
  <c r="AR100" i="39"/>
  <c r="AN21" i="39"/>
  <c r="N68" i="39"/>
  <c r="Y68" i="39"/>
  <c r="AA68" i="39"/>
  <c r="AB68" i="39"/>
  <c r="AD68" i="39"/>
  <c r="AC68" i="39"/>
  <c r="AE68" i="39"/>
  <c r="AF68" i="39"/>
  <c r="Z68" i="39"/>
  <c r="AN68" i="39"/>
  <c r="AR179" i="39"/>
  <c r="Z142" i="39"/>
  <c r="AC142" i="39"/>
  <c r="AD142" i="39"/>
  <c r="AB142" i="39"/>
  <c r="AE142" i="39"/>
  <c r="AF142" i="39"/>
  <c r="N142" i="39"/>
  <c r="AA142" i="39"/>
  <c r="Y142" i="39"/>
  <c r="N128" i="39"/>
  <c r="AC128" i="39"/>
  <c r="AF128" i="39"/>
  <c r="Y128" i="39"/>
  <c r="Z128" i="39"/>
  <c r="AA128" i="39"/>
  <c r="AB128" i="39"/>
  <c r="AD128" i="39"/>
  <c r="AE128" i="39"/>
  <c r="AF23" i="39"/>
  <c r="Y23" i="39"/>
  <c r="Z23" i="39"/>
  <c r="AA23" i="39"/>
  <c r="AB23" i="39"/>
  <c r="AC23" i="39"/>
  <c r="AD23" i="39"/>
  <c r="N23" i="39"/>
  <c r="J23" i="44" s="1"/>
  <c r="A23" i="44" s="1"/>
  <c r="AE23" i="39"/>
  <c r="AL97" i="39"/>
  <c r="Z85" i="39"/>
  <c r="AA85" i="39"/>
  <c r="AB85" i="39"/>
  <c r="AC85" i="39"/>
  <c r="AD85" i="39"/>
  <c r="AF85" i="39"/>
  <c r="Y85" i="39"/>
  <c r="N85" i="39"/>
  <c r="AE85" i="39"/>
  <c r="AR23" i="39"/>
  <c r="AT128" i="39"/>
  <c r="AN156" i="39"/>
  <c r="AR71" i="39"/>
  <c r="AP100" i="39"/>
  <c r="AT141" i="39"/>
  <c r="AT36" i="39"/>
  <c r="AP179" i="39"/>
  <c r="AP128" i="39"/>
  <c r="AN100" i="39"/>
  <c r="Y108" i="39"/>
  <c r="AC108" i="39"/>
  <c r="AA108" i="39"/>
  <c r="AB108" i="39"/>
  <c r="AD108" i="39"/>
  <c r="AE108" i="39"/>
  <c r="AF108" i="39"/>
  <c r="Z108" i="39"/>
  <c r="N108" i="39"/>
  <c r="AR36" i="39"/>
  <c r="AN179" i="39"/>
  <c r="Y35" i="39"/>
  <c r="AC35" i="39"/>
  <c r="AD35" i="39"/>
  <c r="AF35" i="39"/>
  <c r="N35" i="39"/>
  <c r="Z35" i="39"/>
  <c r="AA35" i="39"/>
  <c r="AB35" i="39"/>
  <c r="AE35" i="39"/>
  <c r="AT98" i="39"/>
  <c r="AR29" i="39"/>
  <c r="N204" i="39"/>
  <c r="Y204" i="39"/>
  <c r="Z204" i="39"/>
  <c r="AA204" i="39"/>
  <c r="AB204" i="39"/>
  <c r="AC204" i="39"/>
  <c r="AD204" i="39"/>
  <c r="AE204" i="39"/>
  <c r="AF204" i="39"/>
  <c r="Y104" i="39"/>
  <c r="Z104" i="39"/>
  <c r="AA104" i="39"/>
  <c r="AB104" i="39"/>
  <c r="AC104" i="39"/>
  <c r="AD104" i="39"/>
  <c r="AE104" i="39"/>
  <c r="AF104" i="39"/>
  <c r="N104" i="39"/>
  <c r="N188" i="39"/>
  <c r="Y188" i="39"/>
  <c r="Z188" i="39"/>
  <c r="AA188" i="39"/>
  <c r="AB188" i="39"/>
  <c r="AC188" i="39"/>
  <c r="AD188" i="39"/>
  <c r="AE188" i="39"/>
  <c r="AF188" i="39"/>
  <c r="AN200" i="39"/>
  <c r="AN23" i="39"/>
  <c r="AF28" i="39"/>
  <c r="Y28" i="39"/>
  <c r="Z28" i="39"/>
  <c r="AB28" i="39"/>
  <c r="AC28" i="39"/>
  <c r="AD28" i="39"/>
  <c r="N28" i="39"/>
  <c r="AA28" i="39"/>
  <c r="AE28" i="39"/>
  <c r="AT105" i="39"/>
  <c r="AR136" i="39"/>
  <c r="AL141" i="39"/>
  <c r="AF38" i="39"/>
  <c r="Y38" i="39"/>
  <c r="Z38" i="39"/>
  <c r="AC38" i="39"/>
  <c r="AD38" i="39"/>
  <c r="N38" i="39"/>
  <c r="AA38" i="39"/>
  <c r="AB38" i="39"/>
  <c r="AE38" i="39"/>
  <c r="AP36" i="39"/>
  <c r="AB61" i="39"/>
  <c r="AC61" i="39"/>
  <c r="AD61" i="39"/>
  <c r="Z61" i="39"/>
  <c r="AA61" i="39"/>
  <c r="AE61" i="39"/>
  <c r="AF61" i="39"/>
  <c r="N61" i="39"/>
  <c r="Y61" i="39"/>
  <c r="AR98" i="39"/>
  <c r="AD87" i="39"/>
  <c r="AE87" i="39"/>
  <c r="AF87" i="39"/>
  <c r="AC87" i="39"/>
  <c r="N87" i="39"/>
  <c r="Y87" i="39"/>
  <c r="Z87" i="39"/>
  <c r="AA87" i="39"/>
  <c r="AB87" i="39"/>
  <c r="AL23" i="39"/>
  <c r="AT104" i="39"/>
  <c r="AR105" i="39"/>
  <c r="AT136" i="39"/>
  <c r="AP141" i="39"/>
  <c r="N162" i="39"/>
  <c r="Y162" i="39"/>
  <c r="Z162" i="39"/>
  <c r="AA162" i="39"/>
  <c r="AB162" i="39"/>
  <c r="AC162" i="39"/>
  <c r="AD162" i="39"/>
  <c r="AE162" i="39"/>
  <c r="AF162" i="39"/>
  <c r="AL36" i="39"/>
  <c r="AT51" i="39"/>
  <c r="AP98" i="39"/>
  <c r="AE203" i="39"/>
  <c r="AF203" i="39"/>
  <c r="N203" i="39"/>
  <c r="AB203" i="39"/>
  <c r="Y203" i="39"/>
  <c r="Z203" i="39"/>
  <c r="AA203" i="39"/>
  <c r="AC203" i="39"/>
  <c r="AD203" i="39"/>
  <c r="AR104" i="39"/>
  <c r="AP105" i="39"/>
  <c r="AT203" i="39"/>
  <c r="Y179" i="39"/>
  <c r="Z179" i="39"/>
  <c r="AB179" i="39"/>
  <c r="AF179" i="39"/>
  <c r="AE179" i="39"/>
  <c r="N179" i="39"/>
  <c r="AA179" i="39"/>
  <c r="AC179" i="39"/>
  <c r="AD179" i="39"/>
  <c r="AN141" i="39"/>
  <c r="AN36" i="39"/>
  <c r="AF168" i="39"/>
  <c r="N168" i="39"/>
  <c r="Y168" i="39"/>
  <c r="Z168" i="39"/>
  <c r="AC168" i="39"/>
  <c r="AA168" i="39"/>
  <c r="AB168" i="39"/>
  <c r="AD168" i="39"/>
  <c r="AE168" i="39"/>
  <c r="N172" i="39"/>
  <c r="Y172" i="39"/>
  <c r="Z172" i="39"/>
  <c r="AB172" i="39"/>
  <c r="AC172" i="39"/>
  <c r="AD172" i="39"/>
  <c r="AA172" i="39"/>
  <c r="AE172" i="39"/>
  <c r="AF172" i="39"/>
  <c r="AR51" i="39"/>
  <c r="AF58" i="39"/>
  <c r="Z58" i="39"/>
  <c r="AA58" i="39"/>
  <c r="AB58" i="39"/>
  <c r="AC58" i="39"/>
  <c r="AD58" i="39"/>
  <c r="AE58" i="39"/>
  <c r="N58" i="39"/>
  <c r="Y58" i="39"/>
  <c r="AB21" i="39"/>
  <c r="AC21" i="39"/>
  <c r="AD21" i="39"/>
  <c r="AE21" i="39"/>
  <c r="AF21" i="39"/>
  <c r="N21" i="39"/>
  <c r="J21" i="44" s="1"/>
  <c r="A21" i="44" s="1"/>
  <c r="Y21" i="39"/>
  <c r="Z21" i="39"/>
  <c r="AA21" i="39"/>
  <c r="Y98" i="39"/>
  <c r="AB98" i="39"/>
  <c r="AC98" i="39"/>
  <c r="AF98" i="39"/>
  <c r="N98" i="39"/>
  <c r="Z98" i="39"/>
  <c r="AA98" i="39"/>
  <c r="AD98" i="39"/>
  <c r="AE98" i="39"/>
  <c r="AP104" i="39"/>
  <c r="AN105" i="39"/>
  <c r="AR203" i="39"/>
  <c r="Y136" i="39"/>
  <c r="N136" i="39"/>
  <c r="Z136" i="39"/>
  <c r="AA136" i="39"/>
  <c r="AB136" i="39"/>
  <c r="AC136" i="39"/>
  <c r="AD136" i="39"/>
  <c r="AE136" i="39"/>
  <c r="AF136" i="39"/>
  <c r="AN136" i="39"/>
  <c r="AT196" i="39"/>
  <c r="AT64" i="39"/>
  <c r="AP51" i="39"/>
  <c r="AL98" i="39"/>
  <c r="Y140" i="39"/>
  <c r="Z140" i="39"/>
  <c r="N140" i="39"/>
  <c r="AA140" i="39"/>
  <c r="AB140" i="39"/>
  <c r="AC140" i="39"/>
  <c r="AD140" i="39"/>
  <c r="AE140" i="39"/>
  <c r="AF140" i="39"/>
  <c r="AL104" i="39"/>
  <c r="AP203" i="39"/>
  <c r="AL136" i="39"/>
  <c r="AR196" i="39"/>
  <c r="AR64" i="39"/>
  <c r="AT59" i="39"/>
  <c r="AL51" i="39"/>
  <c r="AT204" i="39"/>
  <c r="AN104" i="39"/>
  <c r="AT28" i="39"/>
  <c r="AN203" i="39"/>
  <c r="AT161" i="39"/>
  <c r="AD124" i="39"/>
  <c r="AE124" i="39"/>
  <c r="AF124" i="39"/>
  <c r="Y124" i="39"/>
  <c r="N124" i="39"/>
  <c r="Z124" i="39"/>
  <c r="AA124" i="39"/>
  <c r="AB124" i="39"/>
  <c r="AC124" i="39"/>
  <c r="AP196" i="39"/>
  <c r="AR124" i="39"/>
  <c r="AP64" i="39"/>
  <c r="AR59" i="39"/>
  <c r="AN51" i="39"/>
  <c r="Y47" i="39"/>
  <c r="Z47" i="39"/>
  <c r="AC47" i="39"/>
  <c r="N47" i="39"/>
  <c r="AA47" i="39"/>
  <c r="AB47" i="39"/>
  <c r="AD47" i="39"/>
  <c r="AE47" i="39"/>
  <c r="AF47" i="39"/>
  <c r="N200" i="39"/>
  <c r="Y200" i="39"/>
  <c r="Z200" i="39"/>
  <c r="AA200" i="39"/>
  <c r="AB200" i="39"/>
  <c r="AC200" i="39"/>
  <c r="AD200" i="39"/>
  <c r="AE200" i="39"/>
  <c r="AF200" i="39"/>
  <c r="AR28" i="39"/>
  <c r="AL203" i="39"/>
  <c r="AR161" i="39"/>
  <c r="AT171" i="39"/>
  <c r="AN196" i="39"/>
  <c r="AP124" i="39"/>
  <c r="AN64" i="39"/>
  <c r="AP59" i="39"/>
  <c r="AT14" i="39"/>
  <c r="Y29" i="39"/>
  <c r="Z29" i="39"/>
  <c r="AB29" i="39"/>
  <c r="AC29" i="39"/>
  <c r="AD29" i="39"/>
  <c r="N29" i="39"/>
  <c r="AA29" i="39"/>
  <c r="AE29" i="39"/>
  <c r="AF29" i="39"/>
  <c r="Z100" i="39"/>
  <c r="AC100" i="39"/>
  <c r="AF100" i="39"/>
  <c r="AE100" i="39"/>
  <c r="N100" i="39"/>
  <c r="Y100" i="39"/>
  <c r="AA100" i="39"/>
  <c r="AB100" i="39"/>
  <c r="AD100" i="39"/>
  <c r="AP28" i="39"/>
  <c r="N152" i="39"/>
  <c r="Y152" i="39"/>
  <c r="Z152" i="39"/>
  <c r="AA152" i="39"/>
  <c r="AB152" i="39"/>
  <c r="AC152" i="39"/>
  <c r="AD152" i="39"/>
  <c r="AE152" i="39"/>
  <c r="AF152" i="39"/>
  <c r="AR171" i="39"/>
  <c r="AN124" i="39"/>
  <c r="N89" i="39"/>
  <c r="Y89" i="39"/>
  <c r="Z89" i="39"/>
  <c r="AA89" i="39"/>
  <c r="AB89" i="39"/>
  <c r="AC89" i="39"/>
  <c r="AD89" i="39"/>
  <c r="AE89" i="39"/>
  <c r="AF89" i="39"/>
  <c r="AD92" i="39"/>
  <c r="AF92" i="39"/>
  <c r="AC92" i="39"/>
  <c r="N92" i="39"/>
  <c r="Y92" i="39"/>
  <c r="Z92" i="39"/>
  <c r="AA92" i="39"/>
  <c r="AB92" i="39"/>
  <c r="AE92" i="39"/>
  <c r="AR14" i="39"/>
  <c r="AA161" i="39"/>
  <c r="AB161" i="39"/>
  <c r="AC161" i="39"/>
  <c r="AD161" i="39"/>
  <c r="AE161" i="39"/>
  <c r="AF161" i="39"/>
  <c r="N161" i="39"/>
  <c r="Y161" i="39"/>
  <c r="Z161" i="39"/>
  <c r="AT83" i="39"/>
  <c r="Y39" i="39"/>
  <c r="Z39" i="39"/>
  <c r="AB39" i="39"/>
  <c r="AC39" i="39"/>
  <c r="AD39" i="39"/>
  <c r="AA39" i="39"/>
  <c r="AE39" i="39"/>
  <c r="AF39" i="39"/>
  <c r="N39" i="39"/>
  <c r="AN161" i="39"/>
  <c r="AP171" i="39"/>
  <c r="AL124" i="39"/>
  <c r="Y59" i="39"/>
  <c r="Z59" i="39"/>
  <c r="AC59" i="39"/>
  <c r="AD59" i="39"/>
  <c r="AA59" i="39"/>
  <c r="AB59" i="39"/>
  <c r="AE59" i="39"/>
  <c r="AF59" i="39"/>
  <c r="N59" i="39"/>
  <c r="AL59" i="39"/>
  <c r="AP14" i="39"/>
  <c r="AB73" i="39"/>
  <c r="AC73" i="39"/>
  <c r="AD73" i="39"/>
  <c r="AE73" i="39"/>
  <c r="AF73" i="39"/>
  <c r="AA73" i="39"/>
  <c r="N73" i="39"/>
  <c r="Y73" i="39"/>
  <c r="Z73" i="39"/>
  <c r="AT90" i="39"/>
  <c r="Z156" i="39"/>
  <c r="AA156" i="39"/>
  <c r="AB156" i="39"/>
  <c r="AC156" i="39"/>
  <c r="AD156" i="39"/>
  <c r="AE156" i="39"/>
  <c r="AF156" i="39"/>
  <c r="N156" i="39"/>
  <c r="Y156" i="39"/>
  <c r="Y64" i="39"/>
  <c r="Z64" i="39"/>
  <c r="AC64" i="39"/>
  <c r="AD64" i="39"/>
  <c r="AA64" i="39"/>
  <c r="AB64" i="39"/>
  <c r="AE64" i="39"/>
  <c r="AF64" i="39"/>
  <c r="N64" i="39"/>
  <c r="AR83" i="39"/>
  <c r="AL28" i="39"/>
  <c r="N199" i="39"/>
  <c r="Y199" i="39"/>
  <c r="AA199" i="39"/>
  <c r="Z199" i="39"/>
  <c r="AB199" i="39"/>
  <c r="AC199" i="39"/>
  <c r="AD199" i="39"/>
  <c r="AE199" i="39"/>
  <c r="AF199" i="39"/>
  <c r="AL161" i="39"/>
  <c r="AN171" i="39"/>
  <c r="AD134" i="39"/>
  <c r="AF134" i="39"/>
  <c r="N134" i="39"/>
  <c r="Y134" i="39"/>
  <c r="Z134" i="39"/>
  <c r="AA134" i="39"/>
  <c r="AB134" i="39"/>
  <c r="AC134" i="39"/>
  <c r="AE134" i="39"/>
  <c r="AT85" i="39"/>
  <c r="AN14" i="39"/>
  <c r="N88" i="39"/>
  <c r="Y88" i="39"/>
  <c r="AB88" i="39"/>
  <c r="AC88" i="39"/>
  <c r="AE88" i="39"/>
  <c r="AF88" i="39"/>
  <c r="Z88" i="39"/>
  <c r="AA88" i="39"/>
  <c r="AD88" i="39"/>
  <c r="AF178" i="39"/>
  <c r="AC178" i="39"/>
  <c r="Y178" i="39"/>
  <c r="Z178" i="39"/>
  <c r="AA178" i="39"/>
  <c r="AB178" i="39"/>
  <c r="AD178" i="39"/>
  <c r="AE178" i="39"/>
  <c r="N178" i="39"/>
  <c r="AB63" i="39"/>
  <c r="AC63" i="39"/>
  <c r="AD63" i="39"/>
  <c r="AE63" i="39"/>
  <c r="AF63" i="39"/>
  <c r="N63" i="39"/>
  <c r="Y63" i="39"/>
  <c r="AA63" i="39"/>
  <c r="Z63" i="39"/>
  <c r="AR90" i="39"/>
  <c r="AP83" i="39"/>
  <c r="Y34" i="39"/>
  <c r="Z34" i="39"/>
  <c r="AB34" i="39"/>
  <c r="AC34" i="39"/>
  <c r="AD34" i="39"/>
  <c r="AA34" i="39"/>
  <c r="AE34" i="39"/>
  <c r="AF34" i="39"/>
  <c r="N34" i="39"/>
  <c r="AB176" i="39"/>
  <c r="AC176" i="39"/>
  <c r="AD176" i="39"/>
  <c r="AF176" i="39"/>
  <c r="Y176" i="39"/>
  <c r="N176" i="39"/>
  <c r="Z176" i="39"/>
  <c r="AA176" i="39"/>
  <c r="AE176" i="39"/>
  <c r="AL171" i="39"/>
  <c r="AR63" i="39"/>
  <c r="AR85" i="39"/>
  <c r="AL14" i="39"/>
  <c r="Z105" i="39"/>
  <c r="AC105" i="39"/>
  <c r="N105" i="39"/>
  <c r="Y105" i="39"/>
  <c r="AA105" i="39"/>
  <c r="AB105" i="39"/>
  <c r="AD105" i="39"/>
  <c r="AE105" i="39"/>
  <c r="AF105" i="39"/>
  <c r="AP90" i="39"/>
  <c r="AA196" i="39"/>
  <c r="AB196" i="39"/>
  <c r="AC196" i="39"/>
  <c r="AD196" i="39"/>
  <c r="AE196" i="39"/>
  <c r="AF196" i="39"/>
  <c r="N196" i="39"/>
  <c r="Y196" i="39"/>
  <c r="Z196" i="39"/>
  <c r="AN83" i="39"/>
  <c r="AT140" i="39"/>
  <c r="AL63" i="39"/>
  <c r="AP85" i="39"/>
  <c r="Y37" i="39"/>
  <c r="Z37" i="39"/>
  <c r="AC37" i="39"/>
  <c r="N37" i="39"/>
  <c r="AA37" i="39"/>
  <c r="AB37" i="39"/>
  <c r="AD37" i="39"/>
  <c r="AE37" i="39"/>
  <c r="AF37" i="39"/>
  <c r="AF160" i="39" l="1"/>
  <c r="AE160" i="39"/>
  <c r="Z160" i="39"/>
  <c r="AK426" i="42" s="1"/>
  <c r="A426" i="42" s="1"/>
  <c r="AD160" i="39"/>
  <c r="BS1258" i="42" s="1"/>
  <c r="AT160" i="39"/>
  <c r="AB160" i="39"/>
  <c r="BA842" i="42" s="1"/>
  <c r="A842" i="42" s="1"/>
  <c r="N160" i="39"/>
  <c r="AN160" i="39"/>
  <c r="AN159" i="39"/>
  <c r="AL160" i="39"/>
  <c r="AL159" i="39"/>
  <c r="AC160" i="39"/>
  <c r="BJ1050" i="42" s="1"/>
  <c r="AA160" i="39"/>
  <c r="AT634" i="42" s="1"/>
  <c r="AP160" i="39"/>
  <c r="AR160" i="39"/>
  <c r="AP159" i="39"/>
  <c r="AF159" i="39"/>
  <c r="CG1673" i="42" s="1"/>
  <c r="A1673" i="42" s="1"/>
  <c r="AR159" i="39"/>
  <c r="AC159" i="39"/>
  <c r="BK1049" i="42" s="1"/>
  <c r="AB159" i="39"/>
  <c r="BA841" i="42" s="1"/>
  <c r="A841" i="42" s="1"/>
  <c r="AT159" i="39"/>
  <c r="AA159" i="39"/>
  <c r="AT633" i="42" s="1"/>
  <c r="Z159" i="39"/>
  <c r="AN425" i="42" s="1"/>
  <c r="N159" i="39"/>
  <c r="AE159" i="39"/>
  <c r="BY1465" i="42" s="1"/>
  <c r="A1465" i="42" s="1"/>
  <c r="AD159" i="39"/>
  <c r="BT1257" i="42" s="1"/>
  <c r="AA195" i="39"/>
  <c r="AU669" i="42" s="1"/>
  <c r="Z195" i="39"/>
  <c r="AM461" i="42" s="1"/>
  <c r="AE195" i="39"/>
  <c r="BY1501" i="42" s="1"/>
  <c r="A1501" i="42" s="1"/>
  <c r="AD195" i="39"/>
  <c r="BQ1293" i="42" s="1"/>
  <c r="A1293" i="42" s="1"/>
  <c r="N195" i="39"/>
  <c r="AT195" i="39"/>
  <c r="AP195" i="39"/>
  <c r="AC195" i="39"/>
  <c r="BJ1085" i="42" s="1"/>
  <c r="AB195" i="39"/>
  <c r="BB877" i="42" s="1"/>
  <c r="Y195" i="39"/>
  <c r="AC253" i="42" s="1"/>
  <c r="A253" i="42" s="1"/>
  <c r="AR195" i="39"/>
  <c r="AN195" i="39"/>
  <c r="AL195" i="39"/>
  <c r="AP197" i="39"/>
  <c r="AL198" i="39"/>
  <c r="AT197" i="39"/>
  <c r="AL197" i="39"/>
  <c r="AR197" i="39"/>
  <c r="AE197" i="39"/>
  <c r="CB1503" i="42" s="1"/>
  <c r="AF197" i="39"/>
  <c r="CG1711" i="42" s="1"/>
  <c r="A1711" i="42" s="1"/>
  <c r="AB197" i="39"/>
  <c r="BC879" i="42" s="1"/>
  <c r="AR198" i="39"/>
  <c r="AT198" i="39"/>
  <c r="AD197" i="39"/>
  <c r="BR1295" i="42" s="1"/>
  <c r="AD198" i="39"/>
  <c r="BS1296" i="42" s="1"/>
  <c r="AA198" i="39"/>
  <c r="AT672" i="42" s="1"/>
  <c r="Z198" i="39"/>
  <c r="AL464" i="42" s="1"/>
  <c r="Y198" i="39"/>
  <c r="AC256" i="42" s="1"/>
  <c r="A256" i="42" s="1"/>
  <c r="AC198" i="39"/>
  <c r="BJ1088" i="42" s="1"/>
  <c r="N198" i="39"/>
  <c r="AN198" i="39"/>
  <c r="AB198" i="39"/>
  <c r="BD880" i="42" s="1"/>
  <c r="AF198" i="39"/>
  <c r="CI1712" i="42" s="1"/>
  <c r="AE198" i="39"/>
  <c r="CA1504" i="42" s="1"/>
  <c r="AA197" i="39"/>
  <c r="AV671" i="42" s="1"/>
  <c r="AC197" i="39"/>
  <c r="BK1087" i="42" s="1"/>
  <c r="Z197" i="39"/>
  <c r="AN463" i="42" s="1"/>
  <c r="Y197" i="39"/>
  <c r="AC255" i="42" s="1"/>
  <c r="A255" i="42" s="1"/>
  <c r="N197" i="39"/>
  <c r="AE206" i="39"/>
  <c r="BZ1512" i="42" s="1"/>
  <c r="AN206" i="39"/>
  <c r="N206" i="39"/>
  <c r="AF206" i="39"/>
  <c r="CG1720" i="42" s="1"/>
  <c r="A1720" i="42" s="1"/>
  <c r="AP206" i="39"/>
  <c r="AC206" i="39"/>
  <c r="BI1096" i="42" s="1"/>
  <c r="A1096" i="42" s="1"/>
  <c r="AD206" i="39"/>
  <c r="BS1304" i="42" s="1"/>
  <c r="AA206" i="39"/>
  <c r="AS680" i="42" s="1"/>
  <c r="A680" i="42" s="1"/>
  <c r="AB206" i="39"/>
  <c r="BD888" i="42" s="1"/>
  <c r="Z206" i="39"/>
  <c r="AK472" i="42" s="1"/>
  <c r="A472" i="42" s="1"/>
  <c r="Y206" i="39"/>
  <c r="AC264" i="42" s="1"/>
  <c r="A264" i="42" s="1"/>
  <c r="AL206" i="39"/>
  <c r="AT206" i="39"/>
  <c r="AL123" i="39"/>
  <c r="AE154" i="39"/>
  <c r="BZ1460" i="42" s="1"/>
  <c r="Y155" i="39"/>
  <c r="AF213" i="42" s="1"/>
  <c r="AP123" i="39"/>
  <c r="AN123" i="39"/>
  <c r="AL154" i="39"/>
  <c r="AF154" i="39"/>
  <c r="CG1668" i="42" s="1"/>
  <c r="A1668" i="42" s="1"/>
  <c r="AD154" i="39"/>
  <c r="BQ1252" i="42" s="1"/>
  <c r="A1252" i="42" s="1"/>
  <c r="AP154" i="39"/>
  <c r="AA154" i="39"/>
  <c r="AS628" i="42" s="1"/>
  <c r="A628" i="42" s="1"/>
  <c r="Y154" i="39"/>
  <c r="AC212" i="42" s="1"/>
  <c r="A212" i="42" s="1"/>
  <c r="AN154" i="39"/>
  <c r="AB154" i="39"/>
  <c r="BC836" i="42" s="1"/>
  <c r="N154" i="39"/>
  <c r="AT154" i="39"/>
  <c r="AC154" i="39"/>
  <c r="BK1044" i="42" s="1"/>
  <c r="AR154" i="39"/>
  <c r="N155" i="39"/>
  <c r="AA132" i="39"/>
  <c r="AT606" i="42" s="1"/>
  <c r="N132" i="39"/>
  <c r="AL132" i="39"/>
  <c r="AP155" i="39"/>
  <c r="AP132" i="39"/>
  <c r="AD123" i="39"/>
  <c r="BS1221" i="42" s="1"/>
  <c r="AB123" i="39"/>
  <c r="BC805" i="42" s="1"/>
  <c r="AT123" i="39"/>
  <c r="AA123" i="39"/>
  <c r="AS597" i="42" s="1"/>
  <c r="A597" i="42" s="1"/>
  <c r="AE123" i="39"/>
  <c r="CA1429" i="42" s="1"/>
  <c r="Z123" i="39"/>
  <c r="AL389" i="42" s="1"/>
  <c r="AT132" i="39"/>
  <c r="AF132" i="39"/>
  <c r="CH1646" i="42" s="1"/>
  <c r="AE132" i="39"/>
  <c r="BY1438" i="42" s="1"/>
  <c r="A1438" i="42" s="1"/>
  <c r="Y132" i="39"/>
  <c r="AE190" i="42" s="1"/>
  <c r="Y123" i="39"/>
  <c r="AD181" i="42" s="1"/>
  <c r="AR123" i="39"/>
  <c r="AF123" i="39"/>
  <c r="CG1637" i="42" s="1"/>
  <c r="A1637" i="42" s="1"/>
  <c r="AR132" i="39"/>
  <c r="AC123" i="39"/>
  <c r="BI1013" i="42" s="1"/>
  <c r="A1013" i="42" s="1"/>
  <c r="AL155" i="39"/>
  <c r="AB192" i="39"/>
  <c r="BA874" i="42" s="1"/>
  <c r="A874" i="42" s="1"/>
  <c r="N192" i="39"/>
  <c r="AN155" i="39"/>
  <c r="AP192" i="39"/>
  <c r="AR192" i="39"/>
  <c r="AT155" i="39"/>
  <c r="AF155" i="39"/>
  <c r="CH1669" i="42" s="1"/>
  <c r="AE155" i="39"/>
  <c r="BY1461" i="42" s="1"/>
  <c r="A1461" i="42" s="1"/>
  <c r="AD155" i="39"/>
  <c r="BR1253" i="42" s="1"/>
  <c r="AC155" i="39"/>
  <c r="BK1045" i="42" s="1"/>
  <c r="AA192" i="39"/>
  <c r="AU666" i="42" s="1"/>
  <c r="Z192" i="39"/>
  <c r="AK458" i="42" s="1"/>
  <c r="A458" i="42" s="1"/>
  <c r="Y192" i="39"/>
  <c r="AD250" i="42" s="1"/>
  <c r="AB155" i="39"/>
  <c r="BD837" i="42" s="1"/>
  <c r="AA155" i="39"/>
  <c r="AU629" i="42" s="1"/>
  <c r="Z155" i="39"/>
  <c r="AM421" i="42" s="1"/>
  <c r="AD132" i="39"/>
  <c r="BQ1230" i="42" s="1"/>
  <c r="A1230" i="42" s="1"/>
  <c r="AB132" i="39"/>
  <c r="BC814" i="42" s="1"/>
  <c r="Z132" i="39"/>
  <c r="AL398" i="42" s="1"/>
  <c r="AF192" i="39"/>
  <c r="CH1706" i="42" s="1"/>
  <c r="AN132" i="39"/>
  <c r="AE192" i="39"/>
  <c r="CA1498" i="42" s="1"/>
  <c r="AT192" i="39"/>
  <c r="AD192" i="39"/>
  <c r="BQ1290" i="42" s="1"/>
  <c r="A1290" i="42" s="1"/>
  <c r="AL192" i="39"/>
  <c r="AC192" i="39"/>
  <c r="BI1082" i="42" s="1"/>
  <c r="A1082" i="42" s="1"/>
  <c r="AC182" i="39"/>
  <c r="BI1072" i="42" s="1"/>
  <c r="A1072" i="42" s="1"/>
  <c r="AN182" i="39"/>
  <c r="N182" i="39"/>
  <c r="AD182" i="39"/>
  <c r="BS1280" i="42" s="1"/>
  <c r="AL182" i="39"/>
  <c r="AB182" i="39"/>
  <c r="BA864" i="42" s="1"/>
  <c r="A864" i="42" s="1"/>
  <c r="AR182" i="39"/>
  <c r="Z182" i="39"/>
  <c r="AL448" i="42" s="1"/>
  <c r="AA182" i="39"/>
  <c r="AT656" i="42" s="1"/>
  <c r="AE182" i="39"/>
  <c r="BY1488" i="42" s="1"/>
  <c r="A1488" i="42" s="1"/>
  <c r="Y182" i="39"/>
  <c r="AC240" i="42" s="1"/>
  <c r="A240" i="42" s="1"/>
  <c r="AP182" i="39"/>
  <c r="AT182" i="39"/>
  <c r="AR121" i="39"/>
  <c r="Z121" i="39"/>
  <c r="AK387" i="42" s="1"/>
  <c r="A387" i="42" s="1"/>
  <c r="N121" i="39"/>
  <c r="AN121" i="39"/>
  <c r="AF143" i="39"/>
  <c r="CG1657" i="42" s="1"/>
  <c r="A1657" i="42" s="1"/>
  <c r="AE143" i="39"/>
  <c r="BZ1449" i="42" s="1"/>
  <c r="AF121" i="39"/>
  <c r="CG1635" i="42" s="1"/>
  <c r="A1635" i="42" s="1"/>
  <c r="AD143" i="39"/>
  <c r="BQ1241" i="42" s="1"/>
  <c r="A1241" i="42" s="1"/>
  <c r="AE121" i="39"/>
  <c r="BY1427" i="42" s="1"/>
  <c r="A1427" i="42" s="1"/>
  <c r="AD121" i="39"/>
  <c r="BQ1219" i="42" s="1"/>
  <c r="A1219" i="42" s="1"/>
  <c r="AA121" i="39"/>
  <c r="AU595" i="42" s="1"/>
  <c r="AL143" i="39"/>
  <c r="AT143" i="39"/>
  <c r="Z143" i="39"/>
  <c r="AL409" i="42" s="1"/>
  <c r="AC143" i="39"/>
  <c r="BL1033" i="42" s="1"/>
  <c r="AA143" i="39"/>
  <c r="AV617" i="42" s="1"/>
  <c r="AN143" i="39"/>
  <c r="AB143" i="39"/>
  <c r="BC825" i="42" s="1"/>
  <c r="AR143" i="39"/>
  <c r="AC121" i="39"/>
  <c r="BI1011" i="42" s="1"/>
  <c r="A1011" i="42" s="1"/>
  <c r="AB121" i="39"/>
  <c r="BD803" i="42" s="1"/>
  <c r="Y121" i="39"/>
  <c r="AC179" i="42" s="1"/>
  <c r="A179" i="42" s="1"/>
  <c r="AT121" i="39"/>
  <c r="Y143" i="39"/>
  <c r="AD201" i="42" s="1"/>
  <c r="AP121" i="39"/>
  <c r="N143" i="39"/>
  <c r="AD135" i="39"/>
  <c r="BR1233" i="42" s="1"/>
  <c r="AA45" i="39"/>
  <c r="AS519" i="42" s="1"/>
  <c r="A519" i="42" s="1"/>
  <c r="Z45" i="39"/>
  <c r="AK311" i="42" s="1"/>
  <c r="A311" i="42" s="1"/>
  <c r="AE107" i="39"/>
  <c r="CA1413" i="42" s="1"/>
  <c r="Z107" i="39"/>
  <c r="AK373" i="42" s="1"/>
  <c r="A373" i="42" s="1"/>
  <c r="Y135" i="39"/>
  <c r="AE193" i="42" s="1"/>
  <c r="AD107" i="39"/>
  <c r="BR1205" i="42" s="1"/>
  <c r="N135" i="39"/>
  <c r="AA135" i="39"/>
  <c r="AV609" i="42" s="1"/>
  <c r="AB107" i="39"/>
  <c r="BA789" i="42" s="1"/>
  <c r="A789" i="42" s="1"/>
  <c r="Z135" i="39"/>
  <c r="AK401" i="42" s="1"/>
  <c r="A401" i="42" s="1"/>
  <c r="AA107" i="39"/>
  <c r="AT581" i="42" s="1"/>
  <c r="AN45" i="39"/>
  <c r="N107" i="39"/>
  <c r="AT107" i="39"/>
  <c r="AC45" i="39"/>
  <c r="BI935" i="42" s="1"/>
  <c r="A935" i="42" s="1"/>
  <c r="Y45" i="39"/>
  <c r="AE103" i="42" s="1"/>
  <c r="AP107" i="39"/>
  <c r="Y107" i="39"/>
  <c r="AD165" i="42" s="1"/>
  <c r="AF107" i="39"/>
  <c r="CI1621" i="42" s="1"/>
  <c r="AN107" i="39"/>
  <c r="AL107" i="39"/>
  <c r="AR107" i="39"/>
  <c r="AT135" i="39"/>
  <c r="AC135" i="39"/>
  <c r="BI1025" i="42" s="1"/>
  <c r="A1025" i="42" s="1"/>
  <c r="AB135" i="39"/>
  <c r="BD817" i="42" s="1"/>
  <c r="AN135" i="39"/>
  <c r="AR135" i="39"/>
  <c r="AF135" i="39"/>
  <c r="CH1649" i="42" s="1"/>
  <c r="AP135" i="39"/>
  <c r="AE135" i="39"/>
  <c r="BY1441" i="42" s="1"/>
  <c r="A1441" i="42" s="1"/>
  <c r="AT45" i="39"/>
  <c r="AL45" i="39"/>
  <c r="AF45" i="39"/>
  <c r="CG1559" i="42" s="1"/>
  <c r="A1559" i="42" s="1"/>
  <c r="AE45" i="39"/>
  <c r="CA1351" i="42" s="1"/>
  <c r="AD45" i="39"/>
  <c r="BR1143" i="42" s="1"/>
  <c r="AR45" i="39"/>
  <c r="AB45" i="39"/>
  <c r="BC727" i="42" s="1"/>
  <c r="AP45" i="39"/>
  <c r="AD116" i="39"/>
  <c r="BQ1214" i="42" s="1"/>
  <c r="A1214" i="42" s="1"/>
  <c r="N116" i="39"/>
  <c r="AF145" i="39"/>
  <c r="CG1659" i="42" s="1"/>
  <c r="A1659" i="42" s="1"/>
  <c r="Z116" i="39"/>
  <c r="AM382" i="42" s="1"/>
  <c r="AP115" i="39"/>
  <c r="AD166" i="39"/>
  <c r="BQ1264" i="42" s="1"/>
  <c r="A1264" i="42" s="1"/>
  <c r="AD130" i="39"/>
  <c r="BQ1228" i="42" s="1"/>
  <c r="A1228" i="42" s="1"/>
  <c r="AB130" i="39"/>
  <c r="BA812" i="42" s="1"/>
  <c r="A812" i="42" s="1"/>
  <c r="AF115" i="39"/>
  <c r="CI1629" i="42" s="1"/>
  <c r="AE130" i="39"/>
  <c r="CB1436" i="42" s="1"/>
  <c r="AC115" i="39"/>
  <c r="BI1005" i="42" s="1"/>
  <c r="A1005" i="42" s="1"/>
  <c r="AB166" i="39"/>
  <c r="BA848" i="42" s="1"/>
  <c r="A848" i="42" s="1"/>
  <c r="AD138" i="39"/>
  <c r="BT1236" i="42" s="1"/>
  <c r="AA166" i="39"/>
  <c r="AT640" i="42" s="1"/>
  <c r="AB138" i="39"/>
  <c r="BC820" i="42" s="1"/>
  <c r="AA138" i="39"/>
  <c r="AS612" i="42" s="1"/>
  <c r="A612" i="42" s="1"/>
  <c r="AE115" i="39"/>
  <c r="BZ1421" i="42" s="1"/>
  <c r="N115" i="39"/>
  <c r="N130" i="39"/>
  <c r="AF116" i="39"/>
  <c r="CI1630" i="42" s="1"/>
  <c r="AF138" i="39"/>
  <c r="CG1652" i="42" s="1"/>
  <c r="A1652" i="42" s="1"/>
  <c r="Y130" i="39"/>
  <c r="AC188" i="42" s="1"/>
  <c r="A188" i="42" s="1"/>
  <c r="AC131" i="39"/>
  <c r="BJ1021" i="42" s="1"/>
  <c r="Y115" i="39"/>
  <c r="AE173" i="42" s="1"/>
  <c r="Z131" i="39"/>
  <c r="AL397" i="42" s="1"/>
  <c r="AB131" i="39"/>
  <c r="BD813" i="42" s="1"/>
  <c r="AP166" i="39"/>
  <c r="AC130" i="39"/>
  <c r="BK1020" i="42" s="1"/>
  <c r="AC166" i="39"/>
  <c r="BI1056" i="42" s="1"/>
  <c r="A1056" i="42" s="1"/>
  <c r="AN166" i="39"/>
  <c r="AR130" i="39"/>
  <c r="AA131" i="39"/>
  <c r="AT605" i="42" s="1"/>
  <c r="AE138" i="39"/>
  <c r="BZ1444" i="42" s="1"/>
  <c r="AR131" i="39"/>
  <c r="N131" i="39"/>
  <c r="Z138" i="39"/>
  <c r="AN404" i="42" s="1"/>
  <c r="AC138" i="39"/>
  <c r="BI1028" i="42" s="1"/>
  <c r="A1028" i="42" s="1"/>
  <c r="N138" i="39"/>
  <c r="AR138" i="39"/>
  <c r="AP138" i="39"/>
  <c r="AN138" i="39"/>
  <c r="Y131" i="39"/>
  <c r="AC189" i="42" s="1"/>
  <c r="A189" i="42" s="1"/>
  <c r="AF131" i="39"/>
  <c r="CG1645" i="42" s="1"/>
  <c r="A1645" i="42" s="1"/>
  <c r="AB8" i="39"/>
  <c r="BB690" i="42" s="1"/>
  <c r="AT138" i="39"/>
  <c r="AE131" i="39"/>
  <c r="CA1437" i="42" s="1"/>
  <c r="AL138" i="39"/>
  <c r="AD131" i="39"/>
  <c r="BT1229" i="42" s="1"/>
  <c r="AE169" i="39"/>
  <c r="CB1475" i="42" s="1"/>
  <c r="AL131" i="39"/>
  <c r="AF183" i="39"/>
  <c r="CG1697" i="42" s="1"/>
  <c r="A1697" i="42" s="1"/>
  <c r="AE183" i="39"/>
  <c r="BZ1489" i="42" s="1"/>
  <c r="AA183" i="39"/>
  <c r="AS657" i="42" s="1"/>
  <c r="A657" i="42" s="1"/>
  <c r="AN131" i="39"/>
  <c r="Y183" i="39"/>
  <c r="AF241" i="42" s="1"/>
  <c r="N183" i="39"/>
  <c r="AT131" i="39"/>
  <c r="AN183" i="39"/>
  <c r="AA130" i="39"/>
  <c r="AT604" i="42" s="1"/>
  <c r="AL130" i="39"/>
  <c r="AA115" i="39"/>
  <c r="AS589" i="42" s="1"/>
  <c r="A589" i="42" s="1"/>
  <c r="AN115" i="39"/>
  <c r="Z130" i="39"/>
  <c r="AK396" i="42" s="1"/>
  <c r="A396" i="42" s="1"/>
  <c r="Z115" i="39"/>
  <c r="AK381" i="42" s="1"/>
  <c r="A381" i="42" s="1"/>
  <c r="AN145" i="39"/>
  <c r="AE145" i="39"/>
  <c r="CB1451" i="42" s="1"/>
  <c r="AD145" i="39"/>
  <c r="BQ1243" i="42" s="1"/>
  <c r="A1243" i="42" s="1"/>
  <c r="AE8" i="39"/>
  <c r="BY1314" i="42" s="1"/>
  <c r="AT166" i="39"/>
  <c r="N169" i="39"/>
  <c r="AD183" i="39"/>
  <c r="BR1281" i="42" s="1"/>
  <c r="AF169" i="39"/>
  <c r="CG1683" i="42" s="1"/>
  <c r="A1683" i="42" s="1"/>
  <c r="AB183" i="39"/>
  <c r="BA865" i="42" s="1"/>
  <c r="A865" i="42" s="1"/>
  <c r="AC145" i="39"/>
  <c r="BJ1035" i="42" s="1"/>
  <c r="AL166" i="39"/>
  <c r="AD8" i="39"/>
  <c r="BQ1106" i="42" s="1"/>
  <c r="A1106" i="42" s="1"/>
  <c r="AT115" i="39"/>
  <c r="AP130" i="39"/>
  <c r="AD169" i="39"/>
  <c r="BQ1267" i="42" s="1"/>
  <c r="A1267" i="42" s="1"/>
  <c r="Z183" i="39"/>
  <c r="AK449" i="42" s="1"/>
  <c r="A449" i="42" s="1"/>
  <c r="AA145" i="39"/>
  <c r="AS619" i="42" s="1"/>
  <c r="A619" i="42" s="1"/>
  <c r="Y8" i="39"/>
  <c r="AF66" i="42" s="1"/>
  <c r="AB145" i="39"/>
  <c r="BA827" i="42" s="1"/>
  <c r="A827" i="42" s="1"/>
  <c r="AC169" i="39"/>
  <c r="BI1059" i="42" s="1"/>
  <c r="A1059" i="42" s="1"/>
  <c r="AR145" i="39"/>
  <c r="AT130" i="39"/>
  <c r="AA169" i="39"/>
  <c r="AV643" i="42" s="1"/>
  <c r="AR115" i="39"/>
  <c r="AC183" i="39"/>
  <c r="BJ1073" i="42" s="1"/>
  <c r="Y145" i="39"/>
  <c r="AF203" i="42" s="1"/>
  <c r="AT183" i="39"/>
  <c r="Z166" i="39"/>
  <c r="AK432" i="42" s="1"/>
  <c r="A432" i="42" s="1"/>
  <c r="Z145" i="39"/>
  <c r="AM411" i="42" s="1"/>
  <c r="AR183" i="39"/>
  <c r="Z169" i="39"/>
  <c r="AK435" i="42" s="1"/>
  <c r="A435" i="42" s="1"/>
  <c r="AB170" i="39"/>
  <c r="BA852" i="42" s="1"/>
  <c r="A852" i="42" s="1"/>
  <c r="N166" i="39"/>
  <c r="AR166" i="39"/>
  <c r="AN130" i="39"/>
  <c r="AP183" i="39"/>
  <c r="AB169" i="39"/>
  <c r="BA851" i="42" s="1"/>
  <c r="A851" i="42" s="1"/>
  <c r="N145" i="39"/>
  <c r="N170" i="39"/>
  <c r="Y166" i="39"/>
  <c r="AC224" i="42" s="1"/>
  <c r="A224" i="42" s="1"/>
  <c r="AF166" i="39"/>
  <c r="CH1680" i="42" s="1"/>
  <c r="AT169" i="39"/>
  <c r="Y169" i="39"/>
  <c r="AC227" i="42" s="1"/>
  <c r="A227" i="42" s="1"/>
  <c r="AL145" i="39"/>
  <c r="AT145" i="39"/>
  <c r="AN169" i="39"/>
  <c r="AL169" i="39"/>
  <c r="N53" i="39"/>
  <c r="AR116" i="39"/>
  <c r="AR169" i="39"/>
  <c r="AC116" i="39"/>
  <c r="BJ1006" i="42" s="1"/>
  <c r="Y116" i="39"/>
  <c r="AD174" i="42" s="1"/>
  <c r="AA116" i="39"/>
  <c r="AV590" i="42" s="1"/>
  <c r="AP116" i="39"/>
  <c r="AB116" i="39"/>
  <c r="BA798" i="42" s="1"/>
  <c r="A798" i="42" s="1"/>
  <c r="AL116" i="39"/>
  <c r="AT116" i="39"/>
  <c r="AE116" i="39"/>
  <c r="BZ1422" i="42" s="1"/>
  <c r="AL115" i="39"/>
  <c r="Z53" i="39"/>
  <c r="AK319" i="42" s="1"/>
  <c r="A319" i="42" s="1"/>
  <c r="AE53" i="39"/>
  <c r="BY1359" i="42" s="1"/>
  <c r="A1359" i="42" s="1"/>
  <c r="Y53" i="39"/>
  <c r="AC111" i="42" s="1"/>
  <c r="A111" i="42" s="1"/>
  <c r="AF53" i="39"/>
  <c r="CG1567" i="42" s="1"/>
  <c r="A1567" i="42" s="1"/>
  <c r="AN53" i="39"/>
  <c r="AA170" i="39"/>
  <c r="AV644" i="42" s="1"/>
  <c r="AD115" i="39"/>
  <c r="BR1213" i="42" s="1"/>
  <c r="AD53" i="39"/>
  <c r="BQ1151" i="42" s="1"/>
  <c r="A1151" i="42" s="1"/>
  <c r="AL53" i="39"/>
  <c r="AC53" i="39"/>
  <c r="BK943" i="42" s="1"/>
  <c r="AR53" i="39"/>
  <c r="AB53" i="39"/>
  <c r="BA735" i="42" s="1"/>
  <c r="A735" i="42" s="1"/>
  <c r="AT53" i="39"/>
  <c r="AA53" i="39"/>
  <c r="AS527" i="42" s="1"/>
  <c r="A527" i="42" s="1"/>
  <c r="AJ8" i="39"/>
  <c r="J8" i="39"/>
  <c r="AP8" i="39"/>
  <c r="AN93" i="39"/>
  <c r="AP93" i="39"/>
  <c r="AN8" i="39"/>
  <c r="AC8" i="39"/>
  <c r="BJ898" i="42" s="1"/>
  <c r="AA8" i="39"/>
  <c r="AT482" i="42" s="1"/>
  <c r="Z8" i="39"/>
  <c r="AL274" i="42" s="1"/>
  <c r="N8" i="39"/>
  <c r="AH8" i="39" s="1"/>
  <c r="AR8" i="39"/>
  <c r="Z170" i="39"/>
  <c r="AM436" i="42" s="1"/>
  <c r="AF8" i="39"/>
  <c r="CH1522" i="42" s="1"/>
  <c r="Y170" i="39"/>
  <c r="AE228" i="42" s="1"/>
  <c r="AT8" i="39"/>
  <c r="AD170" i="39"/>
  <c r="BQ1268" i="42" s="1"/>
  <c r="A1268" i="42" s="1"/>
  <c r="AR93" i="39"/>
  <c r="AT93" i="39"/>
  <c r="AE93" i="39"/>
  <c r="CA1399" i="42" s="1"/>
  <c r="AA93" i="39"/>
  <c r="AU567" i="42" s="1"/>
  <c r="Z93" i="39"/>
  <c r="AN359" i="42" s="1"/>
  <c r="AD93" i="39"/>
  <c r="BT1191" i="42" s="1"/>
  <c r="AF93" i="39"/>
  <c r="CH1607" i="42" s="1"/>
  <c r="Y93" i="39"/>
  <c r="AC151" i="42" s="1"/>
  <c r="A151" i="42" s="1"/>
  <c r="N93" i="39"/>
  <c r="AL93" i="39"/>
  <c r="AC93" i="39"/>
  <c r="BJ983" i="42" s="1"/>
  <c r="AC170" i="39"/>
  <c r="BK1060" i="42" s="1"/>
  <c r="AT170" i="39"/>
  <c r="AP170" i="39"/>
  <c r="AL170" i="39"/>
  <c r="AN170" i="39"/>
  <c r="AF170" i="39"/>
  <c r="CG1684" i="42" s="1"/>
  <c r="A1684" i="42" s="1"/>
  <c r="AE170" i="39"/>
  <c r="BY1476" i="42" s="1"/>
  <c r="A1476" i="42" s="1"/>
  <c r="AF185" i="39"/>
  <c r="CH1699" i="42" s="1"/>
  <c r="AE185" i="39"/>
  <c r="CB1491" i="42" s="1"/>
  <c r="AT185" i="39"/>
  <c r="AL185" i="39"/>
  <c r="AP185" i="39"/>
  <c r="AR185" i="39"/>
  <c r="AD185" i="39"/>
  <c r="BR1283" i="42" s="1"/>
  <c r="AC185" i="39"/>
  <c r="BI1075" i="42" s="1"/>
  <c r="A1075" i="42" s="1"/>
  <c r="AN185" i="39"/>
  <c r="AB185" i="39"/>
  <c r="BD867" i="42" s="1"/>
  <c r="N185" i="39"/>
  <c r="AA185" i="39"/>
  <c r="AU659" i="42" s="1"/>
  <c r="Z185" i="39"/>
  <c r="AM451" i="42" s="1"/>
  <c r="AN201" i="39"/>
  <c r="AE173" i="39"/>
  <c r="CB1479" i="42" s="1"/>
  <c r="Z201" i="39"/>
  <c r="AN467" i="42" s="1"/>
  <c r="AE91" i="39"/>
  <c r="BY1397" i="42" s="1"/>
  <c r="A1397" i="42" s="1"/>
  <c r="AB84" i="39"/>
  <c r="BB766" i="42" s="1"/>
  <c r="AL11" i="39"/>
  <c r="Z84" i="39"/>
  <c r="AK350" i="42" s="1"/>
  <c r="A350" i="42" s="1"/>
  <c r="AA84" i="39"/>
  <c r="AS558" i="42" s="1"/>
  <c r="A558" i="42" s="1"/>
  <c r="Y84" i="39"/>
  <c r="AC142" i="42" s="1"/>
  <c r="A142" i="42" s="1"/>
  <c r="N84" i="39"/>
  <c r="AR173" i="39"/>
  <c r="AR84" i="39"/>
  <c r="AD173" i="39"/>
  <c r="BT1271" i="42" s="1"/>
  <c r="AB173" i="39"/>
  <c r="BB855" i="42" s="1"/>
  <c r="AD84" i="39"/>
  <c r="BQ1182" i="42" s="1"/>
  <c r="A1182" i="42" s="1"/>
  <c r="AA173" i="39"/>
  <c r="AS647" i="42" s="1"/>
  <c r="A647" i="42" s="1"/>
  <c r="AC84" i="39"/>
  <c r="BJ974" i="42" s="1"/>
  <c r="AP84" i="39"/>
  <c r="AT84" i="39"/>
  <c r="AF84" i="39"/>
  <c r="CH1598" i="42" s="1"/>
  <c r="AN84" i="39"/>
  <c r="AE84" i="39"/>
  <c r="CB1390" i="42" s="1"/>
  <c r="N112" i="39"/>
  <c r="Y112" i="39"/>
  <c r="AF170" i="42" s="1"/>
  <c r="AL112" i="39"/>
  <c r="AT112" i="39"/>
  <c r="Y173" i="39"/>
  <c r="AC231" i="42" s="1"/>
  <c r="A231" i="42" s="1"/>
  <c r="N173" i="39"/>
  <c r="AC173" i="39"/>
  <c r="BI1063" i="42" s="1"/>
  <c r="A1063" i="42" s="1"/>
  <c r="Z173" i="39"/>
  <c r="AN439" i="42" s="1"/>
  <c r="AL173" i="39"/>
  <c r="AF173" i="39"/>
  <c r="CI1687" i="42" s="1"/>
  <c r="AN173" i="39"/>
  <c r="AP173" i="39"/>
  <c r="AB13" i="39"/>
  <c r="BC695" i="42" s="1"/>
  <c r="AL91" i="39"/>
  <c r="AE13" i="39"/>
  <c r="BY1319" i="42" s="1"/>
  <c r="AC13" i="39"/>
  <c r="BL903" i="42" s="1"/>
  <c r="AA13" i="39"/>
  <c r="AS487" i="42" s="1"/>
  <c r="A487" i="42" s="1"/>
  <c r="AN112" i="39"/>
  <c r="AD13" i="39"/>
  <c r="BT1111" i="42" s="1"/>
  <c r="AP112" i="39"/>
  <c r="AP13" i="39"/>
  <c r="Y13" i="39"/>
  <c r="AC71" i="42" s="1"/>
  <c r="A71" i="42" s="1"/>
  <c r="AE112" i="39"/>
  <c r="BY1418" i="42" s="1"/>
  <c r="A1418" i="42" s="1"/>
  <c r="AB112" i="39"/>
  <c r="BA794" i="42" s="1"/>
  <c r="A794" i="42" s="1"/>
  <c r="AD91" i="39"/>
  <c r="BR1189" i="42" s="1"/>
  <c r="Z112" i="39"/>
  <c r="AL378" i="42" s="1"/>
  <c r="AC91" i="39"/>
  <c r="BL981" i="42" s="1"/>
  <c r="AR13" i="39"/>
  <c r="Z13" i="39"/>
  <c r="AM279" i="42" s="1"/>
  <c r="AN13" i="39"/>
  <c r="AA112" i="39"/>
  <c r="AU586" i="42" s="1"/>
  <c r="AR112" i="39"/>
  <c r="AC112" i="39"/>
  <c r="BI1002" i="42" s="1"/>
  <c r="A1002" i="42" s="1"/>
  <c r="N91" i="39"/>
  <c r="AR11" i="39"/>
  <c r="AN91" i="39"/>
  <c r="AF112" i="39"/>
  <c r="CH1626" i="42" s="1"/>
  <c r="N13" i="39"/>
  <c r="J13" i="44" s="1"/>
  <c r="A13" i="44" s="1"/>
  <c r="AT13" i="39"/>
  <c r="AF13" i="39"/>
  <c r="CG1527" i="42" s="1"/>
  <c r="A1527" i="42" s="1"/>
  <c r="AB103" i="39"/>
  <c r="BD785" i="42" s="1"/>
  <c r="AP91" i="39"/>
  <c r="Z91" i="39"/>
  <c r="AK357" i="42" s="1"/>
  <c r="A357" i="42" s="1"/>
  <c r="AF91" i="39"/>
  <c r="CG1605" i="42" s="1"/>
  <c r="A1605" i="42" s="1"/>
  <c r="AR91" i="39"/>
  <c r="AB91" i="39"/>
  <c r="BD773" i="42" s="1"/>
  <c r="AA91" i="39"/>
  <c r="AS565" i="42" s="1"/>
  <c r="A565" i="42" s="1"/>
  <c r="N139" i="39"/>
  <c r="Z11" i="39"/>
  <c r="AM277" i="42" s="1"/>
  <c r="Y11" i="39"/>
  <c r="AC69" i="42" s="1"/>
  <c r="A69" i="42" s="1"/>
  <c r="AD11" i="39"/>
  <c r="BS1109" i="42" s="1"/>
  <c r="Y91" i="39"/>
  <c r="AD149" i="42" s="1"/>
  <c r="Y201" i="39"/>
  <c r="AD259" i="42" s="1"/>
  <c r="N201" i="39"/>
  <c r="AT201" i="39"/>
  <c r="AP164" i="39"/>
  <c r="AT164" i="39"/>
  <c r="AR201" i="39"/>
  <c r="AA18" i="39"/>
  <c r="AS492" i="42" s="1"/>
  <c r="A492" i="42" s="1"/>
  <c r="Z18" i="39"/>
  <c r="AL284" i="42" s="1"/>
  <c r="AN164" i="39"/>
  <c r="AB164" i="39"/>
  <c r="BA846" i="42" s="1"/>
  <c r="A846" i="42" s="1"/>
  <c r="Y18" i="39"/>
  <c r="AC76" i="42" s="1"/>
  <c r="A76" i="42" s="1"/>
  <c r="AT11" i="39"/>
  <c r="AF99" i="39"/>
  <c r="CG1613" i="42" s="1"/>
  <c r="A1613" i="42" s="1"/>
  <c r="AA11" i="39"/>
  <c r="AT485" i="42" s="1"/>
  <c r="N11" i="39"/>
  <c r="J11" i="44" s="1"/>
  <c r="A11" i="44" s="1"/>
  <c r="AF11" i="39"/>
  <c r="CI1525" i="42" s="1"/>
  <c r="AE11" i="39"/>
  <c r="BZ1317" i="42" s="1"/>
  <c r="AN11" i="39"/>
  <c r="AC11" i="39"/>
  <c r="BL901" i="42" s="1"/>
  <c r="AB11" i="39"/>
  <c r="BA693" i="42" s="1"/>
  <c r="A693" i="42" s="1"/>
  <c r="AR96" i="39"/>
  <c r="AF96" i="39"/>
  <c r="CH1610" i="42" s="1"/>
  <c r="AL96" i="39"/>
  <c r="AE96" i="39"/>
  <c r="CB1402" i="42" s="1"/>
  <c r="AD96" i="39"/>
  <c r="BQ1194" i="42" s="1"/>
  <c r="A1194" i="42" s="1"/>
  <c r="AC96" i="39"/>
  <c r="BI986" i="42" s="1"/>
  <c r="A986" i="42" s="1"/>
  <c r="AT96" i="39"/>
  <c r="AA96" i="39"/>
  <c r="AT570" i="42" s="1"/>
  <c r="Z96" i="39"/>
  <c r="AM362" i="42" s="1"/>
  <c r="N96" i="39"/>
  <c r="AB96" i="39"/>
  <c r="BD778" i="42" s="1"/>
  <c r="Y96" i="39"/>
  <c r="AC154" i="42" s="1"/>
  <c r="A154" i="42" s="1"/>
  <c r="AN96" i="39"/>
  <c r="Y56" i="39"/>
  <c r="AC114" i="42" s="1"/>
  <c r="A114" i="42" s="1"/>
  <c r="AA164" i="39"/>
  <c r="AT638" i="42" s="1"/>
  <c r="AB18" i="39"/>
  <c r="BA700" i="42" s="1"/>
  <c r="A700" i="42" s="1"/>
  <c r="AA50" i="39"/>
  <c r="AS524" i="42" s="1"/>
  <c r="A524" i="42" s="1"/>
  <c r="AD50" i="39"/>
  <c r="BS1148" i="42" s="1"/>
  <c r="N50" i="39"/>
  <c r="AN50" i="39"/>
  <c r="AP126" i="39"/>
  <c r="AR50" i="39"/>
  <c r="AF50" i="39"/>
  <c r="CI1564" i="42" s="1"/>
  <c r="AC50" i="39"/>
  <c r="BJ940" i="42" s="1"/>
  <c r="AP50" i="39"/>
  <c r="AE50" i="39"/>
  <c r="BY1356" i="42" s="1"/>
  <c r="A1356" i="42" s="1"/>
  <c r="Y50" i="39"/>
  <c r="AD108" i="42" s="1"/>
  <c r="AE164" i="39"/>
  <c r="BZ1470" i="42" s="1"/>
  <c r="AL50" i="39"/>
  <c r="AB50" i="39"/>
  <c r="BC732" i="42" s="1"/>
  <c r="AF164" i="39"/>
  <c r="CG1678" i="42" s="1"/>
  <c r="A1678" i="42" s="1"/>
  <c r="AD164" i="39"/>
  <c r="BT1262" i="42" s="1"/>
  <c r="AT50" i="39"/>
  <c r="AC164" i="39"/>
  <c r="BI1054" i="42" s="1"/>
  <c r="A1054" i="42" s="1"/>
  <c r="N99" i="39"/>
  <c r="AE118" i="39"/>
  <c r="BY1424" i="42" s="1"/>
  <c r="A1424" i="42" s="1"/>
  <c r="AL102" i="39"/>
  <c r="AD118" i="39"/>
  <c r="BR1216" i="42" s="1"/>
  <c r="AT118" i="39"/>
  <c r="AP118" i="39"/>
  <c r="AA118" i="39"/>
  <c r="AS592" i="42" s="1"/>
  <c r="A592" i="42" s="1"/>
  <c r="AB118" i="39"/>
  <c r="BC800" i="42" s="1"/>
  <c r="Y118" i="39"/>
  <c r="AD176" i="42" s="1"/>
  <c r="AF118" i="39"/>
  <c r="CH1632" i="42" s="1"/>
  <c r="AC118" i="39"/>
  <c r="BI1008" i="42" s="1"/>
  <c r="A1008" i="42" s="1"/>
  <c r="N118" i="39"/>
  <c r="AL118" i="39"/>
  <c r="AR120" i="39"/>
  <c r="AN120" i="39"/>
  <c r="AR102" i="39"/>
  <c r="Y120" i="39"/>
  <c r="AC178" i="42" s="1"/>
  <c r="A178" i="42" s="1"/>
  <c r="AN118" i="39"/>
  <c r="AA99" i="39"/>
  <c r="AU573" i="42" s="1"/>
  <c r="N120" i="39"/>
  <c r="Y103" i="39"/>
  <c r="AD161" i="42" s="1"/>
  <c r="AP201" i="39"/>
  <c r="AP103" i="39"/>
  <c r="AF201" i="39"/>
  <c r="CG1715" i="42" s="1"/>
  <c r="A1715" i="42" s="1"/>
  <c r="AC201" i="39"/>
  <c r="BI1091" i="42" s="1"/>
  <c r="A1091" i="42" s="1"/>
  <c r="AR103" i="39"/>
  <c r="AL103" i="39"/>
  <c r="AD201" i="39"/>
  <c r="BR1299" i="42" s="1"/>
  <c r="AE201" i="39"/>
  <c r="CB1507" i="42" s="1"/>
  <c r="Z102" i="39"/>
  <c r="AK368" i="42" s="1"/>
  <c r="A368" i="42" s="1"/>
  <c r="AE120" i="39"/>
  <c r="BY1426" i="42" s="1"/>
  <c r="A1426" i="42" s="1"/>
  <c r="AT102" i="39"/>
  <c r="AF102" i="39"/>
  <c r="CG1616" i="42" s="1"/>
  <c r="A1616" i="42" s="1"/>
  <c r="AD120" i="39"/>
  <c r="BQ1218" i="42" s="1"/>
  <c r="A1218" i="42" s="1"/>
  <c r="AT120" i="39"/>
  <c r="Y102" i="39"/>
  <c r="AF160" i="42" s="1"/>
  <c r="AF120" i="39"/>
  <c r="CJ1634" i="42" s="1"/>
  <c r="Y164" i="39"/>
  <c r="AD222" i="42" s="1"/>
  <c r="AE102" i="39"/>
  <c r="BY1408" i="42" s="1"/>
  <c r="A1408" i="42" s="1"/>
  <c r="AC120" i="39"/>
  <c r="BI1010" i="42" s="1"/>
  <c r="A1010" i="42" s="1"/>
  <c r="N103" i="39"/>
  <c r="AB201" i="39"/>
  <c r="BA883" i="42" s="1"/>
  <c r="A883" i="42" s="1"/>
  <c r="AA201" i="39"/>
  <c r="AT675" i="42" s="1"/>
  <c r="AP120" i="39"/>
  <c r="N102" i="39"/>
  <c r="AR164" i="39"/>
  <c r="N18" i="39"/>
  <c r="J18" i="44" s="1"/>
  <c r="A18" i="44" s="1"/>
  <c r="AL120" i="39"/>
  <c r="AC102" i="39"/>
  <c r="BI992" i="42" s="1"/>
  <c r="A992" i="42" s="1"/>
  <c r="AB120" i="39"/>
  <c r="BA802" i="42" s="1"/>
  <c r="A802" i="42" s="1"/>
  <c r="AF103" i="39"/>
  <c r="CJ1617" i="42" s="1"/>
  <c r="AA102" i="39"/>
  <c r="AS576" i="42" s="1"/>
  <c r="A576" i="42" s="1"/>
  <c r="Z164" i="39"/>
  <c r="AK430" i="42" s="1"/>
  <c r="A430" i="42" s="1"/>
  <c r="N164" i="39"/>
  <c r="AD18" i="39"/>
  <c r="BQ1116" i="42" s="1"/>
  <c r="A1116" i="42" s="1"/>
  <c r="AN102" i="39"/>
  <c r="AP102" i="39"/>
  <c r="AB102" i="39"/>
  <c r="BA784" i="42" s="1"/>
  <c r="A784" i="42" s="1"/>
  <c r="AA120" i="39"/>
  <c r="AT594" i="42" s="1"/>
  <c r="AE103" i="39"/>
  <c r="BZ1409" i="42" s="1"/>
  <c r="AE148" i="39"/>
  <c r="CB1454" i="42" s="1"/>
  <c r="AC18" i="39"/>
  <c r="BJ908" i="42" s="1"/>
  <c r="AD103" i="39"/>
  <c r="BT1201" i="42" s="1"/>
  <c r="AD148" i="39"/>
  <c r="BQ1246" i="42" s="1"/>
  <c r="A1246" i="42" s="1"/>
  <c r="AA148" i="39"/>
  <c r="AT622" i="42" s="1"/>
  <c r="AT25" i="39"/>
  <c r="AB148" i="39"/>
  <c r="BD830" i="42" s="1"/>
  <c r="AR148" i="39"/>
  <c r="AT148" i="39"/>
  <c r="AR118" i="39"/>
  <c r="AB25" i="39"/>
  <c r="BA707" i="42" s="1"/>
  <c r="A707" i="42" s="1"/>
  <c r="AL148" i="39"/>
  <c r="AC148" i="39"/>
  <c r="BI1038" i="42" s="1"/>
  <c r="A1038" i="42" s="1"/>
  <c r="Z25" i="39"/>
  <c r="AL291" i="42" s="1"/>
  <c r="AT18" i="39"/>
  <c r="AP148" i="39"/>
  <c r="AR25" i="39"/>
  <c r="AN25" i="39"/>
  <c r="AN148" i="39"/>
  <c r="AA25" i="39"/>
  <c r="AT499" i="42" s="1"/>
  <c r="AF25" i="39"/>
  <c r="CG1539" i="42" s="1"/>
  <c r="A1539" i="42" s="1"/>
  <c r="AC25" i="39"/>
  <c r="BL915" i="42" s="1"/>
  <c r="Y25" i="39"/>
  <c r="AC83" i="42" s="1"/>
  <c r="A83" i="42" s="1"/>
  <c r="AA127" i="39"/>
  <c r="AS601" i="42" s="1"/>
  <c r="A601" i="42" s="1"/>
  <c r="AP99" i="39"/>
  <c r="AP25" i="39"/>
  <c r="AL25" i="39"/>
  <c r="AA122" i="39"/>
  <c r="AS596" i="42" s="1"/>
  <c r="A596" i="42" s="1"/>
  <c r="Y148" i="39"/>
  <c r="AD206" i="42" s="1"/>
  <c r="N25" i="39"/>
  <c r="J25" i="44" s="1"/>
  <c r="A25" i="44" s="1"/>
  <c r="N148" i="39"/>
  <c r="AF94" i="39"/>
  <c r="CG1608" i="42" s="1"/>
  <c r="A1608" i="42" s="1"/>
  <c r="Z148" i="39"/>
  <c r="AN414" i="42" s="1"/>
  <c r="AD25" i="39"/>
  <c r="BQ1123" i="42" s="1"/>
  <c r="A1123" i="42" s="1"/>
  <c r="AR127" i="39"/>
  <c r="AD56" i="39"/>
  <c r="BQ1154" i="42" s="1"/>
  <c r="A1154" i="42" s="1"/>
  <c r="Z122" i="39"/>
  <c r="AN388" i="42" s="1"/>
  <c r="AE18" i="39"/>
  <c r="CA1324" i="42" s="1"/>
  <c r="Z99" i="39"/>
  <c r="AK365" i="42" s="1"/>
  <c r="A365" i="42" s="1"/>
  <c r="AL99" i="39"/>
  <c r="Y99" i="39"/>
  <c r="AC157" i="42" s="1"/>
  <c r="A157" i="42" s="1"/>
  <c r="AL126" i="39"/>
  <c r="AR99" i="39"/>
  <c r="AN126" i="39"/>
  <c r="AR126" i="39"/>
  <c r="AE126" i="39"/>
  <c r="BY1432" i="42" s="1"/>
  <c r="A1432" i="42" s="1"/>
  <c r="AD126" i="39"/>
  <c r="BQ1224" i="42" s="1"/>
  <c r="A1224" i="42" s="1"/>
  <c r="AC126" i="39"/>
  <c r="BI1016" i="42" s="1"/>
  <c r="A1016" i="42" s="1"/>
  <c r="AA126" i="39"/>
  <c r="AT600" i="42" s="1"/>
  <c r="AN103" i="39"/>
  <c r="Z126" i="39"/>
  <c r="AK392" i="42" s="1"/>
  <c r="A392" i="42" s="1"/>
  <c r="AE99" i="39"/>
  <c r="BY1405" i="42" s="1"/>
  <c r="A1405" i="42" s="1"/>
  <c r="N126" i="39"/>
  <c r="AT126" i="39"/>
  <c r="AF126" i="39"/>
  <c r="CG1640" i="42" s="1"/>
  <c r="A1640" i="42" s="1"/>
  <c r="AD99" i="39"/>
  <c r="BR1197" i="42" s="1"/>
  <c r="AC99" i="39"/>
  <c r="BJ989" i="42" s="1"/>
  <c r="AB126" i="39"/>
  <c r="BB808" i="42" s="1"/>
  <c r="AB99" i="39"/>
  <c r="BB781" i="42" s="1"/>
  <c r="AT99" i="39"/>
  <c r="AP127" i="39"/>
  <c r="AT127" i="39"/>
  <c r="AL127" i="39"/>
  <c r="AE94" i="39"/>
  <c r="BZ1400" i="42" s="1"/>
  <c r="Y60" i="39"/>
  <c r="AC118" i="42" s="1"/>
  <c r="A118" i="42" s="1"/>
  <c r="AL60" i="39"/>
  <c r="AF139" i="39"/>
  <c r="CG1653" i="42" s="1"/>
  <c r="A1653" i="42" s="1"/>
  <c r="AN18" i="39"/>
  <c r="AC60" i="39"/>
  <c r="BK950" i="42" s="1"/>
  <c r="AP60" i="39"/>
  <c r="AN127" i="39"/>
  <c r="AT60" i="39"/>
  <c r="AN60" i="39"/>
  <c r="AN82" i="39"/>
  <c r="AD94" i="39"/>
  <c r="BQ1192" i="42" s="1"/>
  <c r="A1192" i="42" s="1"/>
  <c r="AA94" i="39"/>
  <c r="AU568" i="42" s="1"/>
  <c r="AR144" i="39"/>
  <c r="AT144" i="39"/>
  <c r="AA103" i="39"/>
  <c r="AS577" i="42" s="1"/>
  <c r="A577" i="42" s="1"/>
  <c r="AF144" i="39"/>
  <c r="CI1658" i="42" s="1"/>
  <c r="Z103" i="39"/>
  <c r="AL369" i="42" s="1"/>
  <c r="AC103" i="39"/>
  <c r="BI993" i="42" s="1"/>
  <c r="A993" i="42" s="1"/>
  <c r="AF149" i="39"/>
  <c r="CG1663" i="42" s="1"/>
  <c r="A1663" i="42" s="1"/>
  <c r="AE149" i="39"/>
  <c r="CA1455" i="42" s="1"/>
  <c r="AA40" i="39"/>
  <c r="AT514" i="42" s="1"/>
  <c r="N127" i="39"/>
  <c r="AF127" i="39"/>
  <c r="CG1641" i="42" s="1"/>
  <c r="A1641" i="42" s="1"/>
  <c r="Y127" i="39"/>
  <c r="AD185" i="42" s="1"/>
  <c r="AD127" i="39"/>
  <c r="BS1225" i="42" s="1"/>
  <c r="AE127" i="39"/>
  <c r="BZ1433" i="42" s="1"/>
  <c r="AC127" i="39"/>
  <c r="BJ1017" i="42" s="1"/>
  <c r="AB127" i="39"/>
  <c r="BC809" i="42" s="1"/>
  <c r="AT26" i="39"/>
  <c r="AF18" i="39"/>
  <c r="CH1532" i="42" s="1"/>
  <c r="AR18" i="39"/>
  <c r="AF67" i="39"/>
  <c r="CG1581" i="42" s="1"/>
  <c r="A1581" i="42" s="1"/>
  <c r="AP18" i="39"/>
  <c r="N66" i="39"/>
  <c r="AL149" i="39"/>
  <c r="AD42" i="39"/>
  <c r="BQ1140" i="42" s="1"/>
  <c r="A1140" i="42" s="1"/>
  <c r="AC42" i="39"/>
  <c r="BJ932" i="42" s="1"/>
  <c r="Y42" i="39"/>
  <c r="AC100" i="42" s="1"/>
  <c r="A100" i="42" s="1"/>
  <c r="AR9" i="39"/>
  <c r="AR74" i="39"/>
  <c r="AD9" i="39"/>
  <c r="BQ1107" i="42" s="1"/>
  <c r="A1107" i="42" s="1"/>
  <c r="Y74" i="39"/>
  <c r="AD132" i="42" s="1"/>
  <c r="AD139" i="39"/>
  <c r="BS1237" i="42" s="1"/>
  <c r="AB74" i="39"/>
  <c r="BA756" i="42" s="1"/>
  <c r="A756" i="42" s="1"/>
  <c r="AA66" i="39"/>
  <c r="AV540" i="42" s="1"/>
  <c r="AB191" i="39"/>
  <c r="BA873" i="42" s="1"/>
  <c r="A873" i="42" s="1"/>
  <c r="AC66" i="39"/>
  <c r="BJ956" i="42" s="1"/>
  <c r="AC94" i="39"/>
  <c r="BK984" i="42" s="1"/>
  <c r="AB60" i="39"/>
  <c r="BA742" i="42" s="1"/>
  <c r="A742" i="42" s="1"/>
  <c r="Z42" i="39"/>
  <c r="AK308" i="42" s="1"/>
  <c r="A308" i="42" s="1"/>
  <c r="AD191" i="39"/>
  <c r="BR1289" i="42" s="1"/>
  <c r="AT54" i="39"/>
  <c r="AN191" i="39"/>
  <c r="AL42" i="39"/>
  <c r="AP42" i="39"/>
  <c r="AA191" i="39"/>
  <c r="AS665" i="42" s="1"/>
  <c r="A665" i="42" s="1"/>
  <c r="Z191" i="39"/>
  <c r="AM457" i="42" s="1"/>
  <c r="AT49" i="39"/>
  <c r="AL191" i="39"/>
  <c r="Y191" i="39"/>
  <c r="AD249" i="42" s="1"/>
  <c r="Z74" i="39"/>
  <c r="AN340" i="42" s="1"/>
  <c r="Z9" i="39"/>
  <c r="AK275" i="42" s="1"/>
  <c r="A275" i="42" s="1"/>
  <c r="AT149" i="39"/>
  <c r="Z66" i="39"/>
  <c r="AN332" i="42" s="1"/>
  <c r="AP75" i="39"/>
  <c r="AL66" i="39"/>
  <c r="N74" i="39"/>
  <c r="AC139" i="39"/>
  <c r="BJ1029" i="42" s="1"/>
  <c r="Y66" i="39"/>
  <c r="AC124" i="42" s="1"/>
  <c r="A124" i="42" s="1"/>
  <c r="AT74" i="39"/>
  <c r="AD66" i="39"/>
  <c r="BR1164" i="42" s="1"/>
  <c r="AP66" i="39"/>
  <c r="AL177" i="39"/>
  <c r="AR66" i="39"/>
  <c r="Z149" i="39"/>
  <c r="AL415" i="42" s="1"/>
  <c r="AL54" i="39"/>
  <c r="AB94" i="39"/>
  <c r="BC776" i="42" s="1"/>
  <c r="AF177" i="39"/>
  <c r="CG1691" i="42" s="1"/>
  <c r="A1691" i="42" s="1"/>
  <c r="AF75" i="39"/>
  <c r="CG1589" i="42" s="1"/>
  <c r="A1589" i="42" s="1"/>
  <c r="AN177" i="39"/>
  <c r="AN42" i="39"/>
  <c r="AE177" i="39"/>
  <c r="CB1483" i="42" s="1"/>
  <c r="Y94" i="39"/>
  <c r="AC152" i="42" s="1"/>
  <c r="A152" i="42" s="1"/>
  <c r="Z60" i="39"/>
  <c r="AM326" i="42" s="1"/>
  <c r="Y177" i="39"/>
  <c r="AC235" i="42" s="1"/>
  <c r="A235" i="42" s="1"/>
  <c r="AB75" i="39"/>
  <c r="BC757" i="42" s="1"/>
  <c r="AB54" i="39"/>
  <c r="BB736" i="42" s="1"/>
  <c r="AN74" i="39"/>
  <c r="AR42" i="39"/>
  <c r="AP54" i="39"/>
  <c r="AD75" i="39"/>
  <c r="BS1173" i="42" s="1"/>
  <c r="AA74" i="39"/>
  <c r="AS548" i="42" s="1"/>
  <c r="A548" i="42" s="1"/>
  <c r="AB42" i="39"/>
  <c r="BC724" i="42" s="1"/>
  <c r="N54" i="39"/>
  <c r="AC49" i="39"/>
  <c r="BI939" i="42" s="1"/>
  <c r="A939" i="42" s="1"/>
  <c r="AR177" i="39"/>
  <c r="AD149" i="39"/>
  <c r="BR1247" i="42" s="1"/>
  <c r="AT177" i="39"/>
  <c r="Z94" i="39"/>
  <c r="AK360" i="42" s="1"/>
  <c r="A360" i="42" s="1"/>
  <c r="AA177" i="39"/>
  <c r="AV651" i="42" s="1"/>
  <c r="AN66" i="39"/>
  <c r="AA60" i="39"/>
  <c r="AT534" i="42" s="1"/>
  <c r="AA75" i="39"/>
  <c r="AV549" i="42" s="1"/>
  <c r="AF74" i="39"/>
  <c r="CG1588" i="42" s="1"/>
  <c r="A1588" i="42" s="1"/>
  <c r="N60" i="39"/>
  <c r="AD177" i="39"/>
  <c r="BR1275" i="42" s="1"/>
  <c r="AA42" i="39"/>
  <c r="AS516" i="42" s="1"/>
  <c r="A516" i="42" s="1"/>
  <c r="Z54" i="39"/>
  <c r="AN320" i="42" s="1"/>
  <c r="AC149" i="39"/>
  <c r="BI1039" i="42" s="1"/>
  <c r="A1039" i="42" s="1"/>
  <c r="AR54" i="39"/>
  <c r="AE75" i="39"/>
  <c r="BY1381" i="42" s="1"/>
  <c r="A1381" i="42" s="1"/>
  <c r="N177" i="39"/>
  <c r="AE74" i="39"/>
  <c r="BY1380" i="42" s="1"/>
  <c r="A1380" i="42" s="1"/>
  <c r="AR60" i="39"/>
  <c r="AF60" i="39"/>
  <c r="CG1574" i="42" s="1"/>
  <c r="A1574" i="42" s="1"/>
  <c r="AC177" i="39"/>
  <c r="BJ1067" i="42" s="1"/>
  <c r="N42" i="39"/>
  <c r="AF66" i="39"/>
  <c r="CH1580" i="42" s="1"/>
  <c r="AP74" i="39"/>
  <c r="AP149" i="39"/>
  <c r="AB149" i="39"/>
  <c r="BA831" i="42" s="1"/>
  <c r="A831" i="42" s="1"/>
  <c r="AE60" i="39"/>
  <c r="BY1366" i="42" s="1"/>
  <c r="A1366" i="42" s="1"/>
  <c r="AB177" i="39"/>
  <c r="BA859" i="42" s="1"/>
  <c r="A859" i="42" s="1"/>
  <c r="AF42" i="39"/>
  <c r="CG1556" i="42" s="1"/>
  <c r="A1556" i="42" s="1"/>
  <c r="Z76" i="39"/>
  <c r="AK342" i="42" s="1"/>
  <c r="A342" i="42" s="1"/>
  <c r="AE66" i="39"/>
  <c r="BZ1372" i="42" s="1"/>
  <c r="AT66" i="39"/>
  <c r="AA149" i="39"/>
  <c r="AS623" i="42" s="1"/>
  <c r="A623" i="42" s="1"/>
  <c r="AD74" i="39"/>
  <c r="BQ1172" i="42" s="1"/>
  <c r="A1172" i="42" s="1"/>
  <c r="AC74" i="39"/>
  <c r="BI964" i="42" s="1"/>
  <c r="A964" i="42" s="1"/>
  <c r="AN54" i="39"/>
  <c r="Z177" i="39"/>
  <c r="AN443" i="42" s="1"/>
  <c r="AE42" i="39"/>
  <c r="BY1348" i="42" s="1"/>
  <c r="A1348" i="42" s="1"/>
  <c r="AA76" i="39"/>
  <c r="AS550" i="42" s="1"/>
  <c r="A550" i="42" s="1"/>
  <c r="AR56" i="39"/>
  <c r="AL144" i="39"/>
  <c r="AP26" i="39"/>
  <c r="N26" i="39"/>
  <c r="J26" i="44" s="1"/>
  <c r="A26" i="44" s="1"/>
  <c r="AC75" i="39"/>
  <c r="BI965" i="42" s="1"/>
  <c r="A965" i="42" s="1"/>
  <c r="N144" i="39"/>
  <c r="AE181" i="39"/>
  <c r="CB1487" i="42" s="1"/>
  <c r="AN144" i="39"/>
  <c r="AN56" i="39"/>
  <c r="Z144" i="39"/>
  <c r="AK410" i="42" s="1"/>
  <c r="A410" i="42" s="1"/>
  <c r="AA26" i="39"/>
  <c r="AU500" i="42" s="1"/>
  <c r="Z26" i="39"/>
  <c r="AN292" i="42" s="1"/>
  <c r="Z75" i="39"/>
  <c r="AK341" i="42" s="1"/>
  <c r="A341" i="42" s="1"/>
  <c r="AD144" i="39"/>
  <c r="BT1242" i="42" s="1"/>
  <c r="AB181" i="39"/>
  <c r="BA863" i="42" s="1"/>
  <c r="A863" i="42" s="1"/>
  <c r="AN181" i="39"/>
  <c r="AP181" i="39"/>
  <c r="Y26" i="39"/>
  <c r="AF84" i="42" s="1"/>
  <c r="Y75" i="39"/>
  <c r="AE133" i="42" s="1"/>
  <c r="AA181" i="39"/>
  <c r="AT655" i="42" s="1"/>
  <c r="AR181" i="39"/>
  <c r="AB26" i="39"/>
  <c r="BC708" i="42" s="1"/>
  <c r="N75" i="39"/>
  <c r="AD69" i="39"/>
  <c r="BR1167" i="42" s="1"/>
  <c r="Z181" i="39"/>
  <c r="AK447" i="42" s="1"/>
  <c r="A447" i="42" s="1"/>
  <c r="AA144" i="39"/>
  <c r="AT618" i="42" s="1"/>
  <c r="AL56" i="39"/>
  <c r="AE144" i="39"/>
  <c r="BY1450" i="42" s="1"/>
  <c r="A1450" i="42" s="1"/>
  <c r="AP56" i="39"/>
  <c r="N56" i="39"/>
  <c r="Y69" i="39"/>
  <c r="AC127" i="42" s="1"/>
  <c r="A127" i="42" s="1"/>
  <c r="AR75" i="39"/>
  <c r="AF56" i="39"/>
  <c r="CH1570" i="42" s="1"/>
  <c r="AF181" i="39"/>
  <c r="CI1695" i="42" s="1"/>
  <c r="AP144" i="39"/>
  <c r="AT56" i="39"/>
  <c r="AC56" i="39"/>
  <c r="BI946" i="42" s="1"/>
  <c r="A946" i="42" s="1"/>
  <c r="AP191" i="39"/>
  <c r="AC69" i="39"/>
  <c r="BI959" i="42" s="1"/>
  <c r="A959" i="42" s="1"/>
  <c r="Y181" i="39"/>
  <c r="AC239" i="42" s="1"/>
  <c r="A239" i="42" s="1"/>
  <c r="AF165" i="39"/>
  <c r="CG1679" i="42" s="1"/>
  <c r="A1679" i="42" s="1"/>
  <c r="AE56" i="39"/>
  <c r="BY1362" i="42" s="1"/>
  <c r="A1362" i="42" s="1"/>
  <c r="AD181" i="39"/>
  <c r="BR1279" i="42" s="1"/>
  <c r="AL75" i="39"/>
  <c r="AL181" i="39"/>
  <c r="AC144" i="39"/>
  <c r="BL1034" i="42" s="1"/>
  <c r="AB144" i="39"/>
  <c r="BA826" i="42" s="1"/>
  <c r="A826" i="42" s="1"/>
  <c r="AE26" i="39"/>
  <c r="BZ1332" i="42" s="1"/>
  <c r="AT75" i="39"/>
  <c r="AF191" i="39"/>
  <c r="CJ1705" i="42" s="1"/>
  <c r="AE165" i="39"/>
  <c r="BY1471" i="42" s="1"/>
  <c r="A1471" i="42" s="1"/>
  <c r="AA56" i="39"/>
  <c r="AT530" i="42" s="1"/>
  <c r="AN69" i="39"/>
  <c r="AC181" i="39"/>
  <c r="BI1071" i="42" s="1"/>
  <c r="A1071" i="42" s="1"/>
  <c r="AB56" i="39"/>
  <c r="BB738" i="42" s="1"/>
  <c r="N181" i="39"/>
  <c r="AE191" i="39"/>
  <c r="BY1497" i="42" s="1"/>
  <c r="A1497" i="42" s="1"/>
  <c r="AC165" i="39"/>
  <c r="BJ1055" i="42" s="1"/>
  <c r="AR94" i="39"/>
  <c r="AP94" i="39"/>
  <c r="AR139" i="39"/>
  <c r="AT94" i="39"/>
  <c r="AL122" i="39"/>
  <c r="AN165" i="39"/>
  <c r="AP165" i="39"/>
  <c r="AD165" i="39"/>
  <c r="BQ1263" i="42" s="1"/>
  <c r="A1263" i="42" s="1"/>
  <c r="N94" i="39"/>
  <c r="AL139" i="39"/>
  <c r="AR165" i="39"/>
  <c r="Y149" i="39"/>
  <c r="AC207" i="42" s="1"/>
  <c r="A207" i="42" s="1"/>
  <c r="AA165" i="39"/>
  <c r="AS639" i="42" s="1"/>
  <c r="A639" i="42" s="1"/>
  <c r="AB139" i="39"/>
  <c r="BC821" i="42" s="1"/>
  <c r="AT165" i="39"/>
  <c r="N149" i="39"/>
  <c r="Z165" i="39"/>
  <c r="AK431" i="42" s="1"/>
  <c r="A431" i="42" s="1"/>
  <c r="AA139" i="39"/>
  <c r="AT613" i="42" s="1"/>
  <c r="Y165" i="39"/>
  <c r="AD223" i="42" s="1"/>
  <c r="Z139" i="39"/>
  <c r="AK405" i="42" s="1"/>
  <c r="A405" i="42" s="1"/>
  <c r="AB165" i="39"/>
  <c r="BA847" i="42" s="1"/>
  <c r="A847" i="42" s="1"/>
  <c r="N165" i="39"/>
  <c r="Y139" i="39"/>
  <c r="AD197" i="42" s="1"/>
  <c r="AR149" i="39"/>
  <c r="AN94" i="39"/>
  <c r="AA79" i="39"/>
  <c r="AS553" i="42" s="1"/>
  <c r="A553" i="42" s="1"/>
  <c r="Z79" i="39"/>
  <c r="AN345" i="42" s="1"/>
  <c r="N79" i="39"/>
  <c r="AB79" i="39"/>
  <c r="BC761" i="42" s="1"/>
  <c r="AE79" i="39"/>
  <c r="CA1385" i="42" s="1"/>
  <c r="AD79" i="39"/>
  <c r="BR1177" i="42" s="1"/>
  <c r="AF79" i="39"/>
  <c r="CH1593" i="42" s="1"/>
  <c r="AC79" i="39"/>
  <c r="BI969" i="42" s="1"/>
  <c r="A969" i="42" s="1"/>
  <c r="AT79" i="39"/>
  <c r="Y79" i="39"/>
  <c r="AC137" i="42" s="1"/>
  <c r="A137" i="42" s="1"/>
  <c r="AE139" i="39"/>
  <c r="CB1445" i="42" s="1"/>
  <c r="AT139" i="39"/>
  <c r="AF54" i="39"/>
  <c r="CJ1568" i="42" s="1"/>
  <c r="AE54" i="39"/>
  <c r="BZ1360" i="42" s="1"/>
  <c r="AP139" i="39"/>
  <c r="AA54" i="39"/>
  <c r="AV528" i="42" s="1"/>
  <c r="AD54" i="39"/>
  <c r="BQ1152" i="42" s="1"/>
  <c r="A1152" i="42" s="1"/>
  <c r="AC54" i="39"/>
  <c r="BI944" i="42" s="1"/>
  <c r="A944" i="42" s="1"/>
  <c r="Z40" i="39"/>
  <c r="AK306" i="42" s="1"/>
  <c r="A306" i="42" s="1"/>
  <c r="Z114" i="39"/>
  <c r="AK380" i="42" s="1"/>
  <c r="A380" i="42" s="1"/>
  <c r="N69" i="39"/>
  <c r="AE76" i="39"/>
  <c r="BZ1382" i="42" s="1"/>
  <c r="AN76" i="39"/>
  <c r="Z82" i="39"/>
  <c r="AL348" i="42" s="1"/>
  <c r="AR82" i="39"/>
  <c r="AB76" i="39"/>
  <c r="BC758" i="42" s="1"/>
  <c r="AD76" i="39"/>
  <c r="BQ1174" i="42" s="1"/>
  <c r="A1174" i="42" s="1"/>
  <c r="AF82" i="39"/>
  <c r="CG1596" i="42" s="1"/>
  <c r="A1596" i="42" s="1"/>
  <c r="AP76" i="39"/>
  <c r="Y72" i="39"/>
  <c r="AC130" i="42" s="1"/>
  <c r="A130" i="42" s="1"/>
  <c r="AC82" i="39"/>
  <c r="BI972" i="42" s="1"/>
  <c r="A972" i="42" s="1"/>
  <c r="Y82" i="39"/>
  <c r="AC140" i="42" s="1"/>
  <c r="A140" i="42" s="1"/>
  <c r="Y189" i="39"/>
  <c r="AC247" i="42" s="1"/>
  <c r="A247" i="42" s="1"/>
  <c r="AT76" i="39"/>
  <c r="AE82" i="39"/>
  <c r="BZ1388" i="42" s="1"/>
  <c r="AF76" i="39"/>
  <c r="CH1590" i="42" s="1"/>
  <c r="N82" i="39"/>
  <c r="AR76" i="39"/>
  <c r="AR72" i="39"/>
  <c r="AP40" i="39"/>
  <c r="AA82" i="39"/>
  <c r="AU556" i="42" s="1"/>
  <c r="AT82" i="39"/>
  <c r="Y76" i="39"/>
  <c r="AC134" i="42" s="1"/>
  <c r="A134" i="42" s="1"/>
  <c r="AR79" i="39"/>
  <c r="AC76" i="39"/>
  <c r="BJ966" i="42" s="1"/>
  <c r="AP72" i="39"/>
  <c r="AF147" i="39"/>
  <c r="CI1661" i="42" s="1"/>
  <c r="AF40" i="39"/>
  <c r="CH1554" i="42" s="1"/>
  <c r="AL76" i="39"/>
  <c r="AE40" i="39"/>
  <c r="BY1346" i="42" s="1"/>
  <c r="A1346" i="42" s="1"/>
  <c r="AF26" i="39"/>
  <c r="CH1540" i="42" s="1"/>
  <c r="AT72" i="39"/>
  <c r="AA114" i="39"/>
  <c r="AS588" i="42" s="1"/>
  <c r="A588" i="42" s="1"/>
  <c r="AR67" i="39"/>
  <c r="AB122" i="39"/>
  <c r="BA804" i="42" s="1"/>
  <c r="A804" i="42" s="1"/>
  <c r="AD26" i="39"/>
  <c r="BR1124" i="42" s="1"/>
  <c r="AC114" i="39"/>
  <c r="BJ1004" i="42" s="1"/>
  <c r="AT191" i="39"/>
  <c r="AN101" i="39"/>
  <c r="AP67" i="39"/>
  <c r="AB114" i="39"/>
  <c r="BA796" i="42" s="1"/>
  <c r="A796" i="42" s="1"/>
  <c r="AE67" i="39"/>
  <c r="CA1373" i="42" s="1"/>
  <c r="AD67" i="39"/>
  <c r="BR1165" i="42" s="1"/>
  <c r="AE137" i="39"/>
  <c r="CB1443" i="42" s="1"/>
  <c r="AF114" i="39"/>
  <c r="CH1628" i="42" s="1"/>
  <c r="AA137" i="39"/>
  <c r="AU611" i="42" s="1"/>
  <c r="AB67" i="39"/>
  <c r="BC749" i="42" s="1"/>
  <c r="AL26" i="39"/>
  <c r="AD114" i="39"/>
  <c r="BQ1212" i="42" s="1"/>
  <c r="A1212" i="42" s="1"/>
  <c r="AT137" i="39"/>
  <c r="N114" i="39"/>
  <c r="N191" i="39"/>
  <c r="AD137" i="39"/>
  <c r="BS1235" i="42" s="1"/>
  <c r="AE72" i="39"/>
  <c r="BY1378" i="42" s="1"/>
  <c r="A1378" i="42" s="1"/>
  <c r="Y137" i="39"/>
  <c r="AD195" i="42" s="1"/>
  <c r="AC72" i="39"/>
  <c r="BI962" i="42" s="1"/>
  <c r="A962" i="42" s="1"/>
  <c r="Z72" i="39"/>
  <c r="AK338" i="42" s="1"/>
  <c r="A338" i="42" s="1"/>
  <c r="AC137" i="39"/>
  <c r="BI1027" i="42" s="1"/>
  <c r="A1027" i="42" s="1"/>
  <c r="AL114" i="39"/>
  <c r="AN72" i="39"/>
  <c r="AA67" i="39"/>
  <c r="AT541" i="42" s="1"/>
  <c r="Z67" i="39"/>
  <c r="AK333" i="42" s="1"/>
  <c r="A333" i="42" s="1"/>
  <c r="AC191" i="39"/>
  <c r="BI1081" i="42" s="1"/>
  <c r="A1081" i="42" s="1"/>
  <c r="AB137" i="39"/>
  <c r="BA819" i="42" s="1"/>
  <c r="A819" i="42" s="1"/>
  <c r="AN114" i="39"/>
  <c r="AR137" i="39"/>
  <c r="AR114" i="39"/>
  <c r="Y114" i="39"/>
  <c r="AD172" i="42" s="1"/>
  <c r="AC67" i="39"/>
  <c r="BI957" i="42" s="1"/>
  <c r="A957" i="42" s="1"/>
  <c r="AF72" i="39"/>
  <c r="CH1586" i="42" s="1"/>
  <c r="N137" i="39"/>
  <c r="Y67" i="39"/>
  <c r="AC125" i="42" s="1"/>
  <c r="A125" i="42" s="1"/>
  <c r="AB72" i="39"/>
  <c r="BA754" i="42" s="1"/>
  <c r="A754" i="42" s="1"/>
  <c r="AA72" i="39"/>
  <c r="AT546" i="42" s="1"/>
  <c r="Z137" i="39"/>
  <c r="AL403" i="42" s="1"/>
  <c r="AT114" i="39"/>
  <c r="AL67" i="39"/>
  <c r="AF137" i="39"/>
  <c r="CG1651" i="42" s="1"/>
  <c r="A1651" i="42" s="1"/>
  <c r="AE114" i="39"/>
  <c r="CA1420" i="42" s="1"/>
  <c r="AN26" i="39"/>
  <c r="AD72" i="39"/>
  <c r="BQ1170" i="42" s="1"/>
  <c r="A1170" i="42" s="1"/>
  <c r="N67" i="39"/>
  <c r="AL69" i="39"/>
  <c r="N72" i="39"/>
  <c r="AA69" i="39"/>
  <c r="AV543" i="42" s="1"/>
  <c r="AN67" i="39"/>
  <c r="Z49" i="39"/>
  <c r="AL315" i="42" s="1"/>
  <c r="Y49" i="39"/>
  <c r="AF107" i="42" s="1"/>
  <c r="AR49" i="39"/>
  <c r="AB9" i="39"/>
  <c r="BA691" i="42" s="1"/>
  <c r="A691" i="42" s="1"/>
  <c r="N174" i="39"/>
  <c r="AA27" i="39"/>
  <c r="AS501" i="42" s="1"/>
  <c r="A501" i="42" s="1"/>
  <c r="AB174" i="39"/>
  <c r="BB856" i="42" s="1"/>
  <c r="AF174" i="39"/>
  <c r="CG1688" i="42" s="1"/>
  <c r="A1688" i="42" s="1"/>
  <c r="AN49" i="39"/>
  <c r="AP49" i="39"/>
  <c r="AP69" i="39"/>
  <c r="AF49" i="39"/>
  <c r="CG1563" i="42" s="1"/>
  <c r="A1563" i="42" s="1"/>
  <c r="AE49" i="39"/>
  <c r="CA1355" i="42" s="1"/>
  <c r="AL137" i="39"/>
  <c r="AC174" i="39"/>
  <c r="BI1064" i="42" s="1"/>
  <c r="A1064" i="42" s="1"/>
  <c r="AB49" i="39"/>
  <c r="BA731" i="42" s="1"/>
  <c r="A731" i="42" s="1"/>
  <c r="AC26" i="39"/>
  <c r="BI916" i="42" s="1"/>
  <c r="A916" i="42" s="1"/>
  <c r="Z69" i="39"/>
  <c r="AN335" i="42" s="1"/>
  <c r="AA49" i="39"/>
  <c r="AU523" i="42" s="1"/>
  <c r="AN79" i="39"/>
  <c r="N49" i="39"/>
  <c r="AP9" i="39"/>
  <c r="AE69" i="39"/>
  <c r="CB1375" i="42" s="1"/>
  <c r="AD49" i="39"/>
  <c r="BQ1147" i="42" s="1"/>
  <c r="A1147" i="42" s="1"/>
  <c r="AP79" i="39"/>
  <c r="AR101" i="39"/>
  <c r="AP16" i="39"/>
  <c r="AT101" i="39"/>
  <c r="AB82" i="39"/>
  <c r="BA764" i="42" s="1"/>
  <c r="A764" i="42" s="1"/>
  <c r="Z55" i="39"/>
  <c r="AK321" i="42" s="1"/>
  <c r="A321" i="42" s="1"/>
  <c r="Z101" i="39"/>
  <c r="AN367" i="42" s="1"/>
  <c r="AB40" i="39"/>
  <c r="BA722" i="42" s="1"/>
  <c r="A722" i="42" s="1"/>
  <c r="AL82" i="39"/>
  <c r="AA16" i="39"/>
  <c r="AU490" i="42" s="1"/>
  <c r="AT122" i="39"/>
  <c r="Z16" i="39"/>
  <c r="AN282" i="42" s="1"/>
  <c r="AL16" i="39"/>
  <c r="AC101" i="39"/>
  <c r="BK991" i="42" s="1"/>
  <c r="AA101" i="39"/>
  <c r="AS575" i="42" s="1"/>
  <c r="A575" i="42" s="1"/>
  <c r="AD82" i="39"/>
  <c r="BQ1180" i="42" s="1"/>
  <c r="A1180" i="42" s="1"/>
  <c r="AR16" i="39"/>
  <c r="AE101" i="39"/>
  <c r="BY1407" i="42" s="1"/>
  <c r="A1407" i="42" s="1"/>
  <c r="Y16" i="39"/>
  <c r="AC74" i="42" s="1"/>
  <c r="A74" i="42" s="1"/>
  <c r="N40" i="39"/>
  <c r="AT40" i="39"/>
  <c r="AN16" i="39"/>
  <c r="AD40" i="39"/>
  <c r="BS1138" i="42" s="1"/>
  <c r="AD55" i="39"/>
  <c r="BR1153" i="42" s="1"/>
  <c r="AL40" i="39"/>
  <c r="N101" i="39"/>
  <c r="Y122" i="39"/>
  <c r="AD180" i="42" s="1"/>
  <c r="AT16" i="39"/>
  <c r="N122" i="39"/>
  <c r="Y101" i="39"/>
  <c r="AD159" i="42" s="1"/>
  <c r="AF122" i="39"/>
  <c r="CJ1636" i="42" s="1"/>
  <c r="AL101" i="39"/>
  <c r="AE16" i="39"/>
  <c r="CB1322" i="42" s="1"/>
  <c r="Y40" i="39"/>
  <c r="AC98" i="42" s="1"/>
  <c r="A98" i="42" s="1"/>
  <c r="AR122" i="39"/>
  <c r="AD101" i="39"/>
  <c r="BQ1199" i="42" s="1"/>
  <c r="A1199" i="42" s="1"/>
  <c r="AE55" i="39"/>
  <c r="BY1361" i="42" s="1"/>
  <c r="A1361" i="42" s="1"/>
  <c r="AB101" i="39"/>
  <c r="BA783" i="42" s="1"/>
  <c r="A783" i="42" s="1"/>
  <c r="N16" i="39"/>
  <c r="J16" i="44" s="1"/>
  <c r="A16" i="44" s="1"/>
  <c r="AD16" i="39"/>
  <c r="BQ1114" i="42" s="1"/>
  <c r="A1114" i="42" s="1"/>
  <c r="AN40" i="39"/>
  <c r="AF101" i="39"/>
  <c r="CG1615" i="42" s="1"/>
  <c r="A1615" i="42" s="1"/>
  <c r="AC40" i="39"/>
  <c r="BJ930" i="42" s="1"/>
  <c r="N9" i="39"/>
  <c r="J9" i="44" s="1"/>
  <c r="A9" i="44" s="1"/>
  <c r="AF9" i="39"/>
  <c r="CH1523" i="42" s="1"/>
  <c r="AP122" i="39"/>
  <c r="AF16" i="39"/>
  <c r="CJ1530" i="42" s="1"/>
  <c r="AE122" i="39"/>
  <c r="BY1428" i="42" s="1"/>
  <c r="A1428" i="42" s="1"/>
  <c r="AD122" i="39"/>
  <c r="BS1220" i="42" s="1"/>
  <c r="AC16" i="39"/>
  <c r="BK906" i="42" s="1"/>
  <c r="AC122" i="39"/>
  <c r="BK1012" i="42" s="1"/>
  <c r="AE9" i="39"/>
  <c r="CB1315" i="42" s="1"/>
  <c r="AB189" i="39"/>
  <c r="BB871" i="42" s="1"/>
  <c r="AT69" i="39"/>
  <c r="N32" i="39"/>
  <c r="Z32" i="39"/>
  <c r="AM298" i="42" s="1"/>
  <c r="AD32" i="39"/>
  <c r="BQ1130" i="42" s="1"/>
  <c r="A1130" i="42" s="1"/>
  <c r="AT57" i="39"/>
  <c r="AR24" i="39"/>
  <c r="AC9" i="39"/>
  <c r="BI899" i="42" s="1"/>
  <c r="A899" i="42" s="1"/>
  <c r="AN9" i="39"/>
  <c r="AA9" i="39"/>
  <c r="AS483" i="42" s="1"/>
  <c r="A483" i="42" s="1"/>
  <c r="Y62" i="39"/>
  <c r="AD120" i="42" s="1"/>
  <c r="Y9" i="39"/>
  <c r="AC67" i="42" s="1"/>
  <c r="A67" i="42" s="1"/>
  <c r="N57" i="39"/>
  <c r="AF57" i="39"/>
  <c r="CG1571" i="42" s="1"/>
  <c r="A1571" i="42" s="1"/>
  <c r="AE24" i="39"/>
  <c r="CB1330" i="42" s="1"/>
  <c r="AL9" i="39"/>
  <c r="Y57" i="39"/>
  <c r="AC115" i="42" s="1"/>
  <c r="A115" i="42" s="1"/>
  <c r="AR57" i="39"/>
  <c r="N62" i="39"/>
  <c r="AF24" i="39"/>
  <c r="CH1538" i="42" s="1"/>
  <c r="Z57" i="39"/>
  <c r="AK323" i="42" s="1"/>
  <c r="A323" i="42" s="1"/>
  <c r="AE57" i="39"/>
  <c r="CA1363" i="42" s="1"/>
  <c r="AL57" i="39"/>
  <c r="AN57" i="39"/>
  <c r="AD24" i="39"/>
  <c r="BS1122" i="42" s="1"/>
  <c r="AF62" i="39"/>
  <c r="CI1576" i="42" s="1"/>
  <c r="Z62" i="39"/>
  <c r="AN328" i="42" s="1"/>
  <c r="AN7" i="39"/>
  <c r="Z7" i="39"/>
  <c r="AK273" i="42" s="1"/>
  <c r="A273" i="42" s="1"/>
  <c r="AA7" i="39"/>
  <c r="AT481" i="42" s="1"/>
  <c r="AT32" i="39"/>
  <c r="AA31" i="39"/>
  <c r="AU505" i="42" s="1"/>
  <c r="AF31" i="39"/>
  <c r="CH1545" i="42" s="1"/>
  <c r="AD57" i="39"/>
  <c r="BQ1155" i="42" s="1"/>
  <c r="A1155" i="42" s="1"/>
  <c r="AN62" i="39"/>
  <c r="AB57" i="39"/>
  <c r="BD739" i="42" s="1"/>
  <c r="AB31" i="39"/>
  <c r="BA713" i="42" s="1"/>
  <c r="A713" i="42" s="1"/>
  <c r="AA57" i="39"/>
  <c r="AU531" i="42" s="1"/>
  <c r="N7" i="39"/>
  <c r="AH7" i="39" s="1"/>
  <c r="Y31" i="39"/>
  <c r="AE89" i="42" s="1"/>
  <c r="AC57" i="39"/>
  <c r="BI947" i="42" s="1"/>
  <c r="A947" i="42" s="1"/>
  <c r="AN137" i="39"/>
  <c r="AB69" i="39"/>
  <c r="BA751" i="42" s="1"/>
  <c r="A751" i="42" s="1"/>
  <c r="AE174" i="39"/>
  <c r="CB1480" i="42" s="1"/>
  <c r="AR69" i="39"/>
  <c r="AA187" i="39"/>
  <c r="AS661" i="42" s="1"/>
  <c r="A661" i="42" s="1"/>
  <c r="AF86" i="39"/>
  <c r="CG1600" i="42" s="1"/>
  <c r="A1600" i="42" s="1"/>
  <c r="AE43" i="39"/>
  <c r="BY1349" i="42" s="1"/>
  <c r="A1349" i="42" s="1"/>
  <c r="AA43" i="39"/>
  <c r="AS517" i="42" s="1"/>
  <c r="A517" i="42" s="1"/>
  <c r="N86" i="39"/>
  <c r="AB32" i="39"/>
  <c r="BD714" i="42" s="1"/>
  <c r="AD43" i="39"/>
  <c r="BR1141" i="42" s="1"/>
  <c r="AA32" i="39"/>
  <c r="AT506" i="42" s="1"/>
  <c r="AB43" i="39"/>
  <c r="BA725" i="42" s="1"/>
  <c r="A725" i="42" s="1"/>
  <c r="AF32" i="39"/>
  <c r="CH1546" i="42" s="1"/>
  <c r="N43" i="39"/>
  <c r="AF43" i="39"/>
  <c r="CG1557" i="42" s="1"/>
  <c r="A1557" i="42" s="1"/>
  <c r="AT43" i="39"/>
  <c r="AE157" i="39"/>
  <c r="CB1463" i="42" s="1"/>
  <c r="AT70" i="39"/>
  <c r="AR43" i="39"/>
  <c r="AP43" i="39"/>
  <c r="AN43" i="39"/>
  <c r="Z43" i="39"/>
  <c r="AM309" i="42" s="1"/>
  <c r="AL43" i="39"/>
  <c r="AC43" i="39"/>
  <c r="BJ933" i="42" s="1"/>
  <c r="Z70" i="39"/>
  <c r="AN336" i="42" s="1"/>
  <c r="AP70" i="39"/>
  <c r="AR70" i="39"/>
  <c r="Y70" i="39"/>
  <c r="AE128" i="42" s="1"/>
  <c r="AC70" i="39"/>
  <c r="BL960" i="42" s="1"/>
  <c r="AP175" i="39"/>
  <c r="N70" i="39"/>
  <c r="AL70" i="39"/>
  <c r="AF70" i="39"/>
  <c r="CG1584" i="42" s="1"/>
  <c r="A1584" i="42" s="1"/>
  <c r="AD70" i="39"/>
  <c r="BQ1168" i="42" s="1"/>
  <c r="A1168" i="42" s="1"/>
  <c r="AB70" i="39"/>
  <c r="BC752" i="42" s="1"/>
  <c r="AE70" i="39"/>
  <c r="BZ1376" i="42" s="1"/>
  <c r="AA70" i="39"/>
  <c r="AS544" i="42" s="1"/>
  <c r="A544" i="42" s="1"/>
  <c r="AD86" i="39"/>
  <c r="BQ1184" i="42" s="1"/>
  <c r="A1184" i="42" s="1"/>
  <c r="AE86" i="39"/>
  <c r="BY1392" i="42" s="1"/>
  <c r="A1392" i="42" s="1"/>
  <c r="AC86" i="39"/>
  <c r="BI976" i="42" s="1"/>
  <c r="A976" i="42" s="1"/>
  <c r="AR86" i="39"/>
  <c r="AA86" i="39"/>
  <c r="AS560" i="42" s="1"/>
  <c r="A560" i="42" s="1"/>
  <c r="AL32" i="39"/>
  <c r="Y86" i="39"/>
  <c r="AC144" i="42" s="1"/>
  <c r="A144" i="42" s="1"/>
  <c r="AE32" i="39"/>
  <c r="BY1338" i="42" s="1"/>
  <c r="A1338" i="42" s="1"/>
  <c r="AC32" i="39"/>
  <c r="BI922" i="42" s="1"/>
  <c r="A922" i="42" s="1"/>
  <c r="AN189" i="39"/>
  <c r="AR147" i="39"/>
  <c r="AB86" i="39"/>
  <c r="BA768" i="42" s="1"/>
  <c r="A768" i="42" s="1"/>
  <c r="Y32" i="39"/>
  <c r="AC90" i="42" s="1"/>
  <c r="A90" i="42" s="1"/>
  <c r="AC119" i="39"/>
  <c r="BJ1009" i="42" s="1"/>
  <c r="AA189" i="39"/>
  <c r="AT663" i="42" s="1"/>
  <c r="AN86" i="39"/>
  <c r="AR32" i="39"/>
  <c r="AN32" i="39"/>
  <c r="AT86" i="39"/>
  <c r="AP86" i="39"/>
  <c r="AL86" i="39"/>
  <c r="AA55" i="39"/>
  <c r="AU529" i="42" s="1"/>
  <c r="Z146" i="39"/>
  <c r="AM412" i="42" s="1"/>
  <c r="AL48" i="39"/>
  <c r="AP146" i="39"/>
  <c r="AD174" i="39"/>
  <c r="BT1272" i="42" s="1"/>
  <c r="AP133" i="39"/>
  <c r="AA174" i="39"/>
  <c r="AT648" i="42" s="1"/>
  <c r="AL174" i="39"/>
  <c r="AL133" i="39"/>
  <c r="Y146" i="39"/>
  <c r="AF204" i="42" s="1"/>
  <c r="Y174" i="39"/>
  <c r="AC232" i="42" s="1"/>
  <c r="A232" i="42" s="1"/>
  <c r="AR33" i="39"/>
  <c r="AP12" i="39"/>
  <c r="AD12" i="39"/>
  <c r="BT1110" i="42" s="1"/>
  <c r="Z174" i="39"/>
  <c r="AK440" i="42" s="1"/>
  <c r="A440" i="42" s="1"/>
  <c r="AE110" i="39"/>
  <c r="BY1416" i="42" s="1"/>
  <c r="A1416" i="42" s="1"/>
  <c r="AB48" i="39"/>
  <c r="BA730" i="42" s="1"/>
  <c r="A730" i="42" s="1"/>
  <c r="AC12" i="39"/>
  <c r="BI902" i="42" s="1"/>
  <c r="A902" i="42" s="1"/>
  <c r="AF133" i="39"/>
  <c r="CG1647" i="42" s="1"/>
  <c r="A1647" i="42" s="1"/>
  <c r="N55" i="39"/>
  <c r="Z48" i="39"/>
  <c r="AK314" i="42" s="1"/>
  <c r="A314" i="42" s="1"/>
  <c r="AD133" i="39"/>
  <c r="BQ1231" i="42" s="1"/>
  <c r="A1231" i="42" s="1"/>
  <c r="AD48" i="39"/>
  <c r="BQ1146" i="42" s="1"/>
  <c r="A1146" i="42" s="1"/>
  <c r="AF55" i="39"/>
  <c r="CG1569" i="42" s="1"/>
  <c r="A1569" i="42" s="1"/>
  <c r="AC48" i="39"/>
  <c r="BI938" i="42" s="1"/>
  <c r="A938" i="42" s="1"/>
  <c r="Y133" i="39"/>
  <c r="AC191" i="42" s="1"/>
  <c r="A191" i="42" s="1"/>
  <c r="AN30" i="39"/>
  <c r="AR30" i="39"/>
  <c r="AL30" i="39"/>
  <c r="AE30" i="39"/>
  <c r="CB1336" i="42" s="1"/>
  <c r="AA30" i="39"/>
  <c r="AS504" i="42" s="1"/>
  <c r="A504" i="42" s="1"/>
  <c r="Z30" i="39"/>
  <c r="AN296" i="42" s="1"/>
  <c r="AB30" i="39"/>
  <c r="BA712" i="42" s="1"/>
  <c r="A712" i="42" s="1"/>
  <c r="AD30" i="39"/>
  <c r="BS1128" i="42" s="1"/>
  <c r="AC30" i="39"/>
  <c r="BJ920" i="42" s="1"/>
  <c r="N30" i="39"/>
  <c r="AF30" i="39"/>
  <c r="CH1544" i="42" s="1"/>
  <c r="Y30" i="39"/>
  <c r="AC88" i="42" s="1"/>
  <c r="A88" i="42" s="1"/>
  <c r="Z175" i="39"/>
  <c r="AN441" i="42" s="1"/>
  <c r="AD10" i="39"/>
  <c r="BQ1108" i="42" s="1"/>
  <c r="A1108" i="42" s="1"/>
  <c r="AN17" i="39"/>
  <c r="Z41" i="39"/>
  <c r="AN307" i="42" s="1"/>
  <c r="AD110" i="39"/>
  <c r="BQ1208" i="42" s="1"/>
  <c r="A1208" i="42" s="1"/>
  <c r="AB110" i="39"/>
  <c r="BB792" i="42" s="1"/>
  <c r="AE205" i="39"/>
  <c r="BY1511" i="42" s="1"/>
  <c r="A1511" i="42" s="1"/>
  <c r="AT62" i="39"/>
  <c r="AA62" i="39"/>
  <c r="AU536" i="42" s="1"/>
  <c r="AT180" i="39"/>
  <c r="AP180" i="39"/>
  <c r="AA110" i="39"/>
  <c r="AU584" i="42" s="1"/>
  <c r="AD205" i="39"/>
  <c r="BR1303" i="42" s="1"/>
  <c r="AB7" i="39"/>
  <c r="BA689" i="42" s="1"/>
  <c r="A689" i="42" s="1"/>
  <c r="AB62" i="39"/>
  <c r="BB744" i="42" s="1"/>
  <c r="AA41" i="39"/>
  <c r="AS515" i="42" s="1"/>
  <c r="A515" i="42" s="1"/>
  <c r="N110" i="39"/>
  <c r="AF205" i="39"/>
  <c r="CJ1719" i="42" s="1"/>
  <c r="N24" i="39"/>
  <c r="J24" i="44" s="1"/>
  <c r="A24" i="44" s="1"/>
  <c r="Y7" i="39"/>
  <c r="AF65" i="42" s="1"/>
  <c r="AF180" i="39"/>
  <c r="CG1694" i="42" s="1"/>
  <c r="A1694" i="42" s="1"/>
  <c r="AE62" i="39"/>
  <c r="BZ1368" i="42" s="1"/>
  <c r="AA202" i="39"/>
  <c r="AV676" i="42" s="1"/>
  <c r="AA24" i="39"/>
  <c r="AV498" i="42" s="1"/>
  <c r="AE133" i="39"/>
  <c r="BY1439" i="42" s="1"/>
  <c r="A1439" i="42" s="1"/>
  <c r="AA180" i="39"/>
  <c r="AT654" i="42" s="1"/>
  <c r="AT31" i="39"/>
  <c r="AL110" i="39"/>
  <c r="AR110" i="39"/>
  <c r="AC110" i="39"/>
  <c r="BK1000" i="42" s="1"/>
  <c r="AD180" i="39"/>
  <c r="BR1278" i="42" s="1"/>
  <c r="AN180" i="39"/>
  <c r="AB133" i="39"/>
  <c r="BA815" i="42" s="1"/>
  <c r="A815" i="42" s="1"/>
  <c r="Z180" i="39"/>
  <c r="AK446" i="42" s="1"/>
  <c r="A446" i="42" s="1"/>
  <c r="AN174" i="39"/>
  <c r="AR180" i="39"/>
  <c r="AC205" i="39"/>
  <c r="BJ1095" i="42" s="1"/>
  <c r="Y110" i="39"/>
  <c r="AD168" i="42" s="1"/>
  <c r="Z24" i="39"/>
  <c r="AK290" i="42" s="1"/>
  <c r="A290" i="42" s="1"/>
  <c r="AR7" i="39"/>
  <c r="AB153" i="39"/>
  <c r="BA835" i="42" s="1"/>
  <c r="A835" i="42" s="1"/>
  <c r="Y24" i="39"/>
  <c r="AC82" i="42" s="1"/>
  <c r="A82" i="42" s="1"/>
  <c r="N78" i="39"/>
  <c r="AD27" i="39"/>
  <c r="BR1125" i="42" s="1"/>
  <c r="AL31" i="39"/>
  <c r="AA133" i="39"/>
  <c r="AS607" i="42" s="1"/>
  <c r="A607" i="42" s="1"/>
  <c r="Y180" i="39"/>
  <c r="AD238" i="42" s="1"/>
  <c r="AT190" i="39"/>
  <c r="AR174" i="39"/>
  <c r="AE180" i="39"/>
  <c r="BY1486" i="42" s="1"/>
  <c r="A1486" i="42" s="1"/>
  <c r="AE202" i="39"/>
  <c r="BY1508" i="42" s="1"/>
  <c r="A1508" i="42" s="1"/>
  <c r="AL7" i="39"/>
  <c r="AL24" i="39"/>
  <c r="AC27" i="39"/>
  <c r="BI917" i="42" s="1"/>
  <c r="A917" i="42" s="1"/>
  <c r="AD190" i="39"/>
  <c r="BQ1288" i="42" s="1"/>
  <c r="A1288" i="42" s="1"/>
  <c r="Z133" i="39"/>
  <c r="AL399" i="42" s="1"/>
  <c r="AT174" i="39"/>
  <c r="Z110" i="39"/>
  <c r="AN376" i="42" s="1"/>
  <c r="Z205" i="39"/>
  <c r="AM471" i="42" s="1"/>
  <c r="Y41" i="39"/>
  <c r="AC99" i="42" s="1"/>
  <c r="A99" i="42" s="1"/>
  <c r="AE150" i="39"/>
  <c r="CA1456" i="42" s="1"/>
  <c r="AC180" i="39"/>
  <c r="BI1070" i="42" s="1"/>
  <c r="A1070" i="42" s="1"/>
  <c r="AP62" i="39"/>
  <c r="AB24" i="39"/>
  <c r="BA706" i="42" s="1"/>
  <c r="A706" i="42" s="1"/>
  <c r="AT110" i="39"/>
  <c r="N133" i="39"/>
  <c r="AN19" i="39"/>
  <c r="AT133" i="39"/>
  <c r="N205" i="39"/>
  <c r="Y205" i="39"/>
  <c r="AC263" i="42" s="1"/>
  <c r="A263" i="42" s="1"/>
  <c r="AB41" i="39"/>
  <c r="BA723" i="42" s="1"/>
  <c r="A723" i="42" s="1"/>
  <c r="AA205" i="39"/>
  <c r="AS679" i="42" s="1"/>
  <c r="A679" i="42" s="1"/>
  <c r="AB157" i="39"/>
  <c r="BB839" i="42" s="1"/>
  <c r="AA157" i="39"/>
  <c r="AT631" i="42" s="1"/>
  <c r="AL184" i="39"/>
  <c r="AC133" i="39"/>
  <c r="BJ1023" i="42" s="1"/>
  <c r="AP7" i="39"/>
  <c r="AP24" i="39"/>
  <c r="AR133" i="39"/>
  <c r="AF41" i="39"/>
  <c r="CI1555" i="42" s="1"/>
  <c r="AB205" i="39"/>
  <c r="BA887" i="42" s="1"/>
  <c r="A887" i="42" s="1"/>
  <c r="AC24" i="39"/>
  <c r="BL914" i="42" s="1"/>
  <c r="AB180" i="39"/>
  <c r="BA862" i="42" s="1"/>
  <c r="A862" i="42" s="1"/>
  <c r="AB202" i="39"/>
  <c r="BA884" i="42" s="1"/>
  <c r="A884" i="42" s="1"/>
  <c r="N180" i="39"/>
  <c r="AE189" i="39"/>
  <c r="CB1495" i="42" s="1"/>
  <c r="AC189" i="39"/>
  <c r="BJ1079" i="42" s="1"/>
  <c r="AF110" i="39"/>
  <c r="CG1624" i="42" s="1"/>
  <c r="A1624" i="42" s="1"/>
  <c r="AN110" i="39"/>
  <c r="AP190" i="39"/>
  <c r="AT24" i="39"/>
  <c r="AD202" i="39"/>
  <c r="BQ1300" i="42" s="1"/>
  <c r="A1300" i="42" s="1"/>
  <c r="AF10" i="39"/>
  <c r="CG1524" i="42" s="1"/>
  <c r="A1524" i="42" s="1"/>
  <c r="AF202" i="39"/>
  <c r="CH1716" i="42" s="1"/>
  <c r="AE10" i="39"/>
  <c r="BY1316" i="42" s="1"/>
  <c r="AL194" i="39"/>
  <c r="AF157" i="39"/>
  <c r="CG1671" i="42" s="1"/>
  <c r="A1671" i="42" s="1"/>
  <c r="AT153" i="39"/>
  <c r="AP19" i="39"/>
  <c r="AC153" i="39"/>
  <c r="BL1043" i="42" s="1"/>
  <c r="AA10" i="39"/>
  <c r="AT484" i="42" s="1"/>
  <c r="AA153" i="39"/>
  <c r="AS627" i="42" s="1"/>
  <c r="A627" i="42" s="1"/>
  <c r="AC55" i="39"/>
  <c r="BI945" i="42" s="1"/>
  <c r="A945" i="42" s="1"/>
  <c r="N157" i="39"/>
  <c r="AD62" i="39"/>
  <c r="BT1160" i="42" s="1"/>
  <c r="Z153" i="39"/>
  <c r="AN419" i="42" s="1"/>
  <c r="AP30" i="39"/>
  <c r="AR27" i="39"/>
  <c r="N202" i="39"/>
  <c r="Y157" i="39"/>
  <c r="AC215" i="42" s="1"/>
  <c r="A215" i="42" s="1"/>
  <c r="Z10" i="39"/>
  <c r="AL276" i="42" s="1"/>
  <c r="Y10" i="39"/>
  <c r="AC68" i="42" s="1"/>
  <c r="A68" i="42" s="1"/>
  <c r="AB55" i="39"/>
  <c r="BC737" i="42" s="1"/>
  <c r="AR17" i="39"/>
  <c r="AF12" i="39"/>
  <c r="CH1526" i="42" s="1"/>
  <c r="AL12" i="39"/>
  <c r="AC62" i="39"/>
  <c r="BK952" i="42" s="1"/>
  <c r="Y153" i="39"/>
  <c r="AE211" i="42" s="1"/>
  <c r="AT19" i="39"/>
  <c r="AN78" i="39"/>
  <c r="AR151" i="39"/>
  <c r="AB119" i="39"/>
  <c r="BB801" i="42" s="1"/>
  <c r="Z119" i="39"/>
  <c r="AL385" i="42" s="1"/>
  <c r="AF19" i="39"/>
  <c r="CI1533" i="42" s="1"/>
  <c r="AD153" i="39"/>
  <c r="BQ1251" i="42" s="1"/>
  <c r="A1251" i="42" s="1"/>
  <c r="AN153" i="39"/>
  <c r="AE19" i="39"/>
  <c r="BZ1325" i="42" s="1"/>
  <c r="Z78" i="39"/>
  <c r="AN344" i="42" s="1"/>
  <c r="Z12" i="39"/>
  <c r="AN278" i="42" s="1"/>
  <c r="AB190" i="39"/>
  <c r="BA872" i="42" s="1"/>
  <c r="A872" i="42" s="1"/>
  <c r="AF17" i="39"/>
  <c r="CI1531" i="42" s="1"/>
  <c r="AC10" i="39"/>
  <c r="BI900" i="42" s="1"/>
  <c r="A900" i="42" s="1"/>
  <c r="AB10" i="39"/>
  <c r="BC692" i="42" s="1"/>
  <c r="AR153" i="39"/>
  <c r="AF153" i="39"/>
  <c r="CH1667" i="42" s="1"/>
  <c r="AP17" i="39"/>
  <c r="AA12" i="39"/>
  <c r="AU486" i="42" s="1"/>
  <c r="AE17" i="39"/>
  <c r="BZ1323" i="42" s="1"/>
  <c r="AE147" i="39"/>
  <c r="BY1453" i="42" s="1"/>
  <c r="A1453" i="42" s="1"/>
  <c r="AD19" i="39"/>
  <c r="BR1117" i="42" s="1"/>
  <c r="AF78" i="39"/>
  <c r="CG1592" i="42" s="1"/>
  <c r="A1592" i="42" s="1"/>
  <c r="Y12" i="39"/>
  <c r="AC70" i="42" s="1"/>
  <c r="A70" i="42" s="1"/>
  <c r="AA190" i="39"/>
  <c r="AS664" i="42" s="1"/>
  <c r="A664" i="42" s="1"/>
  <c r="AA17" i="39"/>
  <c r="AS491" i="42" s="1"/>
  <c r="A491" i="42" s="1"/>
  <c r="AP202" i="39"/>
  <c r="AP78" i="39"/>
  <c r="AR78" i="39"/>
  <c r="N19" i="39"/>
  <c r="J19" i="44" s="1"/>
  <c r="A19" i="44" s="1"/>
  <c r="AB12" i="39"/>
  <c r="BA694" i="42" s="1"/>
  <c r="A694" i="42" s="1"/>
  <c r="N12" i="39"/>
  <c r="J12" i="44" s="1"/>
  <c r="A12" i="44" s="1"/>
  <c r="N190" i="39"/>
  <c r="Z187" i="39"/>
  <c r="AL453" i="42" s="1"/>
  <c r="AF7" i="39"/>
  <c r="CH1521" i="42" s="1"/>
  <c r="AN12" i="39"/>
  <c r="Y17" i="39"/>
  <c r="AD75" i="42" s="1"/>
  <c r="AR190" i="39"/>
  <c r="AP157" i="39"/>
  <c r="AC19" i="39"/>
  <c r="BK909" i="42" s="1"/>
  <c r="Y147" i="39"/>
  <c r="AE205" i="42" s="1"/>
  <c r="AA19" i="39"/>
  <c r="AT493" i="42" s="1"/>
  <c r="AB78" i="39"/>
  <c r="BB760" i="42" s="1"/>
  <c r="Z190" i="39"/>
  <c r="AK456" i="42" s="1"/>
  <c r="A456" i="42" s="1"/>
  <c r="N187" i="39"/>
  <c r="AE175" i="39"/>
  <c r="BY1481" i="42" s="1"/>
  <c r="A1481" i="42" s="1"/>
  <c r="AE7" i="39"/>
  <c r="BZ1313" i="42" s="1"/>
  <c r="N153" i="39"/>
  <c r="AP55" i="39"/>
  <c r="AA147" i="39"/>
  <c r="AU621" i="42" s="1"/>
  <c r="AC147" i="39"/>
  <c r="BK1037" i="42" s="1"/>
  <c r="Z19" i="39"/>
  <c r="AK285" i="42" s="1"/>
  <c r="A285" i="42" s="1"/>
  <c r="AC78" i="39"/>
  <c r="BI968" i="42" s="1"/>
  <c r="A968" i="42" s="1"/>
  <c r="AF190" i="39"/>
  <c r="CG1704" i="42" s="1"/>
  <c r="A1704" i="42" s="1"/>
  <c r="AC175" i="39"/>
  <c r="BI1065" i="42" s="1"/>
  <c r="A1065" i="42" s="1"/>
  <c r="AD7" i="39"/>
  <c r="BR1105" i="42" s="1"/>
  <c r="AR19" i="39"/>
  <c r="AR157" i="39"/>
  <c r="Z202" i="39"/>
  <c r="AK468" i="42" s="1"/>
  <c r="A468" i="42" s="1"/>
  <c r="N10" i="39"/>
  <c r="J10" i="44" s="1"/>
  <c r="A10" i="44" s="1"/>
  <c r="AE153" i="39"/>
  <c r="BZ1459" i="42" s="1"/>
  <c r="AE78" i="39"/>
  <c r="BY1384" i="42" s="1"/>
  <c r="A1384" i="42" s="1"/>
  <c r="Y190" i="39"/>
  <c r="AE248" i="42" s="1"/>
  <c r="Z17" i="39"/>
  <c r="AK283" i="42" s="1"/>
  <c r="A283" i="42" s="1"/>
  <c r="AB19" i="39"/>
  <c r="BA701" i="42" s="1"/>
  <c r="A701" i="42" s="1"/>
  <c r="AD78" i="39"/>
  <c r="BS1176" i="42" s="1"/>
  <c r="Z147" i="39"/>
  <c r="AN413" i="42" s="1"/>
  <c r="Y19" i="39"/>
  <c r="AD77" i="42" s="1"/>
  <c r="Y78" i="39"/>
  <c r="AC136" i="42" s="1"/>
  <c r="A136" i="42" s="1"/>
  <c r="AP153" i="39"/>
  <c r="AE190" i="39"/>
  <c r="CB1496" i="42" s="1"/>
  <c r="AD175" i="39"/>
  <c r="BR1273" i="42" s="1"/>
  <c r="AC7" i="39"/>
  <c r="BI897" i="42" s="1"/>
  <c r="A897" i="42" s="1"/>
  <c r="AL62" i="39"/>
  <c r="AR12" i="39"/>
  <c r="AN157" i="39"/>
  <c r="AE48" i="39"/>
  <c r="CB1354" i="42" s="1"/>
  <c r="AC146" i="39"/>
  <c r="BI1036" i="42" s="1"/>
  <c r="A1036" i="42" s="1"/>
  <c r="AF175" i="39"/>
  <c r="CI1689" i="42" s="1"/>
  <c r="Z209" i="39"/>
  <c r="AE22" i="39"/>
  <c r="BZ1328" i="42" s="1"/>
  <c r="AB146" i="39"/>
  <c r="BB828" i="42" s="1"/>
  <c r="AA146" i="39"/>
  <c r="AS620" i="42" s="1"/>
  <c r="A620" i="42" s="1"/>
  <c r="N146" i="39"/>
  <c r="AF81" i="39"/>
  <c r="CG1595" i="42" s="1"/>
  <c r="A1595" i="42" s="1"/>
  <c r="AL125" i="39"/>
  <c r="AR175" i="39"/>
  <c r="N17" i="39"/>
  <c r="J17" i="44" s="1"/>
  <c r="A17" i="44" s="1"/>
  <c r="Z46" i="39"/>
  <c r="AL312" i="42" s="1"/>
  <c r="AL10" i="39"/>
  <c r="AL81" i="39"/>
  <c r="AD213" i="39"/>
  <c r="AB81" i="39"/>
  <c r="BB763" i="42" s="1"/>
  <c r="A212" i="39"/>
  <c r="Y55" i="39"/>
  <c r="AC113" i="42" s="1"/>
  <c r="A113" i="42" s="1"/>
  <c r="AA81" i="39"/>
  <c r="AS555" i="42" s="1"/>
  <c r="A555" i="42" s="1"/>
  <c r="N46" i="39"/>
  <c r="AN10" i="39"/>
  <c r="AT194" i="39"/>
  <c r="AC212" i="39"/>
  <c r="AT17" i="39"/>
  <c r="Z81" i="39"/>
  <c r="AL347" i="42" s="1"/>
  <c r="AF46" i="39"/>
  <c r="CH1560" i="42" s="1"/>
  <c r="AP10" i="39"/>
  <c r="AE81" i="39"/>
  <c r="BY1387" i="42" s="1"/>
  <c r="A1387" i="42" s="1"/>
  <c r="AE33" i="39"/>
  <c r="BY1339" i="42" s="1"/>
  <c r="A1339" i="42" s="1"/>
  <c r="Y81" i="39"/>
  <c r="AC139" i="42" s="1"/>
  <c r="A139" i="42" s="1"/>
  <c r="AD46" i="39"/>
  <c r="BT1144" i="42" s="1"/>
  <c r="AT10" i="39"/>
  <c r="N81" i="39"/>
  <c r="AU682" i="42"/>
  <c r="O25" i="45" s="1"/>
  <c r="AC46" i="39"/>
  <c r="BI936" i="42" s="1"/>
  <c r="A936" i="42" s="1"/>
  <c r="AP194" i="39"/>
  <c r="N33" i="39"/>
  <c r="AR194" i="39"/>
  <c r="AF33" i="39"/>
  <c r="CH1547" i="42" s="1"/>
  <c r="AC81" i="39"/>
  <c r="BI971" i="42" s="1"/>
  <c r="A971" i="42" s="1"/>
  <c r="AA210" i="39"/>
  <c r="AB46" i="39"/>
  <c r="BB728" i="42" s="1"/>
  <c r="AN55" i="39"/>
  <c r="AN146" i="39"/>
  <c r="AD81" i="39"/>
  <c r="BR1179" i="42" s="1"/>
  <c r="AF146" i="39"/>
  <c r="CG1660" i="42" s="1"/>
  <c r="A1660" i="42" s="1"/>
  <c r="AD52" i="39"/>
  <c r="BS1150" i="42" s="1"/>
  <c r="AN81" i="39"/>
  <c r="AR146" i="39"/>
  <c r="AN48" i="39"/>
  <c r="AE146" i="39"/>
  <c r="BY1452" i="42" s="1"/>
  <c r="A1452" i="42" s="1"/>
  <c r="AA175" i="39"/>
  <c r="AT649" i="42" s="1"/>
  <c r="AR81" i="39"/>
  <c r="AP48" i="39"/>
  <c r="AE12" i="39"/>
  <c r="BY1318" i="42" s="1"/>
  <c r="AD146" i="39"/>
  <c r="BQ1244" i="42" s="1"/>
  <c r="A1244" i="42" s="1"/>
  <c r="N175" i="39"/>
  <c r="AM474" i="42"/>
  <c r="O24" i="45" s="1"/>
  <c r="AD189" i="39"/>
  <c r="BR1287" i="42" s="1"/>
  <c r="AT77" i="39"/>
  <c r="N41" i="39"/>
  <c r="AN202" i="39"/>
  <c r="AT151" i="39"/>
  <c r="AP80" i="39"/>
  <c r="AL147" i="39"/>
  <c r="AD147" i="39"/>
  <c r="BR1245" i="42" s="1"/>
  <c r="AD157" i="39"/>
  <c r="BR1255" i="42" s="1"/>
  <c r="AP77" i="39"/>
  <c r="AT202" i="39"/>
  <c r="AL157" i="39"/>
  <c r="Z189" i="39"/>
  <c r="AN455" i="42" s="1"/>
  <c r="AD41" i="39"/>
  <c r="BQ1139" i="42" s="1"/>
  <c r="A1139" i="42" s="1"/>
  <c r="AB147" i="39"/>
  <c r="BC829" i="42" s="1"/>
  <c r="N189" i="39"/>
  <c r="AC41" i="39"/>
  <c r="BK931" i="42" s="1"/>
  <c r="AC157" i="39"/>
  <c r="BJ1047" i="42" s="1"/>
  <c r="AB187" i="39"/>
  <c r="BC869" i="42" s="1"/>
  <c r="AP147" i="39"/>
  <c r="N147" i="39"/>
  <c r="Z157" i="39"/>
  <c r="AN423" i="42" s="1"/>
  <c r="Y187" i="39"/>
  <c r="AD245" i="42" s="1"/>
  <c r="AE266" i="42"/>
  <c r="O23" i="45" s="1"/>
  <c r="AA119" i="39"/>
  <c r="AV593" i="42" s="1"/>
  <c r="AN41" i="39"/>
  <c r="AT44" i="39"/>
  <c r="AC80" i="39"/>
  <c r="BK970" i="42" s="1"/>
  <c r="AF44" i="39"/>
  <c r="CG1558" i="42" s="1"/>
  <c r="A1558" i="42" s="1"/>
  <c r="AA150" i="39"/>
  <c r="AS624" i="42" s="1"/>
  <c r="A624" i="42" s="1"/>
  <c r="AN77" i="39"/>
  <c r="Y202" i="39"/>
  <c r="AC260" i="42" s="1"/>
  <c r="A260" i="42" s="1"/>
  <c r="AN187" i="39"/>
  <c r="AA48" i="39"/>
  <c r="AU522" i="42" s="1"/>
  <c r="AA33" i="39"/>
  <c r="AT507" i="42" s="1"/>
  <c r="Z150" i="39"/>
  <c r="AL416" i="42" s="1"/>
  <c r="AE77" i="39"/>
  <c r="CA1383" i="42" s="1"/>
  <c r="AD187" i="39"/>
  <c r="BS1285" i="42" s="1"/>
  <c r="Z80" i="39"/>
  <c r="AK346" i="42" s="1"/>
  <c r="A346" i="42" s="1"/>
  <c r="AA44" i="39"/>
  <c r="AT518" i="42" s="1"/>
  <c r="AF119" i="39"/>
  <c r="CG1633" i="42" s="1"/>
  <c r="A1633" i="42" s="1"/>
  <c r="AN33" i="39"/>
  <c r="AP151" i="39"/>
  <c r="AP189" i="39"/>
  <c r="AP119" i="39"/>
  <c r="AE187" i="39"/>
  <c r="BY1493" i="42" s="1"/>
  <c r="A1493" i="42" s="1"/>
  <c r="AT80" i="39"/>
  <c r="N44" i="39"/>
  <c r="AN44" i="39"/>
  <c r="AP41" i="39"/>
  <c r="AC202" i="39"/>
  <c r="BI1092" i="42" s="1"/>
  <c r="A1092" i="42" s="1"/>
  <c r="AR80" i="39"/>
  <c r="AT146" i="39"/>
  <c r="N48" i="39"/>
  <c r="AD33" i="39"/>
  <c r="BQ1131" i="42" s="1"/>
  <c r="A1131" i="42" s="1"/>
  <c r="Y150" i="39"/>
  <c r="AC208" i="42" s="1"/>
  <c r="A208" i="42" s="1"/>
  <c r="AC77" i="39"/>
  <c r="BI967" i="42" s="1"/>
  <c r="A967" i="42" s="1"/>
  <c r="N80" i="39"/>
  <c r="AD44" i="39"/>
  <c r="BR1142" i="42" s="1"/>
  <c r="AD119" i="39"/>
  <c r="BS1217" i="42" s="1"/>
  <c r="AL41" i="39"/>
  <c r="AP187" i="39"/>
  <c r="AL119" i="39"/>
  <c r="AB80" i="39"/>
  <c r="BB762" i="42" s="1"/>
  <c r="Y119" i="39"/>
  <c r="AC177" i="42" s="1"/>
  <c r="A177" i="42" s="1"/>
  <c r="AR119" i="39"/>
  <c r="AN194" i="39"/>
  <c r="AC33" i="39"/>
  <c r="BI923" i="42" s="1"/>
  <c r="A923" i="42" s="1"/>
  <c r="AB77" i="39"/>
  <c r="BB759" i="42" s="1"/>
  <c r="AC44" i="39"/>
  <c r="BL934" i="42" s="1"/>
  <c r="AP44" i="39"/>
  <c r="Y208" i="39"/>
  <c r="AB150" i="39"/>
  <c r="BA832" i="42" s="1"/>
  <c r="A832" i="42" s="1"/>
  <c r="AF187" i="39"/>
  <c r="CI1701" i="42" s="1"/>
  <c r="Y80" i="39"/>
  <c r="AE138" i="42" s="1"/>
  <c r="AR77" i="39"/>
  <c r="AR187" i="39"/>
  <c r="AB33" i="39"/>
  <c r="BC715" i="42" s="1"/>
  <c r="Z77" i="39"/>
  <c r="AL343" i="42" s="1"/>
  <c r="AB44" i="39"/>
  <c r="BB726" i="42" s="1"/>
  <c r="AP33" i="39"/>
  <c r="AT119" i="39"/>
  <c r="AA77" i="39"/>
  <c r="AT551" i="42" s="1"/>
  <c r="AE119" i="39"/>
  <c r="CA1425" i="42" s="1"/>
  <c r="AR189" i="39"/>
  <c r="AA151" i="39"/>
  <c r="AV625" i="42" s="1"/>
  <c r="Y48" i="39"/>
  <c r="AD106" i="42" s="1"/>
  <c r="AF48" i="39"/>
  <c r="CJ1562" i="42" s="1"/>
  <c r="Z33" i="39"/>
  <c r="AK299" i="42" s="1"/>
  <c r="A299" i="42" s="1"/>
  <c r="Y77" i="39"/>
  <c r="AC135" i="42" s="1"/>
  <c r="A135" i="42" s="1"/>
  <c r="AN150" i="39"/>
  <c r="Z44" i="39"/>
  <c r="AL310" i="42" s="1"/>
  <c r="AR109" i="39"/>
  <c r="AR44" i="39"/>
  <c r="AN119" i="39"/>
  <c r="AF77" i="39"/>
  <c r="CH1591" i="42" s="1"/>
  <c r="AE44" i="39"/>
  <c r="BZ1350" i="42" s="1"/>
  <c r="N150" i="39"/>
  <c r="AD77" i="39"/>
  <c r="BQ1175" i="42" s="1"/>
  <c r="A1175" i="42" s="1"/>
  <c r="AC187" i="39"/>
  <c r="BI1077" i="42" s="1"/>
  <c r="A1077" i="42" s="1"/>
  <c r="AF189" i="39"/>
  <c r="CH1703" i="42" s="1"/>
  <c r="AR41" i="39"/>
  <c r="AE41" i="39"/>
  <c r="BZ1347" i="42" s="1"/>
  <c r="Y33" i="39"/>
  <c r="AC91" i="42" s="1"/>
  <c r="A91" i="42" s="1"/>
  <c r="AT187" i="39"/>
  <c r="N77" i="39"/>
  <c r="Y44" i="39"/>
  <c r="AC102" i="42" s="1"/>
  <c r="A102" i="42" s="1"/>
  <c r="AT189" i="39"/>
  <c r="AE52" i="39"/>
  <c r="BZ1358" i="42" s="1"/>
  <c r="AA52" i="39"/>
  <c r="AV526" i="42" s="1"/>
  <c r="AL113" i="39"/>
  <c r="AN15" i="39"/>
  <c r="N52" i="39"/>
  <c r="AN52" i="39"/>
  <c r="AN109" i="39"/>
  <c r="AP15" i="39"/>
  <c r="AT15" i="39"/>
  <c r="Z52" i="39"/>
  <c r="AK318" i="42" s="1"/>
  <c r="A318" i="42" s="1"/>
  <c r="AF109" i="39"/>
  <c r="CH1623" i="42" s="1"/>
  <c r="AF113" i="39"/>
  <c r="CG1627" i="42" s="1"/>
  <c r="A1627" i="42" s="1"/>
  <c r="AR15" i="39"/>
  <c r="AE113" i="39"/>
  <c r="BY1419" i="42" s="1"/>
  <c r="A1419" i="42" s="1"/>
  <c r="AN113" i="39"/>
  <c r="AD109" i="39"/>
  <c r="BQ1207" i="42" s="1"/>
  <c r="A1207" i="42" s="1"/>
  <c r="AD113" i="39"/>
  <c r="BR1211" i="42" s="1"/>
  <c r="AT113" i="39"/>
  <c r="AC52" i="39"/>
  <c r="BI942" i="42" s="1"/>
  <c r="A942" i="42" s="1"/>
  <c r="AC109" i="39"/>
  <c r="BI999" i="42" s="1"/>
  <c r="A999" i="42" s="1"/>
  <c r="AC113" i="39"/>
  <c r="BK1003" i="42" s="1"/>
  <c r="AT109" i="39"/>
  <c r="AB109" i="39"/>
  <c r="BB791" i="42" s="1"/>
  <c r="AL52" i="39"/>
  <c r="AA113" i="39"/>
  <c r="AU587" i="42" s="1"/>
  <c r="AA109" i="39"/>
  <c r="AS583" i="42" s="1"/>
  <c r="A583" i="42" s="1"/>
  <c r="Z113" i="39"/>
  <c r="AL379" i="42" s="1"/>
  <c r="AL109" i="39"/>
  <c r="AF15" i="39"/>
  <c r="CG1529" i="42" s="1"/>
  <c r="A1529" i="42" s="1"/>
  <c r="Z109" i="39"/>
  <c r="AN375" i="42" s="1"/>
  <c r="Y113" i="39"/>
  <c r="AD171" i="42" s="1"/>
  <c r="N113" i="39"/>
  <c r="N15" i="39"/>
  <c r="J15" i="44" s="1"/>
  <c r="A15" i="44" s="1"/>
  <c r="AR113" i="39"/>
  <c r="AT150" i="39"/>
  <c r="N109" i="39"/>
  <c r="AF194" i="39"/>
  <c r="CG1708" i="42" s="1"/>
  <c r="A1708" i="42" s="1"/>
  <c r="AT81" i="39"/>
  <c r="AN147" i="39"/>
  <c r="AB52" i="39"/>
  <c r="BA734" i="42" s="1"/>
  <c r="A734" i="42" s="1"/>
  <c r="Y109" i="39"/>
  <c r="AC167" i="42" s="1"/>
  <c r="A167" i="42" s="1"/>
  <c r="AR46" i="39"/>
  <c r="Y175" i="39"/>
  <c r="AC233" i="42" s="1"/>
  <c r="A233" i="42" s="1"/>
  <c r="AE184" i="39"/>
  <c r="BZ1490" i="42" s="1"/>
  <c r="AD17" i="39"/>
  <c r="BT1115" i="42" s="1"/>
  <c r="N194" i="39"/>
  <c r="AP52" i="39"/>
  <c r="AT33" i="39"/>
  <c r="AA80" i="39"/>
  <c r="AV554" i="42" s="1"/>
  <c r="AC17" i="39"/>
  <c r="BI907" i="42" s="1"/>
  <c r="A907" i="42" s="1"/>
  <c r="Y194" i="39"/>
  <c r="AC252" i="42" s="1"/>
  <c r="A252" i="42" s="1"/>
  <c r="AF167" i="39"/>
  <c r="CG1681" i="42" s="1"/>
  <c r="A1681" i="42" s="1"/>
  <c r="AR52" i="39"/>
  <c r="AE109" i="39"/>
  <c r="BY1415" i="42" s="1"/>
  <c r="A1415" i="42" s="1"/>
  <c r="AF80" i="39"/>
  <c r="CH1594" i="42" s="1"/>
  <c r="AB17" i="39"/>
  <c r="BD699" i="42" s="1"/>
  <c r="AT205" i="39"/>
  <c r="AE167" i="39"/>
  <c r="BY1473" i="42" s="1"/>
  <c r="A1473" i="42" s="1"/>
  <c r="AT48" i="39"/>
  <c r="AB113" i="39"/>
  <c r="BD795" i="42" s="1"/>
  <c r="Y52" i="39"/>
  <c r="AC110" i="42" s="1"/>
  <c r="A110" i="42" s="1"/>
  <c r="Y15" i="39"/>
  <c r="AC73" i="42" s="1"/>
  <c r="A73" i="42" s="1"/>
  <c r="AR150" i="39"/>
  <c r="AE80" i="39"/>
  <c r="CA1386" i="42" s="1"/>
  <c r="AP205" i="39"/>
  <c r="AD167" i="39"/>
  <c r="BS1265" i="42" s="1"/>
  <c r="AL80" i="39"/>
  <c r="AF52" i="39"/>
  <c r="CJ1566" i="42" s="1"/>
  <c r="AD80" i="39"/>
  <c r="BQ1178" i="42" s="1"/>
  <c r="A1178" i="42" s="1"/>
  <c r="AB27" i="39"/>
  <c r="BA709" i="42" s="1"/>
  <c r="A709" i="42" s="1"/>
  <c r="N31" i="39"/>
  <c r="AR184" i="39"/>
  <c r="N27" i="39"/>
  <c r="Z31" i="39"/>
  <c r="AK297" i="42" s="1"/>
  <c r="A297" i="42" s="1"/>
  <c r="AA46" i="39"/>
  <c r="AS520" i="42" s="1"/>
  <c r="A520" i="42" s="1"/>
  <c r="AP27" i="39"/>
  <c r="Z27" i="39"/>
  <c r="AK293" i="42" s="1"/>
  <c r="A293" i="42" s="1"/>
  <c r="AD31" i="39"/>
  <c r="BQ1129" i="42" s="1"/>
  <c r="A1129" i="42" s="1"/>
  <c r="BS1306" i="42"/>
  <c r="O28" i="45" s="1"/>
  <c r="AE46" i="39"/>
  <c r="BY1352" i="42" s="1"/>
  <c r="A1352" i="42" s="1"/>
  <c r="Y27" i="39"/>
  <c r="AC85" i="42" s="1"/>
  <c r="A85" i="42" s="1"/>
  <c r="AC31" i="39"/>
  <c r="BL921" i="42" s="1"/>
  <c r="AP31" i="39"/>
  <c r="Y46" i="39"/>
  <c r="AD104" i="42" s="1"/>
  <c r="AC106" i="39"/>
  <c r="BJ996" i="42" s="1"/>
  <c r="AP150" i="39"/>
  <c r="AA184" i="39"/>
  <c r="AV658" i="42" s="1"/>
  <c r="AR205" i="39"/>
  <c r="AN205" i="39"/>
  <c r="A214" i="39"/>
  <c r="AA167" i="39"/>
  <c r="AV641" i="42" s="1"/>
  <c r="AL55" i="39"/>
  <c r="AT78" i="39"/>
  <c r="AL202" i="39"/>
  <c r="AR106" i="39"/>
  <c r="AT106" i="39"/>
  <c r="AF106" i="39"/>
  <c r="CJ1620" i="42" s="1"/>
  <c r="AN106" i="39"/>
  <c r="CA1514" i="42"/>
  <c r="A1513" i="42" s="1"/>
  <c r="N184" i="39"/>
  <c r="AA125" i="39"/>
  <c r="AT599" i="42" s="1"/>
  <c r="Z125" i="39"/>
  <c r="AM391" i="42" s="1"/>
  <c r="Z106" i="39"/>
  <c r="AN372" i="42" s="1"/>
  <c r="AC190" i="39"/>
  <c r="BI1080" i="42" s="1"/>
  <c r="A1080" i="42" s="1"/>
  <c r="AB184" i="39"/>
  <c r="BA866" i="42" s="1"/>
  <c r="A866" i="42" s="1"/>
  <c r="CI1722" i="42"/>
  <c r="A1722" i="42" s="1"/>
  <c r="AT125" i="39"/>
  <c r="AD184" i="39"/>
  <c r="BQ1282" i="42" s="1"/>
  <c r="A1282" i="42" s="1"/>
  <c r="AD106" i="39"/>
  <c r="BR1204" i="42" s="1"/>
  <c r="AA106" i="39"/>
  <c r="AS580" i="42" s="1"/>
  <c r="A580" i="42" s="1"/>
  <c r="AF184" i="39"/>
  <c r="CI1698" i="42" s="1"/>
  <c r="AB151" i="39"/>
  <c r="BA833" i="42" s="1"/>
  <c r="A833" i="42" s="1"/>
  <c r="Y125" i="39"/>
  <c r="AC183" i="42" s="1"/>
  <c r="A183" i="42" s="1"/>
  <c r="AL175" i="39"/>
  <c r="N106" i="39"/>
  <c r="Z184" i="39"/>
  <c r="AL450" i="42" s="1"/>
  <c r="AL106" i="39"/>
  <c r="AC184" i="39"/>
  <c r="BL1074" i="42" s="1"/>
  <c r="N125" i="39"/>
  <c r="AF150" i="39"/>
  <c r="CG1664" i="42" s="1"/>
  <c r="A1664" i="42" s="1"/>
  <c r="AT184" i="39"/>
  <c r="AN175" i="39"/>
  <c r="AT46" i="39"/>
  <c r="AR31" i="39"/>
  <c r="AL190" i="39"/>
  <c r="AT55" i="39"/>
  <c r="AE106" i="39"/>
  <c r="BY1412" i="42" s="1"/>
  <c r="A1412" i="42" s="1"/>
  <c r="K216" i="39"/>
  <c r="L8" i="39" s="1"/>
  <c r="M8" i="39" s="1"/>
  <c r="Y106" i="39"/>
  <c r="AE164" i="42" s="1"/>
  <c r="AB211" i="39"/>
  <c r="AT27" i="39"/>
  <c r="AD150" i="39"/>
  <c r="BQ1248" i="42" s="1"/>
  <c r="A1248" i="42" s="1"/>
  <c r="AF27" i="39"/>
  <c r="CG1541" i="42" s="1"/>
  <c r="A1541" i="42" s="1"/>
  <c r="AT175" i="39"/>
  <c r="AL46" i="39"/>
  <c r="AN184" i="39"/>
  <c r="AB106" i="39"/>
  <c r="BA788" i="42" s="1"/>
  <c r="A788" i="42" s="1"/>
  <c r="Y184" i="39"/>
  <c r="AC242" i="42" s="1"/>
  <c r="A242" i="42" s="1"/>
  <c r="AR125" i="39"/>
  <c r="Z151" i="39"/>
  <c r="AN417" i="42" s="1"/>
  <c r="AD65" i="39"/>
  <c r="BR1163" i="42" s="1"/>
  <c r="AA78" i="39"/>
  <c r="AV552" i="42" s="1"/>
  <c r="AC150" i="39"/>
  <c r="BK1040" i="42" s="1"/>
  <c r="AE27" i="39"/>
  <c r="BZ1333" i="42" s="1"/>
  <c r="AE31" i="39"/>
  <c r="BZ1337" i="42" s="1"/>
  <c r="AN27" i="39"/>
  <c r="A215" i="39"/>
  <c r="N65" i="39"/>
  <c r="AF65" i="39"/>
  <c r="CG1579" i="42" s="1"/>
  <c r="A1579" i="42" s="1"/>
  <c r="AL65" i="39"/>
  <c r="U40" i="42"/>
  <c r="W40" i="42" s="1"/>
  <c r="AE65" i="39"/>
  <c r="BY1371" i="42" s="1"/>
  <c r="A1371" i="42" s="1"/>
  <c r="BC890" i="42"/>
  <c r="O26" i="45" s="1"/>
  <c r="AL20" i="39"/>
  <c r="AC167" i="39"/>
  <c r="BJ1057" i="42" s="1"/>
  <c r="AB167" i="39"/>
  <c r="BA849" i="42" s="1"/>
  <c r="A849" i="42" s="1"/>
  <c r="Z65" i="39"/>
  <c r="AN331" i="42" s="1"/>
  <c r="AF22" i="39"/>
  <c r="CJ1536" i="42" s="1"/>
  <c r="Z167" i="39"/>
  <c r="AK433" i="42" s="1"/>
  <c r="A433" i="42" s="1"/>
  <c r="AA20" i="39"/>
  <c r="AT494" i="42" s="1"/>
  <c r="AD22" i="39"/>
  <c r="BQ1120" i="42" s="1"/>
  <c r="A1120" i="42" s="1"/>
  <c r="Y167" i="39"/>
  <c r="AC65" i="39"/>
  <c r="BI955" i="42" s="1"/>
  <c r="A955" i="42" s="1"/>
  <c r="N167" i="39"/>
  <c r="AN125" i="39"/>
  <c r="AN22" i="39"/>
  <c r="AR22" i="39"/>
  <c r="AN167" i="39"/>
  <c r="AN20" i="39"/>
  <c r="AE20" i="39"/>
  <c r="BY1326" i="42" s="1"/>
  <c r="AB22" i="39"/>
  <c r="BA704" i="42" s="1"/>
  <c r="A704" i="42" s="1"/>
  <c r="Y151" i="39"/>
  <c r="AE209" i="42" s="1"/>
  <c r="AD20" i="39"/>
  <c r="BR1118" i="42" s="1"/>
  <c r="AN46" i="39"/>
  <c r="AE15" i="39"/>
  <c r="BY1321" i="42" s="1"/>
  <c r="AA22" i="39"/>
  <c r="AS496" i="42" s="1"/>
  <c r="A496" i="42" s="1"/>
  <c r="AE194" i="39"/>
  <c r="BY1500" i="42" s="1"/>
  <c r="A1500" i="42" s="1"/>
  <c r="AR20" i="39"/>
  <c r="AT20" i="39"/>
  <c r="AP22" i="39"/>
  <c r="AL167" i="39"/>
  <c r="N151" i="39"/>
  <c r="AC20" i="39"/>
  <c r="BI910" i="42" s="1"/>
  <c r="A910" i="42" s="1"/>
  <c r="AC125" i="39"/>
  <c r="BJ1015" i="42" s="1"/>
  <c r="AD15" i="39"/>
  <c r="Z22" i="39"/>
  <c r="AL288" i="42" s="1"/>
  <c r="AD194" i="39"/>
  <c r="BS1292" i="42" s="1"/>
  <c r="AP167" i="39"/>
  <c r="A211" i="39"/>
  <c r="AF151" i="39"/>
  <c r="CH1665" i="42" s="1"/>
  <c r="AC15" i="39"/>
  <c r="BL905" i="42" s="1"/>
  <c r="AT65" i="39"/>
  <c r="Y22" i="39"/>
  <c r="AC80" i="42" s="1"/>
  <c r="A80" i="42" s="1"/>
  <c r="AC194" i="39"/>
  <c r="BI1084" i="42" s="1"/>
  <c r="A1084" i="42" s="1"/>
  <c r="AR167" i="39"/>
  <c r="AJ7" i="39"/>
  <c r="J7" i="39"/>
  <c r="AI7" i="39"/>
  <c r="AI216" i="39" s="1"/>
  <c r="AB65" i="39"/>
  <c r="BC747" i="42" s="1"/>
  <c r="AA65" i="39"/>
  <c r="AV539" i="42" s="1"/>
  <c r="AR65" i="39"/>
  <c r="AB20" i="39"/>
  <c r="BB702" i="42" s="1"/>
  <c r="AF125" i="39"/>
  <c r="CI1639" i="42" s="1"/>
  <c r="AE151" i="39"/>
  <c r="BY1457" i="42" s="1"/>
  <c r="A1457" i="42" s="1"/>
  <c r="Z20" i="39"/>
  <c r="AM286" i="42" s="1"/>
  <c r="AE125" i="39"/>
  <c r="BY1431" i="42" s="1"/>
  <c r="A1431" i="42" s="1"/>
  <c r="AB15" i="39"/>
  <c r="BD697" i="42" s="1"/>
  <c r="N22" i="39"/>
  <c r="J22" i="44" s="1"/>
  <c r="A22" i="44" s="1"/>
  <c r="B217" i="39"/>
  <c r="AB194" i="39"/>
  <c r="BA876" i="42" s="1"/>
  <c r="A876" i="42" s="1"/>
  <c r="AP65" i="39"/>
  <c r="AL22" i="39"/>
  <c r="Y65" i="39"/>
  <c r="AC123" i="42" s="1"/>
  <c r="A123" i="42" s="1"/>
  <c r="AF20" i="39"/>
  <c r="CJ1534" i="42" s="1"/>
  <c r="AC22" i="39"/>
  <c r="BI912" i="42" s="1"/>
  <c r="A912" i="42" s="1"/>
  <c r="AD151" i="39"/>
  <c r="BR1249" i="42" s="1"/>
  <c r="Y20" i="39"/>
  <c r="AC78" i="42" s="1"/>
  <c r="A78" i="42" s="1"/>
  <c r="AD125" i="39"/>
  <c r="BQ1223" i="42" s="1"/>
  <c r="A1223" i="42" s="1"/>
  <c r="AA15" i="39"/>
  <c r="AS489" i="42" s="1"/>
  <c r="A489" i="42" s="1"/>
  <c r="Z194" i="39"/>
  <c r="AK460" i="42" s="1"/>
  <c r="A460" i="42" s="1"/>
  <c r="AL151" i="39"/>
  <c r="AC151" i="39"/>
  <c r="BI1041" i="42" s="1"/>
  <c r="A1041" i="42" s="1"/>
  <c r="N20" i="39"/>
  <c r="J20" i="44" s="1"/>
  <c r="A20" i="44" s="1"/>
  <c r="AB125" i="39"/>
  <c r="BC807" i="42" s="1"/>
  <c r="Z15" i="39"/>
  <c r="J8" i="44"/>
  <c r="A8" i="44" s="1"/>
  <c r="P13" i="68"/>
  <c r="P9" i="68"/>
  <c r="P12" i="68"/>
  <c r="P10" i="68"/>
  <c r="H7" i="44"/>
  <c r="J7" i="44" s="1"/>
  <c r="A7" i="44" s="1"/>
  <c r="BI911" i="42"/>
  <c r="A911" i="42" s="1"/>
  <c r="BJ911" i="42"/>
  <c r="BK911" i="42"/>
  <c r="BL911" i="42"/>
  <c r="BI998" i="42"/>
  <c r="A998" i="42" s="1"/>
  <c r="BJ998" i="42"/>
  <c r="BK998" i="42"/>
  <c r="BL998" i="42"/>
  <c r="CG1609" i="42"/>
  <c r="A1609" i="42" s="1"/>
  <c r="CH1609" i="42"/>
  <c r="CI1609" i="42"/>
  <c r="CJ1609" i="42"/>
  <c r="CG1597" i="42"/>
  <c r="A1597" i="42" s="1"/>
  <c r="CH1597" i="42"/>
  <c r="CI1597" i="42"/>
  <c r="CJ1597" i="42"/>
  <c r="BI924" i="42"/>
  <c r="A924" i="42" s="1"/>
  <c r="BJ924" i="42"/>
  <c r="BK924" i="42"/>
  <c r="BL924" i="42"/>
  <c r="BI1018" i="42"/>
  <c r="A1018" i="42" s="1"/>
  <c r="BJ1018" i="42"/>
  <c r="BK1018" i="42"/>
  <c r="BL1018" i="42"/>
  <c r="BY1374" i="42"/>
  <c r="A1374" i="42" s="1"/>
  <c r="BZ1374" i="42"/>
  <c r="CA1374" i="42"/>
  <c r="CB1374" i="42"/>
  <c r="AS585" i="42"/>
  <c r="A585" i="42" s="1"/>
  <c r="AT585" i="42"/>
  <c r="AU585" i="42"/>
  <c r="AV585" i="42"/>
  <c r="BA811" i="42"/>
  <c r="A811" i="42" s="1"/>
  <c r="BB811" i="42"/>
  <c r="BC811" i="42"/>
  <c r="BD811" i="42"/>
  <c r="AC93" i="42"/>
  <c r="A93" i="42" s="1"/>
  <c r="AD93" i="42"/>
  <c r="AE93" i="42"/>
  <c r="AF93" i="42"/>
  <c r="AC95" i="42"/>
  <c r="A95" i="42" s="1"/>
  <c r="AD95" i="42"/>
  <c r="AE95" i="42"/>
  <c r="AF95" i="42"/>
  <c r="BY1506" i="42"/>
  <c r="A1506" i="42" s="1"/>
  <c r="BZ1506" i="42"/>
  <c r="CA1506" i="42"/>
  <c r="CB1506" i="42"/>
  <c r="BY1502" i="42"/>
  <c r="A1502" i="42" s="1"/>
  <c r="BZ1502" i="42"/>
  <c r="CA1502" i="42"/>
  <c r="CB1502" i="42"/>
  <c r="AC236" i="42"/>
  <c r="A236" i="42" s="1"/>
  <c r="AD236" i="42"/>
  <c r="AE236" i="42"/>
  <c r="AF236" i="42"/>
  <c r="AC192" i="42"/>
  <c r="A192" i="42" s="1"/>
  <c r="AD192" i="42"/>
  <c r="AE192" i="42"/>
  <c r="AF192" i="42"/>
  <c r="CH1578" i="42"/>
  <c r="CI1578" i="42"/>
  <c r="CJ1578" i="42"/>
  <c r="CG1578" i="42"/>
  <c r="A1578" i="42" s="1"/>
  <c r="AC131" i="42"/>
  <c r="A131" i="42" s="1"/>
  <c r="AD131" i="42"/>
  <c r="AE131" i="42"/>
  <c r="AF131" i="42"/>
  <c r="BI929" i="42"/>
  <c r="A929" i="42" s="1"/>
  <c r="BJ929" i="42"/>
  <c r="BK929" i="42"/>
  <c r="BL929" i="42"/>
  <c r="CH1666" i="42"/>
  <c r="CI1666" i="42"/>
  <c r="CJ1666" i="42"/>
  <c r="CG1666" i="42"/>
  <c r="A1666" i="42" s="1"/>
  <c r="BQ1298" i="42"/>
  <c r="A1298" i="42" s="1"/>
  <c r="BR1298" i="42"/>
  <c r="BS1298" i="42"/>
  <c r="BT1298" i="42"/>
  <c r="BA729" i="42"/>
  <c r="A729" i="42" s="1"/>
  <c r="BB729" i="42"/>
  <c r="BD729" i="42"/>
  <c r="BC729" i="42"/>
  <c r="AK390" i="42"/>
  <c r="A390" i="42" s="1"/>
  <c r="AM390" i="42"/>
  <c r="AN390" i="42"/>
  <c r="AL390" i="42"/>
  <c r="CH1650" i="42"/>
  <c r="CI1650" i="42"/>
  <c r="CJ1650" i="42"/>
  <c r="CG1650" i="42"/>
  <c r="A1650" i="42" s="1"/>
  <c r="CG1709" i="42"/>
  <c r="A1709" i="42" s="1"/>
  <c r="CH1709" i="42"/>
  <c r="CI1709" i="42"/>
  <c r="CJ1709" i="42"/>
  <c r="CH1686" i="42"/>
  <c r="CI1686" i="42"/>
  <c r="CJ1686" i="42"/>
  <c r="CG1686" i="42"/>
  <c r="A1686" i="42" s="1"/>
  <c r="AC96" i="42"/>
  <c r="A96" i="42" s="1"/>
  <c r="AD96" i="42"/>
  <c r="AE96" i="42"/>
  <c r="AF96" i="42"/>
  <c r="BA710" i="42"/>
  <c r="A710" i="42" s="1"/>
  <c r="BB710" i="42"/>
  <c r="BC710" i="42"/>
  <c r="BD710" i="42"/>
  <c r="CH1702" i="42"/>
  <c r="CI1702" i="42"/>
  <c r="CJ1702" i="42"/>
  <c r="CG1702" i="42"/>
  <c r="A1702" i="42" s="1"/>
  <c r="CH1618" i="42"/>
  <c r="CI1618" i="42"/>
  <c r="CJ1618" i="42"/>
  <c r="CG1618" i="42"/>
  <c r="A1618" i="42" s="1"/>
  <c r="BI958" i="42"/>
  <c r="A958" i="42" s="1"/>
  <c r="BJ958" i="42"/>
  <c r="BK958" i="42"/>
  <c r="BL958" i="42"/>
  <c r="BQ1284" i="42"/>
  <c r="A1284" i="42" s="1"/>
  <c r="BR1284" i="42"/>
  <c r="BS1284" i="42"/>
  <c r="BT1284" i="42"/>
  <c r="AK377" i="42"/>
  <c r="A377" i="42" s="1"/>
  <c r="AM377" i="42"/>
  <c r="AN377" i="42"/>
  <c r="AL377" i="42"/>
  <c r="AK361" i="42"/>
  <c r="A361" i="42" s="1"/>
  <c r="AL361" i="42"/>
  <c r="AM361" i="42"/>
  <c r="AN361" i="42"/>
  <c r="AC94" i="42"/>
  <c r="A94" i="42" s="1"/>
  <c r="AD94" i="42"/>
  <c r="AE94" i="42"/>
  <c r="AF94" i="42"/>
  <c r="BI973" i="42"/>
  <c r="A973" i="42" s="1"/>
  <c r="BJ973" i="42"/>
  <c r="BK973" i="42"/>
  <c r="BL973" i="42"/>
  <c r="AS603" i="42"/>
  <c r="A603" i="42" s="1"/>
  <c r="AT603" i="42"/>
  <c r="AU603" i="42"/>
  <c r="AV603" i="42"/>
  <c r="CG1604" i="42"/>
  <c r="A1604" i="42" s="1"/>
  <c r="CH1604" i="42"/>
  <c r="CI1604" i="42"/>
  <c r="CJ1604" i="42"/>
  <c r="BA733" i="42"/>
  <c r="A733" i="42" s="1"/>
  <c r="BB733" i="42"/>
  <c r="BD733" i="42"/>
  <c r="BC733" i="42"/>
  <c r="CG1577" i="42"/>
  <c r="A1577" i="42" s="1"/>
  <c r="CH1577" i="42"/>
  <c r="CI1577" i="42"/>
  <c r="CJ1577" i="42"/>
  <c r="BQ1294" i="42"/>
  <c r="A1294" i="42" s="1"/>
  <c r="BR1294" i="42"/>
  <c r="BS1294" i="42"/>
  <c r="BT1294" i="42"/>
  <c r="AN300" i="42"/>
  <c r="AK300" i="42"/>
  <c r="A300" i="42" s="1"/>
  <c r="AL300" i="42"/>
  <c r="AM300" i="42"/>
  <c r="BY1369" i="42"/>
  <c r="A1369" i="42" s="1"/>
  <c r="BZ1369" i="42"/>
  <c r="CA1369" i="42"/>
  <c r="CB1369" i="42"/>
  <c r="BI1068" i="42"/>
  <c r="A1068" i="42" s="1"/>
  <c r="BJ1068" i="42"/>
  <c r="BK1068" i="42"/>
  <c r="BL1068" i="42"/>
  <c r="BY1370" i="42"/>
  <c r="A1370" i="42" s="1"/>
  <c r="BZ1370" i="42"/>
  <c r="CA1370" i="42"/>
  <c r="CB1370" i="42"/>
  <c r="BA721" i="42"/>
  <c r="A721" i="42" s="1"/>
  <c r="BB721" i="42"/>
  <c r="BD721" i="42"/>
  <c r="BC721" i="42"/>
  <c r="BY1398" i="42"/>
  <c r="A1398" i="42" s="1"/>
  <c r="BZ1398" i="42"/>
  <c r="CA1398" i="42"/>
  <c r="CB1398" i="42"/>
  <c r="BY1458" i="42"/>
  <c r="A1458" i="42" s="1"/>
  <c r="BZ1458" i="42"/>
  <c r="CA1458" i="42"/>
  <c r="CB1458" i="42"/>
  <c r="BL1090" i="42"/>
  <c r="BI1090" i="42"/>
  <c r="A1090" i="42" s="1"/>
  <c r="BJ1090" i="42"/>
  <c r="BK1090" i="42"/>
  <c r="AS521" i="42"/>
  <c r="A521" i="42" s="1"/>
  <c r="AT521" i="42"/>
  <c r="AU521" i="42"/>
  <c r="AV521" i="42"/>
  <c r="BY1442" i="42"/>
  <c r="A1442" i="42" s="1"/>
  <c r="BZ1442" i="42"/>
  <c r="CA1442" i="42"/>
  <c r="CB1442" i="42"/>
  <c r="AN352" i="42"/>
  <c r="AK352" i="42"/>
  <c r="A352" i="42" s="1"/>
  <c r="AL352" i="42"/>
  <c r="AM352" i="42"/>
  <c r="BY1478" i="42"/>
  <c r="A1478" i="42" s="1"/>
  <c r="BZ1478" i="42"/>
  <c r="CA1478" i="42"/>
  <c r="CB1478" i="42"/>
  <c r="AN316" i="42"/>
  <c r="AK316" i="42"/>
  <c r="A316" i="42" s="1"/>
  <c r="AL316" i="42"/>
  <c r="AM316" i="42"/>
  <c r="CG1552" i="42"/>
  <c r="A1552" i="42" s="1"/>
  <c r="CH1552" i="42"/>
  <c r="CI1552" i="42"/>
  <c r="CJ1552" i="42"/>
  <c r="AK294" i="42"/>
  <c r="A294" i="42" s="1"/>
  <c r="AL294" i="42"/>
  <c r="AM294" i="42"/>
  <c r="AN294" i="42"/>
  <c r="BY1494" i="42"/>
  <c r="A1494" i="42" s="1"/>
  <c r="BZ1494" i="42"/>
  <c r="CA1494" i="42"/>
  <c r="CB1494" i="42"/>
  <c r="BY1410" i="42"/>
  <c r="A1410" i="42" s="1"/>
  <c r="BZ1410" i="42"/>
  <c r="CA1410" i="42"/>
  <c r="CB1410" i="42"/>
  <c r="AC218" i="42"/>
  <c r="A218" i="42" s="1"/>
  <c r="AD218" i="42"/>
  <c r="AE218" i="42"/>
  <c r="AF218" i="42"/>
  <c r="AC200" i="42"/>
  <c r="A200" i="42" s="1"/>
  <c r="AD200" i="42"/>
  <c r="AE200" i="42"/>
  <c r="AF200" i="42"/>
  <c r="BQ1166" i="42"/>
  <c r="A1166" i="42" s="1"/>
  <c r="BR1166" i="42"/>
  <c r="BS1166" i="42"/>
  <c r="BT1166" i="42"/>
  <c r="BA868" i="42"/>
  <c r="A868" i="42" s="1"/>
  <c r="BC868" i="42"/>
  <c r="BD868" i="42"/>
  <c r="BB868" i="42"/>
  <c r="CH1550" i="42"/>
  <c r="CI1550" i="42"/>
  <c r="CJ1550" i="42"/>
  <c r="CG1550" i="42"/>
  <c r="A1550" i="42" s="1"/>
  <c r="BC765" i="42"/>
  <c r="BD765" i="42"/>
  <c r="BA765" i="42"/>
  <c r="A765" i="42" s="1"/>
  <c r="BB765" i="42"/>
  <c r="AN395" i="42"/>
  <c r="AK395" i="42"/>
  <c r="A395" i="42" s="1"/>
  <c r="AL395" i="42"/>
  <c r="AM395" i="42"/>
  <c r="BI980" i="42"/>
  <c r="A980" i="42" s="1"/>
  <c r="BJ980" i="42"/>
  <c r="BK980" i="42"/>
  <c r="BL980" i="42"/>
  <c r="BA858" i="42"/>
  <c r="A858" i="42" s="1"/>
  <c r="BB858" i="42"/>
  <c r="BC858" i="42"/>
  <c r="BD858" i="42"/>
  <c r="BC793" i="42"/>
  <c r="BD793" i="42"/>
  <c r="BA793" i="42"/>
  <c r="A793" i="42" s="1"/>
  <c r="BB793" i="42"/>
  <c r="BA716" i="42"/>
  <c r="A716" i="42" s="1"/>
  <c r="BB716" i="42"/>
  <c r="BC716" i="42"/>
  <c r="BD716" i="42"/>
  <c r="BL1086" i="42"/>
  <c r="BI1086" i="42"/>
  <c r="A1086" i="42" s="1"/>
  <c r="BJ1086" i="42"/>
  <c r="BK1086" i="42"/>
  <c r="AC92" i="42"/>
  <c r="A92" i="42" s="1"/>
  <c r="AD92" i="42"/>
  <c r="AE92" i="42"/>
  <c r="AF92" i="42"/>
  <c r="BR1161" i="42"/>
  <c r="BS1161" i="42"/>
  <c r="BT1161" i="42"/>
  <c r="BQ1161" i="42"/>
  <c r="A1161" i="42" s="1"/>
  <c r="CG1692" i="42"/>
  <c r="A1692" i="42" s="1"/>
  <c r="CH1692" i="42"/>
  <c r="CI1692" i="42"/>
  <c r="CJ1692" i="42"/>
  <c r="CG1648" i="42"/>
  <c r="A1648" i="42" s="1"/>
  <c r="CH1648" i="42"/>
  <c r="CI1648" i="42"/>
  <c r="CJ1648" i="42"/>
  <c r="BA746" i="42"/>
  <c r="A746" i="42" s="1"/>
  <c r="BB746" i="42"/>
  <c r="BC746" i="42"/>
  <c r="BD746" i="42"/>
  <c r="AS547" i="42"/>
  <c r="A547" i="42" s="1"/>
  <c r="AT547" i="42"/>
  <c r="AU547" i="42"/>
  <c r="AV547" i="42"/>
  <c r="AK305" i="42"/>
  <c r="A305" i="42" s="1"/>
  <c r="AL305" i="42"/>
  <c r="AM305" i="42"/>
  <c r="AN305" i="42"/>
  <c r="BA774" i="42"/>
  <c r="A774" i="42" s="1"/>
  <c r="BB774" i="42"/>
  <c r="BC774" i="42"/>
  <c r="BD774" i="42"/>
  <c r="BQ1250" i="42"/>
  <c r="A1250" i="42" s="1"/>
  <c r="BR1250" i="42"/>
  <c r="BS1250" i="42"/>
  <c r="BT1250" i="42"/>
  <c r="CG1543" i="42"/>
  <c r="A1543" i="42" s="1"/>
  <c r="CH1543" i="42"/>
  <c r="CI1543" i="42"/>
  <c r="CJ1543" i="42"/>
  <c r="BA882" i="42"/>
  <c r="A882" i="42" s="1"/>
  <c r="BB882" i="42"/>
  <c r="BC882" i="42"/>
  <c r="BD882" i="42"/>
  <c r="AC182" i="42"/>
  <c r="A182" i="42" s="1"/>
  <c r="AD182" i="42"/>
  <c r="AE182" i="42"/>
  <c r="AF182" i="42"/>
  <c r="AN384" i="42"/>
  <c r="AK384" i="42"/>
  <c r="A384" i="42" s="1"/>
  <c r="AL384" i="42"/>
  <c r="AM384" i="42"/>
  <c r="BQ1234" i="42"/>
  <c r="A1234" i="42" s="1"/>
  <c r="BR1234" i="42"/>
  <c r="BS1234" i="42"/>
  <c r="BT1234" i="42"/>
  <c r="BY1404" i="42"/>
  <c r="A1404" i="42" s="1"/>
  <c r="BZ1404" i="42"/>
  <c r="CA1404" i="42"/>
  <c r="CB1404" i="42"/>
  <c r="AT646" i="42"/>
  <c r="AU646" i="42"/>
  <c r="AV646" i="42"/>
  <c r="AS646" i="42"/>
  <c r="A646" i="42" s="1"/>
  <c r="CG1583" i="42"/>
  <c r="A1583" i="42" s="1"/>
  <c r="CH1583" i="42"/>
  <c r="CI1583" i="42"/>
  <c r="CJ1583" i="42"/>
  <c r="AC86" i="42"/>
  <c r="A86" i="42" s="1"/>
  <c r="AD86" i="42"/>
  <c r="AE86" i="42"/>
  <c r="AF86" i="42"/>
  <c r="BQ1286" i="42"/>
  <c r="A1286" i="42" s="1"/>
  <c r="BR1286" i="42"/>
  <c r="BS1286" i="42"/>
  <c r="BT1286" i="42"/>
  <c r="BQ1202" i="42"/>
  <c r="A1202" i="42" s="1"/>
  <c r="BR1202" i="42"/>
  <c r="BS1202" i="42"/>
  <c r="BT1202" i="42"/>
  <c r="AS616" i="42"/>
  <c r="A616" i="42" s="1"/>
  <c r="AT616" i="42"/>
  <c r="AU616" i="42"/>
  <c r="AV616" i="42"/>
  <c r="BA750" i="42"/>
  <c r="A750" i="42" s="1"/>
  <c r="BB750" i="42"/>
  <c r="BC750" i="42"/>
  <c r="BD750" i="42"/>
  <c r="AS660" i="42"/>
  <c r="A660" i="42" s="1"/>
  <c r="AT660" i="42"/>
  <c r="AU660" i="42"/>
  <c r="AV660" i="42"/>
  <c r="CG1625" i="42"/>
  <c r="A1625" i="42" s="1"/>
  <c r="CH1625" i="42"/>
  <c r="CI1625" i="42"/>
  <c r="CJ1625" i="42"/>
  <c r="BQ1134" i="42"/>
  <c r="A1134" i="42" s="1"/>
  <c r="BR1134" i="42"/>
  <c r="BS1134" i="42"/>
  <c r="BT1134" i="42"/>
  <c r="AK349" i="42"/>
  <c r="A349" i="42" s="1"/>
  <c r="AL349" i="42"/>
  <c r="AM349" i="42"/>
  <c r="AN349" i="42"/>
  <c r="AC112" i="42"/>
  <c r="A112" i="42" s="1"/>
  <c r="AD112" i="42"/>
  <c r="AE112" i="42"/>
  <c r="AF112" i="42"/>
  <c r="AC187" i="42"/>
  <c r="A187" i="42" s="1"/>
  <c r="AD187" i="42"/>
  <c r="AE187" i="42"/>
  <c r="AF187" i="42"/>
  <c r="BA772" i="42"/>
  <c r="A772" i="42" s="1"/>
  <c r="BB772" i="42"/>
  <c r="BC772" i="42"/>
  <c r="BD772" i="42"/>
  <c r="CH1714" i="42"/>
  <c r="CI1714" i="42"/>
  <c r="CJ1714" i="42"/>
  <c r="CG1714" i="42"/>
  <c r="A1714" i="42" s="1"/>
  <c r="BR1137" i="42"/>
  <c r="BS1137" i="42"/>
  <c r="BT1137" i="42"/>
  <c r="BQ1137" i="42"/>
  <c r="A1137" i="42" s="1"/>
  <c r="AC148" i="42"/>
  <c r="A148" i="42" s="1"/>
  <c r="AD148" i="42"/>
  <c r="AE148" i="42"/>
  <c r="AF148" i="42"/>
  <c r="O27" i="45"/>
  <c r="A1097" i="42"/>
  <c r="A1098" i="42"/>
  <c r="BA878" i="42"/>
  <c r="A878" i="42" s="1"/>
  <c r="BB878" i="42"/>
  <c r="BC878" i="42"/>
  <c r="BD878" i="42"/>
  <c r="BI953" i="42"/>
  <c r="A953" i="42" s="1"/>
  <c r="BJ953" i="42"/>
  <c r="BK953" i="42"/>
  <c r="BL953" i="42"/>
  <c r="BQ1232" i="42"/>
  <c r="A1232" i="42" s="1"/>
  <c r="BR1232" i="42"/>
  <c r="BS1232" i="42"/>
  <c r="BT1232" i="42"/>
  <c r="AT538" i="42"/>
  <c r="AU538" i="42"/>
  <c r="AV538" i="42"/>
  <c r="AS538" i="42"/>
  <c r="A538" i="42" s="1"/>
  <c r="CG1587" i="42"/>
  <c r="A1587" i="42" s="1"/>
  <c r="CH1587" i="42"/>
  <c r="CI1587" i="42"/>
  <c r="CJ1587" i="42"/>
  <c r="AC97" i="42"/>
  <c r="A97" i="42" s="1"/>
  <c r="AD97" i="42"/>
  <c r="AE97" i="42"/>
  <c r="AF97" i="42"/>
  <c r="AT566" i="42"/>
  <c r="AU566" i="42"/>
  <c r="AV566" i="42"/>
  <c r="AS566" i="42"/>
  <c r="A566" i="42" s="1"/>
  <c r="BJ1042" i="42"/>
  <c r="BK1042" i="42"/>
  <c r="BL1042" i="42"/>
  <c r="BI1042" i="42"/>
  <c r="A1042" i="42" s="1"/>
  <c r="BY1335" i="42"/>
  <c r="A1335" i="42" s="1"/>
  <c r="BZ1335" i="42"/>
  <c r="CA1335" i="42"/>
  <c r="CB1335" i="42"/>
  <c r="AT674" i="42"/>
  <c r="AU674" i="42"/>
  <c r="AV674" i="42"/>
  <c r="AS674" i="42"/>
  <c r="A674" i="42" s="1"/>
  <c r="BI937" i="42"/>
  <c r="A937" i="42" s="1"/>
  <c r="BJ937" i="42"/>
  <c r="BK937" i="42"/>
  <c r="BL937" i="42"/>
  <c r="CH1638" i="42"/>
  <c r="CI1638" i="42"/>
  <c r="CJ1638" i="42"/>
  <c r="CG1638" i="42"/>
  <c r="A1638" i="42" s="1"/>
  <c r="BI1026" i="42"/>
  <c r="A1026" i="42" s="1"/>
  <c r="BJ1026" i="42"/>
  <c r="BK1026" i="42"/>
  <c r="BL1026" i="42"/>
  <c r="BQ1196" i="42"/>
  <c r="A1196" i="42" s="1"/>
  <c r="BR1196" i="42"/>
  <c r="BS1196" i="42"/>
  <c r="BT1196" i="42"/>
  <c r="BQ1270" i="42"/>
  <c r="A1270" i="42" s="1"/>
  <c r="BR1270" i="42"/>
  <c r="BS1270" i="42"/>
  <c r="BT1270" i="42"/>
  <c r="CH1542" i="42"/>
  <c r="CI1542" i="42"/>
  <c r="CJ1542" i="42"/>
  <c r="CG1542" i="42"/>
  <c r="A1542" i="42" s="1"/>
  <c r="BL1078" i="42"/>
  <c r="BI1078" i="42"/>
  <c r="A1078" i="42" s="1"/>
  <c r="BJ1078" i="42"/>
  <c r="BK1078" i="42"/>
  <c r="BI994" i="42"/>
  <c r="A994" i="42" s="1"/>
  <c r="BL994" i="42"/>
  <c r="BJ994" i="42"/>
  <c r="BK994" i="42"/>
  <c r="AK420" i="42"/>
  <c r="A420" i="42" s="1"/>
  <c r="AL420" i="42"/>
  <c r="AM420" i="42"/>
  <c r="AN420" i="42"/>
  <c r="BC797" i="42"/>
  <c r="BD797" i="42"/>
  <c r="BA797" i="42"/>
  <c r="A797" i="42" s="1"/>
  <c r="BB797" i="42"/>
  <c r="AT542" i="42"/>
  <c r="AU542" i="42"/>
  <c r="AV542" i="42"/>
  <c r="AS542" i="42"/>
  <c r="A542" i="42" s="1"/>
  <c r="AK452" i="42"/>
  <c r="A452" i="42" s="1"/>
  <c r="AL452" i="42"/>
  <c r="AM452" i="42"/>
  <c r="AN452" i="42"/>
  <c r="AC169" i="42"/>
  <c r="A169" i="42" s="1"/>
  <c r="AD169" i="42"/>
  <c r="AE169" i="42"/>
  <c r="AF169" i="42"/>
  <c r="BI926" i="42"/>
  <c r="A926" i="42" s="1"/>
  <c r="BJ926" i="42"/>
  <c r="BK926" i="42"/>
  <c r="BL926" i="42"/>
  <c r="AC141" i="42"/>
  <c r="A141" i="42" s="1"/>
  <c r="AD141" i="42"/>
  <c r="AE141" i="42"/>
  <c r="AF141" i="42"/>
  <c r="AS564" i="42"/>
  <c r="A564" i="42" s="1"/>
  <c r="AT564" i="42"/>
  <c r="AU564" i="42"/>
  <c r="AV564" i="42"/>
  <c r="AT652" i="42"/>
  <c r="AS652" i="42"/>
  <c r="A652" i="42" s="1"/>
  <c r="AU652" i="42"/>
  <c r="AV652" i="42"/>
  <c r="BY1353" i="42"/>
  <c r="A1353" i="42" s="1"/>
  <c r="BZ1353" i="42"/>
  <c r="CA1353" i="42"/>
  <c r="CB1353" i="42"/>
  <c r="CG1572" i="42"/>
  <c r="A1572" i="42" s="1"/>
  <c r="CH1572" i="42"/>
  <c r="CI1572" i="42"/>
  <c r="CJ1572" i="42"/>
  <c r="AT598" i="42"/>
  <c r="AU598" i="42"/>
  <c r="AV598" i="42"/>
  <c r="AS598" i="42"/>
  <c r="A598" i="42" s="1"/>
  <c r="BA748" i="42"/>
  <c r="A748" i="42" s="1"/>
  <c r="BB748" i="42"/>
  <c r="BC748" i="42"/>
  <c r="BD748" i="42"/>
  <c r="AT670" i="42"/>
  <c r="AU670" i="42"/>
  <c r="AV670" i="42"/>
  <c r="AS670" i="42"/>
  <c r="A670" i="42" s="1"/>
  <c r="CG1619" i="42"/>
  <c r="A1619" i="42" s="1"/>
  <c r="CH1619" i="42"/>
  <c r="CI1619" i="42"/>
  <c r="CJ1619" i="42"/>
  <c r="BC745" i="42"/>
  <c r="BD745" i="42"/>
  <c r="BA745" i="42"/>
  <c r="A745" i="42" s="1"/>
  <c r="BB745" i="42"/>
  <c r="BQ1186" i="42"/>
  <c r="A1186" i="42" s="1"/>
  <c r="BR1186" i="42"/>
  <c r="BS1186" i="42"/>
  <c r="BT1186" i="42"/>
  <c r="BQ1162" i="42"/>
  <c r="A1162" i="42" s="1"/>
  <c r="BR1162" i="42"/>
  <c r="BS1162" i="42"/>
  <c r="BT1162" i="42"/>
  <c r="BY1379" i="42"/>
  <c r="A1379" i="42" s="1"/>
  <c r="BZ1379" i="42"/>
  <c r="CA1379" i="42"/>
  <c r="CB1379" i="42"/>
  <c r="AK358" i="42"/>
  <c r="A358" i="42" s="1"/>
  <c r="AL358" i="42"/>
  <c r="AM358" i="42"/>
  <c r="AN358" i="42"/>
  <c r="BA834" i="42"/>
  <c r="A834" i="42" s="1"/>
  <c r="BB834" i="42"/>
  <c r="BC834" i="42"/>
  <c r="BD834" i="42"/>
  <c r="BQ1198" i="42"/>
  <c r="A1198" i="42" s="1"/>
  <c r="BR1198" i="42"/>
  <c r="BS1198" i="42"/>
  <c r="BT1198" i="42"/>
  <c r="AS503" i="42"/>
  <c r="A503" i="42" s="1"/>
  <c r="AT503" i="42"/>
  <c r="AU503" i="42"/>
  <c r="AV503" i="42"/>
  <c r="AK466" i="42"/>
  <c r="A466" i="42" s="1"/>
  <c r="AM466" i="42"/>
  <c r="AN466" i="42"/>
  <c r="AL466" i="42"/>
  <c r="AK313" i="42"/>
  <c r="A313" i="42" s="1"/>
  <c r="AL313" i="42"/>
  <c r="AM313" i="42"/>
  <c r="AN313" i="42"/>
  <c r="BY1430" i="42"/>
  <c r="A1430" i="42" s="1"/>
  <c r="BZ1430" i="42"/>
  <c r="CA1430" i="42"/>
  <c r="CB1430" i="42"/>
  <c r="BA818" i="42"/>
  <c r="A818" i="42" s="1"/>
  <c r="BB818" i="42"/>
  <c r="BC818" i="42"/>
  <c r="BD818" i="42"/>
  <c r="AS572" i="42"/>
  <c r="A572" i="42" s="1"/>
  <c r="AT572" i="42"/>
  <c r="AU572" i="42"/>
  <c r="AV572" i="42"/>
  <c r="BK1062" i="42"/>
  <c r="BL1062" i="42"/>
  <c r="BI1062" i="42"/>
  <c r="A1062" i="42" s="1"/>
  <c r="BJ1062" i="42"/>
  <c r="BA870" i="42"/>
  <c r="A870" i="42" s="1"/>
  <c r="BB870" i="42"/>
  <c r="BC870" i="42"/>
  <c r="BD870" i="42"/>
  <c r="BA786" i="42"/>
  <c r="A786" i="42" s="1"/>
  <c r="BB786" i="42"/>
  <c r="BC786" i="42"/>
  <c r="BD786" i="42"/>
  <c r="BY1329" i="42"/>
  <c r="BZ1329" i="42"/>
  <c r="CA1329" i="42"/>
  <c r="CB1329" i="42"/>
  <c r="CG1656" i="42"/>
  <c r="A1656" i="42" s="1"/>
  <c r="CH1656" i="42"/>
  <c r="CI1656" i="42"/>
  <c r="CJ1656" i="42"/>
  <c r="AC126" i="42"/>
  <c r="A126" i="42" s="1"/>
  <c r="AD126" i="42"/>
  <c r="AE126" i="42"/>
  <c r="AF126" i="42"/>
  <c r="BA718" i="42"/>
  <c r="A718" i="42" s="1"/>
  <c r="BB718" i="42"/>
  <c r="BC718" i="42"/>
  <c r="BD718" i="42"/>
  <c r="CG1643" i="42"/>
  <c r="A1643" i="42" s="1"/>
  <c r="CH1643" i="42"/>
  <c r="CI1643" i="42"/>
  <c r="CJ1643" i="42"/>
  <c r="AN356" i="42"/>
  <c r="AK356" i="42"/>
  <c r="A356" i="42" s="1"/>
  <c r="AL356" i="42"/>
  <c r="AM356" i="42"/>
  <c r="AT562" i="42"/>
  <c r="AU562" i="42"/>
  <c r="AV562" i="42"/>
  <c r="AS562" i="42"/>
  <c r="A562" i="42" s="1"/>
  <c r="BI954" i="42"/>
  <c r="A954" i="42" s="1"/>
  <c r="BJ954" i="42"/>
  <c r="BK954" i="42"/>
  <c r="BL954" i="42"/>
  <c r="BQ1171" i="42"/>
  <c r="A1171" i="42" s="1"/>
  <c r="BR1171" i="42"/>
  <c r="BS1171" i="42"/>
  <c r="BT1171" i="42"/>
  <c r="AK322" i="42"/>
  <c r="A322" i="42" s="1"/>
  <c r="AL322" i="42"/>
  <c r="AM322" i="42"/>
  <c r="AN322" i="42"/>
  <c r="BA698" i="42"/>
  <c r="A698" i="42" s="1"/>
  <c r="BB698" i="42"/>
  <c r="BC698" i="42"/>
  <c r="BD698" i="42"/>
  <c r="AC150" i="42"/>
  <c r="A150" i="42" s="1"/>
  <c r="AD150" i="42"/>
  <c r="AE150" i="42"/>
  <c r="AF150" i="42"/>
  <c r="AT626" i="42"/>
  <c r="AU626" i="42"/>
  <c r="AV626" i="42"/>
  <c r="AS626" i="42"/>
  <c r="A626" i="42" s="1"/>
  <c r="BA782" i="42"/>
  <c r="A782" i="42" s="1"/>
  <c r="BB782" i="42"/>
  <c r="BC782" i="42"/>
  <c r="BD782" i="42"/>
  <c r="AC258" i="42"/>
  <c r="A258" i="42" s="1"/>
  <c r="AD258" i="42"/>
  <c r="AE258" i="42"/>
  <c r="AF258" i="42"/>
  <c r="AC105" i="42"/>
  <c r="A105" i="42" s="1"/>
  <c r="AD105" i="42"/>
  <c r="AE105" i="42"/>
  <c r="AF105" i="42"/>
  <c r="BQ1222" i="42"/>
  <c r="A1222" i="42" s="1"/>
  <c r="BR1222" i="42"/>
  <c r="BS1222" i="42"/>
  <c r="BT1222" i="42"/>
  <c r="AT610" i="42"/>
  <c r="AU610" i="42"/>
  <c r="AV610" i="42"/>
  <c r="AS610" i="42"/>
  <c r="A610" i="42" s="1"/>
  <c r="BQ1158" i="42"/>
  <c r="A1158" i="42" s="1"/>
  <c r="BR1158" i="42"/>
  <c r="BS1158" i="42"/>
  <c r="BT1158" i="42"/>
  <c r="AN364" i="42"/>
  <c r="AL364" i="42"/>
  <c r="AM364" i="42"/>
  <c r="AK364" i="42"/>
  <c r="A364" i="42" s="1"/>
  <c r="BA854" i="42"/>
  <c r="A854" i="42" s="1"/>
  <c r="BB854" i="42"/>
  <c r="BC854" i="42"/>
  <c r="BD854" i="42"/>
  <c r="CG1676" i="42"/>
  <c r="A1676" i="42" s="1"/>
  <c r="CH1676" i="42"/>
  <c r="CI1676" i="42"/>
  <c r="CJ1676" i="42"/>
  <c r="AT662" i="42"/>
  <c r="AU662" i="42"/>
  <c r="AV662" i="42"/>
  <c r="AS662" i="42"/>
  <c r="A662" i="42" s="1"/>
  <c r="AT578" i="42"/>
  <c r="AU578" i="42"/>
  <c r="AV578" i="42"/>
  <c r="AS578" i="42"/>
  <c r="A578" i="42" s="1"/>
  <c r="BY1391" i="42"/>
  <c r="A1391" i="42" s="1"/>
  <c r="BZ1391" i="42"/>
  <c r="CA1391" i="42"/>
  <c r="CB1391" i="42"/>
  <c r="BY1448" i="42"/>
  <c r="A1448" i="42" s="1"/>
  <c r="BZ1448" i="42"/>
  <c r="CA1448" i="42"/>
  <c r="CB1448" i="42"/>
  <c r="AC244" i="42"/>
  <c r="A244" i="42" s="1"/>
  <c r="AD244" i="42"/>
  <c r="AE244" i="42"/>
  <c r="AF244" i="42"/>
  <c r="BQ1227" i="42"/>
  <c r="A1227" i="42" s="1"/>
  <c r="BR1227" i="42"/>
  <c r="BS1227" i="42"/>
  <c r="BT1227" i="42"/>
  <c r="AK444" i="42"/>
  <c r="A444" i="42" s="1"/>
  <c r="AL444" i="42"/>
  <c r="AM444" i="42"/>
  <c r="AN444" i="42"/>
  <c r="BY1411" i="42"/>
  <c r="A1411" i="42" s="1"/>
  <c r="BZ1411" i="42"/>
  <c r="CA1411" i="42"/>
  <c r="CB1411" i="42"/>
  <c r="BQ1203" i="42"/>
  <c r="A1203" i="42" s="1"/>
  <c r="BR1203" i="42"/>
  <c r="BS1203" i="42"/>
  <c r="BT1203" i="42"/>
  <c r="AK354" i="42"/>
  <c r="A354" i="42" s="1"/>
  <c r="AL354" i="42"/>
  <c r="AM354" i="42"/>
  <c r="AN354" i="42"/>
  <c r="AK330" i="42"/>
  <c r="A330" i="42" s="1"/>
  <c r="AL330" i="42"/>
  <c r="AM330" i="42"/>
  <c r="AN330" i="42"/>
  <c r="BL963" i="42"/>
  <c r="BI963" i="42"/>
  <c r="A963" i="42" s="1"/>
  <c r="BJ963" i="42"/>
  <c r="BK963" i="42"/>
  <c r="AN427" i="42"/>
  <c r="AK427" i="42"/>
  <c r="A427" i="42" s="1"/>
  <c r="AL427" i="42"/>
  <c r="AM427" i="42"/>
  <c r="AK418" i="42"/>
  <c r="A418" i="42" s="1"/>
  <c r="AM418" i="42"/>
  <c r="AN418" i="42"/>
  <c r="AL418" i="42"/>
  <c r="AT574" i="42"/>
  <c r="AU574" i="42"/>
  <c r="AV574" i="42"/>
  <c r="AS574" i="42"/>
  <c r="A574" i="42" s="1"/>
  <c r="BQ1127" i="42"/>
  <c r="A1127" i="42" s="1"/>
  <c r="BR1127" i="42"/>
  <c r="BS1127" i="42"/>
  <c r="BT1127" i="42"/>
  <c r="AK402" i="42"/>
  <c r="A402" i="42" s="1"/>
  <c r="AM402" i="42"/>
  <c r="AN402" i="42"/>
  <c r="AL402" i="42"/>
  <c r="AC196" i="42"/>
  <c r="A196" i="42" s="1"/>
  <c r="AD196" i="42"/>
  <c r="AE196" i="42"/>
  <c r="AF196" i="42"/>
  <c r="AK438" i="42"/>
  <c r="A438" i="42" s="1"/>
  <c r="AM438" i="42"/>
  <c r="AN438" i="42"/>
  <c r="AL438" i="42"/>
  <c r="BR1277" i="42"/>
  <c r="BS1277" i="42"/>
  <c r="BT1277" i="42"/>
  <c r="BQ1277" i="42"/>
  <c r="A1277" i="42" s="1"/>
  <c r="BY1468" i="42"/>
  <c r="A1468" i="42" s="1"/>
  <c r="BZ1468" i="42"/>
  <c r="CA1468" i="42"/>
  <c r="CB1468" i="42"/>
  <c r="AK454" i="42"/>
  <c r="A454" i="42" s="1"/>
  <c r="AM454" i="42"/>
  <c r="AN454" i="42"/>
  <c r="AL454" i="42"/>
  <c r="AK370" i="42"/>
  <c r="A370" i="42" s="1"/>
  <c r="AL370" i="42"/>
  <c r="AN370" i="42"/>
  <c r="AM370" i="42"/>
  <c r="AC202" i="42"/>
  <c r="A202" i="42" s="1"/>
  <c r="AD202" i="42"/>
  <c r="AE202" i="42"/>
  <c r="AF202" i="42"/>
  <c r="BR1121" i="42"/>
  <c r="BS1121" i="42"/>
  <c r="BT1121" i="42"/>
  <c r="BQ1121" i="42"/>
  <c r="A1121" i="42" s="1"/>
  <c r="BA824" i="42"/>
  <c r="A824" i="42" s="1"/>
  <c r="BC824" i="42"/>
  <c r="BD824" i="42"/>
  <c r="BB824" i="42"/>
  <c r="CG1700" i="42"/>
  <c r="A1700" i="42" s="1"/>
  <c r="CH1700" i="42"/>
  <c r="CJ1700" i="42"/>
  <c r="CI1700" i="42"/>
  <c r="BA875" i="42"/>
  <c r="A875" i="42" s="1"/>
  <c r="BB875" i="42"/>
  <c r="BC875" i="42"/>
  <c r="BD875" i="42"/>
  <c r="CG1528" i="42"/>
  <c r="A1528" i="42" s="1"/>
  <c r="CH1528" i="42"/>
  <c r="CI1528" i="42"/>
  <c r="CJ1528" i="42"/>
  <c r="AS591" i="42"/>
  <c r="A591" i="42" s="1"/>
  <c r="AT591" i="42"/>
  <c r="AU591" i="42"/>
  <c r="AV591" i="42"/>
  <c r="BI1022" i="42"/>
  <c r="A1022" i="42" s="1"/>
  <c r="BJ1022" i="42"/>
  <c r="BK1022" i="42"/>
  <c r="BL1022" i="42"/>
  <c r="CH1602" i="42"/>
  <c r="CI1602" i="42"/>
  <c r="CJ1602" i="42"/>
  <c r="CG1602" i="42"/>
  <c r="A1602" i="42" s="1"/>
  <c r="AC243" i="42"/>
  <c r="A243" i="42" s="1"/>
  <c r="AD243" i="42"/>
  <c r="AE243" i="42"/>
  <c r="AF243" i="42"/>
  <c r="BA755" i="42"/>
  <c r="A755" i="42" s="1"/>
  <c r="BB755" i="42"/>
  <c r="BC755" i="42"/>
  <c r="BD755" i="42"/>
  <c r="AC219" i="42"/>
  <c r="A219" i="42" s="1"/>
  <c r="AD219" i="42"/>
  <c r="AE219" i="42"/>
  <c r="AF219" i="42"/>
  <c r="BI982" i="42"/>
  <c r="A982" i="42" s="1"/>
  <c r="BJ982" i="42"/>
  <c r="BK982" i="42"/>
  <c r="BL982" i="42"/>
  <c r="AC210" i="42"/>
  <c r="A210" i="42" s="1"/>
  <c r="AD210" i="42"/>
  <c r="AE210" i="42"/>
  <c r="AF210" i="42"/>
  <c r="AC158" i="42"/>
  <c r="A158" i="42" s="1"/>
  <c r="AD158" i="42"/>
  <c r="AE158" i="42"/>
  <c r="AF158" i="42"/>
  <c r="BI919" i="42"/>
  <c r="A919" i="42" s="1"/>
  <c r="BJ919" i="42"/>
  <c r="BK919" i="42"/>
  <c r="BL919" i="42"/>
  <c r="CG1612" i="42"/>
  <c r="A1612" i="42" s="1"/>
  <c r="CH1612" i="42"/>
  <c r="CI1612" i="42"/>
  <c r="CJ1612" i="42"/>
  <c r="AC230" i="42"/>
  <c r="A230" i="42" s="1"/>
  <c r="AD230" i="42"/>
  <c r="AE230" i="42"/>
  <c r="AF230" i="42"/>
  <c r="BI1069" i="42"/>
  <c r="A1069" i="42" s="1"/>
  <c r="BJ1069" i="42"/>
  <c r="BK1069" i="42"/>
  <c r="BL1069" i="42"/>
  <c r="BQ1260" i="42"/>
  <c r="A1260" i="42" s="1"/>
  <c r="BR1260" i="42"/>
  <c r="BS1260" i="42"/>
  <c r="BT1260" i="42"/>
  <c r="BC769" i="42"/>
  <c r="BD769" i="42"/>
  <c r="BA769" i="42"/>
  <c r="A769" i="42" s="1"/>
  <c r="BB769" i="42"/>
  <c r="AC246" i="42"/>
  <c r="A246" i="42" s="1"/>
  <c r="AD246" i="42"/>
  <c r="AE246" i="42"/>
  <c r="AF246" i="42"/>
  <c r="AC162" i="42"/>
  <c r="A162" i="42" s="1"/>
  <c r="AD162" i="42"/>
  <c r="AE162" i="42"/>
  <c r="AF162" i="42"/>
  <c r="AC143" i="42"/>
  <c r="A143" i="42" s="1"/>
  <c r="AD143" i="42"/>
  <c r="AE143" i="42"/>
  <c r="AF143" i="42"/>
  <c r="BI913" i="42"/>
  <c r="A913" i="42" s="1"/>
  <c r="BJ913" i="42"/>
  <c r="BK913" i="42"/>
  <c r="BL913" i="42"/>
  <c r="BQ1240" i="42"/>
  <c r="A1240" i="42" s="1"/>
  <c r="BR1240" i="42"/>
  <c r="BS1240" i="42"/>
  <c r="BT1240" i="42"/>
  <c r="BI1076" i="42"/>
  <c r="A1076" i="42" s="1"/>
  <c r="BJ1076" i="42"/>
  <c r="BK1076" i="42"/>
  <c r="BL1076" i="42"/>
  <c r="AS667" i="42"/>
  <c r="A667" i="42" s="1"/>
  <c r="AT667" i="42"/>
  <c r="AU667" i="42"/>
  <c r="AV667" i="42"/>
  <c r="CG1611" i="42"/>
  <c r="A1611" i="42" s="1"/>
  <c r="CH1611" i="42"/>
  <c r="CI1611" i="42"/>
  <c r="CJ1611" i="42"/>
  <c r="BY1320" i="42"/>
  <c r="BZ1320" i="42"/>
  <c r="CA1320" i="42"/>
  <c r="CB1320" i="42"/>
  <c r="BI928" i="42"/>
  <c r="A928" i="42" s="1"/>
  <c r="BJ928" i="42"/>
  <c r="BK928" i="42"/>
  <c r="BL928" i="42"/>
  <c r="CH1642" i="42"/>
  <c r="CI1642" i="42"/>
  <c r="CJ1642" i="42"/>
  <c r="CG1642" i="42"/>
  <c r="A1642" i="42" s="1"/>
  <c r="AN304" i="42"/>
  <c r="AK304" i="42"/>
  <c r="A304" i="42" s="1"/>
  <c r="AL304" i="42"/>
  <c r="AM304" i="42"/>
  <c r="BA787" i="42"/>
  <c r="A787" i="42" s="1"/>
  <c r="BB787" i="42"/>
  <c r="BC787" i="42"/>
  <c r="BD787" i="42"/>
  <c r="AS579" i="42"/>
  <c r="A579" i="42" s="1"/>
  <c r="AT579" i="42"/>
  <c r="AU579" i="42"/>
  <c r="AV579" i="42"/>
  <c r="BY1394" i="42"/>
  <c r="A1394" i="42" s="1"/>
  <c r="BZ1394" i="42"/>
  <c r="CA1394" i="42"/>
  <c r="CB1394" i="42"/>
  <c r="CG1713" i="42"/>
  <c r="A1713" i="42" s="1"/>
  <c r="CH1713" i="42"/>
  <c r="CI1713" i="42"/>
  <c r="CJ1713" i="42"/>
  <c r="AC214" i="42"/>
  <c r="A214" i="42" s="1"/>
  <c r="AD214" i="42"/>
  <c r="AE214" i="42"/>
  <c r="AF214" i="42"/>
  <c r="CH1606" i="42"/>
  <c r="CI1606" i="42"/>
  <c r="CJ1606" i="42"/>
  <c r="CG1606" i="42"/>
  <c r="A1606" i="42" s="1"/>
  <c r="BA711" i="42"/>
  <c r="A711" i="42" s="1"/>
  <c r="BB711" i="42"/>
  <c r="BC711" i="42"/>
  <c r="BD711" i="42"/>
  <c r="AC194" i="42"/>
  <c r="A194" i="42" s="1"/>
  <c r="AD194" i="42"/>
  <c r="AE194" i="42"/>
  <c r="AF194" i="42"/>
  <c r="BI988" i="42"/>
  <c r="A988" i="42" s="1"/>
  <c r="BJ988" i="42"/>
  <c r="BK988" i="42"/>
  <c r="BL988" i="42"/>
  <c r="AS653" i="42"/>
  <c r="A653" i="42" s="1"/>
  <c r="AT653" i="42"/>
  <c r="AU653" i="42"/>
  <c r="AV653" i="42"/>
  <c r="AK386" i="42"/>
  <c r="A386" i="42" s="1"/>
  <c r="AM386" i="42"/>
  <c r="AN386" i="42"/>
  <c r="AL386" i="42"/>
  <c r="BI1052" i="42"/>
  <c r="A1052" i="42" s="1"/>
  <c r="BJ1052" i="42"/>
  <c r="BK1052" i="42"/>
  <c r="BL1052" i="42"/>
  <c r="AS561" i="42"/>
  <c r="A561" i="42" s="1"/>
  <c r="AT561" i="42"/>
  <c r="AU561" i="42"/>
  <c r="AV561" i="42"/>
  <c r="CH1718" i="42"/>
  <c r="CI1718" i="42"/>
  <c r="CJ1718" i="42"/>
  <c r="CG1718" i="42"/>
  <c r="A1718" i="42" s="1"/>
  <c r="BI997" i="42"/>
  <c r="A997" i="42" s="1"/>
  <c r="BJ997" i="42"/>
  <c r="BK997" i="42"/>
  <c r="BL997" i="42"/>
  <c r="CG1599" i="42"/>
  <c r="A1599" i="42" s="1"/>
  <c r="CH1599" i="42"/>
  <c r="CI1599" i="42"/>
  <c r="CJ1599" i="42"/>
  <c r="BA705" i="42"/>
  <c r="A705" i="42" s="1"/>
  <c r="BB705" i="42"/>
  <c r="BD705" i="42"/>
  <c r="BC705" i="42"/>
  <c r="BI1032" i="42"/>
  <c r="A1032" i="42" s="1"/>
  <c r="BJ1032" i="42"/>
  <c r="BK1032" i="42"/>
  <c r="BL1032" i="42"/>
  <c r="AC251" i="42"/>
  <c r="A251" i="42" s="1"/>
  <c r="AD251" i="42"/>
  <c r="AE251" i="42"/>
  <c r="AF251" i="42"/>
  <c r="BY1403" i="42"/>
  <c r="A1403" i="42" s="1"/>
  <c r="BZ1403" i="42"/>
  <c r="CA1403" i="42"/>
  <c r="CB1403" i="42"/>
  <c r="BQ1112" i="42"/>
  <c r="A1112" i="42" s="1"/>
  <c r="BR1112" i="42"/>
  <c r="BS1112" i="42"/>
  <c r="BT1112" i="42"/>
  <c r="AS645" i="42"/>
  <c r="A645" i="42" s="1"/>
  <c r="AT645" i="42"/>
  <c r="AU645" i="42"/>
  <c r="AV645" i="42"/>
  <c r="AS637" i="42"/>
  <c r="A637" i="42" s="1"/>
  <c r="AT637" i="42"/>
  <c r="AU637" i="42"/>
  <c r="AV637" i="42"/>
  <c r="AS608" i="42"/>
  <c r="A608" i="42" s="1"/>
  <c r="AT608" i="42"/>
  <c r="AV608" i="42"/>
  <c r="AU608" i="42"/>
  <c r="CG1717" i="42"/>
  <c r="A1717" i="42" s="1"/>
  <c r="CH1717" i="42"/>
  <c r="CI1717" i="42"/>
  <c r="CJ1717" i="42"/>
  <c r="AK400" i="42"/>
  <c r="A400" i="42" s="1"/>
  <c r="AL400" i="42"/>
  <c r="AM400" i="42"/>
  <c r="AN400" i="42"/>
  <c r="BY1389" i="42"/>
  <c r="A1389" i="42" s="1"/>
  <c r="BZ1389" i="42"/>
  <c r="CA1389" i="42"/>
  <c r="CB1389" i="42"/>
  <c r="AC122" i="42"/>
  <c r="A122" i="42" s="1"/>
  <c r="AD122" i="42"/>
  <c r="AE122" i="42"/>
  <c r="AF122" i="42"/>
  <c r="AC163" i="42"/>
  <c r="A163" i="42" s="1"/>
  <c r="AD163" i="42"/>
  <c r="AE163" i="42"/>
  <c r="AF163" i="42"/>
  <c r="BI978" i="42"/>
  <c r="A978" i="42" s="1"/>
  <c r="BJ978" i="42"/>
  <c r="BK978" i="42"/>
  <c r="BL978" i="42"/>
  <c r="BY1505" i="42"/>
  <c r="A1505" i="42" s="1"/>
  <c r="BZ1505" i="42"/>
  <c r="CA1505" i="42"/>
  <c r="CB1505" i="42"/>
  <c r="CG1675" i="42"/>
  <c r="A1675" i="42" s="1"/>
  <c r="CH1675" i="42"/>
  <c r="CI1675" i="42"/>
  <c r="CJ1675" i="42"/>
  <c r="BQ1190" i="42"/>
  <c r="A1190" i="42" s="1"/>
  <c r="BR1190" i="42"/>
  <c r="BS1190" i="42"/>
  <c r="BT1190" i="42"/>
  <c r="BY1406" i="42"/>
  <c r="A1406" i="42" s="1"/>
  <c r="BZ1406" i="42"/>
  <c r="CA1406" i="42"/>
  <c r="CB1406" i="42"/>
  <c r="AK295" i="42"/>
  <c r="A295" i="42" s="1"/>
  <c r="AM295" i="42"/>
  <c r="AN295" i="42"/>
  <c r="AL295" i="42"/>
  <c r="CH1654" i="42"/>
  <c r="CI1654" i="42"/>
  <c r="CJ1654" i="42"/>
  <c r="CG1654" i="42"/>
  <c r="A1654" i="42" s="1"/>
  <c r="BA780" i="42"/>
  <c r="A780" i="42" s="1"/>
  <c r="BB780" i="42"/>
  <c r="BC780" i="42"/>
  <c r="BD780" i="42"/>
  <c r="BY1474" i="42"/>
  <c r="A1474" i="42" s="1"/>
  <c r="BZ1474" i="42"/>
  <c r="CA1474" i="42"/>
  <c r="CB1474" i="42"/>
  <c r="BA844" i="42"/>
  <c r="A844" i="42" s="1"/>
  <c r="BC844" i="42"/>
  <c r="BD844" i="42"/>
  <c r="BB844" i="42"/>
  <c r="AK353" i="42"/>
  <c r="A353" i="42" s="1"/>
  <c r="AL353" i="42"/>
  <c r="AM353" i="42"/>
  <c r="AN353" i="42"/>
  <c r="AC119" i="42"/>
  <c r="A119" i="42" s="1"/>
  <c r="AD119" i="42"/>
  <c r="AE119" i="42"/>
  <c r="AF119" i="42"/>
  <c r="BY1510" i="42"/>
  <c r="A1510" i="42" s="1"/>
  <c r="BZ1510" i="42"/>
  <c r="CA1510" i="42"/>
  <c r="CB1510" i="42"/>
  <c r="BQ1183" i="42"/>
  <c r="A1183" i="42" s="1"/>
  <c r="BR1183" i="42"/>
  <c r="BS1183" i="42"/>
  <c r="BT1183" i="42"/>
  <c r="AS497" i="42"/>
  <c r="A497" i="42" s="1"/>
  <c r="AT497" i="42"/>
  <c r="AU497" i="42"/>
  <c r="AV497" i="42"/>
  <c r="AK408" i="42"/>
  <c r="A408" i="42" s="1"/>
  <c r="AL408" i="42"/>
  <c r="AM408" i="42"/>
  <c r="AN408" i="42"/>
  <c r="BA840" i="42"/>
  <c r="A840" i="42" s="1"/>
  <c r="BC840" i="42"/>
  <c r="BD840" i="42"/>
  <c r="BB840" i="42"/>
  <c r="BY1377" i="42"/>
  <c r="A1377" i="42" s="1"/>
  <c r="BZ1377" i="42"/>
  <c r="CA1377" i="42"/>
  <c r="CB1377" i="42"/>
  <c r="BI987" i="42"/>
  <c r="A987" i="42" s="1"/>
  <c r="BJ987" i="42"/>
  <c r="BK987" i="42"/>
  <c r="BL987" i="42"/>
  <c r="BI904" i="42"/>
  <c r="A904" i="42" s="1"/>
  <c r="BJ904" i="42"/>
  <c r="BK904" i="42"/>
  <c r="BL904" i="42"/>
  <c r="AK437" i="42"/>
  <c r="A437" i="42" s="1"/>
  <c r="AL437" i="42"/>
  <c r="AM437" i="42"/>
  <c r="AN437" i="42"/>
  <c r="BR1261" i="42"/>
  <c r="BS1261" i="42"/>
  <c r="BT1261" i="42"/>
  <c r="BQ1261" i="42"/>
  <c r="A1261" i="42" s="1"/>
  <c r="BI1031" i="42"/>
  <c r="A1031" i="42" s="1"/>
  <c r="BJ1031" i="42"/>
  <c r="BK1031" i="42"/>
  <c r="BL1031" i="42"/>
  <c r="BA806" i="42"/>
  <c r="A806" i="42" s="1"/>
  <c r="BB806" i="42"/>
  <c r="BC806" i="42"/>
  <c r="BD806" i="42"/>
  <c r="BY1472" i="42"/>
  <c r="A1472" i="42" s="1"/>
  <c r="BZ1472" i="42"/>
  <c r="CA1472" i="42"/>
  <c r="CB1472" i="42"/>
  <c r="BY1482" i="42"/>
  <c r="A1482" i="42" s="1"/>
  <c r="BZ1482" i="42"/>
  <c r="CA1482" i="42"/>
  <c r="CB1482" i="42"/>
  <c r="BA770" i="42"/>
  <c r="A770" i="42" s="1"/>
  <c r="BB770" i="42"/>
  <c r="BC770" i="42"/>
  <c r="BD770" i="42"/>
  <c r="BR1297" i="42"/>
  <c r="BS1297" i="42"/>
  <c r="BT1297" i="42"/>
  <c r="BQ1297" i="42"/>
  <c r="A1297" i="42" s="1"/>
  <c r="CH1670" i="42"/>
  <c r="CI1670" i="42"/>
  <c r="CJ1670" i="42"/>
  <c r="CG1670" i="42"/>
  <c r="A1670" i="42" s="1"/>
  <c r="CG1573" i="42"/>
  <c r="A1573" i="42" s="1"/>
  <c r="CH1573" i="42"/>
  <c r="CI1573" i="42"/>
  <c r="CJ1573" i="42"/>
  <c r="CB1467" i="42"/>
  <c r="BY1467" i="42"/>
  <c r="A1467" i="42" s="1"/>
  <c r="BZ1467" i="42"/>
  <c r="CA1467" i="42"/>
  <c r="CG1603" i="42"/>
  <c r="A1603" i="42" s="1"/>
  <c r="CH1603" i="42"/>
  <c r="CI1603" i="42"/>
  <c r="CJ1603" i="42"/>
  <c r="CH1614" i="42"/>
  <c r="CI1614" i="42"/>
  <c r="CJ1614" i="42"/>
  <c r="CG1614" i="42"/>
  <c r="A1614" i="42" s="1"/>
  <c r="AC87" i="42"/>
  <c r="A87" i="42" s="1"/>
  <c r="AD87" i="42"/>
  <c r="AE87" i="42"/>
  <c r="AF87" i="42"/>
  <c r="BY1446" i="42"/>
  <c r="A1446" i="42" s="1"/>
  <c r="BZ1446" i="42"/>
  <c r="CA1446" i="42"/>
  <c r="CB1446" i="42"/>
  <c r="AC156" i="42"/>
  <c r="A156" i="42" s="1"/>
  <c r="AD156" i="42"/>
  <c r="AE156" i="42"/>
  <c r="AF156" i="42"/>
  <c r="AC116" i="42"/>
  <c r="A116" i="42" s="1"/>
  <c r="AD116" i="42"/>
  <c r="AE116" i="42"/>
  <c r="AF116" i="42"/>
  <c r="BQ1266" i="42"/>
  <c r="A1266" i="42" s="1"/>
  <c r="BR1266" i="42"/>
  <c r="BS1266" i="42"/>
  <c r="BT1266" i="42"/>
  <c r="BY1485" i="42"/>
  <c r="A1485" i="42" s="1"/>
  <c r="BZ1485" i="42"/>
  <c r="CA1485" i="42"/>
  <c r="CB1485" i="42"/>
  <c r="AS636" i="42"/>
  <c r="A636" i="42" s="1"/>
  <c r="AT636" i="42"/>
  <c r="AU636" i="42"/>
  <c r="AV636" i="42"/>
  <c r="AC145" i="42"/>
  <c r="A145" i="42" s="1"/>
  <c r="AD145" i="42"/>
  <c r="AE145" i="42"/>
  <c r="AF145" i="42"/>
  <c r="BQ1302" i="42"/>
  <c r="A1302" i="42" s="1"/>
  <c r="BR1302" i="42"/>
  <c r="BS1302" i="42"/>
  <c r="BT1302" i="42"/>
  <c r="BY1341" i="42"/>
  <c r="A1341" i="42" s="1"/>
  <c r="BZ1341" i="42"/>
  <c r="CA1341" i="42"/>
  <c r="CB1341" i="42"/>
  <c r="BJ975" i="42"/>
  <c r="BK975" i="42"/>
  <c r="BL975" i="42"/>
  <c r="BI975" i="42"/>
  <c r="A975" i="42" s="1"/>
  <c r="AK289" i="42"/>
  <c r="A289" i="42" s="1"/>
  <c r="AL289" i="42"/>
  <c r="AM289" i="42"/>
  <c r="AN289" i="42"/>
  <c r="AD217" i="42"/>
  <c r="AE217" i="42"/>
  <c r="AC217" i="42"/>
  <c r="A217" i="42" s="1"/>
  <c r="AF217" i="42"/>
  <c r="CG1565" i="42"/>
  <c r="A1565" i="42" s="1"/>
  <c r="CH1565" i="42"/>
  <c r="CI1565" i="42"/>
  <c r="CJ1565" i="42"/>
  <c r="AN459" i="42"/>
  <c r="AK459" i="42"/>
  <c r="A459" i="42" s="1"/>
  <c r="AL459" i="42"/>
  <c r="AM459" i="42"/>
  <c r="BI1048" i="42"/>
  <c r="A1048" i="42" s="1"/>
  <c r="BJ1048" i="42"/>
  <c r="BK1048" i="42"/>
  <c r="BL1048" i="42"/>
  <c r="BA779" i="42"/>
  <c r="A779" i="42" s="1"/>
  <c r="BB779" i="42"/>
  <c r="BC779" i="42"/>
  <c r="BD779" i="42"/>
  <c r="BB696" i="42"/>
  <c r="BC696" i="42"/>
  <c r="BD696" i="42"/>
  <c r="BA696" i="42"/>
  <c r="A696" i="42" s="1"/>
  <c r="BC845" i="42"/>
  <c r="BD845" i="42"/>
  <c r="BA845" i="42"/>
  <c r="A845" i="42" s="1"/>
  <c r="BB845" i="42"/>
  <c r="BQ1239" i="42"/>
  <c r="A1239" i="42" s="1"/>
  <c r="BR1239" i="42"/>
  <c r="BS1239" i="42"/>
  <c r="BT1239" i="42"/>
  <c r="CH1582" i="42"/>
  <c r="CI1582" i="42"/>
  <c r="CJ1582" i="42"/>
  <c r="CG1582" i="42"/>
  <c r="A1582" i="42" s="1"/>
  <c r="BI1019" i="42"/>
  <c r="A1019" i="42" s="1"/>
  <c r="BJ1019" i="42"/>
  <c r="BK1019" i="42"/>
  <c r="BL1019" i="42"/>
  <c r="AK302" i="42"/>
  <c r="A302" i="42" s="1"/>
  <c r="AL302" i="42"/>
  <c r="AM302" i="42"/>
  <c r="AN302" i="42"/>
  <c r="BI995" i="42"/>
  <c r="A995" i="42" s="1"/>
  <c r="BJ995" i="42"/>
  <c r="BK995" i="42"/>
  <c r="BL995" i="42"/>
  <c r="AT650" i="42"/>
  <c r="AU650" i="42"/>
  <c r="AV650" i="42"/>
  <c r="AS650" i="42"/>
  <c r="A650" i="42" s="1"/>
  <c r="AC146" i="42"/>
  <c r="A146" i="42" s="1"/>
  <c r="AD146" i="42"/>
  <c r="AE146" i="42"/>
  <c r="AF146" i="42"/>
  <c r="BI1089" i="42"/>
  <c r="A1089" i="42" s="1"/>
  <c r="BJ1089" i="42"/>
  <c r="BK1089" i="42"/>
  <c r="BL1089" i="42"/>
  <c r="BY1462" i="42"/>
  <c r="A1462" i="42" s="1"/>
  <c r="BZ1462" i="42"/>
  <c r="CA1462" i="42"/>
  <c r="CB1462" i="42"/>
  <c r="BY1365" i="42"/>
  <c r="A1365" i="42" s="1"/>
  <c r="BZ1365" i="42"/>
  <c r="CA1365" i="42"/>
  <c r="CB1365" i="42"/>
  <c r="BQ1259" i="42"/>
  <c r="A1259" i="42" s="1"/>
  <c r="BR1259" i="42"/>
  <c r="BS1259" i="42"/>
  <c r="BT1259" i="42"/>
  <c r="CB1395" i="42"/>
  <c r="BY1395" i="42"/>
  <c r="A1395" i="42" s="1"/>
  <c r="BZ1395" i="42"/>
  <c r="CA1395" i="42"/>
  <c r="BI990" i="42"/>
  <c r="A990" i="42" s="1"/>
  <c r="BJ990" i="42"/>
  <c r="BK990" i="42"/>
  <c r="BL990" i="42"/>
  <c r="BQ1238" i="42"/>
  <c r="A1238" i="42" s="1"/>
  <c r="BR1238" i="42"/>
  <c r="BS1238" i="42"/>
  <c r="BT1238" i="42"/>
  <c r="AS495" i="42"/>
  <c r="A495" i="42" s="1"/>
  <c r="AT495" i="42"/>
  <c r="AU495" i="42"/>
  <c r="AV495" i="42"/>
  <c r="BA850" i="42"/>
  <c r="A850" i="42" s="1"/>
  <c r="BB850" i="42"/>
  <c r="BC850" i="42"/>
  <c r="BD850" i="42"/>
  <c r="CG1693" i="42"/>
  <c r="A1693" i="42" s="1"/>
  <c r="CH1693" i="42"/>
  <c r="CI1693" i="42"/>
  <c r="CJ1693" i="42"/>
  <c r="BR1301" i="42"/>
  <c r="BS1301" i="42"/>
  <c r="BT1301" i="42"/>
  <c r="BQ1301" i="42"/>
  <c r="A1301" i="42" s="1"/>
  <c r="AK428" i="42"/>
  <c r="A428" i="42" s="1"/>
  <c r="AL428" i="42"/>
  <c r="AM428" i="42"/>
  <c r="AN428" i="42"/>
  <c r="CG1575" i="42"/>
  <c r="A1575" i="42" s="1"/>
  <c r="CH1575" i="42"/>
  <c r="CI1575" i="42"/>
  <c r="CJ1575" i="42"/>
  <c r="BL1094" i="42"/>
  <c r="BI1094" i="42"/>
  <c r="A1094" i="42" s="1"/>
  <c r="BJ1094" i="42"/>
  <c r="BK1094" i="42"/>
  <c r="BA717" i="42"/>
  <c r="A717" i="42" s="1"/>
  <c r="BB717" i="42"/>
  <c r="BD717" i="42"/>
  <c r="BC717" i="42"/>
  <c r="BA767" i="42"/>
  <c r="A767" i="42" s="1"/>
  <c r="BB767" i="42"/>
  <c r="BC767" i="42"/>
  <c r="BD767" i="42"/>
  <c r="AC81" i="42"/>
  <c r="A81" i="42" s="1"/>
  <c r="AD81" i="42"/>
  <c r="AE81" i="42"/>
  <c r="AF81" i="42"/>
  <c r="BY1357" i="42"/>
  <c r="A1357" i="42" s="1"/>
  <c r="BZ1357" i="42"/>
  <c r="CA1357" i="42"/>
  <c r="CB1357" i="42"/>
  <c r="AS668" i="42"/>
  <c r="A668" i="42" s="1"/>
  <c r="AT668" i="42"/>
  <c r="AU668" i="42"/>
  <c r="AV668" i="42"/>
  <c r="CG1707" i="42"/>
  <c r="A1707" i="42" s="1"/>
  <c r="CH1707" i="42"/>
  <c r="CI1707" i="42"/>
  <c r="CJ1707" i="42"/>
  <c r="AS632" i="42"/>
  <c r="A632" i="42" s="1"/>
  <c r="AT632" i="42"/>
  <c r="AU632" i="42"/>
  <c r="AV632" i="42"/>
  <c r="CG1585" i="42"/>
  <c r="A1585" i="42" s="1"/>
  <c r="CH1585" i="42"/>
  <c r="CI1585" i="42"/>
  <c r="CJ1585" i="42"/>
  <c r="AS571" i="42"/>
  <c r="A571" i="42" s="1"/>
  <c r="AT571" i="42"/>
  <c r="AU571" i="42"/>
  <c r="AV571" i="42"/>
  <c r="AS488" i="42"/>
  <c r="A488" i="42" s="1"/>
  <c r="AT488" i="42"/>
  <c r="AU488" i="42"/>
  <c r="AV488" i="42"/>
  <c r="AD229" i="42"/>
  <c r="AE229" i="42"/>
  <c r="AC229" i="42"/>
  <c r="A229" i="42" s="1"/>
  <c r="AF229" i="42"/>
  <c r="BI1053" i="42"/>
  <c r="A1053" i="42" s="1"/>
  <c r="BJ1053" i="42"/>
  <c r="BK1053" i="42"/>
  <c r="BL1053" i="42"/>
  <c r="BA823" i="42"/>
  <c r="A823" i="42" s="1"/>
  <c r="BB823" i="42"/>
  <c r="BC823" i="42"/>
  <c r="BD823" i="42"/>
  <c r="AK393" i="42"/>
  <c r="A393" i="42" s="1"/>
  <c r="AL393" i="42"/>
  <c r="AM393" i="42"/>
  <c r="AN393" i="42"/>
  <c r="CG1551" i="42"/>
  <c r="A1551" i="42" s="1"/>
  <c r="CH1551" i="42"/>
  <c r="CI1551" i="42"/>
  <c r="CJ1551" i="42"/>
  <c r="BY1343" i="42"/>
  <c r="A1343" i="42" s="1"/>
  <c r="BZ1343" i="42"/>
  <c r="CA1343" i="42"/>
  <c r="CB1343" i="42"/>
  <c r="AK371" i="42"/>
  <c r="A371" i="42" s="1"/>
  <c r="AL371" i="42"/>
  <c r="AM371" i="42"/>
  <c r="AN371" i="42"/>
  <c r="AK442" i="42"/>
  <c r="A442" i="42" s="1"/>
  <c r="AM442" i="42"/>
  <c r="AN442" i="42"/>
  <c r="AL442" i="42"/>
  <c r="BC881" i="42"/>
  <c r="BD881" i="42"/>
  <c r="BA881" i="42"/>
  <c r="A881" i="42" s="1"/>
  <c r="BB881" i="42"/>
  <c r="BQ1254" i="42"/>
  <c r="A1254" i="42" s="1"/>
  <c r="BR1254" i="42"/>
  <c r="BS1254" i="42"/>
  <c r="BT1254" i="42"/>
  <c r="CH1662" i="42"/>
  <c r="CI1662" i="42"/>
  <c r="CJ1662" i="42"/>
  <c r="CG1662" i="42"/>
  <c r="A1662" i="42" s="1"/>
  <c r="BC741" i="42"/>
  <c r="BD741" i="42"/>
  <c r="BA741" i="42"/>
  <c r="A741" i="42" s="1"/>
  <c r="BB741" i="42"/>
  <c r="BI1051" i="42"/>
  <c r="A1051" i="42" s="1"/>
  <c r="BJ1051" i="42"/>
  <c r="BK1051" i="42"/>
  <c r="BL1051" i="42"/>
  <c r="BQ1187" i="42"/>
  <c r="A1187" i="42" s="1"/>
  <c r="BR1187" i="42"/>
  <c r="BS1187" i="42"/>
  <c r="BT1187" i="42"/>
  <c r="AK366" i="42"/>
  <c r="A366" i="42" s="1"/>
  <c r="AL366" i="42"/>
  <c r="AM366" i="42"/>
  <c r="AN366" i="42"/>
  <c r="BI1030" i="42"/>
  <c r="A1030" i="42" s="1"/>
  <c r="BJ1030" i="42"/>
  <c r="BK1030" i="42"/>
  <c r="BL1030" i="42"/>
  <c r="AK287" i="42"/>
  <c r="A287" i="42" s="1"/>
  <c r="AL287" i="42"/>
  <c r="AM287" i="42"/>
  <c r="AN287" i="42"/>
  <c r="BY1364" i="42"/>
  <c r="A1364" i="42" s="1"/>
  <c r="BZ1364" i="42"/>
  <c r="CA1364" i="42"/>
  <c r="CB1364" i="42"/>
  <c r="AT642" i="42"/>
  <c r="AU642" i="42"/>
  <c r="AV642" i="42"/>
  <c r="AS642" i="42"/>
  <c r="A642" i="42" s="1"/>
  <c r="BC861" i="42"/>
  <c r="BD861" i="42"/>
  <c r="BA861" i="42"/>
  <c r="A861" i="42" s="1"/>
  <c r="BB861" i="42"/>
  <c r="BI1093" i="42"/>
  <c r="A1093" i="42" s="1"/>
  <c r="BJ1093" i="42"/>
  <c r="BK1093" i="42"/>
  <c r="BL1093" i="42"/>
  <c r="AC220" i="42"/>
  <c r="A220" i="42" s="1"/>
  <c r="AD220" i="42"/>
  <c r="AE220" i="42"/>
  <c r="AF220" i="42"/>
  <c r="BI977" i="42"/>
  <c r="A977" i="42" s="1"/>
  <c r="BJ977" i="42"/>
  <c r="BK977" i="42"/>
  <c r="BL977" i="42"/>
  <c r="BY1367" i="42"/>
  <c r="A1367" i="42" s="1"/>
  <c r="BZ1367" i="42"/>
  <c r="CA1367" i="42"/>
  <c r="CB1367" i="42"/>
  <c r="BC857" i="42"/>
  <c r="BD857" i="42"/>
  <c r="BA857" i="42"/>
  <c r="A857" i="42" s="1"/>
  <c r="BB857" i="42"/>
  <c r="BA886" i="42"/>
  <c r="A886" i="42" s="1"/>
  <c r="BB886" i="42"/>
  <c r="BC886" i="42"/>
  <c r="BD886" i="42"/>
  <c r="AS509" i="42"/>
  <c r="A509" i="42" s="1"/>
  <c r="AT509" i="42"/>
  <c r="AU509" i="42"/>
  <c r="AV509" i="42"/>
  <c r="AL374" i="42"/>
  <c r="AK374" i="42"/>
  <c r="A374" i="42" s="1"/>
  <c r="AM374" i="42"/>
  <c r="AN374" i="42"/>
  <c r="AS559" i="42"/>
  <c r="A559" i="42" s="1"/>
  <c r="AT559" i="42"/>
  <c r="AU559" i="42"/>
  <c r="AV559" i="42"/>
  <c r="CG1537" i="42"/>
  <c r="A1537" i="42" s="1"/>
  <c r="CH1537" i="42"/>
  <c r="CI1537" i="42"/>
  <c r="CJ1537" i="42"/>
  <c r="BY1434" i="42"/>
  <c r="A1434" i="42" s="1"/>
  <c r="BZ1434" i="42"/>
  <c r="CA1434" i="42"/>
  <c r="CB1434" i="42"/>
  <c r="BY1401" i="42"/>
  <c r="A1401" i="42" s="1"/>
  <c r="BZ1401" i="42"/>
  <c r="CA1401" i="42"/>
  <c r="CB1401" i="42"/>
  <c r="AC175" i="42"/>
  <c r="A175" i="42" s="1"/>
  <c r="AD175" i="42"/>
  <c r="AE175" i="42"/>
  <c r="AF175" i="42"/>
  <c r="AS525" i="42"/>
  <c r="A525" i="42" s="1"/>
  <c r="AT525" i="42"/>
  <c r="AU525" i="42"/>
  <c r="AV525" i="42"/>
  <c r="AC184" i="42"/>
  <c r="A184" i="42" s="1"/>
  <c r="AD184" i="42"/>
  <c r="AE184" i="42"/>
  <c r="AF184" i="42"/>
  <c r="CB1499" i="42"/>
  <c r="BY1499" i="42"/>
  <c r="A1499" i="42" s="1"/>
  <c r="BZ1499" i="42"/>
  <c r="CA1499" i="42"/>
  <c r="AK424" i="42"/>
  <c r="A424" i="42" s="1"/>
  <c r="AL424" i="42"/>
  <c r="AM424" i="42"/>
  <c r="AN424" i="42"/>
  <c r="BR1169" i="42"/>
  <c r="BS1169" i="42"/>
  <c r="BT1169" i="42"/>
  <c r="BQ1169" i="42"/>
  <c r="A1169" i="42" s="1"/>
  <c r="AK363" i="42"/>
  <c r="A363" i="42" s="1"/>
  <c r="AL363" i="42"/>
  <c r="AM363" i="42"/>
  <c r="AN363" i="42"/>
  <c r="AN280" i="42"/>
  <c r="AK280" i="42"/>
  <c r="A280" i="42" s="1"/>
  <c r="AL280" i="42"/>
  <c r="AM280" i="42"/>
  <c r="CG1685" i="42"/>
  <c r="A1685" i="42" s="1"/>
  <c r="CI1685" i="42"/>
  <c r="CH1685" i="42"/>
  <c r="CJ1685" i="42"/>
  <c r="AK429" i="42"/>
  <c r="A429" i="42" s="1"/>
  <c r="AL429" i="42"/>
  <c r="AM429" i="42"/>
  <c r="AN429" i="42"/>
  <c r="AS615" i="42"/>
  <c r="A615" i="42" s="1"/>
  <c r="AT615" i="42"/>
  <c r="AU615" i="42"/>
  <c r="AV615" i="42"/>
  <c r="AK339" i="42"/>
  <c r="A339" i="42" s="1"/>
  <c r="AL339" i="42"/>
  <c r="AM339" i="42"/>
  <c r="AN339" i="42"/>
  <c r="AC166" i="42"/>
  <c r="A166" i="42" s="1"/>
  <c r="AD166" i="42"/>
  <c r="AE166" i="42"/>
  <c r="AF166" i="42"/>
  <c r="BQ1135" i="42"/>
  <c r="A1135" i="42" s="1"/>
  <c r="BR1135" i="42"/>
  <c r="BS1135" i="42"/>
  <c r="BT1135" i="42"/>
  <c r="AK465" i="42"/>
  <c r="A465" i="42" s="1"/>
  <c r="AL465" i="42"/>
  <c r="AM465" i="42"/>
  <c r="AN465" i="42"/>
  <c r="BI1046" i="42"/>
  <c r="A1046" i="42" s="1"/>
  <c r="BJ1046" i="42"/>
  <c r="BK1046" i="42"/>
  <c r="BL1046" i="42"/>
  <c r="AS533" i="42"/>
  <c r="A533" i="42" s="1"/>
  <c r="AT533" i="42"/>
  <c r="AU533" i="42"/>
  <c r="AV533" i="42"/>
  <c r="BA843" i="42"/>
  <c r="A843" i="42" s="1"/>
  <c r="BB843" i="42"/>
  <c r="BC843" i="42"/>
  <c r="BD843" i="42"/>
  <c r="BI979" i="42"/>
  <c r="A979" i="42" s="1"/>
  <c r="BJ979" i="42"/>
  <c r="BK979" i="42"/>
  <c r="BL979" i="42"/>
  <c r="BA822" i="42"/>
  <c r="A822" i="42" s="1"/>
  <c r="BB822" i="42"/>
  <c r="BC822" i="42"/>
  <c r="BD822" i="42"/>
  <c r="AC79" i="42"/>
  <c r="A79" i="42" s="1"/>
  <c r="AD79" i="42"/>
  <c r="AE79" i="42"/>
  <c r="AF79" i="42"/>
  <c r="BQ1156" i="42"/>
  <c r="A1156" i="42" s="1"/>
  <c r="BR1156" i="42"/>
  <c r="BS1156" i="42"/>
  <c r="BT1156" i="42"/>
  <c r="BI1058" i="42"/>
  <c r="A1058" i="42" s="1"/>
  <c r="BJ1058" i="42"/>
  <c r="BK1058" i="42"/>
  <c r="BL1058" i="42"/>
  <c r="AK445" i="42"/>
  <c r="A445" i="42" s="1"/>
  <c r="AL445" i="42"/>
  <c r="AM445" i="42"/>
  <c r="AN445" i="42"/>
  <c r="AS677" i="42"/>
  <c r="A677" i="42" s="1"/>
  <c r="AT677" i="42"/>
  <c r="AU677" i="42"/>
  <c r="AV677" i="42"/>
  <c r="CG1601" i="42"/>
  <c r="A1601" i="42" s="1"/>
  <c r="CH1601" i="42"/>
  <c r="CI1601" i="42"/>
  <c r="CJ1601" i="42"/>
  <c r="AS535" i="42"/>
  <c r="A535" i="42" s="1"/>
  <c r="AT535" i="42"/>
  <c r="AU535" i="42"/>
  <c r="AV535" i="42"/>
  <c r="BY1344" i="42"/>
  <c r="A1344" i="42" s="1"/>
  <c r="BZ1344" i="42"/>
  <c r="CA1344" i="42"/>
  <c r="CB1344" i="42"/>
  <c r="AT678" i="42"/>
  <c r="AU678" i="42"/>
  <c r="AV678" i="42"/>
  <c r="AS678" i="42"/>
  <c r="A678" i="42" s="1"/>
  <c r="AK301" i="42"/>
  <c r="A301" i="42" s="1"/>
  <c r="AL301" i="42"/>
  <c r="AM301" i="42"/>
  <c r="AN301" i="42"/>
  <c r="CH1622" i="42"/>
  <c r="CI1622" i="42"/>
  <c r="CJ1622" i="42"/>
  <c r="CG1622" i="42"/>
  <c r="A1622" i="42" s="1"/>
  <c r="AK351" i="42"/>
  <c r="A351" i="42" s="1"/>
  <c r="AL351" i="42"/>
  <c r="AM351" i="42"/>
  <c r="AN351" i="42"/>
  <c r="BQ1226" i="42"/>
  <c r="A1226" i="42" s="1"/>
  <c r="BR1226" i="42"/>
  <c r="BS1226" i="42"/>
  <c r="BT1226" i="42"/>
  <c r="BR1193" i="42"/>
  <c r="BS1193" i="42"/>
  <c r="BT1193" i="42"/>
  <c r="BQ1193" i="42"/>
  <c r="A1193" i="42" s="1"/>
  <c r="CG1631" i="42"/>
  <c r="A1631" i="42" s="1"/>
  <c r="CH1631" i="42"/>
  <c r="CI1631" i="42"/>
  <c r="CJ1631" i="42"/>
  <c r="AK317" i="42"/>
  <c r="A317" i="42" s="1"/>
  <c r="AL317" i="42"/>
  <c r="AM317" i="42"/>
  <c r="AN317" i="42"/>
  <c r="BR1291" i="42"/>
  <c r="BS1291" i="42"/>
  <c r="BT1291" i="42"/>
  <c r="BQ1291" i="42"/>
  <c r="A1291" i="42" s="1"/>
  <c r="AC216" i="42"/>
  <c r="A216" i="42" s="1"/>
  <c r="AD216" i="42"/>
  <c r="AE216" i="42"/>
  <c r="AF216" i="42"/>
  <c r="BC753" i="42"/>
  <c r="BD753" i="42"/>
  <c r="BA753" i="42"/>
  <c r="A753" i="42" s="1"/>
  <c r="BB753" i="42"/>
  <c r="AC155" i="42"/>
  <c r="A155" i="42" s="1"/>
  <c r="AD155" i="42"/>
  <c r="AE155" i="42"/>
  <c r="AF155" i="42"/>
  <c r="AC72" i="42"/>
  <c r="A72" i="42" s="1"/>
  <c r="AD72" i="42"/>
  <c r="AE72" i="42"/>
  <c r="AF72" i="42"/>
  <c r="BY1477" i="42"/>
  <c r="A1477" i="42" s="1"/>
  <c r="BZ1477" i="42"/>
  <c r="CA1477" i="42"/>
  <c r="CB1477" i="42"/>
  <c r="AD221" i="42"/>
  <c r="AE221" i="42"/>
  <c r="AC221" i="42"/>
  <c r="A221" i="42" s="1"/>
  <c r="AF221" i="42"/>
  <c r="AN407" i="42"/>
  <c r="AK407" i="42"/>
  <c r="A407" i="42" s="1"/>
  <c r="AL407" i="42"/>
  <c r="AM407" i="42"/>
  <c r="BY1492" i="42"/>
  <c r="A1492" i="42" s="1"/>
  <c r="BZ1492" i="42"/>
  <c r="CA1492" i="42"/>
  <c r="CB1492" i="42"/>
  <c r="AC234" i="42"/>
  <c r="A234" i="42" s="1"/>
  <c r="AD234" i="42"/>
  <c r="AE234" i="42"/>
  <c r="AF234" i="42"/>
  <c r="AS673" i="42"/>
  <c r="A673" i="42" s="1"/>
  <c r="AT673" i="42"/>
  <c r="AU673" i="42"/>
  <c r="AV673" i="42"/>
  <c r="BA838" i="42"/>
  <c r="A838" i="42" s="1"/>
  <c r="BB838" i="42"/>
  <c r="BC838" i="42"/>
  <c r="BD838" i="42"/>
  <c r="BR1157" i="42"/>
  <c r="BS1157" i="42"/>
  <c r="BT1157" i="42"/>
  <c r="BQ1157" i="42"/>
  <c r="A1157" i="42" s="1"/>
  <c r="AS635" i="42"/>
  <c r="A635" i="42" s="1"/>
  <c r="AT635" i="42"/>
  <c r="AU635" i="42"/>
  <c r="AV635" i="42"/>
  <c r="BA771" i="42"/>
  <c r="A771" i="42" s="1"/>
  <c r="BB771" i="42"/>
  <c r="BC771" i="42"/>
  <c r="BD771" i="42"/>
  <c r="AT614" i="42"/>
  <c r="AU614" i="42"/>
  <c r="AV614" i="42"/>
  <c r="AS614" i="42"/>
  <c r="A614" i="42" s="1"/>
  <c r="BI948" i="42"/>
  <c r="A948" i="42" s="1"/>
  <c r="BJ948" i="42"/>
  <c r="BK948" i="42"/>
  <c r="BL948" i="42"/>
  <c r="AK434" i="42"/>
  <c r="A434" i="42" s="1"/>
  <c r="AM434" i="42"/>
  <c r="AN434" i="42"/>
  <c r="AL434" i="42"/>
  <c r="AD237" i="42"/>
  <c r="AE237" i="42"/>
  <c r="AC237" i="42"/>
  <c r="A237" i="42" s="1"/>
  <c r="AF237" i="42"/>
  <c r="AK469" i="42"/>
  <c r="A469" i="42" s="1"/>
  <c r="AL469" i="42"/>
  <c r="AM469" i="42"/>
  <c r="AN469" i="42"/>
  <c r="BY1393" i="42"/>
  <c r="A1393" i="42" s="1"/>
  <c r="BZ1393" i="42"/>
  <c r="CA1393" i="42"/>
  <c r="CB1393" i="42"/>
  <c r="AK327" i="42"/>
  <c r="A327" i="42" s="1"/>
  <c r="AL327" i="42"/>
  <c r="AM327" i="42"/>
  <c r="AN327" i="42"/>
  <c r="BD720" i="42"/>
  <c r="BA720" i="42"/>
  <c r="A720" i="42" s="1"/>
  <c r="BB720" i="42"/>
  <c r="BC720" i="42"/>
  <c r="AK470" i="42"/>
  <c r="A470" i="42" s="1"/>
  <c r="AM470" i="42"/>
  <c r="AN470" i="42"/>
  <c r="AL470" i="42"/>
  <c r="CB1414" i="42"/>
  <c r="BY1414" i="42"/>
  <c r="A1414" i="42" s="1"/>
  <c r="BZ1414" i="42"/>
  <c r="CA1414" i="42"/>
  <c r="CH1674" i="42"/>
  <c r="CI1674" i="42"/>
  <c r="CJ1674" i="42"/>
  <c r="CG1674" i="42"/>
  <c r="A1674" i="42" s="1"/>
  <c r="BA810" i="42"/>
  <c r="A810" i="42" s="1"/>
  <c r="BB810" i="42"/>
  <c r="BC810" i="42"/>
  <c r="BD810" i="42"/>
  <c r="BC777" i="42"/>
  <c r="BD777" i="42"/>
  <c r="BA777" i="42"/>
  <c r="A777" i="42" s="1"/>
  <c r="BB777" i="42"/>
  <c r="BY1423" i="42"/>
  <c r="A1423" i="42" s="1"/>
  <c r="BZ1423" i="42"/>
  <c r="CA1423" i="42"/>
  <c r="CB1423" i="42"/>
  <c r="AC109" i="42"/>
  <c r="A109" i="42" s="1"/>
  <c r="AD109" i="42"/>
  <c r="AE109" i="42"/>
  <c r="AF109" i="42"/>
  <c r="BI1083" i="42"/>
  <c r="A1083" i="42" s="1"/>
  <c r="BJ1083" i="42"/>
  <c r="BK1083" i="42"/>
  <c r="BL1083" i="42"/>
  <c r="AS545" i="42"/>
  <c r="A545" i="42" s="1"/>
  <c r="AT545" i="42"/>
  <c r="AU545" i="42"/>
  <c r="AV545" i="42"/>
  <c r="BR1269" i="42"/>
  <c r="BS1269" i="42"/>
  <c r="BT1269" i="42"/>
  <c r="BQ1269" i="42"/>
  <c r="A1269" i="42" s="1"/>
  <c r="AK303" i="42"/>
  <c r="A303" i="42" s="1"/>
  <c r="AL303" i="42"/>
  <c r="AM303" i="42"/>
  <c r="AN303" i="42"/>
  <c r="AC121" i="42"/>
  <c r="A121" i="42" s="1"/>
  <c r="AD121" i="42"/>
  <c r="AE121" i="42"/>
  <c r="AF121" i="42"/>
  <c r="BA703" i="42"/>
  <c r="A703" i="42" s="1"/>
  <c r="BB703" i="42"/>
  <c r="BC703" i="42"/>
  <c r="BD703" i="42"/>
  <c r="BI918" i="42"/>
  <c r="A918" i="42" s="1"/>
  <c r="BJ918" i="42"/>
  <c r="BK918" i="42"/>
  <c r="BL918" i="42"/>
  <c r="AL383" i="42"/>
  <c r="AM383" i="42"/>
  <c r="AN383" i="42"/>
  <c r="AK383" i="42"/>
  <c r="A383" i="42" s="1"/>
  <c r="CH1690" i="42"/>
  <c r="CI1690" i="42"/>
  <c r="CJ1690" i="42"/>
  <c r="CG1690" i="42"/>
  <c r="A1690" i="42" s="1"/>
  <c r="CG1548" i="42"/>
  <c r="A1548" i="42" s="1"/>
  <c r="CH1548" i="42"/>
  <c r="CI1548" i="42"/>
  <c r="CJ1548" i="42"/>
  <c r="BY1484" i="42"/>
  <c r="A1484" i="42" s="1"/>
  <c r="BZ1484" i="42"/>
  <c r="CA1484" i="42"/>
  <c r="CB1484" i="42"/>
  <c r="BY1440" i="42"/>
  <c r="A1440" i="42" s="1"/>
  <c r="BZ1440" i="42"/>
  <c r="CA1440" i="42"/>
  <c r="CB1440" i="42"/>
  <c r="AC257" i="42"/>
  <c r="A257" i="42" s="1"/>
  <c r="AD257" i="42"/>
  <c r="AE257" i="42"/>
  <c r="AF257" i="42"/>
  <c r="AT630" i="42"/>
  <c r="AU630" i="42"/>
  <c r="AV630" i="42"/>
  <c r="AS630" i="42"/>
  <c r="A630" i="42" s="1"/>
  <c r="BI949" i="42"/>
  <c r="A949" i="42" s="1"/>
  <c r="BJ949" i="42"/>
  <c r="BK949" i="42"/>
  <c r="BL949" i="42"/>
  <c r="AS563" i="42"/>
  <c r="A563" i="42" s="1"/>
  <c r="AT563" i="42"/>
  <c r="AU563" i="42"/>
  <c r="AV563" i="42"/>
  <c r="BQ1200" i="42"/>
  <c r="A1200" i="42" s="1"/>
  <c r="BR1200" i="42"/>
  <c r="BS1200" i="42"/>
  <c r="BT1200" i="42"/>
  <c r="CG1535" i="42"/>
  <c r="A1535" i="42" s="1"/>
  <c r="CH1535" i="42"/>
  <c r="CI1535" i="42"/>
  <c r="CJ1535" i="42"/>
  <c r="BA740" i="42"/>
  <c r="A740" i="42" s="1"/>
  <c r="BB740" i="42"/>
  <c r="BC740" i="42"/>
  <c r="BD740" i="42"/>
  <c r="AC226" i="42"/>
  <c r="A226" i="42" s="1"/>
  <c r="AD226" i="42"/>
  <c r="AE226" i="42"/>
  <c r="AF226" i="42"/>
  <c r="AC261" i="42"/>
  <c r="A261" i="42" s="1"/>
  <c r="AD261" i="42"/>
  <c r="AF261" i="42"/>
  <c r="AE261" i="42"/>
  <c r="BR1185" i="42"/>
  <c r="BS1185" i="42"/>
  <c r="BT1185" i="42"/>
  <c r="BQ1185" i="42"/>
  <c r="A1185" i="42" s="1"/>
  <c r="BQ1159" i="42"/>
  <c r="A1159" i="42" s="1"/>
  <c r="BR1159" i="42"/>
  <c r="BS1159" i="42"/>
  <c r="BT1159" i="42"/>
  <c r="AS512" i="42"/>
  <c r="A512" i="42" s="1"/>
  <c r="AT512" i="42"/>
  <c r="AU512" i="42"/>
  <c r="AV512" i="42"/>
  <c r="BY1334" i="42"/>
  <c r="A1334" i="42" s="1"/>
  <c r="BZ1334" i="42"/>
  <c r="CB1334" i="42"/>
  <c r="CA1334" i="42"/>
  <c r="AC262" i="42"/>
  <c r="A262" i="42" s="1"/>
  <c r="AD262" i="42"/>
  <c r="AE262" i="42"/>
  <c r="AF262" i="42"/>
  <c r="CG1549" i="42"/>
  <c r="A1549" i="42" s="1"/>
  <c r="CH1549" i="42"/>
  <c r="CI1549" i="42"/>
  <c r="CJ1549" i="42"/>
  <c r="BQ1206" i="42"/>
  <c r="A1206" i="42" s="1"/>
  <c r="BR1206" i="42"/>
  <c r="BS1206" i="42"/>
  <c r="BT1206" i="42"/>
  <c r="BY1466" i="42"/>
  <c r="A1466" i="42" s="1"/>
  <c r="BZ1466" i="42"/>
  <c r="CA1466" i="42"/>
  <c r="CB1466" i="42"/>
  <c r="AT602" i="42"/>
  <c r="AU602" i="42"/>
  <c r="AV602" i="42"/>
  <c r="AS602" i="42"/>
  <c r="A602" i="42" s="1"/>
  <c r="BI1001" i="42"/>
  <c r="A1001" i="42" s="1"/>
  <c r="BJ1001" i="42"/>
  <c r="BK1001" i="42"/>
  <c r="BL1001" i="42"/>
  <c r="AS569" i="42"/>
  <c r="A569" i="42" s="1"/>
  <c r="AU569" i="42"/>
  <c r="AT569" i="42"/>
  <c r="AV569" i="42"/>
  <c r="BQ1215" i="42"/>
  <c r="A1215" i="42" s="1"/>
  <c r="BR1215" i="42"/>
  <c r="BS1215" i="42"/>
  <c r="BT1215" i="42"/>
  <c r="CG1696" i="42"/>
  <c r="A1696" i="42" s="1"/>
  <c r="CH1696" i="42"/>
  <c r="CI1696" i="42"/>
  <c r="CJ1696" i="42"/>
  <c r="CG1672" i="42"/>
  <c r="A1672" i="42" s="1"/>
  <c r="CH1672" i="42"/>
  <c r="CI1672" i="42"/>
  <c r="CJ1672" i="42"/>
  <c r="AK337" i="42"/>
  <c r="A337" i="42" s="1"/>
  <c r="AL337" i="42"/>
  <c r="AM337" i="42"/>
  <c r="AN337" i="42"/>
  <c r="BQ1195" i="42"/>
  <c r="A1195" i="42" s="1"/>
  <c r="BR1195" i="42"/>
  <c r="BS1195" i="42"/>
  <c r="BT1195" i="42"/>
  <c r="AC101" i="42"/>
  <c r="A101" i="42" s="1"/>
  <c r="AD101" i="42"/>
  <c r="AE101" i="42"/>
  <c r="AF101" i="42"/>
  <c r="BI1061" i="42"/>
  <c r="A1061" i="42" s="1"/>
  <c r="BJ1061" i="42"/>
  <c r="BK1061" i="42"/>
  <c r="BL1061" i="42"/>
  <c r="CG1677" i="42"/>
  <c r="A1677" i="42" s="1"/>
  <c r="CH1677" i="42"/>
  <c r="CI1677" i="42"/>
  <c r="CJ1677" i="42"/>
  <c r="CG1655" i="42"/>
  <c r="A1655" i="42" s="1"/>
  <c r="CH1655" i="42"/>
  <c r="CI1655" i="42"/>
  <c r="CJ1655" i="42"/>
  <c r="BQ1126" i="42"/>
  <c r="A1126" i="42" s="1"/>
  <c r="BR1126" i="42"/>
  <c r="BS1126" i="42"/>
  <c r="BT1126" i="42"/>
  <c r="CH1710" i="42"/>
  <c r="CI1710" i="42"/>
  <c r="CJ1710" i="42"/>
  <c r="CG1710" i="42"/>
  <c r="A1710" i="42" s="1"/>
  <c r="BR1145" i="42"/>
  <c r="BS1145" i="42"/>
  <c r="BT1145" i="42"/>
  <c r="BQ1145" i="42"/>
  <c r="A1145" i="42" s="1"/>
  <c r="BY1509" i="42"/>
  <c r="A1509" i="42" s="1"/>
  <c r="BZ1509" i="42"/>
  <c r="CA1509" i="42"/>
  <c r="CB1509" i="42"/>
  <c r="BI985" i="42"/>
  <c r="A985" i="42" s="1"/>
  <c r="BJ985" i="42"/>
  <c r="BK985" i="42"/>
  <c r="BL985" i="42"/>
  <c r="BA719" i="42"/>
  <c r="A719" i="42" s="1"/>
  <c r="BB719" i="42"/>
  <c r="BC719" i="42"/>
  <c r="BD719" i="42"/>
  <c r="AS511" i="42"/>
  <c r="A511" i="42" s="1"/>
  <c r="AT511" i="42"/>
  <c r="AU511" i="42"/>
  <c r="AV511" i="42"/>
  <c r="BY1331" i="42"/>
  <c r="BZ1331" i="42"/>
  <c r="CA1331" i="42"/>
  <c r="CB1331" i="42"/>
  <c r="AK462" i="42"/>
  <c r="A462" i="42" s="1"/>
  <c r="AM462" i="42"/>
  <c r="AN462" i="42"/>
  <c r="AL462" i="42"/>
  <c r="BQ1274" i="42"/>
  <c r="A1274" i="42" s="1"/>
  <c r="BR1274" i="42"/>
  <c r="BS1274" i="42"/>
  <c r="BT1274" i="42"/>
  <c r="BY1340" i="42"/>
  <c r="A1340" i="42" s="1"/>
  <c r="BZ1340" i="42"/>
  <c r="CA1340" i="42"/>
  <c r="CB1340" i="42"/>
  <c r="AK329" i="42"/>
  <c r="A329" i="42" s="1"/>
  <c r="AL329" i="42"/>
  <c r="AM329" i="42"/>
  <c r="AN329" i="42"/>
  <c r="BQ1276" i="42"/>
  <c r="A1276" i="42" s="1"/>
  <c r="BR1276" i="42"/>
  <c r="BS1276" i="42"/>
  <c r="BT1276" i="42"/>
  <c r="BI1024" i="42"/>
  <c r="A1024" i="42" s="1"/>
  <c r="BJ1024" i="42"/>
  <c r="BK1024" i="42"/>
  <c r="BL1024" i="42"/>
  <c r="AK422" i="42"/>
  <c r="A422" i="42" s="1"/>
  <c r="AM422" i="42"/>
  <c r="AN422" i="42"/>
  <c r="AL422" i="42"/>
  <c r="AK325" i="42"/>
  <c r="A325" i="42" s="1"/>
  <c r="AL325" i="42"/>
  <c r="AM325" i="42"/>
  <c r="AN325" i="42"/>
  <c r="CG1553" i="42"/>
  <c r="A1553" i="42" s="1"/>
  <c r="CH1553" i="42"/>
  <c r="CI1553" i="42"/>
  <c r="CJ1553" i="42"/>
  <c r="AK355" i="42"/>
  <c r="A355" i="42" s="1"/>
  <c r="AM355" i="42"/>
  <c r="AN355" i="42"/>
  <c r="AL355" i="42"/>
  <c r="AK406" i="42"/>
  <c r="A406" i="42" s="1"/>
  <c r="AM406" i="42"/>
  <c r="AN406" i="42"/>
  <c r="AL406" i="42"/>
  <c r="CB1327" i="42"/>
  <c r="BY1327" i="42"/>
  <c r="BZ1327" i="42"/>
  <c r="CA1327" i="42"/>
  <c r="AS532" i="42"/>
  <c r="A532" i="42" s="1"/>
  <c r="AT532" i="42"/>
  <c r="AU532" i="42"/>
  <c r="AV532" i="42"/>
  <c r="BC885" i="42"/>
  <c r="BD885" i="42"/>
  <c r="BA885" i="42"/>
  <c r="A885" i="42" s="1"/>
  <c r="BB885" i="42"/>
  <c r="BJ951" i="42"/>
  <c r="BI951" i="42"/>
  <c r="A951" i="42" s="1"/>
  <c r="BK951" i="42"/>
  <c r="BL951" i="42"/>
  <c r="AT502" i="42"/>
  <c r="AU502" i="42"/>
  <c r="AV502" i="42"/>
  <c r="AS502" i="42"/>
  <c r="A502" i="42" s="1"/>
  <c r="BR1133" i="42"/>
  <c r="BS1133" i="42"/>
  <c r="BT1133" i="42"/>
  <c r="BQ1133" i="42"/>
  <c r="A1133" i="42" s="1"/>
  <c r="BA790" i="42"/>
  <c r="A790" i="42" s="1"/>
  <c r="BB790" i="42"/>
  <c r="BC790" i="42"/>
  <c r="BD790" i="42"/>
  <c r="AK394" i="42"/>
  <c r="A394" i="42" s="1"/>
  <c r="AM394" i="42"/>
  <c r="AN394" i="42"/>
  <c r="AL394" i="42"/>
  <c r="BY1417" i="42"/>
  <c r="A1417" i="42" s="1"/>
  <c r="BZ1417" i="42"/>
  <c r="CA1417" i="42"/>
  <c r="CB1417" i="42"/>
  <c r="AC153" i="42"/>
  <c r="A153" i="42" s="1"/>
  <c r="AD153" i="42"/>
  <c r="AE153" i="42"/>
  <c r="AF153" i="42"/>
  <c r="BI1007" i="42"/>
  <c r="A1007" i="42" s="1"/>
  <c r="BJ1007" i="42"/>
  <c r="BK1007" i="42"/>
  <c r="BL1007" i="42"/>
  <c r="BR1149" i="42"/>
  <c r="BS1149" i="42"/>
  <c r="BT1149" i="42"/>
  <c r="BQ1149" i="42"/>
  <c r="A1149" i="42" s="1"/>
  <c r="BY1342" i="42"/>
  <c r="A1342" i="42" s="1"/>
  <c r="BZ1342" i="42"/>
  <c r="CA1342" i="42"/>
  <c r="CB1342" i="42"/>
  <c r="BY1464" i="42"/>
  <c r="A1464" i="42" s="1"/>
  <c r="BZ1464" i="42"/>
  <c r="CA1464" i="42"/>
  <c r="CB1464" i="42"/>
  <c r="AC129" i="42"/>
  <c r="A129" i="42" s="1"/>
  <c r="AD129" i="42"/>
  <c r="AE129" i="42"/>
  <c r="AF129" i="42"/>
  <c r="BR1181" i="42"/>
  <c r="BS1181" i="42"/>
  <c r="BT1181" i="42"/>
  <c r="BQ1181" i="42"/>
  <c r="A1181" i="42" s="1"/>
  <c r="BC853" i="42"/>
  <c r="BD853" i="42"/>
  <c r="BA853" i="42"/>
  <c r="A853" i="42" s="1"/>
  <c r="BB853" i="42"/>
  <c r="BY1469" i="42"/>
  <c r="A1469" i="42" s="1"/>
  <c r="BZ1469" i="42"/>
  <c r="CA1469" i="42"/>
  <c r="CB1469" i="42"/>
  <c r="CB1447" i="42"/>
  <c r="BY1447" i="42"/>
  <c r="A1447" i="42" s="1"/>
  <c r="BZ1447" i="42"/>
  <c r="CA1447" i="42"/>
  <c r="BY1396" i="42"/>
  <c r="A1396" i="42" s="1"/>
  <c r="BZ1396" i="42"/>
  <c r="CA1396" i="42"/>
  <c r="CB1396" i="42"/>
  <c r="BQ1132" i="42"/>
  <c r="A1132" i="42" s="1"/>
  <c r="BR1132" i="42"/>
  <c r="BS1132" i="42"/>
  <c r="BT1132" i="42"/>
  <c r="AS513" i="42"/>
  <c r="A513" i="42" s="1"/>
  <c r="AT513" i="42"/>
  <c r="AU513" i="42"/>
  <c r="AV513" i="42"/>
  <c r="BI927" i="42"/>
  <c r="A927" i="42" s="1"/>
  <c r="BJ927" i="42"/>
  <c r="BK927" i="42"/>
  <c r="BL927" i="42"/>
  <c r="AC254" i="42"/>
  <c r="A254" i="42" s="1"/>
  <c r="AD254" i="42"/>
  <c r="AE254" i="42"/>
  <c r="AF254" i="42"/>
  <c r="BI1066" i="42"/>
  <c r="A1066" i="42" s="1"/>
  <c r="BJ1066" i="42"/>
  <c r="BK1066" i="42"/>
  <c r="BL1066" i="42"/>
  <c r="AS508" i="42"/>
  <c r="A508" i="42" s="1"/>
  <c r="AT508" i="42"/>
  <c r="AU508" i="42"/>
  <c r="AV508" i="42"/>
  <c r="AS537" i="42"/>
  <c r="A537" i="42" s="1"/>
  <c r="AT537" i="42"/>
  <c r="AU537" i="42"/>
  <c r="AV537" i="42"/>
  <c r="BA860" i="42"/>
  <c r="A860" i="42" s="1"/>
  <c r="BC860" i="42"/>
  <c r="BD860" i="42"/>
  <c r="BB860" i="42"/>
  <c r="BA816" i="42"/>
  <c r="A816" i="42" s="1"/>
  <c r="BC816" i="42"/>
  <c r="BD816" i="42"/>
  <c r="BB816" i="42"/>
  <c r="BA775" i="42"/>
  <c r="A775" i="42" s="1"/>
  <c r="BB775" i="42"/>
  <c r="BC775" i="42"/>
  <c r="BD775" i="42"/>
  <c r="AC117" i="42"/>
  <c r="A117" i="42" s="1"/>
  <c r="AD117" i="42"/>
  <c r="AE117" i="42"/>
  <c r="AF117" i="42"/>
  <c r="BY1345" i="42"/>
  <c r="A1345" i="42" s="1"/>
  <c r="BZ1345" i="42"/>
  <c r="CA1345" i="42"/>
  <c r="CB1345" i="42"/>
  <c r="AC147" i="42"/>
  <c r="A147" i="42" s="1"/>
  <c r="AD147" i="42"/>
  <c r="AE147" i="42"/>
  <c r="AF147" i="42"/>
  <c r="CG1561" i="42"/>
  <c r="A1561" i="42" s="1"/>
  <c r="CH1561" i="42"/>
  <c r="CI1561" i="42"/>
  <c r="CJ1561" i="42"/>
  <c r="BI1014" i="42"/>
  <c r="A1014" i="42" s="1"/>
  <c r="BJ1014" i="42"/>
  <c r="BK1014" i="42"/>
  <c r="BL1014" i="42"/>
  <c r="BQ1210" i="42"/>
  <c r="A1210" i="42" s="1"/>
  <c r="BR1210" i="42"/>
  <c r="BS1210" i="42"/>
  <c r="BT1210" i="42"/>
  <c r="AC198" i="42"/>
  <c r="A198" i="42" s="1"/>
  <c r="AD198" i="42"/>
  <c r="AE198" i="42"/>
  <c r="AF198" i="42"/>
  <c r="BQ1119" i="42"/>
  <c r="A1119" i="42" s="1"/>
  <c r="BR1119" i="42"/>
  <c r="BS1119" i="42"/>
  <c r="BT1119" i="42"/>
  <c r="AN324" i="42"/>
  <c r="AK324" i="42"/>
  <c r="A324" i="42" s="1"/>
  <c r="AL324" i="42"/>
  <c r="AM324" i="42"/>
  <c r="CH1682" i="42"/>
  <c r="CI1682" i="42"/>
  <c r="CJ1682" i="42"/>
  <c r="CG1682" i="42"/>
  <c r="A1682" i="42" s="1"/>
  <c r="BA743" i="42"/>
  <c r="A743" i="42" s="1"/>
  <c r="BB743" i="42"/>
  <c r="BC743" i="42"/>
  <c r="BD743" i="42"/>
  <c r="BQ1136" i="42"/>
  <c r="A1136" i="42" s="1"/>
  <c r="BR1136" i="42"/>
  <c r="BS1136" i="42"/>
  <c r="BT1136" i="42"/>
  <c r="CG1644" i="42"/>
  <c r="A1644" i="42" s="1"/>
  <c r="CH1644" i="42"/>
  <c r="CI1644" i="42"/>
  <c r="CJ1644" i="42"/>
  <c r="BI925" i="42"/>
  <c r="A925" i="42" s="1"/>
  <c r="BJ925" i="42"/>
  <c r="BK925" i="42"/>
  <c r="BL925" i="42"/>
  <c r="AT582" i="42"/>
  <c r="AU582" i="42"/>
  <c r="AV582" i="42"/>
  <c r="AS582" i="42"/>
  <c r="A582" i="42" s="1"/>
  <c r="AC186" i="42"/>
  <c r="A186" i="42" s="1"/>
  <c r="AD186" i="42"/>
  <c r="AE186" i="42"/>
  <c r="AF186" i="42"/>
  <c r="AK334" i="42"/>
  <c r="A334" i="42" s="1"/>
  <c r="AL334" i="42"/>
  <c r="AM334" i="42"/>
  <c r="AN334" i="42"/>
  <c r="BR1209" i="42"/>
  <c r="BS1209" i="42"/>
  <c r="BT1209" i="42"/>
  <c r="BQ1209" i="42"/>
  <c r="A1209" i="42" s="1"/>
  <c r="BA799" i="42"/>
  <c r="A799" i="42" s="1"/>
  <c r="BB799" i="42"/>
  <c r="BC799" i="42"/>
  <c r="BD799" i="42"/>
  <c r="BI941" i="42"/>
  <c r="A941" i="42" s="1"/>
  <c r="BJ941" i="42"/>
  <c r="BK941" i="42"/>
  <c r="BL941" i="42"/>
  <c r="AT510" i="42"/>
  <c r="AU510" i="42"/>
  <c r="AV510" i="42"/>
  <c r="AS510" i="42"/>
  <c r="A510" i="42" s="1"/>
  <c r="BQ1256" i="42"/>
  <c r="A1256" i="42" s="1"/>
  <c r="BR1256" i="42"/>
  <c r="BS1256" i="42"/>
  <c r="BT1256" i="42"/>
  <c r="BI961" i="42"/>
  <c r="A961" i="42" s="1"/>
  <c r="BJ961" i="42"/>
  <c r="BK961" i="42"/>
  <c r="BL961" i="42"/>
  <c r="AS557" i="42"/>
  <c r="A557" i="42" s="1"/>
  <c r="AT557" i="42"/>
  <c r="AU557" i="42"/>
  <c r="AV557" i="42"/>
  <c r="BY1435" i="42"/>
  <c r="A1435" i="42" s="1"/>
  <c r="BZ1435" i="42"/>
  <c r="CA1435" i="42"/>
  <c r="CB1435" i="42"/>
  <c r="AC199" i="42"/>
  <c r="A199" i="42" s="1"/>
  <c r="AD199" i="42"/>
  <c r="AE199" i="42"/>
  <c r="AF199" i="42"/>
  <c r="BQ1188" i="42"/>
  <c r="A1188" i="42" s="1"/>
  <c r="BR1188" i="42"/>
  <c r="BS1188" i="42"/>
  <c r="BT1188" i="42"/>
  <c r="B216" i="39"/>
  <c r="BA879" i="42" l="1"/>
  <c r="A879" i="42" s="1"/>
  <c r="AL426" i="42"/>
  <c r="AN426" i="42"/>
  <c r="AM426" i="42"/>
  <c r="BD842" i="42"/>
  <c r="BC842" i="42"/>
  <c r="BT1258" i="42"/>
  <c r="BQ1258" i="42"/>
  <c r="A1258" i="42" s="1"/>
  <c r="BR1258" i="42"/>
  <c r="BB842" i="42"/>
  <c r="BI1050" i="42"/>
  <c r="A1050" i="42" s="1"/>
  <c r="AV634" i="42"/>
  <c r="BL1050" i="42"/>
  <c r="AU634" i="42"/>
  <c r="AS634" i="42"/>
  <c r="A634" i="42" s="1"/>
  <c r="BK1050" i="42"/>
  <c r="BI1049" i="42"/>
  <c r="A1049" i="42" s="1"/>
  <c r="BC841" i="42"/>
  <c r="BJ1049" i="42"/>
  <c r="AU633" i="42"/>
  <c r="CI1673" i="42"/>
  <c r="CH1673" i="42"/>
  <c r="CJ1673" i="42"/>
  <c r="BL1049" i="42"/>
  <c r="BB841" i="42"/>
  <c r="BD841" i="42"/>
  <c r="AN461" i="42"/>
  <c r="AM425" i="42"/>
  <c r="AL425" i="42"/>
  <c r="AK425" i="42"/>
  <c r="A425" i="42" s="1"/>
  <c r="AV669" i="42"/>
  <c r="AL461" i="42"/>
  <c r="AK461" i="42"/>
  <c r="A461" i="42" s="1"/>
  <c r="AS633" i="42"/>
  <c r="A633" i="42" s="1"/>
  <c r="AV633" i="42"/>
  <c r="CA1465" i="42"/>
  <c r="CB1465" i="42"/>
  <c r="BQ1257" i="42"/>
  <c r="A1257" i="42" s="1"/>
  <c r="BS1257" i="42"/>
  <c r="BZ1465" i="42"/>
  <c r="BR1257" i="42"/>
  <c r="AT669" i="42"/>
  <c r="AS669" i="42"/>
  <c r="A669" i="42" s="1"/>
  <c r="BS1293" i="42"/>
  <c r="BT1293" i="42"/>
  <c r="BR1293" i="42"/>
  <c r="CB1501" i="42"/>
  <c r="CA1501" i="42"/>
  <c r="BZ1501" i="42"/>
  <c r="BL1085" i="42"/>
  <c r="AE253" i="42"/>
  <c r="BK1085" i="42"/>
  <c r="BI1085" i="42"/>
  <c r="A1085" i="42" s="1"/>
  <c r="BA877" i="42"/>
  <c r="A877" i="42" s="1"/>
  <c r="AF253" i="42"/>
  <c r="BD877" i="42"/>
  <c r="BC877" i="42"/>
  <c r="AM463" i="42"/>
  <c r="AD253" i="42"/>
  <c r="AL463" i="42"/>
  <c r="AK463" i="42"/>
  <c r="A463" i="42" s="1"/>
  <c r="CI1711" i="42"/>
  <c r="BJ1087" i="42"/>
  <c r="BI1087" i="42"/>
  <c r="A1087" i="42" s="1"/>
  <c r="CJ1711" i="42"/>
  <c r="CA1512" i="42"/>
  <c r="AE255" i="42"/>
  <c r="AF255" i="42"/>
  <c r="AD255" i="42"/>
  <c r="BB805" i="42"/>
  <c r="BA805" i="42"/>
  <c r="A805" i="42" s="1"/>
  <c r="BK1082" i="42"/>
  <c r="BD805" i="42"/>
  <c r="BL1082" i="42"/>
  <c r="BT1295" i="42"/>
  <c r="BC880" i="42"/>
  <c r="BQ1280" i="42"/>
  <c r="A1280" i="42" s="1"/>
  <c r="BJ1082" i="42"/>
  <c r="CA1503" i="42"/>
  <c r="BQ1295" i="42"/>
  <c r="A1295" i="42" s="1"/>
  <c r="BY1503" i="42"/>
  <c r="A1503" i="42" s="1"/>
  <c r="AV672" i="42"/>
  <c r="BZ1503" i="42"/>
  <c r="AS672" i="42"/>
  <c r="A672" i="42" s="1"/>
  <c r="CH1711" i="42"/>
  <c r="CB1512" i="42"/>
  <c r="BY1512" i="42"/>
  <c r="A1512" i="42" s="1"/>
  <c r="BR1296" i="42"/>
  <c r="AU680" i="42"/>
  <c r="AK464" i="42"/>
  <c r="A464" i="42" s="1"/>
  <c r="BT1296" i="42"/>
  <c r="BQ1296" i="42"/>
  <c r="A1296" i="42" s="1"/>
  <c r="BQ1304" i="42"/>
  <c r="A1304" i="42" s="1"/>
  <c r="AT680" i="42"/>
  <c r="BS1295" i="42"/>
  <c r="BD879" i="42"/>
  <c r="BB879" i="42"/>
  <c r="BL1088" i="42"/>
  <c r="BC888" i="42"/>
  <c r="BA888" i="42"/>
  <c r="A888" i="42" s="1"/>
  <c r="AU671" i="42"/>
  <c r="AT671" i="42"/>
  <c r="BZ1504" i="42"/>
  <c r="BY1504" i="42"/>
  <c r="A1504" i="42" s="1"/>
  <c r="AS671" i="42"/>
  <c r="A671" i="42" s="1"/>
  <c r="AN464" i="42"/>
  <c r="AM464" i="42"/>
  <c r="AF193" i="42"/>
  <c r="BA817" i="42"/>
  <c r="A817" i="42" s="1"/>
  <c r="BC817" i="42"/>
  <c r="AV680" i="42"/>
  <c r="AS666" i="42"/>
  <c r="A666" i="42" s="1"/>
  <c r="BK1088" i="42"/>
  <c r="AU672" i="42"/>
  <c r="BR1304" i="42"/>
  <c r="BI1088" i="42"/>
  <c r="A1088" i="42" s="1"/>
  <c r="AF256" i="42"/>
  <c r="AT666" i="42"/>
  <c r="AD256" i="42"/>
  <c r="AD193" i="42"/>
  <c r="BA880" i="42"/>
  <c r="A880" i="42" s="1"/>
  <c r="BT1304" i="42"/>
  <c r="BB880" i="42"/>
  <c r="AE256" i="42"/>
  <c r="AM472" i="42"/>
  <c r="AL472" i="42"/>
  <c r="AN472" i="42"/>
  <c r="BL1096" i="42"/>
  <c r="BJ1044" i="42"/>
  <c r="CA1460" i="42"/>
  <c r="CB1504" i="42"/>
  <c r="CJ1712" i="42"/>
  <c r="CH1712" i="42"/>
  <c r="CG1712" i="42"/>
  <c r="A1712" i="42" s="1"/>
  <c r="CB1460" i="42"/>
  <c r="BZ1429" i="42"/>
  <c r="AN397" i="42"/>
  <c r="BY1429" i="42"/>
  <c r="A1429" i="42" s="1"/>
  <c r="AK397" i="42"/>
  <c r="A397" i="42" s="1"/>
  <c r="CA1359" i="42"/>
  <c r="AF212" i="42"/>
  <c r="CJ1646" i="42"/>
  <c r="AE212" i="42"/>
  <c r="CI1646" i="42"/>
  <c r="BL1087" i="42"/>
  <c r="BB888" i="42"/>
  <c r="AD212" i="42"/>
  <c r="CG1646" i="42"/>
  <c r="A1646" i="42" s="1"/>
  <c r="BR1280" i="42"/>
  <c r="BL1045" i="42"/>
  <c r="BI1044" i="42"/>
  <c r="A1044" i="42" s="1"/>
  <c r="AC165" i="42"/>
  <c r="A165" i="42" s="1"/>
  <c r="CI1720" i="42"/>
  <c r="AL458" i="42"/>
  <c r="CB1438" i="42"/>
  <c r="AM409" i="42"/>
  <c r="CJ1720" i="42"/>
  <c r="BB864" i="42"/>
  <c r="AF250" i="42"/>
  <c r="AN458" i="42"/>
  <c r="CH1720" i="42"/>
  <c r="BD864" i="42"/>
  <c r="AM458" i="42"/>
  <c r="AC250" i="42"/>
  <c r="A250" i="42" s="1"/>
  <c r="AK409" i="42"/>
  <c r="A409" i="42" s="1"/>
  <c r="BC864" i="42"/>
  <c r="AD213" i="42"/>
  <c r="BA803" i="42"/>
  <c r="A803" i="42" s="1"/>
  <c r="AE264" i="42"/>
  <c r="AD264" i="42"/>
  <c r="AF264" i="42"/>
  <c r="BL1044" i="42"/>
  <c r="CB1351" i="42"/>
  <c r="AN409" i="42"/>
  <c r="AC213" i="42"/>
  <c r="A213" i="42" s="1"/>
  <c r="AE250" i="42"/>
  <c r="AE213" i="42"/>
  <c r="BY1460" i="42"/>
  <c r="A1460" i="42" s="1"/>
  <c r="BK1096" i="42"/>
  <c r="CI1706" i="42"/>
  <c r="BT1290" i="42"/>
  <c r="BS1290" i="42"/>
  <c r="BJ1096" i="42"/>
  <c r="BR1290" i="42"/>
  <c r="CA1438" i="42"/>
  <c r="BZ1438" i="42"/>
  <c r="CH1629" i="42"/>
  <c r="CG1706" i="42"/>
  <c r="A1706" i="42" s="1"/>
  <c r="CJ1706" i="42"/>
  <c r="AV606" i="42"/>
  <c r="AU606" i="42"/>
  <c r="AS606" i="42"/>
  <c r="A606" i="42" s="1"/>
  <c r="BZ1498" i="42"/>
  <c r="BC803" i="42"/>
  <c r="BQ1221" i="42"/>
  <c r="A1221" i="42" s="1"/>
  <c r="BT1221" i="42"/>
  <c r="BR1221" i="42"/>
  <c r="AN311" i="42"/>
  <c r="AK382" i="42"/>
  <c r="A382" i="42" s="1"/>
  <c r="D259" i="10"/>
  <c r="O69" i="67"/>
  <c r="CJ1657" i="42"/>
  <c r="AF165" i="42"/>
  <c r="BT1241" i="42"/>
  <c r="BS1241" i="42"/>
  <c r="CH1659" i="42"/>
  <c r="CJ1669" i="42"/>
  <c r="CI1669" i="42"/>
  <c r="CG1669" i="42"/>
  <c r="A1669" i="42" s="1"/>
  <c r="BJ1045" i="42"/>
  <c r="BI1045" i="42"/>
  <c r="A1045" i="42" s="1"/>
  <c r="BT1219" i="42"/>
  <c r="BL1025" i="42"/>
  <c r="BS1219" i="42"/>
  <c r="BR1219" i="42"/>
  <c r="AN389" i="42"/>
  <c r="CB1413" i="42"/>
  <c r="AM389" i="42"/>
  <c r="BT1252" i="42"/>
  <c r="BZ1413" i="42"/>
  <c r="AV595" i="42"/>
  <c r="AK389" i="42"/>
  <c r="A389" i="42" s="1"/>
  <c r="BQ1253" i="42"/>
  <c r="A1253" i="42" s="1"/>
  <c r="BS1252" i="42"/>
  <c r="BR1252" i="42"/>
  <c r="AT595" i="42"/>
  <c r="BT1253" i="42"/>
  <c r="CG1680" i="42"/>
  <c r="A1680" i="42" s="1"/>
  <c r="BY1413" i="42"/>
  <c r="A1413" i="42" s="1"/>
  <c r="AS482" i="42"/>
  <c r="A482" i="42" s="1"/>
  <c r="AV482" i="42"/>
  <c r="AS595" i="42"/>
  <c r="A595" i="42" s="1"/>
  <c r="CB1427" i="42"/>
  <c r="BS1253" i="42"/>
  <c r="CA1427" i="42"/>
  <c r="AL373" i="42"/>
  <c r="BT1280" i="42"/>
  <c r="CB1429" i="42"/>
  <c r="CB1359" i="42"/>
  <c r="BR1241" i="42"/>
  <c r="AV519" i="42"/>
  <c r="AU519" i="42"/>
  <c r="AT519" i="42"/>
  <c r="CJ1659" i="42"/>
  <c r="CI1659" i="42"/>
  <c r="BJ1072" i="42"/>
  <c r="BL1072" i="42"/>
  <c r="BK1072" i="42"/>
  <c r="AC193" i="42"/>
  <c r="A193" i="42" s="1"/>
  <c r="BZ1427" i="42"/>
  <c r="BA836" i="42"/>
  <c r="A836" i="42" s="1"/>
  <c r="AL382" i="42"/>
  <c r="AV666" i="42"/>
  <c r="CJ1668" i="42"/>
  <c r="AL311" i="42"/>
  <c r="CI1668" i="42"/>
  <c r="CB1461" i="42"/>
  <c r="AM311" i="42"/>
  <c r="CH1668" i="42"/>
  <c r="CA1461" i="42"/>
  <c r="BZ1461" i="42"/>
  <c r="AV628" i="42"/>
  <c r="AV597" i="42"/>
  <c r="AU628" i="42"/>
  <c r="AU597" i="42"/>
  <c r="AT628" i="42"/>
  <c r="AT597" i="42"/>
  <c r="BC837" i="42"/>
  <c r="AC181" i="42"/>
  <c r="A181" i="42" s="1"/>
  <c r="AF190" i="42"/>
  <c r="BL1013" i="42"/>
  <c r="BK1013" i="42"/>
  <c r="BJ1013" i="42"/>
  <c r="AF179" i="42"/>
  <c r="AE179" i="42"/>
  <c r="BD874" i="42"/>
  <c r="BC874" i="42"/>
  <c r="AD179" i="42"/>
  <c r="AM387" i="42"/>
  <c r="BT1143" i="42"/>
  <c r="AL387" i="42"/>
  <c r="BB874" i="42"/>
  <c r="BY1351" i="42"/>
  <c r="A1351" i="42" s="1"/>
  <c r="AN387" i="42"/>
  <c r="BY1498" i="42"/>
  <c r="A1498" i="42" s="1"/>
  <c r="BB803" i="42"/>
  <c r="AF103" i="42"/>
  <c r="CB1498" i="42"/>
  <c r="AF181" i="42"/>
  <c r="BB837" i="42"/>
  <c r="BB836" i="42"/>
  <c r="AE181" i="42"/>
  <c r="BA837" i="42"/>
  <c r="A837" i="42" s="1"/>
  <c r="BD836" i="42"/>
  <c r="AV629" i="42"/>
  <c r="AD190" i="42"/>
  <c r="AT629" i="42"/>
  <c r="AC190" i="42"/>
  <c r="A190" i="42" s="1"/>
  <c r="AS629" i="42"/>
  <c r="A629" i="42" s="1"/>
  <c r="AK421" i="42"/>
  <c r="A421" i="42" s="1"/>
  <c r="BZ1351" i="42"/>
  <c r="BB825" i="42"/>
  <c r="BA825" i="42"/>
  <c r="A825" i="42" s="1"/>
  <c r="BD825" i="42"/>
  <c r="AF240" i="42"/>
  <c r="AE240" i="42"/>
  <c r="AD240" i="42"/>
  <c r="AV581" i="42"/>
  <c r="AS581" i="42"/>
  <c r="A581" i="42" s="1"/>
  <c r="BT1230" i="42"/>
  <c r="BS1230" i="42"/>
  <c r="CJ1637" i="42"/>
  <c r="BR1230" i="42"/>
  <c r="CI1637" i="42"/>
  <c r="CH1637" i="42"/>
  <c r="AL421" i="42"/>
  <c r="BD814" i="42"/>
  <c r="AM398" i="42"/>
  <c r="BB814" i="42"/>
  <c r="AK398" i="42"/>
  <c r="A398" i="42" s="1"/>
  <c r="BA814" i="42"/>
  <c r="A814" i="42" s="1"/>
  <c r="AN398" i="42"/>
  <c r="AN421" i="42"/>
  <c r="BK1033" i="42"/>
  <c r="BJ1033" i="42"/>
  <c r="CG1629" i="42"/>
  <c r="A1629" i="42" s="1"/>
  <c r="AV656" i="42"/>
  <c r="AU656" i="42"/>
  <c r="AS656" i="42"/>
  <c r="A656" i="42" s="1"/>
  <c r="CB1488" i="42"/>
  <c r="AN448" i="42"/>
  <c r="AM448" i="42"/>
  <c r="AN401" i="42"/>
  <c r="CA1441" i="42"/>
  <c r="AK448" i="42"/>
  <c r="A448" i="42" s="1"/>
  <c r="CA1488" i="42"/>
  <c r="AM401" i="42"/>
  <c r="BZ1488" i="42"/>
  <c r="CB1449" i="42"/>
  <c r="CA1449" i="42"/>
  <c r="CH1657" i="42"/>
  <c r="CI1657" i="42"/>
  <c r="BY1449" i="42"/>
  <c r="A1449" i="42" s="1"/>
  <c r="BT1233" i="42"/>
  <c r="BS1233" i="42"/>
  <c r="BQ1233" i="42"/>
  <c r="A1233" i="42" s="1"/>
  <c r="CI1635" i="42"/>
  <c r="CG1621" i="42"/>
  <c r="A1621" i="42" s="1"/>
  <c r="CH1635" i="42"/>
  <c r="CJ1635" i="42"/>
  <c r="BL1020" i="42"/>
  <c r="AU617" i="42"/>
  <c r="BQ1205" i="42"/>
  <c r="A1205" i="42" s="1"/>
  <c r="BD812" i="42"/>
  <c r="AT617" i="42"/>
  <c r="BT1205" i="42"/>
  <c r="AS617" i="42"/>
  <c r="A617" i="42" s="1"/>
  <c r="BL1011" i="42"/>
  <c r="BS1205" i="42"/>
  <c r="BC812" i="42"/>
  <c r="CJ1559" i="42"/>
  <c r="BB812" i="42"/>
  <c r="BK1011" i="42"/>
  <c r="BI1033" i="42"/>
  <c r="A1033" i="42" s="1"/>
  <c r="CI1559" i="42"/>
  <c r="BJ1011" i="42"/>
  <c r="CH1559" i="42"/>
  <c r="AE201" i="42"/>
  <c r="AC201" i="42"/>
  <c r="A201" i="42" s="1"/>
  <c r="AF201" i="42"/>
  <c r="BB727" i="42"/>
  <c r="BA727" i="42"/>
  <c r="A727" i="42" s="1"/>
  <c r="BD727" i="42"/>
  <c r="BK1025" i="42"/>
  <c r="AT609" i="42"/>
  <c r="BJ1025" i="42"/>
  <c r="AS609" i="42"/>
  <c r="A609" i="42" s="1"/>
  <c r="BB789" i="42"/>
  <c r="AU609" i="42"/>
  <c r="CJ1649" i="42"/>
  <c r="BD789" i="42"/>
  <c r="AN373" i="42"/>
  <c r="BC789" i="42"/>
  <c r="AM373" i="42"/>
  <c r="CI1649" i="42"/>
  <c r="CG1649" i="42"/>
  <c r="A1649" i="42" s="1"/>
  <c r="CJ1629" i="42"/>
  <c r="BT1214" i="42"/>
  <c r="BS1214" i="42"/>
  <c r="CJ1621" i="42"/>
  <c r="CH1621" i="42"/>
  <c r="BR1214" i="42"/>
  <c r="AE165" i="42"/>
  <c r="BL935" i="42"/>
  <c r="BK935" i="42"/>
  <c r="BS1143" i="42"/>
  <c r="BQ1143" i="42"/>
  <c r="A1143" i="42" s="1"/>
  <c r="AK411" i="42"/>
  <c r="A411" i="42" s="1"/>
  <c r="AL401" i="42"/>
  <c r="BJ935" i="42"/>
  <c r="AL411" i="42"/>
  <c r="BB817" i="42"/>
  <c r="AU581" i="42"/>
  <c r="AD103" i="42"/>
  <c r="CB1441" i="42"/>
  <c r="AC103" i="42"/>
  <c r="A103" i="42" s="1"/>
  <c r="AN382" i="42"/>
  <c r="BZ1441" i="42"/>
  <c r="BT1264" i="42"/>
  <c r="BS1264" i="42"/>
  <c r="AL467" i="42"/>
  <c r="BR1264" i="42"/>
  <c r="BT1228" i="42"/>
  <c r="BS1228" i="42"/>
  <c r="BR1228" i="42"/>
  <c r="AU643" i="42"/>
  <c r="AT643" i="42"/>
  <c r="AS605" i="42"/>
  <c r="A605" i="42" s="1"/>
  <c r="AM432" i="42"/>
  <c r="AL432" i="42"/>
  <c r="AN432" i="42"/>
  <c r="CJ1683" i="42"/>
  <c r="CI1683" i="42"/>
  <c r="BC848" i="42"/>
  <c r="CH1683" i="42"/>
  <c r="BY1489" i="42"/>
  <c r="A1489" i="42" s="1"/>
  <c r="CB1489" i="42"/>
  <c r="AV605" i="42"/>
  <c r="BC773" i="42"/>
  <c r="AU605" i="42"/>
  <c r="CA1489" i="42"/>
  <c r="BB848" i="42"/>
  <c r="BD848" i="42"/>
  <c r="AS485" i="42"/>
  <c r="A485" i="42" s="1"/>
  <c r="AK378" i="42"/>
  <c r="A378" i="42" s="1"/>
  <c r="BD798" i="42"/>
  <c r="BB798" i="42"/>
  <c r="BC798" i="42"/>
  <c r="BS1267" i="42"/>
  <c r="BR1267" i="42"/>
  <c r="AV604" i="42"/>
  <c r="BL1075" i="42"/>
  <c r="AU604" i="42"/>
  <c r="AS604" i="42"/>
  <c r="A604" i="42" s="1"/>
  <c r="AL449" i="42"/>
  <c r="CJ1630" i="42"/>
  <c r="AM449" i="42"/>
  <c r="CG1630" i="42"/>
  <c r="A1630" i="42" s="1"/>
  <c r="BB813" i="42"/>
  <c r="BC813" i="42"/>
  <c r="BY1444" i="42"/>
  <c r="A1444" i="42" s="1"/>
  <c r="BZ1436" i="42"/>
  <c r="BR1236" i="42"/>
  <c r="BS1236" i="42"/>
  <c r="CA1436" i="42"/>
  <c r="BY1436" i="42"/>
  <c r="A1436" i="42" s="1"/>
  <c r="BQ1236" i="42"/>
  <c r="A1236" i="42" s="1"/>
  <c r="AN411" i="42"/>
  <c r="BL1005" i="42"/>
  <c r="BD865" i="42"/>
  <c r="BK1005" i="42"/>
  <c r="BJ1005" i="42"/>
  <c r="AF189" i="42"/>
  <c r="AE66" i="42"/>
  <c r="CB1422" i="42"/>
  <c r="AD66" i="42"/>
  <c r="CA1422" i="42"/>
  <c r="BY1422" i="42"/>
  <c r="A1422" i="42" s="1"/>
  <c r="AC66" i="42"/>
  <c r="A66" i="42" s="1"/>
  <c r="BI1035" i="42"/>
  <c r="A1035" i="42" s="1"/>
  <c r="AD188" i="42"/>
  <c r="AE189" i="42"/>
  <c r="AD189" i="42"/>
  <c r="BL1035" i="42"/>
  <c r="AF188" i="42"/>
  <c r="AE188" i="42"/>
  <c r="BL1059" i="42"/>
  <c r="AL381" i="42"/>
  <c r="BA690" i="42"/>
  <c r="A690" i="42" s="1"/>
  <c r="AM381" i="42"/>
  <c r="BL983" i="42"/>
  <c r="BK983" i="42"/>
  <c r="AF173" i="42"/>
  <c r="BI983" i="42"/>
  <c r="A983" i="42" s="1"/>
  <c r="BL898" i="42"/>
  <c r="BI898" i="42"/>
  <c r="A898" i="42" s="1"/>
  <c r="AN319" i="42"/>
  <c r="AM319" i="42"/>
  <c r="AL319" i="42"/>
  <c r="AS640" i="42"/>
  <c r="A640" i="42" s="1"/>
  <c r="AE241" i="42"/>
  <c r="AU612" i="42"/>
  <c r="CJ1652" i="42"/>
  <c r="BA820" i="42"/>
  <c r="A820" i="42" s="1"/>
  <c r="CI1652" i="42"/>
  <c r="CH1652" i="42"/>
  <c r="AV619" i="42"/>
  <c r="BC851" i="42"/>
  <c r="BB851" i="42"/>
  <c r="AU619" i="42"/>
  <c r="BD851" i="42"/>
  <c r="AE203" i="42"/>
  <c r="BK1035" i="42"/>
  <c r="AU589" i="42"/>
  <c r="AD203" i="42"/>
  <c r="AT589" i="42"/>
  <c r="BC735" i="42"/>
  <c r="AV640" i="42"/>
  <c r="AN449" i="42"/>
  <c r="BB735" i="42"/>
  <c r="AU640" i="42"/>
  <c r="AM396" i="42"/>
  <c r="BL1021" i="42"/>
  <c r="BK1021" i="42"/>
  <c r="BI1021" i="42"/>
  <c r="A1021" i="42" s="1"/>
  <c r="AN396" i="42"/>
  <c r="AL396" i="42"/>
  <c r="AT659" i="42"/>
  <c r="AS659" i="42"/>
  <c r="A659" i="42" s="1"/>
  <c r="BC827" i="42"/>
  <c r="BB827" i="42"/>
  <c r="BD827" i="42"/>
  <c r="CJ1645" i="42"/>
  <c r="CI1645" i="42"/>
  <c r="CH1645" i="42"/>
  <c r="AC241" i="42"/>
  <c r="A241" i="42" s="1"/>
  <c r="BC690" i="42"/>
  <c r="BK898" i="42"/>
  <c r="AD241" i="42"/>
  <c r="BD690" i="42"/>
  <c r="AL451" i="42"/>
  <c r="AN381" i="42"/>
  <c r="AV612" i="42"/>
  <c r="AT612" i="42"/>
  <c r="AF224" i="42"/>
  <c r="CH1630" i="42"/>
  <c r="BL1028" i="42"/>
  <c r="AD173" i="42"/>
  <c r="AL435" i="42"/>
  <c r="BJ1059" i="42"/>
  <c r="BK1059" i="42"/>
  <c r="AE224" i="42"/>
  <c r="BK1028" i="42"/>
  <c r="AC173" i="42"/>
  <c r="A173" i="42" s="1"/>
  <c r="AN435" i="42"/>
  <c r="BJ1028" i="42"/>
  <c r="AM404" i="42"/>
  <c r="BB820" i="42"/>
  <c r="BL1006" i="42"/>
  <c r="BK1006" i="42"/>
  <c r="BD820" i="42"/>
  <c r="CB1421" i="42"/>
  <c r="AD224" i="42"/>
  <c r="BI1006" i="42"/>
  <c r="A1006" i="42" s="1"/>
  <c r="AT567" i="42"/>
  <c r="CA1421" i="42"/>
  <c r="AS567" i="42"/>
  <c r="A567" i="42" s="1"/>
  <c r="BY1421" i="42"/>
  <c r="A1421" i="42" s="1"/>
  <c r="AM397" i="42"/>
  <c r="AV589" i="42"/>
  <c r="AT619" i="42"/>
  <c r="BI1060" i="42"/>
  <c r="A1060" i="42" s="1"/>
  <c r="BT1267" i="42"/>
  <c r="AL436" i="42"/>
  <c r="BC865" i="42"/>
  <c r="AK436" i="42"/>
  <c r="A436" i="42" s="1"/>
  <c r="AL404" i="42"/>
  <c r="CA1314" i="42"/>
  <c r="AK404" i="42"/>
  <c r="A404" i="42" s="1"/>
  <c r="BC766" i="42"/>
  <c r="CB1314" i="42"/>
  <c r="AS643" i="42"/>
  <c r="A643" i="42" s="1"/>
  <c r="BS1229" i="42"/>
  <c r="BI1020" i="42"/>
  <c r="A1020" i="42" s="1"/>
  <c r="BR1229" i="42"/>
  <c r="AF76" i="42"/>
  <c r="CA1475" i="42"/>
  <c r="AK467" i="42"/>
  <c r="A467" i="42" s="1"/>
  <c r="BJ1020" i="42"/>
  <c r="AF174" i="42"/>
  <c r="BS1243" i="42"/>
  <c r="AE76" i="42"/>
  <c r="AT644" i="42"/>
  <c r="BA813" i="42"/>
  <c r="A813" i="42" s="1"/>
  <c r="AE174" i="42"/>
  <c r="AV657" i="42"/>
  <c r="BQ1229" i="42"/>
  <c r="A1229" i="42" s="1"/>
  <c r="AU657" i="42"/>
  <c r="BI989" i="42"/>
  <c r="A989" i="42" s="1"/>
  <c r="AT657" i="42"/>
  <c r="AD170" i="42"/>
  <c r="AE227" i="42"/>
  <c r="BL1056" i="42"/>
  <c r="CB1444" i="42"/>
  <c r="CI1567" i="42"/>
  <c r="CA1444" i="42"/>
  <c r="BJ1056" i="42"/>
  <c r="BK1056" i="42"/>
  <c r="BB865" i="42"/>
  <c r="BK1073" i="42"/>
  <c r="CA1479" i="42"/>
  <c r="AN274" i="42"/>
  <c r="BZ1479" i="42"/>
  <c r="AM274" i="42"/>
  <c r="BY1479" i="42"/>
  <c r="A1479" i="42" s="1"/>
  <c r="AF111" i="42"/>
  <c r="BZ1437" i="42"/>
  <c r="AK274" i="42"/>
  <c r="A274" i="42" s="1"/>
  <c r="AD111" i="42"/>
  <c r="AE111" i="42"/>
  <c r="BY1437" i="42"/>
  <c r="A1437" i="42" s="1"/>
  <c r="CA1451" i="42"/>
  <c r="CB1437" i="42"/>
  <c r="BZ1451" i="42"/>
  <c r="BY1451" i="42"/>
  <c r="A1451" i="42" s="1"/>
  <c r="BS1151" i="42"/>
  <c r="AD76" i="42"/>
  <c r="AC228" i="42"/>
  <c r="A228" i="42" s="1"/>
  <c r="AF227" i="42"/>
  <c r="BL1073" i="42"/>
  <c r="AC203" i="42"/>
  <c r="A203" i="42" s="1"/>
  <c r="AD227" i="42"/>
  <c r="BI1073" i="42"/>
  <c r="A1073" i="42" s="1"/>
  <c r="BZ1475" i="42"/>
  <c r="BQ1213" i="42"/>
  <c r="A1213" i="42" s="1"/>
  <c r="BY1475" i="42"/>
  <c r="A1475" i="42" s="1"/>
  <c r="BT1243" i="42"/>
  <c r="CJ1684" i="42"/>
  <c r="BT1213" i="42"/>
  <c r="BC778" i="42"/>
  <c r="BQ1281" i="42"/>
  <c r="A1281" i="42" s="1"/>
  <c r="BS1213" i="42"/>
  <c r="CG1522" i="42"/>
  <c r="A1522" i="42" s="1"/>
  <c r="BR1243" i="42"/>
  <c r="BT1281" i="42"/>
  <c r="CJ1697" i="42"/>
  <c r="CH1684" i="42"/>
  <c r="AM357" i="42"/>
  <c r="CI1684" i="42"/>
  <c r="CJ1522" i="42"/>
  <c r="BS1281" i="42"/>
  <c r="CI1697" i="42"/>
  <c r="CI1634" i="42"/>
  <c r="CI1522" i="42"/>
  <c r="CH1697" i="42"/>
  <c r="BZ1418" i="42"/>
  <c r="BZ1399" i="42"/>
  <c r="BS1262" i="42"/>
  <c r="BY1399" i="42"/>
  <c r="A1399" i="42" s="1"/>
  <c r="AD228" i="42"/>
  <c r="BR1262" i="42"/>
  <c r="CJ1567" i="42"/>
  <c r="BA766" i="42"/>
  <c r="A766" i="42" s="1"/>
  <c r="CH1567" i="42"/>
  <c r="AN436" i="42"/>
  <c r="AU644" i="42"/>
  <c r="BZ1359" i="42"/>
  <c r="BQ1111" i="42"/>
  <c r="A1111" i="42" s="1"/>
  <c r="BJ1060" i="42"/>
  <c r="AU482" i="42"/>
  <c r="CJ1680" i="42"/>
  <c r="BZ1314" i="42"/>
  <c r="CI1680" i="42"/>
  <c r="AC174" i="42"/>
  <c r="A174" i="42" s="1"/>
  <c r="BT1106" i="42"/>
  <c r="BB852" i="42"/>
  <c r="AU527" i="42"/>
  <c r="BS1106" i="42"/>
  <c r="BD852" i="42"/>
  <c r="AT527" i="42"/>
  <c r="AV527" i="42"/>
  <c r="BR1106" i="42"/>
  <c r="BC852" i="42"/>
  <c r="BQ1283" i="42"/>
  <c r="A1283" i="42" s="1"/>
  <c r="AS590" i="42"/>
  <c r="A590" i="42" s="1"/>
  <c r="CI1678" i="42"/>
  <c r="AM435" i="42"/>
  <c r="AJ216" i="39"/>
  <c r="AI6" i="39" s="1"/>
  <c r="O26" i="43" s="1"/>
  <c r="AU590" i="42"/>
  <c r="AS644" i="42"/>
  <c r="A644" i="42" s="1"/>
  <c r="BD766" i="42"/>
  <c r="AT590" i="42"/>
  <c r="AM388" i="42"/>
  <c r="AL388" i="42"/>
  <c r="CA1418" i="42"/>
  <c r="BD735" i="42"/>
  <c r="AK388" i="42"/>
  <c r="A388" i="42" s="1"/>
  <c r="BL989" i="42"/>
  <c r="AV567" i="42"/>
  <c r="CB1399" i="42"/>
  <c r="AF178" i="42"/>
  <c r="BA855" i="42"/>
  <c r="A855" i="42" s="1"/>
  <c r="BT1151" i="42"/>
  <c r="AN357" i="42"/>
  <c r="CJ1678" i="42"/>
  <c r="AV558" i="42"/>
  <c r="CH1634" i="42"/>
  <c r="CI1699" i="42"/>
  <c r="BB778" i="42"/>
  <c r="BR1151" i="42"/>
  <c r="BK989" i="42"/>
  <c r="AL357" i="42"/>
  <c r="CH1678" i="42"/>
  <c r="AT558" i="42"/>
  <c r="CG1699" i="42"/>
  <c r="A1699" i="42" s="1"/>
  <c r="CJ1699" i="42"/>
  <c r="BJ943" i="42"/>
  <c r="AF114" i="42"/>
  <c r="BI943" i="42"/>
  <c r="A943" i="42" s="1"/>
  <c r="AF228" i="42"/>
  <c r="AE114" i="42"/>
  <c r="AU558" i="42"/>
  <c r="BL943" i="42"/>
  <c r="AD114" i="42"/>
  <c r="CB1418" i="42"/>
  <c r="BB773" i="42"/>
  <c r="AV485" i="42"/>
  <c r="AU499" i="42"/>
  <c r="BA773" i="42"/>
  <c r="A773" i="42" s="1"/>
  <c r="AU485" i="42"/>
  <c r="AF151" i="42"/>
  <c r="AE151" i="42"/>
  <c r="AD151" i="42"/>
  <c r="BC867" i="42"/>
  <c r="BB867" i="42"/>
  <c r="CB1397" i="42"/>
  <c r="BC785" i="42"/>
  <c r="AC170" i="42"/>
  <c r="A170" i="42" s="1"/>
  <c r="AL362" i="42"/>
  <c r="AK362" i="42"/>
  <c r="A362" i="42" s="1"/>
  <c r="AE170" i="42"/>
  <c r="BD855" i="42"/>
  <c r="AV565" i="42"/>
  <c r="BC855" i="42"/>
  <c r="AM359" i="42"/>
  <c r="BT1268" i="42"/>
  <c r="AL359" i="42"/>
  <c r="AK359" i="42"/>
  <c r="A359" i="42" s="1"/>
  <c r="BS1268" i="42"/>
  <c r="BR1268" i="42"/>
  <c r="BT1283" i="42"/>
  <c r="BS1283" i="42"/>
  <c r="BK1075" i="42"/>
  <c r="BJ1075" i="42"/>
  <c r="BR1191" i="42"/>
  <c r="BQ1191" i="42"/>
  <c r="A1191" i="42" s="1"/>
  <c r="CG1607" i="42"/>
  <c r="A1607" i="42" s="1"/>
  <c r="BS1191" i="42"/>
  <c r="CJ1607" i="42"/>
  <c r="CI1607" i="42"/>
  <c r="BL1063" i="42"/>
  <c r="CB1476" i="42"/>
  <c r="CA1491" i="42"/>
  <c r="AN350" i="42"/>
  <c r="CA1476" i="42"/>
  <c r="AM350" i="42"/>
  <c r="BZ1476" i="42"/>
  <c r="BZ1491" i="42"/>
  <c r="CA1454" i="42"/>
  <c r="AL350" i="42"/>
  <c r="BY1491" i="42"/>
  <c r="A1491" i="42" s="1"/>
  <c r="BJ981" i="42"/>
  <c r="BZ1454" i="42"/>
  <c r="BY1454" i="42"/>
  <c r="A1454" i="42" s="1"/>
  <c r="AF142" i="42"/>
  <c r="AD142" i="42"/>
  <c r="BL1060" i="42"/>
  <c r="BK974" i="42"/>
  <c r="BA867" i="42"/>
  <c r="A867" i="42" s="1"/>
  <c r="AN451" i="42"/>
  <c r="AK451" i="42"/>
  <c r="A451" i="42" s="1"/>
  <c r="AV659" i="42"/>
  <c r="BS1271" i="42"/>
  <c r="AM467" i="42"/>
  <c r="BB785" i="42"/>
  <c r="BA785" i="42"/>
  <c r="A785" i="42" s="1"/>
  <c r="BJ1091" i="42"/>
  <c r="BR1271" i="42"/>
  <c r="BZ1455" i="42"/>
  <c r="BZ1397" i="42"/>
  <c r="AF71" i="42"/>
  <c r="AE71" i="42"/>
  <c r="CA1397" i="42"/>
  <c r="AD71" i="42"/>
  <c r="BK1091" i="42"/>
  <c r="BQ1271" i="42"/>
  <c r="A1271" i="42" s="1"/>
  <c r="BL974" i="42"/>
  <c r="AK279" i="42"/>
  <c r="A279" i="42" s="1"/>
  <c r="AS675" i="42"/>
  <c r="A675" i="42" s="1"/>
  <c r="AU576" i="42"/>
  <c r="CG1598" i="42"/>
  <c r="A1598" i="42" s="1"/>
  <c r="CA1402" i="42"/>
  <c r="BI981" i="42"/>
  <c r="A981" i="42" s="1"/>
  <c r="CG1626" i="42"/>
  <c r="A1626" i="42" s="1"/>
  <c r="CJ1626" i="42"/>
  <c r="AV487" i="42"/>
  <c r="AN369" i="42"/>
  <c r="AU565" i="42"/>
  <c r="AU487" i="42"/>
  <c r="CH1608" i="42"/>
  <c r="CA1356" i="42"/>
  <c r="AM369" i="42"/>
  <c r="BL986" i="42"/>
  <c r="AT487" i="42"/>
  <c r="BZ1356" i="42"/>
  <c r="CJ1598" i="42"/>
  <c r="BK981" i="42"/>
  <c r="AT492" i="42"/>
  <c r="CI1598" i="42"/>
  <c r="CB1356" i="42"/>
  <c r="BK986" i="42"/>
  <c r="BJ986" i="42"/>
  <c r="AE142" i="42"/>
  <c r="AV576" i="42"/>
  <c r="BR1111" i="42"/>
  <c r="CI1641" i="42"/>
  <c r="BY1390" i="42"/>
  <c r="A1390" i="42" s="1"/>
  <c r="CA1390" i="42"/>
  <c r="BZ1390" i="42"/>
  <c r="BY1470" i="42"/>
  <c r="A1470" i="42" s="1"/>
  <c r="BS1111" i="42"/>
  <c r="BI974" i="42"/>
  <c r="A974" i="42" s="1"/>
  <c r="BZ1402" i="42"/>
  <c r="BZ1471" i="42"/>
  <c r="BK940" i="42"/>
  <c r="BL940" i="42"/>
  <c r="BY1402" i="42"/>
  <c r="A1402" i="42" s="1"/>
  <c r="AN277" i="42"/>
  <c r="CB1317" i="42"/>
  <c r="AV492" i="42"/>
  <c r="CG1632" i="42"/>
  <c r="A1632" i="42" s="1"/>
  <c r="AU492" i="42"/>
  <c r="BQ1201" i="42"/>
  <c r="A1201" i="42" s="1"/>
  <c r="AC108" i="42"/>
  <c r="A108" i="42" s="1"/>
  <c r="BK903" i="42"/>
  <c r="AN368" i="42"/>
  <c r="BS1201" i="42"/>
  <c r="BT1182" i="42"/>
  <c r="BJ903" i="42"/>
  <c r="BS1182" i="42"/>
  <c r="BI903" i="42"/>
  <c r="A903" i="42" s="1"/>
  <c r="AU647" i="42"/>
  <c r="BR1182" i="42"/>
  <c r="BD695" i="42"/>
  <c r="AV647" i="42"/>
  <c r="AT647" i="42"/>
  <c r="BB695" i="42"/>
  <c r="BD794" i="42"/>
  <c r="BQ1262" i="42"/>
  <c r="A1262" i="42" s="1"/>
  <c r="CJ1613" i="42"/>
  <c r="BC794" i="42"/>
  <c r="BB794" i="42"/>
  <c r="AF222" i="42"/>
  <c r="BC808" i="42"/>
  <c r="AE222" i="42"/>
  <c r="BA808" i="42"/>
  <c r="A808" i="42" s="1"/>
  <c r="CB1324" i="42"/>
  <c r="AC222" i="42"/>
  <c r="A222" i="42" s="1"/>
  <c r="BZ1324" i="42"/>
  <c r="CJ1605" i="42"/>
  <c r="BY1324" i="42"/>
  <c r="A1324" i="42" s="1"/>
  <c r="AF154" i="42"/>
  <c r="CI1605" i="42"/>
  <c r="BS1189" i="42"/>
  <c r="AE154" i="42"/>
  <c r="AD154" i="42"/>
  <c r="AD231" i="42"/>
  <c r="CH1605" i="42"/>
  <c r="BC784" i="42"/>
  <c r="BD784" i="42"/>
  <c r="BB784" i="42"/>
  <c r="CI1613" i="42"/>
  <c r="AT565" i="42"/>
  <c r="CH1613" i="42"/>
  <c r="BQ1189" i="42"/>
  <c r="A1189" i="42" s="1"/>
  <c r="AF231" i="42"/>
  <c r="BT1189" i="42"/>
  <c r="AE231" i="42"/>
  <c r="BK1063" i="42"/>
  <c r="BJ1063" i="42"/>
  <c r="AS638" i="42"/>
  <c r="A638" i="42" s="1"/>
  <c r="AV638" i="42"/>
  <c r="AM439" i="42"/>
  <c r="AU638" i="42"/>
  <c r="AF161" i="42"/>
  <c r="AE161" i="42"/>
  <c r="AC161" i="42"/>
  <c r="A161" i="42" s="1"/>
  <c r="BA695" i="42"/>
  <c r="A695" i="42" s="1"/>
  <c r="CH1564" i="42"/>
  <c r="AL439" i="42"/>
  <c r="AF176" i="42"/>
  <c r="CG1564" i="42"/>
  <c r="A1564" i="42" s="1"/>
  <c r="AK439" i="42"/>
  <c r="A439" i="42" s="1"/>
  <c r="AE176" i="42"/>
  <c r="AC176" i="42"/>
  <c r="A176" i="42" s="1"/>
  <c r="AE107" i="42"/>
  <c r="AT500" i="42"/>
  <c r="AN342" i="42"/>
  <c r="AV600" i="42"/>
  <c r="AU600" i="42"/>
  <c r="AU540" i="42"/>
  <c r="AS600" i="42"/>
  <c r="A600" i="42" s="1"/>
  <c r="BD883" i="42"/>
  <c r="CB1319" i="42"/>
  <c r="BC883" i="42"/>
  <c r="BD700" i="42"/>
  <c r="BB883" i="42"/>
  <c r="CH1525" i="42"/>
  <c r="AC206" i="42"/>
  <c r="A206" i="42" s="1"/>
  <c r="CJ1596" i="42"/>
  <c r="AF235" i="42"/>
  <c r="CA1507" i="42"/>
  <c r="AV592" i="42"/>
  <c r="BJ901" i="42"/>
  <c r="CJ1527" i="42"/>
  <c r="AT586" i="42"/>
  <c r="BK901" i="42"/>
  <c r="AE235" i="42"/>
  <c r="BZ1507" i="42"/>
  <c r="AU592" i="42"/>
  <c r="BI901" i="42"/>
  <c r="A901" i="42" s="1"/>
  <c r="CI1527" i="42"/>
  <c r="BR1109" i="42"/>
  <c r="AV586" i="42"/>
  <c r="BR1148" i="42"/>
  <c r="BY1507" i="42"/>
  <c r="A1507" i="42" s="1"/>
  <c r="AF118" i="42"/>
  <c r="CH1527" i="42"/>
  <c r="AD235" i="42"/>
  <c r="AC172" i="42"/>
  <c r="A172" i="42" s="1"/>
  <c r="AE118" i="42"/>
  <c r="BL1091" i="42"/>
  <c r="AD118" i="42"/>
  <c r="CB1471" i="42"/>
  <c r="AS622" i="42"/>
  <c r="A622" i="42" s="1"/>
  <c r="BC830" i="42"/>
  <c r="CJ1687" i="42"/>
  <c r="AF259" i="42"/>
  <c r="BY1400" i="42"/>
  <c r="A1400" i="42" s="1"/>
  <c r="AC259" i="42"/>
  <c r="A259" i="42" s="1"/>
  <c r="AU622" i="42"/>
  <c r="CH1687" i="42"/>
  <c r="AN284" i="42"/>
  <c r="BK1002" i="42"/>
  <c r="AN378" i="42"/>
  <c r="CA1319" i="42"/>
  <c r="AV622" i="42"/>
  <c r="BQ1225" i="42"/>
  <c r="A1225" i="42" s="1"/>
  <c r="BL992" i="42"/>
  <c r="CG1687" i="42"/>
  <c r="A1687" i="42" s="1"/>
  <c r="BL950" i="42"/>
  <c r="BJ1002" i="42"/>
  <c r="AM378" i="42"/>
  <c r="BZ1319" i="42"/>
  <c r="CJ1564" i="42"/>
  <c r="BT1225" i="42"/>
  <c r="BK992" i="42"/>
  <c r="AF206" i="42"/>
  <c r="BQ1109" i="42"/>
  <c r="A1109" i="42" s="1"/>
  <c r="BJ950" i="42"/>
  <c r="AK284" i="42"/>
  <c r="A284" i="42" s="1"/>
  <c r="BR1225" i="42"/>
  <c r="BJ992" i="42"/>
  <c r="AE206" i="42"/>
  <c r="BT1109" i="42"/>
  <c r="BI950" i="42"/>
  <c r="A950" i="42" s="1"/>
  <c r="BK933" i="42"/>
  <c r="AF149" i="42"/>
  <c r="AC149" i="42"/>
  <c r="A149" i="42" s="1"/>
  <c r="AE149" i="42"/>
  <c r="AF185" i="42"/>
  <c r="CB1400" i="42"/>
  <c r="BB830" i="42"/>
  <c r="BY1455" i="42"/>
  <c r="A1455" i="42" s="1"/>
  <c r="BQ1148" i="42"/>
  <c r="A1148" i="42" s="1"/>
  <c r="AE185" i="42"/>
  <c r="CA1317" i="42"/>
  <c r="CA1400" i="42"/>
  <c r="BC700" i="42"/>
  <c r="BA830" i="42"/>
  <c r="A830" i="42" s="1"/>
  <c r="CB1455" i="42"/>
  <c r="CH1705" i="42"/>
  <c r="AC185" i="42"/>
  <c r="A185" i="42" s="1"/>
  <c r="BY1317" i="42"/>
  <c r="A1317" i="42" s="1"/>
  <c r="AV675" i="42"/>
  <c r="AT592" i="42"/>
  <c r="AE259" i="42"/>
  <c r="CG1525" i="42"/>
  <c r="A1525" i="42" s="1"/>
  <c r="CI1626" i="42"/>
  <c r="AU675" i="42"/>
  <c r="BL1002" i="42"/>
  <c r="AL277" i="42"/>
  <c r="AF69" i="42"/>
  <c r="BT1216" i="42"/>
  <c r="BQ1216" i="42"/>
  <c r="A1216" i="42" s="1"/>
  <c r="BT1246" i="42"/>
  <c r="AC249" i="42"/>
  <c r="A249" i="42" s="1"/>
  <c r="AE69" i="42"/>
  <c r="BL908" i="42"/>
  <c r="BS1216" i="42"/>
  <c r="AF249" i="42"/>
  <c r="AD69" i="42"/>
  <c r="BK908" i="42"/>
  <c r="BS1246" i="42"/>
  <c r="BR1246" i="42"/>
  <c r="AE249" i="42"/>
  <c r="CJ1715" i="42"/>
  <c r="BI908" i="42"/>
  <c r="A908" i="42" s="1"/>
  <c r="BR1201" i="42"/>
  <c r="BL916" i="42"/>
  <c r="CI1715" i="42"/>
  <c r="CH1715" i="42"/>
  <c r="CJ1653" i="42"/>
  <c r="AV601" i="42"/>
  <c r="BJ1016" i="42"/>
  <c r="CI1653" i="42"/>
  <c r="AU601" i="42"/>
  <c r="BT1224" i="42"/>
  <c r="CH1653" i="42"/>
  <c r="AT601" i="42"/>
  <c r="BS1224" i="42"/>
  <c r="AS618" i="42"/>
  <c r="A618" i="42" s="1"/>
  <c r="BZ1424" i="42"/>
  <c r="BT1148" i="42"/>
  <c r="BR1224" i="42"/>
  <c r="AN279" i="42"/>
  <c r="AU618" i="42"/>
  <c r="AL279" i="42"/>
  <c r="AT524" i="42"/>
  <c r="AM392" i="42"/>
  <c r="AK277" i="42"/>
  <c r="A277" i="42" s="1"/>
  <c r="CJ1525" i="42"/>
  <c r="CB1426" i="42"/>
  <c r="CH1576" i="42"/>
  <c r="BB700" i="42"/>
  <c r="AV524" i="42"/>
  <c r="CB1424" i="42"/>
  <c r="CA1424" i="42"/>
  <c r="AU524" i="42"/>
  <c r="AS586" i="42"/>
  <c r="A586" i="42" s="1"/>
  <c r="BK1016" i="42"/>
  <c r="AD160" i="42"/>
  <c r="AE160" i="42"/>
  <c r="AC160" i="42"/>
  <c r="A160" i="42" s="1"/>
  <c r="AN392" i="42"/>
  <c r="BS1192" i="42"/>
  <c r="BB732" i="42"/>
  <c r="BR1192" i="42"/>
  <c r="BA732" i="42"/>
  <c r="A732" i="42" s="1"/>
  <c r="BD732" i="42"/>
  <c r="AV568" i="42"/>
  <c r="CI1532" i="42"/>
  <c r="AS570" i="42"/>
  <c r="A570" i="42" s="1"/>
  <c r="AT568" i="42"/>
  <c r="AV570" i="42"/>
  <c r="BT1154" i="42"/>
  <c r="AS568" i="42"/>
  <c r="A568" i="42" s="1"/>
  <c r="AU570" i="42"/>
  <c r="BT1194" i="42"/>
  <c r="CJ1640" i="42"/>
  <c r="BS1154" i="42"/>
  <c r="BD707" i="42"/>
  <c r="BD846" i="42"/>
  <c r="BS1194" i="42"/>
  <c r="CI1640" i="42"/>
  <c r="BR1154" i="42"/>
  <c r="BR1194" i="42"/>
  <c r="CH1640" i="42"/>
  <c r="BT1116" i="42"/>
  <c r="BC707" i="42"/>
  <c r="BC846" i="42"/>
  <c r="BB707" i="42"/>
  <c r="BB846" i="42"/>
  <c r="BS1116" i="42"/>
  <c r="BR1116" i="42"/>
  <c r="BQ1197" i="42"/>
  <c r="A1197" i="42" s="1"/>
  <c r="CI1617" i="42"/>
  <c r="BT1197" i="42"/>
  <c r="CB1470" i="42"/>
  <c r="AN362" i="42"/>
  <c r="CH1617" i="42"/>
  <c r="AM284" i="42"/>
  <c r="BS1197" i="42"/>
  <c r="CA1470" i="42"/>
  <c r="BL933" i="42"/>
  <c r="CG1617" i="42"/>
  <c r="A1617" i="42" s="1"/>
  <c r="CA1405" i="42"/>
  <c r="BZ1405" i="42"/>
  <c r="CB1405" i="42"/>
  <c r="CB1450" i="42"/>
  <c r="CA1450" i="42"/>
  <c r="BY1332" i="42"/>
  <c r="A1332" i="42" s="1"/>
  <c r="BD693" i="42"/>
  <c r="CB1432" i="42"/>
  <c r="BC693" i="42"/>
  <c r="CA1432" i="42"/>
  <c r="BB693" i="42"/>
  <c r="BZ1432" i="42"/>
  <c r="CG1593" i="42"/>
  <c r="A1593" i="42" s="1"/>
  <c r="BA778" i="42"/>
  <c r="A778" i="42" s="1"/>
  <c r="BA800" i="42"/>
  <c r="A800" i="42" s="1"/>
  <c r="BB800" i="42"/>
  <c r="BL1016" i="42"/>
  <c r="CH1661" i="42"/>
  <c r="AN315" i="42"/>
  <c r="BL957" i="42"/>
  <c r="AK332" i="42"/>
  <c r="A332" i="42" s="1"/>
  <c r="BJ959" i="42"/>
  <c r="BI940" i="42"/>
  <c r="A940" i="42" s="1"/>
  <c r="AL326" i="42"/>
  <c r="CG1610" i="42"/>
  <c r="A1610" i="42" s="1"/>
  <c r="CI1610" i="42"/>
  <c r="BQ1299" i="42"/>
  <c r="A1299" i="42" s="1"/>
  <c r="AD133" i="42"/>
  <c r="CJ1610" i="42"/>
  <c r="AU596" i="42"/>
  <c r="AE178" i="42"/>
  <c r="BT1299" i="42"/>
  <c r="AC133" i="42"/>
  <c r="A133" i="42" s="1"/>
  <c r="AL332" i="42"/>
  <c r="BC756" i="42"/>
  <c r="AT596" i="42"/>
  <c r="CJ1556" i="42"/>
  <c r="AD178" i="42"/>
  <c r="BS1299" i="42"/>
  <c r="CG1634" i="42"/>
  <c r="A1634" i="42" s="1"/>
  <c r="CJ1632" i="42"/>
  <c r="AV596" i="42"/>
  <c r="BD756" i="42"/>
  <c r="BD800" i="42"/>
  <c r="BB756" i="42"/>
  <c r="CI1556" i="42"/>
  <c r="CI1632" i="42"/>
  <c r="CJ1593" i="42"/>
  <c r="BL1054" i="42"/>
  <c r="BK1054" i="42"/>
  <c r="BJ1054" i="42"/>
  <c r="AF108" i="42"/>
  <c r="CB1409" i="42"/>
  <c r="AE108" i="42"/>
  <c r="CA1409" i="42"/>
  <c r="BY1409" i="42"/>
  <c r="A1409" i="42" s="1"/>
  <c r="BK1038" i="42"/>
  <c r="AL392" i="42"/>
  <c r="BL1010" i="42"/>
  <c r="CA1426" i="42"/>
  <c r="BL1008" i="42"/>
  <c r="BK1010" i="42"/>
  <c r="BZ1426" i="42"/>
  <c r="BK1008" i="42"/>
  <c r="BJ1010" i="42"/>
  <c r="BJ1008" i="42"/>
  <c r="AV573" i="42"/>
  <c r="AT573" i="42"/>
  <c r="AS573" i="42"/>
  <c r="A573" i="42" s="1"/>
  <c r="BJ1038" i="42"/>
  <c r="AN365" i="42"/>
  <c r="AS499" i="42"/>
  <c r="A499" i="42" s="1"/>
  <c r="AM365" i="42"/>
  <c r="BT1218" i="42"/>
  <c r="CJ1608" i="42"/>
  <c r="AL365" i="42"/>
  <c r="AM368" i="42"/>
  <c r="BB757" i="42"/>
  <c r="BS1218" i="42"/>
  <c r="AM291" i="42"/>
  <c r="CI1608" i="42"/>
  <c r="AL368" i="42"/>
  <c r="BR1218" i="42"/>
  <c r="AK291" i="42"/>
  <c r="A291" i="42" s="1"/>
  <c r="BL1038" i="42"/>
  <c r="AL414" i="42"/>
  <c r="BJ957" i="42"/>
  <c r="AK414" i="42"/>
  <c r="A414" i="42" s="1"/>
  <c r="BA781" i="42"/>
  <c r="A781" i="42" s="1"/>
  <c r="AS594" i="42"/>
  <c r="A594" i="42" s="1"/>
  <c r="BD781" i="42"/>
  <c r="AV594" i="42"/>
  <c r="AV577" i="42"/>
  <c r="BC781" i="42"/>
  <c r="CJ1616" i="42"/>
  <c r="AU594" i="42"/>
  <c r="AT576" i="42"/>
  <c r="AU577" i="42"/>
  <c r="CB1408" i="42"/>
  <c r="AM414" i="42"/>
  <c r="CI1616" i="42"/>
  <c r="AT577" i="42"/>
  <c r="CA1408" i="42"/>
  <c r="CH1616" i="42"/>
  <c r="AL430" i="42"/>
  <c r="BZ1408" i="42"/>
  <c r="BD802" i="42"/>
  <c r="AN430" i="42"/>
  <c r="BC802" i="42"/>
  <c r="AV530" i="42"/>
  <c r="CG1532" i="42"/>
  <c r="A1532" i="42" s="1"/>
  <c r="AM430" i="42"/>
  <c r="BB802" i="42"/>
  <c r="BK915" i="42"/>
  <c r="BJ915" i="42"/>
  <c r="AK369" i="42"/>
  <c r="A369" i="42" s="1"/>
  <c r="CJ1663" i="42"/>
  <c r="BI915" i="42"/>
  <c r="A915" i="42" s="1"/>
  <c r="CI1663" i="42"/>
  <c r="CH1663" i="42"/>
  <c r="BT1220" i="42"/>
  <c r="BK1067" i="42"/>
  <c r="AV499" i="42"/>
  <c r="CJ1532" i="42"/>
  <c r="AN291" i="42"/>
  <c r="CG1658" i="42"/>
  <c r="A1658" i="42" s="1"/>
  <c r="AF157" i="42"/>
  <c r="CJ1658" i="42"/>
  <c r="AE157" i="42"/>
  <c r="BI932" i="42"/>
  <c r="A932" i="42" s="1"/>
  <c r="AF83" i="42"/>
  <c r="CH1658" i="42"/>
  <c r="AD157" i="42"/>
  <c r="BT1123" i="42"/>
  <c r="AE83" i="42"/>
  <c r="AN308" i="42"/>
  <c r="CJ1539" i="42"/>
  <c r="BS1123" i="42"/>
  <c r="AD83" i="42"/>
  <c r="BL993" i="42"/>
  <c r="CI1539" i="42"/>
  <c r="BR1123" i="42"/>
  <c r="BK993" i="42"/>
  <c r="CH1539" i="42"/>
  <c r="CB1420" i="42"/>
  <c r="BJ993" i="42"/>
  <c r="CJ1589" i="42"/>
  <c r="CG1568" i="42"/>
  <c r="A1568" i="42" s="1"/>
  <c r="BR1140" i="42"/>
  <c r="BD808" i="42"/>
  <c r="CA1375" i="42"/>
  <c r="AD107" i="42"/>
  <c r="BL969" i="42"/>
  <c r="CG1576" i="42"/>
  <c r="A1576" i="42" s="1"/>
  <c r="AS500" i="42"/>
  <c r="A500" i="42" s="1"/>
  <c r="AM342" i="42"/>
  <c r="BY1375" i="42"/>
  <c r="A1375" i="42" s="1"/>
  <c r="AT540" i="42"/>
  <c r="AM278" i="42"/>
  <c r="AC107" i="42"/>
  <c r="A107" i="42" s="1"/>
  <c r="BK969" i="42"/>
  <c r="BB821" i="42"/>
  <c r="AL342" i="42"/>
  <c r="CB1362" i="42"/>
  <c r="AS540" i="42"/>
  <c r="A540" i="42" s="1"/>
  <c r="BJ969" i="42"/>
  <c r="BD873" i="42"/>
  <c r="BZ1362" i="42"/>
  <c r="BC873" i="42"/>
  <c r="CA1471" i="42"/>
  <c r="AS530" i="42"/>
  <c r="A530" i="42" s="1"/>
  <c r="AU530" i="42"/>
  <c r="BT1192" i="42"/>
  <c r="BK957" i="42"/>
  <c r="BA757" i="42"/>
  <c r="A757" i="42" s="1"/>
  <c r="CI1596" i="42"/>
  <c r="BI933" i="42"/>
  <c r="A933" i="42" s="1"/>
  <c r="CH1596" i="42"/>
  <c r="CB1433" i="42"/>
  <c r="AV665" i="42"/>
  <c r="AF74" i="42"/>
  <c r="CA1433" i="42"/>
  <c r="AV661" i="42"/>
  <c r="AV639" i="42"/>
  <c r="CG1554" i="42"/>
  <c r="A1554" i="42" s="1"/>
  <c r="AU661" i="42"/>
  <c r="CB1372" i="42"/>
  <c r="AU639" i="42"/>
  <c r="CJ1554" i="42"/>
  <c r="AF127" i="42"/>
  <c r="BD783" i="42"/>
  <c r="CB1407" i="42"/>
  <c r="AE74" i="42"/>
  <c r="BY1433" i="42"/>
  <c r="A1433" i="42" s="1"/>
  <c r="AF172" i="42"/>
  <c r="AT661" i="42"/>
  <c r="CA1372" i="42"/>
  <c r="AT639" i="42"/>
  <c r="CI1554" i="42"/>
  <c r="AE127" i="42"/>
  <c r="BC783" i="42"/>
  <c r="CA1407" i="42"/>
  <c r="AE172" i="42"/>
  <c r="CJ1576" i="42"/>
  <c r="AD127" i="42"/>
  <c r="BB783" i="42"/>
  <c r="BZ1407" i="42"/>
  <c r="BY1372" i="42"/>
  <c r="A1372" i="42" s="1"/>
  <c r="AV500" i="42"/>
  <c r="BT1140" i="42"/>
  <c r="BA736" i="42"/>
  <c r="A736" i="42" s="1"/>
  <c r="BK1017" i="42"/>
  <c r="BL1017" i="42"/>
  <c r="BI1017" i="42"/>
  <c r="A1017" i="42" s="1"/>
  <c r="AS514" i="42"/>
  <c r="A514" i="42" s="1"/>
  <c r="AV514" i="42"/>
  <c r="AU514" i="42"/>
  <c r="BT1107" i="42"/>
  <c r="BR1107" i="42"/>
  <c r="BS1107" i="42"/>
  <c r="AD137" i="42"/>
  <c r="BZ1375" i="42"/>
  <c r="BR1212" i="42"/>
  <c r="BD761" i="42"/>
  <c r="BL991" i="42"/>
  <c r="AK348" i="42"/>
  <c r="A348" i="42" s="1"/>
  <c r="AE98" i="42"/>
  <c r="BA809" i="42"/>
  <c r="A809" i="42" s="1"/>
  <c r="BB831" i="42"/>
  <c r="AD74" i="42"/>
  <c r="AL278" i="42"/>
  <c r="BB873" i="42"/>
  <c r="BD757" i="42"/>
  <c r="CB1366" i="42"/>
  <c r="AK278" i="42"/>
  <c r="A278" i="42" s="1"/>
  <c r="BZ1373" i="42"/>
  <c r="BZ1385" i="42"/>
  <c r="BZ1450" i="42"/>
  <c r="BT1212" i="42"/>
  <c r="BB809" i="42"/>
  <c r="CJ1641" i="42"/>
  <c r="BS1212" i="42"/>
  <c r="AN275" i="42"/>
  <c r="BD809" i="42"/>
  <c r="CH1641" i="42"/>
  <c r="BZ1483" i="42"/>
  <c r="BA821" i="42"/>
  <c r="A821" i="42" s="1"/>
  <c r="AM292" i="42"/>
  <c r="BI966" i="42"/>
  <c r="A966" i="42" s="1"/>
  <c r="BD821" i="42"/>
  <c r="AF132" i="42"/>
  <c r="AL292" i="42"/>
  <c r="AE132" i="42"/>
  <c r="AK292" i="42"/>
  <c r="A292" i="42" s="1"/>
  <c r="BQ1275" i="42"/>
  <c r="A1275" i="42" s="1"/>
  <c r="AM447" i="42"/>
  <c r="AD208" i="42"/>
  <c r="AC132" i="42"/>
  <c r="A132" i="42" s="1"/>
  <c r="AM336" i="42"/>
  <c r="AK328" i="42"/>
  <c r="A328" i="42" s="1"/>
  <c r="BT1275" i="42"/>
  <c r="AL336" i="42"/>
  <c r="BS1275" i="42"/>
  <c r="CA1483" i="42"/>
  <c r="AK336" i="42"/>
  <c r="A336" i="42" s="1"/>
  <c r="BB863" i="42"/>
  <c r="CG1628" i="42"/>
  <c r="A1628" i="42" s="1"/>
  <c r="BZ1496" i="42"/>
  <c r="CB1385" i="42"/>
  <c r="BY1385" i="42"/>
  <c r="A1385" i="42" s="1"/>
  <c r="BL966" i="42"/>
  <c r="BK966" i="42"/>
  <c r="BY1388" i="42"/>
  <c r="A1388" i="42" s="1"/>
  <c r="AC195" i="42"/>
  <c r="A195" i="42" s="1"/>
  <c r="BI1055" i="42"/>
  <c r="A1055" i="42" s="1"/>
  <c r="AN431" i="42"/>
  <c r="AU543" i="42"/>
  <c r="BR1235" i="42"/>
  <c r="BD754" i="42"/>
  <c r="BC754" i="42"/>
  <c r="BB754" i="42"/>
  <c r="BL932" i="42"/>
  <c r="BK932" i="42"/>
  <c r="BB804" i="42"/>
  <c r="AN360" i="42"/>
  <c r="AM360" i="42"/>
  <c r="AU528" i="42"/>
  <c r="BL959" i="42"/>
  <c r="CJ1581" i="42"/>
  <c r="CI1581" i="42"/>
  <c r="CH1581" i="42"/>
  <c r="AM345" i="42"/>
  <c r="AL345" i="42"/>
  <c r="BY1373" i="42"/>
  <c r="A1373" i="42" s="1"/>
  <c r="CB1382" i="42"/>
  <c r="AD124" i="42"/>
  <c r="BC731" i="42"/>
  <c r="BY1382" i="42"/>
  <c r="A1382" i="42" s="1"/>
  <c r="CI1589" i="42"/>
  <c r="BY1483" i="42"/>
  <c r="A1483" i="42" s="1"/>
  <c r="BA752" i="42"/>
  <c r="A752" i="42" s="1"/>
  <c r="CB1332" i="42"/>
  <c r="AE130" i="42"/>
  <c r="AK345" i="42"/>
  <c r="A345" i="42" s="1"/>
  <c r="CA1366" i="42"/>
  <c r="AM275" i="42"/>
  <c r="AT543" i="42"/>
  <c r="AU665" i="42"/>
  <c r="BB731" i="42"/>
  <c r="CH1589" i="42"/>
  <c r="AT665" i="42"/>
  <c r="CA1332" i="42"/>
  <c r="BZ1366" i="42"/>
  <c r="AL275" i="42"/>
  <c r="AS543" i="42"/>
  <c r="A543" i="42" s="1"/>
  <c r="BD736" i="42"/>
  <c r="AL360" i="42"/>
  <c r="CA1382" i="42"/>
  <c r="AV618" i="42"/>
  <c r="BS1140" i="42"/>
  <c r="BS1177" i="42"/>
  <c r="BL1067" i="42"/>
  <c r="CA1362" i="42"/>
  <c r="AL447" i="42"/>
  <c r="BB708" i="42"/>
  <c r="BR1237" i="42"/>
  <c r="AF100" i="42"/>
  <c r="AE100" i="42"/>
  <c r="BA708" i="42"/>
  <c r="A708" i="42" s="1"/>
  <c r="BI1067" i="42"/>
  <c r="A1067" i="42" s="1"/>
  <c r="AT549" i="42"/>
  <c r="AN447" i="42"/>
  <c r="AD100" i="42"/>
  <c r="BD708" i="42"/>
  <c r="AT523" i="42"/>
  <c r="AS549" i="42"/>
  <c r="A549" i="42" s="1"/>
  <c r="CG1570" i="42"/>
  <c r="A1570" i="42" s="1"/>
  <c r="AM320" i="42"/>
  <c r="AS523" i="42"/>
  <c r="A523" i="42" s="1"/>
  <c r="CJ1570" i="42"/>
  <c r="AS534" i="42"/>
  <c r="A534" i="42" s="1"/>
  <c r="BL965" i="42"/>
  <c r="CJ1628" i="42"/>
  <c r="AU549" i="42"/>
  <c r="AV534" i="42"/>
  <c r="CI1628" i="42"/>
  <c r="AF137" i="42"/>
  <c r="BS1130" i="42"/>
  <c r="AU534" i="42"/>
  <c r="BJ965" i="42"/>
  <c r="BK965" i="42"/>
  <c r="AE137" i="42"/>
  <c r="BI956" i="42"/>
  <c r="A956" i="42" s="1"/>
  <c r="BR1130" i="42"/>
  <c r="AD98" i="42"/>
  <c r="AT483" i="42"/>
  <c r="CG1661" i="42"/>
  <c r="A1661" i="42" s="1"/>
  <c r="AK315" i="42"/>
  <c r="A315" i="42" s="1"/>
  <c r="BD749" i="42"/>
  <c r="CI1570" i="42"/>
  <c r="BA738" i="42"/>
  <c r="A738" i="42" s="1"/>
  <c r="BS1242" i="42"/>
  <c r="CA1445" i="42"/>
  <c r="BJ984" i="42"/>
  <c r="CG1540" i="42"/>
  <c r="A1540" i="42" s="1"/>
  <c r="AM431" i="42"/>
  <c r="BD863" i="42"/>
  <c r="AL431" i="42"/>
  <c r="BR1242" i="42"/>
  <c r="AV483" i="42"/>
  <c r="BZ1445" i="42"/>
  <c r="BI984" i="42"/>
  <c r="A984" i="42" s="1"/>
  <c r="AF124" i="42"/>
  <c r="BC863" i="42"/>
  <c r="BQ1242" i="42"/>
  <c r="A1242" i="42" s="1"/>
  <c r="AU483" i="42"/>
  <c r="BY1445" i="42"/>
  <c r="A1445" i="42" s="1"/>
  <c r="AE124" i="42"/>
  <c r="BC736" i="42"/>
  <c r="CJ1615" i="42"/>
  <c r="AV501" i="42"/>
  <c r="AK320" i="42"/>
  <c r="A320" i="42" s="1"/>
  <c r="AL320" i="42"/>
  <c r="AV481" i="42"/>
  <c r="AT611" i="42"/>
  <c r="CI1615" i="42"/>
  <c r="AU501" i="42"/>
  <c r="AF128" i="42"/>
  <c r="AU481" i="42"/>
  <c r="AS611" i="42"/>
  <c r="A611" i="42" s="1"/>
  <c r="CH1615" i="42"/>
  <c r="AT501" i="42"/>
  <c r="AK453" i="42"/>
  <c r="A453" i="42" s="1"/>
  <c r="AS481" i="42"/>
  <c r="A481" i="42" s="1"/>
  <c r="AF140" i="42"/>
  <c r="BB691" i="42"/>
  <c r="BL1071" i="42"/>
  <c r="AE140" i="42"/>
  <c r="BD742" i="42"/>
  <c r="BT1172" i="42"/>
  <c r="BK1071" i="42"/>
  <c r="BS1172" i="42"/>
  <c r="AD140" i="42"/>
  <c r="BC742" i="42"/>
  <c r="BL1029" i="42"/>
  <c r="BJ1071" i="42"/>
  <c r="CJ1695" i="42"/>
  <c r="BK1029" i="42"/>
  <c r="CH1695" i="42"/>
  <c r="BL900" i="42"/>
  <c r="BR1172" i="42"/>
  <c r="CG1695" i="42"/>
  <c r="A1695" i="42" s="1"/>
  <c r="BL972" i="42"/>
  <c r="CA1336" i="42"/>
  <c r="AE125" i="42"/>
  <c r="AU516" i="42"/>
  <c r="BI1029" i="42"/>
  <c r="A1029" i="42" s="1"/>
  <c r="AN341" i="42"/>
  <c r="AV623" i="42"/>
  <c r="BL1039" i="42"/>
  <c r="BJ900" i="42"/>
  <c r="CJ1540" i="42"/>
  <c r="AD125" i="42"/>
  <c r="BD738" i="42"/>
  <c r="AT516" i="42"/>
  <c r="BL956" i="42"/>
  <c r="AM341" i="42"/>
  <c r="AU623" i="42"/>
  <c r="BK1039" i="42"/>
  <c r="BB742" i="42"/>
  <c r="AF125" i="42"/>
  <c r="AV516" i="42"/>
  <c r="BK972" i="42"/>
  <c r="BJ972" i="42"/>
  <c r="AC120" i="42"/>
  <c r="A120" i="42" s="1"/>
  <c r="CI1540" i="42"/>
  <c r="BC738" i="42"/>
  <c r="BK956" i="42"/>
  <c r="BL984" i="42"/>
  <c r="AL341" i="42"/>
  <c r="AT623" i="42"/>
  <c r="BJ1039" i="42"/>
  <c r="BQ1164" i="42"/>
  <c r="A1164" i="42" s="1"/>
  <c r="AE84" i="42"/>
  <c r="AV548" i="42"/>
  <c r="AU548" i="42"/>
  <c r="BY1360" i="42"/>
  <c r="A1360" i="42" s="1"/>
  <c r="BD764" i="42"/>
  <c r="BC764" i="42"/>
  <c r="AC84" i="42"/>
  <c r="A84" i="42" s="1"/>
  <c r="AT548" i="42"/>
  <c r="CG1545" i="42"/>
  <c r="A1545" i="42" s="1"/>
  <c r="AD84" i="42"/>
  <c r="BQ1289" i="42"/>
  <c r="A1289" i="42" s="1"/>
  <c r="BK1055" i="42"/>
  <c r="AM308" i="42"/>
  <c r="BB764" i="42"/>
  <c r="CI1568" i="42"/>
  <c r="AL308" i="42"/>
  <c r="BK916" i="42"/>
  <c r="BQ1177" i="42"/>
  <c r="A1177" i="42" s="1"/>
  <c r="BT1289" i="42"/>
  <c r="CB1381" i="42"/>
  <c r="CH1568" i="42"/>
  <c r="AV588" i="42"/>
  <c r="BT1177" i="42"/>
  <c r="BS1289" i="42"/>
  <c r="BZ1322" i="42"/>
  <c r="BZ1381" i="42"/>
  <c r="AF152" i="42"/>
  <c r="AE152" i="42"/>
  <c r="AM443" i="42"/>
  <c r="BI1009" i="42"/>
  <c r="A1009" i="42" s="1"/>
  <c r="AD152" i="42"/>
  <c r="AL443" i="42"/>
  <c r="BQ1165" i="42"/>
  <c r="A1165" i="42" s="1"/>
  <c r="AM405" i="42"/>
  <c r="BD768" i="42"/>
  <c r="AK443" i="42"/>
  <c r="A443" i="42" s="1"/>
  <c r="BL1055" i="42"/>
  <c r="CA1381" i="42"/>
  <c r="AL405" i="42"/>
  <c r="BD758" i="42"/>
  <c r="BB758" i="42"/>
  <c r="BD859" i="42"/>
  <c r="BA758" i="42"/>
  <c r="A758" i="42" s="1"/>
  <c r="BC859" i="42"/>
  <c r="AK403" i="42"/>
  <c r="A403" i="42" s="1"/>
  <c r="CJ1523" i="42"/>
  <c r="CI1523" i="42"/>
  <c r="AF120" i="42"/>
  <c r="BQ1237" i="42"/>
  <c r="A1237" i="42" s="1"/>
  <c r="CA1354" i="42"/>
  <c r="AN298" i="42"/>
  <c r="CA1388" i="42"/>
  <c r="CG1523" i="42"/>
  <c r="A1523" i="42" s="1"/>
  <c r="AE120" i="42"/>
  <c r="BT1237" i="42"/>
  <c r="AV611" i="42"/>
  <c r="AS613" i="42"/>
  <c r="A613" i="42" s="1"/>
  <c r="BB859" i="42"/>
  <c r="AM403" i="42"/>
  <c r="AN403" i="42"/>
  <c r="CB1388" i="42"/>
  <c r="BI930" i="42"/>
  <c r="A930" i="42" s="1"/>
  <c r="BD804" i="42"/>
  <c r="BD712" i="42"/>
  <c r="CI1524" i="42"/>
  <c r="AU506" i="42"/>
  <c r="BC714" i="42"/>
  <c r="BT1247" i="42"/>
  <c r="BS1247" i="42"/>
  <c r="BQ1247" i="42"/>
  <c r="A1247" i="42" s="1"/>
  <c r="BB776" i="42"/>
  <c r="AN380" i="42"/>
  <c r="BQ1303" i="42"/>
  <c r="A1303" i="42" s="1"/>
  <c r="BK960" i="42"/>
  <c r="AL457" i="42"/>
  <c r="AK457" i="42"/>
  <c r="A457" i="42" s="1"/>
  <c r="AN348" i="42"/>
  <c r="CI1593" i="42"/>
  <c r="BB749" i="42"/>
  <c r="BB761" i="42"/>
  <c r="BD831" i="42"/>
  <c r="BA776" i="42"/>
  <c r="A776" i="42" s="1"/>
  <c r="AK326" i="42"/>
  <c r="A326" i="42" s="1"/>
  <c r="CG1580" i="42"/>
  <c r="A1580" i="42" s="1"/>
  <c r="CI1705" i="42"/>
  <c r="BA749" i="42"/>
  <c r="A749" i="42" s="1"/>
  <c r="BA761" i="42"/>
  <c r="A761" i="42" s="1"/>
  <c r="BC831" i="42"/>
  <c r="CG1705" i="42"/>
  <c r="A1705" i="42" s="1"/>
  <c r="CJ1661" i="42"/>
  <c r="AF98" i="42"/>
  <c r="AM332" i="42"/>
  <c r="BT1130" i="42"/>
  <c r="AM315" i="42"/>
  <c r="CH1556" i="42"/>
  <c r="BJ991" i="42"/>
  <c r="AM335" i="42"/>
  <c r="BI991" i="42"/>
  <c r="A991" i="42" s="1"/>
  <c r="AL335" i="42"/>
  <c r="BQ1279" i="42"/>
  <c r="A1279" i="42" s="1"/>
  <c r="BD826" i="42"/>
  <c r="BD819" i="42"/>
  <c r="AK335" i="42"/>
  <c r="A335" i="42" s="1"/>
  <c r="BT1279" i="42"/>
  <c r="BC826" i="42"/>
  <c r="AL307" i="42"/>
  <c r="BC819" i="42"/>
  <c r="CB1361" i="42"/>
  <c r="BS1279" i="42"/>
  <c r="BB826" i="42"/>
  <c r="AF207" i="42"/>
  <c r="BB819" i="42"/>
  <c r="BT1174" i="42"/>
  <c r="CA1443" i="42"/>
  <c r="CA1361" i="42"/>
  <c r="AE207" i="42"/>
  <c r="AK340" i="42"/>
  <c r="A340" i="42" s="1"/>
  <c r="BS1174" i="42"/>
  <c r="BZ1443" i="42"/>
  <c r="BZ1361" i="42"/>
  <c r="BZ1363" i="42"/>
  <c r="AD207" i="42"/>
  <c r="BR1174" i="42"/>
  <c r="BY1443" i="42"/>
  <c r="A1443" i="42" s="1"/>
  <c r="AV553" i="42"/>
  <c r="BT1167" i="42"/>
  <c r="AM340" i="42"/>
  <c r="BZ1487" i="42"/>
  <c r="CI1691" i="42"/>
  <c r="BQ1122" i="42"/>
  <c r="A1122" i="42" s="1"/>
  <c r="CJ1588" i="42"/>
  <c r="AL410" i="42"/>
  <c r="AU553" i="42"/>
  <c r="BS1167" i="42"/>
  <c r="CA1487" i="42"/>
  <c r="AL340" i="42"/>
  <c r="CJ1580" i="42"/>
  <c r="BY1487" i="42"/>
  <c r="A1487" i="42" s="1"/>
  <c r="AM380" i="42"/>
  <c r="CH1691" i="42"/>
  <c r="CI1588" i="42"/>
  <c r="AN410" i="42"/>
  <c r="AT553" i="42"/>
  <c r="BQ1167" i="42"/>
  <c r="A1167" i="42" s="1"/>
  <c r="CJ1691" i="42"/>
  <c r="CI1580" i="42"/>
  <c r="AL380" i="42"/>
  <c r="AN457" i="42"/>
  <c r="AM348" i="42"/>
  <c r="CH1588" i="42"/>
  <c r="AM410" i="42"/>
  <c r="BD776" i="42"/>
  <c r="AN326" i="42"/>
  <c r="AT528" i="42"/>
  <c r="BQ1235" i="42"/>
  <c r="A1235" i="42" s="1"/>
  <c r="AC197" i="42"/>
  <c r="A197" i="42" s="1"/>
  <c r="BT1165" i="42"/>
  <c r="AD232" i="42"/>
  <c r="BJ960" i="42"/>
  <c r="BB714" i="42"/>
  <c r="AF197" i="42"/>
  <c r="AM296" i="42"/>
  <c r="AE197" i="42"/>
  <c r="AV613" i="42"/>
  <c r="BI960" i="42"/>
  <c r="A960" i="42" s="1"/>
  <c r="AS663" i="42"/>
  <c r="A663" i="42" s="1"/>
  <c r="BA714" i="42"/>
  <c r="A714" i="42" s="1"/>
  <c r="AS655" i="42"/>
  <c r="A655" i="42" s="1"/>
  <c r="AL296" i="42"/>
  <c r="AE223" i="42"/>
  <c r="AU613" i="42"/>
  <c r="AM314" i="42"/>
  <c r="AF133" i="42"/>
  <c r="AC223" i="42"/>
  <c r="A223" i="42" s="1"/>
  <c r="CA1360" i="42"/>
  <c r="BL1004" i="42"/>
  <c r="BQ1141" i="42"/>
  <c r="A1141" i="42" s="1"/>
  <c r="BK959" i="42"/>
  <c r="BY1322" i="42"/>
  <c r="A1322" i="42" s="1"/>
  <c r="AM415" i="42"/>
  <c r="CB1348" i="42"/>
  <c r="BL939" i="42"/>
  <c r="BL964" i="42"/>
  <c r="AU588" i="42"/>
  <c r="CA1348" i="42"/>
  <c r="CB1428" i="42"/>
  <c r="BC768" i="42"/>
  <c r="AU550" i="42"/>
  <c r="CJ1688" i="42"/>
  <c r="AN415" i="42"/>
  <c r="BK939" i="42"/>
  <c r="BK964" i="42"/>
  <c r="AT588" i="42"/>
  <c r="BZ1348" i="42"/>
  <c r="CA1428" i="42"/>
  <c r="BB768" i="42"/>
  <c r="BC739" i="42"/>
  <c r="AT550" i="42"/>
  <c r="AK415" i="42"/>
  <c r="A415" i="42" s="1"/>
  <c r="BJ964" i="42"/>
  <c r="BT1152" i="42"/>
  <c r="CA1497" i="42"/>
  <c r="BJ939" i="42"/>
  <c r="BT1263" i="42"/>
  <c r="AU651" i="42"/>
  <c r="BQ1138" i="42"/>
  <c r="A1138" i="42" s="1"/>
  <c r="BL946" i="42"/>
  <c r="BZ1497" i="42"/>
  <c r="BB724" i="42"/>
  <c r="BS1263" i="42"/>
  <c r="BC856" i="42"/>
  <c r="CJ1574" i="42"/>
  <c r="BK1034" i="42"/>
  <c r="AF134" i="42"/>
  <c r="BQ1173" i="42"/>
  <c r="A1173" i="42" s="1"/>
  <c r="BT1138" i="42"/>
  <c r="CB1497" i="42"/>
  <c r="BD724" i="42"/>
  <c r="AT651" i="42"/>
  <c r="CB1380" i="42"/>
  <c r="AF247" i="42"/>
  <c r="BK946" i="42"/>
  <c r="BA724" i="42"/>
  <c r="A724" i="42" s="1"/>
  <c r="BR1263" i="42"/>
  <c r="CJ1679" i="42"/>
  <c r="BA856" i="42"/>
  <c r="A856" i="42" s="1"/>
  <c r="CI1574" i="42"/>
  <c r="BJ1034" i="42"/>
  <c r="AE134" i="42"/>
  <c r="BJ916" i="42"/>
  <c r="BK947" i="42"/>
  <c r="BR1173" i="42"/>
  <c r="BA692" i="42"/>
  <c r="A692" i="42" s="1"/>
  <c r="BA739" i="42"/>
  <c r="A739" i="42" s="1"/>
  <c r="BL930" i="42"/>
  <c r="AS651" i="42"/>
  <c r="A651" i="42" s="1"/>
  <c r="CA1380" i="42"/>
  <c r="AE247" i="42"/>
  <c r="BJ946" i="42"/>
  <c r="CI1679" i="42"/>
  <c r="BT1164" i="42"/>
  <c r="CH1574" i="42"/>
  <c r="BI1034" i="42"/>
  <c r="A1034" i="42" s="1"/>
  <c r="AD134" i="42"/>
  <c r="AV550" i="42"/>
  <c r="BT1173" i="42"/>
  <c r="BK1081" i="42"/>
  <c r="AF90" i="42"/>
  <c r="BR1138" i="42"/>
  <c r="BD856" i="42"/>
  <c r="BL1065" i="42"/>
  <c r="BK930" i="42"/>
  <c r="BT1235" i="42"/>
  <c r="BZ1380" i="42"/>
  <c r="AD247" i="42"/>
  <c r="CG1521" i="42"/>
  <c r="A1521" i="42" s="1"/>
  <c r="CH1679" i="42"/>
  <c r="BS1164" i="42"/>
  <c r="BT1114" i="42"/>
  <c r="BL1081" i="42"/>
  <c r="BB692" i="42"/>
  <c r="BB739" i="42"/>
  <c r="AD90" i="42"/>
  <c r="CA1378" i="42"/>
  <c r="BS1152" i="42"/>
  <c r="AM367" i="42"/>
  <c r="BR1152" i="42"/>
  <c r="AL367" i="42"/>
  <c r="BZ1330" i="42"/>
  <c r="CI1530" i="42"/>
  <c r="CH1530" i="42"/>
  <c r="AS529" i="42"/>
  <c r="A529" i="42" s="1"/>
  <c r="BA871" i="42"/>
  <c r="A871" i="42" s="1"/>
  <c r="AS505" i="42"/>
  <c r="A505" i="42" s="1"/>
  <c r="BY1330" i="42"/>
  <c r="A1330" i="42" s="1"/>
  <c r="AF180" i="42"/>
  <c r="AF239" i="42"/>
  <c r="BK920" i="42"/>
  <c r="AE180" i="42"/>
  <c r="CA1322" i="42"/>
  <c r="AE239" i="42"/>
  <c r="AD239" i="42"/>
  <c r="BK1004" i="42"/>
  <c r="AN338" i="42"/>
  <c r="BI1004" i="42"/>
  <c r="A1004" i="42" s="1"/>
  <c r="AV655" i="42"/>
  <c r="AM338" i="42"/>
  <c r="AF67" i="42"/>
  <c r="AU655" i="42"/>
  <c r="AL338" i="42"/>
  <c r="AF223" i="42"/>
  <c r="AT505" i="42"/>
  <c r="AE90" i="42"/>
  <c r="CB1378" i="42"/>
  <c r="AT584" i="42"/>
  <c r="AS546" i="42"/>
  <c r="A546" i="42" s="1"/>
  <c r="AV546" i="42"/>
  <c r="BZ1378" i="42"/>
  <c r="CJ1703" i="42"/>
  <c r="BQ1153" i="42"/>
  <c r="A1153" i="42" s="1"/>
  <c r="AU546" i="42"/>
  <c r="BT1153" i="42"/>
  <c r="BT1300" i="42"/>
  <c r="BS1153" i="42"/>
  <c r="BR1300" i="42"/>
  <c r="AV631" i="42"/>
  <c r="CI1688" i="42"/>
  <c r="AE67" i="42"/>
  <c r="CH1688" i="42"/>
  <c r="AD67" i="42"/>
  <c r="AK296" i="42"/>
  <c r="A296" i="42" s="1"/>
  <c r="BT1141" i="42"/>
  <c r="BS1141" i="42"/>
  <c r="CB1360" i="42"/>
  <c r="AV505" i="42"/>
  <c r="AS528" i="42"/>
  <c r="A528" i="42" s="1"/>
  <c r="BL1009" i="42"/>
  <c r="AS506" i="42"/>
  <c r="A506" i="42" s="1"/>
  <c r="BK1009" i="42"/>
  <c r="CI1534" i="42"/>
  <c r="CH1534" i="42"/>
  <c r="BL920" i="42"/>
  <c r="BC804" i="42"/>
  <c r="AV506" i="42"/>
  <c r="BS1124" i="42"/>
  <c r="BQ1124" i="42"/>
  <c r="A1124" i="42" s="1"/>
  <c r="AN405" i="42"/>
  <c r="BT1155" i="42"/>
  <c r="AF195" i="42"/>
  <c r="CG1590" i="42"/>
  <c r="A1590" i="42" s="1"/>
  <c r="BL962" i="42"/>
  <c r="BS1110" i="42"/>
  <c r="AE195" i="42"/>
  <c r="BD847" i="42"/>
  <c r="CJ1590" i="42"/>
  <c r="BK962" i="42"/>
  <c r="BC847" i="42"/>
  <c r="CI1590" i="42"/>
  <c r="BJ962" i="42"/>
  <c r="AC75" i="42"/>
  <c r="A75" i="42" s="1"/>
  <c r="BB847" i="42"/>
  <c r="CG1667" i="42"/>
  <c r="A1667" i="42" s="1"/>
  <c r="BT1124" i="42"/>
  <c r="BB712" i="42"/>
  <c r="AN440" i="42"/>
  <c r="CJ1545" i="42"/>
  <c r="CB1316" i="42"/>
  <c r="CI1545" i="42"/>
  <c r="BZ1316" i="42"/>
  <c r="BA744" i="42"/>
  <c r="A744" i="42" s="1"/>
  <c r="BB752" i="42"/>
  <c r="BR1220" i="42"/>
  <c r="BZ1428" i="42"/>
  <c r="CB1416" i="42"/>
  <c r="BZ1420" i="42"/>
  <c r="AF115" i="42"/>
  <c r="BQ1220" i="42"/>
  <c r="A1220" i="42" s="1"/>
  <c r="CA1416" i="42"/>
  <c r="BY1420" i="42"/>
  <c r="A1420" i="42" s="1"/>
  <c r="BC730" i="42"/>
  <c r="AE115" i="42"/>
  <c r="BZ1416" i="42"/>
  <c r="BB730" i="42"/>
  <c r="AN290" i="42"/>
  <c r="AD115" i="42"/>
  <c r="CG1544" i="42"/>
  <c r="A1544" i="42" s="1"/>
  <c r="AT529" i="42"/>
  <c r="CJ1563" i="42"/>
  <c r="BT1168" i="42"/>
  <c r="BC713" i="42"/>
  <c r="CI1563" i="42"/>
  <c r="AC168" i="42"/>
  <c r="A168" i="42" s="1"/>
  <c r="BS1168" i="42"/>
  <c r="BD713" i="42"/>
  <c r="CH1563" i="42"/>
  <c r="CJ1651" i="42"/>
  <c r="BR1168" i="42"/>
  <c r="BB713" i="42"/>
  <c r="CI1651" i="42"/>
  <c r="BL1027" i="42"/>
  <c r="AN306" i="42"/>
  <c r="BK1027" i="42"/>
  <c r="BJ909" i="42"/>
  <c r="CH1651" i="42"/>
  <c r="AM306" i="42"/>
  <c r="BJ1027" i="42"/>
  <c r="AL306" i="42"/>
  <c r="BD722" i="42"/>
  <c r="BZ1355" i="42"/>
  <c r="CJ1557" i="42"/>
  <c r="BY1355" i="42"/>
  <c r="A1355" i="42" s="1"/>
  <c r="BL944" i="42"/>
  <c r="CI1557" i="42"/>
  <c r="BB722" i="42"/>
  <c r="CB1355" i="42"/>
  <c r="BK944" i="42"/>
  <c r="BC722" i="42"/>
  <c r="CH1557" i="42"/>
  <c r="BJ944" i="42"/>
  <c r="CI1719" i="42"/>
  <c r="BD752" i="42"/>
  <c r="CJ1586" i="42"/>
  <c r="AM328" i="42"/>
  <c r="AM282" i="42"/>
  <c r="BS1114" i="42"/>
  <c r="AL328" i="42"/>
  <c r="AK282" i="42"/>
  <c r="A282" i="42" s="1"/>
  <c r="CJ1600" i="42"/>
  <c r="AS541" i="42"/>
  <c r="A541" i="42" s="1"/>
  <c r="CI1600" i="42"/>
  <c r="CB1346" i="42"/>
  <c r="CH1600" i="42"/>
  <c r="CI1558" i="42"/>
  <c r="BC691" i="42"/>
  <c r="CA1346" i="42"/>
  <c r="BD731" i="42"/>
  <c r="AF130" i="42"/>
  <c r="BZ1346" i="42"/>
  <c r="AD130" i="42"/>
  <c r="BY1496" i="42"/>
  <c r="A1496" i="42" s="1"/>
  <c r="AD89" i="42"/>
  <c r="CA1315" i="42"/>
  <c r="BZ1315" i="42"/>
  <c r="BY1315" i="42"/>
  <c r="A1315" i="42" s="1"/>
  <c r="AK343" i="42"/>
  <c r="A343" i="42" s="1"/>
  <c r="AD113" i="42"/>
  <c r="BS1155" i="42"/>
  <c r="BK1064" i="42"/>
  <c r="CB1376" i="42"/>
  <c r="BJ1064" i="42"/>
  <c r="BL1064" i="42"/>
  <c r="CA1376" i="42"/>
  <c r="BY1376" i="42"/>
  <c r="A1376" i="42" s="1"/>
  <c r="AT531" i="42"/>
  <c r="BJ906" i="42"/>
  <c r="BD796" i="42"/>
  <c r="AS531" i="42"/>
  <c r="A531" i="42" s="1"/>
  <c r="BT1128" i="42"/>
  <c r="BC796" i="42"/>
  <c r="BR1110" i="42"/>
  <c r="BB796" i="42"/>
  <c r="BL1012" i="42"/>
  <c r="CI1636" i="42"/>
  <c r="CH1636" i="42"/>
  <c r="BJ1012" i="42"/>
  <c r="BC760" i="42"/>
  <c r="CG1636" i="42"/>
  <c r="A1636" i="42" s="1"/>
  <c r="BI1012" i="42"/>
  <c r="A1012" i="42" s="1"/>
  <c r="AF159" i="42"/>
  <c r="CI1716" i="42"/>
  <c r="AE159" i="42"/>
  <c r="AV556" i="42"/>
  <c r="BT1170" i="42"/>
  <c r="BS1170" i="42"/>
  <c r="AC159" i="42"/>
  <c r="A159" i="42" s="1"/>
  <c r="AT556" i="42"/>
  <c r="AV541" i="42"/>
  <c r="BR1170" i="42"/>
  <c r="AS490" i="42"/>
  <c r="A490" i="42" s="1"/>
  <c r="AS556" i="42"/>
  <c r="A556" i="42" s="1"/>
  <c r="AU541" i="42"/>
  <c r="AU515" i="42"/>
  <c r="AT490" i="42"/>
  <c r="BI906" i="42"/>
  <c r="A906" i="42" s="1"/>
  <c r="AL282" i="42"/>
  <c r="BL947" i="42"/>
  <c r="AN314" i="42"/>
  <c r="BJ947" i="42"/>
  <c r="AV531" i="42"/>
  <c r="CB1373" i="42"/>
  <c r="AL314" i="42"/>
  <c r="BD691" i="42"/>
  <c r="CG1586" i="42"/>
  <c r="A1586" i="42" s="1"/>
  <c r="CI1586" i="42"/>
  <c r="AV490" i="42"/>
  <c r="BJ1081" i="42"/>
  <c r="BS1165" i="42"/>
  <c r="AN323" i="42"/>
  <c r="BT1184" i="42"/>
  <c r="BT1147" i="42"/>
  <c r="AM323" i="42"/>
  <c r="AN333" i="42"/>
  <c r="CB1392" i="42"/>
  <c r="AL323" i="42"/>
  <c r="AM333" i="42"/>
  <c r="CA1392" i="42"/>
  <c r="BD871" i="42"/>
  <c r="BS1147" i="42"/>
  <c r="BR1147" i="42"/>
  <c r="AV529" i="42"/>
  <c r="AL333" i="42"/>
  <c r="BZ1392" i="42"/>
  <c r="BL906" i="42"/>
  <c r="BC871" i="42"/>
  <c r="BY1347" i="42"/>
  <c r="A1347" i="42" s="1"/>
  <c r="BQ1110" i="42"/>
  <c r="A1110" i="42" s="1"/>
  <c r="AL298" i="42"/>
  <c r="AM440" i="42"/>
  <c r="BT1199" i="42"/>
  <c r="CJ1671" i="42"/>
  <c r="AK367" i="42"/>
  <c r="A367" i="42" s="1"/>
  <c r="AK298" i="42"/>
  <c r="A298" i="42" s="1"/>
  <c r="AL440" i="42"/>
  <c r="BS1199" i="42"/>
  <c r="CJ1584" i="42"/>
  <c r="BR1199" i="42"/>
  <c r="CI1584" i="42"/>
  <c r="CJ1571" i="42"/>
  <c r="CH1584" i="42"/>
  <c r="BA728" i="42"/>
  <c r="A728" i="42" s="1"/>
  <c r="CI1571" i="42"/>
  <c r="CA1333" i="42"/>
  <c r="CA1330" i="42"/>
  <c r="AF75" i="42"/>
  <c r="AV523" i="42"/>
  <c r="CA1419" i="42"/>
  <c r="CH1571" i="42"/>
  <c r="CG1530" i="42"/>
  <c r="A1530" i="42" s="1"/>
  <c r="AC245" i="42"/>
  <c r="A245" i="42" s="1"/>
  <c r="AE75" i="42"/>
  <c r="BZ1419" i="42"/>
  <c r="AV575" i="42"/>
  <c r="BR1155" i="42"/>
  <c r="BZ1425" i="42"/>
  <c r="CG1546" i="42"/>
  <c r="A1546" i="42" s="1"/>
  <c r="BJ952" i="42"/>
  <c r="CJ1546" i="42"/>
  <c r="BQ1128" i="42"/>
  <c r="A1128" i="42" s="1"/>
  <c r="AU551" i="42"/>
  <c r="AT575" i="42"/>
  <c r="BI920" i="42"/>
  <c r="A920" i="42" s="1"/>
  <c r="AU575" i="42"/>
  <c r="BK971" i="42"/>
  <c r="BI952" i="42"/>
  <c r="A952" i="42" s="1"/>
  <c r="BK1095" i="42"/>
  <c r="CI1546" i="42"/>
  <c r="AC180" i="42"/>
  <c r="A180" i="42" s="1"/>
  <c r="BR1128" i="42"/>
  <c r="BJ971" i="42"/>
  <c r="BC725" i="42"/>
  <c r="BD730" i="42"/>
  <c r="BS1208" i="42"/>
  <c r="BD725" i="42"/>
  <c r="BS1180" i="42"/>
  <c r="AE139" i="42"/>
  <c r="BI909" i="42"/>
  <c r="A909" i="42" s="1"/>
  <c r="AM321" i="42"/>
  <c r="BB725" i="42"/>
  <c r="CJ1526" i="42"/>
  <c r="AK399" i="42"/>
  <c r="A399" i="42" s="1"/>
  <c r="AV663" i="42"/>
  <c r="AK471" i="42"/>
  <c r="A471" i="42" s="1"/>
  <c r="CH1689" i="42"/>
  <c r="AL321" i="42"/>
  <c r="CI1526" i="42"/>
  <c r="AN399" i="42"/>
  <c r="AU663" i="42"/>
  <c r="AN471" i="42"/>
  <c r="BT1180" i="42"/>
  <c r="AN321" i="42"/>
  <c r="BR1180" i="42"/>
  <c r="CG1689" i="42"/>
  <c r="A1689" i="42" s="1"/>
  <c r="AV515" i="42"/>
  <c r="BL899" i="42"/>
  <c r="BR1114" i="42"/>
  <c r="BJ899" i="42"/>
  <c r="BK899" i="42"/>
  <c r="AN273" i="42"/>
  <c r="AM273" i="42"/>
  <c r="AL273" i="42"/>
  <c r="AV517" i="42"/>
  <c r="AU517" i="42"/>
  <c r="AT517" i="42"/>
  <c r="CB1349" i="42"/>
  <c r="CA1349" i="42"/>
  <c r="BZ1349" i="42"/>
  <c r="CA1496" i="42"/>
  <c r="BR1184" i="42"/>
  <c r="BS1184" i="42"/>
  <c r="AC89" i="42"/>
  <c r="A89" i="42" s="1"/>
  <c r="CA1463" i="42"/>
  <c r="CG1538" i="42"/>
  <c r="A1538" i="42" s="1"/>
  <c r="BZ1463" i="42"/>
  <c r="CJ1538" i="42"/>
  <c r="BY1463" i="42"/>
  <c r="A1463" i="42" s="1"/>
  <c r="CI1538" i="42"/>
  <c r="AV544" i="42"/>
  <c r="AU544" i="42"/>
  <c r="AT544" i="42"/>
  <c r="AF89" i="42"/>
  <c r="BZ1415" i="42"/>
  <c r="BL1084" i="42"/>
  <c r="BC699" i="42"/>
  <c r="BY1363" i="42"/>
  <c r="A1363" i="42" s="1"/>
  <c r="AK307" i="42"/>
  <c r="A307" i="42" s="1"/>
  <c r="CB1363" i="42"/>
  <c r="AK412" i="42"/>
  <c r="A412" i="42" s="1"/>
  <c r="CJ1533" i="42"/>
  <c r="AE91" i="42"/>
  <c r="AD91" i="42"/>
  <c r="BY1425" i="42"/>
  <c r="A1425" i="42" s="1"/>
  <c r="BT1176" i="42"/>
  <c r="BT1150" i="42"/>
  <c r="AN450" i="42"/>
  <c r="BD762" i="42"/>
  <c r="BC762" i="42"/>
  <c r="AE167" i="42"/>
  <c r="BA762" i="42"/>
  <c r="A762" i="42" s="1"/>
  <c r="BY1358" i="42"/>
  <c r="A1358" i="42" s="1"/>
  <c r="BR1122" i="42"/>
  <c r="AL309" i="42"/>
  <c r="AK309" i="42"/>
  <c r="A309" i="42" s="1"/>
  <c r="CA1480" i="42"/>
  <c r="BZ1480" i="42"/>
  <c r="BJ1080" i="42"/>
  <c r="BY1480" i="42"/>
  <c r="A1480" i="42" s="1"/>
  <c r="AU560" i="42"/>
  <c r="AS654" i="42"/>
  <c r="A654" i="42" s="1"/>
  <c r="BT1122" i="42"/>
  <c r="AT498" i="42"/>
  <c r="AL412" i="42"/>
  <c r="BT1208" i="42"/>
  <c r="AM307" i="42"/>
  <c r="BR1208" i="42"/>
  <c r="CB1481" i="42"/>
  <c r="BR1176" i="42"/>
  <c r="CH1533" i="42"/>
  <c r="CA1481" i="42"/>
  <c r="BQ1176" i="42"/>
  <c r="A1176" i="42" s="1"/>
  <c r="BC862" i="42"/>
  <c r="AU664" i="42"/>
  <c r="CG1533" i="42"/>
  <c r="A1533" i="42" s="1"/>
  <c r="BD751" i="42"/>
  <c r="BZ1481" i="42"/>
  <c r="BB862" i="42"/>
  <c r="BD701" i="42"/>
  <c r="CB1339" i="42"/>
  <c r="BK945" i="42"/>
  <c r="BC751" i="42"/>
  <c r="CA1339" i="42"/>
  <c r="BB751" i="42"/>
  <c r="BD706" i="42"/>
  <c r="BZ1339" i="42"/>
  <c r="BL976" i="42"/>
  <c r="AK372" i="42"/>
  <c r="A372" i="42" s="1"/>
  <c r="BK976" i="42"/>
  <c r="CB1439" i="42"/>
  <c r="BB884" i="42"/>
  <c r="BJ976" i="42"/>
  <c r="CA1439" i="42"/>
  <c r="BD884" i="42"/>
  <c r="BZ1439" i="42"/>
  <c r="BT1146" i="42"/>
  <c r="BC791" i="42"/>
  <c r="BC884" i="42"/>
  <c r="BS1146" i="42"/>
  <c r="BT1231" i="42"/>
  <c r="BR1146" i="42"/>
  <c r="BS1231" i="42"/>
  <c r="BR1231" i="42"/>
  <c r="AT624" i="42"/>
  <c r="AV491" i="42"/>
  <c r="AU491" i="42"/>
  <c r="BK1092" i="42"/>
  <c r="AN412" i="42"/>
  <c r="AT491" i="42"/>
  <c r="AK385" i="42"/>
  <c r="A385" i="42" s="1"/>
  <c r="AU498" i="42"/>
  <c r="AD260" i="42"/>
  <c r="AV560" i="42"/>
  <c r="CB1333" i="42"/>
  <c r="AV654" i="42"/>
  <c r="AE123" i="42"/>
  <c r="BR1160" i="42"/>
  <c r="BQ1160" i="42"/>
  <c r="A1160" i="42" s="1"/>
  <c r="BY1333" i="42"/>
  <c r="A1333" i="42" s="1"/>
  <c r="BY1313" i="42"/>
  <c r="A1313" i="42" s="1"/>
  <c r="BC792" i="42"/>
  <c r="BA792" i="42"/>
  <c r="A792" i="42" s="1"/>
  <c r="BS1255" i="42"/>
  <c r="AN309" i="42"/>
  <c r="AV607" i="42"/>
  <c r="AU607" i="42"/>
  <c r="BT1251" i="42"/>
  <c r="BR1251" i="42"/>
  <c r="AU654" i="42"/>
  <c r="BS1160" i="42"/>
  <c r="BA737" i="42"/>
  <c r="A737" i="42" s="1"/>
  <c r="AM413" i="42"/>
  <c r="AL413" i="42"/>
  <c r="AK413" i="42"/>
  <c r="A413" i="42" s="1"/>
  <c r="BT1142" i="42"/>
  <c r="AF91" i="42"/>
  <c r="AT560" i="42"/>
  <c r="AT607" i="42"/>
  <c r="CJ1569" i="42"/>
  <c r="CI1569" i="42"/>
  <c r="CH1569" i="42"/>
  <c r="BZ1511" i="42"/>
  <c r="BD792" i="42"/>
  <c r="BK1084" i="42"/>
  <c r="CB1313" i="42"/>
  <c r="CB1511" i="42"/>
  <c r="CA1313" i="42"/>
  <c r="BS1251" i="42"/>
  <c r="AM450" i="42"/>
  <c r="AN310" i="42"/>
  <c r="AK450" i="42"/>
  <c r="A450" i="42" s="1"/>
  <c r="AC77" i="42"/>
  <c r="A77" i="42" s="1"/>
  <c r="AF208" i="42"/>
  <c r="AC128" i="42"/>
  <c r="A128" i="42" s="1"/>
  <c r="BL996" i="42"/>
  <c r="BT1278" i="42"/>
  <c r="A682" i="42"/>
  <c r="BD723" i="42"/>
  <c r="AE208" i="42"/>
  <c r="BS1278" i="42"/>
  <c r="A681" i="42"/>
  <c r="BC723" i="42"/>
  <c r="BB723" i="42"/>
  <c r="BQ1278" i="42"/>
  <c r="A1278" i="42" s="1"/>
  <c r="AE204" i="42"/>
  <c r="BA759" i="42"/>
  <c r="A759" i="42" s="1"/>
  <c r="AF263" i="42"/>
  <c r="AD204" i="42"/>
  <c r="CJ1531" i="42"/>
  <c r="AE263" i="42"/>
  <c r="AC204" i="42"/>
  <c r="A204" i="42" s="1"/>
  <c r="BL922" i="42"/>
  <c r="AD263" i="42"/>
  <c r="BK922" i="42"/>
  <c r="BS1272" i="42"/>
  <c r="AS584" i="42"/>
  <c r="A584" i="42" s="1"/>
  <c r="AD128" i="42"/>
  <c r="CB1508" i="42"/>
  <c r="AV587" i="42"/>
  <c r="BJ922" i="42"/>
  <c r="BR1115" i="42"/>
  <c r="BR1272" i="42"/>
  <c r="BY1336" i="42"/>
  <c r="A1336" i="42" s="1"/>
  <c r="AK416" i="42"/>
  <c r="A416" i="42" s="1"/>
  <c r="CA1508" i="42"/>
  <c r="AT587" i="42"/>
  <c r="BJ1037" i="42"/>
  <c r="BQ1272" i="42"/>
  <c r="A1272" i="42" s="1"/>
  <c r="AK276" i="42"/>
  <c r="A276" i="42" s="1"/>
  <c r="AC238" i="42"/>
  <c r="A238" i="42" s="1"/>
  <c r="BZ1508" i="42"/>
  <c r="AS587" i="42"/>
  <c r="A587" i="42" s="1"/>
  <c r="BL938" i="42"/>
  <c r="BJ938" i="42"/>
  <c r="CA1486" i="42"/>
  <c r="BB709" i="42"/>
  <c r="BD694" i="42"/>
  <c r="BL1000" i="42"/>
  <c r="BZ1486" i="42"/>
  <c r="BC694" i="42"/>
  <c r="BJ1000" i="42"/>
  <c r="BS1282" i="42"/>
  <c r="BZ1336" i="42"/>
  <c r="BI1000" i="42"/>
  <c r="A1000" i="42" s="1"/>
  <c r="AV584" i="42"/>
  <c r="AU625" i="42"/>
  <c r="BD788" i="42"/>
  <c r="CA1453" i="42"/>
  <c r="AT536" i="42"/>
  <c r="AT621" i="42"/>
  <c r="CB1493" i="42"/>
  <c r="CB1453" i="42"/>
  <c r="BI996" i="42"/>
  <c r="A996" i="42" s="1"/>
  <c r="AS536" i="42"/>
  <c r="A536" i="42" s="1"/>
  <c r="BB832" i="42"/>
  <c r="AF238" i="42"/>
  <c r="BD832" i="42"/>
  <c r="AE238" i="42"/>
  <c r="BC832" i="42"/>
  <c r="CH1698" i="42"/>
  <c r="AK312" i="42"/>
  <c r="A312" i="42" s="1"/>
  <c r="CA1495" i="42"/>
  <c r="AN312" i="42"/>
  <c r="AM344" i="42"/>
  <c r="BZ1495" i="42"/>
  <c r="AS621" i="42"/>
  <c r="A621" i="42" s="1"/>
  <c r="AK379" i="42"/>
  <c r="A379" i="42" s="1"/>
  <c r="AL344" i="42"/>
  <c r="BY1495" i="42"/>
  <c r="A1495" i="42" s="1"/>
  <c r="AK344" i="42"/>
  <c r="A344" i="42" s="1"/>
  <c r="AF77" i="42"/>
  <c r="AV648" i="42"/>
  <c r="CJ1624" i="42"/>
  <c r="BK1079" i="42"/>
  <c r="AE77" i="42"/>
  <c r="AU648" i="42"/>
  <c r="CI1624" i="42"/>
  <c r="BY1325" i="42"/>
  <c r="A1325" i="42" s="1"/>
  <c r="AF144" i="42"/>
  <c r="BJ931" i="42"/>
  <c r="AS648" i="42"/>
  <c r="A648" i="42" s="1"/>
  <c r="CH1624" i="42"/>
  <c r="AE144" i="42"/>
  <c r="BI931" i="42"/>
  <c r="A931" i="42" s="1"/>
  <c r="BS1115" i="42"/>
  <c r="AF191" i="42"/>
  <c r="AE191" i="42"/>
  <c r="AD144" i="42"/>
  <c r="CA1338" i="42"/>
  <c r="CA1511" i="42"/>
  <c r="AC171" i="42"/>
  <c r="A171" i="42" s="1"/>
  <c r="CB1338" i="42"/>
  <c r="BQ1115" i="42"/>
  <c r="A1115" i="42" s="1"/>
  <c r="AD191" i="42"/>
  <c r="BK938" i="42"/>
  <c r="BZ1338" i="42"/>
  <c r="AV536" i="42"/>
  <c r="AV621" i="42"/>
  <c r="AF205" i="42"/>
  <c r="AC205" i="42"/>
  <c r="A205" i="42" s="1"/>
  <c r="AD205" i="42"/>
  <c r="AE65" i="42"/>
  <c r="BY1459" i="42"/>
  <c r="A1459" i="42" s="1"/>
  <c r="CB1459" i="42"/>
  <c r="BT1129" i="42"/>
  <c r="CJ1647" i="42"/>
  <c r="CI1647" i="42"/>
  <c r="CH1647" i="42"/>
  <c r="CB1328" i="42"/>
  <c r="AF99" i="42"/>
  <c r="AD99" i="42"/>
  <c r="BY1328" i="42"/>
  <c r="A1328" i="42" s="1"/>
  <c r="BQ1211" i="42"/>
  <c r="A1211" i="42" s="1"/>
  <c r="AU641" i="42"/>
  <c r="CA1328" i="42"/>
  <c r="BL902" i="42"/>
  <c r="BJ1074" i="42"/>
  <c r="AS641" i="42"/>
  <c r="A641" i="42" s="1"/>
  <c r="BK902" i="42"/>
  <c r="BI1074" i="42"/>
  <c r="A1074" i="42" s="1"/>
  <c r="BJ902" i="42"/>
  <c r="BY1323" i="42"/>
  <c r="A1323" i="42" s="1"/>
  <c r="AF88" i="42"/>
  <c r="AM441" i="42"/>
  <c r="AE88" i="42"/>
  <c r="AL441" i="42"/>
  <c r="AD88" i="42"/>
  <c r="AK441" i="42"/>
  <c r="A441" i="42" s="1"/>
  <c r="CI1704" i="42"/>
  <c r="BQ1142" i="42"/>
  <c r="A1142" i="42" s="1"/>
  <c r="CJ1704" i="42"/>
  <c r="AV504" i="42"/>
  <c r="AF252" i="42"/>
  <c r="CH1704" i="42"/>
  <c r="AU504" i="42"/>
  <c r="AE252" i="42"/>
  <c r="BB869" i="42"/>
  <c r="CI1541" i="42"/>
  <c r="BD744" i="42"/>
  <c r="BS1287" i="42"/>
  <c r="AF171" i="42"/>
  <c r="AT504" i="42"/>
  <c r="AD252" i="42"/>
  <c r="BA869" i="42"/>
  <c r="A869" i="42" s="1"/>
  <c r="A890" i="42"/>
  <c r="AE171" i="42"/>
  <c r="BD869" i="42"/>
  <c r="AF232" i="42"/>
  <c r="BC744" i="42"/>
  <c r="BD760" i="42"/>
  <c r="AE232" i="42"/>
  <c r="BK900" i="42"/>
  <c r="BC712" i="42"/>
  <c r="BS1300" i="42"/>
  <c r="AT641" i="42"/>
  <c r="BT1303" i="42"/>
  <c r="AN343" i="42"/>
  <c r="AU631" i="42"/>
  <c r="CJ1716" i="42"/>
  <c r="AM343" i="42"/>
  <c r="BD815" i="42"/>
  <c r="AS631" i="42"/>
  <c r="A631" i="42" s="1"/>
  <c r="CG1716" i="42"/>
  <c r="A1716" i="42" s="1"/>
  <c r="AU679" i="42"/>
  <c r="BC815" i="42"/>
  <c r="CG1623" i="42"/>
  <c r="A1623" i="42" s="1"/>
  <c r="AN346" i="42"/>
  <c r="AT679" i="42"/>
  <c r="BB815" i="42"/>
  <c r="AV679" i="42"/>
  <c r="AM346" i="42"/>
  <c r="BT1288" i="42"/>
  <c r="BQ1105" i="42"/>
  <c r="A1105" i="42" s="1"/>
  <c r="AL346" i="42"/>
  <c r="AF68" i="42"/>
  <c r="BS1288" i="42"/>
  <c r="CJ1547" i="42"/>
  <c r="BT1105" i="42"/>
  <c r="AE68" i="42"/>
  <c r="BQ1118" i="42"/>
  <c r="A1118" i="42" s="1"/>
  <c r="BR1288" i="42"/>
  <c r="AV484" i="42"/>
  <c r="AN453" i="42"/>
  <c r="BS1105" i="42"/>
  <c r="CG1698" i="42"/>
  <c r="A1698" i="42" s="1"/>
  <c r="AD68" i="42"/>
  <c r="BI905" i="42"/>
  <c r="A905" i="42" s="1"/>
  <c r="AU484" i="42"/>
  <c r="AM453" i="42"/>
  <c r="CJ1698" i="42"/>
  <c r="BS1303" i="42"/>
  <c r="BT1118" i="42"/>
  <c r="AD164" i="42"/>
  <c r="CA1318" i="42"/>
  <c r="CA1415" i="42"/>
  <c r="CJ1667" i="42"/>
  <c r="BD887" i="42"/>
  <c r="AN299" i="42"/>
  <c r="AM290" i="42"/>
  <c r="BC788" i="42"/>
  <c r="CJ1592" i="42"/>
  <c r="BL1070" i="42"/>
  <c r="BI1003" i="42"/>
  <c r="A1003" i="42" s="1"/>
  <c r="AV620" i="42"/>
  <c r="BT1163" i="42"/>
  <c r="BB699" i="42"/>
  <c r="BC887" i="42"/>
  <c r="CI1660" i="42"/>
  <c r="BK917" i="42"/>
  <c r="CH1719" i="42"/>
  <c r="CJ1660" i="42"/>
  <c r="CJ1544" i="42"/>
  <c r="AM299" i="42"/>
  <c r="AL290" i="42"/>
  <c r="BB788" i="42"/>
  <c r="CI1592" i="42"/>
  <c r="BK1070" i="42"/>
  <c r="CB1325" i="42"/>
  <c r="AM347" i="42"/>
  <c r="AU620" i="42"/>
  <c r="BS1163" i="42"/>
  <c r="BA699" i="42"/>
  <c r="A699" i="42" s="1"/>
  <c r="BD728" i="42"/>
  <c r="BZ1500" i="42"/>
  <c r="BD759" i="42"/>
  <c r="CB1358" i="42"/>
  <c r="BB887" i="42"/>
  <c r="CH1660" i="42"/>
  <c r="BD849" i="42"/>
  <c r="BJ917" i="42"/>
  <c r="CG1719" i="42"/>
  <c r="A1719" i="42" s="1"/>
  <c r="CG1560" i="42"/>
  <c r="A1560" i="42" s="1"/>
  <c r="CH1701" i="42"/>
  <c r="CI1544" i="42"/>
  <c r="AL299" i="42"/>
  <c r="CJ1689" i="42"/>
  <c r="CH1592" i="42"/>
  <c r="BJ1070" i="42"/>
  <c r="BL909" i="42"/>
  <c r="CA1325" i="42"/>
  <c r="BL952" i="42"/>
  <c r="AT620" i="42"/>
  <c r="BQ1163" i="42"/>
  <c r="A1163" i="42" s="1"/>
  <c r="CB1425" i="42"/>
  <c r="BC728" i="42"/>
  <c r="CJ1521" i="42"/>
  <c r="BC759" i="42"/>
  <c r="AS599" i="42"/>
  <c r="A599" i="42" s="1"/>
  <c r="CA1358" i="42"/>
  <c r="BQ1245" i="42"/>
  <c r="A1245" i="42" s="1"/>
  <c r="AM312" i="42"/>
  <c r="BJ1003" i="42"/>
  <c r="CG1701" i="42"/>
  <c r="A1701" i="42" s="1"/>
  <c r="AF167" i="42"/>
  <c r="BC689" i="42"/>
  <c r="CI1521" i="42"/>
  <c r="BJ970" i="42"/>
  <c r="BT1255" i="42"/>
  <c r="BT1245" i="42"/>
  <c r="CJ1558" i="42"/>
  <c r="AL471" i="42"/>
  <c r="BR1150" i="42"/>
  <c r="AD85" i="42"/>
  <c r="BQ1255" i="42"/>
  <c r="A1255" i="42" s="1"/>
  <c r="BC801" i="42"/>
  <c r="BA760" i="42"/>
  <c r="A760" i="42" s="1"/>
  <c r="AS484" i="42"/>
  <c r="A484" i="42" s="1"/>
  <c r="BQ1150" i="42"/>
  <c r="A1150" i="42" s="1"/>
  <c r="BL1079" i="42"/>
  <c r="AV627" i="42"/>
  <c r="AM331" i="42"/>
  <c r="AD248" i="42"/>
  <c r="CI1620" i="42"/>
  <c r="AT676" i="42"/>
  <c r="CI1671" i="42"/>
  <c r="BI1079" i="42"/>
  <c r="A1079" i="42" s="1"/>
  <c r="BS1108" i="42"/>
  <c r="AL331" i="42"/>
  <c r="AC248" i="42"/>
  <c r="A248" i="42" s="1"/>
  <c r="CH1620" i="42"/>
  <c r="CB1368" i="42"/>
  <c r="AS676" i="42"/>
  <c r="A676" i="42" s="1"/>
  <c r="CH1558" i="42"/>
  <c r="AF248" i="42"/>
  <c r="AU676" i="42"/>
  <c r="BL923" i="42"/>
  <c r="BT1108" i="42"/>
  <c r="BK923" i="42"/>
  <c r="AS486" i="42"/>
  <c r="A486" i="42" s="1"/>
  <c r="BJ923" i="42"/>
  <c r="AV486" i="42"/>
  <c r="BR1108" i="42"/>
  <c r="AF113" i="42"/>
  <c r="AF110" i="42"/>
  <c r="CJ1524" i="42"/>
  <c r="CG1620" i="42"/>
  <c r="A1620" i="42" s="1"/>
  <c r="CA1368" i="42"/>
  <c r="AF211" i="42"/>
  <c r="AE85" i="42"/>
  <c r="AS649" i="42"/>
  <c r="A649" i="42" s="1"/>
  <c r="AN283" i="42"/>
  <c r="AF82" i="42"/>
  <c r="AF136" i="42"/>
  <c r="BZ1384" i="42"/>
  <c r="AT486" i="42"/>
  <c r="AV649" i="42"/>
  <c r="BK914" i="42"/>
  <c r="AM456" i="42"/>
  <c r="AD110" i="42"/>
  <c r="AN468" i="42"/>
  <c r="AM376" i="42"/>
  <c r="AM283" i="42"/>
  <c r="BY1368" i="42"/>
  <c r="A1368" i="42" s="1"/>
  <c r="BD737" i="42"/>
  <c r="AF177" i="42"/>
  <c r="AD211" i="42"/>
  <c r="AU593" i="42"/>
  <c r="AT496" i="42"/>
  <c r="AN456" i="42"/>
  <c r="AE110" i="42"/>
  <c r="AE82" i="42"/>
  <c r="AF70" i="42"/>
  <c r="AE136" i="42"/>
  <c r="A265" i="42"/>
  <c r="AU649" i="42"/>
  <c r="BJ914" i="42"/>
  <c r="AL456" i="42"/>
  <c r="AM468" i="42"/>
  <c r="BT1207" i="42"/>
  <c r="AL376" i="42"/>
  <c r="AL283" i="42"/>
  <c r="AE177" i="42"/>
  <c r="AC211" i="42"/>
  <c r="A211" i="42" s="1"/>
  <c r="AT593" i="42"/>
  <c r="AD167" i="42"/>
  <c r="AM446" i="42"/>
  <c r="AD82" i="42"/>
  <c r="AE70" i="42"/>
  <c r="AD136" i="42"/>
  <c r="A266" i="42"/>
  <c r="AS493" i="42"/>
  <c r="A493" i="42" s="1"/>
  <c r="BI914" i="42"/>
  <c r="A914" i="42" s="1"/>
  <c r="AF168" i="42"/>
  <c r="AL468" i="42"/>
  <c r="BT1211" i="42"/>
  <c r="BS1207" i="42"/>
  <c r="AK376" i="42"/>
  <c r="A376" i="42" s="1"/>
  <c r="AD177" i="42"/>
  <c r="CJ1560" i="42"/>
  <c r="AN293" i="42"/>
  <c r="AF104" i="42"/>
  <c r="AS593" i="42"/>
  <c r="A593" i="42" s="1"/>
  <c r="BA801" i="42"/>
  <c r="A801" i="42" s="1"/>
  <c r="BD801" i="42"/>
  <c r="AN446" i="42"/>
  <c r="AD70" i="42"/>
  <c r="BL1003" i="42"/>
  <c r="AE168" i="42"/>
  <c r="BS1211" i="42"/>
  <c r="BR1207" i="42"/>
  <c r="CI1560" i="42"/>
  <c r="CI1562" i="42"/>
  <c r="BZ1386" i="42"/>
  <c r="CJ1694" i="42"/>
  <c r="BK1043" i="42"/>
  <c r="BD692" i="42"/>
  <c r="AF245" i="42"/>
  <c r="CG1534" i="42"/>
  <c r="A1534" i="42" s="1"/>
  <c r="AU493" i="42"/>
  <c r="AD65" i="42"/>
  <c r="BZ1354" i="42"/>
  <c r="CI1694" i="42"/>
  <c r="BI1037" i="42"/>
  <c r="A1037" i="42" s="1"/>
  <c r="CA1459" i="42"/>
  <c r="CG1555" i="42"/>
  <c r="A1555" i="42" s="1"/>
  <c r="BJ1043" i="42"/>
  <c r="AV493" i="42"/>
  <c r="CH1555" i="42"/>
  <c r="AL446" i="42"/>
  <c r="AE245" i="42"/>
  <c r="BL971" i="42"/>
  <c r="AV624" i="42"/>
  <c r="AC65" i="42"/>
  <c r="A65" i="42" s="1"/>
  <c r="AN347" i="42"/>
  <c r="BY1354" i="42"/>
  <c r="A1354" i="42" s="1"/>
  <c r="CH1694" i="42"/>
  <c r="CB1419" i="42"/>
  <c r="BB737" i="42"/>
  <c r="AV551" i="42"/>
  <c r="BL917" i="42"/>
  <c r="BI1043" i="42"/>
  <c r="A1043" i="42" s="1"/>
  <c r="CB1347" i="42"/>
  <c r="AS498" i="42"/>
  <c r="A498" i="42" s="1"/>
  <c r="CB1384" i="42"/>
  <c r="AK347" i="42"/>
  <c r="A347" i="42" s="1"/>
  <c r="CH1524" i="42"/>
  <c r="CA1347" i="42"/>
  <c r="AF106" i="42"/>
  <c r="CI1667" i="42"/>
  <c r="AM399" i="42"/>
  <c r="AS625" i="42"/>
  <c r="A625" i="42" s="1"/>
  <c r="AS551" i="42"/>
  <c r="A551" i="42" s="1"/>
  <c r="AT515" i="42"/>
  <c r="CA1384" i="42"/>
  <c r="BD862" i="42"/>
  <c r="CB1486" i="42"/>
  <c r="BT1248" i="42"/>
  <c r="BL1095" i="42"/>
  <c r="CB1415" i="42"/>
  <c r="CG1526" i="42"/>
  <c r="A1526" i="42" s="1"/>
  <c r="CB1456" i="42"/>
  <c r="BK934" i="42"/>
  <c r="AE106" i="42"/>
  <c r="AC106" i="42"/>
  <c r="A106" i="42" s="1"/>
  <c r="BC701" i="42"/>
  <c r="AE113" i="42"/>
  <c r="CA1316" i="42"/>
  <c r="BS1117" i="42"/>
  <c r="BD689" i="42"/>
  <c r="AV664" i="42"/>
  <c r="BI1095" i="42"/>
  <c r="A1095" i="42" s="1"/>
  <c r="BY1456" i="42"/>
  <c r="A1456" i="42" s="1"/>
  <c r="BJ1084" i="42"/>
  <c r="BL945" i="42"/>
  <c r="BK1023" i="42"/>
  <c r="BD828" i="42"/>
  <c r="AE99" i="42"/>
  <c r="BZ1453" i="42"/>
  <c r="BL1023" i="42"/>
  <c r="BC828" i="42"/>
  <c r="BK1065" i="42"/>
  <c r="BC706" i="42"/>
  <c r="BB694" i="42"/>
  <c r="BB701" i="42"/>
  <c r="AF242" i="42"/>
  <c r="BB689" i="42"/>
  <c r="AT664" i="42"/>
  <c r="BJ945" i="42"/>
  <c r="BI1023" i="42"/>
  <c r="A1023" i="42" s="1"/>
  <c r="BA828" i="42"/>
  <c r="A828" i="42" s="1"/>
  <c r="BT1223" i="42"/>
  <c r="AV496" i="42"/>
  <c r="BJ1065" i="42"/>
  <c r="BB706" i="42"/>
  <c r="AD242" i="42"/>
  <c r="BT1179" i="42"/>
  <c r="BD839" i="42"/>
  <c r="AU496" i="42"/>
  <c r="CB1371" i="42"/>
  <c r="BS1179" i="42"/>
  <c r="AE135" i="42"/>
  <c r="CB1473" i="42"/>
  <c r="BC839" i="42"/>
  <c r="BQ1117" i="42"/>
  <c r="A1117" i="42" s="1"/>
  <c r="CH1536" i="42"/>
  <c r="BQ1125" i="42"/>
  <c r="A1125" i="42" s="1"/>
  <c r="AE102" i="42"/>
  <c r="BQ1179" i="42"/>
  <c r="A1179" i="42" s="1"/>
  <c r="AL423" i="42"/>
  <c r="BA726" i="42"/>
  <c r="A726" i="42" s="1"/>
  <c r="BL1036" i="42"/>
  <c r="BA839" i="42"/>
  <c r="A839" i="42" s="1"/>
  <c r="BD835" i="42"/>
  <c r="AH216" i="39"/>
  <c r="BT1117" i="42"/>
  <c r="AF102" i="42"/>
  <c r="AM423" i="42"/>
  <c r="AD102" i="42"/>
  <c r="AK423" i="42"/>
  <c r="A423" i="42" s="1"/>
  <c r="BK1036" i="42"/>
  <c r="CI1566" i="42"/>
  <c r="A474" i="42"/>
  <c r="BC835" i="42"/>
  <c r="BZ1456" i="42"/>
  <c r="CI1536" i="42"/>
  <c r="AM297" i="42"/>
  <c r="BS1125" i="42"/>
  <c r="AN416" i="42"/>
  <c r="BJ1036" i="42"/>
  <c r="AN385" i="42"/>
  <c r="CB1323" i="42"/>
  <c r="AS518" i="42"/>
  <c r="A518" i="42" s="1"/>
  <c r="CH1566" i="42"/>
  <c r="AM293" i="42"/>
  <c r="AU627" i="42"/>
  <c r="A473" i="42"/>
  <c r="BB835" i="42"/>
  <c r="BZ1473" i="42"/>
  <c r="CB1387" i="42"/>
  <c r="CG1536" i="42"/>
  <c r="A1536" i="42" s="1"/>
  <c r="BT1125" i="42"/>
  <c r="AM416" i="42"/>
  <c r="BL1037" i="42"/>
  <c r="BR1217" i="42"/>
  <c r="CJ1555" i="42"/>
  <c r="AM385" i="42"/>
  <c r="CA1323" i="42"/>
  <c r="AL293" i="42"/>
  <c r="CH1671" i="42"/>
  <c r="AT627" i="42"/>
  <c r="CJ1681" i="42"/>
  <c r="CJ1591" i="42"/>
  <c r="CB1318" i="42"/>
  <c r="BA763" i="42"/>
  <c r="A763" i="42" s="1"/>
  <c r="BI1047" i="42"/>
  <c r="A1047" i="42" s="1"/>
  <c r="CH1531" i="42"/>
  <c r="AN276" i="42"/>
  <c r="BZ1318" i="42"/>
  <c r="CG1531" i="42"/>
  <c r="A1531" i="42" s="1"/>
  <c r="CB1337" i="42"/>
  <c r="BY1337" i="42"/>
  <c r="A1337" i="42" s="1"/>
  <c r="BL968" i="42"/>
  <c r="CJ1529" i="42"/>
  <c r="BK968" i="42"/>
  <c r="BR1265" i="42"/>
  <c r="CH1529" i="42"/>
  <c r="BJ968" i="42"/>
  <c r="BR1285" i="42"/>
  <c r="BY1350" i="42"/>
  <c r="A1350" i="42" s="1"/>
  <c r="BQ1273" i="42"/>
  <c r="A1273" i="42" s="1"/>
  <c r="BL967" i="42"/>
  <c r="AM419" i="42"/>
  <c r="BL897" i="42"/>
  <c r="BB872" i="42"/>
  <c r="AF215" i="42"/>
  <c r="BK967" i="42"/>
  <c r="AM455" i="42"/>
  <c r="AL419" i="42"/>
  <c r="AS554" i="42"/>
  <c r="A554" i="42" s="1"/>
  <c r="BD763" i="42"/>
  <c r="BT1273" i="42"/>
  <c r="BA715" i="42"/>
  <c r="A715" i="42" s="1"/>
  <c r="AN285" i="42"/>
  <c r="BS1273" i="42"/>
  <c r="BK897" i="42"/>
  <c r="BD872" i="42"/>
  <c r="AE215" i="42"/>
  <c r="BJ967" i="42"/>
  <c r="AL455" i="42"/>
  <c r="AK419" i="42"/>
  <c r="A419" i="42" s="1"/>
  <c r="AU554" i="42"/>
  <c r="AU580" i="42"/>
  <c r="BB715" i="42"/>
  <c r="AM285" i="42"/>
  <c r="BJ897" i="42"/>
  <c r="BC872" i="42"/>
  <c r="AD215" i="42"/>
  <c r="AT554" i="42"/>
  <c r="AL285" i="42"/>
  <c r="CB1452" i="42"/>
  <c r="BL936" i="42"/>
  <c r="CA1452" i="42"/>
  <c r="AC104" i="42"/>
  <c r="A104" i="42" s="1"/>
  <c r="BT1204" i="42"/>
  <c r="BK936" i="42"/>
  <c r="BZ1452" i="42"/>
  <c r="CG1665" i="42"/>
  <c r="A1665" i="42" s="1"/>
  <c r="BQ1204" i="42"/>
  <c r="A1204" i="42" s="1"/>
  <c r="BJ936" i="42"/>
  <c r="BS1144" i="42"/>
  <c r="AM276" i="42"/>
  <c r="CB1326" i="42"/>
  <c r="BL931" i="42"/>
  <c r="BR1144" i="42"/>
  <c r="CB1490" i="42"/>
  <c r="AM375" i="42"/>
  <c r="BQ1144" i="42"/>
  <c r="A1144" i="42" s="1"/>
  <c r="BD715" i="42"/>
  <c r="AL375" i="42"/>
  <c r="BC709" i="42"/>
  <c r="BC763" i="42"/>
  <c r="BB807" i="42"/>
  <c r="BY1386" i="42"/>
  <c r="A1386" i="42" s="1"/>
  <c r="AE104" i="42"/>
  <c r="BQ1287" i="42"/>
  <c r="A1287" i="42" s="1"/>
  <c r="AV580" i="42"/>
  <c r="AK375" i="42"/>
  <c r="A375" i="42" s="1"/>
  <c r="BD709" i="42"/>
  <c r="AF139" i="42"/>
  <c r="BA807" i="42"/>
  <c r="A807" i="42" s="1"/>
  <c r="BT1287" i="42"/>
  <c r="BS1118" i="42"/>
  <c r="AT580" i="42"/>
  <c r="AD139" i="42"/>
  <c r="AF135" i="42"/>
  <c r="BL1080" i="42"/>
  <c r="AF260" i="42"/>
  <c r="BK1080" i="42"/>
  <c r="CJ1541" i="42"/>
  <c r="CA1326" i="42"/>
  <c r="A889" i="42"/>
  <c r="AF123" i="42"/>
  <c r="AE260" i="42"/>
  <c r="AU526" i="42"/>
  <c r="CH1541" i="42"/>
  <c r="BZ1326" i="42"/>
  <c r="CI1703" i="42"/>
  <c r="AD123" i="42"/>
  <c r="CI1547" i="42"/>
  <c r="AM310" i="42"/>
  <c r="BT1282" i="42"/>
  <c r="CA1490" i="42"/>
  <c r="CG1591" i="42"/>
  <c r="A1591" i="42" s="1"/>
  <c r="BD704" i="42"/>
  <c r="AS507" i="42"/>
  <c r="A507" i="42" s="1"/>
  <c r="AM318" i="42"/>
  <c r="AK310" i="42"/>
  <c r="A310" i="42" s="1"/>
  <c r="AE183" i="42"/>
  <c r="CA1387" i="42"/>
  <c r="BL907" i="42"/>
  <c r="BR1282" i="42"/>
  <c r="BY1490" i="42"/>
  <c r="A1490" i="42" s="1"/>
  <c r="AN318" i="42"/>
  <c r="AF183" i="42"/>
  <c r="AV555" i="42"/>
  <c r="AL318" i="42"/>
  <c r="AD183" i="42"/>
  <c r="BZ1387" i="42"/>
  <c r="BK907" i="42"/>
  <c r="BS1142" i="42"/>
  <c r="BT1244" i="42"/>
  <c r="AK455" i="42"/>
  <c r="A455" i="42" s="1"/>
  <c r="BT1178" i="42"/>
  <c r="BT1175" i="42"/>
  <c r="CG1703" i="42"/>
  <c r="A1703" i="42" s="1"/>
  <c r="CG1547" i="42"/>
  <c r="A1547" i="42" s="1"/>
  <c r="AU555" i="42"/>
  <c r="BJ907" i="42"/>
  <c r="BS1244" i="42"/>
  <c r="BS1178" i="42"/>
  <c r="BS1175" i="42"/>
  <c r="AT555" i="42"/>
  <c r="BC702" i="42"/>
  <c r="CJ1633" i="42"/>
  <c r="BR1244" i="42"/>
  <c r="BR1178" i="42"/>
  <c r="BR1175" i="42"/>
  <c r="BB876" i="42"/>
  <c r="CI1633" i="42"/>
  <c r="CJ1595" i="42"/>
  <c r="AF80" i="42"/>
  <c r="BZ1383" i="42"/>
  <c r="BQ1285" i="42"/>
  <c r="A1285" i="42" s="1"/>
  <c r="CJ1665" i="42"/>
  <c r="BD876" i="42"/>
  <c r="CJ1623" i="42"/>
  <c r="AF73" i="42"/>
  <c r="CH1633" i="42"/>
  <c r="CI1595" i="42"/>
  <c r="BL1047" i="42"/>
  <c r="AE80" i="42"/>
  <c r="BY1383" i="42"/>
  <c r="A1383" i="42" s="1"/>
  <c r="CB1350" i="42"/>
  <c r="L213" i="39"/>
  <c r="BT1285" i="42"/>
  <c r="CI1665" i="42"/>
  <c r="BC876" i="42"/>
  <c r="CI1623" i="42"/>
  <c r="CH1595" i="42"/>
  <c r="BK1047" i="42"/>
  <c r="CB1386" i="42"/>
  <c r="AD80" i="42"/>
  <c r="CB1383" i="42"/>
  <c r="BD833" i="42"/>
  <c r="CA1350" i="42"/>
  <c r="L211" i="39"/>
  <c r="BZ1457" i="42"/>
  <c r="BJ1040" i="42"/>
  <c r="BI1040" i="42"/>
  <c r="A1040" i="42" s="1"/>
  <c r="CA1371" i="42"/>
  <c r="BS1248" i="42"/>
  <c r="CJ1627" i="42"/>
  <c r="AT526" i="42"/>
  <c r="CH1562" i="42"/>
  <c r="BJ934" i="42"/>
  <c r="BS1129" i="42"/>
  <c r="CI1681" i="42"/>
  <c r="AT658" i="42"/>
  <c r="BI970" i="42"/>
  <c r="A970" i="42" s="1"/>
  <c r="BC833" i="42"/>
  <c r="AD233" i="42"/>
  <c r="BL1077" i="42"/>
  <c r="CA1493" i="42"/>
  <c r="AE233" i="42"/>
  <c r="AN379" i="42"/>
  <c r="AV507" i="42"/>
  <c r="BZ1371" i="42"/>
  <c r="BR1248" i="42"/>
  <c r="CI1627" i="42"/>
  <c r="BD726" i="42"/>
  <c r="BI934" i="42"/>
  <c r="A934" i="42" s="1"/>
  <c r="BR1129" i="42"/>
  <c r="CH1681" i="42"/>
  <c r="BQ1265" i="42"/>
  <c r="A1265" i="42" s="1"/>
  <c r="BK1077" i="42"/>
  <c r="BZ1493" i="42"/>
  <c r="CJ1701" i="42"/>
  <c r="AM372" i="42"/>
  <c r="AM379" i="42"/>
  <c r="AU507" i="42"/>
  <c r="CH1627" i="42"/>
  <c r="BC726" i="42"/>
  <c r="BT1265" i="42"/>
  <c r="BJ1077" i="42"/>
  <c r="AU658" i="42"/>
  <c r="AL372" i="42"/>
  <c r="BL1092" i="42"/>
  <c r="BD791" i="42"/>
  <c r="BJ1092" i="42"/>
  <c r="BA791" i="42"/>
  <c r="A791" i="42" s="1"/>
  <c r="AD135" i="42"/>
  <c r="BC795" i="42"/>
  <c r="BA829" i="42"/>
  <c r="A829" i="42" s="1"/>
  <c r="BK905" i="42"/>
  <c r="BS1245" i="42"/>
  <c r="BB829" i="42"/>
  <c r="BK1074" i="42"/>
  <c r="BC697" i="42"/>
  <c r="BD829" i="42"/>
  <c r="BJ905" i="42"/>
  <c r="AU624" i="42"/>
  <c r="AD138" i="42"/>
  <c r="AE73" i="42"/>
  <c r="BA697" i="42"/>
  <c r="A697" i="42" s="1"/>
  <c r="AT625" i="42"/>
  <c r="AV518" i="42"/>
  <c r="BB697" i="42"/>
  <c r="AC138" i="42"/>
  <c r="A138" i="42" s="1"/>
  <c r="BR1292" i="42"/>
  <c r="AD73" i="42"/>
  <c r="AU518" i="42"/>
  <c r="AS522" i="42"/>
  <c r="A522" i="42" s="1"/>
  <c r="BL910" i="42"/>
  <c r="AE242" i="42"/>
  <c r="BL955" i="42"/>
  <c r="CA1473" i="42"/>
  <c r="BQ1292" i="42"/>
  <c r="A1292" i="42" s="1"/>
  <c r="AV522" i="42"/>
  <c r="BK910" i="42"/>
  <c r="L214" i="39"/>
  <c r="BT1131" i="42"/>
  <c r="AV583" i="42"/>
  <c r="BJ910" i="42"/>
  <c r="AC209" i="42"/>
  <c r="A209" i="42" s="1"/>
  <c r="BS1131" i="42"/>
  <c r="AU583" i="42"/>
  <c r="BJ955" i="42"/>
  <c r="BS1223" i="42"/>
  <c r="CI1591" i="42"/>
  <c r="AT522" i="42"/>
  <c r="BC704" i="42"/>
  <c r="L215" i="39"/>
  <c r="BK955" i="42"/>
  <c r="AF209" i="42"/>
  <c r="BR1131" i="42"/>
  <c r="AT583" i="42"/>
  <c r="CB1412" i="42"/>
  <c r="BT1139" i="42"/>
  <c r="BR1223" i="42"/>
  <c r="BB704" i="42"/>
  <c r="CI1529" i="42"/>
  <c r="AF138" i="42"/>
  <c r="CA1412" i="42"/>
  <c r="BQ1217" i="42"/>
  <c r="A1217" i="42" s="1"/>
  <c r="BS1139" i="42"/>
  <c r="AD209" i="42"/>
  <c r="BL1040" i="42"/>
  <c r="BZ1412" i="42"/>
  <c r="BT1217" i="42"/>
  <c r="AS526" i="42"/>
  <c r="A526" i="42" s="1"/>
  <c r="CG1562" i="42"/>
  <c r="A1562" i="42" s="1"/>
  <c r="BL970" i="42"/>
  <c r="BR1139" i="42"/>
  <c r="CG1566" i="42"/>
  <c r="A1566" i="42" s="1"/>
  <c r="BB833" i="42"/>
  <c r="CH1639" i="42"/>
  <c r="AF233" i="42"/>
  <c r="L7" i="39"/>
  <c r="M7" i="39" s="1"/>
  <c r="M207" i="39" s="1"/>
  <c r="M216" i="39" s="1"/>
  <c r="G6" i="43" s="1"/>
  <c r="G12" i="43" s="1"/>
  <c r="CG1639" i="42"/>
  <c r="A1639" i="42" s="1"/>
  <c r="BA795" i="42"/>
  <c r="A795" i="42" s="1"/>
  <c r="E14" i="42"/>
  <c r="AM417" i="42"/>
  <c r="BB795" i="42"/>
  <c r="O29" i="45"/>
  <c r="O54" i="45" s="1"/>
  <c r="CJ1664" i="42"/>
  <c r="BD734" i="42"/>
  <c r="AL417" i="42"/>
  <c r="BC849" i="42"/>
  <c r="CI1664" i="42"/>
  <c r="AV520" i="42"/>
  <c r="BC734" i="42"/>
  <c r="AK417" i="42"/>
  <c r="A417" i="42" s="1"/>
  <c r="BL999" i="42"/>
  <c r="BB747" i="42"/>
  <c r="CH1664" i="42"/>
  <c r="BL942" i="42"/>
  <c r="BB734" i="42"/>
  <c r="BK999" i="42"/>
  <c r="BK942" i="42"/>
  <c r="BL1057" i="42"/>
  <c r="BJ999" i="42"/>
  <c r="BJ942" i="42"/>
  <c r="BI1057" i="42"/>
  <c r="A1057" i="42" s="1"/>
  <c r="BQ1249" i="42"/>
  <c r="A1249" i="42" s="1"/>
  <c r="A1305" i="42"/>
  <c r="CG1594" i="42"/>
  <c r="A1594" i="42" s="1"/>
  <c r="BT1249" i="42"/>
  <c r="N207" i="39"/>
  <c r="N216" i="39" s="1"/>
  <c r="N69" i="67" s="1"/>
  <c r="CJ1594" i="42"/>
  <c r="BS1249" i="42"/>
  <c r="AV489" i="42"/>
  <c r="CI1594" i="42"/>
  <c r="AN216" i="39"/>
  <c r="P30" i="100" s="1"/>
  <c r="AN297" i="42"/>
  <c r="E12" i="42"/>
  <c r="CI1708" i="42"/>
  <c r="CJ1708" i="42"/>
  <c r="AL297" i="42"/>
  <c r="BL912" i="42"/>
  <c r="CH1708" i="42"/>
  <c r="L209" i="39"/>
  <c r="E7" i="42"/>
  <c r="L210" i="39"/>
  <c r="AR216" i="39"/>
  <c r="P32" i="100" s="1"/>
  <c r="A1514" i="42"/>
  <c r="AC164" i="42"/>
  <c r="A164" i="42" s="1"/>
  <c r="BA747" i="42"/>
  <c r="A747" i="42" s="1"/>
  <c r="BJ921" i="42"/>
  <c r="AK391" i="42"/>
  <c r="A391" i="42" s="1"/>
  <c r="CA1337" i="42"/>
  <c r="BK921" i="42"/>
  <c r="AL391" i="42"/>
  <c r="E13" i="42"/>
  <c r="BI921" i="42"/>
  <c r="A921" i="42" s="1"/>
  <c r="AN391" i="42"/>
  <c r="E8" i="42"/>
  <c r="BK996" i="42"/>
  <c r="BS1204" i="42"/>
  <c r="BK1057" i="42"/>
  <c r="BD702" i="42"/>
  <c r="AF85" i="42"/>
  <c r="AL216" i="39"/>
  <c r="P29" i="100" s="1"/>
  <c r="Q29" i="100" s="1"/>
  <c r="Q34" i="100" s="1"/>
  <c r="Z52" i="100" s="1"/>
  <c r="AU552" i="42"/>
  <c r="BA702" i="42"/>
  <c r="A702" i="42" s="1"/>
  <c r="L208" i="39"/>
  <c r="AP216" i="39"/>
  <c r="P31" i="100" s="1"/>
  <c r="AT216" i="39"/>
  <c r="P33" i="100" s="1"/>
  <c r="R33" i="100" s="1"/>
  <c r="S33" i="100" s="1"/>
  <c r="AS552" i="42"/>
  <c r="A552" i="42" s="1"/>
  <c r="BK912" i="42"/>
  <c r="A1721" i="42"/>
  <c r="AU520" i="42"/>
  <c r="AC225" i="42"/>
  <c r="A225" i="42" s="1"/>
  <c r="AU489" i="42"/>
  <c r="AK288" i="42"/>
  <c r="A288" i="42" s="1"/>
  <c r="CB1321" i="42"/>
  <c r="A1306" i="42"/>
  <c r="BJ912" i="42"/>
  <c r="O30" i="45"/>
  <c r="O41" i="45" s="1"/>
  <c r="AT520" i="42"/>
  <c r="AE225" i="42"/>
  <c r="AT489" i="42"/>
  <c r="BR1113" i="42"/>
  <c r="BZ1321" i="42"/>
  <c r="CB1457" i="42"/>
  <c r="CJ1579" i="42"/>
  <c r="BT1120" i="42"/>
  <c r="AD225" i="42"/>
  <c r="BI1015" i="42"/>
  <c r="A1015" i="42" s="1"/>
  <c r="CA1457" i="42"/>
  <c r="L212" i="39"/>
  <c r="AF225" i="42"/>
  <c r="CI1579" i="42"/>
  <c r="BD866" i="42"/>
  <c r="CH1579" i="42"/>
  <c r="AM433" i="42"/>
  <c r="L207" i="39"/>
  <c r="A216" i="39" s="1"/>
  <c r="AN433" i="42"/>
  <c r="BC866" i="42"/>
  <c r="AL433" i="42"/>
  <c r="CB1352" i="42"/>
  <c r="AT552" i="42"/>
  <c r="E10" i="42"/>
  <c r="BB866" i="42"/>
  <c r="AV599" i="42"/>
  <c r="CA1352" i="42"/>
  <c r="E11" i="42"/>
  <c r="AF164" i="42"/>
  <c r="BD747" i="42"/>
  <c r="BT1292" i="42"/>
  <c r="AU599" i="42"/>
  <c r="AS658" i="42"/>
  <c r="A658" i="42" s="1"/>
  <c r="BD807" i="42"/>
  <c r="BZ1352" i="42"/>
  <c r="AL286" i="42"/>
  <c r="AK286" i="42"/>
  <c r="A286" i="42" s="1"/>
  <c r="AK331" i="42"/>
  <c r="A331" i="42" s="1"/>
  <c r="BR1120" i="42"/>
  <c r="BQ1113" i="42"/>
  <c r="A1113" i="42" s="1"/>
  <c r="BS1120" i="42"/>
  <c r="AN288" i="42"/>
  <c r="BT1113" i="42"/>
  <c r="E9" i="42"/>
  <c r="BS1113" i="42"/>
  <c r="CB1500" i="42"/>
  <c r="CA1500" i="42"/>
  <c r="AN281" i="42"/>
  <c r="AU539" i="42"/>
  <c r="AL281" i="42"/>
  <c r="BL1041" i="42"/>
  <c r="AT539" i="42"/>
  <c r="AK281" i="42"/>
  <c r="A281" i="42" s="1"/>
  <c r="CB1431" i="42"/>
  <c r="BK1041" i="42"/>
  <c r="E17" i="55"/>
  <c r="F17" i="55" s="1"/>
  <c r="E26" i="55"/>
  <c r="E18" i="55"/>
  <c r="F18" i="55" s="1"/>
  <c r="E27" i="55"/>
  <c r="E22" i="55"/>
  <c r="E25" i="55"/>
  <c r="J207" i="39"/>
  <c r="E19" i="55"/>
  <c r="F19" i="55" s="1"/>
  <c r="E28" i="55"/>
  <c r="E21" i="55"/>
  <c r="E20" i="55"/>
  <c r="E29" i="55"/>
  <c r="E24" i="55"/>
  <c r="E16" i="55"/>
  <c r="F16" i="55" s="1"/>
  <c r="E15" i="55"/>
  <c r="F15" i="55" s="1"/>
  <c r="E23" i="55"/>
  <c r="E30" i="55"/>
  <c r="F30" i="55" s="1"/>
  <c r="AS539" i="42"/>
  <c r="A539" i="42" s="1"/>
  <c r="CA1431" i="42"/>
  <c r="BJ1041" i="42"/>
  <c r="AS494" i="42"/>
  <c r="A494" i="42" s="1"/>
  <c r="AN460" i="42"/>
  <c r="BZ1431" i="42"/>
  <c r="AF78" i="42"/>
  <c r="AV494" i="42"/>
  <c r="AM460" i="42"/>
  <c r="CA1321" i="42"/>
  <c r="AE78" i="42"/>
  <c r="AM281" i="42"/>
  <c r="AU494" i="42"/>
  <c r="AL460" i="42"/>
  <c r="AD78" i="42"/>
  <c r="BL1015" i="42"/>
  <c r="BB849" i="42"/>
  <c r="AM288" i="42"/>
  <c r="CJ1639" i="42"/>
  <c r="AN286" i="42"/>
  <c r="BK1015" i="42"/>
  <c r="X45" i="42"/>
  <c r="A45" i="42" s="1"/>
  <c r="A1320" i="42"/>
  <c r="X54" i="42"/>
  <c r="A54" i="42" s="1"/>
  <c r="A1329" i="42"/>
  <c r="X47" i="42"/>
  <c r="A47" i="42" s="1"/>
  <c r="O53" i="45"/>
  <c r="O39" i="45"/>
  <c r="P28" i="45" s="1"/>
  <c r="O34" i="45"/>
  <c r="O48" i="45"/>
  <c r="O37" i="45"/>
  <c r="P26" i="45" s="1"/>
  <c r="O51" i="45"/>
  <c r="X49" i="42"/>
  <c r="A49" i="42" s="1"/>
  <c r="X51" i="42"/>
  <c r="A51" i="42" s="1"/>
  <c r="A1326" i="42"/>
  <c r="X40" i="42"/>
  <c r="A40" i="42" s="1"/>
  <c r="X43" i="42"/>
  <c r="A43" i="42" s="1"/>
  <c r="A1318" i="42"/>
  <c r="X58" i="42"/>
  <c r="A58" i="42" s="1"/>
  <c r="X44" i="42"/>
  <c r="A44" i="42" s="1"/>
  <c r="A1319" i="42"/>
  <c r="X50" i="42"/>
  <c r="A50" i="42" s="1"/>
  <c r="X57" i="42"/>
  <c r="A57" i="42" s="1"/>
  <c r="X39" i="42"/>
  <c r="A1314" i="42"/>
  <c r="X48" i="42"/>
  <c r="A48" i="42" s="1"/>
  <c r="X56" i="42"/>
  <c r="A56" i="42" s="1"/>
  <c r="A1331" i="42"/>
  <c r="X55" i="42"/>
  <c r="A55" i="42" s="1"/>
  <c r="X46" i="42"/>
  <c r="A46" i="42" s="1"/>
  <c r="A1321" i="42"/>
  <c r="X41" i="42"/>
  <c r="A41" i="42" s="1"/>
  <c r="A1316" i="42"/>
  <c r="X42" i="42"/>
  <c r="A42" i="42" s="1"/>
  <c r="X53" i="42"/>
  <c r="A53" i="42" s="1"/>
  <c r="O38" i="45"/>
  <c r="O52" i="45"/>
  <c r="O50" i="45"/>
  <c r="O36" i="45"/>
  <c r="P25" i="45" s="1"/>
  <c r="O35" i="45"/>
  <c r="P24" i="45" s="1"/>
  <c r="O49" i="45"/>
  <c r="X52" i="42"/>
  <c r="A52" i="42" s="1"/>
  <c r="A1327" i="42"/>
  <c r="AH6" i="39" l="1"/>
  <c r="P26" i="43" s="1"/>
  <c r="R26" i="43" s="1"/>
  <c r="L16" i="45"/>
  <c r="M16" i="45" s="1"/>
  <c r="O31" i="45" s="1"/>
  <c r="L23" i="45" s="1"/>
  <c r="R30" i="100"/>
  <c r="S30" i="100" s="1"/>
  <c r="O40" i="45"/>
  <c r="P29" i="45" s="1"/>
  <c r="P40" i="45" s="1"/>
  <c r="Q29" i="45" s="1"/>
  <c r="AE265" i="42"/>
  <c r="N18" i="43" s="1"/>
  <c r="R31" i="100"/>
  <c r="S31" i="100" s="1"/>
  <c r="BC889" i="42"/>
  <c r="BC891" i="42" s="1"/>
  <c r="F53" i="70" s="1"/>
  <c r="E15" i="42"/>
  <c r="D328" i="10"/>
  <c r="M219" i="39"/>
  <c r="E41" i="70"/>
  <c r="E5" i="70"/>
  <c r="AB55" i="100" s="1"/>
  <c r="AB57" i="100" s="1"/>
  <c r="AD57" i="100" s="1"/>
  <c r="F58" i="70"/>
  <c r="CI1721" i="42"/>
  <c r="N25" i="43" s="1"/>
  <c r="P10" i="43"/>
  <c r="AU681" i="42"/>
  <c r="AV681" i="42" s="1"/>
  <c r="G14" i="70" s="1"/>
  <c r="P20" i="43" s="1"/>
  <c r="R20" i="43" s="1"/>
  <c r="BS1305" i="42"/>
  <c r="BS1307" i="42" s="1"/>
  <c r="F55" i="70" s="1"/>
  <c r="R32" i="100"/>
  <c r="S32" i="100" s="1"/>
  <c r="CA1513" i="42"/>
  <c r="CB1513" i="42" s="1"/>
  <c r="H56" i="70" s="1"/>
  <c r="L216" i="39"/>
  <c r="O55" i="45"/>
  <c r="O56" i="45" s="1"/>
  <c r="BK1097" i="42"/>
  <c r="BL1097" i="42" s="1"/>
  <c r="G16" i="70" s="1"/>
  <c r="P22" i="43" s="1"/>
  <c r="R22" i="43" s="1"/>
  <c r="AM473" i="42"/>
  <c r="AN473" i="42" s="1"/>
  <c r="H51" i="70" s="1"/>
  <c r="R29" i="100"/>
  <c r="S29" i="100" s="1"/>
  <c r="A23" i="55"/>
  <c r="F23" i="55"/>
  <c r="A24" i="55"/>
  <c r="F24" i="55"/>
  <c r="F21" i="55"/>
  <c r="A21" i="55"/>
  <c r="A28" i="55"/>
  <c r="F28" i="55"/>
  <c r="F20" i="55"/>
  <c r="A20" i="55"/>
  <c r="F42" i="95"/>
  <c r="F127" i="57"/>
  <c r="F121" i="91"/>
  <c r="F121" i="57"/>
  <c r="F31" i="55"/>
  <c r="I31" i="55" s="1"/>
  <c r="F42" i="80"/>
  <c r="I207" i="39"/>
  <c r="F42" i="96"/>
  <c r="A25" i="55"/>
  <c r="F25" i="55"/>
  <c r="A27" i="55"/>
  <c r="F27" i="55"/>
  <c r="A29" i="55"/>
  <c r="F29" i="55"/>
  <c r="A22" i="55"/>
  <c r="F22" i="55"/>
  <c r="F26" i="55"/>
  <c r="A26" i="55"/>
  <c r="G101" i="45"/>
  <c r="F101" i="45"/>
  <c r="P50" i="45"/>
  <c r="P36" i="45"/>
  <c r="O62" i="45"/>
  <c r="O73" i="45"/>
  <c r="H122" i="57"/>
  <c r="H120" i="57"/>
  <c r="P23" i="45"/>
  <c r="P35" i="45"/>
  <c r="Q24" i="45" s="1"/>
  <c r="P49" i="45"/>
  <c r="O63" i="45"/>
  <c r="O74" i="45"/>
  <c r="O67" i="45"/>
  <c r="O78" i="45"/>
  <c r="O69" i="45"/>
  <c r="O80" i="45"/>
  <c r="P30" i="45"/>
  <c r="A39" i="42"/>
  <c r="W59" i="42"/>
  <c r="X59" i="42" s="1"/>
  <c r="P53" i="45"/>
  <c r="P39" i="45"/>
  <c r="Q28" i="45" s="1"/>
  <c r="O64" i="45"/>
  <c r="O75" i="45"/>
  <c r="O66" i="45"/>
  <c r="O77" i="45"/>
  <c r="P27" i="45"/>
  <c r="I122" i="57"/>
  <c r="I120" i="57"/>
  <c r="P37" i="45"/>
  <c r="Q26" i="45" s="1"/>
  <c r="P51" i="45"/>
  <c r="O76" i="45"/>
  <c r="O65" i="45"/>
  <c r="G120" i="57"/>
  <c r="G122" i="57"/>
  <c r="A52" i="100"/>
  <c r="AD52" i="100"/>
  <c r="AD54" i="100" s="1"/>
  <c r="AD58" i="100" s="1"/>
  <c r="AG52" i="100"/>
  <c r="H58" i="70" l="1"/>
  <c r="G20" i="70"/>
  <c r="P11" i="43"/>
  <c r="P12" i="43" s="1"/>
  <c r="BD889" i="42"/>
  <c r="H53" i="70" s="1"/>
  <c r="CJ1721" i="42"/>
  <c r="G19" i="70" s="1"/>
  <c r="P25" i="43" s="1"/>
  <c r="R25" i="43" s="1"/>
  <c r="AF265" i="42"/>
  <c r="H50" i="70" s="1"/>
  <c r="F5" i="70"/>
  <c r="D347" i="10" s="1"/>
  <c r="O42" i="45"/>
  <c r="O44" i="45" s="1"/>
  <c r="O45" i="45" s="1"/>
  <c r="P54" i="45"/>
  <c r="L27" i="45"/>
  <c r="L25" i="45"/>
  <c r="AE267" i="42"/>
  <c r="F50" i="70" s="1"/>
  <c r="N21" i="43"/>
  <c r="BT1305" i="42"/>
  <c r="H55" i="70" s="1"/>
  <c r="L28" i="45"/>
  <c r="L30" i="45"/>
  <c r="L26" i="45"/>
  <c r="L24" i="45"/>
  <c r="L29" i="45"/>
  <c r="O79" i="45"/>
  <c r="O81" i="45" s="1"/>
  <c r="O68" i="45"/>
  <c r="O70" i="45" s="1"/>
  <c r="N23" i="43"/>
  <c r="CI1723" i="42"/>
  <c r="M13" i="45" s="1"/>
  <c r="H52" i="70"/>
  <c r="N24" i="43"/>
  <c r="N20" i="43"/>
  <c r="CA1515" i="42"/>
  <c r="CB1515" i="42" s="1"/>
  <c r="H33" i="44" s="1"/>
  <c r="AU683" i="42"/>
  <c r="AV683" i="42" s="1"/>
  <c r="H29" i="44" s="1"/>
  <c r="AD55" i="100"/>
  <c r="BK1099" i="42"/>
  <c r="E54" i="70" s="1"/>
  <c r="N22" i="43"/>
  <c r="AM475" i="42"/>
  <c r="E13" i="70" s="1"/>
  <c r="A13" i="70" s="1"/>
  <c r="H54" i="70"/>
  <c r="G18" i="70"/>
  <c r="P24" i="43" s="1"/>
  <c r="R24" i="43" s="1"/>
  <c r="N19" i="43"/>
  <c r="G13" i="70"/>
  <c r="P19" i="43" s="1"/>
  <c r="R19" i="43" s="1"/>
  <c r="R42" i="95"/>
  <c r="R44" i="95" s="1"/>
  <c r="R46" i="95" s="1"/>
  <c r="T42" i="95"/>
  <c r="T44" i="95" s="1"/>
  <c r="T46" i="95" s="1"/>
  <c r="Z42" i="95"/>
  <c r="Z44" i="95" s="1"/>
  <c r="Z46" i="95" s="1"/>
  <c r="N42" i="95"/>
  <c r="N44" i="95" s="1"/>
  <c r="N46" i="95" s="1"/>
  <c r="V42" i="95"/>
  <c r="V44" i="95" s="1"/>
  <c r="V46" i="95" s="1"/>
  <c r="X42" i="95"/>
  <c r="X44" i="95" s="1"/>
  <c r="X46" i="95" s="1"/>
  <c r="P42" i="95"/>
  <c r="P44" i="95" s="1"/>
  <c r="P46" i="95" s="1"/>
  <c r="AB42" i="95"/>
  <c r="AB44" i="95" s="1"/>
  <c r="AB46" i="95" s="1"/>
  <c r="AD42" i="95"/>
  <c r="AD44" i="95" s="1"/>
  <c r="AD46" i="95" s="1"/>
  <c r="F44" i="95"/>
  <c r="F46" i="95" s="1"/>
  <c r="AH42" i="95"/>
  <c r="AH44" i="95" s="1"/>
  <c r="AH46" i="95" s="1"/>
  <c r="AF42" i="95"/>
  <c r="AF44" i="95" s="1"/>
  <c r="AF46" i="95" s="1"/>
  <c r="H42" i="95"/>
  <c r="H44" i="95" s="1"/>
  <c r="H46" i="95" s="1"/>
  <c r="J42" i="95"/>
  <c r="J44" i="95" s="1"/>
  <c r="J46" i="95" s="1"/>
  <c r="L42" i="95"/>
  <c r="L44" i="95" s="1"/>
  <c r="L46" i="95" s="1"/>
  <c r="N42" i="80"/>
  <c r="N44" i="80" s="1"/>
  <c r="N46" i="80" s="1"/>
  <c r="P42" i="80"/>
  <c r="P44" i="80" s="1"/>
  <c r="P46" i="80" s="1"/>
  <c r="T42" i="80"/>
  <c r="T44" i="80" s="1"/>
  <c r="T46" i="80" s="1"/>
  <c r="R42" i="80"/>
  <c r="R44" i="80" s="1"/>
  <c r="R46" i="80" s="1"/>
  <c r="F44" i="80"/>
  <c r="F46" i="80" s="1"/>
  <c r="X42" i="80"/>
  <c r="X44" i="80" s="1"/>
  <c r="X46" i="80" s="1"/>
  <c r="Z42" i="80"/>
  <c r="Z44" i="80" s="1"/>
  <c r="Z46" i="80" s="1"/>
  <c r="AD42" i="80"/>
  <c r="AD44" i="80" s="1"/>
  <c r="AD46" i="80" s="1"/>
  <c r="AH42" i="80"/>
  <c r="AH44" i="80" s="1"/>
  <c r="AH46" i="80" s="1"/>
  <c r="H42" i="80"/>
  <c r="H44" i="80" s="1"/>
  <c r="H46" i="80" s="1"/>
  <c r="L42" i="80"/>
  <c r="L44" i="80" s="1"/>
  <c r="L46" i="80" s="1"/>
  <c r="AB42" i="80"/>
  <c r="AB44" i="80" s="1"/>
  <c r="AB46" i="80" s="1"/>
  <c r="AF42" i="80"/>
  <c r="AF44" i="80" s="1"/>
  <c r="AF46" i="80" s="1"/>
  <c r="J42" i="80"/>
  <c r="J44" i="80" s="1"/>
  <c r="J46" i="80" s="1"/>
  <c r="V42" i="80"/>
  <c r="V44" i="80" s="1"/>
  <c r="V46" i="80" s="1"/>
  <c r="H42" i="96"/>
  <c r="H44" i="96" s="1"/>
  <c r="H46" i="96" s="1"/>
  <c r="F44" i="96"/>
  <c r="F46" i="96" s="1"/>
  <c r="P42" i="96"/>
  <c r="P44" i="96" s="1"/>
  <c r="P46" i="96" s="1"/>
  <c r="Z42" i="96"/>
  <c r="Z44" i="96" s="1"/>
  <c r="Z46" i="96" s="1"/>
  <c r="R42" i="96"/>
  <c r="R44" i="96" s="1"/>
  <c r="R46" i="96" s="1"/>
  <c r="T42" i="96"/>
  <c r="T44" i="96" s="1"/>
  <c r="T46" i="96" s="1"/>
  <c r="V42" i="96"/>
  <c r="V44" i="96" s="1"/>
  <c r="V46" i="96" s="1"/>
  <c r="AH42" i="96"/>
  <c r="AH44" i="96" s="1"/>
  <c r="AH46" i="96" s="1"/>
  <c r="L42" i="96"/>
  <c r="L44" i="96" s="1"/>
  <c r="L46" i="96" s="1"/>
  <c r="N42" i="96"/>
  <c r="N44" i="96" s="1"/>
  <c r="N46" i="96" s="1"/>
  <c r="X42" i="96"/>
  <c r="X44" i="96" s="1"/>
  <c r="X46" i="96" s="1"/>
  <c r="AB42" i="96"/>
  <c r="AB44" i="96" s="1"/>
  <c r="AB46" i="96" s="1"/>
  <c r="AD42" i="96"/>
  <c r="AD44" i="96" s="1"/>
  <c r="AD46" i="96" s="1"/>
  <c r="J42" i="96"/>
  <c r="J44" i="96" s="1"/>
  <c r="J46" i="96" s="1"/>
  <c r="AF42" i="96"/>
  <c r="AF44" i="96" s="1"/>
  <c r="AF46" i="96" s="1"/>
  <c r="AD59" i="100"/>
  <c r="Q35" i="45"/>
  <c r="Q49" i="45"/>
  <c r="Q53" i="45"/>
  <c r="Q39" i="45"/>
  <c r="I145" i="57"/>
  <c r="I144" i="57"/>
  <c r="A52" i="70"/>
  <c r="P34" i="45"/>
  <c r="P48" i="45"/>
  <c r="Q51" i="45"/>
  <c r="Q37" i="45"/>
  <c r="P76" i="45"/>
  <c r="P65" i="45"/>
  <c r="H145" i="57"/>
  <c r="H144" i="57"/>
  <c r="A51" i="70"/>
  <c r="P38" i="45"/>
  <c r="Q27" i="45" s="1"/>
  <c r="P52" i="45"/>
  <c r="E15" i="70"/>
  <c r="A15" i="70" s="1"/>
  <c r="F38" i="44"/>
  <c r="A53" i="70"/>
  <c r="E53" i="70"/>
  <c r="M9" i="45"/>
  <c r="F10" i="42"/>
  <c r="A10" i="42" s="1"/>
  <c r="G10" i="42"/>
  <c r="F114" i="45"/>
  <c r="E114" i="45" s="1"/>
  <c r="G113" i="45"/>
  <c r="G114" i="45" s="1"/>
  <c r="P64" i="45"/>
  <c r="P75" i="45"/>
  <c r="A57" i="70"/>
  <c r="Q25" i="45"/>
  <c r="P63" i="45"/>
  <c r="P74" i="45"/>
  <c r="AI52" i="100"/>
  <c r="AI53" i="100"/>
  <c r="AH50" i="100" s="1"/>
  <c r="P67" i="45"/>
  <c r="P78" i="45"/>
  <c r="G144" i="57"/>
  <c r="G145" i="57"/>
  <c r="A54" i="70"/>
  <c r="Q40" i="45"/>
  <c r="R29" i="45" s="1"/>
  <c r="Q54" i="45"/>
  <c r="A56" i="70"/>
  <c r="P79" i="45"/>
  <c r="P68" i="45"/>
  <c r="A55" i="70"/>
  <c r="E55" i="70"/>
  <c r="E17" i="70"/>
  <c r="A17" i="70" s="1"/>
  <c r="F40" i="44"/>
  <c r="M11" i="45"/>
  <c r="G12" i="42"/>
  <c r="F12" i="42"/>
  <c r="A12" i="42" s="1"/>
  <c r="P41" i="45"/>
  <c r="Q30" i="45" s="1"/>
  <c r="P55" i="45"/>
  <c r="D57" i="115" l="1"/>
  <c r="M6" i="45"/>
  <c r="A48" i="45" s="1"/>
  <c r="BD891" i="42"/>
  <c r="H30" i="44" s="1"/>
  <c r="G15" i="70"/>
  <c r="P21" i="43" s="1"/>
  <c r="R21" i="43" s="1"/>
  <c r="H57" i="70"/>
  <c r="E50" i="70"/>
  <c r="G12" i="70"/>
  <c r="P18" i="43" s="1"/>
  <c r="R18" i="43" s="1"/>
  <c r="E12" i="70"/>
  <c r="P31" i="45"/>
  <c r="AF267" i="42"/>
  <c r="H27" i="44" s="1"/>
  <c r="F7" i="42"/>
  <c r="A7" i="42" s="1"/>
  <c r="G7" i="42"/>
  <c r="BT1307" i="42"/>
  <c r="H32" i="44" s="1"/>
  <c r="E19" i="70"/>
  <c r="A19" i="70" s="1"/>
  <c r="CJ1723" i="42"/>
  <c r="H34" i="44" s="1"/>
  <c r="E57" i="70"/>
  <c r="F42" i="44"/>
  <c r="F34" i="44" s="1"/>
  <c r="G17" i="70"/>
  <c r="P23" i="43" s="1"/>
  <c r="R23" i="43" s="1"/>
  <c r="F13" i="42"/>
  <c r="A13" i="42" s="1"/>
  <c r="M12" i="45"/>
  <c r="A29" i="45" s="1"/>
  <c r="E56" i="70"/>
  <c r="F57" i="70"/>
  <c r="F37" i="44"/>
  <c r="J37" i="44" s="1"/>
  <c r="N26" i="43"/>
  <c r="F14" i="42"/>
  <c r="A14" i="42" s="1"/>
  <c r="E14" i="70"/>
  <c r="M8" i="45" s="1"/>
  <c r="BL1099" i="42"/>
  <c r="H31" i="44" s="1"/>
  <c r="G14" i="42"/>
  <c r="G13" i="42"/>
  <c r="E16" i="70"/>
  <c r="A16" i="70" s="1"/>
  <c r="F39" i="44"/>
  <c r="F31" i="44" s="1"/>
  <c r="F56" i="70"/>
  <c r="F52" i="70"/>
  <c r="F41" i="44"/>
  <c r="J41" i="44" s="1"/>
  <c r="F9" i="42"/>
  <c r="A9" i="42" s="1"/>
  <c r="E18" i="70"/>
  <c r="A18" i="70" s="1"/>
  <c r="E52" i="70"/>
  <c r="AN475" i="42"/>
  <c r="H28" i="44" s="1"/>
  <c r="F51" i="70"/>
  <c r="G8" i="42"/>
  <c r="F8" i="42"/>
  <c r="A8" i="42" s="1"/>
  <c r="M7" i="45"/>
  <c r="L7" i="45" s="1"/>
  <c r="F54" i="70"/>
  <c r="G11" i="42"/>
  <c r="F11" i="42"/>
  <c r="A11" i="42" s="1"/>
  <c r="M10" i="45"/>
  <c r="A10" i="45" s="1"/>
  <c r="E51" i="70"/>
  <c r="G9" i="42"/>
  <c r="AH52" i="100"/>
  <c r="D317" i="10" s="1"/>
  <c r="Q41" i="45"/>
  <c r="R30" i="45" s="1"/>
  <c r="Q55" i="45"/>
  <c r="Q38" i="45"/>
  <c r="R27" i="45" s="1"/>
  <c r="Q52" i="45"/>
  <c r="R40" i="45"/>
  <c r="R54" i="45"/>
  <c r="Q76" i="45"/>
  <c r="Q65" i="45"/>
  <c r="R26" i="45"/>
  <c r="P80" i="45"/>
  <c r="P69" i="45"/>
  <c r="P56" i="45"/>
  <c r="A26" i="45"/>
  <c r="A9" i="45"/>
  <c r="A37" i="45"/>
  <c r="L9" i="45"/>
  <c r="A51" i="45"/>
  <c r="A76" i="45"/>
  <c r="A65" i="45"/>
  <c r="P42" i="45"/>
  <c r="P62" i="45"/>
  <c r="P73" i="45"/>
  <c r="A11" i="45"/>
  <c r="A39" i="45"/>
  <c r="L11" i="45"/>
  <c r="A28" i="45"/>
  <c r="A53" i="45"/>
  <c r="A67" i="45"/>
  <c r="A78" i="45"/>
  <c r="Q79" i="45"/>
  <c r="Q68" i="45"/>
  <c r="Q23" i="45"/>
  <c r="J38" i="44"/>
  <c r="F30" i="44"/>
  <c r="I146" i="57"/>
  <c r="I147" i="57"/>
  <c r="F27" i="44"/>
  <c r="J35" i="44"/>
  <c r="P77" i="45"/>
  <c r="P66" i="45"/>
  <c r="F28" i="44"/>
  <c r="J36" i="44"/>
  <c r="Q67" i="45"/>
  <c r="Q78" i="45"/>
  <c r="H147" i="57"/>
  <c r="H146" i="57"/>
  <c r="J40" i="44"/>
  <c r="F32" i="44"/>
  <c r="A58" i="70"/>
  <c r="R28" i="45"/>
  <c r="G146" i="57"/>
  <c r="G147" i="57"/>
  <c r="Q63" i="45"/>
  <c r="Q74" i="45"/>
  <c r="Q36" i="45"/>
  <c r="Q50" i="45"/>
  <c r="A30" i="45"/>
  <c r="A13" i="45"/>
  <c r="L13" i="45"/>
  <c r="A41" i="45"/>
  <c r="A55" i="45"/>
  <c r="A69" i="45"/>
  <c r="A80" i="45"/>
  <c r="R24" i="45"/>
  <c r="A62" i="45" l="1"/>
  <c r="L6" i="45"/>
  <c r="A73" i="45"/>
  <c r="A6" i="45"/>
  <c r="A34" i="45"/>
  <c r="A23" i="45"/>
  <c r="J30" i="44"/>
  <c r="A30" i="44" s="1"/>
  <c r="J42" i="44"/>
  <c r="A42" i="44" s="1"/>
  <c r="J32" i="44"/>
  <c r="A32" i="44" s="1"/>
  <c r="J34" i="44"/>
  <c r="A34" i="44" s="1"/>
  <c r="J27" i="44"/>
  <c r="A27" i="44" s="1"/>
  <c r="A14" i="70"/>
  <c r="A20" i="70" s="1"/>
  <c r="A68" i="45"/>
  <c r="A79" i="45"/>
  <c r="A12" i="45"/>
  <c r="A54" i="45"/>
  <c r="A40" i="45"/>
  <c r="L12" i="45"/>
  <c r="F29" i="44"/>
  <c r="J29" i="44" s="1"/>
  <c r="A29" i="44" s="1"/>
  <c r="J39" i="44"/>
  <c r="A39" i="44" s="1"/>
  <c r="J31" i="44"/>
  <c r="A31" i="44" s="1"/>
  <c r="F33" i="44"/>
  <c r="J33" i="44" s="1"/>
  <c r="A33" i="44" s="1"/>
  <c r="J28" i="44"/>
  <c r="A28" i="44" s="1"/>
  <c r="E58" i="70"/>
  <c r="E20" i="70"/>
  <c r="A24" i="45"/>
  <c r="A49" i="45"/>
  <c r="F20" i="70"/>
  <c r="D253" i="10" s="1"/>
  <c r="A74" i="45"/>
  <c r="A63" i="45"/>
  <c r="A35" i="45"/>
  <c r="A7" i="45"/>
  <c r="A52" i="45"/>
  <c r="F15" i="42"/>
  <c r="G15" i="42" s="1"/>
  <c r="A77" i="45"/>
  <c r="A66" i="45"/>
  <c r="L10" i="45"/>
  <c r="A38" i="45"/>
  <c r="A27" i="45"/>
  <c r="Q91" i="57"/>
  <c r="Q92" i="57" s="1"/>
  <c r="R38" i="45"/>
  <c r="S27" i="45" s="1"/>
  <c r="R52" i="45"/>
  <c r="R35" i="45"/>
  <c r="R49" i="45"/>
  <c r="Q34" i="45"/>
  <c r="R23" i="45" s="1"/>
  <c r="Q48" i="45"/>
  <c r="Q56" i="45" s="1"/>
  <c r="R37" i="45"/>
  <c r="S26" i="45" s="1"/>
  <c r="R51" i="45"/>
  <c r="T156" i="57"/>
  <c r="AA22" i="76"/>
  <c r="T157" i="57"/>
  <c r="T153" i="57"/>
  <c r="T154" i="57"/>
  <c r="T155" i="57"/>
  <c r="D150" i="10"/>
  <c r="R53" i="45"/>
  <c r="R39" i="45"/>
  <c r="R79" i="45"/>
  <c r="R68" i="45"/>
  <c r="A8" i="45"/>
  <c r="L8" i="45"/>
  <c r="A25" i="45"/>
  <c r="A64" i="45"/>
  <c r="A50" i="45"/>
  <c r="A36" i="45"/>
  <c r="A75" i="45"/>
  <c r="A37" i="44"/>
  <c r="S29" i="45"/>
  <c r="D258" i="10"/>
  <c r="A15" i="42"/>
  <c r="A38" i="44"/>
  <c r="P81" i="45"/>
  <c r="P70" i="45"/>
  <c r="Q77" i="45"/>
  <c r="Q66" i="45"/>
  <c r="J43" i="44"/>
  <c r="Q64" i="45"/>
  <c r="Q75" i="45"/>
  <c r="R25" i="45"/>
  <c r="P44" i="45"/>
  <c r="P45" i="45" s="1"/>
  <c r="Q31" i="45"/>
  <c r="A40" i="44"/>
  <c r="R41" i="45"/>
  <c r="S30" i="45" s="1"/>
  <c r="R55" i="45"/>
  <c r="A41" i="44"/>
  <c r="A35" i="44"/>
  <c r="Q80" i="45"/>
  <c r="Q69" i="45"/>
  <c r="G58" i="70" l="1"/>
  <c r="L47" i="45"/>
  <c r="S41" i="45"/>
  <c r="T30" i="45" s="1"/>
  <c r="S55" i="45"/>
  <c r="S37" i="45"/>
  <c r="S51" i="45"/>
  <c r="R76" i="45"/>
  <c r="R65" i="45"/>
  <c r="G104" i="45"/>
  <c r="G116" i="45"/>
  <c r="G117" i="45" s="1"/>
  <c r="Q42" i="45"/>
  <c r="Q44" i="45" s="1"/>
  <c r="Q45" i="45" s="1"/>
  <c r="Q62" i="45"/>
  <c r="Q70" i="45" s="1"/>
  <c r="Q73" i="45"/>
  <c r="Q81" i="45" s="1"/>
  <c r="R34" i="45"/>
  <c r="S23" i="45" s="1"/>
  <c r="R48" i="45"/>
  <c r="R67" i="45"/>
  <c r="R78" i="45"/>
  <c r="R36" i="45"/>
  <c r="R50" i="45"/>
  <c r="S40" i="45"/>
  <c r="T29" i="45" s="1"/>
  <c r="S54" i="45"/>
  <c r="S28" i="45"/>
  <c r="R63" i="45"/>
  <c r="R74" i="45"/>
  <c r="S24" i="45"/>
  <c r="R80" i="45"/>
  <c r="R69" i="45"/>
  <c r="D200" i="10"/>
  <c r="S38" i="45"/>
  <c r="T27" i="45" s="1"/>
  <c r="S52" i="45"/>
  <c r="A6" i="44"/>
  <c r="R77" i="45"/>
  <c r="R66" i="45"/>
  <c r="R56" i="45" l="1"/>
  <c r="S34" i="45"/>
  <c r="S48" i="45"/>
  <c r="R42" i="45"/>
  <c r="R62" i="45"/>
  <c r="R73" i="45"/>
  <c r="S76" i="45"/>
  <c r="S65" i="45"/>
  <c r="T52" i="45"/>
  <c r="T38" i="45"/>
  <c r="R64" i="45"/>
  <c r="R75" i="45"/>
  <c r="T26" i="45"/>
  <c r="R31" i="45"/>
  <c r="S53" i="45"/>
  <c r="S39" i="45"/>
  <c r="T40" i="45"/>
  <c r="U29" i="45" s="1"/>
  <c r="T54" i="45"/>
  <c r="S25" i="45"/>
  <c r="T41" i="45"/>
  <c r="U30" i="45" s="1"/>
  <c r="T55" i="45"/>
  <c r="S77" i="45"/>
  <c r="S66" i="45"/>
  <c r="S49" i="45"/>
  <c r="S35" i="45"/>
  <c r="S79" i="45"/>
  <c r="S68" i="45"/>
  <c r="S80" i="45"/>
  <c r="S69" i="45"/>
  <c r="R81" i="45" l="1"/>
  <c r="T77" i="45"/>
  <c r="T66" i="45"/>
  <c r="U55" i="45"/>
  <c r="U41" i="45"/>
  <c r="T80" i="45"/>
  <c r="T69" i="45"/>
  <c r="U40" i="45"/>
  <c r="U54" i="45"/>
  <c r="S63" i="45"/>
  <c r="S74" i="45"/>
  <c r="T24" i="45"/>
  <c r="R70" i="45"/>
  <c r="S36" i="45"/>
  <c r="T25" i="45" s="1"/>
  <c r="S50" i="45"/>
  <c r="S56" i="45" s="1"/>
  <c r="S67" i="45"/>
  <c r="S78" i="45"/>
  <c r="T28" i="45"/>
  <c r="T79" i="45"/>
  <c r="T68" i="45"/>
  <c r="R44" i="45"/>
  <c r="R45" i="45" s="1"/>
  <c r="S31" i="45"/>
  <c r="S62" i="45"/>
  <c r="S73" i="45"/>
  <c r="U27" i="45"/>
  <c r="T37" i="45"/>
  <c r="U26" i="45" s="1"/>
  <c r="T51" i="45"/>
  <c r="T23" i="45"/>
  <c r="T36" i="45" l="1"/>
  <c r="T50" i="45"/>
  <c r="T76" i="45"/>
  <c r="T65" i="45"/>
  <c r="S64" i="45"/>
  <c r="S70" i="45" s="1"/>
  <c r="S75" i="45"/>
  <c r="S81" i="45" s="1"/>
  <c r="T35" i="45"/>
  <c r="T49" i="45"/>
  <c r="S42" i="45"/>
  <c r="T31" i="45" s="1"/>
  <c r="U79" i="45"/>
  <c r="U68" i="45"/>
  <c r="V29" i="45"/>
  <c r="U80" i="45"/>
  <c r="U69" i="45"/>
  <c r="V30" i="45"/>
  <c r="T48" i="45"/>
  <c r="T34" i="45"/>
  <c r="U37" i="45"/>
  <c r="U51" i="45"/>
  <c r="U38" i="45"/>
  <c r="V27" i="45" s="1"/>
  <c r="U52" i="45"/>
  <c r="T53" i="45"/>
  <c r="T39" i="45"/>
  <c r="U28" i="45" s="1"/>
  <c r="V38" i="45" l="1"/>
  <c r="W27" i="45" s="1"/>
  <c r="V52" i="45"/>
  <c r="V40" i="45"/>
  <c r="W29" i="45" s="1"/>
  <c r="V54" i="45"/>
  <c r="S44" i="45"/>
  <c r="S45" i="45" s="1"/>
  <c r="T63" i="45"/>
  <c r="T74" i="45"/>
  <c r="U77" i="45"/>
  <c r="U66" i="45"/>
  <c r="U24" i="45"/>
  <c r="T67" i="45"/>
  <c r="T78" i="45"/>
  <c r="U65" i="45"/>
  <c r="U76" i="45"/>
  <c r="V26" i="45"/>
  <c r="T62" i="45"/>
  <c r="T42" i="45"/>
  <c r="U31" i="45" s="1"/>
  <c r="T73" i="45"/>
  <c r="T56" i="45"/>
  <c r="U23" i="45"/>
  <c r="T64" i="45"/>
  <c r="T75" i="45"/>
  <c r="U53" i="45"/>
  <c r="U39" i="45"/>
  <c r="V41" i="45"/>
  <c r="W30" i="45" s="1"/>
  <c r="V55" i="45"/>
  <c r="U25" i="45"/>
  <c r="G105" i="45" l="1"/>
  <c r="G106" i="45" s="1"/>
  <c r="G107" i="45" s="1"/>
  <c r="G109" i="45" s="1"/>
  <c r="G119" i="45" s="1"/>
  <c r="G120" i="45" s="1"/>
  <c r="G121" i="45" s="1"/>
  <c r="O99" i="45" s="1"/>
  <c r="F106" i="45"/>
  <c r="W55" i="45"/>
  <c r="W41" i="45"/>
  <c r="X30" i="45" s="1"/>
  <c r="V80" i="45"/>
  <c r="V69" i="45"/>
  <c r="W40" i="45"/>
  <c r="W54" i="45"/>
  <c r="U67" i="45"/>
  <c r="U78" i="45"/>
  <c r="V79" i="45"/>
  <c r="V68" i="45"/>
  <c r="V28" i="45"/>
  <c r="U36" i="45"/>
  <c r="V25" i="45" s="1"/>
  <c r="U50" i="45"/>
  <c r="W38" i="45"/>
  <c r="X27" i="45" s="1"/>
  <c r="W52" i="45"/>
  <c r="V77" i="45"/>
  <c r="V66" i="45"/>
  <c r="T81" i="45"/>
  <c r="T70" i="45"/>
  <c r="V37" i="45"/>
  <c r="V51" i="45"/>
  <c r="U35" i="45"/>
  <c r="U49" i="45"/>
  <c r="T44" i="45"/>
  <c r="T45" i="45" s="1"/>
  <c r="U48" i="45"/>
  <c r="U34" i="45"/>
  <c r="D59" i="115" l="1"/>
  <c r="D60" i="115" s="1"/>
  <c r="D45" i="115"/>
  <c r="D46" i="115" s="1"/>
  <c r="U56" i="45"/>
  <c r="X52" i="45"/>
  <c r="X38" i="45"/>
  <c r="V36" i="45"/>
  <c r="V50" i="45"/>
  <c r="W80" i="45"/>
  <c r="W69" i="45"/>
  <c r="V39" i="45"/>
  <c r="W28" i="45" s="1"/>
  <c r="V53" i="45"/>
  <c r="U63" i="45"/>
  <c r="U74" i="45"/>
  <c r="V24" i="45"/>
  <c r="U64" i="45"/>
  <c r="U75" i="45"/>
  <c r="U62" i="45"/>
  <c r="U42" i="45"/>
  <c r="U73" i="45"/>
  <c r="V65" i="45"/>
  <c r="V76" i="45"/>
  <c r="X41" i="45"/>
  <c r="Y30" i="45" s="1"/>
  <c r="X55" i="45"/>
  <c r="V23" i="45"/>
  <c r="W26" i="45"/>
  <c r="W79" i="45"/>
  <c r="W68" i="45"/>
  <c r="W77" i="45"/>
  <c r="W66" i="45"/>
  <c r="X29" i="45"/>
  <c r="U70" i="45" l="1"/>
  <c r="W39" i="45"/>
  <c r="X28" i="45" s="1"/>
  <c r="W53" i="45"/>
  <c r="V35" i="45"/>
  <c r="V49" i="45"/>
  <c r="V64" i="45"/>
  <c r="V75" i="45"/>
  <c r="W25" i="45"/>
  <c r="V48" i="45"/>
  <c r="V34" i="45"/>
  <c r="X77" i="45"/>
  <c r="X66" i="45"/>
  <c r="X40" i="45"/>
  <c r="Y29" i="45" s="1"/>
  <c r="X54" i="45"/>
  <c r="V31" i="45"/>
  <c r="U44" i="45"/>
  <c r="U45" i="45" s="1"/>
  <c r="V78" i="45"/>
  <c r="V67" i="45"/>
  <c r="W37" i="45"/>
  <c r="W51" i="45"/>
  <c r="Y55" i="45"/>
  <c r="Y41" i="45"/>
  <c r="X80" i="45"/>
  <c r="X69" i="45"/>
  <c r="U81" i="45"/>
  <c r="Y27" i="45"/>
  <c r="V56" i="45" l="1"/>
  <c r="V62" i="45"/>
  <c r="V42" i="45"/>
  <c r="W31" i="45" s="1"/>
  <c r="V73" i="45"/>
  <c r="Y80" i="45"/>
  <c r="Y69" i="45"/>
  <c r="X79" i="45"/>
  <c r="X68" i="45"/>
  <c r="W36" i="45"/>
  <c r="X25" i="45" s="1"/>
  <c r="W50" i="45"/>
  <c r="V63" i="45"/>
  <c r="V74" i="45"/>
  <c r="W24" i="45"/>
  <c r="Y40" i="45"/>
  <c r="Z29" i="45" s="1"/>
  <c r="Y54" i="45"/>
  <c r="Y52" i="45"/>
  <c r="Y38" i="45"/>
  <c r="Z27" i="45" s="1"/>
  <c r="Z30" i="45"/>
  <c r="X39" i="45"/>
  <c r="Y28" i="45" s="1"/>
  <c r="X53" i="45"/>
  <c r="W23" i="45"/>
  <c r="W65" i="45"/>
  <c r="W76" i="45"/>
  <c r="X26" i="45"/>
  <c r="W78" i="45"/>
  <c r="W67" i="45"/>
  <c r="V44" i="45" l="1"/>
  <c r="V45" i="45" s="1"/>
  <c r="X36" i="45"/>
  <c r="X50" i="45"/>
  <c r="Z40" i="45"/>
  <c r="Z54" i="45"/>
  <c r="X37" i="45"/>
  <c r="X51" i="45"/>
  <c r="Z52" i="45"/>
  <c r="Z38" i="45"/>
  <c r="W34" i="45"/>
  <c r="X23" i="45" s="1"/>
  <c r="W48" i="45"/>
  <c r="Y68" i="45"/>
  <c r="Y79" i="45"/>
  <c r="Y39" i="45"/>
  <c r="Z28" i="45" s="1"/>
  <c r="Y53" i="45"/>
  <c r="X78" i="45"/>
  <c r="X67" i="45"/>
  <c r="V81" i="45"/>
  <c r="W35" i="45"/>
  <c r="X24" i="45" s="1"/>
  <c r="W49" i="45"/>
  <c r="Z55" i="45"/>
  <c r="Z41" i="45"/>
  <c r="AA30" i="45" s="1"/>
  <c r="W64" i="45"/>
  <c r="W75" i="45"/>
  <c r="Y77" i="45"/>
  <c r="Y66" i="45"/>
  <c r="V70" i="45"/>
  <c r="W56" i="45" l="1"/>
  <c r="AA55" i="45"/>
  <c r="AA41" i="45"/>
  <c r="Z39" i="45"/>
  <c r="AA28" i="45" s="1"/>
  <c r="Z53" i="45"/>
  <c r="W62" i="45"/>
  <c r="W42" i="45"/>
  <c r="W73" i="45"/>
  <c r="X48" i="45"/>
  <c r="X34" i="45"/>
  <c r="Z77" i="45"/>
  <c r="Z66" i="45"/>
  <c r="AA27" i="45"/>
  <c r="X65" i="45"/>
  <c r="X76" i="45"/>
  <c r="X35" i="45"/>
  <c r="Y24" i="45" s="1"/>
  <c r="X49" i="45"/>
  <c r="Y78" i="45"/>
  <c r="Y67" i="45"/>
  <c r="Y26" i="45"/>
  <c r="Z68" i="45"/>
  <c r="Z79" i="45"/>
  <c r="X64" i="45"/>
  <c r="X75" i="45"/>
  <c r="Z80" i="45"/>
  <c r="Z69" i="45"/>
  <c r="W63" i="45"/>
  <c r="W74" i="45"/>
  <c r="AA29" i="45"/>
  <c r="Y25" i="45"/>
  <c r="Y35" i="45" l="1"/>
  <c r="Y49" i="45"/>
  <c r="W81" i="45"/>
  <c r="X62" i="45"/>
  <c r="X42" i="45"/>
  <c r="X73" i="45"/>
  <c r="Y23" i="45"/>
  <c r="W70" i="45"/>
  <c r="X63" i="45"/>
  <c r="X74" i="45"/>
  <c r="AA40" i="45"/>
  <c r="AA54" i="45"/>
  <c r="AA80" i="45"/>
  <c r="AA69" i="45"/>
  <c r="AA38" i="45"/>
  <c r="AB27" i="45" s="1"/>
  <c r="AA52" i="45"/>
  <c r="X56" i="45"/>
  <c r="W44" i="45"/>
  <c r="W45" i="45" s="1"/>
  <c r="X31" i="45"/>
  <c r="AA39" i="45"/>
  <c r="AA53" i="45"/>
  <c r="Z78" i="45"/>
  <c r="Z67" i="45"/>
  <c r="Y36" i="45"/>
  <c r="Z25" i="45" s="1"/>
  <c r="Y50" i="45"/>
  <c r="Y37" i="45"/>
  <c r="Y51" i="45"/>
  <c r="AB30" i="45"/>
  <c r="Z50" i="45" l="1"/>
  <c r="Z36" i="45"/>
  <c r="AB52" i="45"/>
  <c r="AB38" i="45"/>
  <c r="X81" i="45"/>
  <c r="AA66" i="45"/>
  <c r="AA77" i="45"/>
  <c r="AB55" i="45"/>
  <c r="AB41" i="45"/>
  <c r="AC30" i="45" s="1"/>
  <c r="Y65" i="45"/>
  <c r="Y76" i="45"/>
  <c r="Z26" i="45"/>
  <c r="AA68" i="45"/>
  <c r="AA79" i="45"/>
  <c r="X70" i="45"/>
  <c r="AB29" i="45"/>
  <c r="Y31" i="45"/>
  <c r="X44" i="45"/>
  <c r="X45" i="45" s="1"/>
  <c r="Y63" i="45"/>
  <c r="Y74" i="45"/>
  <c r="Y64" i="45"/>
  <c r="Y75" i="45"/>
  <c r="Y34" i="45"/>
  <c r="Y48" i="45"/>
  <c r="Y56" i="45" s="1"/>
  <c r="AA78" i="45"/>
  <c r="AA67" i="45"/>
  <c r="AB28" i="45"/>
  <c r="Z24" i="45"/>
  <c r="AC41" i="45" l="1"/>
  <c r="AC55" i="45"/>
  <c r="Z35" i="45"/>
  <c r="AA24" i="45" s="1"/>
  <c r="Z49" i="45"/>
  <c r="Y42" i="45"/>
  <c r="Z31" i="45" s="1"/>
  <c r="Y62" i="45"/>
  <c r="Y70" i="45" s="1"/>
  <c r="Y73" i="45"/>
  <c r="Y81" i="45" s="1"/>
  <c r="Z23" i="45"/>
  <c r="AB66" i="45"/>
  <c r="AB77" i="45"/>
  <c r="AB80" i="45"/>
  <c r="AB69" i="45"/>
  <c r="AC27" i="45"/>
  <c r="Z37" i="45"/>
  <c r="Z51" i="45"/>
  <c r="AB39" i="45"/>
  <c r="AC28" i="45" s="1"/>
  <c r="AB53" i="45"/>
  <c r="Z64" i="45"/>
  <c r="Z75" i="45"/>
  <c r="AB40" i="45"/>
  <c r="AB54" i="45"/>
  <c r="AA25" i="45"/>
  <c r="Y44" i="45" l="1"/>
  <c r="Y45" i="45" s="1"/>
  <c r="AA49" i="45"/>
  <c r="AA35" i="45"/>
  <c r="Z65" i="45"/>
  <c r="Z76" i="45"/>
  <c r="AC52" i="45"/>
  <c r="AC38" i="45"/>
  <c r="AA36" i="45"/>
  <c r="AB25" i="45" s="1"/>
  <c r="AA50" i="45"/>
  <c r="AA26" i="45"/>
  <c r="AC80" i="45"/>
  <c r="AC69" i="45"/>
  <c r="AB68" i="45"/>
  <c r="AB79" i="45"/>
  <c r="AC29" i="45"/>
  <c r="Z34" i="45"/>
  <c r="AA23" i="45" s="1"/>
  <c r="Z48" i="45"/>
  <c r="Z56" i="45" s="1"/>
  <c r="Z63" i="45"/>
  <c r="Z74" i="45"/>
  <c r="AC39" i="45"/>
  <c r="AD28" i="45" s="1"/>
  <c r="AC53" i="45"/>
  <c r="AB78" i="45"/>
  <c r="AB67" i="45"/>
  <c r="AD30" i="45"/>
  <c r="AA48" i="45" l="1"/>
  <c r="AA34" i="45"/>
  <c r="AB36" i="45"/>
  <c r="AB50" i="45"/>
  <c r="AD41" i="45"/>
  <c r="AE30" i="45" s="1"/>
  <c r="AD55" i="45"/>
  <c r="AA64" i="45"/>
  <c r="AA75" i="45"/>
  <c r="AC66" i="45"/>
  <c r="AC77" i="45"/>
  <c r="AD27" i="45"/>
  <c r="AA37" i="45"/>
  <c r="AA51" i="45"/>
  <c r="AC78" i="45"/>
  <c r="AC67" i="45"/>
  <c r="AA63" i="45"/>
  <c r="AA74" i="45"/>
  <c r="Z42" i="45"/>
  <c r="Z62" i="45"/>
  <c r="Z70" i="45" s="1"/>
  <c r="Z73" i="45"/>
  <c r="Z81" i="45" s="1"/>
  <c r="AB24" i="45"/>
  <c r="AD39" i="45"/>
  <c r="AE28" i="45" s="1"/>
  <c r="AD53" i="45"/>
  <c r="AC40" i="45"/>
  <c r="AD29" i="45" s="1"/>
  <c r="AC54" i="45"/>
  <c r="AD40" i="45" l="1"/>
  <c r="AE29" i="45" s="1"/>
  <c r="AD54" i="45"/>
  <c r="AE41" i="45"/>
  <c r="AF30" i="45" s="1"/>
  <c r="AE55" i="45"/>
  <c r="AD80" i="45"/>
  <c r="AD69" i="45"/>
  <c r="AA31" i="45"/>
  <c r="Z44" i="45"/>
  <c r="Z45" i="45" s="1"/>
  <c r="AE39" i="45"/>
  <c r="AF28" i="45" s="1"/>
  <c r="AE53" i="45"/>
  <c r="AA42" i="45"/>
  <c r="AA62" i="45"/>
  <c r="AA73" i="45"/>
  <c r="AB64" i="45"/>
  <c r="AB75" i="45"/>
  <c r="AB23" i="45"/>
  <c r="AA65" i="45"/>
  <c r="AA76" i="45"/>
  <c r="AB26" i="45"/>
  <c r="AD52" i="45"/>
  <c r="AD38" i="45"/>
  <c r="AC79" i="45"/>
  <c r="AC68" i="45"/>
  <c r="AD78" i="45"/>
  <c r="AD67" i="45"/>
  <c r="AB49" i="45"/>
  <c r="AB35" i="45"/>
  <c r="AC25" i="45"/>
  <c r="AA56" i="45"/>
  <c r="AA81" i="45" l="1"/>
  <c r="AA70" i="45"/>
  <c r="AF39" i="45"/>
  <c r="AF53" i="45"/>
  <c r="AC36" i="45"/>
  <c r="AC50" i="45"/>
  <c r="AB63" i="45"/>
  <c r="AB74" i="45"/>
  <c r="AB31" i="45"/>
  <c r="AA44" i="45"/>
  <c r="AA45" i="45" s="1"/>
  <c r="AC24" i="45"/>
  <c r="AE78" i="45"/>
  <c r="AE67" i="45"/>
  <c r="AE40" i="45"/>
  <c r="AF29" i="45" s="1"/>
  <c r="AE54" i="45"/>
  <c r="AD66" i="45"/>
  <c r="AD77" i="45"/>
  <c r="AF41" i="45"/>
  <c r="AF55" i="45"/>
  <c r="AE27" i="45"/>
  <c r="AB37" i="45"/>
  <c r="AB51" i="45"/>
  <c r="AE80" i="45"/>
  <c r="AE69" i="45"/>
  <c r="AB34" i="45"/>
  <c r="AC23" i="45" s="1"/>
  <c r="AB48" i="45"/>
  <c r="AD79" i="45"/>
  <c r="AD68" i="45"/>
  <c r="AB56" i="45" l="1"/>
  <c r="AB42" i="45"/>
  <c r="AB44" i="45" s="1"/>
  <c r="AB45" i="45" s="1"/>
  <c r="AB62" i="45"/>
  <c r="AB73" i="45"/>
  <c r="AE79" i="45"/>
  <c r="AE68" i="45"/>
  <c r="AC49" i="45"/>
  <c r="AC35" i="45"/>
  <c r="AD24" i="45" s="1"/>
  <c r="AC34" i="45"/>
  <c r="AD23" i="45" s="1"/>
  <c r="AC48" i="45"/>
  <c r="AC64" i="45"/>
  <c r="AC75" i="45"/>
  <c r="AE38" i="45"/>
  <c r="AF27" i="45" s="1"/>
  <c r="AE52" i="45"/>
  <c r="AD25" i="45"/>
  <c r="AF78" i="45"/>
  <c r="AF67" i="45"/>
  <c r="AF40" i="45"/>
  <c r="AF54" i="45"/>
  <c r="AB65" i="45"/>
  <c r="AB76" i="45"/>
  <c r="AC26" i="45"/>
  <c r="AF69" i="45"/>
  <c r="AF80" i="45"/>
  <c r="AG30" i="45"/>
  <c r="AG28" i="45"/>
  <c r="AC31" i="45" l="1"/>
  <c r="AF38" i="45"/>
  <c r="AF52" i="45"/>
  <c r="AG39" i="45"/>
  <c r="AH28" i="45" s="1"/>
  <c r="AG53" i="45"/>
  <c r="AD35" i="45"/>
  <c r="AE24" i="45" s="1"/>
  <c r="AD49" i="45"/>
  <c r="AF79" i="45"/>
  <c r="AF68" i="45"/>
  <c r="AC62" i="45"/>
  <c r="AC73" i="45"/>
  <c r="AB81" i="45"/>
  <c r="AD36" i="45"/>
  <c r="AD50" i="45"/>
  <c r="AC37" i="45"/>
  <c r="AC42" i="45" s="1"/>
  <c r="AC51" i="45"/>
  <c r="AC56" i="45" s="1"/>
  <c r="AC63" i="45"/>
  <c r="AC74" i="45"/>
  <c r="AB70" i="45"/>
  <c r="AE66" i="45"/>
  <c r="AE77" i="45"/>
  <c r="AG41" i="45"/>
  <c r="AG55" i="45"/>
  <c r="AD34" i="45"/>
  <c r="AD48" i="45"/>
  <c r="AG29" i="45"/>
  <c r="AD31" i="45" l="1"/>
  <c r="AC44" i="45"/>
  <c r="AC45" i="45" s="1"/>
  <c r="AE49" i="45"/>
  <c r="AE35" i="45"/>
  <c r="AH39" i="45"/>
  <c r="AI28" i="45" s="1"/>
  <c r="AH53" i="45"/>
  <c r="AC65" i="45"/>
  <c r="AC70" i="45" s="1"/>
  <c r="AC76" i="45"/>
  <c r="AC81" i="45" s="1"/>
  <c r="AG40" i="45"/>
  <c r="AG54" i="45"/>
  <c r="AD63" i="45"/>
  <c r="AD74" i="45"/>
  <c r="AF66" i="45"/>
  <c r="AF77" i="45"/>
  <c r="AD64" i="45"/>
  <c r="AD75" i="45"/>
  <c r="AE25" i="45"/>
  <c r="AD62" i="45"/>
  <c r="AD73" i="45"/>
  <c r="AE23" i="45"/>
  <c r="AG69" i="45"/>
  <c r="AG80" i="45"/>
  <c r="AH30" i="45"/>
  <c r="AG78" i="45"/>
  <c r="AG67" i="45"/>
  <c r="AD26" i="45"/>
  <c r="AG27" i="45"/>
  <c r="AG79" i="45" l="1"/>
  <c r="AG68" i="45"/>
  <c r="AD37" i="45"/>
  <c r="AE26" i="45" s="1"/>
  <c r="AD51" i="45"/>
  <c r="AD56" i="45" s="1"/>
  <c r="AE34" i="45"/>
  <c r="AE48" i="45"/>
  <c r="AH29" i="45"/>
  <c r="AH41" i="45"/>
  <c r="AI30" i="45" s="1"/>
  <c r="AH55" i="45"/>
  <c r="AE63" i="45"/>
  <c r="AE74" i="45"/>
  <c r="AE36" i="45"/>
  <c r="AE50" i="45"/>
  <c r="AG38" i="45"/>
  <c r="AG52" i="45"/>
  <c r="AI39" i="45"/>
  <c r="AJ28" i="45" s="1"/>
  <c r="AI53" i="45"/>
  <c r="AH78" i="45"/>
  <c r="AH67" i="45"/>
  <c r="AF24" i="45"/>
  <c r="AI41" i="45" l="1"/>
  <c r="AI55" i="45"/>
  <c r="AG66" i="45"/>
  <c r="AG77" i="45"/>
  <c r="AE64" i="45"/>
  <c r="AE75" i="45"/>
  <c r="AH54" i="45"/>
  <c r="AH40" i="45"/>
  <c r="AD76" i="45"/>
  <c r="AD81" i="45" s="1"/>
  <c r="AD65" i="45"/>
  <c r="AD70" i="45" s="1"/>
  <c r="AD42" i="45"/>
  <c r="AH27" i="45"/>
  <c r="AE62" i="45"/>
  <c r="AE73" i="45"/>
  <c r="AJ39" i="45"/>
  <c r="AJ53" i="45"/>
  <c r="AF25" i="45"/>
  <c r="AH69" i="45"/>
  <c r="AH80" i="45"/>
  <c r="AF35" i="45"/>
  <c r="AG24" i="45" s="1"/>
  <c r="AF49" i="45"/>
  <c r="AF23" i="45"/>
  <c r="AE37" i="45"/>
  <c r="AF26" i="45" s="1"/>
  <c r="AE51" i="45"/>
  <c r="AE56" i="45" s="1"/>
  <c r="AI67" i="45"/>
  <c r="AI78" i="45"/>
  <c r="AE42" i="45" l="1"/>
  <c r="AG49" i="45"/>
  <c r="AG35" i="45"/>
  <c r="AJ67" i="45"/>
  <c r="AJ78" i="45"/>
  <c r="AF48" i="45"/>
  <c r="AF34" i="45"/>
  <c r="AH79" i="45"/>
  <c r="AH68" i="45"/>
  <c r="AE76" i="45"/>
  <c r="AE81" i="45" s="1"/>
  <c r="AE65" i="45"/>
  <c r="AE70" i="45" s="1"/>
  <c r="AI29" i="45"/>
  <c r="AH38" i="45"/>
  <c r="AI27" i="45" s="1"/>
  <c r="AH52" i="45"/>
  <c r="AD44" i="45"/>
  <c r="AD45" i="45" s="1"/>
  <c r="AE31" i="45"/>
  <c r="AI69" i="45"/>
  <c r="AI80" i="45"/>
  <c r="AF37" i="45"/>
  <c r="AG26" i="45" s="1"/>
  <c r="AF51" i="45"/>
  <c r="AF63" i="45"/>
  <c r="AF74" i="45"/>
  <c r="AF50" i="45"/>
  <c r="AF36" i="45"/>
  <c r="AK28" i="45"/>
  <c r="AJ30" i="45"/>
  <c r="AI38" i="45" l="1"/>
  <c r="AI52" i="45"/>
  <c r="AF31" i="45"/>
  <c r="AE44" i="45"/>
  <c r="AE45" i="45" s="1"/>
  <c r="AJ41" i="45"/>
  <c r="AJ55" i="45"/>
  <c r="AF64" i="45"/>
  <c r="AF75" i="45"/>
  <c r="AF76" i="45"/>
  <c r="AF65" i="45"/>
  <c r="AG63" i="45"/>
  <c r="AG74" i="45"/>
  <c r="AH66" i="45"/>
  <c r="AH77" i="45"/>
  <c r="AI40" i="45"/>
  <c r="AJ29" i="45" s="1"/>
  <c r="AI54" i="45"/>
  <c r="AK39" i="45"/>
  <c r="AL28" i="45" s="1"/>
  <c r="AK53" i="45"/>
  <c r="AG25" i="45"/>
  <c r="AF42" i="45"/>
  <c r="AF62" i="45"/>
  <c r="AF73" i="45"/>
  <c r="AG23" i="45"/>
  <c r="AF56" i="45"/>
  <c r="AG51" i="45"/>
  <c r="AG37" i="45"/>
  <c r="AH24" i="45"/>
  <c r="AL39" i="45" l="1"/>
  <c r="AL53" i="45"/>
  <c r="AJ40" i="45"/>
  <c r="AK29" i="45" s="1"/>
  <c r="AJ54" i="45"/>
  <c r="AI79" i="45"/>
  <c r="AI68" i="45"/>
  <c r="AF81" i="45"/>
  <c r="AG76" i="45"/>
  <c r="AG65" i="45"/>
  <c r="AG36" i="45"/>
  <c r="AG50" i="45"/>
  <c r="AH26" i="45"/>
  <c r="AG34" i="45"/>
  <c r="AH23" i="45" s="1"/>
  <c r="AG48" i="45"/>
  <c r="AJ80" i="45"/>
  <c r="AJ69" i="45"/>
  <c r="AK30" i="45"/>
  <c r="AI66" i="45"/>
  <c r="AI77" i="45"/>
  <c r="AH49" i="45"/>
  <c r="AH35" i="45"/>
  <c r="AF70" i="45"/>
  <c r="AG31" i="45"/>
  <c r="AF44" i="45"/>
  <c r="AF45" i="45" s="1"/>
  <c r="AK67" i="45"/>
  <c r="AK78" i="45"/>
  <c r="AJ27" i="45"/>
  <c r="AG56" i="45" l="1"/>
  <c r="AH34" i="45"/>
  <c r="AH48" i="45"/>
  <c r="AG64" i="45"/>
  <c r="AG75" i="45"/>
  <c r="AG42" i="45"/>
  <c r="AG44" i="45" s="1"/>
  <c r="AG45" i="45" s="1"/>
  <c r="AG62" i="45"/>
  <c r="AG73" i="45"/>
  <c r="AJ38" i="45"/>
  <c r="AK27" i="45" s="1"/>
  <c r="AJ52" i="45"/>
  <c r="AH37" i="45"/>
  <c r="AI26" i="45" s="1"/>
  <c r="AH51" i="45"/>
  <c r="AH63" i="45"/>
  <c r="AH74" i="45"/>
  <c r="AK40" i="45"/>
  <c r="AL29" i="45" s="1"/>
  <c r="AK54" i="45"/>
  <c r="AL67" i="45"/>
  <c r="AL78" i="45"/>
  <c r="AH25" i="45"/>
  <c r="AI24" i="45"/>
  <c r="AJ79" i="45"/>
  <c r="AJ68" i="45"/>
  <c r="AK41" i="45"/>
  <c r="AL30" i="45" s="1"/>
  <c r="AK55" i="45"/>
  <c r="AM28" i="45"/>
  <c r="AG81" i="45" l="1"/>
  <c r="AG70" i="45"/>
  <c r="AK38" i="45"/>
  <c r="AL27" i="45" s="1"/>
  <c r="AK52" i="45"/>
  <c r="AL54" i="45"/>
  <c r="AL40" i="45"/>
  <c r="AL41" i="45"/>
  <c r="AM30" i="45" s="1"/>
  <c r="AL55" i="45"/>
  <c r="AM39" i="45"/>
  <c r="AN28" i="45" s="1"/>
  <c r="AM53" i="45"/>
  <c r="AK80" i="45"/>
  <c r="AK69" i="45"/>
  <c r="AK79" i="45"/>
  <c r="AK68" i="45"/>
  <c r="AI37" i="45"/>
  <c r="AJ26" i="45" s="1"/>
  <c r="AI51" i="45"/>
  <c r="AH36" i="45"/>
  <c r="AH42" i="45" s="1"/>
  <c r="AH50" i="45"/>
  <c r="AH56" i="45" s="1"/>
  <c r="AH62" i="45"/>
  <c r="AH73" i="45"/>
  <c r="AH65" i="45"/>
  <c r="AH76" i="45"/>
  <c r="AJ77" i="45"/>
  <c r="AJ66" i="45"/>
  <c r="AI35" i="45"/>
  <c r="AJ24" i="45" s="1"/>
  <c r="AI49" i="45"/>
  <c r="AH31" i="45"/>
  <c r="AI23" i="45"/>
  <c r="AN39" i="45" l="1"/>
  <c r="AN53" i="45"/>
  <c r="AI65" i="45"/>
  <c r="AI76" i="45"/>
  <c r="AI63" i="45"/>
  <c r="AI74" i="45"/>
  <c r="AM41" i="45"/>
  <c r="AN30" i="45" s="1"/>
  <c r="AM55" i="45"/>
  <c r="AL79" i="45"/>
  <c r="AL68" i="45"/>
  <c r="AJ37" i="45"/>
  <c r="AK26" i="45" s="1"/>
  <c r="AJ51" i="45"/>
  <c r="AM29" i="45"/>
  <c r="AL38" i="45"/>
  <c r="AM27" i="45" s="1"/>
  <c r="AL52" i="45"/>
  <c r="AI34" i="45"/>
  <c r="AI48" i="45"/>
  <c r="AH44" i="45"/>
  <c r="AH45" i="45" s="1"/>
  <c r="AI31" i="45"/>
  <c r="AJ35" i="45"/>
  <c r="AJ49" i="45"/>
  <c r="AM67" i="45"/>
  <c r="AM78" i="45"/>
  <c r="AL80" i="45"/>
  <c r="AL69" i="45"/>
  <c r="AH64" i="45"/>
  <c r="AH70" i="45" s="1"/>
  <c r="AH75" i="45"/>
  <c r="AH81" i="45" s="1"/>
  <c r="AI25" i="45"/>
  <c r="AK77" i="45"/>
  <c r="AK66" i="45"/>
  <c r="AM38" i="45" l="1"/>
  <c r="AN27" i="45" s="1"/>
  <c r="AM52" i="45"/>
  <c r="AL77" i="45"/>
  <c r="AL66" i="45"/>
  <c r="AK51" i="45"/>
  <c r="AK37" i="45"/>
  <c r="AN41" i="45"/>
  <c r="AO30" i="45" s="1"/>
  <c r="AN55" i="45"/>
  <c r="AM80" i="45"/>
  <c r="AM69" i="45"/>
  <c r="AI36" i="45"/>
  <c r="AI42" i="45" s="1"/>
  <c r="AI50" i="45"/>
  <c r="AI56" i="45" s="1"/>
  <c r="AM54" i="45"/>
  <c r="AM40" i="45"/>
  <c r="AN29" i="45" s="1"/>
  <c r="AJ63" i="45"/>
  <c r="AJ74" i="45"/>
  <c r="AK24" i="45"/>
  <c r="AN67" i="45"/>
  <c r="AN78" i="45"/>
  <c r="AJ65" i="45"/>
  <c r="AJ76" i="45"/>
  <c r="AI62" i="45"/>
  <c r="AI73" i="45"/>
  <c r="AJ23" i="45"/>
  <c r="AO28" i="45"/>
  <c r="AN54" i="45" l="1"/>
  <c r="AN40" i="45"/>
  <c r="AO29" i="45" s="1"/>
  <c r="AJ31" i="45"/>
  <c r="AI44" i="45"/>
  <c r="AI45" i="45" s="1"/>
  <c r="AJ34" i="45"/>
  <c r="AJ48" i="45"/>
  <c r="AO39" i="45"/>
  <c r="AO53" i="45"/>
  <c r="AI64" i="45"/>
  <c r="AI70" i="45" s="1"/>
  <c r="AI75" i="45"/>
  <c r="AI81" i="45" s="1"/>
  <c r="AJ25" i="45"/>
  <c r="AO55" i="45"/>
  <c r="AO41" i="45"/>
  <c r="AN80" i="45"/>
  <c r="AN69" i="45"/>
  <c r="AK65" i="45"/>
  <c r="AK76" i="45"/>
  <c r="AM79" i="45"/>
  <c r="AM68" i="45"/>
  <c r="AK35" i="45"/>
  <c r="AK49" i="45"/>
  <c r="AL26" i="45"/>
  <c r="AN52" i="45"/>
  <c r="AN38" i="45"/>
  <c r="AO27" i="45" s="1"/>
  <c r="AM77" i="45"/>
  <c r="AM66" i="45"/>
  <c r="AO38" i="45" l="1"/>
  <c r="AP27" i="45" s="1"/>
  <c r="AO52" i="45"/>
  <c r="AO80" i="45"/>
  <c r="AO69" i="45"/>
  <c r="AP30" i="45"/>
  <c r="AN77" i="45"/>
  <c r="AN66" i="45"/>
  <c r="AO67" i="45"/>
  <c r="AO78" i="45"/>
  <c r="AL37" i="45"/>
  <c r="AM26" i="45" s="1"/>
  <c r="AL51" i="45"/>
  <c r="AO54" i="45"/>
  <c r="AO40" i="45"/>
  <c r="AN79" i="45"/>
  <c r="AN68" i="45"/>
  <c r="AJ36" i="45"/>
  <c r="AK25" i="45" s="1"/>
  <c r="AJ50" i="45"/>
  <c r="AJ56" i="45" s="1"/>
  <c r="AP28" i="45"/>
  <c r="AJ62" i="45"/>
  <c r="AJ73" i="45"/>
  <c r="AK63" i="45"/>
  <c r="AK74" i="45"/>
  <c r="AK23" i="45"/>
  <c r="AL24" i="45"/>
  <c r="AJ42" i="45" l="1"/>
  <c r="AO79" i="45"/>
  <c r="AO68" i="45"/>
  <c r="AM37" i="45"/>
  <c r="AN26" i="45" s="1"/>
  <c r="AM51" i="45"/>
  <c r="AL65" i="45"/>
  <c r="AL76" i="45"/>
  <c r="AK34" i="45"/>
  <c r="AK48" i="45"/>
  <c r="AP41" i="45"/>
  <c r="AQ30" i="45" s="1"/>
  <c r="AP55" i="45"/>
  <c r="AP29" i="45"/>
  <c r="AP39" i="45"/>
  <c r="AQ28" i="45" s="1"/>
  <c r="AP53" i="45"/>
  <c r="AP38" i="45"/>
  <c r="AP52" i="45"/>
  <c r="AK36" i="45"/>
  <c r="AL25" i="45" s="1"/>
  <c r="AK50" i="45"/>
  <c r="AL35" i="45"/>
  <c r="AM24" i="45" s="1"/>
  <c r="AL49" i="45"/>
  <c r="AJ64" i="45"/>
  <c r="AJ70" i="45" s="1"/>
  <c r="AJ75" i="45"/>
  <c r="AJ81" i="45" s="1"/>
  <c r="AO77" i="45"/>
  <c r="AO66" i="45"/>
  <c r="AK56" i="45" l="1"/>
  <c r="AK31" i="45"/>
  <c r="AJ44" i="45"/>
  <c r="AJ45" i="45" s="1"/>
  <c r="AL36" i="45"/>
  <c r="AL50" i="45"/>
  <c r="AN37" i="45"/>
  <c r="AO26" i="45" s="1"/>
  <c r="AN51" i="45"/>
  <c r="AM49" i="45"/>
  <c r="AM35" i="45"/>
  <c r="AQ55" i="45"/>
  <c r="AQ41" i="45"/>
  <c r="AQ39" i="45"/>
  <c r="AR28" i="45" s="1"/>
  <c r="AQ53" i="45"/>
  <c r="AP80" i="45"/>
  <c r="AP69" i="45"/>
  <c r="AL63" i="45"/>
  <c r="AL74" i="45"/>
  <c r="AP77" i="45"/>
  <c r="AP66" i="45"/>
  <c r="AP54" i="45"/>
  <c r="AP40" i="45"/>
  <c r="AQ29" i="45" s="1"/>
  <c r="AK42" i="45"/>
  <c r="AK62" i="45"/>
  <c r="AK73" i="45"/>
  <c r="AL23" i="45"/>
  <c r="AK64" i="45"/>
  <c r="AK75" i="45"/>
  <c r="AQ27" i="45"/>
  <c r="AM65" i="45"/>
  <c r="AM76" i="45"/>
  <c r="AP78" i="45"/>
  <c r="AP67" i="45"/>
  <c r="AQ78" i="45" l="1"/>
  <c r="AQ67" i="45"/>
  <c r="AQ38" i="45"/>
  <c r="AR27" i="45" s="1"/>
  <c r="AQ52" i="45"/>
  <c r="AL34" i="45"/>
  <c r="AM23" i="45" s="1"/>
  <c r="AL48" i="45"/>
  <c r="AL56" i="45" s="1"/>
  <c r="AM63" i="45"/>
  <c r="AM74" i="45"/>
  <c r="AN24" i="45"/>
  <c r="AK81" i="45"/>
  <c r="AK70" i="45"/>
  <c r="AK44" i="45"/>
  <c r="AK45" i="45" s="1"/>
  <c r="AL31" i="45"/>
  <c r="AL64" i="45"/>
  <c r="AL75" i="45"/>
  <c r="AR39" i="45"/>
  <c r="AR53" i="45"/>
  <c r="AQ80" i="45"/>
  <c r="AQ69" i="45"/>
  <c r="AR30" i="45"/>
  <c r="AO37" i="45"/>
  <c r="AO51" i="45"/>
  <c r="AQ54" i="45"/>
  <c r="AQ40" i="45"/>
  <c r="AN65" i="45"/>
  <c r="AN76" i="45"/>
  <c r="AP79" i="45"/>
  <c r="AP68" i="45"/>
  <c r="AM25" i="45"/>
  <c r="AM34" i="45" l="1"/>
  <c r="AM48" i="45"/>
  <c r="AR78" i="45"/>
  <c r="AR67" i="45"/>
  <c r="AQ79" i="45"/>
  <c r="AQ68" i="45"/>
  <c r="AO65" i="45"/>
  <c r="AO76" i="45"/>
  <c r="AS28" i="45"/>
  <c r="AP26" i="45"/>
  <c r="AR41" i="45"/>
  <c r="AR55" i="45"/>
  <c r="AQ77" i="45"/>
  <c r="AQ66" i="45"/>
  <c r="AN35" i="45"/>
  <c r="AN49" i="45"/>
  <c r="AR29" i="45"/>
  <c r="AM36" i="45"/>
  <c r="AM50" i="45"/>
  <c r="AL42" i="45"/>
  <c r="AM31" i="45" s="1"/>
  <c r="AL62" i="45"/>
  <c r="AL70" i="45" s="1"/>
  <c r="AL73" i="45"/>
  <c r="AL81" i="45" s="1"/>
  <c r="AR38" i="45"/>
  <c r="AS27" i="45" s="1"/>
  <c r="AR52" i="45"/>
  <c r="AS38" i="45" l="1"/>
  <c r="AS52" i="45"/>
  <c r="AR80" i="45"/>
  <c r="AR69" i="45"/>
  <c r="AP37" i="45"/>
  <c r="AQ26" i="45" s="1"/>
  <c r="AP51" i="45"/>
  <c r="AR40" i="45"/>
  <c r="AR54" i="45"/>
  <c r="AL44" i="45"/>
  <c r="AL45" i="45" s="1"/>
  <c r="AS30" i="45"/>
  <c r="AM64" i="45"/>
  <c r="AM75" i="45"/>
  <c r="AN25" i="45"/>
  <c r="AM42" i="45"/>
  <c r="AM44" i="45" s="1"/>
  <c r="AM45" i="45" s="1"/>
  <c r="AM62" i="45"/>
  <c r="AM73" i="45"/>
  <c r="AS39" i="45"/>
  <c r="AS53" i="45"/>
  <c r="AR77" i="45"/>
  <c r="AR66" i="45"/>
  <c r="AM56" i="45"/>
  <c r="AN63" i="45"/>
  <c r="AN74" i="45"/>
  <c r="AO24" i="45"/>
  <c r="AN23" i="45"/>
  <c r="AN31" i="45" l="1"/>
  <c r="AN36" i="45"/>
  <c r="AN50" i="45"/>
  <c r="AR79" i="45"/>
  <c r="AR68" i="45"/>
  <c r="AO35" i="45"/>
  <c r="AO49" i="45"/>
  <c r="AS55" i="45"/>
  <c r="AS41" i="45"/>
  <c r="AT30" i="45" s="1"/>
  <c r="AS29" i="45"/>
  <c r="AS78" i="45"/>
  <c r="AS67" i="45"/>
  <c r="AN34" i="45"/>
  <c r="AO23" i="45" s="1"/>
  <c r="AN48" i="45"/>
  <c r="AQ37" i="45"/>
  <c r="AQ51" i="45"/>
  <c r="AT28" i="45"/>
  <c r="AM81" i="45"/>
  <c r="AS77" i="45"/>
  <c r="AS66" i="45"/>
  <c r="AP65" i="45"/>
  <c r="AP76" i="45"/>
  <c r="AM70" i="45"/>
  <c r="AT27" i="45"/>
  <c r="AO34" i="45" l="1"/>
  <c r="AO48" i="45"/>
  <c r="AS40" i="45"/>
  <c r="AS54" i="45"/>
  <c r="AN62" i="45"/>
  <c r="AN42" i="45"/>
  <c r="AN73" i="45"/>
  <c r="AT39" i="45"/>
  <c r="AU28" i="45" s="1"/>
  <c r="AT53" i="45"/>
  <c r="AT38" i="45"/>
  <c r="AT52" i="45"/>
  <c r="AT55" i="45"/>
  <c r="AT41" i="45"/>
  <c r="AO63" i="45"/>
  <c r="AO74" i="45"/>
  <c r="AQ65" i="45"/>
  <c r="AQ76" i="45"/>
  <c r="AR26" i="45"/>
  <c r="AN64" i="45"/>
  <c r="AN75" i="45"/>
  <c r="AS80" i="45"/>
  <c r="AS69" i="45"/>
  <c r="AP24" i="45"/>
  <c r="AN56" i="45"/>
  <c r="AO25" i="45"/>
  <c r="AN81" i="45" l="1"/>
  <c r="AN70" i="45"/>
  <c r="AT77" i="45"/>
  <c r="AT66" i="45"/>
  <c r="AO36" i="45"/>
  <c r="AO42" i="45" s="1"/>
  <c r="AO50" i="45"/>
  <c r="AO56" i="45" s="1"/>
  <c r="AP35" i="45"/>
  <c r="AP49" i="45"/>
  <c r="AT80" i="45"/>
  <c r="AT69" i="45"/>
  <c r="AU27" i="45"/>
  <c r="AU53" i="45"/>
  <c r="AU39" i="45"/>
  <c r="AU30" i="45"/>
  <c r="AS68" i="45"/>
  <c r="AS79" i="45"/>
  <c r="AO62" i="45"/>
  <c r="AO73" i="45"/>
  <c r="AT78" i="45"/>
  <c r="AT67" i="45"/>
  <c r="AN44" i="45"/>
  <c r="AN45" i="45" s="1"/>
  <c r="AO31" i="45"/>
  <c r="AT29" i="45"/>
  <c r="AR37" i="45"/>
  <c r="AS26" i="45" s="1"/>
  <c r="AR51" i="45"/>
  <c r="AP23" i="45"/>
  <c r="AU78" i="45" l="1"/>
  <c r="AU67" i="45"/>
  <c r="AP31" i="45"/>
  <c r="AO44" i="45"/>
  <c r="AO45" i="45" s="1"/>
  <c r="AP63" i="45"/>
  <c r="AP74" i="45"/>
  <c r="AO64" i="45"/>
  <c r="AO70" i="45" s="1"/>
  <c r="AO75" i="45"/>
  <c r="AO81" i="45" s="1"/>
  <c r="AU55" i="45"/>
  <c r="AU41" i="45"/>
  <c r="AV30" i="45" s="1"/>
  <c r="AR65" i="45"/>
  <c r="AR76" i="45"/>
  <c r="AT40" i="45"/>
  <c r="AT54" i="45"/>
  <c r="AP25" i="45"/>
  <c r="AU38" i="45"/>
  <c r="AV27" i="45" s="1"/>
  <c r="AU52" i="45"/>
  <c r="AP34" i="45"/>
  <c r="AQ23" i="45" s="1"/>
  <c r="AP48" i="45"/>
  <c r="AS37" i="45"/>
  <c r="AT26" i="45" s="1"/>
  <c r="AS51" i="45"/>
  <c r="AV28" i="45"/>
  <c r="AQ24" i="45"/>
  <c r="AV55" i="45" l="1"/>
  <c r="AV41" i="45"/>
  <c r="AW30" i="45" s="1"/>
  <c r="AT37" i="45"/>
  <c r="AT51" i="45"/>
  <c r="AT68" i="45"/>
  <c r="AT79" i="45"/>
  <c r="AU29" i="45"/>
  <c r="AP36" i="45"/>
  <c r="AP42" i="45" s="1"/>
  <c r="AQ31" i="45" s="1"/>
  <c r="AP50" i="45"/>
  <c r="AP56" i="45" s="1"/>
  <c r="AU80" i="45"/>
  <c r="AU69" i="45"/>
  <c r="AQ35" i="45"/>
  <c r="AQ49" i="45"/>
  <c r="AV39" i="45"/>
  <c r="AW28" i="45" s="1"/>
  <c r="AV53" i="45"/>
  <c r="AQ34" i="45"/>
  <c r="AR23" i="45" s="1"/>
  <c r="AQ48" i="45"/>
  <c r="AS65" i="45"/>
  <c r="AS76" i="45"/>
  <c r="AV38" i="45"/>
  <c r="AV52" i="45"/>
  <c r="AP62" i="45"/>
  <c r="AP73" i="45"/>
  <c r="AU77" i="45"/>
  <c r="AU66" i="45"/>
  <c r="AW39" i="45" l="1"/>
  <c r="AX28" i="45" s="1"/>
  <c r="AW53" i="45"/>
  <c r="AQ63" i="45"/>
  <c r="AQ74" i="45"/>
  <c r="AU40" i="45"/>
  <c r="AU54" i="45"/>
  <c r="AV78" i="45"/>
  <c r="AV67" i="45"/>
  <c r="AP64" i="45"/>
  <c r="AP70" i="45" s="1"/>
  <c r="AP75" i="45"/>
  <c r="AP81" i="45" s="1"/>
  <c r="AT65" i="45"/>
  <c r="AT76" i="45"/>
  <c r="AW55" i="45"/>
  <c r="AW41" i="45"/>
  <c r="AX30" i="45" s="1"/>
  <c r="AR24" i="45"/>
  <c r="AV66" i="45"/>
  <c r="AV77" i="45"/>
  <c r="AU26" i="45"/>
  <c r="AR48" i="45"/>
  <c r="AR34" i="45"/>
  <c r="AS23" i="45" s="1"/>
  <c r="AV80" i="45"/>
  <c r="AV69" i="45"/>
  <c r="AW27" i="45"/>
  <c r="AQ25" i="45"/>
  <c r="AP44" i="45"/>
  <c r="AP45" i="45" s="1"/>
  <c r="AQ62" i="45"/>
  <c r="AQ73" i="45"/>
  <c r="AQ36" i="45" l="1"/>
  <c r="AQ50" i="45"/>
  <c r="AQ56" i="45" s="1"/>
  <c r="AR62" i="45"/>
  <c r="AR73" i="45"/>
  <c r="AS34" i="45"/>
  <c r="AS48" i="45"/>
  <c r="AW38" i="45"/>
  <c r="AX27" i="45" s="1"/>
  <c r="AW52" i="45"/>
  <c r="AX55" i="45"/>
  <c r="AX41" i="45"/>
  <c r="AY30" i="45" s="1"/>
  <c r="AU68" i="45"/>
  <c r="AU79" i="45"/>
  <c r="AW80" i="45"/>
  <c r="AW69" i="45"/>
  <c r="AV29" i="45"/>
  <c r="AU37" i="45"/>
  <c r="AU51" i="45"/>
  <c r="AX39" i="45"/>
  <c r="AY28" i="45" s="1"/>
  <c r="AX53" i="45"/>
  <c r="AW78" i="45"/>
  <c r="AW67" i="45"/>
  <c r="AR35" i="45"/>
  <c r="AS24" i="45" s="1"/>
  <c r="AR49" i="45"/>
  <c r="AX38" i="45" l="1"/>
  <c r="AX52" i="45"/>
  <c r="AY55" i="45"/>
  <c r="AY41" i="45"/>
  <c r="AZ30" i="45" s="1"/>
  <c r="AS49" i="45"/>
  <c r="AS35" i="45"/>
  <c r="AS62" i="45"/>
  <c r="AS73" i="45"/>
  <c r="AW66" i="45"/>
  <c r="AW77" i="45"/>
  <c r="AX80" i="45"/>
  <c r="AX69" i="45"/>
  <c r="AX78" i="45"/>
  <c r="AX67" i="45"/>
  <c r="AR63" i="45"/>
  <c r="AR74" i="45"/>
  <c r="AY53" i="45"/>
  <c r="AY39" i="45"/>
  <c r="AV40" i="45"/>
  <c r="AV54" i="45"/>
  <c r="AQ64" i="45"/>
  <c r="AQ70" i="45" s="1"/>
  <c r="AQ75" i="45"/>
  <c r="AQ81" i="45" s="1"/>
  <c r="AQ42" i="45"/>
  <c r="AT23" i="45"/>
  <c r="AU65" i="45"/>
  <c r="AU76" i="45"/>
  <c r="AV26" i="45"/>
  <c r="AR25" i="45"/>
  <c r="AZ55" i="45" l="1"/>
  <c r="AZ41" i="45"/>
  <c r="BA30" i="45" s="1"/>
  <c r="AR36" i="45"/>
  <c r="AS25" i="45" s="1"/>
  <c r="AR50" i="45"/>
  <c r="AR56" i="45" s="1"/>
  <c r="AV68" i="45"/>
  <c r="AV79" i="45"/>
  <c r="AY78" i="45"/>
  <c r="AY67" i="45"/>
  <c r="AW29" i="45"/>
  <c r="AT48" i="45"/>
  <c r="AT34" i="45"/>
  <c r="AR31" i="45"/>
  <c r="AQ44" i="45"/>
  <c r="AQ45" i="45" s="1"/>
  <c r="AS63" i="45"/>
  <c r="AS74" i="45"/>
  <c r="AT24" i="45"/>
  <c r="AZ28" i="45"/>
  <c r="AX66" i="45"/>
  <c r="AX77" i="45"/>
  <c r="AV37" i="45"/>
  <c r="AW26" i="45" s="1"/>
  <c r="AV51" i="45"/>
  <c r="AY80" i="45"/>
  <c r="AY69" i="45"/>
  <c r="AY27" i="45"/>
  <c r="AW37" i="45" l="1"/>
  <c r="AX26" i="45" s="1"/>
  <c r="AW51" i="45"/>
  <c r="AS36" i="45"/>
  <c r="AT25" i="45" s="1"/>
  <c r="AS50" i="45"/>
  <c r="AS56" i="45" s="1"/>
  <c r="BA55" i="45"/>
  <c r="BA41" i="45"/>
  <c r="BB30" i="45" s="1"/>
  <c r="AT62" i="45"/>
  <c r="AT73" i="45"/>
  <c r="AU23" i="45"/>
  <c r="AW40" i="45"/>
  <c r="AW54" i="45"/>
  <c r="AY38" i="45"/>
  <c r="AZ27" i="45" s="1"/>
  <c r="AY52" i="45"/>
  <c r="AR64" i="45"/>
  <c r="AR70" i="45" s="1"/>
  <c r="AR75" i="45"/>
  <c r="AR81" i="45" s="1"/>
  <c r="AR42" i="45"/>
  <c r="AS31" i="45" s="1"/>
  <c r="AZ53" i="45"/>
  <c r="AZ39" i="45"/>
  <c r="BA28" i="45" s="1"/>
  <c r="AT35" i="45"/>
  <c r="AT49" i="45"/>
  <c r="AV65" i="45"/>
  <c r="AV76" i="45"/>
  <c r="AZ69" i="45"/>
  <c r="AZ80" i="45"/>
  <c r="AR44" i="45" l="1"/>
  <c r="AR45" i="45" s="1"/>
  <c r="BB55" i="45"/>
  <c r="BB41" i="45"/>
  <c r="BA53" i="45"/>
  <c r="BA39" i="45"/>
  <c r="BB28" i="45" s="1"/>
  <c r="AZ38" i="45"/>
  <c r="AZ52" i="45"/>
  <c r="AT50" i="45"/>
  <c r="AT56" i="45" s="1"/>
  <c r="AT36" i="45"/>
  <c r="AW79" i="45"/>
  <c r="AW68" i="45"/>
  <c r="AU48" i="45"/>
  <c r="AU34" i="45"/>
  <c r="AV23" i="45" s="1"/>
  <c r="AT63" i="45"/>
  <c r="AT74" i="45"/>
  <c r="AX29" i="45"/>
  <c r="AY66" i="45"/>
  <c r="AY77" i="45"/>
  <c r="BA69" i="45"/>
  <c r="BA80" i="45"/>
  <c r="AU24" i="45"/>
  <c r="AX37" i="45"/>
  <c r="AY26" i="45" s="1"/>
  <c r="AX51" i="45"/>
  <c r="AZ78" i="45"/>
  <c r="AZ67" i="45"/>
  <c r="AS64" i="45"/>
  <c r="AS70" i="45" s="1"/>
  <c r="AS75" i="45"/>
  <c r="AS81" i="45" s="1"/>
  <c r="AS42" i="45"/>
  <c r="AT31" i="45" s="1"/>
  <c r="AW65" i="45"/>
  <c r="AW76" i="45"/>
  <c r="AV34" i="45" l="1"/>
  <c r="AW23" i="45" s="1"/>
  <c r="AV48" i="45"/>
  <c r="BB53" i="45"/>
  <c r="BB39" i="45"/>
  <c r="BC28" i="45" s="1"/>
  <c r="AY37" i="45"/>
  <c r="AZ26" i="45" s="1"/>
  <c r="AY51" i="45"/>
  <c r="AX76" i="45"/>
  <c r="AX65" i="45"/>
  <c r="AU35" i="45"/>
  <c r="AV24" i="45" s="1"/>
  <c r="AU49" i="45"/>
  <c r="AU62" i="45"/>
  <c r="AU73" i="45"/>
  <c r="AT75" i="45"/>
  <c r="AT81" i="45" s="1"/>
  <c r="AT64" i="45"/>
  <c r="AT70" i="45" s="1"/>
  <c r="AT42" i="45"/>
  <c r="AU31" i="45" s="1"/>
  <c r="BB69" i="45"/>
  <c r="BB80" i="45"/>
  <c r="AS44" i="45"/>
  <c r="AS45" i="45" s="1"/>
  <c r="AZ66" i="45"/>
  <c r="AZ77" i="45"/>
  <c r="AX40" i="45"/>
  <c r="AY29" i="45" s="1"/>
  <c r="AX54" i="45"/>
  <c r="AU25" i="45"/>
  <c r="BA27" i="45"/>
  <c r="BA78" i="45"/>
  <c r="BA67" i="45"/>
  <c r="BC30" i="45"/>
  <c r="AV35" i="45" l="1"/>
  <c r="AW24" i="45" s="1"/>
  <c r="AV49" i="45"/>
  <c r="BC53" i="45"/>
  <c r="BC39" i="45"/>
  <c r="BD28" i="45" s="1"/>
  <c r="BC41" i="45"/>
  <c r="BC55" i="45"/>
  <c r="AY40" i="45"/>
  <c r="AZ29" i="45" s="1"/>
  <c r="AY54" i="45"/>
  <c r="BA38" i="45"/>
  <c r="BA52" i="45"/>
  <c r="AZ37" i="45"/>
  <c r="BA26" i="45" s="1"/>
  <c r="AZ51" i="45"/>
  <c r="AU63" i="45"/>
  <c r="AU74" i="45"/>
  <c r="AX79" i="45"/>
  <c r="AX68" i="45"/>
  <c r="AT44" i="45"/>
  <c r="AT45" i="45" s="1"/>
  <c r="AU36" i="45"/>
  <c r="AU42" i="45" s="1"/>
  <c r="AU50" i="45"/>
  <c r="AU56" i="45" s="1"/>
  <c r="BB78" i="45"/>
  <c r="BB67" i="45"/>
  <c r="AY76" i="45"/>
  <c r="AY65" i="45"/>
  <c r="AW34" i="45"/>
  <c r="AX23" i="45" s="1"/>
  <c r="AW48" i="45"/>
  <c r="AV62" i="45"/>
  <c r="AV73" i="45"/>
  <c r="BD39" i="45" l="1"/>
  <c r="BE28" i="45" s="1"/>
  <c r="BD53" i="45"/>
  <c r="AV31" i="45"/>
  <c r="AU44" i="45"/>
  <c r="AU45" i="45" s="1"/>
  <c r="AW35" i="45"/>
  <c r="AW49" i="45"/>
  <c r="AV25" i="45"/>
  <c r="BA66" i="45"/>
  <c r="BA77" i="45"/>
  <c r="AY79" i="45"/>
  <c r="AY68" i="45"/>
  <c r="BC69" i="45"/>
  <c r="BC80" i="45"/>
  <c r="BC67" i="45"/>
  <c r="BC78" i="45"/>
  <c r="BA51" i="45"/>
  <c r="BA37" i="45"/>
  <c r="BB26" i="45" s="1"/>
  <c r="AX34" i="45"/>
  <c r="AY23" i="45" s="1"/>
  <c r="AX48" i="45"/>
  <c r="AW62" i="45"/>
  <c r="AW73" i="45"/>
  <c r="BB27" i="45"/>
  <c r="AZ40" i="45"/>
  <c r="BA29" i="45" s="1"/>
  <c r="AZ54" i="45"/>
  <c r="BD30" i="45"/>
  <c r="AU75" i="45"/>
  <c r="AU81" i="45" s="1"/>
  <c r="AU64" i="45"/>
  <c r="AU70" i="45" s="1"/>
  <c r="AV63" i="45"/>
  <c r="AV74" i="45"/>
  <c r="AZ76" i="45"/>
  <c r="AZ65" i="45"/>
  <c r="AY34" i="45" l="1"/>
  <c r="AY48" i="45"/>
  <c r="BB37" i="45"/>
  <c r="BC26" i="45" s="1"/>
  <c r="BB51" i="45"/>
  <c r="BA40" i="45"/>
  <c r="BB29" i="45" s="1"/>
  <c r="BA54" i="45"/>
  <c r="AZ79" i="45"/>
  <c r="AZ68" i="45"/>
  <c r="AW63" i="45"/>
  <c r="AW74" i="45"/>
  <c r="AX24" i="45"/>
  <c r="BE39" i="45"/>
  <c r="BE53" i="45"/>
  <c r="BD41" i="45"/>
  <c r="BE30" i="45" s="1"/>
  <c r="BD55" i="45"/>
  <c r="AV36" i="45"/>
  <c r="AV50" i="45"/>
  <c r="AV56" i="45" s="1"/>
  <c r="BA76" i="45"/>
  <c r="BA65" i="45"/>
  <c r="BD78" i="45"/>
  <c r="BD67" i="45"/>
  <c r="BB38" i="45"/>
  <c r="BB52" i="45"/>
  <c r="AX62" i="45"/>
  <c r="AX73" i="45"/>
  <c r="BE41" i="45" l="1"/>
  <c r="BF30" i="45" s="1"/>
  <c r="BE55" i="45"/>
  <c r="BB66" i="45"/>
  <c r="BB77" i="45"/>
  <c r="AV75" i="45"/>
  <c r="AV81" i="45" s="1"/>
  <c r="AV64" i="45"/>
  <c r="AV70" i="45" s="1"/>
  <c r="AV42" i="45"/>
  <c r="BB54" i="45"/>
  <c r="BB40" i="45"/>
  <c r="BC29" i="45" s="1"/>
  <c r="BC37" i="45"/>
  <c r="BC51" i="45"/>
  <c r="BE78" i="45"/>
  <c r="BE67" i="45"/>
  <c r="BC27" i="45"/>
  <c r="AW25" i="45"/>
  <c r="BA79" i="45"/>
  <c r="BA68" i="45"/>
  <c r="BD80" i="45"/>
  <c r="BD69" i="45"/>
  <c r="BB76" i="45"/>
  <c r="BB65" i="45"/>
  <c r="BF28" i="45"/>
  <c r="AY62" i="45"/>
  <c r="AY73" i="45"/>
  <c r="AX35" i="45"/>
  <c r="AY24" i="45" s="1"/>
  <c r="AX49" i="45"/>
  <c r="AZ23" i="45"/>
  <c r="BC40" i="45" l="1"/>
  <c r="BD29" i="45" s="1"/>
  <c r="BC54" i="45"/>
  <c r="BC76" i="45"/>
  <c r="BC65" i="45"/>
  <c r="AX63" i="45"/>
  <c r="AX74" i="45"/>
  <c r="BF39" i="45"/>
  <c r="BG28" i="45" s="1"/>
  <c r="BF53" i="45"/>
  <c r="BC38" i="45"/>
  <c r="BC52" i="45"/>
  <c r="AY49" i="45"/>
  <c r="AY35" i="45"/>
  <c r="BD26" i="45"/>
  <c r="BB79" i="45"/>
  <c r="BB68" i="45"/>
  <c r="BF41" i="45"/>
  <c r="BG30" i="45" s="1"/>
  <c r="BF55" i="45"/>
  <c r="AZ48" i="45"/>
  <c r="AZ34" i="45"/>
  <c r="AV44" i="45"/>
  <c r="AV45" i="45" s="1"/>
  <c r="AW31" i="45"/>
  <c r="AW36" i="45"/>
  <c r="AW50" i="45"/>
  <c r="AW56" i="45" s="1"/>
  <c r="BE80" i="45"/>
  <c r="BE69" i="45"/>
  <c r="AY63" i="45" l="1"/>
  <c r="AY74" i="45"/>
  <c r="AZ24" i="45"/>
  <c r="BC66" i="45"/>
  <c r="BC77" i="45"/>
  <c r="BG39" i="45"/>
  <c r="BH28" i="45" s="1"/>
  <c r="BG53" i="45"/>
  <c r="AZ62" i="45"/>
  <c r="AZ73" i="45"/>
  <c r="BA23" i="45"/>
  <c r="BG41" i="45"/>
  <c r="BH30" i="45" s="1"/>
  <c r="BG55" i="45"/>
  <c r="AW75" i="45"/>
  <c r="AW81" i="45" s="1"/>
  <c r="AW64" i="45"/>
  <c r="AW70" i="45" s="1"/>
  <c r="AW42" i="45"/>
  <c r="AW44" i="45" s="1"/>
  <c r="AW45" i="45" s="1"/>
  <c r="BF67" i="45"/>
  <c r="BF78" i="45"/>
  <c r="BD37" i="45"/>
  <c r="BE26" i="45" s="1"/>
  <c r="BD51" i="45"/>
  <c r="BD54" i="45"/>
  <c r="BD40" i="45"/>
  <c r="BD27" i="45"/>
  <c r="AX25" i="45"/>
  <c r="BF80" i="45"/>
  <c r="BF69" i="45"/>
  <c r="BC79" i="45"/>
  <c r="BC68" i="45"/>
  <c r="BH41" i="45" l="1"/>
  <c r="BI30" i="45" s="1"/>
  <c r="BH55" i="45"/>
  <c r="BD79" i="45"/>
  <c r="BD68" i="45"/>
  <c r="BH39" i="45"/>
  <c r="BH53" i="45"/>
  <c r="BE51" i="45"/>
  <c r="BE37" i="45"/>
  <c r="BF26" i="45" s="1"/>
  <c r="BG67" i="45"/>
  <c r="BG78" i="45"/>
  <c r="AX31" i="45"/>
  <c r="BD76" i="45"/>
  <c r="BD65" i="45"/>
  <c r="AX36" i="45"/>
  <c r="AY25" i="45" s="1"/>
  <c r="AX50" i="45"/>
  <c r="AX56" i="45" s="1"/>
  <c r="BD38" i="45"/>
  <c r="BE27" i="45" s="1"/>
  <c r="BD52" i="45"/>
  <c r="BA34" i="45"/>
  <c r="BA48" i="45"/>
  <c r="BE29" i="45"/>
  <c r="BG80" i="45"/>
  <c r="BG69" i="45"/>
  <c r="AZ35" i="45"/>
  <c r="BA24" i="45" s="1"/>
  <c r="AZ49" i="45"/>
  <c r="BF51" i="45" l="1"/>
  <c r="BF37" i="45"/>
  <c r="BA35" i="45"/>
  <c r="BB24" i="45" s="1"/>
  <c r="BA49" i="45"/>
  <c r="BH67" i="45"/>
  <c r="BH78" i="45"/>
  <c r="AY36" i="45"/>
  <c r="AY50" i="45"/>
  <c r="AY56" i="45" s="1"/>
  <c r="BI28" i="45"/>
  <c r="AZ63" i="45"/>
  <c r="AZ74" i="45"/>
  <c r="BE76" i="45"/>
  <c r="BE65" i="45"/>
  <c r="BD77" i="45"/>
  <c r="BD66" i="45"/>
  <c r="BI41" i="45"/>
  <c r="BI55" i="45"/>
  <c r="BE40" i="45"/>
  <c r="BE54" i="45"/>
  <c r="BA62" i="45"/>
  <c r="BA73" i="45"/>
  <c r="BB23" i="45"/>
  <c r="BE38" i="45"/>
  <c r="BF27" i="45" s="1"/>
  <c r="BE52" i="45"/>
  <c r="AX75" i="45"/>
  <c r="AX81" i="45" s="1"/>
  <c r="AX64" i="45"/>
  <c r="AX70" i="45" s="1"/>
  <c r="AX42" i="45"/>
  <c r="AY31" i="45" s="1"/>
  <c r="BH80" i="45"/>
  <c r="BH69" i="45"/>
  <c r="AX44" i="45" l="1"/>
  <c r="AX45" i="45" s="1"/>
  <c r="BB49" i="45"/>
  <c r="BB35" i="45"/>
  <c r="BF38" i="45"/>
  <c r="BG27" i="45" s="1"/>
  <c r="BF52" i="45"/>
  <c r="BB34" i="45"/>
  <c r="BB48" i="45"/>
  <c r="AY75" i="45"/>
  <c r="AY81" i="45" s="1"/>
  <c r="AY64" i="45"/>
  <c r="AY70" i="45" s="1"/>
  <c r="AY42" i="45"/>
  <c r="AY44" i="45" s="1"/>
  <c r="AY45" i="45" s="1"/>
  <c r="BE79" i="45"/>
  <c r="BE68" i="45"/>
  <c r="AZ25" i="45"/>
  <c r="BF29" i="45"/>
  <c r="BI80" i="45"/>
  <c r="BI69" i="45"/>
  <c r="BF76" i="45"/>
  <c r="BF65" i="45"/>
  <c r="BE77" i="45"/>
  <c r="BE66" i="45"/>
  <c r="BJ30" i="45"/>
  <c r="BA63" i="45"/>
  <c r="BA74" i="45"/>
  <c r="BI39" i="45"/>
  <c r="BI53" i="45"/>
  <c r="BG26" i="45"/>
  <c r="AZ31" i="45" l="1"/>
  <c r="BF54" i="45"/>
  <c r="BF40" i="45"/>
  <c r="BG29" i="45" s="1"/>
  <c r="BJ41" i="45"/>
  <c r="BK30" i="45" s="1"/>
  <c r="BJ55" i="45"/>
  <c r="BG51" i="45"/>
  <c r="BG37" i="45"/>
  <c r="BH26" i="45" s="1"/>
  <c r="BB63" i="45"/>
  <c r="BB74" i="45"/>
  <c r="AZ36" i="45"/>
  <c r="BA25" i="45" s="1"/>
  <c r="AZ50" i="45"/>
  <c r="AZ56" i="45" s="1"/>
  <c r="BI67" i="45"/>
  <c r="BI78" i="45"/>
  <c r="BB62" i="45"/>
  <c r="BB73" i="45"/>
  <c r="BC24" i="45"/>
  <c r="BJ28" i="45"/>
  <c r="BC23" i="45"/>
  <c r="BG38" i="45"/>
  <c r="BH27" i="45" s="1"/>
  <c r="BG52" i="45"/>
  <c r="BF77" i="45"/>
  <c r="BF66" i="45"/>
  <c r="BA36" i="45" l="1"/>
  <c r="BA50" i="45"/>
  <c r="BA56" i="45" s="1"/>
  <c r="BH37" i="45"/>
  <c r="BI26" i="45" s="1"/>
  <c r="BH51" i="45"/>
  <c r="BG54" i="45"/>
  <c r="BG40" i="45"/>
  <c r="BH52" i="45"/>
  <c r="BH38" i="45"/>
  <c r="BI27" i="45" s="1"/>
  <c r="BG77" i="45"/>
  <c r="BG66" i="45"/>
  <c r="BC34" i="45"/>
  <c r="BD23" i="45" s="1"/>
  <c r="BC48" i="45"/>
  <c r="BC35" i="45"/>
  <c r="BD24" i="45" s="1"/>
  <c r="BC49" i="45"/>
  <c r="AZ75" i="45"/>
  <c r="AZ81" i="45" s="1"/>
  <c r="AZ64" i="45"/>
  <c r="AZ70" i="45" s="1"/>
  <c r="AZ42" i="45"/>
  <c r="BG76" i="45"/>
  <c r="BG65" i="45"/>
  <c r="BK41" i="45"/>
  <c r="BK55" i="45"/>
  <c r="BJ80" i="45"/>
  <c r="BJ69" i="45"/>
  <c r="BJ39" i="45"/>
  <c r="BK28" i="45" s="1"/>
  <c r="BJ53" i="45"/>
  <c r="BF79" i="45"/>
  <c r="BF68" i="45"/>
  <c r="BD34" i="45" l="1"/>
  <c r="BD48" i="45"/>
  <c r="BI38" i="45"/>
  <c r="BJ27" i="45" s="1"/>
  <c r="BI52" i="45"/>
  <c r="BK39" i="45"/>
  <c r="BL28" i="45" s="1"/>
  <c r="BK53" i="45"/>
  <c r="BD35" i="45"/>
  <c r="BD49" i="45"/>
  <c r="BC63" i="45"/>
  <c r="BC74" i="45"/>
  <c r="BC62" i="45"/>
  <c r="BC73" i="45"/>
  <c r="BH66" i="45"/>
  <c r="BH77" i="45"/>
  <c r="BA31" i="45"/>
  <c r="AZ44" i="45"/>
  <c r="AZ45" i="45" s="1"/>
  <c r="BH76" i="45"/>
  <c r="BH65" i="45"/>
  <c r="BA75" i="45"/>
  <c r="BA81" i="45" s="1"/>
  <c r="BA64" i="45"/>
  <c r="BA70" i="45" s="1"/>
  <c r="BA42" i="45"/>
  <c r="BJ78" i="45"/>
  <c r="BJ67" i="45"/>
  <c r="BG79" i="45"/>
  <c r="BG68" i="45"/>
  <c r="BK80" i="45"/>
  <c r="BK69" i="45"/>
  <c r="BL30" i="45"/>
  <c r="BH29" i="45"/>
  <c r="BI51" i="45"/>
  <c r="BI37" i="45"/>
  <c r="BB25" i="45"/>
  <c r="BI65" i="45" l="1"/>
  <c r="BI76" i="45"/>
  <c r="BL41" i="45"/>
  <c r="BM30" i="45" s="1"/>
  <c r="BL55" i="45"/>
  <c r="BD63" i="45"/>
  <c r="BD74" i="45"/>
  <c r="BL39" i="45"/>
  <c r="BM28" i="45" s="1"/>
  <c r="BL53" i="45"/>
  <c r="BH54" i="45"/>
  <c r="BH40" i="45"/>
  <c r="BE24" i="45"/>
  <c r="BB36" i="45"/>
  <c r="BC25" i="45" s="1"/>
  <c r="BB50" i="45"/>
  <c r="BB56" i="45" s="1"/>
  <c r="BK78" i="45"/>
  <c r="BK67" i="45"/>
  <c r="BJ38" i="45"/>
  <c r="BK27" i="45" s="1"/>
  <c r="BJ52" i="45"/>
  <c r="BD62" i="45"/>
  <c r="BD73" i="45"/>
  <c r="BJ26" i="45"/>
  <c r="BI66" i="45"/>
  <c r="BI77" i="45"/>
  <c r="BA44" i="45"/>
  <c r="BA45" i="45" s="1"/>
  <c r="BB31" i="45"/>
  <c r="BE23" i="45"/>
  <c r="BC36" i="45" l="1"/>
  <c r="BC50" i="45"/>
  <c r="BC56" i="45" s="1"/>
  <c r="BJ51" i="45"/>
  <c r="BJ37" i="45"/>
  <c r="BL78" i="45"/>
  <c r="BL67" i="45"/>
  <c r="BM39" i="45"/>
  <c r="BN28" i="45" s="1"/>
  <c r="BM53" i="45"/>
  <c r="BK38" i="45"/>
  <c r="BL27" i="45" s="1"/>
  <c r="BK52" i="45"/>
  <c r="BE35" i="45"/>
  <c r="BE49" i="45"/>
  <c r="BH79" i="45"/>
  <c r="BH68" i="45"/>
  <c r="BJ66" i="45"/>
  <c r="BJ77" i="45"/>
  <c r="BB64" i="45"/>
  <c r="BB70" i="45" s="1"/>
  <c r="BB75" i="45"/>
  <c r="BB81" i="45" s="1"/>
  <c r="BB42" i="45"/>
  <c r="BB44" i="45" s="1"/>
  <c r="BB45" i="45" s="1"/>
  <c r="BE34" i="45"/>
  <c r="BE48" i="45"/>
  <c r="BI29" i="45"/>
  <c r="BM41" i="45"/>
  <c r="BN30" i="45" s="1"/>
  <c r="BM55" i="45"/>
  <c r="BL80" i="45"/>
  <c r="BL69" i="45"/>
  <c r="BC31" i="45" l="1"/>
  <c r="BN41" i="45"/>
  <c r="BN55" i="45"/>
  <c r="BE63" i="45"/>
  <c r="BE74" i="45"/>
  <c r="BN39" i="45"/>
  <c r="BO28" i="45" s="1"/>
  <c r="BN53" i="45"/>
  <c r="BM78" i="45"/>
  <c r="BM67" i="45"/>
  <c r="BM80" i="45"/>
  <c r="BM69" i="45"/>
  <c r="BF24" i="45"/>
  <c r="BI54" i="45"/>
  <c r="BI40" i="45"/>
  <c r="BJ29" i="45" s="1"/>
  <c r="BL52" i="45"/>
  <c r="BL38" i="45"/>
  <c r="BJ65" i="45"/>
  <c r="BJ76" i="45"/>
  <c r="BE62" i="45"/>
  <c r="BE73" i="45"/>
  <c r="BC64" i="45"/>
  <c r="BC70" i="45" s="1"/>
  <c r="BC75" i="45"/>
  <c r="BC81" i="45" s="1"/>
  <c r="BC42" i="45"/>
  <c r="BK66" i="45"/>
  <c r="BK77" i="45"/>
  <c r="BF23" i="45"/>
  <c r="BK26" i="45"/>
  <c r="BD25" i="45"/>
  <c r="BD31" i="45" l="1"/>
  <c r="BC44" i="45"/>
  <c r="BC45" i="45" s="1"/>
  <c r="BJ54" i="45"/>
  <c r="BJ40" i="45"/>
  <c r="BD36" i="45"/>
  <c r="BD50" i="45"/>
  <c r="BD56" i="45" s="1"/>
  <c r="BF48" i="45"/>
  <c r="BF34" i="45"/>
  <c r="BG23" i="45" s="1"/>
  <c r="BL66" i="45"/>
  <c r="BL77" i="45"/>
  <c r="BO53" i="45"/>
  <c r="BO39" i="45"/>
  <c r="BM27" i="45"/>
  <c r="BK51" i="45"/>
  <c r="BK37" i="45"/>
  <c r="BI79" i="45"/>
  <c r="BI68" i="45"/>
  <c r="BF35" i="45"/>
  <c r="BG24" i="45" s="1"/>
  <c r="BF49" i="45"/>
  <c r="BN78" i="45"/>
  <c r="BN67" i="45"/>
  <c r="BN80" i="45"/>
  <c r="BN69" i="45"/>
  <c r="BO30" i="45"/>
  <c r="BG49" i="45" l="1"/>
  <c r="BG35" i="45"/>
  <c r="BG34" i="45"/>
  <c r="BH23" i="45" s="1"/>
  <c r="BG48" i="45"/>
  <c r="BO78" i="45"/>
  <c r="BO67" i="45"/>
  <c r="BM52" i="45"/>
  <c r="BM38" i="45"/>
  <c r="BP28" i="45"/>
  <c r="BJ79" i="45"/>
  <c r="BJ68" i="45"/>
  <c r="BF63" i="45"/>
  <c r="BF74" i="45"/>
  <c r="BK65" i="45"/>
  <c r="BK76" i="45"/>
  <c r="BL26" i="45"/>
  <c r="BO41" i="45"/>
  <c r="BO55" i="45"/>
  <c r="BF62" i="45"/>
  <c r="BF73" i="45"/>
  <c r="BD64" i="45"/>
  <c r="BD70" i="45" s="1"/>
  <c r="BD75" i="45"/>
  <c r="BD81" i="45" s="1"/>
  <c r="BD42" i="45"/>
  <c r="BE25" i="45"/>
  <c r="BK29" i="45"/>
  <c r="BH48" i="45" l="1"/>
  <c r="BH34" i="45"/>
  <c r="BL51" i="45"/>
  <c r="BL37" i="45"/>
  <c r="BK54" i="45"/>
  <c r="BK40" i="45"/>
  <c r="BM66" i="45"/>
  <c r="BM77" i="45"/>
  <c r="BP39" i="45"/>
  <c r="BQ28" i="45" s="1"/>
  <c r="BP53" i="45"/>
  <c r="BE36" i="45"/>
  <c r="BF25" i="45" s="1"/>
  <c r="BE50" i="45"/>
  <c r="BE56" i="45" s="1"/>
  <c r="BD44" i="45"/>
  <c r="BD45" i="45" s="1"/>
  <c r="BE31" i="45"/>
  <c r="BN27" i="45"/>
  <c r="BG62" i="45"/>
  <c r="BG73" i="45"/>
  <c r="BG63" i="45"/>
  <c r="BG74" i="45"/>
  <c r="BO80" i="45"/>
  <c r="BO69" i="45"/>
  <c r="BP30" i="45"/>
  <c r="BH24" i="45"/>
  <c r="BF36" i="45" l="1"/>
  <c r="BF50" i="45"/>
  <c r="BF56" i="45" s="1"/>
  <c r="BP41" i="45"/>
  <c r="BP55" i="45"/>
  <c r="BP78" i="45"/>
  <c r="BP67" i="45"/>
  <c r="BH35" i="45"/>
  <c r="BH49" i="45"/>
  <c r="BQ39" i="45"/>
  <c r="BR28" i="45" s="1"/>
  <c r="BQ53" i="45"/>
  <c r="BK79" i="45"/>
  <c r="BK68" i="45"/>
  <c r="BL65" i="45"/>
  <c r="BL76" i="45"/>
  <c r="BE64" i="45"/>
  <c r="BE70" i="45" s="1"/>
  <c r="BE75" i="45"/>
  <c r="BE81" i="45" s="1"/>
  <c r="BE42" i="45"/>
  <c r="BE44" i="45" s="1"/>
  <c r="BE45" i="45" s="1"/>
  <c r="BL29" i="45"/>
  <c r="BM26" i="45"/>
  <c r="BH62" i="45"/>
  <c r="BH73" i="45"/>
  <c r="BN38" i="45"/>
  <c r="BO27" i="45" s="1"/>
  <c r="BN52" i="45"/>
  <c r="BI23" i="45"/>
  <c r="BF31" i="45" l="1"/>
  <c r="BO38" i="45"/>
  <c r="BP27" i="45" s="1"/>
  <c r="BO52" i="45"/>
  <c r="BI24" i="45"/>
  <c r="BQ78" i="45"/>
  <c r="BQ67" i="45"/>
  <c r="BR39" i="45"/>
  <c r="BS28" i="45" s="1"/>
  <c r="BR53" i="45"/>
  <c r="BF64" i="45"/>
  <c r="BF70" i="45" s="1"/>
  <c r="BF75" i="45"/>
  <c r="BF81" i="45" s="1"/>
  <c r="BF42" i="45"/>
  <c r="BI48" i="45"/>
  <c r="BI34" i="45"/>
  <c r="BN66" i="45"/>
  <c r="BN77" i="45"/>
  <c r="BH63" i="45"/>
  <c r="BH74" i="45"/>
  <c r="BM51" i="45"/>
  <c r="BM37" i="45"/>
  <c r="BL54" i="45"/>
  <c r="BL40" i="45"/>
  <c r="BP80" i="45"/>
  <c r="BP69" i="45"/>
  <c r="BQ30" i="45"/>
  <c r="BG25" i="45"/>
  <c r="BG31" i="45" l="1"/>
  <c r="BF44" i="45"/>
  <c r="BF45" i="45" s="1"/>
  <c r="BL79" i="45"/>
  <c r="BL68" i="45"/>
  <c r="BM65" i="45"/>
  <c r="BM76" i="45"/>
  <c r="BS53" i="45"/>
  <c r="BS39" i="45"/>
  <c r="BN26" i="45"/>
  <c r="BI62" i="45"/>
  <c r="BI73" i="45"/>
  <c r="BJ23" i="45"/>
  <c r="BM29" i="45"/>
  <c r="BG36" i="45"/>
  <c r="BH25" i="45" s="1"/>
  <c r="BG50" i="45"/>
  <c r="BG56" i="45" s="1"/>
  <c r="BQ41" i="45"/>
  <c r="BQ55" i="45"/>
  <c r="BR78" i="45"/>
  <c r="BR67" i="45"/>
  <c r="BI35" i="45"/>
  <c r="BI49" i="45"/>
  <c r="BP38" i="45"/>
  <c r="BQ27" i="45" s="1"/>
  <c r="BP52" i="45"/>
  <c r="BO66" i="45"/>
  <c r="BO77" i="45"/>
  <c r="BS78" i="45" l="1"/>
  <c r="BS67" i="45"/>
  <c r="BP66" i="45"/>
  <c r="BP77" i="45"/>
  <c r="BJ48" i="45"/>
  <c r="BJ34" i="45"/>
  <c r="BQ80" i="45"/>
  <c r="BQ69" i="45"/>
  <c r="BR30" i="45"/>
  <c r="BH36" i="45"/>
  <c r="BH50" i="45"/>
  <c r="BH56" i="45" s="1"/>
  <c r="BM54" i="45"/>
  <c r="BM40" i="45"/>
  <c r="BN51" i="45"/>
  <c r="BN37" i="45"/>
  <c r="BO26" i="45" s="1"/>
  <c r="BQ38" i="45"/>
  <c r="BQ52" i="45"/>
  <c r="BT28" i="45"/>
  <c r="BI74" i="45"/>
  <c r="BI63" i="45"/>
  <c r="BJ24" i="45"/>
  <c r="BG64" i="45"/>
  <c r="BG70" i="45" s="1"/>
  <c r="BG75" i="45"/>
  <c r="BG81" i="45" s="1"/>
  <c r="BG42" i="45"/>
  <c r="BR41" i="45" l="1"/>
  <c r="BR55" i="45"/>
  <c r="BH64" i="45"/>
  <c r="BH70" i="45" s="1"/>
  <c r="BH75" i="45"/>
  <c r="BH81" i="45" s="1"/>
  <c r="BH42" i="45"/>
  <c r="BJ35" i="45"/>
  <c r="BJ49" i="45"/>
  <c r="BM68" i="45"/>
  <c r="BM79" i="45"/>
  <c r="BO51" i="45"/>
  <c r="BO37" i="45"/>
  <c r="BP26" i="45" s="1"/>
  <c r="BJ62" i="45"/>
  <c r="BJ73" i="45"/>
  <c r="BQ66" i="45"/>
  <c r="BQ77" i="45"/>
  <c r="BN29" i="45"/>
  <c r="BI25" i="45"/>
  <c r="BH31" i="45"/>
  <c r="BG44" i="45"/>
  <c r="BG45" i="45" s="1"/>
  <c r="BT53" i="45"/>
  <c r="BT39" i="45"/>
  <c r="BK23" i="45"/>
  <c r="BR27" i="45"/>
  <c r="BN65" i="45"/>
  <c r="BN76" i="45"/>
  <c r="BP37" i="45" l="1"/>
  <c r="BP51" i="45"/>
  <c r="BO65" i="45"/>
  <c r="BO76" i="45"/>
  <c r="BT78" i="45"/>
  <c r="BT67" i="45"/>
  <c r="BK34" i="45"/>
  <c r="BL23" i="45" s="1"/>
  <c r="BK48" i="45"/>
  <c r="BU28" i="45"/>
  <c r="BR38" i="45"/>
  <c r="BS27" i="45" s="1"/>
  <c r="BR52" i="45"/>
  <c r="BR80" i="45"/>
  <c r="BR69" i="45"/>
  <c r="BJ74" i="45"/>
  <c r="BJ63" i="45"/>
  <c r="BI31" i="45"/>
  <c r="BH44" i="45"/>
  <c r="BH45" i="45" s="1"/>
  <c r="BN54" i="45"/>
  <c r="BN40" i="45"/>
  <c r="BS30" i="45"/>
  <c r="BK24" i="45"/>
  <c r="BI36" i="45"/>
  <c r="BJ25" i="45" s="1"/>
  <c r="BI50" i="45"/>
  <c r="BI56" i="45" s="1"/>
  <c r="BJ36" i="45" l="1"/>
  <c r="BJ50" i="45"/>
  <c r="BJ56" i="45" s="1"/>
  <c r="BR66" i="45"/>
  <c r="BR77" i="45"/>
  <c r="BL34" i="45"/>
  <c r="BL48" i="45"/>
  <c r="BS41" i="45"/>
  <c r="BT30" i="45" s="1"/>
  <c r="BS55" i="45"/>
  <c r="BN68" i="45"/>
  <c r="BN79" i="45"/>
  <c r="BK35" i="45"/>
  <c r="BK49" i="45"/>
  <c r="BO29" i="45"/>
  <c r="BS38" i="45"/>
  <c r="BS52" i="45"/>
  <c r="BU53" i="45"/>
  <c r="BU39" i="45"/>
  <c r="BK62" i="45"/>
  <c r="BK73" i="45"/>
  <c r="BP65" i="45"/>
  <c r="BP76" i="45"/>
  <c r="BI64" i="45"/>
  <c r="BI70" i="45" s="1"/>
  <c r="BI75" i="45"/>
  <c r="BI81" i="45" s="1"/>
  <c r="BI42" i="45"/>
  <c r="BJ31" i="45" s="1"/>
  <c r="BQ26" i="45"/>
  <c r="BI44" i="45" l="1"/>
  <c r="BI45" i="45" s="1"/>
  <c r="BT41" i="45"/>
  <c r="BT55" i="45"/>
  <c r="BO54" i="45"/>
  <c r="BO40" i="45"/>
  <c r="BQ37" i="45"/>
  <c r="BQ51" i="45"/>
  <c r="BK74" i="45"/>
  <c r="BK63" i="45"/>
  <c r="BL62" i="45"/>
  <c r="BL73" i="45"/>
  <c r="BM23" i="45"/>
  <c r="BL24" i="45"/>
  <c r="BU78" i="45"/>
  <c r="BU67" i="45"/>
  <c r="BS80" i="45"/>
  <c r="BS69" i="45"/>
  <c r="BV28" i="45"/>
  <c r="BJ64" i="45"/>
  <c r="BJ70" i="45" s="1"/>
  <c r="BJ75" i="45"/>
  <c r="BJ81" i="45" s="1"/>
  <c r="BJ42" i="45"/>
  <c r="BK31" i="45" s="1"/>
  <c r="BK25" i="45"/>
  <c r="BS66" i="45"/>
  <c r="BS77" i="45"/>
  <c r="BT27" i="45"/>
  <c r="BJ44" i="45" l="1"/>
  <c r="BJ45" i="45" s="1"/>
  <c r="BM34" i="45"/>
  <c r="BM48" i="45"/>
  <c r="BT38" i="45"/>
  <c r="BU27" i="45" s="1"/>
  <c r="BT52" i="45"/>
  <c r="BQ65" i="45"/>
  <c r="BQ76" i="45"/>
  <c r="BR26" i="45"/>
  <c r="BO68" i="45"/>
  <c r="BO79" i="45"/>
  <c r="BV53" i="45"/>
  <c r="BV39" i="45"/>
  <c r="BW28" i="45" s="1"/>
  <c r="BT69" i="45"/>
  <c r="BT80" i="45"/>
  <c r="BK36" i="45"/>
  <c r="BK50" i="45"/>
  <c r="BK56" i="45" s="1"/>
  <c r="BP29" i="45"/>
  <c r="BL35" i="45"/>
  <c r="BL49" i="45"/>
  <c r="BU30" i="45"/>
  <c r="BM62" i="45" l="1"/>
  <c r="BM73" i="45"/>
  <c r="BU38" i="45"/>
  <c r="BV27" i="45" s="1"/>
  <c r="BU52" i="45"/>
  <c r="BP54" i="45"/>
  <c r="BP40" i="45"/>
  <c r="BW53" i="45"/>
  <c r="BW39" i="45"/>
  <c r="BL74" i="45"/>
  <c r="BL63" i="45"/>
  <c r="BR37" i="45"/>
  <c r="BS26" i="45" s="1"/>
  <c r="BR51" i="45"/>
  <c r="BM24" i="45"/>
  <c r="BN23" i="45"/>
  <c r="BK64" i="45"/>
  <c r="BK70" i="45" s="1"/>
  <c r="BK75" i="45"/>
  <c r="BK81" i="45" s="1"/>
  <c r="BK42" i="45"/>
  <c r="BL25" i="45"/>
  <c r="BV78" i="45"/>
  <c r="BV67" i="45"/>
  <c r="BU41" i="45"/>
  <c r="BU55" i="45"/>
  <c r="BT66" i="45"/>
  <c r="BT77" i="45"/>
  <c r="BS37" i="45" l="1"/>
  <c r="BT26" i="45" s="1"/>
  <c r="BS51" i="45"/>
  <c r="BP68" i="45"/>
  <c r="BP79" i="45"/>
  <c r="BQ29" i="45"/>
  <c r="BU69" i="45"/>
  <c r="BU80" i="45"/>
  <c r="BL36" i="45"/>
  <c r="BL50" i="45"/>
  <c r="BL56" i="45" s="1"/>
  <c r="BR76" i="45"/>
  <c r="BR65" i="45"/>
  <c r="BW78" i="45"/>
  <c r="BW67" i="45"/>
  <c r="BX28" i="45"/>
  <c r="BV30" i="45"/>
  <c r="BV38" i="45"/>
  <c r="BV52" i="45"/>
  <c r="BK44" i="45"/>
  <c r="BK45" i="45" s="1"/>
  <c r="BL31" i="45"/>
  <c r="BU66" i="45"/>
  <c r="BU77" i="45"/>
  <c r="BN34" i="45"/>
  <c r="BN48" i="45"/>
  <c r="BM35" i="45"/>
  <c r="BM49" i="45"/>
  <c r="BX53" i="45" l="1"/>
  <c r="BX39" i="45"/>
  <c r="BL64" i="45"/>
  <c r="BL70" i="45" s="1"/>
  <c r="BL75" i="45"/>
  <c r="BL81" i="45" s="1"/>
  <c r="BL42" i="45"/>
  <c r="BM31" i="45" s="1"/>
  <c r="BN62" i="45"/>
  <c r="BN73" i="45"/>
  <c r="BQ54" i="45"/>
  <c r="BQ40" i="45"/>
  <c r="BR29" i="45" s="1"/>
  <c r="BV66" i="45"/>
  <c r="BV77" i="45"/>
  <c r="BT37" i="45"/>
  <c r="BU26" i="45" s="1"/>
  <c r="BT51" i="45"/>
  <c r="BV41" i="45"/>
  <c r="BW30" i="45" s="1"/>
  <c r="BV55" i="45"/>
  <c r="BM74" i="45"/>
  <c r="BM63" i="45"/>
  <c r="BN24" i="45"/>
  <c r="BM25" i="45"/>
  <c r="BO23" i="45"/>
  <c r="BW27" i="45"/>
  <c r="BS76" i="45"/>
  <c r="BS65" i="45"/>
  <c r="BL44" i="45" l="1"/>
  <c r="BL45" i="45" s="1"/>
  <c r="BR40" i="45"/>
  <c r="BS29" i="45" s="1"/>
  <c r="BR54" i="45"/>
  <c r="BW38" i="45"/>
  <c r="BX27" i="45" s="1"/>
  <c r="BW52" i="45"/>
  <c r="BT65" i="45"/>
  <c r="BT76" i="45"/>
  <c r="BO48" i="45"/>
  <c r="BO34" i="45"/>
  <c r="BX78" i="45"/>
  <c r="BX67" i="45"/>
  <c r="BQ79" i="45"/>
  <c r="BQ68" i="45"/>
  <c r="BW41" i="45"/>
  <c r="BW55" i="45"/>
  <c r="BU37" i="45"/>
  <c r="BV26" i="45" s="1"/>
  <c r="BU51" i="45"/>
  <c r="BM36" i="45"/>
  <c r="BM50" i="45"/>
  <c r="BM56" i="45" s="1"/>
  <c r="BN35" i="45"/>
  <c r="BO24" i="45" s="1"/>
  <c r="BN49" i="45"/>
  <c r="BV69" i="45"/>
  <c r="BV80" i="45"/>
  <c r="BY28" i="45"/>
  <c r="BX38" i="45" l="1"/>
  <c r="BY27" i="45" s="1"/>
  <c r="BX52" i="45"/>
  <c r="BV37" i="45"/>
  <c r="BW26" i="45" s="1"/>
  <c r="BV51" i="45"/>
  <c r="BO35" i="45"/>
  <c r="BP24" i="45" s="1"/>
  <c r="BO49" i="45"/>
  <c r="BO62" i="45"/>
  <c r="BO73" i="45"/>
  <c r="BM75" i="45"/>
  <c r="BM81" i="45" s="1"/>
  <c r="BM64" i="45"/>
  <c r="BM70" i="45" s="1"/>
  <c r="BM42" i="45"/>
  <c r="BY53" i="45"/>
  <c r="BY39" i="45"/>
  <c r="BZ28" i="45" s="1"/>
  <c r="BN25" i="45"/>
  <c r="BU65" i="45"/>
  <c r="BU76" i="45"/>
  <c r="BS40" i="45"/>
  <c r="BT29" i="45" s="1"/>
  <c r="BS54" i="45"/>
  <c r="BP23" i="45"/>
  <c r="BN74" i="45"/>
  <c r="BN63" i="45"/>
  <c r="BW66" i="45"/>
  <c r="BW77" i="45"/>
  <c r="BW69" i="45"/>
  <c r="BW80" i="45"/>
  <c r="BX30" i="45"/>
  <c r="BR79" i="45"/>
  <c r="BR68" i="45"/>
  <c r="BZ53" i="45" l="1"/>
  <c r="BZ39" i="45"/>
  <c r="BP35" i="45"/>
  <c r="BP49" i="45"/>
  <c r="BX41" i="45"/>
  <c r="BY30" i="45" s="1"/>
  <c r="BX55" i="45"/>
  <c r="BN31" i="45"/>
  <c r="BM44" i="45"/>
  <c r="BM45" i="45" s="1"/>
  <c r="BO63" i="45"/>
  <c r="BO74" i="45"/>
  <c r="BP34" i="45"/>
  <c r="BQ23" i="45" s="1"/>
  <c r="BP48" i="45"/>
  <c r="BY78" i="45"/>
  <c r="BY67" i="45"/>
  <c r="BY38" i="45"/>
  <c r="BY52" i="45"/>
  <c r="BT40" i="45"/>
  <c r="BU29" i="45" s="1"/>
  <c r="BT54" i="45"/>
  <c r="BW37" i="45"/>
  <c r="BX26" i="45" s="1"/>
  <c r="BW51" i="45"/>
  <c r="BS79" i="45"/>
  <c r="BS68" i="45"/>
  <c r="BV65" i="45"/>
  <c r="BV76" i="45"/>
  <c r="BN50" i="45"/>
  <c r="BN56" i="45" s="1"/>
  <c r="BN36" i="45"/>
  <c r="BO25" i="45" s="1"/>
  <c r="BX77" i="45"/>
  <c r="BX66" i="45"/>
  <c r="BO36" i="45" l="1"/>
  <c r="BO50" i="45"/>
  <c r="BO56" i="45" s="1"/>
  <c r="BY41" i="45"/>
  <c r="BZ30" i="45" s="1"/>
  <c r="BY55" i="45"/>
  <c r="BQ34" i="45"/>
  <c r="BR23" i="45" s="1"/>
  <c r="BQ48" i="45"/>
  <c r="BZ67" i="45"/>
  <c r="BZ78" i="45"/>
  <c r="BN75" i="45"/>
  <c r="BN81" i="45" s="1"/>
  <c r="BN64" i="45"/>
  <c r="BN70" i="45" s="1"/>
  <c r="BN42" i="45"/>
  <c r="BN44" i="45" s="1"/>
  <c r="BN45" i="45" s="1"/>
  <c r="BP62" i="45"/>
  <c r="BP73" i="45"/>
  <c r="BW65" i="45"/>
  <c r="BW76" i="45"/>
  <c r="BX80" i="45"/>
  <c r="BX69" i="45"/>
  <c r="BU40" i="45"/>
  <c r="BV29" i="45" s="1"/>
  <c r="BU54" i="45"/>
  <c r="BT79" i="45"/>
  <c r="BT68" i="45"/>
  <c r="BP63" i="45"/>
  <c r="BP74" i="45"/>
  <c r="BY77" i="45"/>
  <c r="BY66" i="45"/>
  <c r="BX37" i="45"/>
  <c r="BY26" i="45" s="1"/>
  <c r="BX51" i="45"/>
  <c r="BQ24" i="45"/>
  <c r="BZ27" i="45"/>
  <c r="CA28" i="45"/>
  <c r="BO31" i="45" l="1"/>
  <c r="BY37" i="45"/>
  <c r="BY51" i="45"/>
  <c r="BX65" i="45"/>
  <c r="BX76" i="45"/>
  <c r="BO64" i="45"/>
  <c r="BO70" i="45" s="1"/>
  <c r="BO75" i="45"/>
  <c r="BO81" i="45" s="1"/>
  <c r="BO42" i="45"/>
  <c r="BV40" i="45"/>
  <c r="BV54" i="45"/>
  <c r="BQ62" i="45"/>
  <c r="BQ73" i="45"/>
  <c r="BU79" i="45"/>
  <c r="BU68" i="45"/>
  <c r="BZ41" i="45"/>
  <c r="BZ55" i="45"/>
  <c r="CA53" i="45"/>
  <c r="CA39" i="45"/>
  <c r="CB28" i="45" s="1"/>
  <c r="BP25" i="45"/>
  <c r="BR34" i="45"/>
  <c r="BS23" i="45" s="1"/>
  <c r="BR48" i="45"/>
  <c r="BY80" i="45"/>
  <c r="BY69" i="45"/>
  <c r="BZ38" i="45"/>
  <c r="CA27" i="45" s="1"/>
  <c r="BZ52" i="45"/>
  <c r="BQ35" i="45"/>
  <c r="BQ49" i="45"/>
  <c r="BO44" i="45" l="1"/>
  <c r="BO45" i="45" s="1"/>
  <c r="CB53" i="45"/>
  <c r="CB39" i="45"/>
  <c r="BS34" i="45"/>
  <c r="BS48" i="45"/>
  <c r="BQ63" i="45"/>
  <c r="BQ74" i="45"/>
  <c r="BV79" i="45"/>
  <c r="BV68" i="45"/>
  <c r="BZ77" i="45"/>
  <c r="BZ66" i="45"/>
  <c r="BP31" i="45"/>
  <c r="BP36" i="45"/>
  <c r="BP50" i="45"/>
  <c r="BP56" i="45" s="1"/>
  <c r="BY65" i="45"/>
  <c r="BY76" i="45"/>
  <c r="BR62" i="45"/>
  <c r="BR73" i="45"/>
  <c r="BW29" i="45"/>
  <c r="BZ26" i="45"/>
  <c r="BZ80" i="45"/>
  <c r="BZ69" i="45"/>
  <c r="CA38" i="45"/>
  <c r="CB27" i="45" s="1"/>
  <c r="CA52" i="45"/>
  <c r="CA67" i="45"/>
  <c r="CA78" i="45"/>
  <c r="BR24" i="45"/>
  <c r="CA30" i="45"/>
  <c r="CB52" i="45" l="1"/>
  <c r="CB38" i="45"/>
  <c r="CC27" i="45" s="1"/>
  <c r="CA41" i="45"/>
  <c r="CB30" i="45" s="1"/>
  <c r="CA55" i="45"/>
  <c r="BR35" i="45"/>
  <c r="BS24" i="45" s="1"/>
  <c r="BR49" i="45"/>
  <c r="BW40" i="45"/>
  <c r="BW54" i="45"/>
  <c r="BP64" i="45"/>
  <c r="BP70" i="45" s="1"/>
  <c r="BP75" i="45"/>
  <c r="BP81" i="45" s="1"/>
  <c r="BP42" i="45"/>
  <c r="BQ31" i="45" s="1"/>
  <c r="CB67" i="45"/>
  <c r="CB78" i="45"/>
  <c r="CA77" i="45"/>
  <c r="CA66" i="45"/>
  <c r="BZ37" i="45"/>
  <c r="BZ51" i="45"/>
  <c r="BQ25" i="45"/>
  <c r="BS62" i="45"/>
  <c r="BS73" i="45"/>
  <c r="BT23" i="45"/>
  <c r="CC28" i="45"/>
  <c r="BP44" i="45" l="1"/>
  <c r="BP45" i="45" s="1"/>
  <c r="CC38" i="45"/>
  <c r="CD27" i="45" s="1"/>
  <c r="CC52" i="45"/>
  <c r="BW79" i="45"/>
  <c r="BW68" i="45"/>
  <c r="BZ65" i="45"/>
  <c r="BZ76" i="45"/>
  <c r="BR63" i="45"/>
  <c r="BR74" i="45"/>
  <c r="BX29" i="45"/>
  <c r="CB41" i="45"/>
  <c r="CC30" i="45" s="1"/>
  <c r="CB55" i="45"/>
  <c r="CB77" i="45"/>
  <c r="CB66" i="45"/>
  <c r="CA26" i="45"/>
  <c r="BQ36" i="45"/>
  <c r="BQ50" i="45"/>
  <c r="BQ56" i="45" s="1"/>
  <c r="CA80" i="45"/>
  <c r="CA69" i="45"/>
  <c r="CC53" i="45"/>
  <c r="CC39" i="45"/>
  <c r="CD28" i="45" s="1"/>
  <c r="BT48" i="45"/>
  <c r="BT34" i="45"/>
  <c r="BU23" i="45" s="1"/>
  <c r="BS35" i="45"/>
  <c r="BS49" i="45"/>
  <c r="BU34" i="45" l="1"/>
  <c r="BU48" i="45"/>
  <c r="CD53" i="45"/>
  <c r="CD39" i="45"/>
  <c r="BS63" i="45"/>
  <c r="BS74" i="45"/>
  <c r="CA37" i="45"/>
  <c r="CB26" i="45" s="1"/>
  <c r="CA51" i="45"/>
  <c r="CB80" i="45"/>
  <c r="CB69" i="45"/>
  <c r="CC67" i="45"/>
  <c r="CC78" i="45"/>
  <c r="CD38" i="45"/>
  <c r="CE27" i="45" s="1"/>
  <c r="CD52" i="45"/>
  <c r="CC55" i="45"/>
  <c r="CC41" i="45"/>
  <c r="CD30" i="45" s="1"/>
  <c r="BX40" i="45"/>
  <c r="BX54" i="45"/>
  <c r="BT24" i="45"/>
  <c r="BT62" i="45"/>
  <c r="BT73" i="45"/>
  <c r="BQ64" i="45"/>
  <c r="BQ70" i="45" s="1"/>
  <c r="BQ75" i="45"/>
  <c r="BQ81" i="45" s="1"/>
  <c r="BQ42" i="45"/>
  <c r="BR25" i="45"/>
  <c r="CC77" i="45"/>
  <c r="CC66" i="45"/>
  <c r="CD41" i="45" l="1"/>
  <c r="CE30" i="45" s="1"/>
  <c r="CD55" i="45"/>
  <c r="CB37" i="45"/>
  <c r="CC26" i="45" s="1"/>
  <c r="CB51" i="45"/>
  <c r="BQ44" i="45"/>
  <c r="BQ45" i="45" s="1"/>
  <c r="BR31" i="45"/>
  <c r="BR50" i="45"/>
  <c r="BR56" i="45" s="1"/>
  <c r="BR36" i="45"/>
  <c r="BS25" i="45" s="1"/>
  <c r="BT35" i="45"/>
  <c r="BT49" i="45"/>
  <c r="CD78" i="45"/>
  <c r="CD67" i="45"/>
  <c r="CA65" i="45"/>
  <c r="CA76" i="45"/>
  <c r="BX79" i="45"/>
  <c r="BX68" i="45"/>
  <c r="BY29" i="45"/>
  <c r="CE28" i="45"/>
  <c r="BU62" i="45"/>
  <c r="BU73" i="45"/>
  <c r="CC80" i="45"/>
  <c r="CC69" i="45"/>
  <c r="CE38" i="45"/>
  <c r="CF27" i="45" s="1"/>
  <c r="CE52" i="45"/>
  <c r="CD77" i="45"/>
  <c r="CD66" i="45"/>
  <c r="BV23" i="45"/>
  <c r="BS36" i="45" l="1"/>
  <c r="BS50" i="45"/>
  <c r="BS56" i="45" s="1"/>
  <c r="BT63" i="45"/>
  <c r="BT74" i="45"/>
  <c r="BV34" i="45"/>
  <c r="BV48" i="45"/>
  <c r="CE77" i="45"/>
  <c r="CE66" i="45"/>
  <c r="CF52" i="45"/>
  <c r="CF38" i="45"/>
  <c r="CG27" i="45" s="1"/>
  <c r="BU24" i="45"/>
  <c r="BR64" i="45"/>
  <c r="BR70" i="45" s="1"/>
  <c r="BR75" i="45"/>
  <c r="BR81" i="45" s="1"/>
  <c r="BR42" i="45"/>
  <c r="BR44" i="45" s="1"/>
  <c r="BR45" i="45" s="1"/>
  <c r="CC37" i="45"/>
  <c r="CC51" i="45"/>
  <c r="CE55" i="45"/>
  <c r="CE41" i="45"/>
  <c r="CE39" i="45"/>
  <c r="CF28" i="45" s="1"/>
  <c r="CE53" i="45"/>
  <c r="CB65" i="45"/>
  <c r="CB76" i="45"/>
  <c r="BY40" i="45"/>
  <c r="BZ29" i="45" s="1"/>
  <c r="BY54" i="45"/>
  <c r="CD80" i="45"/>
  <c r="CD69" i="45"/>
  <c r="CG52" i="45" l="1"/>
  <c r="CG38" i="45"/>
  <c r="BZ40" i="45"/>
  <c r="BZ54" i="45"/>
  <c r="CF39" i="45"/>
  <c r="CG28" i="45" s="1"/>
  <c r="CF53" i="45"/>
  <c r="CE80" i="45"/>
  <c r="CE69" i="45"/>
  <c r="CC65" i="45"/>
  <c r="CC76" i="45"/>
  <c r="BY79" i="45"/>
  <c r="BY68" i="45"/>
  <c r="BV62" i="45"/>
  <c r="BV73" i="45"/>
  <c r="BS31" i="45"/>
  <c r="BU35" i="45"/>
  <c r="BV24" i="45" s="1"/>
  <c r="BU49" i="45"/>
  <c r="CE78" i="45"/>
  <c r="CE67" i="45"/>
  <c r="BW23" i="45"/>
  <c r="CF30" i="45"/>
  <c r="CD26" i="45"/>
  <c r="BS64" i="45"/>
  <c r="BS70" i="45" s="1"/>
  <c r="BS75" i="45"/>
  <c r="BS81" i="45" s="1"/>
  <c r="BS42" i="45"/>
  <c r="CF77" i="45"/>
  <c r="CF66" i="45"/>
  <c r="BT25" i="45"/>
  <c r="CD37" i="45" l="1"/>
  <c r="CE26" i="45" s="1"/>
  <c r="CD51" i="45"/>
  <c r="BV35" i="45"/>
  <c r="BW24" i="45" s="1"/>
  <c r="BV49" i="45"/>
  <c r="CG39" i="45"/>
  <c r="CH28" i="45" s="1"/>
  <c r="CG53" i="45"/>
  <c r="CG77" i="45"/>
  <c r="CG66" i="45"/>
  <c r="BW34" i="45"/>
  <c r="BX23" i="45" s="1"/>
  <c r="BW48" i="45"/>
  <c r="BZ79" i="45"/>
  <c r="BZ68" i="45"/>
  <c r="BT31" i="45"/>
  <c r="BS44" i="45"/>
  <c r="BS45" i="45" s="1"/>
  <c r="BT50" i="45"/>
  <c r="BT56" i="45" s="1"/>
  <c r="BT36" i="45"/>
  <c r="CF41" i="45"/>
  <c r="CG30" i="45" s="1"/>
  <c r="CF55" i="45"/>
  <c r="CF78" i="45"/>
  <c r="CF67" i="45"/>
  <c r="CA29" i="45"/>
  <c r="BU63" i="45"/>
  <c r="BU74" i="45"/>
  <c r="CH27" i="45"/>
  <c r="BX34" i="45" l="1"/>
  <c r="BX48" i="45"/>
  <c r="BW35" i="45"/>
  <c r="BX24" i="45" s="1"/>
  <c r="BW49" i="45"/>
  <c r="CA40" i="45"/>
  <c r="CB29" i="45" s="1"/>
  <c r="CA54" i="45"/>
  <c r="BT64" i="45"/>
  <c r="BT70" i="45" s="1"/>
  <c r="BT75" i="45"/>
  <c r="BT81" i="45" s="1"/>
  <c r="BT42" i="45"/>
  <c r="BU31" i="45" s="1"/>
  <c r="CE37" i="45"/>
  <c r="CE51" i="45"/>
  <c r="CH52" i="45"/>
  <c r="CH38" i="45"/>
  <c r="CG78" i="45"/>
  <c r="CG67" i="45"/>
  <c r="BU25" i="45"/>
  <c r="BW62" i="45"/>
  <c r="BW73" i="45"/>
  <c r="CH39" i="45"/>
  <c r="CH53" i="45"/>
  <c r="CG55" i="45"/>
  <c r="CG41" i="45"/>
  <c r="CF80" i="45"/>
  <c r="CF69" i="45"/>
  <c r="CD65" i="45"/>
  <c r="CD76" i="45"/>
  <c r="BV63" i="45"/>
  <c r="BV74" i="45"/>
  <c r="BT44" i="45" l="1"/>
  <c r="BT45" i="45" s="1"/>
  <c r="CE65" i="45"/>
  <c r="CE76" i="45"/>
  <c r="CH78" i="45"/>
  <c r="CH67" i="45"/>
  <c r="BX35" i="45"/>
  <c r="BY24" i="45" s="1"/>
  <c r="BX49" i="45"/>
  <c r="CG80" i="45"/>
  <c r="CG69" i="45"/>
  <c r="CH30" i="45"/>
  <c r="CB40" i="45"/>
  <c r="CC29" i="45" s="1"/>
  <c r="CB54" i="45"/>
  <c r="CH66" i="45"/>
  <c r="CH77" i="45"/>
  <c r="BW63" i="45"/>
  <c r="BW74" i="45"/>
  <c r="CA79" i="45"/>
  <c r="CA68" i="45"/>
  <c r="CF26" i="45"/>
  <c r="BX62" i="45"/>
  <c r="BX73" i="45"/>
  <c r="BU36" i="45"/>
  <c r="BU50" i="45"/>
  <c r="BU56" i="45" s="1"/>
  <c r="BY23" i="45"/>
  <c r="BY35" i="45" l="1"/>
  <c r="BY49" i="45"/>
  <c r="CH55" i="45"/>
  <c r="CH41" i="45"/>
  <c r="CB79" i="45"/>
  <c r="CB68" i="45"/>
  <c r="CC40" i="45"/>
  <c r="CC54" i="45"/>
  <c r="BY34" i="45"/>
  <c r="BZ23" i="45" s="1"/>
  <c r="BY48" i="45"/>
  <c r="CF37" i="45"/>
  <c r="CG26" i="45" s="1"/>
  <c r="CF51" i="45"/>
  <c r="BU64" i="45"/>
  <c r="BU70" i="45" s="1"/>
  <c r="BU75" i="45"/>
  <c r="BU81" i="45" s="1"/>
  <c r="BU42" i="45"/>
  <c r="BV25" i="45"/>
  <c r="BX63" i="45"/>
  <c r="BX74" i="45"/>
  <c r="BZ48" i="45" l="1"/>
  <c r="BZ34" i="45"/>
  <c r="CG37" i="45"/>
  <c r="CG51" i="45"/>
  <c r="BY63" i="45"/>
  <c r="BY74" i="45"/>
  <c r="CF65" i="45"/>
  <c r="CF76" i="45"/>
  <c r="CC79" i="45"/>
  <c r="CC68" i="45"/>
  <c r="CH80" i="45"/>
  <c r="CH69" i="45"/>
  <c r="BU44" i="45"/>
  <c r="BU45" i="45" s="1"/>
  <c r="BV31" i="45"/>
  <c r="BZ24" i="45"/>
  <c r="BY62" i="45"/>
  <c r="BY73" i="45"/>
  <c r="CD29" i="45"/>
  <c r="BV50" i="45"/>
  <c r="BV56" i="45" s="1"/>
  <c r="BV36" i="45"/>
  <c r="BV64" i="45" l="1"/>
  <c r="BV70" i="45" s="1"/>
  <c r="BV75" i="45"/>
  <c r="BV81" i="45" s="1"/>
  <c r="BV42" i="45"/>
  <c r="BV44" i="45" s="1"/>
  <c r="BV45" i="45" s="1"/>
  <c r="BW25" i="45"/>
  <c r="BZ62" i="45"/>
  <c r="BZ73" i="45"/>
  <c r="CG65" i="45"/>
  <c r="CG76" i="45"/>
  <c r="BZ35" i="45"/>
  <c r="CA24" i="45" s="1"/>
  <c r="BZ49" i="45"/>
  <c r="CH26" i="45"/>
  <c r="CD40" i="45"/>
  <c r="CD54" i="45"/>
  <c r="CA23" i="45"/>
  <c r="CA49" i="45" l="1"/>
  <c r="CA35" i="45"/>
  <c r="CH37" i="45"/>
  <c r="CH51" i="45"/>
  <c r="BZ63" i="45"/>
  <c r="BZ74" i="45"/>
  <c r="CA34" i="45"/>
  <c r="CB23" i="45" s="1"/>
  <c r="CA48" i="45"/>
  <c r="BW31" i="45"/>
  <c r="CD79" i="45"/>
  <c r="CD68" i="45"/>
  <c r="BW36" i="45"/>
  <c r="BW50" i="45"/>
  <c r="BW56" i="45" s="1"/>
  <c r="CE29" i="45"/>
  <c r="CB34" i="45" l="1"/>
  <c r="CC23" i="45" s="1"/>
  <c r="CB48" i="45"/>
  <c r="BW64" i="45"/>
  <c r="BW70" i="45" s="1"/>
  <c r="BW75" i="45"/>
  <c r="BW81" i="45" s="1"/>
  <c r="BW42" i="45"/>
  <c r="BW44" i="45" s="1"/>
  <c r="BW45" i="45" s="1"/>
  <c r="CH65" i="45"/>
  <c r="CH76" i="45"/>
  <c r="CA63" i="45"/>
  <c r="CA74" i="45"/>
  <c r="CB24" i="45"/>
  <c r="BX25" i="45"/>
  <c r="CA62" i="45"/>
  <c r="CA73" i="45"/>
  <c r="CE40" i="45"/>
  <c r="CE54" i="45"/>
  <c r="CC34" i="45" l="1"/>
  <c r="CC48" i="45"/>
  <c r="BX36" i="45"/>
  <c r="BY25" i="45" s="1"/>
  <c r="BX50" i="45"/>
  <c r="BX56" i="45" s="1"/>
  <c r="BX31" i="45"/>
  <c r="CB35" i="45"/>
  <c r="CC24" i="45" s="1"/>
  <c r="CB49" i="45"/>
  <c r="CB62" i="45"/>
  <c r="CB73" i="45"/>
  <c r="CE79" i="45"/>
  <c r="CE68" i="45"/>
  <c r="CF29" i="45"/>
  <c r="CC35" i="45" l="1"/>
  <c r="CC49" i="45"/>
  <c r="BY36" i="45"/>
  <c r="BY50" i="45"/>
  <c r="BY56" i="45" s="1"/>
  <c r="BX64" i="45"/>
  <c r="BX70" i="45" s="1"/>
  <c r="BX75" i="45"/>
  <c r="BX81" i="45" s="1"/>
  <c r="BX42" i="45"/>
  <c r="BX44" i="45" s="1"/>
  <c r="BX45" i="45" s="1"/>
  <c r="CF40" i="45"/>
  <c r="CG29" i="45" s="1"/>
  <c r="CF54" i="45"/>
  <c r="CB63" i="45"/>
  <c r="CB74" i="45"/>
  <c r="CC62" i="45"/>
  <c r="CC73" i="45"/>
  <c r="CD23" i="45"/>
  <c r="BY31" i="45" l="1"/>
  <c r="CG40" i="45"/>
  <c r="CH29" i="45" s="1"/>
  <c r="CG54" i="45"/>
  <c r="BY64" i="45"/>
  <c r="BY70" i="45" s="1"/>
  <c r="BY75" i="45"/>
  <c r="BY81" i="45" s="1"/>
  <c r="BY42" i="45"/>
  <c r="CF79" i="45"/>
  <c r="CF68" i="45"/>
  <c r="CC74" i="45"/>
  <c r="CC63" i="45"/>
  <c r="CD34" i="45"/>
  <c r="CD48" i="45"/>
  <c r="CD24" i="45"/>
  <c r="BZ25" i="45"/>
  <c r="BY44" i="45" l="1"/>
  <c r="BY45" i="45" s="1"/>
  <c r="BZ31" i="45"/>
  <c r="CD35" i="45"/>
  <c r="CD49" i="45"/>
  <c r="CD62" i="45"/>
  <c r="CD73" i="45"/>
  <c r="CE23" i="45"/>
  <c r="CH40" i="45"/>
  <c r="CH54" i="45"/>
  <c r="BZ36" i="45"/>
  <c r="BZ50" i="45"/>
  <c r="BZ56" i="45" s="1"/>
  <c r="CG68" i="45"/>
  <c r="CG79" i="45"/>
  <c r="CH68" i="45" l="1"/>
  <c r="CH79" i="45"/>
  <c r="CE34" i="45"/>
  <c r="CF23" i="45" s="1"/>
  <c r="CE48" i="45"/>
  <c r="BZ64" i="45"/>
  <c r="BZ70" i="45" s="1"/>
  <c r="BZ75" i="45"/>
  <c r="BZ81" i="45" s="1"/>
  <c r="BZ42" i="45"/>
  <c r="CA25" i="45"/>
  <c r="CD74" i="45"/>
  <c r="CD63" i="45"/>
  <c r="CE24" i="45"/>
  <c r="CE35" i="45" l="1"/>
  <c r="CE49" i="45"/>
  <c r="CA36" i="45"/>
  <c r="CA50" i="45"/>
  <c r="CA56" i="45" s="1"/>
  <c r="CF34" i="45"/>
  <c r="CG23" i="45" s="1"/>
  <c r="CF48" i="45"/>
  <c r="BZ44" i="45"/>
  <c r="BZ45" i="45" s="1"/>
  <c r="CA31" i="45"/>
  <c r="CE62" i="45"/>
  <c r="CE73" i="45"/>
  <c r="CA64" i="45" l="1"/>
  <c r="CA70" i="45" s="1"/>
  <c r="CA75" i="45"/>
  <c r="CA81" i="45" s="1"/>
  <c r="CA42" i="45"/>
  <c r="CB31" i="45" s="1"/>
  <c r="CB25" i="45"/>
  <c r="CE74" i="45"/>
  <c r="CE63" i="45"/>
  <c r="CG34" i="45"/>
  <c r="CG48" i="45"/>
  <c r="CF62" i="45"/>
  <c r="CF73" i="45"/>
  <c r="CF24" i="45"/>
  <c r="CB36" i="45" l="1"/>
  <c r="CC25" i="45" s="1"/>
  <c r="CB50" i="45"/>
  <c r="CB56" i="45" s="1"/>
  <c r="CG62" i="45"/>
  <c r="CG73" i="45"/>
  <c r="CA44" i="45"/>
  <c r="CA45" i="45" s="1"/>
  <c r="CF35" i="45"/>
  <c r="CF49" i="45"/>
  <c r="CH23" i="45"/>
  <c r="CC36" i="45" l="1"/>
  <c r="CC50" i="45"/>
  <c r="CC56" i="45" s="1"/>
  <c r="CF63" i="45"/>
  <c r="CF74" i="45"/>
  <c r="CB64" i="45"/>
  <c r="CB70" i="45" s="1"/>
  <c r="CB75" i="45"/>
  <c r="CB81" i="45" s="1"/>
  <c r="CB42" i="45"/>
  <c r="CH34" i="45"/>
  <c r="CH48" i="45"/>
  <c r="CG24" i="45"/>
  <c r="CG49" i="45" l="1"/>
  <c r="CG35" i="45"/>
  <c r="CH62" i="45"/>
  <c r="CH73" i="45"/>
  <c r="CC31" i="45"/>
  <c r="CB44" i="45"/>
  <c r="CB45" i="45" s="1"/>
  <c r="CC64" i="45"/>
  <c r="CC70" i="45" s="1"/>
  <c r="CC75" i="45"/>
  <c r="CC81" i="45" s="1"/>
  <c r="CC42" i="45"/>
  <c r="CD25" i="45"/>
  <c r="CD36" i="45" l="1"/>
  <c r="CD50" i="45"/>
  <c r="CD56" i="45" s="1"/>
  <c r="CD31" i="45"/>
  <c r="CC44" i="45"/>
  <c r="CC45" i="45" s="1"/>
  <c r="CG63" i="45"/>
  <c r="CG74" i="45"/>
  <c r="CH24" i="45"/>
  <c r="CH35" i="45" l="1"/>
  <c r="CH49" i="45"/>
  <c r="CD64" i="45"/>
  <c r="CD70" i="45" s="1"/>
  <c r="CD75" i="45"/>
  <c r="CD81" i="45" s="1"/>
  <c r="CD42" i="45"/>
  <c r="CE31" i="45" s="1"/>
  <c r="CE25" i="45"/>
  <c r="CE36" i="45" l="1"/>
  <c r="CE50" i="45"/>
  <c r="CE56" i="45" s="1"/>
  <c r="CH63" i="45"/>
  <c r="CH74" i="45"/>
  <c r="CD44" i="45"/>
  <c r="CD45" i="45" s="1"/>
  <c r="CE64" i="45" l="1"/>
  <c r="CE70" i="45" s="1"/>
  <c r="CE75" i="45"/>
  <c r="CE81" i="45" s="1"/>
  <c r="CE42" i="45"/>
  <c r="CF25" i="45"/>
  <c r="CF36" i="45" l="1"/>
  <c r="CF50" i="45"/>
  <c r="CF56" i="45" s="1"/>
  <c r="CF31" i="45"/>
  <c r="CE44" i="45"/>
  <c r="CE45" i="45" s="1"/>
  <c r="CF64" i="45" l="1"/>
  <c r="CF70" i="45" s="1"/>
  <c r="CF75" i="45"/>
  <c r="CF81" i="45" s="1"/>
  <c r="CF42" i="45"/>
  <c r="CG31" i="45" s="1"/>
  <c r="CG25" i="45"/>
  <c r="CG36" i="45" l="1"/>
  <c r="CH25" i="45" s="1"/>
  <c r="CG50" i="45"/>
  <c r="CG56" i="45" s="1"/>
  <c r="CF44" i="45"/>
  <c r="CF45" i="45" s="1"/>
  <c r="CH50" i="45" l="1"/>
  <c r="CH56" i="45" s="1"/>
  <c r="CH36" i="45"/>
  <c r="CG75" i="45"/>
  <c r="CG81" i="45" s="1"/>
  <c r="CG64" i="45"/>
  <c r="CG70" i="45" s="1"/>
  <c r="CG42" i="45"/>
  <c r="CH31" i="45" l="1"/>
  <c r="CG44" i="45"/>
  <c r="CG45" i="45" s="1"/>
  <c r="CH75" i="45"/>
  <c r="CH81" i="45" s="1"/>
  <c r="CH64" i="45"/>
  <c r="CH70" i="45" s="1"/>
  <c r="CH42" i="45"/>
  <c r="CH44" i="45" l="1"/>
  <c r="CH45" i="45" s="1"/>
  <c r="K355" i="36" l="1"/>
  <c r="O83" i="45" l="1"/>
  <c r="P83" i="45" s="1"/>
  <c r="Q83" i="45" s="1"/>
  <c r="R83" i="45" s="1"/>
  <c r="S83" i="45" s="1"/>
  <c r="O85" i="45" l="1"/>
  <c r="R85" i="45"/>
  <c r="R94" i="45" s="1"/>
  <c r="T83" i="45"/>
  <c r="S85" i="45"/>
  <c r="S94" i="45" s="1"/>
  <c r="Q85" i="45"/>
  <c r="Q94" i="45" s="1"/>
  <c r="P85" i="45"/>
  <c r="P94" i="45" s="1"/>
  <c r="O94" i="45" l="1"/>
  <c r="U83" i="45"/>
  <c r="T85" i="45"/>
  <c r="T94" i="45" s="1"/>
  <c r="V83" i="45" l="1"/>
  <c r="U85" i="45"/>
  <c r="U94" i="45" s="1"/>
  <c r="V85" i="45" l="1"/>
  <c r="V94" i="45" s="1"/>
  <c r="W83" i="45"/>
  <c r="W85" i="45" l="1"/>
  <c r="W94" i="45" s="1"/>
  <c r="X83" i="45"/>
  <c r="X85" i="45" l="1"/>
  <c r="X94" i="45" s="1"/>
  <c r="Y83" i="45"/>
  <c r="Y85" i="45" l="1"/>
  <c r="Y94" i="45" s="1"/>
  <c r="Z83" i="45"/>
  <c r="Z85" i="45" l="1"/>
  <c r="Z94" i="45" s="1"/>
  <c r="AA83" i="45"/>
  <c r="AA85" i="45" l="1"/>
  <c r="AA94" i="45" s="1"/>
  <c r="AB83" i="45"/>
  <c r="AB85" i="45" l="1"/>
  <c r="AB94" i="45" s="1"/>
  <c r="AC83" i="45"/>
  <c r="AC85" i="45" l="1"/>
  <c r="AC94" i="45" s="1"/>
  <c r="AD83" i="45"/>
  <c r="AD85" i="45" l="1"/>
  <c r="AD94" i="45" s="1"/>
  <c r="AE83" i="45"/>
  <c r="AF83" i="45" l="1"/>
  <c r="AE85" i="45"/>
  <c r="AE94" i="45" s="1"/>
  <c r="AF85" i="45" l="1"/>
  <c r="AF94" i="45" s="1"/>
  <c r="AG83" i="45"/>
  <c r="AH83" i="45" l="1"/>
  <c r="AG85" i="45"/>
  <c r="AG94" i="45" s="1"/>
  <c r="AI83" i="45" l="1"/>
  <c r="AH85" i="45"/>
  <c r="AH94" i="45" s="1"/>
  <c r="AJ83" i="45" l="1"/>
  <c r="AI85" i="45"/>
  <c r="AI94" i="45" s="1"/>
  <c r="AK83" i="45" l="1"/>
  <c r="AJ85" i="45"/>
  <c r="AJ94" i="45" s="1"/>
  <c r="AL83" i="45" l="1"/>
  <c r="AK85" i="45"/>
  <c r="AK94" i="45" s="1"/>
  <c r="AM83" i="45" l="1"/>
  <c r="AL85" i="45"/>
  <c r="AL94" i="45" s="1"/>
  <c r="AN83" i="45" l="1"/>
  <c r="AM85" i="45"/>
  <c r="AM94" i="45" s="1"/>
  <c r="AO83" i="45" l="1"/>
  <c r="AN85" i="45"/>
  <c r="AN94" i="45" s="1"/>
  <c r="AP83" i="45" l="1"/>
  <c r="AO85" i="45"/>
  <c r="AO94" i="45" s="1"/>
  <c r="AP85" i="45" l="1"/>
  <c r="AP94" i="45" s="1"/>
  <c r="AQ83" i="45"/>
  <c r="AQ85" i="45" l="1"/>
  <c r="AQ94" i="45" s="1"/>
  <c r="AR83" i="45"/>
  <c r="AR85" i="45" l="1"/>
  <c r="AR94" i="45" s="1"/>
  <c r="AS83" i="45"/>
  <c r="AS85" i="45" l="1"/>
  <c r="AS94" i="45" s="1"/>
  <c r="AT83" i="45"/>
  <c r="AT85" i="45" l="1"/>
  <c r="AT94" i="45" s="1"/>
  <c r="AU83" i="45"/>
  <c r="AU85" i="45" l="1"/>
  <c r="AU94" i="45" s="1"/>
  <c r="AV83" i="45"/>
  <c r="AV85" i="45" l="1"/>
  <c r="AV94" i="45" s="1"/>
  <c r="AW83" i="45"/>
  <c r="AW85" i="45" l="1"/>
  <c r="AW94" i="45" s="1"/>
  <c r="AX83" i="45"/>
  <c r="AX85" i="45" l="1"/>
  <c r="AX94" i="45" s="1"/>
  <c r="AY83" i="45"/>
  <c r="AZ83" i="45" l="1"/>
  <c r="AY85" i="45"/>
  <c r="AY94" i="45" s="1"/>
  <c r="AZ85" i="45" l="1"/>
  <c r="AZ94" i="45" s="1"/>
  <c r="BA83" i="45"/>
  <c r="BB83" i="45" l="1"/>
  <c r="BA85" i="45"/>
  <c r="BA94" i="45" s="1"/>
  <c r="BC83" i="45" l="1"/>
  <c r="BB85" i="45"/>
  <c r="BB94" i="45" s="1"/>
  <c r="BD83" i="45" l="1"/>
  <c r="BC85" i="45"/>
  <c r="BC94" i="45" s="1"/>
  <c r="BE83" i="45" l="1"/>
  <c r="BD85" i="45"/>
  <c r="BD94" i="45" s="1"/>
  <c r="BF83" i="45" l="1"/>
  <c r="BE85" i="45"/>
  <c r="BE94" i="45" s="1"/>
  <c r="BG83" i="45" l="1"/>
  <c r="BF85" i="45"/>
  <c r="BF94" i="45" s="1"/>
  <c r="BH83" i="45" l="1"/>
  <c r="BG85" i="45"/>
  <c r="BG94" i="45" s="1"/>
  <c r="BI83" i="45" l="1"/>
  <c r="BH85" i="45"/>
  <c r="BH94" i="45" s="1"/>
  <c r="BJ83" i="45" l="1"/>
  <c r="BI85" i="45"/>
  <c r="BI94" i="45" s="1"/>
  <c r="BJ85" i="45" l="1"/>
  <c r="BJ94" i="45" s="1"/>
  <c r="BK83" i="45"/>
  <c r="BK85" i="45" l="1"/>
  <c r="BK94" i="45" s="1"/>
  <c r="BL83" i="45"/>
  <c r="BL85" i="45" l="1"/>
  <c r="BL94" i="45" s="1"/>
  <c r="BM83" i="45"/>
  <c r="BM85" i="45" l="1"/>
  <c r="BM94" i="45" s="1"/>
  <c r="BN83" i="45"/>
  <c r="BN85" i="45" l="1"/>
  <c r="BN94" i="45" s="1"/>
  <c r="BO83" i="45"/>
  <c r="BO85" i="45" l="1"/>
  <c r="BO94" i="45" s="1"/>
  <c r="BP83" i="45"/>
  <c r="BP85" i="45" l="1"/>
  <c r="BP94" i="45" s="1"/>
  <c r="BQ83" i="45"/>
  <c r="BQ85" i="45" l="1"/>
  <c r="BQ94" i="45" s="1"/>
  <c r="BR83" i="45"/>
  <c r="BR85" i="45" l="1"/>
  <c r="BR94" i="45" s="1"/>
  <c r="BS83" i="45"/>
  <c r="BT83" i="45" l="1"/>
  <c r="BS85" i="45"/>
  <c r="BS94" i="45" s="1"/>
  <c r="BT85" i="45" l="1"/>
  <c r="BT94" i="45" s="1"/>
  <c r="BU83" i="45"/>
  <c r="BV83" i="45" l="1"/>
  <c r="BU85" i="45"/>
  <c r="BU94" i="45" s="1"/>
  <c r="BW83" i="45" l="1"/>
  <c r="BV85" i="45"/>
  <c r="BV94" i="45" s="1"/>
  <c r="BX83" i="45" l="1"/>
  <c r="BW85" i="45"/>
  <c r="BW94" i="45" s="1"/>
  <c r="BY83" i="45" l="1"/>
  <c r="BX85" i="45"/>
  <c r="BX94" i="45" s="1"/>
  <c r="BZ83" i="45" l="1"/>
  <c r="BY85" i="45"/>
  <c r="BY94" i="45" s="1"/>
  <c r="CA83" i="45" l="1"/>
  <c r="BZ85" i="45"/>
  <c r="BZ94" i="45" s="1"/>
  <c r="CB83" i="45" l="1"/>
  <c r="CA85" i="45"/>
  <c r="CA94" i="45" s="1"/>
  <c r="CC83" i="45" l="1"/>
  <c r="CB85" i="45"/>
  <c r="CB94" i="45" s="1"/>
  <c r="CD83" i="45" l="1"/>
  <c r="CC85" i="45"/>
  <c r="CC94" i="45" s="1"/>
  <c r="CD85" i="45" l="1"/>
  <c r="CD94" i="45" s="1"/>
  <c r="CE83" i="45"/>
  <c r="CE85" i="45" l="1"/>
  <c r="CE94" i="45" s="1"/>
  <c r="CF83" i="45"/>
  <c r="CF85" i="45" l="1"/>
  <c r="CF94" i="45" s="1"/>
  <c r="CG83" i="45"/>
  <c r="CG85" i="45" l="1"/>
  <c r="CG94" i="45" s="1"/>
  <c r="CH83" i="45"/>
  <c r="CH85" i="45" s="1"/>
  <c r="CH94" i="45" l="1"/>
  <c r="N102" i="45" s="1"/>
  <c r="O87" i="45"/>
  <c r="O89" i="45" s="1"/>
  <c r="O91" i="45" s="1"/>
  <c r="O98" i="45" s="1"/>
  <c r="M98" i="77" l="1"/>
  <c r="R52" i="25"/>
  <c r="S52" i="25"/>
  <c r="T52" i="25"/>
  <c r="R53" i="25"/>
  <c r="S53" i="25"/>
  <c r="T53" i="25"/>
  <c r="R54" i="25"/>
  <c r="S54" i="25"/>
  <c r="T54" i="25"/>
  <c r="R55" i="25"/>
  <c r="S55" i="25"/>
  <c r="T55" i="25"/>
  <c r="R56" i="25"/>
  <c r="S56" i="25"/>
  <c r="T56" i="25"/>
  <c r="R57" i="25"/>
  <c r="S57" i="25"/>
  <c r="T57" i="25"/>
  <c r="R58" i="25"/>
  <c r="S58" i="25"/>
  <c r="T58" i="25"/>
  <c r="R59" i="25"/>
  <c r="S59" i="25"/>
  <c r="T59" i="25"/>
  <c r="R60" i="25"/>
  <c r="S60" i="25"/>
  <c r="T60" i="25"/>
  <c r="R61" i="25"/>
  <c r="S61" i="25"/>
  <c r="T61" i="25"/>
  <c r="R62" i="25"/>
  <c r="S62" i="25"/>
  <c r="T62" i="25"/>
  <c r="R63" i="25"/>
  <c r="S63" i="25"/>
  <c r="T63" i="25"/>
  <c r="R64" i="25"/>
  <c r="S64" i="25"/>
  <c r="T64" i="25"/>
  <c r="R65" i="25"/>
  <c r="S65" i="25"/>
  <c r="T65" i="25"/>
  <c r="R66" i="25"/>
  <c r="S66" i="25"/>
  <c r="T66" i="25"/>
  <c r="R67" i="25"/>
  <c r="S67" i="25"/>
  <c r="T67" i="25"/>
  <c r="R68" i="25"/>
  <c r="S68" i="25"/>
  <c r="T68" i="25"/>
  <c r="R69" i="25"/>
  <c r="S69" i="25"/>
  <c r="T69" i="25"/>
  <c r="R70" i="25"/>
  <c r="S70" i="25"/>
  <c r="T70" i="25"/>
  <c r="R71" i="25"/>
  <c r="S71" i="25"/>
  <c r="T71" i="25"/>
  <c r="R72" i="25"/>
  <c r="S72" i="25"/>
  <c r="T72" i="25"/>
  <c r="R73" i="25"/>
  <c r="S73" i="25"/>
  <c r="T73" i="25"/>
  <c r="T75" i="25"/>
  <c r="F58" i="27"/>
  <c r="F59" i="27"/>
  <c r="F61" i="27"/>
  <c r="J98" i="27"/>
  <c r="L98" i="27"/>
  <c r="J99" i="27"/>
  <c r="L99" i="27"/>
  <c r="J100" i="27"/>
  <c r="L100" i="27"/>
  <c r="J101" i="27"/>
  <c r="L101" i="27"/>
  <c r="J102" i="27"/>
  <c r="L102" i="27"/>
  <c r="J103" i="27"/>
  <c r="L103" i="27"/>
  <c r="J104" i="27"/>
  <c r="L104" i="27"/>
  <c r="J105" i="27"/>
  <c r="L105" i="27"/>
  <c r="J106" i="27"/>
  <c r="L106" i="27"/>
  <c r="J107" i="27"/>
  <c r="L107" i="27"/>
  <c r="J108" i="27"/>
  <c r="L108" i="27"/>
  <c r="J109" i="27"/>
  <c r="L109" i="27"/>
  <c r="J110" i="27"/>
  <c r="L110" i="27"/>
  <c r="J111" i="27"/>
  <c r="L111" i="27"/>
  <c r="J112" i="27"/>
  <c r="L112" i="27"/>
  <c r="J113" i="27"/>
  <c r="L113" i="27"/>
  <c r="J114" i="27"/>
  <c r="L114" i="27"/>
  <c r="J115" i="27"/>
  <c r="L115" i="27"/>
  <c r="J116" i="27"/>
  <c r="L116" i="27"/>
  <c r="J117" i="27"/>
  <c r="L117" i="27"/>
  <c r="J118" i="27"/>
  <c r="L118" i="27"/>
  <c r="J119" i="27"/>
  <c r="L119" i="27"/>
  <c r="J120" i="27"/>
  <c r="L120" i="27"/>
  <c r="L7" i="44"/>
  <c r="L8" i="44"/>
  <c r="L9" i="44"/>
  <c r="L10" i="44"/>
  <c r="L11" i="44"/>
  <c r="L12" i="44"/>
  <c r="L13" i="44"/>
  <c r="L14" i="44"/>
  <c r="L15" i="44"/>
  <c r="L16" i="44"/>
  <c r="L17" i="44"/>
  <c r="L18" i="44"/>
  <c r="L19" i="44"/>
  <c r="L20" i="44"/>
  <c r="L21" i="44"/>
  <c r="L22" i="44"/>
  <c r="L23" i="44"/>
  <c r="L24" i="44"/>
  <c r="L25" i="44"/>
  <c r="L26" i="44"/>
  <c r="L27" i="44"/>
  <c r="L28" i="44"/>
  <c r="L29" i="44"/>
  <c r="L30" i="44"/>
  <c r="L31" i="44"/>
  <c r="L32" i="44"/>
  <c r="L33" i="44"/>
  <c r="L34" i="44"/>
  <c r="L35" i="44"/>
  <c r="L36" i="44"/>
  <c r="L37" i="44"/>
  <c r="L38" i="44"/>
  <c r="L39" i="44"/>
  <c r="L40" i="44"/>
  <c r="L41" i="44"/>
  <c r="L42" i="44"/>
  <c r="L43" i="44"/>
  <c r="L46" i="44"/>
  <c r="L47" i="44"/>
  <c r="H48" i="44"/>
  <c r="J48" i="44"/>
  <c r="L48" i="44"/>
  <c r="L49" i="44"/>
  <c r="L50" i="44"/>
  <c r="H51" i="44"/>
  <c r="J51" i="44"/>
  <c r="L51" i="44"/>
  <c r="H53" i="44"/>
  <c r="J53" i="44"/>
  <c r="L53" i="44"/>
  <c r="H57" i="44"/>
  <c r="J57" i="44"/>
  <c r="L57" i="44"/>
  <c r="H58" i="44"/>
  <c r="J58" i="44"/>
  <c r="L58" i="44"/>
  <c r="L61" i="44"/>
  <c r="U61" i="44"/>
  <c r="L62" i="44"/>
  <c r="L63" i="44"/>
  <c r="H64" i="44"/>
  <c r="J64" i="44"/>
  <c r="L65" i="44"/>
  <c r="L66" i="44"/>
  <c r="L67" i="44"/>
  <c r="L68" i="44"/>
  <c r="L69" i="44"/>
  <c r="L70" i="44"/>
  <c r="L71" i="44"/>
  <c r="L72" i="44"/>
  <c r="L73" i="44"/>
  <c r="L74" i="44"/>
  <c r="L75" i="44"/>
  <c r="L76" i="44"/>
  <c r="H77" i="44"/>
  <c r="J77" i="44"/>
  <c r="L77" i="44"/>
  <c r="L80" i="44"/>
  <c r="L81" i="44"/>
  <c r="L82" i="44"/>
  <c r="L84" i="44"/>
  <c r="L85" i="44"/>
  <c r="L86" i="44"/>
  <c r="L87" i="44"/>
  <c r="L88" i="44"/>
  <c r="L89" i="44"/>
  <c r="L90" i="44"/>
  <c r="L91" i="44"/>
  <c r="L92" i="44"/>
  <c r="L93" i="44"/>
  <c r="L94" i="44"/>
  <c r="L95" i="44"/>
  <c r="L96" i="44"/>
  <c r="H98" i="44"/>
  <c r="J98" i="44"/>
  <c r="L98" i="44"/>
  <c r="H100" i="44"/>
  <c r="J100" i="44"/>
  <c r="L100" i="44"/>
  <c r="J106" i="44"/>
  <c r="T106" i="44"/>
  <c r="U106" i="44"/>
  <c r="V106" i="44"/>
  <c r="W106" i="44"/>
  <c r="X106" i="44"/>
  <c r="I108" i="44"/>
  <c r="T108" i="44"/>
  <c r="U108" i="44"/>
  <c r="V108" i="44"/>
  <c r="W108" i="44"/>
  <c r="X108" i="44"/>
  <c r="J114" i="44"/>
  <c r="L114" i="44"/>
  <c r="T114" i="44"/>
  <c r="U114" i="44"/>
  <c r="V114" i="44"/>
  <c r="W114" i="44"/>
  <c r="X114" i="44"/>
  <c r="T120" i="44"/>
  <c r="U120" i="44"/>
  <c r="V120" i="44"/>
  <c r="W120" i="44"/>
  <c r="X120" i="44"/>
  <c r="T125" i="44"/>
  <c r="U125" i="44"/>
  <c r="V125" i="44"/>
  <c r="W125" i="44"/>
  <c r="X125" i="44"/>
  <c r="X29" i="76"/>
  <c r="AC29" i="76"/>
  <c r="X31" i="76"/>
  <c r="AC31" i="76"/>
  <c r="X33" i="76"/>
  <c r="AC33" i="76"/>
  <c r="AC39" i="76"/>
  <c r="L25" i="36"/>
  <c r="L43" i="36"/>
  <c r="L61" i="36"/>
  <c r="P66" i="36"/>
  <c r="K79" i="36"/>
  <c r="L97" i="36"/>
  <c r="L115" i="36"/>
  <c r="L133" i="36"/>
  <c r="L151" i="36"/>
  <c r="L169" i="36"/>
  <c r="L187" i="36"/>
  <c r="L205" i="36"/>
  <c r="L223" i="36"/>
  <c r="L241" i="36"/>
  <c r="L259" i="36"/>
  <c r="L277" i="36"/>
  <c r="L295" i="36"/>
  <c r="K313" i="36"/>
  <c r="L313" i="36"/>
  <c r="L321" i="36"/>
  <c r="L322" i="36"/>
  <c r="L323" i="36"/>
  <c r="K324" i="36"/>
  <c r="L325" i="36"/>
  <c r="L326" i="36"/>
  <c r="L327" i="36"/>
  <c r="L328" i="36"/>
  <c r="L329" i="36"/>
  <c r="L330" i="36"/>
  <c r="L331" i="36"/>
  <c r="L332" i="36"/>
  <c r="L333" i="36"/>
  <c r="L334" i="36"/>
  <c r="L335" i="36"/>
  <c r="L336" i="36"/>
  <c r="K337" i="36"/>
  <c r="L337" i="36"/>
  <c r="L339" i="36"/>
  <c r="L340" i="36"/>
  <c r="L341" i="36"/>
  <c r="K342" i="36"/>
  <c r="L343" i="36"/>
  <c r="L344" i="36"/>
  <c r="L345" i="36"/>
  <c r="L346" i="36"/>
  <c r="L347" i="36"/>
  <c r="L348" i="36"/>
  <c r="L349" i="36"/>
  <c r="L350" i="36"/>
  <c r="L351" i="36"/>
  <c r="L352" i="36"/>
  <c r="L353" i="36"/>
  <c r="L354" i="36"/>
  <c r="L355" i="36"/>
  <c r="K356" i="36"/>
  <c r="L356" i="36"/>
  <c r="AD378" i="36"/>
  <c r="H64" i="70"/>
  <c r="H66" i="70"/>
  <c r="L59" i="45"/>
  <c r="O59" i="45"/>
  <c r="P59" i="45"/>
  <c r="Q59" i="45"/>
  <c r="R59" i="45"/>
  <c r="S59" i="45"/>
  <c r="T59" i="45"/>
  <c r="U59" i="45"/>
  <c r="V59" i="45"/>
  <c r="W59" i="45"/>
  <c r="X59" i="45"/>
  <c r="Y59" i="45"/>
  <c r="Z59" i="45"/>
  <c r="AA59" i="45"/>
  <c r="AB59" i="45"/>
  <c r="AC59" i="45"/>
  <c r="AD59" i="45"/>
  <c r="AE59" i="45"/>
  <c r="AF59" i="45"/>
  <c r="AG59" i="45"/>
  <c r="AH59" i="45"/>
  <c r="AI59" i="45"/>
  <c r="AJ59" i="45"/>
  <c r="AK59" i="45"/>
  <c r="AL59" i="45"/>
  <c r="AM59" i="45"/>
  <c r="AN59" i="45"/>
  <c r="AO59" i="45"/>
  <c r="AP59" i="45"/>
  <c r="AQ59" i="45"/>
  <c r="AR59" i="45"/>
  <c r="AS59" i="45"/>
  <c r="AT59" i="45"/>
  <c r="AU59" i="45"/>
  <c r="AV59" i="45"/>
  <c r="AW59" i="45"/>
  <c r="AX59" i="45"/>
  <c r="AY59" i="45"/>
  <c r="AZ59" i="45"/>
  <c r="BA59" i="45"/>
  <c r="BB59" i="45"/>
  <c r="BC59" i="45"/>
  <c r="BD59" i="45"/>
  <c r="BE59" i="45"/>
  <c r="BF59" i="45"/>
  <c r="BG59" i="45"/>
  <c r="BH59" i="45"/>
  <c r="BI59" i="45"/>
  <c r="BJ59" i="45"/>
  <c r="BK59" i="45"/>
  <c r="BL59" i="45"/>
  <c r="BM59" i="45"/>
  <c r="BN59" i="45"/>
  <c r="BO59" i="45"/>
  <c r="BP59" i="45"/>
  <c r="BQ59" i="45"/>
  <c r="BR59" i="45"/>
  <c r="BS59" i="45"/>
  <c r="BT59" i="45"/>
  <c r="BU59" i="45"/>
  <c r="BV59" i="45"/>
  <c r="BW59" i="45"/>
  <c r="BX59" i="45"/>
  <c r="BY59" i="45"/>
  <c r="BZ59" i="45"/>
  <c r="CA59" i="45"/>
  <c r="CB59" i="45"/>
  <c r="CC59" i="45"/>
  <c r="CD59" i="45"/>
  <c r="CE59" i="45"/>
  <c r="CF59" i="45"/>
  <c r="CG59" i="45"/>
  <c r="CH59" i="45"/>
  <c r="D141" i="10"/>
  <c r="D260" i="10"/>
  <c r="D270" i="10"/>
  <c r="D277" i="10"/>
  <c r="D278" i="10"/>
  <c r="D346" i="10"/>
  <c r="D350" i="10"/>
  <c r="D351" i="10"/>
  <c r="D352" i="10"/>
  <c r="F15" i="88"/>
  <c r="F27" i="88"/>
  <c r="F39" i="88"/>
  <c r="F51" i="88"/>
  <c r="E63" i="88"/>
  <c r="F63" i="88"/>
  <c r="N71" i="67"/>
  <c r="F20" i="95"/>
  <c r="H20" i="95"/>
  <c r="J20" i="95"/>
  <c r="L20" i="95"/>
  <c r="N20" i="95"/>
  <c r="P20" i="95"/>
  <c r="R20" i="95"/>
  <c r="T20" i="95"/>
  <c r="V20" i="95"/>
  <c r="X20" i="95"/>
  <c r="Z20" i="95"/>
  <c r="AB20" i="95"/>
  <c r="AD20" i="95"/>
  <c r="AF20" i="95"/>
  <c r="AH20" i="95"/>
  <c r="F22" i="95"/>
  <c r="H22" i="95"/>
  <c r="J22" i="95"/>
  <c r="L22" i="95"/>
  <c r="N22" i="95"/>
  <c r="P22" i="95"/>
  <c r="R22" i="95"/>
  <c r="T22" i="95"/>
  <c r="V22" i="95"/>
  <c r="X22" i="95"/>
  <c r="Z22" i="95"/>
  <c r="AB22" i="95"/>
  <c r="AD22" i="95"/>
  <c r="AF22" i="95"/>
  <c r="AH22" i="95"/>
  <c r="F24" i="95"/>
  <c r="H24" i="95"/>
  <c r="J24" i="95"/>
  <c r="L24" i="95"/>
  <c r="N24" i="95"/>
  <c r="P24" i="95"/>
  <c r="R24" i="95"/>
  <c r="T24" i="95"/>
  <c r="V24" i="95"/>
  <c r="X24" i="95"/>
  <c r="Z24" i="95"/>
  <c r="AB24" i="95"/>
  <c r="AD24" i="95"/>
  <c r="AF24" i="95"/>
  <c r="AH24" i="95"/>
  <c r="F20" i="96"/>
  <c r="H20" i="96"/>
  <c r="J20" i="96"/>
  <c r="L20" i="96"/>
  <c r="N20" i="96"/>
  <c r="P20" i="96"/>
  <c r="R20" i="96"/>
  <c r="T20" i="96"/>
  <c r="V20" i="96"/>
  <c r="X20" i="96"/>
  <c r="Z20" i="96"/>
  <c r="AB20" i="96"/>
  <c r="AD20" i="96"/>
  <c r="AF20" i="96"/>
  <c r="AH20" i="96"/>
  <c r="F22" i="96"/>
  <c r="H22" i="96"/>
  <c r="J22" i="96"/>
  <c r="L22" i="96"/>
  <c r="N22" i="96"/>
  <c r="P22" i="96"/>
  <c r="R22" i="96"/>
  <c r="T22" i="96"/>
  <c r="V22" i="96"/>
  <c r="X22" i="96"/>
  <c r="Z22" i="96"/>
  <c r="AB22" i="96"/>
  <c r="AD22" i="96"/>
  <c r="AF22" i="96"/>
  <c r="AH22" i="96"/>
  <c r="F24" i="96"/>
  <c r="H24" i="96"/>
  <c r="J24" i="96"/>
  <c r="L24" i="96"/>
  <c r="N24" i="96"/>
  <c r="P24" i="96"/>
  <c r="R24" i="96"/>
  <c r="T24" i="96"/>
  <c r="V24" i="96"/>
  <c r="X24" i="96"/>
  <c r="Z24" i="96"/>
  <c r="AB24" i="96"/>
  <c r="AD24" i="96"/>
  <c r="AF24" i="96"/>
  <c r="AH24" i="96"/>
  <c r="F20" i="80"/>
  <c r="H20" i="80"/>
  <c r="J20" i="80"/>
  <c r="L20" i="80"/>
  <c r="N20" i="80"/>
  <c r="P20" i="80"/>
  <c r="R20" i="80"/>
  <c r="T20" i="80"/>
  <c r="V20" i="80"/>
  <c r="X20" i="80"/>
  <c r="Z20" i="80"/>
  <c r="AB20" i="80"/>
  <c r="AD20" i="80"/>
  <c r="AF20" i="80"/>
  <c r="AH20" i="80"/>
  <c r="F22" i="80"/>
  <c r="H22" i="80"/>
  <c r="J22" i="80"/>
  <c r="L22" i="80"/>
  <c r="N22" i="80"/>
  <c r="P22" i="80"/>
  <c r="R22" i="80"/>
  <c r="T22" i="80"/>
  <c r="V22" i="80"/>
  <c r="X22" i="80"/>
  <c r="Z22" i="80"/>
  <c r="AB22" i="80"/>
  <c r="AD22" i="80"/>
  <c r="AF22" i="80"/>
  <c r="AH22" i="80"/>
  <c r="F24" i="80"/>
  <c r="H24" i="80"/>
  <c r="J24" i="80"/>
  <c r="L24" i="80"/>
  <c r="N24" i="80"/>
  <c r="P24" i="80"/>
  <c r="R24" i="80"/>
  <c r="T24" i="80"/>
  <c r="V24" i="80"/>
  <c r="X24" i="80"/>
  <c r="Z24" i="80"/>
  <c r="AB24" i="80"/>
  <c r="AD24" i="80"/>
  <c r="AF24" i="80"/>
  <c r="AH24" i="80"/>
  <c r="M87" i="77"/>
  <c r="F10" i="3"/>
  <c r="F14" i="3"/>
  <c r="D42" i="115"/>
  <c r="D43" i="115"/>
  <c r="D48" i="115"/>
  <c r="D50" i="115"/>
  <c r="D51" i="115"/>
  <c r="D52" i="115"/>
  <c r="D53" i="115"/>
  <c r="D56" i="1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0000-000001000000}">
      <text>
        <r>
          <rPr>
            <b/>
            <sz val="9"/>
            <color indexed="81"/>
            <rFont val="Tahoma"/>
            <family val="2"/>
          </rPr>
          <t>&lt;&lt;Not a Datappraise Worksheet&gt;&gt;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Gilliam</author>
    <author>pgilliam@valbridge.com</author>
    <author>pgilliam</author>
  </authors>
  <commentList>
    <comment ref="C6" authorId="0" shapeId="0" xr:uid="{00000000-0006-0000-0100-000001000000}">
      <text>
        <r>
          <rPr>
            <b/>
            <sz val="8"/>
            <color indexed="81"/>
            <rFont val="Tahoma"/>
            <family val="2"/>
          </rPr>
          <t>&lt;&lt;Subject&gt;&gt;&lt;&lt;Data Runs in Columns&gt;&gt;</t>
        </r>
      </text>
    </comment>
    <comment ref="E6" authorId="0" shapeId="0" xr:uid="{00000000-0006-0000-0100-000002000000}">
      <text>
        <r>
          <rPr>
            <b/>
            <sz val="8"/>
            <color indexed="81"/>
            <rFont val="Tahoma"/>
            <family val="2"/>
          </rPr>
          <t>&lt;&lt;Upper Right Corner&gt;&gt;</t>
        </r>
      </text>
    </comment>
    <comment ref="C8" authorId="0" shapeId="0" xr:uid="{00000000-0006-0000-0100-000003000000}">
      <text>
        <r>
          <rPr>
            <b/>
            <sz val="8"/>
            <color indexed="81"/>
            <rFont val="Tahoma"/>
            <family val="2"/>
          </rPr>
          <t>Internal File Number</t>
        </r>
      </text>
    </comment>
    <comment ref="C9" authorId="0" shapeId="0" xr:uid="{00000000-0006-0000-0100-000004000000}">
      <text>
        <r>
          <rPr>
            <b/>
            <sz val="8"/>
            <color indexed="81"/>
            <rFont val="Tahoma"/>
            <family val="2"/>
          </rPr>
          <t>Property Name</t>
        </r>
      </text>
    </comment>
    <comment ref="C10" authorId="0" shapeId="0" xr:uid="{00000000-0006-0000-0100-000005000000}">
      <text>
        <r>
          <rPr>
            <b/>
            <sz val="8"/>
            <color indexed="81"/>
            <rFont val="Tahoma"/>
            <family val="2"/>
          </rPr>
          <t>Property ID</t>
        </r>
      </text>
    </comment>
    <comment ref="C11" authorId="0" shapeId="0" xr:uid="{00000000-0006-0000-0100-000006000000}">
      <text>
        <r>
          <rPr>
            <b/>
            <sz val="8"/>
            <color indexed="81"/>
            <rFont val="Tahoma"/>
            <family val="2"/>
          </rPr>
          <t>Property Owner</t>
        </r>
      </text>
    </comment>
    <comment ref="C12" authorId="1" shapeId="0" xr:uid="{00000000-0006-0000-0100-000007000000}">
      <text>
        <r>
          <rPr>
            <b/>
            <sz val="9"/>
            <color indexed="81"/>
            <rFont val="Tahoma"/>
            <family val="2"/>
          </rPr>
          <t>Appraiser 1 Name</t>
        </r>
      </text>
    </comment>
    <comment ref="C13" authorId="1" shapeId="0" xr:uid="{00000000-0006-0000-0100-000008000000}">
      <text>
        <r>
          <rPr>
            <b/>
            <sz val="9"/>
            <color indexed="81"/>
            <rFont val="Tahoma"/>
            <family val="2"/>
          </rPr>
          <t>Appraiser 1 Designation</t>
        </r>
      </text>
    </comment>
    <comment ref="C14" authorId="1" shapeId="0" xr:uid="{00000000-0006-0000-0100-000009000000}">
      <text>
        <r>
          <rPr>
            <b/>
            <sz val="9"/>
            <color indexed="81"/>
            <rFont val="Tahoma"/>
            <family val="2"/>
          </rPr>
          <t>Appraiser 1 Continuing Ed</t>
        </r>
      </text>
    </comment>
    <comment ref="C15" authorId="1" shapeId="0" xr:uid="{00000000-0006-0000-0100-00000A000000}">
      <text>
        <r>
          <rPr>
            <b/>
            <sz val="9"/>
            <color indexed="81"/>
            <rFont val="Tahoma"/>
            <family val="2"/>
          </rPr>
          <t>Appraiser 2 Name</t>
        </r>
      </text>
    </comment>
    <comment ref="C16" authorId="1" shapeId="0" xr:uid="{00000000-0006-0000-0100-00000B000000}">
      <text>
        <r>
          <rPr>
            <b/>
            <sz val="9"/>
            <color indexed="81"/>
            <rFont val="Tahoma"/>
            <family val="2"/>
          </rPr>
          <t>Appraiser 2 Designation</t>
        </r>
      </text>
    </comment>
    <comment ref="C17" authorId="1" shapeId="0" xr:uid="{00000000-0006-0000-0100-00000C000000}">
      <text>
        <r>
          <rPr>
            <b/>
            <sz val="9"/>
            <color indexed="81"/>
            <rFont val="Tahoma"/>
            <family val="2"/>
          </rPr>
          <t>Appraiser 2 Continuing Ed</t>
        </r>
      </text>
    </comment>
    <comment ref="C18" authorId="1" shapeId="0" xr:uid="{00000000-0006-0000-0100-00000D000000}">
      <text>
        <r>
          <rPr>
            <b/>
            <sz val="9"/>
            <color indexed="81"/>
            <rFont val="Tahoma"/>
            <family val="2"/>
          </rPr>
          <t>Appraiser 3 Name</t>
        </r>
      </text>
    </comment>
    <comment ref="C19" authorId="1" shapeId="0" xr:uid="{00000000-0006-0000-0100-00000E000000}">
      <text>
        <r>
          <rPr>
            <b/>
            <sz val="9"/>
            <color indexed="81"/>
            <rFont val="Tahoma"/>
            <family val="2"/>
          </rPr>
          <t>Appraiser 3 Designation</t>
        </r>
      </text>
    </comment>
    <comment ref="C20" authorId="1" shapeId="0" xr:uid="{00000000-0006-0000-0100-00000F000000}">
      <text>
        <r>
          <rPr>
            <b/>
            <sz val="9"/>
            <color indexed="81"/>
            <rFont val="Tahoma"/>
            <family val="2"/>
          </rPr>
          <t>Appraiser 3 Continuing Ed</t>
        </r>
      </text>
    </comment>
    <comment ref="C21" authorId="0" shapeId="0" xr:uid="{00000000-0006-0000-0100-000010000000}">
      <text>
        <r>
          <rPr>
            <b/>
            <sz val="8"/>
            <color indexed="81"/>
            <rFont val="Tahoma"/>
            <family val="2"/>
          </rPr>
          <t>Report Date</t>
        </r>
      </text>
    </comment>
    <comment ref="C22" authorId="1" shapeId="0" xr:uid="{00000000-0006-0000-0100-000011000000}">
      <text>
        <r>
          <rPr>
            <b/>
            <sz val="9"/>
            <color indexed="81"/>
            <rFont val="Tahoma"/>
            <family val="2"/>
          </rPr>
          <t>Date Inspected</t>
        </r>
      </text>
    </comment>
    <comment ref="C23" authorId="1" shapeId="0" xr:uid="{00000000-0006-0000-0100-000012000000}">
      <text>
        <r>
          <rPr>
            <b/>
            <sz val="9"/>
            <color indexed="81"/>
            <rFont val="Tahoma"/>
            <family val="2"/>
          </rPr>
          <t>Client File Number</t>
        </r>
      </text>
    </comment>
    <comment ref="C24" authorId="0" shapeId="0" xr:uid="{00000000-0006-0000-0100-000013000000}">
      <text>
        <r>
          <rPr>
            <b/>
            <sz val="8"/>
            <color indexed="81"/>
            <rFont val="Tahoma"/>
            <family val="2"/>
          </rPr>
          <t>Client Name</t>
        </r>
      </text>
    </comment>
    <comment ref="C25" authorId="0" shapeId="0" xr:uid="{00000000-0006-0000-0100-000014000000}">
      <text>
        <r>
          <rPr>
            <b/>
            <sz val="8"/>
            <color indexed="81"/>
            <rFont val="Tahoma"/>
            <family val="2"/>
          </rPr>
          <t>Client Contact Full Name</t>
        </r>
      </text>
    </comment>
    <comment ref="C26" authorId="0" shapeId="0" xr:uid="{00000000-0006-0000-0100-000015000000}">
      <text>
        <r>
          <rPr>
            <b/>
            <sz val="8"/>
            <color indexed="81"/>
            <rFont val="Tahoma"/>
            <family val="2"/>
          </rPr>
          <t>Client Phone</t>
        </r>
      </text>
    </comment>
    <comment ref="C27" authorId="0" shapeId="0" xr:uid="{00000000-0006-0000-0100-000016000000}">
      <text>
        <r>
          <rPr>
            <b/>
            <sz val="8"/>
            <color indexed="81"/>
            <rFont val="Tahoma"/>
            <family val="2"/>
          </rPr>
          <t>Client Email</t>
        </r>
      </text>
    </comment>
    <comment ref="C28" authorId="0" shapeId="0" xr:uid="{00000000-0006-0000-0100-000017000000}">
      <text>
        <r>
          <rPr>
            <b/>
            <sz val="8"/>
            <color indexed="81"/>
            <rFont val="Tahoma"/>
            <family val="2"/>
          </rPr>
          <t>Contact Name</t>
        </r>
      </text>
    </comment>
    <comment ref="C29" authorId="0" shapeId="0" xr:uid="{00000000-0006-0000-0100-000018000000}">
      <text>
        <r>
          <rPr>
            <b/>
            <sz val="8"/>
            <color indexed="81"/>
            <rFont val="Tahoma"/>
            <family val="2"/>
          </rPr>
          <t>Contact Phone</t>
        </r>
      </text>
    </comment>
    <comment ref="C30" authorId="0" shapeId="0" xr:uid="{00000000-0006-0000-0100-000019000000}">
      <text>
        <r>
          <rPr>
            <b/>
            <sz val="8"/>
            <color indexed="81"/>
            <rFont val="Tahoma"/>
            <family val="2"/>
          </rPr>
          <t>Contact Email</t>
        </r>
      </text>
    </comment>
    <comment ref="C31" authorId="0" shapeId="0" xr:uid="{00000000-0006-0000-0100-00001A000000}">
      <text>
        <r>
          <rPr>
            <b/>
            <sz val="8"/>
            <color indexed="81"/>
            <rFont val="Tahoma"/>
            <family val="2"/>
          </rPr>
          <t>Intended Use</t>
        </r>
      </text>
    </comment>
    <comment ref="C32" authorId="0" shapeId="0" xr:uid="{00000000-0006-0000-0100-00001B000000}">
      <text>
        <r>
          <rPr>
            <b/>
            <sz val="8"/>
            <color indexed="81"/>
            <rFont val="Tahoma"/>
            <family val="2"/>
          </rPr>
          <t>Intended User</t>
        </r>
      </text>
    </comment>
    <comment ref="C33" authorId="0" shapeId="0" xr:uid="{00000000-0006-0000-0100-00001C000000}">
      <text>
        <r>
          <rPr>
            <b/>
            <sz val="8"/>
            <color indexed="81"/>
            <rFont val="Tahoma"/>
            <family val="2"/>
          </rPr>
          <t>Report Type</t>
        </r>
      </text>
    </comment>
    <comment ref="C34" authorId="0" shapeId="0" xr:uid="{2CB07A53-FCA5-47C1-B17B-FBB103AB7CA0}">
      <text>
        <r>
          <rPr>
            <b/>
            <sz val="9"/>
            <color indexed="81"/>
            <rFont val="Tahoma"/>
            <family val="2"/>
          </rPr>
          <t>Sold in Last 3 Years</t>
        </r>
      </text>
    </comment>
    <comment ref="C35" authorId="0" shapeId="0" xr:uid="{00000000-0006-0000-0100-00001D000000}">
      <text>
        <r>
          <rPr>
            <b/>
            <sz val="8"/>
            <color indexed="81"/>
            <rFont val="Tahoma"/>
            <family val="2"/>
          </rPr>
          <t>Prior Sale Amount</t>
        </r>
      </text>
    </comment>
    <comment ref="C36" authorId="0" shapeId="0" xr:uid="{85E3AB8F-0BCC-457F-A5AD-2B5994BAE36D}">
      <text>
        <r>
          <rPr>
            <b/>
            <sz val="9"/>
            <color indexed="81"/>
            <rFont val="Tahoma"/>
            <family val="2"/>
          </rPr>
          <t>Prior Sale Date</t>
        </r>
      </text>
    </comment>
    <comment ref="C37" authorId="1" shapeId="0" xr:uid="{00000000-0006-0000-0100-00001E000000}">
      <text>
        <r>
          <rPr>
            <b/>
            <sz val="9"/>
            <color indexed="81"/>
            <rFont val="Tahoma"/>
            <family val="2"/>
          </rPr>
          <t>Current List Price</t>
        </r>
      </text>
    </comment>
    <comment ref="C38" authorId="1" shapeId="0" xr:uid="{00000000-0006-0000-0100-00001F000000}">
      <text>
        <r>
          <rPr>
            <b/>
            <sz val="9"/>
            <color indexed="81"/>
            <rFont val="Tahoma"/>
            <family val="2"/>
          </rPr>
          <t>Certification PriorServices?</t>
        </r>
      </text>
    </comment>
    <comment ref="C42" authorId="0" shapeId="0" xr:uid="{00000000-0006-0000-0100-000020000000}">
      <text>
        <r>
          <rPr>
            <b/>
            <sz val="8"/>
            <color indexed="81"/>
            <rFont val="Tahoma"/>
            <family val="2"/>
          </rPr>
          <t>&lt;&lt;Not a Datappraise Field&gt;&gt;</t>
        </r>
      </text>
    </comment>
    <comment ref="C43" authorId="0" shapeId="0" xr:uid="{00000000-0006-0000-0100-000021000000}">
      <text>
        <r>
          <rPr>
            <b/>
            <sz val="8"/>
            <color indexed="81"/>
            <rFont val="Tahoma"/>
            <family val="2"/>
          </rPr>
          <t>Value Type 1</t>
        </r>
      </text>
    </comment>
    <comment ref="C44" authorId="0" shapeId="0" xr:uid="{00000000-0006-0000-0100-000022000000}">
      <text>
        <r>
          <rPr>
            <b/>
            <sz val="8"/>
            <color indexed="81"/>
            <rFont val="Tahoma"/>
            <family val="2"/>
          </rPr>
          <t>Value Premise 1</t>
        </r>
      </text>
    </comment>
    <comment ref="C45" authorId="0" shapeId="0" xr:uid="{00000000-0006-0000-0100-000023000000}">
      <text>
        <r>
          <rPr>
            <b/>
            <sz val="8"/>
            <color indexed="81"/>
            <rFont val="Tahoma"/>
            <family val="2"/>
          </rPr>
          <t>Value Perspective 1</t>
        </r>
      </text>
    </comment>
    <comment ref="C46" authorId="0" shapeId="0" xr:uid="{00000000-0006-0000-0100-000024000000}">
      <text>
        <r>
          <rPr>
            <b/>
            <sz val="8"/>
            <color indexed="81"/>
            <rFont val="Tahoma"/>
            <family val="2"/>
          </rPr>
          <t>Interest Appraised 1</t>
        </r>
      </text>
    </comment>
    <comment ref="C47" authorId="0" shapeId="0" xr:uid="{00000000-0006-0000-0100-000025000000}">
      <text>
        <r>
          <rPr>
            <b/>
            <sz val="8"/>
            <color indexed="81"/>
            <rFont val="Tahoma"/>
            <family val="2"/>
          </rPr>
          <t>Effective Date 1</t>
        </r>
      </text>
    </comment>
    <comment ref="C49" authorId="0" shapeId="0" xr:uid="{00000000-0006-0000-0100-000026000000}">
      <text>
        <r>
          <rPr>
            <b/>
            <sz val="8"/>
            <color indexed="81"/>
            <rFont val="Tahoma"/>
            <family val="2"/>
          </rPr>
          <t>&lt;&lt;Not a Datappraise Field&gt;&gt;</t>
        </r>
      </text>
    </comment>
    <comment ref="C50" authorId="0" shapeId="0" xr:uid="{00000000-0006-0000-0100-000027000000}">
      <text>
        <r>
          <rPr>
            <b/>
            <sz val="8"/>
            <color indexed="81"/>
            <rFont val="Tahoma"/>
            <family val="2"/>
          </rPr>
          <t>Value Type 2</t>
        </r>
      </text>
    </comment>
    <comment ref="C51" authorId="0" shapeId="0" xr:uid="{00000000-0006-0000-0100-000028000000}">
      <text>
        <r>
          <rPr>
            <b/>
            <sz val="8"/>
            <color indexed="81"/>
            <rFont val="Tahoma"/>
            <family val="2"/>
          </rPr>
          <t>Value Premise 2</t>
        </r>
      </text>
    </comment>
    <comment ref="C52" authorId="0" shapeId="0" xr:uid="{00000000-0006-0000-0100-000029000000}">
      <text>
        <r>
          <rPr>
            <b/>
            <sz val="8"/>
            <color indexed="81"/>
            <rFont val="Tahoma"/>
            <family val="2"/>
          </rPr>
          <t>Value Perspective 2</t>
        </r>
      </text>
    </comment>
    <comment ref="C53" authorId="0" shapeId="0" xr:uid="{00000000-0006-0000-0100-00002A000000}">
      <text>
        <r>
          <rPr>
            <b/>
            <sz val="8"/>
            <color indexed="81"/>
            <rFont val="Tahoma"/>
            <family val="2"/>
          </rPr>
          <t>Interest Appraised 2</t>
        </r>
      </text>
    </comment>
    <comment ref="C54" authorId="0" shapeId="0" xr:uid="{00000000-0006-0000-0100-00002B000000}">
      <text>
        <r>
          <rPr>
            <b/>
            <sz val="8"/>
            <color indexed="81"/>
            <rFont val="Tahoma"/>
            <family val="2"/>
          </rPr>
          <t>Effective Date 2</t>
        </r>
      </text>
    </comment>
    <comment ref="C56" authorId="0" shapeId="0" xr:uid="{00000000-0006-0000-0100-00002C000000}">
      <text>
        <r>
          <rPr>
            <b/>
            <sz val="8"/>
            <color indexed="81"/>
            <rFont val="Tahoma"/>
            <family val="2"/>
          </rPr>
          <t>&lt;&lt;Not a Datappraise Field&gt;&gt;</t>
        </r>
      </text>
    </comment>
    <comment ref="C57" authorId="0" shapeId="0" xr:uid="{00000000-0006-0000-0100-00002D000000}">
      <text>
        <r>
          <rPr>
            <b/>
            <sz val="8"/>
            <color indexed="81"/>
            <rFont val="Tahoma"/>
            <family val="2"/>
          </rPr>
          <t>Value Type 3</t>
        </r>
      </text>
    </comment>
    <comment ref="C58" authorId="0" shapeId="0" xr:uid="{00000000-0006-0000-0100-00002E000000}">
      <text>
        <r>
          <rPr>
            <b/>
            <sz val="8"/>
            <color indexed="81"/>
            <rFont val="Tahoma"/>
            <family val="2"/>
          </rPr>
          <t>Value Premise 3</t>
        </r>
      </text>
    </comment>
    <comment ref="C59" authorId="0" shapeId="0" xr:uid="{00000000-0006-0000-0100-00002F000000}">
      <text>
        <r>
          <rPr>
            <b/>
            <sz val="8"/>
            <color indexed="81"/>
            <rFont val="Tahoma"/>
            <family val="2"/>
          </rPr>
          <t>Value Perspective 3</t>
        </r>
      </text>
    </comment>
    <comment ref="C60" authorId="0" shapeId="0" xr:uid="{00000000-0006-0000-0100-000030000000}">
      <text>
        <r>
          <rPr>
            <b/>
            <sz val="8"/>
            <color indexed="81"/>
            <rFont val="Tahoma"/>
            <family val="2"/>
          </rPr>
          <t>Interest Appraised 3</t>
        </r>
      </text>
    </comment>
    <comment ref="C61" authorId="0" shapeId="0" xr:uid="{00000000-0006-0000-0100-000031000000}">
      <text>
        <r>
          <rPr>
            <b/>
            <sz val="8"/>
            <color indexed="81"/>
            <rFont val="Tahoma"/>
            <family val="2"/>
          </rPr>
          <t>Effective Date 3</t>
        </r>
      </text>
    </comment>
    <comment ref="C63" authorId="0" shapeId="0" xr:uid="{00000000-0006-0000-0100-000032000000}">
      <text>
        <r>
          <rPr>
            <b/>
            <sz val="8"/>
            <color indexed="81"/>
            <rFont val="Tahoma"/>
            <family val="2"/>
          </rPr>
          <t>Land Only Appraisal?</t>
        </r>
      </text>
    </comment>
    <comment ref="C64" authorId="0" shapeId="0" xr:uid="{00000000-0006-0000-0100-000033000000}">
      <text>
        <r>
          <rPr>
            <b/>
            <sz val="8"/>
            <color indexed="81"/>
            <rFont val="Tahoma"/>
            <family val="2"/>
          </rPr>
          <t>Use Cost Approach?</t>
        </r>
      </text>
    </comment>
    <comment ref="C65" authorId="1" shapeId="0" xr:uid="{00000000-0006-0000-0100-000034000000}">
      <text>
        <r>
          <rPr>
            <b/>
            <sz val="9"/>
            <color indexed="81"/>
            <rFont val="Tahoma"/>
            <family val="2"/>
          </rPr>
          <t>Use Sales Comparison Approach?</t>
        </r>
      </text>
    </comment>
    <comment ref="C66" authorId="0" shapeId="0" xr:uid="{00000000-0006-0000-0100-000035000000}">
      <text>
        <r>
          <rPr>
            <b/>
            <sz val="8"/>
            <color indexed="81"/>
            <rFont val="Tahoma"/>
            <family val="2"/>
          </rPr>
          <t>Use Income Approach?</t>
        </r>
      </text>
    </comment>
    <comment ref="C70" authorId="0" shapeId="0" xr:uid="{00000000-0006-0000-0100-000036000000}">
      <text>
        <r>
          <rPr>
            <b/>
            <sz val="8"/>
            <color indexed="81"/>
            <rFont val="Tahoma"/>
            <family val="2"/>
          </rPr>
          <t>Property Type</t>
        </r>
      </text>
    </comment>
    <comment ref="C71" authorId="0" shapeId="0" xr:uid="{00000000-0006-0000-0100-000037000000}">
      <text>
        <r>
          <rPr>
            <b/>
            <sz val="8"/>
            <color indexed="81"/>
            <rFont val="Tahoma"/>
            <family val="2"/>
          </rPr>
          <t>Property Sub Type</t>
        </r>
      </text>
    </comment>
    <comment ref="C72" authorId="1" shapeId="0" xr:uid="{00000000-0006-0000-0100-000038000000}">
      <text>
        <r>
          <rPr>
            <b/>
            <sz val="9"/>
            <color indexed="81"/>
            <rFont val="Tahoma"/>
            <family val="2"/>
          </rPr>
          <t>Property Use</t>
        </r>
      </text>
    </comment>
    <comment ref="C73" authorId="0" shapeId="0" xr:uid="{00000000-0006-0000-0100-000039000000}">
      <text>
        <r>
          <rPr>
            <b/>
            <sz val="8"/>
            <color indexed="81"/>
            <rFont val="Tahoma"/>
            <family val="2"/>
          </rPr>
          <t>Address</t>
        </r>
      </text>
    </comment>
    <comment ref="C74" authorId="0" shapeId="0" xr:uid="{00000000-0006-0000-0100-00003A000000}">
      <text>
        <r>
          <rPr>
            <b/>
            <sz val="8"/>
            <color indexed="81"/>
            <rFont val="Tahoma"/>
            <family val="2"/>
          </rPr>
          <t>City/Municipality</t>
        </r>
      </text>
    </comment>
    <comment ref="C75" authorId="0" shapeId="0" xr:uid="{00000000-0006-0000-0100-00003B000000}">
      <text>
        <r>
          <rPr>
            <b/>
            <sz val="8"/>
            <color indexed="81"/>
            <rFont val="Tahoma"/>
            <family val="2"/>
          </rPr>
          <t>County</t>
        </r>
      </text>
    </comment>
    <comment ref="C76" authorId="0" shapeId="0" xr:uid="{00000000-0006-0000-0100-00003C000000}">
      <text>
        <r>
          <rPr>
            <b/>
            <sz val="8"/>
            <color indexed="81"/>
            <rFont val="Tahoma"/>
            <family val="2"/>
          </rPr>
          <t>State</t>
        </r>
      </text>
    </comment>
    <comment ref="C77" authorId="0" shapeId="0" xr:uid="{00000000-0006-0000-0100-00003D000000}">
      <text>
        <r>
          <rPr>
            <b/>
            <sz val="8"/>
            <color indexed="81"/>
            <rFont val="Tahoma"/>
            <family val="2"/>
          </rPr>
          <t>Zip Code</t>
        </r>
      </text>
    </comment>
    <comment ref="C78" authorId="0" shapeId="0" xr:uid="{00000000-0006-0000-0100-00003E000000}">
      <text>
        <r>
          <rPr>
            <b/>
            <sz val="8"/>
            <color indexed="81"/>
            <rFont val="Tahoma"/>
            <family val="2"/>
          </rPr>
          <t>MSA</t>
        </r>
      </text>
    </comment>
    <comment ref="C79" authorId="1" shapeId="0" xr:uid="{00000000-0006-0000-0100-00003F000000}">
      <text>
        <r>
          <rPr>
            <b/>
            <sz val="9"/>
            <color indexed="81"/>
            <rFont val="Tahoma"/>
            <family val="2"/>
          </rPr>
          <t>Map Latitude</t>
        </r>
      </text>
    </comment>
    <comment ref="C80" authorId="1" shapeId="0" xr:uid="{00000000-0006-0000-0100-000040000000}">
      <text>
        <r>
          <rPr>
            <b/>
            <sz val="9"/>
            <color indexed="81"/>
            <rFont val="Tahoma"/>
            <family val="2"/>
          </rPr>
          <t>Map Longitude</t>
        </r>
      </text>
    </comment>
    <comment ref="C81" authorId="1" shapeId="0" xr:uid="{00000000-0006-0000-0100-000041000000}">
      <text>
        <r>
          <rPr>
            <b/>
            <sz val="9"/>
            <color indexed="81"/>
            <rFont val="Tahoma"/>
            <family val="2"/>
          </rPr>
          <t>Census Tract</t>
        </r>
      </text>
    </comment>
    <comment ref="C82" authorId="0" shapeId="0" xr:uid="{00000000-0006-0000-0100-000042000000}">
      <text>
        <r>
          <rPr>
            <b/>
            <sz val="8"/>
            <color indexed="81"/>
            <rFont val="Tahoma"/>
            <family val="2"/>
          </rPr>
          <t>Zoning Code</t>
        </r>
      </text>
    </comment>
    <comment ref="C83" authorId="1" shapeId="0" xr:uid="{00000000-0006-0000-0100-000043000000}">
      <text>
        <r>
          <rPr>
            <b/>
            <sz val="9"/>
            <color indexed="81"/>
            <rFont val="Tahoma"/>
            <family val="2"/>
          </rPr>
          <t>Zoning Description</t>
        </r>
      </text>
    </comment>
    <comment ref="C84" authorId="1" shapeId="0" xr:uid="{00000000-0006-0000-0100-000044000000}">
      <text>
        <r>
          <rPr>
            <b/>
            <sz val="9"/>
            <color indexed="81"/>
            <rFont val="Tahoma"/>
            <family val="2"/>
          </rPr>
          <t>Building Name</t>
        </r>
      </text>
    </comment>
    <comment ref="C85" authorId="0" shapeId="0" xr:uid="{00000000-0006-0000-0100-000045000000}">
      <text>
        <r>
          <rPr>
            <b/>
            <sz val="8"/>
            <color indexed="81"/>
            <rFont val="Tahoma"/>
            <family val="2"/>
          </rPr>
          <t>Year Built</t>
        </r>
      </text>
    </comment>
    <comment ref="C86" authorId="1" shapeId="0" xr:uid="{00000000-0006-0000-0100-000046000000}">
      <text>
        <r>
          <rPr>
            <b/>
            <sz val="9"/>
            <color indexed="81"/>
            <rFont val="Tahoma"/>
            <family val="2"/>
          </rPr>
          <t>Year Built Comments</t>
        </r>
      </text>
    </comment>
    <comment ref="C87" authorId="0" shapeId="0" xr:uid="{00000000-0006-0000-0100-000047000000}">
      <text>
        <r>
          <rPr>
            <b/>
            <sz val="8"/>
            <color indexed="81"/>
            <rFont val="Tahoma"/>
            <family val="2"/>
          </rPr>
          <t>Building Condition</t>
        </r>
      </text>
    </comment>
    <comment ref="C88" authorId="1" shapeId="0" xr:uid="{00000000-0006-0000-0100-000048000000}">
      <text>
        <r>
          <rPr>
            <b/>
            <sz val="9"/>
            <color indexed="81"/>
            <rFont val="Tahoma"/>
            <family val="2"/>
          </rPr>
          <t>Construction Quality</t>
        </r>
      </text>
    </comment>
    <comment ref="C89" authorId="1" shapeId="0" xr:uid="{00000000-0006-0000-0100-000049000000}">
      <text>
        <r>
          <rPr>
            <b/>
            <sz val="9"/>
            <color indexed="81"/>
            <rFont val="Tahoma"/>
            <family val="2"/>
          </rPr>
          <t>Construction Class</t>
        </r>
      </text>
    </comment>
    <comment ref="C90" authorId="2" shapeId="0" xr:uid="{00000000-0006-0000-0100-00004A000000}">
      <text>
        <r>
          <rPr>
            <b/>
            <sz val="9"/>
            <color indexed="81"/>
            <rFont val="Tahoma"/>
            <family val="2"/>
          </rPr>
          <t>Exterior Walls</t>
        </r>
      </text>
    </comment>
    <comment ref="C91" authorId="1" shapeId="0" xr:uid="{00000000-0006-0000-0100-00004B000000}">
      <text>
        <r>
          <rPr>
            <b/>
            <sz val="9"/>
            <color indexed="81"/>
            <rFont val="Tahoma"/>
            <family val="2"/>
          </rPr>
          <t>Investment Class</t>
        </r>
      </text>
    </comment>
    <comment ref="C92" authorId="1" shapeId="0" xr:uid="{00000000-0006-0000-0100-00004C000000}">
      <text>
        <r>
          <rPr>
            <b/>
            <sz val="9"/>
            <color indexed="81"/>
            <rFont val="Tahoma"/>
            <family val="2"/>
          </rPr>
          <t>Tenancy</t>
        </r>
      </text>
    </comment>
    <comment ref="C93" authorId="1" shapeId="0" xr:uid="{00000000-0006-0000-0100-00004D000000}">
      <text>
        <r>
          <rPr>
            <b/>
            <sz val="9"/>
            <color indexed="81"/>
            <rFont val="Tahoma"/>
            <family val="2"/>
          </rPr>
          <t>Occupancy Type</t>
        </r>
      </text>
    </comment>
    <comment ref="C94" authorId="0" shapeId="0" xr:uid="{A2E2481F-27BE-4EA3-BAC9-4AB29B710A45}">
      <text>
        <r>
          <rPr>
            <b/>
            <sz val="9"/>
            <color indexed="81"/>
            <rFont val="Tahoma"/>
            <family val="2"/>
          </rPr>
          <t>Occupancy at Inspection</t>
        </r>
      </text>
    </comment>
    <comment ref="C97" authorId="2" shapeId="0" xr:uid="{00000000-0006-0000-0100-00004E000000}">
      <text>
        <r>
          <rPr>
            <b/>
            <sz val="9"/>
            <color indexed="81"/>
            <rFont val="Tahoma"/>
            <family val="2"/>
          </rPr>
          <t>Usable Land Area (SF)</t>
        </r>
      </text>
    </comment>
    <comment ref="C98" authorId="2" shapeId="0" xr:uid="{00000000-0006-0000-0100-00004F000000}">
      <text>
        <r>
          <rPr>
            <b/>
            <sz val="9"/>
            <color indexed="81"/>
            <rFont val="Tahoma"/>
            <family val="2"/>
          </rPr>
          <t>&lt;&lt;Not a Datappraise Field&gt;&gt;</t>
        </r>
      </text>
    </comment>
    <comment ref="C99" authorId="2" shapeId="0" xr:uid="{00000000-0006-0000-0100-000050000000}">
      <text>
        <r>
          <rPr>
            <b/>
            <sz val="9"/>
            <color indexed="81"/>
            <rFont val="Tahoma"/>
            <family val="2"/>
          </rPr>
          <t>Land Sq Ft</t>
        </r>
      </text>
    </comment>
    <comment ref="C100" authorId="2" shapeId="0" xr:uid="{00000000-0006-0000-0100-000051000000}">
      <text>
        <r>
          <rPr>
            <b/>
            <sz val="9"/>
            <color indexed="81"/>
            <rFont val="Tahoma"/>
            <family val="2"/>
          </rPr>
          <t>&lt;&lt;Not a Datappraise Field&gt;&gt;</t>
        </r>
      </text>
    </comment>
    <comment ref="C101" authorId="2" shapeId="0" xr:uid="{00000000-0006-0000-0100-000052000000}">
      <text>
        <r>
          <rPr>
            <b/>
            <sz val="9"/>
            <color indexed="81"/>
            <rFont val="Tahoma"/>
            <family val="2"/>
          </rPr>
          <t>Excess Land Area (SF)</t>
        </r>
      </text>
    </comment>
    <comment ref="C102" authorId="2" shapeId="0" xr:uid="{00000000-0006-0000-0100-000053000000}">
      <text>
        <r>
          <rPr>
            <b/>
            <sz val="9"/>
            <color indexed="81"/>
            <rFont val="Tahoma"/>
            <family val="2"/>
          </rPr>
          <t>&lt;&lt;Not a Datappraise Field&gt;&gt;</t>
        </r>
      </text>
    </comment>
    <comment ref="C103" authorId="2" shapeId="0" xr:uid="{00000000-0006-0000-0100-000054000000}">
      <text>
        <r>
          <rPr>
            <b/>
            <sz val="9"/>
            <color indexed="81"/>
            <rFont val="Tahoma"/>
            <family val="2"/>
          </rPr>
          <t>Surplus Land Area (SF)</t>
        </r>
      </text>
    </comment>
    <comment ref="C104" authorId="2" shapeId="0" xr:uid="{00000000-0006-0000-0100-000055000000}">
      <text>
        <r>
          <rPr>
            <b/>
            <sz val="9"/>
            <color indexed="81"/>
            <rFont val="Tahoma"/>
            <family val="2"/>
          </rPr>
          <t>&lt;&lt;Not a Datappraise Field&gt;&gt;</t>
        </r>
      </text>
    </comment>
    <comment ref="C105" authorId="0" shapeId="0" xr:uid="{00000000-0006-0000-0100-000056000000}">
      <text>
        <r>
          <rPr>
            <b/>
            <sz val="8"/>
            <color indexed="81"/>
            <rFont val="Tahoma"/>
            <family val="2"/>
          </rPr>
          <t>&lt;&lt;Not a Datappraise Field&gt;&gt;</t>
        </r>
      </text>
    </comment>
    <comment ref="C106" authorId="1" shapeId="0" xr:uid="{00000000-0006-0000-0100-000057000000}">
      <text>
        <r>
          <rPr>
            <b/>
            <sz val="9"/>
            <color indexed="81"/>
            <rFont val="Tahoma"/>
            <family val="2"/>
          </rPr>
          <t>&lt;&lt;Not a Datappraise Field&gt;&gt;</t>
        </r>
      </text>
    </comment>
    <comment ref="C107" authorId="1" shapeId="0" xr:uid="{00000000-0006-0000-0100-000058000000}">
      <text>
        <r>
          <rPr>
            <b/>
            <sz val="9"/>
            <color indexed="81"/>
            <rFont val="Tahoma"/>
            <family val="2"/>
          </rPr>
          <t>GBA</t>
        </r>
      </text>
    </comment>
    <comment ref="C108" authorId="1" shapeId="0" xr:uid="{00000000-0006-0000-0100-000059000000}">
      <text>
        <r>
          <rPr>
            <b/>
            <sz val="9"/>
            <color indexed="81"/>
            <rFont val="Tahoma"/>
            <family val="2"/>
          </rPr>
          <t>Number of Lots</t>
        </r>
      </text>
    </comment>
    <comment ref="C109" authorId="1" shapeId="0" xr:uid="{F1C708AF-C145-4FC0-86EE-526DC8FC1547}">
      <text>
        <r>
          <rPr>
            <b/>
            <sz val="9"/>
            <color indexed="81"/>
            <rFont val="Tahoma"/>
            <family val="2"/>
          </rPr>
          <t>Number of Units</t>
        </r>
      </text>
    </comment>
    <comment ref="C111" authorId="1" shapeId="0" xr:uid="{00000000-0006-0000-0100-00005B000000}">
      <text>
        <r>
          <rPr>
            <b/>
            <sz val="9"/>
            <color indexed="81"/>
            <rFont val="Tahoma"/>
            <family val="2"/>
          </rPr>
          <t>Shape</t>
        </r>
      </text>
    </comment>
    <comment ref="C112" authorId="1" shapeId="0" xr:uid="{00000000-0006-0000-0100-00005C000000}">
      <text>
        <r>
          <rPr>
            <b/>
            <sz val="9"/>
            <color indexed="81"/>
            <rFont val="Tahoma"/>
            <family val="2"/>
          </rPr>
          <t>Topography</t>
        </r>
      </text>
    </comment>
    <comment ref="C113" authorId="1" shapeId="0" xr:uid="{00000000-0006-0000-0100-00005D000000}">
      <text>
        <r>
          <rPr>
            <b/>
            <sz val="9"/>
            <color indexed="81"/>
            <rFont val="Tahoma"/>
            <family val="2"/>
          </rPr>
          <t>Parcel Type</t>
        </r>
      </text>
    </comment>
    <comment ref="C114" authorId="1" shapeId="0" xr:uid="{00000000-0006-0000-0100-00005E000000}">
      <text>
        <r>
          <rPr>
            <b/>
            <sz val="9"/>
            <color indexed="81"/>
            <rFont val="Tahoma"/>
            <family val="2"/>
          </rPr>
          <t>Utilities Description</t>
        </r>
      </text>
    </comment>
    <comment ref="C115" authorId="1" shapeId="0" xr:uid="{00000000-0006-0000-0100-00005F000000}">
      <text>
        <r>
          <rPr>
            <b/>
            <sz val="9"/>
            <color indexed="81"/>
            <rFont val="Tahoma"/>
            <family val="2"/>
          </rPr>
          <t>Flood Map Number</t>
        </r>
      </text>
    </comment>
    <comment ref="C116" authorId="1" shapeId="0" xr:uid="{00000000-0006-0000-0100-000060000000}">
      <text>
        <r>
          <rPr>
            <b/>
            <sz val="9"/>
            <color indexed="81"/>
            <rFont val="Tahoma"/>
            <family val="2"/>
          </rPr>
          <t>Flood Zone</t>
        </r>
      </text>
    </comment>
    <comment ref="C117" authorId="1" shapeId="0" xr:uid="{00000000-0006-0000-0100-000061000000}">
      <text>
        <r>
          <rPr>
            <b/>
            <sz val="9"/>
            <color indexed="81"/>
            <rFont val="Tahoma"/>
            <family val="2"/>
          </rPr>
          <t>Primary Frontage (Feet)</t>
        </r>
      </text>
    </comment>
    <comment ref="C118" authorId="1" shapeId="0" xr:uid="{00000000-0006-0000-0100-000062000000}">
      <text>
        <r>
          <rPr>
            <b/>
            <sz val="9"/>
            <color indexed="81"/>
            <rFont val="Tahoma"/>
            <family val="2"/>
          </rPr>
          <t>Secondary Frontage (Feet)</t>
        </r>
      </text>
    </comment>
    <comment ref="C119" authorId="1" shapeId="0" xr:uid="{00000000-0006-0000-0100-000063000000}">
      <text>
        <r>
          <rPr>
            <b/>
            <sz val="9"/>
            <color indexed="81"/>
            <rFont val="Tahoma"/>
            <family val="2"/>
          </rPr>
          <t>Traffic Count</t>
        </r>
      </text>
    </comment>
    <comment ref="C121" authorId="0" shapeId="0" xr:uid="{00000000-0006-0000-0100-000064000000}">
      <text>
        <r>
          <rPr>
            <b/>
            <sz val="8"/>
            <color indexed="81"/>
            <rFont val="Tahoma"/>
            <family val="2"/>
          </rPr>
          <t>GBA</t>
        </r>
      </text>
    </comment>
    <comment ref="C122" authorId="0" shapeId="0" xr:uid="{00000000-0006-0000-0100-000065000000}">
      <text>
        <r>
          <rPr>
            <b/>
            <sz val="8"/>
            <color indexed="81"/>
            <rFont val="Tahoma"/>
            <family val="2"/>
          </rPr>
          <t>Rentable Area</t>
        </r>
      </text>
    </comment>
    <comment ref="C124" authorId="1" shapeId="0" xr:uid="{00000000-0006-0000-0100-000066000000}">
      <text>
        <r>
          <rPr>
            <b/>
            <sz val="9"/>
            <color indexed="81"/>
            <rFont val="Tahoma"/>
            <family val="2"/>
          </rPr>
          <t>Number of Units</t>
        </r>
      </text>
    </comment>
    <comment ref="C125" authorId="1" shapeId="0" xr:uid="{00000000-0006-0000-0100-000067000000}">
      <text>
        <r>
          <rPr>
            <b/>
            <sz val="9"/>
            <color indexed="81"/>
            <rFont val="Tahoma"/>
            <family val="2"/>
          </rPr>
          <t>Clear Height Average (Feet)</t>
        </r>
      </text>
    </comment>
    <comment ref="C126" authorId="1" shapeId="0" xr:uid="{00000000-0006-0000-0100-000068000000}">
      <text>
        <r>
          <rPr>
            <b/>
            <sz val="9"/>
            <color indexed="81"/>
            <rFont val="Tahoma"/>
            <family val="2"/>
          </rPr>
          <t>Percent Office</t>
        </r>
      </text>
    </comment>
    <comment ref="C127" authorId="1" shapeId="0" xr:uid="{00000000-0006-0000-0100-000069000000}">
      <text>
        <r>
          <rPr>
            <b/>
            <sz val="9"/>
            <color indexed="81"/>
            <rFont val="Tahoma"/>
            <family val="2"/>
          </rPr>
          <t>Percent Air Conditioned</t>
        </r>
      </text>
    </comment>
    <comment ref="C128" authorId="1" shapeId="0" xr:uid="{00000000-0006-0000-0100-00006A000000}">
      <text>
        <r>
          <rPr>
            <b/>
            <sz val="9"/>
            <color indexed="81"/>
            <rFont val="Tahoma"/>
            <family val="2"/>
          </rPr>
          <t>Number of Stories</t>
        </r>
      </text>
    </comment>
    <comment ref="C129" authorId="1" shapeId="0" xr:uid="{00000000-0006-0000-0100-00006B000000}">
      <text>
        <r>
          <rPr>
            <b/>
            <sz val="9"/>
            <color indexed="81"/>
            <rFont val="Tahoma"/>
            <family val="2"/>
          </rPr>
          <t>Land to Building Ratio</t>
        </r>
      </text>
    </comment>
    <comment ref="C130" authorId="1" shapeId="0" xr:uid="{00000000-0006-0000-0100-00006C000000}">
      <text>
        <r>
          <rPr>
            <b/>
            <sz val="9"/>
            <color indexed="81"/>
            <rFont val="Tahoma"/>
            <family val="2"/>
          </rPr>
          <t>Usable Land to Building Ratio</t>
        </r>
      </text>
    </comment>
    <comment ref="C131" authorId="1" shapeId="0" xr:uid="{00000000-0006-0000-0100-00006D000000}">
      <text>
        <r>
          <rPr>
            <b/>
            <sz val="9"/>
            <color indexed="81"/>
            <rFont val="Tahoma"/>
            <family val="2"/>
          </rPr>
          <t>Parking Description</t>
        </r>
      </text>
    </comment>
    <comment ref="C132" authorId="1" shapeId="0" xr:uid="{00000000-0006-0000-0100-00006E000000}">
      <text>
        <r>
          <rPr>
            <b/>
            <sz val="9"/>
            <color indexed="81"/>
            <rFont val="Tahoma"/>
            <family val="2"/>
          </rPr>
          <t>&lt;&lt;Not a Datappraise Field&gt;&gt;</t>
        </r>
      </text>
    </comment>
    <comment ref="C133" authorId="1" shapeId="0" xr:uid="{00000000-0006-0000-0100-00006F000000}">
      <text>
        <r>
          <rPr>
            <b/>
            <sz val="9"/>
            <color indexed="81"/>
            <rFont val="Tahoma"/>
            <family val="2"/>
          </rPr>
          <t>Number of Spaces in Structure</t>
        </r>
      </text>
    </comment>
    <comment ref="C134" authorId="0" shapeId="0" xr:uid="{00000000-0006-0000-0100-000070000000}">
      <text>
        <r>
          <rPr>
            <b/>
            <sz val="8"/>
            <color indexed="81"/>
            <rFont val="Tahoma"/>
            <family val="2"/>
          </rPr>
          <t>Number of Parking Spaces</t>
        </r>
      </text>
    </comment>
    <comment ref="C135" authorId="2" shapeId="0" xr:uid="{00000000-0006-0000-0100-000071000000}">
      <text>
        <r>
          <rPr>
            <b/>
            <sz val="9"/>
            <color indexed="81"/>
            <rFont val="Tahoma"/>
            <family val="2"/>
          </rPr>
          <t>Parking Ratio NRA</t>
        </r>
      </text>
    </comment>
    <comment ref="C136" authorId="0" shapeId="0" xr:uid="{00000000-0006-0000-0100-000072000000}">
      <text>
        <r>
          <rPr>
            <b/>
            <sz val="8"/>
            <color indexed="81"/>
            <rFont val="Tahoma"/>
            <family val="2"/>
          </rPr>
          <t>Number of Buildings</t>
        </r>
      </text>
    </comment>
    <comment ref="C138" authorId="0" shapeId="0" xr:uid="{00000000-0006-0000-0100-000073000000}">
      <text>
        <r>
          <rPr>
            <b/>
            <sz val="8"/>
            <color indexed="81"/>
            <rFont val="Tahoma"/>
            <family val="2"/>
          </rPr>
          <t>Effective Age</t>
        </r>
      </text>
    </comment>
    <comment ref="C139" authorId="0" shapeId="0" xr:uid="{00000000-0006-0000-0100-000074000000}">
      <text>
        <r>
          <rPr>
            <b/>
            <sz val="8"/>
            <color indexed="81"/>
            <rFont val="Tahoma"/>
            <family val="2"/>
          </rPr>
          <t>Total Economic Life</t>
        </r>
      </text>
    </comment>
    <comment ref="C140" authorId="1" shapeId="0" xr:uid="{00000000-0006-0000-0100-000075000000}">
      <text>
        <r>
          <rPr>
            <b/>
            <sz val="9"/>
            <color indexed="81"/>
            <rFont val="Tahoma"/>
            <family val="2"/>
          </rPr>
          <t>Subject Remaining Economic Life</t>
        </r>
      </text>
    </comment>
    <comment ref="C142" authorId="1" shapeId="0" xr:uid="{00000000-0006-0000-0100-000076000000}">
      <text>
        <r>
          <rPr>
            <b/>
            <sz val="9"/>
            <color indexed="81"/>
            <rFont val="Tahoma"/>
            <family val="2"/>
          </rPr>
          <t>Non Realty Items Desc</t>
        </r>
      </text>
    </comment>
    <comment ref="C144" authorId="0" shapeId="0" xr:uid="{00000000-0006-0000-0100-000077000000}">
      <text>
        <r>
          <rPr>
            <b/>
            <sz val="8"/>
            <color indexed="81"/>
            <rFont val="Tahoma"/>
            <family val="2"/>
          </rPr>
          <t>Highest and Best Use as Vacant</t>
        </r>
      </text>
    </comment>
    <comment ref="C145" authorId="0" shapeId="0" xr:uid="{00000000-0006-0000-0100-000078000000}">
      <text>
        <r>
          <rPr>
            <b/>
            <sz val="8"/>
            <color indexed="81"/>
            <rFont val="Tahoma"/>
            <family val="2"/>
          </rPr>
          <t>Highest And Best Use as Improved</t>
        </r>
      </text>
    </comment>
    <comment ref="C146" authorId="1" shapeId="0" xr:uid="{00000000-0006-0000-0100-000079000000}">
      <text>
        <r>
          <rPr>
            <b/>
            <sz val="9"/>
            <color indexed="81"/>
            <rFont val="Tahoma"/>
            <family val="2"/>
          </rPr>
          <t>Most Probable Buyer</t>
        </r>
      </text>
    </comment>
    <comment ref="C147" authorId="1" shapeId="0" xr:uid="{00000000-0006-0000-0100-00007A000000}">
      <text>
        <r>
          <rPr>
            <b/>
            <sz val="9"/>
            <color indexed="81"/>
            <rFont val="Tahoma"/>
            <family val="2"/>
          </rPr>
          <t>Most Probable User</t>
        </r>
      </text>
    </comment>
    <comment ref="C149" authorId="1" shapeId="0" xr:uid="{00000000-0006-0000-0100-00007B000000}">
      <text>
        <r>
          <rPr>
            <b/>
            <sz val="9"/>
            <color indexed="81"/>
            <rFont val="Tahoma"/>
            <family val="2"/>
          </rPr>
          <t>Has Extraordinary Assumptions</t>
        </r>
      </text>
    </comment>
    <comment ref="C150" authorId="1" shapeId="0" xr:uid="{00000000-0006-0000-0100-00007C000000}">
      <text>
        <r>
          <rPr>
            <b/>
            <sz val="9"/>
            <color indexed="81"/>
            <rFont val="Tahoma"/>
            <family val="2"/>
          </rPr>
          <t>Extraordinary Assumption 1</t>
        </r>
      </text>
    </comment>
    <comment ref="C151" authorId="1" shapeId="0" xr:uid="{00000000-0006-0000-0100-00007D000000}">
      <text>
        <r>
          <rPr>
            <b/>
            <sz val="9"/>
            <color indexed="81"/>
            <rFont val="Tahoma"/>
            <family val="2"/>
          </rPr>
          <t>Extraordinary Assumption 2</t>
        </r>
      </text>
    </comment>
    <comment ref="C152" authorId="1" shapeId="0" xr:uid="{00000000-0006-0000-0100-00007E000000}">
      <text>
        <r>
          <rPr>
            <b/>
            <sz val="9"/>
            <color indexed="81"/>
            <rFont val="Tahoma"/>
            <family val="2"/>
          </rPr>
          <t>Extraordinary Assumption 3</t>
        </r>
      </text>
    </comment>
    <comment ref="C153" authorId="1" shapeId="0" xr:uid="{00000000-0006-0000-0100-00007F000000}">
      <text>
        <r>
          <rPr>
            <b/>
            <sz val="9"/>
            <color indexed="81"/>
            <rFont val="Tahoma"/>
            <family val="2"/>
          </rPr>
          <t>Has Hypothetical Conditions</t>
        </r>
      </text>
    </comment>
    <comment ref="C154" authorId="1" shapeId="0" xr:uid="{00000000-0006-0000-0100-000080000000}">
      <text>
        <r>
          <rPr>
            <b/>
            <sz val="9"/>
            <color indexed="81"/>
            <rFont val="Tahoma"/>
            <family val="2"/>
          </rPr>
          <t>Hypothetical Condition 1</t>
        </r>
      </text>
    </comment>
    <comment ref="C155" authorId="1" shapeId="0" xr:uid="{00000000-0006-0000-0100-000081000000}">
      <text>
        <r>
          <rPr>
            <b/>
            <sz val="9"/>
            <color indexed="81"/>
            <rFont val="Tahoma"/>
            <family val="2"/>
          </rPr>
          <t>Hypothetical Condition 2</t>
        </r>
      </text>
    </comment>
    <comment ref="C156" authorId="1" shapeId="0" xr:uid="{00000000-0006-0000-0100-000082000000}">
      <text>
        <r>
          <rPr>
            <b/>
            <sz val="9"/>
            <color indexed="81"/>
            <rFont val="Tahoma"/>
            <family val="2"/>
          </rPr>
          <t>Hypothetical Condition 3</t>
        </r>
      </text>
    </comment>
    <comment ref="C157" authorId="1" shapeId="0" xr:uid="{00000000-0006-0000-0100-000083000000}">
      <text>
        <r>
          <rPr>
            <b/>
            <sz val="9"/>
            <color indexed="81"/>
            <rFont val="Tahoma"/>
            <family val="2"/>
          </rPr>
          <t>Exposure Time 1</t>
        </r>
      </text>
    </comment>
    <comment ref="C158" authorId="1" shapeId="0" xr:uid="{00000000-0006-0000-0100-000084000000}">
      <text>
        <r>
          <rPr>
            <b/>
            <sz val="9"/>
            <color indexed="81"/>
            <rFont val="Tahoma"/>
            <family val="2"/>
          </rPr>
          <t>Market Time 1</t>
        </r>
      </text>
    </comment>
    <comment ref="C159" authorId="1" shapeId="0" xr:uid="{00000000-0006-0000-0100-000085000000}">
      <text>
        <r>
          <rPr>
            <b/>
            <sz val="9"/>
            <color indexed="81"/>
            <rFont val="Tahoma"/>
            <family val="2"/>
          </rPr>
          <t>Tax Parcel Number</t>
        </r>
      </text>
    </comment>
    <comment ref="C161" authorId="0" shapeId="0" xr:uid="{00000000-0006-0000-0100-000086000000}">
      <text>
        <r>
          <rPr>
            <b/>
            <sz val="8"/>
            <color indexed="81"/>
            <rFont val="Tahoma"/>
            <family val="2"/>
          </rPr>
          <t>&lt;&lt;Lower Left Corner&gt;&gt;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0200-000001000000}">
      <text>
        <r>
          <rPr>
            <b/>
            <sz val="9"/>
            <color indexed="81"/>
            <rFont val="Tahoma"/>
            <family val="2"/>
          </rPr>
          <t>&lt;&lt;Not a Datappraise Worksheet&gt;&gt;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0300-000001000000}">
      <text>
        <r>
          <rPr>
            <b/>
            <sz val="9"/>
            <color indexed="81"/>
            <rFont val="Tahoma"/>
            <family val="2"/>
          </rPr>
          <t>&lt;&lt;Not a Datappraise Worksheet&gt;&gt;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0400-000001000000}">
      <text>
        <r>
          <rPr>
            <b/>
            <sz val="9"/>
            <color indexed="81"/>
            <rFont val="Tahoma"/>
            <family val="2"/>
          </rPr>
          <t>&lt;&lt;Not a Datappraise Worksheet&gt;&gt;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gateel</author>
  </authors>
  <commentList>
    <comment ref="A1" authorId="0" shapeId="0" xr:uid="{A233C9DB-D443-4A76-8D99-AE3B8EBEB453}">
      <text>
        <r>
          <rPr>
            <b/>
            <sz val="9"/>
            <color indexed="81"/>
            <rFont val="Tahoma"/>
            <family val="2"/>
          </rPr>
          <t>&lt;&lt;Not a Datappraise Worksheet&gt;&gt;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0500-000001000000}">
      <text>
        <r>
          <rPr>
            <b/>
            <sz val="9"/>
            <color indexed="81"/>
            <rFont val="Tahoma"/>
            <family val="2"/>
          </rPr>
          <t>&lt;&lt;Not a Datappraise Worksheet&gt;&gt;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gateel</author>
  </authors>
  <commentList>
    <comment ref="A1" authorId="0" shapeId="0" xr:uid="{8C3D615A-C8D1-466A-873F-93264DB9B25E}">
      <text>
        <r>
          <rPr>
            <b/>
            <sz val="9"/>
            <color indexed="81"/>
            <rFont val="Tahoma"/>
            <family val="2"/>
          </rPr>
          <t>&lt;&lt;Not a Datappraise Worksheet&gt;&gt;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0700-000001000000}">
      <text>
        <r>
          <rPr>
            <b/>
            <sz val="9"/>
            <color indexed="81"/>
            <rFont val="Tahoma"/>
            <family val="2"/>
          </rPr>
          <t>&lt;&lt;Not a Datappraise Worksheet&gt;&gt;</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pgilliam@valbridge.com</author>
    <author>Paul Gilliam</author>
    <author>Jason Bennett</author>
  </authors>
  <commentList>
    <comment ref="P43" authorId="0" shapeId="0" xr:uid="{00000000-0006-0000-0800-000001000000}">
      <text>
        <r>
          <rPr>
            <b/>
            <sz val="9"/>
            <color indexed="81"/>
            <rFont val="Tahoma"/>
            <family val="2"/>
          </rPr>
          <t>&lt;&lt;Subject Taxes&gt;&gt;&lt;&lt;Data Runs in Rows&gt;&gt;</t>
        </r>
      </text>
    </comment>
    <comment ref="Q43" authorId="0" shapeId="0" xr:uid="{00000000-0006-0000-0800-000002000000}">
      <text>
        <r>
          <rPr>
            <b/>
            <sz val="9"/>
            <color indexed="81"/>
            <rFont val="Tahoma"/>
            <family val="2"/>
          </rPr>
          <t>Tax Year</t>
        </r>
      </text>
    </comment>
    <comment ref="R43" authorId="0" shapeId="0" xr:uid="{00000000-0006-0000-0800-000003000000}">
      <text>
        <r>
          <rPr>
            <b/>
            <sz val="9"/>
            <color indexed="81"/>
            <rFont val="Tahoma"/>
            <family val="2"/>
          </rPr>
          <t>Tax Parcel No. (s)</t>
        </r>
      </text>
    </comment>
    <comment ref="S43" authorId="0" shapeId="0" xr:uid="{00000000-0006-0000-0800-000004000000}">
      <text>
        <r>
          <rPr>
            <b/>
            <sz val="9"/>
            <color indexed="81"/>
            <rFont val="Tahoma"/>
            <family val="2"/>
          </rPr>
          <t>Tax Land Value</t>
        </r>
      </text>
    </comment>
    <comment ref="T43" authorId="1" shapeId="0" xr:uid="{00000000-0006-0000-0800-000005000000}">
      <text>
        <r>
          <rPr>
            <b/>
            <sz val="8"/>
            <color indexed="81"/>
            <rFont val="Tahoma"/>
            <family val="2"/>
          </rPr>
          <t>Tax Assess. Ratio</t>
        </r>
      </text>
    </comment>
    <comment ref="U43" authorId="0" shapeId="0" xr:uid="{00000000-0006-0000-0800-000006000000}">
      <text>
        <r>
          <rPr>
            <b/>
            <sz val="9"/>
            <color indexed="81"/>
            <rFont val="Tahoma"/>
            <family val="2"/>
          </rPr>
          <t>Tax Buildings Value</t>
        </r>
      </text>
    </comment>
    <comment ref="V43" authorId="1" shapeId="0" xr:uid="{00000000-0006-0000-0800-000007000000}">
      <text>
        <r>
          <rPr>
            <b/>
            <sz val="8"/>
            <color indexed="81"/>
            <rFont val="Tahoma"/>
            <family val="2"/>
          </rPr>
          <t>Tax Assess. Ratio</t>
        </r>
      </text>
    </comment>
    <comment ref="W43" authorId="0" shapeId="0" xr:uid="{00000000-0006-0000-0800-000008000000}">
      <text>
        <r>
          <rPr>
            <b/>
            <sz val="9"/>
            <color indexed="81"/>
            <rFont val="Tahoma"/>
            <family val="2"/>
          </rPr>
          <t>Tax Market Value</t>
        </r>
      </text>
    </comment>
    <comment ref="Y43" authorId="0" shapeId="0" xr:uid="{00000000-0006-0000-0800-000009000000}">
      <text>
        <r>
          <rPr>
            <b/>
            <sz val="9"/>
            <color indexed="81"/>
            <rFont val="Tahoma"/>
            <family val="2"/>
          </rPr>
          <t>Tax Rate</t>
        </r>
      </text>
    </comment>
    <comment ref="Z43" authorId="0" shapeId="0" xr:uid="{00000000-0006-0000-0800-00000A000000}">
      <text>
        <r>
          <rPr>
            <b/>
            <sz val="9"/>
            <color indexed="81"/>
            <rFont val="Tahoma"/>
            <family val="2"/>
          </rPr>
          <t>Tax Rate Per</t>
        </r>
      </text>
    </comment>
    <comment ref="AA43" authorId="0" shapeId="0" xr:uid="{00000000-0006-0000-0800-00000B000000}">
      <text>
        <r>
          <rPr>
            <b/>
            <sz val="9"/>
            <color indexed="81"/>
            <rFont val="Tahoma"/>
            <family val="2"/>
          </rPr>
          <t>&lt;&lt;Not a Datappraise Field&gt;&gt;</t>
        </r>
      </text>
    </comment>
    <comment ref="AB43" authorId="0" shapeId="0" xr:uid="{00000000-0006-0000-0800-00000C000000}">
      <text>
        <r>
          <rPr>
            <b/>
            <sz val="9"/>
            <color indexed="81"/>
            <rFont val="Tahoma"/>
            <family val="2"/>
          </rPr>
          <t>Special Assess</t>
        </r>
      </text>
    </comment>
    <comment ref="AC43" authorId="0" shapeId="0" xr:uid="{00000000-0006-0000-0800-00000D000000}">
      <text>
        <r>
          <rPr>
            <b/>
            <sz val="9"/>
            <color indexed="81"/>
            <rFont val="Tahoma"/>
            <family val="2"/>
          </rPr>
          <t>&lt;&lt;Upper Right Corner&gt;&gt;</t>
        </r>
      </text>
    </comment>
    <comment ref="P46" authorId="2" shapeId="0" xr:uid="{46502E74-C1C9-4FEA-9551-7576EFC2AC00}">
      <text>
        <r>
          <rPr>
            <b/>
            <sz val="9"/>
            <color indexed="81"/>
            <rFont val="Tahoma"/>
            <family val="2"/>
          </rPr>
          <t>&lt;&lt;Lower Left Corner&gt;&gt;</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0900-000001000000}">
      <text>
        <r>
          <rPr>
            <b/>
            <sz val="9"/>
            <color indexed="81"/>
            <rFont val="Tahoma"/>
            <family val="2"/>
          </rPr>
          <t>&lt;&lt;Not a Datappraise Worksheet&gt;&gt;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0A00-000001000000}">
      <text>
        <r>
          <rPr>
            <b/>
            <sz val="9"/>
            <color indexed="81"/>
            <rFont val="Tahoma"/>
            <family val="2"/>
          </rPr>
          <t>&lt;&lt;Not a Datappraise Worksheet&gt;&gt;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Paul Gilliam</author>
  </authors>
  <commentList>
    <comment ref="A1" authorId="0" shapeId="0" xr:uid="{54D63F9F-AD9D-4B80-A1E5-2BFF170E6439}">
      <text>
        <r>
          <rPr>
            <b/>
            <sz val="9"/>
            <color indexed="81"/>
            <rFont val="Tahoma"/>
            <family val="2"/>
          </rPr>
          <t>&lt;&lt;Not a Datappraise Worksheet&gt;&gt;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pgilliam</author>
    <author>pgilliam@valbridge.com</author>
    <author>Jason Bennett</author>
  </authors>
  <commentList>
    <comment ref="D6" authorId="0" shapeId="0" xr:uid="{00000000-0006-0000-0B00-000001000000}">
      <text>
        <r>
          <rPr>
            <b/>
            <sz val="9"/>
            <color indexed="81"/>
            <rFont val="Tahoma"/>
            <family val="2"/>
          </rPr>
          <t>&lt;&lt;Land Sales&gt;&gt;&lt;&lt;Data Runs in Rows&gt;&gt;&lt;&lt;Multiple Tables&gt;&gt;</t>
        </r>
      </text>
    </comment>
    <comment ref="E6" authorId="1" shapeId="0" xr:uid="{00000000-0006-0000-0B00-000002000000}">
      <text>
        <r>
          <rPr>
            <b/>
            <sz val="9"/>
            <color indexed="81"/>
            <rFont val="Tahoma"/>
            <family val="2"/>
          </rPr>
          <t>Sale Date</t>
        </r>
      </text>
    </comment>
    <comment ref="F6" authorId="1" shapeId="0" xr:uid="{00000000-0006-0000-0B00-000003000000}">
      <text>
        <r>
          <rPr>
            <sz val="9"/>
            <color indexed="81"/>
            <rFont val="Tahoma"/>
            <family val="2"/>
          </rPr>
          <t>Usable Land Acres</t>
        </r>
      </text>
    </comment>
    <comment ref="G6" authorId="1" shapeId="0" xr:uid="{00000000-0006-0000-0B00-000004000000}">
      <text>
        <r>
          <rPr>
            <sz val="9"/>
            <color indexed="81"/>
            <rFont val="Tahoma"/>
            <family val="2"/>
          </rPr>
          <t>Usable Land Area (SF)</t>
        </r>
      </text>
    </comment>
    <comment ref="H6" authorId="1" shapeId="0" xr:uid="{00000000-0006-0000-0B00-000005000000}">
      <text>
        <r>
          <rPr>
            <b/>
            <sz val="9"/>
            <color indexed="81"/>
            <rFont val="Tahoma"/>
            <family val="2"/>
          </rPr>
          <t>Land Acres</t>
        </r>
      </text>
    </comment>
    <comment ref="I6" authorId="1" shapeId="0" xr:uid="{00000000-0006-0000-0B00-000006000000}">
      <text>
        <r>
          <rPr>
            <b/>
            <sz val="9"/>
            <color indexed="81"/>
            <rFont val="Tahoma"/>
            <family val="2"/>
          </rPr>
          <t>Land Sq Ft</t>
        </r>
      </text>
    </comment>
    <comment ref="J6" authorId="1" shapeId="0" xr:uid="{00000000-0006-0000-0B00-000007000000}">
      <text>
        <r>
          <rPr>
            <b/>
            <sz val="9"/>
            <color indexed="81"/>
            <rFont val="Tahoma"/>
            <family val="2"/>
          </rPr>
          <t>Primary Frontage (Feet)</t>
        </r>
      </text>
    </comment>
    <comment ref="K6" authorId="1" shapeId="0" xr:uid="{00000000-0006-0000-0B00-000008000000}">
      <text>
        <r>
          <rPr>
            <b/>
            <sz val="9"/>
            <color indexed="81"/>
            <rFont val="Tahoma"/>
            <family val="2"/>
          </rPr>
          <t>GBA</t>
        </r>
      </text>
    </comment>
    <comment ref="L6" authorId="1" shapeId="0" xr:uid="{00000000-0006-0000-0B00-000009000000}">
      <text>
        <r>
          <rPr>
            <b/>
            <sz val="9"/>
            <color indexed="81"/>
            <rFont val="Tahoma"/>
            <family val="2"/>
          </rPr>
          <t>Number of Lots</t>
        </r>
      </text>
    </comment>
    <comment ref="M6" authorId="1" shapeId="0" xr:uid="{00000000-0006-0000-0B00-00000A000000}">
      <text>
        <r>
          <rPr>
            <b/>
            <sz val="9"/>
            <color indexed="81"/>
            <rFont val="Tahoma"/>
            <family val="2"/>
          </rPr>
          <t>Number of Units</t>
        </r>
      </text>
    </comment>
    <comment ref="N6" authorId="1" shapeId="0" xr:uid="{00000000-0006-0000-0B00-00000B000000}">
      <text>
        <r>
          <rPr>
            <b/>
            <sz val="9"/>
            <color indexed="81"/>
            <rFont val="Tahoma"/>
            <family val="2"/>
          </rPr>
          <t>Address</t>
        </r>
      </text>
    </comment>
    <comment ref="O6" authorId="1" shapeId="0" xr:uid="{00000000-0006-0000-0B00-00000C000000}">
      <text>
        <r>
          <rPr>
            <b/>
            <sz val="9"/>
            <color indexed="81"/>
            <rFont val="Tahoma"/>
            <family val="2"/>
          </rPr>
          <t>City State</t>
        </r>
      </text>
    </comment>
    <comment ref="P6" authorId="1" shapeId="0" xr:uid="{00000000-0006-0000-0B00-00000D000000}">
      <text>
        <r>
          <rPr>
            <b/>
            <sz val="9"/>
            <color indexed="81"/>
            <rFont val="Tahoma"/>
            <family val="2"/>
          </rPr>
          <t>Zoning Code</t>
        </r>
      </text>
    </comment>
    <comment ref="Q6" authorId="1" shapeId="0" xr:uid="{00000000-0006-0000-0B00-00000E000000}">
      <text>
        <r>
          <rPr>
            <b/>
            <sz val="9"/>
            <color indexed="81"/>
            <rFont val="Tahoma"/>
            <family val="2"/>
          </rPr>
          <t>Proposed Use</t>
        </r>
      </text>
    </comment>
    <comment ref="S6" authorId="1" shapeId="0" xr:uid="{00000000-0006-0000-0B00-00000F000000}">
      <text>
        <r>
          <rPr>
            <b/>
            <sz val="9"/>
            <color indexed="81"/>
            <rFont val="Tahoma"/>
            <family val="2"/>
          </rPr>
          <t>Sale Price</t>
        </r>
      </text>
    </comment>
    <comment ref="T6" authorId="1" shapeId="0" xr:uid="{00000000-0006-0000-0B00-000010000000}">
      <text>
        <r>
          <rPr>
            <b/>
            <sz val="9"/>
            <color indexed="81"/>
            <rFont val="Tahoma"/>
            <family val="2"/>
          </rPr>
          <t>&lt;&lt;Not a Datappraise Field&gt;&gt;</t>
        </r>
      </text>
    </comment>
    <comment ref="U6" authorId="1" shapeId="0" xr:uid="{00000000-0006-0000-0B00-000011000000}">
      <text>
        <r>
          <rPr>
            <b/>
            <sz val="9"/>
            <color indexed="81"/>
            <rFont val="Tahoma"/>
            <family val="2"/>
          </rPr>
          <t>&lt;&lt;Not a Datappraise Field&gt;&gt;</t>
        </r>
      </text>
    </comment>
    <comment ref="V6" authorId="1" shapeId="0" xr:uid="{00000000-0006-0000-0B00-000012000000}">
      <text>
        <r>
          <rPr>
            <b/>
            <sz val="9"/>
            <color indexed="81"/>
            <rFont val="Tahoma"/>
            <family val="2"/>
          </rPr>
          <t>&lt;&lt;Not a Datappraise Field&gt;&gt;</t>
        </r>
      </text>
    </comment>
    <comment ref="W6" authorId="1" shapeId="0" xr:uid="{00000000-0006-0000-0B00-000013000000}">
      <text>
        <r>
          <rPr>
            <b/>
            <sz val="9"/>
            <color indexed="81"/>
            <rFont val="Tahoma"/>
            <family val="2"/>
          </rPr>
          <t>&lt;&lt;Not a Datappraise Field&gt;&gt;</t>
        </r>
      </text>
    </comment>
    <comment ref="X6" authorId="1" shapeId="0" xr:uid="{00000000-0006-0000-0B00-000014000000}">
      <text>
        <r>
          <rPr>
            <b/>
            <sz val="9"/>
            <color indexed="81"/>
            <rFont val="Tahoma"/>
            <family val="2"/>
          </rPr>
          <t>&lt;&lt;Not a Datappraise Field&gt;&gt;</t>
        </r>
      </text>
    </comment>
    <comment ref="Y6" authorId="1" shapeId="0" xr:uid="{00000000-0006-0000-0B00-000015000000}">
      <text>
        <r>
          <rPr>
            <b/>
            <sz val="9"/>
            <color indexed="81"/>
            <rFont val="Tahoma"/>
            <family val="2"/>
          </rPr>
          <t>&lt;&lt;Not a Datappraise Field&gt;&gt;</t>
        </r>
      </text>
    </comment>
    <comment ref="Z6" authorId="1" shapeId="0" xr:uid="{00000000-0006-0000-0B00-000016000000}">
      <text>
        <r>
          <rPr>
            <b/>
            <sz val="9"/>
            <color indexed="81"/>
            <rFont val="Tahoma"/>
            <family val="2"/>
          </rPr>
          <t>Sale ID</t>
        </r>
      </text>
    </comment>
    <comment ref="AA6" authorId="1" shapeId="0" xr:uid="{00000000-0006-0000-0B00-000017000000}">
      <text>
        <r>
          <rPr>
            <b/>
            <sz val="9"/>
            <color indexed="81"/>
            <rFont val="Tahoma"/>
            <family val="2"/>
          </rPr>
          <t>&lt;&lt;Upper Right Corner&gt;&gt;</t>
        </r>
      </text>
    </comment>
    <comment ref="D11" authorId="2" shapeId="0" xr:uid="{55FE7BC0-FF09-4104-9150-A8472ACACE75}">
      <text>
        <r>
          <rPr>
            <b/>
            <sz val="9"/>
            <color indexed="81"/>
            <rFont val="Tahoma"/>
            <family val="2"/>
          </rPr>
          <t>&lt;&lt;Lower Left Corner&gt;&gt;</t>
        </r>
      </text>
    </comment>
    <comment ref="AF17" authorId="0" shapeId="0" xr:uid="{00000000-0006-0000-0B00-000019000000}">
      <text>
        <r>
          <rPr>
            <b/>
            <sz val="9"/>
            <color indexed="81"/>
            <rFont val="Tahoma"/>
            <family val="2"/>
          </rPr>
          <t>&lt;&lt;Land Sales&gt;&gt;&lt;&lt;Data Runs in Rows&gt;&gt;&lt;&lt;Bucket 1&gt;&gt;</t>
        </r>
      </text>
    </comment>
    <comment ref="AG17" authorId="1" shapeId="0" xr:uid="{00000000-0006-0000-0B00-00001A000000}">
      <text>
        <r>
          <rPr>
            <b/>
            <sz val="9"/>
            <color indexed="81"/>
            <rFont val="Tahoma"/>
            <family val="2"/>
          </rPr>
          <t>Sale Date</t>
        </r>
      </text>
    </comment>
    <comment ref="AH17" authorId="1" shapeId="0" xr:uid="{00000000-0006-0000-0B00-00001B000000}">
      <text>
        <r>
          <rPr>
            <sz val="9"/>
            <color indexed="81"/>
            <rFont val="Tahoma"/>
            <family val="2"/>
          </rPr>
          <t>Usable Land Acres</t>
        </r>
      </text>
    </comment>
    <comment ref="AI17" authorId="1" shapeId="0" xr:uid="{00000000-0006-0000-0B00-00001C000000}">
      <text>
        <r>
          <rPr>
            <sz val="9"/>
            <color indexed="81"/>
            <rFont val="Tahoma"/>
            <family val="2"/>
          </rPr>
          <t>Usable Land Area (SF)</t>
        </r>
      </text>
    </comment>
    <comment ref="AJ17" authorId="1" shapeId="0" xr:uid="{00000000-0006-0000-0B00-00001D000000}">
      <text>
        <r>
          <rPr>
            <b/>
            <sz val="9"/>
            <color indexed="81"/>
            <rFont val="Tahoma"/>
            <family val="2"/>
          </rPr>
          <t>Land Acres</t>
        </r>
      </text>
    </comment>
    <comment ref="AK17" authorId="1" shapeId="0" xr:uid="{00000000-0006-0000-0B00-00001E000000}">
      <text>
        <r>
          <rPr>
            <b/>
            <sz val="9"/>
            <color indexed="81"/>
            <rFont val="Tahoma"/>
            <family val="2"/>
          </rPr>
          <t>Land Sq Ft</t>
        </r>
      </text>
    </comment>
    <comment ref="AL17" authorId="1" shapeId="0" xr:uid="{00000000-0006-0000-0B00-00001F000000}">
      <text>
        <r>
          <rPr>
            <b/>
            <sz val="9"/>
            <color indexed="81"/>
            <rFont val="Tahoma"/>
            <family val="2"/>
          </rPr>
          <t>Primary Frontage (Feet)</t>
        </r>
      </text>
    </comment>
    <comment ref="AM17" authorId="1" shapeId="0" xr:uid="{00000000-0006-0000-0B00-000020000000}">
      <text>
        <r>
          <rPr>
            <b/>
            <sz val="9"/>
            <color indexed="81"/>
            <rFont val="Tahoma"/>
            <family val="2"/>
          </rPr>
          <t>GBA</t>
        </r>
      </text>
    </comment>
    <comment ref="AN17" authorId="1" shapeId="0" xr:uid="{00000000-0006-0000-0B00-000021000000}">
      <text>
        <r>
          <rPr>
            <b/>
            <sz val="9"/>
            <color indexed="81"/>
            <rFont val="Tahoma"/>
            <family val="2"/>
          </rPr>
          <t>Number of Lots</t>
        </r>
      </text>
    </comment>
    <comment ref="AO17" authorId="1" shapeId="0" xr:uid="{00000000-0006-0000-0B00-000022000000}">
      <text>
        <r>
          <rPr>
            <b/>
            <sz val="9"/>
            <color indexed="81"/>
            <rFont val="Tahoma"/>
            <family val="2"/>
          </rPr>
          <t>Number of Units</t>
        </r>
      </text>
    </comment>
    <comment ref="AP17" authorId="1" shapeId="0" xr:uid="{00000000-0006-0000-0B00-000023000000}">
      <text>
        <r>
          <rPr>
            <b/>
            <sz val="9"/>
            <color indexed="81"/>
            <rFont val="Tahoma"/>
            <family val="2"/>
          </rPr>
          <t>Address</t>
        </r>
      </text>
    </comment>
    <comment ref="AQ17" authorId="1" shapeId="0" xr:uid="{00000000-0006-0000-0B00-000024000000}">
      <text>
        <r>
          <rPr>
            <b/>
            <sz val="9"/>
            <color indexed="81"/>
            <rFont val="Tahoma"/>
            <family val="2"/>
          </rPr>
          <t>City State</t>
        </r>
      </text>
    </comment>
    <comment ref="AR17" authorId="1" shapeId="0" xr:uid="{00000000-0006-0000-0B00-000025000000}">
      <text>
        <r>
          <rPr>
            <b/>
            <sz val="9"/>
            <color indexed="81"/>
            <rFont val="Tahoma"/>
            <family val="2"/>
          </rPr>
          <t>Zoning Code</t>
        </r>
      </text>
    </comment>
    <comment ref="AS17" authorId="1" shapeId="0" xr:uid="{00000000-0006-0000-0B00-000026000000}">
      <text>
        <r>
          <rPr>
            <b/>
            <sz val="9"/>
            <color indexed="81"/>
            <rFont val="Tahoma"/>
            <family val="2"/>
          </rPr>
          <t>Proposed Use</t>
        </r>
      </text>
    </comment>
    <comment ref="AU17" authorId="1" shapeId="0" xr:uid="{00000000-0006-0000-0B00-000027000000}">
      <text>
        <r>
          <rPr>
            <b/>
            <sz val="9"/>
            <color indexed="81"/>
            <rFont val="Tahoma"/>
            <family val="2"/>
          </rPr>
          <t>Sale Price</t>
        </r>
      </text>
    </comment>
    <comment ref="AV17" authorId="1" shapeId="0" xr:uid="{00000000-0006-0000-0B00-000028000000}">
      <text>
        <r>
          <rPr>
            <b/>
            <sz val="9"/>
            <color indexed="81"/>
            <rFont val="Tahoma"/>
            <family val="2"/>
          </rPr>
          <t>&lt;&lt;Not a Datappraise Field&gt;&gt;</t>
        </r>
      </text>
    </comment>
    <comment ref="AW17" authorId="1" shapeId="0" xr:uid="{00000000-0006-0000-0B00-000029000000}">
      <text>
        <r>
          <rPr>
            <b/>
            <sz val="9"/>
            <color indexed="81"/>
            <rFont val="Tahoma"/>
            <family val="2"/>
          </rPr>
          <t>&lt;&lt;Not a Datappraise Field&gt;&gt;</t>
        </r>
      </text>
    </comment>
    <comment ref="AX17" authorId="1" shapeId="0" xr:uid="{00000000-0006-0000-0B00-00002A000000}">
      <text>
        <r>
          <rPr>
            <b/>
            <sz val="9"/>
            <color indexed="81"/>
            <rFont val="Tahoma"/>
            <family val="2"/>
          </rPr>
          <t>&lt;&lt;Not a Datappraise Field&gt;&gt;</t>
        </r>
      </text>
    </comment>
    <comment ref="AY17" authorId="1" shapeId="0" xr:uid="{00000000-0006-0000-0B00-00002B000000}">
      <text>
        <r>
          <rPr>
            <b/>
            <sz val="9"/>
            <color indexed="81"/>
            <rFont val="Tahoma"/>
            <family val="2"/>
          </rPr>
          <t>&lt;&lt;Not a Datappraise Field&gt;&gt;</t>
        </r>
      </text>
    </comment>
    <comment ref="AZ17" authorId="1" shapeId="0" xr:uid="{00000000-0006-0000-0B00-00002C000000}">
      <text>
        <r>
          <rPr>
            <b/>
            <sz val="9"/>
            <color indexed="81"/>
            <rFont val="Tahoma"/>
            <family val="2"/>
          </rPr>
          <t>&lt;&lt;Not a Datappraise Field&gt;&gt;</t>
        </r>
      </text>
    </comment>
    <comment ref="BA17" authorId="1" shapeId="0" xr:uid="{00000000-0006-0000-0B00-00002D000000}">
      <text>
        <r>
          <rPr>
            <b/>
            <sz val="9"/>
            <color indexed="81"/>
            <rFont val="Tahoma"/>
            <family val="2"/>
          </rPr>
          <t>&lt;&lt;Not a Datappraise Field&gt;&gt;</t>
        </r>
      </text>
    </comment>
    <comment ref="BB17" authorId="1" shapeId="0" xr:uid="{00000000-0006-0000-0B00-00002E000000}">
      <text>
        <r>
          <rPr>
            <b/>
            <sz val="9"/>
            <color indexed="81"/>
            <rFont val="Tahoma"/>
            <family val="2"/>
          </rPr>
          <t>Sale ID</t>
        </r>
      </text>
    </comment>
    <comment ref="BC17" authorId="1" shapeId="0" xr:uid="{00000000-0006-0000-0B00-00002F000000}">
      <text>
        <r>
          <rPr>
            <b/>
            <sz val="9"/>
            <color indexed="81"/>
            <rFont val="Tahoma"/>
            <family val="2"/>
          </rPr>
          <t>&lt;&lt;Upper Right Corner&gt;&gt;</t>
        </r>
      </text>
    </comment>
    <comment ref="AF24" authorId="1" shapeId="0" xr:uid="{00000000-0006-0000-0B00-000030000000}">
      <text>
        <r>
          <rPr>
            <b/>
            <sz val="9"/>
            <color indexed="81"/>
            <rFont val="Tahoma"/>
            <family val="2"/>
          </rPr>
          <t>&lt;&lt;Lower Left Corner&gt;&gt;</t>
        </r>
      </text>
    </comment>
    <comment ref="BH30" authorId="0" shapeId="0" xr:uid="{00000000-0006-0000-0B00-000031000000}">
      <text>
        <r>
          <rPr>
            <b/>
            <sz val="9"/>
            <color indexed="81"/>
            <rFont val="Tahoma"/>
            <family val="2"/>
          </rPr>
          <t>&lt;&lt;Land Sales&gt;&gt;&lt;&lt;Data Runs in Rows&gt;&gt;&lt;&lt;Bucket 2&gt;&gt;</t>
        </r>
      </text>
    </comment>
    <comment ref="BI30" authorId="1" shapeId="0" xr:uid="{00000000-0006-0000-0B00-000032000000}">
      <text>
        <r>
          <rPr>
            <b/>
            <sz val="9"/>
            <color indexed="81"/>
            <rFont val="Tahoma"/>
            <family val="2"/>
          </rPr>
          <t>Sale Date</t>
        </r>
      </text>
    </comment>
    <comment ref="BJ30" authorId="1" shapeId="0" xr:uid="{00000000-0006-0000-0B00-000033000000}">
      <text>
        <r>
          <rPr>
            <sz val="9"/>
            <color indexed="81"/>
            <rFont val="Tahoma"/>
            <family val="2"/>
          </rPr>
          <t>Usable Land Acres</t>
        </r>
      </text>
    </comment>
    <comment ref="BK30" authorId="1" shapeId="0" xr:uid="{00000000-0006-0000-0B00-000034000000}">
      <text>
        <r>
          <rPr>
            <sz val="9"/>
            <color indexed="81"/>
            <rFont val="Tahoma"/>
            <family val="2"/>
          </rPr>
          <t>Usable Land Area (SF)</t>
        </r>
      </text>
    </comment>
    <comment ref="BL30" authorId="1" shapeId="0" xr:uid="{00000000-0006-0000-0B00-000035000000}">
      <text>
        <r>
          <rPr>
            <b/>
            <sz val="9"/>
            <color indexed="81"/>
            <rFont val="Tahoma"/>
            <family val="2"/>
          </rPr>
          <t>Land Acres</t>
        </r>
      </text>
    </comment>
    <comment ref="BM30" authorId="1" shapeId="0" xr:uid="{00000000-0006-0000-0B00-000036000000}">
      <text>
        <r>
          <rPr>
            <b/>
            <sz val="9"/>
            <color indexed="81"/>
            <rFont val="Tahoma"/>
            <family val="2"/>
          </rPr>
          <t>Land Sq Ft</t>
        </r>
      </text>
    </comment>
    <comment ref="BN30" authorId="1" shapeId="0" xr:uid="{00000000-0006-0000-0B00-000037000000}">
      <text>
        <r>
          <rPr>
            <b/>
            <sz val="9"/>
            <color indexed="81"/>
            <rFont val="Tahoma"/>
            <family val="2"/>
          </rPr>
          <t>Primary Frontage (Feet)</t>
        </r>
      </text>
    </comment>
    <comment ref="BO30" authorId="1" shapeId="0" xr:uid="{00000000-0006-0000-0B00-000038000000}">
      <text>
        <r>
          <rPr>
            <b/>
            <sz val="9"/>
            <color indexed="81"/>
            <rFont val="Tahoma"/>
            <family val="2"/>
          </rPr>
          <t>GBA</t>
        </r>
      </text>
    </comment>
    <comment ref="BP30" authorId="1" shapeId="0" xr:uid="{00000000-0006-0000-0B00-000039000000}">
      <text>
        <r>
          <rPr>
            <b/>
            <sz val="9"/>
            <color indexed="81"/>
            <rFont val="Tahoma"/>
            <family val="2"/>
          </rPr>
          <t>Number of Lots</t>
        </r>
      </text>
    </comment>
    <comment ref="BQ30" authorId="1" shapeId="0" xr:uid="{00000000-0006-0000-0B00-00003A000000}">
      <text>
        <r>
          <rPr>
            <b/>
            <sz val="9"/>
            <color indexed="81"/>
            <rFont val="Tahoma"/>
            <family val="2"/>
          </rPr>
          <t>Number of Units</t>
        </r>
      </text>
    </comment>
    <comment ref="BR30" authorId="1" shapeId="0" xr:uid="{00000000-0006-0000-0B00-00003B000000}">
      <text>
        <r>
          <rPr>
            <b/>
            <sz val="9"/>
            <color indexed="81"/>
            <rFont val="Tahoma"/>
            <family val="2"/>
          </rPr>
          <t>Address</t>
        </r>
      </text>
    </comment>
    <comment ref="BS30" authorId="1" shapeId="0" xr:uid="{00000000-0006-0000-0B00-00003C000000}">
      <text>
        <r>
          <rPr>
            <b/>
            <sz val="9"/>
            <color indexed="81"/>
            <rFont val="Tahoma"/>
            <family val="2"/>
          </rPr>
          <t>City State</t>
        </r>
      </text>
    </comment>
    <comment ref="BT30" authorId="1" shapeId="0" xr:uid="{00000000-0006-0000-0B00-00003D000000}">
      <text>
        <r>
          <rPr>
            <b/>
            <sz val="9"/>
            <color indexed="81"/>
            <rFont val="Tahoma"/>
            <family val="2"/>
          </rPr>
          <t>Zoning Code</t>
        </r>
      </text>
    </comment>
    <comment ref="BU30" authorId="1" shapeId="0" xr:uid="{00000000-0006-0000-0B00-00003E000000}">
      <text>
        <r>
          <rPr>
            <b/>
            <sz val="9"/>
            <color indexed="81"/>
            <rFont val="Tahoma"/>
            <family val="2"/>
          </rPr>
          <t>Proposed Use</t>
        </r>
      </text>
    </comment>
    <comment ref="BW30" authorId="1" shapeId="0" xr:uid="{00000000-0006-0000-0B00-00003F000000}">
      <text>
        <r>
          <rPr>
            <b/>
            <sz val="9"/>
            <color indexed="81"/>
            <rFont val="Tahoma"/>
            <family val="2"/>
          </rPr>
          <t>Sale Price</t>
        </r>
      </text>
    </comment>
    <comment ref="BX30" authorId="1" shapeId="0" xr:uid="{00000000-0006-0000-0B00-000040000000}">
      <text>
        <r>
          <rPr>
            <b/>
            <sz val="9"/>
            <color indexed="81"/>
            <rFont val="Tahoma"/>
            <family val="2"/>
          </rPr>
          <t>&lt;&lt;Not a Datappraise Field&gt;&gt;</t>
        </r>
      </text>
    </comment>
    <comment ref="BY30" authorId="1" shapeId="0" xr:uid="{00000000-0006-0000-0B00-000041000000}">
      <text>
        <r>
          <rPr>
            <b/>
            <sz val="9"/>
            <color indexed="81"/>
            <rFont val="Tahoma"/>
            <family val="2"/>
          </rPr>
          <t>&lt;&lt;Not a Datappraise Field&gt;&gt;</t>
        </r>
      </text>
    </comment>
    <comment ref="BZ30" authorId="1" shapeId="0" xr:uid="{00000000-0006-0000-0B00-000042000000}">
      <text>
        <r>
          <rPr>
            <b/>
            <sz val="9"/>
            <color indexed="81"/>
            <rFont val="Tahoma"/>
            <family val="2"/>
          </rPr>
          <t>&lt;&lt;Not a Datappraise Field&gt;&gt;</t>
        </r>
      </text>
    </comment>
    <comment ref="CA30" authorId="1" shapeId="0" xr:uid="{00000000-0006-0000-0B00-000043000000}">
      <text>
        <r>
          <rPr>
            <b/>
            <sz val="9"/>
            <color indexed="81"/>
            <rFont val="Tahoma"/>
            <family val="2"/>
          </rPr>
          <t>&lt;&lt;Not a Datappraise Field&gt;&gt;</t>
        </r>
      </text>
    </comment>
    <comment ref="CB30" authorId="1" shapeId="0" xr:uid="{00000000-0006-0000-0B00-000044000000}">
      <text>
        <r>
          <rPr>
            <b/>
            <sz val="9"/>
            <color indexed="81"/>
            <rFont val="Tahoma"/>
            <family val="2"/>
          </rPr>
          <t>&lt;&lt;Not a Datappraise Field&gt;&gt;</t>
        </r>
      </text>
    </comment>
    <comment ref="CC30" authorId="1" shapeId="0" xr:uid="{00000000-0006-0000-0B00-000045000000}">
      <text>
        <r>
          <rPr>
            <b/>
            <sz val="9"/>
            <color indexed="81"/>
            <rFont val="Tahoma"/>
            <family val="2"/>
          </rPr>
          <t>&lt;&lt;Not a Datappraise Field&gt;&gt;</t>
        </r>
      </text>
    </comment>
    <comment ref="CD30" authorId="1" shapeId="0" xr:uid="{00000000-0006-0000-0B00-000046000000}">
      <text>
        <r>
          <rPr>
            <b/>
            <sz val="9"/>
            <color indexed="81"/>
            <rFont val="Tahoma"/>
            <family val="2"/>
          </rPr>
          <t>Sale ID</t>
        </r>
      </text>
    </comment>
    <comment ref="CE30" authorId="1" shapeId="0" xr:uid="{00000000-0006-0000-0B00-000047000000}">
      <text>
        <r>
          <rPr>
            <b/>
            <sz val="9"/>
            <color indexed="81"/>
            <rFont val="Tahoma"/>
            <family val="2"/>
          </rPr>
          <t>&lt;&lt;Upper Right Corner&gt;&gt;</t>
        </r>
      </text>
    </comment>
    <comment ref="BH37" authorId="1" shapeId="0" xr:uid="{00000000-0006-0000-0B00-000048000000}">
      <text>
        <r>
          <rPr>
            <b/>
            <sz val="9"/>
            <color indexed="81"/>
            <rFont val="Tahoma"/>
            <family val="2"/>
          </rPr>
          <t>&lt;&lt;Lower Left Corner&gt;&gt;</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Paul Gilliam</author>
    <author>Jason Bennett</author>
    <author>pgilliam@valbridge.com</author>
    <author>pgilliam</author>
  </authors>
  <commentList>
    <comment ref="D5" authorId="0" shapeId="0" xr:uid="{E34D09A9-94D8-4255-9A6B-7B121CA36227}">
      <text>
        <r>
          <rPr>
            <sz val="9"/>
            <color indexed="81"/>
            <rFont val="Tahoma"/>
            <family val="2"/>
          </rPr>
          <t>&lt;&lt;Land Sales&gt;&gt;&lt;&lt;Data Runs in Columns&gt;&gt;</t>
        </r>
      </text>
    </comment>
    <comment ref="H5" authorId="1" shapeId="0" xr:uid="{DAF0463D-8FAB-4025-AEF2-0FFDBF2777CC}">
      <text>
        <r>
          <rPr>
            <b/>
            <sz val="9"/>
            <color indexed="81"/>
            <rFont val="Tahoma"/>
            <family val="2"/>
          </rPr>
          <t>&lt;&lt;Upper Right Corner&gt;&gt;</t>
        </r>
      </text>
    </comment>
    <comment ref="D6" authorId="2" shapeId="0" xr:uid="{00000000-0006-0000-0C00-000003000000}">
      <text>
        <r>
          <rPr>
            <b/>
            <sz val="9"/>
            <color indexed="81"/>
            <rFont val="Tahoma"/>
            <family val="2"/>
          </rPr>
          <t>Sale ID</t>
        </r>
      </text>
    </comment>
    <comment ref="D7" authorId="2" shapeId="0" xr:uid="{00000000-0006-0000-0C00-000004000000}">
      <text>
        <r>
          <rPr>
            <b/>
            <sz val="9"/>
            <color indexed="81"/>
            <rFont val="Tahoma"/>
            <family val="2"/>
          </rPr>
          <t>Property Name</t>
        </r>
      </text>
    </comment>
    <comment ref="D8" authorId="2" shapeId="0" xr:uid="{00000000-0006-0000-0C00-000005000000}">
      <text>
        <r>
          <rPr>
            <b/>
            <sz val="9"/>
            <color indexed="81"/>
            <rFont val="Tahoma"/>
            <family val="2"/>
          </rPr>
          <t>Sale Status</t>
        </r>
      </text>
    </comment>
    <comment ref="D9" authorId="2" shapeId="0" xr:uid="{00000000-0006-0000-0C00-000006000000}">
      <text>
        <r>
          <rPr>
            <b/>
            <sz val="9"/>
            <color indexed="81"/>
            <rFont val="Tahoma"/>
            <family val="2"/>
          </rPr>
          <t>Address</t>
        </r>
      </text>
    </comment>
    <comment ref="D10" authorId="2" shapeId="0" xr:uid="{00000000-0006-0000-0C00-000007000000}">
      <text>
        <r>
          <rPr>
            <b/>
            <sz val="9"/>
            <color indexed="81"/>
            <rFont val="Tahoma"/>
            <family val="2"/>
          </rPr>
          <t>City State</t>
        </r>
      </text>
    </comment>
    <comment ref="D11" authorId="2" shapeId="0" xr:uid="{00000000-0006-0000-0C00-000008000000}">
      <text>
        <r>
          <rPr>
            <b/>
            <sz val="9"/>
            <color indexed="81"/>
            <rFont val="Tahoma"/>
            <family val="2"/>
          </rPr>
          <t>Tax Parcel Number</t>
        </r>
      </text>
    </comment>
    <comment ref="D14" authorId="2" shapeId="0" xr:uid="{00000000-0006-0000-0C00-000009000000}">
      <text>
        <r>
          <rPr>
            <b/>
            <sz val="9"/>
            <color indexed="81"/>
            <rFont val="Tahoma"/>
            <family val="2"/>
          </rPr>
          <t>Sale Date</t>
        </r>
      </text>
    </comment>
    <comment ref="D15" authorId="2" shapeId="0" xr:uid="{00000000-0006-0000-0C00-00000A000000}">
      <text>
        <r>
          <rPr>
            <b/>
            <sz val="9"/>
            <color indexed="81"/>
            <rFont val="Tahoma"/>
            <family val="2"/>
          </rPr>
          <t>Sale Price</t>
        </r>
      </text>
    </comment>
    <comment ref="D16" authorId="2" shapeId="0" xr:uid="{00000000-0006-0000-0C00-00000B000000}">
      <text>
        <r>
          <rPr>
            <b/>
            <sz val="9"/>
            <color indexed="81"/>
            <rFont val="Tahoma"/>
            <family val="2"/>
          </rPr>
          <t>&lt;&lt;Not a Datappraise Field&gt;&gt;</t>
        </r>
      </text>
    </comment>
    <comment ref="D17" authorId="2" shapeId="0" xr:uid="{00000000-0006-0000-0C00-00000C000000}">
      <text>
        <r>
          <rPr>
            <b/>
            <sz val="9"/>
            <color indexed="81"/>
            <rFont val="Tahoma"/>
            <family val="2"/>
          </rPr>
          <t>&lt;&lt;Not a Datappraise Field&gt;&gt;</t>
        </r>
      </text>
    </comment>
    <comment ref="D18" authorId="2" shapeId="0" xr:uid="{00000000-0006-0000-0C00-00000D000000}">
      <text>
        <r>
          <rPr>
            <b/>
            <sz val="9"/>
            <color indexed="81"/>
            <rFont val="Tahoma"/>
            <family val="2"/>
          </rPr>
          <t>&lt;&lt;Not a Datappraise Field&gt;&gt;</t>
        </r>
      </text>
    </comment>
    <comment ref="D19" authorId="2" shapeId="0" xr:uid="{00000000-0006-0000-0C00-00000E000000}">
      <text>
        <r>
          <rPr>
            <b/>
            <sz val="9"/>
            <color indexed="81"/>
            <rFont val="Tahoma"/>
            <family val="2"/>
          </rPr>
          <t>&lt;&lt;Not a Datappraise Field&gt;&gt;</t>
        </r>
      </text>
    </comment>
    <comment ref="D20" authorId="2" shapeId="0" xr:uid="{00000000-0006-0000-0C00-00000F000000}">
      <text>
        <r>
          <rPr>
            <b/>
            <sz val="9"/>
            <color indexed="81"/>
            <rFont val="Tahoma"/>
            <family val="2"/>
          </rPr>
          <t>&lt;&lt;Not a Datappraise Field&gt;&gt;</t>
        </r>
      </text>
    </comment>
    <comment ref="D21" authorId="2" shapeId="0" xr:uid="{00000000-0006-0000-0C00-000010000000}">
      <text>
        <r>
          <rPr>
            <b/>
            <sz val="9"/>
            <color indexed="81"/>
            <rFont val="Tahoma"/>
            <family val="2"/>
          </rPr>
          <t>&lt;&lt;Not a Datappraise Field&gt;&gt;</t>
        </r>
      </text>
    </comment>
    <comment ref="D22" authorId="2" shapeId="0" xr:uid="{00000000-0006-0000-0C00-000011000000}">
      <text>
        <r>
          <rPr>
            <b/>
            <sz val="9"/>
            <color indexed="81"/>
            <rFont val="Tahoma"/>
            <family val="2"/>
          </rPr>
          <t>&lt;&lt;Not a Datappraise Field&gt;&gt;</t>
        </r>
      </text>
    </comment>
    <comment ref="D23" authorId="2" shapeId="0" xr:uid="{00000000-0006-0000-0C00-000012000000}">
      <text>
        <r>
          <rPr>
            <b/>
            <sz val="9"/>
            <color indexed="81"/>
            <rFont val="Tahoma"/>
            <family val="2"/>
          </rPr>
          <t>&lt;&lt;Not a Datappraise Field&gt;&gt;</t>
        </r>
      </text>
    </comment>
    <comment ref="D24" authorId="2" shapeId="0" xr:uid="{00000000-0006-0000-0C00-000013000000}">
      <text>
        <r>
          <rPr>
            <b/>
            <sz val="9"/>
            <color indexed="81"/>
            <rFont val="Tahoma"/>
            <family val="2"/>
          </rPr>
          <t>Seller</t>
        </r>
      </text>
    </comment>
    <comment ref="D25" authorId="2" shapeId="0" xr:uid="{00000000-0006-0000-0C00-000014000000}">
      <text>
        <r>
          <rPr>
            <b/>
            <sz val="9"/>
            <color indexed="81"/>
            <rFont val="Tahoma"/>
            <family val="2"/>
          </rPr>
          <t>Buyer</t>
        </r>
      </text>
    </comment>
    <comment ref="D26" authorId="2" shapeId="0" xr:uid="{00000000-0006-0000-0C00-000015000000}">
      <text>
        <r>
          <rPr>
            <b/>
            <sz val="9"/>
            <color indexed="81"/>
            <rFont val="Tahoma"/>
            <family val="2"/>
          </rPr>
          <t>Recording Number</t>
        </r>
      </text>
    </comment>
    <comment ref="D27" authorId="2" shapeId="0" xr:uid="{00000000-0006-0000-0C00-000016000000}">
      <text>
        <r>
          <rPr>
            <b/>
            <sz val="9"/>
            <color indexed="81"/>
            <rFont val="Tahoma"/>
            <family val="2"/>
          </rPr>
          <t>Book/Page</t>
        </r>
      </text>
    </comment>
    <comment ref="D29" authorId="2" shapeId="0" xr:uid="{00000000-0006-0000-0C00-000017000000}">
      <text>
        <r>
          <rPr>
            <b/>
            <sz val="9"/>
            <color indexed="81"/>
            <rFont val="Tahoma"/>
            <family val="2"/>
          </rPr>
          <t>Property Rights Conveyed</t>
        </r>
      </text>
    </comment>
    <comment ref="D30" authorId="2" shapeId="0" xr:uid="{00000000-0006-0000-0C00-000018000000}">
      <text>
        <r>
          <rPr>
            <b/>
            <sz val="9"/>
            <color indexed="81"/>
            <rFont val="Tahoma"/>
            <family val="2"/>
          </rPr>
          <t>Financing Terms</t>
        </r>
      </text>
    </comment>
    <comment ref="D31" authorId="2" shapeId="0" xr:uid="{00000000-0006-0000-0C00-000019000000}">
      <text>
        <r>
          <rPr>
            <b/>
            <sz val="9"/>
            <color indexed="81"/>
            <rFont val="Tahoma"/>
            <family val="2"/>
          </rPr>
          <t>Conditions of Sale</t>
        </r>
      </text>
    </comment>
    <comment ref="D34" authorId="2" shapeId="0" xr:uid="{00000000-0006-0000-0C00-00001A000000}">
      <text>
        <r>
          <rPr>
            <b/>
            <sz val="9"/>
            <color indexed="81"/>
            <rFont val="Tahoma"/>
            <family val="2"/>
          </rPr>
          <t>Usable Land Area (SF)</t>
        </r>
      </text>
    </comment>
    <comment ref="D35" authorId="2" shapeId="0" xr:uid="{00000000-0006-0000-0C00-00001B000000}">
      <text>
        <r>
          <rPr>
            <b/>
            <sz val="9"/>
            <color indexed="81"/>
            <rFont val="Tahoma"/>
            <family val="2"/>
          </rPr>
          <t>Usable Land Acres</t>
        </r>
      </text>
    </comment>
    <comment ref="D36" authorId="2" shapeId="0" xr:uid="{00000000-0006-0000-0C00-00001C000000}">
      <text>
        <r>
          <rPr>
            <b/>
            <sz val="9"/>
            <color indexed="81"/>
            <rFont val="Tahoma"/>
            <family val="2"/>
          </rPr>
          <t>Land Sq Ft</t>
        </r>
      </text>
    </comment>
    <comment ref="D37" authorId="2" shapeId="0" xr:uid="{00000000-0006-0000-0C00-00001D000000}">
      <text>
        <r>
          <rPr>
            <b/>
            <sz val="9"/>
            <color indexed="81"/>
            <rFont val="Tahoma"/>
            <family val="2"/>
          </rPr>
          <t>Land Acres</t>
        </r>
      </text>
    </comment>
    <comment ref="D38" authorId="2" shapeId="0" xr:uid="{00000000-0006-0000-0C00-00001E000000}">
      <text>
        <r>
          <rPr>
            <b/>
            <sz val="9"/>
            <color indexed="81"/>
            <rFont val="Tahoma"/>
            <family val="2"/>
          </rPr>
          <t>GBA</t>
        </r>
      </text>
    </comment>
    <comment ref="D39" authorId="2" shapeId="0" xr:uid="{00000000-0006-0000-0C00-00001F000000}">
      <text>
        <r>
          <rPr>
            <b/>
            <sz val="9"/>
            <color indexed="81"/>
            <rFont val="Tahoma"/>
            <family val="2"/>
          </rPr>
          <t>Number of Lots</t>
        </r>
      </text>
    </comment>
    <comment ref="D40" authorId="2" shapeId="0" xr:uid="{00000000-0006-0000-0C00-000020000000}">
      <text>
        <r>
          <rPr>
            <b/>
            <sz val="9"/>
            <color indexed="81"/>
            <rFont val="Tahoma"/>
            <family val="2"/>
          </rPr>
          <t>Number of Units</t>
        </r>
      </text>
    </comment>
    <comment ref="D41" authorId="2" shapeId="0" xr:uid="{00000000-0006-0000-0C00-000021000000}">
      <text>
        <r>
          <rPr>
            <b/>
            <sz val="9"/>
            <color indexed="81"/>
            <rFont val="Tahoma"/>
            <family val="2"/>
          </rPr>
          <t>Zoning Code</t>
        </r>
      </text>
    </comment>
    <comment ref="D42" authorId="2" shapeId="0" xr:uid="{00000000-0006-0000-0C00-000022000000}">
      <text>
        <r>
          <rPr>
            <b/>
            <sz val="9"/>
            <color indexed="81"/>
            <rFont val="Tahoma"/>
            <family val="2"/>
          </rPr>
          <t>Flood Zone</t>
        </r>
      </text>
    </comment>
    <comment ref="D43" authorId="2" shapeId="0" xr:uid="{00000000-0006-0000-0C00-000023000000}">
      <text>
        <r>
          <rPr>
            <b/>
            <sz val="9"/>
            <color indexed="81"/>
            <rFont val="Tahoma"/>
            <family val="2"/>
          </rPr>
          <t>Flood Area %</t>
        </r>
      </text>
    </comment>
    <comment ref="D45" authorId="2" shapeId="0" xr:uid="{00000000-0006-0000-0C00-000024000000}">
      <text>
        <r>
          <rPr>
            <b/>
            <sz val="9"/>
            <color indexed="81"/>
            <rFont val="Tahoma"/>
            <family val="2"/>
          </rPr>
          <t>Topography</t>
        </r>
      </text>
    </comment>
    <comment ref="D46" authorId="2" shapeId="0" xr:uid="{00000000-0006-0000-0C00-000025000000}">
      <text>
        <r>
          <rPr>
            <b/>
            <sz val="9"/>
            <color indexed="81"/>
            <rFont val="Tahoma"/>
            <family val="2"/>
          </rPr>
          <t>Shape</t>
        </r>
      </text>
    </comment>
    <comment ref="D47" authorId="2" shapeId="0" xr:uid="{00000000-0006-0000-0C00-000026000000}">
      <text>
        <r>
          <rPr>
            <b/>
            <sz val="9"/>
            <color indexed="81"/>
            <rFont val="Tahoma"/>
            <family val="2"/>
          </rPr>
          <t>Utilities Description</t>
        </r>
      </text>
    </comment>
    <comment ref="D48" authorId="2" shapeId="0" xr:uid="{00000000-0006-0000-0C00-000027000000}">
      <text>
        <r>
          <rPr>
            <b/>
            <sz val="9"/>
            <color indexed="81"/>
            <rFont val="Tahoma"/>
            <family val="2"/>
          </rPr>
          <t>Rail?</t>
        </r>
      </text>
    </comment>
    <comment ref="D49" authorId="3" shapeId="0" xr:uid="{00000000-0006-0000-0C00-000028000000}">
      <text>
        <r>
          <rPr>
            <b/>
            <sz val="9"/>
            <color indexed="81"/>
            <rFont val="Tahoma"/>
            <family val="2"/>
          </rPr>
          <t>Parcel Type</t>
        </r>
      </text>
    </comment>
    <comment ref="D50" authorId="3" shapeId="0" xr:uid="{00000000-0006-0000-0C00-000029000000}">
      <text>
        <r>
          <rPr>
            <b/>
            <sz val="9"/>
            <color indexed="81"/>
            <rFont val="Tahoma"/>
            <family val="2"/>
          </rPr>
          <t>Traffic Count</t>
        </r>
      </text>
    </comment>
    <comment ref="D51" authorId="2" shapeId="0" xr:uid="{00000000-0006-0000-0C00-00002A000000}">
      <text>
        <r>
          <rPr>
            <b/>
            <sz val="9"/>
            <color indexed="81"/>
            <rFont val="Tahoma"/>
            <family val="2"/>
          </rPr>
          <t>Access</t>
        </r>
      </text>
    </comment>
    <comment ref="D52" authorId="2" shapeId="0" xr:uid="{00000000-0006-0000-0C00-00002B000000}">
      <text>
        <r>
          <rPr>
            <b/>
            <sz val="9"/>
            <color indexed="81"/>
            <rFont val="Tahoma"/>
            <family val="2"/>
          </rPr>
          <t>Visibility</t>
        </r>
      </text>
    </comment>
    <comment ref="D54" authorId="2" shapeId="0" xr:uid="{00000000-0006-0000-0C00-00002C000000}">
      <text>
        <r>
          <rPr>
            <b/>
            <sz val="9"/>
            <color indexed="81"/>
            <rFont val="Tahoma"/>
            <family val="2"/>
          </rPr>
          <t>Primary Frontage (Feet)</t>
        </r>
      </text>
    </comment>
    <comment ref="D55" authorId="2" shapeId="0" xr:uid="{00000000-0006-0000-0C00-00002D000000}">
      <text>
        <r>
          <rPr>
            <b/>
            <sz val="9"/>
            <color indexed="81"/>
            <rFont val="Tahoma"/>
            <family val="2"/>
          </rPr>
          <t>Primary Frontage Description</t>
        </r>
      </text>
    </comment>
    <comment ref="D57" authorId="2" shapeId="0" xr:uid="{00000000-0006-0000-0C00-00002E000000}">
      <text>
        <r>
          <rPr>
            <b/>
            <sz val="9"/>
            <color indexed="81"/>
            <rFont val="Tahoma"/>
            <family val="2"/>
          </rPr>
          <t>Secondary Frontage (Feet)</t>
        </r>
      </text>
    </comment>
    <comment ref="D58" authorId="2" shapeId="0" xr:uid="{00000000-0006-0000-0C00-00002F000000}">
      <text>
        <r>
          <rPr>
            <b/>
            <sz val="9"/>
            <color indexed="81"/>
            <rFont val="Tahoma"/>
            <family val="2"/>
          </rPr>
          <t>Secondary Frontage Desc</t>
        </r>
      </text>
    </comment>
    <comment ref="D60" authorId="2" shapeId="0" xr:uid="{00000000-0006-0000-0C00-000030000000}">
      <text>
        <r>
          <rPr>
            <b/>
            <sz val="9"/>
            <color indexed="81"/>
            <rFont val="Tahoma"/>
            <family val="2"/>
          </rPr>
          <t>Proposed Use</t>
        </r>
      </text>
    </comment>
    <comment ref="D62" authorId="2" shapeId="0" xr:uid="{00000000-0006-0000-0C00-000031000000}">
      <text>
        <r>
          <rPr>
            <b/>
            <sz val="9"/>
            <color indexed="81"/>
            <rFont val="Tahoma"/>
            <family val="2"/>
          </rPr>
          <t>&lt;&lt;Lower Left Corner&gt;&gt;</t>
        </r>
      </text>
    </comment>
    <comment ref="N66" authorId="3" shapeId="0" xr:uid="{00000000-0006-0000-0C00-000032000000}">
      <text>
        <r>
          <rPr>
            <b/>
            <sz val="9"/>
            <color indexed="81"/>
            <rFont val="Tahoma"/>
            <family val="2"/>
          </rPr>
          <t>&lt;&lt;Land Sales&gt;&gt;&lt;&lt;Data Runs in Columns&gt;&gt;&lt;&lt;Bucket 1&gt;&gt;</t>
        </r>
      </text>
    </comment>
    <comment ref="T66" authorId="2" shapeId="0" xr:uid="{00000000-0006-0000-0C00-000033000000}">
      <text>
        <r>
          <rPr>
            <b/>
            <sz val="9"/>
            <color indexed="81"/>
            <rFont val="Tahoma"/>
            <family val="2"/>
          </rPr>
          <t>&lt;&lt;Upper Right Corner&gt;&gt;</t>
        </r>
      </text>
    </comment>
    <comment ref="N67" authorId="2" shapeId="0" xr:uid="{00000000-0006-0000-0C00-000034000000}">
      <text>
        <r>
          <rPr>
            <b/>
            <sz val="9"/>
            <color indexed="81"/>
            <rFont val="Tahoma"/>
            <family val="2"/>
          </rPr>
          <t>Sale ID</t>
        </r>
      </text>
    </comment>
    <comment ref="N68" authorId="2" shapeId="0" xr:uid="{00000000-0006-0000-0C00-000035000000}">
      <text>
        <r>
          <rPr>
            <b/>
            <sz val="9"/>
            <color indexed="81"/>
            <rFont val="Tahoma"/>
            <family val="2"/>
          </rPr>
          <t>Property Name</t>
        </r>
      </text>
    </comment>
    <comment ref="N69" authorId="2" shapeId="0" xr:uid="{00000000-0006-0000-0C00-000036000000}">
      <text>
        <r>
          <rPr>
            <b/>
            <sz val="9"/>
            <color indexed="81"/>
            <rFont val="Tahoma"/>
            <family val="2"/>
          </rPr>
          <t>Sale Status</t>
        </r>
      </text>
    </comment>
    <comment ref="N70" authorId="2" shapeId="0" xr:uid="{00000000-0006-0000-0C00-000037000000}">
      <text>
        <r>
          <rPr>
            <b/>
            <sz val="9"/>
            <color indexed="81"/>
            <rFont val="Tahoma"/>
            <family val="2"/>
          </rPr>
          <t>Address</t>
        </r>
      </text>
    </comment>
    <comment ref="N71" authorId="2" shapeId="0" xr:uid="{00000000-0006-0000-0C00-000038000000}">
      <text>
        <r>
          <rPr>
            <b/>
            <sz val="9"/>
            <color indexed="81"/>
            <rFont val="Tahoma"/>
            <family val="2"/>
          </rPr>
          <t>City State</t>
        </r>
      </text>
    </comment>
    <comment ref="N72" authorId="2" shapeId="0" xr:uid="{00000000-0006-0000-0C00-000039000000}">
      <text>
        <r>
          <rPr>
            <b/>
            <sz val="9"/>
            <color indexed="81"/>
            <rFont val="Tahoma"/>
            <family val="2"/>
          </rPr>
          <t>Tax Parcel Number</t>
        </r>
      </text>
    </comment>
    <comment ref="N75" authorId="2" shapeId="0" xr:uid="{00000000-0006-0000-0C00-00003A000000}">
      <text>
        <r>
          <rPr>
            <b/>
            <sz val="9"/>
            <color indexed="81"/>
            <rFont val="Tahoma"/>
            <family val="2"/>
          </rPr>
          <t>Sale Date</t>
        </r>
      </text>
    </comment>
    <comment ref="N76" authorId="2" shapeId="0" xr:uid="{00000000-0006-0000-0C00-00003B000000}">
      <text>
        <r>
          <rPr>
            <b/>
            <sz val="9"/>
            <color indexed="81"/>
            <rFont val="Tahoma"/>
            <family val="2"/>
          </rPr>
          <t>Sale Price</t>
        </r>
      </text>
    </comment>
    <comment ref="N77" authorId="2" shapeId="0" xr:uid="{00000000-0006-0000-0C00-00003C000000}">
      <text>
        <r>
          <rPr>
            <b/>
            <sz val="9"/>
            <color indexed="81"/>
            <rFont val="Tahoma"/>
            <family val="2"/>
          </rPr>
          <t>&lt;&lt;Not a Datappraise Field&gt;&gt;</t>
        </r>
      </text>
    </comment>
    <comment ref="N78" authorId="2" shapeId="0" xr:uid="{00000000-0006-0000-0C00-00003D000000}">
      <text>
        <r>
          <rPr>
            <b/>
            <sz val="9"/>
            <color indexed="81"/>
            <rFont val="Tahoma"/>
            <family val="2"/>
          </rPr>
          <t>&lt;&lt;Not a Datappraise Field&gt;&gt;</t>
        </r>
      </text>
    </comment>
    <comment ref="N79" authorId="2" shapeId="0" xr:uid="{00000000-0006-0000-0C00-00003E000000}">
      <text>
        <r>
          <rPr>
            <b/>
            <sz val="9"/>
            <color indexed="81"/>
            <rFont val="Tahoma"/>
            <family val="2"/>
          </rPr>
          <t>&lt;&lt;Not a Datappraise Field&gt;&gt;</t>
        </r>
      </text>
    </comment>
    <comment ref="N80" authorId="2" shapeId="0" xr:uid="{00000000-0006-0000-0C00-00003F000000}">
      <text>
        <r>
          <rPr>
            <b/>
            <sz val="9"/>
            <color indexed="81"/>
            <rFont val="Tahoma"/>
            <family val="2"/>
          </rPr>
          <t>&lt;&lt;Not a Datappraise Field&gt;&gt;</t>
        </r>
      </text>
    </comment>
    <comment ref="N81" authorId="2" shapeId="0" xr:uid="{00000000-0006-0000-0C00-000040000000}">
      <text>
        <r>
          <rPr>
            <b/>
            <sz val="9"/>
            <color indexed="81"/>
            <rFont val="Tahoma"/>
            <family val="2"/>
          </rPr>
          <t>&lt;&lt;Not a Datappraise Field&gt;&gt;</t>
        </r>
      </text>
    </comment>
    <comment ref="N82" authorId="2" shapeId="0" xr:uid="{00000000-0006-0000-0C00-000041000000}">
      <text>
        <r>
          <rPr>
            <b/>
            <sz val="9"/>
            <color indexed="81"/>
            <rFont val="Tahoma"/>
            <family val="2"/>
          </rPr>
          <t>&lt;&lt;Not a Datappraise Field&gt;&gt;</t>
        </r>
      </text>
    </comment>
    <comment ref="N83" authorId="2" shapeId="0" xr:uid="{00000000-0006-0000-0C00-000042000000}">
      <text>
        <r>
          <rPr>
            <b/>
            <sz val="9"/>
            <color indexed="81"/>
            <rFont val="Tahoma"/>
            <family val="2"/>
          </rPr>
          <t>&lt;&lt;Not a Datappraise Field&gt;&gt;</t>
        </r>
      </text>
    </comment>
    <comment ref="N84" authorId="2" shapeId="0" xr:uid="{00000000-0006-0000-0C00-000043000000}">
      <text>
        <r>
          <rPr>
            <b/>
            <sz val="9"/>
            <color indexed="81"/>
            <rFont val="Tahoma"/>
            <family val="2"/>
          </rPr>
          <t>&lt;&lt;Not a Datappraise Field&gt;&gt;</t>
        </r>
      </text>
    </comment>
    <comment ref="N85" authorId="2" shapeId="0" xr:uid="{00000000-0006-0000-0C00-000044000000}">
      <text>
        <r>
          <rPr>
            <b/>
            <sz val="9"/>
            <color indexed="81"/>
            <rFont val="Tahoma"/>
            <family val="2"/>
          </rPr>
          <t>Seller</t>
        </r>
      </text>
    </comment>
    <comment ref="N86" authorId="2" shapeId="0" xr:uid="{00000000-0006-0000-0C00-000045000000}">
      <text>
        <r>
          <rPr>
            <b/>
            <sz val="9"/>
            <color indexed="81"/>
            <rFont val="Tahoma"/>
            <family val="2"/>
          </rPr>
          <t>Buyer</t>
        </r>
      </text>
    </comment>
    <comment ref="N87" authorId="2" shapeId="0" xr:uid="{00000000-0006-0000-0C00-000046000000}">
      <text>
        <r>
          <rPr>
            <b/>
            <sz val="9"/>
            <color indexed="81"/>
            <rFont val="Tahoma"/>
            <family val="2"/>
          </rPr>
          <t>Recording Number</t>
        </r>
      </text>
    </comment>
    <comment ref="N88" authorId="2" shapeId="0" xr:uid="{00000000-0006-0000-0C00-000047000000}">
      <text>
        <r>
          <rPr>
            <b/>
            <sz val="9"/>
            <color indexed="81"/>
            <rFont val="Tahoma"/>
            <family val="2"/>
          </rPr>
          <t>Book/Page</t>
        </r>
      </text>
    </comment>
    <comment ref="N90" authorId="2" shapeId="0" xr:uid="{00000000-0006-0000-0C00-000048000000}">
      <text>
        <r>
          <rPr>
            <b/>
            <sz val="9"/>
            <color indexed="81"/>
            <rFont val="Tahoma"/>
            <family val="2"/>
          </rPr>
          <t>Property Rights Conveyed</t>
        </r>
      </text>
    </comment>
    <comment ref="N91" authorId="2" shapeId="0" xr:uid="{00000000-0006-0000-0C00-000049000000}">
      <text>
        <r>
          <rPr>
            <b/>
            <sz val="9"/>
            <color indexed="81"/>
            <rFont val="Tahoma"/>
            <family val="2"/>
          </rPr>
          <t>Financing Terms</t>
        </r>
      </text>
    </comment>
    <comment ref="N92" authorId="2" shapeId="0" xr:uid="{00000000-0006-0000-0C00-00004A000000}">
      <text>
        <r>
          <rPr>
            <b/>
            <sz val="9"/>
            <color indexed="81"/>
            <rFont val="Tahoma"/>
            <family val="2"/>
          </rPr>
          <t>Conditions of Sale</t>
        </r>
      </text>
    </comment>
    <comment ref="N95" authorId="2" shapeId="0" xr:uid="{00000000-0006-0000-0C00-00004B000000}">
      <text>
        <r>
          <rPr>
            <b/>
            <sz val="9"/>
            <color indexed="81"/>
            <rFont val="Tahoma"/>
            <family val="2"/>
          </rPr>
          <t>Usable Land Area (SF)</t>
        </r>
      </text>
    </comment>
    <comment ref="N96" authorId="2" shapeId="0" xr:uid="{00000000-0006-0000-0C00-00004C000000}">
      <text>
        <r>
          <rPr>
            <b/>
            <sz val="9"/>
            <color indexed="81"/>
            <rFont val="Tahoma"/>
            <family val="2"/>
          </rPr>
          <t>Usable Land Acres</t>
        </r>
      </text>
    </comment>
    <comment ref="N97" authorId="2" shapeId="0" xr:uid="{00000000-0006-0000-0C00-00004D000000}">
      <text>
        <r>
          <rPr>
            <b/>
            <sz val="9"/>
            <color indexed="81"/>
            <rFont val="Tahoma"/>
            <family val="2"/>
          </rPr>
          <t>Land Sq Ft</t>
        </r>
      </text>
    </comment>
    <comment ref="N98" authorId="2" shapeId="0" xr:uid="{00000000-0006-0000-0C00-00004E000000}">
      <text>
        <r>
          <rPr>
            <b/>
            <sz val="9"/>
            <color indexed="81"/>
            <rFont val="Tahoma"/>
            <family val="2"/>
          </rPr>
          <t>Land Acres</t>
        </r>
      </text>
    </comment>
    <comment ref="N99" authorId="2" shapeId="0" xr:uid="{00000000-0006-0000-0C00-00004F000000}">
      <text>
        <r>
          <rPr>
            <b/>
            <sz val="9"/>
            <color indexed="81"/>
            <rFont val="Tahoma"/>
            <family val="2"/>
          </rPr>
          <t>GBA</t>
        </r>
      </text>
    </comment>
    <comment ref="N100" authorId="2" shapeId="0" xr:uid="{00000000-0006-0000-0C00-000050000000}">
      <text>
        <r>
          <rPr>
            <b/>
            <sz val="9"/>
            <color indexed="81"/>
            <rFont val="Tahoma"/>
            <family val="2"/>
          </rPr>
          <t>Number of Lots</t>
        </r>
      </text>
    </comment>
    <comment ref="N101" authorId="2" shapeId="0" xr:uid="{00000000-0006-0000-0C00-000051000000}">
      <text>
        <r>
          <rPr>
            <b/>
            <sz val="9"/>
            <color indexed="81"/>
            <rFont val="Tahoma"/>
            <family val="2"/>
          </rPr>
          <t>Number of Units</t>
        </r>
      </text>
    </comment>
    <comment ref="N102" authorId="2" shapeId="0" xr:uid="{00000000-0006-0000-0C00-000052000000}">
      <text>
        <r>
          <rPr>
            <b/>
            <sz val="9"/>
            <color indexed="81"/>
            <rFont val="Tahoma"/>
            <family val="2"/>
          </rPr>
          <t>Zoning Code</t>
        </r>
      </text>
    </comment>
    <comment ref="N103" authorId="2" shapeId="0" xr:uid="{00000000-0006-0000-0C00-000053000000}">
      <text>
        <r>
          <rPr>
            <b/>
            <sz val="9"/>
            <color indexed="81"/>
            <rFont val="Tahoma"/>
            <family val="2"/>
          </rPr>
          <t>Flood Zone</t>
        </r>
      </text>
    </comment>
    <comment ref="N104" authorId="2" shapeId="0" xr:uid="{00000000-0006-0000-0C00-000054000000}">
      <text>
        <r>
          <rPr>
            <b/>
            <sz val="9"/>
            <color indexed="81"/>
            <rFont val="Tahoma"/>
            <family val="2"/>
          </rPr>
          <t>Flood Area %</t>
        </r>
      </text>
    </comment>
    <comment ref="N106" authorId="2" shapeId="0" xr:uid="{00000000-0006-0000-0C00-000055000000}">
      <text>
        <r>
          <rPr>
            <b/>
            <sz val="9"/>
            <color indexed="81"/>
            <rFont val="Tahoma"/>
            <family val="2"/>
          </rPr>
          <t>Topography</t>
        </r>
      </text>
    </comment>
    <comment ref="N107" authorId="2" shapeId="0" xr:uid="{00000000-0006-0000-0C00-000056000000}">
      <text>
        <r>
          <rPr>
            <b/>
            <sz val="9"/>
            <color indexed="81"/>
            <rFont val="Tahoma"/>
            <family val="2"/>
          </rPr>
          <t>Shape</t>
        </r>
      </text>
    </comment>
    <comment ref="N108" authorId="2" shapeId="0" xr:uid="{00000000-0006-0000-0C00-000057000000}">
      <text>
        <r>
          <rPr>
            <b/>
            <sz val="9"/>
            <color indexed="81"/>
            <rFont val="Tahoma"/>
            <family val="2"/>
          </rPr>
          <t>Utilities Description</t>
        </r>
      </text>
    </comment>
    <comment ref="N109" authorId="2" shapeId="0" xr:uid="{00000000-0006-0000-0C00-000058000000}">
      <text>
        <r>
          <rPr>
            <b/>
            <sz val="9"/>
            <color indexed="81"/>
            <rFont val="Tahoma"/>
            <family val="2"/>
          </rPr>
          <t>Rail?</t>
        </r>
      </text>
    </comment>
    <comment ref="N110" authorId="3" shapeId="0" xr:uid="{00000000-0006-0000-0C00-000059000000}">
      <text>
        <r>
          <rPr>
            <b/>
            <sz val="9"/>
            <color indexed="81"/>
            <rFont val="Tahoma"/>
            <family val="2"/>
          </rPr>
          <t>Parcel Type</t>
        </r>
      </text>
    </comment>
    <comment ref="N111" authorId="3" shapeId="0" xr:uid="{00000000-0006-0000-0C00-00005A000000}">
      <text>
        <r>
          <rPr>
            <b/>
            <sz val="9"/>
            <color indexed="81"/>
            <rFont val="Tahoma"/>
            <family val="2"/>
          </rPr>
          <t>Traffic Count</t>
        </r>
      </text>
    </comment>
    <comment ref="N112" authorId="2" shapeId="0" xr:uid="{00000000-0006-0000-0C00-00005B000000}">
      <text>
        <r>
          <rPr>
            <b/>
            <sz val="9"/>
            <color indexed="81"/>
            <rFont val="Tahoma"/>
            <family val="2"/>
          </rPr>
          <t>Access</t>
        </r>
      </text>
    </comment>
    <comment ref="N113" authorId="2" shapeId="0" xr:uid="{00000000-0006-0000-0C00-00005C000000}">
      <text>
        <r>
          <rPr>
            <b/>
            <sz val="9"/>
            <color indexed="81"/>
            <rFont val="Tahoma"/>
            <family val="2"/>
          </rPr>
          <t>Visibility</t>
        </r>
      </text>
    </comment>
    <comment ref="N115" authorId="2" shapeId="0" xr:uid="{00000000-0006-0000-0C00-00005D000000}">
      <text>
        <r>
          <rPr>
            <b/>
            <sz val="9"/>
            <color indexed="81"/>
            <rFont val="Tahoma"/>
            <family val="2"/>
          </rPr>
          <t>Primary Frontage (Feet)</t>
        </r>
      </text>
    </comment>
    <comment ref="N116" authorId="2" shapeId="0" xr:uid="{00000000-0006-0000-0C00-00005E000000}">
      <text>
        <r>
          <rPr>
            <b/>
            <sz val="9"/>
            <color indexed="81"/>
            <rFont val="Tahoma"/>
            <family val="2"/>
          </rPr>
          <t>Primary Frontage Description</t>
        </r>
      </text>
    </comment>
    <comment ref="N118" authorId="2" shapeId="0" xr:uid="{00000000-0006-0000-0C00-00005F000000}">
      <text>
        <r>
          <rPr>
            <b/>
            <sz val="9"/>
            <color indexed="81"/>
            <rFont val="Tahoma"/>
            <family val="2"/>
          </rPr>
          <t>Secondary Frontage (Feet)</t>
        </r>
      </text>
    </comment>
    <comment ref="N119" authorId="2" shapeId="0" xr:uid="{00000000-0006-0000-0C00-000060000000}">
      <text>
        <r>
          <rPr>
            <b/>
            <sz val="9"/>
            <color indexed="81"/>
            <rFont val="Tahoma"/>
            <family val="2"/>
          </rPr>
          <t>Secondary Frontage Desc</t>
        </r>
      </text>
    </comment>
    <comment ref="N121" authorId="2" shapeId="0" xr:uid="{00000000-0006-0000-0C00-000061000000}">
      <text>
        <r>
          <rPr>
            <b/>
            <sz val="9"/>
            <color indexed="81"/>
            <rFont val="Tahoma"/>
            <family val="2"/>
          </rPr>
          <t>Proposed Use</t>
        </r>
      </text>
    </comment>
    <comment ref="N123" authorId="2" shapeId="0" xr:uid="{00000000-0006-0000-0C00-000062000000}">
      <text>
        <r>
          <rPr>
            <b/>
            <sz val="9"/>
            <color indexed="81"/>
            <rFont val="Tahoma"/>
            <family val="2"/>
          </rPr>
          <t>&lt;&lt;Lower Left Corner&gt;&gt;</t>
        </r>
      </text>
    </comment>
    <comment ref="Z127" authorId="3" shapeId="0" xr:uid="{00000000-0006-0000-0C00-000063000000}">
      <text>
        <r>
          <rPr>
            <b/>
            <sz val="9"/>
            <color indexed="81"/>
            <rFont val="Tahoma"/>
            <family val="2"/>
          </rPr>
          <t>&lt;&lt;Land Sales&gt;&gt;&lt;&lt;Data Runs in Columns&gt;&gt;&lt;&lt;Bucket 2&gt;&gt;</t>
        </r>
      </text>
    </comment>
    <comment ref="AF127" authorId="2" shapeId="0" xr:uid="{00000000-0006-0000-0C00-000064000000}">
      <text>
        <r>
          <rPr>
            <b/>
            <sz val="9"/>
            <color indexed="81"/>
            <rFont val="Tahoma"/>
            <family val="2"/>
          </rPr>
          <t>&lt;&lt;Upper Right Corner&gt;&gt;</t>
        </r>
      </text>
    </comment>
    <comment ref="Z128" authorId="2" shapeId="0" xr:uid="{00000000-0006-0000-0C00-000065000000}">
      <text>
        <r>
          <rPr>
            <b/>
            <sz val="9"/>
            <color indexed="81"/>
            <rFont val="Tahoma"/>
            <family val="2"/>
          </rPr>
          <t>Sale ID</t>
        </r>
      </text>
    </comment>
    <comment ref="Z129" authorId="2" shapeId="0" xr:uid="{00000000-0006-0000-0C00-000066000000}">
      <text>
        <r>
          <rPr>
            <b/>
            <sz val="9"/>
            <color indexed="81"/>
            <rFont val="Tahoma"/>
            <family val="2"/>
          </rPr>
          <t>Property Name</t>
        </r>
      </text>
    </comment>
    <comment ref="Z130" authorId="2" shapeId="0" xr:uid="{00000000-0006-0000-0C00-000067000000}">
      <text>
        <r>
          <rPr>
            <b/>
            <sz val="9"/>
            <color indexed="81"/>
            <rFont val="Tahoma"/>
            <family val="2"/>
          </rPr>
          <t>Sale Status</t>
        </r>
      </text>
    </comment>
    <comment ref="Z131" authorId="2" shapeId="0" xr:uid="{00000000-0006-0000-0C00-000068000000}">
      <text>
        <r>
          <rPr>
            <b/>
            <sz val="9"/>
            <color indexed="81"/>
            <rFont val="Tahoma"/>
            <family val="2"/>
          </rPr>
          <t>Address</t>
        </r>
      </text>
    </comment>
    <comment ref="Z132" authorId="2" shapeId="0" xr:uid="{00000000-0006-0000-0C00-000069000000}">
      <text>
        <r>
          <rPr>
            <b/>
            <sz val="9"/>
            <color indexed="81"/>
            <rFont val="Tahoma"/>
            <family val="2"/>
          </rPr>
          <t>City State</t>
        </r>
      </text>
    </comment>
    <comment ref="Z133" authorId="2" shapeId="0" xr:uid="{00000000-0006-0000-0C00-00006A000000}">
      <text>
        <r>
          <rPr>
            <b/>
            <sz val="9"/>
            <color indexed="81"/>
            <rFont val="Tahoma"/>
            <family val="2"/>
          </rPr>
          <t>Tax Parcel Number</t>
        </r>
      </text>
    </comment>
    <comment ref="Z136" authorId="2" shapeId="0" xr:uid="{00000000-0006-0000-0C00-00006B000000}">
      <text>
        <r>
          <rPr>
            <b/>
            <sz val="9"/>
            <color indexed="81"/>
            <rFont val="Tahoma"/>
            <family val="2"/>
          </rPr>
          <t>Sale Date</t>
        </r>
      </text>
    </comment>
    <comment ref="Z137" authorId="2" shapeId="0" xr:uid="{00000000-0006-0000-0C00-00006C000000}">
      <text>
        <r>
          <rPr>
            <b/>
            <sz val="9"/>
            <color indexed="81"/>
            <rFont val="Tahoma"/>
            <family val="2"/>
          </rPr>
          <t>Sale Price</t>
        </r>
      </text>
    </comment>
    <comment ref="Z138" authorId="2" shapeId="0" xr:uid="{00000000-0006-0000-0C00-00006D000000}">
      <text>
        <r>
          <rPr>
            <b/>
            <sz val="9"/>
            <color indexed="81"/>
            <rFont val="Tahoma"/>
            <family val="2"/>
          </rPr>
          <t>&lt;&lt;Not a Datappraise Field&gt;&gt;</t>
        </r>
      </text>
    </comment>
    <comment ref="Z139" authorId="2" shapeId="0" xr:uid="{00000000-0006-0000-0C00-00006E000000}">
      <text>
        <r>
          <rPr>
            <b/>
            <sz val="9"/>
            <color indexed="81"/>
            <rFont val="Tahoma"/>
            <family val="2"/>
          </rPr>
          <t>&lt;&lt;Not a Datappraise Field&gt;&gt;</t>
        </r>
      </text>
    </comment>
    <comment ref="Z140" authorId="2" shapeId="0" xr:uid="{00000000-0006-0000-0C00-00006F000000}">
      <text>
        <r>
          <rPr>
            <b/>
            <sz val="9"/>
            <color indexed="81"/>
            <rFont val="Tahoma"/>
            <family val="2"/>
          </rPr>
          <t>&lt;&lt;Not a Datappraise Field&gt;&gt;</t>
        </r>
      </text>
    </comment>
    <comment ref="Z141" authorId="2" shapeId="0" xr:uid="{00000000-0006-0000-0C00-000070000000}">
      <text>
        <r>
          <rPr>
            <b/>
            <sz val="9"/>
            <color indexed="81"/>
            <rFont val="Tahoma"/>
            <family val="2"/>
          </rPr>
          <t>&lt;&lt;Not a Datappraise Field&gt;&gt;</t>
        </r>
      </text>
    </comment>
    <comment ref="Z142" authorId="2" shapeId="0" xr:uid="{00000000-0006-0000-0C00-000071000000}">
      <text>
        <r>
          <rPr>
            <b/>
            <sz val="9"/>
            <color indexed="81"/>
            <rFont val="Tahoma"/>
            <family val="2"/>
          </rPr>
          <t>&lt;&lt;Not a Datappraise Field&gt;&gt;</t>
        </r>
      </text>
    </comment>
    <comment ref="Z143" authorId="2" shapeId="0" xr:uid="{00000000-0006-0000-0C00-000072000000}">
      <text>
        <r>
          <rPr>
            <b/>
            <sz val="9"/>
            <color indexed="81"/>
            <rFont val="Tahoma"/>
            <family val="2"/>
          </rPr>
          <t>&lt;&lt;Not a Datappraise Field&gt;&gt;</t>
        </r>
      </text>
    </comment>
    <comment ref="Z144" authorId="2" shapeId="0" xr:uid="{00000000-0006-0000-0C00-000073000000}">
      <text>
        <r>
          <rPr>
            <b/>
            <sz val="9"/>
            <color indexed="81"/>
            <rFont val="Tahoma"/>
            <family val="2"/>
          </rPr>
          <t>&lt;&lt;Not a Datappraise Field&gt;&gt;</t>
        </r>
      </text>
    </comment>
    <comment ref="Z145" authorId="2" shapeId="0" xr:uid="{00000000-0006-0000-0C00-000074000000}">
      <text>
        <r>
          <rPr>
            <b/>
            <sz val="9"/>
            <color indexed="81"/>
            <rFont val="Tahoma"/>
            <family val="2"/>
          </rPr>
          <t>&lt;&lt;Not a Datappraise Field&gt;&gt;</t>
        </r>
      </text>
    </comment>
    <comment ref="Z146" authorId="2" shapeId="0" xr:uid="{00000000-0006-0000-0C00-000075000000}">
      <text>
        <r>
          <rPr>
            <b/>
            <sz val="9"/>
            <color indexed="81"/>
            <rFont val="Tahoma"/>
            <family val="2"/>
          </rPr>
          <t>Seller</t>
        </r>
      </text>
    </comment>
    <comment ref="Z147" authorId="2" shapeId="0" xr:uid="{00000000-0006-0000-0C00-000076000000}">
      <text>
        <r>
          <rPr>
            <b/>
            <sz val="9"/>
            <color indexed="81"/>
            <rFont val="Tahoma"/>
            <family val="2"/>
          </rPr>
          <t>Buyer</t>
        </r>
      </text>
    </comment>
    <comment ref="Z148" authorId="2" shapeId="0" xr:uid="{00000000-0006-0000-0C00-000077000000}">
      <text>
        <r>
          <rPr>
            <b/>
            <sz val="9"/>
            <color indexed="81"/>
            <rFont val="Tahoma"/>
            <family val="2"/>
          </rPr>
          <t>Recording Number</t>
        </r>
      </text>
    </comment>
    <comment ref="Z149" authorId="2" shapeId="0" xr:uid="{00000000-0006-0000-0C00-000078000000}">
      <text>
        <r>
          <rPr>
            <b/>
            <sz val="9"/>
            <color indexed="81"/>
            <rFont val="Tahoma"/>
            <family val="2"/>
          </rPr>
          <t>Book/Page</t>
        </r>
      </text>
    </comment>
    <comment ref="Z151" authorId="2" shapeId="0" xr:uid="{00000000-0006-0000-0C00-000079000000}">
      <text>
        <r>
          <rPr>
            <b/>
            <sz val="9"/>
            <color indexed="81"/>
            <rFont val="Tahoma"/>
            <family val="2"/>
          </rPr>
          <t>Property Rights Conveyed</t>
        </r>
      </text>
    </comment>
    <comment ref="Z152" authorId="2" shapeId="0" xr:uid="{00000000-0006-0000-0C00-00007A000000}">
      <text>
        <r>
          <rPr>
            <b/>
            <sz val="9"/>
            <color indexed="81"/>
            <rFont val="Tahoma"/>
            <family val="2"/>
          </rPr>
          <t>Financing Terms</t>
        </r>
      </text>
    </comment>
    <comment ref="Z153" authorId="2" shapeId="0" xr:uid="{00000000-0006-0000-0C00-00007B000000}">
      <text>
        <r>
          <rPr>
            <b/>
            <sz val="9"/>
            <color indexed="81"/>
            <rFont val="Tahoma"/>
            <family val="2"/>
          </rPr>
          <t>Conditions of Sale</t>
        </r>
      </text>
    </comment>
    <comment ref="Z156" authorId="2" shapeId="0" xr:uid="{00000000-0006-0000-0C00-00007C000000}">
      <text>
        <r>
          <rPr>
            <b/>
            <sz val="9"/>
            <color indexed="81"/>
            <rFont val="Tahoma"/>
            <family val="2"/>
          </rPr>
          <t>Usable Land Area (SF)</t>
        </r>
      </text>
    </comment>
    <comment ref="Z157" authorId="2" shapeId="0" xr:uid="{00000000-0006-0000-0C00-00007D000000}">
      <text>
        <r>
          <rPr>
            <b/>
            <sz val="9"/>
            <color indexed="81"/>
            <rFont val="Tahoma"/>
            <family val="2"/>
          </rPr>
          <t>Usable Land Acres</t>
        </r>
      </text>
    </comment>
    <comment ref="Z158" authorId="2" shapeId="0" xr:uid="{00000000-0006-0000-0C00-00007E000000}">
      <text>
        <r>
          <rPr>
            <b/>
            <sz val="9"/>
            <color indexed="81"/>
            <rFont val="Tahoma"/>
            <family val="2"/>
          </rPr>
          <t>Land Sq Ft</t>
        </r>
      </text>
    </comment>
    <comment ref="Z159" authorId="2" shapeId="0" xr:uid="{00000000-0006-0000-0C00-00007F000000}">
      <text>
        <r>
          <rPr>
            <b/>
            <sz val="9"/>
            <color indexed="81"/>
            <rFont val="Tahoma"/>
            <family val="2"/>
          </rPr>
          <t>Land Acres</t>
        </r>
      </text>
    </comment>
    <comment ref="Z160" authorId="2" shapeId="0" xr:uid="{00000000-0006-0000-0C00-000080000000}">
      <text>
        <r>
          <rPr>
            <b/>
            <sz val="9"/>
            <color indexed="81"/>
            <rFont val="Tahoma"/>
            <family val="2"/>
          </rPr>
          <t>GBA</t>
        </r>
      </text>
    </comment>
    <comment ref="Z161" authorId="2" shapeId="0" xr:uid="{00000000-0006-0000-0C00-000081000000}">
      <text>
        <r>
          <rPr>
            <b/>
            <sz val="9"/>
            <color indexed="81"/>
            <rFont val="Tahoma"/>
            <family val="2"/>
          </rPr>
          <t>Number of Lots</t>
        </r>
      </text>
    </comment>
    <comment ref="Z162" authorId="2" shapeId="0" xr:uid="{00000000-0006-0000-0C00-000082000000}">
      <text>
        <r>
          <rPr>
            <b/>
            <sz val="9"/>
            <color indexed="81"/>
            <rFont val="Tahoma"/>
            <family val="2"/>
          </rPr>
          <t>Number of Units</t>
        </r>
      </text>
    </comment>
    <comment ref="Z163" authorId="2" shapeId="0" xr:uid="{00000000-0006-0000-0C00-000083000000}">
      <text>
        <r>
          <rPr>
            <b/>
            <sz val="9"/>
            <color indexed="81"/>
            <rFont val="Tahoma"/>
            <family val="2"/>
          </rPr>
          <t>Zoning Code</t>
        </r>
      </text>
    </comment>
    <comment ref="Z164" authorId="2" shapeId="0" xr:uid="{00000000-0006-0000-0C00-000084000000}">
      <text>
        <r>
          <rPr>
            <b/>
            <sz val="9"/>
            <color indexed="81"/>
            <rFont val="Tahoma"/>
            <family val="2"/>
          </rPr>
          <t>Flood Zone</t>
        </r>
      </text>
    </comment>
    <comment ref="Z165" authorId="2" shapeId="0" xr:uid="{00000000-0006-0000-0C00-000085000000}">
      <text>
        <r>
          <rPr>
            <b/>
            <sz val="9"/>
            <color indexed="81"/>
            <rFont val="Tahoma"/>
            <family val="2"/>
          </rPr>
          <t>Flood Area %</t>
        </r>
      </text>
    </comment>
    <comment ref="Z167" authorId="2" shapeId="0" xr:uid="{00000000-0006-0000-0C00-000086000000}">
      <text>
        <r>
          <rPr>
            <b/>
            <sz val="9"/>
            <color indexed="81"/>
            <rFont val="Tahoma"/>
            <family val="2"/>
          </rPr>
          <t>Topography</t>
        </r>
      </text>
    </comment>
    <comment ref="Z168" authorId="2" shapeId="0" xr:uid="{00000000-0006-0000-0C00-000087000000}">
      <text>
        <r>
          <rPr>
            <b/>
            <sz val="9"/>
            <color indexed="81"/>
            <rFont val="Tahoma"/>
            <family val="2"/>
          </rPr>
          <t>Shape</t>
        </r>
      </text>
    </comment>
    <comment ref="Z169" authorId="2" shapeId="0" xr:uid="{00000000-0006-0000-0C00-000088000000}">
      <text>
        <r>
          <rPr>
            <b/>
            <sz val="9"/>
            <color indexed="81"/>
            <rFont val="Tahoma"/>
            <family val="2"/>
          </rPr>
          <t>Utilities Description</t>
        </r>
      </text>
    </comment>
    <comment ref="Z170" authorId="2" shapeId="0" xr:uid="{00000000-0006-0000-0C00-000089000000}">
      <text>
        <r>
          <rPr>
            <b/>
            <sz val="9"/>
            <color indexed="81"/>
            <rFont val="Tahoma"/>
            <family val="2"/>
          </rPr>
          <t>Rail?</t>
        </r>
      </text>
    </comment>
    <comment ref="Z171" authorId="3" shapeId="0" xr:uid="{00000000-0006-0000-0C00-00008A000000}">
      <text>
        <r>
          <rPr>
            <b/>
            <sz val="9"/>
            <color indexed="81"/>
            <rFont val="Tahoma"/>
            <family val="2"/>
          </rPr>
          <t>Parcel Type</t>
        </r>
      </text>
    </comment>
    <comment ref="Z172" authorId="3" shapeId="0" xr:uid="{00000000-0006-0000-0C00-00008B000000}">
      <text>
        <r>
          <rPr>
            <b/>
            <sz val="9"/>
            <color indexed="81"/>
            <rFont val="Tahoma"/>
            <family val="2"/>
          </rPr>
          <t>Traffic Count</t>
        </r>
      </text>
    </comment>
    <comment ref="Z173" authorId="2" shapeId="0" xr:uid="{00000000-0006-0000-0C00-00008C000000}">
      <text>
        <r>
          <rPr>
            <b/>
            <sz val="9"/>
            <color indexed="81"/>
            <rFont val="Tahoma"/>
            <family val="2"/>
          </rPr>
          <t>Access</t>
        </r>
      </text>
    </comment>
    <comment ref="Z174" authorId="2" shapeId="0" xr:uid="{00000000-0006-0000-0C00-00008D000000}">
      <text>
        <r>
          <rPr>
            <b/>
            <sz val="9"/>
            <color indexed="81"/>
            <rFont val="Tahoma"/>
            <family val="2"/>
          </rPr>
          <t>Visibility</t>
        </r>
      </text>
    </comment>
    <comment ref="Z176" authorId="2" shapeId="0" xr:uid="{00000000-0006-0000-0C00-00008E000000}">
      <text>
        <r>
          <rPr>
            <b/>
            <sz val="9"/>
            <color indexed="81"/>
            <rFont val="Tahoma"/>
            <family val="2"/>
          </rPr>
          <t>Primary Frontage (Feet)</t>
        </r>
      </text>
    </comment>
    <comment ref="Z177" authorId="2" shapeId="0" xr:uid="{00000000-0006-0000-0C00-00008F000000}">
      <text>
        <r>
          <rPr>
            <b/>
            <sz val="9"/>
            <color indexed="81"/>
            <rFont val="Tahoma"/>
            <family val="2"/>
          </rPr>
          <t>Primary Frontage Description</t>
        </r>
      </text>
    </comment>
    <comment ref="Z179" authorId="2" shapeId="0" xr:uid="{00000000-0006-0000-0C00-000090000000}">
      <text>
        <r>
          <rPr>
            <b/>
            <sz val="9"/>
            <color indexed="81"/>
            <rFont val="Tahoma"/>
            <family val="2"/>
          </rPr>
          <t>Secondary Frontage (Feet)</t>
        </r>
      </text>
    </comment>
    <comment ref="Z180" authorId="2" shapeId="0" xr:uid="{00000000-0006-0000-0C00-000091000000}">
      <text>
        <r>
          <rPr>
            <b/>
            <sz val="9"/>
            <color indexed="81"/>
            <rFont val="Tahoma"/>
            <family val="2"/>
          </rPr>
          <t>Secondary Frontage Desc</t>
        </r>
      </text>
    </comment>
    <comment ref="Z182" authorId="2" shapeId="0" xr:uid="{00000000-0006-0000-0C00-000092000000}">
      <text>
        <r>
          <rPr>
            <b/>
            <sz val="9"/>
            <color indexed="81"/>
            <rFont val="Tahoma"/>
            <family val="2"/>
          </rPr>
          <t>Proposed Use</t>
        </r>
      </text>
    </comment>
    <comment ref="Z184" authorId="2" shapeId="0" xr:uid="{00000000-0006-0000-0C00-000093000000}">
      <text>
        <r>
          <rPr>
            <b/>
            <sz val="9"/>
            <color indexed="81"/>
            <rFont val="Tahoma"/>
            <family val="2"/>
          </rPr>
          <t>&lt;&lt;Lower Left Corner&gt;&gt;</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pgilliam@valbridge.com</author>
    <author>Jason Bennett</author>
  </authors>
  <commentList>
    <comment ref="E6" authorId="0" shapeId="0" xr:uid="{00000000-0006-0000-0D00-000001000000}">
      <text>
        <r>
          <rPr>
            <b/>
            <sz val="9"/>
            <color indexed="81"/>
            <rFont val="Tahoma"/>
            <family val="2"/>
          </rPr>
          <t>&lt;&lt;Land Sales&gt;&gt;&lt;&lt;Data Runs in Columns&gt;&gt;</t>
        </r>
      </text>
    </comment>
    <comment ref="I6" authorId="1" shapeId="0" xr:uid="{41D37545-C4DC-4D95-A73F-8BF05FAF1C79}">
      <text>
        <r>
          <rPr>
            <b/>
            <sz val="9"/>
            <color indexed="81"/>
            <rFont val="Tahoma"/>
            <family val="2"/>
          </rPr>
          <t>&lt;&lt;Upper Right Corner&gt;&gt;</t>
        </r>
      </text>
    </comment>
    <comment ref="E9" authorId="0" shapeId="0" xr:uid="{00000000-0006-0000-0D00-000003000000}">
      <text>
        <r>
          <rPr>
            <b/>
            <sz val="9"/>
            <color indexed="81"/>
            <rFont val="Tahoma"/>
            <family val="2"/>
          </rPr>
          <t>Sale ID</t>
        </r>
      </text>
    </comment>
    <comment ref="E10" authorId="0" shapeId="0" xr:uid="{00000000-0006-0000-0D00-000004000000}">
      <text>
        <r>
          <rPr>
            <b/>
            <sz val="9"/>
            <color indexed="81"/>
            <rFont val="Tahoma"/>
            <family val="2"/>
          </rPr>
          <t>Sale Date</t>
        </r>
      </text>
    </comment>
    <comment ref="E11" authorId="0" shapeId="0" xr:uid="{00000000-0006-0000-0D00-000005000000}">
      <text>
        <r>
          <rPr>
            <b/>
            <sz val="9"/>
            <color indexed="81"/>
            <rFont val="Tahoma"/>
            <family val="2"/>
          </rPr>
          <t>Property Name</t>
        </r>
      </text>
    </comment>
    <comment ref="E14" authorId="0" shapeId="0" xr:uid="{00000000-0006-0000-0D00-000006000000}">
      <text>
        <r>
          <rPr>
            <b/>
            <sz val="9"/>
            <color indexed="81"/>
            <rFont val="Tahoma"/>
            <family val="2"/>
          </rPr>
          <t>Sale Price</t>
        </r>
      </text>
    </comment>
    <comment ref="E15" authorId="0" shapeId="0" xr:uid="{00000000-0006-0000-0D00-000007000000}">
      <text>
        <r>
          <rPr>
            <sz val="9"/>
            <color indexed="81"/>
            <rFont val="Tahoma"/>
            <family val="2"/>
          </rPr>
          <t>Usable Land Acres</t>
        </r>
      </text>
    </comment>
    <comment ref="E16" authorId="0" shapeId="0" xr:uid="{00000000-0006-0000-0D00-000008000000}">
      <text>
        <r>
          <rPr>
            <sz val="9"/>
            <color indexed="81"/>
            <rFont val="Tahoma"/>
            <family val="2"/>
          </rPr>
          <t>Usable Land Area (SF)</t>
        </r>
      </text>
    </comment>
    <comment ref="E17" authorId="0" shapeId="0" xr:uid="{00000000-0006-0000-0D00-000009000000}">
      <text>
        <r>
          <rPr>
            <b/>
            <sz val="9"/>
            <color indexed="81"/>
            <rFont val="Tahoma"/>
            <family val="2"/>
          </rPr>
          <t>Land Acres</t>
        </r>
      </text>
    </comment>
    <comment ref="E18" authorId="0" shapeId="0" xr:uid="{00000000-0006-0000-0D00-00000A000000}">
      <text>
        <r>
          <rPr>
            <b/>
            <sz val="9"/>
            <color indexed="81"/>
            <rFont val="Tahoma"/>
            <family val="2"/>
          </rPr>
          <t>Land Sq Ft</t>
        </r>
      </text>
    </comment>
    <comment ref="E19" authorId="0" shapeId="0" xr:uid="{00000000-0006-0000-0D00-00000B000000}">
      <text>
        <r>
          <rPr>
            <b/>
            <sz val="9"/>
            <color indexed="81"/>
            <rFont val="Tahoma"/>
            <family val="2"/>
          </rPr>
          <t>Primary Frontage (Feet)</t>
        </r>
      </text>
    </comment>
    <comment ref="E20" authorId="0" shapeId="0" xr:uid="{00000000-0006-0000-0D00-00000C000000}">
      <text>
        <r>
          <rPr>
            <b/>
            <sz val="9"/>
            <color indexed="81"/>
            <rFont val="Tahoma"/>
            <family val="2"/>
          </rPr>
          <t>GBA</t>
        </r>
      </text>
    </comment>
    <comment ref="E21" authorId="0" shapeId="0" xr:uid="{00000000-0006-0000-0D00-00000D000000}">
      <text>
        <r>
          <rPr>
            <b/>
            <sz val="9"/>
            <color indexed="81"/>
            <rFont val="Tahoma"/>
            <family val="2"/>
          </rPr>
          <t>Number of Lots</t>
        </r>
      </text>
    </comment>
    <comment ref="E22" authorId="0" shapeId="0" xr:uid="{00000000-0006-0000-0D00-00000E000000}">
      <text>
        <r>
          <rPr>
            <b/>
            <sz val="9"/>
            <color indexed="81"/>
            <rFont val="Tahoma"/>
            <family val="2"/>
          </rPr>
          <t>Number of Units</t>
        </r>
      </text>
    </comment>
    <comment ref="E33" authorId="0" shapeId="0" xr:uid="{00000000-0006-0000-0D00-00000F000000}">
      <text>
        <r>
          <rPr>
            <b/>
            <sz val="9"/>
            <color indexed="81"/>
            <rFont val="Tahoma"/>
            <family val="2"/>
          </rPr>
          <t>Property Rights Conveyed</t>
        </r>
      </text>
    </comment>
    <comment ref="E40" authorId="0" shapeId="0" xr:uid="{00000000-0006-0000-0D00-000010000000}">
      <text>
        <r>
          <rPr>
            <b/>
            <sz val="9"/>
            <color indexed="81"/>
            <rFont val="Tahoma"/>
            <family val="2"/>
          </rPr>
          <t>Financing Terms</t>
        </r>
      </text>
    </comment>
    <comment ref="E43" authorId="0" shapeId="0" xr:uid="{00000000-0006-0000-0D00-000011000000}">
      <text>
        <r>
          <rPr>
            <b/>
            <sz val="9"/>
            <color indexed="81"/>
            <rFont val="Tahoma"/>
            <family val="2"/>
          </rPr>
          <t>Financing Terms Adj $</t>
        </r>
      </text>
    </comment>
    <comment ref="E47" authorId="0" shapeId="0" xr:uid="{00000000-0006-0000-0D00-000012000000}">
      <text>
        <r>
          <rPr>
            <b/>
            <sz val="9"/>
            <color indexed="81"/>
            <rFont val="Tahoma"/>
            <family val="2"/>
          </rPr>
          <t>Conditions of Sale</t>
        </r>
      </text>
    </comment>
    <comment ref="E50" authorId="0" shapeId="0" xr:uid="{00000000-0006-0000-0D00-000013000000}">
      <text>
        <r>
          <rPr>
            <b/>
            <sz val="9"/>
            <color indexed="81"/>
            <rFont val="Tahoma"/>
            <family val="2"/>
          </rPr>
          <t>Conditions of Sale Adj $</t>
        </r>
      </text>
    </comment>
    <comment ref="E54" authorId="0" shapeId="0" xr:uid="{00000000-0006-0000-0D00-000014000000}">
      <text>
        <r>
          <rPr>
            <b/>
            <sz val="9"/>
            <color indexed="81"/>
            <rFont val="Tahoma"/>
            <family val="2"/>
          </rPr>
          <t>Expenditures After Purchase $</t>
        </r>
      </text>
    </comment>
    <comment ref="E65" authorId="0" shapeId="0" xr:uid="{00000000-0006-0000-0D00-000015000000}">
      <text>
        <r>
          <rPr>
            <b/>
            <sz val="9"/>
            <color indexed="81"/>
            <rFont val="Tahoma"/>
            <family val="2"/>
          </rPr>
          <t>Address</t>
        </r>
      </text>
    </comment>
    <comment ref="E66" authorId="0" shapeId="0" xr:uid="{00000000-0006-0000-0D00-000016000000}">
      <text>
        <r>
          <rPr>
            <b/>
            <sz val="9"/>
            <color indexed="81"/>
            <rFont val="Tahoma"/>
            <family val="2"/>
          </rPr>
          <t>City State</t>
        </r>
      </text>
    </comment>
    <comment ref="E79" authorId="0" shapeId="0" xr:uid="{00000000-0006-0000-0D00-000017000000}">
      <text>
        <r>
          <rPr>
            <b/>
            <sz val="9"/>
            <color indexed="81"/>
            <rFont val="Tahoma"/>
            <family val="2"/>
          </rPr>
          <t>Shape</t>
        </r>
      </text>
    </comment>
    <comment ref="E85" authorId="0" shapeId="0" xr:uid="{00000000-0006-0000-0D00-000018000000}">
      <text>
        <r>
          <rPr>
            <b/>
            <sz val="9"/>
            <color indexed="81"/>
            <rFont val="Tahoma"/>
            <family val="2"/>
          </rPr>
          <t>Parcel Type</t>
        </r>
      </text>
    </comment>
    <comment ref="E92" authorId="0" shapeId="0" xr:uid="{00000000-0006-0000-0D00-000019000000}">
      <text>
        <r>
          <rPr>
            <b/>
            <sz val="9"/>
            <color indexed="81"/>
            <rFont val="Tahoma"/>
            <family val="2"/>
          </rPr>
          <t>Primary Frontage (Feet)</t>
        </r>
      </text>
    </comment>
    <comment ref="E93" authorId="0" shapeId="0" xr:uid="{00000000-0006-0000-0D00-00001A000000}">
      <text>
        <r>
          <rPr>
            <b/>
            <sz val="9"/>
            <color indexed="81"/>
            <rFont val="Tahoma"/>
            <family val="2"/>
          </rPr>
          <t>Secondary Frontage (Feet)</t>
        </r>
      </text>
    </comment>
    <comment ref="E99" authorId="0" shapeId="0" xr:uid="{00000000-0006-0000-0D00-00001B000000}">
      <text>
        <r>
          <rPr>
            <b/>
            <sz val="9"/>
            <color indexed="81"/>
            <rFont val="Tahoma"/>
            <family val="2"/>
          </rPr>
          <t>Utilities Description</t>
        </r>
      </text>
    </comment>
    <comment ref="E105" authorId="0" shapeId="0" xr:uid="{00000000-0006-0000-0D00-00001C000000}">
      <text>
        <r>
          <rPr>
            <b/>
            <sz val="9"/>
            <color indexed="81"/>
            <rFont val="Tahoma"/>
            <family val="2"/>
          </rPr>
          <t>Topography</t>
        </r>
      </text>
    </comment>
    <comment ref="E111" authorId="0" shapeId="0" xr:uid="{00000000-0006-0000-0D00-00001D000000}">
      <text>
        <r>
          <rPr>
            <b/>
            <sz val="9"/>
            <color indexed="81"/>
            <rFont val="Tahoma"/>
            <family val="2"/>
          </rPr>
          <t>Flood Zone</t>
        </r>
      </text>
    </comment>
    <comment ref="E117" authorId="0" shapeId="0" xr:uid="{00000000-0006-0000-0D00-00001E000000}">
      <text>
        <r>
          <rPr>
            <b/>
            <sz val="9"/>
            <color indexed="81"/>
            <rFont val="Tahoma"/>
            <family val="2"/>
          </rPr>
          <t>Zoning Code</t>
        </r>
      </text>
    </comment>
    <comment ref="E123" authorId="0" shapeId="0" xr:uid="{00000000-0006-0000-0D00-00001F000000}">
      <text>
        <r>
          <rPr>
            <b/>
            <sz val="9"/>
            <color indexed="81"/>
            <rFont val="Tahoma"/>
            <family val="2"/>
          </rPr>
          <t>Traffic Count</t>
        </r>
      </text>
    </comment>
    <comment ref="D129" authorId="0" shapeId="0" xr:uid="{00000000-0006-0000-0D00-000020000000}">
      <text>
        <r>
          <rPr>
            <b/>
            <sz val="9"/>
            <color indexed="81"/>
            <rFont val="Tahoma"/>
            <family val="2"/>
          </rPr>
          <t>User may:
1. Add Datappraise Insert Field in Cell E128
2. Manually type comment for each comprable
3. Leave Blank</t>
        </r>
      </text>
    </comment>
    <comment ref="D135" authorId="0" shapeId="0" xr:uid="{00000000-0006-0000-0D00-000021000000}">
      <text>
        <r>
          <rPr>
            <b/>
            <sz val="9"/>
            <color indexed="81"/>
            <rFont val="Tahoma"/>
            <family val="2"/>
          </rPr>
          <t>User may:
1. Add Datappraise Insert Field in Cell E134
2. Manually type comment for each comprable
3. Leave Blank</t>
        </r>
      </text>
    </comment>
    <comment ref="E140" authorId="0" shapeId="0" xr:uid="{00000000-0006-0000-0D00-000022000000}">
      <text>
        <r>
          <rPr>
            <b/>
            <sz val="9"/>
            <color indexed="81"/>
            <rFont val="Tahoma"/>
            <family val="2"/>
          </rPr>
          <t>&lt;&lt;Lower Left Corner&gt;&gt;</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Paul Gilliam</author>
  </authors>
  <commentList>
    <comment ref="D5" authorId="0" shapeId="0" xr:uid="{A9D84946-C4E2-495B-BF3C-6B312E0D5DAC}">
      <text>
        <r>
          <rPr>
            <b/>
            <sz val="9"/>
            <color indexed="81"/>
            <rFont val="Tahoma"/>
            <family val="2"/>
          </rPr>
          <t>&lt;&lt;Costs&gt;&gt;&lt;&lt;Comps Every Other&gt;&gt;</t>
        </r>
      </text>
    </comment>
    <comment ref="G5" authorId="0" shapeId="0" xr:uid="{F26A56ED-AEC9-4A90-92E4-9533B165DB32}">
      <text>
        <r>
          <rPr>
            <b/>
            <sz val="9"/>
            <color indexed="81"/>
            <rFont val="Tahoma"/>
            <family val="2"/>
          </rPr>
          <t>&lt;&lt;Upper Right Corner&gt;&gt;</t>
        </r>
      </text>
    </comment>
    <comment ref="D6" authorId="0" shapeId="0" xr:uid="{D6D4A15D-8665-4B46-8A63-1FB8242BD8C1}">
      <text>
        <r>
          <rPr>
            <b/>
            <sz val="9"/>
            <color indexed="81"/>
            <rFont val="Tahoma"/>
            <family val="2"/>
          </rPr>
          <t>Cost ID</t>
        </r>
      </text>
    </comment>
    <comment ref="D7" authorId="0" shapeId="0" xr:uid="{E9F9172D-78A5-4EDA-A2B0-E774556CBA30}">
      <text>
        <r>
          <rPr>
            <b/>
            <sz val="9"/>
            <color indexed="81"/>
            <rFont val="Tahoma"/>
            <family val="2"/>
          </rPr>
          <t>City State</t>
        </r>
      </text>
    </comment>
    <comment ref="D8" authorId="0" shapeId="0" xr:uid="{8DE6848B-9CA7-4716-85C5-1A83235481D2}">
      <text>
        <r>
          <rPr>
            <b/>
            <sz val="9"/>
            <color indexed="81"/>
            <rFont val="Tahoma"/>
            <family val="2"/>
          </rPr>
          <t>Property Sub Type</t>
        </r>
      </text>
    </comment>
    <comment ref="D9" authorId="0" shapeId="0" xr:uid="{566688A7-F19A-4738-AA8B-20F4A637A667}">
      <text>
        <r>
          <rPr>
            <b/>
            <sz val="9"/>
            <color indexed="81"/>
            <rFont val="Tahoma"/>
            <family val="2"/>
          </rPr>
          <t>Construction Quality</t>
        </r>
      </text>
    </comment>
    <comment ref="D10" authorId="0" shapeId="0" xr:uid="{88AD6053-ECCF-4BB4-A475-63804FA39C57}">
      <text>
        <r>
          <rPr>
            <b/>
            <sz val="9"/>
            <color indexed="81"/>
            <rFont val="Tahoma"/>
            <family val="2"/>
          </rPr>
          <t>GBA</t>
        </r>
      </text>
    </comment>
    <comment ref="D12" authorId="0" shapeId="0" xr:uid="{1D1958C2-8837-4DF1-8F70-D075E445E4D8}">
      <text>
        <r>
          <rPr>
            <b/>
            <sz val="9"/>
            <color indexed="81"/>
            <rFont val="Tahoma"/>
            <family val="2"/>
          </rPr>
          <t>Cost Date</t>
        </r>
      </text>
    </comment>
    <comment ref="D14" authorId="0" shapeId="0" xr:uid="{48C73A61-0214-4E4E-8EF8-A3C52B320DB5}">
      <text>
        <r>
          <rPr>
            <b/>
            <sz val="9"/>
            <color indexed="81"/>
            <rFont val="Tahoma"/>
            <family val="2"/>
          </rPr>
          <t>Cost Total Hard Costs Per SF</t>
        </r>
      </text>
    </comment>
    <comment ref="D15" authorId="0" shapeId="0" xr:uid="{0352CEEE-824D-4214-AC8B-E8ACCD7A9FF4}">
      <text>
        <r>
          <rPr>
            <b/>
            <sz val="9"/>
            <color indexed="81"/>
            <rFont val="Tahoma"/>
            <family val="2"/>
          </rPr>
          <t>Cost Total Soft Costs Per SF</t>
        </r>
      </text>
    </comment>
    <comment ref="D17" authorId="0" shapeId="0" xr:uid="{67E0FE06-4DB5-4BE0-AC68-CF6755D87848}">
      <text>
        <r>
          <rPr>
            <b/>
            <sz val="9"/>
            <color indexed="81"/>
            <rFont val="Tahoma"/>
            <family val="2"/>
          </rPr>
          <t>Cost Total Costs Per SF</t>
        </r>
      </text>
    </comment>
    <comment ref="D18" authorId="0" shapeId="0" xr:uid="{FEC36E97-7022-4605-9D9D-B26A2A6E75A0}">
      <text>
        <r>
          <rPr>
            <b/>
            <sz val="9"/>
            <color indexed="81"/>
            <rFont val="Tahoma"/>
            <family val="2"/>
          </rPr>
          <t>&lt;&lt;Lower Left Corner&gt;&gt;</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pgilliam</author>
    <author>pgilliam@valbridge.com</author>
  </authors>
  <commentList>
    <comment ref="E5" authorId="0" shapeId="0" xr:uid="{00000000-0006-0000-1000-000001000000}">
      <text>
        <r>
          <rPr>
            <b/>
            <sz val="9"/>
            <color indexed="81"/>
            <rFont val="Tahoma"/>
            <family val="2"/>
          </rPr>
          <t>&lt;&lt;Improved Sales&gt;&gt;&lt;&lt;Data Runs in Columns&gt;&gt;</t>
        </r>
      </text>
    </comment>
    <comment ref="I5" authorId="0" shapeId="0" xr:uid="{00000000-0006-0000-1000-000002000000}">
      <text>
        <r>
          <rPr>
            <b/>
            <sz val="9"/>
            <color indexed="81"/>
            <rFont val="Tahoma"/>
            <family val="2"/>
          </rPr>
          <t>&lt;&lt;Upper Right Corner&gt;&gt;</t>
        </r>
      </text>
    </comment>
    <comment ref="E6" authorId="0" shapeId="0" xr:uid="{00000000-0006-0000-1000-000003000000}">
      <text>
        <r>
          <rPr>
            <b/>
            <sz val="9"/>
            <color indexed="81"/>
            <rFont val="Tahoma"/>
            <family val="2"/>
          </rPr>
          <t>Property Name</t>
        </r>
      </text>
    </comment>
    <comment ref="E7" authorId="0" shapeId="0" xr:uid="{00000000-0006-0000-1000-000004000000}">
      <text>
        <r>
          <rPr>
            <b/>
            <sz val="9"/>
            <color indexed="81"/>
            <rFont val="Tahoma"/>
            <family val="2"/>
          </rPr>
          <t>GBA</t>
        </r>
      </text>
    </comment>
    <comment ref="E9" authorId="1" shapeId="0" xr:uid="{00000000-0006-0000-1000-000005000000}">
      <text>
        <r>
          <rPr>
            <b/>
            <sz val="9"/>
            <color indexed="81"/>
            <rFont val="Tahoma"/>
            <family val="2"/>
          </rPr>
          <t>Construction Quality</t>
        </r>
      </text>
    </comment>
    <comment ref="E10" authorId="1" shapeId="0" xr:uid="{00000000-0006-0000-1000-000006000000}">
      <text>
        <r>
          <rPr>
            <b/>
            <sz val="9"/>
            <color indexed="81"/>
            <rFont val="Tahoma"/>
            <family val="2"/>
          </rPr>
          <t>Construction Class</t>
        </r>
      </text>
    </comment>
    <comment ref="E11" authorId="0" shapeId="0" xr:uid="{00000000-0006-0000-1000-000007000000}">
      <text>
        <r>
          <rPr>
            <b/>
            <sz val="9"/>
            <color indexed="81"/>
            <rFont val="Tahoma"/>
            <family val="2"/>
          </rPr>
          <t>Sale Date</t>
        </r>
      </text>
    </comment>
    <comment ref="E12" authorId="0" shapeId="0" xr:uid="{00000000-0006-0000-1000-000008000000}">
      <text>
        <r>
          <rPr>
            <b/>
            <sz val="9"/>
            <color indexed="81"/>
            <rFont val="Tahoma"/>
            <family val="2"/>
          </rPr>
          <t>Adjusted Sale Price</t>
        </r>
      </text>
    </comment>
    <comment ref="E14" authorId="0" shapeId="0" xr:uid="{00000000-0006-0000-1000-000009000000}">
      <text>
        <r>
          <rPr>
            <b/>
            <sz val="9"/>
            <color indexed="81"/>
            <rFont val="Tahoma"/>
            <family val="2"/>
          </rPr>
          <t>Usable Land Acres</t>
        </r>
      </text>
    </comment>
    <comment ref="E15" authorId="0" shapeId="0" xr:uid="{00000000-0006-0000-1000-00000A000000}">
      <text>
        <r>
          <rPr>
            <b/>
            <sz val="9"/>
            <color indexed="81"/>
            <rFont val="Tahoma"/>
            <family val="2"/>
          </rPr>
          <t>Contributory Value of Land</t>
        </r>
      </text>
    </comment>
    <comment ref="E16" authorId="0" shapeId="0" xr:uid="{00000000-0006-0000-1000-00000B000000}">
      <text>
        <r>
          <rPr>
            <b/>
            <sz val="9"/>
            <color indexed="81"/>
            <rFont val="Tahoma"/>
            <family val="2"/>
          </rPr>
          <t>&lt;&lt;Not a Datappraise Field&gt;&gt;</t>
        </r>
      </text>
    </comment>
    <comment ref="E18" authorId="0" shapeId="0" xr:uid="{00000000-0006-0000-1000-00000C000000}">
      <text>
        <r>
          <rPr>
            <b/>
            <sz val="9"/>
            <color indexed="81"/>
            <rFont val="Tahoma"/>
            <family val="2"/>
          </rPr>
          <t>Replacement Cost New</t>
        </r>
      </text>
    </comment>
    <comment ref="E23" authorId="0" shapeId="0" xr:uid="{00000000-0006-0000-1000-00000D000000}">
      <text>
        <r>
          <rPr>
            <b/>
            <sz val="9"/>
            <color indexed="81"/>
            <rFont val="Tahoma"/>
            <family val="2"/>
          </rPr>
          <t>Effective Age at Sale</t>
        </r>
      </text>
    </comment>
    <comment ref="E24" authorId="0" shapeId="0" xr:uid="{00000000-0006-0000-1000-00000E000000}">
      <text>
        <r>
          <rPr>
            <b/>
            <sz val="9"/>
            <color indexed="81"/>
            <rFont val="Tahoma"/>
            <family val="2"/>
          </rPr>
          <t>&lt;&lt;Lower Left Corner&gt;&gt;</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1100-000001000000}">
      <text>
        <r>
          <rPr>
            <b/>
            <sz val="9"/>
            <color indexed="81"/>
            <rFont val="Tahoma"/>
            <family val="2"/>
          </rPr>
          <t>&lt;&lt;Not a Datappraise Worksheet&gt;&gt;</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1200-000001000000}">
      <text>
        <r>
          <rPr>
            <b/>
            <sz val="9"/>
            <color indexed="81"/>
            <rFont val="Tahoma"/>
            <family val="2"/>
          </rPr>
          <t>&lt;&lt;Not a Datappraise Worksheet&gt;&gt;</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1300-000001000000}">
      <text>
        <r>
          <rPr>
            <b/>
            <sz val="9"/>
            <color indexed="81"/>
            <rFont val="Tahoma"/>
            <family val="2"/>
          </rPr>
          <t>&lt;&lt;Not a Datappraise Worksheet&gt;&gt;</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pgilliam</author>
    <author>pgilliam@valbridge.com</author>
  </authors>
  <commentList>
    <comment ref="E6" authorId="0" shapeId="0" xr:uid="{00000000-0006-0000-1400-000001000000}">
      <text>
        <r>
          <rPr>
            <b/>
            <sz val="9"/>
            <color indexed="81"/>
            <rFont val="Tahoma"/>
            <family val="2"/>
          </rPr>
          <t>&lt;&lt;Land Sales&gt;&gt;&lt;&lt;Data Runs in Columns&gt;&gt;&lt;&lt;Bucket 1&gt;&gt;</t>
        </r>
      </text>
    </comment>
    <comment ref="K6" authorId="1" shapeId="0" xr:uid="{00000000-0006-0000-1400-000002000000}">
      <text>
        <r>
          <rPr>
            <b/>
            <sz val="9"/>
            <color indexed="81"/>
            <rFont val="Tahoma"/>
            <family val="2"/>
          </rPr>
          <t>&lt;&lt;Upper Right Corner&gt;&gt;</t>
        </r>
      </text>
    </comment>
    <comment ref="E9" authorId="1" shapeId="0" xr:uid="{00000000-0006-0000-1400-000003000000}">
      <text>
        <r>
          <rPr>
            <b/>
            <sz val="9"/>
            <color indexed="81"/>
            <rFont val="Tahoma"/>
            <family val="2"/>
          </rPr>
          <t>Sale ID</t>
        </r>
      </text>
    </comment>
    <comment ref="E10" authorId="1" shapeId="0" xr:uid="{00000000-0006-0000-1400-000004000000}">
      <text>
        <r>
          <rPr>
            <b/>
            <sz val="9"/>
            <color indexed="81"/>
            <rFont val="Tahoma"/>
            <family val="2"/>
          </rPr>
          <t>Sale Date</t>
        </r>
      </text>
    </comment>
    <comment ref="E11" authorId="1" shapeId="0" xr:uid="{00000000-0006-0000-1400-000005000000}">
      <text>
        <r>
          <rPr>
            <b/>
            <sz val="9"/>
            <color indexed="81"/>
            <rFont val="Tahoma"/>
            <family val="2"/>
          </rPr>
          <t>Property Name</t>
        </r>
      </text>
    </comment>
    <comment ref="E14" authorId="1" shapeId="0" xr:uid="{00000000-0006-0000-1400-000006000000}">
      <text>
        <r>
          <rPr>
            <b/>
            <sz val="9"/>
            <color indexed="81"/>
            <rFont val="Tahoma"/>
            <family val="2"/>
          </rPr>
          <t>Sale Price</t>
        </r>
      </text>
    </comment>
    <comment ref="E15" authorId="1" shapeId="0" xr:uid="{00000000-0006-0000-1400-000007000000}">
      <text>
        <r>
          <rPr>
            <sz val="9"/>
            <color indexed="81"/>
            <rFont val="Tahoma"/>
            <family val="2"/>
          </rPr>
          <t>Usable Land Acres</t>
        </r>
      </text>
    </comment>
    <comment ref="E16" authorId="1" shapeId="0" xr:uid="{00000000-0006-0000-1400-000008000000}">
      <text>
        <r>
          <rPr>
            <sz val="9"/>
            <color indexed="81"/>
            <rFont val="Tahoma"/>
            <family val="2"/>
          </rPr>
          <t>Usable Land Area (SF)</t>
        </r>
      </text>
    </comment>
    <comment ref="E17" authorId="1" shapeId="0" xr:uid="{00000000-0006-0000-1400-000009000000}">
      <text>
        <r>
          <rPr>
            <b/>
            <sz val="9"/>
            <color indexed="81"/>
            <rFont val="Tahoma"/>
            <family val="2"/>
          </rPr>
          <t>Land Acres</t>
        </r>
      </text>
    </comment>
    <comment ref="E18" authorId="1" shapeId="0" xr:uid="{00000000-0006-0000-1400-00000A000000}">
      <text>
        <r>
          <rPr>
            <b/>
            <sz val="9"/>
            <color indexed="81"/>
            <rFont val="Tahoma"/>
            <family val="2"/>
          </rPr>
          <t>Land Sq Ft</t>
        </r>
      </text>
    </comment>
    <comment ref="E19" authorId="1" shapeId="0" xr:uid="{00000000-0006-0000-1400-00000B000000}">
      <text>
        <r>
          <rPr>
            <b/>
            <sz val="9"/>
            <color indexed="81"/>
            <rFont val="Tahoma"/>
            <family val="2"/>
          </rPr>
          <t>Primary Frontage (Feet)</t>
        </r>
      </text>
    </comment>
    <comment ref="E20" authorId="1" shapeId="0" xr:uid="{00000000-0006-0000-1400-00000C000000}">
      <text>
        <r>
          <rPr>
            <b/>
            <sz val="9"/>
            <color indexed="81"/>
            <rFont val="Tahoma"/>
            <family val="2"/>
          </rPr>
          <t>GBA</t>
        </r>
      </text>
    </comment>
    <comment ref="E21" authorId="1" shapeId="0" xr:uid="{00000000-0006-0000-1400-00000D000000}">
      <text>
        <r>
          <rPr>
            <b/>
            <sz val="9"/>
            <color indexed="81"/>
            <rFont val="Tahoma"/>
            <family val="2"/>
          </rPr>
          <t>Number of Lots</t>
        </r>
      </text>
    </comment>
    <comment ref="E22" authorId="1" shapeId="0" xr:uid="{00000000-0006-0000-1400-00000E000000}">
      <text>
        <r>
          <rPr>
            <b/>
            <sz val="9"/>
            <color indexed="81"/>
            <rFont val="Tahoma"/>
            <family val="2"/>
          </rPr>
          <t>Number of Units</t>
        </r>
      </text>
    </comment>
    <comment ref="E33" authorId="1" shapeId="0" xr:uid="{00000000-0006-0000-1400-00000F000000}">
      <text>
        <r>
          <rPr>
            <b/>
            <sz val="9"/>
            <color indexed="81"/>
            <rFont val="Tahoma"/>
            <family val="2"/>
          </rPr>
          <t>Property Rights Conveyed</t>
        </r>
      </text>
    </comment>
    <comment ref="E40" authorId="1" shapeId="0" xr:uid="{00000000-0006-0000-1400-000010000000}">
      <text>
        <r>
          <rPr>
            <b/>
            <sz val="9"/>
            <color indexed="81"/>
            <rFont val="Tahoma"/>
            <family val="2"/>
          </rPr>
          <t>Financing Terms</t>
        </r>
      </text>
    </comment>
    <comment ref="E43" authorId="1" shapeId="0" xr:uid="{00000000-0006-0000-1400-000011000000}">
      <text>
        <r>
          <rPr>
            <b/>
            <sz val="9"/>
            <color indexed="81"/>
            <rFont val="Tahoma"/>
            <family val="2"/>
          </rPr>
          <t>Financing Terms Adj $</t>
        </r>
      </text>
    </comment>
    <comment ref="E47" authorId="1" shapeId="0" xr:uid="{00000000-0006-0000-1400-000012000000}">
      <text>
        <r>
          <rPr>
            <b/>
            <sz val="9"/>
            <color indexed="81"/>
            <rFont val="Tahoma"/>
            <family val="2"/>
          </rPr>
          <t>Conditions of Sale</t>
        </r>
      </text>
    </comment>
    <comment ref="E50" authorId="1" shapeId="0" xr:uid="{00000000-0006-0000-1400-000013000000}">
      <text>
        <r>
          <rPr>
            <b/>
            <sz val="9"/>
            <color indexed="81"/>
            <rFont val="Tahoma"/>
            <family val="2"/>
          </rPr>
          <t>Conditions of Sale Adj $</t>
        </r>
      </text>
    </comment>
    <comment ref="E54" authorId="1" shapeId="0" xr:uid="{00000000-0006-0000-1400-000014000000}">
      <text>
        <r>
          <rPr>
            <b/>
            <sz val="9"/>
            <color indexed="81"/>
            <rFont val="Tahoma"/>
            <family val="2"/>
          </rPr>
          <t>Expenditures After Purchase $</t>
        </r>
      </text>
    </comment>
    <comment ref="E65" authorId="1" shapeId="0" xr:uid="{00000000-0006-0000-1400-000015000000}">
      <text>
        <r>
          <rPr>
            <b/>
            <sz val="9"/>
            <color indexed="81"/>
            <rFont val="Tahoma"/>
            <family val="2"/>
          </rPr>
          <t>Address</t>
        </r>
      </text>
    </comment>
    <comment ref="E66" authorId="1" shapeId="0" xr:uid="{00000000-0006-0000-1400-000016000000}">
      <text>
        <r>
          <rPr>
            <b/>
            <sz val="9"/>
            <color indexed="81"/>
            <rFont val="Tahoma"/>
            <family val="2"/>
          </rPr>
          <t>City State</t>
        </r>
      </text>
    </comment>
    <comment ref="E79" authorId="1" shapeId="0" xr:uid="{00000000-0006-0000-1400-000017000000}">
      <text>
        <r>
          <rPr>
            <b/>
            <sz val="9"/>
            <color indexed="81"/>
            <rFont val="Tahoma"/>
            <family val="2"/>
          </rPr>
          <t>Shape</t>
        </r>
      </text>
    </comment>
    <comment ref="E85" authorId="1" shapeId="0" xr:uid="{00000000-0006-0000-1400-000018000000}">
      <text>
        <r>
          <rPr>
            <b/>
            <sz val="9"/>
            <color indexed="81"/>
            <rFont val="Tahoma"/>
            <family val="2"/>
          </rPr>
          <t>Parcel Type</t>
        </r>
      </text>
    </comment>
    <comment ref="E92" authorId="1" shapeId="0" xr:uid="{00000000-0006-0000-1400-000019000000}">
      <text>
        <r>
          <rPr>
            <b/>
            <sz val="9"/>
            <color indexed="81"/>
            <rFont val="Tahoma"/>
            <family val="2"/>
          </rPr>
          <t>Primary Frontage (Feet)</t>
        </r>
      </text>
    </comment>
    <comment ref="E93" authorId="1" shapeId="0" xr:uid="{00000000-0006-0000-1400-00001A000000}">
      <text>
        <r>
          <rPr>
            <b/>
            <sz val="9"/>
            <color indexed="81"/>
            <rFont val="Tahoma"/>
            <family val="2"/>
          </rPr>
          <t>Secondary Frontage (Feet)</t>
        </r>
      </text>
    </comment>
    <comment ref="E99" authorId="1" shapeId="0" xr:uid="{00000000-0006-0000-1400-00001B000000}">
      <text>
        <r>
          <rPr>
            <b/>
            <sz val="9"/>
            <color indexed="81"/>
            <rFont val="Tahoma"/>
            <family val="2"/>
          </rPr>
          <t>Utilities Description</t>
        </r>
      </text>
    </comment>
    <comment ref="E105" authorId="1" shapeId="0" xr:uid="{00000000-0006-0000-1400-00001C000000}">
      <text>
        <r>
          <rPr>
            <b/>
            <sz val="9"/>
            <color indexed="81"/>
            <rFont val="Tahoma"/>
            <family val="2"/>
          </rPr>
          <t>Topography</t>
        </r>
      </text>
    </comment>
    <comment ref="E111" authorId="1" shapeId="0" xr:uid="{00000000-0006-0000-1400-00001D000000}">
      <text>
        <r>
          <rPr>
            <b/>
            <sz val="9"/>
            <color indexed="81"/>
            <rFont val="Tahoma"/>
            <family val="2"/>
          </rPr>
          <t>Flood Zone</t>
        </r>
      </text>
    </comment>
    <comment ref="E117" authorId="1" shapeId="0" xr:uid="{00000000-0006-0000-1400-00001E000000}">
      <text>
        <r>
          <rPr>
            <b/>
            <sz val="9"/>
            <color indexed="81"/>
            <rFont val="Tahoma"/>
            <family val="2"/>
          </rPr>
          <t>Zoning Code</t>
        </r>
      </text>
    </comment>
    <comment ref="E123" authorId="1" shapeId="0" xr:uid="{00000000-0006-0000-1400-00001F000000}">
      <text>
        <r>
          <rPr>
            <b/>
            <sz val="9"/>
            <color indexed="81"/>
            <rFont val="Tahoma"/>
            <family val="2"/>
          </rPr>
          <t>Traffic Count</t>
        </r>
      </text>
    </comment>
    <comment ref="D129" authorId="1" shapeId="0" xr:uid="{00000000-0006-0000-1400-000020000000}">
      <text>
        <r>
          <rPr>
            <b/>
            <sz val="9"/>
            <color indexed="81"/>
            <rFont val="Tahoma"/>
            <family val="2"/>
          </rPr>
          <t>User may:
1. Add Datappraise Insert Field in Cell E128
2. Manually type comment for each comprable
3. Leave Blank</t>
        </r>
      </text>
    </comment>
    <comment ref="D135" authorId="1" shapeId="0" xr:uid="{00000000-0006-0000-1400-000021000000}">
      <text>
        <r>
          <rPr>
            <b/>
            <sz val="9"/>
            <color indexed="81"/>
            <rFont val="Tahoma"/>
            <family val="2"/>
          </rPr>
          <t>User may:
1. Add Datappraise Insert Field in Cell E134
2. Manually type comment for each comprable
3. Leave Blank</t>
        </r>
      </text>
    </comment>
    <comment ref="E140" authorId="1" shapeId="0" xr:uid="{00000000-0006-0000-1400-000022000000}">
      <text>
        <r>
          <rPr>
            <b/>
            <sz val="9"/>
            <color indexed="81"/>
            <rFont val="Tahoma"/>
            <family val="2"/>
          </rPr>
          <t>&lt;&lt;Lower Left Corner&gt;&gt;</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pgilliam</author>
    <author>pgilliam@valbridge.com</author>
  </authors>
  <commentList>
    <comment ref="E6" authorId="0" shapeId="0" xr:uid="{00000000-0006-0000-1500-000001000000}">
      <text>
        <r>
          <rPr>
            <b/>
            <sz val="9"/>
            <color indexed="81"/>
            <rFont val="Tahoma"/>
            <family val="2"/>
          </rPr>
          <t>&lt;&lt;Land Sales&gt;&gt;&lt;&lt;Data Runs in Columns&gt;&gt;&lt;&lt;Bucket 2&gt;&gt;</t>
        </r>
      </text>
    </comment>
    <comment ref="K6" authorId="1" shapeId="0" xr:uid="{00000000-0006-0000-1500-000002000000}">
      <text>
        <r>
          <rPr>
            <b/>
            <sz val="9"/>
            <color indexed="81"/>
            <rFont val="Tahoma"/>
            <family val="2"/>
          </rPr>
          <t>&lt;&lt;Upper Right Corner&gt;&gt;</t>
        </r>
      </text>
    </comment>
    <comment ref="E9" authorId="1" shapeId="0" xr:uid="{00000000-0006-0000-1500-000003000000}">
      <text>
        <r>
          <rPr>
            <b/>
            <sz val="9"/>
            <color indexed="81"/>
            <rFont val="Tahoma"/>
            <family val="2"/>
          </rPr>
          <t>Sale ID</t>
        </r>
      </text>
    </comment>
    <comment ref="E10" authorId="1" shapeId="0" xr:uid="{00000000-0006-0000-1500-000004000000}">
      <text>
        <r>
          <rPr>
            <b/>
            <sz val="9"/>
            <color indexed="81"/>
            <rFont val="Tahoma"/>
            <family val="2"/>
          </rPr>
          <t>Sale Date</t>
        </r>
      </text>
    </comment>
    <comment ref="E11" authorId="1" shapeId="0" xr:uid="{00000000-0006-0000-1500-000005000000}">
      <text>
        <r>
          <rPr>
            <b/>
            <sz val="9"/>
            <color indexed="81"/>
            <rFont val="Tahoma"/>
            <family val="2"/>
          </rPr>
          <t>Property Name</t>
        </r>
      </text>
    </comment>
    <comment ref="E14" authorId="1" shapeId="0" xr:uid="{00000000-0006-0000-1500-000006000000}">
      <text>
        <r>
          <rPr>
            <b/>
            <sz val="9"/>
            <color indexed="81"/>
            <rFont val="Tahoma"/>
            <family val="2"/>
          </rPr>
          <t>Sale Price</t>
        </r>
      </text>
    </comment>
    <comment ref="E15" authorId="1" shapeId="0" xr:uid="{00000000-0006-0000-1500-000007000000}">
      <text>
        <r>
          <rPr>
            <sz val="9"/>
            <color indexed="81"/>
            <rFont val="Tahoma"/>
            <family val="2"/>
          </rPr>
          <t>Usable Land Acres</t>
        </r>
      </text>
    </comment>
    <comment ref="E16" authorId="1" shapeId="0" xr:uid="{00000000-0006-0000-1500-000008000000}">
      <text>
        <r>
          <rPr>
            <sz val="9"/>
            <color indexed="81"/>
            <rFont val="Tahoma"/>
            <family val="2"/>
          </rPr>
          <t>Usable Land Area (SF)</t>
        </r>
      </text>
    </comment>
    <comment ref="E17" authorId="1" shapeId="0" xr:uid="{00000000-0006-0000-1500-000009000000}">
      <text>
        <r>
          <rPr>
            <b/>
            <sz val="9"/>
            <color indexed="81"/>
            <rFont val="Tahoma"/>
            <family val="2"/>
          </rPr>
          <t>Land Acres</t>
        </r>
      </text>
    </comment>
    <comment ref="E18" authorId="1" shapeId="0" xr:uid="{00000000-0006-0000-1500-00000A000000}">
      <text>
        <r>
          <rPr>
            <b/>
            <sz val="9"/>
            <color indexed="81"/>
            <rFont val="Tahoma"/>
            <family val="2"/>
          </rPr>
          <t>Land Sq Ft</t>
        </r>
      </text>
    </comment>
    <comment ref="E19" authorId="1" shapeId="0" xr:uid="{00000000-0006-0000-1500-00000B000000}">
      <text>
        <r>
          <rPr>
            <b/>
            <sz val="9"/>
            <color indexed="81"/>
            <rFont val="Tahoma"/>
            <family val="2"/>
          </rPr>
          <t>Primary Frontage (Feet)</t>
        </r>
      </text>
    </comment>
    <comment ref="E20" authorId="1" shapeId="0" xr:uid="{00000000-0006-0000-1500-00000C000000}">
      <text>
        <r>
          <rPr>
            <b/>
            <sz val="9"/>
            <color indexed="81"/>
            <rFont val="Tahoma"/>
            <family val="2"/>
          </rPr>
          <t>GBA</t>
        </r>
      </text>
    </comment>
    <comment ref="E21" authorId="1" shapeId="0" xr:uid="{00000000-0006-0000-1500-00000D000000}">
      <text>
        <r>
          <rPr>
            <b/>
            <sz val="9"/>
            <color indexed="81"/>
            <rFont val="Tahoma"/>
            <family val="2"/>
          </rPr>
          <t>Number of Lots</t>
        </r>
      </text>
    </comment>
    <comment ref="E22" authorId="1" shapeId="0" xr:uid="{00000000-0006-0000-1500-00000E000000}">
      <text>
        <r>
          <rPr>
            <b/>
            <sz val="9"/>
            <color indexed="81"/>
            <rFont val="Tahoma"/>
            <family val="2"/>
          </rPr>
          <t>Number of Units</t>
        </r>
      </text>
    </comment>
    <comment ref="E33" authorId="1" shapeId="0" xr:uid="{00000000-0006-0000-1500-00000F000000}">
      <text>
        <r>
          <rPr>
            <b/>
            <sz val="9"/>
            <color indexed="81"/>
            <rFont val="Tahoma"/>
            <family val="2"/>
          </rPr>
          <t>Property Rights Conveyed</t>
        </r>
      </text>
    </comment>
    <comment ref="E40" authorId="1" shapeId="0" xr:uid="{00000000-0006-0000-1500-000010000000}">
      <text>
        <r>
          <rPr>
            <b/>
            <sz val="9"/>
            <color indexed="81"/>
            <rFont val="Tahoma"/>
            <family val="2"/>
          </rPr>
          <t>Financing Terms</t>
        </r>
      </text>
    </comment>
    <comment ref="E43" authorId="1" shapeId="0" xr:uid="{00000000-0006-0000-1500-000011000000}">
      <text>
        <r>
          <rPr>
            <b/>
            <sz val="9"/>
            <color indexed="81"/>
            <rFont val="Tahoma"/>
            <family val="2"/>
          </rPr>
          <t>Financing Terms Adj $</t>
        </r>
      </text>
    </comment>
    <comment ref="E47" authorId="1" shapeId="0" xr:uid="{00000000-0006-0000-1500-000012000000}">
      <text>
        <r>
          <rPr>
            <b/>
            <sz val="9"/>
            <color indexed="81"/>
            <rFont val="Tahoma"/>
            <family val="2"/>
          </rPr>
          <t>Conditions of Sale</t>
        </r>
      </text>
    </comment>
    <comment ref="E50" authorId="1" shapeId="0" xr:uid="{00000000-0006-0000-1500-000013000000}">
      <text>
        <r>
          <rPr>
            <b/>
            <sz val="9"/>
            <color indexed="81"/>
            <rFont val="Tahoma"/>
            <family val="2"/>
          </rPr>
          <t>Conditions of Sale Adj $</t>
        </r>
      </text>
    </comment>
    <comment ref="E54" authorId="1" shapeId="0" xr:uid="{00000000-0006-0000-1500-000014000000}">
      <text>
        <r>
          <rPr>
            <b/>
            <sz val="9"/>
            <color indexed="81"/>
            <rFont val="Tahoma"/>
            <family val="2"/>
          </rPr>
          <t>Expenditures After Purchase $</t>
        </r>
      </text>
    </comment>
    <comment ref="E65" authorId="1" shapeId="0" xr:uid="{00000000-0006-0000-1500-000015000000}">
      <text>
        <r>
          <rPr>
            <b/>
            <sz val="9"/>
            <color indexed="81"/>
            <rFont val="Tahoma"/>
            <family val="2"/>
          </rPr>
          <t>Address</t>
        </r>
      </text>
    </comment>
    <comment ref="E66" authorId="1" shapeId="0" xr:uid="{00000000-0006-0000-1500-000016000000}">
      <text>
        <r>
          <rPr>
            <b/>
            <sz val="9"/>
            <color indexed="81"/>
            <rFont val="Tahoma"/>
            <family val="2"/>
          </rPr>
          <t>City State</t>
        </r>
      </text>
    </comment>
    <comment ref="E79" authorId="1" shapeId="0" xr:uid="{00000000-0006-0000-1500-000017000000}">
      <text>
        <r>
          <rPr>
            <b/>
            <sz val="9"/>
            <color indexed="81"/>
            <rFont val="Tahoma"/>
            <family val="2"/>
          </rPr>
          <t>Shape</t>
        </r>
      </text>
    </comment>
    <comment ref="E85" authorId="1" shapeId="0" xr:uid="{00000000-0006-0000-1500-000018000000}">
      <text>
        <r>
          <rPr>
            <b/>
            <sz val="9"/>
            <color indexed="81"/>
            <rFont val="Tahoma"/>
            <family val="2"/>
          </rPr>
          <t>Parcel Type</t>
        </r>
      </text>
    </comment>
    <comment ref="E92" authorId="1" shapeId="0" xr:uid="{00000000-0006-0000-1500-000019000000}">
      <text>
        <r>
          <rPr>
            <b/>
            <sz val="9"/>
            <color indexed="81"/>
            <rFont val="Tahoma"/>
            <family val="2"/>
          </rPr>
          <t>Primary Frontage (Feet)</t>
        </r>
      </text>
    </comment>
    <comment ref="E93" authorId="1" shapeId="0" xr:uid="{00000000-0006-0000-1500-00001A000000}">
      <text>
        <r>
          <rPr>
            <b/>
            <sz val="9"/>
            <color indexed="81"/>
            <rFont val="Tahoma"/>
            <family val="2"/>
          </rPr>
          <t>Secondary Frontage (Feet)</t>
        </r>
      </text>
    </comment>
    <comment ref="E99" authorId="1" shapeId="0" xr:uid="{00000000-0006-0000-1500-00001B000000}">
      <text>
        <r>
          <rPr>
            <b/>
            <sz val="9"/>
            <color indexed="81"/>
            <rFont val="Tahoma"/>
            <family val="2"/>
          </rPr>
          <t>Utilities Description</t>
        </r>
      </text>
    </comment>
    <comment ref="E105" authorId="1" shapeId="0" xr:uid="{00000000-0006-0000-1500-00001C000000}">
      <text>
        <r>
          <rPr>
            <b/>
            <sz val="9"/>
            <color indexed="81"/>
            <rFont val="Tahoma"/>
            <family val="2"/>
          </rPr>
          <t>Topography</t>
        </r>
      </text>
    </comment>
    <comment ref="E111" authorId="1" shapeId="0" xr:uid="{00000000-0006-0000-1500-00001D000000}">
      <text>
        <r>
          <rPr>
            <b/>
            <sz val="9"/>
            <color indexed="81"/>
            <rFont val="Tahoma"/>
            <family val="2"/>
          </rPr>
          <t>Flood Zone</t>
        </r>
      </text>
    </comment>
    <comment ref="E117" authorId="1" shapeId="0" xr:uid="{00000000-0006-0000-1500-00001E000000}">
      <text>
        <r>
          <rPr>
            <b/>
            <sz val="9"/>
            <color indexed="81"/>
            <rFont val="Tahoma"/>
            <family val="2"/>
          </rPr>
          <t>Zoning Code</t>
        </r>
      </text>
    </comment>
    <comment ref="E123" authorId="1" shapeId="0" xr:uid="{00000000-0006-0000-1500-00001F000000}">
      <text>
        <r>
          <rPr>
            <b/>
            <sz val="9"/>
            <color indexed="81"/>
            <rFont val="Tahoma"/>
            <family val="2"/>
          </rPr>
          <t>Traffic Count</t>
        </r>
      </text>
    </comment>
    <comment ref="D129" authorId="1" shapeId="0" xr:uid="{00000000-0006-0000-1500-000020000000}">
      <text>
        <r>
          <rPr>
            <b/>
            <sz val="9"/>
            <color indexed="81"/>
            <rFont val="Tahoma"/>
            <family val="2"/>
          </rPr>
          <t>User may:
1. Add Datappraise Insert Field in Cell E128
2. Manually type comment for each comprable
3. Leave Blank</t>
        </r>
      </text>
    </comment>
    <comment ref="D135" authorId="1" shapeId="0" xr:uid="{00000000-0006-0000-1500-000021000000}">
      <text>
        <r>
          <rPr>
            <b/>
            <sz val="9"/>
            <color indexed="81"/>
            <rFont val="Tahoma"/>
            <family val="2"/>
          </rPr>
          <t>User may:
1. Add Datappraise Insert Field in Cell E134
2. Manually type comment for each comprable
3. Leave Blank</t>
        </r>
      </text>
    </comment>
    <comment ref="E140" authorId="1" shapeId="0" xr:uid="{00000000-0006-0000-1500-000022000000}">
      <text>
        <r>
          <rPr>
            <b/>
            <sz val="9"/>
            <color indexed="81"/>
            <rFont val="Tahoma"/>
            <family val="2"/>
          </rPr>
          <t>&lt;&lt;Lower Left Corner&gt;&gt;</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pgilliam</author>
    <author>pgilliam@valbridge.com</author>
    <author>Jason Bennett</author>
  </authors>
  <commentList>
    <comment ref="D6" authorId="0" shapeId="0" xr:uid="{00000000-0006-0000-1600-000001000000}">
      <text>
        <r>
          <rPr>
            <b/>
            <sz val="9"/>
            <color indexed="81"/>
            <rFont val="Tahoma"/>
            <family val="2"/>
          </rPr>
          <t>&lt;&lt;Improved Sales&gt;&gt;&lt;&lt;Data Runs in Rows&gt;&gt;&lt;&lt;Multiple Tables&gt;&gt;</t>
        </r>
      </text>
    </comment>
    <comment ref="E6" authorId="1" shapeId="0" xr:uid="{00000000-0006-0000-1600-000002000000}">
      <text>
        <r>
          <rPr>
            <b/>
            <sz val="9"/>
            <color indexed="81"/>
            <rFont val="Tahoma"/>
            <family val="2"/>
          </rPr>
          <t>Sale Date</t>
        </r>
      </text>
    </comment>
    <comment ref="F6" authorId="1" shapeId="0" xr:uid="{00000000-0006-0000-1600-000003000000}">
      <text>
        <r>
          <rPr>
            <b/>
            <sz val="9"/>
            <color indexed="81"/>
            <rFont val="Tahoma"/>
            <family val="2"/>
          </rPr>
          <t>Property Name</t>
        </r>
      </text>
    </comment>
    <comment ref="G6" authorId="1" shapeId="0" xr:uid="{00000000-0006-0000-1600-000004000000}">
      <text>
        <r>
          <rPr>
            <b/>
            <sz val="9"/>
            <color indexed="81"/>
            <rFont val="Tahoma"/>
            <family val="2"/>
          </rPr>
          <t>Address</t>
        </r>
      </text>
    </comment>
    <comment ref="H6" authorId="1" shapeId="0" xr:uid="{00000000-0006-0000-1600-000005000000}">
      <text>
        <r>
          <rPr>
            <b/>
            <sz val="9"/>
            <color indexed="81"/>
            <rFont val="Tahoma"/>
            <family val="2"/>
          </rPr>
          <t>City State</t>
        </r>
      </text>
    </comment>
    <comment ref="J6" authorId="1" shapeId="0" xr:uid="{00000000-0006-0000-1600-000006000000}">
      <text>
        <r>
          <rPr>
            <b/>
            <sz val="9"/>
            <color indexed="81"/>
            <rFont val="Tahoma"/>
            <family val="2"/>
          </rPr>
          <t>Year Built</t>
        </r>
      </text>
    </comment>
    <comment ref="K6" authorId="1" shapeId="0" xr:uid="{00000000-0006-0000-1600-000007000000}">
      <text>
        <r>
          <rPr>
            <b/>
            <sz val="9"/>
            <color indexed="81"/>
            <rFont val="Tahoma"/>
            <family val="2"/>
          </rPr>
          <t>Year Built Comments</t>
        </r>
      </text>
    </comment>
    <comment ref="L6" authorId="1" shapeId="0" xr:uid="{00000000-0006-0000-1600-000008000000}">
      <text>
        <r>
          <rPr>
            <b/>
            <sz val="9"/>
            <color indexed="81"/>
            <rFont val="Tahoma"/>
            <family val="2"/>
          </rPr>
          <t>Rentable Area</t>
        </r>
      </text>
    </comment>
    <comment ref="M6" authorId="1" shapeId="0" xr:uid="{00000000-0006-0000-1600-000009000000}">
      <text>
        <r>
          <rPr>
            <b/>
            <sz val="9"/>
            <color indexed="81"/>
            <rFont val="Tahoma"/>
            <family val="2"/>
          </rPr>
          <t>GBA</t>
        </r>
      </text>
    </comment>
    <comment ref="N6" authorId="0" shapeId="0" xr:uid="{00000000-0006-0000-1600-00000A000000}">
      <text>
        <r>
          <rPr>
            <b/>
            <sz val="9"/>
            <color indexed="81"/>
            <rFont val="Tahoma"/>
            <family val="2"/>
          </rPr>
          <t>Number of Units</t>
        </r>
      </text>
    </comment>
    <comment ref="O6" authorId="1" shapeId="0" xr:uid="{00000000-0006-0000-1600-00000B000000}">
      <text>
        <r>
          <rPr>
            <b/>
            <sz val="9"/>
            <color indexed="81"/>
            <rFont val="Tahoma"/>
            <family val="2"/>
          </rPr>
          <t>Occupancy at Sale</t>
        </r>
      </text>
    </comment>
    <comment ref="P6" authorId="1" shapeId="0" xr:uid="{00000000-0006-0000-1600-00000C000000}">
      <text>
        <r>
          <rPr>
            <b/>
            <sz val="9"/>
            <color indexed="81"/>
            <rFont val="Tahoma"/>
            <family val="2"/>
          </rPr>
          <t>Sale Price</t>
        </r>
      </text>
    </comment>
    <comment ref="Q6" authorId="0" shapeId="0" xr:uid="{00000000-0006-0000-1600-00000D000000}">
      <text>
        <r>
          <rPr>
            <b/>
            <sz val="9"/>
            <color indexed="81"/>
            <rFont val="Tahoma"/>
            <family val="2"/>
          </rPr>
          <t>&lt;&lt;Not a Datappraise Field&gt;&gt;</t>
        </r>
      </text>
    </comment>
    <comment ref="R6" authorId="1" shapeId="0" xr:uid="{00000000-0006-0000-1600-00000E000000}">
      <text>
        <r>
          <rPr>
            <b/>
            <sz val="9"/>
            <color indexed="81"/>
            <rFont val="Tahoma"/>
            <family val="2"/>
          </rPr>
          <t>Sale ID</t>
        </r>
      </text>
    </comment>
    <comment ref="S6" authorId="1" shapeId="0" xr:uid="{00000000-0006-0000-1600-00000F000000}">
      <text>
        <r>
          <rPr>
            <b/>
            <sz val="9"/>
            <color indexed="81"/>
            <rFont val="Tahoma"/>
            <family val="2"/>
          </rPr>
          <t>&lt;&lt;Upper Right Corner&gt;&gt;</t>
        </r>
      </text>
    </comment>
    <comment ref="D11" authorId="2" shapeId="0" xr:uid="{5265DEF9-DC27-4CAD-944C-CE892FF91FDD}">
      <text>
        <r>
          <rPr>
            <b/>
            <sz val="9"/>
            <color indexed="81"/>
            <rFont val="Tahoma"/>
            <family val="2"/>
          </rPr>
          <t>&lt;&lt;Lower Left Corner&gt;&gt;</t>
        </r>
      </text>
    </comment>
    <comment ref="X17" authorId="0" shapeId="0" xr:uid="{00000000-0006-0000-1600-000011000000}">
      <text>
        <r>
          <rPr>
            <b/>
            <sz val="9"/>
            <color indexed="81"/>
            <rFont val="Tahoma"/>
            <family val="2"/>
          </rPr>
          <t>&lt;&lt;Improved Sales&gt;&gt;&lt;&lt;Data Runs in Rows&gt;&gt;&lt;&lt;Bucket 1&gt;&gt;</t>
        </r>
      </text>
    </comment>
    <comment ref="Y17" authorId="1" shapeId="0" xr:uid="{00000000-0006-0000-1600-000012000000}">
      <text>
        <r>
          <rPr>
            <b/>
            <sz val="9"/>
            <color indexed="81"/>
            <rFont val="Tahoma"/>
            <family val="2"/>
          </rPr>
          <t>Sale Date</t>
        </r>
      </text>
    </comment>
    <comment ref="Z17" authorId="1" shapeId="0" xr:uid="{00000000-0006-0000-1600-000013000000}">
      <text>
        <r>
          <rPr>
            <b/>
            <sz val="9"/>
            <color indexed="81"/>
            <rFont val="Tahoma"/>
            <family val="2"/>
          </rPr>
          <t>Property Name</t>
        </r>
      </text>
    </comment>
    <comment ref="AA17" authorId="1" shapeId="0" xr:uid="{00000000-0006-0000-1600-000014000000}">
      <text>
        <r>
          <rPr>
            <b/>
            <sz val="9"/>
            <color indexed="81"/>
            <rFont val="Tahoma"/>
            <family val="2"/>
          </rPr>
          <t>Address</t>
        </r>
      </text>
    </comment>
    <comment ref="AB17" authorId="1" shapeId="0" xr:uid="{00000000-0006-0000-1600-000015000000}">
      <text>
        <r>
          <rPr>
            <b/>
            <sz val="9"/>
            <color indexed="81"/>
            <rFont val="Tahoma"/>
            <family val="2"/>
          </rPr>
          <t>City State</t>
        </r>
      </text>
    </comment>
    <comment ref="AD17" authorId="1" shapeId="0" xr:uid="{00000000-0006-0000-1600-000016000000}">
      <text>
        <r>
          <rPr>
            <b/>
            <sz val="9"/>
            <color indexed="81"/>
            <rFont val="Tahoma"/>
            <family val="2"/>
          </rPr>
          <t>Year Built</t>
        </r>
      </text>
    </comment>
    <comment ref="AE17" authorId="1" shapeId="0" xr:uid="{00000000-0006-0000-1600-000017000000}">
      <text>
        <r>
          <rPr>
            <b/>
            <sz val="9"/>
            <color indexed="81"/>
            <rFont val="Tahoma"/>
            <family val="2"/>
          </rPr>
          <t>Year Built Comments</t>
        </r>
      </text>
    </comment>
    <comment ref="AF17" authorId="1" shapeId="0" xr:uid="{00000000-0006-0000-1600-000018000000}">
      <text>
        <r>
          <rPr>
            <b/>
            <sz val="9"/>
            <color indexed="81"/>
            <rFont val="Tahoma"/>
            <family val="2"/>
          </rPr>
          <t>Rentable Area</t>
        </r>
      </text>
    </comment>
    <comment ref="AG17" authorId="1" shapeId="0" xr:uid="{00000000-0006-0000-1600-000019000000}">
      <text>
        <r>
          <rPr>
            <b/>
            <sz val="9"/>
            <color indexed="81"/>
            <rFont val="Tahoma"/>
            <family val="2"/>
          </rPr>
          <t>GBA</t>
        </r>
      </text>
    </comment>
    <comment ref="AH17" authorId="0" shapeId="0" xr:uid="{00000000-0006-0000-1600-00001A000000}">
      <text>
        <r>
          <rPr>
            <b/>
            <sz val="9"/>
            <color indexed="81"/>
            <rFont val="Tahoma"/>
            <family val="2"/>
          </rPr>
          <t>Number of Units</t>
        </r>
      </text>
    </comment>
    <comment ref="AI17" authorId="1" shapeId="0" xr:uid="{00000000-0006-0000-1600-00001B000000}">
      <text>
        <r>
          <rPr>
            <b/>
            <sz val="9"/>
            <color indexed="81"/>
            <rFont val="Tahoma"/>
            <family val="2"/>
          </rPr>
          <t>Occupancy at Sale</t>
        </r>
      </text>
    </comment>
    <comment ref="AJ17" authorId="1" shapeId="0" xr:uid="{00000000-0006-0000-1600-00001C000000}">
      <text>
        <r>
          <rPr>
            <b/>
            <sz val="9"/>
            <color indexed="81"/>
            <rFont val="Tahoma"/>
            <family val="2"/>
          </rPr>
          <t>Sale Price</t>
        </r>
      </text>
    </comment>
    <comment ref="AK17" authorId="0" shapeId="0" xr:uid="{00000000-0006-0000-1600-00001D000000}">
      <text>
        <r>
          <rPr>
            <b/>
            <sz val="9"/>
            <color indexed="81"/>
            <rFont val="Tahoma"/>
            <family val="2"/>
          </rPr>
          <t>&lt;&lt;Not a Datappraise Field&gt;&gt;</t>
        </r>
      </text>
    </comment>
    <comment ref="AL17" authorId="1" shapeId="0" xr:uid="{00000000-0006-0000-1600-00001E000000}">
      <text>
        <r>
          <rPr>
            <b/>
            <sz val="9"/>
            <color indexed="81"/>
            <rFont val="Tahoma"/>
            <family val="2"/>
          </rPr>
          <t>Sale ID</t>
        </r>
      </text>
    </comment>
    <comment ref="AM17" authorId="1" shapeId="0" xr:uid="{00000000-0006-0000-1600-00001F000000}">
      <text>
        <r>
          <rPr>
            <b/>
            <sz val="9"/>
            <color indexed="81"/>
            <rFont val="Tahoma"/>
            <family val="2"/>
          </rPr>
          <t>&lt;&lt;Upper Right Corner&gt;&gt;</t>
        </r>
      </text>
    </comment>
    <comment ref="X24" authorId="1" shapeId="0" xr:uid="{00000000-0006-0000-1600-000020000000}">
      <text>
        <r>
          <rPr>
            <b/>
            <sz val="9"/>
            <color indexed="81"/>
            <rFont val="Tahoma"/>
            <family val="2"/>
          </rPr>
          <t>&lt;&lt;Lower Left Corner&gt;&gt;</t>
        </r>
      </text>
    </comment>
    <comment ref="AR29" authorId="0" shapeId="0" xr:uid="{00000000-0006-0000-1600-000021000000}">
      <text>
        <r>
          <rPr>
            <b/>
            <sz val="9"/>
            <color indexed="81"/>
            <rFont val="Tahoma"/>
            <family val="2"/>
          </rPr>
          <t>&lt;&lt;Improved Sales&gt;&gt;&lt;&lt;Data Runs in Rows&gt;&gt;&lt;&lt;Bucket 2&gt;&gt;</t>
        </r>
      </text>
    </comment>
    <comment ref="AS29" authorId="1" shapeId="0" xr:uid="{00000000-0006-0000-1600-000022000000}">
      <text>
        <r>
          <rPr>
            <b/>
            <sz val="9"/>
            <color indexed="81"/>
            <rFont val="Tahoma"/>
            <family val="2"/>
          </rPr>
          <t>Sale Date</t>
        </r>
      </text>
    </comment>
    <comment ref="AT29" authorId="1" shapeId="0" xr:uid="{00000000-0006-0000-1600-000023000000}">
      <text>
        <r>
          <rPr>
            <b/>
            <sz val="9"/>
            <color indexed="81"/>
            <rFont val="Tahoma"/>
            <family val="2"/>
          </rPr>
          <t>Property Name</t>
        </r>
      </text>
    </comment>
    <comment ref="AU29" authorId="1" shapeId="0" xr:uid="{00000000-0006-0000-1600-000024000000}">
      <text>
        <r>
          <rPr>
            <b/>
            <sz val="9"/>
            <color indexed="81"/>
            <rFont val="Tahoma"/>
            <family val="2"/>
          </rPr>
          <t>Address</t>
        </r>
      </text>
    </comment>
    <comment ref="AV29" authorId="1" shapeId="0" xr:uid="{00000000-0006-0000-1600-000025000000}">
      <text>
        <r>
          <rPr>
            <b/>
            <sz val="9"/>
            <color indexed="81"/>
            <rFont val="Tahoma"/>
            <family val="2"/>
          </rPr>
          <t>City State</t>
        </r>
      </text>
    </comment>
    <comment ref="AX29" authorId="1" shapeId="0" xr:uid="{00000000-0006-0000-1600-000026000000}">
      <text>
        <r>
          <rPr>
            <b/>
            <sz val="9"/>
            <color indexed="81"/>
            <rFont val="Tahoma"/>
            <family val="2"/>
          </rPr>
          <t>Year Built</t>
        </r>
      </text>
    </comment>
    <comment ref="AY29" authorId="1" shapeId="0" xr:uid="{00000000-0006-0000-1600-000027000000}">
      <text>
        <r>
          <rPr>
            <b/>
            <sz val="9"/>
            <color indexed="81"/>
            <rFont val="Tahoma"/>
            <family val="2"/>
          </rPr>
          <t>Year Built Comments</t>
        </r>
      </text>
    </comment>
    <comment ref="AZ29" authorId="1" shapeId="0" xr:uid="{00000000-0006-0000-1600-000028000000}">
      <text>
        <r>
          <rPr>
            <b/>
            <sz val="9"/>
            <color indexed="81"/>
            <rFont val="Tahoma"/>
            <family val="2"/>
          </rPr>
          <t>Rentable Area</t>
        </r>
      </text>
    </comment>
    <comment ref="BA29" authorId="1" shapeId="0" xr:uid="{00000000-0006-0000-1600-000029000000}">
      <text>
        <r>
          <rPr>
            <b/>
            <sz val="9"/>
            <color indexed="81"/>
            <rFont val="Tahoma"/>
            <family val="2"/>
          </rPr>
          <t>GBA</t>
        </r>
      </text>
    </comment>
    <comment ref="BB29" authorId="0" shapeId="0" xr:uid="{00000000-0006-0000-1600-00002A000000}">
      <text>
        <r>
          <rPr>
            <b/>
            <sz val="9"/>
            <color indexed="81"/>
            <rFont val="Tahoma"/>
            <family val="2"/>
          </rPr>
          <t>Number of Units</t>
        </r>
      </text>
    </comment>
    <comment ref="BC29" authorId="1" shapeId="0" xr:uid="{00000000-0006-0000-1600-00002B000000}">
      <text>
        <r>
          <rPr>
            <b/>
            <sz val="9"/>
            <color indexed="81"/>
            <rFont val="Tahoma"/>
            <family val="2"/>
          </rPr>
          <t>Occupancy at Sale</t>
        </r>
      </text>
    </comment>
    <comment ref="BD29" authorId="1" shapeId="0" xr:uid="{00000000-0006-0000-1600-00002C000000}">
      <text>
        <r>
          <rPr>
            <b/>
            <sz val="9"/>
            <color indexed="81"/>
            <rFont val="Tahoma"/>
            <family val="2"/>
          </rPr>
          <t>Sale Price</t>
        </r>
      </text>
    </comment>
    <comment ref="BE29" authorId="0" shapeId="0" xr:uid="{00000000-0006-0000-1600-00002D000000}">
      <text>
        <r>
          <rPr>
            <b/>
            <sz val="9"/>
            <color indexed="81"/>
            <rFont val="Tahoma"/>
            <family val="2"/>
          </rPr>
          <t>&lt;&lt;Not a Datappraise Field&gt;&gt;</t>
        </r>
      </text>
    </comment>
    <comment ref="BF29" authorId="1" shapeId="0" xr:uid="{00000000-0006-0000-1600-00002E000000}">
      <text>
        <r>
          <rPr>
            <b/>
            <sz val="9"/>
            <color indexed="81"/>
            <rFont val="Tahoma"/>
            <family val="2"/>
          </rPr>
          <t>Sale ID</t>
        </r>
      </text>
    </comment>
    <comment ref="BG29" authorId="1" shapeId="0" xr:uid="{00000000-0006-0000-1600-00002F000000}">
      <text>
        <r>
          <rPr>
            <b/>
            <sz val="9"/>
            <color indexed="81"/>
            <rFont val="Tahoma"/>
            <family val="2"/>
          </rPr>
          <t>&lt;&lt;Upper Right Corner&gt;&gt;</t>
        </r>
      </text>
    </comment>
    <comment ref="AR36" authorId="1" shapeId="0" xr:uid="{00000000-0006-0000-1600-000030000000}">
      <text>
        <r>
          <rPr>
            <b/>
            <sz val="9"/>
            <color indexed="81"/>
            <rFont val="Tahoma"/>
            <family val="2"/>
          </rPr>
          <t>&lt;&lt;Lower Left Corner&gt;&gt;</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pgilliam</author>
    <author>Jason Bennett</author>
    <author>pgilliam@valbridge.com</author>
    <author>landscape web</author>
  </authors>
  <commentList>
    <comment ref="D5" authorId="0" shapeId="0" xr:uid="{00000000-0006-0000-1700-000001000000}">
      <text>
        <r>
          <rPr>
            <sz val="9"/>
            <color indexed="81"/>
            <rFont val="Tahoma"/>
            <family val="2"/>
          </rPr>
          <t>&lt;&lt;Improved Sales&gt;&gt;&lt;&lt;Data Runs in Columns&gt;&gt;&lt;&lt;Multiple Tables&gt;&gt;</t>
        </r>
      </text>
    </comment>
    <comment ref="I5" authorId="1" shapeId="0" xr:uid="{FC684959-1057-4B9A-940F-8F66163017C8}">
      <text>
        <r>
          <rPr>
            <b/>
            <sz val="9"/>
            <color indexed="81"/>
            <rFont val="Tahoma"/>
            <family val="2"/>
          </rPr>
          <t>&lt;&lt;Upper Right Corner&gt;&gt;</t>
        </r>
      </text>
    </comment>
    <comment ref="D6" authorId="2" shapeId="0" xr:uid="{00000000-0006-0000-1700-000003000000}">
      <text>
        <r>
          <rPr>
            <b/>
            <sz val="9"/>
            <color indexed="81"/>
            <rFont val="Tahoma"/>
            <family val="2"/>
          </rPr>
          <t>Sale ID</t>
        </r>
      </text>
    </comment>
    <comment ref="D7" authorId="2" shapeId="0" xr:uid="{00000000-0006-0000-1700-000004000000}">
      <text>
        <r>
          <rPr>
            <b/>
            <sz val="9"/>
            <color indexed="81"/>
            <rFont val="Tahoma"/>
            <family val="2"/>
          </rPr>
          <t>Property Name</t>
        </r>
      </text>
    </comment>
    <comment ref="D8" authorId="2" shapeId="0" xr:uid="{00000000-0006-0000-1700-000005000000}">
      <text>
        <r>
          <rPr>
            <b/>
            <sz val="9"/>
            <color indexed="81"/>
            <rFont val="Tahoma"/>
            <family val="2"/>
          </rPr>
          <t>Address</t>
        </r>
      </text>
    </comment>
    <comment ref="D9" authorId="2" shapeId="0" xr:uid="{00000000-0006-0000-1700-000006000000}">
      <text>
        <r>
          <rPr>
            <b/>
            <sz val="9"/>
            <color indexed="81"/>
            <rFont val="Tahoma"/>
            <family val="2"/>
          </rPr>
          <t>City State</t>
        </r>
      </text>
    </comment>
    <comment ref="D10" authorId="2" shapeId="0" xr:uid="{00000000-0006-0000-1700-000007000000}">
      <text>
        <r>
          <rPr>
            <b/>
            <sz val="9"/>
            <color indexed="81"/>
            <rFont val="Tahoma"/>
            <family val="2"/>
          </rPr>
          <t>Investment Class</t>
        </r>
      </text>
    </comment>
    <comment ref="D11" authorId="2" shapeId="0" xr:uid="{00000000-0006-0000-1700-000008000000}">
      <text>
        <r>
          <rPr>
            <b/>
            <sz val="9"/>
            <color indexed="81"/>
            <rFont val="Tahoma"/>
            <family val="2"/>
          </rPr>
          <t>Tenancy</t>
        </r>
      </text>
    </comment>
    <comment ref="D12" authorId="2" shapeId="0" xr:uid="{00000000-0006-0000-1700-000009000000}">
      <text>
        <r>
          <rPr>
            <b/>
            <sz val="9"/>
            <color indexed="81"/>
            <rFont val="Tahoma"/>
            <family val="2"/>
          </rPr>
          <t>Sale Status</t>
        </r>
      </text>
    </comment>
    <comment ref="D13" authorId="2" shapeId="0" xr:uid="{00000000-0006-0000-1700-00000A000000}">
      <text>
        <r>
          <rPr>
            <b/>
            <sz val="9"/>
            <color indexed="81"/>
            <rFont val="Tahoma"/>
            <family val="2"/>
          </rPr>
          <t>Tax Parcel Number</t>
        </r>
      </text>
    </comment>
    <comment ref="D15" authorId="2" shapeId="0" xr:uid="{00000000-0006-0000-1700-00000B000000}">
      <text>
        <r>
          <rPr>
            <b/>
            <sz val="9"/>
            <color indexed="81"/>
            <rFont val="Tahoma"/>
            <family val="2"/>
          </rPr>
          <t>Sale Date</t>
        </r>
      </text>
    </comment>
    <comment ref="D16" authorId="2" shapeId="0" xr:uid="{00000000-0006-0000-1700-00000C000000}">
      <text>
        <r>
          <rPr>
            <b/>
            <sz val="9"/>
            <color indexed="81"/>
            <rFont val="Tahoma"/>
            <family val="2"/>
          </rPr>
          <t>Seller</t>
        </r>
      </text>
    </comment>
    <comment ref="D17" authorId="2" shapeId="0" xr:uid="{00000000-0006-0000-1700-00000D000000}">
      <text>
        <r>
          <rPr>
            <b/>
            <sz val="9"/>
            <color indexed="81"/>
            <rFont val="Tahoma"/>
            <family val="2"/>
          </rPr>
          <t>Buyer</t>
        </r>
      </text>
    </comment>
    <comment ref="D18" authorId="2" shapeId="0" xr:uid="{00000000-0006-0000-1700-00000E000000}">
      <text>
        <r>
          <rPr>
            <b/>
            <sz val="9"/>
            <color indexed="81"/>
            <rFont val="Tahoma"/>
            <family val="2"/>
          </rPr>
          <t>Recording Number</t>
        </r>
      </text>
    </comment>
    <comment ref="D19" authorId="2" shapeId="0" xr:uid="{00000000-0006-0000-1700-00000F000000}">
      <text>
        <r>
          <rPr>
            <b/>
            <sz val="9"/>
            <color indexed="81"/>
            <rFont val="Tahoma"/>
            <family val="2"/>
          </rPr>
          <t>Book/Page</t>
        </r>
      </text>
    </comment>
    <comment ref="D21" authorId="2" shapeId="0" xr:uid="{00000000-0006-0000-1700-000010000000}">
      <text>
        <r>
          <rPr>
            <b/>
            <sz val="9"/>
            <color indexed="81"/>
            <rFont val="Tahoma"/>
            <family val="2"/>
          </rPr>
          <t>Property Rights Conveyed</t>
        </r>
      </text>
    </comment>
    <comment ref="D22" authorId="2" shapeId="0" xr:uid="{00000000-0006-0000-1700-000011000000}">
      <text>
        <r>
          <rPr>
            <b/>
            <sz val="9"/>
            <color indexed="81"/>
            <rFont val="Tahoma"/>
            <family val="2"/>
          </rPr>
          <t>Financing Terms</t>
        </r>
      </text>
    </comment>
    <comment ref="D23" authorId="2" shapeId="0" xr:uid="{00000000-0006-0000-1700-000012000000}">
      <text>
        <r>
          <rPr>
            <b/>
            <sz val="9"/>
            <color indexed="81"/>
            <rFont val="Tahoma"/>
            <family val="2"/>
          </rPr>
          <t>Conditions of Sale</t>
        </r>
      </text>
    </comment>
    <comment ref="D25" authorId="2" shapeId="0" xr:uid="{00000000-0006-0000-1700-000013000000}">
      <text>
        <r>
          <rPr>
            <b/>
            <sz val="9"/>
            <color indexed="81"/>
            <rFont val="Tahoma"/>
            <family val="2"/>
          </rPr>
          <t>Sale Price</t>
        </r>
      </text>
    </comment>
    <comment ref="D28" authorId="2" shapeId="0" xr:uid="{00000000-0006-0000-1700-000014000000}">
      <text>
        <r>
          <rPr>
            <b/>
            <sz val="9"/>
            <color indexed="81"/>
            <rFont val="Tahoma"/>
            <family val="2"/>
          </rPr>
          <t>Contributory Value of Improvements</t>
        </r>
      </text>
    </comment>
    <comment ref="D30" authorId="2" shapeId="0" xr:uid="{00000000-0006-0000-1700-000015000000}">
      <text>
        <r>
          <rPr>
            <b/>
            <sz val="9"/>
            <color indexed="81"/>
            <rFont val="Tahoma"/>
            <family val="2"/>
          </rPr>
          <t>Occupancy at Sale</t>
        </r>
      </text>
    </comment>
    <comment ref="D31" authorId="0" shapeId="0" xr:uid="{00000000-0006-0000-1700-000016000000}">
      <text>
        <r>
          <rPr>
            <b/>
            <sz val="9"/>
            <color indexed="81"/>
            <rFont val="Tahoma"/>
            <family val="2"/>
          </rPr>
          <t>OAR (actual)</t>
        </r>
      </text>
    </comment>
    <comment ref="D32" authorId="3" shapeId="0" xr:uid="{00000000-0006-0000-1700-000017000000}">
      <text>
        <r>
          <rPr>
            <b/>
            <sz val="8"/>
            <color indexed="81"/>
            <rFont val="Tahoma"/>
            <family val="2"/>
          </rPr>
          <t>EGIM (actual)</t>
        </r>
      </text>
    </comment>
    <comment ref="D33" authorId="0" shapeId="0" xr:uid="{00000000-0006-0000-1700-000018000000}">
      <text>
        <r>
          <rPr>
            <b/>
            <sz val="9"/>
            <color indexed="81"/>
            <rFont val="Tahoma"/>
            <family val="2"/>
          </rPr>
          <t>NOI Per SF (actual)</t>
        </r>
      </text>
    </comment>
    <comment ref="D34" authorId="0" shapeId="0" xr:uid="{00000000-0006-0000-1700-000019000000}">
      <text>
        <r>
          <rPr>
            <b/>
            <sz val="9"/>
            <color indexed="81"/>
            <rFont val="Tahoma"/>
            <family val="2"/>
          </rPr>
          <t>Remaining Lease Term at Sale</t>
        </r>
      </text>
    </comment>
    <comment ref="D37" authorId="2" shapeId="0" xr:uid="{00000000-0006-0000-1700-00001A000000}">
      <text>
        <r>
          <rPr>
            <b/>
            <sz val="9"/>
            <color indexed="81"/>
            <rFont val="Tahoma"/>
            <family val="2"/>
          </rPr>
          <t>Adjusted Sale Price</t>
        </r>
      </text>
    </comment>
    <comment ref="D45" authorId="2" shapeId="0" xr:uid="{00000000-0006-0000-1700-00001B000000}">
      <text>
        <r>
          <rPr>
            <b/>
            <sz val="9"/>
            <color indexed="81"/>
            <rFont val="Tahoma"/>
            <family val="2"/>
          </rPr>
          <t>Vacancy Percent (stabilized)</t>
        </r>
      </text>
    </comment>
    <comment ref="D46" authorId="0" shapeId="0" xr:uid="{00000000-0006-0000-1700-00001C000000}">
      <text>
        <r>
          <rPr>
            <b/>
            <sz val="9"/>
            <color indexed="81"/>
            <rFont val="Tahoma"/>
            <family val="2"/>
          </rPr>
          <t>OAR (stabilized)</t>
        </r>
      </text>
    </comment>
    <comment ref="D47" authorId="2" shapeId="0" xr:uid="{00000000-0006-0000-1700-00001D000000}">
      <text>
        <r>
          <rPr>
            <b/>
            <sz val="9"/>
            <color indexed="81"/>
            <rFont val="Tahoma"/>
            <family val="2"/>
          </rPr>
          <t>EGIM (stabilized)</t>
        </r>
      </text>
    </comment>
    <comment ref="D48" authorId="0" shapeId="0" xr:uid="{00000000-0006-0000-1700-00001E000000}">
      <text>
        <r>
          <rPr>
            <b/>
            <sz val="9"/>
            <color indexed="81"/>
            <rFont val="Tahoma"/>
            <family val="2"/>
          </rPr>
          <t>NOI Per SF (stabilized)</t>
        </r>
      </text>
    </comment>
    <comment ref="D50" authorId="2" shapeId="0" xr:uid="{00000000-0006-0000-1700-00001F000000}">
      <text>
        <r>
          <rPr>
            <b/>
            <sz val="9"/>
            <color indexed="81"/>
            <rFont val="Tahoma"/>
            <family val="2"/>
          </rPr>
          <t>Property Type</t>
        </r>
      </text>
    </comment>
    <comment ref="D51" authorId="2" shapeId="0" xr:uid="{00000000-0006-0000-1700-000020000000}">
      <text>
        <r>
          <rPr>
            <b/>
            <sz val="9"/>
            <color indexed="81"/>
            <rFont val="Tahoma"/>
            <family val="2"/>
          </rPr>
          <t>Construction Quality</t>
        </r>
      </text>
    </comment>
    <comment ref="D52" authorId="2" shapeId="0" xr:uid="{00000000-0006-0000-1700-000021000000}">
      <text>
        <r>
          <rPr>
            <b/>
            <sz val="9"/>
            <color indexed="81"/>
            <rFont val="Tahoma"/>
            <family val="2"/>
          </rPr>
          <t>Construction Class</t>
        </r>
      </text>
    </comment>
    <comment ref="D53" authorId="0" shapeId="0" xr:uid="{00000000-0006-0000-1700-000022000000}">
      <text>
        <r>
          <rPr>
            <b/>
            <sz val="9"/>
            <color indexed="81"/>
            <rFont val="Tahoma"/>
            <family val="2"/>
          </rPr>
          <t>&lt;&lt;Not a Datappraise Field&gt;&gt;</t>
        </r>
      </text>
    </comment>
    <comment ref="D54" authorId="0" shapeId="0" xr:uid="{00000000-0006-0000-1700-000023000000}">
      <text>
        <r>
          <rPr>
            <b/>
            <sz val="9"/>
            <color indexed="81"/>
            <rFont val="Tahoma"/>
            <family val="2"/>
          </rPr>
          <t>&lt;&lt;Not a Datappraise Field&gt;&gt;</t>
        </r>
      </text>
    </comment>
    <comment ref="D55" authorId="2" shapeId="0" xr:uid="{00000000-0006-0000-1700-000024000000}">
      <text>
        <r>
          <rPr>
            <b/>
            <sz val="9"/>
            <color indexed="81"/>
            <rFont val="Tahoma"/>
            <family val="2"/>
          </rPr>
          <t>Year Built</t>
        </r>
      </text>
    </comment>
    <comment ref="D56" authorId="2" shapeId="0" xr:uid="{00000000-0006-0000-1700-000025000000}">
      <text>
        <r>
          <rPr>
            <b/>
            <sz val="9"/>
            <color indexed="81"/>
            <rFont val="Tahoma"/>
            <family val="2"/>
          </rPr>
          <t>Year Built Comments</t>
        </r>
      </text>
    </comment>
    <comment ref="D57" authorId="2" shapeId="0" xr:uid="{00000000-0006-0000-1700-000026000000}">
      <text>
        <r>
          <rPr>
            <b/>
            <sz val="9"/>
            <color indexed="81"/>
            <rFont val="Tahoma"/>
            <family val="2"/>
          </rPr>
          <t>Effective Age at Sale</t>
        </r>
      </text>
    </comment>
    <comment ref="D58" authorId="2" shapeId="0" xr:uid="{00000000-0006-0000-1700-000027000000}">
      <text>
        <r>
          <rPr>
            <b/>
            <sz val="9"/>
            <color indexed="81"/>
            <rFont val="Tahoma"/>
            <family val="2"/>
          </rPr>
          <t>Rentable Area</t>
        </r>
      </text>
    </comment>
    <comment ref="D59" authorId="2" shapeId="0" xr:uid="{00000000-0006-0000-1700-000028000000}">
      <text>
        <r>
          <rPr>
            <b/>
            <sz val="9"/>
            <color indexed="81"/>
            <rFont val="Tahoma"/>
            <family val="2"/>
          </rPr>
          <t>GBA</t>
        </r>
      </text>
    </comment>
    <comment ref="D60" authorId="0" shapeId="0" xr:uid="{00000000-0006-0000-1700-000029000000}">
      <text>
        <r>
          <rPr>
            <b/>
            <sz val="9"/>
            <color indexed="81"/>
            <rFont val="Tahoma"/>
            <family val="2"/>
          </rPr>
          <t>Number of Units</t>
        </r>
      </text>
    </comment>
    <comment ref="D61" authorId="2" shapeId="0" xr:uid="{00000000-0006-0000-1700-00002A000000}">
      <text>
        <r>
          <rPr>
            <b/>
            <sz val="9"/>
            <color indexed="81"/>
            <rFont val="Tahoma"/>
            <family val="2"/>
          </rPr>
          <t>Number of Stories</t>
        </r>
      </text>
    </comment>
    <comment ref="D62" authorId="2" shapeId="0" xr:uid="{00000000-0006-0000-1700-00002B000000}">
      <text>
        <r>
          <rPr>
            <b/>
            <sz val="9"/>
            <color indexed="81"/>
            <rFont val="Tahoma"/>
            <family val="2"/>
          </rPr>
          <t>Usable Land Acres</t>
        </r>
      </text>
    </comment>
    <comment ref="D63" authorId="2" shapeId="0" xr:uid="{00000000-0006-0000-1700-00002C000000}">
      <text>
        <r>
          <rPr>
            <b/>
            <sz val="9"/>
            <color indexed="81"/>
            <rFont val="Tahoma"/>
            <family val="2"/>
          </rPr>
          <t>Usable Land to Building Ratio</t>
        </r>
      </text>
    </comment>
    <comment ref="D64" authorId="0" shapeId="0" xr:uid="{00000000-0006-0000-1700-00002D000000}">
      <text>
        <r>
          <rPr>
            <b/>
            <sz val="9"/>
            <color indexed="81"/>
            <rFont val="Tahoma"/>
            <family val="2"/>
          </rPr>
          <t>Traffic Count</t>
        </r>
      </text>
    </comment>
    <comment ref="D65" authorId="0" shapeId="0" xr:uid="{00000000-0006-0000-1700-00002E000000}">
      <text>
        <r>
          <rPr>
            <b/>
            <sz val="9"/>
            <color indexed="81"/>
            <rFont val="Tahoma"/>
            <family val="2"/>
          </rPr>
          <t>Clear Height Average (Feet)</t>
        </r>
      </text>
    </comment>
    <comment ref="D66" authorId="2" shapeId="0" xr:uid="{00000000-0006-0000-1700-00002F000000}">
      <text>
        <r>
          <rPr>
            <b/>
            <sz val="9"/>
            <color indexed="81"/>
            <rFont val="Tahoma"/>
            <family val="2"/>
          </rPr>
          <t>Percent Office</t>
        </r>
      </text>
    </comment>
    <comment ref="D67" authorId="2" shapeId="0" xr:uid="{00000000-0006-0000-1700-000030000000}">
      <text>
        <r>
          <rPr>
            <b/>
            <sz val="9"/>
            <color indexed="81"/>
            <rFont val="Tahoma"/>
            <family val="2"/>
          </rPr>
          <t>Percent Air Conditioned</t>
        </r>
      </text>
    </comment>
    <comment ref="D69" authorId="2" shapeId="0" xr:uid="{00000000-0006-0000-1700-000031000000}">
      <text>
        <r>
          <rPr>
            <b/>
            <sz val="9"/>
            <color indexed="81"/>
            <rFont val="Tahoma"/>
            <family val="2"/>
          </rPr>
          <t>&lt;&lt;Lower Left Corner&gt;&gt;</t>
        </r>
      </text>
    </comment>
    <comment ref="O73" authorId="0" shapeId="0" xr:uid="{00000000-0006-0000-1700-000032000000}">
      <text>
        <r>
          <rPr>
            <b/>
            <sz val="9"/>
            <color indexed="81"/>
            <rFont val="Tahoma"/>
            <family val="2"/>
          </rPr>
          <t>&lt;&lt;Improved Sales&gt;&gt;&lt;&lt;Data Runs in Columns&gt;&gt;&lt;&lt;Bucket 1&gt;&gt;</t>
        </r>
      </text>
    </comment>
    <comment ref="U73" authorId="2" shapeId="0" xr:uid="{00000000-0006-0000-1700-000033000000}">
      <text>
        <r>
          <rPr>
            <b/>
            <sz val="9"/>
            <color indexed="81"/>
            <rFont val="Tahoma"/>
            <family val="2"/>
          </rPr>
          <t>&lt;&lt;Upper Right Corner&gt;&gt;</t>
        </r>
      </text>
    </comment>
    <comment ref="O74" authorId="2" shapeId="0" xr:uid="{00000000-0006-0000-1700-000034000000}">
      <text>
        <r>
          <rPr>
            <b/>
            <sz val="9"/>
            <color indexed="81"/>
            <rFont val="Tahoma"/>
            <family val="2"/>
          </rPr>
          <t>Sale ID</t>
        </r>
      </text>
    </comment>
    <comment ref="O75" authorId="2" shapeId="0" xr:uid="{00000000-0006-0000-1700-000035000000}">
      <text>
        <r>
          <rPr>
            <b/>
            <sz val="9"/>
            <color indexed="81"/>
            <rFont val="Tahoma"/>
            <family val="2"/>
          </rPr>
          <t>Property Name</t>
        </r>
      </text>
    </comment>
    <comment ref="O76" authorId="2" shapeId="0" xr:uid="{00000000-0006-0000-1700-000036000000}">
      <text>
        <r>
          <rPr>
            <b/>
            <sz val="9"/>
            <color indexed="81"/>
            <rFont val="Tahoma"/>
            <family val="2"/>
          </rPr>
          <t>Address</t>
        </r>
      </text>
    </comment>
    <comment ref="O77" authorId="2" shapeId="0" xr:uid="{00000000-0006-0000-1700-000037000000}">
      <text>
        <r>
          <rPr>
            <b/>
            <sz val="9"/>
            <color indexed="81"/>
            <rFont val="Tahoma"/>
            <family val="2"/>
          </rPr>
          <t>City State</t>
        </r>
      </text>
    </comment>
    <comment ref="O78" authorId="2" shapeId="0" xr:uid="{00000000-0006-0000-1700-000038000000}">
      <text>
        <r>
          <rPr>
            <b/>
            <sz val="9"/>
            <color indexed="81"/>
            <rFont val="Tahoma"/>
            <family val="2"/>
          </rPr>
          <t>Investment Class</t>
        </r>
      </text>
    </comment>
    <comment ref="O79" authorId="2" shapeId="0" xr:uid="{00000000-0006-0000-1700-000039000000}">
      <text>
        <r>
          <rPr>
            <b/>
            <sz val="9"/>
            <color indexed="81"/>
            <rFont val="Tahoma"/>
            <family val="2"/>
          </rPr>
          <t>Tenancy</t>
        </r>
      </text>
    </comment>
    <comment ref="O80" authorId="2" shapeId="0" xr:uid="{00000000-0006-0000-1700-00003A000000}">
      <text>
        <r>
          <rPr>
            <b/>
            <sz val="9"/>
            <color indexed="81"/>
            <rFont val="Tahoma"/>
            <family val="2"/>
          </rPr>
          <t>Sale Status</t>
        </r>
      </text>
    </comment>
    <comment ref="O81" authorId="2" shapeId="0" xr:uid="{00000000-0006-0000-1700-00003B000000}">
      <text>
        <r>
          <rPr>
            <b/>
            <sz val="9"/>
            <color indexed="81"/>
            <rFont val="Tahoma"/>
            <family val="2"/>
          </rPr>
          <t>Tax Parcel Number</t>
        </r>
      </text>
    </comment>
    <comment ref="O83" authorId="2" shapeId="0" xr:uid="{00000000-0006-0000-1700-00003C000000}">
      <text>
        <r>
          <rPr>
            <b/>
            <sz val="9"/>
            <color indexed="81"/>
            <rFont val="Tahoma"/>
            <family val="2"/>
          </rPr>
          <t>Sale Date</t>
        </r>
      </text>
    </comment>
    <comment ref="O84" authorId="2" shapeId="0" xr:uid="{00000000-0006-0000-1700-00003D000000}">
      <text>
        <r>
          <rPr>
            <b/>
            <sz val="9"/>
            <color indexed="81"/>
            <rFont val="Tahoma"/>
            <family val="2"/>
          </rPr>
          <t>Seller</t>
        </r>
      </text>
    </comment>
    <comment ref="O85" authorId="2" shapeId="0" xr:uid="{00000000-0006-0000-1700-00003E000000}">
      <text>
        <r>
          <rPr>
            <b/>
            <sz val="9"/>
            <color indexed="81"/>
            <rFont val="Tahoma"/>
            <family val="2"/>
          </rPr>
          <t>Buyer</t>
        </r>
      </text>
    </comment>
    <comment ref="O86" authorId="2" shapeId="0" xr:uid="{00000000-0006-0000-1700-00003F000000}">
      <text>
        <r>
          <rPr>
            <b/>
            <sz val="9"/>
            <color indexed="81"/>
            <rFont val="Tahoma"/>
            <family val="2"/>
          </rPr>
          <t>Recording Number</t>
        </r>
      </text>
    </comment>
    <comment ref="O87" authorId="2" shapeId="0" xr:uid="{00000000-0006-0000-1700-000040000000}">
      <text>
        <r>
          <rPr>
            <b/>
            <sz val="9"/>
            <color indexed="81"/>
            <rFont val="Tahoma"/>
            <family val="2"/>
          </rPr>
          <t>Book/Page</t>
        </r>
      </text>
    </comment>
    <comment ref="O89" authorId="2" shapeId="0" xr:uid="{00000000-0006-0000-1700-000041000000}">
      <text>
        <r>
          <rPr>
            <b/>
            <sz val="9"/>
            <color indexed="81"/>
            <rFont val="Tahoma"/>
            <family val="2"/>
          </rPr>
          <t>Property Rights Conveyed</t>
        </r>
      </text>
    </comment>
    <comment ref="O90" authorId="2" shapeId="0" xr:uid="{00000000-0006-0000-1700-000042000000}">
      <text>
        <r>
          <rPr>
            <b/>
            <sz val="9"/>
            <color indexed="81"/>
            <rFont val="Tahoma"/>
            <family val="2"/>
          </rPr>
          <t>Financing Terms</t>
        </r>
      </text>
    </comment>
    <comment ref="O91" authorId="2" shapeId="0" xr:uid="{00000000-0006-0000-1700-000043000000}">
      <text>
        <r>
          <rPr>
            <b/>
            <sz val="9"/>
            <color indexed="81"/>
            <rFont val="Tahoma"/>
            <family val="2"/>
          </rPr>
          <t>Conditions of Sale</t>
        </r>
      </text>
    </comment>
    <comment ref="O93" authorId="2" shapeId="0" xr:uid="{00000000-0006-0000-1700-000044000000}">
      <text>
        <r>
          <rPr>
            <b/>
            <sz val="9"/>
            <color indexed="81"/>
            <rFont val="Tahoma"/>
            <family val="2"/>
          </rPr>
          <t>Sale Price</t>
        </r>
      </text>
    </comment>
    <comment ref="O96" authorId="2" shapeId="0" xr:uid="{00000000-0006-0000-1700-000045000000}">
      <text>
        <r>
          <rPr>
            <b/>
            <sz val="9"/>
            <color indexed="81"/>
            <rFont val="Tahoma"/>
            <family val="2"/>
          </rPr>
          <t>Contributory Value of Improvements</t>
        </r>
      </text>
    </comment>
    <comment ref="O98" authorId="2" shapeId="0" xr:uid="{00000000-0006-0000-1700-000046000000}">
      <text>
        <r>
          <rPr>
            <b/>
            <sz val="9"/>
            <color indexed="81"/>
            <rFont val="Tahoma"/>
            <family val="2"/>
          </rPr>
          <t>Occupancy at Sale</t>
        </r>
      </text>
    </comment>
    <comment ref="O99" authorId="0" shapeId="0" xr:uid="{00000000-0006-0000-1700-000047000000}">
      <text>
        <r>
          <rPr>
            <b/>
            <sz val="9"/>
            <color indexed="81"/>
            <rFont val="Tahoma"/>
            <family val="2"/>
          </rPr>
          <t>OAR (actual)</t>
        </r>
      </text>
    </comment>
    <comment ref="O100" authorId="3" shapeId="0" xr:uid="{00000000-0006-0000-1700-000048000000}">
      <text>
        <r>
          <rPr>
            <b/>
            <sz val="8"/>
            <color indexed="81"/>
            <rFont val="Tahoma"/>
            <family val="2"/>
          </rPr>
          <t>EGIM (actual)</t>
        </r>
      </text>
    </comment>
    <comment ref="O101" authorId="0" shapeId="0" xr:uid="{00000000-0006-0000-1700-000049000000}">
      <text>
        <r>
          <rPr>
            <b/>
            <sz val="9"/>
            <color indexed="81"/>
            <rFont val="Tahoma"/>
            <family val="2"/>
          </rPr>
          <t>NOI Per SF (actual)</t>
        </r>
      </text>
    </comment>
    <comment ref="O102" authorId="0" shapeId="0" xr:uid="{00000000-0006-0000-1700-00004A000000}">
      <text>
        <r>
          <rPr>
            <b/>
            <sz val="9"/>
            <color indexed="81"/>
            <rFont val="Tahoma"/>
            <family val="2"/>
          </rPr>
          <t>Remaining Lease Term at Sale</t>
        </r>
      </text>
    </comment>
    <comment ref="O105" authorId="2" shapeId="0" xr:uid="{00000000-0006-0000-1700-00004B000000}">
      <text>
        <r>
          <rPr>
            <b/>
            <sz val="9"/>
            <color indexed="81"/>
            <rFont val="Tahoma"/>
            <family val="2"/>
          </rPr>
          <t>Adjusted Sale Price</t>
        </r>
      </text>
    </comment>
    <comment ref="O113" authorId="2" shapeId="0" xr:uid="{00000000-0006-0000-1700-00004C000000}">
      <text>
        <r>
          <rPr>
            <b/>
            <sz val="9"/>
            <color indexed="81"/>
            <rFont val="Tahoma"/>
            <family val="2"/>
          </rPr>
          <t>Vacancy Percent (stabilized)</t>
        </r>
      </text>
    </comment>
    <comment ref="O114" authorId="0" shapeId="0" xr:uid="{00000000-0006-0000-1700-00004D000000}">
      <text>
        <r>
          <rPr>
            <b/>
            <sz val="9"/>
            <color indexed="81"/>
            <rFont val="Tahoma"/>
            <family val="2"/>
          </rPr>
          <t>OAR (stabilized)</t>
        </r>
      </text>
    </comment>
    <comment ref="O115" authorId="2" shapeId="0" xr:uid="{00000000-0006-0000-1700-00004E000000}">
      <text>
        <r>
          <rPr>
            <b/>
            <sz val="9"/>
            <color indexed="81"/>
            <rFont val="Tahoma"/>
            <family val="2"/>
          </rPr>
          <t>EGIM (stabilized)</t>
        </r>
      </text>
    </comment>
    <comment ref="O116" authorId="0" shapeId="0" xr:uid="{00000000-0006-0000-1700-00004F000000}">
      <text>
        <r>
          <rPr>
            <b/>
            <sz val="9"/>
            <color indexed="81"/>
            <rFont val="Tahoma"/>
            <family val="2"/>
          </rPr>
          <t>NOI Per SF (stabilized)</t>
        </r>
      </text>
    </comment>
    <comment ref="O118" authorId="2" shapeId="0" xr:uid="{00000000-0006-0000-1700-000050000000}">
      <text>
        <r>
          <rPr>
            <b/>
            <sz val="9"/>
            <color indexed="81"/>
            <rFont val="Tahoma"/>
            <family val="2"/>
          </rPr>
          <t>Property Type</t>
        </r>
      </text>
    </comment>
    <comment ref="O119" authorId="2" shapeId="0" xr:uid="{00000000-0006-0000-1700-000051000000}">
      <text>
        <r>
          <rPr>
            <b/>
            <sz val="9"/>
            <color indexed="81"/>
            <rFont val="Tahoma"/>
            <family val="2"/>
          </rPr>
          <t>Construction Quality</t>
        </r>
      </text>
    </comment>
    <comment ref="O120" authorId="2" shapeId="0" xr:uid="{00000000-0006-0000-1700-000052000000}">
      <text>
        <r>
          <rPr>
            <b/>
            <sz val="9"/>
            <color indexed="81"/>
            <rFont val="Tahoma"/>
            <family val="2"/>
          </rPr>
          <t>Construction Class</t>
        </r>
      </text>
    </comment>
    <comment ref="O123" authorId="2" shapeId="0" xr:uid="{00000000-0006-0000-1700-000053000000}">
      <text>
        <r>
          <rPr>
            <b/>
            <sz val="9"/>
            <color indexed="81"/>
            <rFont val="Tahoma"/>
            <family val="2"/>
          </rPr>
          <t>Year Built</t>
        </r>
      </text>
    </comment>
    <comment ref="O124" authorId="2" shapeId="0" xr:uid="{00000000-0006-0000-1700-000054000000}">
      <text>
        <r>
          <rPr>
            <b/>
            <sz val="9"/>
            <color indexed="81"/>
            <rFont val="Tahoma"/>
            <family val="2"/>
          </rPr>
          <t>Year Built Comments</t>
        </r>
      </text>
    </comment>
    <comment ref="O125" authorId="2" shapeId="0" xr:uid="{00000000-0006-0000-1700-000055000000}">
      <text>
        <r>
          <rPr>
            <b/>
            <sz val="9"/>
            <color indexed="81"/>
            <rFont val="Tahoma"/>
            <family val="2"/>
          </rPr>
          <t>Effective Age at Sale</t>
        </r>
      </text>
    </comment>
    <comment ref="O126" authorId="2" shapeId="0" xr:uid="{00000000-0006-0000-1700-000056000000}">
      <text>
        <r>
          <rPr>
            <b/>
            <sz val="9"/>
            <color indexed="81"/>
            <rFont val="Tahoma"/>
            <family val="2"/>
          </rPr>
          <t>Rentable Area</t>
        </r>
      </text>
    </comment>
    <comment ref="O127" authorId="2" shapeId="0" xr:uid="{00000000-0006-0000-1700-000057000000}">
      <text>
        <r>
          <rPr>
            <b/>
            <sz val="9"/>
            <color indexed="81"/>
            <rFont val="Tahoma"/>
            <family val="2"/>
          </rPr>
          <t>GBA</t>
        </r>
      </text>
    </comment>
    <comment ref="O128" authorId="0" shapeId="0" xr:uid="{00000000-0006-0000-1700-000058000000}">
      <text>
        <r>
          <rPr>
            <b/>
            <sz val="9"/>
            <color indexed="81"/>
            <rFont val="Tahoma"/>
            <family val="2"/>
          </rPr>
          <t>Number of Units</t>
        </r>
      </text>
    </comment>
    <comment ref="O129" authorId="2" shapeId="0" xr:uid="{00000000-0006-0000-1700-000059000000}">
      <text>
        <r>
          <rPr>
            <b/>
            <sz val="9"/>
            <color indexed="81"/>
            <rFont val="Tahoma"/>
            <family val="2"/>
          </rPr>
          <t>Number of Stories</t>
        </r>
      </text>
    </comment>
    <comment ref="O130" authorId="2" shapeId="0" xr:uid="{00000000-0006-0000-1700-00005A000000}">
      <text>
        <r>
          <rPr>
            <b/>
            <sz val="9"/>
            <color indexed="81"/>
            <rFont val="Tahoma"/>
            <family val="2"/>
          </rPr>
          <t>Usable Land Acres</t>
        </r>
      </text>
    </comment>
    <comment ref="O131" authorId="2" shapeId="0" xr:uid="{00000000-0006-0000-1700-00005B000000}">
      <text>
        <r>
          <rPr>
            <b/>
            <sz val="9"/>
            <color indexed="81"/>
            <rFont val="Tahoma"/>
            <family val="2"/>
          </rPr>
          <t>Usable Land to Building Ratio</t>
        </r>
      </text>
    </comment>
    <comment ref="O132" authorId="0" shapeId="0" xr:uid="{00000000-0006-0000-1700-00005C000000}">
      <text>
        <r>
          <rPr>
            <b/>
            <sz val="9"/>
            <color indexed="81"/>
            <rFont val="Tahoma"/>
            <family val="2"/>
          </rPr>
          <t>Traffic Count</t>
        </r>
      </text>
    </comment>
    <comment ref="O133" authorId="0" shapeId="0" xr:uid="{00000000-0006-0000-1700-00005D000000}">
      <text>
        <r>
          <rPr>
            <b/>
            <sz val="9"/>
            <color indexed="81"/>
            <rFont val="Tahoma"/>
            <family val="2"/>
          </rPr>
          <t>Clear Height Average (Feet)</t>
        </r>
      </text>
    </comment>
    <comment ref="O134" authorId="2" shapeId="0" xr:uid="{00000000-0006-0000-1700-00005E000000}">
      <text>
        <r>
          <rPr>
            <b/>
            <sz val="9"/>
            <color indexed="81"/>
            <rFont val="Tahoma"/>
            <family val="2"/>
          </rPr>
          <t>Percent Office</t>
        </r>
      </text>
    </comment>
    <comment ref="O135" authorId="2" shapeId="0" xr:uid="{00000000-0006-0000-1700-00005F000000}">
      <text>
        <r>
          <rPr>
            <b/>
            <sz val="9"/>
            <color indexed="81"/>
            <rFont val="Tahoma"/>
            <family val="2"/>
          </rPr>
          <t>Percent Air Conditioned</t>
        </r>
      </text>
    </comment>
    <comment ref="O137" authorId="2" shapeId="0" xr:uid="{00000000-0006-0000-1700-000060000000}">
      <text>
        <r>
          <rPr>
            <b/>
            <sz val="9"/>
            <color indexed="81"/>
            <rFont val="Tahoma"/>
            <family val="2"/>
          </rPr>
          <t>&lt;&lt;Lower Left Corner&gt;&gt;</t>
        </r>
      </text>
    </comment>
    <comment ref="AA141" authorId="0" shapeId="0" xr:uid="{00000000-0006-0000-1700-000061000000}">
      <text>
        <r>
          <rPr>
            <b/>
            <sz val="9"/>
            <color indexed="81"/>
            <rFont val="Tahoma"/>
            <family val="2"/>
          </rPr>
          <t>&lt;&lt;Improved Sales&gt;&gt;&lt;&lt;Data Runs in Columns&gt;&gt;&lt;&lt;Bucket 2&gt;&gt;</t>
        </r>
      </text>
    </comment>
    <comment ref="AG141" authorId="2" shapeId="0" xr:uid="{00000000-0006-0000-1700-000062000000}">
      <text>
        <r>
          <rPr>
            <b/>
            <sz val="9"/>
            <color indexed="81"/>
            <rFont val="Tahoma"/>
            <family val="2"/>
          </rPr>
          <t>&lt;&lt;Upper Right Corner&gt;&gt;</t>
        </r>
      </text>
    </comment>
    <comment ref="AA142" authorId="2" shapeId="0" xr:uid="{00000000-0006-0000-1700-000063000000}">
      <text>
        <r>
          <rPr>
            <b/>
            <sz val="9"/>
            <color indexed="81"/>
            <rFont val="Tahoma"/>
            <family val="2"/>
          </rPr>
          <t>Sale ID</t>
        </r>
      </text>
    </comment>
    <comment ref="AA143" authorId="2" shapeId="0" xr:uid="{00000000-0006-0000-1700-000064000000}">
      <text>
        <r>
          <rPr>
            <b/>
            <sz val="9"/>
            <color indexed="81"/>
            <rFont val="Tahoma"/>
            <family val="2"/>
          </rPr>
          <t>Property Name</t>
        </r>
      </text>
    </comment>
    <comment ref="AA144" authorId="2" shapeId="0" xr:uid="{00000000-0006-0000-1700-000065000000}">
      <text>
        <r>
          <rPr>
            <b/>
            <sz val="9"/>
            <color indexed="81"/>
            <rFont val="Tahoma"/>
            <family val="2"/>
          </rPr>
          <t>Address</t>
        </r>
      </text>
    </comment>
    <comment ref="AA145" authorId="2" shapeId="0" xr:uid="{00000000-0006-0000-1700-000066000000}">
      <text>
        <r>
          <rPr>
            <b/>
            <sz val="9"/>
            <color indexed="81"/>
            <rFont val="Tahoma"/>
            <family val="2"/>
          </rPr>
          <t>City State</t>
        </r>
      </text>
    </comment>
    <comment ref="AA146" authorId="2" shapeId="0" xr:uid="{00000000-0006-0000-1700-000067000000}">
      <text>
        <r>
          <rPr>
            <b/>
            <sz val="9"/>
            <color indexed="81"/>
            <rFont val="Tahoma"/>
            <family val="2"/>
          </rPr>
          <t>Investment Class</t>
        </r>
      </text>
    </comment>
    <comment ref="AA147" authorId="2" shapeId="0" xr:uid="{00000000-0006-0000-1700-000068000000}">
      <text>
        <r>
          <rPr>
            <b/>
            <sz val="9"/>
            <color indexed="81"/>
            <rFont val="Tahoma"/>
            <family val="2"/>
          </rPr>
          <t>Tenancy</t>
        </r>
      </text>
    </comment>
    <comment ref="AA148" authorId="2" shapeId="0" xr:uid="{00000000-0006-0000-1700-000069000000}">
      <text>
        <r>
          <rPr>
            <b/>
            <sz val="9"/>
            <color indexed="81"/>
            <rFont val="Tahoma"/>
            <family val="2"/>
          </rPr>
          <t>Sale Status</t>
        </r>
      </text>
    </comment>
    <comment ref="AA149" authorId="2" shapeId="0" xr:uid="{00000000-0006-0000-1700-00006A000000}">
      <text>
        <r>
          <rPr>
            <b/>
            <sz val="9"/>
            <color indexed="81"/>
            <rFont val="Tahoma"/>
            <family val="2"/>
          </rPr>
          <t>Tax Parcel Number</t>
        </r>
      </text>
    </comment>
    <comment ref="AA151" authorId="2" shapeId="0" xr:uid="{00000000-0006-0000-1700-00006B000000}">
      <text>
        <r>
          <rPr>
            <b/>
            <sz val="9"/>
            <color indexed="81"/>
            <rFont val="Tahoma"/>
            <family val="2"/>
          </rPr>
          <t>Sale Date</t>
        </r>
      </text>
    </comment>
    <comment ref="AA152" authorId="2" shapeId="0" xr:uid="{00000000-0006-0000-1700-00006C000000}">
      <text>
        <r>
          <rPr>
            <b/>
            <sz val="9"/>
            <color indexed="81"/>
            <rFont val="Tahoma"/>
            <family val="2"/>
          </rPr>
          <t>Seller</t>
        </r>
      </text>
    </comment>
    <comment ref="AA153" authorId="2" shapeId="0" xr:uid="{00000000-0006-0000-1700-00006D000000}">
      <text>
        <r>
          <rPr>
            <b/>
            <sz val="9"/>
            <color indexed="81"/>
            <rFont val="Tahoma"/>
            <family val="2"/>
          </rPr>
          <t>Buyer</t>
        </r>
      </text>
    </comment>
    <comment ref="AA154" authorId="2" shapeId="0" xr:uid="{00000000-0006-0000-1700-00006E000000}">
      <text>
        <r>
          <rPr>
            <b/>
            <sz val="9"/>
            <color indexed="81"/>
            <rFont val="Tahoma"/>
            <family val="2"/>
          </rPr>
          <t>Recording Number</t>
        </r>
      </text>
    </comment>
    <comment ref="AA155" authorId="2" shapeId="0" xr:uid="{00000000-0006-0000-1700-00006F000000}">
      <text>
        <r>
          <rPr>
            <b/>
            <sz val="9"/>
            <color indexed="81"/>
            <rFont val="Tahoma"/>
            <family val="2"/>
          </rPr>
          <t>Book/Page</t>
        </r>
      </text>
    </comment>
    <comment ref="AA157" authorId="2" shapeId="0" xr:uid="{00000000-0006-0000-1700-000070000000}">
      <text>
        <r>
          <rPr>
            <b/>
            <sz val="9"/>
            <color indexed="81"/>
            <rFont val="Tahoma"/>
            <family val="2"/>
          </rPr>
          <t>Property Rights Conveyed</t>
        </r>
      </text>
    </comment>
    <comment ref="AA158" authorId="2" shapeId="0" xr:uid="{00000000-0006-0000-1700-000071000000}">
      <text>
        <r>
          <rPr>
            <b/>
            <sz val="9"/>
            <color indexed="81"/>
            <rFont val="Tahoma"/>
            <family val="2"/>
          </rPr>
          <t>Financing Terms</t>
        </r>
      </text>
    </comment>
    <comment ref="AA159" authorId="2" shapeId="0" xr:uid="{00000000-0006-0000-1700-000072000000}">
      <text>
        <r>
          <rPr>
            <b/>
            <sz val="9"/>
            <color indexed="81"/>
            <rFont val="Tahoma"/>
            <family val="2"/>
          </rPr>
          <t>Conditions of Sale</t>
        </r>
      </text>
    </comment>
    <comment ref="AA161" authorId="2" shapeId="0" xr:uid="{00000000-0006-0000-1700-000073000000}">
      <text>
        <r>
          <rPr>
            <b/>
            <sz val="9"/>
            <color indexed="81"/>
            <rFont val="Tahoma"/>
            <family val="2"/>
          </rPr>
          <t>Sale Price</t>
        </r>
      </text>
    </comment>
    <comment ref="AA164" authorId="2" shapeId="0" xr:uid="{00000000-0006-0000-1700-000074000000}">
      <text>
        <r>
          <rPr>
            <b/>
            <sz val="9"/>
            <color indexed="81"/>
            <rFont val="Tahoma"/>
            <family val="2"/>
          </rPr>
          <t>Contributory Value of Improvements</t>
        </r>
      </text>
    </comment>
    <comment ref="AA166" authorId="2" shapeId="0" xr:uid="{00000000-0006-0000-1700-000075000000}">
      <text>
        <r>
          <rPr>
            <b/>
            <sz val="9"/>
            <color indexed="81"/>
            <rFont val="Tahoma"/>
            <family val="2"/>
          </rPr>
          <t>Occupancy at Sale</t>
        </r>
      </text>
    </comment>
    <comment ref="AA167" authorId="0" shapeId="0" xr:uid="{00000000-0006-0000-1700-000076000000}">
      <text>
        <r>
          <rPr>
            <b/>
            <sz val="9"/>
            <color indexed="81"/>
            <rFont val="Tahoma"/>
            <family val="2"/>
          </rPr>
          <t>OAR (actual)</t>
        </r>
      </text>
    </comment>
    <comment ref="AA168" authorId="3" shapeId="0" xr:uid="{00000000-0006-0000-1700-000077000000}">
      <text>
        <r>
          <rPr>
            <b/>
            <sz val="8"/>
            <color indexed="81"/>
            <rFont val="Tahoma"/>
            <family val="2"/>
          </rPr>
          <t>EGIM (actual)</t>
        </r>
      </text>
    </comment>
    <comment ref="AA169" authorId="0" shapeId="0" xr:uid="{00000000-0006-0000-1700-000078000000}">
      <text>
        <r>
          <rPr>
            <b/>
            <sz val="9"/>
            <color indexed="81"/>
            <rFont val="Tahoma"/>
            <family val="2"/>
          </rPr>
          <t>NOI Per SF (actual)</t>
        </r>
      </text>
    </comment>
    <comment ref="AA170" authorId="0" shapeId="0" xr:uid="{00000000-0006-0000-1700-000079000000}">
      <text>
        <r>
          <rPr>
            <b/>
            <sz val="9"/>
            <color indexed="81"/>
            <rFont val="Tahoma"/>
            <family val="2"/>
          </rPr>
          <t>Remaining Lease Term at Sale</t>
        </r>
      </text>
    </comment>
    <comment ref="AA173" authorId="2" shapeId="0" xr:uid="{00000000-0006-0000-1700-00007A000000}">
      <text>
        <r>
          <rPr>
            <b/>
            <sz val="9"/>
            <color indexed="81"/>
            <rFont val="Tahoma"/>
            <family val="2"/>
          </rPr>
          <t>Adjusted Sale Price</t>
        </r>
      </text>
    </comment>
    <comment ref="AA181" authorId="2" shapeId="0" xr:uid="{00000000-0006-0000-1700-00007B000000}">
      <text>
        <r>
          <rPr>
            <b/>
            <sz val="9"/>
            <color indexed="81"/>
            <rFont val="Tahoma"/>
            <family val="2"/>
          </rPr>
          <t>Vacancy Percent (stabilized)</t>
        </r>
      </text>
    </comment>
    <comment ref="AA182" authorId="0" shapeId="0" xr:uid="{00000000-0006-0000-1700-00007C000000}">
      <text>
        <r>
          <rPr>
            <b/>
            <sz val="9"/>
            <color indexed="81"/>
            <rFont val="Tahoma"/>
            <family val="2"/>
          </rPr>
          <t>OAR (stabilized)</t>
        </r>
      </text>
    </comment>
    <comment ref="AA183" authorId="2" shapeId="0" xr:uid="{00000000-0006-0000-1700-00007D000000}">
      <text>
        <r>
          <rPr>
            <b/>
            <sz val="9"/>
            <color indexed="81"/>
            <rFont val="Tahoma"/>
            <family val="2"/>
          </rPr>
          <t>EGIM (stabilized)</t>
        </r>
      </text>
    </comment>
    <comment ref="AA184" authorId="0" shapeId="0" xr:uid="{00000000-0006-0000-1700-00007E000000}">
      <text>
        <r>
          <rPr>
            <b/>
            <sz val="9"/>
            <color indexed="81"/>
            <rFont val="Tahoma"/>
            <family val="2"/>
          </rPr>
          <t>NOI Per SF (stabilized)</t>
        </r>
      </text>
    </comment>
    <comment ref="AA186" authorId="2" shapeId="0" xr:uid="{00000000-0006-0000-1700-00007F000000}">
      <text>
        <r>
          <rPr>
            <b/>
            <sz val="9"/>
            <color indexed="81"/>
            <rFont val="Tahoma"/>
            <family val="2"/>
          </rPr>
          <t>Property Type</t>
        </r>
      </text>
    </comment>
    <comment ref="AA187" authorId="2" shapeId="0" xr:uid="{00000000-0006-0000-1700-000080000000}">
      <text>
        <r>
          <rPr>
            <b/>
            <sz val="9"/>
            <color indexed="81"/>
            <rFont val="Tahoma"/>
            <family val="2"/>
          </rPr>
          <t>Construction Quality</t>
        </r>
      </text>
    </comment>
    <comment ref="AA188" authorId="2" shapeId="0" xr:uid="{00000000-0006-0000-1700-000081000000}">
      <text>
        <r>
          <rPr>
            <b/>
            <sz val="9"/>
            <color indexed="81"/>
            <rFont val="Tahoma"/>
            <family val="2"/>
          </rPr>
          <t>Construction Class</t>
        </r>
      </text>
    </comment>
    <comment ref="AA191" authorId="2" shapeId="0" xr:uid="{00000000-0006-0000-1700-000082000000}">
      <text>
        <r>
          <rPr>
            <b/>
            <sz val="9"/>
            <color indexed="81"/>
            <rFont val="Tahoma"/>
            <family val="2"/>
          </rPr>
          <t>Year Built</t>
        </r>
      </text>
    </comment>
    <comment ref="AA192" authorId="2" shapeId="0" xr:uid="{00000000-0006-0000-1700-000083000000}">
      <text>
        <r>
          <rPr>
            <b/>
            <sz val="9"/>
            <color indexed="81"/>
            <rFont val="Tahoma"/>
            <family val="2"/>
          </rPr>
          <t>Year Built Comments</t>
        </r>
      </text>
    </comment>
    <comment ref="AA193" authorId="2" shapeId="0" xr:uid="{00000000-0006-0000-1700-000084000000}">
      <text>
        <r>
          <rPr>
            <b/>
            <sz val="9"/>
            <color indexed="81"/>
            <rFont val="Tahoma"/>
            <family val="2"/>
          </rPr>
          <t>Effective Age at Sale</t>
        </r>
      </text>
    </comment>
    <comment ref="AA194" authorId="2" shapeId="0" xr:uid="{00000000-0006-0000-1700-000085000000}">
      <text>
        <r>
          <rPr>
            <b/>
            <sz val="9"/>
            <color indexed="81"/>
            <rFont val="Tahoma"/>
            <family val="2"/>
          </rPr>
          <t>Rentable Area</t>
        </r>
      </text>
    </comment>
    <comment ref="AA195" authorId="2" shapeId="0" xr:uid="{00000000-0006-0000-1700-000086000000}">
      <text>
        <r>
          <rPr>
            <b/>
            <sz val="9"/>
            <color indexed="81"/>
            <rFont val="Tahoma"/>
            <family val="2"/>
          </rPr>
          <t>GBA</t>
        </r>
      </text>
    </comment>
    <comment ref="AA196" authorId="0" shapeId="0" xr:uid="{00000000-0006-0000-1700-000087000000}">
      <text>
        <r>
          <rPr>
            <b/>
            <sz val="9"/>
            <color indexed="81"/>
            <rFont val="Tahoma"/>
            <family val="2"/>
          </rPr>
          <t>Number of Units</t>
        </r>
      </text>
    </comment>
    <comment ref="AA197" authorId="2" shapeId="0" xr:uid="{00000000-0006-0000-1700-000088000000}">
      <text>
        <r>
          <rPr>
            <b/>
            <sz val="9"/>
            <color indexed="81"/>
            <rFont val="Tahoma"/>
            <family val="2"/>
          </rPr>
          <t>Number of Stories</t>
        </r>
      </text>
    </comment>
    <comment ref="AA198" authorId="2" shapeId="0" xr:uid="{00000000-0006-0000-1700-000089000000}">
      <text>
        <r>
          <rPr>
            <b/>
            <sz val="9"/>
            <color indexed="81"/>
            <rFont val="Tahoma"/>
            <family val="2"/>
          </rPr>
          <t>Usable Land Acres</t>
        </r>
      </text>
    </comment>
    <comment ref="AA199" authorId="2" shapeId="0" xr:uid="{00000000-0006-0000-1700-00008A000000}">
      <text>
        <r>
          <rPr>
            <b/>
            <sz val="9"/>
            <color indexed="81"/>
            <rFont val="Tahoma"/>
            <family val="2"/>
          </rPr>
          <t>Usable Land to Building Ratio</t>
        </r>
      </text>
    </comment>
    <comment ref="AA200" authorId="0" shapeId="0" xr:uid="{00000000-0006-0000-1700-00008B000000}">
      <text>
        <r>
          <rPr>
            <b/>
            <sz val="9"/>
            <color indexed="81"/>
            <rFont val="Tahoma"/>
            <family val="2"/>
          </rPr>
          <t>Traffic Count</t>
        </r>
      </text>
    </comment>
    <comment ref="AA201" authorId="0" shapeId="0" xr:uid="{00000000-0006-0000-1700-00008C000000}">
      <text>
        <r>
          <rPr>
            <b/>
            <sz val="9"/>
            <color indexed="81"/>
            <rFont val="Tahoma"/>
            <family val="2"/>
          </rPr>
          <t>Clear Height Average (Feet)</t>
        </r>
      </text>
    </comment>
    <comment ref="AA202" authorId="2" shapeId="0" xr:uid="{00000000-0006-0000-1700-00008D000000}">
      <text>
        <r>
          <rPr>
            <b/>
            <sz val="9"/>
            <color indexed="81"/>
            <rFont val="Tahoma"/>
            <family val="2"/>
          </rPr>
          <t>Percent Office</t>
        </r>
      </text>
    </comment>
    <comment ref="AA203" authorId="2" shapeId="0" xr:uid="{00000000-0006-0000-1700-00008E000000}">
      <text>
        <r>
          <rPr>
            <b/>
            <sz val="9"/>
            <color indexed="81"/>
            <rFont val="Tahoma"/>
            <family val="2"/>
          </rPr>
          <t>Percent Air Conditioned</t>
        </r>
      </text>
    </comment>
    <comment ref="AA205" authorId="2" shapeId="0" xr:uid="{00000000-0006-0000-1700-00008F000000}">
      <text>
        <r>
          <rPr>
            <b/>
            <sz val="9"/>
            <color indexed="81"/>
            <rFont val="Tahoma"/>
            <family val="2"/>
          </rPr>
          <t>&lt;&lt;Lower Left Corner&gt;&gt;</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1800-000001000000}">
      <text>
        <r>
          <rPr>
            <b/>
            <sz val="9"/>
            <color indexed="81"/>
            <rFont val="Tahoma"/>
            <family val="2"/>
          </rPr>
          <t>&lt;&lt;Not a Datappraise Worksheet&gt;&gt;</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pgilliam</author>
  </authors>
  <commentList>
    <comment ref="A1" authorId="0" shapeId="0" xr:uid="{00000000-0006-0000-1A00-000001000000}">
      <text>
        <r>
          <rPr>
            <b/>
            <sz val="9"/>
            <color indexed="81"/>
            <rFont val="Tahoma"/>
            <family val="2"/>
          </rPr>
          <t>&lt;&lt;Not a Datappraise Worksheet&gt;&gt;</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pgilliam@valbridge.com</author>
    <author>Jason Bennett</author>
    <author>pgilliam</author>
    <author>Paul Gilliam</author>
  </authors>
  <commentList>
    <comment ref="F7" authorId="0" shapeId="0" xr:uid="{00000000-0006-0000-1B00-000001000000}">
      <text>
        <r>
          <rPr>
            <b/>
            <sz val="9"/>
            <color indexed="81"/>
            <rFont val="Tahoma"/>
            <family val="2"/>
          </rPr>
          <t>&lt;&lt;Improved Sales&gt;&gt;&lt;&lt;Data Runs in Columns&gt;&gt;</t>
        </r>
      </text>
    </comment>
    <comment ref="J7" authorId="1" shapeId="0" xr:uid="{F1DBDF9B-3867-4F4B-A236-E8558E5863BB}">
      <text>
        <r>
          <rPr>
            <b/>
            <sz val="9"/>
            <color indexed="81"/>
            <rFont val="Tahoma"/>
            <family val="2"/>
          </rPr>
          <t>&lt;&lt;Upper Right Corner&gt;&gt;</t>
        </r>
      </text>
    </comment>
    <comment ref="F9" authorId="0" shapeId="0" xr:uid="{00000000-0006-0000-1B00-000003000000}">
      <text>
        <r>
          <rPr>
            <b/>
            <sz val="9"/>
            <color indexed="81"/>
            <rFont val="Tahoma"/>
            <family val="2"/>
          </rPr>
          <t>Sale ID</t>
        </r>
      </text>
    </comment>
    <comment ref="F10" authorId="0" shapeId="0" xr:uid="{00000000-0006-0000-1B00-000004000000}">
      <text>
        <r>
          <rPr>
            <b/>
            <sz val="9"/>
            <color indexed="81"/>
            <rFont val="Tahoma"/>
            <family val="2"/>
          </rPr>
          <t>Sale Date</t>
        </r>
      </text>
    </comment>
    <comment ref="F11" authorId="0" shapeId="0" xr:uid="{00000000-0006-0000-1B00-000005000000}">
      <text>
        <r>
          <rPr>
            <b/>
            <sz val="9"/>
            <color indexed="81"/>
            <rFont val="Tahoma"/>
            <family val="2"/>
          </rPr>
          <t>Property Name</t>
        </r>
      </text>
    </comment>
    <comment ref="F12" authorId="0" shapeId="0" xr:uid="{00000000-0006-0000-1B00-000006000000}">
      <text>
        <r>
          <rPr>
            <b/>
            <sz val="9"/>
            <color indexed="81"/>
            <rFont val="Tahoma"/>
            <family val="2"/>
          </rPr>
          <t>Rentable Area</t>
        </r>
      </text>
    </comment>
    <comment ref="F13" authorId="0" shapeId="0" xr:uid="{00000000-0006-0000-1B00-000007000000}">
      <text>
        <r>
          <rPr>
            <b/>
            <sz val="9"/>
            <color indexed="81"/>
            <rFont val="Tahoma"/>
            <family val="2"/>
          </rPr>
          <t>GBA</t>
        </r>
      </text>
    </comment>
    <comment ref="F14" authorId="2" shapeId="0" xr:uid="{00000000-0006-0000-1B00-000008000000}">
      <text>
        <r>
          <rPr>
            <b/>
            <sz val="9"/>
            <color indexed="81"/>
            <rFont val="Tahoma"/>
            <family val="2"/>
          </rPr>
          <t>Number of Units</t>
        </r>
      </text>
    </comment>
    <comment ref="F15" authorId="0" shapeId="0" xr:uid="{00000000-0006-0000-1B00-000009000000}">
      <text>
        <r>
          <rPr>
            <b/>
            <sz val="9"/>
            <color indexed="81"/>
            <rFont val="Tahoma"/>
            <family val="2"/>
          </rPr>
          <t>Usable Land Acres</t>
        </r>
      </text>
    </comment>
    <comment ref="F18" authorId="0" shapeId="0" xr:uid="{00000000-0006-0000-1B00-00000A000000}">
      <text>
        <r>
          <rPr>
            <b/>
            <sz val="9"/>
            <color indexed="81"/>
            <rFont val="Tahoma"/>
            <family val="2"/>
          </rPr>
          <t>Sale Price</t>
        </r>
      </text>
    </comment>
    <comment ref="F19" authorId="0" shapeId="0" xr:uid="{00000000-0006-0000-1B00-00000B000000}">
      <text>
        <r>
          <rPr>
            <b/>
            <sz val="9"/>
            <color indexed="81"/>
            <rFont val="Tahoma"/>
            <family val="2"/>
          </rPr>
          <t>Contributory Value of Land</t>
        </r>
      </text>
    </comment>
    <comment ref="F24" authorId="0" shapeId="0" xr:uid="{00000000-0006-0000-1B00-00000C000000}">
      <text>
        <r>
          <rPr>
            <b/>
            <sz val="9"/>
            <color indexed="81"/>
            <rFont val="Tahoma"/>
            <family val="2"/>
          </rPr>
          <t>Property Rights Conveyed</t>
        </r>
      </text>
    </comment>
    <comment ref="F31" authorId="0" shapeId="0" xr:uid="{00000000-0006-0000-1B00-00000D000000}">
      <text>
        <r>
          <rPr>
            <b/>
            <sz val="9"/>
            <color indexed="81"/>
            <rFont val="Tahoma"/>
            <family val="2"/>
          </rPr>
          <t>Financing Terms</t>
        </r>
      </text>
    </comment>
    <comment ref="F34" authorId="0" shapeId="0" xr:uid="{00000000-0006-0000-1B00-00000E000000}">
      <text>
        <r>
          <rPr>
            <b/>
            <sz val="9"/>
            <color indexed="81"/>
            <rFont val="Tahoma"/>
            <family val="2"/>
          </rPr>
          <t>Financing Terms Adj $</t>
        </r>
      </text>
    </comment>
    <comment ref="F38" authorId="0" shapeId="0" xr:uid="{00000000-0006-0000-1B00-00000F000000}">
      <text>
        <r>
          <rPr>
            <b/>
            <sz val="9"/>
            <color indexed="81"/>
            <rFont val="Tahoma"/>
            <family val="2"/>
          </rPr>
          <t>Conditions of Sale</t>
        </r>
      </text>
    </comment>
    <comment ref="F41" authorId="0" shapeId="0" xr:uid="{00000000-0006-0000-1B00-000010000000}">
      <text>
        <r>
          <rPr>
            <b/>
            <sz val="9"/>
            <color indexed="81"/>
            <rFont val="Tahoma"/>
            <family val="2"/>
          </rPr>
          <t>Conditions of Sale Adj $</t>
        </r>
      </text>
    </comment>
    <comment ref="F42" authorId="0" shapeId="0" xr:uid="{00000000-0006-0000-1B00-000011000000}">
      <text>
        <r>
          <rPr>
            <b/>
            <sz val="9"/>
            <color indexed="81"/>
            <rFont val="Tahoma"/>
            <family val="2"/>
          </rPr>
          <t>Excess Land Value</t>
        </r>
      </text>
    </comment>
    <comment ref="F46" authorId="0" shapeId="0" xr:uid="{00000000-0006-0000-1B00-000012000000}">
      <text>
        <r>
          <rPr>
            <b/>
            <sz val="9"/>
            <color indexed="81"/>
            <rFont val="Tahoma"/>
            <family val="2"/>
          </rPr>
          <t>Expenditures After Purchase $</t>
        </r>
      </text>
    </comment>
    <comment ref="D57" authorId="0" shapeId="0" xr:uid="{00000000-0006-0000-1B00-000013000000}">
      <text>
        <r>
          <rPr>
            <b/>
            <sz val="9"/>
            <color indexed="81"/>
            <rFont val="Tahoma"/>
            <family val="2"/>
          </rPr>
          <t>This category is inapproriate when using land extranction method</t>
        </r>
      </text>
    </comment>
    <comment ref="F57" authorId="0" shapeId="0" xr:uid="{00000000-0006-0000-1B00-000014000000}">
      <text>
        <r>
          <rPr>
            <b/>
            <sz val="9"/>
            <color indexed="81"/>
            <rFont val="Tahoma"/>
            <family val="2"/>
          </rPr>
          <t>Address</t>
        </r>
      </text>
    </comment>
    <comment ref="F58" authorId="0" shapeId="0" xr:uid="{00000000-0006-0000-1B00-000015000000}">
      <text>
        <r>
          <rPr>
            <b/>
            <sz val="9"/>
            <color indexed="81"/>
            <rFont val="Tahoma"/>
            <family val="2"/>
          </rPr>
          <t>City State</t>
        </r>
      </text>
    </comment>
    <comment ref="F71" authorId="0" shapeId="0" xr:uid="{00000000-0006-0000-1B00-000016000000}">
      <text>
        <r>
          <rPr>
            <b/>
            <sz val="9"/>
            <color indexed="81"/>
            <rFont val="Tahoma"/>
            <family val="2"/>
          </rPr>
          <t>Year Built</t>
        </r>
      </text>
    </comment>
    <comment ref="F72" authorId="0" shapeId="0" xr:uid="{00000000-0006-0000-1B00-000017000000}">
      <text>
        <r>
          <rPr>
            <b/>
            <sz val="9"/>
            <color indexed="81"/>
            <rFont val="Tahoma"/>
            <family val="2"/>
          </rPr>
          <t>Year Built Comments</t>
        </r>
      </text>
    </comment>
    <comment ref="F73" authorId="0" shapeId="0" xr:uid="{00000000-0006-0000-1B00-000018000000}">
      <text>
        <r>
          <rPr>
            <b/>
            <sz val="9"/>
            <color indexed="81"/>
            <rFont val="Tahoma"/>
            <family val="2"/>
          </rPr>
          <t>Building Condition</t>
        </r>
      </text>
    </comment>
    <comment ref="F74" authorId="0" shapeId="0" xr:uid="{00000000-0006-0000-1B00-000019000000}">
      <text>
        <r>
          <rPr>
            <b/>
            <sz val="9"/>
            <color indexed="81"/>
            <rFont val="Tahoma"/>
            <family val="2"/>
          </rPr>
          <t>Effective Age at Sale</t>
        </r>
      </text>
    </comment>
    <comment ref="F75" authorId="0" shapeId="0" xr:uid="{00000000-0006-0000-1B00-00001A000000}">
      <text>
        <r>
          <rPr>
            <b/>
            <sz val="9"/>
            <color indexed="81"/>
            <rFont val="Tahoma"/>
            <family val="2"/>
          </rPr>
          <t>Remaining Economic Life</t>
        </r>
      </text>
    </comment>
    <comment ref="F83" authorId="0" shapeId="0" xr:uid="{00000000-0006-0000-1B00-00001B000000}">
      <text>
        <r>
          <rPr>
            <b/>
            <sz val="9"/>
            <color indexed="81"/>
            <rFont val="Tahoma"/>
            <family val="2"/>
          </rPr>
          <t>Construction Quality</t>
        </r>
      </text>
    </comment>
    <comment ref="F84" authorId="0" shapeId="0" xr:uid="{00000000-0006-0000-1B00-00001C000000}">
      <text>
        <r>
          <rPr>
            <b/>
            <sz val="9"/>
            <color indexed="81"/>
            <rFont val="Tahoma"/>
            <family val="2"/>
          </rPr>
          <t>Construction Class</t>
        </r>
      </text>
    </comment>
    <comment ref="F85" authorId="2" shapeId="0" xr:uid="{00000000-0006-0000-1B00-00001D000000}">
      <text>
        <r>
          <rPr>
            <b/>
            <sz val="9"/>
            <color indexed="81"/>
            <rFont val="Tahoma"/>
            <family val="2"/>
          </rPr>
          <t>Investment Class</t>
        </r>
      </text>
    </comment>
    <comment ref="D91" authorId="0" shapeId="0" xr:uid="{00000000-0006-0000-1B00-00001E000000}">
      <text>
        <r>
          <rPr>
            <b/>
            <sz val="9"/>
            <color indexed="81"/>
            <rFont val="Tahoma"/>
            <family val="2"/>
          </rPr>
          <t>This category encompasses a number of factors; therefore, User may:
1. Add Datappraise Insert Field in Cell F76
2. Manually type comment for each comprable
3. Leave Blank</t>
        </r>
      </text>
    </comment>
    <comment ref="D97" authorId="0" shapeId="0" xr:uid="{00000000-0006-0000-1B00-00001F000000}">
      <text>
        <r>
          <rPr>
            <b/>
            <u/>
            <sz val="9"/>
            <color indexed="81"/>
            <rFont val="Tahoma"/>
            <family val="2"/>
          </rPr>
          <t>Automated Category</t>
        </r>
        <r>
          <rPr>
            <b/>
            <sz val="9"/>
            <color indexed="81"/>
            <rFont val="Tahoma"/>
            <family val="2"/>
          </rPr>
          <t xml:space="preserve">
See Automated Adjustments Sheet to modify or can be overridden to right</t>
        </r>
      </text>
    </comment>
    <comment ref="F97" authorId="0" shapeId="0" xr:uid="{00000000-0006-0000-1B00-000020000000}">
      <text>
        <r>
          <rPr>
            <b/>
            <sz val="9"/>
            <color indexed="81"/>
            <rFont val="Tahoma"/>
            <family val="2"/>
          </rPr>
          <t>Clear Height Average (Feet)</t>
        </r>
      </text>
    </comment>
    <comment ref="D103" authorId="0" shapeId="0" xr:uid="{00000000-0006-0000-1B00-000021000000}">
      <text>
        <r>
          <rPr>
            <b/>
            <u/>
            <sz val="9"/>
            <color indexed="81"/>
            <rFont val="Tahoma"/>
            <family val="2"/>
          </rPr>
          <t>Automated Category</t>
        </r>
        <r>
          <rPr>
            <b/>
            <sz val="9"/>
            <color indexed="81"/>
            <rFont val="Tahoma"/>
            <family val="2"/>
          </rPr>
          <t xml:space="preserve">
See Automated Adjustments Sheet to modify or can be overridden to right</t>
        </r>
      </text>
    </comment>
    <comment ref="F103" authorId="0" shapeId="0" xr:uid="{00000000-0006-0000-1B00-000022000000}">
      <text>
        <r>
          <rPr>
            <b/>
            <sz val="9"/>
            <color indexed="81"/>
            <rFont val="Tahoma"/>
            <family val="2"/>
          </rPr>
          <t>Percent Office</t>
        </r>
      </text>
    </comment>
    <comment ref="D109" authorId="0" shapeId="0" xr:uid="{00000000-0006-0000-1B00-000023000000}">
      <text>
        <r>
          <rPr>
            <b/>
            <u/>
            <sz val="9"/>
            <color indexed="81"/>
            <rFont val="Tahoma"/>
            <family val="2"/>
          </rPr>
          <t>Automated Category</t>
        </r>
        <r>
          <rPr>
            <b/>
            <sz val="9"/>
            <color indexed="81"/>
            <rFont val="Tahoma"/>
            <family val="2"/>
          </rPr>
          <t xml:space="preserve">
See Automated Adjustments Sheet to modify or can be overridden to right
This adjustment is inappropriate when using Land Extraction Method</t>
        </r>
      </text>
    </comment>
    <comment ref="F109" authorId="0" shapeId="0" xr:uid="{00000000-0006-0000-1B00-000024000000}">
      <text>
        <r>
          <rPr>
            <b/>
            <sz val="9"/>
            <color indexed="81"/>
            <rFont val="Tahoma"/>
            <family val="2"/>
          </rPr>
          <t>Usable Land to Building Ratio</t>
        </r>
      </text>
    </comment>
    <comment ref="F115" authorId="2" shapeId="0" xr:uid="{00000000-0006-0000-1B00-000025000000}">
      <text>
        <r>
          <rPr>
            <b/>
            <sz val="9"/>
            <color indexed="81"/>
            <rFont val="Tahoma"/>
            <family val="2"/>
          </rPr>
          <t>Parking Ratio NRA</t>
        </r>
      </text>
    </comment>
    <comment ref="F127" authorId="3" shapeId="0" xr:uid="{3C2F265C-17E2-4B83-AE2B-C6A15449D174}">
      <text>
        <r>
          <rPr>
            <b/>
            <sz val="9"/>
            <color indexed="81"/>
            <rFont val="Tahoma"/>
            <family val="2"/>
          </rPr>
          <t>Non Realty Items Desc</t>
        </r>
      </text>
    </comment>
    <comment ref="F130" authorId="0" shapeId="0" xr:uid="{00000000-0006-0000-1B00-000027000000}">
      <text>
        <r>
          <rPr>
            <b/>
            <sz val="9"/>
            <color indexed="81"/>
            <rFont val="Tahoma"/>
            <family val="2"/>
          </rPr>
          <t>Non Realty Items $</t>
        </r>
      </text>
    </comment>
    <comment ref="D133" authorId="0" shapeId="0" xr:uid="{00000000-0006-0000-1B00-000028000000}">
      <text>
        <r>
          <rPr>
            <b/>
            <sz val="9"/>
            <color indexed="81"/>
            <rFont val="Tahoma"/>
            <family val="2"/>
          </rPr>
          <t>User may:
1. Add Datappraise Insert Field in Cell F125
2. Manually type comment for each comparable
3. Leave Blank</t>
        </r>
      </text>
    </comment>
    <comment ref="D139" authorId="0" shapeId="0" xr:uid="{00000000-0006-0000-1B00-000029000000}">
      <text>
        <r>
          <rPr>
            <b/>
            <sz val="9"/>
            <color indexed="81"/>
            <rFont val="Tahoma"/>
            <family val="2"/>
          </rPr>
          <t>User may:
1. Add Datappraise Insert Field in Cell F131
2. Manually type comment for each comparable
3. Leave Blank</t>
        </r>
      </text>
    </comment>
    <comment ref="F144" authorId="0" shapeId="0" xr:uid="{00000000-0006-0000-1B00-00002A000000}">
      <text>
        <r>
          <rPr>
            <b/>
            <sz val="9"/>
            <color indexed="81"/>
            <rFont val="Tahoma"/>
            <family val="2"/>
          </rPr>
          <t>&lt;&lt;Lower Left Corner&gt;&gt;</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1900-000001000000}">
      <text>
        <r>
          <rPr>
            <b/>
            <sz val="9"/>
            <color indexed="81"/>
            <rFont val="Tahoma"/>
            <family val="2"/>
          </rPr>
          <t>&lt;&lt;Not a Datappraise Worksheet&gt;&gt;</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pgilliam</author>
  </authors>
  <commentList>
    <comment ref="A1" authorId="0" shapeId="0" xr:uid="{00000000-0006-0000-1C00-000001000000}">
      <text>
        <r>
          <rPr>
            <b/>
            <sz val="9"/>
            <color indexed="81"/>
            <rFont val="Tahoma"/>
            <family val="2"/>
          </rPr>
          <t>&lt;&lt;Not a Datappraise Worksheet&gt;&gt;</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pgilliam</author>
    <author>pgilliam@valbridge.com</author>
  </authors>
  <commentList>
    <comment ref="F7" authorId="0" shapeId="0" xr:uid="{00000000-0006-0000-1D00-000001000000}">
      <text>
        <r>
          <rPr>
            <b/>
            <sz val="9"/>
            <color indexed="81"/>
            <rFont val="Tahoma"/>
            <family val="2"/>
          </rPr>
          <t>&lt;&lt;Improved Sales&gt;&gt;&lt;&lt;Data Runs in Columns&gt;&gt;&lt;&lt;Bucket 01&gt;&gt;</t>
        </r>
      </text>
    </comment>
    <comment ref="L7" authorId="0" shapeId="0" xr:uid="{00000000-0006-0000-1D00-000002000000}">
      <text>
        <r>
          <rPr>
            <b/>
            <sz val="9"/>
            <color indexed="81"/>
            <rFont val="Tahoma"/>
            <family val="2"/>
          </rPr>
          <t>&lt;&lt;Upper Right Corner&gt;&gt;</t>
        </r>
      </text>
    </comment>
    <comment ref="F9" authorId="1" shapeId="0" xr:uid="{00000000-0006-0000-1D00-000003000000}">
      <text>
        <r>
          <rPr>
            <b/>
            <sz val="9"/>
            <color indexed="81"/>
            <rFont val="Tahoma"/>
            <family val="2"/>
          </rPr>
          <t>Sale ID</t>
        </r>
      </text>
    </comment>
    <comment ref="F10" authorId="1" shapeId="0" xr:uid="{00000000-0006-0000-1D00-000004000000}">
      <text>
        <r>
          <rPr>
            <b/>
            <sz val="9"/>
            <color indexed="81"/>
            <rFont val="Tahoma"/>
            <family val="2"/>
          </rPr>
          <t>Sale Date</t>
        </r>
      </text>
    </comment>
    <comment ref="F11" authorId="1" shapeId="0" xr:uid="{00000000-0006-0000-1D00-000005000000}">
      <text>
        <r>
          <rPr>
            <b/>
            <sz val="9"/>
            <color indexed="81"/>
            <rFont val="Tahoma"/>
            <family val="2"/>
          </rPr>
          <t>Property Name</t>
        </r>
      </text>
    </comment>
    <comment ref="F12" authorId="1" shapeId="0" xr:uid="{00000000-0006-0000-1D00-000006000000}">
      <text>
        <r>
          <rPr>
            <b/>
            <sz val="9"/>
            <color indexed="81"/>
            <rFont val="Tahoma"/>
            <family val="2"/>
          </rPr>
          <t>Rentable Area</t>
        </r>
      </text>
    </comment>
    <comment ref="F13" authorId="1" shapeId="0" xr:uid="{00000000-0006-0000-1D00-000007000000}">
      <text>
        <r>
          <rPr>
            <b/>
            <sz val="9"/>
            <color indexed="81"/>
            <rFont val="Tahoma"/>
            <family val="2"/>
          </rPr>
          <t>GBA</t>
        </r>
      </text>
    </comment>
    <comment ref="F14" authorId="0" shapeId="0" xr:uid="{00000000-0006-0000-1D00-000008000000}">
      <text>
        <r>
          <rPr>
            <b/>
            <sz val="9"/>
            <color indexed="81"/>
            <rFont val="Tahoma"/>
            <family val="2"/>
          </rPr>
          <t>Number of Units</t>
        </r>
      </text>
    </comment>
    <comment ref="F15" authorId="1" shapeId="0" xr:uid="{00000000-0006-0000-1D00-000009000000}">
      <text>
        <r>
          <rPr>
            <b/>
            <sz val="9"/>
            <color indexed="81"/>
            <rFont val="Tahoma"/>
            <family val="2"/>
          </rPr>
          <t>Usable Land Acres</t>
        </r>
      </text>
    </comment>
    <comment ref="F18" authorId="1" shapeId="0" xr:uid="{00000000-0006-0000-1D00-00000A000000}">
      <text>
        <r>
          <rPr>
            <b/>
            <sz val="9"/>
            <color indexed="81"/>
            <rFont val="Tahoma"/>
            <family val="2"/>
          </rPr>
          <t>Sale Price</t>
        </r>
      </text>
    </comment>
    <comment ref="F19" authorId="1" shapeId="0" xr:uid="{00000000-0006-0000-1D00-00000B000000}">
      <text>
        <r>
          <rPr>
            <b/>
            <sz val="9"/>
            <color indexed="81"/>
            <rFont val="Tahoma"/>
            <family val="2"/>
          </rPr>
          <t>Contributory Value of Land</t>
        </r>
      </text>
    </comment>
    <comment ref="F24" authorId="1" shapeId="0" xr:uid="{00000000-0006-0000-1D00-00000C000000}">
      <text>
        <r>
          <rPr>
            <b/>
            <sz val="9"/>
            <color indexed="81"/>
            <rFont val="Tahoma"/>
            <family val="2"/>
          </rPr>
          <t>Property Rights Conveyed</t>
        </r>
      </text>
    </comment>
    <comment ref="F31" authorId="1" shapeId="0" xr:uid="{00000000-0006-0000-1D00-00000D000000}">
      <text>
        <r>
          <rPr>
            <b/>
            <sz val="9"/>
            <color indexed="81"/>
            <rFont val="Tahoma"/>
            <family val="2"/>
          </rPr>
          <t>Financing Terms</t>
        </r>
      </text>
    </comment>
    <comment ref="F34" authorId="1" shapeId="0" xr:uid="{00000000-0006-0000-1D00-00000E000000}">
      <text>
        <r>
          <rPr>
            <b/>
            <sz val="9"/>
            <color indexed="81"/>
            <rFont val="Tahoma"/>
            <family val="2"/>
          </rPr>
          <t>Financing Terms Adj $</t>
        </r>
      </text>
    </comment>
    <comment ref="F38" authorId="1" shapeId="0" xr:uid="{00000000-0006-0000-1D00-00000F000000}">
      <text>
        <r>
          <rPr>
            <b/>
            <sz val="9"/>
            <color indexed="81"/>
            <rFont val="Tahoma"/>
            <family val="2"/>
          </rPr>
          <t>Conditions of Sale</t>
        </r>
      </text>
    </comment>
    <comment ref="F41" authorId="1" shapeId="0" xr:uid="{00000000-0006-0000-1D00-000010000000}">
      <text>
        <r>
          <rPr>
            <b/>
            <sz val="9"/>
            <color indexed="81"/>
            <rFont val="Tahoma"/>
            <family val="2"/>
          </rPr>
          <t>Conditions of Sale Adj $</t>
        </r>
      </text>
    </comment>
    <comment ref="F42" authorId="1" shapeId="0" xr:uid="{00000000-0006-0000-1D00-000011000000}">
      <text>
        <r>
          <rPr>
            <b/>
            <sz val="9"/>
            <color indexed="81"/>
            <rFont val="Tahoma"/>
            <family val="2"/>
          </rPr>
          <t>Excess Land Value</t>
        </r>
      </text>
    </comment>
    <comment ref="F46" authorId="1" shapeId="0" xr:uid="{00000000-0006-0000-1D00-000012000000}">
      <text>
        <r>
          <rPr>
            <b/>
            <sz val="9"/>
            <color indexed="81"/>
            <rFont val="Tahoma"/>
            <family val="2"/>
          </rPr>
          <t>Expenditures After Purchase $</t>
        </r>
      </text>
    </comment>
    <comment ref="D57" authorId="1" shapeId="0" xr:uid="{00000000-0006-0000-1D00-000013000000}">
      <text>
        <r>
          <rPr>
            <b/>
            <sz val="9"/>
            <color indexed="81"/>
            <rFont val="Tahoma"/>
            <family val="2"/>
          </rPr>
          <t>This category is inapproriate when using land extranction method</t>
        </r>
      </text>
    </comment>
    <comment ref="F57" authorId="1" shapeId="0" xr:uid="{00000000-0006-0000-1D00-000014000000}">
      <text>
        <r>
          <rPr>
            <b/>
            <sz val="9"/>
            <color indexed="81"/>
            <rFont val="Tahoma"/>
            <family val="2"/>
          </rPr>
          <t>Address</t>
        </r>
      </text>
    </comment>
    <comment ref="F58" authorId="1" shapeId="0" xr:uid="{00000000-0006-0000-1D00-000015000000}">
      <text>
        <r>
          <rPr>
            <b/>
            <sz val="9"/>
            <color indexed="81"/>
            <rFont val="Tahoma"/>
            <family val="2"/>
          </rPr>
          <t>City State</t>
        </r>
      </text>
    </comment>
    <comment ref="F71" authorId="1" shapeId="0" xr:uid="{00000000-0006-0000-1D00-000016000000}">
      <text>
        <r>
          <rPr>
            <b/>
            <sz val="9"/>
            <color indexed="81"/>
            <rFont val="Tahoma"/>
            <family val="2"/>
          </rPr>
          <t>Year Built</t>
        </r>
      </text>
    </comment>
    <comment ref="F72" authorId="1" shapeId="0" xr:uid="{00000000-0006-0000-1D00-000017000000}">
      <text>
        <r>
          <rPr>
            <b/>
            <sz val="9"/>
            <color indexed="81"/>
            <rFont val="Tahoma"/>
            <family val="2"/>
          </rPr>
          <t>Year Built Comments</t>
        </r>
      </text>
    </comment>
    <comment ref="F73" authorId="1" shapeId="0" xr:uid="{00000000-0006-0000-1D00-000018000000}">
      <text>
        <r>
          <rPr>
            <b/>
            <sz val="9"/>
            <color indexed="81"/>
            <rFont val="Tahoma"/>
            <family val="2"/>
          </rPr>
          <t>Building Condition</t>
        </r>
      </text>
    </comment>
    <comment ref="F74" authorId="1" shapeId="0" xr:uid="{00000000-0006-0000-1D00-000019000000}">
      <text>
        <r>
          <rPr>
            <b/>
            <sz val="9"/>
            <color indexed="81"/>
            <rFont val="Tahoma"/>
            <family val="2"/>
          </rPr>
          <t>Effective Age at Sale</t>
        </r>
      </text>
    </comment>
    <comment ref="F75" authorId="1" shapeId="0" xr:uid="{00000000-0006-0000-1D00-00001A000000}">
      <text>
        <r>
          <rPr>
            <b/>
            <sz val="9"/>
            <color indexed="81"/>
            <rFont val="Tahoma"/>
            <family val="2"/>
          </rPr>
          <t>Remaining Economic Life</t>
        </r>
      </text>
    </comment>
    <comment ref="F83" authorId="1" shapeId="0" xr:uid="{00000000-0006-0000-1D00-00001B000000}">
      <text>
        <r>
          <rPr>
            <b/>
            <sz val="9"/>
            <color indexed="81"/>
            <rFont val="Tahoma"/>
            <family val="2"/>
          </rPr>
          <t>Construction Quality</t>
        </r>
      </text>
    </comment>
    <comment ref="F84" authorId="1" shapeId="0" xr:uid="{00000000-0006-0000-1D00-00001C000000}">
      <text>
        <r>
          <rPr>
            <b/>
            <sz val="9"/>
            <color indexed="81"/>
            <rFont val="Tahoma"/>
            <family val="2"/>
          </rPr>
          <t>Construction Class</t>
        </r>
      </text>
    </comment>
    <comment ref="F85" authorId="0" shapeId="0" xr:uid="{00000000-0006-0000-1D00-00001D000000}">
      <text>
        <r>
          <rPr>
            <b/>
            <sz val="9"/>
            <color indexed="81"/>
            <rFont val="Tahoma"/>
            <family val="2"/>
          </rPr>
          <t>Investment Class</t>
        </r>
      </text>
    </comment>
    <comment ref="D91" authorId="1" shapeId="0" xr:uid="{00000000-0006-0000-1D00-00001E000000}">
      <text>
        <r>
          <rPr>
            <b/>
            <sz val="9"/>
            <color indexed="81"/>
            <rFont val="Tahoma"/>
            <family val="2"/>
          </rPr>
          <t>This category encompasses a number of factors; therefore, User may:
1. Add Datappraise Insert Field in Cell F76
2. Manually type comment for each comprable
3. Leave Blank</t>
        </r>
      </text>
    </comment>
    <comment ref="D97" authorId="1" shapeId="0" xr:uid="{00000000-0006-0000-1D00-00001F000000}">
      <text>
        <r>
          <rPr>
            <b/>
            <u/>
            <sz val="9"/>
            <color indexed="81"/>
            <rFont val="Tahoma"/>
            <family val="2"/>
          </rPr>
          <t>Automated Category</t>
        </r>
        <r>
          <rPr>
            <b/>
            <sz val="9"/>
            <color indexed="81"/>
            <rFont val="Tahoma"/>
            <family val="2"/>
          </rPr>
          <t xml:space="preserve">
See Automated Adjustments Sheet to modify or can be overridden to right</t>
        </r>
      </text>
    </comment>
    <comment ref="F97" authorId="1" shapeId="0" xr:uid="{00000000-0006-0000-1D00-000020000000}">
      <text>
        <r>
          <rPr>
            <b/>
            <sz val="9"/>
            <color indexed="81"/>
            <rFont val="Tahoma"/>
            <family val="2"/>
          </rPr>
          <t>Clear Height Average (Feet)</t>
        </r>
      </text>
    </comment>
    <comment ref="D103" authorId="1" shapeId="0" xr:uid="{00000000-0006-0000-1D00-000021000000}">
      <text>
        <r>
          <rPr>
            <b/>
            <u/>
            <sz val="9"/>
            <color indexed="81"/>
            <rFont val="Tahoma"/>
            <family val="2"/>
          </rPr>
          <t>Automated Category</t>
        </r>
        <r>
          <rPr>
            <b/>
            <sz val="9"/>
            <color indexed="81"/>
            <rFont val="Tahoma"/>
            <family val="2"/>
          </rPr>
          <t xml:space="preserve">
See Automated Adjustments Sheet to modify or can be overridden to right</t>
        </r>
      </text>
    </comment>
    <comment ref="F103" authorId="1" shapeId="0" xr:uid="{00000000-0006-0000-1D00-000022000000}">
      <text>
        <r>
          <rPr>
            <b/>
            <sz val="9"/>
            <color indexed="81"/>
            <rFont val="Tahoma"/>
            <family val="2"/>
          </rPr>
          <t>Percent Office</t>
        </r>
      </text>
    </comment>
    <comment ref="D109" authorId="1" shapeId="0" xr:uid="{00000000-0006-0000-1D00-000023000000}">
      <text>
        <r>
          <rPr>
            <b/>
            <u/>
            <sz val="9"/>
            <color indexed="81"/>
            <rFont val="Tahoma"/>
            <family val="2"/>
          </rPr>
          <t>Automated Category</t>
        </r>
        <r>
          <rPr>
            <b/>
            <sz val="9"/>
            <color indexed="81"/>
            <rFont val="Tahoma"/>
            <family val="2"/>
          </rPr>
          <t xml:space="preserve">
See Automated Adjustments Sheet to modify or can be overridden to right
This adjustment is inappropriate when using Land Extraction Method</t>
        </r>
      </text>
    </comment>
    <comment ref="F109" authorId="1" shapeId="0" xr:uid="{00000000-0006-0000-1D00-000024000000}">
      <text>
        <r>
          <rPr>
            <b/>
            <sz val="9"/>
            <color indexed="81"/>
            <rFont val="Tahoma"/>
            <family val="2"/>
          </rPr>
          <t>Usable Land to Building Ratio</t>
        </r>
      </text>
    </comment>
    <comment ref="F115" authorId="0" shapeId="0" xr:uid="{00000000-0006-0000-1D00-000025000000}">
      <text>
        <r>
          <rPr>
            <b/>
            <sz val="9"/>
            <color indexed="81"/>
            <rFont val="Tahoma"/>
            <family val="2"/>
          </rPr>
          <t>Parking Ratio NRA</t>
        </r>
      </text>
    </comment>
    <comment ref="F127" authorId="1" shapeId="0" xr:uid="{00000000-0006-0000-1D00-000026000000}">
      <text>
        <r>
          <rPr>
            <b/>
            <sz val="9"/>
            <color indexed="81"/>
            <rFont val="Tahoma"/>
            <family val="2"/>
          </rPr>
          <t>Non Realty Items Desc</t>
        </r>
      </text>
    </comment>
    <comment ref="F130" authorId="1" shapeId="0" xr:uid="{00000000-0006-0000-1D00-000027000000}">
      <text>
        <r>
          <rPr>
            <b/>
            <sz val="9"/>
            <color indexed="81"/>
            <rFont val="Tahoma"/>
            <family val="2"/>
          </rPr>
          <t>Non Realty Items $</t>
        </r>
      </text>
    </comment>
    <comment ref="D133" authorId="1" shapeId="0" xr:uid="{00000000-0006-0000-1D00-000028000000}">
      <text>
        <r>
          <rPr>
            <b/>
            <sz val="9"/>
            <color indexed="81"/>
            <rFont val="Tahoma"/>
            <family val="2"/>
          </rPr>
          <t>User may:
1. Add Datappraise Insert Field in Cell F125
2. Manually type comment for each comparable
3. Leave Blank</t>
        </r>
      </text>
    </comment>
    <comment ref="D139" authorId="1" shapeId="0" xr:uid="{00000000-0006-0000-1D00-000029000000}">
      <text>
        <r>
          <rPr>
            <b/>
            <sz val="9"/>
            <color indexed="81"/>
            <rFont val="Tahoma"/>
            <family val="2"/>
          </rPr>
          <t>User may:
1. Add Datappraise Insert Field in Cell F131
2. Manually type comment for each comparable
3. Leave Blank</t>
        </r>
      </text>
    </comment>
    <comment ref="F144" authorId="1" shapeId="0" xr:uid="{00000000-0006-0000-1D00-00002A000000}">
      <text>
        <r>
          <rPr>
            <b/>
            <sz val="9"/>
            <color indexed="81"/>
            <rFont val="Tahoma"/>
            <family val="2"/>
          </rPr>
          <t>&lt;&lt;Lower Left Corner&gt;&gt;</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1E00-000001000000}">
      <text>
        <r>
          <rPr>
            <b/>
            <sz val="9"/>
            <color indexed="81"/>
            <rFont val="Tahoma"/>
            <family val="2"/>
          </rPr>
          <t>&lt;&lt;Not a Datappraise Worksheet&gt;&gt;</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pgilliam</author>
  </authors>
  <commentList>
    <comment ref="A1" authorId="0" shapeId="0" xr:uid="{00000000-0006-0000-1F00-000001000000}">
      <text>
        <r>
          <rPr>
            <b/>
            <sz val="9"/>
            <color indexed="81"/>
            <rFont val="Tahoma"/>
            <family val="2"/>
          </rPr>
          <t>&lt;&lt;Not a Datappraise Worksheet&gt;&gt;</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pgilliam</author>
    <author>pgilliam@valbridge.com</author>
  </authors>
  <commentList>
    <comment ref="F7" authorId="0" shapeId="0" xr:uid="{00000000-0006-0000-2000-000001000000}">
      <text>
        <r>
          <rPr>
            <b/>
            <sz val="9"/>
            <color indexed="81"/>
            <rFont val="Tahoma"/>
            <family val="2"/>
          </rPr>
          <t>&lt;&lt;Improved Sales&gt;&gt;&lt;&lt;Data Runs in Columns&gt;&gt;&lt;&lt;Bucket 2&gt;&gt;</t>
        </r>
      </text>
    </comment>
    <comment ref="L7" authorId="0" shapeId="0" xr:uid="{00000000-0006-0000-2000-000002000000}">
      <text>
        <r>
          <rPr>
            <b/>
            <sz val="9"/>
            <color indexed="81"/>
            <rFont val="Tahoma"/>
            <family val="2"/>
          </rPr>
          <t>&lt;&lt;Upper Right Corner&gt;&gt;</t>
        </r>
      </text>
    </comment>
    <comment ref="F9" authorId="1" shapeId="0" xr:uid="{00000000-0006-0000-2000-000003000000}">
      <text>
        <r>
          <rPr>
            <b/>
            <sz val="9"/>
            <color indexed="81"/>
            <rFont val="Tahoma"/>
            <family val="2"/>
          </rPr>
          <t>Sale ID</t>
        </r>
      </text>
    </comment>
    <comment ref="F10" authorId="0" shapeId="0" xr:uid="{00000000-0006-0000-2000-000004000000}">
      <text>
        <r>
          <rPr>
            <b/>
            <sz val="9"/>
            <color indexed="81"/>
            <rFont val="Tahoma"/>
            <family val="2"/>
          </rPr>
          <t>Sale Date</t>
        </r>
      </text>
    </comment>
    <comment ref="F11" authorId="1" shapeId="0" xr:uid="{00000000-0006-0000-2000-000005000000}">
      <text>
        <r>
          <rPr>
            <b/>
            <sz val="9"/>
            <color indexed="81"/>
            <rFont val="Tahoma"/>
            <family val="2"/>
          </rPr>
          <t>Property Name</t>
        </r>
      </text>
    </comment>
    <comment ref="F12" authorId="1" shapeId="0" xr:uid="{00000000-0006-0000-2000-000006000000}">
      <text>
        <r>
          <rPr>
            <b/>
            <sz val="9"/>
            <color indexed="81"/>
            <rFont val="Tahoma"/>
            <family val="2"/>
          </rPr>
          <t>Rentable Area</t>
        </r>
      </text>
    </comment>
    <comment ref="F13" authorId="1" shapeId="0" xr:uid="{00000000-0006-0000-2000-000007000000}">
      <text>
        <r>
          <rPr>
            <b/>
            <sz val="9"/>
            <color indexed="81"/>
            <rFont val="Tahoma"/>
            <family val="2"/>
          </rPr>
          <t>GBA</t>
        </r>
      </text>
    </comment>
    <comment ref="F14" authorId="0" shapeId="0" xr:uid="{00000000-0006-0000-2000-000008000000}">
      <text>
        <r>
          <rPr>
            <b/>
            <sz val="9"/>
            <color indexed="81"/>
            <rFont val="Tahoma"/>
            <family val="2"/>
          </rPr>
          <t>Number of Units</t>
        </r>
      </text>
    </comment>
    <comment ref="F15" authorId="1" shapeId="0" xr:uid="{00000000-0006-0000-2000-000009000000}">
      <text>
        <r>
          <rPr>
            <b/>
            <sz val="9"/>
            <color indexed="81"/>
            <rFont val="Tahoma"/>
            <family val="2"/>
          </rPr>
          <t>Usable Land Acres</t>
        </r>
      </text>
    </comment>
    <comment ref="F18" authorId="1" shapeId="0" xr:uid="{00000000-0006-0000-2000-00000A000000}">
      <text>
        <r>
          <rPr>
            <b/>
            <sz val="9"/>
            <color indexed="81"/>
            <rFont val="Tahoma"/>
            <family val="2"/>
          </rPr>
          <t>Sale Price</t>
        </r>
      </text>
    </comment>
    <comment ref="F19" authorId="1" shapeId="0" xr:uid="{00000000-0006-0000-2000-00000B000000}">
      <text>
        <r>
          <rPr>
            <b/>
            <sz val="9"/>
            <color indexed="81"/>
            <rFont val="Tahoma"/>
            <family val="2"/>
          </rPr>
          <t>Contributory Value of Land</t>
        </r>
      </text>
    </comment>
    <comment ref="F24" authorId="1" shapeId="0" xr:uid="{00000000-0006-0000-2000-00000C000000}">
      <text>
        <r>
          <rPr>
            <b/>
            <sz val="9"/>
            <color indexed="81"/>
            <rFont val="Tahoma"/>
            <family val="2"/>
          </rPr>
          <t>Property Rights Conveyed</t>
        </r>
      </text>
    </comment>
    <comment ref="F31" authorId="1" shapeId="0" xr:uid="{00000000-0006-0000-2000-00000D000000}">
      <text>
        <r>
          <rPr>
            <b/>
            <sz val="9"/>
            <color indexed="81"/>
            <rFont val="Tahoma"/>
            <family val="2"/>
          </rPr>
          <t>Financing Terms</t>
        </r>
      </text>
    </comment>
    <comment ref="F34" authorId="1" shapeId="0" xr:uid="{00000000-0006-0000-2000-00000E000000}">
      <text>
        <r>
          <rPr>
            <b/>
            <sz val="9"/>
            <color indexed="81"/>
            <rFont val="Tahoma"/>
            <family val="2"/>
          </rPr>
          <t>Financing Terms Adj $</t>
        </r>
      </text>
    </comment>
    <comment ref="F38" authorId="1" shapeId="0" xr:uid="{00000000-0006-0000-2000-00000F000000}">
      <text>
        <r>
          <rPr>
            <b/>
            <sz val="9"/>
            <color indexed="81"/>
            <rFont val="Tahoma"/>
            <family val="2"/>
          </rPr>
          <t>Conditions of Sale</t>
        </r>
      </text>
    </comment>
    <comment ref="F41" authorId="1" shapeId="0" xr:uid="{00000000-0006-0000-2000-000010000000}">
      <text>
        <r>
          <rPr>
            <b/>
            <sz val="9"/>
            <color indexed="81"/>
            <rFont val="Tahoma"/>
            <family val="2"/>
          </rPr>
          <t>Conditions of Sale Adj $</t>
        </r>
      </text>
    </comment>
    <comment ref="F42" authorId="1" shapeId="0" xr:uid="{00000000-0006-0000-2000-000011000000}">
      <text>
        <r>
          <rPr>
            <b/>
            <sz val="9"/>
            <color indexed="81"/>
            <rFont val="Tahoma"/>
            <family val="2"/>
          </rPr>
          <t>Excess Land Value</t>
        </r>
      </text>
    </comment>
    <comment ref="F46" authorId="1" shapeId="0" xr:uid="{00000000-0006-0000-2000-000012000000}">
      <text>
        <r>
          <rPr>
            <b/>
            <sz val="9"/>
            <color indexed="81"/>
            <rFont val="Tahoma"/>
            <family val="2"/>
          </rPr>
          <t>Expenditures After Purchase $</t>
        </r>
      </text>
    </comment>
    <comment ref="D57" authorId="1" shapeId="0" xr:uid="{00000000-0006-0000-2000-000013000000}">
      <text>
        <r>
          <rPr>
            <b/>
            <sz val="9"/>
            <color indexed="81"/>
            <rFont val="Tahoma"/>
            <family val="2"/>
          </rPr>
          <t>This category is inapproriate when using land extranction method</t>
        </r>
      </text>
    </comment>
    <comment ref="F57" authorId="1" shapeId="0" xr:uid="{00000000-0006-0000-2000-000014000000}">
      <text>
        <r>
          <rPr>
            <b/>
            <sz val="9"/>
            <color indexed="81"/>
            <rFont val="Tahoma"/>
            <family val="2"/>
          </rPr>
          <t>Address</t>
        </r>
      </text>
    </comment>
    <comment ref="F58" authorId="1" shapeId="0" xr:uid="{00000000-0006-0000-2000-000015000000}">
      <text>
        <r>
          <rPr>
            <b/>
            <sz val="9"/>
            <color indexed="81"/>
            <rFont val="Tahoma"/>
            <family val="2"/>
          </rPr>
          <t>City State</t>
        </r>
      </text>
    </comment>
    <comment ref="F71" authorId="1" shapeId="0" xr:uid="{00000000-0006-0000-2000-000016000000}">
      <text>
        <r>
          <rPr>
            <b/>
            <sz val="9"/>
            <color indexed="81"/>
            <rFont val="Tahoma"/>
            <family val="2"/>
          </rPr>
          <t>Year Built</t>
        </r>
      </text>
    </comment>
    <comment ref="F72" authorId="1" shapeId="0" xr:uid="{00000000-0006-0000-2000-000017000000}">
      <text>
        <r>
          <rPr>
            <b/>
            <sz val="9"/>
            <color indexed="81"/>
            <rFont val="Tahoma"/>
            <family val="2"/>
          </rPr>
          <t>Year Built Comments</t>
        </r>
      </text>
    </comment>
    <comment ref="F73" authorId="1" shapeId="0" xr:uid="{00000000-0006-0000-2000-000018000000}">
      <text>
        <r>
          <rPr>
            <b/>
            <sz val="9"/>
            <color indexed="81"/>
            <rFont val="Tahoma"/>
            <family val="2"/>
          </rPr>
          <t>Building Condition</t>
        </r>
      </text>
    </comment>
    <comment ref="F74" authorId="1" shapeId="0" xr:uid="{00000000-0006-0000-2000-000019000000}">
      <text>
        <r>
          <rPr>
            <b/>
            <sz val="9"/>
            <color indexed="81"/>
            <rFont val="Tahoma"/>
            <family val="2"/>
          </rPr>
          <t>Effective Age at Sale</t>
        </r>
      </text>
    </comment>
    <comment ref="F75" authorId="1" shapeId="0" xr:uid="{00000000-0006-0000-2000-00001A000000}">
      <text>
        <r>
          <rPr>
            <b/>
            <sz val="9"/>
            <color indexed="81"/>
            <rFont val="Tahoma"/>
            <family val="2"/>
          </rPr>
          <t>Remaining Economic Life</t>
        </r>
      </text>
    </comment>
    <comment ref="F83" authorId="1" shapeId="0" xr:uid="{00000000-0006-0000-2000-00001B000000}">
      <text>
        <r>
          <rPr>
            <b/>
            <sz val="9"/>
            <color indexed="81"/>
            <rFont val="Tahoma"/>
            <family val="2"/>
          </rPr>
          <t>Construction Quality</t>
        </r>
      </text>
    </comment>
    <comment ref="F84" authorId="1" shapeId="0" xr:uid="{00000000-0006-0000-2000-00001C000000}">
      <text>
        <r>
          <rPr>
            <b/>
            <sz val="9"/>
            <color indexed="81"/>
            <rFont val="Tahoma"/>
            <family val="2"/>
          </rPr>
          <t>Construction Class</t>
        </r>
      </text>
    </comment>
    <comment ref="F85" authorId="0" shapeId="0" xr:uid="{00000000-0006-0000-2000-00001D000000}">
      <text>
        <r>
          <rPr>
            <b/>
            <sz val="9"/>
            <color indexed="81"/>
            <rFont val="Tahoma"/>
            <family val="2"/>
          </rPr>
          <t>Investment Class</t>
        </r>
      </text>
    </comment>
    <comment ref="D91" authorId="1" shapeId="0" xr:uid="{00000000-0006-0000-2000-00001E000000}">
      <text>
        <r>
          <rPr>
            <b/>
            <sz val="9"/>
            <color indexed="81"/>
            <rFont val="Tahoma"/>
            <family val="2"/>
          </rPr>
          <t>This category encompasses a number of factors; therefore, User may:
1. Add Datappraise Insert Field in Cell F76
2. Manually type comment for each comprable
3. Leave Blank</t>
        </r>
      </text>
    </comment>
    <comment ref="D97" authorId="1" shapeId="0" xr:uid="{00000000-0006-0000-2000-00001F000000}">
      <text>
        <r>
          <rPr>
            <b/>
            <u/>
            <sz val="9"/>
            <color indexed="81"/>
            <rFont val="Tahoma"/>
            <family val="2"/>
          </rPr>
          <t>Automated Category</t>
        </r>
        <r>
          <rPr>
            <b/>
            <sz val="9"/>
            <color indexed="81"/>
            <rFont val="Tahoma"/>
            <family val="2"/>
          </rPr>
          <t xml:space="preserve">
See Automated Adjustments Sheet to modify or can be overridden to right</t>
        </r>
      </text>
    </comment>
    <comment ref="F97" authorId="1" shapeId="0" xr:uid="{00000000-0006-0000-2000-000020000000}">
      <text>
        <r>
          <rPr>
            <b/>
            <sz val="9"/>
            <color indexed="81"/>
            <rFont val="Tahoma"/>
            <family val="2"/>
          </rPr>
          <t>Clear Height Average (Feet)</t>
        </r>
      </text>
    </comment>
    <comment ref="D103" authorId="1" shapeId="0" xr:uid="{00000000-0006-0000-2000-000021000000}">
      <text>
        <r>
          <rPr>
            <b/>
            <u/>
            <sz val="9"/>
            <color indexed="81"/>
            <rFont val="Tahoma"/>
            <family val="2"/>
          </rPr>
          <t>Automated Category</t>
        </r>
        <r>
          <rPr>
            <b/>
            <sz val="9"/>
            <color indexed="81"/>
            <rFont val="Tahoma"/>
            <family val="2"/>
          </rPr>
          <t xml:space="preserve">
See Automated Adjustments Sheet to modify or can be overridden to right</t>
        </r>
      </text>
    </comment>
    <comment ref="F103" authorId="1" shapeId="0" xr:uid="{00000000-0006-0000-2000-000022000000}">
      <text>
        <r>
          <rPr>
            <b/>
            <sz val="9"/>
            <color indexed="81"/>
            <rFont val="Tahoma"/>
            <family val="2"/>
          </rPr>
          <t>Percent Office</t>
        </r>
      </text>
    </comment>
    <comment ref="D109" authorId="1" shapeId="0" xr:uid="{00000000-0006-0000-2000-000023000000}">
      <text>
        <r>
          <rPr>
            <b/>
            <u/>
            <sz val="9"/>
            <color indexed="81"/>
            <rFont val="Tahoma"/>
            <family val="2"/>
          </rPr>
          <t>Automated Category</t>
        </r>
        <r>
          <rPr>
            <b/>
            <sz val="9"/>
            <color indexed="81"/>
            <rFont val="Tahoma"/>
            <family val="2"/>
          </rPr>
          <t xml:space="preserve">
See Automated Adjustments Sheet to modify or can be overridden to right
This adjustment is inappropriate when using Land Extraction Method</t>
        </r>
      </text>
    </comment>
    <comment ref="F109" authorId="1" shapeId="0" xr:uid="{00000000-0006-0000-2000-000024000000}">
      <text>
        <r>
          <rPr>
            <b/>
            <sz val="9"/>
            <color indexed="81"/>
            <rFont val="Tahoma"/>
            <family val="2"/>
          </rPr>
          <t>Usable Land to Building Ratio</t>
        </r>
      </text>
    </comment>
    <comment ref="F115" authorId="0" shapeId="0" xr:uid="{00000000-0006-0000-2000-000025000000}">
      <text>
        <r>
          <rPr>
            <b/>
            <sz val="9"/>
            <color indexed="81"/>
            <rFont val="Tahoma"/>
            <family val="2"/>
          </rPr>
          <t>Parking Ratio NRA</t>
        </r>
      </text>
    </comment>
    <comment ref="F127" authorId="1" shapeId="0" xr:uid="{00000000-0006-0000-2000-000026000000}">
      <text>
        <r>
          <rPr>
            <b/>
            <sz val="9"/>
            <color indexed="81"/>
            <rFont val="Tahoma"/>
            <family val="2"/>
          </rPr>
          <t>Non Realty Items Desc</t>
        </r>
      </text>
    </comment>
    <comment ref="F130" authorId="1" shapeId="0" xr:uid="{00000000-0006-0000-2000-000027000000}">
      <text>
        <r>
          <rPr>
            <b/>
            <sz val="9"/>
            <color indexed="81"/>
            <rFont val="Tahoma"/>
            <family val="2"/>
          </rPr>
          <t>Non Realty Items $</t>
        </r>
      </text>
    </comment>
    <comment ref="D133" authorId="1" shapeId="0" xr:uid="{00000000-0006-0000-2000-000028000000}">
      <text>
        <r>
          <rPr>
            <b/>
            <sz val="9"/>
            <color indexed="81"/>
            <rFont val="Tahoma"/>
            <family val="2"/>
          </rPr>
          <t>User may:
1. Add Datappraise Insert Field in Cell F125
2. Manually type comment for each comparable
3. Leave Blank</t>
        </r>
      </text>
    </comment>
    <comment ref="D139" authorId="1" shapeId="0" xr:uid="{00000000-0006-0000-2000-000029000000}">
      <text>
        <r>
          <rPr>
            <b/>
            <sz val="9"/>
            <color indexed="81"/>
            <rFont val="Tahoma"/>
            <family val="2"/>
          </rPr>
          <t>User may:
1. Add Datappraise Insert Field in Cell F131
2. Manually type comment for each comparable
3. Leave Blank</t>
        </r>
      </text>
    </comment>
    <comment ref="F144" authorId="1" shapeId="0" xr:uid="{00000000-0006-0000-2000-00002A000000}">
      <text>
        <r>
          <rPr>
            <b/>
            <sz val="9"/>
            <color indexed="81"/>
            <rFont val="Tahoma"/>
            <family val="2"/>
          </rPr>
          <t>&lt;&lt;Lower Left Corner&gt;&gt;</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D6" authorId="0" shapeId="0" xr:uid="{00000000-0006-0000-2100-000001000000}">
      <text>
        <r>
          <rPr>
            <b/>
            <sz val="9"/>
            <color indexed="81"/>
            <rFont val="Tahoma"/>
            <family val="2"/>
          </rPr>
          <t>&lt;&lt;Improved Sales&gt;&gt;&lt;&lt;Data Runs in Rows&gt;&gt;</t>
        </r>
      </text>
    </comment>
    <comment ref="E6" authorId="0" shapeId="0" xr:uid="{00000000-0006-0000-2100-000002000000}">
      <text>
        <r>
          <rPr>
            <b/>
            <sz val="9"/>
            <color indexed="81"/>
            <rFont val="Tahoma"/>
            <family val="2"/>
          </rPr>
          <t>Sale Date</t>
        </r>
      </text>
    </comment>
    <comment ref="F6" authorId="0" shapeId="0" xr:uid="{00000000-0006-0000-2100-000003000000}">
      <text>
        <r>
          <rPr>
            <b/>
            <sz val="9"/>
            <color indexed="81"/>
            <rFont val="Tahoma"/>
            <family val="2"/>
          </rPr>
          <t>Property Name</t>
        </r>
      </text>
    </comment>
    <comment ref="G6" authorId="0" shapeId="0" xr:uid="{00000000-0006-0000-2100-000004000000}">
      <text>
        <r>
          <rPr>
            <b/>
            <sz val="9"/>
            <color indexed="81"/>
            <rFont val="Tahoma"/>
            <family val="2"/>
          </rPr>
          <t>Address</t>
        </r>
      </text>
    </comment>
    <comment ref="H6" authorId="0" shapeId="0" xr:uid="{00000000-0006-0000-2100-000005000000}">
      <text>
        <r>
          <rPr>
            <b/>
            <sz val="9"/>
            <color indexed="81"/>
            <rFont val="Tahoma"/>
            <family val="2"/>
          </rPr>
          <t>City State</t>
        </r>
      </text>
    </comment>
    <comment ref="J6" authorId="0" shapeId="0" xr:uid="{00000000-0006-0000-2100-000006000000}">
      <text>
        <r>
          <rPr>
            <b/>
            <sz val="9"/>
            <color indexed="81"/>
            <rFont val="Tahoma"/>
            <family val="2"/>
          </rPr>
          <t>Year Built</t>
        </r>
      </text>
    </comment>
    <comment ref="K6" authorId="0" shapeId="0" xr:uid="{00000000-0006-0000-2100-000007000000}">
      <text>
        <r>
          <rPr>
            <b/>
            <sz val="9"/>
            <color indexed="81"/>
            <rFont val="Tahoma"/>
            <family val="2"/>
          </rPr>
          <t>Year Built Comments</t>
        </r>
      </text>
    </comment>
    <comment ref="L6" authorId="0" shapeId="0" xr:uid="{00000000-0006-0000-2100-000008000000}">
      <text>
        <r>
          <rPr>
            <b/>
            <sz val="9"/>
            <color indexed="81"/>
            <rFont val="Tahoma"/>
            <family val="2"/>
          </rPr>
          <t>Occupancy at Sale</t>
        </r>
      </text>
    </comment>
    <comment ref="M6" authorId="0" shapeId="0" xr:uid="{00000000-0006-0000-2100-000009000000}">
      <text>
        <r>
          <rPr>
            <b/>
            <sz val="9"/>
            <color indexed="81"/>
            <rFont val="Tahoma"/>
            <family val="2"/>
          </rPr>
          <t>Expense Ratio (actual)</t>
        </r>
      </text>
    </comment>
    <comment ref="N6" authorId="0" shapeId="0" xr:uid="{00000000-0006-0000-2100-00000A000000}">
      <text>
        <r>
          <rPr>
            <b/>
            <sz val="9"/>
            <color indexed="81"/>
            <rFont val="Tahoma"/>
            <family val="2"/>
          </rPr>
          <t>EGIM (actual)</t>
        </r>
      </text>
    </comment>
    <comment ref="O6" authorId="0" shapeId="0" xr:uid="{00000000-0006-0000-2100-00000B000000}">
      <text>
        <r>
          <rPr>
            <b/>
            <sz val="9"/>
            <color indexed="81"/>
            <rFont val="Tahoma"/>
            <family val="2"/>
          </rPr>
          <t>Expense Ratio (stabilized)</t>
        </r>
      </text>
    </comment>
    <comment ref="P6" authorId="0" shapeId="0" xr:uid="{00000000-0006-0000-2100-00000C000000}">
      <text>
        <r>
          <rPr>
            <b/>
            <sz val="9"/>
            <color indexed="81"/>
            <rFont val="Tahoma"/>
            <family val="2"/>
          </rPr>
          <t>EGIM (stabilized)</t>
        </r>
      </text>
    </comment>
    <comment ref="Q6" authorId="0" shapeId="0" xr:uid="{00000000-0006-0000-2100-00000D000000}">
      <text>
        <r>
          <rPr>
            <b/>
            <sz val="9"/>
            <color indexed="81"/>
            <rFont val="Tahoma"/>
            <family val="2"/>
          </rPr>
          <t>Sale ID</t>
        </r>
      </text>
    </comment>
    <comment ref="R6" authorId="0" shapeId="0" xr:uid="{00000000-0006-0000-2100-00000E000000}">
      <text>
        <r>
          <rPr>
            <b/>
            <sz val="9"/>
            <color indexed="81"/>
            <rFont val="Tahoma"/>
            <family val="2"/>
          </rPr>
          <t>&lt;&lt;Upper Right Corner&gt;&gt;</t>
        </r>
      </text>
    </comment>
    <comment ref="D13" authorId="0" shapeId="0" xr:uid="{00000000-0006-0000-2100-00000F000000}">
      <text>
        <r>
          <rPr>
            <b/>
            <sz val="9"/>
            <color indexed="81"/>
            <rFont val="Tahoma"/>
            <family val="2"/>
          </rPr>
          <t>&lt;&lt;Lower Left Corner&gt;&gt;</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2300-000001000000}">
      <text>
        <r>
          <rPr>
            <b/>
            <sz val="9"/>
            <color indexed="81"/>
            <rFont val="Tahoma"/>
            <family val="2"/>
          </rPr>
          <t>&lt;&lt;Not a Datappraise Worksheet&gt;&gt;</t>
        </r>
      </text>
    </comment>
    <comment ref="K96" authorId="0" shapeId="0" xr:uid="{00000000-0006-0000-2300-000002000000}">
      <text>
        <r>
          <rPr>
            <b/>
            <sz val="9"/>
            <color indexed="81"/>
            <rFont val="Tahoma"/>
            <family val="2"/>
          </rPr>
          <t>Appropriate when applied to prospective value</t>
        </r>
      </text>
    </comment>
    <comment ref="K97" authorId="0" shapeId="0" xr:uid="{00000000-0006-0000-2300-000003000000}">
      <text>
        <r>
          <rPr>
            <b/>
            <sz val="9"/>
            <color indexed="81"/>
            <rFont val="Tahoma"/>
            <family val="2"/>
          </rPr>
          <t>Appropriate when applied to hypothetical as stabilized value</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2400-000001000000}">
      <text>
        <r>
          <rPr>
            <b/>
            <sz val="9"/>
            <color indexed="81"/>
            <rFont val="Tahoma"/>
            <family val="2"/>
          </rPr>
          <t>&lt;&lt;Not a Datappraise Worksheet&gt;&gt;</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pgilliam</author>
    <author>pgilliam@valbridge.com</author>
    <author>Jason Bennett</author>
  </authors>
  <commentList>
    <comment ref="D6" authorId="0" shapeId="0" xr:uid="{00000000-0006-0000-2600-000001000000}">
      <text>
        <r>
          <rPr>
            <b/>
            <sz val="9"/>
            <color indexed="81"/>
            <rFont val="Tahoma"/>
            <family val="2"/>
          </rPr>
          <t>&lt;&lt;Leases and Surveys&gt;&gt;&lt;&lt;Data Runs in Rows&gt;&gt;&lt;&lt;Multiple Tables&gt;&gt;</t>
        </r>
      </text>
    </comment>
    <comment ref="F6" authorId="1" shapeId="0" xr:uid="{00000000-0006-0000-2600-000002000000}">
      <text>
        <r>
          <rPr>
            <b/>
            <sz val="9"/>
            <color indexed="81"/>
            <rFont val="Tahoma"/>
            <family val="2"/>
          </rPr>
          <t>Date Lease Signed</t>
        </r>
      </text>
    </comment>
    <comment ref="G6" authorId="0" shapeId="0" xr:uid="{00000000-0006-0000-2600-000003000000}">
      <text>
        <r>
          <rPr>
            <b/>
            <sz val="9"/>
            <color indexed="81"/>
            <rFont val="Tahoma"/>
            <family val="2"/>
          </rPr>
          <t>Date Lease Commences</t>
        </r>
      </text>
    </comment>
    <comment ref="H6" authorId="1" shapeId="0" xr:uid="{00000000-0006-0000-2600-000004000000}">
      <text>
        <r>
          <rPr>
            <b/>
            <sz val="9"/>
            <color indexed="81"/>
            <rFont val="Tahoma"/>
            <family val="2"/>
          </rPr>
          <t>Survey Date</t>
        </r>
      </text>
    </comment>
    <comment ref="I6" authorId="0" shapeId="0" xr:uid="{00000000-0006-0000-2600-000005000000}">
      <text>
        <r>
          <rPr>
            <b/>
            <sz val="9"/>
            <color indexed="81"/>
            <rFont val="Tahoma"/>
            <family val="2"/>
          </rPr>
          <t>&lt;&lt;Not a Datappraise Field&gt;&gt;</t>
        </r>
      </text>
    </comment>
    <comment ref="J6" authorId="1" shapeId="0" xr:uid="{00000000-0006-0000-2600-000006000000}">
      <text>
        <r>
          <rPr>
            <b/>
            <sz val="9"/>
            <color indexed="81"/>
            <rFont val="Tahoma"/>
            <family val="2"/>
          </rPr>
          <t>Property Name</t>
        </r>
      </text>
    </comment>
    <comment ref="K6" authorId="1" shapeId="0" xr:uid="{00000000-0006-0000-2600-000007000000}">
      <text>
        <r>
          <rPr>
            <b/>
            <sz val="9"/>
            <color indexed="81"/>
            <rFont val="Tahoma"/>
            <family val="2"/>
          </rPr>
          <t>Address</t>
        </r>
      </text>
    </comment>
    <comment ref="L6" authorId="1" shapeId="0" xr:uid="{00000000-0006-0000-2600-000008000000}">
      <text>
        <r>
          <rPr>
            <b/>
            <sz val="9"/>
            <color indexed="81"/>
            <rFont val="Tahoma"/>
            <family val="2"/>
          </rPr>
          <t>City State</t>
        </r>
      </text>
    </comment>
    <comment ref="N6" authorId="1" shapeId="0" xr:uid="{00000000-0006-0000-2600-000009000000}">
      <text>
        <r>
          <rPr>
            <b/>
            <sz val="9"/>
            <color indexed="81"/>
            <rFont val="Tahoma"/>
            <family val="2"/>
          </rPr>
          <t>Year Built</t>
        </r>
      </text>
    </comment>
    <comment ref="O6" authorId="1" shapeId="0" xr:uid="{00000000-0006-0000-2600-00000A000000}">
      <text>
        <r>
          <rPr>
            <b/>
            <sz val="9"/>
            <color indexed="81"/>
            <rFont val="Tahoma"/>
            <family val="2"/>
          </rPr>
          <t>Year Built Comments</t>
        </r>
      </text>
    </comment>
    <comment ref="Q6" authorId="1" shapeId="0" xr:uid="{00000000-0006-0000-2600-00000B000000}">
      <text>
        <r>
          <rPr>
            <b/>
            <sz val="9"/>
            <color indexed="81"/>
            <rFont val="Tahoma"/>
            <family val="2"/>
          </rPr>
          <t>Lease Occupancy %</t>
        </r>
      </text>
    </comment>
    <comment ref="S6" authorId="1" shapeId="0" xr:uid="{00000000-0006-0000-2600-00000C000000}">
      <text>
        <r>
          <rPr>
            <b/>
            <sz val="9"/>
            <color indexed="81"/>
            <rFont val="Tahoma"/>
            <family val="2"/>
          </rPr>
          <t>Type of Lease</t>
        </r>
      </text>
    </comment>
    <comment ref="T6" authorId="1" shapeId="0" xr:uid="{00000000-0006-0000-2600-00000D000000}">
      <text>
        <r>
          <rPr>
            <b/>
            <sz val="9"/>
            <color indexed="81"/>
            <rFont val="Tahoma"/>
            <family val="2"/>
          </rPr>
          <t>Quoted Average ($/SF)</t>
        </r>
      </text>
    </comment>
    <comment ref="U6" authorId="1" shapeId="0" xr:uid="{00000000-0006-0000-2600-00000E000000}">
      <text>
        <r>
          <rPr>
            <b/>
            <sz val="9"/>
            <color indexed="81"/>
            <rFont val="Tahoma"/>
            <family val="2"/>
          </rPr>
          <t>Initial Year Rate ($/SF)</t>
        </r>
      </text>
    </comment>
    <comment ref="V6" authorId="1" shapeId="0" xr:uid="{00000000-0006-0000-2600-00000F000000}">
      <text>
        <r>
          <rPr>
            <b/>
            <sz val="9"/>
            <color indexed="81"/>
            <rFont val="Tahoma"/>
            <family val="2"/>
          </rPr>
          <t>Est. Annual Expenses ($/SF)</t>
        </r>
      </text>
    </comment>
    <comment ref="W6" authorId="1" shapeId="0" xr:uid="{00000000-0006-0000-2600-000010000000}">
      <text>
        <r>
          <rPr>
            <b/>
            <sz val="9"/>
            <color indexed="81"/>
            <rFont val="Tahoma"/>
            <family val="2"/>
          </rPr>
          <t>Lease ID</t>
        </r>
      </text>
    </comment>
    <comment ref="X6" authorId="1" shapeId="0" xr:uid="{00000000-0006-0000-2600-000011000000}">
      <text>
        <r>
          <rPr>
            <b/>
            <sz val="9"/>
            <color indexed="81"/>
            <rFont val="Tahoma"/>
            <family val="2"/>
          </rPr>
          <t>&lt;&lt;Upper Right Corner&gt;&gt;</t>
        </r>
      </text>
    </comment>
    <comment ref="D11" authorId="2" shapeId="0" xr:uid="{660F8DAC-9835-44A6-83AF-888283CB132D}">
      <text>
        <r>
          <rPr>
            <b/>
            <sz val="9"/>
            <color indexed="81"/>
            <rFont val="Tahoma"/>
            <family val="2"/>
          </rPr>
          <t>&lt;&lt;Lower Left Corner&gt;&gt;</t>
        </r>
      </text>
    </comment>
    <comment ref="AC17" authorId="0" shapeId="0" xr:uid="{00000000-0006-0000-2600-000013000000}">
      <text>
        <r>
          <rPr>
            <b/>
            <sz val="9"/>
            <color indexed="81"/>
            <rFont val="Tahoma"/>
            <family val="2"/>
          </rPr>
          <t>&lt;&lt;Leases and Surveys&gt;&gt;&lt;&lt;Data Runs in Rows&gt;&gt;&lt;&lt;Bucket 1&gt;&gt;</t>
        </r>
      </text>
    </comment>
    <comment ref="AE17" authorId="1" shapeId="0" xr:uid="{00000000-0006-0000-2600-000014000000}">
      <text>
        <r>
          <rPr>
            <b/>
            <sz val="9"/>
            <color indexed="81"/>
            <rFont val="Tahoma"/>
            <family val="2"/>
          </rPr>
          <t>Date Lease Signed</t>
        </r>
      </text>
    </comment>
    <comment ref="AF17" authorId="0" shapeId="0" xr:uid="{00000000-0006-0000-2600-000015000000}">
      <text>
        <r>
          <rPr>
            <b/>
            <sz val="9"/>
            <color indexed="81"/>
            <rFont val="Tahoma"/>
            <family val="2"/>
          </rPr>
          <t>Date Lease Commences</t>
        </r>
      </text>
    </comment>
    <comment ref="AG17" authorId="1" shapeId="0" xr:uid="{00000000-0006-0000-2600-000016000000}">
      <text>
        <r>
          <rPr>
            <b/>
            <sz val="9"/>
            <color indexed="81"/>
            <rFont val="Tahoma"/>
            <family val="2"/>
          </rPr>
          <t>Survey Date</t>
        </r>
      </text>
    </comment>
    <comment ref="AH17" authorId="0" shapeId="0" xr:uid="{00000000-0006-0000-2600-000017000000}">
      <text>
        <r>
          <rPr>
            <b/>
            <sz val="9"/>
            <color indexed="81"/>
            <rFont val="Tahoma"/>
            <family val="2"/>
          </rPr>
          <t>&lt;&lt;Not a Datappraise Field&gt;&gt;</t>
        </r>
      </text>
    </comment>
    <comment ref="AI17" authorId="1" shapeId="0" xr:uid="{00000000-0006-0000-2600-000018000000}">
      <text>
        <r>
          <rPr>
            <b/>
            <sz val="9"/>
            <color indexed="81"/>
            <rFont val="Tahoma"/>
            <family val="2"/>
          </rPr>
          <t>Property Name</t>
        </r>
      </text>
    </comment>
    <comment ref="AJ17" authorId="1" shapeId="0" xr:uid="{00000000-0006-0000-2600-000019000000}">
      <text>
        <r>
          <rPr>
            <b/>
            <sz val="9"/>
            <color indexed="81"/>
            <rFont val="Tahoma"/>
            <family val="2"/>
          </rPr>
          <t>Address</t>
        </r>
      </text>
    </comment>
    <comment ref="AK17" authorId="1" shapeId="0" xr:uid="{00000000-0006-0000-2600-00001A000000}">
      <text>
        <r>
          <rPr>
            <b/>
            <sz val="9"/>
            <color indexed="81"/>
            <rFont val="Tahoma"/>
            <family val="2"/>
          </rPr>
          <t>City State</t>
        </r>
      </text>
    </comment>
    <comment ref="AM17" authorId="1" shapeId="0" xr:uid="{00000000-0006-0000-2600-00001B000000}">
      <text>
        <r>
          <rPr>
            <b/>
            <sz val="9"/>
            <color indexed="81"/>
            <rFont val="Tahoma"/>
            <family val="2"/>
          </rPr>
          <t>Year Built</t>
        </r>
      </text>
    </comment>
    <comment ref="AN17" authorId="1" shapeId="0" xr:uid="{00000000-0006-0000-2600-00001C000000}">
      <text>
        <r>
          <rPr>
            <b/>
            <sz val="9"/>
            <color indexed="81"/>
            <rFont val="Tahoma"/>
            <family val="2"/>
          </rPr>
          <t>Year Built Comments</t>
        </r>
      </text>
    </comment>
    <comment ref="AP17" authorId="1" shapeId="0" xr:uid="{00000000-0006-0000-2600-00001D000000}">
      <text>
        <r>
          <rPr>
            <b/>
            <sz val="9"/>
            <color indexed="81"/>
            <rFont val="Tahoma"/>
            <family val="2"/>
          </rPr>
          <t>Lease Occupancy %</t>
        </r>
      </text>
    </comment>
    <comment ref="AR17" authorId="1" shapeId="0" xr:uid="{00000000-0006-0000-2600-00001E000000}">
      <text>
        <r>
          <rPr>
            <b/>
            <sz val="9"/>
            <color indexed="81"/>
            <rFont val="Tahoma"/>
            <family val="2"/>
          </rPr>
          <t>Type of Lease</t>
        </r>
      </text>
    </comment>
    <comment ref="AS17" authorId="1" shapeId="0" xr:uid="{00000000-0006-0000-2600-00001F000000}">
      <text>
        <r>
          <rPr>
            <b/>
            <sz val="9"/>
            <color indexed="81"/>
            <rFont val="Tahoma"/>
            <family val="2"/>
          </rPr>
          <t>Quoted Average ($/SF)</t>
        </r>
      </text>
    </comment>
    <comment ref="AT17" authorId="1" shapeId="0" xr:uid="{00000000-0006-0000-2600-000020000000}">
      <text>
        <r>
          <rPr>
            <b/>
            <sz val="9"/>
            <color indexed="81"/>
            <rFont val="Tahoma"/>
            <family val="2"/>
          </rPr>
          <t>Initial Year Rate ($/SF)</t>
        </r>
      </text>
    </comment>
    <comment ref="AU17" authorId="1" shapeId="0" xr:uid="{00000000-0006-0000-2600-000021000000}">
      <text>
        <r>
          <rPr>
            <b/>
            <sz val="9"/>
            <color indexed="81"/>
            <rFont val="Tahoma"/>
            <family val="2"/>
          </rPr>
          <t>Est. Annual Expenses ($/SF)</t>
        </r>
      </text>
    </comment>
    <comment ref="AV17" authorId="1" shapeId="0" xr:uid="{00000000-0006-0000-2600-000022000000}">
      <text>
        <r>
          <rPr>
            <b/>
            <sz val="9"/>
            <color indexed="81"/>
            <rFont val="Tahoma"/>
            <family val="2"/>
          </rPr>
          <t>Lease ID</t>
        </r>
      </text>
    </comment>
    <comment ref="AW17" authorId="1" shapeId="0" xr:uid="{00000000-0006-0000-2600-000023000000}">
      <text>
        <r>
          <rPr>
            <b/>
            <sz val="9"/>
            <color indexed="81"/>
            <rFont val="Tahoma"/>
            <family val="2"/>
          </rPr>
          <t>&lt;&lt;Upper Right Corner&gt;&gt;</t>
        </r>
      </text>
    </comment>
    <comment ref="AC24" authorId="1" shapeId="0" xr:uid="{00000000-0006-0000-2600-000024000000}">
      <text>
        <r>
          <rPr>
            <b/>
            <sz val="9"/>
            <color indexed="81"/>
            <rFont val="Tahoma"/>
            <family val="2"/>
          </rPr>
          <t>&lt;&lt;Lower Left Corner&gt;&gt;</t>
        </r>
      </text>
    </comment>
    <comment ref="BB29" authorId="0" shapeId="0" xr:uid="{00000000-0006-0000-2600-000025000000}">
      <text>
        <r>
          <rPr>
            <b/>
            <sz val="9"/>
            <color indexed="81"/>
            <rFont val="Tahoma"/>
            <family val="2"/>
          </rPr>
          <t>&lt;&lt;Leases and Surveys&gt;&gt;&lt;&lt;Data Runs in Rows&gt;&gt;&lt;&lt;Bucket 2&gt;&gt;&lt;&lt;Last Table&gt;&gt;</t>
        </r>
      </text>
    </comment>
    <comment ref="BD29" authorId="1" shapeId="0" xr:uid="{00000000-0006-0000-2600-000026000000}">
      <text>
        <r>
          <rPr>
            <b/>
            <sz val="9"/>
            <color indexed="81"/>
            <rFont val="Tahoma"/>
            <family val="2"/>
          </rPr>
          <t>Date Lease Signed</t>
        </r>
      </text>
    </comment>
    <comment ref="BE29" authorId="0" shapeId="0" xr:uid="{00000000-0006-0000-2600-000027000000}">
      <text>
        <r>
          <rPr>
            <b/>
            <sz val="9"/>
            <color indexed="81"/>
            <rFont val="Tahoma"/>
            <family val="2"/>
          </rPr>
          <t>Date Lease Commences</t>
        </r>
      </text>
    </comment>
    <comment ref="BF29" authorId="1" shapeId="0" xr:uid="{00000000-0006-0000-2600-000028000000}">
      <text>
        <r>
          <rPr>
            <b/>
            <sz val="9"/>
            <color indexed="81"/>
            <rFont val="Tahoma"/>
            <family val="2"/>
          </rPr>
          <t>Survey Date</t>
        </r>
      </text>
    </comment>
    <comment ref="BG29" authorId="0" shapeId="0" xr:uid="{00000000-0006-0000-2600-000029000000}">
      <text>
        <r>
          <rPr>
            <b/>
            <sz val="9"/>
            <color indexed="81"/>
            <rFont val="Tahoma"/>
            <family val="2"/>
          </rPr>
          <t>&lt;&lt;Not a Datappraise Field&gt;&gt;</t>
        </r>
      </text>
    </comment>
    <comment ref="BH29" authorId="1" shapeId="0" xr:uid="{00000000-0006-0000-2600-00002A000000}">
      <text>
        <r>
          <rPr>
            <b/>
            <sz val="9"/>
            <color indexed="81"/>
            <rFont val="Tahoma"/>
            <family val="2"/>
          </rPr>
          <t>Property Name</t>
        </r>
      </text>
    </comment>
    <comment ref="BI29" authorId="1" shapeId="0" xr:uid="{00000000-0006-0000-2600-00002B000000}">
      <text>
        <r>
          <rPr>
            <b/>
            <sz val="9"/>
            <color indexed="81"/>
            <rFont val="Tahoma"/>
            <family val="2"/>
          </rPr>
          <t>Address</t>
        </r>
      </text>
    </comment>
    <comment ref="BJ29" authorId="1" shapeId="0" xr:uid="{00000000-0006-0000-2600-00002C000000}">
      <text>
        <r>
          <rPr>
            <b/>
            <sz val="9"/>
            <color indexed="81"/>
            <rFont val="Tahoma"/>
            <family val="2"/>
          </rPr>
          <t>City State</t>
        </r>
      </text>
    </comment>
    <comment ref="BL29" authorId="1" shapeId="0" xr:uid="{00000000-0006-0000-2600-00002D000000}">
      <text>
        <r>
          <rPr>
            <b/>
            <sz val="9"/>
            <color indexed="81"/>
            <rFont val="Tahoma"/>
            <family val="2"/>
          </rPr>
          <t>Year Built</t>
        </r>
      </text>
    </comment>
    <comment ref="BM29" authorId="1" shapeId="0" xr:uid="{00000000-0006-0000-2600-00002E000000}">
      <text>
        <r>
          <rPr>
            <b/>
            <sz val="9"/>
            <color indexed="81"/>
            <rFont val="Tahoma"/>
            <family val="2"/>
          </rPr>
          <t>Year Built Comments</t>
        </r>
      </text>
    </comment>
    <comment ref="BO29" authorId="1" shapeId="0" xr:uid="{00000000-0006-0000-2600-00002F000000}">
      <text>
        <r>
          <rPr>
            <b/>
            <sz val="9"/>
            <color indexed="81"/>
            <rFont val="Tahoma"/>
            <family val="2"/>
          </rPr>
          <t>Lease Occupancy %</t>
        </r>
      </text>
    </comment>
    <comment ref="BQ29" authorId="1" shapeId="0" xr:uid="{00000000-0006-0000-2600-000030000000}">
      <text>
        <r>
          <rPr>
            <b/>
            <sz val="9"/>
            <color indexed="81"/>
            <rFont val="Tahoma"/>
            <family val="2"/>
          </rPr>
          <t>Type of Lease</t>
        </r>
      </text>
    </comment>
    <comment ref="BR29" authorId="1" shapeId="0" xr:uid="{00000000-0006-0000-2600-000031000000}">
      <text>
        <r>
          <rPr>
            <b/>
            <sz val="9"/>
            <color indexed="81"/>
            <rFont val="Tahoma"/>
            <family val="2"/>
          </rPr>
          <t>Quoted Average ($/SF)</t>
        </r>
      </text>
    </comment>
    <comment ref="BS29" authorId="1" shapeId="0" xr:uid="{00000000-0006-0000-2600-000032000000}">
      <text>
        <r>
          <rPr>
            <b/>
            <sz val="9"/>
            <color indexed="81"/>
            <rFont val="Tahoma"/>
            <family val="2"/>
          </rPr>
          <t>Initial Year Rate ($/SF)</t>
        </r>
      </text>
    </comment>
    <comment ref="BT29" authorId="1" shapeId="0" xr:uid="{00000000-0006-0000-2600-000033000000}">
      <text>
        <r>
          <rPr>
            <b/>
            <sz val="9"/>
            <color indexed="81"/>
            <rFont val="Tahoma"/>
            <family val="2"/>
          </rPr>
          <t>Est. Annual Expenses ($/SF)</t>
        </r>
      </text>
    </comment>
    <comment ref="BU29" authorId="1" shapeId="0" xr:uid="{00000000-0006-0000-2600-000034000000}">
      <text>
        <r>
          <rPr>
            <b/>
            <sz val="9"/>
            <color indexed="81"/>
            <rFont val="Tahoma"/>
            <family val="2"/>
          </rPr>
          <t>Lease ID</t>
        </r>
      </text>
    </comment>
    <comment ref="BV29" authorId="1" shapeId="0" xr:uid="{00000000-0006-0000-2600-000035000000}">
      <text>
        <r>
          <rPr>
            <b/>
            <sz val="9"/>
            <color indexed="81"/>
            <rFont val="Tahoma"/>
            <family val="2"/>
          </rPr>
          <t>&lt;&lt;Upper Right Corner&gt;&gt;</t>
        </r>
      </text>
    </comment>
    <comment ref="BB36" authorId="1" shapeId="0" xr:uid="{00000000-0006-0000-2600-000036000000}">
      <text>
        <r>
          <rPr>
            <b/>
            <sz val="9"/>
            <color indexed="81"/>
            <rFont val="Tahoma"/>
            <family val="2"/>
          </rPr>
          <t>&lt;&lt;Lower Left Corner&gt;&gt;</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pgilliam</author>
    <author>Jason Bennett</author>
    <author>pgilliam@valbridge.com</author>
  </authors>
  <commentList>
    <comment ref="D5" authorId="0" shapeId="0" xr:uid="{00000000-0006-0000-2700-000001000000}">
      <text>
        <r>
          <rPr>
            <b/>
            <sz val="9"/>
            <color indexed="81"/>
            <rFont val="Tahoma"/>
            <family val="2"/>
          </rPr>
          <t>&lt;&lt;Leases and Surveys&gt;&gt;&lt;&lt;Data Runs in Columns&gt;&gt;&lt;&lt;Multiple Tables&gt;&gt;</t>
        </r>
      </text>
    </comment>
    <comment ref="I5" authorId="1" shapeId="0" xr:uid="{049A95AB-1AB3-4EC4-95D8-5BB901FC4920}">
      <text>
        <r>
          <rPr>
            <b/>
            <sz val="9"/>
            <color indexed="81"/>
            <rFont val="Tahoma"/>
            <family val="2"/>
          </rPr>
          <t>&lt;&lt;Upper Right Corner&gt;&gt;</t>
        </r>
      </text>
    </comment>
    <comment ref="D6" authorId="2" shapeId="0" xr:uid="{00000000-0006-0000-2700-000003000000}">
      <text>
        <r>
          <rPr>
            <b/>
            <sz val="9"/>
            <color indexed="81"/>
            <rFont val="Tahoma"/>
            <family val="2"/>
          </rPr>
          <t>Lease ID</t>
        </r>
      </text>
    </comment>
    <comment ref="D8" authorId="2" shapeId="0" xr:uid="{00000000-0006-0000-2700-000004000000}">
      <text>
        <r>
          <rPr>
            <b/>
            <sz val="9"/>
            <color indexed="81"/>
            <rFont val="Tahoma"/>
            <family val="2"/>
          </rPr>
          <t>Survey Date</t>
        </r>
      </text>
    </comment>
    <comment ref="D9" authorId="2" shapeId="0" xr:uid="{00000000-0006-0000-2700-000005000000}">
      <text>
        <r>
          <rPr>
            <b/>
            <sz val="9"/>
            <color indexed="81"/>
            <rFont val="Tahoma"/>
            <family val="2"/>
          </rPr>
          <t>Date Lease Signed</t>
        </r>
      </text>
    </comment>
    <comment ref="D10" authorId="0" shapeId="0" xr:uid="{00000000-0006-0000-2700-000006000000}">
      <text>
        <r>
          <rPr>
            <b/>
            <sz val="9"/>
            <color indexed="81"/>
            <rFont val="Tahoma"/>
            <family val="2"/>
          </rPr>
          <t>Date Lease Commences</t>
        </r>
      </text>
    </comment>
    <comment ref="D11" authorId="2" shapeId="0" xr:uid="{00000000-0006-0000-2700-000007000000}">
      <text>
        <r>
          <rPr>
            <b/>
            <sz val="9"/>
            <color indexed="81"/>
            <rFont val="Tahoma"/>
            <family val="2"/>
          </rPr>
          <t>Property Name</t>
        </r>
      </text>
    </comment>
    <comment ref="D14" authorId="2" shapeId="0" xr:uid="{00000000-0006-0000-2700-000008000000}">
      <text>
        <r>
          <rPr>
            <b/>
            <sz val="9"/>
            <color indexed="81"/>
            <rFont val="Tahoma"/>
            <family val="2"/>
          </rPr>
          <t>Address</t>
        </r>
      </text>
    </comment>
    <comment ref="D15" authorId="2" shapeId="0" xr:uid="{00000000-0006-0000-2700-000009000000}">
      <text>
        <r>
          <rPr>
            <b/>
            <sz val="9"/>
            <color indexed="81"/>
            <rFont val="Tahoma"/>
            <family val="2"/>
          </rPr>
          <t>City State</t>
        </r>
      </text>
    </comment>
    <comment ref="D16" authorId="2" shapeId="0" xr:uid="{00000000-0006-0000-2700-00000A000000}">
      <text>
        <r>
          <rPr>
            <b/>
            <sz val="9"/>
            <color indexed="81"/>
            <rFont val="Tahoma"/>
            <family val="2"/>
          </rPr>
          <t>Construction Quality</t>
        </r>
      </text>
    </comment>
    <comment ref="D17" authorId="2" shapeId="0" xr:uid="{00000000-0006-0000-2700-00000B000000}">
      <text>
        <r>
          <rPr>
            <b/>
            <sz val="9"/>
            <color indexed="81"/>
            <rFont val="Tahoma"/>
            <family val="2"/>
          </rPr>
          <t>Construction Class</t>
        </r>
      </text>
    </comment>
    <comment ref="D19" authorId="0" shapeId="0" xr:uid="{00000000-0006-0000-2700-00000C000000}">
      <text>
        <r>
          <rPr>
            <b/>
            <sz val="9"/>
            <color indexed="81"/>
            <rFont val="Tahoma"/>
            <family val="2"/>
          </rPr>
          <t>&lt;&lt;Not a Datappraise Field&gt;&gt;</t>
        </r>
      </text>
    </comment>
    <comment ref="D20" authorId="2" shapeId="0" xr:uid="{00000000-0006-0000-2700-00000D000000}">
      <text>
        <r>
          <rPr>
            <b/>
            <sz val="9"/>
            <color indexed="81"/>
            <rFont val="Tahoma"/>
            <family val="2"/>
          </rPr>
          <t>Year Built</t>
        </r>
      </text>
    </comment>
    <comment ref="D21" authorId="2" shapeId="0" xr:uid="{00000000-0006-0000-2700-00000E000000}">
      <text>
        <r>
          <rPr>
            <b/>
            <sz val="9"/>
            <color indexed="81"/>
            <rFont val="Tahoma"/>
            <family val="2"/>
          </rPr>
          <t>Year Built Comments</t>
        </r>
      </text>
    </comment>
    <comment ref="D22" authorId="2" shapeId="0" xr:uid="{00000000-0006-0000-2700-00000F000000}">
      <text>
        <r>
          <rPr>
            <b/>
            <sz val="9"/>
            <color indexed="81"/>
            <rFont val="Tahoma"/>
            <family val="2"/>
          </rPr>
          <t>Rentable Area</t>
        </r>
      </text>
    </comment>
    <comment ref="D23" authorId="2" shapeId="0" xr:uid="{00000000-0006-0000-2700-000010000000}">
      <text>
        <r>
          <rPr>
            <b/>
            <sz val="9"/>
            <color indexed="81"/>
            <rFont val="Tahoma"/>
            <family val="2"/>
          </rPr>
          <t>GBA</t>
        </r>
      </text>
    </comment>
    <comment ref="D24" authorId="2" shapeId="0" xr:uid="{00000000-0006-0000-2700-000011000000}">
      <text>
        <r>
          <rPr>
            <b/>
            <sz val="9"/>
            <color indexed="81"/>
            <rFont val="Tahoma"/>
            <family val="2"/>
          </rPr>
          <t>Usable Land Acres</t>
        </r>
      </text>
    </comment>
    <comment ref="D25" authorId="2" shapeId="0" xr:uid="{00000000-0006-0000-2700-000012000000}">
      <text>
        <r>
          <rPr>
            <b/>
            <sz val="9"/>
            <color indexed="81"/>
            <rFont val="Tahoma"/>
            <family val="2"/>
          </rPr>
          <t>Land to Building Ratio</t>
        </r>
      </text>
    </comment>
    <comment ref="D26" authorId="0" shapeId="0" xr:uid="{00000000-0006-0000-2700-000013000000}">
      <text>
        <r>
          <rPr>
            <b/>
            <sz val="9"/>
            <color indexed="81"/>
            <rFont val="Tahoma"/>
            <family val="2"/>
          </rPr>
          <t>Traffic Count</t>
        </r>
      </text>
    </comment>
    <comment ref="D27" authorId="2" shapeId="0" xr:uid="{00000000-0006-0000-2700-000014000000}">
      <text>
        <r>
          <rPr>
            <b/>
            <sz val="9"/>
            <color indexed="81"/>
            <rFont val="Tahoma"/>
            <family val="2"/>
          </rPr>
          <t>Ceiling Height</t>
        </r>
      </text>
    </comment>
    <comment ref="D28" authorId="2" shapeId="0" xr:uid="{00000000-0006-0000-2700-000015000000}">
      <text>
        <r>
          <rPr>
            <b/>
            <sz val="9"/>
            <color indexed="81"/>
            <rFont val="Tahoma"/>
            <family val="2"/>
          </rPr>
          <t>Percent Office</t>
        </r>
      </text>
    </comment>
    <comment ref="D32" authorId="2" shapeId="0" xr:uid="{00000000-0006-0000-2700-000016000000}">
      <text>
        <r>
          <rPr>
            <b/>
            <sz val="9"/>
            <color indexed="81"/>
            <rFont val="Tahoma"/>
            <family val="2"/>
          </rPr>
          <t>Leased Area (SF)</t>
        </r>
      </text>
    </comment>
    <comment ref="D33" authorId="2" shapeId="0" xr:uid="{00000000-0006-0000-2700-000017000000}">
      <text>
        <r>
          <rPr>
            <b/>
            <sz val="9"/>
            <color indexed="81"/>
            <rFont val="Tahoma"/>
            <family val="2"/>
          </rPr>
          <t>Initial Year Rate ($/SF)</t>
        </r>
      </text>
    </comment>
    <comment ref="D34" authorId="2" shapeId="0" xr:uid="{00000000-0006-0000-2700-000018000000}">
      <text>
        <r>
          <rPr>
            <b/>
            <sz val="9"/>
            <color indexed="81"/>
            <rFont val="Tahoma"/>
            <family val="2"/>
          </rPr>
          <t>Quoted Average ($/SF)</t>
        </r>
      </text>
    </comment>
    <comment ref="D36" authorId="2" shapeId="0" xr:uid="{00000000-0006-0000-2700-000019000000}">
      <text>
        <r>
          <rPr>
            <b/>
            <sz val="9"/>
            <color indexed="81"/>
            <rFont val="Tahoma"/>
            <family val="2"/>
          </rPr>
          <t>Type of Lease</t>
        </r>
      </text>
    </comment>
    <comment ref="D37" authorId="2" shapeId="0" xr:uid="{00000000-0006-0000-2700-00001A000000}">
      <text>
        <r>
          <rPr>
            <b/>
            <sz val="9"/>
            <color indexed="81"/>
            <rFont val="Tahoma"/>
            <family val="2"/>
          </rPr>
          <t>Lease Escalation Terms</t>
        </r>
      </text>
    </comment>
    <comment ref="D38" authorId="2" shapeId="0" xr:uid="{00000000-0006-0000-2700-00001B000000}">
      <text>
        <r>
          <rPr>
            <b/>
            <sz val="9"/>
            <color indexed="81"/>
            <rFont val="Tahoma"/>
            <family val="2"/>
          </rPr>
          <t>Term of Lease (months)</t>
        </r>
      </text>
    </comment>
    <comment ref="D40" authorId="2" shapeId="0" xr:uid="{00000000-0006-0000-2700-00001C000000}">
      <text>
        <r>
          <rPr>
            <b/>
            <sz val="9"/>
            <color indexed="81"/>
            <rFont val="Tahoma"/>
            <family val="2"/>
          </rPr>
          <t>Lease Renewal Options?</t>
        </r>
      </text>
    </comment>
    <comment ref="D41" authorId="2" shapeId="0" xr:uid="{00000000-0006-0000-2700-00001D000000}">
      <text>
        <r>
          <rPr>
            <b/>
            <sz val="9"/>
            <color indexed="81"/>
            <rFont val="Tahoma"/>
            <family val="2"/>
          </rPr>
          <t>Tenant Improv ($/SF)</t>
        </r>
      </text>
    </comment>
    <comment ref="D42" authorId="2" shapeId="0" xr:uid="{00000000-0006-0000-2700-00001E000000}">
      <text>
        <r>
          <rPr>
            <b/>
            <sz val="9"/>
            <color indexed="81"/>
            <rFont val="Tahoma"/>
            <family val="2"/>
          </rPr>
          <t>Concessions ($/SF)</t>
        </r>
      </text>
    </comment>
    <comment ref="D43" authorId="2" shapeId="0" xr:uid="{00000000-0006-0000-2700-00001F000000}">
      <text>
        <r>
          <rPr>
            <b/>
            <sz val="9"/>
            <color indexed="81"/>
            <rFont val="Tahoma"/>
            <family val="2"/>
          </rPr>
          <t>Rent Abatement (months)</t>
        </r>
      </text>
    </comment>
    <comment ref="D44" authorId="2" shapeId="0" xr:uid="{00000000-0006-0000-2700-000020000000}">
      <text>
        <r>
          <rPr>
            <b/>
            <sz val="9"/>
            <color indexed="81"/>
            <rFont val="Tahoma"/>
            <family val="2"/>
          </rPr>
          <t>Lease Occupancy %</t>
        </r>
      </text>
    </comment>
    <comment ref="D45" authorId="2" shapeId="0" xr:uid="{00000000-0006-0000-2700-000021000000}">
      <text>
        <r>
          <rPr>
            <b/>
            <sz val="9"/>
            <color indexed="81"/>
            <rFont val="Tahoma"/>
            <family val="2"/>
          </rPr>
          <t>&lt;&lt;Lower Left Corner&gt;&gt;</t>
        </r>
      </text>
    </comment>
    <comment ref="O49" authorId="0" shapeId="0" xr:uid="{00000000-0006-0000-2700-000022000000}">
      <text>
        <r>
          <rPr>
            <b/>
            <sz val="9"/>
            <color indexed="81"/>
            <rFont val="Tahoma"/>
            <family val="2"/>
          </rPr>
          <t>&lt;&lt;Leases and Surveys&gt;&gt;&lt;&lt;Data Runs in Columns&gt;&gt;&lt;&lt;Bucket 1&gt;&gt;</t>
        </r>
      </text>
    </comment>
    <comment ref="U49" authorId="0" shapeId="0" xr:uid="{6C920F2A-E5F4-4C79-9A6D-3CE840B924FC}">
      <text>
        <r>
          <rPr>
            <b/>
            <sz val="9"/>
            <color indexed="81"/>
            <rFont val="Tahoma"/>
            <family val="2"/>
          </rPr>
          <t>&lt;&lt;Upper Right Corner&gt;&gt;</t>
        </r>
      </text>
    </comment>
    <comment ref="O50" authorId="2" shapeId="0" xr:uid="{00000000-0006-0000-2700-000024000000}">
      <text>
        <r>
          <rPr>
            <b/>
            <sz val="9"/>
            <color indexed="81"/>
            <rFont val="Tahoma"/>
            <family val="2"/>
          </rPr>
          <t>Lease ID</t>
        </r>
      </text>
    </comment>
    <comment ref="O52" authorId="2" shapeId="0" xr:uid="{00000000-0006-0000-2700-000025000000}">
      <text>
        <r>
          <rPr>
            <b/>
            <sz val="9"/>
            <color indexed="81"/>
            <rFont val="Tahoma"/>
            <family val="2"/>
          </rPr>
          <t>Survey Date</t>
        </r>
      </text>
    </comment>
    <comment ref="O53" authorId="2" shapeId="0" xr:uid="{00000000-0006-0000-2700-000026000000}">
      <text>
        <r>
          <rPr>
            <b/>
            <sz val="9"/>
            <color indexed="81"/>
            <rFont val="Tahoma"/>
            <family val="2"/>
          </rPr>
          <t>Date Lease Signed</t>
        </r>
      </text>
    </comment>
    <comment ref="O54" authorId="0" shapeId="0" xr:uid="{00000000-0006-0000-2700-000027000000}">
      <text>
        <r>
          <rPr>
            <b/>
            <sz val="9"/>
            <color indexed="81"/>
            <rFont val="Tahoma"/>
            <family val="2"/>
          </rPr>
          <t>Date Lease Commences</t>
        </r>
      </text>
    </comment>
    <comment ref="O55" authorId="2" shapeId="0" xr:uid="{00000000-0006-0000-2700-000028000000}">
      <text>
        <r>
          <rPr>
            <b/>
            <sz val="9"/>
            <color indexed="81"/>
            <rFont val="Tahoma"/>
            <family val="2"/>
          </rPr>
          <t>Property Name</t>
        </r>
      </text>
    </comment>
    <comment ref="O58" authorId="2" shapeId="0" xr:uid="{00000000-0006-0000-2700-000029000000}">
      <text>
        <r>
          <rPr>
            <b/>
            <sz val="9"/>
            <color indexed="81"/>
            <rFont val="Tahoma"/>
            <family val="2"/>
          </rPr>
          <t>Address</t>
        </r>
      </text>
    </comment>
    <comment ref="O59" authorId="2" shapeId="0" xr:uid="{00000000-0006-0000-2700-00002A000000}">
      <text>
        <r>
          <rPr>
            <b/>
            <sz val="9"/>
            <color indexed="81"/>
            <rFont val="Tahoma"/>
            <family val="2"/>
          </rPr>
          <t>City State</t>
        </r>
      </text>
    </comment>
    <comment ref="O60" authorId="2" shapeId="0" xr:uid="{00000000-0006-0000-2700-00002B000000}">
      <text>
        <r>
          <rPr>
            <b/>
            <sz val="9"/>
            <color indexed="81"/>
            <rFont val="Tahoma"/>
            <family val="2"/>
          </rPr>
          <t>Construction Quality</t>
        </r>
      </text>
    </comment>
    <comment ref="O61" authorId="2" shapeId="0" xr:uid="{00000000-0006-0000-2700-00002C000000}">
      <text>
        <r>
          <rPr>
            <b/>
            <sz val="9"/>
            <color indexed="81"/>
            <rFont val="Tahoma"/>
            <family val="2"/>
          </rPr>
          <t>Construction Class</t>
        </r>
      </text>
    </comment>
    <comment ref="O63" authorId="0" shapeId="0" xr:uid="{00000000-0006-0000-2700-00002D000000}">
      <text>
        <r>
          <rPr>
            <b/>
            <sz val="9"/>
            <color indexed="81"/>
            <rFont val="Tahoma"/>
            <family val="2"/>
          </rPr>
          <t>&lt;&lt;Not a Datappraise Field&gt;&gt;</t>
        </r>
      </text>
    </comment>
    <comment ref="O64" authorId="2" shapeId="0" xr:uid="{00000000-0006-0000-2700-00002E000000}">
      <text>
        <r>
          <rPr>
            <b/>
            <sz val="9"/>
            <color indexed="81"/>
            <rFont val="Tahoma"/>
            <family val="2"/>
          </rPr>
          <t>Year Built</t>
        </r>
      </text>
    </comment>
    <comment ref="O65" authorId="2" shapeId="0" xr:uid="{00000000-0006-0000-2700-00002F000000}">
      <text>
        <r>
          <rPr>
            <b/>
            <sz val="9"/>
            <color indexed="81"/>
            <rFont val="Tahoma"/>
            <family val="2"/>
          </rPr>
          <t>Year Built Comments</t>
        </r>
      </text>
    </comment>
    <comment ref="O66" authorId="2" shapeId="0" xr:uid="{00000000-0006-0000-2700-000030000000}">
      <text>
        <r>
          <rPr>
            <b/>
            <sz val="9"/>
            <color indexed="81"/>
            <rFont val="Tahoma"/>
            <family val="2"/>
          </rPr>
          <t>Rentable Area</t>
        </r>
      </text>
    </comment>
    <comment ref="O67" authorId="2" shapeId="0" xr:uid="{00000000-0006-0000-2700-000031000000}">
      <text>
        <r>
          <rPr>
            <b/>
            <sz val="9"/>
            <color indexed="81"/>
            <rFont val="Tahoma"/>
            <family val="2"/>
          </rPr>
          <t>GBA</t>
        </r>
      </text>
    </comment>
    <comment ref="O68" authorId="2" shapeId="0" xr:uid="{00000000-0006-0000-2700-000032000000}">
      <text>
        <r>
          <rPr>
            <b/>
            <sz val="9"/>
            <color indexed="81"/>
            <rFont val="Tahoma"/>
            <family val="2"/>
          </rPr>
          <t>Usable Land Acres</t>
        </r>
      </text>
    </comment>
    <comment ref="O69" authorId="2" shapeId="0" xr:uid="{00000000-0006-0000-2700-000033000000}">
      <text>
        <r>
          <rPr>
            <b/>
            <sz val="9"/>
            <color indexed="81"/>
            <rFont val="Tahoma"/>
            <family val="2"/>
          </rPr>
          <t>Land to Building Ratio</t>
        </r>
      </text>
    </comment>
    <comment ref="O70" authorId="0" shapeId="0" xr:uid="{00000000-0006-0000-2700-000034000000}">
      <text>
        <r>
          <rPr>
            <b/>
            <sz val="9"/>
            <color indexed="81"/>
            <rFont val="Tahoma"/>
            <family val="2"/>
          </rPr>
          <t>Traffic Count</t>
        </r>
      </text>
    </comment>
    <comment ref="O71" authorId="2" shapeId="0" xr:uid="{00000000-0006-0000-2700-000035000000}">
      <text>
        <r>
          <rPr>
            <b/>
            <sz val="9"/>
            <color indexed="81"/>
            <rFont val="Tahoma"/>
            <family val="2"/>
          </rPr>
          <t>Ceiling Height</t>
        </r>
      </text>
    </comment>
    <comment ref="O72" authorId="2" shapeId="0" xr:uid="{00000000-0006-0000-2700-000036000000}">
      <text>
        <r>
          <rPr>
            <b/>
            <sz val="9"/>
            <color indexed="81"/>
            <rFont val="Tahoma"/>
            <family val="2"/>
          </rPr>
          <t>Percent Office</t>
        </r>
      </text>
    </comment>
    <comment ref="O76" authorId="2" shapeId="0" xr:uid="{00000000-0006-0000-2700-000037000000}">
      <text>
        <r>
          <rPr>
            <b/>
            <sz val="9"/>
            <color indexed="81"/>
            <rFont val="Tahoma"/>
            <family val="2"/>
          </rPr>
          <t>Leased Area (SF)</t>
        </r>
      </text>
    </comment>
    <comment ref="O77" authorId="2" shapeId="0" xr:uid="{00000000-0006-0000-2700-000038000000}">
      <text>
        <r>
          <rPr>
            <b/>
            <sz val="9"/>
            <color indexed="81"/>
            <rFont val="Tahoma"/>
            <family val="2"/>
          </rPr>
          <t>Initial Year Rate ($/SF)</t>
        </r>
      </text>
    </comment>
    <comment ref="O78" authorId="2" shapeId="0" xr:uid="{00000000-0006-0000-2700-000039000000}">
      <text>
        <r>
          <rPr>
            <b/>
            <sz val="9"/>
            <color indexed="81"/>
            <rFont val="Tahoma"/>
            <family val="2"/>
          </rPr>
          <t>Quoted Average ($/SF)</t>
        </r>
      </text>
    </comment>
    <comment ref="O80" authorId="2" shapeId="0" xr:uid="{00000000-0006-0000-2700-00003A000000}">
      <text>
        <r>
          <rPr>
            <b/>
            <sz val="9"/>
            <color indexed="81"/>
            <rFont val="Tahoma"/>
            <family val="2"/>
          </rPr>
          <t>Type of Lease</t>
        </r>
      </text>
    </comment>
    <comment ref="O81" authorId="2" shapeId="0" xr:uid="{00000000-0006-0000-2700-00003B000000}">
      <text>
        <r>
          <rPr>
            <b/>
            <sz val="9"/>
            <color indexed="81"/>
            <rFont val="Tahoma"/>
            <family val="2"/>
          </rPr>
          <t>Lease Escalation Terms</t>
        </r>
      </text>
    </comment>
    <comment ref="O82" authorId="2" shapeId="0" xr:uid="{00000000-0006-0000-2700-00003C000000}">
      <text>
        <r>
          <rPr>
            <b/>
            <sz val="9"/>
            <color indexed="81"/>
            <rFont val="Tahoma"/>
            <family val="2"/>
          </rPr>
          <t>Term of Lease (months)</t>
        </r>
      </text>
    </comment>
    <comment ref="O84" authorId="2" shapeId="0" xr:uid="{00000000-0006-0000-2700-00003D000000}">
      <text>
        <r>
          <rPr>
            <b/>
            <sz val="9"/>
            <color indexed="81"/>
            <rFont val="Tahoma"/>
            <family val="2"/>
          </rPr>
          <t>Lease Renewal Options?</t>
        </r>
      </text>
    </comment>
    <comment ref="O85" authorId="2" shapeId="0" xr:uid="{00000000-0006-0000-2700-00003E000000}">
      <text>
        <r>
          <rPr>
            <b/>
            <sz val="9"/>
            <color indexed="81"/>
            <rFont val="Tahoma"/>
            <family val="2"/>
          </rPr>
          <t>Tenant Improv ($/SF)</t>
        </r>
      </text>
    </comment>
    <comment ref="O86" authorId="2" shapeId="0" xr:uid="{00000000-0006-0000-2700-00003F000000}">
      <text>
        <r>
          <rPr>
            <b/>
            <sz val="9"/>
            <color indexed="81"/>
            <rFont val="Tahoma"/>
            <family val="2"/>
          </rPr>
          <t>Concessions ($/SF)</t>
        </r>
      </text>
    </comment>
    <comment ref="O87" authorId="2" shapeId="0" xr:uid="{00000000-0006-0000-2700-000040000000}">
      <text>
        <r>
          <rPr>
            <b/>
            <sz val="9"/>
            <color indexed="81"/>
            <rFont val="Tahoma"/>
            <family val="2"/>
          </rPr>
          <t>Rent Abatement (months)</t>
        </r>
      </text>
    </comment>
    <comment ref="O88" authorId="2" shapeId="0" xr:uid="{00000000-0006-0000-2700-000041000000}">
      <text>
        <r>
          <rPr>
            <b/>
            <sz val="9"/>
            <color indexed="81"/>
            <rFont val="Tahoma"/>
            <family val="2"/>
          </rPr>
          <t>Lease Occupancy %</t>
        </r>
      </text>
    </comment>
    <comment ref="O89" authorId="0" shapeId="0" xr:uid="{00000000-0006-0000-2700-000042000000}">
      <text>
        <r>
          <rPr>
            <b/>
            <sz val="9"/>
            <color indexed="81"/>
            <rFont val="Tahoma"/>
            <family val="2"/>
          </rPr>
          <t>&lt;&lt;Lower Left Corner&gt;&gt;</t>
        </r>
      </text>
    </comment>
    <comment ref="AA93" authorId="0" shapeId="0" xr:uid="{00000000-0006-0000-2700-000043000000}">
      <text>
        <r>
          <rPr>
            <b/>
            <sz val="9"/>
            <color indexed="81"/>
            <rFont val="Tahoma"/>
            <family val="2"/>
          </rPr>
          <t>&lt;&lt;Leases and Surveys&gt;&gt;&lt;&lt;Data Runs in Columns&gt;&gt;&lt;&lt;Bucket 2&gt;&gt;&lt;&lt;Last Table&gt;&gt;</t>
        </r>
      </text>
    </comment>
    <comment ref="AG93" authorId="0" shapeId="0" xr:uid="{3DB5ADCA-50FC-44DD-AFE3-E1CDA7E09944}">
      <text>
        <r>
          <rPr>
            <b/>
            <sz val="9"/>
            <color indexed="81"/>
            <rFont val="Tahoma"/>
            <family val="2"/>
          </rPr>
          <t>&lt;&lt;Upper Right Corner&gt;&gt;</t>
        </r>
      </text>
    </comment>
    <comment ref="AA94" authorId="2" shapeId="0" xr:uid="{00000000-0006-0000-2700-000045000000}">
      <text>
        <r>
          <rPr>
            <b/>
            <sz val="9"/>
            <color indexed="81"/>
            <rFont val="Tahoma"/>
            <family val="2"/>
          </rPr>
          <t>Lease ID</t>
        </r>
      </text>
    </comment>
    <comment ref="AA96" authorId="2" shapeId="0" xr:uid="{00000000-0006-0000-2700-000046000000}">
      <text>
        <r>
          <rPr>
            <b/>
            <sz val="9"/>
            <color indexed="81"/>
            <rFont val="Tahoma"/>
            <family val="2"/>
          </rPr>
          <t>Survey Date</t>
        </r>
      </text>
    </comment>
    <comment ref="AA97" authorId="2" shapeId="0" xr:uid="{00000000-0006-0000-2700-000047000000}">
      <text>
        <r>
          <rPr>
            <b/>
            <sz val="9"/>
            <color indexed="81"/>
            <rFont val="Tahoma"/>
            <family val="2"/>
          </rPr>
          <t>Date Lease Signed</t>
        </r>
      </text>
    </comment>
    <comment ref="AA98" authorId="0" shapeId="0" xr:uid="{00000000-0006-0000-2700-000048000000}">
      <text>
        <r>
          <rPr>
            <b/>
            <sz val="9"/>
            <color indexed="81"/>
            <rFont val="Tahoma"/>
            <family val="2"/>
          </rPr>
          <t>Date Lease Commences</t>
        </r>
      </text>
    </comment>
    <comment ref="AA99" authorId="2" shapeId="0" xr:uid="{00000000-0006-0000-2700-000049000000}">
      <text>
        <r>
          <rPr>
            <b/>
            <sz val="9"/>
            <color indexed="81"/>
            <rFont val="Tahoma"/>
            <family val="2"/>
          </rPr>
          <t>Property Name</t>
        </r>
      </text>
    </comment>
    <comment ref="AA102" authorId="2" shapeId="0" xr:uid="{00000000-0006-0000-2700-00004A000000}">
      <text>
        <r>
          <rPr>
            <b/>
            <sz val="9"/>
            <color indexed="81"/>
            <rFont val="Tahoma"/>
            <family val="2"/>
          </rPr>
          <t>Address</t>
        </r>
      </text>
    </comment>
    <comment ref="AA103" authorId="2" shapeId="0" xr:uid="{00000000-0006-0000-2700-00004B000000}">
      <text>
        <r>
          <rPr>
            <b/>
            <sz val="9"/>
            <color indexed="81"/>
            <rFont val="Tahoma"/>
            <family val="2"/>
          </rPr>
          <t>City State</t>
        </r>
      </text>
    </comment>
    <comment ref="AA104" authorId="2" shapeId="0" xr:uid="{00000000-0006-0000-2700-00004C000000}">
      <text>
        <r>
          <rPr>
            <b/>
            <sz val="9"/>
            <color indexed="81"/>
            <rFont val="Tahoma"/>
            <family val="2"/>
          </rPr>
          <t>Construction Quality</t>
        </r>
      </text>
    </comment>
    <comment ref="AA105" authorId="2" shapeId="0" xr:uid="{00000000-0006-0000-2700-00004D000000}">
      <text>
        <r>
          <rPr>
            <b/>
            <sz val="9"/>
            <color indexed="81"/>
            <rFont val="Tahoma"/>
            <family val="2"/>
          </rPr>
          <t>Construction Class</t>
        </r>
      </text>
    </comment>
    <comment ref="AA107" authorId="0" shapeId="0" xr:uid="{00000000-0006-0000-2700-00004E000000}">
      <text>
        <r>
          <rPr>
            <b/>
            <sz val="9"/>
            <color indexed="81"/>
            <rFont val="Tahoma"/>
            <family val="2"/>
          </rPr>
          <t>&lt;&lt;Not a Datappraise Field&gt;&gt;</t>
        </r>
      </text>
    </comment>
    <comment ref="AA108" authorId="2" shapeId="0" xr:uid="{00000000-0006-0000-2700-00004F000000}">
      <text>
        <r>
          <rPr>
            <b/>
            <sz val="9"/>
            <color indexed="81"/>
            <rFont val="Tahoma"/>
            <family val="2"/>
          </rPr>
          <t>Year Built</t>
        </r>
      </text>
    </comment>
    <comment ref="AA109" authorId="2" shapeId="0" xr:uid="{00000000-0006-0000-2700-000050000000}">
      <text>
        <r>
          <rPr>
            <b/>
            <sz val="9"/>
            <color indexed="81"/>
            <rFont val="Tahoma"/>
            <family val="2"/>
          </rPr>
          <t>Year Built Comments</t>
        </r>
      </text>
    </comment>
    <comment ref="AA110" authorId="2" shapeId="0" xr:uid="{00000000-0006-0000-2700-000051000000}">
      <text>
        <r>
          <rPr>
            <b/>
            <sz val="9"/>
            <color indexed="81"/>
            <rFont val="Tahoma"/>
            <family val="2"/>
          </rPr>
          <t>Rentable Area</t>
        </r>
      </text>
    </comment>
    <comment ref="AA111" authorId="2" shapeId="0" xr:uid="{00000000-0006-0000-2700-000052000000}">
      <text>
        <r>
          <rPr>
            <b/>
            <sz val="9"/>
            <color indexed="81"/>
            <rFont val="Tahoma"/>
            <family val="2"/>
          </rPr>
          <t>GBA</t>
        </r>
      </text>
    </comment>
    <comment ref="AA112" authorId="2" shapeId="0" xr:uid="{00000000-0006-0000-2700-000053000000}">
      <text>
        <r>
          <rPr>
            <b/>
            <sz val="9"/>
            <color indexed="81"/>
            <rFont val="Tahoma"/>
            <family val="2"/>
          </rPr>
          <t>Usable Land Acres</t>
        </r>
      </text>
    </comment>
    <comment ref="AA113" authorId="2" shapeId="0" xr:uid="{00000000-0006-0000-2700-000054000000}">
      <text>
        <r>
          <rPr>
            <b/>
            <sz val="9"/>
            <color indexed="81"/>
            <rFont val="Tahoma"/>
            <family val="2"/>
          </rPr>
          <t>Land to Building Ratio</t>
        </r>
      </text>
    </comment>
    <comment ref="AA114" authorId="0" shapeId="0" xr:uid="{00000000-0006-0000-2700-000055000000}">
      <text>
        <r>
          <rPr>
            <b/>
            <sz val="9"/>
            <color indexed="81"/>
            <rFont val="Tahoma"/>
            <family val="2"/>
          </rPr>
          <t>Traffic Count</t>
        </r>
      </text>
    </comment>
    <comment ref="AA115" authorId="2" shapeId="0" xr:uid="{00000000-0006-0000-2700-000056000000}">
      <text>
        <r>
          <rPr>
            <b/>
            <sz val="9"/>
            <color indexed="81"/>
            <rFont val="Tahoma"/>
            <family val="2"/>
          </rPr>
          <t>Ceiling Height</t>
        </r>
      </text>
    </comment>
    <comment ref="AA116" authorId="2" shapeId="0" xr:uid="{00000000-0006-0000-2700-000057000000}">
      <text>
        <r>
          <rPr>
            <b/>
            <sz val="9"/>
            <color indexed="81"/>
            <rFont val="Tahoma"/>
            <family val="2"/>
          </rPr>
          <t>Percent Office</t>
        </r>
      </text>
    </comment>
    <comment ref="AA120" authorId="2" shapeId="0" xr:uid="{00000000-0006-0000-2700-000058000000}">
      <text>
        <r>
          <rPr>
            <b/>
            <sz val="9"/>
            <color indexed="81"/>
            <rFont val="Tahoma"/>
            <family val="2"/>
          </rPr>
          <t>Leased Area (SF)</t>
        </r>
      </text>
    </comment>
    <comment ref="AA121" authorId="2" shapeId="0" xr:uid="{00000000-0006-0000-2700-000059000000}">
      <text>
        <r>
          <rPr>
            <b/>
            <sz val="9"/>
            <color indexed="81"/>
            <rFont val="Tahoma"/>
            <family val="2"/>
          </rPr>
          <t>Initial Year Rate ($/SF)</t>
        </r>
      </text>
    </comment>
    <comment ref="AA122" authorId="2" shapeId="0" xr:uid="{00000000-0006-0000-2700-00005A000000}">
      <text>
        <r>
          <rPr>
            <b/>
            <sz val="9"/>
            <color indexed="81"/>
            <rFont val="Tahoma"/>
            <family val="2"/>
          </rPr>
          <t>Quoted Average ($/SF)</t>
        </r>
      </text>
    </comment>
    <comment ref="AA124" authorId="2" shapeId="0" xr:uid="{00000000-0006-0000-2700-00005B000000}">
      <text>
        <r>
          <rPr>
            <b/>
            <sz val="9"/>
            <color indexed="81"/>
            <rFont val="Tahoma"/>
            <family val="2"/>
          </rPr>
          <t>Type of Lease</t>
        </r>
      </text>
    </comment>
    <comment ref="AA125" authorId="2" shapeId="0" xr:uid="{00000000-0006-0000-2700-00005C000000}">
      <text>
        <r>
          <rPr>
            <b/>
            <sz val="9"/>
            <color indexed="81"/>
            <rFont val="Tahoma"/>
            <family val="2"/>
          </rPr>
          <t>Lease Escalation Terms</t>
        </r>
      </text>
    </comment>
    <comment ref="AA126" authorId="2" shapeId="0" xr:uid="{00000000-0006-0000-2700-00005D000000}">
      <text>
        <r>
          <rPr>
            <b/>
            <sz val="9"/>
            <color indexed="81"/>
            <rFont val="Tahoma"/>
            <family val="2"/>
          </rPr>
          <t>Term of Lease (months)</t>
        </r>
      </text>
    </comment>
    <comment ref="AA128" authorId="2" shapeId="0" xr:uid="{00000000-0006-0000-2700-00005E000000}">
      <text>
        <r>
          <rPr>
            <b/>
            <sz val="9"/>
            <color indexed="81"/>
            <rFont val="Tahoma"/>
            <family val="2"/>
          </rPr>
          <t>Lease Renewal Options?</t>
        </r>
      </text>
    </comment>
    <comment ref="AA129" authorId="2" shapeId="0" xr:uid="{00000000-0006-0000-2700-00005F000000}">
      <text>
        <r>
          <rPr>
            <b/>
            <sz val="9"/>
            <color indexed="81"/>
            <rFont val="Tahoma"/>
            <family val="2"/>
          </rPr>
          <t>Tenant Improv ($/SF)</t>
        </r>
      </text>
    </comment>
    <comment ref="AA130" authorId="2" shapeId="0" xr:uid="{00000000-0006-0000-2700-000060000000}">
      <text>
        <r>
          <rPr>
            <b/>
            <sz val="9"/>
            <color indexed="81"/>
            <rFont val="Tahoma"/>
            <family val="2"/>
          </rPr>
          <t>Concessions ($/SF)</t>
        </r>
      </text>
    </comment>
    <comment ref="AA131" authorId="2" shapeId="0" xr:uid="{00000000-0006-0000-2700-000061000000}">
      <text>
        <r>
          <rPr>
            <b/>
            <sz val="9"/>
            <color indexed="81"/>
            <rFont val="Tahoma"/>
            <family val="2"/>
          </rPr>
          <t>Rent Abatement (months)</t>
        </r>
      </text>
    </comment>
    <comment ref="AA132" authorId="2" shapeId="0" xr:uid="{00000000-0006-0000-2700-000062000000}">
      <text>
        <r>
          <rPr>
            <b/>
            <sz val="9"/>
            <color indexed="81"/>
            <rFont val="Tahoma"/>
            <family val="2"/>
          </rPr>
          <t>Lease Occupancy %</t>
        </r>
      </text>
    </comment>
    <comment ref="AA133" authorId="2" shapeId="0" xr:uid="{00000000-0006-0000-2700-000063000000}">
      <text>
        <r>
          <rPr>
            <b/>
            <sz val="9"/>
            <color indexed="81"/>
            <rFont val="Tahoma"/>
            <family val="2"/>
          </rPr>
          <t>&lt;&lt;Lower Left Corner&gt;&gt;</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2800-000001000000}">
      <text>
        <r>
          <rPr>
            <b/>
            <sz val="9"/>
            <color indexed="81"/>
            <rFont val="Tahoma"/>
            <family val="2"/>
          </rPr>
          <t>&lt;&lt;Not a Datappraise Worksheet&gt;&gt;</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pgilliam@valbridge.com</author>
    <author>Jason Bennett</author>
    <author>pgilliam</author>
  </authors>
  <commentList>
    <comment ref="F8" authorId="0" shapeId="0" xr:uid="{00000000-0006-0000-2900-000001000000}">
      <text>
        <r>
          <rPr>
            <b/>
            <sz val="9"/>
            <color indexed="81"/>
            <rFont val="Tahoma"/>
            <family val="2"/>
          </rPr>
          <t>&lt;&lt;Leases and Surveys&gt;&gt;&lt;&lt;Data Runs in Columns&gt;&gt;</t>
        </r>
      </text>
    </comment>
    <comment ref="J8" authorId="1" shapeId="0" xr:uid="{631FDE09-F3D6-4DF2-BA50-47A86660588D}">
      <text>
        <r>
          <rPr>
            <b/>
            <sz val="9"/>
            <color indexed="81"/>
            <rFont val="Tahoma"/>
            <family val="2"/>
          </rPr>
          <t>&lt;&lt;Upper Right Corner&gt;&gt;</t>
        </r>
      </text>
    </comment>
    <comment ref="F10" authorId="0" shapeId="0" xr:uid="{00000000-0006-0000-2900-000003000000}">
      <text>
        <r>
          <rPr>
            <b/>
            <sz val="9"/>
            <color indexed="81"/>
            <rFont val="Tahoma"/>
            <family val="2"/>
          </rPr>
          <t>Lease ID</t>
        </r>
      </text>
    </comment>
    <comment ref="F12" authorId="0" shapeId="0" xr:uid="{00000000-0006-0000-2900-000004000000}">
      <text>
        <r>
          <rPr>
            <b/>
            <sz val="9"/>
            <color indexed="81"/>
            <rFont val="Tahoma"/>
            <family val="2"/>
          </rPr>
          <t>Survey Date</t>
        </r>
      </text>
    </comment>
    <comment ref="F13" authorId="0" shapeId="0" xr:uid="{00000000-0006-0000-2900-000005000000}">
      <text>
        <r>
          <rPr>
            <b/>
            <sz val="9"/>
            <color indexed="81"/>
            <rFont val="Tahoma"/>
            <family val="2"/>
          </rPr>
          <t>Date Lease Signed</t>
        </r>
      </text>
    </comment>
    <comment ref="F14" authorId="2" shapeId="0" xr:uid="{00000000-0006-0000-2900-000006000000}">
      <text>
        <r>
          <rPr>
            <b/>
            <sz val="9"/>
            <color indexed="81"/>
            <rFont val="Tahoma"/>
            <family val="2"/>
          </rPr>
          <t>Date Lease Commences</t>
        </r>
      </text>
    </comment>
    <comment ref="F15" authorId="0" shapeId="0" xr:uid="{00000000-0006-0000-2900-000007000000}">
      <text>
        <r>
          <rPr>
            <b/>
            <sz val="9"/>
            <color indexed="81"/>
            <rFont val="Tahoma"/>
            <family val="2"/>
          </rPr>
          <t>Property Name</t>
        </r>
      </text>
    </comment>
    <comment ref="F16" authorId="0" shapeId="0" xr:uid="{00000000-0006-0000-2900-000008000000}">
      <text>
        <r>
          <rPr>
            <b/>
            <sz val="9"/>
            <color indexed="81"/>
            <rFont val="Tahoma"/>
            <family val="2"/>
          </rPr>
          <t>Lessee</t>
        </r>
      </text>
    </comment>
    <comment ref="F17" authorId="0" shapeId="0" xr:uid="{00000000-0006-0000-2900-000009000000}">
      <text>
        <r>
          <rPr>
            <b/>
            <sz val="9"/>
            <color indexed="81"/>
            <rFont val="Tahoma"/>
            <family val="2"/>
          </rPr>
          <t>Rentable Area</t>
        </r>
      </text>
    </comment>
    <comment ref="F18" authorId="0" shapeId="0" xr:uid="{00000000-0006-0000-2900-00000A000000}">
      <text>
        <r>
          <rPr>
            <b/>
            <sz val="9"/>
            <color indexed="81"/>
            <rFont val="Tahoma"/>
            <family val="2"/>
          </rPr>
          <t>Usable Land Acres</t>
        </r>
      </text>
    </comment>
    <comment ref="F22" authorId="0" shapeId="0" xr:uid="{00000000-0006-0000-2900-00000B000000}">
      <text>
        <r>
          <rPr>
            <b/>
            <sz val="9"/>
            <color indexed="81"/>
            <rFont val="Tahoma"/>
            <family val="2"/>
          </rPr>
          <t>Initial Year Rate ($/SF)</t>
        </r>
      </text>
    </comment>
    <comment ref="F23" authorId="2" shapeId="0" xr:uid="{00000000-0006-0000-2900-00000C000000}">
      <text>
        <r>
          <rPr>
            <b/>
            <sz val="9"/>
            <color indexed="81"/>
            <rFont val="Tahoma"/>
            <family val="2"/>
          </rPr>
          <t>Current Rate ($/SF)</t>
        </r>
      </text>
    </comment>
    <comment ref="F24" authorId="0" shapeId="0" xr:uid="{00000000-0006-0000-2900-00000D000000}">
      <text>
        <r>
          <rPr>
            <b/>
            <sz val="9"/>
            <color indexed="81"/>
            <rFont val="Tahoma"/>
            <family val="2"/>
          </rPr>
          <t>Quoted Average ($/SF)</t>
        </r>
      </text>
    </comment>
    <comment ref="F27" authorId="0" shapeId="0" xr:uid="{00000000-0006-0000-2900-00000E000000}">
      <text>
        <r>
          <rPr>
            <b/>
            <sz val="9"/>
            <color indexed="81"/>
            <rFont val="Tahoma"/>
            <family val="2"/>
          </rPr>
          <t>Type of Lease</t>
        </r>
      </text>
    </comment>
    <comment ref="F29" authorId="0" shapeId="0" xr:uid="{00000000-0006-0000-2900-00000F000000}">
      <text>
        <r>
          <rPr>
            <b/>
            <sz val="9"/>
            <color indexed="81"/>
            <rFont val="Tahoma"/>
            <family val="2"/>
          </rPr>
          <t>Est. Annual Expenses ($/SF)</t>
        </r>
      </text>
    </comment>
    <comment ref="F33" authorId="0" shapeId="0" xr:uid="{00000000-0006-0000-2900-000010000000}">
      <text>
        <r>
          <rPr>
            <b/>
            <sz val="9"/>
            <color indexed="81"/>
            <rFont val="Tahoma"/>
            <family val="2"/>
          </rPr>
          <t>Concessions Description</t>
        </r>
      </text>
    </comment>
    <comment ref="F34" authorId="0" shapeId="0" xr:uid="{00000000-0006-0000-2900-000011000000}">
      <text>
        <r>
          <rPr>
            <b/>
            <sz val="9"/>
            <color indexed="81"/>
            <rFont val="Tahoma"/>
            <family val="2"/>
          </rPr>
          <t>Concessions ($/SF)</t>
        </r>
      </text>
    </comment>
    <comment ref="F36" authorId="0" shapeId="0" xr:uid="{00000000-0006-0000-2900-000012000000}">
      <text>
        <r>
          <rPr>
            <b/>
            <sz val="9"/>
            <color indexed="81"/>
            <rFont val="Tahoma"/>
            <family val="2"/>
          </rPr>
          <t>Over Base Tenant Improv ($/SF)</t>
        </r>
      </text>
    </comment>
    <comment ref="D43" authorId="0" shapeId="0" xr:uid="{00000000-0006-0000-2900-000013000000}">
      <text>
        <r>
          <rPr>
            <b/>
            <sz val="9"/>
            <color indexed="81"/>
            <rFont val="Tahoma"/>
            <family val="2"/>
          </rPr>
          <t>This category encompasses a number of factors; therefore, User may:
1. Add Datappraise Insert Field in Cell F34
2. Manually type comment for each comprable
3. Leave Blank</t>
        </r>
      </text>
    </comment>
    <comment ref="F43" authorId="2" shapeId="0" xr:uid="{00000000-0006-0000-2900-000014000000}">
      <text>
        <r>
          <rPr>
            <b/>
            <sz val="9"/>
            <color indexed="81"/>
            <rFont val="Tahoma"/>
            <family val="2"/>
          </rPr>
          <t>Lease Status</t>
        </r>
      </text>
    </comment>
    <comment ref="F57" authorId="0" shapeId="0" xr:uid="{00000000-0006-0000-2900-000015000000}">
      <text>
        <r>
          <rPr>
            <b/>
            <sz val="9"/>
            <color indexed="81"/>
            <rFont val="Tahoma"/>
            <family val="2"/>
          </rPr>
          <t>Address</t>
        </r>
      </text>
    </comment>
    <comment ref="F58" authorId="0" shapeId="0" xr:uid="{00000000-0006-0000-2900-000016000000}">
      <text>
        <r>
          <rPr>
            <b/>
            <sz val="9"/>
            <color indexed="81"/>
            <rFont val="Tahoma"/>
            <family val="2"/>
          </rPr>
          <t>City State</t>
        </r>
      </text>
    </comment>
    <comment ref="F64" authorId="0" shapeId="0" xr:uid="{00000000-0006-0000-2900-000017000000}">
      <text>
        <r>
          <rPr>
            <b/>
            <sz val="9"/>
            <color indexed="81"/>
            <rFont val="Tahoma"/>
            <family val="2"/>
          </rPr>
          <t>Leased Area (SF)</t>
        </r>
      </text>
    </comment>
    <comment ref="F71" authorId="0" shapeId="0" xr:uid="{00000000-0006-0000-2900-000018000000}">
      <text>
        <r>
          <rPr>
            <b/>
            <sz val="9"/>
            <color indexed="81"/>
            <rFont val="Tahoma"/>
            <family val="2"/>
          </rPr>
          <t>Year Built</t>
        </r>
      </text>
    </comment>
    <comment ref="F72" authorId="0" shapeId="0" xr:uid="{00000000-0006-0000-2900-000019000000}">
      <text>
        <r>
          <rPr>
            <b/>
            <sz val="9"/>
            <color indexed="81"/>
            <rFont val="Tahoma"/>
            <family val="2"/>
          </rPr>
          <t>Year Built Comments</t>
        </r>
      </text>
    </comment>
    <comment ref="F73" authorId="0" shapeId="0" xr:uid="{00000000-0006-0000-2900-00001A000000}">
      <text>
        <r>
          <rPr>
            <b/>
            <sz val="9"/>
            <color indexed="81"/>
            <rFont val="Tahoma"/>
            <family val="2"/>
          </rPr>
          <t>Building Condition</t>
        </r>
      </text>
    </comment>
    <comment ref="F74" authorId="0" shapeId="0" xr:uid="{00000000-0006-0000-2900-00001B000000}">
      <text>
        <r>
          <rPr>
            <b/>
            <sz val="9"/>
            <color indexed="81"/>
            <rFont val="Tahoma"/>
            <family val="2"/>
          </rPr>
          <t>Effective Age as of Commence Date</t>
        </r>
      </text>
    </comment>
    <comment ref="F81" authorId="0" shapeId="0" xr:uid="{00000000-0006-0000-2900-00001C000000}">
      <text>
        <r>
          <rPr>
            <b/>
            <sz val="9"/>
            <color indexed="81"/>
            <rFont val="Tahoma"/>
            <family val="2"/>
          </rPr>
          <t>Construction Quality</t>
        </r>
      </text>
    </comment>
    <comment ref="F82" authorId="0" shapeId="0" xr:uid="{00000000-0006-0000-2900-00001D000000}">
      <text>
        <r>
          <rPr>
            <b/>
            <sz val="9"/>
            <color indexed="81"/>
            <rFont val="Tahoma"/>
            <family val="2"/>
          </rPr>
          <t>Construction Class</t>
        </r>
      </text>
    </comment>
    <comment ref="F83" authorId="2" shapeId="0" xr:uid="{00000000-0006-0000-2900-00001E000000}">
      <text>
        <r>
          <rPr>
            <b/>
            <sz val="9"/>
            <color indexed="81"/>
            <rFont val="Tahoma"/>
            <family val="2"/>
          </rPr>
          <t>Investment Class</t>
        </r>
      </text>
    </comment>
    <comment ref="D89" authorId="0" shapeId="0" xr:uid="{00000000-0006-0000-2900-00001F000000}">
      <text>
        <r>
          <rPr>
            <b/>
            <sz val="9"/>
            <color indexed="81"/>
            <rFont val="Tahoma"/>
            <family val="2"/>
          </rPr>
          <t>This category encompasses a number of factors; therefore, User may:
1. Add Datappraise Insert Field in Cell F65
2. Manually type comment for each comprable
3. Leave Blank</t>
        </r>
      </text>
    </comment>
    <comment ref="F95" authorId="0" shapeId="0" xr:uid="{00000000-0006-0000-2900-000020000000}">
      <text>
        <r>
          <rPr>
            <b/>
            <sz val="9"/>
            <color indexed="81"/>
            <rFont val="Tahoma"/>
            <family val="2"/>
          </rPr>
          <t>Clear Height Average (Feet)</t>
        </r>
      </text>
    </comment>
    <comment ref="F101" authorId="0" shapeId="0" xr:uid="{00000000-0006-0000-2900-000021000000}">
      <text>
        <r>
          <rPr>
            <b/>
            <sz val="9"/>
            <color indexed="81"/>
            <rFont val="Tahoma"/>
            <family val="2"/>
          </rPr>
          <t>% Finished Office</t>
        </r>
      </text>
    </comment>
    <comment ref="F107" authorId="0" shapeId="0" xr:uid="{00000000-0006-0000-2900-000022000000}">
      <text>
        <r>
          <rPr>
            <b/>
            <sz val="9"/>
            <color indexed="81"/>
            <rFont val="Tahoma"/>
            <family val="2"/>
          </rPr>
          <t>Usable Land to Building Ratio</t>
        </r>
      </text>
    </comment>
    <comment ref="F113" authorId="2" shapeId="0" xr:uid="{00000000-0006-0000-2900-000023000000}">
      <text>
        <r>
          <rPr>
            <b/>
            <sz val="9"/>
            <color indexed="81"/>
            <rFont val="Tahoma"/>
            <family val="2"/>
          </rPr>
          <t>Parking Ratio NRA</t>
        </r>
      </text>
    </comment>
    <comment ref="F119" authorId="0" shapeId="0" xr:uid="{00000000-0006-0000-2900-000024000000}">
      <text>
        <r>
          <rPr>
            <b/>
            <sz val="9"/>
            <color indexed="81"/>
            <rFont val="Tahoma"/>
            <family val="2"/>
          </rPr>
          <t>Lease Escalation Terms</t>
        </r>
      </text>
    </comment>
    <comment ref="F125" authorId="0" shapeId="0" xr:uid="{00000000-0006-0000-2900-000025000000}">
      <text>
        <r>
          <rPr>
            <b/>
            <sz val="9"/>
            <color indexed="81"/>
            <rFont val="Tahoma"/>
            <family val="2"/>
          </rPr>
          <t>Term of Lease (months)</t>
        </r>
      </text>
    </comment>
    <comment ref="D132" authorId="0" shapeId="0" xr:uid="{00000000-0006-0000-2900-000026000000}">
      <text>
        <r>
          <rPr>
            <b/>
            <sz val="9"/>
            <color indexed="81"/>
            <rFont val="Tahoma"/>
            <family val="2"/>
          </rPr>
          <t>User may:
1. Add Datappraise Insert Field in Cell F122
2. Manually type comment for each comprable
3. Leave Blank</t>
        </r>
      </text>
    </comment>
    <comment ref="D138" authorId="0" shapeId="0" xr:uid="{00000000-0006-0000-2900-000027000000}">
      <text>
        <r>
          <rPr>
            <b/>
            <sz val="9"/>
            <color indexed="81"/>
            <rFont val="Tahoma"/>
            <family val="2"/>
          </rPr>
          <t>User may:
1. Add Datappraise Insert Field in Cell F128
2. Manually type comment for each comprable
3. Leave Blank</t>
        </r>
      </text>
    </comment>
    <comment ref="F143" authorId="0" shapeId="0" xr:uid="{00000000-0006-0000-2900-000028000000}">
      <text>
        <r>
          <rPr>
            <b/>
            <sz val="9"/>
            <color indexed="81"/>
            <rFont val="Tahoma"/>
            <family val="2"/>
          </rPr>
          <t>&lt;&lt;Lower Left Corner&gt;&gt;</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pgilliam</author>
    <author>pgilliam@valbridge.com</author>
  </authors>
  <commentList>
    <comment ref="F8" authorId="0" shapeId="0" xr:uid="{00000000-0006-0000-2A00-000001000000}">
      <text>
        <r>
          <rPr>
            <b/>
            <sz val="9"/>
            <color indexed="81"/>
            <rFont val="Tahoma"/>
            <family val="2"/>
          </rPr>
          <t>&lt;&lt;Leases and Surveys&gt;&gt;&lt;&lt;Data Runs in Columns&gt;&gt;&lt;&lt;Bucket 1&gt;&gt;</t>
        </r>
      </text>
    </comment>
    <comment ref="L8" authorId="0" shapeId="0" xr:uid="{00000000-0006-0000-2A00-000002000000}">
      <text>
        <r>
          <rPr>
            <b/>
            <sz val="9"/>
            <color indexed="81"/>
            <rFont val="Tahoma"/>
            <family val="2"/>
          </rPr>
          <t>&lt;&lt;Upper Right Corner&gt;&gt;</t>
        </r>
      </text>
    </comment>
    <comment ref="F10" authorId="1" shapeId="0" xr:uid="{00000000-0006-0000-2A00-000003000000}">
      <text>
        <r>
          <rPr>
            <b/>
            <sz val="9"/>
            <color indexed="81"/>
            <rFont val="Tahoma"/>
            <family val="2"/>
          </rPr>
          <t>Lease ID</t>
        </r>
      </text>
    </comment>
    <comment ref="F12" authorId="1" shapeId="0" xr:uid="{00000000-0006-0000-2A00-000004000000}">
      <text>
        <r>
          <rPr>
            <b/>
            <sz val="9"/>
            <color indexed="81"/>
            <rFont val="Tahoma"/>
            <family val="2"/>
          </rPr>
          <t>Survey Date</t>
        </r>
      </text>
    </comment>
    <comment ref="F13" authorId="1" shapeId="0" xr:uid="{00000000-0006-0000-2A00-000005000000}">
      <text>
        <r>
          <rPr>
            <b/>
            <sz val="9"/>
            <color indexed="81"/>
            <rFont val="Tahoma"/>
            <family val="2"/>
          </rPr>
          <t>Date Lease Signed</t>
        </r>
      </text>
    </comment>
    <comment ref="F14" authorId="0" shapeId="0" xr:uid="{00000000-0006-0000-2A00-000006000000}">
      <text>
        <r>
          <rPr>
            <b/>
            <sz val="9"/>
            <color indexed="81"/>
            <rFont val="Tahoma"/>
            <family val="2"/>
          </rPr>
          <t>Date Lease Commences</t>
        </r>
      </text>
    </comment>
    <comment ref="F15" authorId="1" shapeId="0" xr:uid="{00000000-0006-0000-2A00-000007000000}">
      <text>
        <r>
          <rPr>
            <b/>
            <sz val="9"/>
            <color indexed="81"/>
            <rFont val="Tahoma"/>
            <family val="2"/>
          </rPr>
          <t>Property Name</t>
        </r>
      </text>
    </comment>
    <comment ref="F16" authorId="1" shapeId="0" xr:uid="{00000000-0006-0000-2A00-000008000000}">
      <text>
        <r>
          <rPr>
            <b/>
            <sz val="9"/>
            <color indexed="81"/>
            <rFont val="Tahoma"/>
            <family val="2"/>
          </rPr>
          <t>Lessee</t>
        </r>
      </text>
    </comment>
    <comment ref="F17" authorId="1" shapeId="0" xr:uid="{00000000-0006-0000-2A00-000009000000}">
      <text>
        <r>
          <rPr>
            <b/>
            <sz val="9"/>
            <color indexed="81"/>
            <rFont val="Tahoma"/>
            <family val="2"/>
          </rPr>
          <t>Rentable Area</t>
        </r>
      </text>
    </comment>
    <comment ref="F18" authorId="1" shapeId="0" xr:uid="{00000000-0006-0000-2A00-00000A000000}">
      <text>
        <r>
          <rPr>
            <b/>
            <sz val="9"/>
            <color indexed="81"/>
            <rFont val="Tahoma"/>
            <family val="2"/>
          </rPr>
          <t>Usable Land Acres</t>
        </r>
      </text>
    </comment>
    <comment ref="F22" authorId="1" shapeId="0" xr:uid="{00000000-0006-0000-2A00-00000B000000}">
      <text>
        <r>
          <rPr>
            <b/>
            <sz val="9"/>
            <color indexed="81"/>
            <rFont val="Tahoma"/>
            <family val="2"/>
          </rPr>
          <t>Initial Year Rate ($/SF)</t>
        </r>
      </text>
    </comment>
    <comment ref="F23" authorId="0" shapeId="0" xr:uid="{00000000-0006-0000-2A00-00000C000000}">
      <text>
        <r>
          <rPr>
            <b/>
            <sz val="9"/>
            <color indexed="81"/>
            <rFont val="Tahoma"/>
            <family val="2"/>
          </rPr>
          <t>Current Rate ($/SF)</t>
        </r>
      </text>
    </comment>
    <comment ref="F24" authorId="1" shapeId="0" xr:uid="{00000000-0006-0000-2A00-00000D000000}">
      <text>
        <r>
          <rPr>
            <b/>
            <sz val="9"/>
            <color indexed="81"/>
            <rFont val="Tahoma"/>
            <family val="2"/>
          </rPr>
          <t>Quoted Average ($/SF)</t>
        </r>
      </text>
    </comment>
    <comment ref="F27" authorId="1" shapeId="0" xr:uid="{00000000-0006-0000-2A00-00000E000000}">
      <text>
        <r>
          <rPr>
            <b/>
            <sz val="9"/>
            <color indexed="81"/>
            <rFont val="Tahoma"/>
            <family val="2"/>
          </rPr>
          <t>Type of Lease</t>
        </r>
      </text>
    </comment>
    <comment ref="F29" authorId="1" shapeId="0" xr:uid="{00000000-0006-0000-2A00-00000F000000}">
      <text>
        <r>
          <rPr>
            <b/>
            <sz val="9"/>
            <color indexed="81"/>
            <rFont val="Tahoma"/>
            <family val="2"/>
          </rPr>
          <t>Est. Annual Expenses ($/SF)</t>
        </r>
      </text>
    </comment>
    <comment ref="F33" authorId="1" shapeId="0" xr:uid="{00000000-0006-0000-2A00-000010000000}">
      <text>
        <r>
          <rPr>
            <b/>
            <sz val="9"/>
            <color indexed="81"/>
            <rFont val="Tahoma"/>
            <family val="2"/>
          </rPr>
          <t>Concessions Description</t>
        </r>
      </text>
    </comment>
    <comment ref="F34" authorId="1" shapeId="0" xr:uid="{00000000-0006-0000-2A00-000011000000}">
      <text>
        <r>
          <rPr>
            <b/>
            <sz val="9"/>
            <color indexed="81"/>
            <rFont val="Tahoma"/>
            <family val="2"/>
          </rPr>
          <t>Concessions ($/SF)</t>
        </r>
      </text>
    </comment>
    <comment ref="F36" authorId="1" shapeId="0" xr:uid="{00000000-0006-0000-2A00-000012000000}">
      <text>
        <r>
          <rPr>
            <b/>
            <sz val="9"/>
            <color indexed="81"/>
            <rFont val="Tahoma"/>
            <family val="2"/>
          </rPr>
          <t>Over Base Tenant Improv ($/SF)</t>
        </r>
      </text>
    </comment>
    <comment ref="D43" authorId="1" shapeId="0" xr:uid="{00000000-0006-0000-2A00-000013000000}">
      <text>
        <r>
          <rPr>
            <b/>
            <sz val="9"/>
            <color indexed="81"/>
            <rFont val="Tahoma"/>
            <family val="2"/>
          </rPr>
          <t>This category encompasses a number of factors; therefore, User may:
1. Add Datappraise Insert Field in Cell F34
2. Manually type comment for each comprable
3. Leave Blank</t>
        </r>
      </text>
    </comment>
    <comment ref="F43" authorId="0" shapeId="0" xr:uid="{00000000-0006-0000-2A00-000014000000}">
      <text>
        <r>
          <rPr>
            <b/>
            <sz val="9"/>
            <color indexed="81"/>
            <rFont val="Tahoma"/>
            <family val="2"/>
          </rPr>
          <t>Lease Status</t>
        </r>
      </text>
    </comment>
    <comment ref="F57" authorId="1" shapeId="0" xr:uid="{00000000-0006-0000-2A00-000015000000}">
      <text>
        <r>
          <rPr>
            <b/>
            <sz val="9"/>
            <color indexed="81"/>
            <rFont val="Tahoma"/>
            <family val="2"/>
          </rPr>
          <t>Address</t>
        </r>
      </text>
    </comment>
    <comment ref="F58" authorId="1" shapeId="0" xr:uid="{00000000-0006-0000-2A00-000016000000}">
      <text>
        <r>
          <rPr>
            <b/>
            <sz val="9"/>
            <color indexed="81"/>
            <rFont val="Tahoma"/>
            <family val="2"/>
          </rPr>
          <t>City State</t>
        </r>
      </text>
    </comment>
    <comment ref="F64" authorId="1" shapeId="0" xr:uid="{00000000-0006-0000-2A00-000017000000}">
      <text>
        <r>
          <rPr>
            <b/>
            <sz val="9"/>
            <color indexed="81"/>
            <rFont val="Tahoma"/>
            <family val="2"/>
          </rPr>
          <t>Leased Area (SF)</t>
        </r>
      </text>
    </comment>
    <comment ref="F71" authorId="1" shapeId="0" xr:uid="{00000000-0006-0000-2A00-000018000000}">
      <text>
        <r>
          <rPr>
            <b/>
            <sz val="9"/>
            <color indexed="81"/>
            <rFont val="Tahoma"/>
            <family val="2"/>
          </rPr>
          <t>Year Built</t>
        </r>
      </text>
    </comment>
    <comment ref="F72" authorId="1" shapeId="0" xr:uid="{00000000-0006-0000-2A00-000019000000}">
      <text>
        <r>
          <rPr>
            <b/>
            <sz val="9"/>
            <color indexed="81"/>
            <rFont val="Tahoma"/>
            <family val="2"/>
          </rPr>
          <t>Year Built Comments</t>
        </r>
      </text>
    </comment>
    <comment ref="F73" authorId="1" shapeId="0" xr:uid="{00000000-0006-0000-2A00-00001A000000}">
      <text>
        <r>
          <rPr>
            <b/>
            <sz val="9"/>
            <color indexed="81"/>
            <rFont val="Tahoma"/>
            <family val="2"/>
          </rPr>
          <t>Building Condition</t>
        </r>
      </text>
    </comment>
    <comment ref="F74" authorId="1" shapeId="0" xr:uid="{00000000-0006-0000-2A00-00001B000000}">
      <text>
        <r>
          <rPr>
            <b/>
            <sz val="9"/>
            <color indexed="81"/>
            <rFont val="Tahoma"/>
            <family val="2"/>
          </rPr>
          <t>Effective Age as of Commence Date</t>
        </r>
      </text>
    </comment>
    <comment ref="F81" authorId="1" shapeId="0" xr:uid="{00000000-0006-0000-2A00-00001C000000}">
      <text>
        <r>
          <rPr>
            <b/>
            <sz val="9"/>
            <color indexed="81"/>
            <rFont val="Tahoma"/>
            <family val="2"/>
          </rPr>
          <t>Construction Quality</t>
        </r>
      </text>
    </comment>
    <comment ref="F82" authorId="1" shapeId="0" xr:uid="{00000000-0006-0000-2A00-00001D000000}">
      <text>
        <r>
          <rPr>
            <b/>
            <sz val="9"/>
            <color indexed="81"/>
            <rFont val="Tahoma"/>
            <family val="2"/>
          </rPr>
          <t>Construction Class</t>
        </r>
      </text>
    </comment>
    <comment ref="F83" authorId="0" shapeId="0" xr:uid="{00000000-0006-0000-2A00-00001E000000}">
      <text>
        <r>
          <rPr>
            <b/>
            <sz val="9"/>
            <color indexed="81"/>
            <rFont val="Tahoma"/>
            <family val="2"/>
          </rPr>
          <t>Investment Class</t>
        </r>
      </text>
    </comment>
    <comment ref="D89" authorId="1" shapeId="0" xr:uid="{00000000-0006-0000-2A00-00001F000000}">
      <text>
        <r>
          <rPr>
            <b/>
            <sz val="9"/>
            <color indexed="81"/>
            <rFont val="Tahoma"/>
            <family val="2"/>
          </rPr>
          <t>This category encompasses a number of factors; therefore, User may:
1. Add Datappraise Insert Field in Cell F65
2. Manually type comment for each comprable
3. Leave Blank</t>
        </r>
      </text>
    </comment>
    <comment ref="F95" authorId="1" shapeId="0" xr:uid="{00000000-0006-0000-2A00-000020000000}">
      <text>
        <r>
          <rPr>
            <b/>
            <sz val="9"/>
            <color indexed="81"/>
            <rFont val="Tahoma"/>
            <family val="2"/>
          </rPr>
          <t>Clear Height Average (Feet)</t>
        </r>
      </text>
    </comment>
    <comment ref="F101" authorId="1" shapeId="0" xr:uid="{00000000-0006-0000-2A00-000021000000}">
      <text>
        <r>
          <rPr>
            <b/>
            <sz val="9"/>
            <color indexed="81"/>
            <rFont val="Tahoma"/>
            <family val="2"/>
          </rPr>
          <t>% Finished Office</t>
        </r>
      </text>
    </comment>
    <comment ref="F107" authorId="1" shapeId="0" xr:uid="{00000000-0006-0000-2A00-000022000000}">
      <text>
        <r>
          <rPr>
            <b/>
            <sz val="9"/>
            <color indexed="81"/>
            <rFont val="Tahoma"/>
            <family val="2"/>
          </rPr>
          <t>Usable Land to Building Ratio</t>
        </r>
      </text>
    </comment>
    <comment ref="F113" authorId="0" shapeId="0" xr:uid="{00000000-0006-0000-2A00-000023000000}">
      <text>
        <r>
          <rPr>
            <b/>
            <sz val="9"/>
            <color indexed="81"/>
            <rFont val="Tahoma"/>
            <family val="2"/>
          </rPr>
          <t>Parking Ratio NRA</t>
        </r>
      </text>
    </comment>
    <comment ref="F119" authorId="1" shapeId="0" xr:uid="{00000000-0006-0000-2A00-000024000000}">
      <text>
        <r>
          <rPr>
            <b/>
            <sz val="9"/>
            <color indexed="81"/>
            <rFont val="Tahoma"/>
            <family val="2"/>
          </rPr>
          <t>Lease Escalation Terms</t>
        </r>
      </text>
    </comment>
    <comment ref="F125" authorId="1" shapeId="0" xr:uid="{00000000-0006-0000-2A00-000025000000}">
      <text>
        <r>
          <rPr>
            <b/>
            <sz val="9"/>
            <color indexed="81"/>
            <rFont val="Tahoma"/>
            <family val="2"/>
          </rPr>
          <t>Term of Lease (months)</t>
        </r>
      </text>
    </comment>
    <comment ref="D132" authorId="1" shapeId="0" xr:uid="{00000000-0006-0000-2A00-000026000000}">
      <text>
        <r>
          <rPr>
            <b/>
            <sz val="9"/>
            <color indexed="81"/>
            <rFont val="Tahoma"/>
            <family val="2"/>
          </rPr>
          <t>User may:
1. Add Datappraise Insert Field in Cell F122
2. Manually type comment for each comprable
3. Leave Blank</t>
        </r>
      </text>
    </comment>
    <comment ref="D138" authorId="1" shapeId="0" xr:uid="{00000000-0006-0000-2A00-000027000000}">
      <text>
        <r>
          <rPr>
            <b/>
            <sz val="9"/>
            <color indexed="81"/>
            <rFont val="Tahoma"/>
            <family val="2"/>
          </rPr>
          <t>User may:
1. Add Datappraise Insert Field in Cell F128
2. Manually type comment for each comprable
3. Leave Blank</t>
        </r>
      </text>
    </comment>
    <comment ref="F143" authorId="1" shapeId="0" xr:uid="{00000000-0006-0000-2A00-000028000000}">
      <text>
        <r>
          <rPr>
            <b/>
            <sz val="9"/>
            <color indexed="81"/>
            <rFont val="Tahoma"/>
            <family val="2"/>
          </rPr>
          <t>&lt;&lt;Lower Left Corner&gt;&gt;</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pgilliam</author>
    <author>pgilliam@valbridge.com</author>
  </authors>
  <commentList>
    <comment ref="F8" authorId="0" shapeId="0" xr:uid="{00000000-0006-0000-2B00-000001000000}">
      <text>
        <r>
          <rPr>
            <b/>
            <sz val="9"/>
            <color indexed="81"/>
            <rFont val="Tahoma"/>
            <family val="2"/>
          </rPr>
          <t>&lt;&lt;Leases and Surveys&gt;&gt;&lt;&lt;Data Runs in Columns&gt;&gt;&lt;&lt;Bucket 2&gt;&gt;</t>
        </r>
      </text>
    </comment>
    <comment ref="L8" authorId="0" shapeId="0" xr:uid="{00000000-0006-0000-2B00-000002000000}">
      <text>
        <r>
          <rPr>
            <b/>
            <sz val="9"/>
            <color indexed="81"/>
            <rFont val="Tahoma"/>
            <family val="2"/>
          </rPr>
          <t>&lt;&lt;Upper Right Corner&gt;&gt;</t>
        </r>
      </text>
    </comment>
    <comment ref="F10" authorId="1" shapeId="0" xr:uid="{00000000-0006-0000-2B00-000003000000}">
      <text>
        <r>
          <rPr>
            <b/>
            <sz val="9"/>
            <color indexed="81"/>
            <rFont val="Tahoma"/>
            <family val="2"/>
          </rPr>
          <t>Lease ID</t>
        </r>
      </text>
    </comment>
    <comment ref="F12" authorId="1" shapeId="0" xr:uid="{00000000-0006-0000-2B00-000004000000}">
      <text>
        <r>
          <rPr>
            <b/>
            <sz val="9"/>
            <color indexed="81"/>
            <rFont val="Tahoma"/>
            <family val="2"/>
          </rPr>
          <t>Survey Date</t>
        </r>
      </text>
    </comment>
    <comment ref="F13" authorId="1" shapeId="0" xr:uid="{00000000-0006-0000-2B00-000005000000}">
      <text>
        <r>
          <rPr>
            <b/>
            <sz val="9"/>
            <color indexed="81"/>
            <rFont val="Tahoma"/>
            <family val="2"/>
          </rPr>
          <t>Date Lease Signed</t>
        </r>
      </text>
    </comment>
    <comment ref="F14" authorId="0" shapeId="0" xr:uid="{00000000-0006-0000-2B00-000006000000}">
      <text>
        <r>
          <rPr>
            <b/>
            <sz val="9"/>
            <color indexed="81"/>
            <rFont val="Tahoma"/>
            <family val="2"/>
          </rPr>
          <t>Date Lease Commences</t>
        </r>
      </text>
    </comment>
    <comment ref="F15" authorId="1" shapeId="0" xr:uid="{00000000-0006-0000-2B00-000007000000}">
      <text>
        <r>
          <rPr>
            <b/>
            <sz val="9"/>
            <color indexed="81"/>
            <rFont val="Tahoma"/>
            <family val="2"/>
          </rPr>
          <t>Property Name</t>
        </r>
      </text>
    </comment>
    <comment ref="F16" authorId="1" shapeId="0" xr:uid="{00000000-0006-0000-2B00-000008000000}">
      <text>
        <r>
          <rPr>
            <b/>
            <sz val="9"/>
            <color indexed="81"/>
            <rFont val="Tahoma"/>
            <family val="2"/>
          </rPr>
          <t>Lessee</t>
        </r>
      </text>
    </comment>
    <comment ref="F17" authorId="1" shapeId="0" xr:uid="{00000000-0006-0000-2B00-000009000000}">
      <text>
        <r>
          <rPr>
            <b/>
            <sz val="9"/>
            <color indexed="81"/>
            <rFont val="Tahoma"/>
            <family val="2"/>
          </rPr>
          <t>Rentable Area</t>
        </r>
      </text>
    </comment>
    <comment ref="F18" authorId="1" shapeId="0" xr:uid="{00000000-0006-0000-2B00-00000A000000}">
      <text>
        <r>
          <rPr>
            <b/>
            <sz val="9"/>
            <color indexed="81"/>
            <rFont val="Tahoma"/>
            <family val="2"/>
          </rPr>
          <t>Usable Land Acres</t>
        </r>
      </text>
    </comment>
    <comment ref="F22" authorId="1" shapeId="0" xr:uid="{00000000-0006-0000-2B00-00000B000000}">
      <text>
        <r>
          <rPr>
            <b/>
            <sz val="9"/>
            <color indexed="81"/>
            <rFont val="Tahoma"/>
            <family val="2"/>
          </rPr>
          <t>Initial Year Rate ($/SF)</t>
        </r>
      </text>
    </comment>
    <comment ref="F23" authorId="0" shapeId="0" xr:uid="{00000000-0006-0000-2B00-00000C000000}">
      <text>
        <r>
          <rPr>
            <b/>
            <sz val="9"/>
            <color indexed="81"/>
            <rFont val="Tahoma"/>
            <family val="2"/>
          </rPr>
          <t>Current Rate ($/SF)</t>
        </r>
      </text>
    </comment>
    <comment ref="F24" authorId="1" shapeId="0" xr:uid="{00000000-0006-0000-2B00-00000D000000}">
      <text>
        <r>
          <rPr>
            <b/>
            <sz val="9"/>
            <color indexed="81"/>
            <rFont val="Tahoma"/>
            <family val="2"/>
          </rPr>
          <t>Quoted Average ($/SF)</t>
        </r>
      </text>
    </comment>
    <comment ref="F27" authorId="1" shapeId="0" xr:uid="{00000000-0006-0000-2B00-00000E000000}">
      <text>
        <r>
          <rPr>
            <b/>
            <sz val="9"/>
            <color indexed="81"/>
            <rFont val="Tahoma"/>
            <family val="2"/>
          </rPr>
          <t>Type of Lease</t>
        </r>
      </text>
    </comment>
    <comment ref="F29" authorId="1" shapeId="0" xr:uid="{00000000-0006-0000-2B00-00000F000000}">
      <text>
        <r>
          <rPr>
            <b/>
            <sz val="9"/>
            <color indexed="81"/>
            <rFont val="Tahoma"/>
            <family val="2"/>
          </rPr>
          <t>Est. Annual Expenses ($/SF)</t>
        </r>
      </text>
    </comment>
    <comment ref="F33" authorId="1" shapeId="0" xr:uid="{00000000-0006-0000-2B00-000010000000}">
      <text>
        <r>
          <rPr>
            <b/>
            <sz val="9"/>
            <color indexed="81"/>
            <rFont val="Tahoma"/>
            <family val="2"/>
          </rPr>
          <t>Concessions Description</t>
        </r>
      </text>
    </comment>
    <comment ref="F34" authorId="1" shapeId="0" xr:uid="{00000000-0006-0000-2B00-000011000000}">
      <text>
        <r>
          <rPr>
            <b/>
            <sz val="9"/>
            <color indexed="81"/>
            <rFont val="Tahoma"/>
            <family val="2"/>
          </rPr>
          <t>Concessions ($/SF)</t>
        </r>
      </text>
    </comment>
    <comment ref="F36" authorId="1" shapeId="0" xr:uid="{00000000-0006-0000-2B00-000012000000}">
      <text>
        <r>
          <rPr>
            <b/>
            <sz val="9"/>
            <color indexed="81"/>
            <rFont val="Tahoma"/>
            <family val="2"/>
          </rPr>
          <t>Over Base Tenant Improv ($/SF)</t>
        </r>
      </text>
    </comment>
    <comment ref="D43" authorId="1" shapeId="0" xr:uid="{00000000-0006-0000-2B00-000013000000}">
      <text>
        <r>
          <rPr>
            <b/>
            <sz val="9"/>
            <color indexed="81"/>
            <rFont val="Tahoma"/>
            <family val="2"/>
          </rPr>
          <t>This category encompasses a number of factors; therefore, User may:
1. Add Datappraise Insert Field in Cell F34
2. Manually type comment for each comprable
3. Leave Blank</t>
        </r>
      </text>
    </comment>
    <comment ref="F43" authorId="0" shapeId="0" xr:uid="{00000000-0006-0000-2B00-000014000000}">
      <text>
        <r>
          <rPr>
            <b/>
            <sz val="9"/>
            <color indexed="81"/>
            <rFont val="Tahoma"/>
            <family val="2"/>
          </rPr>
          <t>Lease Status</t>
        </r>
      </text>
    </comment>
    <comment ref="F57" authorId="1" shapeId="0" xr:uid="{00000000-0006-0000-2B00-000015000000}">
      <text>
        <r>
          <rPr>
            <b/>
            <sz val="9"/>
            <color indexed="81"/>
            <rFont val="Tahoma"/>
            <family val="2"/>
          </rPr>
          <t>Address</t>
        </r>
      </text>
    </comment>
    <comment ref="F58" authorId="1" shapeId="0" xr:uid="{00000000-0006-0000-2B00-000016000000}">
      <text>
        <r>
          <rPr>
            <b/>
            <sz val="9"/>
            <color indexed="81"/>
            <rFont val="Tahoma"/>
            <family val="2"/>
          </rPr>
          <t>City State</t>
        </r>
      </text>
    </comment>
    <comment ref="F64" authorId="1" shapeId="0" xr:uid="{00000000-0006-0000-2B00-000017000000}">
      <text>
        <r>
          <rPr>
            <b/>
            <sz val="9"/>
            <color indexed="81"/>
            <rFont val="Tahoma"/>
            <family val="2"/>
          </rPr>
          <t>Leased Area (SF)</t>
        </r>
      </text>
    </comment>
    <comment ref="F71" authorId="1" shapeId="0" xr:uid="{00000000-0006-0000-2B00-000018000000}">
      <text>
        <r>
          <rPr>
            <b/>
            <sz val="9"/>
            <color indexed="81"/>
            <rFont val="Tahoma"/>
            <family val="2"/>
          </rPr>
          <t>Year Built</t>
        </r>
      </text>
    </comment>
    <comment ref="F72" authorId="1" shapeId="0" xr:uid="{00000000-0006-0000-2B00-000019000000}">
      <text>
        <r>
          <rPr>
            <b/>
            <sz val="9"/>
            <color indexed="81"/>
            <rFont val="Tahoma"/>
            <family val="2"/>
          </rPr>
          <t>Year Built Comments</t>
        </r>
      </text>
    </comment>
    <comment ref="F73" authorId="1" shapeId="0" xr:uid="{00000000-0006-0000-2B00-00001A000000}">
      <text>
        <r>
          <rPr>
            <b/>
            <sz val="9"/>
            <color indexed="81"/>
            <rFont val="Tahoma"/>
            <family val="2"/>
          </rPr>
          <t>Building Condition</t>
        </r>
      </text>
    </comment>
    <comment ref="F74" authorId="1" shapeId="0" xr:uid="{00000000-0006-0000-2B00-00001B000000}">
      <text>
        <r>
          <rPr>
            <b/>
            <sz val="9"/>
            <color indexed="81"/>
            <rFont val="Tahoma"/>
            <family val="2"/>
          </rPr>
          <t>Effective Age as of Commence Date</t>
        </r>
      </text>
    </comment>
    <comment ref="F81" authorId="1" shapeId="0" xr:uid="{00000000-0006-0000-2B00-00001C000000}">
      <text>
        <r>
          <rPr>
            <b/>
            <sz val="9"/>
            <color indexed="81"/>
            <rFont val="Tahoma"/>
            <family val="2"/>
          </rPr>
          <t>Construction Quality</t>
        </r>
      </text>
    </comment>
    <comment ref="F82" authorId="1" shapeId="0" xr:uid="{00000000-0006-0000-2B00-00001D000000}">
      <text>
        <r>
          <rPr>
            <b/>
            <sz val="9"/>
            <color indexed="81"/>
            <rFont val="Tahoma"/>
            <family val="2"/>
          </rPr>
          <t>Construction Class</t>
        </r>
      </text>
    </comment>
    <comment ref="F83" authorId="0" shapeId="0" xr:uid="{00000000-0006-0000-2B00-00001E000000}">
      <text>
        <r>
          <rPr>
            <b/>
            <sz val="9"/>
            <color indexed="81"/>
            <rFont val="Tahoma"/>
            <family val="2"/>
          </rPr>
          <t>Investment Class</t>
        </r>
      </text>
    </comment>
    <comment ref="D89" authorId="1" shapeId="0" xr:uid="{00000000-0006-0000-2B00-00001F000000}">
      <text>
        <r>
          <rPr>
            <b/>
            <sz val="9"/>
            <color indexed="81"/>
            <rFont val="Tahoma"/>
            <family val="2"/>
          </rPr>
          <t>This category encompasses a number of factors; therefore, User may:
1. Add Datappraise Insert Field in Cell F65
2. Manually type comment for each comprable
3. Leave Blank</t>
        </r>
      </text>
    </comment>
    <comment ref="F95" authorId="1" shapeId="0" xr:uid="{00000000-0006-0000-2B00-000020000000}">
      <text>
        <r>
          <rPr>
            <b/>
            <sz val="9"/>
            <color indexed="81"/>
            <rFont val="Tahoma"/>
            <family val="2"/>
          </rPr>
          <t>Clear Height Average (Feet)</t>
        </r>
      </text>
    </comment>
    <comment ref="F101" authorId="1" shapeId="0" xr:uid="{00000000-0006-0000-2B00-000021000000}">
      <text>
        <r>
          <rPr>
            <b/>
            <sz val="9"/>
            <color indexed="81"/>
            <rFont val="Tahoma"/>
            <family val="2"/>
          </rPr>
          <t>% Finished Office</t>
        </r>
      </text>
    </comment>
    <comment ref="F107" authorId="1" shapeId="0" xr:uid="{00000000-0006-0000-2B00-000022000000}">
      <text>
        <r>
          <rPr>
            <b/>
            <sz val="9"/>
            <color indexed="81"/>
            <rFont val="Tahoma"/>
            <family val="2"/>
          </rPr>
          <t>Usable Land to Building Ratio</t>
        </r>
      </text>
    </comment>
    <comment ref="F113" authorId="0" shapeId="0" xr:uid="{00000000-0006-0000-2B00-000023000000}">
      <text>
        <r>
          <rPr>
            <b/>
            <sz val="9"/>
            <color indexed="81"/>
            <rFont val="Tahoma"/>
            <family val="2"/>
          </rPr>
          <t>Parking Ratio NRA</t>
        </r>
      </text>
    </comment>
    <comment ref="F119" authorId="1" shapeId="0" xr:uid="{00000000-0006-0000-2B00-000024000000}">
      <text>
        <r>
          <rPr>
            <b/>
            <sz val="9"/>
            <color indexed="81"/>
            <rFont val="Tahoma"/>
            <family val="2"/>
          </rPr>
          <t>Lease Escalation Terms</t>
        </r>
      </text>
    </comment>
    <comment ref="F125" authorId="1" shapeId="0" xr:uid="{00000000-0006-0000-2B00-000025000000}">
      <text>
        <r>
          <rPr>
            <b/>
            <sz val="9"/>
            <color indexed="81"/>
            <rFont val="Tahoma"/>
            <family val="2"/>
          </rPr>
          <t>Term of Lease (months)</t>
        </r>
      </text>
    </comment>
    <comment ref="D132" authorId="1" shapeId="0" xr:uid="{00000000-0006-0000-2B00-000026000000}">
      <text>
        <r>
          <rPr>
            <b/>
            <sz val="9"/>
            <color indexed="81"/>
            <rFont val="Tahoma"/>
            <family val="2"/>
          </rPr>
          <t>User may:
1. Add Datappraise Insert Field in Cell F122
2. Manually type comment for each comprable
3. Leave Blank</t>
        </r>
      </text>
    </comment>
    <comment ref="D138" authorId="1" shapeId="0" xr:uid="{00000000-0006-0000-2B00-000027000000}">
      <text>
        <r>
          <rPr>
            <b/>
            <sz val="9"/>
            <color indexed="81"/>
            <rFont val="Tahoma"/>
            <family val="2"/>
          </rPr>
          <t>User may:
1. Add Datappraise Insert Field in Cell F128
2. Manually type comment for each comprable
3. Leave Blank</t>
        </r>
      </text>
    </comment>
    <comment ref="F143" authorId="1" shapeId="0" xr:uid="{00000000-0006-0000-2B00-000028000000}">
      <text>
        <r>
          <rPr>
            <b/>
            <sz val="9"/>
            <color indexed="81"/>
            <rFont val="Tahoma"/>
            <family val="2"/>
          </rPr>
          <t>&lt;&lt;Lower Left Corner&gt;&gt;</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2C00-000001000000}">
      <text>
        <r>
          <rPr>
            <b/>
            <sz val="9"/>
            <color indexed="81"/>
            <rFont val="Tahoma"/>
            <family val="2"/>
          </rPr>
          <t>&lt;&lt;Not a Datappraise Worksheet&gt;&gt;</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pgilliam</author>
    <author>pgilliam@valbridge.com</author>
    <author>DPO</author>
    <author>Datappraise</author>
    <author>DG</author>
    <author>landscape web</author>
  </authors>
  <commentList>
    <comment ref="D4" authorId="0" shapeId="0" xr:uid="{00000000-0006-0000-2D00-000001000000}">
      <text>
        <r>
          <rPr>
            <b/>
            <sz val="9"/>
            <color indexed="81"/>
            <rFont val="Tahoma"/>
            <family val="2"/>
          </rPr>
          <t>&lt;&lt;Rent Roll&gt;&gt;&lt;&lt;Data Runs in Rows&gt;&gt;</t>
        </r>
      </text>
    </comment>
    <comment ref="E4" authorId="1" shapeId="0" xr:uid="{00000000-0006-0000-2D00-000002000000}">
      <text>
        <r>
          <rPr>
            <b/>
            <sz val="9"/>
            <color indexed="81"/>
            <rFont val="Tahoma"/>
            <family val="2"/>
          </rPr>
          <t>Lessee</t>
        </r>
      </text>
    </comment>
    <comment ref="F4" authorId="2" shapeId="0" xr:uid="{00000000-0006-0000-2D00-000003000000}">
      <text>
        <r>
          <rPr>
            <b/>
            <sz val="9"/>
            <color indexed="81"/>
            <rFont val="Tahoma"/>
            <family val="2"/>
          </rPr>
          <t>Suite/Space Number</t>
        </r>
      </text>
    </comment>
    <comment ref="G4" authorId="3" shapeId="0" xr:uid="{00000000-0006-0000-2D00-000004000000}">
      <text>
        <r>
          <rPr>
            <b/>
            <sz val="9"/>
            <color indexed="81"/>
            <rFont val="Tahoma"/>
            <family val="2"/>
          </rPr>
          <t>Lease Escalation Terms</t>
        </r>
      </text>
    </comment>
    <comment ref="H4" authorId="4" shapeId="0" xr:uid="{00000000-0006-0000-2D00-000005000000}">
      <text>
        <r>
          <rPr>
            <b/>
            <sz val="8"/>
            <color indexed="81"/>
            <rFont val="Tahoma"/>
            <family val="2"/>
          </rPr>
          <t>Type of Lease</t>
        </r>
      </text>
    </comment>
    <comment ref="I4" authorId="1" shapeId="0" xr:uid="{00000000-0006-0000-2D00-000006000000}">
      <text>
        <r>
          <rPr>
            <b/>
            <sz val="9"/>
            <color indexed="81"/>
            <rFont val="Tahoma"/>
            <family val="2"/>
          </rPr>
          <t>Space Type</t>
        </r>
      </text>
    </comment>
    <comment ref="J4" authorId="5" shapeId="0" xr:uid="{00000000-0006-0000-2D00-000007000000}">
      <text>
        <r>
          <rPr>
            <b/>
            <sz val="8"/>
            <color indexed="81"/>
            <rFont val="Tahoma"/>
            <family val="2"/>
          </rPr>
          <t>Leased Area (SF)</t>
        </r>
      </text>
    </comment>
    <comment ref="K4" authorId="1" shapeId="0" xr:uid="{00000000-0006-0000-2D00-000008000000}">
      <text>
        <r>
          <rPr>
            <b/>
            <sz val="9"/>
            <color indexed="81"/>
            <rFont val="Tahoma"/>
            <family val="2"/>
          </rPr>
          <t>Initial Year Rate ($/SF)</t>
        </r>
      </text>
    </comment>
    <comment ref="L4" authorId="2" shapeId="0" xr:uid="{00000000-0006-0000-2D00-000009000000}">
      <text>
        <r>
          <rPr>
            <b/>
            <sz val="9"/>
            <color indexed="81"/>
            <rFont val="Tahoma"/>
            <family val="2"/>
          </rPr>
          <t>Current Rate ($/SF)</t>
        </r>
      </text>
    </comment>
    <comment ref="M4" authorId="2" shapeId="0" xr:uid="{00000000-0006-0000-2D00-00000A000000}">
      <text>
        <r>
          <rPr>
            <b/>
            <sz val="9"/>
            <color indexed="81"/>
            <rFont val="Tahoma"/>
            <family val="2"/>
          </rPr>
          <t>Date Lease Commences</t>
        </r>
      </text>
    </comment>
    <comment ref="N4" authorId="3" shapeId="0" xr:uid="{00000000-0006-0000-2D00-00000B000000}">
      <text>
        <r>
          <rPr>
            <b/>
            <sz val="9"/>
            <color indexed="81"/>
            <rFont val="Tahoma"/>
            <family val="2"/>
          </rPr>
          <t>Date Lease Expires</t>
        </r>
      </text>
    </comment>
    <comment ref="O4" authorId="1" shapeId="0" xr:uid="{00000000-0006-0000-2D00-00000C000000}">
      <text>
        <r>
          <rPr>
            <b/>
            <sz val="9"/>
            <color indexed="81"/>
            <rFont val="Tahoma"/>
            <family val="2"/>
          </rPr>
          <t>Tenant Improv ($/SF)</t>
        </r>
      </text>
    </comment>
    <comment ref="P4" authorId="1" shapeId="0" xr:uid="{00000000-0006-0000-2D00-00000D000000}">
      <text>
        <r>
          <rPr>
            <b/>
            <sz val="9"/>
            <color indexed="81"/>
            <rFont val="Tahoma"/>
            <family val="2"/>
          </rPr>
          <t>Description of Renewal Options</t>
        </r>
      </text>
    </comment>
    <comment ref="Q4" authorId="1" shapeId="0" xr:uid="{00000000-0006-0000-2D00-00000E000000}">
      <text>
        <r>
          <rPr>
            <b/>
            <sz val="9"/>
            <color indexed="81"/>
            <rFont val="Tahoma"/>
            <family val="2"/>
          </rPr>
          <t>Concessions Description</t>
        </r>
      </text>
    </comment>
    <comment ref="R4" authorId="1" shapeId="0" xr:uid="{00000000-0006-0000-2D00-00000F000000}">
      <text>
        <r>
          <rPr>
            <b/>
            <sz val="9"/>
            <color indexed="81"/>
            <rFont val="Tahoma"/>
            <family val="2"/>
          </rPr>
          <t>Lease Remarks</t>
        </r>
      </text>
    </comment>
    <comment ref="S4" authorId="2" shapeId="0" xr:uid="{00000000-0006-0000-2D00-000010000000}">
      <text>
        <r>
          <rPr>
            <b/>
            <sz val="9"/>
            <color indexed="81"/>
            <rFont val="Tahoma"/>
            <family val="2"/>
          </rPr>
          <t>&lt;&lt;Upper Right Corner&gt;&gt;</t>
        </r>
      </text>
    </comment>
    <comment ref="D6" authorId="1" shapeId="0" xr:uid="{00000000-0006-0000-2D00-000011000000}">
      <text>
        <r>
          <rPr>
            <b/>
            <sz val="9"/>
            <color indexed="81"/>
            <rFont val="Tahoma"/>
            <family val="2"/>
          </rPr>
          <t>&lt;&lt;Lower Left Corner&gt;&gt;</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2E00-000001000000}">
      <text>
        <r>
          <rPr>
            <b/>
            <sz val="9"/>
            <color indexed="81"/>
            <rFont val="Tahoma"/>
            <family val="2"/>
          </rPr>
          <t>&lt;&lt;Not a Datappraise Worksheet&gt;&gt;</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2F00-000001000000}">
      <text>
        <r>
          <rPr>
            <b/>
            <sz val="9"/>
            <color indexed="81"/>
            <rFont val="Tahoma"/>
            <family val="2"/>
          </rPr>
          <t>&lt;&lt;Not a Datappraise Worksheet&gt;&gt;</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pgilliam</author>
    <author>pgilliam@valbridge.com</author>
    <author>Matt</author>
  </authors>
  <commentList>
    <comment ref="D4" authorId="0" shapeId="0" xr:uid="{00000000-0006-0000-3100-000001000000}">
      <text>
        <r>
          <rPr>
            <b/>
            <sz val="9"/>
            <color indexed="81"/>
            <rFont val="Tahoma"/>
            <family val="2"/>
          </rPr>
          <t>&lt;&lt;Subject IE History&gt;&gt;&lt;&lt;Data Runs in Columns&gt;&gt;&lt;&lt;Comps Every Fourth&gt;&gt;&lt;&lt;No Comp Label&gt;&gt;&lt;&lt;Static Section&gt;&gt;&lt;&lt;Newest 4&gt;&gt;</t>
        </r>
      </text>
    </comment>
    <comment ref="T4" authorId="1" shapeId="0" xr:uid="{00000000-0006-0000-3100-000002000000}">
      <text>
        <r>
          <rPr>
            <b/>
            <sz val="9"/>
            <color indexed="81"/>
            <rFont val="Tahoma"/>
            <family val="2"/>
          </rPr>
          <t>&lt;&lt;Upper Right Corner&gt;&gt;</t>
        </r>
      </text>
    </comment>
    <comment ref="D5" authorId="1" shapeId="0" xr:uid="{00000000-0006-0000-3100-000003000000}">
      <text>
        <r>
          <rPr>
            <b/>
            <sz val="9"/>
            <color indexed="81"/>
            <rFont val="Tahoma"/>
            <family val="2"/>
          </rPr>
          <t>&lt;&lt;Not a Datappraise Field&gt;&gt;</t>
        </r>
      </text>
    </comment>
    <comment ref="D6" authorId="1" shapeId="0" xr:uid="{00000000-0006-0000-3100-000004000000}">
      <text>
        <r>
          <rPr>
            <b/>
            <sz val="9"/>
            <color indexed="81"/>
            <rFont val="Tahoma"/>
            <family val="2"/>
          </rPr>
          <t>12 Month Period Ending</t>
        </r>
      </text>
    </comment>
    <comment ref="D7" authorId="1" shapeId="0" xr:uid="{00000000-0006-0000-3100-000005000000}">
      <text>
        <r>
          <rPr>
            <b/>
            <sz val="9"/>
            <color indexed="81"/>
            <rFont val="Tahoma"/>
            <family val="2"/>
          </rPr>
          <t>Statement Type</t>
        </r>
      </text>
    </comment>
    <comment ref="D8" authorId="1" shapeId="0" xr:uid="{00000000-0006-0000-3100-000006000000}">
      <text>
        <r>
          <rPr>
            <b/>
            <sz val="9"/>
            <color indexed="81"/>
            <rFont val="Tahoma"/>
            <family val="2"/>
          </rPr>
          <t>Annualized Statement?</t>
        </r>
      </text>
    </comment>
    <comment ref="D9" authorId="1" shapeId="0" xr:uid="{00000000-0006-0000-3100-000007000000}">
      <text>
        <r>
          <rPr>
            <b/>
            <sz val="9"/>
            <color indexed="81"/>
            <rFont val="Tahoma"/>
            <family val="2"/>
          </rPr>
          <t>Annualized Months (1-11)</t>
        </r>
      </text>
    </comment>
    <comment ref="D10" authorId="1" shapeId="0" xr:uid="{00000000-0006-0000-3100-000008000000}">
      <text>
        <r>
          <rPr>
            <b/>
            <sz val="9"/>
            <color indexed="81"/>
            <rFont val="Tahoma"/>
            <family val="2"/>
          </rPr>
          <t>Occupancy %</t>
        </r>
      </text>
    </comment>
    <comment ref="D12" authorId="2" shapeId="0" xr:uid="{00000000-0006-0000-3100-000009000000}">
      <text>
        <r>
          <rPr>
            <b/>
            <sz val="9"/>
            <color indexed="81"/>
            <rFont val="Tahoma"/>
            <family val="2"/>
          </rPr>
          <t>Rental Income</t>
        </r>
      </text>
    </comment>
    <comment ref="D13" authorId="2" shapeId="0" xr:uid="{00000000-0006-0000-3100-00000A000000}">
      <text>
        <r>
          <rPr>
            <b/>
            <sz val="9"/>
            <color indexed="81"/>
            <rFont val="Tahoma"/>
            <family val="2"/>
          </rPr>
          <t>Percentage Rent</t>
        </r>
      </text>
    </comment>
    <comment ref="D14" authorId="2" shapeId="0" xr:uid="{00000000-0006-0000-3100-00000B000000}">
      <text>
        <r>
          <rPr>
            <b/>
            <sz val="9"/>
            <color indexed="81"/>
            <rFont val="Tahoma"/>
            <family val="2"/>
          </rPr>
          <t>Parking Income</t>
        </r>
      </text>
    </comment>
    <comment ref="D15" authorId="2" shapeId="0" xr:uid="{00000000-0006-0000-3100-00000C000000}">
      <text>
        <r>
          <rPr>
            <b/>
            <sz val="9"/>
            <color indexed="81"/>
            <rFont val="Tahoma"/>
            <family val="2"/>
          </rPr>
          <t>Recoveries and CAM</t>
        </r>
      </text>
    </comment>
    <comment ref="D16" authorId="1" shapeId="0" xr:uid="{00000000-0006-0000-3100-00000D000000}">
      <text>
        <r>
          <rPr>
            <b/>
            <sz val="9"/>
            <color indexed="81"/>
            <rFont val="Tahoma"/>
            <family val="2"/>
          </rPr>
          <t>Requires Manual Entry, due to Datappraise limitations</t>
        </r>
      </text>
    </comment>
    <comment ref="D17" authorId="2" shapeId="0" xr:uid="{00000000-0006-0000-3100-00000E000000}">
      <text>
        <r>
          <rPr>
            <b/>
            <sz val="9"/>
            <color indexed="81"/>
            <rFont val="Tahoma"/>
            <family val="2"/>
          </rPr>
          <t>Other Income</t>
        </r>
      </text>
    </comment>
    <comment ref="D18" authorId="0" shapeId="0" xr:uid="{00000000-0006-0000-3100-00000F000000}">
      <text>
        <r>
          <rPr>
            <b/>
            <sz val="9"/>
            <color indexed="81"/>
            <rFont val="Tahoma"/>
            <family val="2"/>
          </rPr>
          <t>&lt;&lt;Not a Datappraise Field&gt;&gt;</t>
        </r>
      </text>
    </comment>
    <comment ref="D20" authorId="2" shapeId="0" xr:uid="{00000000-0006-0000-3100-000010000000}">
      <text>
        <r>
          <rPr>
            <b/>
            <sz val="9"/>
            <color indexed="81"/>
            <rFont val="Tahoma"/>
            <family val="2"/>
          </rPr>
          <t>Real Estate Taxes</t>
        </r>
      </text>
    </comment>
    <comment ref="D21" authorId="2" shapeId="0" xr:uid="{00000000-0006-0000-3100-000011000000}">
      <text>
        <r>
          <rPr>
            <b/>
            <sz val="9"/>
            <color indexed="81"/>
            <rFont val="Tahoma"/>
            <family val="2"/>
          </rPr>
          <t>Other Taxes</t>
        </r>
      </text>
    </comment>
    <comment ref="D22" authorId="2" shapeId="0" xr:uid="{00000000-0006-0000-3100-000012000000}">
      <text>
        <r>
          <rPr>
            <b/>
            <sz val="9"/>
            <color indexed="81"/>
            <rFont val="Tahoma"/>
            <family val="2"/>
          </rPr>
          <t>Insurance</t>
        </r>
      </text>
    </comment>
    <comment ref="D23" authorId="2" shapeId="0" xr:uid="{00000000-0006-0000-3100-000013000000}">
      <text>
        <r>
          <rPr>
            <b/>
            <sz val="9"/>
            <color indexed="81"/>
            <rFont val="Tahoma"/>
            <family val="2"/>
          </rPr>
          <t>Management</t>
        </r>
      </text>
    </comment>
    <comment ref="D25" authorId="2" shapeId="0" xr:uid="{00000000-0006-0000-3100-000014000000}">
      <text>
        <r>
          <rPr>
            <b/>
            <sz val="9"/>
            <color indexed="81"/>
            <rFont val="Tahoma"/>
            <family val="2"/>
          </rPr>
          <t>Professional Fees</t>
        </r>
      </text>
    </comment>
    <comment ref="D26" authorId="2" shapeId="0" xr:uid="{00000000-0006-0000-3100-000015000000}">
      <text>
        <r>
          <rPr>
            <b/>
            <sz val="9"/>
            <color indexed="81"/>
            <rFont val="Tahoma"/>
            <family val="2"/>
          </rPr>
          <t>Other Administrative</t>
        </r>
      </text>
    </comment>
    <comment ref="D27" authorId="1" shapeId="0" xr:uid="{00000000-0006-0000-3100-000016000000}">
      <text>
        <r>
          <rPr>
            <b/>
            <sz val="9"/>
            <color indexed="81"/>
            <rFont val="Tahoma"/>
            <family val="2"/>
          </rPr>
          <t>Total Administrative</t>
        </r>
      </text>
    </comment>
    <comment ref="D28" authorId="1" shapeId="0" xr:uid="{00000000-0006-0000-3100-000017000000}">
      <text>
        <r>
          <rPr>
            <b/>
            <sz val="9"/>
            <color indexed="81"/>
            <rFont val="Tahoma"/>
            <family val="2"/>
          </rPr>
          <t>&lt;&lt;Not a Datappraise Field&gt;&gt;</t>
        </r>
      </text>
    </comment>
    <comment ref="D29" authorId="2" shapeId="0" xr:uid="{00000000-0006-0000-3100-000018000000}">
      <text>
        <r>
          <rPr>
            <b/>
            <sz val="9"/>
            <color indexed="81"/>
            <rFont val="Tahoma"/>
            <family val="2"/>
          </rPr>
          <t>&lt;&lt;Not a Datappraise Field&gt;&gt;</t>
        </r>
      </text>
    </comment>
    <comment ref="D30" authorId="2" shapeId="0" xr:uid="{00000000-0006-0000-3100-000019000000}">
      <text>
        <r>
          <rPr>
            <b/>
            <sz val="9"/>
            <color indexed="81"/>
            <rFont val="Tahoma"/>
            <family val="2"/>
          </rPr>
          <t>Heating &amp; Fuel</t>
        </r>
      </text>
    </comment>
    <comment ref="D31" authorId="2" shapeId="0" xr:uid="{00000000-0006-0000-3100-00001A000000}">
      <text>
        <r>
          <rPr>
            <b/>
            <sz val="9"/>
            <color indexed="81"/>
            <rFont val="Tahoma"/>
            <family val="2"/>
          </rPr>
          <t>Electricity</t>
        </r>
      </text>
    </comment>
    <comment ref="D32" authorId="2" shapeId="0" xr:uid="{00000000-0006-0000-3100-00001B000000}">
      <text>
        <r>
          <rPr>
            <b/>
            <sz val="9"/>
            <color indexed="81"/>
            <rFont val="Tahoma"/>
            <family val="2"/>
          </rPr>
          <t>Gas</t>
        </r>
      </text>
    </comment>
    <comment ref="D33" authorId="2" shapeId="0" xr:uid="{00000000-0006-0000-3100-00001C000000}">
      <text>
        <r>
          <rPr>
            <b/>
            <sz val="9"/>
            <color indexed="81"/>
            <rFont val="Tahoma"/>
            <family val="2"/>
          </rPr>
          <t>Water &amp; Sewer</t>
        </r>
      </text>
    </comment>
    <comment ref="D34" authorId="2" shapeId="0" xr:uid="{00000000-0006-0000-3100-00001D000000}">
      <text>
        <r>
          <rPr>
            <b/>
            <sz val="9"/>
            <color indexed="81"/>
            <rFont val="Tahoma"/>
            <family val="2"/>
          </rPr>
          <t>Other Utilities</t>
        </r>
      </text>
    </comment>
    <comment ref="D35" authorId="2" shapeId="0" xr:uid="{00000000-0006-0000-3100-00001E000000}">
      <text>
        <r>
          <rPr>
            <b/>
            <sz val="9"/>
            <color indexed="81"/>
            <rFont val="Tahoma"/>
            <family val="2"/>
          </rPr>
          <t>Total Utilities</t>
        </r>
      </text>
    </comment>
    <comment ref="D37" authorId="2" shapeId="0" xr:uid="{00000000-0006-0000-3100-00001F000000}">
      <text>
        <r>
          <rPr>
            <b/>
            <sz val="9"/>
            <color indexed="81"/>
            <rFont val="Tahoma"/>
            <family val="2"/>
          </rPr>
          <t>Elevator</t>
        </r>
      </text>
    </comment>
    <comment ref="D38" authorId="2" shapeId="0" xr:uid="{00000000-0006-0000-3100-000020000000}">
      <text>
        <r>
          <rPr>
            <b/>
            <sz val="9"/>
            <color indexed="81"/>
            <rFont val="Tahoma"/>
            <family val="2"/>
          </rPr>
          <t>HVAC</t>
        </r>
      </text>
    </comment>
    <comment ref="D39" authorId="2" shapeId="0" xr:uid="{00000000-0006-0000-3100-000021000000}">
      <text>
        <r>
          <rPr>
            <b/>
            <sz val="9"/>
            <color indexed="81"/>
            <rFont val="Tahoma"/>
            <family val="2"/>
          </rPr>
          <t>Electrical &amp; Plumbing</t>
        </r>
      </text>
    </comment>
    <comment ref="D40" authorId="2" shapeId="0" xr:uid="{00000000-0006-0000-3100-000022000000}">
      <text>
        <r>
          <rPr>
            <b/>
            <sz val="9"/>
            <color indexed="81"/>
            <rFont val="Tahoma"/>
            <family val="2"/>
          </rPr>
          <t>Structural &amp; Roof</t>
        </r>
      </text>
    </comment>
    <comment ref="D41" authorId="2" shapeId="0" xr:uid="{00000000-0006-0000-3100-000023000000}">
      <text>
        <r>
          <rPr>
            <b/>
            <sz val="9"/>
            <color indexed="81"/>
            <rFont val="Tahoma"/>
            <family val="2"/>
          </rPr>
          <t>Pest Control</t>
        </r>
      </text>
    </comment>
    <comment ref="D42" authorId="2" shapeId="0" xr:uid="{00000000-0006-0000-3100-000024000000}">
      <text>
        <r>
          <rPr>
            <b/>
            <sz val="9"/>
            <color indexed="81"/>
            <rFont val="Tahoma"/>
            <family val="2"/>
          </rPr>
          <t>Other Repairs &amp; Maintenance</t>
        </r>
      </text>
    </comment>
    <comment ref="D43" authorId="1" shapeId="0" xr:uid="{00000000-0006-0000-3100-000025000000}">
      <text>
        <r>
          <rPr>
            <b/>
            <sz val="9"/>
            <color indexed="81"/>
            <rFont val="Tahoma"/>
            <family val="2"/>
          </rPr>
          <t>Total Repairs &amp; Maintenance</t>
        </r>
      </text>
    </comment>
    <comment ref="D45" authorId="2" shapeId="0" xr:uid="{00000000-0006-0000-3100-000026000000}">
      <text>
        <r>
          <rPr>
            <b/>
            <sz val="9"/>
            <color indexed="81"/>
            <rFont val="Tahoma"/>
            <family val="2"/>
          </rPr>
          <t>CAM Utilities</t>
        </r>
      </text>
    </comment>
    <comment ref="D46" authorId="2" shapeId="0" xr:uid="{00000000-0006-0000-3100-000027000000}">
      <text>
        <r>
          <rPr>
            <b/>
            <sz val="9"/>
            <color indexed="81"/>
            <rFont val="Tahoma"/>
            <family val="2"/>
          </rPr>
          <t>CAM Repairs &amp; Maintenance</t>
        </r>
      </text>
    </comment>
    <comment ref="D47" authorId="2" shapeId="0" xr:uid="{00000000-0006-0000-3100-000028000000}">
      <text>
        <r>
          <rPr>
            <b/>
            <sz val="9"/>
            <color indexed="81"/>
            <rFont val="Tahoma"/>
            <family val="2"/>
          </rPr>
          <t>CAM Parking Lot Maintenance</t>
        </r>
      </text>
    </comment>
    <comment ref="D48" authorId="2" shapeId="0" xr:uid="{00000000-0006-0000-3100-000029000000}">
      <text>
        <r>
          <rPr>
            <b/>
            <sz val="9"/>
            <color indexed="81"/>
            <rFont val="Tahoma"/>
            <family val="2"/>
          </rPr>
          <t>CAM Snow Removal</t>
        </r>
      </text>
    </comment>
    <comment ref="D49" authorId="2" shapeId="0" xr:uid="{00000000-0006-0000-3100-00002A000000}">
      <text>
        <r>
          <rPr>
            <b/>
            <sz val="9"/>
            <color indexed="81"/>
            <rFont val="Tahoma"/>
            <family val="2"/>
          </rPr>
          <t>CAM Grounds Maintenance</t>
        </r>
      </text>
    </comment>
    <comment ref="D50" authorId="2" shapeId="0" xr:uid="{00000000-0006-0000-3100-00002B000000}">
      <text>
        <r>
          <rPr>
            <b/>
            <sz val="9"/>
            <color indexed="81"/>
            <rFont val="Tahoma"/>
            <family val="2"/>
          </rPr>
          <t>Other CAM Expenses</t>
        </r>
      </text>
    </comment>
    <comment ref="D51" authorId="1" shapeId="0" xr:uid="{00000000-0006-0000-3100-00002C000000}">
      <text>
        <r>
          <rPr>
            <b/>
            <sz val="9"/>
            <color indexed="81"/>
            <rFont val="Tahoma"/>
            <family val="2"/>
          </rPr>
          <t>Total CAM</t>
        </r>
      </text>
    </comment>
    <comment ref="D53" authorId="2" shapeId="0" xr:uid="{00000000-0006-0000-3100-00002D000000}">
      <text>
        <r>
          <rPr>
            <b/>
            <sz val="9"/>
            <color indexed="81"/>
            <rFont val="Tahoma"/>
            <family val="2"/>
          </rPr>
          <t>Trash Removal</t>
        </r>
      </text>
    </comment>
    <comment ref="D54" authorId="2" shapeId="0" xr:uid="{00000000-0006-0000-3100-00002E000000}">
      <text>
        <r>
          <rPr>
            <b/>
            <sz val="9"/>
            <color indexed="81"/>
            <rFont val="Tahoma"/>
            <family val="2"/>
          </rPr>
          <t>Cleaning Contract Services</t>
        </r>
      </text>
    </comment>
    <comment ref="D55" authorId="2" shapeId="0" xr:uid="{00000000-0006-0000-3100-00002F000000}">
      <text>
        <r>
          <rPr>
            <b/>
            <sz val="9"/>
            <color indexed="81"/>
            <rFont val="Tahoma"/>
            <family val="2"/>
          </rPr>
          <t>Cleaning Supplies</t>
        </r>
      </text>
    </comment>
    <comment ref="D56" authorId="2" shapeId="0" xr:uid="{00000000-0006-0000-3100-000030000000}">
      <text>
        <r>
          <rPr>
            <b/>
            <sz val="9"/>
            <color indexed="81"/>
            <rFont val="Tahoma"/>
            <family val="2"/>
          </rPr>
          <t>Cleaning Other</t>
        </r>
      </text>
    </comment>
    <comment ref="D57" authorId="1" shapeId="0" xr:uid="{00000000-0006-0000-3100-000031000000}">
      <text>
        <r>
          <rPr>
            <b/>
            <sz val="9"/>
            <color indexed="81"/>
            <rFont val="Tahoma"/>
            <family val="2"/>
          </rPr>
          <t>Total Cleaning &amp; Janitorial</t>
        </r>
      </text>
    </comment>
    <comment ref="D60" authorId="2" shapeId="0" xr:uid="{00000000-0006-0000-3100-000032000000}">
      <text>
        <r>
          <rPr>
            <b/>
            <sz val="9"/>
            <color indexed="81"/>
            <rFont val="Tahoma"/>
            <family val="2"/>
          </rPr>
          <t>Advertising/Marketing</t>
        </r>
      </text>
    </comment>
    <comment ref="D61" authorId="2" shapeId="0" xr:uid="{00000000-0006-0000-3100-000033000000}">
      <text>
        <r>
          <rPr>
            <b/>
            <sz val="9"/>
            <color indexed="81"/>
            <rFont val="Tahoma"/>
            <family val="2"/>
          </rPr>
          <t>Leasing Professional Fees</t>
        </r>
      </text>
    </comment>
    <comment ref="D62" authorId="2" shapeId="0" xr:uid="{00000000-0006-0000-3100-000034000000}">
      <text>
        <r>
          <rPr>
            <b/>
            <sz val="9"/>
            <color indexed="81"/>
            <rFont val="Tahoma"/>
            <family val="2"/>
          </rPr>
          <t>Other Leasing Expenses</t>
        </r>
      </text>
    </comment>
    <comment ref="D63" authorId="2" shapeId="0" xr:uid="{00000000-0006-0000-3100-000035000000}">
      <text>
        <r>
          <rPr>
            <b/>
            <sz val="9"/>
            <color indexed="81"/>
            <rFont val="Tahoma"/>
            <family val="2"/>
          </rPr>
          <t>Total Leasing Expenses</t>
        </r>
      </text>
    </comment>
    <comment ref="D65" authorId="2" shapeId="0" xr:uid="{00000000-0006-0000-3100-000036000000}">
      <text>
        <r>
          <rPr>
            <b/>
            <sz val="9"/>
            <color indexed="81"/>
            <rFont val="Tahoma"/>
            <family val="2"/>
          </rPr>
          <t>Administrative Payroll</t>
        </r>
      </text>
    </comment>
    <comment ref="D66" authorId="2" shapeId="0" xr:uid="{00000000-0006-0000-3100-000037000000}">
      <text>
        <r>
          <rPr>
            <b/>
            <sz val="9"/>
            <color indexed="81"/>
            <rFont val="Tahoma"/>
            <family val="2"/>
          </rPr>
          <t>Repair &amp; Maintenance Payroll</t>
        </r>
      </text>
    </comment>
    <comment ref="D67" authorId="2" shapeId="0" xr:uid="{00000000-0006-0000-3100-000038000000}">
      <text>
        <r>
          <rPr>
            <b/>
            <sz val="9"/>
            <color indexed="81"/>
            <rFont val="Tahoma"/>
            <family val="2"/>
          </rPr>
          <t>Cleaning Payroll</t>
        </r>
      </text>
    </comment>
    <comment ref="D68" authorId="2" shapeId="0" xr:uid="{00000000-0006-0000-3100-000039000000}">
      <text>
        <r>
          <rPr>
            <b/>
            <sz val="9"/>
            <color indexed="81"/>
            <rFont val="Tahoma"/>
            <family val="2"/>
          </rPr>
          <t>Other Payroll</t>
        </r>
      </text>
    </comment>
    <comment ref="D69" authorId="2" shapeId="0" xr:uid="{00000000-0006-0000-3100-00003A000000}">
      <text>
        <r>
          <rPr>
            <b/>
            <sz val="9"/>
            <color indexed="81"/>
            <rFont val="Tahoma"/>
            <family val="2"/>
          </rPr>
          <t>Total Payroll</t>
        </r>
      </text>
    </comment>
    <comment ref="D70" authorId="2" shapeId="0" xr:uid="{00000000-0006-0000-3100-00003B000000}">
      <text>
        <r>
          <rPr>
            <b/>
            <sz val="9"/>
            <color indexed="81"/>
            <rFont val="Tahoma"/>
            <family val="2"/>
          </rPr>
          <t>Security</t>
        </r>
      </text>
    </comment>
    <comment ref="D71" authorId="2" shapeId="0" xr:uid="{00000000-0006-0000-3100-00003C000000}">
      <text>
        <r>
          <rPr>
            <b/>
            <sz val="9"/>
            <color indexed="81"/>
            <rFont val="Tahoma"/>
            <family val="2"/>
          </rPr>
          <t>Roads and Grounds</t>
        </r>
      </text>
    </comment>
    <comment ref="D72" authorId="1" shapeId="0" xr:uid="{00000000-0006-0000-3100-00003D000000}">
      <text>
        <r>
          <rPr>
            <b/>
            <sz val="9"/>
            <color indexed="81"/>
            <rFont val="Tahoma"/>
            <family val="2"/>
          </rPr>
          <t>Other Operating Expenses</t>
        </r>
      </text>
    </comment>
    <comment ref="D73" authorId="2" shapeId="0" xr:uid="{00000000-0006-0000-3100-00003E000000}">
      <text>
        <r>
          <rPr>
            <b/>
            <sz val="9"/>
            <color indexed="81"/>
            <rFont val="Tahoma"/>
            <family val="2"/>
          </rPr>
          <t>Non-Reimbursable Expenses</t>
        </r>
      </text>
    </comment>
    <comment ref="D74" authorId="2" shapeId="0" xr:uid="{00000000-0006-0000-3100-00003F000000}">
      <text>
        <r>
          <rPr>
            <b/>
            <sz val="9"/>
            <color indexed="81"/>
            <rFont val="Tahoma"/>
            <family val="2"/>
          </rPr>
          <t>Replacement Reserves</t>
        </r>
      </text>
    </comment>
    <comment ref="D75" authorId="1" shapeId="0" xr:uid="{00000000-0006-0000-3100-000040000000}">
      <text>
        <r>
          <rPr>
            <b/>
            <sz val="9"/>
            <color indexed="81"/>
            <rFont val="Tahoma"/>
            <family val="2"/>
          </rPr>
          <t>Total All Expenses</t>
        </r>
      </text>
    </comment>
    <comment ref="D76" authorId="0" shapeId="0" xr:uid="{00000000-0006-0000-3100-000041000000}">
      <text>
        <r>
          <rPr>
            <b/>
            <sz val="9"/>
            <color indexed="81"/>
            <rFont val="Tahoma"/>
            <family val="2"/>
          </rPr>
          <t>&lt;&lt;Not a Datappraise Field&gt;&gt;</t>
        </r>
      </text>
    </comment>
    <comment ref="D77" authorId="0" shapeId="0" xr:uid="{00000000-0006-0000-3100-000042000000}">
      <text>
        <r>
          <rPr>
            <b/>
            <sz val="9"/>
            <color indexed="81"/>
            <rFont val="Tahoma"/>
            <family val="2"/>
          </rPr>
          <t>&lt;&lt;Lower Left Corner&gt;&gt;</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pgilliam@valbridge.com</author>
    <author>landscape web</author>
    <author>Paul Gilliam</author>
    <author>Matt</author>
  </authors>
  <commentList>
    <comment ref="D5" authorId="0" shapeId="0" xr:uid="{00000000-0006-0000-3200-000001000000}">
      <text>
        <r>
          <rPr>
            <b/>
            <sz val="9"/>
            <color indexed="81"/>
            <rFont val="Tahoma"/>
            <family val="2"/>
          </rPr>
          <t>&lt;&lt;Expense Comps&gt;&gt;&lt;&lt;Data Runs in Columns&gt;&gt;&lt;&lt;Comps Every Fourth&gt;&gt;&lt;&lt;Static Section&gt;&gt;</t>
        </r>
      </text>
    </comment>
    <comment ref="X5" authorId="0" shapeId="0" xr:uid="{00000000-0006-0000-3200-000002000000}">
      <text>
        <r>
          <rPr>
            <b/>
            <sz val="9"/>
            <color indexed="81"/>
            <rFont val="Tahoma"/>
            <family val="2"/>
          </rPr>
          <t>&lt;&lt;Upper Right Corner&gt;&gt;</t>
        </r>
      </text>
    </comment>
    <comment ref="D6" authorId="0" shapeId="0" xr:uid="{00000000-0006-0000-3200-000003000000}">
      <text>
        <r>
          <rPr>
            <b/>
            <sz val="9"/>
            <color indexed="81"/>
            <rFont val="Tahoma"/>
            <family val="2"/>
          </rPr>
          <t>Expense ID</t>
        </r>
      </text>
    </comment>
    <comment ref="D7" authorId="0" shapeId="0" xr:uid="{00000000-0006-0000-3200-000004000000}">
      <text>
        <r>
          <rPr>
            <b/>
            <sz val="9"/>
            <color indexed="81"/>
            <rFont val="Tahoma"/>
            <family val="2"/>
          </rPr>
          <t>City State</t>
        </r>
      </text>
    </comment>
    <comment ref="D8" authorId="0" shapeId="0" xr:uid="{00000000-0006-0000-3200-000005000000}">
      <text>
        <r>
          <rPr>
            <b/>
            <sz val="9"/>
            <color indexed="81"/>
            <rFont val="Tahoma"/>
            <family val="2"/>
          </rPr>
          <t>Investment Class</t>
        </r>
      </text>
    </comment>
    <comment ref="D9" authorId="0" shapeId="0" xr:uid="{00000000-0006-0000-3200-000006000000}">
      <text>
        <r>
          <rPr>
            <b/>
            <sz val="9"/>
            <color indexed="81"/>
            <rFont val="Tahoma"/>
            <family val="2"/>
          </rPr>
          <t>&lt;&lt;Not a Datappraise Field&gt;&gt;</t>
        </r>
      </text>
    </comment>
    <comment ref="D10" authorId="1" shapeId="0" xr:uid="{00000000-0006-0000-3200-000007000000}">
      <text>
        <r>
          <rPr>
            <b/>
            <sz val="8"/>
            <color indexed="81"/>
            <rFont val="Tahoma"/>
            <family val="2"/>
          </rPr>
          <t>12 Month Period Ending</t>
        </r>
      </text>
    </comment>
    <comment ref="D11" authorId="0" shapeId="0" xr:uid="{00000000-0006-0000-3200-000008000000}">
      <text>
        <r>
          <rPr>
            <b/>
            <sz val="9"/>
            <color indexed="81"/>
            <rFont val="Tahoma"/>
            <family val="2"/>
          </rPr>
          <t>Statement Type</t>
        </r>
      </text>
    </comment>
    <comment ref="D12" authorId="0" shapeId="0" xr:uid="{00000000-0006-0000-3200-000009000000}">
      <text>
        <r>
          <rPr>
            <b/>
            <sz val="9"/>
            <color indexed="81"/>
            <rFont val="Tahoma"/>
            <family val="2"/>
          </rPr>
          <t>Annualized Statement?</t>
        </r>
      </text>
    </comment>
    <comment ref="D13" authorId="0" shapeId="0" xr:uid="{00000000-0006-0000-3200-00000A000000}">
      <text>
        <r>
          <rPr>
            <b/>
            <sz val="9"/>
            <color indexed="81"/>
            <rFont val="Tahoma"/>
            <family val="2"/>
          </rPr>
          <t>Annualized Months (1-11)</t>
        </r>
      </text>
    </comment>
    <comment ref="D14" authorId="0" shapeId="0" xr:uid="{00000000-0006-0000-3200-00000B000000}">
      <text>
        <r>
          <rPr>
            <b/>
            <sz val="9"/>
            <color indexed="81"/>
            <rFont val="Tahoma"/>
            <family val="2"/>
          </rPr>
          <t>Occupancy %</t>
        </r>
      </text>
    </comment>
    <comment ref="D15" authorId="1" shapeId="0" xr:uid="{00000000-0006-0000-3200-00000C000000}">
      <text>
        <r>
          <rPr>
            <b/>
            <sz val="8"/>
            <color indexed="81"/>
            <rFont val="Tahoma"/>
            <family val="2"/>
          </rPr>
          <t>Rentable Area</t>
        </r>
      </text>
    </comment>
    <comment ref="D16" authorId="2" shapeId="0" xr:uid="{1C1D773B-E515-4E59-B89C-F1A5F0FA22CE}">
      <text>
        <r>
          <rPr>
            <b/>
            <sz val="9"/>
            <color indexed="81"/>
            <rFont val="Tahoma"/>
            <family val="2"/>
          </rPr>
          <t>&lt;&lt;Not a Datappraise Field&gt;&gt;</t>
        </r>
      </text>
    </comment>
    <comment ref="D18" authorId="3" shapeId="0" xr:uid="{00000000-0006-0000-3200-00000D000000}">
      <text>
        <r>
          <rPr>
            <b/>
            <sz val="9"/>
            <color indexed="81"/>
            <rFont val="Tahoma"/>
            <family val="2"/>
          </rPr>
          <t>Effective Gross Income (EGI)</t>
        </r>
      </text>
    </comment>
    <comment ref="D20" authorId="3" shapeId="0" xr:uid="{00000000-0006-0000-3200-00000E000000}">
      <text>
        <r>
          <rPr>
            <b/>
            <sz val="9"/>
            <color indexed="81"/>
            <rFont val="Tahoma"/>
            <family val="2"/>
          </rPr>
          <t>Real Estate Taxes</t>
        </r>
      </text>
    </comment>
    <comment ref="D21" authorId="3" shapeId="0" xr:uid="{00000000-0006-0000-3200-00000F000000}">
      <text>
        <r>
          <rPr>
            <b/>
            <sz val="9"/>
            <color indexed="81"/>
            <rFont val="Tahoma"/>
            <family val="2"/>
          </rPr>
          <t>Other Taxes</t>
        </r>
      </text>
    </comment>
    <comment ref="D22" authorId="3" shapeId="0" xr:uid="{00000000-0006-0000-3200-000010000000}">
      <text>
        <r>
          <rPr>
            <b/>
            <sz val="9"/>
            <color indexed="81"/>
            <rFont val="Tahoma"/>
            <family val="2"/>
          </rPr>
          <t>Insurance</t>
        </r>
      </text>
    </comment>
    <comment ref="D23" authorId="3" shapeId="0" xr:uid="{00000000-0006-0000-3200-000011000000}">
      <text>
        <r>
          <rPr>
            <b/>
            <sz val="9"/>
            <color indexed="81"/>
            <rFont val="Tahoma"/>
            <family val="2"/>
          </rPr>
          <t>Management</t>
        </r>
      </text>
    </comment>
    <comment ref="D25" authorId="3" shapeId="0" xr:uid="{00000000-0006-0000-3200-000012000000}">
      <text>
        <r>
          <rPr>
            <b/>
            <sz val="9"/>
            <color indexed="81"/>
            <rFont val="Tahoma"/>
            <family val="2"/>
          </rPr>
          <t>Professional Fees</t>
        </r>
      </text>
    </comment>
    <comment ref="D26" authorId="3" shapeId="0" xr:uid="{00000000-0006-0000-3200-000013000000}">
      <text>
        <r>
          <rPr>
            <b/>
            <sz val="9"/>
            <color indexed="81"/>
            <rFont val="Tahoma"/>
            <family val="2"/>
          </rPr>
          <t>Other Administrative</t>
        </r>
      </text>
    </comment>
    <comment ref="D27" authorId="0" shapeId="0" xr:uid="{00000000-0006-0000-3200-000014000000}">
      <text>
        <r>
          <rPr>
            <b/>
            <sz val="9"/>
            <color indexed="81"/>
            <rFont val="Tahoma"/>
            <family val="2"/>
          </rPr>
          <t>Total Administrative</t>
        </r>
      </text>
    </comment>
    <comment ref="D28" authorId="0" shapeId="0" xr:uid="{00000000-0006-0000-3200-000015000000}">
      <text>
        <r>
          <rPr>
            <b/>
            <sz val="9"/>
            <color indexed="81"/>
            <rFont val="Tahoma"/>
            <family val="2"/>
          </rPr>
          <t>&lt;&lt;Not a Datappraise Field&gt;&gt;</t>
        </r>
      </text>
    </comment>
    <comment ref="D29" authorId="3" shapeId="0" xr:uid="{00000000-0006-0000-3200-000016000000}">
      <text>
        <r>
          <rPr>
            <b/>
            <sz val="9"/>
            <color indexed="81"/>
            <rFont val="Tahoma"/>
            <family val="2"/>
          </rPr>
          <t>&lt;&lt;Not a Datappraise Field&gt;&gt;</t>
        </r>
      </text>
    </comment>
    <comment ref="D30" authorId="3" shapeId="0" xr:uid="{00000000-0006-0000-3200-000017000000}">
      <text>
        <r>
          <rPr>
            <b/>
            <sz val="9"/>
            <color indexed="81"/>
            <rFont val="Tahoma"/>
            <family val="2"/>
          </rPr>
          <t>Heating &amp; Fuel</t>
        </r>
      </text>
    </comment>
    <comment ref="D31" authorId="3" shapeId="0" xr:uid="{00000000-0006-0000-3200-000018000000}">
      <text>
        <r>
          <rPr>
            <b/>
            <sz val="9"/>
            <color indexed="81"/>
            <rFont val="Tahoma"/>
            <family val="2"/>
          </rPr>
          <t>Electricity</t>
        </r>
      </text>
    </comment>
    <comment ref="D32" authorId="3" shapeId="0" xr:uid="{00000000-0006-0000-3200-000019000000}">
      <text>
        <r>
          <rPr>
            <b/>
            <sz val="9"/>
            <color indexed="81"/>
            <rFont val="Tahoma"/>
            <family val="2"/>
          </rPr>
          <t>Gas</t>
        </r>
      </text>
    </comment>
    <comment ref="D33" authorId="3" shapeId="0" xr:uid="{00000000-0006-0000-3200-00001A000000}">
      <text>
        <r>
          <rPr>
            <b/>
            <sz val="9"/>
            <color indexed="81"/>
            <rFont val="Tahoma"/>
            <family val="2"/>
          </rPr>
          <t>Water &amp; Sewer</t>
        </r>
      </text>
    </comment>
    <comment ref="D34" authorId="3" shapeId="0" xr:uid="{00000000-0006-0000-3200-00001B000000}">
      <text>
        <r>
          <rPr>
            <b/>
            <sz val="9"/>
            <color indexed="81"/>
            <rFont val="Tahoma"/>
            <family val="2"/>
          </rPr>
          <t>Other Utilities</t>
        </r>
      </text>
    </comment>
    <comment ref="D35" authorId="3" shapeId="0" xr:uid="{00000000-0006-0000-3200-00001C000000}">
      <text>
        <r>
          <rPr>
            <b/>
            <sz val="9"/>
            <color indexed="81"/>
            <rFont val="Tahoma"/>
            <family val="2"/>
          </rPr>
          <t>Total Utilities</t>
        </r>
      </text>
    </comment>
    <comment ref="D37" authorId="3" shapeId="0" xr:uid="{00000000-0006-0000-3200-00001D000000}">
      <text>
        <r>
          <rPr>
            <b/>
            <sz val="9"/>
            <color indexed="81"/>
            <rFont val="Tahoma"/>
            <family val="2"/>
          </rPr>
          <t>Elevator</t>
        </r>
      </text>
    </comment>
    <comment ref="D38" authorId="3" shapeId="0" xr:uid="{00000000-0006-0000-3200-00001E000000}">
      <text>
        <r>
          <rPr>
            <b/>
            <sz val="9"/>
            <color indexed="81"/>
            <rFont val="Tahoma"/>
            <family val="2"/>
          </rPr>
          <t>HVAC</t>
        </r>
      </text>
    </comment>
    <comment ref="D39" authorId="3" shapeId="0" xr:uid="{00000000-0006-0000-3200-00001F000000}">
      <text>
        <r>
          <rPr>
            <b/>
            <sz val="9"/>
            <color indexed="81"/>
            <rFont val="Tahoma"/>
            <family val="2"/>
          </rPr>
          <t>Electrical &amp; Plumbing</t>
        </r>
      </text>
    </comment>
    <comment ref="D40" authorId="3" shapeId="0" xr:uid="{00000000-0006-0000-3200-000020000000}">
      <text>
        <r>
          <rPr>
            <b/>
            <sz val="9"/>
            <color indexed="81"/>
            <rFont val="Tahoma"/>
            <family val="2"/>
          </rPr>
          <t>Structural &amp; Roof</t>
        </r>
      </text>
    </comment>
    <comment ref="D41" authorId="3" shapeId="0" xr:uid="{00000000-0006-0000-3200-000021000000}">
      <text>
        <r>
          <rPr>
            <b/>
            <sz val="9"/>
            <color indexed="81"/>
            <rFont val="Tahoma"/>
            <family val="2"/>
          </rPr>
          <t>Pest Control</t>
        </r>
      </text>
    </comment>
    <comment ref="D42" authorId="3" shapeId="0" xr:uid="{00000000-0006-0000-3200-000022000000}">
      <text>
        <r>
          <rPr>
            <b/>
            <sz val="9"/>
            <color indexed="81"/>
            <rFont val="Tahoma"/>
            <family val="2"/>
          </rPr>
          <t>Other Repairs &amp; Maintenance</t>
        </r>
      </text>
    </comment>
    <comment ref="D43" authorId="0" shapeId="0" xr:uid="{00000000-0006-0000-3200-000023000000}">
      <text>
        <r>
          <rPr>
            <b/>
            <sz val="9"/>
            <color indexed="81"/>
            <rFont val="Tahoma"/>
            <family val="2"/>
          </rPr>
          <t>Total Repairs &amp; Maintenance</t>
        </r>
      </text>
    </comment>
    <comment ref="D45" authorId="3" shapeId="0" xr:uid="{00000000-0006-0000-3200-000024000000}">
      <text>
        <r>
          <rPr>
            <b/>
            <sz val="9"/>
            <color indexed="81"/>
            <rFont val="Tahoma"/>
            <family val="2"/>
          </rPr>
          <t>CAM Utilities</t>
        </r>
      </text>
    </comment>
    <comment ref="D46" authorId="3" shapeId="0" xr:uid="{00000000-0006-0000-3200-000025000000}">
      <text>
        <r>
          <rPr>
            <b/>
            <sz val="9"/>
            <color indexed="81"/>
            <rFont val="Tahoma"/>
            <family val="2"/>
          </rPr>
          <t>CAM Repairs &amp; Maintenance</t>
        </r>
      </text>
    </comment>
    <comment ref="D47" authorId="3" shapeId="0" xr:uid="{00000000-0006-0000-3200-000026000000}">
      <text>
        <r>
          <rPr>
            <b/>
            <sz val="9"/>
            <color indexed="81"/>
            <rFont val="Tahoma"/>
            <family val="2"/>
          </rPr>
          <t>CAM Parking Lot Maintenance</t>
        </r>
      </text>
    </comment>
    <comment ref="D48" authorId="3" shapeId="0" xr:uid="{00000000-0006-0000-3200-000027000000}">
      <text>
        <r>
          <rPr>
            <b/>
            <sz val="9"/>
            <color indexed="81"/>
            <rFont val="Tahoma"/>
            <family val="2"/>
          </rPr>
          <t>CAM Snow Removal</t>
        </r>
      </text>
    </comment>
    <comment ref="D49" authorId="3" shapeId="0" xr:uid="{00000000-0006-0000-3200-000028000000}">
      <text>
        <r>
          <rPr>
            <b/>
            <sz val="9"/>
            <color indexed="81"/>
            <rFont val="Tahoma"/>
            <family val="2"/>
          </rPr>
          <t>CAM Grounds Maintenance</t>
        </r>
      </text>
    </comment>
    <comment ref="D50" authorId="3" shapeId="0" xr:uid="{00000000-0006-0000-3200-000029000000}">
      <text>
        <r>
          <rPr>
            <b/>
            <sz val="9"/>
            <color indexed="81"/>
            <rFont val="Tahoma"/>
            <family val="2"/>
          </rPr>
          <t>Other CAM Expenses</t>
        </r>
      </text>
    </comment>
    <comment ref="D51" authorId="0" shapeId="0" xr:uid="{00000000-0006-0000-3200-00002A000000}">
      <text>
        <r>
          <rPr>
            <b/>
            <sz val="9"/>
            <color indexed="81"/>
            <rFont val="Tahoma"/>
            <family val="2"/>
          </rPr>
          <t>Total CAM</t>
        </r>
      </text>
    </comment>
    <comment ref="D53" authorId="3" shapeId="0" xr:uid="{00000000-0006-0000-3200-00002B000000}">
      <text>
        <r>
          <rPr>
            <b/>
            <sz val="9"/>
            <color indexed="81"/>
            <rFont val="Tahoma"/>
            <family val="2"/>
          </rPr>
          <t>Trash Removal</t>
        </r>
      </text>
    </comment>
    <comment ref="D54" authorId="3" shapeId="0" xr:uid="{00000000-0006-0000-3200-00002C000000}">
      <text>
        <r>
          <rPr>
            <b/>
            <sz val="9"/>
            <color indexed="81"/>
            <rFont val="Tahoma"/>
            <family val="2"/>
          </rPr>
          <t>Cleaning Contract Services</t>
        </r>
      </text>
    </comment>
    <comment ref="D55" authorId="3" shapeId="0" xr:uid="{00000000-0006-0000-3200-00002D000000}">
      <text>
        <r>
          <rPr>
            <b/>
            <sz val="9"/>
            <color indexed="81"/>
            <rFont val="Tahoma"/>
            <family val="2"/>
          </rPr>
          <t>Cleaning Supplies</t>
        </r>
      </text>
    </comment>
    <comment ref="D56" authorId="3" shapeId="0" xr:uid="{00000000-0006-0000-3200-00002E000000}">
      <text>
        <r>
          <rPr>
            <b/>
            <sz val="9"/>
            <color indexed="81"/>
            <rFont val="Tahoma"/>
            <family val="2"/>
          </rPr>
          <t>Cleaning Other</t>
        </r>
      </text>
    </comment>
    <comment ref="D57" authorId="0" shapeId="0" xr:uid="{00000000-0006-0000-3200-00002F000000}">
      <text>
        <r>
          <rPr>
            <b/>
            <sz val="9"/>
            <color indexed="81"/>
            <rFont val="Tahoma"/>
            <family val="2"/>
          </rPr>
          <t>Total Cleaning &amp; Janitorial</t>
        </r>
      </text>
    </comment>
    <comment ref="D60" authorId="3" shapeId="0" xr:uid="{00000000-0006-0000-3200-000030000000}">
      <text>
        <r>
          <rPr>
            <b/>
            <sz val="9"/>
            <color indexed="81"/>
            <rFont val="Tahoma"/>
            <family val="2"/>
          </rPr>
          <t>Advertising/Marketing</t>
        </r>
      </text>
    </comment>
    <comment ref="D61" authorId="3" shapeId="0" xr:uid="{00000000-0006-0000-3200-000031000000}">
      <text>
        <r>
          <rPr>
            <b/>
            <sz val="9"/>
            <color indexed="81"/>
            <rFont val="Tahoma"/>
            <family val="2"/>
          </rPr>
          <t>Leasing Professional Fees</t>
        </r>
      </text>
    </comment>
    <comment ref="D62" authorId="3" shapeId="0" xr:uid="{00000000-0006-0000-3200-000032000000}">
      <text>
        <r>
          <rPr>
            <b/>
            <sz val="9"/>
            <color indexed="81"/>
            <rFont val="Tahoma"/>
            <family val="2"/>
          </rPr>
          <t>Other Leasing Expenses</t>
        </r>
      </text>
    </comment>
    <comment ref="D63" authorId="3" shapeId="0" xr:uid="{00000000-0006-0000-3200-000033000000}">
      <text>
        <r>
          <rPr>
            <b/>
            <sz val="9"/>
            <color indexed="81"/>
            <rFont val="Tahoma"/>
            <family val="2"/>
          </rPr>
          <t>Total Leasing Expenses</t>
        </r>
      </text>
    </comment>
    <comment ref="D65" authorId="3" shapeId="0" xr:uid="{00000000-0006-0000-3200-000034000000}">
      <text>
        <r>
          <rPr>
            <b/>
            <sz val="9"/>
            <color indexed="81"/>
            <rFont val="Tahoma"/>
            <family val="2"/>
          </rPr>
          <t>Administrative Payroll</t>
        </r>
      </text>
    </comment>
    <comment ref="D66" authorId="3" shapeId="0" xr:uid="{00000000-0006-0000-3200-000035000000}">
      <text>
        <r>
          <rPr>
            <b/>
            <sz val="9"/>
            <color indexed="81"/>
            <rFont val="Tahoma"/>
            <family val="2"/>
          </rPr>
          <t>Repair &amp; Maintenance Payroll</t>
        </r>
      </text>
    </comment>
    <comment ref="D67" authorId="3" shapeId="0" xr:uid="{00000000-0006-0000-3200-000036000000}">
      <text>
        <r>
          <rPr>
            <b/>
            <sz val="9"/>
            <color indexed="81"/>
            <rFont val="Tahoma"/>
            <family val="2"/>
          </rPr>
          <t>Cleaning Payroll</t>
        </r>
      </text>
    </comment>
    <comment ref="D68" authorId="3" shapeId="0" xr:uid="{00000000-0006-0000-3200-000037000000}">
      <text>
        <r>
          <rPr>
            <b/>
            <sz val="9"/>
            <color indexed="81"/>
            <rFont val="Tahoma"/>
            <family val="2"/>
          </rPr>
          <t>Other Payroll</t>
        </r>
      </text>
    </comment>
    <comment ref="D69" authorId="3" shapeId="0" xr:uid="{00000000-0006-0000-3200-000038000000}">
      <text>
        <r>
          <rPr>
            <b/>
            <sz val="9"/>
            <color indexed="81"/>
            <rFont val="Tahoma"/>
            <family val="2"/>
          </rPr>
          <t>Total Payroll</t>
        </r>
      </text>
    </comment>
    <comment ref="D70" authorId="3" shapeId="0" xr:uid="{00000000-0006-0000-3200-000039000000}">
      <text>
        <r>
          <rPr>
            <b/>
            <sz val="9"/>
            <color indexed="81"/>
            <rFont val="Tahoma"/>
            <family val="2"/>
          </rPr>
          <t>Security</t>
        </r>
      </text>
    </comment>
    <comment ref="D71" authorId="3" shapeId="0" xr:uid="{00000000-0006-0000-3200-00003A000000}">
      <text>
        <r>
          <rPr>
            <b/>
            <sz val="9"/>
            <color indexed="81"/>
            <rFont val="Tahoma"/>
            <family val="2"/>
          </rPr>
          <t>Roads and Grounds</t>
        </r>
      </text>
    </comment>
    <comment ref="D72" authorId="0" shapeId="0" xr:uid="{00000000-0006-0000-3200-00003B000000}">
      <text>
        <r>
          <rPr>
            <b/>
            <sz val="9"/>
            <color indexed="81"/>
            <rFont val="Tahoma"/>
            <family val="2"/>
          </rPr>
          <t>Other Operating Expenses</t>
        </r>
      </text>
    </comment>
    <comment ref="D73" authorId="3" shapeId="0" xr:uid="{00000000-0006-0000-3200-00003C000000}">
      <text>
        <r>
          <rPr>
            <b/>
            <sz val="9"/>
            <color indexed="81"/>
            <rFont val="Tahoma"/>
            <family val="2"/>
          </rPr>
          <t>Non-Reimbursable Expenses</t>
        </r>
      </text>
    </comment>
    <comment ref="D74" authorId="3" shapeId="0" xr:uid="{00000000-0006-0000-3200-00003D000000}">
      <text>
        <r>
          <rPr>
            <b/>
            <sz val="9"/>
            <color indexed="81"/>
            <rFont val="Tahoma"/>
            <family val="2"/>
          </rPr>
          <t>Replacement Reserves</t>
        </r>
      </text>
    </comment>
    <comment ref="D75" authorId="0" shapeId="0" xr:uid="{00000000-0006-0000-3200-00003E000000}">
      <text>
        <r>
          <rPr>
            <b/>
            <sz val="9"/>
            <color indexed="81"/>
            <rFont val="Tahoma"/>
            <family val="2"/>
          </rPr>
          <t>Total All Expenses</t>
        </r>
      </text>
    </comment>
    <comment ref="D76" authorId="0" shapeId="0" xr:uid="{00000000-0006-0000-3200-00003F000000}">
      <text>
        <r>
          <rPr>
            <b/>
            <sz val="9"/>
            <color indexed="81"/>
            <rFont val="Tahoma"/>
            <family val="2"/>
          </rPr>
          <t>&lt;&lt;Lower Left Corner&gt;&gt;</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3400-000001000000}">
      <text>
        <r>
          <rPr>
            <b/>
            <sz val="9"/>
            <color indexed="81"/>
            <rFont val="Tahoma"/>
            <family val="2"/>
          </rPr>
          <t>&lt;&lt;Not a Datappraise Worksheet&gt;&gt;</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gateel</author>
    <author>pgilliam@valbridge.com</author>
    <author>pgilliam</author>
    <author>Jason Bennett</author>
  </authors>
  <commentList>
    <comment ref="D7" authorId="0" shapeId="0" xr:uid="{264B9EF5-D88A-4ACC-B355-411FEB12A9CB}">
      <text>
        <r>
          <rPr>
            <b/>
            <sz val="9"/>
            <color indexed="81"/>
            <rFont val="Tahoma"/>
            <family val="2"/>
          </rPr>
          <t>&lt;&lt;Cap Rate Sales&gt;&gt;&lt;&lt;Data Runs in Rows&gt;&gt;&lt;&lt;Multiple Tables&gt;&gt;</t>
        </r>
      </text>
    </comment>
    <comment ref="E7" authorId="1" shapeId="0" xr:uid="{00000000-0006-0000-3500-000002000000}">
      <text>
        <r>
          <rPr>
            <b/>
            <sz val="9"/>
            <color indexed="81"/>
            <rFont val="Tahoma"/>
            <family val="2"/>
          </rPr>
          <t>Sale Date</t>
        </r>
      </text>
    </comment>
    <comment ref="F7" authorId="1" shapeId="0" xr:uid="{00000000-0006-0000-3500-000003000000}">
      <text>
        <r>
          <rPr>
            <b/>
            <sz val="9"/>
            <color indexed="81"/>
            <rFont val="Tahoma"/>
            <family val="2"/>
          </rPr>
          <t>Property Name</t>
        </r>
      </text>
    </comment>
    <comment ref="G7" authorId="1" shapeId="0" xr:uid="{00000000-0006-0000-3500-000004000000}">
      <text>
        <r>
          <rPr>
            <b/>
            <sz val="9"/>
            <color indexed="81"/>
            <rFont val="Tahoma"/>
            <family val="2"/>
          </rPr>
          <t>Address</t>
        </r>
      </text>
    </comment>
    <comment ref="H7" authorId="1" shapeId="0" xr:uid="{00000000-0006-0000-3500-000005000000}">
      <text>
        <r>
          <rPr>
            <b/>
            <sz val="9"/>
            <color indexed="81"/>
            <rFont val="Tahoma"/>
            <family val="2"/>
          </rPr>
          <t>City State</t>
        </r>
      </text>
    </comment>
    <comment ref="J7" authorId="1" shapeId="0" xr:uid="{00000000-0006-0000-3500-000006000000}">
      <text>
        <r>
          <rPr>
            <b/>
            <sz val="9"/>
            <color indexed="81"/>
            <rFont val="Tahoma"/>
            <family val="2"/>
          </rPr>
          <t>Year Built</t>
        </r>
      </text>
    </comment>
    <comment ref="K7" authorId="1" shapeId="0" xr:uid="{00000000-0006-0000-3500-000007000000}">
      <text>
        <r>
          <rPr>
            <b/>
            <sz val="9"/>
            <color indexed="81"/>
            <rFont val="Tahoma"/>
            <family val="2"/>
          </rPr>
          <t>Year Built Comments</t>
        </r>
      </text>
    </comment>
    <comment ref="L7" authorId="1" shapeId="0" xr:uid="{00000000-0006-0000-3500-000008000000}">
      <text>
        <r>
          <rPr>
            <b/>
            <sz val="9"/>
            <color indexed="81"/>
            <rFont val="Tahoma"/>
            <family val="2"/>
          </rPr>
          <t>Occupancy at Sale</t>
        </r>
      </text>
    </comment>
    <comment ref="M7" authorId="1" shapeId="0" xr:uid="{00000000-0006-0000-3500-000009000000}">
      <text>
        <r>
          <rPr>
            <b/>
            <sz val="9"/>
            <color indexed="81"/>
            <rFont val="Tahoma"/>
            <family val="2"/>
          </rPr>
          <t>Vacancy Percent (stabilized)</t>
        </r>
      </text>
    </comment>
    <comment ref="O7" authorId="1" shapeId="0" xr:uid="{00000000-0006-0000-3500-00000A000000}">
      <text>
        <r>
          <rPr>
            <b/>
            <sz val="9"/>
            <color indexed="81"/>
            <rFont val="Tahoma"/>
            <family val="2"/>
          </rPr>
          <t>OAR (actual)</t>
        </r>
      </text>
    </comment>
    <comment ref="P7" authorId="1" shapeId="0" xr:uid="{00000000-0006-0000-3500-00000B000000}">
      <text>
        <r>
          <rPr>
            <b/>
            <sz val="9"/>
            <color indexed="81"/>
            <rFont val="Tahoma"/>
            <family val="2"/>
          </rPr>
          <t>OAR (stabilized)</t>
        </r>
      </text>
    </comment>
    <comment ref="Q7" authorId="1" shapeId="0" xr:uid="{00000000-0006-0000-3500-00000C000000}">
      <text>
        <r>
          <rPr>
            <b/>
            <sz val="9"/>
            <color indexed="81"/>
            <rFont val="Tahoma"/>
            <family val="2"/>
          </rPr>
          <t>OAR after Reserves (stabilized)</t>
        </r>
      </text>
    </comment>
    <comment ref="R7" authorId="2" shapeId="0" xr:uid="{00000000-0006-0000-3500-00000D000000}">
      <text>
        <r>
          <rPr>
            <b/>
            <sz val="9"/>
            <color indexed="81"/>
            <rFont val="Tahoma"/>
            <family val="2"/>
          </rPr>
          <t>Remaining Lease Term at Sale</t>
        </r>
      </text>
    </comment>
    <comment ref="S7" authorId="2" shapeId="0" xr:uid="{00000000-0006-0000-3500-00000E000000}">
      <text>
        <r>
          <rPr>
            <b/>
            <sz val="9"/>
            <color indexed="81"/>
            <rFont val="Tahoma"/>
            <family val="2"/>
          </rPr>
          <t>&lt;&lt;Not a Datappraise Field&gt;&gt;</t>
        </r>
      </text>
    </comment>
    <comment ref="T7" authorId="2" shapeId="0" xr:uid="{00000000-0006-0000-3500-00000F000000}">
      <text>
        <r>
          <rPr>
            <b/>
            <sz val="9"/>
            <color indexed="81"/>
            <rFont val="Tahoma"/>
            <family val="2"/>
          </rPr>
          <t>Cash-on-Cash (actual)</t>
        </r>
      </text>
    </comment>
    <comment ref="U7" authorId="2" shapeId="0" xr:uid="{00000000-0006-0000-3500-000010000000}">
      <text>
        <r>
          <rPr>
            <b/>
            <sz val="9"/>
            <color indexed="81"/>
            <rFont val="Tahoma"/>
            <family val="2"/>
          </rPr>
          <t>Cash-on-Cash (stabilized)</t>
        </r>
      </text>
    </comment>
    <comment ref="V7" authorId="1" shapeId="0" xr:uid="{00000000-0006-0000-3500-000011000000}">
      <text>
        <r>
          <rPr>
            <b/>
            <sz val="9"/>
            <color indexed="81"/>
            <rFont val="Tahoma"/>
            <family val="2"/>
          </rPr>
          <t>Property ID</t>
        </r>
      </text>
    </comment>
    <comment ref="W7" authorId="1" shapeId="0" xr:uid="{00000000-0006-0000-3500-000012000000}">
      <text>
        <r>
          <rPr>
            <b/>
            <sz val="9"/>
            <color indexed="81"/>
            <rFont val="Tahoma"/>
            <family val="2"/>
          </rPr>
          <t>&lt;&lt;Upper Right Corner&gt;&gt;</t>
        </r>
      </text>
    </comment>
    <comment ref="D15" authorId="3" shapeId="0" xr:uid="{4A617299-59BD-4BF8-92BE-18379B4C7EE7}">
      <text>
        <r>
          <rPr>
            <b/>
            <sz val="9"/>
            <color indexed="81"/>
            <rFont val="Tahoma"/>
            <family val="2"/>
          </rPr>
          <t>&lt;&lt;Lower Left Corner&gt;&gt;</t>
        </r>
      </text>
    </comment>
    <comment ref="AI21" authorId="2" shapeId="0" xr:uid="{00000000-0006-0000-3500-000014000000}">
      <text>
        <r>
          <rPr>
            <b/>
            <sz val="9"/>
            <color indexed="81"/>
            <rFont val="Tahoma"/>
            <family val="2"/>
          </rPr>
          <t>&lt;&lt;Cap Rate Sales&gt;&gt;&lt;&lt;Data Runs in Rows&gt;&gt;&lt;&lt;Bucket 1&gt;&gt;</t>
        </r>
      </text>
    </comment>
    <comment ref="AJ21" authorId="1" shapeId="0" xr:uid="{00000000-0006-0000-3500-000015000000}">
      <text>
        <r>
          <rPr>
            <b/>
            <sz val="9"/>
            <color indexed="81"/>
            <rFont val="Tahoma"/>
            <family val="2"/>
          </rPr>
          <t>Sale Date</t>
        </r>
      </text>
    </comment>
    <comment ref="AK21" authorId="1" shapeId="0" xr:uid="{00000000-0006-0000-3500-000016000000}">
      <text>
        <r>
          <rPr>
            <b/>
            <sz val="9"/>
            <color indexed="81"/>
            <rFont val="Tahoma"/>
            <family val="2"/>
          </rPr>
          <t>Property Name</t>
        </r>
      </text>
    </comment>
    <comment ref="AL21" authorId="1" shapeId="0" xr:uid="{00000000-0006-0000-3500-000017000000}">
      <text>
        <r>
          <rPr>
            <b/>
            <sz val="9"/>
            <color indexed="81"/>
            <rFont val="Tahoma"/>
            <family val="2"/>
          </rPr>
          <t>Address</t>
        </r>
      </text>
    </comment>
    <comment ref="AM21" authorId="1" shapeId="0" xr:uid="{00000000-0006-0000-3500-000018000000}">
      <text>
        <r>
          <rPr>
            <b/>
            <sz val="9"/>
            <color indexed="81"/>
            <rFont val="Tahoma"/>
            <family val="2"/>
          </rPr>
          <t>City State</t>
        </r>
      </text>
    </comment>
    <comment ref="AO21" authorId="1" shapeId="0" xr:uid="{00000000-0006-0000-3500-000019000000}">
      <text>
        <r>
          <rPr>
            <b/>
            <sz val="9"/>
            <color indexed="81"/>
            <rFont val="Tahoma"/>
            <family val="2"/>
          </rPr>
          <t>Year Built</t>
        </r>
      </text>
    </comment>
    <comment ref="AP21" authorId="1" shapeId="0" xr:uid="{00000000-0006-0000-3500-00001A000000}">
      <text>
        <r>
          <rPr>
            <b/>
            <sz val="9"/>
            <color indexed="81"/>
            <rFont val="Tahoma"/>
            <family val="2"/>
          </rPr>
          <t>Year Built Comments</t>
        </r>
      </text>
    </comment>
    <comment ref="AQ21" authorId="1" shapeId="0" xr:uid="{00000000-0006-0000-3500-00001B000000}">
      <text>
        <r>
          <rPr>
            <b/>
            <sz val="9"/>
            <color indexed="81"/>
            <rFont val="Tahoma"/>
            <family val="2"/>
          </rPr>
          <t>Occupancy at Sale</t>
        </r>
      </text>
    </comment>
    <comment ref="AR21" authorId="1" shapeId="0" xr:uid="{00000000-0006-0000-3500-00001C000000}">
      <text>
        <r>
          <rPr>
            <b/>
            <sz val="9"/>
            <color indexed="81"/>
            <rFont val="Tahoma"/>
            <family val="2"/>
          </rPr>
          <t>Vacancy Percent (stabilized)</t>
        </r>
      </text>
    </comment>
    <comment ref="AT21" authorId="1" shapeId="0" xr:uid="{00000000-0006-0000-3500-00001D000000}">
      <text>
        <r>
          <rPr>
            <b/>
            <sz val="9"/>
            <color indexed="81"/>
            <rFont val="Tahoma"/>
            <family val="2"/>
          </rPr>
          <t>OAR (actual)</t>
        </r>
      </text>
    </comment>
    <comment ref="AU21" authorId="1" shapeId="0" xr:uid="{00000000-0006-0000-3500-00001E000000}">
      <text>
        <r>
          <rPr>
            <b/>
            <sz val="9"/>
            <color indexed="81"/>
            <rFont val="Tahoma"/>
            <family val="2"/>
          </rPr>
          <t>OAR (stabilized)</t>
        </r>
      </text>
    </comment>
    <comment ref="AV21" authorId="1" shapeId="0" xr:uid="{00000000-0006-0000-3500-00001F000000}">
      <text>
        <r>
          <rPr>
            <b/>
            <sz val="9"/>
            <color indexed="81"/>
            <rFont val="Tahoma"/>
            <family val="2"/>
          </rPr>
          <t>OAR after Reserves (stabilized)</t>
        </r>
      </text>
    </comment>
    <comment ref="AW21" authorId="2" shapeId="0" xr:uid="{00000000-0006-0000-3500-000020000000}">
      <text>
        <r>
          <rPr>
            <b/>
            <sz val="9"/>
            <color indexed="81"/>
            <rFont val="Tahoma"/>
            <family val="2"/>
          </rPr>
          <t>Remaining Lease Term at Sale</t>
        </r>
      </text>
    </comment>
    <comment ref="AX21" authorId="2" shapeId="0" xr:uid="{00000000-0006-0000-3500-000021000000}">
      <text>
        <r>
          <rPr>
            <b/>
            <sz val="9"/>
            <color indexed="81"/>
            <rFont val="Tahoma"/>
            <family val="2"/>
          </rPr>
          <t>&lt;&lt;Not a Datappraise Field&gt;&gt;</t>
        </r>
      </text>
    </comment>
    <comment ref="AY21" authorId="2" shapeId="0" xr:uid="{00000000-0006-0000-3500-000022000000}">
      <text>
        <r>
          <rPr>
            <b/>
            <sz val="9"/>
            <color indexed="81"/>
            <rFont val="Tahoma"/>
            <family val="2"/>
          </rPr>
          <t>Cash-on-Cash (actual)</t>
        </r>
      </text>
    </comment>
    <comment ref="AZ21" authorId="2" shapeId="0" xr:uid="{00000000-0006-0000-3500-000023000000}">
      <text>
        <r>
          <rPr>
            <b/>
            <sz val="9"/>
            <color indexed="81"/>
            <rFont val="Tahoma"/>
            <family val="2"/>
          </rPr>
          <t>Cash-on-Cash (stabilized)</t>
        </r>
      </text>
    </comment>
    <comment ref="BA21" authorId="1" shapeId="0" xr:uid="{00000000-0006-0000-3500-000024000000}">
      <text>
        <r>
          <rPr>
            <b/>
            <sz val="9"/>
            <color indexed="81"/>
            <rFont val="Tahoma"/>
            <family val="2"/>
          </rPr>
          <t>Property ID</t>
        </r>
      </text>
    </comment>
    <comment ref="BB21" authorId="1" shapeId="0" xr:uid="{00000000-0006-0000-3500-000025000000}">
      <text>
        <r>
          <rPr>
            <b/>
            <sz val="9"/>
            <color indexed="81"/>
            <rFont val="Tahoma"/>
            <family val="2"/>
          </rPr>
          <t>&lt;&lt;Upper Right Corner&gt;&gt;</t>
        </r>
      </text>
    </comment>
    <comment ref="AI27" authorId="1" shapeId="0" xr:uid="{00000000-0006-0000-3500-000026000000}">
      <text>
        <r>
          <rPr>
            <b/>
            <sz val="9"/>
            <color indexed="81"/>
            <rFont val="Tahoma"/>
            <family val="2"/>
          </rPr>
          <t>&lt;&lt;Lower Left Corner&gt;&gt;</t>
        </r>
      </text>
    </comment>
    <comment ref="BG33" authorId="0" shapeId="0" xr:uid="{32775FCE-AFC2-4CB5-B55E-2BE7F1C33481}">
      <text>
        <r>
          <rPr>
            <b/>
            <sz val="9"/>
            <color indexed="81"/>
            <rFont val="Tahoma"/>
            <family val="2"/>
          </rPr>
          <t>&lt;&lt;Cap Rate Sales&gt;&gt;&lt;&lt;Data Runs in Rows&gt;&gt;&lt;&lt;Bucket 2&gt;&gt;&lt;&lt;Last Table&gt;&gt;</t>
        </r>
      </text>
    </comment>
    <comment ref="BH33" authorId="1" shapeId="0" xr:uid="{00000000-0006-0000-3500-000028000000}">
      <text>
        <r>
          <rPr>
            <b/>
            <sz val="9"/>
            <color indexed="81"/>
            <rFont val="Tahoma"/>
            <family val="2"/>
          </rPr>
          <t>Sale Date</t>
        </r>
      </text>
    </comment>
    <comment ref="BI33" authorId="1" shapeId="0" xr:uid="{00000000-0006-0000-3500-000029000000}">
      <text>
        <r>
          <rPr>
            <b/>
            <sz val="9"/>
            <color indexed="81"/>
            <rFont val="Tahoma"/>
            <family val="2"/>
          </rPr>
          <t>Property Name</t>
        </r>
      </text>
    </comment>
    <comment ref="BJ33" authorId="1" shapeId="0" xr:uid="{00000000-0006-0000-3500-00002A000000}">
      <text>
        <r>
          <rPr>
            <b/>
            <sz val="9"/>
            <color indexed="81"/>
            <rFont val="Tahoma"/>
            <family val="2"/>
          </rPr>
          <t>Address</t>
        </r>
      </text>
    </comment>
    <comment ref="BK33" authorId="1" shapeId="0" xr:uid="{00000000-0006-0000-3500-00002B000000}">
      <text>
        <r>
          <rPr>
            <b/>
            <sz val="9"/>
            <color indexed="81"/>
            <rFont val="Tahoma"/>
            <family val="2"/>
          </rPr>
          <t>City State</t>
        </r>
      </text>
    </comment>
    <comment ref="BM33" authorId="1" shapeId="0" xr:uid="{00000000-0006-0000-3500-00002C000000}">
      <text>
        <r>
          <rPr>
            <b/>
            <sz val="9"/>
            <color indexed="81"/>
            <rFont val="Tahoma"/>
            <family val="2"/>
          </rPr>
          <t>Year Built</t>
        </r>
      </text>
    </comment>
    <comment ref="BN33" authorId="1" shapeId="0" xr:uid="{00000000-0006-0000-3500-00002D000000}">
      <text>
        <r>
          <rPr>
            <b/>
            <sz val="9"/>
            <color indexed="81"/>
            <rFont val="Tahoma"/>
            <family val="2"/>
          </rPr>
          <t>Year Built Comments</t>
        </r>
      </text>
    </comment>
    <comment ref="BO33" authorId="1" shapeId="0" xr:uid="{00000000-0006-0000-3500-00002E000000}">
      <text>
        <r>
          <rPr>
            <b/>
            <sz val="9"/>
            <color indexed="81"/>
            <rFont val="Tahoma"/>
            <family val="2"/>
          </rPr>
          <t>Occupancy at Sale</t>
        </r>
      </text>
    </comment>
    <comment ref="BP33" authorId="1" shapeId="0" xr:uid="{00000000-0006-0000-3500-00002F000000}">
      <text>
        <r>
          <rPr>
            <b/>
            <sz val="9"/>
            <color indexed="81"/>
            <rFont val="Tahoma"/>
            <family val="2"/>
          </rPr>
          <t>Vacancy Percent (stabilized)</t>
        </r>
      </text>
    </comment>
    <comment ref="BR33" authorId="1" shapeId="0" xr:uid="{00000000-0006-0000-3500-000030000000}">
      <text>
        <r>
          <rPr>
            <b/>
            <sz val="9"/>
            <color indexed="81"/>
            <rFont val="Tahoma"/>
            <family val="2"/>
          </rPr>
          <t>OAR (actual)</t>
        </r>
      </text>
    </comment>
    <comment ref="BS33" authorId="1" shapeId="0" xr:uid="{00000000-0006-0000-3500-000031000000}">
      <text>
        <r>
          <rPr>
            <b/>
            <sz val="9"/>
            <color indexed="81"/>
            <rFont val="Tahoma"/>
            <family val="2"/>
          </rPr>
          <t>OAR (stabilized)</t>
        </r>
      </text>
    </comment>
    <comment ref="BT33" authorId="1" shapeId="0" xr:uid="{00000000-0006-0000-3500-000032000000}">
      <text>
        <r>
          <rPr>
            <b/>
            <sz val="9"/>
            <color indexed="81"/>
            <rFont val="Tahoma"/>
            <family val="2"/>
          </rPr>
          <t>OAR after Reserves (stabilized)</t>
        </r>
      </text>
    </comment>
    <comment ref="BU33" authorId="2" shapeId="0" xr:uid="{00000000-0006-0000-3500-000033000000}">
      <text>
        <r>
          <rPr>
            <b/>
            <sz val="9"/>
            <color indexed="81"/>
            <rFont val="Tahoma"/>
            <family val="2"/>
          </rPr>
          <t>Remaining Lease Term at Sale</t>
        </r>
      </text>
    </comment>
    <comment ref="BV33" authorId="2" shapeId="0" xr:uid="{00000000-0006-0000-3500-000034000000}">
      <text>
        <r>
          <rPr>
            <b/>
            <sz val="9"/>
            <color indexed="81"/>
            <rFont val="Tahoma"/>
            <family val="2"/>
          </rPr>
          <t>&lt;&lt;Not a Datappraise Field&gt;&gt;</t>
        </r>
      </text>
    </comment>
    <comment ref="BW33" authorId="2" shapeId="0" xr:uid="{00000000-0006-0000-3500-000035000000}">
      <text>
        <r>
          <rPr>
            <b/>
            <sz val="9"/>
            <color indexed="81"/>
            <rFont val="Tahoma"/>
            <family val="2"/>
          </rPr>
          <t>Cash-on-Cash (actual)</t>
        </r>
      </text>
    </comment>
    <comment ref="BX33" authorId="2" shapeId="0" xr:uid="{00000000-0006-0000-3500-000036000000}">
      <text>
        <r>
          <rPr>
            <b/>
            <sz val="9"/>
            <color indexed="81"/>
            <rFont val="Tahoma"/>
            <family val="2"/>
          </rPr>
          <t>Cash-on-Cash (stabilized)</t>
        </r>
      </text>
    </comment>
    <comment ref="BY33" authorId="1" shapeId="0" xr:uid="{00000000-0006-0000-3500-000037000000}">
      <text>
        <r>
          <rPr>
            <b/>
            <sz val="9"/>
            <color indexed="81"/>
            <rFont val="Tahoma"/>
            <family val="2"/>
          </rPr>
          <t>Property ID</t>
        </r>
      </text>
    </comment>
    <comment ref="BZ33" authorId="1" shapeId="0" xr:uid="{00000000-0006-0000-3500-000038000000}">
      <text>
        <r>
          <rPr>
            <b/>
            <sz val="9"/>
            <color indexed="81"/>
            <rFont val="Tahoma"/>
            <family val="2"/>
          </rPr>
          <t>&lt;&lt;Upper Right Corner&gt;&gt;</t>
        </r>
      </text>
    </comment>
    <comment ref="BG39" authorId="1" shapeId="0" xr:uid="{00000000-0006-0000-3500-000039000000}">
      <text>
        <r>
          <rPr>
            <b/>
            <sz val="9"/>
            <color indexed="81"/>
            <rFont val="Tahoma"/>
            <family val="2"/>
          </rPr>
          <t>&lt;&lt;Lower Left Corner&gt;&gt;</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3600-000001000000}">
      <text>
        <r>
          <rPr>
            <b/>
            <sz val="9"/>
            <color indexed="81"/>
            <rFont val="Tahoma"/>
            <family val="2"/>
          </rPr>
          <t>&lt;&lt;Not a Datappraise Worksheet&gt;&gt;</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3700-000001000000}">
      <text>
        <r>
          <rPr>
            <b/>
            <sz val="9"/>
            <color indexed="81"/>
            <rFont val="Tahoma"/>
            <family val="2"/>
          </rPr>
          <t>&lt;&lt;Not a Datappraise Worksheet&gt;&gt;</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3900-000001000000}">
      <text>
        <r>
          <rPr>
            <b/>
            <sz val="9"/>
            <color indexed="81"/>
            <rFont val="Tahoma"/>
            <family val="2"/>
          </rPr>
          <t>&lt;&lt;Not a Datappraise Worksheet&gt;&gt;</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3A00-000001000000}">
      <text>
        <r>
          <rPr>
            <b/>
            <sz val="9"/>
            <color indexed="81"/>
            <rFont val="Tahoma"/>
            <family val="2"/>
          </rPr>
          <t>&lt;&lt;Not a Datappraise Worksheet&gt;&gt;</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3B00-000001000000}">
      <text>
        <r>
          <rPr>
            <b/>
            <sz val="9"/>
            <color indexed="81"/>
            <rFont val="Tahoma"/>
            <family val="2"/>
          </rPr>
          <t>&lt;&lt;Not a Datappraise Worksheet&gt;&gt;</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pgilliam</author>
    <author>pgilliam@valbridge.com</author>
  </authors>
  <commentList>
    <comment ref="A1" authorId="0" shapeId="0" xr:uid="{00000000-0006-0000-4600-000001000000}">
      <text>
        <r>
          <rPr>
            <b/>
            <sz val="9"/>
            <color indexed="81"/>
            <rFont val="Tahoma"/>
            <family val="2"/>
          </rPr>
          <t>&lt;&lt;Not a Datappraise Worksheet&gt;&gt;</t>
        </r>
      </text>
    </comment>
    <comment ref="AQ5" authorId="1" shapeId="0" xr:uid="{00000000-0006-0000-4600-000002000000}">
      <text>
        <r>
          <rPr>
            <b/>
            <sz val="9"/>
            <color indexed="81"/>
            <rFont val="Tahoma"/>
            <family val="2"/>
          </rPr>
          <t>&lt;&lt;Market Rates&gt;&gt;&lt;&lt;Data Runs in Rows&gt;&gt;&lt;&lt;Static Section&gt;&gt;</t>
        </r>
      </text>
    </comment>
    <comment ref="AR5" authorId="1" shapeId="0" xr:uid="{00000000-0006-0000-4600-000003000000}">
      <text>
        <r>
          <rPr>
            <b/>
            <sz val="9"/>
            <color indexed="81"/>
            <rFont val="Tahoma"/>
            <family val="2"/>
          </rPr>
          <t>RR Space Type</t>
        </r>
      </text>
    </comment>
    <comment ref="AS5" authorId="1" shapeId="0" xr:uid="{00000000-0006-0000-4600-000004000000}">
      <text>
        <r>
          <rPr>
            <b/>
            <sz val="9"/>
            <color indexed="81"/>
            <rFont val="Tahoma"/>
            <family val="2"/>
          </rPr>
          <t>&lt;&lt;Upper Right Corner&gt;&gt;</t>
        </r>
      </text>
    </comment>
    <comment ref="AQ14" authorId="1" shapeId="0" xr:uid="{00000000-0006-0000-4600-000005000000}">
      <text>
        <r>
          <rPr>
            <b/>
            <sz val="9"/>
            <color indexed="81"/>
            <rFont val="Tahoma"/>
            <family val="2"/>
          </rPr>
          <t>&lt;&lt;Lower Left Corner&gt;&gt;</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3800-000001000000}">
      <text>
        <r>
          <rPr>
            <b/>
            <sz val="9"/>
            <color indexed="81"/>
            <rFont val="Tahoma"/>
            <family val="2"/>
          </rPr>
          <t>&lt;&lt;Not a Datappraise Worksheet&gt;&gt;</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4700-000001000000}">
      <text>
        <r>
          <rPr>
            <b/>
            <sz val="9"/>
            <color indexed="81"/>
            <rFont val="Tahoma"/>
            <family val="2"/>
          </rPr>
          <t>&lt;&lt;Not a Datappraise Worksheet&gt;&gt;</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gateel</author>
  </authors>
  <commentList>
    <comment ref="B3" authorId="0" shapeId="0" xr:uid="{3411649C-FB70-4557-A6BA-89CB976AF8F7}">
      <text>
        <r>
          <rPr>
            <b/>
            <sz val="9"/>
            <color indexed="81"/>
            <rFont val="Tahoma"/>
            <family val="2"/>
          </rPr>
          <t>&lt;&lt;Demographics&gt;&gt;&lt;&lt;Data Runs in Columns&gt;&gt;</t>
        </r>
      </text>
    </comment>
    <comment ref="I3" authorId="0" shapeId="0" xr:uid="{65D65EA7-CD92-4AE6-B783-1A7483D80C5C}">
      <text>
        <r>
          <rPr>
            <b/>
            <sz val="9"/>
            <color indexed="81"/>
            <rFont val="Tahoma"/>
            <family val="2"/>
          </rPr>
          <t>&lt;&lt;Upper Right Corner&gt;&gt;</t>
        </r>
      </text>
    </comment>
    <comment ref="B4" authorId="0" shapeId="0" xr:uid="{15A12A69-0BC3-46EC-80CD-9CFAFD4B8E92}">
      <text>
        <r>
          <rPr>
            <b/>
            <sz val="9"/>
            <color indexed="81"/>
            <rFont val="Tahoma"/>
            <family val="2"/>
          </rPr>
          <t>Demo Type</t>
        </r>
      </text>
    </comment>
    <comment ref="B5" authorId="0" shapeId="0" xr:uid="{75542D40-7503-475E-8EAD-C5CBE0BC4225}">
      <text>
        <r>
          <rPr>
            <b/>
            <sz val="9"/>
            <color indexed="81"/>
            <rFont val="Tahoma"/>
            <family val="2"/>
          </rPr>
          <t>Demo Region</t>
        </r>
      </text>
    </comment>
    <comment ref="B6" authorId="0" shapeId="0" xr:uid="{785D10FF-B7D7-4C93-A442-D19806360E76}">
      <text>
        <r>
          <rPr>
            <b/>
            <sz val="9"/>
            <color indexed="81"/>
            <rFont val="Tahoma"/>
            <family val="2"/>
          </rPr>
          <t>&lt;&lt;Not a Datappraise Field&gt;&gt;</t>
        </r>
      </text>
    </comment>
    <comment ref="B7" authorId="0" shapeId="0" xr:uid="{4F5C9A65-1A59-4A1F-8BAD-71C620D2DF06}">
      <text>
        <r>
          <rPr>
            <b/>
            <sz val="9"/>
            <color indexed="81"/>
            <rFont val="Tahoma"/>
            <family val="2"/>
          </rPr>
          <t>Demographics Label</t>
        </r>
      </text>
    </comment>
    <comment ref="B8" authorId="0" shapeId="0" xr:uid="{F4342F19-46C1-4D2D-8A54-E09F0B8BE2B1}">
      <text>
        <r>
          <rPr>
            <b/>
            <sz val="9"/>
            <color indexed="81"/>
            <rFont val="Tahoma"/>
            <family val="2"/>
          </rPr>
          <t>Trade Area</t>
        </r>
      </text>
    </comment>
    <comment ref="B9" authorId="0" shapeId="0" xr:uid="{47917FC8-10FA-4EEA-99AD-3FB83DD248DF}">
      <text>
        <r>
          <rPr>
            <b/>
            <sz val="9"/>
            <color indexed="81"/>
            <rFont val="Tahoma"/>
            <family val="2"/>
          </rPr>
          <t>Trade Density</t>
        </r>
      </text>
    </comment>
    <comment ref="B10" authorId="0" shapeId="0" xr:uid="{26A6C1A5-1556-43CF-8577-9E13D9B6AD26}">
      <text>
        <r>
          <rPr>
            <b/>
            <sz val="9"/>
            <color indexed="81"/>
            <rFont val="Tahoma"/>
            <family val="2"/>
          </rPr>
          <t>&lt;&lt;Not a Datappraise Field&gt;&gt;</t>
        </r>
      </text>
    </comment>
    <comment ref="B11" authorId="0" shapeId="0" xr:uid="{492F86BB-2384-4C34-8903-8FF38532F528}">
      <text>
        <r>
          <rPr>
            <b/>
            <sz val="9"/>
            <color indexed="81"/>
            <rFont val="Tahoma"/>
            <family val="2"/>
          </rPr>
          <t>Demo Prior Pop</t>
        </r>
      </text>
    </comment>
    <comment ref="B12" authorId="0" shapeId="0" xr:uid="{651420C7-1ADD-408A-9332-FF19D7AD77D2}">
      <text>
        <r>
          <rPr>
            <b/>
            <sz val="9"/>
            <color indexed="81"/>
            <rFont val="Tahoma"/>
            <family val="2"/>
          </rPr>
          <t>Demo Latest Pop</t>
        </r>
      </text>
    </comment>
    <comment ref="B13" authorId="0" shapeId="0" xr:uid="{8B368818-97C9-4C02-B6E4-86A177804085}">
      <text>
        <r>
          <rPr>
            <b/>
            <sz val="9"/>
            <color indexed="81"/>
            <rFont val="Tahoma"/>
            <family val="2"/>
          </rPr>
          <t>Demo Current Pop</t>
        </r>
      </text>
    </comment>
    <comment ref="B14" authorId="0" shapeId="0" xr:uid="{94CE01B0-6EAB-40F2-84C7-52BB351505BB}">
      <text>
        <r>
          <rPr>
            <b/>
            <sz val="9"/>
            <color indexed="81"/>
            <rFont val="Tahoma"/>
            <family val="2"/>
          </rPr>
          <t>Demo Projected Pop</t>
        </r>
      </text>
    </comment>
    <comment ref="B15" authorId="0" shapeId="0" xr:uid="{492C7945-760E-451D-9532-4DD71F897D83}">
      <text>
        <r>
          <rPr>
            <b/>
            <sz val="9"/>
            <color indexed="81"/>
            <rFont val="Tahoma"/>
            <family val="2"/>
          </rPr>
          <t>&lt;&lt;Not a Datappraise Field&gt;&gt;</t>
        </r>
      </text>
    </comment>
    <comment ref="B16" authorId="0" shapeId="0" xr:uid="{09AE3089-8D75-46D3-B936-18F832623413}">
      <text>
        <r>
          <rPr>
            <b/>
            <sz val="9"/>
            <color indexed="81"/>
            <rFont val="Tahoma"/>
            <family val="2"/>
          </rPr>
          <t>&lt;&lt;Not a Datappraise Field&gt;&gt;</t>
        </r>
      </text>
    </comment>
    <comment ref="B17" authorId="0" shapeId="0" xr:uid="{7D04E6A8-31B8-4E8C-9459-1C33545C4A7B}">
      <text>
        <r>
          <rPr>
            <b/>
            <sz val="9"/>
            <color indexed="81"/>
            <rFont val="Tahoma"/>
            <family val="2"/>
          </rPr>
          <t>&lt;&lt;Not a Datappraise Field&gt;&gt;</t>
        </r>
      </text>
    </comment>
    <comment ref="B18" authorId="0" shapeId="0" xr:uid="{9B691EEF-48DB-47A9-95F4-2998AEDD8E3C}">
      <text>
        <r>
          <rPr>
            <b/>
            <sz val="9"/>
            <color indexed="81"/>
            <rFont val="Tahoma"/>
            <family val="2"/>
          </rPr>
          <t>&lt;&lt;Not a Datappraise Field&gt;&gt;</t>
        </r>
      </text>
    </comment>
    <comment ref="B19" authorId="0" shapeId="0" xr:uid="{00132B65-C1EC-4962-BD1A-191D9FBFC295}">
      <text>
        <r>
          <rPr>
            <b/>
            <sz val="9"/>
            <color indexed="81"/>
            <rFont val="Tahoma"/>
            <family val="2"/>
          </rPr>
          <t>&lt;&lt;Not a Datappraise Field&gt;&gt;</t>
        </r>
      </text>
    </comment>
    <comment ref="B20" authorId="0" shapeId="0" xr:uid="{9CEF34AC-D25C-4824-8AE1-4271995311E1}">
      <text>
        <r>
          <rPr>
            <b/>
            <sz val="9"/>
            <color indexed="81"/>
            <rFont val="Tahoma"/>
            <family val="2"/>
          </rPr>
          <t>Demo Median Age</t>
        </r>
      </text>
    </comment>
    <comment ref="B21" authorId="0" shapeId="0" xr:uid="{F97634AA-648E-4C9C-962E-1CA20DDCCB79}">
      <text>
        <r>
          <rPr>
            <b/>
            <sz val="9"/>
            <color indexed="81"/>
            <rFont val="Tahoma"/>
            <family val="2"/>
          </rPr>
          <t>Demo Age 0 to 5</t>
        </r>
      </text>
    </comment>
    <comment ref="B22" authorId="0" shapeId="0" xr:uid="{A0CC9AD1-BB88-454F-94B7-D487794FBDC0}">
      <text>
        <r>
          <rPr>
            <b/>
            <sz val="9"/>
            <color indexed="81"/>
            <rFont val="Tahoma"/>
            <family val="2"/>
          </rPr>
          <t>Demo Age 6 to 11</t>
        </r>
      </text>
    </comment>
    <comment ref="B23" authorId="0" shapeId="0" xr:uid="{08A34CC1-3A95-4694-BA0A-6862F256607D}">
      <text>
        <r>
          <rPr>
            <b/>
            <sz val="9"/>
            <color indexed="81"/>
            <rFont val="Tahoma"/>
            <family val="2"/>
          </rPr>
          <t>Demo Age 12 to 17</t>
        </r>
      </text>
    </comment>
    <comment ref="B24" authorId="0" shapeId="0" xr:uid="{3F53D613-7A4E-4FD3-A739-37E6750E6AC9}">
      <text>
        <r>
          <rPr>
            <b/>
            <sz val="9"/>
            <color indexed="81"/>
            <rFont val="Tahoma"/>
            <family val="2"/>
          </rPr>
          <t>Demo Age 18 to 24</t>
        </r>
      </text>
    </comment>
    <comment ref="B25" authorId="0" shapeId="0" xr:uid="{8C39ACD1-EA0B-423E-ABE6-478A28DB7B27}">
      <text>
        <r>
          <rPr>
            <b/>
            <sz val="9"/>
            <color indexed="81"/>
            <rFont val="Tahoma"/>
            <family val="2"/>
          </rPr>
          <t>Demo Age 25 to 34</t>
        </r>
      </text>
    </comment>
    <comment ref="B26" authorId="0" shapeId="0" xr:uid="{AB8F6FF7-48D0-4A7C-B9F4-CB853EA3E90F}">
      <text>
        <r>
          <rPr>
            <b/>
            <sz val="9"/>
            <color indexed="81"/>
            <rFont val="Tahoma"/>
            <family val="2"/>
          </rPr>
          <t>Demo Age 35 to 44</t>
        </r>
      </text>
    </comment>
    <comment ref="B27" authorId="0" shapeId="0" xr:uid="{4E55618B-1EB6-429C-A046-250D7549BC85}">
      <text>
        <r>
          <rPr>
            <b/>
            <sz val="9"/>
            <color indexed="81"/>
            <rFont val="Tahoma"/>
            <family val="2"/>
          </rPr>
          <t>Demo Age 45 to 54</t>
        </r>
      </text>
    </comment>
    <comment ref="B28" authorId="0" shapeId="0" xr:uid="{E86A5DD4-33E9-4BBE-8BD8-B5092BEA4B13}">
      <text>
        <r>
          <rPr>
            <b/>
            <sz val="9"/>
            <color indexed="81"/>
            <rFont val="Tahoma"/>
            <family val="2"/>
          </rPr>
          <t>Demo Age 55 to 64</t>
        </r>
      </text>
    </comment>
    <comment ref="B29" authorId="0" shapeId="0" xr:uid="{1219C845-A9AB-4AE9-B746-862BBE5586EF}">
      <text>
        <r>
          <rPr>
            <b/>
            <sz val="9"/>
            <color indexed="81"/>
            <rFont val="Tahoma"/>
            <family val="2"/>
          </rPr>
          <t>Demo Age 65 to 74</t>
        </r>
      </text>
    </comment>
    <comment ref="B30" authorId="0" shapeId="0" xr:uid="{3D86F8BD-CD95-4194-904D-2812E7FE92F8}">
      <text>
        <r>
          <rPr>
            <b/>
            <sz val="9"/>
            <color indexed="81"/>
            <rFont val="Tahoma"/>
            <family val="2"/>
          </rPr>
          <t>Demo Age 75 to 84</t>
        </r>
      </text>
    </comment>
    <comment ref="B31" authorId="0" shapeId="0" xr:uid="{A9273FA7-B4D9-4E8A-93F2-A2EBF3C6C22A}">
      <text>
        <r>
          <rPr>
            <b/>
            <sz val="9"/>
            <color indexed="81"/>
            <rFont val="Tahoma"/>
            <family val="2"/>
          </rPr>
          <t>Demo Age 85 plus</t>
        </r>
      </text>
    </comment>
    <comment ref="B32" authorId="0" shapeId="0" xr:uid="{26464473-7416-4AC4-BEE4-E5B042C7B0E0}">
      <text>
        <r>
          <rPr>
            <b/>
            <sz val="9"/>
            <color indexed="81"/>
            <rFont val="Tahoma"/>
            <family val="2"/>
          </rPr>
          <t>&lt;&lt;Not a Datappraise Field&gt;&gt;</t>
        </r>
      </text>
    </comment>
    <comment ref="B33" authorId="0" shapeId="0" xr:uid="{2004CA2D-2E24-46EF-9B7F-48F7E813A747}">
      <text>
        <r>
          <rPr>
            <b/>
            <sz val="9"/>
            <color indexed="81"/>
            <rFont val="Tahoma"/>
            <family val="2"/>
          </rPr>
          <t>Demo Households Prior</t>
        </r>
      </text>
    </comment>
    <comment ref="B34" authorId="0" shapeId="0" xr:uid="{AA791A0F-5109-48B9-957D-E50A6A7B9164}">
      <text>
        <r>
          <rPr>
            <b/>
            <sz val="9"/>
            <color indexed="81"/>
            <rFont val="Tahoma"/>
            <family val="2"/>
          </rPr>
          <t>Demo Households Latest</t>
        </r>
      </text>
    </comment>
    <comment ref="B35" authorId="0" shapeId="0" xr:uid="{4C044890-9B71-4A89-B212-101A9D1843E0}">
      <text>
        <r>
          <rPr>
            <b/>
            <sz val="9"/>
            <color indexed="81"/>
            <rFont val="Tahoma"/>
            <family val="2"/>
          </rPr>
          <t>Demo Households Current</t>
        </r>
      </text>
    </comment>
    <comment ref="B36" authorId="0" shapeId="0" xr:uid="{6A56E9B1-943E-4270-ACB5-5BBE0F9733BD}">
      <text>
        <r>
          <rPr>
            <b/>
            <sz val="9"/>
            <color indexed="81"/>
            <rFont val="Tahoma"/>
            <family val="2"/>
          </rPr>
          <t>Demo Households Pop Projected</t>
        </r>
      </text>
    </comment>
    <comment ref="B37" authorId="0" shapeId="0" xr:uid="{DA5CFFFC-4FC0-4CF3-9E1E-D15EF5B83C07}">
      <text>
        <r>
          <rPr>
            <b/>
            <sz val="9"/>
            <color indexed="81"/>
            <rFont val="Tahoma"/>
            <family val="2"/>
          </rPr>
          <t>&lt;&lt;Not a Datappraise Field&gt;&gt;</t>
        </r>
      </text>
    </comment>
    <comment ref="B38" authorId="0" shapeId="0" xr:uid="{865EEA85-75B6-4378-96F0-B5ED6FF0CE00}">
      <text>
        <r>
          <rPr>
            <b/>
            <sz val="9"/>
            <color indexed="81"/>
            <rFont val="Tahoma"/>
            <family val="2"/>
          </rPr>
          <t>&lt;&lt;Not a Datappraise Field&gt;&gt;</t>
        </r>
      </text>
    </comment>
    <comment ref="B39" authorId="0" shapeId="0" xr:uid="{EB8F3130-60BD-428B-9C14-C93060EA6B92}">
      <text>
        <r>
          <rPr>
            <b/>
            <sz val="9"/>
            <color indexed="81"/>
            <rFont val="Tahoma"/>
            <family val="2"/>
          </rPr>
          <t>&lt;&lt;Not a Datappraise Field&gt;&gt;</t>
        </r>
      </text>
    </comment>
    <comment ref="B40" authorId="0" shapeId="0" xr:uid="{2D442EC0-B831-4C27-911B-36031FFCCA5B}">
      <text>
        <r>
          <rPr>
            <b/>
            <sz val="9"/>
            <color indexed="81"/>
            <rFont val="Tahoma"/>
            <family val="2"/>
          </rPr>
          <t>&lt;&lt;Not a Datappraise Field&gt;&gt;</t>
        </r>
      </text>
    </comment>
    <comment ref="B41" authorId="0" shapeId="0" xr:uid="{8EC062FC-4891-4B80-A14E-73F639042A68}">
      <text>
        <r>
          <rPr>
            <b/>
            <sz val="9"/>
            <color indexed="81"/>
            <rFont val="Tahoma"/>
            <family val="2"/>
          </rPr>
          <t>Demo Avg Household Size</t>
        </r>
      </text>
    </comment>
    <comment ref="B42" authorId="0" shapeId="0" xr:uid="{B5D86DB4-E9FE-4193-8F14-E95ECD3D7DDB}">
      <text>
        <r>
          <rPr>
            <b/>
            <sz val="9"/>
            <color indexed="81"/>
            <rFont val="Tahoma"/>
            <family val="2"/>
          </rPr>
          <t>&lt;&lt;Not a Datappraise Field&gt;&gt;</t>
        </r>
      </text>
    </comment>
    <comment ref="B43" authorId="0" shapeId="0" xr:uid="{461174D7-9E3E-463E-9F0A-74076BE36E2D}">
      <text>
        <r>
          <rPr>
            <b/>
            <sz val="9"/>
            <color indexed="81"/>
            <rFont val="Tahoma"/>
            <family val="2"/>
          </rPr>
          <t>Demo Median Home Value</t>
        </r>
      </text>
    </comment>
    <comment ref="B44" authorId="0" shapeId="0" xr:uid="{D185BBAF-1C8A-4771-8DDA-70268F255330}">
      <text>
        <r>
          <rPr>
            <b/>
            <sz val="9"/>
            <color indexed="81"/>
            <rFont val="Tahoma"/>
            <family val="2"/>
          </rPr>
          <t>Demo Median Year Built</t>
        </r>
      </text>
    </comment>
    <comment ref="B45" authorId="0" shapeId="0" xr:uid="{E5341E3D-4B39-4F9F-A17A-992475B1A574}">
      <text>
        <r>
          <rPr>
            <b/>
            <sz val="9"/>
            <color indexed="81"/>
            <rFont val="Tahoma"/>
            <family val="2"/>
          </rPr>
          <t>Demo Total Housing Units</t>
        </r>
      </text>
    </comment>
    <comment ref="B46" authorId="0" shapeId="0" xr:uid="{B8ED6D27-7D79-460E-B78C-689EADB27036}">
      <text>
        <r>
          <rPr>
            <b/>
            <sz val="9"/>
            <color indexed="81"/>
            <rFont val="Tahoma"/>
            <family val="2"/>
          </rPr>
          <t>Demo Owner-Occupied Housing %</t>
        </r>
      </text>
    </comment>
    <comment ref="B47" authorId="0" shapeId="0" xr:uid="{0987318B-5F2C-48B6-B404-07155DF286C6}">
      <text>
        <r>
          <rPr>
            <b/>
            <sz val="9"/>
            <color indexed="81"/>
            <rFont val="Tahoma"/>
            <family val="2"/>
          </rPr>
          <t>Demo Renter-Occupied Housing %</t>
        </r>
      </text>
    </comment>
    <comment ref="B48" authorId="0" shapeId="0" xr:uid="{05B76121-2E04-443C-BE11-7FDBFBEE7196}">
      <text>
        <r>
          <rPr>
            <b/>
            <sz val="9"/>
            <color indexed="81"/>
            <rFont val="Tahoma"/>
            <family val="2"/>
          </rPr>
          <t>Demo Vacant Housing %</t>
        </r>
      </text>
    </comment>
    <comment ref="B49" authorId="0" shapeId="0" xr:uid="{9BE5B155-DFE9-4F48-96C8-FCE0236E1F0C}">
      <text>
        <r>
          <rPr>
            <b/>
            <sz val="9"/>
            <color indexed="81"/>
            <rFont val="Tahoma"/>
            <family val="2"/>
          </rPr>
          <t>&lt;&lt;Not a Datappraise Field&gt;&gt;</t>
        </r>
      </text>
    </comment>
    <comment ref="B50" authorId="0" shapeId="0" xr:uid="{62493C4F-79F8-4808-A259-3F1F5A171FEB}">
      <text>
        <r>
          <rPr>
            <b/>
            <sz val="9"/>
            <color indexed="81"/>
            <rFont val="Tahoma"/>
            <family val="2"/>
          </rPr>
          <t>TotalEstablishments</t>
        </r>
      </text>
    </comment>
    <comment ref="B51" authorId="0" shapeId="0" xr:uid="{4864C290-0A8F-4D7F-B960-8C5BDAA65694}">
      <text>
        <r>
          <rPr>
            <b/>
            <sz val="9"/>
            <color indexed="81"/>
            <rFont val="Tahoma"/>
            <family val="2"/>
          </rPr>
          <t>TotalEmployees</t>
        </r>
      </text>
    </comment>
    <comment ref="B52" authorId="0" shapeId="0" xr:uid="{157EC056-251E-4A8E-BFD3-6376987E2FA9}">
      <text>
        <r>
          <rPr>
            <b/>
            <sz val="9"/>
            <color indexed="81"/>
            <rFont val="Tahoma"/>
            <family val="2"/>
          </rPr>
          <t>Demo Avg Commute</t>
        </r>
      </text>
    </comment>
    <comment ref="B53" authorId="0" shapeId="0" xr:uid="{58298F92-5E5C-4A1E-8075-FAA84983456F}">
      <text>
        <r>
          <rPr>
            <b/>
            <sz val="9"/>
            <color indexed="81"/>
            <rFont val="Tahoma"/>
            <family val="2"/>
          </rPr>
          <t>Demo % College Grads</t>
        </r>
      </text>
    </comment>
    <comment ref="B54" authorId="0" shapeId="0" xr:uid="{DB0BB9C4-B168-4892-8311-990F9BA41947}">
      <text>
        <r>
          <rPr>
            <b/>
            <sz val="9"/>
            <color indexed="81"/>
            <rFont val="Tahoma"/>
            <family val="2"/>
          </rPr>
          <t>&lt;&lt;Not a Datappraise Field&gt;&gt;</t>
        </r>
      </text>
    </comment>
    <comment ref="B55" authorId="0" shapeId="0" xr:uid="{978CC7BD-3A39-475C-A797-1F35AEB170FC}">
      <text>
        <r>
          <rPr>
            <b/>
            <sz val="9"/>
            <color indexed="81"/>
            <rFont val="Tahoma"/>
            <family val="2"/>
          </rPr>
          <t>Demo Median Household Inc</t>
        </r>
      </text>
    </comment>
    <comment ref="B56" authorId="0" shapeId="0" xr:uid="{8D09554E-854D-4A70-ACD7-36735F00C43D}">
      <text>
        <r>
          <rPr>
            <b/>
            <sz val="9"/>
            <color indexed="81"/>
            <rFont val="Tahoma"/>
            <family val="2"/>
          </rPr>
          <t>Average Household Income</t>
        </r>
      </text>
    </comment>
    <comment ref="B57" authorId="0" shapeId="0" xr:uid="{9FB853F1-BBFF-4C36-8054-6B8E9E47E505}">
      <text>
        <r>
          <rPr>
            <b/>
            <sz val="9"/>
            <color indexed="81"/>
            <rFont val="Tahoma"/>
            <family val="2"/>
          </rPr>
          <t>&lt;&lt;Not a Datappraise Field&gt;&gt;</t>
        </r>
      </text>
    </comment>
    <comment ref="B58" authorId="0" shapeId="0" xr:uid="{7C9EC4A2-DF0C-4003-B9A2-2F92A34C96DC}">
      <text>
        <r>
          <rPr>
            <b/>
            <sz val="9"/>
            <color indexed="81"/>
            <rFont val="Tahoma"/>
            <family val="2"/>
          </rPr>
          <t>Below $15000</t>
        </r>
      </text>
    </comment>
    <comment ref="B59" authorId="0" shapeId="0" xr:uid="{5265DCFA-A2D0-4DE8-B9AC-4075CAD4BCD7}">
      <text>
        <r>
          <rPr>
            <b/>
            <sz val="9"/>
            <color indexed="81"/>
            <rFont val="Tahoma"/>
            <family val="2"/>
          </rPr>
          <t>$15000 To $24999</t>
        </r>
      </text>
    </comment>
    <comment ref="B60" authorId="0" shapeId="0" xr:uid="{A9BAF379-C3F3-4A4F-AA6D-7538DF6E0E7D}">
      <text>
        <r>
          <rPr>
            <b/>
            <sz val="9"/>
            <color indexed="81"/>
            <rFont val="Tahoma"/>
            <family val="2"/>
          </rPr>
          <t>$25000 To $34000</t>
        </r>
      </text>
    </comment>
    <comment ref="B61" authorId="0" shapeId="0" xr:uid="{43AD0367-8B66-4AE9-9630-E078FEA22F2D}">
      <text>
        <r>
          <rPr>
            <b/>
            <sz val="9"/>
            <color indexed="81"/>
            <rFont val="Tahoma"/>
            <family val="2"/>
          </rPr>
          <t>$35000 To $49000</t>
        </r>
      </text>
    </comment>
    <comment ref="B62" authorId="0" shapeId="0" xr:uid="{6BF38129-1005-41D8-9E77-6E89F329E2E8}">
      <text>
        <r>
          <rPr>
            <b/>
            <sz val="9"/>
            <color indexed="81"/>
            <rFont val="Tahoma"/>
            <family val="2"/>
          </rPr>
          <t>$50000 To $74999</t>
        </r>
      </text>
    </comment>
    <comment ref="B63" authorId="0" shapeId="0" xr:uid="{ABF69237-5231-462D-92B8-522311A30E9B}">
      <text>
        <r>
          <rPr>
            <b/>
            <sz val="9"/>
            <color indexed="81"/>
            <rFont val="Tahoma"/>
            <family val="2"/>
          </rPr>
          <t>$75000 To $99999</t>
        </r>
      </text>
    </comment>
    <comment ref="B64" authorId="0" shapeId="0" xr:uid="{A20655AF-2F56-4EEA-9929-98A583579DB1}">
      <text>
        <r>
          <rPr>
            <b/>
            <sz val="9"/>
            <color indexed="81"/>
            <rFont val="Tahoma"/>
            <family val="2"/>
          </rPr>
          <t>$100000 To $125000</t>
        </r>
      </text>
    </comment>
    <comment ref="B65" authorId="0" shapeId="0" xr:uid="{267CF584-E399-428F-A955-A0BED6A64DD3}">
      <text>
        <r>
          <rPr>
            <b/>
            <sz val="9"/>
            <color indexed="81"/>
            <rFont val="Tahoma"/>
            <family val="2"/>
          </rPr>
          <t>$125000 To $150000</t>
        </r>
      </text>
    </comment>
    <comment ref="B66" authorId="0" shapeId="0" xr:uid="{76AADDCA-860D-4E2C-8DD2-91EB1D3666DA}">
      <text>
        <r>
          <rPr>
            <b/>
            <sz val="9"/>
            <color indexed="81"/>
            <rFont val="Tahoma"/>
            <family val="2"/>
          </rPr>
          <t>$150000 To $200000</t>
        </r>
      </text>
    </comment>
    <comment ref="B67" authorId="0" shapeId="0" xr:uid="{D221A979-0A68-4800-A226-5237497E3EFB}">
      <text>
        <r>
          <rPr>
            <b/>
            <sz val="9"/>
            <color indexed="81"/>
            <rFont val="Tahoma"/>
            <family val="2"/>
          </rPr>
          <t>$200000 Plus</t>
        </r>
      </text>
    </comment>
    <comment ref="B68" authorId="0" shapeId="0" xr:uid="{EC9AF34C-3E43-4DDA-8A01-87D1EA8C64F5}">
      <text>
        <r>
          <rPr>
            <b/>
            <sz val="9"/>
            <color indexed="81"/>
            <rFont val="Tahoma"/>
            <family val="2"/>
          </rPr>
          <t>Demo Avg Spending/Household</t>
        </r>
      </text>
    </comment>
    <comment ref="B69" authorId="0" shapeId="0" xr:uid="{052E2FC5-BFB7-4DDE-87A9-FDC42BFF962E}">
      <text>
        <r>
          <rPr>
            <b/>
            <sz val="9"/>
            <color indexed="81"/>
            <rFont val="Tahoma"/>
            <family val="2"/>
          </rPr>
          <t>Demo Per Capita Inc</t>
        </r>
      </text>
    </comment>
    <comment ref="B70" authorId="0" shapeId="0" xr:uid="{91FA122C-A698-4229-BE72-46064606A862}">
      <text>
        <r>
          <rPr>
            <b/>
            <sz val="9"/>
            <color indexed="81"/>
            <rFont val="Tahoma"/>
            <family val="2"/>
          </rPr>
          <t>&lt;&lt;Not a Datappraise Field&gt;&gt;</t>
        </r>
      </text>
    </comment>
    <comment ref="B71" authorId="0" shapeId="0" xr:uid="{5A72D8C9-4F8D-4CD1-8945-E209B2BB7420}">
      <text>
        <r>
          <rPr>
            <b/>
            <sz val="9"/>
            <color indexed="81"/>
            <rFont val="Tahoma"/>
            <family val="2"/>
          </rPr>
          <t>Building And Garden Materials</t>
        </r>
      </text>
    </comment>
    <comment ref="B72" authorId="0" shapeId="0" xr:uid="{A0326F31-A218-48F1-AF61-4CC36C895486}">
      <text>
        <r>
          <rPr>
            <b/>
            <sz val="9"/>
            <color indexed="81"/>
            <rFont val="Tahoma"/>
            <family val="2"/>
          </rPr>
          <t>Clothing And Accessories</t>
        </r>
      </text>
    </comment>
    <comment ref="B73" authorId="0" shapeId="0" xr:uid="{4DE2260B-DAD5-47C1-AF91-774B66E92662}">
      <text>
        <r>
          <rPr>
            <b/>
            <sz val="9"/>
            <color indexed="81"/>
            <rFont val="Tahoma"/>
            <family val="2"/>
          </rPr>
          <t>Electrical And Appliances</t>
        </r>
      </text>
    </comment>
    <comment ref="B74" authorId="0" shapeId="0" xr:uid="{BBCCFAF1-25FD-4C49-9A3D-CC02D53FDB81}">
      <text>
        <r>
          <rPr>
            <b/>
            <sz val="9"/>
            <color indexed="81"/>
            <rFont val="Tahoma"/>
            <family val="2"/>
          </rPr>
          <t>Food And Beverage</t>
        </r>
      </text>
    </comment>
    <comment ref="B75" authorId="0" shapeId="0" xr:uid="{364E3FF5-B178-4865-8FF4-879FC77671C1}">
      <text>
        <r>
          <rPr>
            <b/>
            <sz val="9"/>
            <color indexed="81"/>
            <rFont val="Tahoma"/>
            <family val="2"/>
          </rPr>
          <t>Food Services</t>
        </r>
      </text>
    </comment>
    <comment ref="B76" authorId="0" shapeId="0" xr:uid="{C4A4888C-048A-4A2B-9D77-427AFBFE9027}">
      <text>
        <r>
          <rPr>
            <b/>
            <sz val="9"/>
            <color indexed="81"/>
            <rFont val="Tahoma"/>
            <family val="2"/>
          </rPr>
          <t>Furniture Home Furnishings</t>
        </r>
      </text>
    </comment>
    <comment ref="B77" authorId="0" shapeId="0" xr:uid="{5F5D7638-B960-43A0-860B-B22D63657B3C}">
      <text>
        <r>
          <rPr>
            <b/>
            <sz val="9"/>
            <color indexed="81"/>
            <rFont val="Tahoma"/>
            <family val="2"/>
          </rPr>
          <t>Gasoline Stations</t>
        </r>
      </text>
    </comment>
    <comment ref="B78" authorId="0" shapeId="0" xr:uid="{157B3214-9AD3-4CF7-A6F8-439B2FFAB9FF}">
      <text>
        <r>
          <rPr>
            <b/>
            <sz val="9"/>
            <color indexed="81"/>
            <rFont val="Tahoma"/>
            <family val="2"/>
          </rPr>
          <t>General Merchandise</t>
        </r>
      </text>
    </comment>
    <comment ref="B79" authorId="0" shapeId="0" xr:uid="{F65688F6-EBCB-45C7-8436-1EB5C23AE374}">
      <text>
        <r>
          <rPr>
            <b/>
            <sz val="9"/>
            <color indexed="81"/>
            <rFont val="Tahoma"/>
            <family val="2"/>
          </rPr>
          <t>Health And Personal</t>
        </r>
      </text>
    </comment>
    <comment ref="B80" authorId="0" shapeId="0" xr:uid="{0BDA1CFF-5B72-4E6F-8227-58B4BE0B8D71}">
      <text>
        <r>
          <rPr>
            <b/>
            <sz val="9"/>
            <color indexed="81"/>
            <rFont val="Tahoma"/>
            <family val="2"/>
          </rPr>
          <t>Miscellaneous</t>
        </r>
      </text>
    </comment>
    <comment ref="B81" authorId="0" shapeId="0" xr:uid="{5E10369D-AE1D-4B9D-BF3D-5D893C183F06}">
      <text>
        <r>
          <rPr>
            <b/>
            <sz val="9"/>
            <color indexed="81"/>
            <rFont val="Tahoma"/>
            <family val="2"/>
          </rPr>
          <t>Motor Vehicles</t>
        </r>
      </text>
    </comment>
    <comment ref="B82" authorId="0" shapeId="0" xr:uid="{90947197-B233-4910-9362-7B0CC8ABFF13}">
      <text>
        <r>
          <rPr>
            <b/>
            <sz val="9"/>
            <color indexed="81"/>
            <rFont val="Tahoma"/>
            <family val="2"/>
          </rPr>
          <t>Non Store Purchases</t>
        </r>
      </text>
    </comment>
    <comment ref="B83" authorId="0" shapeId="0" xr:uid="{17EBAA29-5AC7-47C7-946D-3D88770F762D}">
      <text>
        <r>
          <rPr>
            <b/>
            <sz val="9"/>
            <color indexed="81"/>
            <rFont val="Tahoma"/>
            <family val="2"/>
          </rPr>
          <t>Sporting Goods</t>
        </r>
      </text>
    </comment>
    <comment ref="B84" authorId="0" shapeId="0" xr:uid="{4681E27C-DB8B-46AA-A357-01801FD1C217}">
      <text>
        <r>
          <rPr>
            <b/>
            <sz val="9"/>
            <color indexed="81"/>
            <rFont val="Tahoma"/>
            <family val="2"/>
          </rPr>
          <t>&lt;&lt;Lower Left Corner&gt;&gt;</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Paul Gilliam</author>
  </authors>
  <commentList>
    <comment ref="A1" authorId="0" shapeId="0" xr:uid="{C032FFF0-972F-4318-8410-8DBE471E9325}">
      <text>
        <r>
          <rPr>
            <b/>
            <sz val="9"/>
            <color indexed="81"/>
            <rFont val="Tahoma"/>
            <family val="2"/>
          </rPr>
          <t>&lt;&lt;Not a Datappraise Worksheet&gt;&gt;</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pgilliam@valbridge.com</author>
  </authors>
  <commentList>
    <comment ref="A1" authorId="0" shapeId="0" xr:uid="{00000000-0006-0000-4800-000001000000}">
      <text>
        <r>
          <rPr>
            <b/>
            <sz val="9"/>
            <color indexed="81"/>
            <rFont val="Tahoma"/>
            <family val="2"/>
          </rPr>
          <t>&lt;&lt;Not a Datappraise Worksheet&gt;&gt;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<sst xmlns="http://schemas.openxmlformats.org/spreadsheetml/2006/main" count="35740" uniqueCount="20123">
  <si>
    <t>Property Name</t>
  </si>
  <si>
    <t>Value Indications</t>
  </si>
  <si>
    <t>Approach to Value</t>
  </si>
  <si>
    <t>N/A</t>
  </si>
  <si>
    <t>Value Conclusions</t>
  </si>
  <si>
    <t>Property ID</t>
  </si>
  <si>
    <t>Property Type</t>
  </si>
  <si>
    <t>Property Sub Type</t>
  </si>
  <si>
    <t>Address</t>
  </si>
  <si>
    <t>City/Municipality</t>
  </si>
  <si>
    <t>Year Built</t>
  </si>
  <si>
    <t>GBA</t>
  </si>
  <si>
    <t>Gross Leasable Area (Shopping Center only)</t>
  </si>
  <si>
    <t>No. of Units</t>
  </si>
  <si>
    <t>No. of Buildings</t>
  </si>
  <si>
    <t>Report Date</t>
  </si>
  <si>
    <t>Date Inspected</t>
  </si>
  <si>
    <t>Effective Age</t>
  </si>
  <si>
    <t>Total Economic Life</t>
  </si>
  <si>
    <t>Remaining Economic Life</t>
  </si>
  <si>
    <t>NRA</t>
  </si>
  <si>
    <t>State</t>
  </si>
  <si>
    <t>Zip Code</t>
  </si>
  <si>
    <t>Administrative/Client Data</t>
  </si>
  <si>
    <t>Internal File Number</t>
  </si>
  <si>
    <t>Intended Use</t>
  </si>
  <si>
    <t>Intended User</t>
  </si>
  <si>
    <t>Client Company Name</t>
  </si>
  <si>
    <t>Client Contact Name</t>
  </si>
  <si>
    <t>Client Contact Phone #</t>
  </si>
  <si>
    <t>Property Contact Name</t>
  </si>
  <si>
    <t>Property Contact Phone #</t>
  </si>
  <si>
    <t>Client Contact Email</t>
  </si>
  <si>
    <t>Property Contact Email</t>
  </si>
  <si>
    <t>Ownership Name</t>
  </si>
  <si>
    <t>Report Type</t>
  </si>
  <si>
    <t>Value Perspective</t>
  </si>
  <si>
    <t>Land</t>
  </si>
  <si>
    <t>Total Land Area</t>
  </si>
  <si>
    <t>Zoom Setting</t>
  </si>
  <si>
    <t>Appraiser - Assigned</t>
  </si>
  <si>
    <t>Land Only?</t>
  </si>
  <si>
    <t>Cost Approach?</t>
  </si>
  <si>
    <t>Prior Sale Price</t>
  </si>
  <si>
    <t>PSF</t>
  </si>
  <si>
    <t>Assessed Value</t>
  </si>
  <si>
    <t>% Change:</t>
  </si>
  <si>
    <t>Actual</t>
  </si>
  <si>
    <t>Appraiser's Estimate</t>
  </si>
  <si>
    <t>Tax Expense</t>
  </si>
  <si>
    <t>Per Square Foot:</t>
  </si>
  <si>
    <t>Total:</t>
  </si>
  <si>
    <t>Land:</t>
  </si>
  <si>
    <t>Improvements:</t>
  </si>
  <si>
    <t>Office</t>
  </si>
  <si>
    <t>Appraiser - Review 2</t>
  </si>
  <si>
    <t>Appraiser - Review 1</t>
  </si>
  <si>
    <t>Valuation Data</t>
  </si>
  <si>
    <t>Value 1</t>
  </si>
  <si>
    <t>Date of Value</t>
  </si>
  <si>
    <t>Current</t>
  </si>
  <si>
    <t>Value Type</t>
  </si>
  <si>
    <t>Value Premise</t>
  </si>
  <si>
    <t>Value 2</t>
  </si>
  <si>
    <t>Value 3</t>
  </si>
  <si>
    <t>Income Approach?</t>
  </si>
  <si>
    <t>End of Import Field</t>
  </si>
  <si>
    <t>Yes</t>
  </si>
  <si>
    <t>Surface Parking Spaces</t>
  </si>
  <si>
    <t>Garage Parkings Spaces</t>
  </si>
  <si>
    <t>Total Parking Spaces</t>
  </si>
  <si>
    <t>Subject Physical Data</t>
  </si>
  <si>
    <t>Population</t>
  </si>
  <si>
    <t>Estimated</t>
  </si>
  <si>
    <t>Area</t>
  </si>
  <si>
    <t>MSA</t>
  </si>
  <si>
    <t>Zoning</t>
  </si>
  <si>
    <t>Building Condition</t>
  </si>
  <si>
    <t>Highest &amp; Best Use - As Vacant</t>
  </si>
  <si>
    <t>Highest &amp; Best Use - As Improved</t>
  </si>
  <si>
    <t>Total Taxes:</t>
  </si>
  <si>
    <t>Special Assessments:</t>
  </si>
  <si>
    <t>Millage Rate</t>
  </si>
  <si>
    <t>No</t>
  </si>
  <si>
    <t>Year 1</t>
  </si>
  <si>
    <t>Tax Rate</t>
  </si>
  <si>
    <t>Automated Text</t>
  </si>
  <si>
    <t>Preliminary</t>
  </si>
  <si>
    <t>Land Units</t>
  </si>
  <si>
    <t>Other</t>
  </si>
  <si>
    <t>Unemployment Rates</t>
  </si>
  <si>
    <t>Construction</t>
  </si>
  <si>
    <t>Utilities</t>
  </si>
  <si>
    <t>Total</t>
  </si>
  <si>
    <t>Comp.</t>
  </si>
  <si>
    <t>Location</t>
  </si>
  <si>
    <t>Size</t>
  </si>
  <si>
    <t>Shape/Depth</t>
  </si>
  <si>
    <t>Corner Exposure</t>
  </si>
  <si>
    <t>Topography</t>
  </si>
  <si>
    <t>Floodplain</t>
  </si>
  <si>
    <t>Frontage</t>
  </si>
  <si>
    <t>Traffic Counts</t>
  </si>
  <si>
    <t>User Defined 1</t>
  </si>
  <si>
    <t>User Defined 2</t>
  </si>
  <si>
    <t>Property</t>
  </si>
  <si>
    <t>Name</t>
  </si>
  <si>
    <t>Land Size</t>
  </si>
  <si>
    <t>(Acres)</t>
  </si>
  <si>
    <t>Building</t>
  </si>
  <si>
    <t>Year</t>
  </si>
  <si>
    <t>Built</t>
  </si>
  <si>
    <t>Value</t>
  </si>
  <si>
    <t>No.</t>
  </si>
  <si>
    <t>Tax Comparables</t>
  </si>
  <si>
    <t>Tax</t>
  </si>
  <si>
    <t>Subject</t>
  </si>
  <si>
    <t>Median</t>
  </si>
  <si>
    <t>L-to-B</t>
  </si>
  <si>
    <t>Ratio</t>
  </si>
  <si>
    <t>Report Section</t>
  </si>
  <si>
    <t>This Page Controls the Selection Criteria for the Various Dropdown Menus throughout the Valbridge Template.  Modifying this page could render the template useless.  Strong Caution is Advised.</t>
  </si>
  <si>
    <t>Date</t>
  </si>
  <si>
    <t>of Sale</t>
  </si>
  <si>
    <t>Per</t>
  </si>
  <si>
    <t>Acre</t>
  </si>
  <si>
    <t>ID</t>
  </si>
  <si>
    <t>Sale Price</t>
  </si>
  <si>
    <t>Adjusted</t>
  </si>
  <si>
    <t>Sq. Ft.</t>
  </si>
  <si>
    <t>Absorption</t>
  </si>
  <si>
    <t>Deliveries</t>
  </si>
  <si>
    <t>Rental Rate</t>
  </si>
  <si>
    <t>CoStar Column 1</t>
  </si>
  <si>
    <t>Costar Column 1 Header</t>
  </si>
  <si>
    <t>Number</t>
  </si>
  <si>
    <t>Buildings</t>
  </si>
  <si>
    <t>CoStar Column 2</t>
  </si>
  <si>
    <t>Direct</t>
  </si>
  <si>
    <t>Vacant</t>
  </si>
  <si>
    <t>Square Feet</t>
  </si>
  <si>
    <t>Percent</t>
  </si>
  <si>
    <t>Occupied</t>
  </si>
  <si>
    <t>Leases</t>
  </si>
  <si>
    <t>Delivered</t>
  </si>
  <si>
    <t>Signed</t>
  </si>
  <si>
    <t>Costar Column 2 Header</t>
  </si>
  <si>
    <t>CoStar Column 5</t>
  </si>
  <si>
    <t>Costar Column 5 Header</t>
  </si>
  <si>
    <t>CoStar Column 4</t>
  </si>
  <si>
    <t>Costar Column 4 Header</t>
  </si>
  <si>
    <t>CoStar Column 3</t>
  </si>
  <si>
    <t>Costar Column 3 Header</t>
  </si>
  <si>
    <t>Source:  CoStar Group, Inc.</t>
  </si>
  <si>
    <t>Proposed</t>
  </si>
  <si>
    <t>Use</t>
  </si>
  <si>
    <t>Land Sales Summary</t>
  </si>
  <si>
    <t>Land Adjustment Type</t>
  </si>
  <si>
    <t>(Leave Blank if None)</t>
  </si>
  <si>
    <t>Date of Sale</t>
  </si>
  <si>
    <t>Acres</t>
  </si>
  <si>
    <t>Transactional Adjustments</t>
  </si>
  <si>
    <t>Market Conditions Adjustments</t>
  </si>
  <si>
    <t>Physical Adjustments</t>
  </si>
  <si>
    <t>Property Rights Conveyed</t>
  </si>
  <si>
    <t>Financing Terms</t>
  </si>
  <si>
    <t>Enter % Adj.</t>
  </si>
  <si>
    <t>Enter $ Adj.</t>
  </si>
  <si>
    <t>Land Display Size Units</t>
  </si>
  <si>
    <t>$ per Unit</t>
  </si>
  <si>
    <t>Qualitative</t>
  </si>
  <si>
    <t>Elapsed Time from Date of Value</t>
  </si>
  <si>
    <t>Market Trend Through</t>
  </si>
  <si>
    <t>Subsequent Trend Ending</t>
  </si>
  <si>
    <t>Adjustment</t>
  </si>
  <si>
    <t>Typical</t>
  </si>
  <si>
    <t>x</t>
  </si>
  <si>
    <t>=</t>
  </si>
  <si>
    <t>:</t>
  </si>
  <si>
    <t>Less Demolition Costs</t>
  </si>
  <si>
    <t>Less/Plus User Defined Adj. 1</t>
  </si>
  <si>
    <t>Less/Plus User Defined Adj. 3</t>
  </si>
  <si>
    <t>Less/Plus User Defined Adj. 2</t>
  </si>
  <si>
    <t>Gross Building Area</t>
  </si>
  <si>
    <t>Number of Floors</t>
  </si>
  <si>
    <t>Base Cost Adjustments</t>
  </si>
  <si>
    <t>Sprinklers</t>
  </si>
  <si>
    <t>User Defined 3</t>
  </si>
  <si>
    <t>Multipliers</t>
  </si>
  <si>
    <t>Local</t>
  </si>
  <si>
    <t>Perimeter</t>
  </si>
  <si>
    <t>Clear Height</t>
  </si>
  <si>
    <t>User Defined</t>
  </si>
  <si>
    <t>Section</t>
  </si>
  <si>
    <t>Page</t>
  </si>
  <si>
    <t>Type</t>
  </si>
  <si>
    <t>Class</t>
  </si>
  <si>
    <t>Quality</t>
  </si>
  <si>
    <t>Direct Building Cost Inputs</t>
  </si>
  <si>
    <t>Toolbox Options</t>
  </si>
  <si>
    <t>Land Rounding</t>
  </si>
  <si>
    <t>Improved Rounding</t>
  </si>
  <si>
    <t>Imp. SCA Adjustment Grid Units</t>
  </si>
  <si>
    <t>Land SCA Adjustment Grid Units</t>
  </si>
  <si>
    <t>Market Rent Adjustment Grid Units</t>
  </si>
  <si>
    <t>Datappraise Subject Import</t>
  </si>
  <si>
    <t>Rentable Area</t>
  </si>
  <si>
    <t>Cost Approach Schedule</t>
  </si>
  <si>
    <t>Building Identification/Name</t>
  </si>
  <si>
    <t>Net Multiplier</t>
  </si>
  <si>
    <t>All</t>
  </si>
  <si>
    <t>Site Improvements</t>
  </si>
  <si>
    <t>Unit Cost</t>
  </si>
  <si>
    <t>Total Cost</t>
  </si>
  <si>
    <t>User Defined 4</t>
  </si>
  <si>
    <t>User Defined 5</t>
  </si>
  <si>
    <t>Size/Quantity</t>
  </si>
  <si>
    <t>User Defined 6</t>
  </si>
  <si>
    <t>User Defined 7</t>
  </si>
  <si>
    <t>User Defined 8</t>
  </si>
  <si>
    <t>User Defined 9</t>
  </si>
  <si>
    <t>User Defined 10</t>
  </si>
  <si>
    <t>Linear Feet</t>
  </si>
  <si>
    <t>Spaces</t>
  </si>
  <si>
    <t>Whole Number</t>
  </si>
  <si>
    <t>Accrued Depreciation</t>
  </si>
  <si>
    <t>Physical Deterioration</t>
  </si>
  <si>
    <t>Total Physical Deterioration</t>
  </si>
  <si>
    <t>Obsolescence</t>
  </si>
  <si>
    <t>External</t>
  </si>
  <si>
    <t>Functional</t>
  </si>
  <si>
    <t>Total Obsolescence</t>
  </si>
  <si>
    <t>Item</t>
  </si>
  <si>
    <t>Cost New</t>
  </si>
  <si>
    <t>Effective</t>
  </si>
  <si>
    <t>Age</t>
  </si>
  <si>
    <t>Economic</t>
  </si>
  <si>
    <t>Life</t>
  </si>
  <si>
    <t>Depreciation</t>
  </si>
  <si>
    <t>Incurable (short-lived)</t>
  </si>
  <si>
    <t>Cost</t>
  </si>
  <si>
    <t>Replacement Cost New</t>
  </si>
  <si>
    <t>Less: Physical Curable</t>
  </si>
  <si>
    <t>Adjusted Cost New</t>
  </si>
  <si>
    <t>Economic Life</t>
  </si>
  <si>
    <t>Less: Functional Obsolescence</t>
  </si>
  <si>
    <t>x Overall Capitalization Rate</t>
  </si>
  <si>
    <t>Cost Feasible Net Operating Income</t>
  </si>
  <si>
    <t>Stabilized Net Operating Income</t>
  </si>
  <si>
    <t>Income Loss due to External Influences</t>
  </si>
  <si>
    <t>Divided by Overall Capitalization Rate</t>
  </si>
  <si>
    <t>External Obsolescence</t>
  </si>
  <si>
    <t>External Obsolescence Analysis</t>
  </si>
  <si>
    <t>Total Accrued Depreciation</t>
  </si>
  <si>
    <t>Sales Comparison Approach?</t>
  </si>
  <si>
    <t>Land Value Only</t>
  </si>
  <si>
    <t>Improved Property Value</t>
  </si>
  <si>
    <t>Date of Value ID</t>
  </si>
  <si>
    <t>Replacement Cost</t>
  </si>
  <si>
    <t>Less Deferred Maintenance:</t>
  </si>
  <si>
    <t>Sales Comparison</t>
  </si>
  <si>
    <t>User Defined Adjustment Selections</t>
  </si>
  <si>
    <t>Leasehold</t>
  </si>
  <si>
    <t>Value Adj. Applications</t>
  </si>
  <si>
    <t>Expenditures after Sale</t>
  </si>
  <si>
    <t>Land Shape</t>
  </si>
  <si>
    <t>Rent Comparable Summary</t>
  </si>
  <si>
    <t>Rent</t>
  </si>
  <si>
    <t>Occupancy</t>
  </si>
  <si>
    <t>Quoted</t>
  </si>
  <si>
    <t>Rate / SF</t>
  </si>
  <si>
    <t>Lease</t>
  </si>
  <si>
    <t>Structure</t>
  </si>
  <si>
    <t>Rent / SF</t>
  </si>
  <si>
    <t>Rental</t>
  </si>
  <si>
    <t>Exclusions</t>
  </si>
  <si>
    <t>Total Exclusions</t>
  </si>
  <si>
    <t>Architectural Fees</t>
  </si>
  <si>
    <t>Foundation:</t>
  </si>
  <si>
    <t>Sub-surface Electrical/Plumbing:</t>
  </si>
  <si>
    <t>Building Identification</t>
  </si>
  <si>
    <t>Comparable ID</t>
  </si>
  <si>
    <t>Survey</t>
  </si>
  <si>
    <t>Date of</t>
  </si>
  <si>
    <t>Conditions of Sale</t>
  </si>
  <si>
    <t>Percent Office Finish</t>
  </si>
  <si>
    <t>Land-to-Building Ratio</t>
  </si>
  <si>
    <t>Land Area</t>
  </si>
  <si>
    <t>Construction Quality</t>
  </si>
  <si>
    <t>Base Year</t>
  </si>
  <si>
    <t>Triple Net</t>
  </si>
  <si>
    <t>Expense Reimbursements</t>
  </si>
  <si>
    <t>Rent Escalations</t>
  </si>
  <si>
    <t>Lease Term</t>
  </si>
  <si>
    <t>Age/Condition</t>
  </si>
  <si>
    <t>Rent Concessions</t>
  </si>
  <si>
    <t>Expense Structure</t>
  </si>
  <si>
    <t>Dates of Value - Adj. Grids</t>
  </si>
  <si>
    <t>Annual</t>
  </si>
  <si>
    <t>Date of Survey</t>
  </si>
  <si>
    <t>Est. Annual Expenses ($/SF)</t>
  </si>
  <si>
    <t>Rent Adjustment Type</t>
  </si>
  <si>
    <t>Adjustment Type Selection</t>
  </si>
  <si>
    <t>Tenant Space Size</t>
  </si>
  <si>
    <t>Net Lease Structure Adjustment</t>
  </si>
  <si>
    <t>Design/Functional Utility</t>
  </si>
  <si>
    <t>Average</t>
  </si>
  <si>
    <t>Construction Class</t>
  </si>
  <si>
    <t>Investment Class</t>
  </si>
  <si>
    <t>Building Name</t>
  </si>
  <si>
    <t>Primary Frontage (Feet)</t>
  </si>
  <si>
    <t>Secondary Frontage (Feet)</t>
  </si>
  <si>
    <t>Property Adjustments</t>
  </si>
  <si>
    <t>Conditions of Lease</t>
  </si>
  <si>
    <t>#</t>
  </si>
  <si>
    <t>Space Type</t>
  </si>
  <si>
    <t xml:space="preserve"> Datappraise Space Type</t>
  </si>
  <si>
    <t>Renewal</t>
  </si>
  <si>
    <t>Probability</t>
  </si>
  <si>
    <t>Market Rent</t>
  </si>
  <si>
    <t>Term</t>
  </si>
  <si>
    <t>Lease Type</t>
  </si>
  <si>
    <t>Absolute Net</t>
  </si>
  <si>
    <t>Double Net</t>
  </si>
  <si>
    <t>Single Net</t>
  </si>
  <si>
    <t>Industrial Gross</t>
  </si>
  <si>
    <t>Gross</t>
  </si>
  <si>
    <t>Modified Gross</t>
  </si>
  <si>
    <t>Full Service</t>
  </si>
  <si>
    <t>Effective Gross Income</t>
  </si>
  <si>
    <t>Operating Expenses</t>
  </si>
  <si>
    <t>Amount</t>
  </si>
  <si>
    <t>Management Fees</t>
  </si>
  <si>
    <t>Professional Fees</t>
  </si>
  <si>
    <t>Other Administrative</t>
  </si>
  <si>
    <t>Total Administrative</t>
  </si>
  <si>
    <t>Electricity</t>
  </si>
  <si>
    <t>Gas</t>
  </si>
  <si>
    <t>Water &amp; Sewer</t>
  </si>
  <si>
    <t>Other Utilities</t>
  </si>
  <si>
    <t>Repairs &amp; Maintenance</t>
  </si>
  <si>
    <t>Elevator</t>
  </si>
  <si>
    <t>HVAC</t>
  </si>
  <si>
    <t>Electrical &amp; Plumbing</t>
  </si>
  <si>
    <t>Structural &amp; Roof</t>
  </si>
  <si>
    <t>Pest Control</t>
  </si>
  <si>
    <t>Other Repairs &amp; Maintenance</t>
  </si>
  <si>
    <t>Trash Removal</t>
  </si>
  <si>
    <t>Security</t>
  </si>
  <si>
    <t>Roads &amp; Grounds</t>
  </si>
  <si>
    <t>Other Operating Expenses</t>
  </si>
  <si>
    <t>Other Cleaning and Janitorial</t>
  </si>
  <si>
    <t>Total Cleaning and Janitorial</t>
  </si>
  <si>
    <t>Leasing Expenses</t>
  </si>
  <si>
    <t>Advertising &amp; Promotion</t>
  </si>
  <si>
    <t>Leasing Professional Fees</t>
  </si>
  <si>
    <t>Other Leasing Expenses</t>
  </si>
  <si>
    <t>Common Area Maintenance</t>
  </si>
  <si>
    <t>Parking Lot Maintenance</t>
  </si>
  <si>
    <t>Snow Removal</t>
  </si>
  <si>
    <t>Grounds Maintenance</t>
  </si>
  <si>
    <t>Other CAM Expenses</t>
  </si>
  <si>
    <t>Payroll</t>
  </si>
  <si>
    <t>Administrative Payroll</t>
  </si>
  <si>
    <t>Repair &amp; Maintenance Payroll</t>
  </si>
  <si>
    <t>Cleaning Payroll</t>
  </si>
  <si>
    <t>Other Payroll</t>
  </si>
  <si>
    <t>Real Estate Taxes</t>
  </si>
  <si>
    <t>Other Taxes</t>
  </si>
  <si>
    <t>Property Insurance</t>
  </si>
  <si>
    <t>Expense Comparables</t>
  </si>
  <si>
    <t>Total Operating Expenses</t>
  </si>
  <si>
    <t>Administrative</t>
  </si>
  <si>
    <t>Annualized Statement?</t>
  </si>
  <si>
    <t>Annualized Months?</t>
  </si>
  <si>
    <t>Statement Type</t>
  </si>
  <si>
    <t>Heating &amp; Fuel</t>
  </si>
  <si>
    <t>Contract Services</t>
  </si>
  <si>
    <t>Supplies, Material &amp; Misc</t>
  </si>
  <si>
    <t>Replacement Reserves</t>
  </si>
  <si>
    <t>Rental Income</t>
  </si>
  <si>
    <t>Percentage Rent</t>
  </si>
  <si>
    <t>Parking Income</t>
  </si>
  <si>
    <t>Other Income</t>
  </si>
  <si>
    <t>Revenue</t>
  </si>
  <si>
    <t>User Defined Income Category</t>
  </si>
  <si>
    <t>Net Operating Income</t>
  </si>
  <si>
    <t>Total Cleaning &amp; Janitorial</t>
  </si>
  <si>
    <t>Other Cleaning &amp; Janitorial</t>
  </si>
  <si>
    <t>Cleaning &amp; Janitorial</t>
  </si>
  <si>
    <t>Per Sq. Ft.</t>
  </si>
  <si>
    <t>% of EGI</t>
  </si>
  <si>
    <t>Subject Average</t>
  </si>
  <si>
    <t>Year 1 Estimate</t>
  </si>
  <si>
    <t>Indicator Average</t>
  </si>
  <si>
    <t>Landlord Costs</t>
  </si>
  <si>
    <t>Rate</t>
  </si>
  <si>
    <t>Remaining</t>
  </si>
  <si>
    <t>Tenant</t>
  </si>
  <si>
    <t>Percent of</t>
  </si>
  <si>
    <t>Tenant Name</t>
  </si>
  <si>
    <t>Lease Status</t>
  </si>
  <si>
    <t>Start</t>
  </si>
  <si>
    <t>Suite No.</t>
  </si>
  <si>
    <t>Current Rent/SF</t>
  </si>
  <si>
    <t>Lease 
Start</t>
  </si>
  <si>
    <t xml:space="preserve">Lease Expiration </t>
  </si>
  <si>
    <t>None</t>
  </si>
  <si>
    <t>Suite</t>
  </si>
  <si>
    <t>Tenant Profile</t>
  </si>
  <si>
    <t>Contract Rent</t>
  </si>
  <si>
    <t>Rent Roll Date of Value</t>
  </si>
  <si>
    <t>Total Property</t>
  </si>
  <si>
    <t>Non-Valuation / Front End</t>
  </si>
  <si>
    <t>Land Valuation</t>
  </si>
  <si>
    <t>Cost Approach</t>
  </si>
  <si>
    <t>Sales Comparison Approach</t>
  </si>
  <si>
    <t>Direct Capitalization</t>
  </si>
  <si>
    <t>Discounted Cash Flow</t>
  </si>
  <si>
    <t>Year 2 Estimate</t>
  </si>
  <si>
    <t>Year 3 Estimate</t>
  </si>
  <si>
    <t>Reimbursable Expenses</t>
  </si>
  <si>
    <t>Total Reimbursable Expenses</t>
  </si>
  <si>
    <t>Non-Reimbursable Expenses</t>
  </si>
  <si>
    <t>Total Non-Reimbursable Expenses</t>
  </si>
  <si>
    <t>Subject Property</t>
  </si>
  <si>
    <t>Market vs. Contract Rental Rate Comparison</t>
  </si>
  <si>
    <t>Variance:</t>
  </si>
  <si>
    <t>Estimate Period</t>
  </si>
  <si>
    <t>Selections</t>
  </si>
  <si>
    <t>Stabilized Only</t>
  </si>
  <si>
    <t>Current Tax Yr</t>
  </si>
  <si>
    <t>Collection Loss</t>
  </si>
  <si>
    <t>Overall Capitalization Rate</t>
  </si>
  <si>
    <t>Terminal Capitalization Rate</t>
  </si>
  <si>
    <t>Cost of Sale</t>
  </si>
  <si>
    <t>Category</t>
  </si>
  <si>
    <t>LUD - Difference between DCF's</t>
  </si>
  <si>
    <t>Stabilized Vacancy</t>
  </si>
  <si>
    <t>÷</t>
  </si>
  <si>
    <t>Lease-Up Adjustment</t>
  </si>
  <si>
    <t>Net Rentable Area</t>
  </si>
  <si>
    <t>Stabilized Occupancy</t>
  </si>
  <si>
    <t>Period (Months)</t>
  </si>
  <si>
    <t>Total Occupied</t>
  </si>
  <si>
    <t>% Occupied</t>
  </si>
  <si>
    <t>Expenses</t>
  </si>
  <si>
    <t>Discount Factor</t>
  </si>
  <si>
    <t>sf</t>
  </si>
  <si>
    <t>Lost Rent</t>
  </si>
  <si>
    <t>Tenant Improvement Costs</t>
  </si>
  <si>
    <t>Leasing Commissions</t>
  </si>
  <si>
    <t>Total Lost Income/Leasing Costs</t>
  </si>
  <si>
    <t>Annual Estimate</t>
  </si>
  <si>
    <t>Vacant Area</t>
  </si>
  <si>
    <t xml:space="preserve">   Lost Reimbursables</t>
  </si>
  <si>
    <t>Share of Vacant Area</t>
  </si>
  <si>
    <t>Entrepreneurial Incentive</t>
  </si>
  <si>
    <t>Present Value of Lost Income/Leasing Costs</t>
  </si>
  <si>
    <t>Leasehold Adj. - User Calc. / Estimate</t>
  </si>
  <si>
    <t>Number of Expense Years to Estimate</t>
  </si>
  <si>
    <t>Discount Rate</t>
  </si>
  <si>
    <t>Discounted Lost Income/Leasing Costs</t>
  </si>
  <si>
    <t>Band of Investment Technique</t>
  </si>
  <si>
    <t>Mortgage Interest Rate</t>
  </si>
  <si>
    <r>
      <t>Mortgage Constant (R</t>
    </r>
    <r>
      <rPr>
        <vertAlign val="subscript"/>
        <sz val="10"/>
        <color theme="1"/>
        <rFont val="Segoe UI"/>
        <family val="2"/>
      </rPr>
      <t>M</t>
    </r>
    <r>
      <rPr>
        <sz val="10"/>
        <color theme="1"/>
        <rFont val="Segoe UI"/>
        <family val="2"/>
      </rPr>
      <t>)</t>
    </r>
  </si>
  <si>
    <t>Mortgage (LTV) Ratio (M)</t>
  </si>
  <si>
    <r>
      <t>Equity Dividend Rate (R</t>
    </r>
    <r>
      <rPr>
        <vertAlign val="subscript"/>
        <sz val="10"/>
        <color theme="1"/>
        <rFont val="Segoe UI"/>
        <family val="2"/>
      </rPr>
      <t>E</t>
    </r>
    <r>
      <rPr>
        <sz val="10"/>
        <color theme="1"/>
        <rFont val="Segoe UI"/>
        <family val="2"/>
      </rPr>
      <t>)</t>
    </r>
  </si>
  <si>
    <t>Mortgage Component</t>
  </si>
  <si>
    <t>Equity Component</t>
  </si>
  <si>
    <t>1 - Mortgage Ratio (1-M)</t>
  </si>
  <si>
    <t>Mortgage Ratio (M)</t>
  </si>
  <si>
    <t>Mortgage Term</t>
  </si>
  <si>
    <t>Investor Surveys - Discount Rates</t>
  </si>
  <si>
    <t>to</t>
  </si>
  <si>
    <t>Rate Range</t>
  </si>
  <si>
    <t>Investor Surveys - Overall Capitalization Rates</t>
  </si>
  <si>
    <t>Investor Surveys - Terminal Capitalization Rates</t>
  </si>
  <si>
    <t>Investor Surveys - Overall/Terminal Capitalization Rate Spreads</t>
  </si>
  <si>
    <t>Terminal Rate</t>
  </si>
  <si>
    <t>Overall Rate</t>
  </si>
  <si>
    <t>Spread</t>
  </si>
  <si>
    <t>Present Value of Cash Flows</t>
  </si>
  <si>
    <t>Present Value of Reversion</t>
  </si>
  <si>
    <t>DCF Term</t>
  </si>
  <si>
    <t>Sensitivity Analysis &amp; Value Indication</t>
  </si>
  <si>
    <t>Deducted in Cost Calculation</t>
  </si>
  <si>
    <t>Deducted as Line-Item Value Adjustment</t>
  </si>
  <si>
    <t>Terminal Value Calculation</t>
  </si>
  <si>
    <t>Capitalization</t>
  </si>
  <si>
    <t xml:space="preserve">  Terminal Capitalization Rate</t>
  </si>
  <si>
    <t>Terminal Value Indication</t>
  </si>
  <si>
    <t>Adjustments To Terminal Value</t>
  </si>
  <si>
    <t>Adjustments To Sale Proceeds</t>
  </si>
  <si>
    <t>Holding Period</t>
  </si>
  <si>
    <t>Annual Rent Growth</t>
  </si>
  <si>
    <t>Annual Expense Growth</t>
  </si>
  <si>
    <t>Initial</t>
  </si>
  <si>
    <t>Tenant Imp. Allowance</t>
  </si>
  <si>
    <t>of Property</t>
  </si>
  <si>
    <t>Beyond</t>
  </si>
  <si>
    <t>Months</t>
  </si>
  <si>
    <t>Valuation Scenario</t>
  </si>
  <si>
    <t>Step 1:</t>
  </si>
  <si>
    <t>Step 2:</t>
  </si>
  <si>
    <t>Product</t>
  </si>
  <si>
    <t>Step 3:</t>
  </si>
  <si>
    <t>Term (Yrs.)</t>
  </si>
  <si>
    <t>Stabilized</t>
  </si>
  <si>
    <t>Vacancy</t>
  </si>
  <si>
    <t>(1 - Renewal Probability)</t>
  </si>
  <si>
    <t>Months Vacant</t>
  </si>
  <si>
    <t>General Vacancy</t>
  </si>
  <si>
    <t>No General Vacancy</t>
  </si>
  <si>
    <t>Improved Sales Summary</t>
  </si>
  <si>
    <t>Physical Characteristics</t>
  </si>
  <si>
    <t>Unadjusted Units of Comparison</t>
  </si>
  <si>
    <t>Stabilized Units of Comparison</t>
  </si>
  <si>
    <t>EGIM</t>
  </si>
  <si>
    <t>Contributory Value of Improvements</t>
  </si>
  <si>
    <t>Land SF</t>
  </si>
  <si>
    <t>Improved Sales Adjustment Type</t>
  </si>
  <si>
    <t>Sales Method</t>
  </si>
  <si>
    <t>Whole Property</t>
  </si>
  <si>
    <t>Sales Units</t>
  </si>
  <si>
    <t>Improved Sales Comparison Approach Adjustment Grid</t>
  </si>
  <si>
    <t>Unit Of Comparison Sale Approach Singular</t>
  </si>
  <si>
    <t>SF</t>
  </si>
  <si>
    <t>Rent Display</t>
  </si>
  <si>
    <t>Monthly</t>
  </si>
  <si>
    <t>Land Extraction</t>
  </si>
  <si>
    <t>Plus Estimated Land Value</t>
  </si>
  <si>
    <t>Current List Price</t>
  </si>
  <si>
    <t>Value Conclusion</t>
  </si>
  <si>
    <t>Excess Land Area</t>
  </si>
  <si>
    <t>Surplus Land Area</t>
  </si>
  <si>
    <t>Gross Building Area (GBA)</t>
  </si>
  <si>
    <t>Net Rentable Area (NRA)</t>
  </si>
  <si>
    <t>Condition</t>
  </si>
  <si>
    <t>Land Adjustments</t>
  </si>
  <si>
    <t>Percent Office</t>
  </si>
  <si>
    <t>Flood Zone</t>
  </si>
  <si>
    <t>Number of Buildings</t>
  </si>
  <si>
    <t>Median Household Income</t>
  </si>
  <si>
    <t>Employment</t>
  </si>
  <si>
    <t/>
  </si>
  <si>
    <t>The area below is designated for any additional tables the appraisal requires.  Simply press the "New Table" button above to create an empty table with the proper formatting.</t>
  </si>
  <si>
    <t>Occupancy at Time of Sale</t>
  </si>
  <si>
    <t>Occupancy at</t>
  </si>
  <si>
    <t>Time of Sale</t>
  </si>
  <si>
    <t>OAR</t>
  </si>
  <si>
    <t>Comparable</t>
  </si>
  <si>
    <t>Max Adjust.</t>
  </si>
  <si>
    <t>Variance</t>
  </si>
  <si>
    <t>Calculated Adj. @</t>
  </si>
  <si>
    <t>Clear Height Adjustment Calculations</t>
  </si>
  <si>
    <t>Percent Office Adjustment Calculations</t>
  </si>
  <si>
    <t>Land-to-Building Ratio Adjustment Calculations</t>
  </si>
  <si>
    <t>L-to-B Ratio</t>
  </si>
  <si>
    <t>Land Value</t>
  </si>
  <si>
    <t>Calculated</t>
  </si>
  <si>
    <t>LUD - Discounted Diff. between DCF's</t>
  </si>
  <si>
    <t>Neighborhood Demographics</t>
  </si>
  <si>
    <t>Income Summary</t>
  </si>
  <si>
    <t>Number of Land Sales</t>
  </si>
  <si>
    <t>Most Comparable</t>
  </si>
  <si>
    <t>Number of Sales</t>
  </si>
  <si>
    <t>Income Approach</t>
  </si>
  <si>
    <t>Rents</t>
  </si>
  <si>
    <t>Number of Rents</t>
  </si>
  <si>
    <t>Building Area Calculation</t>
  </si>
  <si>
    <t>Bld./Level</t>
  </si>
  <si>
    <t>Usable</t>
  </si>
  <si>
    <t>Rentable</t>
  </si>
  <si>
    <t>Add-on</t>
  </si>
  <si>
    <t>Efficiency</t>
  </si>
  <si>
    <t>Available</t>
  </si>
  <si>
    <t>Retail</t>
  </si>
  <si>
    <t>Warehouse</t>
  </si>
  <si>
    <t>Replacement Cost New (No Profit)</t>
  </si>
  <si>
    <t>Reconciled</t>
  </si>
  <si>
    <t>Tax Assessment</t>
  </si>
  <si>
    <t>Number of Tax Comps</t>
  </si>
  <si>
    <t>Min. Assessor's Appraised Value</t>
  </si>
  <si>
    <t>Max. Assessor's Appraised Value</t>
  </si>
  <si>
    <t>Min. Year Built</t>
  </si>
  <si>
    <t>Max. Year Built</t>
  </si>
  <si>
    <t>Min. NRA</t>
  </si>
  <si>
    <t>Max. NRA</t>
  </si>
  <si>
    <t>Parcel Type</t>
  </si>
  <si>
    <t>Assessor's Appraised Value - Subject</t>
  </si>
  <si>
    <t>Subject within Tax Comp. Range?</t>
  </si>
  <si>
    <t>Unadjusted Range</t>
  </si>
  <si>
    <t>Adjusted Range</t>
  </si>
  <si>
    <t>Market vs. Contract Rent</t>
  </si>
  <si>
    <t>Income Capitalization</t>
  </si>
  <si>
    <t>Yield Capitalization (DCF)</t>
  </si>
  <si>
    <t>Min. Rent Occupancy</t>
  </si>
  <si>
    <t>Max. Rent Occupancy</t>
  </si>
  <si>
    <t>Mean Rent Occupancy</t>
  </si>
  <si>
    <t>Stabilized or Year 1 Expenses?</t>
  </si>
  <si>
    <t>Expense Total</t>
  </si>
  <si>
    <t>Reimbursable Total</t>
  </si>
  <si>
    <t>Real Estate Taxes - PSF Estimate</t>
  </si>
  <si>
    <t>Real Estate Taxes - Relative to Range</t>
  </si>
  <si>
    <t>Expenses Indicators</t>
  </si>
  <si>
    <t>Other Taxes - Relative to Range</t>
  </si>
  <si>
    <t>Other Taxes - PSF Estimate</t>
  </si>
  <si>
    <t>Property Insurance - Relative to Range</t>
  </si>
  <si>
    <t>Property Insurance - PSF Estimate</t>
  </si>
  <si>
    <t>Administrative - Relative to Range</t>
  </si>
  <si>
    <t>Administrative - PSF Estimate</t>
  </si>
  <si>
    <t>Management Fees - Relative to Range</t>
  </si>
  <si>
    <t>Management Fees - PSF Estimate</t>
  </si>
  <si>
    <t>Utilities - Relative to Range</t>
  </si>
  <si>
    <t>Utilities - PSF Estimate</t>
  </si>
  <si>
    <t>R&amp;M - Relative to Range</t>
  </si>
  <si>
    <t>R&amp;M - PSF Estimate</t>
  </si>
  <si>
    <t>CAM - Relative to Range</t>
  </si>
  <si>
    <t>CAM - PSF Estimate</t>
  </si>
  <si>
    <t>CJ - Relative to Range</t>
  </si>
  <si>
    <t>CJ - PSF Estimate</t>
  </si>
  <si>
    <t>Leasing - Relative to Range</t>
  </si>
  <si>
    <t>Leasing - PSF Estimate</t>
  </si>
  <si>
    <t>Relativity - Low</t>
  </si>
  <si>
    <t>Relativity - High</t>
  </si>
  <si>
    <t>Payroll - Relative to Range</t>
  </si>
  <si>
    <t>Payroll - PSF Estimate</t>
  </si>
  <si>
    <t>Security - Relative to Range</t>
  </si>
  <si>
    <t>Security - PSF Estimate</t>
  </si>
  <si>
    <t>Roads &amp; Grounds - Relative to Range</t>
  </si>
  <si>
    <t>Roads &amp; Grounds - PSF Estimate</t>
  </si>
  <si>
    <t>Other Operating - Relative to Range</t>
  </si>
  <si>
    <t>Other Operating - PSF Estimate</t>
  </si>
  <si>
    <t>Landlord Costs - Relative to Range</t>
  </si>
  <si>
    <t>Landlord Costs - PSF Estimate</t>
  </si>
  <si>
    <t>Indicated Range for Subject Property</t>
  </si>
  <si>
    <t>Low</t>
  </si>
  <si>
    <t>High</t>
  </si>
  <si>
    <t>Subject Building Construction Class</t>
  </si>
  <si>
    <t>Improvement Description</t>
  </si>
  <si>
    <t>Holding Periods</t>
  </si>
  <si>
    <t>Cash Flow Periods</t>
  </si>
  <si>
    <t>Cash Flow Period</t>
  </si>
  <si>
    <t>Occupancy Narrative</t>
  </si>
  <si>
    <t>TI Allowance - New</t>
  </si>
  <si>
    <t>TI Allowance - Renewal</t>
  </si>
  <si>
    <t>Reserves - Relative to Range</t>
  </si>
  <si>
    <t>Reserves - PSF Estimate</t>
  </si>
  <si>
    <t>BOI Loaded</t>
  </si>
  <si>
    <t>Min. Rent Tenant Size</t>
  </si>
  <si>
    <t>Max. Rent Tenant Size</t>
  </si>
  <si>
    <t>Min. Rent Size Adj.</t>
  </si>
  <si>
    <t>Max. Rent Size Adj.</t>
  </si>
  <si>
    <t>Net Rentable</t>
  </si>
  <si>
    <t>Unadjusted</t>
  </si>
  <si>
    <t>Parking Income - Relative to Range</t>
  </si>
  <si>
    <t>User Defined Income - Relative to Range</t>
  </si>
  <si>
    <t>Other Income - Relative to Range</t>
  </si>
  <si>
    <t>Percentage Rent - Relative to Range</t>
  </si>
  <si>
    <t>Percentage Rent - PSF Estimate</t>
  </si>
  <si>
    <t>Parking Income - PSF Estimate</t>
  </si>
  <si>
    <t>User Defined Income - PSF Estimate</t>
  </si>
  <si>
    <t>Other Income - PSF Estimate</t>
  </si>
  <si>
    <t>Extraordinary Assumption 1</t>
  </si>
  <si>
    <t>Extraordinary Assumption 2</t>
  </si>
  <si>
    <t>Extraordinary Assumption 3</t>
  </si>
  <si>
    <t>Has Extraordinary Assumptions</t>
  </si>
  <si>
    <t>Has Hypothetical Conditions</t>
  </si>
  <si>
    <t>Hypothetical Condition 1</t>
  </si>
  <si>
    <t>Hypothetical Condition 2</t>
  </si>
  <si>
    <t>Hypothetical Condition 3</t>
  </si>
  <si>
    <t>Potential Rental Income</t>
  </si>
  <si>
    <t>Total Potential Rental Income</t>
  </si>
  <si>
    <t>Story Height</t>
  </si>
  <si>
    <t>External Obsolescence?</t>
  </si>
  <si>
    <t>Total Depreciation</t>
  </si>
  <si>
    <t>Income Capitalization Approach Value Reconciliation</t>
  </si>
  <si>
    <t>Size Range</t>
  </si>
  <si>
    <t>Size Adjustment Range</t>
  </si>
  <si>
    <t>Excess - Surplus Land Statement</t>
  </si>
  <si>
    <t>Conclusion 1</t>
  </si>
  <si>
    <t>Conclusion 2</t>
  </si>
  <si>
    <t>Final</t>
  </si>
  <si>
    <t>Subject Tax Parcel Numbers:</t>
  </si>
  <si>
    <t>Tax Year</t>
  </si>
  <si>
    <t>Special</t>
  </si>
  <si>
    <t>Ad Valorem Tax Schedule</t>
  </si>
  <si>
    <t>Intro</t>
  </si>
  <si>
    <t>Method(s) used</t>
  </si>
  <si>
    <t>Survey Rate</t>
  </si>
  <si>
    <t>Clear Height Comp. Range</t>
  </si>
  <si>
    <t>Percent Office Adj.</t>
  </si>
  <si>
    <t>Clear Height Relativity</t>
  </si>
  <si>
    <t>Summary of Salient Facts</t>
  </si>
  <si>
    <t>Assessment</t>
  </si>
  <si>
    <t>Value - Land</t>
  </si>
  <si>
    <t>Value - Imp.</t>
  </si>
  <si>
    <t>Assessments</t>
  </si>
  <si>
    <t>Tax Schedule</t>
  </si>
  <si>
    <t>Expense</t>
  </si>
  <si>
    <t>Assessed</t>
  </si>
  <si>
    <t>Sale</t>
  </si>
  <si>
    <t>Sale ID</t>
  </si>
  <si>
    <t>Expense ID</t>
  </si>
  <si>
    <t>Dates of Value - Land Adj. Grid</t>
  </si>
  <si>
    <t>Total/Average</t>
  </si>
  <si>
    <t>Date of Value Sorter - Improved</t>
  </si>
  <si>
    <t>Date of Value Sorter - All (Executive Summary)</t>
  </si>
  <si>
    <t>Marshall Valuation Service</t>
  </si>
  <si>
    <t>Enter $/SF Adj.</t>
  </si>
  <si>
    <t>Gross Land Area (Sq. Ft.)</t>
  </si>
  <si>
    <t>Gross Land Area (Acres)</t>
  </si>
  <si>
    <t>Usable Land Area (Acres)</t>
  </si>
  <si>
    <t>Usable Land Area (Sq. Ft.)</t>
  </si>
  <si>
    <t>Sales Data</t>
  </si>
  <si>
    <t>Sale Status</t>
  </si>
  <si>
    <t>Tax ID</t>
  </si>
  <si>
    <t>Price/Usable Acre</t>
  </si>
  <si>
    <t>Grantor</t>
  </si>
  <si>
    <t>Grantee</t>
  </si>
  <si>
    <t>Document #</t>
  </si>
  <si>
    <t>Book/Page #</t>
  </si>
  <si>
    <t>Recording #</t>
  </si>
  <si>
    <t>Shape</t>
  </si>
  <si>
    <t>Rail Access</t>
  </si>
  <si>
    <t>Access/Visibility</t>
  </si>
  <si>
    <t>Secondary Frontage</t>
  </si>
  <si>
    <t>Proposed Use</t>
  </si>
  <si>
    <t>Flood Area</t>
  </si>
  <si>
    <t>Access</t>
  </si>
  <si>
    <t>Visibility</t>
  </si>
  <si>
    <t>Primary Feet</t>
  </si>
  <si>
    <t>Primary Street</t>
  </si>
  <si>
    <t>Secondary Feet</t>
  </si>
  <si>
    <t>Secondary Street</t>
  </si>
  <si>
    <t>Financing</t>
  </si>
  <si>
    <t>Property Description</t>
  </si>
  <si>
    <t>Transaction Data</t>
  </si>
  <si>
    <t>Lease Renewal Options</t>
  </si>
  <si>
    <t>Concessions ($/SF)</t>
  </si>
  <si>
    <t>Rent Abatement (months)</t>
  </si>
  <si>
    <t>Lease Structure</t>
  </si>
  <si>
    <t>Tenancy</t>
  </si>
  <si>
    <t>Percent Air Conditioned</t>
  </si>
  <si>
    <t>Number of Stories</t>
  </si>
  <si>
    <t>Potential Gross Income (PGI)</t>
  </si>
  <si>
    <t>Effective Gross Income (EGI)</t>
  </si>
  <si>
    <t>Marshall Valuation Service Depreciation Schedule</t>
  </si>
  <si>
    <t>Property Occupancy</t>
  </si>
  <si>
    <t>Date Lease Signed</t>
  </si>
  <si>
    <t>Usable Land Area</t>
  </si>
  <si>
    <t>Census Tract</t>
  </si>
  <si>
    <t>Longitude</t>
  </si>
  <si>
    <t>Date of Survey/Lease</t>
  </si>
  <si>
    <t>Base Cost/SF of GBA</t>
  </si>
  <si>
    <t>User</t>
  </si>
  <si>
    <t>Defined</t>
  </si>
  <si>
    <t>Survey / Lease</t>
  </si>
  <si>
    <t>Latitude &amp; Longitude</t>
  </si>
  <si>
    <t>Latitude</t>
  </si>
  <si>
    <t>Parcel</t>
  </si>
  <si>
    <t>Introduction</t>
  </si>
  <si>
    <t>User(s) of the Report</t>
  </si>
  <si>
    <t>is/are</t>
  </si>
  <si>
    <t>Effective Date of Value</t>
  </si>
  <si>
    <t>Site Description</t>
  </si>
  <si>
    <t>Parking Description a/an</t>
  </si>
  <si>
    <t>Parcel Location a/an</t>
  </si>
  <si>
    <t>Occupancy Type</t>
  </si>
  <si>
    <t>Parking Description</t>
  </si>
  <si>
    <t>Older/Newer</t>
  </si>
  <si>
    <t>Zoning Code</t>
  </si>
  <si>
    <t>Highest and Best Use</t>
  </si>
  <si>
    <t>None?</t>
  </si>
  <si>
    <t>Zoning Description</t>
  </si>
  <si>
    <t>Probable Buyer a/an</t>
  </si>
  <si>
    <t>Most Probable Buyer</t>
  </si>
  <si>
    <t>Most Probable User</t>
  </si>
  <si>
    <t>Appraisal Methodology</t>
  </si>
  <si>
    <t>Approaches Used</t>
  </si>
  <si>
    <t>Approaches Not Used</t>
  </si>
  <si>
    <t>Financing Terms Into</t>
  </si>
  <si>
    <t>Conditions of Sale Intro</t>
  </si>
  <si>
    <t>Expenditures after Sale Intro</t>
  </si>
  <si>
    <t>Qualitative or Quantitative</t>
  </si>
  <si>
    <t>Excess/Surplus?</t>
  </si>
  <si>
    <t>Primary Preliminary?</t>
  </si>
  <si>
    <t>Primary Secondary?</t>
  </si>
  <si>
    <t>Rent Adjustments</t>
  </si>
  <si>
    <t>Comp. YOC</t>
  </si>
  <si>
    <t>Comp. Effective Age</t>
  </si>
  <si>
    <t>Comp. Quality</t>
  </si>
  <si>
    <t>Clear Height Range</t>
  </si>
  <si>
    <t>Income Capitalization Approach</t>
  </si>
  <si>
    <t>Clear Height Adjustment Range</t>
  </si>
  <si>
    <t>Percent Office Finish Range</t>
  </si>
  <si>
    <t>Effective Age Range</t>
  </si>
  <si>
    <t>Tenancy Statement</t>
  </si>
  <si>
    <t>Plural Market Rent Categories</t>
  </si>
  <si>
    <t>All Leases Same Structure?</t>
  </si>
  <si>
    <t>Surface Parking</t>
  </si>
  <si>
    <t>Garage Parking</t>
  </si>
  <si>
    <t>Total Parking</t>
  </si>
  <si>
    <t>Reimbursable Statement</t>
  </si>
  <si>
    <t>Reimbursable Title</t>
  </si>
  <si>
    <t>Renewal Probability Narrative</t>
  </si>
  <si>
    <t>Vacancy Between Leases</t>
  </si>
  <si>
    <t>Commissions - New</t>
  </si>
  <si>
    <t>Commissions - Renewal</t>
  </si>
  <si>
    <t>Investor Survey Range Relativity</t>
  </si>
  <si>
    <t>Value Scenario 1 - a/an</t>
  </si>
  <si>
    <t>Value Scenario 2 - a/an</t>
  </si>
  <si>
    <t>Value Scenario 3 - a/an</t>
  </si>
  <si>
    <t>Appraiser 3 Designation</t>
  </si>
  <si>
    <t>Appraiser 2 Designation</t>
  </si>
  <si>
    <t>Appraiser 1 Designation</t>
  </si>
  <si>
    <t>Appraiser 1 Continuing Ed</t>
  </si>
  <si>
    <t>Appraiser 2 Continuing Ed</t>
  </si>
  <si>
    <t>Appraiser 3 Continuing Ed</t>
  </si>
  <si>
    <t>Market Study</t>
  </si>
  <si>
    <t>Improved Sales Adjustments</t>
  </si>
  <si>
    <t>Comp. YOC Range</t>
  </si>
  <si>
    <t>Comp. Effective Age Range</t>
  </si>
  <si>
    <t>Sales Adjustment(s) Applied 1</t>
  </si>
  <si>
    <t>Sales Adjustment(s) Applied 2</t>
  </si>
  <si>
    <t>Value Scenarios</t>
  </si>
  <si>
    <t>Value Scenarios A</t>
  </si>
  <si>
    <t>Value Scenarios B</t>
  </si>
  <si>
    <t>Value Scenarios C</t>
  </si>
  <si>
    <t>Date of Value &amp; Sale</t>
  </si>
  <si>
    <t>Gross Building</t>
  </si>
  <si>
    <t>Prior Services?</t>
  </si>
  <si>
    <t>Property Use</t>
  </si>
  <si>
    <t>Gross Acres</t>
  </si>
  <si>
    <t>Gross Square Feet</t>
  </si>
  <si>
    <t>Usable Acres</t>
  </si>
  <si>
    <t>Usable Square Feet</t>
  </si>
  <si>
    <t>Value Scenarios D</t>
  </si>
  <si>
    <t>Reconciliation</t>
  </si>
  <si>
    <t>Value Scenarios E</t>
  </si>
  <si>
    <t>Proposed Square Feet</t>
  </si>
  <si>
    <t>Front Foot</t>
  </si>
  <si>
    <t>Per Proposed</t>
  </si>
  <si>
    <t>Front</t>
  </si>
  <si>
    <t>Feet</t>
  </si>
  <si>
    <t>Front Feet</t>
  </si>
  <si>
    <t>Price per Front Foot</t>
  </si>
  <si>
    <t>Price/Gross Acre</t>
  </si>
  <si>
    <t>Primary Frontage</t>
  </si>
  <si>
    <t>dpValuation_Indications_Table</t>
  </si>
  <si>
    <t>dpValuation_Scenarios_Table</t>
  </si>
  <si>
    <t>dpSum_SalientTable</t>
  </si>
  <si>
    <t>dpUnemployment_Rates_Table</t>
  </si>
  <si>
    <t>dpBuilding_Area_Breakdown</t>
  </si>
  <si>
    <t>dpTaxTable</t>
  </si>
  <si>
    <t>dpTaxCompTable</t>
  </si>
  <si>
    <t>dpMarketStudy_MetroTable</t>
  </si>
  <si>
    <t>dpMarketStudy_SubmarketTable</t>
  </si>
  <si>
    <t>dpLand_Sales_SummaryLight_Table</t>
  </si>
  <si>
    <t>dpLand_Sales_SummaryDetail_Table</t>
  </si>
  <si>
    <t>dpCost_CurableTable</t>
  </si>
  <si>
    <t>dpCost_IncurableShortTable</t>
  </si>
  <si>
    <t>dpCost_ExternalObsTable</t>
  </si>
  <si>
    <t>dpCost_ApproachTable</t>
  </si>
  <si>
    <t>dpSales_SummaryTable_Light</t>
  </si>
  <si>
    <t>dpSales_SummaryTable_Detailed</t>
  </si>
  <si>
    <t>dpSales_ClearHeight_AdjTable</t>
  </si>
  <si>
    <t>dpSales_PercentOffice_AdjTable</t>
  </si>
  <si>
    <t>dpSales_LtoBRatio_AdjTable</t>
  </si>
  <si>
    <t>dpAutoAdj_DepreciationTable</t>
  </si>
  <si>
    <t>dpSale_Adjustments_Table</t>
  </si>
  <si>
    <t>dpSales_ValueConclusion_Table</t>
  </si>
  <si>
    <t>dpIncome_Rents_SummaryLight_Table</t>
  </si>
  <si>
    <t>dpIncome_Rents_SummaryDetail_Table</t>
  </si>
  <si>
    <t>dpIncome_RentClearHeight_AdjTable</t>
  </si>
  <si>
    <t>dpIncome_Rent_Comp_Adjustments_Table</t>
  </si>
  <si>
    <t>dpIncome_RentRoll</t>
  </si>
  <si>
    <t>dpIncome_RentRollProfileTable</t>
  </si>
  <si>
    <t>dpIncome_TCat1_LeaseTable</t>
  </si>
  <si>
    <t>dpIncome_TCat2_LeaseTable</t>
  </si>
  <si>
    <t>dpIncome_TCat3_LeaseTable</t>
  </si>
  <si>
    <t>dpIncome_TCat4_LeaseTable</t>
  </si>
  <si>
    <t>dpIncome_TCat5_LeaseTable</t>
  </si>
  <si>
    <t>dpIncome_HistoricalOccupancyTable</t>
  </si>
  <si>
    <t>dpIncome_RentComparisonTable</t>
  </si>
  <si>
    <t>dpIncome_TCat1_MonthsVacantTable</t>
  </si>
  <si>
    <t>dpIncome_TCat2_MonthsVacantTable</t>
  </si>
  <si>
    <t>dpIncome_TCat3_MonthsVacantTable</t>
  </si>
  <si>
    <t>dpIncome_TCat4_MonthsVacantTable</t>
  </si>
  <si>
    <t>dpIncome_TCat5_MonthsVacantTable</t>
  </si>
  <si>
    <t>dpIncome_TCat6_MonthsVacantTable</t>
  </si>
  <si>
    <t>dpIncome_TCat7_MonthsVacantTable</t>
  </si>
  <si>
    <t>dpIncome_TCat8_MonthsVacantTable</t>
  </si>
  <si>
    <t>dpIncome_Subject_IE_History_Table</t>
  </si>
  <si>
    <t>dpIncome_Expense_Comps_Table</t>
  </si>
  <si>
    <t>dpIncome_IncomeTable_PercentageRent</t>
  </si>
  <si>
    <t>dpIncome_IncomeTable_ParkingIncome</t>
  </si>
  <si>
    <t>dpIncome_IncomeTable_UserDefined</t>
  </si>
  <si>
    <t>dpIncome_IncomeTable_OtherIncome</t>
  </si>
  <si>
    <t>dpIncome_ExpenseTable_RETaxes</t>
  </si>
  <si>
    <t>dpIncome_ExpenseTable_OtherTaxes</t>
  </si>
  <si>
    <t>dpIncome_ExpenseTable_Insurance</t>
  </si>
  <si>
    <t>dpIncome_ExpenseTable_MgmtFees</t>
  </si>
  <si>
    <t>dpIncome_ExpenseTable_Admin</t>
  </si>
  <si>
    <t>dpIncome_ExpenseTable_Utilities</t>
  </si>
  <si>
    <t>dpIncome_ExpenseTable_RM</t>
  </si>
  <si>
    <t>dpIncome_ExpenseTable_CAM</t>
  </si>
  <si>
    <t>dpIncome_ExpenseTable_CJ</t>
  </si>
  <si>
    <t>dpIncome_ExpenseTable_Leasing</t>
  </si>
  <si>
    <t>dpIncome_ExpenseTable_Payroll</t>
  </si>
  <si>
    <t>dpIncome_ExpenseTable_Security</t>
  </si>
  <si>
    <t>dpIncome_ExpenseTable_RG</t>
  </si>
  <si>
    <t>dpIncome_ExpenseTable_OtherOps</t>
  </si>
  <si>
    <t>dpIncome_ExpenseTable_LC</t>
  </si>
  <si>
    <t>dpIncome_ExpenseTable_Reserves</t>
  </si>
  <si>
    <t>dpIncome_ExpenseTable_TotalExpense</t>
  </si>
  <si>
    <t>dpIncome_ExpenseTable_Organized</t>
  </si>
  <si>
    <t>dpIncome_OAR_Table</t>
  </si>
  <si>
    <t>dpIncome_BOI_Table</t>
  </si>
  <si>
    <t>dpIncome_InvSurveys_DiscRate_Table</t>
  </si>
  <si>
    <t>dpIncome_InvSurveys_OAR_Table</t>
  </si>
  <si>
    <t>dpIncome_InvSurveys_TermRate_Table</t>
  </si>
  <si>
    <t>dpIncome_InvSurveys_Spread_Table</t>
  </si>
  <si>
    <t>dpIncome_InvSurveys_RentChange_Table</t>
  </si>
  <si>
    <t>dpIncome_InvSurveys_Expense_Table</t>
  </si>
  <si>
    <t>dpIncome_DirectCap_NOITable</t>
  </si>
  <si>
    <t>dpIncome_Direct_Capitalization_Table</t>
  </si>
  <si>
    <t>dpIncome_DCF1_Table</t>
  </si>
  <si>
    <t>dpIncome_DCF2_Table</t>
  </si>
  <si>
    <t>dpIncome_DCF3_Table</t>
  </si>
  <si>
    <t>dpIncome_DCF_ReversionTable</t>
  </si>
  <si>
    <t>dpIncome_DCFAssumptionsTable</t>
  </si>
  <si>
    <t>dpIncome_ReconciliationTable</t>
  </si>
  <si>
    <t>dpTax_Table_Current</t>
  </si>
  <si>
    <t>dpLand_Sales_Comp_Approach_Table</t>
  </si>
  <si>
    <t>dpLand_Sales_ValueConclusion_Table</t>
  </si>
  <si>
    <t>dpIncome_LeaseExpiration_Table</t>
  </si>
  <si>
    <t>dpIncome_TCat6_LeaseTable</t>
  </si>
  <si>
    <t>dpIncome_TCat7_LeaseTable</t>
  </si>
  <si>
    <t>dpIncome_TCat8_LeaseTable</t>
  </si>
  <si>
    <t>Land Sale Statistics</t>
  </si>
  <si>
    <t>Metric</t>
  </si>
  <si>
    <t>dpLand_Sales_Statistics_Table</t>
  </si>
  <si>
    <t>Annual Market Conditions Adjustment</t>
  </si>
  <si>
    <t>Lease-Up Period</t>
  </si>
  <si>
    <t>months</t>
  </si>
  <si>
    <t>LUD - Reconciled</t>
  </si>
  <si>
    <t>Discount</t>
  </si>
  <si>
    <t>dpSale_Statistics_Table</t>
  </si>
  <si>
    <t>Rent Comparable Statistics</t>
  </si>
  <si>
    <t>dpIncome_Rent_Statistics_Table</t>
  </si>
  <si>
    <t>CoStar Submarket</t>
  </si>
  <si>
    <t>CoStar Market</t>
  </si>
  <si>
    <t>CoStar Prop. Sub-Type</t>
  </si>
  <si>
    <t>dpIncome_DirectCapAssumptionsTable</t>
  </si>
  <si>
    <t>Actual Vacancy</t>
  </si>
  <si>
    <t>Sensitivity Analysis</t>
  </si>
  <si>
    <t>Standard Deviation</t>
  </si>
  <si>
    <t>Rent Roll</t>
  </si>
  <si>
    <t>General</t>
  </si>
  <si>
    <t>Lease-Up</t>
  </si>
  <si>
    <t>Stabilized Vacancy &amp; Collection Loss</t>
  </si>
  <si>
    <t>Less: Total Operating Expenses</t>
  </si>
  <si>
    <t>Plus: Total Potential Gross Non-Rental Income</t>
  </si>
  <si>
    <t>Less: Vacancy &amp; Collection Loss     @</t>
  </si>
  <si>
    <t>Occupied Area</t>
  </si>
  <si>
    <t>Reconciled Income Capitalization</t>
  </si>
  <si>
    <t>Blank Worksheets</t>
  </si>
  <si>
    <t>Cash to Seller</t>
  </si>
  <si>
    <t>Total Usable Land Area</t>
  </si>
  <si>
    <t>Total Gross Land Area</t>
  </si>
  <si>
    <t>Property Identification</t>
  </si>
  <si>
    <t>Client Identification Number</t>
  </si>
  <si>
    <t>Site</t>
  </si>
  <si>
    <t>FEMA Flood Map No.</t>
  </si>
  <si>
    <t>Flood Map Number</t>
  </si>
  <si>
    <t>Valuation Opinions</t>
  </si>
  <si>
    <t>Exposure Time</t>
  </si>
  <si>
    <t>Marketing Period</t>
  </si>
  <si>
    <t>Property Address</t>
  </si>
  <si>
    <t>Direct Capitalization Estimates</t>
  </si>
  <si>
    <t>Discounted Cash Flow Estimates</t>
  </si>
  <si>
    <t>Lease-Up Discount</t>
  </si>
  <si>
    <t>dpSum_SalientIncomeTable</t>
  </si>
  <si>
    <t>Reasonable Exposure Time</t>
  </si>
  <si>
    <t>Reasonable Marketing Time</t>
  </si>
  <si>
    <t>Lease-Up/Absorption Period</t>
  </si>
  <si>
    <t>dpValuation_Summary_Table</t>
  </si>
  <si>
    <t>dpValuation_AltSummary_Table</t>
  </si>
  <si>
    <t>Optional table for use when developing the Income Capitalization Approach</t>
  </si>
  <si>
    <t>Rounding</t>
  </si>
  <si>
    <t>*This is an alternative Value Conclusions table for use when the assignment includes more than three value conclusions, such as a portfolio assignment or assignment that requires individual component value estimates. The table will populate with typical data, but should be tailored to the assignment. The above listed table name will be maintained as long as Rows/Columns are added/deleted within the origional boundaries of the table.</t>
  </si>
  <si>
    <t>Gross Land-to-Building Ratio</t>
  </si>
  <si>
    <t>Usable Land-to-Building Ratio</t>
  </si>
  <si>
    <t>Revisions and Additions History</t>
  </si>
  <si>
    <t>Land Adjustment Grid</t>
  </si>
  <si>
    <t>*Use Plus Signs along Left Margin to Show/Hide Topic Details*</t>
  </si>
  <si>
    <t>Market</t>
  </si>
  <si>
    <t>Contract</t>
  </si>
  <si>
    <t>Year 1 Only</t>
  </si>
  <si>
    <t>Lease-Up Discount Calculation</t>
  </si>
  <si>
    <t>Land Sales Adjustment Grid</t>
  </si>
  <si>
    <t>Income Assumptions</t>
  </si>
  <si>
    <t>Profit Application</t>
  </si>
  <si>
    <t>Deferred Maintenance Application</t>
  </si>
  <si>
    <t>Weighted Average Market Rental Rate</t>
  </si>
  <si>
    <t>Weighted Average Contract Rental Rate</t>
  </si>
  <si>
    <t>Client File Number</t>
  </si>
  <si>
    <t>Year Built Range</t>
  </si>
  <si>
    <t>Subject Traffic Counts</t>
  </si>
  <si>
    <t>Show/Hide</t>
  </si>
  <si>
    <t>Show</t>
  </si>
  <si>
    <t>Hide</t>
  </si>
  <si>
    <t>NRA/GBA</t>
  </si>
  <si>
    <t>Depreciated Cost of Improvements</t>
  </si>
  <si>
    <t>Estimated Land Value</t>
  </si>
  <si>
    <t>Real Property</t>
  </si>
  <si>
    <t>Parking Ratio</t>
  </si>
  <si>
    <t>Non-Realty Components</t>
  </si>
  <si>
    <t>Non-Realty Description</t>
  </si>
  <si>
    <t>Show Tenant Name?</t>
  </si>
  <si>
    <t>Show Property Name?</t>
  </si>
  <si>
    <t>Lot</t>
  </si>
  <si>
    <t>Lots</t>
  </si>
  <si>
    <t>Subject Operating Statements</t>
  </si>
  <si>
    <t>of Lots</t>
  </si>
  <si>
    <t>Price per Proposed Square Foot</t>
  </si>
  <si>
    <t>Price per Lot</t>
  </si>
  <si>
    <t>Recording Number</t>
  </si>
  <si>
    <t>Book/Page Number</t>
  </si>
  <si>
    <t>Document Number</t>
  </si>
  <si>
    <t>Rounding Tool</t>
  </si>
  <si>
    <t>Label</t>
  </si>
  <si>
    <t>.01</t>
  </si>
  <si>
    <t>$1K</t>
  </si>
  <si>
    <t>$5K</t>
  </si>
  <si>
    <t>$10K</t>
  </si>
  <si>
    <t>$50K</t>
  </si>
  <si>
    <t>$100K</t>
  </si>
  <si>
    <t>$500K</t>
  </si>
  <si>
    <t>$1M</t>
  </si>
  <si>
    <r>
      <t>Overall Rate (R</t>
    </r>
    <r>
      <rPr>
        <b/>
        <vertAlign val="subscript"/>
        <sz val="10"/>
        <color theme="1"/>
        <rFont val="Segoe UI"/>
        <family val="2"/>
      </rPr>
      <t>O</t>
    </r>
    <r>
      <rPr>
        <b/>
        <sz val="10"/>
        <color theme="1"/>
        <rFont val="Segoe UI"/>
        <family val="2"/>
      </rPr>
      <t>)</t>
    </r>
  </si>
  <si>
    <t>Deferred Maintenance Statement</t>
  </si>
  <si>
    <t>Effective Rental Rate</t>
  </si>
  <si>
    <t>Minimum Rental Rate</t>
  </si>
  <si>
    <t>Maximum Rental Rate</t>
  </si>
  <si>
    <t>Median Rental Rate</t>
  </si>
  <si>
    <t>Mean Rental Rate</t>
  </si>
  <si>
    <t>Tenant Imp. Allowance - Over Base Amount</t>
  </si>
  <si>
    <t>per Usable Acre</t>
  </si>
  <si>
    <t>per Gross Acre</t>
  </si>
  <si>
    <t>per Front Foot</t>
  </si>
  <si>
    <t>per Lot</t>
  </si>
  <si>
    <t>Deferred Maintenance</t>
  </si>
  <si>
    <t>Leasehold Adjustment</t>
  </si>
  <si>
    <t>Units</t>
  </si>
  <si>
    <t>Unit</t>
  </si>
  <si>
    <t>Price per Proposed Unit</t>
  </si>
  <si>
    <t>Proposed Units</t>
  </si>
  <si>
    <t>per Proposed Unit</t>
  </si>
  <si>
    <t>Range</t>
  </si>
  <si>
    <t>No Supporting Data</t>
  </si>
  <si>
    <t>Appraised Value</t>
  </si>
  <si>
    <t>Cubic Yard</t>
  </si>
  <si>
    <t>Base Cost</t>
  </si>
  <si>
    <t>Excess Land Value</t>
  </si>
  <si>
    <t>Land Area (acres)</t>
  </si>
  <si>
    <t>Lease Abstract</t>
  </si>
  <si>
    <t>Commencement Date</t>
  </si>
  <si>
    <t>Renewal Options</t>
  </si>
  <si>
    <t>Concessions</t>
  </si>
  <si>
    <t>Escalation Terms</t>
  </si>
  <si>
    <t>Remarks</t>
  </si>
  <si>
    <t>Tenant Imp.</t>
  </si>
  <si>
    <t>Lease Remarks</t>
  </si>
  <si>
    <t>Assessor's Appraised</t>
  </si>
  <si>
    <t>Assessor's Total</t>
  </si>
  <si>
    <t>Rent Comparable Adjustment Grid</t>
  </si>
  <si>
    <t>Inventory Bldgs</t>
  </si>
  <si>
    <t>Inventory SF</t>
  </si>
  <si>
    <t>Deliveries Bldgs</t>
  </si>
  <si>
    <t>Deliveries SF</t>
  </si>
  <si>
    <t>Under Construction Bldgs</t>
  </si>
  <si>
    <t>Under Construction SF</t>
  </si>
  <si>
    <t>Net Absorption SF Direct</t>
  </si>
  <si>
    <t>Net Absorption SF Total</t>
  </si>
  <si>
    <t>Leasing Activity Deals Total</t>
  </si>
  <si>
    <t>OER</t>
  </si>
  <si>
    <t>EGIM Comparables</t>
  </si>
  <si>
    <t>dpSales_EGIM_Table</t>
  </si>
  <si>
    <t>EGIM Comparable Statistics</t>
  </si>
  <si>
    <t>Minimum EGIM</t>
  </si>
  <si>
    <t>Maximum EGIM</t>
  </si>
  <si>
    <t>Median EGIM</t>
  </si>
  <si>
    <t>Mean EGIM</t>
  </si>
  <si>
    <t>dpSales_EGIM_Statistics_Table</t>
  </si>
  <si>
    <t>Improved Sales Statistics</t>
  </si>
  <si>
    <t>Effective Gross Income Multiplier</t>
  </si>
  <si>
    <t>dpSales_EGIMConclusion_Table</t>
  </si>
  <si>
    <t>Component</t>
  </si>
  <si>
    <t>Leasing Required to Stabilize</t>
  </si>
  <si>
    <t>LUD - Discounted Calculation</t>
  </si>
  <si>
    <t>LUD - No Discount</t>
  </si>
  <si>
    <t>Percent / Unit</t>
  </si>
  <si>
    <t>1st Generation Space</t>
  </si>
  <si>
    <t>2nd Generation Space</t>
  </si>
  <si>
    <t>Income Loss</t>
  </si>
  <si>
    <t>Leasing Costs</t>
  </si>
  <si>
    <t>Allowance</t>
  </si>
  <si>
    <t>Potential Annual Loss</t>
  </si>
  <si>
    <t>Potential Loss over Lease-Up Period</t>
  </si>
  <si>
    <t>Estimated Income Loss over Lease-Up Period</t>
  </si>
  <si>
    <t>Total Leasing Costs</t>
  </si>
  <si>
    <t>Total Lost Income and Leasing Costs</t>
  </si>
  <si>
    <t>Calculated Lease-Up Adjustment</t>
  </si>
  <si>
    <t>dpValue_LUD_Discount</t>
  </si>
  <si>
    <t>dpValue_LUD_NoDiscount</t>
  </si>
  <si>
    <t>Note - 50.0% = Fixed Absorption</t>
  </si>
  <si>
    <t>Potential LUD Sources</t>
  </si>
  <si>
    <t>Period</t>
  </si>
  <si>
    <t>Cumulative % of NRA</t>
  </si>
  <si>
    <t>Period 1</t>
  </si>
  <si>
    <t>Period 2</t>
  </si>
  <si>
    <t>Period 3</t>
  </si>
  <si>
    <t>Period 4</t>
  </si>
  <si>
    <t>Period 5</t>
  </si>
  <si>
    <t>EGIM Analysis</t>
  </si>
  <si>
    <t>Overall Net Relative Comparison</t>
  </si>
  <si>
    <t>Show/Hide Filters</t>
  </si>
  <si>
    <t>Parcel Number</t>
  </si>
  <si>
    <t>Number of Units</t>
  </si>
  <si>
    <t>/ SF</t>
  </si>
  <si>
    <t>Profit</t>
  </si>
  <si>
    <t>Total Site Improvement Costs</t>
  </si>
  <si>
    <t>Adj. Direct Building Cost/SF of GBA</t>
  </si>
  <si>
    <t>dpCost_DirectBuildingCost_Table</t>
  </si>
  <si>
    <t>dpCost_DirectSiteImpCost_Table</t>
  </si>
  <si>
    <t>dpCost_IndirectCost_Table</t>
  </si>
  <si>
    <t>Cost Estimate</t>
  </si>
  <si>
    <t>Direct Building Cost</t>
  </si>
  <si>
    <t>Direct Site Improvement Cost</t>
  </si>
  <si>
    <t>dpCost_RCNComparison_Table</t>
  </si>
  <si>
    <t>dpCost_Profit_Table</t>
  </si>
  <si>
    <t>Cost Indicator</t>
  </si>
  <si>
    <t>Applied to Replacement Cost New Only</t>
  </si>
  <si>
    <t>Select Cost Unit</t>
  </si>
  <si>
    <t>Entrepreneurial Incentive Calculation</t>
  </si>
  <si>
    <t>Marshall Valuation Service Direct and Indirect Cost</t>
  </si>
  <si>
    <t>Developer's Budget</t>
  </si>
  <si>
    <t>Direct and Indirect Cost</t>
  </si>
  <si>
    <t>Direct and Indirect Cost New</t>
  </si>
  <si>
    <t>Applied to Replacement Cost New plus Land</t>
  </si>
  <si>
    <t>Direct Cost - Site Improvements</t>
  </si>
  <si>
    <t>Total Direct and Indirect Cost</t>
  </si>
  <si>
    <t>Incurable Depreciation Statement</t>
  </si>
  <si>
    <t>Subject Space NRA</t>
  </si>
  <si>
    <t>Subject Space Percent of Building</t>
  </si>
  <si>
    <t>Select Assignment Type</t>
  </si>
  <si>
    <t>USPS Report Type</t>
  </si>
  <si>
    <t>Annual Rent</t>
  </si>
  <si>
    <t>dpUSPS_Sum_SalientTable</t>
  </si>
  <si>
    <t>dpUSPS_ValuationTable</t>
  </si>
  <si>
    <t>Reimbursable Expenses - Year 1</t>
  </si>
  <si>
    <t>USPS</t>
  </si>
  <si>
    <t>Deterioration</t>
  </si>
  <si>
    <t>Curable Deterioration (Deferred Maintenance)</t>
  </si>
  <si>
    <t>Incurable - Short-Lived Deterioration</t>
  </si>
  <si>
    <t>Deteriorated</t>
  </si>
  <si>
    <t>Depreciated Cost Estimate</t>
  </si>
  <si>
    <t>Demolition Costs</t>
  </si>
  <si>
    <t>Proposed Date of New Lease Term</t>
  </si>
  <si>
    <t>dpCost_InsurableCostTable</t>
  </si>
  <si>
    <t>Insurable Cost Estimate</t>
  </si>
  <si>
    <t>Initial Rental Rate</t>
  </si>
  <si>
    <t>Initial Rent/SF</t>
  </si>
  <si>
    <t>Sale 1</t>
  </si>
  <si>
    <t>Sale 2</t>
  </si>
  <si>
    <t>Sale 3</t>
  </si>
  <si>
    <t>Sale 4</t>
  </si>
  <si>
    <t>Sale 5</t>
  </si>
  <si>
    <t>Sale 6</t>
  </si>
  <si>
    <t>Sale 7</t>
  </si>
  <si>
    <t>Sale 8</t>
  </si>
  <si>
    <t>Sale 9</t>
  </si>
  <si>
    <t>Sale 10</t>
  </si>
  <si>
    <t>Size Auto. Adjustment</t>
  </si>
  <si>
    <t>Enter per Doubling Factor</t>
  </si>
  <si>
    <t>(Rarely Pertinent to Investment Properties)</t>
  </si>
  <si>
    <t>Method</t>
  </si>
  <si>
    <t>Insurable Cost Method</t>
  </si>
  <si>
    <t>Insurable Cost Only</t>
  </si>
  <si>
    <t>Insurable Cost and Depreciated Insurable Cost</t>
  </si>
  <si>
    <t>Incurable Deterioration</t>
  </si>
  <si>
    <t>Indicated Deterioration Ratio</t>
  </si>
  <si>
    <t>Building + Site Direct Costs</t>
  </si>
  <si>
    <t>Reasonable Adjusted Comparable Range</t>
  </si>
  <si>
    <t>Estimate</t>
  </si>
  <si>
    <t>No. of</t>
  </si>
  <si>
    <t>12 Month Period Ending</t>
  </si>
  <si>
    <t>Construction Class / Quality</t>
  </si>
  <si>
    <t>Estimated Value of Site (PSF)</t>
  </si>
  <si>
    <t xml:space="preserve">  Less: Estimated Value of Site</t>
  </si>
  <si>
    <t>Contributory Value of Imp. (PSF)</t>
  </si>
  <si>
    <t xml:space="preserve">  Less: Contributory Value of Imp. (PSF)</t>
  </si>
  <si>
    <t>Depreciation (PSF)</t>
  </si>
  <si>
    <t>Depreciation %</t>
  </si>
  <si>
    <t>Average Annual Depreciation Rate</t>
  </si>
  <si>
    <t>Total Weighted Average</t>
  </si>
  <si>
    <t>dpIncome_RentComparisonDetailTable</t>
  </si>
  <si>
    <t>Template Tools</t>
  </si>
  <si>
    <t>Summary Type</t>
  </si>
  <si>
    <t>Light &amp; Detailed</t>
  </si>
  <si>
    <t>Line-Item Adj. User Entries</t>
  </si>
  <si>
    <t>Direct Cap. and DCF</t>
  </si>
  <si>
    <t>Price per Unit &amp; EGIM</t>
  </si>
  <si>
    <t>Space Categories - Market</t>
  </si>
  <si>
    <t>Space Categories - Contract</t>
  </si>
  <si>
    <t>Tenants - Contract / Market</t>
  </si>
  <si>
    <t>Sale Price (Net of Transactional Adj.)</t>
  </si>
  <si>
    <t>Subtotal</t>
  </si>
  <si>
    <t>Replacement Cost New Estimate</t>
  </si>
  <si>
    <t>Replacement Cost New Calculation Worksheet</t>
  </si>
  <si>
    <t>Market Extracted Annual Depreciation</t>
  </si>
  <si>
    <t>Dep. Method</t>
  </si>
  <si>
    <t>Effective Age on Date of Sale</t>
  </si>
  <si>
    <t>Use this worksheet to calculate Replacement Cost New for your Comparables; Enter this figure into Datappraise for future use</t>
  </si>
  <si>
    <t>Enter Replacement Cost New Estimate into Datappraise if it is not already; this will database this number allowing it to merge into Excel in the future and ensure a consistent estimate by all appraisers</t>
  </si>
  <si>
    <t>Replacement Cost New (PSF)</t>
  </si>
  <si>
    <t>Land Value Estimate?</t>
  </si>
  <si>
    <t>Yes - Part of Cost</t>
  </si>
  <si>
    <t>Market Extraction</t>
  </si>
  <si>
    <t>Depreciation Statistics</t>
  </si>
  <si>
    <t>Minimum</t>
  </si>
  <si>
    <t>Maximum</t>
  </si>
  <si>
    <t>Mean</t>
  </si>
  <si>
    <t>dpCost_IncurableMEStatistics_Table</t>
  </si>
  <si>
    <t>dpCost_IncurableME_Table</t>
  </si>
  <si>
    <t>dpCost_IncurableLongAL_Table</t>
  </si>
  <si>
    <t>Building Area Breakdown</t>
  </si>
  <si>
    <t>Blank Sheets</t>
  </si>
  <si>
    <t>BlankSheets</t>
  </si>
  <si>
    <t>Reference 1</t>
  </si>
  <si>
    <t>Reference 2</t>
  </si>
  <si>
    <t>Reference 3</t>
  </si>
  <si>
    <t>Show Filters</t>
  </si>
  <si>
    <t>Hide Filters</t>
  </si>
  <si>
    <t>Light</t>
  </si>
  <si>
    <t>Detailed</t>
  </si>
  <si>
    <t>Price per Unit</t>
  </si>
  <si>
    <t>Subject Historicals Only</t>
  </si>
  <si>
    <t>Expense Comparables Only</t>
  </si>
  <si>
    <t>Auto Open</t>
  </si>
  <si>
    <t>CoStar Property Type</t>
  </si>
  <si>
    <t>EDR</t>
  </si>
  <si>
    <t>Market Extracted Depreciation</t>
  </si>
  <si>
    <t>Market Rent Adjustment Grid</t>
  </si>
  <si>
    <t>ARGUS</t>
  </si>
  <si>
    <t>Manual Entry</t>
  </si>
  <si>
    <t>No Rent Roll</t>
  </si>
  <si>
    <t>Calculate External Obsolescence?</t>
  </si>
  <si>
    <t>No-Manual Entry</t>
  </si>
  <si>
    <t>Best Sale</t>
  </si>
  <si>
    <t>Datappraise Import</t>
  </si>
  <si>
    <t>Number of Tenants</t>
  </si>
  <si>
    <t>Datappraise/Manual Entry</t>
  </si>
  <si>
    <t>Subject Historicals &amp; Expense Comparables</t>
  </si>
  <si>
    <t>Initial Lease Rate</t>
  </si>
  <si>
    <t>Current Lease Rate</t>
  </si>
  <si>
    <t>Date Lease Commenced</t>
  </si>
  <si>
    <t>Unadjusted Sales Price</t>
  </si>
  <si>
    <t>Userform Check boxes</t>
  </si>
  <si>
    <t>Gen Value Assumptions</t>
  </si>
  <si>
    <t>Depr. Method</t>
  </si>
  <si>
    <t>Price Per Unit</t>
  </si>
  <si>
    <t>Valuation Technique</t>
  </si>
  <si>
    <t>Yes/No</t>
  </si>
  <si>
    <t>Expense Input Method</t>
  </si>
  <si>
    <t>Rent Display Option</t>
  </si>
  <si>
    <t>Rent Roll Source</t>
  </si>
  <si>
    <t>at Sale</t>
  </si>
  <si>
    <t>BOI Investor Surveys</t>
  </si>
  <si>
    <t>Excess SF</t>
  </si>
  <si>
    <t>Excess Acres</t>
  </si>
  <si>
    <t>Surplus SF</t>
  </si>
  <si>
    <t>Surplus Acres</t>
  </si>
  <si>
    <t>Primary - Usable Acres</t>
  </si>
  <si>
    <t>Primary - Gross Acres</t>
  </si>
  <si>
    <t>Primary - Usable SF</t>
  </si>
  <si>
    <t>Primary - Gross SF</t>
  </si>
  <si>
    <t>per Usable Square Foot</t>
  </si>
  <si>
    <t>per Gross Square Foot</t>
  </si>
  <si>
    <t>per Proposed Square Foot</t>
  </si>
  <si>
    <t>Price/Usable Square Foot</t>
  </si>
  <si>
    <t>Price/Gross Square Foot</t>
  </si>
  <si>
    <t>Unadjusted Sales Price per Usable Acre</t>
  </si>
  <si>
    <t>Unadjusted Sales Price per Usable Sq. Ft.</t>
  </si>
  <si>
    <t>Unadjusted Sales Price per Gross Acre</t>
  </si>
  <si>
    <t>Unadjusted Sales Price per Gross Sq. Ft.</t>
  </si>
  <si>
    <t>Unadjusted Sales Price per Front Foot</t>
  </si>
  <si>
    <t>Unadjusted Sales Price per Proposed Sq. Ft.</t>
  </si>
  <si>
    <t>Unadjusted Sales Price per Lot</t>
  </si>
  <si>
    <t>Unadjusted Sales Price per Proposed Unit</t>
  </si>
  <si>
    <t>Sales Price</t>
  </si>
  <si>
    <t>six</t>
  </si>
  <si>
    <t>Insurable Replacement Cost (RCV)</t>
  </si>
  <si>
    <t>Depreciated Insurable Cost (ACV)</t>
  </si>
  <si>
    <t>Current Rental Rate</t>
  </si>
  <si>
    <t>Expiration Date</t>
  </si>
  <si>
    <t>NOI Location Adjustment</t>
  </si>
  <si>
    <t>Comparable NOI per SF</t>
  </si>
  <si>
    <t>Subject NOI per SF</t>
  </si>
  <si>
    <t>Variance Attributed to Location</t>
  </si>
  <si>
    <t>Paid Parking Ratio &amp; Rate Adjustment</t>
  </si>
  <si>
    <t>Sale Comp.</t>
  </si>
  <si>
    <t>Ratio (per</t>
  </si>
  <si>
    <t>1,000 sf)</t>
  </si>
  <si>
    <t>Difference</t>
  </si>
  <si>
    <t>Parking Rate</t>
  </si>
  <si>
    <t>Adjust.</t>
  </si>
  <si>
    <t>dpSales_ParkingRatio_Table</t>
  </si>
  <si>
    <t>Avg. Remaining Lease Term</t>
  </si>
  <si>
    <t>Occupancy at Sale</t>
  </si>
  <si>
    <t>Percent at Contract Rent</t>
  </si>
  <si>
    <t>Property Rights Factor</t>
  </si>
  <si>
    <t>Adjustment to Rental Difference</t>
  </si>
  <si>
    <t>Market vs. Contract Rent Difference</t>
  </si>
  <si>
    <t>Net Operating Income  per SF</t>
  </si>
  <si>
    <t>50% Factor Reflects Cash Flow being Approx. 50% of Value and Reversion being other 50%</t>
  </si>
  <si>
    <t>Typical Holding Period</t>
  </si>
  <si>
    <t>dpSales_PropertyRights_AdjTable</t>
  </si>
  <si>
    <t>dpSales_LocationNOI_AdjTable</t>
  </si>
  <si>
    <t>Calculated Adjustment</t>
  </si>
  <si>
    <t>Location Adjustment</t>
  </si>
  <si>
    <t>Intended For Net Lease Template</t>
  </si>
  <si>
    <t>Intended For Fee Simple Analysis, such as Property Tax</t>
  </si>
  <si>
    <t>Property Rights Conveyed - Market vs. Contract Rent Adjustment</t>
  </si>
  <si>
    <t>Comp. Parking Ratio Range</t>
  </si>
  <si>
    <t>Comp. Parking Ratio Monthly Rate Range</t>
  </si>
  <si>
    <t>Ground Lease</t>
  </si>
  <si>
    <t>Plus Site Improvements (psf of GBA)</t>
  </si>
  <si>
    <t>Lessee</t>
  </si>
  <si>
    <t>Land Value Estimate</t>
  </si>
  <si>
    <t>Annual Return</t>
  </si>
  <si>
    <t>Lease Date</t>
  </si>
  <si>
    <t>Initial Year Ground Rent Calculation</t>
  </si>
  <si>
    <t>Land Value Opinion</t>
  </si>
  <si>
    <t>Indicated Return</t>
  </si>
  <si>
    <t>dpIncome_GroundRentComp_Table</t>
  </si>
  <si>
    <t>Market Ground Rent</t>
  </si>
  <si>
    <t>dpIncome_GroundRent_Table</t>
  </si>
  <si>
    <t>Date Lease Signed/Commences</t>
  </si>
  <si>
    <t>Date Lease Signed/Commences?</t>
  </si>
  <si>
    <t>Date Lease Commences</t>
  </si>
  <si>
    <t>Commences</t>
  </si>
  <si>
    <t>Plus Other Indirect Cost (%)</t>
  </si>
  <si>
    <t>Plus Entrepreneurial Incentive</t>
  </si>
  <si>
    <t>Vacancy Calculation Method</t>
  </si>
  <si>
    <t>Applied to PGI</t>
  </si>
  <si>
    <t>Applied to Potential Rental Income Only</t>
  </si>
  <si>
    <t>Rate of Return to Lessor</t>
  </si>
  <si>
    <t>Only Necessary if Rental Variance is Attributable to Something Other than Location</t>
  </si>
  <si>
    <t>Whole Foods</t>
  </si>
  <si>
    <t>Houston, TX</t>
  </si>
  <si>
    <t>Adjusted Sales Price</t>
  </si>
  <si>
    <t>Adjusted Rental Rate</t>
  </si>
  <si>
    <t>Months Free</t>
  </si>
  <si>
    <t>Percent Free</t>
  </si>
  <si>
    <t>Base Rental Rate</t>
  </si>
  <si>
    <t>dpIncome_RentConcessions_AdjTable</t>
  </si>
  <si>
    <t>Analyzed</t>
  </si>
  <si>
    <t>Analyzed Sales Price</t>
  </si>
  <si>
    <t>Analyzed Rental Rate</t>
  </si>
  <si>
    <t>Tax Value Type</t>
  </si>
  <si>
    <t>dpIncome_LeaseAbstract_1</t>
  </si>
  <si>
    <t>dpIncome_LeaseAbstract_2</t>
  </si>
  <si>
    <t>dpCost_DICN_Table</t>
  </si>
  <si>
    <t>Investment Grade</t>
  </si>
  <si>
    <t>Reserves</t>
  </si>
  <si>
    <t>Renewal Probability</t>
  </si>
  <si>
    <t>Renewal Prob.</t>
  </si>
  <si>
    <t>Annual Escalations</t>
  </si>
  <si>
    <t>Start Date</t>
  </si>
  <si>
    <t>Effective Date (Inspection)</t>
  </si>
  <si>
    <t>Market Rental Rate - Effective Date</t>
  </si>
  <si>
    <t>5-Yr. Term with 5-Year Renewal Option</t>
  </si>
  <si>
    <t>Rental Rate PSF</t>
  </si>
  <si>
    <t>Market Rental Rate - Prospective Date</t>
  </si>
  <si>
    <t>with Annual Escalations</t>
  </si>
  <si>
    <t>10-Yr. Term</t>
  </si>
  <si>
    <t>Level Rent</t>
  </si>
  <si>
    <t>Levelized Rent with Year 6 Bump</t>
  </si>
  <si>
    <t>Lease Scenario 1</t>
  </si>
  <si>
    <t>Lease Scenario 2</t>
  </si>
  <si>
    <t>Lease Scenario 3</t>
  </si>
  <si>
    <t>Lease Scenario 4</t>
  </si>
  <si>
    <t>Annual Expense</t>
  </si>
  <si>
    <t>Expense PSF</t>
  </si>
  <si>
    <t>Market Rent Study Only</t>
  </si>
  <si>
    <t>Market Rent and Value - Upon Inspection and Upon Lease Expiration</t>
  </si>
  <si>
    <t>Market Rent and Value - Upon Inspection Only</t>
  </si>
  <si>
    <t xml:space="preserve">    </t>
  </si>
  <si>
    <t>Proposed square foot</t>
  </si>
  <si>
    <t>Prospective Market Rent Scenarios</t>
  </si>
  <si>
    <t>Annual Rent - Effective Date</t>
  </si>
  <si>
    <t>Annual Rent - Prospective Date</t>
  </si>
  <si>
    <t>dpUSPS_MarketRent_Table</t>
  </si>
  <si>
    <t>Primary Traffic Count</t>
  </si>
  <si>
    <t>Remaining Lease Term (mos.)</t>
  </si>
  <si>
    <t>Remaining Lease Term</t>
  </si>
  <si>
    <t>Intangible Assets (BEV)</t>
  </si>
  <si>
    <t>Tangible Personal Property (FF&amp;E)</t>
  </si>
  <si>
    <t>Additional Indirect Cost</t>
  </si>
  <si>
    <t>United States</t>
  </si>
  <si>
    <t>Show Remaining Lease Term?</t>
  </si>
  <si>
    <t>Gross plus E</t>
  </si>
  <si>
    <t>•Line-Item Adjustment Bugs Fixed</t>
  </si>
  <si>
    <t>Expense Comp # 1</t>
  </si>
  <si>
    <t>Expense Comp # 2</t>
  </si>
  <si>
    <t>Expense Comp # 3</t>
  </si>
  <si>
    <t>Expense Comp # 4</t>
  </si>
  <si>
    <t>Expense Comp # 5</t>
  </si>
  <si>
    <t>dpIncome_InvSurveys_Marketing_Table</t>
  </si>
  <si>
    <t>Market Estimates</t>
  </si>
  <si>
    <t>Occupancy Gross-Up Adjustment</t>
  </si>
  <si>
    <t>Net Operating Income to Capitalize</t>
  </si>
  <si>
    <t>Tenant Improvements</t>
  </si>
  <si>
    <t>Capital Expenses</t>
  </si>
  <si>
    <t>Allowance and Turnover Vacancy</t>
  </si>
  <si>
    <t>Free Rent</t>
  </si>
  <si>
    <t>Gross Sales Price</t>
  </si>
  <si>
    <t>Adjusted Gross Sales Price</t>
  </si>
  <si>
    <t>Free Rent Offset</t>
  </si>
  <si>
    <t>Minimum Width</t>
  </si>
  <si>
    <t>dpIncome_Rent_Statistics_Table_1</t>
  </si>
  <si>
    <t>dpIncome_Rent_Statistics_Table_2</t>
  </si>
  <si>
    <t>Buckets</t>
  </si>
  <si>
    <t>Single</t>
  </si>
  <si>
    <t>dpIncome_RentClearHeightB1_AdjTable</t>
  </si>
  <si>
    <t>dpIncome_RentConcessionsB1_AdjTable</t>
  </si>
  <si>
    <t>dpIncome_RentClearHeightB2_AdjTable</t>
  </si>
  <si>
    <t>dpIncome_RentConcessionsB2_AdjTable</t>
  </si>
  <si>
    <t>Bucket 1</t>
  </si>
  <si>
    <t>Bucket 2</t>
  </si>
  <si>
    <t>dpIncome_Rents_SummaryLightB2_Table</t>
  </si>
  <si>
    <t>dpIncome_Rents_SummaryLightB1_Table</t>
  </si>
  <si>
    <t>dpIncome_Rents_SummaryDetailB1_Table</t>
  </si>
  <si>
    <t>dpIncome_Rents_SummaryDetailB2_Table</t>
  </si>
  <si>
    <t>Additional Indirect Costs</t>
  </si>
  <si>
    <t>Capitalization will match in Word</t>
  </si>
  <si>
    <t>Check</t>
  </si>
  <si>
    <t>Count</t>
  </si>
  <si>
    <t>Conversion</t>
  </si>
  <si>
    <t>Rating</t>
  </si>
  <si>
    <t>Exclude Zeros</t>
  </si>
  <si>
    <t>Poor</t>
  </si>
  <si>
    <t>Poor to Fair</t>
  </si>
  <si>
    <t>Fair</t>
  </si>
  <si>
    <t>Fair to Average</t>
  </si>
  <si>
    <t>Average to Good</t>
  </si>
  <si>
    <t>Good</t>
  </si>
  <si>
    <t>Good to Excellent</t>
  </si>
  <si>
    <t>Excellent</t>
  </si>
  <si>
    <t>Excellent to Superior</t>
  </si>
  <si>
    <t>Superior</t>
  </si>
  <si>
    <t>Percent Office Range</t>
  </si>
  <si>
    <t>Leased Area</t>
  </si>
  <si>
    <t>HVAC Warehouse</t>
  </si>
  <si>
    <t>Tax Accounts</t>
  </si>
  <si>
    <t>Craneways</t>
  </si>
  <si>
    <t>Identification</t>
  </si>
  <si>
    <t>WH Clear</t>
  </si>
  <si>
    <t>Height</t>
  </si>
  <si>
    <t>Office/Lab Finish</t>
  </si>
  <si>
    <t>WH A/C</t>
  </si>
  <si>
    <t>Canopy</t>
  </si>
  <si>
    <t>dpBuilding_Area_Summary</t>
  </si>
  <si>
    <t>*Note the categories can be modified as needed</t>
  </si>
  <si>
    <t>Multiplers</t>
  </si>
  <si>
    <t>Base</t>
  </si>
  <si>
    <t>*Multiplier Notes - Current - Unit in Place; Local - Class C</t>
  </si>
  <si>
    <t>dpCost_IncurableLongEAL_Table</t>
  </si>
  <si>
    <t>dpBuilding_AgeLife_Summary</t>
  </si>
  <si>
    <t>Implied Value</t>
  </si>
  <si>
    <t>Indirect Cost</t>
  </si>
  <si>
    <t>dpCost_RCN_Table</t>
  </si>
  <si>
    <t>Building Total</t>
  </si>
  <si>
    <t>Additional</t>
  </si>
  <si>
    <t>Replacement</t>
  </si>
  <si>
    <t>Site Improvement Total</t>
  </si>
  <si>
    <t>dpCost_RCNBreakout_Table</t>
  </si>
  <si>
    <t>+</t>
  </si>
  <si>
    <t>Replacement Cost New Total</t>
  </si>
  <si>
    <t>Less:</t>
  </si>
  <si>
    <t>Economic Age-Life</t>
  </si>
  <si>
    <t>Modified Age-Life</t>
  </si>
  <si>
    <t>Breakdown</t>
  </si>
  <si>
    <t>Calculated Depreciation Ratio</t>
  </si>
  <si>
    <t>Depreciation - Market Extraction Method</t>
  </si>
  <si>
    <t>dpCost_IncurableLongALBreakout_Table</t>
  </si>
  <si>
    <t>Physical</t>
  </si>
  <si>
    <t>Depreciated</t>
  </si>
  <si>
    <t>Obslescence</t>
  </si>
  <si>
    <t>External Obsolescence Allocation</t>
  </si>
  <si>
    <t>dpCost_ExternalBreakout_Table</t>
  </si>
  <si>
    <t>dpCost_IncurableMEAL_Table</t>
  </si>
  <si>
    <t>Depr. Rate</t>
  </si>
  <si>
    <t>Straight-Line (Linear)</t>
  </si>
  <si>
    <t>Exponential (MVS)</t>
  </si>
  <si>
    <t>Rounded</t>
  </si>
  <si>
    <t>Precise</t>
  </si>
  <si>
    <t>dpCost_ValueConclusionBreakout_Table</t>
  </si>
  <si>
    <t>Less: Total</t>
  </si>
  <si>
    <t>Depreciation Method</t>
  </si>
  <si>
    <t>Market Estimate</t>
  </si>
  <si>
    <t>Useful</t>
  </si>
  <si>
    <t>Leasing Activity</t>
  </si>
  <si>
    <t>Cumulative Leasing Activity</t>
  </si>
  <si>
    <t>dpIncome_Rent_Comp_Adjustments_Table1</t>
  </si>
  <si>
    <t>dpIncome_Rent_Comp_Adjustments_Table2</t>
  </si>
  <si>
    <t>External Obsolescence Total</t>
  </si>
  <si>
    <t>RCN Less</t>
  </si>
  <si>
    <t>Physical &amp;</t>
  </si>
  <si>
    <t>Less: Curable</t>
  </si>
  <si>
    <t>(Def. Maint.)</t>
  </si>
  <si>
    <t>Plus: Curable</t>
  </si>
  <si>
    <t>Single Rent Grid</t>
  </si>
  <si>
    <t>Bucket 1 Rent Grid</t>
  </si>
  <si>
    <t>Bucket 2 Rent Grid</t>
  </si>
  <si>
    <t>Less: Incurable Physical Deterioration</t>
  </si>
  <si>
    <t>Total Direct &amp;</t>
  </si>
  <si>
    <t>Potential Rent Total</t>
  </si>
  <si>
    <t>Terminal Cap. Rate</t>
  </si>
  <si>
    <t>Stab. Vacancy &amp; CL</t>
  </si>
  <si>
    <t>Overall Cap. Rate</t>
  </si>
  <si>
    <t>TI Allowance</t>
  </si>
  <si>
    <t>New</t>
  </si>
  <si>
    <t>Renew</t>
  </si>
  <si>
    <t>Status</t>
  </si>
  <si>
    <t>Occupied/Leased Total</t>
  </si>
  <si>
    <t>End</t>
  </si>
  <si>
    <t>% of</t>
  </si>
  <si>
    <t>Note ARGUS Enterprise can only pull in NRA and Rental Rate for leases/absorption starting within 1 year; you have to manually enter these figures for leases starting after 1 year on the ARGUS Enterprise Presentation Rent Roll after Exporting it; this can be completed before or after import to the VPA Excel</t>
  </si>
  <si>
    <t>Statement</t>
  </si>
  <si>
    <t>DP Space Categories</t>
  </si>
  <si>
    <t>Stabilized Vacancy with no General Vacancy</t>
  </si>
  <si>
    <t>Weighted Avg. Rem. Lease Term (WALT)</t>
  </si>
  <si>
    <t>Lease Expiration Schedule</t>
  </si>
  <si>
    <t>Subject OAR/Terminal BPS Spread Estimate</t>
  </si>
  <si>
    <t>Total/Weighted Avg.</t>
  </si>
  <si>
    <t>dpLand_Sales_SummaryLightB1_Table</t>
  </si>
  <si>
    <t>dpLand_Sales_SummaryLightB2_Table</t>
  </si>
  <si>
    <t>dpLand_Sales_SummaryDetailB1_Table</t>
  </si>
  <si>
    <t>dpLand_Sales_SummaryDetailB2_Table</t>
  </si>
  <si>
    <t>dpLand_Sales_Comp_Approach_Table_1</t>
  </si>
  <si>
    <t>dpLand_Sales_Statistics_Table_1</t>
  </si>
  <si>
    <t>dpLand_Sales_Comp_Approach_Table_2</t>
  </si>
  <si>
    <t>dpLand_Sales_Statistics_Table_2</t>
  </si>
  <si>
    <t>Sale Adjustment Grid</t>
  </si>
  <si>
    <t>Bucket 1 SCA Grid</t>
  </si>
  <si>
    <t>Bucket 2 SCA Grid</t>
  </si>
  <si>
    <t>Single SCA Grid</t>
  </si>
  <si>
    <t>Single Land Grid</t>
  </si>
  <si>
    <t>Bucket 1 Land Grid</t>
  </si>
  <si>
    <t>Bucket 2 Land Grid</t>
  </si>
  <si>
    <t>Insurable</t>
  </si>
  <si>
    <t>dpSales_SummaryTableB1_Light</t>
  </si>
  <si>
    <t>dpSales_SummaryTableB2_Light</t>
  </si>
  <si>
    <t>Contributory Value of Imp.</t>
  </si>
  <si>
    <t>NOI per SF</t>
  </si>
  <si>
    <t>dpSales_SummaryTableB1_Detailed</t>
  </si>
  <si>
    <t>dpSales_SummaryTableB2_Detailed</t>
  </si>
  <si>
    <t>- Applies Appraiser's Year 1 Tax Estimate from Tax Schedule</t>
  </si>
  <si>
    <t>Expense Pool 1</t>
  </si>
  <si>
    <t>Expense Pool 2</t>
  </si>
  <si>
    <t>Expense Pool 3</t>
  </si>
  <si>
    <t>Total Expense</t>
  </si>
  <si>
    <t>Expense Source</t>
  </si>
  <si>
    <t>Expense Pools</t>
  </si>
  <si>
    <t>Income Source</t>
  </si>
  <si>
    <t>Land Value Conclusions</t>
  </si>
  <si>
    <t>Tract</t>
  </si>
  <si>
    <t>Conclusions</t>
  </si>
  <si>
    <t>Unit Value Estimate</t>
  </si>
  <si>
    <t xml:space="preserve"> </t>
  </si>
  <si>
    <t>Date of Value &amp; Survey/Lease</t>
  </si>
  <si>
    <t>dpLand_Sales_ValueAlt_Table_1</t>
  </si>
  <si>
    <t>dpLand_Sales_Value_Table_1</t>
  </si>
  <si>
    <t>dpLand_Sales_ValueAlt_Table_2</t>
  </si>
  <si>
    <t>dpLand_Sales_Value_Table_2</t>
  </si>
  <si>
    <t>MVS Exclusions</t>
  </si>
  <si>
    <t>Expense Pool Name</t>
  </si>
  <si>
    <t>Less: Cost New of Short-Lived Items</t>
  </si>
  <si>
    <t>dpIncome_MarketRentEstimate_Table</t>
  </si>
  <si>
    <t>dpIncome_MarketRentEstimate_Table_2</t>
  </si>
  <si>
    <t>dpIncome_MarketRentEstimate_Table_1</t>
  </si>
  <si>
    <t>dpSale_Adjustments_Table_1</t>
  </si>
  <si>
    <t>dpSale_Statistics_Table_1</t>
  </si>
  <si>
    <t>dpSales_ValueConclusion_Table_1</t>
  </si>
  <si>
    <t>dpSale_Adjustments_Table_2</t>
  </si>
  <si>
    <t>dpSale_Statistics_Table_2</t>
  </si>
  <si>
    <t>dpSales_ValueConclusion_Table_2</t>
  </si>
  <si>
    <t>Automated Only</t>
  </si>
  <si>
    <t>Specialty Only</t>
  </si>
  <si>
    <t>Automated and Specialty</t>
  </si>
  <si>
    <t>dpSales_ClearHeight_AdjTable_1</t>
  </si>
  <si>
    <t>dpSales_PercentOffice_AdjTable_1</t>
  </si>
  <si>
    <t>dpSales_LtoBRatio_AdjTable_1</t>
  </si>
  <si>
    <t>dpSales_ParkingRatio_Table_1</t>
  </si>
  <si>
    <t>dpAutoAdj_DepreciationTable_1</t>
  </si>
  <si>
    <t>dpSales_ClearHeight_AdjTable_2</t>
  </si>
  <si>
    <t>dpSales_PercentOffice_AdjTable_2</t>
  </si>
  <si>
    <t>dpSales_LtoBRatio_AdjTable_2</t>
  </si>
  <si>
    <t>dpSales_ParkingRatio_Table_2</t>
  </si>
  <si>
    <t>dpAutoAdj_DepreciationTable_2</t>
  </si>
  <si>
    <t>dpSales_PropertyRights_AdjTable_1</t>
  </si>
  <si>
    <t>dpSales_LocationNOI_AdjTable_1</t>
  </si>
  <si>
    <t>dpSales_PropertyRights_AdjTable_2</t>
  </si>
  <si>
    <t>dpSales_LocationNOI_AdjTable_2</t>
  </si>
  <si>
    <t>Demolition Cost Calculation</t>
  </si>
  <si>
    <t>Existing GBA</t>
  </si>
  <si>
    <t>Demolition Cost (psf)</t>
  </si>
  <si>
    <t>Profit Factor</t>
  </si>
  <si>
    <t>Demolition Cost Estimate</t>
  </si>
  <si>
    <t>dpLand_DemolitionCost_Table</t>
  </si>
  <si>
    <t>dpLand_DemolitionCost_Table_2</t>
  </si>
  <si>
    <t>dpLand_DemolitionCost_Table_1</t>
  </si>
  <si>
    <t>dpLand_Sales_ValueAlt_Table</t>
  </si>
  <si>
    <t>dpSales_ValueComponents_Table</t>
  </si>
  <si>
    <t>apn</t>
  </si>
  <si>
    <t>fips</t>
  </si>
  <si>
    <t>dmp_id</t>
  </si>
  <si>
    <t>date</t>
  </si>
  <si>
    <t>msa</t>
  </si>
  <si>
    <t>loc_id</t>
  </si>
  <si>
    <t>prp_typ</t>
  </si>
  <si>
    <t>uc_std</t>
  </si>
  <si>
    <t>uc_std_</t>
  </si>
  <si>
    <t>uc_ctgr</t>
  </si>
  <si>
    <t>uc_ctgr_</t>
  </si>
  <si>
    <t>subway</t>
  </si>
  <si>
    <t>highway</t>
  </si>
  <si>
    <t>volume</t>
  </si>
  <si>
    <t>variety</t>
  </si>
  <si>
    <t>economc</t>
  </si>
  <si>
    <t>park</t>
  </si>
  <si>
    <t>personl</t>
  </si>
  <si>
    <t>proprty</t>
  </si>
  <si>
    <t>pedstrn</t>
  </si>
  <si>
    <t>vitalty</t>
  </si>
  <si>
    <t>cmp_agr</t>
  </si>
  <si>
    <t>cmp_bsp</t>
  </si>
  <si>
    <t>cmp_bss</t>
  </si>
  <si>
    <t>cmp_cmm</t>
  </si>
  <si>
    <t>cmp_cns</t>
  </si>
  <si>
    <t>cmp_cnp</t>
  </si>
  <si>
    <t>cmp_hlc</t>
  </si>
  <si>
    <t>cmp_htc</t>
  </si>
  <si>
    <t>cmp_mnn</t>
  </si>
  <si>
    <t>cmp_srv</t>
  </si>
  <si>
    <t>cmp_trd</t>
  </si>
  <si>
    <t>cmp_trn</t>
  </si>
  <si>
    <t>cmp_uns</t>
  </si>
  <si>
    <t>cmp_utl</t>
  </si>
  <si>
    <t>sd_ho</t>
  </si>
  <si>
    <t>sd_in</t>
  </si>
  <si>
    <t>sd_mf</t>
  </si>
  <si>
    <t>sd_of</t>
  </si>
  <si>
    <t>sd_rt</t>
  </si>
  <si>
    <t>trnsprt</t>
  </si>
  <si>
    <t>amenity</t>
  </si>
  <si>
    <t>safety</t>
  </si>
  <si>
    <t>sptl_dm</t>
  </si>
  <si>
    <t>subway_percentile</t>
  </si>
  <si>
    <t>highway_percentile</t>
  </si>
  <si>
    <t>volume_percentile</t>
  </si>
  <si>
    <t>variety_percentile</t>
  </si>
  <si>
    <t>economc_percentile</t>
  </si>
  <si>
    <t>park_percentile</t>
  </si>
  <si>
    <t>personl_percentile</t>
  </si>
  <si>
    <t>proprty_percentile</t>
  </si>
  <si>
    <t>pedstrn_percentile</t>
  </si>
  <si>
    <t>vitalty_percentile</t>
  </si>
  <si>
    <t>cmp_agr_percentile</t>
  </si>
  <si>
    <t>cmp_bsp_percentile</t>
  </si>
  <si>
    <t>cmp_bss_percentile</t>
  </si>
  <si>
    <t>cmp_cmm_percentile</t>
  </si>
  <si>
    <t>cmp_cns_percentile</t>
  </si>
  <si>
    <t>cmp_cnp_percentile</t>
  </si>
  <si>
    <t>cmp_hlc_percentile</t>
  </si>
  <si>
    <t>cmp_htc_percentile</t>
  </si>
  <si>
    <t>cmp_mnn_percentile</t>
  </si>
  <si>
    <t>cmp_srv_percentile</t>
  </si>
  <si>
    <t>cmp_trd_percentile</t>
  </si>
  <si>
    <t>cmp_trn_percentile</t>
  </si>
  <si>
    <t>cmp_uns_percentile</t>
  </si>
  <si>
    <t>cmp_utl_percentile</t>
  </si>
  <si>
    <t>sd_ho_percentile</t>
  </si>
  <si>
    <t>sd_in_percentile</t>
  </si>
  <si>
    <t>sd_mf_percentile</t>
  </si>
  <si>
    <t>sd_of_percentile</t>
  </si>
  <si>
    <t>sd_rt_percentile</t>
  </si>
  <si>
    <t>trnsprt_percentile</t>
  </si>
  <si>
    <t>amenity_percentile</t>
  </si>
  <si>
    <t>safety_percentile</t>
  </si>
  <si>
    <t>sptl_dm_percentile</t>
  </si>
  <si>
    <t>cre_of</t>
  </si>
  <si>
    <t>cre_mf</t>
  </si>
  <si>
    <t>cre_in</t>
  </si>
  <si>
    <t>cre_rt</t>
  </si>
  <si>
    <t>cre_ho</t>
  </si>
  <si>
    <t>cre</t>
  </si>
  <si>
    <t>cre_of_percentile</t>
  </si>
  <si>
    <t>cre_mf_percentile</t>
  </si>
  <si>
    <t>cre_in_percentile</t>
  </si>
  <si>
    <t>cre_rt_percentile</t>
  </si>
  <si>
    <t>cre_ho_percentile</t>
  </si>
  <si>
    <t>cre_percentile</t>
  </si>
  <si>
    <t>economc_percentile_nat</t>
  </si>
  <si>
    <t>vitalty_percentile_nat</t>
  </si>
  <si>
    <t>trnsprt_percentile_nat</t>
  </si>
  <si>
    <t>amenity_percentile_nat</t>
  </si>
  <si>
    <t>safety_percentile_nat</t>
  </si>
  <si>
    <t>sptl_dm_percentile_nat</t>
  </si>
  <si>
    <t>cre_of_percentile_nat</t>
  </si>
  <si>
    <t>cre_mf_percentile_nat</t>
  </si>
  <si>
    <t>cre_in_percentile_nat</t>
  </si>
  <si>
    <t>cre_rt_percentile_nat</t>
  </si>
  <si>
    <t>cre_ho_percentile_nat</t>
  </si>
  <si>
    <t>cre_percentile_nat</t>
  </si>
  <si>
    <t>OF</t>
  </si>
  <si>
    <t>SKYSCRAPER/HIGHRISE (COMMERCIAL OFFICES)</t>
  </si>
  <si>
    <t>COMMERCIAL (OFFICE)</t>
  </si>
  <si>
    <t>null</t>
  </si>
  <si>
    <t>100660192_219852432</t>
  </si>
  <si>
    <t>US_48_201_0451400060342</t>
  </si>
  <si>
    <t>*Demolition Cost Calculation Table Availabe Above</t>
  </si>
  <si>
    <t>Economic Characteristics</t>
  </si>
  <si>
    <t>Moodys</t>
  </si>
  <si>
    <t>Specialty Assignments</t>
  </si>
  <si>
    <t>Risk Assessment</t>
  </si>
  <si>
    <t>dpIncome_LeaseExpiration_Chart</t>
  </si>
  <si>
    <t>This Worksheet includes various narrative links for the appraisal report.</t>
  </si>
  <si>
    <t>Datappraise Data Collection</t>
  </si>
  <si>
    <t>Land Effective Date</t>
  </si>
  <si>
    <t>Improved Effective Date</t>
  </si>
  <si>
    <t>Potential Gross Income</t>
  </si>
  <si>
    <t>Total Operating Expense</t>
  </si>
  <si>
    <t>As Is Land Value</t>
  </si>
  <si>
    <t>As Is Property Value</t>
  </si>
  <si>
    <t>Heating, Cooling, Ventilation</t>
  </si>
  <si>
    <t>Building Class</t>
  </si>
  <si>
    <t>Building Quality</t>
  </si>
  <si>
    <t>Base Square Foot Cost</t>
  </si>
  <si>
    <t>dpCost_BaseCost_Table</t>
  </si>
  <si>
    <t>Exterior Wall</t>
  </si>
  <si>
    <t>Height per Story</t>
  </si>
  <si>
    <t>Miscellaneous</t>
  </si>
  <si>
    <t>Refined Square Foot Cost</t>
  </si>
  <si>
    <t>Combined Multiplier</t>
  </si>
  <si>
    <t>Final Square Foot Cost</t>
  </si>
  <si>
    <t>Average Floor Area (GBA)</t>
  </si>
  <si>
    <t>Lump Sum Adjustments</t>
  </si>
  <si>
    <t>Elevators</t>
  </si>
  <si>
    <t>Direct Building Cost Refinements</t>
  </si>
  <si>
    <t>Final Direct Building Cost Refinements and Calculation</t>
  </si>
  <si>
    <t>Direct Base Building Cost</t>
  </si>
  <si>
    <t>dpCost_BaseRefine_Table</t>
  </si>
  <si>
    <t>Alternative Organizer</t>
  </si>
  <si>
    <t>User-Defined Rent Roll Breakdown</t>
  </si>
  <si>
    <t>User-Defined Rent Roll Breakdown - Set Parameters on Rent Roll Breakdown Worksheet</t>
  </si>
  <si>
    <t>dpIncome_RentRoll_UserDefine_Table</t>
  </si>
  <si>
    <t>dpIncome_RentRoll_UserDefineChart</t>
  </si>
  <si>
    <t>1 Yr. Period Ending</t>
  </si>
  <si>
    <t>Mean Monthly Absorption</t>
  </si>
  <si>
    <t>Absorption Comparables</t>
  </si>
  <si>
    <t>Space Absorbed</t>
  </si>
  <si>
    <t>Absorption Period</t>
  </si>
  <si>
    <t>Monthly Absorption</t>
  </si>
  <si>
    <t>CoStar Historical Absorption</t>
  </si>
  <si>
    <t>Weight</t>
  </si>
  <si>
    <t>Calculated Figures</t>
  </si>
  <si>
    <t>Monthly Absorption Estimate</t>
  </si>
  <si>
    <t>Subject Vacancy</t>
  </si>
  <si>
    <t>-</t>
  </si>
  <si>
    <t>dpAbsorptionCoStar_Table</t>
  </si>
  <si>
    <t>dpAbsorptionComps_Table</t>
  </si>
  <si>
    <t>dpAbsorption_Table</t>
  </si>
  <si>
    <t>dpAbsorptionEstimate_Table</t>
  </si>
  <si>
    <t>Exterior Walls</t>
  </si>
  <si>
    <t>Average Perimeter</t>
  </si>
  <si>
    <t>VTAB</t>
  </si>
  <si>
    <t>Select VTAB to show Value Component Lines</t>
  </si>
  <si>
    <t>Credit/Collection Loss</t>
  </si>
  <si>
    <t>Vacant Available Percent % Direct</t>
  </si>
  <si>
    <t>Vacant Available Percent % Sublet</t>
  </si>
  <si>
    <t>Vacant Available Percent % Total</t>
  </si>
  <si>
    <t>Occupancy Percent</t>
  </si>
  <si>
    <t>Net Absorption SF Sublet</t>
  </si>
  <si>
    <t>Use Toggle Switch to Change Starting Quarter As Needed</t>
  </si>
  <si>
    <t>Applied Adjustment</t>
  </si>
  <si>
    <t>General Category Description (MVS)</t>
  </si>
  <si>
    <t>Class ID</t>
  </si>
  <si>
    <t>Class Multiplier</t>
  </si>
  <si>
    <t>Rating Multiplier</t>
  </si>
  <si>
    <t>Construction Quality Adjustments</t>
  </si>
  <si>
    <t>dpSales_Quality_AdjTable</t>
  </si>
  <si>
    <t>Calc. Adj. @</t>
  </si>
  <si>
    <t>Construction Quality Rating Adjustment</t>
  </si>
  <si>
    <t>dpIncome_RentQuality_AdjTable</t>
  </si>
  <si>
    <t>Prestige design that reflect a strong sense of pride of ownership; expensive ornamentation,  intererior finishes, and amenities</t>
  </si>
  <si>
    <t>Designed for good appearance, comfort and convenience, as well as an element of prestige; Ornamental treatment and interior finishes are usually higher quality with good amenities</t>
  </si>
  <si>
    <t>Designed for maximum economc potential with simple ornamentation and finishes; lack some of the pride of ownership or prestige amenities of higher-quality construction; essential amenities</t>
  </si>
  <si>
    <t>Rental 1</t>
  </si>
  <si>
    <t>Rental 2</t>
  </si>
  <si>
    <t>Rental 3</t>
  </si>
  <si>
    <t>Rental 4</t>
  </si>
  <si>
    <t>Rental 5</t>
  </si>
  <si>
    <t>Rental 6</t>
  </si>
  <si>
    <t>Rental 7</t>
  </si>
  <si>
    <t>Rental 8</t>
  </si>
  <si>
    <t>Rental 9</t>
  </si>
  <si>
    <t>Rental 10</t>
  </si>
  <si>
    <t>No Buckets</t>
  </si>
  <si>
    <t>dpIncome_OAR_TableB1</t>
  </si>
  <si>
    <t>dpIncome_OAR_TableB2</t>
  </si>
  <si>
    <t>Analysis located in Improvement Description</t>
  </si>
  <si>
    <t>Analysis located in Income Capitalization Approach</t>
  </si>
  <si>
    <t>Analysis located in</t>
  </si>
  <si>
    <t>*Enter Corresponding Analysis Location in Unshaded Cells to the Left</t>
  </si>
  <si>
    <t>*Enter Corresponding Analysis Location in Unshaded Cells Above</t>
  </si>
  <si>
    <t>Indicated Reasonable Value Range</t>
  </si>
  <si>
    <t>Unit of Value</t>
  </si>
  <si>
    <t>Indicated Incurable Depreciation</t>
  </si>
  <si>
    <t>Age/Condition Adjustment</t>
  </si>
  <si>
    <t>Improvement Contribution Ratio</t>
  </si>
  <si>
    <t>Subject MVS Depreciation</t>
  </si>
  <si>
    <t>Comparable MVS Depreciation</t>
  </si>
  <si>
    <t>dpSales_AgeCondition_AdjTable</t>
  </si>
  <si>
    <t>dpSales_AgeCondition_AdjTable_1</t>
  </si>
  <si>
    <t>dpSales_AgeCondition_AdjTable_2</t>
  </si>
  <si>
    <t>Below Average</t>
  </si>
  <si>
    <t>Constructed with minimum investment in mind; built to minimum code requirements often with little regard for architectural appearance or other amenities; interior partitioning and finish is minimal.</t>
  </si>
  <si>
    <t>Undesirable construction that is unlikely to meet minimum code requirements.</t>
  </si>
  <si>
    <t>Above Average</t>
  </si>
  <si>
    <t>Below-average construction with plain ornamentation and interior finishes; typically no amenities</t>
  </si>
  <si>
    <t>Above-average construction with above standard ornamentation and interior finishes; essential amenities with some upgrades</t>
  </si>
  <si>
    <t>per</t>
  </si>
  <si>
    <t>Total Land-to-Building Ratio</t>
  </si>
  <si>
    <t>Sublet</t>
  </si>
  <si>
    <t>Inventory</t>
  </si>
  <si>
    <t>Adjustment Per Year</t>
  </si>
  <si>
    <t>Subject Remaining Term</t>
  </si>
  <si>
    <t>Comparable Remaining Term</t>
  </si>
  <si>
    <t>dpSales_RemainTerm_AdjTable</t>
  </si>
  <si>
    <t>Remaining Lease Term Adjustment</t>
  </si>
  <si>
    <t>Make Independent Estimate</t>
  </si>
  <si>
    <t>Make Independent Estimate - Boulder Group is a Good Source to Extract Adjustment</t>
  </si>
  <si>
    <t>dpSales_RemainTerm_AdjTable_1</t>
  </si>
  <si>
    <t>dpSales_RemainTerm_AdjTable_2</t>
  </si>
  <si>
    <t>Economics</t>
  </si>
  <si>
    <t>LNU04000000</t>
  </si>
  <si>
    <t>Houston-The Woodlands-Sugar Land, TX (MSA)</t>
  </si>
  <si>
    <t>Montgomery County, TX</t>
  </si>
  <si>
    <t>Conroe city, TX</t>
  </si>
  <si>
    <t>Texas</t>
  </si>
  <si>
    <t>ST4800000000000</t>
  </si>
  <si>
    <t>MT4826420000000</t>
  </si>
  <si>
    <t>CN4833900000000</t>
  </si>
  <si>
    <t>CT4816432000000</t>
  </si>
  <si>
    <t>area_type_code</t>
  </si>
  <si>
    <t>area_code</t>
  </si>
  <si>
    <t>area_text</t>
  </si>
  <si>
    <t>State_Abbr</t>
  </si>
  <si>
    <t>Comma_Pos</t>
  </si>
  <si>
    <t>FIPS_State</t>
  </si>
  <si>
    <t>FIPS_Place</t>
  </si>
  <si>
    <t>List_No</t>
  </si>
  <si>
    <t>B</t>
  </si>
  <si>
    <t>MT0211260000000</t>
  </si>
  <si>
    <t>Anchorage, AK (MSA)</t>
  </si>
  <si>
    <t>AK</t>
  </si>
  <si>
    <t>MT0221820000000</t>
  </si>
  <si>
    <t>Fairbanks, AK (MSA)</t>
  </si>
  <si>
    <t>D</t>
  </si>
  <si>
    <t>MC0227940000000</t>
  </si>
  <si>
    <t>Juneau, AK (MiSA)</t>
  </si>
  <si>
    <t>MC0228540000000</t>
  </si>
  <si>
    <t>Ketchikan, AK (MiSA)</t>
  </si>
  <si>
    <t>MC0110700000000</t>
  </si>
  <si>
    <t>Albertville, AL (MiSA)</t>
  </si>
  <si>
    <t>AL</t>
  </si>
  <si>
    <t>MC0110760000000</t>
  </si>
  <si>
    <t>Alexander City, AL (MiSA)</t>
  </si>
  <si>
    <t>MT0111500000000</t>
  </si>
  <si>
    <t>Anniston-Oxford-Jacksonville, AL (MSA)</t>
  </si>
  <si>
    <t>MC0112120000000</t>
  </si>
  <si>
    <t>Atmore, AL (MiSA)</t>
  </si>
  <si>
    <t>MT0112220000000</t>
  </si>
  <si>
    <t>Auburn-Opelika, AL (MSA)</t>
  </si>
  <si>
    <t>MT0113820000000</t>
  </si>
  <si>
    <t>Birmingham-Hoover, AL (MSA)</t>
  </si>
  <si>
    <t>E</t>
  </si>
  <si>
    <t>CA0114200000000</t>
  </si>
  <si>
    <t>Birmingham-Hoover-Talladega, AL (CMSA)</t>
  </si>
  <si>
    <t>MC0118980000000</t>
  </si>
  <si>
    <t>Cullman, AL (MiSA)</t>
  </si>
  <si>
    <t>MT0119300000000</t>
  </si>
  <si>
    <t>Daphne-Fairhope-Foley, AL (MSA)</t>
  </si>
  <si>
    <t>MT0119460000000</t>
  </si>
  <si>
    <t>Decatur, AL (MSA)</t>
  </si>
  <si>
    <t>MT0120020000000</t>
  </si>
  <si>
    <t>Dothan, AL (MSA)</t>
  </si>
  <si>
    <t>CA0122200000000</t>
  </si>
  <si>
    <t>Dothan-Enterprise-Ozark, AL (CMSA)</t>
  </si>
  <si>
    <t>MC0121460000000</t>
  </si>
  <si>
    <t>Enterprise, AL (MiSA)</t>
  </si>
  <si>
    <t>MC0121640000000</t>
  </si>
  <si>
    <t>Eufaula, AL-GA (MiSA)</t>
  </si>
  <si>
    <t>MT0122520000000</t>
  </si>
  <si>
    <t>Florence-Muscle Shoals, AL (MSA)</t>
  </si>
  <si>
    <t>MC0122840000000</t>
  </si>
  <si>
    <t>Fort Payne, AL (MiSA)</t>
  </si>
  <si>
    <t>MT0123460000000</t>
  </si>
  <si>
    <t>Gadsden, AL (MSA)</t>
  </si>
  <si>
    <t>MT0126620000000</t>
  </si>
  <si>
    <t>Huntsville, AL (MSA)</t>
  </si>
  <si>
    <t>CA0129000000000</t>
  </si>
  <si>
    <t>Huntsville-Decatur-Albertville, AL (CMSA)</t>
  </si>
  <si>
    <t>MT0133660000000</t>
  </si>
  <si>
    <t>Mobile, AL (MSA)</t>
  </si>
  <si>
    <t>CA0138000000000</t>
  </si>
  <si>
    <t>Mobile-Daphne-Fairhope, AL (CMSA)</t>
  </si>
  <si>
    <t>MT0133860000000</t>
  </si>
  <si>
    <t>Montgomery, AL (MSA)</t>
  </si>
  <si>
    <t>MC0137120000000</t>
  </si>
  <si>
    <t>Ozark, AL (MiSA)</t>
  </si>
  <si>
    <t>MC0142460000000</t>
  </si>
  <si>
    <t>Scottsboro, AL (MiSA)</t>
  </si>
  <si>
    <t>MC0142820000000</t>
  </si>
  <si>
    <t>Selma, AL (MiSA)</t>
  </si>
  <si>
    <t>MC0145180000000</t>
  </si>
  <si>
    <t>Talladega-Sylacauga, AL (MiSA)</t>
  </si>
  <si>
    <t>MC0145980000000</t>
  </si>
  <si>
    <t>Troy, AL (MiSA)</t>
  </si>
  <si>
    <t>MT0146220000000</t>
  </si>
  <si>
    <t>Tuscaloosa, AL (MSA)</t>
  </si>
  <si>
    <t>MC0146740000000</t>
  </si>
  <si>
    <t>Valley, AL (MiSA)</t>
  </si>
  <si>
    <t>MC0511660000000</t>
  </si>
  <si>
    <t>Arkadelphia, AR (MiSA)</t>
  </si>
  <si>
    <t>AR</t>
  </si>
  <si>
    <t>MC0512900000000</t>
  </si>
  <si>
    <t>Batesville, AR (MiSA)</t>
  </si>
  <si>
    <t>MC0514180000000</t>
  </si>
  <si>
    <t>Blytheville, AR (MiSA)</t>
  </si>
  <si>
    <t>MC0515780000000</t>
  </si>
  <si>
    <t>Camden, AR (MiSA)</t>
  </si>
  <si>
    <t>MC0520980000000</t>
  </si>
  <si>
    <t>El Dorado, AR (MiSA)</t>
  </si>
  <si>
    <t>MT0522220000000</t>
  </si>
  <si>
    <t>Fayetteville-Springdale-Rogers, AR-MO (MSA)</t>
  </si>
  <si>
    <t>MC0522620000000</t>
  </si>
  <si>
    <t>Forrest City, AR (MiSA)</t>
  </si>
  <si>
    <t>MT0522900000000</t>
  </si>
  <si>
    <t>Fort Smith, AR-OK (MSA)</t>
  </si>
  <si>
    <t>MC0525460000000</t>
  </si>
  <si>
    <t>Harrison, AR (MiSA)</t>
  </si>
  <si>
    <t>MC0525760000000</t>
  </si>
  <si>
    <t>Helena-West Helena, AR (MiSA)</t>
  </si>
  <si>
    <t>MC0526260000000</t>
  </si>
  <si>
    <t>Hope, AR (MiSA)</t>
  </si>
  <si>
    <t>MT0526300000000</t>
  </si>
  <si>
    <t>Hot Springs, AR (MSA)</t>
  </si>
  <si>
    <t>CA0528400000000</t>
  </si>
  <si>
    <t>Hot Springs-Malvern, AR (CMSA)</t>
  </si>
  <si>
    <t>MT0527860000000</t>
  </si>
  <si>
    <t>Jonesboro, AR (MSA)</t>
  </si>
  <si>
    <t>CA0530800000000</t>
  </si>
  <si>
    <t>Jonesboro-Paragould, AR (CMSA)</t>
  </si>
  <si>
    <t>CA0534000000000</t>
  </si>
  <si>
    <t>Little Rock-North Little Rock, AR (CMSA)</t>
  </si>
  <si>
    <t>MT0530780000000</t>
  </si>
  <si>
    <t>Little Rock-North Little Rock-Conway, AR (MSA)</t>
  </si>
  <si>
    <t>MC0531620000000</t>
  </si>
  <si>
    <t>Magnolia, AR (MiSA)</t>
  </si>
  <si>
    <t>MC0531680000000</t>
  </si>
  <si>
    <t>Malvern, AR (MiSA)</t>
  </si>
  <si>
    <t>MC0534260000000</t>
  </si>
  <si>
    <t>Mountain Home, AR (MiSA)</t>
  </si>
  <si>
    <t>MC0537500000000</t>
  </si>
  <si>
    <t>Paragould, AR (MiSA)</t>
  </si>
  <si>
    <t>MT0538220000000</t>
  </si>
  <si>
    <t>Pine Bluff, AR (MSA)</t>
  </si>
  <si>
    <t>MC0540780000000</t>
  </si>
  <si>
    <t>Russellville, AR (MiSA)</t>
  </si>
  <si>
    <t>MC0542620000000</t>
  </si>
  <si>
    <t>Searcy, AR (MiSA)</t>
  </si>
  <si>
    <t>MT0422380000000</t>
  </si>
  <si>
    <t>Flagstaff, AZ (MSA)</t>
  </si>
  <si>
    <t>AZ</t>
  </si>
  <si>
    <t>MT0429420000000</t>
  </si>
  <si>
    <t>Lake Havasu City-Kingman, AZ (MSA)</t>
  </si>
  <si>
    <t>MC0435700000000</t>
  </si>
  <si>
    <t>Nogales, AZ (MiSA)</t>
  </si>
  <si>
    <t>MC0437740000000</t>
  </si>
  <si>
    <t>Payson, AZ (MiSA)</t>
  </si>
  <si>
    <t>MT0438060000000</t>
  </si>
  <si>
    <t>Phoenix-Mesa-Scottsdale, AZ (MSA)</t>
  </si>
  <si>
    <t>MT0439140000000</t>
  </si>
  <si>
    <t>Prescott, AZ (MSA)</t>
  </si>
  <si>
    <t>MC0440940000000</t>
  </si>
  <si>
    <t>Safford, AZ (MiSA)</t>
  </si>
  <si>
    <t>MC0443320000000</t>
  </si>
  <si>
    <t>Show Low, AZ (MiSA)</t>
  </si>
  <si>
    <t>MT0443420000000</t>
  </si>
  <si>
    <t>Sierra Vista-Douglas, AZ (MSA)</t>
  </si>
  <si>
    <t>MT0446060000000</t>
  </si>
  <si>
    <t>Tucson, AZ (MSA)</t>
  </si>
  <si>
    <t>CA0453600000000</t>
  </si>
  <si>
    <t>Tucson-Nogales, AZ (CMSA)</t>
  </si>
  <si>
    <t>MT0449740000000</t>
  </si>
  <si>
    <t>Yuma, AZ (MSA)</t>
  </si>
  <si>
    <t>C</t>
  </si>
  <si>
    <t>DV0611244000000</t>
  </si>
  <si>
    <t>Anaheim-Santa Ana-Irvine, CA (MD)</t>
  </si>
  <si>
    <t>CA</t>
  </si>
  <si>
    <t>MT0612540000000</t>
  </si>
  <si>
    <t>Bakersfield, CA (MSA)</t>
  </si>
  <si>
    <t>MT0617020000000</t>
  </si>
  <si>
    <t>Chico, CA (MSA)</t>
  </si>
  <si>
    <t>MC0617340000000</t>
  </si>
  <si>
    <t>Clearlake, CA (MiSA)</t>
  </si>
  <si>
    <t>MC0618860000000</t>
  </si>
  <si>
    <t>Crescent City, CA (MiSA)</t>
  </si>
  <si>
    <t>MT0620940000000</t>
  </si>
  <si>
    <t>El Centro, CA (MSA)</t>
  </si>
  <si>
    <t>MC0621700000000</t>
  </si>
  <si>
    <t>Eureka-Arcata-Fortuna, CA (MiSA)</t>
  </si>
  <si>
    <t>MT0623420000000</t>
  </si>
  <si>
    <t>Fresno, CA (MSA)</t>
  </si>
  <si>
    <t>CA0626000000000</t>
  </si>
  <si>
    <t>Fresno-Madera, CA (CMSA)</t>
  </si>
  <si>
    <t>MT0625260000000</t>
  </si>
  <si>
    <t>Hanford-Corcoran, CA (MSA)</t>
  </si>
  <si>
    <t>CA0634800000000</t>
  </si>
  <si>
    <t>Los Angeles-Long Beach, CA (CMSA)</t>
  </si>
  <si>
    <t>MT0631080000000</t>
  </si>
  <si>
    <t>Los Angeles-Long Beach-Anaheim, CA (MSA)</t>
  </si>
  <si>
    <t>DV0631084000000</t>
  </si>
  <si>
    <t>Los Angeles-Long Beach-Glendale, CA (MD)</t>
  </si>
  <si>
    <t>MT0631460000000</t>
  </si>
  <si>
    <t>Madera, CA (MSA)</t>
  </si>
  <si>
    <t>MT0632900000000</t>
  </si>
  <si>
    <t>Merced, CA (MSA)</t>
  </si>
  <si>
    <t>MT0633700000000</t>
  </si>
  <si>
    <t>Modesto, CA (MSA)</t>
  </si>
  <si>
    <t>CA0638200000000</t>
  </si>
  <si>
    <t>Modesto-Merced, CA (CMSA)</t>
  </si>
  <si>
    <t>MT0634900000000</t>
  </si>
  <si>
    <t>Napa, CA (MSA)</t>
  </si>
  <si>
    <t>DV0636084000000</t>
  </si>
  <si>
    <t>Oakland-Hayward-Berkeley, CA (MD)</t>
  </si>
  <si>
    <t>MT0637100000000</t>
  </si>
  <si>
    <t>Oxnard-Thousand Oaks-Ventura, CA (MSA)</t>
  </si>
  <si>
    <t>MC0639780000000</t>
  </si>
  <si>
    <t>Red Bluff, CA (MiSA)</t>
  </si>
  <si>
    <t>MT0639820000000</t>
  </si>
  <si>
    <t>Redding, CA (MSA)</t>
  </si>
  <si>
    <t>CA0645400000000</t>
  </si>
  <si>
    <t>Redding-Red Bluff, CA (CMSA)</t>
  </si>
  <si>
    <t>MT0640140000000</t>
  </si>
  <si>
    <t>Riverside-San Bernardino-Ontario, CA (MSA)</t>
  </si>
  <si>
    <t>CA0647200000000</t>
  </si>
  <si>
    <t>Sacramento-Roseville, CA (CMSA)</t>
  </si>
  <si>
    <t>MT0640900000000</t>
  </si>
  <si>
    <t>Sacramento--Roseville--Arden-Arcade, CA (MSA)</t>
  </si>
  <si>
    <t>MT0641500000000</t>
  </si>
  <si>
    <t>Salinas, CA (MSA)</t>
  </si>
  <si>
    <t>MT0641740000000</t>
  </si>
  <si>
    <t>San Diego-Carlsbad, CA (MSA)</t>
  </si>
  <si>
    <t>MT0641860000000</t>
  </si>
  <si>
    <t>San Francisco-Oakland-Hayward, CA (MSA)</t>
  </si>
  <si>
    <t>DV0641884000000</t>
  </si>
  <si>
    <t>San Francisco-Redwood City-South San Francisco, CA (MD)</t>
  </si>
  <si>
    <t>CA0648800000000</t>
  </si>
  <si>
    <t>San Jose-San Francisco-Oakland, CA (CMSA)</t>
  </si>
  <si>
    <t>MT0641940000000</t>
  </si>
  <si>
    <t>San Jose-Sunnyvale-Santa Clara, CA (MSA)</t>
  </si>
  <si>
    <t>MT0642020000000</t>
  </si>
  <si>
    <t>San Luis Obispo-Paso Robles-Arroyo Grande, CA (MSA)</t>
  </si>
  <si>
    <t>DV0642034000000</t>
  </si>
  <si>
    <t>San Rafael, CA (MD)</t>
  </si>
  <si>
    <t>MT0642100000000</t>
  </si>
  <si>
    <t>Santa Cruz-Watsonville, CA (MSA)</t>
  </si>
  <si>
    <t>MT0642200000000</t>
  </si>
  <si>
    <t>Santa Maria-Santa Barbara, CA (MSA)</t>
  </si>
  <si>
    <t>MT0642220000000</t>
  </si>
  <si>
    <t>Santa Rosa, CA (MSA)</t>
  </si>
  <si>
    <t>MC0643760000000</t>
  </si>
  <si>
    <t>Sonora, CA (MiSA)</t>
  </si>
  <si>
    <t>MT0644700000000</t>
  </si>
  <si>
    <t>Stockton-Lodi, CA (MSA)</t>
  </si>
  <si>
    <t>MC0645000000000</t>
  </si>
  <si>
    <t>Susanville, CA (MiSA)</t>
  </si>
  <si>
    <t>MC0646020000000</t>
  </si>
  <si>
    <t>Truckee-Grass Valley, CA (MiSA)</t>
  </si>
  <si>
    <t>MC0646380000000</t>
  </si>
  <si>
    <t>Ukiah, CA (MiSA)</t>
  </si>
  <si>
    <t>MT0646700000000</t>
  </si>
  <si>
    <t>Vallejo-Fairfield, CA (MSA)</t>
  </si>
  <si>
    <t>MT0647300000000</t>
  </si>
  <si>
    <t>Visalia-Porterville, CA (MSA)</t>
  </si>
  <si>
    <t>CA0654600000000</t>
  </si>
  <si>
    <t>Visalia-Porterville-Hanford, CA (CMSA)</t>
  </si>
  <si>
    <t>MT0649700000000</t>
  </si>
  <si>
    <t>Yuba City, CA (MSA)</t>
  </si>
  <si>
    <t>MT0814500000000</t>
  </si>
  <si>
    <t>Boulder, CO (MSA)</t>
  </si>
  <si>
    <t>CO</t>
  </si>
  <si>
    <t>MC0814720000000</t>
  </si>
  <si>
    <t>Breckenridge, CO (MiSA)</t>
  </si>
  <si>
    <t>MC0815860000000</t>
  </si>
  <si>
    <t>Canon City, CO (MiSA)</t>
  </si>
  <si>
    <t>MT0817820000000</t>
  </si>
  <si>
    <t>Colorado Springs, CO (MSA)</t>
  </si>
  <si>
    <t>MC0818780000000</t>
  </si>
  <si>
    <t>Craig, CO (MiSA)</t>
  </si>
  <si>
    <t>CA0821600000000</t>
  </si>
  <si>
    <t>Denver-Aurora, CO (CMSA)</t>
  </si>
  <si>
    <t>MT0819740000000</t>
  </si>
  <si>
    <t>Denver-Aurora-Lakewood, CO (MSA)</t>
  </si>
  <si>
    <t>MC0820420000000</t>
  </si>
  <si>
    <t>Durango, CO (MiSA)</t>
  </si>
  <si>
    <t>MC0820780000000</t>
  </si>
  <si>
    <t>Edwards, CO (MiSA)</t>
  </si>
  <si>
    <t>CA0823300000000</t>
  </si>
  <si>
    <t>Edwards-Glenwood Springs, CO (CMSA)</t>
  </si>
  <si>
    <t>MT0822660000000</t>
  </si>
  <si>
    <t>Fort Collins, CO (MSA)</t>
  </si>
  <si>
    <t>MC0822820000000</t>
  </si>
  <si>
    <t>Fort Morgan, CO (MiSA)</t>
  </si>
  <si>
    <t>MC0824060000000</t>
  </si>
  <si>
    <t>Glenwood Springs, CO (MiSA)</t>
  </si>
  <si>
    <t>MT0824300000000</t>
  </si>
  <si>
    <t>Grand Junction, CO (MSA)</t>
  </si>
  <si>
    <t>MT0824540000000</t>
  </si>
  <si>
    <t>Greeley, CO (MSA)</t>
  </si>
  <si>
    <t>MC0833940000000</t>
  </si>
  <si>
    <t>Montrose, CO (MiSA)</t>
  </si>
  <si>
    <t>MT0839380000000</t>
  </si>
  <si>
    <t>Pueblo, CO (MSA)</t>
  </si>
  <si>
    <t>CA0844400000000</t>
  </si>
  <si>
    <t>Pueblo-Canon City, CO (CMSA)</t>
  </si>
  <si>
    <t>MC0844460000000</t>
  </si>
  <si>
    <t>Steamboat Springs, CO (MiSA)</t>
  </si>
  <si>
    <t>CA0852500000000</t>
  </si>
  <si>
    <t>Steamboat Springs-Craig, CO (CMSA)</t>
  </si>
  <si>
    <t>MC0844540000000</t>
  </si>
  <si>
    <t>Sterling, CO (MiSA)</t>
  </si>
  <si>
    <t>CA0972000000000</t>
  </si>
  <si>
    <t>Bridgeport-New Haven-Stamford, CT (C-NECTA)</t>
  </si>
  <si>
    <t>CT</t>
  </si>
  <si>
    <t>MT0971950000000</t>
  </si>
  <si>
    <t>Bridgeport-Stamford-Norwalk, CT (M-NECTA)</t>
  </si>
  <si>
    <t>MT0972850000000</t>
  </si>
  <si>
    <t>Danbury, CT (M-NECTA)</t>
  </si>
  <si>
    <t>MT0973450000000</t>
  </si>
  <si>
    <t>Hartford-West Hartford-East Hartford, CT (M-NECTA)</t>
  </si>
  <si>
    <t>MT0975700000000</t>
  </si>
  <si>
    <t>New Haven, CT (M-NECTA)</t>
  </si>
  <si>
    <t>MT0976450000000</t>
  </si>
  <si>
    <t>Norwich-New London-Westerly, CT-RI (M-NECTA)</t>
  </si>
  <si>
    <t>MC0978400000000</t>
  </si>
  <si>
    <t>Torrington, CT (Mi-NECTA)</t>
  </si>
  <si>
    <t>MT0978700000000</t>
  </si>
  <si>
    <t>Waterbury, CT (M-NECTA)</t>
  </si>
  <si>
    <t>DV1147894000000</t>
  </si>
  <si>
    <t>Washington-Arlington-Alexandria, DC-VA-MD-WV (MD)</t>
  </si>
  <si>
    <t>DC</t>
  </si>
  <si>
    <t>MT1147900000000</t>
  </si>
  <si>
    <t>Washington-Arlington-Alexandria, DC-VA-MD-WV (MSA)</t>
  </si>
  <si>
    <t>CA1154800000000</t>
  </si>
  <si>
    <t>Washington-Baltimore-Arlington, DC-MD-VA-WV-PA (CMSA)</t>
  </si>
  <si>
    <t>MT1020100000000</t>
  </si>
  <si>
    <t>Dover, DE (MSA)</t>
  </si>
  <si>
    <t>DE</t>
  </si>
  <si>
    <t>DV1048864000000</t>
  </si>
  <si>
    <t>Wilmington, DE-MD-NJ (MD)</t>
  </si>
  <si>
    <t>MC1211580000000</t>
  </si>
  <si>
    <t>Arcadia, FL (MiSA)</t>
  </si>
  <si>
    <t>FL</t>
  </si>
  <si>
    <t>MT1215980000000</t>
  </si>
  <si>
    <t>Cape Coral-Fort Myers, FL (MSA)</t>
  </si>
  <si>
    <t>CA1216200000000</t>
  </si>
  <si>
    <t>Cape Coral-Fort Myers-Naples, FL (CMSA)</t>
  </si>
  <si>
    <t>MC1217500000000</t>
  </si>
  <si>
    <t>Clewiston, FL (MiSA)</t>
  </si>
  <si>
    <t>MT1218880000000</t>
  </si>
  <si>
    <t>Crestview-Fort Walton Beach-Destin, FL (MSA)</t>
  </si>
  <si>
    <t>MT1219660000000</t>
  </si>
  <si>
    <t>Deltona-Daytona Beach-Ormond Beach, FL (MSA)</t>
  </si>
  <si>
    <t>DV1222744000000</t>
  </si>
  <si>
    <t>Fort Lauderdale-Pompano Beach-Deerfield Beach, FL (MD)</t>
  </si>
  <si>
    <t>MT1223540000000</t>
  </si>
  <si>
    <t>Gainesville, FL (MSA)</t>
  </si>
  <si>
    <t>CA1226400000000</t>
  </si>
  <si>
    <t>Gainesville-Lake City, FL (CMSA)</t>
  </si>
  <si>
    <t>MT1226140000000</t>
  </si>
  <si>
    <t>Homosassa Springs, FL (MSA)</t>
  </si>
  <si>
    <t>MT1227260000000</t>
  </si>
  <si>
    <t>Jacksonville, FL (MSA)</t>
  </si>
  <si>
    <t>CA1230000000000</t>
  </si>
  <si>
    <t>Jacksonville-St. Marys-Palatka, FL-GA (CMSA)</t>
  </si>
  <si>
    <t>MC1228580000000</t>
  </si>
  <si>
    <t>Key West, FL (MiSA)</t>
  </si>
  <si>
    <t>MC1229380000000</t>
  </si>
  <si>
    <t>Lake City, FL (MiSA)</t>
  </si>
  <si>
    <t>MT1229460000000</t>
  </si>
  <si>
    <t>Lakeland-Winter Haven, FL (MSA)</t>
  </si>
  <si>
    <t>CA1237000000000</t>
  </si>
  <si>
    <t>Miami-Fort Lauderdale-Port St. Lucie, FL (CMSA)</t>
  </si>
  <si>
    <t>MT1233100000000</t>
  </si>
  <si>
    <t>Miami-Fort Lauderdale-West Palm Beach, FL (MSA)</t>
  </si>
  <si>
    <t>DV1233124000000</t>
  </si>
  <si>
    <t>Miami-Miami Beach-Kendall, FL (MD)</t>
  </si>
  <si>
    <t>MT1234940000000</t>
  </si>
  <si>
    <t>Naples-Immokalee-Marco Island, FL (MSA)</t>
  </si>
  <si>
    <t>CA1241200000000</t>
  </si>
  <si>
    <t>North Port-Sarasota, FL (CMSA)</t>
  </si>
  <si>
    <t>MT1235840000000</t>
  </si>
  <si>
    <t>North Port-Sarasota-Bradenton, FL (MSA)</t>
  </si>
  <si>
    <t>MT1236100000000</t>
  </si>
  <si>
    <t>Ocala, FL (MSA)</t>
  </si>
  <si>
    <t>MC1236380000000</t>
  </si>
  <si>
    <t>Okeechobee, FL (MiSA)</t>
  </si>
  <si>
    <t>CA1242200000000</t>
  </si>
  <si>
    <t>Orlando-Deltona-Daytona Beach, FL (CMSA)</t>
  </si>
  <si>
    <t>MT1236740000000</t>
  </si>
  <si>
    <t>Orlando-Kissimmee-Sanford, FL (MSA)</t>
  </si>
  <si>
    <t>MC1237260000000</t>
  </si>
  <si>
    <t>Palatka, FL (MiSA)</t>
  </si>
  <si>
    <t>MT1237340000000</t>
  </si>
  <si>
    <t>Palm Bay-Melbourne-Titusville, FL (MSA)</t>
  </si>
  <si>
    <t>MT1237460000000</t>
  </si>
  <si>
    <t>Panama City, FL (MSA)</t>
  </si>
  <si>
    <t>CA1242600000000</t>
  </si>
  <si>
    <t>Pensacola-Ferry Pass, FL-AL (CMSA)</t>
  </si>
  <si>
    <t>MT1237860000000</t>
  </si>
  <si>
    <t>Pensacola-Ferry Pass-Brent, FL (MSA)</t>
  </si>
  <si>
    <t>MT1238940000000</t>
  </si>
  <si>
    <t>Port St. Lucie, FL (MSA)</t>
  </si>
  <si>
    <t>MT1239460000000</t>
  </si>
  <si>
    <t>Punta Gorda, FL (MSA)</t>
  </si>
  <si>
    <t>MT1242680000000</t>
  </si>
  <si>
    <t>Sebastian-Vero Beach, FL (MSA)</t>
  </si>
  <si>
    <t>MT1242700000000</t>
  </si>
  <si>
    <t>Sebring, FL (MSA)</t>
  </si>
  <si>
    <t>MT1245220000000</t>
  </si>
  <si>
    <t>Tallahassee, FL (MSA)</t>
  </si>
  <si>
    <t>CA1253300000000</t>
  </si>
  <si>
    <t>Tallahassee-Bainbridge, FL-GA (CMSA)</t>
  </si>
  <si>
    <t>MT1245300000000</t>
  </si>
  <si>
    <t>Tampa-St. Petersburg-Clearwater, FL (MSA)</t>
  </si>
  <si>
    <t>MT1245540000000</t>
  </si>
  <si>
    <t>The Villages, FL (MSA)</t>
  </si>
  <si>
    <t>MC1248100000000</t>
  </si>
  <si>
    <t>Wauchula, FL (MiSA)</t>
  </si>
  <si>
    <t>DV1248424000000</t>
  </si>
  <si>
    <t>West Palm Beach-Boca Raton-Delray Beach, FL (MD)</t>
  </si>
  <si>
    <t>MT1310500000000</t>
  </si>
  <si>
    <t>Albany, GA (MSA)</t>
  </si>
  <si>
    <t>GA</t>
  </si>
  <si>
    <t>MC1311140000000</t>
  </si>
  <si>
    <t>Americus, GA (MiSA)</t>
  </si>
  <si>
    <t>MT1312020000000</t>
  </si>
  <si>
    <t>Athens-Clarke County, GA (MSA)</t>
  </si>
  <si>
    <t>CA1312200000000</t>
  </si>
  <si>
    <t>Atlanta--Athens-Clarke County--Sandy Springs, GA (CMSA)</t>
  </si>
  <si>
    <t>MT1312060000000</t>
  </si>
  <si>
    <t>Atlanta-Sandy Springs-Roswell, GA (MSA)</t>
  </si>
  <si>
    <t>MT1312260000000</t>
  </si>
  <si>
    <t>Augusta-Richmond County, GA-SC (MSA)</t>
  </si>
  <si>
    <t>MC1312460000000</t>
  </si>
  <si>
    <t>Bainbridge, GA (MiSA)</t>
  </si>
  <si>
    <t>MT1315260000000</t>
  </si>
  <si>
    <t>Brunswick, GA (MSA)</t>
  </si>
  <si>
    <t>MC1315660000000</t>
  </si>
  <si>
    <t>Calhoun, GA (MiSA)</t>
  </si>
  <si>
    <t>MC1316340000000</t>
  </si>
  <si>
    <t>Cedartown, GA (MiSA)</t>
  </si>
  <si>
    <t>MT1317980000000</t>
  </si>
  <si>
    <t>Columbus, GA-AL (MSA)</t>
  </si>
  <si>
    <t>CA1319400000000</t>
  </si>
  <si>
    <t>Columbus-Auburn-Opelika, GA-AL (CMSA)</t>
  </si>
  <si>
    <t>MC1318380000000</t>
  </si>
  <si>
    <t>Cordele, GA (MiSA)</t>
  </si>
  <si>
    <t>MC1318460000000</t>
  </si>
  <si>
    <t>Cornelia, GA (MiSA)</t>
  </si>
  <si>
    <t>MT1319140000000</t>
  </si>
  <si>
    <t>Dalton, GA (MSA)</t>
  </si>
  <si>
    <t>MC1320060000000</t>
  </si>
  <si>
    <t>Douglas, GA (MiSA)</t>
  </si>
  <si>
    <t>MC1320140000000</t>
  </si>
  <si>
    <t>Dublin, GA (MiSA)</t>
  </si>
  <si>
    <t>MC1322340000000</t>
  </si>
  <si>
    <t>Fitzgerald, GA (MiSA)</t>
  </si>
  <si>
    <t>MT1323580000000</t>
  </si>
  <si>
    <t>Gainesville, GA (MSA)</t>
  </si>
  <si>
    <t>MT1325980000000</t>
  </si>
  <si>
    <t>Hinesville, GA (MSA)</t>
  </si>
  <si>
    <t>MC1327600000000</t>
  </si>
  <si>
    <t>Jefferson, GA (MiSA)</t>
  </si>
  <si>
    <t>MC1327700000000</t>
  </si>
  <si>
    <t>Jesup, GA (MiSA)</t>
  </si>
  <si>
    <t>MC1329300000000</t>
  </si>
  <si>
    <t>LaGrange, GA (MiSA)</t>
  </si>
  <si>
    <t>MT1331420000000</t>
  </si>
  <si>
    <t>Macon-Bibb County, GA (MSA)</t>
  </si>
  <si>
    <t>CA1335600000000</t>
  </si>
  <si>
    <t>Macon-Bibb County--Warner Robins, GA (CMSA)</t>
  </si>
  <si>
    <t>MC1333300000000</t>
  </si>
  <si>
    <t>Milledgeville, GA (MiSA)</t>
  </si>
  <si>
    <t>MC1334220000000</t>
  </si>
  <si>
    <t>Moultrie, GA (MiSA)</t>
  </si>
  <si>
    <t>MT1340660000000</t>
  </si>
  <si>
    <t>Rome, GA (MSA)</t>
  </si>
  <si>
    <t>CA1347000000000</t>
  </si>
  <si>
    <t>Rome-Summerville, GA (CMSA)</t>
  </si>
  <si>
    <t>MT1342340000000</t>
  </si>
  <si>
    <t>Savannah, GA (MSA)</t>
  </si>
  <si>
    <t>CA1349600000000</t>
  </si>
  <si>
    <t>Savannah-Hinesville-Statesboro, GA (CMSA)</t>
  </si>
  <si>
    <t>MC1341220000000</t>
  </si>
  <si>
    <t>St. Marys, GA (MiSA)</t>
  </si>
  <si>
    <t>MC1344340000000</t>
  </si>
  <si>
    <t>Statesboro, GA (MiSA)</t>
  </si>
  <si>
    <t>MC1344900000000</t>
  </si>
  <si>
    <t>Summerville, GA (MiSA)</t>
  </si>
  <si>
    <t>MC1345580000000</t>
  </si>
  <si>
    <t>Thomaston, GA (MiSA)</t>
  </si>
  <si>
    <t>MC1345620000000</t>
  </si>
  <si>
    <t>Thomasville, GA (MiSA)</t>
  </si>
  <si>
    <t>MC1345700000000</t>
  </si>
  <si>
    <t>Tifton, GA (MiSA)</t>
  </si>
  <si>
    <t>MC1345740000000</t>
  </si>
  <si>
    <t>Toccoa, GA (MiSA)</t>
  </si>
  <si>
    <t>MT1346660000000</t>
  </si>
  <si>
    <t>Valdosta, GA (MSA)</t>
  </si>
  <si>
    <t>MC1347080000000</t>
  </si>
  <si>
    <t>Vidalia, GA (MiSA)</t>
  </si>
  <si>
    <t>MT1347580000000</t>
  </si>
  <si>
    <t>Warner Robins, GA (MSA)</t>
  </si>
  <si>
    <t>MC1348180000000</t>
  </si>
  <si>
    <t>Waycross, GA (MiSA)</t>
  </si>
  <si>
    <t>MC1525900000000</t>
  </si>
  <si>
    <t>Hilo, HI (MiSA)</t>
  </si>
  <si>
    <t>HI</t>
  </si>
  <si>
    <t>MT1527980000000</t>
  </si>
  <si>
    <t>Kahului-Wailuku-Lahaina, HI (MSA)</t>
  </si>
  <si>
    <t>MC1528180000000</t>
  </si>
  <si>
    <t>Kapaa, HI (MiSA)</t>
  </si>
  <si>
    <t>MT1546520000000</t>
  </si>
  <si>
    <t>Urban Honolulu, HI (MSA)</t>
  </si>
  <si>
    <t>MT1911180000000</t>
  </si>
  <si>
    <t>Ames, IA (MSA)</t>
  </si>
  <si>
    <t>IA</t>
  </si>
  <si>
    <t>MC1914340000000</t>
  </si>
  <si>
    <t>Boone, IA (MiSA)</t>
  </si>
  <si>
    <t>MC1915460000000</t>
  </si>
  <si>
    <t>Burlington, IA-IL (MiSA)</t>
  </si>
  <si>
    <t>MC1916140000000</t>
  </si>
  <si>
    <t>Carroll, IA (MiSA)</t>
  </si>
  <si>
    <t>MT1916300000000</t>
  </si>
  <si>
    <t>Cedar Rapids, IA (MSA)</t>
  </si>
  <si>
    <t>CA1916800000000</t>
  </si>
  <si>
    <t>Cedar Rapids-Iowa City, IA (CMSA)</t>
  </si>
  <si>
    <t>MC1917540000000</t>
  </si>
  <si>
    <t>Clinton, IA (MiSA)</t>
  </si>
  <si>
    <t>CA1920900000000</t>
  </si>
  <si>
    <t>Davenport-Moline, IA-IL (CMSA)</t>
  </si>
  <si>
    <t>MT1719340000000</t>
  </si>
  <si>
    <t>Davenport-Moline-Rock Island, IA-IL (MSA)</t>
  </si>
  <si>
    <t>CA1921800000000</t>
  </si>
  <si>
    <t>Des Moines-Ames-West Des Moines, IA (CMSA)</t>
  </si>
  <si>
    <t>MT1919780000000</t>
  </si>
  <si>
    <t>Des Moines-West Des Moines, IA (MSA)</t>
  </si>
  <si>
    <t>MT1920220000000</t>
  </si>
  <si>
    <t>Dubuque, IA (MSA)</t>
  </si>
  <si>
    <t>MC1921840000000</t>
  </si>
  <si>
    <t>Fairfield, IA (MiSA)</t>
  </si>
  <si>
    <t>MC1922700000000</t>
  </si>
  <si>
    <t>Fort Dodge, IA (MiSA)</t>
  </si>
  <si>
    <t>MC1922800000000</t>
  </si>
  <si>
    <t>Fort Madison-Keokuk, IA-IL-MO (MiSA)</t>
  </si>
  <si>
    <t>MT1926980000000</t>
  </si>
  <si>
    <t>Iowa City, IA (MSA)</t>
  </si>
  <si>
    <t>MC1932260000000</t>
  </si>
  <si>
    <t>Marshalltown, IA (MiSA)</t>
  </si>
  <si>
    <t>MC1932380000000</t>
  </si>
  <si>
    <t>Mason City, IA (MiSA)</t>
  </si>
  <si>
    <t>MC1934700000000</t>
  </si>
  <si>
    <t>Muscatine, IA (MiSA)</t>
  </si>
  <si>
    <t>MC1935500000000</t>
  </si>
  <si>
    <t>Newton, IA (MiSA)</t>
  </si>
  <si>
    <t>MC1936820000000</t>
  </si>
  <si>
    <t>Oskaloosa, IA (MiSA)</t>
  </si>
  <si>
    <t>CA1942300000000</t>
  </si>
  <si>
    <t>Oskaloosa-Pella, IA (CMSA)</t>
  </si>
  <si>
    <t>MC1936900000000</t>
  </si>
  <si>
    <t>Ottumwa, IA (MiSA)</t>
  </si>
  <si>
    <t>MC1937800000000</t>
  </si>
  <si>
    <t>Pella, IA (MiSA)</t>
  </si>
  <si>
    <t>MT1943580000000</t>
  </si>
  <si>
    <t>Sioux City, IA-NE-SD (MSA)</t>
  </si>
  <si>
    <t>CA1951200000000</t>
  </si>
  <si>
    <t>Sioux City-Vermillion, IA-SD-NE (CMSA)</t>
  </si>
  <si>
    <t>MC1943980000000</t>
  </si>
  <si>
    <t>Spencer, IA (MiSA)</t>
  </si>
  <si>
    <t>MC1944020000000</t>
  </si>
  <si>
    <t>Spirit Lake, IA (MiSA)</t>
  </si>
  <si>
    <t>MC1944740000000</t>
  </si>
  <si>
    <t>Storm Lake, IA (MiSA)</t>
  </si>
  <si>
    <t>MT1947940000000</t>
  </si>
  <si>
    <t>Waterloo-Cedar Falls, IA (MSA)</t>
  </si>
  <si>
    <t>MC1613940000000</t>
  </si>
  <si>
    <t>Blackfoot, ID (MiSA)</t>
  </si>
  <si>
    <t>MT1614260000000</t>
  </si>
  <si>
    <t>Boise City, ID (MSA)</t>
  </si>
  <si>
    <t>CA1614700000000</t>
  </si>
  <si>
    <t>Boise City-Mountain Home-Ontario, ID-OR (CMSA)</t>
  </si>
  <si>
    <t>MC1615420000000</t>
  </si>
  <si>
    <t>Burley, ID (MiSA)</t>
  </si>
  <si>
    <t>MT1617660000000</t>
  </si>
  <si>
    <t>Coeur d'Alene, ID (MSA)</t>
  </si>
  <si>
    <t>MC1625200000000</t>
  </si>
  <si>
    <t>Hailey, ID (MiSA)</t>
  </si>
  <si>
    <t>MT1626820000000</t>
  </si>
  <si>
    <t>Idaho Falls, ID (MSA)</t>
  </si>
  <si>
    <t>CA1629200000000</t>
  </si>
  <si>
    <t>Idaho Falls-Rexburg-Blackfoot, ID (CMSA)</t>
  </si>
  <si>
    <t>MT1630300000000</t>
  </si>
  <si>
    <t>Lewiston, ID-WA (MSA)</t>
  </si>
  <si>
    <t>MC1634140000000</t>
  </si>
  <si>
    <t>Moscow, ID (MiSA)</t>
  </si>
  <si>
    <t>MC1634300000000</t>
  </si>
  <si>
    <t>Mountain Home, ID (MiSA)</t>
  </si>
  <si>
    <t>MT1638540000000</t>
  </si>
  <si>
    <t>Pocatello, ID (MSA)</t>
  </si>
  <si>
    <t>MC1639940000000</t>
  </si>
  <si>
    <t>Rexburg, ID (MiSA)</t>
  </si>
  <si>
    <t>MC1641760000000</t>
  </si>
  <si>
    <t>Sandpoint, ID (MiSA)</t>
  </si>
  <si>
    <t>MT1646300000000</t>
  </si>
  <si>
    <t>Twin Falls, ID (MSA)</t>
  </si>
  <si>
    <t>MT1714010000000</t>
  </si>
  <si>
    <t>Bloomington, IL (MSA)</t>
  </si>
  <si>
    <t>IL</t>
  </si>
  <si>
    <t>CA1714500000000</t>
  </si>
  <si>
    <t>Bloomington-Pontiac, IL (CMSA)</t>
  </si>
  <si>
    <t>MC1715900000000</t>
  </si>
  <si>
    <t>Canton, IL (MiSA)</t>
  </si>
  <si>
    <t>MT1716060000000</t>
  </si>
  <si>
    <t>Carbondale-Marion, IL (MSA)</t>
  </si>
  <si>
    <t>MC1716460000000</t>
  </si>
  <si>
    <t>Centralia, IL (MiSA)</t>
  </si>
  <si>
    <t>MT1716580000000</t>
  </si>
  <si>
    <t>Champaign-Urbana, IL (MSA)</t>
  </si>
  <si>
    <t>MC1716660000000</t>
  </si>
  <si>
    <t>Charleston-Mattoon, IL (MiSA)</t>
  </si>
  <si>
    <t>CA1717600000000</t>
  </si>
  <si>
    <t>Chicago-Naperville, IL-IN-WI (CMSA)</t>
  </si>
  <si>
    <t>DV1716974000000</t>
  </si>
  <si>
    <t>Chicago-Naperville-Arlington Heights, IL (MD)</t>
  </si>
  <si>
    <t>MT1716980000000</t>
  </si>
  <si>
    <t>Chicago-Naperville-Elgin, IL-IN-WI (MSA)</t>
  </si>
  <si>
    <t>MT1719180000000</t>
  </si>
  <si>
    <t>Danville, IL (MSA)</t>
  </si>
  <si>
    <t>MT1719500000000</t>
  </si>
  <si>
    <t>Decatur, IL (MSA)</t>
  </si>
  <si>
    <t>MC1719940000000</t>
  </si>
  <si>
    <t>Dixon, IL (MiSA)</t>
  </si>
  <si>
    <t>CA1722100000000</t>
  </si>
  <si>
    <t>Dixon-Sterling, IL (CMSA)</t>
  </si>
  <si>
    <t>MC1720820000000</t>
  </si>
  <si>
    <t>Effingham, IL (MiSA)</t>
  </si>
  <si>
    <t>DV1720994000000</t>
  </si>
  <si>
    <t>Elgin, IL (MD)</t>
  </si>
  <si>
    <t>MC1723300000000</t>
  </si>
  <si>
    <t>Freeport, IL (MiSA)</t>
  </si>
  <si>
    <t>MC1723660000000</t>
  </si>
  <si>
    <t>Galesburg, IL (MiSA)</t>
  </si>
  <si>
    <t>MC1727300000000</t>
  </si>
  <si>
    <t>Jacksonville, IL (MiSA)</t>
  </si>
  <si>
    <t>MT1728100000000</t>
  </si>
  <si>
    <t>Kankakee, IL (MSA)</t>
  </si>
  <si>
    <t>DV1729404000000</t>
  </si>
  <si>
    <t>Lake County-Kenosha County, IL-WI (MD)</t>
  </si>
  <si>
    <t>MC1730660000000</t>
  </si>
  <si>
    <t>Lincoln, IL (MiSA)</t>
  </si>
  <si>
    <t>MC1731380000000</t>
  </si>
  <si>
    <t>Macomb, IL (MiSA)</t>
  </si>
  <si>
    <t>MC1734500000000</t>
  </si>
  <si>
    <t>Mount Vernon, IL (MiSA)</t>
  </si>
  <si>
    <t>MC1736860000000</t>
  </si>
  <si>
    <t>Ottawa-Peru, IL (MiSA)</t>
  </si>
  <si>
    <t>MT1737900000000</t>
  </si>
  <si>
    <t>Peoria, IL (MSA)</t>
  </si>
  <si>
    <t>CA1742700000000</t>
  </si>
  <si>
    <t>Peoria-Canton, IL (CMSA)</t>
  </si>
  <si>
    <t>MC1738700000000</t>
  </si>
  <si>
    <t>Pontiac, IL (MiSA)</t>
  </si>
  <si>
    <t>MC1739500000000</t>
  </si>
  <si>
    <t>Quincy, IL-MO (MiSA)</t>
  </si>
  <si>
    <t>CA1744800000000</t>
  </si>
  <si>
    <t>Quincy-Hannibal, IL-MO (CMSA)</t>
  </si>
  <si>
    <t>MC1740300000000</t>
  </si>
  <si>
    <t>Rochelle, IL (MiSA)</t>
  </si>
  <si>
    <t>MT1740420000000</t>
  </si>
  <si>
    <t>Rockford, IL (MSA)</t>
  </si>
  <si>
    <t>CA1746600000000</t>
  </si>
  <si>
    <t>Rockford-Freeport-Rochelle, IL (CMSA)</t>
  </si>
  <si>
    <t>MT1744100000000</t>
  </si>
  <si>
    <t>Springfield, IL (MSA)</t>
  </si>
  <si>
    <t>CA1752200000000</t>
  </si>
  <si>
    <t>Springfield-Jacksonville-Lincoln, IL (CMSA)</t>
  </si>
  <si>
    <t>MC1744580000000</t>
  </si>
  <si>
    <t>Sterling, IL (MiSA)</t>
  </si>
  <si>
    <t>MC1745380000000</t>
  </si>
  <si>
    <t>Taylorville, IL (MiSA)</t>
  </si>
  <si>
    <t>MC1811420000000</t>
  </si>
  <si>
    <t>Angola, IN (MiSA)</t>
  </si>
  <si>
    <t>IN</t>
  </si>
  <si>
    <t>MC1812140000000</t>
  </si>
  <si>
    <t>Auburn, IN (MiSA)</t>
  </si>
  <si>
    <t>MC1813260000000</t>
  </si>
  <si>
    <t>Bedford, IN (MiSA)</t>
  </si>
  <si>
    <t>MT1814020000000</t>
  </si>
  <si>
    <t>Bloomington, IN (MSA)</t>
  </si>
  <si>
    <t>CA1814400000000</t>
  </si>
  <si>
    <t>Bloomington-Bedford, IN (CMSA)</t>
  </si>
  <si>
    <t>MT1818020000000</t>
  </si>
  <si>
    <t>Columbus, IN (MSA)</t>
  </si>
  <si>
    <t>MC1818220000000</t>
  </si>
  <si>
    <t>Connersville, IN (MiSA)</t>
  </si>
  <si>
    <t>MC1818820000000</t>
  </si>
  <si>
    <t>Crawfordsville, IN (MiSA)</t>
  </si>
  <si>
    <t>MC1819540000000</t>
  </si>
  <si>
    <t>Decatur, IN (MiSA)</t>
  </si>
  <si>
    <t>MT1821140000000</t>
  </si>
  <si>
    <t>Elkhart-Goshen, IN (MSA)</t>
  </si>
  <si>
    <t>MT1821780000000</t>
  </si>
  <si>
    <t>Evansville, IN-KY (MSA)</t>
  </si>
  <si>
    <t>MT1823060000000</t>
  </si>
  <si>
    <t>Fort Wayne, IN (MSA)</t>
  </si>
  <si>
    <t>CA1825800000000</t>
  </si>
  <si>
    <t>Fort Wayne-Huntington-Auburn, IN (CMSA)</t>
  </si>
  <si>
    <t>MC1823140000000</t>
  </si>
  <si>
    <t>Frankfort, IN (MiSA)</t>
  </si>
  <si>
    <t>DV1823844000000</t>
  </si>
  <si>
    <t>Gary, IN (MD)</t>
  </si>
  <si>
    <t>MC1824700000000</t>
  </si>
  <si>
    <t>Greensburg, IN (MiSA)</t>
  </si>
  <si>
    <t>MC1826540000000</t>
  </si>
  <si>
    <t>Huntington, IN (MiSA)</t>
  </si>
  <si>
    <t>MT1826900000000</t>
  </si>
  <si>
    <t>Indianapolis-Carmel-Anderson, IN (MSA)</t>
  </si>
  <si>
    <t>CA1829400000000</t>
  </si>
  <si>
    <t>Indianapolis-Carmel-Muncie, IN (CMSA)</t>
  </si>
  <si>
    <t>MC1827540000000</t>
  </si>
  <si>
    <t>Jasper, IN (MiSA)</t>
  </si>
  <si>
    <t>MC1828340000000</t>
  </si>
  <si>
    <t>Kendallville, IN (MiSA)</t>
  </si>
  <si>
    <t>MT1829020000000</t>
  </si>
  <si>
    <t>Kokomo, IN (MSA)</t>
  </si>
  <si>
    <t>CA1831600000000</t>
  </si>
  <si>
    <t>Kokomo-Peru, IN (CMSA)</t>
  </si>
  <si>
    <t>MT1829200000000</t>
  </si>
  <si>
    <t>Lafayette-West Lafayette, IN (MSA)</t>
  </si>
  <si>
    <t>CA1832000000000</t>
  </si>
  <si>
    <t>Lafayette-West Lafayette-Frankfort, IN (CMSA)</t>
  </si>
  <si>
    <t>MC1830900000000</t>
  </si>
  <si>
    <t>Logansport, IN (MiSA)</t>
  </si>
  <si>
    <t>MC1831500000000</t>
  </si>
  <si>
    <t>Madison, IN (MiSA)</t>
  </si>
  <si>
    <t>MC1831980000000</t>
  </si>
  <si>
    <t>Marion, IN (MiSA)</t>
  </si>
  <si>
    <t>MT1833140000000</t>
  </si>
  <si>
    <t>Michigan City-La Porte, IN (MSA)</t>
  </si>
  <si>
    <t>MT1834620000000</t>
  </si>
  <si>
    <t>Muncie, IN (MSA)</t>
  </si>
  <si>
    <t>MC1835220000000</t>
  </si>
  <si>
    <t>New Castle, IN (MiSA)</t>
  </si>
  <si>
    <t>MC1835860000000</t>
  </si>
  <si>
    <t>North Vernon, IN (MiSA)</t>
  </si>
  <si>
    <t>MC1837940000000</t>
  </si>
  <si>
    <t>Peru, IN (MiSA)</t>
  </si>
  <si>
    <t>MC1838500000000</t>
  </si>
  <si>
    <t>Plymouth, IN (MiSA)</t>
  </si>
  <si>
    <t>MC1839980000000</t>
  </si>
  <si>
    <t>Richmond, IN (MiSA)</t>
  </si>
  <si>
    <t>CA1845800000000</t>
  </si>
  <si>
    <t>Richmond-Connersville, IN (CMSA)</t>
  </si>
  <si>
    <t>MC1842980000000</t>
  </si>
  <si>
    <t>Seymour, IN (MiSA)</t>
  </si>
  <si>
    <t>CA1851500000000</t>
  </si>
  <si>
    <t>South Bend-Elkhart-Mishawaka, IN-MI (CMSA)</t>
  </si>
  <si>
    <t>MT1843780000000</t>
  </si>
  <si>
    <t>South Bend-Mishawaka, IN-MI (MSA)</t>
  </si>
  <si>
    <t>MT1845460000000</t>
  </si>
  <si>
    <t>Terre Haute, IN (MSA)</t>
  </si>
  <si>
    <t>MC1847180000000</t>
  </si>
  <si>
    <t>Vincennes, IN (MiSA)</t>
  </si>
  <si>
    <t>MC1847340000000</t>
  </si>
  <si>
    <t>Wabash, IN (MiSA)</t>
  </si>
  <si>
    <t>MC1847700000000</t>
  </si>
  <si>
    <t>Warsaw, IN (MiSA)</t>
  </si>
  <si>
    <t>MC1847780000000</t>
  </si>
  <si>
    <t>Washington, IN (MiSA)</t>
  </si>
  <si>
    <t>MC2011680000000</t>
  </si>
  <si>
    <t>Arkansas City-Winfield, KS (MiSA)</t>
  </si>
  <si>
    <t>KS</t>
  </si>
  <si>
    <t>MC2011860000000</t>
  </si>
  <si>
    <t>Atchison, KS (MiSA)</t>
  </si>
  <si>
    <t>MC2017700000000</t>
  </si>
  <si>
    <t>Coffeyville, KS (MiSA)</t>
  </si>
  <si>
    <t>MC2019980000000</t>
  </si>
  <si>
    <t>Dodge City, KS (MiSA)</t>
  </si>
  <si>
    <t>MC2021380000000</t>
  </si>
  <si>
    <t>Emporia, KS (MiSA)</t>
  </si>
  <si>
    <t>MC2023780000000</t>
  </si>
  <si>
    <t>Garden City, KS (MiSA)</t>
  </si>
  <si>
    <t>MC2024460000000</t>
  </si>
  <si>
    <t>Great Bend, KS (MiSA)</t>
  </si>
  <si>
    <t>MC2025700000000</t>
  </si>
  <si>
    <t>Hays, KS (MiSA)</t>
  </si>
  <si>
    <t>MC2026740000000</t>
  </si>
  <si>
    <t>Hutchinson, KS (MiSA)</t>
  </si>
  <si>
    <t>MC2027920000000</t>
  </si>
  <si>
    <t>Junction City, KS (MiSA)</t>
  </si>
  <si>
    <t>MT2029940000000</t>
  </si>
  <si>
    <t>Lawrence, KS (MSA)</t>
  </si>
  <si>
    <t>MC2030580000000</t>
  </si>
  <si>
    <t>Liberal, KS (MiSA)</t>
  </si>
  <si>
    <t>MT2031740000000</t>
  </si>
  <si>
    <t>Manhattan, KS (MSA)</t>
  </si>
  <si>
    <t>CA2035800000000</t>
  </si>
  <si>
    <t>Manhattan-Junction City, KS (CMSA)</t>
  </si>
  <si>
    <t>MC2032700000000</t>
  </si>
  <si>
    <t>McPherson, KS (MiSA)</t>
  </si>
  <si>
    <t>MC2036840000000</t>
  </si>
  <si>
    <t>Ottawa, KS (MiSA)</t>
  </si>
  <si>
    <t>MC2037660000000</t>
  </si>
  <si>
    <t>Parsons, KS (MiSA)</t>
  </si>
  <si>
    <t>MC2038260000000</t>
  </si>
  <si>
    <t>Pittsburg, KS (MiSA)</t>
  </si>
  <si>
    <t>MC2041460000000</t>
  </si>
  <si>
    <t>Salina, KS (MiSA)</t>
  </si>
  <si>
    <t>MT2045820000000</t>
  </si>
  <si>
    <t>Topeka, KS (MSA)</t>
  </si>
  <si>
    <t>MT2048620000000</t>
  </si>
  <si>
    <t>Wichita, KS (MSA)</t>
  </si>
  <si>
    <t>CA2055600000000</t>
  </si>
  <si>
    <t>Wichita-Arkansas City-Winfield, KS (CMSA)</t>
  </si>
  <si>
    <t>MC2112680000000</t>
  </si>
  <si>
    <t>Bardstown, KY (MiSA)</t>
  </si>
  <si>
    <t>KY</t>
  </si>
  <si>
    <t>MT2114540000000</t>
  </si>
  <si>
    <t>Bowling Green, KY (MSA)</t>
  </si>
  <si>
    <t>CA2115000000000</t>
  </si>
  <si>
    <t>Bowling Green-Glasgow, KY (CMSA)</t>
  </si>
  <si>
    <t>MC2115820000000</t>
  </si>
  <si>
    <t>Campbellsville, KY (MiSA)</t>
  </si>
  <si>
    <t>MC2116420000000</t>
  </si>
  <si>
    <t>Central City, KY (MiSA)</t>
  </si>
  <si>
    <t>MC2119220000000</t>
  </si>
  <si>
    <t>Danville, KY (MiSA)</t>
  </si>
  <si>
    <t>MT2121060000000</t>
  </si>
  <si>
    <t>Elizabethtown-Fort Knox, KY (MSA)</t>
  </si>
  <si>
    <t>MC2123180000000</t>
  </si>
  <si>
    <t>Frankfort, KY (MiSA)</t>
  </si>
  <si>
    <t>MC2123980000000</t>
  </si>
  <si>
    <t>Glasgow, KY (MiSA)</t>
  </si>
  <si>
    <t>MT2130460000000</t>
  </si>
  <si>
    <t>Lexington-Fayette, KY (MSA)</t>
  </si>
  <si>
    <t>CA2133600000000</t>
  </si>
  <si>
    <t>Lexington-Fayette--Richmond--Frankfort, KY (CMSA)</t>
  </si>
  <si>
    <t>MC2130940000000</t>
  </si>
  <si>
    <t>London, KY (MiSA)</t>
  </si>
  <si>
    <t>MT2131140000000</t>
  </si>
  <si>
    <t>Louisville/Jefferson County, KY-IN (MSA)</t>
  </si>
  <si>
    <t>CA2135000000000</t>
  </si>
  <si>
    <t>Louisville/Jefferson County--Elizabethtown--Madison, KY-IN (CMSA)</t>
  </si>
  <si>
    <t>MC2131580000000</t>
  </si>
  <si>
    <t>Madisonville, KY (MiSA)</t>
  </si>
  <si>
    <t>MC2132460000000</t>
  </si>
  <si>
    <t>Mayfield, KY (MiSA)</t>
  </si>
  <si>
    <t>MC2132500000000</t>
  </si>
  <si>
    <t>Maysville, KY (MiSA)</t>
  </si>
  <si>
    <t>MC2133180000000</t>
  </si>
  <si>
    <t>Middlesborough, KY (MiSA)</t>
  </si>
  <si>
    <t>MC2134460000000</t>
  </si>
  <si>
    <t>Mount Sterling, KY (MiSA)</t>
  </si>
  <si>
    <t>MC2134660000000</t>
  </si>
  <si>
    <t>Murray, KY (MiSA)</t>
  </si>
  <si>
    <t>MT2136980000000</t>
  </si>
  <si>
    <t>Owensboro, KY (MSA)</t>
  </si>
  <si>
    <t>MC2137140000000</t>
  </si>
  <si>
    <t>Paducah, KY-IL (MiSA)</t>
  </si>
  <si>
    <t>CA2142400000000</t>
  </si>
  <si>
    <t>Paducah-Mayfield, KY-IL (CMSA)</t>
  </si>
  <si>
    <t>MC2140080000000</t>
  </si>
  <si>
    <t>Richmond-Berea, KY (MiSA)</t>
  </si>
  <si>
    <t>MC2143700000000</t>
  </si>
  <si>
    <t>Somerset, KY (MiSA)</t>
  </si>
  <si>
    <t>MT2210780000000</t>
  </si>
  <si>
    <t>Alexandria, LA (MSA)</t>
  </si>
  <si>
    <t>LA</t>
  </si>
  <si>
    <t>MC2212820000000</t>
  </si>
  <si>
    <t>Bastrop, LA (MiSA)</t>
  </si>
  <si>
    <t>MT2212940000000</t>
  </si>
  <si>
    <t>Baton Rouge, LA (MSA)</t>
  </si>
  <si>
    <t>MC2214220000000</t>
  </si>
  <si>
    <t>Bogalusa, LA (MiSA)</t>
  </si>
  <si>
    <t>MC2219760000000</t>
  </si>
  <si>
    <t>DeRidder, LA (MiSA)</t>
  </si>
  <si>
    <t>CA2221700000000</t>
  </si>
  <si>
    <t>DeRidder-Fort Polk South, LA (CMSA)</t>
  </si>
  <si>
    <t>MC2222860000000</t>
  </si>
  <si>
    <t>Fort Polk South, LA (MiSA)</t>
  </si>
  <si>
    <t>MT2225220000000</t>
  </si>
  <si>
    <t>Hammond, LA (MSA)</t>
  </si>
  <si>
    <t>MT2226380000000</t>
  </si>
  <si>
    <t>Houma-Thibodaux, LA (MSA)</t>
  </si>
  <si>
    <t>MC2227660000000</t>
  </si>
  <si>
    <t>Jennings, LA (MiSA)</t>
  </si>
  <si>
    <t>MT2229180000000</t>
  </si>
  <si>
    <t>Lafayette, LA (MSA)</t>
  </si>
  <si>
    <t>CA2231800000000</t>
  </si>
  <si>
    <t>Lafayette-Opelousas-Morgan City, LA (CMSA)</t>
  </si>
  <si>
    <t>MT2229340000000</t>
  </si>
  <si>
    <t>Lake Charles, LA (MSA)</t>
  </si>
  <si>
    <t>CA2232400000000</t>
  </si>
  <si>
    <t>Lake Charles-Jennings, LA (CMSA)</t>
  </si>
  <si>
    <t>MT2233740000000</t>
  </si>
  <si>
    <t>Monroe, LA (MSA)</t>
  </si>
  <si>
    <t>CA2238400000000</t>
  </si>
  <si>
    <t>Monroe-Ruston-Bastrop, LA (CMSA)</t>
  </si>
  <si>
    <t>MC2234020000000</t>
  </si>
  <si>
    <t>Morgan City, LA (MiSA)</t>
  </si>
  <si>
    <t>MC2235060000000</t>
  </si>
  <si>
    <t>Natchitoches, LA (MiSA)</t>
  </si>
  <si>
    <t>MT2235380000000</t>
  </si>
  <si>
    <t>New Orleans-Metairie, LA (MSA)</t>
  </si>
  <si>
    <t>CA2240600000000</t>
  </si>
  <si>
    <t>New Orleans-Metairie-Hammond, LA-MS (CMSA)</t>
  </si>
  <si>
    <t>MC2236660000000</t>
  </si>
  <si>
    <t>Opelousas, LA (MiSA)</t>
  </si>
  <si>
    <t>MC2240820000000</t>
  </si>
  <si>
    <t>Ruston, LA (MiSA)</t>
  </si>
  <si>
    <t>MT2243340000000</t>
  </si>
  <si>
    <t>Shreveport-Bossier City, LA (MSA)</t>
  </si>
  <si>
    <t>MC2570450000000</t>
  </si>
  <si>
    <t>Athol, MA (Mi-NECTA)</t>
  </si>
  <si>
    <t>MA</t>
  </si>
  <si>
    <t>MT2570900000000</t>
  </si>
  <si>
    <t>Barnstable Town, MA (M-NECTA)</t>
  </si>
  <si>
    <t>MT2571650000000</t>
  </si>
  <si>
    <t>Boston-Cambridge-Nashua, MA-NH (M-NECTA)</t>
  </si>
  <si>
    <t>DV2571654000000</t>
  </si>
  <si>
    <t>Boston-Cambridge-Newton, MA (NECTA-D)</t>
  </si>
  <si>
    <t>CA2571500000000</t>
  </si>
  <si>
    <t>Boston-Worcester-Providence, MA-RI-NH-CT-ME (C-NECTA)</t>
  </si>
  <si>
    <t>DV2572104000000</t>
  </si>
  <si>
    <t>Brockton-Bridgewater-Easton, MA (NECTA-D)</t>
  </si>
  <si>
    <t>DV2573104000000</t>
  </si>
  <si>
    <t>Framingham, MA (NECTA-D)</t>
  </si>
  <si>
    <t>MC2573300000000</t>
  </si>
  <si>
    <t>Greenfield Town, MA (Mi-NECTA)</t>
  </si>
  <si>
    <t>DV2573604000000</t>
  </si>
  <si>
    <t>Haverhill-Newburyport-Amesbury Town, MA-NH (NECTA-D)</t>
  </si>
  <si>
    <t>DV2574204000000</t>
  </si>
  <si>
    <t>Lawrence-Methuen Town-Salem, MA-NH (NECTA-D)</t>
  </si>
  <si>
    <t>MT2574500000000</t>
  </si>
  <si>
    <t>Leominster-Gardner, MA (M-NECTA)</t>
  </si>
  <si>
    <t>DV2574804000000</t>
  </si>
  <si>
    <t>Lowell-Billerica-Chelmsford, MA-NH (NECTA-D)</t>
  </si>
  <si>
    <t>DV2574854000000</t>
  </si>
  <si>
    <t>Lynn-Saugus-Marblehead, MA (NECTA-D)</t>
  </si>
  <si>
    <t>MT2575550000000</t>
  </si>
  <si>
    <t>New Bedford, MA (M-NECTA)</t>
  </si>
  <si>
    <t>MC2576150000000</t>
  </si>
  <si>
    <t>North Adams, MA-VT (Mi-NECTA)</t>
  </si>
  <si>
    <t>DV2576524000000</t>
  </si>
  <si>
    <t>Peabody-Salem-Beverly, MA (NECTA-D)</t>
  </si>
  <si>
    <t>MT2576600000000</t>
  </si>
  <si>
    <t>Pittsfield, MA (M-NECTA)</t>
  </si>
  <si>
    <t>CA2577000000000</t>
  </si>
  <si>
    <t>Pittsfield-North Adams, MA-VT (C-NECTA)</t>
  </si>
  <si>
    <t>MT2578100000000</t>
  </si>
  <si>
    <t>Springfield, MA-CT (M-NECTA)</t>
  </si>
  <si>
    <t>CA0979000000000</t>
  </si>
  <si>
    <t>Springfield-Hartford-West Hartford, MA-CT (C-NECTA)</t>
  </si>
  <si>
    <t>DV2578254000000</t>
  </si>
  <si>
    <t>Taunton-Middleborough-Norton, MA (NECTA-D)</t>
  </si>
  <si>
    <t>MC2578500000000</t>
  </si>
  <si>
    <t>Vineyard Haven, MA (Mi-NECTA)</t>
  </si>
  <si>
    <t>MT2579600000000</t>
  </si>
  <si>
    <t>Worcester, MA-CT (M-NECTA)</t>
  </si>
  <si>
    <t>MT2412580000000</t>
  </si>
  <si>
    <t>Baltimore-Columbia-Towson, MD (MSA)</t>
  </si>
  <si>
    <t>MD</t>
  </si>
  <si>
    <t>MT2415680000000</t>
  </si>
  <si>
    <t>California-Lexington Park, MD (MSA)</t>
  </si>
  <si>
    <t>MC2415700000000</t>
  </si>
  <si>
    <t>Cambridge, MD (MiSA)</t>
  </si>
  <si>
    <t>MT2419060000000</t>
  </si>
  <si>
    <t>Cumberland, MD-WV (MSA)</t>
  </si>
  <si>
    <t>MC2420660000000</t>
  </si>
  <si>
    <t>Easton, MD (MiSA)</t>
  </si>
  <si>
    <t>MT2425180000000</t>
  </si>
  <si>
    <t>Hagerstown-Martinsburg, MD-WV (MSA)</t>
  </si>
  <si>
    <t>MT1041540000000</t>
  </si>
  <si>
    <t>Salisbury, MD-DE (MSA)</t>
  </si>
  <si>
    <t>DV2443524000000</t>
  </si>
  <si>
    <t>Silver Spring-Frederick-Rockville, MD (MD)</t>
  </si>
  <si>
    <t>MC2370600000000</t>
  </si>
  <si>
    <t>Augusta, ME (Mi-NECTA)</t>
  </si>
  <si>
    <t>ME</t>
  </si>
  <si>
    <t>CA2371000000000</t>
  </si>
  <si>
    <t>Augusta-Waterville, ME (C-NECTA)</t>
  </si>
  <si>
    <t>MT2370750000000</t>
  </si>
  <si>
    <t>Bangor, ME (M-NECTA)</t>
  </si>
  <si>
    <t>MC2372250000000</t>
  </si>
  <si>
    <t>Brunswick, ME (Mi-NECTA)</t>
  </si>
  <si>
    <t>MT2374650000000</t>
  </si>
  <si>
    <t>Lewiston-Auburn, ME (M-NECTA)</t>
  </si>
  <si>
    <t>CA2377500000000</t>
  </si>
  <si>
    <t>Portland-Lewiston-South Portland, ME (C-NECTA)</t>
  </si>
  <si>
    <t>MT2376750000000</t>
  </si>
  <si>
    <t>Portland-South Portland, ME (M-NECTA)</t>
  </si>
  <si>
    <t>MC2377950000000</t>
  </si>
  <si>
    <t>Sanford, ME (Mi-NECTA)</t>
  </si>
  <si>
    <t>MC2378850000000</t>
  </si>
  <si>
    <t>Waterville, ME (Mi-NECTA)</t>
  </si>
  <si>
    <t>MC2610300000000</t>
  </si>
  <si>
    <t>Adrian, MI (MiSA)</t>
  </si>
  <si>
    <t>MI</t>
  </si>
  <si>
    <t>MC2610940000000</t>
  </si>
  <si>
    <t>Alma, MI (MiSA)</t>
  </si>
  <si>
    <t>MC2610980000000</t>
  </si>
  <si>
    <t>Alpena, MI (MiSA)</t>
  </si>
  <si>
    <t>MT2611460000000</t>
  </si>
  <si>
    <t>Ann Arbor, MI (MSA)</t>
  </si>
  <si>
    <t>MT2612980000000</t>
  </si>
  <si>
    <t>Battle Creek, MI (MSA)</t>
  </si>
  <si>
    <t>MT2613020000000</t>
  </si>
  <si>
    <t>Bay City, MI (MSA)</t>
  </si>
  <si>
    <t>MC2613660000000</t>
  </si>
  <si>
    <t>Big Rapids, MI (MiSA)</t>
  </si>
  <si>
    <t>MC2615620000000</t>
  </si>
  <si>
    <t>Cadillac, MI (MiSA)</t>
  </si>
  <si>
    <t>MC2617740000000</t>
  </si>
  <si>
    <t>Coldwater, MI (MiSA)</t>
  </si>
  <si>
    <t>DV2619804000000</t>
  </si>
  <si>
    <t>Detroit-Dearborn-Livonia, MI (MD)</t>
  </si>
  <si>
    <t>CA2622000000000</t>
  </si>
  <si>
    <t>Detroit-Warren-Ann Arbor, MI (CMSA)</t>
  </si>
  <si>
    <t>MT2619820000000</t>
  </si>
  <si>
    <t>Detroit-Warren-Dearborn, MI (MSA)</t>
  </si>
  <si>
    <t>MC2621540000000</t>
  </si>
  <si>
    <t>Escanaba, MI (MiSA)</t>
  </si>
  <si>
    <t>MT2622420000000</t>
  </si>
  <si>
    <t>Flint, MI (MSA)</t>
  </si>
  <si>
    <t>MT2624340000000</t>
  </si>
  <si>
    <t>Grand Rapids-Wyoming, MI (MSA)</t>
  </si>
  <si>
    <t>CA2626600000000</t>
  </si>
  <si>
    <t>Grand Rapids-Wyoming-Muskegon, MI (CMSA)</t>
  </si>
  <si>
    <t>MC2625880000000</t>
  </si>
  <si>
    <t>Hillsdale, MI (MiSA)</t>
  </si>
  <si>
    <t>MC2626090000000</t>
  </si>
  <si>
    <t>Holland, MI (MiSA)</t>
  </si>
  <si>
    <t>MC2626340000000</t>
  </si>
  <si>
    <t>Houghton, MI (MiSA)</t>
  </si>
  <si>
    <t>MC2626960000000</t>
  </si>
  <si>
    <t>Ionia, MI (MiSA)</t>
  </si>
  <si>
    <t>MC2627020000000</t>
  </si>
  <si>
    <t>Iron Mountain, MI-WI (MiSA)</t>
  </si>
  <si>
    <t>MT2627100000000</t>
  </si>
  <si>
    <t>Jackson, MI (MSA)</t>
  </si>
  <si>
    <t>CA2631000000000</t>
  </si>
  <si>
    <t>Kalamazoo-Battle Creek-Portage, MI (CMSA)</t>
  </si>
  <si>
    <t>MT2628020000000</t>
  </si>
  <si>
    <t>Kalamazoo-Portage, MI (MSA)</t>
  </si>
  <si>
    <t>MT2629620000000</t>
  </si>
  <si>
    <t>Lansing-East Lansing, MI (MSA)</t>
  </si>
  <si>
    <t>CA2633000000000</t>
  </si>
  <si>
    <t>Lansing-East Lansing-Owosso, MI (CMSA)</t>
  </si>
  <si>
    <t>MC2631220000000</t>
  </si>
  <si>
    <t>Ludington, MI (MiSA)</t>
  </si>
  <si>
    <t>MC2632100000000</t>
  </si>
  <si>
    <t>Marquette, MI (MiSA)</t>
  </si>
  <si>
    <t>MT2633220000000</t>
  </si>
  <si>
    <t>Midland, MI (MSA)</t>
  </si>
  <si>
    <t>MT2633780000000</t>
  </si>
  <si>
    <t>Monroe, MI (MSA)</t>
  </si>
  <si>
    <t>MC2634380000000</t>
  </si>
  <si>
    <t>Mount Pleasant, MI (MiSA)</t>
  </si>
  <si>
    <t>CA2639400000000</t>
  </si>
  <si>
    <t>Mount Pleasant-Alma, MI (CMSA)</t>
  </si>
  <si>
    <t>MT2634740000000</t>
  </si>
  <si>
    <t>Muskegon, MI (MSA)</t>
  </si>
  <si>
    <t>MT2635660000000</t>
  </si>
  <si>
    <t>Niles-Benton Harbor, MI (MSA)</t>
  </si>
  <si>
    <t>MC2637020000000</t>
  </si>
  <si>
    <t>Owosso, MI (MiSA)</t>
  </si>
  <si>
    <t>MT2640980000000</t>
  </si>
  <si>
    <t>Saginaw, MI (MSA)</t>
  </si>
  <si>
    <t>CA2647400000000</t>
  </si>
  <si>
    <t>Saginaw-Midland-Bay City, MI (CMSA)</t>
  </si>
  <si>
    <t>MC2642300000000</t>
  </si>
  <si>
    <t>Sault Ste. Marie, MI (MiSA)</t>
  </si>
  <si>
    <t>MC2644780000000</t>
  </si>
  <si>
    <t>Sturgis, MI (MiSA)</t>
  </si>
  <si>
    <t>MC2645900000000</t>
  </si>
  <si>
    <t>Traverse City, MI (MiSA)</t>
  </si>
  <si>
    <t>DV2647664000000</t>
  </si>
  <si>
    <t>Warren-Troy-Farmington Hills, MI (MD)</t>
  </si>
  <si>
    <t>MC2710660000000</t>
  </si>
  <si>
    <t>Albert Lea, MN (MiSA)</t>
  </si>
  <si>
    <t>MN</t>
  </si>
  <si>
    <t>MC2710820000000</t>
  </si>
  <si>
    <t>Alexandria, MN (MiSA)</t>
  </si>
  <si>
    <t>MC2712380000000</t>
  </si>
  <si>
    <t>Austin, MN (MiSA)</t>
  </si>
  <si>
    <t>MC2713420000000</t>
  </si>
  <si>
    <t>Bemidji, MN (MiSA)</t>
  </si>
  <si>
    <t>MC2714660000000</t>
  </si>
  <si>
    <t>Brainerd, MN (MiSA)</t>
  </si>
  <si>
    <t>MT2720260000000</t>
  </si>
  <si>
    <t>Duluth, MN-WI (MSA)</t>
  </si>
  <si>
    <t>MC2721860000000</t>
  </si>
  <si>
    <t>Fairmont, MN (MiSA)</t>
  </si>
  <si>
    <t>MC2722060000000</t>
  </si>
  <si>
    <t>Faribault-Northfield, MN (MiSA)</t>
  </si>
  <si>
    <t>MC2722260000000</t>
  </si>
  <si>
    <t>Fergus Falls, MN (MiSA)</t>
  </si>
  <si>
    <t>MC2724330000000</t>
  </si>
  <si>
    <t>Grand Rapids, MN (MiSA)</t>
  </si>
  <si>
    <t>MC2726780000000</t>
  </si>
  <si>
    <t>Hutchinson, MN (MiSA)</t>
  </si>
  <si>
    <t>CA2735900000000</t>
  </si>
  <si>
    <t>Mankato-New Ulm-North Mankato, MN (CMSA)</t>
  </si>
  <si>
    <t>MT2731860000000</t>
  </si>
  <si>
    <t>Mankato-North Mankato, MN (MSA)</t>
  </si>
  <si>
    <t>MC2732140000000</t>
  </si>
  <si>
    <t>Marshall, MN (MiSA)</t>
  </si>
  <si>
    <t>CA2737800000000</t>
  </si>
  <si>
    <t>Minneapolis-St. Paul, MN-WI (CMSA)</t>
  </si>
  <si>
    <t>MT2733460000000</t>
  </si>
  <si>
    <t>Minneapolis-St. Paul-Bloomington, MN-WI (MSA)</t>
  </si>
  <si>
    <t>MC2735580000000</t>
  </si>
  <si>
    <t>New Ulm, MN (MiSA)</t>
  </si>
  <si>
    <t>MC2736940000000</t>
  </si>
  <si>
    <t>Owatonna, MN (MiSA)</t>
  </si>
  <si>
    <t>MC2739860000000</t>
  </si>
  <si>
    <t>Red Wing, MN (MiSA)</t>
  </si>
  <si>
    <t>MT2740340000000</t>
  </si>
  <si>
    <t>Rochester, MN (MSA)</t>
  </si>
  <si>
    <t>CA2746200000000</t>
  </si>
  <si>
    <t>Rochester-Austin, MN (CMSA)</t>
  </si>
  <si>
    <t>MT2741060000000</t>
  </si>
  <si>
    <t>St. Cloud, MN (MSA)</t>
  </si>
  <si>
    <t>MC2748820000000</t>
  </si>
  <si>
    <t>Willmar, MN (MiSA)</t>
  </si>
  <si>
    <t>MC2749100000000</t>
  </si>
  <si>
    <t>Winona, MN (MiSA)</t>
  </si>
  <si>
    <t>MC2749380000000</t>
  </si>
  <si>
    <t>Worthington, MN (MiSA)</t>
  </si>
  <si>
    <t>MC2914700000000</t>
  </si>
  <si>
    <t>Branson, MO (MiSA)</t>
  </si>
  <si>
    <t>MO</t>
  </si>
  <si>
    <t>MT2916020000000</t>
  </si>
  <si>
    <t>Cape Girardeau, MO-IL (MSA)</t>
  </si>
  <si>
    <t>CA2916400000000</t>
  </si>
  <si>
    <t>Cape Girardeau-Sikeston, MO-IL (CMSA)</t>
  </si>
  <si>
    <t>MT2917860000000</t>
  </si>
  <si>
    <t>Columbia, MO (MSA)</t>
  </si>
  <si>
    <t>CA2919000000000</t>
  </si>
  <si>
    <t>Columbia-Moberly-Mexico, MO (CMSA)</t>
  </si>
  <si>
    <t>MC2922100000000</t>
  </si>
  <si>
    <t>Farmington, MO (MiSA)</t>
  </si>
  <si>
    <t>MC2922780000000</t>
  </si>
  <si>
    <t>Fort Leonard Wood, MO (MiSA)</t>
  </si>
  <si>
    <t>MC2925300000000</t>
  </si>
  <si>
    <t>Hannibal, MO (MiSA)</t>
  </si>
  <si>
    <t>MT2927620000000</t>
  </si>
  <si>
    <t>Jefferson City, MO (MSA)</t>
  </si>
  <si>
    <t>MT2927900000000</t>
  </si>
  <si>
    <t>Joplin, MO (MSA)</t>
  </si>
  <si>
    <t>CA2930900000000</t>
  </si>
  <si>
    <t>Joplin-Miami, MO-OK (CMSA)</t>
  </si>
  <si>
    <t>MT2928140000000</t>
  </si>
  <si>
    <t>Kansas City, MO-KS (MSA)</t>
  </si>
  <si>
    <t>CA2931200000000</t>
  </si>
  <si>
    <t>Kansas City-Overland Park-Kansas City, MO-KS (CMSA)</t>
  </si>
  <si>
    <t>MC2928380000000</t>
  </si>
  <si>
    <t>Kennett, MO (MiSA)</t>
  </si>
  <si>
    <t>MC2928860000000</t>
  </si>
  <si>
    <t>Kirksville, MO (MiSA)</t>
  </si>
  <si>
    <t>MC2930060000000</t>
  </si>
  <si>
    <t>Lebanon, MO (MiSA)</t>
  </si>
  <si>
    <t>MC2932180000000</t>
  </si>
  <si>
    <t>Marshall, MO (MiSA)</t>
  </si>
  <si>
    <t>MC2932340000000</t>
  </si>
  <si>
    <t>Maryville, MO (MiSA)</t>
  </si>
  <si>
    <t>MC2933020000000</t>
  </si>
  <si>
    <t>Mexico, MO (MiSA)</t>
  </si>
  <si>
    <t>MC2933620000000</t>
  </si>
  <si>
    <t>Moberly, MO (MiSA)</t>
  </si>
  <si>
    <t>MC2938740000000</t>
  </si>
  <si>
    <t>Poplar Bluff, MO (MiSA)</t>
  </si>
  <si>
    <t>MC2940620000000</t>
  </si>
  <si>
    <t>Rolla, MO (MiSA)</t>
  </si>
  <si>
    <t>MC2942740000000</t>
  </si>
  <si>
    <t>Sedalia, MO (MiSA)</t>
  </si>
  <si>
    <t>MC2943460000000</t>
  </si>
  <si>
    <t>Sikeston, MO (MiSA)</t>
  </si>
  <si>
    <t>MT2944180000000</t>
  </si>
  <si>
    <t>Springfield, MO (MSA)</t>
  </si>
  <si>
    <t>CA2952000000000</t>
  </si>
  <si>
    <t>Springfield-Branson, MO (CMSA)</t>
  </si>
  <si>
    <t>MT2941140000000</t>
  </si>
  <si>
    <t>St. Joseph, MO-KS (MSA)</t>
  </si>
  <si>
    <t>MT2941180000000</t>
  </si>
  <si>
    <t>St. Louis, MO-IL (MSA)</t>
  </si>
  <si>
    <t>CA2947600000000</t>
  </si>
  <si>
    <t>St. Louis-St. Charles-Farmington, MO-IL (CMSA)</t>
  </si>
  <si>
    <t>MC2947660000000</t>
  </si>
  <si>
    <t>Warrensburg, MO (MiSA)</t>
  </si>
  <si>
    <t>MC2948460000000</t>
  </si>
  <si>
    <t>West Plains, MO (MiSA)</t>
  </si>
  <si>
    <t>MC2815020000000</t>
  </si>
  <si>
    <t>Brookhaven, MS (MiSA)</t>
  </si>
  <si>
    <t>MS</t>
  </si>
  <si>
    <t>MC2817260000000</t>
  </si>
  <si>
    <t>Clarksdale, MS (MiSA)</t>
  </si>
  <si>
    <t>MC2817380000000</t>
  </si>
  <si>
    <t>Cleveland, MS (MiSA)</t>
  </si>
  <si>
    <t>CA2818500000000</t>
  </si>
  <si>
    <t>Cleveland-Indianola, MS (CMSA)</t>
  </si>
  <si>
    <t>MC2818060000000</t>
  </si>
  <si>
    <t>Columbus, MS (MiSA)</t>
  </si>
  <si>
    <t>CA2820000000000</t>
  </si>
  <si>
    <t>Columbus-West Point, MS (CMSA)</t>
  </si>
  <si>
    <t>MC2818420000000</t>
  </si>
  <si>
    <t>Corinth, MS (MiSA)</t>
  </si>
  <si>
    <t>MC2824740000000</t>
  </si>
  <si>
    <t>Greenville, MS (MiSA)</t>
  </si>
  <si>
    <t>MC2824900000000</t>
  </si>
  <si>
    <t>Greenwood, MS (MiSA)</t>
  </si>
  <si>
    <t>MC2824980000000</t>
  </si>
  <si>
    <t>Grenada, MS (MiSA)</t>
  </si>
  <si>
    <t>MT2825060000000</t>
  </si>
  <si>
    <t>Gulfport-Biloxi-Pascagoula, MS (MSA)</t>
  </si>
  <si>
    <t>MT2825620000000</t>
  </si>
  <si>
    <t>Hattiesburg, MS (MSA)</t>
  </si>
  <si>
    <t>MC2826940000000</t>
  </si>
  <si>
    <t>Indianola, MS (MiSA)</t>
  </si>
  <si>
    <t>MT2827140000000</t>
  </si>
  <si>
    <t>Jackson, MS (MSA)</t>
  </si>
  <si>
    <t>CA2829800000000</t>
  </si>
  <si>
    <t>Jackson-Vicksburg-Brookhaven, MS (CMSA)</t>
  </si>
  <si>
    <t>MC2829860000000</t>
  </si>
  <si>
    <t>Laurel, MS (MiSA)</t>
  </si>
  <si>
    <t>MC2832620000000</t>
  </si>
  <si>
    <t>McComb, MS (MiSA)</t>
  </si>
  <si>
    <t>MC2832940000000</t>
  </si>
  <si>
    <t>Meridian, MS (MiSA)</t>
  </si>
  <si>
    <t>MC2835020000000</t>
  </si>
  <si>
    <t>Natchez, MS-LA (MiSA)</t>
  </si>
  <si>
    <t>MC2837060000000</t>
  </si>
  <si>
    <t>Oxford, MS (MiSA)</t>
  </si>
  <si>
    <t>MC2838100000000</t>
  </si>
  <si>
    <t>Picayune, MS (MiSA)</t>
  </si>
  <si>
    <t>MC2844260000000</t>
  </si>
  <si>
    <t>Starkville, MS (MiSA)</t>
  </si>
  <si>
    <t>MC2846180000000</t>
  </si>
  <si>
    <t>Tupelo, MS (MiSA)</t>
  </si>
  <si>
    <t>MC2846980000000</t>
  </si>
  <si>
    <t>Vicksburg, MS (MiSA)</t>
  </si>
  <si>
    <t>MC2848500000000</t>
  </si>
  <si>
    <t>West Point, MS (MiSA)</t>
  </si>
  <si>
    <t>MT3013740000000</t>
  </si>
  <si>
    <t>Billings, MT (MSA)</t>
  </si>
  <si>
    <t>MT</t>
  </si>
  <si>
    <t>MC3014580000000</t>
  </si>
  <si>
    <t>Bozeman, MT (MiSA)</t>
  </si>
  <si>
    <t>MC3015580000000</t>
  </si>
  <si>
    <t>Butte-Silver Bow, MT (MiSA)</t>
  </si>
  <si>
    <t>MT3024500000000</t>
  </si>
  <si>
    <t>Great Falls, MT (MSA)</t>
  </si>
  <si>
    <t>MC3025740000000</t>
  </si>
  <si>
    <t>Helena, MT (MiSA)</t>
  </si>
  <si>
    <t>MC3028060000000</t>
  </si>
  <si>
    <t>Kalispell, MT (MiSA)</t>
  </si>
  <si>
    <t>MT3033540000000</t>
  </si>
  <si>
    <t>Missoula, MT (MSA)</t>
  </si>
  <si>
    <t>MC3710620000000</t>
  </si>
  <si>
    <t>Albemarle, NC (MiSA)</t>
  </si>
  <si>
    <t>NC</t>
  </si>
  <si>
    <t>MT3711700000000</t>
  </si>
  <si>
    <t>Asheville, NC (MSA)</t>
  </si>
  <si>
    <t>CA3712000000000</t>
  </si>
  <si>
    <t>Asheville-Brevard, NC (CMSA)</t>
  </si>
  <si>
    <t>MC3714380000000</t>
  </si>
  <si>
    <t>Boone, NC (MiSA)</t>
  </si>
  <si>
    <t>MC3714820000000</t>
  </si>
  <si>
    <t>Brevard, NC (MiSA)</t>
  </si>
  <si>
    <t>MT3715500000000</t>
  </si>
  <si>
    <t>Burlington, NC (MSA)</t>
  </si>
  <si>
    <t>CA3717200000000</t>
  </si>
  <si>
    <t>Charlotte-Concord, NC-SC (CMSA)</t>
  </si>
  <si>
    <t>MT3716740000000</t>
  </si>
  <si>
    <t>Charlotte-Concord-Gastonia, NC-SC (MSA)</t>
  </si>
  <si>
    <t>MC3719000000000</t>
  </si>
  <si>
    <t>Cullowhee, NC (MiSA)</t>
  </si>
  <si>
    <t>MC3720380000000</t>
  </si>
  <si>
    <t>Dunn, NC (MiSA)</t>
  </si>
  <si>
    <t>MT3720500000000</t>
  </si>
  <si>
    <t>Durham-Chapel Hill, NC (MSA)</t>
  </si>
  <si>
    <t>MC3721020000000</t>
  </si>
  <si>
    <t>Elizabeth City, NC (MiSA)</t>
  </si>
  <si>
    <t>MT3722180000000</t>
  </si>
  <si>
    <t>Fayetteville, NC (MSA)</t>
  </si>
  <si>
    <t>CA3724600000000</t>
  </si>
  <si>
    <t>Fayetteville-Lumberton-Laurinburg, NC (CMSA)</t>
  </si>
  <si>
    <t>MC3722580000000</t>
  </si>
  <si>
    <t>Forest City, NC (MiSA)</t>
  </si>
  <si>
    <t>MT3724140000000</t>
  </si>
  <si>
    <t>Goldsboro, NC (MSA)</t>
  </si>
  <si>
    <t>MT3724660000000</t>
  </si>
  <si>
    <t>Greensboro-High Point, NC (MSA)</t>
  </si>
  <si>
    <t>CA3726800000000</t>
  </si>
  <si>
    <t>Greensboro--Winston-Salem--High Point, NC (CMSA)</t>
  </si>
  <si>
    <t>MT3724780000000</t>
  </si>
  <si>
    <t>Greenville, NC (MSA)</t>
  </si>
  <si>
    <t>CA3727400000000</t>
  </si>
  <si>
    <t>Greenville-Washington, NC (CMSA)</t>
  </si>
  <si>
    <t>MC3725780000000</t>
  </si>
  <si>
    <t>Henderson, NC (MiSA)</t>
  </si>
  <si>
    <t>CA3728000000000</t>
  </si>
  <si>
    <t>Hickory-Lenoir, NC (CMSA)</t>
  </si>
  <si>
    <t>MT3725860000000</t>
  </si>
  <si>
    <t>Hickory-Lenoir-Morganton, NC (MSA)</t>
  </si>
  <si>
    <t>MT3727340000000</t>
  </si>
  <si>
    <t>Jacksonville, NC (MSA)</t>
  </si>
  <si>
    <t>MC3728620000000</t>
  </si>
  <si>
    <t>Kill Devil Hills, NC (MiSA)</t>
  </si>
  <si>
    <t>MC3728820000000</t>
  </si>
  <si>
    <t>Kinston, NC (MiSA)</t>
  </si>
  <si>
    <t>MC3729900000000</t>
  </si>
  <si>
    <t>Laurinburg, NC (MiSA)</t>
  </si>
  <si>
    <t>MC3731300000000</t>
  </si>
  <si>
    <t>Lumberton, NC (MiSA)</t>
  </si>
  <si>
    <t>MC3732000000000</t>
  </si>
  <si>
    <t>Marion, NC (MiSA)</t>
  </si>
  <si>
    <t>MC3733980000000</t>
  </si>
  <si>
    <t>Morehead City, NC (MiSA)</t>
  </si>
  <si>
    <t>MC3734340000000</t>
  </si>
  <si>
    <t>Mount Airy, NC (MiSA)</t>
  </si>
  <si>
    <t>MT3735100000000</t>
  </si>
  <si>
    <t>New Bern, NC (MSA)</t>
  </si>
  <si>
    <t>CA3740400000000</t>
  </si>
  <si>
    <t>New Bern-Morehead City, NC (CMSA)</t>
  </si>
  <si>
    <t>MC3735900000000</t>
  </si>
  <si>
    <t>North Wilkesboro, NC (MiSA)</t>
  </si>
  <si>
    <t>MC3737080000000</t>
  </si>
  <si>
    <t>Oxford, NC (MiSA)</t>
  </si>
  <si>
    <t>MC3738240000000</t>
  </si>
  <si>
    <t>Pinehurst-Southern Pines, NC (MiSA)</t>
  </si>
  <si>
    <t>MT3739580000000</t>
  </si>
  <si>
    <t>Raleigh, NC (MSA)</t>
  </si>
  <si>
    <t>CA3745000000000</t>
  </si>
  <si>
    <t>Raleigh-Durham-Chapel Hill, NC (CMSA)</t>
  </si>
  <si>
    <t>MC3740260000000</t>
  </si>
  <si>
    <t>Roanoke Rapids, NC (MiSA)</t>
  </si>
  <si>
    <t>MC3740460000000</t>
  </si>
  <si>
    <t>Rockingham, NC (MiSA)</t>
  </si>
  <si>
    <t>MT3740580000000</t>
  </si>
  <si>
    <t>Rocky Mount, NC (MSA)</t>
  </si>
  <si>
    <t>CA3746800000000</t>
  </si>
  <si>
    <t>Rocky Mount-Wilson-Roanoke Rapids, NC (CMSA)</t>
  </si>
  <si>
    <t>MC3741820000000</t>
  </si>
  <si>
    <t>Sanford, NC (MiSA)</t>
  </si>
  <si>
    <t>MC3743140000000</t>
  </si>
  <si>
    <t>Shelby, NC (MiSA)</t>
  </si>
  <si>
    <t>MC3747820000000</t>
  </si>
  <si>
    <t>Washington, NC (MiSA)</t>
  </si>
  <si>
    <t>MT3748900000000</t>
  </si>
  <si>
    <t>Wilmington, NC (MSA)</t>
  </si>
  <si>
    <t>MC3748980000000</t>
  </si>
  <si>
    <t>Wilson, NC (MiSA)</t>
  </si>
  <si>
    <t>MT3749180000000</t>
  </si>
  <si>
    <t>Winston-Salem, NC (MSA)</t>
  </si>
  <si>
    <t>MT3813900000000</t>
  </si>
  <si>
    <t>Bismarck, ND (MSA)</t>
  </si>
  <si>
    <t>ND</t>
  </si>
  <si>
    <t>MC3819860000000</t>
  </si>
  <si>
    <t>Dickinson, ND (MiSA)</t>
  </si>
  <si>
    <t>MT3822020000000</t>
  </si>
  <si>
    <t>Fargo, ND-MN (MSA)</t>
  </si>
  <si>
    <t>CA3824400000000</t>
  </si>
  <si>
    <t>Fargo-Wahpeton, ND-MN (CMSA)</t>
  </si>
  <si>
    <t>MT3824220000000</t>
  </si>
  <si>
    <t>Grand Forks, ND-MN (MSA)</t>
  </si>
  <si>
    <t>MC3827420000000</t>
  </si>
  <si>
    <t>Jamestown, ND (MiSA)</t>
  </si>
  <si>
    <t>MC3833500000000</t>
  </si>
  <si>
    <t>Minot, ND (MiSA)</t>
  </si>
  <si>
    <t>MC3847420000000</t>
  </si>
  <si>
    <t>Wahpeton, ND-MN (MiSA)</t>
  </si>
  <si>
    <t>MC3848780000000</t>
  </si>
  <si>
    <t>Williston, ND (MiSA)</t>
  </si>
  <si>
    <t>MC3113100000000</t>
  </si>
  <si>
    <t>Beatrice, NE (MiSA)</t>
  </si>
  <si>
    <t>NE</t>
  </si>
  <si>
    <t>MC3118100000000</t>
  </si>
  <si>
    <t>Columbus, NE (MiSA)</t>
  </si>
  <si>
    <t>MC3123340000000</t>
  </si>
  <si>
    <t>Fremont, NE (MiSA)</t>
  </si>
  <si>
    <t>MT3124260000000</t>
  </si>
  <si>
    <t>Grand Island, NE (MSA)</t>
  </si>
  <si>
    <t>MC3125580000000</t>
  </si>
  <si>
    <t>Hastings, NE (MiSA)</t>
  </si>
  <si>
    <t>MC3128260000000</t>
  </si>
  <si>
    <t>Kearney, NE (MiSA)</t>
  </si>
  <si>
    <t>MC3130420000000</t>
  </si>
  <si>
    <t>Lexington, NE (MiSA)</t>
  </si>
  <si>
    <t>MT3130700000000</t>
  </si>
  <si>
    <t>Lincoln, NE (MSA)</t>
  </si>
  <si>
    <t>CA3133900000000</t>
  </si>
  <si>
    <t>Lincoln-Beatrice, NE (CMSA)</t>
  </si>
  <si>
    <t>MC3135740000000</t>
  </si>
  <si>
    <t>Norfolk, NE (MiSA)</t>
  </si>
  <si>
    <t>MC3135820000000</t>
  </si>
  <si>
    <t>North Platte, NE (MiSA)</t>
  </si>
  <si>
    <t>MT3136540000000</t>
  </si>
  <si>
    <t>Omaha-Council Bluffs, NE-IA (MSA)</t>
  </si>
  <si>
    <t>CA3142000000000</t>
  </si>
  <si>
    <t>Omaha-Council Bluffs-Fremont, NE-IA (CMSA)</t>
  </si>
  <si>
    <t>MC3142420000000</t>
  </si>
  <si>
    <t>Scottsbluff, NE (MiSA)</t>
  </si>
  <si>
    <t>MC3371500000000</t>
  </si>
  <si>
    <t>Berlin, NH (Mi-NECTA)</t>
  </si>
  <si>
    <t>NH</t>
  </si>
  <si>
    <t>MC3372500000000</t>
  </si>
  <si>
    <t>Claremont, NH (Mi-NECTA)</t>
  </si>
  <si>
    <t>CA3372500000000</t>
  </si>
  <si>
    <t>Claremont-Lebanon, NH-VT (C-NECTA)</t>
  </si>
  <si>
    <t>MC3372700000000</t>
  </si>
  <si>
    <t>Concord, NH (Mi-NECTA)</t>
  </si>
  <si>
    <t>MT3373050000000</t>
  </si>
  <si>
    <t>Dover-Durham, NH-ME (M-NECTA)</t>
  </si>
  <si>
    <t>MC3373750000000</t>
  </si>
  <si>
    <t>Keene, NH (Mi-NECTA)</t>
  </si>
  <si>
    <t>MC3373900000000</t>
  </si>
  <si>
    <t>Laconia, NH (Mi-NECTA)</t>
  </si>
  <si>
    <t>MC3374350000000</t>
  </si>
  <si>
    <t>Lebanon, NH-VT (Mi-NECTA)</t>
  </si>
  <si>
    <t>MT3374950000000</t>
  </si>
  <si>
    <t>Manchester, NH (M-NECTA)</t>
  </si>
  <si>
    <t>DV3375404000000</t>
  </si>
  <si>
    <t>Nashua, NH-MA (NECTA-D)</t>
  </si>
  <si>
    <t>MT3376900000000</t>
  </si>
  <si>
    <t>Portsmouth, NH-ME (M-NECTA)</t>
  </si>
  <si>
    <t>MT3412100000000</t>
  </si>
  <si>
    <t>Atlantic City-Hammonton, NJ (MSA)</t>
  </si>
  <si>
    <t>NJ</t>
  </si>
  <si>
    <t>DV3415804000000</t>
  </si>
  <si>
    <t>Camden, NJ (MD)</t>
  </si>
  <si>
    <t>DV3435084000000</t>
  </si>
  <si>
    <t>Newark, NJ-PA (MD)</t>
  </si>
  <si>
    <t>MT3436140000000</t>
  </si>
  <si>
    <t>Ocean City, NJ (MSA)</t>
  </si>
  <si>
    <t>MT3445940000000</t>
  </si>
  <si>
    <t>Trenton, NJ (MSA)</t>
  </si>
  <si>
    <t>MT3447220000000</t>
  </si>
  <si>
    <t>Vineland-Bridgeton, NJ (MSA)</t>
  </si>
  <si>
    <t>MC3510460000000</t>
  </si>
  <si>
    <t>Alamogordo, NM (MiSA)</t>
  </si>
  <si>
    <t>NM</t>
  </si>
  <si>
    <t>MT3510740000000</t>
  </si>
  <si>
    <t>Albuquerque, NM (MSA)</t>
  </si>
  <si>
    <t>CA3510600000000</t>
  </si>
  <si>
    <t>Albuquerque-Santa Fe-Las Vegas, NM (CMSA)</t>
  </si>
  <si>
    <t>MC3516100000000</t>
  </si>
  <si>
    <t>Carlsbad-Artesia, NM (MiSA)</t>
  </si>
  <si>
    <t>MC3517580000000</t>
  </si>
  <si>
    <t>Clovis, NM (MiSA)</t>
  </si>
  <si>
    <t>CA3518800000000</t>
  </si>
  <si>
    <t>Clovis-Portales, NM (CMSA)</t>
  </si>
  <si>
    <t>MC3519700000000</t>
  </si>
  <si>
    <t>Deming, NM (MiSA)</t>
  </si>
  <si>
    <t>MC3521580000000</t>
  </si>
  <si>
    <t>Espanola, NM (MiSA)</t>
  </si>
  <si>
    <t>MT3522140000000</t>
  </si>
  <si>
    <t>Farmington, NM (MSA)</t>
  </si>
  <si>
    <t>MC3523700000000</t>
  </si>
  <si>
    <t>Gallup, NM (MiSA)</t>
  </si>
  <si>
    <t>MC3524380000000</t>
  </si>
  <si>
    <t>Grants, NM (MiSA)</t>
  </si>
  <si>
    <t>MC3526020000000</t>
  </si>
  <si>
    <t>Hobbs, NM (MiSA)</t>
  </si>
  <si>
    <t>MT3529740000000</t>
  </si>
  <si>
    <t>Las Cruces, NM (MSA)</t>
  </si>
  <si>
    <t>MC3529780000000</t>
  </si>
  <si>
    <t>Las Vegas, NM (MiSA)</t>
  </si>
  <si>
    <t>MC3531060000000</t>
  </si>
  <si>
    <t>Los Alamos, NM (MiSA)</t>
  </si>
  <si>
    <t>MC3538780000000</t>
  </si>
  <si>
    <t>Portales, NM (MiSA)</t>
  </si>
  <si>
    <t>MC3540740000000</t>
  </si>
  <si>
    <t>Roswell, NM (MiSA)</t>
  </si>
  <si>
    <t>MC3540760000000</t>
  </si>
  <si>
    <t>Ruidoso, NM (MiSA)</t>
  </si>
  <si>
    <t>MT3542140000000</t>
  </si>
  <si>
    <t>Santa Fe, NM (MSA)</t>
  </si>
  <si>
    <t>MC3543500000000</t>
  </si>
  <si>
    <t>Silver City, NM (MiSA)</t>
  </si>
  <si>
    <t>MC3545340000000</t>
  </si>
  <si>
    <t>Taos, NM (MiSA)</t>
  </si>
  <si>
    <t>MT3216180000000</t>
  </si>
  <si>
    <t>Carson City, NV (MSA)</t>
  </si>
  <si>
    <t>NV</t>
  </si>
  <si>
    <t>MC3221220000000</t>
  </si>
  <si>
    <t>Elko, NV (MiSA)</t>
  </si>
  <si>
    <t>MC3221980000000</t>
  </si>
  <si>
    <t>Fallon, NV (MiSA)</t>
  </si>
  <si>
    <t>MC3222280000000</t>
  </si>
  <si>
    <t>Fernley, NV (MiSA)</t>
  </si>
  <si>
    <t>MC3223820000000</t>
  </si>
  <si>
    <t>Gardnerville Ranchos, NV (MiSA)</t>
  </si>
  <si>
    <t>CA3233200000000</t>
  </si>
  <si>
    <t>Las Vegas-Henderson, NV-AZ (CMSA)</t>
  </si>
  <si>
    <t>MT3229820000000</t>
  </si>
  <si>
    <t>Las Vegas-Henderson-Paradise, NV (MSA)</t>
  </si>
  <si>
    <t>MC3237220000000</t>
  </si>
  <si>
    <t>Pahrump, NV (MiSA)</t>
  </si>
  <si>
    <t>MT3239900000000</t>
  </si>
  <si>
    <t>Reno, NV (MSA)</t>
  </si>
  <si>
    <t>CA3245600000000</t>
  </si>
  <si>
    <t>Reno-Carson City-Fernley, NV (CMSA)</t>
  </si>
  <si>
    <t>MC3249080000000</t>
  </si>
  <si>
    <t>Winnemucca, NV (MiSA)</t>
  </si>
  <si>
    <t>CA3610400000000</t>
  </si>
  <si>
    <t>Albany-Schenectady, NY (CMSA)</t>
  </si>
  <si>
    <t>NY</t>
  </si>
  <si>
    <t>MT3610580000000</t>
  </si>
  <si>
    <t>Albany-Schenectady-Troy, NY (MSA)</t>
  </si>
  <si>
    <t>MC3611220000000</t>
  </si>
  <si>
    <t>Amsterdam, NY (MiSA)</t>
  </si>
  <si>
    <t>MC3612180000000</t>
  </si>
  <si>
    <t>Auburn, NY (MiSA)</t>
  </si>
  <si>
    <t>MC3612860000000</t>
  </si>
  <si>
    <t>Batavia, NY (MiSA)</t>
  </si>
  <si>
    <t>MT3613780000000</t>
  </si>
  <si>
    <t>Binghamton, NY (MSA)</t>
  </si>
  <si>
    <t>CA3616000000000</t>
  </si>
  <si>
    <t>Buffalo-Cheektowaga, NY (CMSA)</t>
  </si>
  <si>
    <t>MT3615380000000</t>
  </si>
  <si>
    <t>Buffalo-Cheektowaga-Niagara Falls, NY (MSA)</t>
  </si>
  <si>
    <t>MC3618500000000</t>
  </si>
  <si>
    <t>Corning, NY (MiSA)</t>
  </si>
  <si>
    <t>MC3618660000000</t>
  </si>
  <si>
    <t>Cortland, NY (MiSA)</t>
  </si>
  <si>
    <t>DV3620524000000</t>
  </si>
  <si>
    <t>Dutchess County-Putnam County, NY (MD)</t>
  </si>
  <si>
    <t>MT3621300000000</t>
  </si>
  <si>
    <t>Elmira, NY (MSA)</t>
  </si>
  <si>
    <t>CA3623600000000</t>
  </si>
  <si>
    <t>Elmira-Corning, NY (CMSA)</t>
  </si>
  <si>
    <t>MT3624020000000</t>
  </si>
  <si>
    <t>Glens Falls, NY (MSA)</t>
  </si>
  <si>
    <t>MC3624100000000</t>
  </si>
  <si>
    <t>Gloversville, NY (MiSA)</t>
  </si>
  <si>
    <t>MC3626460000000</t>
  </si>
  <si>
    <t>Hudson, NY (MiSA)</t>
  </si>
  <si>
    <t>MT3627060000000</t>
  </si>
  <si>
    <t>Ithaca, NY (MSA)</t>
  </si>
  <si>
    <t>CA3629600000000</t>
  </si>
  <si>
    <t>Ithaca-Cortland, NY (CMSA)</t>
  </si>
  <si>
    <t>MC3627460000000</t>
  </si>
  <si>
    <t>Jamestown-Dunkirk-Fredonia, NY (MiSA)</t>
  </si>
  <si>
    <t>MT3628740000000</t>
  </si>
  <si>
    <t>Kingston, NY (MSA)</t>
  </si>
  <si>
    <t>MC3631660000000</t>
  </si>
  <si>
    <t>Malone, NY (MiSA)</t>
  </si>
  <si>
    <t>DV3635004000000</t>
  </si>
  <si>
    <t>Nassau County-Suffolk County, NY (MD)</t>
  </si>
  <si>
    <t>DV3635614000000</t>
  </si>
  <si>
    <t>New York-Jersey City-White Plains, NY-NJ (MD)</t>
  </si>
  <si>
    <t>CA3640800000000</t>
  </si>
  <si>
    <t>New York-Newark, NY-NJ-CT-PA (CMSA)</t>
  </si>
  <si>
    <t>MT3635620000000</t>
  </si>
  <si>
    <t>New York-Newark-Jersey City, NY-NJ-PA (MSA)</t>
  </si>
  <si>
    <t>MC3636300000000</t>
  </si>
  <si>
    <t>Ogdensburg-Massena, NY (MiSA)</t>
  </si>
  <si>
    <t>MC3636460000000</t>
  </si>
  <si>
    <t>Olean, NY (MiSA)</t>
  </si>
  <si>
    <t>MC3636580000000</t>
  </si>
  <si>
    <t>Oneonta, NY (MiSA)</t>
  </si>
  <si>
    <t>MC3638460000000</t>
  </si>
  <si>
    <t>Plattsburgh, NY (MiSA)</t>
  </si>
  <si>
    <t>MT3640380000000</t>
  </si>
  <si>
    <t>Rochester, NY (MSA)</t>
  </si>
  <si>
    <t>CA3646400000000</t>
  </si>
  <si>
    <t>Rochester-Batavia-Seneca Falls, NY (CMSA)</t>
  </si>
  <si>
    <t>MC3642900000000</t>
  </si>
  <si>
    <t>Seneca Falls, NY (MiSA)</t>
  </si>
  <si>
    <t>MT3645060000000</t>
  </si>
  <si>
    <t>Syracuse, NY (MSA)</t>
  </si>
  <si>
    <t>CA3653200000000</t>
  </si>
  <si>
    <t>Syracuse-Auburn, NY (CMSA)</t>
  </si>
  <si>
    <t>MT3646540000000</t>
  </si>
  <si>
    <t>Utica-Rome, NY (MSA)</t>
  </si>
  <si>
    <t>MT3648060000000</t>
  </si>
  <si>
    <t>Watertown-Fort Drum, NY (MSA)</t>
  </si>
  <si>
    <t>MT3910420000000</t>
  </si>
  <si>
    <t>Akron, OH (MSA)</t>
  </si>
  <si>
    <t>OH</t>
  </si>
  <si>
    <t>MC3911740000000</t>
  </si>
  <si>
    <t>Ashland, OH (MiSA)</t>
  </si>
  <si>
    <t>MC3911780000000</t>
  </si>
  <si>
    <t>Ashtabula, OH (MiSA)</t>
  </si>
  <si>
    <t>MC3911900000000</t>
  </si>
  <si>
    <t>Athens, OH (MiSA)</t>
  </si>
  <si>
    <t>MC3913340000000</t>
  </si>
  <si>
    <t>Bellefontaine, OH (MiSA)</t>
  </si>
  <si>
    <t>MC3915340000000</t>
  </si>
  <si>
    <t>Bucyrus, OH (MiSA)</t>
  </si>
  <si>
    <t>MC3915740000000</t>
  </si>
  <si>
    <t>Cambridge, OH (MiSA)</t>
  </si>
  <si>
    <t>MT3915940000000</t>
  </si>
  <si>
    <t>Canton-Massillon, OH (MSA)</t>
  </si>
  <si>
    <t>MC3916380000000</t>
  </si>
  <si>
    <t>Celina, OH (MiSA)</t>
  </si>
  <si>
    <t>MC3917060000000</t>
  </si>
  <si>
    <t>Chillicothe, OH (MiSA)</t>
  </si>
  <si>
    <t>MT3917140000000</t>
  </si>
  <si>
    <t>Cincinnati, OH-KY-IN (MSA)</t>
  </si>
  <si>
    <t>CA3917800000000</t>
  </si>
  <si>
    <t>Cincinnati-Wilmington-Maysville, OH-KY-IN (CMSA)</t>
  </si>
  <si>
    <t>CA3918400000000</t>
  </si>
  <si>
    <t>Cleveland-Akron-Canton, OH (CMSA)</t>
  </si>
  <si>
    <t>MT3917460000000</t>
  </si>
  <si>
    <t>Cleveland-Elyria, OH (MSA)</t>
  </si>
  <si>
    <t>MT3918140000000</t>
  </si>
  <si>
    <t>Columbus, OH (MSA)</t>
  </si>
  <si>
    <t>CA3919800000000</t>
  </si>
  <si>
    <t>Columbus-Marion-Zanesville, OH (CMSA)</t>
  </si>
  <si>
    <t>MC3918740000000</t>
  </si>
  <si>
    <t>Coshocton, OH (MiSA)</t>
  </si>
  <si>
    <t>MT3919380000000</t>
  </si>
  <si>
    <t>Dayton, OH (MSA)</t>
  </si>
  <si>
    <t>CA3921200000000</t>
  </si>
  <si>
    <t>Dayton-Springfield-Sidney, OH (CMSA)</t>
  </si>
  <si>
    <t>MC3919580000000</t>
  </si>
  <si>
    <t>Defiance, OH (MiSA)</t>
  </si>
  <si>
    <t>MC3922300000000</t>
  </si>
  <si>
    <t>Findlay, OH (MiSA)</t>
  </si>
  <si>
    <t>CA3924800000000</t>
  </si>
  <si>
    <t>Findlay-Tiffin, OH (CMSA)</t>
  </si>
  <si>
    <t>MC3923380000000</t>
  </si>
  <si>
    <t>Fremont, OH (MiSA)</t>
  </si>
  <si>
    <t>MC3924820000000</t>
  </si>
  <si>
    <t>Greenville, OH (MiSA)</t>
  </si>
  <si>
    <t>MC3927160000000</t>
  </si>
  <si>
    <t>Jackson, OH (MiSA)</t>
  </si>
  <si>
    <t>MT3930620000000</t>
  </si>
  <si>
    <t>Lima, OH (MSA)</t>
  </si>
  <si>
    <t>CA3933800000000</t>
  </si>
  <si>
    <t>Lima-Van Wert-Celina, OH (CMSA)</t>
  </si>
  <si>
    <t>MT3931900000000</t>
  </si>
  <si>
    <t>Mansfield, OH (MSA)</t>
  </si>
  <si>
    <t>CA3936000000000</t>
  </si>
  <si>
    <t>Mansfield-Ashland-Bucyrus, OH (CMSA)</t>
  </si>
  <si>
    <t>MC3931930000000</t>
  </si>
  <si>
    <t>Marietta, OH (MiSA)</t>
  </si>
  <si>
    <t>MC3932020000000</t>
  </si>
  <si>
    <t>Marion, OH (MiSA)</t>
  </si>
  <si>
    <t>MC3934540000000</t>
  </si>
  <si>
    <t>Mount Vernon, OH (MiSA)</t>
  </si>
  <si>
    <t>MC3935420000000</t>
  </si>
  <si>
    <t>New Philadelphia-Dover, OH (MiSA)</t>
  </si>
  <si>
    <t>MC3935940000000</t>
  </si>
  <si>
    <t>Norwalk, OH (MiSA)</t>
  </si>
  <si>
    <t>MC3938840000000</t>
  </si>
  <si>
    <t>Port Clinton, OH (MiSA)</t>
  </si>
  <si>
    <t>MC3939020000000</t>
  </si>
  <si>
    <t>Portsmouth, OH (MiSA)</t>
  </si>
  <si>
    <t>MC3941400000000</t>
  </si>
  <si>
    <t>Salem, OH (MiSA)</t>
  </si>
  <si>
    <t>MC3941780000000</t>
  </si>
  <si>
    <t>Sandusky, OH (MiSA)</t>
  </si>
  <si>
    <t>MC3943380000000</t>
  </si>
  <si>
    <t>Sidney, OH (MiSA)</t>
  </si>
  <si>
    <t>MT3944220000000</t>
  </si>
  <si>
    <t>Springfield, OH (MSA)</t>
  </si>
  <si>
    <t>MC3945660000000</t>
  </si>
  <si>
    <t>Tiffin, OH (MiSA)</t>
  </si>
  <si>
    <t>MT3945780000000</t>
  </si>
  <si>
    <t>Toledo, OH (MSA)</t>
  </si>
  <si>
    <t>CA3953400000000</t>
  </si>
  <si>
    <t>Toledo-Port Clinton, OH (CMSA)</t>
  </si>
  <si>
    <t>MC3946500000000</t>
  </si>
  <si>
    <t>Urbana, OH (MiSA)</t>
  </si>
  <si>
    <t>MC3946780000000</t>
  </si>
  <si>
    <t>Van Wert, OH (MiSA)</t>
  </si>
  <si>
    <t>MC3947540000000</t>
  </si>
  <si>
    <t>Wapakoneta, OH (MiSA)</t>
  </si>
  <si>
    <t>MC3947920000000</t>
  </si>
  <si>
    <t>Washington Court House, OH (MiSA)</t>
  </si>
  <si>
    <t>MC3948940000000</t>
  </si>
  <si>
    <t>Wilmington, OH (MiSA)</t>
  </si>
  <si>
    <t>MC3949300000000</t>
  </si>
  <si>
    <t>Wooster, OH (MiSA)</t>
  </si>
  <si>
    <t>CA3956600000000</t>
  </si>
  <si>
    <t>Youngstown-Warren, OH-PA (CMSA)</t>
  </si>
  <si>
    <t>MT3949660000000</t>
  </si>
  <si>
    <t>Youngstown-Warren-Boardman, OH-PA (MSA)</t>
  </si>
  <si>
    <t>MC3949780000000</t>
  </si>
  <si>
    <t>Zanesville, OH (MiSA)</t>
  </si>
  <si>
    <t>MC4010220000000</t>
  </si>
  <si>
    <t>Ada, OK (MiSA)</t>
  </si>
  <si>
    <t>OK</t>
  </si>
  <si>
    <t>MC4011060000000</t>
  </si>
  <si>
    <t>Altus, OK (MiSA)</t>
  </si>
  <si>
    <t>MC4011620000000</t>
  </si>
  <si>
    <t>Ardmore, OK (MiSA)</t>
  </si>
  <si>
    <t>MC4012780000000</t>
  </si>
  <si>
    <t>Bartlesville, OK (MiSA)</t>
  </si>
  <si>
    <t>MC4020340000000</t>
  </si>
  <si>
    <t>Duncan, OK (MiSA)</t>
  </si>
  <si>
    <t>MC4020460000000</t>
  </si>
  <si>
    <t>Durant, OK (MiSA)</t>
  </si>
  <si>
    <t>MC4021120000000</t>
  </si>
  <si>
    <t>Elk City, OK (MiSA)</t>
  </si>
  <si>
    <t>MT4021420000000</t>
  </si>
  <si>
    <t>Enid, OK (MSA)</t>
  </si>
  <si>
    <t>MC4025100000000</t>
  </si>
  <si>
    <t>Guymon, OK (MiSA)</t>
  </si>
  <si>
    <t>MT4030020000000</t>
  </si>
  <si>
    <t>Lawton, OK (MSA)</t>
  </si>
  <si>
    <t>MC4032540000000</t>
  </si>
  <si>
    <t>McAlester, OK (MiSA)</t>
  </si>
  <si>
    <t>MC4033060000000</t>
  </si>
  <si>
    <t>Miami, OK (MiSA)</t>
  </si>
  <si>
    <t>MC4034780000000</t>
  </si>
  <si>
    <t>Muskogee, OK (MiSA)</t>
  </si>
  <si>
    <t>MT4036420000000</t>
  </si>
  <si>
    <t>Oklahoma City, OK (MSA)</t>
  </si>
  <si>
    <t>CA4041600000000</t>
  </si>
  <si>
    <t>Oklahoma City-Shawnee, OK (CMSA)</t>
  </si>
  <si>
    <t>MC4038620000000</t>
  </si>
  <si>
    <t>Ponca City, OK (MiSA)</t>
  </si>
  <si>
    <t>MC4043060000000</t>
  </si>
  <si>
    <t>Shawnee, OK (MiSA)</t>
  </si>
  <si>
    <t>MC4044660000000</t>
  </si>
  <si>
    <t>Stillwater, OK (MiSA)</t>
  </si>
  <si>
    <t>MC4045140000000</t>
  </si>
  <si>
    <t>Tahlequah, OK (MiSA)</t>
  </si>
  <si>
    <t>MT4046140000000</t>
  </si>
  <si>
    <t>Tulsa, OK (MSA)</t>
  </si>
  <si>
    <t>CA4053800000000</t>
  </si>
  <si>
    <t>Tulsa-Muskogee-Bartlesville, OK (CMSA)</t>
  </si>
  <si>
    <t>MC4048220000000</t>
  </si>
  <si>
    <t>Weatherford, OK (MiSA)</t>
  </si>
  <si>
    <t>MC4049260000000</t>
  </si>
  <si>
    <t>Woodward, OK (MiSA)</t>
  </si>
  <si>
    <t>MT4110540000000</t>
  </si>
  <si>
    <t>Albany, OR (MSA)</t>
  </si>
  <si>
    <t>OR</t>
  </si>
  <si>
    <t>MC4111820000000</t>
  </si>
  <si>
    <t>Astoria, OR (MiSA)</t>
  </si>
  <si>
    <t>MT4113460000000</t>
  </si>
  <si>
    <t>Bend-Redmond, OR (MSA)</t>
  </si>
  <si>
    <t>CA4114000000000</t>
  </si>
  <si>
    <t>Bend-Redmond-Prineville, OR (CMSA)</t>
  </si>
  <si>
    <t>MC4115060000000</t>
  </si>
  <si>
    <t>Brookings, OR (MiSA)</t>
  </si>
  <si>
    <t>MC4118300000000</t>
  </si>
  <si>
    <t>Coos Bay, OR (MiSA)</t>
  </si>
  <si>
    <t>MT4118700000000</t>
  </si>
  <si>
    <t>Corvallis, OR (MSA)</t>
  </si>
  <si>
    <t>MT4121660000000</t>
  </si>
  <si>
    <t>Eugene, OR (MSA)</t>
  </si>
  <si>
    <t>MT4124420000000</t>
  </si>
  <si>
    <t>Grants Pass, OR (MSA)</t>
  </si>
  <si>
    <t>MC4125840000000</t>
  </si>
  <si>
    <t>Hermiston-Pendleton, OR (MiSA)</t>
  </si>
  <si>
    <t>MC4126220000000</t>
  </si>
  <si>
    <t>Hood River, OR (MiSA)</t>
  </si>
  <si>
    <t>MC4128900000000</t>
  </si>
  <si>
    <t>Klamath Falls, OR (MiSA)</t>
  </si>
  <si>
    <t>MC4129260000000</t>
  </si>
  <si>
    <t>La Grande, OR (MiSA)</t>
  </si>
  <si>
    <t>MT4132780000000</t>
  </si>
  <si>
    <t>Medford, OR (MSA)</t>
  </si>
  <si>
    <t>CA4136600000000</t>
  </si>
  <si>
    <t>Medford-Grants Pass, OR (CMSA)</t>
  </si>
  <si>
    <t>MC4135440000000</t>
  </si>
  <si>
    <t>Newport, OR (MiSA)</t>
  </si>
  <si>
    <t>MC4136620000000</t>
  </si>
  <si>
    <t>Ontario, OR-ID (MiSA)</t>
  </si>
  <si>
    <t>MT4138900000000</t>
  </si>
  <si>
    <t>Portland-Vancouver-Hillsboro, OR-WA (MSA)</t>
  </si>
  <si>
    <t>CA4144000000000</t>
  </si>
  <si>
    <t>Portland-Vancouver-Salem, OR-WA (CMSA)</t>
  </si>
  <si>
    <t>MC4139260000000</t>
  </si>
  <si>
    <t>Prineville, OR (MiSA)</t>
  </si>
  <si>
    <t>MC4140700000000</t>
  </si>
  <si>
    <t>Roseburg, OR (MiSA)</t>
  </si>
  <si>
    <t>MT4141420000000</t>
  </si>
  <si>
    <t>Salem, OR (MSA)</t>
  </si>
  <si>
    <t>MC4145520000000</t>
  </si>
  <si>
    <t>The Dalles, OR (MiSA)</t>
  </si>
  <si>
    <t>MT4210900000000</t>
  </si>
  <si>
    <t>Allentown-Bethlehem-Easton, PA-NJ (MSA)</t>
  </si>
  <si>
    <t>PA</t>
  </si>
  <si>
    <t>MT4211020000000</t>
  </si>
  <si>
    <t>Altoona, PA (MSA)</t>
  </si>
  <si>
    <t>MT4214100000000</t>
  </si>
  <si>
    <t>Bloomsburg-Berwick, PA (MSA)</t>
  </si>
  <si>
    <t>CA4214600000000</t>
  </si>
  <si>
    <t>Bloomsburg-Berwick-Sunbury, PA (CMSA)</t>
  </si>
  <si>
    <t>MC4214620000000</t>
  </si>
  <si>
    <t>Bradford, PA (MiSA)</t>
  </si>
  <si>
    <t>MT4216540000000</t>
  </si>
  <si>
    <t>Chambersburg-Waynesboro, PA (MSA)</t>
  </si>
  <si>
    <t>MC4220180000000</t>
  </si>
  <si>
    <t>DuBois, PA (MiSA)</t>
  </si>
  <si>
    <t>MT4220700000000</t>
  </si>
  <si>
    <t>East Stroudsburg, PA (MSA)</t>
  </si>
  <si>
    <t>MT4221500000000</t>
  </si>
  <si>
    <t>Erie, PA (MSA)</t>
  </si>
  <si>
    <t>CA4224000000000</t>
  </si>
  <si>
    <t>Erie-Meadville, PA (CMSA)</t>
  </si>
  <si>
    <t>MT4223900000000</t>
  </si>
  <si>
    <t>Gettysburg, PA (MSA)</t>
  </si>
  <si>
    <t>MT4225420000000</t>
  </si>
  <si>
    <t>Harrisburg-Carlisle, PA (MSA)</t>
  </si>
  <si>
    <t>CA4227600000000</t>
  </si>
  <si>
    <t>Harrisburg-York-Lebanon, PA (CMSA)</t>
  </si>
  <si>
    <t>MC4226500000000</t>
  </si>
  <si>
    <t>Huntingdon, PA (MiSA)</t>
  </si>
  <si>
    <t>MC4226860000000</t>
  </si>
  <si>
    <t>Indiana, PA (MiSA)</t>
  </si>
  <si>
    <t>MT4227780000000</t>
  </si>
  <si>
    <t>Johnstown, PA (MSA)</t>
  </si>
  <si>
    <t>CA4230600000000</t>
  </si>
  <si>
    <t>Johnstown-Somerset, PA (CMSA)</t>
  </si>
  <si>
    <t>MT4229540000000</t>
  </si>
  <si>
    <t>Lancaster, PA (MSA)</t>
  </si>
  <si>
    <t>MT4230140000000</t>
  </si>
  <si>
    <t>Lebanon, PA (MSA)</t>
  </si>
  <si>
    <t>MC4230260000000</t>
  </si>
  <si>
    <t>Lewisburg, PA (MiSA)</t>
  </si>
  <si>
    <t>MC4230380000000</t>
  </si>
  <si>
    <t>Lewistown, PA (MiSA)</t>
  </si>
  <si>
    <t>MC4230820000000</t>
  </si>
  <si>
    <t>Lock Haven, PA (MiSA)</t>
  </si>
  <si>
    <t>MC4232740000000</t>
  </si>
  <si>
    <t>Meadville, PA (MiSA)</t>
  </si>
  <si>
    <t>DV4233874000000</t>
  </si>
  <si>
    <t>Montgomery County-Bucks County-Chester County, PA (MD)</t>
  </si>
  <si>
    <t>MC4235260000000</t>
  </si>
  <si>
    <t>New Castle, PA (MiSA)</t>
  </si>
  <si>
    <t>MC4236340000000</t>
  </si>
  <si>
    <t>Oil City, PA (MiSA)</t>
  </si>
  <si>
    <t>DV4237964000000</t>
  </si>
  <si>
    <t>Philadelphia, PA (MD)</t>
  </si>
  <si>
    <t>MT4237980000000</t>
  </si>
  <si>
    <t>Philadelphia-Camden-Wilmington, PA-NJ-DE-MD (MSA)</t>
  </si>
  <si>
    <t>CA4242800000000</t>
  </si>
  <si>
    <t>Philadelphia-Reading-Camden, PA-NJ-DE-MD (CMSA)</t>
  </si>
  <si>
    <t>MT4238300000000</t>
  </si>
  <si>
    <t>Pittsburgh, PA (MSA)</t>
  </si>
  <si>
    <t>CA4243000000000</t>
  </si>
  <si>
    <t>Pittsburgh-New Castle-Weirton, PA-OH-WV (CMSA)</t>
  </si>
  <si>
    <t>MC4239060000000</t>
  </si>
  <si>
    <t>Pottsville, PA (MiSA)</t>
  </si>
  <si>
    <t>MT4239740000000</t>
  </si>
  <si>
    <t>Reading, PA (MSA)</t>
  </si>
  <si>
    <t>MC4242380000000</t>
  </si>
  <si>
    <t>Sayre, PA (MiSA)</t>
  </si>
  <si>
    <t>MT4242540000000</t>
  </si>
  <si>
    <t>Scranton--Wilkes-Barre--Hazleton, PA (MSA)</t>
  </si>
  <si>
    <t>MC4242780000000</t>
  </si>
  <si>
    <t>Selinsgrove, PA (MiSA)</t>
  </si>
  <si>
    <t>MC4243740000000</t>
  </si>
  <si>
    <t>Somerset, PA (MiSA)</t>
  </si>
  <si>
    <t>MC4241260000000</t>
  </si>
  <si>
    <t>St. Marys, PA (MiSA)</t>
  </si>
  <si>
    <t>MT4244300000000</t>
  </si>
  <si>
    <t>State College, PA (MSA)</t>
  </si>
  <si>
    <t>CA4252400000000</t>
  </si>
  <si>
    <t>State College-DuBois, PA (CMSA)</t>
  </si>
  <si>
    <t>MC4244980000000</t>
  </si>
  <si>
    <t>Sunbury, PA (MiSA)</t>
  </si>
  <si>
    <t>MC4247620000000</t>
  </si>
  <si>
    <t>Warren, PA (MiSA)</t>
  </si>
  <si>
    <t>MT4248700000000</t>
  </si>
  <si>
    <t>Williamsport, PA (MSA)</t>
  </si>
  <si>
    <t>CA4255800000000</t>
  </si>
  <si>
    <t>Williamsport-Lock Haven, PA (CMSA)</t>
  </si>
  <si>
    <t>MT4249620000000</t>
  </si>
  <si>
    <t>York-Hanover, PA (MSA)</t>
  </si>
  <si>
    <t>MT4477200000000</t>
  </si>
  <si>
    <t>Providence-Warwick, RI-MA (M-NECTA)</t>
  </si>
  <si>
    <t>RI</t>
  </si>
  <si>
    <t>MC4513500000000</t>
  </si>
  <si>
    <t>Bennettsville, SC (MiSA)</t>
  </si>
  <si>
    <t>SC</t>
  </si>
  <si>
    <t>MT4516700000000</t>
  </si>
  <si>
    <t>Charleston-North Charleston, SC (MSA)</t>
  </si>
  <si>
    <t>MT4517900000000</t>
  </si>
  <si>
    <t>Columbia, SC (MSA)</t>
  </si>
  <si>
    <t>CA4519200000000</t>
  </si>
  <si>
    <t>Columbia-Orangeburg-Newberry, SC (CMSA)</t>
  </si>
  <si>
    <t>MT4522500000000</t>
  </si>
  <si>
    <t>Florence, SC (MSA)</t>
  </si>
  <si>
    <t>MC4523500000000</t>
  </si>
  <si>
    <t>Gaffney, SC (MiSA)</t>
  </si>
  <si>
    <t>MC4523860000000</t>
  </si>
  <si>
    <t>Georgetown, SC (MiSA)</t>
  </si>
  <si>
    <t>MT4524860000000</t>
  </si>
  <si>
    <t>Greenville-Anderson-Mauldin, SC (MSA)</t>
  </si>
  <si>
    <t>CA4527300000000</t>
  </si>
  <si>
    <t>Greenville-Spartanburg-Anderson, SC (CMSA)</t>
  </si>
  <si>
    <t>MC4524940000000</t>
  </si>
  <si>
    <t>Greenwood, SC (MiSA)</t>
  </si>
  <si>
    <t>MT4525940000000</t>
  </si>
  <si>
    <t>Hilton Head Island-Bluffton-Beaufort, SC (MSA)</t>
  </si>
  <si>
    <t>CA4539600000000</t>
  </si>
  <si>
    <t>Myrtle Beach-Conway, SC-NC (CMSA)</t>
  </si>
  <si>
    <t>MT4534820000000</t>
  </si>
  <si>
    <t>Myrtle Beach-Conway-North Myrtle Beach, SC-NC (MSA)</t>
  </si>
  <si>
    <t>MC4535140000000</t>
  </si>
  <si>
    <t>Newberry, SC (MiSA)</t>
  </si>
  <si>
    <t>MC4536700000000</t>
  </si>
  <si>
    <t>Orangeburg, SC (MiSA)</t>
  </si>
  <si>
    <t>MC4542860000000</t>
  </si>
  <si>
    <t>Seneca, SC (MiSA)</t>
  </si>
  <si>
    <t>MT4543900000000</t>
  </si>
  <si>
    <t>Spartanburg, SC (MSA)</t>
  </si>
  <si>
    <t>MT4544940000000</t>
  </si>
  <si>
    <t>Sumter, SC (MSA)</t>
  </si>
  <si>
    <t>MC4610100000000</t>
  </si>
  <si>
    <t>Aberdeen, SD (MiSA)</t>
  </si>
  <si>
    <t>SD</t>
  </si>
  <si>
    <t>MC4615100000000</t>
  </si>
  <si>
    <t>Brookings, SD (MiSA)</t>
  </si>
  <si>
    <t>MC4626700000000</t>
  </si>
  <si>
    <t>Huron, SD (MiSA)</t>
  </si>
  <si>
    <t>MC4633580000000</t>
  </si>
  <si>
    <t>Mitchell, SD (MiSA)</t>
  </si>
  <si>
    <t>MC4638180000000</t>
  </si>
  <si>
    <t>Pierre, SD (MiSA)</t>
  </si>
  <si>
    <t>MT4639660000000</t>
  </si>
  <si>
    <t>Rapid City, SD (MSA)</t>
  </si>
  <si>
    <t>CA4645200000000</t>
  </si>
  <si>
    <t>Rapid City-Spearfish, SD (CMSA)</t>
  </si>
  <si>
    <t>MT4643620000000</t>
  </si>
  <si>
    <t>Sioux Falls, SD (MSA)</t>
  </si>
  <si>
    <t>MC4643940000000</t>
  </si>
  <si>
    <t>Spearfish, SD (MiSA)</t>
  </si>
  <si>
    <t>MC4646820000000</t>
  </si>
  <si>
    <t>Vermillion, SD (MiSA)</t>
  </si>
  <si>
    <t>MC4647980000000</t>
  </si>
  <si>
    <t>Watertown, SD (MiSA)</t>
  </si>
  <si>
    <t>MC4649460000000</t>
  </si>
  <si>
    <t>Yankton, SD (MiSA)</t>
  </si>
  <si>
    <t>MC4711940000000</t>
  </si>
  <si>
    <t>Athens, TN (MiSA)</t>
  </si>
  <si>
    <t>TN</t>
  </si>
  <si>
    <t>MC4715140000000</t>
  </si>
  <si>
    <t>Brownsville, TN (MiSA)</t>
  </si>
  <si>
    <t>MT4716860000000</t>
  </si>
  <si>
    <t>Chattanooga, TN-GA (MSA)</t>
  </si>
  <si>
    <t>CA4717400000000</t>
  </si>
  <si>
    <t>Chattanooga-Cleveland-Dalton, TN-GA-AL (CMSA)</t>
  </si>
  <si>
    <t>MT4717300000000</t>
  </si>
  <si>
    <t>Clarksville, TN-KY (MSA)</t>
  </si>
  <si>
    <t>MT4717420000000</t>
  </si>
  <si>
    <t>Cleveland, TN (MSA)</t>
  </si>
  <si>
    <t>MC4718260000000</t>
  </si>
  <si>
    <t>Cookeville, TN (MiSA)</t>
  </si>
  <si>
    <t>MC4718900000000</t>
  </si>
  <si>
    <t>Crossville, TN (MiSA)</t>
  </si>
  <si>
    <t>MC4719420000000</t>
  </si>
  <si>
    <t>Dayton, TN (MiSA)</t>
  </si>
  <si>
    <t>MC4720540000000</t>
  </si>
  <si>
    <t>Dyersburg, TN (MiSA)</t>
  </si>
  <si>
    <t>MC4724620000000</t>
  </si>
  <si>
    <t>Greeneville, TN (MiSA)</t>
  </si>
  <si>
    <t>MT4727180000000</t>
  </si>
  <si>
    <t>Jackson, TN (MSA)</t>
  </si>
  <si>
    <t>CA4729700000000</t>
  </si>
  <si>
    <t>Jackson-Brownsville, TN (CMSA)</t>
  </si>
  <si>
    <t>MT4727740000000</t>
  </si>
  <si>
    <t>Johnson City, TN (MSA)</t>
  </si>
  <si>
    <t>CA4730400000000</t>
  </si>
  <si>
    <t>Johnson City-Kingsport-Bristol, TN-VA (CMSA)</t>
  </si>
  <si>
    <t>MT4728700000000</t>
  </si>
  <si>
    <t>Kingsport-Bristol-Bristol, TN-VA (MSA)</t>
  </si>
  <si>
    <t>MT4728940000000</t>
  </si>
  <si>
    <t>Knoxville, TN (MSA)</t>
  </si>
  <si>
    <t>CA4731400000000</t>
  </si>
  <si>
    <t>Knoxville-Morristown-Sevierville, TN (CMSA)</t>
  </si>
  <si>
    <t>MC4729980000000</t>
  </si>
  <si>
    <t>Lawrenceburg, TN (MiSA)</t>
  </si>
  <si>
    <t>MC4730280000000</t>
  </si>
  <si>
    <t>Lewisburg, TN (MiSA)</t>
  </si>
  <si>
    <t>MC4732280000000</t>
  </si>
  <si>
    <t>Martin, TN (MiSA)</t>
  </si>
  <si>
    <t>CA4736200000000</t>
  </si>
  <si>
    <t>Martin-Union City, TN-KY (CMSA)</t>
  </si>
  <si>
    <t>MC4732660000000</t>
  </si>
  <si>
    <t>McMinnville, TN (MiSA)</t>
  </si>
  <si>
    <t>MT4732820000000</t>
  </si>
  <si>
    <t>Memphis, TN-MS-AR (MSA)</t>
  </si>
  <si>
    <t>CA4736800000000</t>
  </si>
  <si>
    <t>Memphis-Forrest City, TN-MS-AR (CMSA)</t>
  </si>
  <si>
    <t>MT4734100000000</t>
  </si>
  <si>
    <t>Morristown, TN (MSA)</t>
  </si>
  <si>
    <t>CA4740000000000</t>
  </si>
  <si>
    <t>Nashville-Davidson--Murfreesboro, TN (CMSA)</t>
  </si>
  <si>
    <t>MT4734980000000</t>
  </si>
  <si>
    <t>Nashville-Davidson--Murfreesboro--Franklin, TN (MSA)</t>
  </si>
  <si>
    <t>MC4735460000000</t>
  </si>
  <si>
    <t>Newport, TN (MiSA)</t>
  </si>
  <si>
    <t>MC4737540000000</t>
  </si>
  <si>
    <t>Paris, TN (MiSA)</t>
  </si>
  <si>
    <t>MC4742940000000</t>
  </si>
  <si>
    <t>Sevierville, TN (MiSA)</t>
  </si>
  <si>
    <t>MC4743180000000</t>
  </si>
  <si>
    <t>Shelbyville, TN (MiSA)</t>
  </si>
  <si>
    <t>MC4746100000000</t>
  </si>
  <si>
    <t>Tullahoma-Manchester, TN (MiSA)</t>
  </si>
  <si>
    <t>MC4746460000000</t>
  </si>
  <si>
    <t>Union City, TN-KY (MiSA)</t>
  </si>
  <si>
    <t>MT4810180000000</t>
  </si>
  <si>
    <t>Abilene, TX (MSA)</t>
  </si>
  <si>
    <t>TX</t>
  </si>
  <si>
    <t>MC4810860000000</t>
  </si>
  <si>
    <t>Alice, TX (MiSA)</t>
  </si>
  <si>
    <t>MT4811100000000</t>
  </si>
  <si>
    <t>Amarillo, TX (MSA)</t>
  </si>
  <si>
    <t>CA4810800000000</t>
  </si>
  <si>
    <t>Amarillo-Borger, TX (CMSA)</t>
  </si>
  <si>
    <t>MC4811380000000</t>
  </si>
  <si>
    <t>Andrews, TX (MiSA)</t>
  </si>
  <si>
    <t>MC4811980000000</t>
  </si>
  <si>
    <t>Athens, TX (MiSA)</t>
  </si>
  <si>
    <t>MT4812420000000</t>
  </si>
  <si>
    <t>Austin-Round Rock, TX (MSA)</t>
  </si>
  <si>
    <t>MC4813060000000</t>
  </si>
  <si>
    <t>Bay City, TX (MiSA)</t>
  </si>
  <si>
    <t>MT4813140000000</t>
  </si>
  <si>
    <t>Beaumont-Port Arthur, TX (MSA)</t>
  </si>
  <si>
    <t>MC4813300000000</t>
  </si>
  <si>
    <t>Beeville, TX (MiSA)</t>
  </si>
  <si>
    <t>MC4813700000000</t>
  </si>
  <si>
    <t>Big Spring, TX (MiSA)</t>
  </si>
  <si>
    <t>MC4814300000000</t>
  </si>
  <si>
    <t>Bonham, TX (MiSA)</t>
  </si>
  <si>
    <t>MC4814420000000</t>
  </si>
  <si>
    <t>Borger, TX (MiSA)</t>
  </si>
  <si>
    <t>MC4814780000000</t>
  </si>
  <si>
    <t>Brenham, TX (MiSA)</t>
  </si>
  <si>
    <t>MT4815180000000</t>
  </si>
  <si>
    <t>Brownsville-Harlingen, TX (MSA)</t>
  </si>
  <si>
    <t>CA4815400000000</t>
  </si>
  <si>
    <t>Brownsville-Harlingen-Raymondville, TX (CMSA)</t>
  </si>
  <si>
    <t>MC4815220000000</t>
  </si>
  <si>
    <t>Brownwood, TX (MiSA)</t>
  </si>
  <si>
    <t>MT4817780000000</t>
  </si>
  <si>
    <t>College Station-Bryan, TX (MSA)</t>
  </si>
  <si>
    <t>MT4818580000000</t>
  </si>
  <si>
    <t>Corpus Christi, TX (MSA)</t>
  </si>
  <si>
    <t>CA4820400000000</t>
  </si>
  <si>
    <t>Corpus Christi-Kingsville-Alice, TX (CMSA)</t>
  </si>
  <si>
    <t>MC4818620000000</t>
  </si>
  <si>
    <t>Corsicana, TX (MiSA)</t>
  </si>
  <si>
    <t>CA4820600000000</t>
  </si>
  <si>
    <t>Dallas-Fort Worth, TX-OK (CMSA)</t>
  </si>
  <si>
    <t>MT4819100000000</t>
  </si>
  <si>
    <t>Dallas-Fort Worth-Arlington, TX (MSA)</t>
  </si>
  <si>
    <t>DV4819124000000</t>
  </si>
  <si>
    <t>Dallas-Plano-Irving, TX (MD)</t>
  </si>
  <si>
    <t>MC4819620000000</t>
  </si>
  <si>
    <t>Del Rio, TX (MiSA)</t>
  </si>
  <si>
    <t>MC4820300000000</t>
  </si>
  <si>
    <t>Dumas, TX (MiSA)</t>
  </si>
  <si>
    <t>MC4820580000000</t>
  </si>
  <si>
    <t>Eagle Pass, TX (MiSA)</t>
  </si>
  <si>
    <t>MC4820900000000</t>
  </si>
  <si>
    <t>El Campo, TX (MiSA)</t>
  </si>
  <si>
    <t>MT4821340000000</t>
  </si>
  <si>
    <t>El Paso, TX (MSA)</t>
  </si>
  <si>
    <t>CA4823800000000</t>
  </si>
  <si>
    <t>El Paso-Las Cruces, TX-NM (CMSA)</t>
  </si>
  <si>
    <t>DV4823104000000</t>
  </si>
  <si>
    <t>Fort Worth-Arlington, TX (MD)</t>
  </si>
  <si>
    <t>MC4823240000000</t>
  </si>
  <si>
    <t>Fredericksburg, TX (MiSA)</t>
  </si>
  <si>
    <t>MC4823620000000</t>
  </si>
  <si>
    <t>Gainesville, TX (MiSA)</t>
  </si>
  <si>
    <t>MC4825820000000</t>
  </si>
  <si>
    <t>Hereford, TX (MiSA)</t>
  </si>
  <si>
    <t>CA4828800000000</t>
  </si>
  <si>
    <t>Houston-The Woodlands, TX (CMSA)</t>
  </si>
  <si>
    <t>MC4826660000000</t>
  </si>
  <si>
    <t>Huntsville, TX (MiSA)</t>
  </si>
  <si>
    <t>MC4827380000000</t>
  </si>
  <si>
    <t>Jacksonville, TX (MiSA)</t>
  </si>
  <si>
    <t>MC4828500000000</t>
  </si>
  <si>
    <t>Kerrville, TX (MiSA)</t>
  </si>
  <si>
    <t>MT4828660000000</t>
  </si>
  <si>
    <t>Killeen-Temple, TX (MSA)</t>
  </si>
  <si>
    <t>MC4828780000000</t>
  </si>
  <si>
    <t>Kingsville, TX (MiSA)</t>
  </si>
  <si>
    <t>MC4829500000000</t>
  </si>
  <si>
    <t>Lamesa, TX (MiSA)</t>
  </si>
  <si>
    <t>MT4829700000000</t>
  </si>
  <si>
    <t>Laredo, TX (MSA)</t>
  </si>
  <si>
    <t>MC4830220000000</t>
  </si>
  <si>
    <t>Levelland, TX (MiSA)</t>
  </si>
  <si>
    <t>MT4830980000000</t>
  </si>
  <si>
    <t>Longview, TX (MSA)</t>
  </si>
  <si>
    <t>CA4834600000000</t>
  </si>
  <si>
    <t>Longview-Marshall, TX (CMSA)</t>
  </si>
  <si>
    <t>MT4831180000000</t>
  </si>
  <si>
    <t>Lubbock, TX (MSA)</t>
  </si>
  <si>
    <t>CA4835200000000</t>
  </si>
  <si>
    <t>Lubbock-Levelland, TX (CMSA)</t>
  </si>
  <si>
    <t>MC4831260000000</t>
  </si>
  <si>
    <t>Lufkin, TX (MiSA)</t>
  </si>
  <si>
    <t>MC4832220000000</t>
  </si>
  <si>
    <t>Marshall, TX (MiSA)</t>
  </si>
  <si>
    <t>CA4836500000000</t>
  </si>
  <si>
    <t>McAllen-Edinburg, TX (CMSA)</t>
  </si>
  <si>
    <t>MT4832580000000</t>
  </si>
  <si>
    <t>McAllen-Edinburg-Mission, TX (MSA)</t>
  </si>
  <si>
    <t>MT4833260000000</t>
  </si>
  <si>
    <t>Midland, TX (MSA)</t>
  </si>
  <si>
    <t>CA4837200000000</t>
  </si>
  <si>
    <t>Midland-Odessa, TX (CMSA)</t>
  </si>
  <si>
    <t>MC4833420000000</t>
  </si>
  <si>
    <t>Mineral Wells, TX (MiSA)</t>
  </si>
  <si>
    <t>MC4834420000000</t>
  </si>
  <si>
    <t>Mount Pleasant, TX (MiSA)</t>
  </si>
  <si>
    <t>MC4834860000000</t>
  </si>
  <si>
    <t>Nacogdoches, TX (MiSA)</t>
  </si>
  <si>
    <t>MT4836220000000</t>
  </si>
  <si>
    <t>Odessa, TX (MSA)</t>
  </si>
  <si>
    <t>MC4837300000000</t>
  </si>
  <si>
    <t>Palestine, TX (MiSA)</t>
  </si>
  <si>
    <t>MC4837420000000</t>
  </si>
  <si>
    <t>Pampa, TX (MiSA)</t>
  </si>
  <si>
    <t>MC4837580000000</t>
  </si>
  <si>
    <t>Paris, TX (MiSA)</t>
  </si>
  <si>
    <t>MC4837770000000</t>
  </si>
  <si>
    <t>Pearsall, TX (MiSA)</t>
  </si>
  <si>
    <t>MC4837780000000</t>
  </si>
  <si>
    <t>Pecos, TX (MiSA)</t>
  </si>
  <si>
    <t>MC4838380000000</t>
  </si>
  <si>
    <t>Plainview, TX (MiSA)</t>
  </si>
  <si>
    <t>MC4838920000000</t>
  </si>
  <si>
    <t>Port Lavaca, TX (MiSA)</t>
  </si>
  <si>
    <t>MC4839700000000</t>
  </si>
  <si>
    <t>Raymondville, TX (MiSA)</t>
  </si>
  <si>
    <t>MC4840100000000</t>
  </si>
  <si>
    <t>Rio Grande City, TX (MiSA)</t>
  </si>
  <si>
    <t>MT4841660000000</t>
  </si>
  <si>
    <t>San Angelo, TX (MSA)</t>
  </si>
  <si>
    <t>MT4841700000000</t>
  </si>
  <si>
    <t>San Antonio-New Braunfels, TX (MSA)</t>
  </si>
  <si>
    <t>CA4848400000000</t>
  </si>
  <si>
    <t>San Antonio-New Braunfels-Pearsall, TX (CMSA)</t>
  </si>
  <si>
    <t>MT4843300000000</t>
  </si>
  <si>
    <t>Sherman-Denison, TX (MSA)</t>
  </si>
  <si>
    <t>MC4843660000000</t>
  </si>
  <si>
    <t>Snyder, TX (MiSA)</t>
  </si>
  <si>
    <t>MC4844500000000</t>
  </si>
  <si>
    <t>Stephenville, TX (MiSA)</t>
  </si>
  <si>
    <t>MC4844860000000</t>
  </si>
  <si>
    <t>Sulphur Springs, TX (MiSA)</t>
  </si>
  <si>
    <t>MC4845020000000</t>
  </si>
  <si>
    <t>Sweetwater, TX (MiSA)</t>
  </si>
  <si>
    <t>MT4845500000000</t>
  </si>
  <si>
    <t>Texarkana, TX-AR (MSA)</t>
  </si>
  <si>
    <t>MT4846340000000</t>
  </si>
  <si>
    <t>Tyler, TX (MSA)</t>
  </si>
  <si>
    <t>CA4854000000000</t>
  </si>
  <si>
    <t>Tyler-Jacksonville, TX (CMSA)</t>
  </si>
  <si>
    <t>MC4846620000000</t>
  </si>
  <si>
    <t>Uvalde, TX (MiSA)</t>
  </si>
  <si>
    <t>MC4846900000000</t>
  </si>
  <si>
    <t>Vernon, TX (MiSA)</t>
  </si>
  <si>
    <t>MT4847020000000</t>
  </si>
  <si>
    <t>Victoria, TX (MSA)</t>
  </si>
  <si>
    <t>CA4854400000000</t>
  </si>
  <si>
    <t>Victoria-Port Lavaca, TX (CMSA)</t>
  </si>
  <si>
    <t>MT4847380000000</t>
  </si>
  <si>
    <t>Waco, TX (MSA)</t>
  </si>
  <si>
    <t>MT4848660000000</t>
  </si>
  <si>
    <t>Wichita Falls, TX (MSA)</t>
  </si>
  <si>
    <t>MC4849820000000</t>
  </si>
  <si>
    <t>Zapata, TX (MiSA)</t>
  </si>
  <si>
    <t>MC4916260000000</t>
  </si>
  <si>
    <t>Cedar City, UT (MiSA)</t>
  </si>
  <si>
    <t>UT</t>
  </si>
  <si>
    <t>MC4925720000000</t>
  </si>
  <si>
    <t>Heber, UT (MiSA)</t>
  </si>
  <si>
    <t>MT4930860000000</t>
  </si>
  <si>
    <t>Logan, UT-ID (MSA)</t>
  </si>
  <si>
    <t>MT4936260000000</t>
  </si>
  <si>
    <t>Ogden-Clearfield, UT (MSA)</t>
  </si>
  <si>
    <t>MC4939220000000</t>
  </si>
  <si>
    <t>Price, UT (MiSA)</t>
  </si>
  <si>
    <t>MT4939340000000</t>
  </si>
  <si>
    <t>Provo-Orem, UT (MSA)</t>
  </si>
  <si>
    <t>MT4941620000000</t>
  </si>
  <si>
    <t>Salt Lake City, UT (MSA)</t>
  </si>
  <si>
    <t>CA4948200000000</t>
  </si>
  <si>
    <t>Salt Lake City-Provo-Orem, UT (CMSA)</t>
  </si>
  <si>
    <t>MT4941100000000</t>
  </si>
  <si>
    <t>St. George, UT (MSA)</t>
  </si>
  <si>
    <t>MC4944920000000</t>
  </si>
  <si>
    <t>Summit Park, UT (MiSA)</t>
  </si>
  <si>
    <t>MC4946860000000</t>
  </si>
  <si>
    <t>Vernal, UT (MiSA)</t>
  </si>
  <si>
    <t>MC5113720000000</t>
  </si>
  <si>
    <t>Big Stone Gap, VA (MiSA)</t>
  </si>
  <si>
    <t>VA</t>
  </si>
  <si>
    <t>MT5113980000000</t>
  </si>
  <si>
    <t>Blacksburg-Christiansburg-Radford, VA (MSA)</t>
  </si>
  <si>
    <t>MT5116820000000</t>
  </si>
  <si>
    <t>Charlottesville, VA (MSA)</t>
  </si>
  <si>
    <t>MC5119260000000</t>
  </si>
  <si>
    <t>Danville, VA (MiSA)</t>
  </si>
  <si>
    <t>MT5125500000000</t>
  </si>
  <si>
    <t>Harrisonburg, VA (MSA)</t>
  </si>
  <si>
    <t>CA5127700000000</t>
  </si>
  <si>
    <t>Harrisonburg-Staunton-Waynesboro, VA (CMSA)</t>
  </si>
  <si>
    <t>MT5131340000000</t>
  </si>
  <si>
    <t>Lynchburg, VA (MSA)</t>
  </si>
  <si>
    <t>MC5132300000000</t>
  </si>
  <si>
    <t>Martinsville, VA (MiSA)</t>
  </si>
  <si>
    <t>MT5140060000000</t>
  </si>
  <si>
    <t>Richmond, VA (MSA)</t>
  </si>
  <si>
    <t>MT5140220000000</t>
  </si>
  <si>
    <t>Roanoke, VA (MSA)</t>
  </si>
  <si>
    <t>MT5144420000000</t>
  </si>
  <si>
    <t>Staunton-Waynesboro, VA (MSA)</t>
  </si>
  <si>
    <t>CA5154500000000</t>
  </si>
  <si>
    <t>Virginia Beach-Norfolk, VA-NC (CMSA)</t>
  </si>
  <si>
    <t>MT5147260000000</t>
  </si>
  <si>
    <t>Virginia Beach-Norfolk-Newport News, VA-NC (MSA)</t>
  </si>
  <si>
    <t>MT5149020000000</t>
  </si>
  <si>
    <t>Winchester, VA-WV (MSA)</t>
  </si>
  <si>
    <t>MC5071050000000</t>
  </si>
  <si>
    <t>Barre, VT (Mi-NECTA)</t>
  </si>
  <si>
    <t>VT</t>
  </si>
  <si>
    <t>MC5071350000000</t>
  </si>
  <si>
    <t>Bennington, VT (Mi-NECTA)</t>
  </si>
  <si>
    <t>MT5072400000000</t>
  </si>
  <si>
    <t>Burlington-South Burlington, VT (M-NECTA)</t>
  </si>
  <si>
    <t>MC5077650000000</t>
  </si>
  <si>
    <t>Rutland, VT (Mi-NECTA)</t>
  </si>
  <si>
    <t>MC5310140000000</t>
  </si>
  <si>
    <t>Aberdeen, WA (MiSA)</t>
  </si>
  <si>
    <t>WA</t>
  </si>
  <si>
    <t>MT5313380000000</t>
  </si>
  <si>
    <t>Bellingham, WA (MSA)</t>
  </si>
  <si>
    <t>MT5314740000000</t>
  </si>
  <si>
    <t>Bremerton-Silverdale, WA (MSA)</t>
  </si>
  <si>
    <t>MC5316500000000</t>
  </si>
  <si>
    <t>Centralia, WA (MiSA)</t>
  </si>
  <si>
    <t>MC5321260000000</t>
  </si>
  <si>
    <t>Ellensburg, WA (MiSA)</t>
  </si>
  <si>
    <t>MT5328420000000</t>
  </si>
  <si>
    <t>Kennewick-Richland, WA (MSA)</t>
  </si>
  <si>
    <t>MT5331020000000</t>
  </si>
  <si>
    <t>Longview, WA (MSA)</t>
  </si>
  <si>
    <t>MC5334180000000</t>
  </si>
  <si>
    <t>Moses Lake, WA (MiSA)</t>
  </si>
  <si>
    <t>CA5339300000000</t>
  </si>
  <si>
    <t>Moses Lake-Othello, WA (CMSA)</t>
  </si>
  <si>
    <t>MT5334580000000</t>
  </si>
  <si>
    <t>Mount Vernon-Anacortes, WA (MSA)</t>
  </si>
  <si>
    <t>MC5336020000000</t>
  </si>
  <si>
    <t>Oak Harbor, WA (MiSA)</t>
  </si>
  <si>
    <t>MT5336500000000</t>
  </si>
  <si>
    <t>Olympia-Tumwater, WA (MSA)</t>
  </si>
  <si>
    <t>MC5336830000000</t>
  </si>
  <si>
    <t>Othello, WA (MiSA)</t>
  </si>
  <si>
    <t>MC5338820000000</t>
  </si>
  <si>
    <t>Port Angeles, WA (MiSA)</t>
  </si>
  <si>
    <t>MC5339420000000</t>
  </si>
  <si>
    <t>Pullman, WA (MiSA)</t>
  </si>
  <si>
    <t>CA5344600000000</t>
  </si>
  <si>
    <t>Pullman-Moscow, WA-ID (CMSA)</t>
  </si>
  <si>
    <t>DV5342644000000</t>
  </si>
  <si>
    <t>Seattle-Bellevue-Everett, WA (MD)</t>
  </si>
  <si>
    <t>CA5350000000000</t>
  </si>
  <si>
    <t>Seattle-Tacoma, WA (CMSA)</t>
  </si>
  <si>
    <t>MT5342660000000</t>
  </si>
  <si>
    <t>Seattle-Tacoma-Bellevue, WA (MSA)</t>
  </si>
  <si>
    <t>MC5343220000000</t>
  </si>
  <si>
    <t>Shelton, WA (MiSA)</t>
  </si>
  <si>
    <t>MT5344060000000</t>
  </si>
  <si>
    <t>Spokane-Spokane Valley, WA (MSA)</t>
  </si>
  <si>
    <t>CA5351800000000</t>
  </si>
  <si>
    <t>Spokane-Spokane Valley-Coeur d'Alene, WA-ID (CMSA)</t>
  </si>
  <si>
    <t>DV5345104000000</t>
  </si>
  <si>
    <t>Tacoma-Lakewood, WA (MD)</t>
  </si>
  <si>
    <t>MT5347460000000</t>
  </si>
  <si>
    <t>Walla Walla, WA (MSA)</t>
  </si>
  <si>
    <t>MT5348300000000</t>
  </si>
  <si>
    <t>Wenatchee, WA (MSA)</t>
  </si>
  <si>
    <t>MT5349420000000</t>
  </si>
  <si>
    <t>Yakima, WA (MSA)</t>
  </si>
  <si>
    <t>MT5511540000000</t>
  </si>
  <si>
    <t>Appleton, WI (MSA)</t>
  </si>
  <si>
    <t>WI</t>
  </si>
  <si>
    <t>CA5511800000000</t>
  </si>
  <si>
    <t>Appleton-Oshkosh-Neenah, WI (CMSA)</t>
  </si>
  <si>
    <t>MC5512660000000</t>
  </si>
  <si>
    <t>Baraboo, WI (MiSA)</t>
  </si>
  <si>
    <t>MC5513180000000</t>
  </si>
  <si>
    <t>Beaver Dam, WI (MiSA)</t>
  </si>
  <si>
    <t>MT5520740000000</t>
  </si>
  <si>
    <t>Eau Claire, WI (MSA)</t>
  </si>
  <si>
    <t>CA5523200000000</t>
  </si>
  <si>
    <t>Eau Claire-Menomonie, WI (CMSA)</t>
  </si>
  <si>
    <t>MT5522540000000</t>
  </si>
  <si>
    <t>Fond du Lac, WI (MSA)</t>
  </si>
  <si>
    <t>MT5524580000000</t>
  </si>
  <si>
    <t>Green Bay, WI (MSA)</t>
  </si>
  <si>
    <t>CA5526700000000</t>
  </si>
  <si>
    <t>Green Bay-Shawano, WI (CMSA)</t>
  </si>
  <si>
    <t>MT5527500000000</t>
  </si>
  <si>
    <t>Janesville-Beloit, WI (MSA)</t>
  </si>
  <si>
    <t>MT5529100000000</t>
  </si>
  <si>
    <t>La Crosse-Onalaska, WI-MN (MSA)</t>
  </si>
  <si>
    <t>MT5531540000000</t>
  </si>
  <si>
    <t>Madison, WI (MSA)</t>
  </si>
  <si>
    <t>CA5535700000000</t>
  </si>
  <si>
    <t>Madison-Janesville-Beloit, WI (CMSA)</t>
  </si>
  <si>
    <t>MC5531820000000</t>
  </si>
  <si>
    <t>Manitowoc, WI (MiSA)</t>
  </si>
  <si>
    <t>MC5531940000000</t>
  </si>
  <si>
    <t>Marinette, WI-MI (MiSA)</t>
  </si>
  <si>
    <t>MC5532860000000</t>
  </si>
  <si>
    <t>Menomonie, WI (MiSA)</t>
  </si>
  <si>
    <t>MC5532980000000</t>
  </si>
  <si>
    <t>Merrill, WI (MiSA)</t>
  </si>
  <si>
    <t>CA5537600000000</t>
  </si>
  <si>
    <t>Milwaukee-Racine-Waukesha, WI (CMSA)</t>
  </si>
  <si>
    <t>MT5533340000000</t>
  </si>
  <si>
    <t>Milwaukee-Waukesha-West Allis, WI (MSA)</t>
  </si>
  <si>
    <t>MT5536780000000</t>
  </si>
  <si>
    <t>Oshkosh-Neenah, WI (MSA)</t>
  </si>
  <si>
    <t>MC5538420000000</t>
  </si>
  <si>
    <t>Platteville, WI (MiSA)</t>
  </si>
  <si>
    <t>MT5539540000000</t>
  </si>
  <si>
    <t>Racine, WI (MSA)</t>
  </si>
  <si>
    <t>MC5543020000000</t>
  </si>
  <si>
    <t>Shawano, WI (MiSA)</t>
  </si>
  <si>
    <t>MT5543100000000</t>
  </si>
  <si>
    <t>Sheboygan, WI (MSA)</t>
  </si>
  <si>
    <t>MC5544620000000</t>
  </si>
  <si>
    <t>Stevens Point, WI (MiSA)</t>
  </si>
  <si>
    <t>MC5548020000000</t>
  </si>
  <si>
    <t>Watertown-Fort Atkinson, WI (MiSA)</t>
  </si>
  <si>
    <t>MT5548140000000</t>
  </si>
  <si>
    <t>Wausau, WI (MSA)</t>
  </si>
  <si>
    <t>CA5555400000000</t>
  </si>
  <si>
    <t>Wausau-Stevens Point-Wisconsin Rapids, WI (CMSA)</t>
  </si>
  <si>
    <t>MC5548580000000</t>
  </si>
  <si>
    <t>Whitewater-Elkhorn, WI (MiSA)</t>
  </si>
  <si>
    <t>MC5549220000000</t>
  </si>
  <si>
    <t>Wisconsin Rapids-Marshfield, WI (MiSA)</t>
  </si>
  <si>
    <t>MT5413220000000</t>
  </si>
  <si>
    <t>Beckley, WV (MSA)</t>
  </si>
  <si>
    <t>WV</t>
  </si>
  <si>
    <t>MC5414140000000</t>
  </si>
  <si>
    <t>Bluefield, WV-VA (MiSA)</t>
  </si>
  <si>
    <t>MT5416620000000</t>
  </si>
  <si>
    <t>Charleston, WV (MSA)</t>
  </si>
  <si>
    <t>CA5417000000000</t>
  </si>
  <si>
    <t>Charleston-Huntington-Ashland, WV-OH-KY (CMSA)</t>
  </si>
  <si>
    <t>MC5417220000000</t>
  </si>
  <si>
    <t>Clarksburg, WV (MiSA)</t>
  </si>
  <si>
    <t>MC5421180000000</t>
  </si>
  <si>
    <t>Elkins, WV (MiSA)</t>
  </si>
  <si>
    <t>MC5421900000000</t>
  </si>
  <si>
    <t>Fairmont, WV (MiSA)</t>
  </si>
  <si>
    <t>MT5426580000000</t>
  </si>
  <si>
    <t>Huntington-Ashland, WV-KY-OH (MSA)</t>
  </si>
  <si>
    <t>MC5430880000000</t>
  </si>
  <si>
    <t>Logan, WV (MiSA)</t>
  </si>
  <si>
    <t>MT5434060000000</t>
  </si>
  <si>
    <t>Morgantown, WV (MSA)</t>
  </si>
  <si>
    <t>CA5439000000000</t>
  </si>
  <si>
    <t>Morgantown-Fairmont, WV (CMSA)</t>
  </si>
  <si>
    <t>CA5442500000000</t>
  </si>
  <si>
    <t>Parkersburg-Marietta-Vienna, WV-OH (CMSA)</t>
  </si>
  <si>
    <t>MT5437620000000</t>
  </si>
  <si>
    <t>Parkersburg-Vienna, WV (MSA)</t>
  </si>
  <si>
    <t>MC3938580000000</t>
  </si>
  <si>
    <t>Point Pleasant, WV-OH (MiSA)</t>
  </si>
  <si>
    <t>MT3948260000000</t>
  </si>
  <si>
    <t>Weirton-Steubenville, WV-OH (MSA)</t>
  </si>
  <si>
    <t>MT5448540000000</t>
  </si>
  <si>
    <t>Wheeling, WV-OH (MSA)</t>
  </si>
  <si>
    <t>MT5616220000000</t>
  </si>
  <si>
    <t>Casper, WY (MSA)</t>
  </si>
  <si>
    <t>WY</t>
  </si>
  <si>
    <t>MT5616940000000</t>
  </si>
  <si>
    <t>Cheyenne, WY (MSA)</t>
  </si>
  <si>
    <t>MC5621740000000</t>
  </si>
  <si>
    <t>Evanston, WY (MiSA)</t>
  </si>
  <si>
    <t>MC5623940000000</t>
  </si>
  <si>
    <t>Gillette, WY (MiSA)</t>
  </si>
  <si>
    <t>MC5627220000000</t>
  </si>
  <si>
    <t>Jackson, WY-ID (MiSA)</t>
  </si>
  <si>
    <t>MC5629660000000</t>
  </si>
  <si>
    <t>Laramie, WY (MiSA)</t>
  </si>
  <si>
    <t>MC5640180000000</t>
  </si>
  <si>
    <t>Riverton, WY (MiSA)</t>
  </si>
  <si>
    <t>MC5640540000000</t>
  </si>
  <si>
    <t>Rock Springs, WY (MiSA)</t>
  </si>
  <si>
    <t>MC5643260000000</t>
  </si>
  <si>
    <t>Sheridan, WY (MiSA)</t>
  </si>
  <si>
    <t>MC7210260000000</t>
  </si>
  <si>
    <t>Adjuntas, PR (MiSA)</t>
  </si>
  <si>
    <t>PR</t>
  </si>
  <si>
    <t>MT7210380000000</t>
  </si>
  <si>
    <t>Aguadilla-Isabela, PR (MSA)</t>
  </si>
  <si>
    <t>MT7211640000000</t>
  </si>
  <si>
    <t>Arecibo, PR (MSA)</t>
  </si>
  <si>
    <t>MC7217620000000</t>
  </si>
  <si>
    <t>Coamo, PR (MiSA)</t>
  </si>
  <si>
    <t>MC7217640000000</t>
  </si>
  <si>
    <t>Coco, PR (MiSA)</t>
  </si>
  <si>
    <t>MT7225020000000</t>
  </si>
  <si>
    <t>Guayama, PR (MSA)</t>
  </si>
  <si>
    <t>MC7227580000000</t>
  </si>
  <si>
    <t>Jayuya, PR (MiSA)</t>
  </si>
  <si>
    <t>MT7232420000000</t>
  </si>
  <si>
    <t>Mayaguez, PR (MSA)</t>
  </si>
  <si>
    <t>CA7236400000000</t>
  </si>
  <si>
    <t>Mayaguez-San German, PR (CMSA)</t>
  </si>
  <si>
    <t>MT7238660000000</t>
  </si>
  <si>
    <t>Ponce, PR (MSA)</t>
  </si>
  <si>
    <t>CA7243400000000</t>
  </si>
  <si>
    <t>Ponce-Coamo-Santa Isabel, PR (CMSA)</t>
  </si>
  <si>
    <t>MT7241900000000</t>
  </si>
  <si>
    <t>San German, PR (MSA)</t>
  </si>
  <si>
    <t>CA7249000000000</t>
  </si>
  <si>
    <t>San Juan-Carolina, PR (CMSA)</t>
  </si>
  <si>
    <t>MT7241980000000</t>
  </si>
  <si>
    <t>San Juan-Carolina-Caguas, PR (MSA)</t>
  </si>
  <si>
    <t>MC7242180000000</t>
  </si>
  <si>
    <t>Santa Isabel, PR (MiSA)</t>
  </si>
  <si>
    <t>FIPS_County</t>
  </si>
  <si>
    <t>F</t>
  </si>
  <si>
    <t>CN0100100000000</t>
  </si>
  <si>
    <t>Autauga County, AL</t>
  </si>
  <si>
    <t>CN0100300000000</t>
  </si>
  <si>
    <t>Baldwin County, AL</t>
  </si>
  <si>
    <t>CN0100500000000</t>
  </si>
  <si>
    <t>Barbour County, AL</t>
  </si>
  <si>
    <t>CN0100700000000</t>
  </si>
  <si>
    <t>Bibb County, AL</t>
  </si>
  <si>
    <t>CN0100900000000</t>
  </si>
  <si>
    <t>Blount County, AL</t>
  </si>
  <si>
    <t>CN0101100000000</t>
  </si>
  <si>
    <t>Bullock County, AL</t>
  </si>
  <si>
    <t>CN0101300000000</t>
  </si>
  <si>
    <t>Butler County, AL</t>
  </si>
  <si>
    <t>CN0101500000000</t>
  </si>
  <si>
    <t>Calhoun County, AL</t>
  </si>
  <si>
    <t>CN0101700000000</t>
  </si>
  <si>
    <t>Chambers County, AL</t>
  </si>
  <si>
    <t>CN0101900000000</t>
  </si>
  <si>
    <t>Cherokee County, AL</t>
  </si>
  <si>
    <t>CN0102100000000</t>
  </si>
  <si>
    <t>Chilton County, AL</t>
  </si>
  <si>
    <t>CN0102300000000</t>
  </si>
  <si>
    <t>Choctaw County, AL</t>
  </si>
  <si>
    <t>CN0102500000000</t>
  </si>
  <si>
    <t>Clarke County, AL</t>
  </si>
  <si>
    <t>CN0102700000000</t>
  </si>
  <si>
    <t>Clay County, AL</t>
  </si>
  <si>
    <t>CN0102900000000</t>
  </si>
  <si>
    <t>Cleburne County, AL</t>
  </si>
  <si>
    <t>CN0103100000000</t>
  </si>
  <si>
    <t>Coffee County, AL</t>
  </si>
  <si>
    <t>CN0103300000000</t>
  </si>
  <si>
    <t>Colbert County, AL</t>
  </si>
  <si>
    <t>CN0103500000000</t>
  </si>
  <si>
    <t>Conecuh County, AL</t>
  </si>
  <si>
    <t>CN0103700000000</t>
  </si>
  <si>
    <t>Coosa County, AL</t>
  </si>
  <si>
    <t>CN0103900000000</t>
  </si>
  <si>
    <t>Covington County, AL</t>
  </si>
  <si>
    <t>CN0104100000000</t>
  </si>
  <si>
    <t>Crenshaw County, AL</t>
  </si>
  <si>
    <t>CN0104300000000</t>
  </si>
  <si>
    <t>Cullman County, AL</t>
  </si>
  <si>
    <t>CN0104500000000</t>
  </si>
  <si>
    <t>Dale County, AL</t>
  </si>
  <si>
    <t>CN0104700000000</t>
  </si>
  <si>
    <t>Dallas County, AL</t>
  </si>
  <si>
    <t>CN0104900000000</t>
  </si>
  <si>
    <t>DeKalb County, AL</t>
  </si>
  <si>
    <t>CN0105100000000</t>
  </si>
  <si>
    <t>Elmore County, AL</t>
  </si>
  <si>
    <t>CN0105300000000</t>
  </si>
  <si>
    <t>Escambia County, AL</t>
  </si>
  <si>
    <t>CN0105500000000</t>
  </si>
  <si>
    <t>Etowah County, AL</t>
  </si>
  <si>
    <t>CN0105700000000</t>
  </si>
  <si>
    <t>Fayette County, AL</t>
  </si>
  <si>
    <t>CN0105900000000</t>
  </si>
  <si>
    <t>Franklin County, AL</t>
  </si>
  <si>
    <t>CN0106100000000</t>
  </si>
  <si>
    <t>Geneva County, AL</t>
  </si>
  <si>
    <t>CN0106300000000</t>
  </si>
  <si>
    <t>Greene County, AL</t>
  </si>
  <si>
    <t>CN0106500000000</t>
  </si>
  <si>
    <t>Hale County, AL</t>
  </si>
  <si>
    <t>CN0106700000000</t>
  </si>
  <si>
    <t>Henry County, AL</t>
  </si>
  <si>
    <t>CN0106900000000</t>
  </si>
  <si>
    <t>Houston County, AL</t>
  </si>
  <si>
    <t>CN0107100000000</t>
  </si>
  <si>
    <t>Jackson County, AL</t>
  </si>
  <si>
    <t>CN0107300000000</t>
  </si>
  <si>
    <t>Jefferson County, AL</t>
  </si>
  <si>
    <t>CN0107500000000</t>
  </si>
  <si>
    <t>Lamar County, AL</t>
  </si>
  <si>
    <t>CN0107700000000</t>
  </si>
  <si>
    <t>Lauderdale County, AL</t>
  </si>
  <si>
    <t>CN0107900000000</t>
  </si>
  <si>
    <t>Lawrence County, AL</t>
  </si>
  <si>
    <t>CN0108100000000</t>
  </si>
  <si>
    <t>Lee County, AL</t>
  </si>
  <si>
    <t>CN0108300000000</t>
  </si>
  <si>
    <t>Limestone County, AL</t>
  </si>
  <si>
    <t>CN0108500000000</t>
  </si>
  <si>
    <t>Lowndes County, AL</t>
  </si>
  <si>
    <t>CN0108700000000</t>
  </si>
  <si>
    <t>Macon County, AL</t>
  </si>
  <si>
    <t>CN0108900000000</t>
  </si>
  <si>
    <t>Madison County, AL</t>
  </si>
  <si>
    <t>CN0109100000000</t>
  </si>
  <si>
    <t>Marengo County, AL</t>
  </si>
  <si>
    <t>CN0109300000000</t>
  </si>
  <si>
    <t>Marion County, AL</t>
  </si>
  <si>
    <t>CN0109500000000</t>
  </si>
  <si>
    <t>Marshall County, AL</t>
  </si>
  <si>
    <t>CN0109700000000</t>
  </si>
  <si>
    <t>Mobile County, AL</t>
  </si>
  <si>
    <t>CN0109900000000</t>
  </si>
  <si>
    <t>Monroe County, AL</t>
  </si>
  <si>
    <t>CN0110100000000</t>
  </si>
  <si>
    <t>Montgomery County, AL</t>
  </si>
  <si>
    <t>CN0110300000000</t>
  </si>
  <si>
    <t>Morgan County, AL</t>
  </si>
  <si>
    <t>CN0110500000000</t>
  </si>
  <si>
    <t>Perry County, AL</t>
  </si>
  <si>
    <t>CN0110700000000</t>
  </si>
  <si>
    <t>Pickens County, AL</t>
  </si>
  <si>
    <t>CN0110900000000</t>
  </si>
  <si>
    <t>Pike County, AL</t>
  </si>
  <si>
    <t>CN0111100000000</t>
  </si>
  <si>
    <t>Randolph County, AL</t>
  </si>
  <si>
    <t>CN0111300000000</t>
  </si>
  <si>
    <t>Russell County, AL</t>
  </si>
  <si>
    <t>CN0111500000000</t>
  </si>
  <si>
    <t>St. Clair County, AL</t>
  </si>
  <si>
    <t>CN0111700000000</t>
  </si>
  <si>
    <t>Shelby County, AL</t>
  </si>
  <si>
    <t>CN0111900000000</t>
  </si>
  <si>
    <t>Sumter County, AL</t>
  </si>
  <si>
    <t>CN0112100000000</t>
  </si>
  <si>
    <t>Talladega County, AL</t>
  </si>
  <si>
    <t>CN0112300000000</t>
  </si>
  <si>
    <t>Tallapoosa County, AL</t>
  </si>
  <si>
    <t>CN0112500000000</t>
  </si>
  <si>
    <t>Tuscaloosa County, AL</t>
  </si>
  <si>
    <t>CN0112700000000</t>
  </si>
  <si>
    <t>Walker County, AL</t>
  </si>
  <si>
    <t>CN0112900000000</t>
  </si>
  <si>
    <t>Washington County, AL</t>
  </si>
  <si>
    <t>CN0113100000000</t>
  </si>
  <si>
    <t>Wilcox County, AL</t>
  </si>
  <si>
    <t>CN0113300000000</t>
  </si>
  <si>
    <t>Winston County, AL</t>
  </si>
  <si>
    <t>CN0201300000000</t>
  </si>
  <si>
    <t>Aleutians East Borough, AK</t>
  </si>
  <si>
    <t>CN0201600000000</t>
  </si>
  <si>
    <t>Aleutians West Census Area, AK</t>
  </si>
  <si>
    <t>CN0202000000000</t>
  </si>
  <si>
    <t>Anchorage Borough/municipality, AK</t>
  </si>
  <si>
    <t>CN0205000000000</t>
  </si>
  <si>
    <t>Bethel Census Area, AK</t>
  </si>
  <si>
    <t>CN0206000000000</t>
  </si>
  <si>
    <t>Bristol Bay Borough, AK</t>
  </si>
  <si>
    <t>CN0206800000000</t>
  </si>
  <si>
    <t>Denali Borough, AK</t>
  </si>
  <si>
    <t>CN0207000000000</t>
  </si>
  <si>
    <t>Dillingham Census Area, AK</t>
  </si>
  <si>
    <t>CN0209000000000</t>
  </si>
  <si>
    <t>Fairbanks North Star Borough, AK</t>
  </si>
  <si>
    <t>CN0210000000000</t>
  </si>
  <si>
    <t>Haines Borough, AK</t>
  </si>
  <si>
    <t>CN0210500000000</t>
  </si>
  <si>
    <t>Hoonah-Angoon Census Area, AK</t>
  </si>
  <si>
    <t>CN0211000000000</t>
  </si>
  <si>
    <t>Juneau Borough/city, AK</t>
  </si>
  <si>
    <t>CN0212200000000</t>
  </si>
  <si>
    <t>Kenai Peninsula Borough, AK</t>
  </si>
  <si>
    <t>CN0213000000000</t>
  </si>
  <si>
    <t>Ketchikan Gateway Borough, AK</t>
  </si>
  <si>
    <t>CN0215000000000</t>
  </si>
  <si>
    <t>Kodiak Island Borough, AK</t>
  </si>
  <si>
    <t>CN0215800000000</t>
  </si>
  <si>
    <t>Kusilvak Census Area, AK</t>
  </si>
  <si>
    <t>CN0216400000000</t>
  </si>
  <si>
    <t>Lake and Peninsula Borough, AK</t>
  </si>
  <si>
    <t>CN0217000000000</t>
  </si>
  <si>
    <t>Matanuska-Susitna Borough, AK</t>
  </si>
  <si>
    <t>CN0218000000000</t>
  </si>
  <si>
    <t>Nome Census Area, AK</t>
  </si>
  <si>
    <t>CN0218500000000</t>
  </si>
  <si>
    <t>North Slope Borough, AK</t>
  </si>
  <si>
    <t>CN0218800000000</t>
  </si>
  <si>
    <t>Northwest Arctic Borough, AK</t>
  </si>
  <si>
    <t>CN0219500000000</t>
  </si>
  <si>
    <t>Petersburg Borough, AK</t>
  </si>
  <si>
    <t>CN0219800000000</t>
  </si>
  <si>
    <t>Prince of Wales-Hyder Census Area, AK</t>
  </si>
  <si>
    <t>CN0220100000000</t>
  </si>
  <si>
    <t>Prince of Wales-Outer Ketchikan Census Area, AK</t>
  </si>
  <si>
    <t>CN0222000000000</t>
  </si>
  <si>
    <t>Sitka Borough/city, AK</t>
  </si>
  <si>
    <t>CN0223000000000</t>
  </si>
  <si>
    <t>Skagway Municipality, AK</t>
  </si>
  <si>
    <t>CN0223200000000</t>
  </si>
  <si>
    <t>Skagway-Hoonah-Angoon Census Area, AK</t>
  </si>
  <si>
    <t>CN0224000000000</t>
  </si>
  <si>
    <t>Southeast Fairbanks Census Area, AK</t>
  </si>
  <si>
    <t>CN0226100000000</t>
  </si>
  <si>
    <t>Valdez-Cordova Census Area, AK</t>
  </si>
  <si>
    <t>CN0227500000000</t>
  </si>
  <si>
    <t>Wrangell Borough/city, AK</t>
  </si>
  <si>
    <t>CN0228000000000</t>
  </si>
  <si>
    <t>Wrangell-Petersburg Census Area, AK</t>
  </si>
  <si>
    <t>CN0228200000000</t>
  </si>
  <si>
    <t>Yakutat Borough/city, AK</t>
  </si>
  <si>
    <t>CN0229000000000</t>
  </si>
  <si>
    <t>Yukon-Koyukuk Census Area, AK</t>
  </si>
  <si>
    <t>CN0400100000000</t>
  </si>
  <si>
    <t>Apache County, AZ</t>
  </si>
  <si>
    <t>CN0400300000000</t>
  </si>
  <si>
    <t>Cochise County, AZ</t>
  </si>
  <si>
    <t>CN0400500000000</t>
  </si>
  <si>
    <t>Coconino County, AZ</t>
  </si>
  <si>
    <t>CN0400700000000</t>
  </si>
  <si>
    <t>Gila County, AZ</t>
  </si>
  <si>
    <t>CN0400900000000</t>
  </si>
  <si>
    <t>Graham County, AZ</t>
  </si>
  <si>
    <t>CN0401100000000</t>
  </si>
  <si>
    <t>Greenlee County, AZ</t>
  </si>
  <si>
    <t>CN0401200000000</t>
  </si>
  <si>
    <t>La Paz County, AZ</t>
  </si>
  <si>
    <t>CN0401300000000</t>
  </si>
  <si>
    <t>Maricopa County, AZ</t>
  </si>
  <si>
    <t>CN0401500000000</t>
  </si>
  <si>
    <t>Mohave County, AZ</t>
  </si>
  <si>
    <t>CN0401700000000</t>
  </si>
  <si>
    <t>Navajo County, AZ</t>
  </si>
  <si>
    <t>CN0401900000000</t>
  </si>
  <si>
    <t>Pima County, AZ</t>
  </si>
  <si>
    <t>CN0402100000000</t>
  </si>
  <si>
    <t>Pinal County, AZ</t>
  </si>
  <si>
    <t>CN0402300000000</t>
  </si>
  <si>
    <t>Santa Cruz County, AZ</t>
  </si>
  <si>
    <t>CN0402500000000</t>
  </si>
  <si>
    <t>Yavapai County, AZ</t>
  </si>
  <si>
    <t>CN0402700000000</t>
  </si>
  <si>
    <t>Yuma County, AZ</t>
  </si>
  <si>
    <t>CN0500100000000</t>
  </si>
  <si>
    <t>Arkansas County, AR</t>
  </si>
  <si>
    <t>CN0500300000000</t>
  </si>
  <si>
    <t>Ashley County, AR</t>
  </si>
  <si>
    <t>CN0500500000000</t>
  </si>
  <si>
    <t>Baxter County, AR</t>
  </si>
  <si>
    <t>CN0500700000000</t>
  </si>
  <si>
    <t>Benton County, AR</t>
  </si>
  <si>
    <t>CN0500900000000</t>
  </si>
  <si>
    <t>Boone County, AR</t>
  </si>
  <si>
    <t>CN0501100000000</t>
  </si>
  <si>
    <t>Bradley County, AR</t>
  </si>
  <si>
    <t>CN0501300000000</t>
  </si>
  <si>
    <t>Calhoun County, AR</t>
  </si>
  <si>
    <t>CN0501500000000</t>
  </si>
  <si>
    <t>Carroll County, AR</t>
  </si>
  <si>
    <t>CN0501700000000</t>
  </si>
  <si>
    <t>Chicot County, AR</t>
  </si>
  <si>
    <t>CN0501900000000</t>
  </si>
  <si>
    <t>Clark County, AR</t>
  </si>
  <si>
    <t>CN0502100000000</t>
  </si>
  <si>
    <t>Clay County, AR</t>
  </si>
  <si>
    <t>CN0502300000000</t>
  </si>
  <si>
    <t>Cleburne County, AR</t>
  </si>
  <si>
    <t>CN0502500000000</t>
  </si>
  <si>
    <t>Cleveland County, AR</t>
  </si>
  <si>
    <t>CN0502700000000</t>
  </si>
  <si>
    <t>Columbia County, AR</t>
  </si>
  <si>
    <t>CN0502900000000</t>
  </si>
  <si>
    <t>Conway County, AR</t>
  </si>
  <si>
    <t>CN0503100000000</t>
  </si>
  <si>
    <t>Craighead County, AR</t>
  </si>
  <si>
    <t>CN0503300000000</t>
  </si>
  <si>
    <t>Crawford County, AR</t>
  </si>
  <si>
    <t>CN0503500000000</t>
  </si>
  <si>
    <t>Crittenden County, AR</t>
  </si>
  <si>
    <t>CN0503700000000</t>
  </si>
  <si>
    <t>Cross County, AR</t>
  </si>
  <si>
    <t>CN0503900000000</t>
  </si>
  <si>
    <t>Dallas County, AR</t>
  </si>
  <si>
    <t>CN0504100000000</t>
  </si>
  <si>
    <t>Desha County, AR</t>
  </si>
  <si>
    <t>CN0504300000000</t>
  </si>
  <si>
    <t>Drew County, AR</t>
  </si>
  <si>
    <t>CN0504500000000</t>
  </si>
  <si>
    <t>Faulkner County, AR</t>
  </si>
  <si>
    <t>CN0504700000000</t>
  </si>
  <si>
    <t>Franklin County, AR</t>
  </si>
  <si>
    <t>CN0504900000000</t>
  </si>
  <si>
    <t>Fulton County, AR</t>
  </si>
  <si>
    <t>CN0505100000000</t>
  </si>
  <si>
    <t>Garland County, AR</t>
  </si>
  <si>
    <t>CN0505300000000</t>
  </si>
  <si>
    <t>Grant County, AR</t>
  </si>
  <si>
    <t>CN0505500000000</t>
  </si>
  <si>
    <t>Greene County, AR</t>
  </si>
  <si>
    <t>CN0505700000000</t>
  </si>
  <si>
    <t>Hempstead County, AR</t>
  </si>
  <si>
    <t>CN0505900000000</t>
  </si>
  <si>
    <t>Hot Spring County, AR</t>
  </si>
  <si>
    <t>CN0506100000000</t>
  </si>
  <si>
    <t>Howard County, AR</t>
  </si>
  <si>
    <t>CN0506300000000</t>
  </si>
  <si>
    <t>Independence County, AR</t>
  </si>
  <si>
    <t>CN0506500000000</t>
  </si>
  <si>
    <t>Izard County, AR</t>
  </si>
  <si>
    <t>CN0506700000000</t>
  </si>
  <si>
    <t>Jackson County, AR</t>
  </si>
  <si>
    <t>CN0506900000000</t>
  </si>
  <si>
    <t>Jefferson County, AR</t>
  </si>
  <si>
    <t>CN0507100000000</t>
  </si>
  <si>
    <t>Johnson County, AR</t>
  </si>
  <si>
    <t>CN0507300000000</t>
  </si>
  <si>
    <t>Lafayette County, AR</t>
  </si>
  <si>
    <t>CN0507500000000</t>
  </si>
  <si>
    <t>Lawrence County, AR</t>
  </si>
  <si>
    <t>CN0507700000000</t>
  </si>
  <si>
    <t>Lee County, AR</t>
  </si>
  <si>
    <t>CN0507900000000</t>
  </si>
  <si>
    <t>Lincoln County, AR</t>
  </si>
  <si>
    <t>CN0508100000000</t>
  </si>
  <si>
    <t>Little River County, AR</t>
  </si>
  <si>
    <t>CN0508300000000</t>
  </si>
  <si>
    <t>Logan County, AR</t>
  </si>
  <si>
    <t>CN0508500000000</t>
  </si>
  <si>
    <t>Lonoke County, AR</t>
  </si>
  <si>
    <t>CN0508700000000</t>
  </si>
  <si>
    <t>Madison County, AR</t>
  </si>
  <si>
    <t>CN0508900000000</t>
  </si>
  <si>
    <t>Marion County, AR</t>
  </si>
  <si>
    <t>CN0509100000000</t>
  </si>
  <si>
    <t>Miller County, AR</t>
  </si>
  <si>
    <t>CN0509300000000</t>
  </si>
  <si>
    <t>Mississippi County, AR</t>
  </si>
  <si>
    <t>CN0509500000000</t>
  </si>
  <si>
    <t>Monroe County, AR</t>
  </si>
  <si>
    <t>CN0509700000000</t>
  </si>
  <si>
    <t>Montgomery County, AR</t>
  </si>
  <si>
    <t>CN0509900000000</t>
  </si>
  <si>
    <t>Nevada County, AR</t>
  </si>
  <si>
    <t>CN0510100000000</t>
  </si>
  <si>
    <t>Newton County, AR</t>
  </si>
  <si>
    <t>CN0510300000000</t>
  </si>
  <si>
    <t>Ouachita County, AR</t>
  </si>
  <si>
    <t>CN0510500000000</t>
  </si>
  <si>
    <t>Perry County, AR</t>
  </si>
  <si>
    <t>CN0510700000000</t>
  </si>
  <si>
    <t>Phillips County, AR</t>
  </si>
  <si>
    <t>CN0510900000000</t>
  </si>
  <si>
    <t>Pike County, AR</t>
  </si>
  <si>
    <t>CN0511100000000</t>
  </si>
  <si>
    <t>Poinsett County, AR</t>
  </si>
  <si>
    <t>CN0511300000000</t>
  </si>
  <si>
    <t>Polk County, AR</t>
  </si>
  <si>
    <t>CN0511500000000</t>
  </si>
  <si>
    <t>Pope County, AR</t>
  </si>
  <si>
    <t>CN0511700000000</t>
  </si>
  <si>
    <t>Prairie County, AR</t>
  </si>
  <si>
    <t>CN0511900000000</t>
  </si>
  <si>
    <t>Pulaski County, AR</t>
  </si>
  <si>
    <t>CN0512100000000</t>
  </si>
  <si>
    <t>Randolph County, AR</t>
  </si>
  <si>
    <t>CN0512300000000</t>
  </si>
  <si>
    <t>St. Francis County, AR</t>
  </si>
  <si>
    <t>CN0512500000000</t>
  </si>
  <si>
    <t>Saline County, AR</t>
  </si>
  <si>
    <t>CN0512700000000</t>
  </si>
  <si>
    <t>Scott County, AR</t>
  </si>
  <si>
    <t>CN0512900000000</t>
  </si>
  <si>
    <t>Searcy County, AR</t>
  </si>
  <si>
    <t>CN0513100000000</t>
  </si>
  <si>
    <t>Sebastian County, AR</t>
  </si>
  <si>
    <t>CN0513300000000</t>
  </si>
  <si>
    <t>Sevier County, AR</t>
  </si>
  <si>
    <t>CN0513500000000</t>
  </si>
  <si>
    <t>Sharp County, AR</t>
  </si>
  <si>
    <t>CN0513700000000</t>
  </si>
  <si>
    <t>Stone County, AR</t>
  </si>
  <si>
    <t>CN0513900000000</t>
  </si>
  <si>
    <t>Union County, AR</t>
  </si>
  <si>
    <t>CN0514100000000</t>
  </si>
  <si>
    <t>Van Buren County, AR</t>
  </si>
  <si>
    <t>CN0514300000000</t>
  </si>
  <si>
    <t>Washington County, AR</t>
  </si>
  <si>
    <t>CN0514500000000</t>
  </si>
  <si>
    <t>White County, AR</t>
  </si>
  <si>
    <t>CN0514700000000</t>
  </si>
  <si>
    <t>Woodruff County, AR</t>
  </si>
  <si>
    <t>CN0514900000000</t>
  </si>
  <si>
    <t>Yell County, AR</t>
  </si>
  <si>
    <t>CN0600100000000</t>
  </si>
  <si>
    <t>Alameda County, CA</t>
  </si>
  <si>
    <t>CN0600300000000</t>
  </si>
  <si>
    <t>Alpine County, CA</t>
  </si>
  <si>
    <t>CN0600500000000</t>
  </si>
  <si>
    <t>Amador County, CA</t>
  </si>
  <si>
    <t>CN0600700000000</t>
  </si>
  <si>
    <t>Butte County, CA</t>
  </si>
  <si>
    <t>CN0600900000000</t>
  </si>
  <si>
    <t>Calaveras County, CA</t>
  </si>
  <si>
    <t>CN0601100000000</t>
  </si>
  <si>
    <t>Colusa County, CA</t>
  </si>
  <si>
    <t>CN0601300000000</t>
  </si>
  <si>
    <t>Contra Costa County, CA</t>
  </si>
  <si>
    <t>CN0601500000000</t>
  </si>
  <si>
    <t>Del Norte County, CA</t>
  </si>
  <si>
    <t>CN0601700000000</t>
  </si>
  <si>
    <t>El Dorado County, CA</t>
  </si>
  <si>
    <t>CN0601900000000</t>
  </si>
  <si>
    <t>Fresno County, CA</t>
  </si>
  <si>
    <t>CN0602100000000</t>
  </si>
  <si>
    <t>Glenn County, CA</t>
  </si>
  <si>
    <t>CN0602300000000</t>
  </si>
  <si>
    <t>Humboldt County, CA</t>
  </si>
  <si>
    <t>CN0602500000000</t>
  </si>
  <si>
    <t>Imperial County, CA</t>
  </si>
  <si>
    <t>CN0602700000000</t>
  </si>
  <si>
    <t>Inyo County, CA</t>
  </si>
  <si>
    <t>CN0602900000000</t>
  </si>
  <si>
    <t>Kern County, CA</t>
  </si>
  <si>
    <t>CN0603100000000</t>
  </si>
  <si>
    <t>Kings County, CA</t>
  </si>
  <si>
    <t>CN0603300000000</t>
  </si>
  <si>
    <t>Lake County, CA</t>
  </si>
  <si>
    <t>CN0603500000000</t>
  </si>
  <si>
    <t>Lassen County, CA</t>
  </si>
  <si>
    <t>CN0603700000000</t>
  </si>
  <si>
    <t>Los Angeles County, CA</t>
  </si>
  <si>
    <t>CN0603900000000</t>
  </si>
  <si>
    <t>Madera County, CA</t>
  </si>
  <si>
    <t>CN0604100000000</t>
  </si>
  <si>
    <t>Marin County, CA</t>
  </si>
  <si>
    <t>CN0604300000000</t>
  </si>
  <si>
    <t>Mariposa County, CA</t>
  </si>
  <si>
    <t>CN0604500000000</t>
  </si>
  <si>
    <t>Mendocino County, CA</t>
  </si>
  <si>
    <t>CN0604700000000</t>
  </si>
  <si>
    <t>Merced County, CA</t>
  </si>
  <si>
    <t>CN0604900000000</t>
  </si>
  <si>
    <t>Modoc County, CA</t>
  </si>
  <si>
    <t>CN0605100000000</t>
  </si>
  <si>
    <t>Mono County, CA</t>
  </si>
  <si>
    <t>CN0605300000000</t>
  </si>
  <si>
    <t>Monterey County, CA</t>
  </si>
  <si>
    <t>CN0605500000000</t>
  </si>
  <si>
    <t>Napa County, CA</t>
  </si>
  <si>
    <t>CN0605700000000</t>
  </si>
  <si>
    <t>Nevada County, CA</t>
  </si>
  <si>
    <t>CN0605900000000</t>
  </si>
  <si>
    <t>Orange County, CA</t>
  </si>
  <si>
    <t>CN0606100000000</t>
  </si>
  <si>
    <t>Placer County, CA</t>
  </si>
  <si>
    <t>CN0606300000000</t>
  </si>
  <si>
    <t>Plumas County, CA</t>
  </si>
  <si>
    <t>CN0606500000000</t>
  </si>
  <si>
    <t>Riverside County, CA</t>
  </si>
  <si>
    <t>CN0606700000000</t>
  </si>
  <si>
    <t>Sacramento County, CA</t>
  </si>
  <si>
    <t>CN0606900000000</t>
  </si>
  <si>
    <t>San Benito County, CA</t>
  </si>
  <si>
    <t>CN0607100000000</t>
  </si>
  <si>
    <t>San Bernardino County, CA</t>
  </si>
  <si>
    <t>CN0607300000000</t>
  </si>
  <si>
    <t>San Diego County, CA</t>
  </si>
  <si>
    <t>CN0607500000000</t>
  </si>
  <si>
    <t>San Francisco County/city, CA</t>
  </si>
  <si>
    <t>CN0607700000000</t>
  </si>
  <si>
    <t>San Joaquin County, CA</t>
  </si>
  <si>
    <t>CN0607900000000</t>
  </si>
  <si>
    <t>San Luis Obispo County, CA</t>
  </si>
  <si>
    <t>CN0608100000000</t>
  </si>
  <si>
    <t>San Mateo County, CA</t>
  </si>
  <si>
    <t>CN0608300000000</t>
  </si>
  <si>
    <t>Santa Barbara County, CA</t>
  </si>
  <si>
    <t>CN0608500000000</t>
  </si>
  <si>
    <t>Santa Clara County, CA</t>
  </si>
  <si>
    <t>CN0608700000000</t>
  </si>
  <si>
    <t>Santa Cruz County, CA</t>
  </si>
  <si>
    <t>CN0608900000000</t>
  </si>
  <si>
    <t>Shasta County, CA</t>
  </si>
  <si>
    <t>CN0609100000000</t>
  </si>
  <si>
    <t>Sierra County, CA</t>
  </si>
  <si>
    <t>CN0609300000000</t>
  </si>
  <si>
    <t>Siskiyou County, CA</t>
  </si>
  <si>
    <t>CN0609500000000</t>
  </si>
  <si>
    <t>Solano County, CA</t>
  </si>
  <si>
    <t>CN0609700000000</t>
  </si>
  <si>
    <t>Sonoma County, CA</t>
  </si>
  <si>
    <t>CN0609900000000</t>
  </si>
  <si>
    <t>Stanislaus County, CA</t>
  </si>
  <si>
    <t>CN0610100000000</t>
  </si>
  <si>
    <t>Sutter County, CA</t>
  </si>
  <si>
    <t>CN0610300000000</t>
  </si>
  <si>
    <t>Tehama County, CA</t>
  </si>
  <si>
    <t>CN0610500000000</t>
  </si>
  <si>
    <t>Trinity County, CA</t>
  </si>
  <si>
    <t>CN0610700000000</t>
  </si>
  <si>
    <t>Tulare County, CA</t>
  </si>
  <si>
    <t>CN0610900000000</t>
  </si>
  <si>
    <t>Tuolumne County, CA</t>
  </si>
  <si>
    <t>CN0611100000000</t>
  </si>
  <si>
    <t>Ventura County, CA</t>
  </si>
  <si>
    <t>CN0611300000000</t>
  </si>
  <si>
    <t>Yolo County, CA</t>
  </si>
  <si>
    <t>CN0611500000000</t>
  </si>
  <si>
    <t>Yuba County, CA</t>
  </si>
  <si>
    <t>CN0800100000000</t>
  </si>
  <si>
    <t>Adams County, CO</t>
  </si>
  <si>
    <t>CN0800300000000</t>
  </si>
  <si>
    <t>Alamosa County, CO</t>
  </si>
  <si>
    <t>CN0800500000000</t>
  </si>
  <si>
    <t>Arapahoe County, CO</t>
  </si>
  <si>
    <t>CN0800700000000</t>
  </si>
  <si>
    <t>Archuleta County, CO</t>
  </si>
  <si>
    <t>CN0800900000000</t>
  </si>
  <si>
    <t>Baca County, CO</t>
  </si>
  <si>
    <t>CN0801100000000</t>
  </si>
  <si>
    <t>Bent County, CO</t>
  </si>
  <si>
    <t>CN0801300000000</t>
  </si>
  <si>
    <t>Boulder County, CO</t>
  </si>
  <si>
    <t>CN0801400000000</t>
  </si>
  <si>
    <t>Broomfield County/city, CO</t>
  </si>
  <si>
    <t>CN0801500000000</t>
  </si>
  <si>
    <t>Chaffee County, CO</t>
  </si>
  <si>
    <t>CN0801700000000</t>
  </si>
  <si>
    <t>Cheyenne County, CO</t>
  </si>
  <si>
    <t>CN0801900000000</t>
  </si>
  <si>
    <t>Clear Creek County, CO</t>
  </si>
  <si>
    <t>CN0802100000000</t>
  </si>
  <si>
    <t>Conejos County, CO</t>
  </si>
  <si>
    <t>CN0802300000000</t>
  </si>
  <si>
    <t>Costilla County, CO</t>
  </si>
  <si>
    <t>CN0802500000000</t>
  </si>
  <si>
    <t>Crowley County, CO</t>
  </si>
  <si>
    <t>CN0802700000000</t>
  </si>
  <si>
    <t>Custer County, CO</t>
  </si>
  <si>
    <t>CN0802900000000</t>
  </si>
  <si>
    <t>Delta County, CO</t>
  </si>
  <si>
    <t>CN0803100000000</t>
  </si>
  <si>
    <t>Denver County/city, CO</t>
  </si>
  <si>
    <t>CN0803300000000</t>
  </si>
  <si>
    <t>Dolores County, CO</t>
  </si>
  <si>
    <t>CN0803500000000</t>
  </si>
  <si>
    <t>Douglas County, CO</t>
  </si>
  <si>
    <t>CN0803700000000</t>
  </si>
  <si>
    <t>Eagle County, CO</t>
  </si>
  <si>
    <t>CN0803900000000</t>
  </si>
  <si>
    <t>Elbert County, CO</t>
  </si>
  <si>
    <t>CN0804100000000</t>
  </si>
  <si>
    <t>El Paso County, CO</t>
  </si>
  <si>
    <t>CN0804300000000</t>
  </si>
  <si>
    <t>Fremont County, CO</t>
  </si>
  <si>
    <t>CN0804500000000</t>
  </si>
  <si>
    <t>Garfield County, CO</t>
  </si>
  <si>
    <t>CN0804700000000</t>
  </si>
  <si>
    <t>Gilpin County, CO</t>
  </si>
  <si>
    <t>CN0804900000000</t>
  </si>
  <si>
    <t>Grand County, CO</t>
  </si>
  <si>
    <t>CN0805100000000</t>
  </si>
  <si>
    <t>Gunnison County, CO</t>
  </si>
  <si>
    <t>CN0805300000000</t>
  </si>
  <si>
    <t>Hinsdale County, CO</t>
  </si>
  <si>
    <t>CN0805500000000</t>
  </si>
  <si>
    <t>Huerfano County, CO</t>
  </si>
  <si>
    <t>CN0805700000000</t>
  </si>
  <si>
    <t>Jackson County, CO</t>
  </si>
  <si>
    <t>CN0805900000000</t>
  </si>
  <si>
    <t>Jefferson County, CO</t>
  </si>
  <si>
    <t>CN0806100000000</t>
  </si>
  <si>
    <t>Kiowa County, CO</t>
  </si>
  <si>
    <t>CN0806300000000</t>
  </si>
  <si>
    <t>Kit Carson County, CO</t>
  </si>
  <si>
    <t>CN0806500000000</t>
  </si>
  <si>
    <t>Lake County, CO</t>
  </si>
  <si>
    <t>CN0806700000000</t>
  </si>
  <si>
    <t>La Plata County, CO</t>
  </si>
  <si>
    <t>CN0806900000000</t>
  </si>
  <si>
    <t>Larimer County, CO</t>
  </si>
  <si>
    <t>CN0807100000000</t>
  </si>
  <si>
    <t>Las Animas County, CO</t>
  </si>
  <si>
    <t>CN0807300000000</t>
  </si>
  <si>
    <t>Lincoln County, CO</t>
  </si>
  <si>
    <t>CN0807500000000</t>
  </si>
  <si>
    <t>Logan County, CO</t>
  </si>
  <si>
    <t>CN0807700000000</t>
  </si>
  <si>
    <t>Mesa County, CO</t>
  </si>
  <si>
    <t>CN0807900000000</t>
  </si>
  <si>
    <t>Mineral County, CO</t>
  </si>
  <si>
    <t>CN0808100000000</t>
  </si>
  <si>
    <t>Moffat County, CO</t>
  </si>
  <si>
    <t>CN0808300000000</t>
  </si>
  <si>
    <t>Montezuma County, CO</t>
  </si>
  <si>
    <t>CN0808500000000</t>
  </si>
  <si>
    <t>Montrose County, CO</t>
  </si>
  <si>
    <t>CN0808700000000</t>
  </si>
  <si>
    <t>Morgan County, CO</t>
  </si>
  <si>
    <t>CN0808900000000</t>
  </si>
  <si>
    <t>Otero County, CO</t>
  </si>
  <si>
    <t>CN0809100000000</t>
  </si>
  <si>
    <t>Ouray County, CO</t>
  </si>
  <si>
    <t>CN0809300000000</t>
  </si>
  <si>
    <t>Park County, CO</t>
  </si>
  <si>
    <t>CN0809500000000</t>
  </si>
  <si>
    <t>Phillips County, CO</t>
  </si>
  <si>
    <t>CN0809700000000</t>
  </si>
  <si>
    <t>Pitkin County, CO</t>
  </si>
  <si>
    <t>CN0809900000000</t>
  </si>
  <si>
    <t>Prowers County, CO</t>
  </si>
  <si>
    <t>CN0810100000000</t>
  </si>
  <si>
    <t>Pueblo County, CO</t>
  </si>
  <si>
    <t>CN0810300000000</t>
  </si>
  <si>
    <t>Rio Blanco County, CO</t>
  </si>
  <si>
    <t>CN0810500000000</t>
  </si>
  <si>
    <t>Rio Grande County, CO</t>
  </si>
  <si>
    <t>CN0810700000000</t>
  </si>
  <si>
    <t>Routt County, CO</t>
  </si>
  <si>
    <t>CN0810900000000</t>
  </si>
  <si>
    <t>Saguache County, CO</t>
  </si>
  <si>
    <t>CN0811100000000</t>
  </si>
  <si>
    <t>San Juan County, CO</t>
  </si>
  <si>
    <t>CN0811300000000</t>
  </si>
  <si>
    <t>San Miguel County, CO</t>
  </si>
  <si>
    <t>CN0811500000000</t>
  </si>
  <si>
    <t>Sedgwick County, CO</t>
  </si>
  <si>
    <t>CN0811700000000</t>
  </si>
  <si>
    <t>Summit County, CO</t>
  </si>
  <si>
    <t>CN0811900000000</t>
  </si>
  <si>
    <t>Teller County, CO</t>
  </si>
  <si>
    <t>CN0812100000000</t>
  </si>
  <si>
    <t>Washington County, CO</t>
  </si>
  <si>
    <t>CN0812300000000</t>
  </si>
  <si>
    <t>Weld County, CO</t>
  </si>
  <si>
    <t>CN0812500000000</t>
  </si>
  <si>
    <t>Yuma County, CO</t>
  </si>
  <si>
    <t>CN0900100000000</t>
  </si>
  <si>
    <t>Fairfield County, CT</t>
  </si>
  <si>
    <t>CN0900300000000</t>
  </si>
  <si>
    <t>Hartford County, CT</t>
  </si>
  <si>
    <t>CN0900500000000</t>
  </si>
  <si>
    <t>Litchfield County, CT</t>
  </si>
  <si>
    <t>CN0900700000000</t>
  </si>
  <si>
    <t>Middlesex County, CT</t>
  </si>
  <si>
    <t>CN0900900000000</t>
  </si>
  <si>
    <t>New Haven County, CT</t>
  </si>
  <si>
    <t>CN0901100000000</t>
  </si>
  <si>
    <t>New London County, CT</t>
  </si>
  <si>
    <t>CN0901300000000</t>
  </si>
  <si>
    <t>Tolland County, CT</t>
  </si>
  <si>
    <t>CN0901500000000</t>
  </si>
  <si>
    <t>Windham County, CT</t>
  </si>
  <si>
    <t>CN1000100000000</t>
  </si>
  <si>
    <t>Kent County, DE</t>
  </si>
  <si>
    <t>CN1000300000000</t>
  </si>
  <si>
    <t>New Castle County, DE</t>
  </si>
  <si>
    <t>CN1000500000000</t>
  </si>
  <si>
    <t>Sussex County, DE</t>
  </si>
  <si>
    <t>CN1100100000000</t>
  </si>
  <si>
    <t>District of Columbia</t>
  </si>
  <si>
    <t>CN1200100000000</t>
  </si>
  <si>
    <t>Alachua County, FL</t>
  </si>
  <si>
    <t>CN1200300000000</t>
  </si>
  <si>
    <t>Baker County, FL</t>
  </si>
  <si>
    <t>CN1200500000000</t>
  </si>
  <si>
    <t>Bay County, FL</t>
  </si>
  <si>
    <t>CN1200700000000</t>
  </si>
  <si>
    <t>Bradford County, FL</t>
  </si>
  <si>
    <t>CN1200900000000</t>
  </si>
  <si>
    <t>Brevard County, FL</t>
  </si>
  <si>
    <t>CN1201100000000</t>
  </si>
  <si>
    <t>Broward County, FL</t>
  </si>
  <si>
    <t>CN1201300000000</t>
  </si>
  <si>
    <t>Calhoun County, FL</t>
  </si>
  <si>
    <t>CN1201500000000</t>
  </si>
  <si>
    <t>Charlotte County, FL</t>
  </si>
  <si>
    <t>CN1201700000000</t>
  </si>
  <si>
    <t>Citrus County, FL</t>
  </si>
  <si>
    <t>CN1201900000000</t>
  </si>
  <si>
    <t>Clay County, FL</t>
  </si>
  <si>
    <t>CN1202100000000</t>
  </si>
  <si>
    <t>Collier County, FL</t>
  </si>
  <si>
    <t>CN1202300000000</t>
  </si>
  <si>
    <t>Columbia County, FL</t>
  </si>
  <si>
    <t>CN1202700000000</t>
  </si>
  <si>
    <t>DeSoto County, FL</t>
  </si>
  <si>
    <t>CN1202900000000</t>
  </si>
  <si>
    <t>Dixie County, FL</t>
  </si>
  <si>
    <t>CN1203100000000</t>
  </si>
  <si>
    <t>Duval County, FL</t>
  </si>
  <si>
    <t>CN1203300000000</t>
  </si>
  <si>
    <t>Escambia County, FL</t>
  </si>
  <si>
    <t>CN1203500000000</t>
  </si>
  <si>
    <t>Flagler County, FL</t>
  </si>
  <si>
    <t>CN1203700000000</t>
  </si>
  <si>
    <t>Franklin County, FL</t>
  </si>
  <si>
    <t>CN1203900000000</t>
  </si>
  <si>
    <t>Gadsden County, FL</t>
  </si>
  <si>
    <t>CN1204100000000</t>
  </si>
  <si>
    <t>Gilchrist County, FL</t>
  </si>
  <si>
    <t>CN1204300000000</t>
  </si>
  <si>
    <t>Glades County, FL</t>
  </si>
  <si>
    <t>CN1204500000000</t>
  </si>
  <si>
    <t>Gulf County, FL</t>
  </si>
  <si>
    <t>CN1204700000000</t>
  </si>
  <si>
    <t>Hamilton County, FL</t>
  </si>
  <si>
    <t>CN1204900000000</t>
  </si>
  <si>
    <t>Hardee County, FL</t>
  </si>
  <si>
    <t>CN1205100000000</t>
  </si>
  <si>
    <t>Hendry County, FL</t>
  </si>
  <si>
    <t>CN1205300000000</t>
  </si>
  <si>
    <t>Hernando County, FL</t>
  </si>
  <si>
    <t>CN1205500000000</t>
  </si>
  <si>
    <t>Highlands County, FL</t>
  </si>
  <si>
    <t>CN1205700000000</t>
  </si>
  <si>
    <t>Hillsborough County, FL</t>
  </si>
  <si>
    <t>CN1205900000000</t>
  </si>
  <si>
    <t>Holmes County, FL</t>
  </si>
  <si>
    <t>CN1206100000000</t>
  </si>
  <si>
    <t>Indian River County, FL</t>
  </si>
  <si>
    <t>CN1206300000000</t>
  </si>
  <si>
    <t>Jackson County, FL</t>
  </si>
  <si>
    <t>CN1206500000000</t>
  </si>
  <si>
    <t>Jefferson County, FL</t>
  </si>
  <si>
    <t>CN1206700000000</t>
  </si>
  <si>
    <t>Lafayette County, FL</t>
  </si>
  <si>
    <t>CN1206900000000</t>
  </si>
  <si>
    <t>Lake County, FL</t>
  </si>
  <si>
    <t>CN1207100000000</t>
  </si>
  <si>
    <t>Lee County, FL</t>
  </si>
  <si>
    <t>CN1207300000000</t>
  </si>
  <si>
    <t>Leon County, FL</t>
  </si>
  <si>
    <t>CN1207500000000</t>
  </si>
  <si>
    <t>Levy County, FL</t>
  </si>
  <si>
    <t>CN1207700000000</t>
  </si>
  <si>
    <t>Liberty County, FL</t>
  </si>
  <si>
    <t>CN1207900000000</t>
  </si>
  <si>
    <t>Madison County, FL</t>
  </si>
  <si>
    <t>CN1208100000000</t>
  </si>
  <si>
    <t>Manatee County, FL</t>
  </si>
  <si>
    <t>CN1208300000000</t>
  </si>
  <si>
    <t>Marion County, FL</t>
  </si>
  <si>
    <t>CN1208500000000</t>
  </si>
  <si>
    <t>Martin County, FL</t>
  </si>
  <si>
    <t>CN1208600000000</t>
  </si>
  <si>
    <t>Miami-Dade County, FL</t>
  </si>
  <si>
    <t>CN1208700000000</t>
  </si>
  <si>
    <t>Monroe County, FL</t>
  </si>
  <si>
    <t>CN1208900000000</t>
  </si>
  <si>
    <t>Nassau County, FL</t>
  </si>
  <si>
    <t>CN1209100000000</t>
  </si>
  <si>
    <t>Okaloosa County, FL</t>
  </si>
  <si>
    <t>CN1209300000000</t>
  </si>
  <si>
    <t>Okeechobee County, FL</t>
  </si>
  <si>
    <t>CN1209500000000</t>
  </si>
  <si>
    <t>Orange County, FL</t>
  </si>
  <si>
    <t>CN1209700000000</t>
  </si>
  <si>
    <t>Osceola County, FL</t>
  </si>
  <si>
    <t>CN1209900000000</t>
  </si>
  <si>
    <t>Palm Beach County, FL</t>
  </si>
  <si>
    <t>CN1210100000000</t>
  </si>
  <si>
    <t>Pasco County, FL</t>
  </si>
  <si>
    <t>CN1210300000000</t>
  </si>
  <si>
    <t>Pinellas County, FL</t>
  </si>
  <si>
    <t>CN1210500000000</t>
  </si>
  <si>
    <t>Polk County, FL</t>
  </si>
  <si>
    <t>CN1210700000000</t>
  </si>
  <si>
    <t>Putnam County, FL</t>
  </si>
  <si>
    <t>CN1210900000000</t>
  </si>
  <si>
    <t>St. Johns County, FL</t>
  </si>
  <si>
    <t>CN1211100000000</t>
  </si>
  <si>
    <t>St. Lucie County, FL</t>
  </si>
  <si>
    <t>CN1211300000000</t>
  </si>
  <si>
    <t>Santa Rosa County, FL</t>
  </si>
  <si>
    <t>CN1211500000000</t>
  </si>
  <si>
    <t>Sarasota County, FL</t>
  </si>
  <si>
    <t>CN1211700000000</t>
  </si>
  <si>
    <t>Seminole County, FL</t>
  </si>
  <si>
    <t>CN1211900000000</t>
  </si>
  <si>
    <t>Sumter County, FL</t>
  </si>
  <si>
    <t>CN1212100000000</t>
  </si>
  <si>
    <t>Suwannee County, FL</t>
  </si>
  <si>
    <t>CN1212300000000</t>
  </si>
  <si>
    <t>Taylor County, FL</t>
  </si>
  <si>
    <t>CN1212500000000</t>
  </si>
  <si>
    <t>Union County, FL</t>
  </si>
  <si>
    <t>CN1212700000000</t>
  </si>
  <si>
    <t>Volusia County, FL</t>
  </si>
  <si>
    <t>CN1212900000000</t>
  </si>
  <si>
    <t>Wakulla County, FL</t>
  </si>
  <si>
    <t>CN1213100000000</t>
  </si>
  <si>
    <t>Walton County, FL</t>
  </si>
  <si>
    <t>CN1213300000000</t>
  </si>
  <si>
    <t>Washington County, FL</t>
  </si>
  <si>
    <t>CN1300100000000</t>
  </si>
  <si>
    <t>Appling County, GA</t>
  </si>
  <si>
    <t>CN1300300000000</t>
  </si>
  <si>
    <t>Atkinson County, GA</t>
  </si>
  <si>
    <t>CN1300500000000</t>
  </si>
  <si>
    <t>Bacon County, GA</t>
  </si>
  <si>
    <t>CN1300700000000</t>
  </si>
  <si>
    <t>Baker County, GA</t>
  </si>
  <si>
    <t>CN1300900000000</t>
  </si>
  <si>
    <t>Baldwin County, GA</t>
  </si>
  <si>
    <t>CN1301100000000</t>
  </si>
  <si>
    <t>Banks County, GA</t>
  </si>
  <si>
    <t>CN1301300000000</t>
  </si>
  <si>
    <t>Barrow County, GA</t>
  </si>
  <si>
    <t>CN1301500000000</t>
  </si>
  <si>
    <t>Bartow County, GA</t>
  </si>
  <si>
    <t>CN1301700000000</t>
  </si>
  <si>
    <t>Ben Hill County, GA</t>
  </si>
  <si>
    <t>CN1301900000000</t>
  </si>
  <si>
    <t>Berrien County, GA</t>
  </si>
  <si>
    <t>CN1302100000000</t>
  </si>
  <si>
    <t>Bibb County, GA</t>
  </si>
  <si>
    <t>CN1302300000000</t>
  </si>
  <si>
    <t>Bleckley County, GA</t>
  </si>
  <si>
    <t>CN1302500000000</t>
  </si>
  <si>
    <t>Brantley County, GA</t>
  </si>
  <si>
    <t>CN1302700000000</t>
  </si>
  <si>
    <t>Brooks County, GA</t>
  </si>
  <si>
    <t>CN1302900000000</t>
  </si>
  <si>
    <t>Bryan County, GA</t>
  </si>
  <si>
    <t>CN1303100000000</t>
  </si>
  <si>
    <t>Bulloch County, GA</t>
  </si>
  <si>
    <t>CN1303300000000</t>
  </si>
  <si>
    <t>Burke County, GA</t>
  </si>
  <si>
    <t>CN1303500000000</t>
  </si>
  <si>
    <t>Butts County, GA</t>
  </si>
  <si>
    <t>CN1303700000000</t>
  </si>
  <si>
    <t>Calhoun County, GA</t>
  </si>
  <si>
    <t>CN1303900000000</t>
  </si>
  <si>
    <t>Camden County, GA</t>
  </si>
  <si>
    <t>CN1304300000000</t>
  </si>
  <si>
    <t>Candler County, GA</t>
  </si>
  <si>
    <t>CN1304500000000</t>
  </si>
  <si>
    <t>Carroll County, GA</t>
  </si>
  <si>
    <t>CN1304700000000</t>
  </si>
  <si>
    <t>Catoosa County, GA</t>
  </si>
  <si>
    <t>CN1304900000000</t>
  </si>
  <si>
    <t>Charlton County, GA</t>
  </si>
  <si>
    <t>CN1305100000000</t>
  </si>
  <si>
    <t>Chatham County, GA</t>
  </si>
  <si>
    <t>CN1305300000000</t>
  </si>
  <si>
    <t>Chattahoochee County, GA</t>
  </si>
  <si>
    <t>CN1305500000000</t>
  </si>
  <si>
    <t>Chattooga County, GA</t>
  </si>
  <si>
    <t>CN1305700000000</t>
  </si>
  <si>
    <t>Cherokee County, GA</t>
  </si>
  <si>
    <t>CN1305900000000</t>
  </si>
  <si>
    <t>Clarke County, GA</t>
  </si>
  <si>
    <t>CN1306100000000</t>
  </si>
  <si>
    <t>Clay County, GA</t>
  </si>
  <si>
    <t>CN1306300000000</t>
  </si>
  <si>
    <t>Clayton County, GA</t>
  </si>
  <si>
    <t>CN1306500000000</t>
  </si>
  <si>
    <t>Clinch County, GA</t>
  </si>
  <si>
    <t>CN1306700000000</t>
  </si>
  <si>
    <t>Cobb County, GA</t>
  </si>
  <si>
    <t>CN1306900000000</t>
  </si>
  <si>
    <t>Coffee County, GA</t>
  </si>
  <si>
    <t>CN1307100000000</t>
  </si>
  <si>
    <t>Colquitt County, GA</t>
  </si>
  <si>
    <t>CN1307300000000</t>
  </si>
  <si>
    <t>Columbia County, GA</t>
  </si>
  <si>
    <t>CN1307500000000</t>
  </si>
  <si>
    <t>Cook County, GA</t>
  </si>
  <si>
    <t>CN1307700000000</t>
  </si>
  <si>
    <t>Coweta County, GA</t>
  </si>
  <si>
    <t>CN1307900000000</t>
  </si>
  <si>
    <t>Crawford County, GA</t>
  </si>
  <si>
    <t>CN1308100000000</t>
  </si>
  <si>
    <t>Crisp County, GA</t>
  </si>
  <si>
    <t>CN1308300000000</t>
  </si>
  <si>
    <t>Dade County, GA</t>
  </si>
  <si>
    <t>CN1308500000000</t>
  </si>
  <si>
    <t>Dawson County, GA</t>
  </si>
  <si>
    <t>CN1308700000000</t>
  </si>
  <si>
    <t>Decatur County, GA</t>
  </si>
  <si>
    <t>CN1308900000000</t>
  </si>
  <si>
    <t>DeKalb County, GA</t>
  </si>
  <si>
    <t>CN1309100000000</t>
  </si>
  <si>
    <t>Dodge County, GA</t>
  </si>
  <si>
    <t>CN1309300000000</t>
  </si>
  <si>
    <t>Dooly County, GA</t>
  </si>
  <si>
    <t>CN1309500000000</t>
  </si>
  <si>
    <t>Dougherty County, GA</t>
  </si>
  <si>
    <t>CN1309700000000</t>
  </si>
  <si>
    <t>Douglas County, GA</t>
  </si>
  <si>
    <t>CN1309900000000</t>
  </si>
  <si>
    <t>Early County, GA</t>
  </si>
  <si>
    <t>CN1310100000000</t>
  </si>
  <si>
    <t>Echols County, GA</t>
  </si>
  <si>
    <t>CN1310300000000</t>
  </si>
  <si>
    <t>Effingham County, GA</t>
  </si>
  <si>
    <t>CN1310500000000</t>
  </si>
  <si>
    <t>Elbert County, GA</t>
  </si>
  <si>
    <t>CN1310700000000</t>
  </si>
  <si>
    <t>Emanuel County, GA</t>
  </si>
  <si>
    <t>CN1310900000000</t>
  </si>
  <si>
    <t>Evans County, GA</t>
  </si>
  <si>
    <t>CN1311100000000</t>
  </si>
  <si>
    <t>Fannin County, GA</t>
  </si>
  <si>
    <t>CN1311300000000</t>
  </si>
  <si>
    <t>Fayette County, GA</t>
  </si>
  <si>
    <t>CN1311500000000</t>
  </si>
  <si>
    <t>Floyd County, GA</t>
  </si>
  <si>
    <t>CN1311700000000</t>
  </si>
  <si>
    <t>Forsyth County, GA</t>
  </si>
  <si>
    <t>CN1311900000000</t>
  </si>
  <si>
    <t>Franklin County, GA</t>
  </si>
  <si>
    <t>CN1312100000000</t>
  </si>
  <si>
    <t>Fulton County, GA</t>
  </si>
  <si>
    <t>CN1312300000000</t>
  </si>
  <si>
    <t>Gilmer County, GA</t>
  </si>
  <si>
    <t>CN1312500000000</t>
  </si>
  <si>
    <t>Glascock County, GA</t>
  </si>
  <si>
    <t>CN1312700000000</t>
  </si>
  <si>
    <t>Glynn County, GA</t>
  </si>
  <si>
    <t>CN1312900000000</t>
  </si>
  <si>
    <t>Gordon County, GA</t>
  </si>
  <si>
    <t>CN1313100000000</t>
  </si>
  <si>
    <t>Grady County, GA</t>
  </si>
  <si>
    <t>CN1313300000000</t>
  </si>
  <si>
    <t>Greene County, GA</t>
  </si>
  <si>
    <t>CN1313500000000</t>
  </si>
  <si>
    <t>Gwinnett County, GA</t>
  </si>
  <si>
    <t>CN1313700000000</t>
  </si>
  <si>
    <t>Habersham County, GA</t>
  </si>
  <si>
    <t>CN1313900000000</t>
  </si>
  <si>
    <t>Hall County, GA</t>
  </si>
  <si>
    <t>CN1314100000000</t>
  </si>
  <si>
    <t>Hancock County, GA</t>
  </si>
  <si>
    <t>CN1314300000000</t>
  </si>
  <si>
    <t>Haralson County, GA</t>
  </si>
  <si>
    <t>CN1314500000000</t>
  </si>
  <si>
    <t>Harris County, GA</t>
  </si>
  <si>
    <t>CN1314700000000</t>
  </si>
  <si>
    <t>Hart County, GA</t>
  </si>
  <si>
    <t>CN1314900000000</t>
  </si>
  <si>
    <t>Heard County, GA</t>
  </si>
  <si>
    <t>CN1315100000000</t>
  </si>
  <si>
    <t>Henry County, GA</t>
  </si>
  <si>
    <t>CN1315300000000</t>
  </si>
  <si>
    <t>Houston County, GA</t>
  </si>
  <si>
    <t>CN1315500000000</t>
  </si>
  <si>
    <t>Irwin County, GA</t>
  </si>
  <si>
    <t>CN1315700000000</t>
  </si>
  <si>
    <t>Jackson County, GA</t>
  </si>
  <si>
    <t>CN1315900000000</t>
  </si>
  <si>
    <t>Jasper County, GA</t>
  </si>
  <si>
    <t>CN1316100000000</t>
  </si>
  <si>
    <t>Jeff Davis County, GA</t>
  </si>
  <si>
    <t>CN1316300000000</t>
  </si>
  <si>
    <t>Jefferson County, GA</t>
  </si>
  <si>
    <t>CN1316500000000</t>
  </si>
  <si>
    <t>Jenkins County, GA</t>
  </si>
  <si>
    <t>CN1316700000000</t>
  </si>
  <si>
    <t>Johnson County, GA</t>
  </si>
  <si>
    <t>CN1316900000000</t>
  </si>
  <si>
    <t>Jones County, GA</t>
  </si>
  <si>
    <t>CN1317100000000</t>
  </si>
  <si>
    <t>Lamar County, GA</t>
  </si>
  <si>
    <t>CN1317300000000</t>
  </si>
  <si>
    <t>Lanier County, GA</t>
  </si>
  <si>
    <t>CN1317500000000</t>
  </si>
  <si>
    <t>Laurens County, GA</t>
  </si>
  <si>
    <t>CN1317700000000</t>
  </si>
  <si>
    <t>Lee County, GA</t>
  </si>
  <si>
    <t>CN1317900000000</t>
  </si>
  <si>
    <t>Liberty County, GA</t>
  </si>
  <si>
    <t>CN1318100000000</t>
  </si>
  <si>
    <t>Lincoln County, GA</t>
  </si>
  <si>
    <t>CN1318300000000</t>
  </si>
  <si>
    <t>Long County, GA</t>
  </si>
  <si>
    <t>CN1318500000000</t>
  </si>
  <si>
    <t>Lowndes County, GA</t>
  </si>
  <si>
    <t>CN1318700000000</t>
  </si>
  <si>
    <t>Lumpkin County, GA</t>
  </si>
  <si>
    <t>CN1318900000000</t>
  </si>
  <si>
    <t>McDuffie County, GA</t>
  </si>
  <si>
    <t>CN1319100000000</t>
  </si>
  <si>
    <t>McIntosh County, GA</t>
  </si>
  <si>
    <t>CN1319300000000</t>
  </si>
  <si>
    <t>Macon County, GA</t>
  </si>
  <si>
    <t>CN1319500000000</t>
  </si>
  <si>
    <t>Madison County, GA</t>
  </si>
  <si>
    <t>CN1319700000000</t>
  </si>
  <si>
    <t>Marion County, GA</t>
  </si>
  <si>
    <t>CN1319900000000</t>
  </si>
  <si>
    <t>Meriwether County, GA</t>
  </si>
  <si>
    <t>CN1320100000000</t>
  </si>
  <si>
    <t>Miller County, GA</t>
  </si>
  <si>
    <t>CN1320500000000</t>
  </si>
  <si>
    <t>Mitchell County, GA</t>
  </si>
  <si>
    <t>CN1320700000000</t>
  </si>
  <si>
    <t>Monroe County, GA</t>
  </si>
  <si>
    <t>CN1320900000000</t>
  </si>
  <si>
    <t>Montgomery County, GA</t>
  </si>
  <si>
    <t>CN1321100000000</t>
  </si>
  <si>
    <t>Morgan County, GA</t>
  </si>
  <si>
    <t>CN1321300000000</t>
  </si>
  <si>
    <t>Murray County, GA</t>
  </si>
  <si>
    <t>CN1321500000000</t>
  </si>
  <si>
    <t>Muscogee County, GA</t>
  </si>
  <si>
    <t>CN1321700000000</t>
  </si>
  <si>
    <t>Newton County, GA</t>
  </si>
  <si>
    <t>CN1321900000000</t>
  </si>
  <si>
    <t>Oconee County, GA</t>
  </si>
  <si>
    <t>CN1322100000000</t>
  </si>
  <si>
    <t>Oglethorpe County, GA</t>
  </si>
  <si>
    <t>CN1322300000000</t>
  </si>
  <si>
    <t>Paulding County, GA</t>
  </si>
  <si>
    <t>CN1322500000000</t>
  </si>
  <si>
    <t>Peach County, GA</t>
  </si>
  <si>
    <t>CN1322700000000</t>
  </si>
  <si>
    <t>Pickens County, GA</t>
  </si>
  <si>
    <t>CN1322900000000</t>
  </si>
  <si>
    <t>Pierce County, GA</t>
  </si>
  <si>
    <t>CN1323100000000</t>
  </si>
  <si>
    <t>Pike County, GA</t>
  </si>
  <si>
    <t>CN1323300000000</t>
  </si>
  <si>
    <t>Polk County, GA</t>
  </si>
  <si>
    <t>CN1323500000000</t>
  </si>
  <si>
    <t>Pulaski County, GA</t>
  </si>
  <si>
    <t>CN1323700000000</t>
  </si>
  <si>
    <t>Putnam County, GA</t>
  </si>
  <si>
    <t>CN1323900000000</t>
  </si>
  <si>
    <t>Quitman County, GA</t>
  </si>
  <si>
    <t>CN1324100000000</t>
  </si>
  <si>
    <t>Rabun County, GA</t>
  </si>
  <si>
    <t>CN1324300000000</t>
  </si>
  <si>
    <t>Randolph County, GA</t>
  </si>
  <si>
    <t>CN1324500000000</t>
  </si>
  <si>
    <t>Richmond County, GA</t>
  </si>
  <si>
    <t>CN1324700000000</t>
  </si>
  <si>
    <t>Rockdale County, GA</t>
  </si>
  <si>
    <t>CN1324900000000</t>
  </si>
  <si>
    <t>Schley County, GA</t>
  </si>
  <si>
    <t>CN1325100000000</t>
  </si>
  <si>
    <t>Screven County, GA</t>
  </si>
  <si>
    <t>CN1325300000000</t>
  </si>
  <si>
    <t>Seminole County, GA</t>
  </si>
  <si>
    <t>CN1325500000000</t>
  </si>
  <si>
    <t>Spalding County, GA</t>
  </si>
  <si>
    <t>CN1325700000000</t>
  </si>
  <si>
    <t>Stephens County, GA</t>
  </si>
  <si>
    <t>CN1325900000000</t>
  </si>
  <si>
    <t>Stewart County, GA</t>
  </si>
  <si>
    <t>CN1326100000000</t>
  </si>
  <si>
    <t>Sumter County, GA</t>
  </si>
  <si>
    <t>CN1326300000000</t>
  </si>
  <si>
    <t>Talbot County, GA</t>
  </si>
  <si>
    <t>CN1326500000000</t>
  </si>
  <si>
    <t>Taliaferro County, GA</t>
  </si>
  <si>
    <t>CN1326700000000</t>
  </si>
  <si>
    <t>Tattnall County, GA</t>
  </si>
  <si>
    <t>CN1326900000000</t>
  </si>
  <si>
    <t>Taylor County, GA</t>
  </si>
  <si>
    <t>CN1327100000000</t>
  </si>
  <si>
    <t>Telfair County, GA</t>
  </si>
  <si>
    <t>CN1327300000000</t>
  </si>
  <si>
    <t>Terrell County, GA</t>
  </si>
  <si>
    <t>CN1327500000000</t>
  </si>
  <si>
    <t>Thomas County, GA</t>
  </si>
  <si>
    <t>CN1327700000000</t>
  </si>
  <si>
    <t>Tift County, GA</t>
  </si>
  <si>
    <t>CN1327900000000</t>
  </si>
  <si>
    <t>Toombs County, GA</t>
  </si>
  <si>
    <t>CN1328100000000</t>
  </si>
  <si>
    <t>Towns County, GA</t>
  </si>
  <si>
    <t>CN1328300000000</t>
  </si>
  <si>
    <t>Treutlen County, GA</t>
  </si>
  <si>
    <t>CN1328500000000</t>
  </si>
  <si>
    <t>Troup County, GA</t>
  </si>
  <si>
    <t>CN1328700000000</t>
  </si>
  <si>
    <t>Turner County, GA</t>
  </si>
  <si>
    <t>CN1328900000000</t>
  </si>
  <si>
    <t>Twiggs County, GA</t>
  </si>
  <si>
    <t>CN1329100000000</t>
  </si>
  <si>
    <t>Union County, GA</t>
  </si>
  <si>
    <t>CN1329300000000</t>
  </si>
  <si>
    <t>Upson County, GA</t>
  </si>
  <si>
    <t>CN1329500000000</t>
  </si>
  <si>
    <t>Walker County, GA</t>
  </si>
  <si>
    <t>CN1329700000000</t>
  </si>
  <si>
    <t>Walton County, GA</t>
  </si>
  <si>
    <t>CN1329900000000</t>
  </si>
  <si>
    <t>Ware County, GA</t>
  </si>
  <si>
    <t>CN1330100000000</t>
  </si>
  <si>
    <t>Warren County, GA</t>
  </si>
  <si>
    <t>CN1330300000000</t>
  </si>
  <si>
    <t>Washington County, GA</t>
  </si>
  <si>
    <t>CN1330500000000</t>
  </si>
  <si>
    <t>Wayne County, GA</t>
  </si>
  <si>
    <t>CN1330700000000</t>
  </si>
  <si>
    <t>Webster County, GA</t>
  </si>
  <si>
    <t>CN1330900000000</t>
  </si>
  <si>
    <t>Wheeler County, GA</t>
  </si>
  <si>
    <t>CN1331100000000</t>
  </si>
  <si>
    <t>White County, GA</t>
  </si>
  <si>
    <t>CN1331300000000</t>
  </si>
  <si>
    <t>Whitfield County, GA</t>
  </si>
  <si>
    <t>CN1331500000000</t>
  </si>
  <si>
    <t>Wilcox County, GA</t>
  </si>
  <si>
    <t>CN1331700000000</t>
  </si>
  <si>
    <t>Wilkes County, GA</t>
  </si>
  <si>
    <t>CN1331900000000</t>
  </si>
  <si>
    <t>Wilkinson County, GA</t>
  </si>
  <si>
    <t>CN1332100000000</t>
  </si>
  <si>
    <t>Worth County, GA</t>
  </si>
  <si>
    <t>CN1500100000000</t>
  </si>
  <si>
    <t>Hawaii County, HI</t>
  </si>
  <si>
    <t>CN1500300000000</t>
  </si>
  <si>
    <t>Honolulu County/city, HI</t>
  </si>
  <si>
    <t>CN1500700000000</t>
  </si>
  <si>
    <t>Kauai County, HI</t>
  </si>
  <si>
    <t>CN1500900000000</t>
  </si>
  <si>
    <t>Maui County, HI</t>
  </si>
  <si>
    <t>CN1600100000000</t>
  </si>
  <si>
    <t>Ada County, ID</t>
  </si>
  <si>
    <t>CN1600300000000</t>
  </si>
  <si>
    <t>Adams County, ID</t>
  </si>
  <si>
    <t>CN1600500000000</t>
  </si>
  <si>
    <t>Bannock County, ID</t>
  </si>
  <si>
    <t>CN1600700000000</t>
  </si>
  <si>
    <t>Bear Lake County, ID</t>
  </si>
  <si>
    <t>CN1600900000000</t>
  </si>
  <si>
    <t>Benewah County, ID</t>
  </si>
  <si>
    <t>CN1601100000000</t>
  </si>
  <si>
    <t>Bingham County, ID</t>
  </si>
  <si>
    <t>CN1601300000000</t>
  </si>
  <si>
    <t>Blaine County, ID</t>
  </si>
  <si>
    <t>CN1601500000000</t>
  </si>
  <si>
    <t>Boise County, ID</t>
  </si>
  <si>
    <t>CN1601700000000</t>
  </si>
  <si>
    <t>Bonner County, ID</t>
  </si>
  <si>
    <t>CN1601900000000</t>
  </si>
  <si>
    <t>Bonneville County, ID</t>
  </si>
  <si>
    <t>CN1602100000000</t>
  </si>
  <si>
    <t>Boundary County, ID</t>
  </si>
  <si>
    <t>CN1602300000000</t>
  </si>
  <si>
    <t>Butte County, ID</t>
  </si>
  <si>
    <t>CN1602500000000</t>
  </si>
  <si>
    <t>Camas County, ID</t>
  </si>
  <si>
    <t>CN1602700000000</t>
  </si>
  <si>
    <t>Canyon County, ID</t>
  </si>
  <si>
    <t>CN1602900000000</t>
  </si>
  <si>
    <t>Caribou County, ID</t>
  </si>
  <si>
    <t>CN1603100000000</t>
  </si>
  <si>
    <t>Cassia County, ID</t>
  </si>
  <si>
    <t>CN1603300000000</t>
  </si>
  <si>
    <t>Clark County, ID</t>
  </si>
  <si>
    <t>CN1603500000000</t>
  </si>
  <si>
    <t>Clearwater County, ID</t>
  </si>
  <si>
    <t>CN1603700000000</t>
  </si>
  <si>
    <t>Custer County, ID</t>
  </si>
  <si>
    <t>CN1603900000000</t>
  </si>
  <si>
    <t>Elmore County, ID</t>
  </si>
  <si>
    <t>CN1604100000000</t>
  </si>
  <si>
    <t>Franklin County, ID</t>
  </si>
  <si>
    <t>CN1604300000000</t>
  </si>
  <si>
    <t>Fremont County, ID</t>
  </si>
  <si>
    <t>CN1604500000000</t>
  </si>
  <si>
    <t>Gem County, ID</t>
  </si>
  <si>
    <t>CN1604700000000</t>
  </si>
  <si>
    <t>Gooding County, ID</t>
  </si>
  <si>
    <t>CN1604900000000</t>
  </si>
  <si>
    <t>Idaho County, ID</t>
  </si>
  <si>
    <t>CN1605100000000</t>
  </si>
  <si>
    <t>Jefferson County, ID</t>
  </si>
  <si>
    <t>CN1605300000000</t>
  </si>
  <si>
    <t>Jerome County, ID</t>
  </si>
  <si>
    <t>CN1605500000000</t>
  </si>
  <si>
    <t>Kootenai County, ID</t>
  </si>
  <si>
    <t>CN1605700000000</t>
  </si>
  <si>
    <t>Latah County, ID</t>
  </si>
  <si>
    <t>CN1605900000000</t>
  </si>
  <si>
    <t>Lemhi County, ID</t>
  </si>
  <si>
    <t>CN1606100000000</t>
  </si>
  <si>
    <t>Lewis County, ID</t>
  </si>
  <si>
    <t>CN1606300000000</t>
  </si>
  <si>
    <t>Lincoln County, ID</t>
  </si>
  <si>
    <t>CN1606500000000</t>
  </si>
  <si>
    <t>Madison County, ID</t>
  </si>
  <si>
    <t>CN1606700000000</t>
  </si>
  <si>
    <t>Minidoka County, ID</t>
  </si>
  <si>
    <t>CN1606900000000</t>
  </si>
  <si>
    <t>Nez Perce County, ID</t>
  </si>
  <si>
    <t>CN1607100000000</t>
  </si>
  <si>
    <t>Oneida County, ID</t>
  </si>
  <si>
    <t>CN1607300000000</t>
  </si>
  <si>
    <t>Owyhee County, ID</t>
  </si>
  <si>
    <t>CN1607500000000</t>
  </si>
  <si>
    <t>Payette County, ID</t>
  </si>
  <si>
    <t>CN1607700000000</t>
  </si>
  <si>
    <t>Power County, ID</t>
  </si>
  <si>
    <t>CN1607900000000</t>
  </si>
  <si>
    <t>Shoshone County, ID</t>
  </si>
  <si>
    <t>CN1608100000000</t>
  </si>
  <si>
    <t>Teton County, ID</t>
  </si>
  <si>
    <t>CN1608300000000</t>
  </si>
  <si>
    <t>Twin Falls County, ID</t>
  </si>
  <si>
    <t>CN1608500000000</t>
  </si>
  <si>
    <t>Valley County, ID</t>
  </si>
  <si>
    <t>CN1608700000000</t>
  </si>
  <si>
    <t>Washington County, ID</t>
  </si>
  <si>
    <t>CN1700100000000</t>
  </si>
  <si>
    <t>Adams County, IL</t>
  </si>
  <si>
    <t>CN1700300000000</t>
  </si>
  <si>
    <t>Alexander County, IL</t>
  </si>
  <si>
    <t>CN1700500000000</t>
  </si>
  <si>
    <t>Bond County, IL</t>
  </si>
  <si>
    <t>CN1700700000000</t>
  </si>
  <si>
    <t>Boone County, IL</t>
  </si>
  <si>
    <t>CN1700900000000</t>
  </si>
  <si>
    <t>Brown County, IL</t>
  </si>
  <si>
    <t>CN1701100000000</t>
  </si>
  <si>
    <t>Bureau County, IL</t>
  </si>
  <si>
    <t>CN1701300000000</t>
  </si>
  <si>
    <t>Calhoun County, IL</t>
  </si>
  <si>
    <t>CN1701500000000</t>
  </si>
  <si>
    <t>Carroll County, IL</t>
  </si>
  <si>
    <t>CN1701700000000</t>
  </si>
  <si>
    <t>Cass County, IL</t>
  </si>
  <si>
    <t>CN1701900000000</t>
  </si>
  <si>
    <t>Champaign County, IL</t>
  </si>
  <si>
    <t>CN1702100000000</t>
  </si>
  <si>
    <t>Christian County, IL</t>
  </si>
  <si>
    <t>CN1702300000000</t>
  </si>
  <si>
    <t>Clark County, IL</t>
  </si>
  <si>
    <t>CN1702500000000</t>
  </si>
  <si>
    <t>Clay County, IL</t>
  </si>
  <si>
    <t>CN1702700000000</t>
  </si>
  <si>
    <t>Clinton County, IL</t>
  </si>
  <si>
    <t>CN1702900000000</t>
  </si>
  <si>
    <t>Coles County, IL</t>
  </si>
  <si>
    <t>CN1703100000000</t>
  </si>
  <si>
    <t>Cook County, IL</t>
  </si>
  <si>
    <t>CN1703300000000</t>
  </si>
  <si>
    <t>Crawford County, IL</t>
  </si>
  <si>
    <t>CN1703500000000</t>
  </si>
  <si>
    <t>Cumberland County, IL</t>
  </si>
  <si>
    <t>CN1703700000000</t>
  </si>
  <si>
    <t>DeKalb County, IL</t>
  </si>
  <si>
    <t>CN1703900000000</t>
  </si>
  <si>
    <t>De Witt County, IL</t>
  </si>
  <si>
    <t>CN1704100000000</t>
  </si>
  <si>
    <t>Douglas County, IL</t>
  </si>
  <si>
    <t>CN1704300000000</t>
  </si>
  <si>
    <t>DuPage County, IL</t>
  </si>
  <si>
    <t>CN1704500000000</t>
  </si>
  <si>
    <t>Edgar County, IL</t>
  </si>
  <si>
    <t>CN1704700000000</t>
  </si>
  <si>
    <t>Edwards County, IL</t>
  </si>
  <si>
    <t>CN1704900000000</t>
  </si>
  <si>
    <t>Effingham County, IL</t>
  </si>
  <si>
    <t>CN1705100000000</t>
  </si>
  <si>
    <t>Fayette County, IL</t>
  </si>
  <si>
    <t>CN1705300000000</t>
  </si>
  <si>
    <t>Ford County, IL</t>
  </si>
  <si>
    <t>CN1705500000000</t>
  </si>
  <si>
    <t>Franklin County, IL</t>
  </si>
  <si>
    <t>CN1705700000000</t>
  </si>
  <si>
    <t>Fulton County, IL</t>
  </si>
  <si>
    <t>CN1705900000000</t>
  </si>
  <si>
    <t>Gallatin County, IL</t>
  </si>
  <si>
    <t>CN1706100000000</t>
  </si>
  <si>
    <t>Greene County, IL</t>
  </si>
  <si>
    <t>CN1706300000000</t>
  </si>
  <si>
    <t>Grundy County, IL</t>
  </si>
  <si>
    <t>CN1706500000000</t>
  </si>
  <si>
    <t>Hamilton County, IL</t>
  </si>
  <si>
    <t>CN1706700000000</t>
  </si>
  <si>
    <t>Hancock County, IL</t>
  </si>
  <si>
    <t>CN1706900000000</t>
  </si>
  <si>
    <t>Hardin County, IL</t>
  </si>
  <si>
    <t>CN1707100000000</t>
  </si>
  <si>
    <t>Henderson County, IL</t>
  </si>
  <si>
    <t>CN1707300000000</t>
  </si>
  <si>
    <t>Henry County, IL</t>
  </si>
  <si>
    <t>CN1707500000000</t>
  </si>
  <si>
    <t>Iroquois County, IL</t>
  </si>
  <si>
    <t>CN1707700000000</t>
  </si>
  <si>
    <t>Jackson County, IL</t>
  </si>
  <si>
    <t>CN1707900000000</t>
  </si>
  <si>
    <t>Jasper County, IL</t>
  </si>
  <si>
    <t>CN1708100000000</t>
  </si>
  <si>
    <t>Jefferson County, IL</t>
  </si>
  <si>
    <t>CN1708300000000</t>
  </si>
  <si>
    <t>Jersey County, IL</t>
  </si>
  <si>
    <t>CN1708500000000</t>
  </si>
  <si>
    <t>Jo Daviess County, IL</t>
  </si>
  <si>
    <t>CN1708700000000</t>
  </si>
  <si>
    <t>Johnson County, IL</t>
  </si>
  <si>
    <t>CN1708900000000</t>
  </si>
  <si>
    <t>Kane County, IL</t>
  </si>
  <si>
    <t>CN1709100000000</t>
  </si>
  <si>
    <t>Kankakee County, IL</t>
  </si>
  <si>
    <t>CN1709300000000</t>
  </si>
  <si>
    <t>Kendall County, IL</t>
  </si>
  <si>
    <t>CN1709500000000</t>
  </si>
  <si>
    <t>Knox County, IL</t>
  </si>
  <si>
    <t>CN1709700000000</t>
  </si>
  <si>
    <t>Lake County, IL</t>
  </si>
  <si>
    <t>CN1709900000000</t>
  </si>
  <si>
    <t>LaSalle County, IL</t>
  </si>
  <si>
    <t>CN1710100000000</t>
  </si>
  <si>
    <t>Lawrence County, IL</t>
  </si>
  <si>
    <t>CN1710300000000</t>
  </si>
  <si>
    <t>Lee County, IL</t>
  </si>
  <si>
    <t>CN1710500000000</t>
  </si>
  <si>
    <t>Livingston County, IL</t>
  </si>
  <si>
    <t>CN1710700000000</t>
  </si>
  <si>
    <t>Logan County, IL</t>
  </si>
  <si>
    <t>CN1710900000000</t>
  </si>
  <si>
    <t>McDonough County, IL</t>
  </si>
  <si>
    <t>CN1711100000000</t>
  </si>
  <si>
    <t>McHenry County, IL</t>
  </si>
  <si>
    <t>CN1711300000000</t>
  </si>
  <si>
    <t>McLean County, IL</t>
  </si>
  <si>
    <t>CN1711500000000</t>
  </si>
  <si>
    <t>Macon County, IL</t>
  </si>
  <si>
    <t>CN1711700000000</t>
  </si>
  <si>
    <t>Macoupin County, IL</t>
  </si>
  <si>
    <t>CN1711900000000</t>
  </si>
  <si>
    <t>Madison County, IL</t>
  </si>
  <si>
    <t>CN1712100000000</t>
  </si>
  <si>
    <t>Marion County, IL</t>
  </si>
  <si>
    <t>CN1712300000000</t>
  </si>
  <si>
    <t>Marshall County, IL</t>
  </si>
  <si>
    <t>CN1712500000000</t>
  </si>
  <si>
    <t>Mason County, IL</t>
  </si>
  <si>
    <t>CN1712700000000</t>
  </si>
  <si>
    <t>Massac County, IL</t>
  </si>
  <si>
    <t>CN1712900000000</t>
  </si>
  <si>
    <t>Menard County, IL</t>
  </si>
  <si>
    <t>CN1713100000000</t>
  </si>
  <si>
    <t>Mercer County, IL</t>
  </si>
  <si>
    <t>CN1713300000000</t>
  </si>
  <si>
    <t>Monroe County, IL</t>
  </si>
  <si>
    <t>CN1713500000000</t>
  </si>
  <si>
    <t>Montgomery County, IL</t>
  </si>
  <si>
    <t>CN1713700000000</t>
  </si>
  <si>
    <t>Morgan County, IL</t>
  </si>
  <si>
    <t>CN1713900000000</t>
  </si>
  <si>
    <t>Moultrie County, IL</t>
  </si>
  <si>
    <t>CN1714100000000</t>
  </si>
  <si>
    <t>Ogle County, IL</t>
  </si>
  <si>
    <t>CN1714300000000</t>
  </si>
  <si>
    <t>Peoria County, IL</t>
  </si>
  <si>
    <t>CN1714500000000</t>
  </si>
  <si>
    <t>Perry County, IL</t>
  </si>
  <si>
    <t>CN1714700000000</t>
  </si>
  <si>
    <t>Piatt County, IL</t>
  </si>
  <si>
    <t>CN1714900000000</t>
  </si>
  <si>
    <t>Pike County, IL</t>
  </si>
  <si>
    <t>CN1715100000000</t>
  </si>
  <si>
    <t>Pope County, IL</t>
  </si>
  <si>
    <t>CN1715300000000</t>
  </si>
  <si>
    <t>Pulaski County, IL</t>
  </si>
  <si>
    <t>CN1715500000000</t>
  </si>
  <si>
    <t>Putnam County, IL</t>
  </si>
  <si>
    <t>CN1715700000000</t>
  </si>
  <si>
    <t>Randolph County, IL</t>
  </si>
  <si>
    <t>CN1715900000000</t>
  </si>
  <si>
    <t>Richland County, IL</t>
  </si>
  <si>
    <t>CN1716100000000</t>
  </si>
  <si>
    <t>Rock Island County, IL</t>
  </si>
  <si>
    <t>CN1716300000000</t>
  </si>
  <si>
    <t>St. Clair County, IL</t>
  </si>
  <si>
    <t>CN1716500000000</t>
  </si>
  <si>
    <t>Saline County, IL</t>
  </si>
  <si>
    <t>CN1716700000000</t>
  </si>
  <si>
    <t>Sangamon County, IL</t>
  </si>
  <si>
    <t>CN1716900000000</t>
  </si>
  <si>
    <t>Schuyler County, IL</t>
  </si>
  <si>
    <t>CN1717100000000</t>
  </si>
  <si>
    <t>Scott County, IL</t>
  </si>
  <si>
    <t>CN1717300000000</t>
  </si>
  <si>
    <t>Shelby County, IL</t>
  </si>
  <si>
    <t>CN1717500000000</t>
  </si>
  <si>
    <t>Stark County, IL</t>
  </si>
  <si>
    <t>CN1717700000000</t>
  </si>
  <si>
    <t>Stephenson County, IL</t>
  </si>
  <si>
    <t>CN1717900000000</t>
  </si>
  <si>
    <t>Tazewell County, IL</t>
  </si>
  <si>
    <t>CN1718100000000</t>
  </si>
  <si>
    <t>Union County, IL</t>
  </si>
  <si>
    <t>CN1718300000000</t>
  </si>
  <si>
    <t>Vermilion County, IL</t>
  </si>
  <si>
    <t>CN1718500000000</t>
  </si>
  <si>
    <t>Wabash County, IL</t>
  </si>
  <si>
    <t>CN1718700000000</t>
  </si>
  <si>
    <t>Warren County, IL</t>
  </si>
  <si>
    <t>CN1718900000000</t>
  </si>
  <si>
    <t>Washington County, IL</t>
  </si>
  <si>
    <t>CN1719100000000</t>
  </si>
  <si>
    <t>Wayne County, IL</t>
  </si>
  <si>
    <t>CN1719300000000</t>
  </si>
  <si>
    <t>White County, IL</t>
  </si>
  <si>
    <t>CN1719500000000</t>
  </si>
  <si>
    <t>Whiteside County, IL</t>
  </si>
  <si>
    <t>CN1719700000000</t>
  </si>
  <si>
    <t>Will County, IL</t>
  </si>
  <si>
    <t>CN1719900000000</t>
  </si>
  <si>
    <t>Williamson County, IL</t>
  </si>
  <si>
    <t>CN1720100000000</t>
  </si>
  <si>
    <t>Winnebago County, IL</t>
  </si>
  <si>
    <t>CN1720300000000</t>
  </si>
  <si>
    <t>Woodford County, IL</t>
  </si>
  <si>
    <t>CN1800100000000</t>
  </si>
  <si>
    <t>Adams County, IN</t>
  </si>
  <si>
    <t>CN1800300000000</t>
  </si>
  <si>
    <t>Allen County, IN</t>
  </si>
  <si>
    <t>CN1800500000000</t>
  </si>
  <si>
    <t>Bartholomew County, IN</t>
  </si>
  <si>
    <t>CN1800700000000</t>
  </si>
  <si>
    <t>Benton County, IN</t>
  </si>
  <si>
    <t>CN1800900000000</t>
  </si>
  <si>
    <t>Blackford County, IN</t>
  </si>
  <si>
    <t>CN1801100000000</t>
  </si>
  <si>
    <t>Boone County, IN</t>
  </si>
  <si>
    <t>CN1801300000000</t>
  </si>
  <si>
    <t>Brown County, IN</t>
  </si>
  <si>
    <t>CN1801500000000</t>
  </si>
  <si>
    <t>Carroll County, IN</t>
  </si>
  <si>
    <t>CN1801700000000</t>
  </si>
  <si>
    <t>Cass County, IN</t>
  </si>
  <si>
    <t>CN1801900000000</t>
  </si>
  <si>
    <t>Clark County, IN</t>
  </si>
  <si>
    <t>CN1802100000000</t>
  </si>
  <si>
    <t>Clay County, IN</t>
  </si>
  <si>
    <t>CN1802300000000</t>
  </si>
  <si>
    <t>Clinton County, IN</t>
  </si>
  <si>
    <t>CN1802500000000</t>
  </si>
  <si>
    <t>Crawford County, IN</t>
  </si>
  <si>
    <t>CN1802700000000</t>
  </si>
  <si>
    <t>Daviess County, IN</t>
  </si>
  <si>
    <t>CN1802900000000</t>
  </si>
  <si>
    <t>Dearborn County, IN</t>
  </si>
  <si>
    <t>CN1803100000000</t>
  </si>
  <si>
    <t>Decatur County, IN</t>
  </si>
  <si>
    <t>CN1803300000000</t>
  </si>
  <si>
    <t>DeKalb County, IN</t>
  </si>
  <si>
    <t>CN1803500000000</t>
  </si>
  <si>
    <t>Delaware County, IN</t>
  </si>
  <si>
    <t>CN1803700000000</t>
  </si>
  <si>
    <t>Dubois County, IN</t>
  </si>
  <si>
    <t>CN1803900000000</t>
  </si>
  <si>
    <t>Elkhart County, IN</t>
  </si>
  <si>
    <t>CN1804100000000</t>
  </si>
  <si>
    <t>Fayette County, IN</t>
  </si>
  <si>
    <t>CN1804300000000</t>
  </si>
  <si>
    <t>Floyd County, IN</t>
  </si>
  <si>
    <t>CN1804500000000</t>
  </si>
  <si>
    <t>Fountain County, IN</t>
  </si>
  <si>
    <t>CN1804700000000</t>
  </si>
  <si>
    <t>Franklin County, IN</t>
  </si>
  <si>
    <t>CN1804900000000</t>
  </si>
  <si>
    <t>Fulton County, IN</t>
  </si>
  <si>
    <t>CN1805100000000</t>
  </si>
  <si>
    <t>Gibson County, IN</t>
  </si>
  <si>
    <t>CN1805300000000</t>
  </si>
  <si>
    <t>Grant County, IN</t>
  </si>
  <si>
    <t>CN1805500000000</t>
  </si>
  <si>
    <t>Greene County, IN</t>
  </si>
  <si>
    <t>CN1805700000000</t>
  </si>
  <si>
    <t>Hamilton County, IN</t>
  </si>
  <si>
    <t>CN1805900000000</t>
  </si>
  <si>
    <t>Hancock County, IN</t>
  </si>
  <si>
    <t>CN1806100000000</t>
  </si>
  <si>
    <t>Harrison County, IN</t>
  </si>
  <si>
    <t>CN1806300000000</t>
  </si>
  <si>
    <t>Hendricks County, IN</t>
  </si>
  <si>
    <t>CN1806500000000</t>
  </si>
  <si>
    <t>Henry County, IN</t>
  </si>
  <si>
    <t>CN1806700000000</t>
  </si>
  <si>
    <t>Howard County, IN</t>
  </si>
  <si>
    <t>CN1806900000000</t>
  </si>
  <si>
    <t>Huntington County, IN</t>
  </si>
  <si>
    <t>CN1807100000000</t>
  </si>
  <si>
    <t>Jackson County, IN</t>
  </si>
  <si>
    <t>CN1807300000000</t>
  </si>
  <si>
    <t>Jasper County, IN</t>
  </si>
  <si>
    <t>CN1807500000000</t>
  </si>
  <si>
    <t>Jay County, IN</t>
  </si>
  <si>
    <t>CN1807700000000</t>
  </si>
  <si>
    <t>Jefferson County, IN</t>
  </si>
  <si>
    <t>CN1807900000000</t>
  </si>
  <si>
    <t>Jennings County, IN</t>
  </si>
  <si>
    <t>CN1808100000000</t>
  </si>
  <si>
    <t>Johnson County, IN</t>
  </si>
  <si>
    <t>CN1808300000000</t>
  </si>
  <si>
    <t>Knox County, IN</t>
  </si>
  <si>
    <t>CN1808500000000</t>
  </si>
  <si>
    <t>Kosciusko County, IN</t>
  </si>
  <si>
    <t>CN1808700000000</t>
  </si>
  <si>
    <t>LaGrange County, IN</t>
  </si>
  <si>
    <t>CN1808900000000</t>
  </si>
  <si>
    <t>Lake County, IN</t>
  </si>
  <si>
    <t>CN1809100000000</t>
  </si>
  <si>
    <t>LaPorte County, IN</t>
  </si>
  <si>
    <t>CN1809300000000</t>
  </si>
  <si>
    <t>Lawrence County, IN</t>
  </si>
  <si>
    <t>CN1809500000000</t>
  </si>
  <si>
    <t>Madison County, IN</t>
  </si>
  <si>
    <t>CN1809700000000</t>
  </si>
  <si>
    <t>Marion County, IN</t>
  </si>
  <si>
    <t>CN1809900000000</t>
  </si>
  <si>
    <t>Marshall County, IN</t>
  </si>
  <si>
    <t>CN1810100000000</t>
  </si>
  <si>
    <t>Martin County, IN</t>
  </si>
  <si>
    <t>CN1810300000000</t>
  </si>
  <si>
    <t>Miami County, IN</t>
  </si>
  <si>
    <t>CN1810500000000</t>
  </si>
  <si>
    <t>Monroe County, IN</t>
  </si>
  <si>
    <t>CN1810700000000</t>
  </si>
  <si>
    <t>Montgomery County, IN</t>
  </si>
  <si>
    <t>CN1810900000000</t>
  </si>
  <si>
    <t>Morgan County, IN</t>
  </si>
  <si>
    <t>CN1811100000000</t>
  </si>
  <si>
    <t>Newton County, IN</t>
  </si>
  <si>
    <t>CN1811300000000</t>
  </si>
  <si>
    <t>Noble County, IN</t>
  </si>
  <si>
    <t>CN1811500000000</t>
  </si>
  <si>
    <t>Ohio County, IN</t>
  </si>
  <si>
    <t>CN1811700000000</t>
  </si>
  <si>
    <t>Orange County, IN</t>
  </si>
  <si>
    <t>CN1811900000000</t>
  </si>
  <si>
    <t>Owen County, IN</t>
  </si>
  <si>
    <t>CN1812100000000</t>
  </si>
  <si>
    <t>Parke County, IN</t>
  </si>
  <si>
    <t>CN1812300000000</t>
  </si>
  <si>
    <t>Perry County, IN</t>
  </si>
  <si>
    <t>CN1812500000000</t>
  </si>
  <si>
    <t>Pike County, IN</t>
  </si>
  <si>
    <t>CN1812700000000</t>
  </si>
  <si>
    <t>Porter County, IN</t>
  </si>
  <si>
    <t>CN1812900000000</t>
  </si>
  <si>
    <t>Posey County, IN</t>
  </si>
  <si>
    <t>CN1813100000000</t>
  </si>
  <si>
    <t>Pulaski County, IN</t>
  </si>
  <si>
    <t>CN1813300000000</t>
  </si>
  <si>
    <t>Putnam County, IN</t>
  </si>
  <si>
    <t>CN1813500000000</t>
  </si>
  <si>
    <t>Randolph County, IN</t>
  </si>
  <si>
    <t>CN1813700000000</t>
  </si>
  <si>
    <t>Ripley County, IN</t>
  </si>
  <si>
    <t>CN1813900000000</t>
  </si>
  <si>
    <t>Rush County, IN</t>
  </si>
  <si>
    <t>CN1814100000000</t>
  </si>
  <si>
    <t>St. Joseph County, IN</t>
  </si>
  <si>
    <t>CN1814300000000</t>
  </si>
  <si>
    <t>Scott County, IN</t>
  </si>
  <si>
    <t>CN1814500000000</t>
  </si>
  <si>
    <t>Shelby County, IN</t>
  </si>
  <si>
    <t>CN1814700000000</t>
  </si>
  <si>
    <t>Spencer County, IN</t>
  </si>
  <si>
    <t>CN1814900000000</t>
  </si>
  <si>
    <t>Starke County, IN</t>
  </si>
  <si>
    <t>CN1815100000000</t>
  </si>
  <si>
    <t>Steuben County, IN</t>
  </si>
  <si>
    <t>CN1815300000000</t>
  </si>
  <si>
    <t>Sullivan County, IN</t>
  </si>
  <si>
    <t>CN1815500000000</t>
  </si>
  <si>
    <t>Switzerland County, IN</t>
  </si>
  <si>
    <t>CN1815700000000</t>
  </si>
  <si>
    <t>Tippecanoe County, IN</t>
  </si>
  <si>
    <t>CN1815900000000</t>
  </si>
  <si>
    <t>Tipton County, IN</t>
  </si>
  <si>
    <t>CN1816100000000</t>
  </si>
  <si>
    <t>Union County, IN</t>
  </si>
  <si>
    <t>CN1816300000000</t>
  </si>
  <si>
    <t>Vanderburgh County, IN</t>
  </si>
  <si>
    <t>CN1816500000000</t>
  </si>
  <si>
    <t>Vermillion County, IN</t>
  </si>
  <si>
    <t>CN1816700000000</t>
  </si>
  <si>
    <t>Vigo County, IN</t>
  </si>
  <si>
    <t>CN1816900000000</t>
  </si>
  <si>
    <t>Wabash County, IN</t>
  </si>
  <si>
    <t>CN1817100000000</t>
  </si>
  <si>
    <t>Warren County, IN</t>
  </si>
  <si>
    <t>CN1817300000000</t>
  </si>
  <si>
    <t>Warrick County, IN</t>
  </si>
  <si>
    <t>CN1817500000000</t>
  </si>
  <si>
    <t>Washington County, IN</t>
  </si>
  <si>
    <t>CN1817700000000</t>
  </si>
  <si>
    <t>Wayne County, IN</t>
  </si>
  <si>
    <t>CN1817900000000</t>
  </si>
  <si>
    <t>Wells County, IN</t>
  </si>
  <si>
    <t>CN1818100000000</t>
  </si>
  <si>
    <t>White County, IN</t>
  </si>
  <si>
    <t>CN1818300000000</t>
  </si>
  <si>
    <t>Whitley County, IN</t>
  </si>
  <si>
    <t>CN1900100000000</t>
  </si>
  <si>
    <t>Adair County, IA</t>
  </si>
  <si>
    <t>CN1900300000000</t>
  </si>
  <si>
    <t>Adams County, IA</t>
  </si>
  <si>
    <t>CN1900500000000</t>
  </si>
  <si>
    <t>Allamakee County, IA</t>
  </si>
  <si>
    <t>CN1900700000000</t>
  </si>
  <si>
    <t>Appanoose County, IA</t>
  </si>
  <si>
    <t>CN1900900000000</t>
  </si>
  <si>
    <t>Audubon County, IA</t>
  </si>
  <si>
    <t>CN1901100000000</t>
  </si>
  <si>
    <t>Benton County, IA</t>
  </si>
  <si>
    <t>CN1901300000000</t>
  </si>
  <si>
    <t>Black Hawk County, IA</t>
  </si>
  <si>
    <t>CN1901500000000</t>
  </si>
  <si>
    <t>Boone County, IA</t>
  </si>
  <si>
    <t>CN1901700000000</t>
  </si>
  <si>
    <t>Bremer County, IA</t>
  </si>
  <si>
    <t>CN1901900000000</t>
  </si>
  <si>
    <t>Buchanan County, IA</t>
  </si>
  <si>
    <t>CN1902100000000</t>
  </si>
  <si>
    <t>Buena Vista County, IA</t>
  </si>
  <si>
    <t>CN1902300000000</t>
  </si>
  <si>
    <t>Butler County, IA</t>
  </si>
  <si>
    <t>CN1902500000000</t>
  </si>
  <si>
    <t>Calhoun County, IA</t>
  </si>
  <si>
    <t>CN1902700000000</t>
  </si>
  <si>
    <t>Carroll County, IA</t>
  </si>
  <si>
    <t>CN1902900000000</t>
  </si>
  <si>
    <t>Cass County, IA</t>
  </si>
  <si>
    <t>CN1903100000000</t>
  </si>
  <si>
    <t>Cedar County, IA</t>
  </si>
  <si>
    <t>CN1903300000000</t>
  </si>
  <si>
    <t>Cerro Gordo County, IA</t>
  </si>
  <si>
    <t>CN1903500000000</t>
  </si>
  <si>
    <t>Cherokee County, IA</t>
  </si>
  <si>
    <t>CN1903700000000</t>
  </si>
  <si>
    <t>Chickasaw County, IA</t>
  </si>
  <si>
    <t>CN1903900000000</t>
  </si>
  <si>
    <t>Clarke County, IA</t>
  </si>
  <si>
    <t>CN1904100000000</t>
  </si>
  <si>
    <t>Clay County, IA</t>
  </si>
  <si>
    <t>CN1904300000000</t>
  </si>
  <si>
    <t>Clayton County, IA</t>
  </si>
  <si>
    <t>CN1904500000000</t>
  </si>
  <si>
    <t>Clinton County, IA</t>
  </si>
  <si>
    <t>CN1904700000000</t>
  </si>
  <si>
    <t>Crawford County, IA</t>
  </si>
  <si>
    <t>CN1904900000000</t>
  </si>
  <si>
    <t>Dallas County, IA</t>
  </si>
  <si>
    <t>CN1905100000000</t>
  </si>
  <si>
    <t>Davis County, IA</t>
  </si>
  <si>
    <t>CN1905300000000</t>
  </si>
  <si>
    <t>Decatur County, IA</t>
  </si>
  <si>
    <t>CN1905500000000</t>
  </si>
  <si>
    <t>Delaware County, IA</t>
  </si>
  <si>
    <t>CN1905700000000</t>
  </si>
  <si>
    <t>Des Moines County, IA</t>
  </si>
  <si>
    <t>CN1905900000000</t>
  </si>
  <si>
    <t>Dickinson County, IA</t>
  </si>
  <si>
    <t>CN1906100000000</t>
  </si>
  <si>
    <t>Dubuque County, IA</t>
  </si>
  <si>
    <t>CN1906300000000</t>
  </si>
  <si>
    <t>Emmet County, IA</t>
  </si>
  <si>
    <t>CN1906500000000</t>
  </si>
  <si>
    <t>Fayette County, IA</t>
  </si>
  <si>
    <t>CN1906700000000</t>
  </si>
  <si>
    <t>Floyd County, IA</t>
  </si>
  <si>
    <t>CN1906900000000</t>
  </si>
  <si>
    <t>Franklin County, IA</t>
  </si>
  <si>
    <t>CN1907100000000</t>
  </si>
  <si>
    <t>Fremont County, IA</t>
  </si>
  <si>
    <t>CN1907300000000</t>
  </si>
  <si>
    <t>Greene County, IA</t>
  </si>
  <si>
    <t>CN1907500000000</t>
  </si>
  <si>
    <t>Grundy County, IA</t>
  </si>
  <si>
    <t>CN1907700000000</t>
  </si>
  <si>
    <t>Guthrie County, IA</t>
  </si>
  <si>
    <t>CN1907900000000</t>
  </si>
  <si>
    <t>Hamilton County, IA</t>
  </si>
  <si>
    <t>CN1908100000000</t>
  </si>
  <si>
    <t>Hancock County, IA</t>
  </si>
  <si>
    <t>CN1908300000000</t>
  </si>
  <si>
    <t>Hardin County, IA</t>
  </si>
  <si>
    <t>CN1908500000000</t>
  </si>
  <si>
    <t>Harrison County, IA</t>
  </si>
  <si>
    <t>CN1908700000000</t>
  </si>
  <si>
    <t>Henry County, IA</t>
  </si>
  <si>
    <t>CN1908900000000</t>
  </si>
  <si>
    <t>Howard County, IA</t>
  </si>
  <si>
    <t>CN1909100000000</t>
  </si>
  <si>
    <t>Humboldt County, IA</t>
  </si>
  <si>
    <t>CN1909300000000</t>
  </si>
  <si>
    <t>Ida County, IA</t>
  </si>
  <si>
    <t>CN1909500000000</t>
  </si>
  <si>
    <t>Iowa County, IA</t>
  </si>
  <si>
    <t>CN1909700000000</t>
  </si>
  <si>
    <t>Jackson County, IA</t>
  </si>
  <si>
    <t>CN1909900000000</t>
  </si>
  <si>
    <t>Jasper County, IA</t>
  </si>
  <si>
    <t>CN1910100000000</t>
  </si>
  <si>
    <t>Jefferson County, IA</t>
  </si>
  <si>
    <t>CN1910300000000</t>
  </si>
  <si>
    <t>Johnson County, IA</t>
  </si>
  <si>
    <t>CN1910500000000</t>
  </si>
  <si>
    <t>Jones County, IA</t>
  </si>
  <si>
    <t>CN1910700000000</t>
  </si>
  <si>
    <t>Keokuk County, IA</t>
  </si>
  <si>
    <t>CN1910900000000</t>
  </si>
  <si>
    <t>Kossuth County, IA</t>
  </si>
  <si>
    <t>CN1911100000000</t>
  </si>
  <si>
    <t>Lee County, IA</t>
  </si>
  <si>
    <t>CN1911300000000</t>
  </si>
  <si>
    <t>Linn County, IA</t>
  </si>
  <si>
    <t>CN1911500000000</t>
  </si>
  <si>
    <t>Louisa County, IA</t>
  </si>
  <si>
    <t>CN1911700000000</t>
  </si>
  <si>
    <t>Lucas County, IA</t>
  </si>
  <si>
    <t>CN1911900000000</t>
  </si>
  <si>
    <t>Lyon County, IA</t>
  </si>
  <si>
    <t>CN1912100000000</t>
  </si>
  <si>
    <t>Madison County, IA</t>
  </si>
  <si>
    <t>CN1912300000000</t>
  </si>
  <si>
    <t>Mahaska County, IA</t>
  </si>
  <si>
    <t>CN1912500000000</t>
  </si>
  <si>
    <t>Marion County, IA</t>
  </si>
  <si>
    <t>CN1912700000000</t>
  </si>
  <si>
    <t>Marshall County, IA</t>
  </si>
  <si>
    <t>CN1912900000000</t>
  </si>
  <si>
    <t>Mills County, IA</t>
  </si>
  <si>
    <t>CN1913100000000</t>
  </si>
  <si>
    <t>Mitchell County, IA</t>
  </si>
  <si>
    <t>CN1913300000000</t>
  </si>
  <si>
    <t>Monona County, IA</t>
  </si>
  <si>
    <t>CN1913500000000</t>
  </si>
  <si>
    <t>Monroe County, IA</t>
  </si>
  <si>
    <t>CN1913700000000</t>
  </si>
  <si>
    <t>Montgomery County, IA</t>
  </si>
  <si>
    <t>CN1913900000000</t>
  </si>
  <si>
    <t>Muscatine County, IA</t>
  </si>
  <si>
    <t>CN1914100000000</t>
  </si>
  <si>
    <t>O'Brien County, IA</t>
  </si>
  <si>
    <t>CN1914300000000</t>
  </si>
  <si>
    <t>Osceola County, IA</t>
  </si>
  <si>
    <t>CN1914500000000</t>
  </si>
  <si>
    <t>Page County, IA</t>
  </si>
  <si>
    <t>CN1914700000000</t>
  </si>
  <si>
    <t>Palo Alto County, IA</t>
  </si>
  <si>
    <t>CN1914900000000</t>
  </si>
  <si>
    <t>Plymouth County, IA</t>
  </si>
  <si>
    <t>CN1915100000000</t>
  </si>
  <si>
    <t>Pocahontas County, IA</t>
  </si>
  <si>
    <t>CN1915300000000</t>
  </si>
  <si>
    <t>Polk County, IA</t>
  </si>
  <si>
    <t>CN1915500000000</t>
  </si>
  <si>
    <t>Pottawattamie County, IA</t>
  </si>
  <si>
    <t>CN1915700000000</t>
  </si>
  <si>
    <t>Poweshiek County, IA</t>
  </si>
  <si>
    <t>CN1915900000000</t>
  </si>
  <si>
    <t>Ringgold County, IA</t>
  </si>
  <si>
    <t>CN1916100000000</t>
  </si>
  <si>
    <t>Sac County, IA</t>
  </si>
  <si>
    <t>CN1916300000000</t>
  </si>
  <si>
    <t>Scott County, IA</t>
  </si>
  <si>
    <t>CN1916500000000</t>
  </si>
  <si>
    <t>Shelby County, IA</t>
  </si>
  <si>
    <t>CN1916700000000</t>
  </si>
  <si>
    <t>Sioux County, IA</t>
  </si>
  <si>
    <t>CN1916900000000</t>
  </si>
  <si>
    <t>Story County, IA</t>
  </si>
  <si>
    <t>CN1917100000000</t>
  </si>
  <si>
    <t>Tama County, IA</t>
  </si>
  <si>
    <t>CN1917300000000</t>
  </si>
  <si>
    <t>Taylor County, IA</t>
  </si>
  <si>
    <t>CN1917500000000</t>
  </si>
  <si>
    <t>Union County, IA</t>
  </si>
  <si>
    <t>CN1917700000000</t>
  </si>
  <si>
    <t>Van Buren County, IA</t>
  </si>
  <si>
    <t>CN1917900000000</t>
  </si>
  <si>
    <t>Wapello County, IA</t>
  </si>
  <si>
    <t>CN1918100000000</t>
  </si>
  <si>
    <t>Warren County, IA</t>
  </si>
  <si>
    <t>CN1918300000000</t>
  </si>
  <si>
    <t>Washington County, IA</t>
  </si>
  <si>
    <t>CN1918500000000</t>
  </si>
  <si>
    <t>Wayne County, IA</t>
  </si>
  <si>
    <t>CN1918700000000</t>
  </si>
  <si>
    <t>Webster County, IA</t>
  </si>
  <si>
    <t>CN1918900000000</t>
  </si>
  <si>
    <t>Winnebago County, IA</t>
  </si>
  <si>
    <t>CN1919100000000</t>
  </si>
  <si>
    <t>Winneshiek County, IA</t>
  </si>
  <si>
    <t>CN1919300000000</t>
  </si>
  <si>
    <t>Woodbury County, IA</t>
  </si>
  <si>
    <t>CN1919500000000</t>
  </si>
  <si>
    <t>Worth County, IA</t>
  </si>
  <si>
    <t>CN1919700000000</t>
  </si>
  <si>
    <t>Wright County, IA</t>
  </si>
  <si>
    <t>CN2000100000000</t>
  </si>
  <si>
    <t>Allen County, KS</t>
  </si>
  <si>
    <t>CN2000300000000</t>
  </si>
  <si>
    <t>Anderson County, KS</t>
  </si>
  <si>
    <t>CN2000500000000</t>
  </si>
  <si>
    <t>Atchison County, KS</t>
  </si>
  <si>
    <t>CN2000700000000</t>
  </si>
  <si>
    <t>Barber County, KS</t>
  </si>
  <si>
    <t>CN2000900000000</t>
  </si>
  <si>
    <t>Barton County, KS</t>
  </si>
  <si>
    <t>CN2001100000000</t>
  </si>
  <si>
    <t>Bourbon County, KS</t>
  </si>
  <si>
    <t>CN2001300000000</t>
  </si>
  <si>
    <t>Brown County, KS</t>
  </si>
  <si>
    <t>CN2001500000000</t>
  </si>
  <si>
    <t>Butler County, KS</t>
  </si>
  <si>
    <t>CN2001700000000</t>
  </si>
  <si>
    <t>Chase County, KS</t>
  </si>
  <si>
    <t>CN2001900000000</t>
  </si>
  <si>
    <t>Chautauqua County, KS</t>
  </si>
  <si>
    <t>CN2002100000000</t>
  </si>
  <si>
    <t>Cherokee County, KS</t>
  </si>
  <si>
    <t>CN2002300000000</t>
  </si>
  <si>
    <t>Cheyenne County, KS</t>
  </si>
  <si>
    <t>CN2002500000000</t>
  </si>
  <si>
    <t>Clark County, KS</t>
  </si>
  <si>
    <t>CN2002700000000</t>
  </si>
  <si>
    <t>Clay County, KS</t>
  </si>
  <si>
    <t>CN2002900000000</t>
  </si>
  <si>
    <t>Cloud County, KS</t>
  </si>
  <si>
    <t>CN2003100000000</t>
  </si>
  <si>
    <t>Coffey County, KS</t>
  </si>
  <si>
    <t>CN2003300000000</t>
  </si>
  <si>
    <t>Comanche County, KS</t>
  </si>
  <si>
    <t>CN2003500000000</t>
  </si>
  <si>
    <t>Cowley County, KS</t>
  </si>
  <si>
    <t>CN2003700000000</t>
  </si>
  <si>
    <t>Crawford County, KS</t>
  </si>
  <si>
    <t>CN2003900000000</t>
  </si>
  <si>
    <t>Decatur County, KS</t>
  </si>
  <si>
    <t>CN2004100000000</t>
  </si>
  <si>
    <t>Dickinson County, KS</t>
  </si>
  <si>
    <t>CN2004300000000</t>
  </si>
  <si>
    <t>Doniphan County, KS</t>
  </si>
  <si>
    <t>CN2004500000000</t>
  </si>
  <si>
    <t>Douglas County, KS</t>
  </si>
  <si>
    <t>CN2004700000000</t>
  </si>
  <si>
    <t>Edwards County, KS</t>
  </si>
  <si>
    <t>CN2004900000000</t>
  </si>
  <si>
    <t>Elk County, KS</t>
  </si>
  <si>
    <t>CN2005100000000</t>
  </si>
  <si>
    <t>Ellis County, KS</t>
  </si>
  <si>
    <t>CN2005300000000</t>
  </si>
  <si>
    <t>Ellsworth County, KS</t>
  </si>
  <si>
    <t>CN2005500000000</t>
  </si>
  <si>
    <t>Finney County, KS</t>
  </si>
  <si>
    <t>CN2005700000000</t>
  </si>
  <si>
    <t>Ford County, KS</t>
  </si>
  <si>
    <t>CN2005900000000</t>
  </si>
  <si>
    <t>Franklin County, KS</t>
  </si>
  <si>
    <t>CN2006100000000</t>
  </si>
  <si>
    <t>Geary County, KS</t>
  </si>
  <si>
    <t>CN2006300000000</t>
  </si>
  <si>
    <t>Gove County, KS</t>
  </si>
  <si>
    <t>CN2006500000000</t>
  </si>
  <si>
    <t>Graham County, KS</t>
  </si>
  <si>
    <t>CN2006700000000</t>
  </si>
  <si>
    <t>Grant County, KS</t>
  </si>
  <si>
    <t>CN2006900000000</t>
  </si>
  <si>
    <t>Gray County, KS</t>
  </si>
  <si>
    <t>CN2007100000000</t>
  </si>
  <si>
    <t>Greeley County, KS</t>
  </si>
  <si>
    <t>CN2007300000000</t>
  </si>
  <si>
    <t>Greenwood County, KS</t>
  </si>
  <si>
    <t>CN2007500000000</t>
  </si>
  <si>
    <t>Hamilton County, KS</t>
  </si>
  <si>
    <t>CN2007700000000</t>
  </si>
  <si>
    <t>Harper County, KS</t>
  </si>
  <si>
    <t>CN2007900000000</t>
  </si>
  <si>
    <t>Harvey County, KS</t>
  </si>
  <si>
    <t>CN2008100000000</t>
  </si>
  <si>
    <t>Haskell County, KS</t>
  </si>
  <si>
    <t>CN2008300000000</t>
  </si>
  <si>
    <t>Hodgeman County, KS</t>
  </si>
  <si>
    <t>CN2008500000000</t>
  </si>
  <si>
    <t>Jackson County, KS</t>
  </si>
  <si>
    <t>CN2008700000000</t>
  </si>
  <si>
    <t>Jefferson County, KS</t>
  </si>
  <si>
    <t>CN2008900000000</t>
  </si>
  <si>
    <t>Jewell County, KS</t>
  </si>
  <si>
    <t>CN2009100000000</t>
  </si>
  <si>
    <t>Johnson County, KS</t>
  </si>
  <si>
    <t>CN2009300000000</t>
  </si>
  <si>
    <t>Kearny County, KS</t>
  </si>
  <si>
    <t>CN2009500000000</t>
  </si>
  <si>
    <t>Kingman County, KS</t>
  </si>
  <si>
    <t>CN2009700000000</t>
  </si>
  <si>
    <t>Kiowa County, KS</t>
  </si>
  <si>
    <t>CN2009900000000</t>
  </si>
  <si>
    <t>Labette County, KS</t>
  </si>
  <si>
    <t>CN2010100000000</t>
  </si>
  <si>
    <t>Lane County, KS</t>
  </si>
  <si>
    <t>CN2010300000000</t>
  </si>
  <si>
    <t>Leavenworth County, KS</t>
  </si>
  <si>
    <t>CN2010500000000</t>
  </si>
  <si>
    <t>Lincoln County, KS</t>
  </si>
  <si>
    <t>CN2010700000000</t>
  </si>
  <si>
    <t>Linn County, KS</t>
  </si>
  <si>
    <t>CN2010900000000</t>
  </si>
  <si>
    <t>Logan County, KS</t>
  </si>
  <si>
    <t>CN2011100000000</t>
  </si>
  <si>
    <t>Lyon County, KS</t>
  </si>
  <si>
    <t>CN2011300000000</t>
  </si>
  <si>
    <t>McPherson County, KS</t>
  </si>
  <si>
    <t>CN2011500000000</t>
  </si>
  <si>
    <t>Marion County, KS</t>
  </si>
  <si>
    <t>CN2011700000000</t>
  </si>
  <si>
    <t>Marshall County, KS</t>
  </si>
  <si>
    <t>CN2011900000000</t>
  </si>
  <si>
    <t>Meade County, KS</t>
  </si>
  <si>
    <t>CN2012100000000</t>
  </si>
  <si>
    <t>Miami County, KS</t>
  </si>
  <si>
    <t>CN2012300000000</t>
  </si>
  <si>
    <t>Mitchell County, KS</t>
  </si>
  <si>
    <t>CN2012500000000</t>
  </si>
  <si>
    <t>Montgomery County, KS</t>
  </si>
  <si>
    <t>CN2012700000000</t>
  </si>
  <si>
    <t>Morris County, KS</t>
  </si>
  <si>
    <t>CN2012900000000</t>
  </si>
  <si>
    <t>Morton County, KS</t>
  </si>
  <si>
    <t>CN2013100000000</t>
  </si>
  <si>
    <t>Nemaha County, KS</t>
  </si>
  <si>
    <t>CN2013300000000</t>
  </si>
  <si>
    <t>Neosho County, KS</t>
  </si>
  <si>
    <t>CN2013500000000</t>
  </si>
  <si>
    <t>Ness County, KS</t>
  </si>
  <si>
    <t>CN2013700000000</t>
  </si>
  <si>
    <t>Norton County, KS</t>
  </si>
  <si>
    <t>CN2013900000000</t>
  </si>
  <si>
    <t>Osage County, KS</t>
  </si>
  <si>
    <t>CN2014100000000</t>
  </si>
  <si>
    <t>Osborne County, KS</t>
  </si>
  <si>
    <t>CN2014300000000</t>
  </si>
  <si>
    <t>Ottawa County, KS</t>
  </si>
  <si>
    <t>CN2014500000000</t>
  </si>
  <si>
    <t>Pawnee County, KS</t>
  </si>
  <si>
    <t>CN2014700000000</t>
  </si>
  <si>
    <t>Phillips County, KS</t>
  </si>
  <si>
    <t>CN2014900000000</t>
  </si>
  <si>
    <t>Pottawatomie County, KS</t>
  </si>
  <si>
    <t>CN2015100000000</t>
  </si>
  <si>
    <t>Pratt County, KS</t>
  </si>
  <si>
    <t>CN2015300000000</t>
  </si>
  <si>
    <t>Rawlins County, KS</t>
  </si>
  <si>
    <t>CN2015500000000</t>
  </si>
  <si>
    <t>Reno County, KS</t>
  </si>
  <si>
    <t>CN2015700000000</t>
  </si>
  <si>
    <t>Republic County, KS</t>
  </si>
  <si>
    <t>CN2015900000000</t>
  </si>
  <si>
    <t>Rice County, KS</t>
  </si>
  <si>
    <t>CN2016100000000</t>
  </si>
  <si>
    <t>Riley County, KS</t>
  </si>
  <si>
    <t>CN2016300000000</t>
  </si>
  <si>
    <t>Rooks County, KS</t>
  </si>
  <si>
    <t>CN2016500000000</t>
  </si>
  <si>
    <t>Rush County, KS</t>
  </si>
  <si>
    <t>CN2016700000000</t>
  </si>
  <si>
    <t>Russell County, KS</t>
  </si>
  <si>
    <t>CN2016900000000</t>
  </si>
  <si>
    <t>Saline County, KS</t>
  </si>
  <si>
    <t>CN2017100000000</t>
  </si>
  <si>
    <t>Scott County, KS</t>
  </si>
  <si>
    <t>CN2017300000000</t>
  </si>
  <si>
    <t>Sedgwick County, KS</t>
  </si>
  <si>
    <t>CN2017500000000</t>
  </si>
  <si>
    <t>Seward County, KS</t>
  </si>
  <si>
    <t>CN2017700000000</t>
  </si>
  <si>
    <t>Shawnee County, KS</t>
  </si>
  <si>
    <t>CN2017900000000</t>
  </si>
  <si>
    <t>Sheridan County, KS</t>
  </si>
  <si>
    <t>CN2018100000000</t>
  </si>
  <si>
    <t>Sherman County, KS</t>
  </si>
  <si>
    <t>CN2018300000000</t>
  </si>
  <si>
    <t>Smith County, KS</t>
  </si>
  <si>
    <t>CN2018500000000</t>
  </si>
  <si>
    <t>Stafford County, KS</t>
  </si>
  <si>
    <t>CN2018700000000</t>
  </si>
  <si>
    <t>Stanton County, KS</t>
  </si>
  <si>
    <t>CN2018900000000</t>
  </si>
  <si>
    <t>Stevens County, KS</t>
  </si>
  <si>
    <t>CN2019100000000</t>
  </si>
  <si>
    <t>Sumner County, KS</t>
  </si>
  <si>
    <t>CN2019300000000</t>
  </si>
  <si>
    <t>Thomas County, KS</t>
  </si>
  <si>
    <t>CN2019500000000</t>
  </si>
  <si>
    <t>Trego County, KS</t>
  </si>
  <si>
    <t>CN2019700000000</t>
  </si>
  <si>
    <t>Wabaunsee County, KS</t>
  </si>
  <si>
    <t>CN2019900000000</t>
  </si>
  <si>
    <t>Wallace County, KS</t>
  </si>
  <si>
    <t>CN2020100000000</t>
  </si>
  <si>
    <t>Washington County, KS</t>
  </si>
  <si>
    <t>CN2020300000000</t>
  </si>
  <si>
    <t>Wichita County, KS</t>
  </si>
  <si>
    <t>CN2020500000000</t>
  </si>
  <si>
    <t>Wilson County, KS</t>
  </si>
  <si>
    <t>CN2020700000000</t>
  </si>
  <si>
    <t>Woodson County, KS</t>
  </si>
  <si>
    <t>CN2020900000000</t>
  </si>
  <si>
    <t>Wyandotte County, KS</t>
  </si>
  <si>
    <t>CN2100100000000</t>
  </si>
  <si>
    <t>Adair County, KY</t>
  </si>
  <si>
    <t>CN2100300000000</t>
  </si>
  <si>
    <t>Allen County, KY</t>
  </si>
  <si>
    <t>CN2100500000000</t>
  </si>
  <si>
    <t>Anderson County, KY</t>
  </si>
  <si>
    <t>CN2100700000000</t>
  </si>
  <si>
    <t>Ballard County, KY</t>
  </si>
  <si>
    <t>CN2100900000000</t>
  </si>
  <si>
    <t>Barren County, KY</t>
  </si>
  <si>
    <t>CN2101100000000</t>
  </si>
  <si>
    <t>Bath County, KY</t>
  </si>
  <si>
    <t>CN2101300000000</t>
  </si>
  <si>
    <t>Bell County, KY</t>
  </si>
  <si>
    <t>CN2101500000000</t>
  </si>
  <si>
    <t>Boone County, KY</t>
  </si>
  <si>
    <t>CN2101700000000</t>
  </si>
  <si>
    <t>Bourbon County, KY</t>
  </si>
  <si>
    <t>CN2101900000000</t>
  </si>
  <si>
    <t>Boyd County, KY</t>
  </si>
  <si>
    <t>CN2102100000000</t>
  </si>
  <si>
    <t>Boyle County, KY</t>
  </si>
  <si>
    <t>CN2102300000000</t>
  </si>
  <si>
    <t>Bracken County, KY</t>
  </si>
  <si>
    <t>CN2102500000000</t>
  </si>
  <si>
    <t>Breathitt County, KY</t>
  </si>
  <si>
    <t>CN2102700000000</t>
  </si>
  <si>
    <t>Breckinridge County, KY</t>
  </si>
  <si>
    <t>CN2102900000000</t>
  </si>
  <si>
    <t>Bullitt County, KY</t>
  </si>
  <si>
    <t>CN2103100000000</t>
  </si>
  <si>
    <t>Butler County, KY</t>
  </si>
  <si>
    <t>CN2103300000000</t>
  </si>
  <si>
    <t>Caldwell County, KY</t>
  </si>
  <si>
    <t>CN2103500000000</t>
  </si>
  <si>
    <t>Calloway County, KY</t>
  </si>
  <si>
    <t>CN2103700000000</t>
  </si>
  <si>
    <t>Campbell County, KY</t>
  </si>
  <si>
    <t>CN2103900000000</t>
  </si>
  <si>
    <t>Carlisle County, KY</t>
  </si>
  <si>
    <t>CN2104100000000</t>
  </si>
  <si>
    <t>Carroll County, KY</t>
  </si>
  <si>
    <t>CN2104300000000</t>
  </si>
  <si>
    <t>Carter County, KY</t>
  </si>
  <si>
    <t>CN2104500000000</t>
  </si>
  <si>
    <t>Casey County, KY</t>
  </si>
  <si>
    <t>CN2104700000000</t>
  </si>
  <si>
    <t>Christian County, KY</t>
  </si>
  <si>
    <t>CN2104900000000</t>
  </si>
  <si>
    <t>Clark County, KY</t>
  </si>
  <si>
    <t>CN2105100000000</t>
  </si>
  <si>
    <t>Clay County, KY</t>
  </si>
  <si>
    <t>CN2105300000000</t>
  </si>
  <si>
    <t>Clinton County, KY</t>
  </si>
  <si>
    <t>CN2105500000000</t>
  </si>
  <si>
    <t>Crittenden County, KY</t>
  </si>
  <si>
    <t>CN2105700000000</t>
  </si>
  <si>
    <t>Cumberland County, KY</t>
  </si>
  <si>
    <t>CN2105900000000</t>
  </si>
  <si>
    <t>Daviess County, KY</t>
  </si>
  <si>
    <t>CN2106100000000</t>
  </si>
  <si>
    <t>Edmonson County, KY</t>
  </si>
  <si>
    <t>CN2106300000000</t>
  </si>
  <si>
    <t>Elliott County, KY</t>
  </si>
  <si>
    <t>CN2106500000000</t>
  </si>
  <si>
    <t>Estill County, KY</t>
  </si>
  <si>
    <t>CN2106700000000</t>
  </si>
  <si>
    <t>Fayette County, KY</t>
  </si>
  <si>
    <t>CN2106900000000</t>
  </si>
  <si>
    <t>Fleming County, KY</t>
  </si>
  <si>
    <t>CN2107100000000</t>
  </si>
  <si>
    <t>Floyd County, KY</t>
  </si>
  <si>
    <t>CN2107300000000</t>
  </si>
  <si>
    <t>Franklin County, KY</t>
  </si>
  <si>
    <t>CN2107500000000</t>
  </si>
  <si>
    <t>Fulton County, KY</t>
  </si>
  <si>
    <t>CN2107700000000</t>
  </si>
  <si>
    <t>Gallatin County, KY</t>
  </si>
  <si>
    <t>CN2107900000000</t>
  </si>
  <si>
    <t>Garrard County, KY</t>
  </si>
  <si>
    <t>CN2108100000000</t>
  </si>
  <si>
    <t>Grant County, KY</t>
  </si>
  <si>
    <t>CN2108300000000</t>
  </si>
  <si>
    <t>Graves County, KY</t>
  </si>
  <si>
    <t>CN2108500000000</t>
  </si>
  <si>
    <t>Grayson County, KY</t>
  </si>
  <si>
    <t>CN2108700000000</t>
  </si>
  <si>
    <t>Green County, KY</t>
  </si>
  <si>
    <t>CN2108900000000</t>
  </si>
  <si>
    <t>Greenup County, KY</t>
  </si>
  <si>
    <t>CN2109100000000</t>
  </si>
  <si>
    <t>Hancock County, KY</t>
  </si>
  <si>
    <t>CN2109300000000</t>
  </si>
  <si>
    <t>Hardin County, KY</t>
  </si>
  <si>
    <t>CN2109500000000</t>
  </si>
  <si>
    <t>Harlan County, KY</t>
  </si>
  <si>
    <t>CN2109700000000</t>
  </si>
  <si>
    <t>Harrison County, KY</t>
  </si>
  <si>
    <t>CN2109900000000</t>
  </si>
  <si>
    <t>Hart County, KY</t>
  </si>
  <si>
    <t>CN2110100000000</t>
  </si>
  <si>
    <t>Henderson County, KY</t>
  </si>
  <si>
    <t>CN2110300000000</t>
  </si>
  <si>
    <t>Henry County, KY</t>
  </si>
  <si>
    <t>CN2110500000000</t>
  </si>
  <si>
    <t>Hickman County, KY</t>
  </si>
  <si>
    <t>CN2110700000000</t>
  </si>
  <si>
    <t>Hopkins County, KY</t>
  </si>
  <si>
    <t>CN2110900000000</t>
  </si>
  <si>
    <t>Jackson County, KY</t>
  </si>
  <si>
    <t>CN2111100000000</t>
  </si>
  <si>
    <t>Jefferson County, KY</t>
  </si>
  <si>
    <t>CN2111300000000</t>
  </si>
  <si>
    <t>Jessamine County, KY</t>
  </si>
  <si>
    <t>CN2111500000000</t>
  </si>
  <si>
    <t>Johnson County, KY</t>
  </si>
  <si>
    <t>CN2111700000000</t>
  </si>
  <si>
    <t>Kenton County, KY</t>
  </si>
  <si>
    <t>CN2111900000000</t>
  </si>
  <si>
    <t>Knott County, KY</t>
  </si>
  <si>
    <t>CN2112100000000</t>
  </si>
  <si>
    <t>Knox County, KY</t>
  </si>
  <si>
    <t>CN2112300000000</t>
  </si>
  <si>
    <t>Larue County, KY</t>
  </si>
  <si>
    <t>CN2112500000000</t>
  </si>
  <si>
    <t>Laurel County, KY</t>
  </si>
  <si>
    <t>CN2112700000000</t>
  </si>
  <si>
    <t>Lawrence County, KY</t>
  </si>
  <si>
    <t>CN2112900000000</t>
  </si>
  <si>
    <t>Lee County, KY</t>
  </si>
  <si>
    <t>CN2113100000000</t>
  </si>
  <si>
    <t>Leslie County, KY</t>
  </si>
  <si>
    <t>CN2113300000000</t>
  </si>
  <si>
    <t>Letcher County, KY</t>
  </si>
  <si>
    <t>CN2113500000000</t>
  </si>
  <si>
    <t>Lewis County, KY</t>
  </si>
  <si>
    <t>CN2113700000000</t>
  </si>
  <si>
    <t>Lincoln County, KY</t>
  </si>
  <si>
    <t>CN2113900000000</t>
  </si>
  <si>
    <t>Livingston County, KY</t>
  </si>
  <si>
    <t>CN2114100000000</t>
  </si>
  <si>
    <t>Logan County, KY</t>
  </si>
  <si>
    <t>CN2114300000000</t>
  </si>
  <si>
    <t>Lyon County, KY</t>
  </si>
  <si>
    <t>CN2114500000000</t>
  </si>
  <si>
    <t>McCracken County, KY</t>
  </si>
  <si>
    <t>CN2114700000000</t>
  </si>
  <si>
    <t>McCreary County, KY</t>
  </si>
  <si>
    <t>CN2114900000000</t>
  </si>
  <si>
    <t>McLean County, KY</t>
  </si>
  <si>
    <t>CN2115100000000</t>
  </si>
  <si>
    <t>Madison County, KY</t>
  </si>
  <si>
    <t>CN2115300000000</t>
  </si>
  <si>
    <t>Magoffin County, KY</t>
  </si>
  <si>
    <t>CN2115500000000</t>
  </si>
  <si>
    <t>Marion County, KY</t>
  </si>
  <si>
    <t>CN2115700000000</t>
  </si>
  <si>
    <t>Marshall County, KY</t>
  </si>
  <si>
    <t>CN2115900000000</t>
  </si>
  <si>
    <t>Martin County, KY</t>
  </si>
  <si>
    <t>CN2116100000000</t>
  </si>
  <si>
    <t>Mason County, KY</t>
  </si>
  <si>
    <t>CN2116300000000</t>
  </si>
  <si>
    <t>Meade County, KY</t>
  </si>
  <si>
    <t>CN2116500000000</t>
  </si>
  <si>
    <t>Menifee County, KY</t>
  </si>
  <si>
    <t>CN2116700000000</t>
  </si>
  <si>
    <t>Mercer County, KY</t>
  </si>
  <si>
    <t>CN2116900000000</t>
  </si>
  <si>
    <t>Metcalfe County, KY</t>
  </si>
  <si>
    <t>CN2117100000000</t>
  </si>
  <si>
    <t>Monroe County, KY</t>
  </si>
  <si>
    <t>CN2117300000000</t>
  </si>
  <si>
    <t>Montgomery County, KY</t>
  </si>
  <si>
    <t>CN2117500000000</t>
  </si>
  <si>
    <t>Morgan County, KY</t>
  </si>
  <si>
    <t>CN2117700000000</t>
  </si>
  <si>
    <t>Muhlenberg County, KY</t>
  </si>
  <si>
    <t>CN2117900000000</t>
  </si>
  <si>
    <t>Nelson County, KY</t>
  </si>
  <si>
    <t>CN2118100000000</t>
  </si>
  <si>
    <t>Nicholas County, KY</t>
  </si>
  <si>
    <t>CN2118300000000</t>
  </si>
  <si>
    <t>Ohio County, KY</t>
  </si>
  <si>
    <t>CN2118500000000</t>
  </si>
  <si>
    <t>Oldham County, KY</t>
  </si>
  <si>
    <t>CN2118700000000</t>
  </si>
  <si>
    <t>Owen County, KY</t>
  </si>
  <si>
    <t>CN2118900000000</t>
  </si>
  <si>
    <t>Owsley County, KY</t>
  </si>
  <si>
    <t>CN2119100000000</t>
  </si>
  <si>
    <t>Pendleton County, KY</t>
  </si>
  <si>
    <t>CN2119300000000</t>
  </si>
  <si>
    <t>Perry County, KY</t>
  </si>
  <si>
    <t>CN2119500000000</t>
  </si>
  <si>
    <t>Pike County, KY</t>
  </si>
  <si>
    <t>CN2119700000000</t>
  </si>
  <si>
    <t>Powell County, KY</t>
  </si>
  <si>
    <t>CN2119900000000</t>
  </si>
  <si>
    <t>Pulaski County, KY</t>
  </si>
  <si>
    <t>CN2120100000000</t>
  </si>
  <si>
    <t>Robertson County, KY</t>
  </si>
  <si>
    <t>CN2120300000000</t>
  </si>
  <si>
    <t>Rockcastle County, KY</t>
  </si>
  <si>
    <t>CN2120500000000</t>
  </si>
  <si>
    <t>Rowan County, KY</t>
  </si>
  <si>
    <t>CN2120700000000</t>
  </si>
  <si>
    <t>Russell County, KY</t>
  </si>
  <si>
    <t>CN2120900000000</t>
  </si>
  <si>
    <t>Scott County, KY</t>
  </si>
  <si>
    <t>CN2121100000000</t>
  </si>
  <si>
    <t>Shelby County, KY</t>
  </si>
  <si>
    <t>CN2121300000000</t>
  </si>
  <si>
    <t>Simpson County, KY</t>
  </si>
  <si>
    <t>CN2121500000000</t>
  </si>
  <si>
    <t>Spencer County, KY</t>
  </si>
  <si>
    <t>CN2121700000000</t>
  </si>
  <si>
    <t>Taylor County, KY</t>
  </si>
  <si>
    <t>CN2121900000000</t>
  </si>
  <si>
    <t>Todd County, KY</t>
  </si>
  <si>
    <t>CN2122100000000</t>
  </si>
  <si>
    <t>Trigg County, KY</t>
  </si>
  <si>
    <t>CN2122300000000</t>
  </si>
  <si>
    <t>Trimble County, KY</t>
  </si>
  <si>
    <t>CN2122500000000</t>
  </si>
  <si>
    <t>Union County, KY</t>
  </si>
  <si>
    <t>CN2122700000000</t>
  </si>
  <si>
    <t>Warren County, KY</t>
  </si>
  <si>
    <t>CN2122900000000</t>
  </si>
  <si>
    <t>Washington County, KY</t>
  </si>
  <si>
    <t>CN2123100000000</t>
  </si>
  <si>
    <t>Wayne County, KY</t>
  </si>
  <si>
    <t>CN2123300000000</t>
  </si>
  <si>
    <t>Webster County, KY</t>
  </si>
  <si>
    <t>CN2123500000000</t>
  </si>
  <si>
    <t>Whitley County, KY</t>
  </si>
  <si>
    <t>CN2123700000000</t>
  </si>
  <si>
    <t>Wolfe County, KY</t>
  </si>
  <si>
    <t>CN2123900000000</t>
  </si>
  <si>
    <t>Woodford County, KY</t>
  </si>
  <si>
    <t>CN2200100000000</t>
  </si>
  <si>
    <t>Acadia Parish, LA</t>
  </si>
  <si>
    <t>CN2200300000000</t>
  </si>
  <si>
    <t>Allen Parish, LA</t>
  </si>
  <si>
    <t>CN2200500000000</t>
  </si>
  <si>
    <t>Ascension Parish, LA</t>
  </si>
  <si>
    <t>CN2200700000000</t>
  </si>
  <si>
    <t>Assumption Parish, LA</t>
  </si>
  <si>
    <t>CN2200900000000</t>
  </si>
  <si>
    <t>Avoyelles Parish, LA</t>
  </si>
  <si>
    <t>CN2201100000000</t>
  </si>
  <si>
    <t>Beauregard Parish, LA</t>
  </si>
  <si>
    <t>CN2201300000000</t>
  </si>
  <si>
    <t>Bienville Parish, LA</t>
  </si>
  <si>
    <t>CN2201500000000</t>
  </si>
  <si>
    <t>Bossier Parish, LA</t>
  </si>
  <si>
    <t>CN2201700000000</t>
  </si>
  <si>
    <t>Caddo Parish, LA</t>
  </si>
  <si>
    <t>CN2201900000000</t>
  </si>
  <si>
    <t>Calcasieu Parish, LA</t>
  </si>
  <si>
    <t>CN2202100000000</t>
  </si>
  <si>
    <t>Caldwell Parish, LA</t>
  </si>
  <si>
    <t>CN2202300000000</t>
  </si>
  <si>
    <t>Cameron Parish, LA</t>
  </si>
  <si>
    <t>CN2202500000000</t>
  </si>
  <si>
    <t>Catahoula Parish, LA</t>
  </si>
  <si>
    <t>CN2202700000000</t>
  </si>
  <si>
    <t>Claiborne Parish, LA</t>
  </si>
  <si>
    <t>CN2202900000000</t>
  </si>
  <si>
    <t>Concordia Parish, LA</t>
  </si>
  <si>
    <t>CN2203100000000</t>
  </si>
  <si>
    <t>De Soto Parish, LA</t>
  </si>
  <si>
    <t>CN2203300000000</t>
  </si>
  <si>
    <t>East Baton Rouge Parish, LA</t>
  </si>
  <si>
    <t>CN2203500000000</t>
  </si>
  <si>
    <t>East Carroll Parish, LA</t>
  </si>
  <si>
    <t>CN2203700000000</t>
  </si>
  <si>
    <t>East Feliciana Parish, LA</t>
  </si>
  <si>
    <t>CN2203900000000</t>
  </si>
  <si>
    <t>Evangeline Parish, LA</t>
  </si>
  <si>
    <t>CN2204100000000</t>
  </si>
  <si>
    <t>Franklin Parish, LA</t>
  </si>
  <si>
    <t>CN2204300000000</t>
  </si>
  <si>
    <t>Grant Parish, LA</t>
  </si>
  <si>
    <t>CN2204500000000</t>
  </si>
  <si>
    <t>Iberia Parish, LA</t>
  </si>
  <si>
    <t>CN2204700000000</t>
  </si>
  <si>
    <t>Iberville Parish, LA</t>
  </si>
  <si>
    <t>CN2204900000000</t>
  </si>
  <si>
    <t>Jackson Parish, LA</t>
  </si>
  <si>
    <t>CN2205100000000</t>
  </si>
  <si>
    <t>Jefferson Parish, LA</t>
  </si>
  <si>
    <t>CN2205300000000</t>
  </si>
  <si>
    <t>Jefferson Davis Parish, LA</t>
  </si>
  <si>
    <t>CN2205500000000</t>
  </si>
  <si>
    <t>Lafayette Parish, LA</t>
  </si>
  <si>
    <t>CN2205700000000</t>
  </si>
  <si>
    <t>Lafourche Parish, LA</t>
  </si>
  <si>
    <t>CN2205900000000</t>
  </si>
  <si>
    <t>LaSalle Parish, LA</t>
  </si>
  <si>
    <t>CN2206100000000</t>
  </si>
  <si>
    <t>Lincoln Parish, LA</t>
  </si>
  <si>
    <t>CN2206300000000</t>
  </si>
  <si>
    <t>Livingston Parish, LA</t>
  </si>
  <si>
    <t>CN2206500000000</t>
  </si>
  <si>
    <t>Madison Parish, LA</t>
  </si>
  <si>
    <t>CN2206700000000</t>
  </si>
  <si>
    <t>Morehouse Parish, LA</t>
  </si>
  <si>
    <t>CN2206900000000</t>
  </si>
  <si>
    <t>Natchitoches Parish, LA</t>
  </si>
  <si>
    <t>CN2207100000000</t>
  </si>
  <si>
    <t>Orleans Parish, LA</t>
  </si>
  <si>
    <t>CN2207300000000</t>
  </si>
  <si>
    <t>Ouachita Parish, LA</t>
  </si>
  <si>
    <t>CN2207500000000</t>
  </si>
  <si>
    <t>Plaquemines Parish, LA</t>
  </si>
  <si>
    <t>CN2207700000000</t>
  </si>
  <si>
    <t>Pointe Coupee Parish, LA</t>
  </si>
  <si>
    <t>CN2207900000000</t>
  </si>
  <si>
    <t>Rapides Parish, LA</t>
  </si>
  <si>
    <t>CN2208100000000</t>
  </si>
  <si>
    <t>Red River Parish, LA</t>
  </si>
  <si>
    <t>CN2208300000000</t>
  </si>
  <si>
    <t>Richland Parish, LA</t>
  </si>
  <si>
    <t>CN2208500000000</t>
  </si>
  <si>
    <t>Sabine Parish, LA</t>
  </si>
  <si>
    <t>CN2208700000000</t>
  </si>
  <si>
    <t>St. Bernard Parish, LA</t>
  </si>
  <si>
    <t>CN2208900000000</t>
  </si>
  <si>
    <t>St. Charles Parish, LA</t>
  </si>
  <si>
    <t>CN2209100000000</t>
  </si>
  <si>
    <t>St. Helena Parish, LA</t>
  </si>
  <si>
    <t>CN2209300000000</t>
  </si>
  <si>
    <t>St. James Parish, LA</t>
  </si>
  <si>
    <t>CN2209500000000</t>
  </si>
  <si>
    <t>St. John the Baptist Parish, LA</t>
  </si>
  <si>
    <t>CN2209700000000</t>
  </si>
  <si>
    <t>St. Landry Parish, LA</t>
  </si>
  <si>
    <t>CN2209900000000</t>
  </si>
  <si>
    <t>St. Martin Parish, LA</t>
  </si>
  <si>
    <t>CN2210100000000</t>
  </si>
  <si>
    <t>St. Mary Parish, LA</t>
  </si>
  <si>
    <t>CN2210300000000</t>
  </si>
  <si>
    <t>St. Tammany Parish, LA</t>
  </si>
  <si>
    <t>CN2210500000000</t>
  </si>
  <si>
    <t>Tangipahoa Parish, LA</t>
  </si>
  <si>
    <t>CN2210700000000</t>
  </si>
  <si>
    <t>Tensas Parish, LA</t>
  </si>
  <si>
    <t>CN2210900000000</t>
  </si>
  <si>
    <t>Terrebonne Parish, LA</t>
  </si>
  <si>
    <t>CN2211100000000</t>
  </si>
  <si>
    <t>Union Parish, LA</t>
  </si>
  <si>
    <t>CN2211300000000</t>
  </si>
  <si>
    <t>Vermilion Parish, LA</t>
  </si>
  <si>
    <t>CN2211500000000</t>
  </si>
  <si>
    <t>Vernon Parish, LA</t>
  </si>
  <si>
    <t>CN2211700000000</t>
  </si>
  <si>
    <t>Washington Parish, LA</t>
  </si>
  <si>
    <t>CN2211900000000</t>
  </si>
  <si>
    <t>Webster Parish, LA</t>
  </si>
  <si>
    <t>CN2212100000000</t>
  </si>
  <si>
    <t>West Baton Rouge Parish, LA</t>
  </si>
  <si>
    <t>CN2212300000000</t>
  </si>
  <si>
    <t>West Carroll Parish, LA</t>
  </si>
  <si>
    <t>CN2212500000000</t>
  </si>
  <si>
    <t>West Feliciana Parish, LA</t>
  </si>
  <si>
    <t>CN2212700000000</t>
  </si>
  <si>
    <t>Winn Parish, LA</t>
  </si>
  <si>
    <t>CN2300100000000</t>
  </si>
  <si>
    <t>Androscoggin County, ME</t>
  </si>
  <si>
    <t>CN2300300000000</t>
  </si>
  <si>
    <t>Aroostook County, ME</t>
  </si>
  <si>
    <t>CN2300500000000</t>
  </si>
  <si>
    <t>Cumberland County, ME</t>
  </si>
  <si>
    <t>CN2300700000000</t>
  </si>
  <si>
    <t>Franklin County, ME</t>
  </si>
  <si>
    <t>CN2300900000000</t>
  </si>
  <si>
    <t>Hancock County, ME</t>
  </si>
  <si>
    <t>CN2301100000000</t>
  </si>
  <si>
    <t>Kennebec County, ME</t>
  </si>
  <si>
    <t>CN2301300000000</t>
  </si>
  <si>
    <t>Knox County, ME</t>
  </si>
  <si>
    <t>CN2301500000000</t>
  </si>
  <si>
    <t>Lincoln County, ME</t>
  </si>
  <si>
    <t>CN2301700000000</t>
  </si>
  <si>
    <t>Oxford County, ME</t>
  </si>
  <si>
    <t>CN2301900000000</t>
  </si>
  <si>
    <t>Penobscot County, ME</t>
  </si>
  <si>
    <t>CN2302100000000</t>
  </si>
  <si>
    <t>Piscataquis County, ME</t>
  </si>
  <si>
    <t>CN2302300000000</t>
  </si>
  <si>
    <t>Sagadahoc County, ME</t>
  </si>
  <si>
    <t>CN2302500000000</t>
  </si>
  <si>
    <t>Somerset County, ME</t>
  </si>
  <si>
    <t>CN2302700000000</t>
  </si>
  <si>
    <t>Waldo County, ME</t>
  </si>
  <si>
    <t>CN2302900000000</t>
  </si>
  <si>
    <t>Washington County, ME</t>
  </si>
  <si>
    <t>CN2303100000000</t>
  </si>
  <si>
    <t>York County, ME</t>
  </si>
  <si>
    <t>CN2400100000000</t>
  </si>
  <si>
    <t>Allegany County, MD</t>
  </si>
  <si>
    <t>CN2400300000000</t>
  </si>
  <si>
    <t>Anne Arundel County, MD</t>
  </si>
  <si>
    <t>CN2400500000000</t>
  </si>
  <si>
    <t>Baltimore County, MD</t>
  </si>
  <si>
    <t>CN2400900000000</t>
  </si>
  <si>
    <t>Calvert County, MD</t>
  </si>
  <si>
    <t>CN2401100000000</t>
  </si>
  <si>
    <t>Caroline County, MD</t>
  </si>
  <si>
    <t>CN2401300000000</t>
  </si>
  <si>
    <t>Carroll County, MD</t>
  </si>
  <si>
    <t>CN2401500000000</t>
  </si>
  <si>
    <t>Cecil County, MD</t>
  </si>
  <si>
    <t>CN2401700000000</t>
  </si>
  <si>
    <t>Charles County, MD</t>
  </si>
  <si>
    <t>CN2401900000000</t>
  </si>
  <si>
    <t>Dorchester County, MD</t>
  </si>
  <si>
    <t>CN2402100000000</t>
  </si>
  <si>
    <t>Frederick County, MD</t>
  </si>
  <si>
    <t>CN2402300000000</t>
  </si>
  <si>
    <t>Garrett County, MD</t>
  </si>
  <si>
    <t>CN2402500000000</t>
  </si>
  <si>
    <t>Harford County, MD</t>
  </si>
  <si>
    <t>CN2402700000000</t>
  </si>
  <si>
    <t>Howard County, MD</t>
  </si>
  <si>
    <t>CN2402900000000</t>
  </si>
  <si>
    <t>Kent County, MD</t>
  </si>
  <si>
    <t>CN2403100000000</t>
  </si>
  <si>
    <t>Montgomery County, MD</t>
  </si>
  <si>
    <t>CN2403300000000</t>
  </si>
  <si>
    <t>Prince George's County, MD</t>
  </si>
  <si>
    <t>CN2403500000000</t>
  </si>
  <si>
    <t>Queen Anne's County, MD</t>
  </si>
  <si>
    <t>CN2403700000000</t>
  </si>
  <si>
    <t>St. Mary's County, MD</t>
  </si>
  <si>
    <t>CN2403900000000</t>
  </si>
  <si>
    <t>Somerset County, MD</t>
  </si>
  <si>
    <t>CN2404100000000</t>
  </si>
  <si>
    <t>Talbot County, MD</t>
  </si>
  <si>
    <t>CN2404300000000</t>
  </si>
  <si>
    <t>Washington County, MD</t>
  </si>
  <si>
    <t>CN2404500000000</t>
  </si>
  <si>
    <t>Wicomico County, MD</t>
  </si>
  <si>
    <t>CN2404700000000</t>
  </si>
  <si>
    <t>Worcester County, MD</t>
  </si>
  <si>
    <t>CN2451000000000</t>
  </si>
  <si>
    <t>Baltimore city, MD</t>
  </si>
  <si>
    <t>CN2500100000000</t>
  </si>
  <si>
    <t>Barnstable County, MA</t>
  </si>
  <si>
    <t>CN2500300000000</t>
  </si>
  <si>
    <t>Berkshire County, MA</t>
  </si>
  <si>
    <t>CN2500500000000</t>
  </si>
  <si>
    <t>Bristol County, MA</t>
  </si>
  <si>
    <t>CN2500700000000</t>
  </si>
  <si>
    <t>Dukes County, MA</t>
  </si>
  <si>
    <t>CN2500900000000</t>
  </si>
  <si>
    <t>Essex County, MA</t>
  </si>
  <si>
    <t>CN2501100000000</t>
  </si>
  <si>
    <t>Franklin County, MA</t>
  </si>
  <si>
    <t>CN2501300000000</t>
  </si>
  <si>
    <t>Hampden County, MA</t>
  </si>
  <si>
    <t>CN2501500000000</t>
  </si>
  <si>
    <t>Hampshire County, MA</t>
  </si>
  <si>
    <t>CN2501700000000</t>
  </si>
  <si>
    <t>Middlesex County, MA</t>
  </si>
  <si>
    <t>CN2501900000000</t>
  </si>
  <si>
    <t>Nantucket County/town, MA</t>
  </si>
  <si>
    <t>CN2502100000000</t>
  </si>
  <si>
    <t>Norfolk County, MA</t>
  </si>
  <si>
    <t>CN2502300000000</t>
  </si>
  <si>
    <t>Plymouth County, MA</t>
  </si>
  <si>
    <t>CN2502500000000</t>
  </si>
  <si>
    <t>Suffolk County, MA</t>
  </si>
  <si>
    <t>CN2502700000000</t>
  </si>
  <si>
    <t>Worcester County, MA</t>
  </si>
  <si>
    <t>CN2600100000000</t>
  </si>
  <si>
    <t>Alcona County, MI</t>
  </si>
  <si>
    <t>CN2600300000000</t>
  </si>
  <si>
    <t>Alger County, MI</t>
  </si>
  <si>
    <t>CN2600500000000</t>
  </si>
  <si>
    <t>Allegan County, MI</t>
  </si>
  <si>
    <t>CN2600700000000</t>
  </si>
  <si>
    <t>Alpena County, MI</t>
  </si>
  <si>
    <t>CN2600900000000</t>
  </si>
  <si>
    <t>Antrim County, MI</t>
  </si>
  <si>
    <t>CN2601100000000</t>
  </si>
  <si>
    <t>Arenac County, MI</t>
  </si>
  <si>
    <t>CN2601300000000</t>
  </si>
  <si>
    <t>Baraga County, MI</t>
  </si>
  <si>
    <t>CN2601500000000</t>
  </si>
  <si>
    <t>Barry County, MI</t>
  </si>
  <si>
    <t>CN2601700000000</t>
  </si>
  <si>
    <t>Bay County, MI</t>
  </si>
  <si>
    <t>CN2601900000000</t>
  </si>
  <si>
    <t>Benzie County, MI</t>
  </si>
  <si>
    <t>CN2602100000000</t>
  </si>
  <si>
    <t>Berrien County, MI</t>
  </si>
  <si>
    <t>CN2602300000000</t>
  </si>
  <si>
    <t>Branch County, MI</t>
  </si>
  <si>
    <t>CN2602500000000</t>
  </si>
  <si>
    <t>Calhoun County, MI</t>
  </si>
  <si>
    <t>CN2602700000000</t>
  </si>
  <si>
    <t>Cass County, MI</t>
  </si>
  <si>
    <t>CN2602900000000</t>
  </si>
  <si>
    <t>Charlevoix County, MI</t>
  </si>
  <si>
    <t>CN2603100000000</t>
  </si>
  <si>
    <t>Cheboygan County, MI</t>
  </si>
  <si>
    <t>CN2603300000000</t>
  </si>
  <si>
    <t>Chippewa County, MI</t>
  </si>
  <si>
    <t>CN2603500000000</t>
  </si>
  <si>
    <t>Clare County, MI</t>
  </si>
  <si>
    <t>CN2603700000000</t>
  </si>
  <si>
    <t>Clinton County, MI</t>
  </si>
  <si>
    <t>CN2603900000000</t>
  </si>
  <si>
    <t>Crawford County, MI</t>
  </si>
  <si>
    <t>CN2604100000000</t>
  </si>
  <si>
    <t>Delta County, MI</t>
  </si>
  <si>
    <t>CN2604300000000</t>
  </si>
  <si>
    <t>Dickinson County, MI</t>
  </si>
  <si>
    <t>CN2604500000000</t>
  </si>
  <si>
    <t>Eaton County, MI</t>
  </si>
  <si>
    <t>CN2604700000000</t>
  </si>
  <si>
    <t>Emmet County, MI</t>
  </si>
  <si>
    <t>CN2604900000000</t>
  </si>
  <si>
    <t>Genesee County, MI</t>
  </si>
  <si>
    <t>CN2605100000000</t>
  </si>
  <si>
    <t>Gladwin County, MI</t>
  </si>
  <si>
    <t>CN2605300000000</t>
  </si>
  <si>
    <t>Gogebic County, MI</t>
  </si>
  <si>
    <t>CN2605500000000</t>
  </si>
  <si>
    <t>Grand Traverse County, MI</t>
  </si>
  <si>
    <t>CN2605700000000</t>
  </si>
  <si>
    <t>Gratiot County, MI</t>
  </si>
  <si>
    <t>CN2605900000000</t>
  </si>
  <si>
    <t>Hillsdale County, MI</t>
  </si>
  <si>
    <t>CN2606100000000</t>
  </si>
  <si>
    <t>Houghton County, MI</t>
  </si>
  <si>
    <t>CN2606300000000</t>
  </si>
  <si>
    <t>Huron County, MI</t>
  </si>
  <si>
    <t>CN2606500000000</t>
  </si>
  <si>
    <t>Ingham County, MI</t>
  </si>
  <si>
    <t>CN2606700000000</t>
  </si>
  <si>
    <t>Ionia County, MI</t>
  </si>
  <si>
    <t>CN2606900000000</t>
  </si>
  <si>
    <t>Iosco County, MI</t>
  </si>
  <si>
    <t>CN2607100000000</t>
  </si>
  <si>
    <t>Iron County, MI</t>
  </si>
  <si>
    <t>CN2607300000000</t>
  </si>
  <si>
    <t>Isabella County, MI</t>
  </si>
  <si>
    <t>CN2607500000000</t>
  </si>
  <si>
    <t>Jackson County, MI</t>
  </si>
  <si>
    <t>CN2607700000000</t>
  </si>
  <si>
    <t>Kalamazoo County, MI</t>
  </si>
  <si>
    <t>CN2607900000000</t>
  </si>
  <si>
    <t>Kalkaska County, MI</t>
  </si>
  <si>
    <t>CN2608100000000</t>
  </si>
  <si>
    <t>Kent County, MI</t>
  </si>
  <si>
    <t>CN2608300000000</t>
  </si>
  <si>
    <t>Keweenaw County, MI</t>
  </si>
  <si>
    <t>CN2608500000000</t>
  </si>
  <si>
    <t>Lake County, MI</t>
  </si>
  <si>
    <t>CN2608700000000</t>
  </si>
  <si>
    <t>Lapeer County, MI</t>
  </si>
  <si>
    <t>CN2608900000000</t>
  </si>
  <si>
    <t>Leelanau County, MI</t>
  </si>
  <si>
    <t>CN2609100000000</t>
  </si>
  <si>
    <t>Lenawee County, MI</t>
  </si>
  <si>
    <t>CN2609300000000</t>
  </si>
  <si>
    <t>Livingston County, MI</t>
  </si>
  <si>
    <t>CN2609500000000</t>
  </si>
  <si>
    <t>Luce County, MI</t>
  </si>
  <si>
    <t>CN2609700000000</t>
  </si>
  <si>
    <t>Mackinac County, MI</t>
  </si>
  <si>
    <t>CN2609900000000</t>
  </si>
  <si>
    <t>Macomb County, MI</t>
  </si>
  <si>
    <t>CN2610100000000</t>
  </si>
  <si>
    <t>Manistee County, MI</t>
  </si>
  <si>
    <t>CN2610300000000</t>
  </si>
  <si>
    <t>Marquette County, MI</t>
  </si>
  <si>
    <t>CN2610500000000</t>
  </si>
  <si>
    <t>Mason County, MI</t>
  </si>
  <si>
    <t>CN2610700000000</t>
  </si>
  <si>
    <t>Mecosta County, MI</t>
  </si>
  <si>
    <t>CN2610900000000</t>
  </si>
  <si>
    <t>Menominee County, MI</t>
  </si>
  <si>
    <t>CN2611100000000</t>
  </si>
  <si>
    <t>Midland County, MI</t>
  </si>
  <si>
    <t>CN2611300000000</t>
  </si>
  <si>
    <t>Missaukee County, MI</t>
  </si>
  <si>
    <t>CN2611500000000</t>
  </si>
  <si>
    <t>Monroe County, MI</t>
  </si>
  <si>
    <t>CN2611700000000</t>
  </si>
  <si>
    <t>Montcalm County, MI</t>
  </si>
  <si>
    <t>CN2611900000000</t>
  </si>
  <si>
    <t>Montmorency County, MI</t>
  </si>
  <si>
    <t>CN2612100000000</t>
  </si>
  <si>
    <t>Muskegon County, MI</t>
  </si>
  <si>
    <t>CN2612300000000</t>
  </si>
  <si>
    <t>Newaygo County, MI</t>
  </si>
  <si>
    <t>CN2612500000000</t>
  </si>
  <si>
    <t>Oakland County, MI</t>
  </si>
  <si>
    <t>CN2612700000000</t>
  </si>
  <si>
    <t>Oceana County, MI</t>
  </si>
  <si>
    <t>CN2612900000000</t>
  </si>
  <si>
    <t>Ogemaw County, MI</t>
  </si>
  <si>
    <t>CN2613100000000</t>
  </si>
  <si>
    <t>Ontonagon County, MI</t>
  </si>
  <si>
    <t>CN2613300000000</t>
  </si>
  <si>
    <t>Osceola County, MI</t>
  </si>
  <si>
    <t>CN2613500000000</t>
  </si>
  <si>
    <t>Oscoda County, MI</t>
  </si>
  <si>
    <t>CN2613700000000</t>
  </si>
  <si>
    <t>Otsego County, MI</t>
  </si>
  <si>
    <t>CN2613900000000</t>
  </si>
  <si>
    <t>Ottawa County, MI</t>
  </si>
  <si>
    <t>CN2614100000000</t>
  </si>
  <si>
    <t>Presque Isle County, MI</t>
  </si>
  <si>
    <t>CN2614300000000</t>
  </si>
  <si>
    <t>Roscommon County, MI</t>
  </si>
  <si>
    <t>CN2614500000000</t>
  </si>
  <si>
    <t>Saginaw County, MI</t>
  </si>
  <si>
    <t>CN2614700000000</t>
  </si>
  <si>
    <t>St. Clair County, MI</t>
  </si>
  <si>
    <t>CN2614900000000</t>
  </si>
  <si>
    <t>St. Joseph County, MI</t>
  </si>
  <si>
    <t>CN2615100000000</t>
  </si>
  <si>
    <t>Sanilac County, MI</t>
  </si>
  <si>
    <t>CN2615300000000</t>
  </si>
  <si>
    <t>Schoolcraft County, MI</t>
  </si>
  <si>
    <t>CN2615500000000</t>
  </si>
  <si>
    <t>Shiawassee County, MI</t>
  </si>
  <si>
    <t>CN2615700000000</t>
  </si>
  <si>
    <t>Tuscola County, MI</t>
  </si>
  <si>
    <t>CN2615900000000</t>
  </si>
  <si>
    <t>Van Buren County, MI</t>
  </si>
  <si>
    <t>CN2616100000000</t>
  </si>
  <si>
    <t>Washtenaw County, MI</t>
  </si>
  <si>
    <t>CN2616300000000</t>
  </si>
  <si>
    <t>Wayne County, MI</t>
  </si>
  <si>
    <t>CN2616500000000</t>
  </si>
  <si>
    <t>Wexford County, MI</t>
  </si>
  <si>
    <t>CN2700100000000</t>
  </si>
  <si>
    <t>Aitkin County, MN</t>
  </si>
  <si>
    <t>CN2700300000000</t>
  </si>
  <si>
    <t>Anoka County, MN</t>
  </si>
  <si>
    <t>CN2700500000000</t>
  </si>
  <si>
    <t>Becker County, MN</t>
  </si>
  <si>
    <t>CN2700700000000</t>
  </si>
  <si>
    <t>Beltrami County, MN</t>
  </si>
  <si>
    <t>CN2700900000000</t>
  </si>
  <si>
    <t>Benton County, MN</t>
  </si>
  <si>
    <t>CN2701100000000</t>
  </si>
  <si>
    <t>Big Stone County, MN</t>
  </si>
  <si>
    <t>CN2701300000000</t>
  </si>
  <si>
    <t>Blue Earth County, MN</t>
  </si>
  <si>
    <t>CN2701500000000</t>
  </si>
  <si>
    <t>Brown County, MN</t>
  </si>
  <si>
    <t>CN2701700000000</t>
  </si>
  <si>
    <t>Carlton County, MN</t>
  </si>
  <si>
    <t>CN2701900000000</t>
  </si>
  <si>
    <t>Carver County, MN</t>
  </si>
  <si>
    <t>CN2702100000000</t>
  </si>
  <si>
    <t>Cass County, MN</t>
  </si>
  <si>
    <t>CN2702300000000</t>
  </si>
  <si>
    <t>Chippewa County, MN</t>
  </si>
  <si>
    <t>CN2702500000000</t>
  </si>
  <si>
    <t>Chisago County, MN</t>
  </si>
  <si>
    <t>CN2702700000000</t>
  </si>
  <si>
    <t>Clay County, MN</t>
  </si>
  <si>
    <t>CN2702900000000</t>
  </si>
  <si>
    <t>Clearwater County, MN</t>
  </si>
  <si>
    <t>CN2703100000000</t>
  </si>
  <si>
    <t>Cook County, MN</t>
  </si>
  <si>
    <t>CN2703300000000</t>
  </si>
  <si>
    <t>Cottonwood County, MN</t>
  </si>
  <si>
    <t>CN2703500000000</t>
  </si>
  <si>
    <t>Crow Wing County, MN</t>
  </si>
  <si>
    <t>CN2703700000000</t>
  </si>
  <si>
    <t>Dakota County, MN</t>
  </si>
  <si>
    <t>CN2703900000000</t>
  </si>
  <si>
    <t>Dodge County, MN</t>
  </si>
  <si>
    <t>CN2704100000000</t>
  </si>
  <si>
    <t>Douglas County, MN</t>
  </si>
  <si>
    <t>CN2704300000000</t>
  </si>
  <si>
    <t>Faribault County, MN</t>
  </si>
  <si>
    <t>CN2704500000000</t>
  </si>
  <si>
    <t>Fillmore County, MN</t>
  </si>
  <si>
    <t>CN2704700000000</t>
  </si>
  <si>
    <t>Freeborn County, MN</t>
  </si>
  <si>
    <t>CN2704900000000</t>
  </si>
  <si>
    <t>Goodhue County, MN</t>
  </si>
  <si>
    <t>CN2705100000000</t>
  </si>
  <si>
    <t>Grant County, MN</t>
  </si>
  <si>
    <t>CN2705300000000</t>
  </si>
  <si>
    <t>Hennepin County, MN</t>
  </si>
  <si>
    <t>CN2705500000000</t>
  </si>
  <si>
    <t>Houston County, MN</t>
  </si>
  <si>
    <t>CN2705700000000</t>
  </si>
  <si>
    <t>Hubbard County, MN</t>
  </si>
  <si>
    <t>CN2705900000000</t>
  </si>
  <si>
    <t>Isanti County, MN</t>
  </si>
  <si>
    <t>CN2706100000000</t>
  </si>
  <si>
    <t>Itasca County, MN</t>
  </si>
  <si>
    <t>CN2706300000000</t>
  </si>
  <si>
    <t>Jackson County, MN</t>
  </si>
  <si>
    <t>CN2706500000000</t>
  </si>
  <si>
    <t>Kanabec County, MN</t>
  </si>
  <si>
    <t>CN2706700000000</t>
  </si>
  <si>
    <t>Kandiyohi County, MN</t>
  </si>
  <si>
    <t>CN2706900000000</t>
  </si>
  <si>
    <t>Kittson County, MN</t>
  </si>
  <si>
    <t>CN2707100000000</t>
  </si>
  <si>
    <t>Koochiching County, MN</t>
  </si>
  <si>
    <t>CN2707300000000</t>
  </si>
  <si>
    <t>Lac qui Parle County, MN</t>
  </si>
  <si>
    <t>CN2707500000000</t>
  </si>
  <si>
    <t>Lake County, MN</t>
  </si>
  <si>
    <t>CN2707700000000</t>
  </si>
  <si>
    <t>Lake of the Woods County, MN</t>
  </si>
  <si>
    <t>CN2707900000000</t>
  </si>
  <si>
    <t>Le Sueur County, MN</t>
  </si>
  <si>
    <t>CN2708100000000</t>
  </si>
  <si>
    <t>Lincoln County, MN</t>
  </si>
  <si>
    <t>CN2708300000000</t>
  </si>
  <si>
    <t>Lyon County, MN</t>
  </si>
  <si>
    <t>CN2708500000000</t>
  </si>
  <si>
    <t>McLeod County, MN</t>
  </si>
  <si>
    <t>CN2708700000000</t>
  </si>
  <si>
    <t>Mahnomen County, MN</t>
  </si>
  <si>
    <t>CN2708900000000</t>
  </si>
  <si>
    <t>Marshall County, MN</t>
  </si>
  <si>
    <t>CN2709100000000</t>
  </si>
  <si>
    <t>Martin County, MN</t>
  </si>
  <si>
    <t>CN2709300000000</t>
  </si>
  <si>
    <t>Meeker County, MN</t>
  </si>
  <si>
    <t>CN2709500000000</t>
  </si>
  <si>
    <t>Mille Lacs County, MN</t>
  </si>
  <si>
    <t>CN2709700000000</t>
  </si>
  <si>
    <t>Morrison County, MN</t>
  </si>
  <si>
    <t>CN2709900000000</t>
  </si>
  <si>
    <t>Mower County, MN</t>
  </si>
  <si>
    <t>CN2710100000000</t>
  </si>
  <si>
    <t>Murray County, MN</t>
  </si>
  <si>
    <t>CN2710300000000</t>
  </si>
  <si>
    <t>Nicollet County, MN</t>
  </si>
  <si>
    <t>CN2710500000000</t>
  </si>
  <si>
    <t>Nobles County, MN</t>
  </si>
  <si>
    <t>CN2710700000000</t>
  </si>
  <si>
    <t>Norman County, MN</t>
  </si>
  <si>
    <t>CN2710900000000</t>
  </si>
  <si>
    <t>Olmsted County, MN</t>
  </si>
  <si>
    <t>CN2711100000000</t>
  </si>
  <si>
    <t>Otter Tail County, MN</t>
  </si>
  <si>
    <t>CN2711300000000</t>
  </si>
  <si>
    <t>Pennington County, MN</t>
  </si>
  <si>
    <t>CN2711500000000</t>
  </si>
  <si>
    <t>Pine County, MN</t>
  </si>
  <si>
    <t>CN2711700000000</t>
  </si>
  <si>
    <t>Pipestone County, MN</t>
  </si>
  <si>
    <t>CN2711900000000</t>
  </si>
  <si>
    <t>Polk County, MN</t>
  </si>
  <si>
    <t>CN2712100000000</t>
  </si>
  <si>
    <t>Pope County, MN</t>
  </si>
  <si>
    <t>CN2712300000000</t>
  </si>
  <si>
    <t>Ramsey County, MN</t>
  </si>
  <si>
    <t>CN2712500000000</t>
  </si>
  <si>
    <t>Red Lake County, MN</t>
  </si>
  <si>
    <t>CN2712700000000</t>
  </si>
  <si>
    <t>Redwood County, MN</t>
  </si>
  <si>
    <t>CN2712900000000</t>
  </si>
  <si>
    <t>Renville County, MN</t>
  </si>
  <si>
    <t>CN2713100000000</t>
  </si>
  <si>
    <t>Rice County, MN</t>
  </si>
  <si>
    <t>CN2713300000000</t>
  </si>
  <si>
    <t>Rock County, MN</t>
  </si>
  <si>
    <t>CN2713500000000</t>
  </si>
  <si>
    <t>Roseau County, MN</t>
  </si>
  <si>
    <t>CN2713700000000</t>
  </si>
  <si>
    <t>St. Louis County, MN</t>
  </si>
  <si>
    <t>CN2713900000000</t>
  </si>
  <si>
    <t>Scott County, MN</t>
  </si>
  <si>
    <t>CN2714100000000</t>
  </si>
  <si>
    <t>Sherburne County, MN</t>
  </si>
  <si>
    <t>CN2714300000000</t>
  </si>
  <si>
    <t>Sibley County, MN</t>
  </si>
  <si>
    <t>CN2714500000000</t>
  </si>
  <si>
    <t>Stearns County, MN</t>
  </si>
  <si>
    <t>CN2714700000000</t>
  </si>
  <si>
    <t>Steele County, MN</t>
  </si>
  <si>
    <t>CN2714900000000</t>
  </si>
  <si>
    <t>Stevens County, MN</t>
  </si>
  <si>
    <t>CN2715100000000</t>
  </si>
  <si>
    <t>Swift County, MN</t>
  </si>
  <si>
    <t>CN2715300000000</t>
  </si>
  <si>
    <t>Todd County, MN</t>
  </si>
  <si>
    <t>CN2715500000000</t>
  </si>
  <si>
    <t>Traverse County, MN</t>
  </si>
  <si>
    <t>CN2715700000000</t>
  </si>
  <si>
    <t>Wabasha County, MN</t>
  </si>
  <si>
    <t>CN2715900000000</t>
  </si>
  <si>
    <t>Wadena County, MN</t>
  </si>
  <si>
    <t>CN2716100000000</t>
  </si>
  <si>
    <t>Waseca County, MN</t>
  </si>
  <si>
    <t>CN2716300000000</t>
  </si>
  <si>
    <t>Washington County, MN</t>
  </si>
  <si>
    <t>CN2716500000000</t>
  </si>
  <si>
    <t>Watonwan County, MN</t>
  </si>
  <si>
    <t>CN2716700000000</t>
  </si>
  <si>
    <t>Wilkin County, MN</t>
  </si>
  <si>
    <t>CN2716900000000</t>
  </si>
  <si>
    <t>Winona County, MN</t>
  </si>
  <si>
    <t>CN2717100000000</t>
  </si>
  <si>
    <t>Wright County, MN</t>
  </si>
  <si>
    <t>CN2717300000000</t>
  </si>
  <si>
    <t>Yellow Medicine County, MN</t>
  </si>
  <si>
    <t>CN2800100000000</t>
  </si>
  <si>
    <t>Adams County, MS</t>
  </si>
  <si>
    <t>CN2800300000000</t>
  </si>
  <si>
    <t>Alcorn County, MS</t>
  </si>
  <si>
    <t>CN2800500000000</t>
  </si>
  <si>
    <t>Amite County, MS</t>
  </si>
  <si>
    <t>CN2800700000000</t>
  </si>
  <si>
    <t>Attala County, MS</t>
  </si>
  <si>
    <t>CN2800900000000</t>
  </si>
  <si>
    <t>Benton County, MS</t>
  </si>
  <si>
    <t>CN2801100000000</t>
  </si>
  <si>
    <t>Bolivar County, MS</t>
  </si>
  <si>
    <t>CN2801300000000</t>
  </si>
  <si>
    <t>Calhoun County, MS</t>
  </si>
  <si>
    <t>CN2801500000000</t>
  </si>
  <si>
    <t>Carroll County, MS</t>
  </si>
  <si>
    <t>CN2801700000000</t>
  </si>
  <si>
    <t>Chickasaw County, MS</t>
  </si>
  <si>
    <t>CN2801900000000</t>
  </si>
  <si>
    <t>Choctaw County, MS</t>
  </si>
  <si>
    <t>CN2802100000000</t>
  </si>
  <si>
    <t>Claiborne County, MS</t>
  </si>
  <si>
    <t>CN2802300000000</t>
  </si>
  <si>
    <t>Clarke County, MS</t>
  </si>
  <si>
    <t>CN2802500000000</t>
  </si>
  <si>
    <t>Clay County, MS</t>
  </si>
  <si>
    <t>CN2802700000000</t>
  </si>
  <si>
    <t>Coahoma County, MS</t>
  </si>
  <si>
    <t>CN2802900000000</t>
  </si>
  <si>
    <t>Copiah County, MS</t>
  </si>
  <si>
    <t>CN2803100000000</t>
  </si>
  <si>
    <t>Covington County, MS</t>
  </si>
  <si>
    <t>CN2803300000000</t>
  </si>
  <si>
    <t>DeSoto County, MS</t>
  </si>
  <si>
    <t>CN2803500000000</t>
  </si>
  <si>
    <t>Forrest County, MS</t>
  </si>
  <si>
    <t>CN2803700000000</t>
  </si>
  <si>
    <t>Franklin County, MS</t>
  </si>
  <si>
    <t>CN2803900000000</t>
  </si>
  <si>
    <t>George County, MS</t>
  </si>
  <si>
    <t>CN2804100000000</t>
  </si>
  <si>
    <t>Greene County, MS</t>
  </si>
  <si>
    <t>CN2804300000000</t>
  </si>
  <si>
    <t>Grenada County, MS</t>
  </si>
  <si>
    <t>CN2804500000000</t>
  </si>
  <si>
    <t>Hancock County, MS</t>
  </si>
  <si>
    <t>CN2804700000000</t>
  </si>
  <si>
    <t>Harrison County, MS</t>
  </si>
  <si>
    <t>CN2804900000000</t>
  </si>
  <si>
    <t>Hinds County, MS</t>
  </si>
  <si>
    <t>CN2805100000000</t>
  </si>
  <si>
    <t>Holmes County, MS</t>
  </si>
  <si>
    <t>CN2805300000000</t>
  </si>
  <si>
    <t>Humphreys County, MS</t>
  </si>
  <si>
    <t>CN2805500000000</t>
  </si>
  <si>
    <t>Issaquena County, MS</t>
  </si>
  <si>
    <t>CN2805700000000</t>
  </si>
  <si>
    <t>Itawamba County, MS</t>
  </si>
  <si>
    <t>CN2805900000000</t>
  </si>
  <si>
    <t>Jackson County, MS</t>
  </si>
  <si>
    <t>CN2806100000000</t>
  </si>
  <si>
    <t>Jasper County, MS</t>
  </si>
  <si>
    <t>CN2806300000000</t>
  </si>
  <si>
    <t>Jefferson County, MS</t>
  </si>
  <si>
    <t>CN2806500000000</t>
  </si>
  <si>
    <t>Jefferson Davis County, MS</t>
  </si>
  <si>
    <t>CN2806700000000</t>
  </si>
  <si>
    <t>Jones County, MS</t>
  </si>
  <si>
    <t>CN2806900000000</t>
  </si>
  <si>
    <t>Kemper County, MS</t>
  </si>
  <si>
    <t>CN2807100000000</t>
  </si>
  <si>
    <t>Lafayette County, MS</t>
  </si>
  <si>
    <t>CN2807300000000</t>
  </si>
  <si>
    <t>Lamar County, MS</t>
  </si>
  <si>
    <t>CN2807500000000</t>
  </si>
  <si>
    <t>Lauderdale County, MS</t>
  </si>
  <si>
    <t>CN2807700000000</t>
  </si>
  <si>
    <t>Lawrence County, MS</t>
  </si>
  <si>
    <t>CN2807900000000</t>
  </si>
  <si>
    <t>Leake County, MS</t>
  </si>
  <si>
    <t>CN2808100000000</t>
  </si>
  <si>
    <t>Lee County, MS</t>
  </si>
  <si>
    <t>CN2808300000000</t>
  </si>
  <si>
    <t>Leflore County, MS</t>
  </si>
  <si>
    <t>CN2808500000000</t>
  </si>
  <si>
    <t>Lincoln County, MS</t>
  </si>
  <si>
    <t>CN2808700000000</t>
  </si>
  <si>
    <t>Lowndes County, MS</t>
  </si>
  <si>
    <t>CN2808900000000</t>
  </si>
  <si>
    <t>Madison County, MS</t>
  </si>
  <si>
    <t>CN2809100000000</t>
  </si>
  <si>
    <t>Marion County, MS</t>
  </si>
  <si>
    <t>CN2809300000000</t>
  </si>
  <si>
    <t>Marshall County, MS</t>
  </si>
  <si>
    <t>CN2809500000000</t>
  </si>
  <si>
    <t>Monroe County, MS</t>
  </si>
  <si>
    <t>CN2809700000000</t>
  </si>
  <si>
    <t>Montgomery County, MS</t>
  </si>
  <si>
    <t>CN2809900000000</t>
  </si>
  <si>
    <t>Neshoba County, MS</t>
  </si>
  <si>
    <t>CN2810100000000</t>
  </si>
  <si>
    <t>Newton County, MS</t>
  </si>
  <si>
    <t>CN2810300000000</t>
  </si>
  <si>
    <t>Noxubee County, MS</t>
  </si>
  <si>
    <t>CN2810500000000</t>
  </si>
  <si>
    <t>Oktibbeha County, MS</t>
  </si>
  <si>
    <t>CN2810700000000</t>
  </si>
  <si>
    <t>Panola County, MS</t>
  </si>
  <si>
    <t>CN2810900000000</t>
  </si>
  <si>
    <t>Pearl River County, MS</t>
  </si>
  <si>
    <t>CN2811100000000</t>
  </si>
  <si>
    <t>Perry County, MS</t>
  </si>
  <si>
    <t>CN2811300000000</t>
  </si>
  <si>
    <t>Pike County, MS</t>
  </si>
  <si>
    <t>CN2811500000000</t>
  </si>
  <si>
    <t>Pontotoc County, MS</t>
  </si>
  <si>
    <t>CN2811700000000</t>
  </si>
  <si>
    <t>Prentiss County, MS</t>
  </si>
  <si>
    <t>CN2811900000000</t>
  </si>
  <si>
    <t>Quitman County, MS</t>
  </si>
  <si>
    <t>CN2812100000000</t>
  </si>
  <si>
    <t>Rankin County, MS</t>
  </si>
  <si>
    <t>CN2812300000000</t>
  </si>
  <si>
    <t>Scott County, MS</t>
  </si>
  <si>
    <t>CN2812500000000</t>
  </si>
  <si>
    <t>Sharkey County, MS</t>
  </si>
  <si>
    <t>CN2812700000000</t>
  </si>
  <si>
    <t>Simpson County, MS</t>
  </si>
  <si>
    <t>CN2812900000000</t>
  </si>
  <si>
    <t>Smith County, MS</t>
  </si>
  <si>
    <t>CN2813100000000</t>
  </si>
  <si>
    <t>Stone County, MS</t>
  </si>
  <si>
    <t>CN2813300000000</t>
  </si>
  <si>
    <t>Sunflower County, MS</t>
  </si>
  <si>
    <t>CN2813500000000</t>
  </si>
  <si>
    <t>Tallahatchie County, MS</t>
  </si>
  <si>
    <t>CN2813700000000</t>
  </si>
  <si>
    <t>Tate County, MS</t>
  </si>
  <si>
    <t>CN2813900000000</t>
  </si>
  <si>
    <t>Tippah County, MS</t>
  </si>
  <si>
    <t>CN2814100000000</t>
  </si>
  <si>
    <t>Tishomingo County, MS</t>
  </si>
  <si>
    <t>CN2814300000000</t>
  </si>
  <si>
    <t>Tunica County, MS</t>
  </si>
  <si>
    <t>CN2814500000000</t>
  </si>
  <si>
    <t>Union County, MS</t>
  </si>
  <si>
    <t>CN2814700000000</t>
  </si>
  <si>
    <t>Walthall County, MS</t>
  </si>
  <si>
    <t>CN2814900000000</t>
  </si>
  <si>
    <t>Warren County, MS</t>
  </si>
  <si>
    <t>CN2815100000000</t>
  </si>
  <si>
    <t>Washington County, MS</t>
  </si>
  <si>
    <t>CN2815300000000</t>
  </si>
  <si>
    <t>Wayne County, MS</t>
  </si>
  <si>
    <t>CN2815500000000</t>
  </si>
  <si>
    <t>Webster County, MS</t>
  </si>
  <si>
    <t>CN2815700000000</t>
  </si>
  <si>
    <t>Wilkinson County, MS</t>
  </si>
  <si>
    <t>CN2815900000000</t>
  </si>
  <si>
    <t>Winston County, MS</t>
  </si>
  <si>
    <t>CN2816100000000</t>
  </si>
  <si>
    <t>Yalobusha County, MS</t>
  </si>
  <si>
    <t>CN2816300000000</t>
  </si>
  <si>
    <t>Yazoo County, MS</t>
  </si>
  <si>
    <t>CN2900100000000</t>
  </si>
  <si>
    <t>Adair County, MO</t>
  </si>
  <si>
    <t>CN2900300000000</t>
  </si>
  <si>
    <t>Andrew County, MO</t>
  </si>
  <si>
    <t>CN2900500000000</t>
  </si>
  <si>
    <t>Atchison County, MO</t>
  </si>
  <si>
    <t>CN2900700000000</t>
  </si>
  <si>
    <t>Audrain County, MO</t>
  </si>
  <si>
    <t>CN2900900000000</t>
  </si>
  <si>
    <t>Barry County, MO</t>
  </si>
  <si>
    <t>CN2901100000000</t>
  </si>
  <si>
    <t>Barton County, MO</t>
  </si>
  <si>
    <t>CN2901300000000</t>
  </si>
  <si>
    <t>Bates County, MO</t>
  </si>
  <si>
    <t>CN2901500000000</t>
  </si>
  <si>
    <t>Benton County, MO</t>
  </si>
  <si>
    <t>CN2901700000000</t>
  </si>
  <si>
    <t>Bollinger County, MO</t>
  </si>
  <si>
    <t>CN2901900000000</t>
  </si>
  <si>
    <t>Boone County, MO</t>
  </si>
  <si>
    <t>CN2902100000000</t>
  </si>
  <si>
    <t>Buchanan County, MO</t>
  </si>
  <si>
    <t>CN2902300000000</t>
  </si>
  <si>
    <t>Butler County, MO</t>
  </si>
  <si>
    <t>CN2902500000000</t>
  </si>
  <si>
    <t>Caldwell County, MO</t>
  </si>
  <si>
    <t>CN2902700000000</t>
  </si>
  <si>
    <t>Callaway County, MO</t>
  </si>
  <si>
    <t>CN2902900000000</t>
  </si>
  <si>
    <t>Camden County, MO</t>
  </si>
  <si>
    <t>CN2903100000000</t>
  </si>
  <si>
    <t>Cape Girardeau County, MO</t>
  </si>
  <si>
    <t>CN2903300000000</t>
  </si>
  <si>
    <t>Carroll County, MO</t>
  </si>
  <si>
    <t>CN2903500000000</t>
  </si>
  <si>
    <t>Carter County, MO</t>
  </si>
  <si>
    <t>CN2903700000000</t>
  </si>
  <si>
    <t>Cass County, MO</t>
  </si>
  <si>
    <t>CN2903900000000</t>
  </si>
  <si>
    <t>Cedar County, MO</t>
  </si>
  <si>
    <t>CN2904100000000</t>
  </si>
  <si>
    <t>Chariton County, MO</t>
  </si>
  <si>
    <t>CN2904300000000</t>
  </si>
  <si>
    <t>Christian County, MO</t>
  </si>
  <si>
    <t>CN2904500000000</t>
  </si>
  <si>
    <t>Clark County, MO</t>
  </si>
  <si>
    <t>CN2904700000000</t>
  </si>
  <si>
    <t>Clay County, MO</t>
  </si>
  <si>
    <t>CN2904900000000</t>
  </si>
  <si>
    <t>Clinton County, MO</t>
  </si>
  <si>
    <t>CN2905100000000</t>
  </si>
  <si>
    <t>Cole County, MO</t>
  </si>
  <si>
    <t>CN2905300000000</t>
  </si>
  <si>
    <t>Cooper County, MO</t>
  </si>
  <si>
    <t>CN2905500000000</t>
  </si>
  <si>
    <t>Crawford County, MO</t>
  </si>
  <si>
    <t>CN2905700000000</t>
  </si>
  <si>
    <t>Dade County, MO</t>
  </si>
  <si>
    <t>CN2905900000000</t>
  </si>
  <si>
    <t>Dallas County, MO</t>
  </si>
  <si>
    <t>CN2906100000000</t>
  </si>
  <si>
    <t>Daviess County, MO</t>
  </si>
  <si>
    <t>CN2906300000000</t>
  </si>
  <si>
    <t>DeKalb County, MO</t>
  </si>
  <si>
    <t>CN2906500000000</t>
  </si>
  <si>
    <t>Dent County, MO</t>
  </si>
  <si>
    <t>CN2906700000000</t>
  </si>
  <si>
    <t>Douglas County, MO</t>
  </si>
  <si>
    <t>CN2906900000000</t>
  </si>
  <si>
    <t>Dunklin County, MO</t>
  </si>
  <si>
    <t>CN2907100000000</t>
  </si>
  <si>
    <t>Franklin County, MO</t>
  </si>
  <si>
    <t>CN2907300000000</t>
  </si>
  <si>
    <t>Gasconade County, MO</t>
  </si>
  <si>
    <t>CN2907500000000</t>
  </si>
  <si>
    <t>Gentry County, MO</t>
  </si>
  <si>
    <t>CN2907700000000</t>
  </si>
  <si>
    <t>Greene County, MO</t>
  </si>
  <si>
    <t>CN2907900000000</t>
  </si>
  <si>
    <t>Grundy County, MO</t>
  </si>
  <si>
    <t>CN2908100000000</t>
  </si>
  <si>
    <t>Harrison County, MO</t>
  </si>
  <si>
    <t>CN2908300000000</t>
  </si>
  <si>
    <t>Henry County, MO</t>
  </si>
  <si>
    <t>CN2908500000000</t>
  </si>
  <si>
    <t>Hickory County, MO</t>
  </si>
  <si>
    <t>CN2908700000000</t>
  </si>
  <si>
    <t>Holt County, MO</t>
  </si>
  <si>
    <t>CN2908900000000</t>
  </si>
  <si>
    <t>Howard County, MO</t>
  </si>
  <si>
    <t>CN2909100000000</t>
  </si>
  <si>
    <t>Howell County, MO</t>
  </si>
  <si>
    <t>CN2909300000000</t>
  </si>
  <si>
    <t>Iron County, MO</t>
  </si>
  <si>
    <t>CN2909500000000</t>
  </si>
  <si>
    <t>Jackson County, MO</t>
  </si>
  <si>
    <t>CN2909700000000</t>
  </si>
  <si>
    <t>Jasper County, MO</t>
  </si>
  <si>
    <t>CN2909900000000</t>
  </si>
  <si>
    <t>Jefferson County, MO</t>
  </si>
  <si>
    <t>CN2910100000000</t>
  </si>
  <si>
    <t>Johnson County, MO</t>
  </si>
  <si>
    <t>CN2910300000000</t>
  </si>
  <si>
    <t>Knox County, MO</t>
  </si>
  <si>
    <t>CN2910500000000</t>
  </si>
  <si>
    <t>Laclede County, MO</t>
  </si>
  <si>
    <t>CN2910700000000</t>
  </si>
  <si>
    <t>Lafayette County, MO</t>
  </si>
  <si>
    <t>CN2910900000000</t>
  </si>
  <si>
    <t>Lawrence County, MO</t>
  </si>
  <si>
    <t>CN2911100000000</t>
  </si>
  <si>
    <t>Lewis County, MO</t>
  </si>
  <si>
    <t>CN2911300000000</t>
  </si>
  <si>
    <t>Lincoln County, MO</t>
  </si>
  <si>
    <t>CN2911500000000</t>
  </si>
  <si>
    <t>Linn County, MO</t>
  </si>
  <si>
    <t>CN2911700000000</t>
  </si>
  <si>
    <t>Livingston County, MO</t>
  </si>
  <si>
    <t>CN2911900000000</t>
  </si>
  <si>
    <t>McDonald County, MO</t>
  </si>
  <si>
    <t>CN2912100000000</t>
  </si>
  <si>
    <t>Macon County, MO</t>
  </si>
  <si>
    <t>CN2912300000000</t>
  </si>
  <si>
    <t>Madison County, MO</t>
  </si>
  <si>
    <t>CN2912500000000</t>
  </si>
  <si>
    <t>Maries County, MO</t>
  </si>
  <si>
    <t>CN2912700000000</t>
  </si>
  <si>
    <t>Marion County, MO</t>
  </si>
  <si>
    <t>CN2912900000000</t>
  </si>
  <si>
    <t>Mercer County, MO</t>
  </si>
  <si>
    <t>CN2913100000000</t>
  </si>
  <si>
    <t>Miller County, MO</t>
  </si>
  <si>
    <t>CN2913300000000</t>
  </si>
  <si>
    <t>Mississippi County, MO</t>
  </si>
  <si>
    <t>CN2913500000000</t>
  </si>
  <si>
    <t>Moniteau County, MO</t>
  </si>
  <si>
    <t>CN2913700000000</t>
  </si>
  <si>
    <t>Monroe County, MO</t>
  </si>
  <si>
    <t>CN2913900000000</t>
  </si>
  <si>
    <t>Montgomery County, MO</t>
  </si>
  <si>
    <t>CN2914100000000</t>
  </si>
  <si>
    <t>Morgan County, MO</t>
  </si>
  <si>
    <t>CN2914300000000</t>
  </si>
  <si>
    <t>New Madrid County, MO</t>
  </si>
  <si>
    <t>CN2914500000000</t>
  </si>
  <si>
    <t>Newton County, MO</t>
  </si>
  <si>
    <t>CN2914700000000</t>
  </si>
  <si>
    <t>Nodaway County, MO</t>
  </si>
  <si>
    <t>CN2914900000000</t>
  </si>
  <si>
    <t>Oregon County, MO</t>
  </si>
  <si>
    <t>CN2915100000000</t>
  </si>
  <si>
    <t>Osage County, MO</t>
  </si>
  <si>
    <t>CN2915300000000</t>
  </si>
  <si>
    <t>Ozark County, MO</t>
  </si>
  <si>
    <t>CN2915500000000</t>
  </si>
  <si>
    <t>Pemiscot County, MO</t>
  </si>
  <si>
    <t>CN2915700000000</t>
  </si>
  <si>
    <t>Perry County, MO</t>
  </si>
  <si>
    <t>CN2915900000000</t>
  </si>
  <si>
    <t>Pettis County, MO</t>
  </si>
  <si>
    <t>CN2916100000000</t>
  </si>
  <si>
    <t>Phelps County, MO</t>
  </si>
  <si>
    <t>CN2916300000000</t>
  </si>
  <si>
    <t>Pike County, MO</t>
  </si>
  <si>
    <t>CN2916500000000</t>
  </si>
  <si>
    <t>Platte County, MO</t>
  </si>
  <si>
    <t>CN2916700000000</t>
  </si>
  <si>
    <t>Polk County, MO</t>
  </si>
  <si>
    <t>CN2916900000000</t>
  </si>
  <si>
    <t>Pulaski County, MO</t>
  </si>
  <si>
    <t>CN2917100000000</t>
  </si>
  <si>
    <t>Putnam County, MO</t>
  </si>
  <si>
    <t>CN2917300000000</t>
  </si>
  <si>
    <t>Ralls County, MO</t>
  </si>
  <si>
    <t>CN2917500000000</t>
  </si>
  <si>
    <t>Randolph County, MO</t>
  </si>
  <si>
    <t>CN2917700000000</t>
  </si>
  <si>
    <t>Ray County, MO</t>
  </si>
  <si>
    <t>CN2917900000000</t>
  </si>
  <si>
    <t>Reynolds County, MO</t>
  </si>
  <si>
    <t>CN2918100000000</t>
  </si>
  <si>
    <t>Ripley County, MO</t>
  </si>
  <si>
    <t>CN2918300000000</t>
  </si>
  <si>
    <t>St. Charles County, MO</t>
  </si>
  <si>
    <t>CN2918500000000</t>
  </si>
  <si>
    <t>St. Clair County, MO</t>
  </si>
  <si>
    <t>CN2918600000000</t>
  </si>
  <si>
    <t>Ste. Genevieve County, MO</t>
  </si>
  <si>
    <t>CN2918700000000</t>
  </si>
  <si>
    <t>St. Francois County, MO</t>
  </si>
  <si>
    <t>CN2918900000000</t>
  </si>
  <si>
    <t>St. Louis County, MO</t>
  </si>
  <si>
    <t>CN2919500000000</t>
  </si>
  <si>
    <t>Saline County, MO</t>
  </si>
  <si>
    <t>CN2919700000000</t>
  </si>
  <si>
    <t>Schuyler County, MO</t>
  </si>
  <si>
    <t>CN2919900000000</t>
  </si>
  <si>
    <t>Scotland County, MO</t>
  </si>
  <si>
    <t>CN2920100000000</t>
  </si>
  <si>
    <t>Scott County, MO</t>
  </si>
  <si>
    <t>CN2920300000000</t>
  </si>
  <si>
    <t>Shannon County, MO</t>
  </si>
  <si>
    <t>CN2920500000000</t>
  </si>
  <si>
    <t>Shelby County, MO</t>
  </si>
  <si>
    <t>CN2920700000000</t>
  </si>
  <si>
    <t>Stoddard County, MO</t>
  </si>
  <si>
    <t>CN2920900000000</t>
  </si>
  <si>
    <t>Stone County, MO</t>
  </si>
  <si>
    <t>CN2921100000000</t>
  </si>
  <si>
    <t>Sullivan County, MO</t>
  </si>
  <si>
    <t>CN2921300000000</t>
  </si>
  <si>
    <t>Taney County, MO</t>
  </si>
  <si>
    <t>CN2921500000000</t>
  </si>
  <si>
    <t>Texas County, MO</t>
  </si>
  <si>
    <t>CN2921700000000</t>
  </si>
  <si>
    <t>Vernon County, MO</t>
  </si>
  <si>
    <t>CN2921900000000</t>
  </si>
  <si>
    <t>Warren County, MO</t>
  </si>
  <si>
    <t>CN2922100000000</t>
  </si>
  <si>
    <t>Washington County, MO</t>
  </si>
  <si>
    <t>CN2922300000000</t>
  </si>
  <si>
    <t>Wayne County, MO</t>
  </si>
  <si>
    <t>CN2922500000000</t>
  </si>
  <si>
    <t>Webster County, MO</t>
  </si>
  <si>
    <t>CN2922700000000</t>
  </si>
  <si>
    <t>Worth County, MO</t>
  </si>
  <si>
    <t>CN2922900000000</t>
  </si>
  <si>
    <t>Wright County, MO</t>
  </si>
  <si>
    <t>CN2951000000000</t>
  </si>
  <si>
    <t>St. Louis city, MO</t>
  </si>
  <si>
    <t>CN3000100000000</t>
  </si>
  <si>
    <t>Beaverhead County, MT</t>
  </si>
  <si>
    <t>CN3000300000000</t>
  </si>
  <si>
    <t>Big Horn County, MT</t>
  </si>
  <si>
    <t>CN3000500000000</t>
  </si>
  <si>
    <t>Blaine County, MT</t>
  </si>
  <si>
    <t>CN3000700000000</t>
  </si>
  <si>
    <t>Broadwater County, MT</t>
  </si>
  <si>
    <t>CN3000900000000</t>
  </si>
  <si>
    <t>Carbon County, MT</t>
  </si>
  <si>
    <t>CN3001100000000</t>
  </si>
  <si>
    <t>Carter County, MT</t>
  </si>
  <si>
    <t>CN3001300000000</t>
  </si>
  <si>
    <t>Cascade County, MT</t>
  </si>
  <si>
    <t>CN3001500000000</t>
  </si>
  <si>
    <t>Chouteau County, MT</t>
  </si>
  <si>
    <t>CN3001700000000</t>
  </si>
  <si>
    <t>Custer County, MT</t>
  </si>
  <si>
    <t>CN3001900000000</t>
  </si>
  <si>
    <t>Daniels County, MT</t>
  </si>
  <si>
    <t>CN3002100000000</t>
  </si>
  <si>
    <t>Dawson County, MT</t>
  </si>
  <si>
    <t>CN3002300000000</t>
  </si>
  <si>
    <t>Deer Lodge County, MT</t>
  </si>
  <si>
    <t>CN3002500000000</t>
  </si>
  <si>
    <t>Fallon County, MT</t>
  </si>
  <si>
    <t>CN3002700000000</t>
  </si>
  <si>
    <t>Fergus County, MT</t>
  </si>
  <si>
    <t>CN3002900000000</t>
  </si>
  <si>
    <t>Flathead County, MT</t>
  </si>
  <si>
    <t>CN3003100000000</t>
  </si>
  <si>
    <t>Gallatin County, MT</t>
  </si>
  <si>
    <t>CN3003300000000</t>
  </si>
  <si>
    <t>Garfield County, MT</t>
  </si>
  <si>
    <t>CN3003500000000</t>
  </si>
  <si>
    <t>Glacier County, MT</t>
  </si>
  <si>
    <t>CN3003700000000</t>
  </si>
  <si>
    <t>Golden Valley County, MT</t>
  </si>
  <si>
    <t>CN3003900000000</t>
  </si>
  <si>
    <t>Granite County, MT</t>
  </si>
  <si>
    <t>CN3004100000000</t>
  </si>
  <si>
    <t>Hill County, MT</t>
  </si>
  <si>
    <t>CN3004300000000</t>
  </si>
  <si>
    <t>Jefferson County, MT</t>
  </si>
  <si>
    <t>CN3004500000000</t>
  </si>
  <si>
    <t>Judith Basin County, MT</t>
  </si>
  <si>
    <t>CN3004700000000</t>
  </si>
  <si>
    <t>Lake County, MT</t>
  </si>
  <si>
    <t>CN3004900000000</t>
  </si>
  <si>
    <t>Lewis and Clark County, MT</t>
  </si>
  <si>
    <t>CN3005100000000</t>
  </si>
  <si>
    <t>Liberty County, MT</t>
  </si>
  <si>
    <t>CN3005300000000</t>
  </si>
  <si>
    <t>Lincoln County, MT</t>
  </si>
  <si>
    <t>CN3005500000000</t>
  </si>
  <si>
    <t>McCone County, MT</t>
  </si>
  <si>
    <t>CN3005700000000</t>
  </si>
  <si>
    <t>Madison County, MT</t>
  </si>
  <si>
    <t>CN3005900000000</t>
  </si>
  <si>
    <t>Meagher County, MT</t>
  </si>
  <si>
    <t>CN3006100000000</t>
  </si>
  <si>
    <t>Mineral County, MT</t>
  </si>
  <si>
    <t>CN3006300000000</t>
  </si>
  <si>
    <t>Missoula County, MT</t>
  </si>
  <si>
    <t>CN3006500000000</t>
  </si>
  <si>
    <t>Musselshell County, MT</t>
  </si>
  <si>
    <t>CN3006700000000</t>
  </si>
  <si>
    <t>Park County, MT</t>
  </si>
  <si>
    <t>CN3006900000000</t>
  </si>
  <si>
    <t>Petroleum County, MT</t>
  </si>
  <si>
    <t>CN3007100000000</t>
  </si>
  <si>
    <t>Phillips County, MT</t>
  </si>
  <si>
    <t>CN3007300000000</t>
  </si>
  <si>
    <t>Pondera County, MT</t>
  </si>
  <si>
    <t>CN3007500000000</t>
  </si>
  <si>
    <t>Powder River County, MT</t>
  </si>
  <si>
    <t>CN3007700000000</t>
  </si>
  <si>
    <t>Powell County, MT</t>
  </si>
  <si>
    <t>CN3007900000000</t>
  </si>
  <si>
    <t>Prairie County, MT</t>
  </si>
  <si>
    <t>CN3008100000000</t>
  </si>
  <si>
    <t>Ravalli County, MT</t>
  </si>
  <si>
    <t>CN3008300000000</t>
  </si>
  <si>
    <t>Richland County, MT</t>
  </si>
  <si>
    <t>CN3008500000000</t>
  </si>
  <si>
    <t>Roosevelt County, MT</t>
  </si>
  <si>
    <t>CN3008700000000</t>
  </si>
  <si>
    <t>Rosebud County, MT</t>
  </si>
  <si>
    <t>CN3008900000000</t>
  </si>
  <si>
    <t>Sanders County, MT</t>
  </si>
  <si>
    <t>CN3009100000000</t>
  </si>
  <si>
    <t>Sheridan County, MT</t>
  </si>
  <si>
    <t>CN3009300000000</t>
  </si>
  <si>
    <t>Silver Bow County, MT</t>
  </si>
  <si>
    <t>CN3009500000000</t>
  </si>
  <si>
    <t>Stillwater County, MT</t>
  </si>
  <si>
    <t>CN3009700000000</t>
  </si>
  <si>
    <t>Sweet Grass County, MT</t>
  </si>
  <si>
    <t>CN3009900000000</t>
  </si>
  <si>
    <t>Teton County, MT</t>
  </si>
  <si>
    <t>CN3010100000000</t>
  </si>
  <si>
    <t>Toole County, MT</t>
  </si>
  <si>
    <t>CN3010300000000</t>
  </si>
  <si>
    <t>Treasure County, MT</t>
  </si>
  <si>
    <t>CN3010500000000</t>
  </si>
  <si>
    <t>Valley County, MT</t>
  </si>
  <si>
    <t>CN3010700000000</t>
  </si>
  <si>
    <t>Wheatland County, MT</t>
  </si>
  <si>
    <t>CN3010900000000</t>
  </si>
  <si>
    <t>Wibaux County, MT</t>
  </si>
  <si>
    <t>CN3011100000000</t>
  </si>
  <si>
    <t>Yellowstone County, MT</t>
  </si>
  <si>
    <t>CN3100100000000</t>
  </si>
  <si>
    <t>Adams County, NE</t>
  </si>
  <si>
    <t>CN3100300000000</t>
  </si>
  <si>
    <t>Antelope County, NE</t>
  </si>
  <si>
    <t>CN3100500000000</t>
  </si>
  <si>
    <t>Arthur County, NE</t>
  </si>
  <si>
    <t>CN3100700000000</t>
  </si>
  <si>
    <t>Banner County, NE</t>
  </si>
  <si>
    <t>CN3100900000000</t>
  </si>
  <si>
    <t>Blaine County, NE</t>
  </si>
  <si>
    <t>CN3101100000000</t>
  </si>
  <si>
    <t>Boone County, NE</t>
  </si>
  <si>
    <t>CN3101300000000</t>
  </si>
  <si>
    <t>Box Butte County, NE</t>
  </si>
  <si>
    <t>CN3101500000000</t>
  </si>
  <si>
    <t>Boyd County, NE</t>
  </si>
  <si>
    <t>CN3101700000000</t>
  </si>
  <si>
    <t>Brown County, NE</t>
  </si>
  <si>
    <t>CN3101900000000</t>
  </si>
  <si>
    <t>Buffalo County, NE</t>
  </si>
  <si>
    <t>CN3102100000000</t>
  </si>
  <si>
    <t>Burt County, NE</t>
  </si>
  <si>
    <t>CN3102300000000</t>
  </si>
  <si>
    <t>Butler County, NE</t>
  </si>
  <si>
    <t>CN3102500000000</t>
  </si>
  <si>
    <t>Cass County, NE</t>
  </si>
  <si>
    <t>CN3102700000000</t>
  </si>
  <si>
    <t>Cedar County, NE</t>
  </si>
  <si>
    <t>CN3102900000000</t>
  </si>
  <si>
    <t>Chase County, NE</t>
  </si>
  <si>
    <t>CN3103100000000</t>
  </si>
  <si>
    <t>Cherry County, NE</t>
  </si>
  <si>
    <t>CN3103300000000</t>
  </si>
  <si>
    <t>Cheyenne County, NE</t>
  </si>
  <si>
    <t>CN3103500000000</t>
  </si>
  <si>
    <t>Clay County, NE</t>
  </si>
  <si>
    <t>CN3103700000000</t>
  </si>
  <si>
    <t>Colfax County, NE</t>
  </si>
  <si>
    <t>CN3103900000000</t>
  </si>
  <si>
    <t>Cuming County, NE</t>
  </si>
  <si>
    <t>CN3104100000000</t>
  </si>
  <si>
    <t>Custer County, NE</t>
  </si>
  <si>
    <t>CN3104300000000</t>
  </si>
  <si>
    <t>Dakota County, NE</t>
  </si>
  <si>
    <t>CN3104500000000</t>
  </si>
  <si>
    <t>Dawes County, NE</t>
  </si>
  <si>
    <t>CN3104700000000</t>
  </si>
  <si>
    <t>Dawson County, NE</t>
  </si>
  <si>
    <t>CN3104900000000</t>
  </si>
  <si>
    <t>Deuel County, NE</t>
  </si>
  <si>
    <t>CN3105100000000</t>
  </si>
  <si>
    <t>Dixon County, NE</t>
  </si>
  <si>
    <t>CN3105300000000</t>
  </si>
  <si>
    <t>Dodge County, NE</t>
  </si>
  <si>
    <t>CN3105500000000</t>
  </si>
  <si>
    <t>Douglas County, NE</t>
  </si>
  <si>
    <t>CN3105700000000</t>
  </si>
  <si>
    <t>Dundy County, NE</t>
  </si>
  <si>
    <t>CN3105900000000</t>
  </si>
  <si>
    <t>Fillmore County, NE</t>
  </si>
  <si>
    <t>CN3106100000000</t>
  </si>
  <si>
    <t>Franklin County, NE</t>
  </si>
  <si>
    <t>CN3106300000000</t>
  </si>
  <si>
    <t>Frontier County, NE</t>
  </si>
  <si>
    <t>CN3106500000000</t>
  </si>
  <si>
    <t>Furnas County, NE</t>
  </si>
  <si>
    <t>CN3106700000000</t>
  </si>
  <si>
    <t>Gage County, NE</t>
  </si>
  <si>
    <t>CN3106900000000</t>
  </si>
  <si>
    <t>Garden County, NE</t>
  </si>
  <si>
    <t>CN3107100000000</t>
  </si>
  <si>
    <t>Garfield County, NE</t>
  </si>
  <si>
    <t>CN3107300000000</t>
  </si>
  <si>
    <t>Gosper County, NE</t>
  </si>
  <si>
    <t>CN3107500000000</t>
  </si>
  <si>
    <t>Grant County, NE</t>
  </si>
  <si>
    <t>CN3107700000000</t>
  </si>
  <si>
    <t>Greeley County, NE</t>
  </si>
  <si>
    <t>CN3107900000000</t>
  </si>
  <si>
    <t>Hall County, NE</t>
  </si>
  <si>
    <t>CN3108100000000</t>
  </si>
  <si>
    <t>Hamilton County, NE</t>
  </si>
  <si>
    <t>CN3108300000000</t>
  </si>
  <si>
    <t>Harlan County, NE</t>
  </si>
  <si>
    <t>CN3108500000000</t>
  </si>
  <si>
    <t>Hayes County, NE</t>
  </si>
  <si>
    <t>CN3108700000000</t>
  </si>
  <si>
    <t>Hitchcock County, NE</t>
  </si>
  <si>
    <t>CN3108900000000</t>
  </si>
  <si>
    <t>Holt County, NE</t>
  </si>
  <si>
    <t>CN3109100000000</t>
  </si>
  <si>
    <t>Hooker County, NE</t>
  </si>
  <si>
    <t>CN3109300000000</t>
  </si>
  <si>
    <t>Howard County, NE</t>
  </si>
  <si>
    <t>CN3109500000000</t>
  </si>
  <si>
    <t>Jefferson County, NE</t>
  </si>
  <si>
    <t>CN3109700000000</t>
  </si>
  <si>
    <t>Johnson County, NE</t>
  </si>
  <si>
    <t>CN3109900000000</t>
  </si>
  <si>
    <t>Kearney County, NE</t>
  </si>
  <si>
    <t>CN3110100000000</t>
  </si>
  <si>
    <t>Keith County, NE</t>
  </si>
  <si>
    <t>CN3110300000000</t>
  </si>
  <si>
    <t>Keya Paha County, NE</t>
  </si>
  <si>
    <t>CN3110500000000</t>
  </si>
  <si>
    <t>Kimball County, NE</t>
  </si>
  <si>
    <t>CN3110700000000</t>
  </si>
  <si>
    <t>Knox County, NE</t>
  </si>
  <si>
    <t>CN3110900000000</t>
  </si>
  <si>
    <t>Lancaster County, NE</t>
  </si>
  <si>
    <t>CN3111100000000</t>
  </si>
  <si>
    <t>Lincoln County, NE</t>
  </si>
  <si>
    <t>CN3111300000000</t>
  </si>
  <si>
    <t>Logan County, NE</t>
  </si>
  <si>
    <t>CN3111500000000</t>
  </si>
  <si>
    <t>Loup County, NE</t>
  </si>
  <si>
    <t>CN3111700000000</t>
  </si>
  <si>
    <t>McPherson County, NE</t>
  </si>
  <si>
    <t>CN3111900000000</t>
  </si>
  <si>
    <t>Madison County, NE</t>
  </si>
  <si>
    <t>CN3112100000000</t>
  </si>
  <si>
    <t>Merrick County, NE</t>
  </si>
  <si>
    <t>CN3112300000000</t>
  </si>
  <si>
    <t>Morrill County, NE</t>
  </si>
  <si>
    <t>CN3112500000000</t>
  </si>
  <si>
    <t>Nance County, NE</t>
  </si>
  <si>
    <t>CN3112700000000</t>
  </si>
  <si>
    <t>Nemaha County, NE</t>
  </si>
  <si>
    <t>CN3112900000000</t>
  </si>
  <si>
    <t>Nuckolls County, NE</t>
  </si>
  <si>
    <t>CN3113100000000</t>
  </si>
  <si>
    <t>Otoe County, NE</t>
  </si>
  <si>
    <t>CN3113300000000</t>
  </si>
  <si>
    <t>Pawnee County, NE</t>
  </si>
  <si>
    <t>CN3113500000000</t>
  </si>
  <si>
    <t>Perkins County, NE</t>
  </si>
  <si>
    <t>CN3113700000000</t>
  </si>
  <si>
    <t>Phelps County, NE</t>
  </si>
  <si>
    <t>CN3113900000000</t>
  </si>
  <si>
    <t>Pierce County, NE</t>
  </si>
  <si>
    <t>CN3114100000000</t>
  </si>
  <si>
    <t>Platte County, NE</t>
  </si>
  <si>
    <t>CN3114300000000</t>
  </si>
  <si>
    <t>Polk County, NE</t>
  </si>
  <si>
    <t>CN3114500000000</t>
  </si>
  <si>
    <t>Red Willow County, NE</t>
  </si>
  <si>
    <t>CN3114700000000</t>
  </si>
  <si>
    <t>Richardson County, NE</t>
  </si>
  <si>
    <t>CN3114900000000</t>
  </si>
  <si>
    <t>Rock County, NE</t>
  </si>
  <si>
    <t>CN3115100000000</t>
  </si>
  <si>
    <t>Saline County, NE</t>
  </si>
  <si>
    <t>CN3115300000000</t>
  </si>
  <si>
    <t>Sarpy County, NE</t>
  </si>
  <si>
    <t>CN3115500000000</t>
  </si>
  <si>
    <t>Saunders County, NE</t>
  </si>
  <si>
    <t>CN3115700000000</t>
  </si>
  <si>
    <t>Scotts Bluff County, NE</t>
  </si>
  <si>
    <t>CN3115900000000</t>
  </si>
  <si>
    <t>Seward County, NE</t>
  </si>
  <si>
    <t>CN3116100000000</t>
  </si>
  <si>
    <t>Sheridan County, NE</t>
  </si>
  <si>
    <t>CN3116300000000</t>
  </si>
  <si>
    <t>Sherman County, NE</t>
  </si>
  <si>
    <t>CN3116500000000</t>
  </si>
  <si>
    <t>Sioux County, NE</t>
  </si>
  <si>
    <t>CN3116700000000</t>
  </si>
  <si>
    <t>Stanton County, NE</t>
  </si>
  <si>
    <t>CN3116900000000</t>
  </si>
  <si>
    <t>Thayer County, NE</t>
  </si>
  <si>
    <t>CN3117100000000</t>
  </si>
  <si>
    <t>Thomas County, NE</t>
  </si>
  <si>
    <t>CN3117300000000</t>
  </si>
  <si>
    <t>Thurston County, NE</t>
  </si>
  <si>
    <t>CN3117500000000</t>
  </si>
  <si>
    <t>Valley County, NE</t>
  </si>
  <si>
    <t>CN3117700000000</t>
  </si>
  <si>
    <t>Washington County, NE</t>
  </si>
  <si>
    <t>CN3117900000000</t>
  </si>
  <si>
    <t>Wayne County, NE</t>
  </si>
  <si>
    <t>CN3118100000000</t>
  </si>
  <si>
    <t>Webster County, NE</t>
  </si>
  <si>
    <t>CN3118300000000</t>
  </si>
  <si>
    <t>Wheeler County, NE</t>
  </si>
  <si>
    <t>CN3118500000000</t>
  </si>
  <si>
    <t>York County, NE</t>
  </si>
  <si>
    <t>CN3200100000000</t>
  </si>
  <si>
    <t>Churchill County, NV</t>
  </si>
  <si>
    <t>CN3200300000000</t>
  </si>
  <si>
    <t>Clark County, NV</t>
  </si>
  <si>
    <t>CN3200500000000</t>
  </si>
  <si>
    <t>Douglas County, NV</t>
  </si>
  <si>
    <t>CN3200700000000</t>
  </si>
  <si>
    <t>Elko County, NV</t>
  </si>
  <si>
    <t>CN3200900000000</t>
  </si>
  <si>
    <t>Esmeralda County, NV</t>
  </si>
  <si>
    <t>CN3201100000000</t>
  </si>
  <si>
    <t>Eureka County, NV</t>
  </si>
  <si>
    <t>CN3201300000000</t>
  </si>
  <si>
    <t>Humboldt County, NV</t>
  </si>
  <si>
    <t>CN3201500000000</t>
  </si>
  <si>
    <t>Lander County, NV</t>
  </si>
  <si>
    <t>CN3201700000000</t>
  </si>
  <si>
    <t>Lincoln County, NV</t>
  </si>
  <si>
    <t>CN3201900000000</t>
  </si>
  <si>
    <t>Lyon County, NV</t>
  </si>
  <si>
    <t>CN3202100000000</t>
  </si>
  <si>
    <t>Mineral County, NV</t>
  </si>
  <si>
    <t>CN3202300000000</t>
  </si>
  <si>
    <t>Nye County, NV</t>
  </si>
  <si>
    <t>CN3202700000000</t>
  </si>
  <si>
    <t>Pershing County, NV</t>
  </si>
  <si>
    <t>CN3202900000000</t>
  </si>
  <si>
    <t>Storey County, NV</t>
  </si>
  <si>
    <t>CN3203100000000</t>
  </si>
  <si>
    <t>Washoe County, NV</t>
  </si>
  <si>
    <t>CN3203300000000</t>
  </si>
  <si>
    <t>White Pine County, NV</t>
  </si>
  <si>
    <t>CN3251000000000</t>
  </si>
  <si>
    <t>Carson City, NV</t>
  </si>
  <si>
    <t>CN3300100000000</t>
  </si>
  <si>
    <t>Belknap County, NH</t>
  </si>
  <si>
    <t>CN3300300000000</t>
  </si>
  <si>
    <t>Carroll County, NH</t>
  </si>
  <si>
    <t>CN3300500000000</t>
  </si>
  <si>
    <t>Cheshire County, NH</t>
  </si>
  <si>
    <t>CN3300700000000</t>
  </si>
  <si>
    <t>Coos County, NH</t>
  </si>
  <si>
    <t>CN3300900000000</t>
  </si>
  <si>
    <t>Grafton County, NH</t>
  </si>
  <si>
    <t>CN3301100000000</t>
  </si>
  <si>
    <t>Hillsborough County, NH</t>
  </si>
  <si>
    <t>CN3301300000000</t>
  </si>
  <si>
    <t>Merrimack County, NH</t>
  </si>
  <si>
    <t>CN3301500000000</t>
  </si>
  <si>
    <t>Rockingham County, NH</t>
  </si>
  <si>
    <t>CN3301700000000</t>
  </si>
  <si>
    <t>Strafford County, NH</t>
  </si>
  <si>
    <t>CN3301900000000</t>
  </si>
  <si>
    <t>Sullivan County, NH</t>
  </si>
  <si>
    <t>CN3400100000000</t>
  </si>
  <si>
    <t>Atlantic County, NJ</t>
  </si>
  <si>
    <t>CN3400300000000</t>
  </si>
  <si>
    <t>Bergen County, NJ</t>
  </si>
  <si>
    <t>CN3400500000000</t>
  </si>
  <si>
    <t>Burlington County, NJ</t>
  </si>
  <si>
    <t>CN3400700000000</t>
  </si>
  <si>
    <t>Camden County, NJ</t>
  </si>
  <si>
    <t>CN3400900000000</t>
  </si>
  <si>
    <t>Cape May County, NJ</t>
  </si>
  <si>
    <t>CN3401100000000</t>
  </si>
  <si>
    <t>Cumberland County, NJ</t>
  </si>
  <si>
    <t>CN3401300000000</t>
  </si>
  <si>
    <t>Essex County, NJ</t>
  </si>
  <si>
    <t>CN3401500000000</t>
  </si>
  <si>
    <t>Gloucester County, NJ</t>
  </si>
  <si>
    <t>CN3401700000000</t>
  </si>
  <si>
    <t>Hudson County, NJ</t>
  </si>
  <si>
    <t>CN3401900000000</t>
  </si>
  <si>
    <t>Hunterdon County, NJ</t>
  </si>
  <si>
    <t>CN3402100000000</t>
  </si>
  <si>
    <t>Mercer County, NJ</t>
  </si>
  <si>
    <t>CN3402300000000</t>
  </si>
  <si>
    <t>Middlesex County, NJ</t>
  </si>
  <si>
    <t>CN3402500000000</t>
  </si>
  <si>
    <t>Monmouth County, NJ</t>
  </si>
  <si>
    <t>CN3402700000000</t>
  </si>
  <si>
    <t>Morris County, NJ</t>
  </si>
  <si>
    <t>CN3402900000000</t>
  </si>
  <si>
    <t>Ocean County, NJ</t>
  </si>
  <si>
    <t>CN3403100000000</t>
  </si>
  <si>
    <t>Passaic County, NJ</t>
  </si>
  <si>
    <t>CN3403300000000</t>
  </si>
  <si>
    <t>Salem County, NJ</t>
  </si>
  <si>
    <t>CN3403500000000</t>
  </si>
  <si>
    <t>Somerset County, NJ</t>
  </si>
  <si>
    <t>CN3403700000000</t>
  </si>
  <si>
    <t>Sussex County, NJ</t>
  </si>
  <si>
    <t>CN3403900000000</t>
  </si>
  <si>
    <t>Union County, NJ</t>
  </si>
  <si>
    <t>CN3404100000000</t>
  </si>
  <si>
    <t>Warren County, NJ</t>
  </si>
  <si>
    <t>CN3500100000000</t>
  </si>
  <si>
    <t>Bernalillo County, NM</t>
  </si>
  <si>
    <t>CN3500300000000</t>
  </si>
  <si>
    <t>Catron County, NM</t>
  </si>
  <si>
    <t>CN3500500000000</t>
  </si>
  <si>
    <t>Chaves County, NM</t>
  </si>
  <si>
    <t>CN3500600000000</t>
  </si>
  <si>
    <t>Cibola County, NM</t>
  </si>
  <si>
    <t>CN3500700000000</t>
  </si>
  <si>
    <t>Colfax County, NM</t>
  </si>
  <si>
    <t>CN3500900000000</t>
  </si>
  <si>
    <t>Curry County, NM</t>
  </si>
  <si>
    <t>CN3501100000000</t>
  </si>
  <si>
    <t>De Baca County, NM</t>
  </si>
  <si>
    <t>CN3501300000000</t>
  </si>
  <si>
    <t>Dona Ana County, NM</t>
  </si>
  <si>
    <t>CN3501500000000</t>
  </si>
  <si>
    <t>Eddy County, NM</t>
  </si>
  <si>
    <t>CN3501700000000</t>
  </si>
  <si>
    <t>Grant County, NM</t>
  </si>
  <si>
    <t>CN3501900000000</t>
  </si>
  <si>
    <t>Guadalupe County, NM</t>
  </si>
  <si>
    <t>CN3502100000000</t>
  </si>
  <si>
    <t>Harding County, NM</t>
  </si>
  <si>
    <t>CN3502300000000</t>
  </si>
  <si>
    <t>Hidalgo County, NM</t>
  </si>
  <si>
    <t>CN3502500000000</t>
  </si>
  <si>
    <t>Lea County, NM</t>
  </si>
  <si>
    <t>CN3502700000000</t>
  </si>
  <si>
    <t>Lincoln County, NM</t>
  </si>
  <si>
    <t>CN3502800000000</t>
  </si>
  <si>
    <t>Los Alamos County, NM</t>
  </si>
  <si>
    <t>CN3502900000000</t>
  </si>
  <si>
    <t>Luna County, NM</t>
  </si>
  <si>
    <t>CN3503100000000</t>
  </si>
  <si>
    <t>McKinley County, NM</t>
  </si>
  <si>
    <t>CN3503300000000</t>
  </si>
  <si>
    <t>Mora County, NM</t>
  </si>
  <si>
    <t>CN3503500000000</t>
  </si>
  <si>
    <t>Otero County, NM</t>
  </si>
  <si>
    <t>CN3503700000000</t>
  </si>
  <si>
    <t>Quay County, NM</t>
  </si>
  <si>
    <t>CN3503900000000</t>
  </si>
  <si>
    <t>Rio Arriba County, NM</t>
  </si>
  <si>
    <t>CN3504100000000</t>
  </si>
  <si>
    <t>Roosevelt County, NM</t>
  </si>
  <si>
    <t>CN3504300000000</t>
  </si>
  <si>
    <t>Sandoval County, NM</t>
  </si>
  <si>
    <t>CN3504500000000</t>
  </si>
  <si>
    <t>San Juan County, NM</t>
  </si>
  <si>
    <t>CN3504700000000</t>
  </si>
  <si>
    <t>San Miguel County, NM</t>
  </si>
  <si>
    <t>CN3504900000000</t>
  </si>
  <si>
    <t>Santa Fe County, NM</t>
  </si>
  <si>
    <t>CN3505100000000</t>
  </si>
  <si>
    <t>Sierra County, NM</t>
  </si>
  <si>
    <t>CN3505300000000</t>
  </si>
  <si>
    <t>Socorro County, NM</t>
  </si>
  <si>
    <t>CN3505500000000</t>
  </si>
  <si>
    <t>Taos County, NM</t>
  </si>
  <si>
    <t>CN3505700000000</t>
  </si>
  <si>
    <t>Torrance County, NM</t>
  </si>
  <si>
    <t>CN3505900000000</t>
  </si>
  <si>
    <t>Union County, NM</t>
  </si>
  <si>
    <t>CN3506100000000</t>
  </si>
  <si>
    <t>Valencia County, NM</t>
  </si>
  <si>
    <t>CN3600100000000</t>
  </si>
  <si>
    <t>Albany County, NY</t>
  </si>
  <si>
    <t>CN3600300000000</t>
  </si>
  <si>
    <t>Allegany County, NY</t>
  </si>
  <si>
    <t>CN3600500000000</t>
  </si>
  <si>
    <t>Bronx County, NY</t>
  </si>
  <si>
    <t>CN3600700000000</t>
  </si>
  <si>
    <t>Broome County, NY</t>
  </si>
  <si>
    <t>CN3600900000000</t>
  </si>
  <si>
    <t>Cattaraugus County, NY</t>
  </si>
  <si>
    <t>CN3601100000000</t>
  </si>
  <si>
    <t>Cayuga County, NY</t>
  </si>
  <si>
    <t>CN3601300000000</t>
  </si>
  <si>
    <t>Chautauqua County, NY</t>
  </si>
  <si>
    <t>CN3601500000000</t>
  </si>
  <si>
    <t>Chemung County, NY</t>
  </si>
  <si>
    <t>CN3601700000000</t>
  </si>
  <si>
    <t>Chenango County, NY</t>
  </si>
  <si>
    <t>CN3601900000000</t>
  </si>
  <si>
    <t>Clinton County, NY</t>
  </si>
  <si>
    <t>CN3602100000000</t>
  </si>
  <si>
    <t>Columbia County, NY</t>
  </si>
  <si>
    <t>CN3602300000000</t>
  </si>
  <si>
    <t>Cortland County, NY</t>
  </si>
  <si>
    <t>CN3602500000000</t>
  </si>
  <si>
    <t>Delaware County, NY</t>
  </si>
  <si>
    <t>CN3602700000000</t>
  </si>
  <si>
    <t>Dutchess County, NY</t>
  </si>
  <si>
    <t>CN3602900000000</t>
  </si>
  <si>
    <t>Erie County, NY</t>
  </si>
  <si>
    <t>CN3603100000000</t>
  </si>
  <si>
    <t>Essex County, NY</t>
  </si>
  <si>
    <t>CN3603300000000</t>
  </si>
  <si>
    <t>Franklin County, NY</t>
  </si>
  <si>
    <t>CN3603500000000</t>
  </si>
  <si>
    <t>Fulton County, NY</t>
  </si>
  <si>
    <t>CN3603700000000</t>
  </si>
  <si>
    <t>Genesee County, NY</t>
  </si>
  <si>
    <t>CN3603900000000</t>
  </si>
  <si>
    <t>Greene County, NY</t>
  </si>
  <si>
    <t>CN3604100000000</t>
  </si>
  <si>
    <t>Hamilton County, NY</t>
  </si>
  <si>
    <t>CN3604300000000</t>
  </si>
  <si>
    <t>Herkimer County, NY</t>
  </si>
  <si>
    <t>CN3604500000000</t>
  </si>
  <si>
    <t>Jefferson County, NY</t>
  </si>
  <si>
    <t>CN3604700000000</t>
  </si>
  <si>
    <t>Kings County, NY</t>
  </si>
  <si>
    <t>CN3604900000000</t>
  </si>
  <si>
    <t>Lewis County, NY</t>
  </si>
  <si>
    <t>CN3605100000000</t>
  </si>
  <si>
    <t>Livingston County, NY</t>
  </si>
  <si>
    <t>CN3605300000000</t>
  </si>
  <si>
    <t>Madison County, NY</t>
  </si>
  <si>
    <t>CN3605500000000</t>
  </si>
  <si>
    <t>Monroe County, NY</t>
  </si>
  <si>
    <t>CN3605700000000</t>
  </si>
  <si>
    <t>Montgomery County, NY</t>
  </si>
  <si>
    <t>CN3605900000000</t>
  </si>
  <si>
    <t>Nassau County, NY</t>
  </si>
  <si>
    <t>CN3606100000000</t>
  </si>
  <si>
    <t>New York County, NY</t>
  </si>
  <si>
    <t>CN3606300000000</t>
  </si>
  <si>
    <t>Niagara County, NY</t>
  </si>
  <si>
    <t>CN3606500000000</t>
  </si>
  <si>
    <t>Oneida County, NY</t>
  </si>
  <si>
    <t>CN3606700000000</t>
  </si>
  <si>
    <t>Onondaga County, NY</t>
  </si>
  <si>
    <t>CN3606900000000</t>
  </si>
  <si>
    <t>Ontario County, NY</t>
  </si>
  <si>
    <t>CN3607100000000</t>
  </si>
  <si>
    <t>Orange County, NY</t>
  </si>
  <si>
    <t>CN3607300000000</t>
  </si>
  <si>
    <t>Orleans County, NY</t>
  </si>
  <si>
    <t>CN3607500000000</t>
  </si>
  <si>
    <t>Oswego County, NY</t>
  </si>
  <si>
    <t>CN3607700000000</t>
  </si>
  <si>
    <t>Otsego County, NY</t>
  </si>
  <si>
    <t>CN3607900000000</t>
  </si>
  <si>
    <t>Putnam County, NY</t>
  </si>
  <si>
    <t>CN3608100000000</t>
  </si>
  <si>
    <t>Queens County, NY</t>
  </si>
  <si>
    <t>CN3608300000000</t>
  </si>
  <si>
    <t>Rensselaer County, NY</t>
  </si>
  <si>
    <t>CN3608500000000</t>
  </si>
  <si>
    <t>Richmond County, NY</t>
  </si>
  <si>
    <t>CN3608700000000</t>
  </si>
  <si>
    <t>Rockland County, NY</t>
  </si>
  <si>
    <t>CN3608900000000</t>
  </si>
  <si>
    <t>St. Lawrence County, NY</t>
  </si>
  <si>
    <t>CN3609100000000</t>
  </si>
  <si>
    <t>Saratoga County, NY</t>
  </si>
  <si>
    <t>CN3609300000000</t>
  </si>
  <si>
    <t>Schenectady County, NY</t>
  </si>
  <si>
    <t>CN3609500000000</t>
  </si>
  <si>
    <t>Schoharie County, NY</t>
  </si>
  <si>
    <t>CN3609700000000</t>
  </si>
  <si>
    <t>Schuyler County, NY</t>
  </si>
  <si>
    <t>CN3609900000000</t>
  </si>
  <si>
    <t>Seneca County, NY</t>
  </si>
  <si>
    <t>CN3610100000000</t>
  </si>
  <si>
    <t>Steuben County, NY</t>
  </si>
  <si>
    <t>CN3610300000000</t>
  </si>
  <si>
    <t>Suffolk County, NY</t>
  </si>
  <si>
    <t>CN3610500000000</t>
  </si>
  <si>
    <t>Sullivan County, NY</t>
  </si>
  <si>
    <t>CN3610700000000</t>
  </si>
  <si>
    <t>Tioga County, NY</t>
  </si>
  <si>
    <t>CN3610900000000</t>
  </si>
  <si>
    <t>Tompkins County, NY</t>
  </si>
  <si>
    <t>CN3611100000000</t>
  </si>
  <si>
    <t>Ulster County, NY</t>
  </si>
  <si>
    <t>CN3611300000000</t>
  </si>
  <si>
    <t>Warren County, NY</t>
  </si>
  <si>
    <t>CN3611500000000</t>
  </si>
  <si>
    <t>Washington County, NY</t>
  </si>
  <si>
    <t>CN3611700000000</t>
  </si>
  <si>
    <t>Wayne County, NY</t>
  </si>
  <si>
    <t>CN3611900000000</t>
  </si>
  <si>
    <t>Westchester County, NY</t>
  </si>
  <si>
    <t>CN3612100000000</t>
  </si>
  <si>
    <t>Wyoming County, NY</t>
  </si>
  <si>
    <t>CN3612300000000</t>
  </si>
  <si>
    <t>Yates County, NY</t>
  </si>
  <si>
    <t>CN3700100000000</t>
  </si>
  <si>
    <t>Alamance County, NC</t>
  </si>
  <si>
    <t>CN3700300000000</t>
  </si>
  <si>
    <t>Alexander County, NC</t>
  </si>
  <si>
    <t>CN3700500000000</t>
  </si>
  <si>
    <t>Alleghany County, NC</t>
  </si>
  <si>
    <t>CN3700700000000</t>
  </si>
  <si>
    <t>Anson County, NC</t>
  </si>
  <si>
    <t>CN3700900000000</t>
  </si>
  <si>
    <t>Ashe County, NC</t>
  </si>
  <si>
    <t>CN3701100000000</t>
  </si>
  <si>
    <t>Avery County, NC</t>
  </si>
  <si>
    <t>CN3701300000000</t>
  </si>
  <si>
    <t>Beaufort County, NC</t>
  </si>
  <si>
    <t>CN3701500000000</t>
  </si>
  <si>
    <t>Bertie County, NC</t>
  </si>
  <si>
    <t>CN3701700000000</t>
  </si>
  <si>
    <t>Bladen County, NC</t>
  </si>
  <si>
    <t>CN3701900000000</t>
  </si>
  <si>
    <t>Brunswick County, NC</t>
  </si>
  <si>
    <t>CN3702100000000</t>
  </si>
  <si>
    <t>Buncombe County, NC</t>
  </si>
  <si>
    <t>CN3702300000000</t>
  </si>
  <si>
    <t>Burke County, NC</t>
  </si>
  <si>
    <t>CN3702500000000</t>
  </si>
  <si>
    <t>Cabarrus County, NC</t>
  </si>
  <si>
    <t>CN3702700000000</t>
  </si>
  <si>
    <t>Caldwell County, NC</t>
  </si>
  <si>
    <t>CN3702900000000</t>
  </si>
  <si>
    <t>Camden County, NC</t>
  </si>
  <si>
    <t>CN3703100000000</t>
  </si>
  <si>
    <t>Carteret County, NC</t>
  </si>
  <si>
    <t>CN3703300000000</t>
  </si>
  <si>
    <t>Caswell County, NC</t>
  </si>
  <si>
    <t>CN3703500000000</t>
  </si>
  <si>
    <t>Catawba County, NC</t>
  </si>
  <si>
    <t>CN3703700000000</t>
  </si>
  <si>
    <t>Chatham County, NC</t>
  </si>
  <si>
    <t>CN3703900000000</t>
  </si>
  <si>
    <t>Cherokee County, NC</t>
  </si>
  <si>
    <t>CN3704100000000</t>
  </si>
  <si>
    <t>Chowan County, NC</t>
  </si>
  <si>
    <t>CN3704300000000</t>
  </si>
  <si>
    <t>Clay County, NC</t>
  </si>
  <si>
    <t>CN3704500000000</t>
  </si>
  <si>
    <t>Cleveland County, NC</t>
  </si>
  <si>
    <t>CN3704700000000</t>
  </si>
  <si>
    <t>Columbus County, NC</t>
  </si>
  <si>
    <t>CN3704900000000</t>
  </si>
  <si>
    <t>Craven County, NC</t>
  </si>
  <si>
    <t>CN3705100000000</t>
  </si>
  <si>
    <t>Cumberland County, NC</t>
  </si>
  <si>
    <t>CN3705300000000</t>
  </si>
  <si>
    <t>Currituck County, NC</t>
  </si>
  <si>
    <t>CN3705500000000</t>
  </si>
  <si>
    <t>Dare County, NC</t>
  </si>
  <si>
    <t>CN3705700000000</t>
  </si>
  <si>
    <t>Davidson County, NC</t>
  </si>
  <si>
    <t>CN3705900000000</t>
  </si>
  <si>
    <t>Davie County, NC</t>
  </si>
  <si>
    <t>CN3706100000000</t>
  </si>
  <si>
    <t>Duplin County, NC</t>
  </si>
  <si>
    <t>CN3706300000000</t>
  </si>
  <si>
    <t>Durham County, NC</t>
  </si>
  <si>
    <t>CN3706500000000</t>
  </si>
  <si>
    <t>Edgecombe County, NC</t>
  </si>
  <si>
    <t>CN3706700000000</t>
  </si>
  <si>
    <t>Forsyth County, NC</t>
  </si>
  <si>
    <t>CN3706900000000</t>
  </si>
  <si>
    <t>Franklin County, NC</t>
  </si>
  <si>
    <t>CN3707100000000</t>
  </si>
  <si>
    <t>Gaston County, NC</t>
  </si>
  <si>
    <t>CN3707300000000</t>
  </si>
  <si>
    <t>Gates County, NC</t>
  </si>
  <si>
    <t>CN3707500000000</t>
  </si>
  <si>
    <t>Graham County, NC</t>
  </si>
  <si>
    <t>CN3707700000000</t>
  </si>
  <si>
    <t>Granville County, NC</t>
  </si>
  <si>
    <t>CN3707900000000</t>
  </si>
  <si>
    <t>Greene County, NC</t>
  </si>
  <si>
    <t>CN3708100000000</t>
  </si>
  <si>
    <t>Guilford County, NC</t>
  </si>
  <si>
    <t>CN3708300000000</t>
  </si>
  <si>
    <t>Halifax County, NC</t>
  </si>
  <si>
    <t>CN3708500000000</t>
  </si>
  <si>
    <t>Harnett County, NC</t>
  </si>
  <si>
    <t>CN3708700000000</t>
  </si>
  <si>
    <t>Haywood County, NC</t>
  </si>
  <si>
    <t>CN3708900000000</t>
  </si>
  <si>
    <t>Henderson County, NC</t>
  </si>
  <si>
    <t>CN3709100000000</t>
  </si>
  <si>
    <t>Hertford County, NC</t>
  </si>
  <si>
    <t>CN3709300000000</t>
  </si>
  <si>
    <t>Hoke County, NC</t>
  </si>
  <si>
    <t>CN3709500000000</t>
  </si>
  <si>
    <t>Hyde County, NC</t>
  </si>
  <si>
    <t>CN3709700000000</t>
  </si>
  <si>
    <t>Iredell County, NC</t>
  </si>
  <si>
    <t>CN3709900000000</t>
  </si>
  <si>
    <t>Jackson County, NC</t>
  </si>
  <si>
    <t>CN3710100000000</t>
  </si>
  <si>
    <t>Johnston County, NC</t>
  </si>
  <si>
    <t>CN3710300000000</t>
  </si>
  <si>
    <t>Jones County, NC</t>
  </si>
  <si>
    <t>CN3710500000000</t>
  </si>
  <si>
    <t>Lee County, NC</t>
  </si>
  <si>
    <t>CN3710700000000</t>
  </si>
  <si>
    <t>Lenoir County, NC</t>
  </si>
  <si>
    <t>CN3710900000000</t>
  </si>
  <si>
    <t>Lincoln County, NC</t>
  </si>
  <si>
    <t>CN3711100000000</t>
  </si>
  <si>
    <t>McDowell County, NC</t>
  </si>
  <si>
    <t>CN3711300000000</t>
  </si>
  <si>
    <t>Macon County, NC</t>
  </si>
  <si>
    <t>CN3711500000000</t>
  </si>
  <si>
    <t>Madison County, NC</t>
  </si>
  <si>
    <t>CN3711700000000</t>
  </si>
  <si>
    <t>Martin County, NC</t>
  </si>
  <si>
    <t>CN3711900000000</t>
  </si>
  <si>
    <t>Mecklenburg County, NC</t>
  </si>
  <si>
    <t>CN3712100000000</t>
  </si>
  <si>
    <t>Mitchell County, NC</t>
  </si>
  <si>
    <t>CN3712300000000</t>
  </si>
  <si>
    <t>Montgomery County, NC</t>
  </si>
  <si>
    <t>CN3712500000000</t>
  </si>
  <si>
    <t>Moore County, NC</t>
  </si>
  <si>
    <t>CN3712700000000</t>
  </si>
  <si>
    <t>Nash County, NC</t>
  </si>
  <si>
    <t>CN3712900000000</t>
  </si>
  <si>
    <t>New Hanover County, NC</t>
  </si>
  <si>
    <t>CN3713100000000</t>
  </si>
  <si>
    <t>Northampton County, NC</t>
  </si>
  <si>
    <t>CN3713300000000</t>
  </si>
  <si>
    <t>Onslow County, NC</t>
  </si>
  <si>
    <t>CN3713500000000</t>
  </si>
  <si>
    <t>Orange County, NC</t>
  </si>
  <si>
    <t>CN3713700000000</t>
  </si>
  <si>
    <t>Pamlico County, NC</t>
  </si>
  <si>
    <t>CN3713900000000</t>
  </si>
  <si>
    <t>Pasquotank County, NC</t>
  </si>
  <si>
    <t>CN3714100000000</t>
  </si>
  <si>
    <t>Pender County, NC</t>
  </si>
  <si>
    <t>CN3714300000000</t>
  </si>
  <si>
    <t>Perquimans County, NC</t>
  </si>
  <si>
    <t>CN3714500000000</t>
  </si>
  <si>
    <t>Person County, NC</t>
  </si>
  <si>
    <t>CN3714700000000</t>
  </si>
  <si>
    <t>Pitt County, NC</t>
  </si>
  <si>
    <t>CN3714900000000</t>
  </si>
  <si>
    <t>Polk County, NC</t>
  </si>
  <si>
    <t>CN3715100000000</t>
  </si>
  <si>
    <t>Randolph County, NC</t>
  </si>
  <si>
    <t>CN3715300000000</t>
  </si>
  <si>
    <t>Richmond County, NC</t>
  </si>
  <si>
    <t>CN3715500000000</t>
  </si>
  <si>
    <t>Robeson County, NC</t>
  </si>
  <si>
    <t>CN3715700000000</t>
  </si>
  <si>
    <t>Rockingham County, NC</t>
  </si>
  <si>
    <t>CN3715900000000</t>
  </si>
  <si>
    <t>Rowan County, NC</t>
  </si>
  <si>
    <t>CN3716100000000</t>
  </si>
  <si>
    <t>Rutherford County, NC</t>
  </si>
  <si>
    <t>CN3716300000000</t>
  </si>
  <si>
    <t>Sampson County, NC</t>
  </si>
  <si>
    <t>CN3716500000000</t>
  </si>
  <si>
    <t>Scotland County, NC</t>
  </si>
  <si>
    <t>CN3716700000000</t>
  </si>
  <si>
    <t>Stanly County, NC</t>
  </si>
  <si>
    <t>CN3716900000000</t>
  </si>
  <si>
    <t>Stokes County, NC</t>
  </si>
  <si>
    <t>CN3717100000000</t>
  </si>
  <si>
    <t>Surry County, NC</t>
  </si>
  <si>
    <t>CN3717300000000</t>
  </si>
  <si>
    <t>Swain County, NC</t>
  </si>
  <si>
    <t>CN3717500000000</t>
  </si>
  <si>
    <t>Transylvania County, NC</t>
  </si>
  <si>
    <t>CN3717700000000</t>
  </si>
  <si>
    <t>Tyrrell County, NC</t>
  </si>
  <si>
    <t>CN3717900000000</t>
  </si>
  <si>
    <t>Union County, NC</t>
  </si>
  <si>
    <t>CN3718100000000</t>
  </si>
  <si>
    <t>Vance County, NC</t>
  </si>
  <si>
    <t>CN3718300000000</t>
  </si>
  <si>
    <t>Wake County, NC</t>
  </si>
  <si>
    <t>CN3718500000000</t>
  </si>
  <si>
    <t>Warren County, NC</t>
  </si>
  <si>
    <t>CN3718700000000</t>
  </si>
  <si>
    <t>Washington County, NC</t>
  </si>
  <si>
    <t>CN3718900000000</t>
  </si>
  <si>
    <t>Watauga County, NC</t>
  </si>
  <si>
    <t>CN3719100000000</t>
  </si>
  <si>
    <t>Wayne County, NC</t>
  </si>
  <si>
    <t>CN3719300000000</t>
  </si>
  <si>
    <t>Wilkes County, NC</t>
  </si>
  <si>
    <t>CN3719500000000</t>
  </si>
  <si>
    <t>Wilson County, NC</t>
  </si>
  <si>
    <t>CN3719700000000</t>
  </si>
  <si>
    <t>Yadkin County, NC</t>
  </si>
  <si>
    <t>CN3719900000000</t>
  </si>
  <si>
    <t>Yancey County, NC</t>
  </si>
  <si>
    <t>CN3800100000000</t>
  </si>
  <si>
    <t>Adams County, ND</t>
  </si>
  <si>
    <t>CN3800300000000</t>
  </si>
  <si>
    <t>Barnes County, ND</t>
  </si>
  <si>
    <t>CN3800500000000</t>
  </si>
  <si>
    <t>Benson County, ND</t>
  </si>
  <si>
    <t>CN3800700000000</t>
  </si>
  <si>
    <t>Billings County, ND</t>
  </si>
  <si>
    <t>CN3800900000000</t>
  </si>
  <si>
    <t>Bottineau County, ND</t>
  </si>
  <si>
    <t>CN3801100000000</t>
  </si>
  <si>
    <t>Bowman County, ND</t>
  </si>
  <si>
    <t>CN3801300000000</t>
  </si>
  <si>
    <t>Burke County, ND</t>
  </si>
  <si>
    <t>CN3801500000000</t>
  </si>
  <si>
    <t>Burleigh County, ND</t>
  </si>
  <si>
    <t>CN3801700000000</t>
  </si>
  <si>
    <t>Cass County, ND</t>
  </si>
  <si>
    <t>CN3801900000000</t>
  </si>
  <si>
    <t>Cavalier County, ND</t>
  </si>
  <si>
    <t>CN3802100000000</t>
  </si>
  <si>
    <t>Dickey County, ND</t>
  </si>
  <si>
    <t>CN3802300000000</t>
  </si>
  <si>
    <t>Divide County, ND</t>
  </si>
  <si>
    <t>CN3802500000000</t>
  </si>
  <si>
    <t>Dunn County, ND</t>
  </si>
  <si>
    <t>CN3802700000000</t>
  </si>
  <si>
    <t>Eddy County, ND</t>
  </si>
  <si>
    <t>CN3802900000000</t>
  </si>
  <si>
    <t>Emmons County, ND</t>
  </si>
  <si>
    <t>CN3803100000000</t>
  </si>
  <si>
    <t>Foster County, ND</t>
  </si>
  <si>
    <t>CN3803300000000</t>
  </si>
  <si>
    <t>Golden Valley County, ND</t>
  </si>
  <si>
    <t>CN3803500000000</t>
  </si>
  <si>
    <t>Grand Forks County, ND</t>
  </si>
  <si>
    <t>CN3803700000000</t>
  </si>
  <si>
    <t>Grant County, ND</t>
  </si>
  <si>
    <t>CN3803900000000</t>
  </si>
  <si>
    <t>Griggs County, ND</t>
  </si>
  <si>
    <t>CN3804100000000</t>
  </si>
  <si>
    <t>Hettinger County, ND</t>
  </si>
  <si>
    <t>CN3804300000000</t>
  </si>
  <si>
    <t>Kidder County, ND</t>
  </si>
  <si>
    <t>CN3804500000000</t>
  </si>
  <si>
    <t>LaMoure County, ND</t>
  </si>
  <si>
    <t>CN3804700000000</t>
  </si>
  <si>
    <t>Logan County, ND</t>
  </si>
  <si>
    <t>CN3804900000000</t>
  </si>
  <si>
    <t>McHenry County, ND</t>
  </si>
  <si>
    <t>CN3805100000000</t>
  </si>
  <si>
    <t>McIntosh County, ND</t>
  </si>
  <si>
    <t>CN3805300000000</t>
  </si>
  <si>
    <t>McKenzie County, ND</t>
  </si>
  <si>
    <t>CN3805500000000</t>
  </si>
  <si>
    <t>McLean County, ND</t>
  </si>
  <si>
    <t>CN3805700000000</t>
  </si>
  <si>
    <t>Mercer County, ND</t>
  </si>
  <si>
    <t>CN3805900000000</t>
  </si>
  <si>
    <t>Morton County, ND</t>
  </si>
  <si>
    <t>CN3806100000000</t>
  </si>
  <si>
    <t>Mountrail County, ND</t>
  </si>
  <si>
    <t>CN3806300000000</t>
  </si>
  <si>
    <t>Nelson County, ND</t>
  </si>
  <si>
    <t>CN3806500000000</t>
  </si>
  <si>
    <t>Oliver County, ND</t>
  </si>
  <si>
    <t>CN3806700000000</t>
  </si>
  <si>
    <t>Pembina County, ND</t>
  </si>
  <si>
    <t>CN3806900000000</t>
  </si>
  <si>
    <t>Pierce County, ND</t>
  </si>
  <si>
    <t>CN3807100000000</t>
  </si>
  <si>
    <t>Ramsey County, ND</t>
  </si>
  <si>
    <t>CN3807300000000</t>
  </si>
  <si>
    <t>Ransom County, ND</t>
  </si>
  <si>
    <t>CN3807500000000</t>
  </si>
  <si>
    <t>Renville County, ND</t>
  </si>
  <si>
    <t>CN3807700000000</t>
  </si>
  <si>
    <t>Richland County, ND</t>
  </si>
  <si>
    <t>CN3807900000000</t>
  </si>
  <si>
    <t>Rolette County, ND</t>
  </si>
  <si>
    <t>CN3808100000000</t>
  </si>
  <si>
    <t>Sargent County, ND</t>
  </si>
  <si>
    <t>CN3808300000000</t>
  </si>
  <si>
    <t>Sheridan County, ND</t>
  </si>
  <si>
    <t>CN3808500000000</t>
  </si>
  <si>
    <t>Sioux County, ND</t>
  </si>
  <si>
    <t>CN3808700000000</t>
  </si>
  <si>
    <t>Slope County, ND</t>
  </si>
  <si>
    <t>CN3808900000000</t>
  </si>
  <si>
    <t>Stark County, ND</t>
  </si>
  <si>
    <t>CN3809100000000</t>
  </si>
  <si>
    <t>Steele County, ND</t>
  </si>
  <si>
    <t>CN3809300000000</t>
  </si>
  <si>
    <t>Stutsman County, ND</t>
  </si>
  <si>
    <t>CN3809500000000</t>
  </si>
  <si>
    <t>Towner County, ND</t>
  </si>
  <si>
    <t>CN3809700000000</t>
  </si>
  <si>
    <t>Traill County, ND</t>
  </si>
  <si>
    <t>CN3809900000000</t>
  </si>
  <si>
    <t>Walsh County, ND</t>
  </si>
  <si>
    <t>CN3810100000000</t>
  </si>
  <si>
    <t>Ward County, ND</t>
  </si>
  <si>
    <t>CN3810300000000</t>
  </si>
  <si>
    <t>Wells County, ND</t>
  </si>
  <si>
    <t>CN3810500000000</t>
  </si>
  <si>
    <t>Williams County, ND</t>
  </si>
  <si>
    <t>CN3900100000000</t>
  </si>
  <si>
    <t>Adams County, OH</t>
  </si>
  <si>
    <t>CN3900300000000</t>
  </si>
  <si>
    <t>Allen County, OH</t>
  </si>
  <si>
    <t>CN3900500000000</t>
  </si>
  <si>
    <t>Ashland County, OH</t>
  </si>
  <si>
    <t>CN3900700000000</t>
  </si>
  <si>
    <t>Ashtabula County, OH</t>
  </si>
  <si>
    <t>CN3900900000000</t>
  </si>
  <si>
    <t>Athens County, OH</t>
  </si>
  <si>
    <t>CN3901100000000</t>
  </si>
  <si>
    <t>Auglaize County, OH</t>
  </si>
  <si>
    <t>CN3901300000000</t>
  </si>
  <si>
    <t>Belmont County, OH</t>
  </si>
  <si>
    <t>CN3901500000000</t>
  </si>
  <si>
    <t>Brown County, OH</t>
  </si>
  <si>
    <t>CN3901700000000</t>
  </si>
  <si>
    <t>Butler County, OH</t>
  </si>
  <si>
    <t>CN3901900000000</t>
  </si>
  <si>
    <t>Carroll County, OH</t>
  </si>
  <si>
    <t>CN3902100000000</t>
  </si>
  <si>
    <t>Champaign County, OH</t>
  </si>
  <si>
    <t>CN3902300000000</t>
  </si>
  <si>
    <t>Clark County, OH</t>
  </si>
  <si>
    <t>CN3902500000000</t>
  </si>
  <si>
    <t>Clermont County, OH</t>
  </si>
  <si>
    <t>CN3902700000000</t>
  </si>
  <si>
    <t>Clinton County, OH</t>
  </si>
  <si>
    <t>CN3902900000000</t>
  </si>
  <si>
    <t>Columbiana County, OH</t>
  </si>
  <si>
    <t>CN3903100000000</t>
  </si>
  <si>
    <t>Coshocton County, OH</t>
  </si>
  <si>
    <t>CN3903300000000</t>
  </si>
  <si>
    <t>Crawford County, OH</t>
  </si>
  <si>
    <t>CN3903500000000</t>
  </si>
  <si>
    <t>Cuyahoga County, OH</t>
  </si>
  <si>
    <t>CN3903700000000</t>
  </si>
  <si>
    <t>Darke County, OH</t>
  </si>
  <si>
    <t>CN3903900000000</t>
  </si>
  <si>
    <t>Defiance County, OH</t>
  </si>
  <si>
    <t>CN3904100000000</t>
  </si>
  <si>
    <t>Delaware County, OH</t>
  </si>
  <si>
    <t>CN3904300000000</t>
  </si>
  <si>
    <t>Erie County, OH</t>
  </si>
  <si>
    <t>CN3904500000000</t>
  </si>
  <si>
    <t>Fairfield County, OH</t>
  </si>
  <si>
    <t>CN3904700000000</t>
  </si>
  <si>
    <t>Fayette County, OH</t>
  </si>
  <si>
    <t>CN3904900000000</t>
  </si>
  <si>
    <t>Franklin County, OH</t>
  </si>
  <si>
    <t>CN3905100000000</t>
  </si>
  <si>
    <t>Fulton County, OH</t>
  </si>
  <si>
    <t>CN3905300000000</t>
  </si>
  <si>
    <t>Gallia County, OH</t>
  </si>
  <si>
    <t>CN3905500000000</t>
  </si>
  <si>
    <t>Geauga County, OH</t>
  </si>
  <si>
    <t>CN3905700000000</t>
  </si>
  <si>
    <t>Greene County, OH</t>
  </si>
  <si>
    <t>CN3905900000000</t>
  </si>
  <si>
    <t>Guernsey County, OH</t>
  </si>
  <si>
    <t>CN3906100000000</t>
  </si>
  <si>
    <t>Hamilton County, OH</t>
  </si>
  <si>
    <t>CN3906300000000</t>
  </si>
  <si>
    <t>Hancock County, OH</t>
  </si>
  <si>
    <t>CN3906500000000</t>
  </si>
  <si>
    <t>Hardin County, OH</t>
  </si>
  <si>
    <t>CN3906700000000</t>
  </si>
  <si>
    <t>Harrison County, OH</t>
  </si>
  <si>
    <t>CN3906900000000</t>
  </si>
  <si>
    <t>Henry County, OH</t>
  </si>
  <si>
    <t>CN3907100000000</t>
  </si>
  <si>
    <t>Highland County, OH</t>
  </si>
  <si>
    <t>CN3907300000000</t>
  </si>
  <si>
    <t>Hocking County, OH</t>
  </si>
  <si>
    <t>CN3907500000000</t>
  </si>
  <si>
    <t>Holmes County, OH</t>
  </si>
  <si>
    <t>CN3907700000000</t>
  </si>
  <si>
    <t>Huron County, OH</t>
  </si>
  <si>
    <t>CN3907900000000</t>
  </si>
  <si>
    <t>Jackson County, OH</t>
  </si>
  <si>
    <t>CN3908100000000</t>
  </si>
  <si>
    <t>Jefferson County, OH</t>
  </si>
  <si>
    <t>CN3908300000000</t>
  </si>
  <si>
    <t>Knox County, OH</t>
  </si>
  <si>
    <t>CN3908500000000</t>
  </si>
  <si>
    <t>Lake County, OH</t>
  </si>
  <si>
    <t>CN3908700000000</t>
  </si>
  <si>
    <t>Lawrence County, OH</t>
  </si>
  <si>
    <t>CN3908900000000</t>
  </si>
  <si>
    <t>Licking County, OH</t>
  </si>
  <si>
    <t>CN3909100000000</t>
  </si>
  <si>
    <t>Logan County, OH</t>
  </si>
  <si>
    <t>CN3909300000000</t>
  </si>
  <si>
    <t>Lorain County, OH</t>
  </si>
  <si>
    <t>CN3909500000000</t>
  </si>
  <si>
    <t>Lucas County, OH</t>
  </si>
  <si>
    <t>CN3909700000000</t>
  </si>
  <si>
    <t>Madison County, OH</t>
  </si>
  <si>
    <t>CN3909900000000</t>
  </si>
  <si>
    <t>Mahoning County, OH</t>
  </si>
  <si>
    <t>CN3910100000000</t>
  </si>
  <si>
    <t>Marion County, OH</t>
  </si>
  <si>
    <t>CN3910300000000</t>
  </si>
  <si>
    <t>Medina County, OH</t>
  </si>
  <si>
    <t>CN3910500000000</t>
  </si>
  <si>
    <t>Meigs County, OH</t>
  </si>
  <si>
    <t>CN3910700000000</t>
  </si>
  <si>
    <t>Mercer County, OH</t>
  </si>
  <si>
    <t>CN3910900000000</t>
  </si>
  <si>
    <t>Miami County, OH</t>
  </si>
  <si>
    <t>CN3911100000000</t>
  </si>
  <si>
    <t>Monroe County, OH</t>
  </si>
  <si>
    <t>CN3911300000000</t>
  </si>
  <si>
    <t>Montgomery County, OH</t>
  </si>
  <si>
    <t>CN3911500000000</t>
  </si>
  <si>
    <t>Morgan County, OH</t>
  </si>
  <si>
    <t>CN3911700000000</t>
  </si>
  <si>
    <t>Morrow County, OH</t>
  </si>
  <si>
    <t>CN3911900000000</t>
  </si>
  <si>
    <t>Muskingum County, OH</t>
  </si>
  <si>
    <t>CN3912100000000</t>
  </si>
  <si>
    <t>Noble County, OH</t>
  </si>
  <si>
    <t>CN3912300000000</t>
  </si>
  <si>
    <t>Ottawa County, OH</t>
  </si>
  <si>
    <t>CN3912500000000</t>
  </si>
  <si>
    <t>Paulding County, OH</t>
  </si>
  <si>
    <t>CN3912700000000</t>
  </si>
  <si>
    <t>Perry County, OH</t>
  </si>
  <si>
    <t>CN3912900000000</t>
  </si>
  <si>
    <t>Pickaway County, OH</t>
  </si>
  <si>
    <t>CN3913100000000</t>
  </si>
  <si>
    <t>Pike County, OH</t>
  </si>
  <si>
    <t>CN3913300000000</t>
  </si>
  <si>
    <t>Portage County, OH</t>
  </si>
  <si>
    <t>CN3913500000000</t>
  </si>
  <si>
    <t>Preble County, OH</t>
  </si>
  <si>
    <t>CN3913700000000</t>
  </si>
  <si>
    <t>Putnam County, OH</t>
  </si>
  <si>
    <t>CN3913900000000</t>
  </si>
  <si>
    <t>Richland County, OH</t>
  </si>
  <si>
    <t>CN3914100000000</t>
  </si>
  <si>
    <t>Ross County, OH</t>
  </si>
  <si>
    <t>CN3914300000000</t>
  </si>
  <si>
    <t>Sandusky County, OH</t>
  </si>
  <si>
    <t>CN3914500000000</t>
  </si>
  <si>
    <t>Scioto County, OH</t>
  </si>
  <si>
    <t>CN3914700000000</t>
  </si>
  <si>
    <t>Seneca County, OH</t>
  </si>
  <si>
    <t>CN3914900000000</t>
  </si>
  <si>
    <t>Shelby County, OH</t>
  </si>
  <si>
    <t>CN3915100000000</t>
  </si>
  <si>
    <t>Stark County, OH</t>
  </si>
  <si>
    <t>CN3915300000000</t>
  </si>
  <si>
    <t>Summit County, OH</t>
  </si>
  <si>
    <t>CN3915500000000</t>
  </si>
  <si>
    <t>Trumbull County, OH</t>
  </si>
  <si>
    <t>CN3915700000000</t>
  </si>
  <si>
    <t>Tuscarawas County, OH</t>
  </si>
  <si>
    <t>CN3915900000000</t>
  </si>
  <si>
    <t>Union County, OH</t>
  </si>
  <si>
    <t>CN3916100000000</t>
  </si>
  <si>
    <t>Van Wert County, OH</t>
  </si>
  <si>
    <t>CN3916300000000</t>
  </si>
  <si>
    <t>Vinton County, OH</t>
  </si>
  <si>
    <t>CN3916500000000</t>
  </si>
  <si>
    <t>Warren County, OH</t>
  </si>
  <si>
    <t>CN3916700000000</t>
  </si>
  <si>
    <t>Washington County, OH</t>
  </si>
  <si>
    <t>CN3916900000000</t>
  </si>
  <si>
    <t>Wayne County, OH</t>
  </si>
  <si>
    <t>CN3917100000000</t>
  </si>
  <si>
    <t>Williams County, OH</t>
  </si>
  <si>
    <t>CN3917300000000</t>
  </si>
  <si>
    <t>Wood County, OH</t>
  </si>
  <si>
    <t>CN3917500000000</t>
  </si>
  <si>
    <t>Wyandot County, OH</t>
  </si>
  <si>
    <t>CN4000100000000</t>
  </si>
  <si>
    <t>Adair County, OK</t>
  </si>
  <si>
    <t>CN4000300000000</t>
  </si>
  <si>
    <t>Alfalfa County, OK</t>
  </si>
  <si>
    <t>CN4000500000000</t>
  </si>
  <si>
    <t>Atoka County, OK</t>
  </si>
  <si>
    <t>CN4000700000000</t>
  </si>
  <si>
    <t>Beaver County, OK</t>
  </si>
  <si>
    <t>CN4000900000000</t>
  </si>
  <si>
    <t>Beckham County, OK</t>
  </si>
  <si>
    <t>CN4001100000000</t>
  </si>
  <si>
    <t>Blaine County, OK</t>
  </si>
  <si>
    <t>CN4001300000000</t>
  </si>
  <si>
    <t>Bryan County, OK</t>
  </si>
  <si>
    <t>CN4001500000000</t>
  </si>
  <si>
    <t>Caddo County, OK</t>
  </si>
  <si>
    <t>CN4001700000000</t>
  </si>
  <si>
    <t>Canadian County, OK</t>
  </si>
  <si>
    <t>CN4001900000000</t>
  </si>
  <si>
    <t>Carter County, OK</t>
  </si>
  <si>
    <t>CN4002100000000</t>
  </si>
  <si>
    <t>Cherokee County, OK</t>
  </si>
  <si>
    <t>CN4002300000000</t>
  </si>
  <si>
    <t>Choctaw County, OK</t>
  </si>
  <si>
    <t>CN4002500000000</t>
  </si>
  <si>
    <t>Cimarron County, OK</t>
  </si>
  <si>
    <t>CN4002700000000</t>
  </si>
  <si>
    <t>Cleveland County, OK</t>
  </si>
  <si>
    <t>CN4002900000000</t>
  </si>
  <si>
    <t>Coal County, OK</t>
  </si>
  <si>
    <t>CN4003100000000</t>
  </si>
  <si>
    <t>Comanche County, OK</t>
  </si>
  <si>
    <t>CN4003300000000</t>
  </si>
  <si>
    <t>Cotton County, OK</t>
  </si>
  <si>
    <t>CN4003500000000</t>
  </si>
  <si>
    <t>Craig County, OK</t>
  </si>
  <si>
    <t>CN4003700000000</t>
  </si>
  <si>
    <t>Creek County, OK</t>
  </si>
  <si>
    <t>CN4003900000000</t>
  </si>
  <si>
    <t>Custer County, OK</t>
  </si>
  <si>
    <t>CN4004100000000</t>
  </si>
  <si>
    <t>Delaware County, OK</t>
  </si>
  <si>
    <t>CN4004300000000</t>
  </si>
  <si>
    <t>Dewey County, OK</t>
  </si>
  <si>
    <t>CN4004500000000</t>
  </si>
  <si>
    <t>Ellis County, OK</t>
  </si>
  <si>
    <t>CN4004700000000</t>
  </si>
  <si>
    <t>Garfield County, OK</t>
  </si>
  <si>
    <t>CN4004900000000</t>
  </si>
  <si>
    <t>Garvin County, OK</t>
  </si>
  <si>
    <t>CN4005100000000</t>
  </si>
  <si>
    <t>Grady County, OK</t>
  </si>
  <si>
    <t>CN4005300000000</t>
  </si>
  <si>
    <t>Grant County, OK</t>
  </si>
  <si>
    <t>CN4005500000000</t>
  </si>
  <si>
    <t>Greer County, OK</t>
  </si>
  <si>
    <t>CN4005700000000</t>
  </si>
  <si>
    <t>Harmon County, OK</t>
  </si>
  <si>
    <t>CN4005900000000</t>
  </si>
  <si>
    <t>Harper County, OK</t>
  </si>
  <si>
    <t>CN4006100000000</t>
  </si>
  <si>
    <t>Haskell County, OK</t>
  </si>
  <si>
    <t>CN4006300000000</t>
  </si>
  <si>
    <t>Hughes County, OK</t>
  </si>
  <si>
    <t>CN4006500000000</t>
  </si>
  <si>
    <t>Jackson County, OK</t>
  </si>
  <si>
    <t>CN4006700000000</t>
  </si>
  <si>
    <t>Jefferson County, OK</t>
  </si>
  <si>
    <t>CN4006900000000</t>
  </si>
  <si>
    <t>Johnston County, OK</t>
  </si>
  <si>
    <t>CN4007100000000</t>
  </si>
  <si>
    <t>Kay County, OK</t>
  </si>
  <si>
    <t>CN4007300000000</t>
  </si>
  <si>
    <t>Kingfisher County, OK</t>
  </si>
  <si>
    <t>CN4007500000000</t>
  </si>
  <si>
    <t>Kiowa County, OK</t>
  </si>
  <si>
    <t>CN4007700000000</t>
  </si>
  <si>
    <t>Latimer County, OK</t>
  </si>
  <si>
    <t>CN4007900000000</t>
  </si>
  <si>
    <t>Le Flore County, OK</t>
  </si>
  <si>
    <t>CN4008100000000</t>
  </si>
  <si>
    <t>Lincoln County, OK</t>
  </si>
  <si>
    <t>CN4008300000000</t>
  </si>
  <si>
    <t>Logan County, OK</t>
  </si>
  <si>
    <t>CN4008500000000</t>
  </si>
  <si>
    <t>Love County, OK</t>
  </si>
  <si>
    <t>CN4008700000000</t>
  </si>
  <si>
    <t>McClain County, OK</t>
  </si>
  <si>
    <t>CN4008900000000</t>
  </si>
  <si>
    <t>McCurtain County, OK</t>
  </si>
  <si>
    <t>CN4009100000000</t>
  </si>
  <si>
    <t>McIntosh County, OK</t>
  </si>
  <si>
    <t>CN4009300000000</t>
  </si>
  <si>
    <t>Major County, OK</t>
  </si>
  <si>
    <t>CN4009500000000</t>
  </si>
  <si>
    <t>Marshall County, OK</t>
  </si>
  <si>
    <t>CN4009700000000</t>
  </si>
  <si>
    <t>Mayes County, OK</t>
  </si>
  <si>
    <t>CN4009900000000</t>
  </si>
  <si>
    <t>Murray County, OK</t>
  </si>
  <si>
    <t>CN4010100000000</t>
  </si>
  <si>
    <t>Muskogee County, OK</t>
  </si>
  <si>
    <t>CN4010300000000</t>
  </si>
  <si>
    <t>Noble County, OK</t>
  </si>
  <si>
    <t>CN4010500000000</t>
  </si>
  <si>
    <t>Nowata County, OK</t>
  </si>
  <si>
    <t>CN4010700000000</t>
  </si>
  <si>
    <t>Okfuskee County, OK</t>
  </si>
  <si>
    <t>CN4010900000000</t>
  </si>
  <si>
    <t>Oklahoma County, OK</t>
  </si>
  <si>
    <t>CN4011100000000</t>
  </si>
  <si>
    <t>Okmulgee County, OK</t>
  </si>
  <si>
    <t>CN4011300000000</t>
  </si>
  <si>
    <t>Osage County, OK</t>
  </si>
  <si>
    <t>CN4011500000000</t>
  </si>
  <si>
    <t>Ottawa County, OK</t>
  </si>
  <si>
    <t>CN4011700000000</t>
  </si>
  <si>
    <t>Pawnee County, OK</t>
  </si>
  <si>
    <t>CN4011900000000</t>
  </si>
  <si>
    <t>Payne County, OK</t>
  </si>
  <si>
    <t>CN4012100000000</t>
  </si>
  <si>
    <t>Pittsburg County, OK</t>
  </si>
  <si>
    <t>CN4012300000000</t>
  </si>
  <si>
    <t>Pontotoc County, OK</t>
  </si>
  <si>
    <t>CN4012500000000</t>
  </si>
  <si>
    <t>Pottawatomie County, OK</t>
  </si>
  <si>
    <t>CN4012700000000</t>
  </si>
  <si>
    <t>Pushmataha County, OK</t>
  </si>
  <si>
    <t>CN4012900000000</t>
  </si>
  <si>
    <t>Roger Mills County, OK</t>
  </si>
  <si>
    <t>CN4013100000000</t>
  </si>
  <si>
    <t>Rogers County, OK</t>
  </si>
  <si>
    <t>CN4013300000000</t>
  </si>
  <si>
    <t>Seminole County, OK</t>
  </si>
  <si>
    <t>CN4013500000000</t>
  </si>
  <si>
    <t>Sequoyah County, OK</t>
  </si>
  <si>
    <t>CN4013700000000</t>
  </si>
  <si>
    <t>Stephens County, OK</t>
  </si>
  <si>
    <t>CN4013900000000</t>
  </si>
  <si>
    <t>Texas County, OK</t>
  </si>
  <si>
    <t>CN4014100000000</t>
  </si>
  <si>
    <t>Tillman County, OK</t>
  </si>
  <si>
    <t>CN4014300000000</t>
  </si>
  <si>
    <t>Tulsa County, OK</t>
  </si>
  <si>
    <t>CN4014500000000</t>
  </si>
  <si>
    <t>Wagoner County, OK</t>
  </si>
  <si>
    <t>CN4014700000000</t>
  </si>
  <si>
    <t>Washington County, OK</t>
  </si>
  <si>
    <t>CN4014900000000</t>
  </si>
  <si>
    <t>Washita County, OK</t>
  </si>
  <si>
    <t>CN4015100000000</t>
  </si>
  <si>
    <t>Woods County, OK</t>
  </si>
  <si>
    <t>CN4015300000000</t>
  </si>
  <si>
    <t>Woodward County, OK</t>
  </si>
  <si>
    <t>CN4100100000000</t>
  </si>
  <si>
    <t>Baker County, OR</t>
  </si>
  <si>
    <t>CN4100300000000</t>
  </si>
  <si>
    <t>Benton County, OR</t>
  </si>
  <si>
    <t>CN4100500000000</t>
  </si>
  <si>
    <t>Clackamas County, OR</t>
  </si>
  <si>
    <t>CN4100700000000</t>
  </si>
  <si>
    <t>Clatsop County, OR</t>
  </si>
  <si>
    <t>CN4100900000000</t>
  </si>
  <si>
    <t>Columbia County, OR</t>
  </si>
  <si>
    <t>CN4101100000000</t>
  </si>
  <si>
    <t>Coos County, OR</t>
  </si>
  <si>
    <t>CN4101300000000</t>
  </si>
  <si>
    <t>Crook County, OR</t>
  </si>
  <si>
    <t>CN4101500000000</t>
  </si>
  <si>
    <t>Curry County, OR</t>
  </si>
  <si>
    <t>CN4101700000000</t>
  </si>
  <si>
    <t>Deschutes County, OR</t>
  </si>
  <si>
    <t>CN4101900000000</t>
  </si>
  <si>
    <t>Douglas County, OR</t>
  </si>
  <si>
    <t>CN4102100000000</t>
  </si>
  <si>
    <t>Gilliam County, OR</t>
  </si>
  <si>
    <t>CN4102300000000</t>
  </si>
  <si>
    <t>Grant County, OR</t>
  </si>
  <si>
    <t>CN4102500000000</t>
  </si>
  <si>
    <t>Harney County, OR</t>
  </si>
  <si>
    <t>CN4102700000000</t>
  </si>
  <si>
    <t>Hood River County, OR</t>
  </si>
  <si>
    <t>CN4102900000000</t>
  </si>
  <si>
    <t>Jackson County, OR</t>
  </si>
  <si>
    <t>CN4103100000000</t>
  </si>
  <si>
    <t>Jefferson County, OR</t>
  </si>
  <si>
    <t>CN4103300000000</t>
  </si>
  <si>
    <t>Josephine County, OR</t>
  </si>
  <si>
    <t>CN4103500000000</t>
  </si>
  <si>
    <t>Klamath County, OR</t>
  </si>
  <si>
    <t>CN4103700000000</t>
  </si>
  <si>
    <t>Lake County, OR</t>
  </si>
  <si>
    <t>CN4103900000000</t>
  </si>
  <si>
    <t>Lane County, OR</t>
  </si>
  <si>
    <t>CN4104100000000</t>
  </si>
  <si>
    <t>Lincoln County, OR</t>
  </si>
  <si>
    <t>CN4104300000000</t>
  </si>
  <si>
    <t>Linn County, OR</t>
  </si>
  <si>
    <t>CN4104500000000</t>
  </si>
  <si>
    <t>Malheur County, OR</t>
  </si>
  <si>
    <t>CN4104700000000</t>
  </si>
  <si>
    <t>Marion County, OR</t>
  </si>
  <si>
    <t>CN4104900000000</t>
  </si>
  <si>
    <t>Morrow County, OR</t>
  </si>
  <si>
    <t>CN4105100000000</t>
  </si>
  <si>
    <t>Multnomah County, OR</t>
  </si>
  <si>
    <t>CN4105300000000</t>
  </si>
  <si>
    <t>Polk County, OR</t>
  </si>
  <si>
    <t>CN4105500000000</t>
  </si>
  <si>
    <t>Sherman County, OR</t>
  </si>
  <si>
    <t>CN4105700000000</t>
  </si>
  <si>
    <t>Tillamook County, OR</t>
  </si>
  <si>
    <t>CN4105900000000</t>
  </si>
  <si>
    <t>Umatilla County, OR</t>
  </si>
  <si>
    <t>CN4106100000000</t>
  </si>
  <si>
    <t>Union County, OR</t>
  </si>
  <si>
    <t>CN4106300000000</t>
  </si>
  <si>
    <t>Wallowa County, OR</t>
  </si>
  <si>
    <t>CN4106500000000</t>
  </si>
  <si>
    <t>Wasco County, OR</t>
  </si>
  <si>
    <t>CN4106700000000</t>
  </si>
  <si>
    <t>Washington County, OR</t>
  </si>
  <si>
    <t>CN4106900000000</t>
  </si>
  <si>
    <t>Wheeler County, OR</t>
  </si>
  <si>
    <t>CN4107100000000</t>
  </si>
  <si>
    <t>Yamhill County, OR</t>
  </si>
  <si>
    <t>CN4200100000000</t>
  </si>
  <si>
    <t>Adams County, PA</t>
  </si>
  <si>
    <t>CN4200300000000</t>
  </si>
  <si>
    <t>Allegheny County, PA</t>
  </si>
  <si>
    <t>CN4200500000000</t>
  </si>
  <si>
    <t>Armstrong County, PA</t>
  </si>
  <si>
    <t>CN4200700000000</t>
  </si>
  <si>
    <t>Beaver County, PA</t>
  </si>
  <si>
    <t>CN4200900000000</t>
  </si>
  <si>
    <t>Bedford County, PA</t>
  </si>
  <si>
    <t>CN4201100000000</t>
  </si>
  <si>
    <t>Berks County, PA</t>
  </si>
  <si>
    <t>CN4201300000000</t>
  </si>
  <si>
    <t>Blair County, PA</t>
  </si>
  <si>
    <t>CN4201500000000</t>
  </si>
  <si>
    <t>Bradford County, PA</t>
  </si>
  <si>
    <t>CN4201700000000</t>
  </si>
  <si>
    <t>Bucks County, PA</t>
  </si>
  <si>
    <t>CN4201900000000</t>
  </si>
  <si>
    <t>Butler County, PA</t>
  </si>
  <si>
    <t>CN4202100000000</t>
  </si>
  <si>
    <t>Cambria County, PA</t>
  </si>
  <si>
    <t>CN4202300000000</t>
  </si>
  <si>
    <t>Cameron County, PA</t>
  </si>
  <si>
    <t>CN4202500000000</t>
  </si>
  <si>
    <t>Carbon County, PA</t>
  </si>
  <si>
    <t>CN4202700000000</t>
  </si>
  <si>
    <t>Centre County, PA</t>
  </si>
  <si>
    <t>CN4202900000000</t>
  </si>
  <si>
    <t>Chester County, PA</t>
  </si>
  <si>
    <t>CN4203100000000</t>
  </si>
  <si>
    <t>Clarion County, PA</t>
  </si>
  <si>
    <t>CN4203300000000</t>
  </si>
  <si>
    <t>Clearfield County, PA</t>
  </si>
  <si>
    <t>CN4203500000000</t>
  </si>
  <si>
    <t>Clinton County, PA</t>
  </si>
  <si>
    <t>CN4203700000000</t>
  </si>
  <si>
    <t>Columbia County, PA</t>
  </si>
  <si>
    <t>CN4203900000000</t>
  </si>
  <si>
    <t>Crawford County, PA</t>
  </si>
  <si>
    <t>CN4204100000000</t>
  </si>
  <si>
    <t>Cumberland County, PA</t>
  </si>
  <si>
    <t>CN4204300000000</t>
  </si>
  <si>
    <t>Dauphin County, PA</t>
  </si>
  <si>
    <t>CN4204500000000</t>
  </si>
  <si>
    <t>Delaware County, PA</t>
  </si>
  <si>
    <t>CN4204700000000</t>
  </si>
  <si>
    <t>Elk County, PA</t>
  </si>
  <si>
    <t>CN4204900000000</t>
  </si>
  <si>
    <t>Erie County, PA</t>
  </si>
  <si>
    <t>CN4205100000000</t>
  </si>
  <si>
    <t>Fayette County, PA</t>
  </si>
  <si>
    <t>CN4205300000000</t>
  </si>
  <si>
    <t>Forest County, PA</t>
  </si>
  <si>
    <t>CN4205500000000</t>
  </si>
  <si>
    <t>Franklin County, PA</t>
  </si>
  <si>
    <t>CN4205700000000</t>
  </si>
  <si>
    <t>Fulton County, PA</t>
  </si>
  <si>
    <t>CN4205900000000</t>
  </si>
  <si>
    <t>Greene County, PA</t>
  </si>
  <si>
    <t>CN4206100000000</t>
  </si>
  <si>
    <t>Huntingdon County, PA</t>
  </si>
  <si>
    <t>CN4206300000000</t>
  </si>
  <si>
    <t>Indiana County, PA</t>
  </si>
  <si>
    <t>CN4206500000000</t>
  </si>
  <si>
    <t>Jefferson County, PA</t>
  </si>
  <si>
    <t>CN4206700000000</t>
  </si>
  <si>
    <t>Juniata County, PA</t>
  </si>
  <si>
    <t>CN4206900000000</t>
  </si>
  <si>
    <t>Lackawanna County, PA</t>
  </si>
  <si>
    <t>CN4207100000000</t>
  </si>
  <si>
    <t>Lancaster County, PA</t>
  </si>
  <si>
    <t>CN4207300000000</t>
  </si>
  <si>
    <t>Lawrence County, PA</t>
  </si>
  <si>
    <t>CN4207500000000</t>
  </si>
  <si>
    <t>Lebanon County, PA</t>
  </si>
  <si>
    <t>CN4207700000000</t>
  </si>
  <si>
    <t>Lehigh County, PA</t>
  </si>
  <si>
    <t>CN4207900000000</t>
  </si>
  <si>
    <t>Luzerne County, PA</t>
  </si>
  <si>
    <t>CN4208100000000</t>
  </si>
  <si>
    <t>Lycoming County, PA</t>
  </si>
  <si>
    <t>CN4208300000000</t>
  </si>
  <si>
    <t>McKean County, PA</t>
  </si>
  <si>
    <t>CN4208500000000</t>
  </si>
  <si>
    <t>Mercer County, PA</t>
  </si>
  <si>
    <t>CN4208700000000</t>
  </si>
  <si>
    <t>Mifflin County, PA</t>
  </si>
  <si>
    <t>CN4208900000000</t>
  </si>
  <si>
    <t>Monroe County, PA</t>
  </si>
  <si>
    <t>CN4209100000000</t>
  </si>
  <si>
    <t>Montgomery County, PA</t>
  </si>
  <si>
    <t>CN4209300000000</t>
  </si>
  <si>
    <t>Montour County, PA</t>
  </si>
  <si>
    <t>CN4209500000000</t>
  </si>
  <si>
    <t>Northampton County, PA</t>
  </si>
  <si>
    <t>CN4209700000000</t>
  </si>
  <si>
    <t>Northumberland County, PA</t>
  </si>
  <si>
    <t>CN4209900000000</t>
  </si>
  <si>
    <t>Perry County, PA</t>
  </si>
  <si>
    <t>CN4210100000000</t>
  </si>
  <si>
    <t>Philadelphia County/city, PA</t>
  </si>
  <si>
    <t>CN4210300000000</t>
  </si>
  <si>
    <t>Pike County, PA</t>
  </si>
  <si>
    <t>CN4210500000000</t>
  </si>
  <si>
    <t>Potter County, PA</t>
  </si>
  <si>
    <t>CN4210700000000</t>
  </si>
  <si>
    <t>Schuylkill County, PA</t>
  </si>
  <si>
    <t>CN4210900000000</t>
  </si>
  <si>
    <t>Snyder County, PA</t>
  </si>
  <si>
    <t>CN4211100000000</t>
  </si>
  <si>
    <t>Somerset County, PA</t>
  </si>
  <si>
    <t>CN4211300000000</t>
  </si>
  <si>
    <t>Sullivan County, PA</t>
  </si>
  <si>
    <t>CN4211500000000</t>
  </si>
  <si>
    <t>Susquehanna County, PA</t>
  </si>
  <si>
    <t>CN4211700000000</t>
  </si>
  <si>
    <t>Tioga County, PA</t>
  </si>
  <si>
    <t>CN4211900000000</t>
  </si>
  <si>
    <t>Union County, PA</t>
  </si>
  <si>
    <t>CN4212100000000</t>
  </si>
  <si>
    <t>Venango County, PA</t>
  </si>
  <si>
    <t>CN4212300000000</t>
  </si>
  <si>
    <t>Warren County, PA</t>
  </si>
  <si>
    <t>CN4212500000000</t>
  </si>
  <si>
    <t>Washington County, PA</t>
  </si>
  <si>
    <t>CN4212700000000</t>
  </si>
  <si>
    <t>Wayne County, PA</t>
  </si>
  <si>
    <t>CN4212900000000</t>
  </si>
  <si>
    <t>Westmoreland County, PA</t>
  </si>
  <si>
    <t>CN4213100000000</t>
  </si>
  <si>
    <t>Wyoming County, PA</t>
  </si>
  <si>
    <t>CN4213300000000</t>
  </si>
  <si>
    <t>York County, PA</t>
  </si>
  <si>
    <t>CN4400100000000</t>
  </si>
  <si>
    <t>Bristol County, RI</t>
  </si>
  <si>
    <t>CN4400300000000</t>
  </si>
  <si>
    <t>Kent County, RI</t>
  </si>
  <si>
    <t>CN4400500000000</t>
  </si>
  <si>
    <t>Newport County, RI</t>
  </si>
  <si>
    <t>CN4400700000000</t>
  </si>
  <si>
    <t>Providence County, RI</t>
  </si>
  <si>
    <t>CN4400900000000</t>
  </si>
  <si>
    <t>Washington County, RI</t>
  </si>
  <si>
    <t>CN4500100000000</t>
  </si>
  <si>
    <t>Abbeville County, SC</t>
  </si>
  <si>
    <t>CN4500300000000</t>
  </si>
  <si>
    <t>Aiken County, SC</t>
  </si>
  <si>
    <t>CN4500500000000</t>
  </si>
  <si>
    <t>Allendale County, SC</t>
  </si>
  <si>
    <t>CN4500700000000</t>
  </si>
  <si>
    <t>Anderson County, SC</t>
  </si>
  <si>
    <t>CN4500900000000</t>
  </si>
  <si>
    <t>Bamberg County, SC</t>
  </si>
  <si>
    <t>CN4501100000000</t>
  </si>
  <si>
    <t>Barnwell County, SC</t>
  </si>
  <si>
    <t>CN4501300000000</t>
  </si>
  <si>
    <t>Beaufort County, SC</t>
  </si>
  <si>
    <t>CN4501500000000</t>
  </si>
  <si>
    <t>Berkeley County, SC</t>
  </si>
  <si>
    <t>CN4501700000000</t>
  </si>
  <si>
    <t>Calhoun County, SC</t>
  </si>
  <si>
    <t>CN4501900000000</t>
  </si>
  <si>
    <t>Charleston County, SC</t>
  </si>
  <si>
    <t>CN4502100000000</t>
  </si>
  <si>
    <t>Cherokee County, SC</t>
  </si>
  <si>
    <t>CN4502300000000</t>
  </si>
  <si>
    <t>Chester County, SC</t>
  </si>
  <si>
    <t>CN4502500000000</t>
  </si>
  <si>
    <t>Chesterfield County, SC</t>
  </si>
  <si>
    <t>CN4502700000000</t>
  </si>
  <si>
    <t>Clarendon County, SC</t>
  </si>
  <si>
    <t>CN4502900000000</t>
  </si>
  <si>
    <t>Colleton County, SC</t>
  </si>
  <si>
    <t>CN4503100000000</t>
  </si>
  <si>
    <t>Darlington County, SC</t>
  </si>
  <si>
    <t>CN4503300000000</t>
  </si>
  <si>
    <t>Dillon County, SC</t>
  </si>
  <si>
    <t>CN4503500000000</t>
  </si>
  <si>
    <t>Dorchester County, SC</t>
  </si>
  <si>
    <t>CN4503700000000</t>
  </si>
  <si>
    <t>Edgefield County, SC</t>
  </si>
  <si>
    <t>CN4503900000000</t>
  </si>
  <si>
    <t>Fairfield County, SC</t>
  </si>
  <si>
    <t>CN4504100000000</t>
  </si>
  <si>
    <t>Florence County, SC</t>
  </si>
  <si>
    <t>CN4504300000000</t>
  </si>
  <si>
    <t>Georgetown County, SC</t>
  </si>
  <si>
    <t>CN4504500000000</t>
  </si>
  <si>
    <t>Greenville County, SC</t>
  </si>
  <si>
    <t>CN4504700000000</t>
  </si>
  <si>
    <t>Greenwood County, SC</t>
  </si>
  <si>
    <t>CN4504900000000</t>
  </si>
  <si>
    <t>Hampton County, SC</t>
  </si>
  <si>
    <t>CN4505100000000</t>
  </si>
  <si>
    <t>Horry County, SC</t>
  </si>
  <si>
    <t>CN4505300000000</t>
  </si>
  <si>
    <t>Jasper County, SC</t>
  </si>
  <si>
    <t>CN4505500000000</t>
  </si>
  <si>
    <t>Kershaw County, SC</t>
  </si>
  <si>
    <t>CN4505700000000</t>
  </si>
  <si>
    <t>Lancaster County, SC</t>
  </si>
  <si>
    <t>CN4505900000000</t>
  </si>
  <si>
    <t>Laurens County, SC</t>
  </si>
  <si>
    <t>CN4506100000000</t>
  </si>
  <si>
    <t>Lee County, SC</t>
  </si>
  <si>
    <t>CN4506300000000</t>
  </si>
  <si>
    <t>Lexington County, SC</t>
  </si>
  <si>
    <t>CN4506500000000</t>
  </si>
  <si>
    <t>McCormick County, SC</t>
  </si>
  <si>
    <t>CN4506700000000</t>
  </si>
  <si>
    <t>Marion County, SC</t>
  </si>
  <si>
    <t>CN4506900000000</t>
  </si>
  <si>
    <t>Marlboro County, SC</t>
  </si>
  <si>
    <t>CN4507100000000</t>
  </si>
  <si>
    <t>Newberry County, SC</t>
  </si>
  <si>
    <t>CN4507300000000</t>
  </si>
  <si>
    <t>Oconee County, SC</t>
  </si>
  <si>
    <t>CN4507500000000</t>
  </si>
  <si>
    <t>Orangeburg County, SC</t>
  </si>
  <si>
    <t>CN4507700000000</t>
  </si>
  <si>
    <t>Pickens County, SC</t>
  </si>
  <si>
    <t>CN4507900000000</t>
  </si>
  <si>
    <t>Richland County, SC</t>
  </si>
  <si>
    <t>CN4508100000000</t>
  </si>
  <si>
    <t>Saluda County, SC</t>
  </si>
  <si>
    <t>CN4508300000000</t>
  </si>
  <si>
    <t>Spartanburg County, SC</t>
  </si>
  <si>
    <t>CN4508500000000</t>
  </si>
  <si>
    <t>Sumter County, SC</t>
  </si>
  <si>
    <t>CN4508700000000</t>
  </si>
  <si>
    <t>Union County, SC</t>
  </si>
  <si>
    <t>CN4508900000000</t>
  </si>
  <si>
    <t>Williamsburg County, SC</t>
  </si>
  <si>
    <t>CN4509100000000</t>
  </si>
  <si>
    <t>York County, SC</t>
  </si>
  <si>
    <t>CN4600300000000</t>
  </si>
  <si>
    <t>Aurora County, SD</t>
  </si>
  <si>
    <t>CN4600500000000</t>
  </si>
  <si>
    <t>Beadle County, SD</t>
  </si>
  <si>
    <t>CN4600700000000</t>
  </si>
  <si>
    <t>Bennett County, SD</t>
  </si>
  <si>
    <t>CN4600900000000</t>
  </si>
  <si>
    <t>Bon Homme County, SD</t>
  </si>
  <si>
    <t>CN4601100000000</t>
  </si>
  <si>
    <t>Brookings County, SD</t>
  </si>
  <si>
    <t>CN4601300000000</t>
  </si>
  <si>
    <t>Brown County, SD</t>
  </si>
  <si>
    <t>CN4601500000000</t>
  </si>
  <si>
    <t>Brule County, SD</t>
  </si>
  <si>
    <t>CN4601700000000</t>
  </si>
  <si>
    <t>Buffalo County, SD</t>
  </si>
  <si>
    <t>CN4601900000000</t>
  </si>
  <si>
    <t>Butte County, SD</t>
  </si>
  <si>
    <t>CN4602100000000</t>
  </si>
  <si>
    <t>Campbell County, SD</t>
  </si>
  <si>
    <t>CN4602300000000</t>
  </si>
  <si>
    <t>Charles Mix County, SD</t>
  </si>
  <si>
    <t>CN4602500000000</t>
  </si>
  <si>
    <t>Clark County, SD</t>
  </si>
  <si>
    <t>CN4602700000000</t>
  </si>
  <si>
    <t>Clay County, SD</t>
  </si>
  <si>
    <t>CN4602900000000</t>
  </si>
  <si>
    <t>Codington County, SD</t>
  </si>
  <si>
    <t>CN4603100000000</t>
  </si>
  <si>
    <t>Corson County, SD</t>
  </si>
  <si>
    <t>CN4603300000000</t>
  </si>
  <si>
    <t>Custer County, SD</t>
  </si>
  <si>
    <t>CN4603500000000</t>
  </si>
  <si>
    <t>Davison County, SD</t>
  </si>
  <si>
    <t>CN4603700000000</t>
  </si>
  <si>
    <t>Day County, SD</t>
  </si>
  <si>
    <t>CN4603900000000</t>
  </si>
  <si>
    <t>Deuel County, SD</t>
  </si>
  <si>
    <t>CN4604100000000</t>
  </si>
  <si>
    <t>Dewey County, SD</t>
  </si>
  <si>
    <t>CN4604300000000</t>
  </si>
  <si>
    <t>Douglas County, SD</t>
  </si>
  <si>
    <t>CN4604500000000</t>
  </si>
  <si>
    <t>Edmunds County, SD</t>
  </si>
  <si>
    <t>CN4604700000000</t>
  </si>
  <si>
    <t>Fall River County, SD</t>
  </si>
  <si>
    <t>CN4604900000000</t>
  </si>
  <si>
    <t>Faulk County, SD</t>
  </si>
  <si>
    <t>CN4605100000000</t>
  </si>
  <si>
    <t>Grant County, SD</t>
  </si>
  <si>
    <t>CN4605300000000</t>
  </si>
  <si>
    <t>Gregory County, SD</t>
  </si>
  <si>
    <t>CN4605500000000</t>
  </si>
  <si>
    <t>Haakon County, SD</t>
  </si>
  <si>
    <t>CN4605700000000</t>
  </si>
  <si>
    <t>Hamlin County, SD</t>
  </si>
  <si>
    <t>CN4605900000000</t>
  </si>
  <si>
    <t>Hand County, SD</t>
  </si>
  <si>
    <t>CN4606100000000</t>
  </si>
  <si>
    <t>Hanson County, SD</t>
  </si>
  <si>
    <t>CN4606300000000</t>
  </si>
  <si>
    <t>Harding County, SD</t>
  </si>
  <si>
    <t>CN4606500000000</t>
  </si>
  <si>
    <t>Hughes County, SD</t>
  </si>
  <si>
    <t>CN4606700000000</t>
  </si>
  <si>
    <t>Hutchinson County, SD</t>
  </si>
  <si>
    <t>CN4606900000000</t>
  </si>
  <si>
    <t>Hyde County, SD</t>
  </si>
  <si>
    <t>CN4607100000000</t>
  </si>
  <si>
    <t>Jackson County, SD</t>
  </si>
  <si>
    <t>CN4607300000000</t>
  </si>
  <si>
    <t>Jerauld County, SD</t>
  </si>
  <si>
    <t>CN4607500000000</t>
  </si>
  <si>
    <t>Jones County, SD</t>
  </si>
  <si>
    <t>CN4607700000000</t>
  </si>
  <si>
    <t>Kingsbury County, SD</t>
  </si>
  <si>
    <t>CN4607900000000</t>
  </si>
  <si>
    <t>Lake County, SD</t>
  </si>
  <si>
    <t>CN4608100000000</t>
  </si>
  <si>
    <t>Lawrence County, SD</t>
  </si>
  <si>
    <t>CN4608300000000</t>
  </si>
  <si>
    <t>Lincoln County, SD</t>
  </si>
  <si>
    <t>CN4608500000000</t>
  </si>
  <si>
    <t>Lyman County, SD</t>
  </si>
  <si>
    <t>CN4608700000000</t>
  </si>
  <si>
    <t>McCook County, SD</t>
  </si>
  <si>
    <t>CN4608900000000</t>
  </si>
  <si>
    <t>McPherson County, SD</t>
  </si>
  <si>
    <t>CN4609100000000</t>
  </si>
  <si>
    <t>Marshall County, SD</t>
  </si>
  <si>
    <t>CN4609300000000</t>
  </si>
  <si>
    <t>Meade County, SD</t>
  </si>
  <si>
    <t>CN4609500000000</t>
  </si>
  <si>
    <t>Mellette County, SD</t>
  </si>
  <si>
    <t>CN4609700000000</t>
  </si>
  <si>
    <t>Miner County, SD</t>
  </si>
  <si>
    <t>CN4609900000000</t>
  </si>
  <si>
    <t>Minnehaha County, SD</t>
  </si>
  <si>
    <t>CN4610100000000</t>
  </si>
  <si>
    <t>Moody County, SD</t>
  </si>
  <si>
    <t>CN4610200000000</t>
  </si>
  <si>
    <t>Oglala Lakota County, SD</t>
  </si>
  <si>
    <t>CN4610300000000</t>
  </si>
  <si>
    <t>Pennington County, SD</t>
  </si>
  <si>
    <t>CN4610500000000</t>
  </si>
  <si>
    <t>Perkins County, SD</t>
  </si>
  <si>
    <t>CN4610700000000</t>
  </si>
  <si>
    <t>Potter County, SD</t>
  </si>
  <si>
    <t>CN4610900000000</t>
  </si>
  <si>
    <t>Roberts County, SD</t>
  </si>
  <si>
    <t>CN4611100000000</t>
  </si>
  <si>
    <t>Sanborn County, SD</t>
  </si>
  <si>
    <t>CN4611500000000</t>
  </si>
  <si>
    <t>Spink County, SD</t>
  </si>
  <si>
    <t>CN4611700000000</t>
  </si>
  <si>
    <t>Stanley County, SD</t>
  </si>
  <si>
    <t>CN4611900000000</t>
  </si>
  <si>
    <t>Sully County, SD</t>
  </si>
  <si>
    <t>CN4612100000000</t>
  </si>
  <si>
    <t>Todd County, SD</t>
  </si>
  <si>
    <t>CN4612300000000</t>
  </si>
  <si>
    <t>Tripp County, SD</t>
  </si>
  <si>
    <t>CN4612500000000</t>
  </si>
  <si>
    <t>Turner County, SD</t>
  </si>
  <si>
    <t>CN4612700000000</t>
  </si>
  <si>
    <t>Union County, SD</t>
  </si>
  <si>
    <t>CN4612900000000</t>
  </si>
  <si>
    <t>Walworth County, SD</t>
  </si>
  <si>
    <t>CN4613500000000</t>
  </si>
  <si>
    <t>Yankton County, SD</t>
  </si>
  <si>
    <t>CN4613700000000</t>
  </si>
  <si>
    <t>Ziebach County, SD</t>
  </si>
  <si>
    <t>CN4700100000000</t>
  </si>
  <si>
    <t>Anderson County, TN</t>
  </si>
  <si>
    <t>CN4700300000000</t>
  </si>
  <si>
    <t>Bedford County, TN</t>
  </si>
  <si>
    <t>CN4700500000000</t>
  </si>
  <si>
    <t>Benton County, TN</t>
  </si>
  <si>
    <t>CN4700700000000</t>
  </si>
  <si>
    <t>Bledsoe County, TN</t>
  </si>
  <si>
    <t>CN4700900000000</t>
  </si>
  <si>
    <t>Blount County, TN</t>
  </si>
  <si>
    <t>CN4701100000000</t>
  </si>
  <si>
    <t>Bradley County, TN</t>
  </si>
  <si>
    <t>CN4701300000000</t>
  </si>
  <si>
    <t>Campbell County, TN</t>
  </si>
  <si>
    <t>CN4701500000000</t>
  </si>
  <si>
    <t>Cannon County, TN</t>
  </si>
  <si>
    <t>CN4701700000000</t>
  </si>
  <si>
    <t>Carroll County, TN</t>
  </si>
  <si>
    <t>CN4701900000000</t>
  </si>
  <si>
    <t>Carter County, TN</t>
  </si>
  <si>
    <t>CN4702100000000</t>
  </si>
  <si>
    <t>Cheatham County, TN</t>
  </si>
  <si>
    <t>CN4702300000000</t>
  </si>
  <si>
    <t>Chester County, TN</t>
  </si>
  <si>
    <t>CN4702500000000</t>
  </si>
  <si>
    <t>Claiborne County, TN</t>
  </si>
  <si>
    <t>CN4702700000000</t>
  </si>
  <si>
    <t>Clay County, TN</t>
  </si>
  <si>
    <t>CN4702900000000</t>
  </si>
  <si>
    <t>Cocke County, TN</t>
  </si>
  <si>
    <t>CN4703100000000</t>
  </si>
  <si>
    <t>Coffee County, TN</t>
  </si>
  <si>
    <t>CN4703300000000</t>
  </si>
  <si>
    <t>Crockett County, TN</t>
  </si>
  <si>
    <t>CN4703500000000</t>
  </si>
  <si>
    <t>Cumberland County, TN</t>
  </si>
  <si>
    <t>CN4703700000000</t>
  </si>
  <si>
    <t>Davidson County, TN</t>
  </si>
  <si>
    <t>CN4703900000000</t>
  </si>
  <si>
    <t>Decatur County, TN</t>
  </si>
  <si>
    <t>CN4704100000000</t>
  </si>
  <si>
    <t>DeKalb County, TN</t>
  </si>
  <si>
    <t>CN4704300000000</t>
  </si>
  <si>
    <t>Dickson County, TN</t>
  </si>
  <si>
    <t>CN4704500000000</t>
  </si>
  <si>
    <t>Dyer County, TN</t>
  </si>
  <si>
    <t>CN4704700000000</t>
  </si>
  <si>
    <t>Fayette County, TN</t>
  </si>
  <si>
    <t>CN4704900000000</t>
  </si>
  <si>
    <t>Fentress County, TN</t>
  </si>
  <si>
    <t>CN4705100000000</t>
  </si>
  <si>
    <t>Franklin County, TN</t>
  </si>
  <si>
    <t>CN4705300000000</t>
  </si>
  <si>
    <t>Gibson County, TN</t>
  </si>
  <si>
    <t>CN4705500000000</t>
  </si>
  <si>
    <t>Giles County, TN</t>
  </si>
  <si>
    <t>CN4705700000000</t>
  </si>
  <si>
    <t>Grainger County, TN</t>
  </si>
  <si>
    <t>CN4705900000000</t>
  </si>
  <si>
    <t>Greene County, TN</t>
  </si>
  <si>
    <t>CN4706100000000</t>
  </si>
  <si>
    <t>Grundy County, TN</t>
  </si>
  <si>
    <t>CN4706300000000</t>
  </si>
  <si>
    <t>Hamblen County, TN</t>
  </si>
  <si>
    <t>CN4706500000000</t>
  </si>
  <si>
    <t>Hamilton County, TN</t>
  </si>
  <si>
    <t>CN4706700000000</t>
  </si>
  <si>
    <t>Hancock County, TN</t>
  </si>
  <si>
    <t>CN4706900000000</t>
  </si>
  <si>
    <t>Hardeman County, TN</t>
  </si>
  <si>
    <t>CN4707100000000</t>
  </si>
  <si>
    <t>Hardin County, TN</t>
  </si>
  <si>
    <t>CN4707300000000</t>
  </si>
  <si>
    <t>Hawkins County, TN</t>
  </si>
  <si>
    <t>CN4707500000000</t>
  </si>
  <si>
    <t>Haywood County, TN</t>
  </si>
  <si>
    <t>CN4707700000000</t>
  </si>
  <si>
    <t>Henderson County, TN</t>
  </si>
  <si>
    <t>CN4707900000000</t>
  </si>
  <si>
    <t>Henry County, TN</t>
  </si>
  <si>
    <t>CN4708100000000</t>
  </si>
  <si>
    <t>Hickman County, TN</t>
  </si>
  <si>
    <t>CN4708300000000</t>
  </si>
  <si>
    <t>Houston County, TN</t>
  </si>
  <si>
    <t>CN4708500000000</t>
  </si>
  <si>
    <t>Humphreys County, TN</t>
  </si>
  <si>
    <t>CN4708700000000</t>
  </si>
  <si>
    <t>Jackson County, TN</t>
  </si>
  <si>
    <t>CN4708900000000</t>
  </si>
  <si>
    <t>Jefferson County, TN</t>
  </si>
  <si>
    <t>CN4709100000000</t>
  </si>
  <si>
    <t>Johnson County, TN</t>
  </si>
  <si>
    <t>CN4709300000000</t>
  </si>
  <si>
    <t>Knox County, TN</t>
  </si>
  <si>
    <t>CN4709500000000</t>
  </si>
  <si>
    <t>Lake County, TN</t>
  </si>
  <si>
    <t>CN4709700000000</t>
  </si>
  <si>
    <t>Lauderdale County, TN</t>
  </si>
  <si>
    <t>CN4709900000000</t>
  </si>
  <si>
    <t>Lawrence County, TN</t>
  </si>
  <si>
    <t>CN4710100000000</t>
  </si>
  <si>
    <t>Lewis County, TN</t>
  </si>
  <si>
    <t>CN4710300000000</t>
  </si>
  <si>
    <t>Lincoln County, TN</t>
  </si>
  <si>
    <t>CN4710500000000</t>
  </si>
  <si>
    <t>Loudon County, TN</t>
  </si>
  <si>
    <t>CN4710700000000</t>
  </si>
  <si>
    <t>McMinn County, TN</t>
  </si>
  <si>
    <t>CN4710900000000</t>
  </si>
  <si>
    <t>McNairy County, TN</t>
  </si>
  <si>
    <t>CN4711100000000</t>
  </si>
  <si>
    <t>Macon County, TN</t>
  </si>
  <si>
    <t>CN4711300000000</t>
  </si>
  <si>
    <t>Madison County, TN</t>
  </si>
  <si>
    <t>CN4711500000000</t>
  </si>
  <si>
    <t>Marion County, TN</t>
  </si>
  <si>
    <t>CN4711700000000</t>
  </si>
  <si>
    <t>Marshall County, TN</t>
  </si>
  <si>
    <t>CN4711900000000</t>
  </si>
  <si>
    <t>Maury County, TN</t>
  </si>
  <si>
    <t>CN4712100000000</t>
  </si>
  <si>
    <t>Meigs County, TN</t>
  </si>
  <si>
    <t>CN4712300000000</t>
  </si>
  <si>
    <t>Monroe County, TN</t>
  </si>
  <si>
    <t>CN4712500000000</t>
  </si>
  <si>
    <t>Montgomery County, TN</t>
  </si>
  <si>
    <t>CN4712700000000</t>
  </si>
  <si>
    <t>Moore County, TN</t>
  </si>
  <si>
    <t>CN4712900000000</t>
  </si>
  <si>
    <t>Morgan County, TN</t>
  </si>
  <si>
    <t>CN4713100000000</t>
  </si>
  <si>
    <t>Obion County, TN</t>
  </si>
  <si>
    <t>CN4713300000000</t>
  </si>
  <si>
    <t>Overton County, TN</t>
  </si>
  <si>
    <t>CN4713500000000</t>
  </si>
  <si>
    <t>Perry County, TN</t>
  </si>
  <si>
    <t>CN4713700000000</t>
  </si>
  <si>
    <t>Pickett County, TN</t>
  </si>
  <si>
    <t>CN4713900000000</t>
  </si>
  <si>
    <t>Polk County, TN</t>
  </si>
  <si>
    <t>CN4714100000000</t>
  </si>
  <si>
    <t>Putnam County, TN</t>
  </si>
  <si>
    <t>CN4714300000000</t>
  </si>
  <si>
    <t>Rhea County, TN</t>
  </si>
  <si>
    <t>CN4714500000000</t>
  </si>
  <si>
    <t>Roane County, TN</t>
  </si>
  <si>
    <t>CN4714700000000</t>
  </si>
  <si>
    <t>Robertson County, TN</t>
  </si>
  <si>
    <t>CN4714900000000</t>
  </si>
  <si>
    <t>Rutherford County, TN</t>
  </si>
  <si>
    <t>CN4715100000000</t>
  </si>
  <si>
    <t>Scott County, TN</t>
  </si>
  <si>
    <t>CN4715300000000</t>
  </si>
  <si>
    <t>Sequatchie County, TN</t>
  </si>
  <si>
    <t>CN4715500000000</t>
  </si>
  <si>
    <t>Sevier County, TN</t>
  </si>
  <si>
    <t>CN4715700000000</t>
  </si>
  <si>
    <t>Shelby County, TN</t>
  </si>
  <si>
    <t>CN4715900000000</t>
  </si>
  <si>
    <t>Smith County, TN</t>
  </si>
  <si>
    <t>CN4716100000000</t>
  </si>
  <si>
    <t>Stewart County, TN</t>
  </si>
  <si>
    <t>CN4716300000000</t>
  </si>
  <si>
    <t>Sullivan County, TN</t>
  </si>
  <si>
    <t>CN4716500000000</t>
  </si>
  <si>
    <t>Sumner County, TN</t>
  </si>
  <si>
    <t>CN4716700000000</t>
  </si>
  <si>
    <t>Tipton County, TN</t>
  </si>
  <si>
    <t>CN4716900000000</t>
  </si>
  <si>
    <t>Trousdale County, TN</t>
  </si>
  <si>
    <t>CN4717100000000</t>
  </si>
  <si>
    <t>Unicoi County, TN</t>
  </si>
  <si>
    <t>CN4717300000000</t>
  </si>
  <si>
    <t>Union County, TN</t>
  </si>
  <si>
    <t>CN4717500000000</t>
  </si>
  <si>
    <t>Van Buren County, TN</t>
  </si>
  <si>
    <t>CN4717700000000</t>
  </si>
  <si>
    <t>Warren County, TN</t>
  </si>
  <si>
    <t>CN4717900000000</t>
  </si>
  <si>
    <t>Washington County, TN</t>
  </si>
  <si>
    <t>CN4718100000000</t>
  </si>
  <si>
    <t>Wayne County, TN</t>
  </si>
  <si>
    <t>CN4718300000000</t>
  </si>
  <si>
    <t>Weakley County, TN</t>
  </si>
  <si>
    <t>CN4718500000000</t>
  </si>
  <si>
    <t>White County, TN</t>
  </si>
  <si>
    <t>CN4718700000000</t>
  </si>
  <si>
    <t>Williamson County, TN</t>
  </si>
  <si>
    <t>CN4718900000000</t>
  </si>
  <si>
    <t>Wilson County, TN</t>
  </si>
  <si>
    <t>CN4800100000000</t>
  </si>
  <si>
    <t>Anderson County, TX</t>
  </si>
  <si>
    <t>CN4800300000000</t>
  </si>
  <si>
    <t>Andrews County, TX</t>
  </si>
  <si>
    <t>CN4800500000000</t>
  </si>
  <si>
    <t>Angelina County, TX</t>
  </si>
  <si>
    <t>CN4800700000000</t>
  </si>
  <si>
    <t>Aransas County, TX</t>
  </si>
  <si>
    <t>CN4800900000000</t>
  </si>
  <si>
    <t>Archer County, TX</t>
  </si>
  <si>
    <t>CN4801100000000</t>
  </si>
  <si>
    <t>Armstrong County, TX</t>
  </si>
  <si>
    <t>CN4801300000000</t>
  </si>
  <si>
    <t>Atascosa County, TX</t>
  </si>
  <si>
    <t>CN4801500000000</t>
  </si>
  <si>
    <t>Austin County, TX</t>
  </si>
  <si>
    <t>CN4801700000000</t>
  </si>
  <si>
    <t>Bailey County, TX</t>
  </si>
  <si>
    <t>CN4801900000000</t>
  </si>
  <si>
    <t>Bandera County, TX</t>
  </si>
  <si>
    <t>CN4802100000000</t>
  </si>
  <si>
    <t>Bastrop County, TX</t>
  </si>
  <si>
    <t>CN4802300000000</t>
  </si>
  <si>
    <t>Baylor County, TX</t>
  </si>
  <si>
    <t>CN4802500000000</t>
  </si>
  <si>
    <t>Bee County, TX</t>
  </si>
  <si>
    <t>CN4802700000000</t>
  </si>
  <si>
    <t>Bell County, TX</t>
  </si>
  <si>
    <t>CN4802900000000</t>
  </si>
  <si>
    <t>Bexar County, TX</t>
  </si>
  <si>
    <t>CN4803100000000</t>
  </si>
  <si>
    <t>Blanco County, TX</t>
  </si>
  <si>
    <t>CN4803300000000</t>
  </si>
  <si>
    <t>Borden County, TX</t>
  </si>
  <si>
    <t>CN4803500000000</t>
  </si>
  <si>
    <t>Bosque County, TX</t>
  </si>
  <si>
    <t>CN4803700000000</t>
  </si>
  <si>
    <t>Bowie County, TX</t>
  </si>
  <si>
    <t>CN4803900000000</t>
  </si>
  <si>
    <t>Brazoria County, TX</t>
  </si>
  <si>
    <t>CN4804100000000</t>
  </si>
  <si>
    <t>Brazos County, TX</t>
  </si>
  <si>
    <t>CN4804300000000</t>
  </si>
  <si>
    <t>Brewster County, TX</t>
  </si>
  <si>
    <t>CN4804500000000</t>
  </si>
  <si>
    <t>Briscoe County, TX</t>
  </si>
  <si>
    <t>CN4804700000000</t>
  </si>
  <si>
    <t>Brooks County, TX</t>
  </si>
  <si>
    <t>CN4804900000000</t>
  </si>
  <si>
    <t>Brown County, TX</t>
  </si>
  <si>
    <t>CN4805100000000</t>
  </si>
  <si>
    <t>Burleson County, TX</t>
  </si>
  <si>
    <t>CN4805300000000</t>
  </si>
  <si>
    <t>Burnet County, TX</t>
  </si>
  <si>
    <t>CN4805500000000</t>
  </si>
  <si>
    <t>Caldwell County, TX</t>
  </si>
  <si>
    <t>CN4805700000000</t>
  </si>
  <si>
    <t>Calhoun County, TX</t>
  </si>
  <si>
    <t>CN4805900000000</t>
  </si>
  <si>
    <t>Callahan County, TX</t>
  </si>
  <si>
    <t>CN4806100000000</t>
  </si>
  <si>
    <t>Cameron County, TX</t>
  </si>
  <si>
    <t>CN4806300000000</t>
  </si>
  <si>
    <t>Camp County, TX</t>
  </si>
  <si>
    <t>CN4806500000000</t>
  </si>
  <si>
    <t>Carson County, TX</t>
  </si>
  <si>
    <t>CN4806700000000</t>
  </si>
  <si>
    <t>Cass County, TX</t>
  </si>
  <si>
    <t>CN4806900000000</t>
  </si>
  <si>
    <t>Castro County, TX</t>
  </si>
  <si>
    <t>CN4807100000000</t>
  </si>
  <si>
    <t>Chambers County, TX</t>
  </si>
  <si>
    <t>CN4807300000000</t>
  </si>
  <si>
    <t>Cherokee County, TX</t>
  </si>
  <si>
    <t>CN4807500000000</t>
  </si>
  <si>
    <t>Childress County, TX</t>
  </si>
  <si>
    <t>CN4807700000000</t>
  </si>
  <si>
    <t>Clay County, TX</t>
  </si>
  <si>
    <t>CN4807900000000</t>
  </si>
  <si>
    <t>Cochran County, TX</t>
  </si>
  <si>
    <t>CN4808100000000</t>
  </si>
  <si>
    <t>Coke County, TX</t>
  </si>
  <si>
    <t>CN4808300000000</t>
  </si>
  <si>
    <t>Coleman County, TX</t>
  </si>
  <si>
    <t>CN4808500000000</t>
  </si>
  <si>
    <t>Collin County, TX</t>
  </si>
  <si>
    <t>CN4808700000000</t>
  </si>
  <si>
    <t>Collingsworth County, TX</t>
  </si>
  <si>
    <t>CN4808900000000</t>
  </si>
  <si>
    <t>Colorado County, TX</t>
  </si>
  <si>
    <t>CN4809100000000</t>
  </si>
  <si>
    <t>Comal County, TX</t>
  </si>
  <si>
    <t>CN4809300000000</t>
  </si>
  <si>
    <t>Comanche County, TX</t>
  </si>
  <si>
    <t>CN4809500000000</t>
  </si>
  <si>
    <t>Concho County, TX</t>
  </si>
  <si>
    <t>CN4809700000000</t>
  </si>
  <si>
    <t>Cooke County, TX</t>
  </si>
  <si>
    <t>CN4809900000000</t>
  </si>
  <si>
    <t>Coryell County, TX</t>
  </si>
  <si>
    <t>CN4810100000000</t>
  </si>
  <si>
    <t>Cottle County, TX</t>
  </si>
  <si>
    <t>CN4810300000000</t>
  </si>
  <si>
    <t>Crane County, TX</t>
  </si>
  <si>
    <t>CN4810500000000</t>
  </si>
  <si>
    <t>Crockett County, TX</t>
  </si>
  <si>
    <t>CN4810700000000</t>
  </si>
  <si>
    <t>Crosby County, TX</t>
  </si>
  <si>
    <t>CN4810900000000</t>
  </si>
  <si>
    <t>Culberson County, TX</t>
  </si>
  <si>
    <t>CN4811100000000</t>
  </si>
  <si>
    <t>Dallam County, TX</t>
  </si>
  <si>
    <t>CN4811300000000</t>
  </si>
  <si>
    <t>Dallas County, TX</t>
  </si>
  <si>
    <t>CN4811500000000</t>
  </si>
  <si>
    <t>Dawson County, TX</t>
  </si>
  <si>
    <t>CN4811700000000</t>
  </si>
  <si>
    <t>Deaf Smith County, TX</t>
  </si>
  <si>
    <t>CN4811900000000</t>
  </si>
  <si>
    <t>Delta County, TX</t>
  </si>
  <si>
    <t>CN4812100000000</t>
  </si>
  <si>
    <t>Denton County, TX</t>
  </si>
  <si>
    <t>CN4812300000000</t>
  </si>
  <si>
    <t>DeWitt County, TX</t>
  </si>
  <si>
    <t>CN4812500000000</t>
  </si>
  <si>
    <t>Dickens County, TX</t>
  </si>
  <si>
    <t>CN4812700000000</t>
  </si>
  <si>
    <t>Dimmit County, TX</t>
  </si>
  <si>
    <t>CN4812900000000</t>
  </si>
  <si>
    <t>Donley County, TX</t>
  </si>
  <si>
    <t>CN4813100000000</t>
  </si>
  <si>
    <t>Duval County, TX</t>
  </si>
  <si>
    <t>CN4813300000000</t>
  </si>
  <si>
    <t>Eastland County, TX</t>
  </si>
  <si>
    <t>CN4813500000000</t>
  </si>
  <si>
    <t>Ector County, TX</t>
  </si>
  <si>
    <t>CN4813700000000</t>
  </si>
  <si>
    <t>Edwards County, TX</t>
  </si>
  <si>
    <t>CN4813900000000</t>
  </si>
  <si>
    <t>Ellis County, TX</t>
  </si>
  <si>
    <t>CN4814100000000</t>
  </si>
  <si>
    <t>El Paso County, TX</t>
  </si>
  <si>
    <t>CN4814300000000</t>
  </si>
  <si>
    <t>Erath County, TX</t>
  </si>
  <si>
    <t>CN4814500000000</t>
  </si>
  <si>
    <t>Falls County, TX</t>
  </si>
  <si>
    <t>CN4814700000000</t>
  </si>
  <si>
    <t>Fannin County, TX</t>
  </si>
  <si>
    <t>CN4814900000000</t>
  </si>
  <si>
    <t>Fayette County, TX</t>
  </si>
  <si>
    <t>CN4815100000000</t>
  </si>
  <si>
    <t>Fisher County, TX</t>
  </si>
  <si>
    <t>CN4815300000000</t>
  </si>
  <si>
    <t>Floyd County, TX</t>
  </si>
  <si>
    <t>CN4815500000000</t>
  </si>
  <si>
    <t>Foard County, TX</t>
  </si>
  <si>
    <t>CN4815700000000</t>
  </si>
  <si>
    <t>Fort Bend County, TX</t>
  </si>
  <si>
    <t>CN4815900000000</t>
  </si>
  <si>
    <t>Franklin County, TX</t>
  </si>
  <si>
    <t>CN4816100000000</t>
  </si>
  <si>
    <t>Freestone County, TX</t>
  </si>
  <si>
    <t>CN4816300000000</t>
  </si>
  <si>
    <t>Frio County, TX</t>
  </si>
  <si>
    <t>CN4816500000000</t>
  </si>
  <si>
    <t>Gaines County, TX</t>
  </si>
  <si>
    <t>CN4816700000000</t>
  </si>
  <si>
    <t>Galveston County, TX</t>
  </si>
  <si>
    <t>CN4816900000000</t>
  </si>
  <si>
    <t>Garza County, TX</t>
  </si>
  <si>
    <t>CN4817100000000</t>
  </si>
  <si>
    <t>Gillespie County, TX</t>
  </si>
  <si>
    <t>CN4817300000000</t>
  </si>
  <si>
    <t>Glasscock County, TX</t>
  </si>
  <si>
    <t>CN4817500000000</t>
  </si>
  <si>
    <t>Goliad County, TX</t>
  </si>
  <si>
    <t>CN4817700000000</t>
  </si>
  <si>
    <t>Gonzales County, TX</t>
  </si>
  <si>
    <t>CN4817900000000</t>
  </si>
  <si>
    <t>Gray County, TX</t>
  </si>
  <si>
    <t>CN4818100000000</t>
  </si>
  <si>
    <t>Grayson County, TX</t>
  </si>
  <si>
    <t>CN4818300000000</t>
  </si>
  <si>
    <t>Gregg County, TX</t>
  </si>
  <si>
    <t>CN4818500000000</t>
  </si>
  <si>
    <t>Grimes County, TX</t>
  </si>
  <si>
    <t>CN4818700000000</t>
  </si>
  <si>
    <t>Guadalupe County, TX</t>
  </si>
  <si>
    <t>CN4818900000000</t>
  </si>
  <si>
    <t>Hale County, TX</t>
  </si>
  <si>
    <t>CN4819100000000</t>
  </si>
  <si>
    <t>Hall County, TX</t>
  </si>
  <si>
    <t>CN4819300000000</t>
  </si>
  <si>
    <t>Hamilton County, TX</t>
  </si>
  <si>
    <t>CN4819500000000</t>
  </si>
  <si>
    <t>Hansford County, TX</t>
  </si>
  <si>
    <t>CN4819700000000</t>
  </si>
  <si>
    <t>Hardeman County, TX</t>
  </si>
  <si>
    <t>CN4819900000000</t>
  </si>
  <si>
    <t>Hardin County, TX</t>
  </si>
  <si>
    <t>CN4820100000000</t>
  </si>
  <si>
    <t>Harris County, TX</t>
  </si>
  <si>
    <t>CN4820300000000</t>
  </si>
  <si>
    <t>Harrison County, TX</t>
  </si>
  <si>
    <t>CN4820500000000</t>
  </si>
  <si>
    <t>Hartley County, TX</t>
  </si>
  <si>
    <t>CN4820700000000</t>
  </si>
  <si>
    <t>Haskell County, TX</t>
  </si>
  <si>
    <t>CN4820900000000</t>
  </si>
  <si>
    <t>Hays County, TX</t>
  </si>
  <si>
    <t>CN4821100000000</t>
  </si>
  <si>
    <t>Hemphill County, TX</t>
  </si>
  <si>
    <t>CN4821300000000</t>
  </si>
  <si>
    <t>Henderson County, TX</t>
  </si>
  <si>
    <t>CN4821500000000</t>
  </si>
  <si>
    <t>Hidalgo County, TX</t>
  </si>
  <si>
    <t>CN4821700000000</t>
  </si>
  <si>
    <t>Hill County, TX</t>
  </si>
  <si>
    <t>CN4821900000000</t>
  </si>
  <si>
    <t>Hockley County, TX</t>
  </si>
  <si>
    <t>CN4822100000000</t>
  </si>
  <si>
    <t>Hood County, TX</t>
  </si>
  <si>
    <t>CN4822300000000</t>
  </si>
  <si>
    <t>Hopkins County, TX</t>
  </si>
  <si>
    <t>CN4822500000000</t>
  </si>
  <si>
    <t>Houston County, TX</t>
  </si>
  <si>
    <t>CN4822700000000</t>
  </si>
  <si>
    <t>Howard County, TX</t>
  </si>
  <si>
    <t>CN4822900000000</t>
  </si>
  <si>
    <t>Hudspeth County, TX</t>
  </si>
  <si>
    <t>CN4823100000000</t>
  </si>
  <si>
    <t>Hunt County, TX</t>
  </si>
  <si>
    <t>CN4823300000000</t>
  </si>
  <si>
    <t>Hutchinson County, TX</t>
  </si>
  <si>
    <t>CN4823500000000</t>
  </si>
  <si>
    <t>Irion County, TX</t>
  </si>
  <si>
    <t>CN4823700000000</t>
  </si>
  <si>
    <t>Jack County, TX</t>
  </si>
  <si>
    <t>CN4823900000000</t>
  </si>
  <si>
    <t>Jackson County, TX</t>
  </si>
  <si>
    <t>CN4824100000000</t>
  </si>
  <si>
    <t>Jasper County, TX</t>
  </si>
  <si>
    <t>CN4824300000000</t>
  </si>
  <si>
    <t>Jeff Davis County, TX</t>
  </si>
  <si>
    <t>CN4824500000000</t>
  </si>
  <si>
    <t>Jefferson County, TX</t>
  </si>
  <si>
    <t>CN4824700000000</t>
  </si>
  <si>
    <t>Jim Hogg County, TX</t>
  </si>
  <si>
    <t>CN4824900000000</t>
  </si>
  <si>
    <t>Jim Wells County, TX</t>
  </si>
  <si>
    <t>CN4825100000000</t>
  </si>
  <si>
    <t>Johnson County, TX</t>
  </si>
  <si>
    <t>CN4825300000000</t>
  </si>
  <si>
    <t>Jones County, TX</t>
  </si>
  <si>
    <t>CN4825500000000</t>
  </si>
  <si>
    <t>Karnes County, TX</t>
  </si>
  <si>
    <t>CN4825700000000</t>
  </si>
  <si>
    <t>Kaufman County, TX</t>
  </si>
  <si>
    <t>CN4825900000000</t>
  </si>
  <si>
    <t>Kendall County, TX</t>
  </si>
  <si>
    <t>CN4826100000000</t>
  </si>
  <si>
    <t>Kenedy County, TX</t>
  </si>
  <si>
    <t>CN4826300000000</t>
  </si>
  <si>
    <t>Kent County, TX</t>
  </si>
  <si>
    <t>CN4826500000000</t>
  </si>
  <si>
    <t>Kerr County, TX</t>
  </si>
  <si>
    <t>CN4826700000000</t>
  </si>
  <si>
    <t>Kimble County, TX</t>
  </si>
  <si>
    <t>CN4826900000000</t>
  </si>
  <si>
    <t>King County, TX</t>
  </si>
  <si>
    <t>CN4827100000000</t>
  </si>
  <si>
    <t>Kinney County, TX</t>
  </si>
  <si>
    <t>CN4827300000000</t>
  </si>
  <si>
    <t>Kleberg County, TX</t>
  </si>
  <si>
    <t>CN4827500000000</t>
  </si>
  <si>
    <t>Knox County, TX</t>
  </si>
  <si>
    <t>CN4827700000000</t>
  </si>
  <si>
    <t>Lamar County, TX</t>
  </si>
  <si>
    <t>CN4827900000000</t>
  </si>
  <si>
    <t>Lamb County, TX</t>
  </si>
  <si>
    <t>CN4828100000000</t>
  </si>
  <si>
    <t>Lampasas County, TX</t>
  </si>
  <si>
    <t>CN4828300000000</t>
  </si>
  <si>
    <t>La Salle County, TX</t>
  </si>
  <si>
    <t>CN4828500000000</t>
  </si>
  <si>
    <t>Lavaca County, TX</t>
  </si>
  <si>
    <t>CN4828700000000</t>
  </si>
  <si>
    <t>Lee County, TX</t>
  </si>
  <si>
    <t>CN4828900000000</t>
  </si>
  <si>
    <t>Leon County, TX</t>
  </si>
  <si>
    <t>CN4829100000000</t>
  </si>
  <si>
    <t>Liberty County, TX</t>
  </si>
  <si>
    <t>CN4829300000000</t>
  </si>
  <si>
    <t>Limestone County, TX</t>
  </si>
  <si>
    <t>CN4829500000000</t>
  </si>
  <si>
    <t>Lipscomb County, TX</t>
  </si>
  <si>
    <t>CN4829700000000</t>
  </si>
  <si>
    <t>Live Oak County, TX</t>
  </si>
  <si>
    <t>CN4829900000000</t>
  </si>
  <si>
    <t>Llano County, TX</t>
  </si>
  <si>
    <t>CN4830100000000</t>
  </si>
  <si>
    <t>Loving County, TX</t>
  </si>
  <si>
    <t>CN4830300000000</t>
  </si>
  <si>
    <t>Lubbock County, TX</t>
  </si>
  <si>
    <t>CN4830500000000</t>
  </si>
  <si>
    <t>Lynn County, TX</t>
  </si>
  <si>
    <t>CN4830700000000</t>
  </si>
  <si>
    <t>McCulloch County, TX</t>
  </si>
  <si>
    <t>CN4830900000000</t>
  </si>
  <si>
    <t>McLennan County, TX</t>
  </si>
  <si>
    <t>CN4831100000000</t>
  </si>
  <si>
    <t>McMullen County, TX</t>
  </si>
  <si>
    <t>CN4831300000000</t>
  </si>
  <si>
    <t>Madison County, TX</t>
  </si>
  <si>
    <t>CN4831500000000</t>
  </si>
  <si>
    <t>Marion County, TX</t>
  </si>
  <si>
    <t>CN4831700000000</t>
  </si>
  <si>
    <t>Martin County, TX</t>
  </si>
  <si>
    <t>CN4831900000000</t>
  </si>
  <si>
    <t>Mason County, TX</t>
  </si>
  <si>
    <t>CN4832100000000</t>
  </si>
  <si>
    <t>Matagorda County, TX</t>
  </si>
  <si>
    <t>CN4832300000000</t>
  </si>
  <si>
    <t>Maverick County, TX</t>
  </si>
  <si>
    <t>CN4832500000000</t>
  </si>
  <si>
    <t>Medina County, TX</t>
  </si>
  <si>
    <t>CN4832700000000</t>
  </si>
  <si>
    <t>Menard County, TX</t>
  </si>
  <si>
    <t>CN4832900000000</t>
  </si>
  <si>
    <t>Midland County, TX</t>
  </si>
  <si>
    <t>CN4833100000000</t>
  </si>
  <si>
    <t>Milam County, TX</t>
  </si>
  <si>
    <t>CN4833300000000</t>
  </si>
  <si>
    <t>Mills County, TX</t>
  </si>
  <si>
    <t>CN4833500000000</t>
  </si>
  <si>
    <t>Mitchell County, TX</t>
  </si>
  <si>
    <t>CN4833700000000</t>
  </si>
  <si>
    <t>Montague County, TX</t>
  </si>
  <si>
    <t>CN4834100000000</t>
  </si>
  <si>
    <t>Moore County, TX</t>
  </si>
  <si>
    <t>CN4834300000000</t>
  </si>
  <si>
    <t>Morris County, TX</t>
  </si>
  <si>
    <t>CN4834500000000</t>
  </si>
  <si>
    <t>Motley County, TX</t>
  </si>
  <si>
    <t>CN4834700000000</t>
  </si>
  <si>
    <t>Nacogdoches County, TX</t>
  </si>
  <si>
    <t>CN4834900000000</t>
  </si>
  <si>
    <t>Navarro County, TX</t>
  </si>
  <si>
    <t>CN4835100000000</t>
  </si>
  <si>
    <t>Newton County, TX</t>
  </si>
  <si>
    <t>CN4835300000000</t>
  </si>
  <si>
    <t>Nolan County, TX</t>
  </si>
  <si>
    <t>CN4835500000000</t>
  </si>
  <si>
    <t>Nueces County, TX</t>
  </si>
  <si>
    <t>CN4835700000000</t>
  </si>
  <si>
    <t>Ochiltree County, TX</t>
  </si>
  <si>
    <t>CN4835900000000</t>
  </si>
  <si>
    <t>Oldham County, TX</t>
  </si>
  <si>
    <t>CN4836100000000</t>
  </si>
  <si>
    <t>Orange County, TX</t>
  </si>
  <si>
    <t>CN4836300000000</t>
  </si>
  <si>
    <t>Palo Pinto County, TX</t>
  </si>
  <si>
    <t>CN4836500000000</t>
  </si>
  <si>
    <t>Panola County, TX</t>
  </si>
  <si>
    <t>CN4836700000000</t>
  </si>
  <si>
    <t>Parker County, TX</t>
  </si>
  <si>
    <t>CN4836900000000</t>
  </si>
  <si>
    <t>Parmer County, TX</t>
  </si>
  <si>
    <t>CN4837100000000</t>
  </si>
  <si>
    <t>Pecos County, TX</t>
  </si>
  <si>
    <t>CN4837300000000</t>
  </si>
  <si>
    <t>Polk County, TX</t>
  </si>
  <si>
    <t>CN4837500000000</t>
  </si>
  <si>
    <t>Potter County, TX</t>
  </si>
  <si>
    <t>CN4837700000000</t>
  </si>
  <si>
    <t>Presidio County, TX</t>
  </si>
  <si>
    <t>CN4837900000000</t>
  </si>
  <si>
    <t>Rains County, TX</t>
  </si>
  <si>
    <t>CN4838100000000</t>
  </si>
  <si>
    <t>Randall County, TX</t>
  </si>
  <si>
    <t>CN4838300000000</t>
  </si>
  <si>
    <t>Reagan County, TX</t>
  </si>
  <si>
    <t>CN4838500000000</t>
  </si>
  <si>
    <t>Real County, TX</t>
  </si>
  <si>
    <t>CN4838700000000</t>
  </si>
  <si>
    <t>Red River County, TX</t>
  </si>
  <si>
    <t>CN4838900000000</t>
  </si>
  <si>
    <t>Reeves County, TX</t>
  </si>
  <si>
    <t>CN4839100000000</t>
  </si>
  <si>
    <t>Refugio County, TX</t>
  </si>
  <si>
    <t>CN4839300000000</t>
  </si>
  <si>
    <t>Roberts County, TX</t>
  </si>
  <si>
    <t>CN4839500000000</t>
  </si>
  <si>
    <t>Robertson County, TX</t>
  </si>
  <si>
    <t>CN4839700000000</t>
  </si>
  <si>
    <t>Rockwall County, TX</t>
  </si>
  <si>
    <t>CN4839900000000</t>
  </si>
  <si>
    <t>Runnels County, TX</t>
  </si>
  <si>
    <t>CN4840100000000</t>
  </si>
  <si>
    <t>Rusk County, TX</t>
  </si>
  <si>
    <t>CN4840300000000</t>
  </si>
  <si>
    <t>Sabine County, TX</t>
  </si>
  <si>
    <t>CN4840500000000</t>
  </si>
  <si>
    <t>San Augustine County, TX</t>
  </si>
  <si>
    <t>CN4840700000000</t>
  </si>
  <si>
    <t>San Jacinto County, TX</t>
  </si>
  <si>
    <t>CN4840900000000</t>
  </si>
  <si>
    <t>San Patricio County, TX</t>
  </si>
  <si>
    <t>CN4841100000000</t>
  </si>
  <si>
    <t>San Saba County, TX</t>
  </si>
  <si>
    <t>CN4841300000000</t>
  </si>
  <si>
    <t>Schleicher County, TX</t>
  </si>
  <si>
    <t>CN4841500000000</t>
  </si>
  <si>
    <t>Scurry County, TX</t>
  </si>
  <si>
    <t>CN4841700000000</t>
  </si>
  <si>
    <t>Shackelford County, TX</t>
  </si>
  <si>
    <t>CN4841900000000</t>
  </si>
  <si>
    <t>Shelby County, TX</t>
  </si>
  <si>
    <t>CN4842100000000</t>
  </si>
  <si>
    <t>Sherman County, TX</t>
  </si>
  <si>
    <t>CN4842300000000</t>
  </si>
  <si>
    <t>Smith County, TX</t>
  </si>
  <si>
    <t>CN4842500000000</t>
  </si>
  <si>
    <t>Somervell County, TX</t>
  </si>
  <si>
    <t>CN4842700000000</t>
  </si>
  <si>
    <t>Starr County, TX</t>
  </si>
  <si>
    <t>CN4842900000000</t>
  </si>
  <si>
    <t>Stephens County, TX</t>
  </si>
  <si>
    <t>CN4843100000000</t>
  </si>
  <si>
    <t>Sterling County, TX</t>
  </si>
  <si>
    <t>CN4843300000000</t>
  </si>
  <si>
    <t>Stonewall County, TX</t>
  </si>
  <si>
    <t>CN4843500000000</t>
  </si>
  <si>
    <t>Sutton County, TX</t>
  </si>
  <si>
    <t>CN4843700000000</t>
  </si>
  <si>
    <t>Swisher County, TX</t>
  </si>
  <si>
    <t>CN4843900000000</t>
  </si>
  <si>
    <t>Tarrant County, TX</t>
  </si>
  <si>
    <t>CN4844100000000</t>
  </si>
  <si>
    <t>Taylor County, TX</t>
  </si>
  <si>
    <t>CN4844300000000</t>
  </si>
  <si>
    <t>Terrell County, TX</t>
  </si>
  <si>
    <t>CN4844500000000</t>
  </si>
  <si>
    <t>Terry County, TX</t>
  </si>
  <si>
    <t>CN4844700000000</t>
  </si>
  <si>
    <t>Throckmorton County, TX</t>
  </si>
  <si>
    <t>CN4844900000000</t>
  </si>
  <si>
    <t>Titus County, TX</t>
  </si>
  <si>
    <t>CN4845100000000</t>
  </si>
  <si>
    <t>Tom Green County, TX</t>
  </si>
  <si>
    <t>CN4845300000000</t>
  </si>
  <si>
    <t>Travis County, TX</t>
  </si>
  <si>
    <t>CN4845500000000</t>
  </si>
  <si>
    <t>Trinity County, TX</t>
  </si>
  <si>
    <t>CN4845700000000</t>
  </si>
  <si>
    <t>Tyler County, TX</t>
  </si>
  <si>
    <t>CN4845900000000</t>
  </si>
  <si>
    <t>Upshur County, TX</t>
  </si>
  <si>
    <t>CN4846100000000</t>
  </si>
  <si>
    <t>Upton County, TX</t>
  </si>
  <si>
    <t>CN4846300000000</t>
  </si>
  <si>
    <t>Uvalde County, TX</t>
  </si>
  <si>
    <t>CN4846500000000</t>
  </si>
  <si>
    <t>Val Verde County, TX</t>
  </si>
  <si>
    <t>CN4846700000000</t>
  </si>
  <si>
    <t>Van Zandt County, TX</t>
  </si>
  <si>
    <t>CN4846900000000</t>
  </si>
  <si>
    <t>Victoria County, TX</t>
  </si>
  <si>
    <t>CN4847100000000</t>
  </si>
  <si>
    <t>Walker County, TX</t>
  </si>
  <si>
    <t>CN4847300000000</t>
  </si>
  <si>
    <t>Waller County, TX</t>
  </si>
  <si>
    <t>CN4847500000000</t>
  </si>
  <si>
    <t>Ward County, TX</t>
  </si>
  <si>
    <t>CN4847700000000</t>
  </si>
  <si>
    <t>Washington County, TX</t>
  </si>
  <si>
    <t>CN4847900000000</t>
  </si>
  <si>
    <t>Webb County, TX</t>
  </si>
  <si>
    <t>CN4848100000000</t>
  </si>
  <si>
    <t>Wharton County, TX</t>
  </si>
  <si>
    <t>CN4848300000000</t>
  </si>
  <si>
    <t>Wheeler County, TX</t>
  </si>
  <si>
    <t>CN4848500000000</t>
  </si>
  <si>
    <t>Wichita County, TX</t>
  </si>
  <si>
    <t>CN4848700000000</t>
  </si>
  <si>
    <t>Wilbarger County, TX</t>
  </si>
  <si>
    <t>CN4848900000000</t>
  </si>
  <si>
    <t>Willacy County, TX</t>
  </si>
  <si>
    <t>CN4849100000000</t>
  </si>
  <si>
    <t>Williamson County, TX</t>
  </si>
  <si>
    <t>CN4849300000000</t>
  </si>
  <si>
    <t>Wilson County, TX</t>
  </si>
  <si>
    <t>CN4849500000000</t>
  </si>
  <si>
    <t>Winkler County, TX</t>
  </si>
  <si>
    <t>CN4849700000000</t>
  </si>
  <si>
    <t>Wise County, TX</t>
  </si>
  <si>
    <t>CN4849900000000</t>
  </si>
  <si>
    <t>Wood County, TX</t>
  </si>
  <si>
    <t>CN4850100000000</t>
  </si>
  <si>
    <t>Yoakum County, TX</t>
  </si>
  <si>
    <t>CN4850300000000</t>
  </si>
  <si>
    <t>Young County, TX</t>
  </si>
  <si>
    <t>CN4850500000000</t>
  </si>
  <si>
    <t>Zapata County, TX</t>
  </si>
  <si>
    <t>CN4850700000000</t>
  </si>
  <si>
    <t>Zavala County, TX</t>
  </si>
  <si>
    <t>CN4900100000000</t>
  </si>
  <si>
    <t>Beaver County, UT</t>
  </si>
  <si>
    <t>CN4900300000000</t>
  </si>
  <si>
    <t>Box Elder County, UT</t>
  </si>
  <si>
    <t>CN4900500000000</t>
  </si>
  <si>
    <t>Cache County, UT</t>
  </si>
  <si>
    <t>CN4900700000000</t>
  </si>
  <si>
    <t>Carbon County, UT</t>
  </si>
  <si>
    <t>CN4900900000000</t>
  </si>
  <si>
    <t>Daggett County, UT</t>
  </si>
  <si>
    <t>CN4901100000000</t>
  </si>
  <si>
    <t>Davis County, UT</t>
  </si>
  <si>
    <t>CN4901300000000</t>
  </si>
  <si>
    <t>Duchesne County, UT</t>
  </si>
  <si>
    <t>CN4901500000000</t>
  </si>
  <si>
    <t>Emery County, UT</t>
  </si>
  <si>
    <t>CN4901700000000</t>
  </si>
  <si>
    <t>Garfield County, UT</t>
  </si>
  <si>
    <t>CN4901900000000</t>
  </si>
  <si>
    <t>Grand County, UT</t>
  </si>
  <si>
    <t>CN4902100000000</t>
  </si>
  <si>
    <t>Iron County, UT</t>
  </si>
  <si>
    <t>CN4902300000000</t>
  </si>
  <si>
    <t>Juab County, UT</t>
  </si>
  <si>
    <t>CN4902500000000</t>
  </si>
  <si>
    <t>Kane County, UT</t>
  </si>
  <si>
    <t>CN4902700000000</t>
  </si>
  <si>
    <t>Millard County, UT</t>
  </si>
  <si>
    <t>CN4902900000000</t>
  </si>
  <si>
    <t>Morgan County, UT</t>
  </si>
  <si>
    <t>CN4903100000000</t>
  </si>
  <si>
    <t>Piute County, UT</t>
  </si>
  <si>
    <t>CN4903300000000</t>
  </si>
  <si>
    <t>Rich County, UT</t>
  </si>
  <si>
    <t>CN4903500000000</t>
  </si>
  <si>
    <t>Salt Lake County, UT</t>
  </si>
  <si>
    <t>CN4903700000000</t>
  </si>
  <si>
    <t>San Juan County, UT</t>
  </si>
  <si>
    <t>CN4903900000000</t>
  </si>
  <si>
    <t>Sanpete County, UT</t>
  </si>
  <si>
    <t>CN4904100000000</t>
  </si>
  <si>
    <t>Sevier County, UT</t>
  </si>
  <si>
    <t>CN4904300000000</t>
  </si>
  <si>
    <t>Summit County, UT</t>
  </si>
  <si>
    <t>CN4904500000000</t>
  </si>
  <si>
    <t>Tooele County, UT</t>
  </si>
  <si>
    <t>CN4904700000000</t>
  </si>
  <si>
    <t>Uintah County, UT</t>
  </si>
  <si>
    <t>CN4904900000000</t>
  </si>
  <si>
    <t>Utah County, UT</t>
  </si>
  <si>
    <t>CN4905100000000</t>
  </si>
  <si>
    <t>Wasatch County, UT</t>
  </si>
  <si>
    <t>CN4905300000000</t>
  </si>
  <si>
    <t>Washington County, UT</t>
  </si>
  <si>
    <t>CN4905500000000</t>
  </si>
  <si>
    <t>Wayne County, UT</t>
  </si>
  <si>
    <t>CN4905700000000</t>
  </si>
  <si>
    <t>Weber County, UT</t>
  </si>
  <si>
    <t>CN5000100000000</t>
  </si>
  <si>
    <t>Addison County, VT</t>
  </si>
  <si>
    <t>CN5000300000000</t>
  </si>
  <si>
    <t>Bennington County, VT</t>
  </si>
  <si>
    <t>CN5000500000000</t>
  </si>
  <si>
    <t>Caledonia County, VT</t>
  </si>
  <si>
    <t>CN5000700000000</t>
  </si>
  <si>
    <t>Chittenden County, VT</t>
  </si>
  <si>
    <t>CN5000900000000</t>
  </si>
  <si>
    <t>Essex County, VT</t>
  </si>
  <si>
    <t>CN5001100000000</t>
  </si>
  <si>
    <t>Franklin County, VT</t>
  </si>
  <si>
    <t>CN5001300000000</t>
  </si>
  <si>
    <t>Grand Isle County, VT</t>
  </si>
  <si>
    <t>CN5001500000000</t>
  </si>
  <si>
    <t>Lamoille County, VT</t>
  </si>
  <si>
    <t>CN5001700000000</t>
  </si>
  <si>
    <t>Orange County, VT</t>
  </si>
  <si>
    <t>CN5001900000000</t>
  </si>
  <si>
    <t>Orleans County, VT</t>
  </si>
  <si>
    <t>CN5002100000000</t>
  </si>
  <si>
    <t>Rutland County, VT</t>
  </si>
  <si>
    <t>CN5002300000000</t>
  </si>
  <si>
    <t>Washington County, VT</t>
  </si>
  <si>
    <t>CN5002500000000</t>
  </si>
  <si>
    <t>Windham County, VT</t>
  </si>
  <si>
    <t>CN5002700000000</t>
  </si>
  <si>
    <t>Windsor County, VT</t>
  </si>
  <si>
    <t>CN5100100000000</t>
  </si>
  <si>
    <t>Accomack County, VA</t>
  </si>
  <si>
    <t>CN5100300000000</t>
  </si>
  <si>
    <t>Albemarle County, VA</t>
  </si>
  <si>
    <t>CN5100500000000</t>
  </si>
  <si>
    <t>Alleghany County, VA</t>
  </si>
  <si>
    <t>CN5100700000000</t>
  </si>
  <si>
    <t>Amelia County, VA</t>
  </si>
  <si>
    <t>CN5100900000000</t>
  </si>
  <si>
    <t>Amherst County, VA</t>
  </si>
  <si>
    <t>CN5101100000000</t>
  </si>
  <si>
    <t>Appomattox County, VA</t>
  </si>
  <si>
    <t>CN5101300000000</t>
  </si>
  <si>
    <t>Arlington County, VA</t>
  </si>
  <si>
    <t>CN5101500000000</t>
  </si>
  <si>
    <t>Augusta County, VA</t>
  </si>
  <si>
    <t>CN5101700000000</t>
  </si>
  <si>
    <t>Bath County, VA</t>
  </si>
  <si>
    <t>CN5101900000000</t>
  </si>
  <si>
    <t>Bedford County, VA</t>
  </si>
  <si>
    <t>CN5102100000000</t>
  </si>
  <si>
    <t>Bland County, VA</t>
  </si>
  <si>
    <t>CN5102300000000</t>
  </si>
  <si>
    <t>Botetourt County, VA</t>
  </si>
  <si>
    <t>CN5102500000000</t>
  </si>
  <si>
    <t>Brunswick County, VA</t>
  </si>
  <si>
    <t>CN5102700000000</t>
  </si>
  <si>
    <t>Buchanan County, VA</t>
  </si>
  <si>
    <t>CN5102900000000</t>
  </si>
  <si>
    <t>Buckingham County, VA</t>
  </si>
  <si>
    <t>CN5103100000000</t>
  </si>
  <si>
    <t>Campbell County, VA</t>
  </si>
  <si>
    <t>CN5103300000000</t>
  </si>
  <si>
    <t>Caroline County, VA</t>
  </si>
  <si>
    <t>CN5103500000000</t>
  </si>
  <si>
    <t>Carroll County, VA</t>
  </si>
  <si>
    <t>CN5103600000000</t>
  </si>
  <si>
    <t>Charles City County, VA</t>
  </si>
  <si>
    <t>CN5103700000000</t>
  </si>
  <si>
    <t>Charlotte County, VA</t>
  </si>
  <si>
    <t>CN5104100000000</t>
  </si>
  <si>
    <t>Chesterfield County, VA</t>
  </si>
  <si>
    <t>CN5104300000000</t>
  </si>
  <si>
    <t>Clarke County, VA</t>
  </si>
  <si>
    <t>CN5104500000000</t>
  </si>
  <si>
    <t>Craig County, VA</t>
  </si>
  <si>
    <t>CN5104700000000</t>
  </si>
  <si>
    <t>Culpeper County, VA</t>
  </si>
  <si>
    <t>CN5104900000000</t>
  </si>
  <si>
    <t>Cumberland County, VA</t>
  </si>
  <si>
    <t>CN5105100000000</t>
  </si>
  <si>
    <t>Dickenson County, VA</t>
  </si>
  <si>
    <t>CN5105300000000</t>
  </si>
  <si>
    <t>Dinwiddie County, VA</t>
  </si>
  <si>
    <t>CN5105700000000</t>
  </si>
  <si>
    <t>Essex County, VA</t>
  </si>
  <si>
    <t>CN5105900000000</t>
  </si>
  <si>
    <t>Fairfax County, VA</t>
  </si>
  <si>
    <t>CN5106100000000</t>
  </si>
  <si>
    <t>Fauquier County, VA</t>
  </si>
  <si>
    <t>CN5106300000000</t>
  </si>
  <si>
    <t>Floyd County, VA</t>
  </si>
  <si>
    <t>CN5106500000000</t>
  </si>
  <si>
    <t>Fluvanna County, VA</t>
  </si>
  <si>
    <t>CN5106700000000</t>
  </si>
  <si>
    <t>Franklin County, VA</t>
  </si>
  <si>
    <t>CN5106900000000</t>
  </si>
  <si>
    <t>Frederick County, VA</t>
  </si>
  <si>
    <t>CN5107100000000</t>
  </si>
  <si>
    <t>Giles County, VA</t>
  </si>
  <si>
    <t>CN5107300000000</t>
  </si>
  <si>
    <t>Gloucester County, VA</t>
  </si>
  <si>
    <t>CN5107500000000</t>
  </si>
  <si>
    <t>Goochland County, VA</t>
  </si>
  <si>
    <t>CN5107700000000</t>
  </si>
  <si>
    <t>Grayson County, VA</t>
  </si>
  <si>
    <t>CN5107900000000</t>
  </si>
  <si>
    <t>Greene County, VA</t>
  </si>
  <si>
    <t>CN5108100000000</t>
  </si>
  <si>
    <t>Greensville County, VA</t>
  </si>
  <si>
    <t>CN5108300000000</t>
  </si>
  <si>
    <t>Halifax County, VA</t>
  </si>
  <si>
    <t>CN5108500000000</t>
  </si>
  <si>
    <t>Hanover County, VA</t>
  </si>
  <si>
    <t>CN5108700000000</t>
  </si>
  <si>
    <t>Henrico County, VA</t>
  </si>
  <si>
    <t>CN5108900000000</t>
  </si>
  <si>
    <t>Henry County, VA</t>
  </si>
  <si>
    <t>CN5109100000000</t>
  </si>
  <si>
    <t>Highland County, VA</t>
  </si>
  <si>
    <t>CN5109300000000</t>
  </si>
  <si>
    <t>Isle of Wight County, VA</t>
  </si>
  <si>
    <t>CN5109500000000</t>
  </si>
  <si>
    <t>James City County, VA</t>
  </si>
  <si>
    <t>CN5109700000000</t>
  </si>
  <si>
    <t>King and Queen County, VA</t>
  </si>
  <si>
    <t>CN5109900000000</t>
  </si>
  <si>
    <t>King George County, VA</t>
  </si>
  <si>
    <t>CN5110100000000</t>
  </si>
  <si>
    <t>King William County, VA</t>
  </si>
  <si>
    <t>CN5110300000000</t>
  </si>
  <si>
    <t>Lancaster County, VA</t>
  </si>
  <si>
    <t>CN5110500000000</t>
  </si>
  <si>
    <t>Lee County, VA</t>
  </si>
  <si>
    <t>CN5110700000000</t>
  </si>
  <si>
    <t>Loudoun County, VA</t>
  </si>
  <si>
    <t>CN5110900000000</t>
  </si>
  <si>
    <t>Louisa County, VA</t>
  </si>
  <si>
    <t>CN5111100000000</t>
  </si>
  <si>
    <t>Lunenburg County, VA</t>
  </si>
  <si>
    <t>CN5111300000000</t>
  </si>
  <si>
    <t>Madison County, VA</t>
  </si>
  <si>
    <t>CN5111500000000</t>
  </si>
  <si>
    <t>Mathews County, VA</t>
  </si>
  <si>
    <t>CN5111700000000</t>
  </si>
  <si>
    <t>Mecklenburg County, VA</t>
  </si>
  <si>
    <t>CN5111900000000</t>
  </si>
  <si>
    <t>Middlesex County, VA</t>
  </si>
  <si>
    <t>CN5112100000000</t>
  </si>
  <si>
    <t>Montgomery County, VA</t>
  </si>
  <si>
    <t>CN5112500000000</t>
  </si>
  <si>
    <t>Nelson County, VA</t>
  </si>
  <si>
    <t>CN5112700000000</t>
  </si>
  <si>
    <t>New Kent County, VA</t>
  </si>
  <si>
    <t>CN5113100000000</t>
  </si>
  <si>
    <t>Northampton County, VA</t>
  </si>
  <si>
    <t>CN5113300000000</t>
  </si>
  <si>
    <t>Northumberland County, VA</t>
  </si>
  <si>
    <t>CN5113500000000</t>
  </si>
  <si>
    <t>Nottoway County, VA</t>
  </si>
  <si>
    <t>CN5113700000000</t>
  </si>
  <si>
    <t>Orange County, VA</t>
  </si>
  <si>
    <t>CN5113900000000</t>
  </si>
  <si>
    <t>Page County, VA</t>
  </si>
  <si>
    <t>CN5114100000000</t>
  </si>
  <si>
    <t>Patrick County, VA</t>
  </si>
  <si>
    <t>CN5114300000000</t>
  </si>
  <si>
    <t>Pittsylvania County, VA</t>
  </si>
  <si>
    <t>CN5114500000000</t>
  </si>
  <si>
    <t>Powhatan County, VA</t>
  </si>
  <si>
    <t>CN5114700000000</t>
  </si>
  <si>
    <t>Prince Edward County, VA</t>
  </si>
  <si>
    <t>CN5114900000000</t>
  </si>
  <si>
    <t>Prince George County, VA</t>
  </si>
  <si>
    <t>CN5115300000000</t>
  </si>
  <si>
    <t>Prince William County, VA</t>
  </si>
  <si>
    <t>CN5115500000000</t>
  </si>
  <si>
    <t>Pulaski County, VA</t>
  </si>
  <si>
    <t>CN5115700000000</t>
  </si>
  <si>
    <t>Rappahannock County, VA</t>
  </si>
  <si>
    <t>CN5115900000000</t>
  </si>
  <si>
    <t>Richmond County, VA</t>
  </si>
  <si>
    <t>CN5116100000000</t>
  </si>
  <si>
    <t>Roanoke County, VA</t>
  </si>
  <si>
    <t>CN5116300000000</t>
  </si>
  <si>
    <t>Rockbridge County, VA</t>
  </si>
  <si>
    <t>CN5116500000000</t>
  </si>
  <si>
    <t>Rockingham County, VA</t>
  </si>
  <si>
    <t>CN5116700000000</t>
  </si>
  <si>
    <t>Russell County, VA</t>
  </si>
  <si>
    <t>CN5116900000000</t>
  </si>
  <si>
    <t>Scott County, VA</t>
  </si>
  <si>
    <t>CN5117100000000</t>
  </si>
  <si>
    <t>Shenandoah County, VA</t>
  </si>
  <si>
    <t>CN5117300000000</t>
  </si>
  <si>
    <t>Smyth County, VA</t>
  </si>
  <si>
    <t>CN5117500000000</t>
  </si>
  <si>
    <t>Southampton County, VA</t>
  </si>
  <si>
    <t>CN5117700000000</t>
  </si>
  <si>
    <t>Spotsylvania County, VA</t>
  </si>
  <si>
    <t>CN5117900000000</t>
  </si>
  <si>
    <t>Stafford County, VA</t>
  </si>
  <si>
    <t>CN5118100000000</t>
  </si>
  <si>
    <t>Surry County, VA</t>
  </si>
  <si>
    <t>CN5118300000000</t>
  </si>
  <si>
    <t>Sussex County, VA</t>
  </si>
  <si>
    <t>CN5118500000000</t>
  </si>
  <si>
    <t>Tazewell County, VA</t>
  </si>
  <si>
    <t>CN5118700000000</t>
  </si>
  <si>
    <t>Warren County, VA</t>
  </si>
  <si>
    <t>CN5119100000000</t>
  </si>
  <si>
    <t>Washington County, VA</t>
  </si>
  <si>
    <t>CN5119300000000</t>
  </si>
  <si>
    <t>Westmoreland County, VA</t>
  </si>
  <si>
    <t>CN5119500000000</t>
  </si>
  <si>
    <t>Wise County, VA</t>
  </si>
  <si>
    <t>CN5119700000000</t>
  </si>
  <si>
    <t>Wythe County, VA</t>
  </si>
  <si>
    <t>CN5119900000000</t>
  </si>
  <si>
    <t>York County, VA</t>
  </si>
  <si>
    <t>CN5151000000000</t>
  </si>
  <si>
    <t>Alexandria city, VA</t>
  </si>
  <si>
    <t>CN5152000000000</t>
  </si>
  <si>
    <t>Bristol city, VA</t>
  </si>
  <si>
    <t>CN5153000000000</t>
  </si>
  <si>
    <t>Buena Vista city, VA</t>
  </si>
  <si>
    <t>CN5154000000000</t>
  </si>
  <si>
    <t>Charlottesville city, VA</t>
  </si>
  <si>
    <t>CN5155000000000</t>
  </si>
  <si>
    <t>Chesapeake city, VA</t>
  </si>
  <si>
    <t>CN5157000000000</t>
  </si>
  <si>
    <t>Colonial Heights city, VA</t>
  </si>
  <si>
    <t>CN5158000000000</t>
  </si>
  <si>
    <t>Covington city, VA</t>
  </si>
  <si>
    <t>CN5159000000000</t>
  </si>
  <si>
    <t>Danville city, VA</t>
  </si>
  <si>
    <t>CN5159500000000</t>
  </si>
  <si>
    <t>Emporia city, VA</t>
  </si>
  <si>
    <t>CN5160000000000</t>
  </si>
  <si>
    <t>Fairfax city, VA</t>
  </si>
  <si>
    <t>CN5161000000000</t>
  </si>
  <si>
    <t>Falls Church city, VA</t>
  </si>
  <si>
    <t>CN5162000000000</t>
  </si>
  <si>
    <t>Franklin city, VA</t>
  </si>
  <si>
    <t>CN5163000000000</t>
  </si>
  <si>
    <t>Fredericksburg city, VA</t>
  </si>
  <si>
    <t>CN5164000000000</t>
  </si>
  <si>
    <t>Galax city, VA</t>
  </si>
  <si>
    <t>CN5165000000000</t>
  </si>
  <si>
    <t>Hampton city, VA</t>
  </si>
  <si>
    <t>CN5166000000000</t>
  </si>
  <si>
    <t>Harrisonburg city, VA</t>
  </si>
  <si>
    <t>CN5167000000000</t>
  </si>
  <si>
    <t>Hopewell city, VA</t>
  </si>
  <si>
    <t>CN5167800000000</t>
  </si>
  <si>
    <t>Lexington city, VA</t>
  </si>
  <si>
    <t>CN5168000000000</t>
  </si>
  <si>
    <t>Lynchburg city, VA</t>
  </si>
  <si>
    <t>CN5168300000000</t>
  </si>
  <si>
    <t>Manassas city, VA</t>
  </si>
  <si>
    <t>CN5168500000000</t>
  </si>
  <si>
    <t>Manassas Park city, VA</t>
  </si>
  <si>
    <t>CN5169000000000</t>
  </si>
  <si>
    <t>Martinsville city, VA</t>
  </si>
  <si>
    <t>CN5170000000000</t>
  </si>
  <si>
    <t>Newport News city, VA</t>
  </si>
  <si>
    <t>CN5171000000000</t>
  </si>
  <si>
    <t>Norfolk city, VA</t>
  </si>
  <si>
    <t>CN5172000000000</t>
  </si>
  <si>
    <t>Norton city, VA</t>
  </si>
  <si>
    <t>CN5173000000000</t>
  </si>
  <si>
    <t>Petersburg city, VA</t>
  </si>
  <si>
    <t>CN5173500000000</t>
  </si>
  <si>
    <t>Poquoson city, VA</t>
  </si>
  <si>
    <t>CN5174000000000</t>
  </si>
  <si>
    <t>Portsmouth city, VA</t>
  </si>
  <si>
    <t>CN5175000000000</t>
  </si>
  <si>
    <t>Radford city, VA</t>
  </si>
  <si>
    <t>CN5176000000000</t>
  </si>
  <si>
    <t>Richmond city, VA</t>
  </si>
  <si>
    <t>CN5177000000000</t>
  </si>
  <si>
    <t>Roanoke city, VA</t>
  </si>
  <si>
    <t>CN5177500000000</t>
  </si>
  <si>
    <t>Salem city, VA</t>
  </si>
  <si>
    <t>CN5179000000000</t>
  </si>
  <si>
    <t>Staunton city, VA</t>
  </si>
  <si>
    <t>CN5180000000000</t>
  </si>
  <si>
    <t>Suffolk city, VA</t>
  </si>
  <si>
    <t>CN5181000000000</t>
  </si>
  <si>
    <t>Virginia Beach city, VA</t>
  </si>
  <si>
    <t>CN5182000000000</t>
  </si>
  <si>
    <t>Waynesboro city, VA</t>
  </si>
  <si>
    <t>CN5183000000000</t>
  </si>
  <si>
    <t>Williamsburg city, VA</t>
  </si>
  <si>
    <t>CN5184000000000</t>
  </si>
  <si>
    <t>Winchester city, VA</t>
  </si>
  <si>
    <t>CN5300100000000</t>
  </si>
  <si>
    <t>Adams County, WA</t>
  </si>
  <si>
    <t>CN5300300000000</t>
  </si>
  <si>
    <t>Asotin County, WA</t>
  </si>
  <si>
    <t>CN5300500000000</t>
  </si>
  <si>
    <t>Benton County, WA</t>
  </si>
  <si>
    <t>CN5300700000000</t>
  </si>
  <si>
    <t>Chelan County, WA</t>
  </si>
  <si>
    <t>CN5300900000000</t>
  </si>
  <si>
    <t>Clallam County, WA</t>
  </si>
  <si>
    <t>CN5301100000000</t>
  </si>
  <si>
    <t>Clark County, WA</t>
  </si>
  <si>
    <t>CN5301300000000</t>
  </si>
  <si>
    <t>Columbia County, WA</t>
  </si>
  <si>
    <t>CN5301500000000</t>
  </si>
  <si>
    <t>Cowlitz County, WA</t>
  </si>
  <si>
    <t>CN5301700000000</t>
  </si>
  <si>
    <t>Douglas County, WA</t>
  </si>
  <si>
    <t>CN5301900000000</t>
  </si>
  <si>
    <t>Ferry County, WA</t>
  </si>
  <si>
    <t>CN5302100000000</t>
  </si>
  <si>
    <t>Franklin County, WA</t>
  </si>
  <si>
    <t>CN5302300000000</t>
  </si>
  <si>
    <t>Garfield County, WA</t>
  </si>
  <si>
    <t>CN5302500000000</t>
  </si>
  <si>
    <t>Grant County, WA</t>
  </si>
  <si>
    <t>CN5302700000000</t>
  </si>
  <si>
    <t>Grays Harbor County, WA</t>
  </si>
  <si>
    <t>CN5302900000000</t>
  </si>
  <si>
    <t>Island County, WA</t>
  </si>
  <si>
    <t>CN5303100000000</t>
  </si>
  <si>
    <t>Jefferson County, WA</t>
  </si>
  <si>
    <t>CN5303300000000</t>
  </si>
  <si>
    <t>King County, WA</t>
  </si>
  <si>
    <t>CN5303500000000</t>
  </si>
  <si>
    <t>Kitsap County, WA</t>
  </si>
  <si>
    <t>CN5303700000000</t>
  </si>
  <si>
    <t>Kittitas County, WA</t>
  </si>
  <si>
    <t>CN5303900000000</t>
  </si>
  <si>
    <t>Klickitat County, WA</t>
  </si>
  <si>
    <t>CN5304100000000</t>
  </si>
  <si>
    <t>Lewis County, WA</t>
  </si>
  <si>
    <t>CN5304300000000</t>
  </si>
  <si>
    <t>Lincoln County, WA</t>
  </si>
  <si>
    <t>CN5304500000000</t>
  </si>
  <si>
    <t>Mason County, WA</t>
  </si>
  <si>
    <t>CN5304700000000</t>
  </si>
  <si>
    <t>Okanogan County, WA</t>
  </si>
  <si>
    <t>CN5304900000000</t>
  </si>
  <si>
    <t>Pacific County, WA</t>
  </si>
  <si>
    <t>CN5305100000000</t>
  </si>
  <si>
    <t>Pend Oreille County, WA</t>
  </si>
  <si>
    <t>CN5305300000000</t>
  </si>
  <si>
    <t>Pierce County, WA</t>
  </si>
  <si>
    <t>CN5305500000000</t>
  </si>
  <si>
    <t>San Juan County, WA</t>
  </si>
  <si>
    <t>CN5305700000000</t>
  </si>
  <si>
    <t>Skagit County, WA</t>
  </si>
  <si>
    <t>CN5305900000000</t>
  </si>
  <si>
    <t>Skamania County, WA</t>
  </si>
  <si>
    <t>CN5306100000000</t>
  </si>
  <si>
    <t>Snohomish County, WA</t>
  </si>
  <si>
    <t>CN5306300000000</t>
  </si>
  <si>
    <t>Spokane County, WA</t>
  </si>
  <si>
    <t>CN5306500000000</t>
  </si>
  <si>
    <t>Stevens County, WA</t>
  </si>
  <si>
    <t>CN5306700000000</t>
  </si>
  <si>
    <t>Thurston County, WA</t>
  </si>
  <si>
    <t>CN5306900000000</t>
  </si>
  <si>
    <t>Wahkiakum County, WA</t>
  </si>
  <si>
    <t>CN5307100000000</t>
  </si>
  <si>
    <t>Walla Walla County, WA</t>
  </si>
  <si>
    <t>CN5307300000000</t>
  </si>
  <si>
    <t>Whatcom County, WA</t>
  </si>
  <si>
    <t>CN5307500000000</t>
  </si>
  <si>
    <t>Whitman County, WA</t>
  </si>
  <si>
    <t>CN5307700000000</t>
  </si>
  <si>
    <t>Yakima County, WA</t>
  </si>
  <si>
    <t>CN5400100000000</t>
  </si>
  <si>
    <t>Barbour County, WV</t>
  </si>
  <si>
    <t>CN5400300000000</t>
  </si>
  <si>
    <t>Berkeley County, WV</t>
  </si>
  <si>
    <t>CN5400500000000</t>
  </si>
  <si>
    <t>Boone County, WV</t>
  </si>
  <si>
    <t>CN5400700000000</t>
  </si>
  <si>
    <t>Braxton County, WV</t>
  </si>
  <si>
    <t>CN5400900000000</t>
  </si>
  <si>
    <t>Brooke County, WV</t>
  </si>
  <si>
    <t>CN5401100000000</t>
  </si>
  <si>
    <t>Cabell County, WV</t>
  </si>
  <si>
    <t>CN5401300000000</t>
  </si>
  <si>
    <t>Calhoun County, WV</t>
  </si>
  <si>
    <t>CN5401500000000</t>
  </si>
  <si>
    <t>Clay County, WV</t>
  </si>
  <si>
    <t>CN5401700000000</t>
  </si>
  <si>
    <t>Doddridge County, WV</t>
  </si>
  <si>
    <t>CN5401900000000</t>
  </si>
  <si>
    <t>Fayette County, WV</t>
  </si>
  <si>
    <t>CN5402100000000</t>
  </si>
  <si>
    <t>Gilmer County, WV</t>
  </si>
  <si>
    <t>CN5402300000000</t>
  </si>
  <si>
    <t>Grant County, WV</t>
  </si>
  <si>
    <t>CN5402500000000</t>
  </si>
  <si>
    <t>Greenbrier County, WV</t>
  </si>
  <si>
    <t>CN5402700000000</t>
  </si>
  <si>
    <t>Hampshire County, WV</t>
  </si>
  <si>
    <t>CN5402900000000</t>
  </si>
  <si>
    <t>Hancock County, WV</t>
  </si>
  <si>
    <t>CN5403100000000</t>
  </si>
  <si>
    <t>Hardy County, WV</t>
  </si>
  <si>
    <t>CN5403300000000</t>
  </si>
  <si>
    <t>Harrison County, WV</t>
  </si>
  <si>
    <t>CN5403500000000</t>
  </si>
  <si>
    <t>Jackson County, WV</t>
  </si>
  <si>
    <t>CN5403700000000</t>
  </si>
  <si>
    <t>Jefferson County, WV</t>
  </si>
  <si>
    <t>CN5403900000000</t>
  </si>
  <si>
    <t>Kanawha County, WV</t>
  </si>
  <si>
    <t>CN5404100000000</t>
  </si>
  <si>
    <t>Lewis County, WV</t>
  </si>
  <si>
    <t>CN5404300000000</t>
  </si>
  <si>
    <t>Lincoln County, WV</t>
  </si>
  <si>
    <t>CN5404500000000</t>
  </si>
  <si>
    <t>Logan County, WV</t>
  </si>
  <si>
    <t>CN5404700000000</t>
  </si>
  <si>
    <t>McDowell County, WV</t>
  </si>
  <si>
    <t>CN5404900000000</t>
  </si>
  <si>
    <t>Marion County, WV</t>
  </si>
  <si>
    <t>CN5405100000000</t>
  </si>
  <si>
    <t>Marshall County, WV</t>
  </si>
  <si>
    <t>CN5405300000000</t>
  </si>
  <si>
    <t>Mason County, WV</t>
  </si>
  <si>
    <t>CN5405500000000</t>
  </si>
  <si>
    <t>Mercer County, WV</t>
  </si>
  <si>
    <t>CN5405700000000</t>
  </si>
  <si>
    <t>Mineral County, WV</t>
  </si>
  <si>
    <t>CN5405900000000</t>
  </si>
  <si>
    <t>Mingo County, WV</t>
  </si>
  <si>
    <t>CN5406100000000</t>
  </si>
  <si>
    <t>Monongalia County, WV</t>
  </si>
  <si>
    <t>CN5406300000000</t>
  </si>
  <si>
    <t>Monroe County, WV</t>
  </si>
  <si>
    <t>CN5406500000000</t>
  </si>
  <si>
    <t>Morgan County, WV</t>
  </si>
  <si>
    <t>CN5406700000000</t>
  </si>
  <si>
    <t>Nicholas County, WV</t>
  </si>
  <si>
    <t>CN5406900000000</t>
  </si>
  <si>
    <t>Ohio County, WV</t>
  </si>
  <si>
    <t>CN5407100000000</t>
  </si>
  <si>
    <t>Pendleton County, WV</t>
  </si>
  <si>
    <t>CN5407300000000</t>
  </si>
  <si>
    <t>Pleasants County, WV</t>
  </si>
  <si>
    <t>CN5407500000000</t>
  </si>
  <si>
    <t>Pocahontas County, WV</t>
  </si>
  <si>
    <t>CN5407700000000</t>
  </si>
  <si>
    <t>Preston County, WV</t>
  </si>
  <si>
    <t>CN5407900000000</t>
  </si>
  <si>
    <t>Putnam County, WV</t>
  </si>
  <si>
    <t>CN5408100000000</t>
  </si>
  <si>
    <t>Raleigh County, WV</t>
  </si>
  <si>
    <t>CN5408300000000</t>
  </si>
  <si>
    <t>Randolph County, WV</t>
  </si>
  <si>
    <t>CN5408500000000</t>
  </si>
  <si>
    <t>Ritchie County, WV</t>
  </si>
  <si>
    <t>CN5408700000000</t>
  </si>
  <si>
    <t>Roane County, WV</t>
  </si>
  <si>
    <t>CN5408900000000</t>
  </si>
  <si>
    <t>Summers County, WV</t>
  </si>
  <si>
    <t>CN5409100000000</t>
  </si>
  <si>
    <t>Taylor County, WV</t>
  </si>
  <si>
    <t>CN5409300000000</t>
  </si>
  <si>
    <t>Tucker County, WV</t>
  </si>
  <si>
    <t>CN5409500000000</t>
  </si>
  <si>
    <t>Tyler County, WV</t>
  </si>
  <si>
    <t>CN5409700000000</t>
  </si>
  <si>
    <t>Upshur County, WV</t>
  </si>
  <si>
    <t>CN5409900000000</t>
  </si>
  <si>
    <t>Wayne County, WV</t>
  </si>
  <si>
    <t>CN5410100000000</t>
  </si>
  <si>
    <t>Webster County, WV</t>
  </si>
  <si>
    <t>CN5410300000000</t>
  </si>
  <si>
    <t>Wetzel County, WV</t>
  </si>
  <si>
    <t>CN5410500000000</t>
  </si>
  <si>
    <t>Wirt County, WV</t>
  </si>
  <si>
    <t>CN5410700000000</t>
  </si>
  <si>
    <t>Wood County, WV</t>
  </si>
  <si>
    <t>CN5410900000000</t>
  </si>
  <si>
    <t>Wyoming County, WV</t>
  </si>
  <si>
    <t>CN5500100000000</t>
  </si>
  <si>
    <t>Adams County, WI</t>
  </si>
  <si>
    <t>CN5500300000000</t>
  </si>
  <si>
    <t>Ashland County, WI</t>
  </si>
  <si>
    <t>CN5500500000000</t>
  </si>
  <si>
    <t>Barron County, WI</t>
  </si>
  <si>
    <t>CN5500700000000</t>
  </si>
  <si>
    <t>Bayfield County, WI</t>
  </si>
  <si>
    <t>CN5500900000000</t>
  </si>
  <si>
    <t>Brown County, WI</t>
  </si>
  <si>
    <t>CN5501100000000</t>
  </si>
  <si>
    <t>Buffalo County, WI</t>
  </si>
  <si>
    <t>CN5501300000000</t>
  </si>
  <si>
    <t>Burnett County, WI</t>
  </si>
  <si>
    <t>CN5501500000000</t>
  </si>
  <si>
    <t>Calumet County, WI</t>
  </si>
  <si>
    <t>CN5501700000000</t>
  </si>
  <si>
    <t>Chippewa County, WI</t>
  </si>
  <si>
    <t>CN5501900000000</t>
  </si>
  <si>
    <t>Clark County, WI</t>
  </si>
  <si>
    <t>CN5502100000000</t>
  </si>
  <si>
    <t>Columbia County, WI</t>
  </si>
  <si>
    <t>CN5502300000000</t>
  </si>
  <si>
    <t>Crawford County, WI</t>
  </si>
  <si>
    <t>CN5502500000000</t>
  </si>
  <si>
    <t>Dane County, WI</t>
  </si>
  <si>
    <t>CN5502700000000</t>
  </si>
  <si>
    <t>Dodge County, WI</t>
  </si>
  <si>
    <t>CN5502900000000</t>
  </si>
  <si>
    <t>Door County, WI</t>
  </si>
  <si>
    <t>CN5503100000000</t>
  </si>
  <si>
    <t>Douglas County, WI</t>
  </si>
  <si>
    <t>CN5503300000000</t>
  </si>
  <si>
    <t>Dunn County, WI</t>
  </si>
  <si>
    <t>CN5503500000000</t>
  </si>
  <si>
    <t>Eau Claire County, WI</t>
  </si>
  <si>
    <t>CN5503700000000</t>
  </si>
  <si>
    <t>Florence County, WI</t>
  </si>
  <si>
    <t>CN5503900000000</t>
  </si>
  <si>
    <t>Fond du Lac County, WI</t>
  </si>
  <si>
    <t>CN5504100000000</t>
  </si>
  <si>
    <t>Forest County, WI</t>
  </si>
  <si>
    <t>CN5504300000000</t>
  </si>
  <si>
    <t>Grant County, WI</t>
  </si>
  <si>
    <t>CN5504500000000</t>
  </si>
  <si>
    <t>Green County, WI</t>
  </si>
  <si>
    <t>CN5504700000000</t>
  </si>
  <si>
    <t>Green Lake County, WI</t>
  </si>
  <si>
    <t>CN5504900000000</t>
  </si>
  <si>
    <t>Iowa County, WI</t>
  </si>
  <si>
    <t>CN5505100000000</t>
  </si>
  <si>
    <t>Iron County, WI</t>
  </si>
  <si>
    <t>CN5505300000000</t>
  </si>
  <si>
    <t>Jackson County, WI</t>
  </si>
  <si>
    <t>CN5505500000000</t>
  </si>
  <si>
    <t>Jefferson County, WI</t>
  </si>
  <si>
    <t>CN5505700000000</t>
  </si>
  <si>
    <t>Juneau County, WI</t>
  </si>
  <si>
    <t>CN5505900000000</t>
  </si>
  <si>
    <t>Kenosha County, WI</t>
  </si>
  <si>
    <t>CN5506100000000</t>
  </si>
  <si>
    <t>Kewaunee County, WI</t>
  </si>
  <si>
    <t>CN5506300000000</t>
  </si>
  <si>
    <t>La Crosse County, WI</t>
  </si>
  <si>
    <t>CN5506500000000</t>
  </si>
  <si>
    <t>Lafayette County, WI</t>
  </si>
  <si>
    <t>CN5506700000000</t>
  </si>
  <si>
    <t>Langlade County, WI</t>
  </si>
  <si>
    <t>CN5506900000000</t>
  </si>
  <si>
    <t>Lincoln County, WI</t>
  </si>
  <si>
    <t>CN5507100000000</t>
  </si>
  <si>
    <t>Manitowoc County, WI</t>
  </si>
  <si>
    <t>CN5507300000000</t>
  </si>
  <si>
    <t>Marathon County, WI</t>
  </si>
  <si>
    <t>CN5507500000000</t>
  </si>
  <si>
    <t>Marinette County, WI</t>
  </si>
  <si>
    <t>CN5507700000000</t>
  </si>
  <si>
    <t>Marquette County, WI</t>
  </si>
  <si>
    <t>CN5507800000000</t>
  </si>
  <si>
    <t>Menominee County, WI</t>
  </si>
  <si>
    <t>CN5507900000000</t>
  </si>
  <si>
    <t>Milwaukee County, WI</t>
  </si>
  <si>
    <t>CN5508100000000</t>
  </si>
  <si>
    <t>Monroe County, WI</t>
  </si>
  <si>
    <t>CN5508300000000</t>
  </si>
  <si>
    <t>Oconto County, WI</t>
  </si>
  <si>
    <t>CN5508500000000</t>
  </si>
  <si>
    <t>Oneida County, WI</t>
  </si>
  <si>
    <t>CN5508700000000</t>
  </si>
  <si>
    <t>Outagamie County, WI</t>
  </si>
  <si>
    <t>CN5508900000000</t>
  </si>
  <si>
    <t>Ozaukee County, WI</t>
  </si>
  <si>
    <t>CN5509100000000</t>
  </si>
  <si>
    <t>Pepin County, WI</t>
  </si>
  <si>
    <t>CN5509300000000</t>
  </si>
  <si>
    <t>Pierce County, WI</t>
  </si>
  <si>
    <t>CN5509500000000</t>
  </si>
  <si>
    <t>Polk County, WI</t>
  </si>
  <si>
    <t>CN5509700000000</t>
  </si>
  <si>
    <t>Portage County, WI</t>
  </si>
  <si>
    <t>CN5509900000000</t>
  </si>
  <si>
    <t>Price County, WI</t>
  </si>
  <si>
    <t>CN5510100000000</t>
  </si>
  <si>
    <t>Racine County, WI</t>
  </si>
  <si>
    <t>CN5510300000000</t>
  </si>
  <si>
    <t>Richland County, WI</t>
  </si>
  <si>
    <t>CN5510500000000</t>
  </si>
  <si>
    <t>Rock County, WI</t>
  </si>
  <si>
    <t>CN5510700000000</t>
  </si>
  <si>
    <t>Rusk County, WI</t>
  </si>
  <si>
    <t>CN5510900000000</t>
  </si>
  <si>
    <t>St. Croix County, WI</t>
  </si>
  <si>
    <t>CN5511100000000</t>
  </si>
  <si>
    <t>Sauk County, WI</t>
  </si>
  <si>
    <t>CN5511300000000</t>
  </si>
  <si>
    <t>Sawyer County, WI</t>
  </si>
  <si>
    <t>CN5511500000000</t>
  </si>
  <si>
    <t>Shawano County, WI</t>
  </si>
  <si>
    <t>CN5511700000000</t>
  </si>
  <si>
    <t>Sheboygan County, WI</t>
  </si>
  <si>
    <t>CN5511900000000</t>
  </si>
  <si>
    <t>Taylor County, WI</t>
  </si>
  <si>
    <t>CN5512100000000</t>
  </si>
  <si>
    <t>Trempealeau County, WI</t>
  </si>
  <si>
    <t>CN5512300000000</t>
  </si>
  <si>
    <t>Vernon County, WI</t>
  </si>
  <si>
    <t>CN5512500000000</t>
  </si>
  <si>
    <t>Vilas County, WI</t>
  </si>
  <si>
    <t>CN5512700000000</t>
  </si>
  <si>
    <t>Walworth County, WI</t>
  </si>
  <si>
    <t>CN5512900000000</t>
  </si>
  <si>
    <t>Washburn County, WI</t>
  </si>
  <si>
    <t>CN5513100000000</t>
  </si>
  <si>
    <t>Washington County, WI</t>
  </si>
  <si>
    <t>CN5513300000000</t>
  </si>
  <si>
    <t>Waukesha County, WI</t>
  </si>
  <si>
    <t>CN5513500000000</t>
  </si>
  <si>
    <t>Waupaca County, WI</t>
  </si>
  <si>
    <t>CN5513700000000</t>
  </si>
  <si>
    <t>Waushara County, WI</t>
  </si>
  <si>
    <t>CN5513900000000</t>
  </si>
  <si>
    <t>Winnebago County, WI</t>
  </si>
  <si>
    <t>CN5514100000000</t>
  </si>
  <si>
    <t>Wood County, WI</t>
  </si>
  <si>
    <t>CN5600100000000</t>
  </si>
  <si>
    <t>Albany County, WY</t>
  </si>
  <si>
    <t>CN5600300000000</t>
  </si>
  <si>
    <t>Big Horn County, WY</t>
  </si>
  <si>
    <t>CN5600500000000</t>
  </si>
  <si>
    <t>Campbell County, WY</t>
  </si>
  <si>
    <t>CN5600700000000</t>
  </si>
  <si>
    <t>Carbon County, WY</t>
  </si>
  <si>
    <t>CN5600900000000</t>
  </si>
  <si>
    <t>Converse County, WY</t>
  </si>
  <si>
    <t>CN5601100000000</t>
  </si>
  <si>
    <t>Crook County, WY</t>
  </si>
  <si>
    <t>CN5601300000000</t>
  </si>
  <si>
    <t>Fremont County, WY</t>
  </si>
  <si>
    <t>CN5601500000000</t>
  </si>
  <si>
    <t>Goshen County, WY</t>
  </si>
  <si>
    <t>CN5601700000000</t>
  </si>
  <si>
    <t>Hot Springs County, WY</t>
  </si>
  <si>
    <t>CN5601900000000</t>
  </si>
  <si>
    <t>Johnson County, WY</t>
  </si>
  <si>
    <t>CN5602100000000</t>
  </si>
  <si>
    <t>Laramie County, WY</t>
  </si>
  <si>
    <t>CN5602300000000</t>
  </si>
  <si>
    <t>Lincoln County, WY</t>
  </si>
  <si>
    <t>CN5602500000000</t>
  </si>
  <si>
    <t>Natrona County, WY</t>
  </si>
  <si>
    <t>CN5602700000000</t>
  </si>
  <si>
    <t>Niobrara County, WY</t>
  </si>
  <si>
    <t>CN5602900000000</t>
  </si>
  <si>
    <t>Park County, WY</t>
  </si>
  <si>
    <t>CN5603100000000</t>
  </si>
  <si>
    <t>Platte County, WY</t>
  </si>
  <si>
    <t>CN5603300000000</t>
  </si>
  <si>
    <t>Sheridan County, WY</t>
  </si>
  <si>
    <t>CN5603500000000</t>
  </si>
  <si>
    <t>Sublette County, WY</t>
  </si>
  <si>
    <t>CN5603700000000</t>
  </si>
  <si>
    <t>Sweetwater County, WY</t>
  </si>
  <si>
    <t>CN5603900000000</t>
  </si>
  <si>
    <t>Teton County, WY</t>
  </si>
  <si>
    <t>CN5604100000000</t>
  </si>
  <si>
    <t>Uinta County, WY</t>
  </si>
  <si>
    <t>CN5604300000000</t>
  </si>
  <si>
    <t>Washakie County, WY</t>
  </si>
  <si>
    <t>CN5604500000000</t>
  </si>
  <si>
    <t>Weston County, WY</t>
  </si>
  <si>
    <t>CN7200100000000</t>
  </si>
  <si>
    <t>Adjuntas Municipio, PR</t>
  </si>
  <si>
    <t>CN7200300000000</t>
  </si>
  <si>
    <t>Aguada Municipio, PR</t>
  </si>
  <si>
    <t>CN7200500000000</t>
  </si>
  <si>
    <t>Aguadilla Municipio, PR</t>
  </si>
  <si>
    <t>CN7200700000000</t>
  </si>
  <si>
    <t>Aguas Buenas Municipio, PR</t>
  </si>
  <si>
    <t>CN7200900000000</t>
  </si>
  <si>
    <t>Aibonito Municipio, PR</t>
  </si>
  <si>
    <t>CN7201100000000</t>
  </si>
  <si>
    <t>Anasco Municipio, PR</t>
  </si>
  <si>
    <t>CN7201300000000</t>
  </si>
  <si>
    <t>Arecibo Municipio, PR</t>
  </si>
  <si>
    <t>CN7201500000000</t>
  </si>
  <si>
    <t>Arroyo Municipio, PR</t>
  </si>
  <si>
    <t>CN7201700000000</t>
  </si>
  <si>
    <t>Barceloneta Municipio, PR</t>
  </si>
  <si>
    <t>CN7201900000000</t>
  </si>
  <si>
    <t>Barranquitas Municipio, PR</t>
  </si>
  <si>
    <t>CN7202100000000</t>
  </si>
  <si>
    <t>Bayamon Municipio, PR</t>
  </si>
  <si>
    <t>CN7202300000000</t>
  </si>
  <si>
    <t>Cabo Rojo Municipio, PR</t>
  </si>
  <si>
    <t>CN7202500000000</t>
  </si>
  <si>
    <t>Caguas Municipio, PR</t>
  </si>
  <si>
    <t>CN7202700000000</t>
  </si>
  <si>
    <t>Camuy Municipio, PR</t>
  </si>
  <si>
    <t>CN7202900000000</t>
  </si>
  <si>
    <t>Canovanas Municipio, PR</t>
  </si>
  <si>
    <t>CN7203100000000</t>
  </si>
  <si>
    <t>Carolina Municipio, PR</t>
  </si>
  <si>
    <t>CN7203300000000</t>
  </si>
  <si>
    <t>Catano Municipio, PR</t>
  </si>
  <si>
    <t>CN7203500000000</t>
  </si>
  <si>
    <t>Cayey Municipio, PR</t>
  </si>
  <si>
    <t>CN7203700000000</t>
  </si>
  <si>
    <t>Ceiba Municipio, PR</t>
  </si>
  <si>
    <t>CN7203900000000</t>
  </si>
  <si>
    <t>Ciales Municipio, PR</t>
  </si>
  <si>
    <t>CN7204100000000</t>
  </si>
  <si>
    <t>Cidra Municipio, PR</t>
  </si>
  <si>
    <t>CN7204300000000</t>
  </si>
  <si>
    <t>Coamo Municipio, PR</t>
  </si>
  <si>
    <t>CN7204500000000</t>
  </si>
  <si>
    <t>Comerio Municipio, PR</t>
  </si>
  <si>
    <t>CN7204700000000</t>
  </si>
  <si>
    <t>Corozal Municipio, PR</t>
  </si>
  <si>
    <t>CN7204900000000</t>
  </si>
  <si>
    <t>Culebra Municipio, PR</t>
  </si>
  <si>
    <t>CN7205100000000</t>
  </si>
  <si>
    <t>Dorado Municipio, PR</t>
  </si>
  <si>
    <t>CN7205300000000</t>
  </si>
  <si>
    <t>Fajardo Municipio, PR</t>
  </si>
  <si>
    <t>CN7205400000000</t>
  </si>
  <si>
    <t>Florida Municipio, PR</t>
  </si>
  <si>
    <t>CN7205500000000</t>
  </si>
  <si>
    <t>Guanica Municipio, PR</t>
  </si>
  <si>
    <t>CN7205700000000</t>
  </si>
  <si>
    <t>Guayama Municipio, PR</t>
  </si>
  <si>
    <t>CN7205900000000</t>
  </si>
  <si>
    <t>Guayanilla Municipio, PR</t>
  </si>
  <si>
    <t>CN7206100000000</t>
  </si>
  <si>
    <t>Guaynabo Municipio, PR</t>
  </si>
  <si>
    <t>CN7206300000000</t>
  </si>
  <si>
    <t>Gurabo Municipio, PR</t>
  </si>
  <si>
    <t>CN7206500000000</t>
  </si>
  <si>
    <t>Hatillo Municipio, PR</t>
  </si>
  <si>
    <t>CN7206700000000</t>
  </si>
  <si>
    <t>Hormigueros Municipio, PR</t>
  </si>
  <si>
    <t>CN7206900000000</t>
  </si>
  <si>
    <t>Humacao Municipio, PR</t>
  </si>
  <si>
    <t>CN7207100000000</t>
  </si>
  <si>
    <t>Isabela Municipio, PR</t>
  </si>
  <si>
    <t>CN7207300000000</t>
  </si>
  <si>
    <t>Jayuya Municipio, PR</t>
  </si>
  <si>
    <t>CN7207500000000</t>
  </si>
  <si>
    <t>Juana Diaz Municipio, PR</t>
  </si>
  <si>
    <t>CN7207700000000</t>
  </si>
  <si>
    <t>Juncos Municipio, PR</t>
  </si>
  <si>
    <t>CN7207900000000</t>
  </si>
  <si>
    <t>Lajas Municipio, PR</t>
  </si>
  <si>
    <t>CN7208100000000</t>
  </si>
  <si>
    <t>Lares Municipio, PR</t>
  </si>
  <si>
    <t>CN7208300000000</t>
  </si>
  <si>
    <t>Las Marias Municipio, PR</t>
  </si>
  <si>
    <t>CN7208500000000</t>
  </si>
  <si>
    <t>Las Piedras Municipio, PR</t>
  </si>
  <si>
    <t>CN7208700000000</t>
  </si>
  <si>
    <t>Loiza Municipio, PR</t>
  </si>
  <si>
    <t>CN7208900000000</t>
  </si>
  <si>
    <t>Luquillo Municipio, PR</t>
  </si>
  <si>
    <t>CN7209100000000</t>
  </si>
  <si>
    <t>Manati Municipio, PR</t>
  </si>
  <si>
    <t>CN7209300000000</t>
  </si>
  <si>
    <t>Maricao Municipio, PR</t>
  </si>
  <si>
    <t>CN7209500000000</t>
  </si>
  <si>
    <t>Maunabo Municipio, PR</t>
  </si>
  <si>
    <t>CN7209700000000</t>
  </si>
  <si>
    <t>Mayaguez Municipio, PR</t>
  </si>
  <si>
    <t>CN7209900000000</t>
  </si>
  <si>
    <t>Moca Municipio, PR</t>
  </si>
  <si>
    <t>CN7210100000000</t>
  </si>
  <si>
    <t>Morovis Municipio, PR</t>
  </si>
  <si>
    <t>CN7210300000000</t>
  </si>
  <si>
    <t>Naguabo Municipio, PR</t>
  </si>
  <si>
    <t>CN7210500000000</t>
  </si>
  <si>
    <t>Naranjito Municipio, PR</t>
  </si>
  <si>
    <t>CN7210700000000</t>
  </si>
  <si>
    <t>Orocovis Municipio, PR</t>
  </si>
  <si>
    <t>CN7210900000000</t>
  </si>
  <si>
    <t>Patillas Municipio, PR</t>
  </si>
  <si>
    <t>CN7211100000000</t>
  </si>
  <si>
    <t>Penuelas Municipio, PR</t>
  </si>
  <si>
    <t>CN7211300000000</t>
  </si>
  <si>
    <t>Ponce Municipio, PR</t>
  </si>
  <si>
    <t>CN7211500000000</t>
  </si>
  <si>
    <t>Quebradillas Municipio, PR</t>
  </si>
  <si>
    <t>CN7211700000000</t>
  </si>
  <si>
    <t>Rincon Municipio, PR</t>
  </si>
  <si>
    <t>CN7211900000000</t>
  </si>
  <si>
    <t>Rio Grande Municipio, PR</t>
  </si>
  <si>
    <t>CN7212100000000</t>
  </si>
  <si>
    <t>Sabana Grande Municipio, PR</t>
  </si>
  <si>
    <t>CN7212300000000</t>
  </si>
  <si>
    <t>Salinas Municipio, PR</t>
  </si>
  <si>
    <t>CN7212500000000</t>
  </si>
  <si>
    <t>San German Municipio, PR</t>
  </si>
  <si>
    <t>CN7212700000000</t>
  </si>
  <si>
    <t>San Juan Municipio, PR</t>
  </si>
  <si>
    <t>CN7212900000000</t>
  </si>
  <si>
    <t>San Lorenzo Municipio, PR</t>
  </si>
  <si>
    <t>CN7213100000000</t>
  </si>
  <si>
    <t>San Sebastian Municipio, PR</t>
  </si>
  <si>
    <t>CN7213300000000</t>
  </si>
  <si>
    <t>Santa Isabel Municipio, PR</t>
  </si>
  <si>
    <t>CN7213500000000</t>
  </si>
  <si>
    <t>Toa Alta Municipio, PR</t>
  </si>
  <si>
    <t>CN7213700000000</t>
  </si>
  <si>
    <t>Toa Baja Municipio, PR</t>
  </si>
  <si>
    <t>CN7213900000000</t>
  </si>
  <si>
    <t>Trujillo Alto Municipio, PR</t>
  </si>
  <si>
    <t>CN7214100000000</t>
  </si>
  <si>
    <t>Utuado Municipio, PR</t>
  </si>
  <si>
    <t>CN7214300000000</t>
  </si>
  <si>
    <t>Vega Alta Municipio, PR</t>
  </si>
  <si>
    <t>CN7214500000000</t>
  </si>
  <si>
    <t>Vega Baja Municipio, PR</t>
  </si>
  <si>
    <t>CN7214700000000</t>
  </si>
  <si>
    <t>Vieques Municipio, PR</t>
  </si>
  <si>
    <t>CN7214900000000</t>
  </si>
  <si>
    <t>Villalba Municipio, PR</t>
  </si>
  <si>
    <t>CN7215100000000</t>
  </si>
  <si>
    <t>Yabucoa Municipio, PR</t>
  </si>
  <si>
    <t>CN7215300000000</t>
  </si>
  <si>
    <t>Yauco Municipio, PR</t>
  </si>
  <si>
    <t>G</t>
  </si>
  <si>
    <t>CT0203000000000</t>
  </si>
  <si>
    <t>CT0224230000000</t>
  </si>
  <si>
    <t>Fairbanks city, AK</t>
  </si>
  <si>
    <t>CT0236400000000</t>
  </si>
  <si>
    <t>CT0270540000000</t>
  </si>
  <si>
    <t>CT0286380000000</t>
  </si>
  <si>
    <t>CT0100820000000</t>
  </si>
  <si>
    <t>Alabaster city, AL</t>
  </si>
  <si>
    <t>CT0101852000000</t>
  </si>
  <si>
    <t>Anniston city, AL</t>
  </si>
  <si>
    <t>CT0102956000000</t>
  </si>
  <si>
    <t>Athens city, AL</t>
  </si>
  <si>
    <t>CT0103076000000</t>
  </si>
  <si>
    <t>Auburn city, AL</t>
  </si>
  <si>
    <t>CT0105980000000</t>
  </si>
  <si>
    <t>Bessemer city, AL</t>
  </si>
  <si>
    <t>CT0107000000000</t>
  </si>
  <si>
    <t>Birmingham city, AL</t>
  </si>
  <si>
    <t>CT0119648000000</t>
  </si>
  <si>
    <t>Daphne city, AL</t>
  </si>
  <si>
    <t>CT0120104000000</t>
  </si>
  <si>
    <t>Decatur city, AL</t>
  </si>
  <si>
    <t>CT0121184000000</t>
  </si>
  <si>
    <t>Dothan city, AL</t>
  </si>
  <si>
    <t>CT0124184000000</t>
  </si>
  <si>
    <t>Enterprise city, AL</t>
  </si>
  <si>
    <t>CT0126896000000</t>
  </si>
  <si>
    <t>Florence city, AL</t>
  </si>
  <si>
    <t>CT0128696000000</t>
  </si>
  <si>
    <t>Gadsden city, AL</t>
  </si>
  <si>
    <t>CT0135800000000</t>
  </si>
  <si>
    <t>Homewood city, AL</t>
  </si>
  <si>
    <t>CT0135896000000</t>
  </si>
  <si>
    <t>Hoover city, AL</t>
  </si>
  <si>
    <t>CT0137000000000</t>
  </si>
  <si>
    <t>Huntsville city, AL</t>
  </si>
  <si>
    <t>CT0145784000000</t>
  </si>
  <si>
    <t>Madison city, AL</t>
  </si>
  <si>
    <t>CT0150000000000</t>
  </si>
  <si>
    <t>Mobile city, AL</t>
  </si>
  <si>
    <t>CT0151000000000</t>
  </si>
  <si>
    <t>Montgomery city, AL</t>
  </si>
  <si>
    <t>CT0155200000000</t>
  </si>
  <si>
    <t>Northport city, AL</t>
  </si>
  <si>
    <t>CT0157048000000</t>
  </si>
  <si>
    <t>Opelika city, AL</t>
  </si>
  <si>
    <t>CT0159472000000</t>
  </si>
  <si>
    <t>Phenix City city, AL</t>
  </si>
  <si>
    <t>CT0162328000000</t>
  </si>
  <si>
    <t>Prattville city, AL</t>
  </si>
  <si>
    <t>CT0162496000000</t>
  </si>
  <si>
    <t>Prichard city, AL</t>
  </si>
  <si>
    <t>CT0169120000000</t>
  </si>
  <si>
    <t>Selma city, AL</t>
  </si>
  <si>
    <t>CT0177256000000</t>
  </si>
  <si>
    <t>Tuscaloosa city, AL</t>
  </si>
  <si>
    <t>CT0178552000000</t>
  </si>
  <si>
    <t>Vestavia Hills city, AL</t>
  </si>
  <si>
    <t>CT0504840000000</t>
  </si>
  <si>
    <t>Bella Vista city, AR</t>
  </si>
  <si>
    <t>CT0505290000000</t>
  </si>
  <si>
    <t>Benton city, AR</t>
  </si>
  <si>
    <t>CT0505320000000</t>
  </si>
  <si>
    <t>Bentonville city, AR</t>
  </si>
  <si>
    <t>CT0510300000000</t>
  </si>
  <si>
    <t>Cabot city, AR</t>
  </si>
  <si>
    <t>CT0515190000000</t>
  </si>
  <si>
    <t>Conway city, AR</t>
  </si>
  <si>
    <t>CT0523290000000</t>
  </si>
  <si>
    <t>Fayetteville city, AR</t>
  </si>
  <si>
    <t>CT0524550000000</t>
  </si>
  <si>
    <t>Fort Smith city, AR</t>
  </si>
  <si>
    <t>CT0533400000000</t>
  </si>
  <si>
    <t>Hot Springs city, AR</t>
  </si>
  <si>
    <t>CT0534750000000</t>
  </si>
  <si>
    <t>Jacksonville city, AR</t>
  </si>
  <si>
    <t>CT0535710000000</t>
  </si>
  <si>
    <t>Jonesboro city, AR</t>
  </si>
  <si>
    <t>CT0541000000000</t>
  </si>
  <si>
    <t>Little Rock city, AR</t>
  </si>
  <si>
    <t>CT0550450000000</t>
  </si>
  <si>
    <t>North Little Rock city, AR</t>
  </si>
  <si>
    <t>CT0553390000000</t>
  </si>
  <si>
    <t>Paragould city, AR</t>
  </si>
  <si>
    <t>CT0555310000000</t>
  </si>
  <si>
    <t>Pine Bluff city, AR</t>
  </si>
  <si>
    <t>CT0560410000000</t>
  </si>
  <si>
    <t>Rogers city, AR</t>
  </si>
  <si>
    <t>CT0561670000000</t>
  </si>
  <si>
    <t>Russellville city, AR</t>
  </si>
  <si>
    <t>CT0563800000000</t>
  </si>
  <si>
    <t>Sherwood city, AR</t>
  </si>
  <si>
    <t>CT0566080000000</t>
  </si>
  <si>
    <t>Springdale city, AR</t>
  </si>
  <si>
    <t>CT0568810000000</t>
  </si>
  <si>
    <t>Texarkana city, AR</t>
  </si>
  <si>
    <t>CT0574540000000</t>
  </si>
  <si>
    <t>West Memphis city, AR</t>
  </si>
  <si>
    <t>CT0402830000000</t>
  </si>
  <si>
    <t>Apache Junction city, AZ</t>
  </si>
  <si>
    <t>CT0404720000000</t>
  </si>
  <si>
    <t>Avondale city, AZ</t>
  </si>
  <si>
    <t>CT0407940000000</t>
  </si>
  <si>
    <t>Buckeye city, AZ</t>
  </si>
  <si>
    <t>CT0408220000000</t>
  </si>
  <si>
    <t>Bullhead City city, AZ</t>
  </si>
  <si>
    <t>CT0410530000000</t>
  </si>
  <si>
    <t>Casa Grande city, AZ</t>
  </si>
  <si>
    <t>CT0412000000000</t>
  </si>
  <si>
    <t>Chandler city, AZ</t>
  </si>
  <si>
    <t>CT0422220000000</t>
  </si>
  <si>
    <t>El Mirage city, AZ</t>
  </si>
  <si>
    <t>CT0423620000000</t>
  </si>
  <si>
    <t>Flagstaff city, AZ</t>
  </si>
  <si>
    <t>CT0423760000000</t>
  </si>
  <si>
    <t>Florence town, AZ</t>
  </si>
  <si>
    <t>CT0425300000000</t>
  </si>
  <si>
    <t>Fountain Hills town, AZ</t>
  </si>
  <si>
    <t>CT0427400000000</t>
  </si>
  <si>
    <t>Gilbert town, AZ</t>
  </si>
  <si>
    <t>CT0427820000000</t>
  </si>
  <si>
    <t>Glendale city, AZ</t>
  </si>
  <si>
    <t>CT0428380000000</t>
  </si>
  <si>
    <t>Goodyear city, AZ</t>
  </si>
  <si>
    <t>CT0437620000000</t>
  </si>
  <si>
    <t>Kingman city, AZ</t>
  </si>
  <si>
    <t>CT0439370000000</t>
  </si>
  <si>
    <t>Lake Havasu City city, AZ</t>
  </si>
  <si>
    <t>CT0444270000000</t>
  </si>
  <si>
    <t>Marana town, AZ</t>
  </si>
  <si>
    <t>CT0444410000000</t>
  </si>
  <si>
    <t>Maricopa city, AZ</t>
  </si>
  <si>
    <t>CT0446000000000</t>
  </si>
  <si>
    <t>Mesa city, AZ</t>
  </si>
  <si>
    <t>CT0451600000000</t>
  </si>
  <si>
    <t>Oro Valley town, AZ</t>
  </si>
  <si>
    <t>CT0454050000000</t>
  </si>
  <si>
    <t>Peoria city, AZ</t>
  </si>
  <si>
    <t>CT0455000000000</t>
  </si>
  <si>
    <t>Phoenix city, AZ</t>
  </si>
  <si>
    <t>CT0457380000000</t>
  </si>
  <si>
    <t>Prescott city, AZ</t>
  </si>
  <si>
    <t>CT0457450000000</t>
  </si>
  <si>
    <t>Prescott Valley town, AZ</t>
  </si>
  <si>
    <t>CT0458150000000</t>
  </si>
  <si>
    <t>Queen Creek town, AZ</t>
  </si>
  <si>
    <t>CT0462140000000</t>
  </si>
  <si>
    <t>Sahuarita town, AZ</t>
  </si>
  <si>
    <t>CT0463470000000</t>
  </si>
  <si>
    <t>San Luis city, AZ</t>
  </si>
  <si>
    <t>CT0465000000000</t>
  </si>
  <si>
    <t>Scottsdale city, AZ</t>
  </si>
  <si>
    <t>CT0466820000000</t>
  </si>
  <si>
    <t>Sierra Vista city, AZ</t>
  </si>
  <si>
    <t>CT0471510000000</t>
  </si>
  <si>
    <t>Surprise city, AZ</t>
  </si>
  <si>
    <t>CT0473000000000</t>
  </si>
  <si>
    <t>Tempe city, AZ</t>
  </si>
  <si>
    <t>CT0477000000000</t>
  </si>
  <si>
    <t>Tucson city, AZ</t>
  </si>
  <si>
    <t>CT0485540000000</t>
  </si>
  <si>
    <t>Yuma city, AZ</t>
  </si>
  <si>
    <t>CT0600296000000</t>
  </si>
  <si>
    <t>Adelanto city, CA</t>
  </si>
  <si>
    <t>CT0600394000000</t>
  </si>
  <si>
    <t>Agoura Hills city, CA</t>
  </si>
  <si>
    <t>CT0600562000000</t>
  </si>
  <si>
    <t>Alameda city, CA</t>
  </si>
  <si>
    <t>CT0600884000000</t>
  </si>
  <si>
    <t>Alhambra city, CA</t>
  </si>
  <si>
    <t>CT0600947000000</t>
  </si>
  <si>
    <t>Aliso Viejo city, CA</t>
  </si>
  <si>
    <t>CT0602000000000</t>
  </si>
  <si>
    <t>Anaheim city, CA</t>
  </si>
  <si>
    <t>CT0602252000000</t>
  </si>
  <si>
    <t>Antioch city, CA</t>
  </si>
  <si>
    <t>CT0602364000000</t>
  </si>
  <si>
    <t>Apple Valley town, CA</t>
  </si>
  <si>
    <t>CT0602462000000</t>
  </si>
  <si>
    <t>Arcadia city, CA</t>
  </si>
  <si>
    <t>CT0603064000000</t>
  </si>
  <si>
    <t>Atascadero city, CA</t>
  </si>
  <si>
    <t>CT0603162000000</t>
  </si>
  <si>
    <t>Atwater city, CA</t>
  </si>
  <si>
    <t>CT0603386000000</t>
  </si>
  <si>
    <t>Azusa city, CA</t>
  </si>
  <si>
    <t>CT0603526000000</t>
  </si>
  <si>
    <t>Bakersfield city, CA</t>
  </si>
  <si>
    <t>CT0603666000000</t>
  </si>
  <si>
    <t>Baldwin Park city, CA</t>
  </si>
  <si>
    <t>CT0603820000000</t>
  </si>
  <si>
    <t>Banning city, CA</t>
  </si>
  <si>
    <t>CT0604758000000</t>
  </si>
  <si>
    <t>Beaumont city, CA</t>
  </si>
  <si>
    <t>CT0604870000000</t>
  </si>
  <si>
    <t>Bell city, CA</t>
  </si>
  <si>
    <t>CT0604996000000</t>
  </si>
  <si>
    <t>Bell Gardens city, CA</t>
  </si>
  <si>
    <t>CT0604982000000</t>
  </si>
  <si>
    <t>Bellflower city, CA</t>
  </si>
  <si>
    <t>CT0605108000000</t>
  </si>
  <si>
    <t>Belmont city, CA</t>
  </si>
  <si>
    <t>CT0605290000000</t>
  </si>
  <si>
    <t>Benicia city, CA</t>
  </si>
  <si>
    <t>CT0606000000000</t>
  </si>
  <si>
    <t>Berkeley city, CA</t>
  </si>
  <si>
    <t>CT0606308000000</t>
  </si>
  <si>
    <t>Beverly Hills city, CA</t>
  </si>
  <si>
    <t>CT0608058000000</t>
  </si>
  <si>
    <t>Brawley city, CA</t>
  </si>
  <si>
    <t>CT0608100000000</t>
  </si>
  <si>
    <t>Brea city, CA</t>
  </si>
  <si>
    <t>CT0608142000000</t>
  </si>
  <si>
    <t>Brentwood city, CA</t>
  </si>
  <si>
    <t>CT0608786000000</t>
  </si>
  <si>
    <t>Buena Park city, CA</t>
  </si>
  <si>
    <t>CT0608954000000</t>
  </si>
  <si>
    <t>Burbank city, CA</t>
  </si>
  <si>
    <t>CT0609066000000</t>
  </si>
  <si>
    <t>Burlingame city, CA</t>
  </si>
  <si>
    <t>CT0609710000000</t>
  </si>
  <si>
    <t>Calexico city, CA</t>
  </si>
  <si>
    <t>CT0610046000000</t>
  </si>
  <si>
    <t>Camarillo city, CA</t>
  </si>
  <si>
    <t>CT0610345000000</t>
  </si>
  <si>
    <t>Campbell city, CA</t>
  </si>
  <si>
    <t>CT0611194000000</t>
  </si>
  <si>
    <t>Carlsbad city, CA</t>
  </si>
  <si>
    <t>CT0611530000000</t>
  </si>
  <si>
    <t>Carson city, CA</t>
  </si>
  <si>
    <t>CT0612048000000</t>
  </si>
  <si>
    <t>Cathedral City city, CA</t>
  </si>
  <si>
    <t>CT0612524000000</t>
  </si>
  <si>
    <t>Ceres city, CA</t>
  </si>
  <si>
    <t>CT0612552000000</t>
  </si>
  <si>
    <t>Cerritos city, CA</t>
  </si>
  <si>
    <t>CT0613014000000</t>
  </si>
  <si>
    <t>Chico city, CA</t>
  </si>
  <si>
    <t>CT0613210000000</t>
  </si>
  <si>
    <t>Chino city, CA</t>
  </si>
  <si>
    <t>CT0613214000000</t>
  </si>
  <si>
    <t>Chino Hills city, CA</t>
  </si>
  <si>
    <t>CT0613392000000</t>
  </si>
  <si>
    <t>Chula Vista city, CA</t>
  </si>
  <si>
    <t>CT0613588000000</t>
  </si>
  <si>
    <t>Citrus Heights city, CA</t>
  </si>
  <si>
    <t>CT0613756000000</t>
  </si>
  <si>
    <t>Claremont city, CA</t>
  </si>
  <si>
    <t>CT0614218000000</t>
  </si>
  <si>
    <t>Clovis city, CA</t>
  </si>
  <si>
    <t>CT0614260000000</t>
  </si>
  <si>
    <t>Coachella city, CA</t>
  </si>
  <si>
    <t>CT0614890000000</t>
  </si>
  <si>
    <t>Colton city, CA</t>
  </si>
  <si>
    <t>CT0615044000000</t>
  </si>
  <si>
    <t>Compton city, CA</t>
  </si>
  <si>
    <t>CT0616000000000</t>
  </si>
  <si>
    <t>Concord city, CA</t>
  </si>
  <si>
    <t>CT0616224000000</t>
  </si>
  <si>
    <t>Corcoran city, CA</t>
  </si>
  <si>
    <t>CT0616350000000</t>
  </si>
  <si>
    <t>Corona city, CA</t>
  </si>
  <si>
    <t>CT0616378000000</t>
  </si>
  <si>
    <t>Coronado city, CA</t>
  </si>
  <si>
    <t>CT0616532000000</t>
  </si>
  <si>
    <t>Costa Mesa city, CA</t>
  </si>
  <si>
    <t>CT0616742000000</t>
  </si>
  <si>
    <t>Covina city, CA</t>
  </si>
  <si>
    <t>CT0617498000000</t>
  </si>
  <si>
    <t>Cudahy city, CA</t>
  </si>
  <si>
    <t>CT0617568000000</t>
  </si>
  <si>
    <t>Culver City city, CA</t>
  </si>
  <si>
    <t>CT0617610000000</t>
  </si>
  <si>
    <t>Cupertino city, CA</t>
  </si>
  <si>
    <t>CT0617750000000</t>
  </si>
  <si>
    <t>Cypress city, CA</t>
  </si>
  <si>
    <t>CT0617918000000</t>
  </si>
  <si>
    <t>Daly City city, CA</t>
  </si>
  <si>
    <t>CT0617946000000</t>
  </si>
  <si>
    <t>Dana Point city, CA</t>
  </si>
  <si>
    <t>CT0617988000000</t>
  </si>
  <si>
    <t>Danville town, CA</t>
  </si>
  <si>
    <t>CT0618100000000</t>
  </si>
  <si>
    <t>Davis city, CA</t>
  </si>
  <si>
    <t>CT0618394000000</t>
  </si>
  <si>
    <t>Delano city, CA</t>
  </si>
  <si>
    <t>CT0618996000000</t>
  </si>
  <si>
    <t>Desert Hot Springs city, CA</t>
  </si>
  <si>
    <t>CT0619192000000</t>
  </si>
  <si>
    <t>Diamond Bar city, CA</t>
  </si>
  <si>
    <t>CT0619766000000</t>
  </si>
  <si>
    <t>Downey city, CA</t>
  </si>
  <si>
    <t>CT0620018000000</t>
  </si>
  <si>
    <t>Dublin city, CA</t>
  </si>
  <si>
    <t>CT0620956000000</t>
  </si>
  <si>
    <t>East Palo Alto city, CA</t>
  </si>
  <si>
    <t>CT0621230000000</t>
  </si>
  <si>
    <t>Eastvale city, CA</t>
  </si>
  <si>
    <t>CT0621712000000</t>
  </si>
  <si>
    <t>El Cajon city, CA</t>
  </si>
  <si>
    <t>CT0621782000000</t>
  </si>
  <si>
    <t>El Centro city, CA</t>
  </si>
  <si>
    <t>CT0621796000000</t>
  </si>
  <si>
    <t>El Cerrito city, CA</t>
  </si>
  <si>
    <t>CT0622230000000</t>
  </si>
  <si>
    <t>El Monte city, CA</t>
  </si>
  <si>
    <t>CT0622300000000</t>
  </si>
  <si>
    <t>El Paso de Robles (Paso Robles) city, CA</t>
  </si>
  <si>
    <t>CT0622020000000</t>
  </si>
  <si>
    <t>Elk Grove city, CA</t>
  </si>
  <si>
    <t>CT0622678000000</t>
  </si>
  <si>
    <t>Encinitas city, CA</t>
  </si>
  <si>
    <t>CT0622804000000</t>
  </si>
  <si>
    <t>Escondido city, CA</t>
  </si>
  <si>
    <t>CT0623042000000</t>
  </si>
  <si>
    <t>Eureka city, CA</t>
  </si>
  <si>
    <t>CT0623182000000</t>
  </si>
  <si>
    <t>Fairfield city, CA</t>
  </si>
  <si>
    <t>CT0624638000000</t>
  </si>
  <si>
    <t>Folsom city, CA</t>
  </si>
  <si>
    <t>CT0624680000000</t>
  </si>
  <si>
    <t>Fontana city, CA</t>
  </si>
  <si>
    <t>CT0625338000000</t>
  </si>
  <si>
    <t>Foster City city, CA</t>
  </si>
  <si>
    <t>CT0625380000000</t>
  </si>
  <si>
    <t>Fountain Valley city, CA</t>
  </si>
  <si>
    <t>CT0626000000000</t>
  </si>
  <si>
    <t>Fremont city, CA</t>
  </si>
  <si>
    <t>CT0627000000000</t>
  </si>
  <si>
    <t>Fresno city, CA</t>
  </si>
  <si>
    <t>CT0628000000000</t>
  </si>
  <si>
    <t>Fullerton city, CA</t>
  </si>
  <si>
    <t>CT0628112000000</t>
  </si>
  <si>
    <t>Galt city, CA</t>
  </si>
  <si>
    <t>CT0629000000000</t>
  </si>
  <si>
    <t>Garden Grove city, CA</t>
  </si>
  <si>
    <t>CT0628168000000</t>
  </si>
  <si>
    <t>Gardena city, CA</t>
  </si>
  <si>
    <t>CT0629504000000</t>
  </si>
  <si>
    <t>Gilroy city, CA</t>
  </si>
  <si>
    <t>CT0630000000000</t>
  </si>
  <si>
    <t>Glendale city, CA</t>
  </si>
  <si>
    <t>CT0630014000000</t>
  </si>
  <si>
    <t>Glendora city, CA</t>
  </si>
  <si>
    <t>CT0630378000000</t>
  </si>
  <si>
    <t>Goleta city, CA</t>
  </si>
  <si>
    <t>CT0631960000000</t>
  </si>
  <si>
    <t>Hanford city, CA</t>
  </si>
  <si>
    <t>CT0632548000000</t>
  </si>
  <si>
    <t>Hawthorne city, CA</t>
  </si>
  <si>
    <t>CT0633000000000</t>
  </si>
  <si>
    <t>Hayward city, CA</t>
  </si>
  <si>
    <t>CT0633182000000</t>
  </si>
  <si>
    <t>Hemet city, CA</t>
  </si>
  <si>
    <t>CT0633308000000</t>
  </si>
  <si>
    <t>Hercules city, CA</t>
  </si>
  <si>
    <t>CT0633434000000</t>
  </si>
  <si>
    <t>Hesperia city, CA</t>
  </si>
  <si>
    <t>CT0633588000000</t>
  </si>
  <si>
    <t>Highland city, CA</t>
  </si>
  <si>
    <t>CT0634120000000</t>
  </si>
  <si>
    <t>Hollister city, CA</t>
  </si>
  <si>
    <t>CT0636000000000</t>
  </si>
  <si>
    <t>Huntington Beach city, CA</t>
  </si>
  <si>
    <t>CT0636056000000</t>
  </si>
  <si>
    <t>Huntington Park city, CA</t>
  </si>
  <si>
    <t>CT0636294000000</t>
  </si>
  <si>
    <t>Imperial Beach city, CA</t>
  </si>
  <si>
    <t>CT0636448000000</t>
  </si>
  <si>
    <t>Indio city, CA</t>
  </si>
  <si>
    <t>CT0636546000000</t>
  </si>
  <si>
    <t>Inglewood city, CA</t>
  </si>
  <si>
    <t>CT0636770000000</t>
  </si>
  <si>
    <t>Irvine city, CA</t>
  </si>
  <si>
    <t>CT0637692000000</t>
  </si>
  <si>
    <t>Jurupa Valley city, CA</t>
  </si>
  <si>
    <t>CT0639290000000</t>
  </si>
  <si>
    <t>La Habra city, CA</t>
  </si>
  <si>
    <t>CT0640004000000</t>
  </si>
  <si>
    <t>La Mesa city, CA</t>
  </si>
  <si>
    <t>CT0640032000000</t>
  </si>
  <si>
    <t>La Mirada city, CA</t>
  </si>
  <si>
    <t>CT0640340000000</t>
  </si>
  <si>
    <t>La Puente city, CA</t>
  </si>
  <si>
    <t>CT0640354000000</t>
  </si>
  <si>
    <t>La Quinta city, CA</t>
  </si>
  <si>
    <t>CT0640830000000</t>
  </si>
  <si>
    <t>La Verne city, CA</t>
  </si>
  <si>
    <t>CT0639122000000</t>
  </si>
  <si>
    <t>Lafayette city, CA</t>
  </si>
  <si>
    <t>CT0639178000000</t>
  </si>
  <si>
    <t>Laguna Beach city, CA</t>
  </si>
  <si>
    <t>CT0639220000000</t>
  </si>
  <si>
    <t>Laguna Hills city, CA</t>
  </si>
  <si>
    <t>CT0639248000000</t>
  </si>
  <si>
    <t>Laguna Niguel city, CA</t>
  </si>
  <si>
    <t>CT0639486000000</t>
  </si>
  <si>
    <t>Lake Elsinore city, CA</t>
  </si>
  <si>
    <t>CT0639496000000</t>
  </si>
  <si>
    <t>Lake Forest city, CA</t>
  </si>
  <si>
    <t>CT0639892000000</t>
  </si>
  <si>
    <t>Lakewood city, CA</t>
  </si>
  <si>
    <t>CT0640130000000</t>
  </si>
  <si>
    <t>Lancaster city, CA</t>
  </si>
  <si>
    <t>CT0640886000000</t>
  </si>
  <si>
    <t>Lawndale city, CA</t>
  </si>
  <si>
    <t>CT0641124000000</t>
  </si>
  <si>
    <t>Lemon Grove city, CA</t>
  </si>
  <si>
    <t>CT0641152000000</t>
  </si>
  <si>
    <t>Lemoore city, CA</t>
  </si>
  <si>
    <t>CT0641474000000</t>
  </si>
  <si>
    <t>Lincoln city, CA</t>
  </si>
  <si>
    <t>CT0641992000000</t>
  </si>
  <si>
    <t>Livermore city, CA</t>
  </si>
  <si>
    <t>CT0642202000000</t>
  </si>
  <si>
    <t>Lodi city, CA</t>
  </si>
  <si>
    <t>CT0642524000000</t>
  </si>
  <si>
    <t>Lompoc city, CA</t>
  </si>
  <si>
    <t>CT0643000000000</t>
  </si>
  <si>
    <t>Long Beach city, CA</t>
  </si>
  <si>
    <t>CT0643280000000</t>
  </si>
  <si>
    <t>Los Altos city, CA</t>
  </si>
  <si>
    <t>CT0644000000000</t>
  </si>
  <si>
    <t>Los Angeles city, CA</t>
  </si>
  <si>
    <t>CT0644028000000</t>
  </si>
  <si>
    <t>Los Banos city, CA</t>
  </si>
  <si>
    <t>CT0644112000000</t>
  </si>
  <si>
    <t>Los Gatos town, CA</t>
  </si>
  <si>
    <t>CT0644574000000</t>
  </si>
  <si>
    <t>Lynwood city, CA</t>
  </si>
  <si>
    <t>CT0645022000000</t>
  </si>
  <si>
    <t>Madera city, CA</t>
  </si>
  <si>
    <t>CT0645400000000</t>
  </si>
  <si>
    <t>Manhattan Beach city, CA</t>
  </si>
  <si>
    <t>CT0645484000000</t>
  </si>
  <si>
    <t>Manteca city, CA</t>
  </si>
  <si>
    <t>CT0645778000000</t>
  </si>
  <si>
    <t>Marina city, CA</t>
  </si>
  <si>
    <t>CT0646114000000</t>
  </si>
  <si>
    <t>Martinez city, CA</t>
  </si>
  <si>
    <t>CT0646492000000</t>
  </si>
  <si>
    <t>Maywood city, CA</t>
  </si>
  <si>
    <t>CT0646842000000</t>
  </si>
  <si>
    <t>Menifee city, CA</t>
  </si>
  <si>
    <t>CT0646870000000</t>
  </si>
  <si>
    <t>Menlo Park city, CA</t>
  </si>
  <si>
    <t>CT0646898000000</t>
  </si>
  <si>
    <t>Merced city, CA</t>
  </si>
  <si>
    <t>CT0647766000000</t>
  </si>
  <si>
    <t>Milpitas city, CA</t>
  </si>
  <si>
    <t>CT0648256000000</t>
  </si>
  <si>
    <t>Mission Viejo city, CA</t>
  </si>
  <si>
    <t>CT0648354000000</t>
  </si>
  <si>
    <t>Modesto city, CA</t>
  </si>
  <si>
    <t>CT0648648000000</t>
  </si>
  <si>
    <t>Monrovia city, CA</t>
  </si>
  <si>
    <t>CT0648788000000</t>
  </si>
  <si>
    <t>Montclair city, CA</t>
  </si>
  <si>
    <t>CT0648816000000</t>
  </si>
  <si>
    <t>Montebello city, CA</t>
  </si>
  <si>
    <t>CT0648872000000</t>
  </si>
  <si>
    <t>Monterey city, CA</t>
  </si>
  <si>
    <t>CT0648914000000</t>
  </si>
  <si>
    <t>Monterey Park city, CA</t>
  </si>
  <si>
    <t>CT0649138000000</t>
  </si>
  <si>
    <t>Moorpark city, CA</t>
  </si>
  <si>
    <t>CT0649270000000</t>
  </si>
  <si>
    <t>Moreno Valley city, CA</t>
  </si>
  <si>
    <t>CT0649278000000</t>
  </si>
  <si>
    <t>Morgan Hill city, CA</t>
  </si>
  <si>
    <t>CT0649670000000</t>
  </si>
  <si>
    <t>Mountain View city, CA</t>
  </si>
  <si>
    <t>CT0650076000000</t>
  </si>
  <si>
    <t>Murrieta city, CA</t>
  </si>
  <si>
    <t>CT0650258000000</t>
  </si>
  <si>
    <t>Napa city, CA</t>
  </si>
  <si>
    <t>CT0650398000000</t>
  </si>
  <si>
    <t>National City city, CA</t>
  </si>
  <si>
    <t>CT0650916000000</t>
  </si>
  <si>
    <t>Newark city, CA</t>
  </si>
  <si>
    <t>CT0651182000000</t>
  </si>
  <si>
    <t>Newport Beach city, CA</t>
  </si>
  <si>
    <t>CT0651560000000</t>
  </si>
  <si>
    <t>Norco city, CA</t>
  </si>
  <si>
    <t>CT0652526000000</t>
  </si>
  <si>
    <t>Norwalk city, CA</t>
  </si>
  <si>
    <t>CT0652582000000</t>
  </si>
  <si>
    <t>Novato city, CA</t>
  </si>
  <si>
    <t>CT0653000000000</t>
  </si>
  <si>
    <t>Oakland city, CA</t>
  </si>
  <si>
    <t>CT0653070000000</t>
  </si>
  <si>
    <t>Oakley city, CA</t>
  </si>
  <si>
    <t>CT0653322000000</t>
  </si>
  <si>
    <t>Oceanside city, CA</t>
  </si>
  <si>
    <t>CT0653896000000</t>
  </si>
  <si>
    <t>Ontario city, CA</t>
  </si>
  <si>
    <t>CT0653980000000</t>
  </si>
  <si>
    <t>Orange city, CA</t>
  </si>
  <si>
    <t>CT0654652000000</t>
  </si>
  <si>
    <t>Oxnard city, CA</t>
  </si>
  <si>
    <t>CT0654806000000</t>
  </si>
  <si>
    <t>Pacifica city, CA</t>
  </si>
  <si>
    <t>CT0655184000000</t>
  </si>
  <si>
    <t>Palm Desert city, CA</t>
  </si>
  <si>
    <t>CT0655254000000</t>
  </si>
  <si>
    <t>Palm Springs city, CA</t>
  </si>
  <si>
    <t>CT0655156000000</t>
  </si>
  <si>
    <t>Palmdale city, CA</t>
  </si>
  <si>
    <t>CT0655282000000</t>
  </si>
  <si>
    <t>Palo Alto city, CA</t>
  </si>
  <si>
    <t>CT0655520000000</t>
  </si>
  <si>
    <t>Paradise town, CA</t>
  </si>
  <si>
    <t>CT0655618000000</t>
  </si>
  <si>
    <t>Paramount city, CA</t>
  </si>
  <si>
    <t>CT0656000000000</t>
  </si>
  <si>
    <t>Pasadena city, CA</t>
  </si>
  <si>
    <t>CT0656700000000</t>
  </si>
  <si>
    <t>Perris city, CA</t>
  </si>
  <si>
    <t>CT0656784000000</t>
  </si>
  <si>
    <t>Petaluma city, CA</t>
  </si>
  <si>
    <t>CT0656924000000</t>
  </si>
  <si>
    <t>Pico Rivera city, CA</t>
  </si>
  <si>
    <t>CT0657456000000</t>
  </si>
  <si>
    <t>Pittsburg city, CA</t>
  </si>
  <si>
    <t>CT0657526000000</t>
  </si>
  <si>
    <t>Placentia city, CA</t>
  </si>
  <si>
    <t>CT0657764000000</t>
  </si>
  <si>
    <t>Pleasant Hill city, CA</t>
  </si>
  <si>
    <t>CT0657792000000</t>
  </si>
  <si>
    <t>Pleasanton city, CA</t>
  </si>
  <si>
    <t>CT0658072000000</t>
  </si>
  <si>
    <t>Pomona city, CA</t>
  </si>
  <si>
    <t>CT0658240000000</t>
  </si>
  <si>
    <t>Porterville city, CA</t>
  </si>
  <si>
    <t>CT0658520000000</t>
  </si>
  <si>
    <t>Poway city, CA</t>
  </si>
  <si>
    <t>CT0659444000000</t>
  </si>
  <si>
    <t>Rancho Cordova city, CA</t>
  </si>
  <si>
    <t>CT0659451000000</t>
  </si>
  <si>
    <t>Rancho Cucamonga city, CA</t>
  </si>
  <si>
    <t>CT0659514000000</t>
  </si>
  <si>
    <t>Rancho Palos Verdes city, CA</t>
  </si>
  <si>
    <t>CT0659587000000</t>
  </si>
  <si>
    <t>Rancho Santa Margarita city, CA</t>
  </si>
  <si>
    <t>CT0659920000000</t>
  </si>
  <si>
    <t>Redding city, CA</t>
  </si>
  <si>
    <t>CT0659962000000</t>
  </si>
  <si>
    <t>Redlands city, CA</t>
  </si>
  <si>
    <t>CT0660018000000</t>
  </si>
  <si>
    <t>Redondo Beach city, CA</t>
  </si>
  <si>
    <t>CT0660102000000</t>
  </si>
  <si>
    <t>Redwood City city, CA</t>
  </si>
  <si>
    <t>CT0660242000000</t>
  </si>
  <si>
    <t>Reedley city, CA</t>
  </si>
  <si>
    <t>CT0660466000000</t>
  </si>
  <si>
    <t>Rialto city, CA</t>
  </si>
  <si>
    <t>CT0660620000000</t>
  </si>
  <si>
    <t>Richmond city, CA</t>
  </si>
  <si>
    <t>CT0660704000000</t>
  </si>
  <si>
    <t>Ridgecrest city, CA</t>
  </si>
  <si>
    <t>CT0662000000000</t>
  </si>
  <si>
    <t>Riverside city, CA</t>
  </si>
  <si>
    <t>CT0662364000000</t>
  </si>
  <si>
    <t>Rocklin city, CA</t>
  </si>
  <si>
    <t>CT0662546000000</t>
  </si>
  <si>
    <t>Rohnert Park city, CA</t>
  </si>
  <si>
    <t>CT0662896000000</t>
  </si>
  <si>
    <t>Rosemead city, CA</t>
  </si>
  <si>
    <t>CT0662938000000</t>
  </si>
  <si>
    <t>Roseville city, CA</t>
  </si>
  <si>
    <t>CT0664000000000</t>
  </si>
  <si>
    <t>Sacramento city, CA</t>
  </si>
  <si>
    <t>CT0664224000000</t>
  </si>
  <si>
    <t>Salinas city, CA</t>
  </si>
  <si>
    <t>CT0665000000000</t>
  </si>
  <si>
    <t>San Bernardino city, CA</t>
  </si>
  <si>
    <t>CT0665028000000</t>
  </si>
  <si>
    <t>San Bruno city, CA</t>
  </si>
  <si>
    <t>CT0665042000000</t>
  </si>
  <si>
    <t>San Buenaventura (Ventura) city, CA</t>
  </si>
  <si>
    <t>CT0665070000000</t>
  </si>
  <si>
    <t>San Carlos city, CA</t>
  </si>
  <si>
    <t>CT0665084000000</t>
  </si>
  <si>
    <t>San Clemente city, CA</t>
  </si>
  <si>
    <t>CT0666000000000</t>
  </si>
  <si>
    <t>San Diego city, CA</t>
  </si>
  <si>
    <t>CT0666070000000</t>
  </si>
  <si>
    <t>San Dimas city, CA</t>
  </si>
  <si>
    <t>CT0667000000000</t>
  </si>
  <si>
    <t>CT0667042000000</t>
  </si>
  <si>
    <t>San Gabriel city, CA</t>
  </si>
  <si>
    <t>CT0667112000000</t>
  </si>
  <si>
    <t>San Jacinto city, CA</t>
  </si>
  <si>
    <t>CT0668000000000</t>
  </si>
  <si>
    <t>San Jose city, CA</t>
  </si>
  <si>
    <t>CT0668028000000</t>
  </si>
  <si>
    <t>San Juan Capistrano city, CA</t>
  </si>
  <si>
    <t>CT0668084000000</t>
  </si>
  <si>
    <t>San Leandro city, CA</t>
  </si>
  <si>
    <t>CT0668154000000</t>
  </si>
  <si>
    <t>San Luis Obispo city, CA</t>
  </si>
  <si>
    <t>CT0668196000000</t>
  </si>
  <si>
    <t>San Marcos city, CA</t>
  </si>
  <si>
    <t>CT0668252000000</t>
  </si>
  <si>
    <t>San Mateo city, CA</t>
  </si>
  <si>
    <t>CT0668294000000</t>
  </si>
  <si>
    <t>San Pablo city, CA</t>
  </si>
  <si>
    <t>CT0668364000000</t>
  </si>
  <si>
    <t>San Rafael city, CA</t>
  </si>
  <si>
    <t>CT0668378000000</t>
  </si>
  <si>
    <t>San Ramon city, CA</t>
  </si>
  <si>
    <t>CT0667056000000</t>
  </si>
  <si>
    <t>Sanger city, CA</t>
  </si>
  <si>
    <t>CT0669000000000</t>
  </si>
  <si>
    <t>Santa Ana city, CA</t>
  </si>
  <si>
    <t>CT0669070000000</t>
  </si>
  <si>
    <t>Santa Barbara city, CA</t>
  </si>
  <si>
    <t>CT0669084000000</t>
  </si>
  <si>
    <t>Santa Clara city, CA</t>
  </si>
  <si>
    <t>CT0669088000000</t>
  </si>
  <si>
    <t>Santa Clarita city, CA</t>
  </si>
  <si>
    <t>CT0669112000000</t>
  </si>
  <si>
    <t>Santa Cruz city, CA</t>
  </si>
  <si>
    <t>CT0669196000000</t>
  </si>
  <si>
    <t>Santa Maria city, CA</t>
  </si>
  <si>
    <t>CT0670000000000</t>
  </si>
  <si>
    <t>Santa Monica city, CA</t>
  </si>
  <si>
    <t>CT0670042000000</t>
  </si>
  <si>
    <t>Santa Paula city, CA</t>
  </si>
  <si>
    <t>CT0670098000000</t>
  </si>
  <si>
    <t>Santa Rosa city, CA</t>
  </si>
  <si>
    <t>CT0670224000000</t>
  </si>
  <si>
    <t>Santee city, CA</t>
  </si>
  <si>
    <t>CT0670280000000</t>
  </si>
  <si>
    <t>Saratoga city, CA</t>
  </si>
  <si>
    <t>CT0670686000000</t>
  </si>
  <si>
    <t>Seal Beach city, CA</t>
  </si>
  <si>
    <t>CT0670742000000</t>
  </si>
  <si>
    <t>Seaside city, CA</t>
  </si>
  <si>
    <t>CT0672016000000</t>
  </si>
  <si>
    <t>Simi Valley city, CA</t>
  </si>
  <si>
    <t>CT0672520000000</t>
  </si>
  <si>
    <t>Soledad city, CA</t>
  </si>
  <si>
    <t>CT0673080000000</t>
  </si>
  <si>
    <t>South Gate city, CA</t>
  </si>
  <si>
    <t>CT0673220000000</t>
  </si>
  <si>
    <t>South Pasadena city, CA</t>
  </si>
  <si>
    <t>CT0673262000000</t>
  </si>
  <si>
    <t>South San Francisco city, CA</t>
  </si>
  <si>
    <t>CT0673962000000</t>
  </si>
  <si>
    <t>Stanton city, CA</t>
  </si>
  <si>
    <t>CT0675000000000</t>
  </si>
  <si>
    <t>Stockton city, CA</t>
  </si>
  <si>
    <t>CT0675630000000</t>
  </si>
  <si>
    <t>Suisun City city, CA</t>
  </si>
  <si>
    <t>CT0677000000000</t>
  </si>
  <si>
    <t>Sunnyvale city, CA</t>
  </si>
  <si>
    <t>CT0678120000000</t>
  </si>
  <si>
    <t>Temecula city, CA</t>
  </si>
  <si>
    <t>CT0678148000000</t>
  </si>
  <si>
    <t>Temple City city, CA</t>
  </si>
  <si>
    <t>CT0678582000000</t>
  </si>
  <si>
    <t>Thousand Oaks city, CA</t>
  </si>
  <si>
    <t>CT0680000000000</t>
  </si>
  <si>
    <t>Torrance city, CA</t>
  </si>
  <si>
    <t>CT0680238000000</t>
  </si>
  <si>
    <t>Tracy city, CA</t>
  </si>
  <si>
    <t>CT0680644000000</t>
  </si>
  <si>
    <t>Tulare city, CA</t>
  </si>
  <si>
    <t>CT0680812000000</t>
  </si>
  <si>
    <t>Turlock city, CA</t>
  </si>
  <si>
    <t>CT0680854000000</t>
  </si>
  <si>
    <t>Tustin city, CA</t>
  </si>
  <si>
    <t>CT0680994000000</t>
  </si>
  <si>
    <t>Twentynine Palms city, CA</t>
  </si>
  <si>
    <t>CT0681204000000</t>
  </si>
  <si>
    <t>Union City city, CA</t>
  </si>
  <si>
    <t>CT0681344000000</t>
  </si>
  <si>
    <t>Upland city, CA</t>
  </si>
  <si>
    <t>CT0681554000000</t>
  </si>
  <si>
    <t>Vacaville city, CA</t>
  </si>
  <si>
    <t>CT0681666000000</t>
  </si>
  <si>
    <t>Vallejo city, CA</t>
  </si>
  <si>
    <t>CT0682590000000</t>
  </si>
  <si>
    <t>Victorville city, CA</t>
  </si>
  <si>
    <t>CT0682954000000</t>
  </si>
  <si>
    <t>Visalia city, CA</t>
  </si>
  <si>
    <t>CT0682996000000</t>
  </si>
  <si>
    <t>Vista city, CA</t>
  </si>
  <si>
    <t>CT0683332000000</t>
  </si>
  <si>
    <t>Walnut city, CA</t>
  </si>
  <si>
    <t>CT0683346000000</t>
  </si>
  <si>
    <t>Walnut Creek city, CA</t>
  </si>
  <si>
    <t>CT0683542000000</t>
  </si>
  <si>
    <t>Wasco city, CA</t>
  </si>
  <si>
    <t>CT0683668000000</t>
  </si>
  <si>
    <t>Watsonville city, CA</t>
  </si>
  <si>
    <t>CT0684200000000</t>
  </si>
  <si>
    <t>West Covina city, CA</t>
  </si>
  <si>
    <t>CT0684410000000</t>
  </si>
  <si>
    <t>West Hollywood city, CA</t>
  </si>
  <si>
    <t>CT0684816000000</t>
  </si>
  <si>
    <t>West Sacramento city, CA</t>
  </si>
  <si>
    <t>CT0684550000000</t>
  </si>
  <si>
    <t>Westminster city, CA</t>
  </si>
  <si>
    <t>CT0685292000000</t>
  </si>
  <si>
    <t>Whittier city, CA</t>
  </si>
  <si>
    <t>CT0685446000000</t>
  </si>
  <si>
    <t>Wildomar city, CA</t>
  </si>
  <si>
    <t>CT0685922000000</t>
  </si>
  <si>
    <t>Windsor town, CA</t>
  </si>
  <si>
    <t>CT0686328000000</t>
  </si>
  <si>
    <t>Woodland city, CA</t>
  </si>
  <si>
    <t>CT0686832000000</t>
  </si>
  <si>
    <t>Yorba Linda city, CA</t>
  </si>
  <si>
    <t>CT0686972000000</t>
  </si>
  <si>
    <t>Yuba City city, CA</t>
  </si>
  <si>
    <t>CT0687042000000</t>
  </si>
  <si>
    <t>Yucaipa city, CA</t>
  </si>
  <si>
    <t>J</t>
  </si>
  <si>
    <t>SA0880140000000</t>
  </si>
  <si>
    <t>Alamosa-Conejos, CO LMA</t>
  </si>
  <si>
    <t>CT0803455000000</t>
  </si>
  <si>
    <t>Arvada city, CO</t>
  </si>
  <si>
    <t>CT0804000000000</t>
  </si>
  <si>
    <t>Aurora city, CO</t>
  </si>
  <si>
    <t>CT0807850000000</t>
  </si>
  <si>
    <t>Boulder city, CO</t>
  </si>
  <si>
    <t>CT0808675000000</t>
  </si>
  <si>
    <t>Brighton city, CO</t>
  </si>
  <si>
    <t>CT0809280000000</t>
  </si>
  <si>
    <t>CT0812415000000</t>
  </si>
  <si>
    <t>Castle Rock town, CO</t>
  </si>
  <si>
    <t>CT0812815000000</t>
  </si>
  <si>
    <t>Centennial city, CO</t>
  </si>
  <si>
    <t>CT0816000000000</t>
  </si>
  <si>
    <t>Colorado Springs city, CO</t>
  </si>
  <si>
    <t>CT0816495000000</t>
  </si>
  <si>
    <t>Commerce City city, CO</t>
  </si>
  <si>
    <t>CT0820000000000</t>
  </si>
  <si>
    <t>CT0824785000000</t>
  </si>
  <si>
    <t>Englewood city, CO</t>
  </si>
  <si>
    <t>CT0824950000000</t>
  </si>
  <si>
    <t>Erie town, CO</t>
  </si>
  <si>
    <t>CT0827425000000</t>
  </si>
  <si>
    <t>Fort Collins city, CO</t>
  </si>
  <si>
    <t>CT0827865000000</t>
  </si>
  <si>
    <t>Fountain city, CO</t>
  </si>
  <si>
    <t>CT0831660000000</t>
  </si>
  <si>
    <t>Grand Junction city, CO</t>
  </si>
  <si>
    <t>CT0832155000000</t>
  </si>
  <si>
    <t>Greeley city, CO</t>
  </si>
  <si>
    <t>CT0841835000000</t>
  </si>
  <si>
    <t>Lafayette city, CO</t>
  </si>
  <si>
    <t>CT0843000000000</t>
  </si>
  <si>
    <t>Lakewood city, CO</t>
  </si>
  <si>
    <t>CT0845255000000</t>
  </si>
  <si>
    <t>Littleton city, CO</t>
  </si>
  <si>
    <t>CT0845970000000</t>
  </si>
  <si>
    <t>Longmont city, CO</t>
  </si>
  <si>
    <t>CT0846465000000</t>
  </si>
  <si>
    <t>Loveland city, CO</t>
  </si>
  <si>
    <t>CT0854330000000</t>
  </si>
  <si>
    <t>Northglenn city, CO</t>
  </si>
  <si>
    <t>SA0882100000000</t>
  </si>
  <si>
    <t>Otero-Crowley, CO LMA</t>
  </si>
  <si>
    <t>CT0857630000000</t>
  </si>
  <si>
    <t>Parker town, CO</t>
  </si>
  <si>
    <t>CT0862000000000</t>
  </si>
  <si>
    <t>Pueblo city, CO</t>
  </si>
  <si>
    <t>CT0877290000000</t>
  </si>
  <si>
    <t>Thornton city, CO</t>
  </si>
  <si>
    <t>CT0883835000000</t>
  </si>
  <si>
    <t>Westminster city, CO</t>
  </si>
  <si>
    <t>CT0884440000000</t>
  </si>
  <si>
    <t>Wheat Ridge city, CO</t>
  </si>
  <si>
    <t>CT0885485000000</t>
  </si>
  <si>
    <t>Windsor town, CO</t>
  </si>
  <si>
    <t>H</t>
  </si>
  <si>
    <t>CS0901080000000</t>
  </si>
  <si>
    <t>Andover town, CT</t>
  </si>
  <si>
    <t>CT0901150000000</t>
  </si>
  <si>
    <t>Ansonia city/town, CT</t>
  </si>
  <si>
    <t>CS0901430000000</t>
  </si>
  <si>
    <t>Ashford town, CT</t>
  </si>
  <si>
    <t>CS0902060000000</t>
  </si>
  <si>
    <t>Avon town, CT</t>
  </si>
  <si>
    <t>CS0902760000000</t>
  </si>
  <si>
    <t>Barkhamsted town, CT</t>
  </si>
  <si>
    <t>CS0903250000000</t>
  </si>
  <si>
    <t>Beacon Falls town, CT</t>
  </si>
  <si>
    <t>CS0904300000000</t>
  </si>
  <si>
    <t>Berlin town, CT</t>
  </si>
  <si>
    <t>CS0904580000000</t>
  </si>
  <si>
    <t>Bethany town, CT</t>
  </si>
  <si>
    <t>CS0904720000000</t>
  </si>
  <si>
    <t>Bethel town, CT</t>
  </si>
  <si>
    <t>CS0904930000000</t>
  </si>
  <si>
    <t>Bethlehem town, CT</t>
  </si>
  <si>
    <t>CS0905910000000</t>
  </si>
  <si>
    <t>Bloomfield town, CT</t>
  </si>
  <si>
    <t>CS0906260000000</t>
  </si>
  <si>
    <t>Bolton town, CT</t>
  </si>
  <si>
    <t>CS0906820000000</t>
  </si>
  <si>
    <t>Bozrah town, CT</t>
  </si>
  <si>
    <t>CS0907310000000</t>
  </si>
  <si>
    <t>Branford town, CT</t>
  </si>
  <si>
    <t>CT0908000000000</t>
  </si>
  <si>
    <t>Bridgeport city/town, CT</t>
  </si>
  <si>
    <t>CS0908210000000</t>
  </si>
  <si>
    <t>Bridgewater town, CT</t>
  </si>
  <si>
    <t>CT0908420000000</t>
  </si>
  <si>
    <t>Bristol city/town, CT</t>
  </si>
  <si>
    <t>CS0908980000000</t>
  </si>
  <si>
    <t>Brookfield town, CT</t>
  </si>
  <si>
    <t>CS0909190000000</t>
  </si>
  <si>
    <t>Brooklyn town, CT</t>
  </si>
  <si>
    <t>CS0910100000000</t>
  </si>
  <si>
    <t>Burlington town, CT</t>
  </si>
  <si>
    <t>CS0910940000000</t>
  </si>
  <si>
    <t>Canaan town, CT</t>
  </si>
  <si>
    <t>CS0912130000000</t>
  </si>
  <si>
    <t>Canterbury town, CT</t>
  </si>
  <si>
    <t>CS0912270000000</t>
  </si>
  <si>
    <t>Canton town, CT</t>
  </si>
  <si>
    <t>CS0913810000000</t>
  </si>
  <si>
    <t>Chaplin town, CT</t>
  </si>
  <si>
    <t>CS0914160000000</t>
  </si>
  <si>
    <t>Cheshire town, CT</t>
  </si>
  <si>
    <t>CS0914300000000</t>
  </si>
  <si>
    <t>Chester town, CT</t>
  </si>
  <si>
    <t>CS0915350000000</t>
  </si>
  <si>
    <t>Clinton town, CT</t>
  </si>
  <si>
    <t>CS0915910000000</t>
  </si>
  <si>
    <t>Colchester town, CT</t>
  </si>
  <si>
    <t>CS0916050000000</t>
  </si>
  <si>
    <t>Colebrook town, CT</t>
  </si>
  <si>
    <t>CS0916400000000</t>
  </si>
  <si>
    <t>Columbia town, CT</t>
  </si>
  <si>
    <t>CS0917240000000</t>
  </si>
  <si>
    <t>Cornwall town, CT</t>
  </si>
  <si>
    <t>CS0917800000000</t>
  </si>
  <si>
    <t>Coventry town, CT</t>
  </si>
  <si>
    <t>CS0918080000000</t>
  </si>
  <si>
    <t>Cromwell town, CT</t>
  </si>
  <si>
    <t>CT0918430000000</t>
  </si>
  <si>
    <t>Danbury city/town, CT</t>
  </si>
  <si>
    <t>CS0918850000000</t>
  </si>
  <si>
    <t>Darien town, CT</t>
  </si>
  <si>
    <t>CS0919130000000</t>
  </si>
  <si>
    <t>Deep River town, CT</t>
  </si>
  <si>
    <t>CT0919480000000</t>
  </si>
  <si>
    <t>Derby city/town, CT</t>
  </si>
  <si>
    <t>CS0920810000000</t>
  </si>
  <si>
    <t>Durham town, CT</t>
  </si>
  <si>
    <t>CS0922070000000</t>
  </si>
  <si>
    <t>East Granby town, CT</t>
  </si>
  <si>
    <t>CS0922280000000</t>
  </si>
  <si>
    <t>East Haddam town, CT</t>
  </si>
  <si>
    <t>CS0922490000000</t>
  </si>
  <si>
    <t>East Hampton town, CT</t>
  </si>
  <si>
    <t>CS0922630000000</t>
  </si>
  <si>
    <t>East Hartford town, CT</t>
  </si>
  <si>
    <t>CS0922910000000</t>
  </si>
  <si>
    <t>East Haven town, CT</t>
  </si>
  <si>
    <t>CS0923400000000</t>
  </si>
  <si>
    <t>East Lyme town, CT</t>
  </si>
  <si>
    <t>CS0924800000000</t>
  </si>
  <si>
    <t>East Windsor town, CT</t>
  </si>
  <si>
    <t>CS0921860000000</t>
  </si>
  <si>
    <t>Eastford town, CT</t>
  </si>
  <si>
    <t>CS0923890000000</t>
  </si>
  <si>
    <t>Easton town, CT</t>
  </si>
  <si>
    <t>CS0925360000000</t>
  </si>
  <si>
    <t>Ellington town, CT</t>
  </si>
  <si>
    <t>CS0925990000000</t>
  </si>
  <si>
    <t>Enfield town, CT</t>
  </si>
  <si>
    <t>CS0926270000000</t>
  </si>
  <si>
    <t>Essex town, CT</t>
  </si>
  <si>
    <t>CS0926620000000</t>
  </si>
  <si>
    <t>Fairfield town, CT</t>
  </si>
  <si>
    <t>CS0927600000000</t>
  </si>
  <si>
    <t>Farmington town, CT</t>
  </si>
  <si>
    <t>CS0929910000000</t>
  </si>
  <si>
    <t>Franklin town, CT</t>
  </si>
  <si>
    <t>CS0931240000000</t>
  </si>
  <si>
    <t>Glastonbury town, CT</t>
  </si>
  <si>
    <t>CS0932290000000</t>
  </si>
  <si>
    <t>Goshen town, CT</t>
  </si>
  <si>
    <t>CS0932640000000</t>
  </si>
  <si>
    <t>Granby town, CT</t>
  </si>
  <si>
    <t>CS0933620000000</t>
  </si>
  <si>
    <t>Greenwich town, CT</t>
  </si>
  <si>
    <t>CS0933900000000</t>
  </si>
  <si>
    <t>Griswold town, CT</t>
  </si>
  <si>
    <t>CS0934250000000</t>
  </si>
  <si>
    <t>Groton town, CT</t>
  </si>
  <si>
    <t>CS0934950000000</t>
  </si>
  <si>
    <t>Guilford town, CT</t>
  </si>
  <si>
    <t>CS0935230000000</t>
  </si>
  <si>
    <t>Haddam town, CT</t>
  </si>
  <si>
    <t>CS0935650000000</t>
  </si>
  <si>
    <t>Hamden town, CT</t>
  </si>
  <si>
    <t>CS0936000000000</t>
  </si>
  <si>
    <t>Hampton town, CT</t>
  </si>
  <si>
    <t>SA0981220000000</t>
  </si>
  <si>
    <t>Hampton, CT LMA</t>
  </si>
  <si>
    <t>CT0937000000000</t>
  </si>
  <si>
    <t>Hartford city/town, CT</t>
  </si>
  <si>
    <t>CS0937140000000</t>
  </si>
  <si>
    <t>Hartland town, CT</t>
  </si>
  <si>
    <t>CS0937280000000</t>
  </si>
  <si>
    <t>Harwinton town, CT</t>
  </si>
  <si>
    <t>CS0937910000000</t>
  </si>
  <si>
    <t>Hebron town, CT</t>
  </si>
  <si>
    <t>CS0940290000000</t>
  </si>
  <si>
    <t>Kent town, CT</t>
  </si>
  <si>
    <t>CS0940500000000</t>
  </si>
  <si>
    <t>Killingly town, CT</t>
  </si>
  <si>
    <t>CS0940710000000</t>
  </si>
  <si>
    <t>Killingworth town, CT</t>
  </si>
  <si>
    <t>CS0942390000000</t>
  </si>
  <si>
    <t>Lebanon town, CT</t>
  </si>
  <si>
    <t>CS0942600000000</t>
  </si>
  <si>
    <t>Ledyard town, CT</t>
  </si>
  <si>
    <t>CS0943230000000</t>
  </si>
  <si>
    <t>Lisbon town, CT</t>
  </si>
  <si>
    <t>CS0943370000000</t>
  </si>
  <si>
    <t>Litchfield town, CT</t>
  </si>
  <si>
    <t>SA0981580000000</t>
  </si>
  <si>
    <t>Litchfield, CT LMA</t>
  </si>
  <si>
    <t>CS0944210000000</t>
  </si>
  <si>
    <t>Lyme town, CT</t>
  </si>
  <si>
    <t>CS0944560000000</t>
  </si>
  <si>
    <t>Madison town, CT</t>
  </si>
  <si>
    <t>CS0944700000000</t>
  </si>
  <si>
    <t>Manchester town, CT</t>
  </si>
  <si>
    <t>CS0944910000000</t>
  </si>
  <si>
    <t>Mansfield town, CT</t>
  </si>
  <si>
    <t>CS0945820000000</t>
  </si>
  <si>
    <t>Marlborough town, CT</t>
  </si>
  <si>
    <t>CT0946450000000</t>
  </si>
  <si>
    <t>Meriden city/town, CT</t>
  </si>
  <si>
    <t>CS0946940000000</t>
  </si>
  <si>
    <t>Middlebury town, CT</t>
  </si>
  <si>
    <t>CS0947080000000</t>
  </si>
  <si>
    <t>Middlefield town, CT</t>
  </si>
  <si>
    <t>CT0947290000000</t>
  </si>
  <si>
    <t>Middletown city/town, CT</t>
  </si>
  <si>
    <t>CT0947500000000</t>
  </si>
  <si>
    <t>Milford (consolidated) city/town, CT</t>
  </si>
  <si>
    <t>CS0948620000000</t>
  </si>
  <si>
    <t>Monroe town, CT</t>
  </si>
  <si>
    <t>CS0948900000000</t>
  </si>
  <si>
    <t>Montville town, CT</t>
  </si>
  <si>
    <t>CS0949460000000</t>
  </si>
  <si>
    <t>Morris town, CT</t>
  </si>
  <si>
    <t>CT0949880000000</t>
  </si>
  <si>
    <t>Naugatuck borough/town, CT</t>
  </si>
  <si>
    <t>CT0950370000000</t>
  </si>
  <si>
    <t>New Britain city/town, CT</t>
  </si>
  <si>
    <t>CS0950580000000</t>
  </si>
  <si>
    <t>New Canaan town, CT</t>
  </si>
  <si>
    <t>CS0950860000000</t>
  </si>
  <si>
    <t>New Fairfield town, CT</t>
  </si>
  <si>
    <t>CS0951350000000</t>
  </si>
  <si>
    <t>New Hartford town, CT</t>
  </si>
  <si>
    <t>CT0952000000000</t>
  </si>
  <si>
    <t>New Haven city/town, CT</t>
  </si>
  <si>
    <t>CT0952280000000</t>
  </si>
  <si>
    <t>New London city/town, CT</t>
  </si>
  <si>
    <t>CS0952630000000</t>
  </si>
  <si>
    <t>New Milford town, CT</t>
  </si>
  <si>
    <t>CS0952140000000</t>
  </si>
  <si>
    <t>Newington town, CT</t>
  </si>
  <si>
    <t>CS0952980000000</t>
  </si>
  <si>
    <t>Newtown town, CT</t>
  </si>
  <si>
    <t>CS0953470000000</t>
  </si>
  <si>
    <t>Norfolk town, CT</t>
  </si>
  <si>
    <t>CS0953890000000</t>
  </si>
  <si>
    <t>North Branford town, CT</t>
  </si>
  <si>
    <t>CS0954030000000</t>
  </si>
  <si>
    <t>North Canaan town, CT</t>
  </si>
  <si>
    <t>CS0954870000000</t>
  </si>
  <si>
    <t>North Haven town, CT</t>
  </si>
  <si>
    <t>CS0955500000000</t>
  </si>
  <si>
    <t>North Stonington town, CT</t>
  </si>
  <si>
    <t>CT0955990000000</t>
  </si>
  <si>
    <t>Norwalk city/town, CT</t>
  </si>
  <si>
    <t>CT0956200000000</t>
  </si>
  <si>
    <t>Norwich city/town, CT</t>
  </si>
  <si>
    <t>CS0957040000000</t>
  </si>
  <si>
    <t>Old Lyme town, CT</t>
  </si>
  <si>
    <t>CS0957320000000</t>
  </si>
  <si>
    <t>Old Saybrook town, CT</t>
  </si>
  <si>
    <t>CS0957600000000</t>
  </si>
  <si>
    <t>Orange town, CT</t>
  </si>
  <si>
    <t>CS0958300000000</t>
  </si>
  <si>
    <t>Oxford town, CT</t>
  </si>
  <si>
    <t>CS0959980000000</t>
  </si>
  <si>
    <t>Plainfield town, CT</t>
  </si>
  <si>
    <t>CS0960120000000</t>
  </si>
  <si>
    <t>Plainville town, CT</t>
  </si>
  <si>
    <t>CS0960750000000</t>
  </si>
  <si>
    <t>Plymouth town, CT</t>
  </si>
  <si>
    <t>CS0961030000000</t>
  </si>
  <si>
    <t>Pomfret town, CT</t>
  </si>
  <si>
    <t>CS0961800000000</t>
  </si>
  <si>
    <t>Portland town, CT</t>
  </si>
  <si>
    <t>CS0962150000000</t>
  </si>
  <si>
    <t>Preston town, CT</t>
  </si>
  <si>
    <t>CS0962290000000</t>
  </si>
  <si>
    <t>Prospect town, CT</t>
  </si>
  <si>
    <t>CS0962710000000</t>
  </si>
  <si>
    <t>Putnam town, CT</t>
  </si>
  <si>
    <t>CS0963480000000</t>
  </si>
  <si>
    <t>Redding town, CT</t>
  </si>
  <si>
    <t>CS0963970000000</t>
  </si>
  <si>
    <t>Ridgefield town, CT</t>
  </si>
  <si>
    <t>CS0965370000000</t>
  </si>
  <si>
    <t>Rocky Hill town, CT</t>
  </si>
  <si>
    <t>CS0965930000000</t>
  </si>
  <si>
    <t>Roxbury town, CT</t>
  </si>
  <si>
    <t>CS0966210000000</t>
  </si>
  <si>
    <t>Salem town, CT</t>
  </si>
  <si>
    <t>CS0966420000000</t>
  </si>
  <si>
    <t>Salisbury town, CT</t>
  </si>
  <si>
    <t>CS0967400000000</t>
  </si>
  <si>
    <t>Scotland town, CT</t>
  </si>
  <si>
    <t>CS0967610000000</t>
  </si>
  <si>
    <t>Seymour town, CT</t>
  </si>
  <si>
    <t>CS0967960000000</t>
  </si>
  <si>
    <t>Sharon town, CT</t>
  </si>
  <si>
    <t>CT0968100000000</t>
  </si>
  <si>
    <t>Shelton city/town, CT</t>
  </si>
  <si>
    <t>CS0968310000000</t>
  </si>
  <si>
    <t>Sherman town, CT</t>
  </si>
  <si>
    <t>CS0968940000000</t>
  </si>
  <si>
    <t>Simsbury town, CT</t>
  </si>
  <si>
    <t>CS0969220000000</t>
  </si>
  <si>
    <t>Somers town, CT</t>
  </si>
  <si>
    <t>CS0971390000000</t>
  </si>
  <si>
    <t>South Windsor town, CT</t>
  </si>
  <si>
    <t>CS0969640000000</t>
  </si>
  <si>
    <t>Southbury town, CT</t>
  </si>
  <si>
    <t>CS0970550000000</t>
  </si>
  <si>
    <t>Southington town, CT</t>
  </si>
  <si>
    <t>CS0971670000000</t>
  </si>
  <si>
    <t>Sprague town, CT</t>
  </si>
  <si>
    <t>CS0972090000000</t>
  </si>
  <si>
    <t>Stafford town, CT</t>
  </si>
  <si>
    <t>CT0973000000000</t>
  </si>
  <si>
    <t>Stamford city/town, CT</t>
  </si>
  <si>
    <t>CS0973420000000</t>
  </si>
  <si>
    <t>Sterling town, CT</t>
  </si>
  <si>
    <t>CS0973770000000</t>
  </si>
  <si>
    <t>Stonington town, CT</t>
  </si>
  <si>
    <t>CS0974190000000</t>
  </si>
  <si>
    <t>Stratford town, CT</t>
  </si>
  <si>
    <t>CS0974540000000</t>
  </si>
  <si>
    <t>Suffield town, CT</t>
  </si>
  <si>
    <t>CS0975730000000</t>
  </si>
  <si>
    <t>Thomaston town, CT</t>
  </si>
  <si>
    <t>CS0975870000000</t>
  </si>
  <si>
    <t>Thompson town, CT</t>
  </si>
  <si>
    <t>CS0976290000000</t>
  </si>
  <si>
    <t>Tolland town, CT</t>
  </si>
  <si>
    <t>CT0976500000000</t>
  </si>
  <si>
    <t>Torrington city/town, CT</t>
  </si>
  <si>
    <t>CS0977200000000</t>
  </si>
  <si>
    <t>Trumbull town, CT</t>
  </si>
  <si>
    <t>CS0977830000000</t>
  </si>
  <si>
    <t>Union town, CT</t>
  </si>
  <si>
    <t>CS0978250000000</t>
  </si>
  <si>
    <t>Vernon town, CT</t>
  </si>
  <si>
    <t>CS0978600000000</t>
  </si>
  <si>
    <t>Voluntown town, CT</t>
  </si>
  <si>
    <t>CS0978740000000</t>
  </si>
  <si>
    <t>Wallingford town, CT</t>
  </si>
  <si>
    <t>CS0979510000000</t>
  </si>
  <si>
    <t>Warren town, CT</t>
  </si>
  <si>
    <t>CS0979720000000</t>
  </si>
  <si>
    <t>Washington town, CT</t>
  </si>
  <si>
    <t>CT0980000000000</t>
  </si>
  <si>
    <t>Waterbury city/town, CT</t>
  </si>
  <si>
    <t>CS0980280000000</t>
  </si>
  <si>
    <t>Waterford town, CT</t>
  </si>
  <si>
    <t>CS0980490000000</t>
  </si>
  <si>
    <t>Watertown town, CT</t>
  </si>
  <si>
    <t>CS0982590000000</t>
  </si>
  <si>
    <t>West Hartford town, CT</t>
  </si>
  <si>
    <t>CT0982800000000</t>
  </si>
  <si>
    <t>West Haven city/town, CT</t>
  </si>
  <si>
    <t>CS0981680000000</t>
  </si>
  <si>
    <t>Westbrook town, CT</t>
  </si>
  <si>
    <t>CS0983430000000</t>
  </si>
  <si>
    <t>Weston town, CT</t>
  </si>
  <si>
    <t>CS0983500000000</t>
  </si>
  <si>
    <t>Westport town, CT</t>
  </si>
  <si>
    <t>CS0984900000000</t>
  </si>
  <si>
    <t>Wethersfield town, CT</t>
  </si>
  <si>
    <t>CS0985950000000</t>
  </si>
  <si>
    <t>Willington town, CT</t>
  </si>
  <si>
    <t>CS0986370000000</t>
  </si>
  <si>
    <t>Wilton town, CT</t>
  </si>
  <si>
    <t>CS0986440000000</t>
  </si>
  <si>
    <t>Winchester town, CT</t>
  </si>
  <si>
    <t>CS0986790000000</t>
  </si>
  <si>
    <t>Windham town, CT</t>
  </si>
  <si>
    <t>CS0987070000000</t>
  </si>
  <si>
    <t>Windsor Locks town, CT</t>
  </si>
  <si>
    <t>CS0987000000000</t>
  </si>
  <si>
    <t>Windsor town, CT</t>
  </si>
  <si>
    <t>CS0987560000000</t>
  </si>
  <si>
    <t>Wolcott town, CT</t>
  </si>
  <si>
    <t>CS0987700000000</t>
  </si>
  <si>
    <t>Woodbridge town, CT</t>
  </si>
  <si>
    <t>CS0987910000000</t>
  </si>
  <si>
    <t>Woodbury town, CT</t>
  </si>
  <si>
    <t>CS0988190000000</t>
  </si>
  <si>
    <t>Woodstock town, CT</t>
  </si>
  <si>
    <t>CT1150000000000</t>
  </si>
  <si>
    <t>Washington city, DC</t>
  </si>
  <si>
    <t>CT1021200000000</t>
  </si>
  <si>
    <t>Dover city, DE</t>
  </si>
  <si>
    <t>CT1050670000000</t>
  </si>
  <si>
    <t>Newark city, DE</t>
  </si>
  <si>
    <t>CT1077580000000</t>
  </si>
  <si>
    <t>Wilmington city, DE</t>
  </si>
  <si>
    <t>CT1200950000000</t>
  </si>
  <si>
    <t>Altamonte Springs city, FL</t>
  </si>
  <si>
    <t>CT1201700000000</t>
  </si>
  <si>
    <t>Apopka city, FL</t>
  </si>
  <si>
    <t>CT1202681000000</t>
  </si>
  <si>
    <t>Aventura city, FL</t>
  </si>
  <si>
    <t>CT1207300000000</t>
  </si>
  <si>
    <t>Boca Raton city, FL</t>
  </si>
  <si>
    <t>CT1207525000000</t>
  </si>
  <si>
    <t>Bonita Springs city, FL</t>
  </si>
  <si>
    <t>CT1207875000000</t>
  </si>
  <si>
    <t>Boynton Beach city, FL</t>
  </si>
  <si>
    <t>CT1207950000000</t>
  </si>
  <si>
    <t>Bradenton city, FL</t>
  </si>
  <si>
    <t>CT1210275000000</t>
  </si>
  <si>
    <t>Cape Coral city, FL</t>
  </si>
  <si>
    <t>CT1211050000000</t>
  </si>
  <si>
    <t>Casselberry city, FL</t>
  </si>
  <si>
    <t>CT1212875000000</t>
  </si>
  <si>
    <t>Clearwater city, FL</t>
  </si>
  <si>
    <t>CT1212925000000</t>
  </si>
  <si>
    <t>Clermont city, FL</t>
  </si>
  <si>
    <t>CT1213275000000</t>
  </si>
  <si>
    <t>Coconut Creek city, FL</t>
  </si>
  <si>
    <t>CT1214125000000</t>
  </si>
  <si>
    <t>Cooper City city, FL</t>
  </si>
  <si>
    <t>CT1214250000000</t>
  </si>
  <si>
    <t>Coral Gables city, FL</t>
  </si>
  <si>
    <t>CT1214400000000</t>
  </si>
  <si>
    <t>Coral Springs city, FL</t>
  </si>
  <si>
    <t>CT1215968000000</t>
  </si>
  <si>
    <t>Cutler Bay town, FL</t>
  </si>
  <si>
    <t>CT1216335000000</t>
  </si>
  <si>
    <t>Dania Beach city, FL</t>
  </si>
  <si>
    <t>CT1216475000000</t>
  </si>
  <si>
    <t>Davie town, FL</t>
  </si>
  <si>
    <t>CT1216525000000</t>
  </si>
  <si>
    <t>Daytona Beach city, FL</t>
  </si>
  <si>
    <t>CT1216725000000</t>
  </si>
  <si>
    <t>Deerfield Beach city, FL</t>
  </si>
  <si>
    <t>CT1216875000000</t>
  </si>
  <si>
    <t>DeLand city, FL</t>
  </si>
  <si>
    <t>CT1217100000000</t>
  </si>
  <si>
    <t>Delray Beach city, FL</t>
  </si>
  <si>
    <t>CT1217200000000</t>
  </si>
  <si>
    <t>Deltona city, FL</t>
  </si>
  <si>
    <t>CT1217935000000</t>
  </si>
  <si>
    <t>Doral city, FL</t>
  </si>
  <si>
    <t>CT1218575000000</t>
  </si>
  <si>
    <t>Dunedin city, FL</t>
  </si>
  <si>
    <t>CT1221150000000</t>
  </si>
  <si>
    <t>Estero village, FL</t>
  </si>
  <si>
    <t>CT1224000000000</t>
  </si>
  <si>
    <t>Fort Lauderdale city, FL</t>
  </si>
  <si>
    <t>CT1224125000000</t>
  </si>
  <si>
    <t>Fort Myers city, FL</t>
  </si>
  <si>
    <t>CT1224300000000</t>
  </si>
  <si>
    <t>Fort Pierce city, FL</t>
  </si>
  <si>
    <t>CT1225175000000</t>
  </si>
  <si>
    <t>Gainesville city, FL</t>
  </si>
  <si>
    <t>CT1227322000000</t>
  </si>
  <si>
    <t>Greenacres city, FL</t>
  </si>
  <si>
    <t>CT1228400000000</t>
  </si>
  <si>
    <t>Haines City city, FL</t>
  </si>
  <si>
    <t>CT1228452000000</t>
  </si>
  <si>
    <t>Hallandale Beach city, FL</t>
  </si>
  <si>
    <t>CT1230000000000</t>
  </si>
  <si>
    <t>Hialeah city, FL</t>
  </si>
  <si>
    <t>CT1232000000000</t>
  </si>
  <si>
    <t>Hollywood city, FL</t>
  </si>
  <si>
    <t>CT1232275000000</t>
  </si>
  <si>
    <t>Homestead city, FL</t>
  </si>
  <si>
    <t>CT1235000000000</t>
  </si>
  <si>
    <t>Jacksonville city, FL</t>
  </si>
  <si>
    <t>CT1235875000000</t>
  </si>
  <si>
    <t>Jupiter town, FL</t>
  </si>
  <si>
    <t>CT1236550000000</t>
  </si>
  <si>
    <t>Key West city, FL</t>
  </si>
  <si>
    <t>CT1236950000000</t>
  </si>
  <si>
    <t>Kissimmee city, FL</t>
  </si>
  <si>
    <t>CT1239075000000</t>
  </si>
  <si>
    <t>Lake Worth city, FL</t>
  </si>
  <si>
    <t>CT1238250000000</t>
  </si>
  <si>
    <t>Lakeland city, FL</t>
  </si>
  <si>
    <t>CT1239425000000</t>
  </si>
  <si>
    <t>Largo city, FL</t>
  </si>
  <si>
    <t>CT1239525000000</t>
  </si>
  <si>
    <t>Lauderdale Lakes city, FL</t>
  </si>
  <si>
    <t>CT1239550000000</t>
  </si>
  <si>
    <t>Lauderhill city, FL</t>
  </si>
  <si>
    <t>CT1243125000000</t>
  </si>
  <si>
    <t>Margate city, FL</t>
  </si>
  <si>
    <t>CT1243975000000</t>
  </si>
  <si>
    <t>Melbourne city, FL</t>
  </si>
  <si>
    <t>CT1245025000000</t>
  </si>
  <si>
    <t>Miami Beach city, FL</t>
  </si>
  <si>
    <t>CT1245000000000</t>
  </si>
  <si>
    <t>Miami city, FL</t>
  </si>
  <si>
    <t>CT1245060000000</t>
  </si>
  <si>
    <t>Miami Gardens city, FL</t>
  </si>
  <si>
    <t>CT1245100000000</t>
  </si>
  <si>
    <t>Miami Lakes town, FL</t>
  </si>
  <si>
    <t>CT1245975000000</t>
  </si>
  <si>
    <t>Miramar city, FL</t>
  </si>
  <si>
    <t>CT1248625000000</t>
  </si>
  <si>
    <t>New Smyrna Beach city, FL</t>
  </si>
  <si>
    <t>CT1249425000000</t>
  </si>
  <si>
    <t>North Lauderdale city, FL</t>
  </si>
  <si>
    <t>CT1249475000000</t>
  </si>
  <si>
    <t>North Miami Beach city, FL</t>
  </si>
  <si>
    <t>CT1249450000000</t>
  </si>
  <si>
    <t>North Miami city, FL</t>
  </si>
  <si>
    <t>CT1249675000000</t>
  </si>
  <si>
    <t>North Port city, FL</t>
  </si>
  <si>
    <t>CT1250575000000</t>
  </si>
  <si>
    <t>Oakland Park city, FL</t>
  </si>
  <si>
    <t>CT1250750000000</t>
  </si>
  <si>
    <t>Ocala city, FL</t>
  </si>
  <si>
    <t>CT1251075000000</t>
  </si>
  <si>
    <t>Ocoee city, FL</t>
  </si>
  <si>
    <t>CT1253000000000</t>
  </si>
  <si>
    <t>Orlando city, FL</t>
  </si>
  <si>
    <t>CT1253150000000</t>
  </si>
  <si>
    <t>Ormond Beach city, FL</t>
  </si>
  <si>
    <t>CT1253575000000</t>
  </si>
  <si>
    <t>Oviedo city, FL</t>
  </si>
  <si>
    <t>CT1254000000000</t>
  </si>
  <si>
    <t>Palm Bay city, FL</t>
  </si>
  <si>
    <t>CT1254075000000</t>
  </si>
  <si>
    <t>Palm Beach Gardens city, FL</t>
  </si>
  <si>
    <t>CT1254200000000</t>
  </si>
  <si>
    <t>Palm Coast city, FL</t>
  </si>
  <si>
    <t>CT1254450000000</t>
  </si>
  <si>
    <t>Palm Springs village, FL</t>
  </si>
  <si>
    <t>CT1254700000000</t>
  </si>
  <si>
    <t>Panama City city, FL</t>
  </si>
  <si>
    <t>CT1255125000000</t>
  </si>
  <si>
    <t>Parkland city, FL</t>
  </si>
  <si>
    <t>CT1255775000000</t>
  </si>
  <si>
    <t>Pembroke Pines city, FL</t>
  </si>
  <si>
    <t>CT1255925000000</t>
  </si>
  <si>
    <t>Pensacola city, FL</t>
  </si>
  <si>
    <t>CT1256975000000</t>
  </si>
  <si>
    <t>Pinellas Park city, FL</t>
  </si>
  <si>
    <t>CT1257550000000</t>
  </si>
  <si>
    <t>Plant City city, FL</t>
  </si>
  <si>
    <t>CT1257425000000</t>
  </si>
  <si>
    <t>Plantation city, FL</t>
  </si>
  <si>
    <t>CT1258050000000</t>
  </si>
  <si>
    <t>Pompano Beach city, FL</t>
  </si>
  <si>
    <t>CT1258575000000</t>
  </si>
  <si>
    <t>Port Orange city, FL</t>
  </si>
  <si>
    <t>CT1258715000000</t>
  </si>
  <si>
    <t>Port St. Lucie city, FL</t>
  </si>
  <si>
    <t>CT1260975000000</t>
  </si>
  <si>
    <t>Riviera Beach city, FL</t>
  </si>
  <si>
    <t>CT1261500000000</t>
  </si>
  <si>
    <t>Rockledge city, FL</t>
  </si>
  <si>
    <t>CT1262100000000</t>
  </si>
  <si>
    <t>Royal Palm Beach village, FL</t>
  </si>
  <si>
    <t>CT1263650000000</t>
  </si>
  <si>
    <t>Sanford city, FL</t>
  </si>
  <si>
    <t>CT1264175000000</t>
  </si>
  <si>
    <t>Sarasota city, FL</t>
  </si>
  <si>
    <t>CT1264825000000</t>
  </si>
  <si>
    <t>Sebastian city, FL</t>
  </si>
  <si>
    <t>CT1262625000000</t>
  </si>
  <si>
    <t>St. Cloud city, FL</t>
  </si>
  <si>
    <t>CT1263000000000</t>
  </si>
  <si>
    <t>St. Petersburg city, FL</t>
  </si>
  <si>
    <t>CT1269700000000</t>
  </si>
  <si>
    <t>Sunrise city, FL</t>
  </si>
  <si>
    <t>CT1270600000000</t>
  </si>
  <si>
    <t>Tallahassee city, FL</t>
  </si>
  <si>
    <t>CT1270675000000</t>
  </si>
  <si>
    <t>Tamarac city, FL</t>
  </si>
  <si>
    <t>CT1271000000000</t>
  </si>
  <si>
    <t>Tampa city, FL</t>
  </si>
  <si>
    <t>CT1271150000000</t>
  </si>
  <si>
    <t>Tarpon Springs city, FL</t>
  </si>
  <si>
    <t>CT1271400000000</t>
  </si>
  <si>
    <t>Temple Terrace city, FL</t>
  </si>
  <si>
    <t>CT1271900000000</t>
  </si>
  <si>
    <t>Titusville city, FL</t>
  </si>
  <si>
    <t>CT1275812000000</t>
  </si>
  <si>
    <t>Wellington village, FL</t>
  </si>
  <si>
    <t>CT1276600000000</t>
  </si>
  <si>
    <t>West Palm Beach city, FL</t>
  </si>
  <si>
    <t>CT1276582000000</t>
  </si>
  <si>
    <t>Weston city, FL</t>
  </si>
  <si>
    <t>CT1278250000000</t>
  </si>
  <si>
    <t>Winter Garden city, FL</t>
  </si>
  <si>
    <t>CT1278275000000</t>
  </si>
  <si>
    <t>Winter Haven city, FL</t>
  </si>
  <si>
    <t>CT1278300000000</t>
  </si>
  <si>
    <t>Winter Park city, FL</t>
  </si>
  <si>
    <t>CT1278325000000</t>
  </si>
  <si>
    <t>Winter Springs city, FL</t>
  </si>
  <si>
    <t>CT1301052000000</t>
  </si>
  <si>
    <t>Albany city, GA</t>
  </si>
  <si>
    <t>CT1301696000000</t>
  </si>
  <si>
    <t>Alpharetta city, GA</t>
  </si>
  <si>
    <t>CT1303436000000</t>
  </si>
  <si>
    <t>Athens-Clarke County (consolidated) city, GA</t>
  </si>
  <si>
    <t>CT1304000000000</t>
  </si>
  <si>
    <t>Atlanta city, GA</t>
  </si>
  <si>
    <t>CT1304200000000</t>
  </si>
  <si>
    <t>Augusta-Richmond County (consolidated) city, GA</t>
  </si>
  <si>
    <t>CT1310944000000</t>
  </si>
  <si>
    <t>Brookhaven city, GA</t>
  </si>
  <si>
    <t>CT1312988000000</t>
  </si>
  <si>
    <t>Canton city, GA</t>
  </si>
  <si>
    <t>CT1313492000000</t>
  </si>
  <si>
    <t>Carrollton city, GA</t>
  </si>
  <si>
    <t>CT1315172000000</t>
  </si>
  <si>
    <t>Chamblee city, GA</t>
  </si>
  <si>
    <t>CT1319000000000</t>
  </si>
  <si>
    <t>Columbus (consolidated) city, GA</t>
  </si>
  <si>
    <t>CT1321380000000</t>
  </si>
  <si>
    <t>Dalton city, GA</t>
  </si>
  <si>
    <t>CT1322052000000</t>
  </si>
  <si>
    <t>Decatur city, GA</t>
  </si>
  <si>
    <t>CT1323900000000</t>
  </si>
  <si>
    <t>Douglasville city, GA</t>
  </si>
  <si>
    <t>CT1324600000000</t>
  </si>
  <si>
    <t>Duluth city, GA</t>
  </si>
  <si>
    <t>CT1324768000000</t>
  </si>
  <si>
    <t>Dunwoody city, GA</t>
  </si>
  <si>
    <t>CT1325720000000</t>
  </si>
  <si>
    <t>East Point city, GA</t>
  </si>
  <si>
    <t>CT1331908000000</t>
  </si>
  <si>
    <t>Gainesville city, GA</t>
  </si>
  <si>
    <t>SA1381140000000</t>
  </si>
  <si>
    <t>Greene-Wilkes-Taliaferro, GA LMA</t>
  </si>
  <si>
    <t>CT1338964000000</t>
  </si>
  <si>
    <t>Hinesville city, GA</t>
  </si>
  <si>
    <t>CT1342425000000</t>
  </si>
  <si>
    <t>Johns Creek city, GA</t>
  </si>
  <si>
    <t>CT1343192000000</t>
  </si>
  <si>
    <t>Kennesaw city, GA</t>
  </si>
  <si>
    <t>CT1344340000000</t>
  </si>
  <si>
    <t>LaGrange city, GA</t>
  </si>
  <si>
    <t>CT1345488000000</t>
  </si>
  <si>
    <t>Lawrenceville city, GA</t>
  </si>
  <si>
    <t>CT1349008000000</t>
  </si>
  <si>
    <t>Macon-Bibb County, GA</t>
  </si>
  <si>
    <t>CT1349756000000</t>
  </si>
  <si>
    <t>Marietta city, GA</t>
  </si>
  <si>
    <t>CT1348624000000</t>
  </si>
  <si>
    <t>McDonough city, GA</t>
  </si>
  <si>
    <t>CT1351670000000</t>
  </si>
  <si>
    <t>Milton city, GA</t>
  </si>
  <si>
    <t>CT1355020000000</t>
  </si>
  <si>
    <t>Newnan city, GA</t>
  </si>
  <si>
    <t>CT1359724000000</t>
  </si>
  <si>
    <t>Peachtree City city, GA</t>
  </si>
  <si>
    <t>CT1359735000000</t>
  </si>
  <si>
    <t>Peachtree Corners city, GA</t>
  </si>
  <si>
    <t>CT1366668000000</t>
  </si>
  <si>
    <t>Rome city, GA</t>
  </si>
  <si>
    <t>CT1367284000000</t>
  </si>
  <si>
    <t>Roswell city, GA</t>
  </si>
  <si>
    <t>CT1368516000000</t>
  </si>
  <si>
    <t>Sandy Springs city, GA</t>
  </si>
  <si>
    <t>CT1369000000000</t>
  </si>
  <si>
    <t>Savannah city, GA</t>
  </si>
  <si>
    <t>CT1371492000000</t>
  </si>
  <si>
    <t>Smyrna city, GA</t>
  </si>
  <si>
    <t>CT1373256000000</t>
  </si>
  <si>
    <t>Statesboro city, GA</t>
  </si>
  <si>
    <t>CT1373704000000</t>
  </si>
  <si>
    <t>Stockbridge city, GA</t>
  </si>
  <si>
    <t>CT1377652000000</t>
  </si>
  <si>
    <t>Tucker city, GA</t>
  </si>
  <si>
    <t>CT1378800000000</t>
  </si>
  <si>
    <t>Valdosta city, GA</t>
  </si>
  <si>
    <t>CT1380508000000</t>
  </si>
  <si>
    <t>Warner Robins city, GA</t>
  </si>
  <si>
    <t>CT1384176000000</t>
  </si>
  <si>
    <t>Woodstock city, GA</t>
  </si>
  <si>
    <t>CT1516999000000</t>
  </si>
  <si>
    <t>CT1901855000000</t>
  </si>
  <si>
    <t>Ames city, IA</t>
  </si>
  <si>
    <t>CT1902305000000</t>
  </si>
  <si>
    <t>Ankeny city, IA</t>
  </si>
  <si>
    <t>CT1906355000000</t>
  </si>
  <si>
    <t>Bettendorf city, IA</t>
  </si>
  <si>
    <t>CT1909550000000</t>
  </si>
  <si>
    <t>Burlington city, IA</t>
  </si>
  <si>
    <t>CT1911755000000</t>
  </si>
  <si>
    <t>Cedar Falls city, IA</t>
  </si>
  <si>
    <t>CT1912000000000</t>
  </si>
  <si>
    <t>Cedar Rapids city, IA</t>
  </si>
  <si>
    <t>CT1914430000000</t>
  </si>
  <si>
    <t>Clinton city, IA</t>
  </si>
  <si>
    <t>CT1916860000000</t>
  </si>
  <si>
    <t>Council Bluffs city, IA</t>
  </si>
  <si>
    <t>CT1919000000000</t>
  </si>
  <si>
    <t>Davenport city, IA</t>
  </si>
  <si>
    <t>CT1921000000000</t>
  </si>
  <si>
    <t>Des Moines city, IA</t>
  </si>
  <si>
    <t>CT1922395000000</t>
  </si>
  <si>
    <t>Dubuque city, IA</t>
  </si>
  <si>
    <t>CT1928515000000</t>
  </si>
  <si>
    <t>Fort Dodge city, IA</t>
  </si>
  <si>
    <t>CT1938595000000</t>
  </si>
  <si>
    <t>Iowa City city, IA</t>
  </si>
  <si>
    <t>CT1949485000000</t>
  </si>
  <si>
    <t>Marion city, IA</t>
  </si>
  <si>
    <t>CT1949755000000</t>
  </si>
  <si>
    <t>Marshalltown city, IA</t>
  </si>
  <si>
    <t>CT1950160000000</t>
  </si>
  <si>
    <t>Mason City city, IA</t>
  </si>
  <si>
    <t>CT1960465000000</t>
  </si>
  <si>
    <t>Ottumwa city, IA</t>
  </si>
  <si>
    <t>CT1973335000000</t>
  </si>
  <si>
    <t>Sioux City city, IA</t>
  </si>
  <si>
    <t>CT1979950000000</t>
  </si>
  <si>
    <t>Urbandale city, IA</t>
  </si>
  <si>
    <t>CT1982425000000</t>
  </si>
  <si>
    <t>Waterloo city, IA</t>
  </si>
  <si>
    <t>CT1983910000000</t>
  </si>
  <si>
    <t>West Des Moines city, IA</t>
  </si>
  <si>
    <t>CT1608830000000</t>
  </si>
  <si>
    <t>Boise City city, ID</t>
  </si>
  <si>
    <t>CT1612250000000</t>
  </si>
  <si>
    <t>Caldwell city, ID</t>
  </si>
  <si>
    <t>CT1616750000000</t>
  </si>
  <si>
    <t>Coeur d'Alene city, ID</t>
  </si>
  <si>
    <t>CT1623410000000</t>
  </si>
  <si>
    <t>Eagle city, ID</t>
  </si>
  <si>
    <t>CT1639700000000</t>
  </si>
  <si>
    <t>Idaho Falls city, ID</t>
  </si>
  <si>
    <t>SA1681460000000</t>
  </si>
  <si>
    <t>Idaho-Lewis, ID LMA</t>
  </si>
  <si>
    <t>CT1646540000000</t>
  </si>
  <si>
    <t>Lewiston city, ID</t>
  </si>
  <si>
    <t>CT1652120000000</t>
  </si>
  <si>
    <t>Meridian city, ID</t>
  </si>
  <si>
    <t>CT1654550000000</t>
  </si>
  <si>
    <t>Moscow city, ID</t>
  </si>
  <si>
    <t>CT1656260000000</t>
  </si>
  <si>
    <t>Nampa city, ID</t>
  </si>
  <si>
    <t>CT1664090000000</t>
  </si>
  <si>
    <t>Pocatello city, ID</t>
  </si>
  <si>
    <t>CT1664810000000</t>
  </si>
  <si>
    <t>Post Falls city, ID</t>
  </si>
  <si>
    <t>CT1667420000000</t>
  </si>
  <si>
    <t>Rexburg city, ID</t>
  </si>
  <si>
    <t>CT1682810000000</t>
  </si>
  <si>
    <t>Twin Falls city, ID</t>
  </si>
  <si>
    <t>CT1700243000000</t>
  </si>
  <si>
    <t>Addison village, IL</t>
  </si>
  <si>
    <t>CT1700685000000</t>
  </si>
  <si>
    <t>Algonquin village, IL</t>
  </si>
  <si>
    <t>CT1701114000000</t>
  </si>
  <si>
    <t>Alton city, IL</t>
  </si>
  <si>
    <t>CT1702154000000</t>
  </si>
  <si>
    <t>Arlington Heights village, IL</t>
  </si>
  <si>
    <t>CT1703012000000</t>
  </si>
  <si>
    <t>Aurora city, IL</t>
  </si>
  <si>
    <t>CT1704013000000</t>
  </si>
  <si>
    <t>Bartlett village, IL</t>
  </si>
  <si>
    <t>CT1704078000000</t>
  </si>
  <si>
    <t>Batavia city, IL</t>
  </si>
  <si>
    <t>CT1704845000000</t>
  </si>
  <si>
    <t>Belleville city, IL</t>
  </si>
  <si>
    <t>CT1705092000000</t>
  </si>
  <si>
    <t>Belvidere city, IL</t>
  </si>
  <si>
    <t>CT1705573000000</t>
  </si>
  <si>
    <t>Berwyn city, IL</t>
  </si>
  <si>
    <t>CT1706613000000</t>
  </si>
  <si>
    <t>Bloomington city, IL</t>
  </si>
  <si>
    <t>CT1707133000000</t>
  </si>
  <si>
    <t>Bolingbrook village, IL</t>
  </si>
  <si>
    <t>CT1709447000000</t>
  </si>
  <si>
    <t>Buffalo Grove village, IL</t>
  </si>
  <si>
    <t>CT1709642000000</t>
  </si>
  <si>
    <t>Burbank city, IL</t>
  </si>
  <si>
    <t>CT1710487000000</t>
  </si>
  <si>
    <t>Calumet City city, IL</t>
  </si>
  <si>
    <t>CT1711163000000</t>
  </si>
  <si>
    <t>Carbondale city, IL</t>
  </si>
  <si>
    <t>CT1711332000000</t>
  </si>
  <si>
    <t>Carol Stream village, IL</t>
  </si>
  <si>
    <t>CT1711358000000</t>
  </si>
  <si>
    <t>Carpentersville village, IL</t>
  </si>
  <si>
    <t>CT1712385000000</t>
  </si>
  <si>
    <t>Champaign city, IL</t>
  </si>
  <si>
    <t>CT1714000000000</t>
  </si>
  <si>
    <t>Chicago city, IL</t>
  </si>
  <si>
    <t>CT1714026000000</t>
  </si>
  <si>
    <t>Chicago Heights city, IL</t>
  </si>
  <si>
    <t>CT1714351000000</t>
  </si>
  <si>
    <t>Cicero town, IL</t>
  </si>
  <si>
    <t>CT1715599000000</t>
  </si>
  <si>
    <t>Collinsville city, IL</t>
  </si>
  <si>
    <t>CT1717887000000</t>
  </si>
  <si>
    <t>Crystal Lake city, IL</t>
  </si>
  <si>
    <t>CT1718563000000</t>
  </si>
  <si>
    <t>Danville city, IL</t>
  </si>
  <si>
    <t>CT1718823000000</t>
  </si>
  <si>
    <t>Decatur city, IL</t>
  </si>
  <si>
    <t>CT1719161000000</t>
  </si>
  <si>
    <t>DeKalb city, IL</t>
  </si>
  <si>
    <t>CT1719642000000</t>
  </si>
  <si>
    <t>Des Plaines city, IL</t>
  </si>
  <si>
    <t>CT1720292000000</t>
  </si>
  <si>
    <t>Dolton village, IL</t>
  </si>
  <si>
    <t>CT1720591000000</t>
  </si>
  <si>
    <t>Downers Grove village, IL</t>
  </si>
  <si>
    <t>CT1722255000000</t>
  </si>
  <si>
    <t>East St. Louis city, IL</t>
  </si>
  <si>
    <t>CT1722697000000</t>
  </si>
  <si>
    <t>Edwardsville city, IL</t>
  </si>
  <si>
    <t>CT1723074000000</t>
  </si>
  <si>
    <t>Elgin city, IL</t>
  </si>
  <si>
    <t>CT1723256000000</t>
  </si>
  <si>
    <t>Elk Grove Village village, IL</t>
  </si>
  <si>
    <t>CT1723620000000</t>
  </si>
  <si>
    <t>Elmhurst city, IL</t>
  </si>
  <si>
    <t>CT1723724000000</t>
  </si>
  <si>
    <t>Elmwood Park village, IL</t>
  </si>
  <si>
    <t>CT1724582000000</t>
  </si>
  <si>
    <t>Evanston city, IL</t>
  </si>
  <si>
    <t>CT1727884000000</t>
  </si>
  <si>
    <t>Freeport city, IL</t>
  </si>
  <si>
    <t>CT1728326000000</t>
  </si>
  <si>
    <t>Galesburg city, IL</t>
  </si>
  <si>
    <t>CT1729756000000</t>
  </si>
  <si>
    <t>Glen Ellyn village, IL</t>
  </si>
  <si>
    <t>CT1729730000000</t>
  </si>
  <si>
    <t>Glendale Heights village, IL</t>
  </si>
  <si>
    <t>CT1729938000000</t>
  </si>
  <si>
    <t>Glenview village, IL</t>
  </si>
  <si>
    <t>CT1730926000000</t>
  </si>
  <si>
    <t>Granite City city, IL</t>
  </si>
  <si>
    <t>CT1732018000000</t>
  </si>
  <si>
    <t>Gurnee village, IL</t>
  </si>
  <si>
    <t>CT1732746000000</t>
  </si>
  <si>
    <t>Hanover Park village, IL</t>
  </si>
  <si>
    <t>CT1733383000000</t>
  </si>
  <si>
    <t>Harvey city, IL</t>
  </si>
  <si>
    <t>CT1734722000000</t>
  </si>
  <si>
    <t>Highland Park city, IL</t>
  </si>
  <si>
    <t>CT1735411000000</t>
  </si>
  <si>
    <t>Hoffman Estates village, IL</t>
  </si>
  <si>
    <t>CT1735835000000</t>
  </si>
  <si>
    <t>Homer Glen village, IL</t>
  </si>
  <si>
    <t>CT1736750000000</t>
  </si>
  <si>
    <t>Huntley village, IL</t>
  </si>
  <si>
    <t>CT1738570000000</t>
  </si>
  <si>
    <t>Joliet city, IL</t>
  </si>
  <si>
    <t>CT1738934000000</t>
  </si>
  <si>
    <t>Kankakee city, IL</t>
  </si>
  <si>
    <t>CT1741183000000</t>
  </si>
  <si>
    <t>Lake in the Hills village, IL</t>
  </si>
  <si>
    <t>CT1742028000000</t>
  </si>
  <si>
    <t>Lansing village, IL</t>
  </si>
  <si>
    <t>CT1744225000000</t>
  </si>
  <si>
    <t>Lockport city, IL</t>
  </si>
  <si>
    <t>CT1744407000000</t>
  </si>
  <si>
    <t>Lombard village, IL</t>
  </si>
  <si>
    <t>CT1747774000000</t>
  </si>
  <si>
    <t>Maywood village, IL</t>
  </si>
  <si>
    <t>CT1745694000000</t>
  </si>
  <si>
    <t>McHenry city, IL</t>
  </si>
  <si>
    <t>CT1748242000000</t>
  </si>
  <si>
    <t>Melrose Park village, IL</t>
  </si>
  <si>
    <t>CT1749867000000</t>
  </si>
  <si>
    <t>Moline city, IL</t>
  </si>
  <si>
    <t>CT1751089000000</t>
  </si>
  <si>
    <t>Mount Prospect village, IL</t>
  </si>
  <si>
    <t>CT1751349000000</t>
  </si>
  <si>
    <t>Mundelein village, IL</t>
  </si>
  <si>
    <t>CT1751622000000</t>
  </si>
  <si>
    <t>Naperville city, IL</t>
  </si>
  <si>
    <t>CT1752584000000</t>
  </si>
  <si>
    <t>New Lenox village, IL</t>
  </si>
  <si>
    <t>CT1753000000000</t>
  </si>
  <si>
    <t>Niles village, IL</t>
  </si>
  <si>
    <t>CT1753234000000</t>
  </si>
  <si>
    <t>Normal town, IL</t>
  </si>
  <si>
    <t>CT1753559000000</t>
  </si>
  <si>
    <t>North Chicago city, IL</t>
  </si>
  <si>
    <t>CT1753481000000</t>
  </si>
  <si>
    <t>Northbrook village, IL</t>
  </si>
  <si>
    <t>CT1754638000000</t>
  </si>
  <si>
    <t>Oak Forest city, IL</t>
  </si>
  <si>
    <t>CT1754820000000</t>
  </si>
  <si>
    <t>Oak Lawn village, IL</t>
  </si>
  <si>
    <t>CT1754885000000</t>
  </si>
  <si>
    <t>Oak Park village, IL</t>
  </si>
  <si>
    <t>CT1755249000000</t>
  </si>
  <si>
    <t>O'Fallon city, IL</t>
  </si>
  <si>
    <t>CT1756640000000</t>
  </si>
  <si>
    <t>Orland Park village, IL</t>
  </si>
  <si>
    <t>CT1756887000000</t>
  </si>
  <si>
    <t>Oswego village, IL</t>
  </si>
  <si>
    <t>CT1757225000000</t>
  </si>
  <si>
    <t>Palatine village, IL</t>
  </si>
  <si>
    <t>CT1757732000000</t>
  </si>
  <si>
    <t>Park Forest village, IL</t>
  </si>
  <si>
    <t>CT1757875000000</t>
  </si>
  <si>
    <t>Park Ridge city, IL</t>
  </si>
  <si>
    <t>CT1758447000000</t>
  </si>
  <si>
    <t>Pekin city, IL</t>
  </si>
  <si>
    <t>CT1759000000000</t>
  </si>
  <si>
    <t>Peoria city, IL</t>
  </si>
  <si>
    <t>CT1760287000000</t>
  </si>
  <si>
    <t>Plainfield village, IL</t>
  </si>
  <si>
    <t>CT1762367000000</t>
  </si>
  <si>
    <t>Quincy city, IL</t>
  </si>
  <si>
    <t>CT1765078000000</t>
  </si>
  <si>
    <t>Rock Island city, IL</t>
  </si>
  <si>
    <t>CT1765000000000</t>
  </si>
  <si>
    <t>Rockford city, IL</t>
  </si>
  <si>
    <t>CT1765442000000</t>
  </si>
  <si>
    <t>Romeoville village, IL</t>
  </si>
  <si>
    <t>CT1766040000000</t>
  </si>
  <si>
    <t>Round Lake Beach village, IL</t>
  </si>
  <si>
    <t>CT1768003000000</t>
  </si>
  <si>
    <t>Schaumburg village, IL</t>
  </si>
  <si>
    <t>CT1770122000000</t>
  </si>
  <si>
    <t>Skokie village, IL</t>
  </si>
  <si>
    <t>CT1772000000000</t>
  </si>
  <si>
    <t>Springfield city, IL</t>
  </si>
  <si>
    <t>CT1766703000000</t>
  </si>
  <si>
    <t>St. Charles city, IL</t>
  </si>
  <si>
    <t>CT1773157000000</t>
  </si>
  <si>
    <t>Streamwood village, IL</t>
  </si>
  <si>
    <t>CT1775484000000</t>
  </si>
  <si>
    <t>Tinley Park village, IL</t>
  </si>
  <si>
    <t>CT1777005000000</t>
  </si>
  <si>
    <t>Urbana city, IL</t>
  </si>
  <si>
    <t>CT1777694000000</t>
  </si>
  <si>
    <t>Vernon Hills village, IL</t>
  </si>
  <si>
    <t>CT1779293000000</t>
  </si>
  <si>
    <t>Waukegan city, IL</t>
  </si>
  <si>
    <t>CT1780060000000</t>
  </si>
  <si>
    <t>West Chicago city, IL</t>
  </si>
  <si>
    <t>CT1780645000000</t>
  </si>
  <si>
    <t>Westmont village, IL</t>
  </si>
  <si>
    <t>CT1781048000000</t>
  </si>
  <si>
    <t>Wheaton city, IL</t>
  </si>
  <si>
    <t>CT1781087000000</t>
  </si>
  <si>
    <t>Wheeling village, IL</t>
  </si>
  <si>
    <t>CT1782075000000</t>
  </si>
  <si>
    <t>Wilmette village, IL</t>
  </si>
  <si>
    <t>CT1783245000000</t>
  </si>
  <si>
    <t>Woodridge village, IL</t>
  </si>
  <si>
    <t>CT1783349000000</t>
  </si>
  <si>
    <t>Woodstock city, IL</t>
  </si>
  <si>
    <t>CT1784220000000</t>
  </si>
  <si>
    <t>Zion city, IL</t>
  </si>
  <si>
    <t>CT1801468000000</t>
  </si>
  <si>
    <t>Anderson city, IN</t>
  </si>
  <si>
    <t>CT1805860000000</t>
  </si>
  <si>
    <t>Bloomington city, IN</t>
  </si>
  <si>
    <t>CT1808416000000</t>
  </si>
  <si>
    <t>Brownsburg town, IN</t>
  </si>
  <si>
    <t>CT1810342000000</t>
  </si>
  <si>
    <t>Carmel city, IN</t>
  </si>
  <si>
    <t>CT1814734000000</t>
  </si>
  <si>
    <t>Columbus city, IN</t>
  </si>
  <si>
    <t>CT1816138000000</t>
  </si>
  <si>
    <t>Crown Point city, IN</t>
  </si>
  <si>
    <t>CT1819486000000</t>
  </si>
  <si>
    <t>East Chicago city, IN</t>
  </si>
  <si>
    <t>CT1820728000000</t>
  </si>
  <si>
    <t>Elkhart city, IN</t>
  </si>
  <si>
    <t>CT1822000000000</t>
  </si>
  <si>
    <t>Evansville city, IN</t>
  </si>
  <si>
    <t>CT1823278000000</t>
  </si>
  <si>
    <t>Fishers city, IN</t>
  </si>
  <si>
    <t>CT1825000000000</t>
  </si>
  <si>
    <t>Fort Wayne city, IN</t>
  </si>
  <si>
    <t>CT1825450000000</t>
  </si>
  <si>
    <t>Franklin city, IN</t>
  </si>
  <si>
    <t>CT1827000000000</t>
  </si>
  <si>
    <t>Gary city, IN</t>
  </si>
  <si>
    <t>CT1828386000000</t>
  </si>
  <si>
    <t>Goshen city, IN</t>
  </si>
  <si>
    <t>CT1829898000000</t>
  </si>
  <si>
    <t>Greenwood city, IN</t>
  </si>
  <si>
    <t>CT1831000000000</t>
  </si>
  <si>
    <t>Hammond city, IN</t>
  </si>
  <si>
    <t>CT1834114000000</t>
  </si>
  <si>
    <t>Hobart city, IN</t>
  </si>
  <si>
    <t>CT1836000000000</t>
  </si>
  <si>
    <t>Indianapolis (consolidated) city, IN</t>
  </si>
  <si>
    <t>CT1836003000000</t>
  </si>
  <si>
    <t>Indianapolis (incorporated) city, IN</t>
  </si>
  <si>
    <t>CT1838358000000</t>
  </si>
  <si>
    <t>Jeffersonville city, IN</t>
  </si>
  <si>
    <t>CT1840392000000</t>
  </si>
  <si>
    <t>Kokomo city, IN</t>
  </si>
  <si>
    <t>CT1840788000000</t>
  </si>
  <si>
    <t>Lafayette city, IN</t>
  </si>
  <si>
    <t>CT1842426000000</t>
  </si>
  <si>
    <t>Lawrence city, IN</t>
  </si>
  <si>
    <t>CT1846908000000</t>
  </si>
  <si>
    <t>Marion city, IN</t>
  </si>
  <si>
    <t>CT1848528000000</t>
  </si>
  <si>
    <t>Merrillville town, IN</t>
  </si>
  <si>
    <t>CT1848798000000</t>
  </si>
  <si>
    <t>Michigan City city, IN</t>
  </si>
  <si>
    <t>CT1849932000000</t>
  </si>
  <si>
    <t>Mishawaka city, IN</t>
  </si>
  <si>
    <t>CT1851876000000</t>
  </si>
  <si>
    <t>Muncie city, IN</t>
  </si>
  <si>
    <t>CT1852326000000</t>
  </si>
  <si>
    <t>New Albany city, IN</t>
  </si>
  <si>
    <t>CT1854180000000</t>
  </si>
  <si>
    <t>Noblesville city, IN</t>
  </si>
  <si>
    <t>CT1860246000000</t>
  </si>
  <si>
    <t>Plainfield town, IN</t>
  </si>
  <si>
    <t>CT1861092000000</t>
  </si>
  <si>
    <t>Portage city, IN</t>
  </si>
  <si>
    <t>CT1864260000000</t>
  </si>
  <si>
    <t>Richmond city, IN</t>
  </si>
  <si>
    <t>CT1868220000000</t>
  </si>
  <si>
    <t>Schererville town, IN</t>
  </si>
  <si>
    <t>CT1871000000000</t>
  </si>
  <si>
    <t>South Bend city, IN</t>
  </si>
  <si>
    <t>CT1875428000000</t>
  </si>
  <si>
    <t>Terre Haute city, IN</t>
  </si>
  <si>
    <t>CT1878326000000</t>
  </si>
  <si>
    <t>Valparaiso city, IN</t>
  </si>
  <si>
    <t>CT1882862000000</t>
  </si>
  <si>
    <t>West Lafayette city, IN</t>
  </si>
  <si>
    <t>CT1882700000000</t>
  </si>
  <si>
    <t>Westfield city, IN</t>
  </si>
  <si>
    <t>CT1886372000000</t>
  </si>
  <si>
    <t>Zionsville town, IN</t>
  </si>
  <si>
    <t>CT2018250000000</t>
  </si>
  <si>
    <t>Dodge City city, KS</t>
  </si>
  <si>
    <t>CT2021275000000</t>
  </si>
  <si>
    <t>Emporia city, KS</t>
  </si>
  <si>
    <t>CT2025325000000</t>
  </si>
  <si>
    <t>Garden City city, KS</t>
  </si>
  <si>
    <t>CT2033625000000</t>
  </si>
  <si>
    <t>Hutchinson city, KS</t>
  </si>
  <si>
    <t>CT2035750000000</t>
  </si>
  <si>
    <t>Junction City city, KS</t>
  </si>
  <si>
    <t>CT2036000000000</t>
  </si>
  <si>
    <t>Kansas City city, KS</t>
  </si>
  <si>
    <t>CT2038900000000</t>
  </si>
  <si>
    <t>Lawrence city, KS</t>
  </si>
  <si>
    <t>CT2039000000000</t>
  </si>
  <si>
    <t>Leavenworth city, KS</t>
  </si>
  <si>
    <t>CT2039075000000</t>
  </si>
  <si>
    <t>Leawood city, KS</t>
  </si>
  <si>
    <t>CT2039350000000</t>
  </si>
  <si>
    <t>Lenexa city, KS</t>
  </si>
  <si>
    <t>CT2044250000000</t>
  </si>
  <si>
    <t>Manhattan city, KS</t>
  </si>
  <si>
    <t>CT2052575000000</t>
  </si>
  <si>
    <t>Olathe city, KS</t>
  </si>
  <si>
    <t>CT2053775000000</t>
  </si>
  <si>
    <t>Overland Park city, KS</t>
  </si>
  <si>
    <t>CT2062700000000</t>
  </si>
  <si>
    <t>Salina city, KS</t>
  </si>
  <si>
    <t>CT2064500000000</t>
  </si>
  <si>
    <t>Shawnee city, KS</t>
  </si>
  <si>
    <t>CT2071000000000</t>
  </si>
  <si>
    <t>Topeka city, KS</t>
  </si>
  <si>
    <t>CT2079000000000</t>
  </si>
  <si>
    <t>Wichita city, KS</t>
  </si>
  <si>
    <t>CT2102368000000</t>
  </si>
  <si>
    <t>Ashland city, KY</t>
  </si>
  <si>
    <t>CT2108902000000</t>
  </si>
  <si>
    <t>Bowling Green city, KY</t>
  </si>
  <si>
    <t>CT2117848000000</t>
  </si>
  <si>
    <t>Covington city, KY</t>
  </si>
  <si>
    <t>CT2124274000000</t>
  </si>
  <si>
    <t>Elizabethtown city, KY</t>
  </si>
  <si>
    <t>CT2127982000000</t>
  </si>
  <si>
    <t>Florence city, KY</t>
  </si>
  <si>
    <t>CT2128900000000</t>
  </si>
  <si>
    <t>Frankfort city, KY</t>
  </si>
  <si>
    <t>CT2130700000000</t>
  </si>
  <si>
    <t>Georgetown city, KY</t>
  </si>
  <si>
    <t>CT2135866000000</t>
  </si>
  <si>
    <t>Henderson city, KY</t>
  </si>
  <si>
    <t>CT2137918000000</t>
  </si>
  <si>
    <t>Hopkinsville city, KY</t>
  </si>
  <si>
    <t>CT2139142000000</t>
  </si>
  <si>
    <t>Independence city, KY</t>
  </si>
  <si>
    <t>CT2140222000000</t>
  </si>
  <si>
    <t>Jeffersontown city, KY</t>
  </si>
  <si>
    <t>SA2181500000000</t>
  </si>
  <si>
    <t>Lee-Owsley, KY LMA</t>
  </si>
  <si>
    <t>CT2146027000000</t>
  </si>
  <si>
    <t>Lexington-Fayette city, KY</t>
  </si>
  <si>
    <t>CT2148003000000</t>
  </si>
  <si>
    <t>Louisville-Jefferson County (consolidated) city, KY</t>
  </si>
  <si>
    <t>CT2156136000000</t>
  </si>
  <si>
    <t>Nicholasville city, KY</t>
  </si>
  <si>
    <t>CT2158620000000</t>
  </si>
  <si>
    <t>Owensboro city, KY</t>
  </si>
  <si>
    <t>CT2158836000000</t>
  </si>
  <si>
    <t>Paducah city, KY</t>
  </si>
  <si>
    <t>SA2182180000000</t>
  </si>
  <si>
    <t>Perry-Knott-Leslie, KY LMA</t>
  </si>
  <si>
    <t>CT2165226000000</t>
  </si>
  <si>
    <t>Richmond city, KY</t>
  </si>
  <si>
    <t>CT2200975000000</t>
  </si>
  <si>
    <t>Alexandria city, LA</t>
  </si>
  <si>
    <t>CT2205000000000</t>
  </si>
  <si>
    <t>Baton Rouge city, LA</t>
  </si>
  <si>
    <t>CT2208920000000</t>
  </si>
  <si>
    <t>Bossier City city, LA</t>
  </si>
  <si>
    <t>CT2213960000000</t>
  </si>
  <si>
    <t>Central city, LA</t>
  </si>
  <si>
    <t>CT2236255000000</t>
  </si>
  <si>
    <t>Houma city, LA</t>
  </si>
  <si>
    <t>CT2239475000000</t>
  </si>
  <si>
    <t>Kenner city, LA</t>
  </si>
  <si>
    <t>CT2240735000000</t>
  </si>
  <si>
    <t>Lafayette city, LA</t>
  </si>
  <si>
    <t>CT2241155000000</t>
  </si>
  <si>
    <t>Lake Charles city, LA</t>
  </si>
  <si>
    <t>CT2251410000000</t>
  </si>
  <si>
    <t>Monroe city, LA</t>
  </si>
  <si>
    <t>CT2254035000000</t>
  </si>
  <si>
    <t>New Iberia city, LA</t>
  </si>
  <si>
    <t>CT2255000000000</t>
  </si>
  <si>
    <t>New Orleans city, LA</t>
  </si>
  <si>
    <t>CT2270000000000</t>
  </si>
  <si>
    <t>Shreveport city, LA</t>
  </si>
  <si>
    <t>CT2270805000000</t>
  </si>
  <si>
    <t>Slidell city, LA</t>
  </si>
  <si>
    <t>CS2500170000000</t>
  </si>
  <si>
    <t>Abington town, MA</t>
  </si>
  <si>
    <t>CS2500380000000</t>
  </si>
  <si>
    <t>Acton town, MA</t>
  </si>
  <si>
    <t>CS2500520000000</t>
  </si>
  <si>
    <t>Acushnet town, MA</t>
  </si>
  <si>
    <t>CS2500555000000</t>
  </si>
  <si>
    <t>Adams town, MA</t>
  </si>
  <si>
    <t>CT2500840000000</t>
  </si>
  <si>
    <t>Agawam Town city, MA</t>
  </si>
  <si>
    <t>CS2500975000000</t>
  </si>
  <si>
    <t>Alford town, MA</t>
  </si>
  <si>
    <t>CT2501260000000</t>
  </si>
  <si>
    <t>Amesbury Town city, MA</t>
  </si>
  <si>
    <t>CS2501325000000</t>
  </si>
  <si>
    <t>Amherst town, MA</t>
  </si>
  <si>
    <t>CS2501465000000</t>
  </si>
  <si>
    <t>Andover town, MA</t>
  </si>
  <si>
    <t>CS2501585000000</t>
  </si>
  <si>
    <t>Aquinnah town, MA</t>
  </si>
  <si>
    <t>CS2501605000000</t>
  </si>
  <si>
    <t>Arlington town, MA</t>
  </si>
  <si>
    <t>CS2501885000000</t>
  </si>
  <si>
    <t>Ashburnham town, MA</t>
  </si>
  <si>
    <t>CS2501955000000</t>
  </si>
  <si>
    <t>Ashby town, MA</t>
  </si>
  <si>
    <t>CS2502095000000</t>
  </si>
  <si>
    <t>Ashfield town, MA</t>
  </si>
  <si>
    <t>CS2502130000000</t>
  </si>
  <si>
    <t>Ashland town, MA</t>
  </si>
  <si>
    <t>CS2502480000000</t>
  </si>
  <si>
    <t>Athol town, MA</t>
  </si>
  <si>
    <t>CT2502690000000</t>
  </si>
  <si>
    <t>Attleboro city, MA</t>
  </si>
  <si>
    <t>CS2502760000000</t>
  </si>
  <si>
    <t>Auburn town, MA</t>
  </si>
  <si>
    <t>CS2502935000000</t>
  </si>
  <si>
    <t>Avon town, MA</t>
  </si>
  <si>
    <t>CS2503005000000</t>
  </si>
  <si>
    <t>Ayer town, MA</t>
  </si>
  <si>
    <t>CT2503690000000</t>
  </si>
  <si>
    <t>Barnstable Town city, MA</t>
  </si>
  <si>
    <t>CS2503740000000</t>
  </si>
  <si>
    <t>Barre town, MA</t>
  </si>
  <si>
    <t>CS2504545000000</t>
  </si>
  <si>
    <t>Becket town, MA</t>
  </si>
  <si>
    <t>CS2504615000000</t>
  </si>
  <si>
    <t>Bedford town, MA</t>
  </si>
  <si>
    <t>CS2504825000000</t>
  </si>
  <si>
    <t>Belchertown town, MA</t>
  </si>
  <si>
    <t>CS2504930000000</t>
  </si>
  <si>
    <t>Bellingham town, MA</t>
  </si>
  <si>
    <t>CS2505070000000</t>
  </si>
  <si>
    <t>Belmont town, MA</t>
  </si>
  <si>
    <t>CS2505280000000</t>
  </si>
  <si>
    <t>Berkley town, MA</t>
  </si>
  <si>
    <t>CS2505490000000</t>
  </si>
  <si>
    <t>Berlin town, MA</t>
  </si>
  <si>
    <t>CS2505560000000</t>
  </si>
  <si>
    <t>Bernardston town, MA</t>
  </si>
  <si>
    <t>CT2505595000000</t>
  </si>
  <si>
    <t>Beverly city, MA</t>
  </si>
  <si>
    <t>CS2505805000000</t>
  </si>
  <si>
    <t>Billerica town, MA</t>
  </si>
  <si>
    <t>CS2506015000000</t>
  </si>
  <si>
    <t>Blackstone town, MA</t>
  </si>
  <si>
    <t>CS2506085000000</t>
  </si>
  <si>
    <t>Blandford town, MA</t>
  </si>
  <si>
    <t>CS2506365000000</t>
  </si>
  <si>
    <t>Bolton town, MA</t>
  </si>
  <si>
    <t>CT2507000000000</t>
  </si>
  <si>
    <t>Boston city, MA</t>
  </si>
  <si>
    <t>CS2507175000000</t>
  </si>
  <si>
    <t>Bourne town, MA</t>
  </si>
  <si>
    <t>CS2507350000000</t>
  </si>
  <si>
    <t>Boxborough town, MA</t>
  </si>
  <si>
    <t>CS2507420000000</t>
  </si>
  <si>
    <t>Boxford town, MA</t>
  </si>
  <si>
    <t>CS2507525000000</t>
  </si>
  <si>
    <t>Boylston town, MA</t>
  </si>
  <si>
    <t>CT2507740000000</t>
  </si>
  <si>
    <t>Braintree Town city, MA</t>
  </si>
  <si>
    <t>CS2507980000000</t>
  </si>
  <si>
    <t>Brewster town, MA</t>
  </si>
  <si>
    <t>CS2508085000000</t>
  </si>
  <si>
    <t>Bridgewater town, MA</t>
  </si>
  <si>
    <t>CS2508470000000</t>
  </si>
  <si>
    <t>Brimfield town, MA</t>
  </si>
  <si>
    <t>CT2509000000000</t>
  </si>
  <si>
    <t>Brockton city, MA</t>
  </si>
  <si>
    <t>CS2509105000000</t>
  </si>
  <si>
    <t>Brookfield town, MA</t>
  </si>
  <si>
    <t>CS2509175000000</t>
  </si>
  <si>
    <t>Brookline town, MA</t>
  </si>
  <si>
    <t>CS2509595000000</t>
  </si>
  <si>
    <t>Buckland town, MA</t>
  </si>
  <si>
    <t>SA2580500000000</t>
  </si>
  <si>
    <t>Buckland, MA LMA</t>
  </si>
  <si>
    <t>CS2509840000000</t>
  </si>
  <si>
    <t>Burlington town, MA</t>
  </si>
  <si>
    <t>CT2511000000000</t>
  </si>
  <si>
    <t>Cambridge city, MA</t>
  </si>
  <si>
    <t>CS2511315000000</t>
  </si>
  <si>
    <t>Canton town, MA</t>
  </si>
  <si>
    <t>CS2511525000000</t>
  </si>
  <si>
    <t>Carlisle town, MA</t>
  </si>
  <si>
    <t>CS2511665000000</t>
  </si>
  <si>
    <t>Carver town, MA</t>
  </si>
  <si>
    <t>CS2512505000000</t>
  </si>
  <si>
    <t>Charlemont town, MA</t>
  </si>
  <si>
    <t>CS2512715000000</t>
  </si>
  <si>
    <t>Charlton town, MA</t>
  </si>
  <si>
    <t>CS2512995000000</t>
  </si>
  <si>
    <t>Chatham town, MA</t>
  </si>
  <si>
    <t>CS2513135000000</t>
  </si>
  <si>
    <t>Chelmsford town, MA</t>
  </si>
  <si>
    <t>CT2513205000000</t>
  </si>
  <si>
    <t>Chelsea city, MA</t>
  </si>
  <si>
    <t>CS2513345000000</t>
  </si>
  <si>
    <t>Cheshire town, MA</t>
  </si>
  <si>
    <t>CS2513485000000</t>
  </si>
  <si>
    <t>Chester town, MA</t>
  </si>
  <si>
    <t>CS2513590000000</t>
  </si>
  <si>
    <t>Chesterfield town, MA</t>
  </si>
  <si>
    <t>CT2513660000000</t>
  </si>
  <si>
    <t>Chicopee city, MA</t>
  </si>
  <si>
    <t>CS2513800000000</t>
  </si>
  <si>
    <t>Chilmark town, MA</t>
  </si>
  <si>
    <t>CS2514010000000</t>
  </si>
  <si>
    <t>Clarksburg town, MA</t>
  </si>
  <si>
    <t>CS2514395000000</t>
  </si>
  <si>
    <t>Clinton town, MA</t>
  </si>
  <si>
    <t>CS2514640000000</t>
  </si>
  <si>
    <t>Cohasset town, MA</t>
  </si>
  <si>
    <t>CS2514885000000</t>
  </si>
  <si>
    <t>Colrain town, MA</t>
  </si>
  <si>
    <t>CS2515060000000</t>
  </si>
  <si>
    <t>Concord town, MA</t>
  </si>
  <si>
    <t>CS2515200000000</t>
  </si>
  <si>
    <t>Conway town, MA</t>
  </si>
  <si>
    <t>CS2516040000000</t>
  </si>
  <si>
    <t>Cummington town, MA</t>
  </si>
  <si>
    <t>CS2516180000000</t>
  </si>
  <si>
    <t>Dalton town, MA</t>
  </si>
  <si>
    <t>CS2516250000000</t>
  </si>
  <si>
    <t>Danvers town, MA</t>
  </si>
  <si>
    <t>CS2516425000000</t>
  </si>
  <si>
    <t>Dartmouth town, MA</t>
  </si>
  <si>
    <t>CS2516495000000</t>
  </si>
  <si>
    <t>Dedham town, MA</t>
  </si>
  <si>
    <t>CS2516670000000</t>
  </si>
  <si>
    <t>Deerfield town, MA</t>
  </si>
  <si>
    <t>CS2516775000000</t>
  </si>
  <si>
    <t>Dennis town, MA</t>
  </si>
  <si>
    <t>CS2516950000000</t>
  </si>
  <si>
    <t>Dighton town, MA</t>
  </si>
  <si>
    <t>CS2517300000000</t>
  </si>
  <si>
    <t>Douglas town, MA</t>
  </si>
  <si>
    <t>CS2517405000000</t>
  </si>
  <si>
    <t>Dover town, MA</t>
  </si>
  <si>
    <t>CS2517475000000</t>
  </si>
  <si>
    <t>Dracut town, MA</t>
  </si>
  <si>
    <t>CS2517685000000</t>
  </si>
  <si>
    <t>Dudley town, MA</t>
  </si>
  <si>
    <t>CS2517825000000</t>
  </si>
  <si>
    <t>Dunstable town, MA</t>
  </si>
  <si>
    <t>CS2517895000000</t>
  </si>
  <si>
    <t>Duxbury town, MA</t>
  </si>
  <si>
    <t>CS2518455000000</t>
  </si>
  <si>
    <t>East Bridgewater town, MA</t>
  </si>
  <si>
    <t>CS2518560000000</t>
  </si>
  <si>
    <t>East Brookfield town, MA</t>
  </si>
  <si>
    <t>CS2519645000000</t>
  </si>
  <si>
    <t>East Longmeadow town, MA</t>
  </si>
  <si>
    <t>CS2519295000000</t>
  </si>
  <si>
    <t>Eastham town, MA</t>
  </si>
  <si>
    <t>CT2519370000000</t>
  </si>
  <si>
    <t>Easthampton Town city, MA</t>
  </si>
  <si>
    <t>CS2520100000000</t>
  </si>
  <si>
    <t>Easton town, MA</t>
  </si>
  <si>
    <t>CS2521150000000</t>
  </si>
  <si>
    <t>Edgartown town, MA</t>
  </si>
  <si>
    <t>CS2521360000000</t>
  </si>
  <si>
    <t>Egremont town, MA</t>
  </si>
  <si>
    <t>CS2521780000000</t>
  </si>
  <si>
    <t>Erving town, MA</t>
  </si>
  <si>
    <t>CS2521850000000</t>
  </si>
  <si>
    <t>Essex town, MA</t>
  </si>
  <si>
    <t>CT2521990000000</t>
  </si>
  <si>
    <t>Everett city, MA</t>
  </si>
  <si>
    <t>CS2522130000000</t>
  </si>
  <si>
    <t>Fairhaven town, MA</t>
  </si>
  <si>
    <t>CT2523000000000</t>
  </si>
  <si>
    <t>Fall River city, MA</t>
  </si>
  <si>
    <t>CS2523105000000</t>
  </si>
  <si>
    <t>Falmouth town, MA</t>
  </si>
  <si>
    <t>CT2523875000000</t>
  </si>
  <si>
    <t>Fitchburg city, MA</t>
  </si>
  <si>
    <t>CS2524120000000</t>
  </si>
  <si>
    <t>Florida town, MA</t>
  </si>
  <si>
    <t>CS2524820000000</t>
  </si>
  <si>
    <t>Foxborough town, MA</t>
  </si>
  <si>
    <t>CT2524960000000</t>
  </si>
  <si>
    <t>Framingham city, MA</t>
  </si>
  <si>
    <t>CT2525172000000</t>
  </si>
  <si>
    <t>Franklin Town city, MA</t>
  </si>
  <si>
    <t>CS2525240000000</t>
  </si>
  <si>
    <t>Freetown town, MA</t>
  </si>
  <si>
    <t>CT2525485000000</t>
  </si>
  <si>
    <t>Gardner city, MA</t>
  </si>
  <si>
    <t>CS2525625000000</t>
  </si>
  <si>
    <t>Georgetown town, MA</t>
  </si>
  <si>
    <t>CS2525730000000</t>
  </si>
  <si>
    <t>Gill town, MA</t>
  </si>
  <si>
    <t>CT2526150000000</t>
  </si>
  <si>
    <t>Gloucester city, MA</t>
  </si>
  <si>
    <t>CS2526290000000</t>
  </si>
  <si>
    <t>Goshen town, MA</t>
  </si>
  <si>
    <t>CS2526325000000</t>
  </si>
  <si>
    <t>Gosnold town, MA</t>
  </si>
  <si>
    <t>CS2526430000000</t>
  </si>
  <si>
    <t>Grafton town, MA</t>
  </si>
  <si>
    <t>CS2526535000000</t>
  </si>
  <si>
    <t>Granby town, MA</t>
  </si>
  <si>
    <t>CS2526675000000</t>
  </si>
  <si>
    <t>Granville town, MA</t>
  </si>
  <si>
    <t>CS2526815000000</t>
  </si>
  <si>
    <t>Great Barrington town, MA</t>
  </si>
  <si>
    <t>SA2581100000000</t>
  </si>
  <si>
    <t>Great Barrington, MA LMA</t>
  </si>
  <si>
    <t>CT2527100000000</t>
  </si>
  <si>
    <t>Greenfield Town city, MA</t>
  </si>
  <si>
    <t>CS2527480000000</t>
  </si>
  <si>
    <t>Groton town, MA</t>
  </si>
  <si>
    <t>CS2527620000000</t>
  </si>
  <si>
    <t>Groveland town, MA</t>
  </si>
  <si>
    <t>CS2527690000000</t>
  </si>
  <si>
    <t>Hadley town, MA</t>
  </si>
  <si>
    <t>CS2527795000000</t>
  </si>
  <si>
    <t>Halifax town, MA</t>
  </si>
  <si>
    <t>CS2527900000000</t>
  </si>
  <si>
    <t>Hamilton town, MA</t>
  </si>
  <si>
    <t>CS2528075000000</t>
  </si>
  <si>
    <t>Hampden town, MA</t>
  </si>
  <si>
    <t>CS2528180000000</t>
  </si>
  <si>
    <t>Hancock town, MA</t>
  </si>
  <si>
    <t>CS2528285000000</t>
  </si>
  <si>
    <t>Hanover town, MA</t>
  </si>
  <si>
    <t>CS2528495000000</t>
  </si>
  <si>
    <t>Hanson town, MA</t>
  </si>
  <si>
    <t>CS2528740000000</t>
  </si>
  <si>
    <t>Hardwick town, MA</t>
  </si>
  <si>
    <t>CS2528950000000</t>
  </si>
  <si>
    <t>Harvard town, MA</t>
  </si>
  <si>
    <t>CS2529020000000</t>
  </si>
  <si>
    <t>Harwich town, MA</t>
  </si>
  <si>
    <t>CS2529265000000</t>
  </si>
  <si>
    <t>Hatfield town, MA</t>
  </si>
  <si>
    <t>CT2529405000000</t>
  </si>
  <si>
    <t>Haverhill city, MA</t>
  </si>
  <si>
    <t>CS2529475000000</t>
  </si>
  <si>
    <t>Hawley town, MA</t>
  </si>
  <si>
    <t>CS2529650000000</t>
  </si>
  <si>
    <t>Heath town, MA</t>
  </si>
  <si>
    <t>CS2530210000000</t>
  </si>
  <si>
    <t>Hingham town, MA</t>
  </si>
  <si>
    <t>CS2530315000000</t>
  </si>
  <si>
    <t>Hinsdale town, MA</t>
  </si>
  <si>
    <t>CS2530455000000</t>
  </si>
  <si>
    <t>Holbrook town, MA</t>
  </si>
  <si>
    <t>CS2530560000000</t>
  </si>
  <si>
    <t>Holden town, MA</t>
  </si>
  <si>
    <t>CS2530665000000</t>
  </si>
  <si>
    <t>Holland town, MA</t>
  </si>
  <si>
    <t>CS2530700000000</t>
  </si>
  <si>
    <t>Holliston town, MA</t>
  </si>
  <si>
    <t>CT2530840000000</t>
  </si>
  <si>
    <t>Holyoke city, MA</t>
  </si>
  <si>
    <t>CS2530945000000</t>
  </si>
  <si>
    <t>Hopedale town, MA</t>
  </si>
  <si>
    <t>CS2531085000000</t>
  </si>
  <si>
    <t>Hopkinton town, MA</t>
  </si>
  <si>
    <t>CS2531435000000</t>
  </si>
  <si>
    <t>Hubbardston town, MA</t>
  </si>
  <si>
    <t>CS2531540000000</t>
  </si>
  <si>
    <t>Hudson town, MA</t>
  </si>
  <si>
    <t>CS2531645000000</t>
  </si>
  <si>
    <t>Hull town, MA</t>
  </si>
  <si>
    <t>CS2531785000000</t>
  </si>
  <si>
    <t>Huntington town, MA</t>
  </si>
  <si>
    <t>CS2532310000000</t>
  </si>
  <si>
    <t>Ipswich town, MA</t>
  </si>
  <si>
    <t>CS2533220000000</t>
  </si>
  <si>
    <t>Kingston town, MA</t>
  </si>
  <si>
    <t>CS2533920000000</t>
  </si>
  <si>
    <t>Lakeville town, MA</t>
  </si>
  <si>
    <t>CS2534165000000</t>
  </si>
  <si>
    <t>Lancaster town, MA</t>
  </si>
  <si>
    <t>CS2534340000000</t>
  </si>
  <si>
    <t>Lanesborough town, MA</t>
  </si>
  <si>
    <t>CT2534550000000</t>
  </si>
  <si>
    <t>Lawrence city, MA</t>
  </si>
  <si>
    <t>CS2534655000000</t>
  </si>
  <si>
    <t>Lee town, MA</t>
  </si>
  <si>
    <t>CS2534795000000</t>
  </si>
  <si>
    <t>Leicester town, MA</t>
  </si>
  <si>
    <t>CS2534970000000</t>
  </si>
  <si>
    <t>Lenox town, MA</t>
  </si>
  <si>
    <t>CT2535075000000</t>
  </si>
  <si>
    <t>Leominster city, MA</t>
  </si>
  <si>
    <t>CS2535180000000</t>
  </si>
  <si>
    <t>Leverett town, MA</t>
  </si>
  <si>
    <t>CS2535215000000</t>
  </si>
  <si>
    <t>Lexington town, MA</t>
  </si>
  <si>
    <t>CS2535285000000</t>
  </si>
  <si>
    <t>Leyden town, MA</t>
  </si>
  <si>
    <t>CS2535425000000</t>
  </si>
  <si>
    <t>Lincoln town, MA</t>
  </si>
  <si>
    <t>CS2535950000000</t>
  </si>
  <si>
    <t>Littleton town, MA</t>
  </si>
  <si>
    <t>CS2536300000000</t>
  </si>
  <si>
    <t>Longmeadow town, MA</t>
  </si>
  <si>
    <t>CT2537000000000</t>
  </si>
  <si>
    <t>Lowell city, MA</t>
  </si>
  <si>
    <t>CS2537175000000</t>
  </si>
  <si>
    <t>Ludlow town, MA</t>
  </si>
  <si>
    <t>CS2537420000000</t>
  </si>
  <si>
    <t>Lunenburg town, MA</t>
  </si>
  <si>
    <t>CT2537490000000</t>
  </si>
  <si>
    <t>Lynn city, MA</t>
  </si>
  <si>
    <t>CS2537560000000</t>
  </si>
  <si>
    <t>Lynnfield town, MA</t>
  </si>
  <si>
    <t>CT2537875000000</t>
  </si>
  <si>
    <t>Malden city, MA</t>
  </si>
  <si>
    <t>CS2537995000000</t>
  </si>
  <si>
    <t>Manchester-by-the-Sea town, MA</t>
  </si>
  <si>
    <t>CS2538225000000</t>
  </si>
  <si>
    <t>Mansfield town, MA</t>
  </si>
  <si>
    <t>CS2538400000000</t>
  </si>
  <si>
    <t>Marblehead town, MA</t>
  </si>
  <si>
    <t>CS2538540000000</t>
  </si>
  <si>
    <t>Marion town, MA</t>
  </si>
  <si>
    <t>CT2538715000000</t>
  </si>
  <si>
    <t>Marlborough city, MA</t>
  </si>
  <si>
    <t>CS2538855000000</t>
  </si>
  <si>
    <t>Marshfield town, MA</t>
  </si>
  <si>
    <t>CS2539100000000</t>
  </si>
  <si>
    <t>Mashpee town, MA</t>
  </si>
  <si>
    <t>CS2539450000000</t>
  </si>
  <si>
    <t>Mattapoisett town, MA</t>
  </si>
  <si>
    <t>CS2539625000000</t>
  </si>
  <si>
    <t>Maynard town, MA</t>
  </si>
  <si>
    <t>CS2539765000000</t>
  </si>
  <si>
    <t>Medfield town, MA</t>
  </si>
  <si>
    <t>CT2539835000000</t>
  </si>
  <si>
    <t>Medford city, MA</t>
  </si>
  <si>
    <t>CS2539975000000</t>
  </si>
  <si>
    <t>Medway town, MA</t>
  </si>
  <si>
    <t>CT2540115000000</t>
  </si>
  <si>
    <t>Melrose city, MA</t>
  </si>
  <si>
    <t>CS2540255000000</t>
  </si>
  <si>
    <t>Mendon town, MA</t>
  </si>
  <si>
    <t>CS2540430000000</t>
  </si>
  <si>
    <t>Merrimac town, MA</t>
  </si>
  <si>
    <t>CT2540710000000</t>
  </si>
  <si>
    <t>Methuen Town city, MA</t>
  </si>
  <si>
    <t>CS2540850000000</t>
  </si>
  <si>
    <t>Middleborough town, MA</t>
  </si>
  <si>
    <t>CS2540990000000</t>
  </si>
  <si>
    <t>Middlefield town, MA</t>
  </si>
  <si>
    <t>CS2541095000000</t>
  </si>
  <si>
    <t>Middleton town, MA</t>
  </si>
  <si>
    <t>CS2541165000000</t>
  </si>
  <si>
    <t>Milford town, MA</t>
  </si>
  <si>
    <t>CS2541340000000</t>
  </si>
  <si>
    <t>Millbury town, MA</t>
  </si>
  <si>
    <t>CS2541515000000</t>
  </si>
  <si>
    <t>Millis town, MA</t>
  </si>
  <si>
    <t>CS2541585000000</t>
  </si>
  <si>
    <t>Millville town, MA</t>
  </si>
  <si>
    <t>CS2541690000000</t>
  </si>
  <si>
    <t>Milton town, MA</t>
  </si>
  <si>
    <t>CS2542040000000</t>
  </si>
  <si>
    <t>Monroe town, MA</t>
  </si>
  <si>
    <t>CS2542145000000</t>
  </si>
  <si>
    <t>Monson town, MA</t>
  </si>
  <si>
    <t>CS2542285000000</t>
  </si>
  <si>
    <t>Montague town, MA</t>
  </si>
  <si>
    <t>CS2542460000000</t>
  </si>
  <si>
    <t>Monterey town, MA</t>
  </si>
  <si>
    <t>CS2542530000000</t>
  </si>
  <si>
    <t>Montgomery town, MA</t>
  </si>
  <si>
    <t>CS2543300000000</t>
  </si>
  <si>
    <t>Mount Washington town, MA</t>
  </si>
  <si>
    <t>CS2543580000000</t>
  </si>
  <si>
    <t>Nahant town, MA</t>
  </si>
  <si>
    <t>CS2543790000000</t>
  </si>
  <si>
    <t>CS2543895000000</t>
  </si>
  <si>
    <t>Natick town, MA</t>
  </si>
  <si>
    <t>CS2544105000000</t>
  </si>
  <si>
    <t>Needham town, MA</t>
  </si>
  <si>
    <t>CS2544385000000</t>
  </si>
  <si>
    <t>New Ashford town, MA</t>
  </si>
  <si>
    <t>CT2545000000000</t>
  </si>
  <si>
    <t>New Bedford city, MA</t>
  </si>
  <si>
    <t>CS2545105000000</t>
  </si>
  <si>
    <t>New Braintree town, MA</t>
  </si>
  <si>
    <t>CS2545420000000</t>
  </si>
  <si>
    <t>New Marlborough town, MA</t>
  </si>
  <si>
    <t>CS2545490000000</t>
  </si>
  <si>
    <t>New Salem town, MA</t>
  </si>
  <si>
    <t>CS2545175000000</t>
  </si>
  <si>
    <t>Newbury town, MA</t>
  </si>
  <si>
    <t>CT2545245000000</t>
  </si>
  <si>
    <t>Newburyport city, MA</t>
  </si>
  <si>
    <t>CT2545560000000</t>
  </si>
  <si>
    <t>Newton city, MA</t>
  </si>
  <si>
    <t>CS2546050000000</t>
  </si>
  <si>
    <t>Norfolk town, MA</t>
  </si>
  <si>
    <t>CT2546225000000</t>
  </si>
  <si>
    <t>North Adams city, MA</t>
  </si>
  <si>
    <t>CS2546365000000</t>
  </si>
  <si>
    <t>North Andover town, MA</t>
  </si>
  <si>
    <t>CS2546575000000</t>
  </si>
  <si>
    <t>North Attleborough town, MA</t>
  </si>
  <si>
    <t>CS2547135000000</t>
  </si>
  <si>
    <t>North Brookfield town, MA</t>
  </si>
  <si>
    <t>CS2548955000000</t>
  </si>
  <si>
    <t>North Reading town, MA</t>
  </si>
  <si>
    <t>CT2546330000000</t>
  </si>
  <si>
    <t>Northampton city, MA</t>
  </si>
  <si>
    <t>CS2546820000000</t>
  </si>
  <si>
    <t>Northborough town, MA</t>
  </si>
  <si>
    <t>CS2546925000000</t>
  </si>
  <si>
    <t>Northbridge town, MA</t>
  </si>
  <si>
    <t>CS2547835000000</t>
  </si>
  <si>
    <t>Northfield town, MA</t>
  </si>
  <si>
    <t>CS2549970000000</t>
  </si>
  <si>
    <t>Norton town, MA</t>
  </si>
  <si>
    <t>CS2550145000000</t>
  </si>
  <si>
    <t>Norwell town, MA</t>
  </si>
  <si>
    <t>CS2550250000000</t>
  </si>
  <si>
    <t>Norwood town, MA</t>
  </si>
  <si>
    <t>CS2550390000000</t>
  </si>
  <si>
    <t>Oak Bluffs town, MA</t>
  </si>
  <si>
    <t>CS2550670000000</t>
  </si>
  <si>
    <t>Oakham town, MA</t>
  </si>
  <si>
    <t>CS2551265000000</t>
  </si>
  <si>
    <t>Orange town, MA</t>
  </si>
  <si>
    <t>CS2551440000000</t>
  </si>
  <si>
    <t>Orleans town, MA</t>
  </si>
  <si>
    <t>CS2551580000000</t>
  </si>
  <si>
    <t>Otis town, MA</t>
  </si>
  <si>
    <t>CS2551825000000</t>
  </si>
  <si>
    <t>Oxford town, MA</t>
  </si>
  <si>
    <t>CT2552144000000</t>
  </si>
  <si>
    <t>Palmer Town city, MA</t>
  </si>
  <si>
    <t>CS2552420000000</t>
  </si>
  <si>
    <t>Paxton town, MA</t>
  </si>
  <si>
    <t>CT2552490000000</t>
  </si>
  <si>
    <t>Peabody city, MA</t>
  </si>
  <si>
    <t>CS2552560000000</t>
  </si>
  <si>
    <t>Pelham town, MA</t>
  </si>
  <si>
    <t>CS2552630000000</t>
  </si>
  <si>
    <t>Pembroke town, MA</t>
  </si>
  <si>
    <t>CS2552805000000</t>
  </si>
  <si>
    <t>Pepperell town, MA</t>
  </si>
  <si>
    <t>CS2553050000000</t>
  </si>
  <si>
    <t>Peru town, MA</t>
  </si>
  <si>
    <t>CS2553120000000</t>
  </si>
  <si>
    <t>Petersham town, MA</t>
  </si>
  <si>
    <t>CS2553225000000</t>
  </si>
  <si>
    <t>Phillipston town, MA</t>
  </si>
  <si>
    <t>CT2553960000000</t>
  </si>
  <si>
    <t>Pittsfield city, MA</t>
  </si>
  <si>
    <t>CS2554030000000</t>
  </si>
  <si>
    <t>Plainfield town, MA</t>
  </si>
  <si>
    <t>CS2554100000000</t>
  </si>
  <si>
    <t>Plainville town, MA</t>
  </si>
  <si>
    <t>CS2554310000000</t>
  </si>
  <si>
    <t>Plymouth town, MA</t>
  </si>
  <si>
    <t>CS2554415000000</t>
  </si>
  <si>
    <t>Plympton town, MA</t>
  </si>
  <si>
    <t>CS2555395000000</t>
  </si>
  <si>
    <t>Princeton town, MA</t>
  </si>
  <si>
    <t>CS2555500000000</t>
  </si>
  <si>
    <t>Provincetown town, MA</t>
  </si>
  <si>
    <t>CT2555745000000</t>
  </si>
  <si>
    <t>Quincy city, MA</t>
  </si>
  <si>
    <t>CS2555955000000</t>
  </si>
  <si>
    <t>Randolph town, MA</t>
  </si>
  <si>
    <t>CS2556060000000</t>
  </si>
  <si>
    <t>Raynham town, MA</t>
  </si>
  <si>
    <t>CS2556130000000</t>
  </si>
  <si>
    <t>Reading town, MA</t>
  </si>
  <si>
    <t>CS2556375000000</t>
  </si>
  <si>
    <t>Rehoboth town, MA</t>
  </si>
  <si>
    <t>CT2556585000000</t>
  </si>
  <si>
    <t>Revere city, MA</t>
  </si>
  <si>
    <t>CS2556795000000</t>
  </si>
  <si>
    <t>Richmond town, MA</t>
  </si>
  <si>
    <t>CS2557600000000</t>
  </si>
  <si>
    <t>Rochester town, MA</t>
  </si>
  <si>
    <t>CS2557775000000</t>
  </si>
  <si>
    <t>Rockland town, MA</t>
  </si>
  <si>
    <t>CS2557880000000</t>
  </si>
  <si>
    <t>Rockport town, MA</t>
  </si>
  <si>
    <t>CS2558335000000</t>
  </si>
  <si>
    <t>Rowe town, MA</t>
  </si>
  <si>
    <t>CS2558405000000</t>
  </si>
  <si>
    <t>Rowley town, MA</t>
  </si>
  <si>
    <t>CS2558580000000</t>
  </si>
  <si>
    <t>Royalston town, MA</t>
  </si>
  <si>
    <t>CS2558650000000</t>
  </si>
  <si>
    <t>Russell town, MA</t>
  </si>
  <si>
    <t>CS2558825000000</t>
  </si>
  <si>
    <t>Rutland town, MA</t>
  </si>
  <si>
    <t>CT2559105000000</t>
  </si>
  <si>
    <t>Salem city, MA</t>
  </si>
  <si>
    <t>CS2559245000000</t>
  </si>
  <si>
    <t>Salisbury town, MA</t>
  </si>
  <si>
    <t>CS2559665000000</t>
  </si>
  <si>
    <t>Sandisfield town, MA</t>
  </si>
  <si>
    <t>CS2559735000000</t>
  </si>
  <si>
    <t>Sandwich town, MA</t>
  </si>
  <si>
    <t>CS2560015000000</t>
  </si>
  <si>
    <t>Saugus town, MA</t>
  </si>
  <si>
    <t>CS2560225000000</t>
  </si>
  <si>
    <t>Savoy town, MA</t>
  </si>
  <si>
    <t>CS2560330000000</t>
  </si>
  <si>
    <t>Scituate town, MA</t>
  </si>
  <si>
    <t>CS2560645000000</t>
  </si>
  <si>
    <t>Seekonk town, MA</t>
  </si>
  <si>
    <t>CS2560785000000</t>
  </si>
  <si>
    <t>Sharon town, MA</t>
  </si>
  <si>
    <t>CS2561065000000</t>
  </si>
  <si>
    <t>Sheffield town, MA</t>
  </si>
  <si>
    <t>CS2561135000000</t>
  </si>
  <si>
    <t>Shelburne town, MA</t>
  </si>
  <si>
    <t>CS2561380000000</t>
  </si>
  <si>
    <t>Sherborn town, MA</t>
  </si>
  <si>
    <t>CS2561590000000</t>
  </si>
  <si>
    <t>Shirley town, MA</t>
  </si>
  <si>
    <t>CS2561800000000</t>
  </si>
  <si>
    <t>Shrewsbury town, MA</t>
  </si>
  <si>
    <t>CS2561905000000</t>
  </si>
  <si>
    <t>Shutesbury town, MA</t>
  </si>
  <si>
    <t>CS2562430000000</t>
  </si>
  <si>
    <t>Somerset town, MA</t>
  </si>
  <si>
    <t>CT2562535000000</t>
  </si>
  <si>
    <t>Somerville city, MA</t>
  </si>
  <si>
    <t>CS2564145000000</t>
  </si>
  <si>
    <t>South Hadley town, MA</t>
  </si>
  <si>
    <t>CS2562745000000</t>
  </si>
  <si>
    <t>Southampton town, MA</t>
  </si>
  <si>
    <t>CS2563165000000</t>
  </si>
  <si>
    <t>Southborough town, MA</t>
  </si>
  <si>
    <t>CT2563345000000</t>
  </si>
  <si>
    <t>Southbridge Town city, MA</t>
  </si>
  <si>
    <t>CS2565825000000</t>
  </si>
  <si>
    <t>Southwick town, MA</t>
  </si>
  <si>
    <t>CS2566105000000</t>
  </si>
  <si>
    <t>Spencer town, MA</t>
  </si>
  <si>
    <t>CT2567000000000</t>
  </si>
  <si>
    <t>Springfield city, MA</t>
  </si>
  <si>
    <t>CS2567385000000</t>
  </si>
  <si>
    <t>Sterling town, MA</t>
  </si>
  <si>
    <t>CS2567595000000</t>
  </si>
  <si>
    <t>Stockbridge town, MA</t>
  </si>
  <si>
    <t>CS2567665000000</t>
  </si>
  <si>
    <t>Stoneham town, MA</t>
  </si>
  <si>
    <t>CS2567945000000</t>
  </si>
  <si>
    <t>Stoughton town, MA</t>
  </si>
  <si>
    <t>CS2568050000000</t>
  </si>
  <si>
    <t>Stow town, MA</t>
  </si>
  <si>
    <t>CS2568155000000</t>
  </si>
  <si>
    <t>Sturbridge town, MA</t>
  </si>
  <si>
    <t>CS2568260000000</t>
  </si>
  <si>
    <t>Sudbury town, MA</t>
  </si>
  <si>
    <t>CS2568400000000</t>
  </si>
  <si>
    <t>Sunderland town, MA</t>
  </si>
  <si>
    <t>CS2568610000000</t>
  </si>
  <si>
    <t>Sutton town, MA</t>
  </si>
  <si>
    <t>CS2568645000000</t>
  </si>
  <si>
    <t>Swampscott town, MA</t>
  </si>
  <si>
    <t>CS2568750000000</t>
  </si>
  <si>
    <t>Swansea town, MA</t>
  </si>
  <si>
    <t>CT2569170000000</t>
  </si>
  <si>
    <t>Taunton city, MA</t>
  </si>
  <si>
    <t>CS2569275000000</t>
  </si>
  <si>
    <t>Templeton town, MA</t>
  </si>
  <si>
    <t>CS2569415000000</t>
  </si>
  <si>
    <t>Tewksbury town, MA</t>
  </si>
  <si>
    <t>CS2569940000000</t>
  </si>
  <si>
    <t>Tisbury town, MA</t>
  </si>
  <si>
    <t>CS2570045000000</t>
  </si>
  <si>
    <t>Tolland town, MA</t>
  </si>
  <si>
    <t>CS2570150000000</t>
  </si>
  <si>
    <t>Topsfield town, MA</t>
  </si>
  <si>
    <t>CS2570360000000</t>
  </si>
  <si>
    <t>Townsend town, MA</t>
  </si>
  <si>
    <t>CS2570605000000</t>
  </si>
  <si>
    <t>Truro town, MA</t>
  </si>
  <si>
    <t>CS2571025000000</t>
  </si>
  <si>
    <t>Tyngsborough town, MA</t>
  </si>
  <si>
    <t>CS2571095000000</t>
  </si>
  <si>
    <t>Tyringham town, MA</t>
  </si>
  <si>
    <t>CS2571480000000</t>
  </si>
  <si>
    <t>Upton town, MA</t>
  </si>
  <si>
    <t>CS2571620000000</t>
  </si>
  <si>
    <t>Uxbridge town, MA</t>
  </si>
  <si>
    <t>CS2572215000000</t>
  </si>
  <si>
    <t>Wakefield town, MA</t>
  </si>
  <si>
    <t>CS2572390000000</t>
  </si>
  <si>
    <t>Wales town, MA</t>
  </si>
  <si>
    <t>CS2572495000000</t>
  </si>
  <si>
    <t>Walpole town, MA</t>
  </si>
  <si>
    <t>CT2572600000000</t>
  </si>
  <si>
    <t>Waltham city, MA</t>
  </si>
  <si>
    <t>CS2572880000000</t>
  </si>
  <si>
    <t>Ware town, MA</t>
  </si>
  <si>
    <t>CS2572985000000</t>
  </si>
  <si>
    <t>Wareham town, MA</t>
  </si>
  <si>
    <t>CS2573090000000</t>
  </si>
  <si>
    <t>Warren town, MA</t>
  </si>
  <si>
    <t>CS2573265000000</t>
  </si>
  <si>
    <t>Warwick town, MA</t>
  </si>
  <si>
    <t>CS2573335000000</t>
  </si>
  <si>
    <t>Washington town, MA</t>
  </si>
  <si>
    <t>CT2573440000000</t>
  </si>
  <si>
    <t>Watertown Town city, MA</t>
  </si>
  <si>
    <t>CS2573790000000</t>
  </si>
  <si>
    <t>Wayland town, MA</t>
  </si>
  <si>
    <t>CS2573895000000</t>
  </si>
  <si>
    <t>Webster town, MA</t>
  </si>
  <si>
    <t>CS2574175000000</t>
  </si>
  <si>
    <t>Wellesley town, MA</t>
  </si>
  <si>
    <t>CS2574385000000</t>
  </si>
  <si>
    <t>Wellfleet town, MA</t>
  </si>
  <si>
    <t>CS2574525000000</t>
  </si>
  <si>
    <t>Wendell town, MA</t>
  </si>
  <si>
    <t>CS2574595000000</t>
  </si>
  <si>
    <t>Wenham town, MA</t>
  </si>
  <si>
    <t>CS2575155000000</t>
  </si>
  <si>
    <t>West Boylston town, MA</t>
  </si>
  <si>
    <t>CS2575260000000</t>
  </si>
  <si>
    <t>West Bridgewater town, MA</t>
  </si>
  <si>
    <t>CS2575400000000</t>
  </si>
  <si>
    <t>West Brookfield town, MA</t>
  </si>
  <si>
    <t>CS2577150000000</t>
  </si>
  <si>
    <t>West Newbury town, MA</t>
  </si>
  <si>
    <t>CT2577890000000</t>
  </si>
  <si>
    <t>West Springfield Town city, MA</t>
  </si>
  <si>
    <t>CS2577990000000</t>
  </si>
  <si>
    <t>West Stockbridge town, MA</t>
  </si>
  <si>
    <t>CS2578235000000</t>
  </si>
  <si>
    <t>West Tisbury town, MA</t>
  </si>
  <si>
    <t>CS2575015000000</t>
  </si>
  <si>
    <t>Westborough town, MA</t>
  </si>
  <si>
    <t>CT2576030000000</t>
  </si>
  <si>
    <t>Westfield city, MA</t>
  </si>
  <si>
    <t>CS2576135000000</t>
  </si>
  <si>
    <t>Westford town, MA</t>
  </si>
  <si>
    <t>CS2576380000000</t>
  </si>
  <si>
    <t>Westhampton town, MA</t>
  </si>
  <si>
    <t>CS2577010000000</t>
  </si>
  <si>
    <t>Westminster town, MA</t>
  </si>
  <si>
    <t>CS2577255000000</t>
  </si>
  <si>
    <t>Weston town, MA</t>
  </si>
  <si>
    <t>CS2577570000000</t>
  </si>
  <si>
    <t>Westport town, MA</t>
  </si>
  <si>
    <t>CS2578690000000</t>
  </si>
  <si>
    <t>Westwood town, MA</t>
  </si>
  <si>
    <t>CT2578972000000</t>
  </si>
  <si>
    <t>Weymouth Town city, MA</t>
  </si>
  <si>
    <t>CS2579110000000</t>
  </si>
  <si>
    <t>Whately town, MA</t>
  </si>
  <si>
    <t>CS2579530000000</t>
  </si>
  <si>
    <t>Whitman town, MA</t>
  </si>
  <si>
    <t>CS2579740000000</t>
  </si>
  <si>
    <t>Wilbraham town, MA</t>
  </si>
  <si>
    <t>CS2579915000000</t>
  </si>
  <si>
    <t>Williamsburg town, MA</t>
  </si>
  <si>
    <t>CS2579985000000</t>
  </si>
  <si>
    <t>Williamstown town, MA</t>
  </si>
  <si>
    <t>CS2580230000000</t>
  </si>
  <si>
    <t>Wilmington town, MA</t>
  </si>
  <si>
    <t>CS2580405000000</t>
  </si>
  <si>
    <t>Winchendon town, MA</t>
  </si>
  <si>
    <t>CS2580510000000</t>
  </si>
  <si>
    <t>Winchester town, MA</t>
  </si>
  <si>
    <t>CS2580685000000</t>
  </si>
  <si>
    <t>Windsor town, MA</t>
  </si>
  <si>
    <t>CT2581005000000</t>
  </si>
  <si>
    <t>Winthrop Town city, MA</t>
  </si>
  <si>
    <t>CT2581035000000</t>
  </si>
  <si>
    <t>Woburn city, MA</t>
  </si>
  <si>
    <t>CT2582000000000</t>
  </si>
  <si>
    <t>Worcester city, MA</t>
  </si>
  <si>
    <t>CS2582175000000</t>
  </si>
  <si>
    <t>Worthington town, MA</t>
  </si>
  <si>
    <t>CS2582315000000</t>
  </si>
  <si>
    <t>Wrentham town, MA</t>
  </si>
  <si>
    <t>CS2582525000000</t>
  </si>
  <si>
    <t>Yarmouth town, MA</t>
  </si>
  <si>
    <t>CT2401600000000</t>
  </si>
  <si>
    <t>Annapolis city, MD</t>
  </si>
  <si>
    <t>CT2404000000000</t>
  </si>
  <si>
    <t>CT2408775000000</t>
  </si>
  <si>
    <t>Bowie city, MD</t>
  </si>
  <si>
    <t>CT2418750000000</t>
  </si>
  <si>
    <t>College Park city, MD</t>
  </si>
  <si>
    <t>CT2430325000000</t>
  </si>
  <si>
    <t>Frederick city, MD</t>
  </si>
  <si>
    <t>CT2431175000000</t>
  </si>
  <si>
    <t>Gaithersburg city, MD</t>
  </si>
  <si>
    <t>CT2436075000000</t>
  </si>
  <si>
    <t>Hagerstown city, MD</t>
  </si>
  <si>
    <t>CT2445900000000</t>
  </si>
  <si>
    <t>Laurel city, MD</t>
  </si>
  <si>
    <t>CT2467675000000</t>
  </si>
  <si>
    <t>Rockville city, MD</t>
  </si>
  <si>
    <t>CT2469925000000</t>
  </si>
  <si>
    <t>Salisbury city, MD</t>
  </si>
  <si>
    <t>CS2300100000000</t>
  </si>
  <si>
    <t>Abbot town, ME</t>
  </si>
  <si>
    <t>CS2300275000000</t>
  </si>
  <si>
    <t>Acton town, ME</t>
  </si>
  <si>
    <t>SA2380100000000</t>
  </si>
  <si>
    <t>Acton, ME LMA</t>
  </si>
  <si>
    <t>CS2300380000000</t>
  </si>
  <si>
    <t>Addison town, ME</t>
  </si>
  <si>
    <t>CS2300590000000</t>
  </si>
  <si>
    <t>Albion town, ME</t>
  </si>
  <si>
    <t>CS2300660000000</t>
  </si>
  <si>
    <t>Alexander town, ME</t>
  </si>
  <si>
    <t>CS2300730000000</t>
  </si>
  <si>
    <t>Alfred town, ME</t>
  </si>
  <si>
    <t>CS2300800000000</t>
  </si>
  <si>
    <t>Allagash town, ME</t>
  </si>
  <si>
    <t>CS2301010000000</t>
  </si>
  <si>
    <t>Alna town, ME</t>
  </si>
  <si>
    <t>CS2301115000000</t>
  </si>
  <si>
    <t>Alton town, ME</t>
  </si>
  <si>
    <t>CS2301185000000</t>
  </si>
  <si>
    <t>Amherst town, ME</t>
  </si>
  <si>
    <t>CS2301220000000</t>
  </si>
  <si>
    <t>Amity town, ME</t>
  </si>
  <si>
    <t>CS2301325000000</t>
  </si>
  <si>
    <t>Andover town, ME</t>
  </si>
  <si>
    <t>CS2301395000000</t>
  </si>
  <si>
    <t>Anson town, ME</t>
  </si>
  <si>
    <t>CS2301465000000</t>
  </si>
  <si>
    <t>Appleton town, ME</t>
  </si>
  <si>
    <t>CS2301500000000</t>
  </si>
  <si>
    <t>Argyle unorganized, ME</t>
  </si>
  <si>
    <t>CS2301570000000</t>
  </si>
  <si>
    <t>Arrowsic town, ME</t>
  </si>
  <si>
    <t>CS2301605000000</t>
  </si>
  <si>
    <t>Arundel town, ME</t>
  </si>
  <si>
    <t>CS2301710000000</t>
  </si>
  <si>
    <t>Ashland town, ME</t>
  </si>
  <si>
    <t>CS2301885000000</t>
  </si>
  <si>
    <t>Athens town, ME</t>
  </si>
  <si>
    <t>CS2301920000000</t>
  </si>
  <si>
    <t>Atkinson town, ME</t>
  </si>
  <si>
    <t>CT2302060000000</t>
  </si>
  <si>
    <t>Auburn city, ME</t>
  </si>
  <si>
    <t>CT2302100000000</t>
  </si>
  <si>
    <t>Augusta city, ME</t>
  </si>
  <si>
    <t>CS2302165000000</t>
  </si>
  <si>
    <t>Aurora town, ME</t>
  </si>
  <si>
    <t>CS2302235000000</t>
  </si>
  <si>
    <t>Avon town, ME</t>
  </si>
  <si>
    <t>CS2302480000000</t>
  </si>
  <si>
    <t>Baileyville town, ME</t>
  </si>
  <si>
    <t>CS2302655000000</t>
  </si>
  <si>
    <t>Baldwin town, ME</t>
  </si>
  <si>
    <t>CS2302760000000</t>
  </si>
  <si>
    <t>Bancroft town, ME</t>
  </si>
  <si>
    <t>CT2302795000000</t>
  </si>
  <si>
    <t>Bangor city, ME</t>
  </si>
  <si>
    <t>CS2302865000000</t>
  </si>
  <si>
    <t>Bar Harbor town, ME</t>
  </si>
  <si>
    <t>CS2302970000000</t>
  </si>
  <si>
    <t>Baring plantation, ME</t>
  </si>
  <si>
    <t>CT2303355000000</t>
  </si>
  <si>
    <t>Bath city, ME</t>
  </si>
  <si>
    <t>CS2303670000000</t>
  </si>
  <si>
    <t>Beals town, ME</t>
  </si>
  <si>
    <t>CS2303740000000</t>
  </si>
  <si>
    <t>Beaver Cove town, ME</t>
  </si>
  <si>
    <t>CS2303810000000</t>
  </si>
  <si>
    <t>Beddington town, ME</t>
  </si>
  <si>
    <t>CT2303950000000</t>
  </si>
  <si>
    <t>Belfast city, ME</t>
  </si>
  <si>
    <t>SA2380300000000</t>
  </si>
  <si>
    <t>Belfast, ME LMA</t>
  </si>
  <si>
    <t>CS2304020000000</t>
  </si>
  <si>
    <t>Belgrade town, ME</t>
  </si>
  <si>
    <t>CS2304125000000</t>
  </si>
  <si>
    <t>Belmont town, ME</t>
  </si>
  <si>
    <t>CS2304475000000</t>
  </si>
  <si>
    <t>Benton town, ME</t>
  </si>
  <si>
    <t>CS2304720000000</t>
  </si>
  <si>
    <t>Berwick town, ME</t>
  </si>
  <si>
    <t>CS2304825000000</t>
  </si>
  <si>
    <t>Bethel town, ME</t>
  </si>
  <si>
    <t>CT2304860000000</t>
  </si>
  <si>
    <t>Biddeford city, ME</t>
  </si>
  <si>
    <t>CS2305000000000</t>
  </si>
  <si>
    <t>Bingham town, ME</t>
  </si>
  <si>
    <t>CS2305385000000</t>
  </si>
  <si>
    <t>Blaine town, ME</t>
  </si>
  <si>
    <t>CS2305560000000</t>
  </si>
  <si>
    <t>Blanchard unorganized, ME</t>
  </si>
  <si>
    <t>CS2305700000000</t>
  </si>
  <si>
    <t>Blue Hill town, ME</t>
  </si>
  <si>
    <t>CS2306120000000</t>
  </si>
  <si>
    <t>Boothbay Harbor town, ME</t>
  </si>
  <si>
    <t>CS2306050000000</t>
  </si>
  <si>
    <t>Boothbay town, ME</t>
  </si>
  <si>
    <t>SA2380380000000</t>
  </si>
  <si>
    <t>Boothbay, ME LMA</t>
  </si>
  <si>
    <t>CS2306260000000</t>
  </si>
  <si>
    <t>Bowdoin town, ME</t>
  </si>
  <si>
    <t>CS2306365000000</t>
  </si>
  <si>
    <t>Bowdoinham town, ME</t>
  </si>
  <si>
    <t>CS2306400000000</t>
  </si>
  <si>
    <t>Bowerbank town, ME</t>
  </si>
  <si>
    <t>CS2306575000000</t>
  </si>
  <si>
    <t>Bradford town, ME</t>
  </si>
  <si>
    <t>CS2306680000000</t>
  </si>
  <si>
    <t>Bradley town, ME</t>
  </si>
  <si>
    <t>CS2306855000000</t>
  </si>
  <si>
    <t>Bremen town, ME</t>
  </si>
  <si>
    <t>CT2306925000000</t>
  </si>
  <si>
    <t>Brewer city, ME</t>
  </si>
  <si>
    <t>CS2307065000000</t>
  </si>
  <si>
    <t>Bridgewater town, ME</t>
  </si>
  <si>
    <t>CS2307170000000</t>
  </si>
  <si>
    <t>Bridgton town, ME</t>
  </si>
  <si>
    <t>SA2380460000000</t>
  </si>
  <si>
    <t>Bridgton-Paris, ME LMA</t>
  </si>
  <si>
    <t>CS2307380000000</t>
  </si>
  <si>
    <t>Brighton plantation, ME</t>
  </si>
  <si>
    <t>CS2307485000000</t>
  </si>
  <si>
    <t>Bristol town, ME</t>
  </si>
  <si>
    <t>CS2307800000000</t>
  </si>
  <si>
    <t>Brooklin town, ME</t>
  </si>
  <si>
    <t>CS2307870000000</t>
  </si>
  <si>
    <t>Brooks town, ME</t>
  </si>
  <si>
    <t>CS2307975000000</t>
  </si>
  <si>
    <t>Brooksville town, ME</t>
  </si>
  <si>
    <t>CS2308150000000</t>
  </si>
  <si>
    <t>Brownfield town, ME</t>
  </si>
  <si>
    <t>CS2308325000000</t>
  </si>
  <si>
    <t>Brownville town, ME</t>
  </si>
  <si>
    <t>CS2308430000000</t>
  </si>
  <si>
    <t>Brunswick town, ME</t>
  </si>
  <si>
    <t>CS2308710000000</t>
  </si>
  <si>
    <t>Buckfield town, ME</t>
  </si>
  <si>
    <t>CS2308815000000</t>
  </si>
  <si>
    <t>Bucksport town, ME</t>
  </si>
  <si>
    <t>CS2309200000000</t>
  </si>
  <si>
    <t>Burlington town, ME</t>
  </si>
  <si>
    <t>CS2309270000000</t>
  </si>
  <si>
    <t>Burnham town, ME</t>
  </si>
  <si>
    <t>CS2309410000000</t>
  </si>
  <si>
    <t>Buxton town, ME</t>
  </si>
  <si>
    <t>CS2309550000000</t>
  </si>
  <si>
    <t>Byron town, ME</t>
  </si>
  <si>
    <t>CT2309585000000</t>
  </si>
  <si>
    <t>Calais city, ME</t>
  </si>
  <si>
    <t>SA2380540000000</t>
  </si>
  <si>
    <t>Calais, ME LMA</t>
  </si>
  <si>
    <t>CS2309655000000</t>
  </si>
  <si>
    <t>Cambridge town, ME</t>
  </si>
  <si>
    <t>CS2309725000000</t>
  </si>
  <si>
    <t>Camden town, ME</t>
  </si>
  <si>
    <t>CS2309935000000</t>
  </si>
  <si>
    <t>Canaan town, ME</t>
  </si>
  <si>
    <t>CS2310005000000</t>
  </si>
  <si>
    <t>Canton town, ME</t>
  </si>
  <si>
    <t>CS2310180000000</t>
  </si>
  <si>
    <t>Cape Elizabeth town, ME</t>
  </si>
  <si>
    <t>CS2310495000000</t>
  </si>
  <si>
    <t>Caratunk town, ME</t>
  </si>
  <si>
    <t>CT2310565000000</t>
  </si>
  <si>
    <t>Caribou city, ME</t>
  </si>
  <si>
    <t>CS2310670000000</t>
  </si>
  <si>
    <t>Carmel town, ME</t>
  </si>
  <si>
    <t>CS2310740000000</t>
  </si>
  <si>
    <t>Carrabassett Valley town, ME</t>
  </si>
  <si>
    <t>CS2310810000000</t>
  </si>
  <si>
    <t>Carroll plantation, ME</t>
  </si>
  <si>
    <t>CS2310915000000</t>
  </si>
  <si>
    <t>Carthage town, ME</t>
  </si>
  <si>
    <t>CS2311020000000</t>
  </si>
  <si>
    <t>Cary plantation, ME</t>
  </si>
  <si>
    <t>CS2311125000000</t>
  </si>
  <si>
    <t>Casco town, ME</t>
  </si>
  <si>
    <t>CS2311265000000</t>
  </si>
  <si>
    <t>Castine town, ME</t>
  </si>
  <si>
    <t>CS2311300000000</t>
  </si>
  <si>
    <t>Castle Hill town, ME</t>
  </si>
  <si>
    <t>CS2311335000000</t>
  </si>
  <si>
    <t>Caswell town, ME</t>
  </si>
  <si>
    <t>CS2311785000000</t>
  </si>
  <si>
    <t>Central Aroostook unorganized, ME</t>
  </si>
  <si>
    <t>CS2311800000000</t>
  </si>
  <si>
    <t>Central Hancock unorganized, ME</t>
  </si>
  <si>
    <t>CS2311820000000</t>
  </si>
  <si>
    <t>Central Somerset unorganized, ME</t>
  </si>
  <si>
    <t>CS2312000000000</t>
  </si>
  <si>
    <t>Chapman town, ME</t>
  </si>
  <si>
    <t>CS2312105000000</t>
  </si>
  <si>
    <t>Charleston town, ME</t>
  </si>
  <si>
    <t>CS2312175000000</t>
  </si>
  <si>
    <t>Charlotte town, ME</t>
  </si>
  <si>
    <t>CS2312300000000</t>
  </si>
  <si>
    <t>Chebeague Island town, ME</t>
  </si>
  <si>
    <t>CS2312350000000</t>
  </si>
  <si>
    <t>Chelsea town, ME</t>
  </si>
  <si>
    <t>CS2312455000000</t>
  </si>
  <si>
    <t>Cherryfield town, ME</t>
  </si>
  <si>
    <t>CS2312525000000</t>
  </si>
  <si>
    <t>Chester town, ME</t>
  </si>
  <si>
    <t>CS2312595000000</t>
  </si>
  <si>
    <t>Chesterville town, ME</t>
  </si>
  <si>
    <t>CS2312735000000</t>
  </si>
  <si>
    <t>China town, ME</t>
  </si>
  <si>
    <t>CS2313365000000</t>
  </si>
  <si>
    <t>Clifton town, ME</t>
  </si>
  <si>
    <t>CS2313470000000</t>
  </si>
  <si>
    <t>Clinton town, ME</t>
  </si>
  <si>
    <t>CS2313610000000</t>
  </si>
  <si>
    <t>Codyville plantation, ME</t>
  </si>
  <si>
    <t>CS2313820000000</t>
  </si>
  <si>
    <t>Columbia Falls town, ME</t>
  </si>
  <si>
    <t>CS2313750000000</t>
  </si>
  <si>
    <t>Columbia town, ME</t>
  </si>
  <si>
    <t>CS2313900000000</t>
  </si>
  <si>
    <t>Connor unorganized, ME</t>
  </si>
  <si>
    <t>SA3380740000000</t>
  </si>
  <si>
    <t>Conway, NH-ME LMA</t>
  </si>
  <si>
    <t>CS2314100000000</t>
  </si>
  <si>
    <t>Cooper town, ME</t>
  </si>
  <si>
    <t>CS2314205000000</t>
  </si>
  <si>
    <t>Coplin plantation, ME</t>
  </si>
  <si>
    <t>CS2314310000000</t>
  </si>
  <si>
    <t>Corinna town, ME</t>
  </si>
  <si>
    <t>CS2314380000000</t>
  </si>
  <si>
    <t>Corinth town, ME</t>
  </si>
  <si>
    <t>CS2314485000000</t>
  </si>
  <si>
    <t>Cornish town, ME</t>
  </si>
  <si>
    <t>CS2314555000000</t>
  </si>
  <si>
    <t>Cornville town, ME</t>
  </si>
  <si>
    <t>CS2314905000000</t>
  </si>
  <si>
    <t>Cranberry Isles town, ME</t>
  </si>
  <si>
    <t>CS2314940000000</t>
  </si>
  <si>
    <t>Crawford town, ME</t>
  </si>
  <si>
    <t>CS2315395000000</t>
  </si>
  <si>
    <t>Crystal town, ME</t>
  </si>
  <si>
    <t>CS2315430000000</t>
  </si>
  <si>
    <t>Cumberland town, ME</t>
  </si>
  <si>
    <t>CS2315780000000</t>
  </si>
  <si>
    <t>Cushing town, ME</t>
  </si>
  <si>
    <t>CS2315920000000</t>
  </si>
  <si>
    <t>Cutler town, ME</t>
  </si>
  <si>
    <t>CS2315990000000</t>
  </si>
  <si>
    <t>Cyr plantation, ME</t>
  </si>
  <si>
    <t>CS2316165000000</t>
  </si>
  <si>
    <t>Dallas plantation, ME</t>
  </si>
  <si>
    <t>CS2316235000000</t>
  </si>
  <si>
    <t>Damariscotta town, ME</t>
  </si>
  <si>
    <t>CS2316410000000</t>
  </si>
  <si>
    <t>Danforth town, ME</t>
  </si>
  <si>
    <t>CS2316725000000</t>
  </si>
  <si>
    <t>Dayton town, ME</t>
  </si>
  <si>
    <t>CS2316865000000</t>
  </si>
  <si>
    <t>Deblois town, ME</t>
  </si>
  <si>
    <t>CS2316935000000</t>
  </si>
  <si>
    <t>Dedham town, ME</t>
  </si>
  <si>
    <t>CS2317145000000</t>
  </si>
  <si>
    <t>Deer Isle town, ME</t>
  </si>
  <si>
    <t>CS2317250000000</t>
  </si>
  <si>
    <t>Denmark town, ME</t>
  </si>
  <si>
    <t>CS2317285000000</t>
  </si>
  <si>
    <t>Dennistown plantation, ME</t>
  </si>
  <si>
    <t>CS2317355000000</t>
  </si>
  <si>
    <t>Dennysville town, ME</t>
  </si>
  <si>
    <t>CS2317460000000</t>
  </si>
  <si>
    <t>Detroit town, ME</t>
  </si>
  <si>
    <t>CS2317530000000</t>
  </si>
  <si>
    <t>Dexter town, ME</t>
  </si>
  <si>
    <t>CS2317740000000</t>
  </si>
  <si>
    <t>Dixfield town, ME</t>
  </si>
  <si>
    <t>CS2317950000000</t>
  </si>
  <si>
    <t>Dixmont town, ME</t>
  </si>
  <si>
    <t>CS2318195000000</t>
  </si>
  <si>
    <t>Dover-Foxcroft town, ME</t>
  </si>
  <si>
    <t>SA2380900000000</t>
  </si>
  <si>
    <t>Dover-Foxcroft, ME LMA</t>
  </si>
  <si>
    <t>CS2318475000000</t>
  </si>
  <si>
    <t>Dresden town, ME</t>
  </si>
  <si>
    <t>CS2318580000000</t>
  </si>
  <si>
    <t>Drew plantation, ME</t>
  </si>
  <si>
    <t>CS2319105000000</t>
  </si>
  <si>
    <t>Durham town, ME</t>
  </si>
  <si>
    <t>CS2319210000000</t>
  </si>
  <si>
    <t>Dyer Brook town, ME</t>
  </si>
  <si>
    <t>CS2319420000000</t>
  </si>
  <si>
    <t>Eagle Lake town, ME</t>
  </si>
  <si>
    <t>CS2319865000000</t>
  </si>
  <si>
    <t>East Central Franklin unorganized, ME</t>
  </si>
  <si>
    <t>CS2319868000000</t>
  </si>
  <si>
    <t>East Central Penobscot unorganized, ME</t>
  </si>
  <si>
    <t>CS2319870000000</t>
  </si>
  <si>
    <t>East Central Washington unorganized, ME</t>
  </si>
  <si>
    <t>CS2320405000000</t>
  </si>
  <si>
    <t>East Hancock unorganized, ME</t>
  </si>
  <si>
    <t>CS2320960000000</t>
  </si>
  <si>
    <t>East Machias town, ME</t>
  </si>
  <si>
    <t>CS2321030000000</t>
  </si>
  <si>
    <t>East Millinocket town, ME</t>
  </si>
  <si>
    <t>CS2319770000000</t>
  </si>
  <si>
    <t>Eastbrook town, ME</t>
  </si>
  <si>
    <t>CS2321380000000</t>
  </si>
  <si>
    <t>Easton town, ME</t>
  </si>
  <si>
    <t>CT2321730000000</t>
  </si>
  <si>
    <t>Eastport city, ME</t>
  </si>
  <si>
    <t>CS2322535000000</t>
  </si>
  <si>
    <t>Eddington town, ME</t>
  </si>
  <si>
    <t>CS2322675000000</t>
  </si>
  <si>
    <t>Edgecomb town, ME</t>
  </si>
  <si>
    <t>CS2322710000000</t>
  </si>
  <si>
    <t>Edinburg town, ME</t>
  </si>
  <si>
    <t>CS2322955000000</t>
  </si>
  <si>
    <t>Eliot town, ME</t>
  </si>
  <si>
    <t>CT2323200000000</t>
  </si>
  <si>
    <t>Ellsworth city, ME</t>
  </si>
  <si>
    <t>SA2380940000000</t>
  </si>
  <si>
    <t>Ellsworth, ME LMA</t>
  </si>
  <si>
    <t>CS2323410000000</t>
  </si>
  <si>
    <t>Embden town, ME</t>
  </si>
  <si>
    <t>CS2323620000000</t>
  </si>
  <si>
    <t>Enfield town, ME</t>
  </si>
  <si>
    <t>CS2323865000000</t>
  </si>
  <si>
    <t>Etna town, ME</t>
  </si>
  <si>
    <t>CS2324005000000</t>
  </si>
  <si>
    <t>Eustis town, ME</t>
  </si>
  <si>
    <t>CS2324110000000</t>
  </si>
  <si>
    <t>Exeter town, ME</t>
  </si>
  <si>
    <t>CS2324320000000</t>
  </si>
  <si>
    <t>Fairfield town, ME</t>
  </si>
  <si>
    <t>CS2324495000000</t>
  </si>
  <si>
    <t>Falmouth town, ME</t>
  </si>
  <si>
    <t>CS2324670000000</t>
  </si>
  <si>
    <t>Farmingdale town, ME</t>
  </si>
  <si>
    <t>CS2324775000000</t>
  </si>
  <si>
    <t>Farmington town, ME</t>
  </si>
  <si>
    <t>SA2380980000000</t>
  </si>
  <si>
    <t>Farmington, ME LMA</t>
  </si>
  <si>
    <t>CS2324950000000</t>
  </si>
  <si>
    <t>Fayette town, ME</t>
  </si>
  <si>
    <t>CS2325615000000</t>
  </si>
  <si>
    <t>Fort Fairfield town, ME</t>
  </si>
  <si>
    <t>CS2325755000000</t>
  </si>
  <si>
    <t>Fort Kent town, ME</t>
  </si>
  <si>
    <t>CS2326280000000</t>
  </si>
  <si>
    <t>Frankfort town, ME</t>
  </si>
  <si>
    <t>CS2326350000000</t>
  </si>
  <si>
    <t>Franklin town, ME</t>
  </si>
  <si>
    <t>CS2326420000000</t>
  </si>
  <si>
    <t>Freedom town, ME</t>
  </si>
  <si>
    <t>CS2326525000000</t>
  </si>
  <si>
    <t>Freeport town, ME</t>
  </si>
  <si>
    <t>CS2326595000000</t>
  </si>
  <si>
    <t>Frenchboro town, ME</t>
  </si>
  <si>
    <t>CS2326735000000</t>
  </si>
  <si>
    <t>Frenchville town, ME</t>
  </si>
  <si>
    <t>CS2326805000000</t>
  </si>
  <si>
    <t>Friendship town, ME</t>
  </si>
  <si>
    <t>CS2327025000000</t>
  </si>
  <si>
    <t>Frye Island town, ME</t>
  </si>
  <si>
    <t>CS2326910000000</t>
  </si>
  <si>
    <t>Fryeburg town, ME</t>
  </si>
  <si>
    <t>CT2327085000000</t>
  </si>
  <si>
    <t>Gardiner city, ME</t>
  </si>
  <si>
    <t>CS2327120000000</t>
  </si>
  <si>
    <t>Garfield plantation, ME</t>
  </si>
  <si>
    <t>CS2327190000000</t>
  </si>
  <si>
    <t>Garland town, ME</t>
  </si>
  <si>
    <t>CS2327295000000</t>
  </si>
  <si>
    <t>Georgetown town, ME</t>
  </si>
  <si>
    <t>CS2327505000000</t>
  </si>
  <si>
    <t>Gilead town, ME</t>
  </si>
  <si>
    <t>CS2327645000000</t>
  </si>
  <si>
    <t>Glenburn town, ME</t>
  </si>
  <si>
    <t>CS2327855000000</t>
  </si>
  <si>
    <t>Glenwood plantation, ME</t>
  </si>
  <si>
    <t>CS2328240000000</t>
  </si>
  <si>
    <t>Gorham town, ME</t>
  </si>
  <si>
    <t>CS2328450000000</t>
  </si>
  <si>
    <t>Gouldsboro town, ME</t>
  </si>
  <si>
    <t>CS2328590000000</t>
  </si>
  <si>
    <t>Grand Isle town, ME</t>
  </si>
  <si>
    <t>CS2328660000000</t>
  </si>
  <si>
    <t>Grand Lake Stream plantation, ME</t>
  </si>
  <si>
    <t>CS2328870000000</t>
  </si>
  <si>
    <t>Gray town, ME</t>
  </si>
  <si>
    <t>CS2328975000000</t>
  </si>
  <si>
    <t>Great Pond town, ME</t>
  </si>
  <si>
    <t>CS2329185000000</t>
  </si>
  <si>
    <t>Greenbush town, ME</t>
  </si>
  <si>
    <t>CS2329255000000</t>
  </si>
  <si>
    <t>Greene town, ME</t>
  </si>
  <si>
    <t>CS2329535000000</t>
  </si>
  <si>
    <t>Greenville town, ME</t>
  </si>
  <si>
    <t>CS2329710000000</t>
  </si>
  <si>
    <t>Greenwood town, ME</t>
  </si>
  <si>
    <t>CS2330095000000</t>
  </si>
  <si>
    <t>Guilford town, ME</t>
  </si>
  <si>
    <t>CT2330550000000</t>
  </si>
  <si>
    <t>Hallowell city, ME</t>
  </si>
  <si>
    <t>CS2330690000000</t>
  </si>
  <si>
    <t>Hamlin town, ME</t>
  </si>
  <si>
    <t>CS2330725000000</t>
  </si>
  <si>
    <t>Hammond town, ME</t>
  </si>
  <si>
    <t>CS2330795000000</t>
  </si>
  <si>
    <t>Hampden town, ME</t>
  </si>
  <si>
    <t>CS2330970000000</t>
  </si>
  <si>
    <t>Hancock town, ME</t>
  </si>
  <si>
    <t>CS2331110000000</t>
  </si>
  <si>
    <t>Hanover town, ME</t>
  </si>
  <si>
    <t>CS2331355000000</t>
  </si>
  <si>
    <t>Harmony town, ME</t>
  </si>
  <si>
    <t>CS2331390000000</t>
  </si>
  <si>
    <t>Harpswell town, ME</t>
  </si>
  <si>
    <t>CS2331530000000</t>
  </si>
  <si>
    <t>Harrington town, ME</t>
  </si>
  <si>
    <t>CS2331600000000</t>
  </si>
  <si>
    <t>Harrison town, ME</t>
  </si>
  <si>
    <t>CS2331670000000</t>
  </si>
  <si>
    <t>Hartford town, ME</t>
  </si>
  <si>
    <t>CS2331740000000</t>
  </si>
  <si>
    <t>Hartland town, ME</t>
  </si>
  <si>
    <t>CS2332195000000</t>
  </si>
  <si>
    <t>Haynesville town, ME</t>
  </si>
  <si>
    <t>CS2332370000000</t>
  </si>
  <si>
    <t>Hebron town, ME</t>
  </si>
  <si>
    <t>CS2332510000000</t>
  </si>
  <si>
    <t>Hermon town, ME</t>
  </si>
  <si>
    <t>CS2332685000000</t>
  </si>
  <si>
    <t>Hersey town, ME</t>
  </si>
  <si>
    <t>CS2332715000000</t>
  </si>
  <si>
    <t>Hibberts gore, ME</t>
  </si>
  <si>
    <t>CS2332895000000</t>
  </si>
  <si>
    <t>Highland plantation, ME</t>
  </si>
  <si>
    <t>CS2333315000000</t>
  </si>
  <si>
    <t>Hiram town, ME</t>
  </si>
  <si>
    <t>CS2333385000000</t>
  </si>
  <si>
    <t>Hodgdon town, ME</t>
  </si>
  <si>
    <t>CS2333490000000</t>
  </si>
  <si>
    <t>Holden town, ME</t>
  </si>
  <si>
    <t>CS2333665000000</t>
  </si>
  <si>
    <t>Hollis town, ME</t>
  </si>
  <si>
    <t>CS2333840000000</t>
  </si>
  <si>
    <t>Hope town, ME</t>
  </si>
  <si>
    <t>CS2333980000000</t>
  </si>
  <si>
    <t>Houlton town, ME</t>
  </si>
  <si>
    <t>SA2381420000000</t>
  </si>
  <si>
    <t>Houlton, ME LMA</t>
  </si>
  <si>
    <t>CS2334190000000</t>
  </si>
  <si>
    <t>Howland town, ME</t>
  </si>
  <si>
    <t>CS2334365000000</t>
  </si>
  <si>
    <t>Hudson town, ME</t>
  </si>
  <si>
    <t>CS2334820000000</t>
  </si>
  <si>
    <t>Industry town, ME</t>
  </si>
  <si>
    <t>CS2335065000000</t>
  </si>
  <si>
    <t>Island Falls town, ME</t>
  </si>
  <si>
    <t>CS2335135000000</t>
  </si>
  <si>
    <t>Isle au Haut town, ME</t>
  </si>
  <si>
    <t>CS2335240000000</t>
  </si>
  <si>
    <t>Islesboro town, ME</t>
  </si>
  <si>
    <t>CS2335345000000</t>
  </si>
  <si>
    <t>Jackman town, ME</t>
  </si>
  <si>
    <t>CS2335450000000</t>
  </si>
  <si>
    <t>Jackson town, ME</t>
  </si>
  <si>
    <t>CS2335625000000</t>
  </si>
  <si>
    <t>Jay town, ME</t>
  </si>
  <si>
    <t>CS2335695000000</t>
  </si>
  <si>
    <t>Jefferson town, ME</t>
  </si>
  <si>
    <t>CS2335905000000</t>
  </si>
  <si>
    <t>Jonesboro town, ME</t>
  </si>
  <si>
    <t>CS2336010000000</t>
  </si>
  <si>
    <t>Jonesport town, ME</t>
  </si>
  <si>
    <t>CS2336325000000</t>
  </si>
  <si>
    <t>Kenduskeag town, ME</t>
  </si>
  <si>
    <t>CS2336535000000</t>
  </si>
  <si>
    <t>Kennebunk town, ME</t>
  </si>
  <si>
    <t>CS2336745000000</t>
  </si>
  <si>
    <t>Kennebunkport town, ME</t>
  </si>
  <si>
    <t>CS2337025000000</t>
  </si>
  <si>
    <t>Kingfield town, ME</t>
  </si>
  <si>
    <t>CS2337075000000</t>
  </si>
  <si>
    <t>Kingman unorganized, ME</t>
  </si>
  <si>
    <t>CS2337095000000</t>
  </si>
  <si>
    <t>Kingsbury plantation, ME</t>
  </si>
  <si>
    <t>CS2337270000000</t>
  </si>
  <si>
    <t>Kittery town, ME</t>
  </si>
  <si>
    <t>CS2337585000000</t>
  </si>
  <si>
    <t>Knox town, ME</t>
  </si>
  <si>
    <t>CS2337760000000</t>
  </si>
  <si>
    <t>Lagrange town, ME</t>
  </si>
  <si>
    <t>CS2337970000000</t>
  </si>
  <si>
    <t>Lake View plantation, ME</t>
  </si>
  <si>
    <t>CS2338005000000</t>
  </si>
  <si>
    <t>Lakeville town, ME</t>
  </si>
  <si>
    <t>CS2338180000000</t>
  </si>
  <si>
    <t>Lamoine town, ME</t>
  </si>
  <si>
    <t>CS2338425000000</t>
  </si>
  <si>
    <t>Lebanon town, ME</t>
  </si>
  <si>
    <t>CS2338530000000</t>
  </si>
  <si>
    <t>Lee town, ME</t>
  </si>
  <si>
    <t>CS2338565000000</t>
  </si>
  <si>
    <t>Leeds town, ME</t>
  </si>
  <si>
    <t>CS2338705000000</t>
  </si>
  <si>
    <t>Levant town, ME</t>
  </si>
  <si>
    <t>CT2338740000000</t>
  </si>
  <si>
    <t>Lewiston city, ME</t>
  </si>
  <si>
    <t>CS2339055000000</t>
  </si>
  <si>
    <t>Liberty town, ME</t>
  </si>
  <si>
    <t>CS2339195000000</t>
  </si>
  <si>
    <t>Limerick town, ME</t>
  </si>
  <si>
    <t>CS2339300000000</t>
  </si>
  <si>
    <t>Limestone town, ME</t>
  </si>
  <si>
    <t>CS2339405000000</t>
  </si>
  <si>
    <t>Limington town, ME</t>
  </si>
  <si>
    <t>CS2339422000000</t>
  </si>
  <si>
    <t>Lincoln plantation, ME</t>
  </si>
  <si>
    <t>CS2339475000000</t>
  </si>
  <si>
    <t>Lincoln town, ME</t>
  </si>
  <si>
    <t>SA2381540000000</t>
  </si>
  <si>
    <t>Lincoln, ME LMA</t>
  </si>
  <si>
    <t>CS2339755000000</t>
  </si>
  <si>
    <t>Lincolnville town, ME</t>
  </si>
  <si>
    <t>CS2339965000000</t>
  </si>
  <si>
    <t>Linneus town, ME</t>
  </si>
  <si>
    <t>CS2340035000000</t>
  </si>
  <si>
    <t>Lisbon town, ME</t>
  </si>
  <si>
    <t>CS2340175000000</t>
  </si>
  <si>
    <t>Litchfield town, ME</t>
  </si>
  <si>
    <t>CS2340595000000</t>
  </si>
  <si>
    <t>Littleton town, ME</t>
  </si>
  <si>
    <t>CS2340770000000</t>
  </si>
  <si>
    <t>Livermore Falls town, ME</t>
  </si>
  <si>
    <t>CS2340665000000</t>
  </si>
  <si>
    <t>Livermore town, ME</t>
  </si>
  <si>
    <t>CS2341067000000</t>
  </si>
  <si>
    <t>Long Island town, ME</t>
  </si>
  <si>
    <t>CS2341365000000</t>
  </si>
  <si>
    <t>Lovell town, ME</t>
  </si>
  <si>
    <t>CS2341435000000</t>
  </si>
  <si>
    <t>Lowell town, ME</t>
  </si>
  <si>
    <t>CS2341610000000</t>
  </si>
  <si>
    <t>Lubec town, ME</t>
  </si>
  <si>
    <t>CS2341715000000</t>
  </si>
  <si>
    <t>Ludlow town, ME</t>
  </si>
  <si>
    <t>CS2341750000000</t>
  </si>
  <si>
    <t>Lyman town, ME</t>
  </si>
  <si>
    <t>CS2341960000000</t>
  </si>
  <si>
    <t>Machias town, ME</t>
  </si>
  <si>
    <t>SA2381660000000</t>
  </si>
  <si>
    <t>Machias, ME LMA</t>
  </si>
  <si>
    <t>CS2342100000000</t>
  </si>
  <si>
    <t>Machiasport town, ME</t>
  </si>
  <si>
    <t>CS2342450000000</t>
  </si>
  <si>
    <t>Macwahoc plantation, ME</t>
  </si>
  <si>
    <t>CS2342520000000</t>
  </si>
  <si>
    <t>Madawaska town, ME</t>
  </si>
  <si>
    <t>SA2381700000000</t>
  </si>
  <si>
    <t>Madawaska, ME LMA</t>
  </si>
  <si>
    <t>CS2342660000000</t>
  </si>
  <si>
    <t>Madison town, ME</t>
  </si>
  <si>
    <t>CS2342835000000</t>
  </si>
  <si>
    <t>Magalloway plantation, ME</t>
  </si>
  <si>
    <t>CS2343080000000</t>
  </si>
  <si>
    <t>Manchester town, ME</t>
  </si>
  <si>
    <t>CS2343255000000</t>
  </si>
  <si>
    <t>Mapleton town, ME</t>
  </si>
  <si>
    <t>CS2343430000000</t>
  </si>
  <si>
    <t>Mariaville town, ME</t>
  </si>
  <si>
    <t>CS2343710000000</t>
  </si>
  <si>
    <t>Mars Hill town, ME</t>
  </si>
  <si>
    <t>CS2343640000000</t>
  </si>
  <si>
    <t>Marshfield town, ME</t>
  </si>
  <si>
    <t>CS2343990000000</t>
  </si>
  <si>
    <t>Masardis town, ME</t>
  </si>
  <si>
    <t>CS2344165000000</t>
  </si>
  <si>
    <t>Matinicus Isle plantation, ME</t>
  </si>
  <si>
    <t>CS2344270000000</t>
  </si>
  <si>
    <t>Mattawamkeag town, ME</t>
  </si>
  <si>
    <t>CS2344340000000</t>
  </si>
  <si>
    <t>Maxfield town, ME</t>
  </si>
  <si>
    <t>CS2344585000000</t>
  </si>
  <si>
    <t>Mechanic Falls town, ME</t>
  </si>
  <si>
    <t>CS2344760000000</t>
  </si>
  <si>
    <t>Meddybemps town, ME</t>
  </si>
  <si>
    <t>CS2344830000000</t>
  </si>
  <si>
    <t>Medford town, ME</t>
  </si>
  <si>
    <t>CS2345005000000</t>
  </si>
  <si>
    <t>Medway town, ME</t>
  </si>
  <si>
    <t>CS2345110000000</t>
  </si>
  <si>
    <t>Mercer town, ME</t>
  </si>
  <si>
    <t>CS2345180000000</t>
  </si>
  <si>
    <t>Merrill town, ME</t>
  </si>
  <si>
    <t>CS2345285000000</t>
  </si>
  <si>
    <t>Mexico town, ME</t>
  </si>
  <si>
    <t>CS2345600000000</t>
  </si>
  <si>
    <t>Milbridge town, ME</t>
  </si>
  <si>
    <t>CS2345670000000</t>
  </si>
  <si>
    <t>Milford town, ME</t>
  </si>
  <si>
    <t>CS2345810000000</t>
  </si>
  <si>
    <t>Millinocket town, ME</t>
  </si>
  <si>
    <t>SA2381860000000</t>
  </si>
  <si>
    <t>Millinocket, ME LMA</t>
  </si>
  <si>
    <t>CS2346020000000</t>
  </si>
  <si>
    <t>Milo town, ME</t>
  </si>
  <si>
    <t>CS2346105000000</t>
  </si>
  <si>
    <t>Milton unorganized, ME</t>
  </si>
  <si>
    <t>CS2346160000000</t>
  </si>
  <si>
    <t>Minot town, ME</t>
  </si>
  <si>
    <t>CS2346335000000</t>
  </si>
  <si>
    <t>Monhegan plantation, ME</t>
  </si>
  <si>
    <t>CS2346405000000</t>
  </si>
  <si>
    <t>Monmouth town, ME</t>
  </si>
  <si>
    <t>CS2346475000000</t>
  </si>
  <si>
    <t>Monroe town, ME</t>
  </si>
  <si>
    <t>CS2346580000000</t>
  </si>
  <si>
    <t>Monson town, ME</t>
  </si>
  <si>
    <t>CS2346685000000</t>
  </si>
  <si>
    <t>Monticello town, ME</t>
  </si>
  <si>
    <t>CS2346790000000</t>
  </si>
  <si>
    <t>Montville town, ME</t>
  </si>
  <si>
    <t>CS2347140000000</t>
  </si>
  <si>
    <t>Moose River town, ME</t>
  </si>
  <si>
    <t>CS2347175000000</t>
  </si>
  <si>
    <t>Moro plantation, ME</t>
  </si>
  <si>
    <t>CS2347245000000</t>
  </si>
  <si>
    <t>Morrill town, ME</t>
  </si>
  <si>
    <t>CS2347455000000</t>
  </si>
  <si>
    <t>Moscow town, ME</t>
  </si>
  <si>
    <t>CS2347560000000</t>
  </si>
  <si>
    <t>Mount Chase town, ME</t>
  </si>
  <si>
    <t>CS2347630000000</t>
  </si>
  <si>
    <t>Mount Desert town, ME</t>
  </si>
  <si>
    <t>CS2347770000000</t>
  </si>
  <si>
    <t>Mount Vernon town, ME</t>
  </si>
  <si>
    <t>CS2348085000000</t>
  </si>
  <si>
    <t>Naples town, ME</t>
  </si>
  <si>
    <t>CS2348120000000</t>
  </si>
  <si>
    <t>Nashville plantation, ME</t>
  </si>
  <si>
    <t>CS2348575000000</t>
  </si>
  <si>
    <t>New Canada town, ME</t>
  </si>
  <si>
    <t>CS2348820000000</t>
  </si>
  <si>
    <t>New Gloucester town, ME</t>
  </si>
  <si>
    <t>CS2348960000000</t>
  </si>
  <si>
    <t>New Limerick town, ME</t>
  </si>
  <si>
    <t>CS2349205000000</t>
  </si>
  <si>
    <t>New Portland town, ME</t>
  </si>
  <si>
    <t>CS2349345000000</t>
  </si>
  <si>
    <t>New Sharon town, ME</t>
  </si>
  <si>
    <t>CS2349415000000</t>
  </si>
  <si>
    <t>New Sweden town, ME</t>
  </si>
  <si>
    <t>CS2349520000000</t>
  </si>
  <si>
    <t>New Vineyard town, ME</t>
  </si>
  <si>
    <t>CS2348505000000</t>
  </si>
  <si>
    <t>Newburgh town, ME</t>
  </si>
  <si>
    <t>CS2348645000000</t>
  </si>
  <si>
    <t>Newcastle town, ME</t>
  </si>
  <si>
    <t>CS2348750000000</t>
  </si>
  <si>
    <t>Newfield town, ME</t>
  </si>
  <si>
    <t>CS2349065000000</t>
  </si>
  <si>
    <t>Newport town, ME</t>
  </si>
  <si>
    <t>CS2349275000000</t>
  </si>
  <si>
    <t>Newry town, ME</t>
  </si>
  <si>
    <t>CS2349660000000</t>
  </si>
  <si>
    <t>Nobleboro town, ME</t>
  </si>
  <si>
    <t>CS2349835000000</t>
  </si>
  <si>
    <t>Norridgewock town, ME</t>
  </si>
  <si>
    <t>CS2350325000000</t>
  </si>
  <si>
    <t>North Berwick town, ME</t>
  </si>
  <si>
    <t>CS2351400000000</t>
  </si>
  <si>
    <t>North Franklin unorganized, ME</t>
  </si>
  <si>
    <t>CS2351620000000</t>
  </si>
  <si>
    <t>North Haven town, ME</t>
  </si>
  <si>
    <t>CS2352575000000</t>
  </si>
  <si>
    <t>North Oxford unorganized, ME</t>
  </si>
  <si>
    <t>CS2352710000000</t>
  </si>
  <si>
    <t>North Penobscot unorganized, ME</t>
  </si>
  <si>
    <t>CS2353500000000</t>
  </si>
  <si>
    <t>North Washington unorganized, ME</t>
  </si>
  <si>
    <t>CS2353860000000</t>
  </si>
  <si>
    <t>North Yarmouth town, ME</t>
  </si>
  <si>
    <t>CS2351105000000</t>
  </si>
  <si>
    <t>Northeast Piscataquis unorganized, ME</t>
  </si>
  <si>
    <t>CS2351114000000</t>
  </si>
  <si>
    <t>Northeast Somerset unorganized, ME</t>
  </si>
  <si>
    <t>CS2351375000000</t>
  </si>
  <si>
    <t>Northfield town, ME</t>
  </si>
  <si>
    <t>CS2352845000000</t>
  </si>
  <si>
    <t>Northport town, ME</t>
  </si>
  <si>
    <t>CS2353602000000</t>
  </si>
  <si>
    <t>Northwest Aroostook unorganized, ME</t>
  </si>
  <si>
    <t>CS2353620000000</t>
  </si>
  <si>
    <t>Northwest Hancock unorganized, ME</t>
  </si>
  <si>
    <t>CS2353628000000</t>
  </si>
  <si>
    <t>Northwest Piscataquis unorganized, ME</t>
  </si>
  <si>
    <t>CS2353636000000</t>
  </si>
  <si>
    <t>Northwest Somerset unorganized, ME</t>
  </si>
  <si>
    <t>CS2354000000000</t>
  </si>
  <si>
    <t>Norway town, ME</t>
  </si>
  <si>
    <t>CS2354385000000</t>
  </si>
  <si>
    <t>Oakfield town, ME</t>
  </si>
  <si>
    <t>CS2354560000000</t>
  </si>
  <si>
    <t>Oakland town, ME</t>
  </si>
  <si>
    <t>CS2354980000000</t>
  </si>
  <si>
    <t>Ogunquit town, ME</t>
  </si>
  <si>
    <t>CS2355085000000</t>
  </si>
  <si>
    <t>Old Orchard Beach town, ME</t>
  </si>
  <si>
    <t>CT2355225000000</t>
  </si>
  <si>
    <t>Old Town city, ME</t>
  </si>
  <si>
    <t>CS2355435000000</t>
  </si>
  <si>
    <t>Orient town, ME</t>
  </si>
  <si>
    <t>CS2355505000000</t>
  </si>
  <si>
    <t>Orland town, ME</t>
  </si>
  <si>
    <t>CS2355565000000</t>
  </si>
  <si>
    <t>Orono town, ME</t>
  </si>
  <si>
    <t>CS2355680000000</t>
  </si>
  <si>
    <t>Orrington town, ME</t>
  </si>
  <si>
    <t>CS2355855000000</t>
  </si>
  <si>
    <t>Osborn town, ME</t>
  </si>
  <si>
    <t>CS2355890000000</t>
  </si>
  <si>
    <t>Otis town, ME</t>
  </si>
  <si>
    <t>CS2355960000000</t>
  </si>
  <si>
    <t>Otisfield town, ME</t>
  </si>
  <si>
    <t>CS2356135000000</t>
  </si>
  <si>
    <t>Owls Head town, ME</t>
  </si>
  <si>
    <t>CS2356205000000</t>
  </si>
  <si>
    <t>Oxbow plantation, ME</t>
  </si>
  <si>
    <t>CS2356310000000</t>
  </si>
  <si>
    <t>Oxford town, ME</t>
  </si>
  <si>
    <t>CS2356450000000</t>
  </si>
  <si>
    <t>Palermo town, ME</t>
  </si>
  <si>
    <t>CS2356520000000</t>
  </si>
  <si>
    <t>Palmyra town, ME</t>
  </si>
  <si>
    <t>CS2356625000000</t>
  </si>
  <si>
    <t>Paris town, ME</t>
  </si>
  <si>
    <t>CS2356765000000</t>
  </si>
  <si>
    <t>Parkman town, ME</t>
  </si>
  <si>
    <t>CS2356870000000</t>
  </si>
  <si>
    <t>Parsonsfield town, ME</t>
  </si>
  <si>
    <t>CS2357045000000</t>
  </si>
  <si>
    <t>Passadumkeag town, ME</t>
  </si>
  <si>
    <t>CS2357082000000</t>
  </si>
  <si>
    <t>Passamaquoddy Indian Township Reservation, ME</t>
  </si>
  <si>
    <t>CS2357090000000</t>
  </si>
  <si>
    <t>Passamaquoddy Pleasant Point Reservation, ME</t>
  </si>
  <si>
    <t>CS2357150000000</t>
  </si>
  <si>
    <t>Patten town, ME</t>
  </si>
  <si>
    <t>CS2357780000000</t>
  </si>
  <si>
    <t>Pembroke town, ME</t>
  </si>
  <si>
    <t>CS2357936000000</t>
  </si>
  <si>
    <t>Penobscot Indian Island Reservation, ME</t>
  </si>
  <si>
    <t>CS2357920000000</t>
  </si>
  <si>
    <t>Penobscot town, ME</t>
  </si>
  <si>
    <t>CS2358060000000</t>
  </si>
  <si>
    <t>Perham town, ME</t>
  </si>
  <si>
    <t>CS2358165000000</t>
  </si>
  <si>
    <t>Perry town, ME</t>
  </si>
  <si>
    <t>CS2358270000000</t>
  </si>
  <si>
    <t>Peru town, ME</t>
  </si>
  <si>
    <t>CS2358445000000</t>
  </si>
  <si>
    <t>Phillips town, ME</t>
  </si>
  <si>
    <t>CS2358515000000</t>
  </si>
  <si>
    <t>Phippsburg town, ME</t>
  </si>
  <si>
    <t>CS2359005000000</t>
  </si>
  <si>
    <t>Pittsfield town, ME</t>
  </si>
  <si>
    <t>SA2382260000000</t>
  </si>
  <si>
    <t>Pittsfield, ME LMA</t>
  </si>
  <si>
    <t>CS2359110000000</t>
  </si>
  <si>
    <t>Pittston town, ME</t>
  </si>
  <si>
    <t>CS2359705000000</t>
  </si>
  <si>
    <t>Pleasant Ridge plantation, ME</t>
  </si>
  <si>
    <t>CS2359950000000</t>
  </si>
  <si>
    <t>Plymouth town, ME</t>
  </si>
  <si>
    <t>CS2360020000000</t>
  </si>
  <si>
    <t>Poland town, ME</t>
  </si>
  <si>
    <t>CS2360300000000</t>
  </si>
  <si>
    <t>Portage Lake town, ME</t>
  </si>
  <si>
    <t>CS2360405000000</t>
  </si>
  <si>
    <t>Porter town, ME</t>
  </si>
  <si>
    <t>CT2360545000000</t>
  </si>
  <si>
    <t>Portland city, ME</t>
  </si>
  <si>
    <t>CS2360685000000</t>
  </si>
  <si>
    <t>Pownal town, ME</t>
  </si>
  <si>
    <t>CS2360790000000</t>
  </si>
  <si>
    <t>Prentiss unorganized, ME</t>
  </si>
  <si>
    <t>CT2360825000000</t>
  </si>
  <si>
    <t>Presque Isle city, ME</t>
  </si>
  <si>
    <t>SA2382340000000</t>
  </si>
  <si>
    <t>Presque Isle, ME LMA</t>
  </si>
  <si>
    <t>CS2361035000000</t>
  </si>
  <si>
    <t>Princeton town, ME</t>
  </si>
  <si>
    <t>CS2361210000000</t>
  </si>
  <si>
    <t>Prospect town, ME</t>
  </si>
  <si>
    <t>CS2361700000000</t>
  </si>
  <si>
    <t>Randolph town, ME</t>
  </si>
  <si>
    <t>CS2361875000000</t>
  </si>
  <si>
    <t>Rangeley plantation, ME</t>
  </si>
  <si>
    <t>CS2361840000000</t>
  </si>
  <si>
    <t>Rangeley town, ME</t>
  </si>
  <si>
    <t>CS2361945000000</t>
  </si>
  <si>
    <t>Raymond town, ME</t>
  </si>
  <si>
    <t>CS2362190000000</t>
  </si>
  <si>
    <t>Readfield town, ME</t>
  </si>
  <si>
    <t>CS2362400000000</t>
  </si>
  <si>
    <t>Reed plantation, ME</t>
  </si>
  <si>
    <t>CS2362645000000</t>
  </si>
  <si>
    <t>Richmond town, ME</t>
  </si>
  <si>
    <t>CS2362995000000</t>
  </si>
  <si>
    <t>Ripley town, ME</t>
  </si>
  <si>
    <t>CS2363275000000</t>
  </si>
  <si>
    <t>Robbinston town, ME</t>
  </si>
  <si>
    <t>CT2363590000000</t>
  </si>
  <si>
    <t>Rockland city, ME</t>
  </si>
  <si>
    <t>SA2382580000000</t>
  </si>
  <si>
    <t>Rockland-Camden, ME LMA</t>
  </si>
  <si>
    <t>CS2363660000000</t>
  </si>
  <si>
    <t>Rockport town, ME</t>
  </si>
  <si>
    <t>CS2363835000000</t>
  </si>
  <si>
    <t>Rome town, ME</t>
  </si>
  <si>
    <t>CS2363940000000</t>
  </si>
  <si>
    <t>Roque Bluffs town, ME</t>
  </si>
  <si>
    <t>CS2364185000000</t>
  </si>
  <si>
    <t>Roxbury town, ME</t>
  </si>
  <si>
    <t>CS2364290000000</t>
  </si>
  <si>
    <t>Rumford town, ME</t>
  </si>
  <si>
    <t>SA2382620000000</t>
  </si>
  <si>
    <t>Rumford, ME LMA</t>
  </si>
  <si>
    <t>CS2364570000000</t>
  </si>
  <si>
    <t>Sabattus town, ME</t>
  </si>
  <si>
    <t>CT2364675000000</t>
  </si>
  <si>
    <t>Saco city, ME</t>
  </si>
  <si>
    <t>CS2365655000000</t>
  </si>
  <si>
    <t>Sandy River plantation, ME</t>
  </si>
  <si>
    <t>CT2365725000000</t>
  </si>
  <si>
    <t>Sanford city, ME</t>
  </si>
  <si>
    <t>CS2365865000000</t>
  </si>
  <si>
    <t>Sangerville town, ME</t>
  </si>
  <si>
    <t>CS2366145000000</t>
  </si>
  <si>
    <t>Scarborough town, ME</t>
  </si>
  <si>
    <t>CS2366565000000</t>
  </si>
  <si>
    <t>Searsmont town, ME</t>
  </si>
  <si>
    <t>CS2366635000000</t>
  </si>
  <si>
    <t>Searsport town, ME</t>
  </si>
  <si>
    <t>CS2366775000000</t>
  </si>
  <si>
    <t>Sebago town, ME</t>
  </si>
  <si>
    <t>CS2366950000000</t>
  </si>
  <si>
    <t>Sebec town, ME</t>
  </si>
  <si>
    <t>CS2367160000000</t>
  </si>
  <si>
    <t>Seboeis plantation, ME</t>
  </si>
  <si>
    <t>CS2367238000000</t>
  </si>
  <si>
    <t>Seboomook Lake unorganized, ME</t>
  </si>
  <si>
    <t>CS2367300000000</t>
  </si>
  <si>
    <t>Sedgwick town, ME</t>
  </si>
  <si>
    <t>CS2367475000000</t>
  </si>
  <si>
    <t>Shapleigh town, ME</t>
  </si>
  <si>
    <t>CS2367790000000</t>
  </si>
  <si>
    <t>Sherman town, ME</t>
  </si>
  <si>
    <t>CS2368140000000</t>
  </si>
  <si>
    <t>Shirley town, ME</t>
  </si>
  <si>
    <t>CS2368385000000</t>
  </si>
  <si>
    <t>Sidney town, ME</t>
  </si>
  <si>
    <t>CS2368910000000</t>
  </si>
  <si>
    <t>Skowhegan town, ME</t>
  </si>
  <si>
    <t>SA2382700000000</t>
  </si>
  <si>
    <t>Skowhegan, ME LMA</t>
  </si>
  <si>
    <t>CS2369155000000</t>
  </si>
  <si>
    <t>Smithfield town, ME</t>
  </si>
  <si>
    <t>CS2369260000000</t>
  </si>
  <si>
    <t>Smyrna town, ME</t>
  </si>
  <si>
    <t>CS2369505000000</t>
  </si>
  <si>
    <t>Solon town, ME</t>
  </si>
  <si>
    <t>CS2369645000000</t>
  </si>
  <si>
    <t>Somerville town, ME</t>
  </si>
  <si>
    <t>CS2369750000000</t>
  </si>
  <si>
    <t>Sorrento town, ME</t>
  </si>
  <si>
    <t>CS2369930000000</t>
  </si>
  <si>
    <t>South Aroostook unorganized, ME</t>
  </si>
  <si>
    <t>CS2370030000000</t>
  </si>
  <si>
    <t>South Berwick town, ME</t>
  </si>
  <si>
    <t>CS2370240000000</t>
  </si>
  <si>
    <t>South Bristol town, ME</t>
  </si>
  <si>
    <t>CS2370760000000</t>
  </si>
  <si>
    <t>South Franklin unorganized, ME</t>
  </si>
  <si>
    <t>CS2371755000000</t>
  </si>
  <si>
    <t>South Oxford unorganized, ME</t>
  </si>
  <si>
    <t>CT2371990000000</t>
  </si>
  <si>
    <t>South Portland city, ME</t>
  </si>
  <si>
    <t>CS2372585000000</t>
  </si>
  <si>
    <t>South Thomaston town, ME</t>
  </si>
  <si>
    <t>CS2370655000000</t>
  </si>
  <si>
    <t>Southeast Piscataquis unorganized, ME</t>
  </si>
  <si>
    <t>CS2371955000000</t>
  </si>
  <si>
    <t>Southport town, ME</t>
  </si>
  <si>
    <t>CS2372865000000</t>
  </si>
  <si>
    <t>Southwest Harbor town, ME</t>
  </si>
  <si>
    <t>CS2373250000000</t>
  </si>
  <si>
    <t>Springfield town, ME</t>
  </si>
  <si>
    <t>CS2373472000000</t>
  </si>
  <si>
    <t>Square Lake unorganized, ME</t>
  </si>
  <si>
    <t>CS2364780000000</t>
  </si>
  <si>
    <t>St. Agatha town, ME</t>
  </si>
  <si>
    <t>CS2364850000000</t>
  </si>
  <si>
    <t>St. Albans town, ME</t>
  </si>
  <si>
    <t>CS2365025000000</t>
  </si>
  <si>
    <t>St. Francis town, ME</t>
  </si>
  <si>
    <t>CS2365130000000</t>
  </si>
  <si>
    <t>St. George town, ME</t>
  </si>
  <si>
    <t>CS2365200000000</t>
  </si>
  <si>
    <t>St. John plantation, ME</t>
  </si>
  <si>
    <t>CS2373600000000</t>
  </si>
  <si>
    <t>Stacyville town, ME</t>
  </si>
  <si>
    <t>CS2373670000000</t>
  </si>
  <si>
    <t>Standish town, ME</t>
  </si>
  <si>
    <t>CS2373845000000</t>
  </si>
  <si>
    <t>Starks town, ME</t>
  </si>
  <si>
    <t>CS2374055000000</t>
  </si>
  <si>
    <t>Stetson town, ME</t>
  </si>
  <si>
    <t>CS2374125000000</t>
  </si>
  <si>
    <t>Steuben town, ME</t>
  </si>
  <si>
    <t>CS2374405000000</t>
  </si>
  <si>
    <t>Stockholm town, ME</t>
  </si>
  <si>
    <t>CS2374475000000</t>
  </si>
  <si>
    <t>Stockton Springs town, ME</t>
  </si>
  <si>
    <t>CS2374510000000</t>
  </si>
  <si>
    <t>Stoneham town, ME</t>
  </si>
  <si>
    <t>CS2374580000000</t>
  </si>
  <si>
    <t>Stonington town, ME</t>
  </si>
  <si>
    <t>CS2374685000000</t>
  </si>
  <si>
    <t>Stow town, ME</t>
  </si>
  <si>
    <t>CS2374825000000</t>
  </si>
  <si>
    <t>Strong town, ME</t>
  </si>
  <si>
    <t>CS2374965000000</t>
  </si>
  <si>
    <t>Sullivan town, ME</t>
  </si>
  <si>
    <t>CS2375035000000</t>
  </si>
  <si>
    <t>Sumner town, ME</t>
  </si>
  <si>
    <t>CS2375280000000</t>
  </si>
  <si>
    <t>Surry town, ME</t>
  </si>
  <si>
    <t>CS2375455000000</t>
  </si>
  <si>
    <t>Swans Island town, ME</t>
  </si>
  <si>
    <t>CS2375525000000</t>
  </si>
  <si>
    <t>Swanville town, ME</t>
  </si>
  <si>
    <t>CS2375595000000</t>
  </si>
  <si>
    <t>Sweden town, ME</t>
  </si>
  <si>
    <t>CS2375770000000</t>
  </si>
  <si>
    <t>Talmadge town, ME</t>
  </si>
  <si>
    <t>CS2375980000000</t>
  </si>
  <si>
    <t>Temple town, ME</t>
  </si>
  <si>
    <t>CS2376190000000</t>
  </si>
  <si>
    <t>The Forks plantation, ME</t>
  </si>
  <si>
    <t>CS2376365000000</t>
  </si>
  <si>
    <t>Thomaston town, ME</t>
  </si>
  <si>
    <t>CS2376610000000</t>
  </si>
  <si>
    <t>Thorndike town, ME</t>
  </si>
  <si>
    <t>CS2376895000000</t>
  </si>
  <si>
    <t>Topsfield town, ME</t>
  </si>
  <si>
    <t>CS2376960000000</t>
  </si>
  <si>
    <t>Topsham town, ME</t>
  </si>
  <si>
    <t>CS2377345000000</t>
  </si>
  <si>
    <t>Tremont town, ME</t>
  </si>
  <si>
    <t>CS2377415000000</t>
  </si>
  <si>
    <t>Trenton town, ME</t>
  </si>
  <si>
    <t>CS2377625000000</t>
  </si>
  <si>
    <t>Troy town, ME</t>
  </si>
  <si>
    <t>CS2377800000000</t>
  </si>
  <si>
    <t>Turner town, ME</t>
  </si>
  <si>
    <t>CS2378115000000</t>
  </si>
  <si>
    <t>Union town, ME</t>
  </si>
  <si>
    <t>CS2378255000000</t>
  </si>
  <si>
    <t>Unity town, ME</t>
  </si>
  <si>
    <t>CS2378190000000</t>
  </si>
  <si>
    <t>Unity unorganized, ME</t>
  </si>
  <si>
    <t>CS2378465000000</t>
  </si>
  <si>
    <t>Upton town, ME</t>
  </si>
  <si>
    <t>CS2378570000000</t>
  </si>
  <si>
    <t>Van Buren town, ME</t>
  </si>
  <si>
    <t>CS2378675000000</t>
  </si>
  <si>
    <t>Vanceboro town, ME</t>
  </si>
  <si>
    <t>CS2378745000000</t>
  </si>
  <si>
    <t>Vassalboro town, ME</t>
  </si>
  <si>
    <t>CS2378780000000</t>
  </si>
  <si>
    <t>Veazie town, ME</t>
  </si>
  <si>
    <t>CS2378925000000</t>
  </si>
  <si>
    <t>Verona Island town, ME</t>
  </si>
  <si>
    <t>CS2379025000000</t>
  </si>
  <si>
    <t>Vienna town, ME</t>
  </si>
  <si>
    <t>CS2379130000000</t>
  </si>
  <si>
    <t>Vinalhaven town, ME</t>
  </si>
  <si>
    <t>CS2379270000000</t>
  </si>
  <si>
    <t>Wade town, ME</t>
  </si>
  <si>
    <t>CS2379375000000</t>
  </si>
  <si>
    <t>Waite town, ME</t>
  </si>
  <si>
    <t>CS2379480000000</t>
  </si>
  <si>
    <t>Waldo town, ME</t>
  </si>
  <si>
    <t>CS2379550000000</t>
  </si>
  <si>
    <t>Waldoboro town, ME</t>
  </si>
  <si>
    <t>SA2382820000000</t>
  </si>
  <si>
    <t>Waldoboro, ME LMA</t>
  </si>
  <si>
    <t>CS2379585000000</t>
  </si>
  <si>
    <t>Wales town, ME</t>
  </si>
  <si>
    <t>CS2379865000000</t>
  </si>
  <si>
    <t>Wallagrass town, ME</t>
  </si>
  <si>
    <t>CS2380040000000</t>
  </si>
  <si>
    <t>Waltham town, ME</t>
  </si>
  <si>
    <t>CS2380215000000</t>
  </si>
  <si>
    <t>Warren town, ME</t>
  </si>
  <si>
    <t>CS2380285000000</t>
  </si>
  <si>
    <t>Washburn town, ME</t>
  </si>
  <si>
    <t>CS2380425000000</t>
  </si>
  <si>
    <t>Washington town, ME</t>
  </si>
  <si>
    <t>CS2380530000000</t>
  </si>
  <si>
    <t>Waterboro town, ME</t>
  </si>
  <si>
    <t>CS2380635000000</t>
  </si>
  <si>
    <t>Waterford town, ME</t>
  </si>
  <si>
    <t>CT2380740000000</t>
  </si>
  <si>
    <t>Waterville city, ME</t>
  </si>
  <si>
    <t>CS2380880000000</t>
  </si>
  <si>
    <t>Wayne town, ME</t>
  </si>
  <si>
    <t>CS2381055000000</t>
  </si>
  <si>
    <t>Webster plantation, ME</t>
  </si>
  <si>
    <t>CS2381300000000</t>
  </si>
  <si>
    <t>Weld town, ME</t>
  </si>
  <si>
    <t>CS2381405000000</t>
  </si>
  <si>
    <t>Wellington town, ME</t>
  </si>
  <si>
    <t>CS2381475000000</t>
  </si>
  <si>
    <t>Wells town, ME</t>
  </si>
  <si>
    <t>SA2382860000000</t>
  </si>
  <si>
    <t>Wells, ME LMA</t>
  </si>
  <si>
    <t>CS2381685000000</t>
  </si>
  <si>
    <t>Wesley town, ME</t>
  </si>
  <si>
    <t>CS2381930000000</t>
  </si>
  <si>
    <t>West Bath town, ME</t>
  </si>
  <si>
    <t>CS2382840000000</t>
  </si>
  <si>
    <t>West Forks plantation, ME</t>
  </si>
  <si>
    <t>CS2382945000000</t>
  </si>
  <si>
    <t>West Gardiner town, ME</t>
  </si>
  <si>
    <t>CS2383890000000</t>
  </si>
  <si>
    <t>West Paris town, ME</t>
  </si>
  <si>
    <t>CT2382105000000</t>
  </si>
  <si>
    <t>Westbrook city, ME</t>
  </si>
  <si>
    <t>CS2382770000000</t>
  </si>
  <si>
    <t>Westfield town, ME</t>
  </si>
  <si>
    <t>CS2383540000000</t>
  </si>
  <si>
    <t>Westmanland town, ME</t>
  </si>
  <si>
    <t>CS2383785000000</t>
  </si>
  <si>
    <t>Weston town, ME</t>
  </si>
  <si>
    <t>CS2384140000000</t>
  </si>
  <si>
    <t>Westport Island town, ME</t>
  </si>
  <si>
    <t>CS2385010000000</t>
  </si>
  <si>
    <t>Whitefield town, ME</t>
  </si>
  <si>
    <t>CS2385185000000</t>
  </si>
  <si>
    <t>Whiting town, ME</t>
  </si>
  <si>
    <t>CS2385290000000</t>
  </si>
  <si>
    <t>Whitneyville town, ME</t>
  </si>
  <si>
    <t>CS2385710000000</t>
  </si>
  <si>
    <t>Willimantic town, ME</t>
  </si>
  <si>
    <t>CS2385850000000</t>
  </si>
  <si>
    <t>Wilton town, ME</t>
  </si>
  <si>
    <t>CS2386025000000</t>
  </si>
  <si>
    <t>Windham town, ME</t>
  </si>
  <si>
    <t>CS2386165000000</t>
  </si>
  <si>
    <t>Windsor town, ME</t>
  </si>
  <si>
    <t>CS2386305000000</t>
  </si>
  <si>
    <t>Winn town, ME</t>
  </si>
  <si>
    <t>CS2386515000000</t>
  </si>
  <si>
    <t>Winslow town, ME</t>
  </si>
  <si>
    <t>CS2386655000000</t>
  </si>
  <si>
    <t>Winter Harbor town, ME</t>
  </si>
  <si>
    <t>CS2386760000000</t>
  </si>
  <si>
    <t>Winterport town, ME</t>
  </si>
  <si>
    <t>CS2386865000000</t>
  </si>
  <si>
    <t>Winterville plantation, ME</t>
  </si>
  <si>
    <t>CS2386970000000</t>
  </si>
  <si>
    <t>Winthrop town, ME</t>
  </si>
  <si>
    <t>CS2387075000000</t>
  </si>
  <si>
    <t>Wiscasset town, ME</t>
  </si>
  <si>
    <t>CS2387215000000</t>
  </si>
  <si>
    <t>Woodland town, ME</t>
  </si>
  <si>
    <t>CS2387355000000</t>
  </si>
  <si>
    <t>Woodstock town, ME</t>
  </si>
  <si>
    <t>CS2387390000000</t>
  </si>
  <si>
    <t>Woodville town, ME</t>
  </si>
  <si>
    <t>CS2387460000000</t>
  </si>
  <si>
    <t>Woolwich town, ME</t>
  </si>
  <si>
    <t>CS2387680000000</t>
  </si>
  <si>
    <t>Wyman unorganized, ME</t>
  </si>
  <si>
    <t>CS2387845000000</t>
  </si>
  <si>
    <t>Yarmouth town, ME</t>
  </si>
  <si>
    <t>CS2387985000000</t>
  </si>
  <si>
    <t>York town, ME</t>
  </si>
  <si>
    <t>CT2601380000000</t>
  </si>
  <si>
    <t>Allen Park city, MI</t>
  </si>
  <si>
    <t>CS2601360000000</t>
  </si>
  <si>
    <t>Allendale charter township, MI</t>
  </si>
  <si>
    <t>CT2603000000000</t>
  </si>
  <si>
    <t>Ann Arbor city, MI</t>
  </si>
  <si>
    <t>CT2605920000000</t>
  </si>
  <si>
    <t>Battle Creek city, MI</t>
  </si>
  <si>
    <t>CT2606020000000</t>
  </si>
  <si>
    <t>Bay City city, MI</t>
  </si>
  <si>
    <t>CS2606740000000</t>
  </si>
  <si>
    <t>Bedford township (Monroe County), MI</t>
  </si>
  <si>
    <t>CS2608760000000</t>
  </si>
  <si>
    <t>Blackman charter township, MI</t>
  </si>
  <si>
    <t>CS2609110000000</t>
  </si>
  <si>
    <t>Bloomfield charter township (Oakland County), MI</t>
  </si>
  <si>
    <t>CS2611220000000</t>
  </si>
  <si>
    <t>Brownstown charter township, MI</t>
  </si>
  <si>
    <t>CT2612060000000</t>
  </si>
  <si>
    <t>Burton city, MI</t>
  </si>
  <si>
    <t>CS2613120000000</t>
  </si>
  <si>
    <t>Canton charter township, MI</t>
  </si>
  <si>
    <t>CS2615340000000</t>
  </si>
  <si>
    <t>Chesterfield township, MI</t>
  </si>
  <si>
    <t>CS2616520000000</t>
  </si>
  <si>
    <t>Clinton charter township (Macomb County), MI</t>
  </si>
  <si>
    <t>CS2617640000000</t>
  </si>
  <si>
    <t>Commerce charter township, MI</t>
  </si>
  <si>
    <t>CT2621000000000</t>
  </si>
  <si>
    <t>Dearborn city, MI</t>
  </si>
  <si>
    <t>CT2621020000000</t>
  </si>
  <si>
    <t>Dearborn Heights city, MI</t>
  </si>
  <si>
    <t>CS2621420000000</t>
  </si>
  <si>
    <t>Delhi charter township, MI</t>
  </si>
  <si>
    <t>CS2621520000000</t>
  </si>
  <si>
    <t>Delta charter township, MI</t>
  </si>
  <si>
    <t>CT2622000000000</t>
  </si>
  <si>
    <t>Detroit city, MI</t>
  </si>
  <si>
    <t>CT2624120000000</t>
  </si>
  <si>
    <t>East Lansing city, MI</t>
  </si>
  <si>
    <t>CT2624290000000</t>
  </si>
  <si>
    <t>Eastpointe city, MI</t>
  </si>
  <si>
    <t>CT2627440000000</t>
  </si>
  <si>
    <t>Farmington Hills city, MI</t>
  </si>
  <si>
    <t>CT2627880000000</t>
  </si>
  <si>
    <t>Ferndale city, MI</t>
  </si>
  <si>
    <t>CS2629020000000</t>
  </si>
  <si>
    <t>Flint charter township, MI</t>
  </si>
  <si>
    <t>CT2629000000000</t>
  </si>
  <si>
    <t>Flint city, MI</t>
  </si>
  <si>
    <t>CS2631240000000</t>
  </si>
  <si>
    <t>Gaines charter township, MI</t>
  </si>
  <si>
    <t>CT2631420000000</t>
  </si>
  <si>
    <t>Garden City city, MI</t>
  </si>
  <si>
    <t>CS2631880000000</t>
  </si>
  <si>
    <t>Georgetown charter township, MI</t>
  </si>
  <si>
    <t>CS2633300000000</t>
  </si>
  <si>
    <t>Grand Blanc charter township, MI</t>
  </si>
  <si>
    <t>CT2634000000000</t>
  </si>
  <si>
    <t>Grand Rapids city, MI</t>
  </si>
  <si>
    <t>CS2636820000000</t>
  </si>
  <si>
    <t>Harrison charter township, MI</t>
  </si>
  <si>
    <t>CS2638660000000</t>
  </si>
  <si>
    <t>Holland charter township (Ottawa County), MI</t>
  </si>
  <si>
    <t>CT2638640000000</t>
  </si>
  <si>
    <t>Holland city, MI</t>
  </si>
  <si>
    <t>CS2640400000000</t>
  </si>
  <si>
    <t>Independence charter township, MI</t>
  </si>
  <si>
    <t>CT2640680000000</t>
  </si>
  <si>
    <t>Inkster city, MI</t>
  </si>
  <si>
    <t>CT2641420000000</t>
  </si>
  <si>
    <t>Jackson city, MI</t>
  </si>
  <si>
    <t>CT2642160000000</t>
  </si>
  <si>
    <t>Kalamazoo city, MI</t>
  </si>
  <si>
    <t>CT2642820000000</t>
  </si>
  <si>
    <t>Kentwood city, MI</t>
  </si>
  <si>
    <t>CT2646000000000</t>
  </si>
  <si>
    <t>Lansing city, MI</t>
  </si>
  <si>
    <t>CT2647800000000</t>
  </si>
  <si>
    <t>Lincoln Park city, MI</t>
  </si>
  <si>
    <t>CT2649000000000</t>
  </si>
  <si>
    <t>Livonia city, MI</t>
  </si>
  <si>
    <t>CS2650480000000</t>
  </si>
  <si>
    <t>Macomb township, MI</t>
  </si>
  <si>
    <t>CT2650560000000</t>
  </si>
  <si>
    <t>Madison Heights city, MI</t>
  </si>
  <si>
    <t>CS2653140000000</t>
  </si>
  <si>
    <t>Meridian charter township, MI</t>
  </si>
  <si>
    <t>CT2653780000000</t>
  </si>
  <si>
    <t>Midland city, MI</t>
  </si>
  <si>
    <t>CS2655980000000</t>
  </si>
  <si>
    <t>Mount Morris township, MI</t>
  </si>
  <si>
    <t>CT2656020000000</t>
  </si>
  <si>
    <t>Mount Pleasant city, MI</t>
  </si>
  <si>
    <t>CT2656320000000</t>
  </si>
  <si>
    <t>Muskegon city, MI</t>
  </si>
  <si>
    <t>CS2659000000000</t>
  </si>
  <si>
    <t>Northville township, MI</t>
  </si>
  <si>
    <t>CT2659440000000</t>
  </si>
  <si>
    <t>Novi city, MI</t>
  </si>
  <si>
    <t>CT2659920000000</t>
  </si>
  <si>
    <t>Oak Park city, MI</t>
  </si>
  <si>
    <t>CS2661100000000</t>
  </si>
  <si>
    <t>Orion charter township, MI</t>
  </si>
  <si>
    <t>CS2664560000000</t>
  </si>
  <si>
    <t>Pittsfield charter township, MI</t>
  </si>
  <si>
    <t>CS2664660000000</t>
  </si>
  <si>
    <t>Plainfield charter township (Kent County), MI</t>
  </si>
  <si>
    <t>CS2665080000000</t>
  </si>
  <si>
    <t>Plymouth charter township, MI</t>
  </si>
  <si>
    <t>CT2665440000000</t>
  </si>
  <si>
    <t>Pontiac city, MI</t>
  </si>
  <si>
    <t>CT2665820000000</t>
  </si>
  <si>
    <t>Port Huron city, MI</t>
  </si>
  <si>
    <t>CT2665560000000</t>
  </si>
  <si>
    <t>Portage city, MI</t>
  </si>
  <si>
    <t>CS2667625000000</t>
  </si>
  <si>
    <t>Redford charter township, MI</t>
  </si>
  <si>
    <t>CT2669035000000</t>
  </si>
  <si>
    <t>Rochester Hills city, MI</t>
  </si>
  <si>
    <t>CT2669420000000</t>
  </si>
  <si>
    <t>Romulus city, MI</t>
  </si>
  <si>
    <t>CT2669800000000</t>
  </si>
  <si>
    <t>Roseville city, MI</t>
  </si>
  <si>
    <t>CT2670040000000</t>
  </si>
  <si>
    <t>Royal Oak city, MI</t>
  </si>
  <si>
    <t>CS2670540000000</t>
  </si>
  <si>
    <t>Saginaw charter township, MI</t>
  </si>
  <si>
    <t>CT2670520000000</t>
  </si>
  <si>
    <t>Saginaw city, MI</t>
  </si>
  <si>
    <t>CS2672820000000</t>
  </si>
  <si>
    <t>Shelby charter township (Macomb County), MI</t>
  </si>
  <si>
    <t>CT2674900000000</t>
  </si>
  <si>
    <t>Southfield city, MI</t>
  </si>
  <si>
    <t>CT2674960000000</t>
  </si>
  <si>
    <t>Southgate city, MI</t>
  </si>
  <si>
    <t>CT2670760000000</t>
  </si>
  <si>
    <t>St. Clair Shores city, MI</t>
  </si>
  <si>
    <t>CT2676460000000</t>
  </si>
  <si>
    <t>Sterling Heights city, MI</t>
  </si>
  <si>
    <t>CT2679000000000</t>
  </si>
  <si>
    <t>Taylor city, MI</t>
  </si>
  <si>
    <t>CT2680700000000</t>
  </si>
  <si>
    <t>Troy city, MI</t>
  </si>
  <si>
    <t>CS2681660000000</t>
  </si>
  <si>
    <t>Van Buren charter township, MI</t>
  </si>
  <si>
    <t>CT2684000000000</t>
  </si>
  <si>
    <t>Warren city, MI</t>
  </si>
  <si>
    <t>CS2684120000000</t>
  </si>
  <si>
    <t>Washington township (Macomb County), MI</t>
  </si>
  <si>
    <t>CS2684240000000</t>
  </si>
  <si>
    <t>Waterford charter township, MI</t>
  </si>
  <si>
    <t>CS2685480000000</t>
  </si>
  <si>
    <t>West Bloomfield charter township, MI</t>
  </si>
  <si>
    <t>CT2686000000000</t>
  </si>
  <si>
    <t>Westland city, MI</t>
  </si>
  <si>
    <t>CS2686860000000</t>
  </si>
  <si>
    <t>White Lake charter township, MI</t>
  </si>
  <si>
    <t>CT2688900000000</t>
  </si>
  <si>
    <t>Wyandotte city, MI</t>
  </si>
  <si>
    <t>CT2688940000000</t>
  </si>
  <si>
    <t>Wyoming city, MI</t>
  </si>
  <si>
    <t>CS2689160000000</t>
  </si>
  <si>
    <t>Ypsilanti charter township, MI</t>
  </si>
  <si>
    <t>CT2701486000000</t>
  </si>
  <si>
    <t>Andover city, MN</t>
  </si>
  <si>
    <t>CT2701900000000</t>
  </si>
  <si>
    <t>Apple Valley city, MN</t>
  </si>
  <si>
    <t>CT2702908000000</t>
  </si>
  <si>
    <t>Austin city, MN</t>
  </si>
  <si>
    <t>CT2706382000000</t>
  </si>
  <si>
    <t>Blaine city, MN</t>
  </si>
  <si>
    <t>CT2706616000000</t>
  </si>
  <si>
    <t>Bloomington city, MN</t>
  </si>
  <si>
    <t>CT2707948000000</t>
  </si>
  <si>
    <t>Brooklyn Center city, MN</t>
  </si>
  <si>
    <t>CT2707966000000</t>
  </si>
  <si>
    <t>Brooklyn Park city, MN</t>
  </si>
  <si>
    <t>CT2708794000000</t>
  </si>
  <si>
    <t>Burnsville city, MN</t>
  </si>
  <si>
    <t>CT2710846000000</t>
  </si>
  <si>
    <t>Champlin city, MN</t>
  </si>
  <si>
    <t>CT2710918000000</t>
  </si>
  <si>
    <t>Chanhassen city, MN</t>
  </si>
  <si>
    <t>CT2710972000000</t>
  </si>
  <si>
    <t>Chaska city, MN</t>
  </si>
  <si>
    <t>CT2713114000000</t>
  </si>
  <si>
    <t>Coon Rapids city, MN</t>
  </si>
  <si>
    <t>CT2713456000000</t>
  </si>
  <si>
    <t>Cottage Grove city, MN</t>
  </si>
  <si>
    <t>CT2717000000000</t>
  </si>
  <si>
    <t>Duluth city, MN</t>
  </si>
  <si>
    <t>CT2717288000000</t>
  </si>
  <si>
    <t>Eagan city, MN</t>
  </si>
  <si>
    <t>CT2718116000000</t>
  </si>
  <si>
    <t>Eden Prairie city, MN</t>
  </si>
  <si>
    <t>CT2718188000000</t>
  </si>
  <si>
    <t>Edina city, MN</t>
  </si>
  <si>
    <t>CT2722814000000</t>
  </si>
  <si>
    <t>Fridley city, MN</t>
  </si>
  <si>
    <t>CT2731076000000</t>
  </si>
  <si>
    <t>Inver Grove Heights city, MN</t>
  </si>
  <si>
    <t>CT2735180000000</t>
  </si>
  <si>
    <t>Lakeville city, MN</t>
  </si>
  <si>
    <t>CT2739878000000</t>
  </si>
  <si>
    <t>Mankato city, MN</t>
  </si>
  <si>
    <t>CT2740166000000</t>
  </si>
  <si>
    <t>Maple Grove city, MN</t>
  </si>
  <si>
    <t>CT2740382000000</t>
  </si>
  <si>
    <t>Maplewood city, MN</t>
  </si>
  <si>
    <t>CT2743000000000</t>
  </si>
  <si>
    <t>Minneapolis city, MN</t>
  </si>
  <si>
    <t>CT2743252000000</t>
  </si>
  <si>
    <t>Minnetonka city, MN</t>
  </si>
  <si>
    <t>CT2743864000000</t>
  </si>
  <si>
    <t>Moorhead city, MN</t>
  </si>
  <si>
    <t>CT2747680000000</t>
  </si>
  <si>
    <t>Oakdale city, MN</t>
  </si>
  <si>
    <t>CT2749300000000</t>
  </si>
  <si>
    <t>Owatonna city, MN</t>
  </si>
  <si>
    <t>SA2782140000000</t>
  </si>
  <si>
    <t>Pennington-Red Lake, MN LMA</t>
  </si>
  <si>
    <t>CT2751730000000</t>
  </si>
  <si>
    <t>Plymouth city, MN</t>
  </si>
  <si>
    <t>CT2752594000000</t>
  </si>
  <si>
    <t>Prior Lake city, MN</t>
  </si>
  <si>
    <t>CT2753026000000</t>
  </si>
  <si>
    <t>Ramsey city, MN</t>
  </si>
  <si>
    <t>CT2754214000000</t>
  </si>
  <si>
    <t>Richfield city, MN</t>
  </si>
  <si>
    <t>CT2754880000000</t>
  </si>
  <si>
    <t>Rochester city, MN</t>
  </si>
  <si>
    <t>CT2755852000000</t>
  </si>
  <si>
    <t>Roseville city, MN</t>
  </si>
  <si>
    <t>CT2758738000000</t>
  </si>
  <si>
    <t>Savage city, MN</t>
  </si>
  <si>
    <t>CT2759350000000</t>
  </si>
  <si>
    <t>Shakopee city, MN</t>
  </si>
  <si>
    <t>CT2759998000000</t>
  </si>
  <si>
    <t>Shoreview city, MN</t>
  </si>
  <si>
    <t>CT2756896000000</t>
  </si>
  <si>
    <t>St. Cloud city, MN</t>
  </si>
  <si>
    <t>CT2757220000000</t>
  </si>
  <si>
    <t>St. Louis Park city, MN</t>
  </si>
  <si>
    <t>CT2758000000000</t>
  </si>
  <si>
    <t>St. Paul city, MN</t>
  </si>
  <si>
    <t>CT2769970000000</t>
  </si>
  <si>
    <t>White Bear Lake city, MN</t>
  </si>
  <si>
    <t>CT2771032000000</t>
  </si>
  <si>
    <t>Winona city, MN</t>
  </si>
  <si>
    <t>CT2771428000000</t>
  </si>
  <si>
    <t>Woodbury city, MN</t>
  </si>
  <si>
    <t>CT2903160000000</t>
  </si>
  <si>
    <t>Ballwin city, MO</t>
  </si>
  <si>
    <t>CT2906652000000</t>
  </si>
  <si>
    <t>Blue Springs city, MO</t>
  </si>
  <si>
    <t>CT2911242000000</t>
  </si>
  <si>
    <t>Cape Girardeau city, MO</t>
  </si>
  <si>
    <t>CT2913600000000</t>
  </si>
  <si>
    <t>Chesterfield city, MO</t>
  </si>
  <si>
    <t>CT2915670000000</t>
  </si>
  <si>
    <t>Columbia city, MO</t>
  </si>
  <si>
    <t>CT2924778000000</t>
  </si>
  <si>
    <t>Florissant city, MO</t>
  </si>
  <si>
    <t>CT2927190000000</t>
  </si>
  <si>
    <t>Gladstone city, MO</t>
  </si>
  <si>
    <t>CT2928324000000</t>
  </si>
  <si>
    <t>Grandview city, MO</t>
  </si>
  <si>
    <t>CT2931276000000</t>
  </si>
  <si>
    <t>Hazelwood city, MO</t>
  </si>
  <si>
    <t>CT2935000000000</t>
  </si>
  <si>
    <t>Independence city, MO</t>
  </si>
  <si>
    <t>CT2937000000000</t>
  </si>
  <si>
    <t>Jefferson City city, MO</t>
  </si>
  <si>
    <t>CT2937592000000</t>
  </si>
  <si>
    <t>Joplin city, MO</t>
  </si>
  <si>
    <t>CT2938000000000</t>
  </si>
  <si>
    <t>Kansas City city, MO</t>
  </si>
  <si>
    <t>CT2939044000000</t>
  </si>
  <si>
    <t>Kirkwood city, MO</t>
  </si>
  <si>
    <t>CT2941348000000</t>
  </si>
  <si>
    <t>Lee's Summit city, MO</t>
  </si>
  <si>
    <t>CT2942032000000</t>
  </si>
  <si>
    <t>Liberty city, MO</t>
  </si>
  <si>
    <t>CT2946586000000</t>
  </si>
  <si>
    <t>Maryland Heights city, MO</t>
  </si>
  <si>
    <t>CT2954074000000</t>
  </si>
  <si>
    <t>O'Fallon city, MO</t>
  </si>
  <si>
    <t>CT2960788000000</t>
  </si>
  <si>
    <t>Raytown city, MO</t>
  </si>
  <si>
    <t>CT2970000000000</t>
  </si>
  <si>
    <t>Springfield city, MO</t>
  </si>
  <si>
    <t>CT2964082000000</t>
  </si>
  <si>
    <t>St. Charles city, MO</t>
  </si>
  <si>
    <t>CT2964550000000</t>
  </si>
  <si>
    <t>St. Joseph city, MO</t>
  </si>
  <si>
    <t>CT2965000000000</t>
  </si>
  <si>
    <t>CT2965126000000</t>
  </si>
  <si>
    <t>St. Peters city, MO</t>
  </si>
  <si>
    <t>CT2975220000000</t>
  </si>
  <si>
    <t>University City city, MO</t>
  </si>
  <si>
    <t>CT2978442000000</t>
  </si>
  <si>
    <t>Wentzville city, MO</t>
  </si>
  <si>
    <t>CT2979820000000</t>
  </si>
  <si>
    <t>Wildwood city, MO</t>
  </si>
  <si>
    <t>CT2806220000000</t>
  </si>
  <si>
    <t>Biloxi city, MS</t>
  </si>
  <si>
    <t>CT2814420000000</t>
  </si>
  <si>
    <t>Clinton city, MS</t>
  </si>
  <si>
    <t>CT2815380000000</t>
  </si>
  <si>
    <t>Columbus city, MS</t>
  </si>
  <si>
    <t>CT2829180000000</t>
  </si>
  <si>
    <t>Greenville city, MS</t>
  </si>
  <si>
    <t>CT2829700000000</t>
  </si>
  <si>
    <t>Gulfport city, MS</t>
  </si>
  <si>
    <t>CT2831020000000</t>
  </si>
  <si>
    <t>Hattiesburg city, MS</t>
  </si>
  <si>
    <t>CT2833700000000</t>
  </si>
  <si>
    <t>Horn Lake city, MS</t>
  </si>
  <si>
    <t>CT2836000000000</t>
  </si>
  <si>
    <t>Jackson city, MS</t>
  </si>
  <si>
    <t>CT2844520000000</t>
  </si>
  <si>
    <t>Madison city, MS</t>
  </si>
  <si>
    <t>CT2846640000000</t>
  </si>
  <si>
    <t>Meridian city, MS</t>
  </si>
  <si>
    <t>CT2854040000000</t>
  </si>
  <si>
    <t>Olive Branch city, MS</t>
  </si>
  <si>
    <t>CT2855360000000</t>
  </si>
  <si>
    <t>Pascagoula city, MS</t>
  </si>
  <si>
    <t>CT2855760000000</t>
  </si>
  <si>
    <t>Pearl city, MS</t>
  </si>
  <si>
    <t>CT2869280000000</t>
  </si>
  <si>
    <t>Southaven city, MS</t>
  </si>
  <si>
    <t>CT2870240000000</t>
  </si>
  <si>
    <t>Starkville city, MS</t>
  </si>
  <si>
    <t>CT2874840000000</t>
  </si>
  <si>
    <t>Tupelo city, MS</t>
  </si>
  <si>
    <t>CT2876720000000</t>
  </si>
  <si>
    <t>Vicksburg city, MS</t>
  </si>
  <si>
    <t>CT3001675000000</t>
  </si>
  <si>
    <t>Anaconda-Deer Lodge County city, MT</t>
  </si>
  <si>
    <t>CT3006550000000</t>
  </si>
  <si>
    <t>Billings city, MT</t>
  </si>
  <si>
    <t>CT3008950000000</t>
  </si>
  <si>
    <t>Bozeman city, MT</t>
  </si>
  <si>
    <t>CT3011390000000</t>
  </si>
  <si>
    <t>Butte-Silver Bow (consolidated) city, MT</t>
  </si>
  <si>
    <t>CT3032800000000</t>
  </si>
  <si>
    <t>Great Falls city, MT</t>
  </si>
  <si>
    <t>CT3035600000000</t>
  </si>
  <si>
    <t>Helena city, MT</t>
  </si>
  <si>
    <t>CT3050200000000</t>
  </si>
  <si>
    <t>Missoula city, MT</t>
  </si>
  <si>
    <t>SA3081940000000</t>
  </si>
  <si>
    <t>Musselshell-Petroleum, MT LMA</t>
  </si>
  <si>
    <t>CT3701520000000</t>
  </si>
  <si>
    <t>Apex town, NC</t>
  </si>
  <si>
    <t>CT3702080000000</t>
  </si>
  <si>
    <t>Asheboro city, NC</t>
  </si>
  <si>
    <t>CT3702140000000</t>
  </si>
  <si>
    <t>Asheville city, NC</t>
  </si>
  <si>
    <t>CT3709060000000</t>
  </si>
  <si>
    <t>Burlington city, NC</t>
  </si>
  <si>
    <t>CT3710740000000</t>
  </si>
  <si>
    <t>Cary town, NC</t>
  </si>
  <si>
    <t>CT3711800000000</t>
  </si>
  <si>
    <t>Chapel Hill town, NC</t>
  </si>
  <si>
    <t>CT3712000000000</t>
  </si>
  <si>
    <t>Charlotte city, NC</t>
  </si>
  <si>
    <t>CT3714100000000</t>
  </si>
  <si>
    <t>Concord city, NC</t>
  </si>
  <si>
    <t>CT3714700000000</t>
  </si>
  <si>
    <t>Cornelius town, NC</t>
  </si>
  <si>
    <t>CT3719000000000</t>
  </si>
  <si>
    <t>Durham city, NC</t>
  </si>
  <si>
    <t>CT3722920000000</t>
  </si>
  <si>
    <t>Fayetteville city, NC</t>
  </si>
  <si>
    <t>CT3725300000000</t>
  </si>
  <si>
    <t>Fuquay-Varina town, NC</t>
  </si>
  <si>
    <t>CT3725480000000</t>
  </si>
  <si>
    <t>Garner town, NC</t>
  </si>
  <si>
    <t>CT3725580000000</t>
  </si>
  <si>
    <t>Gastonia city, NC</t>
  </si>
  <si>
    <t>CT3726880000000</t>
  </si>
  <si>
    <t>Goldsboro city, NC</t>
  </si>
  <si>
    <t>CT3728000000000</t>
  </si>
  <si>
    <t>Greensboro city, NC</t>
  </si>
  <si>
    <t>CT3728080000000</t>
  </si>
  <si>
    <t>Greenville city, NC</t>
  </si>
  <si>
    <t>CT3731060000000</t>
  </si>
  <si>
    <t>Hickory city, NC</t>
  </si>
  <si>
    <t>CT3731400000000</t>
  </si>
  <si>
    <t>High Point city, NC</t>
  </si>
  <si>
    <t>CT3732260000000</t>
  </si>
  <si>
    <t>Holly Springs town, NC</t>
  </si>
  <si>
    <t>CT3733120000000</t>
  </si>
  <si>
    <t>Huntersville town, NC</t>
  </si>
  <si>
    <t>CT3733560000000</t>
  </si>
  <si>
    <t>Indian Trail town, NC</t>
  </si>
  <si>
    <t>CT3734200000000</t>
  </si>
  <si>
    <t>Jacksonville city, NC</t>
  </si>
  <si>
    <t>CT3735200000000</t>
  </si>
  <si>
    <t>Kannapolis city, NC</t>
  </si>
  <si>
    <t>CT3735920000000</t>
  </si>
  <si>
    <t>Kinston city, NC</t>
  </si>
  <si>
    <t>CT3741960000000</t>
  </si>
  <si>
    <t>Matthews town, NC</t>
  </si>
  <si>
    <t>CT3743480000000</t>
  </si>
  <si>
    <t>Mint Hill town, NC</t>
  </si>
  <si>
    <t>CT3743920000000</t>
  </si>
  <si>
    <t>Monroe city, NC</t>
  </si>
  <si>
    <t>CT3744220000000</t>
  </si>
  <si>
    <t>Mooresville town, NC</t>
  </si>
  <si>
    <t>CT3744520000000</t>
  </si>
  <si>
    <t>Morrisville town, NC</t>
  </si>
  <si>
    <t>CT3746340000000</t>
  </si>
  <si>
    <t>New Bern city, NC</t>
  </si>
  <si>
    <t>CT3755000000000</t>
  </si>
  <si>
    <t>Raleigh city, NC</t>
  </si>
  <si>
    <t>CT3757500000000</t>
  </si>
  <si>
    <t>Rocky Mount city, NC</t>
  </si>
  <si>
    <t>CT3758860000000</t>
  </si>
  <si>
    <t>Salisbury city, NC</t>
  </si>
  <si>
    <t>CT3759280000000</t>
  </si>
  <si>
    <t>Sanford city, NC</t>
  </si>
  <si>
    <t>CT3764740000000</t>
  </si>
  <si>
    <t>Statesville city, NC</t>
  </si>
  <si>
    <t>CT3767420000000</t>
  </si>
  <si>
    <t>Thomasville city, NC</t>
  </si>
  <si>
    <t>CT3770540000000</t>
  </si>
  <si>
    <t>Wake Forest town, NC</t>
  </si>
  <si>
    <t>CT3774440000000</t>
  </si>
  <si>
    <t>Wilmington city, NC</t>
  </si>
  <si>
    <t>CT3774540000000</t>
  </si>
  <si>
    <t>Wilson city, NC</t>
  </si>
  <si>
    <t>CT3775000000000</t>
  </si>
  <si>
    <t>Winston-Salem city, NC</t>
  </si>
  <si>
    <t>CT3807200000000</t>
  </si>
  <si>
    <t>Bismarck city, ND</t>
  </si>
  <si>
    <t>CT3825700000000</t>
  </si>
  <si>
    <t>Fargo city, ND</t>
  </si>
  <si>
    <t>CT3832060000000</t>
  </si>
  <si>
    <t>Grand Forks city, ND</t>
  </si>
  <si>
    <t>CT3853380000000</t>
  </si>
  <si>
    <t>Minot city, ND</t>
  </si>
  <si>
    <t>CT3884780000000</t>
  </si>
  <si>
    <t>West Fargo city, ND</t>
  </si>
  <si>
    <t>CT3886220000000</t>
  </si>
  <si>
    <t>Williston city, ND</t>
  </si>
  <si>
    <t>CT3103950000000</t>
  </si>
  <si>
    <t>Bellevue city, NE</t>
  </si>
  <si>
    <t>CT3117670000000</t>
  </si>
  <si>
    <t>Fremont city, NE</t>
  </si>
  <si>
    <t>CT3119595000000</t>
  </si>
  <si>
    <t>Grand Island city, NE</t>
  </si>
  <si>
    <t>CT3121415000000</t>
  </si>
  <si>
    <t>Hastings city, NE</t>
  </si>
  <si>
    <t>CT3125055000000</t>
  </si>
  <si>
    <t>Kearney city, NE</t>
  </si>
  <si>
    <t>CT3128000000000</t>
  </si>
  <si>
    <t>Lincoln city, NE</t>
  </si>
  <si>
    <t>CT3137000000000</t>
  </si>
  <si>
    <t>Omaha city, NE</t>
  </si>
  <si>
    <t>SA3182500000000</t>
  </si>
  <si>
    <t>Red Willow-Hitchcock, NE LMA</t>
  </si>
  <si>
    <t>CS3300260000000</t>
  </si>
  <si>
    <t>Acworth town, NH</t>
  </si>
  <si>
    <t>CS3300420000000</t>
  </si>
  <si>
    <t>Albany town, NH</t>
  </si>
  <si>
    <t>CS3300580000000</t>
  </si>
  <si>
    <t>Alexandria town, NH</t>
  </si>
  <si>
    <t>CS3300660000000</t>
  </si>
  <si>
    <t>Allenstown town, NH</t>
  </si>
  <si>
    <t>CS3300820000000</t>
  </si>
  <si>
    <t>Alstead town, NH</t>
  </si>
  <si>
    <t>CS3301060000000</t>
  </si>
  <si>
    <t>Alton town, NH</t>
  </si>
  <si>
    <t>CS3301300000000</t>
  </si>
  <si>
    <t>Amherst town, NH</t>
  </si>
  <si>
    <t>CS3301460000000</t>
  </si>
  <si>
    <t>Andover town, NH</t>
  </si>
  <si>
    <t>CS3301700000000</t>
  </si>
  <si>
    <t>Antrim town, NH</t>
  </si>
  <si>
    <t>CS3302020000000</t>
  </si>
  <si>
    <t>Ashland town, NH</t>
  </si>
  <si>
    <t>CS3302340000000</t>
  </si>
  <si>
    <t>Atkinson town, NH</t>
  </si>
  <si>
    <t>CS3302820000000</t>
  </si>
  <si>
    <t>Auburn town, NH</t>
  </si>
  <si>
    <t>CS3303220000000</t>
  </si>
  <si>
    <t>Barnstead town, NH</t>
  </si>
  <si>
    <t>CS3303460000000</t>
  </si>
  <si>
    <t>Barrington town, NH</t>
  </si>
  <si>
    <t>CS3303700000000</t>
  </si>
  <si>
    <t>Bartlett town, NH</t>
  </si>
  <si>
    <t>CS3303940000000</t>
  </si>
  <si>
    <t>Bath town, NH</t>
  </si>
  <si>
    <t>CS3304500000000</t>
  </si>
  <si>
    <t>Bedford town, NH</t>
  </si>
  <si>
    <t>CS3304740000000</t>
  </si>
  <si>
    <t>Belmont town, NH</t>
  </si>
  <si>
    <t>SA3380340000000</t>
  </si>
  <si>
    <t>Belmont, NH LMA</t>
  </si>
  <si>
    <t>CS3304900000000</t>
  </si>
  <si>
    <t>Bennington town, NH</t>
  </si>
  <si>
    <t>CS3305060000000</t>
  </si>
  <si>
    <t>Benton town, NH</t>
  </si>
  <si>
    <t>CT3305140000000</t>
  </si>
  <si>
    <t>Berlin city, NH</t>
  </si>
  <si>
    <t>CS3305460000000</t>
  </si>
  <si>
    <t>Bethlehem town, NH</t>
  </si>
  <si>
    <t>CS3306260000000</t>
  </si>
  <si>
    <t>Boscawen town, NH</t>
  </si>
  <si>
    <t>CS3306500000000</t>
  </si>
  <si>
    <t>Bow town, NH</t>
  </si>
  <si>
    <t>CS3306980000000</t>
  </si>
  <si>
    <t>Bradford town, NH</t>
  </si>
  <si>
    <t>SA5080420000000</t>
  </si>
  <si>
    <t>Brattleboro, VT-NH LMA</t>
  </si>
  <si>
    <t>CS3307220000000</t>
  </si>
  <si>
    <t>Brentwood town, NH</t>
  </si>
  <si>
    <t>CS3307540000000</t>
  </si>
  <si>
    <t>Bridgewater town, NH</t>
  </si>
  <si>
    <t>CS3307700000000</t>
  </si>
  <si>
    <t>Bristol town, NH</t>
  </si>
  <si>
    <t>CS3307940000000</t>
  </si>
  <si>
    <t>Brookfield town, NH</t>
  </si>
  <si>
    <t>CS3308100000000</t>
  </si>
  <si>
    <t>Brookline town, NH</t>
  </si>
  <si>
    <t>CS3308420000000</t>
  </si>
  <si>
    <t>Cambridge township, NH</t>
  </si>
  <si>
    <t>CS3308660000000</t>
  </si>
  <si>
    <t>Campton town, NH</t>
  </si>
  <si>
    <t>CS3308980000000</t>
  </si>
  <si>
    <t>Canaan town, NH</t>
  </si>
  <si>
    <t>CS3309300000000</t>
  </si>
  <si>
    <t>Candia town, NH</t>
  </si>
  <si>
    <t>CS3309860000000</t>
  </si>
  <si>
    <t>Canterbury town, NH</t>
  </si>
  <si>
    <t>CS3310100000000</t>
  </si>
  <si>
    <t>Carroll town, NH</t>
  </si>
  <si>
    <t>CS3310660000000</t>
  </si>
  <si>
    <t>Center Harbor town, NH</t>
  </si>
  <si>
    <t>CS3311380000000</t>
  </si>
  <si>
    <t>Charlestown town, NH</t>
  </si>
  <si>
    <t>SA3380620000000</t>
  </si>
  <si>
    <t>Charlestown, NH LMA</t>
  </si>
  <si>
    <t>CS3311780000000</t>
  </si>
  <si>
    <t>Chatham town, NH</t>
  </si>
  <si>
    <t>CS3312100000000</t>
  </si>
  <si>
    <t>Chester town, NH</t>
  </si>
  <si>
    <t>CS3312260000000</t>
  </si>
  <si>
    <t>Chesterfield town, NH</t>
  </si>
  <si>
    <t>CS3312420000000</t>
  </si>
  <si>
    <t>Chichester town, NH</t>
  </si>
  <si>
    <t>CT3312900000000</t>
  </si>
  <si>
    <t>Claremont city, NH</t>
  </si>
  <si>
    <t>CS3313220000000</t>
  </si>
  <si>
    <t>Clarksville town, NH</t>
  </si>
  <si>
    <t>CS3313780000000</t>
  </si>
  <si>
    <t>Colebrook town, NH</t>
  </si>
  <si>
    <t>CS3313940000000</t>
  </si>
  <si>
    <t>Columbia town, NH</t>
  </si>
  <si>
    <t>CT3314200000000</t>
  </si>
  <si>
    <t>Concord city, NH</t>
  </si>
  <si>
    <t>CS3314660000000</t>
  </si>
  <si>
    <t>Conway town, NH</t>
  </si>
  <si>
    <t>CS3315060000000</t>
  </si>
  <si>
    <t>Cornish town, NH</t>
  </si>
  <si>
    <t>CS3316340000000</t>
  </si>
  <si>
    <t>Croydon town, NH</t>
  </si>
  <si>
    <t>CS3316820000000</t>
  </si>
  <si>
    <t>Dalton town, NH</t>
  </si>
  <si>
    <t>CS3316980000000</t>
  </si>
  <si>
    <t>Danbury town, NH</t>
  </si>
  <si>
    <t>CS3317140000000</t>
  </si>
  <si>
    <t>Danville town, NH</t>
  </si>
  <si>
    <t>CS3317460000000</t>
  </si>
  <si>
    <t>Deerfield town, NH</t>
  </si>
  <si>
    <t>CS3317780000000</t>
  </si>
  <si>
    <t>Deering town, NH</t>
  </si>
  <si>
    <t>CS3317940000000</t>
  </si>
  <si>
    <t>Derry town, NH</t>
  </si>
  <si>
    <t>CS3318420000000</t>
  </si>
  <si>
    <t>Dixville township, NH</t>
  </si>
  <si>
    <t>CS3318740000000</t>
  </si>
  <si>
    <t>Dorchester town, NH</t>
  </si>
  <si>
    <t>CT3318820000000</t>
  </si>
  <si>
    <t>Dover city, NH</t>
  </si>
  <si>
    <t>CS3319140000000</t>
  </si>
  <si>
    <t>Dublin town, NH</t>
  </si>
  <si>
    <t>CS3319300000000</t>
  </si>
  <si>
    <t>Dummer town, NH</t>
  </si>
  <si>
    <t>CS3319460000000</t>
  </si>
  <si>
    <t>Dunbarton town, NH</t>
  </si>
  <si>
    <t>CS3319700000000</t>
  </si>
  <si>
    <t>Durham town, NH</t>
  </si>
  <si>
    <t>CS3321380000000</t>
  </si>
  <si>
    <t>East Kingston town, NH</t>
  </si>
  <si>
    <t>CS3322020000000</t>
  </si>
  <si>
    <t>Easton town, NH</t>
  </si>
  <si>
    <t>CS3323380000000</t>
  </si>
  <si>
    <t>Eaton town, NH</t>
  </si>
  <si>
    <t>CS3323620000000</t>
  </si>
  <si>
    <t>Effingham town, NH</t>
  </si>
  <si>
    <t>CS3323860000000</t>
  </si>
  <si>
    <t>Ellsworth town, NH</t>
  </si>
  <si>
    <t>CS3324340000000</t>
  </si>
  <si>
    <t>Enfield town, NH</t>
  </si>
  <si>
    <t>CS3324660000000</t>
  </si>
  <si>
    <t>Epping town, NH</t>
  </si>
  <si>
    <t>CS3324900000000</t>
  </si>
  <si>
    <t>Epsom town, NH</t>
  </si>
  <si>
    <t>CS3325140000000</t>
  </si>
  <si>
    <t>Errol town, NH</t>
  </si>
  <si>
    <t>CS3325380000000</t>
  </si>
  <si>
    <t>Exeter town, NH</t>
  </si>
  <si>
    <t>CS3326020000000</t>
  </si>
  <si>
    <t>Farmington town, NH</t>
  </si>
  <si>
    <t>CS3326500000000</t>
  </si>
  <si>
    <t>Fitzwilliam town, NH</t>
  </si>
  <si>
    <t>CS3327140000000</t>
  </si>
  <si>
    <t>Francestown town, NH</t>
  </si>
  <si>
    <t>CS3327300000000</t>
  </si>
  <si>
    <t>Franconia town, NH</t>
  </si>
  <si>
    <t>CT3327380000000</t>
  </si>
  <si>
    <t>Franklin city, NH</t>
  </si>
  <si>
    <t>SA3381020000000</t>
  </si>
  <si>
    <t>Franklin, NH LMA</t>
  </si>
  <si>
    <t>CS3327700000000</t>
  </si>
  <si>
    <t>Freedom town, NH</t>
  </si>
  <si>
    <t>CS3327940000000</t>
  </si>
  <si>
    <t>Fremont town, NH</t>
  </si>
  <si>
    <t>CS3328740000000</t>
  </si>
  <si>
    <t>Gilford town, NH</t>
  </si>
  <si>
    <t>CS3328980000000</t>
  </si>
  <si>
    <t>Gilmanton town, NH</t>
  </si>
  <si>
    <t>CS3329220000000</t>
  </si>
  <si>
    <t>Gilsum town, NH</t>
  </si>
  <si>
    <t>CS3329860000000</t>
  </si>
  <si>
    <t>Goffstown town, NH</t>
  </si>
  <si>
    <t>CS3330260000000</t>
  </si>
  <si>
    <t>Gorham town, NH</t>
  </si>
  <si>
    <t>CS3330500000000</t>
  </si>
  <si>
    <t>Goshen town, NH</t>
  </si>
  <si>
    <t>CS3330820000000</t>
  </si>
  <si>
    <t>Grafton town, NH</t>
  </si>
  <si>
    <t>CS3331220000000</t>
  </si>
  <si>
    <t>Grantham town, NH</t>
  </si>
  <si>
    <t>CS3331540000000</t>
  </si>
  <si>
    <t>Greenfield town, NH</t>
  </si>
  <si>
    <t>CS3331700000000</t>
  </si>
  <si>
    <t>Greenland town, NH</t>
  </si>
  <si>
    <t>CS3331940000000</t>
  </si>
  <si>
    <t>Greenville town, NH</t>
  </si>
  <si>
    <t>CS3332180000000</t>
  </si>
  <si>
    <t>Groton town, NH</t>
  </si>
  <si>
    <t>CS3332500000000</t>
  </si>
  <si>
    <t>Hale's location, NH</t>
  </si>
  <si>
    <t>CS3332900000000</t>
  </si>
  <si>
    <t>Hampstead town, NH</t>
  </si>
  <si>
    <t>CS3333460000000</t>
  </si>
  <si>
    <t>Hampton Falls town, NH</t>
  </si>
  <si>
    <t>CS3333060000000</t>
  </si>
  <si>
    <t>Hampton town, NH</t>
  </si>
  <si>
    <t>CS3333700000000</t>
  </si>
  <si>
    <t>Hancock town, NH</t>
  </si>
  <si>
    <t>CS3333860000000</t>
  </si>
  <si>
    <t>Hanover town, NH</t>
  </si>
  <si>
    <t>CS3334420000000</t>
  </si>
  <si>
    <t>Harrisville town, NH</t>
  </si>
  <si>
    <t>CS3334500000000</t>
  </si>
  <si>
    <t>Hart's Location town, NH</t>
  </si>
  <si>
    <t>CS3334820000000</t>
  </si>
  <si>
    <t>Haverhill town, NH</t>
  </si>
  <si>
    <t>SA3381260000000</t>
  </si>
  <si>
    <t>Haverhill, NH LMA</t>
  </si>
  <si>
    <t>CS3335220000000</t>
  </si>
  <si>
    <t>Hebron town, NH</t>
  </si>
  <si>
    <t>CS3335540000000</t>
  </si>
  <si>
    <t>Henniker town, NH</t>
  </si>
  <si>
    <t>CS3335860000000</t>
  </si>
  <si>
    <t>Hill town, NH</t>
  </si>
  <si>
    <t>CS3336180000000</t>
  </si>
  <si>
    <t>Hillsborough town, NH</t>
  </si>
  <si>
    <t>SA3381380000000</t>
  </si>
  <si>
    <t>Hillsborough, NH LMA</t>
  </si>
  <si>
    <t>CS3336660000000</t>
  </si>
  <si>
    <t>Hinsdale town, NH</t>
  </si>
  <si>
    <t>CS3336900000000</t>
  </si>
  <si>
    <t>Holderness town, NH</t>
  </si>
  <si>
    <t>CS3337140000000</t>
  </si>
  <si>
    <t>Hollis town, NH</t>
  </si>
  <si>
    <t>CS3337300000000</t>
  </si>
  <si>
    <t>Hooksett town, NH</t>
  </si>
  <si>
    <t>CS3337540000000</t>
  </si>
  <si>
    <t>Hopkinton town, NH</t>
  </si>
  <si>
    <t>CS3337940000000</t>
  </si>
  <si>
    <t>Hudson town, NH</t>
  </si>
  <si>
    <t>CS3338260000000</t>
  </si>
  <si>
    <t>Jackson town, NH</t>
  </si>
  <si>
    <t>CS3338500000000</t>
  </si>
  <si>
    <t>Jaffrey town, NH</t>
  </si>
  <si>
    <t>CS3338820000000</t>
  </si>
  <si>
    <t>Jefferson town, NH</t>
  </si>
  <si>
    <t>CT3339300000000</t>
  </si>
  <si>
    <t>Keene city, NH</t>
  </si>
  <si>
    <t>CS3339780000000</t>
  </si>
  <si>
    <t>Kensington town, NH</t>
  </si>
  <si>
    <t>CS3340100000000</t>
  </si>
  <si>
    <t>Kingston town, NH</t>
  </si>
  <si>
    <t>CT3340180000000</t>
  </si>
  <si>
    <t>Laconia city, NH</t>
  </si>
  <si>
    <t>CS3340420000000</t>
  </si>
  <si>
    <t>Lancaster town, NH</t>
  </si>
  <si>
    <t>CS3340660000000</t>
  </si>
  <si>
    <t>Landaff town, NH</t>
  </si>
  <si>
    <t>CS3340900000000</t>
  </si>
  <si>
    <t>Langdon town, NH</t>
  </si>
  <si>
    <t>CT3341300000000</t>
  </si>
  <si>
    <t>Lebanon city, NH</t>
  </si>
  <si>
    <t>CS3341460000000</t>
  </si>
  <si>
    <t>Lee town, NH</t>
  </si>
  <si>
    <t>CS3341700000000</t>
  </si>
  <si>
    <t>Lempster town, NH</t>
  </si>
  <si>
    <t>CS3341860000000</t>
  </si>
  <si>
    <t>Lincoln town, NH</t>
  </si>
  <si>
    <t>CS3342020000000</t>
  </si>
  <si>
    <t>Lisbon town, NH</t>
  </si>
  <si>
    <t>CS3342260000000</t>
  </si>
  <si>
    <t>Litchfield town, NH</t>
  </si>
  <si>
    <t>CS3342580000000</t>
  </si>
  <si>
    <t>Littleton town, NH</t>
  </si>
  <si>
    <t>CS3343220000000</t>
  </si>
  <si>
    <t>Londonderry town, NH</t>
  </si>
  <si>
    <t>CS3343380000000</t>
  </si>
  <si>
    <t>Loudon town, NH</t>
  </si>
  <si>
    <t>CS3344100000000</t>
  </si>
  <si>
    <t>Lyman town, NH</t>
  </si>
  <si>
    <t>CS3344260000000</t>
  </si>
  <si>
    <t>Lyme town, NH</t>
  </si>
  <si>
    <t>CS3344580000000</t>
  </si>
  <si>
    <t>Lyndeborough town, NH</t>
  </si>
  <si>
    <t>CS3344820000000</t>
  </si>
  <si>
    <t>Madbury town, NH</t>
  </si>
  <si>
    <t>CS3345060000000</t>
  </si>
  <si>
    <t>Madison town, NH</t>
  </si>
  <si>
    <t>CT3345140000000</t>
  </si>
  <si>
    <t>Manchester city, NH</t>
  </si>
  <si>
    <t>CS3345460000000</t>
  </si>
  <si>
    <t>Marlborough town, NH</t>
  </si>
  <si>
    <t>CS3345700000000</t>
  </si>
  <si>
    <t>Marlow town, NH</t>
  </si>
  <si>
    <t>CS3346260000000</t>
  </si>
  <si>
    <t>Mason town, NH</t>
  </si>
  <si>
    <t>CS3347140000000</t>
  </si>
  <si>
    <t>Meredith town, NH</t>
  </si>
  <si>
    <t>SA3381780000000</t>
  </si>
  <si>
    <t>Meredith, NH LMA</t>
  </si>
  <si>
    <t>CS3347540000000</t>
  </si>
  <si>
    <t>Merrimack town, NH</t>
  </si>
  <si>
    <t>CS3347700000000</t>
  </si>
  <si>
    <t>Middleton town, NH</t>
  </si>
  <si>
    <t>CS3347860000000</t>
  </si>
  <si>
    <t>Milan town, NH</t>
  </si>
  <si>
    <t>CS3348020000000</t>
  </si>
  <si>
    <t>Milford town, NH</t>
  </si>
  <si>
    <t>CS3348260000000</t>
  </si>
  <si>
    <t>Millsfield township, NH</t>
  </si>
  <si>
    <t>CS3348660000000</t>
  </si>
  <si>
    <t>Milton town, NH</t>
  </si>
  <si>
    <t>CS3348980000000</t>
  </si>
  <si>
    <t>Monroe town, NH</t>
  </si>
  <si>
    <t>CS3349140000000</t>
  </si>
  <si>
    <t>Mont Vernon town, NH</t>
  </si>
  <si>
    <t>CS3349380000000</t>
  </si>
  <si>
    <t>Moultonborough town, NH</t>
  </si>
  <si>
    <t>CT3350260000000</t>
  </si>
  <si>
    <t>Nashua city, NH</t>
  </si>
  <si>
    <t>CS3350580000000</t>
  </si>
  <si>
    <t>Nelson town, NH</t>
  </si>
  <si>
    <t>CS3350740000000</t>
  </si>
  <si>
    <t>New Boston town, NH</t>
  </si>
  <si>
    <t>CS3350980000000</t>
  </si>
  <si>
    <t>New Castle town, NH</t>
  </si>
  <si>
    <t>CS3351220000000</t>
  </si>
  <si>
    <t>New Durham town, NH</t>
  </si>
  <si>
    <t>CS3351540000000</t>
  </si>
  <si>
    <t>New Hampton town, NH</t>
  </si>
  <si>
    <t>CS3351940000000</t>
  </si>
  <si>
    <t>New Ipswich town, NH</t>
  </si>
  <si>
    <t>CS3352100000000</t>
  </si>
  <si>
    <t>New London town, NH</t>
  </si>
  <si>
    <t>SA3381980000000</t>
  </si>
  <si>
    <t>New London, NH LMA</t>
  </si>
  <si>
    <t>CS3350900000000</t>
  </si>
  <si>
    <t>Newbury town, NH</t>
  </si>
  <si>
    <t>CS3351380000000</t>
  </si>
  <si>
    <t>Newfields town, NH</t>
  </si>
  <si>
    <t>CS3351620000000</t>
  </si>
  <si>
    <t>Newington town, NH</t>
  </si>
  <si>
    <t>CS3352340000000</t>
  </si>
  <si>
    <t>Newmarket town, NH</t>
  </si>
  <si>
    <t>CS3352580000000</t>
  </si>
  <si>
    <t>Newport town, NH</t>
  </si>
  <si>
    <t>SA3382040000000</t>
  </si>
  <si>
    <t>Newport, NH LMA</t>
  </si>
  <si>
    <t>CS3352900000000</t>
  </si>
  <si>
    <t>Newton town, NH</t>
  </si>
  <si>
    <t>CS3354580000000</t>
  </si>
  <si>
    <t>North Hampton town, NH</t>
  </si>
  <si>
    <t>CS3354260000000</t>
  </si>
  <si>
    <t>Northfield town, NH</t>
  </si>
  <si>
    <t>CS3356100000000</t>
  </si>
  <si>
    <t>Northumberland town, NH</t>
  </si>
  <si>
    <t>CS3356820000000</t>
  </si>
  <si>
    <t>Northwood town, NH</t>
  </si>
  <si>
    <t>CS3357460000000</t>
  </si>
  <si>
    <t>Nottingham town, NH</t>
  </si>
  <si>
    <t>CS3358340000000</t>
  </si>
  <si>
    <t>Orange town, NH</t>
  </si>
  <si>
    <t>CS3358500000000</t>
  </si>
  <si>
    <t>Orford town, NH</t>
  </si>
  <si>
    <t>CS3358740000000</t>
  </si>
  <si>
    <t>Ossipee town, NH</t>
  </si>
  <si>
    <t>CS3359940000000</t>
  </si>
  <si>
    <t>Pelham town, NH</t>
  </si>
  <si>
    <t>CS3360020000000</t>
  </si>
  <si>
    <t>Pembroke town, NH</t>
  </si>
  <si>
    <t>CS3360580000000</t>
  </si>
  <si>
    <t>Peterborough town, NH</t>
  </si>
  <si>
    <t>SA3382220000000</t>
  </si>
  <si>
    <t>Peterborough, NH LMA</t>
  </si>
  <si>
    <t>CS3361060000000</t>
  </si>
  <si>
    <t>Piermont town, NH</t>
  </si>
  <si>
    <t>CS3361620000000</t>
  </si>
  <si>
    <t>Pinkhams grant, NH</t>
  </si>
  <si>
    <t>CS3361780000000</t>
  </si>
  <si>
    <t>Pittsburg town, NH</t>
  </si>
  <si>
    <t>CS3361940000000</t>
  </si>
  <si>
    <t>Pittsfield town, NH</t>
  </si>
  <si>
    <t>CS3362340000000</t>
  </si>
  <si>
    <t>Plainfield town, NH</t>
  </si>
  <si>
    <t>CS3362500000000</t>
  </si>
  <si>
    <t>Plaistow town, NH</t>
  </si>
  <si>
    <t>CS3362660000000</t>
  </si>
  <si>
    <t>Plymouth town, NH</t>
  </si>
  <si>
    <t>SA3382300000000</t>
  </si>
  <si>
    <t>Plymouth, NH LMA</t>
  </si>
  <si>
    <t>CT3362900000000</t>
  </si>
  <si>
    <t>Portsmouth city, NH</t>
  </si>
  <si>
    <t>CS3363860000000</t>
  </si>
  <si>
    <t>Randolph town, NH</t>
  </si>
  <si>
    <t>CS3364020000000</t>
  </si>
  <si>
    <t>Raymond town, NH</t>
  </si>
  <si>
    <t>SA3382460000000</t>
  </si>
  <si>
    <t>Raymond, NH LMA</t>
  </si>
  <si>
    <t>CS3364420000000</t>
  </si>
  <si>
    <t>Richmond town, NH</t>
  </si>
  <si>
    <t>CS3364580000000</t>
  </si>
  <si>
    <t>Rindge town, NH</t>
  </si>
  <si>
    <t>CT3365140000000</t>
  </si>
  <si>
    <t>Rochester city, NH</t>
  </si>
  <si>
    <t>CS3365540000000</t>
  </si>
  <si>
    <t>Rollinsford town, NH</t>
  </si>
  <si>
    <t>CS3365700000000</t>
  </si>
  <si>
    <t>Roxbury town, NH</t>
  </si>
  <si>
    <t>CS3365940000000</t>
  </si>
  <si>
    <t>Rumney town, NH</t>
  </si>
  <si>
    <t>CS3366180000000</t>
  </si>
  <si>
    <t>Rye town, NH</t>
  </si>
  <si>
    <t>CS3366660000000</t>
  </si>
  <si>
    <t>Salem town, NH</t>
  </si>
  <si>
    <t>CS3366980000000</t>
  </si>
  <si>
    <t>Salisbury town, NH</t>
  </si>
  <si>
    <t>CS3367300000000</t>
  </si>
  <si>
    <t>Sanbornton town, NH</t>
  </si>
  <si>
    <t>CS3367620000000</t>
  </si>
  <si>
    <t>Sandown town, NH</t>
  </si>
  <si>
    <t>CS3367780000000</t>
  </si>
  <si>
    <t>Sandwich town, NH</t>
  </si>
  <si>
    <t>CS3368260000000</t>
  </si>
  <si>
    <t>Seabrook town, NH</t>
  </si>
  <si>
    <t>CS3368820000000</t>
  </si>
  <si>
    <t>Sharon town, NH</t>
  </si>
  <si>
    <t>CS3368980000000</t>
  </si>
  <si>
    <t>Shelburne town, NH</t>
  </si>
  <si>
    <t>CT3369940000000</t>
  </si>
  <si>
    <t>Somersworth city, NH</t>
  </si>
  <si>
    <t>CS3371140000000</t>
  </si>
  <si>
    <t>South Hampton town, NH</t>
  </si>
  <si>
    <t>CS3372740000000</t>
  </si>
  <si>
    <t>Springfield town, NH</t>
  </si>
  <si>
    <t>CS3373060000000</t>
  </si>
  <si>
    <t>Stark town, NH</t>
  </si>
  <si>
    <t>CS3373380000000</t>
  </si>
  <si>
    <t>Stewartstown town, NH</t>
  </si>
  <si>
    <t>CS3373700000000</t>
  </si>
  <si>
    <t>Stoddard town, NH</t>
  </si>
  <si>
    <t>CS3373860000000</t>
  </si>
  <si>
    <t>Strafford town, NH</t>
  </si>
  <si>
    <t>CS3374180000000</t>
  </si>
  <si>
    <t>Stratford town, NH</t>
  </si>
  <si>
    <t>CS3374340000000</t>
  </si>
  <si>
    <t>Stratham town, NH</t>
  </si>
  <si>
    <t>CS3374740000000</t>
  </si>
  <si>
    <t>Sugar Hill town, NH</t>
  </si>
  <si>
    <t>CS3374900000000</t>
  </si>
  <si>
    <t>Sullivan town, NH</t>
  </si>
  <si>
    <t>CS3375060000000</t>
  </si>
  <si>
    <t>Sunapee town, NH</t>
  </si>
  <si>
    <t>CS3375300000000</t>
  </si>
  <si>
    <t>Surry town, NH</t>
  </si>
  <si>
    <t>CS3375460000000</t>
  </si>
  <si>
    <t>Sutton town, NH</t>
  </si>
  <si>
    <t>CS3375700000000</t>
  </si>
  <si>
    <t>Swanzey town, NH</t>
  </si>
  <si>
    <t>CS3376100000000</t>
  </si>
  <si>
    <t>Tamworth town, NH</t>
  </si>
  <si>
    <t>CS3376260000000</t>
  </si>
  <si>
    <t>Temple town, NH</t>
  </si>
  <si>
    <t>CS3376740000000</t>
  </si>
  <si>
    <t>Thornton town, NH</t>
  </si>
  <si>
    <t>CS3377060000000</t>
  </si>
  <si>
    <t>Tilton town, NH</t>
  </si>
  <si>
    <t>CS3377380000000</t>
  </si>
  <si>
    <t>Troy town, NH</t>
  </si>
  <si>
    <t>CS3377620000000</t>
  </si>
  <si>
    <t>Tuftonboro town, NH</t>
  </si>
  <si>
    <t>CS3377940000000</t>
  </si>
  <si>
    <t>Unity town, NH</t>
  </si>
  <si>
    <t>CS3378180000000</t>
  </si>
  <si>
    <t>Wakefield town, NH</t>
  </si>
  <si>
    <t>CS3378420000000</t>
  </si>
  <si>
    <t>Walpole town, NH</t>
  </si>
  <si>
    <t>CS3378580000000</t>
  </si>
  <si>
    <t>Warner town, NH</t>
  </si>
  <si>
    <t>CS3378740000000</t>
  </si>
  <si>
    <t>Warren town, NH</t>
  </si>
  <si>
    <t>CS3378980000000</t>
  </si>
  <si>
    <t>Washington town, NH</t>
  </si>
  <si>
    <t>CS3379380000000</t>
  </si>
  <si>
    <t>Waterville Valley town, NH</t>
  </si>
  <si>
    <t>CS3379780000000</t>
  </si>
  <si>
    <t>Weare town, NH</t>
  </si>
  <si>
    <t>CS3380020000000</t>
  </si>
  <si>
    <t>Webster town, NH</t>
  </si>
  <si>
    <t>CS3380740000000</t>
  </si>
  <si>
    <t>Wentworth location, NH</t>
  </si>
  <si>
    <t>CS3380500000000</t>
  </si>
  <si>
    <t>Wentworth town, NH</t>
  </si>
  <si>
    <t>CS3382660000000</t>
  </si>
  <si>
    <t>Westmoreland town, NH</t>
  </si>
  <si>
    <t>CS3384420000000</t>
  </si>
  <si>
    <t>Whitefield town, NH</t>
  </si>
  <si>
    <t>CS3384900000000</t>
  </si>
  <si>
    <t>Wilmot town, NH</t>
  </si>
  <si>
    <t>CS3385220000000</t>
  </si>
  <si>
    <t>Wilton town, NH</t>
  </si>
  <si>
    <t>CS3385540000000</t>
  </si>
  <si>
    <t>Winchester town, NH</t>
  </si>
  <si>
    <t>CS3385780000000</t>
  </si>
  <si>
    <t>Windham town, NH</t>
  </si>
  <si>
    <t>CS3385940000000</t>
  </si>
  <si>
    <t>Windsor town, NH</t>
  </si>
  <si>
    <t>CS3386420000000</t>
  </si>
  <si>
    <t>Wolfeboro town, NH</t>
  </si>
  <si>
    <t>SA3382940000000</t>
  </si>
  <si>
    <t>Wolfeboro, NH LMA</t>
  </si>
  <si>
    <t>CS3387060000000</t>
  </si>
  <si>
    <t>Woodstock town, NH</t>
  </si>
  <si>
    <t>CT3402080000000</t>
  </si>
  <si>
    <t>Atlantic City city, NJ</t>
  </si>
  <si>
    <t>CT3403580000000</t>
  </si>
  <si>
    <t>Bayonne city, NJ</t>
  </si>
  <si>
    <t>CS3404695000000</t>
  </si>
  <si>
    <t>Belleville township, NJ</t>
  </si>
  <si>
    <t>CT3405170000000</t>
  </si>
  <si>
    <t>Bergenfield borough, NJ</t>
  </si>
  <si>
    <t>CS3405305000000</t>
  </si>
  <si>
    <t>Berkeley township, NJ</t>
  </si>
  <si>
    <t>CS3405560000000</t>
  </si>
  <si>
    <t>Bernards township, NJ</t>
  </si>
  <si>
    <t>CS3406260000000</t>
  </si>
  <si>
    <t>Bloomfield township, NJ</t>
  </si>
  <si>
    <t>CS3407420000000</t>
  </si>
  <si>
    <t>Brick township, NJ</t>
  </si>
  <si>
    <t>CT3407600000000</t>
  </si>
  <si>
    <t>Bridgeton city, NJ</t>
  </si>
  <si>
    <t>CS3407720000000</t>
  </si>
  <si>
    <t>Bridgewater township, NJ</t>
  </si>
  <si>
    <t>CT3410000000000</t>
  </si>
  <si>
    <t>Camden city, NJ</t>
  </si>
  <si>
    <t>CS3412280000000</t>
  </si>
  <si>
    <t>Cherry Hill township, NJ</t>
  </si>
  <si>
    <t>CS3413045000000</t>
  </si>
  <si>
    <t>City of Orange township, NJ</t>
  </si>
  <si>
    <t>CT3413570000000</t>
  </si>
  <si>
    <t>Cliffside Park borough, NJ</t>
  </si>
  <si>
    <t>CT3413690000000</t>
  </si>
  <si>
    <t>Clifton city, NJ</t>
  </si>
  <si>
    <t>CS3417710000000</t>
  </si>
  <si>
    <t>Deptford township, NJ</t>
  </si>
  <si>
    <t>CS3419000000000</t>
  </si>
  <si>
    <t>East Brunswick township, NJ</t>
  </si>
  <si>
    <t>CT3419390000000</t>
  </si>
  <si>
    <t>East Orange city, NJ</t>
  </si>
  <si>
    <t>CS3419780000000</t>
  </si>
  <si>
    <t>East Windsor township, NJ</t>
  </si>
  <si>
    <t>CS3420230000000</t>
  </si>
  <si>
    <t>Edison township, NJ</t>
  </si>
  <si>
    <t>CS3420290000000</t>
  </si>
  <si>
    <t>Egg Harbor township, NJ</t>
  </si>
  <si>
    <t>CT3421000000000</t>
  </si>
  <si>
    <t>Elizabeth city, NJ</t>
  </si>
  <si>
    <t>CT3421480000000</t>
  </si>
  <si>
    <t>Englewood city, NJ</t>
  </si>
  <si>
    <t>CS3422110000000</t>
  </si>
  <si>
    <t>Evesham township, NJ</t>
  </si>
  <si>
    <t>CS3422185000000</t>
  </si>
  <si>
    <t>Ewing township, NJ</t>
  </si>
  <si>
    <t>CT3422470000000</t>
  </si>
  <si>
    <t>Fair Lawn borough, NJ</t>
  </si>
  <si>
    <t>CT3424420000000</t>
  </si>
  <si>
    <t>Fort Lee borough, NJ</t>
  </si>
  <si>
    <t>CS3424900000000</t>
  </si>
  <si>
    <t>Franklin township (Somerset County), NJ</t>
  </si>
  <si>
    <t>CS3425230000000</t>
  </si>
  <si>
    <t>Freehold township, NJ</t>
  </si>
  <si>
    <t>CS3425560000000</t>
  </si>
  <si>
    <t>Galloway township, NJ</t>
  </si>
  <si>
    <t>CT3425770000000</t>
  </si>
  <si>
    <t>Garfield city, NJ</t>
  </si>
  <si>
    <t>CS3426760000000</t>
  </si>
  <si>
    <t>Gloucester township, NJ</t>
  </si>
  <si>
    <t>CT3428680000000</t>
  </si>
  <si>
    <t>Hackensack city, NJ</t>
  </si>
  <si>
    <t>CS3429280000000</t>
  </si>
  <si>
    <t>Hamilton township (Atlantic County), NJ</t>
  </si>
  <si>
    <t>CS3429310000000</t>
  </si>
  <si>
    <t>Hamilton township (Mercer County), NJ</t>
  </si>
  <si>
    <t>CS3431890000000</t>
  </si>
  <si>
    <t>Hillsborough township, NJ</t>
  </si>
  <si>
    <t>CT3432250000000</t>
  </si>
  <si>
    <t>Hoboken city, NJ</t>
  </si>
  <si>
    <t>CS3433300000000</t>
  </si>
  <si>
    <t>Howell township, NJ</t>
  </si>
  <si>
    <t>CS3434450000000</t>
  </si>
  <si>
    <t>Irvington township, NJ</t>
  </si>
  <si>
    <t>CS3434680000000</t>
  </si>
  <si>
    <t>Jackson township, NJ</t>
  </si>
  <si>
    <t>CT3436000000000</t>
  </si>
  <si>
    <t>Jersey City city, NJ</t>
  </si>
  <si>
    <t>CT3436510000000</t>
  </si>
  <si>
    <t>Kearny town, NJ</t>
  </si>
  <si>
    <t>CS3437380000000</t>
  </si>
  <si>
    <t>Lacey township, NJ</t>
  </si>
  <si>
    <t>CS3438550000000</t>
  </si>
  <si>
    <t>Lakewood township, NJ</t>
  </si>
  <si>
    <t>CS3439510000000</t>
  </si>
  <si>
    <t>Lawrence township (Mercer County), NJ</t>
  </si>
  <si>
    <t>CT3440350000000</t>
  </si>
  <si>
    <t>Linden city, NJ</t>
  </si>
  <si>
    <t>CS3440890000000</t>
  </si>
  <si>
    <t>Livingston township, NJ</t>
  </si>
  <si>
    <t>CT3441310000000</t>
  </si>
  <si>
    <t>Long Branch city, NJ</t>
  </si>
  <si>
    <t>CS3442750000000</t>
  </si>
  <si>
    <t>Mahwah township, NJ</t>
  </si>
  <si>
    <t>CS3442990000000</t>
  </si>
  <si>
    <t>Manalapan township, NJ</t>
  </si>
  <si>
    <t>CS3443140000000</t>
  </si>
  <si>
    <t>Manchester township, NJ</t>
  </si>
  <si>
    <t>CS3443800000000</t>
  </si>
  <si>
    <t>Maplewood township, NJ</t>
  </si>
  <si>
    <t>CS3444070000000</t>
  </si>
  <si>
    <t>Marlboro township, NJ</t>
  </si>
  <si>
    <t>CS3445990000000</t>
  </si>
  <si>
    <t>Middletown township, NJ</t>
  </si>
  <si>
    <t>CT3446680000000</t>
  </si>
  <si>
    <t>Millville city, NJ</t>
  </si>
  <si>
    <t>CS3447250000000</t>
  </si>
  <si>
    <t>Monroe township (Gloucester County), NJ</t>
  </si>
  <si>
    <t>CS3447280000000</t>
  </si>
  <si>
    <t>Monroe township (Middlesex County), NJ</t>
  </si>
  <si>
    <t>CS3447500000000</t>
  </si>
  <si>
    <t>Montclair township, NJ</t>
  </si>
  <si>
    <t>CS3449020000000</t>
  </si>
  <si>
    <t>Mount Laurel township, NJ</t>
  </si>
  <si>
    <t>CS3449080000000</t>
  </si>
  <si>
    <t>Mount Olive township, NJ</t>
  </si>
  <si>
    <t>CS3449890000000</t>
  </si>
  <si>
    <t>Neptune township, NJ</t>
  </si>
  <si>
    <t>CT3451210000000</t>
  </si>
  <si>
    <t>New Brunswick city, NJ</t>
  </si>
  <si>
    <t>CT3451000000000</t>
  </si>
  <si>
    <t>Newark city, NJ</t>
  </si>
  <si>
    <t>CS3452470000000</t>
  </si>
  <si>
    <t>North Bergen township, NJ</t>
  </si>
  <si>
    <t>CS3452560000000</t>
  </si>
  <si>
    <t>North Brunswick township, NJ</t>
  </si>
  <si>
    <t>CS3453680000000</t>
  </si>
  <si>
    <t>Nutley township, NJ</t>
  </si>
  <si>
    <t>CS3454270000000</t>
  </si>
  <si>
    <t>Ocean township (Monmouth County), NJ</t>
  </si>
  <si>
    <t>CS3454705000000</t>
  </si>
  <si>
    <t>Old Bridge township, NJ</t>
  </si>
  <si>
    <t>CT3455950000000</t>
  </si>
  <si>
    <t>Paramus borough, NJ</t>
  </si>
  <si>
    <t>CS3456460000000</t>
  </si>
  <si>
    <t>Parsippany-Troy Hills township, NJ</t>
  </si>
  <si>
    <t>CT3456550000000</t>
  </si>
  <si>
    <t>Passaic city, NJ</t>
  </si>
  <si>
    <t>CT3457000000000</t>
  </si>
  <si>
    <t>Paterson city, NJ</t>
  </si>
  <si>
    <t>CS3457510000000</t>
  </si>
  <si>
    <t>Pemberton township, NJ</t>
  </si>
  <si>
    <t>CS3457660000000</t>
  </si>
  <si>
    <t>Pennsauken township, NJ</t>
  </si>
  <si>
    <t>CT3458200000000</t>
  </si>
  <si>
    <t>Perth Amboy city, NJ</t>
  </si>
  <si>
    <t>CS3459010000000</t>
  </si>
  <si>
    <t>Piscataway township, NJ</t>
  </si>
  <si>
    <t>CT3459190000000</t>
  </si>
  <si>
    <t>Plainfield city, NJ</t>
  </si>
  <si>
    <t>CT3460900000000</t>
  </si>
  <si>
    <t>Princeton, NJ</t>
  </si>
  <si>
    <t>CT3461530000000</t>
  </si>
  <si>
    <t>Rahway city, NJ</t>
  </si>
  <si>
    <t>CS3461890000000</t>
  </si>
  <si>
    <t>Randolph township, NJ</t>
  </si>
  <si>
    <t>CT3463000000000</t>
  </si>
  <si>
    <t>Ridgewood village, NJ</t>
  </si>
  <si>
    <t>CS3464080000000</t>
  </si>
  <si>
    <t>Rockaway township, NJ</t>
  </si>
  <si>
    <t>CT3465790000000</t>
  </si>
  <si>
    <t>Sayreville borough, NJ</t>
  </si>
  <si>
    <t>CS3468790000000</t>
  </si>
  <si>
    <t>South Brunswick township, NJ</t>
  </si>
  <si>
    <t>CS3470320000000</t>
  </si>
  <si>
    <t>Stafford township, NJ</t>
  </si>
  <si>
    <t>CS3472360000000</t>
  </si>
  <si>
    <t>Teaneck township, NJ</t>
  </si>
  <si>
    <t>CS3473125000000</t>
  </si>
  <si>
    <t>Toms River township, NJ</t>
  </si>
  <si>
    <t>CT3474000000000</t>
  </si>
  <si>
    <t>Trenton city, NJ</t>
  </si>
  <si>
    <t>CT3474630000000</t>
  </si>
  <si>
    <t>Union City city, NJ</t>
  </si>
  <si>
    <t>CS3474480000000</t>
  </si>
  <si>
    <t>Union township (Union County), NJ</t>
  </si>
  <si>
    <t>CS3475740000000</t>
  </si>
  <si>
    <t>Vernon township, NJ</t>
  </si>
  <si>
    <t>CT3476070000000</t>
  </si>
  <si>
    <t>Vineland city, NJ</t>
  </si>
  <si>
    <t>CS3476220000000</t>
  </si>
  <si>
    <t>Voorhees township, NJ</t>
  </si>
  <si>
    <t>CS3476460000000</t>
  </si>
  <si>
    <t>Wall township, NJ</t>
  </si>
  <si>
    <t>CS3477180000000</t>
  </si>
  <si>
    <t>Washington township (Gloucester County), NJ</t>
  </si>
  <si>
    <t>CS3477840000000</t>
  </si>
  <si>
    <t>Wayne township, NJ</t>
  </si>
  <si>
    <t>CS3479460000000</t>
  </si>
  <si>
    <t>West Milford township, NJ</t>
  </si>
  <si>
    <t>CT3479610000000</t>
  </si>
  <si>
    <t>West New York town, NJ</t>
  </si>
  <si>
    <t>CS3479800000000</t>
  </si>
  <si>
    <t>West Orange township, NJ</t>
  </si>
  <si>
    <t>CS3480240000000</t>
  </si>
  <si>
    <t>West Windsor township, NJ</t>
  </si>
  <si>
    <t>CT3479040000000</t>
  </si>
  <si>
    <t>Westfield town, NJ</t>
  </si>
  <si>
    <t>CS3481440000000</t>
  </si>
  <si>
    <t>Willingboro township, NJ</t>
  </si>
  <si>
    <t>CS3481740000000</t>
  </si>
  <si>
    <t>Winslow township, NJ</t>
  </si>
  <si>
    <t>CS3482000000000</t>
  </si>
  <si>
    <t>Woodbridge township, NJ</t>
  </si>
  <si>
    <t>CT3501780000000</t>
  </si>
  <si>
    <t>Alamogordo city, NM</t>
  </si>
  <si>
    <t>CT3502000000000</t>
  </si>
  <si>
    <t>Albuquerque city, NM</t>
  </si>
  <si>
    <t>CT3512150000000</t>
  </si>
  <si>
    <t>Carlsbad city, NM</t>
  </si>
  <si>
    <t>CT3516420000000</t>
  </si>
  <si>
    <t>Clovis city, NM</t>
  </si>
  <si>
    <t>CT3525800000000</t>
  </si>
  <si>
    <t>Farmington city, NM</t>
  </si>
  <si>
    <t>CT3532520000000</t>
  </si>
  <si>
    <t>Hobbs city, NM</t>
  </si>
  <si>
    <t>CT3539380000000</t>
  </si>
  <si>
    <t>Las Cruces city, NM</t>
  </si>
  <si>
    <t>CT3563460000000</t>
  </si>
  <si>
    <t>Rio Rancho city, NM</t>
  </si>
  <si>
    <t>CT3564930000000</t>
  </si>
  <si>
    <t>Roswell city, NM</t>
  </si>
  <si>
    <t>CT3570500000000</t>
  </si>
  <si>
    <t>Santa Fe city, NM</t>
  </si>
  <si>
    <t>CT3209700000000</t>
  </si>
  <si>
    <t>CT3231900000000</t>
  </si>
  <si>
    <t>Henderson city, NV</t>
  </si>
  <si>
    <t>CT3240000000000</t>
  </si>
  <si>
    <t>Las Vegas city, NV</t>
  </si>
  <si>
    <t>CT3251800000000</t>
  </si>
  <si>
    <t>North Las Vegas city, NV</t>
  </si>
  <si>
    <t>CT3260600000000</t>
  </si>
  <si>
    <t>Reno city, NV</t>
  </si>
  <si>
    <t>CT3268400000000</t>
  </si>
  <si>
    <t>Sparks city, NV</t>
  </si>
  <si>
    <t>CT3601000000000</t>
  </si>
  <si>
    <t>Albany city, NY</t>
  </si>
  <si>
    <t>CS3602000000000</t>
  </si>
  <si>
    <t>Amherst town, NY</t>
  </si>
  <si>
    <t>CT3603078000000</t>
  </si>
  <si>
    <t>Auburn city, NY</t>
  </si>
  <si>
    <t>CS3604000000000</t>
  </si>
  <si>
    <t>Babylon town, NY</t>
  </si>
  <si>
    <t>CS3606354000000</t>
  </si>
  <si>
    <t>Bethlehem town, NY</t>
  </si>
  <si>
    <t>CT3606607000000</t>
  </si>
  <si>
    <t>Binghamton city, NY</t>
  </si>
  <si>
    <t>CS3608246000000</t>
  </si>
  <si>
    <t>Brighton town (Monroe County), NY</t>
  </si>
  <si>
    <t>CS3610000000000</t>
  </si>
  <si>
    <t>Brookhaven town, NY</t>
  </si>
  <si>
    <t>CT3611000000000</t>
  </si>
  <si>
    <t>Buffalo city, NY</t>
  </si>
  <si>
    <t>CS3612529000000</t>
  </si>
  <si>
    <t>Carmel town, NY</t>
  </si>
  <si>
    <t>CS3615011000000</t>
  </si>
  <si>
    <t>Cheektowaga town, NY</t>
  </si>
  <si>
    <t>CS3615462000000</t>
  </si>
  <si>
    <t>Chili town, NY</t>
  </si>
  <si>
    <t>CS3615704000000</t>
  </si>
  <si>
    <t>Cicero town, NY</t>
  </si>
  <si>
    <t>CS3615825000000</t>
  </si>
  <si>
    <t>Clarence town, NY</t>
  </si>
  <si>
    <t>CS3615968000000</t>
  </si>
  <si>
    <t>Clarkstown town, NY</t>
  </si>
  <si>
    <t>CS3616067000000</t>
  </si>
  <si>
    <t>Clay town, NY</t>
  </si>
  <si>
    <t>CS3616353000000</t>
  </si>
  <si>
    <t>Clifton Park town, NY</t>
  </si>
  <si>
    <t>CS3617343000000</t>
  </si>
  <si>
    <t>Colonie town, NY</t>
  </si>
  <si>
    <t>CS3618410000000</t>
  </si>
  <si>
    <t>Cortlandt town, NY</t>
  </si>
  <si>
    <t>CS3620478000000</t>
  </si>
  <si>
    <t>De Witt town, NY</t>
  </si>
  <si>
    <t>CS3621996000000</t>
  </si>
  <si>
    <t>East Fishkill town, NY</t>
  </si>
  <si>
    <t>CS3621820000000</t>
  </si>
  <si>
    <t>Eastchester town, NY</t>
  </si>
  <si>
    <t>CT3624229000000</t>
  </si>
  <si>
    <t>Elmira city, NY</t>
  </si>
  <si>
    <t>CT3627485000000</t>
  </si>
  <si>
    <t>Freeport village, NY</t>
  </si>
  <si>
    <t>CS3628442000000</t>
  </si>
  <si>
    <t>Gates town, NY</t>
  </si>
  <si>
    <t>CT3629113000000</t>
  </si>
  <si>
    <t>Glen Cove city, NY</t>
  </si>
  <si>
    <t>CS3629366000000</t>
  </si>
  <si>
    <t>Glenville town, NY</t>
  </si>
  <si>
    <t>CS3630290000000</t>
  </si>
  <si>
    <t>Greece town, NY</t>
  </si>
  <si>
    <t>CS3630367000000</t>
  </si>
  <si>
    <t>Greenburgh town, NY</t>
  </si>
  <si>
    <t>CS3631104000000</t>
  </si>
  <si>
    <t>Guilderland town, NY</t>
  </si>
  <si>
    <t>CS3631654000000</t>
  </si>
  <si>
    <t>Hamburg town, NY</t>
  </si>
  <si>
    <t>CT3632402000000</t>
  </si>
  <si>
    <t>Harrison village/town, NY</t>
  </si>
  <si>
    <t>CS3632765000000</t>
  </si>
  <si>
    <t>Haverstraw town, NY</t>
  </si>
  <si>
    <t>CS3634000000000</t>
  </si>
  <si>
    <t>Hempstead town, NY</t>
  </si>
  <si>
    <t>CT3633139000000</t>
  </si>
  <si>
    <t>Hempstead village, NY</t>
  </si>
  <si>
    <t>CS3634099000000</t>
  </si>
  <si>
    <t>Henrietta town, NY</t>
  </si>
  <si>
    <t>CS3637000000000</t>
  </si>
  <si>
    <t>Huntington town, NY</t>
  </si>
  <si>
    <t>CS3637726000000</t>
  </si>
  <si>
    <t>Irondequoit town, NY</t>
  </si>
  <si>
    <t>CS3638000000000</t>
  </si>
  <si>
    <t>Islip town, NY</t>
  </si>
  <si>
    <t>CT3638077000000</t>
  </si>
  <si>
    <t>Ithaca city, NY</t>
  </si>
  <si>
    <t>CT3638264000000</t>
  </si>
  <si>
    <t>Jamestown city, NY</t>
  </si>
  <si>
    <t>CT3639853000000</t>
  </si>
  <si>
    <t>Kiryas Joel village, NY</t>
  </si>
  <si>
    <t>CS3641146000000</t>
  </si>
  <si>
    <t>Lancaster town, NY</t>
  </si>
  <si>
    <t>CT3642554000000</t>
  </si>
  <si>
    <t>Lindenhurst village, NY</t>
  </si>
  <si>
    <t>CT3643082000000</t>
  </si>
  <si>
    <t>Lockport city, NY</t>
  </si>
  <si>
    <t>CT3643335000000</t>
  </si>
  <si>
    <t>Long Beach city, NY</t>
  </si>
  <si>
    <t>CS3644842000000</t>
  </si>
  <si>
    <t>Mamaroneck town, NY</t>
  </si>
  <si>
    <t>CS3645029000000</t>
  </si>
  <si>
    <t>Manlius town, NY</t>
  </si>
  <si>
    <t>CT3647042000000</t>
  </si>
  <si>
    <t>Middletown city, NY</t>
  </si>
  <si>
    <t>CS3647999000000</t>
  </si>
  <si>
    <t>Monroe town, NY</t>
  </si>
  <si>
    <t>CS3649011000000</t>
  </si>
  <si>
    <t>Mount Pleasant town, NY</t>
  </si>
  <si>
    <t>CT3649121000000</t>
  </si>
  <si>
    <t>Mount Vernon city, NY</t>
  </si>
  <si>
    <t>CT3650617000000</t>
  </si>
  <si>
    <t>New Rochelle city, NY</t>
  </si>
  <si>
    <t>CS3650848000000</t>
  </si>
  <si>
    <t>New Windsor town, NY</t>
  </si>
  <si>
    <t>CT3651000000000</t>
  </si>
  <si>
    <t>New York city, NY</t>
  </si>
  <si>
    <t>CT3650034000000</t>
  </si>
  <si>
    <t>Newburgh city, NY</t>
  </si>
  <si>
    <t>CS3650045000000</t>
  </si>
  <si>
    <t>Newburgh town, NY</t>
  </si>
  <si>
    <t>CT3651055000000</t>
  </si>
  <si>
    <t>Niagara Falls city, NY</t>
  </si>
  <si>
    <t>CS3653000000000</t>
  </si>
  <si>
    <t>North Hempstead town, NY</t>
  </si>
  <si>
    <t>CT3653682000000</t>
  </si>
  <si>
    <t>North Tonawanda city, NY</t>
  </si>
  <si>
    <t>CS3655211000000</t>
  </si>
  <si>
    <t>Orangetown town, NY</t>
  </si>
  <si>
    <t>CS3655277000000</t>
  </si>
  <si>
    <t>Orchard Park town, NY</t>
  </si>
  <si>
    <t>CS3655541000000</t>
  </si>
  <si>
    <t>Ossining town, NY</t>
  </si>
  <si>
    <t>CT3655530000000</t>
  </si>
  <si>
    <t>Ossining village, NY</t>
  </si>
  <si>
    <t>CS3656000000000</t>
  </si>
  <si>
    <t>Oyster Bay town, NY</t>
  </si>
  <si>
    <t>CS3657144000000</t>
  </si>
  <si>
    <t>Penfield town, NY</t>
  </si>
  <si>
    <t>CS3657221000000</t>
  </si>
  <si>
    <t>Perinton town, NY</t>
  </si>
  <si>
    <t>CS3658365000000</t>
  </si>
  <si>
    <t>Pittsford town, NY</t>
  </si>
  <si>
    <t>CT3659223000000</t>
  </si>
  <si>
    <t>Port Chester village, NY</t>
  </si>
  <si>
    <t>CT3659641000000</t>
  </si>
  <si>
    <t>Poughkeepsie city, NY</t>
  </si>
  <si>
    <t>CS3659652000000</t>
  </si>
  <si>
    <t>Poughkeepsie town, NY</t>
  </si>
  <si>
    <t>CS3660356000000</t>
  </si>
  <si>
    <t>Queensbury town, NY</t>
  </si>
  <si>
    <t>CS3660510000000</t>
  </si>
  <si>
    <t>Ramapo town, NY</t>
  </si>
  <si>
    <t>CS3661984000000</t>
  </si>
  <si>
    <t>Riverhead town, NY</t>
  </si>
  <si>
    <t>CT3663000000000</t>
  </si>
  <si>
    <t>Rochester city, NY</t>
  </si>
  <si>
    <t>CT3663264000000</t>
  </si>
  <si>
    <t>Rockville Centre village, NY</t>
  </si>
  <si>
    <t>CT3663418000000</t>
  </si>
  <si>
    <t>Rome city, NY</t>
  </si>
  <si>
    <t>CS3663935000000</t>
  </si>
  <si>
    <t>Rotterdam town, NY</t>
  </si>
  <si>
    <t>CS3664320000000</t>
  </si>
  <si>
    <t>Rye town, NY</t>
  </si>
  <si>
    <t>CS3664815000000</t>
  </si>
  <si>
    <t>Salina town, NY</t>
  </si>
  <si>
    <t>CT3665255000000</t>
  </si>
  <si>
    <t>Saratoga Springs city, NY</t>
  </si>
  <si>
    <t>CT3665508000000</t>
  </si>
  <si>
    <t>Schenectady city, NY</t>
  </si>
  <si>
    <t>CS3668000000000</t>
  </si>
  <si>
    <t>Smithtown town, NY</t>
  </si>
  <si>
    <t>CS3668473000000</t>
  </si>
  <si>
    <t>Southampton town, NY</t>
  </si>
  <si>
    <t>CT3670420000000</t>
  </si>
  <si>
    <t>Spring Valley village, NY</t>
  </si>
  <si>
    <t>CT3673000000000</t>
  </si>
  <si>
    <t>Syracuse city, NY</t>
  </si>
  <si>
    <t>CS3675000000000</t>
  </si>
  <si>
    <t>Tonawanda town, NY</t>
  </si>
  <si>
    <t>CT3675484000000</t>
  </si>
  <si>
    <t>Troy city, NY</t>
  </si>
  <si>
    <t>CS3676056000000</t>
  </si>
  <si>
    <t>Union town, NY</t>
  </si>
  <si>
    <t>CT3676540000000</t>
  </si>
  <si>
    <t>Utica city, NY</t>
  </si>
  <si>
    <t>CT3676705000000</t>
  </si>
  <si>
    <t>Valley Stream village, NY</t>
  </si>
  <si>
    <t>CS3677255000000</t>
  </si>
  <si>
    <t>Vestal town, NY</t>
  </si>
  <si>
    <t>CS3677992000000</t>
  </si>
  <si>
    <t>Wallkill town, NY</t>
  </si>
  <si>
    <t>CS3678157000000</t>
  </si>
  <si>
    <t>Wappinger town, NY</t>
  </si>
  <si>
    <t>CS3678366000000</t>
  </si>
  <si>
    <t>Warwick town, NY</t>
  </si>
  <si>
    <t>CT3678608000000</t>
  </si>
  <si>
    <t>Watertown city, NY</t>
  </si>
  <si>
    <t>CS3678971000000</t>
  </si>
  <si>
    <t>Webster town, NY</t>
  </si>
  <si>
    <t>CS3680918000000</t>
  </si>
  <si>
    <t>West Seneca town, NY</t>
  </si>
  <si>
    <t>CT3681677000000</t>
  </si>
  <si>
    <t>White Plains city, NY</t>
  </si>
  <si>
    <t>CT3684000000000</t>
  </si>
  <si>
    <t>Yonkers city, NY</t>
  </si>
  <si>
    <t>CS3684077000000</t>
  </si>
  <si>
    <t>Yorktown town, NY</t>
  </si>
  <si>
    <t>CT3901000000000</t>
  </si>
  <si>
    <t>Akron city, OH</t>
  </si>
  <si>
    <t>CT3902736000000</t>
  </si>
  <si>
    <t>Athens city, OH</t>
  </si>
  <si>
    <t>CT3903828000000</t>
  </si>
  <si>
    <t>Barberton city, OH</t>
  </si>
  <si>
    <t>CT3904720000000</t>
  </si>
  <si>
    <t>Beavercreek city, OH</t>
  </si>
  <si>
    <t>CT3907972000000</t>
  </si>
  <si>
    <t>Bowling Green city, OH</t>
  </si>
  <si>
    <t>CT3909680000000</t>
  </si>
  <si>
    <t>Brunswick city, OH</t>
  </si>
  <si>
    <t>CT3912000000000</t>
  </si>
  <si>
    <t>Canton city, OH</t>
  </si>
  <si>
    <t>CT3915000000000</t>
  </si>
  <si>
    <t>Cincinnati city, OH</t>
  </si>
  <si>
    <t>CT3916000000000</t>
  </si>
  <si>
    <t>Cleveland city, OH</t>
  </si>
  <si>
    <t>CT3916014000000</t>
  </si>
  <si>
    <t>Cleveland Heights city, OH</t>
  </si>
  <si>
    <t>CT3918000000000</t>
  </si>
  <si>
    <t>Columbus city, OH</t>
  </si>
  <si>
    <t>CT3919778000000</t>
  </si>
  <si>
    <t>Cuyahoga Falls city, OH</t>
  </si>
  <si>
    <t>CT3921000000000</t>
  </si>
  <si>
    <t>Dayton city, OH</t>
  </si>
  <si>
    <t>CT3921434000000</t>
  </si>
  <si>
    <t>Delaware city, OH</t>
  </si>
  <si>
    <t>CT3922694000000</t>
  </si>
  <si>
    <t>Dublin city, OH</t>
  </si>
  <si>
    <t>CT3925256000000</t>
  </si>
  <si>
    <t>Elyria city, OH</t>
  </si>
  <si>
    <t>CT3925704000000</t>
  </si>
  <si>
    <t>Euclid city, OH</t>
  </si>
  <si>
    <t>CT3925914000000</t>
  </si>
  <si>
    <t>Fairborn city, OH</t>
  </si>
  <si>
    <t>CT3925970000000</t>
  </si>
  <si>
    <t>Fairfield city, OH</t>
  </si>
  <si>
    <t>CT3927048000000</t>
  </si>
  <si>
    <t>Findlay city, OH</t>
  </si>
  <si>
    <t>CT3929106000000</t>
  </si>
  <si>
    <t>Gahanna city, OH</t>
  </si>
  <si>
    <t>CT3929428000000</t>
  </si>
  <si>
    <t>Garfield Heights city, OH</t>
  </si>
  <si>
    <t>CT3931860000000</t>
  </si>
  <si>
    <t>Green city, OH</t>
  </si>
  <si>
    <t>CT3932592000000</t>
  </si>
  <si>
    <t>Grove City city, OH</t>
  </si>
  <si>
    <t>CT3933012000000</t>
  </si>
  <si>
    <t>Hamilton city, OH</t>
  </si>
  <si>
    <t>CT3935476000000</t>
  </si>
  <si>
    <t>Hilliard city, OH</t>
  </si>
  <si>
    <t>CT3936610000000</t>
  </si>
  <si>
    <t>Huber Heights city, OH</t>
  </si>
  <si>
    <t>CT3939872000000</t>
  </si>
  <si>
    <t>Kent city, OH</t>
  </si>
  <si>
    <t>CT3940040000000</t>
  </si>
  <si>
    <t>Kettering city, OH</t>
  </si>
  <si>
    <t>CT3941664000000</t>
  </si>
  <si>
    <t>Lakewood city, OH</t>
  </si>
  <si>
    <t>CT3941720000000</t>
  </si>
  <si>
    <t>Lancaster city, OH</t>
  </si>
  <si>
    <t>CT3943554000000</t>
  </si>
  <si>
    <t>Lima city, OH</t>
  </si>
  <si>
    <t>CT3944856000000</t>
  </si>
  <si>
    <t>Lorain city, OH</t>
  </si>
  <si>
    <t>CT3947138000000</t>
  </si>
  <si>
    <t>Mansfield city, OH</t>
  </si>
  <si>
    <t>CT3947306000000</t>
  </si>
  <si>
    <t>Maple Heights city, OH</t>
  </si>
  <si>
    <t>CT3947754000000</t>
  </si>
  <si>
    <t>Marion city, OH</t>
  </si>
  <si>
    <t>CT3948188000000</t>
  </si>
  <si>
    <t>Mason city, OH</t>
  </si>
  <si>
    <t>CT3948244000000</t>
  </si>
  <si>
    <t>Massillon city, OH</t>
  </si>
  <si>
    <t>CT3948790000000</t>
  </si>
  <si>
    <t>Medina city, OH</t>
  </si>
  <si>
    <t>CT3949056000000</t>
  </si>
  <si>
    <t>Mentor city, OH</t>
  </si>
  <si>
    <t>CT3949840000000</t>
  </si>
  <si>
    <t>Middletown city, OH</t>
  </si>
  <si>
    <t>CT3954040000000</t>
  </si>
  <si>
    <t>Newark city, OH</t>
  </si>
  <si>
    <t>CT3956882000000</t>
  </si>
  <si>
    <t>North Olmsted city, OH</t>
  </si>
  <si>
    <t>CT3956966000000</t>
  </si>
  <si>
    <t>North Ridgeville city, OH</t>
  </si>
  <si>
    <t>CT3957008000000</t>
  </si>
  <si>
    <t>North Royalton city, OH</t>
  </si>
  <si>
    <t>CT3961000000000</t>
  </si>
  <si>
    <t>Parma city, OH</t>
  </si>
  <si>
    <t>CT3966390000000</t>
  </si>
  <si>
    <t>Reynoldsburg city, OH</t>
  </si>
  <si>
    <t>CT3967468000000</t>
  </si>
  <si>
    <t>Riverside city, OH</t>
  </si>
  <si>
    <t>CT3970380000000</t>
  </si>
  <si>
    <t>Sandusky city, OH</t>
  </si>
  <si>
    <t>CT3971682000000</t>
  </si>
  <si>
    <t>Shaker Heights city, OH</t>
  </si>
  <si>
    <t>CT3973264000000</t>
  </si>
  <si>
    <t>South Euclid city, OH</t>
  </si>
  <si>
    <t>CT3974118000000</t>
  </si>
  <si>
    <t>Springfield city, OH</t>
  </si>
  <si>
    <t>CT3974944000000</t>
  </si>
  <si>
    <t>Stow city, OH</t>
  </si>
  <si>
    <t>CT3975098000000</t>
  </si>
  <si>
    <t>Strongsville city, OH</t>
  </si>
  <si>
    <t>CT3977000000000</t>
  </si>
  <si>
    <t>Toledo city, OH</t>
  </si>
  <si>
    <t>CT3977504000000</t>
  </si>
  <si>
    <t>Trotwood city, OH</t>
  </si>
  <si>
    <t>CT3977588000000</t>
  </si>
  <si>
    <t>Troy city, OH</t>
  </si>
  <si>
    <t>CT3979002000000</t>
  </si>
  <si>
    <t>Upper Arlington city, OH</t>
  </si>
  <si>
    <t>CT3980892000000</t>
  </si>
  <si>
    <t>Warren city, OH</t>
  </si>
  <si>
    <t>CT3983342000000</t>
  </si>
  <si>
    <t>Westerville city, OH</t>
  </si>
  <si>
    <t>CT3983622000000</t>
  </si>
  <si>
    <t>Westlake city, OH</t>
  </si>
  <si>
    <t>CT3986548000000</t>
  </si>
  <si>
    <t>Wooster city, OH</t>
  </si>
  <si>
    <t>CT3986772000000</t>
  </si>
  <si>
    <t>Xenia city, OH</t>
  </si>
  <si>
    <t>CT3988000000000</t>
  </si>
  <si>
    <t>Youngstown city, OH</t>
  </si>
  <si>
    <t>CT3988084000000</t>
  </si>
  <si>
    <t>Zanesville city, OH</t>
  </si>
  <si>
    <t>CT4002600000000</t>
  </si>
  <si>
    <t>Ardmore city, OK</t>
  </si>
  <si>
    <t>CT4004450000000</t>
  </si>
  <si>
    <t>Bartlesville city, OK</t>
  </si>
  <si>
    <t>CT4006400000000</t>
  </si>
  <si>
    <t>Bixby city, OK</t>
  </si>
  <si>
    <t>CT4009050000000</t>
  </si>
  <si>
    <t>Broken Arrow city, OK</t>
  </si>
  <si>
    <t>CT4019900000000</t>
  </si>
  <si>
    <t>Del City city, OK</t>
  </si>
  <si>
    <t>CT4023200000000</t>
  </si>
  <si>
    <t>Edmond city, OK</t>
  </si>
  <si>
    <t>CT4023950000000</t>
  </si>
  <si>
    <t>Enid city, OK</t>
  </si>
  <si>
    <t>CT4041850000000</t>
  </si>
  <si>
    <t>Lawton city, OK</t>
  </si>
  <si>
    <t>CT4048350000000</t>
  </si>
  <si>
    <t>Midwest City city, OK</t>
  </si>
  <si>
    <t>CT4049200000000</t>
  </si>
  <si>
    <t>Moore city, OK</t>
  </si>
  <si>
    <t>CT4050050000000</t>
  </si>
  <si>
    <t>Muskogee city, OK</t>
  </si>
  <si>
    <t>CT4052500000000</t>
  </si>
  <si>
    <t>Norman city, OK</t>
  </si>
  <si>
    <t>CT4055000000000</t>
  </si>
  <si>
    <t>Oklahoma City city, OK</t>
  </si>
  <si>
    <t>CT4056650000000</t>
  </si>
  <si>
    <t>Owasso city, OK</t>
  </si>
  <si>
    <t>CT4059850000000</t>
  </si>
  <si>
    <t>Ponca City city, OK</t>
  </si>
  <si>
    <t>CT4066800000000</t>
  </si>
  <si>
    <t>Shawnee city, OK</t>
  </si>
  <si>
    <t>CT4070300000000</t>
  </si>
  <si>
    <t>Stillwater city, OK</t>
  </si>
  <si>
    <t>CT4075000000000</t>
  </si>
  <si>
    <t>Tulsa city, OK</t>
  </si>
  <si>
    <t>CT4082950000000</t>
  </si>
  <si>
    <t>Yukon city, OK</t>
  </si>
  <si>
    <t>CT4101000000000</t>
  </si>
  <si>
    <t>Albany city, OR</t>
  </si>
  <si>
    <t>CT4105350000000</t>
  </si>
  <si>
    <t>Beaverton city, OR</t>
  </si>
  <si>
    <t>CT4105800000000</t>
  </si>
  <si>
    <t>Bend city, OR</t>
  </si>
  <si>
    <t>CT4115800000000</t>
  </si>
  <si>
    <t>Corvallis city, OR</t>
  </si>
  <si>
    <t>CT4123850000000</t>
  </si>
  <si>
    <t>Eugene city, OR</t>
  </si>
  <si>
    <t>CT4130550000000</t>
  </si>
  <si>
    <t>Grants Pass city, OR</t>
  </si>
  <si>
    <t>CT4131250000000</t>
  </si>
  <si>
    <t>Gresham city, OR</t>
  </si>
  <si>
    <t>CT4134100000000</t>
  </si>
  <si>
    <t>Hillsboro city, OR</t>
  </si>
  <si>
    <t>CT4138500000000</t>
  </si>
  <si>
    <t>Keizer city, OR</t>
  </si>
  <si>
    <t>CT4140550000000</t>
  </si>
  <si>
    <t>Lake Oswego city, OR</t>
  </si>
  <si>
    <t>CT4145000000000</t>
  </si>
  <si>
    <t>McMinnville city, OR</t>
  </si>
  <si>
    <t>CT4147000000000</t>
  </si>
  <si>
    <t>Medford city, OR</t>
  </si>
  <si>
    <t>CT4155200000000</t>
  </si>
  <si>
    <t>Oregon City city, OR</t>
  </si>
  <si>
    <t>CT4159000000000</t>
  </si>
  <si>
    <t>Portland city, OR</t>
  </si>
  <si>
    <t>CT4161200000000</t>
  </si>
  <si>
    <t>Redmond city, OR</t>
  </si>
  <si>
    <t>CT4164900000000</t>
  </si>
  <si>
    <t>Salem city, OR</t>
  </si>
  <si>
    <t>CT4169600000000</t>
  </si>
  <si>
    <t>Springfield city, OR</t>
  </si>
  <si>
    <t>CT4173650000000</t>
  </si>
  <si>
    <t>Tigard city, OR</t>
  </si>
  <si>
    <t>CT4174950000000</t>
  </si>
  <si>
    <t>Tualatin city, OR</t>
  </si>
  <si>
    <t>CT4180150000000</t>
  </si>
  <si>
    <t>West Linn city, OR</t>
  </si>
  <si>
    <t>CT4183750000000</t>
  </si>
  <si>
    <t>Woodburn city, OR</t>
  </si>
  <si>
    <t>CS4200156000000</t>
  </si>
  <si>
    <t>Abington township, PA</t>
  </si>
  <si>
    <t>CT4202000000000</t>
  </si>
  <si>
    <t>Allentown city, PA</t>
  </si>
  <si>
    <t>CT4202184000000</t>
  </si>
  <si>
    <t>Altoona city, PA</t>
  </si>
  <si>
    <t>CS4205616000000</t>
  </si>
  <si>
    <t>Bensalem township, PA</t>
  </si>
  <si>
    <t>CT4206064000000</t>
  </si>
  <si>
    <t>Bethel Park municipality, PA</t>
  </si>
  <si>
    <t>CT4206088000000</t>
  </si>
  <si>
    <t>Bethlehem city, PA</t>
  </si>
  <si>
    <t>CS4208768000000</t>
  </si>
  <si>
    <t>Bristol township, PA</t>
  </si>
  <si>
    <t>CS4212968000000</t>
  </si>
  <si>
    <t>Cheltenham township, PA</t>
  </si>
  <si>
    <t>CT4213208000000</t>
  </si>
  <si>
    <t>Chester city, PA</t>
  </si>
  <si>
    <t>CS4216920000000</t>
  </si>
  <si>
    <t>Cranberry township (Butler County), PA</t>
  </si>
  <si>
    <t>CS4218936000000</t>
  </si>
  <si>
    <t>Derry township (Dauphin County), PA</t>
  </si>
  <si>
    <t>CT4221648000000</t>
  </si>
  <si>
    <t>Easton city, PA</t>
  </si>
  <si>
    <t>CT4224000000000</t>
  </si>
  <si>
    <t>Erie city, PA</t>
  </si>
  <si>
    <t>CS4224384000000</t>
  </si>
  <si>
    <t>Exeter township (Berks County), PA</t>
  </si>
  <si>
    <t>CS4225112000000</t>
  </si>
  <si>
    <t>Falls township (Bucks County), PA</t>
  </si>
  <si>
    <t>CS4232296000000</t>
  </si>
  <si>
    <t>Hampden township, PA</t>
  </si>
  <si>
    <t>CT4232800000000</t>
  </si>
  <si>
    <t>Harrisburg city, PA</t>
  </si>
  <si>
    <t>CS4233144000000</t>
  </si>
  <si>
    <t>Haverford township, PA</t>
  </si>
  <si>
    <t>CT4233408000000</t>
  </si>
  <si>
    <t>Hazleton city, PA</t>
  </si>
  <si>
    <t>CS4233792000000</t>
  </si>
  <si>
    <t>Hempfield township (Westmoreland County), PA</t>
  </si>
  <si>
    <t>CS4235808000000</t>
  </si>
  <si>
    <t>Horsham township, PA</t>
  </si>
  <si>
    <t>CT4238288000000</t>
  </si>
  <si>
    <t>Johnstown city, PA</t>
  </si>
  <si>
    <t>CT4241216000000</t>
  </si>
  <si>
    <t>Lancaster city, PA</t>
  </si>
  <si>
    <t>CT4242168000000</t>
  </si>
  <si>
    <t>Lebanon city, PA</t>
  </si>
  <si>
    <t>CS4244952000000</t>
  </si>
  <si>
    <t>Lower Macungie township, PA</t>
  </si>
  <si>
    <t>CS4244968000000</t>
  </si>
  <si>
    <t>Lower Makefield township, PA</t>
  </si>
  <si>
    <t>CS4244976000000</t>
  </si>
  <si>
    <t>Lower Merion township, PA</t>
  </si>
  <si>
    <t>CS4245056000000</t>
  </si>
  <si>
    <t>Lower Paxton township, PA</t>
  </si>
  <si>
    <t>CS4245080000000</t>
  </si>
  <si>
    <t>Lower Providence township, PA</t>
  </si>
  <si>
    <t>CS4246896000000</t>
  </si>
  <si>
    <t>Manheim township (Lancaster County), PA</t>
  </si>
  <si>
    <t>CS4245900000000</t>
  </si>
  <si>
    <t>McCandless township, PA</t>
  </si>
  <si>
    <t>CS4249120000000</t>
  </si>
  <si>
    <t>Middletown township (Bucks County), PA</t>
  </si>
  <si>
    <t>CS4249548000000</t>
  </si>
  <si>
    <t>Millcreek township (Erie County), PA</t>
  </si>
  <si>
    <t>CT4250528000000</t>
  </si>
  <si>
    <t>Monroeville municipality, PA</t>
  </si>
  <si>
    <t>CS4250640000000</t>
  </si>
  <si>
    <t>Montgomery township (Montgomery County), PA</t>
  </si>
  <si>
    <t>CS4250784000000</t>
  </si>
  <si>
    <t>Moon township, PA</t>
  </si>
  <si>
    <t>CS4251696000000</t>
  </si>
  <si>
    <t>Mount Lebanon township, PA</t>
  </si>
  <si>
    <t>CT4253368000000</t>
  </si>
  <si>
    <t>New Castle city, PA</t>
  </si>
  <si>
    <t>CT4254656000000</t>
  </si>
  <si>
    <t>Norristown borough, PA</t>
  </si>
  <si>
    <t>CS4255128000000</t>
  </si>
  <si>
    <t>North Huntingdon township, PA</t>
  </si>
  <si>
    <t>CS4254688000000</t>
  </si>
  <si>
    <t>Northampton township (Bucks County), PA</t>
  </si>
  <si>
    <t>CS4259032000000</t>
  </si>
  <si>
    <t>Penn Hills township, PA</t>
  </si>
  <si>
    <t>CT4260000000000</t>
  </si>
  <si>
    <t>CT4261000000000</t>
  </si>
  <si>
    <t>Pittsburgh city, PA</t>
  </si>
  <si>
    <t>CT4261536000000</t>
  </si>
  <si>
    <t>Plum borough, PA</t>
  </si>
  <si>
    <t>CS4263264000000</t>
  </si>
  <si>
    <t>Radnor township, PA</t>
  </si>
  <si>
    <t>CT4263624000000</t>
  </si>
  <si>
    <t>Reading city, PA</t>
  </si>
  <si>
    <t>CS4264800000000</t>
  </si>
  <si>
    <t>Ridley township, PA</t>
  </si>
  <si>
    <t>CS4266264000000</t>
  </si>
  <si>
    <t>Ross township (Allegheny County), PA</t>
  </si>
  <si>
    <t>CT4269000000000</t>
  </si>
  <si>
    <t>Scranton city, PA</t>
  </si>
  <si>
    <t>CS4269584000000</t>
  </si>
  <si>
    <t>Shaler township, PA</t>
  </si>
  <si>
    <t>CS4272824000000</t>
  </si>
  <si>
    <t>Spring township (Berks County), PA</t>
  </si>
  <si>
    <t>CS4272992000000</t>
  </si>
  <si>
    <t>Springettsbury township, PA</t>
  </si>
  <si>
    <t>CT4273808000000</t>
  </si>
  <si>
    <t>State College borough, PA</t>
  </si>
  <si>
    <t>CS4275528000000</t>
  </si>
  <si>
    <t>Susquehanna township (Dauphin County), PA</t>
  </si>
  <si>
    <t>CS4277344000000</t>
  </si>
  <si>
    <t>Tredyffrin township, PA</t>
  </si>
  <si>
    <t>CS4279000000000</t>
  </si>
  <si>
    <t>Upper Darby township, PA</t>
  </si>
  <si>
    <t>CS4279008000000</t>
  </si>
  <si>
    <t>Upper Dublin township, PA</t>
  </si>
  <si>
    <t>CS4279136000000</t>
  </si>
  <si>
    <t>Upper Merion township, PA</t>
  </si>
  <si>
    <t>CS4279176000000</t>
  </si>
  <si>
    <t>Upper Moreland township, PA</t>
  </si>
  <si>
    <t>CS4280952000000</t>
  </si>
  <si>
    <t>Warminster township, PA</t>
  </si>
  <si>
    <t>CT4283512000000</t>
  </si>
  <si>
    <t>West Mifflin borough, PA</t>
  </si>
  <si>
    <t>CS4284528000000</t>
  </si>
  <si>
    <t>Whitehall township, PA</t>
  </si>
  <si>
    <t>CT4285152000000</t>
  </si>
  <si>
    <t>Wilkes-Barre city, PA</t>
  </si>
  <si>
    <t>CT4285312000000</t>
  </si>
  <si>
    <t>Williamsport city, PA</t>
  </si>
  <si>
    <t>CT4287048000000</t>
  </si>
  <si>
    <t>York city, PA</t>
  </si>
  <si>
    <t>CS4287056000000</t>
  </si>
  <si>
    <t>York township, PA</t>
  </si>
  <si>
    <t>CS4405140000000</t>
  </si>
  <si>
    <t>Barrington town, RI</t>
  </si>
  <si>
    <t>CS4409280000000</t>
  </si>
  <si>
    <t>Bristol town, RI</t>
  </si>
  <si>
    <t>CS4411800000000</t>
  </si>
  <si>
    <t>Burrillville town, RI</t>
  </si>
  <si>
    <t>CT4414140000000</t>
  </si>
  <si>
    <t>Central Falls city, RI</t>
  </si>
  <si>
    <t>CS4414500000000</t>
  </si>
  <si>
    <t>Charlestown town, RI</t>
  </si>
  <si>
    <t>CS4418640000000</t>
  </si>
  <si>
    <t>Coventry town, RI</t>
  </si>
  <si>
    <t>CT4419180000000</t>
  </si>
  <si>
    <t>Cranston city, RI</t>
  </si>
  <si>
    <t>CS4420080000000</t>
  </si>
  <si>
    <t>Cumberland town, RI</t>
  </si>
  <si>
    <t>CS4422240000000</t>
  </si>
  <si>
    <t>East Greenwich town, RI</t>
  </si>
  <si>
    <t>CT4422960000000</t>
  </si>
  <si>
    <t>East Providence city, RI</t>
  </si>
  <si>
    <t>CS4425300000000</t>
  </si>
  <si>
    <t>Exeter town, RI</t>
  </si>
  <si>
    <t>CS4427460000000</t>
  </si>
  <si>
    <t>Foster town, RI</t>
  </si>
  <si>
    <t>CS4430340000000</t>
  </si>
  <si>
    <t>Glocester town, RI</t>
  </si>
  <si>
    <t>CS4435380000000</t>
  </si>
  <si>
    <t>Hopkinton town, RI</t>
  </si>
  <si>
    <t>CS4436820000000</t>
  </si>
  <si>
    <t>Jamestown town, RI</t>
  </si>
  <si>
    <t>CS4437720000000</t>
  </si>
  <si>
    <t>Johnston town, RI</t>
  </si>
  <si>
    <t>CS4441500000000</t>
  </si>
  <si>
    <t>Lincoln town, RI</t>
  </si>
  <si>
    <t>CS4442400000000</t>
  </si>
  <si>
    <t>Little Compton town, RI</t>
  </si>
  <si>
    <t>CS4445460000000</t>
  </si>
  <si>
    <t>Middletown town, RI</t>
  </si>
  <si>
    <t>CS4448340000000</t>
  </si>
  <si>
    <t>Narragansett town, RI</t>
  </si>
  <si>
    <t>CS4450500000000</t>
  </si>
  <si>
    <t>New Shoreham town, RI</t>
  </si>
  <si>
    <t>CT4449960000000</t>
  </si>
  <si>
    <t>Newport city, RI</t>
  </si>
  <si>
    <t>CS4451580000000</t>
  </si>
  <si>
    <t>North Kingstown town, RI</t>
  </si>
  <si>
    <t>CS4451760000000</t>
  </si>
  <si>
    <t>North Providence town, RI</t>
  </si>
  <si>
    <t>CS4452480000000</t>
  </si>
  <si>
    <t>North Smithfield town, RI</t>
  </si>
  <si>
    <t>CT4454640000000</t>
  </si>
  <si>
    <t>Pawtucket city, RI</t>
  </si>
  <si>
    <t>CS4457880000000</t>
  </si>
  <si>
    <t>Portsmouth town, RI</t>
  </si>
  <si>
    <t>CT4459000000000</t>
  </si>
  <si>
    <t>Providence city, RI</t>
  </si>
  <si>
    <t>CS4461160000000</t>
  </si>
  <si>
    <t>Richmond town, RI</t>
  </si>
  <si>
    <t>CS4464220000000</t>
  </si>
  <si>
    <t>Scituate town, RI</t>
  </si>
  <si>
    <t>CS4466200000000</t>
  </si>
  <si>
    <t>Smithfield town, RI</t>
  </si>
  <si>
    <t>CS4467460000000</t>
  </si>
  <si>
    <t>South Kingstown town, RI</t>
  </si>
  <si>
    <t>CS4470880000000</t>
  </si>
  <si>
    <t>Tiverton town, RI</t>
  </si>
  <si>
    <t>CS4473760000000</t>
  </si>
  <si>
    <t>Warren town, RI</t>
  </si>
  <si>
    <t>CT4474300000000</t>
  </si>
  <si>
    <t>Warwick city, RI</t>
  </si>
  <si>
    <t>CS4477720000000</t>
  </si>
  <si>
    <t>West Greenwich town, RI</t>
  </si>
  <si>
    <t>CS4478440000000</t>
  </si>
  <si>
    <t>West Warwick town, RI</t>
  </si>
  <si>
    <t>CS4477000000000</t>
  </si>
  <si>
    <t>Westerly town, RI</t>
  </si>
  <si>
    <t>CT4480780000000</t>
  </si>
  <si>
    <t>Woonsocket city, RI</t>
  </si>
  <si>
    <t>CT4500550000000</t>
  </si>
  <si>
    <t>Aiken city, SC</t>
  </si>
  <si>
    <t>CT4501360000000</t>
  </si>
  <si>
    <t>Anderson city, SC</t>
  </si>
  <si>
    <t>CT4513330000000</t>
  </si>
  <si>
    <t>Charleston city, SC</t>
  </si>
  <si>
    <t>CT4516000000000</t>
  </si>
  <si>
    <t>Columbia city, SC</t>
  </si>
  <si>
    <t>CT4525810000000</t>
  </si>
  <si>
    <t>Florence city, SC</t>
  </si>
  <si>
    <t>CT4529815000000</t>
  </si>
  <si>
    <t>Goose Creek city, SC</t>
  </si>
  <si>
    <t>CT4530850000000</t>
  </si>
  <si>
    <t>Greenville city, SC</t>
  </si>
  <si>
    <t>CT4530985000000</t>
  </si>
  <si>
    <t>Greer city, SC</t>
  </si>
  <si>
    <t>CT4532065000000</t>
  </si>
  <si>
    <t>Hanahan city, SC</t>
  </si>
  <si>
    <t>CT4534045000000</t>
  </si>
  <si>
    <t>Hilton Head Island town, SC</t>
  </si>
  <si>
    <t>CT4545115000000</t>
  </si>
  <si>
    <t>Mauldin city, SC</t>
  </si>
  <si>
    <t>CT4548535000000</t>
  </si>
  <si>
    <t>Mount Pleasant town, SC</t>
  </si>
  <si>
    <t>CT4549075000000</t>
  </si>
  <si>
    <t>Myrtle Beach city, SC</t>
  </si>
  <si>
    <t>CT4550875000000</t>
  </si>
  <si>
    <t>North Charleston city, SC</t>
  </si>
  <si>
    <t>CT4561405000000</t>
  </si>
  <si>
    <t>Rock Hill city, SC</t>
  </si>
  <si>
    <t>CT4568290000000</t>
  </si>
  <si>
    <t>Spartanburg city, SC</t>
  </si>
  <si>
    <t>CT4570270000000</t>
  </si>
  <si>
    <t>Summerville town, SC</t>
  </si>
  <si>
    <t>CT4570405000000</t>
  </si>
  <si>
    <t>Sumter city, SC</t>
  </si>
  <si>
    <t>CT4600100000000</t>
  </si>
  <si>
    <t>Aberdeen city, SD</t>
  </si>
  <si>
    <t>SA4680860000000</t>
  </si>
  <si>
    <t>Dewey-Ziebach, SD LMA</t>
  </si>
  <si>
    <t>CT4652980000000</t>
  </si>
  <si>
    <t>Rapid City city, SD</t>
  </si>
  <si>
    <t>CT4659020000000</t>
  </si>
  <si>
    <t>Sioux Falls city, SD</t>
  </si>
  <si>
    <t>CT4703440000000</t>
  </si>
  <si>
    <t>Bartlett city, TN</t>
  </si>
  <si>
    <t>CT4708280000000</t>
  </si>
  <si>
    <t>Brentwood city, TN</t>
  </si>
  <si>
    <t>CT4708540000000</t>
  </si>
  <si>
    <t>Bristol city, TN</t>
  </si>
  <si>
    <t>CT4714000000000</t>
  </si>
  <si>
    <t>Chattanooga city, TN</t>
  </si>
  <si>
    <t>CT4715160000000</t>
  </si>
  <si>
    <t>Clarksville city, TN</t>
  </si>
  <si>
    <t>CT4715400000000</t>
  </si>
  <si>
    <t>Cleveland city, TN</t>
  </si>
  <si>
    <t>CT4716420000000</t>
  </si>
  <si>
    <t>Collierville town, TN</t>
  </si>
  <si>
    <t>CT4716540000000</t>
  </si>
  <si>
    <t>Columbia city, TN</t>
  </si>
  <si>
    <t>CT4716920000000</t>
  </si>
  <si>
    <t>Cookeville city, TN</t>
  </si>
  <si>
    <t>CT4727740000000</t>
  </si>
  <si>
    <t>Franklin city, TN</t>
  </si>
  <si>
    <t>CT4728540000000</t>
  </si>
  <si>
    <t>Gallatin city, TN</t>
  </si>
  <si>
    <t>CT4728960000000</t>
  </si>
  <si>
    <t>Germantown city, TN</t>
  </si>
  <si>
    <t>CT4733280000000</t>
  </si>
  <si>
    <t>Hendersonville city, TN</t>
  </si>
  <si>
    <t>CT4737640000000</t>
  </si>
  <si>
    <t>Jackson city, TN</t>
  </si>
  <si>
    <t>CT4738320000000</t>
  </si>
  <si>
    <t>Johnson City city, TN</t>
  </si>
  <si>
    <t>CT4739560000000</t>
  </si>
  <si>
    <t>Kingsport city, TN</t>
  </si>
  <si>
    <t>CT4740000000000</t>
  </si>
  <si>
    <t>Knoxville city, TN</t>
  </si>
  <si>
    <t>CT4741200000000</t>
  </si>
  <si>
    <t>La Vergne city, TN</t>
  </si>
  <si>
    <t>CT4741520000000</t>
  </si>
  <si>
    <t>Lebanon city, TN</t>
  </si>
  <si>
    <t>CT4746380000000</t>
  </si>
  <si>
    <t>Maryville city, TN</t>
  </si>
  <si>
    <t>CT4748000000000</t>
  </si>
  <si>
    <t>Memphis city, TN</t>
  </si>
  <si>
    <t>CT4750280000000</t>
  </si>
  <si>
    <t>Morristown city, TN</t>
  </si>
  <si>
    <t>CT4750780000000</t>
  </si>
  <si>
    <t>Mount Juliet city, TN</t>
  </si>
  <si>
    <t>CT4751560000000</t>
  </si>
  <si>
    <t>Murfreesboro city, TN</t>
  </si>
  <si>
    <t>CT4752004000000</t>
  </si>
  <si>
    <t>Nashville-Davidson (consolidated) city, TN</t>
  </si>
  <si>
    <t>CT4755120000000</t>
  </si>
  <si>
    <t>Oak Ridge city, TN</t>
  </si>
  <si>
    <t>CT4769420000000</t>
  </si>
  <si>
    <t>Smyrna town, TN</t>
  </si>
  <si>
    <t>CT4770580000000</t>
  </si>
  <si>
    <t>Spring Hill city, TN</t>
  </si>
  <si>
    <t>CT4801000000000</t>
  </si>
  <si>
    <t>Abilene city, TX</t>
  </si>
  <si>
    <t>CT4801924000000</t>
  </si>
  <si>
    <t>Allen city, TX</t>
  </si>
  <si>
    <t>CT4802272000000</t>
  </si>
  <si>
    <t>Alvin city, TX</t>
  </si>
  <si>
    <t>CT4803000000000</t>
  </si>
  <si>
    <t>Amarillo city, TX</t>
  </si>
  <si>
    <t>CT4804000000000</t>
  </si>
  <si>
    <t>Arlington city, TX</t>
  </si>
  <si>
    <t>CT4805000000000</t>
  </si>
  <si>
    <t>Austin city, TX</t>
  </si>
  <si>
    <t>CT4805372000000</t>
  </si>
  <si>
    <t>Balch Springs city, TX</t>
  </si>
  <si>
    <t>CT4806128000000</t>
  </si>
  <si>
    <t>Baytown city, TX</t>
  </si>
  <si>
    <t>CT4807000000000</t>
  </si>
  <si>
    <t>Beaumont city, TX</t>
  </si>
  <si>
    <t>CT4807132000000</t>
  </si>
  <si>
    <t>Bedford city, TX</t>
  </si>
  <si>
    <t>CT4808236000000</t>
  </si>
  <si>
    <t>Big Spring city, TX</t>
  </si>
  <si>
    <t>CT4810768000000</t>
  </si>
  <si>
    <t>Brownsville city, TX</t>
  </si>
  <si>
    <t>CT4810912000000</t>
  </si>
  <si>
    <t>Bryan city, TX</t>
  </si>
  <si>
    <t>CT4811428000000</t>
  </si>
  <si>
    <t>Burleson city, TX</t>
  </si>
  <si>
    <t>CT4813024000000</t>
  </si>
  <si>
    <t>Carrollton city, TX</t>
  </si>
  <si>
    <t>CT4813492000000</t>
  </si>
  <si>
    <t>Cedar Hill city, TX</t>
  </si>
  <si>
    <t>CT4813552000000</t>
  </si>
  <si>
    <t>Cedar Park city, TX</t>
  </si>
  <si>
    <t>CT4814920000000</t>
  </si>
  <si>
    <t>Cibolo city, TX</t>
  </si>
  <si>
    <t>CT4815364000000</t>
  </si>
  <si>
    <t>Cleburne city, TX</t>
  </si>
  <si>
    <t>CT4815976000000</t>
  </si>
  <si>
    <t>College Station city, TX</t>
  </si>
  <si>
    <t>CT4815988000000</t>
  </si>
  <si>
    <t>Colleyville city, TX</t>
  </si>
  <si>
    <t>CT4816468000000</t>
  </si>
  <si>
    <t>Converse city, TX</t>
  </si>
  <si>
    <t>CT4816612000000</t>
  </si>
  <si>
    <t>Coppell city, TX</t>
  </si>
  <si>
    <t>CT4816624000000</t>
  </si>
  <si>
    <t>Copperas Cove city, TX</t>
  </si>
  <si>
    <t>CT4817000000000</t>
  </si>
  <si>
    <t>Corpus Christi city, TX</t>
  </si>
  <si>
    <t>CT4817060000000</t>
  </si>
  <si>
    <t>Corsicana city, TX</t>
  </si>
  <si>
    <t>SA4880780000000</t>
  </si>
  <si>
    <t>Dallam-Hartley, TX LMA</t>
  </si>
  <si>
    <t>CT4819000000000</t>
  </si>
  <si>
    <t>Dallas city, TX</t>
  </si>
  <si>
    <t>CT4819624000000</t>
  </si>
  <si>
    <t>Deer Park city, TX</t>
  </si>
  <si>
    <t>CT4819792000000</t>
  </si>
  <si>
    <t>Del Rio city, TX</t>
  </si>
  <si>
    <t>CT4819900000000</t>
  </si>
  <si>
    <t>Denison city, TX</t>
  </si>
  <si>
    <t>CT4819972000000</t>
  </si>
  <si>
    <t>Denton city, TX</t>
  </si>
  <si>
    <t>CT4820092000000</t>
  </si>
  <si>
    <t>DeSoto city, TX</t>
  </si>
  <si>
    <t>CT4821628000000</t>
  </si>
  <si>
    <t>Duncanville city, TX</t>
  </si>
  <si>
    <t>CT4821892000000</t>
  </si>
  <si>
    <t>Eagle Pass city, TX</t>
  </si>
  <si>
    <t>CT4822660000000</t>
  </si>
  <si>
    <t>Edinburg city, TX</t>
  </si>
  <si>
    <t>CT4824000000000</t>
  </si>
  <si>
    <t>El Paso city, TX</t>
  </si>
  <si>
    <t>CT4824768000000</t>
  </si>
  <si>
    <t>Euless city, TX</t>
  </si>
  <si>
    <t>CT4825452000000</t>
  </si>
  <si>
    <t>Farmers Branch city, TX</t>
  </si>
  <si>
    <t>CT4826232000000</t>
  </si>
  <si>
    <t>Flower Mound town, TX</t>
  </si>
  <si>
    <t>CT4827000000000</t>
  </si>
  <si>
    <t>Fort Worth city, TX</t>
  </si>
  <si>
    <t>CT4827648000000</t>
  </si>
  <si>
    <t>Friendswood city, TX</t>
  </si>
  <si>
    <t>CT4827684000000</t>
  </si>
  <si>
    <t>Frisco city, TX</t>
  </si>
  <si>
    <t>CT4828068000000</t>
  </si>
  <si>
    <t>Galveston city, TX</t>
  </si>
  <si>
    <t>CT4829000000000</t>
  </si>
  <si>
    <t>Garland city, TX</t>
  </si>
  <si>
    <t>CT4829336000000</t>
  </si>
  <si>
    <t>Georgetown city, TX</t>
  </si>
  <si>
    <t>CT4830464000000</t>
  </si>
  <si>
    <t>Grand Prairie city, TX</t>
  </si>
  <si>
    <t>CT4830644000000</t>
  </si>
  <si>
    <t>Grapevine city, TX</t>
  </si>
  <si>
    <t>CT4830920000000</t>
  </si>
  <si>
    <t>Greenville city, TX</t>
  </si>
  <si>
    <t>CT4831928000000</t>
  </si>
  <si>
    <t>Haltom City city, TX</t>
  </si>
  <si>
    <t>CT4832312000000</t>
  </si>
  <si>
    <t>Harker Heights city, TX</t>
  </si>
  <si>
    <t>CT4832372000000</t>
  </si>
  <si>
    <t>Harlingen city, TX</t>
  </si>
  <si>
    <t>CT4835000000000</t>
  </si>
  <si>
    <t>Houston city, TX</t>
  </si>
  <si>
    <t>CT4835528000000</t>
  </si>
  <si>
    <t>Huntsville city, TX</t>
  </si>
  <si>
    <t>CT4835576000000</t>
  </si>
  <si>
    <t>Hurst city, TX</t>
  </si>
  <si>
    <t>CT4835624000000</t>
  </si>
  <si>
    <t>Hutto city, TX</t>
  </si>
  <si>
    <t>CT4837000000000</t>
  </si>
  <si>
    <t>Irving city, TX</t>
  </si>
  <si>
    <t>CT4838632000000</t>
  </si>
  <si>
    <t>Keller city, TX</t>
  </si>
  <si>
    <t>CT4839148000000</t>
  </si>
  <si>
    <t>Killeen city, TX</t>
  </si>
  <si>
    <t>CT4839352000000</t>
  </si>
  <si>
    <t>Kingsville city, TX</t>
  </si>
  <si>
    <t>CT4839952000000</t>
  </si>
  <si>
    <t>Kyle city, TX</t>
  </si>
  <si>
    <t>CT4841440000000</t>
  </si>
  <si>
    <t>La Porte city, TX</t>
  </si>
  <si>
    <t>CT4840588000000</t>
  </si>
  <si>
    <t>Lake Jackson city, TX</t>
  </si>
  <si>
    <t>CT4841212000000</t>
  </si>
  <si>
    <t>Lancaster city, TX</t>
  </si>
  <si>
    <t>CT4841464000000</t>
  </si>
  <si>
    <t>Laredo city, TX</t>
  </si>
  <si>
    <t>CT4841980000000</t>
  </si>
  <si>
    <t>League City city, TX</t>
  </si>
  <si>
    <t>CT4842016000000</t>
  </si>
  <si>
    <t>Leander city, TX</t>
  </si>
  <si>
    <t>CT4842508000000</t>
  </si>
  <si>
    <t>Lewisville city, TX</t>
  </si>
  <si>
    <t>CT4843012000000</t>
  </si>
  <si>
    <t>Little Elm city, TX</t>
  </si>
  <si>
    <t>CT4843888000000</t>
  </si>
  <si>
    <t>Longview city, TX</t>
  </si>
  <si>
    <t>CT4845000000000</t>
  </si>
  <si>
    <t>Lubbock city, TX</t>
  </si>
  <si>
    <t>CT4845072000000</t>
  </si>
  <si>
    <t>Lufkin city, TX</t>
  </si>
  <si>
    <t>CT4846452000000</t>
  </si>
  <si>
    <t>Mansfield city, TX</t>
  </si>
  <si>
    <t>CT4845384000000</t>
  </si>
  <si>
    <t>McAllen city, TX</t>
  </si>
  <si>
    <t>CT4845744000000</t>
  </si>
  <si>
    <t>McKinney city, TX</t>
  </si>
  <si>
    <t>CT4847892000000</t>
  </si>
  <si>
    <t>Mesquite city, TX</t>
  </si>
  <si>
    <t>CT4848072000000</t>
  </si>
  <si>
    <t>Midland city, TX</t>
  </si>
  <si>
    <t>CT4848096000000</t>
  </si>
  <si>
    <t>Midlothian city, TX</t>
  </si>
  <si>
    <t>CT4848768000000</t>
  </si>
  <si>
    <t>Mission city, TX</t>
  </si>
  <si>
    <t>CT4848804000000</t>
  </si>
  <si>
    <t>Missouri City city, TX</t>
  </si>
  <si>
    <t>CT4850256000000</t>
  </si>
  <si>
    <t>Nacogdoches city, TX</t>
  </si>
  <si>
    <t>CT4850820000000</t>
  </si>
  <si>
    <t>New Braunfels city, TX</t>
  </si>
  <si>
    <t>CT4852356000000</t>
  </si>
  <si>
    <t>North Richland Hills city, TX</t>
  </si>
  <si>
    <t>CT4853388000000</t>
  </si>
  <si>
    <t>Odessa city, TX</t>
  </si>
  <si>
    <t>CT4855080000000</t>
  </si>
  <si>
    <t>Paris city, TX</t>
  </si>
  <si>
    <t>CT4856000000000</t>
  </si>
  <si>
    <t>Pasadena city, TX</t>
  </si>
  <si>
    <t>CT4856348000000</t>
  </si>
  <si>
    <t>Pearland city, TX</t>
  </si>
  <si>
    <t>CT4857176000000</t>
  </si>
  <si>
    <t>Pflugerville city, TX</t>
  </si>
  <si>
    <t>CT4857200000000</t>
  </si>
  <si>
    <t>Pharr city, TX</t>
  </si>
  <si>
    <t>CT4858016000000</t>
  </si>
  <si>
    <t>Plano city, TX</t>
  </si>
  <si>
    <t>CT4858820000000</t>
  </si>
  <si>
    <t>Port Arthur city, TX</t>
  </si>
  <si>
    <t>CT4861796000000</t>
  </si>
  <si>
    <t>Richardson city, TX</t>
  </si>
  <si>
    <t>CT4862828000000</t>
  </si>
  <si>
    <t>Rockwall city, TX</t>
  </si>
  <si>
    <t>CT4863284000000</t>
  </si>
  <si>
    <t>Rosenberg city, TX</t>
  </si>
  <si>
    <t>CT4863500000000</t>
  </si>
  <si>
    <t>Round Rock city, TX</t>
  </si>
  <si>
    <t>CT4863572000000</t>
  </si>
  <si>
    <t>Rowlett city, TX</t>
  </si>
  <si>
    <t>CT4864064000000</t>
  </si>
  <si>
    <t>Sachse city, TX</t>
  </si>
  <si>
    <t>CT4864472000000</t>
  </si>
  <si>
    <t>San Angelo city, TX</t>
  </si>
  <si>
    <t>CT4865000000000</t>
  </si>
  <si>
    <t>San Antonio city, TX</t>
  </si>
  <si>
    <t>CT4865036000000</t>
  </si>
  <si>
    <t>San Benito city, TX</t>
  </si>
  <si>
    <t>CT4865516000000</t>
  </si>
  <si>
    <t>San Juan city, TX</t>
  </si>
  <si>
    <t>CT4865600000000</t>
  </si>
  <si>
    <t>San Marcos city, TX</t>
  </si>
  <si>
    <t>CT4866128000000</t>
  </si>
  <si>
    <t>Schertz city, TX</t>
  </si>
  <si>
    <t>CT4866644000000</t>
  </si>
  <si>
    <t>Seguin city, TX</t>
  </si>
  <si>
    <t>CT4867496000000</t>
  </si>
  <si>
    <t>Sherman city, TX</t>
  </si>
  <si>
    <t>CT4868636000000</t>
  </si>
  <si>
    <t>Socorro city, TX</t>
  </si>
  <si>
    <t>CT4869032000000</t>
  </si>
  <si>
    <t>Southlake city, TX</t>
  </si>
  <si>
    <t>CT4870808000000</t>
  </si>
  <si>
    <t>Sugar Land city, TX</t>
  </si>
  <si>
    <t>CT4872176000000</t>
  </si>
  <si>
    <t>Temple city, TX</t>
  </si>
  <si>
    <t>CT4872368000000</t>
  </si>
  <si>
    <t>Texarkana city, TX</t>
  </si>
  <si>
    <t>CT4872392000000</t>
  </si>
  <si>
    <t>Texas City city, TX</t>
  </si>
  <si>
    <t>CT4872530000000</t>
  </si>
  <si>
    <t>The Colony city, TX</t>
  </si>
  <si>
    <t>CT4874144000000</t>
  </si>
  <si>
    <t>Tyler city, TX</t>
  </si>
  <si>
    <t>CT4874492000000</t>
  </si>
  <si>
    <t>University Park city, TX</t>
  </si>
  <si>
    <t>CT4875428000000</t>
  </si>
  <si>
    <t>Victoria city, TX</t>
  </si>
  <si>
    <t>CT4876000000000</t>
  </si>
  <si>
    <t>Waco city, TX</t>
  </si>
  <si>
    <t>CT4876816000000</t>
  </si>
  <si>
    <t>Waxahachie city, TX</t>
  </si>
  <si>
    <t>CT4876864000000</t>
  </si>
  <si>
    <t>Weatherford city, TX</t>
  </si>
  <si>
    <t>CT4877272000000</t>
  </si>
  <si>
    <t>Weslaco city, TX</t>
  </si>
  <si>
    <t>CT4879000000000</t>
  </si>
  <si>
    <t>Wichita Falls city, TX</t>
  </si>
  <si>
    <t>SA4882900000000</t>
  </si>
  <si>
    <t>Winkler-Loving, TX LMA</t>
  </si>
  <si>
    <t>CT4880356000000</t>
  </si>
  <si>
    <t>Wylie city, TX</t>
  </si>
  <si>
    <t>CT4901310000000</t>
  </si>
  <si>
    <t>American Fork city, UT</t>
  </si>
  <si>
    <t>CT4907690000000</t>
  </si>
  <si>
    <t>Bountiful city, UT</t>
  </si>
  <si>
    <t>CT4911320000000</t>
  </si>
  <si>
    <t>Cedar City city, UT</t>
  </si>
  <si>
    <t>CT4913850000000</t>
  </si>
  <si>
    <t>Clearfield city, UT</t>
  </si>
  <si>
    <t>CT4916270000000</t>
  </si>
  <si>
    <t>Cottonwood Heights city, UT</t>
  </si>
  <si>
    <t>CT4920120000000</t>
  </si>
  <si>
    <t>Draper city, UT</t>
  </si>
  <si>
    <t>CT4920810000000</t>
  </si>
  <si>
    <t>Eagle Mountain city, UT</t>
  </si>
  <si>
    <t>CT4934970000000</t>
  </si>
  <si>
    <t>Herriman city, UT</t>
  </si>
  <si>
    <t>CT4936070000000</t>
  </si>
  <si>
    <t>Holladay city, UT</t>
  </si>
  <si>
    <t>CT4940360000000</t>
  </si>
  <si>
    <t>Kaysville city, UT</t>
  </si>
  <si>
    <t>CT4943660000000</t>
  </si>
  <si>
    <t>Layton city, UT</t>
  </si>
  <si>
    <t>CT4944320000000</t>
  </si>
  <si>
    <t>Lehi city, UT</t>
  </si>
  <si>
    <t>CT4945860000000</t>
  </si>
  <si>
    <t>Logan city, UT</t>
  </si>
  <si>
    <t>CT4949710000000</t>
  </si>
  <si>
    <t>Midvale city, UT</t>
  </si>
  <si>
    <t>CT4950150000000</t>
  </si>
  <si>
    <t>Millcreek city, UT</t>
  </si>
  <si>
    <t>CT4953230000000</t>
  </si>
  <si>
    <t>Murray city, UT</t>
  </si>
  <si>
    <t>CT4955980000000</t>
  </si>
  <si>
    <t>Ogden city, UT</t>
  </si>
  <si>
    <t>CT4957300000000</t>
  </si>
  <si>
    <t>Orem city, UT</t>
  </si>
  <si>
    <t>CT4960930000000</t>
  </si>
  <si>
    <t>Pleasant Grove city, UT</t>
  </si>
  <si>
    <t>CT4962470000000</t>
  </si>
  <si>
    <t>Provo city, UT</t>
  </si>
  <si>
    <t>CT4964340000000</t>
  </si>
  <si>
    <t>Riverton city, UT</t>
  </si>
  <si>
    <t>CT4965110000000</t>
  </si>
  <si>
    <t>Roy city, UT</t>
  </si>
  <si>
    <t>CT4967000000000</t>
  </si>
  <si>
    <t>Salt Lake City city, UT</t>
  </si>
  <si>
    <t>CT4967440000000</t>
  </si>
  <si>
    <t>Sandy city, UT</t>
  </si>
  <si>
    <t>CT4967825000000</t>
  </si>
  <si>
    <t>Saratoga Springs city, UT</t>
  </si>
  <si>
    <t>CT4970850000000</t>
  </si>
  <si>
    <t>South Jordan city, UT</t>
  </si>
  <si>
    <t>CT4971070000000</t>
  </si>
  <si>
    <t>South Salt Lake city, UT</t>
  </si>
  <si>
    <t>CT4971290000000</t>
  </si>
  <si>
    <t>Spanish Fork city, UT</t>
  </si>
  <si>
    <t>CT4972280000000</t>
  </si>
  <si>
    <t>Springville city, UT</t>
  </si>
  <si>
    <t>CT4965330000000</t>
  </si>
  <si>
    <t>St. George city, UT</t>
  </si>
  <si>
    <t>CT4974810000000</t>
  </si>
  <si>
    <t>Syracuse city, UT</t>
  </si>
  <si>
    <t>CT4975360000000</t>
  </si>
  <si>
    <t>Taylorsville city, UT</t>
  </si>
  <si>
    <t>CT4976680000000</t>
  </si>
  <si>
    <t>Tooele city, UT</t>
  </si>
  <si>
    <t>CT4981960000000</t>
  </si>
  <si>
    <t>Washington city, UT</t>
  </si>
  <si>
    <t>CT4982950000000</t>
  </si>
  <si>
    <t>West Jordan city, UT</t>
  </si>
  <si>
    <t>CT4983470000000</t>
  </si>
  <si>
    <t>West Valley City city, UT</t>
  </si>
  <si>
    <t>CT5101000000000</t>
  </si>
  <si>
    <t>SA5180180000000</t>
  </si>
  <si>
    <t>Alleghany-Covington, VA LMA</t>
  </si>
  <si>
    <t>CT5107784000000</t>
  </si>
  <si>
    <t>Blacksburg town, VA</t>
  </si>
  <si>
    <t>CT5109816000000</t>
  </si>
  <si>
    <t>CT5111032000000</t>
  </si>
  <si>
    <t>SA5180580000000</t>
  </si>
  <si>
    <t>Carroll-Grayson-Galax, VA LMA</t>
  </si>
  <si>
    <t>CT5114968000000</t>
  </si>
  <si>
    <t>CT5116000000000</t>
  </si>
  <si>
    <t>CT5118448000000</t>
  </si>
  <si>
    <t>CT5119728000000</t>
  </si>
  <si>
    <t>CT5121344000000</t>
  </si>
  <si>
    <t>CT5125808000000</t>
  </si>
  <si>
    <t>CT5126496000000</t>
  </si>
  <si>
    <t>CT5127200000000</t>
  </si>
  <si>
    <t>CT5129600000000</t>
  </si>
  <si>
    <t>CT5129744000000</t>
  </si>
  <si>
    <t>CT5130208000000</t>
  </si>
  <si>
    <t>SA5181180000000</t>
  </si>
  <si>
    <t>Greensville-Emporia, VA LMA</t>
  </si>
  <si>
    <t>CT5135000000000</t>
  </si>
  <si>
    <t>CT5135624000000</t>
  </si>
  <si>
    <t>CT5138424000000</t>
  </si>
  <si>
    <t>CT5144984000000</t>
  </si>
  <si>
    <t>Leesburg town, VA</t>
  </si>
  <si>
    <t>CT5145512000000</t>
  </si>
  <si>
    <t>CT5147672000000</t>
  </si>
  <si>
    <t>CT5148952000000</t>
  </si>
  <si>
    <t>CT5148968000000</t>
  </si>
  <si>
    <t>CT5149784000000</t>
  </si>
  <si>
    <t>CT5156000000000</t>
  </si>
  <si>
    <t>CT5157000000000</t>
  </si>
  <si>
    <t>CT5157688000000</t>
  </si>
  <si>
    <t>CT5161832000000</t>
  </si>
  <si>
    <t>CT5163768000000</t>
  </si>
  <si>
    <t>CT5164000000000</t>
  </si>
  <si>
    <t>SA5182380000000</t>
  </si>
  <si>
    <t>Prince Edward-Cumberland, VA LMA</t>
  </si>
  <si>
    <t>CT5165392000000</t>
  </si>
  <si>
    <t>CT5167000000000</t>
  </si>
  <si>
    <t>CT5168000000000</t>
  </si>
  <si>
    <t>SA5182540000000</t>
  </si>
  <si>
    <t>Rockbridge-Lexington-Buena Vista, VA LMA</t>
  </si>
  <si>
    <t>CT5170000000000</t>
  </si>
  <si>
    <t>SA5182740000000</t>
  </si>
  <si>
    <t>Southampton-Franklin, VA LMA</t>
  </si>
  <si>
    <t>CT5175216000000</t>
  </si>
  <si>
    <t>CT5176432000000</t>
  </si>
  <si>
    <t>CT5182000000000</t>
  </si>
  <si>
    <t>CT5183680000000</t>
  </si>
  <si>
    <t>CT5186160000000</t>
  </si>
  <si>
    <t>CT5186720000000</t>
  </si>
  <si>
    <t>CS5000325000000</t>
  </si>
  <si>
    <t>Addison town, VT</t>
  </si>
  <si>
    <t>CS5000475000000</t>
  </si>
  <si>
    <t>Albany town, VT</t>
  </si>
  <si>
    <t>CS5000860000000</t>
  </si>
  <si>
    <t>Alburgh town, VT</t>
  </si>
  <si>
    <t>CS5001300000000</t>
  </si>
  <si>
    <t>Andover town, VT</t>
  </si>
  <si>
    <t>CS5001450000000</t>
  </si>
  <si>
    <t>Arlington town, VT</t>
  </si>
  <si>
    <t>CS5001900000000</t>
  </si>
  <si>
    <t>Athens town, VT</t>
  </si>
  <si>
    <t>CS5002125000000</t>
  </si>
  <si>
    <t>Averill town, VT</t>
  </si>
  <si>
    <t>CS5002500000000</t>
  </si>
  <si>
    <t>Bakersfield town, VT</t>
  </si>
  <si>
    <t>CS5002575000000</t>
  </si>
  <si>
    <t>Baltimore town, VT</t>
  </si>
  <si>
    <t>CS5002725000000</t>
  </si>
  <si>
    <t>Barnard town, VT</t>
  </si>
  <si>
    <t>CS5002875000000</t>
  </si>
  <si>
    <t>Barnet town, VT</t>
  </si>
  <si>
    <t>CT5003175000000</t>
  </si>
  <si>
    <t>Barre city, VT</t>
  </si>
  <si>
    <t>CS5003250000000</t>
  </si>
  <si>
    <t>Barre town, VT</t>
  </si>
  <si>
    <t>CS5003550000000</t>
  </si>
  <si>
    <t>Barton town, VT</t>
  </si>
  <si>
    <t>CS5004375000000</t>
  </si>
  <si>
    <t>Belvidere town, VT</t>
  </si>
  <si>
    <t>CS5004825000000</t>
  </si>
  <si>
    <t>Bennington town, VT</t>
  </si>
  <si>
    <t>CS5005200000000</t>
  </si>
  <si>
    <t>Benson town, VT</t>
  </si>
  <si>
    <t>CS5005425000000</t>
  </si>
  <si>
    <t>Berkshire town, VT</t>
  </si>
  <si>
    <t>CS5005650000000</t>
  </si>
  <si>
    <t>Berlin town, VT</t>
  </si>
  <si>
    <t>CS5005800000000</t>
  </si>
  <si>
    <t>Bethel town, VT</t>
  </si>
  <si>
    <t>CS5006325000000</t>
  </si>
  <si>
    <t>Bloomfield town, VT</t>
  </si>
  <si>
    <t>CS5006550000000</t>
  </si>
  <si>
    <t>Bolton town, VT</t>
  </si>
  <si>
    <t>CS5007375000000</t>
  </si>
  <si>
    <t>Bradford town, VT</t>
  </si>
  <si>
    <t>CS5007600000000</t>
  </si>
  <si>
    <t>Braintree town, VT</t>
  </si>
  <si>
    <t>CS5007750000000</t>
  </si>
  <si>
    <t>Brandon town, VT</t>
  </si>
  <si>
    <t>CS5007900000000</t>
  </si>
  <si>
    <t>Brattleboro town, VT</t>
  </si>
  <si>
    <t>CS5008275000000</t>
  </si>
  <si>
    <t>Bridgewater town, VT</t>
  </si>
  <si>
    <t>CS5008575000000</t>
  </si>
  <si>
    <t>Bridport town, VT</t>
  </si>
  <si>
    <t>CS5008725000000</t>
  </si>
  <si>
    <t>Brighton town, VT</t>
  </si>
  <si>
    <t>CS5009025000000</t>
  </si>
  <si>
    <t>Bristol town, VT</t>
  </si>
  <si>
    <t>CS5009325000000</t>
  </si>
  <si>
    <t>Brookfield town, VT</t>
  </si>
  <si>
    <t>CS5009475000000</t>
  </si>
  <si>
    <t>Brookline town, VT</t>
  </si>
  <si>
    <t>CS5009850000000</t>
  </si>
  <si>
    <t>Brownington town, VT</t>
  </si>
  <si>
    <t>CS5010075000000</t>
  </si>
  <si>
    <t>Brunswick town, VT</t>
  </si>
  <si>
    <t>CS5010300000000</t>
  </si>
  <si>
    <t>Buels gore, VT</t>
  </si>
  <si>
    <t>CS5010450000000</t>
  </si>
  <si>
    <t>Burke town, VT</t>
  </si>
  <si>
    <t>CT5010675000000</t>
  </si>
  <si>
    <t>Burlington city, VT</t>
  </si>
  <si>
    <t>CS5011125000000</t>
  </si>
  <si>
    <t>Cabot town, VT</t>
  </si>
  <si>
    <t>CS5011350000000</t>
  </si>
  <si>
    <t>Calais town, VT</t>
  </si>
  <si>
    <t>CS5011500000000</t>
  </si>
  <si>
    <t>Cambridge town, VT</t>
  </si>
  <si>
    <t>CS5011800000000</t>
  </si>
  <si>
    <t>Canaan town, VT</t>
  </si>
  <si>
    <t>CS5011950000000</t>
  </si>
  <si>
    <t>Castleton town, VT</t>
  </si>
  <si>
    <t>CS5012250000000</t>
  </si>
  <si>
    <t>Cavendish town, VT</t>
  </si>
  <si>
    <t>CS5013150000000</t>
  </si>
  <si>
    <t>Charleston town, VT</t>
  </si>
  <si>
    <t>CS5013300000000</t>
  </si>
  <si>
    <t>Charlotte town, VT</t>
  </si>
  <si>
    <t>CS5013525000000</t>
  </si>
  <si>
    <t>Chelsea town, VT</t>
  </si>
  <si>
    <t>CS5013675000000</t>
  </si>
  <si>
    <t>Chester town, VT</t>
  </si>
  <si>
    <t>CS5014350000000</t>
  </si>
  <si>
    <t>Chittenden town, VT</t>
  </si>
  <si>
    <t>CS5014500000000</t>
  </si>
  <si>
    <t>Clarendon town, VT</t>
  </si>
  <si>
    <t>CS5014875000000</t>
  </si>
  <si>
    <t>Colchester town, VT</t>
  </si>
  <si>
    <t>SA3380700000000</t>
  </si>
  <si>
    <t>Colebrook, NH-VT LMA</t>
  </si>
  <si>
    <t>CS5015250000000</t>
  </si>
  <si>
    <t>Concord town, VT</t>
  </si>
  <si>
    <t>CS5015700000000</t>
  </si>
  <si>
    <t>Corinth town, VT</t>
  </si>
  <si>
    <t>CS5016000000000</t>
  </si>
  <si>
    <t>Cornwall town, VT</t>
  </si>
  <si>
    <t>CS5016150000000</t>
  </si>
  <si>
    <t>Coventry town, VT</t>
  </si>
  <si>
    <t>CS5016300000000</t>
  </si>
  <si>
    <t>Craftsbury town, VT</t>
  </si>
  <si>
    <t>CS5016825000000</t>
  </si>
  <si>
    <t>Danby town, VT</t>
  </si>
  <si>
    <t>CS5017125000000</t>
  </si>
  <si>
    <t>Danville town, VT</t>
  </si>
  <si>
    <t>CS5017350000000</t>
  </si>
  <si>
    <t>Derby town, VT</t>
  </si>
  <si>
    <t>SA5080820000000</t>
  </si>
  <si>
    <t>Derby, VT LMA</t>
  </si>
  <si>
    <t>CS5017725000000</t>
  </si>
  <si>
    <t>Dorset town, VT</t>
  </si>
  <si>
    <t>CS5017875000000</t>
  </si>
  <si>
    <t>Dover town, VT</t>
  </si>
  <si>
    <t>CS5018325000000</t>
  </si>
  <si>
    <t>Dummerston town, VT</t>
  </si>
  <si>
    <t>CS5018550000000</t>
  </si>
  <si>
    <t>Duxbury town, VT</t>
  </si>
  <si>
    <t>CS5021250000000</t>
  </si>
  <si>
    <t>East Haven town, VT</t>
  </si>
  <si>
    <t>CS5021925000000</t>
  </si>
  <si>
    <t>East Montpelier town, VT</t>
  </si>
  <si>
    <t>CS5023500000000</t>
  </si>
  <si>
    <t>Eden town, VT</t>
  </si>
  <si>
    <t>CS5023725000000</t>
  </si>
  <si>
    <t>Elmore town, VT</t>
  </si>
  <si>
    <t>CS5024050000000</t>
  </si>
  <si>
    <t>Enosburgh town, VT</t>
  </si>
  <si>
    <t>CS5024175000000</t>
  </si>
  <si>
    <t>Essex town, VT</t>
  </si>
  <si>
    <t>CS5025375000000</t>
  </si>
  <si>
    <t>Fair Haven town, VT</t>
  </si>
  <si>
    <t>CS5024925000000</t>
  </si>
  <si>
    <t>Fairfax town, VT</t>
  </si>
  <si>
    <t>CS5025225000000</t>
  </si>
  <si>
    <t>Fairfield town, VT</t>
  </si>
  <si>
    <t>CS5025675000000</t>
  </si>
  <si>
    <t>Fairlee town, VT</t>
  </si>
  <si>
    <t>CS5025825000000</t>
  </si>
  <si>
    <t>Fayston town, VT</t>
  </si>
  <si>
    <t>CS5025975000000</t>
  </si>
  <si>
    <t>Ferdinand town, VT</t>
  </si>
  <si>
    <t>CS5026300000000</t>
  </si>
  <si>
    <t>Ferrisburgh town, VT</t>
  </si>
  <si>
    <t>CS5026500000000</t>
  </si>
  <si>
    <t>Fletcher town, VT</t>
  </si>
  <si>
    <t>CS5027100000000</t>
  </si>
  <si>
    <t>Franklin town, VT</t>
  </si>
  <si>
    <t>CS5027700000000</t>
  </si>
  <si>
    <t>Georgia town, VT</t>
  </si>
  <si>
    <t>CS5027962000000</t>
  </si>
  <si>
    <t>Glastenbury town, VT</t>
  </si>
  <si>
    <t>CS5028075000000</t>
  </si>
  <si>
    <t>Glover town, VT</t>
  </si>
  <si>
    <t>CS5028600000000</t>
  </si>
  <si>
    <t>Goshen town, VT</t>
  </si>
  <si>
    <t>CS5028900000000</t>
  </si>
  <si>
    <t>Grafton town, VT</t>
  </si>
  <si>
    <t>CS5029125000000</t>
  </si>
  <si>
    <t>Granby town, VT</t>
  </si>
  <si>
    <t>CS5029275000000</t>
  </si>
  <si>
    <t>Grand Isle town, VT</t>
  </si>
  <si>
    <t>CS5029575000000</t>
  </si>
  <si>
    <t>Granville town, VT</t>
  </si>
  <si>
    <t>CS5030175000000</t>
  </si>
  <si>
    <t>Greensboro town, VT</t>
  </si>
  <si>
    <t>CS5030550000000</t>
  </si>
  <si>
    <t>Groton town, VT</t>
  </si>
  <si>
    <t>CS5030775000000</t>
  </si>
  <si>
    <t>Guildhall town, VT</t>
  </si>
  <si>
    <t>CS5030925000000</t>
  </si>
  <si>
    <t>Guilford town, VT</t>
  </si>
  <si>
    <t>CS5031150000000</t>
  </si>
  <si>
    <t>Halifax town, VT</t>
  </si>
  <si>
    <t>CS5031525000000</t>
  </si>
  <si>
    <t>Hancock town, VT</t>
  </si>
  <si>
    <t>CS5031825000000</t>
  </si>
  <si>
    <t>Hardwick town, VT</t>
  </si>
  <si>
    <t>CS5032275000000</t>
  </si>
  <si>
    <t>Hartford town, VT</t>
  </si>
  <si>
    <t>CS5032425000000</t>
  </si>
  <si>
    <t>Hartland town, VT</t>
  </si>
  <si>
    <t>CS5033025000000</t>
  </si>
  <si>
    <t>Highgate town, VT</t>
  </si>
  <si>
    <t>SA5081340000000</t>
  </si>
  <si>
    <t>Highgate, VT LMA</t>
  </si>
  <si>
    <t>CS5033475000000</t>
  </si>
  <si>
    <t>Hinesburg town, VT</t>
  </si>
  <si>
    <t>CS5033775000000</t>
  </si>
  <si>
    <t>Holland town, VT</t>
  </si>
  <si>
    <t>CS5034450000000</t>
  </si>
  <si>
    <t>Hubbardton town, VT</t>
  </si>
  <si>
    <t>CS5034600000000</t>
  </si>
  <si>
    <t>Huntington town, VT</t>
  </si>
  <si>
    <t>CS5035050000000</t>
  </si>
  <si>
    <t>Hyde Park town, VT</t>
  </si>
  <si>
    <t>CS5035425000000</t>
  </si>
  <si>
    <t>Ira town, VT</t>
  </si>
  <si>
    <t>CS5035575000000</t>
  </si>
  <si>
    <t>Irasburg town, VT</t>
  </si>
  <si>
    <t>CS5035875000000</t>
  </si>
  <si>
    <t>Isle La Motte town, VT</t>
  </si>
  <si>
    <t>CS5036175000000</t>
  </si>
  <si>
    <t>Jamaica town, VT</t>
  </si>
  <si>
    <t>CS5036325000000</t>
  </si>
  <si>
    <t>Jay town, VT</t>
  </si>
  <si>
    <t>CS5036700000000</t>
  </si>
  <si>
    <t>Jericho town, VT</t>
  </si>
  <si>
    <t>CS5037075000000</t>
  </si>
  <si>
    <t>Johnson town, VT</t>
  </si>
  <si>
    <t>CS5037685000000</t>
  </si>
  <si>
    <t>Killington town, VT</t>
  </si>
  <si>
    <t>CS5037900000000</t>
  </si>
  <si>
    <t>Kirby town, VT</t>
  </si>
  <si>
    <t>CS5039025000000</t>
  </si>
  <si>
    <t>Landgrove town, VT</t>
  </si>
  <si>
    <t>CS5039325000000</t>
  </si>
  <si>
    <t>Leicester town, VT</t>
  </si>
  <si>
    <t>CS5039700000000</t>
  </si>
  <si>
    <t>Lemington town, VT</t>
  </si>
  <si>
    <t>CS5040075000000</t>
  </si>
  <si>
    <t>Lincoln town, VT</t>
  </si>
  <si>
    <t>SA3381620000000</t>
  </si>
  <si>
    <t>Littleton, NH-VT LMA</t>
  </si>
  <si>
    <t>CS5040225000000</t>
  </si>
  <si>
    <t>Londonderry town, VT</t>
  </si>
  <si>
    <t>CS5040525000000</t>
  </si>
  <si>
    <t>Lowell town, VT</t>
  </si>
  <si>
    <t>CS5041275000000</t>
  </si>
  <si>
    <t>Ludlow town, VT</t>
  </si>
  <si>
    <t>CS5041425000000</t>
  </si>
  <si>
    <t>Lunenburg town, VT</t>
  </si>
  <si>
    <t>CS5041725000000</t>
  </si>
  <si>
    <t>Lyndon town, VT</t>
  </si>
  <si>
    <t>CS5042475000000</t>
  </si>
  <si>
    <t>Maidstone town, VT</t>
  </si>
  <si>
    <t>CS5042850000000</t>
  </si>
  <si>
    <t>Manchester town, VT</t>
  </si>
  <si>
    <t>SA5081740000000</t>
  </si>
  <si>
    <t>Manchester, VT LMA</t>
  </si>
  <si>
    <t>CS5043375000000</t>
  </si>
  <si>
    <t>Marlboro town, VT</t>
  </si>
  <si>
    <t>CS5043600000000</t>
  </si>
  <si>
    <t>Marshfield town, VT</t>
  </si>
  <si>
    <t>CS5044125000000</t>
  </si>
  <si>
    <t>Mendon town, VT</t>
  </si>
  <si>
    <t>CS5044350000000</t>
  </si>
  <si>
    <t>Middlebury town, VT</t>
  </si>
  <si>
    <t>SA5081820000000</t>
  </si>
  <si>
    <t>Middlebury, VT LMA</t>
  </si>
  <si>
    <t>CS5044500000000</t>
  </si>
  <si>
    <t>Middlesex town, VT</t>
  </si>
  <si>
    <t>CS5044800000000</t>
  </si>
  <si>
    <t>Middletown Springs town, VT</t>
  </si>
  <si>
    <t>CS5045250000000</t>
  </si>
  <si>
    <t>Milton town, VT</t>
  </si>
  <si>
    <t>CS5045550000000</t>
  </si>
  <si>
    <t>Monkton town, VT</t>
  </si>
  <si>
    <t>CS5045850000000</t>
  </si>
  <si>
    <t>Montgomery town, VT</t>
  </si>
  <si>
    <t>CT5046000000000</t>
  </si>
  <si>
    <t>Montpelier city, VT</t>
  </si>
  <si>
    <t>CS5046225000000</t>
  </si>
  <si>
    <t>Moretown town, VT</t>
  </si>
  <si>
    <t>CS5046450000000</t>
  </si>
  <si>
    <t>Morgan town, VT</t>
  </si>
  <si>
    <t>CS5046675000000</t>
  </si>
  <si>
    <t>Morristown town, VT</t>
  </si>
  <si>
    <t>SA5081900000000</t>
  </si>
  <si>
    <t>Morristown-Waterbury, VT LMA</t>
  </si>
  <si>
    <t>CS5047200000000</t>
  </si>
  <si>
    <t>Mount Holly town, VT</t>
  </si>
  <si>
    <t>CS5047425000000</t>
  </si>
  <si>
    <t>Mount Tabor town, VT</t>
  </si>
  <si>
    <t>CS5048700000000</t>
  </si>
  <si>
    <t>New Haven town, VT</t>
  </si>
  <si>
    <t>CS5047725000000</t>
  </si>
  <si>
    <t>Newark town, VT</t>
  </si>
  <si>
    <t>CS5048175000000</t>
  </si>
  <si>
    <t>Newbury town, VT</t>
  </si>
  <si>
    <t>SA5082020000000</t>
  </si>
  <si>
    <t>Newbury, VT LMA</t>
  </si>
  <si>
    <t>CS5048400000000</t>
  </si>
  <si>
    <t>Newfane town, VT</t>
  </si>
  <si>
    <t>CT5048850000000</t>
  </si>
  <si>
    <t>Newport city, VT</t>
  </si>
  <si>
    <t>CS5048925000000</t>
  </si>
  <si>
    <t>Newport town, VT</t>
  </si>
  <si>
    <t>CS5050650000000</t>
  </si>
  <si>
    <t>North Hero town, VT</t>
  </si>
  <si>
    <t>CS5050275000000</t>
  </si>
  <si>
    <t>Northfield town, VT</t>
  </si>
  <si>
    <t>SA5082060000000</t>
  </si>
  <si>
    <t>Northfield-Waitsfield, VT LMA</t>
  </si>
  <si>
    <t>CS5052750000000</t>
  </si>
  <si>
    <t>Norton town, VT</t>
  </si>
  <si>
    <t>CS5052900000000</t>
  </si>
  <si>
    <t>Norwich town, VT</t>
  </si>
  <si>
    <t>CS5053425000000</t>
  </si>
  <si>
    <t>Orange town, VT</t>
  </si>
  <si>
    <t>CS5053725000000</t>
  </si>
  <si>
    <t>Orwell town, VT</t>
  </si>
  <si>
    <t>CS5053950000000</t>
  </si>
  <si>
    <t>Panton town, VT</t>
  </si>
  <si>
    <t>CS5054250000000</t>
  </si>
  <si>
    <t>Pawlet town, VT</t>
  </si>
  <si>
    <t>CS5054400000000</t>
  </si>
  <si>
    <t>Peacham town, VT</t>
  </si>
  <si>
    <t>CS5055000000000</t>
  </si>
  <si>
    <t>Peru town, VT</t>
  </si>
  <si>
    <t>CS5055450000000</t>
  </si>
  <si>
    <t>Pittsfield town, VT</t>
  </si>
  <si>
    <t>CS5055600000000</t>
  </si>
  <si>
    <t>Pittsford town, VT</t>
  </si>
  <si>
    <t>CS5055825000000</t>
  </si>
  <si>
    <t>Plainfield town, VT</t>
  </si>
  <si>
    <t>CS5056050000000</t>
  </si>
  <si>
    <t>Plymouth town, VT</t>
  </si>
  <si>
    <t>CS5056350000000</t>
  </si>
  <si>
    <t>Pomfret town, VT</t>
  </si>
  <si>
    <t>CS5056875000000</t>
  </si>
  <si>
    <t>Poultney town, VT</t>
  </si>
  <si>
    <t>CS5057025000000</t>
  </si>
  <si>
    <t>Pownal town, VT</t>
  </si>
  <si>
    <t>CS5057250000000</t>
  </si>
  <si>
    <t>Proctor town, VT</t>
  </si>
  <si>
    <t>CS5057700000000</t>
  </si>
  <si>
    <t>Putney town, VT</t>
  </si>
  <si>
    <t>CS5058075000000</t>
  </si>
  <si>
    <t>Randolph town, VT</t>
  </si>
  <si>
    <t>SA5082420000000</t>
  </si>
  <si>
    <t>Randolph, VT LMA</t>
  </si>
  <si>
    <t>CS5058375000000</t>
  </si>
  <si>
    <t>Reading town, VT</t>
  </si>
  <si>
    <t>CS5058600000000</t>
  </si>
  <si>
    <t>Readsboro town, VT</t>
  </si>
  <si>
    <t>CS5059125000000</t>
  </si>
  <si>
    <t>Richford town, VT</t>
  </si>
  <si>
    <t>CS5059275000000</t>
  </si>
  <si>
    <t>Richmond town, VT</t>
  </si>
  <si>
    <t>CS5059650000000</t>
  </si>
  <si>
    <t>Ripton town, VT</t>
  </si>
  <si>
    <t>CS5060100000000</t>
  </si>
  <si>
    <t>Rochester town, VT</t>
  </si>
  <si>
    <t>CS5060250000000</t>
  </si>
  <si>
    <t>Rockingham town, VT</t>
  </si>
  <si>
    <t>CS5060625000000</t>
  </si>
  <si>
    <t>Roxbury town, VT</t>
  </si>
  <si>
    <t>CS5060850000000</t>
  </si>
  <si>
    <t>Royalton town, VT</t>
  </si>
  <si>
    <t>CS5061000000000</t>
  </si>
  <si>
    <t>Rupert town, VT</t>
  </si>
  <si>
    <t>CT5061225000000</t>
  </si>
  <si>
    <t>Rutland city, VT</t>
  </si>
  <si>
    <t>CS5061300000000</t>
  </si>
  <si>
    <t>Rutland town, VT</t>
  </si>
  <si>
    <t>CS5061525000000</t>
  </si>
  <si>
    <t>Ryegate town, VT</t>
  </si>
  <si>
    <t>CS5062575000000</t>
  </si>
  <si>
    <t>Salisbury town, VT</t>
  </si>
  <si>
    <t>CS5062875000000</t>
  </si>
  <si>
    <t>Sandgate town, VT</t>
  </si>
  <si>
    <t>CS5063175000000</t>
  </si>
  <si>
    <t>Searsburg town, VT</t>
  </si>
  <si>
    <t>CS5063550000000</t>
  </si>
  <si>
    <t>Shaftsbury town, VT</t>
  </si>
  <si>
    <t>CS5063775000000</t>
  </si>
  <si>
    <t>Sharon town, VT</t>
  </si>
  <si>
    <t>CS5064075000000</t>
  </si>
  <si>
    <t>Sheffield town, VT</t>
  </si>
  <si>
    <t>CS5064300000000</t>
  </si>
  <si>
    <t>Shelburne town, VT</t>
  </si>
  <si>
    <t>CS5064600000000</t>
  </si>
  <si>
    <t>Sheldon town, VT</t>
  </si>
  <si>
    <t>CS5065050000000</t>
  </si>
  <si>
    <t>Shoreham town, VT</t>
  </si>
  <si>
    <t>CS5065275000000</t>
  </si>
  <si>
    <t>Shrewsbury town, VT</t>
  </si>
  <si>
    <t>CT5066175000000</t>
  </si>
  <si>
    <t>South Burlington city, VT</t>
  </si>
  <si>
    <t>CS5067000000000</t>
  </si>
  <si>
    <t>South Hero town, VT</t>
  </si>
  <si>
    <t>CS5069550000000</t>
  </si>
  <si>
    <t>Springfield town, VT</t>
  </si>
  <si>
    <t>SA5082780000000</t>
  </si>
  <si>
    <t>Springfield, VT LMA</t>
  </si>
  <si>
    <t>CT5061675000000</t>
  </si>
  <si>
    <t>St. Albans city, VT</t>
  </si>
  <si>
    <t>CS5061750000000</t>
  </si>
  <si>
    <t>St. Albans town, VT</t>
  </si>
  <si>
    <t>CS5062050000000</t>
  </si>
  <si>
    <t>St. George town, VT</t>
  </si>
  <si>
    <t>CS5062200000000</t>
  </si>
  <si>
    <t>St. Johnsbury town, VT</t>
  </si>
  <si>
    <t>SA5082660000000</t>
  </si>
  <si>
    <t>St. Johnsbury, VT LMA</t>
  </si>
  <si>
    <t>CS5069775000000</t>
  </si>
  <si>
    <t>Stamford town, VT</t>
  </si>
  <si>
    <t>CS5069925000000</t>
  </si>
  <si>
    <t>Stannard town, VT</t>
  </si>
  <si>
    <t>CS5070075000000</t>
  </si>
  <si>
    <t>Starksboro town, VT</t>
  </si>
  <si>
    <t>CS5070375000000</t>
  </si>
  <si>
    <t>Stockbridge town, VT</t>
  </si>
  <si>
    <t>CS5070525000000</t>
  </si>
  <si>
    <t>Stowe town, VT</t>
  </si>
  <si>
    <t>CS5070675000000</t>
  </si>
  <si>
    <t>Strafford town, VT</t>
  </si>
  <si>
    <t>CS5070750000000</t>
  </si>
  <si>
    <t>Stratton town, VT</t>
  </si>
  <si>
    <t>CS5071050000000</t>
  </si>
  <si>
    <t>Sudbury town, VT</t>
  </si>
  <si>
    <t>CS5071425000000</t>
  </si>
  <si>
    <t>Sunderland town, VT</t>
  </si>
  <si>
    <t>CS5071575000000</t>
  </si>
  <si>
    <t>Sutton town, VT</t>
  </si>
  <si>
    <t>CS5071725000000</t>
  </si>
  <si>
    <t>Swanton town, VT</t>
  </si>
  <si>
    <t>CS5072400000000</t>
  </si>
  <si>
    <t>Thetford town, VT</t>
  </si>
  <si>
    <t>CS5072925000000</t>
  </si>
  <si>
    <t>Tinmouth town, VT</t>
  </si>
  <si>
    <t>CS5073075000000</t>
  </si>
  <si>
    <t>Topsham town, VT</t>
  </si>
  <si>
    <t>CS5073300000000</t>
  </si>
  <si>
    <t>Townshend town, VT</t>
  </si>
  <si>
    <t>CS5073525000000</t>
  </si>
  <si>
    <t>Troy town, VT</t>
  </si>
  <si>
    <t>CS5073675000000</t>
  </si>
  <si>
    <t>Tunbridge town, VT</t>
  </si>
  <si>
    <t>CS5073975000000</t>
  </si>
  <si>
    <t>Underhill town, VT</t>
  </si>
  <si>
    <t>CT5074650000000</t>
  </si>
  <si>
    <t>Vergennes city, VT</t>
  </si>
  <si>
    <t>CS5074800000000</t>
  </si>
  <si>
    <t>Vernon town, VT</t>
  </si>
  <si>
    <t>CS5074950000000</t>
  </si>
  <si>
    <t>Vershire town, VT</t>
  </si>
  <si>
    <t>CS5075175000000</t>
  </si>
  <si>
    <t>Victory town, VT</t>
  </si>
  <si>
    <t>CS5075325000000</t>
  </si>
  <si>
    <t>Waitsfield town, VT</t>
  </si>
  <si>
    <t>CS5075700000000</t>
  </si>
  <si>
    <t>Walden town, VT</t>
  </si>
  <si>
    <t>CS5075925000000</t>
  </si>
  <si>
    <t>Wallingford town, VT</t>
  </si>
  <si>
    <t>CS5076075000000</t>
  </si>
  <si>
    <t>Waltham town, VT</t>
  </si>
  <si>
    <t>CS5076225000000</t>
  </si>
  <si>
    <t>Wardsboro town, VT</t>
  </si>
  <si>
    <t>CS5076525000000</t>
  </si>
  <si>
    <t>Warren town, VT</t>
  </si>
  <si>
    <t>CS5076562000000</t>
  </si>
  <si>
    <t>Warren's gore, VT</t>
  </si>
  <si>
    <t>CS5076750000000</t>
  </si>
  <si>
    <t>Washington town, VT</t>
  </si>
  <si>
    <t>CS5076975000000</t>
  </si>
  <si>
    <t>Waterbury town, VT</t>
  </si>
  <si>
    <t>CS5077125000000</t>
  </si>
  <si>
    <t>Waterford town, VT</t>
  </si>
  <si>
    <t>CS5077425000000</t>
  </si>
  <si>
    <t>Waterville town, VT</t>
  </si>
  <si>
    <t>CS5077500000000</t>
  </si>
  <si>
    <t>Weathersfield town, VT</t>
  </si>
  <si>
    <t>CS5077950000000</t>
  </si>
  <si>
    <t>Wells town, VT</t>
  </si>
  <si>
    <t>CS5079975000000</t>
  </si>
  <si>
    <t>West Fairlee town, VT</t>
  </si>
  <si>
    <t>CS5080875000000</t>
  </si>
  <si>
    <t>West Haven town, VT</t>
  </si>
  <si>
    <t>CS5082300000000</t>
  </si>
  <si>
    <t>West Rutland town, VT</t>
  </si>
  <si>
    <t>CS5083050000000</t>
  </si>
  <si>
    <t>West Windsor town, VT</t>
  </si>
  <si>
    <t>CS5080200000000</t>
  </si>
  <si>
    <t>Westfield town, VT</t>
  </si>
  <si>
    <t>CS5080350000000</t>
  </si>
  <si>
    <t>Westford town, VT</t>
  </si>
  <si>
    <t>CS5081400000000</t>
  </si>
  <si>
    <t>Westminster town, VT</t>
  </si>
  <si>
    <t>CS5081700000000</t>
  </si>
  <si>
    <t>Westmore town, VT</t>
  </si>
  <si>
    <t>CS5082000000000</t>
  </si>
  <si>
    <t>Weston town, VT</t>
  </si>
  <si>
    <t>CS5083275000000</t>
  </si>
  <si>
    <t>Weybridge town, VT</t>
  </si>
  <si>
    <t>CS5083500000000</t>
  </si>
  <si>
    <t>Wheelock town, VT</t>
  </si>
  <si>
    <t>CS5083800000000</t>
  </si>
  <si>
    <t>Whiting town, VT</t>
  </si>
  <si>
    <t>CS5083950000000</t>
  </si>
  <si>
    <t>Whitingham town, VT</t>
  </si>
  <si>
    <t>CS5084175000000</t>
  </si>
  <si>
    <t>Williamstown town, VT</t>
  </si>
  <si>
    <t>CS5084475000000</t>
  </si>
  <si>
    <t>Williston town, VT</t>
  </si>
  <si>
    <t>CS5084700000000</t>
  </si>
  <si>
    <t>Wilmington town, VT</t>
  </si>
  <si>
    <t>CS5084850000000</t>
  </si>
  <si>
    <t>Windham town, VT</t>
  </si>
  <si>
    <t>CS5084925000000</t>
  </si>
  <si>
    <t>Windsor town, VT</t>
  </si>
  <si>
    <t>CS5085075000000</t>
  </si>
  <si>
    <t>Winhall town, VT</t>
  </si>
  <si>
    <t>CT5085150000000</t>
  </si>
  <si>
    <t>Winooski city, VT</t>
  </si>
  <si>
    <t>CS5085375000000</t>
  </si>
  <si>
    <t>Wolcott town, VT</t>
  </si>
  <si>
    <t>CS5085525000000</t>
  </si>
  <si>
    <t>Woodbury town, VT</t>
  </si>
  <si>
    <t>CS5085675000000</t>
  </si>
  <si>
    <t>Woodford town, VT</t>
  </si>
  <si>
    <t>CS5085975000000</t>
  </si>
  <si>
    <t>Woodstock town, VT</t>
  </si>
  <si>
    <t>SA5082980000000</t>
  </si>
  <si>
    <t>Woodstock, VT LMA</t>
  </si>
  <si>
    <t>CS5086125000000</t>
  </si>
  <si>
    <t>Worcester town, VT</t>
  </si>
  <si>
    <t>CT5303180000000</t>
  </si>
  <si>
    <t>Auburn city, WA</t>
  </si>
  <si>
    <t>CT5305210000000</t>
  </si>
  <si>
    <t>Bellevue city, WA</t>
  </si>
  <si>
    <t>CT5305280000000</t>
  </si>
  <si>
    <t>Bellingham city, WA</t>
  </si>
  <si>
    <t>CT5307380000000</t>
  </si>
  <si>
    <t>Bothell city, WA</t>
  </si>
  <si>
    <t>CT5307695000000</t>
  </si>
  <si>
    <t>Bremerton city, WA</t>
  </si>
  <si>
    <t>CT5308850000000</t>
  </si>
  <si>
    <t>Burien city, WA</t>
  </si>
  <si>
    <t>CT5317635000000</t>
  </si>
  <si>
    <t>Des Moines city, WA</t>
  </si>
  <si>
    <t>CT5320750000000</t>
  </si>
  <si>
    <t>Edmonds city, WA</t>
  </si>
  <si>
    <t>CT5322640000000</t>
  </si>
  <si>
    <t>Everett city, WA</t>
  </si>
  <si>
    <t>CT5323515000000</t>
  </si>
  <si>
    <t>Federal Way city, WA</t>
  </si>
  <si>
    <t>CT5333805000000</t>
  </si>
  <si>
    <t>Issaquah city, WA</t>
  </si>
  <si>
    <t>CT5335275000000</t>
  </si>
  <si>
    <t>Kennewick city, WA</t>
  </si>
  <si>
    <t>CT5335415000000</t>
  </si>
  <si>
    <t>Kent city, WA</t>
  </si>
  <si>
    <t>CT5335940000000</t>
  </si>
  <si>
    <t>Kirkland city, WA</t>
  </si>
  <si>
    <t>CT5336745000000</t>
  </si>
  <si>
    <t>Lacey city, WA</t>
  </si>
  <si>
    <t>CT5337900000000</t>
  </si>
  <si>
    <t>Lake Stevens city, WA</t>
  </si>
  <si>
    <t>CT5338038000000</t>
  </si>
  <si>
    <t>Lakewood city, WA</t>
  </si>
  <si>
    <t>CT5340245000000</t>
  </si>
  <si>
    <t>Longview city, WA</t>
  </si>
  <si>
    <t>CT5340840000000</t>
  </si>
  <si>
    <t>Lynnwood city, WA</t>
  </si>
  <si>
    <t>CT5343150000000</t>
  </si>
  <si>
    <t>Maple Valley city, WA</t>
  </si>
  <si>
    <t>CT5343955000000</t>
  </si>
  <si>
    <t>Marysville city, WA</t>
  </si>
  <si>
    <t>CT5345005000000</t>
  </si>
  <si>
    <t>Mercer Island city, WA</t>
  </si>
  <si>
    <t>CT5347560000000</t>
  </si>
  <si>
    <t>Mount Vernon city, WA</t>
  </si>
  <si>
    <t>CT5351300000000</t>
  </si>
  <si>
    <t>Olympia city, WA</t>
  </si>
  <si>
    <t>CT5353545000000</t>
  </si>
  <si>
    <t>Pasco city, WA</t>
  </si>
  <si>
    <t>CT5356625000000</t>
  </si>
  <si>
    <t>Pullman city, WA</t>
  </si>
  <si>
    <t>CT5356695000000</t>
  </si>
  <si>
    <t>Puyallup city, WA</t>
  </si>
  <si>
    <t>CT5357535000000</t>
  </si>
  <si>
    <t>Redmond city, WA</t>
  </si>
  <si>
    <t>CT5357745000000</t>
  </si>
  <si>
    <t>Renton city, WA</t>
  </si>
  <si>
    <t>CT5358235000000</t>
  </si>
  <si>
    <t>Richland city, WA</t>
  </si>
  <si>
    <t>CT5361115000000</t>
  </si>
  <si>
    <t>Sammamish city, WA</t>
  </si>
  <si>
    <t>CT5362288000000</t>
  </si>
  <si>
    <t>SeaTac city, WA</t>
  </si>
  <si>
    <t>CT5363000000000</t>
  </si>
  <si>
    <t>Seattle city, WA</t>
  </si>
  <si>
    <t>CT5363960000000</t>
  </si>
  <si>
    <t>Shoreline city, WA</t>
  </si>
  <si>
    <t>CT5367000000000</t>
  </si>
  <si>
    <t>Spokane city, WA</t>
  </si>
  <si>
    <t>CT5367167000000</t>
  </si>
  <si>
    <t>Spokane Valley city, WA</t>
  </si>
  <si>
    <t>CT5370000000000</t>
  </si>
  <si>
    <t>Tacoma city, WA</t>
  </si>
  <si>
    <t>CT5373465000000</t>
  </si>
  <si>
    <t>University Place city, WA</t>
  </si>
  <si>
    <t>CT5374060000000</t>
  </si>
  <si>
    <t>Vancouver city, WA</t>
  </si>
  <si>
    <t>CT5375775000000</t>
  </si>
  <si>
    <t>Walla Walla city, WA</t>
  </si>
  <si>
    <t>CT5377105000000</t>
  </si>
  <si>
    <t>Wenatchee city, WA</t>
  </si>
  <si>
    <t>CT5380010000000</t>
  </si>
  <si>
    <t>Yakima city, WA</t>
  </si>
  <si>
    <t>CT5502375000000</t>
  </si>
  <si>
    <t>Appleton city, WI</t>
  </si>
  <si>
    <t>SA5580220000000</t>
  </si>
  <si>
    <t>Ashland-Bayfield, WI LMA</t>
  </si>
  <si>
    <t>CT5506500000000</t>
  </si>
  <si>
    <t>Beloit city, WI</t>
  </si>
  <si>
    <t>CT5510025000000</t>
  </si>
  <si>
    <t>Brookfield city, WI</t>
  </si>
  <si>
    <t>CT5511950000000</t>
  </si>
  <si>
    <t>Caledonia village, WI</t>
  </si>
  <si>
    <t>CT5519775000000</t>
  </si>
  <si>
    <t>De Pere city, WI</t>
  </si>
  <si>
    <t>CT5522300000000</t>
  </si>
  <si>
    <t>Eau Claire city, WI</t>
  </si>
  <si>
    <t>CT5525950000000</t>
  </si>
  <si>
    <t>Fitchburg city, WI</t>
  </si>
  <si>
    <t>CT5526275000000</t>
  </si>
  <si>
    <t>Fond du Lac city, WI</t>
  </si>
  <si>
    <t>CT5527300000000</t>
  </si>
  <si>
    <t>Franklin city, WI</t>
  </si>
  <si>
    <t>SA2681060000000</t>
  </si>
  <si>
    <t>Gogebic-Iron, MI-WI LMA</t>
  </si>
  <si>
    <t>CT5531000000000</t>
  </si>
  <si>
    <t>Green Bay city, WI</t>
  </si>
  <si>
    <t>CT5531175000000</t>
  </si>
  <si>
    <t>Greenfield city, WI</t>
  </si>
  <si>
    <t>CT5537825000000</t>
  </si>
  <si>
    <t>Janesville city, WI</t>
  </si>
  <si>
    <t>CT5539225000000</t>
  </si>
  <si>
    <t>Kenosha city, WI</t>
  </si>
  <si>
    <t>CT5540775000000</t>
  </si>
  <si>
    <t>La Crosse city, WI</t>
  </si>
  <si>
    <t>CT5548000000000</t>
  </si>
  <si>
    <t>Madison city, WI</t>
  </si>
  <si>
    <t>CT5548500000000</t>
  </si>
  <si>
    <t>Manitowoc city, WI</t>
  </si>
  <si>
    <t>CT5551000000000</t>
  </si>
  <si>
    <t>Menomonee Falls village, WI</t>
  </si>
  <si>
    <t>CT5553000000000</t>
  </si>
  <si>
    <t>Milwaukee city, WI</t>
  </si>
  <si>
    <t>CT5554875000000</t>
  </si>
  <si>
    <t>Mount Pleasant village, WI</t>
  </si>
  <si>
    <t>CT5555275000000</t>
  </si>
  <si>
    <t>Muskego city, WI</t>
  </si>
  <si>
    <t>CT5555750000000</t>
  </si>
  <si>
    <t>Neenah city, WI</t>
  </si>
  <si>
    <t>CT5556375000000</t>
  </si>
  <si>
    <t>New Berlin city, WI</t>
  </si>
  <si>
    <t>CT5558800000000</t>
  </si>
  <si>
    <t>Oak Creek city, WI</t>
  </si>
  <si>
    <t>CT5560500000000</t>
  </si>
  <si>
    <t>Oshkosh city, WI</t>
  </si>
  <si>
    <t>CT5566000000000</t>
  </si>
  <si>
    <t>Racine city, WI</t>
  </si>
  <si>
    <t>CT5572975000000</t>
  </si>
  <si>
    <t>Sheboygan city, WI</t>
  </si>
  <si>
    <t>CT5577200000000</t>
  </si>
  <si>
    <t>Stevens Point city, WI</t>
  </si>
  <si>
    <t>CT5578600000000</t>
  </si>
  <si>
    <t>Sun Prairie city, WI</t>
  </si>
  <si>
    <t>CT5578650000000</t>
  </si>
  <si>
    <t>Superior city, WI</t>
  </si>
  <si>
    <t>CT5584250000000</t>
  </si>
  <si>
    <t>Waukesha city, WI</t>
  </si>
  <si>
    <t>CT5584475000000</t>
  </si>
  <si>
    <t>Wausau city, WI</t>
  </si>
  <si>
    <t>CT5584675000000</t>
  </si>
  <si>
    <t>Wauwatosa city, WI</t>
  </si>
  <si>
    <t>CT5585300000000</t>
  </si>
  <si>
    <t>West Allis city, WI</t>
  </si>
  <si>
    <t>CT5585350000000</t>
  </si>
  <si>
    <t>West Bend city, WI</t>
  </si>
  <si>
    <t>CT5414600000000</t>
  </si>
  <si>
    <t>Charleston city, WV</t>
  </si>
  <si>
    <t>CT5439460000000</t>
  </si>
  <si>
    <t>Huntington city, WV</t>
  </si>
  <si>
    <t>CT5455756000000</t>
  </si>
  <si>
    <t>Morgantown city, WV</t>
  </si>
  <si>
    <t>CT5462140000000</t>
  </si>
  <si>
    <t>Parkersburg city, WV</t>
  </si>
  <si>
    <t>CT5486452000000</t>
  </si>
  <si>
    <t>Wheeling city, WV</t>
  </si>
  <si>
    <t>CT5613150000000</t>
  </si>
  <si>
    <t>Casper city, WY</t>
  </si>
  <si>
    <t>CT5613900000000</t>
  </si>
  <si>
    <t>Cheyenne city, WY</t>
  </si>
  <si>
    <t>CT5631855000000</t>
  </si>
  <si>
    <t>Gillette city, WY</t>
  </si>
  <si>
    <t>CT5645050000000</t>
  </si>
  <si>
    <t>Laramie city, WY</t>
  </si>
  <si>
    <t>A</t>
  </si>
  <si>
    <t>ST0100000000000</t>
  </si>
  <si>
    <t>Alabama</t>
  </si>
  <si>
    <t>ST0200000000000</t>
  </si>
  <si>
    <t>Alaska</t>
  </si>
  <si>
    <t>ST0400000000000</t>
  </si>
  <si>
    <t>Arizona</t>
  </si>
  <si>
    <t>ST0500000000000</t>
  </si>
  <si>
    <t>Arkansas</t>
  </si>
  <si>
    <t>ST0600000000000</t>
  </si>
  <si>
    <t>California</t>
  </si>
  <si>
    <t>ST0800000000000</t>
  </si>
  <si>
    <t>Colorado</t>
  </si>
  <si>
    <t>ST0900000000000</t>
  </si>
  <si>
    <t>Connecticut</t>
  </si>
  <si>
    <t>ST1000000000000</t>
  </si>
  <si>
    <t>Delaware</t>
  </si>
  <si>
    <t>ST1100000000000</t>
  </si>
  <si>
    <t>ST1200000000000</t>
  </si>
  <si>
    <t>Florida</t>
  </si>
  <si>
    <t>ST1300000000000</t>
  </si>
  <si>
    <t>Georgia</t>
  </si>
  <si>
    <t>ST1500000000000</t>
  </si>
  <si>
    <t>Hawaii</t>
  </si>
  <si>
    <t>ST1600000000000</t>
  </si>
  <si>
    <t>Idaho</t>
  </si>
  <si>
    <t>ST1700000000000</t>
  </si>
  <si>
    <t>Illinois</t>
  </si>
  <si>
    <t>ST1800000000000</t>
  </si>
  <si>
    <t>Indiana</t>
  </si>
  <si>
    <t>ST1900000000000</t>
  </si>
  <si>
    <t>Iowa</t>
  </si>
  <si>
    <t>ST2000000000000</t>
  </si>
  <si>
    <t>Kansas</t>
  </si>
  <si>
    <t>ST2100000000000</t>
  </si>
  <si>
    <t>Kentucky</t>
  </si>
  <si>
    <t>ST2200000000000</t>
  </si>
  <si>
    <t>Louisiana</t>
  </si>
  <si>
    <t>ST2300000000000</t>
  </si>
  <si>
    <t>Maine</t>
  </si>
  <si>
    <t>ST2400000000000</t>
  </si>
  <si>
    <t>Maryland</t>
  </si>
  <si>
    <t>ST2500000000000</t>
  </si>
  <si>
    <t>Massachusetts</t>
  </si>
  <si>
    <t>ST2600000000000</t>
  </si>
  <si>
    <t>Michigan</t>
  </si>
  <si>
    <t>ST2700000000000</t>
  </si>
  <si>
    <t>Minnesota</t>
  </si>
  <si>
    <t>ST2800000000000</t>
  </si>
  <si>
    <t>Mississippi</t>
  </si>
  <si>
    <t>ST2900000000000</t>
  </si>
  <si>
    <t>Missouri</t>
  </si>
  <si>
    <t>ST3000000000000</t>
  </si>
  <si>
    <t>Montana</t>
  </si>
  <si>
    <t>ST3100000000000</t>
  </si>
  <si>
    <t>Nebraska</t>
  </si>
  <si>
    <t>ST3200000000000</t>
  </si>
  <si>
    <t>Nevada</t>
  </si>
  <si>
    <t>ST3300000000000</t>
  </si>
  <si>
    <t>New Hampshire</t>
  </si>
  <si>
    <t>ST3400000000000</t>
  </si>
  <si>
    <t>New Jersey</t>
  </si>
  <si>
    <t>ST3500000000000</t>
  </si>
  <si>
    <t>New Mexico</t>
  </si>
  <si>
    <t>ST3600000000000</t>
  </si>
  <si>
    <t>New York</t>
  </si>
  <si>
    <t>ST3700000000000</t>
  </si>
  <si>
    <t>North Carolina</t>
  </si>
  <si>
    <t>ST3800000000000</t>
  </si>
  <si>
    <t>North Dakota</t>
  </si>
  <si>
    <t>ST3900000000000</t>
  </si>
  <si>
    <t>Ohio</t>
  </si>
  <si>
    <t>ST4000000000000</t>
  </si>
  <si>
    <t>Oklahoma</t>
  </si>
  <si>
    <t>ST4100000000000</t>
  </si>
  <si>
    <t>Oregon</t>
  </si>
  <si>
    <t>ST4200000000000</t>
  </si>
  <si>
    <t>Pennsylvania</t>
  </si>
  <si>
    <t>ST4400000000000</t>
  </si>
  <si>
    <t>Rhode Island</t>
  </si>
  <si>
    <t>ST4500000000000</t>
  </si>
  <si>
    <t>South Carolina</t>
  </si>
  <si>
    <t>ST4600000000000</t>
  </si>
  <si>
    <t>South Dakota</t>
  </si>
  <si>
    <t>ST4700000000000</t>
  </si>
  <si>
    <t>Tennessee</t>
  </si>
  <si>
    <t>ST4900000000000</t>
  </si>
  <si>
    <t>Utah</t>
  </si>
  <si>
    <t>ST5000000000000</t>
  </si>
  <si>
    <t>Vermont</t>
  </si>
  <si>
    <t>ST5100000000000</t>
  </si>
  <si>
    <t>Virginia</t>
  </si>
  <si>
    <t>ST5300000000000</t>
  </si>
  <si>
    <t>Washington</t>
  </si>
  <si>
    <t>ST5400000000000</t>
  </si>
  <si>
    <t>West Virginia</t>
  </si>
  <si>
    <t>ST5500000000000</t>
  </si>
  <si>
    <t>Wisconsin</t>
  </si>
  <si>
    <t>ST5600000000000</t>
  </si>
  <si>
    <t>Wyoming</t>
  </si>
  <si>
    <t>ST7200000000000</t>
  </si>
  <si>
    <t>Puerto Rico</t>
  </si>
  <si>
    <t>Array</t>
  </si>
  <si>
    <t>Lookup Result</t>
  </si>
  <si>
    <t>BLS ID</t>
  </si>
  <si>
    <t>BLS Geographic Area</t>
  </si>
  <si>
    <t>National:</t>
  </si>
  <si>
    <t>State:</t>
  </si>
  <si>
    <t>Metro:</t>
  </si>
  <si>
    <t>County:</t>
  </si>
  <si>
    <t>Town:</t>
  </si>
  <si>
    <t>Nat'l</t>
  </si>
  <si>
    <t>Co.</t>
  </si>
  <si>
    <t>Twn</t>
  </si>
  <si>
    <t>(period 0 for most recent</t>
  </si>
  <si>
    <t>and period 13 for yr end)</t>
  </si>
  <si>
    <t>Current Mo.</t>
  </si>
  <si>
    <t>Source: www.bls.gov</t>
  </si>
  <si>
    <t>Footnotes</t>
  </si>
  <si>
    <t>Current Yr.</t>
  </si>
  <si>
    <t>[0].seriesID</t>
  </si>
  <si>
    <t>[0].data[0].year</t>
  </si>
  <si>
    <t>[0].data[0].period</t>
  </si>
  <si>
    <t>[0].data[0].periodName</t>
  </si>
  <si>
    <t>[0].data[0].value</t>
  </si>
  <si>
    <t>[0].data[1].year</t>
  </si>
  <si>
    <t>[0].data[1].period</t>
  </si>
  <si>
    <t>[0].data[1].periodName</t>
  </si>
  <si>
    <t>[0].data[1].value</t>
  </si>
  <si>
    <t>[0].data[2].year</t>
  </si>
  <si>
    <t>[0].data[2].period</t>
  </si>
  <si>
    <t>[0].data[2].periodName</t>
  </si>
  <si>
    <t>[0].data[2].value</t>
  </si>
  <si>
    <t>[0].data[3].year</t>
  </si>
  <si>
    <t>[0].data[3].period</t>
  </si>
  <si>
    <t>[0].data[3].periodName</t>
  </si>
  <si>
    <t>[0].data[3].value</t>
  </si>
  <si>
    <t>[0].data[4].year</t>
  </si>
  <si>
    <t>[0].data[4].period</t>
  </si>
  <si>
    <t>[0].data[4].periodName</t>
  </si>
  <si>
    <t>[0].data[4].value</t>
  </si>
  <si>
    <t>[0].data[5].year</t>
  </si>
  <si>
    <t>[0].data[5].period</t>
  </si>
  <si>
    <t>[0].data[5].periodName</t>
  </si>
  <si>
    <t>[0].data[5].value</t>
  </si>
  <si>
    <t>[0].data[6].year</t>
  </si>
  <si>
    <t>[0].data[6].period</t>
  </si>
  <si>
    <t>[0].data[6].periodName</t>
  </si>
  <si>
    <t>[0].data[6].value</t>
  </si>
  <si>
    <t>[0].data[7].year</t>
  </si>
  <si>
    <t>[0].data[7].period</t>
  </si>
  <si>
    <t>[0].data[7].periodName</t>
  </si>
  <si>
    <t>[0].data[7].value</t>
  </si>
  <si>
    <t>[0].data[8].year</t>
  </si>
  <si>
    <t>[0].data[8].period</t>
  </si>
  <si>
    <t>[0].data[8].periodName</t>
  </si>
  <si>
    <t>[0].data[8].value</t>
  </si>
  <si>
    <t>[0].data[9].year</t>
  </si>
  <si>
    <t>[0].data[9].period</t>
  </si>
  <si>
    <t>[0].data[9].periodName</t>
  </si>
  <si>
    <t>[0].data[9].value</t>
  </si>
  <si>
    <t>[0].data[10].year</t>
  </si>
  <si>
    <t>[0].data[10].period</t>
  </si>
  <si>
    <t>[0].data[10].periodName</t>
  </si>
  <si>
    <t>[0].data[10].value</t>
  </si>
  <si>
    <t>[0].data[11].year</t>
  </si>
  <si>
    <t>[0].data[11].period</t>
  </si>
  <si>
    <t>[0].data[11].periodName</t>
  </si>
  <si>
    <t>[0].data[11].value</t>
  </si>
  <si>
    <t>[0].data[12].year</t>
  </si>
  <si>
    <t>[0].data[12].period</t>
  </si>
  <si>
    <t>[0].data[12].periodName</t>
  </si>
  <si>
    <t>[0].data[12].value</t>
  </si>
  <si>
    <t>[0].data[13].year</t>
  </si>
  <si>
    <t>[0].data[13].period</t>
  </si>
  <si>
    <t>[0].data[13].periodName</t>
  </si>
  <si>
    <t>[0].data[13].value</t>
  </si>
  <si>
    <t>[0].data[14].year</t>
  </si>
  <si>
    <t>[0].data[14].period</t>
  </si>
  <si>
    <t>[0].data[14].periodName</t>
  </si>
  <si>
    <t>[0].data[14].value</t>
  </si>
  <si>
    <t>[0].data[15].year</t>
  </si>
  <si>
    <t>[0].data[15].period</t>
  </si>
  <si>
    <t>[0].data[15].periodName</t>
  </si>
  <si>
    <t>[0].data[15].value</t>
  </si>
  <si>
    <t>[0].data[16].year</t>
  </si>
  <si>
    <t>[0].data[16].period</t>
  </si>
  <si>
    <t>[0].data[16].periodName</t>
  </si>
  <si>
    <t>[0].data[16].value</t>
  </si>
  <si>
    <t>[0].data[17].year</t>
  </si>
  <si>
    <t>[0].data[17].period</t>
  </si>
  <si>
    <t>[0].data[17].periodName</t>
  </si>
  <si>
    <t>[0].data[17].value</t>
  </si>
  <si>
    <t>[0].data[18].year</t>
  </si>
  <si>
    <t>[0].data[18].period</t>
  </si>
  <si>
    <t>[0].data[18].periodName</t>
  </si>
  <si>
    <t>[0].data[18].value</t>
  </si>
  <si>
    <t>[0].data[19].year</t>
  </si>
  <si>
    <t>[0].data[19].period</t>
  </si>
  <si>
    <t>[0].data[19].periodName</t>
  </si>
  <si>
    <t>[0].data[19].value</t>
  </si>
  <si>
    <t>[0].data[20].year</t>
  </si>
  <si>
    <t>[0].data[20].period</t>
  </si>
  <si>
    <t>[0].data[20].periodName</t>
  </si>
  <si>
    <t>[0].data[20].value</t>
  </si>
  <si>
    <t>[0].data[21].year</t>
  </si>
  <si>
    <t>[0].data[21].period</t>
  </si>
  <si>
    <t>[0].data[21].periodName</t>
  </si>
  <si>
    <t>[0].data[21].value</t>
  </si>
  <si>
    <t>[0].data[22].year</t>
  </si>
  <si>
    <t>[0].data[22].period</t>
  </si>
  <si>
    <t>[0].data[22].periodName</t>
  </si>
  <si>
    <t>[0].data[22].value</t>
  </si>
  <si>
    <t>[0].data[23].year</t>
  </si>
  <si>
    <t>[0].data[23].period</t>
  </si>
  <si>
    <t>[0].data[23].periodName</t>
  </si>
  <si>
    <t>[0].data[23].value</t>
  </si>
  <si>
    <t>[0].data[24].year</t>
  </si>
  <si>
    <t>[0].data[24].period</t>
  </si>
  <si>
    <t>[0].data[24].periodName</t>
  </si>
  <si>
    <t>[0].data[24].value</t>
  </si>
  <si>
    <t>[0].data[25].year</t>
  </si>
  <si>
    <t>[0].data[25].period</t>
  </si>
  <si>
    <t>[0].data[25].periodName</t>
  </si>
  <si>
    <t>[0].data[25].value</t>
  </si>
  <si>
    <t>[0].data[26].year</t>
  </si>
  <si>
    <t>[0].data[26].period</t>
  </si>
  <si>
    <t>[0].data[26].periodName</t>
  </si>
  <si>
    <t>[0].data[26].value</t>
  </si>
  <si>
    <t>[0].data[27].year</t>
  </si>
  <si>
    <t>[0].data[27].period</t>
  </si>
  <si>
    <t>[0].data[27].periodName</t>
  </si>
  <si>
    <t>[0].data[27].value</t>
  </si>
  <si>
    <t>[0].data[28].year</t>
  </si>
  <si>
    <t>[0].data[28].period</t>
  </si>
  <si>
    <t>[0].data[28].periodName</t>
  </si>
  <si>
    <t>[0].data[28].value</t>
  </si>
  <si>
    <t>[0].data[29].year</t>
  </si>
  <si>
    <t>[0].data[29].period</t>
  </si>
  <si>
    <t>[0].data[29].periodName</t>
  </si>
  <si>
    <t>[0].data[29].value</t>
  </si>
  <si>
    <t>[0].data[30].year</t>
  </si>
  <si>
    <t>[0].data[30].period</t>
  </si>
  <si>
    <t>[0].data[30].periodName</t>
  </si>
  <si>
    <t>[0].data[30].value</t>
  </si>
  <si>
    <t>[0].data[31].year</t>
  </si>
  <si>
    <t>[0].data[31].period</t>
  </si>
  <si>
    <t>[0].data[31].periodName</t>
  </si>
  <si>
    <t>[0].data[31].value</t>
  </si>
  <si>
    <t>[0].data[32].year</t>
  </si>
  <si>
    <t>[0].data[32].period</t>
  </si>
  <si>
    <t>[0].data[32].periodName</t>
  </si>
  <si>
    <t>[0].data[32].value</t>
  </si>
  <si>
    <t>[0].data[33].year</t>
  </si>
  <si>
    <t>[0].data[33].period</t>
  </si>
  <si>
    <t>[0].data[33].periodName</t>
  </si>
  <si>
    <t>[0].data[33].value</t>
  </si>
  <si>
    <t>[0].data[34].year</t>
  </si>
  <si>
    <t>[0].data[34].period</t>
  </si>
  <si>
    <t>[0].data[34].periodName</t>
  </si>
  <si>
    <t>[0].data[34].value</t>
  </si>
  <si>
    <t>[0].data[35].year</t>
  </si>
  <si>
    <t>[0].data[35].period</t>
  </si>
  <si>
    <t>[0].data[35].periodName</t>
  </si>
  <si>
    <t>[0].data[35].value</t>
  </si>
  <si>
    <t>[0].data[36].year</t>
  </si>
  <si>
    <t>[0].data[36].period</t>
  </si>
  <si>
    <t>[0].data[36].periodName</t>
  </si>
  <si>
    <t>[0].data[36].value</t>
  </si>
  <si>
    <t>[0].data[37].year</t>
  </si>
  <si>
    <t>[0].data[37].period</t>
  </si>
  <si>
    <t>[0].data[37].periodName</t>
  </si>
  <si>
    <t>[0].data[37].value</t>
  </si>
  <si>
    <t>[0].data[38].year</t>
  </si>
  <si>
    <t>[0].data[38].period</t>
  </si>
  <si>
    <t>[0].data[38].periodName</t>
  </si>
  <si>
    <t>[0].data[38].value</t>
  </si>
  <si>
    <t>[0].data[39].year</t>
  </si>
  <si>
    <t>[0].data[39].period</t>
  </si>
  <si>
    <t>[0].data[39].periodName</t>
  </si>
  <si>
    <t>[0].data[39].value</t>
  </si>
  <si>
    <t>[0].data[40].year</t>
  </si>
  <si>
    <t>[0].data[40].period</t>
  </si>
  <si>
    <t>[0].data[40].periodName</t>
  </si>
  <si>
    <t>[0].data[40].value</t>
  </si>
  <si>
    <t>[0].data[41].year</t>
  </si>
  <si>
    <t>[0].data[41].period</t>
  </si>
  <si>
    <t>[0].data[41].periodName</t>
  </si>
  <si>
    <t>[0].data[41].value</t>
  </si>
  <si>
    <t>[0].data[42].year</t>
  </si>
  <si>
    <t>[0].data[42].period</t>
  </si>
  <si>
    <t>[0].data[42].periodName</t>
  </si>
  <si>
    <t>[0].data[42].value</t>
  </si>
  <si>
    <t>[0].data[43].year</t>
  </si>
  <si>
    <t>[0].data[43].period</t>
  </si>
  <si>
    <t>[0].data[43].periodName</t>
  </si>
  <si>
    <t>[0].data[43].value</t>
  </si>
  <si>
    <t>[0].data[44].year</t>
  </si>
  <si>
    <t>[0].data[44].period</t>
  </si>
  <si>
    <t>[0].data[44].periodName</t>
  </si>
  <si>
    <t>[0].data[44].value</t>
  </si>
  <si>
    <t>[0].data[45].year</t>
  </si>
  <si>
    <t>[0].data[45].period</t>
  </si>
  <si>
    <t>[0].data[45].periodName</t>
  </si>
  <si>
    <t>[0].data[45].value</t>
  </si>
  <si>
    <t>[0].data[46].year</t>
  </si>
  <si>
    <t>[0].data[46].period</t>
  </si>
  <si>
    <t>[0].data[46].periodName</t>
  </si>
  <si>
    <t>[0].data[46].value</t>
  </si>
  <si>
    <t>[0].data[47].year</t>
  </si>
  <si>
    <t>[0].data[47].period</t>
  </si>
  <si>
    <t>[0].data[47].periodName</t>
  </si>
  <si>
    <t>[0].data[47].value</t>
  </si>
  <si>
    <t>[0].data[48].year</t>
  </si>
  <si>
    <t>[0].data[48].period</t>
  </si>
  <si>
    <t>[0].data[48].periodName</t>
  </si>
  <si>
    <t>[0].data[48].value</t>
  </si>
  <si>
    <t>[0].data[49].year</t>
  </si>
  <si>
    <t>[0].data[49].period</t>
  </si>
  <si>
    <t>[0].data[49].periodName</t>
  </si>
  <si>
    <t>[0].data[49].value</t>
  </si>
  <si>
    <t>[0].data[50].year</t>
  </si>
  <si>
    <t>[0].data[50].period</t>
  </si>
  <si>
    <t>[0].data[50].periodName</t>
  </si>
  <si>
    <t>[0].data[50].value</t>
  </si>
  <si>
    <t>[0].data[51].year</t>
  </si>
  <si>
    <t>[0].data[51].period</t>
  </si>
  <si>
    <t>[0].data[51].periodName</t>
  </si>
  <si>
    <t>[0].data[51].value</t>
  </si>
  <si>
    <t>[0].data[52].year</t>
  </si>
  <si>
    <t>[0].data[52].period</t>
  </si>
  <si>
    <t>[0].data[52].periodName</t>
  </si>
  <si>
    <t>[0].data[52].value</t>
  </si>
  <si>
    <t>[0].data[53].year</t>
  </si>
  <si>
    <t>[0].data[53].period</t>
  </si>
  <si>
    <t>[0].data[53].periodName</t>
  </si>
  <si>
    <t>[0].data[53].value</t>
  </si>
  <si>
    <t>[0].data[54].year</t>
  </si>
  <si>
    <t>[0].data[54].period</t>
  </si>
  <si>
    <t>[0].data[54].periodName</t>
  </si>
  <si>
    <t>[0].data[54].value</t>
  </si>
  <si>
    <t>[0].data[55].year</t>
  </si>
  <si>
    <t>[0].data[55].period</t>
  </si>
  <si>
    <t>[0].data[55].periodName</t>
  </si>
  <si>
    <t>[0].data[55].value</t>
  </si>
  <si>
    <t>[0].data[56].year</t>
  </si>
  <si>
    <t>[0].data[56].period</t>
  </si>
  <si>
    <t>[0].data[56].periodName</t>
  </si>
  <si>
    <t>[0].data[56].value</t>
  </si>
  <si>
    <t>[0].data[57].year</t>
  </si>
  <si>
    <t>[0].data[57].period</t>
  </si>
  <si>
    <t>[0].data[57].periodName</t>
  </si>
  <si>
    <t>[0].data[57].value</t>
  </si>
  <si>
    <t>[0].data[58].year</t>
  </si>
  <si>
    <t>[0].data[58].period</t>
  </si>
  <si>
    <t>[0].data[58].periodName</t>
  </si>
  <si>
    <t>[0].data[58].value</t>
  </si>
  <si>
    <t>[0].data[59].year</t>
  </si>
  <si>
    <t>[0].data[59].period</t>
  </si>
  <si>
    <t>[0].data[59].periodName</t>
  </si>
  <si>
    <t>[0].data[59].value</t>
  </si>
  <si>
    <t>[0].data[60].year</t>
  </si>
  <si>
    <t>[0].data[60].period</t>
  </si>
  <si>
    <t>[0].data[60].periodName</t>
  </si>
  <si>
    <t>[0].data[60].value</t>
  </si>
  <si>
    <t>[0].data[61].year</t>
  </si>
  <si>
    <t>[0].data[61].period</t>
  </si>
  <si>
    <t>[0].data[61].periodName</t>
  </si>
  <si>
    <t>[0].data[61].value</t>
  </si>
  <si>
    <t>[0].data[62].year</t>
  </si>
  <si>
    <t>[0].data[62].period</t>
  </si>
  <si>
    <t>[0].data[62].periodName</t>
  </si>
  <si>
    <t>[0].data[62].value</t>
  </si>
  <si>
    <t>[0].data[63].year</t>
  </si>
  <si>
    <t>[0].data[63].period</t>
  </si>
  <si>
    <t>[0].data[63].periodName</t>
  </si>
  <si>
    <t>[0].data[63].value</t>
  </si>
  <si>
    <t>[0].data[64].year</t>
  </si>
  <si>
    <t>[0].data[64].period</t>
  </si>
  <si>
    <t>[0].data[64].periodName</t>
  </si>
  <si>
    <t>[0].data[64].value</t>
  </si>
  <si>
    <t>[0].data[65].year</t>
  </si>
  <si>
    <t>[0].data[65].period</t>
  </si>
  <si>
    <t>[0].data[65].periodName</t>
  </si>
  <si>
    <t>[0].data[65].value</t>
  </si>
  <si>
    <t>[0].data[66].year</t>
  </si>
  <si>
    <t>[0].data[66].period</t>
  </si>
  <si>
    <t>[0].data[66].periodName</t>
  </si>
  <si>
    <t>[0].data[66].value</t>
  </si>
  <si>
    <t>[0].data[67].year</t>
  </si>
  <si>
    <t>[0].data[67].period</t>
  </si>
  <si>
    <t>[0].data[67].periodName</t>
  </si>
  <si>
    <t>[0].data[67].value</t>
  </si>
  <si>
    <t>[0].data[68].year</t>
  </si>
  <si>
    <t>[0].data[68].period</t>
  </si>
  <si>
    <t>[0].data[68].periodName</t>
  </si>
  <si>
    <t>[0].data[68].value</t>
  </si>
  <si>
    <t>[0].data[69].year</t>
  </si>
  <si>
    <t>[0].data[69].period</t>
  </si>
  <si>
    <t>[0].data[69].periodName</t>
  </si>
  <si>
    <t>[0].data[69].value</t>
  </si>
  <si>
    <t>[0].data[70].year</t>
  </si>
  <si>
    <t>[0].data[70].period</t>
  </si>
  <si>
    <t>[0].data[70].periodName</t>
  </si>
  <si>
    <t>[0].data[70].value</t>
  </si>
  <si>
    <t>[0].data[71].year</t>
  </si>
  <si>
    <t>[0].data[71].period</t>
  </si>
  <si>
    <t>[0].data[71].periodName</t>
  </si>
  <si>
    <t>[0].data[71].value</t>
  </si>
  <si>
    <t>[0].data[72].year</t>
  </si>
  <si>
    <t>[0].data[72].period</t>
  </si>
  <si>
    <t>[0].data[72].periodName</t>
  </si>
  <si>
    <t>[0].data[72].value</t>
  </si>
  <si>
    <t>[1].seriesID</t>
  </si>
  <si>
    <t>series</t>
  </si>
  <si>
    <t>M13</t>
  </si>
  <si>
    <t>M12</t>
  </si>
  <si>
    <t>December</t>
  </si>
  <si>
    <t>M11</t>
  </si>
  <si>
    <t>November</t>
  </si>
  <si>
    <t>M10</t>
  </si>
  <si>
    <t>October</t>
  </si>
  <si>
    <t>M09</t>
  </si>
  <si>
    <t>September</t>
  </si>
  <si>
    <t>M08</t>
  </si>
  <si>
    <t>August</t>
  </si>
  <si>
    <t>M07</t>
  </si>
  <si>
    <t>July</t>
  </si>
  <si>
    <t>M06</t>
  </si>
  <si>
    <t>June</t>
  </si>
  <si>
    <t>M05</t>
  </si>
  <si>
    <t>May</t>
  </si>
  <si>
    <t>M04</t>
  </si>
  <si>
    <t>April</t>
  </si>
  <si>
    <t>M03</t>
  </si>
  <si>
    <t>March</t>
  </si>
  <si>
    <t>M02</t>
  </si>
  <si>
    <t>February</t>
  </si>
  <si>
    <t>M01</t>
  </si>
  <si>
    <t>January</t>
  </si>
  <si>
    <t>Housing Units</t>
  </si>
  <si>
    <t>Most Recent Unempl Period:</t>
  </si>
  <si>
    <t>Unemployment Rates Import Guide (BLS):</t>
  </si>
  <si>
    <t>Kansas City, KS-MO (MSA)</t>
  </si>
  <si>
    <t>Fargo, MN-ND (MSA)</t>
  </si>
  <si>
    <t>Virginia Beach-Norfolk-Newport News, NC-VA (MSA)</t>
  </si>
  <si>
    <t>Washington-Arlington-Alexandria, MD-DC-VA-WV (MSA)</t>
  </si>
  <si>
    <t>Washington-Arlington-Alexandria, VA-MD-DC-WV (MSA)</t>
  </si>
  <si>
    <t>Washington-Arlington-Alexandria, WV-VA-MD-DC (MSA)</t>
  </si>
  <si>
    <t>Augusta-Richmond County, SC-GA (MSA)</t>
  </si>
  <si>
    <t>Fayetteville-Springdale-Rogers, MO-AR (MSA)</t>
  </si>
  <si>
    <t>Fort Smith, OK-AR (MSA)</t>
  </si>
  <si>
    <t>Columbus, AL-GA (MSA)</t>
  </si>
  <si>
    <t>Davenport-Moline-Rock Island, IL-IA (MSA)</t>
  </si>
  <si>
    <t>Sioux City, NE-IA-SD (MSA)</t>
  </si>
  <si>
    <t>Chicago-Naperville-Elgin, IN-IL-WI (MSA)</t>
  </si>
  <si>
    <t>Chicago-Naperville-Elgin, WI-IN-IL (MSA)</t>
  </si>
  <si>
    <t>Evansville, KY-IN (MSA)</t>
  </si>
  <si>
    <t>South Bend-Mishawaka, MI-IN (MSA)</t>
  </si>
  <si>
    <t>Boston-Cambridge-Nashua, NH-MA (M-NECTA)</t>
  </si>
  <si>
    <t>Springfield, CT-MA (M-NECTA)</t>
  </si>
  <si>
    <t>Worcester, CT-MA (M-NECTA)</t>
  </si>
  <si>
    <t>Cumberland, WV-MD (MSA)</t>
  </si>
  <si>
    <t>Hagerstown-Martinsburg, WV-MD (MSA)</t>
  </si>
  <si>
    <t>Salisbury, DE-MD (MSA)</t>
  </si>
  <si>
    <t>Duluth, WI-MN (MSA)</t>
  </si>
  <si>
    <t>Minneapolis-St. Paul-Bloomington, WI-MN (MSA)</t>
  </si>
  <si>
    <t>Cape Girardeau, IL-MO (MSA)</t>
  </si>
  <si>
    <t>St. Joseph, KS-MO (MSA)</t>
  </si>
  <si>
    <t>St. Louis, IL-MO (MSA)</t>
  </si>
  <si>
    <t>Charlotte-Concord-Gastonia, SC-NC (MSA)</t>
  </si>
  <si>
    <t>Grand Forks, MN-ND (MSA)</t>
  </si>
  <si>
    <t>Omaha-Council Bluffs, IA-NE (MSA)</t>
  </si>
  <si>
    <t>Dover-Durham, ME-NH (M-NECTA)</t>
  </si>
  <si>
    <t>Portsmouth, ME-NH (M-NECTA)</t>
  </si>
  <si>
    <t>New York-Newark-Jersey City, NJ-NY-PA (MSA)</t>
  </si>
  <si>
    <t>New York-Newark-Jersey City, PA-NY-NJ (MSA)</t>
  </si>
  <si>
    <t>Cincinnati, KY-OH-IN (MSA)</t>
  </si>
  <si>
    <t>Cincinnati, IN-KY-OH (MSA)</t>
  </si>
  <si>
    <t>Youngstown-Warren-Boardman, PA-OH (MSA)</t>
  </si>
  <si>
    <t>Norwich-New London-Westerly, RI-CT (M-NECTA)</t>
  </si>
  <si>
    <t>Myrtle Beach-Conway-North Myrtle Beach, NC-SC (MSA)</t>
  </si>
  <si>
    <t>Chattanooga, GA-TN (MSA)</t>
  </si>
  <si>
    <t>Clarksville, KY-TN (MSA)</t>
  </si>
  <si>
    <t>Kingsport-Bristol-Bristol, VA-TN (MSA)</t>
  </si>
  <si>
    <t>Memphis, MS-AR-TN (MSA)</t>
  </si>
  <si>
    <t>Memphis, AR-MS-TN (MSA)</t>
  </si>
  <si>
    <t>Texarkana, AR-TX (MSA)</t>
  </si>
  <si>
    <t>La Crosse-Onalaska, MN-WI (MSA)</t>
  </si>
  <si>
    <t>Wheeling, OH-WV (MSA)</t>
  </si>
  <si>
    <t>Huntington-Ashland, OH-WV-KY (MSA)</t>
  </si>
  <si>
    <t>Huntington-Ashland, KY-OH-WV (MSA)</t>
  </si>
  <si>
    <t>Time Adjustment</t>
  </si>
  <si>
    <t>Land Inflation</t>
  </si>
  <si>
    <t>Annual Rate</t>
  </si>
  <si>
    <t>Requires Two Dates of Value</t>
  </si>
  <si>
    <t>December 30, 1899</t>
  </si>
  <si>
    <t>Non-Realty/Credit</t>
  </si>
  <si>
    <t>Tenant Credit</t>
  </si>
  <si>
    <t>Median Asking OAR by Remaining Lease Term</t>
  </si>
  <si>
    <t>Years Remaining</t>
  </si>
  <si>
    <t>Median OAR</t>
  </si>
  <si>
    <t>Implied Value Premium</t>
  </si>
  <si>
    <t>Implied Value Premium per Year</t>
  </si>
  <si>
    <t>Years in Range</t>
  </si>
  <si>
    <t>dpSales_RemainTerm_BoulderDataTable</t>
  </si>
  <si>
    <t>dpSales_RemainTerm_BoulderDataTable_1</t>
  </si>
  <si>
    <t>dpSales_RemainTerm_BoulderDataTable_2</t>
  </si>
  <si>
    <t>This Table should be Poplulated with the Appropriate Boulder Group Net Lease Report; The Default Data is for Illustrative Purposes Only</t>
  </si>
  <si>
    <t>Source: The Boulder Group</t>
  </si>
  <si>
    <t>Market Study Assumptions:</t>
  </si>
  <si>
    <t>Under</t>
  </si>
  <si>
    <t>Square</t>
  </si>
  <si>
    <t>Net</t>
  </si>
  <si>
    <t>Absorb.</t>
  </si>
  <si>
    <t>Cost Comparables</t>
  </si>
  <si>
    <t>Total Costs</t>
  </si>
  <si>
    <t>Cost ID</t>
  </si>
  <si>
    <t>Date of Construction</t>
  </si>
  <si>
    <t>Soft Costs</t>
  </si>
  <si>
    <t>Hard Costs</t>
  </si>
  <si>
    <t>dpCost_CostComp_Table</t>
  </si>
  <si>
    <t>Soft Cost Subtotal PSF</t>
  </si>
  <si>
    <t>Total Costs PSF</t>
  </si>
  <si>
    <t>Soft Cost (% of Hard)</t>
  </si>
  <si>
    <t>Subject Gross Building Area</t>
  </si>
  <si>
    <t>Cost Indicator Comparison</t>
  </si>
  <si>
    <t>Hard Costs PSF</t>
  </si>
  <si>
    <t>Time Adjusted Cost Comparable Statistics</t>
  </si>
  <si>
    <t>Extracted Cost Indication</t>
  </si>
  <si>
    <t>Subject Cost Indication</t>
  </si>
  <si>
    <t>dpCost_CostCompIndication_Table</t>
  </si>
  <si>
    <t>dpCost_CostCompStatistics_Table</t>
  </si>
  <si>
    <t>Extracted Cost PSF</t>
  </si>
  <si>
    <t>Cost Comparables?</t>
  </si>
  <si>
    <t>IRR Low</t>
  </si>
  <si>
    <t>IRR High</t>
  </si>
  <si>
    <t>IRR Avg</t>
  </si>
  <si>
    <t>OAR Low</t>
  </si>
  <si>
    <t>OAR High</t>
  </si>
  <si>
    <t>OAR Avg</t>
  </si>
  <si>
    <t>Term OAR Low</t>
  </si>
  <si>
    <t>Term OAR High</t>
  </si>
  <si>
    <t>Term OAR Avg</t>
  </si>
  <si>
    <t>Mkt Rent ∆ Low</t>
  </si>
  <si>
    <t>Mkt Rent ∆ High</t>
  </si>
  <si>
    <t>Mkt Rent ∆ Avg</t>
  </si>
  <si>
    <t>Expense ∆ Low</t>
  </si>
  <si>
    <t>Expense ∆ High</t>
  </si>
  <si>
    <t>Expense ∆ Avg</t>
  </si>
  <si>
    <t>Mktg Low</t>
  </si>
  <si>
    <t>Mktg High</t>
  </si>
  <si>
    <t>Mktg Avg</t>
  </si>
  <si>
    <t>RERC Real Estate Report</t>
  </si>
  <si>
    <t>---</t>
  </si>
  <si>
    <t>RealtyRates Investor Survey</t>
  </si>
  <si>
    <t>Acquisitions</t>
  </si>
  <si>
    <t>Surveyed Rates</t>
  </si>
  <si>
    <t>Amort Low</t>
  </si>
  <si>
    <t>Amort High</t>
  </si>
  <si>
    <t>Amort Avg</t>
  </si>
  <si>
    <t>LTV Low</t>
  </si>
  <si>
    <t>LTV High</t>
  </si>
  <si>
    <t>LTV Avg</t>
  </si>
  <si>
    <t>Interest Low</t>
  </si>
  <si>
    <t>Interest High</t>
  </si>
  <si>
    <t>Interest Avg</t>
  </si>
  <si>
    <t>EDR Low</t>
  </si>
  <si>
    <t>EDR High</t>
  </si>
  <si>
    <t>EDR Avg</t>
  </si>
  <si>
    <t>DCR Low</t>
  </si>
  <si>
    <t>DCR High</t>
  </si>
  <si>
    <t>DCR Avg</t>
  </si>
  <si>
    <t>Investor Surveys - Market Rent Change</t>
  </si>
  <si>
    <t>Investor Surveys - Operating Expense Change</t>
  </si>
  <si>
    <t>Investor Surveys - Marketing Time</t>
  </si>
  <si>
    <t>Range (Mos.)</t>
  </si>
  <si>
    <t>Reimbursement Override - Enter NRA Excluded from Reimbursement</t>
  </si>
  <si>
    <t>Annual ∆ Range</t>
  </si>
  <si>
    <t>PwC - National Self-Storage Market</t>
  </si>
  <si>
    <t>PwC - National Secondary Office Market</t>
  </si>
  <si>
    <t>PwC - National Regional Mall Market</t>
  </si>
  <si>
    <t>PwC - National Power Center Market</t>
  </si>
  <si>
    <t>PwC - National Strip Shopping Center Market</t>
  </si>
  <si>
    <t>PwC - National CBD Office Market</t>
  </si>
  <si>
    <t>PwC - National Suburban Office Market</t>
  </si>
  <si>
    <t>PwC - National Warehouse Market</t>
  </si>
  <si>
    <t>PwC - National Student Housing Market</t>
  </si>
  <si>
    <t>PwC - National Apartment Market</t>
  </si>
  <si>
    <t>PwC - National Net Lease Market</t>
  </si>
  <si>
    <t>PwC - National Medical Office Bldg Market</t>
  </si>
  <si>
    <t>RERC - National Retail Market - Regional Mall</t>
  </si>
  <si>
    <t>Realty Rates - Apartments</t>
  </si>
  <si>
    <t>Realty Rates - Apts - Garden/Suburban TH</t>
  </si>
  <si>
    <t>Realty Rates - Apts - High-Rise/Urban TH</t>
  </si>
  <si>
    <t>Realty Rates - Apts - Student Housing</t>
  </si>
  <si>
    <t>Realty Rates - Golf</t>
  </si>
  <si>
    <t>Realty Rates - Golf - Public Daily Fee</t>
  </si>
  <si>
    <t>Realty Rates - Golf - Semi-Private</t>
  </si>
  <si>
    <t>Realty Rates - Golf - Private</t>
  </si>
  <si>
    <t>Realty Rates - Health Care/Senior Housing</t>
  </si>
  <si>
    <t>Realty Rates - Seniors - Congregate Care</t>
  </si>
  <si>
    <t>Realty Rates - Seniors - Assisted Living</t>
  </si>
  <si>
    <t>Realty Rates - Industrial</t>
  </si>
  <si>
    <t>Realty Rates - Industrial - Warehouse/Distribution</t>
  </si>
  <si>
    <t>Realty Rates - Industrial - R&amp;D/Flex</t>
  </si>
  <si>
    <t>Realty Rates - Industrial - Climate Controlled/Manufacturing</t>
  </si>
  <si>
    <t>Realty Rates - Lodging</t>
  </si>
  <si>
    <t>Realty Rates - Lodging - Full Service</t>
  </si>
  <si>
    <t>Realty Rates - Lodging - Limited Service</t>
  </si>
  <si>
    <t>Realty Rates - Lodging - Golf/Gaming/Resort</t>
  </si>
  <si>
    <t>Realty Rates - Mobile Home/RV Park/Camping</t>
  </si>
  <si>
    <t>Realty Rates - RV Parks/Campgrounds</t>
  </si>
  <si>
    <t>Realty Rates - Manufactured Housing</t>
  </si>
  <si>
    <t>Realty Rates - Mobile Home Parks</t>
  </si>
  <si>
    <t>Realty Rates - Office</t>
  </si>
  <si>
    <t>Realty Rates - Office - Suburban</t>
  </si>
  <si>
    <t>Realty Rates - Office - CBD</t>
  </si>
  <si>
    <t>Realty Rates - Office - Medical</t>
  </si>
  <si>
    <t>Realty Rates - Restaurants</t>
  </si>
  <si>
    <t>Realty Rates - Full Service Restaurant</t>
  </si>
  <si>
    <t>Realty Rates - Fast Food Restaurant</t>
  </si>
  <si>
    <t>Realty Rates - Retail</t>
  </si>
  <si>
    <t>Realty Rates - Retail - Anchored</t>
  </si>
  <si>
    <t>Realty Rates - Retail - Un-Anchored</t>
  </si>
  <si>
    <t>Realty Rates - Retail - Convenience/gas</t>
  </si>
  <si>
    <t>Realty Rates - Retail - Free Standing</t>
  </si>
  <si>
    <t>Realty Rates - Self-Storage</t>
  </si>
  <si>
    <t>Realty Rates - Self-Stg - Climate Controlled</t>
  </si>
  <si>
    <t>Realty Rates - Self-Stg - Mini Storage</t>
  </si>
  <si>
    <t>Realty Rates - Special Purpose</t>
  </si>
  <si>
    <t>Realty Rates - Schools/Day Care Centers</t>
  </si>
  <si>
    <t>Realty Rates - Churches/Temples/Synagogues</t>
  </si>
  <si>
    <t>Realty Rates - All Properties</t>
  </si>
  <si>
    <t>PwC - National Full-Service Lodging</t>
  </si>
  <si>
    <t>PwC - National Select-Service Lodging</t>
  </si>
  <si>
    <t>Use these three rows for more specific PwC Categories or Other Sources - Requires Manual Entry</t>
  </si>
  <si>
    <t>Use these three rows for more specific RERC Categories or Other Sources - Requires Manual Entry</t>
  </si>
  <si>
    <t>Use these two rows for Geographic specific RERC Categories with No Ranges or Other Sources - Requires Manual Entry</t>
  </si>
  <si>
    <t>Formula will Typically be accurate, but override w/direct entry if desired</t>
  </si>
  <si>
    <t>Realty Rates - Healthcare - Acute Care</t>
  </si>
  <si>
    <t>Realty Rates - Healthcare - Out-Patient Care</t>
  </si>
  <si>
    <t>Existing SF</t>
  </si>
  <si>
    <t>U/C SF</t>
  </si>
  <si>
    <t>CoStar Data Set Selections</t>
  </si>
  <si>
    <t>Quarterly</t>
  </si>
  <si>
    <t>Semi-Annual</t>
  </si>
  <si>
    <t>Interval Selection</t>
  </si>
  <si>
    <t>Austin MSA</t>
  </si>
  <si>
    <t>office</t>
  </si>
  <si>
    <t>Rental Rate Trends Chart 1</t>
  </si>
  <si>
    <t>CoStar01Array</t>
  </si>
  <si>
    <t>CoStar02Array</t>
  </si>
  <si>
    <t>CoStar03Array</t>
  </si>
  <si>
    <t>CoStar04Array</t>
  </si>
  <si>
    <t>Rental Trends 1A</t>
  </si>
  <si>
    <t>Rental Trends 1B</t>
  </si>
  <si>
    <t>Inventory Chart 1</t>
  </si>
  <si>
    <t>Inventory 1A</t>
  </si>
  <si>
    <t>Inventory 1B</t>
  </si>
  <si>
    <t>Inventory 2A</t>
  </si>
  <si>
    <t>Inventory 2B</t>
  </si>
  <si>
    <t>Rental Trends 2A</t>
  </si>
  <si>
    <t>Rental Trends 2B</t>
  </si>
  <si>
    <t>Master Interval</t>
  </si>
  <si>
    <t>Data Set</t>
  </si>
  <si>
    <t>CoStar Array</t>
  </si>
  <si>
    <t>Inventory Chart 2</t>
  </si>
  <si>
    <t>Period Start</t>
  </si>
  <si>
    <t>Periods</t>
  </si>
  <si>
    <t>Interval</t>
  </si>
  <si>
    <t>Existing Bldgs</t>
  </si>
  <si>
    <t>Master Settings:</t>
  </si>
  <si>
    <t>dpMarketStudy_Inventory_Table_1</t>
  </si>
  <si>
    <t>Absorption Period Estimate</t>
  </si>
  <si>
    <t>Subject Absorption Period Forecast</t>
  </si>
  <si>
    <t>Annual Growth Rate</t>
  </si>
  <si>
    <t>Rental Rate Trends Chart 2</t>
  </si>
  <si>
    <t>Vacancy and Absorption Trends</t>
  </si>
  <si>
    <t>VacancyAbsorb 1A</t>
  </si>
  <si>
    <t>VacancyAbsorb 2B</t>
  </si>
  <si>
    <t>VacancyAbsorb 2A</t>
  </si>
  <si>
    <t>VacancyAbsorb 1B</t>
  </si>
  <si>
    <t>CoStar Header</t>
  </si>
  <si>
    <t>CoStar01ArrayHeaderRow</t>
  </si>
  <si>
    <t>CoStar02ArrayHeaderRow</t>
  </si>
  <si>
    <t>CoStar03ArrayHeaderRow</t>
  </si>
  <si>
    <t>CoStar04ArrayHeaderRow</t>
  </si>
  <si>
    <t>Sector 1</t>
  </si>
  <si>
    <t>Sector 2</t>
  </si>
  <si>
    <t>Sector 3</t>
  </si>
  <si>
    <t>Sector 4</t>
  </si>
  <si>
    <t>Applies Options to All Graphics
Independent Overrides Located within each Graphic</t>
  </si>
  <si>
    <t>Number of Periods</t>
  </si>
  <si>
    <t>Period Interval</t>
  </si>
  <si>
    <t>Rental Data Selection</t>
  </si>
  <si>
    <t>dpMarketStudy_Inventory_Table_2</t>
  </si>
  <si>
    <t>No. of Periods</t>
  </si>
  <si>
    <t>ARGUS Cash Flow 1 and 2 Import</t>
  </si>
  <si>
    <t>•Primary Reversion Bug Fixed</t>
  </si>
  <si>
    <t>Time Period</t>
  </si>
  <si>
    <t>CoStar Property Sub-Type</t>
  </si>
  <si>
    <t>Square Feet Under Construction</t>
  </si>
  <si>
    <t>Class A office</t>
  </si>
  <si>
    <t>East Austin Submarket</t>
  </si>
  <si>
    <t>Current Period</t>
  </si>
  <si>
    <t>Comparison Period</t>
  </si>
  <si>
    <t>Rental Data List 1</t>
  </si>
  <si>
    <t>Rental Data List 2</t>
  </si>
  <si>
    <t>Rental Data List 3</t>
  </si>
  <si>
    <t>Rental Data List 4</t>
  </si>
  <si>
    <t>Lease Structure - Chart 2</t>
  </si>
  <si>
    <t>Lease Structure - Chart 1</t>
  </si>
  <si>
    <t>CoStar Location 1</t>
  </si>
  <si>
    <t>CoStar Location 2</t>
  </si>
  <si>
    <t>Typically Market or MSA</t>
  </si>
  <si>
    <t>Typically Submarket</t>
  </si>
  <si>
    <t>dpMarketStudy_Rent_Table_1</t>
  </si>
  <si>
    <t>dpMarketStudy_Rent_Table_2</t>
  </si>
  <si>
    <t>dpMarketStudy_Vacancy_Table_1</t>
  </si>
  <si>
    <t>dpMarketStudy_Vacancy_Table_2</t>
  </si>
  <si>
    <t>Sector 1A - Current</t>
  </si>
  <si>
    <t>Sector 1B - Current</t>
  </si>
  <si>
    <t>Sector 2A - Current</t>
  </si>
  <si>
    <t>Select BLS Geography</t>
  </si>
  <si>
    <t>Vacancy Data Selection</t>
  </si>
  <si>
    <t>Vacancy Data List</t>
  </si>
  <si>
    <t>Sublet Vacancy</t>
  </si>
  <si>
    <t>Total Vacancy</t>
  </si>
  <si>
    <t>Direct Vacancy</t>
  </si>
  <si>
    <t>Months Vacant Calculation</t>
  </si>
  <si>
    <t>Absorption 1A</t>
  </si>
  <si>
    <t>Absorption 1B</t>
  </si>
  <si>
    <t>Absorption 2A</t>
  </si>
  <si>
    <t>Absorption 2B</t>
  </si>
  <si>
    <t>Sector 1A vs. 1B</t>
  </si>
  <si>
    <t>Sector 2B - Current</t>
  </si>
  <si>
    <t>Sector 2A vs. 2B</t>
  </si>
  <si>
    <t>Sector 1A - 1 Yr. Change</t>
  </si>
  <si>
    <t>Sector 2B - 1 Yr. Change</t>
  </si>
  <si>
    <t>Sector 2A - 1 Yr. Change</t>
  </si>
  <si>
    <t>Sector 1B - 1 Yr. Change</t>
  </si>
  <si>
    <t>Avg. Annual Net Absorp. SF</t>
  </si>
  <si>
    <t>Avg. Annual Deliveries SF</t>
  </si>
  <si>
    <t>Avg. Annual Net Absorp.</t>
  </si>
  <si>
    <t>Avg. Annual Deliveries</t>
  </si>
  <si>
    <t>Expense Category</t>
  </si>
  <si>
    <t>Appraiser Estimate</t>
  </si>
  <si>
    <t>Operating Expense Summary</t>
  </si>
  <si>
    <t>Comp. # 1</t>
  </si>
  <si>
    <t>Comp. # 2</t>
  </si>
  <si>
    <t>Comp. # 3</t>
  </si>
  <si>
    <t>Comp. # 4</t>
  </si>
  <si>
    <t>Comp. # 5</t>
  </si>
  <si>
    <t>dpIncome_ExpenseTable_Summary</t>
  </si>
  <si>
    <t>•Cost Comp Read Bug Fixed</t>
  </si>
  <si>
    <t>Template Assumptions</t>
  </si>
  <si>
    <t>Cash Flows</t>
  </si>
  <si>
    <t>ARGUS Cash Flows</t>
  </si>
  <si>
    <t>•Ability to Hide Cash Flow 2 and 3 Worksheets Added</t>
  </si>
  <si>
    <t>Income - All/Direct Cap</t>
  </si>
  <si>
    <t>Income - DCF</t>
  </si>
  <si>
    <t>Merging</t>
  </si>
  <si>
    <t>•Eliminated Numerous Unused Merge Table and Narrative Fields</t>
  </si>
  <si>
    <t>Update All</t>
  </si>
  <si>
    <t>•Reprogrammed for Speed and Easier Updating</t>
  </si>
  <si>
    <t>PwC - Austin Office Market</t>
  </si>
  <si>
    <t>PwC - Houston Office Market</t>
  </si>
  <si>
    <t>RERC - South First-Tier Office Market - CBD</t>
  </si>
  <si>
    <t>RERC - South Second-Tier Office Market - CBD</t>
  </si>
  <si>
    <t>RERC - South Third-Tier Office Market - CBD</t>
  </si>
  <si>
    <t>RERC - South First-Tier Office Market - Suburban</t>
  </si>
  <si>
    <t>RERC - South Second-Tier Office Market - Suburban</t>
  </si>
  <si>
    <t>RERC - South Third-Tier Office Market - Suburban</t>
  </si>
  <si>
    <t>•Ability to Localize Investor Survey Utility File Added</t>
  </si>
  <si>
    <t>Probable User a/an</t>
  </si>
  <si>
    <t>•Total Operating Expense Summary Table Added</t>
  </si>
  <si>
    <t>Market Analysis</t>
  </si>
  <si>
    <t>•Redesigned for Graphic Analysis</t>
  </si>
  <si>
    <t>•Market vs. Contract Rent Reprogrammed to Reflect Leased Space Only</t>
  </si>
  <si>
    <t>Prospect Category</t>
  </si>
  <si>
    <t>Propect Count</t>
  </si>
  <si>
    <t>Lease Probability</t>
  </si>
  <si>
    <t>Leases Out</t>
  </si>
  <si>
    <t>Proposals</t>
  </si>
  <si>
    <t>Touring</t>
  </si>
  <si>
    <t>Inquiries</t>
  </si>
  <si>
    <t>Subject Leasing Prospects</t>
  </si>
  <si>
    <t>dpAbsorptionProspects_Table</t>
  </si>
  <si>
    <t>•Leasing Prospects Table Added</t>
  </si>
  <si>
    <t>Year of Construction Date or Range</t>
  </si>
  <si>
    <t>Appraiser Tax Est. Yr. 1 Statement</t>
  </si>
  <si>
    <t>Real Property Rights Conveyed Intro</t>
  </si>
  <si>
    <t>Functional Obsolescence?</t>
  </si>
  <si>
    <t>Expenses - Stab. Or Yr. 1?</t>
  </si>
  <si>
    <t>dpIncome_IncomeTable_NOI</t>
  </si>
  <si>
    <t>Income/Expense Estimates</t>
  </si>
  <si>
    <t>•NOI History Table Added</t>
  </si>
  <si>
    <t>Discount Rate Spread</t>
  </si>
  <si>
    <t>Min. Loaded Market OAR</t>
  </si>
  <si>
    <t>Max. Loaded Market OAR</t>
  </si>
  <si>
    <t>Wells Fargo</t>
  </si>
  <si>
    <t>Currency for Values</t>
  </si>
  <si>
    <t>US Dollar</t>
  </si>
  <si>
    <t>Date of Report</t>
  </si>
  <si>
    <t>Real Estate Market Value Assessment</t>
  </si>
  <si>
    <t>Description</t>
  </si>
  <si>
    <t>Current Year Assessor/Appraisal District Market Value</t>
  </si>
  <si>
    <t>Vendor Provided Information</t>
  </si>
  <si>
    <t>Property Identification/Assessments</t>
  </si>
  <si>
    <t>Ownership/Property History</t>
  </si>
  <si>
    <t>Has the subject sold in the past
three years?</t>
  </si>
  <si>
    <t>Sold Last 3 Years?</t>
  </si>
  <si>
    <t>If so, at what price?</t>
  </si>
  <si>
    <t>Date of most recent transaction</t>
  </si>
  <si>
    <t>Prior Sale Date</t>
  </si>
  <si>
    <t>Is the property listed for sale?</t>
  </si>
  <si>
    <t>Is the property encumbered by a purchase contract, option or similar type of agreement?</t>
  </si>
  <si>
    <t>Valuation Scenarios</t>
  </si>
  <si>
    <t>Valuation premise</t>
  </si>
  <si>
    <t>Valuation type</t>
  </si>
  <si>
    <t>Valuation interest</t>
  </si>
  <si>
    <t>Scenario Comments</t>
  </si>
  <si>
    <t>Market Value</t>
  </si>
  <si>
    <t>Leased Fee</t>
  </si>
  <si>
    <t>Insurable Replacement Cost</t>
  </si>
  <si>
    <t>Actual Cash Value</t>
  </si>
  <si>
    <t>Replacement Cost/ Value</t>
  </si>
  <si>
    <t>Required Cost</t>
  </si>
  <si>
    <t>Effective date of Value</t>
  </si>
  <si>
    <t>Aggregate Retail</t>
  </si>
  <si>
    <t>Annual Unit Absorption Count</t>
  </si>
  <si>
    <t>Bulk Value</t>
  </si>
  <si>
    <t>Develop. Rights</t>
  </si>
  <si>
    <t>Excess Land</t>
  </si>
  <si>
    <t>Finished Lot</t>
  </si>
  <si>
    <t>Going Concern</t>
  </si>
  <si>
    <t>Hypothetical</t>
  </si>
  <si>
    <t>Land Only</t>
  </si>
  <si>
    <t>Liquidation</t>
  </si>
  <si>
    <t>Paper Lot</t>
  </si>
  <si>
    <t>Prospective</t>
  </si>
  <si>
    <t>Retrospective</t>
  </si>
  <si>
    <t>As-Complete</t>
  </si>
  <si>
    <t>As-Complete (Hypothetical)</t>
  </si>
  <si>
    <t>As-Is</t>
  </si>
  <si>
    <t>As-Stabilized</t>
  </si>
  <si>
    <t>As-Existing</t>
  </si>
  <si>
    <t>As-Complete Assuming Market Rents</t>
  </si>
  <si>
    <t>As-Stabilized Assuming Market Rents</t>
  </si>
  <si>
    <t>As If Vacant / On the Special Assumption of Vacant Possession</t>
  </si>
  <si>
    <t>Go Dark / On the Special Assumption of Vacant Possession</t>
  </si>
  <si>
    <t>Air Rights</t>
  </si>
  <si>
    <t>Condominium</t>
  </si>
  <si>
    <t>Cooperative</t>
  </si>
  <si>
    <t>Fee Simple</t>
  </si>
  <si>
    <t>Freehold</t>
  </si>
  <si>
    <t>Freehold/Long Leasehold</t>
  </si>
  <si>
    <t>Heritable</t>
  </si>
  <si>
    <t>Heritable/Long Leasehold</t>
  </si>
  <si>
    <t>Sandwich Leasehold</t>
  </si>
  <si>
    <t>Property Information</t>
  </si>
  <si>
    <t>Primary Improvement Size</t>
  </si>
  <si>
    <t>Imp. Unit of Meaure</t>
  </si>
  <si>
    <t>Select unit of measure</t>
  </si>
  <si>
    <t>Select value premise…</t>
  </si>
  <si>
    <t>Select value type…</t>
  </si>
  <si>
    <t>Select value interest…</t>
  </si>
  <si>
    <t>Apts</t>
  </si>
  <si>
    <t>Beds</t>
  </si>
  <si>
    <t>Bushels</t>
  </si>
  <si>
    <t>CU-FT</t>
  </si>
  <si>
    <t>Head</t>
  </si>
  <si>
    <t>Hectare</t>
  </si>
  <si>
    <t>Holes-Golf</t>
  </si>
  <si>
    <t>Lanes</t>
  </si>
  <si>
    <t>Lineal Feet</t>
  </si>
  <si>
    <t>Outparcels/Outlots</t>
  </si>
  <si>
    <t>Rooms</t>
  </si>
  <si>
    <t>Screens</t>
  </si>
  <si>
    <t>Seats</t>
  </si>
  <si>
    <t>SF-GBA</t>
  </si>
  <si>
    <t>SF-Land</t>
  </si>
  <si>
    <t>SF-NLA/NRA</t>
  </si>
  <si>
    <t>SF-UA</t>
  </si>
  <si>
    <t>SFRs</t>
  </si>
  <si>
    <t>Sites</t>
  </si>
  <si>
    <t>Slips</t>
  </si>
  <si>
    <t>SQ-KM</t>
  </si>
  <si>
    <t>SQ-M</t>
  </si>
  <si>
    <t>Tons</t>
  </si>
  <si>
    <t>Real Property Allocations</t>
  </si>
  <si>
    <t>Improvements</t>
  </si>
  <si>
    <t>Primary Land</t>
  </si>
  <si>
    <t>Subtotal: Improvements &amp; Primary Land</t>
  </si>
  <si>
    <t>Permanent Equipment (Real Property)</t>
  </si>
  <si>
    <t>Subtotal: Improvements, Primary Land, Perm Equipment</t>
  </si>
  <si>
    <t>Total Market Value of Real Property</t>
  </si>
  <si>
    <t>Non-Real Property Allocations</t>
  </si>
  <si>
    <t>Intangible Property - Business Enterprise</t>
  </si>
  <si>
    <t>Total Non-Real Property</t>
  </si>
  <si>
    <t>Real Property Metrics</t>
  </si>
  <si>
    <t>Overall Value per Index</t>
  </si>
  <si>
    <t>Overall Value per Index Units</t>
  </si>
  <si>
    <t>Effective OAR</t>
  </si>
  <si>
    <t>Overall EGIM</t>
  </si>
  <si>
    <t>From The Income Approach</t>
  </si>
  <si>
    <t>Concluded Income Approach Value</t>
  </si>
  <si>
    <t>Income Approach Value Per Index</t>
  </si>
  <si>
    <t>Income Approach Value Per Index Units</t>
  </si>
  <si>
    <t>Income Approach Effective OAR</t>
  </si>
  <si>
    <t>Operating Data</t>
  </si>
  <si>
    <t>Expense Ratio</t>
  </si>
  <si>
    <t>Reserves Included in Operating Expenses (Direct Cap)?</t>
  </si>
  <si>
    <t>Ground Lease Included in Operating Expenses?</t>
  </si>
  <si>
    <t>Occupancy Rate</t>
  </si>
  <si>
    <t>Direct Capitalization Method</t>
  </si>
  <si>
    <t>Direct Capitalization Method Value</t>
  </si>
  <si>
    <t>Direct Capitalization Method Value Per Index</t>
  </si>
  <si>
    <t>Direct Capitalization Method Value Per Index Units</t>
  </si>
  <si>
    <t>Direct Capitalization Applied OAR</t>
  </si>
  <si>
    <t>Discounted Cash Flow Method</t>
  </si>
  <si>
    <t>Discounted Cash Flow Method Value</t>
  </si>
  <si>
    <t>Discounted Cash Flow Method Value Per Index</t>
  </si>
  <si>
    <t>Discounted Cash Flow Method Value Per Index Units</t>
  </si>
  <si>
    <t>Internal Rate of Return (Discount Rate)</t>
  </si>
  <si>
    <t>Terminal Cap Rate</t>
  </si>
  <si>
    <t>From The Sales Comparison Approach</t>
  </si>
  <si>
    <t>Sales Comparison Approach Value</t>
  </si>
  <si>
    <t>Sales Comparison Approach Value Per Index</t>
  </si>
  <si>
    <t>Sales Comparison Approach Value Per Index Units</t>
  </si>
  <si>
    <t>From The Cost Approach</t>
  </si>
  <si>
    <t>Cost Approach Value</t>
  </si>
  <si>
    <t>Cost Approach Value Per Index</t>
  </si>
  <si>
    <t>Cost Approach Value Per Index Units</t>
  </si>
  <si>
    <t>Other Information</t>
  </si>
  <si>
    <t>Exposure Time (Months)</t>
  </si>
  <si>
    <t>Marketing Time (Months)</t>
  </si>
  <si>
    <t>Real Estate Remaining Economic Life</t>
  </si>
  <si>
    <t>Primary Improvement Size Units</t>
  </si>
  <si>
    <t>These fields do not match Valbridge Terminology and must be Manually Selected</t>
  </si>
  <si>
    <t>Valuation Scenario 1 - Always Used</t>
  </si>
  <si>
    <t>Valuation Scenario 3 - Potential Use</t>
  </si>
  <si>
    <t>Valuation Scenario 2 - Potential Use</t>
  </si>
  <si>
    <t>Insurable Actual Cash Value</t>
  </si>
  <si>
    <t>*Replacement Cost Less Physical Depreciation</t>
  </si>
  <si>
    <t>*Required for Each Building/ Structure; If more than one, but be Manually Added in Parcel Platform</t>
  </si>
  <si>
    <t>•New Automated Wells Fargo Data Exchange Worksheet Added</t>
  </si>
  <si>
    <t>Wells Fargo Data Exchange</t>
  </si>
  <si>
    <t>•Lease Structure Selection Embedded in SpaceType Selection</t>
  </si>
  <si>
    <t>Bldgs</t>
  </si>
  <si>
    <t>Manual Entry Required; These Items are Rare; No Field in VPA Template</t>
  </si>
  <si>
    <t>As-Complete Subject To Restricted Rents</t>
  </si>
  <si>
    <t>12-Month Disposition</t>
  </si>
  <si>
    <t>As-Stabilized Subject to Restricted Rents</t>
  </si>
  <si>
    <t>Version 2022.01 - August 15, 2022</t>
  </si>
  <si>
    <t>•Update All Bug Fixed</t>
  </si>
  <si>
    <t>Demographics</t>
  </si>
  <si>
    <t>•Default Year Changed from 2021 to 2022</t>
  </si>
  <si>
    <t>Land Buckets</t>
  </si>
  <si>
    <t>•Bucket 1 Land Size Bug Fixed</t>
  </si>
  <si>
    <t>2Q22</t>
  </si>
  <si>
    <t>PwC - Dallas Office Market</t>
  </si>
  <si>
    <t>PwC - National Limited-Service Midscale &amp; Economy Lodging</t>
  </si>
  <si>
    <t>PwC - National Luxury/Upper-Upscale Lodging</t>
  </si>
  <si>
    <t>RERC - Austin First-Tier Office Market - CBD</t>
  </si>
  <si>
    <t>RERC - Dallas First-Tier Office Market - CBD</t>
  </si>
  <si>
    <t>RERC - Houston First-Tier Office Market - CBD</t>
  </si>
  <si>
    <t>RERC - Austin First-Tier Office Market - Suburban</t>
  </si>
  <si>
    <t>RERC - Dallas First-Tier Office Market - Suburban</t>
  </si>
  <si>
    <t>RERC - Houston First-Tier Office Market - Suburban</t>
  </si>
  <si>
    <t>RERC - National Industrial Market - Warehouse</t>
  </si>
  <si>
    <t>RERC - National Industrial Market - R &amp; D</t>
  </si>
  <si>
    <t>RERC - National Industrial Market - Flex</t>
  </si>
  <si>
    <t>RERC - National Retail Market - Power Center</t>
  </si>
  <si>
    <t>RERC - National Retail Market - Neighborhood/Community</t>
  </si>
  <si>
    <t>RERC - National Apartment Market</t>
  </si>
  <si>
    <t>RERC - National Student Housing Market</t>
  </si>
  <si>
    <t>RERC - National Hotel Market</t>
  </si>
  <si>
    <t>RERC - National All Property Types</t>
  </si>
  <si>
    <t>Realty Rates - Ground Lease - Golf</t>
  </si>
  <si>
    <t>Realty Rates - Ground Lease - Health Care/Senior Housing</t>
  </si>
  <si>
    <t>Realty Rates - Ground Lease - Industrial</t>
  </si>
  <si>
    <t>Realty Rates - Ground Lease - Lodging</t>
  </si>
  <si>
    <t>Realty Rates - Ground Lease - Mobile Home/RV Park</t>
  </si>
  <si>
    <t>Realty Rates - Ground Lease - Office</t>
  </si>
  <si>
    <t>Realty Rates - Ground Lease - Restaurant</t>
  </si>
  <si>
    <t>Realty Rates - Ground Lease - Retail</t>
  </si>
  <si>
    <t>Realty Rates - Ground Lease - Self-Storage</t>
  </si>
  <si>
    <t>Realty Rates - Ground Lease - Special Purpose</t>
  </si>
  <si>
    <t>Realty Rates - Ground Lease - All Properties</t>
  </si>
  <si>
    <t>•New CoStar Data Import Coding for Windows 11</t>
  </si>
  <si>
    <t>Market OAR</t>
  </si>
  <si>
    <t>•Loading Narrative Bug Fixed</t>
  </si>
  <si>
    <t>Absorption Categories</t>
  </si>
  <si>
    <t>As Vacant/As Though Vacant</t>
  </si>
  <si>
    <t>As Improved/As Improved As Proposed</t>
  </si>
  <si>
    <t>•Highest and Best Use Labels Automated</t>
  </si>
  <si>
    <t>Version 2022.02 - August 28, 2022</t>
  </si>
  <si>
    <t>Vacant Percent % Direct</t>
  </si>
  <si>
    <t>Vacant Percent % Sublet</t>
  </si>
  <si>
    <t>Vacant Percent % Total</t>
  </si>
  <si>
    <t>•New CoStar Data Import Coding for Cloud and Syncing Use</t>
  </si>
  <si>
    <t>•New Data Import Coding for Cloud and Syncing Use</t>
  </si>
  <si>
    <t>•Millage Reference Row Hidden and Tax Rate Row Re-Labeled</t>
  </si>
  <si>
    <t>•Bug Created When Using Multiple Rent Structures Fixed</t>
  </si>
  <si>
    <t>Rent Automated Adjustments</t>
  </si>
  <si>
    <t>•Free Rent Set to Read Months Free from Rent Detailed Tables</t>
  </si>
  <si>
    <t>Enter Your Adjustments, then Click "Apply NOI Location Adj." Above to Push Adjustments to SCA Grid</t>
  </si>
  <si>
    <t>Specialty Sales Adjustments</t>
  </si>
  <si>
    <t>•Subject NOI Bug Fixed</t>
  </si>
  <si>
    <t>•PGI, EGI, OE, NOI Format Bug Fixed</t>
  </si>
  <si>
    <t>Version 2022.03 - November 22, 2022</t>
  </si>
  <si>
    <t>Real Property Interest</t>
  </si>
  <si>
    <t>Capitalization matches in Word</t>
  </si>
  <si>
    <t>Subject Historical Absorption</t>
  </si>
  <si>
    <t>Revise Monthly Absorption Formulas if Defaults Don't Work; Make your own Weightings</t>
  </si>
  <si>
    <t>Microsoft Office Update</t>
  </si>
  <si>
    <t>•Incompatible Code Revised to Work with Latest Version of Microsoft Office</t>
  </si>
  <si>
    <t>Version 2023.01 - January 24, 2023</t>
  </si>
  <si>
    <t>•Ability to Compare Two Property Types Added</t>
  </si>
  <si>
    <t>•NRA Presentation Revised to Better Protect Confidentiality</t>
  </si>
  <si>
    <t>•Sector 4 Bug Fixed</t>
  </si>
  <si>
    <t>Credit Rating</t>
  </si>
  <si>
    <t>% of NRA</t>
  </si>
  <si>
    <t>Net Sale Price</t>
  </si>
  <si>
    <t>Enter Sale Name</t>
  </si>
  <si>
    <t>Sales Proceeds Calculation CAP NOI (12 Months After Sale)</t>
  </si>
  <si>
    <t>Residual Sale Date</t>
  </si>
  <si>
    <t>March, 2033</t>
  </si>
  <si>
    <t xml:space="preserve">  Occupancy Gross-up Adjustment</t>
  </si>
  <si>
    <t xml:space="preserve">  Free Rent Offset</t>
  </si>
  <si>
    <t>NOI To Capitalize</t>
  </si>
  <si>
    <t xml:space="preserve">  Divided by Cap Rate</t>
  </si>
  <si>
    <t>8.0%</t>
  </si>
  <si>
    <t>Gross Sale Price</t>
  </si>
  <si>
    <t xml:space="preserve">  LC Adjustment</t>
  </si>
  <si>
    <t xml:space="preserve">  Capital Expenses</t>
  </si>
  <si>
    <t>Adjusted Gross Sale Price</t>
  </si>
  <si>
    <t xml:space="preserve">  Market</t>
  </si>
  <si>
    <t xml:space="preserve">  Less: Loan Balance</t>
  </si>
  <si>
    <t>Proceeds from Sale</t>
  </si>
  <si>
    <t>PV of Net Sale Price</t>
  </si>
  <si>
    <t>Occupancy Gross Up Calculation</t>
  </si>
  <si>
    <t>Tenant NOI Revenue</t>
  </si>
  <si>
    <t xml:space="preserve">  Add: Market Value of Downtime</t>
  </si>
  <si>
    <t xml:space="preserve">  Add: Average Value of Vacant Space</t>
  </si>
  <si>
    <t xml:space="preserve">  Add: Vacancy Allowance</t>
  </si>
  <si>
    <t>Total grossed Up Tenant NOI Revenue</t>
  </si>
  <si>
    <t xml:space="preserve">  Multiply By: Gross Up %</t>
  </si>
  <si>
    <t>Adjusted Tenant NOI Revenue</t>
  </si>
  <si>
    <t xml:space="preserve">  Subtract: Tenant NOI Revenue</t>
  </si>
  <si>
    <t>Total Occupancy Gross Up Adjustment</t>
  </si>
  <si>
    <t xml:space="preserve">    * Results displayed are based on Forecast data only</t>
  </si>
  <si>
    <r>
      <t xml:space="preserve">PwC Real Estate Investor Survey </t>
    </r>
    <r>
      <rPr>
        <vertAlign val="superscript"/>
        <sz val="10"/>
        <color theme="1"/>
        <rFont val="Segoe UI Semibold"/>
        <family val="2"/>
      </rPr>
      <t>TM</t>
    </r>
  </si>
  <si>
    <t>Significant Tenants</t>
  </si>
  <si>
    <t>*Leases with Tenant Names that Share the Same First 5 Letters will be Combined into a Single Line</t>
  </si>
  <si>
    <t>dpIncome_RentRoll_SigTenants_Table</t>
  </si>
  <si>
    <t>*Create Your Own Categories and Label Each Tenant in the Alternative Organizer Column on the Rent Roll Worksheet</t>
  </si>
  <si>
    <t>*Potential Uses Include Illustrating Tenant Mix by:</t>
  </si>
  <si>
    <t>2) Tenant Industry</t>
  </si>
  <si>
    <t>1) Space Type</t>
  </si>
  <si>
    <t>3) Tenant Credit/Risk Profile</t>
  </si>
  <si>
    <t>*Presents Tenants Representing 5.0% or More of NRA in order of Size</t>
  </si>
  <si>
    <t>4) Floor Level</t>
  </si>
  <si>
    <t>Rent Roll Breakdown</t>
  </si>
  <si>
    <t>•Significant Tenant Table Added</t>
  </si>
  <si>
    <t>Lease Expiration</t>
  </si>
  <si>
    <t>•Auto Clean-Up Added</t>
  </si>
  <si>
    <t>*Period Start Controlled by Market Study Vacancy and Absorption Chart Setting</t>
  </si>
  <si>
    <t>Historical Vacancy 1</t>
  </si>
  <si>
    <t>Historical Vacancy 2</t>
  </si>
  <si>
    <t>Historical Vacancy</t>
  </si>
  <si>
    <t xml:space="preserve">  Period</t>
  </si>
  <si>
    <t>Vacant SF Direct</t>
  </si>
  <si>
    <t>Vacant SF Sublet</t>
  </si>
  <si>
    <t>Vacant SF Total</t>
  </si>
  <si>
    <t>Total Available SF Direct</t>
  </si>
  <si>
    <t>Total Available SF Sublet</t>
  </si>
  <si>
    <t>Total Available SF Total</t>
  </si>
  <si>
    <t>Total Available Percent % Direct</t>
  </si>
  <si>
    <t>Total Available Percent % Sublet</t>
  </si>
  <si>
    <t>Total Available Percent % Total</t>
  </si>
  <si>
    <t>Vacant Available SF Direct</t>
  </si>
  <si>
    <t>Vacant Available SF Sublet</t>
  </si>
  <si>
    <t>Vacant Available SF Total</t>
  </si>
  <si>
    <t>Occupancy SF</t>
  </si>
  <si>
    <t>Gross Absorption SF Direct</t>
  </si>
  <si>
    <t>Gross Absorption SF Sublet</t>
  </si>
  <si>
    <t>Gross Absorption SF Total</t>
  </si>
  <si>
    <t>Leasing Activity Deals Direct</t>
  </si>
  <si>
    <t>Leasing Activity Deals Sublet</t>
  </si>
  <si>
    <t>Leasing Activity SF Direct</t>
  </si>
  <si>
    <t>Leasing Activity SF Sublet</t>
  </si>
  <si>
    <t>Leasing Activity SF Total</t>
  </si>
  <si>
    <t>Appraiser Validation Required!!!</t>
  </si>
  <si>
    <t>Wells Fargo Data Exchange Validation Boxes:</t>
  </si>
  <si>
    <t>•Appraiser Validation Added</t>
  </si>
  <si>
    <t>•CoStar Upload Revised to Work on Cloud</t>
  </si>
  <si>
    <t>Investor Surveys</t>
  </si>
  <si>
    <t>•Get Survey Upload Revised to Work on Cloud</t>
  </si>
  <si>
    <t>Fred Options</t>
  </si>
  <si>
    <t>Moody's Aaa Corporate Bonds</t>
  </si>
  <si>
    <t>Moody's Baa Corporate Bonds</t>
  </si>
  <si>
    <t>5-Year Treasury Security</t>
  </si>
  <si>
    <t>10-Year Treasury Security</t>
  </si>
  <si>
    <t>30-Year Treasury Security</t>
  </si>
  <si>
    <t>Effective Federal Funds Rate</t>
  </si>
  <si>
    <t>Bank Prime Loan Rate</t>
  </si>
  <si>
    <t>30-Day Secured Overnight Financing Rate (SOFR)</t>
  </si>
  <si>
    <t>FRED Code</t>
  </si>
  <si>
    <t>AAA</t>
  </si>
  <si>
    <t>Baa</t>
  </si>
  <si>
    <t>DGS5</t>
  </si>
  <si>
    <t>DGS10</t>
  </si>
  <si>
    <t>DGS30</t>
  </si>
  <si>
    <t>DFF</t>
  </si>
  <si>
    <t>DPRIME</t>
  </si>
  <si>
    <t>SOFR30DAYAVG</t>
  </si>
  <si>
    <t>Alternative Yield Rates</t>
  </si>
  <si>
    <t>Index Rates</t>
  </si>
  <si>
    <t>Source: Federal Reserve Economic Data (FRED)</t>
  </si>
  <si>
    <t>dpIncome_DCF_AltRates_Table</t>
  </si>
  <si>
    <t>Most Recent Date</t>
  </si>
  <si>
    <t>*Must be Entered as YYYY-MM-DD</t>
  </si>
  <si>
    <t>Retrospective Date (Leave Blank for Currrent Date)</t>
  </si>
  <si>
    <t>•Federal Reserve Economic Data (FRED) Alternative Yield Rate Import and Table Added</t>
  </si>
  <si>
    <t>Manual Entry Required; No Occupancy Fields tied to Specific Valuation Scenario; only Current and Stabilized</t>
  </si>
  <si>
    <t>White Cells Must be Mannually Entered</t>
  </si>
  <si>
    <t>Pick Specific SF Option Below</t>
  </si>
  <si>
    <t>Select Unit of Measure Below</t>
  </si>
  <si>
    <t>Only one field available; Manual entry required if different across Valuation Scenarios</t>
  </si>
  <si>
    <r>
      <rPr>
        <b/>
        <u/>
        <sz val="14"/>
        <color theme="0"/>
        <rFont val="Segoe UI"/>
        <family val="2"/>
      </rPr>
      <t xml:space="preserve">Appraiser Must </t>
    </r>
    <r>
      <rPr>
        <b/>
        <u/>
        <sz val="20"/>
        <color theme="0"/>
        <rFont val="Segoe UI"/>
        <family val="2"/>
      </rPr>
      <t>Check Box</t>
    </r>
    <r>
      <rPr>
        <b/>
        <u/>
        <sz val="14"/>
        <color theme="0"/>
        <rFont val="Segoe UI"/>
        <family val="2"/>
      </rPr>
      <t xml:space="preserve"> to </t>
    </r>
    <r>
      <rPr>
        <b/>
        <u/>
        <sz val="22"/>
        <color theme="0"/>
        <rFont val="Segoe UI"/>
        <family val="2"/>
      </rPr>
      <t>Confirm Data</t>
    </r>
    <r>
      <rPr>
        <b/>
        <u/>
        <sz val="14"/>
        <color theme="0"/>
        <rFont val="Segoe UI"/>
        <family val="2"/>
      </rPr>
      <t xml:space="preserve"> in Each Applicable Column is Accurate (Only Check Box for Columns that Should be Uploaded)</t>
    </r>
    <r>
      <rPr>
        <b/>
        <sz val="14"/>
        <color theme="0"/>
        <rFont val="Segoe UI"/>
        <family val="2"/>
      </rPr>
      <t xml:space="preserve">
If No Columns are Checked, the Assignment is Incomplete and will be returned for Appraiser Validation</t>
    </r>
  </si>
  <si>
    <t xml:space="preserve"> - Must Enter Date</t>
  </si>
  <si>
    <r>
      <t xml:space="preserve">Anticipated </t>
    </r>
    <r>
      <rPr>
        <u/>
        <sz val="10"/>
        <color theme="1"/>
        <rFont val="Segoe UI"/>
        <family val="2"/>
      </rPr>
      <t>DATE</t>
    </r>
    <r>
      <rPr>
        <sz val="10"/>
        <color theme="1"/>
        <rFont val="Segoe UI"/>
        <family val="2"/>
      </rPr>
      <t xml:space="preserve"> of closing</t>
    </r>
  </si>
  <si>
    <t>Version 2023.03 - March 09, 2023</t>
  </si>
  <si>
    <t>Version 2023.02 - February 09, 2023</t>
  </si>
  <si>
    <t>RERC - National Office Market - CBD</t>
  </si>
  <si>
    <t>RERC - National Office Market - Suburban</t>
  </si>
  <si>
    <t>RERC - South First-Tier Retail Market - Neighborhood/Community</t>
  </si>
  <si>
    <t>RERC - Houston First-Tier Retail Market - Neighborhood/Community</t>
  </si>
  <si>
    <t>•Occupancy Rate Added</t>
  </si>
  <si>
    <t>•Multiple Table Refinements</t>
  </si>
  <si>
    <t>Stabilized Net Operating Income (NOI)</t>
  </si>
  <si>
    <t>Building ID/Name</t>
  </si>
  <si>
    <t>MVS Base Cost ID</t>
  </si>
  <si>
    <t>Retrospective Mult.</t>
  </si>
  <si>
    <t>Elevator Deduction</t>
  </si>
  <si>
    <t>Current Mult.</t>
  </si>
  <si>
    <t>Prospective Mult.</t>
  </si>
  <si>
    <t>Time Mult.</t>
  </si>
  <si>
    <t>Number of Stories Mult.</t>
  </si>
  <si>
    <t>Height per Story Mult.</t>
  </si>
  <si>
    <t>Floor Area/Perimeter Mult.</t>
  </si>
  <si>
    <t>•Direct Cost Refinement Lines Added</t>
  </si>
  <si>
    <t>Local Mult.</t>
  </si>
  <si>
    <t>•Total Depreciation Bug for Breakout Conclusion Table Fixed</t>
  </si>
  <si>
    <t>Demographic Type</t>
  </si>
  <si>
    <t>Radius</t>
  </si>
  <si>
    <t>County</t>
  </si>
  <si>
    <t>Country</t>
  </si>
  <si>
    <t>Demographics Label</t>
  </si>
  <si>
    <t>CBSA</t>
  </si>
  <si>
    <t>Compound Annual Growth</t>
  </si>
  <si>
    <t>Population Distribution by Age Cohort</t>
  </si>
  <si>
    <t>Median Age</t>
  </si>
  <si>
    <t>Age 0 to 5</t>
  </si>
  <si>
    <t>Age 6 to 11</t>
  </si>
  <si>
    <t>Age 12 to 17</t>
  </si>
  <si>
    <t>Age 18 to 24</t>
  </si>
  <si>
    <t>Age 25 to 34</t>
  </si>
  <si>
    <t>Age 35 to 44</t>
  </si>
  <si>
    <t>Age 45 to 54</t>
  </si>
  <si>
    <t>Age 55 to 64</t>
  </si>
  <si>
    <t>Age 65 to 74</t>
  </si>
  <si>
    <t>Age 75 to 84</t>
  </si>
  <si>
    <t>Age 85 Plus</t>
  </si>
  <si>
    <t>Households</t>
  </si>
  <si>
    <t>Average Household Size</t>
  </si>
  <si>
    <t>Median Home Value</t>
  </si>
  <si>
    <t>Median Year Built</t>
  </si>
  <si>
    <t>Total Housing Units</t>
  </si>
  <si>
    <t>Owner-Occupied Housing %</t>
  </si>
  <si>
    <t>Renter-Occupied Housing %</t>
  </si>
  <si>
    <t>Vacant Housing %</t>
  </si>
  <si>
    <t>Total Establishments</t>
  </si>
  <si>
    <t>Total Employees</t>
  </si>
  <si>
    <t>Average Commute Time</t>
  </si>
  <si>
    <t>% College Graduates</t>
  </si>
  <si>
    <t>Average Household Income</t>
  </si>
  <si>
    <t>Distribution by Income</t>
  </si>
  <si>
    <t>&lt; $15,000</t>
  </si>
  <si>
    <t>$15,000 - $24,999</t>
  </si>
  <si>
    <t>$25,000 - $34,999</t>
  </si>
  <si>
    <t>$35,000 - $49,999</t>
  </si>
  <si>
    <t>$50,000 - $74,999</t>
  </si>
  <si>
    <t>$75,000 - $99,999</t>
  </si>
  <si>
    <t>$100,000 - $124,999</t>
  </si>
  <si>
    <t>$125,000 - $149,999</t>
  </si>
  <si>
    <t>$150,000 - $199,999</t>
  </si>
  <si>
    <t>$200,000 +</t>
  </si>
  <si>
    <t>Avg Spending/Household</t>
  </si>
  <si>
    <t>Per Capita Income</t>
  </si>
  <si>
    <t>Consumer Spending by Industry</t>
  </si>
  <si>
    <t>Building &amp; Garden Materials</t>
  </si>
  <si>
    <t>Clothing &amp; Accessories</t>
  </si>
  <si>
    <t>Electrical &amp; Appliances</t>
  </si>
  <si>
    <t>Food &amp; Beverage</t>
  </si>
  <si>
    <t>Food Services</t>
  </si>
  <si>
    <t>Furniture Home Furnishings</t>
  </si>
  <si>
    <t>Gasoline Stations</t>
  </si>
  <si>
    <t>General Merchandise</t>
  </si>
  <si>
    <t>Health &amp; Personal</t>
  </si>
  <si>
    <t>Motor Vehicles</t>
  </si>
  <si>
    <t>Non Store Purchases</t>
  </si>
  <si>
    <t>Sporting Goods</t>
  </si>
  <si>
    <t>Demographic Region</t>
  </si>
  <si>
    <t>Columns:</t>
  </si>
  <si>
    <t>Rows:</t>
  </si>
  <si>
    <t>Radius/DriveTime</t>
  </si>
  <si>
    <t>Column:</t>
  </si>
  <si>
    <t>Row:</t>
  </si>
  <si>
    <t>Trade Area (Sq. Mi.)</t>
  </si>
  <si>
    <t>Trade Density (Pop/Sq. Mi.)</t>
  </si>
  <si>
    <t>Source: EASI (LightBox)</t>
  </si>
  <si>
    <r>
      <t>Neighborhood Demographics (</t>
    </r>
    <r>
      <rPr>
        <b/>
        <i/>
        <sz val="11"/>
        <color rgb="FF1F497D"/>
        <rFont val="Segoe UI"/>
        <family val="2"/>
      </rPr>
      <t>cont.</t>
    </r>
    <r>
      <rPr>
        <b/>
        <sz val="11"/>
        <color rgb="FF1F497D"/>
        <rFont val="Segoe UI"/>
        <family val="2"/>
      </rPr>
      <t>)</t>
    </r>
  </si>
  <si>
    <t>Neighborhood Demographics - Age Cohort</t>
  </si>
  <si>
    <t>Neighborhood Demographics - Income Distribution</t>
  </si>
  <si>
    <t>Neighborhood Demographics - Consumer Spending</t>
  </si>
  <si>
    <t>Compound Annual ∆</t>
  </si>
  <si>
    <t>HH Income</t>
  </si>
  <si>
    <t>Income</t>
  </si>
  <si>
    <t>EASI Prior Census Year</t>
  </si>
  <si>
    <t>EASI Current Census Year</t>
  </si>
  <si>
    <t>EASI Current Year Estimates</t>
  </si>
  <si>
    <t>EASI Projected Year Estimates (+5)</t>
  </si>
  <si>
    <t>SCA Buckets</t>
  </si>
  <si>
    <t>•Value Conclusion Units Bug Fixed</t>
  </si>
  <si>
    <t>•Bucket 2 Clear Height Auto Adj. Bug Fixed</t>
  </si>
  <si>
    <t>•Vacancy Narrative Bug Fixed</t>
  </si>
  <si>
    <t>FRED Baa Rate</t>
  </si>
  <si>
    <t>•Automated Age/Condition Bugs Fixed</t>
  </si>
  <si>
    <t>Subject Space Types</t>
  </si>
  <si>
    <t>Demo Type</t>
  </si>
  <si>
    <t>*Entrepreneurial Incentive is Optional and will Hide if 0.0% or Blank</t>
  </si>
  <si>
    <t>•Deferred Maintenance Entrepreneurial Incentive Option Added</t>
  </si>
  <si>
    <t>Expense Estimates</t>
  </si>
  <si>
    <t>•Expense References to DCF – ARGUS Changed Format from 4 Spaces to 2 Spaces before Label</t>
  </si>
  <si>
    <t>Debt Coverage Ratio (DCR)</t>
  </si>
  <si>
    <t>Debt Coverage Ratio</t>
  </si>
  <si>
    <t>Appraiser Assumptions</t>
  </si>
  <si>
    <t>Criteria</t>
  </si>
  <si>
    <t>Mortgage Constant (RM)</t>
  </si>
  <si>
    <t>dpIncome_DCR_Table</t>
  </si>
  <si>
    <t>This table is intended to be used with PwC Survey data and requires manual entry</t>
  </si>
  <si>
    <t>The table does not merge to Word, but the figures merge to the Word narrative</t>
  </si>
  <si>
    <t>2023-08-16</t>
  </si>
  <si>
    <t>•DCR Table Added</t>
  </si>
  <si>
    <t>LightBox Demographics</t>
  </si>
  <si>
    <t>•Vacancy Period Header Bug Fixed</t>
  </si>
  <si>
    <t>Minimum of 1 Required</t>
  </si>
  <si>
    <t>Space Type - Contract Rent</t>
  </si>
  <si>
    <t>Space Type - Market Rent</t>
  </si>
  <si>
    <t>Medical Office</t>
  </si>
  <si>
    <t>Space Type *Must Match Income Assumptions</t>
  </si>
  <si>
    <t>Select Space Type from Dropdown List Below; List Populated based on Income Assumptions Entries</t>
  </si>
  <si>
    <r>
      <rPr>
        <b/>
        <u/>
        <sz val="14"/>
        <color theme="0"/>
        <rFont val="Segoe UI"/>
        <family val="2"/>
      </rPr>
      <t>REQUIRED:</t>
    </r>
    <r>
      <rPr>
        <b/>
        <u/>
        <sz val="11"/>
        <color theme="0"/>
        <rFont val="Segoe UI"/>
        <family val="2"/>
      </rPr>
      <t xml:space="preserve">
Space Type</t>
    </r>
  </si>
  <si>
    <t>Capitalization Rates</t>
  </si>
  <si>
    <t>•Space Type Entry Emphasized and Streamlined</t>
  </si>
  <si>
    <t>[0].catalog.series_title</t>
  </si>
  <si>
    <t>[0].catalog.series_id</t>
  </si>
  <si>
    <t>[0].catalog.seasonality</t>
  </si>
  <si>
    <t>[0].catalog.survey_name</t>
  </si>
  <si>
    <t>[0].catalog.survey_abbreviation</t>
  </si>
  <si>
    <t>[0].catalog.measure_data_type</t>
  </si>
  <si>
    <t>[0].catalog.commerce_industry</t>
  </si>
  <si>
    <t>[0].catalog.occupation</t>
  </si>
  <si>
    <t>[0].catalog.cps_labor_force_status</t>
  </si>
  <si>
    <t>[0].catalog.demographic_age</t>
  </si>
  <si>
    <t>[0].catalog.demographic_ethnic_origin</t>
  </si>
  <si>
    <t>[0].catalog.demographic_race</t>
  </si>
  <si>
    <t>[0].catalog.demographic_gender</t>
  </si>
  <si>
    <t>[0].catalog.demographic_education</t>
  </si>
  <si>
    <t>(Unadj) Unemployment Rate</t>
  </si>
  <si>
    <t>Not Seasonally Adjusted</t>
  </si>
  <si>
    <t>Labor Force Statistics from the Current Population Survey</t>
  </si>
  <si>
    <t>LN</t>
  </si>
  <si>
    <t>Percent or rate</t>
  </si>
  <si>
    <t>All Industries</t>
  </si>
  <si>
    <t>All Occupations</t>
  </si>
  <si>
    <t>Unemployment rate</t>
  </si>
  <si>
    <t>16 years and over</t>
  </si>
  <si>
    <t>All Origins</t>
  </si>
  <si>
    <t>All Races</t>
  </si>
  <si>
    <t>Both Sexes</t>
  </si>
  <si>
    <t>All educational levels</t>
  </si>
  <si>
    <t>LAU03</t>
  </si>
  <si>
    <t>Select Current/Retrospective Year:</t>
  </si>
  <si>
    <t>ESRI Categories</t>
  </si>
  <si>
    <t>bufferRadii</t>
  </si>
  <si>
    <t>bufferUnitsAlias</t>
  </si>
  <si>
    <t>Miles</t>
  </si>
  <si>
    <t>populationtotals.POPDENS_CY</t>
  </si>
  <si>
    <t>POPDENS_CY</t>
  </si>
  <si>
    <t>TOTPOP10</t>
  </si>
  <si>
    <t>TOTPOP20</t>
  </si>
  <si>
    <t>AtRisk.TOTPOP_CY</t>
  </si>
  <si>
    <t>TOTPOP_CY</t>
  </si>
  <si>
    <t>agebyracebysex.TOTPOP_FY</t>
  </si>
  <si>
    <t>TOTPOP_FY</t>
  </si>
  <si>
    <t>TOTHH10</t>
  </si>
  <si>
    <t>householdtotals.TOTHH20</t>
  </si>
  <si>
    <t>TOTHH20</t>
  </si>
  <si>
    <t>AtRisk.TOTHH_CY</t>
  </si>
  <si>
    <t>TOTHH_CY</t>
  </si>
  <si>
    <t>agebyracebysex.TOTHH_FY</t>
  </si>
  <si>
    <t>TOTHH_FY</t>
  </si>
  <si>
    <t>AtRisk.AVGHHSZ_CY</t>
  </si>
  <si>
    <t>AVGHHSZ_CY</t>
  </si>
  <si>
    <t>homevalue.MEDVAL_CY</t>
  </si>
  <si>
    <t>MEDVAL_CY</t>
  </si>
  <si>
    <t>yearbuilt.ACSMEDYBLT</t>
  </si>
  <si>
    <t>ACSMEDYBLT</t>
  </si>
  <si>
    <t>HistoricalHousing.TOTHU_CY</t>
  </si>
  <si>
    <t>TOTHU_CY</t>
  </si>
  <si>
    <t>KeyUSFacts.OWNER_CY</t>
  </si>
  <si>
    <t>OWNER_CY</t>
  </si>
  <si>
    <t>KeyUSFacts.RENTER_CY</t>
  </si>
  <si>
    <t>RENTER_CY</t>
  </si>
  <si>
    <t>KeyUSFacts.VACANT_CY</t>
  </si>
  <si>
    <t>VACANT_CY</t>
  </si>
  <si>
    <t>businesses.S01_BUS</t>
  </si>
  <si>
    <t>S01_BUS</t>
  </si>
  <si>
    <t>employees.S01_EMP</t>
  </si>
  <si>
    <t>S01_EMP</t>
  </si>
  <si>
    <t>commute.ACSAVGTWRK</t>
  </si>
  <si>
    <t>ACSAVGTWRK</t>
  </si>
  <si>
    <t>educationalattainment.BACHDEG_CY</t>
  </si>
  <si>
    <t>BACHDEG_CY</t>
  </si>
  <si>
    <t>educationalattainment.GRADDEG_CY</t>
  </si>
  <si>
    <t>GRADDEG_CY</t>
  </si>
  <si>
    <t>educationalattainment.EDUCBASECY</t>
  </si>
  <si>
    <t>EDUCBASECY</t>
  </si>
  <si>
    <t>Health.MEDHINC_CY</t>
  </si>
  <si>
    <t>MEDHINC_CY</t>
  </si>
  <si>
    <t>AtRisk.AVGHINC_CY</t>
  </si>
  <si>
    <t>AVGHINC_CY</t>
  </si>
  <si>
    <t>SpendingTotal.X15001_X</t>
  </si>
  <si>
    <t>X150001_X</t>
  </si>
  <si>
    <t>householdincome.PCI_CY</t>
  </si>
  <si>
    <t>PCI_CY</t>
  </si>
  <si>
    <t>Geography ID</t>
  </si>
  <si>
    <t>Geography Name</t>
  </si>
  <si>
    <t>KeyUSFacts.TOTPOP_FY</t>
  </si>
  <si>
    <t>KeyUSFacts.POPGRWCYFY</t>
  </si>
  <si>
    <t>POPGRWCYFY</t>
  </si>
  <si>
    <t>ESRI Projected Year Estimates (+5)</t>
  </si>
  <si>
    <t>Source: ESRI (ArcGIS)</t>
  </si>
  <si>
    <t>Neighborhood Demographics (cont.)</t>
  </si>
  <si>
    <t>Label for Demos Table:</t>
  </si>
  <si>
    <t>ESRI Attribute:</t>
  </si>
  <si>
    <t>State Code (2-digit)</t>
  </si>
  <si>
    <t>OMB Code for CBSA</t>
  </si>
  <si>
    <t>Co = State Code (2-digit) + Co. Code (3-digit)</t>
  </si>
  <si>
    <t>Town = State Code (2-digit) + Place Code (5-digit)</t>
  </si>
  <si>
    <t>CSD = State Code (2-digit) + Co (3-digit) + CSD Code (5-digit)</t>
  </si>
  <si>
    <t>ESRI Prior Census</t>
  </si>
  <si>
    <t>ESRI Current Census</t>
  </si>
  <si>
    <t>↓ Select These First ↓</t>
  </si>
  <si>
    <t>Population Density (Pop/Sq. Mi)</t>
  </si>
  <si>
    <t>Census Population</t>
  </si>
  <si>
    <t>Current Population</t>
  </si>
  <si>
    <t>Projected Population</t>
  </si>
  <si>
    <t>Census Households</t>
  </si>
  <si>
    <t>Current Households</t>
  </si>
  <si>
    <t>Projected Households</t>
  </si>
  <si>
    <t>Row</t>
  </si>
  <si>
    <t>Microsoft product screen shots reprinted with permission from Microsoft Corporation</t>
  </si>
  <si>
    <t>Census:</t>
  </si>
  <si>
    <t>Lat (Rad)</t>
  </si>
  <si>
    <t>Lon (Rad)</t>
  </si>
  <si>
    <t>Start Deg</t>
  </si>
  <si>
    <t>Earth r</t>
  </si>
  <si>
    <t>Ring</t>
  </si>
  <si>
    <t>Increment</t>
  </si>
  <si>
    <t>rngRing1</t>
  </si>
  <si>
    <t>rngRing2</t>
  </si>
  <si>
    <t>rngRing3</t>
  </si>
  <si>
    <t>Points</t>
  </si>
  <si>
    <t>Bearing (Radians)</t>
  </si>
  <si>
    <t>Degrees</t>
  </si>
  <si>
    <t>Lat</t>
  </si>
  <si>
    <t>Lon</t>
  </si>
  <si>
    <t>Plots</t>
  </si>
  <si>
    <t>dpMarket_Area_Population_LBX</t>
  </si>
  <si>
    <t>dpMedian_Househould_Income_LBX</t>
  </si>
  <si>
    <t>dpMedian_Househould_Income_ESRI</t>
  </si>
  <si>
    <t>dpRingMap_ESRI</t>
  </si>
  <si>
    <t>dpMarket_Area_Population_ESRI</t>
  </si>
  <si>
    <t>Demos</t>
  </si>
  <si>
    <t>ESRI</t>
  </si>
  <si>
    <t>LightBox</t>
  </si>
  <si>
    <t>•Added user option for either ESRI or Lightbox (LBX) Demographics;  ESRI tables modified to match LBX output</t>
  </si>
  <si>
    <t>dpNeighborhood_Demos_Table_1_ESRI</t>
  </si>
  <si>
    <t>dpNeighborhood_Demos_Table_2_ESRI</t>
  </si>
  <si>
    <t>dpNeighborhood_Demos_Table_5_LBX</t>
  </si>
  <si>
    <t>dpNeighborhood_Demos_Table_4_LBX</t>
  </si>
  <si>
    <t>dpNeighborhood_Demos_Table_3_LBX</t>
  </si>
  <si>
    <t>dpNeighborhood_Demos_Table_2_LBX</t>
  </si>
  <si>
    <t>dpNeighborhood_Demos_Table_1_LBX</t>
  </si>
  <si>
    <t>3Q23</t>
  </si>
  <si>
    <t>RERC - South Second-Tier Retail Market - Neighborhood/Community</t>
  </si>
  <si>
    <t>RERC - South Third-Tier Retail Market - Neighborhood/Community</t>
  </si>
  <si>
    <t>Version 2023.04 - September 21, 2023</t>
  </si>
  <si>
    <t>Middle Radius/Drive-Time</t>
  </si>
  <si>
    <t>Population Growth Rate</t>
  </si>
  <si>
    <t>Median HH Income</t>
  </si>
  <si>
    <t>Owner-Renter</t>
  </si>
  <si>
    <t>•Narrative Links Modified to Read both ESRI and LIghtBox Figures</t>
  </si>
  <si>
    <t>•ESRI Vacant Housing % Formula Bug Fixed</t>
  </si>
  <si>
    <t>Industry</t>
  </si>
  <si>
    <t>Agriculture/Forestry/Fishing/Hunting</t>
  </si>
  <si>
    <t>Mining/Quarrying/Oil &amp; Gas Extraction</t>
  </si>
  <si>
    <t>Manufacturing</t>
  </si>
  <si>
    <t>Wholesale Trade</t>
  </si>
  <si>
    <t>Retail Trade</t>
  </si>
  <si>
    <t>Transportation/Warehousing</t>
  </si>
  <si>
    <t>Information</t>
  </si>
  <si>
    <t>Finance/Insurance</t>
  </si>
  <si>
    <t>Real Estate/Rental/Leasing</t>
  </si>
  <si>
    <t>Professional/Scientific/Tech Services</t>
  </si>
  <si>
    <t>Management of Companies/Enterprises</t>
  </si>
  <si>
    <t>Admin/Support/Waste Management Services</t>
  </si>
  <si>
    <t>Educational Services</t>
  </si>
  <si>
    <t>Arts/entertainment/Recreation</t>
  </si>
  <si>
    <t>Accommodation/Food Services</t>
  </si>
  <si>
    <t>Other Services (excl Public Administration)</t>
  </si>
  <si>
    <t>Public Administration</t>
  </si>
  <si>
    <t>dpEmployment_Chart</t>
  </si>
  <si>
    <t>Percent of Employment</t>
  </si>
  <si>
    <t>•ESRI Population By Industry Added Back</t>
  </si>
  <si>
    <t>industry.INDBASE_CY</t>
  </si>
  <si>
    <t>INDBASE_CY</t>
  </si>
  <si>
    <t>industry.INDAGRI_CY</t>
  </si>
  <si>
    <t>INDAGRI_CY</t>
  </si>
  <si>
    <t>industry.INDMIN_CY</t>
  </si>
  <si>
    <t>INDMIN_CY</t>
  </si>
  <si>
    <t>industry.INDCONS_CY</t>
  </si>
  <si>
    <t>INDCONS_CY</t>
  </si>
  <si>
    <t>industry.INDMANU_CY</t>
  </si>
  <si>
    <t>INDMANU_CY</t>
  </si>
  <si>
    <t>industry.INDWHTR_CY</t>
  </si>
  <si>
    <t>INDWHTR_CY</t>
  </si>
  <si>
    <t>industry.INDRTTR_CY</t>
  </si>
  <si>
    <t>INDRTTR_CY</t>
  </si>
  <si>
    <t>industry.INDTRAN_CY</t>
  </si>
  <si>
    <t>INDTRAN_CY</t>
  </si>
  <si>
    <t>industry.INDUTIL_CY</t>
  </si>
  <si>
    <t>INDUTIL_CY</t>
  </si>
  <si>
    <t>industry.INDINFO_CY</t>
  </si>
  <si>
    <t>INDINFO_CY</t>
  </si>
  <si>
    <t>industry.INDFIN_CY</t>
  </si>
  <si>
    <t>INDFIN_CY</t>
  </si>
  <si>
    <t>industry.INDRE_CY</t>
  </si>
  <si>
    <t>INDRE_CY</t>
  </si>
  <si>
    <t>industry.INDTECH_CY</t>
  </si>
  <si>
    <t>INDTECH_CY</t>
  </si>
  <si>
    <t>industry.INDMGMT_CY</t>
  </si>
  <si>
    <t>INDMGMT_CY</t>
  </si>
  <si>
    <t>industry.INDADMN_CY</t>
  </si>
  <si>
    <t>INDADMN_CY</t>
  </si>
  <si>
    <t>industry.INDEDUC_CY</t>
  </si>
  <si>
    <t>INDEDUC_CY</t>
  </si>
  <si>
    <t>industry.INDHLTH_CY</t>
  </si>
  <si>
    <t>INDHLTH_CY</t>
  </si>
  <si>
    <t>industry.INDARTS_CY</t>
  </si>
  <si>
    <t>INDARTS_CY</t>
  </si>
  <si>
    <t>industry.INDFOOD_CY</t>
  </si>
  <si>
    <t>INDFOOD_CY</t>
  </si>
  <si>
    <t>industry.INDOTSV_CY</t>
  </si>
  <si>
    <t>INDOTSV_CY</t>
  </si>
  <si>
    <t>industry.INDPUBL_CY</t>
  </si>
  <si>
    <t>INDPUBL_CY</t>
  </si>
  <si>
    <t>Total (by ESRI)</t>
  </si>
  <si>
    <t>Total (by sum)</t>
  </si>
  <si>
    <t>Version 2023.05 - October 10, 2023</t>
  </si>
  <si>
    <t>•Automated Remaining Lease Term Adjustments Removed</t>
  </si>
  <si>
    <t>Version 2023.05 - October 20, 2023</t>
  </si>
  <si>
    <t>agebyracebysex2010.TOTPOP10</t>
  </si>
  <si>
    <t>agebyracebysex2010.TOTHH10</t>
  </si>
  <si>
    <t>Health Care/Social Assistance</t>
  </si>
  <si>
    <t>•Resolved ESRI’s changed collection name for  Population and Household Demographics</t>
  </si>
  <si>
    <t>•Changed cell format for Census Tract from numeric to text to pick up the leading 0 in certain state’s FIPS code</t>
  </si>
  <si>
    <t>•Update and Default Buttons Added back to RegionalESRI Worksheet</t>
  </si>
  <si>
    <t>•Corrected Misspelled “Health” in Employment graph</t>
  </si>
  <si>
    <t>Version 2023.06 - October 27, 2023</t>
  </si>
  <si>
    <t>•Datappraise Rent Bug Fixed (when using Tenant - Contract/Market Rent presentation option)</t>
  </si>
  <si>
    <t>Entrepreneurial</t>
  </si>
  <si>
    <t>Other RCN</t>
  </si>
  <si>
    <t>•Profit on Land Breakout added to Replacement Cost New Building Breakout Table added</t>
  </si>
  <si>
    <t>Version 2023.07 - November 16, 2023</t>
  </si>
  <si>
    <t>•Significant Tenant Table Bug Fixed</t>
  </si>
  <si>
    <t>Salient Facts</t>
  </si>
  <si>
    <t>•Census Tract ESRI Option Added</t>
  </si>
  <si>
    <t>agebyracebysex2020.TOTPOP20</t>
  </si>
  <si>
    <t>LightBox is Inactive</t>
  </si>
  <si>
    <t>4Q23</t>
  </si>
  <si>
    <t>RERC - Austin First-Tier Retail Market - Neighborhood/Community</t>
  </si>
  <si>
    <t>RERC - Dallas First-Tier Retail Market - Neighborhood/Community</t>
  </si>
  <si>
    <t>RERC - Austin First-Tier Apartment Market</t>
  </si>
  <si>
    <t>RERC - Dallas First-Tier Apartment Market</t>
  </si>
  <si>
    <t>RERC - Houston First-Tier Apartment Market</t>
  </si>
  <si>
    <t>•LightBox labeled Inactive</t>
  </si>
  <si>
    <t>•Resolved ESRI’s Intermittent 2020 Census Data Issues</t>
  </si>
  <si>
    <t>Version 2024.01 - February 15, 2024</t>
  </si>
  <si>
    <t>FL01-25-0019-000</t>
  </si>
  <si>
    <t xml:space="preserve">Jason Bennett has not completed </t>
  </si>
  <si>
    <t>25-000142-01-01</t>
  </si>
  <si>
    <t>The First Bank</t>
  </si>
  <si>
    <t>Cindy J. Dickinson</t>
  </si>
  <si>
    <t>601-818-5185</t>
  </si>
  <si>
    <t>cdickinson@thefirstbank.com</t>
  </si>
  <si>
    <t>intended use of this appraisal is for loan underwriting and-or credit decisions by TheFirst Bank and-or participants.</t>
  </si>
  <si>
    <t>The FirstBank and-or affiliates</t>
  </si>
  <si>
    <t>Appraisal</t>
  </si>
  <si>
    <t>has not</t>
  </si>
  <si>
    <t>As Is</t>
  </si>
  <si>
    <t>33904</t>
  </si>
  <si>
    <t>Fort Myers-Cape Coral</t>
  </si>
  <si>
    <t>Stone veneer with Stucco and Hardi Plank above</t>
  </si>
  <si>
    <t>Multi-Tenant</t>
  </si>
  <si>
    <t>Level</t>
  </si>
  <si>
    <t>Soft Corner</t>
  </si>
  <si>
    <t>All public available.</t>
  </si>
  <si>
    <t>Yes, see body of report</t>
  </si>
  <si>
    <t>Observation of the subject property was limited to readily available areas of the interior and exterior of the building/property. The subject is not new construction and assumed not to have any hidden defects. No probes or attempts to remove materials to discover unapparent defects were made by the appraisers.</t>
  </si>
  <si>
    <t>Information regarding the property was obtained from the client, aerial maps, Lee County Public records online documentation, as well as other online records, which we have relied upon and is an extraordinary assumption of this report.</t>
  </si>
  <si>
    <t>None.</t>
  </si>
  <si>
    <t>6 to 12 months</t>
  </si>
  <si>
    <t>18-45-24-C2-00068.1010</t>
  </si>
  <si>
    <t>[0].data[73].year</t>
  </si>
  <si>
    <t>[0].data[73].period</t>
  </si>
  <si>
    <t>[0].data[73].periodName</t>
  </si>
  <si>
    <t>[0].data[73].value</t>
  </si>
  <si>
    <t>[0].data[74].year</t>
  </si>
  <si>
    <t>[0].data[74].period</t>
  </si>
  <si>
    <t>[0].data[74].periodName</t>
  </si>
  <si>
    <t>[0].data[74].value</t>
  </si>
  <si>
    <t>[0].data[75].year</t>
  </si>
  <si>
    <t>[0].data[75].period</t>
  </si>
  <si>
    <t>[0].data[75].periodName</t>
  </si>
  <si>
    <t>[0].data[75].value</t>
  </si>
  <si>
    <t>[0].data[76].year</t>
  </si>
  <si>
    <t>[0].data[76].period</t>
  </si>
  <si>
    <t>[0].data[76].periodName</t>
  </si>
  <si>
    <t>[0].data[76].value</t>
  </si>
  <si>
    <t>[0].data[77].year</t>
  </si>
  <si>
    <t>[0].data[77].period</t>
  </si>
  <si>
    <t>[0].data[77].periodName</t>
  </si>
  <si>
    <t>[0].data[77].value</t>
  </si>
  <si>
    <t>[1].catalog.series_title</t>
  </si>
  <si>
    <t>[1].catalog.series_id</t>
  </si>
  <si>
    <t>[1].catalog.seasonality</t>
  </si>
  <si>
    <t>[1].catalog.survey_name</t>
  </si>
  <si>
    <t>[1].catalog.survey_abbreviation</t>
  </si>
  <si>
    <t>[1].catalog.measure_data_type</t>
  </si>
  <si>
    <t>[1].catalog.area</t>
  </si>
  <si>
    <t>[1].catalog.area_type</t>
  </si>
  <si>
    <t>[1].data[0].year</t>
  </si>
  <si>
    <t>[1].data[0].period</t>
  </si>
  <si>
    <t>[1].data[0].periodName</t>
  </si>
  <si>
    <t>[1].data[0].latest</t>
  </si>
  <si>
    <t>[1].data[0].value</t>
  </si>
  <si>
    <t>[1].data[0].footnotes[0].code</t>
  </si>
  <si>
    <t>[1].data[0].footnotes[0].text</t>
  </si>
  <si>
    <t>[1].data[1].year</t>
  </si>
  <si>
    <t>[1].data[1].period</t>
  </si>
  <si>
    <t>[1].data[1].periodName</t>
  </si>
  <si>
    <t>[1].data[1].value</t>
  </si>
  <si>
    <t>[1].data[1].footnotes[0].code</t>
  </si>
  <si>
    <t>[1].data[1].footnotes[0].text</t>
  </si>
  <si>
    <t>[1].data[2].year</t>
  </si>
  <si>
    <t>[1].data[2].period</t>
  </si>
  <si>
    <t>[1].data[2].periodName</t>
  </si>
  <si>
    <t>[1].data[2].value</t>
  </si>
  <si>
    <t>[1].data[2].footnotes[0].code</t>
  </si>
  <si>
    <t>[1].data[2].footnotes[0].text</t>
  </si>
  <si>
    <t>[1].data[3].year</t>
  </si>
  <si>
    <t>[1].data[3].period</t>
  </si>
  <si>
    <t>[1].data[3].periodName</t>
  </si>
  <si>
    <t>[1].data[3].value</t>
  </si>
  <si>
    <t>[1].data[3].footnotes[0].code</t>
  </si>
  <si>
    <t>[1].data[3].footnotes[0].text</t>
  </si>
  <si>
    <t>[1].data[4].year</t>
  </si>
  <si>
    <t>[1].data[4].period</t>
  </si>
  <si>
    <t>[1].data[4].periodName</t>
  </si>
  <si>
    <t>[1].data[4].value</t>
  </si>
  <si>
    <t>[1].data[4].footnotes[0].code</t>
  </si>
  <si>
    <t>[1].data[4].footnotes[0].text</t>
  </si>
  <si>
    <t>[1].data[5].year</t>
  </si>
  <si>
    <t>[1].data[5].period</t>
  </si>
  <si>
    <t>[1].data[5].periodName</t>
  </si>
  <si>
    <t>[1].data[5].value</t>
  </si>
  <si>
    <t>[1].data[5].footnotes[0].code</t>
  </si>
  <si>
    <t>[1].data[5].footnotes[0].text</t>
  </si>
  <si>
    <t>[1].data[6].year</t>
  </si>
  <si>
    <t>[1].data[6].period</t>
  </si>
  <si>
    <t>[1].data[6].periodName</t>
  </si>
  <si>
    <t>[1].data[6].value</t>
  </si>
  <si>
    <t>[1].data[6].footnotes[0].code</t>
  </si>
  <si>
    <t>[1].data[6].footnotes[0].text</t>
  </si>
  <si>
    <t>[1].data[7].year</t>
  </si>
  <si>
    <t>[1].data[7].period</t>
  </si>
  <si>
    <t>[1].data[7].periodName</t>
  </si>
  <si>
    <t>[1].data[7].value</t>
  </si>
  <si>
    <t>[1].data[7].footnotes[0].code</t>
  </si>
  <si>
    <t>[1].data[7].footnotes[0].text</t>
  </si>
  <si>
    <t>[1].data[8].year</t>
  </si>
  <si>
    <t>[1].data[8].period</t>
  </si>
  <si>
    <t>[1].data[8].periodName</t>
  </si>
  <si>
    <t>[1].data[8].value</t>
  </si>
  <si>
    <t>[1].data[8].footnotes[0].code</t>
  </si>
  <si>
    <t>[1].data[8].footnotes[0].text</t>
  </si>
  <si>
    <t>[1].data[9].year</t>
  </si>
  <si>
    <t>[1].data[9].period</t>
  </si>
  <si>
    <t>[1].data[9].periodName</t>
  </si>
  <si>
    <t>[1].data[9].value</t>
  </si>
  <si>
    <t>[1].data[9].footnotes[0].code</t>
  </si>
  <si>
    <t>[1].data[9].footnotes[0].text</t>
  </si>
  <si>
    <t>[1].data[10].year</t>
  </si>
  <si>
    <t>[1].data[10].period</t>
  </si>
  <si>
    <t>[1].data[10].periodName</t>
  </si>
  <si>
    <t>[1].data[10].value</t>
  </si>
  <si>
    <t>[1].data[10].footnotes[0].code</t>
  </si>
  <si>
    <t>[1].data[10].footnotes[0].text</t>
  </si>
  <si>
    <t>[1].data[11].year</t>
  </si>
  <si>
    <t>[1].data[11].period</t>
  </si>
  <si>
    <t>[1].data[11].periodName</t>
  </si>
  <si>
    <t>[1].data[11].value</t>
  </si>
  <si>
    <t>[1].data[11].footnotes[0].code</t>
  </si>
  <si>
    <t>[1].data[11].footnotes[0].text</t>
  </si>
  <si>
    <t>[1].data[12].year</t>
  </si>
  <si>
    <t>[1].data[12].period</t>
  </si>
  <si>
    <t>[1].data[12].periodName</t>
  </si>
  <si>
    <t>[1].data[12].value</t>
  </si>
  <si>
    <t>[1].data[12].footnotes[0].code</t>
  </si>
  <si>
    <t>[1].data[12].footnotes[0].text</t>
  </si>
  <si>
    <t>[1].data[13].year</t>
  </si>
  <si>
    <t>[1].data[13].period</t>
  </si>
  <si>
    <t>[1].data[13].periodName</t>
  </si>
  <si>
    <t>[1].data[13].value</t>
  </si>
  <si>
    <t>[1].data[13].footnotes[0].code</t>
  </si>
  <si>
    <t>[1].data[13].footnotes[0].text</t>
  </si>
  <si>
    <t>[1].data[14].year</t>
  </si>
  <si>
    <t>[1].data[14].period</t>
  </si>
  <si>
    <t>[1].data[14].periodName</t>
  </si>
  <si>
    <t>[1].data[14].value</t>
  </si>
  <si>
    <t>[1].data[14].footnotes[0].code</t>
  </si>
  <si>
    <t>[1].data[14].footnotes[0].text</t>
  </si>
  <si>
    <t>[1].data[15].year</t>
  </si>
  <si>
    <t>[1].data[15].period</t>
  </si>
  <si>
    <t>[1].data[15].periodName</t>
  </si>
  <si>
    <t>[1].data[15].value</t>
  </si>
  <si>
    <t>[1].data[15].footnotes[0].code</t>
  </si>
  <si>
    <t>[1].data[15].footnotes[0].text</t>
  </si>
  <si>
    <t>[1].data[16].year</t>
  </si>
  <si>
    <t>[1].data[16].period</t>
  </si>
  <si>
    <t>[1].data[16].periodName</t>
  </si>
  <si>
    <t>[1].data[16].value</t>
  </si>
  <si>
    <t>[1].data[16].footnotes[0].code</t>
  </si>
  <si>
    <t>[1].data[16].footnotes[0].text</t>
  </si>
  <si>
    <t>[1].data[17].year</t>
  </si>
  <si>
    <t>[1].data[17].period</t>
  </si>
  <si>
    <t>[1].data[17].periodName</t>
  </si>
  <si>
    <t>[1].data[17].value</t>
  </si>
  <si>
    <t>[1].data[17].footnotes[0].code</t>
  </si>
  <si>
    <t>[1].data[17].footnotes[0].text</t>
  </si>
  <si>
    <t>[1].data[18].year</t>
  </si>
  <si>
    <t>[1].data[18].period</t>
  </si>
  <si>
    <t>[1].data[18].periodName</t>
  </si>
  <si>
    <t>[1].data[18].value</t>
  </si>
  <si>
    <t>[1].data[18].footnotes[0].code</t>
  </si>
  <si>
    <t>[1].data[18].footnotes[0].text</t>
  </si>
  <si>
    <t>[1].data[19].year</t>
  </si>
  <si>
    <t>[1].data[19].period</t>
  </si>
  <si>
    <t>[1].data[19].periodName</t>
  </si>
  <si>
    <t>[1].data[19].value</t>
  </si>
  <si>
    <t>[1].data[19].footnotes[0].code</t>
  </si>
  <si>
    <t>[1].data[19].footnotes[0].text</t>
  </si>
  <si>
    <t>[1].data[20].year</t>
  </si>
  <si>
    <t>[1].data[20].period</t>
  </si>
  <si>
    <t>[1].data[20].periodName</t>
  </si>
  <si>
    <t>[1].data[20].value</t>
  </si>
  <si>
    <t>[1].data[20].footnotes[0].code</t>
  </si>
  <si>
    <t>[1].data[20].footnotes[0].text</t>
  </si>
  <si>
    <t>[1].data[21].year</t>
  </si>
  <si>
    <t>[1].data[21].period</t>
  </si>
  <si>
    <t>[1].data[21].periodName</t>
  </si>
  <si>
    <t>[1].data[21].value</t>
  </si>
  <si>
    <t>[1].data[21].footnotes[0].code</t>
  </si>
  <si>
    <t>[1].data[21].footnotes[0].text</t>
  </si>
  <si>
    <t>[1].data[22].year</t>
  </si>
  <si>
    <t>[1].data[22].period</t>
  </si>
  <si>
    <t>[1].data[22].periodName</t>
  </si>
  <si>
    <t>[1].data[22].value</t>
  </si>
  <si>
    <t>[1].data[22].footnotes[0].code</t>
  </si>
  <si>
    <t>[1].data[22].footnotes[0].text</t>
  </si>
  <si>
    <t>[1].data[23].year</t>
  </si>
  <si>
    <t>[1].data[23].period</t>
  </si>
  <si>
    <t>[1].data[23].periodName</t>
  </si>
  <si>
    <t>[1].data[23].value</t>
  </si>
  <si>
    <t>[1].data[23].footnotes[0].code</t>
  </si>
  <si>
    <t>[1].data[23].footnotes[0].text</t>
  </si>
  <si>
    <t>[1].data[24].year</t>
  </si>
  <si>
    <t>[1].data[24].period</t>
  </si>
  <si>
    <t>[1].data[24].periodName</t>
  </si>
  <si>
    <t>[1].data[24].value</t>
  </si>
  <si>
    <t>[1].data[24].footnotes[0].code</t>
  </si>
  <si>
    <t>[1].data[24].footnotes[0].text</t>
  </si>
  <si>
    <t>[1].data[25].year</t>
  </si>
  <si>
    <t>[1].data[25].period</t>
  </si>
  <si>
    <t>[1].data[25].periodName</t>
  </si>
  <si>
    <t>[1].data[25].value</t>
  </si>
  <si>
    <t>[1].data[25].footnotes[0].code</t>
  </si>
  <si>
    <t>[1].data[25].footnotes[0].text</t>
  </si>
  <si>
    <t>[1].data[26].year</t>
  </si>
  <si>
    <t>[1].data[26].period</t>
  </si>
  <si>
    <t>[1].data[26].periodName</t>
  </si>
  <si>
    <t>[1].data[26].value</t>
  </si>
  <si>
    <t>[1].data[26].footnotes[0].code</t>
  </si>
  <si>
    <t>[1].data[26].footnotes[0].text</t>
  </si>
  <si>
    <t>[1].data[27].year</t>
  </si>
  <si>
    <t>[1].data[27].period</t>
  </si>
  <si>
    <t>[1].data[27].periodName</t>
  </si>
  <si>
    <t>[1].data[27].value</t>
  </si>
  <si>
    <t>[1].data[27].footnotes[0].code</t>
  </si>
  <si>
    <t>[1].data[27].footnotes[0].text</t>
  </si>
  <si>
    <t>[1].data[28].year</t>
  </si>
  <si>
    <t>[1].data[28].period</t>
  </si>
  <si>
    <t>[1].data[28].periodName</t>
  </si>
  <si>
    <t>[1].data[28].value</t>
  </si>
  <si>
    <t>[1].data[28].footnotes[0].code</t>
  </si>
  <si>
    <t>[1].data[28].footnotes[0].text</t>
  </si>
  <si>
    <t>[1].data[29].year</t>
  </si>
  <si>
    <t>[1].data[29].period</t>
  </si>
  <si>
    <t>[1].data[29].periodName</t>
  </si>
  <si>
    <t>[1].data[29].value</t>
  </si>
  <si>
    <t>[1].data[29].footnotes[0].code</t>
  </si>
  <si>
    <t>[1].data[29].footnotes[0].text</t>
  </si>
  <si>
    <t>[1].data[30].year</t>
  </si>
  <si>
    <t>[1].data[30].period</t>
  </si>
  <si>
    <t>[1].data[30].periodName</t>
  </si>
  <si>
    <t>[1].data[30].value</t>
  </si>
  <si>
    <t>[1].data[30].footnotes[0].code</t>
  </si>
  <si>
    <t>[1].data[30].footnotes[0].text</t>
  </si>
  <si>
    <t>[1].data[31].year</t>
  </si>
  <si>
    <t>[1].data[31].period</t>
  </si>
  <si>
    <t>[1].data[31].periodName</t>
  </si>
  <si>
    <t>[1].data[31].value</t>
  </si>
  <si>
    <t>[1].data[31].footnotes[0].code</t>
  </si>
  <si>
    <t>[1].data[31].footnotes[0].text</t>
  </si>
  <si>
    <t>[1].data[32].year</t>
  </si>
  <si>
    <t>[1].data[32].period</t>
  </si>
  <si>
    <t>[1].data[32].periodName</t>
  </si>
  <si>
    <t>[1].data[32].value</t>
  </si>
  <si>
    <t>[1].data[32].footnotes[0].code</t>
  </si>
  <si>
    <t>[1].data[32].footnotes[0].text</t>
  </si>
  <si>
    <t>[1].data[33].year</t>
  </si>
  <si>
    <t>[1].data[33].period</t>
  </si>
  <si>
    <t>[1].data[33].periodName</t>
  </si>
  <si>
    <t>[1].data[33].value</t>
  </si>
  <si>
    <t>[1].data[33].footnotes[0].code</t>
  </si>
  <si>
    <t>[1].data[33].footnotes[0].text</t>
  </si>
  <si>
    <t>[1].data[34].year</t>
  </si>
  <si>
    <t>[1].data[34].period</t>
  </si>
  <si>
    <t>[1].data[34].periodName</t>
  </si>
  <si>
    <t>[1].data[34].value</t>
  </si>
  <si>
    <t>[1].data[34].footnotes[0].code</t>
  </si>
  <si>
    <t>[1].data[34].footnotes[0].text</t>
  </si>
  <si>
    <t>[1].data[35].year</t>
  </si>
  <si>
    <t>[1].data[35].period</t>
  </si>
  <si>
    <t>[1].data[35].periodName</t>
  </si>
  <si>
    <t>[1].data[35].value</t>
  </si>
  <si>
    <t>[1].data[35].footnotes[0].code</t>
  </si>
  <si>
    <t>[1].data[35].footnotes[0].text</t>
  </si>
  <si>
    <t>[1].data[36].year</t>
  </si>
  <si>
    <t>[1].data[36].period</t>
  </si>
  <si>
    <t>[1].data[36].periodName</t>
  </si>
  <si>
    <t>[1].data[36].value</t>
  </si>
  <si>
    <t>[1].data[36].footnotes[0].code</t>
  </si>
  <si>
    <t>[1].data[36].footnotes[0].text</t>
  </si>
  <si>
    <t>[1].data[37].year</t>
  </si>
  <si>
    <t>[1].data[37].period</t>
  </si>
  <si>
    <t>[1].data[37].periodName</t>
  </si>
  <si>
    <t>[1].data[37].value</t>
  </si>
  <si>
    <t>[1].data[37].footnotes[0].code</t>
  </si>
  <si>
    <t>[1].data[37].footnotes[0].text</t>
  </si>
  <si>
    <t>[1].data[38].year</t>
  </si>
  <si>
    <t>[1].data[38].period</t>
  </si>
  <si>
    <t>[1].data[38].periodName</t>
  </si>
  <si>
    <t>[1].data[38].value</t>
  </si>
  <si>
    <t>[1].data[38].footnotes[0].code</t>
  </si>
  <si>
    <t>[1].data[38].footnotes[0].text</t>
  </si>
  <si>
    <t>[1].data[39].year</t>
  </si>
  <si>
    <t>[1].data[39].period</t>
  </si>
  <si>
    <t>[1].data[39].periodName</t>
  </si>
  <si>
    <t>[1].data[39].value</t>
  </si>
  <si>
    <t>[1].data[39].footnotes[0].code</t>
  </si>
  <si>
    <t>[1].data[39].footnotes[0].text</t>
  </si>
  <si>
    <t>[1].data[40].year</t>
  </si>
  <si>
    <t>[1].data[40].period</t>
  </si>
  <si>
    <t>[1].data[40].periodName</t>
  </si>
  <si>
    <t>[1].data[40].value</t>
  </si>
  <si>
    <t>[1].data[40].footnotes[0].code</t>
  </si>
  <si>
    <t>[1].data[40].footnotes[0].text</t>
  </si>
  <si>
    <t>[1].data[41].year</t>
  </si>
  <si>
    <t>[1].data[41].period</t>
  </si>
  <si>
    <t>[1].data[41].periodName</t>
  </si>
  <si>
    <t>[1].data[41].value</t>
  </si>
  <si>
    <t>[1].data[41].footnotes[0].code</t>
  </si>
  <si>
    <t>[1].data[41].footnotes[0].text</t>
  </si>
  <si>
    <t>[1].data[42].year</t>
  </si>
  <si>
    <t>[1].data[42].period</t>
  </si>
  <si>
    <t>[1].data[42].periodName</t>
  </si>
  <si>
    <t>[1].data[42].value</t>
  </si>
  <si>
    <t>[1].data[42].footnotes[0].code</t>
  </si>
  <si>
    <t>[1].data[42].footnotes[0].text</t>
  </si>
  <si>
    <t>[1].data[43].year</t>
  </si>
  <si>
    <t>[1].data[43].period</t>
  </si>
  <si>
    <t>[1].data[43].periodName</t>
  </si>
  <si>
    <t>[1].data[43].value</t>
  </si>
  <si>
    <t>[1].data[43].footnotes[0].code</t>
  </si>
  <si>
    <t>[1].data[43].footnotes[0].text</t>
  </si>
  <si>
    <t>[1].data[44].year</t>
  </si>
  <si>
    <t>[1].data[44].period</t>
  </si>
  <si>
    <t>[1].data[44].periodName</t>
  </si>
  <si>
    <t>[1].data[44].value</t>
  </si>
  <si>
    <t>[1].data[44].footnotes[0].code</t>
  </si>
  <si>
    <t>[1].data[44].footnotes[0].text</t>
  </si>
  <si>
    <t>[1].data[45].year</t>
  </si>
  <si>
    <t>[1].data[45].period</t>
  </si>
  <si>
    <t>[1].data[45].periodName</t>
  </si>
  <si>
    <t>[1].data[45].value</t>
  </si>
  <si>
    <t>[1].data[45].footnotes[0].code</t>
  </si>
  <si>
    <t>[1].data[45].footnotes[0].text</t>
  </si>
  <si>
    <t>[1].data[46].year</t>
  </si>
  <si>
    <t>[1].data[46].period</t>
  </si>
  <si>
    <t>[1].data[46].periodName</t>
  </si>
  <si>
    <t>[1].data[46].value</t>
  </si>
  <si>
    <t>[1].data[46].footnotes[0].code</t>
  </si>
  <si>
    <t>[1].data[46].footnotes[0].text</t>
  </si>
  <si>
    <t>[1].data[47].year</t>
  </si>
  <si>
    <t>[1].data[47].period</t>
  </si>
  <si>
    <t>[1].data[47].periodName</t>
  </si>
  <si>
    <t>[1].data[47].value</t>
  </si>
  <si>
    <t>[1].data[47].footnotes[0].code</t>
  </si>
  <si>
    <t>[1].data[47].footnotes[0].text</t>
  </si>
  <si>
    <t>[1].data[48].year</t>
  </si>
  <si>
    <t>[1].data[48].period</t>
  </si>
  <si>
    <t>[1].data[48].periodName</t>
  </si>
  <si>
    <t>[1].data[48].value</t>
  </si>
  <si>
    <t>[1].data[48].footnotes[0].code</t>
  </si>
  <si>
    <t>[1].data[48].footnotes[0].text</t>
  </si>
  <si>
    <t>[1].data[49].year</t>
  </si>
  <si>
    <t>[1].data[49].period</t>
  </si>
  <si>
    <t>[1].data[49].periodName</t>
  </si>
  <si>
    <t>[1].data[49].value</t>
  </si>
  <si>
    <t>[1].data[49].footnotes[0].code</t>
  </si>
  <si>
    <t>[1].data[49].footnotes[0].text</t>
  </si>
  <si>
    <t>[1].data[50].year</t>
  </si>
  <si>
    <t>[1].data[50].period</t>
  </si>
  <si>
    <t>[1].data[50].periodName</t>
  </si>
  <si>
    <t>[1].data[50].value</t>
  </si>
  <si>
    <t>[1].data[50].footnotes[0].code</t>
  </si>
  <si>
    <t>[1].data[50].footnotes[0].text</t>
  </si>
  <si>
    <t>[1].data[51].year</t>
  </si>
  <si>
    <t>[1].data[51].period</t>
  </si>
  <si>
    <t>[1].data[51].periodName</t>
  </si>
  <si>
    <t>[1].data[51].value</t>
  </si>
  <si>
    <t>[1].data[51].footnotes[0].code</t>
  </si>
  <si>
    <t>[1].data[51].footnotes[0].text</t>
  </si>
  <si>
    <t>[1].data[52].year</t>
  </si>
  <si>
    <t>[1].data[52].period</t>
  </si>
  <si>
    <t>[1].data[52].periodName</t>
  </si>
  <si>
    <t>[1].data[52].value</t>
  </si>
  <si>
    <t>[1].data[52].footnotes[0].code</t>
  </si>
  <si>
    <t>[1].data[52].footnotes[0].text</t>
  </si>
  <si>
    <t>[1].data[53].year</t>
  </si>
  <si>
    <t>[1].data[53].period</t>
  </si>
  <si>
    <t>[1].data[53].periodName</t>
  </si>
  <si>
    <t>[1].data[53].value</t>
  </si>
  <si>
    <t>[1].data[53].footnotes[0].code</t>
  </si>
  <si>
    <t>[1].data[53].footnotes[0].text</t>
  </si>
  <si>
    <t>[1].data[54].year</t>
  </si>
  <si>
    <t>[1].data[54].period</t>
  </si>
  <si>
    <t>[1].data[54].periodName</t>
  </si>
  <si>
    <t>[1].data[54].value</t>
  </si>
  <si>
    <t>[1].data[54].footnotes[0].code</t>
  </si>
  <si>
    <t>[1].data[54].footnotes[0].text</t>
  </si>
  <si>
    <t>[1].data[55].year</t>
  </si>
  <si>
    <t>[1].data[55].period</t>
  </si>
  <si>
    <t>[1].data[55].periodName</t>
  </si>
  <si>
    <t>[1].data[55].value</t>
  </si>
  <si>
    <t>[1].data[55].footnotes[0].code</t>
  </si>
  <si>
    <t>[1].data[55].footnotes[0].text</t>
  </si>
  <si>
    <t>[1].data[56].year</t>
  </si>
  <si>
    <t>[1].data[56].period</t>
  </si>
  <si>
    <t>[1].data[56].periodName</t>
  </si>
  <si>
    <t>[1].data[56].value</t>
  </si>
  <si>
    <t>[1].data[56].footnotes[0].code</t>
  </si>
  <si>
    <t>[1].data[56].footnotes[0].text</t>
  </si>
  <si>
    <t>[1].data[57].year</t>
  </si>
  <si>
    <t>[1].data[57].period</t>
  </si>
  <si>
    <t>[1].data[57].periodName</t>
  </si>
  <si>
    <t>[1].data[57].value</t>
  </si>
  <si>
    <t>[1].data[57].footnotes[0].code</t>
  </si>
  <si>
    <t>[1].data[57].footnotes[0].text</t>
  </si>
  <si>
    <t>[1].data[58].year</t>
  </si>
  <si>
    <t>[1].data[58].period</t>
  </si>
  <si>
    <t>[1].data[58].periodName</t>
  </si>
  <si>
    <t>[1].data[58].value</t>
  </si>
  <si>
    <t>[1].data[58].footnotes[0].code</t>
  </si>
  <si>
    <t>[1].data[58].footnotes[0].text</t>
  </si>
  <si>
    <t>[1].data[59].year</t>
  </si>
  <si>
    <t>[1].data[59].period</t>
  </si>
  <si>
    <t>[1].data[59].periodName</t>
  </si>
  <si>
    <t>[1].data[59].value</t>
  </si>
  <si>
    <t>[1].data[59].footnotes[0].code</t>
  </si>
  <si>
    <t>[1].data[59].footnotes[0].text</t>
  </si>
  <si>
    <t>[1].data[60].year</t>
  </si>
  <si>
    <t>[1].data[60].period</t>
  </si>
  <si>
    <t>[1].data[60].periodName</t>
  </si>
  <si>
    <t>[1].data[60].value</t>
  </si>
  <si>
    <t>[1].data[60].footnotes[0].code</t>
  </si>
  <si>
    <t>[1].data[60].footnotes[0].text</t>
  </si>
  <si>
    <t>[1].data[61].year</t>
  </si>
  <si>
    <t>[1].data[61].period</t>
  </si>
  <si>
    <t>[1].data[61].periodName</t>
  </si>
  <si>
    <t>[1].data[61].value</t>
  </si>
  <si>
    <t>[1].data[61].footnotes[0].code</t>
  </si>
  <si>
    <t>[1].data[61].footnotes[0].text</t>
  </si>
  <si>
    <t>[1].data[62].year</t>
  </si>
  <si>
    <t>[1].data[62].period</t>
  </si>
  <si>
    <t>[1].data[62].periodName</t>
  </si>
  <si>
    <t>[1].data[62].value</t>
  </si>
  <si>
    <t>[1].data[62].footnotes[0].code</t>
  </si>
  <si>
    <t>[1].data[62].footnotes[0].text</t>
  </si>
  <si>
    <t>[1].data[63].year</t>
  </si>
  <si>
    <t>[1].data[63].period</t>
  </si>
  <si>
    <t>[1].data[63].periodName</t>
  </si>
  <si>
    <t>[1].data[63].value</t>
  </si>
  <si>
    <t>[1].data[63].footnotes[0].code</t>
  </si>
  <si>
    <t>[1].data[63].footnotes[0].text</t>
  </si>
  <si>
    <t>[1].data[64].year</t>
  </si>
  <si>
    <t>[1].data[64].period</t>
  </si>
  <si>
    <t>[1].data[64].periodName</t>
  </si>
  <si>
    <t>[1].data[64].value</t>
  </si>
  <si>
    <t>[1].data[64].footnotes[0].code</t>
  </si>
  <si>
    <t>[1].data[64].footnotes[0].text</t>
  </si>
  <si>
    <t>[1].data[65].year</t>
  </si>
  <si>
    <t>[1].data[65].period</t>
  </si>
  <si>
    <t>[1].data[65].periodName</t>
  </si>
  <si>
    <t>[1].data[65].value</t>
  </si>
  <si>
    <t>[1].data[65].footnotes[0].code</t>
  </si>
  <si>
    <t>[1].data[65].footnotes[0].text</t>
  </si>
  <si>
    <t>[1].data[66].year</t>
  </si>
  <si>
    <t>[1].data[66].period</t>
  </si>
  <si>
    <t>[1].data[66].periodName</t>
  </si>
  <si>
    <t>[1].data[66].value</t>
  </si>
  <si>
    <t>[1].data[66].footnotes[0].code</t>
  </si>
  <si>
    <t>[1].data[66].footnotes[0].text</t>
  </si>
  <si>
    <t>[1].data[67].year</t>
  </si>
  <si>
    <t>[1].data[67].period</t>
  </si>
  <si>
    <t>[1].data[67].periodName</t>
  </si>
  <si>
    <t>[1].data[67].value</t>
  </si>
  <si>
    <t>[1].data[67].footnotes[0].code</t>
  </si>
  <si>
    <t>[1].data[67].footnotes[0].text</t>
  </si>
  <si>
    <t>[1].data[68].year</t>
  </si>
  <si>
    <t>[1].data[68].period</t>
  </si>
  <si>
    <t>[1].data[68].periodName</t>
  </si>
  <si>
    <t>[1].data[68].value</t>
  </si>
  <si>
    <t>[1].data[68].footnotes[0].code</t>
  </si>
  <si>
    <t>[1].data[68].footnotes[0].text</t>
  </si>
  <si>
    <t>[1].data[69].year</t>
  </si>
  <si>
    <t>[1].data[69].period</t>
  </si>
  <si>
    <t>[1].data[69].periodName</t>
  </si>
  <si>
    <t>[1].data[69].value</t>
  </si>
  <si>
    <t>[1].data[69].footnotes[0].code</t>
  </si>
  <si>
    <t>[1].data[69].footnotes[0].text</t>
  </si>
  <si>
    <t>[1].data[70].year</t>
  </si>
  <si>
    <t>[1].data[70].period</t>
  </si>
  <si>
    <t>[1].data[70].periodName</t>
  </si>
  <si>
    <t>[1].data[70].value</t>
  </si>
  <si>
    <t>[1].data[70].footnotes[0].code</t>
  </si>
  <si>
    <t>[1].data[70].footnotes[0].text</t>
  </si>
  <si>
    <t>[1].data[71].year</t>
  </si>
  <si>
    <t>[1].data[71].period</t>
  </si>
  <si>
    <t>[1].data[71].periodName</t>
  </si>
  <si>
    <t>[1].data[71].value</t>
  </si>
  <si>
    <t>[1].data[71].footnotes[0].code</t>
  </si>
  <si>
    <t>[1].data[71].footnotes[0].text</t>
  </si>
  <si>
    <t>[1].data[72].year</t>
  </si>
  <si>
    <t>[1].data[72].period</t>
  </si>
  <si>
    <t>[1].data[72].periodName</t>
  </si>
  <si>
    <t>[1].data[72].value</t>
  </si>
  <si>
    <t>[1].data[72].footnotes[0].code</t>
  </si>
  <si>
    <t>[1].data[72].footnotes[0].text</t>
  </si>
  <si>
    <t>[1].data[73].year</t>
  </si>
  <si>
    <t>[1].data[73].period</t>
  </si>
  <si>
    <t>[1].data[73].periodName</t>
  </si>
  <si>
    <t>[1].data[73].value</t>
  </si>
  <si>
    <t>[1].data[73].footnotes[0].code</t>
  </si>
  <si>
    <t>[1].data[73].footnotes[0].text</t>
  </si>
  <si>
    <t>[1].data[74].year</t>
  </si>
  <si>
    <t>[1].data[74].period</t>
  </si>
  <si>
    <t>[1].data[74].periodName</t>
  </si>
  <si>
    <t>[1].data[74].value</t>
  </si>
  <si>
    <t>[1].data[74].footnotes[0].code</t>
  </si>
  <si>
    <t>[1].data[74].footnotes[0].text</t>
  </si>
  <si>
    <t>[1].data[75].year</t>
  </si>
  <si>
    <t>[1].data[75].period</t>
  </si>
  <si>
    <t>[1].data[75].periodName</t>
  </si>
  <si>
    <t>[1].data[75].value</t>
  </si>
  <si>
    <t>[1].data[75].footnotes[0].code</t>
  </si>
  <si>
    <t>[1].data[75].footnotes[0].text</t>
  </si>
  <si>
    <t>[1].data[76].year</t>
  </si>
  <si>
    <t>[1].data[76].period</t>
  </si>
  <si>
    <t>[1].data[76].periodName</t>
  </si>
  <si>
    <t>[1].data[76].value</t>
  </si>
  <si>
    <t>[1].data[76].footnotes[0].code</t>
  </si>
  <si>
    <t>[1].data[76].footnotes[0].text</t>
  </si>
  <si>
    <t>[1].data[77].year</t>
  </si>
  <si>
    <t>[1].data[77].period</t>
  </si>
  <si>
    <t>[1].data[77].periodName</t>
  </si>
  <si>
    <t>[1].data[77].value</t>
  </si>
  <si>
    <t>[1].data[77].footnotes[0].code</t>
  </si>
  <si>
    <t>[1].data[77].footnotes[0].text</t>
  </si>
  <si>
    <t>[2].seriesID</t>
  </si>
  <si>
    <t>[2].catalog.series_title</t>
  </si>
  <si>
    <t>[2].catalog.series_id</t>
  </si>
  <si>
    <t>[2].catalog.seasonality</t>
  </si>
  <si>
    <t>[2].catalog.survey_name</t>
  </si>
  <si>
    <t>[2].catalog.survey_abbreviation</t>
  </si>
  <si>
    <t>[2].catalog.measure_data_type</t>
  </si>
  <si>
    <t>[2].catalog.area</t>
  </si>
  <si>
    <t>[2].catalog.area_type</t>
  </si>
  <si>
    <t>[2].data[0].year</t>
  </si>
  <si>
    <t>[2].data[0].period</t>
  </si>
  <si>
    <t>[2].data[0].periodName</t>
  </si>
  <si>
    <t>[2].data[0].latest</t>
  </si>
  <si>
    <t>[2].data[0].value</t>
  </si>
  <si>
    <t>[2].data[0].footnotes[0].code</t>
  </si>
  <si>
    <t>[2].data[0].footnotes[0].text</t>
  </si>
  <si>
    <t>[2].data[1].year</t>
  </si>
  <si>
    <t>[2].data[1].period</t>
  </si>
  <si>
    <t>[2].data[1].periodName</t>
  </si>
  <si>
    <t>[2].data[1].value</t>
  </si>
  <si>
    <t>[2].data[2].year</t>
  </si>
  <si>
    <t>[2].data[2].period</t>
  </si>
  <si>
    <t>[2].data[2].periodName</t>
  </si>
  <si>
    <t>[2].data[2].value</t>
  </si>
  <si>
    <t>[2].data[3].year</t>
  </si>
  <si>
    <t>[2].data[3].period</t>
  </si>
  <si>
    <t>[2].data[3].periodName</t>
  </si>
  <si>
    <t>[2].data[3].value</t>
  </si>
  <si>
    <t>[2].data[4].year</t>
  </si>
  <si>
    <t>[2].data[4].period</t>
  </si>
  <si>
    <t>[2].data[4].periodName</t>
  </si>
  <si>
    <t>[2].data[4].value</t>
  </si>
  <si>
    <t>[2].data[5].year</t>
  </si>
  <si>
    <t>[2].data[5].period</t>
  </si>
  <si>
    <t>[2].data[5].periodName</t>
  </si>
  <si>
    <t>[2].data[5].value</t>
  </si>
  <si>
    <t>[2].data[6].year</t>
  </si>
  <si>
    <t>[2].data[6].period</t>
  </si>
  <si>
    <t>[2].data[6].periodName</t>
  </si>
  <si>
    <t>[2].data[6].value</t>
  </si>
  <si>
    <t>[2].data[7].year</t>
  </si>
  <si>
    <t>[2].data[7].period</t>
  </si>
  <si>
    <t>[2].data[7].periodName</t>
  </si>
  <si>
    <t>[2].data[7].value</t>
  </si>
  <si>
    <t>[2].data[8].year</t>
  </si>
  <si>
    <t>[2].data[8].period</t>
  </si>
  <si>
    <t>[2].data[8].periodName</t>
  </si>
  <si>
    <t>[2].data[8].value</t>
  </si>
  <si>
    <t>[2].data[9].year</t>
  </si>
  <si>
    <t>[2].data[9].period</t>
  </si>
  <si>
    <t>[2].data[9].periodName</t>
  </si>
  <si>
    <t>[2].data[9].value</t>
  </si>
  <si>
    <t>[2].data[10].year</t>
  </si>
  <si>
    <t>[2].data[10].period</t>
  </si>
  <si>
    <t>[2].data[10].periodName</t>
  </si>
  <si>
    <t>[2].data[10].value</t>
  </si>
  <si>
    <t>[2].data[11].year</t>
  </si>
  <si>
    <t>[2].data[11].period</t>
  </si>
  <si>
    <t>[2].data[11].periodName</t>
  </si>
  <si>
    <t>[2].data[11].value</t>
  </si>
  <si>
    <t>[2].data[12].year</t>
  </si>
  <si>
    <t>[2].data[12].period</t>
  </si>
  <si>
    <t>[2].data[12].periodName</t>
  </si>
  <si>
    <t>[2].data[12].value</t>
  </si>
  <si>
    <t>[2].data[13].year</t>
  </si>
  <si>
    <t>[2].data[13].period</t>
  </si>
  <si>
    <t>[2].data[13].periodName</t>
  </si>
  <si>
    <t>[2].data[13].value</t>
  </si>
  <si>
    <t>[2].data[14].year</t>
  </si>
  <si>
    <t>[2].data[14].period</t>
  </si>
  <si>
    <t>[2].data[14].periodName</t>
  </si>
  <si>
    <t>[2].data[14].value</t>
  </si>
  <si>
    <t>[2].data[15].year</t>
  </si>
  <si>
    <t>[2].data[15].period</t>
  </si>
  <si>
    <t>[2].data[15].periodName</t>
  </si>
  <si>
    <t>[2].data[15].value</t>
  </si>
  <si>
    <t>[2].data[16].year</t>
  </si>
  <si>
    <t>[2].data[16].period</t>
  </si>
  <si>
    <t>[2].data[16].periodName</t>
  </si>
  <si>
    <t>[2].data[16].value</t>
  </si>
  <si>
    <t>[2].data[17].year</t>
  </si>
  <si>
    <t>[2].data[17].period</t>
  </si>
  <si>
    <t>[2].data[17].periodName</t>
  </si>
  <si>
    <t>[2].data[17].value</t>
  </si>
  <si>
    <t>[2].data[18].year</t>
  </si>
  <si>
    <t>[2].data[18].period</t>
  </si>
  <si>
    <t>[2].data[18].periodName</t>
  </si>
  <si>
    <t>[2].data[18].value</t>
  </si>
  <si>
    <t>[2].data[19].year</t>
  </si>
  <si>
    <t>[2].data[19].period</t>
  </si>
  <si>
    <t>[2].data[19].periodName</t>
  </si>
  <si>
    <t>[2].data[19].value</t>
  </si>
  <si>
    <t>[2].data[20].year</t>
  </si>
  <si>
    <t>[2].data[20].period</t>
  </si>
  <si>
    <t>[2].data[20].periodName</t>
  </si>
  <si>
    <t>[2].data[20].value</t>
  </si>
  <si>
    <t>[2].data[21].year</t>
  </si>
  <si>
    <t>[2].data[21].period</t>
  </si>
  <si>
    <t>[2].data[21].periodName</t>
  </si>
  <si>
    <t>[2].data[21].value</t>
  </si>
  <si>
    <t>[2].data[22].year</t>
  </si>
  <si>
    <t>[2].data[22].period</t>
  </si>
  <si>
    <t>[2].data[22].periodName</t>
  </si>
  <si>
    <t>[2].data[22].value</t>
  </si>
  <si>
    <t>[2].data[23].year</t>
  </si>
  <si>
    <t>[2].data[23].period</t>
  </si>
  <si>
    <t>[2].data[23].periodName</t>
  </si>
  <si>
    <t>[2].data[23].value</t>
  </si>
  <si>
    <t>[2].data[24].year</t>
  </si>
  <si>
    <t>[2].data[24].period</t>
  </si>
  <si>
    <t>[2].data[24].periodName</t>
  </si>
  <si>
    <t>[2].data[24].value</t>
  </si>
  <si>
    <t>[2].data[25].year</t>
  </si>
  <si>
    <t>[2].data[25].period</t>
  </si>
  <si>
    <t>[2].data[25].periodName</t>
  </si>
  <si>
    <t>[2].data[25].value</t>
  </si>
  <si>
    <t>[2].data[26].year</t>
  </si>
  <si>
    <t>[2].data[26].period</t>
  </si>
  <si>
    <t>[2].data[26].periodName</t>
  </si>
  <si>
    <t>[2].data[26].value</t>
  </si>
  <si>
    <t>[2].data[27].year</t>
  </si>
  <si>
    <t>[2].data[27].period</t>
  </si>
  <si>
    <t>[2].data[27].periodName</t>
  </si>
  <si>
    <t>[2].data[27].value</t>
  </si>
  <si>
    <t>[2].data[28].year</t>
  </si>
  <si>
    <t>[2].data[28].period</t>
  </si>
  <si>
    <t>[2].data[28].periodName</t>
  </si>
  <si>
    <t>[2].data[28].value</t>
  </si>
  <si>
    <t>[2].data[29].year</t>
  </si>
  <si>
    <t>[2].data[29].period</t>
  </si>
  <si>
    <t>[2].data[29].periodName</t>
  </si>
  <si>
    <t>[2].data[29].value</t>
  </si>
  <si>
    <t>[2].data[30].year</t>
  </si>
  <si>
    <t>[2].data[30].period</t>
  </si>
  <si>
    <t>[2].data[30].periodName</t>
  </si>
  <si>
    <t>[2].data[30].value</t>
  </si>
  <si>
    <t>[2].data[31].year</t>
  </si>
  <si>
    <t>[2].data[31].period</t>
  </si>
  <si>
    <t>[2].data[31].periodName</t>
  </si>
  <si>
    <t>[2].data[31].value</t>
  </si>
  <si>
    <t>[2].data[32].year</t>
  </si>
  <si>
    <t>[2].data[32].period</t>
  </si>
  <si>
    <t>[2].data[32].periodName</t>
  </si>
  <si>
    <t>[2].data[32].value</t>
  </si>
  <si>
    <t>[2].data[33].year</t>
  </si>
  <si>
    <t>[2].data[33].period</t>
  </si>
  <si>
    <t>[2].data[33].periodName</t>
  </si>
  <si>
    <t>[2].data[33].value</t>
  </si>
  <si>
    <t>[2].data[34].year</t>
  </si>
  <si>
    <t>[2].data[34].period</t>
  </si>
  <si>
    <t>[2].data[34].periodName</t>
  </si>
  <si>
    <t>[2].data[34].value</t>
  </si>
  <si>
    <t>[2].data[35].year</t>
  </si>
  <si>
    <t>[2].data[35].period</t>
  </si>
  <si>
    <t>[2].data[35].periodName</t>
  </si>
  <si>
    <t>[2].data[35].value</t>
  </si>
  <si>
    <t>[2].data[36].year</t>
  </si>
  <si>
    <t>[2].data[36].period</t>
  </si>
  <si>
    <t>[2].data[36].periodName</t>
  </si>
  <si>
    <t>[2].data[36].value</t>
  </si>
  <si>
    <t>[2].data[37].year</t>
  </si>
  <si>
    <t>[2].data[37].period</t>
  </si>
  <si>
    <t>[2].data[37].periodName</t>
  </si>
  <si>
    <t>[2].data[37].value</t>
  </si>
  <si>
    <t>[2].data[38].year</t>
  </si>
  <si>
    <t>[2].data[38].period</t>
  </si>
  <si>
    <t>[2].data[38].periodName</t>
  </si>
  <si>
    <t>[2].data[38].value</t>
  </si>
  <si>
    <t>[2].data[39].year</t>
  </si>
  <si>
    <t>[2].data[39].period</t>
  </si>
  <si>
    <t>[2].data[39].periodName</t>
  </si>
  <si>
    <t>[2].data[39].value</t>
  </si>
  <si>
    <t>[2].data[40].year</t>
  </si>
  <si>
    <t>[2].data[40].period</t>
  </si>
  <si>
    <t>[2].data[40].periodName</t>
  </si>
  <si>
    <t>[2].data[40].value</t>
  </si>
  <si>
    <t>[2].data[41].year</t>
  </si>
  <si>
    <t>[2].data[41].period</t>
  </si>
  <si>
    <t>[2].data[41].periodName</t>
  </si>
  <si>
    <t>[2].data[41].value</t>
  </si>
  <si>
    <t>[2].data[42].year</t>
  </si>
  <si>
    <t>[2].data[42].period</t>
  </si>
  <si>
    <t>[2].data[42].periodName</t>
  </si>
  <si>
    <t>[2].data[42].value</t>
  </si>
  <si>
    <t>[2].data[43].year</t>
  </si>
  <si>
    <t>[2].data[43].period</t>
  </si>
  <si>
    <t>[2].data[43].periodName</t>
  </si>
  <si>
    <t>[2].data[43].value</t>
  </si>
  <si>
    <t>[2].data[44].year</t>
  </si>
  <si>
    <t>[2].data[44].period</t>
  </si>
  <si>
    <t>[2].data[44].periodName</t>
  </si>
  <si>
    <t>[2].data[44].value</t>
  </si>
  <si>
    <t>[2].data[45].year</t>
  </si>
  <si>
    <t>[2].data[45].period</t>
  </si>
  <si>
    <t>[2].data[45].periodName</t>
  </si>
  <si>
    <t>[2].data[45].value</t>
  </si>
  <si>
    <t>[2].data[46].year</t>
  </si>
  <si>
    <t>[2].data[46].period</t>
  </si>
  <si>
    <t>[2].data[46].periodName</t>
  </si>
  <si>
    <t>[2].data[46].value</t>
  </si>
  <si>
    <t>[2].data[47].year</t>
  </si>
  <si>
    <t>[2].data[47].period</t>
  </si>
  <si>
    <t>[2].data[47].periodName</t>
  </si>
  <si>
    <t>[2].data[47].value</t>
  </si>
  <si>
    <t>[2].data[48].year</t>
  </si>
  <si>
    <t>[2].data[48].period</t>
  </si>
  <si>
    <t>[2].data[48].periodName</t>
  </si>
  <si>
    <t>[2].data[48].value</t>
  </si>
  <si>
    <t>[2].data[49].year</t>
  </si>
  <si>
    <t>[2].data[49].period</t>
  </si>
  <si>
    <t>[2].data[49].periodName</t>
  </si>
  <si>
    <t>[2].data[49].value</t>
  </si>
  <si>
    <t>[2].data[50].year</t>
  </si>
  <si>
    <t>[2].data[50].period</t>
  </si>
  <si>
    <t>[2].data[50].periodName</t>
  </si>
  <si>
    <t>[2].data[50].value</t>
  </si>
  <si>
    <t>[2].data[51].year</t>
  </si>
  <si>
    <t>[2].data[51].period</t>
  </si>
  <si>
    <t>[2].data[51].periodName</t>
  </si>
  <si>
    <t>[2].data[51].value</t>
  </si>
  <si>
    <t>[2].data[52].year</t>
  </si>
  <si>
    <t>[2].data[52].period</t>
  </si>
  <si>
    <t>[2].data[52].periodName</t>
  </si>
  <si>
    <t>[2].data[52].value</t>
  </si>
  <si>
    <t>[2].data[53].year</t>
  </si>
  <si>
    <t>[2].data[53].period</t>
  </si>
  <si>
    <t>[2].data[53].periodName</t>
  </si>
  <si>
    <t>[2].data[53].value</t>
  </si>
  <si>
    <t>[2].data[54].year</t>
  </si>
  <si>
    <t>[2].data[54].period</t>
  </si>
  <si>
    <t>[2].data[54].periodName</t>
  </si>
  <si>
    <t>[2].data[54].value</t>
  </si>
  <si>
    <t>[2].data[55].year</t>
  </si>
  <si>
    <t>[2].data[55].period</t>
  </si>
  <si>
    <t>[2].data[55].periodName</t>
  </si>
  <si>
    <t>[2].data[55].value</t>
  </si>
  <si>
    <t>[2].data[56].year</t>
  </si>
  <si>
    <t>[2].data[56].period</t>
  </si>
  <si>
    <t>[2].data[56].periodName</t>
  </si>
  <si>
    <t>[2].data[56].value</t>
  </si>
  <si>
    <t>[2].data[57].year</t>
  </si>
  <si>
    <t>[2].data[57].period</t>
  </si>
  <si>
    <t>[2].data[57].periodName</t>
  </si>
  <si>
    <t>[2].data[57].value</t>
  </si>
  <si>
    <t>[2].data[58].year</t>
  </si>
  <si>
    <t>[2].data[58].period</t>
  </si>
  <si>
    <t>[2].data[58].periodName</t>
  </si>
  <si>
    <t>[2].data[58].value</t>
  </si>
  <si>
    <t>[2].data[59].year</t>
  </si>
  <si>
    <t>[2].data[59].period</t>
  </si>
  <si>
    <t>[2].data[59].periodName</t>
  </si>
  <si>
    <t>[2].data[59].value</t>
  </si>
  <si>
    <t>[2].data[60].year</t>
  </si>
  <si>
    <t>[2].data[60].period</t>
  </si>
  <si>
    <t>[2].data[60].periodName</t>
  </si>
  <si>
    <t>[2].data[60].value</t>
  </si>
  <si>
    <t>[2].data[61].year</t>
  </si>
  <si>
    <t>[2].data[61].period</t>
  </si>
  <si>
    <t>[2].data[61].periodName</t>
  </si>
  <si>
    <t>[2].data[61].value</t>
  </si>
  <si>
    <t>[2].data[62].year</t>
  </si>
  <si>
    <t>[2].data[62].period</t>
  </si>
  <si>
    <t>[2].data[62].periodName</t>
  </si>
  <si>
    <t>[2].data[62].value</t>
  </si>
  <si>
    <t>[2].data[63].year</t>
  </si>
  <si>
    <t>[2].data[63].period</t>
  </si>
  <si>
    <t>[2].data[63].periodName</t>
  </si>
  <si>
    <t>[2].data[63].value</t>
  </si>
  <si>
    <t>[2].data[64].year</t>
  </si>
  <si>
    <t>[2].data[64].period</t>
  </si>
  <si>
    <t>[2].data[64].periodName</t>
  </si>
  <si>
    <t>[2].data[64].value</t>
  </si>
  <si>
    <t>[2].data[65].year</t>
  </si>
  <si>
    <t>[2].data[65].period</t>
  </si>
  <si>
    <t>[2].data[65].periodName</t>
  </si>
  <si>
    <t>[2].data[65].value</t>
  </si>
  <si>
    <t>[2].data[66].year</t>
  </si>
  <si>
    <t>[2].data[66].period</t>
  </si>
  <si>
    <t>[2].data[66].periodName</t>
  </si>
  <si>
    <t>[2].data[66].value</t>
  </si>
  <si>
    <t>[2].data[67].year</t>
  </si>
  <si>
    <t>[2].data[67].period</t>
  </si>
  <si>
    <t>[2].data[67].periodName</t>
  </si>
  <si>
    <t>[2].data[67].value</t>
  </si>
  <si>
    <t>[2].data[68].year</t>
  </si>
  <si>
    <t>[2].data[68].period</t>
  </si>
  <si>
    <t>[2].data[68].periodName</t>
  </si>
  <si>
    <t>[2].data[68].value</t>
  </si>
  <si>
    <t>[2].data[69].year</t>
  </si>
  <si>
    <t>[2].data[69].period</t>
  </si>
  <si>
    <t>[2].data[69].periodName</t>
  </si>
  <si>
    <t>[2].data[69].value</t>
  </si>
  <si>
    <t>[2].data[70].year</t>
  </si>
  <si>
    <t>[2].data[70].period</t>
  </si>
  <si>
    <t>[2].data[70].periodName</t>
  </si>
  <si>
    <t>[2].data[70].value</t>
  </si>
  <si>
    <t>[2].data[71].year</t>
  </si>
  <si>
    <t>[2].data[71].period</t>
  </si>
  <si>
    <t>[2].data[71].periodName</t>
  </si>
  <si>
    <t>[2].data[71].value</t>
  </si>
  <si>
    <t>[2].data[72].year</t>
  </si>
  <si>
    <t>[2].data[72].period</t>
  </si>
  <si>
    <t>[2].data[72].periodName</t>
  </si>
  <si>
    <t>[2].data[72].value</t>
  </si>
  <si>
    <t>[2].data[73].year</t>
  </si>
  <si>
    <t>[2].data[73].period</t>
  </si>
  <si>
    <t>[2].data[73].periodName</t>
  </si>
  <si>
    <t>[2].data[73].value</t>
  </si>
  <si>
    <t>[2].data[74].year</t>
  </si>
  <si>
    <t>[2].data[74].period</t>
  </si>
  <si>
    <t>[2].data[74].periodName</t>
  </si>
  <si>
    <t>[2].data[74].value</t>
  </si>
  <si>
    <t>[2].data[75].year</t>
  </si>
  <si>
    <t>[2].data[75].period</t>
  </si>
  <si>
    <t>[2].data[75].periodName</t>
  </si>
  <si>
    <t>[2].data[75].value</t>
  </si>
  <si>
    <t>[2].data[76].year</t>
  </si>
  <si>
    <t>[2].data[76].period</t>
  </si>
  <si>
    <t>[2].data[76].periodName</t>
  </si>
  <si>
    <t>[2].data[76].value</t>
  </si>
  <si>
    <t>[3].seriesID</t>
  </si>
  <si>
    <t>LAUST120000000000003</t>
  </si>
  <si>
    <t>Unemployment Rate: Florida (U)</t>
  </si>
  <si>
    <t>Local Area Unemployment Statistics</t>
  </si>
  <si>
    <t>unemployment rate</t>
  </si>
  <si>
    <t>Statewide</t>
  </si>
  <si>
    <t>R</t>
  </si>
  <si>
    <t>Data were subject to revision on March 5, 2025.</t>
  </si>
  <si>
    <t>LAUMT121598000000003</t>
  </si>
  <si>
    <t>Unemployment Rate: Cape Coral-Fort Myers, FL Metropolitan Statistical Area (U)</t>
  </si>
  <si>
    <t>Cape Coral-Fort Myers, FL Metropolitan Statistical Area</t>
  </si>
  <si>
    <t>Metropolitan areas</t>
  </si>
  <si>
    <t>P</t>
  </si>
  <si>
    <t>Preliminary.</t>
  </si>
  <si>
    <t>Cape Coral city</t>
  </si>
  <si>
    <t>Lee County</t>
  </si>
  <si>
    <t>2024 Q4</t>
  </si>
  <si>
    <t>2024 Q3</t>
  </si>
  <si>
    <t>2024 Q2</t>
  </si>
  <si>
    <t>2024 Q1</t>
  </si>
  <si>
    <t>2023 Q4</t>
  </si>
  <si>
    <t>2023 Q3</t>
  </si>
  <si>
    <t>2023 Q2</t>
  </si>
  <si>
    <t>2023 Q1</t>
  </si>
  <si>
    <t>2022 Q4</t>
  </si>
  <si>
    <t>2022 Q3</t>
  </si>
  <si>
    <t>2022 Q2</t>
  </si>
  <si>
    <t>2022 Q1</t>
  </si>
  <si>
    <t>2021 Q4</t>
  </si>
  <si>
    <t>2021 Q3</t>
  </si>
  <si>
    <t>2021 Q2</t>
  </si>
  <si>
    <t>2021 Q1</t>
  </si>
  <si>
    <t>2020 Q4</t>
  </si>
  <si>
    <t>2020 Q3</t>
  </si>
  <si>
    <t>2020 Q2</t>
  </si>
  <si>
    <t>2020 Q1</t>
  </si>
  <si>
    <t>2019 Q4</t>
  </si>
  <si>
    <t>2019 Q3</t>
  </si>
  <si>
    <t>2019 Q2</t>
  </si>
  <si>
    <t>2019 Q1</t>
  </si>
  <si>
    <t>2018 Q4</t>
  </si>
  <si>
    <t>2018 Q3</t>
  </si>
  <si>
    <t>2018 Q2</t>
  </si>
  <si>
    <t>2018 Q1</t>
  </si>
  <si>
    <t>2017 Q4</t>
  </si>
  <si>
    <t>2017 Q3</t>
  </si>
  <si>
    <t>2017 Q2</t>
  </si>
  <si>
    <t>2017 Q1</t>
  </si>
  <si>
    <t>2016 Q4</t>
  </si>
  <si>
    <t>2016 Q3</t>
  </si>
  <si>
    <t>2016 Q2</t>
  </si>
  <si>
    <t>2016 Q1</t>
  </si>
  <si>
    <t>2015 Q4</t>
  </si>
  <si>
    <t>2015 Q3</t>
  </si>
  <si>
    <t>2015 Q2</t>
  </si>
  <si>
    <t>2015 Q1</t>
  </si>
  <si>
    <t>2014 Q4</t>
  </si>
  <si>
    <t>2014 Q3</t>
  </si>
  <si>
    <t>2014 Q2</t>
  </si>
  <si>
    <t>2014 Q1</t>
  </si>
  <si>
    <t>2013 Q4</t>
  </si>
  <si>
    <t>2013 Q3</t>
  </si>
  <si>
    <t>2013 Q2</t>
  </si>
  <si>
    <t>2013 Q1</t>
  </si>
  <si>
    <t>2012 Q4</t>
  </si>
  <si>
    <t>2012 Q3</t>
  </si>
  <si>
    <t>2012 Q2</t>
  </si>
  <si>
    <t>2012 Q1</t>
  </si>
  <si>
    <t>2011 Q4</t>
  </si>
  <si>
    <t>2011 Q3</t>
  </si>
  <si>
    <t>2011 Q2</t>
  </si>
  <si>
    <t>2011 Q1</t>
  </si>
  <si>
    <t>2010 Q4</t>
  </si>
  <si>
    <t>2010 Q3</t>
  </si>
  <si>
    <t>2010 Q2</t>
  </si>
  <si>
    <t>2010 Q1</t>
  </si>
  <si>
    <t>2009 Q4</t>
  </si>
  <si>
    <t>2009 Q3</t>
  </si>
  <si>
    <t>2009 Q2</t>
  </si>
  <si>
    <t>2009 Q1</t>
  </si>
  <si>
    <t>2008 Q4</t>
  </si>
  <si>
    <t>2008 Q3</t>
  </si>
  <si>
    <t>2008 Q2</t>
  </si>
  <si>
    <t>2008 Q1</t>
  </si>
  <si>
    <t>2007 Q4</t>
  </si>
  <si>
    <t>2007 Q3</t>
  </si>
  <si>
    <t>2007 Q2</t>
  </si>
  <si>
    <t>2007 Q1</t>
  </si>
  <si>
    <t>2006 Q4</t>
  </si>
  <si>
    <t>2006 Q3</t>
  </si>
  <si>
    <t>2006 Q2</t>
  </si>
  <si>
    <t>2006 Q1</t>
  </si>
  <si>
    <t>4813 Vincennes St.</t>
  </si>
  <si>
    <t>Cape Coral, Florida</t>
  </si>
  <si>
    <t>SC (City of Cape Coral)</t>
  </si>
  <si>
    <t>Future commercial</t>
  </si>
  <si>
    <t>4320 Del Prado Blvd S</t>
  </si>
  <si>
    <t>TBD Estero Oaks Dr</t>
  </si>
  <si>
    <t>Ft. Myers , Florida</t>
  </si>
  <si>
    <t>MPD</t>
  </si>
  <si>
    <t>17090 Ben Hill Griffin Pkwy</t>
  </si>
  <si>
    <t>Fort Myers, Florida</t>
  </si>
  <si>
    <t>Commercial Land</t>
  </si>
  <si>
    <t>Recorded</t>
  </si>
  <si>
    <t>18-45-24-C1-00067.0070</t>
  </si>
  <si>
    <t>RCR Family Properties, LLC.</t>
  </si>
  <si>
    <t>City of Cape Coral Community Redevelopment Agency</t>
  </si>
  <si>
    <t>2022000221521</t>
  </si>
  <si>
    <t>Arms Length</t>
  </si>
  <si>
    <t>AE (EL 8)</t>
  </si>
  <si>
    <t>Mostly Rectangular</t>
  </si>
  <si>
    <t>All available</t>
  </si>
  <si>
    <t>Corner</t>
  </si>
  <si>
    <t>Vincennes St.</t>
  </si>
  <si>
    <t>Lafayette Street</t>
  </si>
  <si>
    <t>07-45-24-C2-00336.0440</t>
  </si>
  <si>
    <t>Big Boat Sales, Inc</t>
  </si>
  <si>
    <t>Robert T. Brennan and Jennifer Brennan</t>
  </si>
  <si>
    <t>2022000074173</t>
  </si>
  <si>
    <t>Zone AE</t>
  </si>
  <si>
    <t>Double Corner</t>
  </si>
  <si>
    <t>40,500 (2021)</t>
  </si>
  <si>
    <t>Del Prado Blvd S</t>
  </si>
  <si>
    <t>SE 43rd Terrace and also SE 44th Street</t>
  </si>
  <si>
    <t>Estero Oaks</t>
  </si>
  <si>
    <t>22-46-25-14-0000C.0050</t>
  </si>
  <si>
    <t>Estero Three Oaks Partners, LLC</t>
  </si>
  <si>
    <t>Aguilar Development</t>
  </si>
  <si>
    <t>2023000247653</t>
  </si>
  <si>
    <t>AE</t>
  </si>
  <si>
    <t>Mostly Square</t>
  </si>
  <si>
    <t>All appear to be available to the site</t>
  </si>
  <si>
    <t>Three Oaks Pkwy</t>
  </si>
  <si>
    <t>Estero Oaks Dr</t>
  </si>
  <si>
    <t>1.24 Acres; Vacant Commercial Land</t>
  </si>
  <si>
    <t>11-46-25-11-00000.00K0</t>
  </si>
  <si>
    <t>Jg Gulf Coast Town Center LLC</t>
  </si>
  <si>
    <t>Professional resource Development</t>
  </si>
  <si>
    <t>2023000103840</t>
  </si>
  <si>
    <t>Mid-Block</t>
  </si>
  <si>
    <t>23,500 AADT</t>
  </si>
  <si>
    <t>Impact Fees</t>
  </si>
  <si>
    <t>7,776-sf Medical Office Building</t>
  </si>
  <si>
    <t>12670 Whitehall Drive</t>
  </si>
  <si>
    <t>5,390-sf; Medical Office Building</t>
  </si>
  <si>
    <t>1565 Matthew St.</t>
  </si>
  <si>
    <t>3,014-sf; Medical Office Condominium</t>
  </si>
  <si>
    <t>16410 Healthpark Commons Dr.</t>
  </si>
  <si>
    <t>14-45-24-00-00005.014I</t>
  </si>
  <si>
    <t>SWFN, LLC</t>
  </si>
  <si>
    <t>Whitehall Mob, LLC</t>
  </si>
  <si>
    <t>2022000255814</t>
  </si>
  <si>
    <t xml:space="preserve">C </t>
  </si>
  <si>
    <t>Single-Tenant</t>
  </si>
  <si>
    <t xml:space="preserve">C - Concrete </t>
  </si>
  <si>
    <t>02-45-5-24-P1-01200.0030</t>
  </si>
  <si>
    <t>ABM RE JV FORT MYERS, LLC</t>
  </si>
  <si>
    <t>SOUTH 4TH STREET HOLDINGS, LLC</t>
  </si>
  <si>
    <t>2023000359887</t>
  </si>
  <si>
    <t>C - Concrete</t>
  </si>
  <si>
    <t>04-46-24-14-00000.0200</t>
  </si>
  <si>
    <t>Playing Doctor, LLC</t>
  </si>
  <si>
    <t>Lee Memorial Health System</t>
  </si>
  <si>
    <t>2023000257929</t>
  </si>
  <si>
    <t>Pine Island Marketplace</t>
  </si>
  <si>
    <t>537 SW Pine Island Rd</t>
  </si>
  <si>
    <t>6,540-sf; Retail</t>
  </si>
  <si>
    <t>9990 University Plaza Dr</t>
  </si>
  <si>
    <t>14-44-23-C1-01000.0020</t>
  </si>
  <si>
    <t>Cape Coral 6 LLLP</t>
  </si>
  <si>
    <t>Its Logistics LLC</t>
  </si>
  <si>
    <t>2022000324265</t>
  </si>
  <si>
    <t>Shopping Center</t>
  </si>
  <si>
    <t>B - Concrete</t>
  </si>
  <si>
    <t>11-46-25-17-000A1.0000</t>
  </si>
  <si>
    <t>Sena Realty</t>
  </si>
  <si>
    <t>Daniel Light</t>
  </si>
  <si>
    <t>2022000251181</t>
  </si>
  <si>
    <t>Freestanding</t>
  </si>
  <si>
    <t>Similar</t>
  </si>
  <si>
    <t>Inferior</t>
  </si>
  <si>
    <t>five</t>
  </si>
  <si>
    <t>3% Annually</t>
  </si>
  <si>
    <t>2% annually</t>
  </si>
  <si>
    <t>Executed</t>
  </si>
  <si>
    <t>Hawkey Enterprises, LLC</t>
  </si>
  <si>
    <t>Shoppes at University Plaza</t>
  </si>
  <si>
    <t>10041 University Plaza Drive</t>
  </si>
  <si>
    <t>Orion Center</t>
  </si>
  <si>
    <t>6611-6631 Orion Dr</t>
  </si>
  <si>
    <t>Pine Island Plaza</t>
  </si>
  <si>
    <t>900 SW Pine Island Rd</t>
  </si>
  <si>
    <t>Midpoint Shops</t>
  </si>
  <si>
    <t>2517 Santa Barbara Blvd</t>
  </si>
  <si>
    <t xml:space="preserve">Traffic Counts </t>
  </si>
  <si>
    <t>3.0% per year</t>
  </si>
  <si>
    <t>60,400 (2016)</t>
  </si>
  <si>
    <t>3% annually</t>
  </si>
  <si>
    <t>Mr. Tequila</t>
  </si>
  <si>
    <t>Amputee Associates, LLC.</t>
  </si>
  <si>
    <t>Weluvie, Inc.</t>
  </si>
  <si>
    <t>Industrial</t>
  </si>
  <si>
    <t>Denver</t>
  </si>
  <si>
    <t>11500 E 53rd Ave</t>
  </si>
  <si>
    <t>four</t>
  </si>
  <si>
    <t>Denver MSA</t>
  </si>
  <si>
    <t>Denver MSA - Industrial</t>
  </si>
  <si>
    <t>None noted</t>
  </si>
  <si>
    <t>2.0% per year</t>
  </si>
  <si>
    <t>PwC - National Warehouse</t>
  </si>
  <si>
    <t>Retrospective Market Value</t>
  </si>
  <si>
    <t>All Service Type Rent Direct</t>
  </si>
  <si>
    <t>All Service Type Rent Sublet</t>
  </si>
  <si>
    <t>All Service Type Rent Overall</t>
  </si>
  <si>
    <t>NNN Rent Direct</t>
  </si>
  <si>
    <t>NNN Rent Sublet</t>
  </si>
  <si>
    <t>NNN Rent Overall</t>
  </si>
  <si>
    <t>2025 Q2 QTD</t>
  </si>
  <si>
    <t>2025 Q1</t>
  </si>
  <si>
    <t>2005 Q4</t>
  </si>
  <si>
    <t>2005 Q3</t>
  </si>
  <si>
    <t>2005 Q2</t>
  </si>
  <si>
    <t>2005 Q1</t>
  </si>
  <si>
    <t>2004 Q4</t>
  </si>
  <si>
    <t>2004 Q3</t>
  </si>
  <si>
    <t>2004 Q2</t>
  </si>
  <si>
    <t>2004 Q1</t>
  </si>
  <si>
    <t>2003 Q4</t>
  </si>
  <si>
    <t>2003 Q3</t>
  </si>
  <si>
    <t>2003 Q2</t>
  </si>
  <si>
    <t>2003 Q1</t>
  </si>
  <si>
    <t>2002 Q4</t>
  </si>
  <si>
    <t>2002 Q3</t>
  </si>
  <si>
    <t>2002 Q2</t>
  </si>
  <si>
    <t>2002 Q1</t>
  </si>
  <si>
    <t>2001 Q4</t>
  </si>
  <si>
    <t>2001 Q3</t>
  </si>
  <si>
    <t>2001 Q2</t>
  </si>
  <si>
    <t>2001 Q1</t>
  </si>
  <si>
    <t>2000 Q4</t>
  </si>
  <si>
    <t>2000 Q3</t>
  </si>
  <si>
    <t>2000 Q2</t>
  </si>
  <si>
    <t>2000 Q1</t>
  </si>
  <si>
    <t>1999 Q4</t>
  </si>
  <si>
    <t>1999 Q3</t>
  </si>
  <si>
    <t>1999 Q2</t>
  </si>
  <si>
    <t>1999 Q1</t>
  </si>
  <si>
    <t>Account Number</t>
  </si>
  <si>
    <t>Owner Occupied</t>
  </si>
  <si>
    <t>08001C0582H</t>
  </si>
  <si>
    <t>2025 Q3 QTD</t>
  </si>
  <si>
    <t>2025 Q2</t>
  </si>
  <si>
    <t>Denver MSA - Warehouse</t>
  </si>
  <si>
    <t>Northwest Denver</t>
  </si>
  <si>
    <t>Northwest Denver - Industrial</t>
  </si>
  <si>
    <t>Northwest Denver - Warehouse</t>
  </si>
  <si>
    <t>Adams</t>
  </si>
  <si>
    <t>I-3</t>
  </si>
  <si>
    <t>Flood</t>
  </si>
  <si>
    <t>Zone X</t>
  </si>
  <si>
    <t>5601 Franklin St</t>
  </si>
  <si>
    <t>I-1</t>
  </si>
  <si>
    <t>Commerce City</t>
  </si>
  <si>
    <t>1100 W 64th Ave</t>
  </si>
  <si>
    <t>I-2</t>
  </si>
  <si>
    <t>1707-1761 E 68th Ave</t>
  </si>
  <si>
    <t>Office/Warehouse</t>
  </si>
  <si>
    <t>Cashy to Seller</t>
  </si>
  <si>
    <t>Reaconable Adjusted Comparable Range</t>
  </si>
  <si>
    <t>Market Value Opinion</t>
  </si>
  <si>
    <t>5601 Franklin</t>
  </si>
  <si>
    <t>Mostly Zone AE</t>
  </si>
  <si>
    <t>5380 Brighton Blvd</t>
  </si>
  <si>
    <t>I-3, I-B</t>
  </si>
  <si>
    <t>Land Storage</t>
  </si>
  <si>
    <t>9.430 Acres</t>
  </si>
  <si>
    <t>Distribution Warehouse</t>
  </si>
  <si>
    <t>Mega Warehouse</t>
  </si>
  <si>
    <t>Asphalt</t>
  </si>
  <si>
    <t>Concrete</t>
  </si>
  <si>
    <t>Dock Levelers</t>
  </si>
  <si>
    <t>Regional Investor</t>
  </si>
  <si>
    <t>Industrial Distribution</t>
  </si>
  <si>
    <t>Concrete/Stucco</t>
  </si>
  <si>
    <t>Title Goes Here</t>
  </si>
  <si>
    <t>Column Heading</t>
  </si>
  <si>
    <t>4940 Oneida St</t>
  </si>
  <si>
    <t>Sun Empire 4940 LLC</t>
  </si>
  <si>
    <t>Industrial Office/Warehouse</t>
  </si>
  <si>
    <t>Tenant Occupied</t>
  </si>
  <si>
    <t>Amberg Entertainment</t>
  </si>
  <si>
    <t>4940</t>
  </si>
  <si>
    <t>Fleet Repair Service</t>
  </si>
  <si>
    <t>4950</t>
  </si>
  <si>
    <t xml:space="preserve">None  </t>
  </si>
  <si>
    <t>Not Developed</t>
  </si>
  <si>
    <t>6330 Washington St</t>
  </si>
  <si>
    <t>Q2 2024</t>
  </si>
  <si>
    <t>Q1 2024</t>
  </si>
  <si>
    <t>1870 W 64th Ln</t>
  </si>
  <si>
    <t>3701 S Kalamath St</t>
  </si>
  <si>
    <t>Englewood</t>
  </si>
  <si>
    <t>4201 E 48th Ave</t>
  </si>
  <si>
    <t>781 Vallejo St</t>
  </si>
  <si>
    <t>Usable Land Area (acres)</t>
  </si>
  <si>
    <t>Industrial Amenities/Layout</t>
  </si>
  <si>
    <t>5140 Clarkson St</t>
  </si>
  <si>
    <t>1250 Simms St</t>
  </si>
  <si>
    <t>Lakewood</t>
  </si>
  <si>
    <t>676 Bryant St</t>
  </si>
  <si>
    <t>5650 Washington St</t>
  </si>
  <si>
    <t>08001C0611H</t>
  </si>
  <si>
    <t>Industrial/Flex</t>
  </si>
  <si>
    <t>Masonry</t>
  </si>
  <si>
    <t xml:space="preserve">Continuation as Existing Use </t>
  </si>
  <si>
    <t>1760-1790 Jasper St</t>
  </si>
  <si>
    <t>Aurora</t>
  </si>
  <si>
    <t>640 W Tennessee Ave</t>
  </si>
  <si>
    <t>5750 Fairfax St</t>
  </si>
  <si>
    <t>2896 W 64th Ave</t>
  </si>
  <si>
    <t xml:space="preserve">  </t>
  </si>
  <si>
    <t>3975 E 56th Ave</t>
  </si>
  <si>
    <t>6401 Broadway</t>
  </si>
  <si>
    <t>5951 Marion Dr</t>
  </si>
  <si>
    <t>Industrial/Flex Amenities</t>
  </si>
  <si>
    <t>Varies</t>
  </si>
  <si>
    <t>5800 Franklin St</t>
  </si>
  <si>
    <t>1761 E 58th Ave</t>
  </si>
  <si>
    <t>1805 E 58th Ave</t>
  </si>
  <si>
    <t>1771 E 58th Ave</t>
  </si>
  <si>
    <t>1707 E 58th Ave</t>
  </si>
  <si>
    <t>1791 E 58th Ave</t>
  </si>
  <si>
    <t>5800 Franklin St - R0103784</t>
  </si>
  <si>
    <t>1761 E 58th Ave - R0103785</t>
  </si>
  <si>
    <t>1805 E 58th Ave - R0103786</t>
  </si>
  <si>
    <t>1771 E 58th Ave - R0103787</t>
  </si>
  <si>
    <t>5800 Franklin St - R0103788</t>
  </si>
  <si>
    <t>1707 E 58th Ave - R0103789</t>
  </si>
  <si>
    <t>1791 E 58th Ave - R0103790</t>
  </si>
  <si>
    <t>R0103784</t>
  </si>
  <si>
    <t>R0103785</t>
  </si>
  <si>
    <t>R0103786</t>
  </si>
  <si>
    <t>R0103787</t>
  </si>
  <si>
    <t>R0103788</t>
  </si>
  <si>
    <t>R0103789</t>
  </si>
  <si>
    <t>R0103790</t>
  </si>
  <si>
    <t>FRANKLIN INDUSTRIAL GROUP LTD</t>
  </si>
  <si>
    <t>Gross Land Area (AC)</t>
  </si>
  <si>
    <t>Shaquille Carter</t>
  </si>
  <si>
    <t>220,514 sf</t>
  </si>
  <si>
    <t>I-2 (all parcels)</t>
  </si>
  <si>
    <t>General Industrial (all parcels)</t>
  </si>
  <si>
    <t>I-2 - General Industrial (all parcels)</t>
  </si>
  <si>
    <t>1-2</t>
  </si>
  <si>
    <t xml:space="preserve">Industrial Development </t>
  </si>
  <si>
    <t xml:space="preserve">Tenant </t>
  </si>
  <si>
    <t>175 spaces (estimate)</t>
  </si>
  <si>
    <t>Petition Scenario</t>
  </si>
  <si>
    <t>$</t>
  </si>
  <si>
    <t>$/SF</t>
  </si>
  <si>
    <t>Assessor's Assigned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</si>
</sst>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6">
    <numFmt numFmtId="5" formatCode="&quot;$&quot;#,##0_);\(&quot;$&quot;#,##0\)"/>
    <numFmt numFmtId="6" formatCode="&quot;$&quot;#,##0_);[Red]\(&quot;$&quot;#,##0\)"/>
    <numFmt numFmtId="7" formatCode="&quot;$&quot;#,##0.00_);\(&quot;$&quot;#,##0.00\)"/>
    <numFmt numFmtId="8" formatCode="&quot;$&quot;#,##0.00_);[Red]\(&quot;$&quot;#,##0.00\)"/>
    <numFmt numFmtId="43" formatCode="_(* #,##0.00_);_(* \(#,##0.00\);_(* &quot;-&quot;??_);_(@_)"/>
    <numFmt numFmtId="164" formatCode="&quot;$&quot;#,##0"/>
    <numFmt numFmtId="165" formatCode="0.0%"/>
    <numFmt numFmtId="166" formatCode="[$-409]mmmm\ d\,\ yyyy;@"/>
    <numFmt numFmtId="167" formatCode="&quot;$&quot;#,##0.00"/>
    <numFmt numFmtId="168" formatCode="#,##0.000"/>
    <numFmt numFmtId="169" formatCode="&quot;per &quot;&quot;$&quot;#,##0"/>
    <numFmt numFmtId="170" formatCode="#0&quot;'&quot;"/>
    <numFmt numFmtId="171" formatCode="0.00&quot;-to-1&quot;"/>
    <numFmt numFmtId="172" formatCode="0.000"/>
    <numFmt numFmtId="173" formatCode="&quot;Sale # &quot;0"/>
    <numFmt numFmtId="174" formatCode="[$-409]mmmm\-yy;@"/>
    <numFmt numFmtId="175" formatCode="&quot;$&quot;0.00"/>
    <numFmt numFmtId="176" formatCode="0.00\ &quot;years&quot;"/>
    <numFmt numFmtId="177" formatCode="#,##0&quot; sf&quot;"/>
    <numFmt numFmtId="178" formatCode="0.000&quot;(x)&quot;"/>
    <numFmt numFmtId="179" formatCode="0&quot;'&quot;"/>
    <numFmt numFmtId="180" formatCode="0.0"/>
    <numFmt numFmtId="181" formatCode="0.0&quot;'&quot;"/>
    <numFmt numFmtId="182" formatCode="#,##0&quot; square feet&quot;"/>
    <numFmt numFmtId="183" formatCode="#,##0&quot; spaces&quot;"/>
    <numFmt numFmtId="184" formatCode="#,##0\ &quot;sf&quot;"/>
    <numFmt numFmtId="185" formatCode="&quot;$&quot;#,##0.00\ &quot;psf&quot;"/>
    <numFmt numFmtId="186" formatCode="0\ &quot;years&quot;"/>
    <numFmt numFmtId="187" formatCode="&quot;Rental # &quot;0"/>
    <numFmt numFmtId="188" formatCode="0.0\ &quot;years&quot;"/>
    <numFmt numFmtId="189" formatCode="#,##0\ &quot;months&quot;"/>
    <numFmt numFmtId="190" formatCode="0&quot;-year&quot;"/>
    <numFmt numFmtId="191" formatCode="&quot;$&quot;0.00&quot; PSF&quot;"/>
    <numFmt numFmtId="192" formatCode="[$-409]mmm\-yy;@"/>
    <numFmt numFmtId="193" formatCode="#,##0.00\ &quot;years&quot;"/>
    <numFmt numFmtId="194" formatCode="#,##0\ &quot;sf or more&quot;"/>
    <numFmt numFmtId="195" formatCode="#,##0&quot; Square Feet&quot;"/>
    <numFmt numFmtId="196" formatCode="mmmm\-yy"/>
    <numFmt numFmtId="197" formatCode="#&quot; Yrs&quot;"/>
    <numFmt numFmtId="198" formatCode="0.00000"/>
    <numFmt numFmtId="199" formatCode="#,##0\ &quot;years&quot;"/>
    <numFmt numFmtId="200" formatCode="&quot;Year &quot;0"/>
    <numFmt numFmtId="201" formatCode="0\ &quot;Years&quot;"/>
    <numFmt numFmtId="202" formatCode="#,##0.000&quot; acres&quot;"/>
    <numFmt numFmtId="203" formatCode="0.00%\ &quot;per foot&quot;"/>
    <numFmt numFmtId="204" formatCode="&quot;Comparable #&quot;0"/>
    <numFmt numFmtId="205" formatCode="&quot;$&quot;#,##0;[Red]&quot;$&quot;#,##0"/>
    <numFmt numFmtId="206" formatCode="0.00&quot; per 1,000 sf&quot;"/>
    <numFmt numFmtId="207" formatCode="&quot;$&quot;#,##0.00;[Red]&quot;$&quot;#,##0.00"/>
    <numFmt numFmtId="208" formatCode="#&quot;-Year&quot;"/>
    <numFmt numFmtId="209" formatCode="&quot;$&quot;#,##0.000000_);[Red]\(&quot;$&quot;#,##0.000000\)"/>
    <numFmt numFmtId="210" formatCode="&quot;$&quot;#,##0.000000"/>
    <numFmt numFmtId="211" formatCode="0.000000%"/>
    <numFmt numFmtId="212" formatCode="#,##0.0000"/>
    <numFmt numFmtId="213" formatCode="&quot;$&quot;0.00&quot; psf&quot;"/>
    <numFmt numFmtId="214" formatCode="0.0%;\-0.0%;\-"/>
    <numFmt numFmtId="215" formatCode="&quot;YE&quot;\ ####"/>
    <numFmt numFmtId="216" formatCode="0.00&quot; per 1,000&quot;"/>
    <numFmt numFmtId="217" formatCode="0.00\ &quot;Years&quot;"/>
    <numFmt numFmtId="218" formatCode="&quot;Year &quot;#"/>
    <numFmt numFmtId="219" formatCode="#,##0.0"/>
    <numFmt numFmtId="220" formatCode="&quot;$&quot;#,##0.00&quot; psf&quot;"/>
    <numFmt numFmtId="221" formatCode="0.0\%"/>
    <numFmt numFmtId="222" formatCode="0\ &quot;months&quot;"/>
    <numFmt numFmtId="223" formatCode="#,##0\ &quot;sq. ft.&quot;"/>
    <numFmt numFmtId="224" formatCode="#,##0\ &quot;units&quot;"/>
    <numFmt numFmtId="225" formatCode="#.0\ &quot;Years&quot;"/>
    <numFmt numFmtId="226" formatCode="&quot;Sale &quot;#"/>
    <numFmt numFmtId="227" formatCode="#.0\ &quot;years&quot;"/>
    <numFmt numFmtId="228" formatCode="#\ &quot;years&quot;"/>
    <numFmt numFmtId="229" formatCode="0.0&quot; years&quot;"/>
    <numFmt numFmtId="230" formatCode="#\ &quot;months&quot;"/>
    <numFmt numFmtId="231" formatCode="mm/dd/yy;@"/>
    <numFmt numFmtId="232" formatCode="0.0\ &quot;Years&quot;"/>
    <numFmt numFmtId="233" formatCode="&quot;YTD&quot;\ ####"/>
    <numFmt numFmtId="234" formatCode="0&quot;-foot&quot;"/>
    <numFmt numFmtId="235" formatCode="#,##0.000\ &quot;acres&quot;"/>
    <numFmt numFmtId="236" formatCode="0&quot;-BPS&quot;"/>
    <numFmt numFmtId="237" formatCode="&quot;$&quot;#0.00"/>
    <numFmt numFmtId="238" formatCode="dd\-mmm"/>
    <numFmt numFmtId="239" formatCode="m/d/yyyy;@"/>
    <numFmt numFmtId="240" formatCode="&quot;x  &quot;#,###"/>
    <numFmt numFmtId="241" formatCode="&quot;+  &quot;&quot;$&quot;#,##0.00"/>
    <numFmt numFmtId="242" formatCode="&quot;x  &quot;0.000"/>
    <numFmt numFmtId="243" formatCode="0\ &quot;Months&quot;"/>
    <numFmt numFmtId="244" formatCode="#,###&quot;'&quot;"/>
    <numFmt numFmtId="245" formatCode="#,##0.0&quot; M&quot;"/>
    <numFmt numFmtId="246" formatCode="\+\ 0.0%;\-\ 0.0%"/>
    <numFmt numFmtId="247" formatCode="&quot;- &quot;0.0%"/>
    <numFmt numFmtId="248" formatCode="&quot;x  &quot;0.0%"/>
    <numFmt numFmtId="249" formatCode="&quot;-  &quot;0.0%"/>
    <numFmt numFmtId="250" formatCode="&quot;$&quot;#,##0.00\ &quot;PSF&quot;"/>
    <numFmt numFmtId="251" formatCode="0&quot;+ Years&quot;"/>
    <numFmt numFmtId="252" formatCode="&quot;Under &quot;0&quot; Years&quot;"/>
    <numFmt numFmtId="253" formatCode="0&quot; - &quot;0&quot; Years&quot;"/>
    <numFmt numFmtId="254" formatCode="00&quot; - &quot;00&quot; Years&quot;"/>
    <numFmt numFmtId="255" formatCode="#,##0\ &quot;SF&quot;"/>
    <numFmt numFmtId="256" formatCode="0.0;[Red]0.0"/>
    <numFmt numFmtId="257" formatCode="0;[Red]0"/>
    <numFmt numFmtId="258" formatCode="0.00;[Red]0.00"/>
    <numFmt numFmtId="259" formatCode="0\ &quot;yrs&quot;"/>
    <numFmt numFmtId="260" formatCode="&quot;Cost Comp # &quot;0"/>
    <numFmt numFmtId="261" formatCode="[&gt;999999]#,##0.0&quot;M&quot;;[&lt;1000000]#,##0.0&quot;K&quot;"/>
    <numFmt numFmtId="262" formatCode="&quot;$&quot;#,##0.00&quot; PSF&quot;"/>
    <numFmt numFmtId="263" formatCode="0&quot;-Year&quot;"/>
    <numFmt numFmtId="264" formatCode="&quot;$&quot;0.00;\-&quot;$&quot;0.00;\-"/>
    <numFmt numFmtId="265" formatCode="#,#00\ &quot;SF&quot;"/>
    <numFmt numFmtId="266" formatCode="#,##0&quot; sq. ft.&quot;"/>
    <numFmt numFmtId="267" formatCode="#,##0.00000000"/>
    <numFmt numFmtId="268" formatCode="#,##0.0\ &quot;Min&quot;"/>
    <numFmt numFmtId="269" formatCode="###0\ &quot;Population&quot;"/>
    <numFmt numFmtId="270" formatCode="###0\ &quot;Population Estimate&quot;"/>
    <numFmt numFmtId="271" formatCode="0.00_);\(0.00\)"/>
    <numFmt numFmtId="272" formatCode="#,##0.0\%"/>
    <numFmt numFmtId="273" formatCode="0_);\(0\)"/>
    <numFmt numFmtId="274" formatCode="0.0\ &quot;Mile&quot;"/>
  </numFmts>
  <fonts count="151" x14ac:knownFonts="1">
    <font>
      <sz val="10"/>
      <color theme="1"/>
      <name val="Segoe UI"/>
      <family val="2"/>
    </font>
    <font>
      <sz val="11"/>
      <color theme="1"/>
      <name val="Calibri"/>
      <family val="2"/>
      <scheme val="minor"/>
    </font>
    <font>
      <sz val="12"/>
      <name val="Segoe UI"/>
      <family val="2"/>
    </font>
    <font>
      <b/>
      <sz val="12"/>
      <color theme="0"/>
      <name val="Segoe UI"/>
      <family val="2"/>
    </font>
    <font>
      <sz val="10"/>
      <color theme="1"/>
      <name val="Segoe UI"/>
      <family val="2"/>
    </font>
    <font>
      <b/>
      <sz val="11"/>
      <color theme="0"/>
      <name val="Segoe UI"/>
      <family val="2"/>
    </font>
    <font>
      <b/>
      <sz val="10"/>
      <color rgb="FF1F497D"/>
      <name val="Segoe UI"/>
      <family val="2"/>
    </font>
    <font>
      <b/>
      <sz val="11"/>
      <color rgb="FF1F497D"/>
      <name val="Segoe UI"/>
      <family val="2"/>
    </font>
    <font>
      <sz val="10"/>
      <name val="Segoe UI"/>
      <family val="2"/>
    </font>
    <font>
      <sz val="10"/>
      <color theme="0"/>
      <name val="Segoe UI"/>
      <family val="2"/>
    </font>
    <font>
      <sz val="10"/>
      <name val="Times New Roman"/>
      <family val="1"/>
    </font>
    <font>
      <b/>
      <sz val="10"/>
      <color theme="0"/>
      <name val="Segoe UI"/>
      <family val="2"/>
    </font>
    <font>
      <b/>
      <sz val="10"/>
      <name val="Segoe UI"/>
      <family val="2"/>
    </font>
    <font>
      <sz val="10"/>
      <color rgb="FFFF0000"/>
      <name val="Segoe UI"/>
      <family val="2"/>
    </font>
    <font>
      <b/>
      <sz val="9"/>
      <color theme="0"/>
      <name val="Segoe UI"/>
      <family val="2"/>
    </font>
    <font>
      <b/>
      <sz val="10"/>
      <color rgb="FF404040"/>
      <name val="Segoe UI"/>
      <family val="2"/>
    </font>
    <font>
      <b/>
      <sz val="10"/>
      <color theme="1"/>
      <name val="Segoe UI"/>
      <family val="2"/>
    </font>
    <font>
      <i/>
      <sz val="10"/>
      <name val="Segoe UI"/>
      <family val="2"/>
    </font>
    <font>
      <b/>
      <sz val="10"/>
      <color rgb="FFFF0000"/>
      <name val="Segoe UI"/>
      <family val="2"/>
    </font>
    <font>
      <b/>
      <i/>
      <sz val="12"/>
      <color theme="0"/>
      <name val="Segoe UI"/>
      <family val="2"/>
    </font>
    <font>
      <b/>
      <sz val="10"/>
      <name val="Times New Roman"/>
      <family val="1"/>
    </font>
    <font>
      <b/>
      <sz val="8"/>
      <color indexed="81"/>
      <name val="Tahoma"/>
      <family val="2"/>
    </font>
    <font>
      <b/>
      <sz val="12"/>
      <color rgb="FF1F497D"/>
      <name val="Segoe UI"/>
      <family val="2"/>
    </font>
    <font>
      <sz val="10"/>
      <color theme="3" tint="0.59999389629810485"/>
      <name val="Segoe UI"/>
      <family val="2"/>
    </font>
    <font>
      <sz val="10"/>
      <color rgb="FF1F497D"/>
      <name val="Segoe UI"/>
      <family val="2"/>
    </font>
    <font>
      <b/>
      <sz val="10"/>
      <color indexed="8"/>
      <name val="Segoe UI"/>
      <family val="2"/>
    </font>
    <font>
      <b/>
      <i/>
      <sz val="10"/>
      <color theme="0"/>
      <name val="Segoe UI"/>
      <family val="2"/>
    </font>
    <font>
      <b/>
      <sz val="9"/>
      <color indexed="81"/>
      <name val="Tahoma"/>
      <family val="2"/>
    </font>
    <font>
      <sz val="11"/>
      <color theme="1"/>
      <name val="Segoe UI"/>
      <family val="2"/>
    </font>
    <font>
      <sz val="8"/>
      <name val="Segoe UI"/>
      <family val="2"/>
    </font>
    <font>
      <sz val="10"/>
      <color rgb="FF404040"/>
      <name val="Segoe UI"/>
      <family val="2"/>
    </font>
    <font>
      <sz val="10"/>
      <color theme="0"/>
      <name val="Calibri"/>
      <family val="2"/>
      <scheme val="minor"/>
    </font>
    <font>
      <sz val="10"/>
      <color theme="1"/>
      <name val="Calibri"/>
      <family val="2"/>
      <scheme val="minor"/>
    </font>
    <font>
      <i/>
      <sz val="10"/>
      <color theme="1"/>
      <name val="Segoe UI"/>
      <family val="2"/>
    </font>
    <font>
      <sz val="10"/>
      <color rgb="FF1F497D"/>
      <name val="Calibri"/>
      <family val="2"/>
      <scheme val="minor"/>
    </font>
    <font>
      <b/>
      <sz val="10"/>
      <color theme="0"/>
      <name val="Times New Roman"/>
      <family val="1"/>
    </font>
    <font>
      <sz val="8"/>
      <color theme="1"/>
      <name val="Segoe UI"/>
      <family val="2"/>
    </font>
    <font>
      <sz val="10"/>
      <color theme="0"/>
      <name val="Times New Roman"/>
      <family val="1"/>
    </font>
    <font>
      <sz val="10"/>
      <color rgb="FFFF0000"/>
      <name val="Times New Roman"/>
      <family val="1"/>
    </font>
    <font>
      <sz val="10"/>
      <color rgb="FF1F497D"/>
      <name val="Times New Roman"/>
      <family val="1"/>
    </font>
    <font>
      <sz val="11"/>
      <name val="Segoe UI"/>
      <family val="2"/>
    </font>
    <font>
      <sz val="10"/>
      <color theme="0" tint="-0.34998626667073579"/>
      <name val="Segoe UI"/>
      <family val="2"/>
    </font>
    <font>
      <b/>
      <u/>
      <sz val="10"/>
      <color theme="0"/>
      <name val="Segoe UI"/>
      <family val="2"/>
    </font>
    <font>
      <b/>
      <i/>
      <sz val="10"/>
      <color theme="1"/>
      <name val="Segoe UI"/>
      <family val="2"/>
    </font>
    <font>
      <sz val="14"/>
      <color theme="1"/>
      <name val="Calibri"/>
      <family val="2"/>
    </font>
    <font>
      <sz val="9"/>
      <color theme="1"/>
      <name val="Segoe UI"/>
      <family val="2"/>
    </font>
    <font>
      <b/>
      <i/>
      <u/>
      <sz val="10"/>
      <name val="Segoe UI"/>
      <family val="2"/>
    </font>
    <font>
      <b/>
      <i/>
      <sz val="10"/>
      <name val="Segoe UI"/>
      <family val="2"/>
    </font>
    <font>
      <vertAlign val="subscript"/>
      <sz val="10"/>
      <color theme="1"/>
      <name val="Segoe UI"/>
      <family val="2"/>
    </font>
    <font>
      <sz val="9"/>
      <color theme="0"/>
      <name val="Segoe UI"/>
      <family val="2"/>
    </font>
    <font>
      <b/>
      <i/>
      <sz val="9"/>
      <color theme="0"/>
      <name val="Segoe UI"/>
      <family val="2"/>
    </font>
    <font>
      <b/>
      <sz val="9"/>
      <color theme="1"/>
      <name val="Segoe UI"/>
      <family val="2"/>
    </font>
    <font>
      <sz val="9"/>
      <name val="Segoe UI"/>
      <family val="2"/>
    </font>
    <font>
      <b/>
      <sz val="9"/>
      <name val="Segoe UI"/>
      <family val="2"/>
    </font>
    <font>
      <sz val="9"/>
      <color rgb="FF1F497D"/>
      <name val="Segoe UI"/>
      <family val="2"/>
    </font>
    <font>
      <sz val="10"/>
      <color indexed="8"/>
      <name val="Segoe UI"/>
      <family val="2"/>
    </font>
    <font>
      <sz val="10"/>
      <color theme="1"/>
      <name val="Calibri"/>
      <family val="2"/>
    </font>
    <font>
      <sz val="11"/>
      <color theme="0"/>
      <name val="Segoe UI"/>
      <family val="2"/>
    </font>
    <font>
      <b/>
      <u/>
      <sz val="9"/>
      <color indexed="81"/>
      <name val="Tahoma"/>
      <family val="2"/>
    </font>
    <font>
      <i/>
      <sz val="10"/>
      <color rgb="FF1F497D"/>
      <name val="Segoe UI"/>
      <family val="2"/>
    </font>
    <font>
      <sz val="11"/>
      <color rgb="FF1F497D"/>
      <name val="Segoe UI"/>
      <family val="2"/>
    </font>
    <font>
      <sz val="9"/>
      <color indexed="81"/>
      <name val="Tahoma"/>
      <family val="2"/>
    </font>
    <font>
      <b/>
      <sz val="12"/>
      <color indexed="9"/>
      <name val="Segoe UI"/>
      <family val="2"/>
    </font>
    <font>
      <b/>
      <sz val="10"/>
      <color theme="3"/>
      <name val="Segoe UI"/>
      <family val="2"/>
    </font>
    <font>
      <b/>
      <sz val="9"/>
      <color theme="3"/>
      <name val="Segoe UI"/>
      <family val="2"/>
    </font>
    <font>
      <b/>
      <i/>
      <sz val="22"/>
      <color theme="0"/>
      <name val="Segoe UI"/>
      <family val="2"/>
    </font>
    <font>
      <u/>
      <sz val="10.5"/>
      <color rgb="FF1F497D"/>
      <name val="Segoe UI"/>
      <family val="2"/>
    </font>
    <font>
      <i/>
      <sz val="10"/>
      <color rgb="FFFF0000"/>
      <name val="Segoe UI"/>
      <family val="2"/>
    </font>
    <font>
      <b/>
      <vertAlign val="subscript"/>
      <sz val="10"/>
      <color theme="1"/>
      <name val="Segoe UI"/>
      <family val="2"/>
    </font>
    <font>
      <b/>
      <i/>
      <sz val="10"/>
      <color rgb="FF1F497D"/>
      <name val="Segoe UI"/>
      <family val="2"/>
    </font>
    <font>
      <i/>
      <sz val="9"/>
      <name val="Segoe UI"/>
      <family val="2"/>
    </font>
    <font>
      <sz val="11"/>
      <color theme="0"/>
      <name val="Calibri"/>
      <family val="2"/>
      <scheme val="minor"/>
    </font>
    <font>
      <b/>
      <sz val="20"/>
      <color theme="0"/>
      <name val="Segoe UI"/>
      <family val="2"/>
    </font>
    <font>
      <sz val="10"/>
      <color rgb="FFFFFFFF"/>
      <name val="Segoe UI"/>
      <family val="2"/>
    </font>
    <font>
      <b/>
      <sz val="22"/>
      <color theme="0"/>
      <name val="Segoe UI"/>
      <family val="2"/>
    </font>
    <font>
      <sz val="11"/>
      <color rgb="FFFFFFFF"/>
      <name val="Segoe UI"/>
      <family val="2"/>
    </font>
    <font>
      <sz val="10"/>
      <color rgb="FFFFFFFF"/>
      <name val="Times New Roman"/>
      <family val="1"/>
    </font>
    <font>
      <b/>
      <sz val="12.5"/>
      <color theme="0"/>
      <name val="Segoe UI"/>
      <family val="2"/>
    </font>
    <font>
      <b/>
      <sz val="12.5"/>
      <color indexed="9"/>
      <name val="Segoe UI"/>
      <family val="2"/>
    </font>
    <font>
      <b/>
      <sz val="8"/>
      <color rgb="FFFFFF00"/>
      <name val="Segoe UI"/>
      <family val="2"/>
    </font>
    <font>
      <sz val="10"/>
      <color rgb="FFFFFF00"/>
      <name val="Segoe UI"/>
      <family val="2"/>
    </font>
    <font>
      <b/>
      <sz val="9"/>
      <color rgb="FFFFFF00"/>
      <name val="Segoe UI"/>
      <family val="2"/>
    </font>
    <font>
      <b/>
      <sz val="11"/>
      <name val="Segoe UI"/>
      <family val="2"/>
    </font>
    <font>
      <b/>
      <i/>
      <sz val="22"/>
      <color indexed="9"/>
      <name val="Segoe UI"/>
      <family val="2"/>
    </font>
    <font>
      <b/>
      <sz val="12.5"/>
      <color rgb="FF1F497D"/>
      <name val="Segoe UI"/>
      <family val="2"/>
    </font>
    <font>
      <b/>
      <sz val="10.5"/>
      <color theme="0"/>
      <name val="Segoe UI"/>
      <family val="2"/>
    </font>
    <font>
      <sz val="10"/>
      <color indexed="9"/>
      <name val="Segoe UI"/>
      <family val="2"/>
    </font>
    <font>
      <u/>
      <sz val="12"/>
      <name val="Segoe UI"/>
      <family val="2"/>
    </font>
    <font>
      <sz val="11"/>
      <color theme="1"/>
      <name val="Calibri"/>
      <family val="2"/>
    </font>
    <font>
      <sz val="11"/>
      <name val="Calibri"/>
      <family val="2"/>
      <scheme val="minor"/>
    </font>
    <font>
      <b/>
      <sz val="11"/>
      <color theme="0"/>
      <name val="Calibri"/>
      <family val="2"/>
      <scheme val="minor"/>
    </font>
    <font>
      <b/>
      <sz val="10"/>
      <color rgb="FFFFFFFF"/>
      <name val="Segoe UI"/>
      <family val="2"/>
    </font>
    <font>
      <i/>
      <sz val="9"/>
      <color theme="1"/>
      <name val="Segoe UI"/>
      <family val="2"/>
    </font>
    <font>
      <b/>
      <sz val="11"/>
      <color theme="1"/>
      <name val="Segoe UI"/>
      <family val="2"/>
    </font>
    <font>
      <sz val="9.5"/>
      <color theme="1"/>
      <name val="Segoe UI"/>
      <family val="2"/>
    </font>
    <font>
      <vertAlign val="superscript"/>
      <sz val="10"/>
      <name val="Segoe UI"/>
      <family val="2"/>
    </font>
    <font>
      <vertAlign val="superscript"/>
      <sz val="10"/>
      <color theme="1"/>
      <name val="Segoe UI"/>
      <family val="2"/>
    </font>
    <font>
      <vertAlign val="superscript"/>
      <sz val="9"/>
      <name val="Segoe UI"/>
      <family val="2"/>
    </font>
    <font>
      <vertAlign val="superscript"/>
      <sz val="9"/>
      <color theme="1"/>
      <name val="Segoe UI"/>
      <family val="2"/>
    </font>
    <font>
      <sz val="9.5"/>
      <color indexed="8"/>
      <name val="Segoe UI"/>
      <family val="2"/>
    </font>
    <font>
      <sz val="8"/>
      <color theme="0" tint="-0.34998626667073579"/>
      <name val="Segoe UI"/>
      <family val="2"/>
    </font>
    <font>
      <i/>
      <sz val="8"/>
      <color theme="0" tint="-0.34998626667073579"/>
      <name val="Segoe UI"/>
      <family val="2"/>
    </font>
    <font>
      <i/>
      <sz val="8"/>
      <name val="Segoe UI"/>
      <family val="2"/>
    </font>
    <font>
      <i/>
      <sz val="8"/>
      <color theme="1"/>
      <name val="Segoe UI"/>
      <family val="2"/>
    </font>
    <font>
      <sz val="9"/>
      <color rgb="FFFFD8B1"/>
      <name val="Segoe UI"/>
      <family val="2"/>
    </font>
    <font>
      <sz val="10"/>
      <color theme="0" tint="-0.499984740745262"/>
      <name val="Segoe UI"/>
      <family val="2"/>
    </font>
    <font>
      <sz val="9"/>
      <color theme="0" tint="-0.499984740745262"/>
      <name val="Segoe UI"/>
      <family val="2"/>
    </font>
    <font>
      <b/>
      <i/>
      <sz val="9"/>
      <color theme="0" tint="-0.14999847407452621"/>
      <name val="Segoe UI"/>
      <family val="2"/>
    </font>
    <font>
      <sz val="9"/>
      <color theme="0" tint="-0.14999847407452621"/>
      <name val="Segoe UI"/>
      <family val="2"/>
    </font>
    <font>
      <i/>
      <sz val="10"/>
      <color theme="0"/>
      <name val="Segoe UI"/>
      <family val="2"/>
    </font>
    <font>
      <sz val="10"/>
      <color theme="1"/>
      <name val="Segoe UI Semibold"/>
      <family val="2"/>
    </font>
    <font>
      <b/>
      <i/>
      <sz val="8"/>
      <color rgb="FF1F497D"/>
      <name val="Segoe UI"/>
      <family val="2"/>
    </font>
    <font>
      <b/>
      <i/>
      <sz val="9"/>
      <color rgb="FF1F497D"/>
      <name val="Segoe UI"/>
      <family val="2"/>
    </font>
    <font>
      <sz val="10"/>
      <color theme="1" tint="0.499984740745262"/>
      <name val="Segoe UI"/>
      <family val="2"/>
    </font>
    <font>
      <sz val="9"/>
      <color theme="1" tint="0.34998626667073579"/>
      <name val="Segoe UI"/>
      <family val="2"/>
    </font>
    <font>
      <i/>
      <sz val="10"/>
      <color theme="1" tint="0.499984740745262"/>
      <name val="Segoe UI"/>
      <family val="2"/>
    </font>
    <font>
      <sz val="9"/>
      <color rgb="FFFFFFFF"/>
      <name val="Segoe UI"/>
      <family val="2"/>
    </font>
    <font>
      <u/>
      <sz val="10"/>
      <color theme="10"/>
      <name val="Segoe UI"/>
      <family val="2"/>
    </font>
    <font>
      <vertAlign val="superscript"/>
      <sz val="10"/>
      <color theme="1"/>
      <name val="Segoe UI Semibold"/>
      <family val="2"/>
    </font>
    <font>
      <b/>
      <sz val="24"/>
      <color theme="0"/>
      <name val="Segoe UI"/>
      <family val="2"/>
    </font>
    <font>
      <sz val="10"/>
      <color rgb="FF8DB4E2"/>
      <name val="Segoe UI"/>
      <family val="2"/>
    </font>
    <font>
      <b/>
      <u/>
      <sz val="20"/>
      <color theme="0"/>
      <name val="Segoe UI"/>
      <family val="2"/>
    </font>
    <font>
      <b/>
      <u/>
      <sz val="14"/>
      <color theme="0"/>
      <name val="Segoe UI"/>
      <family val="2"/>
    </font>
    <font>
      <b/>
      <sz val="14"/>
      <color theme="0"/>
      <name val="Segoe UI"/>
      <family val="2"/>
    </font>
    <font>
      <b/>
      <u/>
      <sz val="22"/>
      <color theme="0"/>
      <name val="Segoe UI"/>
      <family val="2"/>
    </font>
    <font>
      <u/>
      <sz val="10"/>
      <color theme="1"/>
      <name val="Segoe UI"/>
      <family val="2"/>
    </font>
    <font>
      <i/>
      <u/>
      <sz val="10"/>
      <name val="Segoe UI"/>
      <family val="2"/>
    </font>
    <font>
      <sz val="10"/>
      <color theme="0" tint="-0.24994659260841701"/>
      <name val="Segoe UI"/>
      <family val="2"/>
    </font>
    <font>
      <b/>
      <i/>
      <sz val="11"/>
      <color rgb="FF1F497D"/>
      <name val="Segoe UI"/>
      <family val="2"/>
    </font>
    <font>
      <b/>
      <u/>
      <sz val="11"/>
      <color theme="0"/>
      <name val="Segoe UI"/>
      <family val="2"/>
    </font>
    <font>
      <b/>
      <sz val="11"/>
      <color theme="0"/>
      <name val="Times New Roman"/>
      <family val="1"/>
    </font>
    <font>
      <b/>
      <sz val="11"/>
      <color theme="3"/>
      <name val="Segoe UI"/>
      <family val="2"/>
    </font>
    <font>
      <b/>
      <sz val="10"/>
      <color theme="0" tint="-0.34998626667073579"/>
      <name val="Segoe UI"/>
      <family val="2"/>
    </font>
    <font>
      <sz val="7"/>
      <color theme="0" tint="-0.499984740745262"/>
      <name val="Segoe UI"/>
      <family val="2"/>
    </font>
    <font>
      <sz val="8"/>
      <color theme="0" tint="-0.499984740745262"/>
      <name val="Segoe UI"/>
      <family val="2"/>
    </font>
    <font>
      <i/>
      <u/>
      <sz val="10"/>
      <color theme="1"/>
      <name val="Segoe UI"/>
      <family val="2"/>
    </font>
    <font>
      <sz val="10"/>
      <name val="Segoe UI Semibold"/>
      <family val="2"/>
    </font>
    <font>
      <u/>
      <sz val="8"/>
      <color theme="0" tint="-0.499984740745262"/>
      <name val="Segoe UI"/>
      <family val="2"/>
    </font>
    <font>
      <sz val="9"/>
      <color theme="0" tint="-0.34998626667073579"/>
      <name val="Segoe UI"/>
      <family val="2"/>
    </font>
    <font>
      <sz val="12"/>
      <name val="Times New Roman"/>
      <family val="1"/>
    </font>
    <font>
      <b/>
      <sz val="10"/>
      <color rgb="FF0D497D"/>
      <name val="Segoe UI"/>
      <family val="2"/>
    </font>
    <font>
      <b/>
      <sz val="10"/>
      <color theme="0" tint="-0.499984740745262"/>
      <name val="Segoe UI"/>
      <family val="2"/>
    </font>
    <font>
      <b/>
      <sz val="48"/>
      <color rgb="FFFF0000"/>
      <name val="Segoe UI"/>
      <family val="2"/>
    </font>
    <font>
      <b/>
      <sz val="72"/>
      <color rgb="FFFF0000"/>
      <name val="Segoe UI"/>
      <family val="2"/>
    </font>
    <font>
      <b/>
      <sz val="10"/>
      <color indexed="9"/>
      <name val="Segoe UI"/>
      <family val="2"/>
    </font>
    <font>
      <sz val="14"/>
      <color rgb="FF212529"/>
      <name val="Segoe UI"/>
      <family val="2"/>
    </font>
    <font>
      <sz val="10"/>
      <name val="Calibri"/>
      <family val="2"/>
    </font>
    <font>
      <sz val="11"/>
      <color theme="0"/>
      <name val="Calibri"/>
      <family val="2"/>
    </font>
    <font>
      <b/>
      <sz val="11"/>
      <color theme="0"/>
      <name val="Calibri"/>
      <family val="2"/>
    </font>
    <font>
      <b/>
      <sz val="11"/>
      <name val="Calibri"/>
      <family val="2"/>
    </font>
    <font>
      <b/>
      <sz val="10"/>
      <color theme="1"/>
      <name val="Calibri"/>
      <family val="2"/>
    </font>
  </fonts>
  <fills count="20">
    <fill>
      <patternFill patternType="none"/>
    </fill>
    <fill>
      <patternFill patternType="gray125"/>
    </fill>
    <fill>
      <patternFill patternType="solid">
        <fgColor theme="0"/>
        <bgColor indexed="64"/>
      </patternFill>
    </fill>
    <fill>
      <patternFill patternType="solid">
        <fgColor rgb="FF1F497D"/>
        <bgColor indexed="64"/>
      </patternFill>
    </fill>
    <fill>
      <patternFill patternType="solid">
        <fgColor theme="3" tint="0.59999389629810485"/>
        <bgColor indexed="64"/>
      </patternFill>
    </fill>
    <fill>
      <patternFill patternType="solid">
        <fgColor theme="3" tint="0.59996337778862885"/>
        <bgColor indexed="64"/>
      </patternFill>
    </fill>
    <fill>
      <patternFill patternType="solid">
        <fgColor indexed="9"/>
        <bgColor indexed="64"/>
      </patternFill>
    </fill>
    <fill>
      <patternFill patternType="solid">
        <fgColor theme="9"/>
      </patternFill>
    </fill>
    <fill>
      <patternFill patternType="solid">
        <fgColor theme="9" tint="0.79998168889431442"/>
        <bgColor indexed="65"/>
      </patternFill>
    </fill>
    <fill>
      <patternFill patternType="solid">
        <fgColor theme="0" tint="-0.14999847407452621"/>
        <bgColor indexed="64"/>
      </patternFill>
    </fill>
    <fill>
      <patternFill patternType="solid">
        <fgColor rgb="FF8DB4E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C000"/>
        <bgColor indexed="64"/>
      </patternFill>
    </fill>
    <fill>
      <patternFill patternType="solid">
        <fgColor theme="4" tint="0.79998168889431442"/>
        <bgColor indexed="64"/>
      </patternFill>
    </fill>
    <fill>
      <patternFill patternType="solid">
        <fgColor theme="3"/>
        <bgColor indexed="64"/>
      </patternFill>
    </fill>
    <fill>
      <patternFill patternType="solid">
        <fgColor rgb="FFFF0000"/>
        <bgColor indexed="64"/>
      </patternFill>
    </fill>
    <fill>
      <patternFill patternType="solid">
        <fgColor rgb="FF005710"/>
        <bgColor indexed="64"/>
      </patternFill>
    </fill>
    <fill>
      <patternFill patternType="solid">
        <fgColor theme="0" tint="-0.249977111117893"/>
        <bgColor indexed="64"/>
      </patternFill>
    </fill>
  </fills>
  <borders count="30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right style="medium">
        <color indexed="64"/>
      </right>
      <top style="medium">
        <color indexed="64"/>
      </top>
      <bottom style="medium">
        <color indexed="64"/>
      </bottom>
      <diagonal/>
    </border>
    <border>
      <left/>
      <right/>
      <top style="thin">
        <color auto="1"/>
      </top>
      <bottom/>
      <diagonal/>
    </border>
    <border>
      <left/>
      <right/>
      <top style="hair">
        <color auto="1"/>
      </top>
      <bottom/>
      <diagonal/>
    </border>
    <border>
      <left style="medium">
        <color indexed="64"/>
      </left>
      <right/>
      <top/>
      <bottom style="thin">
        <color indexed="64"/>
      </bottom>
      <diagonal/>
    </border>
    <border>
      <left/>
      <right style="medium">
        <color indexed="64"/>
      </right>
      <top/>
      <bottom style="thin">
        <color indexed="64"/>
      </bottom>
      <diagonal/>
    </border>
    <border>
      <left/>
      <right style="thin">
        <color auto="1"/>
      </right>
      <top/>
      <bottom/>
      <diagonal/>
    </border>
    <border>
      <left/>
      <right style="medium">
        <color indexed="64"/>
      </right>
      <top style="thin">
        <color indexed="64"/>
      </top>
      <bottom/>
      <diagonal/>
    </border>
    <border>
      <left/>
      <right/>
      <top/>
      <bottom style="medium">
        <color rgb="FF1F497D"/>
      </bottom>
      <diagonal/>
    </border>
    <border>
      <left/>
      <right/>
      <top/>
      <bottom style="thin">
        <color auto="1"/>
      </bottom>
      <diagonal/>
    </border>
    <border>
      <left style="hair">
        <color auto="1"/>
      </left>
      <right style="hair">
        <color auto="1"/>
      </right>
      <top/>
      <bottom/>
      <diagonal/>
    </border>
    <border>
      <left style="thin">
        <color indexed="64"/>
      </left>
      <right style="thin">
        <color indexed="64"/>
      </right>
      <top/>
      <bottom/>
      <diagonal/>
    </border>
    <border>
      <left/>
      <right/>
      <top style="medium">
        <color rgb="FF1F497D"/>
      </top>
      <bottom style="medium">
        <color indexed="64"/>
      </bottom>
      <diagonal/>
    </border>
    <border>
      <left style="thin">
        <color indexed="64"/>
      </left>
      <right style="thin">
        <color indexed="64"/>
      </right>
      <top/>
      <bottom style="medium">
        <color indexed="64"/>
      </bottom>
      <diagonal/>
    </border>
    <border>
      <left/>
      <right/>
      <top/>
      <bottom style="thin">
        <color auto="1"/>
      </bottom>
      <diagonal/>
    </border>
    <border>
      <left/>
      <right/>
      <top style="thin">
        <color theme="3"/>
      </top>
      <bottom style="medium">
        <color rgb="FF1F497D"/>
      </bottom>
      <diagonal/>
    </border>
    <border>
      <left/>
      <right/>
      <top style="thin">
        <color auto="1"/>
      </top>
      <bottom style="medium">
        <color rgb="FF1F497D"/>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theme="0"/>
      </left>
      <right style="medium">
        <color theme="0"/>
      </right>
      <top style="medium">
        <color theme="0"/>
      </top>
      <bottom style="medium">
        <color theme="0"/>
      </bottom>
      <diagonal/>
    </border>
    <border>
      <left/>
      <right/>
      <top style="hair">
        <color auto="1"/>
      </top>
      <bottom style="thin">
        <color auto="1"/>
      </bottom>
      <diagonal/>
    </border>
    <border>
      <left style="thin">
        <color indexed="64"/>
      </left>
      <right/>
      <top style="hair">
        <color indexed="64"/>
      </top>
      <bottom style="hair">
        <color indexed="64"/>
      </bottom>
      <diagonal/>
    </border>
    <border>
      <left/>
      <right/>
      <top style="hair">
        <color auto="1"/>
      </top>
      <bottom style="hair">
        <color auto="1"/>
      </bottom>
      <diagonal/>
    </border>
    <border>
      <left style="medium">
        <color indexed="64"/>
      </left>
      <right style="medium">
        <color indexed="64"/>
      </right>
      <top style="hair">
        <color indexed="64"/>
      </top>
      <bottom style="medium">
        <color indexed="64"/>
      </bottom>
      <diagonal/>
    </border>
    <border>
      <left/>
      <right/>
      <top style="medium">
        <color rgb="FF1F497D"/>
      </top>
      <bottom/>
      <diagonal/>
    </border>
    <border>
      <left/>
      <right/>
      <top style="hair">
        <color indexed="64"/>
      </top>
      <bottom/>
      <diagonal/>
    </border>
    <border>
      <left style="medium">
        <color indexed="64"/>
      </left>
      <right style="medium">
        <color indexed="64"/>
      </right>
      <top style="thin">
        <color indexed="64"/>
      </top>
      <bottom/>
      <diagonal/>
    </border>
    <border>
      <left/>
      <right style="hair">
        <color auto="1"/>
      </right>
      <top/>
      <bottom style="hair">
        <color auto="1"/>
      </bottom>
      <diagonal/>
    </border>
    <border>
      <left style="hair">
        <color auto="1"/>
      </left>
      <right style="hair">
        <color auto="1"/>
      </right>
      <top/>
      <bottom style="hair">
        <color auto="1"/>
      </bottom>
      <diagonal/>
    </border>
    <border>
      <left/>
      <right style="hair">
        <color auto="1"/>
      </right>
      <top style="hair">
        <color auto="1"/>
      </top>
      <bottom style="hair">
        <color indexed="64"/>
      </bottom>
      <diagonal/>
    </border>
    <border>
      <left style="hair">
        <color auto="1"/>
      </left>
      <right style="hair">
        <color auto="1"/>
      </right>
      <top style="hair">
        <color auto="1"/>
      </top>
      <bottom style="hair">
        <color indexed="64"/>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bottom style="hair">
        <color auto="1"/>
      </bottom>
      <diagonal/>
    </border>
    <border>
      <left/>
      <right style="hair">
        <color auto="1"/>
      </right>
      <top style="hair">
        <color auto="1"/>
      </top>
      <bottom style="hair">
        <color indexed="64"/>
      </bottom>
      <diagonal/>
    </border>
    <border>
      <left style="hair">
        <color auto="1"/>
      </left>
      <right style="hair">
        <color auto="1"/>
      </right>
      <top style="hair">
        <color auto="1"/>
      </top>
      <bottom style="hair">
        <color indexed="64"/>
      </bottom>
      <diagonal/>
    </border>
    <border>
      <left style="hair">
        <color auto="1"/>
      </left>
      <right style="hair">
        <color auto="1"/>
      </right>
      <top/>
      <bottom style="hair">
        <color auto="1"/>
      </bottom>
      <diagonal/>
    </border>
    <border>
      <left/>
      <right style="hair">
        <color auto="1"/>
      </right>
      <top style="hair">
        <color auto="1"/>
      </top>
      <bottom style="hair">
        <color indexed="64"/>
      </bottom>
      <diagonal/>
    </border>
    <border>
      <left style="hair">
        <color auto="1"/>
      </left>
      <right style="hair">
        <color auto="1"/>
      </right>
      <top style="hair">
        <color auto="1"/>
      </top>
      <bottom style="hair">
        <color indexed="64"/>
      </bottom>
      <diagonal/>
    </border>
    <border>
      <left/>
      <right/>
      <top style="thin">
        <color rgb="FF010000"/>
      </top>
      <bottom/>
      <diagonal/>
    </border>
    <border>
      <left/>
      <right style="hair">
        <color auto="1"/>
      </right>
      <top/>
      <bottom style="hair">
        <color auto="1"/>
      </bottom>
      <diagonal/>
    </border>
    <border>
      <left style="hair">
        <color auto="1"/>
      </left>
      <right style="hair">
        <color auto="1"/>
      </right>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style="hair">
        <color auto="1"/>
      </right>
      <top style="hair">
        <color auto="1"/>
      </top>
      <bottom style="thin">
        <color auto="1"/>
      </bottom>
      <diagonal/>
    </border>
    <border>
      <left style="hair">
        <color auto="1"/>
      </left>
      <right/>
      <top style="hair">
        <color indexed="64"/>
      </top>
      <bottom style="thin">
        <color indexed="64"/>
      </bottom>
      <diagonal/>
    </border>
    <border>
      <left/>
      <right style="hair">
        <color auto="1"/>
      </right>
      <top/>
      <bottom/>
      <diagonal/>
    </border>
    <border>
      <left style="hair">
        <color auto="1"/>
      </left>
      <right/>
      <top/>
      <bottom/>
      <diagonal/>
    </border>
    <border>
      <left/>
      <right style="hair">
        <color auto="1"/>
      </right>
      <top style="hair">
        <color indexed="64"/>
      </top>
      <bottom style="thin">
        <color indexed="64"/>
      </bottom>
      <diagonal/>
    </border>
    <border>
      <left style="thin">
        <color indexed="64"/>
      </left>
      <right/>
      <top style="medium">
        <color indexed="64"/>
      </top>
      <bottom style="hair">
        <color indexed="64"/>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right style="hair">
        <color auto="1"/>
      </right>
      <top style="hair">
        <color auto="1"/>
      </top>
      <bottom style="hair">
        <color indexed="64"/>
      </bottom>
      <diagonal/>
    </border>
    <border>
      <left style="hair">
        <color auto="1"/>
      </left>
      <right style="hair">
        <color auto="1"/>
      </right>
      <top style="hair">
        <color auto="1"/>
      </top>
      <bottom style="hair">
        <color indexed="64"/>
      </bottom>
      <diagonal/>
    </border>
    <border>
      <left style="hair">
        <color auto="1"/>
      </left>
      <right/>
      <top style="hair">
        <color auto="1"/>
      </top>
      <bottom style="hair">
        <color indexed="64"/>
      </bottom>
      <diagonal/>
    </border>
    <border>
      <left/>
      <right/>
      <top style="thin">
        <color auto="1"/>
      </top>
      <bottom/>
      <diagonal/>
    </border>
    <border>
      <left style="thin">
        <color indexed="64"/>
      </left>
      <right style="thin">
        <color indexed="64"/>
      </right>
      <top style="thin">
        <color indexed="64"/>
      </top>
      <bottom/>
      <diagonal/>
    </border>
    <border>
      <left style="thin">
        <color indexed="64"/>
      </left>
      <right style="thin">
        <color indexed="64"/>
      </right>
      <top/>
      <bottom style="thin">
        <color auto="1"/>
      </bottom>
      <diagonal/>
    </border>
    <border>
      <left/>
      <right style="hair">
        <color auto="1"/>
      </right>
      <top style="hair">
        <color auto="1"/>
      </top>
      <bottom style="hair">
        <color indexed="64"/>
      </bottom>
      <diagonal/>
    </border>
    <border>
      <left style="hair">
        <color auto="1"/>
      </left>
      <right style="hair">
        <color auto="1"/>
      </right>
      <top style="hair">
        <color auto="1"/>
      </top>
      <bottom style="hair">
        <color indexed="64"/>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hair">
        <color auto="1"/>
      </right>
      <top style="hair">
        <color auto="1"/>
      </top>
      <bottom style="hair">
        <color indexed="64"/>
      </bottom>
      <diagonal/>
    </border>
    <border>
      <left style="hair">
        <color auto="1"/>
      </left>
      <right style="hair">
        <color auto="1"/>
      </right>
      <top style="hair">
        <color auto="1"/>
      </top>
      <bottom style="hair">
        <color indexed="64"/>
      </bottom>
      <diagonal/>
    </border>
    <border>
      <left style="hair">
        <color auto="1"/>
      </left>
      <right style="hair">
        <color auto="1"/>
      </right>
      <top/>
      <bottom style="hair">
        <color auto="1"/>
      </bottom>
      <diagonal/>
    </border>
    <border>
      <left/>
      <right/>
      <top/>
      <bottom style="hair">
        <color auto="1"/>
      </bottom>
      <diagonal/>
    </border>
    <border>
      <left style="hair">
        <color auto="1"/>
      </left>
      <right style="hair">
        <color auto="1"/>
      </right>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thin">
        <color indexed="64"/>
      </right>
      <top style="medium">
        <color indexed="64"/>
      </top>
      <bottom/>
      <diagonal/>
    </border>
    <border>
      <left style="hair">
        <color auto="1"/>
      </left>
      <right style="hair">
        <color auto="1"/>
      </right>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top style="hair">
        <color auto="1"/>
      </top>
      <bottom style="thin">
        <color indexed="64"/>
      </bottom>
      <diagonal/>
    </border>
    <border>
      <left/>
      <right style="medium">
        <color indexed="64"/>
      </right>
      <top style="medium">
        <color indexed="64"/>
      </top>
      <bottom style="hair">
        <color indexed="64"/>
      </bottom>
      <diagonal/>
    </border>
    <border>
      <left/>
      <right style="medium">
        <color indexed="64"/>
      </right>
      <top style="hair">
        <color indexed="64"/>
      </top>
      <bottom style="hair">
        <color indexed="64"/>
      </bottom>
      <diagonal/>
    </border>
    <border>
      <left/>
      <right style="medium">
        <color indexed="64"/>
      </right>
      <top style="hair">
        <color indexed="64"/>
      </top>
      <bottom style="medium">
        <color indexed="64"/>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right style="hair">
        <color auto="1"/>
      </right>
      <top/>
      <bottom style="hair">
        <color indexed="64"/>
      </bottom>
      <diagonal/>
    </border>
    <border>
      <left style="hair">
        <color auto="1"/>
      </left>
      <right style="hair">
        <color auto="1"/>
      </right>
      <top/>
      <bottom style="hair">
        <color indexed="64"/>
      </bottom>
      <diagonal/>
    </border>
    <border>
      <left/>
      <right/>
      <top style="thin">
        <color auto="1"/>
      </top>
      <bottom style="medium">
        <color auto="1"/>
      </bottom>
      <diagonal/>
    </border>
    <border>
      <left style="hair">
        <color indexed="64"/>
      </left>
      <right style="hair">
        <color indexed="64"/>
      </right>
      <top style="hair">
        <color indexed="64"/>
      </top>
      <bottom style="medium">
        <color indexed="64"/>
      </bottom>
      <diagonal/>
    </border>
    <border>
      <left/>
      <right/>
      <top style="thin">
        <color rgb="FF010000"/>
      </top>
      <bottom style="medium">
        <color rgb="FF1F497D"/>
      </bottom>
      <diagonal/>
    </border>
    <border>
      <left style="hair">
        <color indexed="64"/>
      </left>
      <right/>
      <top style="thin">
        <color indexed="64"/>
      </top>
      <bottom style="hair">
        <color auto="1"/>
      </bottom>
      <diagonal/>
    </border>
    <border>
      <left style="hair">
        <color auto="1"/>
      </left>
      <right style="hair">
        <color auto="1"/>
      </right>
      <top style="thin">
        <color indexed="64"/>
      </top>
      <bottom style="hair">
        <color indexed="64"/>
      </bottom>
      <diagonal/>
    </border>
    <border>
      <left style="hair">
        <color auto="1"/>
      </left>
      <right style="hair">
        <color auto="1"/>
      </right>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style="hair">
        <color auto="1"/>
      </top>
      <bottom/>
      <diagonal/>
    </border>
    <border>
      <left/>
      <right/>
      <top/>
      <bottom style="thin">
        <color rgb="FF010000"/>
      </bottom>
      <diagonal/>
    </border>
    <border>
      <left/>
      <right style="hair">
        <color auto="1"/>
      </right>
      <top style="hair">
        <color auto="1"/>
      </top>
      <bottom style="medium">
        <color indexed="64"/>
      </bottom>
      <diagonal/>
    </border>
    <border>
      <left style="hair">
        <color auto="1"/>
      </left>
      <right/>
      <top style="hair">
        <color auto="1"/>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hair">
        <color auto="1"/>
      </left>
      <right style="hair">
        <color auto="1"/>
      </right>
      <top style="medium">
        <color indexed="64"/>
      </top>
      <bottom style="hair">
        <color auto="1"/>
      </bottom>
      <diagonal/>
    </border>
    <border>
      <left style="hair">
        <color auto="1"/>
      </left>
      <right style="medium">
        <color indexed="64"/>
      </right>
      <top style="medium">
        <color indexed="64"/>
      </top>
      <bottom style="hair">
        <color auto="1"/>
      </bottom>
      <diagonal/>
    </border>
    <border>
      <left style="hair">
        <color auto="1"/>
      </left>
      <right style="medium">
        <color indexed="64"/>
      </right>
      <top style="hair">
        <color auto="1"/>
      </top>
      <bottom style="hair">
        <color auto="1"/>
      </bottom>
      <diagonal/>
    </border>
    <border>
      <left style="hair">
        <color auto="1"/>
      </left>
      <right style="medium">
        <color indexed="64"/>
      </right>
      <top style="hair">
        <color auto="1"/>
      </top>
      <bottom/>
      <diagonal/>
    </border>
    <border>
      <left style="hair">
        <color auto="1"/>
      </left>
      <right style="medium">
        <color indexed="64"/>
      </right>
      <top style="hair">
        <color auto="1"/>
      </top>
      <bottom style="medium">
        <color indexed="64"/>
      </bottom>
      <diagonal/>
    </border>
    <border>
      <left/>
      <right style="hair">
        <color auto="1"/>
      </right>
      <top/>
      <bottom/>
      <diagonal/>
    </border>
    <border>
      <left style="hair">
        <color auto="1"/>
      </left>
      <right/>
      <top/>
      <bottom/>
      <diagonal/>
    </border>
    <border>
      <left/>
      <right style="hair">
        <color auto="1"/>
      </right>
      <top/>
      <bottom style="hair">
        <color auto="1"/>
      </bottom>
      <diagonal/>
    </border>
    <border>
      <left style="hair">
        <color auto="1"/>
      </left>
      <right style="hair">
        <color auto="1"/>
      </right>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diagonal/>
    </border>
    <border>
      <left style="hair">
        <color auto="1"/>
      </left>
      <right style="hair">
        <color auto="1"/>
      </right>
      <top style="hair">
        <color auto="1"/>
      </top>
      <bottom/>
      <diagonal/>
    </border>
    <border>
      <left style="hair">
        <color auto="1"/>
      </left>
      <right/>
      <top style="hair">
        <color auto="1"/>
      </top>
      <bottom/>
      <diagonal/>
    </border>
    <border>
      <left/>
      <right/>
      <top style="medium">
        <color auto="1"/>
      </top>
      <bottom style="medium">
        <color rgb="FF1F497D"/>
      </bottom>
      <diagonal/>
    </border>
    <border>
      <left style="hair">
        <color auto="1"/>
      </left>
      <right style="hair">
        <color auto="1"/>
      </right>
      <top/>
      <bottom style="hair">
        <color auto="1"/>
      </bottom>
      <diagonal/>
    </border>
    <border>
      <left/>
      <right style="hair">
        <color auto="1"/>
      </right>
      <top/>
      <bottom style="hair">
        <color auto="1"/>
      </bottom>
      <diagonal/>
    </border>
    <border>
      <left/>
      <right/>
      <top style="thin">
        <color auto="1"/>
      </top>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hair">
        <color auto="1"/>
      </right>
      <top/>
      <bottom style="hair">
        <color indexed="64"/>
      </bottom>
      <diagonal/>
    </border>
    <border>
      <left style="hair">
        <color auto="1"/>
      </left>
      <right style="hair">
        <color auto="1"/>
      </right>
      <top/>
      <bottom style="hair">
        <color indexed="64"/>
      </bottom>
      <diagonal/>
    </border>
    <border>
      <left/>
      <right/>
      <top style="thin">
        <color auto="1"/>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diagonal/>
    </border>
    <border>
      <left style="hair">
        <color auto="1"/>
      </left>
      <right style="thin">
        <color auto="1"/>
      </right>
      <top style="hair">
        <color auto="1"/>
      </top>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9" tint="0.39994506668294322"/>
      </top>
      <bottom style="thin">
        <color theme="9" tint="0.39994506668294322"/>
      </bottom>
      <diagonal/>
    </border>
    <border>
      <left/>
      <right/>
      <top style="medium">
        <color rgb="FF0D497D"/>
      </top>
      <bottom/>
      <diagonal/>
    </border>
    <border>
      <left/>
      <right style="medium">
        <color rgb="FF1F497D"/>
      </right>
      <top style="medium">
        <color rgb="FF1F497D"/>
      </top>
      <bottom/>
      <diagonal/>
    </border>
    <border>
      <left/>
      <right/>
      <top/>
      <bottom style="hair">
        <color rgb="FF1F497D"/>
      </bottom>
      <diagonal/>
    </border>
    <border>
      <left/>
      <right/>
      <top style="hair">
        <color rgb="FF1F497D"/>
      </top>
      <bottom style="hair">
        <color rgb="FF1F497D"/>
      </bottom>
      <diagonal/>
    </border>
    <border>
      <left/>
      <right/>
      <top style="hair">
        <color rgb="FF1F497D"/>
      </top>
      <bottom/>
      <diagonal/>
    </border>
    <border>
      <left/>
      <right/>
      <top style="hair">
        <color rgb="FF1F497D"/>
      </top>
      <bottom style="medium">
        <color rgb="FF1F497D"/>
      </bottom>
      <diagonal/>
    </border>
    <border>
      <left style="medium">
        <color indexed="64"/>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medium">
        <color theme="0" tint="-0.14996795556505021"/>
      </bottom>
      <diagonal/>
    </border>
    <border>
      <left/>
      <right/>
      <top style="hair">
        <color auto="1"/>
      </top>
      <bottom style="medium">
        <color indexed="64"/>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right style="thin">
        <color auto="1"/>
      </right>
      <top style="hair">
        <color auto="1"/>
      </top>
      <bottom style="thin">
        <color auto="1"/>
      </bottom>
      <diagonal/>
    </border>
    <border>
      <left/>
      <right/>
      <top style="medium">
        <color indexed="64"/>
      </top>
      <bottom style="hair">
        <color indexed="64"/>
      </bottom>
      <diagonal/>
    </border>
    <border>
      <left style="thin">
        <color indexed="64"/>
      </left>
      <right/>
      <top style="hair">
        <color auto="1"/>
      </top>
      <bottom/>
      <diagonal/>
    </border>
    <border>
      <left style="thin">
        <color indexed="64"/>
      </left>
      <right style="medium">
        <color indexed="64"/>
      </right>
      <top style="hair">
        <color auto="1"/>
      </top>
      <bottom style="medium">
        <color indexed="64"/>
      </bottom>
      <diagonal/>
    </border>
    <border>
      <left/>
      <right style="hair">
        <color indexed="64"/>
      </right>
      <top style="thin">
        <color indexed="64"/>
      </top>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hair">
        <color auto="1"/>
      </left>
      <right style="hair">
        <color auto="1"/>
      </right>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medium">
        <color indexed="64"/>
      </right>
      <top/>
      <bottom style="medium">
        <color indexed="64"/>
      </bottom>
      <diagonal/>
    </border>
    <border>
      <left style="thin">
        <color indexed="64"/>
      </left>
      <right style="medium">
        <color indexed="64"/>
      </right>
      <top style="hair">
        <color auto="1"/>
      </top>
      <bottom style="hair">
        <color indexed="64"/>
      </bottom>
      <diagonal/>
    </border>
    <border>
      <left style="medium">
        <color rgb="FF1F497D"/>
      </left>
      <right style="medium">
        <color rgb="FF1F497D"/>
      </right>
      <top/>
      <bottom/>
      <diagonal/>
    </border>
    <border>
      <left style="medium">
        <color rgb="FF1F497D"/>
      </left>
      <right style="medium">
        <color rgb="FF1F497D"/>
      </right>
      <top/>
      <bottom style="medium">
        <color rgb="FF1F497D"/>
      </bottom>
      <diagonal/>
    </border>
    <border>
      <left style="medium">
        <color rgb="FF1F497D"/>
      </left>
      <right style="medium">
        <color indexed="64"/>
      </right>
      <top/>
      <bottom/>
      <diagonal/>
    </border>
    <border>
      <left/>
      <right style="medium">
        <color indexed="64"/>
      </right>
      <top style="hair">
        <color auto="1"/>
      </top>
      <bottom/>
      <diagonal/>
    </border>
    <border>
      <left style="hair">
        <color auto="1"/>
      </left>
      <right/>
      <top style="thin">
        <color auto="1"/>
      </top>
      <bottom/>
      <diagonal/>
    </border>
    <border>
      <left style="hair">
        <color auto="1"/>
      </left>
      <right/>
      <top/>
      <bottom style="thin">
        <color auto="1"/>
      </bottom>
      <diagonal/>
    </border>
    <border>
      <left/>
      <right style="hair">
        <color auto="1"/>
      </right>
      <top/>
      <bottom style="thin">
        <color auto="1"/>
      </bottom>
      <diagonal/>
    </border>
    <border>
      <left style="medium">
        <color indexed="64"/>
      </left>
      <right style="hair">
        <color indexed="64"/>
      </right>
      <top/>
      <bottom/>
      <diagonal/>
    </border>
    <border>
      <left style="hair">
        <color indexed="64"/>
      </left>
      <right style="medium">
        <color indexed="64"/>
      </right>
      <top/>
      <bottom/>
      <diagonal/>
    </border>
    <border>
      <left style="medium">
        <color indexed="64"/>
      </left>
      <right style="hair">
        <color auto="1"/>
      </right>
      <top style="medium">
        <color indexed="64"/>
      </top>
      <bottom style="medium">
        <color indexed="64"/>
      </bottom>
      <diagonal/>
    </border>
    <border>
      <left style="hair">
        <color auto="1"/>
      </left>
      <right style="medium">
        <color indexed="64"/>
      </right>
      <top style="medium">
        <color indexed="64"/>
      </top>
      <bottom style="medium">
        <color indexed="64"/>
      </bottom>
      <diagonal/>
    </border>
    <border>
      <left/>
      <right/>
      <top style="medium">
        <color rgb="FF1F497D"/>
      </top>
      <bottom style="medium">
        <color rgb="FF1F497D"/>
      </bottom>
      <diagonal/>
    </border>
    <border>
      <left style="hair">
        <color auto="1"/>
      </left>
      <right style="medium">
        <color indexed="64"/>
      </right>
      <top style="medium">
        <color indexed="64"/>
      </top>
      <bottom/>
      <diagonal/>
    </border>
    <border>
      <left style="hair">
        <color indexed="64"/>
      </left>
      <right style="hair">
        <color indexed="64"/>
      </right>
      <top style="medium">
        <color indexed="64"/>
      </top>
      <bottom style="medium">
        <color indexed="64"/>
      </bottom>
      <diagonal/>
    </border>
    <border>
      <left style="hair">
        <color indexed="64"/>
      </left>
      <right style="hair">
        <color indexed="64"/>
      </right>
      <top/>
      <bottom style="medium">
        <color indexed="64"/>
      </bottom>
      <diagonal/>
    </border>
    <border>
      <left style="hair">
        <color indexed="64"/>
      </left>
      <right style="medium">
        <color indexed="64"/>
      </right>
      <top/>
      <bottom style="medium">
        <color indexed="64"/>
      </bottom>
      <diagonal/>
    </border>
    <border>
      <left style="hair">
        <color indexed="64"/>
      </left>
      <right/>
      <top style="medium">
        <color indexed="64"/>
      </top>
      <bottom/>
      <diagonal/>
    </border>
    <border>
      <left/>
      <right style="hair">
        <color indexed="64"/>
      </right>
      <top style="medium">
        <color indexed="64"/>
      </top>
      <bottom/>
      <diagonal/>
    </border>
    <border>
      <left/>
      <right style="medium">
        <color rgb="FF1F497D"/>
      </right>
      <top style="thin">
        <color indexed="64"/>
      </top>
      <bottom style="medium">
        <color rgb="FF1F497D"/>
      </bottom>
      <diagonal/>
    </border>
    <border>
      <left style="thin">
        <color indexed="64"/>
      </left>
      <right/>
      <top style="hair">
        <color auto="1"/>
      </top>
      <bottom style="medium">
        <color indexed="64"/>
      </bottom>
      <diagonal/>
    </border>
    <border>
      <left style="dashed">
        <color auto="1"/>
      </left>
      <right/>
      <top/>
      <bottom/>
      <diagonal/>
    </border>
    <border>
      <left/>
      <right style="dashed">
        <color auto="1"/>
      </right>
      <top/>
      <bottom/>
      <diagonal/>
    </border>
    <border>
      <left style="dashed">
        <color auto="1"/>
      </left>
      <right/>
      <top/>
      <bottom style="thin">
        <color auto="1"/>
      </bottom>
      <diagonal/>
    </border>
    <border>
      <left/>
      <right style="dashed">
        <color auto="1"/>
      </right>
      <top/>
      <bottom style="thin">
        <color auto="1"/>
      </bottom>
      <diagonal/>
    </border>
    <border>
      <left/>
      <right/>
      <top/>
      <bottom style="dashed">
        <color auto="1"/>
      </bottom>
      <diagonal/>
    </border>
    <border>
      <left style="medium">
        <color indexed="64"/>
      </left>
      <right style="hair">
        <color auto="1"/>
      </right>
      <top style="hair">
        <color indexed="64"/>
      </top>
      <bottom style="medium">
        <color indexed="64"/>
      </bottom>
      <diagonal/>
    </border>
    <border>
      <left style="medium">
        <color indexed="64"/>
      </left>
      <right/>
      <top style="medium">
        <color indexed="64"/>
      </top>
      <bottom style="hair">
        <color indexed="64"/>
      </bottom>
      <diagonal/>
    </border>
    <border>
      <left style="medium">
        <color indexed="64"/>
      </left>
      <right style="hair">
        <color indexed="64"/>
      </right>
      <top/>
      <bottom style="medium">
        <color indexed="64"/>
      </bottom>
      <diagonal/>
    </border>
    <border>
      <left style="hair">
        <color auto="1"/>
      </left>
      <right style="hair">
        <color auto="1"/>
      </right>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thick">
        <color indexed="64"/>
      </right>
      <top style="hair">
        <color auto="1"/>
      </top>
      <bottom style="hair">
        <color auto="1"/>
      </bottom>
      <diagonal/>
    </border>
    <border>
      <left/>
      <right style="thick">
        <color indexed="64"/>
      </right>
      <top/>
      <bottom/>
      <diagonal/>
    </border>
    <border>
      <left style="thin">
        <color indexed="64"/>
      </left>
      <right/>
      <top style="thick">
        <color indexed="64"/>
      </top>
      <bottom style="hair">
        <color auto="1"/>
      </bottom>
      <diagonal/>
    </border>
    <border>
      <left/>
      <right/>
      <top style="thick">
        <color indexed="64"/>
      </top>
      <bottom style="hair">
        <color auto="1"/>
      </bottom>
      <diagonal/>
    </border>
    <border>
      <left/>
      <right style="thick">
        <color indexed="64"/>
      </right>
      <top style="thick">
        <color indexed="64"/>
      </top>
      <bottom style="hair">
        <color auto="1"/>
      </bottom>
      <diagonal/>
    </border>
    <border>
      <left style="medium">
        <color indexed="64"/>
      </left>
      <right/>
      <top/>
      <bottom style="thick">
        <color indexed="64"/>
      </bottom>
      <diagonal/>
    </border>
    <border>
      <left/>
      <right/>
      <top/>
      <bottom style="thick">
        <color indexed="64"/>
      </bottom>
      <diagonal/>
    </border>
    <border>
      <left/>
      <right style="medium">
        <color indexed="64"/>
      </right>
      <top/>
      <bottom style="thick">
        <color indexed="64"/>
      </bottom>
      <diagonal/>
    </border>
    <border>
      <left style="thin">
        <color theme="0"/>
      </left>
      <right style="hair">
        <color auto="1"/>
      </right>
      <top style="thin">
        <color theme="0"/>
      </top>
      <bottom style="thin">
        <color theme="0"/>
      </bottom>
      <diagonal/>
    </border>
    <border>
      <left style="thin">
        <color theme="0"/>
      </left>
      <right style="hair">
        <color auto="1"/>
      </right>
      <top style="thin">
        <color theme="0"/>
      </top>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auto="1"/>
      </top>
      <bottom/>
      <diagonal/>
    </border>
    <border>
      <left style="thin">
        <color theme="0"/>
      </left>
      <right style="hair">
        <color indexed="64"/>
      </right>
      <top style="thin">
        <color auto="1"/>
      </top>
      <bottom/>
      <diagonal/>
    </border>
    <border>
      <left/>
      <right/>
      <top style="thin">
        <color theme="0"/>
      </top>
      <bottom/>
      <diagonal/>
    </border>
    <border>
      <left style="thin">
        <color theme="0"/>
      </left>
      <right/>
      <top style="thin">
        <color theme="0"/>
      </top>
      <bottom/>
      <diagonal/>
    </border>
    <border>
      <left style="hair">
        <color auto="1"/>
      </left>
      <right/>
      <top style="thin">
        <color theme="0"/>
      </top>
      <bottom/>
      <diagonal/>
    </border>
    <border>
      <left/>
      <right/>
      <top style="thick">
        <color theme="0"/>
      </top>
      <bottom/>
      <diagonal/>
    </border>
    <border>
      <left/>
      <right/>
      <top style="thin">
        <color theme="0"/>
      </top>
      <bottom style="thin">
        <color theme="0"/>
      </bottom>
      <diagonal/>
    </border>
    <border>
      <left style="hair">
        <color auto="1"/>
      </left>
      <right/>
      <top style="thin">
        <color theme="0"/>
      </top>
      <bottom style="thin">
        <color theme="0"/>
      </bottom>
      <diagonal/>
    </border>
    <border>
      <left style="hair">
        <color auto="1"/>
      </left>
      <right style="hair">
        <color auto="1"/>
      </right>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rgb="FF1F497D"/>
      </left>
      <right/>
      <top/>
      <bottom/>
      <diagonal/>
    </border>
    <border>
      <left style="medium">
        <color rgb="FF1F497D"/>
      </left>
      <right style="hair">
        <color rgb="FF1F497D"/>
      </right>
      <top style="medium">
        <color rgb="FF1F497D"/>
      </top>
      <bottom style="hair">
        <color rgb="FF1F497D"/>
      </bottom>
      <diagonal/>
    </border>
    <border>
      <left style="hair">
        <color rgb="FF1F497D"/>
      </left>
      <right style="hair">
        <color rgb="FF1F497D"/>
      </right>
      <top style="medium">
        <color rgb="FF1F497D"/>
      </top>
      <bottom style="hair">
        <color rgb="FF1F497D"/>
      </bottom>
      <diagonal/>
    </border>
    <border>
      <left style="hair">
        <color rgb="FF1F497D"/>
      </left>
      <right style="medium">
        <color rgb="FF1F497D"/>
      </right>
      <top style="medium">
        <color rgb="FF1F497D"/>
      </top>
      <bottom style="hair">
        <color rgb="FF1F497D"/>
      </bottom>
      <diagonal/>
    </border>
    <border>
      <left style="medium">
        <color rgb="FF1F497D"/>
      </left>
      <right style="hair">
        <color rgb="FF1F497D"/>
      </right>
      <top style="hair">
        <color rgb="FF1F497D"/>
      </top>
      <bottom style="hair">
        <color rgb="FF1F497D"/>
      </bottom>
      <diagonal/>
    </border>
    <border>
      <left style="hair">
        <color rgb="FF1F497D"/>
      </left>
      <right style="hair">
        <color rgb="FF1F497D"/>
      </right>
      <top style="hair">
        <color rgb="FF1F497D"/>
      </top>
      <bottom style="hair">
        <color rgb="FF1F497D"/>
      </bottom>
      <diagonal/>
    </border>
    <border>
      <left style="hair">
        <color rgb="FF1F497D"/>
      </left>
      <right style="medium">
        <color rgb="FF1F497D"/>
      </right>
      <top style="hair">
        <color rgb="FF1F497D"/>
      </top>
      <bottom style="hair">
        <color rgb="FF1F497D"/>
      </bottom>
      <diagonal/>
    </border>
    <border>
      <left style="medium">
        <color rgb="FF1F497D"/>
      </left>
      <right style="hair">
        <color rgb="FF1F497D"/>
      </right>
      <top style="hair">
        <color rgb="FF1F497D"/>
      </top>
      <bottom style="medium">
        <color rgb="FF1F497D"/>
      </bottom>
      <diagonal/>
    </border>
    <border>
      <left style="hair">
        <color rgb="FF1F497D"/>
      </left>
      <right style="hair">
        <color rgb="FF1F497D"/>
      </right>
      <top style="hair">
        <color rgb="FF1F497D"/>
      </top>
      <bottom style="medium">
        <color rgb="FF1F497D"/>
      </bottom>
      <diagonal/>
    </border>
    <border>
      <left style="hair">
        <color rgb="FF1F497D"/>
      </left>
      <right style="medium">
        <color rgb="FF1F497D"/>
      </right>
      <top style="hair">
        <color rgb="FF1F497D"/>
      </top>
      <bottom style="medium">
        <color rgb="FF1F497D"/>
      </bottom>
      <diagonal/>
    </border>
    <border>
      <left style="medium">
        <color rgb="FF1F497D"/>
      </left>
      <right style="hair">
        <color rgb="FF1F497D"/>
      </right>
      <top style="medium">
        <color rgb="FF1F497D"/>
      </top>
      <bottom style="medium">
        <color rgb="FF1F497D"/>
      </bottom>
      <diagonal/>
    </border>
    <border>
      <left style="hair">
        <color rgb="FF1F497D"/>
      </left>
      <right style="hair">
        <color rgb="FF1F497D"/>
      </right>
      <top style="medium">
        <color rgb="FF1F497D"/>
      </top>
      <bottom style="medium">
        <color rgb="FF1F497D"/>
      </bottom>
      <diagonal/>
    </border>
    <border>
      <left style="hair">
        <color rgb="FF1F497D"/>
      </left>
      <right style="medium">
        <color rgb="FF1F497D"/>
      </right>
      <top style="medium">
        <color rgb="FF1F497D"/>
      </top>
      <bottom style="medium">
        <color rgb="FF1F497D"/>
      </bottom>
      <diagonal/>
    </border>
    <border>
      <left style="medium">
        <color rgb="FF1F497D"/>
      </left>
      <right style="medium">
        <color rgb="FF1F497D"/>
      </right>
      <top style="hair">
        <color rgb="FF1F497D"/>
      </top>
      <bottom style="medium">
        <color rgb="FF1F497D"/>
      </bottom>
      <diagonal/>
    </border>
    <border>
      <left style="medium">
        <color rgb="FF1F497D"/>
      </left>
      <right style="medium">
        <color rgb="FF1F497D"/>
      </right>
      <top style="medium">
        <color rgb="FF1F497D"/>
      </top>
      <bottom/>
      <diagonal/>
    </border>
    <border>
      <left style="medium">
        <color rgb="FF1F497D"/>
      </left>
      <right style="medium">
        <color rgb="FF1F497D"/>
      </right>
      <top style="hair">
        <color rgb="FF1F497D"/>
      </top>
      <bottom style="hair">
        <color rgb="FF1F497D"/>
      </bottom>
      <diagonal/>
    </border>
    <border>
      <left style="medium">
        <color rgb="FF1F497D"/>
      </left>
      <right style="medium">
        <color rgb="FF1F497D"/>
      </right>
      <top/>
      <bottom style="hair">
        <color rgb="FF1F497D"/>
      </bottom>
      <diagonal/>
    </border>
    <border>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theme="0"/>
      </left>
      <right style="thin">
        <color theme="0"/>
      </right>
      <top/>
      <bottom style="hair">
        <color auto="1"/>
      </bottom>
      <diagonal/>
    </border>
    <border>
      <left style="thin">
        <color theme="0"/>
      </left>
      <right style="thin">
        <color theme="0"/>
      </right>
      <top style="hair">
        <color auto="1"/>
      </top>
      <bottom style="hair">
        <color auto="1"/>
      </bottom>
      <diagonal/>
    </border>
    <border>
      <left style="thin">
        <color theme="0"/>
      </left>
      <right style="thin">
        <color theme="0"/>
      </right>
      <top style="hair">
        <color auto="1"/>
      </top>
      <bottom/>
      <diagonal/>
    </border>
    <border>
      <left/>
      <right/>
      <top style="dotted">
        <color auto="1"/>
      </top>
      <bottom/>
      <diagonal/>
    </border>
    <border>
      <left/>
      <right style="hair">
        <color auto="1"/>
      </right>
      <top/>
      <bottom style="hair">
        <color auto="1"/>
      </bottom>
      <diagonal/>
    </border>
    <border>
      <left style="hair">
        <color auto="1"/>
      </left>
      <right style="hair">
        <color auto="1"/>
      </right>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top/>
      <bottom style="thin">
        <color theme="0" tint="-0.34998626667073579"/>
      </bottom>
      <diagonal/>
    </border>
    <border>
      <left/>
      <right/>
      <top/>
      <bottom style="medium">
        <color theme="0" tint="-0.34998626667073579"/>
      </bottom>
      <diagonal/>
    </border>
    <border>
      <left style="thin">
        <color rgb="FF1F497D"/>
      </left>
      <right style="thin">
        <color rgb="FF1F497D"/>
      </right>
      <top style="dashed">
        <color theme="0" tint="-0.34998626667073579"/>
      </top>
      <bottom style="dashed">
        <color theme="0" tint="-0.34998626667073579"/>
      </bottom>
      <diagonal/>
    </border>
    <border>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style="thin">
        <color rgb="FF1F497D"/>
      </left>
      <right style="thin">
        <color rgb="FF1F497D"/>
      </right>
      <top style="thin">
        <color rgb="FF1F497D"/>
      </top>
      <bottom style="thin">
        <color rgb="FF1F497D"/>
      </bottom>
      <diagonal/>
    </border>
    <border>
      <left/>
      <right style="thin">
        <color indexed="64"/>
      </right>
      <top style="thin">
        <color indexed="64"/>
      </top>
      <bottom style="thin">
        <color indexed="64"/>
      </bottom>
      <diagonal/>
    </border>
    <border>
      <left style="thin">
        <color rgb="FFFF0000"/>
      </left>
      <right style="thin">
        <color rgb="FFFF0000"/>
      </right>
      <top style="thin">
        <color rgb="FFFF0000"/>
      </top>
      <bottom style="thin">
        <color rgb="FFFF0000"/>
      </bottom>
      <diagonal/>
    </border>
    <border>
      <left style="thin">
        <color rgb="FF1F497D"/>
      </left>
      <right style="thin">
        <color rgb="FF1F497D"/>
      </right>
      <top/>
      <bottom style="dashed">
        <color theme="0" tint="-0.34998626667073579"/>
      </bottom>
      <diagonal/>
    </border>
    <border>
      <left/>
      <right/>
      <top/>
      <bottom style="medium">
        <color theme="3"/>
      </bottom>
      <diagonal/>
    </border>
    <border>
      <left/>
      <right/>
      <top style="thin">
        <color indexed="64"/>
      </top>
      <bottom style="medium">
        <color theme="3"/>
      </bottom>
      <diagonal/>
    </border>
    <border>
      <left/>
      <right style="hair">
        <color auto="1"/>
      </right>
      <top/>
      <bottom style="medium">
        <color rgb="FF1F497D"/>
      </bottom>
      <diagonal/>
    </border>
    <border>
      <left style="hair">
        <color auto="1"/>
      </left>
      <right style="hair">
        <color auto="1"/>
      </right>
      <top/>
      <bottom style="medium">
        <color rgb="FF1F497D"/>
      </bottom>
      <diagonal/>
    </border>
    <border>
      <left style="hair">
        <color auto="1"/>
      </left>
      <right/>
      <top/>
      <bottom style="medium">
        <color rgb="FF1F497D"/>
      </bottom>
      <diagonal/>
    </border>
  </borders>
  <cellStyleXfs count="12">
    <xf numFmtId="0" fontId="0" fillId="0" borderId="0"/>
    <xf numFmtId="9" fontId="1" fillId="0" borderId="0" applyFon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71" fillId="0" borderId="0"/>
    <xf numFmtId="5" fontId="88" fillId="0" borderId="0" applyFont="0" applyFill="0" applyBorder="0" applyAlignment="0" applyProtection="0"/>
    <xf numFmtId="238" fontId="89" fillId="0" borderId="0" applyFont="0" applyFill="0" applyBorder="0" applyAlignment="0">
      <alignment horizontal="left"/>
    </xf>
    <xf numFmtId="0" fontId="1" fillId="8" borderId="160" applyNumberFormat="0" applyAlignment="0" applyProtection="0"/>
    <xf numFmtId="0" fontId="90" fillId="7" borderId="0" applyNumberFormat="0" applyBorder="0" applyAlignment="0" applyProtection="0"/>
    <xf numFmtId="43" fontId="4" fillId="0" borderId="0" applyFont="0" applyFill="0" applyBorder="0" applyAlignment="0" applyProtection="0"/>
    <xf numFmtId="0" fontId="117" fillId="0" borderId="0" applyNumberFormat="0" applyFill="0" applyBorder="0" applyAlignment="0" applyProtection="0"/>
    <xf numFmtId="0" fontId="139" fillId="0" borderId="0"/>
  </cellStyleXfs>
  <cellXfs count="4438">
    <xf numFmtId="0" fontId="0" fillId="0" borderId="0" xfId="0"/>
    <xf numFmtId="0" fontId="4" fillId="2" borderId="6" xfId="0" applyFont="1" applyFill="1" applyBorder="1"/>
    <xf numFmtId="0" fontId="4" fillId="2" borderId="7" xfId="0" applyFont="1" applyFill="1" applyBorder="1"/>
    <xf numFmtId="0" fontId="4" fillId="2" borderId="8" xfId="0" applyFont="1" applyFill="1" applyBorder="1"/>
    <xf numFmtId="0" fontId="4" fillId="2" borderId="9" xfId="0" applyFont="1" applyFill="1" applyBorder="1"/>
    <xf numFmtId="0" fontId="4" fillId="2" borderId="0" xfId="0" applyFont="1" applyFill="1"/>
    <xf numFmtId="0" fontId="4" fillId="2" borderId="10" xfId="0" applyFont="1" applyFill="1" applyBorder="1"/>
    <xf numFmtId="0" fontId="4" fillId="2" borderId="12" xfId="0" applyFont="1" applyFill="1" applyBorder="1"/>
    <xf numFmtId="0" fontId="4" fillId="2" borderId="11" xfId="0" applyFont="1" applyFill="1" applyBorder="1"/>
    <xf numFmtId="0" fontId="4" fillId="2" borderId="13" xfId="0" applyFont="1" applyFill="1" applyBorder="1"/>
    <xf numFmtId="0" fontId="4" fillId="3" borderId="0" xfId="0" applyFont="1" applyFill="1"/>
    <xf numFmtId="0" fontId="9" fillId="3" borderId="0" xfId="0" applyFont="1" applyFill="1"/>
    <xf numFmtId="0" fontId="11" fillId="3" borderId="0" xfId="0" applyFont="1" applyFill="1"/>
    <xf numFmtId="0" fontId="4" fillId="3" borderId="0" xfId="0" applyFont="1" applyFill="1" applyAlignment="1">
      <alignment horizontal="center"/>
    </xf>
    <xf numFmtId="0" fontId="4" fillId="2" borderId="12" xfId="0" applyFont="1" applyFill="1" applyBorder="1" applyAlignment="1">
      <alignment horizontal="center"/>
    </xf>
    <xf numFmtId="0" fontId="12" fillId="2" borderId="0" xfId="0" applyFont="1" applyFill="1" applyAlignment="1">
      <alignment horizontal="center"/>
    </xf>
    <xf numFmtId="0" fontId="9" fillId="2" borderId="9" xfId="0" applyFont="1" applyFill="1" applyBorder="1"/>
    <xf numFmtId="0" fontId="5" fillId="3" borderId="0" xfId="0" applyFont="1" applyFill="1"/>
    <xf numFmtId="0" fontId="8" fillId="2" borderId="0" xfId="0" applyFont="1" applyFill="1"/>
    <xf numFmtId="0" fontId="4" fillId="2" borderId="0" xfId="0" applyFont="1" applyFill="1" applyAlignment="1">
      <alignment horizontal="right"/>
    </xf>
    <xf numFmtId="0" fontId="4" fillId="2" borderId="0" xfId="0" applyFont="1" applyFill="1" applyAlignment="1">
      <alignment horizontal="left"/>
    </xf>
    <xf numFmtId="0" fontId="16" fillId="2" borderId="0" xfId="0" applyFont="1" applyFill="1"/>
    <xf numFmtId="0" fontId="5" fillId="2" borderId="0" xfId="0" applyFont="1" applyFill="1"/>
    <xf numFmtId="0" fontId="17" fillId="2" borderId="15" xfId="0" applyFont="1" applyFill="1" applyBorder="1"/>
    <xf numFmtId="0" fontId="4" fillId="3" borderId="0" xfId="0" applyFont="1" applyFill="1" applyAlignment="1">
      <alignment horizontal="left"/>
    </xf>
    <xf numFmtId="0" fontId="4" fillId="2" borderId="7" xfId="0" applyFont="1" applyFill="1" applyBorder="1" applyAlignment="1">
      <alignment horizontal="left"/>
    </xf>
    <xf numFmtId="0" fontId="7" fillId="3" borderId="0" xfId="0" applyFont="1" applyFill="1" applyAlignment="1">
      <alignment horizontal="left"/>
    </xf>
    <xf numFmtId="0" fontId="7" fillId="2" borderId="0" xfId="0" applyFont="1" applyFill="1" applyAlignment="1">
      <alignment horizontal="left"/>
    </xf>
    <xf numFmtId="0" fontId="8" fillId="2" borderId="0" xfId="0" applyFont="1" applyFill="1" applyAlignment="1">
      <alignment horizontal="left"/>
    </xf>
    <xf numFmtId="0" fontId="4" fillId="2" borderId="12" xfId="0" applyFont="1" applyFill="1" applyBorder="1" applyAlignment="1">
      <alignment horizontal="left"/>
    </xf>
    <xf numFmtId="3" fontId="4" fillId="2" borderId="0" xfId="0" applyNumberFormat="1" applyFont="1" applyFill="1" applyAlignment="1">
      <alignment horizontal="left"/>
    </xf>
    <xf numFmtId="0" fontId="9" fillId="2" borderId="7" xfId="0" applyFont="1" applyFill="1" applyBorder="1"/>
    <xf numFmtId="0" fontId="24" fillId="3" borderId="0" xfId="0" applyFont="1" applyFill="1"/>
    <xf numFmtId="167" fontId="4" fillId="2" borderId="0" xfId="0" applyNumberFormat="1" applyFont="1" applyFill="1" applyAlignment="1">
      <alignment horizontal="center"/>
    </xf>
    <xf numFmtId="0" fontId="8" fillId="2" borderId="0" xfId="0" applyFont="1" applyFill="1" applyAlignment="1">
      <alignment horizontal="center"/>
    </xf>
    <xf numFmtId="0" fontId="16" fillId="2" borderId="0" xfId="0" applyFont="1" applyFill="1" applyAlignment="1">
      <alignment horizontal="left"/>
    </xf>
    <xf numFmtId="0" fontId="4" fillId="3" borderId="0" xfId="0" applyFont="1" applyFill="1" applyAlignment="1">
      <alignment vertical="center"/>
    </xf>
    <xf numFmtId="0" fontId="4" fillId="3" borderId="0" xfId="0" applyFont="1" applyFill="1" applyAlignment="1">
      <alignment horizontal="right"/>
    </xf>
    <xf numFmtId="0" fontId="4" fillId="2" borderId="20" xfId="0" applyFont="1" applyFill="1" applyBorder="1"/>
    <xf numFmtId="0" fontId="4" fillId="2" borderId="0" xfId="0" applyFont="1" applyFill="1" applyAlignment="1">
      <alignment horizontal="center"/>
    </xf>
    <xf numFmtId="0" fontId="2" fillId="3" borderId="0" xfId="0" applyFont="1" applyFill="1"/>
    <xf numFmtId="0" fontId="9" fillId="3" borderId="0" xfId="0" applyFont="1" applyFill="1" applyAlignment="1">
      <alignment horizontal="center"/>
    </xf>
    <xf numFmtId="0" fontId="8" fillId="3" borderId="0" xfId="0" applyFont="1" applyFill="1"/>
    <xf numFmtId="0" fontId="6" fillId="2" borderId="0" xfId="0" applyFont="1" applyFill="1"/>
    <xf numFmtId="0" fontId="6" fillId="2" borderId="0" xfId="0" applyFont="1" applyFill="1" applyAlignment="1">
      <alignment horizontal="left"/>
    </xf>
    <xf numFmtId="0" fontId="16" fillId="2" borderId="0" xfId="0" applyFont="1" applyFill="1" applyAlignment="1">
      <alignment horizontal="center"/>
    </xf>
    <xf numFmtId="165" fontId="4" fillId="2" borderId="0" xfId="0" applyNumberFormat="1" applyFont="1" applyFill="1" applyAlignment="1">
      <alignment horizontal="center"/>
    </xf>
    <xf numFmtId="0" fontId="16" fillId="2" borderId="6" xfId="0" applyFont="1" applyFill="1" applyBorder="1" applyAlignment="1">
      <alignment vertical="center"/>
    </xf>
    <xf numFmtId="0" fontId="16" fillId="3" borderId="0" xfId="0" applyFont="1" applyFill="1" applyAlignment="1">
      <alignment vertical="center"/>
    </xf>
    <xf numFmtId="0" fontId="4" fillId="4" borderId="21" xfId="0" applyFont="1" applyFill="1" applyBorder="1" applyAlignment="1">
      <alignment horizontal="center"/>
    </xf>
    <xf numFmtId="0" fontId="4" fillId="2" borderId="22" xfId="0" applyFont="1" applyFill="1" applyBorder="1" applyAlignment="1">
      <alignment horizontal="center"/>
    </xf>
    <xf numFmtId="0" fontId="9" fillId="2" borderId="0" xfId="0" applyFont="1" applyFill="1"/>
    <xf numFmtId="0" fontId="24" fillId="2" borderId="0" xfId="0" applyFont="1" applyFill="1"/>
    <xf numFmtId="0" fontId="11" fillId="2" borderId="0" xfId="0" applyFont="1" applyFill="1" applyAlignment="1">
      <alignment horizontal="center"/>
    </xf>
    <xf numFmtId="0" fontId="8" fillId="3" borderId="0" xfId="0" applyFont="1" applyFill="1" applyAlignment="1">
      <alignment horizontal="center"/>
    </xf>
    <xf numFmtId="0" fontId="11" fillId="3" borderId="0" xfId="0" applyFont="1" applyFill="1" applyAlignment="1">
      <alignment horizontal="right"/>
    </xf>
    <xf numFmtId="0" fontId="4" fillId="2" borderId="8" xfId="0" applyFont="1" applyFill="1" applyBorder="1" applyAlignment="1">
      <alignment horizontal="left"/>
    </xf>
    <xf numFmtId="0" fontId="5" fillId="2" borderId="10" xfId="0" applyFont="1" applyFill="1" applyBorder="1"/>
    <xf numFmtId="0" fontId="4" fillId="2" borderId="10" xfId="0" applyFont="1" applyFill="1" applyBorder="1" applyAlignment="1">
      <alignment horizontal="left"/>
    </xf>
    <xf numFmtId="0" fontId="7" fillId="2" borderId="10" xfId="0" applyFont="1" applyFill="1" applyBorder="1" applyAlignment="1">
      <alignment horizontal="left"/>
    </xf>
    <xf numFmtId="0" fontId="8" fillId="2" borderId="10" xfId="0" applyFont="1" applyFill="1" applyBorder="1" applyAlignment="1">
      <alignment horizontal="left"/>
    </xf>
    <xf numFmtId="14" fontId="4" fillId="2" borderId="0" xfId="0" applyNumberFormat="1" applyFont="1" applyFill="1" applyAlignment="1">
      <alignment horizontal="left"/>
    </xf>
    <xf numFmtId="14" fontId="4" fillId="2" borderId="10" xfId="0" applyNumberFormat="1" applyFont="1" applyFill="1" applyBorder="1" applyAlignment="1">
      <alignment horizontal="left"/>
    </xf>
    <xf numFmtId="0" fontId="13" fillId="2" borderId="0" xfId="0" applyFont="1" applyFill="1"/>
    <xf numFmtId="14" fontId="8" fillId="2" borderId="0" xfId="0" applyNumberFormat="1" applyFont="1" applyFill="1" applyAlignment="1">
      <alignment horizontal="left"/>
    </xf>
    <xf numFmtId="14" fontId="8" fillId="2" borderId="10" xfId="0" applyNumberFormat="1" applyFont="1" applyFill="1" applyBorder="1" applyAlignment="1">
      <alignment horizontal="left"/>
    </xf>
    <xf numFmtId="0" fontId="13" fillId="2" borderId="0" xfId="0" applyFont="1" applyFill="1" applyAlignment="1">
      <alignment horizontal="left"/>
    </xf>
    <xf numFmtId="0" fontId="13" fillId="2" borderId="10" xfId="0" applyFont="1" applyFill="1" applyBorder="1" applyAlignment="1">
      <alignment horizontal="left"/>
    </xf>
    <xf numFmtId="3" fontId="4" fillId="2" borderId="10" xfId="0" applyNumberFormat="1" applyFont="1" applyFill="1" applyBorder="1" applyAlignment="1">
      <alignment horizontal="left"/>
    </xf>
    <xf numFmtId="0" fontId="4" fillId="2" borderId="19" xfId="0" applyFont="1" applyFill="1" applyBorder="1"/>
    <xf numFmtId="3" fontId="4" fillId="2" borderId="19" xfId="0" applyNumberFormat="1" applyFont="1" applyFill="1" applyBorder="1" applyAlignment="1">
      <alignment horizontal="left"/>
    </xf>
    <xf numFmtId="0" fontId="4" fillId="2" borderId="13" xfId="0" applyFont="1" applyFill="1" applyBorder="1" applyAlignment="1">
      <alignment horizontal="left"/>
    </xf>
    <xf numFmtId="0" fontId="8" fillId="2" borderId="7" xfId="0" applyFont="1" applyFill="1" applyBorder="1"/>
    <xf numFmtId="0" fontId="8" fillId="2" borderId="8" xfId="0" applyFont="1" applyFill="1" applyBorder="1"/>
    <xf numFmtId="0" fontId="8" fillId="2" borderId="10" xfId="0" applyFont="1" applyFill="1" applyBorder="1"/>
    <xf numFmtId="0" fontId="8" fillId="2" borderId="12" xfId="0" applyFont="1" applyFill="1" applyBorder="1"/>
    <xf numFmtId="0" fontId="8" fillId="2" borderId="13" xfId="0" applyFont="1" applyFill="1" applyBorder="1"/>
    <xf numFmtId="0" fontId="8" fillId="2" borderId="7" xfId="0" applyFont="1" applyFill="1" applyBorder="1" applyAlignment="1">
      <alignment horizontal="center"/>
    </xf>
    <xf numFmtId="0" fontId="8" fillId="2" borderId="12" xfId="0" applyFont="1" applyFill="1" applyBorder="1" applyAlignment="1">
      <alignment horizontal="center"/>
    </xf>
    <xf numFmtId="3" fontId="8" fillId="2" borderId="0" xfId="0" applyNumberFormat="1" applyFont="1" applyFill="1" applyAlignment="1">
      <alignment horizontal="center"/>
    </xf>
    <xf numFmtId="0" fontId="8" fillId="2" borderId="9" xfId="0" applyFont="1" applyFill="1" applyBorder="1" applyAlignment="1">
      <alignment horizontal="center"/>
    </xf>
    <xf numFmtId="0" fontId="9" fillId="2" borderId="9" xfId="0" applyFont="1" applyFill="1" applyBorder="1" applyAlignment="1">
      <alignment horizontal="center"/>
    </xf>
    <xf numFmtId="0" fontId="8" fillId="2" borderId="6" xfId="0" applyFont="1" applyFill="1" applyBorder="1" applyAlignment="1">
      <alignment horizontal="center"/>
    </xf>
    <xf numFmtId="0" fontId="8" fillId="2" borderId="11" xfId="0" applyFont="1" applyFill="1" applyBorder="1" applyAlignment="1">
      <alignment horizontal="center"/>
    </xf>
    <xf numFmtId="0" fontId="8" fillId="2" borderId="25" xfId="0" applyFont="1" applyFill="1" applyBorder="1" applyAlignment="1">
      <alignment horizontal="center"/>
    </xf>
    <xf numFmtId="3" fontId="8" fillId="2" borderId="25" xfId="0" applyNumberFormat="1" applyFont="1" applyFill="1" applyBorder="1" applyAlignment="1">
      <alignment horizontal="center"/>
    </xf>
    <xf numFmtId="0" fontId="4" fillId="2" borderId="25" xfId="0" applyFont="1" applyFill="1" applyBorder="1" applyAlignment="1">
      <alignment horizontal="center"/>
    </xf>
    <xf numFmtId="0" fontId="4" fillId="2" borderId="9" xfId="0" applyFont="1" applyFill="1" applyBorder="1" applyAlignment="1">
      <alignment vertical="center"/>
    </xf>
    <xf numFmtId="0" fontId="8" fillId="2" borderId="0" xfId="0" applyFont="1" applyFill="1" applyAlignment="1">
      <alignment vertical="center"/>
    </xf>
    <xf numFmtId="0" fontId="4" fillId="2" borderId="10" xfId="0" applyFont="1" applyFill="1" applyBorder="1" applyAlignment="1">
      <alignment vertical="center"/>
    </xf>
    <xf numFmtId="0" fontId="4" fillId="4" borderId="0" xfId="0" applyFont="1" applyFill="1"/>
    <xf numFmtId="173" fontId="11" fillId="3" borderId="0" xfId="0" applyNumberFormat="1" applyFont="1" applyFill="1" applyAlignment="1">
      <alignment horizontal="center"/>
    </xf>
    <xf numFmtId="0" fontId="8" fillId="6" borderId="0" xfId="0" applyFont="1" applyFill="1"/>
    <xf numFmtId="0" fontId="8" fillId="6" borderId="0" xfId="0" applyFont="1" applyFill="1" applyAlignment="1">
      <alignment horizontal="center"/>
    </xf>
    <xf numFmtId="0" fontId="9" fillId="2" borderId="6" xfId="0" applyFont="1" applyFill="1" applyBorder="1"/>
    <xf numFmtId="0" fontId="9" fillId="2" borderId="11" xfId="0" applyFont="1" applyFill="1" applyBorder="1"/>
    <xf numFmtId="0" fontId="24" fillId="3" borderId="0" xfId="0" applyFont="1" applyFill="1" applyAlignment="1">
      <alignment horizontal="center"/>
    </xf>
    <xf numFmtId="0" fontId="7" fillId="6" borderId="0" xfId="0" applyFont="1" applyFill="1"/>
    <xf numFmtId="0" fontId="9" fillId="6" borderId="0" xfId="0" applyFont="1" applyFill="1" applyAlignment="1">
      <alignment horizontal="center"/>
    </xf>
    <xf numFmtId="0" fontId="8" fillId="5" borderId="25" xfId="0" applyFont="1" applyFill="1" applyBorder="1"/>
    <xf numFmtId="175" fontId="4" fillId="6" borderId="0" xfId="0" applyNumberFormat="1" applyFont="1" applyFill="1" applyAlignment="1">
      <alignment horizontal="center"/>
    </xf>
    <xf numFmtId="0" fontId="4" fillId="5" borderId="0" xfId="0" applyFont="1" applyFill="1"/>
    <xf numFmtId="0" fontId="16" fillId="5" borderId="0" xfId="0" applyFont="1" applyFill="1"/>
    <xf numFmtId="0" fontId="12" fillId="4" borderId="0" xfId="0" applyFont="1" applyFill="1" applyAlignment="1">
      <alignment horizontal="center"/>
    </xf>
    <xf numFmtId="166" fontId="4" fillId="4" borderId="12" xfId="0" applyNumberFormat="1" applyFont="1" applyFill="1" applyBorder="1" applyAlignment="1">
      <alignment horizontal="center"/>
    </xf>
    <xf numFmtId="0" fontId="11" fillId="3" borderId="3" xfId="0" applyFont="1" applyFill="1" applyBorder="1" applyAlignment="1">
      <alignment horizontal="center"/>
    </xf>
    <xf numFmtId="9" fontId="4" fillId="4" borderId="4" xfId="0" applyNumberFormat="1" applyFont="1" applyFill="1" applyBorder="1" applyAlignment="1">
      <alignment horizontal="center"/>
    </xf>
    <xf numFmtId="166" fontId="19" fillId="3" borderId="0" xfId="0" applyNumberFormat="1" applyFont="1" applyFill="1" applyAlignment="1">
      <alignment horizontal="left" vertical="center"/>
    </xf>
    <xf numFmtId="0" fontId="12" fillId="5" borderId="0" xfId="0" applyFont="1" applyFill="1" applyProtection="1">
      <protection hidden="1"/>
    </xf>
    <xf numFmtId="0" fontId="16" fillId="2" borderId="9" xfId="0" applyFont="1" applyFill="1" applyBorder="1"/>
    <xf numFmtId="0" fontId="16" fillId="2" borderId="10" xfId="0" applyFont="1" applyFill="1" applyBorder="1"/>
    <xf numFmtId="0" fontId="16" fillId="3" borderId="0" xfId="0" applyFont="1" applyFill="1"/>
    <xf numFmtId="0" fontId="8" fillId="4" borderId="0" xfId="0" applyFont="1" applyFill="1" applyAlignment="1">
      <alignment horizontal="center"/>
    </xf>
    <xf numFmtId="0" fontId="8" fillId="4" borderId="10" xfId="0" applyFont="1" applyFill="1" applyBorder="1" applyAlignment="1">
      <alignment horizontal="center"/>
    </xf>
    <xf numFmtId="0" fontId="24" fillId="5" borderId="0" xfId="0" applyFont="1" applyFill="1"/>
    <xf numFmtId="0" fontId="7" fillId="5" borderId="0" xfId="0" applyFont="1" applyFill="1"/>
    <xf numFmtId="0" fontId="12" fillId="2" borderId="0" xfId="0" applyFont="1" applyFill="1"/>
    <xf numFmtId="0" fontId="4" fillId="2" borderId="8" xfId="0" applyFont="1" applyFill="1" applyBorder="1" applyAlignment="1">
      <alignment horizontal="center"/>
    </xf>
    <xf numFmtId="0" fontId="8" fillId="2" borderId="10" xfId="0" applyFont="1" applyFill="1" applyBorder="1" applyAlignment="1">
      <alignment horizontal="center"/>
    </xf>
    <xf numFmtId="3" fontId="4" fillId="2" borderId="10" xfId="0" applyNumberFormat="1" applyFont="1" applyFill="1" applyBorder="1" applyAlignment="1">
      <alignment horizontal="center"/>
    </xf>
    <xf numFmtId="165" fontId="4" fillId="3" borderId="0" xfId="0" applyNumberFormat="1" applyFont="1" applyFill="1" applyAlignment="1">
      <alignment horizontal="center"/>
    </xf>
    <xf numFmtId="164" fontId="4" fillId="3" borderId="0" xfId="0" applyNumberFormat="1" applyFont="1" applyFill="1" applyAlignment="1">
      <alignment horizontal="center"/>
    </xf>
    <xf numFmtId="0" fontId="4" fillId="2" borderId="13" xfId="0" applyFont="1" applyFill="1" applyBorder="1" applyAlignment="1">
      <alignment horizontal="center"/>
    </xf>
    <xf numFmtId="0" fontId="4" fillId="2" borderId="7" xfId="0" applyFont="1" applyFill="1" applyBorder="1" applyAlignment="1">
      <alignment horizontal="right"/>
    </xf>
    <xf numFmtId="0" fontId="9" fillId="3" borderId="0" xfId="0" applyFont="1" applyFill="1" applyAlignment="1">
      <alignment horizontal="right"/>
    </xf>
    <xf numFmtId="166" fontId="4" fillId="4" borderId="28" xfId="0" applyNumberFormat="1" applyFont="1" applyFill="1" applyBorder="1" applyAlignment="1">
      <alignment horizontal="center"/>
    </xf>
    <xf numFmtId="166" fontId="4" fillId="4" borderId="11" xfId="0" applyNumberFormat="1" applyFont="1" applyFill="1" applyBorder="1" applyAlignment="1">
      <alignment horizontal="center"/>
    </xf>
    <xf numFmtId="0" fontId="4" fillId="4" borderId="10" xfId="0" applyFont="1" applyFill="1" applyBorder="1"/>
    <xf numFmtId="0" fontId="11" fillId="2" borderId="10" xfId="0" applyFont="1" applyFill="1" applyBorder="1" applyAlignment="1">
      <alignment horizontal="center"/>
    </xf>
    <xf numFmtId="0" fontId="28" fillId="3" borderId="0" xfId="0" applyFont="1" applyFill="1"/>
    <xf numFmtId="0" fontId="8" fillId="5" borderId="0" xfId="0" applyFont="1" applyFill="1"/>
    <xf numFmtId="0" fontId="4" fillId="5" borderId="25" xfId="0" applyFont="1" applyFill="1" applyBorder="1" applyAlignment="1">
      <alignment horizontal="center"/>
    </xf>
    <xf numFmtId="0" fontId="16" fillId="5" borderId="0" xfId="0" applyFont="1" applyFill="1" applyAlignment="1">
      <alignment horizontal="left"/>
    </xf>
    <xf numFmtId="0" fontId="4" fillId="2" borderId="29" xfId="0" applyFont="1" applyFill="1" applyBorder="1"/>
    <xf numFmtId="0" fontId="4" fillId="4" borderId="4" xfId="0" applyFont="1" applyFill="1" applyBorder="1" applyAlignment="1">
      <alignment horizontal="center"/>
    </xf>
    <xf numFmtId="0" fontId="4" fillId="4" borderId="5" xfId="0" applyFont="1" applyFill="1" applyBorder="1" applyAlignment="1">
      <alignment horizontal="center"/>
    </xf>
    <xf numFmtId="165" fontId="8" fillId="5" borderId="0" xfId="1" applyNumberFormat="1" applyFont="1" applyFill="1" applyBorder="1" applyAlignment="1">
      <alignment horizontal="center"/>
    </xf>
    <xf numFmtId="0" fontId="4" fillId="5" borderId="0" xfId="0" applyFont="1" applyFill="1" applyAlignment="1">
      <alignment horizontal="center"/>
    </xf>
    <xf numFmtId="0" fontId="16" fillId="5" borderId="0" xfId="0" applyFont="1" applyFill="1" applyAlignment="1">
      <alignment horizontal="right"/>
    </xf>
    <xf numFmtId="0" fontId="4" fillId="5" borderId="25" xfId="0" applyFont="1" applyFill="1" applyBorder="1"/>
    <xf numFmtId="0" fontId="9" fillId="2" borderId="9" xfId="0" applyFont="1" applyFill="1" applyBorder="1" applyAlignment="1">
      <alignment vertical="top"/>
    </xf>
    <xf numFmtId="0" fontId="8" fillId="2" borderId="10" xfId="0" applyFont="1" applyFill="1" applyBorder="1" applyAlignment="1">
      <alignment vertical="top"/>
    </xf>
    <xf numFmtId="0" fontId="4" fillId="3" borderId="0" xfId="0" applyFont="1" applyFill="1" applyAlignment="1">
      <alignment vertical="top"/>
    </xf>
    <xf numFmtId="0" fontId="13" fillId="3" borderId="0" xfId="0" applyFont="1" applyFill="1"/>
    <xf numFmtId="0" fontId="13" fillId="3" borderId="0" xfId="0" applyFont="1" applyFill="1" applyAlignment="1">
      <alignment vertical="center"/>
    </xf>
    <xf numFmtId="0" fontId="8" fillId="6" borderId="6" xfId="0" applyFont="1" applyFill="1" applyBorder="1"/>
    <xf numFmtId="0" fontId="8" fillId="6" borderId="7" xfId="0" applyFont="1" applyFill="1" applyBorder="1"/>
    <xf numFmtId="0" fontId="8" fillId="6" borderId="8" xfId="0" applyFont="1" applyFill="1" applyBorder="1"/>
    <xf numFmtId="0" fontId="8" fillId="6" borderId="9" xfId="0" applyFont="1" applyFill="1" applyBorder="1"/>
    <xf numFmtId="0" fontId="8" fillId="6" borderId="10" xfId="0" applyFont="1" applyFill="1" applyBorder="1"/>
    <xf numFmtId="0" fontId="11" fillId="3" borderId="0" xfId="0" applyFont="1" applyFill="1" applyAlignment="1">
      <alignment horizontal="center"/>
    </xf>
    <xf numFmtId="0" fontId="12" fillId="3" borderId="0" xfId="0" applyFont="1" applyFill="1" applyAlignment="1">
      <alignment vertical="center"/>
    </xf>
    <xf numFmtId="184" fontId="8" fillId="3" borderId="0" xfId="0" applyNumberFormat="1" applyFont="1" applyFill="1" applyAlignment="1">
      <alignment horizontal="center"/>
    </xf>
    <xf numFmtId="5" fontId="8" fillId="3" borderId="0" xfId="0" applyNumberFormat="1" applyFont="1" applyFill="1" applyAlignment="1">
      <alignment horizontal="center"/>
    </xf>
    <xf numFmtId="7" fontId="8" fillId="3" borderId="0" xfId="0" applyNumberFormat="1" applyFont="1" applyFill="1" applyAlignment="1">
      <alignment horizontal="center"/>
    </xf>
    <xf numFmtId="0" fontId="8" fillId="3" borderId="0" xfId="0" applyFont="1" applyFill="1" applyAlignment="1">
      <alignment horizontal="left" indent="2"/>
    </xf>
    <xf numFmtId="0" fontId="8" fillId="3" borderId="0" xfId="0" applyFont="1" applyFill="1" applyAlignment="1">
      <alignment horizontal="left"/>
    </xf>
    <xf numFmtId="10" fontId="8" fillId="3" borderId="0" xfId="0" applyNumberFormat="1" applyFont="1" applyFill="1" applyAlignment="1">
      <alignment horizontal="center"/>
    </xf>
    <xf numFmtId="164" fontId="8" fillId="3" borderId="0" xfId="0" applyNumberFormat="1" applyFont="1" applyFill="1" applyAlignment="1">
      <alignment horizontal="center"/>
    </xf>
    <xf numFmtId="0" fontId="3" fillId="3" borderId="0" xfId="0" applyFont="1" applyFill="1"/>
    <xf numFmtId="0" fontId="3" fillId="3" borderId="12" xfId="0" applyFont="1" applyFill="1" applyBorder="1"/>
    <xf numFmtId="0" fontId="11" fillId="3" borderId="0" xfId="0" applyFont="1" applyFill="1" applyAlignment="1">
      <alignment vertical="center"/>
    </xf>
    <xf numFmtId="0" fontId="5" fillId="3" borderId="0" xfId="0" applyFont="1" applyFill="1" applyAlignment="1">
      <alignment vertical="center"/>
    </xf>
    <xf numFmtId="0" fontId="3" fillId="3" borderId="12" xfId="0" applyFont="1" applyFill="1" applyBorder="1" applyAlignment="1">
      <alignment horizontal="center"/>
    </xf>
    <xf numFmtId="0" fontId="8" fillId="6" borderId="7" xfId="0" applyFont="1" applyFill="1" applyBorder="1" applyAlignment="1">
      <alignment horizontal="center"/>
    </xf>
    <xf numFmtId="0" fontId="11" fillId="3" borderId="0" xfId="0" applyFont="1" applyFill="1" applyAlignment="1">
      <alignment horizontal="center" vertical="center"/>
    </xf>
    <xf numFmtId="166" fontId="4" fillId="4" borderId="30" xfId="0" applyNumberFormat="1" applyFont="1" applyFill="1" applyBorder="1" applyAlignment="1">
      <alignment horizontal="center"/>
    </xf>
    <xf numFmtId="0" fontId="8" fillId="2" borderId="29" xfId="0" applyFont="1" applyFill="1" applyBorder="1"/>
    <xf numFmtId="0" fontId="8" fillId="2" borderId="29" xfId="0" applyFont="1" applyFill="1" applyBorder="1" applyAlignment="1">
      <alignment horizontal="center"/>
    </xf>
    <xf numFmtId="10" fontId="4" fillId="2" borderId="0" xfId="0" applyNumberFormat="1" applyFont="1" applyFill="1" applyAlignment="1">
      <alignment horizontal="left"/>
    </xf>
    <xf numFmtId="3" fontId="8" fillId="2" borderId="0" xfId="0" applyNumberFormat="1" applyFont="1" applyFill="1" applyAlignment="1">
      <alignment horizontal="left"/>
    </xf>
    <xf numFmtId="0" fontId="12" fillId="5" borderId="0" xfId="0" applyFont="1" applyFill="1"/>
    <xf numFmtId="171" fontId="4" fillId="2" borderId="0" xfId="0" applyNumberFormat="1" applyFont="1" applyFill="1" applyAlignment="1">
      <alignment horizontal="left"/>
    </xf>
    <xf numFmtId="0" fontId="8" fillId="2" borderId="6" xfId="0" applyFont="1" applyFill="1" applyBorder="1"/>
    <xf numFmtId="0" fontId="8" fillId="2" borderId="9" xfId="0" applyFont="1" applyFill="1" applyBorder="1"/>
    <xf numFmtId="0" fontId="8" fillId="2" borderId="11" xfId="0" applyFont="1" applyFill="1" applyBorder="1"/>
    <xf numFmtId="0" fontId="29" fillId="2" borderId="0" xfId="0" applyFont="1" applyFill="1" applyAlignment="1">
      <alignment horizontal="center" vertical="center"/>
    </xf>
    <xf numFmtId="0" fontId="8" fillId="4" borderId="9" xfId="0" applyFont="1" applyFill="1" applyBorder="1" applyAlignment="1">
      <alignment horizontal="center"/>
    </xf>
    <xf numFmtId="0" fontId="15" fillId="2" borderId="0" xfId="0" applyFont="1" applyFill="1" applyAlignment="1">
      <alignment vertical="center"/>
    </xf>
    <xf numFmtId="165" fontId="15" fillId="2" borderId="0" xfId="0" applyNumberFormat="1" applyFont="1" applyFill="1" applyAlignment="1">
      <alignment horizontal="right" vertical="center"/>
    </xf>
    <xf numFmtId="0" fontId="11" fillId="3" borderId="0" xfId="0" applyFont="1" applyFill="1" applyAlignment="1">
      <alignment horizontal="left" vertical="center" wrapText="1"/>
    </xf>
    <xf numFmtId="0" fontId="30" fillId="2" borderId="0" xfId="0" applyFont="1" applyFill="1" applyAlignment="1">
      <alignment horizontal="left" vertical="center" wrapText="1"/>
    </xf>
    <xf numFmtId="0" fontId="32" fillId="3" borderId="0" xfId="0" applyFont="1" applyFill="1"/>
    <xf numFmtId="0" fontId="8" fillId="2" borderId="0" xfId="0" applyFont="1" applyFill="1" applyAlignment="1">
      <alignment horizontal="left" indent="2"/>
    </xf>
    <xf numFmtId="0" fontId="12" fillId="2" borderId="0" xfId="0" applyFont="1" applyFill="1" applyAlignment="1">
      <alignment horizontal="left" vertical="center" wrapText="1"/>
    </xf>
    <xf numFmtId="0" fontId="4" fillId="2" borderId="11" xfId="0" applyFont="1" applyFill="1" applyBorder="1" applyAlignment="1">
      <alignment horizontal="center"/>
    </xf>
    <xf numFmtId="0" fontId="4" fillId="3" borderId="2" xfId="0" applyFont="1" applyFill="1" applyBorder="1"/>
    <xf numFmtId="0" fontId="34" fillId="3" borderId="0" xfId="0" applyFont="1" applyFill="1"/>
    <xf numFmtId="0" fontId="14" fillId="3" borderId="0" xfId="0" applyFont="1" applyFill="1" applyAlignment="1">
      <alignment horizontal="center"/>
    </xf>
    <xf numFmtId="6" fontId="4" fillId="2" borderId="0" xfId="0" applyNumberFormat="1" applyFont="1" applyFill="1" applyAlignment="1">
      <alignment horizontal="center"/>
    </xf>
    <xf numFmtId="0" fontId="10" fillId="4" borderId="2" xfId="0" applyFont="1" applyFill="1" applyBorder="1" applyAlignment="1">
      <alignment horizontal="center"/>
    </xf>
    <xf numFmtId="0" fontId="10" fillId="4" borderId="18" xfId="0" applyFont="1" applyFill="1" applyBorder="1" applyAlignment="1">
      <alignment horizontal="center"/>
    </xf>
    <xf numFmtId="167" fontId="10" fillId="4" borderId="34" xfId="0" applyNumberFormat="1" applyFont="1" applyFill="1" applyBorder="1" applyAlignment="1">
      <alignment horizontal="center"/>
    </xf>
    <xf numFmtId="0" fontId="10" fillId="3" borderId="0" xfId="0" applyFont="1" applyFill="1"/>
    <xf numFmtId="0" fontId="10" fillId="3" borderId="0" xfId="0" applyFont="1" applyFill="1" applyAlignment="1">
      <alignment vertical="center"/>
    </xf>
    <xf numFmtId="0" fontId="37" fillId="3" borderId="0" xfId="0" applyFont="1" applyFill="1" applyAlignment="1">
      <alignment vertical="center"/>
    </xf>
    <xf numFmtId="0" fontId="35" fillId="3" borderId="0" xfId="0" applyFont="1" applyFill="1" applyAlignment="1">
      <alignment horizontal="center" vertical="center"/>
    </xf>
    <xf numFmtId="0" fontId="4" fillId="4" borderId="13" xfId="0" applyFont="1" applyFill="1" applyBorder="1" applyAlignment="1">
      <alignment horizontal="center"/>
    </xf>
    <xf numFmtId="0" fontId="4" fillId="4" borderId="10" xfId="0" applyFont="1" applyFill="1" applyBorder="1" applyAlignment="1">
      <alignment horizontal="center"/>
    </xf>
    <xf numFmtId="0" fontId="4" fillId="4" borderId="9" xfId="0" applyFont="1" applyFill="1" applyBorder="1" applyAlignment="1">
      <alignment horizontal="center"/>
    </xf>
    <xf numFmtId="166" fontId="4" fillId="4" borderId="9" xfId="0" applyNumberFormat="1" applyFont="1" applyFill="1" applyBorder="1" applyAlignment="1">
      <alignment horizontal="center"/>
    </xf>
    <xf numFmtId="0" fontId="4" fillId="4" borderId="11" xfId="0" applyFont="1" applyFill="1" applyBorder="1" applyAlignment="1">
      <alignment horizontal="center"/>
    </xf>
    <xf numFmtId="0" fontId="4" fillId="2" borderId="7" xfId="0" applyFont="1" applyFill="1" applyBorder="1" applyAlignment="1">
      <alignment horizontal="center"/>
    </xf>
    <xf numFmtId="0" fontId="4" fillId="2" borderId="10" xfId="0" applyFont="1" applyFill="1" applyBorder="1" applyAlignment="1">
      <alignment horizontal="center"/>
    </xf>
    <xf numFmtId="0" fontId="4" fillId="5" borderId="9" xfId="0" applyFont="1" applyFill="1" applyBorder="1" applyAlignment="1">
      <alignment horizontal="center"/>
    </xf>
    <xf numFmtId="0" fontId="4" fillId="5" borderId="13" xfId="0" applyFont="1" applyFill="1" applyBorder="1" applyAlignment="1">
      <alignment horizontal="center"/>
    </xf>
    <xf numFmtId="0" fontId="6" fillId="2" borderId="0" xfId="0" applyFont="1" applyFill="1" applyAlignment="1">
      <alignment horizontal="center"/>
    </xf>
    <xf numFmtId="0" fontId="11" fillId="3" borderId="0" xfId="0" applyFont="1" applyFill="1" applyAlignment="1">
      <alignment horizontal="left"/>
    </xf>
    <xf numFmtId="0" fontId="38" fillId="3" borderId="0" xfId="0" applyFont="1" applyFill="1"/>
    <xf numFmtId="0" fontId="38" fillId="3" borderId="0" xfId="0" applyFont="1" applyFill="1" applyAlignment="1">
      <alignment vertical="center"/>
    </xf>
    <xf numFmtId="0" fontId="4" fillId="2" borderId="9" xfId="0" applyFont="1" applyFill="1" applyBorder="1" applyAlignment="1">
      <alignment horizontal="center"/>
    </xf>
    <xf numFmtId="0" fontId="39" fillId="3" borderId="0" xfId="0" applyFont="1" applyFill="1"/>
    <xf numFmtId="0" fontId="24" fillId="2" borderId="0" xfId="0" applyFont="1" applyFill="1" applyAlignment="1">
      <alignment vertical="center"/>
    </xf>
    <xf numFmtId="0" fontId="7" fillId="2" borderId="0" xfId="0" applyFont="1" applyFill="1" applyAlignment="1">
      <alignment horizontal="center" vertical="center"/>
    </xf>
    <xf numFmtId="0" fontId="24" fillId="2" borderId="10" xfId="0" applyFont="1" applyFill="1" applyBorder="1" applyAlignment="1">
      <alignment vertical="center"/>
    </xf>
    <xf numFmtId="0" fontId="8" fillId="3" borderId="7" xfId="0" applyFont="1" applyFill="1" applyBorder="1"/>
    <xf numFmtId="0" fontId="4" fillId="2" borderId="25" xfId="0" applyFont="1" applyFill="1" applyBorder="1"/>
    <xf numFmtId="0" fontId="4" fillId="2" borderId="31" xfId="0" applyFont="1" applyFill="1" applyBorder="1" applyAlignment="1">
      <alignment horizontal="center"/>
    </xf>
    <xf numFmtId="0" fontId="31" fillId="3" borderId="0" xfId="0" applyFont="1" applyFill="1"/>
    <xf numFmtId="0" fontId="16" fillId="2" borderId="33" xfId="0" applyFont="1" applyFill="1" applyBorder="1"/>
    <xf numFmtId="0" fontId="4" fillId="4" borderId="0" xfId="0" applyFont="1" applyFill="1" applyAlignment="1">
      <alignment horizontal="center"/>
    </xf>
    <xf numFmtId="0" fontId="11" fillId="3" borderId="8" xfId="0" applyFont="1" applyFill="1" applyBorder="1" applyAlignment="1">
      <alignment horizontal="center"/>
    </xf>
    <xf numFmtId="0" fontId="4" fillId="5" borderId="10" xfId="0" applyFont="1" applyFill="1" applyBorder="1" applyAlignment="1">
      <alignment horizontal="center"/>
    </xf>
    <xf numFmtId="185" fontId="4" fillId="2" borderId="0" xfId="0" applyNumberFormat="1" applyFont="1" applyFill="1" applyAlignment="1">
      <alignment horizontal="center"/>
    </xf>
    <xf numFmtId="0" fontId="4" fillId="2" borderId="33" xfId="0" applyFont="1" applyFill="1" applyBorder="1" applyAlignment="1">
      <alignment horizontal="center"/>
    </xf>
    <xf numFmtId="167" fontId="24" fillId="3" borderId="0" xfId="0" applyNumberFormat="1" applyFont="1" applyFill="1"/>
    <xf numFmtId="0" fontId="4" fillId="4" borderId="0" xfId="0" applyFont="1" applyFill="1" applyAlignment="1">
      <alignment horizontal="left"/>
    </xf>
    <xf numFmtId="0" fontId="4" fillId="4" borderId="12" xfId="0" applyFont="1" applyFill="1" applyBorder="1" applyAlignment="1">
      <alignment horizontal="left"/>
    </xf>
    <xf numFmtId="0" fontId="4" fillId="3" borderId="9" xfId="0" applyFont="1" applyFill="1" applyBorder="1"/>
    <xf numFmtId="165" fontId="4" fillId="2" borderId="0" xfId="1" applyNumberFormat="1" applyFont="1" applyFill="1" applyBorder="1" applyAlignment="1">
      <alignment horizontal="center"/>
    </xf>
    <xf numFmtId="165" fontId="16" fillId="2" borderId="0" xfId="0" applyNumberFormat="1" applyFont="1" applyFill="1"/>
    <xf numFmtId="165" fontId="8" fillId="2" borderId="0" xfId="0" applyNumberFormat="1" applyFont="1" applyFill="1" applyAlignment="1">
      <alignment horizontal="center"/>
    </xf>
    <xf numFmtId="0" fontId="9" fillId="3" borderId="9" xfId="0" applyFont="1" applyFill="1" applyBorder="1"/>
    <xf numFmtId="185" fontId="8" fillId="2" borderId="0" xfId="0" applyNumberFormat="1" applyFont="1" applyFill="1" applyAlignment="1">
      <alignment horizontal="center"/>
    </xf>
    <xf numFmtId="0" fontId="4" fillId="3" borderId="7" xfId="0" applyFont="1" applyFill="1" applyBorder="1"/>
    <xf numFmtId="0" fontId="9" fillId="3" borderId="37" xfId="0" applyFont="1" applyFill="1" applyBorder="1" applyAlignment="1">
      <alignment horizontal="center" vertical="center"/>
    </xf>
    <xf numFmtId="0" fontId="4" fillId="5" borderId="9" xfId="0" applyFont="1" applyFill="1" applyBorder="1" applyAlignment="1">
      <alignment horizontal="left"/>
    </xf>
    <xf numFmtId="0" fontId="4" fillId="5" borderId="21" xfId="0" applyFont="1" applyFill="1" applyBorder="1" applyAlignment="1">
      <alignment horizontal="left"/>
    </xf>
    <xf numFmtId="0" fontId="4" fillId="5" borderId="31" xfId="0" applyFont="1" applyFill="1" applyBorder="1" applyAlignment="1">
      <alignment horizontal="center"/>
    </xf>
    <xf numFmtId="0" fontId="4" fillId="5" borderId="22" xfId="0" applyFont="1" applyFill="1" applyBorder="1" applyAlignment="1">
      <alignment horizontal="center"/>
    </xf>
    <xf numFmtId="175" fontId="5" fillId="3" borderId="0" xfId="0" applyNumberFormat="1" applyFont="1" applyFill="1"/>
    <xf numFmtId="175" fontId="4" fillId="5" borderId="0" xfId="0" applyNumberFormat="1" applyFont="1" applyFill="1" applyAlignment="1">
      <alignment horizontal="center"/>
    </xf>
    <xf numFmtId="195" fontId="5" fillId="3" borderId="0" xfId="0" applyNumberFormat="1" applyFont="1" applyFill="1"/>
    <xf numFmtId="0" fontId="24" fillId="3" borderId="0" xfId="0" applyFont="1" applyFill="1" applyAlignment="1">
      <alignment horizontal="center" vertical="center"/>
    </xf>
    <xf numFmtId="164" fontId="16" fillId="2" borderId="0" xfId="0" applyNumberFormat="1" applyFont="1" applyFill="1"/>
    <xf numFmtId="167" fontId="16" fillId="2" borderId="0" xfId="0" applyNumberFormat="1" applyFont="1" applyFill="1" applyAlignment="1">
      <alignment horizontal="center"/>
    </xf>
    <xf numFmtId="0" fontId="7" fillId="2" borderId="0" xfId="0" applyFont="1" applyFill="1"/>
    <xf numFmtId="0" fontId="16" fillId="3" borderId="2" xfId="0" applyFont="1" applyFill="1" applyBorder="1"/>
    <xf numFmtId="167" fontId="16" fillId="3" borderId="2" xfId="0" applyNumberFormat="1" applyFont="1" applyFill="1" applyBorder="1" applyAlignment="1">
      <alignment horizontal="center"/>
    </xf>
    <xf numFmtId="164" fontId="16" fillId="3" borderId="2" xfId="0" applyNumberFormat="1" applyFont="1" applyFill="1" applyBorder="1"/>
    <xf numFmtId="165" fontId="16" fillId="3" borderId="2" xfId="0" applyNumberFormat="1" applyFont="1" applyFill="1" applyBorder="1"/>
    <xf numFmtId="165" fontId="11" fillId="2" borderId="0" xfId="0" applyNumberFormat="1" applyFont="1" applyFill="1"/>
    <xf numFmtId="0" fontId="4" fillId="5" borderId="12" xfId="0" applyFont="1" applyFill="1" applyBorder="1" applyAlignment="1">
      <alignment horizontal="left"/>
    </xf>
    <xf numFmtId="166" fontId="4" fillId="4" borderId="0" xfId="0" applyNumberFormat="1" applyFont="1" applyFill="1" applyAlignment="1">
      <alignment horizontal="center"/>
    </xf>
    <xf numFmtId="0" fontId="10" fillId="3" borderId="0" xfId="0" applyFont="1" applyFill="1" applyAlignment="1">
      <alignment vertical="center" wrapText="1"/>
    </xf>
    <xf numFmtId="0" fontId="20" fillId="3" borderId="0" xfId="0" applyFont="1" applyFill="1" applyAlignment="1">
      <alignment vertical="center" wrapText="1"/>
    </xf>
    <xf numFmtId="164" fontId="12" fillId="4" borderId="0" xfId="0" applyNumberFormat="1" applyFont="1" applyFill="1" applyAlignment="1">
      <alignment horizontal="center"/>
    </xf>
    <xf numFmtId="0" fontId="11" fillId="2" borderId="0" xfId="0" applyFont="1" applyFill="1"/>
    <xf numFmtId="0" fontId="4" fillId="6" borderId="0" xfId="0" applyFont="1" applyFill="1"/>
    <xf numFmtId="0" fontId="4" fillId="6" borderId="0" xfId="0" applyFont="1" applyFill="1" applyAlignment="1">
      <alignment vertical="center"/>
    </xf>
    <xf numFmtId="0" fontId="4" fillId="6" borderId="0" xfId="0" applyFont="1" applyFill="1" applyAlignment="1">
      <alignment horizontal="center" vertical="center"/>
    </xf>
    <xf numFmtId="0" fontId="16" fillId="6" borderId="0" xfId="0" applyFont="1" applyFill="1" applyAlignment="1">
      <alignment horizontal="center" vertical="center"/>
    </xf>
    <xf numFmtId="10" fontId="16" fillId="6" borderId="0" xfId="0" applyNumberFormat="1" applyFont="1" applyFill="1" applyAlignment="1">
      <alignment horizontal="center" vertical="center"/>
    </xf>
    <xf numFmtId="166" fontId="4" fillId="4" borderId="4" xfId="0" applyNumberFormat="1" applyFont="1" applyFill="1" applyBorder="1" applyAlignment="1">
      <alignment horizontal="center"/>
    </xf>
    <xf numFmtId="166" fontId="4" fillId="4" borderId="5" xfId="0" applyNumberFormat="1" applyFont="1" applyFill="1" applyBorder="1" applyAlignment="1">
      <alignment horizontal="center"/>
    </xf>
    <xf numFmtId="199" fontId="4" fillId="4" borderId="4" xfId="0" applyNumberFormat="1" applyFont="1" applyFill="1" applyBorder="1" applyAlignment="1">
      <alignment horizontal="center"/>
    </xf>
    <xf numFmtId="199" fontId="4" fillId="4" borderId="5" xfId="0" applyNumberFormat="1" applyFont="1" applyFill="1" applyBorder="1" applyAlignment="1">
      <alignment horizontal="center"/>
    </xf>
    <xf numFmtId="0" fontId="49" fillId="3" borderId="0" xfId="0" applyFont="1" applyFill="1" applyAlignment="1">
      <alignment horizontal="center"/>
    </xf>
    <xf numFmtId="0" fontId="45" fillId="3" borderId="0" xfId="0" applyFont="1" applyFill="1" applyAlignment="1">
      <alignment horizontal="center"/>
    </xf>
    <xf numFmtId="0" fontId="45" fillId="3" borderId="0" xfId="0" applyFont="1" applyFill="1"/>
    <xf numFmtId="0" fontId="45" fillId="2" borderId="7" xfId="0" applyFont="1" applyFill="1" applyBorder="1"/>
    <xf numFmtId="0" fontId="45" fillId="2" borderId="8" xfId="0" applyFont="1" applyFill="1" applyBorder="1"/>
    <xf numFmtId="0" fontId="45" fillId="2" borderId="10" xfId="0" applyFont="1" applyFill="1" applyBorder="1"/>
    <xf numFmtId="0" fontId="45" fillId="2" borderId="11" xfId="0" applyFont="1" applyFill="1" applyBorder="1" applyAlignment="1">
      <alignment horizontal="center"/>
    </xf>
    <xf numFmtId="0" fontId="45" fillId="2" borderId="12" xfId="0" applyFont="1" applyFill="1" applyBorder="1"/>
    <xf numFmtId="0" fontId="45" fillId="2" borderId="13" xfId="0" applyFont="1" applyFill="1" applyBorder="1"/>
    <xf numFmtId="0" fontId="49" fillId="3" borderId="0" xfId="0" applyFont="1" applyFill="1"/>
    <xf numFmtId="0" fontId="9" fillId="2" borderId="9" xfId="0" applyFont="1" applyFill="1" applyBorder="1" applyAlignment="1">
      <alignment horizontal="center" vertical="top"/>
    </xf>
    <xf numFmtId="0" fontId="54" fillId="3" borderId="0" xfId="0" applyFont="1" applyFill="1" applyAlignment="1">
      <alignment horizontal="center"/>
    </xf>
    <xf numFmtId="0" fontId="54" fillId="2" borderId="10" xfId="0" applyFont="1" applyFill="1" applyBorder="1"/>
    <xf numFmtId="0" fontId="54" fillId="3" borderId="0" xfId="0" applyFont="1" applyFill="1"/>
    <xf numFmtId="0" fontId="54" fillId="2" borderId="12" xfId="0" applyFont="1" applyFill="1" applyBorder="1"/>
    <xf numFmtId="0" fontId="54" fillId="2" borderId="13" xfId="0" applyFont="1" applyFill="1" applyBorder="1"/>
    <xf numFmtId="0" fontId="49" fillId="2" borderId="6" xfId="0" applyFont="1" applyFill="1" applyBorder="1" applyAlignment="1">
      <alignment horizontal="center"/>
    </xf>
    <xf numFmtId="0" fontId="49" fillId="2" borderId="9" xfId="0" applyFont="1" applyFill="1" applyBorder="1" applyAlignment="1">
      <alignment horizontal="center"/>
    </xf>
    <xf numFmtId="0" fontId="49" fillId="2" borderId="11" xfId="0" applyFont="1" applyFill="1" applyBorder="1" applyAlignment="1">
      <alignment horizontal="center"/>
    </xf>
    <xf numFmtId="0" fontId="4" fillId="2" borderId="9" xfId="0" applyFont="1" applyFill="1" applyBorder="1" applyAlignment="1">
      <alignment vertical="top"/>
    </xf>
    <xf numFmtId="0" fontId="4" fillId="2" borderId="0" xfId="0" applyFont="1" applyFill="1" applyAlignment="1">
      <alignment vertical="top"/>
    </xf>
    <xf numFmtId="0" fontId="4" fillId="2" borderId="10" xfId="0" applyFont="1" applyFill="1" applyBorder="1" applyAlignment="1">
      <alignment vertical="top"/>
    </xf>
    <xf numFmtId="0" fontId="4" fillId="2" borderId="0" xfId="0" applyFont="1" applyFill="1" applyAlignment="1">
      <alignment horizontal="center" vertical="top"/>
    </xf>
    <xf numFmtId="0" fontId="11" fillId="3" borderId="0" xfId="0" applyFont="1" applyFill="1" applyAlignment="1">
      <alignment horizontal="center" wrapText="1"/>
    </xf>
    <xf numFmtId="165" fontId="8" fillId="2" borderId="0" xfId="1" applyNumberFormat="1" applyFont="1" applyFill="1" applyBorder="1" applyAlignment="1">
      <alignment horizontal="center"/>
    </xf>
    <xf numFmtId="0" fontId="16" fillId="3" borderId="0" xfId="0" applyFont="1" applyFill="1" applyAlignment="1">
      <alignment vertical="center" wrapText="1"/>
    </xf>
    <xf numFmtId="3" fontId="4" fillId="3" borderId="0" xfId="0" applyNumberFormat="1" applyFont="1" applyFill="1" applyAlignment="1">
      <alignment vertical="center" wrapText="1"/>
    </xf>
    <xf numFmtId="0" fontId="4" fillId="3" borderId="0" xfId="0" applyFont="1" applyFill="1" applyAlignment="1">
      <alignment vertical="center" wrapText="1"/>
    </xf>
    <xf numFmtId="0" fontId="24" fillId="3" borderId="0" xfId="0" applyFont="1" applyFill="1" applyAlignment="1">
      <alignment vertical="top"/>
    </xf>
    <xf numFmtId="2" fontId="4" fillId="2" borderId="0" xfId="0" applyNumberFormat="1" applyFont="1" applyFill="1" applyAlignment="1">
      <alignment horizontal="center"/>
    </xf>
    <xf numFmtId="180" fontId="4" fillId="2" borderId="0" xfId="0" applyNumberFormat="1" applyFont="1" applyFill="1" applyAlignment="1">
      <alignment horizontal="center"/>
    </xf>
    <xf numFmtId="180" fontId="16" fillId="2" borderId="14" xfId="0" applyNumberFormat="1" applyFont="1" applyFill="1" applyBorder="1" applyAlignment="1">
      <alignment horizontal="center"/>
    </xf>
    <xf numFmtId="2" fontId="56" fillId="2" borderId="0" xfId="0" applyNumberFormat="1" applyFont="1" applyFill="1" applyAlignment="1">
      <alignment horizontal="center"/>
    </xf>
    <xf numFmtId="0" fontId="9" fillId="2" borderId="10" xfId="0" applyFont="1" applyFill="1" applyBorder="1"/>
    <xf numFmtId="0" fontId="4" fillId="2" borderId="25" xfId="0" applyFont="1" applyFill="1" applyBorder="1" applyAlignment="1">
      <alignment horizontal="left"/>
    </xf>
    <xf numFmtId="0" fontId="13" fillId="2" borderId="11" xfId="0" applyFont="1" applyFill="1" applyBorder="1"/>
    <xf numFmtId="0" fontId="13" fillId="2" borderId="12" xfId="0" applyFont="1" applyFill="1" applyBorder="1"/>
    <xf numFmtId="0" fontId="13" fillId="2" borderId="13" xfId="0" applyFont="1" applyFill="1" applyBorder="1"/>
    <xf numFmtId="0" fontId="13" fillId="2" borderId="9" xfId="0" applyFont="1" applyFill="1" applyBorder="1" applyAlignment="1">
      <alignment vertical="center"/>
    </xf>
    <xf numFmtId="0" fontId="13" fillId="2" borderId="0" xfId="0" applyFont="1" applyFill="1" applyAlignment="1">
      <alignment vertical="center"/>
    </xf>
    <xf numFmtId="0" fontId="13" fillId="2" borderId="10" xfId="0" applyFont="1" applyFill="1" applyBorder="1" applyAlignment="1">
      <alignment vertical="center"/>
    </xf>
    <xf numFmtId="0" fontId="13" fillId="3" borderId="0" xfId="0" applyFont="1" applyFill="1" applyAlignment="1">
      <alignment horizontal="center"/>
    </xf>
    <xf numFmtId="0" fontId="12" fillId="2" borderId="0" xfId="0" applyFont="1" applyFill="1" applyAlignment="1">
      <alignment horizontal="left"/>
    </xf>
    <xf numFmtId="0" fontId="8" fillId="2" borderId="25" xfId="0" applyFont="1" applyFill="1" applyBorder="1" applyAlignment="1">
      <alignment horizontal="left"/>
    </xf>
    <xf numFmtId="0" fontId="8" fillId="2" borderId="0" xfId="0" applyFont="1" applyFill="1" applyAlignment="1">
      <alignment horizontal="center" vertical="top" wrapText="1"/>
    </xf>
    <xf numFmtId="0" fontId="8" fillId="2" borderId="0" xfId="0" applyFont="1" applyFill="1" applyAlignment="1">
      <alignment wrapText="1"/>
    </xf>
    <xf numFmtId="0" fontId="8" fillId="2" borderId="0" xfId="0" applyFont="1" applyFill="1" applyAlignment="1">
      <alignment horizontal="center" wrapText="1"/>
    </xf>
    <xf numFmtId="184" fontId="8" fillId="2" borderId="0" xfId="0" applyNumberFormat="1" applyFont="1" applyFill="1" applyAlignment="1">
      <alignment horizontal="center" wrapText="1"/>
    </xf>
    <xf numFmtId="202" fontId="8" fillId="2" borderId="0" xfId="0" applyNumberFormat="1" applyFont="1" applyFill="1" applyAlignment="1">
      <alignment horizontal="center" wrapText="1"/>
    </xf>
    <xf numFmtId="171" fontId="8" fillId="2" borderId="0" xfId="0" applyNumberFormat="1" applyFont="1" applyFill="1" applyAlignment="1">
      <alignment horizontal="center" wrapText="1"/>
    </xf>
    <xf numFmtId="181" fontId="8" fillId="2" borderId="0" xfId="0" applyNumberFormat="1" applyFont="1" applyFill="1" applyAlignment="1">
      <alignment horizontal="center" wrapText="1"/>
    </xf>
    <xf numFmtId="165" fontId="8" fillId="2" borderId="0" xfId="0" applyNumberFormat="1" applyFont="1" applyFill="1" applyAlignment="1">
      <alignment horizontal="center" wrapText="1"/>
    </xf>
    <xf numFmtId="0" fontId="8" fillId="2" borderId="9" xfId="0" applyFont="1" applyFill="1" applyBorder="1" applyAlignment="1">
      <alignment wrapText="1"/>
    </xf>
    <xf numFmtId="0" fontId="8" fillId="2" borderId="10" xfId="0" applyFont="1" applyFill="1" applyBorder="1" applyAlignment="1">
      <alignment wrapText="1"/>
    </xf>
    <xf numFmtId="0" fontId="8" fillId="3" borderId="0" xfId="0" applyFont="1" applyFill="1" applyAlignment="1">
      <alignment wrapText="1"/>
    </xf>
    <xf numFmtId="0" fontId="12" fillId="2" borderId="0" xfId="0" applyFont="1" applyFill="1" applyAlignment="1">
      <alignment horizontal="left" vertical="top"/>
    </xf>
    <xf numFmtId="0" fontId="8" fillId="2" borderId="0" xfId="0" applyFont="1" applyFill="1" applyAlignment="1">
      <alignment horizontal="left" vertical="top" indent="2"/>
    </xf>
    <xf numFmtId="165" fontId="8" fillId="2" borderId="0" xfId="1" applyNumberFormat="1" applyFont="1" applyFill="1" applyBorder="1" applyAlignment="1">
      <alignment horizontal="center" wrapText="1"/>
    </xf>
    <xf numFmtId="174" fontId="8" fillId="2" borderId="0" xfId="0" applyNumberFormat="1" applyFont="1" applyFill="1" applyAlignment="1">
      <alignment horizontal="center" wrapText="1"/>
    </xf>
    <xf numFmtId="0" fontId="4" fillId="4" borderId="44" xfId="0" applyFont="1" applyFill="1" applyBorder="1" applyAlignment="1">
      <alignment horizontal="center"/>
    </xf>
    <xf numFmtId="0" fontId="8" fillId="2" borderId="0" xfId="0" applyFont="1" applyFill="1" applyAlignment="1">
      <alignment horizontal="left" vertical="top"/>
    </xf>
    <xf numFmtId="0" fontId="13" fillId="2" borderId="0" xfId="0" applyFont="1" applyFill="1" applyAlignment="1">
      <alignment horizontal="right"/>
    </xf>
    <xf numFmtId="0" fontId="4" fillId="0" borderId="0" xfId="0" applyFont="1" applyAlignment="1">
      <alignment horizontal="right"/>
    </xf>
    <xf numFmtId="0" fontId="24" fillId="3" borderId="0" xfId="0" applyFont="1" applyFill="1" applyAlignment="1">
      <alignment horizontal="center" vertical="top"/>
    </xf>
    <xf numFmtId="0" fontId="8" fillId="3" borderId="12" xfId="0" applyFont="1" applyFill="1" applyBorder="1"/>
    <xf numFmtId="0" fontId="8" fillId="3" borderId="12" xfId="0" applyFont="1" applyFill="1" applyBorder="1" applyAlignment="1">
      <alignment horizontal="left"/>
    </xf>
    <xf numFmtId="0" fontId="8" fillId="2" borderId="15" xfId="0" applyFont="1" applyFill="1" applyBorder="1"/>
    <xf numFmtId="0" fontId="4" fillId="5" borderId="0" xfId="0" applyFont="1" applyFill="1" applyAlignment="1">
      <alignment horizontal="left" indent="2"/>
    </xf>
    <xf numFmtId="0" fontId="28" fillId="2" borderId="9" xfId="0" applyFont="1" applyFill="1" applyBorder="1"/>
    <xf numFmtId="0" fontId="57" fillId="3" borderId="0" xfId="0" applyFont="1" applyFill="1"/>
    <xf numFmtId="0" fontId="57" fillId="3" borderId="0" xfId="0" applyFont="1" applyFill="1" applyAlignment="1">
      <alignment horizontal="center"/>
    </xf>
    <xf numFmtId="0" fontId="28" fillId="2" borderId="10" xfId="0" applyFont="1" applyFill="1" applyBorder="1"/>
    <xf numFmtId="0" fontId="4" fillId="2" borderId="43" xfId="0" applyFont="1" applyFill="1" applyBorder="1"/>
    <xf numFmtId="0" fontId="16" fillId="2" borderId="7" xfId="0" applyFont="1" applyFill="1" applyBorder="1" applyAlignment="1">
      <alignment vertical="center"/>
    </xf>
    <xf numFmtId="0" fontId="16" fillId="2" borderId="8" xfId="0" applyFont="1" applyFill="1" applyBorder="1" applyAlignment="1">
      <alignment vertical="center"/>
    </xf>
    <xf numFmtId="164" fontId="24" fillId="3" borderId="0" xfId="0" applyNumberFormat="1" applyFont="1" applyFill="1" applyAlignment="1">
      <alignment horizontal="center"/>
    </xf>
    <xf numFmtId="3" fontId="24" fillId="3" borderId="0" xfId="0" applyNumberFormat="1" applyFont="1" applyFill="1" applyAlignment="1">
      <alignment horizontal="center"/>
    </xf>
    <xf numFmtId="164" fontId="6" fillId="3" borderId="0" xfId="0" applyNumberFormat="1" applyFont="1" applyFill="1" applyAlignment="1">
      <alignment horizontal="center"/>
    </xf>
    <xf numFmtId="3" fontId="6" fillId="3" borderId="0" xfId="0" applyNumberFormat="1" applyFont="1" applyFill="1" applyAlignment="1">
      <alignment horizontal="center"/>
    </xf>
    <xf numFmtId="167" fontId="6" fillId="3" borderId="0" xfId="0" applyNumberFormat="1" applyFont="1" applyFill="1" applyAlignment="1">
      <alignment horizontal="center"/>
    </xf>
    <xf numFmtId="0" fontId="8" fillId="2" borderId="0" xfId="0" applyFont="1" applyFill="1" applyAlignment="1">
      <alignment horizontal="left" vertical="center" wrapText="1"/>
    </xf>
    <xf numFmtId="0" fontId="8" fillId="2" borderId="0" xfId="0" applyFont="1" applyFill="1" applyAlignment="1">
      <alignment horizontal="left" indent="1"/>
    </xf>
    <xf numFmtId="0" fontId="8" fillId="2" borderId="31" xfId="0" applyFont="1" applyFill="1" applyBorder="1" applyAlignment="1">
      <alignment horizontal="left" indent="2"/>
    </xf>
    <xf numFmtId="191" fontId="12" fillId="3" borderId="0" xfId="0" applyNumberFormat="1" applyFont="1" applyFill="1" applyAlignment="1">
      <alignment horizontal="center"/>
    </xf>
    <xf numFmtId="181" fontId="4" fillId="6" borderId="0" xfId="0" applyNumberFormat="1" applyFont="1" applyFill="1" applyAlignment="1">
      <alignment horizontal="center"/>
    </xf>
    <xf numFmtId="0" fontId="12" fillId="2" borderId="0" xfId="0" applyFont="1" applyFill="1" applyAlignment="1">
      <alignment horizontal="left" vertical="center"/>
    </xf>
    <xf numFmtId="0" fontId="8" fillId="2" borderId="0" xfId="0" applyFont="1" applyFill="1" applyAlignment="1">
      <alignment horizontal="left" vertical="center" indent="1"/>
    </xf>
    <xf numFmtId="0" fontId="12" fillId="2" borderId="25" xfId="0" applyFont="1" applyFill="1" applyBorder="1" applyAlignment="1">
      <alignment horizontal="left" vertical="center"/>
    </xf>
    <xf numFmtId="0" fontId="16" fillId="2" borderId="45" xfId="0" applyFont="1" applyFill="1" applyBorder="1"/>
    <xf numFmtId="0" fontId="16" fillId="2" borderId="46" xfId="0" applyFont="1" applyFill="1" applyBorder="1" applyAlignment="1">
      <alignment horizontal="center"/>
    </xf>
    <xf numFmtId="0" fontId="4" fillId="2" borderId="46" xfId="0" applyFont="1" applyFill="1" applyBorder="1"/>
    <xf numFmtId="0" fontId="4" fillId="2" borderId="47" xfId="0" applyFont="1" applyFill="1" applyBorder="1"/>
    <xf numFmtId="0" fontId="4" fillId="2" borderId="48" xfId="0" applyFont="1" applyFill="1" applyBorder="1"/>
    <xf numFmtId="0" fontId="16" fillId="2" borderId="47" xfId="0" applyFont="1" applyFill="1" applyBorder="1"/>
    <xf numFmtId="0" fontId="4" fillId="2" borderId="47" xfId="0" applyFont="1" applyFill="1" applyBorder="1" applyAlignment="1">
      <alignment horizontal="left" indent="1"/>
    </xf>
    <xf numFmtId="1" fontId="4" fillId="2" borderId="46" xfId="0" applyNumberFormat="1" applyFont="1" applyFill="1" applyBorder="1" applyAlignment="1">
      <alignment horizontal="center"/>
    </xf>
    <xf numFmtId="0" fontId="4" fillId="2" borderId="46" xfId="0" applyFont="1" applyFill="1" applyBorder="1" applyAlignment="1">
      <alignment horizontal="center"/>
    </xf>
    <xf numFmtId="0" fontId="4" fillId="2" borderId="48" xfId="0" applyFont="1" applyFill="1" applyBorder="1" applyAlignment="1">
      <alignment horizontal="center"/>
    </xf>
    <xf numFmtId="0" fontId="16" fillId="2" borderId="47" xfId="0" applyFont="1" applyFill="1" applyBorder="1" applyAlignment="1">
      <alignment horizontal="left"/>
    </xf>
    <xf numFmtId="1" fontId="4" fillId="2" borderId="48" xfId="0" applyNumberFormat="1" applyFont="1" applyFill="1" applyBorder="1" applyAlignment="1">
      <alignment horizontal="center"/>
    </xf>
    <xf numFmtId="167" fontId="4" fillId="2" borderId="48" xfId="0" applyNumberFormat="1" applyFont="1" applyFill="1" applyBorder="1" applyAlignment="1">
      <alignment horizontal="center"/>
    </xf>
    <xf numFmtId="204" fontId="16" fillId="2" borderId="48" xfId="0" applyNumberFormat="1" applyFont="1" applyFill="1" applyBorder="1" applyAlignment="1">
      <alignment horizontal="center"/>
    </xf>
    <xf numFmtId="3" fontId="4" fillId="2" borderId="48" xfId="0" applyNumberFormat="1" applyFont="1" applyFill="1" applyBorder="1" applyAlignment="1">
      <alignment horizontal="center"/>
    </xf>
    <xf numFmtId="0" fontId="4" fillId="3" borderId="12" xfId="0" applyFont="1" applyFill="1" applyBorder="1"/>
    <xf numFmtId="3" fontId="4" fillId="2" borderId="46" xfId="0" applyNumberFormat="1" applyFont="1" applyFill="1" applyBorder="1" applyAlignment="1">
      <alignment horizontal="center"/>
    </xf>
    <xf numFmtId="167" fontId="4" fillId="2" borderId="46" xfId="0" applyNumberFormat="1" applyFont="1" applyFill="1" applyBorder="1" applyAlignment="1">
      <alignment horizontal="center"/>
    </xf>
    <xf numFmtId="167" fontId="4" fillId="2" borderId="46" xfId="0" applyNumberFormat="1" applyFont="1" applyFill="1" applyBorder="1" applyAlignment="1">
      <alignment horizontal="left"/>
    </xf>
    <xf numFmtId="0" fontId="4" fillId="2" borderId="46" xfId="0" applyFont="1" applyFill="1" applyBorder="1" applyAlignment="1">
      <alignment horizontal="left"/>
    </xf>
    <xf numFmtId="165" fontId="4" fillId="2" borderId="48" xfId="0" applyNumberFormat="1" applyFont="1" applyFill="1" applyBorder="1" applyAlignment="1">
      <alignment horizontal="center"/>
    </xf>
    <xf numFmtId="0" fontId="4" fillId="2" borderId="48" xfId="0" applyFont="1" applyFill="1" applyBorder="1" applyAlignment="1">
      <alignment horizontal="left"/>
    </xf>
    <xf numFmtId="164" fontId="4" fillId="2" borderId="48" xfId="0" applyNumberFormat="1" applyFont="1" applyFill="1" applyBorder="1" applyAlignment="1">
      <alignment horizontal="center"/>
    </xf>
    <xf numFmtId="164" fontId="4" fillId="2" borderId="48" xfId="0" applyNumberFormat="1" applyFont="1" applyFill="1" applyBorder="1" applyAlignment="1">
      <alignment horizontal="left"/>
    </xf>
    <xf numFmtId="10" fontId="4" fillId="2" borderId="48" xfId="0" applyNumberFormat="1" applyFont="1" applyFill="1" applyBorder="1" applyAlignment="1">
      <alignment horizontal="center"/>
    </xf>
    <xf numFmtId="0" fontId="4" fillId="4" borderId="8" xfId="0" applyFont="1" applyFill="1" applyBorder="1"/>
    <xf numFmtId="0" fontId="4" fillId="5" borderId="10" xfId="0" applyFont="1" applyFill="1" applyBorder="1"/>
    <xf numFmtId="0" fontId="4" fillId="5" borderId="12" xfId="0" applyFont="1" applyFill="1" applyBorder="1"/>
    <xf numFmtId="0" fontId="4" fillId="5" borderId="13" xfId="0" applyFont="1" applyFill="1" applyBorder="1"/>
    <xf numFmtId="167" fontId="4" fillId="2" borderId="50" xfId="0" applyNumberFormat="1" applyFont="1" applyFill="1" applyBorder="1" applyAlignment="1">
      <alignment horizontal="center"/>
    </xf>
    <xf numFmtId="0" fontId="4" fillId="2" borderId="50" xfId="0" applyFont="1" applyFill="1" applyBorder="1" applyAlignment="1">
      <alignment horizontal="center"/>
    </xf>
    <xf numFmtId="0" fontId="4" fillId="2" borderId="50" xfId="0" applyFont="1" applyFill="1" applyBorder="1"/>
    <xf numFmtId="0" fontId="4" fillId="2" borderId="52" xfId="0" applyFont="1" applyFill="1" applyBorder="1" applyAlignment="1">
      <alignment horizontal="left" indent="1"/>
    </xf>
    <xf numFmtId="3" fontId="4" fillId="2" borderId="53" xfId="0" applyNumberFormat="1" applyFont="1" applyFill="1" applyBorder="1" applyAlignment="1">
      <alignment horizontal="center"/>
    </xf>
    <xf numFmtId="0" fontId="4" fillId="2" borderId="53" xfId="0" applyFont="1" applyFill="1" applyBorder="1"/>
    <xf numFmtId="9" fontId="4" fillId="2" borderId="53" xfId="0" applyNumberFormat="1" applyFont="1" applyFill="1" applyBorder="1" applyAlignment="1">
      <alignment horizontal="center"/>
    </xf>
    <xf numFmtId="0" fontId="3" fillId="3" borderId="0" xfId="0" quotePrefix="1" applyFont="1" applyFill="1" applyAlignment="1">
      <alignment horizontal="left" vertical="center"/>
    </xf>
    <xf numFmtId="164" fontId="4" fillId="2" borderId="53" xfId="0" applyNumberFormat="1" applyFont="1" applyFill="1" applyBorder="1" applyAlignment="1">
      <alignment horizontal="center"/>
    </xf>
    <xf numFmtId="1" fontId="4" fillId="2" borderId="51" xfId="0" applyNumberFormat="1" applyFont="1" applyFill="1" applyBorder="1" applyAlignment="1">
      <alignment horizontal="center"/>
    </xf>
    <xf numFmtId="6" fontId="8" fillId="2" borderId="0" xfId="0" applyNumberFormat="1" applyFont="1" applyFill="1" applyAlignment="1">
      <alignment horizontal="left"/>
    </xf>
    <xf numFmtId="0" fontId="4" fillId="3" borderId="0" xfId="0" applyFont="1" applyFill="1" applyAlignment="1">
      <alignment horizontal="center" vertical="center"/>
    </xf>
    <xf numFmtId="0" fontId="6" fillId="2" borderId="0" xfId="0" applyFont="1" applyFill="1" applyAlignment="1">
      <alignment wrapText="1"/>
    </xf>
    <xf numFmtId="0" fontId="16" fillId="2" borderId="55" xfId="0" applyFont="1" applyFill="1" applyBorder="1" applyAlignment="1">
      <alignment horizontal="left"/>
    </xf>
    <xf numFmtId="167" fontId="4" fillId="2" borderId="56" xfId="0" applyNumberFormat="1" applyFont="1" applyFill="1" applyBorder="1" applyAlignment="1">
      <alignment horizontal="center"/>
    </xf>
    <xf numFmtId="0" fontId="4" fillId="2" borderId="56" xfId="0" applyFont="1" applyFill="1" applyBorder="1"/>
    <xf numFmtId="0" fontId="4" fillId="2" borderId="55" xfId="0" applyFont="1" applyFill="1" applyBorder="1" applyAlignment="1">
      <alignment horizontal="left" indent="1"/>
    </xf>
    <xf numFmtId="167" fontId="4" fillId="2" borderId="56" xfId="0" applyNumberFormat="1" applyFont="1" applyFill="1" applyBorder="1" applyAlignment="1">
      <alignment horizontal="left"/>
    </xf>
    <xf numFmtId="0" fontId="17" fillId="2" borderId="9" xfId="0" applyFont="1" applyFill="1" applyBorder="1"/>
    <xf numFmtId="0" fontId="33" fillId="2" borderId="10" xfId="0" applyFont="1" applyFill="1" applyBorder="1"/>
    <xf numFmtId="0" fontId="17" fillId="3" borderId="0" xfId="0" applyFont="1" applyFill="1"/>
    <xf numFmtId="0" fontId="59" fillId="3" borderId="0" xfId="0" applyFont="1" applyFill="1"/>
    <xf numFmtId="0" fontId="33" fillId="3" borderId="0" xfId="0" applyFont="1" applyFill="1"/>
    <xf numFmtId="0" fontId="17" fillId="3" borderId="0" xfId="0" applyFont="1" applyFill="1" applyAlignment="1">
      <alignment horizontal="center"/>
    </xf>
    <xf numFmtId="0" fontId="4" fillId="5" borderId="0" xfId="0" applyFont="1" applyFill="1" applyAlignment="1">
      <alignment horizontal="left" vertical="top"/>
    </xf>
    <xf numFmtId="0" fontId="16" fillId="2" borderId="9" xfId="0" applyFont="1" applyFill="1" applyBorder="1" applyAlignment="1">
      <alignment vertical="center"/>
    </xf>
    <xf numFmtId="0" fontId="16" fillId="2" borderId="10" xfId="0" applyFont="1" applyFill="1" applyBorder="1" applyAlignment="1">
      <alignment vertical="center"/>
    </xf>
    <xf numFmtId="0" fontId="4" fillId="2" borderId="54" xfId="0" applyFont="1" applyFill="1" applyBorder="1" applyAlignment="1">
      <alignment horizontal="left"/>
    </xf>
    <xf numFmtId="0" fontId="16" fillId="2" borderId="54" xfId="0" applyFont="1" applyFill="1" applyBorder="1" applyAlignment="1">
      <alignment horizontal="center"/>
    </xf>
    <xf numFmtId="0" fontId="4" fillId="2" borderId="54" xfId="0" applyFont="1" applyFill="1" applyBorder="1" applyAlignment="1">
      <alignment horizontal="center"/>
    </xf>
    <xf numFmtId="164" fontId="4" fillId="5" borderId="0" xfId="0" applyNumberFormat="1" applyFont="1" applyFill="1"/>
    <xf numFmtId="0" fontId="4" fillId="6" borderId="0" xfId="0" applyFont="1" applyFill="1" applyAlignment="1">
      <alignment horizontal="right"/>
    </xf>
    <xf numFmtId="164" fontId="16" fillId="2" borderId="33" xfId="0" applyNumberFormat="1" applyFont="1" applyFill="1" applyBorder="1" applyAlignment="1">
      <alignment horizontal="center"/>
    </xf>
    <xf numFmtId="0" fontId="4" fillId="2" borderId="55" xfId="0" applyFont="1" applyFill="1" applyBorder="1"/>
    <xf numFmtId="166" fontId="4" fillId="2" borderId="0" xfId="0" applyNumberFormat="1" applyFont="1" applyFill="1" applyAlignment="1">
      <alignment horizontal="center"/>
    </xf>
    <xf numFmtId="0" fontId="11" fillId="3" borderId="0" xfId="0" applyFont="1" applyFill="1" applyAlignment="1">
      <alignment vertical="top"/>
    </xf>
    <xf numFmtId="0" fontId="4" fillId="4" borderId="12" xfId="0" applyFont="1" applyFill="1" applyBorder="1" applyAlignment="1">
      <alignment horizontal="center"/>
    </xf>
    <xf numFmtId="0" fontId="4" fillId="4" borderId="23" xfId="0" applyFont="1" applyFill="1" applyBorder="1" applyAlignment="1">
      <alignment horizontal="center"/>
    </xf>
    <xf numFmtId="0" fontId="4" fillId="4" borderId="35" xfId="0" applyFont="1" applyFill="1" applyBorder="1" applyAlignment="1">
      <alignment horizontal="center"/>
    </xf>
    <xf numFmtId="0" fontId="4" fillId="6" borderId="0" xfId="0" applyFont="1" applyFill="1" applyAlignment="1">
      <alignment horizontal="center"/>
    </xf>
    <xf numFmtId="0" fontId="4" fillId="5" borderId="0" xfId="0" applyFont="1" applyFill="1" applyAlignment="1">
      <alignment vertical="center"/>
    </xf>
    <xf numFmtId="165" fontId="16" fillId="2" borderId="33" xfId="0" applyNumberFormat="1" applyFont="1" applyFill="1" applyBorder="1" applyAlignment="1">
      <alignment horizontal="center"/>
    </xf>
    <xf numFmtId="205" fontId="4" fillId="6" borderId="0" xfId="0" applyNumberFormat="1" applyFont="1" applyFill="1" applyAlignment="1">
      <alignment horizontal="right"/>
    </xf>
    <xf numFmtId="205" fontId="16" fillId="5" borderId="17" xfId="0" applyNumberFormat="1" applyFont="1" applyFill="1" applyBorder="1" applyAlignment="1">
      <alignment horizontal="right"/>
    </xf>
    <xf numFmtId="205" fontId="0" fillId="5" borderId="0" xfId="0" applyNumberFormat="1" applyFill="1" applyAlignment="1">
      <alignment horizontal="right"/>
    </xf>
    <xf numFmtId="3" fontId="8" fillId="2" borderId="0" xfId="0" applyNumberFormat="1" applyFont="1" applyFill="1" applyAlignment="1">
      <alignment horizontal="center" wrapText="1"/>
    </xf>
    <xf numFmtId="0" fontId="7" fillId="2" borderId="0" xfId="0" applyFont="1" applyFill="1" applyAlignment="1">
      <alignment horizontal="left" vertical="top"/>
    </xf>
    <xf numFmtId="0" fontId="8" fillId="2" borderId="0" xfId="0" applyFont="1" applyFill="1" applyAlignment="1">
      <alignment horizontal="left" vertical="top" indent="1"/>
    </xf>
    <xf numFmtId="0" fontId="8" fillId="2" borderId="0" xfId="0" applyFont="1" applyFill="1" applyAlignment="1">
      <alignment horizontal="left" vertical="top" wrapText="1" indent="1"/>
    </xf>
    <xf numFmtId="207" fontId="8" fillId="2" borderId="0" xfId="0" applyNumberFormat="1" applyFont="1" applyFill="1" applyAlignment="1">
      <alignment horizontal="center"/>
    </xf>
    <xf numFmtId="207" fontId="8" fillId="2" borderId="0" xfId="0" applyNumberFormat="1" applyFont="1" applyFill="1" applyAlignment="1">
      <alignment horizontal="center" wrapText="1"/>
    </xf>
    <xf numFmtId="188" fontId="8" fillId="2" borderId="0" xfId="0" applyNumberFormat="1" applyFont="1" applyFill="1" applyAlignment="1">
      <alignment horizontal="center"/>
    </xf>
    <xf numFmtId="189" fontId="8" fillId="2" borderId="0" xfId="0" applyNumberFormat="1" applyFont="1" applyFill="1" applyAlignment="1">
      <alignment horizontal="center"/>
    </xf>
    <xf numFmtId="14" fontId="8" fillId="2" borderId="0" xfId="0" applyNumberFormat="1" applyFont="1" applyFill="1" applyAlignment="1">
      <alignment horizontal="center" wrapText="1"/>
    </xf>
    <xf numFmtId="1" fontId="9" fillId="3" borderId="0" xfId="0" applyNumberFormat="1" applyFont="1" applyFill="1" applyAlignment="1">
      <alignment horizontal="center"/>
    </xf>
    <xf numFmtId="10" fontId="11" fillId="3" borderId="0" xfId="0" applyNumberFormat="1" applyFont="1" applyFill="1" applyAlignment="1">
      <alignment horizontal="center"/>
    </xf>
    <xf numFmtId="0" fontId="9" fillId="2" borderId="12" xfId="0" applyFont="1" applyFill="1" applyBorder="1"/>
    <xf numFmtId="208" fontId="11" fillId="3" borderId="0" xfId="0" applyNumberFormat="1" applyFont="1" applyFill="1" applyAlignment="1">
      <alignment horizontal="center"/>
    </xf>
    <xf numFmtId="201" fontId="4" fillId="2" borderId="7" xfId="0" applyNumberFormat="1" applyFont="1" applyFill="1" applyBorder="1" applyAlignment="1">
      <alignment horizontal="center"/>
    </xf>
    <xf numFmtId="166" fontId="4" fillId="2" borderId="0" xfId="0" applyNumberFormat="1" applyFont="1" applyFill="1" applyAlignment="1">
      <alignment horizontal="left"/>
    </xf>
    <xf numFmtId="166" fontId="8" fillId="2" borderId="0" xfId="0" applyNumberFormat="1" applyFont="1" applyFill="1" applyAlignment="1">
      <alignment horizontal="left"/>
    </xf>
    <xf numFmtId="209" fontId="4" fillId="2" borderId="0" xfId="0" applyNumberFormat="1" applyFont="1" applyFill="1" applyAlignment="1">
      <alignment horizontal="center"/>
    </xf>
    <xf numFmtId="10" fontId="4" fillId="2" borderId="0" xfId="0" applyNumberFormat="1" applyFont="1" applyFill="1" applyAlignment="1">
      <alignment horizontal="center"/>
    </xf>
    <xf numFmtId="211" fontId="4" fillId="2" borderId="0" xfId="1" applyNumberFormat="1" applyFont="1" applyFill="1" applyBorder="1" applyAlignment="1">
      <alignment horizontal="center"/>
    </xf>
    <xf numFmtId="0" fontId="8" fillId="2" borderId="42" xfId="0" applyFont="1" applyFill="1" applyBorder="1"/>
    <xf numFmtId="165" fontId="8" fillId="2" borderId="25" xfId="1" applyNumberFormat="1" applyFont="1" applyFill="1" applyBorder="1" applyAlignment="1">
      <alignment horizontal="center"/>
    </xf>
    <xf numFmtId="0" fontId="16" fillId="2" borderId="58" xfId="0" applyFont="1" applyFill="1" applyBorder="1"/>
    <xf numFmtId="0" fontId="4" fillId="2" borderId="59" xfId="0" applyFont="1" applyFill="1" applyBorder="1" applyAlignment="1">
      <alignment horizontal="left"/>
    </xf>
    <xf numFmtId="0" fontId="4" fillId="2" borderId="59" xfId="0" applyFont="1" applyFill="1" applyBorder="1"/>
    <xf numFmtId="0" fontId="4" fillId="2" borderId="58" xfId="0" applyFont="1" applyFill="1" applyBorder="1" applyAlignment="1">
      <alignment horizontal="left" indent="1"/>
    </xf>
    <xf numFmtId="0" fontId="4" fillId="2" borderId="59" xfId="0" applyFont="1" applyFill="1" applyBorder="1" applyAlignment="1">
      <alignment horizontal="center"/>
    </xf>
    <xf numFmtId="0" fontId="4" fillId="2" borderId="60" xfId="0" applyFont="1" applyFill="1" applyBorder="1" applyAlignment="1">
      <alignment horizontal="left" indent="1"/>
    </xf>
    <xf numFmtId="0" fontId="4" fillId="2" borderId="61" xfId="0" applyFont="1" applyFill="1" applyBorder="1"/>
    <xf numFmtId="0" fontId="4" fillId="2" borderId="55" xfId="0" applyFont="1" applyFill="1" applyBorder="1" applyAlignment="1">
      <alignment horizontal="left" indent="2"/>
    </xf>
    <xf numFmtId="1" fontId="4" fillId="2" borderId="59" xfId="0" applyNumberFormat="1" applyFont="1" applyFill="1" applyBorder="1" applyAlignment="1">
      <alignment horizontal="left"/>
    </xf>
    <xf numFmtId="167" fontId="4" fillId="2" borderId="61" xfId="0" applyNumberFormat="1" applyFont="1" applyFill="1" applyBorder="1" applyAlignment="1">
      <alignment horizontal="center"/>
    </xf>
    <xf numFmtId="1" fontId="4" fillId="2" borderId="61" xfId="0" applyNumberFormat="1" applyFont="1" applyFill="1" applyBorder="1" applyAlignment="1">
      <alignment horizontal="center"/>
    </xf>
    <xf numFmtId="186" fontId="4" fillId="2" borderId="61" xfId="0" applyNumberFormat="1" applyFont="1" applyFill="1" applyBorder="1" applyAlignment="1">
      <alignment horizontal="center"/>
    </xf>
    <xf numFmtId="0" fontId="4" fillId="2" borderId="61" xfId="0" applyFont="1" applyFill="1" applyBorder="1" applyAlignment="1">
      <alignment horizontal="center"/>
    </xf>
    <xf numFmtId="1" fontId="4" fillId="2" borderId="59" xfId="0" applyNumberFormat="1" applyFont="1" applyFill="1" applyBorder="1" applyAlignment="1">
      <alignment horizontal="center"/>
    </xf>
    <xf numFmtId="165" fontId="4" fillId="2" borderId="61" xfId="0" applyNumberFormat="1" applyFont="1" applyFill="1" applyBorder="1" applyAlignment="1">
      <alignment horizontal="center"/>
    </xf>
    <xf numFmtId="165" fontId="4" fillId="2" borderId="61" xfId="0" applyNumberFormat="1" applyFont="1" applyFill="1" applyBorder="1" applyAlignment="1">
      <alignment horizontal="left"/>
    </xf>
    <xf numFmtId="0" fontId="4" fillId="4" borderId="10" xfId="0" applyFont="1" applyFill="1" applyBorder="1" applyAlignment="1">
      <alignment horizontal="left"/>
    </xf>
    <xf numFmtId="0" fontId="4" fillId="4" borderId="24" xfId="0" applyFont="1" applyFill="1" applyBorder="1" applyAlignment="1">
      <alignment horizontal="left"/>
    </xf>
    <xf numFmtId="0" fontId="4" fillId="4" borderId="13" xfId="0" applyFont="1" applyFill="1" applyBorder="1" applyAlignment="1">
      <alignment horizontal="left"/>
    </xf>
    <xf numFmtId="165" fontId="4" fillId="2" borderId="61" xfId="1" applyNumberFormat="1" applyFont="1" applyFill="1" applyBorder="1" applyAlignment="1">
      <alignment horizontal="center"/>
    </xf>
    <xf numFmtId="0" fontId="16" fillId="2" borderId="60" xfId="0" applyFont="1" applyFill="1" applyBorder="1" applyAlignment="1">
      <alignment horizontal="left"/>
    </xf>
    <xf numFmtId="0" fontId="16" fillId="2" borderId="55" xfId="0" applyFont="1" applyFill="1" applyBorder="1"/>
    <xf numFmtId="0" fontId="4" fillId="2" borderId="7" xfId="0" applyFont="1" applyFill="1" applyBorder="1" applyAlignment="1">
      <alignment horizontal="center" vertical="center"/>
    </xf>
    <xf numFmtId="0" fontId="4" fillId="2" borderId="51" xfId="0" applyFont="1" applyFill="1" applyBorder="1" applyAlignment="1">
      <alignment horizontal="center"/>
    </xf>
    <xf numFmtId="0" fontId="8" fillId="2" borderId="59" xfId="0" applyFont="1" applyFill="1" applyBorder="1" applyAlignment="1">
      <alignment horizontal="center"/>
    </xf>
    <xf numFmtId="0" fontId="4" fillId="2" borderId="29" xfId="0" applyFont="1" applyFill="1" applyBorder="1" applyAlignment="1">
      <alignment horizontal="center"/>
    </xf>
    <xf numFmtId="49" fontId="8" fillId="2" borderId="0" xfId="0" applyNumberFormat="1" applyFont="1" applyFill="1" applyAlignment="1">
      <alignment horizontal="left"/>
    </xf>
    <xf numFmtId="49" fontId="4" fillId="2" borderId="0" xfId="0" applyNumberFormat="1" applyFont="1" applyFill="1" applyAlignment="1">
      <alignment horizontal="center"/>
    </xf>
    <xf numFmtId="0" fontId="4" fillId="2" borderId="61" xfId="0" applyFont="1" applyFill="1" applyBorder="1" applyAlignment="1">
      <alignment horizontal="left"/>
    </xf>
    <xf numFmtId="164" fontId="4" fillId="2" borderId="0" xfId="0" applyNumberFormat="1" applyFont="1" applyFill="1" applyAlignment="1">
      <alignment horizontal="center"/>
    </xf>
    <xf numFmtId="0" fontId="8" fillId="5" borderId="0" xfId="0" applyFont="1" applyFill="1" applyAlignment="1">
      <alignment horizontal="left" vertical="top"/>
    </xf>
    <xf numFmtId="1" fontId="8" fillId="5" borderId="0" xfId="0" applyNumberFormat="1" applyFont="1" applyFill="1" applyAlignment="1">
      <alignment horizontal="left" vertical="top" wrapText="1"/>
    </xf>
    <xf numFmtId="0" fontId="0" fillId="5" borderId="0" xfId="0" applyFill="1" applyAlignment="1">
      <alignment vertical="top"/>
    </xf>
    <xf numFmtId="202" fontId="8" fillId="5" borderId="0" xfId="0" applyNumberFormat="1" applyFont="1" applyFill="1" applyAlignment="1">
      <alignment horizontal="left" vertical="top"/>
    </xf>
    <xf numFmtId="184" fontId="8" fillId="5" borderId="0" xfId="0" applyNumberFormat="1" applyFont="1" applyFill="1" applyAlignment="1">
      <alignment horizontal="left" vertical="top"/>
    </xf>
    <xf numFmtId="165" fontId="8" fillId="5" borderId="0" xfId="0" applyNumberFormat="1" applyFont="1" applyFill="1" applyAlignment="1">
      <alignment horizontal="left" vertical="top"/>
    </xf>
    <xf numFmtId="181" fontId="8" fillId="5" borderId="0" xfId="0" applyNumberFormat="1" applyFont="1" applyFill="1" applyAlignment="1">
      <alignment horizontal="left" vertical="top"/>
    </xf>
    <xf numFmtId="183" fontId="8" fillId="5" borderId="0" xfId="0" applyNumberFormat="1" applyFont="1" applyFill="1" applyAlignment="1">
      <alignment horizontal="left" vertical="top"/>
    </xf>
    <xf numFmtId="0" fontId="4" fillId="5" borderId="0" xfId="0" applyFont="1" applyFill="1" applyAlignment="1">
      <alignment horizontal="left" vertical="top" indent="1"/>
    </xf>
    <xf numFmtId="0" fontId="16" fillId="5" borderId="0" xfId="0" applyFont="1" applyFill="1" applyAlignment="1">
      <alignment vertical="top"/>
    </xf>
    <xf numFmtId="0" fontId="11" fillId="3" borderId="0" xfId="0" applyFont="1" applyFill="1" applyAlignment="1">
      <alignment horizontal="center" vertical="top"/>
    </xf>
    <xf numFmtId="0" fontId="6" fillId="2" borderId="9" xfId="0" applyFont="1" applyFill="1" applyBorder="1" applyAlignment="1">
      <alignment vertical="top"/>
    </xf>
    <xf numFmtId="0" fontId="6" fillId="2" borderId="0" xfId="0" applyFont="1" applyFill="1" applyAlignment="1">
      <alignment vertical="top"/>
    </xf>
    <xf numFmtId="0" fontId="7" fillId="0" borderId="0" xfId="0" applyFont="1" applyAlignment="1">
      <alignment vertical="top"/>
    </xf>
    <xf numFmtId="0" fontId="6" fillId="2" borderId="0" xfId="0" applyFont="1" applyFill="1" applyAlignment="1">
      <alignment horizontal="left" vertical="top"/>
    </xf>
    <xf numFmtId="0" fontId="6" fillId="2" borderId="0" xfId="0" applyFont="1" applyFill="1" applyAlignment="1">
      <alignment horizontal="center" vertical="top"/>
    </xf>
    <xf numFmtId="0" fontId="6" fillId="2" borderId="10" xfId="0" applyFont="1" applyFill="1" applyBorder="1" applyAlignment="1">
      <alignment vertical="top"/>
    </xf>
    <xf numFmtId="0" fontId="4" fillId="3" borderId="0" xfId="0" applyFont="1" applyFill="1" applyAlignment="1">
      <alignment horizontal="center" vertical="top"/>
    </xf>
    <xf numFmtId="0" fontId="12" fillId="2" borderId="9" xfId="0" applyFont="1" applyFill="1" applyBorder="1" applyAlignment="1">
      <alignment horizontal="center" vertical="top"/>
    </xf>
    <xf numFmtId="0" fontId="12" fillId="3" borderId="0" xfId="0" applyFont="1" applyFill="1" applyAlignment="1">
      <alignment horizontal="center" vertical="top"/>
    </xf>
    <xf numFmtId="0" fontId="12" fillId="2" borderId="10" xfId="0" applyFont="1" applyFill="1" applyBorder="1" applyAlignment="1">
      <alignment horizontal="center" vertical="top"/>
    </xf>
    <xf numFmtId="0" fontId="8" fillId="2" borderId="9" xfId="0" applyFont="1" applyFill="1" applyBorder="1" applyAlignment="1">
      <alignment vertical="top"/>
    </xf>
    <xf numFmtId="0" fontId="8" fillId="3" borderId="0" xfId="0" applyFont="1" applyFill="1" applyAlignment="1">
      <alignment vertical="top"/>
    </xf>
    <xf numFmtId="0" fontId="11" fillId="3" borderId="0" xfId="0" applyFont="1" applyFill="1" applyAlignment="1">
      <alignment horizontal="left" vertical="top"/>
    </xf>
    <xf numFmtId="0" fontId="12" fillId="2" borderId="0" xfId="0" applyFont="1" applyFill="1" applyAlignment="1">
      <alignment vertical="top"/>
    </xf>
    <xf numFmtId="0" fontId="7" fillId="2" borderId="0" xfId="0" applyFont="1" applyFill="1" applyAlignment="1">
      <alignment vertical="top"/>
    </xf>
    <xf numFmtId="0" fontId="8" fillId="2" borderId="0" xfId="0" applyFont="1" applyFill="1" applyAlignment="1">
      <alignment vertical="top"/>
    </xf>
    <xf numFmtId="165" fontId="4" fillId="2" borderId="0" xfId="0" applyNumberFormat="1" applyFont="1" applyFill="1" applyAlignment="1">
      <alignment horizontal="center" vertical="top"/>
    </xf>
    <xf numFmtId="3" fontId="4" fillId="2" borderId="0" xfId="0" applyNumberFormat="1" applyFont="1" applyFill="1" applyAlignment="1">
      <alignment horizontal="center" vertical="top"/>
    </xf>
    <xf numFmtId="0" fontId="16" fillId="2" borderId="19" xfId="0" applyFont="1" applyFill="1" applyBorder="1" applyAlignment="1">
      <alignment horizontal="center" vertical="top"/>
    </xf>
    <xf numFmtId="3" fontId="16" fillId="2" borderId="19" xfId="0" applyNumberFormat="1" applyFont="1" applyFill="1" applyBorder="1" applyAlignment="1">
      <alignment horizontal="center" vertical="top"/>
    </xf>
    <xf numFmtId="165" fontId="16" fillId="2" borderId="19" xfId="0" applyNumberFormat="1" applyFont="1" applyFill="1" applyBorder="1" applyAlignment="1">
      <alignment horizontal="center" vertical="top"/>
    </xf>
    <xf numFmtId="0" fontId="16" fillId="2" borderId="0" xfId="0" applyFont="1" applyFill="1" applyAlignment="1">
      <alignment horizontal="center" vertical="top"/>
    </xf>
    <xf numFmtId="0" fontId="8" fillId="2" borderId="25" xfId="0" applyFont="1" applyFill="1" applyBorder="1" applyAlignment="1">
      <alignment horizontal="left" vertical="top"/>
    </xf>
    <xf numFmtId="0" fontId="7" fillId="6" borderId="0" xfId="0" applyFont="1" applyFill="1" applyAlignment="1">
      <alignment vertical="top"/>
    </xf>
    <xf numFmtId="0" fontId="9" fillId="3" borderId="0" xfId="0" applyFont="1" applyFill="1" applyAlignment="1">
      <alignment horizontal="center" vertical="top"/>
    </xf>
    <xf numFmtId="0" fontId="11" fillId="3" borderId="0" xfId="0" applyFont="1" applyFill="1" applyAlignment="1">
      <alignment horizontal="center" vertical="top" wrapText="1"/>
    </xf>
    <xf numFmtId="0" fontId="8" fillId="6" borderId="0" xfId="0" applyFont="1" applyFill="1" applyAlignment="1">
      <alignment horizontal="center" vertical="top"/>
    </xf>
    <xf numFmtId="0" fontId="9" fillId="3" borderId="0" xfId="0" applyFont="1" applyFill="1" applyAlignment="1">
      <alignment vertical="top"/>
    </xf>
    <xf numFmtId="0" fontId="5" fillId="3" borderId="0" xfId="0" applyFont="1" applyFill="1" applyAlignment="1">
      <alignment vertical="top"/>
    </xf>
    <xf numFmtId="0" fontId="8" fillId="5" borderId="0" xfId="0" applyFont="1" applyFill="1" applyAlignment="1">
      <alignment horizontal="left" vertical="top" indent="2"/>
    </xf>
    <xf numFmtId="184" fontId="8" fillId="5" borderId="0" xfId="0" applyNumberFormat="1" applyFont="1" applyFill="1" applyAlignment="1">
      <alignment horizontal="center" vertical="top"/>
    </xf>
    <xf numFmtId="0" fontId="8" fillId="5" borderId="0" xfId="0" applyFont="1" applyFill="1" applyAlignment="1">
      <alignment vertical="top"/>
    </xf>
    <xf numFmtId="174" fontId="8" fillId="2" borderId="0" xfId="0" applyNumberFormat="1" applyFont="1" applyFill="1" applyAlignment="1">
      <alignment horizontal="left" vertical="top"/>
    </xf>
    <xf numFmtId="174" fontId="8" fillId="2" borderId="25" xfId="0" applyNumberFormat="1" applyFont="1" applyFill="1" applyBorder="1" applyAlignment="1">
      <alignment horizontal="left" vertical="top"/>
    </xf>
    <xf numFmtId="195" fontId="5" fillId="3" borderId="0" xfId="0" applyNumberFormat="1" applyFont="1" applyFill="1" applyAlignment="1">
      <alignment vertical="top"/>
    </xf>
    <xf numFmtId="0" fontId="8" fillId="2" borderId="0" xfId="0" applyFont="1" applyFill="1" applyAlignment="1">
      <alignment horizontal="right" vertical="top"/>
    </xf>
    <xf numFmtId="0" fontId="8" fillId="6" borderId="0" xfId="0" applyFont="1" applyFill="1" applyAlignment="1">
      <alignment horizontal="left" vertical="top"/>
    </xf>
    <xf numFmtId="0" fontId="24" fillId="2" borderId="0" xfId="0" applyFont="1" applyFill="1" applyAlignment="1">
      <alignment vertical="top"/>
    </xf>
    <xf numFmtId="0" fontId="5" fillId="3" borderId="0" xfId="0" applyFont="1" applyFill="1" applyAlignment="1">
      <alignment horizontal="left" vertical="top"/>
    </xf>
    <xf numFmtId="0" fontId="9" fillId="2" borderId="10" xfId="0" applyFont="1" applyFill="1" applyBorder="1" applyAlignment="1">
      <alignment vertical="top"/>
    </xf>
    <xf numFmtId="0" fontId="11" fillId="2" borderId="0" xfId="0" applyFont="1" applyFill="1" applyAlignment="1">
      <alignment vertical="top"/>
    </xf>
    <xf numFmtId="0" fontId="11" fillId="3" borderId="9" xfId="0" applyFont="1" applyFill="1" applyBorder="1" applyAlignment="1">
      <alignment vertical="top"/>
    </xf>
    <xf numFmtId="0" fontId="54" fillId="3" borderId="0" xfId="0" applyFont="1" applyFill="1" applyAlignment="1">
      <alignment horizontal="center" vertical="top"/>
    </xf>
    <xf numFmtId="0" fontId="49" fillId="2" borderId="9" xfId="0" applyFont="1" applyFill="1" applyBorder="1" applyAlignment="1">
      <alignment horizontal="center" vertical="top"/>
    </xf>
    <xf numFmtId="0" fontId="45" fillId="2" borderId="10" xfId="0" applyFont="1" applyFill="1" applyBorder="1" applyAlignment="1">
      <alignment vertical="top"/>
    </xf>
    <xf numFmtId="0" fontId="45" fillId="3" borderId="0" xfId="0" applyFont="1" applyFill="1" applyAlignment="1">
      <alignment vertical="top"/>
    </xf>
    <xf numFmtId="205" fontId="16" fillId="6" borderId="0" xfId="0" applyNumberFormat="1" applyFont="1" applyFill="1" applyAlignment="1">
      <alignment horizontal="right" vertical="top"/>
    </xf>
    <xf numFmtId="0" fontId="4" fillId="5" borderId="0" xfId="0" applyFont="1" applyFill="1" applyAlignment="1">
      <alignment horizontal="right" vertical="top"/>
    </xf>
    <xf numFmtId="164" fontId="4" fillId="2" borderId="61" xfId="0" applyNumberFormat="1" applyFont="1" applyFill="1" applyBorder="1" applyAlignment="1">
      <alignment horizontal="center"/>
    </xf>
    <xf numFmtId="0" fontId="0" fillId="5" borderId="0" xfId="0" applyFill="1" applyAlignment="1">
      <alignment horizontal="left"/>
    </xf>
    <xf numFmtId="0" fontId="4" fillId="2" borderId="62" xfId="0" applyFont="1" applyFill="1" applyBorder="1" applyAlignment="1">
      <alignment horizontal="left" indent="1"/>
    </xf>
    <xf numFmtId="0" fontId="4" fillId="2" borderId="63" xfId="0" applyFont="1" applyFill="1" applyBorder="1"/>
    <xf numFmtId="0" fontId="22" fillId="3" borderId="0" xfId="0" applyFont="1" applyFill="1" applyAlignment="1">
      <alignment vertical="center"/>
    </xf>
    <xf numFmtId="202" fontId="4" fillId="5" borderId="19" xfId="0" applyNumberFormat="1" applyFont="1" applyFill="1" applyBorder="1" applyAlignment="1">
      <alignment horizontal="left" vertical="top"/>
    </xf>
    <xf numFmtId="0" fontId="4" fillId="2" borderId="64" xfId="0" applyFont="1" applyFill="1" applyBorder="1" applyAlignment="1">
      <alignment horizontal="left" indent="1"/>
    </xf>
    <xf numFmtId="0" fontId="8" fillId="2" borderId="65" xfId="0" applyFont="1" applyFill="1" applyBorder="1" applyAlignment="1">
      <alignment horizontal="center"/>
    </xf>
    <xf numFmtId="0" fontId="4" fillId="2" borderId="65" xfId="0" applyFont="1" applyFill="1" applyBorder="1" applyAlignment="1">
      <alignment horizontal="center"/>
    </xf>
    <xf numFmtId="0" fontId="4" fillId="2" borderId="65" xfId="0" applyFont="1" applyFill="1" applyBorder="1"/>
    <xf numFmtId="0" fontId="16" fillId="2" borderId="49" xfId="0" applyFont="1" applyFill="1" applyBorder="1" applyAlignment="1">
      <alignment horizontal="left"/>
    </xf>
    <xf numFmtId="9" fontId="4" fillId="4" borderId="10" xfId="0" applyNumberFormat="1" applyFont="1" applyFill="1" applyBorder="1" applyAlignment="1">
      <alignment horizontal="center"/>
    </xf>
    <xf numFmtId="0" fontId="8" fillId="2" borderId="25" xfId="0" applyFont="1" applyFill="1" applyBorder="1" applyAlignment="1">
      <alignment horizontal="left" vertical="top" indent="1"/>
    </xf>
    <xf numFmtId="0" fontId="6" fillId="2" borderId="12" xfId="0" applyFont="1" applyFill="1" applyBorder="1"/>
    <xf numFmtId="0" fontId="63" fillId="2" borderId="12" xfId="0" applyFont="1" applyFill="1" applyBorder="1"/>
    <xf numFmtId="0" fontId="63" fillId="2" borderId="12" xfId="0" applyFont="1" applyFill="1" applyBorder="1" applyAlignment="1">
      <alignment horizontal="left"/>
    </xf>
    <xf numFmtId="0" fontId="63" fillId="2" borderId="29" xfId="0" applyFont="1" applyFill="1" applyBorder="1"/>
    <xf numFmtId="0" fontId="63" fillId="2" borderId="0" xfId="0" applyFont="1" applyFill="1"/>
    <xf numFmtId="0" fontId="64" fillId="2" borderId="12" xfId="0" applyFont="1" applyFill="1" applyBorder="1"/>
    <xf numFmtId="0" fontId="6" fillId="2" borderId="42" xfId="0" applyFont="1" applyFill="1" applyBorder="1"/>
    <xf numFmtId="0" fontId="6" fillId="6" borderId="0" xfId="0" applyFont="1" applyFill="1" applyAlignment="1">
      <alignment vertical="center"/>
    </xf>
    <xf numFmtId="165" fontId="8" fillId="6" borderId="0" xfId="1" applyNumberFormat="1" applyFont="1" applyFill="1" applyBorder="1" applyAlignment="1">
      <alignment horizontal="right"/>
    </xf>
    <xf numFmtId="0" fontId="24" fillId="2" borderId="6" xfId="0" applyFont="1" applyFill="1" applyBorder="1"/>
    <xf numFmtId="0" fontId="24" fillId="2" borderId="7" xfId="0" applyFont="1" applyFill="1" applyBorder="1"/>
    <xf numFmtId="0" fontId="24" fillId="2" borderId="9" xfId="0" applyFont="1" applyFill="1" applyBorder="1"/>
    <xf numFmtId="0" fontId="24" fillId="2" borderId="11" xfId="0" applyFont="1" applyFill="1" applyBorder="1"/>
    <xf numFmtId="0" fontId="24" fillId="2" borderId="12" xfId="0" applyFont="1" applyFill="1" applyBorder="1"/>
    <xf numFmtId="0" fontId="60" fillId="3" borderId="0" xfId="0" applyFont="1" applyFill="1"/>
    <xf numFmtId="0" fontId="60" fillId="2" borderId="9" xfId="0" applyFont="1" applyFill="1" applyBorder="1"/>
    <xf numFmtId="195" fontId="7" fillId="2" borderId="0" xfId="0" applyNumberFormat="1" applyFont="1" applyFill="1"/>
    <xf numFmtId="0" fontId="6" fillId="3" borderId="0" xfId="0" applyFont="1" applyFill="1"/>
    <xf numFmtId="0" fontId="40" fillId="3" borderId="0" xfId="0" applyFont="1" applyFill="1"/>
    <xf numFmtId="0" fontId="7" fillId="3" borderId="0" xfId="0" applyFont="1" applyFill="1"/>
    <xf numFmtId="0" fontId="40" fillId="3" borderId="0" xfId="0" applyFont="1" applyFill="1" applyAlignment="1">
      <alignment horizontal="center"/>
    </xf>
    <xf numFmtId="10" fontId="8" fillId="2" borderId="36" xfId="1" applyNumberFormat="1" applyFont="1" applyFill="1" applyBorder="1" applyAlignment="1" applyProtection="1">
      <alignment horizontal="center"/>
      <protection locked="0"/>
    </xf>
    <xf numFmtId="10" fontId="8" fillId="2" borderId="5" xfId="1" applyNumberFormat="1" applyFont="1" applyFill="1" applyBorder="1" applyAlignment="1" applyProtection="1">
      <alignment horizontal="center"/>
      <protection locked="0"/>
    </xf>
    <xf numFmtId="0" fontId="9" fillId="6" borderId="9" xfId="0" applyFont="1" applyFill="1" applyBorder="1"/>
    <xf numFmtId="0" fontId="4" fillId="2" borderId="3" xfId="0" applyFont="1" applyFill="1" applyBorder="1" applyAlignment="1">
      <alignment horizontal="center"/>
    </xf>
    <xf numFmtId="10" fontId="4" fillId="6" borderId="0" xfId="0" applyNumberFormat="1" applyFont="1" applyFill="1" applyAlignment="1">
      <alignment horizontal="center"/>
    </xf>
    <xf numFmtId="0" fontId="12" fillId="3" borderId="7" xfId="0" applyFont="1" applyFill="1" applyBorder="1"/>
    <xf numFmtId="0" fontId="12" fillId="4" borderId="7" xfId="0" applyFont="1" applyFill="1" applyBorder="1"/>
    <xf numFmtId="0" fontId="12" fillId="4" borderId="12" xfId="0" applyFont="1" applyFill="1" applyBorder="1"/>
    <xf numFmtId="0" fontId="12" fillId="4" borderId="0" xfId="0" applyFont="1" applyFill="1"/>
    <xf numFmtId="0" fontId="28" fillId="2" borderId="0" xfId="0" applyFont="1" applyFill="1"/>
    <xf numFmtId="167" fontId="12" fillId="6" borderId="34" xfId="0" applyNumberFormat="1" applyFont="1" applyFill="1" applyBorder="1" applyAlignment="1">
      <alignment horizontal="center" vertical="top"/>
    </xf>
    <xf numFmtId="0" fontId="5" fillId="3" borderId="0" xfId="0" applyFont="1" applyFill="1" applyAlignment="1">
      <alignment horizontal="center"/>
    </xf>
    <xf numFmtId="0" fontId="5" fillId="3" borderId="0" xfId="0" applyFont="1" applyFill="1" applyAlignment="1">
      <alignment horizontal="center" vertical="top"/>
    </xf>
    <xf numFmtId="165" fontId="55" fillId="6" borderId="66" xfId="0" applyNumberFormat="1" applyFont="1" applyFill="1" applyBorder="1" applyAlignment="1">
      <alignment horizontal="center"/>
    </xf>
    <xf numFmtId="165" fontId="55" fillId="6" borderId="76" xfId="0" applyNumberFormat="1" applyFont="1" applyFill="1" applyBorder="1" applyAlignment="1">
      <alignment horizontal="center"/>
    </xf>
    <xf numFmtId="0" fontId="16" fillId="2" borderId="10" xfId="0" applyFont="1" applyFill="1" applyBorder="1" applyAlignment="1">
      <alignment horizontal="center" vertical="top"/>
    </xf>
    <xf numFmtId="165" fontId="55" fillId="6" borderId="10" xfId="0" applyNumberFormat="1" applyFont="1" applyFill="1" applyBorder="1" applyAlignment="1">
      <alignment horizontal="center"/>
    </xf>
    <xf numFmtId="0" fontId="4" fillId="2" borderId="10" xfId="0" applyFont="1" applyFill="1" applyBorder="1" applyAlignment="1">
      <alignment horizontal="center" vertical="top"/>
    </xf>
    <xf numFmtId="0" fontId="11" fillId="2" borderId="10" xfId="0" applyFont="1" applyFill="1" applyBorder="1" applyAlignment="1">
      <alignment vertical="top"/>
    </xf>
    <xf numFmtId="0" fontId="4" fillId="3" borderId="4" xfId="0" applyFont="1" applyFill="1" applyBorder="1" applyAlignment="1">
      <alignment horizontal="center"/>
    </xf>
    <xf numFmtId="0" fontId="16" fillId="3" borderId="4" xfId="0" applyFont="1" applyFill="1" applyBorder="1" applyAlignment="1">
      <alignment horizontal="center" vertical="top"/>
    </xf>
    <xf numFmtId="165" fontId="55" fillId="3" borderId="4" xfId="0" applyNumberFormat="1" applyFont="1" applyFill="1" applyBorder="1" applyAlignment="1">
      <alignment horizontal="center"/>
    </xf>
    <xf numFmtId="0" fontId="4" fillId="3" borderId="4" xfId="0" applyFont="1" applyFill="1" applyBorder="1" applyAlignment="1">
      <alignment horizontal="center" vertical="top"/>
    </xf>
    <xf numFmtId="0" fontId="4" fillId="3" borderId="9" xfId="0" applyFont="1" applyFill="1" applyBorder="1" applyAlignment="1">
      <alignment horizontal="center"/>
    </xf>
    <xf numFmtId="0" fontId="4" fillId="3" borderId="9" xfId="0" applyFont="1" applyFill="1" applyBorder="1" applyAlignment="1">
      <alignment vertical="top"/>
    </xf>
    <xf numFmtId="0" fontId="16" fillId="2" borderId="9" xfId="0" applyFont="1" applyFill="1" applyBorder="1" applyAlignment="1">
      <alignment horizontal="center" vertical="top"/>
    </xf>
    <xf numFmtId="165" fontId="55" fillId="2" borderId="9" xfId="0" applyNumberFormat="1" applyFont="1" applyFill="1" applyBorder="1" applyAlignment="1">
      <alignment horizontal="center"/>
    </xf>
    <xf numFmtId="0" fontId="4" fillId="2" borderId="9" xfId="0" applyFont="1" applyFill="1" applyBorder="1" applyAlignment="1">
      <alignment horizontal="center" vertical="top"/>
    </xf>
    <xf numFmtId="0" fontId="4" fillId="3" borderId="12" xfId="0" applyFont="1" applyFill="1" applyBorder="1" applyAlignment="1">
      <alignment horizontal="center"/>
    </xf>
    <xf numFmtId="189" fontId="55" fillId="6" borderId="77" xfId="0" applyNumberFormat="1" applyFont="1" applyFill="1" applyBorder="1" applyAlignment="1">
      <alignment horizontal="center"/>
    </xf>
    <xf numFmtId="0" fontId="16" fillId="4" borderId="0" xfId="0" applyFont="1" applyFill="1" applyAlignment="1">
      <alignment horizontal="center" vertical="top"/>
    </xf>
    <xf numFmtId="0" fontId="4" fillId="4" borderId="0" xfId="0" applyFont="1" applyFill="1" applyAlignment="1">
      <alignment horizontal="center" vertical="top"/>
    </xf>
    <xf numFmtId="165" fontId="55" fillId="4" borderId="0" xfId="0" applyNumberFormat="1" applyFont="1" applyFill="1" applyAlignment="1">
      <alignment horizontal="center"/>
    </xf>
    <xf numFmtId="194" fontId="55" fillId="4" borderId="0" xfId="0" applyNumberFormat="1" applyFont="1" applyFill="1" applyAlignment="1">
      <alignment horizontal="center"/>
    </xf>
    <xf numFmtId="184" fontId="55" fillId="4" borderId="0" xfId="0" applyNumberFormat="1" applyFont="1" applyFill="1" applyAlignment="1">
      <alignment horizontal="center"/>
    </xf>
    <xf numFmtId="164" fontId="55" fillId="4" borderId="0" xfId="0" applyNumberFormat="1" applyFont="1" applyFill="1" applyAlignment="1">
      <alignment horizontal="center"/>
    </xf>
    <xf numFmtId="3" fontId="55" fillId="4" borderId="0" xfId="0" applyNumberFormat="1" applyFont="1" applyFill="1" applyAlignment="1">
      <alignment horizontal="center"/>
    </xf>
    <xf numFmtId="190" fontId="8" fillId="2" borderId="72" xfId="0" applyNumberFormat="1" applyFont="1" applyFill="1" applyBorder="1" applyAlignment="1">
      <alignment horizontal="center"/>
    </xf>
    <xf numFmtId="165" fontId="55" fillId="6" borderId="73" xfId="0" applyNumberFormat="1" applyFont="1" applyFill="1" applyBorder="1" applyAlignment="1">
      <alignment horizontal="center"/>
    </xf>
    <xf numFmtId="189" fontId="55" fillId="6" borderId="74" xfId="0" applyNumberFormat="1" applyFont="1" applyFill="1" applyBorder="1" applyAlignment="1">
      <alignment horizontal="center"/>
    </xf>
    <xf numFmtId="190" fontId="8" fillId="2" borderId="75" xfId="0" applyNumberFormat="1" applyFont="1" applyFill="1" applyBorder="1" applyAlignment="1">
      <alignment horizontal="center"/>
    </xf>
    <xf numFmtId="0" fontId="4" fillId="5" borderId="0" xfId="0" applyFont="1" applyFill="1" applyAlignment="1">
      <alignment horizontal="left" indent="1"/>
    </xf>
    <xf numFmtId="0" fontId="63" fillId="2" borderId="12" xfId="0" applyFont="1" applyFill="1" applyBorder="1" applyAlignment="1">
      <alignment vertical="center"/>
    </xf>
    <xf numFmtId="10" fontId="4" fillId="6" borderId="0" xfId="1" applyNumberFormat="1" applyFont="1" applyFill="1"/>
    <xf numFmtId="10" fontId="4" fillId="5" borderId="28" xfId="1" applyNumberFormat="1" applyFont="1" applyFill="1" applyBorder="1" applyAlignment="1">
      <alignment horizontal="center"/>
    </xf>
    <xf numFmtId="205" fontId="16" fillId="5" borderId="0" xfId="0" applyNumberFormat="1" applyFont="1" applyFill="1" applyAlignment="1">
      <alignment horizontal="center"/>
    </xf>
    <xf numFmtId="205" fontId="16" fillId="5" borderId="28" xfId="0" applyNumberFormat="1" applyFont="1" applyFill="1" applyBorder="1" applyAlignment="1">
      <alignment horizontal="center"/>
    </xf>
    <xf numFmtId="164" fontId="4" fillId="5" borderId="28" xfId="0" applyNumberFormat="1" applyFont="1" applyFill="1" applyBorder="1" applyAlignment="1">
      <alignment horizontal="center"/>
    </xf>
    <xf numFmtId="164" fontId="4" fillId="5" borderId="80" xfId="0" applyNumberFormat="1" applyFont="1" applyFill="1" applyBorder="1" applyAlignment="1">
      <alignment horizontal="center"/>
    </xf>
    <xf numFmtId="164" fontId="4" fillId="5" borderId="31" xfId="0" applyNumberFormat="1" applyFont="1" applyFill="1" applyBorder="1" applyAlignment="1">
      <alignment horizontal="center"/>
    </xf>
    <xf numFmtId="205" fontId="16" fillId="5" borderId="19" xfId="0" applyNumberFormat="1" applyFont="1" applyFill="1" applyBorder="1" applyAlignment="1">
      <alignment horizontal="center"/>
    </xf>
    <xf numFmtId="205" fontId="16" fillId="5" borderId="79" xfId="0" applyNumberFormat="1" applyFont="1" applyFill="1" applyBorder="1" applyAlignment="1">
      <alignment horizontal="center"/>
    </xf>
    <xf numFmtId="164" fontId="4" fillId="5" borderId="0" xfId="0" applyNumberFormat="1" applyFont="1" applyFill="1" applyAlignment="1">
      <alignment horizontal="center"/>
    </xf>
    <xf numFmtId="0" fontId="8" fillId="3" borderId="0" xfId="0" applyFont="1" applyFill="1" applyAlignment="1">
      <alignment horizontal="center" vertical="center"/>
    </xf>
    <xf numFmtId="0" fontId="12" fillId="4" borderId="31" xfId="0" applyFont="1" applyFill="1" applyBorder="1" applyAlignment="1">
      <alignment horizontal="center"/>
    </xf>
    <xf numFmtId="0" fontId="16" fillId="4" borderId="31" xfId="0" applyFont="1" applyFill="1" applyBorder="1" applyAlignment="1">
      <alignment horizontal="center" vertical="top"/>
    </xf>
    <xf numFmtId="190" fontId="8" fillId="2" borderId="70" xfId="0" applyNumberFormat="1" applyFont="1" applyFill="1" applyBorder="1" applyAlignment="1">
      <alignment horizontal="center"/>
    </xf>
    <xf numFmtId="189" fontId="55" fillId="6" borderId="67" xfId="0" applyNumberFormat="1" applyFont="1" applyFill="1" applyBorder="1" applyAlignment="1">
      <alignment horizontal="center"/>
    </xf>
    <xf numFmtId="0" fontId="3" fillId="3" borderId="0" xfId="0" applyFont="1" applyFill="1" applyAlignment="1">
      <alignment horizontal="center"/>
    </xf>
    <xf numFmtId="0" fontId="3" fillId="3" borderId="0" xfId="0" applyFont="1" applyFill="1" applyAlignment="1">
      <alignment horizontal="center" vertical="top"/>
    </xf>
    <xf numFmtId="0" fontId="11" fillId="3" borderId="0" xfId="0" applyFont="1" applyFill="1" applyAlignment="1">
      <alignment wrapText="1"/>
    </xf>
    <xf numFmtId="0" fontId="11" fillId="3" borderId="0" xfId="0" applyFont="1" applyFill="1" applyAlignment="1">
      <alignment horizontal="right" wrapText="1"/>
    </xf>
    <xf numFmtId="0" fontId="3" fillId="3" borderId="0" xfId="0" applyFont="1" applyFill="1" applyAlignment="1">
      <alignment horizontal="center" vertical="center"/>
    </xf>
    <xf numFmtId="0" fontId="62" fillId="3" borderId="0" xfId="0" applyFont="1" applyFill="1" applyAlignment="1">
      <alignment horizontal="center" vertical="center"/>
    </xf>
    <xf numFmtId="0" fontId="0" fillId="5" borderId="0" xfId="0" applyFill="1" applyAlignment="1">
      <alignment horizontal="left" vertical="top"/>
    </xf>
    <xf numFmtId="0" fontId="13" fillId="2" borderId="11" xfId="0" applyFont="1" applyFill="1" applyBorder="1" applyAlignment="1">
      <alignment vertical="center"/>
    </xf>
    <xf numFmtId="0" fontId="13" fillId="2" borderId="12" xfId="0" applyFont="1" applyFill="1" applyBorder="1" applyAlignment="1">
      <alignment vertical="center"/>
    </xf>
    <xf numFmtId="0" fontId="8" fillId="2" borderId="12" xfId="0" applyFont="1" applyFill="1" applyBorder="1" applyAlignment="1">
      <alignment horizontal="left" vertical="center"/>
    </xf>
    <xf numFmtId="0" fontId="8" fillId="2" borderId="12" xfId="0" applyFont="1" applyFill="1" applyBorder="1" applyAlignment="1">
      <alignment vertical="center"/>
    </xf>
    <xf numFmtId="0" fontId="13" fillId="2" borderId="13" xfId="0" applyFont="1" applyFill="1" applyBorder="1" applyAlignment="1">
      <alignment vertical="center"/>
    </xf>
    <xf numFmtId="0" fontId="63" fillId="2" borderId="12" xfId="0" applyFont="1" applyFill="1" applyBorder="1" applyAlignment="1">
      <alignment horizontal="left" vertical="center"/>
    </xf>
    <xf numFmtId="0" fontId="24" fillId="3" borderId="7" xfId="0" applyFont="1" applyFill="1" applyBorder="1"/>
    <xf numFmtId="0" fontId="13" fillId="2" borderId="0" xfId="0" applyFont="1" applyFill="1" applyAlignment="1">
      <alignment horizontal="center" vertical="center"/>
    </xf>
    <xf numFmtId="0" fontId="4" fillId="2" borderId="11" xfId="0" applyFont="1" applyFill="1" applyBorder="1" applyAlignment="1">
      <alignment vertical="center"/>
    </xf>
    <xf numFmtId="0" fontId="4" fillId="2" borderId="12" xfId="0" applyFont="1" applyFill="1" applyBorder="1" applyAlignment="1">
      <alignment vertical="center"/>
    </xf>
    <xf numFmtId="0" fontId="63" fillId="2" borderId="29" xfId="0" applyFont="1" applyFill="1" applyBorder="1" applyAlignment="1">
      <alignment vertical="center"/>
    </xf>
    <xf numFmtId="0" fontId="4" fillId="2" borderId="13" xfId="0" applyFont="1" applyFill="1" applyBorder="1" applyAlignment="1">
      <alignment vertical="center"/>
    </xf>
    <xf numFmtId="0" fontId="8" fillId="2" borderId="11" xfId="0" applyFont="1" applyFill="1" applyBorder="1" applyAlignment="1">
      <alignment vertical="center"/>
    </xf>
    <xf numFmtId="0" fontId="8" fillId="2" borderId="13" xfId="0" applyFont="1" applyFill="1" applyBorder="1" applyAlignment="1">
      <alignment vertical="center"/>
    </xf>
    <xf numFmtId="0" fontId="8" fillId="3" borderId="0" xfId="0" applyFont="1" applyFill="1" applyAlignment="1">
      <alignment vertical="center"/>
    </xf>
    <xf numFmtId="0" fontId="4" fillId="2" borderId="12" xfId="0" applyFont="1" applyFill="1" applyBorder="1" applyAlignment="1">
      <alignment horizontal="center" vertical="center"/>
    </xf>
    <xf numFmtId="0" fontId="4" fillId="2" borderId="13" xfId="0" applyFont="1" applyFill="1" applyBorder="1" applyAlignment="1">
      <alignment horizontal="center" vertical="center"/>
    </xf>
    <xf numFmtId="0" fontId="3" fillId="3" borderId="0" xfId="0" applyFont="1" applyFill="1" applyAlignment="1">
      <alignment vertical="center"/>
    </xf>
    <xf numFmtId="0" fontId="63" fillId="2" borderId="42" xfId="0" applyFont="1" applyFill="1" applyBorder="1" applyAlignment="1">
      <alignment vertical="center"/>
    </xf>
    <xf numFmtId="0" fontId="63" fillId="2" borderId="42" xfId="0" applyFont="1" applyFill="1" applyBorder="1" applyAlignment="1">
      <alignment horizontal="center"/>
    </xf>
    <xf numFmtId="0" fontId="4" fillId="2" borderId="42" xfId="0" applyFont="1" applyFill="1" applyBorder="1" applyAlignment="1">
      <alignment horizontal="center"/>
    </xf>
    <xf numFmtId="0" fontId="63" fillId="2" borderId="29" xfId="0" applyFont="1" applyFill="1" applyBorder="1" applyAlignment="1">
      <alignment horizontal="center"/>
    </xf>
    <xf numFmtId="0" fontId="4" fillId="2" borderId="81" xfId="0" applyFont="1" applyFill="1" applyBorder="1" applyAlignment="1">
      <alignment horizontal="left" indent="1"/>
    </xf>
    <xf numFmtId="0" fontId="4" fillId="2" borderId="82" xfId="0" applyFont="1" applyFill="1" applyBorder="1"/>
    <xf numFmtId="0" fontId="19" fillId="3" borderId="0" xfId="0" applyFont="1" applyFill="1" applyAlignment="1">
      <alignment horizontal="left" vertical="center"/>
    </xf>
    <xf numFmtId="0" fontId="11" fillId="3" borderId="0" xfId="0" applyFont="1" applyFill="1" applyAlignment="1">
      <alignment horizontal="right" vertical="top"/>
    </xf>
    <xf numFmtId="167" fontId="24" fillId="3" borderId="0" xfId="0" applyNumberFormat="1" applyFont="1" applyFill="1" applyAlignment="1">
      <alignment horizontal="center"/>
    </xf>
    <xf numFmtId="10" fontId="45" fillId="6" borderId="0" xfId="0" applyNumberFormat="1" applyFont="1" applyFill="1"/>
    <xf numFmtId="0" fontId="12" fillId="5" borderId="25" xfId="0" applyFont="1" applyFill="1" applyBorder="1"/>
    <xf numFmtId="0" fontId="11" fillId="3" borderId="0" xfId="0" applyFont="1" applyFill="1" applyAlignment="1">
      <alignment horizontal="left" vertical="center"/>
    </xf>
    <xf numFmtId="205" fontId="16" fillId="6" borderId="33" xfId="0" applyNumberFormat="1" applyFont="1" applyFill="1" applyBorder="1" applyAlignment="1">
      <alignment horizontal="right" vertical="top"/>
    </xf>
    <xf numFmtId="172" fontId="8" fillId="2" borderId="0" xfId="0" applyNumberFormat="1" applyFont="1" applyFill="1" applyAlignment="1">
      <alignment horizontal="left"/>
    </xf>
    <xf numFmtId="0" fontId="8" fillId="5" borderId="0" xfId="0" applyFont="1" applyFill="1" applyAlignment="1">
      <alignment horizontal="left" indent="1"/>
    </xf>
    <xf numFmtId="0" fontId="8" fillId="5" borderId="0" xfId="0" applyFont="1" applyFill="1" applyAlignment="1">
      <alignment horizontal="left" vertical="center"/>
    </xf>
    <xf numFmtId="1" fontId="8" fillId="5" borderId="0" xfId="0" applyNumberFormat="1" applyFont="1" applyFill="1" applyAlignment="1">
      <alignment horizontal="left" vertical="center" wrapText="1"/>
    </xf>
    <xf numFmtId="0" fontId="4" fillId="5" borderId="0" xfId="0" applyFont="1" applyFill="1" applyAlignment="1">
      <alignment horizontal="left" vertical="center" indent="1"/>
    </xf>
    <xf numFmtId="0" fontId="4" fillId="5" borderId="19" xfId="0" applyFont="1" applyFill="1" applyBorder="1" applyAlignment="1">
      <alignment horizontal="left" indent="1"/>
    </xf>
    <xf numFmtId="0" fontId="4" fillId="5" borderId="25" xfId="0" applyFont="1" applyFill="1" applyBorder="1" applyAlignment="1">
      <alignment horizontal="left" vertical="top" indent="1"/>
    </xf>
    <xf numFmtId="0" fontId="0" fillId="5" borderId="25" xfId="0" applyFill="1" applyBorder="1" applyAlignment="1">
      <alignment horizontal="left" vertical="top"/>
    </xf>
    <xf numFmtId="0" fontId="60" fillId="3" borderId="0" xfId="0" applyFont="1" applyFill="1" applyAlignment="1">
      <alignment horizontal="center"/>
    </xf>
    <xf numFmtId="0" fontId="4" fillId="2" borderId="41" xfId="0" applyFont="1" applyFill="1" applyBorder="1" applyAlignment="1">
      <alignment horizontal="center"/>
    </xf>
    <xf numFmtId="0" fontId="24" fillId="2" borderId="12" xfId="0" applyFont="1" applyFill="1" applyBorder="1" applyAlignment="1">
      <alignment horizontal="center"/>
    </xf>
    <xf numFmtId="0" fontId="24" fillId="2" borderId="13" xfId="0" applyFont="1" applyFill="1" applyBorder="1"/>
    <xf numFmtId="0" fontId="4" fillId="2" borderId="0" xfId="0" applyFont="1" applyFill="1" applyAlignment="1">
      <alignment vertical="center"/>
    </xf>
    <xf numFmtId="166" fontId="4" fillId="2" borderId="0" xfId="0" applyNumberFormat="1" applyFont="1" applyFill="1" applyAlignment="1">
      <alignment horizontal="center" vertical="center"/>
    </xf>
    <xf numFmtId="0" fontId="4" fillId="2" borderId="42" xfId="0" applyFont="1" applyFill="1" applyBorder="1"/>
    <xf numFmtId="164" fontId="4" fillId="2" borderId="0" xfId="0" applyNumberFormat="1" applyFont="1" applyFill="1" applyAlignment="1">
      <alignment vertical="center"/>
    </xf>
    <xf numFmtId="165" fontId="8" fillId="2" borderId="61" xfId="1" applyNumberFormat="1" applyFont="1" applyFill="1" applyBorder="1" applyAlignment="1">
      <alignment horizontal="center"/>
    </xf>
    <xf numFmtId="189" fontId="8" fillId="2" borderId="61" xfId="1" applyNumberFormat="1" applyFont="1" applyFill="1" applyBorder="1" applyAlignment="1">
      <alignment horizontal="center"/>
    </xf>
    <xf numFmtId="190" fontId="8" fillId="2" borderId="61" xfId="1" applyNumberFormat="1" applyFont="1" applyFill="1" applyBorder="1" applyAlignment="1">
      <alignment horizontal="center"/>
    </xf>
    <xf numFmtId="167" fontId="8" fillId="2" borderId="61" xfId="1" applyNumberFormat="1" applyFont="1" applyFill="1" applyBorder="1" applyAlignment="1">
      <alignment horizontal="center"/>
    </xf>
    <xf numFmtId="0" fontId="8" fillId="2" borderId="50" xfId="0" applyFont="1" applyFill="1" applyBorder="1" applyAlignment="1">
      <alignment horizontal="center"/>
    </xf>
    <xf numFmtId="10" fontId="8" fillId="2" borderId="61" xfId="1" applyNumberFormat="1" applyFont="1" applyFill="1" applyBorder="1" applyAlignment="1">
      <alignment horizontal="center"/>
    </xf>
    <xf numFmtId="0" fontId="8" fillId="2" borderId="61" xfId="0" applyFont="1" applyFill="1" applyBorder="1" applyAlignment="1">
      <alignment horizontal="center"/>
    </xf>
    <xf numFmtId="0" fontId="66" fillId="2" borderId="0" xfId="0" applyFont="1" applyFill="1" applyAlignment="1">
      <alignment horizontal="left" vertical="center"/>
    </xf>
    <xf numFmtId="0" fontId="6" fillId="3" borderId="0" xfId="0" applyFont="1" applyFill="1" applyAlignment="1">
      <alignment horizontal="left"/>
    </xf>
    <xf numFmtId="1" fontId="4" fillId="2" borderId="0" xfId="0" applyNumberFormat="1" applyFont="1" applyFill="1" applyAlignment="1">
      <alignment horizontal="left"/>
    </xf>
    <xf numFmtId="0" fontId="8" fillId="2" borderId="60" xfId="0" applyFont="1" applyFill="1" applyBorder="1" applyAlignment="1">
      <alignment horizontal="left" indent="1"/>
    </xf>
    <xf numFmtId="165" fontId="4" fillId="2" borderId="87" xfId="0" applyNumberFormat="1" applyFont="1" applyFill="1" applyBorder="1" applyAlignment="1">
      <alignment horizontal="center"/>
    </xf>
    <xf numFmtId="0" fontId="67" fillId="3" borderId="0" xfId="0" applyFont="1" applyFill="1" applyAlignment="1">
      <alignment horizontal="center"/>
    </xf>
    <xf numFmtId="0" fontId="4" fillId="2" borderId="86" xfId="0" applyFont="1" applyFill="1" applyBorder="1" applyAlignment="1">
      <alignment horizontal="left" indent="1"/>
    </xf>
    <xf numFmtId="0" fontId="4" fillId="2" borderId="88" xfId="0" applyFont="1" applyFill="1" applyBorder="1" applyAlignment="1">
      <alignment horizontal="center"/>
    </xf>
    <xf numFmtId="0" fontId="4" fillId="2" borderId="87" xfId="0" applyFont="1" applyFill="1" applyBorder="1"/>
    <xf numFmtId="1" fontId="4" fillId="2" borderId="88" xfId="0" applyNumberFormat="1" applyFont="1" applyFill="1" applyBorder="1" applyAlignment="1">
      <alignment horizontal="center"/>
    </xf>
    <xf numFmtId="0" fontId="4" fillId="2" borderId="34" xfId="0" applyFont="1" applyFill="1" applyBorder="1" applyAlignment="1">
      <alignment horizontal="center"/>
    </xf>
    <xf numFmtId="0" fontId="4" fillId="4" borderId="24" xfId="0" applyFont="1" applyFill="1" applyBorder="1"/>
    <xf numFmtId="0" fontId="8" fillId="2" borderId="22" xfId="0" applyFont="1" applyFill="1" applyBorder="1"/>
    <xf numFmtId="0" fontId="4" fillId="4" borderId="3" xfId="0" applyFont="1" applyFill="1" applyBorder="1" applyAlignment="1">
      <alignment horizontal="center"/>
    </xf>
    <xf numFmtId="0" fontId="8" fillId="2" borderId="34" xfId="0" applyFont="1" applyFill="1" applyBorder="1" applyAlignment="1">
      <alignment horizontal="center"/>
    </xf>
    <xf numFmtId="0" fontId="9" fillId="3" borderId="0" xfId="0" applyFont="1" applyFill="1" applyAlignment="1">
      <alignment horizontal="center" vertical="center"/>
    </xf>
    <xf numFmtId="0" fontId="4" fillId="4" borderId="13" xfId="0" applyFont="1" applyFill="1" applyBorder="1"/>
    <xf numFmtId="0" fontId="4" fillId="2" borderId="22" xfId="0" applyFont="1" applyFill="1" applyBorder="1"/>
    <xf numFmtId="0" fontId="63" fillId="2" borderId="42" xfId="0" applyFont="1" applyFill="1" applyBorder="1" applyAlignment="1">
      <alignment horizontal="left"/>
    </xf>
    <xf numFmtId="4" fontId="8" fillId="4" borderId="10" xfId="0" applyNumberFormat="1" applyFont="1" applyFill="1" applyBorder="1" applyAlignment="1">
      <alignment horizontal="center"/>
    </xf>
    <xf numFmtId="4" fontId="4" fillId="4" borderId="10" xfId="0" applyNumberFormat="1" applyFont="1" applyFill="1" applyBorder="1" applyAlignment="1">
      <alignment horizontal="center"/>
    </xf>
    <xf numFmtId="4" fontId="4" fillId="4" borderId="13" xfId="0" applyNumberFormat="1" applyFont="1" applyFill="1" applyBorder="1" applyAlignment="1">
      <alignment horizontal="center"/>
    </xf>
    <xf numFmtId="168" fontId="8" fillId="2" borderId="0" xfId="0" applyNumberFormat="1" applyFont="1" applyFill="1" applyAlignment="1">
      <alignment horizontal="left"/>
    </xf>
    <xf numFmtId="0" fontId="45" fillId="2" borderId="34" xfId="0" applyFont="1" applyFill="1" applyBorder="1" applyAlignment="1">
      <alignment horizontal="center"/>
    </xf>
    <xf numFmtId="0" fontId="4" fillId="2" borderId="91" xfId="0" applyFont="1" applyFill="1" applyBorder="1" applyAlignment="1">
      <alignment horizontal="left" indent="1"/>
    </xf>
    <xf numFmtId="195" fontId="4" fillId="5" borderId="0" xfId="0" applyNumberFormat="1" applyFont="1" applyFill="1"/>
    <xf numFmtId="0" fontId="59" fillId="6" borderId="0" xfId="0" applyFont="1" applyFill="1" applyAlignment="1">
      <alignment horizontal="center" vertical="top"/>
    </xf>
    <xf numFmtId="0" fontId="4" fillId="2" borderId="90" xfId="0" applyFont="1" applyFill="1" applyBorder="1" applyAlignment="1">
      <alignment horizontal="center"/>
    </xf>
    <xf numFmtId="0" fontId="4" fillId="2" borderId="92" xfId="0" applyFont="1" applyFill="1" applyBorder="1"/>
    <xf numFmtId="164" fontId="4" fillId="2" borderId="46" xfId="0" applyNumberFormat="1" applyFont="1" applyFill="1" applyBorder="1" applyAlignment="1">
      <alignment horizontal="center"/>
    </xf>
    <xf numFmtId="164" fontId="4" fillId="2" borderId="90" xfId="0" applyNumberFormat="1" applyFont="1" applyFill="1" applyBorder="1" applyAlignment="1">
      <alignment horizontal="center"/>
    </xf>
    <xf numFmtId="165" fontId="4" fillId="2" borderId="0" xfId="1" applyNumberFormat="1" applyFont="1" applyFill="1" applyBorder="1" applyAlignment="1">
      <alignment horizontal="left"/>
    </xf>
    <xf numFmtId="0" fontId="63" fillId="2" borderId="0" xfId="0" applyFont="1" applyFill="1" applyAlignment="1">
      <alignment horizontal="left" vertical="center"/>
    </xf>
    <xf numFmtId="10" fontId="4" fillId="5" borderId="0" xfId="0" applyNumberFormat="1" applyFont="1" applyFill="1" applyAlignment="1">
      <alignment horizontal="center"/>
    </xf>
    <xf numFmtId="205" fontId="4" fillId="5" borderId="0" xfId="0" applyNumberFormat="1" applyFont="1" applyFill="1" applyAlignment="1">
      <alignment horizontal="right"/>
    </xf>
    <xf numFmtId="0" fontId="8" fillId="5" borderId="0" xfId="0" applyFont="1" applyFill="1" applyAlignment="1">
      <alignment horizontal="left" vertical="top" wrapText="1"/>
    </xf>
    <xf numFmtId="0" fontId="11" fillId="3" borderId="0" xfId="0" applyFont="1" applyFill="1" applyAlignment="1">
      <alignment horizontal="center" vertical="center" wrapText="1"/>
    </xf>
    <xf numFmtId="172" fontId="4" fillId="2" borderId="25" xfId="0" applyNumberFormat="1" applyFont="1" applyFill="1" applyBorder="1" applyAlignment="1">
      <alignment horizontal="center"/>
    </xf>
    <xf numFmtId="3" fontId="4" fillId="2" borderId="25" xfId="0" applyNumberFormat="1" applyFont="1" applyFill="1" applyBorder="1" applyAlignment="1">
      <alignment horizontal="center"/>
    </xf>
    <xf numFmtId="0" fontId="9" fillId="3" borderId="0" xfId="0" applyFont="1" applyFill="1" applyAlignment="1">
      <alignment vertical="center"/>
    </xf>
    <xf numFmtId="0" fontId="63" fillId="2" borderId="29" xfId="0" applyFont="1" applyFill="1" applyBorder="1" applyAlignment="1">
      <alignment horizontal="left" vertical="center"/>
    </xf>
    <xf numFmtId="3" fontId="4" fillId="2" borderId="92" xfId="0" applyNumberFormat="1" applyFont="1" applyFill="1" applyBorder="1" applyAlignment="1">
      <alignment horizontal="center"/>
    </xf>
    <xf numFmtId="3" fontId="12" fillId="6" borderId="0" xfId="0" applyNumberFormat="1" applyFont="1" applyFill="1"/>
    <xf numFmtId="166" fontId="8" fillId="6" borderId="0" xfId="0" applyNumberFormat="1" applyFont="1" applyFill="1" applyAlignment="1">
      <alignment horizontal="left"/>
    </xf>
    <xf numFmtId="217" fontId="8" fillId="6" borderId="0" xfId="0" applyNumberFormat="1" applyFont="1" applyFill="1" applyAlignment="1">
      <alignment horizontal="left"/>
    </xf>
    <xf numFmtId="167" fontId="8" fillId="6" borderId="0" xfId="0" applyNumberFormat="1" applyFont="1" applyFill="1" applyAlignment="1">
      <alignment horizontal="left"/>
    </xf>
    <xf numFmtId="0" fontId="8" fillId="6" borderId="0" xfId="0" applyFont="1" applyFill="1" applyAlignment="1">
      <alignment horizontal="left" indent="1"/>
    </xf>
    <xf numFmtId="0" fontId="8" fillId="6" borderId="25" xfId="0" applyFont="1" applyFill="1" applyBorder="1" applyAlignment="1">
      <alignment horizontal="left" indent="1"/>
    </xf>
    <xf numFmtId="0" fontId="4" fillId="5" borderId="78" xfId="0" applyFont="1" applyFill="1" applyBorder="1" applyAlignment="1">
      <alignment horizontal="left" vertical="top" indent="1"/>
    </xf>
    <xf numFmtId="0" fontId="6" fillId="2" borderId="29" xfId="0" applyFont="1" applyFill="1" applyBorder="1"/>
    <xf numFmtId="0" fontId="8" fillId="6" borderId="0" xfId="0" applyFont="1" applyFill="1" applyAlignment="1">
      <alignment vertical="top"/>
    </xf>
    <xf numFmtId="212" fontId="8" fillId="6" borderId="0" xfId="0" applyNumberFormat="1" applyFont="1" applyFill="1" applyAlignment="1">
      <alignment horizontal="center" vertical="top"/>
    </xf>
    <xf numFmtId="165" fontId="4" fillId="2" borderId="90" xfId="1" applyNumberFormat="1" applyFont="1" applyFill="1" applyBorder="1" applyAlignment="1">
      <alignment horizontal="center"/>
    </xf>
    <xf numFmtId="3" fontId="4" fillId="2" borderId="90" xfId="0" applyNumberFormat="1" applyFont="1" applyFill="1" applyBorder="1" applyAlignment="1">
      <alignment horizontal="center"/>
    </xf>
    <xf numFmtId="167" fontId="4" fillId="2" borderId="59" xfId="0" applyNumberFormat="1" applyFont="1" applyFill="1" applyBorder="1" applyAlignment="1">
      <alignment horizontal="center"/>
    </xf>
    <xf numFmtId="165" fontId="4" fillId="2" borderId="59" xfId="0" applyNumberFormat="1" applyFont="1" applyFill="1" applyBorder="1" applyAlignment="1">
      <alignment horizontal="center"/>
    </xf>
    <xf numFmtId="0" fontId="9" fillId="3" borderId="7" xfId="0" applyFont="1" applyFill="1" applyBorder="1"/>
    <xf numFmtId="180" fontId="4" fillId="6" borderId="0" xfId="0" applyNumberFormat="1" applyFont="1" applyFill="1" applyAlignment="1">
      <alignment horizontal="center"/>
    </xf>
    <xf numFmtId="0" fontId="24" fillId="3" borderId="0" xfId="0" applyFont="1" applyFill="1" applyAlignment="1">
      <alignment vertical="center"/>
    </xf>
    <xf numFmtId="0" fontId="11" fillId="3" borderId="0" xfId="0" applyFont="1" applyFill="1" applyAlignment="1">
      <alignment horizontal="right" vertical="center"/>
    </xf>
    <xf numFmtId="0" fontId="12" fillId="2" borderId="32" xfId="0" applyFont="1" applyFill="1" applyBorder="1" applyAlignment="1">
      <alignment horizontal="left" vertical="top"/>
    </xf>
    <xf numFmtId="0" fontId="12" fillId="3" borderId="0" xfId="0" applyFont="1" applyFill="1"/>
    <xf numFmtId="0" fontId="12" fillId="2" borderId="7" xfId="0" applyFont="1" applyFill="1" applyBorder="1"/>
    <xf numFmtId="0" fontId="24" fillId="2" borderId="8" xfId="0" applyFont="1" applyFill="1" applyBorder="1" applyAlignment="1">
      <alignment horizontal="center"/>
    </xf>
    <xf numFmtId="0" fontId="24" fillId="2" borderId="10" xfId="0" applyFont="1" applyFill="1" applyBorder="1" applyAlignment="1">
      <alignment horizontal="center"/>
    </xf>
    <xf numFmtId="0" fontId="12" fillId="4" borderId="6" xfId="0" applyFont="1" applyFill="1" applyBorder="1"/>
    <xf numFmtId="0" fontId="12" fillId="4" borderId="11" xfId="0" applyFont="1" applyFill="1" applyBorder="1"/>
    <xf numFmtId="0" fontId="4" fillId="4" borderId="9" xfId="0" applyFont="1" applyFill="1" applyBorder="1"/>
    <xf numFmtId="164" fontId="4" fillId="4" borderId="0" xfId="0" applyNumberFormat="1" applyFont="1" applyFill="1" applyAlignment="1">
      <alignment horizontal="right"/>
    </xf>
    <xf numFmtId="164" fontId="8" fillId="4" borderId="0" xfId="0" applyNumberFormat="1" applyFont="1" applyFill="1" applyAlignment="1">
      <alignment horizontal="right"/>
    </xf>
    <xf numFmtId="0" fontId="24" fillId="2" borderId="11" xfId="0" applyFont="1" applyFill="1" applyBorder="1" applyAlignment="1">
      <alignment horizontal="center"/>
    </xf>
    <xf numFmtId="165" fontId="8" fillId="5" borderId="0" xfId="0" applyNumberFormat="1" applyFont="1" applyFill="1" applyAlignment="1">
      <alignment horizontal="center"/>
    </xf>
    <xf numFmtId="0" fontId="8" fillId="5" borderId="0" xfId="0" applyFont="1" applyFill="1" applyAlignment="1">
      <alignment horizontal="left"/>
    </xf>
    <xf numFmtId="0" fontId="8" fillId="5" borderId="0" xfId="0" applyFont="1" applyFill="1" applyAlignment="1">
      <alignment horizontal="center"/>
    </xf>
    <xf numFmtId="0" fontId="8" fillId="5" borderId="0" xfId="0" applyFont="1" applyFill="1" applyAlignment="1">
      <alignment horizontal="left" indent="2"/>
    </xf>
    <xf numFmtId="0" fontId="4" fillId="2" borderId="96" xfId="0" applyFont="1" applyFill="1" applyBorder="1" applyAlignment="1">
      <alignment horizontal="left" indent="1"/>
    </xf>
    <xf numFmtId="0" fontId="4" fillId="2" borderId="94" xfId="0" applyFont="1" applyFill="1" applyBorder="1" applyAlignment="1">
      <alignment horizontal="center"/>
    </xf>
    <xf numFmtId="0" fontId="4" fillId="2" borderId="97" xfId="0" applyFont="1" applyFill="1" applyBorder="1"/>
    <xf numFmtId="167" fontId="4" fillId="2" borderId="97" xfId="0" applyNumberFormat="1" applyFont="1" applyFill="1" applyBorder="1" applyAlignment="1">
      <alignment horizontal="center"/>
    </xf>
    <xf numFmtId="0" fontId="4" fillId="2" borderId="97" xfId="0" applyFont="1" applyFill="1" applyBorder="1" applyAlignment="1">
      <alignment horizontal="center"/>
    </xf>
    <xf numFmtId="189" fontId="8" fillId="6" borderId="0" xfId="0" applyNumberFormat="1" applyFont="1" applyFill="1"/>
    <xf numFmtId="184" fontId="8" fillId="6" borderId="0" xfId="0" applyNumberFormat="1" applyFont="1" applyFill="1" applyAlignment="1">
      <alignment horizontal="center"/>
    </xf>
    <xf numFmtId="186" fontId="8" fillId="6" borderId="0" xfId="0" applyNumberFormat="1" applyFont="1" applyFill="1" applyAlignment="1">
      <alignment horizontal="center"/>
    </xf>
    <xf numFmtId="165" fontId="8" fillId="6" borderId="0" xfId="1" applyNumberFormat="1" applyFont="1" applyFill="1" applyBorder="1" applyAlignment="1">
      <alignment horizontal="center"/>
    </xf>
    <xf numFmtId="0" fontId="8" fillId="4" borderId="9" xfId="0" applyFont="1" applyFill="1" applyBorder="1"/>
    <xf numFmtId="164" fontId="8" fillId="2" borderId="14" xfId="0" applyNumberFormat="1" applyFont="1" applyFill="1" applyBorder="1" applyAlignment="1">
      <alignment horizontal="right"/>
    </xf>
    <xf numFmtId="165" fontId="4" fillId="6" borderId="0" xfId="0" applyNumberFormat="1" applyFont="1" applyFill="1" applyAlignment="1">
      <alignment horizontal="center"/>
    </xf>
    <xf numFmtId="0" fontId="24" fillId="2" borderId="6" xfId="0" applyFont="1" applyFill="1" applyBorder="1" applyAlignment="1">
      <alignment horizontal="center"/>
    </xf>
    <xf numFmtId="0" fontId="24" fillId="2" borderId="7" xfId="0" applyFont="1" applyFill="1" applyBorder="1" applyAlignment="1">
      <alignment horizontal="center"/>
    </xf>
    <xf numFmtId="0" fontId="24" fillId="2" borderId="9" xfId="0" applyFont="1" applyFill="1" applyBorder="1" applyAlignment="1">
      <alignment horizontal="center"/>
    </xf>
    <xf numFmtId="0" fontId="60" fillId="2" borderId="9" xfId="0" applyFont="1" applyFill="1" applyBorder="1" applyAlignment="1">
      <alignment horizontal="center"/>
    </xf>
    <xf numFmtId="0" fontId="60" fillId="2" borderId="0" xfId="0" applyFont="1" applyFill="1" applyAlignment="1">
      <alignment horizontal="center"/>
    </xf>
    <xf numFmtId="0" fontId="60" fillId="2" borderId="10" xfId="0" applyFont="1" applyFill="1" applyBorder="1" applyAlignment="1">
      <alignment horizontal="center"/>
    </xf>
    <xf numFmtId="0" fontId="71" fillId="3" borderId="0" xfId="0" applyFont="1" applyFill="1"/>
    <xf numFmtId="0" fontId="32" fillId="3" borderId="0" xfId="0" applyFont="1" applyFill="1" applyAlignment="1">
      <alignment vertical="center"/>
    </xf>
    <xf numFmtId="0" fontId="24" fillId="2" borderId="11" xfId="0" applyFont="1" applyFill="1" applyBorder="1" applyAlignment="1">
      <alignment horizontal="center" vertical="center"/>
    </xf>
    <xf numFmtId="0" fontId="24" fillId="2" borderId="12" xfId="0" applyFont="1" applyFill="1" applyBorder="1" applyAlignment="1">
      <alignment horizontal="center" vertical="center"/>
    </xf>
    <xf numFmtId="0" fontId="24" fillId="2" borderId="13" xfId="0" applyFont="1" applyFill="1" applyBorder="1" applyAlignment="1">
      <alignment horizontal="center" vertical="center"/>
    </xf>
    <xf numFmtId="0" fontId="31" fillId="3" borderId="0" xfId="0" applyFont="1" applyFill="1" applyAlignment="1">
      <alignment vertical="center"/>
    </xf>
    <xf numFmtId="165" fontId="8" fillId="6" borderId="31" xfId="1" applyNumberFormat="1" applyFont="1" applyFill="1" applyBorder="1" applyAlignment="1">
      <alignment horizontal="right"/>
    </xf>
    <xf numFmtId="164" fontId="4" fillId="2" borderId="0" xfId="0" applyNumberFormat="1" applyFont="1" applyFill="1" applyAlignment="1">
      <alignment horizontal="right" vertical="top"/>
    </xf>
    <xf numFmtId="0" fontId="16" fillId="2" borderId="0" xfId="0" applyFont="1" applyFill="1" applyAlignment="1">
      <alignment horizontal="left" vertical="top"/>
    </xf>
    <xf numFmtId="49" fontId="4" fillId="2" borderId="25" xfId="0" applyNumberFormat="1" applyFont="1" applyFill="1" applyBorder="1" applyAlignment="1">
      <alignment horizontal="left" wrapText="1"/>
    </xf>
    <xf numFmtId="0" fontId="4" fillId="5" borderId="3" xfId="0" applyFont="1" applyFill="1" applyBorder="1" applyAlignment="1">
      <alignment horizontal="center"/>
    </xf>
    <xf numFmtId="0" fontId="4" fillId="2" borderId="92" xfId="0" applyFont="1" applyFill="1" applyBorder="1" applyAlignment="1">
      <alignment horizontal="center"/>
    </xf>
    <xf numFmtId="0" fontId="4" fillId="2" borderId="0" xfId="0" applyFont="1" applyFill="1" applyAlignment="1">
      <alignment horizontal="right" vertical="top"/>
    </xf>
    <xf numFmtId="165" fontId="4" fillId="2" borderId="0" xfId="0" applyNumberFormat="1" applyFont="1" applyFill="1" applyAlignment="1">
      <alignment horizontal="right"/>
    </xf>
    <xf numFmtId="0" fontId="4" fillId="2" borderId="25" xfId="0" applyFont="1" applyFill="1" applyBorder="1" applyAlignment="1">
      <alignment horizontal="right"/>
    </xf>
    <xf numFmtId="0" fontId="4" fillId="2" borderId="12" xfId="0" applyFont="1" applyFill="1" applyBorder="1" applyAlignment="1">
      <alignment horizontal="right"/>
    </xf>
    <xf numFmtId="0" fontId="4" fillId="2" borderId="34" xfId="0" applyFont="1" applyFill="1" applyBorder="1" applyAlignment="1">
      <alignment horizontal="center" vertical="center"/>
    </xf>
    <xf numFmtId="0" fontId="4" fillId="5" borderId="0" xfId="0" applyFont="1" applyFill="1" applyAlignment="1">
      <alignment vertical="top"/>
    </xf>
    <xf numFmtId="183" fontId="8" fillId="5" borderId="78" xfId="0" applyNumberFormat="1" applyFont="1" applyFill="1" applyBorder="1" applyAlignment="1">
      <alignment horizontal="left" vertical="top"/>
    </xf>
    <xf numFmtId="0" fontId="6" fillId="2" borderId="0" xfId="0" applyFont="1" applyFill="1" applyAlignment="1">
      <alignment horizontal="right"/>
    </xf>
    <xf numFmtId="167" fontId="8" fillId="2" borderId="0" xfId="0" applyNumberFormat="1" applyFont="1" applyFill="1" applyAlignment="1">
      <alignment horizontal="right" vertical="top"/>
    </xf>
    <xf numFmtId="164" fontId="8" fillId="2" borderId="0" xfId="0" applyNumberFormat="1" applyFont="1" applyFill="1" applyAlignment="1">
      <alignment horizontal="right" vertical="top"/>
    </xf>
    <xf numFmtId="167" fontId="8" fillId="2" borderId="25" xfId="0" applyNumberFormat="1" applyFont="1" applyFill="1" applyBorder="1" applyAlignment="1">
      <alignment horizontal="right" vertical="top"/>
    </xf>
    <xf numFmtId="164" fontId="8" fillId="2" borderId="25" xfId="0" applyNumberFormat="1" applyFont="1" applyFill="1" applyBorder="1" applyAlignment="1">
      <alignment horizontal="right" vertical="top"/>
    </xf>
    <xf numFmtId="0" fontId="13" fillId="3" borderId="0" xfId="0" applyFont="1" applyFill="1" applyAlignment="1">
      <alignment horizontal="right"/>
    </xf>
    <xf numFmtId="0" fontId="8" fillId="3" borderId="0" xfId="0" applyFont="1" applyFill="1" applyAlignment="1">
      <alignment horizontal="right"/>
    </xf>
    <xf numFmtId="0" fontId="4" fillId="3" borderId="25" xfId="0" applyFont="1" applyFill="1" applyBorder="1" applyAlignment="1">
      <alignment horizontal="right"/>
    </xf>
    <xf numFmtId="167" fontId="8" fillId="2" borderId="12" xfId="0" applyNumberFormat="1" applyFont="1" applyFill="1" applyBorder="1" applyAlignment="1">
      <alignment horizontal="right" vertical="center"/>
    </xf>
    <xf numFmtId="0" fontId="8" fillId="2" borderId="7" xfId="0" applyFont="1" applyFill="1" applyBorder="1" applyAlignment="1">
      <alignment horizontal="right"/>
    </xf>
    <xf numFmtId="0" fontId="15" fillId="2" borderId="0" xfId="0" applyFont="1" applyFill="1" applyAlignment="1">
      <alignment horizontal="right" vertical="center"/>
    </xf>
    <xf numFmtId="38" fontId="15" fillId="2" borderId="0" xfId="0" applyNumberFormat="1" applyFont="1" applyFill="1" applyAlignment="1">
      <alignment horizontal="right" vertical="center"/>
    </xf>
    <xf numFmtId="0" fontId="15" fillId="2" borderId="31" xfId="0" applyFont="1" applyFill="1" applyBorder="1" applyAlignment="1">
      <alignment horizontal="right"/>
    </xf>
    <xf numFmtId="165" fontId="15" fillId="2" borderId="31" xfId="0" applyNumberFormat="1" applyFont="1" applyFill="1" applyBorder="1" applyAlignment="1">
      <alignment horizontal="right"/>
    </xf>
    <xf numFmtId="164" fontId="30" fillId="2" borderId="0" xfId="0" applyNumberFormat="1" applyFont="1" applyFill="1" applyAlignment="1">
      <alignment horizontal="right" vertical="center"/>
    </xf>
    <xf numFmtId="167" fontId="30" fillId="2" borderId="19" xfId="0" applyNumberFormat="1" applyFont="1" applyFill="1" applyBorder="1" applyAlignment="1">
      <alignment horizontal="right" vertical="center"/>
    </xf>
    <xf numFmtId="165" fontId="30" fillId="2" borderId="19" xfId="0" applyNumberFormat="1" applyFont="1" applyFill="1" applyBorder="1" applyAlignment="1">
      <alignment horizontal="right" vertical="center"/>
    </xf>
    <xf numFmtId="165" fontId="30" fillId="2" borderId="0" xfId="0" applyNumberFormat="1" applyFont="1" applyFill="1" applyAlignment="1">
      <alignment horizontal="right" vertical="center"/>
    </xf>
    <xf numFmtId="167" fontId="30" fillId="2" borderId="0" xfId="0" applyNumberFormat="1" applyFont="1" applyFill="1" applyAlignment="1">
      <alignment horizontal="right" vertical="center"/>
    </xf>
    <xf numFmtId="167" fontId="30" fillId="2" borderId="31" xfId="0" applyNumberFormat="1" applyFont="1" applyFill="1" applyBorder="1" applyAlignment="1">
      <alignment horizontal="right" vertical="center"/>
    </xf>
    <xf numFmtId="165" fontId="30" fillId="2" borderId="31" xfId="0" applyNumberFormat="1" applyFont="1" applyFill="1" applyBorder="1" applyAlignment="1">
      <alignment horizontal="right" vertical="center"/>
    </xf>
    <xf numFmtId="164" fontId="15" fillId="2" borderId="19" xfId="0" applyNumberFormat="1" applyFont="1" applyFill="1" applyBorder="1" applyAlignment="1">
      <alignment horizontal="right" vertical="center"/>
    </xf>
    <xf numFmtId="167" fontId="15" fillId="2" borderId="0" xfId="0" applyNumberFormat="1" applyFont="1" applyFill="1" applyAlignment="1">
      <alignment horizontal="right" vertical="center"/>
    </xf>
    <xf numFmtId="164" fontId="15" fillId="2" borderId="0" xfId="0" applyNumberFormat="1" applyFont="1" applyFill="1" applyAlignment="1">
      <alignment horizontal="right" vertical="center"/>
    </xf>
    <xf numFmtId="164" fontId="30" fillId="2" borderId="31" xfId="0" applyNumberFormat="1" applyFont="1" applyFill="1" applyBorder="1" applyAlignment="1">
      <alignment horizontal="right" vertical="center"/>
    </xf>
    <xf numFmtId="164" fontId="15" fillId="2" borderId="16" xfId="0" applyNumberFormat="1" applyFont="1" applyFill="1" applyBorder="1" applyAlignment="1">
      <alignment horizontal="right" vertical="center"/>
    </xf>
    <xf numFmtId="167" fontId="15" fillId="2" borderId="16" xfId="0" applyNumberFormat="1" applyFont="1" applyFill="1" applyBorder="1" applyAlignment="1">
      <alignment horizontal="right" vertical="center"/>
    </xf>
    <xf numFmtId="165" fontId="15" fillId="2" borderId="16" xfId="0" applyNumberFormat="1" applyFont="1" applyFill="1" applyBorder="1" applyAlignment="1">
      <alignment horizontal="right" vertical="center"/>
    </xf>
    <xf numFmtId="164" fontId="15" fillId="2" borderId="25" xfId="0" applyNumberFormat="1" applyFont="1" applyFill="1" applyBorder="1" applyAlignment="1">
      <alignment horizontal="right" vertical="center"/>
    </xf>
    <xf numFmtId="167" fontId="15" fillId="2" borderId="25" xfId="0" applyNumberFormat="1" applyFont="1" applyFill="1" applyBorder="1" applyAlignment="1">
      <alignment horizontal="right" vertical="center"/>
    </xf>
    <xf numFmtId="165" fontId="15" fillId="2" borderId="33" xfId="0" applyNumberFormat="1" applyFont="1" applyFill="1" applyBorder="1" applyAlignment="1">
      <alignment horizontal="right" vertical="center"/>
    </xf>
    <xf numFmtId="165" fontId="15" fillId="2" borderId="25" xfId="0" applyNumberFormat="1" applyFont="1" applyFill="1" applyBorder="1" applyAlignment="1">
      <alignment horizontal="right" vertical="center"/>
    </xf>
    <xf numFmtId="0" fontId="8" fillId="2" borderId="12" xfId="0" applyFont="1" applyFill="1" applyBorder="1" applyAlignment="1">
      <alignment horizontal="right"/>
    </xf>
    <xf numFmtId="165" fontId="4" fillId="3" borderId="0" xfId="0" applyNumberFormat="1" applyFont="1" applyFill="1" applyAlignment="1">
      <alignment horizontal="right"/>
    </xf>
    <xf numFmtId="165" fontId="4" fillId="3" borderId="0" xfId="1" applyNumberFormat="1" applyFont="1" applyFill="1" applyAlignment="1">
      <alignment horizontal="right"/>
    </xf>
    <xf numFmtId="165" fontId="4" fillId="2" borderId="7" xfId="0" applyNumberFormat="1" applyFont="1" applyFill="1" applyBorder="1" applyAlignment="1">
      <alignment horizontal="right"/>
    </xf>
    <xf numFmtId="165" fontId="4" fillId="2" borderId="7" xfId="1" applyNumberFormat="1" applyFont="1" applyFill="1" applyBorder="1" applyAlignment="1">
      <alignment horizontal="right"/>
    </xf>
    <xf numFmtId="0" fontId="16" fillId="2" borderId="0" xfId="0" applyFont="1" applyFill="1" applyAlignment="1">
      <alignment horizontal="right" vertical="top"/>
    </xf>
    <xf numFmtId="165" fontId="16" fillId="2" borderId="0" xfId="0" applyNumberFormat="1" applyFont="1" applyFill="1" applyAlignment="1">
      <alignment horizontal="right" vertical="top"/>
    </xf>
    <xf numFmtId="165" fontId="16" fillId="2" borderId="0" xfId="1" applyNumberFormat="1" applyFont="1" applyFill="1" applyBorder="1" applyAlignment="1" applyProtection="1">
      <alignment horizontal="right" vertical="top"/>
    </xf>
    <xf numFmtId="0" fontId="15" fillId="2" borderId="0" xfId="0" applyFont="1" applyFill="1" applyAlignment="1">
      <alignment horizontal="right"/>
    </xf>
    <xf numFmtId="165" fontId="15" fillId="2" borderId="0" xfId="0" applyNumberFormat="1" applyFont="1" applyFill="1" applyAlignment="1">
      <alignment horizontal="right"/>
    </xf>
    <xf numFmtId="205" fontId="15" fillId="2" borderId="0" xfId="0" applyNumberFormat="1" applyFont="1" applyFill="1" applyAlignment="1">
      <alignment horizontal="right" vertical="center" wrapText="1"/>
    </xf>
    <xf numFmtId="164" fontId="15" fillId="2" borderId="0" xfId="0" applyNumberFormat="1" applyFont="1" applyFill="1" applyAlignment="1">
      <alignment horizontal="right" vertical="center" wrapText="1"/>
    </xf>
    <xf numFmtId="205" fontId="15" fillId="2" borderId="0" xfId="0" applyNumberFormat="1" applyFont="1" applyFill="1" applyAlignment="1">
      <alignment horizontal="right"/>
    </xf>
    <xf numFmtId="167" fontId="15" fillId="2" borderId="0" xfId="0" applyNumberFormat="1" applyFont="1" applyFill="1" applyAlignment="1">
      <alignment horizontal="right"/>
    </xf>
    <xf numFmtId="205" fontId="30" fillId="2" borderId="0" xfId="0" applyNumberFormat="1" applyFont="1" applyFill="1" applyAlignment="1">
      <alignment horizontal="right" vertical="center"/>
    </xf>
    <xf numFmtId="7" fontId="30" fillId="2" borderId="0" xfId="0" applyNumberFormat="1" applyFont="1" applyFill="1" applyAlignment="1">
      <alignment horizontal="right" vertical="center"/>
    </xf>
    <xf numFmtId="9" fontId="30" fillId="2" borderId="0" xfId="0" applyNumberFormat="1" applyFont="1" applyFill="1" applyAlignment="1">
      <alignment horizontal="right" vertical="center"/>
    </xf>
    <xf numFmtId="205" fontId="30" fillId="2" borderId="31" xfId="0" applyNumberFormat="1" applyFont="1" applyFill="1" applyBorder="1" applyAlignment="1">
      <alignment horizontal="right" vertical="center"/>
    </xf>
    <xf numFmtId="205" fontId="15" fillId="2" borderId="32" xfId="0" applyNumberFormat="1" applyFont="1" applyFill="1" applyBorder="1" applyAlignment="1">
      <alignment horizontal="right" vertical="top"/>
    </xf>
    <xf numFmtId="167" fontId="15" fillId="2" borderId="33" xfId="0" applyNumberFormat="1" applyFont="1" applyFill="1" applyBorder="1" applyAlignment="1">
      <alignment horizontal="right" vertical="top"/>
    </xf>
    <xf numFmtId="165" fontId="15" fillId="2" borderId="33" xfId="0" applyNumberFormat="1" applyFont="1" applyFill="1" applyBorder="1" applyAlignment="1">
      <alignment horizontal="right" vertical="top"/>
    </xf>
    <xf numFmtId="9" fontId="15" fillId="2" borderId="25" xfId="0" applyNumberFormat="1" applyFont="1" applyFill="1" applyBorder="1" applyAlignment="1">
      <alignment horizontal="right" vertical="top"/>
    </xf>
    <xf numFmtId="167" fontId="15" fillId="2" borderId="32" xfId="0" applyNumberFormat="1" applyFont="1" applyFill="1" applyBorder="1" applyAlignment="1">
      <alignment horizontal="right" vertical="top"/>
    </xf>
    <xf numFmtId="165" fontId="15" fillId="2" borderId="32" xfId="1" applyNumberFormat="1" applyFont="1" applyFill="1" applyBorder="1" applyAlignment="1" applyProtection="1">
      <alignment horizontal="right" vertical="top"/>
    </xf>
    <xf numFmtId="165" fontId="15" fillId="2" borderId="25" xfId="1" applyNumberFormat="1" applyFont="1" applyFill="1" applyBorder="1" applyAlignment="1" applyProtection="1">
      <alignment horizontal="right" vertical="top"/>
    </xf>
    <xf numFmtId="165" fontId="4" fillId="2" borderId="12" xfId="0" applyNumberFormat="1" applyFont="1" applyFill="1" applyBorder="1" applyAlignment="1">
      <alignment horizontal="right"/>
    </xf>
    <xf numFmtId="165" fontId="4" fillId="2" borderId="12" xfId="1" applyNumberFormat="1" applyFont="1" applyFill="1" applyBorder="1" applyAlignment="1">
      <alignment horizontal="right"/>
    </xf>
    <xf numFmtId="0" fontId="15" fillId="2" borderId="0" xfId="0" applyFont="1" applyFill="1" applyAlignment="1">
      <alignment horizontal="center" vertical="center" wrapText="1"/>
    </xf>
    <xf numFmtId="174" fontId="15" fillId="2" borderId="0" xfId="0" applyNumberFormat="1" applyFont="1" applyFill="1" applyAlignment="1">
      <alignment horizontal="center" vertical="center" wrapText="1"/>
    </xf>
    <xf numFmtId="0" fontId="30" fillId="2" borderId="0" xfId="0" applyFont="1" applyFill="1" applyAlignment="1">
      <alignment horizontal="center" vertical="center" wrapText="1"/>
    </xf>
    <xf numFmtId="1" fontId="30" fillId="2" borderId="0" xfId="0" applyNumberFormat="1" applyFont="1" applyFill="1" applyAlignment="1">
      <alignment horizontal="center" vertical="center" wrapText="1"/>
    </xf>
    <xf numFmtId="165" fontId="15" fillId="2" borderId="0" xfId="1" applyNumberFormat="1" applyFont="1" applyFill="1" applyBorder="1" applyAlignment="1">
      <alignment horizontal="center" vertical="center" wrapText="1"/>
    </xf>
    <xf numFmtId="184" fontId="15" fillId="2" borderId="0" xfId="0" applyNumberFormat="1" applyFont="1" applyFill="1" applyAlignment="1">
      <alignment horizontal="center" vertical="center" wrapText="1"/>
    </xf>
    <xf numFmtId="38" fontId="11" fillId="3" borderId="0" xfId="0" applyNumberFormat="1" applyFont="1" applyFill="1" applyAlignment="1">
      <alignment horizontal="center" vertical="center"/>
    </xf>
    <xf numFmtId="38" fontId="15" fillId="2" borderId="0" xfId="0" applyNumberFormat="1" applyFont="1" applyFill="1" applyAlignment="1">
      <alignment horizontal="center" vertical="center"/>
    </xf>
    <xf numFmtId="38" fontId="30" fillId="2" borderId="0" xfId="0" applyNumberFormat="1" applyFont="1" applyFill="1" applyAlignment="1">
      <alignment horizontal="center" vertical="center"/>
    </xf>
    <xf numFmtId="38" fontId="12" fillId="2" borderId="0" xfId="0" applyNumberFormat="1" applyFont="1" applyFill="1" applyAlignment="1">
      <alignment horizontal="center" vertical="center"/>
    </xf>
    <xf numFmtId="164" fontId="4" fillId="2" borderId="97" xfId="0" applyNumberFormat="1" applyFont="1" applyFill="1" applyBorder="1" applyAlignment="1">
      <alignment horizontal="center"/>
    </xf>
    <xf numFmtId="164" fontId="4" fillId="5" borderId="0" xfId="0" applyNumberFormat="1" applyFont="1" applyFill="1" applyAlignment="1">
      <alignment horizontal="right"/>
    </xf>
    <xf numFmtId="0" fontId="4" fillId="5" borderId="0" xfId="0" applyFont="1" applyFill="1" applyAlignment="1">
      <alignment horizontal="right"/>
    </xf>
    <xf numFmtId="0" fontId="4" fillId="2" borderId="4" xfId="0" applyFont="1" applyFill="1" applyBorder="1" applyAlignment="1">
      <alignment horizontal="center"/>
    </xf>
    <xf numFmtId="0" fontId="4" fillId="2" borderId="5" xfId="0" applyFont="1" applyFill="1" applyBorder="1" applyAlignment="1">
      <alignment horizontal="center"/>
    </xf>
    <xf numFmtId="0" fontId="16" fillId="2" borderId="0" xfId="0" applyFont="1" applyFill="1" applyAlignment="1">
      <alignment horizontal="left" vertical="center"/>
    </xf>
    <xf numFmtId="0" fontId="4" fillId="3" borderId="9" xfId="0" applyFont="1" applyFill="1" applyBorder="1" applyAlignment="1">
      <alignment vertical="center"/>
    </xf>
    <xf numFmtId="164" fontId="4" fillId="6" borderId="0" xfId="0" applyNumberFormat="1" applyFont="1" applyFill="1" applyAlignment="1">
      <alignment horizontal="right" vertical="center"/>
    </xf>
    <xf numFmtId="164" fontId="16" fillId="6" borderId="0" xfId="0" applyNumberFormat="1" applyFont="1" applyFill="1" applyAlignment="1">
      <alignment horizontal="right" vertical="center"/>
    </xf>
    <xf numFmtId="0" fontId="7" fillId="2" borderId="10" xfId="0" applyFont="1" applyFill="1" applyBorder="1" applyAlignment="1">
      <alignment horizontal="left" vertical="top"/>
    </xf>
    <xf numFmtId="0" fontId="11" fillId="2" borderId="10" xfId="0" applyFont="1" applyFill="1" applyBorder="1" applyAlignment="1">
      <alignment horizontal="left" vertical="center"/>
    </xf>
    <xf numFmtId="0" fontId="63" fillId="2" borderId="13" xfId="0" applyFont="1" applyFill="1" applyBorder="1" applyAlignment="1">
      <alignment horizontal="left" vertical="center"/>
    </xf>
    <xf numFmtId="0" fontId="6" fillId="2" borderId="12" xfId="0" applyFont="1" applyFill="1" applyBorder="1" applyAlignment="1">
      <alignment vertical="center"/>
    </xf>
    <xf numFmtId="165" fontId="4" fillId="6" borderId="25" xfId="0" applyNumberFormat="1" applyFont="1" applyFill="1" applyBorder="1" applyAlignment="1">
      <alignment horizontal="center" vertical="center"/>
    </xf>
    <xf numFmtId="164" fontId="4" fillId="5" borderId="33" xfId="0" applyNumberFormat="1" applyFont="1" applyFill="1" applyBorder="1" applyAlignment="1">
      <alignment horizontal="right"/>
    </xf>
    <xf numFmtId="10" fontId="4" fillId="6" borderId="89" xfId="0" applyNumberFormat="1" applyFont="1" applyFill="1" applyBorder="1" applyAlignment="1">
      <alignment horizontal="center"/>
    </xf>
    <xf numFmtId="0" fontId="13" fillId="3" borderId="0" xfId="0" applyFont="1" applyFill="1" applyAlignment="1">
      <alignment horizontal="left"/>
    </xf>
    <xf numFmtId="10" fontId="4" fillId="2" borderId="97" xfId="0" applyNumberFormat="1" applyFont="1" applyFill="1" applyBorder="1"/>
    <xf numFmtId="8" fontId="8" fillId="2" borderId="25" xfId="0" applyNumberFormat="1" applyFont="1" applyFill="1" applyBorder="1" applyAlignment="1">
      <alignment horizontal="right" vertical="top"/>
    </xf>
    <xf numFmtId="2" fontId="4" fillId="2" borderId="0" xfId="0" applyNumberFormat="1" applyFont="1" applyFill="1" applyAlignment="1">
      <alignment horizontal="right"/>
    </xf>
    <xf numFmtId="2" fontId="8" fillId="2" borderId="0" xfId="0" applyNumberFormat="1" applyFont="1" applyFill="1" applyAlignment="1">
      <alignment horizontal="right"/>
    </xf>
    <xf numFmtId="4" fontId="4" fillId="2" borderId="0" xfId="0" applyNumberFormat="1" applyFont="1" applyFill="1" applyAlignment="1">
      <alignment horizontal="right"/>
    </xf>
    <xf numFmtId="219" fontId="4" fillId="5" borderId="0" xfId="0" applyNumberFormat="1" applyFont="1" applyFill="1" applyAlignment="1">
      <alignment horizontal="right"/>
    </xf>
    <xf numFmtId="219" fontId="8" fillId="5" borderId="0" xfId="0" applyNumberFormat="1" applyFont="1" applyFill="1" applyAlignment="1">
      <alignment horizontal="right" vertical="top"/>
    </xf>
    <xf numFmtId="219" fontId="4" fillId="5" borderId="25" xfId="0" applyNumberFormat="1" applyFont="1" applyFill="1" applyBorder="1" applyAlignment="1">
      <alignment horizontal="right"/>
    </xf>
    <xf numFmtId="219" fontId="8" fillId="5" borderId="25" xfId="0" applyNumberFormat="1" applyFont="1" applyFill="1" applyBorder="1" applyAlignment="1">
      <alignment horizontal="right" vertical="top"/>
    </xf>
    <xf numFmtId="0" fontId="5" fillId="3" borderId="0" xfId="0" applyFont="1" applyFill="1" applyAlignment="1">
      <alignment horizontal="left"/>
    </xf>
    <xf numFmtId="184" fontId="0" fillId="5" borderId="0" xfId="0" applyNumberFormat="1" applyFill="1" applyAlignment="1">
      <alignment horizontal="left" vertical="top"/>
    </xf>
    <xf numFmtId="165" fontId="0" fillId="5" borderId="0" xfId="0" applyNumberFormat="1" applyFill="1" applyAlignment="1">
      <alignment horizontal="left" vertical="top"/>
    </xf>
    <xf numFmtId="0" fontId="4" fillId="3" borderId="0" xfId="0" applyFont="1" applyFill="1" applyAlignment="1">
      <alignment horizontal="right" vertical="center"/>
    </xf>
    <xf numFmtId="0" fontId="4" fillId="5" borderId="31" xfId="0" applyFont="1" applyFill="1" applyBorder="1" applyAlignment="1">
      <alignment horizontal="left"/>
    </xf>
    <xf numFmtId="0" fontId="4" fillId="5" borderId="33" xfId="0" applyFont="1" applyFill="1" applyBorder="1"/>
    <xf numFmtId="0" fontId="14" fillId="3" borderId="0" xfId="0" applyFont="1" applyFill="1" applyAlignment="1">
      <alignment wrapText="1"/>
    </xf>
    <xf numFmtId="0" fontId="36" fillId="3" borderId="0" xfId="0" applyFont="1" applyFill="1"/>
    <xf numFmtId="0" fontId="14" fillId="3" borderId="0" xfId="0" applyFont="1" applyFill="1" applyAlignment="1">
      <alignment horizontal="left" wrapText="1"/>
    </xf>
    <xf numFmtId="0" fontId="16" fillId="2" borderId="33" xfId="0" applyFont="1" applyFill="1" applyBorder="1" applyAlignment="1">
      <alignment horizontal="left"/>
    </xf>
    <xf numFmtId="0" fontId="6" fillId="6" borderId="42" xfId="0" applyFont="1" applyFill="1" applyBorder="1"/>
    <xf numFmtId="0" fontId="4" fillId="6" borderId="42" xfId="0" applyFont="1" applyFill="1" applyBorder="1" applyAlignment="1">
      <alignment horizontal="right"/>
    </xf>
    <xf numFmtId="0" fontId="0" fillId="3" borderId="0" xfId="0" applyFill="1"/>
    <xf numFmtId="164" fontId="4" fillId="6" borderId="31" xfId="0" applyNumberFormat="1" applyFont="1" applyFill="1" applyBorder="1" applyAlignment="1">
      <alignment horizontal="right"/>
    </xf>
    <xf numFmtId="223" fontId="8" fillId="6" borderId="0" xfId="0" applyNumberFormat="1" applyFont="1" applyFill="1" applyAlignment="1">
      <alignment horizontal="left"/>
    </xf>
    <xf numFmtId="165" fontId="4" fillId="2" borderId="34" xfId="0" applyNumberFormat="1" applyFont="1" applyFill="1" applyBorder="1" applyAlignment="1">
      <alignment horizontal="center"/>
    </xf>
    <xf numFmtId="0" fontId="11" fillId="3" borderId="6" xfId="0" applyFont="1" applyFill="1" applyBorder="1"/>
    <xf numFmtId="0" fontId="11" fillId="3" borderId="7" xfId="0" applyFont="1" applyFill="1" applyBorder="1"/>
    <xf numFmtId="0" fontId="11" fillId="3" borderId="8" xfId="0" applyFont="1" applyFill="1" applyBorder="1"/>
    <xf numFmtId="0" fontId="4" fillId="5" borderId="9" xfId="0" applyFont="1" applyFill="1" applyBorder="1"/>
    <xf numFmtId="0" fontId="4" fillId="5" borderId="11" xfId="0" applyFont="1" applyFill="1" applyBorder="1"/>
    <xf numFmtId="0" fontId="4" fillId="2" borderId="2" xfId="0" applyFont="1" applyFill="1" applyBorder="1" applyAlignment="1">
      <alignment horizontal="center"/>
    </xf>
    <xf numFmtId="0" fontId="12" fillId="5" borderId="0" xfId="0" applyFont="1" applyFill="1" applyAlignment="1">
      <alignment horizontal="left"/>
    </xf>
    <xf numFmtId="0" fontId="12" fillId="6" borderId="17" xfId="0" applyFont="1" applyFill="1" applyBorder="1"/>
    <xf numFmtId="0" fontId="8" fillId="2" borderId="29" xfId="0" applyFont="1" applyFill="1" applyBorder="1" applyAlignment="1">
      <alignment vertical="center"/>
    </xf>
    <xf numFmtId="0" fontId="8" fillId="2" borderId="29" xfId="0" applyFont="1" applyFill="1" applyBorder="1" applyAlignment="1">
      <alignment horizontal="center" vertical="center"/>
    </xf>
    <xf numFmtId="164" fontId="8" fillId="5" borderId="0" xfId="0" applyNumberFormat="1" applyFont="1" applyFill="1" applyAlignment="1">
      <alignment horizontal="right" vertical="top"/>
    </xf>
    <xf numFmtId="6" fontId="8" fillId="2" borderId="25" xfId="0" applyNumberFormat="1" applyFont="1" applyFill="1" applyBorder="1" applyAlignment="1">
      <alignment horizontal="right" vertical="top"/>
    </xf>
    <xf numFmtId="8" fontId="8" fillId="2" borderId="12" xfId="0" applyNumberFormat="1" applyFont="1" applyFill="1" applyBorder="1" applyAlignment="1">
      <alignment horizontal="right" vertical="center"/>
    </xf>
    <xf numFmtId="6" fontId="8" fillId="2" borderId="12" xfId="0" applyNumberFormat="1" applyFont="1" applyFill="1" applyBorder="1" applyAlignment="1">
      <alignment horizontal="right" vertical="center"/>
    </xf>
    <xf numFmtId="184" fontId="59" fillId="6" borderId="0" xfId="0" applyNumberFormat="1" applyFont="1" applyFill="1" applyAlignment="1">
      <alignment horizontal="center" vertical="top"/>
    </xf>
    <xf numFmtId="0" fontId="63" fillId="3" borderId="0" xfId="0" applyFont="1" applyFill="1" applyAlignment="1">
      <alignment horizontal="left"/>
    </xf>
    <xf numFmtId="0" fontId="63" fillId="2" borderId="7" xfId="0" applyFont="1" applyFill="1" applyBorder="1" applyAlignment="1">
      <alignment horizontal="left"/>
    </xf>
    <xf numFmtId="0" fontId="8" fillId="2" borderId="31" xfId="0" applyFont="1" applyFill="1" applyBorder="1" applyAlignment="1">
      <alignment horizontal="left"/>
    </xf>
    <xf numFmtId="0" fontId="11" fillId="3" borderId="34" xfId="0" applyFont="1" applyFill="1" applyBorder="1" applyAlignment="1">
      <alignment horizontal="center"/>
    </xf>
    <xf numFmtId="0" fontId="11" fillId="2" borderId="7" xfId="0" applyFont="1" applyFill="1" applyBorder="1"/>
    <xf numFmtId="0" fontId="8" fillId="5" borderId="9" xfId="0" applyFont="1" applyFill="1" applyBorder="1" applyAlignment="1">
      <alignment vertical="center"/>
    </xf>
    <xf numFmtId="0" fontId="8" fillId="5" borderId="9" xfId="0" applyFont="1" applyFill="1" applyBorder="1" applyAlignment="1">
      <alignment horizontal="left" vertical="center"/>
    </xf>
    <xf numFmtId="164" fontId="8" fillId="5" borderId="10" xfId="0" applyNumberFormat="1" applyFont="1" applyFill="1" applyBorder="1" applyAlignment="1">
      <alignment horizontal="center"/>
    </xf>
    <xf numFmtId="0" fontId="8" fillId="5" borderId="11" xfId="0" applyFont="1" applyFill="1" applyBorder="1" applyAlignment="1">
      <alignment vertical="center"/>
    </xf>
    <xf numFmtId="164" fontId="8" fillId="5" borderId="13" xfId="0" applyNumberFormat="1" applyFont="1" applyFill="1" applyBorder="1" applyAlignment="1">
      <alignment horizontal="center"/>
    </xf>
    <xf numFmtId="0" fontId="4" fillId="4" borderId="6" xfId="0" applyFont="1" applyFill="1" applyBorder="1"/>
    <xf numFmtId="0" fontId="4" fillId="4" borderId="11" xfId="0" applyFont="1" applyFill="1" applyBorder="1"/>
    <xf numFmtId="0" fontId="4" fillId="4"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horizontal="center"/>
    </xf>
    <xf numFmtId="0" fontId="4" fillId="4" borderId="8" xfId="0" applyFont="1" applyFill="1" applyBorder="1" applyAlignment="1">
      <alignment horizontal="center"/>
    </xf>
    <xf numFmtId="0" fontId="8" fillId="4" borderId="9" xfId="0" applyFont="1" applyFill="1" applyBorder="1" applyAlignment="1">
      <alignment vertical="center"/>
    </xf>
    <xf numFmtId="0" fontId="8" fillId="4" borderId="11" xfId="0" applyFont="1" applyFill="1" applyBorder="1" applyAlignment="1">
      <alignment vertical="center"/>
    </xf>
    <xf numFmtId="0" fontId="8" fillId="4" borderId="34" xfId="0" applyFont="1" applyFill="1" applyBorder="1" applyAlignment="1">
      <alignment horizontal="center" vertical="center" wrapText="1"/>
    </xf>
    <xf numFmtId="0" fontId="8" fillId="4" borderId="4" xfId="0" applyFont="1" applyFill="1" applyBorder="1" applyAlignment="1">
      <alignment horizontal="center" vertical="center"/>
    </xf>
    <xf numFmtId="166" fontId="8" fillId="4" borderId="4" xfId="0" applyNumberFormat="1" applyFont="1" applyFill="1" applyBorder="1" applyAlignment="1">
      <alignment horizontal="center" vertical="center"/>
    </xf>
    <xf numFmtId="164" fontId="8" fillId="5" borderId="4" xfId="0" applyNumberFormat="1" applyFont="1" applyFill="1" applyBorder="1" applyAlignment="1">
      <alignment horizontal="center" vertical="center"/>
    </xf>
    <xf numFmtId="0" fontId="8" fillId="5" borderId="0" xfId="0" applyFont="1" applyFill="1" applyAlignment="1" applyProtection="1">
      <alignment horizontal="left" indent="1"/>
      <protection hidden="1"/>
    </xf>
    <xf numFmtId="0" fontId="16" fillId="4" borderId="0" xfId="0" applyFont="1" applyFill="1"/>
    <xf numFmtId="0" fontId="11" fillId="3" borderId="3" xfId="0" applyFont="1" applyFill="1" applyBorder="1" applyAlignment="1">
      <alignment horizontal="center" wrapText="1"/>
    </xf>
    <xf numFmtId="0" fontId="8" fillId="4" borderId="4" xfId="0" applyFont="1" applyFill="1" applyBorder="1" applyAlignment="1">
      <alignment horizontal="center" wrapText="1"/>
    </xf>
    <xf numFmtId="0" fontId="74" fillId="3" borderId="0" xfId="0" applyFont="1" applyFill="1"/>
    <xf numFmtId="0" fontId="73" fillId="3" borderId="0" xfId="0" applyFont="1" applyFill="1" applyAlignment="1">
      <alignment horizontal="center"/>
    </xf>
    <xf numFmtId="0" fontId="4" fillId="2" borderId="103" xfId="0" applyFont="1" applyFill="1" applyBorder="1" applyAlignment="1">
      <alignment horizontal="right"/>
    </xf>
    <xf numFmtId="0" fontId="4" fillId="2" borderId="106" xfId="0" applyFont="1" applyFill="1" applyBorder="1" applyAlignment="1">
      <alignment horizontal="right"/>
    </xf>
    <xf numFmtId="167" fontId="4" fillId="2" borderId="103" xfId="0" applyNumberFormat="1" applyFont="1" applyFill="1" applyBorder="1" applyAlignment="1">
      <alignment horizontal="right"/>
    </xf>
    <xf numFmtId="0" fontId="4" fillId="4" borderId="95" xfId="0" applyFont="1" applyFill="1" applyBorder="1" applyAlignment="1">
      <alignment horizontal="right"/>
    </xf>
    <xf numFmtId="167" fontId="4" fillId="2" borderId="66" xfId="0" applyNumberFormat="1" applyFont="1" applyFill="1" applyBorder="1" applyAlignment="1">
      <alignment horizontal="right"/>
    </xf>
    <xf numFmtId="167" fontId="4" fillId="4" borderId="0" xfId="0" applyNumberFormat="1" applyFont="1" applyFill="1" applyAlignment="1">
      <alignment horizontal="right"/>
    </xf>
    <xf numFmtId="0" fontId="4" fillId="4" borderId="0" xfId="0" applyFont="1" applyFill="1" applyAlignment="1">
      <alignment horizontal="right"/>
    </xf>
    <xf numFmtId="178" fontId="8" fillId="6" borderId="105" xfId="0" applyNumberFormat="1" applyFont="1" applyFill="1" applyBorder="1" applyAlignment="1">
      <alignment horizontal="right"/>
    </xf>
    <xf numFmtId="178" fontId="8" fillId="6" borderId="102" xfId="0" applyNumberFormat="1" applyFont="1" applyFill="1" applyBorder="1" applyAlignment="1">
      <alignment horizontal="right"/>
    </xf>
    <xf numFmtId="178" fontId="8" fillId="6" borderId="104" xfId="0" applyNumberFormat="1" applyFont="1" applyFill="1" applyBorder="1" applyAlignment="1">
      <alignment horizontal="right"/>
    </xf>
    <xf numFmtId="178" fontId="4" fillId="4" borderId="107" xfId="0" applyNumberFormat="1" applyFont="1" applyFill="1" applyBorder="1" applyAlignment="1">
      <alignment horizontal="right"/>
    </xf>
    <xf numFmtId="165" fontId="4" fillId="2" borderId="108" xfId="0" applyNumberFormat="1" applyFont="1" applyFill="1" applyBorder="1" applyAlignment="1">
      <alignment horizontal="right"/>
    </xf>
    <xf numFmtId="167" fontId="16" fillId="4" borderId="0" xfId="0" applyNumberFormat="1" applyFont="1" applyFill="1" applyAlignment="1">
      <alignment horizontal="right"/>
    </xf>
    <xf numFmtId="0" fontId="73" fillId="3" borderId="0" xfId="0" applyFont="1" applyFill="1" applyAlignment="1">
      <alignment horizontal="right"/>
    </xf>
    <xf numFmtId="0" fontId="73" fillId="3" borderId="0" xfId="0" applyFont="1" applyFill="1" applyAlignment="1">
      <alignment horizontal="center" vertical="center"/>
    </xf>
    <xf numFmtId="1" fontId="73" fillId="3" borderId="0" xfId="0" applyNumberFormat="1" applyFont="1" applyFill="1" applyAlignment="1">
      <alignment horizontal="right"/>
    </xf>
    <xf numFmtId="0" fontId="24" fillId="2" borderId="9" xfId="0" applyFont="1" applyFill="1" applyBorder="1" applyAlignment="1">
      <alignment vertical="top"/>
    </xf>
    <xf numFmtId="0" fontId="73" fillId="3" borderId="10" xfId="0" applyFont="1" applyFill="1" applyBorder="1" applyAlignment="1">
      <alignment horizontal="center"/>
    </xf>
    <xf numFmtId="0" fontId="73" fillId="3" borderId="0" xfId="0" applyFont="1" applyFill="1" applyAlignment="1">
      <alignment horizontal="center" vertical="top"/>
    </xf>
    <xf numFmtId="0" fontId="75" fillId="3" borderId="0" xfId="0" applyFont="1" applyFill="1" applyAlignment="1">
      <alignment horizontal="center" vertical="center"/>
    </xf>
    <xf numFmtId="0" fontId="75" fillId="3" borderId="0" xfId="0" applyFont="1" applyFill="1" applyAlignment="1">
      <alignment horizontal="center"/>
    </xf>
    <xf numFmtId="0" fontId="73" fillId="3" borderId="7" xfId="0" applyFont="1" applyFill="1" applyBorder="1" applyAlignment="1">
      <alignment horizontal="center"/>
    </xf>
    <xf numFmtId="0" fontId="73" fillId="3" borderId="0" xfId="0" applyFont="1" applyFill="1" applyAlignment="1">
      <alignment horizontal="center" vertical="center" wrapText="1"/>
    </xf>
    <xf numFmtId="9" fontId="4" fillId="2" borderId="36" xfId="1" applyFont="1" applyFill="1" applyBorder="1" applyAlignment="1">
      <alignment horizontal="center"/>
    </xf>
    <xf numFmtId="14" fontId="3" fillId="3" borderId="0" xfId="0" applyNumberFormat="1" applyFont="1" applyFill="1" applyAlignment="1">
      <alignment horizontal="center"/>
    </xf>
    <xf numFmtId="6" fontId="3" fillId="3" borderId="0" xfId="0" applyNumberFormat="1" applyFont="1" applyFill="1" applyAlignment="1">
      <alignment horizontal="center"/>
    </xf>
    <xf numFmtId="0" fontId="12" fillId="4" borderId="23" xfId="0" applyFont="1" applyFill="1" applyBorder="1" applyAlignment="1">
      <alignment horizontal="right" vertical="center"/>
    </xf>
    <xf numFmtId="0" fontId="12" fillId="4" borderId="93" xfId="0" applyFont="1" applyFill="1" applyBorder="1" applyAlignment="1">
      <alignment horizontal="right" vertical="center"/>
    </xf>
    <xf numFmtId="0" fontId="4" fillId="2" borderId="12" xfId="0" applyFont="1" applyFill="1" applyBorder="1" applyAlignment="1">
      <alignment horizontal="left" wrapText="1"/>
    </xf>
    <xf numFmtId="0" fontId="4" fillId="4" borderId="21" xfId="0" applyFont="1" applyFill="1" applyBorder="1" applyAlignment="1">
      <alignment horizontal="left"/>
    </xf>
    <xf numFmtId="0" fontId="4" fillId="4" borderId="15" xfId="0" applyFont="1" applyFill="1" applyBorder="1" applyAlignment="1">
      <alignment horizontal="left"/>
    </xf>
    <xf numFmtId="0" fontId="36" fillId="2" borderId="22" xfId="0" applyFont="1" applyFill="1" applyBorder="1" applyAlignment="1">
      <alignment horizontal="left"/>
    </xf>
    <xf numFmtId="0" fontId="45" fillId="2" borderId="21" xfId="0" applyFont="1" applyFill="1" applyBorder="1" applyAlignment="1">
      <alignment horizontal="left"/>
    </xf>
    <xf numFmtId="0" fontId="45" fillId="2" borderId="15" xfId="0" applyFont="1" applyFill="1" applyBorder="1" applyAlignment="1">
      <alignment horizontal="left"/>
    </xf>
    <xf numFmtId="0" fontId="45" fillId="2" borderId="22" xfId="0" applyFont="1" applyFill="1" applyBorder="1" applyAlignment="1">
      <alignment horizontal="left"/>
    </xf>
    <xf numFmtId="0" fontId="45" fillId="4" borderId="9" xfId="0" applyFont="1" applyFill="1" applyBorder="1" applyAlignment="1">
      <alignment horizontal="left"/>
    </xf>
    <xf numFmtId="0" fontId="45" fillId="4" borderId="0" xfId="0" applyFont="1" applyFill="1" applyAlignment="1">
      <alignment horizontal="left"/>
    </xf>
    <xf numFmtId="0" fontId="45" fillId="4" borderId="10" xfId="0" applyFont="1" applyFill="1" applyBorder="1" applyAlignment="1">
      <alignment horizontal="left"/>
    </xf>
    <xf numFmtId="0" fontId="45" fillId="4" borderId="11" xfId="0" applyFont="1" applyFill="1" applyBorder="1" applyAlignment="1">
      <alignment horizontal="left"/>
    </xf>
    <xf numFmtId="0" fontId="45" fillId="4" borderId="12" xfId="0" applyFont="1" applyFill="1" applyBorder="1" applyAlignment="1">
      <alignment horizontal="left"/>
    </xf>
    <xf numFmtId="0" fontId="45" fillId="4" borderId="13" xfId="0" applyFont="1" applyFill="1" applyBorder="1" applyAlignment="1">
      <alignment horizontal="left"/>
    </xf>
    <xf numFmtId="0" fontId="24" fillId="2" borderId="12" xfId="0" applyFont="1" applyFill="1" applyBorder="1" applyAlignment="1">
      <alignment horizontal="right"/>
    </xf>
    <xf numFmtId="0" fontId="9" fillId="6" borderId="7" xfId="0" applyFont="1" applyFill="1" applyBorder="1" applyAlignment="1">
      <alignment horizontal="right"/>
    </xf>
    <xf numFmtId="173" fontId="11" fillId="3" borderId="0" xfId="0" applyNumberFormat="1" applyFont="1" applyFill="1" applyAlignment="1">
      <alignment horizontal="right" vertical="top"/>
    </xf>
    <xf numFmtId="0" fontId="8" fillId="6" borderId="0" xfId="0" applyFont="1" applyFill="1" applyAlignment="1">
      <alignment horizontal="right" vertical="top" wrapText="1"/>
    </xf>
    <xf numFmtId="165" fontId="13" fillId="6" borderId="0" xfId="1" applyNumberFormat="1" applyFont="1" applyFill="1" applyBorder="1" applyAlignment="1">
      <alignment horizontal="right"/>
    </xf>
    <xf numFmtId="164" fontId="13" fillId="6" borderId="0" xfId="0" applyNumberFormat="1" applyFont="1" applyFill="1" applyAlignment="1">
      <alignment horizontal="right"/>
    </xf>
    <xf numFmtId="167" fontId="13" fillId="6" borderId="0" xfId="0" applyNumberFormat="1" applyFont="1" applyFill="1" applyAlignment="1">
      <alignment horizontal="right"/>
    </xf>
    <xf numFmtId="0" fontId="59" fillId="6" borderId="0" xfId="0" applyFont="1" applyFill="1" applyAlignment="1">
      <alignment horizontal="right" vertical="top" wrapText="1"/>
    </xf>
    <xf numFmtId="0" fontId="40" fillId="3" borderId="0" xfId="0" applyFont="1" applyFill="1" applyAlignment="1">
      <alignment horizontal="right"/>
    </xf>
    <xf numFmtId="0" fontId="4" fillId="3" borderId="0" xfId="0" applyFont="1" applyFill="1" applyAlignment="1">
      <alignment horizontal="left" wrapText="1"/>
    </xf>
    <xf numFmtId="0" fontId="4" fillId="2" borderId="7" xfId="0" applyFont="1" applyFill="1" applyBorder="1" applyAlignment="1">
      <alignment horizontal="left" wrapText="1"/>
    </xf>
    <xf numFmtId="168" fontId="8" fillId="2" borderId="25" xfId="0" applyNumberFormat="1" applyFont="1" applyFill="1" applyBorder="1" applyAlignment="1">
      <alignment horizontal="left" vertical="top"/>
    </xf>
    <xf numFmtId="3" fontId="8" fillId="2" borderId="25" xfId="0" applyNumberFormat="1" applyFont="1" applyFill="1" applyBorder="1" applyAlignment="1">
      <alignment horizontal="left" vertical="top"/>
    </xf>
    <xf numFmtId="0" fontId="13" fillId="3" borderId="0" xfId="0" applyFont="1" applyFill="1" applyAlignment="1">
      <alignment horizontal="left" wrapText="1"/>
    </xf>
    <xf numFmtId="0" fontId="8" fillId="2" borderId="0" xfId="0" applyFont="1" applyFill="1" applyAlignment="1">
      <alignment horizontal="right" vertical="top" wrapText="1"/>
    </xf>
    <xf numFmtId="0" fontId="8" fillId="2" borderId="25" xfId="0" applyFont="1" applyFill="1" applyBorder="1" applyAlignment="1">
      <alignment horizontal="right" vertical="top"/>
    </xf>
    <xf numFmtId="0" fontId="8" fillId="2" borderId="25" xfId="0" applyFont="1" applyFill="1" applyBorder="1" applyAlignment="1">
      <alignment horizontal="right" vertical="top" wrapText="1"/>
    </xf>
    <xf numFmtId="3" fontId="8" fillId="2" borderId="0" xfId="0" applyNumberFormat="1" applyFont="1" applyFill="1" applyAlignment="1">
      <alignment horizontal="right" vertical="top"/>
    </xf>
    <xf numFmtId="165" fontId="8" fillId="2" borderId="0" xfId="0" applyNumberFormat="1" applyFont="1" applyFill="1" applyAlignment="1">
      <alignment horizontal="right" vertical="top"/>
    </xf>
    <xf numFmtId="1" fontId="8" fillId="2" borderId="25" xfId="0" applyNumberFormat="1" applyFont="1" applyFill="1" applyBorder="1" applyAlignment="1">
      <alignment horizontal="right" vertical="top"/>
    </xf>
    <xf numFmtId="165" fontId="8" fillId="2" borderId="25" xfId="0" applyNumberFormat="1" applyFont="1" applyFill="1" applyBorder="1" applyAlignment="1">
      <alignment horizontal="right" vertical="top"/>
    </xf>
    <xf numFmtId="0" fontId="8" fillId="2" borderId="0" xfId="0" applyFont="1" applyFill="1" applyAlignment="1">
      <alignment horizontal="right"/>
    </xf>
    <xf numFmtId="0" fontId="12" fillId="2" borderId="0" xfId="0" applyFont="1" applyFill="1" applyAlignment="1">
      <alignment horizontal="right"/>
    </xf>
    <xf numFmtId="174" fontId="8" fillId="2" borderId="0" xfId="0" applyNumberFormat="1" applyFont="1" applyFill="1" applyAlignment="1">
      <alignment horizontal="right" vertical="top" wrapText="1"/>
    </xf>
    <xf numFmtId="1" fontId="8" fillId="2" borderId="0" xfId="0" applyNumberFormat="1" applyFont="1" applyFill="1" applyAlignment="1">
      <alignment horizontal="right" vertical="top" wrapText="1"/>
    </xf>
    <xf numFmtId="14" fontId="8" fillId="2" borderId="0" xfId="0" applyNumberFormat="1" applyFont="1" applyFill="1" applyAlignment="1">
      <alignment horizontal="right" vertical="top" wrapText="1"/>
    </xf>
    <xf numFmtId="6" fontId="8" fillId="2" borderId="0" xfId="0" applyNumberFormat="1" applyFont="1" applyFill="1" applyAlignment="1">
      <alignment horizontal="right" vertical="top" wrapText="1"/>
    </xf>
    <xf numFmtId="167" fontId="8" fillId="2" borderId="0" xfId="0" applyNumberFormat="1" applyFont="1" applyFill="1" applyAlignment="1">
      <alignment horizontal="right" vertical="top" wrapText="1"/>
    </xf>
    <xf numFmtId="164" fontId="8" fillId="2" borderId="0" xfId="0" applyNumberFormat="1" applyFont="1" applyFill="1" applyAlignment="1">
      <alignment horizontal="right" vertical="top" wrapText="1"/>
    </xf>
    <xf numFmtId="49" fontId="8" fillId="2" borderId="0" xfId="0" applyNumberFormat="1" applyFont="1" applyFill="1" applyAlignment="1">
      <alignment horizontal="right" vertical="top" wrapText="1"/>
    </xf>
    <xf numFmtId="3" fontId="8" fillId="2" borderId="0" xfId="0" applyNumberFormat="1" applyFont="1" applyFill="1" applyAlignment="1">
      <alignment horizontal="right" vertical="top" wrapText="1"/>
    </xf>
    <xf numFmtId="168" fontId="8" fillId="2" borderId="0" xfId="0" applyNumberFormat="1" applyFont="1" applyFill="1" applyAlignment="1">
      <alignment horizontal="right" vertical="top" wrapText="1"/>
    </xf>
    <xf numFmtId="10" fontId="8" fillId="2" borderId="0" xfId="0" applyNumberFormat="1" applyFont="1" applyFill="1" applyAlignment="1">
      <alignment horizontal="right" vertical="top" wrapText="1"/>
    </xf>
    <xf numFmtId="184" fontId="8" fillId="2" borderId="0" xfId="0" applyNumberFormat="1" applyFont="1" applyFill="1" applyAlignment="1">
      <alignment horizontal="right" vertical="top" wrapText="1"/>
    </xf>
    <xf numFmtId="202" fontId="8" fillId="2" borderId="0" xfId="0" applyNumberFormat="1" applyFont="1" applyFill="1" applyAlignment="1">
      <alignment horizontal="right" vertical="top" wrapText="1"/>
    </xf>
    <xf numFmtId="171" fontId="8" fillId="2" borderId="0" xfId="0" applyNumberFormat="1" applyFont="1" applyFill="1" applyAlignment="1">
      <alignment horizontal="right" vertical="top" wrapText="1"/>
    </xf>
    <xf numFmtId="181" fontId="8" fillId="2" borderId="0" xfId="0" applyNumberFormat="1" applyFont="1" applyFill="1" applyAlignment="1">
      <alignment horizontal="right" vertical="top" wrapText="1"/>
    </xf>
    <xf numFmtId="165" fontId="8" fillId="2" borderId="0" xfId="0" applyNumberFormat="1" applyFont="1" applyFill="1" applyAlignment="1">
      <alignment horizontal="right" vertical="top" wrapText="1"/>
    </xf>
    <xf numFmtId="165" fontId="8" fillId="2" borderId="25" xfId="0" applyNumberFormat="1" applyFont="1" applyFill="1" applyBorder="1" applyAlignment="1">
      <alignment horizontal="right" vertical="top" wrapText="1"/>
    </xf>
    <xf numFmtId="0" fontId="8" fillId="2" borderId="42" xfId="0" applyFont="1" applyFill="1" applyBorder="1" applyAlignment="1">
      <alignment horizontal="right"/>
    </xf>
    <xf numFmtId="174" fontId="4" fillId="6" borderId="0" xfId="0" applyNumberFormat="1" applyFont="1" applyFill="1" applyAlignment="1">
      <alignment horizontal="center"/>
    </xf>
    <xf numFmtId="0" fontId="8" fillId="3" borderId="12" xfId="0" applyFont="1" applyFill="1" applyBorder="1" applyAlignment="1">
      <alignment horizontal="right"/>
    </xf>
    <xf numFmtId="173" fontId="11" fillId="3" borderId="0" xfId="0" applyNumberFormat="1" applyFont="1" applyFill="1" applyAlignment="1">
      <alignment horizontal="right"/>
    </xf>
    <xf numFmtId="0" fontId="8" fillId="2" borderId="0" xfId="0" applyFont="1" applyFill="1" applyAlignment="1">
      <alignment horizontal="right" wrapText="1"/>
    </xf>
    <xf numFmtId="185" fontId="8" fillId="2" borderId="0" xfId="0" applyNumberFormat="1" applyFont="1" applyFill="1" applyAlignment="1">
      <alignment horizontal="right" vertical="top"/>
    </xf>
    <xf numFmtId="10" fontId="8" fillId="2" borderId="0" xfId="0" applyNumberFormat="1" applyFont="1" applyFill="1" applyAlignment="1">
      <alignment horizontal="right" vertical="top"/>
    </xf>
    <xf numFmtId="2" fontId="8" fillId="2" borderId="0" xfId="0" applyNumberFormat="1" applyFont="1" applyFill="1" applyAlignment="1">
      <alignment horizontal="right" vertical="top"/>
    </xf>
    <xf numFmtId="2" fontId="8" fillId="2" borderId="0" xfId="0" applyNumberFormat="1" applyFont="1" applyFill="1" applyAlignment="1">
      <alignment horizontal="right" vertical="top" wrapText="1"/>
    </xf>
    <xf numFmtId="201" fontId="8" fillId="2" borderId="0" xfId="0" applyNumberFormat="1" applyFont="1" applyFill="1" applyAlignment="1">
      <alignment horizontal="right" vertical="top" wrapText="1"/>
    </xf>
    <xf numFmtId="174" fontId="8" fillId="6" borderId="0" xfId="0" applyNumberFormat="1" applyFont="1" applyFill="1" applyAlignment="1">
      <alignment horizontal="center"/>
    </xf>
    <xf numFmtId="0" fontId="4" fillId="3" borderId="25" xfId="0" applyFont="1" applyFill="1" applyBorder="1" applyAlignment="1">
      <alignment horizontal="left"/>
    </xf>
    <xf numFmtId="174" fontId="8" fillId="2" borderId="12" xfId="0" applyNumberFormat="1" applyFont="1" applyFill="1" applyBorder="1" applyAlignment="1">
      <alignment horizontal="left" vertical="center"/>
    </xf>
    <xf numFmtId="0" fontId="8" fillId="2" borderId="12" xfId="0" applyFont="1" applyFill="1" applyBorder="1" applyAlignment="1">
      <alignment horizontal="right" vertical="center"/>
    </xf>
    <xf numFmtId="165" fontId="8" fillId="2" borderId="12" xfId="0" applyNumberFormat="1" applyFont="1" applyFill="1" applyBorder="1" applyAlignment="1">
      <alignment horizontal="right" vertical="center"/>
    </xf>
    <xf numFmtId="3" fontId="8" fillId="2" borderId="12" xfId="0" applyNumberFormat="1" applyFont="1" applyFill="1" applyBorder="1" applyAlignment="1">
      <alignment horizontal="right" vertical="center"/>
    </xf>
    <xf numFmtId="174" fontId="4" fillId="2" borderId="0" xfId="0" applyNumberFormat="1" applyFont="1" applyFill="1" applyAlignment="1">
      <alignment horizontal="right" vertical="top"/>
    </xf>
    <xf numFmtId="207" fontId="8" fillId="2" borderId="0" xfId="0" applyNumberFormat="1" applyFont="1" applyFill="1" applyAlignment="1">
      <alignment horizontal="right" vertical="top"/>
    </xf>
    <xf numFmtId="207" fontId="8" fillId="2" borderId="0" xfId="0" applyNumberFormat="1" applyFont="1" applyFill="1" applyAlignment="1">
      <alignment horizontal="right" vertical="top" wrapText="1"/>
    </xf>
    <xf numFmtId="189" fontId="8" fillId="2" borderId="0" xfId="0" applyNumberFormat="1" applyFont="1" applyFill="1" applyAlignment="1">
      <alignment horizontal="right" vertical="top"/>
    </xf>
    <xf numFmtId="188" fontId="8" fillId="2" borderId="0" xfId="0" applyNumberFormat="1" applyFont="1" applyFill="1" applyAlignment="1">
      <alignment horizontal="right" vertical="top"/>
    </xf>
    <xf numFmtId="165" fontId="8" fillId="2" borderId="0" xfId="1" applyNumberFormat="1" applyFont="1" applyFill="1" applyBorder="1" applyAlignment="1">
      <alignment horizontal="right" vertical="top" wrapText="1"/>
    </xf>
    <xf numFmtId="0" fontId="13" fillId="2" borderId="12" xfId="0" applyFont="1" applyFill="1" applyBorder="1" applyAlignment="1">
      <alignment horizontal="left"/>
    </xf>
    <xf numFmtId="0" fontId="9" fillId="3" borderId="0" xfId="0" applyFont="1" applyFill="1" applyAlignment="1">
      <alignment horizontal="left"/>
    </xf>
    <xf numFmtId="0" fontId="13" fillId="2" borderId="12" xfId="0" applyFont="1" applyFill="1" applyBorder="1" applyAlignment="1">
      <alignment horizontal="right"/>
    </xf>
    <xf numFmtId="0" fontId="12" fillId="4" borderId="12" xfId="0" applyFont="1" applyFill="1" applyBorder="1" applyAlignment="1">
      <alignment vertical="center"/>
    </xf>
    <xf numFmtId="0" fontId="12" fillId="4" borderId="7" xfId="0" applyFont="1" applyFill="1" applyBorder="1" applyAlignment="1">
      <alignment vertical="center"/>
    </xf>
    <xf numFmtId="165" fontId="4" fillId="3" borderId="0" xfId="0" applyNumberFormat="1" applyFont="1" applyFill="1" applyAlignment="1">
      <alignment horizontal="right" vertical="center"/>
    </xf>
    <xf numFmtId="0" fontId="8" fillId="4" borderId="0" xfId="0" applyFont="1" applyFill="1" applyAlignment="1">
      <alignment horizontal="right"/>
    </xf>
    <xf numFmtId="0" fontId="12" fillId="4" borderId="35" xfId="0" applyFont="1" applyFill="1" applyBorder="1" applyAlignment="1">
      <alignment horizontal="right" vertical="center"/>
    </xf>
    <xf numFmtId="3" fontId="8" fillId="3" borderId="0" xfId="0" applyNumberFormat="1" applyFont="1" applyFill="1" applyAlignment="1">
      <alignment horizontal="right"/>
    </xf>
    <xf numFmtId="165" fontId="8" fillId="3" borderId="0" xfId="0" applyNumberFormat="1" applyFont="1" applyFill="1" applyAlignment="1">
      <alignment horizontal="right"/>
    </xf>
    <xf numFmtId="185" fontId="8" fillId="3" borderId="0" xfId="0" applyNumberFormat="1" applyFont="1" applyFill="1" applyAlignment="1">
      <alignment horizontal="right"/>
    </xf>
    <xf numFmtId="3" fontId="8" fillId="2" borderId="7" xfId="0" applyNumberFormat="1" applyFont="1" applyFill="1" applyBorder="1" applyAlignment="1">
      <alignment horizontal="right"/>
    </xf>
    <xf numFmtId="165" fontId="8" fillId="2" borderId="7" xfId="0" applyNumberFormat="1" applyFont="1" applyFill="1" applyBorder="1" applyAlignment="1">
      <alignment horizontal="right"/>
    </xf>
    <xf numFmtId="185" fontId="8" fillId="2" borderId="7" xfId="0" applyNumberFormat="1" applyFont="1" applyFill="1" applyBorder="1" applyAlignment="1">
      <alignment horizontal="right"/>
    </xf>
    <xf numFmtId="0" fontId="11" fillId="2" borderId="0" xfId="0" applyFont="1" applyFill="1" applyAlignment="1">
      <alignment horizontal="right"/>
    </xf>
    <xf numFmtId="3" fontId="8" fillId="2" borderId="12" xfId="0" applyNumberFormat="1" applyFont="1" applyFill="1" applyBorder="1" applyAlignment="1">
      <alignment horizontal="right"/>
    </xf>
    <xf numFmtId="165" fontId="8" fillId="2" borderId="12" xfId="0" applyNumberFormat="1" applyFont="1" applyFill="1" applyBorder="1" applyAlignment="1">
      <alignment horizontal="right"/>
    </xf>
    <xf numFmtId="0" fontId="12" fillId="4" borderId="7" xfId="0" applyFont="1" applyFill="1" applyBorder="1" applyAlignment="1">
      <alignment horizontal="left" vertical="center"/>
    </xf>
    <xf numFmtId="3" fontId="4" fillId="2" borderId="10" xfId="0" applyNumberFormat="1" applyFont="1" applyFill="1" applyBorder="1" applyAlignment="1">
      <alignment horizontal="center" vertical="center"/>
    </xf>
    <xf numFmtId="164" fontId="4" fillId="3" borderId="0" xfId="0" applyNumberFormat="1" applyFont="1" applyFill="1" applyAlignment="1">
      <alignment horizontal="center" vertical="center"/>
    </xf>
    <xf numFmtId="0" fontId="0" fillId="2" borderId="0" xfId="0" applyFill="1"/>
    <xf numFmtId="0" fontId="0" fillId="4" borderId="5" xfId="0" applyFill="1" applyBorder="1" applyAlignment="1">
      <alignment horizontal="center"/>
    </xf>
    <xf numFmtId="214" fontId="9" fillId="2" borderId="9" xfId="0" applyNumberFormat="1" applyFont="1" applyFill="1" applyBorder="1"/>
    <xf numFmtId="0" fontId="0" fillId="5" borderId="9" xfId="0" applyFill="1" applyBorder="1"/>
    <xf numFmtId="0" fontId="0" fillId="5" borderId="11" xfId="0" applyFill="1" applyBorder="1"/>
    <xf numFmtId="0" fontId="77" fillId="3" borderId="0" xfId="0" applyFont="1" applyFill="1" applyAlignment="1">
      <alignment horizontal="center"/>
    </xf>
    <xf numFmtId="0" fontId="9" fillId="3" borderId="0" xfId="0" applyFont="1" applyFill="1" applyAlignment="1">
      <alignment horizontal="center" vertical="center" wrapText="1"/>
    </xf>
    <xf numFmtId="0" fontId="4" fillId="4" borderId="22" xfId="0" applyFont="1" applyFill="1" applyBorder="1" applyAlignment="1">
      <alignment horizontal="center"/>
    </xf>
    <xf numFmtId="0" fontId="22" fillId="2" borderId="7" xfId="0" applyFont="1" applyFill="1" applyBorder="1"/>
    <xf numFmtId="49" fontId="4" fillId="2" borderId="0" xfId="0" applyNumberFormat="1" applyFont="1" applyFill="1"/>
    <xf numFmtId="8" fontId="4" fillId="2" borderId="0" xfId="0" applyNumberFormat="1" applyFont="1" applyFill="1" applyAlignment="1">
      <alignment horizontal="left"/>
    </xf>
    <xf numFmtId="6" fontId="79" fillId="3" borderId="0" xfId="0" applyNumberFormat="1" applyFont="1" applyFill="1" applyAlignment="1">
      <alignment wrapText="1"/>
    </xf>
    <xf numFmtId="0" fontId="80" fillId="3" borderId="0" xfId="0" applyFont="1" applyFill="1" applyAlignment="1">
      <alignment horizontal="center"/>
    </xf>
    <xf numFmtId="0" fontId="80" fillId="2" borderId="7" xfId="0" applyFont="1" applyFill="1" applyBorder="1" applyAlignment="1">
      <alignment horizontal="center"/>
    </xf>
    <xf numFmtId="0" fontId="81" fillId="3" borderId="0" xfId="0" applyFont="1" applyFill="1" applyAlignment="1">
      <alignment wrapText="1"/>
    </xf>
    <xf numFmtId="0" fontId="4" fillId="3" borderId="0" xfId="0" applyFont="1" applyFill="1" applyAlignment="1">
      <alignment horizontal="left" vertical="center"/>
    </xf>
    <xf numFmtId="0" fontId="80" fillId="3" borderId="0" xfId="0" applyFont="1" applyFill="1" applyAlignment="1">
      <alignment horizontal="center" vertical="center"/>
    </xf>
    <xf numFmtId="0" fontId="0" fillId="2" borderId="0" xfId="0" applyFill="1" applyAlignment="1">
      <alignment horizontal="center"/>
    </xf>
    <xf numFmtId="49" fontId="0" fillId="2" borderId="0" xfId="0" applyNumberFormat="1" applyFill="1"/>
    <xf numFmtId="0" fontId="0" fillId="2" borderId="0" xfId="0" applyFill="1" applyAlignment="1">
      <alignment horizontal="left"/>
    </xf>
    <xf numFmtId="1" fontId="73" fillId="3" borderId="0" xfId="0" applyNumberFormat="1" applyFont="1" applyFill="1" applyAlignment="1">
      <alignment horizontal="center" vertical="center"/>
    </xf>
    <xf numFmtId="1" fontId="73" fillId="3" borderId="0" xfId="0" applyNumberFormat="1" applyFont="1" applyFill="1" applyAlignment="1">
      <alignment horizontal="center" vertical="top"/>
    </xf>
    <xf numFmtId="0" fontId="4" fillId="5" borderId="6" xfId="0" applyFont="1" applyFill="1" applyBorder="1"/>
    <xf numFmtId="0" fontId="4" fillId="5" borderId="8" xfId="0" applyFont="1" applyFill="1" applyBorder="1" applyAlignment="1">
      <alignment horizontal="center"/>
    </xf>
    <xf numFmtId="205" fontId="8" fillId="5" borderId="0" xfId="0" applyNumberFormat="1" applyFont="1" applyFill="1" applyAlignment="1">
      <alignment horizontal="center" vertical="center"/>
    </xf>
    <xf numFmtId="205" fontId="8" fillId="5" borderId="79" xfId="0" applyNumberFormat="1" applyFont="1" applyFill="1" applyBorder="1" applyAlignment="1">
      <alignment horizontal="center" vertical="center"/>
    </xf>
    <xf numFmtId="0" fontId="82" fillId="4" borderId="34" xfId="0" applyFont="1" applyFill="1" applyBorder="1" applyAlignment="1">
      <alignment horizontal="center" vertical="center"/>
    </xf>
    <xf numFmtId="0" fontId="0" fillId="4" borderId="0" xfId="0" applyFill="1"/>
    <xf numFmtId="49" fontId="0" fillId="4" borderId="0" xfId="0" applyNumberFormat="1" applyFill="1"/>
    <xf numFmtId="0" fontId="0" fillId="4" borderId="0" xfId="0" applyFill="1" applyAlignment="1">
      <alignment horizontal="left"/>
    </xf>
    <xf numFmtId="3" fontId="4" fillId="4" borderId="0" xfId="0" applyNumberFormat="1" applyFont="1" applyFill="1" applyAlignment="1">
      <alignment horizontal="left"/>
    </xf>
    <xf numFmtId="8" fontId="4" fillId="4" borderId="0" xfId="0" applyNumberFormat="1" applyFont="1" applyFill="1" applyAlignment="1">
      <alignment horizontal="left"/>
    </xf>
    <xf numFmtId="14" fontId="4" fillId="4" borderId="0" xfId="0" applyNumberFormat="1" applyFont="1" applyFill="1" applyAlignment="1">
      <alignment horizontal="left"/>
    </xf>
    <xf numFmtId="0" fontId="0" fillId="4" borderId="0" xfId="0" applyFill="1" applyAlignment="1">
      <alignment horizontal="center"/>
    </xf>
    <xf numFmtId="3" fontId="37" fillId="3" borderId="0" xfId="0" applyNumberFormat="1" applyFont="1" applyFill="1" applyAlignment="1">
      <alignment horizontal="center" vertical="center"/>
    </xf>
    <xf numFmtId="172" fontId="8" fillId="2" borderId="15" xfId="0" applyNumberFormat="1" applyFont="1" applyFill="1" applyBorder="1" applyAlignment="1">
      <alignment horizontal="left"/>
    </xf>
    <xf numFmtId="0" fontId="0" fillId="5" borderId="10" xfId="0" applyFill="1" applyBorder="1"/>
    <xf numFmtId="10" fontId="4" fillId="6" borderId="0" xfId="0" applyNumberFormat="1" applyFont="1" applyFill="1" applyAlignment="1">
      <alignment horizontal="left"/>
    </xf>
    <xf numFmtId="164" fontId="4" fillId="5" borderId="0" xfId="0" applyNumberFormat="1" applyFont="1" applyFill="1" applyAlignment="1">
      <alignment horizontal="left"/>
    </xf>
    <xf numFmtId="0" fontId="8" fillId="5" borderId="0" xfId="0" applyFont="1" applyFill="1" applyAlignment="1">
      <alignment horizontal="right" vertical="top" wrapText="1"/>
    </xf>
    <xf numFmtId="0" fontId="8" fillId="5" borderId="0" xfId="0" applyFont="1" applyFill="1" applyAlignment="1">
      <alignment horizontal="right" vertical="top"/>
    </xf>
    <xf numFmtId="0" fontId="4" fillId="5" borderId="25" xfId="0" applyFont="1" applyFill="1" applyBorder="1" applyAlignment="1">
      <alignment vertical="center"/>
    </xf>
    <xf numFmtId="0" fontId="11" fillId="5" borderId="0" xfId="0" applyFont="1" applyFill="1" applyAlignment="1">
      <alignment horizontal="right"/>
    </xf>
    <xf numFmtId="165" fontId="4" fillId="5" borderId="0" xfId="1" applyNumberFormat="1" applyFont="1" applyFill="1" applyBorder="1" applyAlignment="1">
      <alignment horizontal="right"/>
    </xf>
    <xf numFmtId="0" fontId="13" fillId="5" borderId="0" xfId="0" applyFont="1" applyFill="1"/>
    <xf numFmtId="0" fontId="8" fillId="5" borderId="0" xfId="0" applyFont="1" applyFill="1" applyAlignment="1">
      <alignment horizontal="right" wrapText="1"/>
    </xf>
    <xf numFmtId="0" fontId="16" fillId="5" borderId="0" xfId="0" applyFont="1" applyFill="1" applyAlignment="1">
      <alignment horizontal="left" vertical="top"/>
    </xf>
    <xf numFmtId="0" fontId="8" fillId="5" borderId="0" xfId="0" applyFont="1" applyFill="1" applyAlignment="1">
      <alignment horizontal="center" vertical="top"/>
    </xf>
    <xf numFmtId="1" fontId="8" fillId="5" borderId="0" xfId="0" applyNumberFormat="1" applyFont="1" applyFill="1" applyAlignment="1">
      <alignment horizontal="right" vertical="top"/>
    </xf>
    <xf numFmtId="3" fontId="8" fillId="5" borderId="0" xfId="0" applyNumberFormat="1" applyFont="1" applyFill="1" applyAlignment="1">
      <alignment horizontal="right" vertical="top"/>
    </xf>
    <xf numFmtId="174" fontId="8" fillId="5" borderId="0" xfId="0" applyNumberFormat="1" applyFont="1" applyFill="1" applyAlignment="1">
      <alignment horizontal="right" vertical="top"/>
    </xf>
    <xf numFmtId="14" fontId="8" fillId="5" borderId="0" xfId="0" applyNumberFormat="1" applyFont="1" applyFill="1" applyAlignment="1">
      <alignment horizontal="center"/>
    </xf>
    <xf numFmtId="0" fontId="4" fillId="5" borderId="0" xfId="0" applyFont="1" applyFill="1" applyAlignment="1">
      <alignment horizontal="center" wrapText="1"/>
    </xf>
    <xf numFmtId="174" fontId="8" fillId="5" borderId="0" xfId="0" applyNumberFormat="1" applyFont="1" applyFill="1" applyAlignment="1">
      <alignment horizontal="center" vertical="top"/>
    </xf>
    <xf numFmtId="168" fontId="8" fillId="5" borderId="0" xfId="0" applyNumberFormat="1" applyFont="1" applyFill="1" applyAlignment="1">
      <alignment horizontal="right" vertical="top"/>
    </xf>
    <xf numFmtId="3" fontId="8" fillId="5" borderId="0" xfId="0" applyNumberFormat="1" applyFont="1" applyFill="1" applyAlignment="1">
      <alignment horizontal="center"/>
    </xf>
    <xf numFmtId="168" fontId="8" fillId="5" borderId="0" xfId="0" applyNumberFormat="1" applyFont="1" applyFill="1" applyAlignment="1">
      <alignment horizontal="center" vertical="top"/>
    </xf>
    <xf numFmtId="0" fontId="12" fillId="5" borderId="0" xfId="0" applyFont="1" applyFill="1" applyAlignment="1">
      <alignment vertical="top"/>
    </xf>
    <xf numFmtId="6" fontId="8" fillId="5" borderId="0" xfId="0" applyNumberFormat="1" applyFont="1" applyFill="1" applyAlignment="1">
      <alignment horizontal="center" vertical="top"/>
    </xf>
    <xf numFmtId="164" fontId="12" fillId="5" borderId="19" xfId="0" applyNumberFormat="1" applyFont="1" applyFill="1" applyBorder="1" applyAlignment="1">
      <alignment horizontal="right" vertical="top"/>
    </xf>
    <xf numFmtId="167" fontId="8" fillId="5" borderId="0" xfId="0" applyNumberFormat="1" applyFont="1" applyFill="1" applyAlignment="1">
      <alignment horizontal="right" vertical="top"/>
    </xf>
    <xf numFmtId="6" fontId="8" fillId="5" borderId="0" xfId="0" applyNumberFormat="1" applyFont="1" applyFill="1" applyAlignment="1">
      <alignment horizontal="center"/>
    </xf>
    <xf numFmtId="8" fontId="8" fillId="5" borderId="0" xfId="0" applyNumberFormat="1" applyFont="1" applyFill="1" applyAlignment="1">
      <alignment horizontal="center" vertical="top"/>
    </xf>
    <xf numFmtId="167" fontId="12" fillId="5" borderId="19" xfId="0" applyNumberFormat="1" applyFont="1" applyFill="1" applyBorder="1" applyAlignment="1">
      <alignment horizontal="right" vertical="top"/>
    </xf>
    <xf numFmtId="8" fontId="8" fillId="5" borderId="0" xfId="0" applyNumberFormat="1" applyFont="1" applyFill="1" applyAlignment="1">
      <alignment horizontal="center"/>
    </xf>
    <xf numFmtId="1" fontId="9" fillId="5" borderId="0" xfId="0" applyNumberFormat="1" applyFont="1" applyFill="1" applyAlignment="1">
      <alignment horizontal="right" vertical="top"/>
    </xf>
    <xf numFmtId="0" fontId="23" fillId="5" borderId="0" xfId="0" applyFont="1" applyFill="1" applyAlignment="1">
      <alignment horizontal="center"/>
    </xf>
    <xf numFmtId="0" fontId="12" fillId="5" borderId="0" xfId="0" applyFont="1" applyFill="1" applyAlignment="1">
      <alignment horizontal="left" vertical="top" indent="2"/>
    </xf>
    <xf numFmtId="0" fontId="59" fillId="5" borderId="0" xfId="0" applyFont="1" applyFill="1" applyAlignment="1">
      <alignment horizontal="center"/>
    </xf>
    <xf numFmtId="1" fontId="59" fillId="5" borderId="0" xfId="0" applyNumberFormat="1" applyFont="1" applyFill="1" applyAlignment="1">
      <alignment horizontal="right" wrapText="1"/>
    </xf>
    <xf numFmtId="214" fontId="8" fillId="5" borderId="0" xfId="0" applyNumberFormat="1" applyFont="1" applyFill="1" applyAlignment="1">
      <alignment horizontal="right"/>
    </xf>
    <xf numFmtId="0" fontId="8" fillId="5" borderId="0" xfId="0" applyFont="1" applyFill="1" applyAlignment="1">
      <alignment vertical="center" wrapText="1"/>
    </xf>
    <xf numFmtId="164" fontId="8" fillId="5" borderId="0" xfId="0" applyNumberFormat="1" applyFont="1" applyFill="1" applyAlignment="1">
      <alignment horizontal="center"/>
    </xf>
    <xf numFmtId="167" fontId="8" fillId="5" borderId="0" xfId="0" applyNumberFormat="1" applyFont="1" applyFill="1" applyAlignment="1">
      <alignment horizontal="center"/>
    </xf>
    <xf numFmtId="1" fontId="9" fillId="5" borderId="0" xfId="0" applyNumberFormat="1" applyFont="1" applyFill="1" applyAlignment="1">
      <alignment horizontal="right"/>
    </xf>
    <xf numFmtId="165" fontId="59" fillId="5" borderId="0" xfId="0" applyNumberFormat="1" applyFont="1" applyFill="1" applyAlignment="1">
      <alignment horizontal="right" wrapText="1"/>
    </xf>
    <xf numFmtId="6" fontId="59" fillId="5" borderId="0" xfId="0" applyNumberFormat="1" applyFont="1" applyFill="1" applyAlignment="1">
      <alignment horizontal="right"/>
    </xf>
    <xf numFmtId="0" fontId="12" fillId="5" borderId="0" xfId="0" applyFont="1" applyFill="1" applyAlignment="1">
      <alignment horizontal="left" indent="2"/>
    </xf>
    <xf numFmtId="0" fontId="69" fillId="5" borderId="0" xfId="0" applyFont="1" applyFill="1" applyAlignment="1">
      <alignment horizontal="center"/>
    </xf>
    <xf numFmtId="176" fontId="59" fillId="5" borderId="0" xfId="0" applyNumberFormat="1" applyFont="1" applyFill="1" applyAlignment="1">
      <alignment horizontal="right"/>
    </xf>
    <xf numFmtId="0" fontId="8" fillId="5" borderId="0" xfId="0" applyFont="1" applyFill="1" applyAlignment="1">
      <alignment horizontal="left" indent="4"/>
    </xf>
    <xf numFmtId="0" fontId="59" fillId="5" borderId="0" xfId="0" applyFont="1" applyFill="1" applyAlignment="1">
      <alignment horizontal="center" vertical="top" wrapText="1"/>
    </xf>
    <xf numFmtId="0" fontId="59" fillId="5" borderId="0" xfId="0" applyFont="1" applyFill="1" applyAlignment="1">
      <alignment horizontal="right" vertical="top" wrapText="1"/>
    </xf>
    <xf numFmtId="0" fontId="23" fillId="5" borderId="0" xfId="0" applyFont="1" applyFill="1" applyAlignment="1">
      <alignment horizontal="center" vertical="top"/>
    </xf>
    <xf numFmtId="1" fontId="59" fillId="5" borderId="0" xfId="0" applyNumberFormat="1" applyFont="1" applyFill="1" applyAlignment="1">
      <alignment horizontal="center" vertical="top" wrapText="1"/>
    </xf>
    <xf numFmtId="1" fontId="59" fillId="5" borderId="0" xfId="0" applyNumberFormat="1" applyFont="1" applyFill="1" applyAlignment="1">
      <alignment horizontal="right" vertical="top"/>
    </xf>
    <xf numFmtId="0" fontId="59" fillId="5" borderId="0" xfId="0" applyFont="1" applyFill="1" applyAlignment="1">
      <alignment horizontal="right" vertical="top"/>
    </xf>
    <xf numFmtId="1" fontId="8" fillId="5" borderId="0" xfId="0" applyNumberFormat="1" applyFont="1" applyFill="1" applyAlignment="1">
      <alignment horizontal="center" vertical="top" wrapText="1"/>
    </xf>
    <xf numFmtId="1" fontId="59" fillId="5" borderId="0" xfId="0" applyNumberFormat="1" applyFont="1" applyFill="1" applyAlignment="1">
      <alignment horizontal="right" vertical="top" wrapText="1"/>
    </xf>
    <xf numFmtId="0" fontId="13" fillId="5" borderId="0" xfId="0" applyFont="1" applyFill="1" applyAlignment="1">
      <alignment horizontal="left" vertical="top" indent="2"/>
    </xf>
    <xf numFmtId="0" fontId="59" fillId="5" borderId="0" xfId="0" applyFont="1" applyFill="1" applyAlignment="1">
      <alignment horizontal="center" vertical="top"/>
    </xf>
    <xf numFmtId="0" fontId="13" fillId="5" borderId="0" xfId="0" applyFont="1" applyFill="1" applyAlignment="1">
      <alignment horizontal="center"/>
    </xf>
    <xf numFmtId="167" fontId="12" fillId="5" borderId="0" xfId="0" applyNumberFormat="1" applyFont="1" applyFill="1" applyAlignment="1">
      <alignment horizontal="center"/>
    </xf>
    <xf numFmtId="0" fontId="8" fillId="5" borderId="25" xfId="0" applyFont="1" applyFill="1" applyBorder="1" applyAlignment="1">
      <alignment horizontal="center"/>
    </xf>
    <xf numFmtId="167" fontId="4" fillId="5" borderId="0" xfId="0" applyNumberFormat="1" applyFont="1" applyFill="1" applyAlignment="1">
      <alignment horizontal="right"/>
    </xf>
    <xf numFmtId="167" fontId="4" fillId="5" borderId="25" xfId="0" applyNumberFormat="1" applyFont="1" applyFill="1" applyBorder="1" applyAlignment="1">
      <alignment horizontal="right"/>
    </xf>
    <xf numFmtId="174" fontId="8" fillId="6" borderId="89" xfId="0" applyNumberFormat="1" applyFont="1" applyFill="1" applyBorder="1" applyAlignment="1">
      <alignment horizontal="center" vertical="top"/>
    </xf>
    <xf numFmtId="174" fontId="8" fillId="6" borderId="43" xfId="0" applyNumberFormat="1" applyFont="1" applyFill="1" applyBorder="1" applyAlignment="1">
      <alignment horizontal="center" vertical="top"/>
    </xf>
    <xf numFmtId="185" fontId="4" fillId="5" borderId="0" xfId="0" applyNumberFormat="1" applyFont="1" applyFill="1" applyAlignment="1">
      <alignment horizontal="center"/>
    </xf>
    <xf numFmtId="164" fontId="16" fillId="5" borderId="0" xfId="0" applyNumberFormat="1" applyFont="1" applyFill="1" applyAlignment="1">
      <alignment horizontal="right"/>
    </xf>
    <xf numFmtId="0" fontId="8" fillId="5" borderId="0" xfId="0" applyFont="1" applyFill="1" applyAlignment="1">
      <alignment horizontal="right"/>
    </xf>
    <xf numFmtId="167" fontId="16" fillId="5" borderId="0" xfId="0" applyNumberFormat="1" applyFont="1" applyFill="1" applyAlignment="1">
      <alignment horizontal="right"/>
    </xf>
    <xf numFmtId="0" fontId="16" fillId="5" borderId="33" xfId="0" applyFont="1" applyFill="1" applyBorder="1"/>
    <xf numFmtId="0" fontId="4" fillId="6" borderId="89" xfId="0" applyFont="1" applyFill="1" applyBorder="1" applyAlignment="1">
      <alignment horizontal="center"/>
    </xf>
    <xf numFmtId="0" fontId="4" fillId="6" borderId="95" xfId="0" applyFont="1" applyFill="1" applyBorder="1" applyAlignment="1">
      <alignment horizontal="center"/>
    </xf>
    <xf numFmtId="0" fontId="4" fillId="6" borderId="43" xfId="0" applyFont="1" applyFill="1" applyBorder="1" applyAlignment="1">
      <alignment horizontal="center"/>
    </xf>
    <xf numFmtId="0" fontId="16" fillId="5" borderId="33" xfId="0" applyFont="1" applyFill="1" applyBorder="1" applyAlignment="1">
      <alignment vertical="center"/>
    </xf>
    <xf numFmtId="0" fontId="8" fillId="5" borderId="0" xfId="0" applyFont="1" applyFill="1" applyAlignment="1">
      <alignment horizontal="center" vertical="top" wrapText="1"/>
    </xf>
    <xf numFmtId="0" fontId="16" fillId="5" borderId="25" xfId="0" applyFont="1" applyFill="1" applyBorder="1"/>
    <xf numFmtId="165" fontId="4" fillId="5" borderId="0" xfId="0" applyNumberFormat="1" applyFont="1" applyFill="1" applyAlignment="1">
      <alignment horizontal="right"/>
    </xf>
    <xf numFmtId="164" fontId="16" fillId="5" borderId="109" xfId="0" applyNumberFormat="1" applyFont="1" applyFill="1" applyBorder="1" applyAlignment="1">
      <alignment horizontal="right" vertical="center"/>
    </xf>
    <xf numFmtId="0" fontId="16" fillId="5" borderId="25" xfId="0" applyFont="1" applyFill="1" applyBorder="1" applyAlignment="1">
      <alignment horizontal="left" vertical="center"/>
    </xf>
    <xf numFmtId="164" fontId="4" fillId="5" borderId="25" xfId="0" applyNumberFormat="1" applyFont="1" applyFill="1" applyBorder="1" applyAlignment="1">
      <alignment horizontal="center" vertical="center"/>
    </xf>
    <xf numFmtId="0" fontId="4" fillId="5" borderId="0" xfId="0" applyFont="1" applyFill="1" applyAlignment="1">
      <alignment horizontal="right" vertical="top" wrapText="1"/>
    </xf>
    <xf numFmtId="165" fontId="4" fillId="5" borderId="0" xfId="0" applyNumberFormat="1" applyFont="1" applyFill="1"/>
    <xf numFmtId="1" fontId="59" fillId="5" borderId="0" xfId="0" applyNumberFormat="1" applyFont="1" applyFill="1" applyAlignment="1">
      <alignment horizontal="center" vertical="top"/>
    </xf>
    <xf numFmtId="1" fontId="8" fillId="5" borderId="0" xfId="0" applyNumberFormat="1" applyFont="1" applyFill="1" applyAlignment="1">
      <alignment horizontal="center" vertical="top"/>
    </xf>
    <xf numFmtId="186" fontId="59" fillId="5" borderId="0" xfId="0" applyNumberFormat="1" applyFont="1" applyFill="1" applyAlignment="1">
      <alignment horizontal="center" vertical="top"/>
    </xf>
    <xf numFmtId="0" fontId="13" fillId="5" borderId="0" xfId="0" applyFont="1" applyFill="1" applyAlignment="1">
      <alignment horizontal="left" vertical="top"/>
    </xf>
    <xf numFmtId="181" fontId="59" fillId="5" borderId="0" xfId="0" applyNumberFormat="1" applyFont="1" applyFill="1" applyAlignment="1">
      <alignment horizontal="center" vertical="top"/>
    </xf>
    <xf numFmtId="165" fontId="59" fillId="5" borderId="0" xfId="0" applyNumberFormat="1" applyFont="1" applyFill="1" applyAlignment="1">
      <alignment horizontal="center" vertical="top"/>
    </xf>
    <xf numFmtId="171" fontId="59" fillId="5" borderId="0" xfId="0" applyNumberFormat="1" applyFont="1" applyFill="1" applyAlignment="1">
      <alignment horizontal="center" vertical="top"/>
    </xf>
    <xf numFmtId="167" fontId="8" fillId="5" borderId="25" xfId="0" applyNumberFormat="1" applyFont="1" applyFill="1" applyBorder="1" applyAlignment="1">
      <alignment horizontal="right" vertical="top"/>
    </xf>
    <xf numFmtId="165" fontId="12" fillId="5" borderId="0" xfId="0" applyNumberFormat="1" applyFont="1" applyFill="1" applyAlignment="1">
      <alignment horizontal="right"/>
    </xf>
    <xf numFmtId="0" fontId="9" fillId="5" borderId="0" xfId="0" applyFont="1" applyFill="1"/>
    <xf numFmtId="0" fontId="8" fillId="5" borderId="0" xfId="0" applyFont="1" applyFill="1" applyAlignment="1">
      <alignment vertical="top" wrapText="1"/>
    </xf>
    <xf numFmtId="0" fontId="12" fillId="5" borderId="0" xfId="0" applyFont="1" applyFill="1" applyAlignment="1">
      <alignment horizontal="left" vertical="top"/>
    </xf>
    <xf numFmtId="0" fontId="12" fillId="5" borderId="0" xfId="0" applyFont="1" applyFill="1" applyAlignment="1">
      <alignment horizontal="center" vertical="top"/>
    </xf>
    <xf numFmtId="0" fontId="69" fillId="5" borderId="0" xfId="0" applyFont="1" applyFill="1" applyAlignment="1">
      <alignment horizontal="center" vertical="top"/>
    </xf>
    <xf numFmtId="3" fontId="59" fillId="5" borderId="0" xfId="0" applyNumberFormat="1" applyFont="1" applyFill="1" applyAlignment="1">
      <alignment horizontal="center" vertical="top" wrapText="1"/>
    </xf>
    <xf numFmtId="214" fontId="8" fillId="5" borderId="0" xfId="0" applyNumberFormat="1" applyFont="1" applyFill="1"/>
    <xf numFmtId="214" fontId="8" fillId="5" borderId="0" xfId="0" applyNumberFormat="1" applyFont="1" applyFill="1" applyAlignment="1">
      <alignment horizontal="left" vertical="top"/>
    </xf>
    <xf numFmtId="214" fontId="8" fillId="5" borderId="0" xfId="0" applyNumberFormat="1" applyFont="1" applyFill="1" applyAlignment="1">
      <alignment horizontal="center" vertical="top"/>
    </xf>
    <xf numFmtId="164" fontId="16" fillId="5" borderId="25" xfId="0" applyNumberFormat="1" applyFont="1" applyFill="1" applyBorder="1"/>
    <xf numFmtId="165" fontId="16" fillId="5" borderId="25" xfId="0" applyNumberFormat="1" applyFont="1" applyFill="1" applyBorder="1"/>
    <xf numFmtId="0" fontId="45" fillId="5" borderId="0" xfId="0" applyFont="1" applyFill="1"/>
    <xf numFmtId="205" fontId="45" fillId="5" borderId="31" xfId="0" applyNumberFormat="1" applyFont="1" applyFill="1" applyBorder="1" applyAlignment="1">
      <alignment horizontal="right"/>
    </xf>
    <xf numFmtId="205" fontId="51" fillId="5" borderId="31" xfId="0" applyNumberFormat="1" applyFont="1" applyFill="1" applyBorder="1" applyAlignment="1">
      <alignment horizontal="right"/>
    </xf>
    <xf numFmtId="0" fontId="84" fillId="3" borderId="0" xfId="0" applyFont="1" applyFill="1" applyAlignment="1">
      <alignment horizontal="center"/>
    </xf>
    <xf numFmtId="165" fontId="8" fillId="6" borderId="19" xfId="0" applyNumberFormat="1" applyFont="1" applyFill="1" applyBorder="1" applyAlignment="1">
      <alignment horizontal="right"/>
    </xf>
    <xf numFmtId="174" fontId="8" fillId="2" borderId="25" xfId="0" applyNumberFormat="1" applyFont="1" applyFill="1" applyBorder="1" applyAlignment="1">
      <alignment horizontal="left" vertical="center"/>
    </xf>
    <xf numFmtId="0" fontId="8" fillId="2" borderId="25" xfId="0" applyFont="1" applyFill="1" applyBorder="1" applyAlignment="1">
      <alignment horizontal="left" vertical="center"/>
    </xf>
    <xf numFmtId="0" fontId="8" fillId="2" borderId="25" xfId="0" applyFont="1" applyFill="1" applyBorder="1" applyAlignment="1">
      <alignment horizontal="right" vertical="center"/>
    </xf>
    <xf numFmtId="167" fontId="8" fillId="2" borderId="25" xfId="0" applyNumberFormat="1" applyFont="1" applyFill="1" applyBorder="1" applyAlignment="1">
      <alignment horizontal="right" vertical="center"/>
    </xf>
    <xf numFmtId="165" fontId="8" fillId="2" borderId="25" xfId="0" applyNumberFormat="1" applyFont="1" applyFill="1" applyBorder="1" applyAlignment="1">
      <alignment horizontal="right" vertical="center"/>
    </xf>
    <xf numFmtId="10" fontId="8" fillId="2" borderId="25" xfId="0" applyNumberFormat="1" applyFont="1" applyFill="1" applyBorder="1" applyAlignment="1">
      <alignment horizontal="right" vertical="center"/>
    </xf>
    <xf numFmtId="3" fontId="8" fillId="2" borderId="25" xfId="0" applyNumberFormat="1" applyFont="1" applyFill="1" applyBorder="1" applyAlignment="1">
      <alignment horizontal="right" vertical="center"/>
    </xf>
    <xf numFmtId="0" fontId="8" fillId="2" borderId="117" xfId="0" applyFont="1" applyFill="1" applyBorder="1" applyAlignment="1">
      <alignment horizontal="left" vertical="top"/>
    </xf>
    <xf numFmtId="174" fontId="8" fillId="2" borderId="117" xfId="0" applyNumberFormat="1" applyFont="1" applyFill="1" applyBorder="1" applyAlignment="1">
      <alignment horizontal="left" vertical="top"/>
    </xf>
    <xf numFmtId="1" fontId="8" fillId="2" borderId="117" xfId="0" applyNumberFormat="1" applyFont="1" applyFill="1" applyBorder="1" applyAlignment="1">
      <alignment horizontal="right" vertical="top"/>
    </xf>
    <xf numFmtId="0" fontId="8" fillId="2" borderId="117" xfId="0" applyFont="1" applyFill="1" applyBorder="1" applyAlignment="1">
      <alignment horizontal="right" vertical="top"/>
    </xf>
    <xf numFmtId="165" fontId="8" fillId="2" borderId="117" xfId="0" applyNumberFormat="1" applyFont="1" applyFill="1" applyBorder="1" applyAlignment="1">
      <alignment horizontal="right" vertical="top"/>
    </xf>
    <xf numFmtId="10" fontId="8" fillId="2" borderId="117" xfId="0" applyNumberFormat="1" applyFont="1" applyFill="1" applyBorder="1" applyAlignment="1">
      <alignment horizontal="right" vertical="top"/>
    </xf>
    <xf numFmtId="3" fontId="8" fillId="2" borderId="117" xfId="0" applyNumberFormat="1" applyFont="1" applyFill="1" applyBorder="1" applyAlignment="1">
      <alignment horizontal="right" vertical="top"/>
    </xf>
    <xf numFmtId="214" fontId="8" fillId="5" borderId="19" xfId="0" applyNumberFormat="1" applyFont="1" applyFill="1" applyBorder="1" applyAlignment="1">
      <alignment horizontal="right"/>
    </xf>
    <xf numFmtId="0" fontId="8" fillId="4" borderId="0" xfId="0" applyFont="1" applyFill="1" applyAlignment="1">
      <alignment horizontal="left"/>
    </xf>
    <xf numFmtId="167" fontId="8" fillId="2" borderId="0" xfId="0" applyNumberFormat="1" applyFont="1" applyFill="1" applyAlignment="1">
      <alignment horizontal="left"/>
    </xf>
    <xf numFmtId="167" fontId="8" fillId="4" borderId="0" xfId="0" applyNumberFormat="1" applyFont="1" applyFill="1" applyAlignment="1">
      <alignment horizontal="left"/>
    </xf>
    <xf numFmtId="8" fontId="8" fillId="4" borderId="0" xfId="0" applyNumberFormat="1" applyFont="1" applyFill="1" applyAlignment="1">
      <alignment horizontal="right"/>
    </xf>
    <xf numFmtId="8" fontId="8" fillId="2" borderId="0" xfId="0" applyNumberFormat="1" applyFont="1" applyFill="1" applyAlignment="1">
      <alignment horizontal="right"/>
    </xf>
    <xf numFmtId="0" fontId="8" fillId="6" borderId="0" xfId="0" applyFont="1" applyFill="1" applyAlignment="1">
      <alignment horizontal="left" wrapText="1"/>
    </xf>
    <xf numFmtId="0" fontId="8" fillId="6" borderId="0" xfId="0" applyFont="1" applyFill="1" applyAlignment="1">
      <alignment horizontal="left"/>
    </xf>
    <xf numFmtId="220" fontId="8" fillId="6" borderId="0" xfId="0" applyNumberFormat="1" applyFont="1" applyFill="1" applyAlignment="1">
      <alignment horizontal="left" wrapText="1"/>
    </xf>
    <xf numFmtId="213" fontId="8" fillId="6" borderId="0" xfId="0" applyNumberFormat="1" applyFont="1" applyFill="1" applyAlignment="1">
      <alignment horizontal="left" wrapText="1"/>
    </xf>
    <xf numFmtId="0" fontId="8" fillId="3" borderId="0" xfId="0" applyFont="1" applyFill="1" applyAlignment="1">
      <alignment horizontal="left" wrapText="1"/>
    </xf>
    <xf numFmtId="0" fontId="8" fillId="6" borderId="10" xfId="0" applyFont="1" applyFill="1" applyBorder="1" applyAlignment="1">
      <alignment horizontal="left"/>
    </xf>
    <xf numFmtId="0" fontId="8" fillId="6" borderId="10" xfId="0" applyFont="1" applyFill="1" applyBorder="1" applyAlignment="1">
      <alignment horizontal="left" wrapText="1"/>
    </xf>
    <xf numFmtId="0" fontId="78" fillId="3" borderId="0" xfId="0" applyFont="1" applyFill="1" applyAlignment="1">
      <alignment horizontal="center"/>
    </xf>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0" fillId="3" borderId="0" xfId="0" applyFill="1" applyAlignment="1">
      <alignment horizontal="right"/>
    </xf>
    <xf numFmtId="0" fontId="0" fillId="2" borderId="7" xfId="0" applyFill="1" applyBorder="1" applyAlignment="1">
      <alignment horizontal="right"/>
    </xf>
    <xf numFmtId="0" fontId="0" fillId="2" borderId="0" xfId="0" applyFill="1" applyAlignment="1">
      <alignment horizontal="right"/>
    </xf>
    <xf numFmtId="0" fontId="0" fillId="2" borderId="12" xfId="0" applyFill="1" applyBorder="1" applyAlignment="1">
      <alignment horizontal="right"/>
    </xf>
    <xf numFmtId="0" fontId="63" fillId="3" borderId="0" xfId="0" applyFont="1" applyFill="1"/>
    <xf numFmtId="0" fontId="63" fillId="2" borderId="7" xfId="0" applyFont="1" applyFill="1" applyBorder="1"/>
    <xf numFmtId="165" fontId="4" fillId="2" borderId="18" xfId="0" applyNumberFormat="1" applyFont="1" applyFill="1" applyBorder="1" applyAlignment="1">
      <alignment horizontal="center"/>
    </xf>
    <xf numFmtId="165" fontId="4" fillId="2" borderId="4" xfId="0" applyNumberFormat="1" applyFont="1" applyFill="1" applyBorder="1" applyAlignment="1">
      <alignment horizontal="center"/>
    </xf>
    <xf numFmtId="165" fontId="4" fillId="2" borderId="5" xfId="0" applyNumberFormat="1" applyFont="1" applyFill="1" applyBorder="1" applyAlignment="1">
      <alignment horizontal="center"/>
    </xf>
    <xf numFmtId="167" fontId="4" fillId="6" borderId="0" xfId="0" applyNumberFormat="1" applyFont="1" applyFill="1" applyAlignment="1">
      <alignment horizontal="center"/>
    </xf>
    <xf numFmtId="165" fontId="4" fillId="2" borderId="3" xfId="0" applyNumberFormat="1" applyFont="1" applyFill="1" applyBorder="1" applyAlignment="1">
      <alignment horizontal="center"/>
    </xf>
    <xf numFmtId="10" fontId="4" fillId="2" borderId="34" xfId="0" applyNumberFormat="1" applyFont="1" applyFill="1" applyBorder="1" applyAlignment="1">
      <alignment horizontal="center"/>
    </xf>
    <xf numFmtId="165" fontId="4" fillId="2" borderId="1" xfId="0" applyNumberFormat="1" applyFont="1" applyFill="1" applyBorder="1" applyAlignment="1">
      <alignment horizontal="center"/>
    </xf>
    <xf numFmtId="226" fontId="11" fillId="3" borderId="0" xfId="0" applyNumberFormat="1" applyFont="1" applyFill="1"/>
    <xf numFmtId="0" fontId="0" fillId="2" borderId="29" xfId="0" applyFill="1" applyBorder="1"/>
    <xf numFmtId="0" fontId="0" fillId="2" borderId="29" xfId="0" applyFill="1" applyBorder="1" applyAlignment="1">
      <alignment horizontal="right"/>
    </xf>
    <xf numFmtId="0" fontId="0" fillId="6" borderId="0" xfId="0" applyFill="1"/>
    <xf numFmtId="227" fontId="4" fillId="6" borderId="0" xfId="0" applyNumberFormat="1" applyFont="1" applyFill="1"/>
    <xf numFmtId="227" fontId="0" fillId="6" borderId="0" xfId="0" applyNumberFormat="1" applyFill="1" applyAlignment="1">
      <alignment horizontal="right"/>
    </xf>
    <xf numFmtId="0" fontId="0" fillId="6" borderId="0" xfId="0" applyFill="1" applyAlignment="1">
      <alignment horizontal="right"/>
    </xf>
    <xf numFmtId="165" fontId="4" fillId="6" borderId="31" xfId="0" applyNumberFormat="1" applyFont="1" applyFill="1" applyBorder="1"/>
    <xf numFmtId="165" fontId="16" fillId="6" borderId="33" xfId="0" applyNumberFormat="1" applyFont="1" applyFill="1" applyBorder="1" applyAlignment="1">
      <alignment horizontal="right"/>
    </xf>
    <xf numFmtId="0" fontId="0" fillId="5" borderId="0" xfId="0" applyFill="1"/>
    <xf numFmtId="165" fontId="0" fillId="6" borderId="0" xfId="1" applyNumberFormat="1" applyFont="1" applyFill="1" applyBorder="1" applyAlignment="1">
      <alignment horizontal="right"/>
    </xf>
    <xf numFmtId="165" fontId="0" fillId="6" borderId="0" xfId="1" applyNumberFormat="1" applyFont="1" applyFill="1" applyBorder="1"/>
    <xf numFmtId="0" fontId="62" fillId="3" borderId="0" xfId="0" applyFont="1" applyFill="1" applyAlignment="1">
      <alignment horizontal="center" vertical="top"/>
    </xf>
    <xf numFmtId="0" fontId="4" fillId="2" borderId="112" xfId="0" applyFont="1" applyFill="1" applyBorder="1" applyAlignment="1">
      <alignment horizontal="center"/>
    </xf>
    <xf numFmtId="0" fontId="4" fillId="2" borderId="114" xfId="0" applyFont="1" applyFill="1" applyBorder="1"/>
    <xf numFmtId="0" fontId="0" fillId="2" borderId="113" xfId="0" applyFill="1" applyBorder="1" applyAlignment="1">
      <alignment horizontal="left" indent="1"/>
    </xf>
    <xf numFmtId="0" fontId="0" fillId="5" borderId="0" xfId="0" applyFill="1" applyAlignment="1">
      <alignment horizontal="left" indent="1"/>
    </xf>
    <xf numFmtId="167" fontId="4" fillId="2" borderId="114" xfId="0" applyNumberFormat="1" applyFont="1" applyFill="1" applyBorder="1" applyAlignment="1">
      <alignment horizontal="right"/>
    </xf>
    <xf numFmtId="0" fontId="0" fillId="3" borderId="0" xfId="0" applyFill="1" applyAlignment="1">
      <alignment horizontal="center"/>
    </xf>
    <xf numFmtId="0" fontId="0" fillId="2" borderId="7" xfId="0" applyFill="1" applyBorder="1" applyAlignment="1">
      <alignment horizontal="center"/>
    </xf>
    <xf numFmtId="0" fontId="0" fillId="2" borderId="12" xfId="0" applyFill="1" applyBorder="1" applyAlignment="1">
      <alignment horizontal="center"/>
    </xf>
    <xf numFmtId="0" fontId="0" fillId="3" borderId="0" xfId="0" applyFill="1" applyAlignment="1">
      <alignment vertical="center"/>
    </xf>
    <xf numFmtId="0" fontId="0" fillId="2" borderId="10" xfId="0" applyFill="1" applyBorder="1" applyAlignment="1">
      <alignment vertical="center"/>
    </xf>
    <xf numFmtId="0" fontId="4" fillId="5" borderId="25" xfId="0" applyFont="1" applyFill="1" applyBorder="1" applyAlignment="1">
      <alignment horizontal="center" vertical="center"/>
    </xf>
    <xf numFmtId="10" fontId="8" fillId="6" borderId="25" xfId="1" applyNumberFormat="1" applyFont="1" applyFill="1" applyBorder="1" applyAlignment="1">
      <alignment horizontal="center" vertical="center"/>
    </xf>
    <xf numFmtId="0" fontId="0" fillId="5" borderId="4" xfId="0" applyFill="1" applyBorder="1" applyAlignment="1">
      <alignment horizontal="center"/>
    </xf>
    <xf numFmtId="0" fontId="0" fillId="5" borderId="5" xfId="0" applyFill="1" applyBorder="1" applyAlignment="1">
      <alignment horizontal="center"/>
    </xf>
    <xf numFmtId="165" fontId="4" fillId="2" borderId="115" xfId="0" applyNumberFormat="1" applyFont="1" applyFill="1" applyBorder="1" applyAlignment="1">
      <alignment horizontal="right"/>
    </xf>
    <xf numFmtId="165" fontId="4" fillId="2" borderId="118" xfId="0" applyNumberFormat="1" applyFont="1" applyFill="1" applyBorder="1" applyAlignment="1">
      <alignment horizontal="right"/>
    </xf>
    <xf numFmtId="165" fontId="4" fillId="2" borderId="119" xfId="0" applyNumberFormat="1" applyFont="1" applyFill="1" applyBorder="1" applyAlignment="1">
      <alignment horizontal="right"/>
    </xf>
    <xf numFmtId="0" fontId="0" fillId="4" borderId="0" xfId="0" applyFill="1" applyAlignment="1">
      <alignment horizontal="left" indent="1"/>
    </xf>
    <xf numFmtId="0" fontId="0" fillId="4" borderId="4" xfId="0" applyFill="1" applyBorder="1" applyAlignment="1">
      <alignment horizontal="center"/>
    </xf>
    <xf numFmtId="164" fontId="8" fillId="5" borderId="5" xfId="0" applyNumberFormat="1" applyFont="1" applyFill="1" applyBorder="1" applyAlignment="1">
      <alignment horizontal="center" vertical="center"/>
    </xf>
    <xf numFmtId="165" fontId="0" fillId="6" borderId="0" xfId="0" applyNumberFormat="1" applyFill="1" applyAlignment="1">
      <alignment horizontal="center"/>
    </xf>
    <xf numFmtId="0" fontId="0" fillId="3" borderId="0" xfId="0" applyFill="1" applyAlignment="1">
      <alignment horizontal="center" vertical="center"/>
    </xf>
    <xf numFmtId="164" fontId="0" fillId="6" borderId="0" xfId="0" applyNumberFormat="1" applyFill="1" applyAlignment="1">
      <alignment horizontal="right"/>
    </xf>
    <xf numFmtId="164" fontId="0" fillId="5" borderId="0" xfId="0" applyNumberFormat="1" applyFill="1" applyAlignment="1">
      <alignment horizontal="right"/>
    </xf>
    <xf numFmtId="174" fontId="0" fillId="6" borderId="0" xfId="0" applyNumberFormat="1" applyFill="1"/>
    <xf numFmtId="172" fontId="0" fillId="6" borderId="0" xfId="0" applyNumberFormat="1" applyFill="1" applyAlignment="1">
      <alignment horizontal="center"/>
    </xf>
    <xf numFmtId="229" fontId="0" fillId="6" borderId="0" xfId="0" applyNumberFormat="1" applyFill="1" applyAlignment="1">
      <alignment horizontal="center"/>
    </xf>
    <xf numFmtId="213" fontId="0" fillId="6" borderId="0" xfId="0" applyNumberFormat="1" applyFill="1"/>
    <xf numFmtId="0" fontId="0" fillId="6" borderId="78" xfId="0" applyFill="1" applyBorder="1"/>
    <xf numFmtId="0" fontId="0" fillId="6" borderId="78" xfId="0" applyFill="1" applyBorder="1" applyAlignment="1">
      <alignment horizontal="center"/>
    </xf>
    <xf numFmtId="0" fontId="0" fillId="6" borderId="78" xfId="0" applyFill="1" applyBorder="1" applyAlignment="1">
      <alignment horizontal="right"/>
    </xf>
    <xf numFmtId="165" fontId="0" fillId="6" borderId="78" xfId="0" applyNumberFormat="1" applyFill="1" applyBorder="1" applyAlignment="1">
      <alignment horizontal="center"/>
    </xf>
    <xf numFmtId="0" fontId="0" fillId="6" borderId="0" xfId="0" applyFill="1" applyAlignment="1">
      <alignment horizontal="center"/>
    </xf>
    <xf numFmtId="0" fontId="0" fillId="6" borderId="25" xfId="0" applyFill="1" applyBorder="1"/>
    <xf numFmtId="0" fontId="0" fillId="6" borderId="25" xfId="0" applyFill="1" applyBorder="1" applyAlignment="1">
      <alignment horizontal="center"/>
    </xf>
    <xf numFmtId="0" fontId="0" fillId="6" borderId="25" xfId="0" applyFill="1" applyBorder="1" applyAlignment="1">
      <alignment horizontal="right"/>
    </xf>
    <xf numFmtId="165" fontId="0" fillId="6" borderId="25" xfId="0" applyNumberFormat="1" applyFill="1" applyBorder="1" applyAlignment="1">
      <alignment horizontal="center"/>
    </xf>
    <xf numFmtId="167" fontId="9" fillId="3" borderId="0" xfId="0" applyNumberFormat="1" applyFont="1" applyFill="1"/>
    <xf numFmtId="1" fontId="8" fillId="2" borderId="0" xfId="0" applyNumberFormat="1" applyFont="1" applyFill="1" applyAlignment="1">
      <alignment horizontal="left"/>
    </xf>
    <xf numFmtId="0" fontId="4" fillId="3" borderId="0" xfId="0" applyFont="1" applyFill="1" applyAlignment="1">
      <alignment horizontal="right" vertical="top"/>
    </xf>
    <xf numFmtId="0" fontId="24" fillId="3" borderId="0" xfId="0" applyFont="1" applyFill="1" applyAlignment="1">
      <alignment horizontal="right"/>
    </xf>
    <xf numFmtId="0" fontId="26" fillId="3" borderId="0" xfId="0" applyFont="1" applyFill="1" applyAlignment="1">
      <alignment horizontal="left" vertical="center"/>
    </xf>
    <xf numFmtId="0" fontId="11" fillId="3" borderId="120" xfId="0" applyFont="1" applyFill="1" applyBorder="1" applyAlignment="1">
      <alignment horizontal="center" wrapText="1"/>
    </xf>
    <xf numFmtId="0" fontId="8" fillId="4" borderId="121" xfId="0" applyFont="1" applyFill="1" applyBorder="1" applyAlignment="1">
      <alignment horizontal="center" wrapText="1"/>
    </xf>
    <xf numFmtId="0" fontId="8" fillId="4" borderId="4" xfId="0" applyFont="1" applyFill="1" applyBorder="1" applyAlignment="1">
      <alignment horizontal="center"/>
    </xf>
    <xf numFmtId="49" fontId="8" fillId="4" borderId="5" xfId="0" applyNumberFormat="1" applyFont="1" applyFill="1" applyBorder="1" applyAlignment="1">
      <alignment horizontal="center"/>
    </xf>
    <xf numFmtId="49" fontId="0" fillId="2" borderId="0" xfId="0" applyNumberFormat="1" applyFill="1" applyAlignment="1">
      <alignment horizontal="center"/>
    </xf>
    <xf numFmtId="0" fontId="4" fillId="2" borderId="0" xfId="0" applyFont="1" applyFill="1" applyAlignment="1">
      <alignment horizontal="left" vertical="top"/>
    </xf>
    <xf numFmtId="0" fontId="4" fillId="2" borderId="12" xfId="0" applyFont="1" applyFill="1" applyBorder="1" applyAlignment="1">
      <alignment horizontal="left" vertical="top"/>
    </xf>
    <xf numFmtId="0" fontId="4" fillId="2" borderId="9" xfId="0" applyFont="1" applyFill="1" applyBorder="1" applyAlignment="1">
      <alignment horizontal="left" vertical="top"/>
    </xf>
    <xf numFmtId="0" fontId="4" fillId="3" borderId="9" xfId="0" applyFont="1" applyFill="1" applyBorder="1" applyAlignment="1">
      <alignment horizontal="left" vertical="top"/>
    </xf>
    <xf numFmtId="0" fontId="80" fillId="3" borderId="0" xfId="0" applyFont="1" applyFill="1" applyAlignment="1">
      <alignment horizontal="left" vertical="top"/>
    </xf>
    <xf numFmtId="0" fontId="4" fillId="3" borderId="0" xfId="0" applyFont="1" applyFill="1" applyAlignment="1">
      <alignment horizontal="left" vertical="top"/>
    </xf>
    <xf numFmtId="0" fontId="4" fillId="2" borderId="11" xfId="0" applyFont="1" applyFill="1" applyBorder="1" applyAlignment="1">
      <alignment horizontal="left" vertical="top"/>
    </xf>
    <xf numFmtId="0" fontId="6" fillId="2" borderId="0" xfId="0" applyFont="1" applyFill="1" applyAlignment="1">
      <alignment horizontal="left" vertical="top" indent="1"/>
    </xf>
    <xf numFmtId="0" fontId="6" fillId="2" borderId="12" xfId="0" applyFont="1" applyFill="1" applyBorder="1" applyAlignment="1">
      <alignment horizontal="left" vertical="top" indent="1"/>
    </xf>
    <xf numFmtId="0" fontId="63" fillId="2" borderId="42" xfId="0" applyFont="1" applyFill="1" applyBorder="1" applyAlignment="1">
      <alignment horizontal="left" vertical="center"/>
    </xf>
    <xf numFmtId="165" fontId="4" fillId="2" borderId="112" xfId="0" applyNumberFormat="1" applyFont="1" applyFill="1" applyBorder="1" applyAlignment="1">
      <alignment horizontal="center"/>
    </xf>
    <xf numFmtId="222" fontId="4" fillId="6" borderId="0" xfId="0" applyNumberFormat="1" applyFont="1" applyFill="1" applyAlignment="1">
      <alignment horizontal="center"/>
    </xf>
    <xf numFmtId="165" fontId="9" fillId="5" borderId="0" xfId="1" applyNumberFormat="1" applyFont="1" applyFill="1" applyBorder="1" applyAlignment="1">
      <alignment horizontal="right"/>
    </xf>
    <xf numFmtId="10" fontId="8" fillId="3" borderId="0" xfId="1" applyNumberFormat="1" applyFont="1" applyFill="1" applyBorder="1" applyAlignment="1" applyProtection="1">
      <alignment horizontal="center"/>
      <protection locked="0"/>
    </xf>
    <xf numFmtId="164" fontId="4" fillId="2" borderId="25" xfId="0" applyNumberFormat="1" applyFont="1" applyFill="1" applyBorder="1" applyAlignment="1">
      <alignment horizontal="right"/>
    </xf>
    <xf numFmtId="167" fontId="0" fillId="2" borderId="25" xfId="0" applyNumberFormat="1" applyFill="1" applyBorder="1" applyAlignment="1">
      <alignment horizontal="right"/>
    </xf>
    <xf numFmtId="0" fontId="0" fillId="2" borderId="25" xfId="0" applyFill="1" applyBorder="1" applyAlignment="1">
      <alignment horizontal="center"/>
    </xf>
    <xf numFmtId="171" fontId="4" fillId="2" borderId="25" xfId="0" applyNumberFormat="1" applyFont="1" applyFill="1" applyBorder="1" applyAlignment="1">
      <alignment horizontal="center" vertical="top"/>
    </xf>
    <xf numFmtId="165" fontId="4" fillId="2" borderId="31" xfId="0" applyNumberFormat="1" applyFont="1" applyFill="1" applyBorder="1"/>
    <xf numFmtId="166" fontId="4" fillId="6" borderId="0" xfId="0" applyNumberFormat="1" applyFont="1" applyFill="1" applyAlignment="1">
      <alignment horizontal="left"/>
    </xf>
    <xf numFmtId="218" fontId="11" fillId="3" borderId="0" xfId="0" applyNumberFormat="1" applyFont="1" applyFill="1"/>
    <xf numFmtId="231" fontId="11" fillId="3" borderId="0" xfId="0" applyNumberFormat="1" applyFont="1" applyFill="1" applyAlignment="1">
      <alignment horizontal="right"/>
    </xf>
    <xf numFmtId="220" fontId="4" fillId="5" borderId="0" xfId="0" applyNumberFormat="1" applyFont="1" applyFill="1" applyAlignment="1">
      <alignment horizontal="left" vertical="center"/>
    </xf>
    <xf numFmtId="220" fontId="11" fillId="3" borderId="0" xfId="0" applyNumberFormat="1" applyFont="1" applyFill="1" applyAlignment="1">
      <alignment horizontal="right"/>
    </xf>
    <xf numFmtId="167" fontId="4" fillId="5" borderId="31" xfId="0" applyNumberFormat="1" applyFont="1" applyFill="1" applyBorder="1" applyAlignment="1">
      <alignment horizontal="right"/>
    </xf>
    <xf numFmtId="167" fontId="4" fillId="5" borderId="33" xfId="0" applyNumberFormat="1" applyFont="1" applyFill="1" applyBorder="1" applyAlignment="1">
      <alignment horizontal="right"/>
    </xf>
    <xf numFmtId="3" fontId="0" fillId="5" borderId="0" xfId="0" applyNumberFormat="1" applyFill="1" applyAlignment="1">
      <alignment horizontal="left"/>
    </xf>
    <xf numFmtId="0" fontId="0" fillId="5" borderId="0" xfId="0" applyFill="1" applyAlignment="1">
      <alignment vertical="center"/>
    </xf>
    <xf numFmtId="166" fontId="0" fillId="5" borderId="0" xfId="0" applyNumberFormat="1" applyFill="1" applyAlignment="1">
      <alignment vertical="top" wrapText="1"/>
    </xf>
    <xf numFmtId="164" fontId="0" fillId="5" borderId="0" xfId="0" applyNumberFormat="1" applyFill="1" applyAlignment="1">
      <alignment horizontal="left"/>
    </xf>
    <xf numFmtId="220" fontId="0" fillId="5" borderId="0" xfId="0" applyNumberFormat="1" applyFill="1" applyAlignment="1">
      <alignment horizontal="left" vertical="top"/>
    </xf>
    <xf numFmtId="231" fontId="8" fillId="5" borderId="0" xfId="0" applyNumberFormat="1" applyFont="1" applyFill="1" applyAlignment="1">
      <alignment horizontal="right"/>
    </xf>
    <xf numFmtId="167" fontId="0" fillId="5" borderId="0" xfId="0" applyNumberFormat="1" applyFill="1" applyAlignment="1">
      <alignment horizontal="right"/>
    </xf>
    <xf numFmtId="164" fontId="4" fillId="5" borderId="25" xfId="0" applyNumberFormat="1" applyFont="1" applyFill="1" applyBorder="1" applyAlignment="1">
      <alignment horizontal="right"/>
    </xf>
    <xf numFmtId="165" fontId="0" fillId="6" borderId="0" xfId="0" applyNumberFormat="1" applyFill="1" applyAlignment="1">
      <alignment horizontal="right"/>
    </xf>
    <xf numFmtId="0" fontId="0" fillId="4" borderId="9" xfId="0" applyFill="1" applyBorder="1" applyAlignment="1">
      <alignment horizontal="left"/>
    </xf>
    <xf numFmtId="0" fontId="0" fillId="4" borderId="11" xfId="0" applyFill="1" applyBorder="1" applyAlignment="1">
      <alignment horizontal="left"/>
    </xf>
    <xf numFmtId="165" fontId="4" fillId="6" borderId="25" xfId="0" applyNumberFormat="1" applyFont="1" applyFill="1" applyBorder="1" applyAlignment="1">
      <alignment horizontal="left" vertical="center"/>
    </xf>
    <xf numFmtId="0" fontId="4" fillId="6" borderId="12" xfId="0" applyFont="1" applyFill="1" applyBorder="1"/>
    <xf numFmtId="0" fontId="0" fillId="5" borderId="25" xfId="0" applyFill="1" applyBorder="1" applyAlignment="1">
      <alignment horizontal="left"/>
    </xf>
    <xf numFmtId="0" fontId="6" fillId="6" borderId="12" xfId="0" applyFont="1" applyFill="1" applyBorder="1"/>
    <xf numFmtId="0" fontId="4" fillId="6" borderId="12" xfId="0" applyFont="1" applyFill="1" applyBorder="1" applyAlignment="1">
      <alignment horizontal="right"/>
    </xf>
    <xf numFmtId="165" fontId="4" fillId="5" borderId="0" xfId="0" applyNumberFormat="1" applyFont="1" applyFill="1" applyAlignment="1">
      <alignment horizontal="left"/>
    </xf>
    <xf numFmtId="0" fontId="4" fillId="5" borderId="0" xfId="0" applyFont="1" applyFill="1" applyAlignment="1">
      <alignment horizontal="left"/>
    </xf>
    <xf numFmtId="227" fontId="8" fillId="2" borderId="0" xfId="0" applyNumberFormat="1" applyFont="1" applyFill="1" applyAlignment="1">
      <alignment horizontal="right" vertical="top"/>
    </xf>
    <xf numFmtId="0" fontId="12" fillId="2" borderId="14" xfId="0" applyFont="1" applyFill="1" applyBorder="1" applyAlignment="1">
      <alignment horizontal="center"/>
    </xf>
    <xf numFmtId="4" fontId="4" fillId="2" borderId="0" xfId="0" applyNumberFormat="1" applyFont="1" applyFill="1" applyAlignment="1">
      <alignment horizontal="left"/>
    </xf>
    <xf numFmtId="0" fontId="8" fillId="2" borderId="9" xfId="0" applyFont="1" applyFill="1" applyBorder="1" applyAlignment="1">
      <alignment vertical="center"/>
    </xf>
    <xf numFmtId="0" fontId="8" fillId="2" borderId="10" xfId="0" applyFont="1" applyFill="1" applyBorder="1" applyAlignment="1">
      <alignment vertical="center"/>
    </xf>
    <xf numFmtId="0" fontId="30" fillId="2" borderId="0" xfId="0" applyFont="1" applyFill="1" applyAlignment="1">
      <alignment horizontal="right" vertical="center"/>
    </xf>
    <xf numFmtId="167" fontId="30" fillId="2" borderId="0" xfId="0" applyNumberFormat="1" applyFont="1" applyFill="1" applyAlignment="1">
      <alignment horizontal="right" vertical="top"/>
    </xf>
    <xf numFmtId="165" fontId="30" fillId="2" borderId="0" xfId="0" applyNumberFormat="1" applyFont="1" applyFill="1" applyAlignment="1">
      <alignment horizontal="right" vertical="top"/>
    </xf>
    <xf numFmtId="164" fontId="30" fillId="2" borderId="0" xfId="0" applyNumberFormat="1" applyFont="1" applyFill="1" applyAlignment="1">
      <alignment horizontal="right" vertical="top"/>
    </xf>
    <xf numFmtId="232" fontId="8" fillId="2" borderId="117" xfId="0" applyNumberFormat="1" applyFont="1" applyFill="1" applyBorder="1" applyAlignment="1">
      <alignment horizontal="right" vertical="top"/>
    </xf>
    <xf numFmtId="3" fontId="0" fillId="0" borderId="0" xfId="0" applyNumberFormat="1"/>
    <xf numFmtId="0" fontId="42" fillId="3" borderId="0" xfId="0" applyFont="1" applyFill="1" applyAlignment="1">
      <alignment horizontal="center"/>
    </xf>
    <xf numFmtId="165" fontId="0" fillId="0" borderId="0" xfId="0" applyNumberFormat="1"/>
    <xf numFmtId="10" fontId="4" fillId="6" borderId="31" xfId="0" applyNumberFormat="1" applyFont="1" applyFill="1" applyBorder="1" applyAlignment="1">
      <alignment horizontal="right"/>
    </xf>
    <xf numFmtId="4" fontId="0" fillId="0" borderId="0" xfId="0" applyNumberFormat="1"/>
    <xf numFmtId="205" fontId="16" fillId="5" borderId="0" xfId="0" applyNumberFormat="1" applyFont="1" applyFill="1" applyAlignment="1">
      <alignment horizontal="right"/>
    </xf>
    <xf numFmtId="0" fontId="63" fillId="3" borderId="2" xfId="0" applyFont="1" applyFill="1" applyBorder="1"/>
    <xf numFmtId="0" fontId="86" fillId="3" borderId="0" xfId="0" applyFont="1" applyFill="1" applyAlignment="1">
      <alignment vertical="top"/>
    </xf>
    <xf numFmtId="0" fontId="6" fillId="3" borderId="12" xfId="0" applyFont="1" applyFill="1" applyBorder="1" applyAlignment="1">
      <alignment vertical="center"/>
    </xf>
    <xf numFmtId="0" fontId="63" fillId="3" borderId="7" xfId="0" applyFont="1" applyFill="1" applyBorder="1"/>
    <xf numFmtId="167" fontId="0" fillId="2" borderId="48" xfId="0" applyNumberFormat="1" applyFill="1" applyBorder="1" applyAlignment="1">
      <alignment horizontal="center"/>
    </xf>
    <xf numFmtId="0" fontId="0" fillId="2" borderId="48" xfId="0" applyFill="1" applyBorder="1" applyAlignment="1">
      <alignment horizontal="center"/>
    </xf>
    <xf numFmtId="167" fontId="4" fillId="2" borderId="114" xfId="0" applyNumberFormat="1" applyFont="1" applyFill="1" applyBorder="1" applyAlignment="1">
      <alignment horizontal="center"/>
    </xf>
    <xf numFmtId="0" fontId="0" fillId="2" borderId="113" xfId="0" applyFill="1" applyBorder="1" applyAlignment="1">
      <alignment horizontal="left" indent="2"/>
    </xf>
    <xf numFmtId="165" fontId="4" fillId="2" borderId="114" xfId="1" applyNumberFormat="1" applyFont="1" applyFill="1" applyBorder="1" applyAlignment="1">
      <alignment horizontal="center"/>
    </xf>
    <xf numFmtId="1" fontId="4" fillId="2" borderId="114" xfId="0" applyNumberFormat="1" applyFont="1" applyFill="1" applyBorder="1" applyAlignment="1">
      <alignment horizontal="center"/>
    </xf>
    <xf numFmtId="3" fontId="4" fillId="2" borderId="114" xfId="0" applyNumberFormat="1" applyFont="1" applyFill="1" applyBorder="1" applyAlignment="1">
      <alignment horizontal="center"/>
    </xf>
    <xf numFmtId="167" fontId="0" fillId="2" borderId="114" xfId="0" applyNumberFormat="1" applyFill="1" applyBorder="1" applyAlignment="1">
      <alignment horizontal="center"/>
    </xf>
    <xf numFmtId="1" fontId="0" fillId="2" borderId="114" xfId="0" applyNumberFormat="1" applyFill="1" applyBorder="1" applyAlignment="1">
      <alignment horizontal="center"/>
    </xf>
    <xf numFmtId="1" fontId="0" fillId="2" borderId="125" xfId="0" applyNumberFormat="1" applyFill="1" applyBorder="1" applyAlignment="1">
      <alignment horizontal="center"/>
    </xf>
    <xf numFmtId="167" fontId="0" fillId="2" borderId="125" xfId="0" applyNumberFormat="1" applyFill="1" applyBorder="1" applyAlignment="1">
      <alignment horizontal="center"/>
    </xf>
    <xf numFmtId="167" fontId="0" fillId="2" borderId="126" xfId="0" applyNumberFormat="1" applyFill="1" applyBorder="1" applyAlignment="1">
      <alignment horizontal="center"/>
    </xf>
    <xf numFmtId="1" fontId="4" fillId="2" borderId="127" xfId="0" applyNumberFormat="1" applyFont="1" applyFill="1" applyBorder="1" applyAlignment="1">
      <alignment horizontal="center"/>
    </xf>
    <xf numFmtId="1" fontId="4" fillId="2" borderId="116" xfId="0" applyNumberFormat="1" applyFont="1" applyFill="1" applyBorder="1" applyAlignment="1">
      <alignment horizontal="center"/>
    </xf>
    <xf numFmtId="1" fontId="4" fillId="2" borderId="128" xfId="0" applyNumberFormat="1" applyFont="1" applyFill="1" applyBorder="1" applyAlignment="1">
      <alignment horizontal="center"/>
    </xf>
    <xf numFmtId="1" fontId="4" fillId="2" borderId="108" xfId="0" applyNumberFormat="1" applyFont="1" applyFill="1" applyBorder="1" applyAlignment="1">
      <alignment horizontal="center"/>
    </xf>
    <xf numFmtId="1" fontId="4" fillId="2" borderId="129" xfId="0" applyNumberFormat="1" applyFont="1" applyFill="1" applyBorder="1" applyAlignment="1">
      <alignment horizontal="center"/>
    </xf>
    <xf numFmtId="0" fontId="0" fillId="2" borderId="60" xfId="0" applyFill="1" applyBorder="1" applyAlignment="1">
      <alignment horizontal="left" indent="1"/>
    </xf>
    <xf numFmtId="167" fontId="4" fillId="2" borderId="112" xfId="0" applyNumberFormat="1" applyFont="1" applyFill="1" applyBorder="1" applyAlignment="1">
      <alignment horizontal="center"/>
    </xf>
    <xf numFmtId="0" fontId="4" fillId="2" borderId="133" xfId="0" applyFont="1" applyFill="1" applyBorder="1" applyAlignment="1">
      <alignment horizontal="center"/>
    </xf>
    <xf numFmtId="0" fontId="4" fillId="2" borderId="133" xfId="0" applyFont="1" applyFill="1" applyBorder="1"/>
    <xf numFmtId="0" fontId="0" fillId="2" borderId="132" xfId="0" applyFill="1" applyBorder="1" applyAlignment="1">
      <alignment horizontal="left" indent="1"/>
    </xf>
    <xf numFmtId="0" fontId="8" fillId="2" borderId="133" xfId="0" applyFont="1" applyFill="1" applyBorder="1" applyAlignment="1">
      <alignment horizontal="center"/>
    </xf>
    <xf numFmtId="0" fontId="4" fillId="2" borderId="31" xfId="0" applyFont="1" applyFill="1" applyBorder="1"/>
    <xf numFmtId="0" fontId="4" fillId="2" borderId="31" xfId="0" applyFont="1" applyFill="1" applyBorder="1" applyAlignment="1">
      <alignment horizontal="left"/>
    </xf>
    <xf numFmtId="0" fontId="8" fillId="6" borderId="0" xfId="0" applyFont="1" applyFill="1" applyAlignment="1">
      <alignment horizontal="center" vertical="center" wrapText="1"/>
    </xf>
    <xf numFmtId="234" fontId="8" fillId="6" borderId="0" xfId="0" applyNumberFormat="1" applyFont="1" applyFill="1" applyAlignment="1">
      <alignment horizontal="center" vertical="center"/>
    </xf>
    <xf numFmtId="0" fontId="8" fillId="6" borderId="0" xfId="0" applyFont="1" applyFill="1" applyAlignment="1">
      <alignment horizontal="center" vertical="center"/>
    </xf>
    <xf numFmtId="3" fontId="8" fillId="6" borderId="0" xfId="0" applyNumberFormat="1" applyFont="1" applyFill="1" applyAlignment="1">
      <alignment horizontal="center" vertical="center" wrapText="1"/>
    </xf>
    <xf numFmtId="3" fontId="8" fillId="6" borderId="0" xfId="0" applyNumberFormat="1" applyFont="1" applyFill="1" applyAlignment="1">
      <alignment horizontal="center" vertical="center"/>
    </xf>
    <xf numFmtId="3" fontId="16" fillId="2" borderId="33" xfId="0" applyNumberFormat="1" applyFont="1" applyFill="1" applyBorder="1"/>
    <xf numFmtId="1" fontId="16" fillId="2" borderId="33" xfId="0" applyNumberFormat="1" applyFont="1" applyFill="1" applyBorder="1"/>
    <xf numFmtId="1" fontId="8" fillId="6" borderId="0" xfId="0" applyNumberFormat="1" applyFont="1" applyFill="1" applyAlignment="1">
      <alignment horizontal="center" vertical="center" wrapText="1"/>
    </xf>
    <xf numFmtId="1" fontId="4" fillId="2" borderId="0" xfId="0" applyNumberFormat="1" applyFont="1" applyFill="1"/>
    <xf numFmtId="1" fontId="4" fillId="2" borderId="31" xfId="0" applyNumberFormat="1" applyFont="1" applyFill="1" applyBorder="1"/>
    <xf numFmtId="234" fontId="4" fillId="2" borderId="0" xfId="0" applyNumberFormat="1" applyFont="1" applyFill="1"/>
    <xf numFmtId="234" fontId="4" fillId="2" borderId="31" xfId="0" applyNumberFormat="1" applyFont="1" applyFill="1" applyBorder="1"/>
    <xf numFmtId="234" fontId="16" fillId="2" borderId="33" xfId="0" applyNumberFormat="1" applyFont="1" applyFill="1" applyBorder="1"/>
    <xf numFmtId="165" fontId="8" fillId="6" borderId="0" xfId="0" applyNumberFormat="1" applyFont="1" applyFill="1" applyAlignment="1">
      <alignment horizontal="center" vertical="center"/>
    </xf>
    <xf numFmtId="165" fontId="4" fillId="2" borderId="0" xfId="0" applyNumberFormat="1" applyFont="1" applyFill="1"/>
    <xf numFmtId="3" fontId="4" fillId="2" borderId="0" xfId="0" applyNumberFormat="1" applyFont="1" applyFill="1"/>
    <xf numFmtId="3" fontId="4" fillId="2" borderId="31" xfId="0" applyNumberFormat="1" applyFont="1" applyFill="1" applyBorder="1"/>
    <xf numFmtId="0" fontId="16" fillId="5" borderId="33" xfId="0" applyFont="1" applyFill="1" applyBorder="1" applyAlignment="1">
      <alignment horizontal="right" vertical="center"/>
    </xf>
    <xf numFmtId="0" fontId="11" fillId="2" borderId="10" xfId="0" applyFont="1" applyFill="1" applyBorder="1" applyAlignment="1">
      <alignment horizontal="right"/>
    </xf>
    <xf numFmtId="164" fontId="4" fillId="2" borderId="10" xfId="0" applyNumberFormat="1" applyFont="1" applyFill="1" applyBorder="1" applyAlignment="1">
      <alignment horizontal="right"/>
    </xf>
    <xf numFmtId="0" fontId="11" fillId="3" borderId="9" xfId="0" applyFont="1" applyFill="1" applyBorder="1" applyAlignment="1">
      <alignment horizontal="right"/>
    </xf>
    <xf numFmtId="164" fontId="4" fillId="3" borderId="9" xfId="0" applyNumberFormat="1" applyFont="1" applyFill="1" applyBorder="1" applyAlignment="1">
      <alignment horizontal="right"/>
    </xf>
    <xf numFmtId="164" fontId="4" fillId="3" borderId="0" xfId="0" applyNumberFormat="1" applyFont="1" applyFill="1" applyAlignment="1">
      <alignment horizontal="right"/>
    </xf>
    <xf numFmtId="0" fontId="63" fillId="2" borderId="0" xfId="0" applyFont="1" applyFill="1" applyAlignment="1">
      <alignment vertical="center"/>
    </xf>
    <xf numFmtId="0" fontId="4" fillId="2" borderId="10" xfId="0" applyFont="1" applyFill="1" applyBorder="1" applyAlignment="1">
      <alignment horizontal="center" vertical="center"/>
    </xf>
    <xf numFmtId="0" fontId="12" fillId="5" borderId="25" xfId="0" applyFont="1" applyFill="1" applyBorder="1" applyAlignment="1">
      <alignment horizontal="left" vertical="center"/>
    </xf>
    <xf numFmtId="0" fontId="0" fillId="5" borderId="0" xfId="0" applyFill="1" applyAlignment="1">
      <alignment horizontal="left" vertical="center"/>
    </xf>
    <xf numFmtId="165" fontId="4" fillId="5" borderId="0" xfId="0" applyNumberFormat="1" applyFont="1" applyFill="1" applyAlignment="1">
      <alignment horizontal="right" vertical="center"/>
    </xf>
    <xf numFmtId="0" fontId="8" fillId="6" borderId="0" xfId="0" applyFont="1" applyFill="1" applyAlignment="1">
      <alignment horizontal="left" vertical="center" wrapText="1"/>
    </xf>
    <xf numFmtId="0" fontId="8" fillId="6" borderId="31" xfId="0" applyFont="1" applyFill="1" applyBorder="1" applyAlignment="1">
      <alignment horizontal="left" vertical="center" wrapText="1"/>
    </xf>
    <xf numFmtId="1" fontId="8" fillId="6" borderId="0" xfId="0" applyNumberFormat="1" applyFont="1" applyFill="1" applyAlignment="1">
      <alignment horizontal="center" vertical="center"/>
    </xf>
    <xf numFmtId="1" fontId="4" fillId="2" borderId="0" xfId="0" applyNumberFormat="1" applyFont="1" applyFill="1" applyAlignment="1">
      <alignment horizontal="center"/>
    </xf>
    <xf numFmtId="1" fontId="4" fillId="2" borderId="31" xfId="0" applyNumberFormat="1" applyFont="1" applyFill="1" applyBorder="1" applyAlignment="1">
      <alignment horizontal="center"/>
    </xf>
    <xf numFmtId="1" fontId="16" fillId="2" borderId="33" xfId="0" applyNumberFormat="1" applyFont="1" applyFill="1" applyBorder="1" applyAlignment="1">
      <alignment horizontal="center"/>
    </xf>
    <xf numFmtId="49" fontId="8" fillId="4" borderId="4" xfId="0" applyNumberFormat="1" applyFont="1" applyFill="1" applyBorder="1" applyAlignment="1">
      <alignment horizontal="center"/>
    </xf>
    <xf numFmtId="0" fontId="6" fillId="3" borderId="0" xfId="0" applyFont="1" applyFill="1" applyAlignment="1">
      <alignment vertical="center"/>
    </xf>
    <xf numFmtId="0" fontId="16" fillId="2" borderId="10" xfId="0" applyFont="1" applyFill="1" applyBorder="1" applyAlignment="1">
      <alignment horizontal="left" vertical="center"/>
    </xf>
    <xf numFmtId="0" fontId="4" fillId="2" borderId="7" xfId="0" applyFont="1" applyFill="1" applyBorder="1" applyAlignment="1">
      <alignment vertical="center"/>
    </xf>
    <xf numFmtId="0" fontId="8" fillId="6" borderId="89" xfId="0" applyFont="1" applyFill="1" applyBorder="1" applyAlignment="1">
      <alignment horizontal="left" vertical="center"/>
    </xf>
    <xf numFmtId="0" fontId="8" fillId="6" borderId="95" xfId="0" applyFont="1" applyFill="1" applyBorder="1" applyAlignment="1">
      <alignment horizontal="left" vertical="center"/>
    </xf>
    <xf numFmtId="0" fontId="4" fillId="2" borderId="12" xfId="0" applyFont="1" applyFill="1" applyBorder="1" applyAlignment="1">
      <alignment horizontal="right" vertical="center"/>
    </xf>
    <xf numFmtId="0" fontId="16" fillId="5" borderId="25" xfId="0" applyFont="1" applyFill="1" applyBorder="1" applyAlignment="1">
      <alignment vertical="center"/>
    </xf>
    <xf numFmtId="0" fontId="16" fillId="5" borderId="25" xfId="0" applyFont="1" applyFill="1" applyBorder="1" applyAlignment="1">
      <alignment horizontal="right" vertical="center"/>
    </xf>
    <xf numFmtId="164" fontId="16" fillId="5" borderId="0" xfId="0" applyNumberFormat="1" applyFont="1" applyFill="1" applyAlignment="1">
      <alignment horizontal="right" vertical="center"/>
    </xf>
    <xf numFmtId="0" fontId="8" fillId="6" borderId="98" xfId="0" applyFont="1" applyFill="1" applyBorder="1" applyAlignment="1">
      <alignment horizontal="left" vertical="center"/>
    </xf>
    <xf numFmtId="0" fontId="4" fillId="2" borderId="0" xfId="0" applyFont="1" applyFill="1" applyAlignment="1">
      <alignment horizontal="center" vertical="center"/>
    </xf>
    <xf numFmtId="0" fontId="63" fillId="3" borderId="0" xfId="0" applyFont="1" applyFill="1" applyAlignment="1">
      <alignment horizontal="left" vertical="center"/>
    </xf>
    <xf numFmtId="0" fontId="4" fillId="2" borderId="8" xfId="0" applyFont="1" applyFill="1" applyBorder="1" applyAlignment="1">
      <alignment vertical="center"/>
    </xf>
    <xf numFmtId="0" fontId="63" fillId="3" borderId="0" xfId="0" applyFont="1" applyFill="1" applyAlignment="1">
      <alignment vertical="center"/>
    </xf>
    <xf numFmtId="0" fontId="4" fillId="3" borderId="7" xfId="0" applyFont="1" applyFill="1" applyBorder="1" applyAlignment="1">
      <alignment horizontal="center"/>
    </xf>
    <xf numFmtId="167" fontId="4" fillId="2" borderId="134" xfId="0" applyNumberFormat="1" applyFont="1" applyFill="1" applyBorder="1" applyAlignment="1">
      <alignment horizontal="right"/>
    </xf>
    <xf numFmtId="178" fontId="8" fillId="6" borderId="141" xfId="0" applyNumberFormat="1" applyFont="1" applyFill="1" applyBorder="1" applyAlignment="1">
      <alignment horizontal="right"/>
    </xf>
    <xf numFmtId="178" fontId="8" fillId="6" borderId="135" xfId="0" applyNumberFormat="1" applyFont="1" applyFill="1" applyBorder="1" applyAlignment="1">
      <alignment horizontal="right"/>
    </xf>
    <xf numFmtId="167" fontId="4" fillId="2" borderId="135" xfId="0" applyNumberFormat="1" applyFont="1" applyFill="1" applyBorder="1" applyAlignment="1">
      <alignment horizontal="right"/>
    </xf>
    <xf numFmtId="165" fontId="4" fillId="2" borderId="135" xfId="0" applyNumberFormat="1" applyFont="1" applyFill="1" applyBorder="1" applyAlignment="1">
      <alignment horizontal="right"/>
    </xf>
    <xf numFmtId="178" fontId="8" fillId="6" borderId="142" xfId="0" applyNumberFormat="1" applyFont="1" applyFill="1" applyBorder="1" applyAlignment="1">
      <alignment horizontal="right"/>
    </xf>
    <xf numFmtId="178" fontId="8" fillId="6" borderId="134" xfId="0" applyNumberFormat="1" applyFont="1" applyFill="1" applyBorder="1" applyAlignment="1">
      <alignment horizontal="right"/>
    </xf>
    <xf numFmtId="0" fontId="4" fillId="2" borderId="134" xfId="0" applyFont="1" applyFill="1" applyBorder="1" applyAlignment="1">
      <alignment horizontal="right"/>
    </xf>
    <xf numFmtId="0" fontId="4" fillId="2" borderId="142" xfId="0" applyFont="1" applyFill="1" applyBorder="1" applyAlignment="1">
      <alignment horizontal="right"/>
    </xf>
    <xf numFmtId="167" fontId="4" fillId="2" borderId="70" xfId="0" applyNumberFormat="1" applyFont="1" applyFill="1" applyBorder="1" applyAlignment="1">
      <alignment horizontal="right"/>
    </xf>
    <xf numFmtId="178" fontId="8" fillId="6" borderId="137" xfId="0" applyNumberFormat="1" applyFont="1" applyFill="1" applyBorder="1" applyAlignment="1">
      <alignment horizontal="right"/>
    </xf>
    <xf numFmtId="165" fontId="4" fillId="2" borderId="134" xfId="0" applyNumberFormat="1" applyFont="1" applyFill="1" applyBorder="1" applyAlignment="1">
      <alignment horizontal="right"/>
    </xf>
    <xf numFmtId="164" fontId="4" fillId="5" borderId="0" xfId="0" applyNumberFormat="1" applyFont="1" applyFill="1" applyAlignment="1">
      <alignment horizontal="right" vertical="top" wrapText="1"/>
    </xf>
    <xf numFmtId="3" fontId="4" fillId="5" borderId="0" xfId="0" applyNumberFormat="1" applyFont="1" applyFill="1" applyAlignment="1">
      <alignment horizontal="right"/>
    </xf>
    <xf numFmtId="3" fontId="4" fillId="5" borderId="0" xfId="0" applyNumberFormat="1" applyFont="1" applyFill="1" applyAlignment="1">
      <alignment horizontal="right" vertical="top" wrapText="1"/>
    </xf>
    <xf numFmtId="0" fontId="4" fillId="2" borderId="42" xfId="0" applyFont="1" applyFill="1" applyBorder="1" applyAlignment="1">
      <alignment horizontal="right"/>
    </xf>
    <xf numFmtId="3" fontId="4" fillId="5" borderId="25" xfId="0" applyNumberFormat="1" applyFont="1" applyFill="1" applyBorder="1" applyAlignment="1">
      <alignment horizontal="right"/>
    </xf>
    <xf numFmtId="0" fontId="24" fillId="2" borderId="9" xfId="0" applyFont="1" applyFill="1" applyBorder="1" applyAlignment="1">
      <alignment vertical="center"/>
    </xf>
    <xf numFmtId="0" fontId="24" fillId="2" borderId="11" xfId="0" applyFont="1" applyFill="1" applyBorder="1" applyAlignment="1">
      <alignment vertical="center"/>
    </xf>
    <xf numFmtId="0" fontId="24" fillId="3" borderId="2" xfId="0" applyFont="1" applyFill="1" applyBorder="1"/>
    <xf numFmtId="0" fontId="73" fillId="3" borderId="10" xfId="0" applyFont="1" applyFill="1" applyBorder="1" applyAlignment="1">
      <alignment horizontal="center" vertical="center"/>
    </xf>
    <xf numFmtId="0" fontId="12" fillId="5" borderId="0" xfId="0" applyFont="1" applyFill="1" applyAlignment="1">
      <alignment horizontal="left" vertical="top" indent="1"/>
    </xf>
    <xf numFmtId="0" fontId="8" fillId="5" borderId="0" xfId="0" applyFont="1" applyFill="1" applyAlignment="1">
      <alignment horizontal="left" vertical="top" indent="3"/>
    </xf>
    <xf numFmtId="0" fontId="12" fillId="5" borderId="0" xfId="0" applyFont="1" applyFill="1" applyAlignment="1">
      <alignment horizontal="left" indent="1"/>
    </xf>
    <xf numFmtId="0" fontId="12" fillId="5" borderId="0" xfId="0" applyFont="1" applyFill="1" applyAlignment="1">
      <alignment horizontal="left" vertical="top" indent="3"/>
    </xf>
    <xf numFmtId="0" fontId="12" fillId="6" borderId="0" xfId="0" applyFont="1" applyFill="1" applyAlignment="1">
      <alignment horizontal="left" vertical="top" indent="1"/>
    </xf>
    <xf numFmtId="0" fontId="16" fillId="5" borderId="0" xfId="0" applyFont="1" applyFill="1" applyAlignment="1">
      <alignment horizontal="left" vertical="top" indent="3"/>
    </xf>
    <xf numFmtId="214" fontId="8" fillId="5" borderId="0" xfId="0" applyNumberFormat="1" applyFont="1" applyFill="1" applyAlignment="1">
      <alignment horizontal="left" vertical="top" indent="3"/>
    </xf>
    <xf numFmtId="165" fontId="4" fillId="2" borderId="31" xfId="0" applyNumberFormat="1" applyFont="1" applyFill="1" applyBorder="1" applyAlignment="1">
      <alignment horizontal="center"/>
    </xf>
    <xf numFmtId="0" fontId="16" fillId="5" borderId="0" xfId="0" applyFont="1" applyFill="1" applyAlignment="1">
      <alignment horizontal="left" vertical="top" indent="2"/>
    </xf>
    <xf numFmtId="10" fontId="4" fillId="2" borderId="135" xfId="0" applyNumberFormat="1" applyFont="1" applyFill="1" applyBorder="1"/>
    <xf numFmtId="164" fontId="4" fillId="2" borderId="135" xfId="0" applyNumberFormat="1" applyFont="1" applyFill="1" applyBorder="1" applyAlignment="1">
      <alignment horizontal="center"/>
    </xf>
    <xf numFmtId="0" fontId="4" fillId="2" borderId="135" xfId="0" applyFont="1" applyFill="1" applyBorder="1"/>
    <xf numFmtId="0" fontId="0" fillId="2" borderId="134" xfId="0" applyFill="1" applyBorder="1" applyAlignment="1">
      <alignment horizontal="left" indent="1"/>
    </xf>
    <xf numFmtId="165" fontId="16" fillId="2" borderId="34" xfId="0" applyNumberFormat="1" applyFont="1" applyFill="1" applyBorder="1" applyAlignment="1">
      <alignment horizontal="center" vertical="center"/>
    </xf>
    <xf numFmtId="214" fontId="8" fillId="5" borderId="0" xfId="0" applyNumberFormat="1" applyFont="1" applyFill="1" applyAlignment="1">
      <alignment horizontal="left" vertical="top" indent="2"/>
    </xf>
    <xf numFmtId="0" fontId="12" fillId="5" borderId="25" xfId="0" applyFont="1" applyFill="1" applyBorder="1" applyAlignment="1">
      <alignment horizontal="left"/>
    </xf>
    <xf numFmtId="1" fontId="4" fillId="2" borderId="10" xfId="0" applyNumberFormat="1" applyFont="1" applyFill="1" applyBorder="1" applyAlignment="1">
      <alignment horizontal="right" vertical="center"/>
    </xf>
    <xf numFmtId="1" fontId="16" fillId="2" borderId="10" xfId="0" applyNumberFormat="1" applyFont="1" applyFill="1" applyBorder="1" applyAlignment="1">
      <alignment horizontal="right" vertical="top"/>
    </xf>
    <xf numFmtId="1" fontId="16" fillId="2" borderId="10" xfId="0" applyNumberFormat="1" applyFont="1" applyFill="1" applyBorder="1" applyAlignment="1">
      <alignment horizontal="right" vertical="center"/>
    </xf>
    <xf numFmtId="0" fontId="16" fillId="2" borderId="10" xfId="0" applyFont="1" applyFill="1" applyBorder="1" applyAlignment="1">
      <alignment horizontal="right" vertical="center"/>
    </xf>
    <xf numFmtId="164" fontId="16" fillId="2" borderId="0" xfId="0" applyNumberFormat="1" applyFont="1" applyFill="1" applyAlignment="1">
      <alignment horizontal="right" vertical="center"/>
    </xf>
    <xf numFmtId="0" fontId="8" fillId="3" borderId="9" xfId="0" applyFont="1" applyFill="1" applyBorder="1" applyAlignment="1">
      <alignment horizontal="center"/>
    </xf>
    <xf numFmtId="164" fontId="4" fillId="3" borderId="9" xfId="0" applyNumberFormat="1" applyFont="1" applyFill="1" applyBorder="1" applyAlignment="1">
      <alignment horizontal="right" vertical="top"/>
    </xf>
    <xf numFmtId="164" fontId="16" fillId="3" borderId="9" xfId="0" applyNumberFormat="1" applyFont="1" applyFill="1" applyBorder="1" applyAlignment="1">
      <alignment horizontal="right" vertical="center"/>
    </xf>
    <xf numFmtId="0" fontId="4" fillId="3" borderId="9" xfId="0" applyFont="1" applyFill="1" applyBorder="1" applyAlignment="1">
      <alignment horizontal="center" vertical="center"/>
    </xf>
    <xf numFmtId="164" fontId="4" fillId="3" borderId="0" xfId="0" applyNumberFormat="1" applyFont="1" applyFill="1" applyAlignment="1">
      <alignment horizontal="right" vertical="top"/>
    </xf>
    <xf numFmtId="164" fontId="16" fillId="3" borderId="0" xfId="0" applyNumberFormat="1" applyFont="1" applyFill="1" applyAlignment="1">
      <alignment horizontal="right" vertical="center"/>
    </xf>
    <xf numFmtId="165" fontId="4" fillId="2" borderId="0" xfId="0" applyNumberFormat="1" applyFont="1" applyFill="1" applyAlignment="1">
      <alignment horizontal="right" vertical="center"/>
    </xf>
    <xf numFmtId="0" fontId="16" fillId="2" borderId="0" xfId="0" applyFont="1" applyFill="1" applyAlignment="1">
      <alignment horizontal="right" vertical="center"/>
    </xf>
    <xf numFmtId="0" fontId="0" fillId="4" borderId="10" xfId="0" applyFill="1" applyBorder="1" applyAlignment="1">
      <alignment horizontal="center"/>
    </xf>
    <xf numFmtId="165" fontId="4" fillId="3" borderId="9" xfId="0" applyNumberFormat="1" applyFont="1" applyFill="1" applyBorder="1" applyAlignment="1">
      <alignment horizontal="right" vertical="center"/>
    </xf>
    <xf numFmtId="0" fontId="16" fillId="3" borderId="9" xfId="0" applyFont="1" applyFill="1" applyBorder="1" applyAlignment="1">
      <alignment horizontal="right" vertical="top"/>
    </xf>
    <xf numFmtId="0" fontId="16" fillId="3" borderId="0" xfId="0" applyFont="1" applyFill="1" applyAlignment="1">
      <alignment horizontal="right" vertical="top"/>
    </xf>
    <xf numFmtId="0" fontId="16" fillId="3" borderId="9" xfId="0" applyFont="1" applyFill="1" applyBorder="1" applyAlignment="1">
      <alignment horizontal="right" vertical="center"/>
    </xf>
    <xf numFmtId="0" fontId="16" fillId="3" borderId="0" xfId="0" applyFont="1" applyFill="1" applyAlignment="1">
      <alignment horizontal="right" vertical="center"/>
    </xf>
    <xf numFmtId="0" fontId="0" fillId="5" borderId="0" xfId="0" applyFill="1" applyAlignment="1">
      <alignment horizontal="center"/>
    </xf>
    <xf numFmtId="0" fontId="18" fillId="2" borderId="7" xfId="0" applyFont="1" applyFill="1" applyBorder="1"/>
    <xf numFmtId="0" fontId="12" fillId="5" borderId="0" xfId="0" applyFont="1" applyFill="1" applyAlignment="1">
      <alignment horizontal="center"/>
    </xf>
    <xf numFmtId="0" fontId="11" fillId="3" borderId="4" xfId="0" applyFont="1" applyFill="1" applyBorder="1" applyAlignment="1">
      <alignment horizontal="center"/>
    </xf>
    <xf numFmtId="0" fontId="8" fillId="5" borderId="4" xfId="0" applyFont="1" applyFill="1" applyBorder="1" applyAlignment="1">
      <alignment horizontal="center"/>
    </xf>
    <xf numFmtId="0" fontId="11" fillId="3" borderId="12" xfId="0" applyFont="1" applyFill="1" applyBorder="1" applyAlignment="1">
      <alignment horizontal="right" vertical="center"/>
    </xf>
    <xf numFmtId="0" fontId="8" fillId="4" borderId="5" xfId="0" applyFont="1" applyFill="1" applyBorder="1" applyAlignment="1">
      <alignment horizontal="center" vertical="center"/>
    </xf>
    <xf numFmtId="185" fontId="4" fillId="6" borderId="0" xfId="0" applyNumberFormat="1" applyFont="1" applyFill="1" applyAlignment="1">
      <alignment horizontal="center"/>
    </xf>
    <xf numFmtId="185" fontId="16" fillId="6" borderId="0" xfId="0" applyNumberFormat="1" applyFont="1" applyFill="1" applyAlignment="1">
      <alignment horizontal="center"/>
    </xf>
    <xf numFmtId="235" fontId="4" fillId="5" borderId="0" xfId="0" applyNumberFormat="1" applyFont="1" applyFill="1" applyAlignment="1">
      <alignment horizontal="left" indent="2"/>
    </xf>
    <xf numFmtId="0" fontId="11" fillId="3" borderId="0" xfId="0" applyFont="1" applyFill="1" applyAlignment="1">
      <alignment horizontal="left" wrapText="1"/>
    </xf>
    <xf numFmtId="0" fontId="12" fillId="2" borderId="16" xfId="0" applyFont="1" applyFill="1" applyBorder="1"/>
    <xf numFmtId="164" fontId="9" fillId="3" borderId="0" xfId="0" applyNumberFormat="1" applyFont="1" applyFill="1" applyAlignment="1">
      <alignment horizontal="center"/>
    </xf>
    <xf numFmtId="3" fontId="9" fillId="3" borderId="0" xfId="0" applyNumberFormat="1" applyFont="1" applyFill="1" applyAlignment="1">
      <alignment horizontal="center"/>
    </xf>
    <xf numFmtId="164" fontId="11" fillId="3" borderId="0" xfId="0" applyNumberFormat="1" applyFont="1" applyFill="1" applyAlignment="1">
      <alignment horizontal="center"/>
    </xf>
    <xf numFmtId="3" fontId="11" fillId="3" borderId="0" xfId="0" applyNumberFormat="1" applyFont="1" applyFill="1" applyAlignment="1">
      <alignment horizontal="center"/>
    </xf>
    <xf numFmtId="0" fontId="16" fillId="2" borderId="16" xfId="0" applyFont="1" applyFill="1" applyBorder="1"/>
    <xf numFmtId="0" fontId="16" fillId="2" borderId="16" xfId="0" applyFont="1" applyFill="1" applyBorder="1" applyAlignment="1">
      <alignment horizontal="center"/>
    </xf>
    <xf numFmtId="0" fontId="16" fillId="2" borderId="33" xfId="0" applyFont="1" applyFill="1" applyBorder="1" applyAlignment="1">
      <alignment horizontal="center"/>
    </xf>
    <xf numFmtId="0" fontId="9" fillId="3" borderId="0" xfId="0" applyFont="1" applyFill="1" applyAlignment="1">
      <alignment horizontal="right" vertical="center"/>
    </xf>
    <xf numFmtId="0" fontId="57" fillId="3" borderId="0" xfId="0" applyFont="1" applyFill="1" applyAlignment="1">
      <alignment horizontal="right"/>
    </xf>
    <xf numFmtId="3" fontId="9" fillId="3" borderId="0" xfId="0" applyNumberFormat="1" applyFont="1" applyFill="1" applyAlignment="1">
      <alignment horizontal="right"/>
    </xf>
    <xf numFmtId="3" fontId="11" fillId="3" borderId="0" xfId="0" applyNumberFormat="1" applyFont="1" applyFill="1" applyAlignment="1">
      <alignment horizontal="right"/>
    </xf>
    <xf numFmtId="184" fontId="4" fillId="2" borderId="0" xfId="0" applyNumberFormat="1" applyFont="1" applyFill="1" applyAlignment="1">
      <alignment horizontal="right"/>
    </xf>
    <xf numFmtId="184" fontId="4" fillId="2" borderId="31" xfId="0" applyNumberFormat="1" applyFont="1" applyFill="1" applyBorder="1" applyAlignment="1">
      <alignment horizontal="right"/>
    </xf>
    <xf numFmtId="184" fontId="16" fillId="2" borderId="16" xfId="0" applyNumberFormat="1" applyFont="1" applyFill="1" applyBorder="1" applyAlignment="1">
      <alignment horizontal="right"/>
    </xf>
    <xf numFmtId="184" fontId="16" fillId="2" borderId="33" xfId="0" applyNumberFormat="1" applyFont="1" applyFill="1" applyBorder="1" applyAlignment="1">
      <alignment horizontal="right"/>
    </xf>
    <xf numFmtId="185" fontId="4" fillId="2" borderId="0" xfId="0" applyNumberFormat="1" applyFont="1" applyFill="1" applyAlignment="1">
      <alignment horizontal="right"/>
    </xf>
    <xf numFmtId="185" fontId="4" fillId="2" borderId="31" xfId="0" applyNumberFormat="1" applyFont="1" applyFill="1" applyBorder="1" applyAlignment="1">
      <alignment horizontal="right"/>
    </xf>
    <xf numFmtId="185" fontId="16" fillId="2" borderId="16" xfId="0" applyNumberFormat="1" applyFont="1" applyFill="1" applyBorder="1" applyAlignment="1">
      <alignment horizontal="right"/>
    </xf>
    <xf numFmtId="185" fontId="16" fillId="2" borderId="33" xfId="0" applyNumberFormat="1" applyFont="1" applyFill="1" applyBorder="1" applyAlignment="1">
      <alignment horizontal="right"/>
    </xf>
    <xf numFmtId="0" fontId="24" fillId="3" borderId="0" xfId="0" applyFont="1" applyFill="1" applyAlignment="1">
      <alignment horizontal="right" vertical="center"/>
    </xf>
    <xf numFmtId="0" fontId="60" fillId="3" borderId="0" xfId="0" applyFont="1" applyFill="1" applyAlignment="1">
      <alignment horizontal="right"/>
    </xf>
    <xf numFmtId="167" fontId="11" fillId="3" borderId="0" xfId="0" applyNumberFormat="1" applyFont="1" applyFill="1" applyAlignment="1">
      <alignment horizontal="right"/>
    </xf>
    <xf numFmtId="167" fontId="9" fillId="3" borderId="0" xfId="0" applyNumberFormat="1" applyFont="1" applyFill="1" applyAlignment="1">
      <alignment horizontal="right"/>
    </xf>
    <xf numFmtId="167" fontId="24" fillId="3" borderId="0" xfId="0" applyNumberFormat="1" applyFont="1" applyFill="1" applyAlignment="1">
      <alignment horizontal="right"/>
    </xf>
    <xf numFmtId="0" fontId="16" fillId="2" borderId="143" xfId="0" applyFont="1" applyFill="1" applyBorder="1" applyAlignment="1">
      <alignment horizontal="center"/>
    </xf>
    <xf numFmtId="184" fontId="16" fillId="2" borderId="143" xfId="0" applyNumberFormat="1" applyFont="1" applyFill="1" applyBorder="1" applyAlignment="1">
      <alignment horizontal="right"/>
    </xf>
    <xf numFmtId="185" fontId="16" fillId="2" borderId="143" xfId="0" applyNumberFormat="1" applyFont="1" applyFill="1" applyBorder="1" applyAlignment="1">
      <alignment horizontal="right"/>
    </xf>
    <xf numFmtId="0" fontId="4" fillId="6" borderId="89" xfId="0" applyFont="1" applyFill="1" applyBorder="1" applyAlignment="1">
      <alignment horizontal="left"/>
    </xf>
    <xf numFmtId="165" fontId="16" fillId="5" borderId="33" xfId="0" applyNumberFormat="1" applyFont="1" applyFill="1" applyBorder="1" applyAlignment="1">
      <alignment horizontal="right"/>
    </xf>
    <xf numFmtId="0" fontId="8" fillId="6" borderId="25" xfId="0" applyFont="1" applyFill="1" applyBorder="1" applyAlignment="1">
      <alignment horizontal="left" vertical="top" indent="1"/>
    </xf>
    <xf numFmtId="213" fontId="8" fillId="6" borderId="0" xfId="0" applyNumberFormat="1" applyFont="1" applyFill="1" applyAlignment="1">
      <alignment horizontal="left" vertical="top" wrapText="1"/>
    </xf>
    <xf numFmtId="223" fontId="8" fillId="6" borderId="0" xfId="0" applyNumberFormat="1" applyFont="1" applyFill="1" applyAlignment="1">
      <alignment horizontal="left" vertical="top"/>
    </xf>
    <xf numFmtId="166" fontId="8" fillId="6" borderId="0" xfId="0" applyNumberFormat="1" applyFont="1" applyFill="1" applyAlignment="1">
      <alignment horizontal="left" vertical="top"/>
    </xf>
    <xf numFmtId="0" fontId="8" fillId="6" borderId="0" xfId="0" applyFont="1" applyFill="1" applyAlignment="1">
      <alignment horizontal="left" vertical="top" wrapText="1"/>
    </xf>
    <xf numFmtId="217" fontId="8" fillId="6" borderId="0" xfId="0" applyNumberFormat="1" applyFont="1" applyFill="1" applyAlignment="1">
      <alignment horizontal="left" vertical="top"/>
    </xf>
    <xf numFmtId="167" fontId="8" fillId="6" borderId="0" xfId="0" applyNumberFormat="1" applyFont="1" applyFill="1" applyAlignment="1">
      <alignment horizontal="left" vertical="top"/>
    </xf>
    <xf numFmtId="220" fontId="8" fillId="6" borderId="0" xfId="0" applyNumberFormat="1" applyFont="1" applyFill="1" applyAlignment="1">
      <alignment horizontal="left" vertical="top" wrapText="1"/>
    </xf>
    <xf numFmtId="0" fontId="8" fillId="6" borderId="0" xfId="0" applyFont="1" applyFill="1" applyAlignment="1">
      <alignment horizontal="left" vertical="top" indent="1"/>
    </xf>
    <xf numFmtId="0" fontId="8" fillId="5" borderId="0" xfId="0" applyFont="1" applyFill="1" applyAlignment="1">
      <alignment vertical="center"/>
    </xf>
    <xf numFmtId="3" fontId="10" fillId="4" borderId="6" xfId="0" applyNumberFormat="1" applyFont="1" applyFill="1" applyBorder="1" applyAlignment="1">
      <alignment horizontal="center" vertical="center"/>
    </xf>
    <xf numFmtId="3" fontId="10" fillId="4" borderId="7" xfId="0" applyNumberFormat="1" applyFont="1" applyFill="1" applyBorder="1" applyAlignment="1">
      <alignment horizontal="center" vertical="center"/>
    </xf>
    <xf numFmtId="3" fontId="10" fillId="4" borderId="8" xfId="0" applyNumberFormat="1" applyFont="1" applyFill="1" applyBorder="1" applyAlignment="1">
      <alignment horizontal="center" vertical="center"/>
    </xf>
    <xf numFmtId="3" fontId="10" fillId="4" borderId="3" xfId="0" applyNumberFormat="1" applyFont="1" applyFill="1" applyBorder="1" applyAlignment="1">
      <alignment horizontal="center" vertical="center"/>
    </xf>
    <xf numFmtId="3" fontId="10" fillId="4" borderId="9" xfId="0" applyNumberFormat="1" applyFont="1" applyFill="1" applyBorder="1" applyAlignment="1">
      <alignment horizontal="center" vertical="center"/>
    </xf>
    <xf numFmtId="3" fontId="10" fillId="4" borderId="0" xfId="0" applyNumberFormat="1" applyFont="1" applyFill="1" applyAlignment="1">
      <alignment horizontal="center" vertical="center"/>
    </xf>
    <xf numFmtId="3" fontId="10" fillId="4" borderId="10" xfId="0" applyNumberFormat="1" applyFont="1" applyFill="1" applyBorder="1" applyAlignment="1">
      <alignment horizontal="center" vertical="center"/>
    </xf>
    <xf numFmtId="3" fontId="10" fillId="4" borderId="4" xfId="0" applyNumberFormat="1" applyFont="1" applyFill="1" applyBorder="1" applyAlignment="1">
      <alignment horizontal="center" vertical="center"/>
    </xf>
    <xf numFmtId="3" fontId="10" fillId="4" borderId="11" xfId="0" applyNumberFormat="1" applyFont="1" applyFill="1" applyBorder="1" applyAlignment="1">
      <alignment horizontal="center" vertical="center"/>
    </xf>
    <xf numFmtId="3" fontId="10" fillId="4" borderId="12" xfId="0" applyNumberFormat="1" applyFont="1" applyFill="1" applyBorder="1" applyAlignment="1">
      <alignment horizontal="center" vertical="center"/>
    </xf>
    <xf numFmtId="3" fontId="10" fillId="4" borderId="13" xfId="0" applyNumberFormat="1" applyFont="1" applyFill="1" applyBorder="1" applyAlignment="1">
      <alignment horizontal="center" vertical="center"/>
    </xf>
    <xf numFmtId="3" fontId="10" fillId="4" borderId="5" xfId="0" applyNumberFormat="1" applyFont="1" applyFill="1" applyBorder="1" applyAlignment="1">
      <alignment horizontal="center" vertical="center"/>
    </xf>
    <xf numFmtId="0" fontId="8" fillId="3" borderId="7" xfId="0" applyFont="1" applyFill="1" applyBorder="1" applyAlignment="1">
      <alignment horizontal="center" vertical="center"/>
    </xf>
    <xf numFmtId="3" fontId="10" fillId="3" borderId="2" xfId="0" applyNumberFormat="1" applyFont="1" applyFill="1" applyBorder="1" applyAlignment="1">
      <alignment horizontal="center" vertical="center"/>
    </xf>
    <xf numFmtId="3" fontId="10" fillId="3" borderId="7" xfId="0" applyNumberFormat="1" applyFont="1" applyFill="1" applyBorder="1" applyAlignment="1">
      <alignment horizontal="center" vertical="center"/>
    </xf>
    <xf numFmtId="3" fontId="10" fillId="3" borderId="0" xfId="0" applyNumberFormat="1" applyFont="1" applyFill="1" applyAlignment="1">
      <alignment horizontal="center" vertical="center"/>
    </xf>
    <xf numFmtId="3" fontId="10" fillId="4" borderId="34" xfId="0" applyNumberFormat="1" applyFont="1" applyFill="1" applyBorder="1" applyAlignment="1">
      <alignment horizontal="center" vertical="center"/>
    </xf>
    <xf numFmtId="3" fontId="10" fillId="3" borderId="9" xfId="0" applyNumberFormat="1" applyFont="1" applyFill="1" applyBorder="1" applyAlignment="1">
      <alignment horizontal="center" vertical="center"/>
    </xf>
    <xf numFmtId="3" fontId="10" fillId="3" borderId="12" xfId="0" applyNumberFormat="1" applyFont="1" applyFill="1" applyBorder="1" applyAlignment="1">
      <alignment horizontal="center" vertical="center"/>
    </xf>
    <xf numFmtId="0" fontId="76" fillId="3" borderId="0" xfId="0" applyFont="1" applyFill="1" applyAlignment="1">
      <alignment horizontal="center" vertical="center"/>
    </xf>
    <xf numFmtId="3" fontId="20" fillId="3" borderId="0" xfId="0" applyNumberFormat="1" applyFont="1" applyFill="1" applyAlignment="1">
      <alignment horizontal="center" vertical="center"/>
    </xf>
    <xf numFmtId="164" fontId="10" fillId="4" borderId="1" xfId="0" applyNumberFormat="1" applyFont="1" applyFill="1" applyBorder="1" applyAlignment="1">
      <alignment horizontal="center" vertical="center"/>
    </xf>
    <xf numFmtId="3" fontId="10" fillId="4" borderId="18" xfId="0" applyNumberFormat="1" applyFont="1" applyFill="1" applyBorder="1" applyAlignment="1">
      <alignment horizontal="center" vertical="center"/>
    </xf>
    <xf numFmtId="0" fontId="4" fillId="6" borderId="38" xfId="0" applyFont="1" applyFill="1" applyBorder="1" applyAlignment="1">
      <alignment horizontal="left"/>
    </xf>
    <xf numFmtId="0" fontId="41" fillId="3" borderId="0" xfId="0" applyFont="1" applyFill="1" applyAlignment="1">
      <alignment horizontal="center"/>
    </xf>
    <xf numFmtId="0" fontId="6" fillId="2" borderId="0" xfId="0" applyFont="1" applyFill="1" applyAlignment="1">
      <alignment horizontal="center" vertical="center"/>
    </xf>
    <xf numFmtId="0" fontId="24" fillId="2" borderId="0" xfId="0" applyFont="1" applyFill="1" applyAlignment="1">
      <alignment horizontal="center" vertical="center"/>
    </xf>
    <xf numFmtId="0" fontId="8" fillId="5" borderId="0" xfId="0" applyFont="1" applyFill="1" applyAlignment="1">
      <alignment horizontal="center" vertical="center"/>
    </xf>
    <xf numFmtId="0" fontId="0" fillId="2" borderId="134" xfId="0" applyFill="1" applyBorder="1" applyAlignment="1">
      <alignment horizontal="left" indent="2"/>
    </xf>
    <xf numFmtId="165" fontId="4" fillId="2" borderId="135" xfId="1" applyNumberFormat="1" applyFont="1" applyFill="1" applyBorder="1" applyAlignment="1">
      <alignment horizontal="center"/>
    </xf>
    <xf numFmtId="1" fontId="4" fillId="2" borderId="135" xfId="0" applyNumberFormat="1" applyFont="1" applyFill="1" applyBorder="1" applyAlignment="1">
      <alignment horizontal="center"/>
    </xf>
    <xf numFmtId="3" fontId="4" fillId="2" borderId="135" xfId="0" applyNumberFormat="1" applyFont="1" applyFill="1" applyBorder="1" applyAlignment="1">
      <alignment horizontal="center"/>
    </xf>
    <xf numFmtId="0" fontId="9" fillId="3" borderId="0" xfId="0" applyFont="1" applyFill="1" applyAlignment="1">
      <alignment horizontal="left" vertical="center"/>
    </xf>
    <xf numFmtId="0" fontId="8" fillId="4" borderId="0" xfId="0" applyFont="1" applyFill="1" applyAlignment="1">
      <alignment horizontal="left" vertical="center"/>
    </xf>
    <xf numFmtId="0" fontId="9" fillId="3" borderId="9" xfId="0" applyFont="1" applyFill="1" applyBorder="1" applyAlignment="1">
      <alignment vertical="top"/>
    </xf>
    <xf numFmtId="0" fontId="12" fillId="2" borderId="33" xfId="0" applyFont="1" applyFill="1" applyBorder="1" applyAlignment="1">
      <alignment horizontal="left"/>
    </xf>
    <xf numFmtId="0" fontId="11" fillId="2" borderId="0" xfId="0" applyFont="1" applyFill="1" applyAlignment="1">
      <alignment vertical="center"/>
    </xf>
    <xf numFmtId="0" fontId="11" fillId="3" borderId="9" xfId="0" applyFont="1" applyFill="1" applyBorder="1" applyAlignment="1">
      <alignment vertical="center"/>
    </xf>
    <xf numFmtId="165" fontId="4" fillId="2" borderId="12" xfId="0" applyNumberFormat="1" applyFont="1" applyFill="1" applyBorder="1" applyAlignment="1">
      <alignment vertical="center"/>
    </xf>
    <xf numFmtId="0" fontId="4" fillId="4" borderId="0" xfId="0" applyFont="1" applyFill="1" applyAlignment="1">
      <alignment vertical="center"/>
    </xf>
    <xf numFmtId="167" fontId="4" fillId="2" borderId="122" xfId="0" applyNumberFormat="1" applyFont="1" applyFill="1" applyBorder="1" applyAlignment="1">
      <alignment vertical="center"/>
    </xf>
    <xf numFmtId="0" fontId="4" fillId="4" borderId="0" xfId="0" applyFont="1" applyFill="1" applyAlignment="1">
      <alignment horizontal="center" vertical="center"/>
    </xf>
    <xf numFmtId="165" fontId="4" fillId="2" borderId="122" xfId="0" applyNumberFormat="1" applyFont="1" applyFill="1" applyBorder="1" applyAlignment="1">
      <alignment horizontal="center" vertical="center"/>
    </xf>
    <xf numFmtId="167" fontId="4" fillId="4" borderId="0" xfId="0" applyNumberFormat="1" applyFont="1" applyFill="1" applyAlignment="1">
      <alignment horizontal="center" vertical="center"/>
    </xf>
    <xf numFmtId="167" fontId="4" fillId="2" borderId="123" xfId="0" applyNumberFormat="1" applyFont="1" applyFill="1" applyBorder="1" applyAlignment="1">
      <alignment vertical="center"/>
    </xf>
    <xf numFmtId="165" fontId="4" fillId="2" borderId="123" xfId="0" applyNumberFormat="1" applyFont="1" applyFill="1" applyBorder="1" applyAlignment="1">
      <alignment horizontal="center" vertical="center"/>
    </xf>
    <xf numFmtId="165" fontId="4" fillId="4" borderId="0" xfId="0" applyNumberFormat="1" applyFont="1" applyFill="1" applyAlignment="1">
      <alignment horizontal="center" vertical="center"/>
    </xf>
    <xf numFmtId="167" fontId="4" fillId="2" borderId="124" xfId="0" applyNumberFormat="1" applyFont="1" applyFill="1" applyBorder="1" applyAlignment="1">
      <alignment vertical="center"/>
    </xf>
    <xf numFmtId="165" fontId="4" fillId="2" borderId="124" xfId="0" applyNumberFormat="1" applyFont="1" applyFill="1" applyBorder="1" applyAlignment="1">
      <alignment horizontal="center" vertical="center"/>
    </xf>
    <xf numFmtId="10" fontId="4" fillId="2" borderId="14" xfId="0" applyNumberFormat="1" applyFont="1" applyFill="1" applyBorder="1" applyAlignment="1">
      <alignment horizontal="center" vertical="center"/>
    </xf>
    <xf numFmtId="0" fontId="4" fillId="5" borderId="10" xfId="0" applyFont="1" applyFill="1" applyBorder="1" applyAlignment="1">
      <alignment vertical="center"/>
    </xf>
    <xf numFmtId="0" fontId="12" fillId="2" borderId="25" xfId="0" applyFont="1" applyFill="1" applyBorder="1" applyAlignment="1">
      <alignment vertical="center"/>
    </xf>
    <xf numFmtId="0" fontId="8" fillId="2" borderId="25" xfId="0" applyFont="1" applyFill="1" applyBorder="1" applyAlignment="1">
      <alignment horizontal="center" vertical="center"/>
    </xf>
    <xf numFmtId="229" fontId="12" fillId="2" borderId="25" xfId="0" applyNumberFormat="1" applyFont="1" applyFill="1" applyBorder="1" applyAlignment="1">
      <alignment horizontal="center" vertical="center"/>
    </xf>
    <xf numFmtId="185" fontId="4" fillId="6" borderId="40" xfId="0" applyNumberFormat="1" applyFont="1" applyFill="1" applyBorder="1" applyAlignment="1">
      <alignment horizontal="right"/>
    </xf>
    <xf numFmtId="0" fontId="4" fillId="2" borderId="33" xfId="0" applyFont="1" applyFill="1" applyBorder="1" applyAlignment="1">
      <alignment horizontal="right"/>
    </xf>
    <xf numFmtId="175" fontId="16" fillId="6" borderId="0" xfId="0" applyNumberFormat="1" applyFont="1" applyFill="1" applyAlignment="1">
      <alignment horizontal="center" vertical="center"/>
    </xf>
    <xf numFmtId="192" fontId="12" fillId="6" borderId="0" xfId="0" applyNumberFormat="1" applyFont="1" applyFill="1" applyAlignment="1">
      <alignment horizontal="right"/>
    </xf>
    <xf numFmtId="0" fontId="8" fillId="5" borderId="25" xfId="0" applyFont="1" applyFill="1" applyBorder="1" applyAlignment="1">
      <alignment horizontal="right"/>
    </xf>
    <xf numFmtId="205" fontId="12" fillId="2" borderId="0" xfId="0" applyNumberFormat="1" applyFont="1" applyFill="1" applyAlignment="1">
      <alignment horizontal="right"/>
    </xf>
    <xf numFmtId="0" fontId="47" fillId="2" borderId="0" xfId="0" applyFont="1" applyFill="1" applyAlignment="1">
      <alignment horizontal="right"/>
    </xf>
    <xf numFmtId="205" fontId="12" fillId="2" borderId="12" xfId="0" applyNumberFormat="1" applyFont="1" applyFill="1" applyBorder="1" applyAlignment="1">
      <alignment horizontal="right"/>
    </xf>
    <xf numFmtId="0" fontId="47" fillId="2" borderId="12" xfId="0" applyFont="1" applyFill="1" applyBorder="1" applyAlignment="1">
      <alignment horizontal="right"/>
    </xf>
    <xf numFmtId="205" fontId="12" fillId="4" borderId="7" xfId="0" applyNumberFormat="1" applyFont="1" applyFill="1" applyBorder="1" applyAlignment="1">
      <alignment horizontal="right"/>
    </xf>
    <xf numFmtId="0" fontId="8" fillId="4" borderId="7" xfId="0" applyFont="1" applyFill="1" applyBorder="1" applyAlignment="1">
      <alignment horizontal="right"/>
    </xf>
    <xf numFmtId="0" fontId="8" fillId="4" borderId="8" xfId="0" applyFont="1" applyFill="1" applyBorder="1" applyAlignment="1">
      <alignment horizontal="right"/>
    </xf>
    <xf numFmtId="0" fontId="8" fillId="4" borderId="10" xfId="0" applyFont="1" applyFill="1" applyBorder="1" applyAlignment="1">
      <alignment horizontal="right"/>
    </xf>
    <xf numFmtId="10" fontId="8" fillId="2" borderId="14" xfId="0" applyNumberFormat="1" applyFont="1" applyFill="1" applyBorder="1" applyAlignment="1">
      <alignment horizontal="right"/>
    </xf>
    <xf numFmtId="0" fontId="4" fillId="4" borderId="10" xfId="0" applyFont="1" applyFill="1" applyBorder="1" applyAlignment="1">
      <alignment horizontal="right"/>
    </xf>
    <xf numFmtId="205" fontId="12" fillId="4" borderId="12" xfId="0" applyNumberFormat="1" applyFont="1" applyFill="1" applyBorder="1" applyAlignment="1">
      <alignment horizontal="right"/>
    </xf>
    <xf numFmtId="0" fontId="8" fillId="4" borderId="12" xfId="0" applyFont="1" applyFill="1" applyBorder="1" applyAlignment="1">
      <alignment horizontal="right"/>
    </xf>
    <xf numFmtId="0" fontId="8" fillId="4" borderId="13" xfId="0" applyFont="1" applyFill="1" applyBorder="1" applyAlignment="1">
      <alignment horizontal="right"/>
    </xf>
    <xf numFmtId="0" fontId="4" fillId="2" borderId="34" xfId="0" applyFont="1" applyFill="1" applyBorder="1" applyAlignment="1">
      <alignment horizontal="right"/>
    </xf>
    <xf numFmtId="0" fontId="47" fillId="3" borderId="0" xfId="0" applyFont="1" applyFill="1" applyAlignment="1">
      <alignment horizontal="right"/>
    </xf>
    <xf numFmtId="1" fontId="4" fillId="2" borderId="14" xfId="0" applyNumberFormat="1" applyFont="1" applyFill="1" applyBorder="1" applyAlignment="1">
      <alignment horizontal="center"/>
    </xf>
    <xf numFmtId="6" fontId="59" fillId="5" borderId="0" xfId="0" applyNumberFormat="1" applyFont="1" applyFill="1" applyAlignment="1">
      <alignment horizontal="center" vertical="top" wrapText="1"/>
    </xf>
    <xf numFmtId="0" fontId="8" fillId="4" borderId="3" xfId="0" applyFont="1" applyFill="1" applyBorder="1" applyAlignment="1">
      <alignment horizontal="center"/>
    </xf>
    <xf numFmtId="0" fontId="8" fillId="4" borderId="5" xfId="0" applyFont="1" applyFill="1" applyBorder="1" applyAlignment="1">
      <alignment horizontal="center"/>
    </xf>
    <xf numFmtId="0" fontId="0" fillId="2" borderId="5" xfId="0" applyFill="1" applyBorder="1" applyAlignment="1">
      <alignment horizontal="center"/>
    </xf>
    <xf numFmtId="0" fontId="8" fillId="2" borderId="4" xfId="0" applyFont="1" applyFill="1" applyBorder="1" applyAlignment="1">
      <alignment horizontal="center" vertical="center"/>
    </xf>
    <xf numFmtId="0" fontId="8" fillId="4" borderId="44" xfId="0" applyFont="1" applyFill="1" applyBorder="1" applyAlignment="1">
      <alignment horizontal="center" vertical="center"/>
    </xf>
    <xf numFmtId="0" fontId="8" fillId="2" borderId="0" xfId="0" applyFont="1" applyFill="1" applyAlignment="1">
      <alignment horizontal="center" vertical="center"/>
    </xf>
    <xf numFmtId="0" fontId="8" fillId="5" borderId="5" xfId="0" applyFont="1" applyFill="1" applyBorder="1" applyAlignment="1">
      <alignment horizontal="center"/>
    </xf>
    <xf numFmtId="0" fontId="0" fillId="2" borderId="144" xfId="0" applyFill="1" applyBorder="1" applyAlignment="1">
      <alignment horizontal="center"/>
    </xf>
    <xf numFmtId="0" fontId="4" fillId="2" borderId="145" xfId="0" applyFont="1" applyFill="1" applyBorder="1" applyAlignment="1">
      <alignment horizontal="center"/>
    </xf>
    <xf numFmtId="0" fontId="11" fillId="3" borderId="10" xfId="0" applyFont="1" applyFill="1" applyBorder="1" applyAlignment="1">
      <alignment horizontal="center"/>
    </xf>
    <xf numFmtId="172" fontId="8" fillId="6" borderId="0" xfId="0" applyNumberFormat="1" applyFont="1" applyFill="1" applyAlignment="1">
      <alignment horizontal="center" vertical="top"/>
    </xf>
    <xf numFmtId="3" fontId="8" fillId="6" borderId="0" xfId="0" applyNumberFormat="1" applyFont="1" applyFill="1" applyAlignment="1">
      <alignment horizontal="center" vertical="top"/>
    </xf>
    <xf numFmtId="168" fontId="8" fillId="6" borderId="0" xfId="0" applyNumberFormat="1" applyFont="1" applyFill="1" applyAlignment="1">
      <alignment horizontal="center" vertical="top"/>
    </xf>
    <xf numFmtId="0" fontId="59" fillId="6" borderId="0" xfId="0" applyFont="1" applyFill="1" applyAlignment="1">
      <alignment horizontal="center"/>
    </xf>
    <xf numFmtId="0" fontId="59" fillId="6" borderId="0" xfId="0" applyFont="1" applyFill="1" applyAlignment="1">
      <alignment horizontal="center" vertical="top" wrapText="1"/>
    </xf>
    <xf numFmtId="0" fontId="11" fillId="3" borderId="9" xfId="0" applyFont="1" applyFill="1" applyBorder="1" applyAlignment="1">
      <alignment horizontal="center" vertical="center"/>
    </xf>
    <xf numFmtId="0" fontId="8" fillId="4" borderId="10" xfId="0" applyFont="1" applyFill="1" applyBorder="1"/>
    <xf numFmtId="0" fontId="8" fillId="4" borderId="9" xfId="0" applyFont="1" applyFill="1" applyBorder="1" applyAlignment="1">
      <alignment horizontal="center" vertical="center"/>
    </xf>
    <xf numFmtId="0" fontId="8" fillId="4" borderId="11" xfId="0" applyFont="1" applyFill="1" applyBorder="1" applyAlignment="1">
      <alignment horizontal="center" vertical="center"/>
    </xf>
    <xf numFmtId="1" fontId="73" fillId="3" borderId="0" xfId="0" applyNumberFormat="1" applyFont="1" applyFill="1" applyAlignment="1">
      <alignment horizontal="center"/>
    </xf>
    <xf numFmtId="0" fontId="8" fillId="6" borderId="95" xfId="0" applyFont="1" applyFill="1" applyBorder="1" applyAlignment="1">
      <alignment horizontal="left"/>
    </xf>
    <xf numFmtId="0" fontId="13" fillId="2" borderId="12" xfId="0" applyFont="1" applyFill="1" applyBorder="1" applyAlignment="1">
      <alignment horizontal="left" vertical="center"/>
    </xf>
    <xf numFmtId="0" fontId="13" fillId="2" borderId="12" xfId="0" applyFont="1" applyFill="1" applyBorder="1" applyAlignment="1">
      <alignment horizontal="right" vertical="center"/>
    </xf>
    <xf numFmtId="0" fontId="24" fillId="3" borderId="7" xfId="0" applyFont="1" applyFill="1" applyBorder="1" applyAlignment="1">
      <alignment horizontal="center"/>
    </xf>
    <xf numFmtId="0" fontId="9" fillId="3" borderId="7" xfId="0" applyFont="1" applyFill="1" applyBorder="1" applyAlignment="1">
      <alignment horizontal="center"/>
    </xf>
    <xf numFmtId="3" fontId="8" fillId="2" borderId="25" xfId="0" applyNumberFormat="1" applyFont="1" applyFill="1" applyBorder="1" applyAlignment="1">
      <alignment horizontal="right" vertical="top"/>
    </xf>
    <xf numFmtId="167" fontId="33" fillId="6" borderId="0" xfId="0" applyNumberFormat="1" applyFont="1" applyFill="1" applyAlignment="1">
      <alignment horizontal="right"/>
    </xf>
    <xf numFmtId="167" fontId="33" fillId="6" borderId="25" xfId="0" applyNumberFormat="1" applyFont="1" applyFill="1" applyBorder="1" applyAlignment="1">
      <alignment horizontal="right"/>
    </xf>
    <xf numFmtId="0" fontId="6" fillId="2" borderId="12" xfId="0" applyFont="1" applyFill="1" applyBorder="1" applyAlignment="1">
      <alignment horizontal="right"/>
    </xf>
    <xf numFmtId="0" fontId="11" fillId="3" borderId="150" xfId="0" applyFont="1" applyFill="1" applyBorder="1" applyAlignment="1">
      <alignment horizontal="center"/>
    </xf>
    <xf numFmtId="0" fontId="4" fillId="2" borderId="151" xfId="0" applyFont="1" applyFill="1" applyBorder="1" applyAlignment="1">
      <alignment horizontal="center"/>
    </xf>
    <xf numFmtId="0" fontId="7" fillId="2" borderId="0" xfId="0" applyFont="1" applyFill="1" applyAlignment="1">
      <alignment horizontal="right"/>
    </xf>
    <xf numFmtId="0" fontId="60" fillId="2" borderId="0" xfId="0" applyFont="1" applyFill="1"/>
    <xf numFmtId="0" fontId="7" fillId="2" borderId="0" xfId="0" applyFont="1" applyFill="1" applyAlignment="1">
      <alignment horizontal="center"/>
    </xf>
    <xf numFmtId="0" fontId="60" fillId="2" borderId="10" xfId="0" applyFont="1" applyFill="1" applyBorder="1"/>
    <xf numFmtId="0" fontId="26" fillId="3" borderId="0" xfId="0" quotePrefix="1" applyFont="1" applyFill="1"/>
    <xf numFmtId="0" fontId="13" fillId="3" borderId="0" xfId="0" applyFont="1" applyFill="1" applyAlignment="1">
      <alignment horizontal="center" vertical="center"/>
    </xf>
    <xf numFmtId="0" fontId="0" fillId="5" borderId="25" xfId="0" applyFill="1" applyBorder="1"/>
    <xf numFmtId="235" fontId="4" fillId="5" borderId="25" xfId="0" applyNumberFormat="1" applyFont="1" applyFill="1" applyBorder="1" applyAlignment="1">
      <alignment horizontal="center"/>
    </xf>
    <xf numFmtId="0" fontId="0" fillId="5" borderId="25" xfId="0" applyFill="1" applyBorder="1" applyAlignment="1">
      <alignment horizontal="center"/>
    </xf>
    <xf numFmtId="164" fontId="16" fillId="5" borderId="25" xfId="0" applyNumberFormat="1" applyFont="1" applyFill="1" applyBorder="1" applyAlignment="1">
      <alignment horizontal="right"/>
    </xf>
    <xf numFmtId="0" fontId="0" fillId="6" borderId="89" xfId="0" applyFill="1" applyBorder="1"/>
    <xf numFmtId="0" fontId="0" fillId="6" borderId="95" xfId="0" applyFill="1" applyBorder="1"/>
    <xf numFmtId="235" fontId="4" fillId="6" borderId="89" xfId="0" applyNumberFormat="1" applyFont="1" applyFill="1" applyBorder="1" applyAlignment="1">
      <alignment horizontal="center"/>
    </xf>
    <xf numFmtId="235" fontId="4" fillId="6" borderId="95" xfId="0" applyNumberFormat="1" applyFont="1" applyFill="1" applyBorder="1" applyAlignment="1">
      <alignment horizontal="center"/>
    </xf>
    <xf numFmtId="0" fontId="0" fillId="6" borderId="43" xfId="0" applyFill="1" applyBorder="1"/>
    <xf numFmtId="235" fontId="4" fillId="6" borderId="43" xfId="0" applyNumberFormat="1" applyFont="1" applyFill="1" applyBorder="1" applyAlignment="1">
      <alignment horizontal="center"/>
    </xf>
    <xf numFmtId="165" fontId="33" fillId="6" borderId="0" xfId="1" applyNumberFormat="1" applyFont="1" applyFill="1" applyBorder="1" applyAlignment="1">
      <alignment horizontal="right"/>
    </xf>
    <xf numFmtId="165" fontId="33" fillId="6" borderId="25" xfId="1" applyNumberFormat="1" applyFont="1" applyFill="1" applyBorder="1" applyAlignment="1">
      <alignment horizontal="right"/>
    </xf>
    <xf numFmtId="0" fontId="87" fillId="3" borderId="0" xfId="0" applyFont="1" applyFill="1"/>
    <xf numFmtId="2" fontId="4" fillId="5" borderId="0" xfId="0" applyNumberFormat="1" applyFont="1" applyFill="1" applyAlignment="1">
      <alignment horizontal="center"/>
    </xf>
    <xf numFmtId="2" fontId="4" fillId="5" borderId="0" xfId="1" applyNumberFormat="1" applyFont="1" applyFill="1" applyBorder="1" applyAlignment="1">
      <alignment horizontal="center"/>
    </xf>
    <xf numFmtId="191" fontId="25" fillId="6" borderId="0" xfId="0" applyNumberFormat="1" applyFont="1" applyFill="1" applyAlignment="1">
      <alignment horizontal="center"/>
    </xf>
    <xf numFmtId="0" fontId="0" fillId="5" borderId="0" xfId="0" applyFill="1" applyAlignment="1">
      <alignment horizontal="right"/>
    </xf>
    <xf numFmtId="0" fontId="56" fillId="5" borderId="0" xfId="0" applyFont="1" applyFill="1" applyAlignment="1">
      <alignment horizontal="right"/>
    </xf>
    <xf numFmtId="228" fontId="4" fillId="5" borderId="0" xfId="0" applyNumberFormat="1" applyFont="1" applyFill="1"/>
    <xf numFmtId="165" fontId="4" fillId="5" borderId="31" xfId="1" applyNumberFormat="1" applyFont="1" applyFill="1" applyBorder="1"/>
    <xf numFmtId="165" fontId="16" fillId="5" borderId="31" xfId="1" applyNumberFormat="1" applyFont="1" applyFill="1" applyBorder="1"/>
    <xf numFmtId="165" fontId="16" fillId="5" borderId="25" xfId="0" applyNumberFormat="1" applyFont="1" applyFill="1" applyBorder="1" applyAlignment="1">
      <alignment horizontal="right"/>
    </xf>
    <xf numFmtId="0" fontId="16" fillId="5" borderId="25" xfId="0" applyFont="1" applyFill="1" applyBorder="1" applyAlignment="1">
      <alignment horizontal="right"/>
    </xf>
    <xf numFmtId="167" fontId="0" fillId="5" borderId="0" xfId="0" applyNumberFormat="1" applyFill="1"/>
    <xf numFmtId="165" fontId="0" fillId="5" borderId="0" xfId="1" applyNumberFormat="1" applyFont="1" applyFill="1" applyBorder="1" applyAlignment="1">
      <alignment horizontal="right"/>
    </xf>
    <xf numFmtId="0" fontId="0" fillId="5" borderId="31" xfId="0" applyFill="1" applyBorder="1"/>
    <xf numFmtId="165" fontId="0" fillId="5" borderId="31" xfId="0" applyNumberFormat="1" applyFill="1" applyBorder="1" applyAlignment="1">
      <alignment horizontal="right"/>
    </xf>
    <xf numFmtId="0" fontId="0" fillId="5" borderId="31" xfId="0" applyFill="1" applyBorder="1" applyAlignment="1">
      <alignment horizontal="right"/>
    </xf>
    <xf numFmtId="174" fontId="4" fillId="5" borderId="0" xfId="0" applyNumberFormat="1" applyFont="1" applyFill="1"/>
    <xf numFmtId="0" fontId="4" fillId="5" borderId="0" xfId="0" applyFont="1" applyFill="1" applyAlignment="1">
      <alignment vertical="top" wrapText="1"/>
    </xf>
    <xf numFmtId="172" fontId="4" fillId="5" borderId="0" xfId="0" applyNumberFormat="1" applyFont="1" applyFill="1"/>
    <xf numFmtId="184" fontId="24" fillId="5" borderId="0" xfId="0" applyNumberFormat="1" applyFont="1" applyFill="1" applyAlignment="1">
      <alignment horizontal="center" vertical="top"/>
    </xf>
    <xf numFmtId="0" fontId="8" fillId="5" borderId="0" xfId="0" applyFont="1" applyFill="1" applyAlignment="1">
      <alignment horizontal="left" vertical="top" indent="4"/>
    </xf>
    <xf numFmtId="206" fontId="59" fillId="5" borderId="0" xfId="0" applyNumberFormat="1" applyFont="1" applyFill="1" applyAlignment="1">
      <alignment horizontal="center" vertical="top"/>
    </xf>
    <xf numFmtId="171" fontId="8" fillId="5" borderId="0" xfId="0" applyNumberFormat="1" applyFont="1" applyFill="1" applyAlignment="1">
      <alignment horizontal="center"/>
    </xf>
    <xf numFmtId="216" fontId="59" fillId="5" borderId="0" xfId="0" applyNumberFormat="1" applyFont="1" applyFill="1" applyAlignment="1">
      <alignment horizontal="center" vertical="top"/>
    </xf>
    <xf numFmtId="165" fontId="4" fillId="5" borderId="0" xfId="1" applyNumberFormat="1" applyFont="1" applyFill="1" applyBorder="1" applyAlignment="1">
      <alignment vertical="top"/>
    </xf>
    <xf numFmtId="0" fontId="16" fillId="5" borderId="25" xfId="0" applyFont="1" applyFill="1" applyBorder="1" applyAlignment="1">
      <alignment horizontal="left"/>
    </xf>
    <xf numFmtId="0" fontId="4" fillId="5" borderId="25" xfId="0" applyFont="1" applyFill="1" applyBorder="1" applyAlignment="1">
      <alignment horizontal="right"/>
    </xf>
    <xf numFmtId="184" fontId="4" fillId="5" borderId="0" xfId="0" applyNumberFormat="1" applyFont="1" applyFill="1" applyAlignment="1">
      <alignment horizontal="left" indent="2"/>
    </xf>
    <xf numFmtId="205" fontId="16" fillId="5" borderId="0" xfId="0" applyNumberFormat="1" applyFont="1" applyFill="1" applyAlignment="1">
      <alignment horizontal="right" vertical="center"/>
    </xf>
    <xf numFmtId="205" fontId="4" fillId="5" borderId="31" xfId="0" applyNumberFormat="1" applyFont="1" applyFill="1" applyBorder="1" applyAlignment="1">
      <alignment horizontal="right"/>
    </xf>
    <xf numFmtId="0" fontId="8" fillId="6" borderId="25" xfId="0" applyFont="1" applyFill="1" applyBorder="1" applyAlignment="1">
      <alignment horizontal="left"/>
    </xf>
    <xf numFmtId="0" fontId="8" fillId="6" borderId="89" xfId="0" applyFont="1" applyFill="1" applyBorder="1" applyAlignment="1">
      <alignment horizontal="left"/>
    </xf>
    <xf numFmtId="0" fontId="7" fillId="2" borderId="10" xfId="0" applyFont="1" applyFill="1" applyBorder="1"/>
    <xf numFmtId="0" fontId="11" fillId="3" borderId="158" xfId="0" applyFont="1" applyFill="1" applyBorder="1" applyAlignment="1">
      <alignment horizontal="center"/>
    </xf>
    <xf numFmtId="0" fontId="11" fillId="3" borderId="159" xfId="0" applyFont="1" applyFill="1" applyBorder="1" applyAlignment="1">
      <alignment horizontal="center"/>
    </xf>
    <xf numFmtId="0" fontId="8" fillId="5" borderId="158" xfId="0" applyFont="1" applyFill="1" applyBorder="1" applyAlignment="1">
      <alignment horizontal="center"/>
    </xf>
    <xf numFmtId="0" fontId="8" fillId="5" borderId="159" xfId="0" applyFont="1" applyFill="1" applyBorder="1" applyAlignment="1">
      <alignment horizontal="center"/>
    </xf>
    <xf numFmtId="184" fontId="8" fillId="6" borderId="89" xfId="0" applyNumberFormat="1" applyFont="1" applyFill="1" applyBorder="1" applyAlignment="1">
      <alignment horizontal="center" vertical="top"/>
    </xf>
    <xf numFmtId="184" fontId="8" fillId="6" borderId="95" xfId="0" applyNumberFormat="1" applyFont="1" applyFill="1" applyBorder="1" applyAlignment="1">
      <alignment horizontal="center" vertical="top" wrapText="1"/>
    </xf>
    <xf numFmtId="224" fontId="8" fillId="6" borderId="95" xfId="0" applyNumberFormat="1" applyFont="1" applyFill="1" applyBorder="1" applyAlignment="1">
      <alignment horizontal="center" vertical="top" wrapText="1"/>
    </xf>
    <xf numFmtId="212" fontId="8" fillId="6" borderId="43" xfId="0" applyNumberFormat="1" applyFont="1" applyFill="1" applyBorder="1" applyAlignment="1">
      <alignment horizontal="center" vertical="top"/>
    </xf>
    <xf numFmtId="1" fontId="59" fillId="6" borderId="0" xfId="0" applyNumberFormat="1" applyFont="1" applyFill="1" applyAlignment="1">
      <alignment horizontal="center" vertical="top"/>
    </xf>
    <xf numFmtId="1" fontId="8" fillId="6" borderId="0" xfId="0" applyNumberFormat="1" applyFont="1" applyFill="1" applyAlignment="1">
      <alignment horizontal="center" vertical="top"/>
    </xf>
    <xf numFmtId="186" fontId="59" fillId="6" borderId="0" xfId="0" applyNumberFormat="1" applyFont="1" applyFill="1" applyAlignment="1">
      <alignment horizontal="center" vertical="top"/>
    </xf>
    <xf numFmtId="201" fontId="8" fillId="6" borderId="0" xfId="0" applyNumberFormat="1" applyFont="1" applyFill="1" applyAlignment="1">
      <alignment horizontal="center" vertical="top" wrapText="1"/>
    </xf>
    <xf numFmtId="201" fontId="59" fillId="6" borderId="0" xfId="0" applyNumberFormat="1" applyFont="1" applyFill="1" applyAlignment="1">
      <alignment horizontal="center" vertical="top" wrapText="1"/>
    </xf>
    <xf numFmtId="181" fontId="59" fillId="6" borderId="0" xfId="0" applyNumberFormat="1" applyFont="1" applyFill="1" applyAlignment="1">
      <alignment horizontal="center" vertical="top"/>
    </xf>
    <xf numFmtId="165" fontId="59" fillId="6" borderId="0" xfId="0" applyNumberFormat="1" applyFont="1" applyFill="1" applyAlignment="1">
      <alignment horizontal="center" vertical="top"/>
    </xf>
    <xf numFmtId="171" fontId="59" fillId="6" borderId="0" xfId="0" applyNumberFormat="1" applyFont="1" applyFill="1" applyAlignment="1">
      <alignment horizontal="center" vertical="top"/>
    </xf>
    <xf numFmtId="216" fontId="59" fillId="6" borderId="0" xfId="0" applyNumberFormat="1" applyFont="1" applyFill="1" applyAlignment="1">
      <alignment horizontal="center" vertical="top"/>
    </xf>
    <xf numFmtId="0" fontId="4" fillId="5" borderId="25" xfId="0" applyFont="1" applyFill="1" applyBorder="1" applyAlignment="1">
      <alignment horizontal="left"/>
    </xf>
    <xf numFmtId="205" fontId="16" fillId="5" borderId="25" xfId="0" applyNumberFormat="1" applyFont="1" applyFill="1" applyBorder="1" applyAlignment="1">
      <alignment horizontal="right"/>
    </xf>
    <xf numFmtId="195" fontId="16" fillId="5" borderId="0" xfId="0" applyNumberFormat="1" applyFont="1" applyFill="1"/>
    <xf numFmtId="205" fontId="16" fillId="5" borderId="33" xfId="0" applyNumberFormat="1" applyFont="1" applyFill="1" applyBorder="1" applyAlignment="1">
      <alignment horizontal="right"/>
    </xf>
    <xf numFmtId="205" fontId="16" fillId="5" borderId="31" xfId="0" applyNumberFormat="1" applyFont="1" applyFill="1" applyBorder="1" applyAlignment="1">
      <alignment horizontal="right" vertical="center"/>
    </xf>
    <xf numFmtId="0" fontId="0" fillId="0" borderId="0" xfId="0" applyAlignment="1">
      <alignment vertical="center"/>
    </xf>
    <xf numFmtId="0" fontId="63" fillId="2" borderId="42" xfId="0" applyFont="1" applyFill="1" applyBorder="1" applyAlignment="1">
      <alignment vertical="top"/>
    </xf>
    <xf numFmtId="0" fontId="0" fillId="4" borderId="3" xfId="0" applyFill="1" applyBorder="1" applyAlignment="1">
      <alignment horizontal="center"/>
    </xf>
    <xf numFmtId="0" fontId="0" fillId="4" borderId="4" xfId="0" applyFill="1" applyBorder="1" applyAlignment="1">
      <alignment horizontal="center" wrapText="1"/>
    </xf>
    <xf numFmtId="0" fontId="0" fillId="2" borderId="9" xfId="0" applyFill="1" applyBorder="1" applyAlignment="1">
      <alignment vertical="top"/>
    </xf>
    <xf numFmtId="0" fontId="0" fillId="2" borderId="10" xfId="0" applyFill="1" applyBorder="1" applyAlignment="1">
      <alignment vertical="top"/>
    </xf>
    <xf numFmtId="0" fontId="0" fillId="3" borderId="0" xfId="0" applyFill="1" applyAlignment="1">
      <alignment vertical="top"/>
    </xf>
    <xf numFmtId="165" fontId="4" fillId="5" borderId="0" xfId="1" applyNumberFormat="1" applyFont="1" applyFill="1" applyBorder="1" applyAlignment="1">
      <alignment horizontal="right" vertical="top"/>
    </xf>
    <xf numFmtId="0" fontId="0" fillId="0" borderId="0" xfId="0" applyAlignment="1">
      <alignment vertical="top"/>
    </xf>
    <xf numFmtId="0" fontId="0" fillId="2" borderId="149" xfId="0" applyFill="1" applyBorder="1" applyAlignment="1">
      <alignment horizontal="center" vertical="top"/>
    </xf>
    <xf numFmtId="0" fontId="4" fillId="2" borderId="149" xfId="0" applyFont="1" applyFill="1" applyBorder="1" applyAlignment="1">
      <alignment horizontal="center" vertical="top"/>
    </xf>
    <xf numFmtId="167" fontId="4" fillId="2" borderId="149" xfId="0" applyNumberFormat="1" applyFont="1" applyFill="1" applyBorder="1" applyAlignment="1">
      <alignment horizontal="right" vertical="top"/>
    </xf>
    <xf numFmtId="0" fontId="8" fillId="2" borderId="25" xfId="0" applyFont="1" applyFill="1" applyBorder="1" applyAlignment="1">
      <alignment horizontal="center" vertical="top"/>
    </xf>
    <xf numFmtId="1" fontId="8" fillId="2" borderId="25" xfId="0" applyNumberFormat="1" applyFont="1" applyFill="1" applyBorder="1" applyAlignment="1">
      <alignment horizontal="center" vertical="top"/>
    </xf>
    <xf numFmtId="165" fontId="8" fillId="2" borderId="25" xfId="0" applyNumberFormat="1" applyFont="1" applyFill="1" applyBorder="1" applyAlignment="1">
      <alignment horizontal="center" vertical="top"/>
    </xf>
    <xf numFmtId="219" fontId="8" fillId="2" borderId="25" xfId="0" applyNumberFormat="1" applyFont="1" applyFill="1" applyBorder="1" applyAlignment="1">
      <alignment horizontal="center" vertical="top"/>
    </xf>
    <xf numFmtId="3" fontId="8" fillId="2" borderId="25" xfId="0" applyNumberFormat="1" applyFont="1" applyFill="1" applyBorder="1" applyAlignment="1">
      <alignment horizontal="center" vertical="top"/>
    </xf>
    <xf numFmtId="0" fontId="8" fillId="6" borderId="12" xfId="0" applyFont="1" applyFill="1" applyBorder="1"/>
    <xf numFmtId="0" fontId="8" fillId="6" borderId="12" xfId="0" applyFont="1" applyFill="1" applyBorder="1" applyAlignment="1">
      <alignment horizontal="center"/>
    </xf>
    <xf numFmtId="0" fontId="4" fillId="3" borderId="0" xfId="0" applyFont="1" applyFill="1" applyAlignment="1">
      <alignment horizontal="right" wrapText="1" indent="1"/>
    </xf>
    <xf numFmtId="0" fontId="24" fillId="3" borderId="0" xfId="0" applyFont="1" applyFill="1" applyAlignment="1">
      <alignment horizontal="right" vertical="center" wrapText="1" indent="1"/>
    </xf>
    <xf numFmtId="0" fontId="24" fillId="3" borderId="0" xfId="0" applyFont="1" applyFill="1" applyAlignment="1">
      <alignment horizontal="right" wrapText="1" indent="1"/>
    </xf>
    <xf numFmtId="0" fontId="8" fillId="2" borderId="7" xfId="0" applyFont="1" applyFill="1" applyBorder="1" applyAlignment="1">
      <alignment horizontal="right" wrapText="1" indent="1"/>
    </xf>
    <xf numFmtId="0" fontId="11" fillId="2" borderId="0" xfId="0" applyFont="1" applyFill="1" applyAlignment="1">
      <alignment horizontal="right" vertical="top" wrapText="1" indent="1"/>
    </xf>
    <xf numFmtId="187" fontId="11" fillId="3" borderId="0" xfId="0" applyNumberFormat="1" applyFont="1" applyFill="1" applyAlignment="1">
      <alignment horizontal="right" vertical="top" wrapText="1" indent="1"/>
    </xf>
    <xf numFmtId="0" fontId="8" fillId="5" borderId="0" xfId="0" applyFont="1" applyFill="1" applyAlignment="1">
      <alignment horizontal="right" vertical="top" wrapText="1" indent="1"/>
    </xf>
    <xf numFmtId="1" fontId="8" fillId="5" borderId="0" xfId="0" applyNumberFormat="1" applyFont="1" applyFill="1" applyAlignment="1">
      <alignment horizontal="right" vertical="top" wrapText="1" indent="1"/>
    </xf>
    <xf numFmtId="174" fontId="8" fillId="5" borderId="0" xfId="0" applyNumberFormat="1" applyFont="1" applyFill="1" applyAlignment="1">
      <alignment horizontal="right" vertical="top" wrapText="1" indent="1"/>
    </xf>
    <xf numFmtId="0" fontId="8" fillId="6" borderId="0" xfId="0" applyFont="1" applyFill="1" applyAlignment="1">
      <alignment horizontal="right" vertical="top" wrapText="1" indent="1"/>
    </xf>
    <xf numFmtId="167" fontId="12" fillId="5" borderId="19" xfId="0" applyNumberFormat="1" applyFont="1" applyFill="1" applyBorder="1" applyAlignment="1">
      <alignment horizontal="right" vertical="top" wrapText="1" indent="1"/>
    </xf>
    <xf numFmtId="167" fontId="8" fillId="5" borderId="0" xfId="0" applyNumberFormat="1" applyFont="1" applyFill="1" applyAlignment="1">
      <alignment horizontal="right" vertical="top" wrapText="1" indent="1"/>
    </xf>
    <xf numFmtId="1" fontId="9" fillId="5" borderId="0" xfId="0" applyNumberFormat="1" applyFont="1" applyFill="1" applyAlignment="1">
      <alignment horizontal="right" vertical="top" wrapText="1" indent="1"/>
    </xf>
    <xf numFmtId="0" fontId="4" fillId="5" borderId="0" xfId="0" applyFont="1" applyFill="1" applyAlignment="1">
      <alignment horizontal="right" vertical="top" wrapText="1" indent="1"/>
    </xf>
    <xf numFmtId="0" fontId="59" fillId="5" borderId="0" xfId="0" applyFont="1" applyFill="1" applyAlignment="1">
      <alignment horizontal="right" vertical="top" wrapText="1" indent="1"/>
    </xf>
    <xf numFmtId="1" fontId="59" fillId="5" borderId="0" xfId="0" applyNumberFormat="1" applyFont="1" applyFill="1" applyAlignment="1">
      <alignment horizontal="right" vertical="top" wrapText="1" indent="1"/>
    </xf>
    <xf numFmtId="167" fontId="59" fillId="5" borderId="0" xfId="0" applyNumberFormat="1" applyFont="1" applyFill="1" applyAlignment="1">
      <alignment horizontal="right" vertical="top" wrapText="1" indent="1"/>
    </xf>
    <xf numFmtId="167" fontId="13" fillId="6" borderId="0" xfId="0" applyNumberFormat="1" applyFont="1" applyFill="1" applyAlignment="1">
      <alignment horizontal="right" vertical="top" wrapText="1" indent="1"/>
    </xf>
    <xf numFmtId="175" fontId="59" fillId="6" borderId="0" xfId="0" applyNumberFormat="1" applyFont="1" applyFill="1" applyAlignment="1">
      <alignment horizontal="right" vertical="top" wrapText="1" indent="1"/>
    </xf>
    <xf numFmtId="165" fontId="13" fillId="6" borderId="0" xfId="1" applyNumberFormat="1" applyFont="1" applyFill="1" applyBorder="1" applyAlignment="1">
      <alignment horizontal="right" vertical="top" wrapText="1" indent="1"/>
    </xf>
    <xf numFmtId="164" fontId="13" fillId="6" borderId="0" xfId="0" applyNumberFormat="1" applyFont="1" applyFill="1" applyAlignment="1">
      <alignment horizontal="right" vertical="top" wrapText="1" indent="1"/>
    </xf>
    <xf numFmtId="176" fontId="59" fillId="5" borderId="0" xfId="0" applyNumberFormat="1" applyFont="1" applyFill="1" applyAlignment="1">
      <alignment horizontal="right" vertical="top" wrapText="1" indent="1"/>
    </xf>
    <xf numFmtId="214" fontId="8" fillId="5" borderId="0" xfId="0" applyNumberFormat="1" applyFont="1" applyFill="1" applyAlignment="1">
      <alignment horizontal="right" wrapText="1" indent="1"/>
    </xf>
    <xf numFmtId="165" fontId="9" fillId="5" borderId="0" xfId="1" applyNumberFormat="1" applyFont="1" applyFill="1" applyBorder="1" applyAlignment="1">
      <alignment horizontal="right" vertical="top" wrapText="1" indent="1"/>
    </xf>
    <xf numFmtId="186" fontId="59" fillId="5" borderId="0" xfId="0" applyNumberFormat="1" applyFont="1" applyFill="1" applyAlignment="1">
      <alignment horizontal="right" vertical="top" wrapText="1" indent="1"/>
    </xf>
    <xf numFmtId="1" fontId="59" fillId="6" borderId="0" xfId="0" applyNumberFormat="1" applyFont="1" applyFill="1" applyAlignment="1">
      <alignment horizontal="right" vertical="top" wrapText="1" indent="1"/>
    </xf>
    <xf numFmtId="181" fontId="59" fillId="5" borderId="0" xfId="0" applyNumberFormat="1" applyFont="1" applyFill="1" applyAlignment="1">
      <alignment horizontal="right" vertical="top" wrapText="1" indent="1"/>
    </xf>
    <xf numFmtId="165" fontId="59" fillId="5" borderId="0" xfId="0" applyNumberFormat="1" applyFont="1" applyFill="1" applyAlignment="1">
      <alignment horizontal="right" vertical="top" wrapText="1" indent="1"/>
    </xf>
    <xf numFmtId="171" fontId="59" fillId="5" borderId="0" xfId="0" applyNumberFormat="1" applyFont="1" applyFill="1" applyAlignment="1">
      <alignment horizontal="right" vertical="top" wrapText="1" indent="1"/>
    </xf>
    <xf numFmtId="165" fontId="8" fillId="5" borderId="17" xfId="0" applyNumberFormat="1" applyFont="1" applyFill="1" applyBorder="1" applyAlignment="1">
      <alignment horizontal="right" vertical="top" wrapText="1" indent="1"/>
    </xf>
    <xf numFmtId="165" fontId="8" fillId="5" borderId="0" xfId="0" applyNumberFormat="1" applyFont="1" applyFill="1" applyAlignment="1">
      <alignment horizontal="right" vertical="top" wrapText="1" indent="1"/>
    </xf>
    <xf numFmtId="165" fontId="12" fillId="5" borderId="0" xfId="0" applyNumberFormat="1" applyFont="1" applyFill="1" applyAlignment="1">
      <alignment horizontal="right" vertical="top" wrapText="1" indent="1"/>
    </xf>
    <xf numFmtId="0" fontId="8" fillId="2" borderId="29" xfId="0" applyFont="1" applyFill="1" applyBorder="1" applyAlignment="1">
      <alignment horizontal="right" wrapText="1" indent="1"/>
    </xf>
    <xf numFmtId="0" fontId="11" fillId="3" borderId="0" xfId="0" applyFont="1" applyFill="1" applyAlignment="1">
      <alignment horizontal="right" wrapText="1" indent="1"/>
    </xf>
    <xf numFmtId="0" fontId="9" fillId="3" borderId="0" xfId="0" applyFont="1" applyFill="1" applyAlignment="1">
      <alignment horizontal="right" wrapText="1" indent="1"/>
    </xf>
    <xf numFmtId="0" fontId="9" fillId="6" borderId="7" xfId="0" applyFont="1" applyFill="1" applyBorder="1" applyAlignment="1">
      <alignment horizontal="right" wrapText="1" indent="1"/>
    </xf>
    <xf numFmtId="0" fontId="9" fillId="2" borderId="0" xfId="0" applyFont="1" applyFill="1" applyAlignment="1">
      <alignment horizontal="right" wrapText="1" indent="1"/>
    </xf>
    <xf numFmtId="173" fontId="11" fillId="3" borderId="0" xfId="0" applyNumberFormat="1" applyFont="1" applyFill="1" applyAlignment="1">
      <alignment horizontal="right" vertical="top" wrapText="1" indent="1"/>
    </xf>
    <xf numFmtId="0" fontId="8" fillId="5" borderId="0" xfId="0" applyFont="1" applyFill="1" applyAlignment="1">
      <alignment horizontal="right" wrapText="1" indent="1"/>
    </xf>
    <xf numFmtId="164" fontId="8" fillId="5" borderId="0" xfId="0" applyNumberFormat="1" applyFont="1" applyFill="1" applyAlignment="1">
      <alignment horizontal="right" vertical="top" wrapText="1" indent="1"/>
    </xf>
    <xf numFmtId="168" fontId="8" fillId="5" borderId="0" xfId="0" applyNumberFormat="1" applyFont="1" applyFill="1" applyAlignment="1">
      <alignment horizontal="right" vertical="top" wrapText="1" indent="1"/>
    </xf>
    <xf numFmtId="3" fontId="8" fillId="5" borderId="0" xfId="0" applyNumberFormat="1" applyFont="1" applyFill="1" applyAlignment="1">
      <alignment horizontal="right" vertical="top" wrapText="1" indent="1"/>
    </xf>
    <xf numFmtId="164" fontId="12" fillId="5" borderId="19" xfId="0" applyNumberFormat="1" applyFont="1" applyFill="1" applyBorder="1" applyAlignment="1">
      <alignment horizontal="right" vertical="top" wrapText="1" indent="1"/>
    </xf>
    <xf numFmtId="1" fontId="59" fillId="5" borderId="0" xfId="0" applyNumberFormat="1" applyFont="1" applyFill="1" applyAlignment="1">
      <alignment horizontal="right" wrapText="1" indent="1"/>
    </xf>
    <xf numFmtId="165" fontId="13" fillId="6" borderId="0" xfId="1" applyNumberFormat="1" applyFont="1" applyFill="1" applyBorder="1" applyAlignment="1">
      <alignment horizontal="right" wrapText="1" indent="1"/>
    </xf>
    <xf numFmtId="164" fontId="13" fillId="6" borderId="0" xfId="0" applyNumberFormat="1" applyFont="1" applyFill="1" applyAlignment="1">
      <alignment horizontal="right" wrapText="1" indent="1"/>
    </xf>
    <xf numFmtId="167" fontId="13" fillId="6" borderId="0" xfId="0" applyNumberFormat="1" applyFont="1" applyFill="1" applyAlignment="1">
      <alignment horizontal="right" wrapText="1" indent="1"/>
    </xf>
    <xf numFmtId="175" fontId="8" fillId="5" borderId="78" xfId="0" applyNumberFormat="1" applyFont="1" applyFill="1" applyBorder="1" applyAlignment="1">
      <alignment horizontal="right" wrapText="1" indent="1"/>
    </xf>
    <xf numFmtId="1" fontId="9" fillId="5" borderId="0" xfId="0" applyNumberFormat="1" applyFont="1" applyFill="1" applyAlignment="1">
      <alignment horizontal="right" wrapText="1" indent="1"/>
    </xf>
    <xf numFmtId="165" fontId="59" fillId="5" borderId="0" xfId="0" applyNumberFormat="1" applyFont="1" applyFill="1" applyAlignment="1">
      <alignment horizontal="right" wrapText="1" indent="1"/>
    </xf>
    <xf numFmtId="6" fontId="59" fillId="5" borderId="0" xfId="0" applyNumberFormat="1" applyFont="1" applyFill="1" applyAlignment="1">
      <alignment horizontal="right" wrapText="1" indent="1"/>
    </xf>
    <xf numFmtId="175" fontId="12" fillId="5" borderId="78" xfId="0" applyNumberFormat="1" applyFont="1" applyFill="1" applyBorder="1" applyAlignment="1">
      <alignment horizontal="right" wrapText="1" indent="1"/>
    </xf>
    <xf numFmtId="167" fontId="8" fillId="5" borderId="0" xfId="0" applyNumberFormat="1" applyFont="1" applyFill="1" applyAlignment="1">
      <alignment horizontal="right" wrapText="1" indent="1"/>
    </xf>
    <xf numFmtId="176" fontId="59" fillId="5" borderId="0" xfId="0" applyNumberFormat="1" applyFont="1" applyFill="1" applyAlignment="1">
      <alignment horizontal="right" wrapText="1" indent="1"/>
    </xf>
    <xf numFmtId="175" fontId="12" fillId="5" borderId="19" xfId="0" applyNumberFormat="1" applyFont="1" applyFill="1" applyBorder="1" applyAlignment="1">
      <alignment horizontal="right" wrapText="1" indent="1"/>
    </xf>
    <xf numFmtId="165" fontId="9" fillId="5" borderId="0" xfId="1" applyNumberFormat="1" applyFont="1" applyFill="1" applyBorder="1" applyAlignment="1">
      <alignment horizontal="right" wrapText="1" indent="1"/>
    </xf>
    <xf numFmtId="0" fontId="4" fillId="5" borderId="0" xfId="0" applyFont="1" applyFill="1" applyAlignment="1">
      <alignment horizontal="right" wrapText="1" indent="1"/>
    </xf>
    <xf numFmtId="0" fontId="59" fillId="6" borderId="0" xfId="0" applyFont="1" applyFill="1" applyAlignment="1">
      <alignment horizontal="right" vertical="top" wrapText="1" indent="1"/>
    </xf>
    <xf numFmtId="214" fontId="8" fillId="5" borderId="19" xfId="0" applyNumberFormat="1" applyFont="1" applyFill="1" applyBorder="1" applyAlignment="1">
      <alignment horizontal="right" wrapText="1" indent="1"/>
    </xf>
    <xf numFmtId="165" fontId="12" fillId="5" borderId="0" xfId="0" applyNumberFormat="1" applyFont="1" applyFill="1" applyAlignment="1">
      <alignment horizontal="right" wrapText="1" indent="1"/>
    </xf>
    <xf numFmtId="175" fontId="12" fillId="5" borderId="25" xfId="0" applyNumberFormat="1" applyFont="1" applyFill="1" applyBorder="1" applyAlignment="1">
      <alignment horizontal="right" wrapText="1" indent="1"/>
    </xf>
    <xf numFmtId="0" fontId="8" fillId="2" borderId="12" xfId="0" applyFont="1" applyFill="1" applyBorder="1" applyAlignment="1">
      <alignment horizontal="right" wrapText="1" indent="1"/>
    </xf>
    <xf numFmtId="0" fontId="8" fillId="3" borderId="0" xfId="0" applyFont="1" applyFill="1" applyAlignment="1">
      <alignment horizontal="right" wrapText="1" indent="1"/>
    </xf>
    <xf numFmtId="0" fontId="40" fillId="3" borderId="0" xfId="0" applyFont="1" applyFill="1" applyAlignment="1">
      <alignment horizontal="right" wrapText="1" indent="1"/>
    </xf>
    <xf numFmtId="0" fontId="0" fillId="0" borderId="0" xfId="0" applyAlignment="1">
      <alignment horizontal="right" wrapText="1" indent="1"/>
    </xf>
    <xf numFmtId="0" fontId="4" fillId="3" borderId="0" xfId="0" applyFont="1" applyFill="1" applyAlignment="1">
      <alignment horizontal="right" indent="1"/>
    </xf>
    <xf numFmtId="0" fontId="11" fillId="3" borderId="0" xfId="0" applyFont="1" applyFill="1" applyAlignment="1">
      <alignment horizontal="right" indent="1"/>
    </xf>
    <xf numFmtId="0" fontId="9" fillId="3" borderId="0" xfId="0" applyFont="1" applyFill="1" applyAlignment="1">
      <alignment horizontal="right" indent="1"/>
    </xf>
    <xf numFmtId="0" fontId="9" fillId="6" borderId="7" xfId="0" applyFont="1" applyFill="1" applyBorder="1" applyAlignment="1">
      <alignment horizontal="right" indent="1"/>
    </xf>
    <xf numFmtId="0" fontId="9" fillId="2" borderId="0" xfId="0" applyFont="1" applyFill="1" applyAlignment="1">
      <alignment horizontal="right" indent="1"/>
    </xf>
    <xf numFmtId="173" fontId="11" fillId="3" borderId="0" xfId="0" applyNumberFormat="1" applyFont="1" applyFill="1" applyAlignment="1">
      <alignment horizontal="right" vertical="top" indent="1"/>
    </xf>
    <xf numFmtId="0" fontId="8" fillId="5" borderId="0" xfId="0" applyFont="1" applyFill="1" applyAlignment="1">
      <alignment horizontal="right" indent="1"/>
    </xf>
    <xf numFmtId="1" fontId="8" fillId="5" borderId="0" xfId="0" applyNumberFormat="1" applyFont="1" applyFill="1" applyAlignment="1">
      <alignment horizontal="right" vertical="top" indent="1"/>
    </xf>
    <xf numFmtId="174" fontId="8" fillId="5" borderId="0" xfId="0" applyNumberFormat="1" applyFont="1" applyFill="1" applyAlignment="1">
      <alignment horizontal="right" vertical="top" indent="1"/>
    </xf>
    <xf numFmtId="164" fontId="8" fillId="5" borderId="0" xfId="0" applyNumberFormat="1" applyFont="1" applyFill="1" applyAlignment="1">
      <alignment horizontal="right" vertical="top" indent="1"/>
    </xf>
    <xf numFmtId="168" fontId="8" fillId="5" borderId="0" xfId="0" applyNumberFormat="1" applyFont="1" applyFill="1" applyAlignment="1">
      <alignment horizontal="right" vertical="top" indent="1"/>
    </xf>
    <xf numFmtId="3" fontId="8" fillId="5" borderId="0" xfId="0" applyNumberFormat="1" applyFont="1" applyFill="1" applyAlignment="1">
      <alignment horizontal="right" vertical="top" indent="1"/>
    </xf>
    <xf numFmtId="164" fontId="12" fillId="5" borderId="19" xfId="0" applyNumberFormat="1" applyFont="1" applyFill="1" applyBorder="1" applyAlignment="1">
      <alignment horizontal="right" vertical="top" indent="1"/>
    </xf>
    <xf numFmtId="167" fontId="12" fillId="5" borderId="19" xfId="0" applyNumberFormat="1" applyFont="1" applyFill="1" applyBorder="1" applyAlignment="1">
      <alignment horizontal="right" vertical="top" indent="1"/>
    </xf>
    <xf numFmtId="1" fontId="9" fillId="5" borderId="0" xfId="0" applyNumberFormat="1" applyFont="1" applyFill="1" applyAlignment="1">
      <alignment horizontal="right" vertical="top" indent="1"/>
    </xf>
    <xf numFmtId="0" fontId="4" fillId="5" borderId="0" xfId="0" applyFont="1" applyFill="1" applyAlignment="1">
      <alignment horizontal="right" vertical="top" indent="1"/>
    </xf>
    <xf numFmtId="214" fontId="8" fillId="5" borderId="0" xfId="0" applyNumberFormat="1" applyFont="1" applyFill="1" applyAlignment="1">
      <alignment horizontal="right" indent="1"/>
    </xf>
    <xf numFmtId="165" fontId="13" fillId="6" borderId="0" xfId="1" applyNumberFormat="1" applyFont="1" applyFill="1" applyBorder="1" applyAlignment="1">
      <alignment horizontal="right" indent="1"/>
    </xf>
    <xf numFmtId="164" fontId="13" fillId="6" borderId="0" xfId="0" applyNumberFormat="1" applyFont="1" applyFill="1" applyAlignment="1">
      <alignment horizontal="right" indent="1"/>
    </xf>
    <xf numFmtId="167" fontId="13" fillId="6" borderId="0" xfId="0" applyNumberFormat="1" applyFont="1" applyFill="1" applyAlignment="1">
      <alignment horizontal="right" indent="1"/>
    </xf>
    <xf numFmtId="167" fontId="8" fillId="5" borderId="78" xfId="0" applyNumberFormat="1" applyFont="1" applyFill="1" applyBorder="1" applyAlignment="1">
      <alignment horizontal="right" indent="1"/>
    </xf>
    <xf numFmtId="1" fontId="9" fillId="5" borderId="0" xfId="0" applyNumberFormat="1" applyFont="1" applyFill="1" applyAlignment="1">
      <alignment horizontal="right" indent="1"/>
    </xf>
    <xf numFmtId="6" fontId="59" fillId="5" borderId="0" xfId="0" applyNumberFormat="1" applyFont="1" applyFill="1" applyAlignment="1">
      <alignment horizontal="right" indent="1"/>
    </xf>
    <xf numFmtId="167" fontId="12" fillId="5" borderId="78" xfId="0" applyNumberFormat="1" applyFont="1" applyFill="1" applyBorder="1" applyAlignment="1">
      <alignment horizontal="right" indent="1"/>
    </xf>
    <xf numFmtId="167" fontId="8" fillId="5" borderId="0" xfId="0" applyNumberFormat="1" applyFont="1" applyFill="1" applyAlignment="1">
      <alignment horizontal="right" indent="1"/>
    </xf>
    <xf numFmtId="176" fontId="59" fillId="5" borderId="0" xfId="0" applyNumberFormat="1" applyFont="1" applyFill="1" applyAlignment="1">
      <alignment horizontal="right" indent="1"/>
    </xf>
    <xf numFmtId="167" fontId="12" fillId="5" borderId="19" xfId="0" applyNumberFormat="1" applyFont="1" applyFill="1" applyBorder="1" applyAlignment="1">
      <alignment horizontal="right" indent="1"/>
    </xf>
    <xf numFmtId="165" fontId="9" fillId="5" borderId="0" xfId="1" applyNumberFormat="1" applyFont="1" applyFill="1" applyBorder="1" applyAlignment="1">
      <alignment horizontal="right" indent="1"/>
    </xf>
    <xf numFmtId="0" fontId="4" fillId="5" borderId="0" xfId="0" applyFont="1" applyFill="1" applyAlignment="1">
      <alignment horizontal="right" indent="1"/>
    </xf>
    <xf numFmtId="1" fontId="59" fillId="5" borderId="0" xfId="0" applyNumberFormat="1" applyFont="1" applyFill="1" applyAlignment="1">
      <alignment horizontal="right" vertical="top" indent="1"/>
    </xf>
    <xf numFmtId="214" fontId="8" fillId="5" borderId="19" xfId="0" applyNumberFormat="1" applyFont="1" applyFill="1" applyBorder="1" applyAlignment="1">
      <alignment horizontal="right" indent="1"/>
    </xf>
    <xf numFmtId="165" fontId="12" fillId="5" borderId="0" xfId="0" applyNumberFormat="1" applyFont="1" applyFill="1" applyAlignment="1">
      <alignment horizontal="right" indent="1"/>
    </xf>
    <xf numFmtId="167" fontId="12" fillId="5" borderId="25" xfId="0" applyNumberFormat="1" applyFont="1" applyFill="1" applyBorder="1" applyAlignment="1">
      <alignment horizontal="right" indent="1"/>
    </xf>
    <xf numFmtId="0" fontId="8" fillId="2" borderId="12" xfId="0" applyFont="1" applyFill="1" applyBorder="1" applyAlignment="1">
      <alignment horizontal="right" indent="1"/>
    </xf>
    <xf numFmtId="0" fontId="8" fillId="3" borderId="0" xfId="0" applyFont="1" applyFill="1" applyAlignment="1">
      <alignment horizontal="right" indent="1"/>
    </xf>
    <xf numFmtId="0" fontId="40" fillId="3" borderId="0" xfId="0" applyFont="1" applyFill="1" applyAlignment="1">
      <alignment horizontal="right" indent="1"/>
    </xf>
    <xf numFmtId="0" fontId="0" fillId="0" borderId="0" xfId="0" applyAlignment="1">
      <alignment horizontal="right" indent="1"/>
    </xf>
    <xf numFmtId="1" fontId="9" fillId="2" borderId="7" xfId="0" applyNumberFormat="1" applyFont="1" applyFill="1" applyBorder="1" applyAlignment="1">
      <alignment horizontal="right" wrapText="1" indent="1"/>
    </xf>
    <xf numFmtId="0" fontId="4" fillId="2" borderId="0" xfId="0" applyFont="1" applyFill="1" applyAlignment="1">
      <alignment horizontal="right" wrapText="1" indent="1"/>
    </xf>
    <xf numFmtId="173" fontId="11" fillId="3" borderId="0" xfId="0" applyNumberFormat="1" applyFont="1" applyFill="1" applyAlignment="1">
      <alignment horizontal="right" wrapText="1" indent="1"/>
    </xf>
    <xf numFmtId="174" fontId="4" fillId="5" borderId="0" xfId="0" applyNumberFormat="1" applyFont="1" applyFill="1" applyAlignment="1">
      <alignment horizontal="right" vertical="top" wrapText="1" indent="1"/>
    </xf>
    <xf numFmtId="3" fontId="4" fillId="5" borderId="0" xfId="0" applyNumberFormat="1" applyFont="1" applyFill="1" applyAlignment="1">
      <alignment horizontal="right" vertical="top" wrapText="1" indent="1"/>
    </xf>
    <xf numFmtId="212" fontId="4" fillId="5" borderId="0" xfId="0" applyNumberFormat="1" applyFont="1" applyFill="1" applyAlignment="1">
      <alignment horizontal="right" vertical="top" wrapText="1" indent="1"/>
    </xf>
    <xf numFmtId="212" fontId="4" fillId="6" borderId="0" xfId="0" applyNumberFormat="1" applyFont="1" applyFill="1" applyAlignment="1">
      <alignment horizontal="right" vertical="top" wrapText="1" indent="1"/>
    </xf>
    <xf numFmtId="164" fontId="4" fillId="5" borderId="0" xfId="0" applyNumberFormat="1" applyFont="1" applyFill="1" applyAlignment="1">
      <alignment horizontal="right" vertical="top" wrapText="1" indent="1"/>
    </xf>
    <xf numFmtId="6" fontId="4" fillId="5" borderId="0" xfId="0" applyNumberFormat="1" applyFont="1" applyFill="1" applyAlignment="1">
      <alignment horizontal="right" vertical="top" wrapText="1" indent="1"/>
    </xf>
    <xf numFmtId="167" fontId="16" fillId="5" borderId="19" xfId="0" applyNumberFormat="1" applyFont="1" applyFill="1" applyBorder="1" applyAlignment="1">
      <alignment horizontal="right" vertical="top" wrapText="1" indent="1"/>
    </xf>
    <xf numFmtId="167" fontId="8" fillId="5" borderId="78" xfId="0" applyNumberFormat="1" applyFont="1" applyFill="1" applyBorder="1" applyAlignment="1">
      <alignment horizontal="right" vertical="top" wrapText="1" indent="1"/>
    </xf>
    <xf numFmtId="164" fontId="59" fillId="5" borderId="0" xfId="0" applyNumberFormat="1" applyFont="1" applyFill="1" applyAlignment="1">
      <alignment horizontal="right" vertical="top" wrapText="1" indent="1"/>
    </xf>
    <xf numFmtId="214" fontId="8" fillId="5" borderId="31" xfId="0" applyNumberFormat="1" applyFont="1" applyFill="1" applyBorder="1" applyAlignment="1">
      <alignment horizontal="right" wrapText="1" indent="1"/>
    </xf>
    <xf numFmtId="167" fontId="12" fillId="5" borderId="0" xfId="0" applyNumberFormat="1" applyFont="1" applyFill="1" applyAlignment="1">
      <alignment horizontal="right" vertical="top" wrapText="1" indent="1"/>
    </xf>
    <xf numFmtId="184" fontId="24" fillId="5" borderId="0" xfId="0" applyNumberFormat="1" applyFont="1" applyFill="1" applyAlignment="1">
      <alignment horizontal="right" vertical="top" wrapText="1" indent="1"/>
    </xf>
    <xf numFmtId="186" fontId="8" fillId="5" borderId="0" xfId="0" applyNumberFormat="1" applyFont="1" applyFill="1" applyAlignment="1">
      <alignment horizontal="right" vertical="top" wrapText="1" indent="1"/>
    </xf>
    <xf numFmtId="201" fontId="59" fillId="5" borderId="0" xfId="0" applyNumberFormat="1" applyFont="1" applyFill="1" applyAlignment="1">
      <alignment horizontal="right" vertical="top" wrapText="1" indent="1"/>
    </xf>
    <xf numFmtId="0" fontId="0" fillId="5" borderId="0" xfId="0" applyFill="1" applyAlignment="1">
      <alignment horizontal="right" vertical="top" wrapText="1" indent="1"/>
    </xf>
    <xf numFmtId="206" fontId="59" fillId="5" borderId="0" xfId="0" applyNumberFormat="1" applyFont="1" applyFill="1" applyAlignment="1">
      <alignment horizontal="right" vertical="top" wrapText="1" indent="1"/>
    </xf>
    <xf numFmtId="165" fontId="59" fillId="5" borderId="0" xfId="1" applyNumberFormat="1" applyFont="1" applyFill="1" applyBorder="1" applyAlignment="1">
      <alignment horizontal="right" vertical="top" wrapText="1" indent="1"/>
    </xf>
    <xf numFmtId="216" fontId="59" fillId="5" borderId="0" xfId="0" applyNumberFormat="1" applyFont="1" applyFill="1" applyAlignment="1">
      <alignment horizontal="right" vertical="top" wrapText="1" indent="1"/>
    </xf>
    <xf numFmtId="165" fontId="59" fillId="6" borderId="0" xfId="0" applyNumberFormat="1" applyFont="1" applyFill="1" applyAlignment="1">
      <alignment horizontal="right" vertical="top" wrapText="1" indent="1"/>
    </xf>
    <xf numFmtId="214" fontId="8" fillId="5" borderId="17" xfId="0" applyNumberFormat="1" applyFont="1" applyFill="1" applyBorder="1" applyAlignment="1">
      <alignment horizontal="right" vertical="top" wrapText="1" indent="1"/>
    </xf>
    <xf numFmtId="214" fontId="8" fillId="5" borderId="0" xfId="0" applyNumberFormat="1" applyFont="1" applyFill="1" applyAlignment="1">
      <alignment horizontal="right" vertical="top" wrapText="1" indent="1"/>
    </xf>
    <xf numFmtId="167" fontId="12" fillId="5" borderId="25" xfId="0" applyNumberFormat="1" applyFont="1" applyFill="1" applyBorder="1" applyAlignment="1">
      <alignment horizontal="right" wrapText="1" indent="1"/>
    </xf>
    <xf numFmtId="0" fontId="4" fillId="2" borderId="12" xfId="0" applyFont="1" applyFill="1" applyBorder="1" applyAlignment="1">
      <alignment horizontal="right" wrapText="1" indent="1"/>
    </xf>
    <xf numFmtId="165" fontId="4" fillId="3" borderId="0" xfId="0" applyNumberFormat="1" applyFont="1" applyFill="1" applyAlignment="1">
      <alignment horizontal="right" wrapText="1" indent="1"/>
    </xf>
    <xf numFmtId="0" fontId="4" fillId="3" borderId="0" xfId="0" applyFont="1" applyFill="1" applyAlignment="1">
      <alignment horizontal="right" vertical="center" wrapText="1" indent="1"/>
    </xf>
    <xf numFmtId="3" fontId="0" fillId="6" borderId="0" xfId="0" applyNumberFormat="1" applyFill="1"/>
    <xf numFmtId="167" fontId="4" fillId="6" borderId="0" xfId="0" applyNumberFormat="1" applyFont="1" applyFill="1"/>
    <xf numFmtId="2" fontId="4" fillId="6" borderId="0" xfId="1" applyNumberFormat="1" applyFont="1" applyFill="1" applyBorder="1"/>
    <xf numFmtId="2" fontId="4" fillId="6" borderId="31" xfId="1" applyNumberFormat="1" applyFont="1" applyFill="1" applyBorder="1"/>
    <xf numFmtId="0" fontId="24" fillId="3" borderId="0" xfId="0" applyFont="1" applyFill="1" applyAlignment="1">
      <alignment horizontal="right" vertical="center" indent="1"/>
    </xf>
    <xf numFmtId="0" fontId="24" fillId="3" borderId="0" xfId="0" applyFont="1" applyFill="1" applyAlignment="1">
      <alignment horizontal="right" indent="1"/>
    </xf>
    <xf numFmtId="0" fontId="8" fillId="2" borderId="7" xfId="0" applyFont="1" applyFill="1" applyBorder="1" applyAlignment="1">
      <alignment horizontal="right" indent="1"/>
    </xf>
    <xf numFmtId="0" fontId="11" fillId="2" borderId="0" xfId="0" applyFont="1" applyFill="1" applyAlignment="1">
      <alignment horizontal="right" vertical="top" indent="1"/>
    </xf>
    <xf numFmtId="187" fontId="11" fillId="3" borderId="0" xfId="0" applyNumberFormat="1" applyFont="1" applyFill="1" applyAlignment="1">
      <alignment horizontal="right" vertical="top" indent="1"/>
    </xf>
    <xf numFmtId="0" fontId="8" fillId="5" borderId="0" xfId="0" applyFont="1" applyFill="1" applyAlignment="1">
      <alignment horizontal="right" vertical="top" indent="1"/>
    </xf>
    <xf numFmtId="184" fontId="8" fillId="5" borderId="0" xfId="0" applyNumberFormat="1" applyFont="1" applyFill="1" applyAlignment="1">
      <alignment horizontal="right" vertical="top" indent="1"/>
    </xf>
    <xf numFmtId="0" fontId="8" fillId="6" borderId="0" xfId="0" applyFont="1" applyFill="1" applyAlignment="1">
      <alignment horizontal="right" vertical="top" indent="1"/>
    </xf>
    <xf numFmtId="8" fontId="8" fillId="5" borderId="0" xfId="0" applyNumberFormat="1" applyFont="1" applyFill="1" applyAlignment="1">
      <alignment horizontal="right" vertical="top" indent="1"/>
    </xf>
    <xf numFmtId="167" fontId="8" fillId="5" borderId="0" xfId="0" applyNumberFormat="1" applyFont="1" applyFill="1" applyAlignment="1">
      <alignment horizontal="right" vertical="top" indent="1"/>
    </xf>
    <xf numFmtId="0" fontId="9" fillId="5" borderId="0" xfId="0" applyFont="1" applyFill="1" applyAlignment="1">
      <alignment horizontal="right" vertical="top" indent="1"/>
    </xf>
    <xf numFmtId="0" fontId="59" fillId="5" borderId="0" xfId="0" applyFont="1" applyFill="1" applyAlignment="1">
      <alignment horizontal="right" vertical="top" indent="1"/>
    </xf>
    <xf numFmtId="167" fontId="59" fillId="5" borderId="0" xfId="0" applyNumberFormat="1" applyFont="1" applyFill="1" applyAlignment="1">
      <alignment horizontal="right" vertical="top" indent="1"/>
    </xf>
    <xf numFmtId="167" fontId="13" fillId="6" borderId="0" xfId="0" applyNumberFormat="1" applyFont="1" applyFill="1" applyAlignment="1">
      <alignment horizontal="right" vertical="top" indent="1"/>
    </xf>
    <xf numFmtId="167" fontId="8" fillId="5" borderId="17" xfId="0" applyNumberFormat="1" applyFont="1" applyFill="1" applyBorder="1" applyAlignment="1">
      <alignment horizontal="right" vertical="top" indent="1"/>
    </xf>
    <xf numFmtId="175" fontId="8" fillId="5" borderId="0" xfId="0" applyNumberFormat="1" applyFont="1" applyFill="1" applyAlignment="1">
      <alignment horizontal="right" vertical="top" indent="1"/>
    </xf>
    <xf numFmtId="175" fontId="12" fillId="5" borderId="0" xfId="0" applyNumberFormat="1" applyFont="1" applyFill="1" applyAlignment="1">
      <alignment horizontal="right" vertical="top" indent="1"/>
    </xf>
    <xf numFmtId="175" fontId="59" fillId="6" borderId="0" xfId="0" applyNumberFormat="1" applyFont="1" applyFill="1" applyAlignment="1">
      <alignment horizontal="right" vertical="top" indent="1"/>
    </xf>
    <xf numFmtId="165" fontId="13" fillId="6" borderId="0" xfId="1" applyNumberFormat="1" applyFont="1" applyFill="1" applyBorder="1" applyAlignment="1">
      <alignment horizontal="right" vertical="top" indent="1"/>
    </xf>
    <xf numFmtId="164" fontId="13" fillId="6" borderId="0" xfId="0" applyNumberFormat="1" applyFont="1" applyFill="1" applyAlignment="1">
      <alignment horizontal="right" vertical="top" indent="1"/>
    </xf>
    <xf numFmtId="176" fontId="59" fillId="5" borderId="0" xfId="0" applyNumberFormat="1" applyFont="1" applyFill="1" applyAlignment="1">
      <alignment horizontal="right" vertical="top" indent="1"/>
    </xf>
    <xf numFmtId="175" fontId="12" fillId="5" borderId="19" xfId="0" applyNumberFormat="1" applyFont="1" applyFill="1" applyBorder="1" applyAlignment="1">
      <alignment horizontal="right" vertical="top" indent="1"/>
    </xf>
    <xf numFmtId="165" fontId="9" fillId="5" borderId="0" xfId="1" applyNumberFormat="1" applyFont="1" applyFill="1" applyBorder="1" applyAlignment="1">
      <alignment horizontal="right" vertical="top" indent="1"/>
    </xf>
    <xf numFmtId="184" fontId="59" fillId="5" borderId="0" xfId="0" applyNumberFormat="1" applyFont="1" applyFill="1" applyAlignment="1">
      <alignment horizontal="right" vertical="top" indent="1"/>
    </xf>
    <xf numFmtId="186" fontId="59" fillId="5" borderId="0" xfId="0" applyNumberFormat="1" applyFont="1" applyFill="1" applyAlignment="1">
      <alignment horizontal="right" vertical="top" indent="1"/>
    </xf>
    <xf numFmtId="1" fontId="59" fillId="6" borderId="0" xfId="0" applyNumberFormat="1" applyFont="1" applyFill="1" applyAlignment="1">
      <alignment horizontal="right" vertical="top" indent="1"/>
    </xf>
    <xf numFmtId="181" fontId="59" fillId="5" borderId="0" xfId="0" applyNumberFormat="1" applyFont="1" applyFill="1" applyAlignment="1">
      <alignment horizontal="right" vertical="top" indent="1"/>
    </xf>
    <xf numFmtId="165" fontId="59" fillId="5" borderId="0" xfId="0" applyNumberFormat="1" applyFont="1" applyFill="1" applyAlignment="1">
      <alignment horizontal="right" vertical="top" indent="1"/>
    </xf>
    <xf numFmtId="171" fontId="59" fillId="5" borderId="0" xfId="0" applyNumberFormat="1" applyFont="1" applyFill="1" applyAlignment="1">
      <alignment horizontal="right" vertical="top" indent="1"/>
    </xf>
    <xf numFmtId="189" fontId="23" fillId="5" borderId="0" xfId="0" applyNumberFormat="1" applyFont="1" applyFill="1" applyAlignment="1">
      <alignment horizontal="right" vertical="top" indent="1"/>
    </xf>
    <xf numFmtId="188" fontId="59" fillId="5" borderId="0" xfId="0" applyNumberFormat="1" applyFont="1" applyFill="1" applyAlignment="1">
      <alignment horizontal="right" vertical="top" indent="1"/>
    </xf>
    <xf numFmtId="165" fontId="12" fillId="5" borderId="0" xfId="0" applyNumberFormat="1" applyFont="1" applyFill="1" applyAlignment="1">
      <alignment horizontal="right" vertical="top" indent="1"/>
    </xf>
    <xf numFmtId="175" fontId="12" fillId="5" borderId="0" xfId="0" applyNumberFormat="1" applyFont="1" applyFill="1" applyAlignment="1">
      <alignment horizontal="right" indent="1"/>
    </xf>
    <xf numFmtId="0" fontId="8" fillId="2" borderId="29" xfId="0" applyFont="1" applyFill="1" applyBorder="1" applyAlignment="1">
      <alignment horizontal="right" indent="1"/>
    </xf>
    <xf numFmtId="0" fontId="8" fillId="6" borderId="12" xfId="0" applyFont="1" applyFill="1" applyBorder="1" applyAlignment="1">
      <alignment horizontal="right" indent="1"/>
    </xf>
    <xf numFmtId="0" fontId="4" fillId="3" borderId="0" xfId="0" applyFont="1" applyFill="1" applyAlignment="1">
      <alignment horizontal="right" wrapText="1"/>
    </xf>
    <xf numFmtId="0" fontId="8" fillId="2" borderId="7" xfId="0" applyFont="1" applyFill="1" applyBorder="1" applyAlignment="1">
      <alignment horizontal="right" wrapText="1"/>
    </xf>
    <xf numFmtId="0" fontId="11" fillId="2" borderId="0" xfId="0" applyFont="1" applyFill="1" applyAlignment="1">
      <alignment horizontal="right" vertical="top" wrapText="1"/>
    </xf>
    <xf numFmtId="187" fontId="11" fillId="3" borderId="0" xfId="0" applyNumberFormat="1" applyFont="1" applyFill="1" applyAlignment="1">
      <alignment horizontal="right" vertical="top" wrapText="1"/>
    </xf>
    <xf numFmtId="1" fontId="8" fillId="5" borderId="0" xfId="0" applyNumberFormat="1" applyFont="1" applyFill="1" applyAlignment="1">
      <alignment horizontal="right" vertical="top" wrapText="1"/>
    </xf>
    <xf numFmtId="174" fontId="8" fillId="5" borderId="0" xfId="0" applyNumberFormat="1" applyFont="1" applyFill="1" applyAlignment="1">
      <alignment horizontal="right" vertical="top" wrapText="1"/>
    </xf>
    <xf numFmtId="167" fontId="12" fillId="5" borderId="19" xfId="0" applyNumberFormat="1" applyFont="1" applyFill="1" applyBorder="1" applyAlignment="1">
      <alignment horizontal="right" vertical="top" wrapText="1"/>
    </xf>
    <xf numFmtId="167" fontId="8" fillId="5" borderId="0" xfId="0" applyNumberFormat="1" applyFont="1" applyFill="1" applyAlignment="1">
      <alignment horizontal="right" vertical="top" wrapText="1"/>
    </xf>
    <xf numFmtId="1" fontId="9" fillId="5" borderId="0" xfId="0" applyNumberFormat="1" applyFont="1" applyFill="1" applyAlignment="1">
      <alignment horizontal="right" vertical="top" wrapText="1"/>
    </xf>
    <xf numFmtId="167" fontId="59" fillId="5" borderId="0" xfId="0" applyNumberFormat="1" applyFont="1" applyFill="1" applyAlignment="1">
      <alignment horizontal="right" vertical="top" wrapText="1"/>
    </xf>
    <xf numFmtId="167" fontId="13" fillId="6" borderId="0" xfId="0" applyNumberFormat="1" applyFont="1" applyFill="1" applyAlignment="1">
      <alignment horizontal="right" vertical="top" wrapText="1"/>
    </xf>
    <xf numFmtId="175" fontId="59" fillId="6" borderId="0" xfId="0" applyNumberFormat="1" applyFont="1" applyFill="1" applyAlignment="1">
      <alignment horizontal="right" vertical="top" wrapText="1"/>
    </xf>
    <xf numFmtId="165" fontId="13" fillId="6" borderId="0" xfId="1" applyNumberFormat="1" applyFont="1" applyFill="1" applyBorder="1" applyAlignment="1">
      <alignment horizontal="right" vertical="top" wrapText="1"/>
    </xf>
    <xf numFmtId="164" fontId="13" fillId="6" borderId="0" xfId="0" applyNumberFormat="1" applyFont="1" applyFill="1" applyAlignment="1">
      <alignment horizontal="right" vertical="top" wrapText="1"/>
    </xf>
    <xf numFmtId="176" fontId="59" fillId="5" borderId="0" xfId="0" applyNumberFormat="1" applyFont="1" applyFill="1" applyAlignment="1">
      <alignment horizontal="right" vertical="top" wrapText="1"/>
    </xf>
    <xf numFmtId="214" fontId="8" fillId="5" borderId="0" xfId="0" applyNumberFormat="1" applyFont="1" applyFill="1" applyAlignment="1">
      <alignment horizontal="right" wrapText="1"/>
    </xf>
    <xf numFmtId="165" fontId="9" fillId="5" borderId="0" xfId="1" applyNumberFormat="1" applyFont="1" applyFill="1" applyBorder="1" applyAlignment="1">
      <alignment horizontal="right" vertical="top" wrapText="1"/>
    </xf>
    <xf numFmtId="186" fontId="59" fillId="5" borderId="0" xfId="0" applyNumberFormat="1" applyFont="1" applyFill="1" applyAlignment="1">
      <alignment horizontal="right" vertical="top" wrapText="1"/>
    </xf>
    <xf numFmtId="1" fontId="59" fillId="6" borderId="0" xfId="0" applyNumberFormat="1" applyFont="1" applyFill="1" applyAlignment="1">
      <alignment horizontal="right" vertical="top" wrapText="1"/>
    </xf>
    <xf numFmtId="181" fontId="59" fillId="5" borderId="0" xfId="0" applyNumberFormat="1" applyFont="1" applyFill="1" applyAlignment="1">
      <alignment horizontal="right" vertical="top" wrapText="1"/>
    </xf>
    <xf numFmtId="165" fontId="59" fillId="5" borderId="0" xfId="0" applyNumberFormat="1" applyFont="1" applyFill="1" applyAlignment="1">
      <alignment horizontal="right" vertical="top" wrapText="1"/>
    </xf>
    <xf numFmtId="171" fontId="59" fillId="5" borderId="0" xfId="0" applyNumberFormat="1" applyFont="1" applyFill="1" applyAlignment="1">
      <alignment horizontal="right" vertical="top" wrapText="1"/>
    </xf>
    <xf numFmtId="165" fontId="8" fillId="5" borderId="17" xfId="0" applyNumberFormat="1" applyFont="1" applyFill="1" applyBorder="1" applyAlignment="1">
      <alignment horizontal="right" vertical="top" wrapText="1"/>
    </xf>
    <xf numFmtId="165" fontId="8" fillId="5" borderId="0" xfId="0" applyNumberFormat="1" applyFont="1" applyFill="1" applyAlignment="1">
      <alignment horizontal="right" vertical="top" wrapText="1"/>
    </xf>
    <xf numFmtId="165" fontId="12" fillId="5" borderId="0" xfId="0" applyNumberFormat="1" applyFont="1" applyFill="1" applyAlignment="1">
      <alignment horizontal="right" vertical="top" wrapText="1"/>
    </xf>
    <xf numFmtId="0" fontId="8" fillId="2" borderId="29" xfId="0" applyFont="1" applyFill="1" applyBorder="1" applyAlignment="1">
      <alignment horizontal="right" wrapText="1"/>
    </xf>
    <xf numFmtId="1" fontId="9" fillId="2" borderId="7" xfId="0" applyNumberFormat="1" applyFont="1" applyFill="1" applyBorder="1" applyAlignment="1">
      <alignment horizontal="right" wrapText="1"/>
    </xf>
    <xf numFmtId="0" fontId="4" fillId="2" borderId="0" xfId="0" applyFont="1" applyFill="1" applyAlignment="1">
      <alignment horizontal="right" wrapText="1"/>
    </xf>
    <xf numFmtId="173" fontId="11" fillId="3" borderId="0" xfId="0" applyNumberFormat="1" applyFont="1" applyFill="1" applyAlignment="1">
      <alignment horizontal="right" wrapText="1"/>
    </xf>
    <xf numFmtId="0" fontId="4" fillId="5" borderId="0" xfId="0" applyFont="1" applyFill="1" applyAlignment="1">
      <alignment horizontal="right" wrapText="1"/>
    </xf>
    <xf numFmtId="174" fontId="4" fillId="5" borderId="0" xfId="0" applyNumberFormat="1" applyFont="1" applyFill="1" applyAlignment="1">
      <alignment horizontal="right" vertical="top" wrapText="1"/>
    </xf>
    <xf numFmtId="212" fontId="4" fillId="5" borderId="0" xfId="0" applyNumberFormat="1" applyFont="1" applyFill="1" applyAlignment="1">
      <alignment horizontal="right" vertical="top" wrapText="1"/>
    </xf>
    <xf numFmtId="212" fontId="4" fillId="6" borderId="0" xfId="0" applyNumberFormat="1" applyFont="1" applyFill="1" applyAlignment="1">
      <alignment horizontal="right" vertical="top" wrapText="1"/>
    </xf>
    <xf numFmtId="6" fontId="4" fillId="5" borderId="0" xfId="0" applyNumberFormat="1" applyFont="1" applyFill="1" applyAlignment="1">
      <alignment horizontal="right" vertical="top" wrapText="1"/>
    </xf>
    <xf numFmtId="167" fontId="16" fillId="5" borderId="19" xfId="0" applyNumberFormat="1" applyFont="1" applyFill="1" applyBorder="1" applyAlignment="1">
      <alignment horizontal="right" vertical="top" wrapText="1"/>
    </xf>
    <xf numFmtId="1" fontId="9" fillId="5" borderId="0" xfId="0" applyNumberFormat="1" applyFont="1" applyFill="1" applyAlignment="1">
      <alignment horizontal="right" wrapText="1"/>
    </xf>
    <xf numFmtId="167" fontId="8" fillId="5" borderId="78" xfId="0" applyNumberFormat="1" applyFont="1" applyFill="1" applyBorder="1" applyAlignment="1">
      <alignment horizontal="right" vertical="top" wrapText="1"/>
    </xf>
    <xf numFmtId="164" fontId="59" fillId="5" borderId="0" xfId="0" applyNumberFormat="1" applyFont="1" applyFill="1" applyAlignment="1">
      <alignment horizontal="right" vertical="top" wrapText="1"/>
    </xf>
    <xf numFmtId="214" fontId="8" fillId="5" borderId="31" xfId="0" applyNumberFormat="1" applyFont="1" applyFill="1" applyBorder="1" applyAlignment="1">
      <alignment horizontal="right" wrapText="1"/>
    </xf>
    <xf numFmtId="167" fontId="12" fillId="5" borderId="0" xfId="0" applyNumberFormat="1" applyFont="1" applyFill="1" applyAlignment="1">
      <alignment horizontal="right" vertical="top" wrapText="1"/>
    </xf>
    <xf numFmtId="184" fontId="24" fillId="5" borderId="0" xfId="0" applyNumberFormat="1" applyFont="1" applyFill="1" applyAlignment="1">
      <alignment horizontal="right" vertical="top" wrapText="1"/>
    </xf>
    <xf numFmtId="186" fontId="8" fillId="5" borderId="0" xfId="0" applyNumberFormat="1" applyFont="1" applyFill="1" applyAlignment="1">
      <alignment horizontal="right" vertical="top" wrapText="1"/>
    </xf>
    <xf numFmtId="201" fontId="59" fillId="5" borderId="0" xfId="0" applyNumberFormat="1" applyFont="1" applyFill="1" applyAlignment="1">
      <alignment horizontal="right" vertical="top" wrapText="1"/>
    </xf>
    <xf numFmtId="206" fontId="59" fillId="5" borderId="0" xfId="0" applyNumberFormat="1" applyFont="1" applyFill="1" applyAlignment="1">
      <alignment horizontal="right" vertical="top" wrapText="1"/>
    </xf>
    <xf numFmtId="165" fontId="59" fillId="5" borderId="0" xfId="1" applyNumberFormat="1" applyFont="1" applyFill="1" applyBorder="1" applyAlignment="1">
      <alignment horizontal="right" vertical="top" wrapText="1"/>
    </xf>
    <xf numFmtId="216" fontId="59" fillId="5" borderId="0" xfId="0" applyNumberFormat="1" applyFont="1" applyFill="1" applyAlignment="1">
      <alignment horizontal="right" vertical="top" wrapText="1"/>
    </xf>
    <xf numFmtId="165" fontId="59" fillId="6" borderId="0" xfId="0" applyNumberFormat="1" applyFont="1" applyFill="1" applyAlignment="1">
      <alignment horizontal="right" vertical="top" wrapText="1"/>
    </xf>
    <xf numFmtId="214" fontId="8" fillId="5" borderId="17" xfId="0" applyNumberFormat="1" applyFont="1" applyFill="1" applyBorder="1" applyAlignment="1">
      <alignment horizontal="right" vertical="top" wrapText="1"/>
    </xf>
    <xf numFmtId="214" fontId="8" fillId="5" borderId="0" xfId="0" applyNumberFormat="1" applyFont="1" applyFill="1" applyAlignment="1">
      <alignment horizontal="right" vertical="top" wrapText="1"/>
    </xf>
    <xf numFmtId="167" fontId="12" fillId="5" borderId="25" xfId="0" applyNumberFormat="1" applyFont="1" applyFill="1" applyBorder="1" applyAlignment="1">
      <alignment horizontal="right" wrapText="1"/>
    </xf>
    <xf numFmtId="0" fontId="4" fillId="2" borderId="12" xfId="0" applyFont="1" applyFill="1" applyBorder="1" applyAlignment="1">
      <alignment horizontal="right" wrapText="1"/>
    </xf>
    <xf numFmtId="0" fontId="4" fillId="3" borderId="0" xfId="0" applyFont="1" applyFill="1" applyAlignment="1">
      <alignment horizontal="right" vertical="center" wrapText="1"/>
    </xf>
    <xf numFmtId="0" fontId="0" fillId="0" borderId="0" xfId="0" applyAlignment="1">
      <alignment horizontal="right" wrapText="1"/>
    </xf>
    <xf numFmtId="0" fontId="11" fillId="3" borderId="0" xfId="0" applyFont="1" applyFill="1" applyAlignment="1">
      <alignment horizontal="left" indent="1"/>
    </xf>
    <xf numFmtId="0" fontId="4" fillId="2" borderId="135" xfId="0" applyFont="1" applyFill="1" applyBorder="1" applyAlignment="1">
      <alignment horizontal="center"/>
    </xf>
    <xf numFmtId="0" fontId="16" fillId="2" borderId="60" xfId="0" applyFont="1" applyFill="1" applyBorder="1" applyAlignment="1">
      <alignment horizontal="left" indent="1"/>
    </xf>
    <xf numFmtId="167" fontId="4" fillId="2" borderId="135" xfId="0" applyNumberFormat="1" applyFont="1" applyFill="1" applyBorder="1" applyAlignment="1">
      <alignment horizontal="center"/>
    </xf>
    <xf numFmtId="0" fontId="4" fillId="2" borderId="147" xfId="0" applyFont="1" applyFill="1" applyBorder="1" applyAlignment="1">
      <alignment horizontal="left" indent="1"/>
    </xf>
    <xf numFmtId="0" fontId="8" fillId="2" borderId="148" xfId="0" applyFont="1" applyFill="1" applyBorder="1" applyAlignment="1">
      <alignment horizontal="center"/>
    </xf>
    <xf numFmtId="0" fontId="16" fillId="2" borderId="147" xfId="0" applyFont="1" applyFill="1" applyBorder="1" applyAlignment="1">
      <alignment horizontal="left"/>
    </xf>
    <xf numFmtId="239" fontId="8" fillId="2" borderId="148" xfId="0" applyNumberFormat="1" applyFont="1" applyFill="1" applyBorder="1" applyAlignment="1">
      <alignment horizontal="center"/>
    </xf>
    <xf numFmtId="164" fontId="8" fillId="2" borderId="148" xfId="0" applyNumberFormat="1" applyFont="1" applyFill="1" applyBorder="1" applyAlignment="1">
      <alignment horizontal="center"/>
    </xf>
    <xf numFmtId="165" fontId="8" fillId="2" borderId="148" xfId="0" applyNumberFormat="1" applyFont="1" applyFill="1" applyBorder="1" applyAlignment="1">
      <alignment horizontal="center"/>
    </xf>
    <xf numFmtId="1" fontId="4" fillId="0" borderId="82" xfId="0" applyNumberFormat="1" applyFont="1" applyBorder="1" applyAlignment="1">
      <alignment horizontal="center"/>
    </xf>
    <xf numFmtId="0" fontId="0" fillId="2" borderId="147" xfId="0" applyFill="1" applyBorder="1" applyAlignment="1">
      <alignment horizontal="left" indent="1"/>
    </xf>
    <xf numFmtId="165" fontId="8" fillId="2" borderId="148" xfId="1" applyNumberFormat="1" applyFont="1" applyFill="1" applyBorder="1" applyAlignment="1">
      <alignment horizontal="center"/>
    </xf>
    <xf numFmtId="167" fontId="16" fillId="3" borderId="2" xfId="0" applyNumberFormat="1" applyFont="1" applyFill="1" applyBorder="1" applyAlignment="1">
      <alignment horizontal="right"/>
    </xf>
    <xf numFmtId="167" fontId="12" fillId="3" borderId="2" xfId="0" applyNumberFormat="1" applyFont="1" applyFill="1" applyBorder="1" applyAlignment="1">
      <alignment horizontal="right"/>
    </xf>
    <xf numFmtId="167" fontId="12" fillId="2" borderId="0" xfId="0" applyNumberFormat="1" applyFont="1" applyFill="1" applyAlignment="1">
      <alignment horizontal="right"/>
    </xf>
    <xf numFmtId="167" fontId="16" fillId="2" borderId="0" xfId="0" applyNumberFormat="1" applyFont="1" applyFill="1" applyAlignment="1">
      <alignment horizontal="right"/>
    </xf>
    <xf numFmtId="0" fontId="11" fillId="3" borderId="0" xfId="0" applyFont="1" applyFill="1" applyProtection="1">
      <protection hidden="1"/>
    </xf>
    <xf numFmtId="0" fontId="4" fillId="3" borderId="2" xfId="0" applyFont="1" applyFill="1" applyBorder="1" applyAlignment="1">
      <alignment horizontal="right"/>
    </xf>
    <xf numFmtId="0" fontId="24" fillId="2" borderId="0" xfId="0" applyFont="1" applyFill="1" applyAlignment="1">
      <alignment horizontal="right"/>
    </xf>
    <xf numFmtId="0" fontId="11" fillId="2" borderId="10" xfId="0" applyFont="1" applyFill="1" applyBorder="1"/>
    <xf numFmtId="0" fontId="16" fillId="3" borderId="0" xfId="0" applyFont="1" applyFill="1" applyAlignment="1">
      <alignment horizontal="right"/>
    </xf>
    <xf numFmtId="0" fontId="16" fillId="2" borderId="7" xfId="0" applyFont="1" applyFill="1" applyBorder="1" applyAlignment="1">
      <alignment horizontal="right"/>
    </xf>
    <xf numFmtId="0" fontId="12" fillId="3" borderId="2" xfId="0" applyFont="1" applyFill="1" applyBorder="1" applyAlignment="1">
      <alignment horizontal="right"/>
    </xf>
    <xf numFmtId="0" fontId="16" fillId="2" borderId="12" xfId="0" applyFont="1" applyFill="1" applyBorder="1" applyAlignment="1">
      <alignment horizontal="right"/>
    </xf>
    <xf numFmtId="0" fontId="91" fillId="3" borderId="0" xfId="0" applyFont="1" applyFill="1" applyAlignment="1">
      <alignment horizontal="right"/>
    </xf>
    <xf numFmtId="0" fontId="8" fillId="6" borderId="0" xfId="0" applyFont="1" applyFill="1" applyAlignment="1">
      <alignment horizontal="right" vertical="top"/>
    </xf>
    <xf numFmtId="184" fontId="8" fillId="5" borderId="0" xfId="0" applyNumberFormat="1" applyFont="1" applyFill="1" applyAlignment="1">
      <alignment horizontal="right" vertical="top"/>
    </xf>
    <xf numFmtId="167" fontId="59" fillId="5" borderId="0" xfId="0" applyNumberFormat="1" applyFont="1" applyFill="1" applyAlignment="1">
      <alignment horizontal="right" vertical="top"/>
    </xf>
    <xf numFmtId="167" fontId="13" fillId="6" borderId="0" xfId="0" applyNumberFormat="1" applyFont="1" applyFill="1" applyAlignment="1">
      <alignment horizontal="right" vertical="top"/>
    </xf>
    <xf numFmtId="167" fontId="8" fillId="5" borderId="17" xfId="0" applyNumberFormat="1" applyFont="1" applyFill="1" applyBorder="1" applyAlignment="1">
      <alignment horizontal="right" vertical="top"/>
    </xf>
    <xf numFmtId="175" fontId="8" fillId="5" borderId="0" xfId="0" applyNumberFormat="1" applyFont="1" applyFill="1" applyAlignment="1">
      <alignment horizontal="right" vertical="top"/>
    </xf>
    <xf numFmtId="175" fontId="12" fillId="5" borderId="0" xfId="0" applyNumberFormat="1" applyFont="1" applyFill="1" applyAlignment="1">
      <alignment horizontal="right" vertical="top"/>
    </xf>
    <xf numFmtId="175" fontId="59" fillId="6" borderId="0" xfId="0" applyNumberFormat="1" applyFont="1" applyFill="1" applyAlignment="1">
      <alignment horizontal="right" vertical="top"/>
    </xf>
    <xf numFmtId="165" fontId="13" fillId="6" borderId="0" xfId="1" applyNumberFormat="1" applyFont="1" applyFill="1" applyBorder="1" applyAlignment="1">
      <alignment horizontal="right" vertical="top"/>
    </xf>
    <xf numFmtId="164" fontId="13" fillId="6" borderId="0" xfId="0" applyNumberFormat="1" applyFont="1" applyFill="1" applyAlignment="1">
      <alignment horizontal="right" vertical="top"/>
    </xf>
    <xf numFmtId="176" fontId="59" fillId="5" borderId="0" xfId="0" applyNumberFormat="1" applyFont="1" applyFill="1" applyAlignment="1">
      <alignment horizontal="right" vertical="top"/>
    </xf>
    <xf numFmtId="175" fontId="12" fillId="5" borderId="19" xfId="0" applyNumberFormat="1" applyFont="1" applyFill="1" applyBorder="1" applyAlignment="1">
      <alignment horizontal="right" vertical="top"/>
    </xf>
    <xf numFmtId="165" fontId="9" fillId="5" borderId="0" xfId="1" applyNumberFormat="1" applyFont="1" applyFill="1" applyBorder="1" applyAlignment="1">
      <alignment horizontal="right" vertical="top"/>
    </xf>
    <xf numFmtId="184" fontId="59" fillId="5" borderId="0" xfId="0" applyNumberFormat="1" applyFont="1" applyFill="1" applyAlignment="1">
      <alignment horizontal="right" vertical="top"/>
    </xf>
    <xf numFmtId="186" fontId="59" fillId="5" borderId="0" xfId="0" applyNumberFormat="1" applyFont="1" applyFill="1" applyAlignment="1">
      <alignment horizontal="right" vertical="top"/>
    </xf>
    <xf numFmtId="1" fontId="59" fillId="6" borderId="0" xfId="0" applyNumberFormat="1" applyFont="1" applyFill="1" applyAlignment="1">
      <alignment horizontal="right" vertical="top"/>
    </xf>
    <xf numFmtId="181" fontId="59" fillId="5" borderId="0" xfId="0" applyNumberFormat="1" applyFont="1" applyFill="1" applyAlignment="1">
      <alignment horizontal="right" vertical="top"/>
    </xf>
    <xf numFmtId="165" fontId="59" fillId="5" borderId="0" xfId="0" applyNumberFormat="1" applyFont="1" applyFill="1" applyAlignment="1">
      <alignment horizontal="right" vertical="top"/>
    </xf>
    <xf numFmtId="171" fontId="59" fillId="5" borderId="0" xfId="0" applyNumberFormat="1" applyFont="1" applyFill="1" applyAlignment="1">
      <alignment horizontal="right" vertical="top"/>
    </xf>
    <xf numFmtId="189" fontId="23" fillId="5" borderId="0" xfId="0" applyNumberFormat="1" applyFont="1" applyFill="1" applyAlignment="1">
      <alignment horizontal="right" vertical="top"/>
    </xf>
    <xf numFmtId="188" fontId="59" fillId="5" borderId="0" xfId="0" applyNumberFormat="1" applyFont="1" applyFill="1" applyAlignment="1">
      <alignment horizontal="right" vertical="top"/>
    </xf>
    <xf numFmtId="0" fontId="11" fillId="2" borderId="0" xfId="0" applyFont="1" applyFill="1" applyAlignment="1">
      <alignment horizontal="right" vertical="top"/>
    </xf>
    <xf numFmtId="165" fontId="12" fillId="5" borderId="0" xfId="0" applyNumberFormat="1" applyFont="1" applyFill="1" applyAlignment="1">
      <alignment horizontal="right" vertical="top"/>
    </xf>
    <xf numFmtId="175" fontId="12" fillId="5" borderId="0" xfId="0" applyNumberFormat="1" applyFont="1" applyFill="1" applyAlignment="1">
      <alignment horizontal="right"/>
    </xf>
    <xf numFmtId="0" fontId="8" fillId="2" borderId="29" xfId="0" applyFont="1" applyFill="1" applyBorder="1" applyAlignment="1">
      <alignment horizontal="right"/>
    </xf>
    <xf numFmtId="0" fontId="0" fillId="0" borderId="0" xfId="0" applyAlignment="1">
      <alignment horizontal="right"/>
    </xf>
    <xf numFmtId="0" fontId="12" fillId="3" borderId="0" xfId="0" applyFont="1" applyFill="1" applyAlignment="1">
      <alignment horizontal="center" vertical="center" wrapText="1"/>
    </xf>
    <xf numFmtId="0" fontId="24" fillId="2" borderId="0" xfId="0" applyFont="1" applyFill="1" applyAlignment="1">
      <alignment horizontal="center"/>
    </xf>
    <xf numFmtId="0" fontId="6" fillId="2" borderId="0" xfId="0" applyFont="1" applyFill="1" applyAlignment="1">
      <alignment horizontal="left" vertical="center"/>
    </xf>
    <xf numFmtId="3" fontId="11" fillId="3" borderId="0" xfId="0" applyNumberFormat="1" applyFont="1" applyFill="1" applyAlignment="1">
      <alignment horizontal="center" wrapText="1"/>
    </xf>
    <xf numFmtId="0" fontId="24" fillId="2" borderId="9" xfId="0" applyFont="1" applyFill="1" applyBorder="1" applyAlignment="1">
      <alignment horizontal="center" vertical="center"/>
    </xf>
    <xf numFmtId="0" fontId="24" fillId="5" borderId="0" xfId="0" applyFont="1" applyFill="1" applyAlignment="1">
      <alignment horizontal="center" vertical="center"/>
    </xf>
    <xf numFmtId="0" fontId="24" fillId="2" borderId="10" xfId="0" applyFont="1" applyFill="1" applyBorder="1" applyAlignment="1">
      <alignment horizontal="center" vertical="center"/>
    </xf>
    <xf numFmtId="0" fontId="7" fillId="6" borderId="0" xfId="0" applyFont="1" applyFill="1" applyAlignment="1">
      <alignment horizontal="right"/>
    </xf>
    <xf numFmtId="165" fontId="8" fillId="5" borderId="0" xfId="0" applyNumberFormat="1" applyFont="1" applyFill="1" applyAlignment="1">
      <alignment horizontal="right" vertical="center"/>
    </xf>
    <xf numFmtId="0" fontId="0" fillId="2" borderId="9" xfId="0" applyFill="1" applyBorder="1" applyAlignment="1">
      <alignment vertical="center"/>
    </xf>
    <xf numFmtId="0" fontId="6" fillId="2" borderId="12" xfId="0" applyFont="1" applyFill="1" applyBorder="1" applyAlignment="1">
      <alignment horizontal="left" vertical="center"/>
    </xf>
    <xf numFmtId="0" fontId="12" fillId="5" borderId="0" xfId="0" applyFont="1" applyFill="1" applyAlignment="1">
      <alignment horizontal="center" vertical="center"/>
    </xf>
    <xf numFmtId="0" fontId="8" fillId="5" borderId="33" xfId="0" applyFont="1" applyFill="1" applyBorder="1" applyAlignment="1">
      <alignment horizontal="center" vertical="center"/>
    </xf>
    <xf numFmtId="0" fontId="0" fillId="6" borderId="89" xfId="0" applyFill="1" applyBorder="1" applyAlignment="1">
      <alignment horizontal="right" vertical="center"/>
    </xf>
    <xf numFmtId="243" fontId="8" fillId="6" borderId="89" xfId="0" applyNumberFormat="1" applyFont="1" applyFill="1" applyBorder="1" applyAlignment="1">
      <alignment horizontal="right" vertical="center" wrapText="1"/>
    </xf>
    <xf numFmtId="0" fontId="0" fillId="6" borderId="95" xfId="0" applyFill="1" applyBorder="1" applyAlignment="1">
      <alignment horizontal="right" vertical="center"/>
    </xf>
    <xf numFmtId="243" fontId="8" fillId="6" borderId="95" xfId="0" applyNumberFormat="1" applyFont="1" applyFill="1" applyBorder="1" applyAlignment="1">
      <alignment horizontal="right" vertical="center" wrapText="1"/>
    </xf>
    <xf numFmtId="0" fontId="0" fillId="2" borderId="11" xfId="0" applyFill="1" applyBorder="1" applyAlignment="1">
      <alignment vertical="center"/>
    </xf>
    <xf numFmtId="0" fontId="6" fillId="2" borderId="29" xfId="0" applyFont="1" applyFill="1" applyBorder="1" applyAlignment="1">
      <alignment vertical="center"/>
    </xf>
    <xf numFmtId="0" fontId="0" fillId="2" borderId="13" xfId="0" applyFill="1" applyBorder="1" applyAlignment="1">
      <alignment vertical="center"/>
    </xf>
    <xf numFmtId="0" fontId="7" fillId="6" borderId="0" xfId="0" applyFont="1" applyFill="1" applyAlignment="1">
      <alignment horizontal="center"/>
    </xf>
    <xf numFmtId="177" fontId="8" fillId="5" borderId="0" xfId="0" applyNumberFormat="1" applyFont="1" applyFill="1" applyAlignment="1">
      <alignment horizontal="center" vertical="center" wrapText="1"/>
    </xf>
    <xf numFmtId="165" fontId="8" fillId="5" borderId="0" xfId="1" applyNumberFormat="1" applyFont="1" applyFill="1" applyBorder="1" applyAlignment="1">
      <alignment horizontal="center" vertical="center" wrapText="1"/>
    </xf>
    <xf numFmtId="0" fontId="12" fillId="5" borderId="149" xfId="0" applyFont="1" applyFill="1" applyBorder="1" applyAlignment="1">
      <alignment horizontal="right" vertical="center"/>
    </xf>
    <xf numFmtId="177" fontId="8" fillId="5" borderId="0" xfId="0" applyNumberFormat="1" applyFont="1" applyFill="1" applyAlignment="1">
      <alignment horizontal="center" wrapText="1"/>
    </xf>
    <xf numFmtId="165" fontId="8" fillId="5" borderId="0" xfId="1" applyNumberFormat="1" applyFont="1" applyFill="1" applyBorder="1" applyAlignment="1">
      <alignment horizontal="center" wrapText="1"/>
    </xf>
    <xf numFmtId="0" fontId="12" fillId="5" borderId="25" xfId="0" applyFont="1" applyFill="1" applyBorder="1" applyAlignment="1">
      <alignment horizontal="center" vertical="center"/>
    </xf>
    <xf numFmtId="165" fontId="12" fillId="5" borderId="25" xfId="1" applyNumberFormat="1" applyFont="1" applyFill="1" applyBorder="1" applyAlignment="1">
      <alignment horizontal="center" vertical="center" wrapText="1"/>
    </xf>
    <xf numFmtId="0" fontId="12" fillId="5" borderId="25" xfId="0" applyFont="1" applyFill="1" applyBorder="1" applyAlignment="1">
      <alignment horizontal="right" vertical="center"/>
    </xf>
    <xf numFmtId="243" fontId="12" fillId="5" borderId="33" xfId="0" applyNumberFormat="1" applyFont="1" applyFill="1" applyBorder="1" applyAlignment="1">
      <alignment horizontal="right" vertical="center" wrapText="1"/>
    </xf>
    <xf numFmtId="177" fontId="8" fillId="6" borderId="89" xfId="0" applyNumberFormat="1" applyFont="1" applyFill="1" applyBorder="1" applyAlignment="1">
      <alignment horizontal="center" vertical="center" wrapText="1"/>
    </xf>
    <xf numFmtId="177" fontId="8" fillId="6" borderId="95" xfId="0" applyNumberFormat="1" applyFont="1" applyFill="1" applyBorder="1" applyAlignment="1">
      <alignment horizontal="center" vertical="center" wrapText="1"/>
    </xf>
    <xf numFmtId="177" fontId="8" fillId="6" borderId="98" xfId="0" applyNumberFormat="1" applyFont="1" applyFill="1" applyBorder="1" applyAlignment="1">
      <alignment horizontal="center" vertical="center" wrapText="1"/>
    </xf>
    <xf numFmtId="0" fontId="0" fillId="4" borderId="13" xfId="0" applyFill="1" applyBorder="1" applyAlignment="1">
      <alignment horizontal="center"/>
    </xf>
    <xf numFmtId="216" fontId="59" fillId="5" borderId="0" xfId="0" applyNumberFormat="1" applyFont="1" applyFill="1" applyAlignment="1">
      <alignment horizontal="right" vertical="top" indent="1"/>
    </xf>
    <xf numFmtId="216" fontId="59" fillId="5" borderId="0" xfId="0" applyNumberFormat="1" applyFont="1" applyFill="1" applyAlignment="1">
      <alignment horizontal="right" vertical="top"/>
    </xf>
    <xf numFmtId="0" fontId="11" fillId="3" borderId="9" xfId="0" applyFont="1" applyFill="1" applyBorder="1" applyAlignment="1">
      <alignment horizontal="center"/>
    </xf>
    <xf numFmtId="0" fontId="28" fillId="2" borderId="0" xfId="0" applyFont="1" applyFill="1" applyAlignment="1">
      <alignment horizontal="left"/>
    </xf>
    <xf numFmtId="0" fontId="9" fillId="2" borderId="10" xfId="0" applyFont="1" applyFill="1" applyBorder="1" applyAlignment="1">
      <alignment horizontal="center" vertical="center"/>
    </xf>
    <xf numFmtId="0" fontId="24" fillId="2" borderId="29" xfId="0" applyFont="1" applyFill="1" applyBorder="1"/>
    <xf numFmtId="0" fontId="93" fillId="3" borderId="0" xfId="0" applyFont="1" applyFill="1"/>
    <xf numFmtId="0" fontId="9" fillId="3" borderId="89" xfId="0" applyFont="1" applyFill="1" applyBorder="1" applyAlignment="1">
      <alignment horizontal="center" vertical="center"/>
    </xf>
    <xf numFmtId="0" fontId="49" fillId="3" borderId="89" xfId="0" applyFont="1" applyFill="1" applyBorder="1" applyAlignment="1">
      <alignment horizontal="center" vertical="center" wrapText="1"/>
    </xf>
    <xf numFmtId="0" fontId="24" fillId="3" borderId="9" xfId="0" applyFont="1" applyFill="1" applyBorder="1" applyAlignment="1">
      <alignment vertical="center"/>
    </xf>
    <xf numFmtId="0" fontId="28" fillId="3" borderId="0" xfId="0" applyFont="1" applyFill="1" applyAlignment="1">
      <alignment vertical="center"/>
    </xf>
    <xf numFmtId="0" fontId="9" fillId="3" borderId="12" xfId="0" applyFont="1" applyFill="1" applyBorder="1" applyAlignment="1">
      <alignment vertical="center"/>
    </xf>
    <xf numFmtId="0" fontId="24" fillId="3" borderId="11" xfId="0" applyFont="1" applyFill="1" applyBorder="1" applyAlignment="1">
      <alignment vertical="center"/>
    </xf>
    <xf numFmtId="0" fontId="24" fillId="3" borderId="12" xfId="0" applyFont="1" applyFill="1" applyBorder="1" applyAlignment="1">
      <alignment vertical="center"/>
    </xf>
    <xf numFmtId="0" fontId="28" fillId="3" borderId="12" xfId="0" applyFont="1" applyFill="1" applyBorder="1" applyAlignment="1">
      <alignment vertical="center"/>
    </xf>
    <xf numFmtId="0" fontId="11" fillId="3" borderId="89" xfId="0" applyFont="1" applyFill="1" applyBorder="1" applyAlignment="1">
      <alignment horizontal="center" vertical="center"/>
    </xf>
    <xf numFmtId="165" fontId="6" fillId="2" borderId="99" xfId="1" applyNumberFormat="1" applyFont="1" applyFill="1" applyBorder="1" applyAlignment="1">
      <alignment horizontal="center" vertical="center"/>
    </xf>
    <xf numFmtId="165" fontId="6" fillId="2" borderId="101" xfId="1" applyNumberFormat="1" applyFont="1" applyFill="1" applyBorder="1" applyAlignment="1">
      <alignment horizontal="center" vertical="center"/>
    </xf>
    <xf numFmtId="0" fontId="49" fillId="3" borderId="0" xfId="0" applyFont="1" applyFill="1" applyAlignment="1">
      <alignment horizontal="center" vertical="center" wrapText="1"/>
    </xf>
    <xf numFmtId="0" fontId="9" fillId="3" borderId="43" xfId="0" applyFont="1" applyFill="1" applyBorder="1" applyAlignment="1">
      <alignment horizontal="center" vertical="center"/>
    </xf>
    <xf numFmtId="0" fontId="16" fillId="4" borderId="0" xfId="0" applyFont="1" applyFill="1" applyAlignment="1">
      <alignment horizontal="center" wrapText="1"/>
    </xf>
    <xf numFmtId="0" fontId="16" fillId="4" borderId="7" xfId="0" applyFont="1" applyFill="1" applyBorder="1" applyAlignment="1">
      <alignment wrapText="1"/>
    </xf>
    <xf numFmtId="0" fontId="16" fillId="4" borderId="0" xfId="0" applyFont="1" applyFill="1" applyAlignment="1">
      <alignment wrapText="1"/>
    </xf>
    <xf numFmtId="0" fontId="13" fillId="3" borderId="9" xfId="0" applyFont="1" applyFill="1" applyBorder="1" applyAlignment="1">
      <alignment vertical="center"/>
    </xf>
    <xf numFmtId="0" fontId="13" fillId="3" borderId="9" xfId="0" applyFont="1" applyFill="1" applyBorder="1"/>
    <xf numFmtId="0" fontId="16" fillId="4" borderId="9" xfId="0" applyFont="1" applyFill="1" applyBorder="1" applyAlignment="1">
      <alignment wrapText="1"/>
    </xf>
    <xf numFmtId="10" fontId="4" fillId="2" borderId="89" xfId="0" applyNumberFormat="1" applyFont="1" applyFill="1" applyBorder="1" applyAlignment="1">
      <alignment horizontal="center"/>
    </xf>
    <xf numFmtId="10" fontId="4" fillId="2" borderId="95" xfId="0" applyNumberFormat="1" applyFont="1" applyFill="1" applyBorder="1" applyAlignment="1">
      <alignment horizontal="center"/>
    </xf>
    <xf numFmtId="0" fontId="4" fillId="2" borderId="89" xfId="0" applyFont="1" applyFill="1" applyBorder="1" applyAlignment="1">
      <alignment horizontal="center"/>
    </xf>
    <xf numFmtId="0" fontId="4" fillId="2" borderId="95" xfId="0" applyFont="1" applyFill="1" applyBorder="1" applyAlignment="1">
      <alignment horizontal="center"/>
    </xf>
    <xf numFmtId="10" fontId="4" fillId="2" borderId="43" xfId="0" applyNumberFormat="1" applyFont="1" applyFill="1" applyBorder="1" applyAlignment="1">
      <alignment horizontal="center"/>
    </xf>
    <xf numFmtId="0" fontId="4" fillId="2" borderId="43" xfId="0" applyFont="1" applyFill="1" applyBorder="1" applyAlignment="1">
      <alignment horizontal="center"/>
    </xf>
    <xf numFmtId="0" fontId="16" fillId="4" borderId="9" xfId="0" applyFont="1" applyFill="1" applyBorder="1" applyAlignment="1">
      <alignment horizontal="left"/>
    </xf>
    <xf numFmtId="165" fontId="12" fillId="2" borderId="99" xfId="1" applyNumberFormat="1" applyFont="1" applyFill="1" applyBorder="1" applyAlignment="1">
      <alignment horizontal="center" vertical="center"/>
    </xf>
    <xf numFmtId="165" fontId="12" fillId="2" borderId="101" xfId="1" applyNumberFormat="1" applyFont="1" applyFill="1" applyBorder="1" applyAlignment="1">
      <alignment horizontal="center" vertical="center"/>
    </xf>
    <xf numFmtId="0" fontId="95" fillId="5" borderId="0" xfId="0" applyFont="1" applyFill="1"/>
    <xf numFmtId="0" fontId="96" fillId="5" borderId="0" xfId="0" applyFont="1" applyFill="1"/>
    <xf numFmtId="0" fontId="4" fillId="5" borderId="42" xfId="0" applyFont="1" applyFill="1" applyBorder="1"/>
    <xf numFmtId="205" fontId="16" fillId="5" borderId="42" xfId="0" applyNumberFormat="1" applyFont="1" applyFill="1" applyBorder="1" applyAlignment="1">
      <alignment horizontal="right"/>
    </xf>
    <xf numFmtId="0" fontId="95" fillId="5" borderId="42" xfId="0" applyFont="1" applyFill="1" applyBorder="1"/>
    <xf numFmtId="0" fontId="70" fillId="6" borderId="42" xfId="0" applyFont="1" applyFill="1" applyBorder="1"/>
    <xf numFmtId="0" fontId="70" fillId="6" borderId="0" xfId="0" applyFont="1" applyFill="1"/>
    <xf numFmtId="184" fontId="4" fillId="5" borderId="0" xfId="0" applyNumberFormat="1" applyFont="1" applyFill="1" applyAlignment="1">
      <alignment horizontal="left" indent="1"/>
    </xf>
    <xf numFmtId="0" fontId="16" fillId="5" borderId="42" xfId="0" applyFont="1" applyFill="1" applyBorder="1" applyAlignment="1">
      <alignment horizontal="right"/>
    </xf>
    <xf numFmtId="0" fontId="4" fillId="6" borderId="42" xfId="0" applyFont="1" applyFill="1" applyBorder="1" applyAlignment="1">
      <alignment horizontal="center"/>
    </xf>
    <xf numFmtId="0" fontId="4" fillId="5" borderId="0" xfId="0" applyFont="1" applyFill="1" applyAlignment="1">
      <alignment horizontal="center" vertical="center"/>
    </xf>
    <xf numFmtId="164" fontId="4" fillId="5" borderId="0" xfId="0" applyNumberFormat="1" applyFont="1" applyFill="1" applyAlignment="1">
      <alignment horizontal="right" vertical="center"/>
    </xf>
    <xf numFmtId="165" fontId="4" fillId="5" borderId="0" xfId="0" applyNumberFormat="1" applyFont="1" applyFill="1" applyAlignment="1">
      <alignment horizontal="center"/>
    </xf>
    <xf numFmtId="165" fontId="4" fillId="5" borderId="0" xfId="1" applyNumberFormat="1" applyFont="1" applyFill="1" applyBorder="1" applyAlignment="1">
      <alignment horizontal="center"/>
    </xf>
    <xf numFmtId="205" fontId="16" fillId="3" borderId="0" xfId="0" applyNumberFormat="1" applyFont="1" applyFill="1" applyAlignment="1">
      <alignment horizontal="center"/>
    </xf>
    <xf numFmtId="0" fontId="45" fillId="2" borderId="0" xfId="0" applyFont="1" applyFill="1" applyAlignment="1">
      <alignment vertical="top"/>
    </xf>
    <xf numFmtId="0" fontId="45" fillId="5" borderId="42" xfId="0" applyFont="1" applyFill="1" applyBorder="1"/>
    <xf numFmtId="0" fontId="45" fillId="6" borderId="42" xfId="0" applyFont="1" applyFill="1" applyBorder="1"/>
    <xf numFmtId="205" fontId="51" fillId="5" borderId="42" xfId="0" applyNumberFormat="1" applyFont="1" applyFill="1" applyBorder="1"/>
    <xf numFmtId="205" fontId="51" fillId="5" borderId="149" xfId="0" applyNumberFormat="1" applyFont="1" applyFill="1" applyBorder="1" applyAlignment="1">
      <alignment horizontal="right"/>
    </xf>
    <xf numFmtId="195" fontId="0" fillId="5" borderId="0" xfId="0" applyNumberFormat="1" applyFill="1"/>
    <xf numFmtId="0" fontId="84" fillId="3" borderId="0" xfId="0" applyFont="1" applyFill="1" applyAlignment="1">
      <alignment horizontal="center" vertical="top"/>
    </xf>
    <xf numFmtId="184" fontId="4" fillId="5" borderId="0" xfId="0" applyNumberFormat="1" applyFont="1" applyFill="1" applyAlignment="1">
      <alignment horizontal="left"/>
    </xf>
    <xf numFmtId="205" fontId="16" fillId="5" borderId="25" xfId="0" applyNumberFormat="1" applyFont="1" applyFill="1" applyBorder="1" applyAlignment="1">
      <alignment horizontal="right" vertical="center"/>
    </xf>
    <xf numFmtId="180" fontId="16" fillId="6" borderId="25" xfId="0" applyNumberFormat="1" applyFont="1" applyFill="1" applyBorder="1" applyAlignment="1">
      <alignment horizontal="center" vertical="center"/>
    </xf>
    <xf numFmtId="0" fontId="13" fillId="5" borderId="25" xfId="0" applyFont="1" applyFill="1" applyBorder="1"/>
    <xf numFmtId="0" fontId="63" fillId="2" borderId="0" xfId="0" applyFont="1" applyFill="1" applyAlignment="1">
      <alignment vertical="top"/>
    </xf>
    <xf numFmtId="0" fontId="13" fillId="3" borderId="0" xfId="0" applyFont="1" applyFill="1" applyAlignment="1">
      <alignment horizontal="right" indent="1"/>
    </xf>
    <xf numFmtId="0" fontId="0" fillId="6" borderId="42" xfId="0" applyFill="1" applyBorder="1"/>
    <xf numFmtId="0" fontId="4" fillId="5" borderId="0" xfId="0" applyFont="1" applyFill="1" applyAlignment="1">
      <alignment horizontal="left" vertical="center"/>
    </xf>
    <xf numFmtId="164" fontId="4" fillId="2" borderId="0" xfId="0" applyNumberFormat="1" applyFont="1" applyFill="1" applyAlignment="1">
      <alignment horizontal="center" vertical="center"/>
    </xf>
    <xf numFmtId="0" fontId="6" fillId="2" borderId="29" xfId="0" applyFont="1" applyFill="1" applyBorder="1" applyAlignment="1">
      <alignment horizontal="right"/>
    </xf>
    <xf numFmtId="0" fontId="4" fillId="2" borderId="29" xfId="0" applyFont="1" applyFill="1" applyBorder="1" applyAlignment="1">
      <alignment horizontal="right"/>
    </xf>
    <xf numFmtId="164" fontId="49" fillId="3" borderId="0" xfId="0" applyNumberFormat="1" applyFont="1" applyFill="1" applyAlignment="1">
      <alignment horizontal="center"/>
    </xf>
    <xf numFmtId="0" fontId="49" fillId="2" borderId="9" xfId="0" applyFont="1" applyFill="1" applyBorder="1" applyAlignment="1">
      <alignment horizontal="center" vertical="center"/>
    </xf>
    <xf numFmtId="0" fontId="45" fillId="2" borderId="10" xfId="0" applyFont="1" applyFill="1" applyBorder="1" applyAlignment="1">
      <alignment vertical="center"/>
    </xf>
    <xf numFmtId="0" fontId="45" fillId="3" borderId="0" xfId="0" applyFont="1" applyFill="1" applyAlignment="1">
      <alignment vertical="center"/>
    </xf>
    <xf numFmtId="205" fontId="45" fillId="5" borderId="25" xfId="0" applyNumberFormat="1" applyFont="1" applyFill="1" applyBorder="1" applyAlignment="1">
      <alignment horizontal="right" vertical="center"/>
    </xf>
    <xf numFmtId="205" fontId="51" fillId="5" borderId="25" xfId="0" applyNumberFormat="1" applyFont="1" applyFill="1" applyBorder="1" applyAlignment="1">
      <alignment horizontal="right" vertical="center"/>
    </xf>
    <xf numFmtId="0" fontId="45" fillId="5" borderId="25" xfId="0" applyFont="1" applyFill="1" applyBorder="1" applyAlignment="1">
      <alignment vertical="center"/>
    </xf>
    <xf numFmtId="0" fontId="0" fillId="2" borderId="0" xfId="0" applyFill="1" applyAlignment="1">
      <alignment horizontal="center" vertical="center"/>
    </xf>
    <xf numFmtId="171" fontId="4" fillId="5" borderId="0" xfId="0" applyNumberFormat="1" applyFont="1" applyFill="1" applyAlignment="1">
      <alignment horizontal="center"/>
    </xf>
    <xf numFmtId="181" fontId="4" fillId="5" borderId="0" xfId="0" applyNumberFormat="1" applyFont="1" applyFill="1" applyAlignment="1">
      <alignment horizontal="center"/>
    </xf>
    <xf numFmtId="167" fontId="4" fillId="5" borderId="0" xfId="0" applyNumberFormat="1" applyFont="1" applyFill="1" applyAlignment="1">
      <alignment horizontal="center"/>
    </xf>
    <xf numFmtId="165" fontId="25" fillId="6" borderId="0" xfId="1" applyNumberFormat="1" applyFont="1" applyFill="1" applyBorder="1" applyAlignment="1">
      <alignment horizontal="center"/>
    </xf>
    <xf numFmtId="203" fontId="25" fillId="6" borderId="0" xfId="0" applyNumberFormat="1" applyFont="1" applyFill="1" applyAlignment="1">
      <alignment horizontal="center"/>
    </xf>
    <xf numFmtId="3" fontId="0" fillId="5" borderId="0" xfId="0" applyNumberFormat="1" applyFill="1" applyAlignment="1">
      <alignment horizontal="right"/>
    </xf>
    <xf numFmtId="1" fontId="0" fillId="5" borderId="0" xfId="0" applyNumberFormat="1" applyFill="1" applyAlignment="1">
      <alignment horizontal="right"/>
    </xf>
    <xf numFmtId="247" fontId="0" fillId="5" borderId="31" xfId="1" applyNumberFormat="1" applyFont="1" applyFill="1" applyBorder="1" applyAlignment="1">
      <alignment horizontal="right"/>
    </xf>
    <xf numFmtId="165" fontId="0" fillId="6" borderId="31" xfId="1" applyNumberFormat="1" applyFont="1" applyFill="1" applyBorder="1" applyAlignment="1">
      <alignment horizontal="right"/>
    </xf>
    <xf numFmtId="248" fontId="0" fillId="6" borderId="31" xfId="1" applyNumberFormat="1" applyFont="1" applyFill="1" applyBorder="1" applyAlignment="1">
      <alignment horizontal="right"/>
    </xf>
    <xf numFmtId="248" fontId="0" fillId="6" borderId="0" xfId="1" applyNumberFormat="1" applyFont="1" applyFill="1" applyBorder="1" applyAlignment="1">
      <alignment horizontal="right"/>
    </xf>
    <xf numFmtId="248" fontId="0" fillId="6" borderId="0" xfId="1" applyNumberFormat="1" applyFont="1" applyFill="1" applyBorder="1"/>
    <xf numFmtId="0" fontId="4" fillId="2" borderId="134" xfId="0" applyFont="1" applyFill="1" applyBorder="1" applyAlignment="1">
      <alignment horizontal="left" indent="1"/>
    </xf>
    <xf numFmtId="0" fontId="4" fillId="2" borderId="148" xfId="0" applyFont="1" applyFill="1" applyBorder="1" applyAlignment="1">
      <alignment horizontal="center"/>
    </xf>
    <xf numFmtId="171" fontId="4" fillId="2" borderId="148" xfId="0" applyNumberFormat="1" applyFont="1" applyFill="1" applyBorder="1" applyAlignment="1">
      <alignment horizontal="center"/>
    </xf>
    <xf numFmtId="165" fontId="11" fillId="3" borderId="0" xfId="0" applyNumberFormat="1" applyFont="1" applyFill="1" applyAlignment="1">
      <alignment horizontal="right"/>
    </xf>
    <xf numFmtId="3" fontId="52" fillId="2" borderId="25" xfId="0" applyNumberFormat="1" applyFont="1" applyFill="1" applyBorder="1" applyAlignment="1">
      <alignment horizontal="right"/>
    </xf>
    <xf numFmtId="0" fontId="49" fillId="2" borderId="25" xfId="0" applyFont="1" applyFill="1" applyBorder="1" applyAlignment="1">
      <alignment horizontal="right"/>
    </xf>
    <xf numFmtId="250" fontId="52" fillId="2" borderId="25" xfId="0" applyNumberFormat="1" applyFont="1" applyFill="1" applyBorder="1" applyAlignment="1">
      <alignment horizontal="right"/>
    </xf>
    <xf numFmtId="250" fontId="8" fillId="2" borderId="12" xfId="0" applyNumberFormat="1" applyFont="1" applyFill="1" applyBorder="1" applyAlignment="1">
      <alignment horizontal="right"/>
    </xf>
    <xf numFmtId="250" fontId="8" fillId="3" borderId="0" xfId="0" applyNumberFormat="1" applyFont="1" applyFill="1" applyAlignment="1">
      <alignment horizontal="right"/>
    </xf>
    <xf numFmtId="250" fontId="8" fillId="2" borderId="7" xfId="0" applyNumberFormat="1" applyFont="1" applyFill="1" applyBorder="1" applyAlignment="1">
      <alignment horizontal="right"/>
    </xf>
    <xf numFmtId="0" fontId="0" fillId="5" borderId="149" xfId="0" applyFill="1" applyBorder="1" applyAlignment="1">
      <alignment horizontal="right"/>
    </xf>
    <xf numFmtId="0" fontId="0" fillId="5" borderId="149" xfId="0" applyFill="1" applyBorder="1"/>
    <xf numFmtId="232" fontId="0" fillId="5" borderId="0" xfId="0" applyNumberFormat="1" applyFill="1" applyAlignment="1">
      <alignment horizontal="right"/>
    </xf>
    <xf numFmtId="232" fontId="0" fillId="6" borderId="0" xfId="0" applyNumberFormat="1" applyFill="1" applyAlignment="1">
      <alignment horizontal="right"/>
    </xf>
    <xf numFmtId="0" fontId="45" fillId="2" borderId="0" xfId="0" applyFont="1" applyFill="1" applyAlignment="1">
      <alignment horizontal="center"/>
    </xf>
    <xf numFmtId="0" fontId="45" fillId="2" borderId="0" xfId="0" applyFont="1" applyFill="1" applyAlignment="1">
      <alignment horizontal="left"/>
    </xf>
    <xf numFmtId="0" fontId="45" fillId="2" borderId="2" xfId="0" applyFont="1" applyFill="1" applyBorder="1" applyAlignment="1">
      <alignment horizontal="left"/>
    </xf>
    <xf numFmtId="0" fontId="45" fillId="4" borderId="21" xfId="0" applyFont="1" applyFill="1" applyBorder="1" applyAlignment="1">
      <alignment horizontal="left"/>
    </xf>
    <xf numFmtId="0" fontId="45" fillId="4" borderId="15" xfId="0" applyFont="1" applyFill="1" applyBorder="1" applyAlignment="1">
      <alignment horizontal="left"/>
    </xf>
    <xf numFmtId="0" fontId="45" fillId="4" borderId="21" xfId="0" applyFont="1" applyFill="1" applyBorder="1" applyAlignment="1">
      <alignment horizontal="center"/>
    </xf>
    <xf numFmtId="0" fontId="45" fillId="4" borderId="15" xfId="0" applyFont="1" applyFill="1" applyBorder="1" applyAlignment="1">
      <alignment horizontal="center"/>
    </xf>
    <xf numFmtId="0" fontId="45" fillId="2" borderId="22" xfId="0" applyFont="1" applyFill="1" applyBorder="1" applyAlignment="1">
      <alignment horizontal="center"/>
    </xf>
    <xf numFmtId="0" fontId="45" fillId="4" borderId="24" xfId="0" applyFont="1" applyFill="1" applyBorder="1" applyAlignment="1">
      <alignment horizontal="left"/>
    </xf>
    <xf numFmtId="0" fontId="45" fillId="2" borderId="9" xfId="0" applyFont="1" applyFill="1" applyBorder="1" applyAlignment="1">
      <alignment horizontal="left"/>
    </xf>
    <xf numFmtId="0" fontId="45" fillId="4" borderId="167" xfId="0" applyFont="1" applyFill="1" applyBorder="1" applyAlignment="1">
      <alignment horizontal="left"/>
    </xf>
    <xf numFmtId="165" fontId="52" fillId="2" borderId="25" xfId="0" applyNumberFormat="1" applyFont="1" applyFill="1" applyBorder="1" applyAlignment="1">
      <alignment horizontal="right"/>
    </xf>
    <xf numFmtId="232" fontId="59" fillId="5" borderId="0" xfId="0" applyNumberFormat="1" applyFont="1" applyFill="1" applyAlignment="1">
      <alignment horizontal="center" vertical="top"/>
    </xf>
    <xf numFmtId="232" fontId="59" fillId="5" borderId="0" xfId="0" applyNumberFormat="1" applyFont="1" applyFill="1" applyAlignment="1">
      <alignment horizontal="right" vertical="top" wrapText="1" indent="1"/>
    </xf>
    <xf numFmtId="232" fontId="59" fillId="5" borderId="0" xfId="0" applyNumberFormat="1" applyFont="1" applyFill="1" applyAlignment="1">
      <alignment horizontal="right" vertical="top" wrapText="1"/>
    </xf>
    <xf numFmtId="0" fontId="9" fillId="3" borderId="12" xfId="0" applyFont="1" applyFill="1" applyBorder="1"/>
    <xf numFmtId="0" fontId="36" fillId="0" borderId="0" xfId="0" applyFont="1"/>
    <xf numFmtId="0" fontId="100" fillId="9" borderId="0" xfId="0" applyFont="1" applyFill="1" applyAlignment="1">
      <alignment horizontal="right" indent="1"/>
    </xf>
    <xf numFmtId="0" fontId="100" fillId="9" borderId="0" xfId="0" applyFont="1" applyFill="1"/>
    <xf numFmtId="0" fontId="100" fillId="9" borderId="0" xfId="1" applyNumberFormat="1" applyFont="1" applyFill="1" applyAlignment="1">
      <alignment horizontal="right" indent="1"/>
    </xf>
    <xf numFmtId="0" fontId="100" fillId="9" borderId="0" xfId="0" applyFont="1" applyFill="1" applyAlignment="1">
      <alignment horizontal="center"/>
    </xf>
    <xf numFmtId="0" fontId="101" fillId="9" borderId="0" xfId="0" applyFont="1" applyFill="1" applyAlignment="1">
      <alignment horizontal="right"/>
    </xf>
    <xf numFmtId="0" fontId="101" fillId="9" borderId="0" xfId="0" quotePrefix="1" applyFont="1" applyFill="1"/>
    <xf numFmtId="0" fontId="36" fillId="0" borderId="168" xfId="0" applyFont="1" applyBorder="1"/>
    <xf numFmtId="0" fontId="36" fillId="0" borderId="149" xfId="0" applyFont="1" applyBorder="1"/>
    <xf numFmtId="0" fontId="36" fillId="0" borderId="149" xfId="0" applyFont="1" applyBorder="1" applyAlignment="1">
      <alignment horizontal="right"/>
    </xf>
    <xf numFmtId="0" fontId="36" fillId="0" borderId="170" xfId="0" applyFont="1" applyBorder="1"/>
    <xf numFmtId="165" fontId="36" fillId="0" borderId="0" xfId="1" applyNumberFormat="1" applyFont="1" applyBorder="1" applyAlignment="1">
      <alignment horizontal="right"/>
    </xf>
    <xf numFmtId="0" fontId="36" fillId="0" borderId="0" xfId="0" applyFont="1" applyAlignment="1">
      <alignment shrinkToFit="1"/>
    </xf>
    <xf numFmtId="0" fontId="36" fillId="0" borderId="171" xfId="0" applyFont="1" applyBorder="1"/>
    <xf numFmtId="0" fontId="36" fillId="0" borderId="31" xfId="0" applyFont="1" applyBorder="1"/>
    <xf numFmtId="165" fontId="36" fillId="0" borderId="31" xfId="1" applyNumberFormat="1" applyFont="1" applyBorder="1" applyAlignment="1">
      <alignment horizontal="right"/>
    </xf>
    <xf numFmtId="0" fontId="36" fillId="0" borderId="0" xfId="0" applyFont="1" applyAlignment="1">
      <alignment horizontal="right" indent="1"/>
    </xf>
    <xf numFmtId="0" fontId="36" fillId="0" borderId="169" xfId="0" applyFont="1" applyBorder="1" applyAlignment="1">
      <alignment horizontal="right" indent="1"/>
    </xf>
    <xf numFmtId="0" fontId="36" fillId="0" borderId="23" xfId="0" applyFont="1" applyBorder="1" applyAlignment="1">
      <alignment horizontal="right" indent="1"/>
    </xf>
    <xf numFmtId="0" fontId="36" fillId="0" borderId="146" xfId="0" applyFont="1" applyBorder="1" applyAlignment="1">
      <alignment horizontal="right" indent="1"/>
    </xf>
    <xf numFmtId="0" fontId="100" fillId="9" borderId="0" xfId="0" applyFont="1" applyFill="1" applyAlignment="1">
      <alignment horizontal="left" indent="1"/>
    </xf>
    <xf numFmtId="0" fontId="41" fillId="3" borderId="0" xfId="0" applyFont="1" applyFill="1" applyAlignment="1">
      <alignment horizontal="right"/>
    </xf>
    <xf numFmtId="0" fontId="4" fillId="3" borderId="0" xfId="0" applyFont="1" applyFill="1" applyAlignment="1">
      <alignment horizontal="left" indent="1"/>
    </xf>
    <xf numFmtId="0" fontId="4" fillId="3" borderId="0" xfId="0" applyFont="1" applyFill="1" applyAlignment="1">
      <alignment horizontal="left" vertical="top" indent="1"/>
    </xf>
    <xf numFmtId="0" fontId="104" fillId="3" borderId="0" xfId="0" applyFont="1" applyFill="1" applyAlignment="1">
      <alignment vertical="top" wrapText="1"/>
    </xf>
    <xf numFmtId="0" fontId="105" fillId="3" borderId="0" xfId="0" applyFont="1" applyFill="1" applyAlignment="1">
      <alignment vertical="top"/>
    </xf>
    <xf numFmtId="0" fontId="105" fillId="3" borderId="0" xfId="0" applyFont="1" applyFill="1" applyAlignment="1">
      <alignment horizontal="center" vertical="top"/>
    </xf>
    <xf numFmtId="0" fontId="105" fillId="3" borderId="0" xfId="0" applyFont="1" applyFill="1" applyAlignment="1">
      <alignment horizontal="right" indent="1"/>
    </xf>
    <xf numFmtId="0" fontId="105" fillId="3" borderId="0" xfId="0" applyFont="1" applyFill="1" applyAlignment="1">
      <alignment horizontal="right"/>
    </xf>
    <xf numFmtId="0" fontId="106" fillId="3" borderId="0" xfId="0" applyFont="1" applyFill="1" applyAlignment="1">
      <alignment vertical="top"/>
    </xf>
    <xf numFmtId="0" fontId="105" fillId="3" borderId="0" xfId="0" applyFont="1" applyFill="1"/>
    <xf numFmtId="0" fontId="106" fillId="3" borderId="0" xfId="0" applyFont="1" applyFill="1" applyAlignment="1">
      <alignment horizontal="left" vertical="top"/>
    </xf>
    <xf numFmtId="0" fontId="105" fillId="3" borderId="0" xfId="0" applyFont="1" applyFill="1" applyAlignment="1">
      <alignment horizontal="center"/>
    </xf>
    <xf numFmtId="0" fontId="106" fillId="3" borderId="0" xfId="0" applyFont="1" applyFill="1" applyAlignment="1">
      <alignment horizontal="right" vertical="top" indent="1"/>
    </xf>
    <xf numFmtId="0" fontId="3" fillId="3" borderId="0" xfId="0" applyFont="1" applyFill="1" applyAlignment="1">
      <alignment horizontal="left" vertical="top" indent="2"/>
    </xf>
    <xf numFmtId="0" fontId="107" fillId="3" borderId="172" xfId="0" applyFont="1" applyFill="1" applyBorder="1" applyAlignment="1">
      <alignment horizontal="left" vertical="top" wrapText="1" indent="1"/>
    </xf>
    <xf numFmtId="0" fontId="108" fillId="3" borderId="0" xfId="0" applyFont="1" applyFill="1" applyAlignment="1">
      <alignment horizontal="left" vertical="top" indent="1"/>
    </xf>
    <xf numFmtId="237" fontId="4" fillId="0" borderId="46" xfId="0" applyNumberFormat="1" applyFont="1" applyBorder="1" applyAlignment="1">
      <alignment horizontal="center"/>
    </xf>
    <xf numFmtId="0" fontId="4" fillId="0" borderId="46" xfId="0" applyFont="1" applyBorder="1" applyAlignment="1">
      <alignment horizontal="center"/>
    </xf>
    <xf numFmtId="167" fontId="4" fillId="0" borderId="48" xfId="0" applyNumberFormat="1" applyFont="1" applyBorder="1" applyAlignment="1">
      <alignment horizontal="center"/>
    </xf>
    <xf numFmtId="0" fontId="54" fillId="2" borderId="0" xfId="0" applyFont="1" applyFill="1" applyAlignment="1">
      <alignment vertical="top"/>
    </xf>
    <xf numFmtId="0" fontId="54" fillId="2" borderId="0" xfId="0" applyFont="1" applyFill="1"/>
    <xf numFmtId="0" fontId="49" fillId="2" borderId="0" xfId="0" applyFont="1" applyFill="1" applyAlignment="1">
      <alignment horizontal="center"/>
    </xf>
    <xf numFmtId="0" fontId="52" fillId="2" borderId="0" xfId="0" applyFont="1" applyFill="1" applyAlignment="1">
      <alignment horizontal="center"/>
    </xf>
    <xf numFmtId="0" fontId="14" fillId="3" borderId="0" xfId="0" applyFont="1" applyFill="1"/>
    <xf numFmtId="218" fontId="14" fillId="3" borderId="0" xfId="0" applyNumberFormat="1" applyFont="1" applyFill="1" applyAlignment="1">
      <alignment horizontal="right"/>
    </xf>
    <xf numFmtId="0" fontId="14" fillId="3" borderId="0" xfId="0" applyFont="1" applyFill="1" applyAlignment="1">
      <alignment horizontal="left"/>
    </xf>
    <xf numFmtId="0" fontId="14" fillId="3" borderId="0" xfId="0" applyFont="1" applyFill="1" applyAlignment="1">
      <alignment horizontal="right"/>
    </xf>
    <xf numFmtId="0" fontId="45" fillId="5" borderId="0" xfId="0" applyFont="1" applyFill="1" applyAlignment="1">
      <alignment horizontal="left"/>
    </xf>
    <xf numFmtId="0" fontId="52" fillId="5" borderId="0" xfId="0" applyFont="1" applyFill="1" applyAlignment="1">
      <alignment horizontal="right"/>
    </xf>
    <xf numFmtId="0" fontId="45" fillId="5" borderId="0" xfId="0" applyFont="1" applyFill="1" applyAlignment="1">
      <alignment horizontal="right"/>
    </xf>
    <xf numFmtId="0" fontId="50" fillId="5" borderId="0" xfId="0" applyFont="1" applyFill="1"/>
    <xf numFmtId="10" fontId="45" fillId="5" borderId="0" xfId="0" applyNumberFormat="1" applyFont="1" applyFill="1" applyAlignment="1">
      <alignment horizontal="right"/>
    </xf>
    <xf numFmtId="10" fontId="51" fillId="6" borderId="0" xfId="0" applyNumberFormat="1" applyFont="1" applyFill="1"/>
    <xf numFmtId="10" fontId="45" fillId="5" borderId="0" xfId="0" applyNumberFormat="1" applyFont="1" applyFill="1" applyAlignment="1">
      <alignment horizontal="center"/>
    </xf>
    <xf numFmtId="205" fontId="45" fillId="5" borderId="0" xfId="0" applyNumberFormat="1" applyFont="1" applyFill="1" applyAlignment="1">
      <alignment horizontal="right"/>
    </xf>
    <xf numFmtId="205" fontId="51" fillId="5" borderId="0" xfId="0" applyNumberFormat="1" applyFont="1" applyFill="1" applyAlignment="1">
      <alignment horizontal="right"/>
    </xf>
    <xf numFmtId="0" fontId="45" fillId="5" borderId="0" xfId="0" applyFont="1" applyFill="1" applyAlignment="1">
      <alignment vertical="center"/>
    </xf>
    <xf numFmtId="0" fontId="97" fillId="5" borderId="0" xfId="0" applyFont="1" applyFill="1"/>
    <xf numFmtId="0" fontId="52" fillId="5" borderId="0" xfId="0" applyFont="1" applyFill="1" applyAlignment="1">
      <alignment horizontal="left"/>
    </xf>
    <xf numFmtId="0" fontId="98" fillId="5" borderId="0" xfId="0" applyFont="1" applyFill="1"/>
    <xf numFmtId="0" fontId="45" fillId="6" borderId="0" xfId="0" applyFont="1" applyFill="1"/>
    <xf numFmtId="0" fontId="49" fillId="2" borderId="0" xfId="0" applyFont="1" applyFill="1"/>
    <xf numFmtId="205" fontId="45" fillId="5" borderId="0" xfId="0" applyNumberFormat="1" applyFont="1" applyFill="1" applyAlignment="1">
      <alignment horizontal="right" vertical="center"/>
    </xf>
    <xf numFmtId="205" fontId="51" fillId="5" borderId="0" xfId="0" applyNumberFormat="1" applyFont="1" applyFill="1" applyAlignment="1">
      <alignment horizontal="right" vertical="center"/>
    </xf>
    <xf numFmtId="205" fontId="51" fillId="5" borderId="0" xfId="0" applyNumberFormat="1" applyFont="1" applyFill="1"/>
    <xf numFmtId="0" fontId="53" fillId="5" borderId="0" xfId="0" applyFont="1" applyFill="1"/>
    <xf numFmtId="232" fontId="0" fillId="5" borderId="149" xfId="1" applyNumberFormat="1" applyFont="1" applyFill="1" applyBorder="1" applyAlignment="1">
      <alignment horizontal="right"/>
    </xf>
    <xf numFmtId="165" fontId="4" fillId="2" borderId="36" xfId="1" applyNumberFormat="1" applyFont="1" applyFill="1" applyBorder="1" applyAlignment="1">
      <alignment horizontal="center"/>
    </xf>
    <xf numFmtId="185" fontId="4" fillId="6" borderId="89" xfId="0" applyNumberFormat="1" applyFont="1" applyFill="1" applyBorder="1" applyAlignment="1">
      <alignment horizontal="right"/>
    </xf>
    <xf numFmtId="165" fontId="57" fillId="3" borderId="0" xfId="0" applyNumberFormat="1" applyFont="1" applyFill="1" applyAlignment="1">
      <alignment horizontal="right"/>
    </xf>
    <xf numFmtId="167" fontId="49" fillId="3" borderId="0" xfId="1" applyNumberFormat="1" applyFont="1" applyFill="1" applyAlignment="1"/>
    <xf numFmtId="0" fontId="109" fillId="3" borderId="0" xfId="0" applyFont="1" applyFill="1"/>
    <xf numFmtId="0" fontId="0" fillId="2" borderId="8" xfId="0" applyFill="1" applyBorder="1" applyAlignment="1">
      <alignment horizontal="right"/>
    </xf>
    <xf numFmtId="0" fontId="0" fillId="2" borderId="10" xfId="0" applyFill="1" applyBorder="1" applyAlignment="1">
      <alignment horizontal="right"/>
    </xf>
    <xf numFmtId="0" fontId="0" fillId="2" borderId="13" xfId="0" applyFill="1" applyBorder="1" applyAlignment="1">
      <alignment horizontal="right"/>
    </xf>
    <xf numFmtId="10" fontId="8" fillId="6" borderId="0" xfId="1" applyNumberFormat="1" applyFont="1" applyFill="1" applyBorder="1" applyAlignment="1">
      <alignment horizontal="center"/>
    </xf>
    <xf numFmtId="251" fontId="8" fillId="6" borderId="0" xfId="0" applyNumberFormat="1" applyFont="1" applyFill="1" applyAlignment="1">
      <alignment horizontal="left"/>
    </xf>
    <xf numFmtId="253" fontId="8" fillId="6" borderId="0" xfId="0" applyNumberFormat="1" applyFont="1" applyFill="1" applyAlignment="1">
      <alignment horizontal="left"/>
    </xf>
    <xf numFmtId="254" fontId="8" fillId="6" borderId="0" xfId="0" applyNumberFormat="1" applyFont="1" applyFill="1" applyAlignment="1">
      <alignment horizontal="left"/>
    </xf>
    <xf numFmtId="10" fontId="8" fillId="5" borderId="0" xfId="1" applyNumberFormat="1" applyFont="1" applyFill="1" applyBorder="1" applyAlignment="1">
      <alignment horizontal="center"/>
    </xf>
    <xf numFmtId="0" fontId="0" fillId="5" borderId="25" xfId="0" applyFill="1" applyBorder="1" applyAlignment="1">
      <alignment horizontal="right"/>
    </xf>
    <xf numFmtId="252" fontId="0" fillId="6" borderId="25" xfId="0" applyNumberFormat="1" applyFill="1" applyBorder="1" applyAlignment="1">
      <alignment horizontal="left"/>
    </xf>
    <xf numFmtId="165" fontId="0" fillId="6" borderId="25" xfId="1" applyNumberFormat="1" applyFont="1" applyFill="1" applyBorder="1" applyAlignment="1">
      <alignment horizontal="center"/>
    </xf>
    <xf numFmtId="0" fontId="8" fillId="2" borderId="174" xfId="0" applyFont="1" applyFill="1" applyBorder="1" applyAlignment="1">
      <alignment horizontal="center"/>
    </xf>
    <xf numFmtId="0" fontId="8" fillId="2" borderId="175" xfId="0" applyFont="1" applyFill="1" applyBorder="1" applyAlignment="1">
      <alignment horizontal="center"/>
    </xf>
    <xf numFmtId="0" fontId="8" fillId="2" borderId="176" xfId="0" applyFont="1" applyFill="1" applyBorder="1" applyAlignment="1">
      <alignment horizontal="center"/>
    </xf>
    <xf numFmtId="165" fontId="0" fillId="6" borderId="0" xfId="1" applyNumberFormat="1" applyFont="1" applyFill="1" applyBorder="1" applyAlignment="1">
      <alignment horizontal="center"/>
    </xf>
    <xf numFmtId="252" fontId="92" fillId="6" borderId="0" xfId="0" applyNumberFormat="1" applyFont="1" applyFill="1" applyAlignment="1">
      <alignment horizontal="left"/>
    </xf>
    <xf numFmtId="0" fontId="72" fillId="3" borderId="0" xfId="0" applyFont="1" applyFill="1" applyAlignment="1">
      <alignment horizontal="right" vertical="center"/>
    </xf>
    <xf numFmtId="0" fontId="5" fillId="3" borderId="0" xfId="0" applyFont="1" applyFill="1" applyAlignment="1">
      <alignment horizontal="right"/>
    </xf>
    <xf numFmtId="0" fontId="12" fillId="4" borderId="9" xfId="0" applyFont="1" applyFill="1" applyBorder="1" applyAlignment="1">
      <alignment horizontal="left" vertical="center"/>
    </xf>
    <xf numFmtId="0" fontId="12" fillId="3" borderId="0" xfId="0" applyFont="1" applyFill="1" applyAlignment="1">
      <alignment horizontal="right" vertical="center"/>
    </xf>
    <xf numFmtId="0" fontId="12" fillId="4" borderId="9" xfId="0" applyFont="1" applyFill="1" applyBorder="1" applyAlignment="1">
      <alignment vertical="center"/>
    </xf>
    <xf numFmtId="0" fontId="12" fillId="4" borderId="0" xfId="0" applyFont="1" applyFill="1" applyAlignment="1">
      <alignment vertical="center"/>
    </xf>
    <xf numFmtId="165" fontId="8" fillId="3" borderId="0" xfId="0" applyNumberFormat="1" applyFont="1" applyFill="1" applyAlignment="1">
      <alignment horizontal="right" vertical="center"/>
    </xf>
    <xf numFmtId="10" fontId="8" fillId="3" borderId="0" xfId="0" applyNumberFormat="1" applyFont="1" applyFill="1" applyAlignment="1">
      <alignment horizontal="right" vertical="center"/>
    </xf>
    <xf numFmtId="0" fontId="8" fillId="3" borderId="0" xfId="0" applyFont="1" applyFill="1" applyAlignment="1">
      <alignment horizontal="right" vertical="center"/>
    </xf>
    <xf numFmtId="0" fontId="12" fillId="4" borderId="11" xfId="0" applyFont="1" applyFill="1" applyBorder="1" applyAlignment="1">
      <alignment vertical="center"/>
    </xf>
    <xf numFmtId="0" fontId="8" fillId="2" borderId="179" xfId="0" applyFont="1" applyFill="1" applyBorder="1" applyAlignment="1">
      <alignment horizontal="center" vertical="center"/>
    </xf>
    <xf numFmtId="0" fontId="8" fillId="3" borderId="9" xfId="0" applyFont="1" applyFill="1" applyBorder="1" applyAlignment="1">
      <alignment vertical="center"/>
    </xf>
    <xf numFmtId="165" fontId="8" fillId="2" borderId="0" xfId="0" applyNumberFormat="1" applyFont="1" applyFill="1" applyAlignment="1">
      <alignment horizontal="right"/>
    </xf>
    <xf numFmtId="3" fontId="8" fillId="2" borderId="0" xfId="0" applyNumberFormat="1" applyFont="1" applyFill="1" applyAlignment="1">
      <alignment horizontal="right"/>
    </xf>
    <xf numFmtId="185" fontId="8" fillId="2" borderId="0" xfId="0" applyNumberFormat="1" applyFont="1" applyFill="1" applyAlignment="1">
      <alignment horizontal="right"/>
    </xf>
    <xf numFmtId="0" fontId="52" fillId="2" borderId="0" xfId="0" applyFont="1" applyFill="1" applyAlignment="1">
      <alignment horizontal="right"/>
    </xf>
    <xf numFmtId="3" fontId="14" fillId="3" borderId="0" xfId="0" applyNumberFormat="1" applyFont="1" applyFill="1" applyAlignment="1">
      <alignment horizontal="right"/>
    </xf>
    <xf numFmtId="165" fontId="14" fillId="3" borderId="0" xfId="0" applyNumberFormat="1" applyFont="1" applyFill="1" applyAlignment="1">
      <alignment horizontal="right"/>
    </xf>
    <xf numFmtId="250" fontId="14" fillId="3" borderId="0" xfId="0" applyNumberFormat="1" applyFont="1" applyFill="1" applyAlignment="1">
      <alignment horizontal="right"/>
    </xf>
    <xf numFmtId="0" fontId="14" fillId="2" borderId="0" xfId="0" applyFont="1" applyFill="1" applyAlignment="1">
      <alignment horizontal="right"/>
    </xf>
    <xf numFmtId="0" fontId="52" fillId="2" borderId="0" xfId="0" applyFont="1" applyFill="1" applyAlignment="1">
      <alignment horizontal="left"/>
    </xf>
    <xf numFmtId="3" fontId="52" fillId="2" borderId="0" xfId="0" applyNumberFormat="1" applyFont="1" applyFill="1" applyAlignment="1">
      <alignment horizontal="right"/>
    </xf>
    <xf numFmtId="165" fontId="52" fillId="2" borderId="0" xfId="0" applyNumberFormat="1" applyFont="1" applyFill="1" applyAlignment="1">
      <alignment horizontal="right"/>
    </xf>
    <xf numFmtId="250" fontId="52" fillId="2" borderId="0" xfId="0" applyNumberFormat="1" applyFont="1" applyFill="1" applyAlignment="1">
      <alignment horizontal="right"/>
    </xf>
    <xf numFmtId="0" fontId="49" fillId="2" borderId="0" xfId="0" applyFont="1" applyFill="1" applyAlignment="1">
      <alignment horizontal="right"/>
    </xf>
    <xf numFmtId="0" fontId="52" fillId="2" borderId="25" xfId="0" applyFont="1" applyFill="1" applyBorder="1" applyAlignment="1">
      <alignment horizontal="left"/>
    </xf>
    <xf numFmtId="0" fontId="70" fillId="2" borderId="0" xfId="0" applyFont="1" applyFill="1"/>
    <xf numFmtId="250" fontId="8" fillId="2" borderId="0" xfId="0" applyNumberFormat="1" applyFont="1" applyFill="1" applyAlignment="1">
      <alignment horizontal="right"/>
    </xf>
    <xf numFmtId="0" fontId="52" fillId="2" borderId="0" xfId="0" applyFont="1" applyFill="1"/>
    <xf numFmtId="0" fontId="52" fillId="2" borderId="25" xfId="0" applyFont="1" applyFill="1" applyBorder="1"/>
    <xf numFmtId="0" fontId="28" fillId="2" borderId="0" xfId="0" applyFont="1" applyFill="1" applyAlignment="1">
      <alignment horizontal="center"/>
    </xf>
    <xf numFmtId="3" fontId="57" fillId="3" borderId="0" xfId="0" applyNumberFormat="1" applyFont="1" applyFill="1" applyAlignment="1">
      <alignment horizontal="right"/>
    </xf>
    <xf numFmtId="49" fontId="45" fillId="4" borderId="10" xfId="0" applyNumberFormat="1" applyFont="1" applyFill="1" applyBorder="1" applyAlignment="1">
      <alignment horizontal="left"/>
    </xf>
    <xf numFmtId="0" fontId="45" fillId="4" borderId="149" xfId="0" applyFont="1" applyFill="1" applyBorder="1" applyAlignment="1">
      <alignment horizontal="left"/>
    </xf>
    <xf numFmtId="0" fontId="8" fillId="2" borderId="10" xfId="0" applyFont="1" applyFill="1" applyBorder="1" applyAlignment="1">
      <alignment horizontal="right"/>
    </xf>
    <xf numFmtId="49" fontId="45" fillId="4" borderId="13" xfId="0" applyNumberFormat="1" applyFont="1" applyFill="1" applyBorder="1" applyAlignment="1">
      <alignment horizontal="left"/>
    </xf>
    <xf numFmtId="0" fontId="45" fillId="4" borderId="22" xfId="0" applyFont="1" applyFill="1" applyBorder="1" applyAlignment="1">
      <alignment horizontal="left"/>
    </xf>
    <xf numFmtId="242" fontId="8" fillId="6" borderId="0" xfId="0" applyNumberFormat="1" applyFont="1" applyFill="1" applyAlignment="1">
      <alignment horizontal="right"/>
    </xf>
    <xf numFmtId="242" fontId="12" fillId="6" borderId="0" xfId="0" applyNumberFormat="1" applyFont="1" applyFill="1" applyAlignment="1">
      <alignment horizontal="right"/>
    </xf>
    <xf numFmtId="3" fontId="9" fillId="3" borderId="0" xfId="0" applyNumberFormat="1" applyFont="1" applyFill="1"/>
    <xf numFmtId="165" fontId="4" fillId="5" borderId="25" xfId="1" applyNumberFormat="1" applyFont="1" applyFill="1" applyBorder="1" applyAlignment="1">
      <alignment horizontal="right"/>
    </xf>
    <xf numFmtId="250" fontId="4" fillId="5" borderId="0" xfId="0" applyNumberFormat="1" applyFont="1" applyFill="1" applyAlignment="1">
      <alignment horizontal="right"/>
    </xf>
    <xf numFmtId="250" fontId="4" fillId="5" borderId="25" xfId="0" applyNumberFormat="1" applyFont="1" applyFill="1" applyBorder="1" applyAlignment="1">
      <alignment horizontal="right"/>
    </xf>
    <xf numFmtId="0" fontId="28" fillId="3" borderId="0" xfId="0" applyFont="1" applyFill="1" applyAlignment="1">
      <alignment horizontal="right"/>
    </xf>
    <xf numFmtId="0" fontId="6" fillId="2" borderId="12" xfId="0" applyFont="1" applyFill="1" applyBorder="1" applyAlignment="1">
      <alignment horizontal="right" vertical="center"/>
    </xf>
    <xf numFmtId="0" fontId="5" fillId="2" borderId="0" xfId="0" applyFont="1" applyFill="1" applyAlignment="1">
      <alignment horizontal="center"/>
    </xf>
    <xf numFmtId="0" fontId="8" fillId="5" borderId="31" xfId="0" applyFont="1" applyFill="1" applyBorder="1" applyAlignment="1">
      <alignment horizontal="right"/>
    </xf>
    <xf numFmtId="0" fontId="12" fillId="5" borderId="31" xfId="0" applyFont="1" applyFill="1" applyBorder="1" applyAlignment="1">
      <alignment horizontal="right"/>
    </xf>
    <xf numFmtId="165" fontId="0" fillId="5" borderId="31" xfId="1" applyNumberFormat="1" applyFont="1" applyFill="1" applyBorder="1" applyAlignment="1">
      <alignment horizontal="right"/>
    </xf>
    <xf numFmtId="165" fontId="16" fillId="5" borderId="31" xfId="1" applyNumberFormat="1" applyFont="1" applyFill="1" applyBorder="1" applyAlignment="1">
      <alignment horizontal="right"/>
    </xf>
    <xf numFmtId="167" fontId="0" fillId="5" borderId="31" xfId="0" applyNumberFormat="1" applyFill="1" applyBorder="1" applyAlignment="1">
      <alignment horizontal="right"/>
    </xf>
    <xf numFmtId="255" fontId="8" fillId="5" borderId="117" xfId="0" applyNumberFormat="1" applyFont="1" applyFill="1" applyBorder="1" applyAlignment="1">
      <alignment horizontal="right"/>
    </xf>
    <xf numFmtId="0" fontId="0" fillId="6" borderId="12" xfId="0" applyFill="1" applyBorder="1"/>
    <xf numFmtId="167" fontId="0" fillId="5" borderId="25" xfId="0" applyNumberFormat="1" applyFill="1" applyBorder="1" applyAlignment="1">
      <alignment horizontal="right"/>
    </xf>
    <xf numFmtId="167" fontId="16" fillId="5" borderId="25" xfId="0" applyNumberFormat="1" applyFont="1" applyFill="1" applyBorder="1" applyAlignment="1">
      <alignment horizontal="right"/>
    </xf>
    <xf numFmtId="167" fontId="4" fillId="6" borderId="0" xfId="0" applyNumberFormat="1" applyFont="1" applyFill="1" applyAlignment="1">
      <alignment horizontal="right" vertical="center"/>
    </xf>
    <xf numFmtId="0" fontId="4" fillId="0" borderId="0" xfId="0" applyFont="1"/>
    <xf numFmtId="0" fontId="0" fillId="0" borderId="0" xfId="0" applyAlignment="1">
      <alignment horizontal="center"/>
    </xf>
    <xf numFmtId="0" fontId="110" fillId="0" borderId="0" xfId="0" applyFont="1" applyAlignment="1">
      <alignment vertical="center"/>
    </xf>
    <xf numFmtId="0" fontId="16" fillId="0" borderId="0" xfId="0" applyFont="1" applyAlignment="1">
      <alignment vertical="center"/>
    </xf>
    <xf numFmtId="0" fontId="110" fillId="0" borderId="181" xfId="0" applyFont="1" applyBorder="1" applyAlignment="1">
      <alignment horizontal="centerContinuous" vertical="center"/>
    </xf>
    <xf numFmtId="0" fontId="0" fillId="0" borderId="182" xfId="0" applyBorder="1" applyAlignment="1">
      <alignment horizontal="centerContinuous"/>
    </xf>
    <xf numFmtId="0" fontId="0" fillId="0" borderId="183" xfId="0" applyBorder="1" applyAlignment="1">
      <alignment horizontal="centerContinuous"/>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right" vertical="center"/>
    </xf>
    <xf numFmtId="10" fontId="0" fillId="0" borderId="0" xfId="1" applyNumberFormat="1" applyFont="1"/>
    <xf numFmtId="257" fontId="0" fillId="0" borderId="0" xfId="1" applyNumberFormat="1" applyFont="1"/>
    <xf numFmtId="258" fontId="0" fillId="0" borderId="0" xfId="0" applyNumberFormat="1" applyAlignment="1">
      <alignment horizontal="center"/>
    </xf>
    <xf numFmtId="258" fontId="0" fillId="0" borderId="0" xfId="0" applyNumberFormat="1"/>
    <xf numFmtId="10" fontId="4" fillId="6" borderId="0" xfId="1" applyNumberFormat="1" applyFont="1" applyFill="1" applyBorder="1" applyAlignment="1">
      <alignment horizontal="center"/>
    </xf>
    <xf numFmtId="0" fontId="6" fillId="6" borderId="0" xfId="0" applyFont="1" applyFill="1"/>
    <xf numFmtId="0" fontId="36" fillId="4" borderId="1" xfId="0" applyFont="1" applyFill="1" applyBorder="1" applyAlignment="1">
      <alignment horizontal="center"/>
    </xf>
    <xf numFmtId="0" fontId="36" fillId="4" borderId="2" xfId="0" applyFont="1" applyFill="1" applyBorder="1" applyAlignment="1">
      <alignment horizontal="center"/>
    </xf>
    <xf numFmtId="0" fontId="36" fillId="4" borderId="18" xfId="0" applyFont="1" applyFill="1" applyBorder="1" applyAlignment="1">
      <alignment horizontal="center"/>
    </xf>
    <xf numFmtId="0" fontId="36" fillId="4" borderId="0" xfId="0" applyFont="1" applyFill="1" applyAlignment="1">
      <alignment horizontal="center"/>
    </xf>
    <xf numFmtId="0" fontId="36" fillId="4" borderId="0" xfId="0" applyFont="1" applyFill="1" applyAlignment="1">
      <alignment horizontal="left"/>
    </xf>
    <xf numFmtId="3" fontId="4" fillId="2" borderId="34" xfId="0" applyNumberFormat="1" applyFont="1" applyFill="1" applyBorder="1" applyAlignment="1">
      <alignment horizontal="center"/>
    </xf>
    <xf numFmtId="0" fontId="11" fillId="3" borderId="0" xfId="0" applyFont="1" applyFill="1" applyAlignment="1">
      <alignment horizontal="left" vertical="center" indent="1"/>
    </xf>
    <xf numFmtId="0" fontId="4" fillId="6" borderId="10" xfId="0" applyFont="1" applyFill="1" applyBorder="1"/>
    <xf numFmtId="0" fontId="4" fillId="3" borderId="11" xfId="0" applyFont="1" applyFill="1" applyBorder="1"/>
    <xf numFmtId="0" fontId="0" fillId="4" borderId="0" xfId="0" applyFill="1" applyAlignment="1">
      <alignment horizontal="center" vertical="center"/>
    </xf>
    <xf numFmtId="0" fontId="4" fillId="6" borderId="10" xfId="0" applyFont="1" applyFill="1" applyBorder="1" applyAlignment="1">
      <alignment vertical="center"/>
    </xf>
    <xf numFmtId="0" fontId="0" fillId="0" borderId="0" xfId="0" applyAlignment="1">
      <alignment horizontal="left" indent="1"/>
    </xf>
    <xf numFmtId="0" fontId="24" fillId="3" borderId="9" xfId="0" applyFont="1" applyFill="1" applyBorder="1" applyAlignment="1">
      <alignment vertical="top"/>
    </xf>
    <xf numFmtId="165" fontId="4" fillId="3" borderId="9" xfId="0" applyNumberFormat="1" applyFont="1" applyFill="1" applyBorder="1" applyAlignment="1">
      <alignment vertical="center"/>
    </xf>
    <xf numFmtId="0" fontId="11" fillId="3" borderId="42" xfId="0" applyFont="1" applyFill="1" applyBorder="1" applyAlignment="1">
      <alignment horizontal="center" wrapText="1"/>
    </xf>
    <xf numFmtId="0" fontId="5" fillId="3" borderId="12" xfId="0" applyFont="1" applyFill="1" applyBorder="1" applyAlignment="1">
      <alignment horizontal="centerContinuous"/>
    </xf>
    <xf numFmtId="0" fontId="112" fillId="2" borderId="42" xfId="0" applyFont="1" applyFill="1" applyBorder="1" applyAlignment="1">
      <alignment vertical="top"/>
    </xf>
    <xf numFmtId="0" fontId="112" fillId="2" borderId="0" xfId="0" applyFont="1" applyFill="1" applyAlignment="1">
      <alignment vertical="top"/>
    </xf>
    <xf numFmtId="0" fontId="8" fillId="2" borderId="187" xfId="0" applyFont="1" applyFill="1" applyBorder="1" applyAlignment="1">
      <alignment horizontal="center" vertical="center"/>
    </xf>
    <xf numFmtId="0" fontId="8" fillId="2" borderId="188" xfId="0" applyFont="1" applyFill="1" applyBorder="1" applyAlignment="1">
      <alignment horizontal="center" vertical="center"/>
    </xf>
    <xf numFmtId="245" fontId="43" fillId="2" borderId="33" xfId="0" applyNumberFormat="1" applyFont="1" applyFill="1" applyBorder="1" applyAlignment="1">
      <alignment horizontal="center" vertical="center"/>
    </xf>
    <xf numFmtId="0" fontId="11" fillId="3" borderId="42" xfId="0" applyFont="1" applyFill="1" applyBorder="1" applyAlignment="1">
      <alignment horizontal="center"/>
    </xf>
    <xf numFmtId="3" fontId="49" fillId="3" borderId="0" xfId="0" applyNumberFormat="1" applyFont="1" applyFill="1" applyAlignment="1">
      <alignment horizontal="center"/>
    </xf>
    <xf numFmtId="165" fontId="49" fillId="3" borderId="0" xfId="1" applyNumberFormat="1" applyFont="1" applyFill="1" applyAlignment="1">
      <alignment horizontal="center"/>
    </xf>
    <xf numFmtId="261" fontId="0" fillId="2" borderId="0" xfId="0" applyNumberFormat="1" applyFill="1"/>
    <xf numFmtId="0" fontId="0" fillId="3" borderId="189" xfId="0" applyFill="1" applyBorder="1" applyAlignment="1">
      <alignment horizontal="center"/>
    </xf>
    <xf numFmtId="0" fontId="43" fillId="3" borderId="190" xfId="0" applyFont="1" applyFill="1" applyBorder="1" applyAlignment="1">
      <alignment horizontal="center" vertical="center"/>
    </xf>
    <xf numFmtId="245" fontId="43" fillId="2" borderId="33" xfId="0" applyNumberFormat="1" applyFont="1" applyFill="1" applyBorder="1" applyAlignment="1">
      <alignment horizontal="left" vertical="center"/>
    </xf>
    <xf numFmtId="0" fontId="43" fillId="2" borderId="33" xfId="0" applyFont="1" applyFill="1" applyBorder="1" applyAlignment="1">
      <alignment horizontal="left" vertical="center"/>
    </xf>
    <xf numFmtId="0" fontId="11" fillId="3" borderId="189" xfId="0" applyFont="1" applyFill="1" applyBorder="1" applyAlignment="1">
      <alignment horizontal="center"/>
    </xf>
    <xf numFmtId="0" fontId="11" fillId="2" borderId="191" xfId="0" applyFont="1" applyFill="1" applyBorder="1" applyAlignment="1">
      <alignment horizontal="center"/>
    </xf>
    <xf numFmtId="0" fontId="43" fillId="2" borderId="191" xfId="0" applyFont="1" applyFill="1" applyBorder="1" applyAlignment="1">
      <alignment horizontal="center" vertical="center"/>
    </xf>
    <xf numFmtId="0" fontId="11" fillId="3" borderId="162" xfId="0" applyFont="1" applyFill="1" applyBorder="1" applyAlignment="1">
      <alignment horizontal="center" vertical="center"/>
    </xf>
    <xf numFmtId="0" fontId="45" fillId="4" borderId="31" xfId="0" applyFont="1" applyFill="1" applyBorder="1" applyAlignment="1">
      <alignment horizontal="left"/>
    </xf>
    <xf numFmtId="1" fontId="9" fillId="3" borderId="7" xfId="0" applyNumberFormat="1" applyFont="1" applyFill="1" applyBorder="1" applyAlignment="1">
      <alignment horizontal="center"/>
    </xf>
    <xf numFmtId="0" fontId="72" fillId="3" borderId="0" xfId="0" applyFont="1" applyFill="1" applyAlignment="1">
      <alignment horizontal="left" vertical="center"/>
    </xf>
    <xf numFmtId="0" fontId="8" fillId="0" borderId="0" xfId="0" applyFont="1" applyAlignment="1">
      <alignment horizontal="center"/>
    </xf>
    <xf numFmtId="3" fontId="52" fillId="0" borderId="0" xfId="0" applyNumberFormat="1" applyFont="1" applyAlignment="1">
      <alignment horizontal="center"/>
    </xf>
    <xf numFmtId="165" fontId="52" fillId="0" borderId="0" xfId="1" applyNumberFormat="1" applyFont="1" applyFill="1" applyAlignment="1">
      <alignment horizontal="center"/>
    </xf>
    <xf numFmtId="167" fontId="52" fillId="0" borderId="0" xfId="1" applyNumberFormat="1" applyFont="1" applyFill="1" applyAlignment="1">
      <alignment horizontal="center"/>
    </xf>
    <xf numFmtId="165" fontId="49" fillId="2" borderId="10" xfId="1" applyNumberFormat="1" applyFont="1" applyFill="1" applyBorder="1" applyAlignment="1">
      <alignment horizontal="center"/>
    </xf>
    <xf numFmtId="165" fontId="49" fillId="2" borderId="13" xfId="1" applyNumberFormat="1" applyFont="1" applyFill="1" applyBorder="1" applyAlignment="1">
      <alignment horizontal="center"/>
    </xf>
    <xf numFmtId="165" fontId="49" fillId="2" borderId="0" xfId="1" applyNumberFormat="1" applyFont="1" applyFill="1" applyBorder="1" applyAlignment="1">
      <alignment horizontal="center"/>
    </xf>
    <xf numFmtId="165" fontId="49" fillId="2" borderId="12" xfId="1" applyNumberFormat="1" applyFont="1" applyFill="1" applyBorder="1" applyAlignment="1">
      <alignment horizontal="center"/>
    </xf>
    <xf numFmtId="165" fontId="49" fillId="3" borderId="0" xfId="1" applyNumberFormat="1" applyFont="1" applyFill="1" applyBorder="1" applyAlignment="1">
      <alignment horizontal="center"/>
    </xf>
    <xf numFmtId="167" fontId="8" fillId="0" borderId="0" xfId="0" applyNumberFormat="1" applyFont="1" applyAlignment="1">
      <alignment horizontal="center"/>
    </xf>
    <xf numFmtId="0" fontId="8" fillId="0" borderId="149" xfId="0" applyFont="1" applyBorder="1" applyAlignment="1">
      <alignment horizontal="center"/>
    </xf>
    <xf numFmtId="165" fontId="52" fillId="0" borderId="149" xfId="1" applyNumberFormat="1" applyFont="1" applyFill="1" applyBorder="1" applyAlignment="1">
      <alignment horizontal="center"/>
    </xf>
    <xf numFmtId="0" fontId="112" fillId="3" borderId="0" xfId="0" applyFont="1" applyFill="1" applyAlignment="1">
      <alignment vertical="top"/>
    </xf>
    <xf numFmtId="1" fontId="4" fillId="4" borderId="0" xfId="1" applyNumberFormat="1" applyFont="1" applyFill="1" applyBorder="1" applyAlignment="1">
      <alignment horizontal="center"/>
    </xf>
    <xf numFmtId="1" fontId="4" fillId="4" borderId="12" xfId="1" applyNumberFormat="1" applyFont="1" applyFill="1" applyBorder="1" applyAlignment="1">
      <alignment horizontal="center"/>
    </xf>
    <xf numFmtId="2" fontId="8" fillId="2" borderId="0" xfId="1" applyNumberFormat="1" applyFont="1" applyFill="1" applyBorder="1" applyAlignment="1">
      <alignment horizontal="center"/>
    </xf>
    <xf numFmtId="165" fontId="54" fillId="2" borderId="0" xfId="1" applyNumberFormat="1" applyFont="1" applyFill="1" applyBorder="1" applyAlignment="1">
      <alignment horizontal="center"/>
    </xf>
    <xf numFmtId="0" fontId="12" fillId="2" borderId="0" xfId="0" applyFont="1" applyFill="1" applyAlignment="1">
      <alignment horizontal="left" wrapText="1"/>
    </xf>
    <xf numFmtId="0" fontId="0" fillId="3" borderId="9" xfId="0" applyFill="1" applyBorder="1"/>
    <xf numFmtId="0" fontId="28" fillId="3" borderId="9" xfId="0" applyFont="1" applyFill="1" applyBorder="1"/>
    <xf numFmtId="0" fontId="0" fillId="3" borderId="9" xfId="0" applyFill="1" applyBorder="1" applyAlignment="1">
      <alignment horizontal="center"/>
    </xf>
    <xf numFmtId="0" fontId="43" fillId="3" borderId="9" xfId="0" applyFont="1" applyFill="1" applyBorder="1" applyAlignment="1">
      <alignment horizontal="center" vertical="center"/>
    </xf>
    <xf numFmtId="261" fontId="0" fillId="3" borderId="9" xfId="0" applyNumberFormat="1" applyFill="1" applyBorder="1"/>
    <xf numFmtId="0" fontId="53" fillId="0" borderId="31" xfId="0" applyFont="1" applyBorder="1" applyAlignment="1">
      <alignment horizontal="center" wrapText="1"/>
    </xf>
    <xf numFmtId="0" fontId="5" fillId="3" borderId="0" xfId="0" applyFont="1" applyFill="1" applyAlignment="1">
      <alignment horizontal="center" wrapText="1"/>
    </xf>
    <xf numFmtId="0" fontId="11" fillId="3" borderId="7" xfId="0" applyFont="1" applyFill="1" applyBorder="1" applyAlignment="1">
      <alignment horizontal="center"/>
    </xf>
    <xf numFmtId="165" fontId="82" fillId="3" borderId="0" xfId="0" applyNumberFormat="1" applyFont="1" applyFill="1" applyAlignment="1">
      <alignment horizontal="center" wrapText="1"/>
    </xf>
    <xf numFmtId="0" fontId="53" fillId="3" borderId="31" xfId="0" applyFont="1" applyFill="1" applyBorder="1" applyAlignment="1">
      <alignment horizontal="center" wrapText="1"/>
    </xf>
    <xf numFmtId="167" fontId="52" fillId="3" borderId="0" xfId="1" applyNumberFormat="1" applyFont="1" applyFill="1" applyAlignment="1">
      <alignment horizontal="center"/>
    </xf>
    <xf numFmtId="167" fontId="52" fillId="3" borderId="0" xfId="1" applyNumberFormat="1" applyFont="1" applyFill="1" applyBorder="1" applyAlignment="1">
      <alignment horizontal="center"/>
    </xf>
    <xf numFmtId="0" fontId="53" fillId="0" borderId="171" xfId="0" applyFont="1" applyBorder="1" applyAlignment="1">
      <alignment horizontal="center" wrapText="1"/>
    </xf>
    <xf numFmtId="3" fontId="52" fillId="0" borderId="170" xfId="0" applyNumberFormat="1" applyFont="1" applyBorder="1" applyAlignment="1">
      <alignment horizontal="center"/>
    </xf>
    <xf numFmtId="0" fontId="53" fillId="0" borderId="194" xfId="0" applyFont="1" applyBorder="1" applyAlignment="1">
      <alignment horizontal="center" wrapText="1"/>
    </xf>
    <xf numFmtId="0" fontId="53" fillId="0" borderId="195" xfId="0" applyFont="1" applyBorder="1" applyAlignment="1">
      <alignment horizontal="center" wrapText="1"/>
    </xf>
    <xf numFmtId="3" fontId="52" fillId="0" borderId="131" xfId="0" applyNumberFormat="1" applyFont="1" applyBorder="1" applyAlignment="1">
      <alignment horizontal="center"/>
    </xf>
    <xf numFmtId="3" fontId="52" fillId="0" borderId="130" xfId="0" applyNumberFormat="1" applyFont="1" applyBorder="1" applyAlignment="1">
      <alignment horizontal="center"/>
    </xf>
    <xf numFmtId="0" fontId="12" fillId="4" borderId="6" xfId="0" applyFont="1" applyFill="1" applyBorder="1" applyAlignment="1">
      <alignment horizontal="left" vertical="center"/>
    </xf>
    <xf numFmtId="0" fontId="8" fillId="5" borderId="10" xfId="0" applyFont="1" applyFill="1" applyBorder="1" applyAlignment="1">
      <alignment horizontal="center"/>
    </xf>
    <xf numFmtId="165" fontId="4" fillId="5" borderId="11" xfId="1" applyNumberFormat="1" applyFont="1" applyFill="1" applyBorder="1" applyAlignment="1">
      <alignment horizontal="center"/>
    </xf>
    <xf numFmtId="0" fontId="4" fillId="2" borderId="196" xfId="0" applyFont="1" applyFill="1" applyBorder="1" applyAlignment="1">
      <alignment horizontal="left"/>
    </xf>
    <xf numFmtId="0" fontId="4" fillId="2" borderId="27" xfId="0" applyFont="1" applyFill="1" applyBorder="1" applyAlignment="1">
      <alignment horizontal="center"/>
    </xf>
    <xf numFmtId="0" fontId="4" fillId="2" borderId="197" xfId="0" applyFont="1" applyFill="1" applyBorder="1" applyAlignment="1">
      <alignment horizontal="center"/>
    </xf>
    <xf numFmtId="165" fontId="11" fillId="3" borderId="0" xfId="1" applyNumberFormat="1" applyFont="1" applyFill="1" applyBorder="1" applyAlignment="1">
      <alignment horizontal="center"/>
    </xf>
    <xf numFmtId="1" fontId="8" fillId="2" borderId="199" xfId="1" applyNumberFormat="1" applyFont="1" applyFill="1" applyBorder="1" applyAlignment="1">
      <alignment horizontal="center"/>
    </xf>
    <xf numFmtId="0" fontId="14" fillId="3" borderId="0" xfId="0" applyFont="1" applyFill="1" applyAlignment="1">
      <alignment vertical="top"/>
    </xf>
    <xf numFmtId="1" fontId="8" fillId="2" borderId="201" xfId="1" applyNumberFormat="1" applyFont="1" applyFill="1" applyBorder="1" applyAlignment="1">
      <alignment horizontal="center"/>
    </xf>
    <xf numFmtId="165" fontId="6" fillId="2" borderId="7" xfId="1" applyNumberFormat="1" applyFont="1" applyFill="1" applyBorder="1" applyAlignment="1"/>
    <xf numFmtId="165" fontId="9" fillId="2" borderId="8" xfId="1" applyNumberFormat="1" applyFont="1" applyFill="1" applyBorder="1" applyAlignment="1">
      <alignment horizontal="center"/>
    </xf>
    <xf numFmtId="165" fontId="57" fillId="2" borderId="10" xfId="1" applyNumberFormat="1" applyFont="1" applyFill="1" applyBorder="1" applyAlignment="1">
      <alignment horizontal="center"/>
    </xf>
    <xf numFmtId="0" fontId="28" fillId="0" borderId="0" xfId="0" applyFont="1"/>
    <xf numFmtId="0" fontId="53" fillId="0" borderId="146" xfId="0" applyFont="1" applyBorder="1" applyAlignment="1">
      <alignment horizontal="center" wrapText="1"/>
    </xf>
    <xf numFmtId="3" fontId="52" fillId="0" borderId="0" xfId="1" applyNumberFormat="1" applyFont="1" applyFill="1" applyBorder="1" applyAlignment="1">
      <alignment horizontal="center"/>
    </xf>
    <xf numFmtId="3" fontId="52" fillId="0" borderId="23" xfId="1" applyNumberFormat="1" applyFont="1" applyFill="1" applyBorder="1" applyAlignment="1">
      <alignment horizontal="center"/>
    </xf>
    <xf numFmtId="3" fontId="52" fillId="0" borderId="31" xfId="1" applyNumberFormat="1" applyFont="1" applyFill="1" applyBorder="1" applyAlignment="1">
      <alignment horizontal="center"/>
    </xf>
    <xf numFmtId="3" fontId="52" fillId="0" borderId="146" xfId="1" applyNumberFormat="1" applyFont="1" applyFill="1" applyBorder="1" applyAlignment="1">
      <alignment horizontal="center"/>
    </xf>
    <xf numFmtId="0" fontId="82" fillId="3" borderId="149" xfId="0" applyFont="1" applyFill="1" applyBorder="1" applyAlignment="1">
      <alignment horizontal="center" wrapText="1"/>
    </xf>
    <xf numFmtId="3" fontId="52" fillId="3" borderId="0" xfId="0" applyNumberFormat="1" applyFont="1" applyFill="1" applyAlignment="1">
      <alignment horizontal="center"/>
    </xf>
    <xf numFmtId="3" fontId="52" fillId="3" borderId="31" xfId="0" applyNumberFormat="1" applyFont="1" applyFill="1" applyBorder="1" applyAlignment="1">
      <alignment horizontal="center"/>
    </xf>
    <xf numFmtId="0" fontId="14" fillId="3" borderId="31" xfId="0" applyFont="1" applyFill="1" applyBorder="1" applyAlignment="1">
      <alignment horizontal="center"/>
    </xf>
    <xf numFmtId="0" fontId="12" fillId="3" borderId="0" xfId="0" applyFont="1" applyFill="1" applyAlignment="1">
      <alignment horizontal="center"/>
    </xf>
    <xf numFmtId="0" fontId="14" fillId="3" borderId="31" xfId="0" applyFont="1" applyFill="1" applyBorder="1" applyAlignment="1">
      <alignment horizontal="center" wrapText="1"/>
    </xf>
    <xf numFmtId="0" fontId="8" fillId="2" borderId="198" xfId="0" applyFont="1" applyFill="1" applyBorder="1" applyAlignment="1">
      <alignment horizontal="center" vertical="center"/>
    </xf>
    <xf numFmtId="1" fontId="8" fillId="2" borderId="34" xfId="1" applyNumberFormat="1" applyFont="1" applyFill="1" applyBorder="1" applyAlignment="1">
      <alignment horizontal="center"/>
    </xf>
    <xf numFmtId="262" fontId="8" fillId="2" borderId="0" xfId="0" applyNumberFormat="1" applyFont="1" applyFill="1" applyAlignment="1">
      <alignment horizontal="center"/>
    </xf>
    <xf numFmtId="0" fontId="8" fillId="2" borderId="25" xfId="0" applyFont="1" applyFill="1" applyBorder="1" applyAlignment="1">
      <alignment horizontal="left" wrapText="1" indent="1"/>
    </xf>
    <xf numFmtId="165" fontId="60" fillId="2" borderId="0" xfId="1" applyNumberFormat="1" applyFont="1" applyFill="1" applyBorder="1" applyAlignment="1">
      <alignment horizontal="center"/>
    </xf>
    <xf numFmtId="0" fontId="8" fillId="3" borderId="12" xfId="0" applyFont="1" applyFill="1" applyBorder="1" applyAlignment="1">
      <alignment horizontal="center" vertical="center"/>
    </xf>
    <xf numFmtId="1" fontId="8" fillId="3" borderId="12" xfId="1" applyNumberFormat="1" applyFont="1" applyFill="1" applyBorder="1" applyAlignment="1">
      <alignment horizontal="center"/>
    </xf>
    <xf numFmtId="167" fontId="8" fillId="0" borderId="170" xfId="0" applyNumberFormat="1" applyFont="1" applyBorder="1" applyAlignment="1">
      <alignment horizontal="center"/>
    </xf>
    <xf numFmtId="167" fontId="8" fillId="0" borderId="23" xfId="0" applyNumberFormat="1" applyFont="1" applyBorder="1" applyAlignment="1">
      <alignment horizontal="center"/>
    </xf>
    <xf numFmtId="167" fontId="8" fillId="0" borderId="171" xfId="0" applyNumberFormat="1" applyFont="1" applyBorder="1" applyAlignment="1">
      <alignment horizontal="center"/>
    </xf>
    <xf numFmtId="167" fontId="8" fillId="0" borderId="146" xfId="0" applyNumberFormat="1" applyFont="1" applyBorder="1" applyAlignment="1">
      <alignment horizontal="center"/>
    </xf>
    <xf numFmtId="0" fontId="8" fillId="2" borderId="27" xfId="0" applyFont="1" applyFill="1" applyBorder="1" applyAlignment="1">
      <alignment horizontal="center"/>
    </xf>
    <xf numFmtId="0" fontId="4" fillId="2" borderId="203" xfId="0" applyFont="1" applyFill="1" applyBorder="1" applyAlignment="1">
      <alignment horizontal="center"/>
    </xf>
    <xf numFmtId="0" fontId="4" fillId="2" borderId="204" xfId="0" applyFont="1" applyFill="1" applyBorder="1" applyAlignment="1">
      <alignment horizontal="center"/>
    </xf>
    <xf numFmtId="0" fontId="11" fillId="3" borderId="0" xfId="0" applyFont="1" applyFill="1" applyAlignment="1">
      <alignment vertical="center" wrapText="1"/>
    </xf>
    <xf numFmtId="0" fontId="82" fillId="3" borderId="0" xfId="0" applyFont="1" applyFill="1" applyAlignment="1">
      <alignment horizontal="center" wrapText="1"/>
    </xf>
    <xf numFmtId="165" fontId="52" fillId="3" borderId="0" xfId="1" applyNumberFormat="1" applyFont="1" applyFill="1" applyAlignment="1">
      <alignment horizontal="center"/>
    </xf>
    <xf numFmtId="165" fontId="52" fillId="0" borderId="0" xfId="1" applyNumberFormat="1" applyFont="1" applyFill="1" applyBorder="1" applyAlignment="1">
      <alignment horizontal="center"/>
    </xf>
    <xf numFmtId="165" fontId="52" fillId="0" borderId="23" xfId="1" applyNumberFormat="1" applyFont="1" applyFill="1" applyBorder="1" applyAlignment="1">
      <alignment horizontal="center"/>
    </xf>
    <xf numFmtId="165" fontId="52" fillId="0" borderId="31" xfId="1" applyNumberFormat="1" applyFont="1" applyFill="1" applyBorder="1" applyAlignment="1">
      <alignment horizontal="center"/>
    </xf>
    <xf numFmtId="165" fontId="52" fillId="0" borderId="146" xfId="1" applyNumberFormat="1" applyFont="1" applyFill="1" applyBorder="1" applyAlignment="1">
      <alignment horizontal="center"/>
    </xf>
    <xf numFmtId="3" fontId="52" fillId="0" borderId="170" xfId="1" applyNumberFormat="1" applyFont="1" applyFill="1" applyBorder="1" applyAlignment="1">
      <alignment horizontal="center"/>
    </xf>
    <xf numFmtId="0" fontId="9" fillId="3" borderId="31" xfId="0" applyFont="1" applyFill="1" applyBorder="1" applyAlignment="1">
      <alignment horizontal="center"/>
    </xf>
    <xf numFmtId="0" fontId="49" fillId="3" borderId="31" xfId="0" applyFont="1" applyFill="1" applyBorder="1" applyAlignment="1">
      <alignment horizontal="center"/>
    </xf>
    <xf numFmtId="3" fontId="52" fillId="0" borderId="31" xfId="0" applyNumberFormat="1" applyFont="1" applyBorder="1" applyAlignment="1">
      <alignment horizontal="center"/>
    </xf>
    <xf numFmtId="165" fontId="52" fillId="3" borderId="31" xfId="1" applyNumberFormat="1" applyFont="1" applyFill="1" applyBorder="1" applyAlignment="1">
      <alignment horizontal="center"/>
    </xf>
    <xf numFmtId="3" fontId="52" fillId="0" borderId="171" xfId="1" applyNumberFormat="1" applyFont="1" applyFill="1" applyBorder="1" applyAlignment="1">
      <alignment horizontal="center"/>
    </xf>
    <xf numFmtId="0" fontId="9" fillId="0" borderId="0" xfId="0" applyFont="1" applyAlignment="1">
      <alignment horizontal="center"/>
    </xf>
    <xf numFmtId="3" fontId="52" fillId="0" borderId="149" xfId="1" applyNumberFormat="1" applyFont="1" applyFill="1" applyBorder="1" applyAlignment="1">
      <alignment horizontal="center"/>
    </xf>
    <xf numFmtId="3" fontId="52" fillId="0" borderId="168" xfId="1" applyNumberFormat="1" applyFont="1" applyFill="1" applyBorder="1" applyAlignment="1">
      <alignment horizontal="center"/>
    </xf>
    <xf numFmtId="165" fontId="52" fillId="0" borderId="169" xfId="1" applyNumberFormat="1" applyFont="1" applyFill="1" applyBorder="1" applyAlignment="1">
      <alignment horizontal="center"/>
    </xf>
    <xf numFmtId="0" fontId="112" fillId="3" borderId="9" xfId="0" applyFont="1" applyFill="1" applyBorder="1" applyAlignment="1">
      <alignment vertical="top"/>
    </xf>
    <xf numFmtId="0" fontId="11" fillId="3" borderId="0" xfId="0" quotePrefix="1" applyFont="1" applyFill="1" applyAlignment="1">
      <alignment horizontal="left"/>
    </xf>
    <xf numFmtId="165" fontId="8" fillId="2" borderId="0" xfId="1" applyNumberFormat="1" applyFont="1" applyFill="1" applyAlignment="1">
      <alignment horizontal="center"/>
    </xf>
    <xf numFmtId="3" fontId="9" fillId="3" borderId="0" xfId="0" quotePrefix="1" applyNumberFormat="1" applyFont="1" applyFill="1"/>
    <xf numFmtId="0" fontId="0" fillId="3" borderId="42" xfId="0" applyFill="1" applyBorder="1" applyAlignment="1">
      <alignment vertical="center"/>
    </xf>
    <xf numFmtId="0" fontId="9" fillId="2" borderId="9" xfId="0" applyFont="1" applyFill="1" applyBorder="1" applyAlignment="1">
      <alignment vertical="center"/>
    </xf>
    <xf numFmtId="0" fontId="9" fillId="2" borderId="9" xfId="0" applyFont="1" applyFill="1" applyBorder="1" applyAlignment="1">
      <alignment horizontal="center" vertical="center"/>
    </xf>
    <xf numFmtId="0" fontId="17" fillId="2" borderId="89" xfId="0" applyFont="1" applyFill="1" applyBorder="1" applyAlignment="1">
      <alignment horizontal="left" wrapText="1" indent="1"/>
    </xf>
    <xf numFmtId="165" fontId="17" fillId="2" borderId="89" xfId="1" applyNumberFormat="1" applyFont="1" applyFill="1" applyBorder="1" applyAlignment="1">
      <alignment horizontal="center"/>
    </xf>
    <xf numFmtId="0" fontId="17" fillId="2" borderId="25" xfId="0" applyFont="1" applyFill="1" applyBorder="1" applyAlignment="1">
      <alignment horizontal="left" wrapText="1" indent="1"/>
    </xf>
    <xf numFmtId="262" fontId="17" fillId="2" borderId="25" xfId="0" applyNumberFormat="1" applyFont="1" applyFill="1" applyBorder="1" applyAlignment="1">
      <alignment horizontal="center" wrapText="1"/>
    </xf>
    <xf numFmtId="165" fontId="17" fillId="2" borderId="25" xfId="1" applyNumberFormat="1" applyFont="1" applyFill="1" applyBorder="1" applyAlignment="1">
      <alignment horizontal="center"/>
    </xf>
    <xf numFmtId="0" fontId="5" fillId="3" borderId="7" xfId="0" applyFont="1" applyFill="1" applyBorder="1"/>
    <xf numFmtId="0" fontId="0" fillId="3" borderId="7" xfId="0" applyFill="1" applyBorder="1"/>
    <xf numFmtId="0" fontId="12" fillId="4" borderId="6" xfId="0" applyFont="1" applyFill="1" applyBorder="1" applyAlignment="1">
      <alignment vertical="center"/>
    </xf>
    <xf numFmtId="0" fontId="16" fillId="4" borderId="9" xfId="0" applyFont="1" applyFill="1" applyBorder="1"/>
    <xf numFmtId="0" fontId="113" fillId="3" borderId="0" xfId="0" applyFont="1" applyFill="1"/>
    <xf numFmtId="1" fontId="49" fillId="3" borderId="0" xfId="1" applyNumberFormat="1" applyFont="1" applyFill="1" applyAlignment="1">
      <alignment horizontal="center"/>
    </xf>
    <xf numFmtId="165" fontId="49" fillId="3" borderId="0" xfId="1" applyNumberFormat="1" applyFont="1" applyFill="1" applyAlignment="1">
      <alignment horizontal="left"/>
    </xf>
    <xf numFmtId="0" fontId="49" fillId="3" borderId="0" xfId="1" applyNumberFormat="1" applyFont="1" applyFill="1" applyAlignment="1">
      <alignment horizontal="center"/>
    </xf>
    <xf numFmtId="164" fontId="49" fillId="3" borderId="0" xfId="1" applyNumberFormat="1" applyFont="1" applyFill="1" applyAlignment="1">
      <alignment horizontal="center"/>
    </xf>
    <xf numFmtId="167" fontId="49" fillId="3" borderId="0" xfId="1" applyNumberFormat="1" applyFont="1" applyFill="1" applyAlignment="1">
      <alignment horizontal="center"/>
    </xf>
    <xf numFmtId="1" fontId="8" fillId="2" borderId="205" xfId="1" applyNumberFormat="1" applyFont="1" applyFill="1" applyBorder="1" applyAlignment="1">
      <alignment horizontal="center"/>
    </xf>
    <xf numFmtId="165" fontId="114" fillId="2" borderId="12" xfId="1" applyNumberFormat="1" applyFont="1" applyFill="1" applyBorder="1" applyAlignment="1">
      <alignment horizontal="center"/>
    </xf>
    <xf numFmtId="0" fontId="11" fillId="3" borderId="12" xfId="0" applyFont="1" applyFill="1" applyBorder="1" applyAlignment="1">
      <alignment horizontal="center"/>
    </xf>
    <xf numFmtId="0" fontId="11" fillId="3" borderId="12" xfId="0" applyFont="1" applyFill="1" applyBorder="1"/>
    <xf numFmtId="1" fontId="8" fillId="2" borderId="0" xfId="1" applyNumberFormat="1" applyFont="1" applyFill="1" applyBorder="1" applyAlignment="1">
      <alignment horizontal="center"/>
    </xf>
    <xf numFmtId="0" fontId="11" fillId="3" borderId="206" xfId="0" applyFont="1" applyFill="1" applyBorder="1" applyAlignment="1">
      <alignment horizontal="center"/>
    </xf>
    <xf numFmtId="0" fontId="0" fillId="2" borderId="10" xfId="0" applyFill="1" applyBorder="1" applyAlignment="1">
      <alignment horizontal="center"/>
    </xf>
    <xf numFmtId="0" fontId="112" fillId="2" borderId="10" xfId="0" applyFont="1" applyFill="1" applyBorder="1" applyAlignment="1">
      <alignment vertical="top"/>
    </xf>
    <xf numFmtId="261" fontId="0" fillId="2" borderId="13" xfId="0" applyNumberFormat="1" applyFill="1" applyBorder="1"/>
    <xf numFmtId="245" fontId="43" fillId="2" borderId="207" xfId="0" applyNumberFormat="1" applyFont="1" applyFill="1" applyBorder="1" applyAlignment="1">
      <alignment horizontal="center" vertical="center"/>
    </xf>
    <xf numFmtId="3" fontId="0" fillId="2" borderId="0" xfId="0" applyNumberFormat="1" applyFill="1" applyAlignment="1">
      <alignment horizontal="center"/>
    </xf>
    <xf numFmtId="1" fontId="113" fillId="3" borderId="7" xfId="0" applyNumberFormat="1" applyFont="1" applyFill="1" applyBorder="1" applyAlignment="1">
      <alignment horizontal="center"/>
    </xf>
    <xf numFmtId="1" fontId="113" fillId="3" borderId="0" xfId="0" applyNumberFormat="1" applyFont="1" applyFill="1" applyAlignment="1">
      <alignment horizontal="center"/>
    </xf>
    <xf numFmtId="263" fontId="11" fillId="3" borderId="0" xfId="0" applyNumberFormat="1" applyFont="1" applyFill="1" applyAlignment="1">
      <alignment horizontal="center" vertical="top"/>
    </xf>
    <xf numFmtId="3" fontId="0" fillId="2" borderId="209" xfId="0" applyNumberFormat="1" applyFill="1" applyBorder="1" applyAlignment="1">
      <alignment horizontal="center"/>
    </xf>
    <xf numFmtId="0" fontId="0" fillId="2" borderId="210" xfId="0" applyFill="1" applyBorder="1" applyAlignment="1">
      <alignment horizontal="center"/>
    </xf>
    <xf numFmtId="3" fontId="0" fillId="2" borderId="211" xfId="0" applyNumberFormat="1" applyFill="1" applyBorder="1" applyAlignment="1">
      <alignment horizontal="center"/>
    </xf>
    <xf numFmtId="0" fontId="0" fillId="2" borderId="31" xfId="0" applyFill="1" applyBorder="1" applyAlignment="1">
      <alignment horizontal="center"/>
    </xf>
    <xf numFmtId="0" fontId="0" fillId="2" borderId="212" xfId="0" applyFill="1" applyBorder="1" applyAlignment="1">
      <alignment horizontal="center"/>
    </xf>
    <xf numFmtId="1" fontId="113" fillId="3" borderId="7" xfId="0" quotePrefix="1" applyNumberFormat="1" applyFont="1" applyFill="1" applyBorder="1" applyAlignment="1">
      <alignment horizontal="center"/>
    </xf>
    <xf numFmtId="0" fontId="17" fillId="2" borderId="0" xfId="0" applyFont="1" applyFill="1" applyAlignment="1">
      <alignment horizontal="left" wrapText="1" indent="1"/>
    </xf>
    <xf numFmtId="165" fontId="17" fillId="2" borderId="0" xfId="1" applyNumberFormat="1" applyFont="1" applyFill="1" applyBorder="1" applyAlignment="1">
      <alignment horizontal="center"/>
    </xf>
    <xf numFmtId="0" fontId="17" fillId="2" borderId="213" xfId="0" applyFont="1" applyFill="1" applyBorder="1" applyAlignment="1">
      <alignment horizontal="left" wrapText="1" indent="1"/>
    </xf>
    <xf numFmtId="165" fontId="17" fillId="2" borderId="213" xfId="1" applyNumberFormat="1" applyFont="1" applyFill="1" applyBorder="1" applyAlignment="1">
      <alignment horizontal="center"/>
    </xf>
    <xf numFmtId="262" fontId="17" fillId="2" borderId="0" xfId="0" applyNumberFormat="1" applyFont="1" applyFill="1" applyAlignment="1">
      <alignment horizontal="center" wrapText="1"/>
    </xf>
    <xf numFmtId="263" fontId="11" fillId="3" borderId="0" xfId="0" applyNumberFormat="1" applyFont="1" applyFill="1" applyAlignment="1">
      <alignment horizontal="center"/>
    </xf>
    <xf numFmtId="165" fontId="114" fillId="2" borderId="12" xfId="1" quotePrefix="1" applyNumberFormat="1" applyFont="1" applyFill="1" applyBorder="1" applyAlignment="1">
      <alignment horizontal="center"/>
    </xf>
    <xf numFmtId="165" fontId="0" fillId="3" borderId="0" xfId="1" applyNumberFormat="1" applyFont="1" applyFill="1"/>
    <xf numFmtId="0" fontId="0" fillId="2" borderId="12" xfId="0" quotePrefix="1" applyFill="1" applyBorder="1"/>
    <xf numFmtId="0" fontId="0" fillId="0" borderId="12" xfId="0" applyBorder="1"/>
    <xf numFmtId="0" fontId="113" fillId="3" borderId="0" xfId="0" applyFont="1" applyFill="1" applyAlignment="1">
      <alignment horizontal="center"/>
    </xf>
    <xf numFmtId="0" fontId="115" fillId="3" borderId="0" xfId="0" applyFont="1" applyFill="1"/>
    <xf numFmtId="0" fontId="113" fillId="3" borderId="0" xfId="0" applyFont="1" applyFill="1" applyAlignment="1">
      <alignment horizontal="center" vertical="center"/>
    </xf>
    <xf numFmtId="0" fontId="113" fillId="3" borderId="0" xfId="0" applyFont="1" applyFill="1" applyAlignment="1">
      <alignment vertical="center"/>
    </xf>
    <xf numFmtId="0" fontId="11" fillId="3" borderId="205" xfId="0" applyFont="1" applyFill="1" applyBorder="1" applyAlignment="1">
      <alignment horizontal="center"/>
    </xf>
    <xf numFmtId="0" fontId="11" fillId="3" borderId="9" xfId="0" applyFont="1" applyFill="1" applyBorder="1" applyAlignment="1">
      <alignment vertical="center" wrapText="1"/>
    </xf>
    <xf numFmtId="0" fontId="4" fillId="2" borderId="185" xfId="0" applyFont="1" applyFill="1" applyBorder="1" applyAlignment="1">
      <alignment horizontal="left" indent="1"/>
    </xf>
    <xf numFmtId="0" fontId="4" fillId="2" borderId="184" xfId="0" applyFont="1" applyFill="1" applyBorder="1" applyAlignment="1">
      <alignment horizontal="center"/>
    </xf>
    <xf numFmtId="0" fontId="4" fillId="2" borderId="186" xfId="0" applyFont="1" applyFill="1" applyBorder="1"/>
    <xf numFmtId="0" fontId="0" fillId="2" borderId="184" xfId="0" applyFill="1" applyBorder="1" applyAlignment="1">
      <alignment horizontal="center"/>
    </xf>
    <xf numFmtId="0" fontId="8" fillId="2" borderId="214" xfId="0" applyFont="1" applyFill="1" applyBorder="1" applyAlignment="1">
      <alignment wrapText="1"/>
    </xf>
    <xf numFmtId="0" fontId="8" fillId="2" borderId="215" xfId="0" applyFont="1" applyFill="1" applyBorder="1" applyAlignment="1">
      <alignment wrapText="1"/>
    </xf>
    <xf numFmtId="0" fontId="11" fillId="3" borderId="11" xfId="0" applyFont="1" applyFill="1" applyBorder="1" applyAlignment="1">
      <alignment horizontal="center"/>
    </xf>
    <xf numFmtId="0" fontId="8" fillId="2" borderId="36" xfId="0" applyFont="1" applyFill="1" applyBorder="1" applyAlignment="1">
      <alignment wrapText="1"/>
    </xf>
    <xf numFmtId="0" fontId="8" fillId="2" borderId="41" xfId="0" applyFont="1" applyFill="1" applyBorder="1" applyAlignment="1">
      <alignment wrapText="1"/>
    </xf>
    <xf numFmtId="0" fontId="4" fillId="2" borderId="218" xfId="0" applyFont="1" applyFill="1" applyBorder="1" applyAlignment="1">
      <alignment horizontal="left" indent="1"/>
    </xf>
    <xf numFmtId="165" fontId="4" fillId="2" borderId="217" xfId="0" applyNumberFormat="1" applyFont="1" applyFill="1" applyBorder="1" applyAlignment="1">
      <alignment horizontal="center"/>
    </xf>
    <xf numFmtId="0" fontId="4" fillId="2" borderId="219" xfId="0" applyFont="1" applyFill="1" applyBorder="1"/>
    <xf numFmtId="0" fontId="3" fillId="3" borderId="0" xfId="0" applyFont="1" applyFill="1" applyAlignment="1">
      <alignment horizontal="left" vertical="top"/>
    </xf>
    <xf numFmtId="0" fontId="14" fillId="3" borderId="0" xfId="0" applyFont="1" applyFill="1" applyAlignment="1">
      <alignment shrinkToFit="1"/>
    </xf>
    <xf numFmtId="0" fontId="14" fillId="3" borderId="0" xfId="0" applyFont="1" applyFill="1" applyAlignment="1">
      <alignment vertical="center" shrinkToFit="1"/>
    </xf>
    <xf numFmtId="0" fontId="12" fillId="0" borderId="14" xfId="0" applyFont="1" applyBorder="1" applyAlignment="1">
      <alignment horizontal="center" vertical="center"/>
    </xf>
    <xf numFmtId="0" fontId="12" fillId="3" borderId="0" xfId="0" applyFont="1" applyFill="1" applyAlignment="1">
      <alignment horizontal="center" vertical="center"/>
    </xf>
    <xf numFmtId="0" fontId="11" fillId="2" borderId="7" xfId="0" applyFont="1" applyFill="1" applyBorder="1" applyAlignment="1">
      <alignment horizontal="center"/>
    </xf>
    <xf numFmtId="0" fontId="4" fillId="2" borderId="22" xfId="0" applyFont="1" applyFill="1" applyBorder="1" applyAlignment="1">
      <alignment horizontal="left"/>
    </xf>
    <xf numFmtId="0" fontId="6" fillId="2" borderId="0" xfId="0" applyFont="1" applyFill="1" applyAlignment="1">
      <alignment vertical="center"/>
    </xf>
    <xf numFmtId="0" fontId="7" fillId="2" borderId="0" xfId="0" applyFont="1" applyFill="1" applyAlignment="1">
      <alignment horizontal="left" vertical="center"/>
    </xf>
    <xf numFmtId="255" fontId="4" fillId="6" borderId="0" xfId="0" applyNumberFormat="1" applyFont="1" applyFill="1" applyAlignment="1">
      <alignment horizontal="right"/>
    </xf>
    <xf numFmtId="255" fontId="4" fillId="2" borderId="0" xfId="0" applyNumberFormat="1" applyFont="1" applyFill="1" applyAlignment="1">
      <alignment horizontal="right"/>
    </xf>
    <xf numFmtId="255" fontId="16" fillId="2" borderId="33" xfId="0" applyNumberFormat="1" applyFont="1" applyFill="1" applyBorder="1" applyAlignment="1">
      <alignment horizontal="right"/>
    </xf>
    <xf numFmtId="262" fontId="8" fillId="2" borderId="0" xfId="0" applyNumberFormat="1" applyFont="1" applyFill="1"/>
    <xf numFmtId="262" fontId="8" fillId="2" borderId="31" xfId="0" applyNumberFormat="1" applyFont="1" applyFill="1" applyBorder="1"/>
    <xf numFmtId="262" fontId="12" fillId="2" borderId="33" xfId="0" applyNumberFormat="1" applyFont="1" applyFill="1" applyBorder="1" applyAlignment="1">
      <alignment horizontal="right"/>
    </xf>
    <xf numFmtId="262" fontId="4" fillId="2" borderId="0" xfId="0" applyNumberFormat="1" applyFont="1" applyFill="1" applyAlignment="1">
      <alignment horizontal="right"/>
    </xf>
    <xf numFmtId="0" fontId="11" fillId="3" borderId="6" xfId="0" applyFont="1" applyFill="1" applyBorder="1" applyAlignment="1">
      <alignment horizontal="center"/>
    </xf>
    <xf numFmtId="0" fontId="4" fillId="2" borderId="21" xfId="0" applyFont="1" applyFill="1" applyBorder="1" applyAlignment="1">
      <alignment horizontal="center"/>
    </xf>
    <xf numFmtId="3" fontId="4" fillId="2" borderId="196" xfId="0" applyNumberFormat="1" applyFont="1" applyFill="1" applyBorder="1" applyAlignment="1">
      <alignment horizontal="left"/>
    </xf>
    <xf numFmtId="0" fontId="4" fillId="2" borderId="131" xfId="0" applyFont="1" applyFill="1" applyBorder="1" applyAlignment="1">
      <alignment horizontal="center"/>
    </xf>
    <xf numFmtId="0" fontId="12" fillId="2" borderId="10" xfId="0" applyFont="1" applyFill="1" applyBorder="1" applyAlignment="1">
      <alignment horizontal="center" vertical="center"/>
    </xf>
    <xf numFmtId="1" fontId="8" fillId="2" borderId="198" xfId="1" applyNumberFormat="1" applyFont="1" applyFill="1" applyBorder="1" applyAlignment="1">
      <alignment horizontal="center"/>
    </xf>
    <xf numFmtId="255" fontId="8" fillId="5" borderId="0" xfId="0" applyNumberFormat="1" applyFont="1" applyFill="1" applyAlignment="1">
      <alignment horizontal="center" vertical="center"/>
    </xf>
    <xf numFmtId="255" fontId="8" fillId="5" borderId="33" xfId="0" applyNumberFormat="1" applyFont="1" applyFill="1" applyBorder="1" applyAlignment="1">
      <alignment horizontal="center" vertical="center"/>
    </xf>
    <xf numFmtId="255" fontId="12" fillId="5" borderId="33" xfId="0" applyNumberFormat="1" applyFont="1" applyFill="1" applyBorder="1" applyAlignment="1">
      <alignment horizontal="center" vertical="center"/>
    </xf>
    <xf numFmtId="255" fontId="8" fillId="5" borderId="0" xfId="0" applyNumberFormat="1" applyFont="1" applyFill="1" applyAlignment="1">
      <alignment horizontal="right" vertical="center"/>
    </xf>
    <xf numFmtId="255" fontId="8" fillId="6" borderId="89" xfId="0" applyNumberFormat="1" applyFont="1" applyFill="1" applyBorder="1" applyAlignment="1">
      <alignment horizontal="right" vertical="center" wrapText="1"/>
    </xf>
    <xf numFmtId="255" fontId="8" fillId="6" borderId="95" xfId="0" applyNumberFormat="1" applyFont="1" applyFill="1" applyBorder="1" applyAlignment="1">
      <alignment horizontal="right" vertical="center" wrapText="1"/>
    </xf>
    <xf numFmtId="255" fontId="8" fillId="6" borderId="98" xfId="0" applyNumberFormat="1" applyFont="1" applyFill="1" applyBorder="1" applyAlignment="1">
      <alignment horizontal="right" vertical="center" wrapText="1"/>
    </xf>
    <xf numFmtId="255" fontId="8" fillId="5" borderId="0" xfId="0" applyNumberFormat="1" applyFont="1" applyFill="1" applyAlignment="1">
      <alignment horizontal="right" vertical="center" wrapText="1"/>
    </xf>
    <xf numFmtId="255" fontId="16" fillId="5" borderId="33" xfId="0" applyNumberFormat="1" applyFont="1" applyFill="1" applyBorder="1" applyAlignment="1">
      <alignment horizontal="right" vertical="center"/>
    </xf>
    <xf numFmtId="255" fontId="12" fillId="5" borderId="149" xfId="0" applyNumberFormat="1" applyFont="1" applyFill="1" applyBorder="1" applyAlignment="1">
      <alignment horizontal="right" vertical="center" wrapText="1"/>
    </xf>
    <xf numFmtId="255" fontId="8" fillId="5" borderId="31" xfId="0" applyNumberFormat="1" applyFont="1" applyFill="1" applyBorder="1" applyAlignment="1">
      <alignment horizontal="right" wrapText="1"/>
    </xf>
    <xf numFmtId="255" fontId="8" fillId="5" borderId="31" xfId="0" applyNumberFormat="1" applyFont="1" applyFill="1" applyBorder="1" applyAlignment="1">
      <alignment horizontal="right" vertical="center" wrapText="1"/>
    </xf>
    <xf numFmtId="0" fontId="4" fillId="2" borderId="218" xfId="0" applyFont="1" applyFill="1" applyBorder="1"/>
    <xf numFmtId="0" fontId="16" fillId="2" borderId="220" xfId="0" applyFont="1" applyFill="1" applyBorder="1"/>
    <xf numFmtId="0" fontId="16" fillId="2" borderId="218" xfId="0" applyFont="1" applyFill="1" applyBorder="1"/>
    <xf numFmtId="167" fontId="4" fillId="2" borderId="217" xfId="0" applyNumberFormat="1" applyFont="1" applyFill="1" applyBorder="1" applyAlignment="1">
      <alignment horizontal="center"/>
    </xf>
    <xf numFmtId="0" fontId="16" fillId="2" borderId="67" xfId="0" applyFont="1" applyFill="1" applyBorder="1" applyAlignment="1">
      <alignment horizontal="center"/>
    </xf>
    <xf numFmtId="0" fontId="4" fillId="2" borderId="186" xfId="0" applyFont="1" applyFill="1" applyBorder="1" applyAlignment="1">
      <alignment horizontal="center"/>
    </xf>
    <xf numFmtId="0" fontId="4" fillId="2" borderId="110" xfId="0" applyFont="1" applyFill="1" applyBorder="1"/>
    <xf numFmtId="0" fontId="4" fillId="2" borderId="220" xfId="0" applyFont="1" applyFill="1" applyBorder="1"/>
    <xf numFmtId="165" fontId="4" fillId="2" borderId="219" xfId="0" applyNumberFormat="1" applyFont="1" applyFill="1" applyBorder="1" applyAlignment="1">
      <alignment horizontal="center"/>
    </xf>
    <xf numFmtId="0" fontId="4" fillId="2" borderId="219" xfId="0" applyFont="1" applyFill="1" applyBorder="1" applyAlignment="1">
      <alignment horizontal="center"/>
    </xf>
    <xf numFmtId="165" fontId="4" fillId="2" borderId="111" xfId="0" applyNumberFormat="1" applyFont="1" applyFill="1" applyBorder="1" applyAlignment="1">
      <alignment horizontal="center"/>
    </xf>
    <xf numFmtId="165" fontId="4" fillId="2" borderId="218" xfId="1" applyNumberFormat="1" applyFont="1" applyFill="1" applyBorder="1" applyAlignment="1">
      <alignment horizontal="center"/>
    </xf>
    <xf numFmtId="1" fontId="4" fillId="2" borderId="218" xfId="0" applyNumberFormat="1" applyFont="1" applyFill="1" applyBorder="1" applyAlignment="1">
      <alignment horizontal="center"/>
    </xf>
    <xf numFmtId="3" fontId="17" fillId="2" borderId="0" xfId="0" applyNumberFormat="1" applyFont="1" applyFill="1" applyAlignment="1">
      <alignment horizontal="center" wrapText="1"/>
    </xf>
    <xf numFmtId="3" fontId="17" fillId="2" borderId="213" xfId="0" applyNumberFormat="1" applyFont="1" applyFill="1" applyBorder="1" applyAlignment="1">
      <alignment horizontal="center" wrapText="1"/>
    </xf>
    <xf numFmtId="3" fontId="17" fillId="2" borderId="25" xfId="0" applyNumberFormat="1" applyFont="1" applyFill="1" applyBorder="1" applyAlignment="1">
      <alignment horizontal="center" wrapText="1"/>
    </xf>
    <xf numFmtId="3" fontId="4" fillId="2" borderId="186" xfId="0" applyNumberFormat="1" applyFont="1" applyFill="1" applyBorder="1" applyAlignment="1">
      <alignment horizontal="center"/>
    </xf>
    <xf numFmtId="3" fontId="4" fillId="2" borderId="61" xfId="0" applyNumberFormat="1" applyFont="1" applyFill="1" applyBorder="1" applyAlignment="1">
      <alignment horizontal="center"/>
    </xf>
    <xf numFmtId="0" fontId="16" fillId="2" borderId="70" xfId="0" applyFont="1" applyFill="1" applyBorder="1" applyAlignment="1">
      <alignment horizontal="center"/>
    </xf>
    <xf numFmtId="165" fontId="4" fillId="2" borderId="219" xfId="1" applyNumberFormat="1" applyFont="1" applyFill="1" applyBorder="1" applyAlignment="1">
      <alignment horizontal="center"/>
    </xf>
    <xf numFmtId="0" fontId="4" fillId="2" borderId="217" xfId="0" applyFont="1" applyFill="1" applyBorder="1" applyAlignment="1">
      <alignment horizontal="center"/>
    </xf>
    <xf numFmtId="165" fontId="4" fillId="2" borderId="220" xfId="0" applyNumberFormat="1" applyFont="1" applyFill="1" applyBorder="1" applyAlignment="1">
      <alignment horizontal="center"/>
    </xf>
    <xf numFmtId="3" fontId="4" fillId="2" borderId="217" xfId="0" applyNumberFormat="1" applyFont="1" applyFill="1" applyBorder="1" applyAlignment="1">
      <alignment horizontal="center"/>
    </xf>
    <xf numFmtId="0" fontId="16" fillId="2" borderId="66" xfId="0" applyFont="1" applyFill="1" applyBorder="1" applyAlignment="1">
      <alignment horizontal="center"/>
    </xf>
    <xf numFmtId="0" fontId="8" fillId="2" borderId="226" xfId="0" applyFont="1" applyFill="1" applyBorder="1"/>
    <xf numFmtId="0" fontId="4" fillId="2" borderId="227" xfId="0" applyFont="1" applyFill="1" applyBorder="1"/>
    <xf numFmtId="0" fontId="16" fillId="2" borderId="227" xfId="0" applyFont="1" applyFill="1" applyBorder="1" applyAlignment="1">
      <alignment horizontal="right"/>
    </xf>
    <xf numFmtId="0" fontId="4" fillId="2" borderId="227" xfId="0" applyFont="1" applyFill="1" applyBorder="1" applyAlignment="1">
      <alignment horizontal="right"/>
    </xf>
    <xf numFmtId="0" fontId="4" fillId="2" borderId="228" xfId="0" applyFont="1" applyFill="1" applyBorder="1"/>
    <xf numFmtId="167" fontId="0" fillId="2" borderId="0" xfId="0" applyNumberFormat="1" applyFill="1" applyAlignment="1">
      <alignment horizontal="right"/>
    </xf>
    <xf numFmtId="165" fontId="0" fillId="2" borderId="0" xfId="0" applyNumberFormat="1" applyFill="1" applyAlignment="1">
      <alignment horizontal="right"/>
    </xf>
    <xf numFmtId="167" fontId="0" fillId="2" borderId="33" xfId="0" applyNumberFormat="1" applyFill="1" applyBorder="1" applyAlignment="1">
      <alignment horizontal="right"/>
    </xf>
    <xf numFmtId="0" fontId="4" fillId="2" borderId="0" xfId="0" applyFont="1" applyFill="1" applyAlignment="1">
      <alignment horizontal="left" vertical="center"/>
    </xf>
    <xf numFmtId="4" fontId="4" fillId="2" borderId="33" xfId="0" applyNumberFormat="1" applyFont="1" applyFill="1" applyBorder="1" applyAlignment="1">
      <alignment horizontal="left" vertical="center"/>
    </xf>
    <xf numFmtId="0" fontId="6" fillId="2" borderId="227" xfId="0" applyFont="1" applyFill="1" applyBorder="1" applyAlignment="1">
      <alignment horizontal="left" vertical="center"/>
    </xf>
    <xf numFmtId="167" fontId="9" fillId="3" borderId="0" xfId="0" applyNumberFormat="1" applyFont="1" applyFill="1" applyAlignment="1">
      <alignment horizontal="center"/>
    </xf>
    <xf numFmtId="3" fontId="4" fillId="2" borderId="61" xfId="9" applyNumberFormat="1" applyFont="1" applyFill="1" applyBorder="1" applyAlignment="1">
      <alignment horizontal="center"/>
    </xf>
    <xf numFmtId="3" fontId="4" fillId="2" borderId="219" xfId="0" applyNumberFormat="1" applyFont="1" applyFill="1" applyBorder="1" applyAlignment="1">
      <alignment horizontal="center"/>
    </xf>
    <xf numFmtId="0" fontId="4" fillId="2" borderId="217" xfId="0" applyFont="1" applyFill="1" applyBorder="1"/>
    <xf numFmtId="264" fontId="16" fillId="2" borderId="0" xfId="0" applyNumberFormat="1" applyFont="1" applyFill="1" applyAlignment="1">
      <alignment horizontal="right"/>
    </xf>
    <xf numFmtId="264" fontId="16" fillId="2" borderId="33" xfId="0" applyNumberFormat="1" applyFont="1" applyFill="1" applyBorder="1" applyAlignment="1">
      <alignment horizontal="right"/>
    </xf>
    <xf numFmtId="165" fontId="16" fillId="2" borderId="0" xfId="0" applyNumberFormat="1" applyFont="1" applyFill="1" applyAlignment="1">
      <alignment horizontal="right"/>
    </xf>
    <xf numFmtId="0" fontId="4" fillId="5" borderId="12" xfId="0" applyFont="1" applyFill="1" applyBorder="1" applyAlignment="1">
      <alignment horizontal="center"/>
    </xf>
    <xf numFmtId="0" fontId="4" fillId="5" borderId="11" xfId="0" applyFont="1" applyFill="1" applyBorder="1" applyAlignment="1">
      <alignment horizontal="center"/>
    </xf>
    <xf numFmtId="0" fontId="116" fillId="3" borderId="0" xfId="0" applyFont="1" applyFill="1" applyAlignment="1">
      <alignment horizontal="center"/>
    </xf>
    <xf numFmtId="0" fontId="116" fillId="3" borderId="0" xfId="0" applyFont="1" applyFill="1" applyAlignment="1">
      <alignment horizontal="center" vertical="center"/>
    </xf>
    <xf numFmtId="0" fontId="73" fillId="2" borderId="9" xfId="0" applyFont="1" applyFill="1" applyBorder="1" applyAlignment="1">
      <alignment horizontal="center"/>
    </xf>
    <xf numFmtId="0" fontId="73" fillId="2" borderId="9" xfId="0" applyFont="1" applyFill="1" applyBorder="1"/>
    <xf numFmtId="0" fontId="73" fillId="2" borderId="6" xfId="0" applyFont="1" applyFill="1" applyBorder="1"/>
    <xf numFmtId="0" fontId="73" fillId="2" borderId="9" xfId="0" applyFont="1" applyFill="1" applyBorder="1" applyAlignment="1">
      <alignment vertical="top"/>
    </xf>
    <xf numFmtId="0" fontId="11" fillId="11" borderId="0" xfId="0" applyFont="1" applyFill="1" applyAlignment="1">
      <alignment vertical="center"/>
    </xf>
    <xf numFmtId="0" fontId="11" fillId="11" borderId="232" xfId="0" applyFont="1" applyFill="1" applyBorder="1" applyAlignment="1">
      <alignment horizontal="center" vertical="center"/>
    </xf>
    <xf numFmtId="0" fontId="11" fillId="11" borderId="232" xfId="0" applyFont="1" applyFill="1" applyBorder="1" applyAlignment="1">
      <alignment horizontal="right" vertical="center"/>
    </xf>
    <xf numFmtId="0" fontId="0" fillId="12" borderId="149" xfId="0" applyFill="1" applyBorder="1"/>
    <xf numFmtId="0" fontId="0" fillId="12" borderId="233" xfId="0" applyFill="1" applyBorder="1" applyAlignment="1">
      <alignment horizontal="center"/>
    </xf>
    <xf numFmtId="10" fontId="0" fillId="12" borderId="233" xfId="1" applyNumberFormat="1" applyFont="1" applyFill="1" applyBorder="1"/>
    <xf numFmtId="10" fontId="0" fillId="12" borderId="193" xfId="1" applyNumberFormat="1" applyFont="1" applyFill="1" applyBorder="1"/>
    <xf numFmtId="256" fontId="0" fillId="12" borderId="193" xfId="1" applyNumberFormat="1" applyFont="1" applyFill="1" applyBorder="1"/>
    <xf numFmtId="256" fontId="0" fillId="12" borderId="233" xfId="1" applyNumberFormat="1" applyFont="1" applyFill="1" applyBorder="1"/>
    <xf numFmtId="256" fontId="0" fillId="12" borderId="234" xfId="1" applyNumberFormat="1" applyFont="1" applyFill="1" applyBorder="1"/>
    <xf numFmtId="0" fontId="0" fillId="13" borderId="235" xfId="0" applyFill="1" applyBorder="1"/>
    <xf numFmtId="0" fontId="0" fillId="13" borderId="236" xfId="0" applyFill="1" applyBorder="1" applyAlignment="1">
      <alignment horizontal="center"/>
    </xf>
    <xf numFmtId="10" fontId="0" fillId="13" borderId="236" xfId="1" applyNumberFormat="1" applyFont="1" applyFill="1" applyBorder="1"/>
    <xf numFmtId="10" fontId="0" fillId="13" borderId="237" xfId="1" applyNumberFormat="1" applyFont="1" applyFill="1" applyBorder="1"/>
    <xf numFmtId="256" fontId="0" fillId="13" borderId="237" xfId="1" applyNumberFormat="1" applyFont="1" applyFill="1" applyBorder="1"/>
    <xf numFmtId="256" fontId="0" fillId="13" borderId="236" xfId="1" applyNumberFormat="1" applyFont="1" applyFill="1" applyBorder="1"/>
    <xf numFmtId="256" fontId="0" fillId="13" borderId="230" xfId="1" applyNumberFormat="1" applyFont="1" applyFill="1" applyBorder="1"/>
    <xf numFmtId="0" fontId="0" fillId="12" borderId="235" xfId="0" applyFill="1" applyBorder="1"/>
    <xf numFmtId="0" fontId="0" fillId="12" borderId="236" xfId="0" applyFill="1" applyBorder="1" applyAlignment="1">
      <alignment horizontal="center"/>
    </xf>
    <xf numFmtId="10" fontId="0" fillId="12" borderId="236" xfId="1" applyNumberFormat="1" applyFont="1" applyFill="1" applyBorder="1"/>
    <xf numFmtId="10" fontId="0" fillId="12" borderId="237" xfId="1" applyNumberFormat="1" applyFont="1" applyFill="1" applyBorder="1"/>
    <xf numFmtId="256" fontId="0" fillId="12" borderId="237" xfId="1" applyNumberFormat="1" applyFont="1" applyFill="1" applyBorder="1"/>
    <xf numFmtId="256" fontId="0" fillId="12" borderId="236" xfId="1" applyNumberFormat="1" applyFont="1" applyFill="1" applyBorder="1"/>
    <xf numFmtId="256" fontId="0" fillId="12" borderId="230" xfId="1" applyNumberFormat="1" applyFont="1" applyFill="1" applyBorder="1"/>
    <xf numFmtId="0" fontId="0" fillId="12" borderId="238" xfId="0" applyFill="1" applyBorder="1"/>
    <xf numFmtId="256" fontId="0" fillId="12" borderId="193" xfId="1" applyNumberFormat="1" applyFont="1" applyFill="1" applyBorder="1" applyAlignment="1">
      <alignment horizontal="center"/>
    </xf>
    <xf numFmtId="256" fontId="0" fillId="12" borderId="233" xfId="1" applyNumberFormat="1" applyFont="1" applyFill="1" applyBorder="1" applyAlignment="1">
      <alignment horizontal="center"/>
    </xf>
    <xf numFmtId="256" fontId="0" fillId="13" borderId="237" xfId="1" applyNumberFormat="1" applyFont="1" applyFill="1" applyBorder="1" applyAlignment="1">
      <alignment horizontal="center"/>
    </xf>
    <xf numFmtId="256" fontId="0" fillId="13" borderId="236" xfId="1" applyNumberFormat="1" applyFont="1" applyFill="1" applyBorder="1" applyAlignment="1">
      <alignment horizontal="center"/>
    </xf>
    <xf numFmtId="256" fontId="0" fillId="12" borderId="237" xfId="1" applyNumberFormat="1" applyFont="1" applyFill="1" applyBorder="1" applyAlignment="1">
      <alignment horizontal="center"/>
    </xf>
    <xf numFmtId="256" fontId="0" fillId="12" borderId="236" xfId="1" applyNumberFormat="1" applyFont="1" applyFill="1" applyBorder="1" applyAlignment="1">
      <alignment horizontal="center"/>
    </xf>
    <xf numFmtId="0" fontId="0" fillId="13" borderId="239" xfId="0" applyFill="1" applyBorder="1"/>
    <xf numFmtId="0" fontId="0" fillId="13" borderId="231" xfId="0" applyFill="1" applyBorder="1" applyAlignment="1">
      <alignment horizontal="center"/>
    </xf>
    <xf numFmtId="10" fontId="0" fillId="13" borderId="231" xfId="1" applyNumberFormat="1" applyFont="1" applyFill="1" applyBorder="1"/>
    <xf numFmtId="10" fontId="0" fillId="13" borderId="240" xfId="1" applyNumberFormat="1" applyFont="1" applyFill="1" applyBorder="1"/>
    <xf numFmtId="256" fontId="0" fillId="13" borderId="240" xfId="1" applyNumberFormat="1" applyFont="1" applyFill="1" applyBorder="1" applyAlignment="1">
      <alignment horizontal="center"/>
    </xf>
    <xf numFmtId="256" fontId="0" fillId="13" borderId="231" xfId="1" applyNumberFormat="1" applyFont="1" applyFill="1" applyBorder="1" applyAlignment="1">
      <alignment horizontal="center"/>
    </xf>
    <xf numFmtId="256" fontId="0" fillId="13" borderId="229" xfId="1" applyNumberFormat="1" applyFont="1" applyFill="1" applyBorder="1"/>
    <xf numFmtId="0" fontId="0" fillId="12" borderId="239" xfId="0" applyFill="1" applyBorder="1"/>
    <xf numFmtId="0" fontId="0" fillId="12" borderId="231" xfId="0" applyFill="1" applyBorder="1" applyAlignment="1">
      <alignment horizontal="center"/>
    </xf>
    <xf numFmtId="10" fontId="0" fillId="12" borderId="231" xfId="1" applyNumberFormat="1" applyFont="1" applyFill="1" applyBorder="1"/>
    <xf numFmtId="10" fontId="0" fillId="12" borderId="240" xfId="1" applyNumberFormat="1" applyFont="1" applyFill="1" applyBorder="1"/>
    <xf numFmtId="256" fontId="0" fillId="12" borderId="240" xfId="1" applyNumberFormat="1" applyFont="1" applyFill="1" applyBorder="1"/>
    <xf numFmtId="256" fontId="0" fillId="12" borderId="231" xfId="1" applyNumberFormat="1" applyFont="1" applyFill="1" applyBorder="1"/>
    <xf numFmtId="256" fontId="0" fillId="12" borderId="229" xfId="1" applyNumberFormat="1" applyFont="1" applyFill="1" applyBorder="1"/>
    <xf numFmtId="164" fontId="10" fillId="4" borderId="2" xfId="0" applyNumberFormat="1" applyFont="1" applyFill="1" applyBorder="1" applyAlignment="1">
      <alignment horizontal="center" vertical="center"/>
    </xf>
    <xf numFmtId="167" fontId="10" fillId="4" borderId="18" xfId="0" applyNumberFormat="1" applyFont="1" applyFill="1" applyBorder="1" applyAlignment="1">
      <alignment horizontal="center"/>
    </xf>
    <xf numFmtId="0" fontId="24" fillId="0" borderId="0" xfId="0" applyFont="1" applyAlignment="1">
      <alignment horizontal="center"/>
    </xf>
    <xf numFmtId="0" fontId="39" fillId="0" borderId="0" xfId="0" applyFont="1"/>
    <xf numFmtId="0" fontId="8" fillId="0" borderId="0" xfId="0" applyFont="1"/>
    <xf numFmtId="0" fontId="10" fillId="0" borderId="0" xfId="0" applyFont="1"/>
    <xf numFmtId="0" fontId="38" fillId="0" borderId="0" xfId="0" applyFont="1"/>
    <xf numFmtId="0" fontId="8" fillId="0" borderId="177" xfId="0" applyFont="1" applyBorder="1" applyAlignment="1">
      <alignment horizontal="center" vertical="center"/>
    </xf>
    <xf numFmtId="0" fontId="8" fillId="0" borderId="95" xfId="0" applyFont="1" applyBorder="1" applyAlignment="1">
      <alignment horizontal="center" vertical="center"/>
    </xf>
    <xf numFmtId="0" fontId="8" fillId="0" borderId="173" xfId="0" applyFont="1" applyBorder="1" applyAlignment="1">
      <alignment horizontal="center" vertical="center"/>
    </xf>
    <xf numFmtId="0" fontId="37" fillId="0" borderId="0" xfId="0" applyFont="1" applyAlignment="1">
      <alignment vertical="center"/>
    </xf>
    <xf numFmtId="0" fontId="10" fillId="0" borderId="0" xfId="0" applyFont="1" applyAlignment="1">
      <alignment vertical="center"/>
    </xf>
    <xf numFmtId="0" fontId="6" fillId="3" borderId="0" xfId="0" applyFont="1" applyFill="1" applyAlignment="1">
      <alignment horizontal="left" vertical="center"/>
    </xf>
    <xf numFmtId="165" fontId="8" fillId="6" borderId="89" xfId="0" applyNumberFormat="1" applyFont="1" applyFill="1" applyBorder="1" applyAlignment="1">
      <alignment horizontal="right" vertical="center" wrapText="1"/>
    </xf>
    <xf numFmtId="165" fontId="8" fillId="6" borderId="95" xfId="0" applyNumberFormat="1" applyFont="1" applyFill="1" applyBorder="1" applyAlignment="1">
      <alignment horizontal="right" vertical="center" wrapText="1"/>
    </xf>
    <xf numFmtId="0" fontId="9" fillId="3" borderId="0" xfId="0" applyFont="1" applyFill="1" applyAlignment="1">
      <alignment vertical="center" wrapText="1"/>
    </xf>
    <xf numFmtId="0" fontId="8" fillId="5" borderId="31" xfId="0" applyFont="1" applyFill="1" applyBorder="1" applyAlignment="1">
      <alignment horizontal="left" vertical="center"/>
    </xf>
    <xf numFmtId="265" fontId="8" fillId="5" borderId="0" xfId="0" applyNumberFormat="1" applyFont="1" applyFill="1" applyAlignment="1">
      <alignment horizontal="right" vertical="center"/>
    </xf>
    <xf numFmtId="0" fontId="12" fillId="5" borderId="0" xfId="0" applyFont="1" applyFill="1" applyAlignment="1">
      <alignment horizontal="left" vertical="center"/>
    </xf>
    <xf numFmtId="177" fontId="12" fillId="5" borderId="0" xfId="0" applyNumberFormat="1" applyFont="1" applyFill="1" applyAlignment="1">
      <alignment horizontal="center" vertical="center" wrapText="1"/>
    </xf>
    <xf numFmtId="0" fontId="0" fillId="6" borderId="98" xfId="0" applyFill="1" applyBorder="1" applyAlignment="1">
      <alignment horizontal="right" vertical="center"/>
    </xf>
    <xf numFmtId="165" fontId="8" fillId="6" borderId="98" xfId="0" applyNumberFormat="1" applyFont="1" applyFill="1" applyBorder="1" applyAlignment="1">
      <alignment horizontal="right" vertical="center" wrapText="1"/>
    </xf>
    <xf numFmtId="0" fontId="4" fillId="4" borderId="31" xfId="0" applyFont="1" applyFill="1" applyBorder="1" applyAlignment="1">
      <alignment horizontal="left"/>
    </xf>
    <xf numFmtId="0" fontId="4" fillId="4" borderId="22" xfId="0" applyFont="1" applyFill="1" applyBorder="1" applyAlignment="1">
      <alignment horizontal="left"/>
    </xf>
    <xf numFmtId="0" fontId="4" fillId="10" borderId="12" xfId="0" applyFont="1" applyFill="1" applyBorder="1"/>
    <xf numFmtId="0" fontId="0" fillId="3" borderId="0" xfId="0" applyFill="1" applyAlignment="1">
      <alignment horizontal="right" wrapText="1" indent="1"/>
    </xf>
    <xf numFmtId="0" fontId="0" fillId="3" borderId="0" xfId="0" applyFill="1" applyAlignment="1">
      <alignment horizontal="right" wrapText="1"/>
    </xf>
    <xf numFmtId="0" fontId="8" fillId="10" borderId="0" xfId="0" applyFont="1" applyFill="1"/>
    <xf numFmtId="0" fontId="0" fillId="3" borderId="0" xfId="0" applyFill="1" applyProtection="1">
      <protection locked="0"/>
    </xf>
    <xf numFmtId="0" fontId="0" fillId="3" borderId="0" xfId="0" applyFill="1" applyAlignment="1" applyProtection="1">
      <alignment horizontal="left"/>
      <protection locked="0"/>
    </xf>
    <xf numFmtId="0" fontId="0" fillId="0" borderId="0" xfId="0" applyProtection="1">
      <protection locked="0"/>
    </xf>
    <xf numFmtId="0" fontId="11" fillId="3" borderId="0" xfId="0" applyFont="1" applyFill="1" applyProtection="1">
      <protection locked="0"/>
    </xf>
    <xf numFmtId="0" fontId="9" fillId="3" borderId="83" xfId="0" applyFont="1" applyFill="1" applyBorder="1" applyAlignment="1" applyProtection="1">
      <alignment vertical="center"/>
      <protection locked="0"/>
    </xf>
    <xf numFmtId="0" fontId="0" fillId="2" borderId="9" xfId="0" applyFill="1" applyBorder="1" applyProtection="1">
      <protection locked="0"/>
    </xf>
    <xf numFmtId="0" fontId="7" fillId="2" borderId="0" xfId="0" applyFont="1" applyFill="1" applyProtection="1">
      <protection locked="0"/>
    </xf>
    <xf numFmtId="0" fontId="0" fillId="2" borderId="10" xfId="0" applyFill="1" applyBorder="1" applyProtection="1">
      <protection locked="0"/>
    </xf>
    <xf numFmtId="0" fontId="9" fillId="3" borderId="232" xfId="0" applyFont="1" applyFill="1" applyBorder="1" applyAlignment="1" applyProtection="1">
      <alignment vertical="center"/>
      <protection locked="0"/>
    </xf>
    <xf numFmtId="0" fontId="9" fillId="3" borderId="84" xfId="0" applyFont="1" applyFill="1" applyBorder="1" applyAlignment="1" applyProtection="1">
      <alignment vertical="center"/>
      <protection locked="0"/>
    </xf>
    <xf numFmtId="0" fontId="16" fillId="10" borderId="0" xfId="0" applyFont="1" applyFill="1" applyAlignment="1" applyProtection="1">
      <alignment horizontal="left"/>
      <protection locked="0"/>
    </xf>
    <xf numFmtId="0" fontId="0" fillId="10" borderId="0" xfId="0" applyFill="1" applyAlignment="1" applyProtection="1">
      <alignment horizontal="left"/>
      <protection locked="0"/>
    </xf>
    <xf numFmtId="0" fontId="0" fillId="10" borderId="0" xfId="0" applyFill="1" applyProtection="1">
      <protection locked="0"/>
    </xf>
    <xf numFmtId="0" fontId="0" fillId="10" borderId="0" xfId="0" applyFill="1" applyAlignment="1" applyProtection="1">
      <alignment horizontal="left" indent="1"/>
      <protection locked="0"/>
    </xf>
    <xf numFmtId="231" fontId="0" fillId="10" borderId="0" xfId="0" applyNumberFormat="1" applyFill="1" applyAlignment="1" applyProtection="1">
      <alignment horizontal="left"/>
      <protection locked="0"/>
    </xf>
    <xf numFmtId="164" fontId="0" fillId="10" borderId="0" xfId="0" applyNumberFormat="1" applyFill="1" applyAlignment="1" applyProtection="1">
      <alignment horizontal="left"/>
      <protection locked="0"/>
    </xf>
    <xf numFmtId="0" fontId="0" fillId="10" borderId="0" xfId="0" applyFill="1" applyAlignment="1" applyProtection="1">
      <alignment horizontal="left" wrapText="1" indent="1"/>
      <protection locked="0"/>
    </xf>
    <xf numFmtId="0" fontId="0" fillId="2" borderId="258" xfId="0" applyFill="1" applyBorder="1" applyAlignment="1" applyProtection="1">
      <alignment horizontal="left"/>
      <protection locked="0"/>
    </xf>
    <xf numFmtId="164" fontId="0" fillId="2" borderId="259" xfId="0" applyNumberFormat="1" applyFill="1" applyBorder="1" applyAlignment="1" applyProtection="1">
      <alignment horizontal="left"/>
      <protection locked="0"/>
    </xf>
    <xf numFmtId="0" fontId="9" fillId="3" borderId="85" xfId="0" applyFont="1" applyFill="1" applyBorder="1" applyAlignment="1" applyProtection="1">
      <alignment vertical="center"/>
      <protection locked="0"/>
    </xf>
    <xf numFmtId="0" fontId="0" fillId="3" borderId="0" xfId="0" applyFill="1" applyAlignment="1" applyProtection="1">
      <alignment vertical="center"/>
      <protection locked="0"/>
    </xf>
    <xf numFmtId="0" fontId="0" fillId="2" borderId="9" xfId="0" applyFill="1" applyBorder="1" applyAlignment="1" applyProtection="1">
      <alignment vertical="center"/>
      <protection locked="0"/>
    </xf>
    <xf numFmtId="0" fontId="0" fillId="10" borderId="0" xfId="0" applyFill="1" applyAlignment="1" applyProtection="1">
      <alignment horizontal="left" vertical="center" wrapText="1" indent="1"/>
      <protection locked="0"/>
    </xf>
    <xf numFmtId="0" fontId="0" fillId="2" borderId="260" xfId="0" applyFill="1" applyBorder="1" applyAlignment="1" applyProtection="1">
      <alignment horizontal="left"/>
      <protection locked="0"/>
    </xf>
    <xf numFmtId="0" fontId="0" fillId="10" borderId="0" xfId="0" applyFill="1" applyAlignment="1" applyProtection="1">
      <alignment vertical="center"/>
      <protection locked="0"/>
    </xf>
    <xf numFmtId="0" fontId="0" fillId="2" borderId="10" xfId="0" applyFill="1" applyBorder="1" applyAlignment="1" applyProtection="1">
      <alignment vertical="center"/>
      <protection locked="0"/>
    </xf>
    <xf numFmtId="0" fontId="9" fillId="3" borderId="0" xfId="0" applyFont="1" applyFill="1" applyAlignment="1" applyProtection="1">
      <alignment vertical="center"/>
      <protection locked="0"/>
    </xf>
    <xf numFmtId="0" fontId="0" fillId="0" borderId="0" xfId="0" applyAlignment="1" applyProtection="1">
      <alignment vertical="center"/>
      <protection locked="0"/>
    </xf>
    <xf numFmtId="231" fontId="0" fillId="2" borderId="257" xfId="0" applyNumberFormat="1" applyFill="1" applyBorder="1" applyAlignment="1" applyProtection="1">
      <alignment horizontal="left"/>
      <protection locked="0"/>
    </xf>
    <xf numFmtId="0" fontId="0" fillId="10" borderId="0" xfId="0" applyFill="1" applyAlignment="1" applyProtection="1">
      <alignment horizontal="center" wrapText="1"/>
      <protection locked="0"/>
    </xf>
    <xf numFmtId="0" fontId="0" fillId="2" borderId="245" xfId="0" applyFill="1" applyBorder="1" applyAlignment="1" applyProtection="1">
      <alignment horizontal="left"/>
      <protection locked="0"/>
    </xf>
    <xf numFmtId="0" fontId="0" fillId="2" borderId="246" xfId="0" applyFill="1" applyBorder="1" applyAlignment="1" applyProtection="1">
      <alignment horizontal="left"/>
      <protection locked="0"/>
    </xf>
    <xf numFmtId="0" fontId="0" fillId="2" borderId="247" xfId="0" applyFill="1" applyBorder="1" applyAlignment="1" applyProtection="1">
      <alignment horizontal="left"/>
      <protection locked="0"/>
    </xf>
    <xf numFmtId="0" fontId="9" fillId="3" borderId="0" xfId="0" applyFont="1" applyFill="1" applyProtection="1">
      <protection locked="0"/>
    </xf>
    <xf numFmtId="0" fontId="0" fillId="2" borderId="248" xfId="0" applyFill="1" applyBorder="1" applyAlignment="1" applyProtection="1">
      <alignment horizontal="left"/>
      <protection locked="0"/>
    </xf>
    <xf numFmtId="0" fontId="0" fillId="2" borderId="249" xfId="0" applyFill="1" applyBorder="1" applyAlignment="1" applyProtection="1">
      <alignment horizontal="left"/>
      <protection locked="0"/>
    </xf>
    <xf numFmtId="0" fontId="0" fillId="2" borderId="250" xfId="0" applyFill="1" applyBorder="1" applyAlignment="1" applyProtection="1">
      <alignment horizontal="left"/>
      <protection locked="0"/>
    </xf>
    <xf numFmtId="0" fontId="0" fillId="2" borderId="251" xfId="0" applyFill="1" applyBorder="1" applyAlignment="1" applyProtection="1">
      <alignment horizontal="left"/>
      <protection locked="0"/>
    </xf>
    <xf numFmtId="0" fontId="0" fillId="2" borderId="252" xfId="0" applyFill="1" applyBorder="1" applyAlignment="1" applyProtection="1">
      <alignment horizontal="left"/>
      <protection locked="0"/>
    </xf>
    <xf numFmtId="0" fontId="0" fillId="2" borderId="253" xfId="0" applyFill="1" applyBorder="1" applyAlignment="1" applyProtection="1">
      <alignment horizontal="left"/>
      <protection locked="0"/>
    </xf>
    <xf numFmtId="0" fontId="9" fillId="3" borderId="83" xfId="0" applyFont="1" applyFill="1" applyBorder="1" applyProtection="1">
      <protection locked="0"/>
    </xf>
    <xf numFmtId="0" fontId="0" fillId="10" borderId="0" xfId="0" applyFill="1" applyAlignment="1" applyProtection="1">
      <alignment horizontal="left" vertical="center" indent="1"/>
      <protection locked="0"/>
    </xf>
    <xf numFmtId="0" fontId="0" fillId="10" borderId="0" xfId="0" applyFill="1" applyAlignment="1" applyProtection="1">
      <alignment horizontal="left" vertical="center"/>
      <protection locked="0"/>
    </xf>
    <xf numFmtId="0" fontId="0" fillId="10" borderId="0" xfId="0" applyFill="1" applyAlignment="1" applyProtection="1">
      <alignment horizontal="left" vertical="center" wrapText="1"/>
      <protection locked="0"/>
    </xf>
    <xf numFmtId="0" fontId="9" fillId="3" borderId="84" xfId="0" applyFont="1" applyFill="1" applyBorder="1" applyProtection="1">
      <protection locked="0"/>
    </xf>
    <xf numFmtId="0" fontId="0" fillId="2" borderId="254" xfId="0" applyFill="1" applyBorder="1" applyAlignment="1" applyProtection="1">
      <alignment horizontal="left"/>
      <protection locked="0"/>
    </xf>
    <xf numFmtId="0" fontId="0" fillId="2" borderId="255" xfId="0" applyFill="1" applyBorder="1" applyAlignment="1" applyProtection="1">
      <alignment horizontal="left"/>
      <protection locked="0"/>
    </xf>
    <xf numFmtId="0" fontId="0" fillId="2" borderId="256" xfId="0" applyFill="1" applyBorder="1" applyAlignment="1" applyProtection="1">
      <alignment horizontal="left"/>
      <protection locked="0"/>
    </xf>
    <xf numFmtId="164" fontId="0" fillId="10" borderId="31" xfId="0" applyNumberFormat="1" applyFill="1" applyBorder="1" applyAlignment="1" applyProtection="1">
      <alignment horizontal="left"/>
      <protection locked="0"/>
    </xf>
    <xf numFmtId="164" fontId="0" fillId="2" borderId="254" xfId="0" applyNumberFormat="1" applyFill="1" applyBorder="1" applyAlignment="1" applyProtection="1">
      <alignment horizontal="left"/>
      <protection locked="0"/>
    </xf>
    <xf numFmtId="164" fontId="0" fillId="2" borderId="255" xfId="0" applyNumberFormat="1" applyFill="1" applyBorder="1" applyAlignment="1" applyProtection="1">
      <alignment horizontal="left"/>
      <protection locked="0"/>
    </xf>
    <xf numFmtId="164" fontId="0" fillId="2" borderId="256" xfId="0" applyNumberFormat="1" applyFill="1" applyBorder="1" applyAlignment="1" applyProtection="1">
      <alignment horizontal="left"/>
      <protection locked="0"/>
    </xf>
    <xf numFmtId="167" fontId="0" fillId="10" borderId="0" xfId="0" applyNumberFormat="1" applyFill="1" applyAlignment="1" applyProtection="1">
      <alignment horizontal="left"/>
      <protection locked="0"/>
    </xf>
    <xf numFmtId="10" fontId="0" fillId="10" borderId="0" xfId="0" applyNumberFormat="1" applyFill="1" applyAlignment="1" applyProtection="1">
      <alignment horizontal="left"/>
      <protection locked="0"/>
    </xf>
    <xf numFmtId="180" fontId="0" fillId="10" borderId="0" xfId="0" applyNumberFormat="1" applyFill="1" applyAlignment="1" applyProtection="1">
      <alignment horizontal="left"/>
      <protection locked="0"/>
    </xf>
    <xf numFmtId="0" fontId="9" fillId="3" borderId="85" xfId="0" applyFont="1" applyFill="1" applyBorder="1" applyProtection="1">
      <protection locked="0"/>
    </xf>
    <xf numFmtId="0" fontId="0" fillId="3" borderId="0" xfId="0" applyFill="1" applyAlignment="1" applyProtection="1">
      <alignment horizontal="left" indent="1"/>
      <protection locked="0"/>
    </xf>
    <xf numFmtId="0" fontId="0" fillId="2" borderId="9" xfId="0" applyFill="1" applyBorder="1" applyAlignment="1" applyProtection="1">
      <alignment horizontal="left" indent="1"/>
      <protection locked="0"/>
    </xf>
    <xf numFmtId="0" fontId="0" fillId="2" borderId="10" xfId="0" applyFill="1" applyBorder="1" applyAlignment="1" applyProtection="1">
      <alignment horizontal="left" indent="1"/>
      <protection locked="0"/>
    </xf>
    <xf numFmtId="0" fontId="0" fillId="0" borderId="0" xfId="0" applyAlignment="1" applyProtection="1">
      <alignment horizontal="left" indent="1"/>
      <protection locked="0"/>
    </xf>
    <xf numFmtId="0" fontId="0" fillId="2" borderId="11" xfId="0" applyFill="1" applyBorder="1" applyProtection="1">
      <protection locked="0"/>
    </xf>
    <xf numFmtId="0" fontId="0" fillId="2" borderId="12" xfId="0" applyFill="1" applyBorder="1" applyAlignment="1" applyProtection="1">
      <alignment horizontal="left"/>
      <protection locked="0"/>
    </xf>
    <xf numFmtId="0" fontId="0" fillId="2" borderId="12" xfId="0" applyFill="1" applyBorder="1" applyProtection="1">
      <protection locked="0"/>
    </xf>
    <xf numFmtId="0" fontId="0" fillId="2" borderId="13" xfId="0" applyFill="1" applyBorder="1" applyProtection="1">
      <protection locked="0"/>
    </xf>
    <xf numFmtId="0" fontId="9" fillId="3" borderId="0" xfId="0" applyFont="1" applyFill="1" applyAlignment="1" applyProtection="1">
      <alignment horizontal="center"/>
      <protection locked="0"/>
    </xf>
    <xf numFmtId="0" fontId="0" fillId="0" borderId="0" xfId="0" applyAlignment="1" applyProtection="1">
      <alignment horizontal="left"/>
      <protection locked="0"/>
    </xf>
    <xf numFmtId="0" fontId="0" fillId="10" borderId="0" xfId="0" applyFill="1" applyAlignment="1" applyProtection="1">
      <alignment wrapText="1"/>
      <protection locked="0"/>
    </xf>
    <xf numFmtId="166" fontId="0" fillId="3" borderId="0" xfId="0" applyNumberFormat="1" applyFill="1" applyAlignment="1" applyProtection="1">
      <alignment horizontal="left"/>
      <protection locked="0"/>
    </xf>
    <xf numFmtId="164" fontId="0" fillId="3" borderId="0" xfId="0" applyNumberFormat="1" applyFill="1" applyAlignment="1" applyProtection="1">
      <alignment horizontal="left"/>
      <protection locked="0"/>
    </xf>
    <xf numFmtId="166" fontId="0" fillId="3" borderId="0" xfId="0" applyNumberFormat="1" applyFill="1" applyAlignment="1" applyProtection="1">
      <alignment horizontal="left" vertical="center"/>
      <protection locked="0"/>
    </xf>
    <xf numFmtId="0" fontId="12" fillId="0" borderId="0" xfId="0" applyFont="1" applyAlignment="1">
      <alignment horizontal="center" wrapText="1"/>
    </xf>
    <xf numFmtId="165" fontId="12" fillId="5" borderId="0" xfId="1" applyNumberFormat="1" applyFont="1" applyFill="1" applyBorder="1" applyAlignment="1">
      <alignment horizontal="center" vertical="center" wrapText="1"/>
    </xf>
    <xf numFmtId="165" fontId="8" fillId="6" borderId="89" xfId="1" applyNumberFormat="1" applyFont="1" applyFill="1" applyBorder="1" applyAlignment="1">
      <alignment horizontal="center" vertical="center" wrapText="1"/>
    </xf>
    <xf numFmtId="165" fontId="8" fillId="6" borderId="95" xfId="1" applyNumberFormat="1" applyFont="1" applyFill="1" applyBorder="1" applyAlignment="1">
      <alignment horizontal="center" vertical="center" wrapText="1"/>
    </xf>
    <xf numFmtId="165" fontId="8" fillId="6" borderId="98" xfId="1" applyNumberFormat="1" applyFont="1" applyFill="1" applyBorder="1" applyAlignment="1">
      <alignment horizontal="center" vertical="center" wrapText="1"/>
    </xf>
    <xf numFmtId="0" fontId="8" fillId="6" borderId="43" xfId="0" applyFont="1" applyFill="1" applyBorder="1" applyAlignment="1">
      <alignment horizontal="left" vertical="center"/>
    </xf>
    <xf numFmtId="0" fontId="0" fillId="6" borderId="43" xfId="0" applyFill="1" applyBorder="1" applyAlignment="1">
      <alignment horizontal="right" vertical="center"/>
    </xf>
    <xf numFmtId="255" fontId="8" fillId="6" borderId="43" xfId="0" applyNumberFormat="1" applyFont="1" applyFill="1" applyBorder="1" applyAlignment="1">
      <alignment horizontal="right" vertical="center" wrapText="1"/>
    </xf>
    <xf numFmtId="243" fontId="8" fillId="6" borderId="43" xfId="0" applyNumberFormat="1" applyFont="1" applyFill="1" applyBorder="1" applyAlignment="1">
      <alignment horizontal="right" vertical="center" wrapText="1"/>
    </xf>
    <xf numFmtId="174" fontId="12" fillId="5" borderId="33" xfId="0" applyNumberFormat="1" applyFont="1" applyFill="1" applyBorder="1" applyAlignment="1">
      <alignment horizontal="left" vertical="center"/>
    </xf>
    <xf numFmtId="255" fontId="8" fillId="5" borderId="33" xfId="0" applyNumberFormat="1" applyFont="1" applyFill="1" applyBorder="1" applyAlignment="1">
      <alignment horizontal="right" vertical="center"/>
    </xf>
    <xf numFmtId="255" fontId="12" fillId="5" borderId="33" xfId="0" applyNumberFormat="1" applyFont="1" applyFill="1" applyBorder="1" applyAlignment="1">
      <alignment horizontal="right" vertical="center"/>
    </xf>
    <xf numFmtId="165" fontId="8" fillId="5" borderId="33" xfId="0" applyNumberFormat="1" applyFont="1" applyFill="1" applyBorder="1" applyAlignment="1">
      <alignment horizontal="right" vertical="center"/>
    </xf>
    <xf numFmtId="174" fontId="8" fillId="6" borderId="89" xfId="0" applyNumberFormat="1" applyFont="1" applyFill="1" applyBorder="1" applyAlignment="1">
      <alignment horizontal="left" vertical="center"/>
    </xf>
    <xf numFmtId="174" fontId="8" fillId="6" borderId="95" xfId="0" applyNumberFormat="1" applyFont="1" applyFill="1" applyBorder="1" applyAlignment="1">
      <alignment horizontal="left" vertical="center"/>
    </xf>
    <xf numFmtId="174" fontId="8" fillId="6" borderId="43" xfId="0" applyNumberFormat="1" applyFont="1" applyFill="1" applyBorder="1" applyAlignment="1">
      <alignment horizontal="left" vertical="center"/>
    </xf>
    <xf numFmtId="0" fontId="4" fillId="2" borderId="242" xfId="0" applyFont="1" applyFill="1" applyBorder="1" applyAlignment="1">
      <alignment horizontal="left" indent="1"/>
    </xf>
    <xf numFmtId="167" fontId="4" fillId="2" borderId="243" xfId="0" applyNumberFormat="1" applyFont="1" applyFill="1" applyBorder="1" applyAlignment="1">
      <alignment horizontal="center"/>
    </xf>
    <xf numFmtId="0" fontId="4" fillId="2" borderId="243" xfId="0" applyFont="1" applyFill="1" applyBorder="1"/>
    <xf numFmtId="0" fontId="0" fillId="2" borderId="242" xfId="0" applyFill="1" applyBorder="1" applyAlignment="1">
      <alignment horizontal="left" indent="1"/>
    </xf>
    <xf numFmtId="0" fontId="4" fillId="2" borderId="243" xfId="0" applyFont="1" applyFill="1" applyBorder="1" applyAlignment="1">
      <alignment horizontal="center"/>
    </xf>
    <xf numFmtId="167" fontId="4" fillId="2" borderId="243" xfId="0" applyNumberFormat="1" applyFont="1" applyFill="1" applyBorder="1" applyAlignment="1">
      <alignment horizontal="left"/>
    </xf>
    <xf numFmtId="0" fontId="4" fillId="2" borderId="241" xfId="0" applyFont="1" applyFill="1" applyBorder="1" applyAlignment="1">
      <alignment horizontal="center"/>
    </xf>
    <xf numFmtId="187" fontId="11" fillId="3" borderId="0" xfId="0" applyNumberFormat="1" applyFont="1" applyFill="1" applyAlignment="1">
      <alignment vertical="top" wrapText="1"/>
    </xf>
    <xf numFmtId="0" fontId="8" fillId="2" borderId="0" xfId="0" applyFont="1" applyFill="1" applyAlignment="1">
      <alignment horizontal="right" vertical="top" wrapText="1" indent="1"/>
    </xf>
    <xf numFmtId="174" fontId="4" fillId="2" borderId="0" xfId="0" applyNumberFormat="1" applyFont="1" applyFill="1" applyAlignment="1">
      <alignment horizontal="right" vertical="top" indent="1"/>
    </xf>
    <xf numFmtId="174" fontId="8" fillId="2" borderId="0" xfId="0" applyNumberFormat="1" applyFont="1" applyFill="1" applyAlignment="1">
      <alignment horizontal="right" vertical="top" wrapText="1" indent="1"/>
    </xf>
    <xf numFmtId="1" fontId="8" fillId="2" borderId="0" xfId="0" applyNumberFormat="1" applyFont="1" applyFill="1" applyAlignment="1">
      <alignment horizontal="right" vertical="top" wrapText="1" indent="1"/>
    </xf>
    <xf numFmtId="184" fontId="8" fillId="2" borderId="0" xfId="0" applyNumberFormat="1" applyFont="1" applyFill="1" applyAlignment="1">
      <alignment horizontal="right" vertical="top" wrapText="1" indent="1"/>
    </xf>
    <xf numFmtId="202" fontId="8" fillId="2" borderId="0" xfId="0" applyNumberFormat="1" applyFont="1" applyFill="1" applyAlignment="1">
      <alignment horizontal="right" vertical="top" wrapText="1" indent="1"/>
    </xf>
    <xf numFmtId="171" fontId="8" fillId="2" borderId="0" xfId="0" applyNumberFormat="1" applyFont="1" applyFill="1" applyAlignment="1">
      <alignment horizontal="right" vertical="top" wrapText="1" indent="1"/>
    </xf>
    <xf numFmtId="3" fontId="8" fillId="2" borderId="0" xfId="0" applyNumberFormat="1" applyFont="1" applyFill="1" applyAlignment="1">
      <alignment horizontal="right" vertical="top" wrapText="1" indent="1"/>
    </xf>
    <xf numFmtId="181" fontId="8" fillId="2" borderId="0" xfId="0" applyNumberFormat="1" applyFont="1" applyFill="1" applyAlignment="1">
      <alignment horizontal="right" vertical="top" wrapText="1" indent="1"/>
    </xf>
    <xf numFmtId="165" fontId="8" fillId="2" borderId="0" xfId="0" applyNumberFormat="1" applyFont="1" applyFill="1" applyAlignment="1">
      <alignment horizontal="right" vertical="top" wrapText="1" indent="1"/>
    </xf>
    <xf numFmtId="0" fontId="8" fillId="2" borderId="0" xfId="0" applyFont="1" applyFill="1" applyAlignment="1">
      <alignment horizontal="right" vertical="top" indent="1"/>
    </xf>
    <xf numFmtId="3" fontId="8" fillId="2" borderId="0" xfId="0" applyNumberFormat="1" applyFont="1" applyFill="1" applyAlignment="1">
      <alignment horizontal="right" vertical="top" indent="1"/>
    </xf>
    <xf numFmtId="207" fontId="8" fillId="2" borderId="0" xfId="0" applyNumberFormat="1" applyFont="1" applyFill="1" applyAlignment="1">
      <alignment horizontal="right" vertical="top" indent="1"/>
    </xf>
    <xf numFmtId="207" fontId="8" fillId="2" borderId="0" xfId="0" applyNumberFormat="1" applyFont="1" applyFill="1" applyAlignment="1">
      <alignment horizontal="right" vertical="top" wrapText="1" indent="1"/>
    </xf>
    <xf numFmtId="185" fontId="8" fillId="2" borderId="0" xfId="0" applyNumberFormat="1" applyFont="1" applyFill="1" applyAlignment="1">
      <alignment horizontal="right" vertical="top" indent="1"/>
    </xf>
    <xf numFmtId="189" fontId="8" fillId="2" borderId="0" xfId="0" applyNumberFormat="1" applyFont="1" applyFill="1" applyAlignment="1">
      <alignment horizontal="right" vertical="top" indent="1"/>
    </xf>
    <xf numFmtId="188" fontId="8" fillId="2" borderId="0" xfId="0" applyNumberFormat="1" applyFont="1" applyFill="1" applyAlignment="1">
      <alignment horizontal="right" vertical="top" indent="1"/>
    </xf>
    <xf numFmtId="165" fontId="8" fillId="2" borderId="0" xfId="1" applyNumberFormat="1" applyFont="1" applyFill="1" applyBorder="1" applyAlignment="1">
      <alignment horizontal="right" vertical="top" indent="1"/>
    </xf>
    <xf numFmtId="165" fontId="8" fillId="2" borderId="0" xfId="1" applyNumberFormat="1" applyFont="1" applyFill="1" applyBorder="1" applyAlignment="1">
      <alignment horizontal="right" vertical="top" wrapText="1" indent="1"/>
    </xf>
    <xf numFmtId="0" fontId="8" fillId="2" borderId="42" xfId="0" applyFont="1" applyFill="1" applyBorder="1" applyAlignment="1">
      <alignment horizontal="right" indent="1"/>
    </xf>
    <xf numFmtId="0" fontId="8" fillId="2" borderId="0" xfId="0" applyFont="1" applyFill="1" applyAlignment="1">
      <alignment horizontal="right" indent="1"/>
    </xf>
    <xf numFmtId="0" fontId="12" fillId="2" borderId="0" xfId="0" applyFont="1" applyFill="1" applyAlignment="1">
      <alignment horizontal="right" indent="1"/>
    </xf>
    <xf numFmtId="187" fontId="11" fillId="3" borderId="0" xfId="0" applyNumberFormat="1" applyFont="1" applyFill="1" applyAlignment="1">
      <alignment horizontal="right" vertical="top" wrapText="1" indent="2"/>
    </xf>
    <xf numFmtId="167" fontId="8" fillId="2" borderId="0" xfId="0" applyNumberFormat="1" applyFont="1" applyFill="1" applyAlignment="1">
      <alignment horizontal="right" vertical="top" indent="1"/>
    </xf>
    <xf numFmtId="3" fontId="0" fillId="10" borderId="0" xfId="0" applyNumberFormat="1" applyFill="1" applyAlignment="1" applyProtection="1">
      <alignment horizontal="left"/>
      <protection locked="0"/>
    </xf>
    <xf numFmtId="165" fontId="4" fillId="4" borderId="4" xfId="1" applyNumberFormat="1" applyFont="1" applyFill="1" applyBorder="1" applyAlignment="1">
      <alignment horizontal="left"/>
    </xf>
    <xf numFmtId="165" fontId="4" fillId="4" borderId="5" xfId="1" applyNumberFormat="1" applyFont="1" applyFill="1" applyBorder="1" applyAlignment="1">
      <alignment horizontal="left"/>
    </xf>
    <xf numFmtId="0" fontId="4" fillId="4" borderId="9" xfId="1" applyNumberFormat="1" applyFont="1" applyFill="1" applyBorder="1" applyAlignment="1">
      <alignment horizontal="left"/>
    </xf>
    <xf numFmtId="0" fontId="4" fillId="4" borderId="11" xfId="1" applyNumberFormat="1" applyFont="1" applyFill="1" applyBorder="1" applyAlignment="1">
      <alignment horizontal="left"/>
    </xf>
    <xf numFmtId="0" fontId="24" fillId="2" borderId="13" xfId="0" applyFont="1" applyFill="1" applyBorder="1" applyAlignment="1">
      <alignment horizontal="center"/>
    </xf>
    <xf numFmtId="0" fontId="4" fillId="6" borderId="33" xfId="0" applyFont="1" applyFill="1" applyBorder="1" applyAlignment="1">
      <alignment vertical="center"/>
    </xf>
    <xf numFmtId="0" fontId="9" fillId="3" borderId="0" xfId="0" applyFont="1" applyFill="1" applyAlignment="1">
      <alignment horizontal="right" wrapText="1"/>
    </xf>
    <xf numFmtId="0" fontId="9" fillId="6" borderId="7" xfId="0" applyFont="1" applyFill="1" applyBorder="1" applyAlignment="1">
      <alignment horizontal="right" wrapText="1"/>
    </xf>
    <xf numFmtId="173" fontId="11" fillId="3" borderId="0" xfId="0" applyNumberFormat="1" applyFont="1" applyFill="1" applyAlignment="1">
      <alignment horizontal="right" vertical="top" wrapText="1"/>
    </xf>
    <xf numFmtId="164" fontId="8" fillId="5" borderId="0" xfId="0" applyNumberFormat="1" applyFont="1" applyFill="1" applyAlignment="1">
      <alignment horizontal="right" vertical="top" wrapText="1"/>
    </xf>
    <xf numFmtId="168" fontId="8" fillId="5" borderId="0" xfId="0" applyNumberFormat="1" applyFont="1" applyFill="1" applyAlignment="1">
      <alignment horizontal="right" vertical="top" wrapText="1"/>
    </xf>
    <xf numFmtId="3" fontId="8" fillId="5" borderId="0" xfId="0" applyNumberFormat="1" applyFont="1" applyFill="1" applyAlignment="1">
      <alignment horizontal="right" vertical="top" wrapText="1"/>
    </xf>
    <xf numFmtId="164" fontId="12" fillId="5" borderId="19" xfId="0" applyNumberFormat="1" applyFont="1" applyFill="1" applyBorder="1" applyAlignment="1">
      <alignment horizontal="right" vertical="top" wrapText="1"/>
    </xf>
    <xf numFmtId="165" fontId="13" fillId="6" borderId="0" xfId="1" applyNumberFormat="1" applyFont="1" applyFill="1" applyBorder="1" applyAlignment="1">
      <alignment horizontal="right" wrapText="1"/>
    </xf>
    <xf numFmtId="164" fontId="13" fillId="6" borderId="0" xfId="0" applyNumberFormat="1" applyFont="1" applyFill="1" applyAlignment="1">
      <alignment horizontal="right" wrapText="1"/>
    </xf>
    <xf numFmtId="167" fontId="13" fillId="6" borderId="0" xfId="0" applyNumberFormat="1" applyFont="1" applyFill="1" applyAlignment="1">
      <alignment horizontal="right" wrapText="1"/>
    </xf>
    <xf numFmtId="175" fontId="8" fillId="5" borderId="78" xfId="0" applyNumberFormat="1" applyFont="1" applyFill="1" applyBorder="1" applyAlignment="1">
      <alignment horizontal="right" wrapText="1"/>
    </xf>
    <xf numFmtId="6" fontId="59" fillId="5" borderId="0" xfId="0" applyNumberFormat="1" applyFont="1" applyFill="1" applyAlignment="1">
      <alignment horizontal="right" wrapText="1"/>
    </xf>
    <xf numFmtId="175" fontId="12" fillId="5" borderId="78" xfId="0" applyNumberFormat="1" applyFont="1" applyFill="1" applyBorder="1" applyAlignment="1">
      <alignment horizontal="right" wrapText="1"/>
    </xf>
    <xf numFmtId="176" fontId="59" fillId="5" borderId="0" xfId="0" applyNumberFormat="1" applyFont="1" applyFill="1" applyAlignment="1">
      <alignment horizontal="right" wrapText="1"/>
    </xf>
    <xf numFmtId="175" fontId="12" fillId="5" borderId="19" xfId="0" applyNumberFormat="1" applyFont="1" applyFill="1" applyBorder="1" applyAlignment="1">
      <alignment horizontal="right" wrapText="1"/>
    </xf>
    <xf numFmtId="165" fontId="9" fillId="5" borderId="0" xfId="1" applyNumberFormat="1" applyFont="1" applyFill="1" applyBorder="1" applyAlignment="1">
      <alignment horizontal="right" wrapText="1"/>
    </xf>
    <xf numFmtId="214" fontId="8" fillId="5" borderId="19" xfId="0" applyNumberFormat="1" applyFont="1" applyFill="1" applyBorder="1" applyAlignment="1">
      <alignment horizontal="right" wrapText="1"/>
    </xf>
    <xf numFmtId="165" fontId="12" fillId="5" borderId="0" xfId="0" applyNumberFormat="1" applyFont="1" applyFill="1" applyAlignment="1">
      <alignment horizontal="right" wrapText="1"/>
    </xf>
    <xf numFmtId="175" fontId="12" fillId="5" borderId="25" xfId="0" applyNumberFormat="1" applyFont="1" applyFill="1" applyBorder="1" applyAlignment="1">
      <alignment horizontal="right" wrapText="1"/>
    </xf>
    <xf numFmtId="0" fontId="8" fillId="2" borderId="12" xfId="0" applyFont="1" applyFill="1" applyBorder="1" applyAlignment="1">
      <alignment horizontal="right" wrapText="1"/>
    </xf>
    <xf numFmtId="0" fontId="8" fillId="3" borderId="0" xfId="0" applyFont="1" applyFill="1" applyAlignment="1">
      <alignment horizontal="right" wrapText="1"/>
    </xf>
    <xf numFmtId="0" fontId="40" fillId="3" borderId="0" xfId="0" applyFont="1" applyFill="1" applyAlignment="1">
      <alignment horizontal="right" wrapText="1"/>
    </xf>
    <xf numFmtId="167" fontId="8" fillId="5" borderId="78" xfId="0" applyNumberFormat="1" applyFont="1" applyFill="1" applyBorder="1" applyAlignment="1">
      <alignment horizontal="right"/>
    </xf>
    <xf numFmtId="167" fontId="12" fillId="5" borderId="78" xfId="0" applyNumberFormat="1" applyFont="1" applyFill="1" applyBorder="1" applyAlignment="1">
      <alignment horizontal="right"/>
    </xf>
    <xf numFmtId="167" fontId="12" fillId="5" borderId="19" xfId="0" applyNumberFormat="1" applyFont="1" applyFill="1" applyBorder="1" applyAlignment="1">
      <alignment horizontal="right"/>
    </xf>
    <xf numFmtId="167" fontId="12" fillId="5" borderId="25" xfId="0" applyNumberFormat="1" applyFont="1" applyFill="1" applyBorder="1" applyAlignment="1">
      <alignment horizontal="right"/>
    </xf>
    <xf numFmtId="0" fontId="9" fillId="2" borderId="0" xfId="0" applyFont="1" applyFill="1" applyAlignment="1">
      <alignment horizontal="center"/>
    </xf>
    <xf numFmtId="0" fontId="8" fillId="2" borderId="0" xfId="0" applyFont="1" applyFill="1" applyAlignment="1">
      <alignment horizontal="center" vertical="top"/>
    </xf>
    <xf numFmtId="1" fontId="8" fillId="2" borderId="0" xfId="0" applyNumberFormat="1" applyFont="1" applyFill="1" applyAlignment="1">
      <alignment horizontal="center" vertical="top"/>
    </xf>
    <xf numFmtId="165" fontId="8" fillId="2" borderId="0" xfId="0" applyNumberFormat="1" applyFont="1" applyFill="1" applyAlignment="1">
      <alignment horizontal="center" vertical="top"/>
    </xf>
    <xf numFmtId="219" fontId="8" fillId="2" borderId="0" xfId="0" applyNumberFormat="1" applyFont="1" applyFill="1" applyAlignment="1">
      <alignment horizontal="center" vertical="top"/>
    </xf>
    <xf numFmtId="3" fontId="8" fillId="2" borderId="0" xfId="0" applyNumberFormat="1" applyFont="1" applyFill="1" applyAlignment="1">
      <alignment horizontal="center" vertical="top"/>
    </xf>
    <xf numFmtId="0" fontId="55" fillId="6" borderId="0" xfId="0" applyFont="1" applyFill="1"/>
    <xf numFmtId="0" fontId="4" fillId="6" borderId="0" xfId="0" applyFont="1" applyFill="1" applyAlignment="1">
      <alignment horizontal="center" wrapText="1"/>
    </xf>
    <xf numFmtId="200" fontId="0" fillId="6" borderId="0" xfId="0" applyNumberFormat="1" applyFill="1" applyAlignment="1">
      <alignment horizontal="center" wrapText="1"/>
    </xf>
    <xf numFmtId="0" fontId="55" fillId="6" borderId="0" xfId="0" applyFont="1" applyFill="1" applyAlignment="1">
      <alignment horizontal="left"/>
    </xf>
    <xf numFmtId="164" fontId="4" fillId="6" borderId="0" xfId="0" applyNumberFormat="1" applyFont="1" applyFill="1" applyAlignment="1">
      <alignment horizontal="right"/>
    </xf>
    <xf numFmtId="0" fontId="55" fillId="6" borderId="0" xfId="0" applyFont="1" applyFill="1" applyAlignment="1">
      <alignment horizontal="left" indent="1"/>
    </xf>
    <xf numFmtId="6" fontId="4" fillId="6" borderId="0" xfId="0" applyNumberFormat="1" applyFont="1" applyFill="1" applyAlignment="1">
      <alignment horizontal="right"/>
    </xf>
    <xf numFmtId="6" fontId="4" fillId="6" borderId="31" xfId="0" applyNumberFormat="1" applyFont="1" applyFill="1" applyBorder="1" applyAlignment="1">
      <alignment horizontal="right"/>
    </xf>
    <xf numFmtId="6" fontId="4" fillId="6" borderId="78" xfId="0" applyNumberFormat="1" applyFont="1" applyFill="1" applyBorder="1" applyAlignment="1">
      <alignment horizontal="right"/>
    </xf>
    <xf numFmtId="38" fontId="4" fillId="6" borderId="0" xfId="0" applyNumberFormat="1" applyFont="1" applyFill="1" applyAlignment="1">
      <alignment horizontal="right"/>
    </xf>
    <xf numFmtId="0" fontId="0" fillId="6" borderId="0" xfId="0" applyFill="1" applyAlignment="1">
      <alignment horizontal="left" indent="1"/>
    </xf>
    <xf numFmtId="6" fontId="0" fillId="6" borderId="31" xfId="0" applyNumberFormat="1" applyFill="1" applyBorder="1" applyAlignment="1">
      <alignment horizontal="right"/>
    </xf>
    <xf numFmtId="0" fontId="25" fillId="6" borderId="0" xfId="0" applyFont="1" applyFill="1" applyAlignment="1">
      <alignment horizontal="left"/>
    </xf>
    <xf numFmtId="205" fontId="16" fillId="6" borderId="0" xfId="0" applyNumberFormat="1" applyFont="1" applyFill="1" applyAlignment="1">
      <alignment horizontal="right"/>
    </xf>
    <xf numFmtId="0" fontId="25" fillId="6" borderId="25" xfId="0" applyFont="1" applyFill="1" applyBorder="1" applyAlignment="1">
      <alignment horizontal="left"/>
    </xf>
    <xf numFmtId="0" fontId="4" fillId="6" borderId="25" xfId="0" applyFont="1" applyFill="1" applyBorder="1"/>
    <xf numFmtId="164" fontId="4" fillId="6" borderId="25" xfId="0" applyNumberFormat="1" applyFont="1" applyFill="1" applyBorder="1"/>
    <xf numFmtId="0" fontId="8" fillId="6" borderId="261" xfId="0" applyFont="1" applyFill="1" applyBorder="1" applyAlignment="1">
      <alignment horizontal="left" vertical="top" indent="1"/>
    </xf>
    <xf numFmtId="0" fontId="4" fillId="6" borderId="262" xfId="0" applyFont="1" applyFill="1" applyBorder="1" applyAlignment="1">
      <alignment horizontal="left" vertical="top"/>
    </xf>
    <xf numFmtId="0" fontId="9" fillId="3" borderId="0" xfId="0" applyFont="1" applyFill="1" applyAlignment="1">
      <alignment horizontal="left" indent="1"/>
    </xf>
    <xf numFmtId="0" fontId="4" fillId="6" borderId="0" xfId="0" applyFont="1" applyFill="1" applyAlignment="1">
      <alignment horizontal="left"/>
    </xf>
    <xf numFmtId="0" fontId="4" fillId="6" borderId="31" xfId="0" applyFont="1" applyFill="1" applyBorder="1" applyAlignment="1">
      <alignment horizontal="left"/>
    </xf>
    <xf numFmtId="0" fontId="0" fillId="6" borderId="0" xfId="0" applyFill="1" applyAlignment="1">
      <alignment horizontal="left"/>
    </xf>
    <xf numFmtId="0" fontId="11" fillId="3" borderId="6" xfId="0" applyFont="1" applyFill="1" applyBorder="1" applyAlignment="1">
      <alignment horizontal="left"/>
    </xf>
    <xf numFmtId="0" fontId="4" fillId="2" borderId="216" xfId="0" applyFont="1" applyFill="1" applyBorder="1" applyAlignment="1">
      <alignment horizontal="left"/>
    </xf>
    <xf numFmtId="0" fontId="119" fillId="3" borderId="0" xfId="0" applyFont="1" applyFill="1" applyAlignment="1" applyProtection="1">
      <alignment horizontal="center" vertical="center" wrapText="1"/>
      <protection locked="0"/>
    </xf>
    <xf numFmtId="0" fontId="11" fillId="3" borderId="8" xfId="0" applyFont="1" applyFill="1" applyBorder="1" applyAlignment="1">
      <alignment horizontal="center" vertical="center"/>
    </xf>
    <xf numFmtId="0" fontId="4" fillId="10" borderId="9" xfId="0" applyFont="1" applyFill="1" applyBorder="1" applyAlignment="1">
      <alignment vertical="center"/>
    </xf>
    <xf numFmtId="0" fontId="8" fillId="10" borderId="10" xfId="0" applyFont="1" applyFill="1" applyBorder="1" applyAlignment="1">
      <alignment horizontal="center" vertical="center"/>
    </xf>
    <xf numFmtId="0" fontId="4" fillId="10" borderId="11" xfId="0" applyFont="1" applyFill="1" applyBorder="1" applyAlignment="1">
      <alignment vertical="center" wrapText="1"/>
    </xf>
    <xf numFmtId="0" fontId="8" fillId="10" borderId="13" xfId="0" applyFont="1" applyFill="1" applyBorder="1" applyAlignment="1">
      <alignment horizontal="center" vertical="center"/>
    </xf>
    <xf numFmtId="174" fontId="4" fillId="2" borderId="0" xfId="0" applyNumberFormat="1" applyFont="1" applyFill="1" applyAlignment="1">
      <alignment horizontal="center" vertical="center"/>
    </xf>
    <xf numFmtId="0" fontId="92" fillId="2" borderId="42" xfId="0" applyFont="1" applyFill="1" applyBorder="1" applyAlignment="1">
      <alignment horizontal="left" vertical="center"/>
    </xf>
    <xf numFmtId="49" fontId="4" fillId="10" borderId="150" xfId="0" applyNumberFormat="1" applyFont="1" applyFill="1" applyBorder="1" applyAlignment="1">
      <alignment horizontal="center" wrapText="1"/>
    </xf>
    <xf numFmtId="49" fontId="4" fillId="2" borderId="5" xfId="0" applyNumberFormat="1" applyFont="1" applyFill="1" applyBorder="1" applyAlignment="1">
      <alignment horizontal="center"/>
    </xf>
    <xf numFmtId="165" fontId="4" fillId="2" borderId="25" xfId="0" applyNumberFormat="1" applyFont="1" applyFill="1" applyBorder="1" applyAlignment="1">
      <alignment horizontal="center"/>
    </xf>
    <xf numFmtId="174" fontId="4" fillId="2" borderId="0" xfId="0" applyNumberFormat="1" applyFont="1" applyFill="1" applyAlignment="1">
      <alignment horizontal="center"/>
    </xf>
    <xf numFmtId="174" fontId="4" fillId="2" borderId="25" xfId="0" applyNumberFormat="1" applyFont="1" applyFill="1" applyBorder="1" applyAlignment="1">
      <alignment horizontal="center"/>
    </xf>
    <xf numFmtId="165" fontId="0" fillId="2" borderId="254" xfId="1" applyNumberFormat="1" applyFont="1" applyFill="1" applyBorder="1" applyAlignment="1" applyProtection="1">
      <alignment horizontal="left"/>
      <protection locked="0"/>
    </xf>
    <xf numFmtId="10" fontId="0" fillId="2" borderId="255" xfId="0" applyNumberFormat="1" applyFill="1" applyBorder="1" applyAlignment="1" applyProtection="1">
      <alignment horizontal="left"/>
      <protection locked="0"/>
    </xf>
    <xf numFmtId="10" fontId="0" fillId="2" borderId="256" xfId="0" applyNumberFormat="1" applyFill="1" applyBorder="1" applyAlignment="1" applyProtection="1">
      <alignment horizontal="left"/>
      <protection locked="0"/>
    </xf>
    <xf numFmtId="172" fontId="9" fillId="3" borderId="84" xfId="0" applyNumberFormat="1" applyFont="1" applyFill="1" applyBorder="1" applyAlignment="1" applyProtection="1">
      <alignment horizontal="left"/>
      <protection locked="0"/>
    </xf>
    <xf numFmtId="3" fontId="9" fillId="3" borderId="84" xfId="0" applyNumberFormat="1" applyFont="1" applyFill="1" applyBorder="1" applyAlignment="1" applyProtection="1">
      <alignment horizontal="left"/>
      <protection locked="0"/>
    </xf>
    <xf numFmtId="3" fontId="9" fillId="2" borderId="84" xfId="0" applyNumberFormat="1" applyFont="1" applyFill="1" applyBorder="1" applyAlignment="1" applyProtection="1">
      <alignment horizontal="left"/>
      <protection locked="0"/>
    </xf>
    <xf numFmtId="3" fontId="9" fillId="2" borderId="265" xfId="0" applyNumberFormat="1" applyFont="1" applyFill="1" applyBorder="1" applyAlignment="1" applyProtection="1">
      <alignment horizontal="left"/>
      <protection locked="0"/>
    </xf>
    <xf numFmtId="3" fontId="9" fillId="2" borderId="266" xfId="0" applyNumberFormat="1" applyFont="1" applyFill="1" applyBorder="1" applyAlignment="1" applyProtection="1">
      <alignment horizontal="left"/>
      <protection locked="0"/>
    </xf>
    <xf numFmtId="3" fontId="9" fillId="2" borderId="267" xfId="0" applyNumberFormat="1" applyFont="1" applyFill="1" applyBorder="1" applyAlignment="1" applyProtection="1">
      <alignment horizontal="left"/>
      <protection locked="0"/>
    </xf>
    <xf numFmtId="3" fontId="9" fillId="3" borderId="85" xfId="0" applyNumberFormat="1" applyFont="1" applyFill="1" applyBorder="1" applyAlignment="1" applyProtection="1">
      <alignment horizontal="left"/>
      <protection locked="0"/>
    </xf>
    <xf numFmtId="0" fontId="7" fillId="2" borderId="0" xfId="0" applyFont="1" applyFill="1" applyAlignment="1" applyProtection="1">
      <alignment horizontal="left" wrapText="1" indent="3"/>
      <protection locked="0"/>
    </xf>
    <xf numFmtId="0" fontId="7" fillId="14" borderId="0" xfId="0" applyFont="1" applyFill="1" applyAlignment="1" applyProtection="1">
      <alignment horizontal="left" wrapText="1" indent="3"/>
      <protection locked="0"/>
    </xf>
    <xf numFmtId="0" fontId="22" fillId="2" borderId="0" xfId="0" applyFont="1" applyFill="1" applyAlignment="1" applyProtection="1">
      <alignment horizontal="left"/>
      <protection locked="0"/>
    </xf>
    <xf numFmtId="0" fontId="7" fillId="2" borderId="0" xfId="0" applyFont="1" applyFill="1" applyAlignment="1" applyProtection="1">
      <alignment horizontal="left" vertical="center" wrapText="1" indent="3"/>
      <protection locked="0"/>
    </xf>
    <xf numFmtId="0" fontId="120" fillId="10" borderId="0" xfId="0" applyFont="1" applyFill="1" applyAlignment="1" applyProtection="1">
      <alignment horizontal="left"/>
      <protection locked="0"/>
    </xf>
    <xf numFmtId="0" fontId="24" fillId="3" borderId="0" xfId="0" applyFont="1" applyFill="1" applyAlignment="1" applyProtection="1">
      <alignment horizontal="left"/>
      <protection locked="0"/>
    </xf>
    <xf numFmtId="166" fontId="11" fillId="3" borderId="0" xfId="0" applyNumberFormat="1" applyFont="1" applyFill="1" applyProtection="1">
      <protection locked="0"/>
    </xf>
    <xf numFmtId="165" fontId="8" fillId="2" borderId="0" xfId="0" applyNumberFormat="1" applyFont="1" applyFill="1" applyAlignment="1">
      <alignment horizontal="left"/>
    </xf>
    <xf numFmtId="0" fontId="41" fillId="3" borderId="0" xfId="0" applyFont="1" applyFill="1" applyAlignment="1">
      <alignment horizontal="left" vertical="top" indent="1"/>
    </xf>
    <xf numFmtId="0" fontId="41" fillId="3" borderId="0" xfId="0" applyFont="1" applyFill="1" applyAlignment="1">
      <alignment horizontal="left" indent="1"/>
    </xf>
    <xf numFmtId="0" fontId="92" fillId="0" borderId="42" xfId="0" applyFont="1" applyBorder="1" applyAlignment="1">
      <alignment vertical="center"/>
    </xf>
    <xf numFmtId="0" fontId="4" fillId="2" borderId="42" xfId="0" applyFont="1" applyFill="1" applyBorder="1" applyAlignment="1">
      <alignment horizontal="right" vertical="center"/>
    </xf>
    <xf numFmtId="0" fontId="103" fillId="2" borderId="42" xfId="0" applyFont="1" applyFill="1" applyBorder="1" applyAlignment="1">
      <alignment horizontal="right" vertical="center"/>
    </xf>
    <xf numFmtId="0" fontId="105" fillId="3" borderId="0" xfId="0" applyFont="1" applyFill="1" applyAlignment="1">
      <alignment horizontal="right" vertical="top"/>
    </xf>
    <xf numFmtId="0" fontId="41" fillId="3" borderId="0" xfId="0" applyFont="1" applyFill="1" applyAlignment="1">
      <alignment horizontal="right" vertical="center"/>
    </xf>
    <xf numFmtId="0" fontId="41" fillId="3" borderId="0" xfId="0" applyFont="1" applyFill="1" applyAlignment="1">
      <alignment vertical="center"/>
    </xf>
    <xf numFmtId="0" fontId="127" fillId="3" borderId="0" xfId="0" applyFont="1" applyFill="1" applyAlignment="1">
      <alignment horizontal="right" indent="1"/>
    </xf>
    <xf numFmtId="0" fontId="127" fillId="3" borderId="0" xfId="0" applyFont="1" applyFill="1" applyAlignment="1">
      <alignment horizontal="right" vertical="center" indent="1"/>
    </xf>
    <xf numFmtId="0" fontId="8" fillId="10" borderId="268" xfId="0" applyFont="1" applyFill="1" applyBorder="1" applyAlignment="1">
      <alignment horizontal="left" vertical="center" indent="2"/>
    </xf>
    <xf numFmtId="0" fontId="8" fillId="10" borderId="0" xfId="0" applyFont="1" applyFill="1" applyAlignment="1">
      <alignment horizontal="left" indent="2"/>
    </xf>
    <xf numFmtId="0" fontId="8" fillId="10" borderId="0" xfId="0" applyFont="1" applyFill="1" applyAlignment="1">
      <alignment horizontal="right"/>
    </xf>
    <xf numFmtId="4" fontId="8" fillId="10" borderId="0" xfId="0" applyNumberFormat="1" applyFont="1" applyFill="1" applyAlignment="1">
      <alignment horizontal="right"/>
    </xf>
    <xf numFmtId="3" fontId="8" fillId="10" borderId="0" xfId="0" applyNumberFormat="1" applyFont="1" applyFill="1" applyAlignment="1">
      <alignment horizontal="right"/>
    </xf>
    <xf numFmtId="0" fontId="12" fillId="10" borderId="0" xfId="0" applyFont="1" applyFill="1" applyAlignment="1">
      <alignment horizontal="left" indent="1"/>
    </xf>
    <xf numFmtId="0" fontId="126" fillId="10" borderId="0" xfId="0" applyFont="1" applyFill="1" applyAlignment="1">
      <alignment horizontal="left" indent="2"/>
    </xf>
    <xf numFmtId="0" fontId="8" fillId="10" borderId="0" xfId="0" applyFont="1" applyFill="1" applyAlignment="1">
      <alignment horizontal="left" indent="3"/>
    </xf>
    <xf numFmtId="10" fontId="8" fillId="10" borderId="0" xfId="1" applyNumberFormat="1" applyFont="1" applyFill="1" applyAlignment="1">
      <alignment horizontal="right"/>
    </xf>
    <xf numFmtId="3" fontId="8" fillId="10" borderId="0" xfId="0" applyNumberFormat="1" applyFont="1" applyFill="1"/>
    <xf numFmtId="164" fontId="8" fillId="10" borderId="0" xfId="0" applyNumberFormat="1" applyFont="1" applyFill="1" applyAlignment="1">
      <alignment horizontal="right"/>
    </xf>
    <xf numFmtId="268" fontId="8" fillId="10" borderId="0" xfId="0" applyNumberFormat="1" applyFont="1" applyFill="1" applyAlignment="1">
      <alignment horizontal="right"/>
    </xf>
    <xf numFmtId="165" fontId="8" fillId="10" borderId="0" xfId="1" applyNumberFormat="1" applyFont="1" applyFill="1" applyAlignment="1">
      <alignment horizontal="right"/>
    </xf>
    <xf numFmtId="164" fontId="8" fillId="10" borderId="0" xfId="0" applyNumberFormat="1" applyFont="1" applyFill="1"/>
    <xf numFmtId="0" fontId="92" fillId="10" borderId="31" xfId="0" applyFont="1" applyFill="1" applyBorder="1" applyAlignment="1">
      <alignment horizontal="left" indent="1"/>
    </xf>
    <xf numFmtId="0" fontId="4" fillId="2" borderId="263" xfId="0" applyFont="1" applyFill="1" applyBorder="1" applyAlignment="1">
      <alignment horizontal="left" indent="1"/>
    </xf>
    <xf numFmtId="165" fontId="4" fillId="2" borderId="264" xfId="1" applyNumberFormat="1" applyFont="1" applyFill="1" applyBorder="1" applyAlignment="1">
      <alignment horizontal="center"/>
    </xf>
    <xf numFmtId="0" fontId="4" fillId="2" borderId="264" xfId="0" applyFont="1" applyFill="1" applyBorder="1" applyAlignment="1">
      <alignment horizontal="center"/>
    </xf>
    <xf numFmtId="0" fontId="4" fillId="2" borderId="264" xfId="0" applyFont="1" applyFill="1" applyBorder="1"/>
    <xf numFmtId="0" fontId="41" fillId="10" borderId="149" xfId="0" applyFont="1" applyFill="1" applyBorder="1" applyAlignment="1">
      <alignment horizontal="left" vertical="center" indent="1"/>
    </xf>
    <xf numFmtId="0" fontId="8" fillId="10" borderId="149" xfId="0" applyFont="1" applyFill="1" applyBorder="1" applyAlignment="1">
      <alignment horizontal="right" vertical="center"/>
    </xf>
    <xf numFmtId="0" fontId="8" fillId="10" borderId="0" xfId="0" applyFont="1" applyFill="1" applyAlignment="1">
      <alignment horizontal="left" vertical="center" wrapText="1" indent="2"/>
    </xf>
    <xf numFmtId="0" fontId="8" fillId="10" borderId="0" xfId="0" applyFont="1" applyFill="1" applyAlignment="1">
      <alignment horizontal="right" vertical="center" wrapText="1"/>
    </xf>
    <xf numFmtId="0" fontId="8" fillId="15" borderId="268" xfId="0" applyFont="1" applyFill="1" applyBorder="1" applyAlignment="1">
      <alignment horizontal="right" vertical="center"/>
    </xf>
    <xf numFmtId="219" fontId="8" fillId="15" borderId="0" xfId="0" applyNumberFormat="1" applyFont="1" applyFill="1" applyAlignment="1">
      <alignment horizontal="right"/>
    </xf>
    <xf numFmtId="10" fontId="8" fillId="15" borderId="0" xfId="1" applyNumberFormat="1" applyFont="1" applyFill="1" applyAlignment="1">
      <alignment horizontal="right"/>
    </xf>
    <xf numFmtId="267" fontId="17" fillId="15" borderId="0" xfId="0" applyNumberFormat="1" applyFont="1" applyFill="1" applyAlignment="1">
      <alignment horizontal="right"/>
    </xf>
    <xf numFmtId="0" fontId="0" fillId="15" borderId="31" xfId="0" applyFill="1" applyBorder="1"/>
    <xf numFmtId="0" fontId="4" fillId="2" borderId="269" xfId="0" applyFont="1" applyFill="1" applyBorder="1" applyAlignment="1">
      <alignment horizontal="left" indent="1"/>
    </xf>
    <xf numFmtId="0" fontId="8" fillId="2" borderId="270" xfId="0" applyFont="1" applyFill="1" applyBorder="1" applyAlignment="1">
      <alignment horizontal="center"/>
    </xf>
    <xf numFmtId="0" fontId="4" fillId="2" borderId="272" xfId="0" applyFont="1" applyFill="1" applyBorder="1" applyAlignment="1">
      <alignment horizontal="center"/>
    </xf>
    <xf numFmtId="0" fontId="4" fillId="2" borderId="272" xfId="0" applyFont="1" applyFill="1" applyBorder="1"/>
    <xf numFmtId="0" fontId="4" fillId="2" borderId="271" xfId="0" applyFont="1" applyFill="1" applyBorder="1" applyAlignment="1">
      <alignment horizontal="left" indent="1"/>
    </xf>
    <xf numFmtId="1" fontId="4" fillId="0" borderId="272" xfId="0" applyNumberFormat="1" applyFont="1" applyBorder="1" applyAlignment="1">
      <alignment horizontal="center"/>
    </xf>
    <xf numFmtId="10" fontId="4" fillId="2" borderId="272" xfId="0" applyNumberFormat="1" applyFont="1" applyFill="1" applyBorder="1" applyAlignment="1">
      <alignment horizontal="center"/>
    </xf>
    <xf numFmtId="0" fontId="16" fillId="2" borderId="271" xfId="0" applyFont="1" applyFill="1" applyBorder="1" applyAlignment="1">
      <alignment horizontal="left" indent="1"/>
    </xf>
    <xf numFmtId="164" fontId="4" fillId="2" borderId="272" xfId="0" applyNumberFormat="1" applyFont="1" applyFill="1" applyBorder="1" applyAlignment="1">
      <alignment horizontal="center"/>
    </xf>
    <xf numFmtId="0" fontId="4" fillId="2" borderId="270" xfId="0" applyFont="1" applyFill="1" applyBorder="1" applyAlignment="1">
      <alignment horizontal="center"/>
    </xf>
    <xf numFmtId="0" fontId="93" fillId="2" borderId="7" xfId="0" applyFont="1" applyFill="1" applyBorder="1" applyAlignment="1">
      <alignment horizontal="left" vertical="center"/>
    </xf>
    <xf numFmtId="0" fontId="93" fillId="2" borderId="7" xfId="0" applyFont="1" applyFill="1" applyBorder="1" applyAlignment="1">
      <alignment horizontal="center" vertical="center"/>
    </xf>
    <xf numFmtId="165" fontId="4" fillId="6" borderId="0" xfId="1" applyNumberFormat="1" applyFont="1" applyFill="1" applyBorder="1" applyAlignment="1">
      <alignment horizontal="center"/>
    </xf>
    <xf numFmtId="164" fontId="9" fillId="3" borderId="0" xfId="0" applyNumberFormat="1" applyFont="1" applyFill="1" applyAlignment="1">
      <alignment horizontal="left"/>
    </xf>
    <xf numFmtId="0" fontId="8" fillId="2" borderId="31" xfId="0" applyFont="1" applyFill="1" applyBorder="1" applyAlignment="1">
      <alignment horizontal="left" indent="1"/>
    </xf>
    <xf numFmtId="0" fontId="12" fillId="2" borderId="16" xfId="0" applyFont="1" applyFill="1" applyBorder="1" applyAlignment="1">
      <alignment horizontal="left" vertical="center"/>
    </xf>
    <xf numFmtId="0" fontId="11" fillId="3" borderId="0" xfId="0" applyFont="1" applyFill="1" applyAlignment="1">
      <alignment horizontal="left" vertical="center" indent="2"/>
    </xf>
    <xf numFmtId="0" fontId="4" fillId="6" borderId="0" xfId="0" applyFont="1" applyFill="1" applyAlignment="1">
      <alignment vertical="top"/>
    </xf>
    <xf numFmtId="0" fontId="4" fillId="6" borderId="0" xfId="0" applyFont="1" applyFill="1" applyAlignment="1">
      <alignment horizontal="center" vertical="top"/>
    </xf>
    <xf numFmtId="0" fontId="4" fillId="6" borderId="42" xfId="0" applyFont="1" applyFill="1" applyBorder="1"/>
    <xf numFmtId="0" fontId="24" fillId="6" borderId="0" xfId="0" applyFont="1" applyFill="1"/>
    <xf numFmtId="2" fontId="4" fillId="6" borderId="0" xfId="0" applyNumberFormat="1" applyFont="1" applyFill="1" applyAlignment="1">
      <alignment horizontal="right"/>
    </xf>
    <xf numFmtId="167" fontId="33" fillId="6" borderId="19" xfId="0" applyNumberFormat="1" applyFont="1" applyFill="1" applyBorder="1" applyAlignment="1">
      <alignment horizontal="right"/>
    </xf>
    <xf numFmtId="167" fontId="4" fillId="2" borderId="0" xfId="0" applyNumberFormat="1" applyFont="1" applyFill="1" applyAlignment="1">
      <alignment horizontal="right"/>
    </xf>
    <xf numFmtId="0" fontId="4" fillId="3" borderId="7" xfId="0" applyFont="1" applyFill="1" applyBorder="1" applyAlignment="1">
      <alignment horizontal="right"/>
    </xf>
    <xf numFmtId="0" fontId="129" fillId="3" borderId="0" xfId="0" applyFont="1" applyFill="1" applyAlignment="1">
      <alignment horizontal="center" wrapText="1"/>
    </xf>
    <xf numFmtId="0" fontId="129" fillId="3" borderId="0" xfId="0" applyFont="1" applyFill="1" applyAlignment="1">
      <alignment horizontal="center"/>
    </xf>
    <xf numFmtId="0" fontId="8" fillId="0" borderId="0" xfId="0" applyFont="1" applyAlignment="1">
      <alignment vertical="top"/>
    </xf>
    <xf numFmtId="0" fontId="8" fillId="0" borderId="0" xfId="0" applyFont="1" applyAlignment="1">
      <alignment horizontal="left" vertical="top"/>
    </xf>
    <xf numFmtId="221" fontId="8" fillId="0" borderId="0" xfId="0" applyNumberFormat="1" applyFont="1" applyAlignment="1">
      <alignment horizontal="right" vertical="top"/>
    </xf>
    <xf numFmtId="165" fontId="8" fillId="0" borderId="0" xfId="0" applyNumberFormat="1" applyFont="1" applyAlignment="1">
      <alignment horizontal="center" vertical="top"/>
    </xf>
    <xf numFmtId="0" fontId="8" fillId="0" borderId="0" xfId="0" applyFont="1" applyAlignment="1">
      <alignment horizontal="left" vertical="top" shrinkToFit="1"/>
    </xf>
    <xf numFmtId="0" fontId="102" fillId="0" borderId="161" xfId="0" applyFont="1" applyBorder="1" applyAlignment="1">
      <alignment horizontal="left" vertical="top"/>
    </xf>
    <xf numFmtId="0" fontId="29" fillId="0" borderId="161" xfId="0" applyFont="1" applyBorder="1" applyAlignment="1">
      <alignment vertical="top"/>
    </xf>
    <xf numFmtId="0" fontId="102" fillId="0" borderId="161" xfId="0" applyFont="1" applyBorder="1" applyAlignment="1">
      <alignment horizontal="right" vertical="top"/>
    </xf>
    <xf numFmtId="0" fontId="8" fillId="0" borderId="0" xfId="0" applyFont="1" applyAlignment="1">
      <alignment horizontal="left" vertical="center"/>
    </xf>
    <xf numFmtId="3" fontId="8" fillId="0" borderId="0" xfId="0" applyNumberFormat="1" applyFont="1" applyAlignment="1">
      <alignment horizontal="right" vertical="center"/>
    </xf>
    <xf numFmtId="10" fontId="8" fillId="0" borderId="0" xfId="0" applyNumberFormat="1" applyFont="1" applyAlignment="1">
      <alignment horizontal="right" vertical="center" indent="1"/>
    </xf>
    <xf numFmtId="0" fontId="8" fillId="0" borderId="0" xfId="0" applyFont="1" applyAlignment="1">
      <alignment horizontal="left" vertical="center" shrinkToFit="1"/>
    </xf>
    <xf numFmtId="0" fontId="92" fillId="0" borderId="161" xfId="0" applyFont="1" applyBorder="1" applyAlignment="1">
      <alignment vertical="center"/>
    </xf>
    <xf numFmtId="0" fontId="8" fillId="0" borderId="161" xfId="0" applyFont="1" applyBorder="1" applyAlignment="1">
      <alignment horizontal="right" vertical="top"/>
    </xf>
    <xf numFmtId="0" fontId="8" fillId="0" borderId="0" xfId="0" applyFont="1" applyAlignment="1">
      <alignment vertical="center"/>
    </xf>
    <xf numFmtId="0" fontId="8" fillId="0" borderId="161" xfId="0" applyFont="1" applyBorder="1" applyAlignment="1">
      <alignment horizontal="center" vertical="center"/>
    </xf>
    <xf numFmtId="0" fontId="132" fillId="0" borderId="278" xfId="0" applyFont="1" applyBorder="1"/>
    <xf numFmtId="0" fontId="41" fillId="0" borderId="0" xfId="0" applyFont="1" applyAlignment="1">
      <alignment wrapText="1"/>
    </xf>
    <xf numFmtId="0" fontId="41" fillId="0" borderId="0" xfId="0" applyFont="1"/>
    <xf numFmtId="49" fontId="41" fillId="0" borderId="0" xfId="0" applyNumberFormat="1" applyFont="1"/>
    <xf numFmtId="0" fontId="41" fillId="9" borderId="0" xfId="0" applyFont="1" applyFill="1" applyAlignment="1">
      <alignment horizontal="right"/>
    </xf>
    <xf numFmtId="1" fontId="41" fillId="9" borderId="0" xfId="1" applyNumberFormat="1" applyFont="1" applyFill="1" applyAlignment="1">
      <alignment horizontal="right"/>
    </xf>
    <xf numFmtId="2" fontId="41" fillId="9" borderId="0" xfId="1" applyNumberFormat="1" applyFont="1" applyFill="1" applyAlignment="1">
      <alignment horizontal="right"/>
    </xf>
    <xf numFmtId="0" fontId="41" fillId="9" borderId="0" xfId="1" applyNumberFormat="1" applyFont="1" applyFill="1" applyAlignment="1">
      <alignment horizontal="right"/>
    </xf>
    <xf numFmtId="0" fontId="41" fillId="3" borderId="279" xfId="0" applyFont="1" applyFill="1" applyBorder="1" applyAlignment="1">
      <alignment horizontal="left" vertical="top" indent="1"/>
    </xf>
    <xf numFmtId="0" fontId="133" fillId="9" borderId="0" xfId="0" applyFont="1" applyFill="1" applyAlignment="1">
      <alignment horizontal="right"/>
    </xf>
    <xf numFmtId="0" fontId="134" fillId="9" borderId="0" xfId="0" applyFont="1" applyFill="1" applyAlignment="1">
      <alignment horizontal="center"/>
    </xf>
    <xf numFmtId="0" fontId="134" fillId="9" borderId="0" xfId="0" applyFont="1" applyFill="1"/>
    <xf numFmtId="0" fontId="134" fillId="9" borderId="0" xfId="0" applyFont="1" applyFill="1" applyAlignment="1">
      <alignment horizontal="right"/>
    </xf>
    <xf numFmtId="0" fontId="8" fillId="0" borderId="280" xfId="0" applyFont="1" applyBorder="1" applyAlignment="1">
      <alignment horizontal="center" vertical="center"/>
    </xf>
    <xf numFmtId="0" fontId="92" fillId="0" borderId="42" xfId="0" applyFont="1" applyBorder="1"/>
    <xf numFmtId="0" fontId="4" fillId="0" borderId="42" xfId="0" applyFont="1" applyBorder="1" applyAlignment="1">
      <alignment horizontal="right"/>
    </xf>
    <xf numFmtId="0" fontId="4" fillId="0" borderId="42" xfId="0" applyFont="1" applyBorder="1"/>
    <xf numFmtId="0" fontId="63" fillId="0" borderId="0" xfId="0" applyFont="1"/>
    <xf numFmtId="0" fontId="100" fillId="3" borderId="0" xfId="0" applyFont="1" applyFill="1" applyAlignment="1">
      <alignment horizontal="right" indent="1"/>
    </xf>
    <xf numFmtId="0" fontId="100" fillId="3" borderId="0" xfId="0" applyFont="1" applyFill="1"/>
    <xf numFmtId="0" fontId="100" fillId="3" borderId="0" xfId="0" applyFont="1" applyFill="1" applyAlignment="1">
      <alignment horizontal="left" indent="1"/>
    </xf>
    <xf numFmtId="0" fontId="100" fillId="3" borderId="0" xfId="0" applyFont="1" applyFill="1" applyAlignment="1">
      <alignment vertical="top"/>
    </xf>
    <xf numFmtId="0" fontId="101" fillId="3" borderId="281" xfId="0" applyFont="1" applyFill="1" applyBorder="1" applyAlignment="1">
      <alignment horizontal="right"/>
    </xf>
    <xf numFmtId="0" fontId="101" fillId="3" borderId="281" xfId="0" applyFont="1" applyFill="1" applyBorder="1"/>
    <xf numFmtId="0" fontId="101" fillId="3" borderId="281" xfId="0" applyFont="1" applyFill="1" applyBorder="1" applyAlignment="1">
      <alignment horizontal="left"/>
    </xf>
    <xf numFmtId="0" fontId="100" fillId="3" borderId="0" xfId="0" applyFont="1" applyFill="1" applyAlignment="1">
      <alignment horizontal="left"/>
    </xf>
    <xf numFmtId="0" fontId="4" fillId="0" borderId="10" xfId="0" applyFont="1" applyBorder="1" applyAlignment="1">
      <alignment vertical="top"/>
    </xf>
    <xf numFmtId="269" fontId="0" fillId="0" borderId="0" xfId="0" applyNumberFormat="1" applyAlignment="1">
      <alignment horizontal="left" indent="1"/>
    </xf>
    <xf numFmtId="4" fontId="4" fillId="0" borderId="0" xfId="0" applyNumberFormat="1" applyFont="1" applyAlignment="1">
      <alignment horizontal="right"/>
    </xf>
    <xf numFmtId="0" fontId="4" fillId="0" borderId="10" xfId="0" applyFont="1" applyBorder="1"/>
    <xf numFmtId="270" fontId="0" fillId="0" borderId="0" xfId="0" applyNumberFormat="1" applyAlignment="1">
      <alignment horizontal="left" indent="1"/>
    </xf>
    <xf numFmtId="3" fontId="4" fillId="0" borderId="0" xfId="0" applyNumberFormat="1" applyFont="1" applyAlignment="1">
      <alignment horizontal="right"/>
    </xf>
    <xf numFmtId="0" fontId="12" fillId="0" borderId="0" xfId="0" applyFont="1"/>
    <xf numFmtId="0" fontId="8" fillId="0" borderId="0" xfId="0" applyFont="1" applyAlignment="1">
      <alignment horizontal="right" vertical="top"/>
    </xf>
    <xf numFmtId="0" fontId="8" fillId="0" borderId="10" xfId="0" applyFont="1" applyBorder="1" applyAlignment="1">
      <alignment vertical="top"/>
    </xf>
    <xf numFmtId="0" fontId="4" fillId="0" borderId="0" xfId="0" applyFont="1" applyAlignment="1">
      <alignment horizontal="left" indent="1"/>
    </xf>
    <xf numFmtId="0" fontId="135" fillId="0" borderId="0" xfId="0" applyFont="1" applyAlignment="1">
      <alignment horizontal="left" indent="2"/>
    </xf>
    <xf numFmtId="0" fontId="0" fillId="0" borderId="0" xfId="0" applyAlignment="1">
      <alignment horizontal="left" indent="3"/>
    </xf>
    <xf numFmtId="165" fontId="4" fillId="0" borderId="0" xfId="0" applyNumberFormat="1" applyFont="1" applyAlignment="1">
      <alignment horizontal="right"/>
    </xf>
    <xf numFmtId="0" fontId="16" fillId="0" borderId="0" xfId="0" applyFont="1"/>
    <xf numFmtId="0" fontId="4" fillId="0" borderId="0" xfId="0" applyFont="1" applyAlignment="1">
      <alignment horizontal="center"/>
    </xf>
    <xf numFmtId="271" fontId="4" fillId="0" borderId="0" xfId="0" applyNumberFormat="1" applyFont="1" applyAlignment="1">
      <alignment horizontal="right"/>
    </xf>
    <xf numFmtId="0" fontId="63" fillId="0" borderId="12" xfId="0" applyFont="1" applyBorder="1"/>
    <xf numFmtId="0" fontId="4" fillId="0" borderId="12" xfId="0" applyFont="1" applyBorder="1" applyAlignment="1">
      <alignment horizontal="right"/>
    </xf>
    <xf numFmtId="0" fontId="4" fillId="0" borderId="12" xfId="0" applyFont="1" applyBorder="1"/>
    <xf numFmtId="0" fontId="4" fillId="0" borderId="13" xfId="0" applyFont="1" applyBorder="1"/>
    <xf numFmtId="0" fontId="4" fillId="0" borderId="7" xfId="0" applyFont="1" applyBorder="1"/>
    <xf numFmtId="0" fontId="4" fillId="0" borderId="8" xfId="0" applyFont="1" applyBorder="1"/>
    <xf numFmtId="0" fontId="131" fillId="0" borderId="0" xfId="0" applyFont="1" applyAlignment="1">
      <alignment vertical="top"/>
    </xf>
    <xf numFmtId="0" fontId="4" fillId="0" borderId="0" xfId="0" applyFont="1" applyAlignment="1">
      <alignment vertical="top"/>
    </xf>
    <xf numFmtId="164" fontId="4" fillId="0" borderId="0" xfId="0" applyNumberFormat="1" applyFont="1" applyAlignment="1">
      <alignment horizontal="right"/>
    </xf>
    <xf numFmtId="1" fontId="4" fillId="0" borderId="0" xfId="0" applyNumberFormat="1" applyFont="1" applyAlignment="1">
      <alignment horizontal="right"/>
    </xf>
    <xf numFmtId="0" fontId="4" fillId="0" borderId="0" xfId="0" applyFont="1" applyAlignment="1">
      <alignment horizontal="left" indent="2"/>
    </xf>
    <xf numFmtId="272" fontId="4" fillId="0" borderId="0" xfId="0" applyNumberFormat="1" applyFont="1" applyAlignment="1">
      <alignment horizontal="right"/>
    </xf>
    <xf numFmtId="268" fontId="4" fillId="0" borderId="0" xfId="0" applyNumberFormat="1" applyFont="1" applyAlignment="1">
      <alignment horizontal="right"/>
    </xf>
    <xf numFmtId="0" fontId="4" fillId="0" borderId="10" xfId="0" applyFont="1" applyBorder="1" applyAlignment="1">
      <alignment horizontal="left" indent="1"/>
    </xf>
    <xf numFmtId="0" fontId="41" fillId="9" borderId="282" xfId="0" applyFont="1" applyFill="1" applyBorder="1" applyAlignment="1">
      <alignment horizontal="left" indent="1"/>
    </xf>
    <xf numFmtId="0" fontId="103" fillId="0" borderId="0" xfId="0" applyFont="1" applyAlignment="1">
      <alignment horizontal="center"/>
    </xf>
    <xf numFmtId="0" fontId="103" fillId="0" borderId="0" xfId="0" applyFont="1" applyAlignment="1">
      <alignment horizontal="center" vertical="top"/>
    </xf>
    <xf numFmtId="0" fontId="100" fillId="9" borderId="283" xfId="0" applyFont="1" applyFill="1" applyBorder="1" applyAlignment="1">
      <alignment vertical="center"/>
    </xf>
    <xf numFmtId="0" fontId="100" fillId="9" borderId="284" xfId="0" applyFont="1" applyFill="1" applyBorder="1" applyAlignment="1">
      <alignment vertical="center"/>
    </xf>
    <xf numFmtId="274" fontId="100" fillId="9" borderId="284" xfId="0" applyNumberFormat="1" applyFont="1" applyFill="1" applyBorder="1" applyAlignment="1">
      <alignment vertical="center"/>
    </xf>
    <xf numFmtId="0" fontId="100" fillId="9" borderId="285" xfId="0" applyFont="1" applyFill="1" applyBorder="1" applyAlignment="1">
      <alignment vertical="center"/>
    </xf>
    <xf numFmtId="0" fontId="100" fillId="0" borderId="286" xfId="0" applyFont="1" applyBorder="1" applyAlignment="1">
      <alignment vertical="center"/>
    </xf>
    <xf numFmtId="0" fontId="100" fillId="9" borderId="281" xfId="0" applyFont="1" applyFill="1" applyBorder="1" applyAlignment="1">
      <alignment horizontal="right" vertical="center"/>
    </xf>
    <xf numFmtId="0" fontId="100" fillId="9" borderId="281" xfId="0" applyFont="1" applyFill="1" applyBorder="1" applyAlignment="1">
      <alignment vertical="center"/>
    </xf>
    <xf numFmtId="0" fontId="100" fillId="0" borderId="287" xfId="0" applyFont="1" applyBorder="1" applyAlignment="1">
      <alignment vertical="center"/>
    </xf>
    <xf numFmtId="0" fontId="100" fillId="9" borderId="288" xfId="0" applyFont="1" applyFill="1" applyBorder="1" applyAlignment="1">
      <alignment vertical="center"/>
    </xf>
    <xf numFmtId="0" fontId="100" fillId="9" borderId="0" xfId="0" applyFont="1" applyFill="1" applyAlignment="1">
      <alignment vertical="center"/>
    </xf>
    <xf numFmtId="0" fontId="100" fillId="9" borderId="289" xfId="0" applyFont="1" applyFill="1" applyBorder="1" applyAlignment="1">
      <alignment vertical="center"/>
    </xf>
    <xf numFmtId="0" fontId="100" fillId="9" borderId="286" xfId="0" applyFont="1" applyFill="1" applyBorder="1" applyAlignment="1">
      <alignment vertical="center"/>
    </xf>
    <xf numFmtId="0" fontId="100" fillId="9" borderId="287" xfId="0" applyFont="1" applyFill="1" applyBorder="1" applyAlignment="1">
      <alignment vertical="center"/>
    </xf>
    <xf numFmtId="0" fontId="134" fillId="0" borderId="0" xfId="0" applyFont="1" applyAlignment="1">
      <alignment vertical="top"/>
    </xf>
    <xf numFmtId="0" fontId="134" fillId="0" borderId="0" xfId="0" applyFont="1"/>
    <xf numFmtId="0" fontId="134" fillId="0" borderId="290" xfId="0" applyFont="1" applyBorder="1" applyAlignment="1">
      <alignment horizontal="center"/>
    </xf>
    <xf numFmtId="0" fontId="134" fillId="0" borderId="291" xfId="0" applyFont="1" applyBorder="1" applyAlignment="1">
      <alignment horizontal="center"/>
    </xf>
    <xf numFmtId="0" fontId="134" fillId="0" borderId="291" xfId="0" applyFont="1" applyBorder="1"/>
    <xf numFmtId="0" fontId="134" fillId="0" borderId="292" xfId="0" applyFont="1" applyBorder="1"/>
    <xf numFmtId="0" fontId="100" fillId="9" borderId="293" xfId="0" applyFont="1" applyFill="1" applyBorder="1"/>
    <xf numFmtId="0" fontId="134" fillId="0" borderId="0" xfId="0" applyFont="1" applyAlignment="1">
      <alignment horizontal="right" indent="1"/>
    </xf>
    <xf numFmtId="0" fontId="134" fillId="0" borderId="294" xfId="0" applyFont="1" applyBorder="1"/>
    <xf numFmtId="0" fontId="137" fillId="0" borderId="293" xfId="0" applyFont="1" applyBorder="1" applyAlignment="1">
      <alignment horizontal="center"/>
    </xf>
    <xf numFmtId="0" fontId="137" fillId="0" borderId="0" xfId="0" applyFont="1" applyAlignment="1">
      <alignment horizontal="center"/>
    </xf>
    <xf numFmtId="0" fontId="137" fillId="0" borderId="0" xfId="0" applyFont="1"/>
    <xf numFmtId="0" fontId="134" fillId="0" borderId="295" xfId="0" applyFont="1" applyBorder="1" applyAlignment="1">
      <alignment horizontal="center" vertical="center"/>
    </xf>
    <xf numFmtId="0" fontId="134" fillId="0" borderId="293" xfId="0" applyFont="1" applyBorder="1"/>
    <xf numFmtId="0" fontId="134" fillId="0" borderId="0" xfId="0" applyFont="1" applyAlignment="1">
      <alignment horizontal="center"/>
    </xf>
    <xf numFmtId="0" fontId="134" fillId="0" borderId="296" xfId="0" applyFont="1" applyBorder="1" applyAlignment="1">
      <alignment horizontal="right" indent="1"/>
    </xf>
    <xf numFmtId="0" fontId="134" fillId="0" borderId="297" xfId="0" applyFont="1" applyBorder="1"/>
    <xf numFmtId="0" fontId="134" fillId="0" borderId="296" xfId="0" applyFont="1" applyBorder="1"/>
    <xf numFmtId="0" fontId="134" fillId="0" borderId="296" xfId="0" applyFont="1" applyBorder="1" applyAlignment="1">
      <alignment horizontal="left" indent="1"/>
    </xf>
    <xf numFmtId="0" fontId="134" fillId="0" borderId="298" xfId="0" applyFont="1" applyBorder="1" applyAlignment="1">
      <alignment horizontal="left" indent="1"/>
    </xf>
    <xf numFmtId="0" fontId="100" fillId="9" borderId="294" xfId="0" applyFont="1" applyFill="1" applyBorder="1" applyAlignment="1">
      <alignment horizontal="left" indent="1"/>
    </xf>
    <xf numFmtId="0" fontId="100" fillId="9" borderId="297" xfId="0" applyFont="1" applyFill="1" applyBorder="1"/>
    <xf numFmtId="0" fontId="100" fillId="9" borderId="296" xfId="0" applyFont="1" applyFill="1" applyBorder="1"/>
    <xf numFmtId="0" fontId="100" fillId="9" borderId="296" xfId="0" applyFont="1" applyFill="1" applyBorder="1" applyAlignment="1">
      <alignment horizontal="right" indent="1"/>
    </xf>
    <xf numFmtId="0" fontId="100" fillId="9" borderId="298" xfId="0" applyFont="1" applyFill="1" applyBorder="1" applyAlignment="1">
      <alignment horizontal="left" indent="1"/>
    </xf>
    <xf numFmtId="0" fontId="138" fillId="3" borderId="0" xfId="0" applyFont="1" applyFill="1" applyAlignment="1">
      <alignment horizontal="center" vertical="top"/>
    </xf>
    <xf numFmtId="0" fontId="45" fillId="0" borderId="0" xfId="0" applyFont="1"/>
    <xf numFmtId="0" fontId="45" fillId="0" borderId="182" xfId="0" applyFont="1" applyBorder="1"/>
    <xf numFmtId="0" fontId="51" fillId="0" borderId="182" xfId="0" applyFont="1" applyBorder="1"/>
    <xf numFmtId="0" fontId="45" fillId="10" borderId="0" xfId="0" applyFont="1" applyFill="1"/>
    <xf numFmtId="0" fontId="45" fillId="0" borderId="0" xfId="0" applyFont="1" applyAlignment="1">
      <alignment horizontal="left" indent="1"/>
    </xf>
    <xf numFmtId="0" fontId="45" fillId="0" borderId="182" xfId="0" applyFont="1" applyBorder="1" applyAlignment="1">
      <alignment horizontal="left" indent="1"/>
    </xf>
    <xf numFmtId="0" fontId="51" fillId="0" borderId="182" xfId="0" applyFont="1" applyBorder="1" applyAlignment="1">
      <alignment horizontal="left" indent="1"/>
    </xf>
    <xf numFmtId="0" fontId="45" fillId="10" borderId="0" xfId="0" applyFont="1" applyFill="1" applyAlignment="1">
      <alignment horizontal="left" indent="1"/>
    </xf>
    <xf numFmtId="0" fontId="110" fillId="0" borderId="300" xfId="0" applyFont="1" applyBorder="1" applyAlignment="1">
      <alignment horizontal="center" vertical="center"/>
    </xf>
    <xf numFmtId="0" fontId="136" fillId="10" borderId="299" xfId="0" applyFont="1" applyFill="1" applyBorder="1" applyAlignment="1">
      <alignment horizontal="center"/>
    </xf>
    <xf numFmtId="0" fontId="52" fillId="0" borderId="302" xfId="0" applyFont="1" applyBorder="1" applyAlignment="1">
      <alignment horizontal="center" vertical="center"/>
    </xf>
    <xf numFmtId="0" fontId="18" fillId="9" borderId="301" xfId="0" applyFont="1" applyFill="1" applyBorder="1" applyAlignment="1">
      <alignment horizontal="center" vertical="center"/>
    </xf>
    <xf numFmtId="164" fontId="8" fillId="0" borderId="0" xfId="0" applyNumberFormat="1" applyFont="1" applyAlignment="1">
      <alignment horizontal="right" vertical="center"/>
    </xf>
    <xf numFmtId="215" fontId="11" fillId="3" borderId="0" xfId="0" applyNumberFormat="1" applyFont="1" applyFill="1" applyAlignment="1">
      <alignment horizontal="right"/>
    </xf>
    <xf numFmtId="233" fontId="11" fillId="3" borderId="0" xfId="0" applyNumberFormat="1" applyFont="1" applyFill="1" applyAlignment="1">
      <alignment horizontal="right"/>
    </xf>
    <xf numFmtId="0" fontId="16" fillId="2" borderId="276" xfId="0" applyFont="1" applyFill="1" applyBorder="1"/>
    <xf numFmtId="0" fontId="4" fillId="2" borderId="275" xfId="0" applyFont="1" applyFill="1" applyBorder="1" applyAlignment="1">
      <alignment horizontal="left"/>
    </xf>
    <xf numFmtId="0" fontId="4" fillId="2" borderId="273" xfId="0" applyFont="1" applyFill="1" applyBorder="1" applyAlignment="1">
      <alignment horizontal="center"/>
    </xf>
    <xf numFmtId="0" fontId="4" fillId="2" borderId="274" xfId="0" applyFont="1" applyFill="1" applyBorder="1"/>
    <xf numFmtId="0" fontId="4" fillId="2" borderId="277" xfId="0" applyFont="1" applyFill="1" applyBorder="1"/>
    <xf numFmtId="0" fontId="0" fillId="2" borderId="276" xfId="0" applyFill="1" applyBorder="1"/>
    <xf numFmtId="0" fontId="0" fillId="2" borderId="276" xfId="0" applyFill="1" applyBorder="1" applyAlignment="1">
      <alignment horizontal="left" indent="1"/>
    </xf>
    <xf numFmtId="0" fontId="0" fillId="2" borderId="276" xfId="0" applyFill="1" applyBorder="1" applyAlignment="1">
      <alignment horizontal="left" indent="2"/>
    </xf>
    <xf numFmtId="0" fontId="4" fillId="2" borderId="275" xfId="0" applyFont="1" applyFill="1" applyBorder="1" applyAlignment="1">
      <alignment horizontal="center"/>
    </xf>
    <xf numFmtId="3" fontId="4" fillId="2" borderId="275" xfId="0" applyNumberFormat="1" applyFont="1" applyFill="1" applyBorder="1" applyAlignment="1">
      <alignment horizontal="center"/>
    </xf>
    <xf numFmtId="165" fontId="4" fillId="2" borderId="275" xfId="1" applyNumberFormat="1" applyFont="1" applyFill="1" applyBorder="1" applyAlignment="1">
      <alignment horizontal="center"/>
    </xf>
    <xf numFmtId="0" fontId="4" fillId="2" borderId="275" xfId="0" applyFont="1" applyFill="1" applyBorder="1"/>
    <xf numFmtId="164" fontId="4" fillId="2" borderId="275" xfId="0" applyNumberFormat="1" applyFont="1" applyFill="1" applyBorder="1" applyAlignment="1">
      <alignment horizontal="center"/>
    </xf>
    <xf numFmtId="0" fontId="140" fillId="2" borderId="0" xfId="0" applyFont="1" applyFill="1" applyAlignment="1">
      <alignment vertical="center"/>
    </xf>
    <xf numFmtId="0" fontId="141" fillId="3" borderId="0" xfId="0" applyFont="1" applyFill="1" applyAlignment="1">
      <alignment horizontal="left"/>
    </xf>
    <xf numFmtId="0" fontId="105" fillId="3" borderId="0" xfId="0" applyFont="1" applyFill="1" applyAlignment="1">
      <alignment vertical="center"/>
    </xf>
    <xf numFmtId="0" fontId="105" fillId="3" borderId="0" xfId="0" applyFont="1" applyFill="1" applyAlignment="1">
      <alignment horizontal="left"/>
    </xf>
    <xf numFmtId="273" fontId="105" fillId="3" borderId="0" xfId="0" applyNumberFormat="1" applyFont="1" applyFill="1" applyAlignment="1">
      <alignment horizontal="center" vertical="top"/>
    </xf>
    <xf numFmtId="0" fontId="105" fillId="3" borderId="0" xfId="0" quotePrefix="1" applyFont="1" applyFill="1" applyAlignment="1">
      <alignment horizontal="left"/>
    </xf>
    <xf numFmtId="10" fontId="105" fillId="3" borderId="0" xfId="0" quotePrefix="1" applyNumberFormat="1" applyFont="1" applyFill="1"/>
    <xf numFmtId="0" fontId="0" fillId="16" borderId="0" xfId="0" applyFill="1"/>
    <xf numFmtId="49" fontId="41" fillId="3" borderId="0" xfId="0" applyNumberFormat="1" applyFont="1" applyFill="1" applyAlignment="1">
      <alignment horizontal="center" vertical="center"/>
    </xf>
    <xf numFmtId="0" fontId="8" fillId="17" borderId="0" xfId="0" applyFont="1" applyFill="1" applyAlignment="1">
      <alignment horizontal="left" vertical="center"/>
    </xf>
    <xf numFmtId="3" fontId="8" fillId="17" borderId="0" xfId="0" applyNumberFormat="1" applyFont="1" applyFill="1" applyAlignment="1">
      <alignment horizontal="right" vertical="center"/>
    </xf>
    <xf numFmtId="10" fontId="8" fillId="17" borderId="0" xfId="0" applyNumberFormat="1" applyFont="1" applyFill="1" applyAlignment="1">
      <alignment horizontal="right" vertical="center"/>
    </xf>
    <xf numFmtId="0" fontId="8" fillId="17" borderId="0" xfId="0" applyFont="1" applyFill="1" applyAlignment="1">
      <alignment horizontal="left" vertical="center" shrinkToFit="1"/>
    </xf>
    <xf numFmtId="164" fontId="8" fillId="17" borderId="0" xfId="0" applyNumberFormat="1" applyFont="1" applyFill="1" applyAlignment="1">
      <alignment horizontal="right" vertical="center"/>
    </xf>
    <xf numFmtId="0" fontId="4" fillId="17" borderId="0" xfId="0" applyFont="1" applyFill="1" applyAlignment="1">
      <alignment horizontal="left" vertical="top" indent="1"/>
    </xf>
    <xf numFmtId="4" fontId="4" fillId="17" borderId="0" xfId="0" applyNumberFormat="1" applyFont="1" applyFill="1" applyAlignment="1">
      <alignment horizontal="right"/>
    </xf>
    <xf numFmtId="3" fontId="4" fillId="17" borderId="0" xfId="0" applyNumberFormat="1" applyFont="1" applyFill="1" applyAlignment="1">
      <alignment horizontal="right"/>
    </xf>
    <xf numFmtId="0" fontId="12" fillId="17" borderId="0" xfId="0" applyFont="1" applyFill="1"/>
    <xf numFmtId="0" fontId="8" fillId="17" borderId="0" xfId="0" applyFont="1" applyFill="1" applyAlignment="1">
      <alignment horizontal="right" vertical="top"/>
    </xf>
    <xf numFmtId="0" fontId="126" fillId="17" borderId="0" xfId="0" applyFont="1" applyFill="1" applyAlignment="1">
      <alignment horizontal="left" indent="2"/>
    </xf>
    <xf numFmtId="0" fontId="4" fillId="17" borderId="0" xfId="0" applyFont="1" applyFill="1" applyAlignment="1">
      <alignment horizontal="left" vertical="top" indent="3"/>
    </xf>
    <xf numFmtId="10" fontId="4" fillId="17" borderId="0" xfId="1" applyNumberFormat="1" applyFont="1" applyFill="1" applyAlignment="1">
      <alignment horizontal="right"/>
    </xf>
    <xf numFmtId="0" fontId="16" fillId="17" borderId="0" xfId="0" applyFont="1" applyFill="1"/>
    <xf numFmtId="0" fontId="4" fillId="17" borderId="0" xfId="0" applyFont="1" applyFill="1" applyAlignment="1">
      <alignment horizontal="right"/>
    </xf>
    <xf numFmtId="164" fontId="4" fillId="17" borderId="0" xfId="0" applyNumberFormat="1" applyFont="1" applyFill="1" applyAlignment="1">
      <alignment horizontal="right" vertical="top"/>
    </xf>
    <xf numFmtId="1" fontId="4" fillId="17" borderId="0" xfId="0" applyNumberFormat="1" applyFont="1" applyFill="1" applyAlignment="1">
      <alignment horizontal="right" vertical="top"/>
    </xf>
    <xf numFmtId="3" fontId="4" fillId="17" borderId="0" xfId="0" applyNumberFormat="1" applyFont="1" applyFill="1" applyAlignment="1">
      <alignment horizontal="right" vertical="top"/>
    </xf>
    <xf numFmtId="0" fontId="4" fillId="17" borderId="0" xfId="0" applyFont="1" applyFill="1" applyAlignment="1">
      <alignment horizontal="left" vertical="top" indent="2"/>
    </xf>
    <xf numFmtId="165" fontId="4" fillId="17" borderId="0" xfId="1" applyNumberFormat="1" applyFont="1" applyFill="1" applyAlignment="1">
      <alignment horizontal="right" vertical="top"/>
    </xf>
    <xf numFmtId="268" fontId="4" fillId="17" borderId="0" xfId="0" applyNumberFormat="1" applyFont="1" applyFill="1" applyAlignment="1">
      <alignment horizontal="right" vertical="top"/>
    </xf>
    <xf numFmtId="0" fontId="0" fillId="17" borderId="0" xfId="0" applyFill="1" applyAlignment="1">
      <alignment horizontal="left" vertical="top" indent="1"/>
    </xf>
    <xf numFmtId="165" fontId="4" fillId="17" borderId="0" xfId="0" applyNumberFormat="1" applyFont="1" applyFill="1" applyAlignment="1">
      <alignment horizontal="right"/>
    </xf>
    <xf numFmtId="3" fontId="4" fillId="17" borderId="0" xfId="1" applyNumberFormat="1" applyFont="1" applyFill="1" applyAlignment="1">
      <alignment horizontal="right" vertical="top"/>
    </xf>
    <xf numFmtId="0" fontId="0" fillId="17" borderId="0" xfId="0" applyFill="1" applyAlignment="1">
      <alignment horizontal="left" vertical="top" indent="2"/>
    </xf>
    <xf numFmtId="0" fontId="4" fillId="17" borderId="166" xfId="0" applyFont="1" applyFill="1" applyBorder="1" applyAlignment="1">
      <alignment horizontal="left" vertical="top" indent="1"/>
    </xf>
    <xf numFmtId="219" fontId="4" fillId="17" borderId="166" xfId="0" applyNumberFormat="1" applyFont="1" applyFill="1" applyBorder="1" applyAlignment="1">
      <alignment horizontal="right" vertical="top"/>
    </xf>
    <xf numFmtId="164" fontId="4" fillId="17" borderId="166" xfId="0" applyNumberFormat="1" applyFont="1" applyFill="1" applyBorder="1" applyAlignment="1">
      <alignment horizontal="right" vertical="top"/>
    </xf>
    <xf numFmtId="164" fontId="4" fillId="17" borderId="0" xfId="1" applyNumberFormat="1" applyFont="1" applyFill="1" applyAlignment="1">
      <alignment horizontal="right" vertical="top"/>
    </xf>
    <xf numFmtId="164" fontId="4" fillId="17" borderId="0" xfId="0" applyNumberFormat="1" applyFont="1" applyFill="1" applyAlignment="1">
      <alignment horizontal="right"/>
    </xf>
    <xf numFmtId="0" fontId="4" fillId="17" borderId="166" xfId="0" applyFont="1" applyFill="1" applyBorder="1" applyAlignment="1">
      <alignment horizontal="left" vertical="top"/>
    </xf>
    <xf numFmtId="0" fontId="142" fillId="3" borderId="0" xfId="0" applyFont="1" applyFill="1" applyAlignment="1">
      <alignment horizontal="left" vertical="center" indent="1"/>
    </xf>
    <xf numFmtId="0" fontId="12" fillId="6" borderId="0" xfId="0" applyFont="1" applyFill="1"/>
    <xf numFmtId="0" fontId="78" fillId="3" borderId="0" xfId="0" applyFont="1" applyFill="1" applyAlignment="1">
      <alignment horizontal="center" vertical="center"/>
    </xf>
    <xf numFmtId="0" fontId="78" fillId="3" borderId="0" xfId="0" applyFont="1" applyFill="1" applyAlignment="1">
      <alignment horizontal="center" vertical="top"/>
    </xf>
    <xf numFmtId="0" fontId="4" fillId="6" borderId="0" xfId="0" applyFont="1" applyFill="1" applyAlignment="1">
      <alignment horizontal="left" vertical="top" indent="1"/>
    </xf>
    <xf numFmtId="0" fontId="4" fillId="6" borderId="0" xfId="0" applyFont="1" applyFill="1" applyAlignment="1">
      <alignment vertical="top" wrapText="1"/>
    </xf>
    <xf numFmtId="0" fontId="4" fillId="6" borderId="0" xfId="0" applyFont="1" applyFill="1" applyAlignment="1">
      <alignment horizontal="left" vertical="top" wrapText="1"/>
    </xf>
    <xf numFmtId="0" fontId="0" fillId="6" borderId="0" xfId="0" applyFill="1" applyAlignment="1">
      <alignment horizontal="left" vertical="top"/>
    </xf>
    <xf numFmtId="0" fontId="4" fillId="6" borderId="19" xfId="0" applyFont="1" applyFill="1" applyBorder="1" applyAlignment="1">
      <alignment horizontal="left" vertical="top" indent="1"/>
    </xf>
    <xf numFmtId="0" fontId="4" fillId="6" borderId="0" xfId="0" applyFont="1" applyFill="1" applyAlignment="1">
      <alignment horizontal="left" indent="1"/>
    </xf>
    <xf numFmtId="205" fontId="4" fillId="6" borderId="0" xfId="0" applyNumberFormat="1" applyFont="1" applyFill="1" applyAlignment="1">
      <alignment horizontal="right" vertical="top"/>
    </xf>
    <xf numFmtId="205" fontId="8" fillId="6" borderId="0" xfId="0" applyNumberFormat="1" applyFont="1" applyFill="1" applyAlignment="1">
      <alignment horizontal="right" vertical="top" wrapText="1"/>
    </xf>
    <xf numFmtId="205" fontId="8" fillId="6" borderId="0" xfId="0" applyNumberFormat="1" applyFont="1" applyFill="1" applyAlignment="1">
      <alignment horizontal="right" vertical="top"/>
    </xf>
    <xf numFmtId="0" fontId="4" fillId="6" borderId="0" xfId="0" applyFont="1" applyFill="1" applyAlignment="1">
      <alignment horizontal="left" vertical="top"/>
    </xf>
    <xf numFmtId="205" fontId="4" fillId="6" borderId="19" xfId="0" applyNumberFormat="1" applyFont="1" applyFill="1" applyBorder="1" applyAlignment="1">
      <alignment horizontal="right" vertical="top"/>
    </xf>
    <xf numFmtId="205" fontId="4" fillId="6" borderId="149" xfId="0" applyNumberFormat="1" applyFont="1" applyFill="1" applyBorder="1" applyAlignment="1">
      <alignment horizontal="right" vertical="top"/>
    </xf>
    <xf numFmtId="205" fontId="8" fillId="6" borderId="149" xfId="0" applyNumberFormat="1" applyFont="1" applyFill="1" applyBorder="1" applyAlignment="1">
      <alignment horizontal="right" vertical="top"/>
    </xf>
    <xf numFmtId="0" fontId="4" fillId="6" borderId="0" xfId="0" applyFont="1" applyFill="1" applyAlignment="1">
      <alignment horizontal="right" vertical="top"/>
    </xf>
    <xf numFmtId="166" fontId="4" fillId="6" borderId="0" xfId="0" applyNumberFormat="1" applyFont="1" applyFill="1" applyAlignment="1">
      <alignment horizontal="right" vertical="top"/>
    </xf>
    <xf numFmtId="166" fontId="8" fillId="6" borderId="0" xfId="0" applyNumberFormat="1" applyFont="1" applyFill="1" applyAlignment="1">
      <alignment horizontal="right" vertical="top" wrapText="1"/>
    </xf>
    <xf numFmtId="166" fontId="8" fillId="6" borderId="0" xfId="0" applyNumberFormat="1" applyFont="1" applyFill="1" applyAlignment="1">
      <alignment horizontal="right" vertical="top"/>
    </xf>
    <xf numFmtId="0" fontId="0" fillId="6" borderId="0" xfId="0" applyFill="1" applyAlignment="1">
      <alignment vertical="top"/>
    </xf>
    <xf numFmtId="184" fontId="4" fillId="6" borderId="0" xfId="0" applyNumberFormat="1" applyFont="1" applyFill="1" applyAlignment="1">
      <alignment horizontal="right" vertical="top"/>
    </xf>
    <xf numFmtId="0" fontId="16" fillId="6" borderId="0" xfId="0" applyFont="1" applyFill="1" applyAlignment="1">
      <alignment vertical="top"/>
    </xf>
    <xf numFmtId="0" fontId="0" fillId="6" borderId="0" xfId="0" applyFill="1" applyAlignment="1">
      <alignment horizontal="left" vertical="top" indent="1"/>
    </xf>
    <xf numFmtId="0" fontId="16" fillId="6" borderId="0" xfId="0" applyFont="1" applyFill="1" applyAlignment="1">
      <alignment vertical="top" wrapText="1"/>
    </xf>
    <xf numFmtId="220" fontId="16" fillId="6" borderId="25" xfId="0" applyNumberFormat="1" applyFont="1" applyFill="1" applyBorder="1" applyAlignment="1">
      <alignment horizontal="right" vertical="top"/>
    </xf>
    <xf numFmtId="166" fontId="4" fillId="6" borderId="0" xfId="0" applyNumberFormat="1" applyFont="1" applyFill="1" applyAlignment="1">
      <alignment horizontal="right" vertical="center"/>
    </xf>
    <xf numFmtId="0" fontId="4" fillId="6" borderId="25" xfId="0" applyFont="1" applyFill="1" applyBorder="1" applyAlignment="1">
      <alignment vertical="center"/>
    </xf>
    <xf numFmtId="166" fontId="4" fillId="6" borderId="25" xfId="0" applyNumberFormat="1" applyFont="1" applyFill="1" applyBorder="1" applyAlignment="1">
      <alignment horizontal="right" vertical="center"/>
    </xf>
    <xf numFmtId="164" fontId="4" fillId="6" borderId="0" xfId="0" applyNumberFormat="1" applyFont="1" applyFill="1" applyAlignment="1">
      <alignment horizontal="right" vertical="top"/>
    </xf>
    <xf numFmtId="164" fontId="8" fillId="6" borderId="0" xfId="0" applyNumberFormat="1" applyFont="1" applyFill="1" applyAlignment="1">
      <alignment horizontal="right" vertical="top"/>
    </xf>
    <xf numFmtId="0" fontId="11" fillId="3" borderId="0" xfId="0" applyFont="1" applyFill="1" applyAlignment="1" applyProtection="1">
      <alignment horizontal="right"/>
      <protection hidden="1"/>
    </xf>
    <xf numFmtId="0" fontId="9" fillId="6" borderId="0" xfId="0" applyFont="1" applyFill="1"/>
    <xf numFmtId="0" fontId="11" fillId="6" borderId="0" xfId="0" applyFont="1" applyFill="1" applyAlignment="1">
      <alignment horizontal="right"/>
    </xf>
    <xf numFmtId="164" fontId="8" fillId="6" borderId="0" xfId="0" applyNumberFormat="1" applyFont="1" applyFill="1"/>
    <xf numFmtId="164" fontId="8" fillId="6" borderId="31" xfId="0" applyNumberFormat="1" applyFont="1" applyFill="1" applyBorder="1"/>
    <xf numFmtId="164" fontId="8" fillId="6" borderId="15" xfId="0" applyNumberFormat="1" applyFont="1" applyFill="1" applyBorder="1"/>
    <xf numFmtId="0" fontId="17" fillId="6" borderId="0" xfId="0" applyFont="1" applyFill="1" applyAlignment="1">
      <alignment horizontal="left" vertical="top"/>
    </xf>
    <xf numFmtId="165" fontId="4" fillId="6" borderId="0" xfId="1" applyNumberFormat="1" applyFont="1" applyFill="1" applyBorder="1" applyAlignment="1">
      <alignment horizontal="right"/>
    </xf>
    <xf numFmtId="0" fontId="13" fillId="6" borderId="0" xfId="0" applyFont="1" applyFill="1"/>
    <xf numFmtId="10" fontId="4" fillId="6" borderId="0" xfId="1" applyNumberFormat="1" applyFont="1" applyFill="1" applyBorder="1"/>
    <xf numFmtId="10" fontId="4" fillId="6" borderId="0" xfId="0" applyNumberFormat="1" applyFont="1" applyFill="1"/>
    <xf numFmtId="10" fontId="8" fillId="6" borderId="0" xfId="0" applyNumberFormat="1" applyFont="1" applyFill="1"/>
    <xf numFmtId="164" fontId="4" fillId="6" borderId="0" xfId="0" applyNumberFormat="1" applyFont="1" applyFill="1"/>
    <xf numFmtId="164" fontId="4" fillId="6" borderId="31" xfId="0" applyNumberFormat="1" applyFont="1" applyFill="1" applyBorder="1"/>
    <xf numFmtId="210" fontId="4" fillId="6" borderId="0" xfId="1" applyNumberFormat="1" applyFont="1" applyFill="1" applyBorder="1"/>
    <xf numFmtId="210" fontId="4" fillId="6" borderId="0" xfId="0" applyNumberFormat="1" applyFont="1" applyFill="1"/>
    <xf numFmtId="210" fontId="8" fillId="6" borderId="0" xfId="0" applyNumberFormat="1" applyFont="1" applyFill="1"/>
    <xf numFmtId="165" fontId="4" fillId="6" borderId="0" xfId="1" applyNumberFormat="1" applyFont="1" applyFill="1" applyBorder="1"/>
    <xf numFmtId="165" fontId="8" fillId="6" borderId="0" xfId="1" applyNumberFormat="1" applyFont="1" applyFill="1" applyBorder="1"/>
    <xf numFmtId="0" fontId="12" fillId="6" borderId="0" xfId="0" applyFont="1" applyFill="1" applyAlignment="1">
      <alignment horizontal="left" vertical="top"/>
    </xf>
    <xf numFmtId="169" fontId="4" fillId="6" borderId="0" xfId="0" applyNumberFormat="1" applyFont="1" applyFill="1" applyAlignment="1">
      <alignment horizontal="right"/>
    </xf>
    <xf numFmtId="169" fontId="8" fillId="6" borderId="0" xfId="0" applyNumberFormat="1" applyFont="1" applyFill="1" applyAlignment="1">
      <alignment horizontal="right"/>
    </xf>
    <xf numFmtId="0" fontId="8" fillId="6" borderId="0" xfId="0" applyFont="1" applyFill="1" applyAlignment="1">
      <alignment horizontal="right" wrapText="1"/>
    </xf>
    <xf numFmtId="0" fontId="16" fillId="6" borderId="0" xfId="0" applyFont="1" applyFill="1" applyAlignment="1">
      <alignment horizontal="left" vertical="top"/>
    </xf>
    <xf numFmtId="0" fontId="4" fillId="6" borderId="15" xfId="0" applyFont="1" applyFill="1" applyBorder="1" applyAlignment="1">
      <alignment horizontal="right"/>
    </xf>
    <xf numFmtId="0" fontId="8" fillId="6" borderId="15" xfId="0" applyFont="1" applyFill="1" applyBorder="1" applyAlignment="1">
      <alignment horizontal="right"/>
    </xf>
    <xf numFmtId="0" fontId="13" fillId="6" borderId="25" xfId="0" applyFont="1" applyFill="1" applyBorder="1" applyAlignment="1">
      <alignment horizontal="left"/>
    </xf>
    <xf numFmtId="0" fontId="8" fillId="6" borderId="25" xfId="0" applyFont="1" applyFill="1" applyBorder="1" applyAlignment="1">
      <alignment horizontal="left" vertical="top"/>
    </xf>
    <xf numFmtId="167" fontId="4" fillId="6" borderId="25" xfId="0" applyNumberFormat="1" applyFont="1" applyFill="1" applyBorder="1"/>
    <xf numFmtId="171" fontId="4" fillId="6" borderId="0" xfId="0" applyNumberFormat="1" applyFont="1" applyFill="1" applyAlignment="1">
      <alignment horizontal="center" vertical="top"/>
    </xf>
    <xf numFmtId="167" fontId="4" fillId="6" borderId="0" xfId="0" applyNumberFormat="1" applyFont="1" applyFill="1" applyAlignment="1">
      <alignment horizontal="right" vertical="top"/>
    </xf>
    <xf numFmtId="1" fontId="4" fillId="2" borderId="31" xfId="0" applyNumberFormat="1" applyFont="1" applyFill="1" applyBorder="1" applyAlignment="1">
      <alignment horizontal="left" vertical="top" wrapText="1"/>
    </xf>
    <xf numFmtId="0" fontId="4" fillId="2" borderId="31" xfId="0" applyFont="1" applyFill="1" applyBorder="1" applyAlignment="1">
      <alignment horizontal="left" vertical="top"/>
    </xf>
    <xf numFmtId="168" fontId="4" fillId="2" borderId="31" xfId="0" applyNumberFormat="1" applyFont="1" applyFill="1" applyBorder="1" applyAlignment="1">
      <alignment horizontal="center" vertical="top"/>
    </xf>
    <xf numFmtId="3" fontId="4" fillId="2" borderId="31" xfId="0" applyNumberFormat="1" applyFont="1" applyFill="1" applyBorder="1" applyAlignment="1">
      <alignment horizontal="center" vertical="top"/>
    </xf>
    <xf numFmtId="1" fontId="4" fillId="2" borderId="31" xfId="0" applyNumberFormat="1" applyFont="1" applyFill="1" applyBorder="1" applyAlignment="1">
      <alignment horizontal="center" vertical="top"/>
    </xf>
    <xf numFmtId="165" fontId="4" fillId="2" borderId="31" xfId="0" applyNumberFormat="1" applyFont="1" applyFill="1" applyBorder="1" applyAlignment="1">
      <alignment horizontal="center" vertical="top"/>
    </xf>
    <xf numFmtId="170" fontId="4" fillId="2" borderId="31" xfId="0" applyNumberFormat="1" applyFont="1" applyFill="1" applyBorder="1" applyAlignment="1">
      <alignment horizontal="center" vertical="top"/>
    </xf>
    <xf numFmtId="164" fontId="4" fillId="2" borderId="31" xfId="0" applyNumberFormat="1" applyFont="1" applyFill="1" applyBorder="1" applyAlignment="1">
      <alignment horizontal="right" vertical="top"/>
    </xf>
    <xf numFmtId="0" fontId="16" fillId="2" borderId="149" xfId="0" applyFont="1" applyFill="1" applyBorder="1" applyAlignment="1">
      <alignment horizontal="left" vertical="top"/>
    </xf>
    <xf numFmtId="0" fontId="16" fillId="2" borderId="149" xfId="0" applyFont="1" applyFill="1" applyBorder="1" applyAlignment="1">
      <alignment horizontal="center" vertical="top"/>
    </xf>
    <xf numFmtId="3" fontId="4" fillId="2" borderId="149" xfId="0" applyNumberFormat="1" applyFont="1" applyFill="1" applyBorder="1" applyAlignment="1">
      <alignment horizontal="center" vertical="top"/>
    </xf>
    <xf numFmtId="1" fontId="4" fillId="2" borderId="149" xfId="0" applyNumberFormat="1" applyFont="1" applyFill="1" applyBorder="1" applyAlignment="1">
      <alignment horizontal="center" vertical="top"/>
    </xf>
    <xf numFmtId="165" fontId="4" fillId="2" borderId="149" xfId="0" applyNumberFormat="1" applyFont="1" applyFill="1" applyBorder="1" applyAlignment="1">
      <alignment horizontal="center" vertical="top"/>
    </xf>
    <xf numFmtId="170" fontId="4" fillId="2" borderId="149" xfId="0" applyNumberFormat="1" applyFont="1" applyFill="1" applyBorder="1" applyAlignment="1">
      <alignment horizontal="center" vertical="top"/>
    </xf>
    <xf numFmtId="164" fontId="4" fillId="2" borderId="149" xfId="0" applyNumberFormat="1" applyFont="1" applyFill="1" applyBorder="1" applyAlignment="1">
      <alignment horizontal="right" vertical="top"/>
    </xf>
    <xf numFmtId="174" fontId="8" fillId="6" borderId="0" xfId="0" applyNumberFormat="1" applyFont="1" applyFill="1" applyAlignment="1">
      <alignment horizontal="center" vertical="top"/>
    </xf>
    <xf numFmtId="0" fontId="8" fillId="6" borderId="0" xfId="0" applyFont="1" applyFill="1" applyAlignment="1">
      <alignment horizontal="right" indent="1"/>
    </xf>
    <xf numFmtId="0" fontId="8" fillId="6" borderId="0" xfId="0" applyFont="1" applyFill="1" applyAlignment="1">
      <alignment horizontal="right"/>
    </xf>
    <xf numFmtId="1" fontId="8" fillId="6" borderId="0" xfId="0" applyNumberFormat="1" applyFont="1" applyFill="1" applyAlignment="1">
      <alignment horizontal="right" vertical="top" indent="1"/>
    </xf>
    <xf numFmtId="1" fontId="8" fillId="6" borderId="0" xfId="0" applyNumberFormat="1" applyFont="1" applyFill="1" applyAlignment="1">
      <alignment horizontal="right" vertical="top"/>
    </xf>
    <xf numFmtId="174" fontId="8" fillId="6" borderId="0" xfId="0" applyNumberFormat="1" applyFont="1" applyFill="1" applyAlignment="1">
      <alignment horizontal="right" vertical="top" indent="1"/>
    </xf>
    <xf numFmtId="174" fontId="8" fillId="6" borderId="0" xfId="0" applyNumberFormat="1" applyFont="1" applyFill="1" applyAlignment="1">
      <alignment horizontal="right" vertical="top"/>
    </xf>
    <xf numFmtId="14" fontId="8" fillId="6" borderId="0" xfId="0" applyNumberFormat="1" applyFont="1" applyFill="1" applyAlignment="1">
      <alignment horizontal="center"/>
    </xf>
    <xf numFmtId="164" fontId="8" fillId="6" borderId="0" xfId="0" applyNumberFormat="1" applyFont="1" applyFill="1" applyAlignment="1">
      <alignment horizontal="right" vertical="top" indent="1"/>
    </xf>
    <xf numFmtId="168" fontId="8" fillId="6" borderId="0" xfId="0" applyNumberFormat="1" applyFont="1" applyFill="1" applyAlignment="1">
      <alignment horizontal="right" vertical="top" indent="1"/>
    </xf>
    <xf numFmtId="168" fontId="8" fillId="6" borderId="0" xfId="0" applyNumberFormat="1" applyFont="1" applyFill="1" applyAlignment="1">
      <alignment horizontal="right" vertical="top"/>
    </xf>
    <xf numFmtId="3" fontId="8" fillId="6" borderId="0" xfId="0" applyNumberFormat="1" applyFont="1" applyFill="1" applyAlignment="1">
      <alignment horizontal="right" vertical="top" indent="1"/>
    </xf>
    <xf numFmtId="3" fontId="8" fillId="6" borderId="0" xfId="0" applyNumberFormat="1" applyFont="1" applyFill="1" applyAlignment="1">
      <alignment horizontal="right" vertical="top"/>
    </xf>
    <xf numFmtId="3" fontId="8" fillId="6" borderId="0" xfId="0" applyNumberFormat="1" applyFont="1" applyFill="1" applyAlignment="1">
      <alignment horizontal="center"/>
    </xf>
    <xf numFmtId="0" fontId="12" fillId="6" borderId="0" xfId="0" applyFont="1" applyFill="1" applyAlignment="1">
      <alignment vertical="top"/>
    </xf>
    <xf numFmtId="6" fontId="8" fillId="6" borderId="0" xfId="0" applyNumberFormat="1" applyFont="1" applyFill="1" applyAlignment="1">
      <alignment horizontal="center" vertical="top"/>
    </xf>
    <xf numFmtId="164" fontId="12" fillId="6" borderId="19" xfId="0" applyNumberFormat="1" applyFont="1" applyFill="1" applyBorder="1" applyAlignment="1">
      <alignment horizontal="right" vertical="top" indent="1"/>
    </xf>
    <xf numFmtId="164" fontId="12" fillId="6" borderId="19" xfId="0" applyNumberFormat="1" applyFont="1" applyFill="1" applyBorder="1" applyAlignment="1">
      <alignment horizontal="right" vertical="top"/>
    </xf>
    <xf numFmtId="6" fontId="8" fillId="6" borderId="0" xfId="0" applyNumberFormat="1" applyFont="1" applyFill="1" applyAlignment="1">
      <alignment horizontal="center"/>
    </xf>
    <xf numFmtId="8" fontId="8" fillId="6" borderId="0" xfId="0" applyNumberFormat="1" applyFont="1" applyFill="1" applyAlignment="1">
      <alignment horizontal="center" vertical="top"/>
    </xf>
    <xf numFmtId="167" fontId="12" fillId="6" borderId="19" xfId="0" applyNumberFormat="1" applyFont="1" applyFill="1" applyBorder="1" applyAlignment="1">
      <alignment horizontal="right" vertical="top" indent="1"/>
    </xf>
    <xf numFmtId="167" fontId="12" fillId="6" borderId="19" xfId="0" applyNumberFormat="1" applyFont="1" applyFill="1" applyBorder="1" applyAlignment="1">
      <alignment horizontal="right" vertical="top"/>
    </xf>
    <xf numFmtId="8" fontId="8" fillId="6" borderId="0" xfId="0" applyNumberFormat="1" applyFont="1" applyFill="1" applyAlignment="1">
      <alignment horizontal="center"/>
    </xf>
    <xf numFmtId="1" fontId="9" fillId="6" borderId="0" xfId="0" applyNumberFormat="1" applyFont="1" applyFill="1" applyAlignment="1">
      <alignment horizontal="right" vertical="top" indent="1"/>
    </xf>
    <xf numFmtId="1" fontId="9" fillId="6" borderId="0" xfId="0" applyNumberFormat="1" applyFont="1" applyFill="1" applyAlignment="1">
      <alignment horizontal="right" vertical="top"/>
    </xf>
    <xf numFmtId="0" fontId="4" fillId="6" borderId="0" xfId="0" applyFont="1" applyFill="1" applyAlignment="1">
      <alignment horizontal="right" vertical="top" indent="1"/>
    </xf>
    <xf numFmtId="0" fontId="23" fillId="6" borderId="0" xfId="0" applyFont="1" applyFill="1" applyAlignment="1">
      <alignment horizontal="center"/>
    </xf>
    <xf numFmtId="1" fontId="59" fillId="6" borderId="0" xfId="0" applyNumberFormat="1" applyFont="1" applyFill="1" applyAlignment="1">
      <alignment horizontal="right" wrapText="1" indent="1"/>
    </xf>
    <xf numFmtId="1" fontId="59" fillId="6" borderId="0" xfId="0" applyNumberFormat="1" applyFont="1" applyFill="1" applyAlignment="1">
      <alignment horizontal="right" wrapText="1"/>
    </xf>
    <xf numFmtId="0" fontId="8" fillId="6" borderId="0" xfId="0" applyFont="1" applyFill="1" applyAlignment="1">
      <alignment horizontal="left" vertical="top" indent="2"/>
    </xf>
    <xf numFmtId="214" fontId="8" fillId="6" borderId="0" xfId="0" applyNumberFormat="1" applyFont="1" applyFill="1" applyAlignment="1">
      <alignment horizontal="right" indent="1"/>
    </xf>
    <xf numFmtId="214" fontId="8" fillId="6" borderId="0" xfId="0" applyNumberFormat="1" applyFont="1" applyFill="1" applyAlignment="1">
      <alignment horizontal="right"/>
    </xf>
    <xf numFmtId="165" fontId="8" fillId="6" borderId="0" xfId="0" applyNumberFormat="1" applyFont="1" applyFill="1" applyAlignment="1">
      <alignment horizontal="center"/>
    </xf>
    <xf numFmtId="0" fontId="8" fillId="6" borderId="0" xfId="0" applyFont="1" applyFill="1" applyAlignment="1">
      <alignment vertical="center" wrapText="1"/>
    </xf>
    <xf numFmtId="164" fontId="8" fillId="6" borderId="0" xfId="0" applyNumberFormat="1" applyFont="1" applyFill="1" applyAlignment="1">
      <alignment horizontal="center"/>
    </xf>
    <xf numFmtId="167" fontId="8" fillId="6" borderId="0" xfId="0" applyNumberFormat="1" applyFont="1" applyFill="1" applyAlignment="1">
      <alignment horizontal="center"/>
    </xf>
    <xf numFmtId="175" fontId="8" fillId="6" borderId="78" xfId="0" applyNumberFormat="1" applyFont="1" applyFill="1" applyBorder="1" applyAlignment="1">
      <alignment horizontal="right" indent="1"/>
    </xf>
    <xf numFmtId="175" fontId="8" fillId="6" borderId="78" xfId="0" applyNumberFormat="1" applyFont="1" applyFill="1" applyBorder="1" applyAlignment="1">
      <alignment horizontal="right"/>
    </xf>
    <xf numFmtId="0" fontId="8" fillId="6" borderId="0" xfId="0" applyFont="1" applyFill="1" applyAlignment="1">
      <alignment horizontal="left" indent="2"/>
    </xf>
    <xf numFmtId="1" fontId="9" fillId="6" borderId="0" xfId="0" applyNumberFormat="1" applyFont="1" applyFill="1" applyAlignment="1">
      <alignment horizontal="right" indent="1"/>
    </xf>
    <xf numFmtId="1" fontId="9" fillId="6" borderId="0" xfId="0" applyNumberFormat="1" applyFont="1" applyFill="1" applyAlignment="1">
      <alignment horizontal="right"/>
    </xf>
    <xf numFmtId="165" fontId="59" fillId="6" borderId="0" xfId="0" applyNumberFormat="1" applyFont="1" applyFill="1" applyAlignment="1">
      <alignment horizontal="right" wrapText="1" indent="1"/>
    </xf>
    <xf numFmtId="165" fontId="59" fillId="6" borderId="0" xfId="0" applyNumberFormat="1" applyFont="1" applyFill="1" applyAlignment="1">
      <alignment horizontal="right" wrapText="1"/>
    </xf>
    <xf numFmtId="6" fontId="59" fillId="6" borderId="0" xfId="0" applyNumberFormat="1" applyFont="1" applyFill="1" applyAlignment="1">
      <alignment horizontal="right" indent="1"/>
    </xf>
    <xf numFmtId="6" fontId="59" fillId="6" borderId="0" xfId="0" applyNumberFormat="1" applyFont="1" applyFill="1" applyAlignment="1">
      <alignment horizontal="right"/>
    </xf>
    <xf numFmtId="0" fontId="12" fillId="6" borderId="0" xfId="0" applyFont="1" applyFill="1" applyAlignment="1">
      <alignment horizontal="left" vertical="top" indent="2"/>
    </xf>
    <xf numFmtId="175" fontId="12" fillId="6" borderId="78" xfId="0" applyNumberFormat="1" applyFont="1" applyFill="1" applyBorder="1" applyAlignment="1">
      <alignment horizontal="right" indent="1"/>
    </xf>
    <xf numFmtId="175" fontId="12" fillId="6" borderId="78" xfId="0" applyNumberFormat="1" applyFont="1" applyFill="1" applyBorder="1" applyAlignment="1">
      <alignment horizontal="right"/>
    </xf>
    <xf numFmtId="0" fontId="12" fillId="6" borderId="0" xfId="0" applyFont="1" applyFill="1" applyAlignment="1">
      <alignment horizontal="center"/>
    </xf>
    <xf numFmtId="167" fontId="8" fillId="6" borderId="0" xfId="0" applyNumberFormat="1" applyFont="1" applyFill="1" applyAlignment="1">
      <alignment horizontal="right" indent="1"/>
    </xf>
    <xf numFmtId="0" fontId="12" fillId="6" borderId="0" xfId="0" applyFont="1" applyFill="1" applyAlignment="1">
      <alignment horizontal="left" indent="1"/>
    </xf>
    <xf numFmtId="0" fontId="69" fillId="6" borderId="0" xfId="0" applyFont="1" applyFill="1" applyAlignment="1">
      <alignment horizontal="center"/>
    </xf>
    <xf numFmtId="176" fontId="59" fillId="6" borderId="0" xfId="0" applyNumberFormat="1" applyFont="1" applyFill="1" applyAlignment="1">
      <alignment horizontal="right" indent="1"/>
    </xf>
    <xf numFmtId="176" fontId="59" fillId="6" borderId="0" xfId="0" applyNumberFormat="1" applyFont="1" applyFill="1" applyAlignment="1">
      <alignment horizontal="right"/>
    </xf>
    <xf numFmtId="175" fontId="12" fillId="6" borderId="19" xfId="0" applyNumberFormat="1" applyFont="1" applyFill="1" applyBorder="1" applyAlignment="1">
      <alignment horizontal="right" indent="1"/>
    </xf>
    <xf numFmtId="175" fontId="12" fillId="6" borderId="19" xfId="0" applyNumberFormat="1" applyFont="1" applyFill="1" applyBorder="1" applyAlignment="1">
      <alignment horizontal="right"/>
    </xf>
    <xf numFmtId="165" fontId="9" fillId="6" borderId="0" xfId="1" applyNumberFormat="1" applyFont="1" applyFill="1" applyBorder="1" applyAlignment="1">
      <alignment horizontal="right" indent="1"/>
    </xf>
    <xf numFmtId="165" fontId="9" fillId="6" borderId="0" xfId="1" applyNumberFormat="1" applyFont="1" applyFill="1" applyBorder="1" applyAlignment="1">
      <alignment horizontal="right"/>
    </xf>
    <xf numFmtId="0" fontId="4" fillId="6" borderId="0" xfId="0" applyFont="1" applyFill="1" applyAlignment="1">
      <alignment horizontal="right" indent="1"/>
    </xf>
    <xf numFmtId="0" fontId="23" fillId="6" borderId="0" xfId="0" applyFont="1" applyFill="1" applyAlignment="1">
      <alignment horizontal="center" vertical="top"/>
    </xf>
    <xf numFmtId="6" fontId="59" fillId="6" borderId="0" xfId="0" applyNumberFormat="1" applyFont="1" applyFill="1" applyAlignment="1">
      <alignment horizontal="center" vertical="top" wrapText="1"/>
    </xf>
    <xf numFmtId="1" fontId="59" fillId="6" borderId="0" xfId="0" applyNumberFormat="1" applyFont="1" applyFill="1" applyAlignment="1">
      <alignment horizontal="center" vertical="top" wrapText="1"/>
    </xf>
    <xf numFmtId="1" fontId="8" fillId="6" borderId="0" xfId="0" applyNumberFormat="1" applyFont="1" applyFill="1" applyAlignment="1">
      <alignment horizontal="center" vertical="top" wrapText="1"/>
    </xf>
    <xf numFmtId="0" fontId="13" fillId="6" borderId="0" xfId="0" applyFont="1" applyFill="1" applyAlignment="1">
      <alignment horizontal="left" vertical="top" indent="2"/>
    </xf>
    <xf numFmtId="214" fontId="8" fillId="6" borderId="19" xfId="0" applyNumberFormat="1" applyFont="1" applyFill="1" applyBorder="1" applyAlignment="1">
      <alignment horizontal="right" indent="1"/>
    </xf>
    <xf numFmtId="214" fontId="8" fillId="6" borderId="19" xfId="0" applyNumberFormat="1" applyFont="1" applyFill="1" applyBorder="1" applyAlignment="1">
      <alignment horizontal="right"/>
    </xf>
    <xf numFmtId="0" fontId="16" fillId="6" borderId="0" xfId="0" applyFont="1" applyFill="1" applyAlignment="1">
      <alignment horizontal="left" vertical="top" indent="2"/>
    </xf>
    <xf numFmtId="165" fontId="12" fillId="6" borderId="0" xfId="0" applyNumberFormat="1" applyFont="1" applyFill="1" applyAlignment="1">
      <alignment horizontal="right" indent="1"/>
    </xf>
    <xf numFmtId="165" fontId="12" fillId="6" borderId="0" xfId="0" applyNumberFormat="1" applyFont="1" applyFill="1" applyAlignment="1">
      <alignment horizontal="right"/>
    </xf>
    <xf numFmtId="0" fontId="13" fillId="6" borderId="0" xfId="0" applyFont="1" applyFill="1" applyAlignment="1">
      <alignment horizontal="center"/>
    </xf>
    <xf numFmtId="0" fontId="12" fillId="6" borderId="25" xfId="0" applyFont="1" applyFill="1" applyBorder="1" applyAlignment="1">
      <alignment horizontal="left"/>
    </xf>
    <xf numFmtId="0" fontId="8" fillId="6" borderId="25" xfId="0" applyFont="1" applyFill="1" applyBorder="1" applyAlignment="1">
      <alignment horizontal="center"/>
    </xf>
    <xf numFmtId="175" fontId="12" fillId="6" borderId="25" xfId="0" applyNumberFormat="1" applyFont="1" applyFill="1" applyBorder="1" applyAlignment="1">
      <alignment horizontal="right" indent="1"/>
    </xf>
    <xf numFmtId="175" fontId="12" fillId="6" borderId="25" xfId="0" applyNumberFormat="1" applyFont="1" applyFill="1" applyBorder="1" applyAlignment="1">
      <alignment horizontal="right"/>
    </xf>
    <xf numFmtId="167" fontId="12" fillId="6" borderId="0" xfId="0" applyNumberFormat="1" applyFont="1" applyFill="1" applyAlignment="1">
      <alignment horizontal="center"/>
    </xf>
    <xf numFmtId="167" fontId="4" fillId="6" borderId="0" xfId="0" applyNumberFormat="1" applyFont="1" applyFill="1" applyAlignment="1">
      <alignment horizontal="right"/>
    </xf>
    <xf numFmtId="0" fontId="8" fillId="6" borderId="25" xfId="0" applyFont="1" applyFill="1" applyBorder="1"/>
    <xf numFmtId="167" fontId="4" fillId="6" borderId="25" xfId="0" applyNumberFormat="1" applyFont="1" applyFill="1" applyBorder="1" applyAlignment="1">
      <alignment horizontal="right"/>
    </xf>
    <xf numFmtId="0" fontId="8" fillId="6" borderId="25" xfId="0" applyFont="1" applyFill="1" applyBorder="1" applyAlignment="1">
      <alignment horizontal="right"/>
    </xf>
    <xf numFmtId="195" fontId="4" fillId="6" borderId="0" xfId="0" applyNumberFormat="1" applyFont="1" applyFill="1"/>
    <xf numFmtId="235" fontId="4" fillId="6" borderId="0" xfId="0" applyNumberFormat="1" applyFont="1" applyFill="1" applyAlignment="1">
      <alignment horizontal="left" indent="2"/>
    </xf>
    <xf numFmtId="0" fontId="16" fillId="6" borderId="0" xfId="0" applyFont="1" applyFill="1"/>
    <xf numFmtId="0" fontId="16" fillId="6" borderId="0" xfId="0" applyFont="1" applyFill="1" applyAlignment="1">
      <alignment horizontal="right"/>
    </xf>
    <xf numFmtId="205" fontId="16" fillId="6" borderId="17" xfId="0" applyNumberFormat="1" applyFont="1" applyFill="1" applyBorder="1" applyAlignment="1">
      <alignment horizontal="right"/>
    </xf>
    <xf numFmtId="164" fontId="16" fillId="6" borderId="0" xfId="0" applyNumberFormat="1" applyFont="1" applyFill="1" applyAlignment="1">
      <alignment horizontal="right"/>
    </xf>
    <xf numFmtId="235" fontId="4" fillId="6" borderId="25" xfId="0" applyNumberFormat="1" applyFont="1" applyFill="1" applyBorder="1" applyAlignment="1">
      <alignment horizontal="center"/>
    </xf>
    <xf numFmtId="164" fontId="16" fillId="6" borderId="25" xfId="0" applyNumberFormat="1" applyFont="1" applyFill="1" applyBorder="1" applyAlignment="1">
      <alignment horizontal="right"/>
    </xf>
    <xf numFmtId="0" fontId="16" fillId="6" borderId="33" xfId="0" applyFont="1" applyFill="1" applyBorder="1"/>
    <xf numFmtId="0" fontId="16" fillId="6" borderId="33" xfId="0" applyFont="1" applyFill="1" applyBorder="1" applyAlignment="1">
      <alignment horizontal="right"/>
    </xf>
    <xf numFmtId="164" fontId="16" fillId="6" borderId="33" xfId="0" applyNumberFormat="1" applyFont="1" applyFill="1" applyBorder="1"/>
    <xf numFmtId="0" fontId="12" fillId="6" borderId="0" xfId="0" applyFont="1" applyFill="1" applyAlignment="1">
      <alignment horizontal="right"/>
    </xf>
    <xf numFmtId="3" fontId="8" fillId="6" borderId="0" xfId="0" applyNumberFormat="1" applyFont="1" applyFill="1" applyAlignment="1">
      <alignment horizontal="right"/>
    </xf>
    <xf numFmtId="0" fontId="8" fillId="6" borderId="0" xfId="0" applyFont="1" applyFill="1" applyAlignment="1">
      <alignment vertical="center"/>
    </xf>
    <xf numFmtId="0" fontId="0" fillId="6" borderId="0" xfId="0" applyFill="1" applyAlignment="1">
      <alignment horizontal="center" vertical="center"/>
    </xf>
    <xf numFmtId="164" fontId="8" fillId="6" borderId="0" xfId="0" applyNumberFormat="1" applyFont="1" applyFill="1" applyAlignment="1">
      <alignment horizontal="right" vertical="center"/>
    </xf>
    <xf numFmtId="0" fontId="16" fillId="6" borderId="33" xfId="0" applyFont="1" applyFill="1" applyBorder="1" applyAlignment="1">
      <alignment vertical="center"/>
    </xf>
    <xf numFmtId="0" fontId="16" fillId="6" borderId="33" xfId="0" applyFont="1" applyFill="1" applyBorder="1" applyAlignment="1">
      <alignment horizontal="right" vertical="center"/>
    </xf>
    <xf numFmtId="0" fontId="16" fillId="6" borderId="33" xfId="0" applyFont="1" applyFill="1" applyBorder="1" applyAlignment="1">
      <alignment horizontal="center" vertical="center"/>
    </xf>
    <xf numFmtId="164" fontId="4" fillId="6" borderId="33" xfId="0" applyNumberFormat="1" applyFont="1" applyFill="1" applyBorder="1" applyAlignment="1">
      <alignment horizontal="right" vertical="center"/>
    </xf>
    <xf numFmtId="0" fontId="0" fillId="6" borderId="31" xfId="0" applyFill="1" applyBorder="1"/>
    <xf numFmtId="164" fontId="4" fillId="6" borderId="0" xfId="0" applyNumberFormat="1" applyFont="1" applyFill="1" applyAlignment="1">
      <alignment horizontal="center"/>
    </xf>
    <xf numFmtId="0" fontId="4" fillId="6" borderId="33" xfId="0" applyFont="1" applyFill="1" applyBorder="1"/>
    <xf numFmtId="164" fontId="4" fillId="6" borderId="33" xfId="0" applyNumberFormat="1" applyFont="1" applyFill="1" applyBorder="1" applyAlignment="1">
      <alignment horizontal="right"/>
    </xf>
    <xf numFmtId="0" fontId="0" fillId="6" borderId="0" xfId="0" applyFill="1" applyAlignment="1">
      <alignment vertical="center"/>
    </xf>
    <xf numFmtId="164" fontId="4" fillId="6" borderId="31" xfId="0" applyNumberFormat="1" applyFont="1" applyFill="1" applyBorder="1" applyAlignment="1">
      <alignment horizontal="right" vertical="center"/>
    </xf>
    <xf numFmtId="0" fontId="4" fillId="6" borderId="31" xfId="0" applyFont="1" applyFill="1" applyBorder="1" applyAlignment="1">
      <alignment vertical="center"/>
    </xf>
    <xf numFmtId="165" fontId="4" fillId="6" borderId="31" xfId="1" applyNumberFormat="1" applyFont="1" applyFill="1" applyBorder="1" applyAlignment="1">
      <alignment horizontal="right" vertical="center"/>
    </xf>
    <xf numFmtId="0" fontId="16" fillId="6" borderId="0" xfId="0" applyFont="1" applyFill="1" applyAlignment="1">
      <alignment horizontal="left" vertical="center"/>
    </xf>
    <xf numFmtId="164" fontId="4" fillId="6" borderId="25" xfId="0" applyNumberFormat="1" applyFont="1" applyFill="1" applyBorder="1" applyAlignment="1">
      <alignment horizontal="left" vertical="center"/>
    </xf>
    <xf numFmtId="0" fontId="4" fillId="6" borderId="25" xfId="0" applyFont="1" applyFill="1" applyBorder="1" applyAlignment="1">
      <alignment horizontal="left" vertical="center"/>
    </xf>
    <xf numFmtId="164" fontId="4" fillId="6" borderId="25" xfId="0" applyNumberFormat="1" applyFont="1" applyFill="1" applyBorder="1" applyAlignment="1">
      <alignment vertical="center"/>
    </xf>
    <xf numFmtId="164" fontId="4" fillId="6" borderId="31" xfId="1" applyNumberFormat="1" applyFont="1" applyFill="1" applyBorder="1" applyAlignment="1">
      <alignment horizontal="right" vertical="center"/>
    </xf>
    <xf numFmtId="0" fontId="8" fillId="6" borderId="0" xfId="0" applyFont="1" applyFill="1" applyAlignment="1">
      <alignment horizontal="left" vertical="center"/>
    </xf>
    <xf numFmtId="165" fontId="8" fillId="6" borderId="0" xfId="1" applyNumberFormat="1" applyFont="1" applyFill="1" applyBorder="1" applyAlignment="1">
      <alignment horizontal="right" vertical="center"/>
    </xf>
    <xf numFmtId="0" fontId="12" fillId="6" borderId="149" xfId="0" applyFont="1" applyFill="1" applyBorder="1" applyAlignment="1">
      <alignment horizontal="left" vertical="top"/>
    </xf>
    <xf numFmtId="0" fontId="12" fillId="6" borderId="149" xfId="0" applyFont="1" applyFill="1" applyBorder="1" applyAlignment="1">
      <alignment vertical="top"/>
    </xf>
    <xf numFmtId="182" fontId="12" fillId="6" borderId="149" xfId="0" applyNumberFormat="1" applyFont="1" applyFill="1" applyBorder="1" applyAlignment="1">
      <alignment horizontal="right" vertical="top"/>
    </xf>
    <xf numFmtId="0" fontId="16" fillId="6" borderId="149" xfId="0" applyFont="1" applyFill="1" applyBorder="1" applyAlignment="1">
      <alignment horizontal="center" vertical="top"/>
    </xf>
    <xf numFmtId="167" fontId="12" fillId="6" borderId="149" xfId="0" applyNumberFormat="1" applyFont="1" applyFill="1" applyBorder="1" applyAlignment="1">
      <alignment horizontal="right" vertical="top"/>
    </xf>
    <xf numFmtId="164" fontId="12" fillId="6" borderId="149" xfId="0" applyNumberFormat="1" applyFont="1" applyFill="1" applyBorder="1" applyAlignment="1">
      <alignment horizontal="right" vertical="top"/>
    </xf>
    <xf numFmtId="0" fontId="12" fillId="6" borderId="149" xfId="0" applyFont="1" applyFill="1" applyBorder="1" applyAlignment="1">
      <alignment horizontal="left" vertical="center"/>
    </xf>
    <xf numFmtId="0" fontId="12" fillId="6" borderId="149" xfId="0" applyFont="1" applyFill="1" applyBorder="1" applyAlignment="1">
      <alignment vertical="center"/>
    </xf>
    <xf numFmtId="164" fontId="12" fillId="6" borderId="149" xfId="0" applyNumberFormat="1" applyFont="1" applyFill="1" applyBorder="1" applyAlignment="1">
      <alignment horizontal="right" vertical="center"/>
    </xf>
    <xf numFmtId="0" fontId="16" fillId="6" borderId="149" xfId="0" applyFont="1" applyFill="1" applyBorder="1" applyAlignment="1">
      <alignment horizontal="center" vertical="center"/>
    </xf>
    <xf numFmtId="165" fontId="12" fillId="6" borderId="149" xfId="1" applyNumberFormat="1" applyFont="1" applyFill="1" applyBorder="1" applyAlignment="1">
      <alignment horizontal="right" vertical="center"/>
    </xf>
    <xf numFmtId="0" fontId="12" fillId="6" borderId="0" xfId="0" applyFont="1" applyFill="1" applyAlignment="1">
      <alignment horizontal="left"/>
    </xf>
    <xf numFmtId="164" fontId="12" fillId="6" borderId="0" xfId="0" applyNumberFormat="1" applyFont="1" applyFill="1" applyAlignment="1">
      <alignment horizontal="right"/>
    </xf>
    <xf numFmtId="0" fontId="16" fillId="6" borderId="0" xfId="0" applyFont="1" applyFill="1" applyAlignment="1">
      <alignment horizontal="center"/>
    </xf>
    <xf numFmtId="165" fontId="12" fillId="6" borderId="0" xfId="1" applyNumberFormat="1" applyFont="1" applyFill="1" applyBorder="1" applyAlignment="1">
      <alignment horizontal="right"/>
    </xf>
    <xf numFmtId="0" fontId="16" fillId="6" borderId="140" xfId="0" applyFont="1" applyFill="1" applyBorder="1" applyAlignment="1">
      <alignment vertical="center"/>
    </xf>
    <xf numFmtId="0" fontId="16" fillId="6" borderId="140" xfId="0" applyFont="1" applyFill="1" applyBorder="1" applyAlignment="1">
      <alignment horizontal="right" vertical="center"/>
    </xf>
    <xf numFmtId="0" fontId="16" fillId="6" borderId="140" xfId="0" applyFont="1" applyFill="1" applyBorder="1" applyAlignment="1">
      <alignment horizontal="center" vertical="center"/>
    </xf>
    <xf numFmtId="164" fontId="16" fillId="6" borderId="140" xfId="0" applyNumberFormat="1" applyFont="1" applyFill="1" applyBorder="1" applyAlignment="1">
      <alignment horizontal="right" vertical="center"/>
    </xf>
    <xf numFmtId="3" fontId="4" fillId="6" borderId="0" xfId="0" applyNumberFormat="1" applyFont="1" applyFill="1" applyAlignment="1">
      <alignment horizontal="center"/>
    </xf>
    <xf numFmtId="164" fontId="4" fillId="6" borderId="0" xfId="0" applyNumberFormat="1" applyFont="1" applyFill="1" applyAlignment="1">
      <alignment vertical="top"/>
    </xf>
    <xf numFmtId="0" fontId="16" fillId="6" borderId="33" xfId="0" applyFont="1" applyFill="1" applyBorder="1" applyAlignment="1">
      <alignment horizontal="left" vertical="center"/>
    </xf>
    <xf numFmtId="164" fontId="16" fillId="6" borderId="33" xfId="0" applyNumberFormat="1" applyFont="1" applyFill="1" applyBorder="1" applyAlignment="1">
      <alignment vertical="center"/>
    </xf>
    <xf numFmtId="3" fontId="4" fillId="6" borderId="0" xfId="0" applyNumberFormat="1" applyFont="1" applyFill="1" applyAlignment="1">
      <alignment horizontal="center" vertical="center"/>
    </xf>
    <xf numFmtId="165" fontId="4" fillId="6" borderId="0" xfId="0" applyNumberFormat="1" applyFont="1" applyFill="1" applyAlignment="1">
      <alignment horizontal="right" vertical="top"/>
    </xf>
    <xf numFmtId="0" fontId="16" fillId="6" borderId="25" xfId="0" applyFont="1" applyFill="1" applyBorder="1" applyAlignment="1">
      <alignment horizontal="left" vertical="center"/>
    </xf>
    <xf numFmtId="165" fontId="16" fillId="6" borderId="33" xfId="0" applyNumberFormat="1" applyFont="1" applyFill="1" applyBorder="1" applyAlignment="1">
      <alignment horizontal="right" vertical="center"/>
    </xf>
    <xf numFmtId="164" fontId="16" fillId="6" borderId="33" xfId="0" applyNumberFormat="1" applyFont="1" applyFill="1" applyBorder="1" applyAlignment="1">
      <alignment horizontal="right" vertical="center"/>
    </xf>
    <xf numFmtId="164" fontId="4" fillId="6" borderId="57" xfId="0" applyNumberFormat="1" applyFont="1" applyFill="1" applyBorder="1" applyAlignment="1">
      <alignment horizontal="right" vertical="top"/>
    </xf>
    <xf numFmtId="164" fontId="4" fillId="6" borderId="0" xfId="0" applyNumberFormat="1" applyFont="1" applyFill="1" applyAlignment="1">
      <alignment horizontal="center" vertical="top"/>
    </xf>
    <xf numFmtId="199" fontId="4" fillId="6" borderId="0" xfId="0" applyNumberFormat="1" applyFont="1" applyFill="1" applyAlignment="1">
      <alignment horizontal="right"/>
    </xf>
    <xf numFmtId="165" fontId="4" fillId="6" borderId="0" xfId="0" applyNumberFormat="1" applyFont="1" applyFill="1" applyAlignment="1">
      <alignment horizontal="right"/>
    </xf>
    <xf numFmtId="164" fontId="16" fillId="6" borderId="109" xfId="0" applyNumberFormat="1" applyFont="1" applyFill="1" applyBorder="1" applyAlignment="1">
      <alignment horizontal="right" vertical="center"/>
    </xf>
    <xf numFmtId="164" fontId="4" fillId="6" borderId="0" xfId="0" applyNumberFormat="1" applyFont="1" applyFill="1" applyAlignment="1">
      <alignment horizontal="center" vertical="center"/>
    </xf>
    <xf numFmtId="164" fontId="8" fillId="6" borderId="0" xfId="0" applyNumberFormat="1" applyFont="1" applyFill="1" applyAlignment="1">
      <alignment horizontal="right"/>
    </xf>
    <xf numFmtId="164" fontId="8" fillId="6" borderId="57" xfId="0" applyNumberFormat="1" applyFont="1" applyFill="1" applyBorder="1" applyAlignment="1">
      <alignment horizontal="right"/>
    </xf>
    <xf numFmtId="10" fontId="8" fillId="6" borderId="0" xfId="0" applyNumberFormat="1" applyFont="1" applyFill="1" applyAlignment="1">
      <alignment horizontal="right"/>
    </xf>
    <xf numFmtId="0" fontId="12" fillId="6" borderId="25" xfId="0" applyFont="1" applyFill="1" applyBorder="1" applyAlignment="1">
      <alignment horizontal="left" vertical="center"/>
    </xf>
    <xf numFmtId="0" fontId="4" fillId="6" borderId="25" xfId="0" applyFont="1" applyFill="1" applyBorder="1" applyAlignment="1">
      <alignment horizontal="center" vertical="center"/>
    </xf>
    <xf numFmtId="164" fontId="12" fillId="6" borderId="109" xfId="0" applyNumberFormat="1" applyFont="1" applyFill="1" applyBorder="1" applyAlignment="1">
      <alignment horizontal="right" vertical="center"/>
    </xf>
    <xf numFmtId="3" fontId="4" fillId="6" borderId="0" xfId="0" applyNumberFormat="1" applyFont="1" applyFill="1" applyAlignment="1">
      <alignment horizontal="right" vertical="center"/>
    </xf>
    <xf numFmtId="1" fontId="4" fillId="6" borderId="0" xfId="0" applyNumberFormat="1" applyFont="1" applyFill="1" applyAlignment="1">
      <alignment horizontal="right" vertical="center"/>
    </xf>
    <xf numFmtId="165" fontId="4" fillId="6" borderId="0" xfId="1" applyNumberFormat="1" applyFont="1" applyFill="1" applyBorder="1" applyAlignment="1">
      <alignment horizontal="right" vertical="center"/>
    </xf>
    <xf numFmtId="1" fontId="4" fillId="6" borderId="31" xfId="0" applyNumberFormat="1" applyFont="1" applyFill="1" applyBorder="1" applyAlignment="1">
      <alignment horizontal="right" vertical="center"/>
    </xf>
    <xf numFmtId="164" fontId="16" fillId="6" borderId="149" xfId="0" applyNumberFormat="1" applyFont="1" applyFill="1" applyBorder="1" applyAlignment="1">
      <alignment horizontal="right" vertical="top"/>
    </xf>
    <xf numFmtId="164" fontId="16" fillId="6" borderId="0" xfId="0" applyNumberFormat="1" applyFont="1" applyFill="1" applyAlignment="1">
      <alignment horizontal="right" vertical="top"/>
    </xf>
    <xf numFmtId="3" fontId="4" fillId="6" borderId="149" xfId="0" applyNumberFormat="1" applyFont="1" applyFill="1" applyBorder="1" applyAlignment="1">
      <alignment horizontal="right" vertical="top"/>
    </xf>
    <xf numFmtId="1" fontId="16" fillId="6" borderId="78" xfId="0" applyNumberFormat="1" applyFont="1" applyFill="1" applyBorder="1" applyAlignment="1">
      <alignment horizontal="right" vertical="top"/>
    </xf>
    <xf numFmtId="165" fontId="16" fillId="6" borderId="78" xfId="1" applyNumberFormat="1" applyFont="1" applyFill="1" applyBorder="1" applyAlignment="1">
      <alignment horizontal="right" vertical="top"/>
    </xf>
    <xf numFmtId="164" fontId="16" fillId="6" borderId="78" xfId="0" applyNumberFormat="1" applyFont="1" applyFill="1" applyBorder="1" applyAlignment="1">
      <alignment horizontal="right" vertical="top"/>
    </xf>
    <xf numFmtId="1" fontId="16" fillId="6" borderId="0" xfId="0" applyNumberFormat="1" applyFont="1" applyFill="1" applyAlignment="1">
      <alignment horizontal="right" vertical="top"/>
    </xf>
    <xf numFmtId="164" fontId="16" fillId="6" borderId="149" xfId="0" applyNumberFormat="1" applyFont="1" applyFill="1" applyBorder="1" applyAlignment="1">
      <alignment horizontal="right" vertical="center"/>
    </xf>
    <xf numFmtId="3" fontId="4" fillId="6" borderId="149" xfId="0" applyNumberFormat="1" applyFont="1" applyFill="1" applyBorder="1" applyAlignment="1">
      <alignment horizontal="right" vertical="center"/>
    </xf>
    <xf numFmtId="1" fontId="16" fillId="6" borderId="0" xfId="0" applyNumberFormat="1" applyFont="1" applyFill="1" applyAlignment="1">
      <alignment horizontal="right" vertical="center"/>
    </xf>
    <xf numFmtId="0" fontId="16" fillId="6" borderId="107" xfId="0" applyFont="1" applyFill="1" applyBorder="1" applyAlignment="1">
      <alignment horizontal="right" vertical="center"/>
    </xf>
    <xf numFmtId="165" fontId="16" fillId="6" borderId="107" xfId="1" applyNumberFormat="1" applyFont="1" applyFill="1" applyBorder="1" applyAlignment="1">
      <alignment horizontal="right" vertical="top"/>
    </xf>
    <xf numFmtId="0" fontId="16" fillId="6" borderId="107" xfId="1" applyNumberFormat="1" applyFont="1" applyFill="1" applyBorder="1" applyAlignment="1">
      <alignment horizontal="right" vertical="top"/>
    </xf>
    <xf numFmtId="164" fontId="16" fillId="6" borderId="107" xfId="0" applyNumberFormat="1" applyFont="1" applyFill="1" applyBorder="1" applyAlignment="1">
      <alignment horizontal="right" vertical="top"/>
    </xf>
    <xf numFmtId="3" fontId="4" fillId="6" borderId="140" xfId="0" applyNumberFormat="1" applyFont="1" applyFill="1" applyBorder="1" applyAlignment="1">
      <alignment horizontal="right" vertical="center"/>
    </xf>
    <xf numFmtId="3" fontId="16" fillId="6" borderId="140" xfId="0" applyNumberFormat="1" applyFont="1" applyFill="1" applyBorder="1" applyAlignment="1">
      <alignment horizontal="right" vertical="center"/>
    </xf>
    <xf numFmtId="165" fontId="16" fillId="6" borderId="140" xfId="0" applyNumberFormat="1" applyFont="1" applyFill="1" applyBorder="1" applyAlignment="1">
      <alignment horizontal="right" vertical="center"/>
    </xf>
    <xf numFmtId="165" fontId="4" fillId="6" borderId="0" xfId="0" applyNumberFormat="1" applyFont="1" applyFill="1" applyAlignment="1">
      <alignment horizontal="right" vertical="center"/>
    </xf>
    <xf numFmtId="164" fontId="4" fillId="6" borderId="149" xfId="0" applyNumberFormat="1" applyFont="1" applyFill="1" applyBorder="1" applyAlignment="1">
      <alignment horizontal="center" vertical="top"/>
    </xf>
    <xf numFmtId="165" fontId="16" fillId="6" borderId="149" xfId="0" applyNumberFormat="1" applyFont="1" applyFill="1" applyBorder="1" applyAlignment="1">
      <alignment horizontal="right" vertical="top"/>
    </xf>
    <xf numFmtId="0" fontId="16" fillId="6" borderId="78" xfId="0" applyFont="1" applyFill="1" applyBorder="1" applyAlignment="1">
      <alignment horizontal="right" vertical="top"/>
    </xf>
    <xf numFmtId="0" fontId="12" fillId="6" borderId="107" xfId="0" applyFont="1" applyFill="1" applyBorder="1" applyAlignment="1">
      <alignment horizontal="left" vertical="center"/>
    </xf>
    <xf numFmtId="164" fontId="4" fillId="6" borderId="149" xfId="0" applyNumberFormat="1" applyFont="1" applyFill="1" applyBorder="1" applyAlignment="1">
      <alignment horizontal="center" vertical="center"/>
    </xf>
    <xf numFmtId="165" fontId="16" fillId="6" borderId="149" xfId="0" applyNumberFormat="1" applyFont="1" applyFill="1" applyBorder="1" applyAlignment="1">
      <alignment horizontal="right" vertical="center"/>
    </xf>
    <xf numFmtId="0" fontId="4" fillId="6" borderId="140" xfId="0" applyFont="1" applyFill="1" applyBorder="1" applyAlignment="1">
      <alignment horizontal="center" vertical="center"/>
    </xf>
    <xf numFmtId="0" fontId="4" fillId="6" borderId="25" xfId="0" applyFont="1" applyFill="1" applyBorder="1" applyAlignment="1">
      <alignment horizontal="center"/>
    </xf>
    <xf numFmtId="3" fontId="4" fillId="6" borderId="0" xfId="0" applyNumberFormat="1" applyFont="1" applyFill="1" applyAlignment="1">
      <alignment horizontal="right" vertical="top"/>
    </xf>
    <xf numFmtId="0" fontId="4" fillId="6" borderId="149" xfId="0" applyFont="1" applyFill="1" applyBorder="1" applyAlignment="1">
      <alignment horizontal="left" vertical="top"/>
    </xf>
    <xf numFmtId="0" fontId="4" fillId="6" borderId="149" xfId="0" applyFont="1" applyFill="1" applyBorder="1"/>
    <xf numFmtId="164" fontId="4" fillId="6" borderId="149" xfId="0" applyNumberFormat="1" applyFont="1" applyFill="1" applyBorder="1" applyAlignment="1">
      <alignment vertical="top"/>
    </xf>
    <xf numFmtId="1" fontId="16" fillId="6" borderId="33" xfId="0" applyNumberFormat="1" applyFont="1" applyFill="1" applyBorder="1" applyAlignment="1">
      <alignment horizontal="right" vertical="center"/>
    </xf>
    <xf numFmtId="3" fontId="16" fillId="6" borderId="33" xfId="0" applyNumberFormat="1" applyFont="1" applyFill="1" applyBorder="1" applyAlignment="1">
      <alignment horizontal="right" vertical="center"/>
    </xf>
    <xf numFmtId="3" fontId="16" fillId="6" borderId="149" xfId="0" applyNumberFormat="1" applyFont="1" applyFill="1" applyBorder="1" applyAlignment="1">
      <alignment horizontal="right" vertical="top"/>
    </xf>
    <xf numFmtId="1" fontId="16" fillId="6" borderId="149" xfId="0" applyNumberFormat="1" applyFont="1" applyFill="1" applyBorder="1" applyAlignment="1">
      <alignment horizontal="right" vertical="center"/>
    </xf>
    <xf numFmtId="164" fontId="0" fillId="6" borderId="31" xfId="0" applyNumberFormat="1" applyFill="1" applyBorder="1" applyAlignment="1">
      <alignment horizontal="right"/>
    </xf>
    <xf numFmtId="164" fontId="4" fillId="6" borderId="19" xfId="0" applyNumberFormat="1" applyFont="1" applyFill="1" applyBorder="1" applyAlignment="1">
      <alignment horizontal="right"/>
    </xf>
    <xf numFmtId="205" fontId="16" fillId="6" borderId="149" xfId="0" applyNumberFormat="1" applyFont="1" applyFill="1" applyBorder="1" applyAlignment="1">
      <alignment horizontal="right"/>
    </xf>
    <xf numFmtId="0" fontId="95" fillId="6" borderId="0" xfId="0" applyFont="1" applyFill="1"/>
    <xf numFmtId="0" fontId="96" fillId="6" borderId="0" xfId="0" applyFont="1" applyFill="1"/>
    <xf numFmtId="0" fontId="16" fillId="6" borderId="25" xfId="0" applyFont="1" applyFill="1" applyBorder="1"/>
    <xf numFmtId="205" fontId="16" fillId="6" borderId="33" xfId="0" applyNumberFormat="1" applyFont="1" applyFill="1" applyBorder="1" applyAlignment="1">
      <alignment horizontal="right"/>
    </xf>
    <xf numFmtId="0" fontId="95" fillId="6" borderId="42" xfId="0" applyFont="1" applyFill="1" applyBorder="1"/>
    <xf numFmtId="205" fontId="0" fillId="6" borderId="42" xfId="0" applyNumberFormat="1" applyFill="1" applyBorder="1" applyAlignment="1">
      <alignment horizontal="right"/>
    </xf>
    <xf numFmtId="205" fontId="0" fillId="6" borderId="0" xfId="0" applyNumberFormat="1" applyFill="1" applyAlignment="1">
      <alignment horizontal="right"/>
    </xf>
    <xf numFmtId="164" fontId="0" fillId="6" borderId="0" xfId="0" applyNumberFormat="1" applyFill="1" applyAlignment="1">
      <alignment horizontal="right" vertical="center"/>
    </xf>
    <xf numFmtId="0" fontId="12" fillId="6" borderId="78" xfId="0" applyFont="1" applyFill="1" applyBorder="1" applyAlignment="1">
      <alignment horizontal="left" vertical="top"/>
    </xf>
    <xf numFmtId="164" fontId="16" fillId="6" borderId="78" xfId="0" applyNumberFormat="1" applyFont="1" applyFill="1" applyBorder="1" applyAlignment="1">
      <alignment horizontal="right" vertical="center"/>
    </xf>
    <xf numFmtId="0" fontId="12" fillId="6" borderId="12" xfId="0" applyFont="1" applyFill="1" applyBorder="1" applyAlignment="1">
      <alignment horizontal="left" vertical="center"/>
    </xf>
    <xf numFmtId="164" fontId="16" fillId="6" borderId="12" xfId="0" applyNumberFormat="1" applyFont="1" applyFill="1" applyBorder="1" applyAlignment="1">
      <alignment horizontal="right" vertical="center"/>
    </xf>
    <xf numFmtId="0" fontId="16" fillId="6" borderId="26" xfId="0" applyFont="1" applyFill="1" applyBorder="1"/>
    <xf numFmtId="0" fontId="16" fillId="6" borderId="26" xfId="0" applyFont="1" applyFill="1" applyBorder="1" applyAlignment="1">
      <alignment horizontal="center"/>
    </xf>
    <xf numFmtId="184" fontId="8" fillId="6" borderId="0" xfId="0" applyNumberFormat="1" applyFont="1" applyFill="1" applyAlignment="1">
      <alignment horizontal="center" vertical="top"/>
    </xf>
    <xf numFmtId="185" fontId="8" fillId="6" borderId="0" xfId="0" applyNumberFormat="1" applyFont="1" applyFill="1" applyAlignment="1">
      <alignment horizontal="right" vertical="top"/>
    </xf>
    <xf numFmtId="0" fontId="8" fillId="6" borderId="26" xfId="0" applyFont="1" applyFill="1" applyBorder="1" applyAlignment="1">
      <alignment horizontal="left" vertical="top" indent="2"/>
    </xf>
    <xf numFmtId="184" fontId="8" fillId="6" borderId="26" xfId="0" applyNumberFormat="1" applyFont="1" applyFill="1" applyBorder="1" applyAlignment="1">
      <alignment horizontal="center" vertical="top"/>
    </xf>
    <xf numFmtId="0" fontId="8" fillId="6" borderId="26" xfId="0" applyFont="1" applyFill="1" applyBorder="1" applyAlignment="1">
      <alignment vertical="top"/>
    </xf>
    <xf numFmtId="164" fontId="8" fillId="6" borderId="26" xfId="0" applyNumberFormat="1" applyFont="1" applyFill="1" applyBorder="1" applyAlignment="1">
      <alignment horizontal="right" vertical="top"/>
    </xf>
    <xf numFmtId="185" fontId="8" fillId="6" borderId="26" xfId="0" applyNumberFormat="1" applyFont="1" applyFill="1" applyBorder="1" applyAlignment="1">
      <alignment horizontal="right" vertical="top"/>
    </xf>
    <xf numFmtId="0" fontId="12" fillId="6" borderId="19" xfId="0" applyFont="1" applyFill="1" applyBorder="1" applyAlignment="1">
      <alignment horizontal="left"/>
    </xf>
    <xf numFmtId="184" fontId="12" fillId="6" borderId="19" xfId="0" applyNumberFormat="1" applyFont="1" applyFill="1" applyBorder="1" applyAlignment="1">
      <alignment horizontal="center"/>
    </xf>
    <xf numFmtId="0" fontId="12" fillId="6" borderId="19" xfId="0" applyFont="1" applyFill="1" applyBorder="1"/>
    <xf numFmtId="164" fontId="12" fillId="6" borderId="19" xfId="0" applyNumberFormat="1" applyFont="1" applyFill="1" applyBorder="1" applyAlignment="1">
      <alignment horizontal="right"/>
    </xf>
    <xf numFmtId="185" fontId="12" fillId="6" borderId="19" xfId="0" applyNumberFormat="1" applyFont="1" applyFill="1" applyBorder="1" applyAlignment="1">
      <alignment horizontal="right"/>
    </xf>
    <xf numFmtId="165" fontId="8" fillId="6" borderId="0" xfId="0" applyNumberFormat="1" applyFont="1" applyFill="1" applyAlignment="1">
      <alignment horizontal="right" vertical="top"/>
    </xf>
    <xf numFmtId="165" fontId="8" fillId="6" borderId="26" xfId="0" applyNumberFormat="1" applyFont="1" applyFill="1" applyBorder="1" applyAlignment="1">
      <alignment horizontal="right" vertical="top"/>
    </xf>
    <xf numFmtId="0" fontId="12" fillId="6" borderId="78" xfId="0" applyFont="1" applyFill="1" applyBorder="1" applyAlignment="1">
      <alignment horizontal="left"/>
    </xf>
    <xf numFmtId="184" fontId="12" fillId="6" borderId="78" xfId="0" applyNumberFormat="1" applyFont="1" applyFill="1" applyBorder="1" applyAlignment="1">
      <alignment horizontal="center"/>
    </xf>
    <xf numFmtId="0" fontId="8" fillId="6" borderId="78" xfId="0" applyFont="1" applyFill="1" applyBorder="1"/>
    <xf numFmtId="164" fontId="12" fillId="6" borderId="78" xfId="0" applyNumberFormat="1" applyFont="1" applyFill="1" applyBorder="1" applyAlignment="1">
      <alignment horizontal="right"/>
    </xf>
    <xf numFmtId="185" fontId="12" fillId="6" borderId="78" xfId="0" applyNumberFormat="1" applyFont="1" applyFill="1" applyBorder="1" applyAlignment="1">
      <alignment horizontal="right"/>
    </xf>
    <xf numFmtId="0" fontId="12" fillId="6" borderId="7" xfId="0" applyFont="1" applyFill="1" applyBorder="1"/>
    <xf numFmtId="0" fontId="4" fillId="6" borderId="7" xfId="0" applyFont="1" applyFill="1" applyBorder="1"/>
    <xf numFmtId="10" fontId="8" fillId="6" borderId="7" xfId="0" applyNumberFormat="1" applyFont="1" applyFill="1" applyBorder="1" applyAlignment="1">
      <alignment horizontal="center"/>
    </xf>
    <xf numFmtId="185" fontId="12" fillId="6" borderId="7" xfId="0" applyNumberFormat="1" applyFont="1" applyFill="1" applyBorder="1" applyAlignment="1">
      <alignment horizontal="right"/>
    </xf>
    <xf numFmtId="199" fontId="8" fillId="6" borderId="0" xfId="0" applyNumberFormat="1" applyFont="1" applyFill="1" applyAlignment="1">
      <alignment horizontal="center"/>
    </xf>
    <xf numFmtId="185" fontId="12" fillId="6" borderId="0" xfId="0" applyNumberFormat="1" applyFont="1" applyFill="1" applyAlignment="1">
      <alignment horizontal="right"/>
    </xf>
    <xf numFmtId="0" fontId="8" fillId="6" borderId="31" xfId="0" applyFont="1" applyFill="1" applyBorder="1" applyAlignment="1">
      <alignment horizontal="left" indent="2"/>
    </xf>
    <xf numFmtId="199" fontId="8" fillId="6" borderId="31" xfId="0" applyNumberFormat="1" applyFont="1" applyFill="1" applyBorder="1" applyAlignment="1">
      <alignment horizontal="center"/>
    </xf>
    <xf numFmtId="0" fontId="16" fillId="6" borderId="31" xfId="0" applyFont="1" applyFill="1" applyBorder="1"/>
    <xf numFmtId="0" fontId="0" fillId="6" borderId="0" xfId="0" applyFill="1" applyAlignment="1">
      <alignment horizontal="center" vertical="center" wrapText="1"/>
    </xf>
    <xf numFmtId="165" fontId="4" fillId="6" borderId="0" xfId="1" applyNumberFormat="1" applyFont="1" applyFill="1" applyBorder="1" applyAlignment="1">
      <alignment horizontal="center" vertical="center" wrapText="1"/>
    </xf>
    <xf numFmtId="165" fontId="0" fillId="6" borderId="0" xfId="1" applyNumberFormat="1" applyFont="1" applyFill="1" applyBorder="1" applyAlignment="1">
      <alignment horizontal="center" vertical="center"/>
    </xf>
    <xf numFmtId="246" fontId="0" fillId="6" borderId="0" xfId="1" applyNumberFormat="1" applyFont="1" applyFill="1" applyBorder="1" applyAlignment="1">
      <alignment vertical="center"/>
    </xf>
    <xf numFmtId="0" fontId="0" fillId="6" borderId="163" xfId="0" applyFill="1" applyBorder="1" applyAlignment="1">
      <alignment horizontal="center" vertical="center" wrapText="1"/>
    </xf>
    <xf numFmtId="165" fontId="4" fillId="6" borderId="163" xfId="1" applyNumberFormat="1" applyFont="1" applyFill="1" applyBorder="1" applyAlignment="1">
      <alignment horizontal="center" vertical="center" wrapText="1"/>
    </xf>
    <xf numFmtId="165" fontId="0" fillId="6" borderId="163" xfId="1" applyNumberFormat="1" applyFont="1" applyFill="1" applyBorder="1" applyAlignment="1">
      <alignment horizontal="center" vertical="center"/>
    </xf>
    <xf numFmtId="165" fontId="16" fillId="6" borderId="25" xfId="0" applyNumberFormat="1" applyFont="1" applyFill="1" applyBorder="1"/>
    <xf numFmtId="0" fontId="16" fillId="6" borderId="25" xfId="0" applyFont="1" applyFill="1" applyBorder="1" applyAlignment="1">
      <alignment horizontal="right"/>
    </xf>
    <xf numFmtId="10" fontId="0" fillId="6" borderId="0" xfId="1" applyNumberFormat="1" applyFont="1" applyFill="1" applyBorder="1" applyAlignment="1">
      <alignment horizontal="center"/>
    </xf>
    <xf numFmtId="0" fontId="4" fillId="6" borderId="0" xfId="0" applyFont="1" applyFill="1" applyAlignment="1">
      <alignment horizontal="right" vertical="top" wrapText="1" indent="1"/>
    </xf>
    <xf numFmtId="0" fontId="4" fillId="6" borderId="0" xfId="0" applyFont="1" applyFill="1" applyAlignment="1">
      <alignment horizontal="right" vertical="top" wrapText="1"/>
    </xf>
    <xf numFmtId="0" fontId="8" fillId="6" borderId="0" xfId="0" applyFont="1" applyFill="1" applyAlignment="1">
      <alignment horizontal="center" vertical="top" wrapText="1"/>
    </xf>
    <xf numFmtId="0" fontId="8" fillId="6" borderId="0" xfId="0" applyFont="1" applyFill="1" applyAlignment="1">
      <alignment horizontal="left" vertical="top" indent="3"/>
    </xf>
    <xf numFmtId="214" fontId="8" fillId="6" borderId="0" xfId="0" applyNumberFormat="1" applyFont="1" applyFill="1" applyAlignment="1">
      <alignment horizontal="right" wrapText="1" indent="1"/>
    </xf>
    <xf numFmtId="214" fontId="8" fillId="6" borderId="0" xfId="0" applyNumberFormat="1" applyFont="1" applyFill="1" applyAlignment="1">
      <alignment horizontal="right" wrapText="1"/>
    </xf>
    <xf numFmtId="165" fontId="4" fillId="6" borderId="0" xfId="0" applyNumberFormat="1" applyFont="1" applyFill="1"/>
    <xf numFmtId="1" fontId="9" fillId="6" borderId="0" xfId="0" applyNumberFormat="1" applyFont="1" applyFill="1" applyAlignment="1">
      <alignment horizontal="right" vertical="top" wrapText="1" indent="1"/>
    </xf>
    <xf numFmtId="1" fontId="9" fillId="6" borderId="0" xfId="0" applyNumberFormat="1" applyFont="1" applyFill="1" applyAlignment="1">
      <alignment horizontal="right" vertical="top" wrapText="1"/>
    </xf>
    <xf numFmtId="0" fontId="12" fillId="6" borderId="0" xfId="0" applyFont="1" applyFill="1" applyAlignment="1">
      <alignment horizontal="left" vertical="top" indent="3"/>
    </xf>
    <xf numFmtId="176" fontId="59" fillId="6" borderId="0" xfId="0" applyNumberFormat="1" applyFont="1" applyFill="1" applyAlignment="1">
      <alignment horizontal="right" vertical="top" wrapText="1" indent="1"/>
    </xf>
    <xf numFmtId="176" fontId="59" fillId="6" borderId="0" xfId="0" applyNumberFormat="1" applyFont="1" applyFill="1" applyAlignment="1">
      <alignment horizontal="right" vertical="top" wrapText="1"/>
    </xf>
    <xf numFmtId="167" fontId="12" fillId="6" borderId="19" xfId="0" applyNumberFormat="1" applyFont="1" applyFill="1" applyBorder="1" applyAlignment="1">
      <alignment horizontal="right" vertical="top" wrapText="1" indent="1"/>
    </xf>
    <xf numFmtId="167" fontId="12" fillId="6" borderId="19" xfId="0" applyNumberFormat="1" applyFont="1" applyFill="1" applyBorder="1" applyAlignment="1">
      <alignment horizontal="right" vertical="top" wrapText="1"/>
    </xf>
    <xf numFmtId="165" fontId="9" fillId="6" borderId="0" xfId="1" applyNumberFormat="1" applyFont="1" applyFill="1" applyBorder="1" applyAlignment="1">
      <alignment horizontal="right" vertical="top" wrapText="1" indent="1"/>
    </xf>
    <xf numFmtId="165" fontId="9" fillId="6" borderId="0" xfId="1" applyNumberFormat="1" applyFont="1" applyFill="1" applyBorder="1" applyAlignment="1">
      <alignment horizontal="right" vertical="top" wrapText="1"/>
    </xf>
    <xf numFmtId="186" fontId="59" fillId="6" borderId="0" xfId="0" applyNumberFormat="1" applyFont="1" applyFill="1" applyAlignment="1">
      <alignment horizontal="right" vertical="top" wrapText="1" indent="1"/>
    </xf>
    <xf numFmtId="186" fontId="59" fillId="6" borderId="0" xfId="0" applyNumberFormat="1" applyFont="1" applyFill="1" applyAlignment="1">
      <alignment horizontal="right" vertical="top" wrapText="1"/>
    </xf>
    <xf numFmtId="0" fontId="13" fillId="6" borderId="0" xfId="0" applyFont="1" applyFill="1" applyAlignment="1">
      <alignment horizontal="left" vertical="top"/>
    </xf>
    <xf numFmtId="181" fontId="59" fillId="6" borderId="0" xfId="0" applyNumberFormat="1" applyFont="1" applyFill="1" applyAlignment="1">
      <alignment horizontal="right" vertical="top" wrapText="1" indent="1"/>
    </xf>
    <xf numFmtId="181" fontId="59" fillId="6" borderId="0" xfId="0" applyNumberFormat="1" applyFont="1" applyFill="1" applyAlignment="1">
      <alignment horizontal="right" vertical="top" wrapText="1"/>
    </xf>
    <xf numFmtId="171" fontId="59" fillId="6" borderId="0" xfId="0" applyNumberFormat="1" applyFont="1" applyFill="1" applyAlignment="1">
      <alignment horizontal="right" vertical="top" wrapText="1" indent="1"/>
    </xf>
    <xf numFmtId="171" fontId="59" fillId="6" borderId="0" xfId="0" applyNumberFormat="1" applyFont="1" applyFill="1" applyAlignment="1">
      <alignment horizontal="right" vertical="top" wrapText="1"/>
    </xf>
    <xf numFmtId="216" fontId="59" fillId="6" borderId="0" xfId="0" applyNumberFormat="1" applyFont="1" applyFill="1" applyAlignment="1">
      <alignment horizontal="right" vertical="top" wrapText="1" indent="1"/>
    </xf>
    <xf numFmtId="216" fontId="59" fillId="6" borderId="0" xfId="0" applyNumberFormat="1" applyFont="1" applyFill="1" applyAlignment="1">
      <alignment horizontal="right" vertical="top" wrapText="1"/>
    </xf>
    <xf numFmtId="0" fontId="16" fillId="6" borderId="0" xfId="0" applyFont="1" applyFill="1" applyAlignment="1">
      <alignment horizontal="left" vertical="top" indent="3"/>
    </xf>
    <xf numFmtId="165" fontId="12" fillId="6" borderId="0" xfId="0" applyNumberFormat="1" applyFont="1" applyFill="1" applyAlignment="1">
      <alignment horizontal="right" vertical="top" wrapText="1" indent="1"/>
    </xf>
    <xf numFmtId="165" fontId="12" fillId="6" borderId="0" xfId="0" applyNumberFormat="1" applyFont="1" applyFill="1" applyAlignment="1">
      <alignment horizontal="right" vertical="top" wrapText="1"/>
    </xf>
    <xf numFmtId="167" fontId="8" fillId="6" borderId="0" xfId="0" applyNumberFormat="1" applyFont="1" applyFill="1" applyAlignment="1">
      <alignment horizontal="right" vertical="top"/>
    </xf>
    <xf numFmtId="167" fontId="8" fillId="6" borderId="25" xfId="0" applyNumberFormat="1" applyFont="1" applyFill="1" applyBorder="1" applyAlignment="1">
      <alignment horizontal="right" vertical="top"/>
    </xf>
    <xf numFmtId="0" fontId="16" fillId="6" borderId="0" xfId="0" applyFont="1" applyFill="1" applyAlignment="1">
      <alignment horizontal="left"/>
    </xf>
    <xf numFmtId="0" fontId="12" fillId="6" borderId="25" xfId="0" applyFont="1" applyFill="1" applyBorder="1"/>
    <xf numFmtId="205" fontId="16" fillId="6" borderId="42" xfId="0" applyNumberFormat="1" applyFont="1" applyFill="1" applyBorder="1" applyAlignment="1">
      <alignment horizontal="right"/>
    </xf>
    <xf numFmtId="0" fontId="4" fillId="6" borderId="0" xfId="0" applyFont="1" applyFill="1" applyAlignment="1">
      <alignment vertical="center" wrapText="1"/>
    </xf>
    <xf numFmtId="1" fontId="0" fillId="6" borderId="0" xfId="0" applyNumberFormat="1" applyFill="1" applyAlignment="1">
      <alignment horizontal="center"/>
    </xf>
    <xf numFmtId="230" fontId="4" fillId="6" borderId="0" xfId="0" applyNumberFormat="1" applyFont="1" applyFill="1" applyAlignment="1">
      <alignment horizontal="center"/>
    </xf>
    <xf numFmtId="213" fontId="4" fillId="6" borderId="0" xfId="0" applyNumberFormat="1" applyFont="1" applyFill="1" applyAlignment="1">
      <alignment horizontal="center"/>
    </xf>
    <xf numFmtId="1" fontId="8" fillId="6" borderId="0" xfId="0" applyNumberFormat="1" applyFont="1" applyFill="1" applyAlignment="1">
      <alignment horizontal="right" vertical="top" wrapText="1" indent="1"/>
    </xf>
    <xf numFmtId="1" fontId="8" fillId="6" borderId="0" xfId="0" applyNumberFormat="1" applyFont="1" applyFill="1" applyAlignment="1">
      <alignment horizontal="right" vertical="top" wrapText="1"/>
    </xf>
    <xf numFmtId="174" fontId="8" fillId="6" borderId="0" xfId="0" applyNumberFormat="1" applyFont="1" applyFill="1" applyAlignment="1">
      <alignment horizontal="right" wrapText="1" indent="1"/>
    </xf>
    <xf numFmtId="174" fontId="8" fillId="6" borderId="0" xfId="0" applyNumberFormat="1" applyFont="1" applyFill="1" applyAlignment="1">
      <alignment horizontal="right" wrapText="1"/>
    </xf>
    <xf numFmtId="174" fontId="8" fillId="6" borderId="0" xfId="0" applyNumberFormat="1" applyFont="1" applyFill="1" applyAlignment="1">
      <alignment horizontal="right" vertical="top" wrapText="1" indent="1"/>
    </xf>
    <xf numFmtId="174" fontId="8" fillId="6" borderId="0" xfId="0" applyNumberFormat="1" applyFont="1" applyFill="1" applyAlignment="1">
      <alignment horizontal="right" vertical="top" wrapText="1"/>
    </xf>
    <xf numFmtId="184" fontId="8" fillId="6" borderId="0" xfId="0" applyNumberFormat="1" applyFont="1" applyFill="1" applyAlignment="1">
      <alignment horizontal="right" vertical="top" wrapText="1" indent="1"/>
    </xf>
    <xf numFmtId="184" fontId="8" fillId="6" borderId="0" xfId="0" applyNumberFormat="1" applyFont="1" applyFill="1" applyAlignment="1">
      <alignment horizontal="right" vertical="top" wrapText="1"/>
    </xf>
    <xf numFmtId="8" fontId="8" fillId="6" borderId="0" xfId="0" applyNumberFormat="1" applyFont="1" applyFill="1" applyAlignment="1">
      <alignment horizontal="right" vertical="top" wrapText="1" indent="1"/>
    </xf>
    <xf numFmtId="167" fontId="8" fillId="6" borderId="0" xfId="0" applyNumberFormat="1" applyFont="1" applyFill="1" applyAlignment="1">
      <alignment horizontal="right" vertical="top" wrapText="1" indent="1"/>
    </xf>
    <xf numFmtId="167" fontId="8" fillId="6" borderId="0" xfId="0" applyNumberFormat="1" applyFont="1" applyFill="1" applyAlignment="1">
      <alignment horizontal="right" vertical="top" wrapText="1"/>
    </xf>
    <xf numFmtId="0" fontId="9" fillId="6" borderId="0" xfId="0" applyFont="1" applyFill="1" applyAlignment="1">
      <alignment horizontal="right" vertical="top" wrapText="1" indent="1"/>
    </xf>
    <xf numFmtId="0" fontId="59" fillId="6" borderId="0" xfId="0" applyFont="1" applyFill="1" applyAlignment="1">
      <alignment horizontal="right" vertical="top"/>
    </xf>
    <xf numFmtId="167" fontId="59" fillId="6" borderId="0" xfId="0" applyNumberFormat="1" applyFont="1" applyFill="1" applyAlignment="1">
      <alignment horizontal="right" vertical="top" wrapText="1" indent="1"/>
    </xf>
    <xf numFmtId="167" fontId="59" fillId="6" borderId="0" xfId="0" applyNumberFormat="1" applyFont="1" applyFill="1" applyAlignment="1">
      <alignment horizontal="right" vertical="top" wrapText="1"/>
    </xf>
    <xf numFmtId="0" fontId="8" fillId="6" borderId="0" xfId="0" applyFont="1" applyFill="1" applyAlignment="1">
      <alignment vertical="top" wrapText="1"/>
    </xf>
    <xf numFmtId="0" fontId="8" fillId="6" borderId="0" xfId="0" applyFont="1" applyFill="1" applyAlignment="1">
      <alignment horizontal="left" indent="4"/>
    </xf>
    <xf numFmtId="167" fontId="8" fillId="6" borderId="17" xfId="0" applyNumberFormat="1" applyFont="1" applyFill="1" applyBorder="1" applyAlignment="1">
      <alignment horizontal="right" vertical="top" wrapText="1" indent="1"/>
    </xf>
    <xf numFmtId="167" fontId="8" fillId="6" borderId="17" xfId="0" applyNumberFormat="1" applyFont="1" applyFill="1" applyBorder="1" applyAlignment="1">
      <alignment horizontal="right" vertical="top" wrapText="1"/>
    </xf>
    <xf numFmtId="175" fontId="8" fillId="6" borderId="0" xfId="0" applyNumberFormat="1" applyFont="1" applyFill="1" applyAlignment="1">
      <alignment horizontal="right" vertical="top" wrapText="1" indent="1"/>
    </xf>
    <xf numFmtId="175" fontId="8" fillId="6" borderId="0" xfId="0" applyNumberFormat="1" applyFont="1" applyFill="1" applyAlignment="1">
      <alignment horizontal="right" vertical="top" wrapText="1"/>
    </xf>
    <xf numFmtId="175" fontId="12" fillId="6" borderId="0" xfId="0" applyNumberFormat="1" applyFont="1" applyFill="1" applyAlignment="1">
      <alignment horizontal="right" vertical="top" wrapText="1" indent="1"/>
    </xf>
    <xf numFmtId="175" fontId="12" fillId="6" borderId="0" xfId="0" applyNumberFormat="1" applyFont="1" applyFill="1" applyAlignment="1">
      <alignment horizontal="right" vertical="top" wrapText="1"/>
    </xf>
    <xf numFmtId="0" fontId="12" fillId="6" borderId="0" xfId="0" applyFont="1" applyFill="1" applyAlignment="1">
      <alignment horizontal="left" indent="2"/>
    </xf>
    <xf numFmtId="0" fontId="12" fillId="6" borderId="0" xfId="0" applyFont="1" applyFill="1" applyAlignment="1">
      <alignment horizontal="center" vertical="top"/>
    </xf>
    <xf numFmtId="0" fontId="69" fillId="6" borderId="0" xfId="0" applyFont="1" applyFill="1" applyAlignment="1">
      <alignment horizontal="center" vertical="top"/>
    </xf>
    <xf numFmtId="175" fontId="12" fillId="6" borderId="19" xfId="0" applyNumberFormat="1" applyFont="1" applyFill="1" applyBorder="1" applyAlignment="1">
      <alignment horizontal="right" vertical="top" wrapText="1" indent="1"/>
    </xf>
    <xf numFmtId="175" fontId="12" fillId="6" borderId="19" xfId="0" applyNumberFormat="1" applyFont="1" applyFill="1" applyBorder="1" applyAlignment="1">
      <alignment horizontal="right" vertical="top" wrapText="1"/>
    </xf>
    <xf numFmtId="3" fontId="59" fillId="6" borderId="0" xfId="0" applyNumberFormat="1" applyFont="1" applyFill="1" applyAlignment="1">
      <alignment horizontal="center" vertical="top" wrapText="1"/>
    </xf>
    <xf numFmtId="214" fontId="8" fillId="6" borderId="0" xfId="0" applyNumberFormat="1" applyFont="1" applyFill="1"/>
    <xf numFmtId="214" fontId="8" fillId="6" borderId="0" xfId="0" applyNumberFormat="1" applyFont="1" applyFill="1" applyAlignment="1">
      <alignment horizontal="left" vertical="top" indent="3"/>
    </xf>
    <xf numFmtId="214" fontId="8" fillId="6" borderId="0" xfId="0" applyNumberFormat="1" applyFont="1" applyFill="1" applyAlignment="1">
      <alignment horizontal="left" vertical="top"/>
    </xf>
    <xf numFmtId="214" fontId="8" fillId="6" borderId="0" xfId="0" applyNumberFormat="1" applyFont="1" applyFill="1" applyAlignment="1">
      <alignment horizontal="center" vertical="top"/>
    </xf>
    <xf numFmtId="184" fontId="59" fillId="6" borderId="0" xfId="0" applyNumberFormat="1" applyFont="1" applyFill="1" applyAlignment="1">
      <alignment horizontal="right" vertical="top" wrapText="1" indent="1"/>
    </xf>
    <xf numFmtId="184" fontId="59" fillId="6" borderId="0" xfId="0" applyNumberFormat="1" applyFont="1" applyFill="1" applyAlignment="1">
      <alignment horizontal="right" vertical="top" wrapText="1"/>
    </xf>
    <xf numFmtId="189" fontId="23" fillId="6" borderId="0" xfId="0" applyNumberFormat="1" applyFont="1" applyFill="1" applyAlignment="1">
      <alignment horizontal="right" vertical="top" wrapText="1" indent="1"/>
    </xf>
    <xf numFmtId="189" fontId="23" fillId="6" borderId="0" xfId="0" applyNumberFormat="1" applyFont="1" applyFill="1" applyAlignment="1">
      <alignment horizontal="right" vertical="top" wrapText="1"/>
    </xf>
    <xf numFmtId="188" fontId="59" fillId="6" borderId="0" xfId="0" applyNumberFormat="1" applyFont="1" applyFill="1" applyAlignment="1">
      <alignment horizontal="right" vertical="top" wrapText="1" indent="1"/>
    </xf>
    <xf numFmtId="188" fontId="59" fillId="6" borderId="0" xfId="0" applyNumberFormat="1" applyFont="1" applyFill="1" applyAlignment="1">
      <alignment horizontal="right" vertical="top" wrapText="1"/>
    </xf>
    <xf numFmtId="165" fontId="8" fillId="6" borderId="17" xfId="0" applyNumberFormat="1" applyFont="1" applyFill="1" applyBorder="1" applyAlignment="1">
      <alignment horizontal="right" vertical="top" wrapText="1" indent="1"/>
    </xf>
    <xf numFmtId="165" fontId="8" fillId="6" borderId="17" xfId="0" applyNumberFormat="1" applyFont="1" applyFill="1" applyBorder="1" applyAlignment="1">
      <alignment horizontal="right" vertical="top" wrapText="1"/>
    </xf>
    <xf numFmtId="165" fontId="8" fillId="6" borderId="0" xfId="0" applyNumberFormat="1" applyFont="1" applyFill="1" applyAlignment="1">
      <alignment horizontal="right" vertical="top" wrapText="1" indent="1"/>
    </xf>
    <xf numFmtId="165" fontId="8" fillId="6" borderId="0" xfId="0" applyNumberFormat="1" applyFont="1" applyFill="1" applyAlignment="1">
      <alignment horizontal="right" vertical="top" wrapText="1"/>
    </xf>
    <xf numFmtId="175" fontId="12" fillId="6" borderId="0" xfId="0" applyNumberFormat="1" applyFont="1" applyFill="1" applyAlignment="1">
      <alignment horizontal="right" wrapText="1" indent="1"/>
    </xf>
    <xf numFmtId="175" fontId="12" fillId="6" borderId="0" xfId="0" applyNumberFormat="1" applyFont="1" applyFill="1" applyAlignment="1">
      <alignment horizontal="right" wrapText="1"/>
    </xf>
    <xf numFmtId="3" fontId="4" fillId="6" borderId="0" xfId="0" applyNumberFormat="1" applyFont="1" applyFill="1" applyAlignment="1">
      <alignment horizontal="right"/>
    </xf>
    <xf numFmtId="3" fontId="4" fillId="6" borderId="25" xfId="0" applyNumberFormat="1" applyFont="1" applyFill="1" applyBorder="1" applyAlignment="1">
      <alignment horizontal="right"/>
    </xf>
    <xf numFmtId="185" fontId="0" fillId="6" borderId="0" xfId="0" applyNumberFormat="1" applyFill="1" applyAlignment="1">
      <alignment horizontal="right"/>
    </xf>
    <xf numFmtId="202" fontId="4" fillId="6" borderId="25" xfId="0" applyNumberFormat="1" applyFont="1" applyFill="1" applyBorder="1" applyAlignment="1">
      <alignment horizontal="center" vertical="center"/>
    </xf>
    <xf numFmtId="164" fontId="4" fillId="6" borderId="25" xfId="0" applyNumberFormat="1" applyFont="1" applyFill="1" applyBorder="1" applyAlignment="1">
      <alignment horizontal="center" vertical="center"/>
    </xf>
    <xf numFmtId="167" fontId="4" fillId="6" borderId="25" xfId="0" applyNumberFormat="1" applyFont="1" applyFill="1" applyBorder="1" applyAlignment="1">
      <alignment horizontal="center" vertical="center"/>
    </xf>
    <xf numFmtId="192" fontId="8" fillId="6" borderId="0" xfId="0" applyNumberFormat="1" applyFont="1" applyFill="1" applyAlignment="1">
      <alignment horizontal="center" vertical="center"/>
    </xf>
    <xf numFmtId="193" fontId="8" fillId="6" borderId="0" xfId="0" applyNumberFormat="1" applyFont="1" applyFill="1" applyAlignment="1">
      <alignment horizontal="center" vertical="center"/>
    </xf>
    <xf numFmtId="214" fontId="8" fillId="6" borderId="0" xfId="0" applyNumberFormat="1" applyFont="1" applyFill="1" applyAlignment="1">
      <alignment horizontal="center" vertical="center"/>
    </xf>
    <xf numFmtId="185" fontId="8" fillId="6" borderId="0" xfId="0" applyNumberFormat="1" applyFont="1" applyFill="1" applyAlignment="1">
      <alignment horizontal="center" vertical="center"/>
    </xf>
    <xf numFmtId="0" fontId="8" fillId="6" borderId="31" xfId="0" applyFont="1" applyFill="1" applyBorder="1" applyAlignment="1">
      <alignment vertical="center"/>
    </xf>
    <xf numFmtId="192" fontId="8" fillId="6" borderId="31" xfId="0" applyNumberFormat="1" applyFont="1" applyFill="1" applyBorder="1" applyAlignment="1">
      <alignment horizontal="center" vertical="center"/>
    </xf>
    <xf numFmtId="193" fontId="8" fillId="6" borderId="31" xfId="0" applyNumberFormat="1" applyFont="1" applyFill="1" applyBorder="1" applyAlignment="1">
      <alignment horizontal="center" vertical="center"/>
    </xf>
    <xf numFmtId="3" fontId="8" fillId="6" borderId="31" xfId="0" applyNumberFormat="1" applyFont="1" applyFill="1" applyBorder="1" applyAlignment="1">
      <alignment horizontal="center" vertical="center"/>
    </xf>
    <xf numFmtId="165" fontId="8" fillId="6" borderId="31" xfId="0" applyNumberFormat="1" applyFont="1" applyFill="1" applyBorder="1" applyAlignment="1">
      <alignment horizontal="center" vertical="center"/>
    </xf>
    <xf numFmtId="214" fontId="8" fillId="6" borderId="31" xfId="0" applyNumberFormat="1" applyFont="1" applyFill="1" applyBorder="1" applyAlignment="1">
      <alignment horizontal="center" vertical="center"/>
    </xf>
    <xf numFmtId="0" fontId="8" fillId="6" borderId="31" xfId="0" applyFont="1" applyFill="1" applyBorder="1" applyAlignment="1">
      <alignment horizontal="center" vertical="center"/>
    </xf>
    <xf numFmtId="0" fontId="12" fillId="6" borderId="16" xfId="0" applyFont="1" applyFill="1" applyBorder="1" applyAlignment="1">
      <alignment vertical="center"/>
    </xf>
    <xf numFmtId="1" fontId="12" fillId="6" borderId="16" xfId="0" applyNumberFormat="1" applyFont="1" applyFill="1" applyBorder="1" applyAlignment="1">
      <alignment horizontal="center" vertical="center"/>
    </xf>
    <xf numFmtId="0" fontId="12" fillId="6" borderId="16" xfId="0" applyFont="1" applyFill="1" applyBorder="1" applyAlignment="1">
      <alignment horizontal="center" vertical="center"/>
    </xf>
    <xf numFmtId="192" fontId="12" fillId="6" borderId="16" xfId="0" applyNumberFormat="1" applyFont="1" applyFill="1" applyBorder="1" applyAlignment="1">
      <alignment horizontal="center" vertical="center"/>
    </xf>
    <xf numFmtId="193" fontId="12" fillId="6" borderId="16" xfId="0" applyNumberFormat="1" applyFont="1" applyFill="1" applyBorder="1" applyAlignment="1">
      <alignment horizontal="center" vertical="center"/>
    </xf>
    <xf numFmtId="3" fontId="12" fillId="6" borderId="16" xfId="0" applyNumberFormat="1" applyFont="1" applyFill="1" applyBorder="1" applyAlignment="1">
      <alignment horizontal="center" vertical="center"/>
    </xf>
    <xf numFmtId="165" fontId="12" fillId="6" borderId="16" xfId="1" applyNumberFormat="1" applyFont="1" applyFill="1" applyBorder="1" applyAlignment="1">
      <alignment horizontal="center" vertical="center"/>
    </xf>
    <xf numFmtId="165" fontId="12" fillId="6" borderId="16" xfId="0" applyNumberFormat="1" applyFont="1" applyFill="1" applyBorder="1" applyAlignment="1">
      <alignment horizontal="center" vertical="center"/>
    </xf>
    <xf numFmtId="185" fontId="12" fillId="6" borderId="16" xfId="0" applyNumberFormat="1" applyFont="1" applyFill="1" applyBorder="1" applyAlignment="1">
      <alignment horizontal="center" vertical="center"/>
    </xf>
    <xf numFmtId="5" fontId="12" fillId="6" borderId="16" xfId="0" applyNumberFormat="1" applyFont="1" applyFill="1" applyBorder="1" applyAlignment="1">
      <alignment horizontal="center" vertical="center"/>
    </xf>
    <xf numFmtId="0" fontId="12" fillId="6" borderId="33" xfId="0" applyFont="1" applyFill="1" applyBorder="1" applyAlignment="1">
      <alignment vertical="center"/>
    </xf>
    <xf numFmtId="0" fontId="12" fillId="6" borderId="33" xfId="0" applyFont="1" applyFill="1" applyBorder="1" applyAlignment="1">
      <alignment horizontal="center" vertical="center"/>
    </xf>
    <xf numFmtId="3" fontId="12" fillId="6" borderId="33" xfId="0" applyNumberFormat="1" applyFont="1" applyFill="1" applyBorder="1" applyAlignment="1">
      <alignment horizontal="center" vertical="center"/>
    </xf>
    <xf numFmtId="165" fontId="12" fillId="6" borderId="33" xfId="0" applyNumberFormat="1" applyFont="1" applyFill="1" applyBorder="1" applyAlignment="1">
      <alignment horizontal="center" vertical="center"/>
    </xf>
    <xf numFmtId="185" fontId="12" fillId="6" borderId="33" xfId="0" applyNumberFormat="1" applyFont="1" applyFill="1" applyBorder="1" applyAlignment="1">
      <alignment horizontal="center" vertical="center"/>
    </xf>
    <xf numFmtId="5" fontId="12" fillId="6" borderId="33" xfId="0" applyNumberFormat="1" applyFont="1" applyFill="1" applyBorder="1" applyAlignment="1">
      <alignment horizontal="center" vertical="center"/>
    </xf>
    <xf numFmtId="184" fontId="4" fillId="6" borderId="0" xfId="0" applyNumberFormat="1" applyFont="1" applyFill="1" applyAlignment="1">
      <alignment horizontal="right"/>
    </xf>
    <xf numFmtId="3" fontId="16" fillId="6" borderId="33" xfId="0" applyNumberFormat="1" applyFont="1" applyFill="1" applyBorder="1" applyAlignment="1">
      <alignment horizontal="right"/>
    </xf>
    <xf numFmtId="184" fontId="16" fillId="6" borderId="33" xfId="0" applyNumberFormat="1" applyFont="1" applyFill="1" applyBorder="1" applyAlignment="1">
      <alignment horizontal="right"/>
    </xf>
    <xf numFmtId="165" fontId="4" fillId="6" borderId="0" xfId="1" applyNumberFormat="1" applyFont="1" applyFill="1" applyAlignment="1">
      <alignment horizontal="right"/>
    </xf>
    <xf numFmtId="0" fontId="24" fillId="6" borderId="25" xfId="0" applyFont="1" applyFill="1" applyBorder="1" applyAlignment="1">
      <alignment horizontal="center"/>
    </xf>
    <xf numFmtId="0" fontId="12" fillId="6" borderId="33" xfId="0" applyFont="1" applyFill="1" applyBorder="1"/>
    <xf numFmtId="0" fontId="12" fillId="6" borderId="33" xfId="0" applyFont="1" applyFill="1" applyBorder="1" applyAlignment="1">
      <alignment horizontal="left"/>
    </xf>
    <xf numFmtId="184" fontId="12" fillId="6" borderId="33" xfId="0" applyNumberFormat="1" applyFont="1" applyFill="1" applyBorder="1" applyAlignment="1">
      <alignment horizontal="center"/>
    </xf>
    <xf numFmtId="0" fontId="12" fillId="6" borderId="33" xfId="0" applyFont="1" applyFill="1" applyBorder="1" applyAlignment="1">
      <alignment horizontal="right"/>
    </xf>
    <xf numFmtId="0" fontId="33" fillId="6" borderId="0" xfId="0" applyFont="1" applyFill="1"/>
    <xf numFmtId="0" fontId="33" fillId="6" borderId="19" xfId="0" applyFont="1" applyFill="1" applyBorder="1"/>
    <xf numFmtId="165" fontId="33" fillId="6" borderId="19" xfId="1" applyNumberFormat="1" applyFont="1" applyFill="1" applyBorder="1" applyAlignment="1">
      <alignment horizontal="right"/>
    </xf>
    <xf numFmtId="0" fontId="33" fillId="6" borderId="25" xfId="0" applyFont="1" applyFill="1" applyBorder="1"/>
    <xf numFmtId="0" fontId="33" fillId="6" borderId="31" xfId="0" applyFont="1" applyFill="1" applyBorder="1"/>
    <xf numFmtId="167" fontId="33" fillId="6" borderId="31" xfId="0" applyNumberFormat="1" applyFont="1" applyFill="1" applyBorder="1" applyAlignment="1">
      <alignment horizontal="right"/>
    </xf>
    <xf numFmtId="165" fontId="33" fillId="6" borderId="31" xfId="1" applyNumberFormat="1" applyFont="1" applyFill="1" applyBorder="1" applyAlignment="1">
      <alignment horizontal="right"/>
    </xf>
    <xf numFmtId="165" fontId="33" fillId="6" borderId="31" xfId="0" applyNumberFormat="1" applyFont="1" applyFill="1" applyBorder="1" applyAlignment="1">
      <alignment horizontal="right"/>
    </xf>
    <xf numFmtId="165" fontId="4" fillId="6" borderId="25" xfId="0" applyNumberFormat="1" applyFont="1" applyFill="1" applyBorder="1" applyAlignment="1">
      <alignment horizontal="right"/>
    </xf>
    <xf numFmtId="167" fontId="8" fillId="6" borderId="0" xfId="0" applyNumberFormat="1" applyFont="1" applyFill="1" applyAlignment="1">
      <alignment horizontal="right"/>
    </xf>
    <xf numFmtId="165" fontId="8" fillId="6" borderId="0" xfId="1" applyNumberFormat="1" applyFont="1" applyFill="1" applyAlignment="1">
      <alignment horizontal="right"/>
    </xf>
    <xf numFmtId="0" fontId="4" fillId="6" borderId="0" xfId="0" applyFont="1" applyFill="1" applyAlignment="1">
      <alignment horizontal="left" vertical="center" indent="1"/>
    </xf>
    <xf numFmtId="167" fontId="4" fillId="6" borderId="31" xfId="0" applyNumberFormat="1" applyFont="1" applyFill="1" applyBorder="1" applyAlignment="1">
      <alignment horizontal="right" vertical="center"/>
    </xf>
    <xf numFmtId="165" fontId="4" fillId="6" borderId="31" xfId="0" applyNumberFormat="1" applyFont="1" applyFill="1" applyBorder="1" applyAlignment="1">
      <alignment horizontal="right" vertical="center"/>
    </xf>
    <xf numFmtId="0" fontId="16" fillId="6" borderId="19" xfId="0" applyFont="1" applyFill="1" applyBorder="1"/>
    <xf numFmtId="167" fontId="16" fillId="6" borderId="19" xfId="0" applyNumberFormat="1" applyFont="1" applyFill="1" applyBorder="1" applyAlignment="1">
      <alignment horizontal="right"/>
    </xf>
    <xf numFmtId="165" fontId="16" fillId="6" borderId="19" xfId="1" applyNumberFormat="1" applyFont="1" applyFill="1" applyBorder="1" applyAlignment="1">
      <alignment horizontal="right"/>
    </xf>
    <xf numFmtId="0" fontId="43" fillId="6" borderId="25" xfId="0" applyFont="1" applyFill="1" applyBorder="1" applyAlignment="1">
      <alignment vertical="center"/>
    </xf>
    <xf numFmtId="167" fontId="43" fillId="6" borderId="25" xfId="0" applyNumberFormat="1" applyFont="1" applyFill="1" applyBorder="1" applyAlignment="1">
      <alignment horizontal="right" vertical="center"/>
    </xf>
    <xf numFmtId="165" fontId="43" fillId="6" borderId="25" xfId="0" applyNumberFormat="1" applyFont="1" applyFill="1" applyBorder="1" applyAlignment="1">
      <alignment horizontal="right" vertical="center"/>
    </xf>
    <xf numFmtId="9" fontId="4" fillId="6" borderId="0" xfId="1" applyFont="1" applyFill="1" applyBorder="1" applyAlignment="1">
      <alignment horizontal="center"/>
    </xf>
    <xf numFmtId="165" fontId="4" fillId="6" borderId="0" xfId="1" applyNumberFormat="1" applyFont="1" applyFill="1" applyBorder="1" applyAlignment="1">
      <alignment horizontal="center" vertical="top"/>
    </xf>
    <xf numFmtId="0" fontId="103" fillId="6" borderId="33" xfId="0" applyFont="1" applyFill="1" applyBorder="1" applyAlignment="1">
      <alignment vertical="center"/>
    </xf>
    <xf numFmtId="0" fontId="16" fillId="6" borderId="107" xfId="0" applyFont="1" applyFill="1" applyBorder="1" applyAlignment="1">
      <alignment horizontal="center" vertical="center"/>
    </xf>
    <xf numFmtId="0" fontId="111" fillId="2" borderId="0" xfId="0" applyFont="1" applyFill="1" applyAlignment="1">
      <alignment horizontal="center"/>
    </xf>
    <xf numFmtId="0" fontId="24" fillId="2" borderId="0" xfId="0" applyFont="1" applyFill="1" applyAlignment="1">
      <alignment horizontal="centerContinuous"/>
    </xf>
    <xf numFmtId="259" fontId="4" fillId="6" borderId="0" xfId="0" applyNumberFormat="1" applyFont="1" applyFill="1" applyAlignment="1">
      <alignment horizontal="center"/>
    </xf>
    <xf numFmtId="198" fontId="4" fillId="6" borderId="0" xfId="0" applyNumberFormat="1" applyFont="1" applyFill="1" applyAlignment="1">
      <alignment horizontal="center"/>
    </xf>
    <xf numFmtId="0" fontId="33" fillId="6" borderId="0" xfId="0" applyFont="1" applyFill="1" applyAlignment="1">
      <alignment horizontal="center"/>
    </xf>
    <xf numFmtId="0" fontId="9" fillId="6" borderId="0" xfId="0" applyFont="1" applyFill="1" applyAlignment="1">
      <alignment vertical="center"/>
    </xf>
    <xf numFmtId="198" fontId="4" fillId="6" borderId="0" xfId="0" applyNumberFormat="1" applyFont="1" applyFill="1" applyAlignment="1">
      <alignment horizontal="center" vertical="top"/>
    </xf>
    <xf numFmtId="0" fontId="9" fillId="6" borderId="0" xfId="0" applyFont="1" applyFill="1" applyAlignment="1">
      <alignment vertical="top"/>
    </xf>
    <xf numFmtId="165" fontId="4" fillId="6" borderId="0" xfId="0" applyNumberFormat="1" applyFont="1" applyFill="1" applyAlignment="1">
      <alignment horizontal="center" vertical="top"/>
    </xf>
    <xf numFmtId="10" fontId="4" fillId="6" borderId="0" xfId="0" applyNumberFormat="1" applyFont="1" applyFill="1" applyAlignment="1">
      <alignment horizontal="center" vertical="top"/>
    </xf>
    <xf numFmtId="199" fontId="4" fillId="6" borderId="0" xfId="0" applyNumberFormat="1" applyFont="1" applyFill="1" applyAlignment="1">
      <alignment horizontal="center"/>
    </xf>
    <xf numFmtId="0" fontId="4" fillId="6" borderId="31" xfId="0" applyFont="1" applyFill="1" applyBorder="1" applyAlignment="1">
      <alignment horizontal="right"/>
    </xf>
    <xf numFmtId="0" fontId="4" fillId="6" borderId="33" xfId="0" applyFont="1" applyFill="1" applyBorder="1" applyAlignment="1">
      <alignment horizontal="center"/>
    </xf>
    <xf numFmtId="10" fontId="16" fillId="6" borderId="0" xfId="0" applyNumberFormat="1" applyFont="1" applyFill="1" applyAlignment="1">
      <alignment horizontal="right"/>
    </xf>
    <xf numFmtId="10" fontId="4" fillId="6" borderId="0" xfId="1" quotePrefix="1" applyNumberFormat="1" applyFont="1" applyFill="1" applyBorder="1" applyAlignment="1">
      <alignment horizontal="center"/>
    </xf>
    <xf numFmtId="0" fontId="4" fillId="6" borderId="33" xfId="0" applyFont="1" applyFill="1" applyBorder="1" applyAlignment="1">
      <alignment horizontal="center" vertical="center"/>
    </xf>
    <xf numFmtId="10" fontId="16" fillId="6" borderId="33" xfId="0" applyNumberFormat="1" applyFont="1" applyFill="1" applyBorder="1" applyAlignment="1">
      <alignment horizontal="center" vertical="center"/>
    </xf>
    <xf numFmtId="236" fontId="4" fillId="6" borderId="0" xfId="1" applyNumberFormat="1" applyFont="1" applyFill="1" applyBorder="1" applyAlignment="1">
      <alignment horizontal="center"/>
    </xf>
    <xf numFmtId="236" fontId="16" fillId="6" borderId="33" xfId="1" applyNumberFormat="1" applyFont="1" applyFill="1" applyBorder="1" applyAlignment="1">
      <alignment horizontal="center"/>
    </xf>
    <xf numFmtId="180" fontId="4" fillId="6" borderId="0" xfId="1" applyNumberFormat="1" applyFont="1" applyFill="1" applyBorder="1" applyAlignment="1">
      <alignment horizontal="center"/>
    </xf>
    <xf numFmtId="180" fontId="16" fillId="6" borderId="33" xfId="0" applyNumberFormat="1" applyFont="1" applyFill="1" applyBorder="1" applyAlignment="1">
      <alignment horizontal="center" vertical="center"/>
    </xf>
    <xf numFmtId="0" fontId="24" fillId="6" borderId="0" xfId="0" applyFont="1" applyFill="1" applyAlignment="1">
      <alignment horizontal="center"/>
    </xf>
    <xf numFmtId="167" fontId="4" fillId="6" borderId="31" xfId="0" applyNumberFormat="1" applyFont="1" applyFill="1" applyBorder="1" applyAlignment="1">
      <alignment horizontal="center"/>
    </xf>
    <xf numFmtId="184" fontId="4" fillId="6" borderId="31" xfId="0" applyNumberFormat="1" applyFont="1" applyFill="1" applyBorder="1" applyAlignment="1">
      <alignment horizontal="right"/>
    </xf>
    <xf numFmtId="0" fontId="16" fillId="6" borderId="149" xfId="0" applyFont="1" applyFill="1" applyBorder="1"/>
    <xf numFmtId="184" fontId="16" fillId="6" borderId="149" xfId="0" applyNumberFormat="1" applyFont="1" applyFill="1" applyBorder="1" applyAlignment="1">
      <alignment horizontal="right"/>
    </xf>
    <xf numFmtId="0" fontId="16" fillId="6" borderId="149" xfId="0" applyFont="1" applyFill="1" applyBorder="1" applyAlignment="1">
      <alignment horizontal="center"/>
    </xf>
    <xf numFmtId="167" fontId="16" fillId="6" borderId="149" xfId="0" applyNumberFormat="1" applyFont="1" applyFill="1" applyBorder="1" applyAlignment="1">
      <alignment horizontal="center"/>
    </xf>
    <xf numFmtId="164" fontId="16" fillId="6" borderId="149" xfId="0" applyNumberFormat="1" applyFont="1" applyFill="1" applyBorder="1" applyAlignment="1">
      <alignment horizontal="right"/>
    </xf>
    <xf numFmtId="165" fontId="16" fillId="6" borderId="149" xfId="1" applyNumberFormat="1" applyFont="1" applyFill="1" applyBorder="1" applyAlignment="1">
      <alignment horizontal="right"/>
    </xf>
    <xf numFmtId="167" fontId="16" fillId="6" borderId="0" xfId="0" applyNumberFormat="1" applyFont="1" applyFill="1" applyAlignment="1">
      <alignment horizontal="center"/>
    </xf>
    <xf numFmtId="164" fontId="16" fillId="6" borderId="149" xfId="0" applyNumberFormat="1" applyFont="1" applyFill="1" applyBorder="1"/>
    <xf numFmtId="164" fontId="16" fillId="6" borderId="0" xfId="0" applyNumberFormat="1" applyFont="1" applyFill="1"/>
    <xf numFmtId="165" fontId="16" fillId="6" borderId="0" xfId="1" applyNumberFormat="1" applyFont="1" applyFill="1" applyBorder="1" applyAlignment="1">
      <alignment horizontal="right"/>
    </xf>
    <xf numFmtId="0" fontId="8" fillId="6" borderId="31" xfId="0" applyFont="1" applyFill="1" applyBorder="1" applyAlignment="1">
      <alignment horizontal="left"/>
    </xf>
    <xf numFmtId="165" fontId="4" fillId="6" borderId="31" xfId="0" applyNumberFormat="1" applyFont="1" applyFill="1" applyBorder="1" applyAlignment="1">
      <alignment horizontal="center"/>
    </xf>
    <xf numFmtId="0" fontId="4" fillId="6" borderId="31" xfId="0" applyFont="1" applyFill="1" applyBorder="1"/>
    <xf numFmtId="165" fontId="4" fillId="6" borderId="31" xfId="1" applyNumberFormat="1" applyFont="1" applyFill="1" applyBorder="1" applyAlignment="1">
      <alignment horizontal="right"/>
    </xf>
    <xf numFmtId="0" fontId="16" fillId="6" borderId="78" xfId="0" applyFont="1" applyFill="1" applyBorder="1"/>
    <xf numFmtId="0" fontId="4" fillId="6" borderId="78" xfId="0" applyFont="1" applyFill="1" applyBorder="1"/>
    <xf numFmtId="167" fontId="16" fillId="6" borderId="78" xfId="0" applyNumberFormat="1" applyFont="1" applyFill="1" applyBorder="1" applyAlignment="1">
      <alignment horizontal="center"/>
    </xf>
    <xf numFmtId="164" fontId="16" fillId="6" borderId="78" xfId="0" applyNumberFormat="1" applyFont="1" applyFill="1" applyBorder="1"/>
    <xf numFmtId="165" fontId="16" fillId="6" borderId="78" xfId="1" applyNumberFormat="1" applyFont="1" applyFill="1" applyBorder="1" applyAlignment="1">
      <alignment horizontal="right"/>
    </xf>
    <xf numFmtId="164" fontId="16" fillId="6" borderId="78" xfId="0" applyNumberFormat="1" applyFont="1" applyFill="1" applyBorder="1" applyAlignment="1">
      <alignment horizontal="right"/>
    </xf>
    <xf numFmtId="167" fontId="18" fillId="6" borderId="0" xfId="0" applyNumberFormat="1" applyFont="1" applyFill="1" applyAlignment="1">
      <alignment horizontal="center"/>
    </xf>
    <xf numFmtId="164" fontId="18" fillId="6" borderId="0" xfId="0" applyNumberFormat="1" applyFont="1" applyFill="1"/>
    <xf numFmtId="165" fontId="18" fillId="6" borderId="0" xfId="1" applyNumberFormat="1" applyFont="1" applyFill="1" applyBorder="1" applyAlignment="1">
      <alignment horizontal="right"/>
    </xf>
    <xf numFmtId="165" fontId="16" fillId="6" borderId="0" xfId="0" applyNumberFormat="1" applyFont="1" applyFill="1"/>
    <xf numFmtId="167" fontId="16" fillId="6" borderId="25" xfId="0" applyNumberFormat="1" applyFont="1" applyFill="1" applyBorder="1" applyAlignment="1">
      <alignment horizontal="center"/>
    </xf>
    <xf numFmtId="164" fontId="16" fillId="6" borderId="25" xfId="0" applyNumberFormat="1" applyFont="1" applyFill="1" applyBorder="1"/>
    <xf numFmtId="0" fontId="4" fillId="6" borderId="0" xfId="0" applyFont="1" applyFill="1" applyAlignment="1">
      <alignment horizontal="left" vertical="center"/>
    </xf>
    <xf numFmtId="205" fontId="8" fillId="6" borderId="0" xfId="0" applyNumberFormat="1" applyFont="1" applyFill="1" applyAlignment="1">
      <alignment vertical="center"/>
    </xf>
    <xf numFmtId="164" fontId="16" fillId="6" borderId="0" xfId="0" applyNumberFormat="1" applyFont="1" applyFill="1" applyAlignment="1">
      <alignment vertical="center"/>
    </xf>
    <xf numFmtId="0" fontId="44" fillId="6" borderId="0" xfId="0" applyFont="1" applyFill="1" applyAlignment="1">
      <alignment horizontal="right"/>
    </xf>
    <xf numFmtId="205" fontId="4" fillId="6" borderId="0" xfId="0" applyNumberFormat="1" applyFont="1" applyFill="1"/>
    <xf numFmtId="205" fontId="16" fillId="6" borderId="19" xfId="0" applyNumberFormat="1" applyFont="1" applyFill="1" applyBorder="1" applyAlignment="1">
      <alignment horizontal="right"/>
    </xf>
    <xf numFmtId="9" fontId="0" fillId="6" borderId="0" xfId="1" applyFont="1" applyFill="1" applyBorder="1" applyAlignment="1">
      <alignment horizontal="center"/>
    </xf>
    <xf numFmtId="259" fontId="0" fillId="6" borderId="0" xfId="0" applyNumberFormat="1" applyFill="1" applyAlignment="1">
      <alignment horizontal="center"/>
    </xf>
    <xf numFmtId="0" fontId="12" fillId="6" borderId="0" xfId="0" applyFont="1" applyFill="1" applyAlignment="1">
      <alignment vertical="center"/>
    </xf>
    <xf numFmtId="0" fontId="12" fillId="6" borderId="0" xfId="0" applyFont="1" applyFill="1" applyAlignment="1">
      <alignment horizontal="right" vertical="center"/>
    </xf>
    <xf numFmtId="37" fontId="12" fillId="6" borderId="0" xfId="0" applyNumberFormat="1" applyFont="1" applyFill="1" applyAlignment="1">
      <alignment horizontal="right"/>
    </xf>
    <xf numFmtId="37" fontId="12" fillId="6" borderId="31" xfId="0" applyNumberFormat="1" applyFont="1" applyFill="1" applyBorder="1" applyAlignment="1">
      <alignment horizontal="right"/>
    </xf>
    <xf numFmtId="165" fontId="16" fillId="6" borderId="19" xfId="0" applyNumberFormat="1" applyFont="1" applyFill="1" applyBorder="1"/>
    <xf numFmtId="37" fontId="12" fillId="6" borderId="78" xfId="0" applyNumberFormat="1" applyFont="1" applyFill="1" applyBorder="1" applyAlignment="1">
      <alignment horizontal="right"/>
    </xf>
    <xf numFmtId="37" fontId="8" fillId="6" borderId="0" xfId="0" applyNumberFormat="1" applyFont="1" applyFill="1" applyAlignment="1">
      <alignment horizontal="right"/>
    </xf>
    <xf numFmtId="37" fontId="12" fillId="6" borderId="0" xfId="0" applyNumberFormat="1" applyFont="1" applyFill="1" applyAlignment="1">
      <alignment horizontal="left"/>
    </xf>
    <xf numFmtId="192" fontId="12" fillId="6" borderId="31" xfId="0" applyNumberFormat="1" applyFont="1" applyFill="1" applyBorder="1" applyAlignment="1">
      <alignment horizontal="right"/>
    </xf>
    <xf numFmtId="0" fontId="46" fillId="6" borderId="0" xfId="0" applyFont="1" applyFill="1"/>
    <xf numFmtId="0" fontId="46" fillId="6" borderId="0" xfId="0" applyFont="1" applyFill="1" applyAlignment="1">
      <alignment horizontal="center"/>
    </xf>
    <xf numFmtId="196" fontId="8" fillId="6" borderId="0" xfId="0" applyNumberFormat="1" applyFont="1" applyFill="1" applyAlignment="1">
      <alignment horizontal="right"/>
    </xf>
    <xf numFmtId="37" fontId="12" fillId="6" borderId="19" xfId="0" applyNumberFormat="1" applyFont="1" applyFill="1" applyBorder="1" applyAlignment="1">
      <alignment horizontal="right"/>
    </xf>
    <xf numFmtId="3" fontId="8" fillId="6" borderId="0" xfId="0" applyNumberFormat="1" applyFont="1" applyFill="1"/>
    <xf numFmtId="0" fontId="46" fillId="6" borderId="0" xfId="0" applyFont="1" applyFill="1" applyAlignment="1">
      <alignment horizontal="right"/>
    </xf>
    <xf numFmtId="10" fontId="46" fillId="6" borderId="0" xfId="0" applyNumberFormat="1" applyFont="1" applyFill="1" applyAlignment="1" applyProtection="1">
      <alignment horizontal="right"/>
      <protection locked="0"/>
    </xf>
    <xf numFmtId="165" fontId="46" fillId="6" borderId="0" xfId="0" applyNumberFormat="1" applyFont="1" applyFill="1" applyAlignment="1">
      <alignment horizontal="right"/>
    </xf>
    <xf numFmtId="10" fontId="47" fillId="6" borderId="0" xfId="0" applyNumberFormat="1" applyFont="1" applyFill="1" applyAlignment="1" applyProtection="1">
      <alignment horizontal="right"/>
      <protection locked="0"/>
    </xf>
    <xf numFmtId="10" fontId="46" fillId="6" borderId="0" xfId="0" applyNumberFormat="1" applyFont="1" applyFill="1" applyAlignment="1">
      <alignment horizontal="right"/>
    </xf>
    <xf numFmtId="0" fontId="47" fillId="6" borderId="0" xfId="0" applyFont="1" applyFill="1" applyAlignment="1">
      <alignment horizontal="right"/>
    </xf>
    <xf numFmtId="5" fontId="8" fillId="6" borderId="0" xfId="0" applyNumberFormat="1" applyFont="1" applyFill="1" applyAlignment="1">
      <alignment horizontal="right"/>
    </xf>
    <xf numFmtId="5" fontId="12" fillId="6" borderId="19" xfId="0" applyNumberFormat="1" applyFont="1" applyFill="1" applyBorder="1" applyAlignment="1">
      <alignment horizontal="right"/>
    </xf>
    <xf numFmtId="10" fontId="46" fillId="6" borderId="0" xfId="1" applyNumberFormat="1" applyFont="1" applyFill="1" applyBorder="1" applyAlignment="1">
      <alignment horizontal="right"/>
    </xf>
    <xf numFmtId="0" fontId="47" fillId="6" borderId="0" xfId="0" applyFont="1" applyFill="1"/>
    <xf numFmtId="10" fontId="8" fillId="6" borderId="0" xfId="0" applyNumberFormat="1" applyFont="1" applyFill="1" applyAlignment="1">
      <alignment horizontal="center"/>
    </xf>
    <xf numFmtId="164" fontId="47" fillId="6" borderId="0" xfId="0" applyNumberFormat="1" applyFont="1" applyFill="1" applyAlignment="1">
      <alignment horizontal="right"/>
    </xf>
    <xf numFmtId="0" fontId="8" fillId="6" borderId="31" xfId="0" applyFont="1" applyFill="1" applyBorder="1"/>
    <xf numFmtId="198" fontId="8" fillId="6" borderId="31" xfId="0" applyNumberFormat="1" applyFont="1" applyFill="1" applyBorder="1" applyAlignment="1">
      <alignment horizontal="right"/>
    </xf>
    <xf numFmtId="5" fontId="12" fillId="6" borderId="0" xfId="0" applyNumberFormat="1" applyFont="1" applyFill="1" applyAlignment="1">
      <alignment horizontal="right"/>
    </xf>
    <xf numFmtId="5" fontId="47" fillId="6" borderId="0" xfId="0" applyNumberFormat="1" applyFont="1" applyFill="1" applyAlignment="1">
      <alignment horizontal="right"/>
    </xf>
    <xf numFmtId="205" fontId="12" fillId="6" borderId="0" xfId="0" applyNumberFormat="1" applyFont="1" applyFill="1" applyAlignment="1">
      <alignment horizontal="right"/>
    </xf>
    <xf numFmtId="205" fontId="12" fillId="6" borderId="31" xfId="0" applyNumberFormat="1" applyFont="1" applyFill="1" applyBorder="1" applyAlignment="1">
      <alignment horizontal="right"/>
    </xf>
    <xf numFmtId="205" fontId="12" fillId="6" borderId="25" xfId="0" applyNumberFormat="1" applyFont="1" applyFill="1" applyBorder="1" applyAlignment="1">
      <alignment horizontal="right"/>
    </xf>
    <xf numFmtId="0" fontId="47" fillId="6" borderId="25" xfId="0" applyFont="1" applyFill="1" applyBorder="1" applyAlignment="1">
      <alignment horizontal="right"/>
    </xf>
    <xf numFmtId="197" fontId="8" fillId="6" borderId="0" xfId="0" applyNumberFormat="1" applyFont="1" applyFill="1" applyAlignment="1" applyProtection="1">
      <alignment horizontal="center"/>
      <protection locked="0"/>
    </xf>
    <xf numFmtId="10" fontId="8" fillId="6" borderId="0" xfId="0" applyNumberFormat="1" applyFont="1" applyFill="1" applyAlignment="1" applyProtection="1">
      <alignment horizontal="center"/>
      <protection locked="0"/>
    </xf>
    <xf numFmtId="184" fontId="8" fillId="6" borderId="0" xfId="0" applyNumberFormat="1" applyFont="1" applyFill="1"/>
    <xf numFmtId="165" fontId="8" fillId="6" borderId="31" xfId="0" applyNumberFormat="1" applyFont="1" applyFill="1" applyBorder="1" applyAlignment="1">
      <alignment horizontal="center"/>
    </xf>
    <xf numFmtId="184" fontId="8" fillId="6" borderId="31" xfId="0" applyNumberFormat="1" applyFont="1" applyFill="1" applyBorder="1"/>
    <xf numFmtId="213" fontId="8" fillId="6" borderId="0" xfId="0" applyNumberFormat="1" applyFont="1" applyFill="1" applyAlignment="1">
      <alignment horizontal="center"/>
    </xf>
    <xf numFmtId="213" fontId="8" fillId="6" borderId="31" xfId="0" applyNumberFormat="1" applyFont="1" applyFill="1" applyBorder="1" applyAlignment="1">
      <alignment horizontal="center"/>
    </xf>
    <xf numFmtId="189" fontId="8" fillId="6" borderId="0" xfId="0" applyNumberFormat="1" applyFont="1" applyFill="1" applyAlignment="1">
      <alignment horizontal="center"/>
    </xf>
    <xf numFmtId="213" fontId="8" fillId="6" borderId="0" xfId="0" applyNumberFormat="1" applyFont="1" applyFill="1" applyAlignment="1">
      <alignment horizontal="left"/>
    </xf>
    <xf numFmtId="213" fontId="8" fillId="6" borderId="0" xfId="0" applyNumberFormat="1" applyFont="1" applyFill="1"/>
    <xf numFmtId="184" fontId="8" fillId="6" borderId="31" xfId="0" applyNumberFormat="1" applyFont="1" applyFill="1" applyBorder="1" applyAlignment="1">
      <alignment horizontal="center"/>
    </xf>
    <xf numFmtId="164" fontId="12" fillId="6" borderId="25" xfId="0" applyNumberFormat="1" applyFont="1" applyFill="1" applyBorder="1"/>
    <xf numFmtId="8" fontId="8" fillId="6" borderId="0" xfId="0" applyNumberFormat="1" applyFont="1" applyFill="1" applyAlignment="1">
      <alignment horizontal="right" vertical="top" wrapText="1"/>
    </xf>
    <xf numFmtId="0" fontId="9" fillId="6" borderId="0" xfId="0" applyFont="1" applyFill="1" applyAlignment="1">
      <alignment horizontal="right" vertical="top" wrapText="1"/>
    </xf>
    <xf numFmtId="0" fontId="82" fillId="2" borderId="0" xfId="0" applyFont="1" applyFill="1" applyAlignment="1">
      <alignment vertical="top"/>
    </xf>
    <xf numFmtId="167" fontId="4" fillId="3" borderId="0" xfId="0" applyNumberFormat="1" applyFont="1" applyFill="1"/>
    <xf numFmtId="195" fontId="82" fillId="2" borderId="0" xfId="0" applyNumberFormat="1" applyFont="1" applyFill="1"/>
    <xf numFmtId="0" fontId="82" fillId="2" borderId="0" xfId="0" applyFont="1" applyFill="1" applyAlignment="1">
      <alignment horizontal="left" vertical="top"/>
    </xf>
    <xf numFmtId="0" fontId="82" fillId="6" borderId="0" xfId="0" applyFont="1" applyFill="1" applyAlignment="1">
      <alignment vertical="top"/>
    </xf>
    <xf numFmtId="0" fontId="8" fillId="18" borderId="0" xfId="0" applyFont="1" applyFill="1"/>
    <xf numFmtId="0" fontId="9" fillId="18" borderId="0" xfId="0" applyFont="1" applyFill="1" applyAlignment="1">
      <alignment horizontal="center"/>
    </xf>
    <xf numFmtId="187" fontId="11" fillId="18" borderId="0" xfId="0" applyNumberFormat="1" applyFont="1" applyFill="1" applyAlignment="1">
      <alignment horizontal="right" vertical="top" wrapText="1" indent="1"/>
    </xf>
    <xf numFmtId="187" fontId="11" fillId="18" borderId="0" xfId="0" applyNumberFormat="1" applyFont="1" applyFill="1" applyAlignment="1">
      <alignment horizontal="right" vertical="top" wrapText="1"/>
    </xf>
    <xf numFmtId="1" fontId="9" fillId="18" borderId="0" xfId="0" applyNumberFormat="1" applyFont="1" applyFill="1" applyAlignment="1">
      <alignment horizontal="center"/>
    </xf>
    <xf numFmtId="0" fontId="9" fillId="18" borderId="0" xfId="0" applyFont="1" applyFill="1"/>
    <xf numFmtId="0" fontId="11" fillId="18" borderId="0" xfId="0" applyFont="1" applyFill="1" applyAlignment="1">
      <alignment horizontal="left"/>
    </xf>
    <xf numFmtId="0" fontId="11" fillId="18" borderId="0" xfId="0" applyFont="1" applyFill="1" applyAlignment="1">
      <alignment horizontal="right"/>
    </xf>
    <xf numFmtId="0" fontId="11" fillId="18" borderId="0" xfId="0" applyFont="1" applyFill="1" applyAlignment="1">
      <alignment horizontal="left" wrapText="1"/>
    </xf>
    <xf numFmtId="0" fontId="9" fillId="18" borderId="0" xfId="0" applyFont="1" applyFill="1" applyAlignment="1">
      <alignment vertical="center"/>
    </xf>
    <xf numFmtId="0" fontId="11" fillId="18" borderId="0" xfId="0" applyFont="1" applyFill="1" applyAlignment="1">
      <alignment vertical="center"/>
    </xf>
    <xf numFmtId="0" fontId="11" fillId="18" borderId="0" xfId="0" applyFont="1" applyFill="1" applyAlignment="1">
      <alignment horizontal="center" vertical="center"/>
    </xf>
    <xf numFmtId="0" fontId="103" fillId="6" borderId="107" xfId="0" applyFont="1" applyFill="1" applyBorder="1" applyAlignment="1">
      <alignment vertical="center"/>
    </xf>
    <xf numFmtId="0" fontId="4" fillId="6" borderId="107" xfId="0" applyFont="1" applyFill="1" applyBorder="1" applyAlignment="1">
      <alignment horizontal="center" vertical="center"/>
    </xf>
    <xf numFmtId="10" fontId="16" fillId="6" borderId="107" xfId="0" applyNumberFormat="1" applyFont="1" applyFill="1" applyBorder="1" applyAlignment="1">
      <alignment horizontal="center" vertical="center"/>
    </xf>
    <xf numFmtId="0" fontId="82" fillId="6" borderId="0" xfId="0" applyFont="1" applyFill="1"/>
    <xf numFmtId="0" fontId="4" fillId="18" borderId="0" xfId="0" applyFont="1" applyFill="1"/>
    <xf numFmtId="0" fontId="11" fillId="18" borderId="0" xfId="0" applyFont="1" applyFill="1"/>
    <xf numFmtId="0" fontId="16" fillId="6" borderId="12" xfId="0" applyFont="1" applyFill="1" applyBorder="1" applyAlignment="1">
      <alignment horizontal="right" vertical="top"/>
    </xf>
    <xf numFmtId="0" fontId="82" fillId="2" borderId="0" xfId="0" applyFont="1" applyFill="1"/>
    <xf numFmtId="195" fontId="93" fillId="2" borderId="0" xfId="0" applyNumberFormat="1" applyFont="1" applyFill="1"/>
    <xf numFmtId="0" fontId="11" fillId="18" borderId="0" xfId="0" applyFont="1" applyFill="1" applyAlignment="1">
      <alignment horizontal="center"/>
    </xf>
    <xf numFmtId="173" fontId="11" fillId="18" borderId="0" xfId="0" applyNumberFormat="1" applyFont="1" applyFill="1" applyAlignment="1">
      <alignment horizontal="right" wrapText="1" indent="1"/>
    </xf>
    <xf numFmtId="173" fontId="11" fillId="18" borderId="0" xfId="0" applyNumberFormat="1" applyFont="1" applyFill="1" applyAlignment="1">
      <alignment horizontal="right" wrapText="1"/>
    </xf>
    <xf numFmtId="0" fontId="5" fillId="18" borderId="0" xfId="0" applyFont="1" applyFill="1"/>
    <xf numFmtId="195" fontId="5" fillId="18" borderId="0" xfId="0" applyNumberFormat="1" applyFont="1" applyFill="1" applyAlignment="1">
      <alignment vertical="top"/>
    </xf>
    <xf numFmtId="175" fontId="5" fillId="18" borderId="0" xfId="0" applyNumberFormat="1" applyFont="1" applyFill="1"/>
    <xf numFmtId="0" fontId="11" fillId="18" borderId="0" xfId="0" applyFont="1" applyFill="1" applyAlignment="1">
      <alignment horizontal="left" vertical="center"/>
    </xf>
    <xf numFmtId="0" fontId="9" fillId="18" borderId="0" xfId="0" applyFont="1" applyFill="1" applyAlignment="1">
      <alignment horizontal="centerContinuous" vertical="center"/>
    </xf>
    <xf numFmtId="0" fontId="11" fillId="18" borderId="0" xfId="0" applyFont="1" applyFill="1" applyAlignment="1">
      <alignment horizontal="centerContinuous" vertical="center"/>
    </xf>
    <xf numFmtId="0" fontId="11" fillId="18" borderId="0" xfId="0" applyFont="1" applyFill="1" applyAlignment="1">
      <alignment horizontal="left" vertical="center" indent="2"/>
    </xf>
    <xf numFmtId="0" fontId="145" fillId="0" borderId="0" xfId="0" applyFont="1"/>
    <xf numFmtId="0" fontId="4" fillId="6" borderId="0" xfId="0" applyFont="1" applyFill="1" applyAlignment="1">
      <alignment horizontal="right" wrapText="1" indent="1"/>
    </xf>
    <xf numFmtId="0" fontId="4" fillId="6" borderId="0" xfId="0" applyFont="1" applyFill="1" applyAlignment="1">
      <alignment horizontal="right" wrapText="1"/>
    </xf>
    <xf numFmtId="174" fontId="4" fillId="6" borderId="0" xfId="0" applyNumberFormat="1" applyFont="1" applyFill="1" applyAlignment="1">
      <alignment horizontal="right" vertical="top" wrapText="1" indent="1"/>
    </xf>
    <xf numFmtId="174" fontId="4" fillId="6" borderId="0" xfId="0" applyNumberFormat="1" applyFont="1" applyFill="1" applyAlignment="1">
      <alignment horizontal="right" vertical="top" wrapText="1"/>
    </xf>
    <xf numFmtId="174" fontId="4" fillId="6" borderId="0" xfId="0" applyNumberFormat="1" applyFont="1" applyFill="1"/>
    <xf numFmtId="3" fontId="4" fillId="6" borderId="0" xfId="0" applyNumberFormat="1" applyFont="1" applyFill="1" applyAlignment="1">
      <alignment horizontal="right" vertical="top" wrapText="1" indent="1"/>
    </xf>
    <xf numFmtId="3" fontId="4" fillId="6" borderId="0" xfId="0" applyNumberFormat="1" applyFont="1" applyFill="1" applyAlignment="1">
      <alignment horizontal="right" vertical="top" wrapText="1"/>
    </xf>
    <xf numFmtId="184" fontId="8" fillId="6" borderId="0" xfId="0" applyNumberFormat="1" applyFont="1" applyFill="1" applyAlignment="1">
      <alignment horizontal="center" vertical="top" wrapText="1"/>
    </xf>
    <xf numFmtId="224" fontId="8" fillId="6" borderId="0" xfId="0" applyNumberFormat="1" applyFont="1" applyFill="1" applyAlignment="1">
      <alignment horizontal="center" vertical="top" wrapText="1"/>
    </xf>
    <xf numFmtId="172" fontId="4" fillId="6" borderId="0" xfId="0" applyNumberFormat="1" applyFont="1" applyFill="1"/>
    <xf numFmtId="164" fontId="4" fillId="6" borderId="0" xfId="0" applyNumberFormat="1" applyFont="1" applyFill="1" applyAlignment="1">
      <alignment horizontal="right" vertical="top" wrapText="1" indent="1"/>
    </xf>
    <xf numFmtId="164" fontId="4" fillId="6" borderId="0" xfId="0" applyNumberFormat="1" applyFont="1" applyFill="1" applyAlignment="1">
      <alignment horizontal="right" vertical="top" wrapText="1"/>
    </xf>
    <xf numFmtId="6" fontId="4" fillId="6" borderId="0" xfId="0" applyNumberFormat="1" applyFont="1" applyFill="1" applyAlignment="1">
      <alignment horizontal="right" vertical="top" wrapText="1" indent="1"/>
    </xf>
    <xf numFmtId="6" fontId="4" fillId="6" borderId="0" xfId="0" applyNumberFormat="1" applyFont="1" applyFill="1" applyAlignment="1">
      <alignment horizontal="right" vertical="top" wrapText="1"/>
    </xf>
    <xf numFmtId="167" fontId="16" fillId="6" borderId="19" xfId="0" applyNumberFormat="1" applyFont="1" applyFill="1" applyBorder="1" applyAlignment="1">
      <alignment horizontal="right" vertical="top" wrapText="1" indent="1"/>
    </xf>
    <xf numFmtId="167" fontId="16" fillId="6" borderId="19" xfId="0" applyNumberFormat="1" applyFont="1" applyFill="1" applyBorder="1" applyAlignment="1">
      <alignment horizontal="right" vertical="top" wrapText="1"/>
    </xf>
    <xf numFmtId="1" fontId="9" fillId="6" borderId="0" xfId="0" applyNumberFormat="1" applyFont="1" applyFill="1" applyAlignment="1">
      <alignment horizontal="right" wrapText="1" indent="1"/>
    </xf>
    <xf numFmtId="1" fontId="9" fillId="6" borderId="0" xfId="0" applyNumberFormat="1" applyFont="1" applyFill="1" applyAlignment="1">
      <alignment horizontal="right" wrapText="1"/>
    </xf>
    <xf numFmtId="167" fontId="8" fillId="6" borderId="78" xfId="0" applyNumberFormat="1" applyFont="1" applyFill="1" applyBorder="1" applyAlignment="1">
      <alignment horizontal="right" vertical="top" wrapText="1" indent="1"/>
    </xf>
    <xf numFmtId="167" fontId="8" fillId="6" borderId="78" xfId="0" applyNumberFormat="1" applyFont="1" applyFill="1" applyBorder="1" applyAlignment="1">
      <alignment horizontal="right" vertical="top" wrapText="1"/>
    </xf>
    <xf numFmtId="164" fontId="59" fillId="6" borderId="0" xfId="0" applyNumberFormat="1" applyFont="1" applyFill="1" applyAlignment="1">
      <alignment horizontal="right" vertical="top" wrapText="1" indent="1"/>
    </xf>
    <xf numFmtId="164" fontId="59" fillId="6" borderId="0" xfId="0" applyNumberFormat="1" applyFont="1" applyFill="1" applyAlignment="1">
      <alignment horizontal="right" vertical="top" wrapText="1"/>
    </xf>
    <xf numFmtId="214" fontId="8" fillId="6" borderId="31" xfId="0" applyNumberFormat="1" applyFont="1" applyFill="1" applyBorder="1" applyAlignment="1">
      <alignment horizontal="right" wrapText="1" indent="1"/>
    </xf>
    <xf numFmtId="214" fontId="8" fillId="6" borderId="31" xfId="0" applyNumberFormat="1" applyFont="1" applyFill="1" applyBorder="1" applyAlignment="1">
      <alignment horizontal="right" wrapText="1"/>
    </xf>
    <xf numFmtId="167" fontId="12" fillId="6" borderId="0" xfId="0" applyNumberFormat="1" applyFont="1" applyFill="1" applyAlignment="1">
      <alignment horizontal="right" vertical="top" wrapText="1" indent="1"/>
    </xf>
    <xf numFmtId="167" fontId="12" fillId="6" borderId="0" xfId="0" applyNumberFormat="1" applyFont="1" applyFill="1" applyAlignment="1">
      <alignment horizontal="right" vertical="top" wrapText="1"/>
    </xf>
    <xf numFmtId="184" fontId="24" fillId="6" borderId="0" xfId="0" applyNumberFormat="1" applyFont="1" applyFill="1" applyAlignment="1">
      <alignment horizontal="center" vertical="top"/>
    </xf>
    <xf numFmtId="184" fontId="24" fillId="6" borderId="0" xfId="0" applyNumberFormat="1" applyFont="1" applyFill="1" applyAlignment="1">
      <alignment horizontal="right" vertical="top" wrapText="1" indent="1"/>
    </xf>
    <xf numFmtId="184" fontId="24" fillId="6" borderId="0" xfId="0" applyNumberFormat="1" applyFont="1" applyFill="1" applyAlignment="1">
      <alignment horizontal="right" vertical="top" wrapText="1"/>
    </xf>
    <xf numFmtId="0" fontId="8" fillId="6" borderId="0" xfId="0" applyFont="1" applyFill="1" applyAlignment="1">
      <alignment horizontal="left" vertical="top" indent="4"/>
    </xf>
    <xf numFmtId="186" fontId="8" fillId="6" borderId="0" xfId="0" applyNumberFormat="1" applyFont="1" applyFill="1" applyAlignment="1">
      <alignment horizontal="right" vertical="top" wrapText="1" indent="1"/>
    </xf>
    <xf numFmtId="186" fontId="8" fillId="6" borderId="0" xfId="0" applyNumberFormat="1" applyFont="1" applyFill="1" applyAlignment="1">
      <alignment horizontal="right" vertical="top" wrapText="1"/>
    </xf>
    <xf numFmtId="201" fontId="59" fillId="6" borderId="0" xfId="0" applyNumberFormat="1" applyFont="1" applyFill="1" applyAlignment="1">
      <alignment horizontal="right" vertical="top" wrapText="1" indent="1"/>
    </xf>
    <xf numFmtId="201" fontId="59" fillId="6" borderId="0" xfId="0" applyNumberFormat="1" applyFont="1" applyFill="1" applyAlignment="1">
      <alignment horizontal="right" vertical="top" wrapText="1"/>
    </xf>
    <xf numFmtId="0" fontId="0" fillId="6" borderId="0" xfId="0" applyFill="1" applyAlignment="1">
      <alignment horizontal="right" vertical="top" wrapText="1" indent="1"/>
    </xf>
    <xf numFmtId="0" fontId="0" fillId="6" borderId="0" xfId="0" applyFill="1" applyAlignment="1">
      <alignment horizontal="right" vertical="top" wrapText="1"/>
    </xf>
    <xf numFmtId="206" fontId="59" fillId="6" borderId="0" xfId="0" applyNumberFormat="1" applyFont="1" applyFill="1" applyAlignment="1">
      <alignment horizontal="center" vertical="top"/>
    </xf>
    <xf numFmtId="206" fontId="59" fillId="6" borderId="0" xfId="0" applyNumberFormat="1" applyFont="1" applyFill="1" applyAlignment="1">
      <alignment horizontal="right" vertical="top" wrapText="1" indent="1"/>
    </xf>
    <xf numFmtId="206" fontId="59" fillId="6" borderId="0" xfId="0" applyNumberFormat="1" applyFont="1" applyFill="1" applyAlignment="1">
      <alignment horizontal="right" vertical="top" wrapText="1"/>
    </xf>
    <xf numFmtId="165" fontId="59" fillId="6" borderId="0" xfId="1" applyNumberFormat="1" applyFont="1" applyFill="1" applyBorder="1" applyAlignment="1">
      <alignment horizontal="right" vertical="top" wrapText="1" indent="1"/>
    </xf>
    <xf numFmtId="165" fontId="59" fillId="6" borderId="0" xfId="1" applyNumberFormat="1" applyFont="1" applyFill="1" applyBorder="1" applyAlignment="1">
      <alignment horizontal="right" vertical="top" wrapText="1"/>
    </xf>
    <xf numFmtId="171" fontId="8" fillId="6" borderId="0" xfId="0" applyNumberFormat="1" applyFont="1" applyFill="1" applyAlignment="1">
      <alignment horizontal="center"/>
    </xf>
    <xf numFmtId="225" fontId="59" fillId="6" borderId="0" xfId="0" applyNumberFormat="1" applyFont="1" applyFill="1" applyAlignment="1">
      <alignment horizontal="center" vertical="top"/>
    </xf>
    <xf numFmtId="232" fontId="59" fillId="6" borderId="0" xfId="0" applyNumberFormat="1" applyFont="1" applyFill="1" applyAlignment="1">
      <alignment horizontal="right" vertical="top" wrapText="1" indent="1"/>
    </xf>
    <xf numFmtId="232" fontId="59" fillId="6" borderId="0" xfId="0" applyNumberFormat="1" applyFont="1" applyFill="1" applyAlignment="1">
      <alignment horizontal="right" vertical="top" wrapText="1"/>
    </xf>
    <xf numFmtId="214" fontId="8" fillId="6" borderId="17" xfId="0" applyNumberFormat="1" applyFont="1" applyFill="1" applyBorder="1" applyAlignment="1">
      <alignment horizontal="right" vertical="top" wrapText="1" indent="1"/>
    </xf>
    <xf numFmtId="214" fontId="8" fillId="6" borderId="17" xfId="0" applyNumberFormat="1" applyFont="1" applyFill="1" applyBorder="1" applyAlignment="1">
      <alignment horizontal="right" vertical="top" wrapText="1"/>
    </xf>
    <xf numFmtId="214" fontId="8" fillId="6" borderId="0" xfId="0" applyNumberFormat="1" applyFont="1" applyFill="1" applyAlignment="1">
      <alignment horizontal="right" vertical="top" wrapText="1" indent="1"/>
    </xf>
    <xf numFmtId="214" fontId="8" fillId="6" borderId="0" xfId="0" applyNumberFormat="1" applyFont="1" applyFill="1" applyAlignment="1">
      <alignment horizontal="right" vertical="top" wrapText="1"/>
    </xf>
    <xf numFmtId="0" fontId="16" fillId="6" borderId="25" xfId="0" applyFont="1" applyFill="1" applyBorder="1" applyAlignment="1">
      <alignment horizontal="left"/>
    </xf>
    <xf numFmtId="167" fontId="12" fillId="6" borderId="25" xfId="0" applyNumberFormat="1" applyFont="1" applyFill="1" applyBorder="1" applyAlignment="1">
      <alignment horizontal="right" wrapText="1" indent="1"/>
    </xf>
    <xf numFmtId="167" fontId="12" fillId="6" borderId="25" xfId="0" applyNumberFormat="1" applyFont="1" applyFill="1" applyBorder="1" applyAlignment="1">
      <alignment horizontal="right" wrapText="1"/>
    </xf>
    <xf numFmtId="167" fontId="4" fillId="6" borderId="12" xfId="0" applyNumberFormat="1" applyFont="1" applyFill="1" applyBorder="1" applyAlignment="1">
      <alignment horizontal="right"/>
    </xf>
    <xf numFmtId="167" fontId="8" fillId="6" borderId="12" xfId="0" applyNumberFormat="1" applyFont="1" applyFill="1" applyBorder="1" applyAlignment="1">
      <alignment horizontal="right" vertical="top"/>
    </xf>
    <xf numFmtId="184" fontId="4" fillId="6" borderId="0" xfId="0" applyNumberFormat="1" applyFont="1" applyFill="1" applyAlignment="1">
      <alignment horizontal="left"/>
    </xf>
    <xf numFmtId="205" fontId="4" fillId="6" borderId="31" xfId="0" applyNumberFormat="1" applyFont="1" applyFill="1" applyBorder="1" applyAlignment="1">
      <alignment horizontal="right"/>
    </xf>
    <xf numFmtId="205" fontId="8" fillId="6" borderId="0" xfId="10" applyNumberFormat="1" applyFont="1" applyFill="1" applyBorder="1" applyAlignment="1">
      <alignment horizontal="right"/>
    </xf>
    <xf numFmtId="0" fontId="16" fillId="6" borderId="303" xfId="0" applyFont="1" applyFill="1" applyBorder="1"/>
    <xf numFmtId="0" fontId="16" fillId="6" borderId="303" xfId="0" applyFont="1" applyFill="1" applyBorder="1" applyAlignment="1">
      <alignment horizontal="left"/>
    </xf>
    <xf numFmtId="0" fontId="4" fillId="6" borderId="303" xfId="0" applyFont="1" applyFill="1" applyBorder="1" applyAlignment="1">
      <alignment horizontal="center"/>
    </xf>
    <xf numFmtId="0" fontId="16" fillId="6" borderId="303" xfId="0" applyFont="1" applyFill="1" applyBorder="1" applyAlignment="1">
      <alignment horizontal="right"/>
    </xf>
    <xf numFmtId="0" fontId="4" fillId="6" borderId="303" xfId="0" applyFont="1" applyFill="1" applyBorder="1"/>
    <xf numFmtId="205" fontId="16" fillId="6" borderId="304" xfId="0" applyNumberFormat="1" applyFont="1" applyFill="1" applyBorder="1" applyAlignment="1">
      <alignment horizontal="right"/>
    </xf>
    <xf numFmtId="0" fontId="16" fillId="6" borderId="42" xfId="0" applyFont="1" applyFill="1" applyBorder="1" applyAlignment="1">
      <alignment horizontal="right"/>
    </xf>
    <xf numFmtId="8" fontId="4" fillId="3" borderId="0" xfId="0" applyNumberFormat="1" applyFont="1" applyFill="1" applyAlignment="1">
      <alignment vertical="center"/>
    </xf>
    <xf numFmtId="235" fontId="4" fillId="6" borderId="0" xfId="0" applyNumberFormat="1" applyFont="1" applyFill="1" applyAlignment="1">
      <alignment horizontal="center"/>
    </xf>
    <xf numFmtId="184" fontId="4" fillId="6" borderId="25" xfId="0" applyNumberFormat="1" applyFont="1" applyFill="1" applyBorder="1" applyAlignment="1">
      <alignment horizontal="left" vertical="center"/>
    </xf>
    <xf numFmtId="175" fontId="16" fillId="6" borderId="25" xfId="0" applyNumberFormat="1" applyFont="1" applyFill="1" applyBorder="1" applyAlignment="1">
      <alignment horizontal="center" vertical="center"/>
    </xf>
    <xf numFmtId="205" fontId="16" fillId="6" borderId="25" xfId="0" applyNumberFormat="1" applyFont="1" applyFill="1" applyBorder="1" applyAlignment="1">
      <alignment horizontal="right" vertical="center"/>
    </xf>
    <xf numFmtId="195" fontId="5" fillId="18" borderId="0" xfId="0" applyNumberFormat="1" applyFont="1" applyFill="1"/>
    <xf numFmtId="185" fontId="4" fillId="6" borderId="0" xfId="0" applyNumberFormat="1" applyFont="1" applyFill="1" applyAlignment="1">
      <alignment horizontal="left"/>
    </xf>
    <xf numFmtId="213" fontId="4" fillId="6" borderId="0" xfId="0" applyNumberFormat="1" applyFont="1" applyFill="1" applyAlignment="1">
      <alignment horizontal="left"/>
    </xf>
    <xf numFmtId="176" fontId="4" fillId="6" borderId="0" xfId="0" applyNumberFormat="1" applyFont="1" applyFill="1" applyAlignment="1">
      <alignment horizontal="left"/>
    </xf>
    <xf numFmtId="165" fontId="4" fillId="6" borderId="0" xfId="1" applyNumberFormat="1" applyFont="1" applyFill="1" applyBorder="1" applyAlignment="1">
      <alignment horizontal="left"/>
    </xf>
    <xf numFmtId="3" fontId="4" fillId="6" borderId="0" xfId="0" applyNumberFormat="1" applyFont="1" applyFill="1" applyAlignment="1">
      <alignment horizontal="left"/>
    </xf>
    <xf numFmtId="165" fontId="4" fillId="6" borderId="0" xfId="0" applyNumberFormat="1" applyFont="1" applyFill="1" applyAlignment="1">
      <alignment horizontal="left"/>
    </xf>
    <xf numFmtId="228" fontId="4" fillId="6" borderId="0" xfId="0" applyNumberFormat="1" applyFont="1" applyFill="1" applyAlignment="1">
      <alignment horizontal="left"/>
    </xf>
    <xf numFmtId="222" fontId="4" fillId="6" borderId="0" xfId="0" applyNumberFormat="1" applyFont="1" applyFill="1" applyAlignment="1">
      <alignment horizontal="left"/>
    </xf>
    <xf numFmtId="164" fontId="4" fillId="6" borderId="0" xfId="0" applyNumberFormat="1" applyFont="1" applyFill="1" applyAlignment="1">
      <alignment horizontal="left"/>
    </xf>
    <xf numFmtId="0" fontId="9" fillId="18" borderId="0" xfId="0" applyFont="1" applyFill="1" applyAlignment="1">
      <alignment horizontal="center" vertical="top"/>
    </xf>
    <xf numFmtId="0" fontId="11" fillId="18" borderId="0" xfId="0" applyFont="1" applyFill="1" applyAlignment="1">
      <alignment horizontal="center" vertical="top" wrapText="1"/>
    </xf>
    <xf numFmtId="173" fontId="11" fillId="18" borderId="0" xfId="0" applyNumberFormat="1" applyFont="1" applyFill="1" applyAlignment="1">
      <alignment horizontal="right" vertical="top" indent="1"/>
    </xf>
    <xf numFmtId="173" fontId="11" fillId="18" borderId="0" xfId="0" applyNumberFormat="1" applyFont="1" applyFill="1" applyAlignment="1">
      <alignment horizontal="right" vertical="top"/>
    </xf>
    <xf numFmtId="173" fontId="11" fillId="18" borderId="0" xfId="0" applyNumberFormat="1" applyFont="1" applyFill="1" applyAlignment="1">
      <alignment horizontal="center"/>
    </xf>
    <xf numFmtId="174" fontId="4" fillId="6" borderId="0" xfId="0" applyNumberFormat="1" applyFont="1" applyFill="1" applyAlignment="1">
      <alignment horizontal="right"/>
    </xf>
    <xf numFmtId="164" fontId="8" fillId="6" borderId="31" xfId="0" applyNumberFormat="1" applyFont="1" applyFill="1" applyBorder="1" applyAlignment="1">
      <alignment horizontal="right"/>
    </xf>
    <xf numFmtId="167" fontId="4" fillId="6" borderId="31" xfId="0" applyNumberFormat="1" applyFont="1" applyFill="1" applyBorder="1" applyAlignment="1">
      <alignment horizontal="right"/>
    </xf>
    <xf numFmtId="225" fontId="4" fillId="6" borderId="31" xfId="0" applyNumberFormat="1" applyFont="1" applyFill="1" applyBorder="1" applyAlignment="1">
      <alignment horizontal="right"/>
    </xf>
    <xf numFmtId="0" fontId="16" fillId="6" borderId="25" xfId="0" applyFont="1" applyFill="1" applyBorder="1" applyAlignment="1">
      <alignment vertical="center"/>
    </xf>
    <xf numFmtId="165" fontId="16" fillId="6" borderId="33" xfId="1" applyNumberFormat="1" applyFont="1" applyFill="1" applyBorder="1" applyAlignment="1">
      <alignment horizontal="right" vertical="center"/>
    </xf>
    <xf numFmtId="1" fontId="4" fillId="6" borderId="0" xfId="0" applyNumberFormat="1" applyFont="1" applyFill="1" applyAlignment="1">
      <alignment horizontal="right"/>
    </xf>
    <xf numFmtId="1" fontId="4" fillId="6" borderId="25" xfId="0" applyNumberFormat="1" applyFont="1" applyFill="1" applyBorder="1" applyAlignment="1">
      <alignment horizontal="right"/>
    </xf>
    <xf numFmtId="199" fontId="4" fillId="6" borderId="0" xfId="0" applyNumberFormat="1" applyFont="1" applyFill="1" applyAlignment="1">
      <alignment horizontal="right" vertical="center"/>
    </xf>
    <xf numFmtId="0" fontId="0" fillId="6" borderId="0" xfId="0" applyFill="1" applyAlignment="1">
      <alignment horizontal="left" vertical="center"/>
    </xf>
    <xf numFmtId="0" fontId="82" fillId="2" borderId="0" xfId="0" applyFont="1" applyFill="1" applyAlignment="1">
      <alignment horizontal="left"/>
    </xf>
    <xf numFmtId="0" fontId="11" fillId="18" borderId="0" xfId="0" applyFont="1" applyFill="1" applyAlignment="1">
      <alignment horizontal="right" wrapText="1"/>
    </xf>
    <xf numFmtId="0" fontId="56" fillId="6" borderId="0" xfId="0" applyFont="1" applyFill="1" applyAlignment="1">
      <alignment horizontal="right"/>
    </xf>
    <xf numFmtId="228" fontId="4" fillId="6" borderId="0" xfId="0" applyNumberFormat="1" applyFont="1" applyFill="1"/>
    <xf numFmtId="165" fontId="4" fillId="6" borderId="31" xfId="1" applyNumberFormat="1" applyFont="1" applyFill="1" applyBorder="1"/>
    <xf numFmtId="165" fontId="4" fillId="6" borderId="0" xfId="1" applyNumberFormat="1" applyFont="1" applyFill="1" applyBorder="1" applyAlignment="1">
      <alignment vertical="top"/>
    </xf>
    <xf numFmtId="165" fontId="16" fillId="6" borderId="31" xfId="1" applyNumberFormat="1" applyFont="1" applyFill="1" applyBorder="1"/>
    <xf numFmtId="165" fontId="4" fillId="6" borderId="0" xfId="1" applyNumberFormat="1" applyFont="1" applyFill="1" applyBorder="1" applyAlignment="1">
      <alignment horizontal="right" vertical="top"/>
    </xf>
    <xf numFmtId="165" fontId="16" fillId="6" borderId="25" xfId="0" applyNumberFormat="1" applyFont="1" applyFill="1" applyBorder="1" applyAlignment="1">
      <alignment horizontal="right"/>
    </xf>
    <xf numFmtId="167" fontId="0" fillId="6" borderId="0" xfId="0" applyNumberFormat="1" applyFill="1" applyAlignment="1">
      <alignment horizontal="right"/>
    </xf>
    <xf numFmtId="167" fontId="0" fillId="6" borderId="0" xfId="0" applyNumberFormat="1" applyFill="1"/>
    <xf numFmtId="165" fontId="0" fillId="6" borderId="31" xfId="0" applyNumberFormat="1" applyFill="1" applyBorder="1" applyAlignment="1">
      <alignment horizontal="right"/>
    </xf>
    <xf numFmtId="0" fontId="0" fillId="6" borderId="31" xfId="0" applyFill="1" applyBorder="1" applyAlignment="1">
      <alignment horizontal="right"/>
    </xf>
    <xf numFmtId="0" fontId="0" fillId="6" borderId="149" xfId="0" applyFill="1" applyBorder="1"/>
    <xf numFmtId="232" fontId="0" fillId="6" borderId="149" xfId="1" applyNumberFormat="1" applyFont="1" applyFill="1" applyBorder="1" applyAlignment="1">
      <alignment horizontal="right"/>
    </xf>
    <xf numFmtId="0" fontId="0" fillId="6" borderId="149" xfId="0" applyFill="1" applyBorder="1" applyAlignment="1">
      <alignment horizontal="right"/>
    </xf>
    <xf numFmtId="1" fontId="0" fillId="6" borderId="0" xfId="0" applyNumberFormat="1" applyFill="1" applyAlignment="1">
      <alignment horizontal="right"/>
    </xf>
    <xf numFmtId="3" fontId="0" fillId="6" borderId="0" xfId="0" applyNumberFormat="1" applyFill="1" applyAlignment="1">
      <alignment horizontal="right"/>
    </xf>
    <xf numFmtId="249" fontId="0" fillId="6" borderId="31" xfId="1" applyNumberFormat="1" applyFont="1" applyFill="1" applyBorder="1" applyAlignment="1">
      <alignment horizontal="right"/>
    </xf>
    <xf numFmtId="249" fontId="0" fillId="6" borderId="31" xfId="0" applyNumberFormat="1" applyFill="1" applyBorder="1" applyAlignment="1">
      <alignment horizontal="right"/>
    </xf>
    <xf numFmtId="249" fontId="0" fillId="6" borderId="31" xfId="0" applyNumberFormat="1" applyFill="1" applyBorder="1"/>
    <xf numFmtId="0" fontId="4" fillId="6" borderId="149" xfId="0" applyFont="1" applyFill="1" applyBorder="1" applyAlignment="1">
      <alignment horizontal="left"/>
    </xf>
    <xf numFmtId="185" fontId="4" fillId="6" borderId="149" xfId="0" applyNumberFormat="1" applyFont="1" applyFill="1" applyBorder="1" applyAlignment="1">
      <alignment horizontal="right"/>
    </xf>
    <xf numFmtId="0" fontId="0" fillId="6" borderId="149" xfId="0" applyFill="1" applyBorder="1" applyAlignment="1">
      <alignment horizontal="left"/>
    </xf>
    <xf numFmtId="185" fontId="8" fillId="6" borderId="149" xfId="0" applyNumberFormat="1" applyFont="1" applyFill="1" applyBorder="1" applyAlignment="1">
      <alignment horizontal="right"/>
    </xf>
    <xf numFmtId="185" fontId="4" fillId="6" borderId="149" xfId="0" applyNumberFormat="1" applyFont="1" applyFill="1" applyBorder="1" applyAlignment="1">
      <alignment horizontal="right" vertical="top"/>
    </xf>
    <xf numFmtId="0" fontId="8" fillId="6" borderId="149" xfId="0" applyFont="1" applyFill="1" applyBorder="1" applyAlignment="1">
      <alignment horizontal="right"/>
    </xf>
    <xf numFmtId="185" fontId="4" fillId="6" borderId="0" xfId="0" applyNumberFormat="1" applyFont="1" applyFill="1" applyAlignment="1">
      <alignment horizontal="right" vertical="top"/>
    </xf>
    <xf numFmtId="0" fontId="8" fillId="6" borderId="31" xfId="0" applyFont="1" applyFill="1" applyBorder="1" applyAlignment="1" applyProtection="1">
      <alignment horizontal="left"/>
      <protection hidden="1"/>
    </xf>
    <xf numFmtId="185" fontId="8" fillId="6" borderId="31" xfId="0" applyNumberFormat="1" applyFont="1" applyFill="1" applyBorder="1" applyAlignment="1">
      <alignment horizontal="right"/>
    </xf>
    <xf numFmtId="185" fontId="4" fillId="6" borderId="31" xfId="0" applyNumberFormat="1" applyFont="1" applyFill="1" applyBorder="1" applyAlignment="1">
      <alignment horizontal="right" vertical="top"/>
    </xf>
    <xf numFmtId="0" fontId="8" fillId="6" borderId="31" xfId="0" applyFont="1" applyFill="1" applyBorder="1" applyAlignment="1">
      <alignment horizontal="right"/>
    </xf>
    <xf numFmtId="185" fontId="4" fillId="6" borderId="149" xfId="0" applyNumberFormat="1" applyFont="1" applyFill="1" applyBorder="1" applyAlignment="1">
      <alignment horizontal="center"/>
    </xf>
    <xf numFmtId="185" fontId="55" fillId="6" borderId="149" xfId="0" applyNumberFormat="1" applyFont="1" applyFill="1" applyBorder="1" applyAlignment="1">
      <alignment horizontal="center"/>
    </xf>
    <xf numFmtId="165" fontId="55" fillId="6" borderId="149" xfId="0" applyNumberFormat="1" applyFont="1" applyFill="1" applyBorder="1" applyAlignment="1">
      <alignment horizontal="center"/>
    </xf>
    <xf numFmtId="165" fontId="55" fillId="6" borderId="0" xfId="0" applyNumberFormat="1" applyFont="1" applyFill="1" applyAlignment="1">
      <alignment horizontal="center"/>
    </xf>
    <xf numFmtId="185" fontId="4" fillId="6" borderId="31" xfId="0" applyNumberFormat="1" applyFont="1" applyFill="1" applyBorder="1" applyAlignment="1">
      <alignment horizontal="center"/>
    </xf>
    <xf numFmtId="185" fontId="55" fillId="6" borderId="31" xfId="0" applyNumberFormat="1" applyFont="1" applyFill="1" applyBorder="1" applyAlignment="1">
      <alignment horizontal="center"/>
    </xf>
    <xf numFmtId="165" fontId="55" fillId="6" borderId="31" xfId="0" applyNumberFormat="1" applyFont="1" applyFill="1" applyBorder="1" applyAlignment="1">
      <alignment horizontal="center"/>
    </xf>
    <xf numFmtId="165" fontId="9" fillId="6" borderId="0" xfId="0" applyNumberFormat="1" applyFont="1" applyFill="1" applyAlignment="1">
      <alignment horizontal="left"/>
    </xf>
    <xf numFmtId="0" fontId="16" fillId="6" borderId="0" xfId="0" applyFont="1" applyFill="1" applyAlignment="1">
      <alignment horizontal="right" vertical="top"/>
    </xf>
    <xf numFmtId="3" fontId="4" fillId="6" borderId="149" xfId="0" applyNumberFormat="1" applyFont="1" applyFill="1" applyBorder="1" applyAlignment="1">
      <alignment horizontal="right"/>
    </xf>
    <xf numFmtId="3" fontId="4" fillId="6" borderId="31" xfId="0" applyNumberFormat="1" applyFont="1" applyFill="1" applyBorder="1" applyAlignment="1">
      <alignment horizontal="right"/>
    </xf>
    <xf numFmtId="0" fontId="16" fillId="6" borderId="33" xfId="0" applyFont="1" applyFill="1" applyBorder="1" applyAlignment="1">
      <alignment vertical="top"/>
    </xf>
    <xf numFmtId="3" fontId="4" fillId="6" borderId="33" xfId="0" applyNumberFormat="1" applyFont="1" applyFill="1" applyBorder="1" applyAlignment="1">
      <alignment horizontal="right" vertical="top"/>
    </xf>
    <xf numFmtId="185" fontId="0" fillId="6" borderId="33" xfId="0" applyNumberFormat="1" applyFill="1" applyBorder="1" applyAlignment="1">
      <alignment horizontal="right" vertical="top"/>
    </xf>
    <xf numFmtId="185" fontId="4" fillId="6" borderId="33" xfId="0" applyNumberFormat="1" applyFont="1" applyFill="1" applyBorder="1" applyAlignment="1">
      <alignment horizontal="right" vertical="top"/>
    </xf>
    <xf numFmtId="174" fontId="4" fillId="6" borderId="0" xfId="0" applyNumberFormat="1" applyFont="1" applyFill="1" applyAlignment="1">
      <alignment vertical="top"/>
    </xf>
    <xf numFmtId="201" fontId="55" fillId="6" borderId="0" xfId="0" applyNumberFormat="1" applyFont="1" applyFill="1"/>
    <xf numFmtId="0" fontId="16" fillId="6" borderId="0" xfId="0" applyFont="1" applyFill="1" applyAlignment="1">
      <alignment wrapText="1"/>
    </xf>
    <xf numFmtId="218" fontId="4" fillId="6" borderId="0" xfId="0" applyNumberFormat="1" applyFont="1" applyFill="1" applyAlignment="1">
      <alignment horizontal="left" indent="1"/>
    </xf>
    <xf numFmtId="0" fontId="16" fillId="6" borderId="0" xfId="0" applyFont="1" applyFill="1" applyAlignment="1">
      <alignment horizontal="center" vertical="top"/>
    </xf>
    <xf numFmtId="0" fontId="16" fillId="6" borderId="31" xfId="0" applyFont="1" applyFill="1" applyBorder="1" applyAlignment="1">
      <alignment horizontal="right" vertical="top"/>
    </xf>
    <xf numFmtId="165" fontId="4" fillId="6" borderId="78" xfId="0" applyNumberFormat="1" applyFont="1" applyFill="1" applyBorder="1" applyAlignment="1">
      <alignment horizontal="right" vertical="top"/>
    </xf>
    <xf numFmtId="185" fontId="4" fillId="6" borderId="78" xfId="0" applyNumberFormat="1" applyFont="1" applyFill="1" applyBorder="1" applyAlignment="1">
      <alignment horizontal="right" vertical="top"/>
    </xf>
    <xf numFmtId="165" fontId="4" fillId="6" borderId="31" xfId="0" applyNumberFormat="1" applyFont="1" applyFill="1" applyBorder="1" applyAlignment="1">
      <alignment horizontal="right" vertical="top"/>
    </xf>
    <xf numFmtId="165" fontId="4" fillId="6" borderId="33" xfId="0" applyNumberFormat="1" applyFont="1" applyFill="1" applyBorder="1" applyAlignment="1">
      <alignment horizontal="right" vertical="top"/>
    </xf>
    <xf numFmtId="0" fontId="4" fillId="6" borderId="25" xfId="0" applyFont="1" applyFill="1" applyBorder="1" applyAlignment="1">
      <alignment horizontal="center" vertical="top"/>
    </xf>
    <xf numFmtId="0" fontId="4" fillId="6" borderId="33" xfId="0" applyFont="1" applyFill="1" applyBorder="1" applyAlignment="1">
      <alignment horizontal="right" vertical="top"/>
    </xf>
    <xf numFmtId="0" fontId="4" fillId="6" borderId="33" xfId="0" applyFont="1" applyFill="1" applyBorder="1" applyAlignment="1">
      <alignment horizontal="center" vertical="top"/>
    </xf>
    <xf numFmtId="0" fontId="4" fillId="6" borderId="31" xfId="0" applyFont="1" applyFill="1" applyBorder="1" applyAlignment="1">
      <alignment vertical="top"/>
    </xf>
    <xf numFmtId="205" fontId="4" fillId="6" borderId="31" xfId="0" applyNumberFormat="1" applyFont="1" applyFill="1" applyBorder="1" applyAlignment="1">
      <alignment horizontal="right" vertical="top"/>
    </xf>
    <xf numFmtId="0" fontId="4" fillId="6" borderId="33" xfId="0" applyFont="1" applyFill="1" applyBorder="1" applyAlignment="1">
      <alignment vertical="top"/>
    </xf>
    <xf numFmtId="0" fontId="16" fillId="18" borderId="0" xfId="0" applyFont="1" applyFill="1"/>
    <xf numFmtId="0" fontId="11" fillId="18" borderId="0" xfId="0" applyFont="1" applyFill="1" applyAlignment="1">
      <alignment horizontal="center" wrapText="1"/>
    </xf>
    <xf numFmtId="167" fontId="11" fillId="18" borderId="0" xfId="0" applyNumberFormat="1" applyFont="1" applyFill="1" applyAlignment="1">
      <alignment horizontal="right" vertical="center"/>
    </xf>
    <xf numFmtId="0" fontId="5" fillId="18" borderId="0" xfId="0" applyFont="1" applyFill="1" applyAlignment="1">
      <alignment vertical="top"/>
    </xf>
    <xf numFmtId="0" fontId="9" fillId="18" borderId="0" xfId="0" applyFont="1" applyFill="1" applyAlignment="1">
      <alignment horizontal="right"/>
    </xf>
    <xf numFmtId="167" fontId="11" fillId="18" borderId="0" xfId="0" applyNumberFormat="1" applyFont="1" applyFill="1" applyAlignment="1">
      <alignment horizontal="center"/>
    </xf>
    <xf numFmtId="164" fontId="11" fillId="18" borderId="0" xfId="0" applyNumberFormat="1" applyFont="1" applyFill="1"/>
    <xf numFmtId="266" fontId="8" fillId="6" borderId="0" xfId="0" applyNumberFormat="1" applyFont="1" applyFill="1" applyAlignment="1">
      <alignment horizontal="right" vertical="center"/>
    </xf>
    <xf numFmtId="3" fontId="8" fillId="6" borderId="0" xfId="0" applyNumberFormat="1" applyFont="1" applyFill="1" applyAlignment="1">
      <alignment horizontal="right" vertical="center"/>
    </xf>
    <xf numFmtId="167" fontId="8" fillId="6" borderId="0" xfId="0" applyNumberFormat="1" applyFont="1" applyFill="1" applyAlignment="1">
      <alignment horizontal="right" vertical="center"/>
    </xf>
    <xf numFmtId="172" fontId="4" fillId="6" borderId="0" xfId="0" applyNumberFormat="1" applyFont="1" applyFill="1" applyAlignment="1">
      <alignment vertical="center"/>
    </xf>
    <xf numFmtId="0" fontId="9" fillId="2" borderId="0" xfId="0" applyFont="1" applyFill="1" applyAlignment="1">
      <alignment horizontal="right"/>
    </xf>
    <xf numFmtId="1" fontId="8" fillId="2" borderId="0" xfId="0" applyNumberFormat="1" applyFont="1" applyFill="1" applyAlignment="1">
      <alignment horizontal="right" vertical="top"/>
    </xf>
    <xf numFmtId="164" fontId="8" fillId="6" borderId="0" xfId="0" applyNumberFormat="1" applyFont="1" applyFill="1" applyAlignment="1">
      <alignment horizontal="right" vertical="top" wrapText="1"/>
    </xf>
    <xf numFmtId="167" fontId="8" fillId="6" borderId="0" xfId="0" applyNumberFormat="1" applyFont="1" applyFill="1"/>
    <xf numFmtId="1" fontId="4" fillId="2" borderId="0" xfId="0" applyNumberFormat="1" applyFont="1" applyFill="1" applyAlignment="1">
      <alignment horizontal="left" vertical="top" wrapText="1"/>
    </xf>
    <xf numFmtId="168" fontId="4" fillId="2" borderId="0" xfId="0" applyNumberFormat="1" applyFont="1" applyFill="1" applyAlignment="1">
      <alignment horizontal="center" vertical="top"/>
    </xf>
    <xf numFmtId="1" fontId="4" fillId="2" borderId="0" xfId="0" applyNumberFormat="1" applyFont="1" applyFill="1" applyAlignment="1">
      <alignment horizontal="center" vertical="top"/>
    </xf>
    <xf numFmtId="170" fontId="4" fillId="2" borderId="0" xfId="0" applyNumberFormat="1" applyFont="1" applyFill="1" applyAlignment="1">
      <alignment horizontal="center" vertical="top"/>
    </xf>
    <xf numFmtId="0" fontId="9" fillId="2" borderId="0" xfId="0" applyFont="1" applyFill="1" applyAlignment="1">
      <alignment horizontal="left" wrapText="1"/>
    </xf>
    <xf numFmtId="168" fontId="8" fillId="2" borderId="0" xfId="0" applyNumberFormat="1" applyFont="1" applyFill="1" applyAlignment="1">
      <alignment horizontal="left" vertical="top"/>
    </xf>
    <xf numFmtId="3" fontId="8" fillId="2" borderId="0" xfId="0" applyNumberFormat="1" applyFont="1" applyFill="1" applyAlignment="1">
      <alignment horizontal="left" vertical="top"/>
    </xf>
    <xf numFmtId="6" fontId="8" fillId="2" borderId="0" xfId="0" applyNumberFormat="1" applyFont="1" applyFill="1" applyAlignment="1">
      <alignment horizontal="right" vertical="top"/>
    </xf>
    <xf numFmtId="0" fontId="8" fillId="2" borderId="0" xfId="0" applyFont="1" applyFill="1" applyAlignment="1">
      <alignment horizontal="left" vertical="top" wrapText="1"/>
    </xf>
    <xf numFmtId="0" fontId="0" fillId="6" borderId="0" xfId="0" applyFill="1" applyAlignment="1" applyProtection="1">
      <alignment horizontal="left"/>
      <protection hidden="1"/>
    </xf>
    <xf numFmtId="185" fontId="8" fillId="6" borderId="0" xfId="0" applyNumberFormat="1" applyFont="1" applyFill="1" applyAlignment="1">
      <alignment horizontal="right"/>
    </xf>
    <xf numFmtId="0" fontId="8" fillId="6" borderId="0" xfId="0" applyFont="1" applyFill="1" applyAlignment="1" applyProtection="1">
      <alignment horizontal="left"/>
      <protection hidden="1"/>
    </xf>
    <xf numFmtId="185" fontId="4" fillId="6" borderId="0" xfId="0" applyNumberFormat="1" applyFont="1" applyFill="1" applyAlignment="1">
      <alignment horizontal="right"/>
    </xf>
    <xf numFmtId="185" fontId="55" fillId="6" borderId="0" xfId="0" applyNumberFormat="1" applyFont="1" applyFill="1" applyAlignment="1">
      <alignment horizontal="center"/>
    </xf>
    <xf numFmtId="0" fontId="85" fillId="18" borderId="0" xfId="0" applyFont="1" applyFill="1" applyAlignment="1">
      <alignment horizontal="left" indent="1"/>
    </xf>
    <xf numFmtId="232" fontId="8" fillId="2" borderId="0" xfId="0" applyNumberFormat="1" applyFont="1" applyFill="1" applyAlignment="1">
      <alignment horizontal="right" vertical="top"/>
    </xf>
    <xf numFmtId="184" fontId="12" fillId="5" borderId="0" xfId="0" applyNumberFormat="1" applyFont="1" applyFill="1" applyAlignment="1">
      <alignment horizontal="right"/>
    </xf>
    <xf numFmtId="0" fontId="12" fillId="5" borderId="0" xfId="0" applyFont="1" applyFill="1" applyAlignment="1">
      <alignment horizontal="right"/>
    </xf>
    <xf numFmtId="180" fontId="12" fillId="5" borderId="0" xfId="0" applyNumberFormat="1" applyFont="1" applyFill="1" applyAlignment="1">
      <alignment horizontal="right"/>
    </xf>
    <xf numFmtId="181" fontId="12" fillId="5" borderId="0" xfId="0" applyNumberFormat="1" applyFont="1" applyFill="1" applyAlignment="1">
      <alignment horizontal="right"/>
    </xf>
    <xf numFmtId="244" fontId="12" fillId="5" borderId="0" xfId="0" applyNumberFormat="1" applyFont="1" applyFill="1" applyAlignment="1">
      <alignment horizontal="right"/>
    </xf>
    <xf numFmtId="1" fontId="12" fillId="5" borderId="0" xfId="0" applyNumberFormat="1" applyFont="1" applyFill="1" applyAlignment="1">
      <alignment horizontal="right"/>
    </xf>
    <xf numFmtId="199" fontId="12" fillId="5" borderId="0" xfId="0" applyNumberFormat="1" applyFont="1" applyFill="1" applyAlignment="1">
      <alignment horizontal="right"/>
    </xf>
    <xf numFmtId="167" fontId="12" fillId="5" borderId="33" xfId="0" applyNumberFormat="1" applyFont="1" applyFill="1" applyBorder="1" applyAlignment="1">
      <alignment horizontal="right"/>
    </xf>
    <xf numFmtId="0" fontId="8" fillId="5" borderId="0" xfId="0" applyFont="1" applyFill="1" applyAlignment="1" applyProtection="1">
      <alignment horizontal="left" indent="2"/>
      <protection hidden="1"/>
    </xf>
    <xf numFmtId="241" fontId="12" fillId="5" borderId="0" xfId="0" applyNumberFormat="1" applyFont="1" applyFill="1" applyAlignment="1">
      <alignment horizontal="right"/>
    </xf>
    <xf numFmtId="0" fontId="0" fillId="5" borderId="149" xfId="0" applyFill="1" applyBorder="1" applyAlignment="1">
      <alignment horizontal="left" indent="1"/>
    </xf>
    <xf numFmtId="167" fontId="4" fillId="5" borderId="149" xfId="0" applyNumberFormat="1" applyFont="1" applyFill="1" applyBorder="1" applyAlignment="1">
      <alignment horizontal="right"/>
    </xf>
    <xf numFmtId="167" fontId="16" fillId="5" borderId="149" xfId="0" applyNumberFormat="1" applyFont="1" applyFill="1" applyBorder="1" applyAlignment="1">
      <alignment horizontal="right"/>
    </xf>
    <xf numFmtId="242" fontId="12" fillId="5" borderId="0" xfId="0" applyNumberFormat="1" applyFont="1" applyFill="1" applyAlignment="1">
      <alignment horizontal="right"/>
    </xf>
    <xf numFmtId="0" fontId="0" fillId="5" borderId="16" xfId="0" applyFill="1" applyBorder="1" applyAlignment="1">
      <alignment horizontal="left" indent="1"/>
    </xf>
    <xf numFmtId="242" fontId="0" fillId="5" borderId="0" xfId="0" applyNumberFormat="1" applyFill="1" applyAlignment="1">
      <alignment horizontal="right"/>
    </xf>
    <xf numFmtId="242" fontId="16" fillId="5" borderId="31" xfId="0" applyNumberFormat="1" applyFont="1" applyFill="1" applyBorder="1" applyAlignment="1">
      <alignment horizontal="right"/>
    </xf>
    <xf numFmtId="167" fontId="16" fillId="5" borderId="33" xfId="0" applyNumberFormat="1" applyFont="1" applyFill="1" applyBorder="1" applyAlignment="1">
      <alignment horizontal="right"/>
    </xf>
    <xf numFmtId="0" fontId="0" fillId="5" borderId="0" xfId="0" applyFill="1" applyAlignment="1">
      <alignment horizontal="left" indent="2"/>
    </xf>
    <xf numFmtId="242" fontId="16" fillId="5" borderId="0" xfId="0" applyNumberFormat="1" applyFont="1" applyFill="1" applyAlignment="1">
      <alignment horizontal="right"/>
    </xf>
    <xf numFmtId="167" fontId="12" fillId="5" borderId="149" xfId="0" applyNumberFormat="1" applyFont="1" applyFill="1" applyBorder="1" applyAlignment="1">
      <alignment horizontal="right"/>
    </xf>
    <xf numFmtId="240" fontId="8" fillId="5" borderId="0" xfId="0" applyNumberFormat="1" applyFont="1" applyFill="1" applyAlignment="1">
      <alignment horizontal="right"/>
    </xf>
    <xf numFmtId="240" fontId="8" fillId="5" borderId="31" xfId="0" applyNumberFormat="1" applyFont="1" applyFill="1" applyBorder="1" applyAlignment="1">
      <alignment horizontal="right"/>
    </xf>
    <xf numFmtId="164" fontId="12" fillId="5" borderId="33" xfId="0" applyNumberFormat="1" applyFont="1" applyFill="1" applyBorder="1" applyAlignment="1">
      <alignment horizontal="right"/>
    </xf>
    <xf numFmtId="167" fontId="12" fillId="6" borderId="305" xfId="0" applyNumberFormat="1" applyFont="1" applyFill="1" applyBorder="1" applyAlignment="1">
      <alignment horizontal="right"/>
    </xf>
    <xf numFmtId="167" fontId="16" fillId="6" borderId="306" xfId="0" applyNumberFormat="1" applyFont="1" applyFill="1" applyBorder="1" applyAlignment="1">
      <alignment horizontal="right"/>
    </xf>
    <xf numFmtId="167" fontId="16" fillId="6" borderId="307" xfId="0" applyNumberFormat="1" applyFont="1" applyFill="1" applyBorder="1" applyAlignment="1">
      <alignment horizontal="right"/>
    </xf>
    <xf numFmtId="167" fontId="4" fillId="6" borderId="273" xfId="0" applyNumberFormat="1" applyFont="1" applyFill="1" applyBorder="1" applyAlignment="1">
      <alignment horizontal="right"/>
    </xf>
    <xf numFmtId="167" fontId="4" fillId="6" borderId="274" xfId="0" applyNumberFormat="1" applyFont="1" applyFill="1" applyBorder="1" applyAlignment="1">
      <alignment horizontal="right"/>
    </xf>
    <xf numFmtId="167" fontId="4" fillId="6" borderId="275" xfId="0" applyNumberFormat="1" applyFont="1" applyFill="1" applyBorder="1" applyAlignment="1">
      <alignment horizontal="right"/>
    </xf>
    <xf numFmtId="167" fontId="4" fillId="6" borderId="276" xfId="0" applyNumberFormat="1" applyFont="1" applyFill="1" applyBorder="1" applyAlignment="1">
      <alignment horizontal="right"/>
    </xf>
    <xf numFmtId="167" fontId="4" fillId="6" borderId="277" xfId="0" applyNumberFormat="1" applyFont="1" applyFill="1" applyBorder="1" applyAlignment="1">
      <alignment horizontal="right"/>
    </xf>
    <xf numFmtId="167" fontId="4" fillId="6" borderId="262" xfId="0" applyNumberFormat="1" applyFont="1" applyFill="1" applyBorder="1" applyAlignment="1">
      <alignment horizontal="right"/>
    </xf>
    <xf numFmtId="167" fontId="4" fillId="6" borderId="137" xfId="0" applyNumberFormat="1" applyFont="1" applyFill="1" applyBorder="1" applyAlignment="1">
      <alignment horizontal="right"/>
    </xf>
    <xf numFmtId="167" fontId="4" fillId="6" borderId="138" xfId="0" applyNumberFormat="1" applyFont="1" applyFill="1" applyBorder="1" applyAlignment="1">
      <alignment horizontal="right"/>
    </xf>
    <xf numFmtId="167" fontId="4" fillId="6" borderId="139" xfId="0" applyNumberFormat="1" applyFont="1" applyFill="1" applyBorder="1" applyAlignment="1">
      <alignment horizontal="right"/>
    </xf>
    <xf numFmtId="192" fontId="8" fillId="6" borderId="273" xfId="0" applyNumberFormat="1" applyFont="1" applyFill="1" applyBorder="1" applyAlignment="1">
      <alignment horizontal="right"/>
    </xf>
    <xf numFmtId="192" fontId="4" fillId="6" borderId="274" xfId="0" applyNumberFormat="1" applyFont="1" applyFill="1" applyBorder="1" applyAlignment="1">
      <alignment horizontal="right"/>
    </xf>
    <xf numFmtId="192" fontId="4" fillId="6" borderId="275" xfId="0" applyNumberFormat="1" applyFont="1" applyFill="1" applyBorder="1" applyAlignment="1">
      <alignment horizontal="right"/>
    </xf>
    <xf numFmtId="0" fontId="8" fillId="6" borderId="276" xfId="0" applyFont="1" applyFill="1" applyBorder="1" applyAlignment="1">
      <alignment horizontal="right"/>
    </xf>
    <xf numFmtId="0" fontId="4" fillId="6" borderId="277" xfId="0" applyFont="1" applyFill="1" applyBorder="1" applyAlignment="1">
      <alignment horizontal="right"/>
    </xf>
    <xf numFmtId="0" fontId="4" fillId="6" borderId="262" xfId="0" applyFont="1" applyFill="1" applyBorder="1" applyAlignment="1">
      <alignment horizontal="right"/>
    </xf>
    <xf numFmtId="0" fontId="8" fillId="6" borderId="70" xfId="0" applyFont="1" applyFill="1" applyBorder="1" applyAlignment="1">
      <alignment horizontal="right" wrapText="1"/>
    </xf>
    <xf numFmtId="0" fontId="4" fillId="6" borderId="66" xfId="0" applyFont="1" applyFill="1" applyBorder="1" applyAlignment="1">
      <alignment horizontal="right" wrapText="1"/>
    </xf>
    <xf numFmtId="0" fontId="4" fillId="6" borderId="67" xfId="0" applyFont="1" applyFill="1" applyBorder="1" applyAlignment="1">
      <alignment horizontal="right" wrapText="1"/>
    </xf>
    <xf numFmtId="177" fontId="8" fillId="6" borderId="276" xfId="0" applyNumberFormat="1" applyFont="1" applyFill="1" applyBorder="1" applyAlignment="1">
      <alignment horizontal="right"/>
    </xf>
    <xf numFmtId="177" fontId="8" fillId="6" borderId="277" xfId="0" applyNumberFormat="1" applyFont="1" applyFill="1" applyBorder="1" applyAlignment="1">
      <alignment horizontal="right"/>
    </xf>
    <xf numFmtId="177" fontId="8" fillId="6" borderId="262" xfId="0" applyNumberFormat="1" applyFont="1" applyFill="1" applyBorder="1" applyAlignment="1">
      <alignment horizontal="right"/>
    </xf>
    <xf numFmtId="3" fontId="8" fillId="6" borderId="276" xfId="0" applyNumberFormat="1" applyFont="1" applyFill="1" applyBorder="1" applyAlignment="1">
      <alignment horizontal="right"/>
    </xf>
    <xf numFmtId="3" fontId="8" fillId="6" borderId="277" xfId="0" applyNumberFormat="1" applyFont="1" applyFill="1" applyBorder="1" applyAlignment="1">
      <alignment horizontal="right"/>
    </xf>
    <xf numFmtId="0" fontId="8" fillId="6" borderId="262" xfId="0" applyFont="1" applyFill="1" applyBorder="1" applyAlignment="1">
      <alignment horizontal="right"/>
    </xf>
    <xf numFmtId="179" fontId="8" fillId="6" borderId="276" xfId="0" applyNumberFormat="1" applyFont="1" applyFill="1" applyBorder="1" applyAlignment="1">
      <alignment horizontal="right"/>
    </xf>
    <xf numFmtId="179" fontId="8" fillId="6" borderId="277" xfId="0" applyNumberFormat="1" applyFont="1" applyFill="1" applyBorder="1" applyAlignment="1">
      <alignment horizontal="right"/>
    </xf>
    <xf numFmtId="179" fontId="8" fillId="6" borderId="262" xfId="0" applyNumberFormat="1" applyFont="1" applyFill="1" applyBorder="1" applyAlignment="1">
      <alignment horizontal="right"/>
    </xf>
    <xf numFmtId="184" fontId="8" fillId="6" borderId="276" xfId="0" applyNumberFormat="1" applyFont="1" applyFill="1" applyBorder="1" applyAlignment="1">
      <alignment horizontal="right"/>
    </xf>
    <xf numFmtId="184" fontId="8" fillId="6" borderId="277" xfId="0" applyNumberFormat="1" applyFont="1" applyFill="1" applyBorder="1" applyAlignment="1">
      <alignment horizontal="right"/>
    </xf>
    <xf numFmtId="244" fontId="8" fillId="6" borderId="276" xfId="0" applyNumberFormat="1" applyFont="1" applyFill="1" applyBorder="1" applyAlignment="1">
      <alignment horizontal="right"/>
    </xf>
    <xf numFmtId="244" fontId="8" fillId="6" borderId="277" xfId="0" applyNumberFormat="1" applyFont="1" applyFill="1" applyBorder="1" applyAlignment="1">
      <alignment horizontal="right"/>
    </xf>
    <xf numFmtId="244" fontId="8" fillId="6" borderId="262" xfId="0" applyNumberFormat="1" applyFont="1" applyFill="1" applyBorder="1" applyAlignment="1">
      <alignment horizontal="right"/>
    </xf>
    <xf numFmtId="1" fontId="8" fillId="6" borderId="276" xfId="0" applyNumberFormat="1" applyFont="1" applyFill="1" applyBorder="1" applyAlignment="1">
      <alignment horizontal="right"/>
    </xf>
    <xf numFmtId="1" fontId="8" fillId="6" borderId="277" xfId="0" applyNumberFormat="1" applyFont="1" applyFill="1" applyBorder="1" applyAlignment="1">
      <alignment horizontal="right"/>
    </xf>
    <xf numFmtId="186" fontId="8" fillId="6" borderId="137" xfId="0" applyNumberFormat="1" applyFont="1" applyFill="1" applyBorder="1" applyAlignment="1">
      <alignment horizontal="right"/>
    </xf>
    <xf numFmtId="186" fontId="8" fillId="6" borderId="138" xfId="0" applyNumberFormat="1" applyFont="1" applyFill="1" applyBorder="1" applyAlignment="1">
      <alignment horizontal="right"/>
    </xf>
    <xf numFmtId="186" fontId="8" fillId="6" borderId="139" xfId="0" applyNumberFormat="1" applyFont="1" applyFill="1" applyBorder="1" applyAlignment="1">
      <alignment horizontal="right"/>
    </xf>
    <xf numFmtId="242" fontId="8" fillId="6" borderId="273" xfId="0" applyNumberFormat="1" applyFont="1" applyFill="1" applyBorder="1" applyAlignment="1">
      <alignment horizontal="right"/>
    </xf>
    <xf numFmtId="242" fontId="8" fillId="6" borderId="274" xfId="0" applyNumberFormat="1" applyFont="1" applyFill="1" applyBorder="1" applyAlignment="1">
      <alignment horizontal="right"/>
    </xf>
    <xf numFmtId="242" fontId="8" fillId="6" borderId="275" xfId="0" applyNumberFormat="1" applyFont="1" applyFill="1" applyBorder="1" applyAlignment="1">
      <alignment horizontal="right"/>
    </xf>
    <xf numFmtId="242" fontId="8" fillId="6" borderId="276" xfId="0" applyNumberFormat="1" applyFont="1" applyFill="1" applyBorder="1" applyAlignment="1">
      <alignment horizontal="right"/>
    </xf>
    <xf numFmtId="242" fontId="8" fillId="6" borderId="277" xfId="0" applyNumberFormat="1" applyFont="1" applyFill="1" applyBorder="1" applyAlignment="1">
      <alignment horizontal="right"/>
    </xf>
    <xf numFmtId="242" fontId="8" fillId="6" borderId="262" xfId="0" applyNumberFormat="1" applyFont="1" applyFill="1" applyBorder="1" applyAlignment="1">
      <alignment horizontal="right"/>
    </xf>
    <xf numFmtId="242" fontId="8" fillId="6" borderId="70" xfId="0" applyNumberFormat="1" applyFont="1" applyFill="1" applyBorder="1" applyAlignment="1">
      <alignment horizontal="right"/>
    </xf>
    <xf numFmtId="242" fontId="8" fillId="6" borderId="66" xfId="0" applyNumberFormat="1" applyFont="1" applyFill="1" applyBorder="1" applyAlignment="1">
      <alignment horizontal="right"/>
    </xf>
    <xf numFmtId="242" fontId="8" fillId="6" borderId="67" xfId="0" applyNumberFormat="1" applyFont="1" applyFill="1" applyBorder="1" applyAlignment="1">
      <alignment horizontal="right"/>
    </xf>
    <xf numFmtId="241" fontId="8" fillId="6" borderId="273" xfId="0" applyNumberFormat="1" applyFont="1" applyFill="1" applyBorder="1" applyAlignment="1">
      <alignment horizontal="right"/>
    </xf>
    <xf numFmtId="241" fontId="8" fillId="6" borderId="274" xfId="0" applyNumberFormat="1" applyFont="1" applyFill="1" applyBorder="1" applyAlignment="1">
      <alignment horizontal="right"/>
    </xf>
    <xf numFmtId="241" fontId="8" fillId="6" borderId="275" xfId="0" applyNumberFormat="1" applyFont="1" applyFill="1" applyBorder="1" applyAlignment="1">
      <alignment horizontal="right"/>
    </xf>
    <xf numFmtId="241" fontId="8" fillId="6" borderId="276" xfId="0" applyNumberFormat="1" applyFont="1" applyFill="1" applyBorder="1" applyAlignment="1">
      <alignment horizontal="right"/>
    </xf>
    <xf numFmtId="241" fontId="8" fillId="6" borderId="277" xfId="0" applyNumberFormat="1" applyFont="1" applyFill="1" applyBorder="1" applyAlignment="1">
      <alignment horizontal="right"/>
    </xf>
    <xf numFmtId="241" fontId="8" fillId="6" borderId="262" xfId="0" applyNumberFormat="1" applyFont="1" applyFill="1" applyBorder="1" applyAlignment="1">
      <alignment horizontal="right"/>
    </xf>
    <xf numFmtId="241" fontId="8" fillId="6" borderId="137" xfId="0" applyNumberFormat="1" applyFont="1" applyFill="1" applyBorder="1" applyAlignment="1">
      <alignment horizontal="right"/>
    </xf>
    <xf numFmtId="241" fontId="8" fillId="6" borderId="138" xfId="0" applyNumberFormat="1" applyFont="1" applyFill="1" applyBorder="1" applyAlignment="1">
      <alignment horizontal="right"/>
    </xf>
    <xf numFmtId="241" fontId="8" fillId="6" borderId="139" xfId="0" applyNumberFormat="1" applyFont="1" applyFill="1" applyBorder="1" applyAlignment="1">
      <alignment horizontal="right"/>
    </xf>
    <xf numFmtId="0" fontId="12" fillId="6" borderId="273" xfId="0" applyFont="1" applyFill="1" applyBorder="1" applyAlignment="1">
      <alignment horizontal="right" vertical="top" wrapText="1"/>
    </xf>
    <xf numFmtId="0" fontId="12" fillId="6" borderId="274" xfId="0" applyFont="1" applyFill="1" applyBorder="1" applyAlignment="1">
      <alignment horizontal="right" vertical="top" wrapText="1"/>
    </xf>
    <xf numFmtId="164" fontId="12" fillId="6" borderId="274" xfId="0" applyNumberFormat="1" applyFont="1" applyFill="1" applyBorder="1" applyAlignment="1">
      <alignment horizontal="right" vertical="top" wrapText="1"/>
    </xf>
    <xf numFmtId="0" fontId="12" fillId="6" borderId="275" xfId="0" applyFont="1" applyFill="1" applyBorder="1" applyAlignment="1">
      <alignment horizontal="right" vertical="top" wrapText="1"/>
    </xf>
    <xf numFmtId="187" fontId="11" fillId="18" borderId="0" xfId="0" applyNumberFormat="1" applyFont="1" applyFill="1" applyAlignment="1">
      <alignment vertical="top" wrapText="1"/>
    </xf>
    <xf numFmtId="0" fontId="0" fillId="5" borderId="0" xfId="0" applyFill="1" applyAlignment="1">
      <alignment horizontal="center" vertical="center" wrapText="1"/>
    </xf>
    <xf numFmtId="165" fontId="4" fillId="5" borderId="0" xfId="1" applyNumberFormat="1" applyFont="1" applyFill="1" applyBorder="1" applyAlignment="1">
      <alignment horizontal="center" vertical="center" wrapText="1"/>
    </xf>
    <xf numFmtId="165" fontId="0" fillId="5" borderId="0" xfId="1" applyNumberFormat="1" applyFont="1" applyFill="1" applyBorder="1" applyAlignment="1">
      <alignment horizontal="center" vertical="center"/>
    </xf>
    <xf numFmtId="246" fontId="0" fillId="5" borderId="0" xfId="1" applyNumberFormat="1" applyFont="1" applyFill="1" applyBorder="1" applyAlignment="1">
      <alignment vertical="center"/>
    </xf>
    <xf numFmtId="0" fontId="0" fillId="5" borderId="163" xfId="0" applyFill="1" applyBorder="1" applyAlignment="1">
      <alignment horizontal="center" vertical="center" wrapText="1"/>
    </xf>
    <xf numFmtId="165" fontId="4" fillId="5" borderId="163" xfId="1" applyNumberFormat="1" applyFont="1" applyFill="1" applyBorder="1" applyAlignment="1">
      <alignment horizontal="center" vertical="center" wrapText="1"/>
    </xf>
    <xf numFmtId="165" fontId="0" fillId="5" borderId="163" xfId="1" applyNumberFormat="1" applyFont="1" applyFill="1" applyBorder="1" applyAlignment="1">
      <alignment horizontal="center" vertical="center"/>
    </xf>
    <xf numFmtId="0" fontId="4" fillId="5" borderId="0" xfId="0" applyFont="1" applyFill="1" applyAlignment="1">
      <alignment wrapText="1"/>
    </xf>
    <xf numFmtId="0" fontId="11" fillId="18" borderId="0" xfId="0" quotePrefix="1" applyFont="1" applyFill="1" applyAlignment="1">
      <alignment horizontal="right"/>
    </xf>
    <xf numFmtId="8" fontId="8" fillId="2" borderId="0" xfId="0" applyNumberFormat="1" applyFont="1" applyFill="1" applyAlignment="1">
      <alignment horizontal="right" vertical="top"/>
    </xf>
    <xf numFmtId="0" fontId="11" fillId="3" borderId="0" xfId="0" quotePrefix="1" applyFont="1" applyFill="1" applyAlignment="1">
      <alignment horizontal="right"/>
    </xf>
    <xf numFmtId="0" fontId="4" fillId="6" borderId="12" xfId="0" applyFont="1" applyFill="1" applyBorder="1" applyAlignment="1">
      <alignment vertical="top"/>
    </xf>
    <xf numFmtId="205" fontId="16" fillId="6" borderId="12" xfId="0" applyNumberFormat="1" applyFont="1" applyFill="1" applyBorder="1" applyAlignment="1">
      <alignment horizontal="right" vertical="top"/>
    </xf>
    <xf numFmtId="220" fontId="16" fillId="6" borderId="0" xfId="0" applyNumberFormat="1" applyFont="1" applyFill="1" applyAlignment="1">
      <alignment horizontal="right" vertical="top"/>
    </xf>
    <xf numFmtId="0" fontId="9" fillId="2" borderId="0" xfId="0" applyFont="1" applyFill="1" applyAlignment="1">
      <alignment vertical="top"/>
    </xf>
    <xf numFmtId="0" fontId="146" fillId="2" borderId="0" xfId="0" applyFont="1" applyFill="1" applyAlignment="1">
      <alignment horizontal="left" vertical="center"/>
    </xf>
    <xf numFmtId="0" fontId="74" fillId="3" borderId="0" xfId="0" applyFont="1" applyFill="1" applyAlignment="1">
      <alignment horizontal="center"/>
    </xf>
    <xf numFmtId="0" fontId="78" fillId="3" borderId="0" xfId="0" applyFont="1" applyFill="1" applyAlignment="1">
      <alignment horizontal="center" wrapText="1"/>
    </xf>
    <xf numFmtId="0" fontId="65" fillId="3" borderId="0" xfId="0" applyFont="1" applyFill="1" applyAlignment="1">
      <alignment horizontal="center" vertical="center"/>
    </xf>
    <xf numFmtId="0" fontId="83" fillId="3" borderId="0" xfId="0" applyFont="1" applyFill="1" applyAlignment="1">
      <alignment horizontal="center" vertical="center"/>
    </xf>
    <xf numFmtId="0" fontId="5" fillId="3" borderId="0" xfId="0" applyFont="1" applyFill="1" applyAlignment="1">
      <alignment horizontal="center"/>
    </xf>
    <xf numFmtId="0" fontId="11" fillId="3" borderId="0" xfId="0" applyFont="1" applyFill="1" applyAlignment="1">
      <alignment horizontal="center"/>
    </xf>
    <xf numFmtId="0" fontId="4" fillId="2" borderId="12" xfId="0" applyFont="1" applyFill="1" applyBorder="1" applyAlignment="1">
      <alignment horizontal="left" vertical="center" wrapText="1"/>
    </xf>
    <xf numFmtId="0" fontId="11" fillId="3" borderId="0" xfId="0" applyFont="1" applyFill="1" applyAlignment="1">
      <alignment horizontal="right" wrapText="1"/>
    </xf>
    <xf numFmtId="0" fontId="143" fillId="3" borderId="0" xfId="0" applyFont="1" applyFill="1" applyAlignment="1">
      <alignment horizontal="center" vertical="center"/>
    </xf>
    <xf numFmtId="0" fontId="70" fillId="2" borderId="0" xfId="0" applyFont="1" applyFill="1" applyAlignment="1">
      <alignment horizontal="center" vertical="top"/>
    </xf>
    <xf numFmtId="0" fontId="11" fillId="3" borderId="0" xfId="0" applyFont="1" applyFill="1" applyAlignment="1">
      <alignment horizontal="center" wrapText="1"/>
    </xf>
    <xf numFmtId="0" fontId="7" fillId="2" borderId="0" xfId="0" applyFont="1" applyFill="1" applyAlignment="1">
      <alignment vertical="top" wrapText="1"/>
    </xf>
    <xf numFmtId="0" fontId="12" fillId="6" borderId="0" xfId="0" applyFont="1" applyFill="1"/>
    <xf numFmtId="0" fontId="11" fillId="3" borderId="0" xfId="0" applyFont="1" applyFill="1" applyAlignment="1">
      <alignment horizontal="left" wrapText="1"/>
    </xf>
    <xf numFmtId="3" fontId="11" fillId="3" borderId="0" xfId="0" applyNumberFormat="1" applyFont="1" applyFill="1" applyAlignment="1">
      <alignment horizontal="center"/>
    </xf>
    <xf numFmtId="165" fontId="11" fillId="3" borderId="0" xfId="0" applyNumberFormat="1" applyFont="1" applyFill="1" applyAlignment="1">
      <alignment horizontal="center"/>
    </xf>
    <xf numFmtId="250" fontId="11" fillId="3" borderId="0" xfId="0" applyNumberFormat="1" applyFont="1" applyFill="1" applyAlignment="1">
      <alignment horizontal="center"/>
    </xf>
    <xf numFmtId="0" fontId="8" fillId="2" borderId="71" xfId="0" applyFont="1" applyFill="1" applyBorder="1" applyAlignment="1">
      <alignment horizontal="left" vertical="center"/>
    </xf>
    <xf numFmtId="0" fontId="8" fillId="2" borderId="177" xfId="0" applyFont="1" applyFill="1" applyBorder="1" applyAlignment="1">
      <alignment horizontal="left" vertical="center"/>
    </xf>
    <xf numFmtId="0" fontId="8" fillId="2" borderId="99" xfId="0" applyFont="1" applyFill="1" applyBorder="1" applyAlignment="1">
      <alignment horizontal="left" vertical="center"/>
    </xf>
    <xf numFmtId="0" fontId="8" fillId="2" borderId="39" xfId="0" applyFont="1" applyFill="1" applyBorder="1" applyAlignment="1">
      <alignment horizontal="left" vertical="center"/>
    </xf>
    <xf numFmtId="0" fontId="8" fillId="2" borderId="95" xfId="0" applyFont="1" applyFill="1" applyBorder="1" applyAlignment="1">
      <alignment horizontal="left" vertical="center"/>
    </xf>
    <xf numFmtId="0" fontId="8" fillId="2" borderId="100" xfId="0" applyFont="1" applyFill="1" applyBorder="1" applyAlignment="1">
      <alignment horizontal="left" vertical="center"/>
    </xf>
    <xf numFmtId="0" fontId="8" fillId="2" borderId="178" xfId="0" applyFont="1" applyFill="1" applyBorder="1" applyAlignment="1">
      <alignment horizontal="left" vertical="center"/>
    </xf>
    <xf numFmtId="0" fontId="8" fillId="2" borderId="43" xfId="0" applyFont="1" applyFill="1" applyBorder="1" applyAlignment="1">
      <alignment horizontal="left" vertical="center"/>
    </xf>
    <xf numFmtId="0" fontId="8" fillId="2" borderId="192" xfId="0" applyFont="1" applyFill="1" applyBorder="1" applyAlignment="1">
      <alignment horizontal="left" vertical="center"/>
    </xf>
    <xf numFmtId="0" fontId="11" fillId="3" borderId="42" xfId="0" applyFont="1" applyFill="1" applyBorder="1" applyAlignment="1">
      <alignment horizontal="center" wrapText="1"/>
    </xf>
    <xf numFmtId="0" fontId="11" fillId="3" borderId="200" xfId="0" applyFont="1" applyFill="1" applyBorder="1" applyAlignment="1">
      <alignment horizontal="center" wrapText="1"/>
    </xf>
    <xf numFmtId="0" fontId="0" fillId="2" borderId="0" xfId="0" applyFill="1" applyAlignment="1">
      <alignment horizontal="center"/>
    </xf>
    <xf numFmtId="0" fontId="8" fillId="2" borderId="198" xfId="0" applyFont="1" applyFill="1" applyBorder="1" applyAlignment="1">
      <alignment horizontal="center" vertical="center"/>
    </xf>
    <xf numFmtId="0" fontId="8" fillId="2" borderId="202" xfId="0" applyFont="1" applyFill="1" applyBorder="1" applyAlignment="1">
      <alignment horizontal="center" vertical="center"/>
    </xf>
    <xf numFmtId="0" fontId="11" fillId="3" borderId="12" xfId="0" applyFont="1" applyFill="1" applyBorder="1" applyAlignment="1">
      <alignment horizontal="center" wrapText="1"/>
    </xf>
    <xf numFmtId="0" fontId="11" fillId="3" borderId="7" xfId="0" applyFont="1" applyFill="1" applyBorder="1" applyAlignment="1">
      <alignment horizontal="center" wrapText="1"/>
    </xf>
    <xf numFmtId="165" fontId="11" fillId="3" borderId="7" xfId="1" applyNumberFormat="1" applyFont="1" applyFill="1" applyBorder="1" applyAlignment="1">
      <alignment horizontal="center" wrapText="1"/>
    </xf>
    <xf numFmtId="165" fontId="11" fillId="3" borderId="12" xfId="1" applyNumberFormat="1" applyFont="1" applyFill="1" applyBorder="1" applyAlignment="1">
      <alignment horizontal="center" wrapText="1"/>
    </xf>
    <xf numFmtId="0" fontId="8" fillId="2" borderId="71" xfId="0" applyFont="1" applyFill="1" applyBorder="1" applyAlignment="1">
      <alignment horizontal="left"/>
    </xf>
    <xf numFmtId="0" fontId="8" fillId="2" borderId="99" xfId="0" applyFont="1" applyFill="1" applyBorder="1" applyAlignment="1">
      <alignment horizontal="left"/>
    </xf>
    <xf numFmtId="0" fontId="8" fillId="2" borderId="208" xfId="0" applyFont="1" applyFill="1" applyBorder="1" applyAlignment="1">
      <alignment horizontal="left"/>
    </xf>
    <xf numFmtId="0" fontId="8" fillId="2" borderId="101" xfId="0" applyFont="1" applyFill="1" applyBorder="1" applyAlignment="1">
      <alignment horizontal="left"/>
    </xf>
    <xf numFmtId="0" fontId="11" fillId="3" borderId="9" xfId="0" applyFont="1" applyFill="1" applyBorder="1" applyAlignment="1">
      <alignment horizontal="left" vertical="center" wrapText="1"/>
    </xf>
    <xf numFmtId="0" fontId="11" fillId="3" borderId="0" xfId="0" applyFont="1" applyFill="1" applyAlignment="1">
      <alignment horizontal="left" vertical="center" wrapText="1"/>
    </xf>
    <xf numFmtId="0" fontId="8" fillId="2" borderId="223" xfId="0" applyFont="1" applyFill="1" applyBorder="1" applyAlignment="1">
      <alignment horizontal="left" wrapText="1"/>
    </xf>
    <xf numFmtId="0" fontId="8" fillId="2" borderId="224" xfId="0" applyFont="1" applyFill="1" applyBorder="1" applyAlignment="1">
      <alignment horizontal="left" wrapText="1"/>
    </xf>
    <xf numFmtId="0" fontId="8" fillId="2" borderId="225" xfId="0" applyFont="1" applyFill="1" applyBorder="1" applyAlignment="1">
      <alignment horizontal="left" wrapText="1"/>
    </xf>
    <xf numFmtId="0" fontId="8" fillId="2" borderId="39" xfId="0" applyFont="1" applyFill="1" applyBorder="1" applyAlignment="1">
      <alignment horizontal="left" wrapText="1"/>
    </xf>
    <xf numFmtId="0" fontId="8" fillId="2" borderId="95" xfId="0" applyFont="1" applyFill="1" applyBorder="1" applyAlignment="1">
      <alignment horizontal="left" wrapText="1"/>
    </xf>
    <xf numFmtId="0" fontId="8" fillId="2" borderId="221" xfId="0" applyFont="1" applyFill="1" applyBorder="1" applyAlignment="1">
      <alignment horizontal="left" wrapText="1"/>
    </xf>
    <xf numFmtId="0" fontId="8" fillId="2" borderId="170" xfId="0" applyFont="1" applyFill="1" applyBorder="1" applyAlignment="1">
      <alignment horizontal="left" wrapText="1"/>
    </xf>
    <xf numFmtId="0" fontId="8" fillId="2" borderId="0" xfId="0" applyFont="1" applyFill="1" applyAlignment="1">
      <alignment horizontal="left" wrapText="1"/>
    </xf>
    <xf numFmtId="0" fontId="8" fillId="2" borderId="222" xfId="0" applyFont="1" applyFill="1" applyBorder="1" applyAlignment="1">
      <alignment horizontal="left" wrapText="1"/>
    </xf>
    <xf numFmtId="165" fontId="11" fillId="3" borderId="0" xfId="1" applyNumberFormat="1" applyFont="1" applyFill="1" applyBorder="1" applyAlignment="1">
      <alignment horizontal="center" wrapText="1"/>
    </xf>
    <xf numFmtId="0" fontId="82" fillId="0" borderId="193" xfId="0" applyFont="1" applyBorder="1" applyAlignment="1">
      <alignment horizontal="center" wrapText="1"/>
    </xf>
    <xf numFmtId="0" fontId="82" fillId="0" borderId="149" xfId="0" applyFont="1" applyBorder="1" applyAlignment="1">
      <alignment horizontal="center" wrapText="1"/>
    </xf>
    <xf numFmtId="0" fontId="82" fillId="0" borderId="180" xfId="0" applyFont="1" applyBorder="1" applyAlignment="1">
      <alignment horizontal="center" wrapText="1"/>
    </xf>
    <xf numFmtId="165" fontId="82" fillId="0" borderId="149" xfId="0" applyNumberFormat="1" applyFont="1" applyBorder="1" applyAlignment="1">
      <alignment horizontal="center" wrapText="1"/>
    </xf>
    <xf numFmtId="165" fontId="82" fillId="0" borderId="169" xfId="0" applyNumberFormat="1" applyFont="1" applyBorder="1" applyAlignment="1">
      <alignment horizontal="center" wrapText="1"/>
    </xf>
    <xf numFmtId="0" fontId="82" fillId="0" borderId="168" xfId="0" applyFont="1" applyBorder="1" applyAlignment="1">
      <alignment horizontal="center" wrapText="1"/>
    </xf>
    <xf numFmtId="0" fontId="82" fillId="0" borderId="0" xfId="0" applyFont="1" applyAlignment="1">
      <alignment horizontal="center" wrapText="1"/>
    </xf>
    <xf numFmtId="165" fontId="82" fillId="0" borderId="0" xfId="0" applyNumberFormat="1" applyFont="1" applyAlignment="1">
      <alignment horizontal="center" wrapText="1"/>
    </xf>
    <xf numFmtId="0" fontId="82" fillId="0" borderId="169" xfId="0" applyFont="1" applyBorder="1" applyAlignment="1">
      <alignment horizontal="center" wrapText="1"/>
    </xf>
    <xf numFmtId="185" fontId="16" fillId="6" borderId="0" xfId="0" applyNumberFormat="1" applyFont="1" applyFill="1" applyAlignment="1">
      <alignment horizontal="center"/>
    </xf>
    <xf numFmtId="185" fontId="16" fillId="6" borderId="25" xfId="0" applyNumberFormat="1" applyFont="1" applyFill="1" applyBorder="1" applyAlignment="1">
      <alignment horizontal="center"/>
    </xf>
    <xf numFmtId="0" fontId="6" fillId="3" borderId="0" xfId="0" applyFont="1" applyFill="1" applyAlignment="1">
      <alignment horizontal="center" wrapText="1"/>
    </xf>
    <xf numFmtId="0" fontId="11" fillId="3" borderId="10" xfId="0" applyFont="1" applyFill="1" applyBorder="1" applyAlignment="1">
      <alignment horizontal="center" wrapText="1"/>
    </xf>
    <xf numFmtId="260" fontId="11" fillId="3" borderId="0" xfId="0" applyNumberFormat="1" applyFont="1" applyFill="1" applyAlignment="1">
      <alignment horizontal="right" wrapText="1"/>
    </xf>
    <xf numFmtId="49" fontId="8" fillId="5" borderId="0" xfId="0" applyNumberFormat="1" applyFont="1" applyFill="1" applyAlignment="1">
      <alignment horizontal="right"/>
    </xf>
    <xf numFmtId="174" fontId="12" fillId="5" borderId="0" xfId="0" applyNumberFormat="1" applyFont="1" applyFill="1" applyAlignment="1">
      <alignment horizontal="right"/>
    </xf>
    <xf numFmtId="255" fontId="8" fillId="5" borderId="0" xfId="0" applyNumberFormat="1" applyFont="1" applyFill="1" applyAlignment="1">
      <alignment horizontal="right"/>
    </xf>
    <xf numFmtId="0" fontId="0" fillId="6" borderId="0" xfId="0" applyFill="1" applyAlignment="1">
      <alignment horizontal="center" vertical="center"/>
    </xf>
    <xf numFmtId="0" fontId="4" fillId="6" borderId="0" xfId="0" applyFont="1" applyFill="1" applyAlignment="1">
      <alignment horizontal="center" vertical="center"/>
    </xf>
    <xf numFmtId="164" fontId="4" fillId="6" borderId="0" xfId="0" applyNumberFormat="1" applyFont="1" applyFill="1" applyAlignment="1">
      <alignment horizontal="right" vertical="center"/>
    </xf>
    <xf numFmtId="164" fontId="4" fillId="6" borderId="0" xfId="1" applyNumberFormat="1" applyFont="1" applyFill="1" applyBorder="1" applyAlignment="1">
      <alignment horizontal="right" vertical="center"/>
    </xf>
    <xf numFmtId="0" fontId="11" fillId="18" borderId="0" xfId="0" applyFont="1" applyFill="1" applyAlignment="1">
      <alignment horizontal="center"/>
    </xf>
    <xf numFmtId="0" fontId="5" fillId="3" borderId="0" xfId="0" applyFont="1" applyFill="1" applyAlignment="1">
      <alignment horizontal="center" wrapText="1"/>
    </xf>
    <xf numFmtId="0" fontId="5" fillId="3" borderId="12" xfId="0" applyFont="1" applyFill="1" applyBorder="1" applyAlignment="1">
      <alignment horizontal="center" wrapText="1"/>
    </xf>
    <xf numFmtId="164" fontId="8" fillId="6" borderId="0" xfId="0" applyNumberFormat="1" applyFont="1" applyFill="1" applyAlignment="1">
      <alignment horizontal="center" vertical="center"/>
    </xf>
    <xf numFmtId="0" fontId="0" fillId="6" borderId="31" xfId="0" applyFill="1" applyBorder="1" applyAlignment="1">
      <alignment vertical="center" wrapText="1"/>
    </xf>
    <xf numFmtId="0" fontId="4" fillId="6" borderId="31" xfId="0" applyFont="1" applyFill="1" applyBorder="1" applyAlignment="1">
      <alignment horizontal="center"/>
    </xf>
    <xf numFmtId="164" fontId="4" fillId="6" borderId="31" xfId="0" applyNumberFormat="1" applyFont="1" applyFill="1" applyBorder="1" applyAlignment="1">
      <alignment horizontal="right" vertical="center"/>
    </xf>
    <xf numFmtId="164" fontId="16" fillId="6" borderId="33" xfId="1" applyNumberFormat="1" applyFont="1" applyFill="1" applyBorder="1" applyAlignment="1">
      <alignment horizontal="right" vertical="center"/>
    </xf>
    <xf numFmtId="164" fontId="12" fillId="6" borderId="12" xfId="1" applyNumberFormat="1" applyFont="1" applyFill="1" applyBorder="1" applyAlignment="1">
      <alignment horizontal="right"/>
    </xf>
    <xf numFmtId="0" fontId="11" fillId="3" borderId="0" xfId="0" applyFont="1" applyFill="1" applyAlignment="1">
      <alignment horizontal="right"/>
    </xf>
    <xf numFmtId="164" fontId="8" fillId="6" borderId="12" xfId="1" applyNumberFormat="1" applyFont="1" applyFill="1" applyBorder="1" applyAlignment="1">
      <alignment horizontal="right"/>
    </xf>
    <xf numFmtId="0" fontId="8" fillId="2" borderId="139" xfId="0" applyFont="1" applyFill="1" applyBorder="1" applyAlignment="1" applyProtection="1">
      <alignment horizontal="left" indent="1"/>
      <protection hidden="1"/>
    </xf>
    <xf numFmtId="0" fontId="8" fillId="2" borderId="137" xfId="0" applyFont="1" applyFill="1" applyBorder="1" applyAlignment="1" applyProtection="1">
      <alignment horizontal="left" indent="1"/>
      <protection hidden="1"/>
    </xf>
    <xf numFmtId="0" fontId="8" fillId="6" borderId="139" xfId="0" applyFont="1" applyFill="1" applyBorder="1" applyAlignment="1" applyProtection="1">
      <alignment horizontal="left" indent="1"/>
      <protection hidden="1"/>
    </xf>
    <xf numFmtId="0" fontId="8" fillId="6" borderId="137" xfId="0" applyFont="1" applyFill="1" applyBorder="1" applyAlignment="1" applyProtection="1">
      <alignment horizontal="left" indent="1"/>
      <protection hidden="1"/>
    </xf>
    <xf numFmtId="0" fontId="8" fillId="6" borderId="136" xfId="0" applyFont="1" applyFill="1" applyBorder="1" applyAlignment="1" applyProtection="1">
      <alignment horizontal="left" indent="1"/>
      <protection hidden="1"/>
    </xf>
    <xf numFmtId="0" fontId="8" fillId="6" borderId="134" xfId="0" applyFont="1" applyFill="1" applyBorder="1" applyAlignment="1" applyProtection="1">
      <alignment horizontal="left" indent="1"/>
      <protection hidden="1"/>
    </xf>
    <xf numFmtId="0" fontId="11" fillId="3" borderId="0" xfId="0" applyFont="1" applyFill="1" applyAlignment="1">
      <alignment horizontal="right" vertical="top"/>
    </xf>
    <xf numFmtId="3" fontId="4" fillId="6" borderId="0" xfId="0" applyNumberFormat="1" applyFont="1" applyFill="1" applyAlignment="1">
      <alignment horizontal="right" vertical="top"/>
    </xf>
    <xf numFmtId="0" fontId="4" fillId="6" borderId="0" xfId="0" applyFont="1" applyFill="1" applyAlignment="1">
      <alignment horizontal="left" vertical="top" wrapText="1"/>
    </xf>
    <xf numFmtId="0" fontId="5" fillId="3" borderId="0" xfId="0" applyFont="1" applyFill="1" applyAlignment="1">
      <alignment horizontal="left" vertical="top"/>
    </xf>
    <xf numFmtId="0" fontId="8" fillId="2" borderId="1" xfId="0" applyFont="1" applyFill="1" applyBorder="1" applyAlignment="1">
      <alignment horizontal="left" vertical="center"/>
    </xf>
    <xf numFmtId="0" fontId="8" fillId="2" borderId="2" xfId="0" applyFont="1" applyFill="1" applyBorder="1" applyAlignment="1">
      <alignment horizontal="left" vertical="center"/>
    </xf>
    <xf numFmtId="0" fontId="8" fillId="2" borderId="18" xfId="0" applyFont="1" applyFill="1" applyBorder="1" applyAlignment="1">
      <alignment horizontal="left" vertical="center"/>
    </xf>
    <xf numFmtId="0" fontId="16" fillId="6" borderId="31" xfId="0" applyFont="1" applyFill="1" applyBorder="1" applyAlignment="1">
      <alignment horizontal="right"/>
    </xf>
    <xf numFmtId="185" fontId="16" fillId="5" borderId="25" xfId="0" applyNumberFormat="1" applyFont="1" applyFill="1" applyBorder="1" applyAlignment="1">
      <alignment horizontal="center"/>
    </xf>
    <xf numFmtId="185" fontId="16" fillId="6" borderId="89" xfId="0" applyNumberFormat="1" applyFont="1" applyFill="1" applyBorder="1" applyAlignment="1">
      <alignment horizontal="center"/>
    </xf>
    <xf numFmtId="185" fontId="16" fillId="6" borderId="95" xfId="0" applyNumberFormat="1" applyFont="1" applyFill="1" applyBorder="1" applyAlignment="1">
      <alignment horizontal="center"/>
    </xf>
    <xf numFmtId="185" fontId="16" fillId="6" borderId="43" xfId="0" applyNumberFormat="1" applyFont="1" applyFill="1" applyBorder="1" applyAlignment="1">
      <alignment horizontal="center"/>
    </xf>
    <xf numFmtId="0" fontId="63" fillId="2" borderId="29" xfId="0" applyFont="1" applyFill="1" applyBorder="1" applyAlignment="1">
      <alignment horizontal="left"/>
    </xf>
    <xf numFmtId="0" fontId="8" fillId="5" borderId="0" xfId="0" applyFont="1" applyFill="1" applyAlignment="1">
      <alignment horizontal="left" vertical="center" wrapText="1"/>
    </xf>
    <xf numFmtId="0" fontId="8" fillId="5" borderId="163" xfId="0" applyFont="1" applyFill="1" applyBorder="1" applyAlignment="1">
      <alignment horizontal="left" vertical="center" wrapText="1"/>
    </xf>
    <xf numFmtId="171" fontId="4" fillId="5" borderId="25" xfId="0" applyNumberFormat="1" applyFont="1" applyFill="1" applyBorder="1" applyAlignment="1">
      <alignment horizontal="center"/>
    </xf>
    <xf numFmtId="171" fontId="4" fillId="5" borderId="0" xfId="0" applyNumberFormat="1" applyFont="1" applyFill="1" applyAlignment="1">
      <alignment horizontal="center"/>
    </xf>
    <xf numFmtId="0" fontId="11" fillId="3" borderId="0" xfId="0" applyFont="1" applyFill="1" applyAlignment="1">
      <alignment horizontal="center" vertical="center" wrapText="1"/>
    </xf>
    <xf numFmtId="165" fontId="0" fillId="5" borderId="0" xfId="1" applyNumberFormat="1" applyFont="1" applyFill="1" applyBorder="1" applyAlignment="1">
      <alignment horizontal="center" vertical="center"/>
    </xf>
    <xf numFmtId="165" fontId="0" fillId="5" borderId="163" xfId="1" applyNumberFormat="1" applyFont="1" applyFill="1" applyBorder="1" applyAlignment="1">
      <alignment horizontal="center" vertical="center"/>
    </xf>
    <xf numFmtId="0" fontId="11" fillId="3" borderId="0" xfId="0" applyFont="1" applyFill="1" applyAlignment="1">
      <alignment horizontal="left" vertical="center"/>
    </xf>
    <xf numFmtId="246" fontId="0" fillId="5" borderId="163" xfId="1" applyNumberFormat="1" applyFont="1" applyFill="1" applyBorder="1" applyAlignment="1">
      <alignment horizontal="center" vertical="center"/>
    </xf>
    <xf numFmtId="246" fontId="0" fillId="5" borderId="164" xfId="1" applyNumberFormat="1" applyFont="1" applyFill="1" applyBorder="1" applyAlignment="1">
      <alignment horizontal="center" vertical="center"/>
    </xf>
    <xf numFmtId="165" fontId="4" fillId="5" borderId="0" xfId="1" applyNumberFormat="1" applyFont="1" applyFill="1" applyBorder="1" applyAlignment="1">
      <alignment horizontal="center"/>
    </xf>
    <xf numFmtId="181" fontId="4" fillId="5" borderId="25" xfId="0" applyNumberFormat="1" applyFont="1" applyFill="1" applyBorder="1" applyAlignment="1">
      <alignment horizontal="center"/>
    </xf>
    <xf numFmtId="181" fontId="4" fillId="5" borderId="0" xfId="0" applyNumberFormat="1" applyFont="1" applyFill="1" applyAlignment="1">
      <alignment horizontal="center"/>
    </xf>
    <xf numFmtId="0" fontId="99" fillId="5" borderId="0" xfId="0" applyFont="1" applyFill="1" applyAlignment="1">
      <alignment horizontal="left" vertical="center" wrapText="1"/>
    </xf>
    <xf numFmtId="0" fontId="99" fillId="5" borderId="25" xfId="0" applyFont="1" applyFill="1" applyBorder="1" applyAlignment="1">
      <alignment horizontal="left" vertical="center" wrapText="1"/>
    </xf>
    <xf numFmtId="165" fontId="4" fillId="5" borderId="25" xfId="1" applyNumberFormat="1" applyFont="1" applyFill="1" applyBorder="1" applyAlignment="1">
      <alignment horizontal="center"/>
    </xf>
    <xf numFmtId="167" fontId="4" fillId="5" borderId="25" xfId="0" applyNumberFormat="1" applyFont="1" applyFill="1" applyBorder="1" applyAlignment="1">
      <alignment horizontal="center"/>
    </xf>
    <xf numFmtId="167" fontId="4" fillId="5" borderId="0" xfId="0" applyNumberFormat="1" applyFont="1" applyFill="1" applyAlignment="1">
      <alignment horizontal="center"/>
    </xf>
    <xf numFmtId="0" fontId="9" fillId="3" borderId="0" xfId="0" applyFont="1" applyFill="1" applyAlignment="1">
      <alignment horizontal="center"/>
    </xf>
    <xf numFmtId="208" fontId="11" fillId="3" borderId="0" xfId="0" applyNumberFormat="1" applyFont="1" applyFill="1" applyAlignment="1">
      <alignment horizontal="center"/>
    </xf>
    <xf numFmtId="165" fontId="25" fillId="6" borderId="0" xfId="1" applyNumberFormat="1" applyFont="1" applyFill="1" applyBorder="1" applyAlignment="1">
      <alignment horizontal="center"/>
    </xf>
    <xf numFmtId="203" fontId="25" fillId="6" borderId="0" xfId="0" applyNumberFormat="1" applyFont="1" applyFill="1" applyAlignment="1">
      <alignment horizontal="center"/>
    </xf>
    <xf numFmtId="0" fontId="55" fillId="5" borderId="0" xfId="0" applyFont="1" applyFill="1" applyAlignment="1">
      <alignment horizontal="center" vertical="center" wrapText="1"/>
    </xf>
    <xf numFmtId="0" fontId="55" fillId="5" borderId="163" xfId="0" applyFont="1" applyFill="1" applyBorder="1" applyAlignment="1">
      <alignment horizontal="center" vertical="center" wrapText="1"/>
    </xf>
    <xf numFmtId="0" fontId="55" fillId="5" borderId="165" xfId="0" applyFont="1" applyFill="1" applyBorder="1" applyAlignment="1">
      <alignment horizontal="center" vertical="center" wrapText="1"/>
    </xf>
    <xf numFmtId="0" fontId="99" fillId="5" borderId="165" xfId="0" applyFont="1" applyFill="1" applyBorder="1" applyAlignment="1">
      <alignment horizontal="left" vertical="center" wrapText="1"/>
    </xf>
    <xf numFmtId="0" fontId="99" fillId="5" borderId="163" xfId="0" applyFont="1" applyFill="1" applyBorder="1" applyAlignment="1">
      <alignment horizontal="left" vertical="center" wrapText="1"/>
    </xf>
    <xf numFmtId="0" fontId="55" fillId="5" borderId="164" xfId="0" applyFont="1" applyFill="1" applyBorder="1" applyAlignment="1">
      <alignment horizontal="center" vertical="center" wrapText="1"/>
    </xf>
    <xf numFmtId="0" fontId="55" fillId="5" borderId="166" xfId="0" applyFont="1" applyFill="1" applyBorder="1" applyAlignment="1">
      <alignment horizontal="center" vertical="center" wrapText="1"/>
    </xf>
    <xf numFmtId="165" fontId="4" fillId="5" borderId="0" xfId="0" applyNumberFormat="1" applyFont="1" applyFill="1" applyAlignment="1">
      <alignment horizontal="center"/>
    </xf>
    <xf numFmtId="10" fontId="0" fillId="6" borderId="0" xfId="1" applyNumberFormat="1" applyFont="1" applyFill="1" applyBorder="1" applyAlignment="1">
      <alignment horizontal="center"/>
    </xf>
    <xf numFmtId="0" fontId="0" fillId="6" borderId="25" xfId="0" applyFill="1" applyBorder="1" applyAlignment="1">
      <alignment horizontal="center"/>
    </xf>
    <xf numFmtId="0" fontId="11" fillId="3" borderId="9" xfId="0" applyFont="1" applyFill="1" applyBorder="1" applyAlignment="1">
      <alignment horizontal="left" wrapText="1"/>
    </xf>
    <xf numFmtId="0" fontId="11" fillId="3" borderId="9" xfId="0" applyFont="1" applyFill="1" applyBorder="1" applyAlignment="1">
      <alignment wrapText="1"/>
    </xf>
    <xf numFmtId="10" fontId="0" fillId="5" borderId="0" xfId="1" applyNumberFormat="1" applyFont="1" applyFill="1" applyBorder="1" applyAlignment="1">
      <alignment horizontal="center"/>
    </xf>
    <xf numFmtId="0" fontId="0" fillId="5" borderId="25" xfId="0" applyFill="1" applyBorder="1" applyAlignment="1">
      <alignment horizontal="center"/>
    </xf>
    <xf numFmtId="0" fontId="9" fillId="3" borderId="12" xfId="0" applyFont="1" applyFill="1" applyBorder="1" applyAlignment="1">
      <alignment horizontal="left" vertical="center" wrapText="1"/>
    </xf>
    <xf numFmtId="0" fontId="46" fillId="6" borderId="0" xfId="0" applyFont="1" applyFill="1" applyAlignment="1">
      <alignment horizontal="center"/>
    </xf>
    <xf numFmtId="185" fontId="8" fillId="6" borderId="0" xfId="0" applyNumberFormat="1" applyFont="1" applyFill="1" applyAlignment="1" applyProtection="1">
      <alignment horizontal="center"/>
      <protection locked="0"/>
    </xf>
    <xf numFmtId="185" fontId="8" fillId="6" borderId="89" xfId="0" applyNumberFormat="1" applyFont="1" applyFill="1" applyBorder="1" applyAlignment="1" applyProtection="1">
      <alignment horizontal="center"/>
      <protection locked="0"/>
    </xf>
    <xf numFmtId="185" fontId="8" fillId="6" borderId="0" xfId="0" applyNumberFormat="1" applyFont="1" applyFill="1" applyAlignment="1">
      <alignment horizontal="center"/>
    </xf>
    <xf numFmtId="185" fontId="8" fillId="6" borderId="89" xfId="0" applyNumberFormat="1" applyFont="1" applyFill="1" applyBorder="1" applyAlignment="1">
      <alignment horizontal="center"/>
    </xf>
    <xf numFmtId="165" fontId="8" fillId="6" borderId="0" xfId="0" quotePrefix="1" applyNumberFormat="1" applyFont="1" applyFill="1" applyAlignment="1">
      <alignment horizontal="center"/>
    </xf>
    <xf numFmtId="185" fontId="8" fillId="6" borderId="43" xfId="0" applyNumberFormat="1" applyFont="1" applyFill="1" applyBorder="1" applyAlignment="1">
      <alignment horizontal="center"/>
    </xf>
    <xf numFmtId="185" fontId="8" fillId="6" borderId="95" xfId="0" applyNumberFormat="1" applyFont="1" applyFill="1" applyBorder="1" applyAlignment="1">
      <alignment horizontal="center"/>
    </xf>
    <xf numFmtId="185" fontId="8" fillId="6" borderId="43" xfId="0" applyNumberFormat="1" applyFont="1" applyFill="1" applyBorder="1" applyAlignment="1" applyProtection="1">
      <alignment horizontal="center"/>
      <protection locked="0"/>
    </xf>
    <xf numFmtId="185" fontId="8" fillId="6" borderId="95" xfId="0" applyNumberFormat="1" applyFont="1" applyFill="1" applyBorder="1" applyAlignment="1" applyProtection="1">
      <alignment horizontal="center"/>
      <protection locked="0"/>
    </xf>
    <xf numFmtId="10" fontId="4" fillId="6" borderId="0" xfId="0" applyNumberFormat="1" applyFont="1" applyFill="1" applyAlignment="1">
      <alignment horizontal="left"/>
    </xf>
    <xf numFmtId="174" fontId="4" fillId="6" borderId="0" xfId="0" applyNumberFormat="1" applyFont="1" applyFill="1" applyAlignment="1">
      <alignment horizontal="left" vertical="top"/>
    </xf>
    <xf numFmtId="201" fontId="55" fillId="6" borderId="0" xfId="0" applyNumberFormat="1" applyFont="1" applyFill="1" applyAlignment="1">
      <alignment horizontal="left"/>
    </xf>
    <xf numFmtId="10" fontId="8" fillId="6" borderId="0" xfId="0" applyNumberFormat="1" applyFont="1" applyFill="1" applyAlignment="1" applyProtection="1">
      <alignment horizontal="left"/>
      <protection hidden="1"/>
    </xf>
    <xf numFmtId="10" fontId="8" fillId="6" borderId="0" xfId="0" applyNumberFormat="1" applyFont="1" applyFill="1" applyAlignment="1">
      <alignment horizontal="left"/>
    </xf>
    <xf numFmtId="165" fontId="4" fillId="6" borderId="0" xfId="0" applyNumberFormat="1" applyFont="1" applyFill="1" applyAlignment="1">
      <alignment horizontal="left"/>
    </xf>
    <xf numFmtId="0" fontId="16" fillId="6" borderId="0" xfId="0" applyFont="1" applyFill="1" applyAlignment="1">
      <alignment horizontal="center" vertical="top" wrapText="1"/>
    </xf>
    <xf numFmtId="0" fontId="4" fillId="6" borderId="0" xfId="0" applyFont="1" applyFill="1" applyAlignment="1">
      <alignment horizontal="left" vertical="center" wrapText="1"/>
    </xf>
    <xf numFmtId="201" fontId="86" fillId="6" borderId="130" xfId="0" applyNumberFormat="1" applyFont="1" applyFill="1" applyBorder="1" applyAlignment="1">
      <alignment horizontal="left"/>
    </xf>
    <xf numFmtId="201" fontId="86" fillId="6" borderId="68" xfId="0" applyNumberFormat="1" applyFont="1" applyFill="1" applyBorder="1" applyAlignment="1">
      <alignment horizontal="left"/>
    </xf>
    <xf numFmtId="201" fontId="86" fillId="6" borderId="27" xfId="0" applyNumberFormat="1" applyFont="1" applyFill="1" applyBorder="1" applyAlignment="1">
      <alignment horizontal="left"/>
    </xf>
    <xf numFmtId="201" fontId="86" fillId="6" borderId="69" xfId="0" applyNumberFormat="1" applyFont="1" applyFill="1" applyBorder="1" applyAlignment="1">
      <alignment horizontal="left"/>
    </xf>
    <xf numFmtId="201" fontId="86" fillId="6" borderId="0" xfId="0" applyNumberFormat="1" applyFont="1" applyFill="1" applyAlignment="1">
      <alignment horizontal="left"/>
    </xf>
    <xf numFmtId="0" fontId="16" fillId="6" borderId="0" xfId="0" applyFont="1" applyFill="1" applyAlignment="1">
      <alignment horizontal="center" vertical="top"/>
    </xf>
    <xf numFmtId="0" fontId="12" fillId="6" borderId="0" xfId="0" applyFont="1" applyFill="1" applyAlignment="1">
      <alignment horizontal="right"/>
    </xf>
    <xf numFmtId="10" fontId="4" fillId="6" borderId="130" xfId="0" applyNumberFormat="1" applyFont="1" applyFill="1" applyBorder="1" applyAlignment="1">
      <alignment horizontal="left"/>
    </xf>
    <xf numFmtId="10" fontId="4" fillId="6" borderId="68" xfId="0" applyNumberFormat="1" applyFont="1" applyFill="1" applyBorder="1" applyAlignment="1">
      <alignment horizontal="left"/>
    </xf>
    <xf numFmtId="10" fontId="4" fillId="6" borderId="27" xfId="0" applyNumberFormat="1" applyFont="1" applyFill="1" applyBorder="1" applyAlignment="1">
      <alignment horizontal="left"/>
    </xf>
    <xf numFmtId="10" fontId="4" fillId="6" borderId="69" xfId="0" applyNumberFormat="1" applyFont="1" applyFill="1" applyBorder="1" applyAlignment="1">
      <alignment horizontal="left"/>
    </xf>
    <xf numFmtId="0" fontId="8" fillId="6" borderId="149" xfId="0" applyFont="1" applyFill="1" applyBorder="1" applyAlignment="1">
      <alignment horizontal="right"/>
    </xf>
    <xf numFmtId="0" fontId="8" fillId="6" borderId="0" xfId="0" applyFont="1" applyFill="1" applyAlignment="1">
      <alignment horizontal="right"/>
    </xf>
    <xf numFmtId="0" fontId="8" fillId="6" borderId="31" xfId="0" applyFont="1" applyFill="1" applyBorder="1" applyAlignment="1">
      <alignment horizontal="right"/>
    </xf>
    <xf numFmtId="0" fontId="8" fillId="6" borderId="0" xfId="0" applyFont="1" applyFill="1" applyAlignment="1">
      <alignment horizontal="left" vertical="center" wrapText="1"/>
    </xf>
    <xf numFmtId="0" fontId="55" fillId="6" borderId="165" xfId="0" applyFont="1" applyFill="1" applyBorder="1" applyAlignment="1">
      <alignment horizontal="center" vertical="center" wrapText="1"/>
    </xf>
    <xf numFmtId="0" fontId="55" fillId="6" borderId="0" xfId="0" applyFont="1" applyFill="1" applyAlignment="1">
      <alignment horizontal="center" vertical="center" wrapText="1"/>
    </xf>
    <xf numFmtId="0" fontId="55" fillId="6" borderId="163" xfId="0" applyFont="1" applyFill="1" applyBorder="1" applyAlignment="1">
      <alignment horizontal="center" vertical="center" wrapText="1"/>
    </xf>
    <xf numFmtId="0" fontId="99" fillId="6" borderId="165" xfId="0" applyFont="1" applyFill="1" applyBorder="1" applyAlignment="1">
      <alignment horizontal="left" vertical="center" wrapText="1"/>
    </xf>
    <xf numFmtId="0" fontId="99" fillId="6" borderId="0" xfId="0" applyFont="1" applyFill="1" applyAlignment="1">
      <alignment horizontal="left" vertical="center" wrapText="1"/>
    </xf>
    <xf numFmtId="0" fontId="99" fillId="6" borderId="163" xfId="0" applyFont="1" applyFill="1" applyBorder="1" applyAlignment="1">
      <alignment horizontal="left" vertical="center" wrapText="1"/>
    </xf>
    <xf numFmtId="246" fontId="0" fillId="6" borderId="0" xfId="1" applyNumberFormat="1" applyFont="1" applyFill="1" applyBorder="1" applyAlignment="1">
      <alignment horizontal="center" vertical="center"/>
    </xf>
    <xf numFmtId="246" fontId="0" fillId="6" borderId="163" xfId="1" applyNumberFormat="1" applyFont="1" applyFill="1" applyBorder="1" applyAlignment="1">
      <alignment horizontal="center" vertical="center"/>
    </xf>
    <xf numFmtId="165" fontId="0" fillId="6" borderId="0" xfId="1" applyNumberFormat="1" applyFont="1" applyFill="1" applyBorder="1" applyAlignment="1">
      <alignment horizontal="center" vertical="center"/>
    </xf>
    <xf numFmtId="165" fontId="0" fillId="6" borderId="163" xfId="1" applyNumberFormat="1" applyFont="1" applyFill="1" applyBorder="1" applyAlignment="1">
      <alignment horizontal="center" vertical="center"/>
    </xf>
    <xf numFmtId="0" fontId="8" fillId="6" borderId="163" xfId="0" applyFont="1" applyFill="1" applyBorder="1" applyAlignment="1">
      <alignment horizontal="left" vertical="center" wrapText="1"/>
    </xf>
    <xf numFmtId="203" fontId="144" fillId="3" borderId="0" xfId="0" applyNumberFormat="1" applyFont="1" applyFill="1" applyAlignment="1">
      <alignment horizontal="center"/>
    </xf>
    <xf numFmtId="165" fontId="4" fillId="6" borderId="0" xfId="1" applyNumberFormat="1" applyFont="1" applyFill="1" applyBorder="1" applyAlignment="1">
      <alignment horizontal="center"/>
    </xf>
    <xf numFmtId="0" fontId="99" fillId="6" borderId="25" xfId="0" applyFont="1" applyFill="1" applyBorder="1" applyAlignment="1">
      <alignment horizontal="left" vertical="center" wrapText="1"/>
    </xf>
    <xf numFmtId="0" fontId="11" fillId="3" borderId="89" xfId="0" applyFont="1" applyFill="1" applyBorder="1" applyAlignment="1">
      <alignment horizontal="center" vertical="center" wrapText="1"/>
    </xf>
    <xf numFmtId="0" fontId="94" fillId="6" borderId="0" xfId="0" applyFont="1" applyFill="1" applyAlignment="1">
      <alignment horizontal="left" vertical="center" wrapText="1"/>
    </xf>
    <xf numFmtId="0" fontId="94" fillId="6" borderId="163" xfId="0" applyFont="1" applyFill="1" applyBorder="1" applyAlignment="1">
      <alignment horizontal="left" vertical="center" wrapText="1"/>
    </xf>
    <xf numFmtId="0" fontId="11" fillId="3" borderId="0" xfId="0" applyFont="1" applyFill="1" applyAlignment="1">
      <alignment horizontal="center" vertical="center"/>
    </xf>
    <xf numFmtId="0" fontId="55" fillId="6" borderId="164" xfId="0" applyFont="1" applyFill="1" applyBorder="1" applyAlignment="1">
      <alignment horizontal="center" vertical="center" wrapText="1"/>
    </xf>
    <xf numFmtId="0" fontId="55" fillId="6" borderId="166" xfId="0" applyFont="1" applyFill="1" applyBorder="1" applyAlignment="1">
      <alignment horizontal="center" vertical="center" wrapText="1"/>
    </xf>
    <xf numFmtId="0" fontId="0" fillId="6" borderId="163" xfId="0" applyFill="1" applyBorder="1" applyAlignment="1">
      <alignment horizontal="center" vertical="center" wrapText="1"/>
    </xf>
    <xf numFmtId="0" fontId="0" fillId="6" borderId="164" xfId="0" applyFill="1" applyBorder="1" applyAlignment="1">
      <alignment horizontal="center" vertical="center" wrapText="1"/>
    </xf>
    <xf numFmtId="0" fontId="8" fillId="6" borderId="0" xfId="0" applyFont="1" applyFill="1" applyAlignment="1">
      <alignment horizontal="left" wrapText="1"/>
    </xf>
    <xf numFmtId="0" fontId="12" fillId="4" borderId="0" xfId="0" applyFont="1" applyFill="1" applyAlignment="1">
      <alignment horizontal="center" vertical="center" wrapText="1"/>
    </xf>
    <xf numFmtId="0" fontId="12" fillId="4" borderId="12" xfId="0" applyFont="1" applyFill="1" applyBorder="1" applyAlignment="1">
      <alignment horizontal="center" vertical="center" wrapText="1"/>
    </xf>
    <xf numFmtId="0" fontId="12" fillId="4" borderId="0" xfId="0" applyFont="1" applyFill="1" applyAlignment="1">
      <alignment horizontal="left" vertical="top" wrapText="1"/>
    </xf>
    <xf numFmtId="0" fontId="130" fillId="3" borderId="12" xfId="0" applyFont="1" applyFill="1" applyBorder="1" applyAlignment="1">
      <alignment horizontal="center"/>
    </xf>
    <xf numFmtId="0" fontId="8" fillId="6" borderId="25" xfId="0" applyFont="1" applyFill="1" applyBorder="1" applyAlignment="1">
      <alignment horizontal="left" wrapText="1"/>
    </xf>
    <xf numFmtId="0" fontId="8" fillId="6" borderId="25" xfId="0" applyFont="1" applyFill="1" applyBorder="1" applyAlignment="1">
      <alignment horizontal="left" vertical="top" wrapText="1"/>
    </xf>
    <xf numFmtId="0" fontId="7" fillId="2" borderId="0" xfId="0" applyFont="1" applyFill="1" applyAlignment="1">
      <alignment horizontal="left"/>
    </xf>
    <xf numFmtId="0" fontId="7" fillId="2" borderId="0" xfId="0" applyFont="1" applyFill="1" applyAlignment="1">
      <alignment horizontal="left" vertical="top"/>
    </xf>
    <xf numFmtId="0" fontId="4" fillId="2" borderId="0" xfId="0" applyFont="1" applyFill="1" applyAlignment="1">
      <alignment horizontal="center" wrapText="1"/>
    </xf>
    <xf numFmtId="0" fontId="4" fillId="2" borderId="31" xfId="0" applyFont="1" applyFill="1" applyBorder="1" applyAlignment="1">
      <alignment horizontal="center" wrapText="1"/>
    </xf>
    <xf numFmtId="9" fontId="12" fillId="2" borderId="0" xfId="0" applyNumberFormat="1" applyFont="1" applyFill="1" applyAlignment="1">
      <alignment horizontal="center" vertical="center"/>
    </xf>
    <xf numFmtId="0" fontId="12" fillId="2" borderId="0" xfId="0" applyFont="1" applyFill="1" applyAlignment="1">
      <alignment horizontal="center" vertical="center"/>
    </xf>
    <xf numFmtId="174" fontId="11" fillId="3" borderId="0" xfId="0" applyNumberFormat="1" applyFont="1" applyFill="1" applyAlignment="1">
      <alignment horizontal="center"/>
    </xf>
    <xf numFmtId="0" fontId="30" fillId="2" borderId="0" xfId="0" applyFont="1" applyFill="1" applyAlignment="1">
      <alignment horizontal="center" vertical="center" wrapText="1"/>
    </xf>
    <xf numFmtId="1" fontId="30" fillId="2" borderId="0" xfId="0" applyNumberFormat="1" applyFont="1" applyFill="1" applyAlignment="1">
      <alignment horizontal="center" vertical="center" wrapText="1"/>
    </xf>
    <xf numFmtId="184" fontId="15" fillId="2" borderId="0" xfId="0" applyNumberFormat="1" applyFont="1" applyFill="1" applyAlignment="1">
      <alignment horizontal="center" vertical="center" wrapText="1"/>
    </xf>
    <xf numFmtId="174" fontId="15" fillId="2" borderId="0" xfId="0" applyNumberFormat="1" applyFont="1" applyFill="1" applyAlignment="1">
      <alignment horizontal="center" vertical="center" wrapText="1"/>
    </xf>
    <xf numFmtId="165" fontId="15" fillId="2" borderId="0" xfId="1" applyNumberFormat="1" applyFont="1" applyFill="1" applyBorder="1" applyAlignment="1">
      <alignment horizontal="center" vertical="center" wrapText="1"/>
    </xf>
    <xf numFmtId="1" fontId="11" fillId="3" borderId="0" xfId="0" applyNumberFormat="1" applyFont="1" applyFill="1" applyAlignment="1">
      <alignment horizontal="center" vertical="center"/>
    </xf>
    <xf numFmtId="1" fontId="15" fillId="2" borderId="0" xfId="0" applyNumberFormat="1" applyFont="1" applyFill="1" applyAlignment="1">
      <alignment horizontal="center" vertical="center" wrapText="1"/>
    </xf>
    <xf numFmtId="0" fontId="15" fillId="2" borderId="0" xfId="0" applyFont="1" applyFill="1" applyAlignment="1">
      <alignment horizontal="center" vertical="center" wrapText="1"/>
    </xf>
    <xf numFmtId="0" fontId="7" fillId="2" borderId="0" xfId="0" applyFont="1" applyFill="1" applyAlignment="1">
      <alignment horizontal="right"/>
    </xf>
    <xf numFmtId="3" fontId="4" fillId="2" borderId="152" xfId="0" applyNumberFormat="1" applyFont="1" applyFill="1" applyBorder="1" applyAlignment="1">
      <alignment horizontal="right"/>
    </xf>
    <xf numFmtId="3" fontId="4" fillId="2" borderId="111" xfId="0" applyNumberFormat="1" applyFont="1" applyFill="1" applyBorder="1" applyAlignment="1">
      <alignment horizontal="right"/>
    </xf>
    <xf numFmtId="3" fontId="4" fillId="2" borderId="153" xfId="0" applyNumberFormat="1" applyFont="1" applyFill="1" applyBorder="1" applyAlignment="1">
      <alignment horizontal="right"/>
    </xf>
    <xf numFmtId="0" fontId="6" fillId="2" borderId="0" xfId="0" applyFont="1" applyFill="1" applyAlignment="1">
      <alignment horizontal="right"/>
    </xf>
    <xf numFmtId="167" fontId="4" fillId="2" borderId="156" xfId="0" applyNumberFormat="1" applyFont="1" applyFill="1" applyBorder="1" applyAlignment="1">
      <alignment horizontal="right"/>
    </xf>
    <xf numFmtId="167" fontId="4" fillId="2" borderId="135" xfId="0" applyNumberFormat="1" applyFont="1" applyFill="1" applyBorder="1" applyAlignment="1">
      <alignment horizontal="right"/>
    </xf>
    <xf numFmtId="167" fontId="4" fillId="2" borderId="157" xfId="0" applyNumberFormat="1" applyFont="1" applyFill="1" applyBorder="1" applyAlignment="1">
      <alignment horizontal="right"/>
    </xf>
    <xf numFmtId="0" fontId="11" fillId="3" borderId="31" xfId="0" applyFont="1" applyFill="1" applyBorder="1" applyAlignment="1">
      <alignment horizontal="right" wrapText="1"/>
    </xf>
    <xf numFmtId="167" fontId="4" fillId="2" borderId="138" xfId="0" applyNumberFormat="1" applyFont="1" applyFill="1" applyBorder="1" applyAlignment="1">
      <alignment horizontal="right"/>
    </xf>
    <xf numFmtId="167" fontId="4" fillId="2" borderId="155" xfId="0" applyNumberFormat="1" applyFont="1" applyFill="1" applyBorder="1" applyAlignment="1">
      <alignment horizontal="right"/>
    </xf>
    <xf numFmtId="167" fontId="4" fillId="2" borderId="154" xfId="0" applyNumberFormat="1" applyFont="1" applyFill="1" applyBorder="1" applyAlignment="1">
      <alignment horizontal="right"/>
    </xf>
    <xf numFmtId="0" fontId="16" fillId="4" borderId="7" xfId="0" applyFont="1" applyFill="1" applyBorder="1" applyAlignment="1">
      <alignment horizontal="center" wrapText="1"/>
    </xf>
    <xf numFmtId="0" fontId="16" fillId="4" borderId="0" xfId="0" applyFont="1" applyFill="1" applyAlignment="1">
      <alignment horizontal="center" wrapText="1"/>
    </xf>
    <xf numFmtId="0" fontId="16" fillId="4" borderId="6" xfId="0" applyFont="1" applyFill="1" applyBorder="1" applyAlignment="1">
      <alignment horizontal="center" wrapText="1"/>
    </xf>
    <xf numFmtId="0" fontId="4" fillId="6" borderId="0" xfId="0" applyFont="1" applyFill="1" applyAlignment="1">
      <alignment horizontal="center" vertical="center" wrapText="1"/>
    </xf>
    <xf numFmtId="0" fontId="4" fillId="6" borderId="0" xfId="0" applyFont="1" applyFill="1" applyAlignment="1">
      <alignment horizontal="center"/>
    </xf>
    <xf numFmtId="0" fontId="16" fillId="4" borderId="6" xfId="0" applyFont="1" applyFill="1" applyBorder="1" applyAlignment="1">
      <alignment horizontal="center"/>
    </xf>
    <xf numFmtId="0" fontId="16" fillId="4" borderId="7" xfId="0" applyFont="1" applyFill="1" applyBorder="1" applyAlignment="1">
      <alignment horizontal="center"/>
    </xf>
    <xf numFmtId="0" fontId="16" fillId="4" borderId="8" xfId="0" applyFont="1" applyFill="1" applyBorder="1" applyAlignment="1">
      <alignment horizontal="center"/>
    </xf>
    <xf numFmtId="0" fontId="16" fillId="6" borderId="33" xfId="0" applyFont="1" applyFill="1" applyBorder="1" applyAlignment="1">
      <alignment horizontal="center" vertical="center"/>
    </xf>
    <xf numFmtId="0" fontId="16" fillId="6" borderId="107" xfId="0" applyFont="1" applyFill="1" applyBorder="1" applyAlignment="1">
      <alignment horizontal="center" vertical="center"/>
    </xf>
    <xf numFmtId="0" fontId="4" fillId="6" borderId="0" xfId="0" applyFont="1" applyFill="1" applyAlignment="1">
      <alignment horizontal="left"/>
    </xf>
    <xf numFmtId="10" fontId="43" fillId="6" borderId="33" xfId="0" applyNumberFormat="1" applyFont="1" applyFill="1" applyBorder="1" applyAlignment="1">
      <alignment horizontal="center" vertical="center"/>
    </xf>
    <xf numFmtId="0" fontId="4" fillId="0" borderId="136" xfId="0" applyFont="1" applyBorder="1" applyAlignment="1">
      <alignment horizontal="left"/>
    </xf>
    <xf numFmtId="0" fontId="4" fillId="0" borderId="95" xfId="0" applyFont="1" applyBorder="1" applyAlignment="1">
      <alignment horizontal="left"/>
    </xf>
    <xf numFmtId="0" fontId="4" fillId="0" borderId="134" xfId="0" applyFont="1" applyBorder="1" applyAlignment="1">
      <alignment horizontal="left"/>
    </xf>
    <xf numFmtId="0" fontId="8" fillId="6" borderId="0" xfId="0" applyFont="1" applyFill="1" applyAlignment="1">
      <alignment horizontal="center"/>
    </xf>
    <xf numFmtId="0" fontId="11" fillId="18" borderId="0" xfId="0" applyFont="1" applyFill="1" applyAlignment="1">
      <alignment horizontal="center" vertical="center"/>
    </xf>
    <xf numFmtId="198" fontId="4" fillId="6" borderId="0" xfId="0" applyNumberFormat="1" applyFont="1" applyFill="1" applyAlignment="1">
      <alignment horizontal="center" vertical="top"/>
    </xf>
    <xf numFmtId="0" fontId="16" fillId="5" borderId="6" xfId="0" applyFont="1" applyFill="1" applyBorder="1" applyAlignment="1">
      <alignment horizontal="center" wrapText="1"/>
    </xf>
    <xf numFmtId="0" fontId="16" fillId="5" borderId="7" xfId="0" applyFont="1" applyFill="1" applyBorder="1" applyAlignment="1">
      <alignment horizontal="center" wrapText="1"/>
    </xf>
    <xf numFmtId="0" fontId="16" fillId="5" borderId="8" xfId="0" applyFont="1" applyFill="1" applyBorder="1" applyAlignment="1">
      <alignment horizontal="center" wrapText="1"/>
    </xf>
    <xf numFmtId="0" fontId="16" fillId="5" borderId="9" xfId="0" applyFont="1" applyFill="1" applyBorder="1" applyAlignment="1">
      <alignment horizontal="center" wrapText="1"/>
    </xf>
    <xf numFmtId="0" fontId="16" fillId="5" borderId="0" xfId="0" applyFont="1" applyFill="1" applyAlignment="1">
      <alignment horizontal="center" wrapText="1"/>
    </xf>
    <xf numFmtId="0" fontId="16" fillId="5" borderId="10" xfId="0" applyFont="1" applyFill="1" applyBorder="1" applyAlignment="1">
      <alignment horizontal="center" wrapText="1"/>
    </xf>
    <xf numFmtId="0" fontId="8" fillId="6" borderId="0" xfId="0" applyFont="1" applyFill="1" applyAlignment="1">
      <alignment horizontal="left"/>
    </xf>
    <xf numFmtId="0" fontId="11" fillId="3" borderId="83" xfId="0" applyFont="1" applyFill="1" applyBorder="1" applyAlignment="1">
      <alignment horizontal="center" vertical="center" wrapText="1"/>
    </xf>
    <xf numFmtId="0" fontId="11" fillId="3" borderId="84" xfId="0" applyFont="1" applyFill="1" applyBorder="1" applyAlignment="1">
      <alignment horizontal="center" vertical="center" wrapText="1"/>
    </xf>
    <xf numFmtId="0" fontId="11" fillId="3" borderId="85" xfId="0" applyFont="1" applyFill="1" applyBorder="1" applyAlignment="1">
      <alignment horizontal="center" vertical="center" wrapText="1"/>
    </xf>
    <xf numFmtId="205" fontId="16" fillId="6" borderId="0" xfId="0" applyNumberFormat="1" applyFont="1" applyFill="1" applyAlignment="1">
      <alignment horizontal="right"/>
    </xf>
    <xf numFmtId="205" fontId="16" fillId="6" borderId="78" xfId="0" applyNumberFormat="1" applyFont="1" applyFill="1" applyBorder="1" applyAlignment="1">
      <alignment horizontal="right"/>
    </xf>
    <xf numFmtId="0" fontId="26" fillId="3" borderId="0" xfId="0" applyFont="1" applyFill="1" applyAlignment="1">
      <alignment horizontal="center"/>
    </xf>
    <xf numFmtId="0" fontId="26" fillId="5" borderId="0" xfId="0" applyFont="1" applyFill="1" applyAlignment="1">
      <alignment horizontal="center"/>
    </xf>
    <xf numFmtId="0" fontId="51" fillId="5" borderId="149" xfId="0" applyFont="1" applyFill="1" applyBorder="1" applyAlignment="1">
      <alignment horizontal="left" vertical="center" wrapText="1"/>
    </xf>
    <xf numFmtId="0" fontId="51" fillId="5" borderId="0" xfId="0" applyFont="1" applyFill="1" applyAlignment="1">
      <alignment horizontal="left" vertical="center" wrapText="1"/>
    </xf>
    <xf numFmtId="0" fontId="0" fillId="6" borderId="0" xfId="0" applyFill="1" applyAlignment="1">
      <alignment horizontal="center" wrapText="1"/>
    </xf>
    <xf numFmtId="166" fontId="4" fillId="5" borderId="0" xfId="0" applyNumberFormat="1" applyFont="1" applyFill="1" applyAlignment="1">
      <alignment horizontal="left"/>
    </xf>
    <xf numFmtId="0" fontId="16" fillId="2" borderId="9" xfId="0" applyFont="1" applyFill="1" applyBorder="1" applyAlignment="1">
      <alignment horizontal="center" vertical="center"/>
    </xf>
    <xf numFmtId="0" fontId="16" fillId="2" borderId="0" xfId="0" applyFont="1" applyFill="1" applyAlignment="1">
      <alignment horizontal="center" vertical="center"/>
    </xf>
    <xf numFmtId="0" fontId="11" fillId="3" borderId="6" xfId="0" applyFont="1" applyFill="1" applyBorder="1" applyAlignment="1">
      <alignment horizontal="center"/>
    </xf>
    <xf numFmtId="0" fontId="11" fillId="3" borderId="8" xfId="0" applyFont="1" applyFill="1" applyBorder="1" applyAlignment="1">
      <alignment horizontal="center"/>
    </xf>
    <xf numFmtId="0" fontId="8" fillId="4" borderId="12" xfId="0" applyFont="1" applyFill="1" applyBorder="1" applyAlignment="1">
      <alignment horizontal="left"/>
    </xf>
    <xf numFmtId="0" fontId="11" fillId="3" borderId="1" xfId="0" applyFont="1" applyFill="1" applyBorder="1" applyAlignment="1">
      <alignment horizontal="center"/>
    </xf>
    <xf numFmtId="0" fontId="11" fillId="3" borderId="2" xfId="0" applyFont="1" applyFill="1" applyBorder="1" applyAlignment="1">
      <alignment horizontal="center"/>
    </xf>
    <xf numFmtId="0" fontId="11" fillId="3" borderId="18" xfId="0" applyFont="1" applyFill="1" applyBorder="1" applyAlignment="1">
      <alignment horizontal="center"/>
    </xf>
    <xf numFmtId="0" fontId="4" fillId="2" borderId="21" xfId="0" applyFont="1" applyFill="1" applyBorder="1" applyAlignment="1">
      <alignment horizontal="center"/>
    </xf>
    <xf numFmtId="0" fontId="4" fillId="2" borderId="146" xfId="0" applyFont="1" applyFill="1" applyBorder="1" applyAlignment="1">
      <alignment horizontal="center"/>
    </xf>
    <xf numFmtId="0" fontId="11" fillId="3" borderId="7" xfId="0" applyFont="1" applyFill="1" applyBorder="1" applyAlignment="1">
      <alignment horizontal="center"/>
    </xf>
    <xf numFmtId="0" fontId="8" fillId="4" borderId="0" xfId="0" applyFont="1" applyFill="1" applyAlignment="1">
      <alignment horizontal="left"/>
    </xf>
    <xf numFmtId="0" fontId="11" fillId="3" borderId="9" xfId="0" applyFont="1" applyFill="1" applyBorder="1" applyAlignment="1">
      <alignment horizontal="center"/>
    </xf>
    <xf numFmtId="0" fontId="11" fillId="3" borderId="10" xfId="0" applyFont="1" applyFill="1" applyBorder="1" applyAlignment="1">
      <alignment horizontal="center"/>
    </xf>
    <xf numFmtId="0" fontId="14" fillId="3" borderId="6" xfId="0" applyFont="1" applyFill="1" applyBorder="1" applyAlignment="1">
      <alignment horizontal="left"/>
    </xf>
    <xf numFmtId="0" fontId="14" fillId="3" borderId="7" xfId="0" applyFont="1" applyFill="1" applyBorder="1" applyAlignment="1">
      <alignment horizontal="left"/>
    </xf>
    <xf numFmtId="0" fontId="14" fillId="3" borderId="8" xfId="0" applyFont="1" applyFill="1" applyBorder="1" applyAlignment="1">
      <alignment horizontal="left"/>
    </xf>
    <xf numFmtId="0" fontId="11" fillId="3" borderId="6" xfId="0" applyFont="1" applyFill="1" applyBorder="1" applyAlignment="1">
      <alignment horizontal="left"/>
    </xf>
    <xf numFmtId="0" fontId="11" fillId="3" borderId="7" xfId="0" applyFont="1" applyFill="1" applyBorder="1" applyAlignment="1">
      <alignment horizontal="left"/>
    </xf>
    <xf numFmtId="0" fontId="11" fillId="3" borderId="8" xfId="0" applyFont="1" applyFill="1" applyBorder="1" applyAlignment="1">
      <alignment horizontal="left"/>
    </xf>
    <xf numFmtId="0" fontId="51" fillId="5" borderId="33" xfId="0" applyFont="1" applyFill="1" applyBorder="1" applyAlignment="1">
      <alignment horizontal="left" vertical="center" wrapText="1"/>
    </xf>
    <xf numFmtId="0" fontId="53" fillId="5" borderId="0" xfId="0" applyFont="1" applyFill="1" applyAlignment="1">
      <alignment horizontal="left" wrapText="1"/>
    </xf>
    <xf numFmtId="0" fontId="16" fillId="2" borderId="67" xfId="0" applyFont="1" applyFill="1" applyBorder="1" applyAlignment="1">
      <alignment horizontal="center"/>
    </xf>
    <xf numFmtId="0" fontId="16" fillId="2" borderId="70" xfId="0" applyFont="1" applyFill="1" applyBorder="1" applyAlignment="1">
      <alignment horizontal="center"/>
    </xf>
    <xf numFmtId="0" fontId="0" fillId="10" borderId="244" xfId="0" applyFill="1" applyBorder="1" applyAlignment="1" applyProtection="1">
      <alignment horizontal="center" vertical="center"/>
      <protection locked="0"/>
    </xf>
    <xf numFmtId="0" fontId="123" fillId="3" borderId="0" xfId="0" applyFont="1" applyFill="1" applyAlignment="1" applyProtection="1">
      <alignment horizontal="left" vertical="center" wrapText="1"/>
      <protection locked="0"/>
    </xf>
    <xf numFmtId="0" fontId="4" fillId="2" borderId="168" xfId="0" applyFont="1" applyFill="1" applyBorder="1"/>
    <xf numFmtId="0" fontId="4" fillId="2" borderId="149" xfId="0" applyFont="1" applyFill="1" applyBorder="1"/>
    <xf numFmtId="0" fontId="4" fillId="2" borderId="149" xfId="0" applyFont="1" applyFill="1" applyBorder="1" applyAlignment="1">
      <alignment horizontal="center"/>
    </xf>
    <xf numFmtId="0" fontId="4" fillId="2" borderId="169" xfId="0" applyFont="1" applyFill="1" applyBorder="1"/>
    <xf numFmtId="0" fontId="146" fillId="2" borderId="0" xfId="0" applyFont="1" applyFill="1" applyBorder="1" applyAlignment="1">
      <alignment horizontal="left" vertical="center"/>
    </xf>
    <xf numFmtId="1" fontId="146" fillId="2" borderId="0" xfId="0" applyNumberFormat="1" applyFont="1" applyFill="1" applyBorder="1" applyAlignment="1">
      <alignment horizontal="left" vertical="center"/>
    </xf>
    <xf numFmtId="0" fontId="4" fillId="2" borderId="171" xfId="0" applyFont="1" applyFill="1" applyBorder="1"/>
    <xf numFmtId="0" fontId="4" fillId="2" borderId="146" xfId="0" applyFont="1" applyFill="1" applyBorder="1"/>
    <xf numFmtId="0" fontId="6" fillId="2" borderId="31" xfId="0" applyFont="1" applyFill="1" applyBorder="1"/>
    <xf numFmtId="0" fontId="147" fillId="18" borderId="170" xfId="0" applyFont="1" applyFill="1" applyBorder="1" applyAlignment="1">
      <alignment horizontal="center"/>
    </xf>
    <xf numFmtId="0" fontId="147" fillId="18" borderId="0" xfId="0" applyFont="1" applyFill="1" applyBorder="1"/>
    <xf numFmtId="0" fontId="148" fillId="18" borderId="0" xfId="0" applyFont="1" applyFill="1" applyBorder="1"/>
    <xf numFmtId="0" fontId="147" fillId="18" borderId="0" xfId="0" applyFont="1" applyFill="1" applyBorder="1" applyAlignment="1">
      <alignment horizontal="center"/>
    </xf>
    <xf numFmtId="0" fontId="147" fillId="18" borderId="23" xfId="0" applyFont="1" applyFill="1" applyBorder="1"/>
    <xf numFmtId="0" fontId="56" fillId="2" borderId="170" xfId="0" applyFont="1" applyFill="1" applyBorder="1"/>
    <xf numFmtId="0" fontId="56" fillId="6" borderId="0" xfId="0" applyFont="1" applyFill="1" applyBorder="1"/>
    <xf numFmtId="0" fontId="149" fillId="6" borderId="0" xfId="0" applyFont="1" applyFill="1" applyBorder="1"/>
    <xf numFmtId="0" fontId="56" fillId="6" borderId="0" xfId="0" applyFont="1" applyFill="1" applyBorder="1" applyAlignment="1">
      <alignment horizontal="center"/>
    </xf>
    <xf numFmtId="0" fontId="56" fillId="2" borderId="23" xfId="0" applyFont="1" applyFill="1" applyBorder="1"/>
    <xf numFmtId="0" fontId="146" fillId="6" borderId="0" xfId="0" applyFont="1" applyFill="1" applyBorder="1" applyAlignment="1">
      <alignment horizontal="left" vertical="top" indent="1"/>
    </xf>
    <xf numFmtId="0" fontId="56" fillId="6" borderId="0" xfId="0" applyFont="1" applyFill="1" applyBorder="1" applyAlignment="1">
      <alignment horizontal="left" vertical="top" wrapText="1"/>
    </xf>
    <xf numFmtId="0" fontId="150" fillId="6" borderId="0" xfId="0" applyFont="1" applyFill="1" applyBorder="1" applyAlignment="1">
      <alignment horizontal="left" vertical="top"/>
    </xf>
    <xf numFmtId="0" fontId="150" fillId="6" borderId="0" xfId="0" applyFont="1" applyFill="1" applyBorder="1" applyAlignment="1">
      <alignment horizontal="left"/>
    </xf>
    <xf numFmtId="0" fontId="150" fillId="2" borderId="23" xfId="0" applyFont="1" applyFill="1" applyBorder="1" applyAlignment="1">
      <alignment horizontal="left"/>
    </xf>
    <xf numFmtId="0" fontId="56" fillId="2" borderId="0" xfId="0" applyFont="1" applyFill="1" applyBorder="1"/>
    <xf numFmtId="0" fontId="56" fillId="2" borderId="170" xfId="0" applyFont="1" applyFill="1" applyBorder="1" applyAlignment="1">
      <alignment vertical="center"/>
    </xf>
    <xf numFmtId="0" fontId="56" fillId="6" borderId="0" xfId="0" applyFont="1" applyFill="1" applyBorder="1" applyAlignment="1">
      <alignment vertical="center"/>
    </xf>
    <xf numFmtId="0" fontId="56" fillId="2" borderId="0" xfId="0" applyFont="1" applyFill="1" applyBorder="1" applyAlignment="1">
      <alignment horizontal="left" vertical="top"/>
    </xf>
    <xf numFmtId="0" fontId="56" fillId="2" borderId="0" xfId="0" applyFont="1" applyFill="1" applyBorder="1" applyAlignment="1">
      <alignment horizontal="left" vertical="top" wrapText="1"/>
    </xf>
    <xf numFmtId="0" fontId="56" fillId="2" borderId="0" xfId="0" applyFont="1" applyFill="1" applyBorder="1" applyAlignment="1">
      <alignment vertical="center"/>
    </xf>
    <xf numFmtId="0" fontId="56" fillId="2" borderId="23" xfId="0" applyFont="1" applyFill="1" applyBorder="1" applyAlignment="1">
      <alignment vertical="center"/>
    </xf>
    <xf numFmtId="0" fontId="56" fillId="2" borderId="0" xfId="0" applyFont="1" applyFill="1" applyBorder="1" applyAlignment="1">
      <alignment horizontal="left"/>
    </xf>
    <xf numFmtId="1" fontId="146" fillId="2" borderId="0" xfId="0" applyNumberFormat="1" applyFont="1" applyFill="1" applyBorder="1" applyAlignment="1">
      <alignment horizontal="left" vertical="top" wrapText="1"/>
    </xf>
    <xf numFmtId="1" fontId="146" fillId="6" borderId="0" xfId="0" applyNumberFormat="1" applyFont="1" applyFill="1" applyBorder="1" applyAlignment="1">
      <alignment horizontal="left" vertical="top" wrapText="1"/>
    </xf>
    <xf numFmtId="3" fontId="146" fillId="2" borderId="0" xfId="0" applyNumberFormat="1" applyFont="1" applyFill="1" applyBorder="1" applyAlignment="1">
      <alignment horizontal="left"/>
    </xf>
    <xf numFmtId="0" fontId="56" fillId="6" borderId="0" xfId="0" applyFont="1" applyFill="1" applyBorder="1" applyAlignment="1">
      <alignment horizontal="left" vertical="top" indent="1"/>
    </xf>
    <xf numFmtId="0" fontId="150" fillId="6" borderId="0" xfId="0" applyFont="1" applyFill="1" applyBorder="1" applyAlignment="1">
      <alignment horizontal="left" vertical="top" indent="1"/>
    </xf>
    <xf numFmtId="3" fontId="150" fillId="6" borderId="0" xfId="0" applyNumberFormat="1" applyFont="1" applyFill="1" applyBorder="1" applyAlignment="1">
      <alignment horizontal="left" vertical="top"/>
    </xf>
    <xf numFmtId="4" fontId="150" fillId="6" borderId="0" xfId="0" applyNumberFormat="1" applyFont="1" applyFill="1" applyBorder="1" applyAlignment="1">
      <alignment horizontal="left" vertical="top"/>
    </xf>
    <xf numFmtId="0" fontId="146" fillId="6" borderId="0" xfId="0" applyFont="1" applyFill="1" applyBorder="1" applyAlignment="1">
      <alignment horizontal="left" vertical="top" wrapText="1"/>
    </xf>
    <xf numFmtId="0" fontId="56" fillId="6" borderId="0" xfId="0" applyFont="1" applyFill="1" applyBorder="1" applyAlignment="1">
      <alignment horizontal="left" vertical="top"/>
    </xf>
    <xf numFmtId="0" fontId="56" fillId="6" borderId="149" xfId="0" applyFont="1" applyFill="1" applyBorder="1" applyAlignment="1">
      <alignment horizontal="left" vertical="top" indent="1"/>
    </xf>
    <xf numFmtId="0" fontId="56" fillId="6" borderId="149" xfId="0" applyFont="1" applyFill="1" applyBorder="1" applyAlignment="1">
      <alignment horizontal="left" vertical="top"/>
    </xf>
    <xf numFmtId="0" fontId="56" fillId="6" borderId="0" xfId="0" applyFont="1" applyFill="1" applyBorder="1" applyAlignment="1">
      <alignment horizontal="center" wrapText="1"/>
    </xf>
    <xf numFmtId="0" fontId="56" fillId="6" borderId="0" xfId="0" applyFont="1" applyFill="1" applyBorder="1" applyAlignment="1">
      <alignment horizontal="left" wrapText="1"/>
    </xf>
    <xf numFmtId="184" fontId="146" fillId="6" borderId="0" xfId="0" applyNumberFormat="1" applyFont="1" applyFill="1" applyBorder="1" applyAlignment="1">
      <alignment horizontal="left" vertical="top" wrapText="1"/>
    </xf>
    <xf numFmtId="3" fontId="146" fillId="6" borderId="0" xfId="0" applyNumberFormat="1" applyFont="1" applyFill="1" applyBorder="1" applyAlignment="1">
      <alignment horizontal="left" vertical="top" wrapText="1"/>
    </xf>
    <xf numFmtId="49" fontId="146" fillId="6" borderId="0" xfId="0" applyNumberFormat="1" applyFont="1" applyFill="1" applyBorder="1" applyAlignment="1">
      <alignment horizontal="left" vertical="top" wrapText="1"/>
    </xf>
    <xf numFmtId="165" fontId="146" fillId="6" borderId="0" xfId="0" applyNumberFormat="1" applyFont="1" applyFill="1" applyBorder="1" applyAlignment="1">
      <alignment horizontal="left" vertical="top" wrapText="1"/>
    </xf>
    <xf numFmtId="181" fontId="146" fillId="6" borderId="0" xfId="0" applyNumberFormat="1" applyFont="1" applyFill="1" applyBorder="1" applyAlignment="1">
      <alignment horizontal="left" vertical="top" wrapText="1"/>
    </xf>
    <xf numFmtId="183" fontId="146" fillId="6" borderId="0" xfId="0" applyNumberFormat="1" applyFont="1" applyFill="1" applyBorder="1" applyAlignment="1">
      <alignment horizontal="left" vertical="top" wrapText="1"/>
    </xf>
    <xf numFmtId="183" fontId="146" fillId="6" borderId="149" xfId="0" applyNumberFormat="1" applyFont="1" applyFill="1" applyBorder="1" applyAlignment="1">
      <alignment horizontal="left" vertical="top" wrapText="1"/>
    </xf>
    <xf numFmtId="0" fontId="56" fillId="2" borderId="171" xfId="0" applyFont="1" applyFill="1" applyBorder="1"/>
    <xf numFmtId="0" fontId="56" fillId="6" borderId="31" xfId="0" applyFont="1" applyFill="1" applyBorder="1"/>
    <xf numFmtId="0" fontId="56" fillId="6" borderId="31" xfId="0" applyFont="1" applyFill="1" applyBorder="1" applyAlignment="1">
      <alignment horizontal="left" vertical="top" indent="1"/>
    </xf>
    <xf numFmtId="0" fontId="56" fillId="6" borderId="31" xfId="0" applyFont="1" applyFill="1" applyBorder="1" applyAlignment="1">
      <alignment horizontal="left" vertical="top" wrapText="1"/>
    </xf>
    <xf numFmtId="0" fontId="56" fillId="2" borderId="146" xfId="0" applyFont="1" applyFill="1" applyBorder="1"/>
    <xf numFmtId="0" fontId="11" fillId="18" borderId="0" xfId="0" applyFont="1" applyFill="1" applyAlignment="1">
      <alignment horizontal="center" wrapText="1"/>
    </xf>
    <xf numFmtId="0" fontId="4" fillId="19" borderId="9" xfId="0" applyFont="1" applyFill="1" applyBorder="1" applyAlignment="1">
      <alignment vertical="center"/>
    </xf>
    <xf numFmtId="0" fontId="4" fillId="19" borderId="0" xfId="0" applyFont="1" applyFill="1" applyAlignment="1">
      <alignment vertical="center"/>
    </xf>
    <xf numFmtId="0" fontId="4" fillId="19" borderId="0" xfId="0" applyFont="1" applyFill="1" applyAlignment="1">
      <alignment horizontal="center" vertical="center"/>
    </xf>
    <xf numFmtId="0" fontId="4" fillId="19" borderId="10" xfId="0" applyFont="1" applyFill="1" applyBorder="1" applyAlignment="1">
      <alignment vertical="center"/>
    </xf>
    <xf numFmtId="0" fontId="9" fillId="19" borderId="0" xfId="0" applyFont="1" applyFill="1" applyAlignment="1">
      <alignment horizontal="center" vertical="center"/>
    </xf>
    <xf numFmtId="166" fontId="9" fillId="19" borderId="0" xfId="0" applyNumberFormat="1" applyFont="1" applyFill="1" applyAlignment="1">
      <alignment horizontal="right" vertical="center"/>
    </xf>
    <xf numFmtId="0" fontId="4" fillId="6" borderId="0" xfId="0" applyFont="1" applyFill="1" applyBorder="1" applyAlignment="1">
      <alignment horizontal="center" vertical="center"/>
    </xf>
  </cellXfs>
  <cellStyles count="12">
    <cellStyle name="20% - Accent6 2" xfId="7" xr:uid="{00000000-0005-0000-0000-000000000000}"/>
    <cellStyle name="Accent6 2" xfId="8" xr:uid="{00000000-0005-0000-0000-000001000000}"/>
    <cellStyle name="Comma" xfId="9" builtinId="3"/>
    <cellStyle name="Currency 2" xfId="5" xr:uid="{00000000-0005-0000-0000-000002000000}"/>
    <cellStyle name="Date" xfId="6" xr:uid="{00000000-0005-0000-0000-000003000000}"/>
    <cellStyle name="Followed Hyperlink" xfId="3" builtinId="9" hidden="1" customBuiltin="1"/>
    <cellStyle name="Hyperlink" xfId="2" builtinId="8" hidden="1" customBuiltin="1"/>
    <cellStyle name="Hyperlink" xfId="10" builtinId="8"/>
    <cellStyle name="Normal" xfId="0" builtinId="0" customBuiltin="1"/>
    <cellStyle name="Normal 38" xfId="11" xr:uid="{70D29240-A25D-4E9E-8A94-08A161991ABE}"/>
    <cellStyle name="Percent" xfId="1" builtinId="5"/>
    <cellStyle name="z A Column text" xfId="4" xr:uid="{00000000-0005-0000-0000-000010000000}"/>
  </cellStyles>
  <dxfs count="145">
    <dxf>
      <font>
        <color rgb="FF9C0006"/>
      </font>
      <fill>
        <patternFill>
          <bgColor rgb="FFFFC7CE"/>
        </patternFill>
      </fill>
    </dxf>
    <dxf>
      <fill>
        <patternFill>
          <bgColor rgb="FF92D050"/>
        </patternFill>
      </fill>
    </dxf>
    <dxf>
      <font>
        <color rgb="FF9C0006"/>
      </font>
      <fill>
        <patternFill>
          <bgColor rgb="FFFFC7CE"/>
        </patternFill>
      </fill>
    </dxf>
    <dxf>
      <fill>
        <patternFill>
          <bgColor rgb="FF92D050"/>
        </patternFill>
      </fill>
    </dxf>
    <dxf>
      <font>
        <color rgb="FF9C0006"/>
      </font>
      <fill>
        <patternFill>
          <bgColor rgb="FFFFC7CE"/>
        </patternFill>
      </fill>
    </dxf>
    <dxf>
      <fill>
        <patternFill>
          <bgColor rgb="FF92D050"/>
        </patternFill>
      </fill>
    </dxf>
    <dxf>
      <font>
        <color rgb="FF9C0006"/>
      </font>
      <fill>
        <patternFill>
          <bgColor rgb="FFFFC7CE"/>
        </patternFill>
      </fill>
    </dxf>
    <dxf>
      <fill>
        <patternFill>
          <bgColor rgb="FF92D050"/>
        </patternFill>
      </fill>
    </dxf>
    <dxf>
      <font>
        <color rgb="FF9C0006"/>
      </font>
      <fill>
        <patternFill>
          <bgColor rgb="FFFFC7CE"/>
        </patternFill>
      </fill>
    </dxf>
    <dxf>
      <fill>
        <patternFill>
          <bgColor rgb="FF92D050"/>
        </patternFill>
      </fill>
    </dxf>
    <dxf>
      <border>
        <top style="thin">
          <color auto="1"/>
        </top>
        <vertical/>
        <horizontal/>
      </border>
    </dxf>
    <dxf>
      <font>
        <b/>
        <i val="0"/>
      </font>
    </dxf>
    <dxf>
      <border>
        <top style="thin">
          <color auto="1"/>
        </top>
        <vertical/>
        <horizontal/>
      </border>
    </dxf>
    <dxf>
      <border>
        <top style="thin">
          <color auto="1"/>
        </top>
        <vertical/>
        <horizontal/>
      </border>
    </dxf>
    <dxf>
      <border>
        <top style="thin">
          <color auto="1"/>
        </top>
        <vertical/>
        <horizontal/>
      </border>
    </dxf>
    <dxf>
      <font>
        <b/>
        <i val="0"/>
      </font>
      <border>
        <vertical/>
        <horizontal/>
      </border>
    </dxf>
    <dxf>
      <border>
        <top style="thin">
          <color auto="1"/>
        </top>
      </border>
    </dxf>
    <dxf>
      <border>
        <top style="thin">
          <color auto="1"/>
        </top>
        <vertical/>
        <horizontal/>
      </border>
    </dxf>
    <dxf>
      <font>
        <b/>
        <i val="0"/>
      </font>
    </dxf>
    <dxf>
      <font>
        <b/>
        <i val="0"/>
      </font>
    </dxf>
    <dxf>
      <font>
        <b/>
        <i val="0"/>
      </font>
    </dxf>
    <dxf>
      <font>
        <b/>
        <i val="0"/>
      </font>
    </dxf>
    <dxf>
      <font>
        <b/>
        <i val="0"/>
      </font>
    </dxf>
    <dxf>
      <font>
        <b/>
        <i val="0"/>
      </font>
      <border>
        <top style="thin">
          <color auto="1"/>
        </top>
        <vertical/>
        <horizontal/>
      </border>
    </dxf>
    <dxf>
      <font>
        <b/>
        <i val="0"/>
      </font>
    </dxf>
    <dxf>
      <border>
        <top style="thin">
          <color auto="1"/>
        </top>
        <vertical/>
        <horizontal/>
      </border>
    </dxf>
    <dxf>
      <font>
        <b/>
        <i val="0"/>
      </font>
    </dxf>
    <dxf>
      <border>
        <top style="thin">
          <color auto="1"/>
        </top>
        <vertical/>
        <horizontal/>
      </border>
    </dxf>
    <dxf>
      <border>
        <top style="thin">
          <color auto="1"/>
        </top>
        <vertical/>
        <horizontal/>
      </border>
    </dxf>
    <dxf>
      <border>
        <top style="thin">
          <color auto="1"/>
        </top>
        <vertical/>
        <horizontal/>
      </border>
    </dxf>
    <dxf>
      <font>
        <b/>
        <i val="0"/>
      </font>
      <border>
        <vertical/>
        <horizontal/>
      </border>
    </dxf>
    <dxf>
      <border>
        <top style="thin">
          <color auto="1"/>
        </top>
      </border>
    </dxf>
    <dxf>
      <border>
        <top style="thin">
          <color auto="1"/>
        </top>
        <vertical/>
        <horizontal/>
      </border>
    </dxf>
    <dxf>
      <font>
        <b/>
        <i val="0"/>
      </font>
    </dxf>
    <dxf>
      <font>
        <b/>
        <i val="0"/>
      </font>
    </dxf>
    <dxf>
      <font>
        <b/>
        <i val="0"/>
      </font>
    </dxf>
    <dxf>
      <font>
        <b/>
        <i val="0"/>
      </font>
    </dxf>
    <dxf>
      <font>
        <b/>
        <i val="0"/>
      </font>
    </dxf>
    <dxf>
      <font>
        <b/>
        <i val="0"/>
      </font>
      <border>
        <top style="thin">
          <color auto="1"/>
        </top>
        <vertical/>
        <horizontal/>
      </border>
    </dxf>
    <dxf>
      <font>
        <b/>
        <i val="0"/>
      </font>
    </dxf>
    <dxf>
      <border>
        <top style="thin">
          <color auto="1"/>
        </top>
        <vertical/>
        <horizontal/>
      </border>
    </dxf>
    <dxf>
      <font>
        <b/>
        <i val="0"/>
      </font>
    </dxf>
    <dxf>
      <border>
        <top style="thin">
          <color auto="1"/>
        </top>
        <vertical/>
        <horizontal/>
      </border>
    </dxf>
    <dxf>
      <border>
        <top style="thin">
          <color auto="1"/>
        </top>
        <vertical/>
        <horizontal/>
      </border>
    </dxf>
    <dxf>
      <border>
        <top style="thin">
          <color auto="1"/>
        </top>
        <vertical/>
        <horizontal/>
      </border>
    </dxf>
    <dxf>
      <font>
        <b/>
        <i val="0"/>
      </font>
      <border>
        <vertical/>
        <horizontal/>
      </border>
    </dxf>
    <dxf>
      <border>
        <top style="thin">
          <color auto="1"/>
        </top>
      </border>
    </dxf>
    <dxf>
      <border>
        <top style="thin">
          <color auto="1"/>
        </top>
        <vertical/>
        <horizontal/>
      </border>
    </dxf>
    <dxf>
      <font>
        <b/>
        <i val="0"/>
      </font>
    </dxf>
    <dxf>
      <font>
        <b/>
        <i val="0"/>
      </font>
    </dxf>
    <dxf>
      <font>
        <b/>
        <i val="0"/>
      </font>
    </dxf>
    <dxf>
      <font>
        <b/>
        <i val="0"/>
      </font>
    </dxf>
    <dxf>
      <font>
        <b/>
        <i val="0"/>
      </font>
    </dxf>
    <dxf>
      <font>
        <b/>
        <i val="0"/>
      </font>
      <border>
        <top style="thin">
          <color auto="1"/>
        </top>
        <vertical/>
        <horizontal/>
      </border>
    </dxf>
    <dxf>
      <font>
        <b/>
        <i val="0"/>
      </font>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275" formatCode="###0.0&quot;K&quot;"/>
    </dxf>
    <dxf>
      <numFmt numFmtId="276" formatCode="###0.0&quot;M&quot;"/>
    </dxf>
    <dxf>
      <numFmt numFmtId="275" formatCode="###0.0&quot;K&quot;"/>
    </dxf>
    <dxf>
      <numFmt numFmtId="276" formatCode="###0.0&quot;M&quot;"/>
    </dxf>
    <dxf>
      <numFmt numFmtId="258" formatCode="0.00;[Red]0.00"/>
    </dxf>
    <dxf>
      <numFmt numFmtId="258" formatCode="0.00;[Red]0.00"/>
      <alignment horizontal="center" vertical="bottom" textRotation="0" wrapText="0" indent="0" justifyLastLine="0" shrinkToFit="0" readingOrder="0"/>
    </dxf>
    <dxf>
      <numFmt numFmtId="258" formatCode="0.00;[Red]0.00"/>
      <alignment horizontal="center" vertical="bottom" textRotation="0" wrapText="0" indent="0" justifyLastLine="0" shrinkToFit="0" readingOrder="0"/>
    </dxf>
    <dxf>
      <font>
        <b val="0"/>
        <i val="0"/>
        <strike val="0"/>
        <condense val="0"/>
        <extend val="0"/>
        <outline val="0"/>
        <shadow val="0"/>
        <u val="none"/>
        <vertAlign val="baseline"/>
        <sz val="10"/>
        <color theme="1"/>
        <name val="Segoe UI"/>
        <family val="2"/>
        <scheme val="none"/>
      </font>
      <numFmt numFmtId="14" formatCode="0.00%"/>
    </dxf>
    <dxf>
      <font>
        <b val="0"/>
        <i val="0"/>
        <strike val="0"/>
        <condense val="0"/>
        <extend val="0"/>
        <outline val="0"/>
        <shadow val="0"/>
        <u val="none"/>
        <vertAlign val="baseline"/>
        <sz val="10"/>
        <color theme="1"/>
        <name val="Segoe UI"/>
        <family val="2"/>
        <scheme val="none"/>
      </font>
      <numFmt numFmtId="14" formatCode="0.00%"/>
    </dxf>
    <dxf>
      <font>
        <b val="0"/>
        <i val="0"/>
        <strike val="0"/>
        <condense val="0"/>
        <extend val="0"/>
        <outline val="0"/>
        <shadow val="0"/>
        <u val="none"/>
        <vertAlign val="baseline"/>
        <sz val="10"/>
        <color theme="1"/>
        <name val="Segoe UI"/>
        <family val="2"/>
        <scheme val="none"/>
      </font>
      <numFmt numFmtId="14" formatCode="0.00%"/>
    </dxf>
    <dxf>
      <font>
        <b val="0"/>
        <i val="0"/>
        <strike val="0"/>
        <condense val="0"/>
        <extend val="0"/>
        <outline val="0"/>
        <shadow val="0"/>
        <u val="none"/>
        <vertAlign val="baseline"/>
        <sz val="10"/>
        <color theme="1"/>
        <name val="Segoe UI"/>
        <family val="2"/>
        <scheme val="none"/>
      </font>
      <numFmt numFmtId="14" formatCode="0.00%"/>
    </dxf>
    <dxf>
      <font>
        <b val="0"/>
        <i val="0"/>
        <strike val="0"/>
        <condense val="0"/>
        <extend val="0"/>
        <outline val="0"/>
        <shadow val="0"/>
        <u val="none"/>
        <vertAlign val="baseline"/>
        <sz val="10"/>
        <color theme="1"/>
        <name val="Segoe UI"/>
        <family val="2"/>
        <scheme val="none"/>
      </font>
      <numFmt numFmtId="14" formatCode="0.00%"/>
    </dxf>
    <dxf>
      <font>
        <b val="0"/>
        <i val="0"/>
        <strike val="0"/>
        <condense val="0"/>
        <extend val="0"/>
        <outline val="0"/>
        <shadow val="0"/>
        <u val="none"/>
        <vertAlign val="baseline"/>
        <sz val="10"/>
        <color theme="1"/>
        <name val="Segoe UI"/>
        <family val="2"/>
        <scheme val="none"/>
      </font>
      <numFmt numFmtId="14" formatCode="0.00%"/>
    </dxf>
    <dxf>
      <font>
        <b val="0"/>
        <i val="0"/>
        <strike val="0"/>
        <condense val="0"/>
        <extend val="0"/>
        <outline val="0"/>
        <shadow val="0"/>
        <u val="none"/>
        <vertAlign val="baseline"/>
        <sz val="10"/>
        <color theme="1"/>
        <name val="Segoe UI"/>
        <family val="2"/>
        <scheme val="none"/>
      </font>
      <numFmt numFmtId="14" formatCode="0.00%"/>
    </dxf>
    <dxf>
      <font>
        <b val="0"/>
        <i val="0"/>
        <strike val="0"/>
        <condense val="0"/>
        <extend val="0"/>
        <outline val="0"/>
        <shadow val="0"/>
        <u val="none"/>
        <vertAlign val="baseline"/>
        <sz val="10"/>
        <color theme="1"/>
        <name val="Segoe UI"/>
        <family val="2"/>
        <scheme val="none"/>
      </font>
      <numFmt numFmtId="14" formatCode="0.00%"/>
    </dxf>
    <dxf>
      <font>
        <b val="0"/>
        <i val="0"/>
        <strike val="0"/>
        <condense val="0"/>
        <extend val="0"/>
        <outline val="0"/>
        <shadow val="0"/>
        <u val="none"/>
        <vertAlign val="baseline"/>
        <sz val="10"/>
        <color theme="1"/>
        <name val="Segoe UI"/>
        <family val="2"/>
        <scheme val="none"/>
      </font>
      <numFmt numFmtId="14" formatCode="0.00%"/>
    </dxf>
    <dxf>
      <font>
        <b val="0"/>
        <i val="0"/>
        <strike val="0"/>
        <condense val="0"/>
        <extend val="0"/>
        <outline val="0"/>
        <shadow val="0"/>
        <u val="none"/>
        <vertAlign val="baseline"/>
        <sz val="10"/>
        <color theme="1"/>
        <name val="Segoe UI"/>
        <family val="2"/>
        <scheme val="none"/>
      </font>
      <numFmt numFmtId="257" formatCode="0;[Red]0"/>
    </dxf>
    <dxf>
      <font>
        <b val="0"/>
        <i val="0"/>
        <strike val="0"/>
        <condense val="0"/>
        <extend val="0"/>
        <outline val="0"/>
        <shadow val="0"/>
        <u val="none"/>
        <vertAlign val="baseline"/>
        <sz val="10"/>
        <color theme="1"/>
        <name val="Segoe UI"/>
        <family val="2"/>
        <scheme val="none"/>
      </font>
      <numFmt numFmtId="257" formatCode="0;[Red]0"/>
    </dxf>
    <dxf>
      <font>
        <b val="0"/>
        <i val="0"/>
        <strike val="0"/>
        <condense val="0"/>
        <extend val="0"/>
        <outline val="0"/>
        <shadow val="0"/>
        <u val="none"/>
        <vertAlign val="baseline"/>
        <sz val="10"/>
        <color theme="1"/>
        <name val="Segoe UI"/>
        <family val="2"/>
        <scheme val="none"/>
      </font>
      <numFmt numFmtId="257" formatCode="0;[Red]0"/>
    </dxf>
    <dxf>
      <font>
        <b val="0"/>
        <i val="0"/>
        <strike val="0"/>
        <condense val="0"/>
        <extend val="0"/>
        <outline val="0"/>
        <shadow val="0"/>
        <u val="none"/>
        <vertAlign val="baseline"/>
        <sz val="10"/>
        <color theme="1"/>
        <name val="Segoe UI"/>
        <family val="2"/>
        <scheme val="none"/>
      </font>
      <numFmt numFmtId="14" formatCode="0.00%"/>
    </dxf>
    <dxf>
      <font>
        <b val="0"/>
        <i val="0"/>
        <strike val="0"/>
        <condense val="0"/>
        <extend val="0"/>
        <outline val="0"/>
        <shadow val="0"/>
        <u val="none"/>
        <vertAlign val="baseline"/>
        <sz val="10"/>
        <color theme="1"/>
        <name val="Segoe UI"/>
        <family val="2"/>
        <scheme val="none"/>
      </font>
      <numFmt numFmtId="14" formatCode="0.00%"/>
    </dxf>
    <dxf>
      <font>
        <b val="0"/>
        <i val="0"/>
        <strike val="0"/>
        <condense val="0"/>
        <extend val="0"/>
        <outline val="0"/>
        <shadow val="0"/>
        <u val="none"/>
        <vertAlign val="baseline"/>
        <sz val="10"/>
        <color theme="1"/>
        <name val="Segoe UI"/>
        <family val="2"/>
        <scheme val="none"/>
      </font>
      <numFmt numFmtId="14" formatCode="0.00%"/>
    </dxf>
    <dxf>
      <font>
        <b val="0"/>
        <i val="0"/>
        <strike val="0"/>
        <condense val="0"/>
        <extend val="0"/>
        <outline val="0"/>
        <shadow val="0"/>
        <u val="none"/>
        <vertAlign val="baseline"/>
        <sz val="10"/>
        <color theme="1"/>
        <name val="Segoe UI"/>
        <family val="2"/>
        <scheme val="none"/>
      </font>
      <numFmt numFmtId="14" formatCode="0.00%"/>
    </dxf>
    <dxf>
      <font>
        <b val="0"/>
        <i val="0"/>
        <strike val="0"/>
        <condense val="0"/>
        <extend val="0"/>
        <outline val="0"/>
        <shadow val="0"/>
        <u val="none"/>
        <vertAlign val="baseline"/>
        <sz val="10"/>
        <color theme="1"/>
        <name val="Segoe UI"/>
        <family val="2"/>
        <scheme val="none"/>
      </font>
      <numFmt numFmtId="14" formatCode="0.00%"/>
    </dxf>
    <dxf>
      <font>
        <b val="0"/>
        <i val="0"/>
        <strike val="0"/>
        <condense val="0"/>
        <extend val="0"/>
        <outline val="0"/>
        <shadow val="0"/>
        <u val="none"/>
        <vertAlign val="baseline"/>
        <sz val="10"/>
        <color theme="1"/>
        <name val="Segoe UI"/>
        <family val="2"/>
        <scheme val="none"/>
      </font>
      <numFmt numFmtId="14" formatCode="0.00%"/>
    </dxf>
    <dxf>
      <alignment horizontal="center" vertical="bottom" textRotation="0" wrapText="0" indent="0" justifyLastLine="0" shrinkToFit="0" readingOrder="0"/>
    </dxf>
    <dxf>
      <alignment horizontal="right" vertical="center" textRotation="0" wrapText="0" indent="0" justifyLastLine="0" shrinkToFit="0" readingOrder="0"/>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numFmt numFmtId="0" formatCode="General"/>
    </dxf>
    <dxf>
      <font>
        <b val="0"/>
        <i val="0"/>
        <strike val="0"/>
        <condense val="0"/>
        <extend val="0"/>
        <outline val="0"/>
        <shadow val="0"/>
        <u val="none"/>
        <vertAlign val="baseline"/>
        <sz val="8"/>
        <color theme="1"/>
        <name val="Segoe UI"/>
        <family val="2"/>
        <scheme val="none"/>
      </font>
      <numFmt numFmtId="0" formatCode="General"/>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
      <font>
        <b val="0"/>
        <i val="0"/>
        <strike val="0"/>
        <condense val="0"/>
        <extend val="0"/>
        <outline val="0"/>
        <shadow val="0"/>
        <u val="none"/>
        <vertAlign val="baseline"/>
        <sz val="8"/>
        <color theme="1"/>
        <name val="Segoe UI"/>
        <family val="2"/>
        <scheme val="none"/>
      </font>
    </dxf>
  </dxfs>
  <tableStyles count="0" defaultTableStyle="TableStyleMedium9" defaultPivotStyle="PivotStyleLight16"/>
  <colors>
    <mruColors>
      <color rgb="FF005710"/>
      <color rgb="FF495549"/>
      <color rgb="FF5A702E"/>
      <color rgb="FF98B954"/>
      <color rgb="FF1F497D"/>
      <color rgb="FF17FA06"/>
      <color rgb="FF8DB4E2"/>
      <color rgb="FFF2B800"/>
      <color rgb="FF9C0006"/>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sheetMetadata" Target="metadata.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theme" Target="theme/theme1.xml"/><Relationship Id="rId10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1"/>
        <c:ser>
          <c:idx val="1"/>
          <c:order val="0"/>
          <c:tx>
            <c:strRef>
              <c:f>RegionalESRI!$AH$29</c:f>
              <c:strCache>
                <c:ptCount val="1"/>
                <c:pt idx="0">
                  <c:v>Percent of Employment</c:v>
                </c:pt>
              </c:strCache>
            </c:strRef>
          </c:tx>
          <c:invertIfNegative val="0"/>
          <c:dPt>
            <c:idx val="0"/>
            <c:invertIfNegative val="0"/>
            <c:bubble3D val="0"/>
            <c:spPr>
              <a:solidFill>
                <a:srgbClr val="112F53"/>
              </a:solidFill>
              <a:ln>
                <a:noFill/>
              </a:ln>
              <a:effectLst/>
            </c:spPr>
            <c:extLst>
              <c:ext xmlns:c16="http://schemas.microsoft.com/office/drawing/2014/chart" uri="{C3380CC4-5D6E-409C-BE32-E72D297353CC}">
                <c16:uniqueId val="{00000001-6120-49AE-9557-AB2625D2A251}"/>
              </c:ext>
            </c:extLst>
          </c:dPt>
          <c:dPt>
            <c:idx val="1"/>
            <c:invertIfNegative val="0"/>
            <c:bubble3D val="0"/>
            <c:spPr>
              <a:solidFill>
                <a:srgbClr val="15365E"/>
              </a:solidFill>
              <a:ln>
                <a:noFill/>
              </a:ln>
              <a:effectLst/>
            </c:spPr>
            <c:extLst>
              <c:ext xmlns:c16="http://schemas.microsoft.com/office/drawing/2014/chart" uri="{C3380CC4-5D6E-409C-BE32-E72D297353CC}">
                <c16:uniqueId val="{00000003-6120-49AE-9557-AB2625D2A251}"/>
              </c:ext>
            </c:extLst>
          </c:dPt>
          <c:dPt>
            <c:idx val="2"/>
            <c:invertIfNegative val="0"/>
            <c:bubble3D val="0"/>
            <c:spPr>
              <a:solidFill>
                <a:srgbClr val="183C68"/>
              </a:solidFill>
              <a:ln>
                <a:noFill/>
              </a:ln>
              <a:effectLst/>
            </c:spPr>
            <c:extLst>
              <c:ext xmlns:c16="http://schemas.microsoft.com/office/drawing/2014/chart" uri="{C3380CC4-5D6E-409C-BE32-E72D297353CC}">
                <c16:uniqueId val="{00000005-6120-49AE-9557-AB2625D2A251}"/>
              </c:ext>
            </c:extLst>
          </c:dPt>
          <c:dPt>
            <c:idx val="3"/>
            <c:invertIfNegative val="0"/>
            <c:bubble3D val="0"/>
            <c:spPr>
              <a:solidFill>
                <a:srgbClr val="1B4171"/>
              </a:solidFill>
              <a:ln>
                <a:noFill/>
              </a:ln>
              <a:effectLst/>
            </c:spPr>
            <c:extLst>
              <c:ext xmlns:c16="http://schemas.microsoft.com/office/drawing/2014/chart" uri="{C3380CC4-5D6E-409C-BE32-E72D297353CC}">
                <c16:uniqueId val="{00000007-6120-49AE-9557-AB2625D2A251}"/>
              </c:ext>
            </c:extLst>
          </c:dPt>
          <c:dPt>
            <c:idx val="4"/>
            <c:invertIfNegative val="0"/>
            <c:bubble3D val="0"/>
            <c:spPr>
              <a:solidFill>
                <a:srgbClr val="1E4679"/>
              </a:solidFill>
              <a:ln>
                <a:noFill/>
              </a:ln>
              <a:effectLst/>
            </c:spPr>
            <c:extLst>
              <c:ext xmlns:c16="http://schemas.microsoft.com/office/drawing/2014/chart" uri="{C3380CC4-5D6E-409C-BE32-E72D297353CC}">
                <c16:uniqueId val="{00000009-6120-49AE-9557-AB2625D2A251}"/>
              </c:ext>
            </c:extLst>
          </c:dPt>
          <c:dPt>
            <c:idx val="5"/>
            <c:invertIfNegative val="0"/>
            <c:bubble3D val="0"/>
            <c:spPr>
              <a:solidFill>
                <a:srgbClr val="4C628A"/>
              </a:solidFill>
              <a:ln>
                <a:noFill/>
              </a:ln>
              <a:effectLst/>
            </c:spPr>
            <c:extLst>
              <c:ext xmlns:c16="http://schemas.microsoft.com/office/drawing/2014/chart" uri="{C3380CC4-5D6E-409C-BE32-E72D297353CC}">
                <c16:uniqueId val="{0000000B-6120-49AE-9557-AB2625D2A251}"/>
              </c:ext>
            </c:extLst>
          </c:dPt>
          <c:dPt>
            <c:idx val="6"/>
            <c:invertIfNegative val="0"/>
            <c:bubble3D val="0"/>
            <c:spPr>
              <a:solidFill>
                <a:srgbClr val="7C87A1"/>
              </a:solidFill>
              <a:ln>
                <a:noFill/>
              </a:ln>
              <a:effectLst/>
            </c:spPr>
            <c:extLst>
              <c:ext xmlns:c16="http://schemas.microsoft.com/office/drawing/2014/chart" uri="{C3380CC4-5D6E-409C-BE32-E72D297353CC}">
                <c16:uniqueId val="{0000000D-6120-49AE-9557-AB2625D2A251}"/>
              </c:ext>
            </c:extLst>
          </c:dPt>
          <c:dPt>
            <c:idx val="7"/>
            <c:invertIfNegative val="0"/>
            <c:bubble3D val="0"/>
            <c:spPr>
              <a:solidFill>
                <a:srgbClr val="99A1B3"/>
              </a:solidFill>
              <a:ln>
                <a:noFill/>
              </a:ln>
              <a:effectLst/>
            </c:spPr>
            <c:extLst>
              <c:ext xmlns:c16="http://schemas.microsoft.com/office/drawing/2014/chart" uri="{C3380CC4-5D6E-409C-BE32-E72D297353CC}">
                <c16:uniqueId val="{0000000F-6120-49AE-9557-AB2625D2A251}"/>
              </c:ext>
            </c:extLst>
          </c:dPt>
          <c:dPt>
            <c:idx val="8"/>
            <c:invertIfNegative val="0"/>
            <c:bubble3D val="0"/>
            <c:spPr>
              <a:solidFill>
                <a:srgbClr val="B2B8C4"/>
              </a:solidFill>
              <a:ln>
                <a:noFill/>
              </a:ln>
              <a:effectLst/>
            </c:spPr>
            <c:extLst>
              <c:ext xmlns:c16="http://schemas.microsoft.com/office/drawing/2014/chart" uri="{C3380CC4-5D6E-409C-BE32-E72D297353CC}">
                <c16:uniqueId val="{00000011-6120-49AE-9557-AB2625D2A251}"/>
              </c:ext>
            </c:extLst>
          </c:dPt>
          <c:dPt>
            <c:idx val="9"/>
            <c:invertIfNegative val="0"/>
            <c:bubble3D val="0"/>
            <c:spPr>
              <a:solidFill>
                <a:srgbClr val="CBC8D4"/>
              </a:solidFill>
              <a:ln>
                <a:noFill/>
              </a:ln>
              <a:effectLst/>
            </c:spPr>
            <c:extLst>
              <c:ext xmlns:c16="http://schemas.microsoft.com/office/drawing/2014/chart" uri="{C3380CC4-5D6E-409C-BE32-E72D297353CC}">
                <c16:uniqueId val="{00000013-6120-49AE-9557-AB2625D2A251}"/>
              </c:ext>
            </c:extLst>
          </c:dPt>
          <c:dPt>
            <c:idx val="10"/>
            <c:invertIfNegative val="0"/>
            <c:bubble3D val="0"/>
            <c:spPr>
              <a:solidFill>
                <a:srgbClr val="99AED1"/>
              </a:solidFill>
              <a:ln>
                <a:noFill/>
              </a:ln>
              <a:effectLst/>
            </c:spPr>
            <c:extLst>
              <c:ext xmlns:c16="http://schemas.microsoft.com/office/drawing/2014/chart" uri="{C3380CC4-5D6E-409C-BE32-E72D297353CC}">
                <c16:uniqueId val="{00000015-6120-49AE-9557-AB2625D2A251}"/>
              </c:ext>
            </c:extLst>
          </c:dPt>
          <c:dPt>
            <c:idx val="11"/>
            <c:invertIfNegative val="0"/>
            <c:bubble3D val="0"/>
            <c:spPr>
              <a:solidFill>
                <a:schemeClr val="accent1">
                  <a:tint val="18000"/>
                </a:schemeClr>
              </a:solidFill>
              <a:ln>
                <a:noFill/>
              </a:ln>
              <a:effectLst/>
            </c:spPr>
            <c:extLst>
              <c:ext xmlns:c16="http://schemas.microsoft.com/office/drawing/2014/chart" uri="{C3380CC4-5D6E-409C-BE32-E72D297353CC}">
                <c16:uniqueId val="{00000017-6120-49AE-9557-AB2625D2A251}"/>
              </c:ext>
            </c:extLst>
          </c:dPt>
          <c:dPt>
            <c:idx val="12"/>
            <c:invertIfNegative val="0"/>
            <c:bubble3D val="0"/>
            <c:spPr>
              <a:solidFill>
                <a:srgbClr val="B7C4DD"/>
              </a:solidFill>
              <a:ln>
                <a:noFill/>
              </a:ln>
              <a:effectLst/>
            </c:spPr>
            <c:extLst>
              <c:ext xmlns:c16="http://schemas.microsoft.com/office/drawing/2014/chart" uri="{C3380CC4-5D6E-409C-BE32-E72D297353CC}">
                <c16:uniqueId val="{00000019-6120-49AE-9557-AB2625D2A251}"/>
              </c:ext>
            </c:extLst>
          </c:dPt>
          <c:dPt>
            <c:idx val="13"/>
            <c:invertIfNegative val="0"/>
            <c:bubble3D val="0"/>
            <c:spPr>
              <a:solidFill>
                <a:schemeClr val="accent1">
                  <a:tint val="92000"/>
                </a:schemeClr>
              </a:solidFill>
              <a:ln>
                <a:noFill/>
              </a:ln>
              <a:effectLst/>
            </c:spPr>
            <c:extLst>
              <c:ext xmlns:c16="http://schemas.microsoft.com/office/drawing/2014/chart" uri="{C3380CC4-5D6E-409C-BE32-E72D297353CC}">
                <c16:uniqueId val="{0000001B-6120-49AE-9557-AB2625D2A251}"/>
              </c:ext>
            </c:extLst>
          </c:dPt>
          <c:dPt>
            <c:idx val="14"/>
            <c:invertIfNegative val="0"/>
            <c:bubble3D val="0"/>
            <c:spPr>
              <a:solidFill>
                <a:srgbClr val="D1D9E8"/>
              </a:solidFill>
              <a:ln>
                <a:noFill/>
              </a:ln>
              <a:effectLst/>
            </c:spPr>
            <c:extLst>
              <c:ext xmlns:c16="http://schemas.microsoft.com/office/drawing/2014/chart" uri="{C3380CC4-5D6E-409C-BE32-E72D297353CC}">
                <c16:uniqueId val="{0000001D-6120-49AE-9557-AB2625D2A251}"/>
              </c:ext>
            </c:extLst>
          </c:dPt>
          <c:dPt>
            <c:idx val="15"/>
            <c:invertIfNegative val="0"/>
            <c:bubble3D val="0"/>
            <c:spPr>
              <a:solidFill>
                <a:schemeClr val="accent1">
                  <a:tint val="64000"/>
                </a:schemeClr>
              </a:solidFill>
              <a:ln>
                <a:noFill/>
              </a:ln>
              <a:effectLst/>
            </c:spPr>
            <c:extLst>
              <c:ext xmlns:c16="http://schemas.microsoft.com/office/drawing/2014/chart" uri="{C3380CC4-5D6E-409C-BE32-E72D297353CC}">
                <c16:uniqueId val="{0000001F-6120-49AE-9557-AB2625D2A251}"/>
              </c:ext>
            </c:extLst>
          </c:dPt>
          <c:dPt>
            <c:idx val="16"/>
            <c:invertIfNegative val="0"/>
            <c:bubble3D val="0"/>
            <c:spPr>
              <a:solidFill>
                <a:schemeClr val="accent1">
                  <a:tint val="57000"/>
                </a:schemeClr>
              </a:solidFill>
              <a:ln>
                <a:noFill/>
              </a:ln>
              <a:effectLst/>
            </c:spPr>
            <c:extLst>
              <c:ext xmlns:c16="http://schemas.microsoft.com/office/drawing/2014/chart" uri="{C3380CC4-5D6E-409C-BE32-E72D297353CC}">
                <c16:uniqueId val="{00000021-6120-49AE-9557-AB2625D2A251}"/>
              </c:ext>
            </c:extLst>
          </c:dPt>
          <c:dPt>
            <c:idx val="17"/>
            <c:invertIfNegative val="0"/>
            <c:bubble3D val="0"/>
            <c:spPr>
              <a:solidFill>
                <a:schemeClr val="accent1">
                  <a:tint val="50000"/>
                </a:schemeClr>
              </a:solidFill>
              <a:ln>
                <a:noFill/>
              </a:ln>
              <a:effectLst/>
            </c:spPr>
            <c:extLst>
              <c:ext xmlns:c16="http://schemas.microsoft.com/office/drawing/2014/chart" uri="{C3380CC4-5D6E-409C-BE32-E72D297353CC}">
                <c16:uniqueId val="{00000023-6120-49AE-9557-AB2625D2A251}"/>
              </c:ext>
            </c:extLst>
          </c:dPt>
          <c:dPt>
            <c:idx val="18"/>
            <c:invertIfNegative val="0"/>
            <c:bubble3D val="0"/>
            <c:spPr>
              <a:solidFill>
                <a:schemeClr val="accent1">
                  <a:tint val="44000"/>
                </a:schemeClr>
              </a:solidFill>
              <a:ln>
                <a:noFill/>
              </a:ln>
              <a:effectLst/>
            </c:spPr>
            <c:extLst>
              <c:ext xmlns:c16="http://schemas.microsoft.com/office/drawing/2014/chart" uri="{C3380CC4-5D6E-409C-BE32-E72D297353CC}">
                <c16:uniqueId val="{00000025-6120-49AE-9557-AB2625D2A251}"/>
              </c:ext>
            </c:extLst>
          </c:dPt>
          <c:dPt>
            <c:idx val="19"/>
            <c:invertIfNegative val="0"/>
            <c:bubble3D val="0"/>
            <c:spPr>
              <a:solidFill>
                <a:schemeClr val="accent1">
                  <a:tint val="37000"/>
                </a:schemeClr>
              </a:solidFill>
              <a:ln>
                <a:noFill/>
              </a:ln>
              <a:effectLst/>
            </c:spPr>
            <c:extLst>
              <c:ext xmlns:c16="http://schemas.microsoft.com/office/drawing/2014/chart" uri="{C3380CC4-5D6E-409C-BE32-E72D297353CC}">
                <c16:uniqueId val="{00000027-6120-49AE-9557-AB2625D2A251}"/>
              </c:ext>
            </c:extLst>
          </c:dPt>
          <c:cat>
            <c:strRef>
              <c:f>RegionalESRI!$AG$30:$AG$49</c:f>
              <c:strCache>
                <c:ptCount val="20"/>
                <c:pt idx="0">
                  <c:v>Agriculture/Forestry/Fishing/Hunting</c:v>
                </c:pt>
                <c:pt idx="1">
                  <c:v>Mining/Quarrying/Oil &amp; Gas Extraction</c:v>
                </c:pt>
                <c:pt idx="2">
                  <c:v>Construction</c:v>
                </c:pt>
                <c:pt idx="3">
                  <c:v>Manufacturing</c:v>
                </c:pt>
                <c:pt idx="4">
                  <c:v>Wholesale Trade</c:v>
                </c:pt>
                <c:pt idx="5">
                  <c:v>Retail Trade</c:v>
                </c:pt>
                <c:pt idx="6">
                  <c:v>Transportation/Warehousing</c:v>
                </c:pt>
                <c:pt idx="7">
                  <c:v>Utilities</c:v>
                </c:pt>
                <c:pt idx="8">
                  <c:v>Information</c:v>
                </c:pt>
                <c:pt idx="9">
                  <c:v>Finance/Insurance</c:v>
                </c:pt>
                <c:pt idx="10">
                  <c:v>Real Estate/Rental/Leasing</c:v>
                </c:pt>
                <c:pt idx="11">
                  <c:v>Professional/Scientific/Tech Services</c:v>
                </c:pt>
                <c:pt idx="12">
                  <c:v>Management of Companies/Enterprises</c:v>
                </c:pt>
                <c:pt idx="13">
                  <c:v>Admin/Support/Waste Management Services</c:v>
                </c:pt>
                <c:pt idx="14">
                  <c:v>Educational Services</c:v>
                </c:pt>
                <c:pt idx="15">
                  <c:v>Health Care/Social Assistance</c:v>
                </c:pt>
                <c:pt idx="16">
                  <c:v>Arts/entertainment/Recreation</c:v>
                </c:pt>
                <c:pt idx="17">
                  <c:v>Accommodation/Food Services</c:v>
                </c:pt>
                <c:pt idx="18">
                  <c:v>Other Services (excl Public Administration)</c:v>
                </c:pt>
                <c:pt idx="19">
                  <c:v>Public Administration</c:v>
                </c:pt>
              </c:strCache>
            </c:strRef>
          </c:cat>
          <c:val>
            <c:numRef>
              <c:f>RegionalESRI!$AH$30:$AH$49</c:f>
              <c:numCache>
                <c:formatCode>0.00%</c:formatCode>
                <c:ptCount val="20"/>
                <c:pt idx="0">
                  <c:v>6.377615326443156E-3</c:v>
                </c:pt>
                <c:pt idx="1">
                  <c:v>6.6380976388538779E-4</c:v>
                </c:pt>
                <c:pt idx="2">
                  <c:v>0.12116068677702153</c:v>
                </c:pt>
                <c:pt idx="3">
                  <c:v>3.5851329019970311E-2</c:v>
                </c:pt>
                <c:pt idx="4">
                  <c:v>1.5855810436097809E-2</c:v>
                </c:pt>
                <c:pt idx="5">
                  <c:v>0.13857098843234461</c:v>
                </c:pt>
                <c:pt idx="6">
                  <c:v>4.6293028597036663E-2</c:v>
                </c:pt>
                <c:pt idx="7">
                  <c:v>6.901380836344285E-3</c:v>
                </c:pt>
                <c:pt idx="8">
                  <c:v>1.680811136319077E-2</c:v>
                </c:pt>
                <c:pt idx="9">
                  <c:v>3.3652634232417447E-2</c:v>
                </c:pt>
                <c:pt idx="10">
                  <c:v>3.5798112203456293E-2</c:v>
                </c:pt>
                <c:pt idx="11">
                  <c:v>7.3604459009046858E-2</c:v>
                </c:pt>
                <c:pt idx="12">
                  <c:v>8.7387614486177632E-4</c:v>
                </c:pt>
                <c:pt idx="13">
                  <c:v>6.45239895807075E-2</c:v>
                </c:pt>
                <c:pt idx="14">
                  <c:v>6.3876985127300223E-2</c:v>
                </c:pt>
                <c:pt idx="15">
                  <c:v>0.14132705935075485</c:v>
                </c:pt>
                <c:pt idx="16">
                  <c:v>3.0770523485421392E-2</c:v>
                </c:pt>
                <c:pt idx="17">
                  <c:v>8.5214127664341929E-2</c:v>
                </c:pt>
                <c:pt idx="18">
                  <c:v>4.7699072907038627E-2</c:v>
                </c:pt>
                <c:pt idx="19">
                  <c:v>3.4176399742318571E-2</c:v>
                </c:pt>
              </c:numCache>
            </c:numRef>
          </c:val>
          <c:extLst>
            <c:ext xmlns:c16="http://schemas.microsoft.com/office/drawing/2014/chart" uri="{C3380CC4-5D6E-409C-BE32-E72D297353CC}">
              <c16:uniqueId val="{00000028-6120-49AE-9557-AB2625D2A251}"/>
            </c:ext>
          </c:extLst>
        </c:ser>
        <c:dLbls>
          <c:showLegendKey val="0"/>
          <c:showVal val="0"/>
          <c:showCatName val="0"/>
          <c:showSerName val="0"/>
          <c:showPercent val="0"/>
          <c:showBubbleSize val="0"/>
        </c:dLbls>
        <c:gapWidth val="50"/>
        <c:axId val="743770592"/>
        <c:axId val="743762976"/>
      </c:barChart>
      <c:catAx>
        <c:axId val="743770592"/>
        <c:scaling>
          <c:orientation val="maxMin"/>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t" anchorCtr="1"/>
          <a:lstStyle/>
          <a:p>
            <a:pPr>
              <a:defRPr sz="8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crossAx val="743762976"/>
        <c:crosses val="autoZero"/>
        <c:auto val="1"/>
        <c:lblAlgn val="ctr"/>
        <c:lblOffset val="100"/>
        <c:noMultiLvlLbl val="0"/>
      </c:catAx>
      <c:valAx>
        <c:axId val="743762976"/>
        <c:scaling>
          <c:orientation val="minMax"/>
        </c:scaling>
        <c:delete val="0"/>
        <c:axPos val="t"/>
        <c:majorGridlines>
          <c:spPr>
            <a:ln w="9525" cap="flat" cmpd="sng" algn="ctr">
              <a:solidFill>
                <a:schemeClr val="bg1">
                  <a:lumMod val="75000"/>
                </a:schemeClr>
              </a:solidFill>
              <a:round/>
            </a:ln>
            <a:effectLst/>
          </c:spPr>
        </c:majorGridlines>
        <c:numFmt formatCode="0%" sourceLinked="0"/>
        <c:majorTickMark val="out"/>
        <c:minorTickMark val="none"/>
        <c:tickLblPos val="high"/>
        <c:spPr>
          <a:noFill/>
          <a:ln>
            <a:noFill/>
          </a:ln>
          <a:effectLst/>
        </c:spPr>
        <c:txPr>
          <a:bodyPr rot="-60000000" spcFirstLastPara="1" vertOverflow="ellipsis" vert="horz" wrap="square" anchor="ctr" anchorCtr="1"/>
          <a:lstStyle/>
          <a:p>
            <a:pPr>
              <a:defRPr sz="8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crossAx val="743770592"/>
        <c:crosses val="autoZero"/>
        <c:crossBetween val="between"/>
      </c:valAx>
      <c:spPr>
        <a:noFill/>
        <a:ln>
          <a:noFill/>
        </a:ln>
        <a:effectLst/>
      </c:spPr>
    </c:plotArea>
    <c:plotVisOnly val="1"/>
    <c:dispBlanksAs val="gap"/>
    <c:showDLblsOverMax val="0"/>
  </c:chart>
  <c:spPr>
    <a:solidFill>
      <a:schemeClr val="bg1"/>
    </a:solidFill>
    <a:ln w="25400" cap="flat" cmpd="sng" algn="ctr">
      <a:solidFill>
        <a:srgbClr val="1F497D"/>
      </a:solidFill>
      <a:round/>
    </a:ln>
    <a:effectLst/>
  </c:spPr>
  <c:txPr>
    <a:bodyPr/>
    <a:lstStyle/>
    <a:p>
      <a:pPr>
        <a:defRPr>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050542581932755E-2"/>
          <c:y val="1.9955408799706489E-2"/>
          <c:w val="0.80480098071573392"/>
          <c:h val="0.77555005793194765"/>
        </c:manualLayout>
      </c:layout>
      <c:barChart>
        <c:barDir val="col"/>
        <c:grouping val="clustered"/>
        <c:varyColors val="0"/>
        <c:ser>
          <c:idx val="0"/>
          <c:order val="0"/>
          <c:tx>
            <c:strRef>
              <c:f>'MS Charts'!$M$53</c:f>
              <c:strCache>
                <c:ptCount val="1"/>
                <c:pt idx="0">
                  <c:v>Industrial Net Absorption</c:v>
                </c:pt>
              </c:strCache>
            </c:strRef>
          </c:tx>
          <c:spPr>
            <a:solidFill>
              <a:srgbClr val="1F497D"/>
            </a:solidFill>
            <a:ln w="63500">
              <a:noFill/>
            </a:ln>
            <a:effectLst/>
          </c:spPr>
          <c:invertIfNegative val="0"/>
          <c:cat>
            <c:strRef>
              <c:f>[0]!Chart_Periods_Vacancy</c:f>
              <c:strCache>
                <c:ptCount val="5"/>
                <c:pt idx="0">
                  <c:v>2020 Q2</c:v>
                </c:pt>
                <c:pt idx="1">
                  <c:v>2020 Q4</c:v>
                </c:pt>
                <c:pt idx="2">
                  <c:v>2021 Q2</c:v>
                </c:pt>
                <c:pt idx="3">
                  <c:v>2021 Q4</c:v>
                </c:pt>
                <c:pt idx="4">
                  <c:v>2022 Q2</c:v>
                </c:pt>
              </c:strCache>
            </c:strRef>
          </c:cat>
          <c:val>
            <c:numRef>
              <c:f>[0]!Chart_NetAbsorption_1A</c:f>
              <c:numCache>
                <c:formatCode>#,##0</c:formatCode>
                <c:ptCount val="11"/>
                <c:pt idx="0">
                  <c:v>839257</c:v>
                </c:pt>
                <c:pt idx="1">
                  <c:v>1110951</c:v>
                </c:pt>
                <c:pt idx="2">
                  <c:v>1007196</c:v>
                </c:pt>
                <c:pt idx="3">
                  <c:v>5471103</c:v>
                </c:pt>
                <c:pt idx="4">
                  <c:v>2834196</c:v>
                </c:pt>
                <c:pt idx="5">
                  <c:v>931769</c:v>
                </c:pt>
                <c:pt idx="6">
                  <c:v>1208232</c:v>
                </c:pt>
                <c:pt idx="7">
                  <c:v>1925697</c:v>
                </c:pt>
                <c:pt idx="8">
                  <c:v>795628</c:v>
                </c:pt>
                <c:pt idx="9">
                  <c:v>631929</c:v>
                </c:pt>
                <c:pt idx="10">
                  <c:v>-748981</c:v>
                </c:pt>
              </c:numCache>
            </c:numRef>
          </c:val>
          <c:extLst>
            <c:ext xmlns:c16="http://schemas.microsoft.com/office/drawing/2014/chart" uri="{C3380CC4-5D6E-409C-BE32-E72D297353CC}">
              <c16:uniqueId val="{00000000-EC2E-4C2E-B71B-7FA979DA9106}"/>
            </c:ext>
          </c:extLst>
        </c:ser>
        <c:ser>
          <c:idx val="1"/>
          <c:order val="2"/>
          <c:tx>
            <c:strRef>
              <c:f>'MS Charts'!$M$56</c:f>
              <c:strCache>
                <c:ptCount val="1"/>
                <c:pt idx="0">
                  <c:v>Warehouse Net Absorption</c:v>
                </c:pt>
              </c:strCache>
            </c:strRef>
          </c:tx>
          <c:spPr>
            <a:solidFill>
              <a:srgbClr val="F2B800"/>
            </a:solidFill>
            <a:ln w="9525">
              <a:noFill/>
            </a:ln>
            <a:effectLst/>
          </c:spPr>
          <c:invertIfNegative val="0"/>
          <c:val>
            <c:numRef>
              <c:f>[0]!Chart_NetAbsorption_1B</c:f>
              <c:numCache>
                <c:formatCode>#,##0</c:formatCode>
                <c:ptCount val="11"/>
                <c:pt idx="0">
                  <c:v>-217510</c:v>
                </c:pt>
                <c:pt idx="1">
                  <c:v>-52826</c:v>
                </c:pt>
                <c:pt idx="2">
                  <c:v>167299</c:v>
                </c:pt>
                <c:pt idx="3">
                  <c:v>444059</c:v>
                </c:pt>
                <c:pt idx="4">
                  <c:v>8732</c:v>
                </c:pt>
                <c:pt idx="5">
                  <c:v>170552</c:v>
                </c:pt>
                <c:pt idx="6">
                  <c:v>34355</c:v>
                </c:pt>
                <c:pt idx="7">
                  <c:v>86799</c:v>
                </c:pt>
                <c:pt idx="8">
                  <c:v>-45477</c:v>
                </c:pt>
                <c:pt idx="9">
                  <c:v>11297</c:v>
                </c:pt>
                <c:pt idx="10">
                  <c:v>176866</c:v>
                </c:pt>
              </c:numCache>
            </c:numRef>
          </c:val>
          <c:extLst>
            <c:ext xmlns:c16="http://schemas.microsoft.com/office/drawing/2014/chart" uri="{C3380CC4-5D6E-409C-BE32-E72D297353CC}">
              <c16:uniqueId val="{00000005-5DE8-4D29-834A-C64A361FC0B4}"/>
            </c:ext>
          </c:extLst>
        </c:ser>
        <c:dLbls>
          <c:showLegendKey val="0"/>
          <c:showVal val="0"/>
          <c:showCatName val="0"/>
          <c:showSerName val="0"/>
          <c:showPercent val="0"/>
          <c:showBubbleSize val="0"/>
        </c:dLbls>
        <c:gapWidth val="100"/>
        <c:axId val="2080190608"/>
        <c:axId val="2080191024"/>
      </c:barChart>
      <c:lineChart>
        <c:grouping val="standard"/>
        <c:varyColors val="0"/>
        <c:ser>
          <c:idx val="2"/>
          <c:order val="1"/>
          <c:tx>
            <c:strRef>
              <c:f>'MS Charts'!$M$54</c:f>
              <c:strCache>
                <c:ptCount val="1"/>
                <c:pt idx="0">
                  <c:v>Industrial Vacancy</c:v>
                </c:pt>
              </c:strCache>
            </c:strRef>
          </c:tx>
          <c:spPr>
            <a:ln w="31750" cap="rnd">
              <a:solidFill>
                <a:srgbClr val="1F497D"/>
              </a:solidFill>
              <a:round/>
            </a:ln>
            <a:effectLst/>
          </c:spPr>
          <c:marker>
            <c:symbol val="none"/>
          </c:marker>
          <c:cat>
            <c:strRef>
              <c:f>'MS Data'!$AE$4:$AE$160</c:f>
              <c:strCache>
                <c:ptCount val="5"/>
                <c:pt idx="0">
                  <c:v>2020 Q2</c:v>
                </c:pt>
                <c:pt idx="1">
                  <c:v>2020 Q4</c:v>
                </c:pt>
                <c:pt idx="2">
                  <c:v>2021 Q2</c:v>
                </c:pt>
                <c:pt idx="3">
                  <c:v>2021 Q4</c:v>
                </c:pt>
                <c:pt idx="4">
                  <c:v>2022 Q2</c:v>
                </c:pt>
              </c:strCache>
            </c:strRef>
          </c:cat>
          <c:val>
            <c:numRef>
              <c:f>[0]!Chart_VacancyAbsorb_1A</c:f>
              <c:numCache>
                <c:formatCode>0.0%</c:formatCode>
                <c:ptCount val="11"/>
                <c:pt idx="0">
                  <c:v>5.1999999999999998E-2</c:v>
                </c:pt>
                <c:pt idx="1">
                  <c:v>5.2999999999999999E-2</c:v>
                </c:pt>
                <c:pt idx="2">
                  <c:v>6.0999999999999999E-2</c:v>
                </c:pt>
                <c:pt idx="3">
                  <c:v>0.05</c:v>
                </c:pt>
                <c:pt idx="4">
                  <c:v>5.0999999999999997E-2</c:v>
                </c:pt>
                <c:pt idx="5">
                  <c:v>5.8999999999999997E-2</c:v>
                </c:pt>
                <c:pt idx="6">
                  <c:v>6.5000000000000002E-2</c:v>
                </c:pt>
                <c:pt idx="7">
                  <c:v>7.6999999999999999E-2</c:v>
                </c:pt>
                <c:pt idx="8">
                  <c:v>7.6999999999999999E-2</c:v>
                </c:pt>
                <c:pt idx="9">
                  <c:v>7.5999999999999998E-2</c:v>
                </c:pt>
                <c:pt idx="10">
                  <c:v>8.1000000000000003E-2</c:v>
                </c:pt>
              </c:numCache>
            </c:numRef>
          </c:val>
          <c:smooth val="0"/>
          <c:extLst>
            <c:ext xmlns:c16="http://schemas.microsoft.com/office/drawing/2014/chart" uri="{C3380CC4-5D6E-409C-BE32-E72D297353CC}">
              <c16:uniqueId val="{00000002-EC2E-4C2E-B71B-7FA979DA9106}"/>
            </c:ext>
          </c:extLst>
        </c:ser>
        <c:ser>
          <c:idx val="3"/>
          <c:order val="3"/>
          <c:tx>
            <c:strRef>
              <c:f>'MS Charts'!$M$57</c:f>
              <c:strCache>
                <c:ptCount val="1"/>
                <c:pt idx="0">
                  <c:v>Warehouse Vacancy</c:v>
                </c:pt>
              </c:strCache>
            </c:strRef>
          </c:tx>
          <c:spPr>
            <a:ln w="31750" cap="rnd">
              <a:solidFill>
                <a:srgbClr val="F2B800"/>
              </a:solidFill>
              <a:round/>
            </a:ln>
            <a:effectLst/>
          </c:spPr>
          <c:marker>
            <c:symbol val="none"/>
          </c:marker>
          <c:val>
            <c:numRef>
              <c:f>[0]!Chart_VacancyAbsorb_1B</c:f>
              <c:numCache>
                <c:formatCode>0.0%</c:formatCode>
                <c:ptCount val="11"/>
                <c:pt idx="0">
                  <c:v>4.4999999999999998E-2</c:v>
                </c:pt>
                <c:pt idx="1">
                  <c:v>0.05</c:v>
                </c:pt>
                <c:pt idx="2">
                  <c:v>5.8000000000000003E-2</c:v>
                </c:pt>
                <c:pt idx="3">
                  <c:v>6.2E-2</c:v>
                </c:pt>
                <c:pt idx="4">
                  <c:v>5.8000000000000003E-2</c:v>
                </c:pt>
                <c:pt idx="5">
                  <c:v>7.8E-2</c:v>
                </c:pt>
                <c:pt idx="6">
                  <c:v>8.4000000000000005E-2</c:v>
                </c:pt>
                <c:pt idx="7">
                  <c:v>7.1999999999999995E-2</c:v>
                </c:pt>
                <c:pt idx="8">
                  <c:v>8.1000000000000003E-2</c:v>
                </c:pt>
                <c:pt idx="9">
                  <c:v>0.13100000000000001</c:v>
                </c:pt>
                <c:pt idx="10">
                  <c:v>0.127</c:v>
                </c:pt>
              </c:numCache>
            </c:numRef>
          </c:val>
          <c:smooth val="0"/>
          <c:extLst>
            <c:ext xmlns:c16="http://schemas.microsoft.com/office/drawing/2014/chart" uri="{C3380CC4-5D6E-409C-BE32-E72D297353CC}">
              <c16:uniqueId val="{00000008-5DE8-4D29-834A-C64A361FC0B4}"/>
            </c:ext>
          </c:extLst>
        </c:ser>
        <c:dLbls>
          <c:showLegendKey val="0"/>
          <c:showVal val="0"/>
          <c:showCatName val="0"/>
          <c:showSerName val="0"/>
          <c:showPercent val="0"/>
          <c:showBubbleSize val="0"/>
        </c:dLbls>
        <c:marker val="1"/>
        <c:smooth val="0"/>
        <c:axId val="2080191440"/>
        <c:axId val="2080192272"/>
      </c:lineChart>
      <c:catAx>
        <c:axId val="20801906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crossAx val="2080191024"/>
        <c:crosses val="autoZero"/>
        <c:auto val="1"/>
        <c:lblAlgn val="ctr"/>
        <c:lblOffset val="50"/>
        <c:tickLblSkip val="2"/>
        <c:noMultiLvlLbl val="0"/>
      </c:catAx>
      <c:valAx>
        <c:axId val="2080191024"/>
        <c:scaling>
          <c:orientation val="minMax"/>
          <c:min val="-80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1F497D"/>
                    </a:solidFill>
                    <a:latin typeface="Segoe UI" panose="020B0502040204020203" pitchFamily="34" charset="0"/>
                    <a:ea typeface="+mn-ea"/>
                    <a:cs typeface="Segoe UI" panose="020B0502040204020203" pitchFamily="34" charset="0"/>
                  </a:defRPr>
                </a:pPr>
                <a:r>
                  <a:rPr lang="en-US" sz="1000" b="1">
                    <a:solidFill>
                      <a:srgbClr val="1F497D"/>
                    </a:solidFill>
                    <a:latin typeface="Segoe UI" panose="020B0502040204020203" pitchFamily="34" charset="0"/>
                    <a:cs typeface="Segoe UI" panose="020B0502040204020203" pitchFamily="34" charset="0"/>
                  </a:rPr>
                  <a:t>SF in Millions</a:t>
                </a:r>
              </a:p>
            </c:rich>
          </c:tx>
          <c:layout>
            <c:manualLayout>
              <c:xMode val="edge"/>
              <c:yMode val="edge"/>
              <c:x val="1.4420072490938633E-2"/>
              <c:y val="0.18728115302347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title>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crossAx val="2080190608"/>
        <c:crosses val="autoZero"/>
        <c:crossBetween val="between"/>
        <c:dispUnits>
          <c:builtInUnit val="millions"/>
        </c:dispUnits>
      </c:valAx>
      <c:valAx>
        <c:axId val="2080192272"/>
        <c:scaling>
          <c:orientation val="minMax"/>
          <c:min val="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1">
                    <a:solidFill>
                      <a:srgbClr val="1F497D"/>
                    </a:solidFill>
                    <a:latin typeface="Segoe UI" panose="020B0502040204020203" pitchFamily="34" charset="0"/>
                    <a:cs typeface="Segoe UI" panose="020B0502040204020203" pitchFamily="34" charset="0"/>
                  </a:rPr>
                  <a:t>Vacancy</a:t>
                </a:r>
                <a:r>
                  <a:rPr lang="en-US" sz="1000" b="1" baseline="0">
                    <a:solidFill>
                      <a:srgbClr val="1F497D"/>
                    </a:solidFill>
                    <a:latin typeface="Segoe UI" panose="020B0502040204020203" pitchFamily="34" charset="0"/>
                    <a:cs typeface="Segoe UI" panose="020B0502040204020203" pitchFamily="34" charset="0"/>
                  </a:rPr>
                  <a:t> Rate</a:t>
                </a:r>
                <a:endParaRPr lang="en-US" sz="1000" b="1">
                  <a:solidFill>
                    <a:srgbClr val="1F497D"/>
                  </a:solidFill>
                  <a:latin typeface="Segoe UI" panose="020B0502040204020203" pitchFamily="34" charset="0"/>
                  <a:cs typeface="Segoe UI" panose="020B0502040204020203" pitchFamily="34" charset="0"/>
                </a:endParaRPr>
              </a:p>
            </c:rich>
          </c:tx>
          <c:layout>
            <c:manualLayout>
              <c:xMode val="edge"/>
              <c:yMode val="edge"/>
              <c:x val="0.96231536926147709"/>
              <c:y val="0.3161907970963089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crossAx val="2080191440"/>
        <c:crosses val="max"/>
        <c:crossBetween val="between"/>
      </c:valAx>
      <c:catAx>
        <c:axId val="2080191440"/>
        <c:scaling>
          <c:orientation val="minMax"/>
        </c:scaling>
        <c:delete val="1"/>
        <c:axPos val="b"/>
        <c:numFmt formatCode="General" sourceLinked="1"/>
        <c:majorTickMark val="none"/>
        <c:minorTickMark val="none"/>
        <c:tickLblPos val="nextTo"/>
        <c:crossAx val="208019227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b" anchorCtr="1"/>
        <a:lstStyle/>
        <a:p>
          <a:pPr>
            <a:defRPr sz="800" b="1"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0"/>
    <c:dispBlanksAs val="gap"/>
    <c:showDLblsOverMax val="0"/>
  </c:chart>
  <c:spPr>
    <a:solidFill>
      <a:schemeClr val="bg1"/>
    </a:solidFill>
    <a:ln w="25400" cap="flat" cmpd="sng" algn="ctr">
      <a:solidFill>
        <a:srgbClr val="1F497D"/>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91207811463203"/>
          <c:y val="5.0925925925925923E-2"/>
          <c:w val="0.86415077213221025"/>
          <c:h val="0.72317840478273554"/>
        </c:manualLayout>
      </c:layout>
      <c:lineChart>
        <c:grouping val="standard"/>
        <c:varyColors val="0"/>
        <c:ser>
          <c:idx val="0"/>
          <c:order val="0"/>
          <c:tx>
            <c:strRef>
              <c:f>'MS Charts'!$M$27</c:f>
              <c:strCache>
                <c:ptCount val="1"/>
                <c:pt idx="0">
                  <c:v>Industrial</c:v>
                </c:pt>
              </c:strCache>
            </c:strRef>
          </c:tx>
          <c:spPr>
            <a:ln w="31750" cap="rnd">
              <a:solidFill>
                <a:srgbClr val="1F497D"/>
              </a:solidFill>
              <a:round/>
            </a:ln>
            <a:effectLst/>
          </c:spPr>
          <c:marker>
            <c:symbol val="none"/>
          </c:marker>
          <c:cat>
            <c:strRef>
              <c:f>[0]!Chart_Periods_RentRates</c:f>
              <c:strCache>
                <c:ptCount val="13"/>
                <c:pt idx="0">
                  <c:v>2019 Q2</c:v>
                </c:pt>
                <c:pt idx="1">
                  <c:v>2019 Q3</c:v>
                </c:pt>
                <c:pt idx="2">
                  <c:v>2019 Q4</c:v>
                </c:pt>
                <c:pt idx="3">
                  <c:v>2020 Q1</c:v>
                </c:pt>
                <c:pt idx="4">
                  <c:v>2020 Q2</c:v>
                </c:pt>
                <c:pt idx="5">
                  <c:v>2020 Q3</c:v>
                </c:pt>
                <c:pt idx="6">
                  <c:v>2020 Q4</c:v>
                </c:pt>
                <c:pt idx="7">
                  <c:v>2021 Q1</c:v>
                </c:pt>
                <c:pt idx="8">
                  <c:v>2021 Q2</c:v>
                </c:pt>
                <c:pt idx="9">
                  <c:v>2021 Q3</c:v>
                </c:pt>
                <c:pt idx="10">
                  <c:v>2021 Q4</c:v>
                </c:pt>
                <c:pt idx="11">
                  <c:v>2022 Q1</c:v>
                </c:pt>
                <c:pt idx="12">
                  <c:v>2022 Q2</c:v>
                </c:pt>
              </c:strCache>
            </c:strRef>
          </c:cat>
          <c:val>
            <c:numRef>
              <c:f>[0]!Chart_RentalRates_1A</c:f>
              <c:numCache>
                <c:formatCode>"$"#,##0.00</c:formatCode>
                <c:ptCount val="13"/>
                <c:pt idx="0">
                  <c:v>7.74</c:v>
                </c:pt>
                <c:pt idx="1">
                  <c:v>8.02</c:v>
                </c:pt>
                <c:pt idx="2">
                  <c:v>8.06</c:v>
                </c:pt>
                <c:pt idx="3">
                  <c:v>8.07</c:v>
                </c:pt>
                <c:pt idx="4">
                  <c:v>8.26</c:v>
                </c:pt>
                <c:pt idx="5">
                  <c:v>8.1999999999999993</c:v>
                </c:pt>
                <c:pt idx="6">
                  <c:v>8.25</c:v>
                </c:pt>
                <c:pt idx="7">
                  <c:v>8.4499999999999993</c:v>
                </c:pt>
                <c:pt idx="8">
                  <c:v>8.61</c:v>
                </c:pt>
                <c:pt idx="9">
                  <c:v>8.6199999999999992</c:v>
                </c:pt>
                <c:pt idx="10">
                  <c:v>8.85</c:v>
                </c:pt>
                <c:pt idx="11">
                  <c:v>9.15</c:v>
                </c:pt>
                <c:pt idx="12">
                  <c:v>8.99</c:v>
                </c:pt>
              </c:numCache>
            </c:numRef>
          </c:val>
          <c:smooth val="0"/>
          <c:extLst>
            <c:ext xmlns:c16="http://schemas.microsoft.com/office/drawing/2014/chart" uri="{C3380CC4-5D6E-409C-BE32-E72D297353CC}">
              <c16:uniqueId val="{00000000-2412-48CA-B06D-536A1AF2379B}"/>
            </c:ext>
          </c:extLst>
        </c:ser>
        <c:ser>
          <c:idx val="2"/>
          <c:order val="1"/>
          <c:tx>
            <c:strRef>
              <c:f>'MS Charts'!$M$29</c:f>
              <c:strCache>
                <c:ptCount val="1"/>
                <c:pt idx="0">
                  <c:v>Warehouse</c:v>
                </c:pt>
              </c:strCache>
            </c:strRef>
          </c:tx>
          <c:spPr>
            <a:ln w="31750" cap="rnd">
              <a:solidFill>
                <a:srgbClr val="F2B800"/>
              </a:solidFill>
              <a:round/>
            </a:ln>
            <a:effectLst/>
          </c:spPr>
          <c:marker>
            <c:symbol val="none"/>
          </c:marker>
          <c:cat>
            <c:strRef>
              <c:f>[0]!Chart_Periods_RentRates</c:f>
              <c:strCache>
                <c:ptCount val="13"/>
                <c:pt idx="0">
                  <c:v>2019 Q2</c:v>
                </c:pt>
                <c:pt idx="1">
                  <c:v>2019 Q3</c:v>
                </c:pt>
                <c:pt idx="2">
                  <c:v>2019 Q4</c:v>
                </c:pt>
                <c:pt idx="3">
                  <c:v>2020 Q1</c:v>
                </c:pt>
                <c:pt idx="4">
                  <c:v>2020 Q2</c:v>
                </c:pt>
                <c:pt idx="5">
                  <c:v>2020 Q3</c:v>
                </c:pt>
                <c:pt idx="6">
                  <c:v>2020 Q4</c:v>
                </c:pt>
                <c:pt idx="7">
                  <c:v>2021 Q1</c:v>
                </c:pt>
                <c:pt idx="8">
                  <c:v>2021 Q2</c:v>
                </c:pt>
                <c:pt idx="9">
                  <c:v>2021 Q3</c:v>
                </c:pt>
                <c:pt idx="10">
                  <c:v>2021 Q4</c:v>
                </c:pt>
                <c:pt idx="11">
                  <c:v>2022 Q1</c:v>
                </c:pt>
                <c:pt idx="12">
                  <c:v>2022 Q2</c:v>
                </c:pt>
              </c:strCache>
            </c:strRef>
          </c:cat>
          <c:val>
            <c:numRef>
              <c:f>[0]!Chart_RentalRates_1B</c:f>
              <c:numCache>
                <c:formatCode>"$"#,##0.00</c:formatCode>
                <c:ptCount val="13"/>
                <c:pt idx="0">
                  <c:v>7.99</c:v>
                </c:pt>
                <c:pt idx="1">
                  <c:v>8.57</c:v>
                </c:pt>
                <c:pt idx="2">
                  <c:v>8.84</c:v>
                </c:pt>
                <c:pt idx="3">
                  <c:v>9.0399999999999991</c:v>
                </c:pt>
                <c:pt idx="4">
                  <c:v>9.57</c:v>
                </c:pt>
                <c:pt idx="5">
                  <c:v>9.89</c:v>
                </c:pt>
                <c:pt idx="6">
                  <c:v>9.8000000000000007</c:v>
                </c:pt>
                <c:pt idx="7">
                  <c:v>9.66</c:v>
                </c:pt>
                <c:pt idx="8">
                  <c:v>9.83</c:v>
                </c:pt>
                <c:pt idx="9">
                  <c:v>10.09</c:v>
                </c:pt>
                <c:pt idx="10">
                  <c:v>9.76</c:v>
                </c:pt>
                <c:pt idx="11">
                  <c:v>9.44</c:v>
                </c:pt>
                <c:pt idx="12">
                  <c:v>9.8000000000000007</c:v>
                </c:pt>
              </c:numCache>
            </c:numRef>
          </c:val>
          <c:smooth val="0"/>
          <c:extLst>
            <c:ext xmlns:c16="http://schemas.microsoft.com/office/drawing/2014/chart" uri="{C3380CC4-5D6E-409C-BE32-E72D297353CC}">
              <c16:uniqueId val="{00000004-2F59-46F8-B368-B67D1FFDAB8C}"/>
            </c:ext>
          </c:extLst>
        </c:ser>
        <c:dLbls>
          <c:showLegendKey val="0"/>
          <c:showVal val="0"/>
          <c:showCatName val="0"/>
          <c:showSerName val="0"/>
          <c:showPercent val="0"/>
          <c:showBubbleSize val="0"/>
        </c:dLbls>
        <c:smooth val="0"/>
        <c:axId val="1448512848"/>
        <c:axId val="1448523664"/>
        <c:extLst/>
      </c:lineChart>
      <c:catAx>
        <c:axId val="144851284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crossAx val="1448523664"/>
        <c:crossesAt val="5"/>
        <c:auto val="1"/>
        <c:lblAlgn val="ctr"/>
        <c:lblOffset val="50"/>
        <c:tickLblSkip val="2"/>
        <c:noMultiLvlLbl val="0"/>
      </c:catAx>
      <c:valAx>
        <c:axId val="1448523664"/>
        <c:scaling>
          <c:orientation val="minMax"/>
          <c:min val="7"/>
        </c:scaling>
        <c:delete val="0"/>
        <c:axPos val="l"/>
        <c:majorGridlines>
          <c:spPr>
            <a:ln w="9525" cap="flat" cmpd="sng" algn="ctr">
              <a:solidFill>
                <a:schemeClr val="tx1">
                  <a:lumMod val="15000"/>
                  <a:lumOff val="85000"/>
                </a:schemeClr>
              </a:solidFill>
              <a:round/>
            </a:ln>
            <a:effectLst/>
          </c:spPr>
        </c:majorGridlines>
        <c:title>
          <c:tx>
            <c:strRef>
              <c:f>Narrative!$F$32</c:f>
              <c:strCache>
                <c:ptCount val="1"/>
                <c:pt idx="0">
                  <c:v>Quoted Triple Net Rental Rate PSF</c:v>
                </c:pt>
              </c:strCache>
            </c:strRef>
          </c:tx>
          <c:layout>
            <c:manualLayout>
              <c:xMode val="edge"/>
              <c:yMode val="edge"/>
              <c:x val="1.085576108541988E-2"/>
              <c:y val="0.15376494604841062"/>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crossAx val="1448512848"/>
        <c:crosses val="autoZero"/>
        <c:crossBetween val="between"/>
      </c:valAx>
      <c:spPr>
        <a:noFill/>
        <a:ln>
          <a:noFill/>
        </a:ln>
        <a:effectLst/>
      </c:spPr>
    </c:plotArea>
    <c:legend>
      <c:legendPos val="b"/>
      <c:layout>
        <c:manualLayout>
          <c:xMode val="edge"/>
          <c:yMode val="edge"/>
          <c:x val="9.5474514882115849E-2"/>
          <c:y val="0.85239497275217679"/>
          <c:w val="0.80503840586792119"/>
          <c:h val="0.12799709329105019"/>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0"/>
    <c:dispBlanksAs val="gap"/>
    <c:showDLblsOverMax val="0"/>
  </c:chart>
  <c:spPr>
    <a:solidFill>
      <a:schemeClr val="bg1"/>
    </a:solidFill>
    <a:ln w="25400" cap="flat" cmpd="sng" algn="ctr">
      <a:solidFill>
        <a:srgbClr val="1F497D"/>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875478927203066E-2"/>
          <c:y val="9.1783527059117617E-2"/>
          <c:w val="0.91649904214559386"/>
          <c:h val="0.83696572256826107"/>
        </c:manualLayout>
      </c:layout>
      <c:barChart>
        <c:barDir val="bar"/>
        <c:grouping val="clustered"/>
        <c:varyColors val="0"/>
        <c:ser>
          <c:idx val="0"/>
          <c:order val="0"/>
          <c:tx>
            <c:strRef>
              <c:f>'MS Charts'!$N$22</c:f>
              <c:strCache>
                <c:ptCount val="1"/>
                <c:pt idx="0">
                  <c:v>Industrial</c:v>
                </c:pt>
              </c:strCache>
            </c:strRef>
          </c:tx>
          <c:spPr>
            <a:solidFill>
              <a:srgbClr val="1F497D"/>
            </a:solidFill>
            <a:ln w="38100">
              <a:noFill/>
            </a:ln>
            <a:effectLst/>
          </c:spPr>
          <c:invertIfNegative val="0"/>
          <c:cat>
            <c:strRef>
              <c:f>[0]!Chart_Periods_Inventory</c:f>
              <c:strCache>
                <c:ptCount val="11"/>
                <c:pt idx="0">
                  <c:v>2017 Q2</c:v>
                </c:pt>
                <c:pt idx="1">
                  <c:v>2017 Q4</c:v>
                </c:pt>
                <c:pt idx="2">
                  <c:v>2018 Q2</c:v>
                </c:pt>
                <c:pt idx="3">
                  <c:v>2018 Q4</c:v>
                </c:pt>
                <c:pt idx="4">
                  <c:v>2019 Q2</c:v>
                </c:pt>
                <c:pt idx="5">
                  <c:v>2019 Q4</c:v>
                </c:pt>
                <c:pt idx="6">
                  <c:v>2020 Q2</c:v>
                </c:pt>
                <c:pt idx="7">
                  <c:v>2020 Q4</c:v>
                </c:pt>
                <c:pt idx="8">
                  <c:v>2021 Q2</c:v>
                </c:pt>
                <c:pt idx="9">
                  <c:v>2021 Q4</c:v>
                </c:pt>
                <c:pt idx="10">
                  <c:v>2022 Q2</c:v>
                </c:pt>
              </c:strCache>
            </c:strRef>
          </c:cat>
          <c:val>
            <c:numRef>
              <c:f>[0]!Chart_Construction1A</c:f>
              <c:numCache>
                <c:formatCode>#,##0</c:formatCode>
                <c:ptCount val="11"/>
                <c:pt idx="0">
                  <c:v>3440891</c:v>
                </c:pt>
                <c:pt idx="1">
                  <c:v>3498750</c:v>
                </c:pt>
                <c:pt idx="2">
                  <c:v>4752546</c:v>
                </c:pt>
                <c:pt idx="3">
                  <c:v>5429444</c:v>
                </c:pt>
                <c:pt idx="4">
                  <c:v>5610137</c:v>
                </c:pt>
                <c:pt idx="5">
                  <c:v>5191382</c:v>
                </c:pt>
                <c:pt idx="6">
                  <c:v>5753819</c:v>
                </c:pt>
                <c:pt idx="7">
                  <c:v>7933291</c:v>
                </c:pt>
                <c:pt idx="8">
                  <c:v>8990880</c:v>
                </c:pt>
                <c:pt idx="9">
                  <c:v>8222445</c:v>
                </c:pt>
                <c:pt idx="10">
                  <c:v>9647678</c:v>
                </c:pt>
              </c:numCache>
            </c:numRef>
          </c:val>
          <c:extLst>
            <c:ext xmlns:c16="http://schemas.microsoft.com/office/drawing/2014/chart" uri="{C3380CC4-5D6E-409C-BE32-E72D297353CC}">
              <c16:uniqueId val="{00000000-8D3A-4055-9D3F-6AA8B8CE3526}"/>
            </c:ext>
          </c:extLst>
        </c:ser>
        <c:ser>
          <c:idx val="1"/>
          <c:order val="1"/>
          <c:tx>
            <c:strRef>
              <c:f>'MS Charts'!$Q$22</c:f>
              <c:strCache>
                <c:ptCount val="1"/>
                <c:pt idx="0">
                  <c:v>Warehouse</c:v>
                </c:pt>
              </c:strCache>
            </c:strRef>
          </c:tx>
          <c:spPr>
            <a:solidFill>
              <a:srgbClr val="FFC000"/>
            </a:solidFill>
            <a:ln w="38100">
              <a:noFill/>
            </a:ln>
            <a:effectLst/>
          </c:spPr>
          <c:invertIfNegative val="0"/>
          <c:cat>
            <c:strRef>
              <c:f>[0]!Chart_Periods_Inventory</c:f>
              <c:strCache>
                <c:ptCount val="11"/>
                <c:pt idx="0">
                  <c:v>2017 Q2</c:v>
                </c:pt>
                <c:pt idx="1">
                  <c:v>2017 Q4</c:v>
                </c:pt>
                <c:pt idx="2">
                  <c:v>2018 Q2</c:v>
                </c:pt>
                <c:pt idx="3">
                  <c:v>2018 Q4</c:v>
                </c:pt>
                <c:pt idx="4">
                  <c:v>2019 Q2</c:v>
                </c:pt>
                <c:pt idx="5">
                  <c:v>2019 Q4</c:v>
                </c:pt>
                <c:pt idx="6">
                  <c:v>2020 Q2</c:v>
                </c:pt>
                <c:pt idx="7">
                  <c:v>2020 Q4</c:v>
                </c:pt>
                <c:pt idx="8">
                  <c:v>2021 Q2</c:v>
                </c:pt>
                <c:pt idx="9">
                  <c:v>2021 Q4</c:v>
                </c:pt>
                <c:pt idx="10">
                  <c:v>2022 Q2</c:v>
                </c:pt>
              </c:strCache>
            </c:strRef>
          </c:cat>
          <c:val>
            <c:numRef>
              <c:f>[0]!Chart_Construction1B</c:f>
              <c:numCache>
                <c:formatCode>#,##0</c:formatCode>
                <c:ptCount val="11"/>
                <c:pt idx="0">
                  <c:v>202790</c:v>
                </c:pt>
                <c:pt idx="1">
                  <c:v>199348</c:v>
                </c:pt>
                <c:pt idx="2">
                  <c:v>182298</c:v>
                </c:pt>
                <c:pt idx="3">
                  <c:v>433906</c:v>
                </c:pt>
                <c:pt idx="4">
                  <c:v>446396</c:v>
                </c:pt>
                <c:pt idx="5">
                  <c:v>559865</c:v>
                </c:pt>
                <c:pt idx="6">
                  <c:v>798835</c:v>
                </c:pt>
                <c:pt idx="7">
                  <c:v>1334781</c:v>
                </c:pt>
                <c:pt idx="8">
                  <c:v>1249202</c:v>
                </c:pt>
                <c:pt idx="9">
                  <c:v>895530</c:v>
                </c:pt>
                <c:pt idx="10">
                  <c:v>1018239</c:v>
                </c:pt>
              </c:numCache>
            </c:numRef>
          </c:val>
          <c:extLst>
            <c:ext xmlns:c16="http://schemas.microsoft.com/office/drawing/2014/chart" uri="{C3380CC4-5D6E-409C-BE32-E72D297353CC}">
              <c16:uniqueId val="{00000001-8D3A-4055-9D3F-6AA8B8CE3526}"/>
            </c:ext>
          </c:extLst>
        </c:ser>
        <c:dLbls>
          <c:showLegendKey val="0"/>
          <c:showVal val="0"/>
          <c:showCatName val="0"/>
          <c:showSerName val="0"/>
          <c:showPercent val="0"/>
          <c:showBubbleSize val="0"/>
        </c:dLbls>
        <c:gapWidth val="50"/>
        <c:overlap val="100"/>
        <c:axId val="1400198080"/>
        <c:axId val="1400195168"/>
      </c:barChart>
      <c:catAx>
        <c:axId val="1400198080"/>
        <c:scaling>
          <c:orientation val="maxMin"/>
        </c:scaling>
        <c:delete val="1"/>
        <c:axPos val="l"/>
        <c:numFmt formatCode="General" sourceLinked="1"/>
        <c:majorTickMark val="out"/>
        <c:minorTickMark val="none"/>
        <c:tickLblPos val="nextTo"/>
        <c:crossAx val="1400195168"/>
        <c:crosses val="autoZero"/>
        <c:auto val="1"/>
        <c:lblAlgn val="ctr"/>
        <c:lblOffset val="100"/>
        <c:noMultiLvlLbl val="0"/>
      </c:catAx>
      <c:valAx>
        <c:axId val="1400195168"/>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8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crossAx val="1400198080"/>
        <c:crosses val="autoZero"/>
        <c:crossBetween val="between"/>
      </c:valAx>
      <c:spPr>
        <a:noFill/>
        <a:ln>
          <a:noFill/>
        </a:ln>
        <a:effectLst/>
      </c:spPr>
    </c:plotArea>
    <c:legend>
      <c:legendPos val="t"/>
      <c:layout>
        <c:manualLayout>
          <c:xMode val="edge"/>
          <c:yMode val="edge"/>
          <c:x val="8.8782315200795978E-2"/>
          <c:y val="3.3067220764071157E-3"/>
          <c:w val="0.82788199269208995"/>
          <c:h val="7.0834270716160483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0"/>
    <c:dispBlanksAs val="gap"/>
    <c:showDLblsOverMax val="0"/>
  </c:chart>
  <c:spPr>
    <a:solidFill>
      <a:schemeClr val="bg1"/>
    </a:solidFill>
    <a:ln w="25400" cap="flat" cmpd="sng" algn="ctr">
      <a:solidFill>
        <a:srgbClr val="1F497D"/>
      </a:solidFill>
      <a:round/>
    </a:ln>
    <a:effectLst/>
  </c:spPr>
  <c:txPr>
    <a:bodyPr anchor="ctr" anchorCtr="1"/>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691207811463203"/>
          <c:y val="5.0925925925925923E-2"/>
          <c:w val="0.86415077213221025"/>
          <c:h val="0.72317840478273554"/>
        </c:manualLayout>
      </c:layout>
      <c:lineChart>
        <c:grouping val="standard"/>
        <c:varyColors val="0"/>
        <c:ser>
          <c:idx val="0"/>
          <c:order val="0"/>
          <c:tx>
            <c:strRef>
              <c:f>'MS Charts'!$M$40</c:f>
              <c:strCache>
                <c:ptCount val="1"/>
                <c:pt idx="0">
                  <c:v>Industrial</c:v>
                </c:pt>
              </c:strCache>
            </c:strRef>
          </c:tx>
          <c:spPr>
            <a:ln w="31750" cap="rnd">
              <a:solidFill>
                <a:srgbClr val="1F497D"/>
              </a:solidFill>
              <a:round/>
            </a:ln>
            <a:effectLst/>
          </c:spPr>
          <c:marker>
            <c:symbol val="none"/>
          </c:marker>
          <c:cat>
            <c:strRef>
              <c:f>[0]!Chart_Periods</c:f>
              <c:strCache>
                <c:ptCount val="11"/>
                <c:pt idx="0">
                  <c:v>2017 Q2</c:v>
                </c:pt>
                <c:pt idx="1">
                  <c:v>2017 Q4</c:v>
                </c:pt>
                <c:pt idx="2">
                  <c:v>2018 Q2</c:v>
                </c:pt>
                <c:pt idx="3">
                  <c:v>2018 Q4</c:v>
                </c:pt>
                <c:pt idx="4">
                  <c:v>2019 Q2</c:v>
                </c:pt>
                <c:pt idx="5">
                  <c:v>2019 Q4</c:v>
                </c:pt>
                <c:pt idx="6">
                  <c:v>2020 Q2</c:v>
                </c:pt>
                <c:pt idx="7">
                  <c:v>2020 Q4</c:v>
                </c:pt>
                <c:pt idx="8">
                  <c:v>2021 Q2</c:v>
                </c:pt>
                <c:pt idx="9">
                  <c:v>2021 Q4</c:v>
                </c:pt>
                <c:pt idx="10">
                  <c:v>2022 Q2</c:v>
                </c:pt>
              </c:strCache>
            </c:strRef>
          </c:cat>
          <c:val>
            <c:numRef>
              <c:f>[0]!Chart_RentalRates_2A</c:f>
              <c:numCache>
                <c:formatCode>"$"#,##0.00</c:formatCode>
                <c:ptCount val="13"/>
                <c:pt idx="0">
                  <c:v>8.6199999999999992</c:v>
                </c:pt>
                <c:pt idx="1">
                  <c:v>8.23</c:v>
                </c:pt>
                <c:pt idx="2">
                  <c:v>8.61</c:v>
                </c:pt>
                <c:pt idx="3">
                  <c:v>8.75</c:v>
                </c:pt>
                <c:pt idx="4">
                  <c:v>8.91</c:v>
                </c:pt>
                <c:pt idx="5">
                  <c:v>9.23</c:v>
                </c:pt>
                <c:pt idx="6">
                  <c:v>9.85</c:v>
                </c:pt>
                <c:pt idx="7">
                  <c:v>9.7799999999999994</c:v>
                </c:pt>
                <c:pt idx="8">
                  <c:v>9.59</c:v>
                </c:pt>
                <c:pt idx="9">
                  <c:v>9.99</c:v>
                </c:pt>
                <c:pt idx="10">
                  <c:v>10.15</c:v>
                </c:pt>
                <c:pt idx="11">
                  <c:v>9.89</c:v>
                </c:pt>
                <c:pt idx="12">
                  <c:v>9.68</c:v>
                </c:pt>
              </c:numCache>
            </c:numRef>
          </c:val>
          <c:smooth val="0"/>
          <c:extLst>
            <c:ext xmlns:c16="http://schemas.microsoft.com/office/drawing/2014/chart" uri="{C3380CC4-5D6E-409C-BE32-E72D297353CC}">
              <c16:uniqueId val="{00000000-0A72-4692-8C87-57A4555B652F}"/>
            </c:ext>
          </c:extLst>
        </c:ser>
        <c:ser>
          <c:idx val="2"/>
          <c:order val="1"/>
          <c:tx>
            <c:strRef>
              <c:f>'MS Charts'!$M$42</c:f>
              <c:strCache>
                <c:ptCount val="1"/>
                <c:pt idx="0">
                  <c:v>Warehouse</c:v>
                </c:pt>
              </c:strCache>
            </c:strRef>
          </c:tx>
          <c:spPr>
            <a:ln w="31750" cap="rnd">
              <a:solidFill>
                <a:srgbClr val="F2B800"/>
              </a:solidFill>
              <a:round/>
            </a:ln>
            <a:effectLst/>
          </c:spPr>
          <c:marker>
            <c:symbol val="none"/>
          </c:marker>
          <c:cat>
            <c:strRef>
              <c:f>[0]!Chart_Periods</c:f>
              <c:strCache>
                <c:ptCount val="11"/>
                <c:pt idx="0">
                  <c:v>2017 Q2</c:v>
                </c:pt>
                <c:pt idx="1">
                  <c:v>2017 Q4</c:v>
                </c:pt>
                <c:pt idx="2">
                  <c:v>2018 Q2</c:v>
                </c:pt>
                <c:pt idx="3">
                  <c:v>2018 Q4</c:v>
                </c:pt>
                <c:pt idx="4">
                  <c:v>2019 Q2</c:v>
                </c:pt>
                <c:pt idx="5">
                  <c:v>2019 Q4</c:v>
                </c:pt>
                <c:pt idx="6">
                  <c:v>2020 Q2</c:v>
                </c:pt>
                <c:pt idx="7">
                  <c:v>2020 Q4</c:v>
                </c:pt>
                <c:pt idx="8">
                  <c:v>2021 Q2</c:v>
                </c:pt>
                <c:pt idx="9">
                  <c:v>2021 Q4</c:v>
                </c:pt>
                <c:pt idx="10">
                  <c:v>2022 Q2</c:v>
                </c:pt>
              </c:strCache>
            </c:strRef>
          </c:cat>
          <c:val>
            <c:numRef>
              <c:f>[0]!Chart_RentalRates_2B</c:f>
              <c:numCache>
                <c:formatCode>"$"#,##0.00</c:formatCode>
                <c:ptCount val="13"/>
                <c:pt idx="0">
                  <c:v>1</c:v>
                </c:pt>
                <c:pt idx="1">
                  <c:v>1</c:v>
                </c:pt>
                <c:pt idx="2">
                  <c:v>1</c:v>
                </c:pt>
                <c:pt idx="3">
                  <c:v>1</c:v>
                </c:pt>
                <c:pt idx="4">
                  <c:v>1</c:v>
                </c:pt>
                <c:pt idx="5">
                  <c:v>1</c:v>
                </c:pt>
                <c:pt idx="6">
                  <c:v>1</c:v>
                </c:pt>
                <c:pt idx="7">
                  <c:v>1</c:v>
                </c:pt>
                <c:pt idx="8">
                  <c:v>1</c:v>
                </c:pt>
                <c:pt idx="9">
                  <c:v>1</c:v>
                </c:pt>
                <c:pt idx="10">
                  <c:v>1</c:v>
                </c:pt>
                <c:pt idx="11">
                  <c:v>1</c:v>
                </c:pt>
                <c:pt idx="12">
                  <c:v>1</c:v>
                </c:pt>
              </c:numCache>
            </c:numRef>
          </c:val>
          <c:smooth val="0"/>
          <c:extLst>
            <c:ext xmlns:c16="http://schemas.microsoft.com/office/drawing/2014/chart" uri="{C3380CC4-5D6E-409C-BE32-E72D297353CC}">
              <c16:uniqueId val="{00000001-0A72-4692-8C87-57A4555B652F}"/>
            </c:ext>
          </c:extLst>
        </c:ser>
        <c:dLbls>
          <c:showLegendKey val="0"/>
          <c:showVal val="0"/>
          <c:showCatName val="0"/>
          <c:showSerName val="0"/>
          <c:showPercent val="0"/>
          <c:showBubbleSize val="0"/>
        </c:dLbls>
        <c:smooth val="0"/>
        <c:axId val="1448512848"/>
        <c:axId val="1448523664"/>
        <c:extLst/>
      </c:lineChart>
      <c:catAx>
        <c:axId val="144851284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crossAx val="1448523664"/>
        <c:crossesAt val="5"/>
        <c:auto val="1"/>
        <c:lblAlgn val="ctr"/>
        <c:lblOffset val="50"/>
        <c:tickLblSkip val="2"/>
        <c:noMultiLvlLbl val="0"/>
      </c:catAx>
      <c:valAx>
        <c:axId val="1448523664"/>
        <c:scaling>
          <c:orientation val="minMax"/>
          <c:min val="6"/>
        </c:scaling>
        <c:delete val="0"/>
        <c:axPos val="l"/>
        <c:majorGridlines>
          <c:spPr>
            <a:ln w="9525" cap="flat" cmpd="sng" algn="ctr">
              <a:solidFill>
                <a:schemeClr val="tx1">
                  <a:lumMod val="15000"/>
                  <a:lumOff val="85000"/>
                </a:schemeClr>
              </a:solidFill>
              <a:round/>
            </a:ln>
            <a:effectLst/>
          </c:spPr>
        </c:majorGridlines>
        <c:title>
          <c:tx>
            <c:strRef>
              <c:f>Narrative!$F$33</c:f>
              <c:strCache>
                <c:ptCount val="1"/>
                <c:pt idx="0">
                  <c:v>Quoted Triple Net Rental Rate PSF</c:v>
                </c:pt>
              </c:strCache>
            </c:strRef>
          </c:tx>
          <c:layout>
            <c:manualLayout>
              <c:xMode val="edge"/>
              <c:yMode val="edge"/>
              <c:x val="8.6511755475010069E-3"/>
              <c:y val="0.15376494604841062"/>
            </c:manualLayout>
          </c:layout>
          <c:overlay val="0"/>
          <c:spPr>
            <a:noFill/>
            <a:ln>
              <a:noFill/>
            </a:ln>
            <a:effectLst/>
          </c:spPr>
          <c:txPr>
            <a:bodyPr rot="-5400000" spcFirstLastPara="1" vertOverflow="ellipsis" vert="horz" wrap="square" anchor="ctr" anchorCtr="1"/>
            <a:lstStyle/>
            <a:p>
              <a:pPr>
                <a:defRPr sz="10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title>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crossAx val="1448512848"/>
        <c:crosses val="autoZero"/>
        <c:crossBetween val="between"/>
      </c:valAx>
      <c:spPr>
        <a:noFill/>
        <a:ln>
          <a:noFill/>
        </a:ln>
        <a:effectLst/>
      </c:spPr>
    </c:plotArea>
    <c:legend>
      <c:legendPos val="b"/>
      <c:layout>
        <c:manualLayout>
          <c:xMode val="edge"/>
          <c:yMode val="edge"/>
          <c:x val="9.5474514882115849E-2"/>
          <c:y val="0.85239497275217679"/>
          <c:w val="0.80503840586792119"/>
          <c:h val="0.12799709329105019"/>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0"/>
    <c:dispBlanksAs val="gap"/>
    <c:showDLblsOverMax val="0"/>
  </c:chart>
  <c:spPr>
    <a:solidFill>
      <a:schemeClr val="bg1"/>
    </a:solidFill>
    <a:ln w="25400" cap="flat" cmpd="sng" algn="ctr">
      <a:solidFill>
        <a:srgbClr val="1F497D"/>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9875478927203066E-2"/>
          <c:y val="9.1783527059117617E-2"/>
          <c:w val="0.91649904214559386"/>
          <c:h val="0.83696572256826107"/>
        </c:manualLayout>
      </c:layout>
      <c:barChart>
        <c:barDir val="bar"/>
        <c:grouping val="clustered"/>
        <c:varyColors val="0"/>
        <c:ser>
          <c:idx val="0"/>
          <c:order val="0"/>
          <c:tx>
            <c:strRef>
              <c:f>'MS Charts'!$N$22</c:f>
              <c:strCache>
                <c:ptCount val="1"/>
                <c:pt idx="0">
                  <c:v>Industrial</c:v>
                </c:pt>
              </c:strCache>
            </c:strRef>
          </c:tx>
          <c:spPr>
            <a:solidFill>
              <a:srgbClr val="1F497D"/>
            </a:solidFill>
            <a:ln w="38100">
              <a:noFill/>
            </a:ln>
            <a:effectLst/>
          </c:spPr>
          <c:invertIfNegative val="0"/>
          <c:cat>
            <c:strRef>
              <c:f>[0]!Chart_Periods_Inventory</c:f>
              <c:strCache>
                <c:ptCount val="11"/>
                <c:pt idx="0">
                  <c:v>2017 Q2</c:v>
                </c:pt>
                <c:pt idx="1">
                  <c:v>2017 Q4</c:v>
                </c:pt>
                <c:pt idx="2">
                  <c:v>2018 Q2</c:v>
                </c:pt>
                <c:pt idx="3">
                  <c:v>2018 Q4</c:v>
                </c:pt>
                <c:pt idx="4">
                  <c:v>2019 Q2</c:v>
                </c:pt>
                <c:pt idx="5">
                  <c:v>2019 Q4</c:v>
                </c:pt>
                <c:pt idx="6">
                  <c:v>2020 Q2</c:v>
                </c:pt>
                <c:pt idx="7">
                  <c:v>2020 Q4</c:v>
                </c:pt>
                <c:pt idx="8">
                  <c:v>2021 Q2</c:v>
                </c:pt>
                <c:pt idx="9">
                  <c:v>2021 Q4</c:v>
                </c:pt>
                <c:pt idx="10">
                  <c:v>2022 Q2</c:v>
                </c:pt>
              </c:strCache>
            </c:strRef>
          </c:cat>
          <c:val>
            <c:numRef>
              <c:f>[0]!Chart_Construction2A</c:f>
              <c:numCache>
                <c:formatCode>#,##0</c:formatCode>
                <c:ptCount val="11"/>
                <c:pt idx="0">
                  <c:v>454632</c:v>
                </c:pt>
                <c:pt idx="1">
                  <c:v>1258568</c:v>
                </c:pt>
                <c:pt idx="2">
                  <c:v>1275768</c:v>
                </c:pt>
                <c:pt idx="3">
                  <c:v>1355706</c:v>
                </c:pt>
                <c:pt idx="4">
                  <c:v>745396</c:v>
                </c:pt>
                <c:pt idx="5">
                  <c:v>1085033</c:v>
                </c:pt>
                <c:pt idx="6">
                  <c:v>1325600</c:v>
                </c:pt>
                <c:pt idx="7">
                  <c:v>2128141</c:v>
                </c:pt>
                <c:pt idx="8">
                  <c:v>2068694</c:v>
                </c:pt>
                <c:pt idx="9">
                  <c:v>1425912</c:v>
                </c:pt>
                <c:pt idx="10">
                  <c:v>1442547</c:v>
                </c:pt>
              </c:numCache>
            </c:numRef>
          </c:val>
          <c:extLst>
            <c:ext xmlns:c16="http://schemas.microsoft.com/office/drawing/2014/chart" uri="{C3380CC4-5D6E-409C-BE32-E72D297353CC}">
              <c16:uniqueId val="{00000000-E62B-4808-9C33-4EFAD2F10249}"/>
            </c:ext>
          </c:extLst>
        </c:ser>
        <c:ser>
          <c:idx val="1"/>
          <c:order val="1"/>
          <c:tx>
            <c:strRef>
              <c:f>'MS Charts'!$AC$22</c:f>
              <c:strCache>
                <c:ptCount val="1"/>
                <c:pt idx="0">
                  <c:v>Warehouse</c:v>
                </c:pt>
              </c:strCache>
            </c:strRef>
          </c:tx>
          <c:spPr>
            <a:solidFill>
              <a:srgbClr val="FFC000"/>
            </a:solidFill>
            <a:ln w="38100">
              <a:noFill/>
            </a:ln>
            <a:effectLst/>
          </c:spPr>
          <c:invertIfNegative val="0"/>
          <c:cat>
            <c:strRef>
              <c:f>[0]!Chart_Periods_Inventory</c:f>
              <c:strCache>
                <c:ptCount val="11"/>
                <c:pt idx="0">
                  <c:v>2017 Q2</c:v>
                </c:pt>
                <c:pt idx="1">
                  <c:v>2017 Q4</c:v>
                </c:pt>
                <c:pt idx="2">
                  <c:v>2018 Q2</c:v>
                </c:pt>
                <c:pt idx="3">
                  <c:v>2018 Q4</c:v>
                </c:pt>
                <c:pt idx="4">
                  <c:v>2019 Q2</c:v>
                </c:pt>
                <c:pt idx="5">
                  <c:v>2019 Q4</c:v>
                </c:pt>
                <c:pt idx="6">
                  <c:v>2020 Q2</c:v>
                </c:pt>
                <c:pt idx="7">
                  <c:v>2020 Q4</c:v>
                </c:pt>
                <c:pt idx="8">
                  <c:v>2021 Q2</c:v>
                </c:pt>
                <c:pt idx="9">
                  <c:v>2021 Q4</c:v>
                </c:pt>
                <c:pt idx="10">
                  <c:v>2022 Q2</c:v>
                </c:pt>
              </c:strCache>
            </c:strRef>
          </c:cat>
          <c:val>
            <c:numRef>
              <c:f>[0]!Chart_Construction2B</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E62B-4808-9C33-4EFAD2F10249}"/>
            </c:ext>
          </c:extLst>
        </c:ser>
        <c:dLbls>
          <c:showLegendKey val="0"/>
          <c:showVal val="0"/>
          <c:showCatName val="0"/>
          <c:showSerName val="0"/>
          <c:showPercent val="0"/>
          <c:showBubbleSize val="0"/>
        </c:dLbls>
        <c:gapWidth val="50"/>
        <c:overlap val="100"/>
        <c:axId val="1400198080"/>
        <c:axId val="1400195168"/>
      </c:barChart>
      <c:catAx>
        <c:axId val="1400198080"/>
        <c:scaling>
          <c:orientation val="maxMin"/>
        </c:scaling>
        <c:delete val="1"/>
        <c:axPos val="l"/>
        <c:numFmt formatCode="General" sourceLinked="1"/>
        <c:majorTickMark val="out"/>
        <c:minorTickMark val="none"/>
        <c:tickLblPos val="nextTo"/>
        <c:crossAx val="1400195168"/>
        <c:crosses val="autoZero"/>
        <c:auto val="1"/>
        <c:lblAlgn val="ctr"/>
        <c:lblOffset val="100"/>
        <c:noMultiLvlLbl val="0"/>
      </c:catAx>
      <c:valAx>
        <c:axId val="1400195168"/>
        <c:scaling>
          <c:orientation val="minMax"/>
        </c:scaling>
        <c:delete val="0"/>
        <c:axPos val="t"/>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high"/>
        <c:spPr>
          <a:noFill/>
          <a:ln>
            <a:noFill/>
          </a:ln>
          <a:effectLst/>
        </c:spPr>
        <c:txPr>
          <a:bodyPr rot="-60000000" spcFirstLastPara="1" vertOverflow="ellipsis" vert="horz" wrap="square" anchor="ctr" anchorCtr="1"/>
          <a:lstStyle/>
          <a:p>
            <a:pPr>
              <a:defRPr sz="8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crossAx val="1400198080"/>
        <c:crosses val="autoZero"/>
        <c:crossBetween val="between"/>
      </c:valAx>
      <c:spPr>
        <a:noFill/>
        <a:ln>
          <a:noFill/>
        </a:ln>
        <a:effectLst/>
      </c:spPr>
    </c:plotArea>
    <c:legend>
      <c:legendPos val="t"/>
      <c:layout>
        <c:manualLayout>
          <c:xMode val="edge"/>
          <c:yMode val="edge"/>
          <c:x val="8.8782315200795978E-2"/>
          <c:y val="3.3067220764071157E-3"/>
          <c:w val="0.82788199269208995"/>
          <c:h val="7.0834270716160483E-2"/>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0"/>
    <c:dispBlanksAs val="gap"/>
    <c:showDLblsOverMax val="0"/>
  </c:chart>
  <c:spPr>
    <a:solidFill>
      <a:schemeClr val="bg1"/>
    </a:solidFill>
    <a:ln w="25400" cap="flat" cmpd="sng" algn="ctr">
      <a:solidFill>
        <a:srgbClr val="1F497D"/>
      </a:solidFill>
      <a:round/>
    </a:ln>
    <a:effectLst/>
  </c:spPr>
  <c:txPr>
    <a:bodyPr anchor="ctr" anchorCtr="1"/>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6050542581932755E-2"/>
          <c:y val="1.9955408799706489E-2"/>
          <c:w val="0.80480098071573392"/>
          <c:h val="0.77555005793194765"/>
        </c:manualLayout>
      </c:layout>
      <c:barChart>
        <c:barDir val="col"/>
        <c:grouping val="clustered"/>
        <c:varyColors val="0"/>
        <c:ser>
          <c:idx val="0"/>
          <c:order val="0"/>
          <c:tx>
            <c:strRef>
              <c:f>'MS Charts'!$M$66</c:f>
              <c:strCache>
                <c:ptCount val="1"/>
                <c:pt idx="0">
                  <c:v>Industrial Net Absorption</c:v>
                </c:pt>
              </c:strCache>
            </c:strRef>
          </c:tx>
          <c:spPr>
            <a:solidFill>
              <a:srgbClr val="1F497D"/>
            </a:solidFill>
            <a:ln w="63500">
              <a:noFill/>
            </a:ln>
            <a:effectLst/>
          </c:spPr>
          <c:invertIfNegative val="0"/>
          <c:cat>
            <c:strRef>
              <c:f>[0]!Chart_Periods_Vacancy</c:f>
              <c:strCache>
                <c:ptCount val="5"/>
                <c:pt idx="0">
                  <c:v>2020 Q2</c:v>
                </c:pt>
                <c:pt idx="1">
                  <c:v>2020 Q4</c:v>
                </c:pt>
                <c:pt idx="2">
                  <c:v>2021 Q2</c:v>
                </c:pt>
                <c:pt idx="3">
                  <c:v>2021 Q4</c:v>
                </c:pt>
                <c:pt idx="4">
                  <c:v>2022 Q2</c:v>
                </c:pt>
              </c:strCache>
            </c:strRef>
          </c:cat>
          <c:val>
            <c:numRef>
              <c:f>[0]!Chart_NetAbsorption_2A</c:f>
              <c:numCache>
                <c:formatCode>#,##0</c:formatCode>
                <c:ptCount val="11"/>
                <c:pt idx="0">
                  <c:v>-49741</c:v>
                </c:pt>
                <c:pt idx="1">
                  <c:v>21426</c:v>
                </c:pt>
                <c:pt idx="2">
                  <c:v>76122</c:v>
                </c:pt>
                <c:pt idx="3">
                  <c:v>393189</c:v>
                </c:pt>
                <c:pt idx="4">
                  <c:v>835966</c:v>
                </c:pt>
                <c:pt idx="5">
                  <c:v>499544</c:v>
                </c:pt>
                <c:pt idx="6">
                  <c:v>282533</c:v>
                </c:pt>
                <c:pt idx="7">
                  <c:v>-80356</c:v>
                </c:pt>
                <c:pt idx="8">
                  <c:v>476150</c:v>
                </c:pt>
                <c:pt idx="9">
                  <c:v>55732</c:v>
                </c:pt>
                <c:pt idx="10">
                  <c:v>504252</c:v>
                </c:pt>
              </c:numCache>
            </c:numRef>
          </c:val>
          <c:extLst>
            <c:ext xmlns:c16="http://schemas.microsoft.com/office/drawing/2014/chart" uri="{C3380CC4-5D6E-409C-BE32-E72D297353CC}">
              <c16:uniqueId val="{00000000-D2AF-4FFE-B400-3B97A9EA0903}"/>
            </c:ext>
          </c:extLst>
        </c:ser>
        <c:ser>
          <c:idx val="1"/>
          <c:order val="2"/>
          <c:tx>
            <c:strRef>
              <c:f>'MS Charts'!$M$69</c:f>
              <c:strCache>
                <c:ptCount val="1"/>
                <c:pt idx="0">
                  <c:v>Warehouse Net Absorption</c:v>
                </c:pt>
              </c:strCache>
            </c:strRef>
          </c:tx>
          <c:spPr>
            <a:solidFill>
              <a:srgbClr val="F2B800"/>
            </a:solidFill>
            <a:ln w="9525">
              <a:noFill/>
            </a:ln>
            <a:effectLst/>
          </c:spPr>
          <c:invertIfNegative val="0"/>
          <c:val>
            <c:numRef>
              <c:f>[0]!Chart_NetAbsorption_2B</c:f>
              <c:numCache>
                <c:formatCode>#,##0</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D2AF-4FFE-B400-3B97A9EA0903}"/>
            </c:ext>
          </c:extLst>
        </c:ser>
        <c:dLbls>
          <c:showLegendKey val="0"/>
          <c:showVal val="0"/>
          <c:showCatName val="0"/>
          <c:showSerName val="0"/>
          <c:showPercent val="0"/>
          <c:showBubbleSize val="0"/>
        </c:dLbls>
        <c:gapWidth val="100"/>
        <c:axId val="2080190608"/>
        <c:axId val="2080191024"/>
        <c:extLst/>
      </c:barChart>
      <c:lineChart>
        <c:grouping val="standard"/>
        <c:varyColors val="0"/>
        <c:ser>
          <c:idx val="2"/>
          <c:order val="1"/>
          <c:tx>
            <c:strRef>
              <c:f>'MS Charts'!$M$67</c:f>
              <c:strCache>
                <c:ptCount val="1"/>
                <c:pt idx="0">
                  <c:v>Industrial Vacancy</c:v>
                </c:pt>
              </c:strCache>
            </c:strRef>
          </c:tx>
          <c:spPr>
            <a:ln w="31750" cap="rnd">
              <a:solidFill>
                <a:srgbClr val="1F497D"/>
              </a:solidFill>
              <a:round/>
            </a:ln>
            <a:effectLst/>
          </c:spPr>
          <c:marker>
            <c:symbol val="none"/>
          </c:marker>
          <c:cat>
            <c:strRef>
              <c:f>'MS Data'!$AE$4:$AE$160</c:f>
              <c:strCache>
                <c:ptCount val="5"/>
                <c:pt idx="0">
                  <c:v>2020 Q2</c:v>
                </c:pt>
                <c:pt idx="1">
                  <c:v>2020 Q4</c:v>
                </c:pt>
                <c:pt idx="2">
                  <c:v>2021 Q2</c:v>
                </c:pt>
                <c:pt idx="3">
                  <c:v>2021 Q4</c:v>
                </c:pt>
                <c:pt idx="4">
                  <c:v>2022 Q2</c:v>
                </c:pt>
              </c:strCache>
            </c:strRef>
          </c:cat>
          <c:val>
            <c:numRef>
              <c:f>[0]!Chart_VacancyAbsorb_2A</c:f>
              <c:numCache>
                <c:formatCode>0.0%</c:formatCode>
                <c:ptCount val="11"/>
                <c:pt idx="0">
                  <c:v>3.4000000000000002E-2</c:v>
                </c:pt>
                <c:pt idx="1">
                  <c:v>4.4999999999999998E-2</c:v>
                </c:pt>
                <c:pt idx="2">
                  <c:v>5.6000000000000001E-2</c:v>
                </c:pt>
                <c:pt idx="3">
                  <c:v>9.2999999999999999E-2</c:v>
                </c:pt>
                <c:pt idx="4">
                  <c:v>4.7E-2</c:v>
                </c:pt>
                <c:pt idx="5">
                  <c:v>6.7000000000000004E-2</c:v>
                </c:pt>
                <c:pt idx="6">
                  <c:v>6.5000000000000002E-2</c:v>
                </c:pt>
                <c:pt idx="7">
                  <c:v>8.4000000000000005E-2</c:v>
                </c:pt>
                <c:pt idx="8">
                  <c:v>7.8E-2</c:v>
                </c:pt>
                <c:pt idx="9">
                  <c:v>0.109</c:v>
                </c:pt>
                <c:pt idx="10">
                  <c:v>0.108</c:v>
                </c:pt>
              </c:numCache>
            </c:numRef>
          </c:val>
          <c:smooth val="0"/>
          <c:extLst>
            <c:ext xmlns:c16="http://schemas.microsoft.com/office/drawing/2014/chart" uri="{C3380CC4-5D6E-409C-BE32-E72D297353CC}">
              <c16:uniqueId val="{00000002-D2AF-4FFE-B400-3B97A9EA0903}"/>
            </c:ext>
          </c:extLst>
        </c:ser>
        <c:ser>
          <c:idx val="3"/>
          <c:order val="3"/>
          <c:tx>
            <c:strRef>
              <c:f>'MS Charts'!$M$70</c:f>
              <c:strCache>
                <c:ptCount val="1"/>
                <c:pt idx="0">
                  <c:v>Warehouse Vacancy</c:v>
                </c:pt>
              </c:strCache>
            </c:strRef>
          </c:tx>
          <c:spPr>
            <a:ln w="31750" cap="rnd">
              <a:solidFill>
                <a:srgbClr val="F2B800"/>
              </a:solidFill>
              <a:round/>
            </a:ln>
            <a:effectLst/>
          </c:spPr>
          <c:marker>
            <c:symbol val="none"/>
          </c:marker>
          <c:val>
            <c:numRef>
              <c:f>[0]!Chart_VacancyAbsorb_2B</c:f>
              <c:numCache>
                <c:formatCode>0.0%</c:formatCode>
                <c:ptCount val="11"/>
                <c:pt idx="0">
                  <c:v>0</c:v>
                </c:pt>
                <c:pt idx="1">
                  <c:v>0</c:v>
                </c:pt>
                <c:pt idx="2">
                  <c:v>0</c:v>
                </c:pt>
                <c:pt idx="3">
                  <c:v>0</c:v>
                </c:pt>
                <c:pt idx="4">
                  <c:v>0</c:v>
                </c:pt>
                <c:pt idx="5">
                  <c:v>0</c:v>
                </c:pt>
                <c:pt idx="6">
                  <c:v>0</c:v>
                </c:pt>
                <c:pt idx="7">
                  <c:v>0</c:v>
                </c:pt>
                <c:pt idx="8">
                  <c:v>0</c:v>
                </c:pt>
                <c:pt idx="9">
                  <c:v>0</c:v>
                </c:pt>
                <c:pt idx="10">
                  <c:v>0</c:v>
                </c:pt>
              </c:numCache>
            </c:numRef>
          </c:val>
          <c:smooth val="0"/>
          <c:extLst>
            <c:ext xmlns:c16="http://schemas.microsoft.com/office/drawing/2014/chart" uri="{C3380CC4-5D6E-409C-BE32-E72D297353CC}">
              <c16:uniqueId val="{00000003-D2AF-4FFE-B400-3B97A9EA0903}"/>
            </c:ext>
          </c:extLst>
        </c:ser>
        <c:dLbls>
          <c:showLegendKey val="0"/>
          <c:showVal val="0"/>
          <c:showCatName val="0"/>
          <c:showSerName val="0"/>
          <c:showPercent val="0"/>
          <c:showBubbleSize val="0"/>
        </c:dLbls>
        <c:marker val="1"/>
        <c:smooth val="0"/>
        <c:axId val="2080191440"/>
        <c:axId val="2080192272"/>
      </c:lineChart>
      <c:catAx>
        <c:axId val="2080190608"/>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crossAx val="2080191024"/>
        <c:crosses val="autoZero"/>
        <c:auto val="1"/>
        <c:lblAlgn val="ctr"/>
        <c:lblOffset val="50"/>
        <c:tickLblSkip val="2"/>
        <c:noMultiLvlLbl val="0"/>
      </c:catAx>
      <c:valAx>
        <c:axId val="2080191024"/>
        <c:scaling>
          <c:orientation val="minMax"/>
          <c:min val="-800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1F497D"/>
                    </a:solidFill>
                    <a:latin typeface="Segoe UI" panose="020B0502040204020203" pitchFamily="34" charset="0"/>
                    <a:ea typeface="+mn-ea"/>
                    <a:cs typeface="Segoe UI" panose="020B0502040204020203" pitchFamily="34" charset="0"/>
                  </a:defRPr>
                </a:pPr>
                <a:r>
                  <a:rPr lang="en-US" sz="1000" b="1">
                    <a:solidFill>
                      <a:srgbClr val="1F497D"/>
                    </a:solidFill>
                    <a:latin typeface="Segoe UI" panose="020B0502040204020203" pitchFamily="34" charset="0"/>
                    <a:cs typeface="Segoe UI" panose="020B0502040204020203" pitchFamily="34" charset="0"/>
                  </a:rPr>
                  <a:t>SF in Thousands</a:t>
                </a:r>
              </a:p>
            </c:rich>
          </c:tx>
          <c:layout>
            <c:manualLayout>
              <c:xMode val="edge"/>
              <c:yMode val="edge"/>
              <c:x val="1.2215486953019761E-2"/>
              <c:y val="0.17886443955126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crossAx val="2080190608"/>
        <c:crosses val="autoZero"/>
        <c:crossBetween val="between"/>
        <c:dispUnits>
          <c:builtInUnit val="thousands"/>
        </c:dispUnits>
      </c:valAx>
      <c:valAx>
        <c:axId val="2080192272"/>
        <c:scaling>
          <c:orientation val="minMax"/>
          <c:min val="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1">
                    <a:solidFill>
                      <a:srgbClr val="1F497D"/>
                    </a:solidFill>
                    <a:latin typeface="Segoe UI" panose="020B0502040204020203" pitchFamily="34" charset="0"/>
                    <a:cs typeface="Segoe UI" panose="020B0502040204020203" pitchFamily="34" charset="0"/>
                  </a:rPr>
                  <a:t>Vacancy</a:t>
                </a:r>
                <a:r>
                  <a:rPr lang="en-US" sz="1000" b="1" baseline="0">
                    <a:solidFill>
                      <a:srgbClr val="1F497D"/>
                    </a:solidFill>
                    <a:latin typeface="Segoe UI" panose="020B0502040204020203" pitchFamily="34" charset="0"/>
                    <a:cs typeface="Segoe UI" panose="020B0502040204020203" pitchFamily="34" charset="0"/>
                  </a:rPr>
                  <a:t> Rate</a:t>
                </a:r>
                <a:endParaRPr lang="en-US" sz="1000" b="1">
                  <a:solidFill>
                    <a:srgbClr val="1F497D"/>
                  </a:solidFill>
                  <a:latin typeface="Segoe UI" panose="020B0502040204020203" pitchFamily="34" charset="0"/>
                  <a:cs typeface="Segoe UI" panose="020B0502040204020203" pitchFamily="34" charset="0"/>
                </a:endParaRPr>
              </a:p>
            </c:rich>
          </c:tx>
          <c:layout>
            <c:manualLayout>
              <c:xMode val="edge"/>
              <c:yMode val="edge"/>
              <c:x val="0.96231536926147709"/>
              <c:y val="0.3161907970963089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crossAx val="2080191440"/>
        <c:crosses val="max"/>
        <c:crossBetween val="between"/>
      </c:valAx>
      <c:catAx>
        <c:axId val="2080191440"/>
        <c:scaling>
          <c:orientation val="minMax"/>
        </c:scaling>
        <c:delete val="1"/>
        <c:axPos val="b"/>
        <c:numFmt formatCode="General" sourceLinked="1"/>
        <c:majorTickMark val="none"/>
        <c:minorTickMark val="none"/>
        <c:tickLblPos val="nextTo"/>
        <c:crossAx val="208019227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b" anchorCtr="1"/>
        <a:lstStyle/>
        <a:p>
          <a:pPr>
            <a:defRPr sz="800" b="1"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legend>
    <c:plotVisOnly val="0"/>
    <c:dispBlanksAs val="gap"/>
    <c:showDLblsOverMax val="0"/>
  </c:chart>
  <c:spPr>
    <a:solidFill>
      <a:schemeClr val="bg1"/>
    </a:solidFill>
    <a:ln w="25400" cap="flat" cmpd="sng" algn="ctr">
      <a:solidFill>
        <a:srgbClr val="1F497D"/>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baseline="0">
              <a:solidFill>
                <a:schemeClr val="tx2"/>
              </a:solidFill>
              <a:latin typeface="Segoe UI" panose="020B0502040204020203" pitchFamily="34" charset="0"/>
              <a:ea typeface="+mn-ea"/>
              <a:cs typeface="Segoe UI" panose="020B0502040204020203" pitchFamily="34" charset="0"/>
            </a:defRPr>
          </a:pPr>
          <a:endParaRPr lang="en-US"/>
        </a:p>
      </c:txPr>
    </c:title>
    <c:autoTitleDeleted val="0"/>
    <c:plotArea>
      <c:layout/>
      <c:doughnutChart>
        <c:varyColors val="1"/>
        <c:ser>
          <c:idx val="0"/>
          <c:order val="0"/>
          <c:tx>
            <c:strRef>
              <c:f>'Rent Roll Breakdown'!$M$19:$N$19</c:f>
              <c:strCache>
                <c:ptCount val="1"/>
                <c:pt idx="0">
                  <c:v>User-Defined Rent Roll Breakdown</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1-3355-4B18-92CC-E156A37F3375}"/>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3-3355-4B18-92CC-E156A37F3375}"/>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5-3355-4B18-92CC-E156A37F3375}"/>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7-3355-4B18-92CC-E156A37F3375}"/>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9-3355-4B18-92CC-E156A37F3375}"/>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B-3355-4B18-92CC-E156A37F3375}"/>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D-3355-4B18-92CC-E156A37F3375}"/>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F-3355-4B18-92CC-E156A37F3375}"/>
              </c:ext>
            </c:extLst>
          </c:dPt>
          <c:dLbls>
            <c:dLbl>
              <c:idx val="0"/>
              <c:layout>
                <c:manualLayout>
                  <c:x val="0.14778325123152711"/>
                  <c:y val="-8.9414840130076015E-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3355-4B18-92CC-E156A37F3375}"/>
                </c:ext>
              </c:extLst>
            </c:dLbl>
            <c:dLbl>
              <c:idx val="1"/>
              <c:layout>
                <c:manualLayout>
                  <c:x val="0.15456774298561518"/>
                  <c:y val="9.9409448818897645E-3"/>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3-3355-4B18-92CC-E156A37F3375}"/>
                </c:ext>
              </c:extLst>
            </c:dLbl>
            <c:dLbl>
              <c:idx val="2"/>
              <c:layout>
                <c:manualLayout>
                  <c:x val="7.0534242812671552E-2"/>
                  <c:y val="0.10345905835844603"/>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5-3355-4B18-92CC-E156A37F3375}"/>
                </c:ext>
              </c:extLst>
            </c:dLbl>
            <c:dLbl>
              <c:idx val="3"/>
              <c:layout>
                <c:manualLayout>
                  <c:x val="-3.2139514537426416E-3"/>
                  <c:y val="0.1250761478889213"/>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7-3355-4B18-92CC-E156A37F3375}"/>
                </c:ext>
              </c:extLst>
            </c:dLbl>
            <c:dLbl>
              <c:idx val="4"/>
              <c:layout>
                <c:manualLayout>
                  <c:x val="-0.11153431402470043"/>
                  <c:y val="9.5600029163021294E-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9-3355-4B18-92CC-E156A37F3375}"/>
                </c:ext>
              </c:extLst>
            </c:dLbl>
            <c:dLbl>
              <c:idx val="5"/>
              <c:layout>
                <c:manualLayout>
                  <c:x val="-0.11025198885023096"/>
                  <c:y val="3.3871634101292986E-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B-3355-4B18-92CC-E156A37F3375}"/>
                </c:ext>
              </c:extLst>
            </c:dLbl>
            <c:dLbl>
              <c:idx val="6"/>
              <c:layout>
                <c:manualLayout>
                  <c:x val="-0.10671325967974933"/>
                  <c:y val="-6.583147014030663E-2"/>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D-3355-4B18-92CC-E156A37F3375}"/>
                </c:ext>
              </c:extLst>
            </c:dLbl>
            <c:dLbl>
              <c:idx val="7"/>
              <c:layout>
                <c:manualLayout>
                  <c:x val="-7.0534242812671732E-2"/>
                  <c:y val="-0.12484486892842099"/>
                </c:manualLayout>
              </c:layout>
              <c:showLegendKey val="0"/>
              <c:showVal val="0"/>
              <c:showCatName val="1"/>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F-3355-4B18-92CC-E156A37F3375}"/>
                </c:ext>
              </c:extLst>
            </c:dLbl>
            <c:spPr>
              <a:solidFill>
                <a:schemeClr val="lt1"/>
              </a:solid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1F497D"/>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1"/>
            <c:showBubbleSize val="0"/>
            <c:separator> </c:separator>
            <c:showLeaderLines val="0"/>
            <c:extLst>
              <c:ext xmlns:c15="http://schemas.microsoft.com/office/drawing/2012/chart" uri="{CE6537A1-D6FC-4f65-9D91-7224C49458BB}">
                <c15:spPr xmlns:c15="http://schemas.microsoft.com/office/drawing/2012/chart">
                  <a:prstGeom prst="rect">
                    <a:avLst/>
                  </a:prstGeom>
                  <a:noFill/>
                  <a:ln>
                    <a:noFill/>
                  </a:ln>
                </c15:spPr>
              </c:ext>
            </c:extLst>
          </c:dLbls>
          <c:cat>
            <c:multiLvlStrRef>
              <c:f>'Rent Roll Breakdown'!$M$22:$M$29</c:f>
            </c:multiLvlStrRef>
          </c:cat>
          <c:val>
            <c:numRef>
              <c:f>'Rent Roll Breakdown'!$O$22:$O$29</c:f>
            </c:numRef>
          </c:val>
          <c:extLst>
            <c:ext xmlns:c16="http://schemas.microsoft.com/office/drawing/2014/chart" uri="{C3380CC4-5D6E-409C-BE32-E72D297353CC}">
              <c16:uniqueId val="{00000010-3355-4B18-92CC-E156A37F3375}"/>
            </c:ext>
          </c:extLst>
        </c:ser>
        <c:dLbls>
          <c:showLegendKey val="0"/>
          <c:showVal val="0"/>
          <c:showCatName val="1"/>
          <c:showSerName val="0"/>
          <c:showPercent val="1"/>
          <c:showBubbleSize val="0"/>
          <c:showLeaderLines val="0"/>
        </c:dLbls>
        <c:firstSliceAng val="0"/>
        <c:holeSize val="65"/>
      </c:doughnutChart>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a:latin typeface="Segoe UI" panose="020B0502040204020203" pitchFamily="34" charset="0"/>
                <a:cs typeface="Segoe UI" panose="020B0502040204020203" pitchFamily="34" charset="0"/>
              </a:defRPr>
            </a:pPr>
            <a:r>
              <a:rPr lang="en-US" sz="1800">
                <a:solidFill>
                  <a:srgbClr val="1F497D"/>
                </a:solidFill>
                <a:latin typeface="Segoe UI" panose="020B0502040204020203" pitchFamily="34" charset="0"/>
                <a:cs typeface="Segoe UI" panose="020B0502040204020203" pitchFamily="34" charset="0"/>
              </a:rPr>
              <a:t>Lease Expiration Timeline</a:t>
            </a:r>
          </a:p>
        </c:rich>
      </c:tx>
      <c:overlay val="0"/>
      <c:spPr>
        <a:ln>
          <a:noFill/>
        </a:ln>
      </c:spPr>
    </c:title>
    <c:autoTitleDeleted val="0"/>
    <c:plotArea>
      <c:layout/>
      <c:barChart>
        <c:barDir val="col"/>
        <c:grouping val="clustered"/>
        <c:varyColors val="0"/>
        <c:ser>
          <c:idx val="0"/>
          <c:order val="0"/>
          <c:tx>
            <c:v>Existing Lease Expirations (Percent of NRA)</c:v>
          </c:tx>
          <c:spPr>
            <a:solidFill>
              <a:srgbClr val="1F497D"/>
            </a:solidFill>
            <a:ln>
              <a:noFill/>
            </a:ln>
            <a:effectLst/>
            <a:scene3d>
              <a:camera prst="orthographicFront"/>
              <a:lightRig rig="threePt" dir="t"/>
            </a:scene3d>
            <a:sp3d/>
          </c:spPr>
          <c:invertIfNegative val="0"/>
          <c:dLbls>
            <c:spPr>
              <a:noFill/>
              <a:ln>
                <a:noFill/>
              </a:ln>
              <a:effectLst>
                <a:softEdge rad="12700"/>
              </a:effectLst>
            </c:spPr>
            <c:txPr>
              <a:bodyPr wrap="square" lIns="38100" tIns="19050" rIns="38100" bIns="19050" anchor="ctr">
                <a:spAutoFit/>
              </a:bodyPr>
              <a:lstStyle/>
              <a:p>
                <a:pPr>
                  <a:defRPr sz="1000">
                    <a:solidFill>
                      <a:srgbClr val="1F497D"/>
                    </a:solidFill>
                    <a:latin typeface="Segoe UI" panose="020B0502040204020203" pitchFamily="34" charset="0"/>
                    <a:cs typeface="Segoe UI" panose="020B0502040204020203" pitchFamily="34" charset="0"/>
                  </a:defRPr>
                </a:pPr>
                <a:endParaRPr lang="en-US"/>
              </a:p>
            </c:txPr>
            <c:dLblPos val="outEnd"/>
            <c:showLegendKey val="0"/>
            <c:showVal val="1"/>
            <c:showCatName val="0"/>
            <c:showSerName val="0"/>
            <c:showPercent val="0"/>
            <c:showBubbleSize val="0"/>
            <c:separator>, </c:separator>
            <c:showLeaderLines val="0"/>
            <c:extLst>
              <c:ext xmlns:c15="http://schemas.microsoft.com/office/drawing/2012/chart" uri="{CE6537A1-D6FC-4f65-9D91-7224C49458BB}">
                <c15:showLeaderLines val="0"/>
              </c:ext>
            </c:extLst>
          </c:dLbls>
          <c:cat>
            <c:strRef>
              <c:f>'Lease Expiration'!$D$15:$D$30</c:f>
              <c:strCache>
                <c:ptCount val="6"/>
                <c:pt idx="0">
                  <c:v>1</c:v>
                </c:pt>
                <c:pt idx="1">
                  <c:v>2</c:v>
                </c:pt>
                <c:pt idx="2">
                  <c:v>3</c:v>
                </c:pt>
                <c:pt idx="3">
                  <c:v>4</c:v>
                </c:pt>
                <c:pt idx="4">
                  <c:v>5</c:v>
                </c:pt>
                <c:pt idx="5">
                  <c:v>Beyond</c:v>
                </c:pt>
              </c:strCache>
            </c:strRef>
          </c:cat>
          <c:val>
            <c:numRef>
              <c:f>'Lease Expiration'!$F$15:$F$30</c:f>
              <c:numCache>
                <c:formatCode>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7692-44C2-B575-57C2DC42CD6A}"/>
            </c:ext>
          </c:extLst>
        </c:ser>
        <c:dLbls>
          <c:showLegendKey val="0"/>
          <c:showVal val="1"/>
          <c:showCatName val="0"/>
          <c:showSerName val="0"/>
          <c:showPercent val="0"/>
          <c:showBubbleSize val="0"/>
        </c:dLbls>
        <c:gapWidth val="150"/>
        <c:overlap val="-25"/>
        <c:axId val="-29855552"/>
        <c:axId val="-29860992"/>
      </c:barChart>
      <c:catAx>
        <c:axId val="-29855552"/>
        <c:scaling>
          <c:orientation val="minMax"/>
        </c:scaling>
        <c:delete val="0"/>
        <c:axPos val="b"/>
        <c:title>
          <c:tx>
            <c:strRef>
              <c:f>'Lease Expiration'!$I$31</c:f>
              <c:strCache>
                <c:ptCount val="1"/>
                <c:pt idx="0">
                  <c:v>Weighted Avg. Rem. Lease Term (WALT) -  Years</c:v>
                </c:pt>
              </c:strCache>
            </c:strRef>
          </c:tx>
          <c:overlay val="0"/>
          <c:txPr>
            <a:bodyPr/>
            <a:lstStyle/>
            <a:p>
              <a:pPr>
                <a:defRPr>
                  <a:solidFill>
                    <a:srgbClr val="1F497D"/>
                  </a:solidFill>
                  <a:latin typeface="Segoe UI" panose="020B0502040204020203" pitchFamily="34" charset="0"/>
                  <a:cs typeface="Segoe UI" panose="020B0502040204020203" pitchFamily="34" charset="0"/>
                </a:defRPr>
              </a:pPr>
              <a:endParaRPr lang="en-US"/>
            </a:p>
          </c:txPr>
        </c:title>
        <c:numFmt formatCode="General" sourceLinked="1"/>
        <c:majorTickMark val="none"/>
        <c:minorTickMark val="none"/>
        <c:tickLblPos val="nextTo"/>
        <c:txPr>
          <a:bodyPr/>
          <a:lstStyle/>
          <a:p>
            <a:pPr>
              <a:defRPr sz="1000" b="1">
                <a:solidFill>
                  <a:srgbClr val="1F497D"/>
                </a:solidFill>
                <a:latin typeface="Segoe UI" panose="020B0502040204020203" pitchFamily="34" charset="0"/>
                <a:cs typeface="Segoe UI" panose="020B0502040204020203" pitchFamily="34" charset="0"/>
              </a:defRPr>
            </a:pPr>
            <a:endParaRPr lang="en-US"/>
          </a:p>
        </c:txPr>
        <c:crossAx val="-29860992"/>
        <c:crosses val="autoZero"/>
        <c:auto val="1"/>
        <c:lblAlgn val="ctr"/>
        <c:lblOffset val="100"/>
        <c:noMultiLvlLbl val="0"/>
      </c:catAx>
      <c:valAx>
        <c:axId val="-29860992"/>
        <c:scaling>
          <c:orientation val="minMax"/>
        </c:scaling>
        <c:delete val="1"/>
        <c:axPos val="l"/>
        <c:numFmt formatCode="0.0%" sourceLinked="1"/>
        <c:majorTickMark val="out"/>
        <c:minorTickMark val="none"/>
        <c:tickLblPos val="none"/>
        <c:crossAx val="-29855552"/>
        <c:crosses val="autoZero"/>
        <c:crossBetween val="between"/>
      </c:valAx>
    </c:plotArea>
    <c:legend>
      <c:legendPos val="t"/>
      <c:overlay val="0"/>
      <c:txPr>
        <a:bodyPr/>
        <a:lstStyle/>
        <a:p>
          <a:pPr>
            <a:defRPr sz="1000">
              <a:ln>
                <a:noFill/>
              </a:ln>
              <a:solidFill>
                <a:srgbClr val="1F497D"/>
              </a:solidFill>
              <a:latin typeface="Segoe UI" panose="020B0502040204020203" pitchFamily="34" charset="0"/>
              <a:cs typeface="Segoe UI" panose="020B0502040204020203" pitchFamily="34" charset="0"/>
            </a:defRPr>
          </a:pPr>
          <a:endParaRPr lang="en-US"/>
        </a:p>
      </c:txPr>
    </c:legend>
    <c:plotVisOnly val="1"/>
    <c:dispBlanksAs val="gap"/>
    <c:showDLblsOverMax val="0"/>
  </c:chart>
  <c:spPr>
    <a:ln w="28575">
      <a:solidFill>
        <a:srgbClr val="1F497D"/>
      </a:solidFill>
    </a:ln>
    <a:effectLst/>
  </c:spPr>
  <c:printSettings>
    <c:headerFooter/>
    <c:pageMargins b="0.75000000000001465" l="0.70000000000000062" r="0.70000000000000062" t="0.75000000000001465" header="0.30000000000000032" footer="0.30000000000000032"/>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Spin" dx="22" fmlaLink="$F$7" max="40" min="2" page="10" val="3"/>
</file>

<file path=xl/ctrlProps/ctrlProp2.xml><?xml version="1.0" encoding="utf-8"?>
<formControlPr xmlns="http://schemas.microsoft.com/office/spreadsheetml/2009/9/main" objectType="Drop" dropLines="15" dropStyle="combo" dx="22" fmlaLink="'Selection Tables'!$B$40" fmlaRange="'Selection Tables'!$C$41:$C$63" sel="2" val="0"/>
</file>

<file path=xl/ctrlProps/ctrlProp3.xml><?xml version="1.0" encoding="utf-8"?>
<formControlPr xmlns="http://schemas.microsoft.com/office/spreadsheetml/2009/9/main" objectType="Drop" dropLines="15" dropStyle="combo" dx="22" fmlaLink="'Selection Tables'!$B$66" fmlaRange="'Selection Tables'!$C$67:$C$89" sel="14" val="8"/>
</file>

<file path=xl/ctrlProps/ctrlProp4.xml><?xml version="1.0" encoding="utf-8"?>
<formControlPr xmlns="http://schemas.microsoft.com/office/spreadsheetml/2009/9/main" objectType="Drop" dropLines="15" dropStyle="combo" dx="22" fmlaLink="'Selection Tables'!$B$92" fmlaRange="'Selection Tables'!$C$93:$C$115" sel="7" val="6"/>
</file>

<file path=xl/ctrlProps/ctrlProp5.xml><?xml version="1.0" encoding="utf-8"?>
<formControlPr xmlns="http://schemas.microsoft.com/office/spreadsheetml/2009/9/main" objectType="Drop" dropLines="15" dropStyle="combo" dx="22" fmlaLink="'Selection Tables'!$B$118" fmlaRange="'Selection Tables'!$C$119:$C$141" sel="3" val="2"/>
</file>

<file path=xl/ctrlProps/ctrlProp6.xml><?xml version="1.0" encoding="utf-8"?>
<formControlPr xmlns="http://schemas.microsoft.com/office/spreadsheetml/2009/9/main" objectType="Drop" dropLines="15" dropStyle="combo" dx="22" fmlaLink="'Selection Tables'!$B$144" fmlaRange="'Selection Tables'!$C$145:$C$153" sel="7" val="0"/>
</file>

<file path=xl/ctrlProps/ctrlProp7.xml><?xml version="1.0" encoding="utf-8"?>
<formControlPr xmlns="http://schemas.microsoft.com/office/spreadsheetml/2009/9/main" objectType="Spin" dx="22" fmlaLink="$M$3" max="40" min="2" page="10" val="15"/>
</file>

<file path=xl/ctrlProps/ctrlProp8.xml><?xml version="1.0" encoding="utf-8"?>
<formControlPr xmlns="http://schemas.microsoft.com/office/spreadsheetml/2009/9/main" objectType="Spin" dx="22" fmlaLink="$E$22" max="40" min="2" page="10" val="15"/>
</file>

<file path=xl/ctrlProps/ctrlProp9.xml><?xml version="1.0" encoding="utf-8"?>
<formControlPr xmlns="http://schemas.microsoft.com/office/spreadsheetml/2009/9/main" objectType="Spin" dx="22" fmlaLink="$E$48" max="40" min="2" page="10" val="15"/>
</file>

<file path=xl/ctrlProps/ctrlProp10.xml><?xml version="1.0" encoding="utf-8"?>
<formControlPr xmlns="http://schemas.microsoft.com/office/spreadsheetml/2009/9/main" objectType="Spin" dx="22" fmlaLink="$A$6" max="40" min="2" page="10" val="3"/>
</file>

<file path=xl/ctrlProps/ctrlProp11.xml><?xml version="1.0" encoding="utf-8"?>
<formControlPr xmlns="http://schemas.microsoft.com/office/spreadsheetml/2009/9/main" objectType="CheckBox" fmlaLink="$D$4" lockText="1"/>
</file>

<file path=xl/ctrlProps/ctrlProp12.xml><?xml version="1.0" encoding="utf-8"?>
<formControlPr xmlns="http://schemas.microsoft.com/office/spreadsheetml/2009/9/main" objectType="CheckBox" fmlaLink="$E$4" lockText="1"/>
</file>

<file path=xl/ctrlProps/ctrlProp13.xml><?xml version="1.0" encoding="utf-8"?>
<formControlPr xmlns="http://schemas.microsoft.com/office/spreadsheetml/2009/9/main" objectType="CheckBox" fmlaLink="$F$4" lockText="1"/>
</file>

<file path=xl/ctrlProps/ctrlProp14.xml><?xml version="1.0" encoding="utf-8"?>
<formControlPr xmlns="http://schemas.microsoft.com/office/spreadsheetml/2009/9/main" objectType="CheckBox" fmlaLink="$G$4" lockText="1"/>
</file>

<file path=xl/ctrlProps/ctrlProp15.xml><?xml version="1.0" encoding="utf-8"?>
<formControlPr xmlns="http://schemas.microsoft.com/office/spreadsheetml/2009/9/main" objectType="CheckBox" fmlaLink="$H$4" lockText="1"/>
</file>

<file path=xl/drawings/_rels/drawing3.xml.rels><?xml version="1.0" encoding="UTF-8" standalone="yes"?>
<Relationships xmlns="http://schemas.openxmlformats.org/package/2006/relationships"><Relationship Id="rId1" Type="http://schemas.openxmlformats.org/officeDocument/2006/relationships/hyperlink" Target="https://intranet.valbridge.com/user-guide-article/49/132/summary-of-salient-facts"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intranet.valbridge.com/user-guide-article/49/133/value-indications"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image" Target="../media/image6.0777426077728"/></Relationships>
</file>

<file path=xl/drawings/_rels/drawing10.xml.rels><?xml version="1.0" encoding="UTF-8" standalone="yes"?>
<Relationships xmlns="http://schemas.openxmlformats.org/package/2006/relationships"><Relationship Id="rId1" Type="http://schemas.openxmlformats.org/officeDocument/2006/relationships/hyperlink" Target="https://intranet.valbridge.com/user-guide-article/49/136/building-area-breakdown" TargetMode="External"/></Relationships>
</file>

<file path=xl/drawings/_rels/drawing11.xml.rels><?xml version="1.0" encoding="UTF-8" standalone="yes"?>
<Relationships xmlns="http://schemas.openxmlformats.org/package/2006/relationships"><Relationship Id="rId1" Type="http://schemas.openxmlformats.org/officeDocument/2006/relationships/hyperlink" Target="https://intranet.valbridge.com/user-guide-article/49/137/subject-tax" TargetMode="External"/></Relationships>
</file>

<file path=xl/drawings/_rels/drawing12.xml.rels><?xml version="1.0" encoding="UTF-8" standalone="yes"?>
<Relationships xmlns="http://schemas.openxmlformats.org/package/2006/relationships"><Relationship Id="rId1" Type="http://schemas.openxmlformats.org/officeDocument/2006/relationships/hyperlink" Target="https://intranet.valbridge.com/user-guide-article/49/138/tax-comps" TargetMode="External"/></Relationships>
</file>

<file path=xl/drawings/_rels/drawing13.xml.rels><?xml version="1.0" encoding="UTF-8" standalone="yes"?>
<Relationships xmlns="http://schemas.openxmlformats.org/package/2006/relationships"><Relationship Id="rId1" Type="http://schemas.openxmlformats.org/officeDocument/2006/relationships/hyperlink" Target="https://intranet.valbridge.com/user-guide-article/49/139/market-study" TargetMode="External"/></Relationships>
</file>

<file path=xl/drawings/_rels/drawing14.xml.rels><?xml version="1.0" encoding="UTF-8" standalone="yes"?>
<Relationships xmlns="http://schemas.openxmlformats.org/package/2006/relationships"><Relationship Id="rId3" Type="http://schemas.openxmlformats.org/officeDocument/2006/relationships/chart" Target="../charts/chart4.xml"/><Relationship Id="rId7" Type="http://schemas.openxmlformats.org/officeDocument/2006/relationships/image" Target="../media/image7.png"/><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15.xml.rels><?xml version="1.0" encoding="UTF-8" standalone="yes"?>
<Relationships xmlns="http://schemas.openxmlformats.org/package/2006/relationships"><Relationship Id="rId1" Type="http://schemas.openxmlformats.org/officeDocument/2006/relationships/hyperlink" Target="https://intranet.valbridge.com/user-guide-article/50/142/summary-light" TargetMode="External"/></Relationships>
</file>

<file path=xl/drawings/_rels/drawing16.xml.rels><?xml version="1.0" encoding="UTF-8" standalone="yes"?>
<Relationships xmlns="http://schemas.openxmlformats.org/package/2006/relationships"><Relationship Id="rId1" Type="http://schemas.openxmlformats.org/officeDocument/2006/relationships/hyperlink" Target="https://intranet.valbridge.com/user-guide-article/50/143/summary-detailed" TargetMode="External"/></Relationships>
</file>

<file path=xl/drawings/_rels/drawing17.xml.rels><?xml version="1.0" encoding="UTF-8" standalone="yes"?>
<Relationships xmlns="http://schemas.openxmlformats.org/package/2006/relationships"><Relationship Id="rId1" Type="http://schemas.openxmlformats.org/officeDocument/2006/relationships/hyperlink" Target="https://intranet.valbridge.com/user-guide-article/50/144/land-sales-adjustment-grid" TargetMode="External"/></Relationships>
</file>

<file path=xl/drawings/_rels/drawing18.xml.rels><?xml version="1.0" encoding="UTF-8" standalone="yes"?>
<Relationships xmlns="http://schemas.openxmlformats.org/package/2006/relationships"><Relationship Id="rId1" Type="http://schemas.openxmlformats.org/officeDocument/2006/relationships/hyperlink" Target="https://intranet.valbridge.com/user-guide-article/51/145/building-rcn" TargetMode="External"/></Relationships>
</file>

<file path=xl/drawings/_rels/drawing21.xml.rels><?xml version="1.0" encoding="UTF-8" standalone="yes"?>
<Relationships xmlns="http://schemas.openxmlformats.org/package/2006/relationships"><Relationship Id="rId1" Type="http://schemas.openxmlformats.org/officeDocument/2006/relationships/hyperlink" Target="https://intranet.valbridge.com/user-guide-article/51/147/depreciation-calculations" TargetMode="External"/></Relationships>
</file>

<file path=xl/drawings/_rels/drawing22.xml.rels><?xml version="1.0" encoding="UTF-8" standalone="yes"?>
<Relationships xmlns="http://schemas.openxmlformats.org/package/2006/relationships"><Relationship Id="rId1" Type="http://schemas.openxmlformats.org/officeDocument/2006/relationships/hyperlink" Target="https://intranet.valbridge.com/user-guide-article/51/147/depreciation-calculations" TargetMode="External"/></Relationships>
</file>

<file path=xl/drawings/_rels/drawing23.xml.rels><?xml version="1.0" encoding="UTF-8" standalone="yes"?>
<Relationships xmlns="http://schemas.openxmlformats.org/package/2006/relationships"><Relationship Id="rId1" Type="http://schemas.openxmlformats.org/officeDocument/2006/relationships/hyperlink" Target="https://intranet.valbridge.com/user-guide-article/51/148/cost-approach-table" TargetMode="External"/></Relationships>
</file>

<file path=xl/drawings/_rels/drawing25.xml.rels><?xml version="1.0" encoding="UTF-8" standalone="yes"?>
<Relationships xmlns="http://schemas.openxmlformats.org/package/2006/relationships"><Relationship Id="rId1" Type="http://schemas.openxmlformats.org/officeDocument/2006/relationships/hyperlink" Target="https://intranet.valbridge.com/user-guide-article/50/144/land-sales-adjustment-grid" TargetMode="External"/></Relationships>
</file>

<file path=xl/drawings/_rels/drawing27.xml.rels><?xml version="1.0" encoding="UTF-8" standalone="yes"?>
<Relationships xmlns="http://schemas.openxmlformats.org/package/2006/relationships"><Relationship Id="rId1" Type="http://schemas.openxmlformats.org/officeDocument/2006/relationships/hyperlink" Target="https://intranet.valbridge.com/user-guide-article/52/150/summary-light" TargetMode="External"/></Relationships>
</file>

<file path=xl/drawings/_rels/drawing28.xml.rels><?xml version="1.0" encoding="UTF-8" standalone="yes"?>
<Relationships xmlns="http://schemas.openxmlformats.org/package/2006/relationships"><Relationship Id="rId1" Type="http://schemas.openxmlformats.org/officeDocument/2006/relationships/hyperlink" Target="https://intranet.valbridge.com/user-guide-article/52/151/summary-detailed" TargetMode="External"/></Relationships>
</file>

<file path=xl/drawings/_rels/drawing31.xml.rels><?xml version="1.0" encoding="UTF-8" standalone="yes"?>
<Relationships xmlns="http://schemas.openxmlformats.org/package/2006/relationships"><Relationship Id="rId1" Type="http://schemas.openxmlformats.org/officeDocument/2006/relationships/hyperlink" Target="https://intranet.valbridge.com/user-guide-article/52/152/improved-sca-adjustment-grid" TargetMode="External"/></Relationships>
</file>

<file path=xl/drawings/_rels/drawing38.xml.rels><?xml version="1.0" encoding="UTF-8" standalone="yes"?>
<Relationships xmlns="http://schemas.openxmlformats.org/package/2006/relationships"><Relationship Id="rId1" Type="http://schemas.openxmlformats.org/officeDocument/2006/relationships/hyperlink" Target="https://intranet.valbridge.com/user-guide-category/53/egim-analysis" TargetMode="External"/></Relationships>
</file>

<file path=xl/drawings/_rels/drawing39.xml.rels><?xml version="1.0" encoding="UTF-8" standalone="yes"?>
<Relationships xmlns="http://schemas.openxmlformats.org/package/2006/relationships"><Relationship Id="rId1" Type="http://schemas.openxmlformats.org/officeDocument/2006/relationships/hyperlink" Target="https://intranet.valbridge.com/user-guide-article/54/154/leaseup-discount" TargetMode="External"/></Relationships>
</file>

<file path=xl/drawings/_rels/drawing40.xml.rels><?xml version="1.0" encoding="UTF-8" standalone="yes"?>
<Relationships xmlns="http://schemas.openxmlformats.org/package/2006/relationships"><Relationship Id="rId1" Type="http://schemas.openxmlformats.org/officeDocument/2006/relationships/hyperlink" Target="https://intranet.valbridge.com/user-guide-article/54/154/leaseup-discount" TargetMode="External"/></Relationships>
</file>

<file path=xl/drawings/_rels/drawing41.xml.rels><?xml version="1.0" encoding="UTF-8" standalone="yes"?>
<Relationships xmlns="http://schemas.openxmlformats.org/package/2006/relationships"><Relationship Id="rId2" Type="http://schemas.openxmlformats.org/officeDocument/2006/relationships/image" Target="file:///F:\WINARGUS\ARLOGO1.SF" TargetMode="External"/><Relationship Id="rId1" Type="http://schemas.openxmlformats.org/officeDocument/2006/relationships/image" Target="../media/image8.png"/></Relationships>
</file>

<file path=xl/drawings/_rels/drawing43.xml.rels><?xml version="1.0" encoding="UTF-8" standalone="yes"?>
<Relationships xmlns="http://schemas.openxmlformats.org/package/2006/relationships"><Relationship Id="rId1" Type="http://schemas.openxmlformats.org/officeDocument/2006/relationships/hyperlink" Target="https://intranet.valbridge.com/user-guide-article/54/155/summary-light" TargetMode="External"/></Relationships>
</file>

<file path=xl/drawings/_rels/drawing44.xml.rels><?xml version="1.0" encoding="UTF-8" standalone="yes"?>
<Relationships xmlns="http://schemas.openxmlformats.org/package/2006/relationships"><Relationship Id="rId1" Type="http://schemas.openxmlformats.org/officeDocument/2006/relationships/hyperlink" Target="https://intranet.valbridge.com/user-guide-article/54/156/summary-detailed" TargetMode="External"/></Relationships>
</file>

<file path=xl/drawings/_rels/drawing46.xml.rels><?xml version="1.0" encoding="UTF-8" standalone="yes"?>
<Relationships xmlns="http://schemas.openxmlformats.org/package/2006/relationships"><Relationship Id="rId1" Type="http://schemas.openxmlformats.org/officeDocument/2006/relationships/hyperlink" Target="https://intranet.valbridge.com/user-guide-article/54/163/rent-comparable-adjustment-grid" TargetMode="External"/></Relationships>
</file>

<file path=xl/drawings/_rels/drawing47.xml.rels><?xml version="1.0" encoding="UTF-8" standalone="yes"?>
<Relationships xmlns="http://schemas.openxmlformats.org/package/2006/relationships"><Relationship Id="rId1" Type="http://schemas.openxmlformats.org/officeDocument/2006/relationships/hyperlink" Target="https://intranet.valbridge.com/user-guide-article/54/163/rent-comparable-adjustment-grid" TargetMode="External"/></Relationships>
</file>

<file path=xl/drawings/_rels/drawing48.xml.rels><?xml version="1.0" encoding="UTF-8" standalone="yes"?>
<Relationships xmlns="http://schemas.openxmlformats.org/package/2006/relationships"><Relationship Id="rId1" Type="http://schemas.openxmlformats.org/officeDocument/2006/relationships/hyperlink" Target="https://intranet.valbridge.com/user-guide-article/54/163/rent-comparable-adjustment-grid" TargetMode="External"/></Relationships>
</file>

<file path=xl/drawings/_rels/drawing49.xml.rels><?xml version="1.0" encoding="UTF-8" standalone="yes"?>
<Relationships xmlns="http://schemas.openxmlformats.org/package/2006/relationships"><Relationship Id="rId1" Type="http://schemas.openxmlformats.org/officeDocument/2006/relationships/hyperlink" Target="https://intranet.valbridge.com/user-guide-article/54/173/rent-roll" TargetMode="External"/></Relationships>
</file>

<file path=xl/drawings/_rels/drawing50.xml.rels><?xml version="1.0" encoding="UTF-8" standalone="yes"?>
<Relationships xmlns="http://schemas.openxmlformats.org/package/2006/relationships"><Relationship Id="rId1" Type="http://schemas.openxmlformats.org/officeDocument/2006/relationships/hyperlink" Target="https://intranet.valbridge.com/user-guide-article/54/173/rent-roll" TargetMode="External"/></Relationships>
</file>

<file path=xl/drawings/_rels/drawing51.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hyperlink" Target="https://intranet.valbridge.com/user-guide-article/54/157/supporting-schedules" TargetMode="External"/></Relationships>
</file>

<file path=xl/drawings/_rels/drawing52.xml.rels><?xml version="1.0" encoding="UTF-8" standalone="yes"?>
<Relationships xmlns="http://schemas.openxmlformats.org/package/2006/relationships"><Relationship Id="rId2" Type="http://schemas.openxmlformats.org/officeDocument/2006/relationships/hyperlink" Target="https://intranet.valbridge.com/user-guide-article/54/157/supporting-schedules" TargetMode="External"/><Relationship Id="rId1" Type="http://schemas.openxmlformats.org/officeDocument/2006/relationships/chart" Target="../charts/chart9.xml"/></Relationships>
</file>

<file path=xl/drawings/_rels/drawing53.xml.rels><?xml version="1.0" encoding="UTF-8" standalone="yes"?>
<Relationships xmlns="http://schemas.openxmlformats.org/package/2006/relationships"><Relationship Id="rId1" Type="http://schemas.openxmlformats.org/officeDocument/2006/relationships/hyperlink" Target="https://intranet.valbridge.com/user-guide-article/54/157/supporting-schedules" TargetMode="External"/></Relationships>
</file>

<file path=xl/drawings/_rels/drawing54.xml.rels><?xml version="1.0" encoding="UTF-8" standalone="yes"?>
<Relationships xmlns="http://schemas.openxmlformats.org/package/2006/relationships"><Relationship Id="rId1" Type="http://schemas.openxmlformats.org/officeDocument/2006/relationships/hyperlink" Target="https://intranet.valbridge.com/user-guide-article/54/176/expense-input-method" TargetMode="External"/></Relationships>
</file>

<file path=xl/drawings/_rels/drawing55.xml.rels><?xml version="1.0" encoding="UTF-8" standalone="yes"?>
<Relationships xmlns="http://schemas.openxmlformats.org/package/2006/relationships"><Relationship Id="rId1" Type="http://schemas.openxmlformats.org/officeDocument/2006/relationships/hyperlink" Target="https://intranet.valbridge.com/user-guide-article/54/176/expense-input-method" TargetMode="External"/></Relationships>
</file>

<file path=xl/drawings/_rels/drawing56.xml.rels><?xml version="1.0" encoding="UTF-8" standalone="yes"?>
<Relationships xmlns="http://schemas.openxmlformats.org/package/2006/relationships"><Relationship Id="rId1" Type="http://schemas.openxmlformats.org/officeDocument/2006/relationships/hyperlink" Target="https://intranet.valbridge.com/user-guide-article/54/176/expense-input-method" TargetMode="External"/></Relationships>
</file>

<file path=xl/drawings/_rels/drawing57.xml.rels><?xml version="1.0" encoding="UTF-8" standalone="yes"?>
<Relationships xmlns="http://schemas.openxmlformats.org/package/2006/relationships"><Relationship Id="rId1" Type="http://schemas.openxmlformats.org/officeDocument/2006/relationships/hyperlink" Target="https://intranet.valbridge.com/user-guide-article/54/176/expense-input-method" TargetMode="External"/></Relationships>
</file>

<file path=xl/drawings/_rels/drawing58.xml.rels><?xml version="1.0" encoding="UTF-8" standalone="yes"?>
<Relationships xmlns="http://schemas.openxmlformats.org/package/2006/relationships"><Relationship Id="rId1" Type="http://schemas.openxmlformats.org/officeDocument/2006/relationships/hyperlink" Target="https://intranet.valbridge.com/user-guide-article/54/168/market-oar" TargetMode="External"/></Relationships>
</file>

<file path=xl/drawings/_rels/drawing59.xml.rels><?xml version="1.0" encoding="UTF-8" standalone="yes"?>
<Relationships xmlns="http://schemas.openxmlformats.org/package/2006/relationships"><Relationship Id="rId1" Type="http://schemas.openxmlformats.org/officeDocument/2006/relationships/hyperlink" Target="https://intranet.valbridge.com/user-guide-article/54/169/band-of-investment-investor-surveys" TargetMode="External"/></Relationships>
</file>

<file path=xl/drawings/_rels/drawing61.xml.rels><?xml version="1.0" encoding="UTF-8" standalone="yes"?>
<Relationships xmlns="http://schemas.openxmlformats.org/package/2006/relationships"><Relationship Id="rId1" Type="http://schemas.openxmlformats.org/officeDocument/2006/relationships/hyperlink" Target="https://intranet.valbridge.com/user-guide-article/54/170/direct-capitalization-schedule" TargetMode="External"/></Relationships>
</file>

<file path=xl/drawings/_rels/drawing62.xml.rels><?xml version="1.0" encoding="UTF-8" standalone="yes"?>
<Relationships xmlns="http://schemas.openxmlformats.org/package/2006/relationships"><Relationship Id="rId3" Type="http://schemas.openxmlformats.org/officeDocument/2006/relationships/hyperlink" Target="https://intranet.valbridge.com/user-guide-article/54/171/discounted-cash-flow" TargetMode="External"/><Relationship Id="rId2" Type="http://schemas.openxmlformats.org/officeDocument/2006/relationships/image" Target="file:///F:\WINARGUS\ARLOGO1.SF" TargetMode="External"/><Relationship Id="rId1" Type="http://schemas.openxmlformats.org/officeDocument/2006/relationships/image" Target="../media/image8.png"/></Relationships>
</file>

<file path=xl/drawings/_rels/drawing63.xml.rels><?xml version="1.0" encoding="UTF-8" standalone="yes"?>
<Relationships xmlns="http://schemas.openxmlformats.org/package/2006/relationships"><Relationship Id="rId3" Type="http://schemas.openxmlformats.org/officeDocument/2006/relationships/hyperlink" Target="https://intranet.valbridge.com/user-guide-article/54/171/discounted-cash-flow" TargetMode="External"/><Relationship Id="rId2" Type="http://schemas.openxmlformats.org/officeDocument/2006/relationships/image" Target="file:///F:\WINARGUS\ARLOGO1.SF" TargetMode="External"/><Relationship Id="rId1" Type="http://schemas.openxmlformats.org/officeDocument/2006/relationships/image" Target="../media/image8.png"/></Relationships>
</file>

<file path=xl/drawings/_rels/drawing64.xml.rels><?xml version="1.0" encoding="UTF-8" standalone="yes"?>
<Relationships xmlns="http://schemas.openxmlformats.org/package/2006/relationships"><Relationship Id="rId3" Type="http://schemas.openxmlformats.org/officeDocument/2006/relationships/hyperlink" Target="https://intranet.valbridge.com/user-guide-article/54/171/discounted-cash-flow" TargetMode="External"/><Relationship Id="rId2" Type="http://schemas.openxmlformats.org/officeDocument/2006/relationships/image" Target="file:///F:\WINARGUS\ARLOGO1.SF" TargetMode="External"/><Relationship Id="rId1" Type="http://schemas.openxmlformats.org/officeDocument/2006/relationships/image" Target="../media/image8.png"/></Relationships>
</file>

<file path=xl/drawings/_rels/drawing71.xml.rels><?xml version="1.0" encoding="UTF-8" standalone="yes"?>
<Relationships xmlns="http://schemas.openxmlformats.org/package/2006/relationships"><Relationship Id="rId3" Type="http://schemas.openxmlformats.org/officeDocument/2006/relationships/hyperlink" Target="https://intranet.valbridge.com/user-guide-article/54/171/discounted-cash-flow" TargetMode="External"/><Relationship Id="rId2" Type="http://schemas.openxmlformats.org/officeDocument/2006/relationships/image" Target="file:///F:\WINARGUS\ARLOGO1.SF" TargetMode="External"/><Relationship Id="rId1" Type="http://schemas.openxmlformats.org/officeDocument/2006/relationships/image" Target="../media/image8.png"/></Relationships>
</file>

<file path=xl/drawings/_rels/drawing74.xml.rels><?xml version="1.0" encoding="UTF-8" standalone="yes"?>
<Relationships xmlns="http://schemas.openxmlformats.org/package/2006/relationships"><Relationship Id="rId1" Type="http://schemas.openxmlformats.org/officeDocument/2006/relationships/hyperlink" Target="https://intranet.valbridge.com/user-guide-article/49/133/value-indications" TargetMode="External"/></Relationships>
</file>

<file path=xl/drawings/_rels/vmlDrawing5.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5</xdr:col>
      <xdr:colOff>43381</xdr:colOff>
      <xdr:row>5</xdr:row>
      <xdr:rowOff>30691</xdr:rowOff>
    </xdr:from>
    <xdr:to>
      <xdr:col>5</xdr:col>
      <xdr:colOff>1085797</xdr:colOff>
      <xdr:row>6</xdr:row>
      <xdr:rowOff>169968</xdr:rowOff>
    </xdr:to>
    <xdr:sp macro="[0]!GoTo_LandSummaryLight_Table" textlink="">
      <xdr:nvSpPr>
        <xdr:cNvPr id="179" name="Main Menu - Land 1">
          <a:extLst>
            <a:ext uri="{FF2B5EF4-FFF2-40B4-BE49-F238E27FC236}">
              <a16:creationId xmlns:a16="http://schemas.microsoft.com/office/drawing/2014/main" id="{00000000-0008-0000-0000-0000B3000000}"/>
            </a:ext>
          </a:extLst>
        </xdr:cNvPr>
        <xdr:cNvSpPr>
          <a:spLocks noChangeAspect="1"/>
        </xdr:cNvSpPr>
      </xdr:nvSpPr>
      <xdr:spPr>
        <a:xfrm>
          <a:off x="5557298" y="1321858"/>
          <a:ext cx="1042416" cy="59436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Summary - Light</a:t>
          </a:r>
        </a:p>
      </xdr:txBody>
    </xdr:sp>
    <xdr:clientData/>
  </xdr:twoCellAnchor>
  <xdr:twoCellAnchor editAs="absolute">
    <xdr:from>
      <xdr:col>5</xdr:col>
      <xdr:colOff>1112297</xdr:colOff>
      <xdr:row>5</xdr:row>
      <xdr:rowOff>30690</xdr:rowOff>
    </xdr:from>
    <xdr:to>
      <xdr:col>5</xdr:col>
      <xdr:colOff>2154713</xdr:colOff>
      <xdr:row>6</xdr:row>
      <xdr:rowOff>169967</xdr:rowOff>
    </xdr:to>
    <xdr:sp macro="[0]!GoTo_LandSummaryDetail_Table" textlink="">
      <xdr:nvSpPr>
        <xdr:cNvPr id="180" name="Main Menu - Land 2">
          <a:extLst>
            <a:ext uri="{FF2B5EF4-FFF2-40B4-BE49-F238E27FC236}">
              <a16:creationId xmlns:a16="http://schemas.microsoft.com/office/drawing/2014/main" id="{00000000-0008-0000-0000-0000B4000000}"/>
            </a:ext>
          </a:extLst>
        </xdr:cNvPr>
        <xdr:cNvSpPr>
          <a:spLocks noChangeAspect="1"/>
        </xdr:cNvSpPr>
      </xdr:nvSpPr>
      <xdr:spPr>
        <a:xfrm>
          <a:off x="6626214" y="1321857"/>
          <a:ext cx="1042416" cy="59436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Summary - Detailed</a:t>
          </a:r>
        </a:p>
      </xdr:txBody>
    </xdr:sp>
    <xdr:clientData/>
  </xdr:twoCellAnchor>
  <xdr:twoCellAnchor editAs="absolute">
    <xdr:from>
      <xdr:col>5</xdr:col>
      <xdr:colOff>43379</xdr:colOff>
      <xdr:row>6</xdr:row>
      <xdr:rowOff>231776</xdr:rowOff>
    </xdr:from>
    <xdr:to>
      <xdr:col>5</xdr:col>
      <xdr:colOff>2156024</xdr:colOff>
      <xdr:row>7</xdr:row>
      <xdr:rowOff>371053</xdr:rowOff>
    </xdr:to>
    <xdr:sp macro="[0]!GoTo_LandAdjustment_Grid" textlink="">
      <xdr:nvSpPr>
        <xdr:cNvPr id="181" name="Main Menu - Land 3">
          <a:extLst>
            <a:ext uri="{FF2B5EF4-FFF2-40B4-BE49-F238E27FC236}">
              <a16:creationId xmlns:a16="http://schemas.microsoft.com/office/drawing/2014/main" id="{00000000-0008-0000-0000-0000B5000000}"/>
            </a:ext>
          </a:extLst>
        </xdr:cNvPr>
        <xdr:cNvSpPr>
          <a:spLocks noChangeAspect="1"/>
        </xdr:cNvSpPr>
      </xdr:nvSpPr>
      <xdr:spPr>
        <a:xfrm>
          <a:off x="5557296" y="1978026"/>
          <a:ext cx="2112645" cy="59436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Land Sales Adjustment</a:t>
          </a:r>
          <a:r>
            <a:rPr lang="en-US" sz="1200" b="1" baseline="0">
              <a:latin typeface="Segoe UI" panose="020B0502040204020203" pitchFamily="34" charset="0"/>
              <a:cs typeface="Segoe UI" panose="020B0502040204020203" pitchFamily="34" charset="0"/>
            </a:rPr>
            <a:t> Grid</a:t>
          </a:r>
          <a:endParaRPr lang="en-US" sz="1200" b="1">
            <a:latin typeface="Segoe UI" panose="020B0502040204020203" pitchFamily="34" charset="0"/>
            <a:cs typeface="Segoe UI" panose="020B0502040204020203" pitchFamily="34" charset="0"/>
          </a:endParaRPr>
        </a:p>
      </xdr:txBody>
    </xdr:sp>
    <xdr:clientData/>
  </xdr:twoCellAnchor>
  <xdr:twoCellAnchor>
    <xdr:from>
      <xdr:col>9</xdr:col>
      <xdr:colOff>43375</xdr:colOff>
      <xdr:row>13</xdr:row>
      <xdr:rowOff>222940</xdr:rowOff>
    </xdr:from>
    <xdr:to>
      <xdr:col>9</xdr:col>
      <xdr:colOff>2173927</xdr:colOff>
      <xdr:row>16</xdr:row>
      <xdr:rowOff>41921</xdr:rowOff>
    </xdr:to>
    <xdr:grpSp>
      <xdr:nvGrpSpPr>
        <xdr:cNvPr id="4" name="Main Menu - Income 2">
          <a:extLst>
            <a:ext uri="{FF2B5EF4-FFF2-40B4-BE49-F238E27FC236}">
              <a16:creationId xmlns:a16="http://schemas.microsoft.com/office/drawing/2014/main" id="{00000000-0008-0000-0000-000004000000}"/>
            </a:ext>
          </a:extLst>
        </xdr:cNvPr>
        <xdr:cNvGrpSpPr/>
      </xdr:nvGrpSpPr>
      <xdr:grpSpPr>
        <a:xfrm>
          <a:off x="10682800" y="5185465"/>
          <a:ext cx="2130552" cy="1190581"/>
          <a:chOff x="10662688" y="4738849"/>
          <a:chExt cx="2130552" cy="1190581"/>
        </a:xfrm>
      </xdr:grpSpPr>
      <xdr:sp macro="[0]!GoTo_IncomeRentRollTable" textlink="">
        <xdr:nvSpPr>
          <xdr:cNvPr id="210" name="Main Menu - Income 2 - A">
            <a:extLst>
              <a:ext uri="{FF2B5EF4-FFF2-40B4-BE49-F238E27FC236}">
                <a16:creationId xmlns:a16="http://schemas.microsoft.com/office/drawing/2014/main" id="{00000000-0008-0000-0000-0000D2000000}"/>
              </a:ext>
            </a:extLst>
          </xdr:cNvPr>
          <xdr:cNvSpPr>
            <a:spLocks noChangeAspect="1"/>
          </xdr:cNvSpPr>
        </xdr:nvSpPr>
        <xdr:spPr>
          <a:xfrm>
            <a:off x="10662689" y="4738849"/>
            <a:ext cx="2107892" cy="551309"/>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Roll - Report</a:t>
            </a:r>
          </a:p>
        </xdr:txBody>
      </xdr:sp>
      <xdr:sp macro="[0]!GoTo_IncomeRentRoll_DatappraiseMerge" textlink="">
        <xdr:nvSpPr>
          <xdr:cNvPr id="211" name="Main Menu - Income 2 - B">
            <a:extLst>
              <a:ext uri="{FF2B5EF4-FFF2-40B4-BE49-F238E27FC236}">
                <a16:creationId xmlns:a16="http://schemas.microsoft.com/office/drawing/2014/main" id="{00000000-0008-0000-0000-0000D3000000}"/>
              </a:ext>
            </a:extLst>
          </xdr:cNvPr>
          <xdr:cNvSpPr>
            <a:spLocks noChangeAspect="1"/>
          </xdr:cNvSpPr>
        </xdr:nvSpPr>
        <xdr:spPr>
          <a:xfrm>
            <a:off x="10662688" y="5332179"/>
            <a:ext cx="2130552" cy="597251"/>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Roll/Lease</a:t>
            </a:r>
            <a:r>
              <a:rPr lang="en-US" sz="1200" b="1" baseline="0">
                <a:latin typeface="Segoe UI" panose="020B0502040204020203" pitchFamily="34" charset="0"/>
                <a:cs typeface="Segoe UI" panose="020B0502040204020203" pitchFamily="34" charset="0"/>
              </a:rPr>
              <a:t> Abstract</a:t>
            </a:r>
            <a:r>
              <a:rPr lang="en-US" sz="1200" b="1">
                <a:latin typeface="Segoe UI" panose="020B0502040204020203" pitchFamily="34" charset="0"/>
                <a:cs typeface="Segoe UI" panose="020B0502040204020203" pitchFamily="34" charset="0"/>
              </a:rPr>
              <a:t> - Datappraise/Manual Entry</a:t>
            </a:r>
          </a:p>
        </xdr:txBody>
      </xdr:sp>
    </xdr:grpSp>
    <xdr:clientData/>
  </xdr:twoCellAnchor>
  <xdr:twoCellAnchor>
    <xdr:from>
      <xdr:col>11</xdr:col>
      <xdr:colOff>37540</xdr:colOff>
      <xdr:row>5</xdr:row>
      <xdr:rowOff>243474</xdr:rowOff>
    </xdr:from>
    <xdr:to>
      <xdr:col>11</xdr:col>
      <xdr:colOff>2149351</xdr:colOff>
      <xdr:row>8</xdr:row>
      <xdr:rowOff>50641</xdr:rowOff>
    </xdr:to>
    <xdr:grpSp>
      <xdr:nvGrpSpPr>
        <xdr:cNvPr id="5" name="Main Menu - Income 3">
          <a:extLst>
            <a:ext uri="{FF2B5EF4-FFF2-40B4-BE49-F238E27FC236}">
              <a16:creationId xmlns:a16="http://schemas.microsoft.com/office/drawing/2014/main" id="{00000000-0008-0000-0000-000005000000}"/>
            </a:ext>
          </a:extLst>
        </xdr:cNvPr>
        <xdr:cNvGrpSpPr/>
      </xdr:nvGrpSpPr>
      <xdr:grpSpPr>
        <a:xfrm>
          <a:off x="13239190" y="1548399"/>
          <a:ext cx="2111811" cy="1178767"/>
          <a:chOff x="13229665" y="1548399"/>
          <a:chExt cx="2111811" cy="1178767"/>
        </a:xfrm>
      </xdr:grpSpPr>
      <xdr:sp macro="[0]!GoTo_IncomeSubjectOperatingStatementTable" textlink="">
        <xdr:nvSpPr>
          <xdr:cNvPr id="212" name="Main Menu - Income 3 - A">
            <a:extLst>
              <a:ext uri="{FF2B5EF4-FFF2-40B4-BE49-F238E27FC236}">
                <a16:creationId xmlns:a16="http://schemas.microsoft.com/office/drawing/2014/main" id="{00000000-0008-0000-0000-0000D4000000}"/>
              </a:ext>
            </a:extLst>
          </xdr:cNvPr>
          <xdr:cNvSpPr>
            <a:spLocks noChangeAspect="1"/>
          </xdr:cNvSpPr>
        </xdr:nvSpPr>
        <xdr:spPr>
          <a:xfrm>
            <a:off x="13229667" y="1548399"/>
            <a:ext cx="2107892" cy="597251"/>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Subject</a:t>
            </a:r>
            <a:r>
              <a:rPr lang="en-US" sz="1200" b="1" baseline="0">
                <a:latin typeface="Segoe UI" panose="020B0502040204020203" pitchFamily="34" charset="0"/>
                <a:cs typeface="Segoe UI" panose="020B0502040204020203" pitchFamily="34" charset="0"/>
              </a:rPr>
              <a:t> Operating Statements</a:t>
            </a:r>
            <a:endParaRPr lang="en-US" sz="1200" b="1">
              <a:latin typeface="Segoe UI" panose="020B0502040204020203" pitchFamily="34" charset="0"/>
              <a:cs typeface="Segoe UI" panose="020B0502040204020203" pitchFamily="34" charset="0"/>
            </a:endParaRPr>
          </a:p>
        </xdr:txBody>
      </xdr:sp>
      <xdr:sp macro="[0]!GoTo_IncomeExpenseComparablesTable" textlink="">
        <xdr:nvSpPr>
          <xdr:cNvPr id="213" name="Main Menu - Income 3 - B">
            <a:extLst>
              <a:ext uri="{FF2B5EF4-FFF2-40B4-BE49-F238E27FC236}">
                <a16:creationId xmlns:a16="http://schemas.microsoft.com/office/drawing/2014/main" id="{00000000-0008-0000-0000-0000D5000000}"/>
              </a:ext>
            </a:extLst>
          </xdr:cNvPr>
          <xdr:cNvSpPr>
            <a:spLocks noChangeAspect="1"/>
          </xdr:cNvSpPr>
        </xdr:nvSpPr>
        <xdr:spPr>
          <a:xfrm>
            <a:off x="13229665" y="2175855"/>
            <a:ext cx="1042652" cy="551309"/>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Comps</a:t>
            </a:r>
          </a:p>
        </xdr:txBody>
      </xdr:sp>
      <xdr:sp macro="[0]!GoTo_ExpenseEstimateTables" textlink="">
        <xdr:nvSpPr>
          <xdr:cNvPr id="214" name="Main Menu - Income 3 - C">
            <a:extLst>
              <a:ext uri="{FF2B5EF4-FFF2-40B4-BE49-F238E27FC236}">
                <a16:creationId xmlns:a16="http://schemas.microsoft.com/office/drawing/2014/main" id="{00000000-0008-0000-0000-0000D6000000}"/>
              </a:ext>
            </a:extLst>
          </xdr:cNvPr>
          <xdr:cNvSpPr>
            <a:spLocks noChangeAspect="1"/>
          </xdr:cNvSpPr>
        </xdr:nvSpPr>
        <xdr:spPr>
          <a:xfrm>
            <a:off x="14298824" y="2175857"/>
            <a:ext cx="1042652" cy="551309"/>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baseline="0">
                <a:latin typeface="Segoe UI" panose="020B0502040204020203" pitchFamily="34" charset="0"/>
                <a:cs typeface="Segoe UI" panose="020B0502040204020203" pitchFamily="34" charset="0"/>
              </a:rPr>
              <a:t>Estimates</a:t>
            </a:r>
            <a:endParaRPr lang="en-US" sz="1200" b="1">
              <a:latin typeface="Segoe UI" panose="020B0502040204020203" pitchFamily="34" charset="0"/>
              <a:cs typeface="Segoe UI" panose="020B0502040204020203" pitchFamily="34" charset="0"/>
            </a:endParaRPr>
          </a:p>
        </xdr:txBody>
      </xdr:sp>
    </xdr:grpSp>
    <xdr:clientData/>
  </xdr:twoCellAnchor>
  <xdr:twoCellAnchor>
    <xdr:from>
      <xdr:col>9</xdr:col>
      <xdr:colOff>32790</xdr:colOff>
      <xdr:row>5</xdr:row>
      <xdr:rowOff>232839</xdr:rowOff>
    </xdr:from>
    <xdr:to>
      <xdr:col>9</xdr:col>
      <xdr:colOff>2140682</xdr:colOff>
      <xdr:row>6</xdr:row>
      <xdr:rowOff>369999</xdr:rowOff>
    </xdr:to>
    <xdr:sp macro="[0]!GoTo_IncomeApproachAssumptions_Input" textlink="">
      <xdr:nvSpPr>
        <xdr:cNvPr id="203" name="Main Menu - Income 1 - A">
          <a:extLst>
            <a:ext uri="{FF2B5EF4-FFF2-40B4-BE49-F238E27FC236}">
              <a16:creationId xmlns:a16="http://schemas.microsoft.com/office/drawing/2014/main" id="{00000000-0008-0000-0000-0000CB000000}"/>
            </a:ext>
          </a:extLst>
        </xdr:cNvPr>
        <xdr:cNvSpPr>
          <a:spLocks noChangeAspect="1"/>
        </xdr:cNvSpPr>
      </xdr:nvSpPr>
      <xdr:spPr>
        <a:xfrm>
          <a:off x="10672215" y="1537764"/>
          <a:ext cx="2107892" cy="59436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REQUIRED</a:t>
          </a:r>
          <a:r>
            <a:rPr lang="en-US" sz="1200" b="1" baseline="0">
              <a:latin typeface="Segoe UI" panose="020B0502040204020203" pitchFamily="34" charset="0"/>
              <a:cs typeface="Segoe UI" panose="020B0502040204020203" pitchFamily="34" charset="0"/>
            </a:rPr>
            <a:t> Income</a:t>
          </a:r>
          <a:r>
            <a:rPr lang="en-US" sz="1200" b="1">
              <a:latin typeface="Segoe UI" panose="020B0502040204020203" pitchFamily="34" charset="0"/>
              <a:cs typeface="Segoe UI" panose="020B0502040204020203" pitchFamily="34" charset="0"/>
            </a:rPr>
            <a:t> Assumptions</a:t>
          </a:r>
        </a:p>
      </xdr:txBody>
    </xdr:sp>
    <xdr:clientData/>
  </xdr:twoCellAnchor>
  <xdr:twoCellAnchor>
    <xdr:from>
      <xdr:col>9</xdr:col>
      <xdr:colOff>32788</xdr:colOff>
      <xdr:row>10</xdr:row>
      <xdr:rowOff>83926</xdr:rowOff>
    </xdr:from>
    <xdr:to>
      <xdr:col>9</xdr:col>
      <xdr:colOff>2140680</xdr:colOff>
      <xdr:row>11</xdr:row>
      <xdr:rowOff>223880</xdr:rowOff>
    </xdr:to>
    <xdr:sp macro="[0]!GoTo_IncomeRentAutoAdjustment_Tables" textlink="">
      <xdr:nvSpPr>
        <xdr:cNvPr id="205" name="Main Menu - Income 1 - D">
          <a:extLst>
            <a:ext uri="{FF2B5EF4-FFF2-40B4-BE49-F238E27FC236}">
              <a16:creationId xmlns:a16="http://schemas.microsoft.com/office/drawing/2014/main" id="{00000000-0008-0000-0000-0000CD000000}"/>
            </a:ext>
          </a:extLst>
        </xdr:cNvPr>
        <xdr:cNvSpPr>
          <a:spLocks noChangeAspect="1"/>
        </xdr:cNvSpPr>
      </xdr:nvSpPr>
      <xdr:spPr>
        <a:xfrm>
          <a:off x="10672213" y="3674851"/>
          <a:ext cx="2107892" cy="597154"/>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Automated Rent Adjustments</a:t>
          </a:r>
        </a:p>
      </xdr:txBody>
    </xdr:sp>
    <xdr:clientData/>
  </xdr:twoCellAnchor>
  <xdr:twoCellAnchor>
    <xdr:from>
      <xdr:col>9</xdr:col>
      <xdr:colOff>32788</xdr:colOff>
      <xdr:row>8</xdr:row>
      <xdr:rowOff>349705</xdr:rowOff>
    </xdr:from>
    <xdr:to>
      <xdr:col>9</xdr:col>
      <xdr:colOff>1075440</xdr:colOff>
      <xdr:row>10</xdr:row>
      <xdr:rowOff>32459</xdr:rowOff>
    </xdr:to>
    <xdr:sp macro="[0]!GoTo_IncomeRentSummaryLight_Table" textlink="">
      <xdr:nvSpPr>
        <xdr:cNvPr id="207" name="Main Menu - Income 1 - B">
          <a:extLst>
            <a:ext uri="{FF2B5EF4-FFF2-40B4-BE49-F238E27FC236}">
              <a16:creationId xmlns:a16="http://schemas.microsoft.com/office/drawing/2014/main" id="{00000000-0008-0000-0000-0000CF000000}"/>
            </a:ext>
          </a:extLst>
        </xdr:cNvPr>
        <xdr:cNvSpPr>
          <a:spLocks/>
        </xdr:cNvSpPr>
      </xdr:nvSpPr>
      <xdr:spPr>
        <a:xfrm>
          <a:off x="10669038" y="3006122"/>
          <a:ext cx="1042652" cy="5929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Summary - Light</a:t>
          </a:r>
        </a:p>
      </xdr:txBody>
    </xdr:sp>
    <xdr:clientData/>
  </xdr:twoCellAnchor>
  <xdr:twoCellAnchor>
    <xdr:from>
      <xdr:col>9</xdr:col>
      <xdr:colOff>1091363</xdr:colOff>
      <xdr:row>8</xdr:row>
      <xdr:rowOff>349705</xdr:rowOff>
    </xdr:from>
    <xdr:to>
      <xdr:col>9</xdr:col>
      <xdr:colOff>2134015</xdr:colOff>
      <xdr:row>10</xdr:row>
      <xdr:rowOff>32459</xdr:rowOff>
    </xdr:to>
    <xdr:sp macro="[0]!GoTo_IncomeRentSummaryDetail_Table" textlink="">
      <xdr:nvSpPr>
        <xdr:cNvPr id="208" name="Main Menu - Income 1 - C">
          <a:extLst>
            <a:ext uri="{FF2B5EF4-FFF2-40B4-BE49-F238E27FC236}">
              <a16:creationId xmlns:a16="http://schemas.microsoft.com/office/drawing/2014/main" id="{00000000-0008-0000-0000-0000D0000000}"/>
            </a:ext>
          </a:extLst>
        </xdr:cNvPr>
        <xdr:cNvSpPr>
          <a:spLocks/>
        </xdr:cNvSpPr>
      </xdr:nvSpPr>
      <xdr:spPr>
        <a:xfrm>
          <a:off x="11730788" y="3026230"/>
          <a:ext cx="1042652" cy="597154"/>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Summary - Detailed</a:t>
          </a:r>
        </a:p>
      </xdr:txBody>
    </xdr:sp>
    <xdr:clientData/>
  </xdr:twoCellAnchor>
  <xdr:twoCellAnchor>
    <xdr:from>
      <xdr:col>9</xdr:col>
      <xdr:colOff>43395</xdr:colOff>
      <xdr:row>11</xdr:row>
      <xdr:rowOff>264715</xdr:rowOff>
    </xdr:from>
    <xdr:to>
      <xdr:col>9</xdr:col>
      <xdr:colOff>2151287</xdr:colOff>
      <xdr:row>12</xdr:row>
      <xdr:rowOff>404668</xdr:rowOff>
    </xdr:to>
    <xdr:sp macro="[0]!GoTo_IncomeRentAdjustment_Grid" textlink="">
      <xdr:nvSpPr>
        <xdr:cNvPr id="209" name="Main Menu - Income 1 - E">
          <a:extLst>
            <a:ext uri="{FF2B5EF4-FFF2-40B4-BE49-F238E27FC236}">
              <a16:creationId xmlns:a16="http://schemas.microsoft.com/office/drawing/2014/main" id="{00000000-0008-0000-0000-0000D1000000}"/>
            </a:ext>
          </a:extLst>
        </xdr:cNvPr>
        <xdr:cNvSpPr>
          <a:spLocks noChangeAspect="1"/>
        </xdr:cNvSpPr>
      </xdr:nvSpPr>
      <xdr:spPr>
        <a:xfrm>
          <a:off x="10682820" y="4312840"/>
          <a:ext cx="2107892" cy="597153"/>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Comparable Adjustment Grid</a:t>
          </a:r>
        </a:p>
      </xdr:txBody>
    </xdr:sp>
    <xdr:clientData/>
  </xdr:twoCellAnchor>
  <xdr:twoCellAnchor>
    <xdr:from>
      <xdr:col>11</xdr:col>
      <xdr:colOff>37540</xdr:colOff>
      <xdr:row>8</xdr:row>
      <xdr:rowOff>349878</xdr:rowOff>
    </xdr:from>
    <xdr:to>
      <xdr:col>11</xdr:col>
      <xdr:colOff>2145432</xdr:colOff>
      <xdr:row>9</xdr:row>
      <xdr:rowOff>443898</xdr:rowOff>
    </xdr:to>
    <xdr:sp macro="[0]!GoTo_IncomeMarketOAR" textlink="">
      <xdr:nvSpPr>
        <xdr:cNvPr id="216" name="Main Menu - Income 1 - F">
          <a:extLst>
            <a:ext uri="{FF2B5EF4-FFF2-40B4-BE49-F238E27FC236}">
              <a16:creationId xmlns:a16="http://schemas.microsoft.com/office/drawing/2014/main" id="{00000000-0008-0000-0000-0000D8000000}"/>
            </a:ext>
          </a:extLst>
        </xdr:cNvPr>
        <xdr:cNvSpPr>
          <a:spLocks noChangeAspect="1"/>
        </xdr:cNvSpPr>
      </xdr:nvSpPr>
      <xdr:spPr>
        <a:xfrm>
          <a:off x="13239190" y="3026403"/>
          <a:ext cx="2107892" cy="5512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Market OAR</a:t>
          </a:r>
        </a:p>
      </xdr:txBody>
    </xdr:sp>
    <xdr:clientData/>
  </xdr:twoCellAnchor>
  <xdr:twoCellAnchor>
    <xdr:from>
      <xdr:col>11</xdr:col>
      <xdr:colOff>37540</xdr:colOff>
      <xdr:row>10</xdr:row>
      <xdr:rowOff>20298</xdr:rowOff>
    </xdr:from>
    <xdr:to>
      <xdr:col>11</xdr:col>
      <xdr:colOff>2145432</xdr:colOff>
      <xdr:row>11</xdr:row>
      <xdr:rowOff>160252</xdr:rowOff>
    </xdr:to>
    <xdr:sp macro="[0]!GoTo_IncomeBoiInvSurveys" textlink="">
      <xdr:nvSpPr>
        <xdr:cNvPr id="217" name="Main Menu - Income 1 - G">
          <a:extLst>
            <a:ext uri="{FF2B5EF4-FFF2-40B4-BE49-F238E27FC236}">
              <a16:creationId xmlns:a16="http://schemas.microsoft.com/office/drawing/2014/main" id="{00000000-0008-0000-0000-0000D9000000}"/>
            </a:ext>
          </a:extLst>
        </xdr:cNvPr>
        <xdr:cNvSpPr>
          <a:spLocks noChangeAspect="1"/>
        </xdr:cNvSpPr>
      </xdr:nvSpPr>
      <xdr:spPr>
        <a:xfrm>
          <a:off x="13239190" y="3611223"/>
          <a:ext cx="2107892" cy="597154"/>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Band of Investment &amp; Investor Surveys</a:t>
          </a:r>
        </a:p>
      </xdr:txBody>
    </xdr:sp>
    <xdr:clientData/>
  </xdr:twoCellAnchor>
  <xdr:twoCellAnchor>
    <xdr:from>
      <xdr:col>11</xdr:col>
      <xdr:colOff>37540</xdr:colOff>
      <xdr:row>11</xdr:row>
      <xdr:rowOff>190444</xdr:rowOff>
    </xdr:from>
    <xdr:to>
      <xdr:col>11</xdr:col>
      <xdr:colOff>2145432</xdr:colOff>
      <xdr:row>12</xdr:row>
      <xdr:rowOff>284464</xdr:rowOff>
    </xdr:to>
    <xdr:sp macro="[0]!GoTo_IncomeDirectCapitalization" textlink="">
      <xdr:nvSpPr>
        <xdr:cNvPr id="218" name="Main Menu - Income 1 - H">
          <a:extLst>
            <a:ext uri="{FF2B5EF4-FFF2-40B4-BE49-F238E27FC236}">
              <a16:creationId xmlns:a16="http://schemas.microsoft.com/office/drawing/2014/main" id="{00000000-0008-0000-0000-0000DA000000}"/>
            </a:ext>
          </a:extLst>
        </xdr:cNvPr>
        <xdr:cNvSpPr>
          <a:spLocks noChangeAspect="1"/>
        </xdr:cNvSpPr>
      </xdr:nvSpPr>
      <xdr:spPr>
        <a:xfrm>
          <a:off x="13239190" y="4238569"/>
          <a:ext cx="2107892" cy="5512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Direct Capitalization</a:t>
          </a:r>
        </a:p>
      </xdr:txBody>
    </xdr:sp>
    <xdr:clientData/>
  </xdr:twoCellAnchor>
  <xdr:twoCellAnchor>
    <xdr:from>
      <xdr:col>11</xdr:col>
      <xdr:colOff>42314</xdr:colOff>
      <xdr:row>13</xdr:row>
      <xdr:rowOff>243430</xdr:rowOff>
    </xdr:from>
    <xdr:to>
      <xdr:col>11</xdr:col>
      <xdr:colOff>2167446</xdr:colOff>
      <xdr:row>16</xdr:row>
      <xdr:rowOff>0</xdr:rowOff>
    </xdr:to>
    <xdr:grpSp>
      <xdr:nvGrpSpPr>
        <xdr:cNvPr id="7" name="Main Menu - Income 4">
          <a:extLst>
            <a:ext uri="{FF2B5EF4-FFF2-40B4-BE49-F238E27FC236}">
              <a16:creationId xmlns:a16="http://schemas.microsoft.com/office/drawing/2014/main" id="{00000000-0008-0000-0000-000007000000}"/>
            </a:ext>
          </a:extLst>
        </xdr:cNvPr>
        <xdr:cNvGrpSpPr/>
      </xdr:nvGrpSpPr>
      <xdr:grpSpPr>
        <a:xfrm>
          <a:off x="13243964" y="5205955"/>
          <a:ext cx="2125132" cy="1128170"/>
          <a:chOff x="13229147" y="5789091"/>
          <a:chExt cx="2125132" cy="1130718"/>
        </a:xfrm>
      </xdr:grpSpPr>
      <xdr:sp macro="[0]!GoTo_IncomeDCF_1" textlink="">
        <xdr:nvSpPr>
          <xdr:cNvPr id="219" name="Main Menu - Income 4 - A" hidden="1">
            <a:extLst>
              <a:ext uri="{FF2B5EF4-FFF2-40B4-BE49-F238E27FC236}">
                <a16:creationId xmlns:a16="http://schemas.microsoft.com/office/drawing/2014/main" id="{00000000-0008-0000-0000-0000DB000000}"/>
              </a:ext>
            </a:extLst>
          </xdr:cNvPr>
          <xdr:cNvSpPr>
            <a:spLocks noChangeAspect="1"/>
          </xdr:cNvSpPr>
        </xdr:nvSpPr>
        <xdr:spPr>
          <a:xfrm>
            <a:off x="13229147" y="5789091"/>
            <a:ext cx="685800" cy="548639"/>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1</a:t>
            </a:r>
          </a:p>
        </xdr:txBody>
      </xdr:sp>
      <xdr:sp macro="[0]!GoTo_IncomeDCF_2" textlink="">
        <xdr:nvSpPr>
          <xdr:cNvPr id="220" name="Main Menu - Income 4 - B" hidden="1">
            <a:extLst>
              <a:ext uri="{FF2B5EF4-FFF2-40B4-BE49-F238E27FC236}">
                <a16:creationId xmlns:a16="http://schemas.microsoft.com/office/drawing/2014/main" id="{00000000-0008-0000-0000-0000DC000000}"/>
              </a:ext>
            </a:extLst>
          </xdr:cNvPr>
          <xdr:cNvSpPr>
            <a:spLocks noChangeAspect="1"/>
          </xdr:cNvSpPr>
        </xdr:nvSpPr>
        <xdr:spPr>
          <a:xfrm>
            <a:off x="13948813" y="5789096"/>
            <a:ext cx="685800" cy="548639"/>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2</a:t>
            </a:r>
          </a:p>
        </xdr:txBody>
      </xdr:sp>
      <xdr:sp macro="[0]!GoTo_IncomeDCF_3" textlink="">
        <xdr:nvSpPr>
          <xdr:cNvPr id="221" name="Main Menu - Income 4 - C" hidden="1">
            <a:extLst>
              <a:ext uri="{FF2B5EF4-FFF2-40B4-BE49-F238E27FC236}">
                <a16:creationId xmlns:a16="http://schemas.microsoft.com/office/drawing/2014/main" id="{00000000-0008-0000-0000-0000DD000000}"/>
              </a:ext>
            </a:extLst>
          </xdr:cNvPr>
          <xdr:cNvSpPr>
            <a:spLocks noChangeAspect="1"/>
          </xdr:cNvSpPr>
        </xdr:nvSpPr>
        <xdr:spPr>
          <a:xfrm>
            <a:off x="14668479" y="5789092"/>
            <a:ext cx="685800" cy="548639"/>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3</a:t>
            </a:r>
          </a:p>
        </xdr:txBody>
      </xdr:sp>
      <xdr:sp macro="[0]!GoTo_IncomeReversionTable" textlink="">
        <xdr:nvSpPr>
          <xdr:cNvPr id="222" name="Main Menu - Income 4 - D" hidden="1">
            <a:extLst>
              <a:ext uri="{FF2B5EF4-FFF2-40B4-BE49-F238E27FC236}">
                <a16:creationId xmlns:a16="http://schemas.microsoft.com/office/drawing/2014/main" id="{00000000-0008-0000-0000-0000DE000000}"/>
              </a:ext>
            </a:extLst>
          </xdr:cNvPr>
          <xdr:cNvSpPr>
            <a:spLocks noChangeAspect="1"/>
          </xdr:cNvSpPr>
        </xdr:nvSpPr>
        <xdr:spPr>
          <a:xfrm>
            <a:off x="13239729" y="6371170"/>
            <a:ext cx="2103120" cy="548639"/>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Reversion Calculation</a:t>
            </a:r>
          </a:p>
        </xdr:txBody>
      </xdr:sp>
    </xdr:grpSp>
    <xdr:clientData/>
  </xdr:twoCellAnchor>
  <xdr:twoCellAnchor editAs="absolute">
    <xdr:from>
      <xdr:col>9</xdr:col>
      <xdr:colOff>31758</xdr:colOff>
      <xdr:row>6</xdr:row>
      <xdr:rowOff>402172</xdr:rowOff>
    </xdr:from>
    <xdr:to>
      <xdr:col>9</xdr:col>
      <xdr:colOff>2144022</xdr:colOff>
      <xdr:row>8</xdr:row>
      <xdr:rowOff>40645</xdr:rowOff>
    </xdr:to>
    <xdr:sp macro="[0]!GoTo_LUD" textlink="">
      <xdr:nvSpPr>
        <xdr:cNvPr id="59" name="Main Menu - Lease-Up">
          <a:extLst>
            <a:ext uri="{FF2B5EF4-FFF2-40B4-BE49-F238E27FC236}">
              <a16:creationId xmlns:a16="http://schemas.microsoft.com/office/drawing/2014/main" id="{00000000-0008-0000-0000-00003B000000}"/>
            </a:ext>
          </a:extLst>
        </xdr:cNvPr>
        <xdr:cNvSpPr>
          <a:spLocks noChangeAspect="1"/>
        </xdr:cNvSpPr>
      </xdr:nvSpPr>
      <xdr:spPr>
        <a:xfrm>
          <a:off x="10668008" y="2148422"/>
          <a:ext cx="2112264" cy="548640"/>
        </a:xfrm>
        <a:prstGeom prst="roundRect">
          <a:avLst/>
        </a:prstGeom>
        <a:solidFill>
          <a:schemeClr val="tx1">
            <a:lumMod val="85000"/>
            <a:lumOff val="1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Lease-Up Discount</a:t>
          </a:r>
        </a:p>
      </xdr:txBody>
    </xdr:sp>
    <xdr:clientData/>
  </xdr:twoCellAnchor>
  <xdr:twoCellAnchor editAs="absolute">
    <xdr:from>
      <xdr:col>1</xdr:col>
      <xdr:colOff>44103</xdr:colOff>
      <xdr:row>7</xdr:row>
      <xdr:rowOff>332752</xdr:rowOff>
    </xdr:from>
    <xdr:to>
      <xdr:col>1</xdr:col>
      <xdr:colOff>2156367</xdr:colOff>
      <xdr:row>9</xdr:row>
      <xdr:rowOff>195592</xdr:rowOff>
    </xdr:to>
    <xdr:sp macro="[0]!Master_Update" textlink="">
      <xdr:nvSpPr>
        <xdr:cNvPr id="196" name="Rounded Rectangle 195">
          <a:extLst>
            <a:ext uri="{FF2B5EF4-FFF2-40B4-BE49-F238E27FC236}">
              <a16:creationId xmlns:a16="http://schemas.microsoft.com/office/drawing/2014/main" id="{00000000-0008-0000-0000-0000C4000000}"/>
            </a:ext>
          </a:extLst>
        </xdr:cNvPr>
        <xdr:cNvSpPr>
          <a:spLocks noChangeAspect="1"/>
        </xdr:cNvSpPr>
      </xdr:nvSpPr>
      <xdr:spPr>
        <a:xfrm>
          <a:off x="425103" y="2552077"/>
          <a:ext cx="2112264" cy="77724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 All Visible Worksheets</a:t>
          </a:r>
        </a:p>
        <a:p>
          <a:pPr algn="ctr"/>
          <a:r>
            <a:rPr lang="en-US" sz="1000" b="1">
              <a:solidFill>
                <a:srgbClr val="1F497D"/>
              </a:solidFill>
              <a:latin typeface="Segoe UI" panose="020B0502040204020203" pitchFamily="34" charset="0"/>
              <a:cs typeface="Segoe UI" panose="020B0502040204020203" pitchFamily="34" charset="0"/>
            </a:rPr>
            <a:t>*Complete</a:t>
          </a:r>
          <a:r>
            <a:rPr lang="en-US" sz="1000" b="1" baseline="0">
              <a:solidFill>
                <a:srgbClr val="1F497D"/>
              </a:solidFill>
              <a:latin typeface="Segoe UI" panose="020B0502040204020203" pitchFamily="34" charset="0"/>
              <a:cs typeface="Segoe UI" panose="020B0502040204020203" pitchFamily="34" charset="0"/>
            </a:rPr>
            <a:t> Excel First</a:t>
          </a:r>
        </a:p>
      </xdr:txBody>
    </xdr:sp>
    <xdr:clientData/>
  </xdr:twoCellAnchor>
  <xdr:twoCellAnchor>
    <xdr:from>
      <xdr:col>7</xdr:col>
      <xdr:colOff>42330</xdr:colOff>
      <xdr:row>11</xdr:row>
      <xdr:rowOff>275162</xdr:rowOff>
    </xdr:from>
    <xdr:to>
      <xdr:col>7</xdr:col>
      <xdr:colOff>2154927</xdr:colOff>
      <xdr:row>12</xdr:row>
      <xdr:rowOff>414439</xdr:rowOff>
    </xdr:to>
    <xdr:sp macro="[0]!GoTo_SalesApproach_EGIM" textlink="">
      <xdr:nvSpPr>
        <xdr:cNvPr id="69" name="Main Menu - EGIM" hidden="1">
          <a:extLst>
            <a:ext uri="{FF2B5EF4-FFF2-40B4-BE49-F238E27FC236}">
              <a16:creationId xmlns:a16="http://schemas.microsoft.com/office/drawing/2014/main" id="{00000000-0008-0000-0000-000045000000}"/>
            </a:ext>
          </a:extLst>
        </xdr:cNvPr>
        <xdr:cNvSpPr>
          <a:spLocks noChangeAspect="1"/>
        </xdr:cNvSpPr>
      </xdr:nvSpPr>
      <xdr:spPr>
        <a:xfrm>
          <a:off x="8117413" y="4296829"/>
          <a:ext cx="2112597" cy="594360"/>
        </a:xfrm>
        <a:prstGeom prst="roundRect">
          <a:avLst/>
        </a:prstGeom>
        <a:solidFill>
          <a:srgbClr val="66330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EGIM Analysis</a:t>
          </a:r>
        </a:p>
      </xdr:txBody>
    </xdr:sp>
    <xdr:clientData/>
  </xdr:twoCellAnchor>
  <xdr:twoCellAnchor>
    <xdr:from>
      <xdr:col>1</xdr:col>
      <xdr:colOff>52916</xdr:colOff>
      <xdr:row>5</xdr:row>
      <xdr:rowOff>44004</xdr:rowOff>
    </xdr:from>
    <xdr:to>
      <xdr:col>1</xdr:col>
      <xdr:colOff>2165323</xdr:colOff>
      <xdr:row>6</xdr:row>
      <xdr:rowOff>137561</xdr:rowOff>
    </xdr:to>
    <xdr:sp macro="[0]!ShowUserFormTemplateAssumptions" textlink="">
      <xdr:nvSpPr>
        <xdr:cNvPr id="68" name="Rounded Rectangle 67">
          <a:extLst>
            <a:ext uri="{FF2B5EF4-FFF2-40B4-BE49-F238E27FC236}">
              <a16:creationId xmlns:a16="http://schemas.microsoft.com/office/drawing/2014/main" id="{00000000-0008-0000-0000-000044000000}"/>
            </a:ext>
          </a:extLst>
        </xdr:cNvPr>
        <xdr:cNvSpPr>
          <a:spLocks noChangeAspect="1"/>
        </xdr:cNvSpPr>
      </xdr:nvSpPr>
      <xdr:spPr>
        <a:xfrm>
          <a:off x="433916" y="1335171"/>
          <a:ext cx="2112407" cy="54864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 Assumptions</a:t>
          </a:r>
        </a:p>
      </xdr:txBody>
    </xdr:sp>
    <xdr:clientData/>
  </xdr:twoCellAnchor>
  <xdr:twoCellAnchor editAs="absolute">
    <xdr:from>
      <xdr:col>5</xdr:col>
      <xdr:colOff>42332</xdr:colOff>
      <xdr:row>8</xdr:row>
      <xdr:rowOff>391584</xdr:rowOff>
    </xdr:from>
    <xdr:to>
      <xdr:col>5</xdr:col>
      <xdr:colOff>2165559</xdr:colOff>
      <xdr:row>15</xdr:row>
      <xdr:rowOff>114726</xdr:rowOff>
    </xdr:to>
    <xdr:grpSp>
      <xdr:nvGrpSpPr>
        <xdr:cNvPr id="2" name="Main Menu - Cost">
          <a:extLst>
            <a:ext uri="{FF2B5EF4-FFF2-40B4-BE49-F238E27FC236}">
              <a16:creationId xmlns:a16="http://schemas.microsoft.com/office/drawing/2014/main" id="{00000000-0008-0000-0000-000002000000}"/>
            </a:ext>
          </a:extLst>
        </xdr:cNvPr>
        <xdr:cNvGrpSpPr>
          <a:grpSpLocks noChangeAspect="1"/>
        </xdr:cNvGrpSpPr>
      </xdr:nvGrpSpPr>
      <xdr:grpSpPr>
        <a:xfrm>
          <a:off x="5557307" y="3068109"/>
          <a:ext cx="2123227" cy="2923542"/>
          <a:chOff x="5556249" y="3048001"/>
          <a:chExt cx="2123227" cy="2908725"/>
        </a:xfrm>
      </xdr:grpSpPr>
      <xdr:sp macro="[0]!GoTo_CostBuildingRCN_Table" textlink="">
        <xdr:nvSpPr>
          <xdr:cNvPr id="183" name="Main Menu - Cost 1">
            <a:extLst>
              <a:ext uri="{FF2B5EF4-FFF2-40B4-BE49-F238E27FC236}">
                <a16:creationId xmlns:a16="http://schemas.microsoft.com/office/drawing/2014/main" id="{00000000-0008-0000-0000-0000B7000000}"/>
              </a:ext>
            </a:extLst>
          </xdr:cNvPr>
          <xdr:cNvSpPr>
            <a:spLocks noChangeAspect="1"/>
          </xdr:cNvSpPr>
        </xdr:nvSpPr>
        <xdr:spPr>
          <a:xfrm>
            <a:off x="5557296" y="3048001"/>
            <a:ext cx="2112645" cy="54864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Building RCN</a:t>
            </a:r>
          </a:p>
        </xdr:txBody>
      </xdr:sp>
      <xdr:sp macro="[0]!GoTo_CostOtherRCN" textlink="">
        <xdr:nvSpPr>
          <xdr:cNvPr id="185" name="Main Menu - Cost 2">
            <a:extLst>
              <a:ext uri="{FF2B5EF4-FFF2-40B4-BE49-F238E27FC236}">
                <a16:creationId xmlns:a16="http://schemas.microsoft.com/office/drawing/2014/main" id="{00000000-0008-0000-0000-0000B9000000}"/>
              </a:ext>
            </a:extLst>
          </xdr:cNvPr>
          <xdr:cNvSpPr>
            <a:spLocks noChangeAspect="1"/>
          </xdr:cNvSpPr>
        </xdr:nvSpPr>
        <xdr:spPr>
          <a:xfrm>
            <a:off x="5557296" y="3630087"/>
            <a:ext cx="2112645" cy="54864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Other RCN</a:t>
            </a:r>
          </a:p>
        </xdr:txBody>
      </xdr:sp>
      <xdr:sp macro="[0]!GoTo_CostApproach_Table" textlink="">
        <xdr:nvSpPr>
          <xdr:cNvPr id="188" name="Main Menu - Cost 4">
            <a:extLst>
              <a:ext uri="{FF2B5EF4-FFF2-40B4-BE49-F238E27FC236}">
                <a16:creationId xmlns:a16="http://schemas.microsoft.com/office/drawing/2014/main" id="{00000000-0008-0000-0000-0000BC000000}"/>
              </a:ext>
            </a:extLst>
          </xdr:cNvPr>
          <xdr:cNvSpPr>
            <a:spLocks noChangeAspect="1"/>
          </xdr:cNvSpPr>
        </xdr:nvSpPr>
        <xdr:spPr>
          <a:xfrm>
            <a:off x="5557296" y="4815421"/>
            <a:ext cx="2112645" cy="54864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Cost</a:t>
            </a:r>
            <a:r>
              <a:rPr lang="en-US" sz="1200" b="1" baseline="0">
                <a:latin typeface="Segoe UI" panose="020B0502040204020203" pitchFamily="34" charset="0"/>
                <a:cs typeface="Segoe UI" panose="020B0502040204020203" pitchFamily="34" charset="0"/>
              </a:rPr>
              <a:t> Approach Table</a:t>
            </a:r>
            <a:endParaRPr lang="en-US" sz="1200" b="1">
              <a:latin typeface="Segoe UI" panose="020B0502040204020203" pitchFamily="34" charset="0"/>
              <a:cs typeface="Segoe UI" panose="020B0502040204020203" pitchFamily="34" charset="0"/>
            </a:endParaRPr>
          </a:p>
        </xdr:txBody>
      </xdr:sp>
      <xdr:sp macro="[0]!GoTo_CostDepreciation_Table" textlink="">
        <xdr:nvSpPr>
          <xdr:cNvPr id="64" name="Main Menu - Cost 3">
            <a:extLst>
              <a:ext uri="{FF2B5EF4-FFF2-40B4-BE49-F238E27FC236}">
                <a16:creationId xmlns:a16="http://schemas.microsoft.com/office/drawing/2014/main" id="{00000000-0008-0000-0000-000040000000}"/>
              </a:ext>
            </a:extLst>
          </xdr:cNvPr>
          <xdr:cNvSpPr>
            <a:spLocks noChangeAspect="1"/>
          </xdr:cNvSpPr>
        </xdr:nvSpPr>
        <xdr:spPr>
          <a:xfrm>
            <a:off x="5566831" y="4222748"/>
            <a:ext cx="2112645" cy="54864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Depreciation</a:t>
            </a:r>
            <a:r>
              <a:rPr lang="en-US" sz="1200" b="1" baseline="0">
                <a:latin typeface="Segoe UI" panose="020B0502040204020203" pitchFamily="34" charset="0"/>
                <a:cs typeface="Segoe UI" panose="020B0502040204020203" pitchFamily="34" charset="0"/>
              </a:rPr>
              <a:t> Calculations</a:t>
            </a:r>
            <a:endParaRPr lang="en-US" sz="1200" b="1">
              <a:latin typeface="Segoe UI" panose="020B0502040204020203" pitchFamily="34" charset="0"/>
              <a:cs typeface="Segoe UI" panose="020B0502040204020203" pitchFamily="34" charset="0"/>
            </a:endParaRPr>
          </a:p>
        </xdr:txBody>
      </xdr:sp>
      <xdr:sp macro="[0]!GoTo_InsurableCost_Table" textlink="">
        <xdr:nvSpPr>
          <xdr:cNvPr id="72" name="Main Menu - Cost 5">
            <a:extLst>
              <a:ext uri="{FF2B5EF4-FFF2-40B4-BE49-F238E27FC236}">
                <a16:creationId xmlns:a16="http://schemas.microsoft.com/office/drawing/2014/main" id="{00000000-0008-0000-0000-000048000000}"/>
              </a:ext>
            </a:extLst>
          </xdr:cNvPr>
          <xdr:cNvSpPr>
            <a:spLocks noChangeAspect="1"/>
          </xdr:cNvSpPr>
        </xdr:nvSpPr>
        <xdr:spPr>
          <a:xfrm>
            <a:off x="5556249" y="5408086"/>
            <a:ext cx="2112645" cy="54864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Insurable Cost Table</a:t>
            </a:r>
          </a:p>
        </xdr:txBody>
      </xdr:sp>
    </xdr:grpSp>
    <xdr:clientData/>
  </xdr:twoCellAnchor>
  <xdr:twoCellAnchor editAs="absolute">
    <xdr:from>
      <xdr:col>1</xdr:col>
      <xdr:colOff>0</xdr:colOff>
      <xdr:row>10</xdr:row>
      <xdr:rowOff>64560</xdr:rowOff>
    </xdr:from>
    <xdr:to>
      <xdr:col>1</xdr:col>
      <xdr:colOff>2111588</xdr:colOff>
      <xdr:row>11</xdr:row>
      <xdr:rowOff>171005</xdr:rowOff>
    </xdr:to>
    <xdr:grpSp>
      <xdr:nvGrpSpPr>
        <xdr:cNvPr id="63" name="Group 62">
          <a:extLst>
            <a:ext uri="{FF2B5EF4-FFF2-40B4-BE49-F238E27FC236}">
              <a16:creationId xmlns:a16="http://schemas.microsoft.com/office/drawing/2014/main" id="{00000000-0008-0000-0000-00003F000000}"/>
            </a:ext>
          </a:extLst>
        </xdr:cNvPr>
        <xdr:cNvGrpSpPr>
          <a:grpSpLocks noChangeAspect="1"/>
        </xdr:cNvGrpSpPr>
      </xdr:nvGrpSpPr>
      <xdr:grpSpPr>
        <a:xfrm>
          <a:off x="381000" y="3655485"/>
          <a:ext cx="2111588" cy="563645"/>
          <a:chOff x="2985546" y="6501622"/>
          <a:chExt cx="2111588" cy="549273"/>
        </a:xfrm>
      </xdr:grpSpPr>
      <xdr:sp macro="[0]!GoTo_Blank1" textlink="">
        <xdr:nvSpPr>
          <xdr:cNvPr id="73" name="Rounded Rectangle 72">
            <a:extLst>
              <a:ext uri="{FF2B5EF4-FFF2-40B4-BE49-F238E27FC236}">
                <a16:creationId xmlns:a16="http://schemas.microsoft.com/office/drawing/2014/main" id="{00000000-0008-0000-0000-000049000000}"/>
              </a:ext>
            </a:extLst>
          </xdr:cNvPr>
          <xdr:cNvSpPr>
            <a:spLocks noChangeAspect="1"/>
          </xdr:cNvSpPr>
        </xdr:nvSpPr>
        <xdr:spPr>
          <a:xfrm>
            <a:off x="2985546" y="6502545"/>
            <a:ext cx="502920" cy="548350"/>
          </a:xfrm>
          <a:prstGeom prst="roundRect">
            <a:avLst/>
          </a:prstGeom>
          <a:solidFill>
            <a:srgbClr val="1F497D"/>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1</a:t>
            </a:r>
          </a:p>
        </xdr:txBody>
      </xdr:sp>
      <xdr:sp macro="[0]!GoTo_Blank2" textlink="">
        <xdr:nvSpPr>
          <xdr:cNvPr id="74" name="Rounded Rectangle 73">
            <a:extLst>
              <a:ext uri="{FF2B5EF4-FFF2-40B4-BE49-F238E27FC236}">
                <a16:creationId xmlns:a16="http://schemas.microsoft.com/office/drawing/2014/main" id="{00000000-0008-0000-0000-00004A000000}"/>
              </a:ext>
            </a:extLst>
          </xdr:cNvPr>
          <xdr:cNvSpPr>
            <a:spLocks noChangeAspect="1"/>
          </xdr:cNvSpPr>
        </xdr:nvSpPr>
        <xdr:spPr>
          <a:xfrm>
            <a:off x="3525297" y="6502233"/>
            <a:ext cx="502920" cy="548350"/>
          </a:xfrm>
          <a:prstGeom prst="roundRect">
            <a:avLst/>
          </a:prstGeom>
          <a:solidFill>
            <a:srgbClr val="1F497D"/>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2</a:t>
            </a:r>
          </a:p>
        </xdr:txBody>
      </xdr:sp>
      <xdr:sp macro="[0]!GoTo_Blank3" textlink="">
        <xdr:nvSpPr>
          <xdr:cNvPr id="75" name="Rounded Rectangle 74">
            <a:extLst>
              <a:ext uri="{FF2B5EF4-FFF2-40B4-BE49-F238E27FC236}">
                <a16:creationId xmlns:a16="http://schemas.microsoft.com/office/drawing/2014/main" id="{00000000-0008-0000-0000-00004B000000}"/>
              </a:ext>
            </a:extLst>
          </xdr:cNvPr>
          <xdr:cNvSpPr>
            <a:spLocks noChangeAspect="1"/>
          </xdr:cNvSpPr>
        </xdr:nvSpPr>
        <xdr:spPr>
          <a:xfrm>
            <a:off x="4054464" y="6501932"/>
            <a:ext cx="502920" cy="548350"/>
          </a:xfrm>
          <a:prstGeom prst="roundRect">
            <a:avLst/>
          </a:prstGeom>
          <a:solidFill>
            <a:srgbClr val="1F497D"/>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3</a:t>
            </a:r>
          </a:p>
        </xdr:txBody>
      </xdr:sp>
      <xdr:sp macro="[0]!GoTo_Blank4" textlink="">
        <xdr:nvSpPr>
          <xdr:cNvPr id="76" name="Rounded Rectangle 75">
            <a:extLst>
              <a:ext uri="{FF2B5EF4-FFF2-40B4-BE49-F238E27FC236}">
                <a16:creationId xmlns:a16="http://schemas.microsoft.com/office/drawing/2014/main" id="{00000000-0008-0000-0000-00004C000000}"/>
              </a:ext>
            </a:extLst>
          </xdr:cNvPr>
          <xdr:cNvSpPr>
            <a:spLocks noChangeAspect="1"/>
          </xdr:cNvSpPr>
        </xdr:nvSpPr>
        <xdr:spPr>
          <a:xfrm>
            <a:off x="4594214" y="6501622"/>
            <a:ext cx="502920" cy="548350"/>
          </a:xfrm>
          <a:prstGeom prst="roundRect">
            <a:avLst/>
          </a:prstGeom>
          <a:solidFill>
            <a:srgbClr val="1F497D"/>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4</a:t>
            </a:r>
          </a:p>
        </xdr:txBody>
      </xdr:sp>
    </xdr:grpSp>
    <xdr:clientData/>
  </xdr:twoCellAnchor>
  <xdr:twoCellAnchor>
    <xdr:from>
      <xdr:col>9</xdr:col>
      <xdr:colOff>42313</xdr:colOff>
      <xdr:row>11</xdr:row>
      <xdr:rowOff>254455</xdr:rowOff>
    </xdr:from>
    <xdr:to>
      <xdr:col>9</xdr:col>
      <xdr:colOff>1084965</xdr:colOff>
      <xdr:row>12</xdr:row>
      <xdr:rowOff>394409</xdr:rowOff>
    </xdr:to>
    <xdr:sp macro="[0]!GoTo_IncomeRentAdjustment_GridB1" textlink="">
      <xdr:nvSpPr>
        <xdr:cNvPr id="62" name="Main Menu - Income 1 - I" hidden="1">
          <a:extLst>
            <a:ext uri="{FF2B5EF4-FFF2-40B4-BE49-F238E27FC236}">
              <a16:creationId xmlns:a16="http://schemas.microsoft.com/office/drawing/2014/main" id="{00000000-0008-0000-0000-00003E000000}"/>
            </a:ext>
          </a:extLst>
        </xdr:cNvPr>
        <xdr:cNvSpPr>
          <a:spLocks/>
        </xdr:cNvSpPr>
      </xdr:nvSpPr>
      <xdr:spPr>
        <a:xfrm>
          <a:off x="10681738" y="4302580"/>
          <a:ext cx="1042652" cy="597154"/>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Rental</a:t>
          </a:r>
          <a:r>
            <a:rPr lang="en-US" sz="1200" b="1" baseline="0">
              <a:latin typeface="Segoe UI" panose="020B0502040204020203" pitchFamily="34" charset="0"/>
              <a:cs typeface="Segoe UI" panose="020B0502040204020203" pitchFamily="34" charset="0"/>
            </a:rPr>
            <a:t> Adj. Grid 1</a:t>
          </a:r>
          <a:endParaRPr lang="en-US" sz="1200" b="1">
            <a:latin typeface="Segoe UI" panose="020B0502040204020203" pitchFamily="34" charset="0"/>
            <a:cs typeface="Segoe UI" panose="020B0502040204020203" pitchFamily="34" charset="0"/>
          </a:endParaRPr>
        </a:p>
      </xdr:txBody>
    </xdr:sp>
    <xdr:clientData/>
  </xdr:twoCellAnchor>
  <xdr:twoCellAnchor>
    <xdr:from>
      <xdr:col>9</xdr:col>
      <xdr:colOff>1100888</xdr:colOff>
      <xdr:row>11</xdr:row>
      <xdr:rowOff>254455</xdr:rowOff>
    </xdr:from>
    <xdr:to>
      <xdr:col>9</xdr:col>
      <xdr:colOff>2143540</xdr:colOff>
      <xdr:row>12</xdr:row>
      <xdr:rowOff>394409</xdr:rowOff>
    </xdr:to>
    <xdr:sp macro="[0]!GoTo_IncomeRentAdjustment_GridB2" textlink="">
      <xdr:nvSpPr>
        <xdr:cNvPr id="65" name="Main Menu - Income 1 - J" hidden="1">
          <a:extLst>
            <a:ext uri="{FF2B5EF4-FFF2-40B4-BE49-F238E27FC236}">
              <a16:creationId xmlns:a16="http://schemas.microsoft.com/office/drawing/2014/main" id="{00000000-0008-0000-0000-000041000000}"/>
            </a:ext>
          </a:extLst>
        </xdr:cNvPr>
        <xdr:cNvSpPr>
          <a:spLocks/>
        </xdr:cNvSpPr>
      </xdr:nvSpPr>
      <xdr:spPr>
        <a:xfrm>
          <a:off x="11740313" y="4302580"/>
          <a:ext cx="1042652" cy="597154"/>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200" b="1" i="0" u="none" strike="noStrike" kern="0" cap="none" spc="0" normalizeH="0" baseline="0" noProof="0">
              <a:ln>
                <a:noFill/>
              </a:ln>
              <a:solidFill>
                <a:prstClr val="white"/>
              </a:solidFill>
              <a:effectLst/>
              <a:uLnTx/>
              <a:uFillTx/>
              <a:latin typeface="Segoe UI" panose="020B0502040204020203" pitchFamily="34" charset="0"/>
              <a:ea typeface="+mn-ea"/>
              <a:cs typeface="Segoe UI" panose="020B0502040204020203" pitchFamily="34" charset="0"/>
            </a:rPr>
            <a:t>Rental Adj. Grid 2</a:t>
          </a:r>
        </a:p>
      </xdr:txBody>
    </xdr:sp>
    <xdr:clientData/>
  </xdr:twoCellAnchor>
  <xdr:twoCellAnchor>
    <xdr:from>
      <xdr:col>5</xdr:col>
      <xdr:colOff>42332</xdr:colOff>
      <xdr:row>6</xdr:row>
      <xdr:rowOff>222258</xdr:rowOff>
    </xdr:from>
    <xdr:to>
      <xdr:col>5</xdr:col>
      <xdr:colOff>1084748</xdr:colOff>
      <xdr:row>7</xdr:row>
      <xdr:rowOff>361535</xdr:rowOff>
    </xdr:to>
    <xdr:sp macro="[0]!GoTo_LandAdjustment_GridB1" textlink="">
      <xdr:nvSpPr>
        <xdr:cNvPr id="61" name="Main Menu - Land 4" hidden="1">
          <a:extLst>
            <a:ext uri="{FF2B5EF4-FFF2-40B4-BE49-F238E27FC236}">
              <a16:creationId xmlns:a16="http://schemas.microsoft.com/office/drawing/2014/main" id="{00000000-0008-0000-0000-00003D000000}"/>
            </a:ext>
          </a:extLst>
        </xdr:cNvPr>
        <xdr:cNvSpPr>
          <a:spLocks noChangeAspect="1"/>
        </xdr:cNvSpPr>
      </xdr:nvSpPr>
      <xdr:spPr>
        <a:xfrm>
          <a:off x="5556249" y="1968508"/>
          <a:ext cx="1042416" cy="59436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Land Sales Adj.</a:t>
          </a:r>
          <a:r>
            <a:rPr lang="en-US" sz="1200" b="1" baseline="0">
              <a:latin typeface="Segoe UI" panose="020B0502040204020203" pitchFamily="34" charset="0"/>
              <a:cs typeface="Segoe UI" panose="020B0502040204020203" pitchFamily="34" charset="0"/>
            </a:rPr>
            <a:t> Grid 1</a:t>
          </a:r>
          <a:endParaRPr lang="en-US" sz="1200" b="1">
            <a:latin typeface="Segoe UI" panose="020B0502040204020203" pitchFamily="34" charset="0"/>
            <a:cs typeface="Segoe UI" panose="020B0502040204020203" pitchFamily="34" charset="0"/>
          </a:endParaRPr>
        </a:p>
      </xdr:txBody>
    </xdr:sp>
    <xdr:clientData/>
  </xdr:twoCellAnchor>
  <xdr:twoCellAnchor>
    <xdr:from>
      <xdr:col>5</xdr:col>
      <xdr:colOff>1121833</xdr:colOff>
      <xdr:row>6</xdr:row>
      <xdr:rowOff>222258</xdr:rowOff>
    </xdr:from>
    <xdr:to>
      <xdr:col>5</xdr:col>
      <xdr:colOff>2164249</xdr:colOff>
      <xdr:row>7</xdr:row>
      <xdr:rowOff>361535</xdr:rowOff>
    </xdr:to>
    <xdr:sp macro="[0]!GoTo_LandAdjustment_GridB2" textlink="">
      <xdr:nvSpPr>
        <xdr:cNvPr id="67" name="Main Menu - Land 5" hidden="1">
          <a:extLst>
            <a:ext uri="{FF2B5EF4-FFF2-40B4-BE49-F238E27FC236}">
              <a16:creationId xmlns:a16="http://schemas.microsoft.com/office/drawing/2014/main" id="{00000000-0008-0000-0000-000043000000}"/>
            </a:ext>
          </a:extLst>
        </xdr:cNvPr>
        <xdr:cNvSpPr>
          <a:spLocks noChangeAspect="1"/>
        </xdr:cNvSpPr>
      </xdr:nvSpPr>
      <xdr:spPr>
        <a:xfrm>
          <a:off x="6635750" y="1968508"/>
          <a:ext cx="1042416" cy="59436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Land Sales Adj.</a:t>
          </a:r>
          <a:r>
            <a:rPr lang="en-US" sz="1200" b="1" baseline="0">
              <a:latin typeface="Segoe UI" panose="020B0502040204020203" pitchFamily="34" charset="0"/>
              <a:cs typeface="Segoe UI" panose="020B0502040204020203" pitchFamily="34" charset="0"/>
            </a:rPr>
            <a:t> Grid 2</a:t>
          </a:r>
          <a:endParaRPr lang="en-US" sz="1200" b="1">
            <a:latin typeface="Segoe UI" panose="020B0502040204020203" pitchFamily="34" charset="0"/>
            <a:cs typeface="Segoe UI" panose="020B0502040204020203" pitchFamily="34" charset="0"/>
          </a:endParaRPr>
        </a:p>
      </xdr:txBody>
    </xdr:sp>
    <xdr:clientData/>
  </xdr:twoCellAnchor>
  <xdr:twoCellAnchor>
    <xdr:from>
      <xdr:col>7</xdr:col>
      <xdr:colOff>42332</xdr:colOff>
      <xdr:row>5</xdr:row>
      <xdr:rowOff>42333</xdr:rowOff>
    </xdr:from>
    <xdr:to>
      <xdr:col>7</xdr:col>
      <xdr:colOff>2157901</xdr:colOff>
      <xdr:row>10</xdr:row>
      <xdr:rowOff>308605</xdr:rowOff>
    </xdr:to>
    <xdr:grpSp>
      <xdr:nvGrpSpPr>
        <xdr:cNvPr id="3" name="Main Menu - Sales">
          <a:extLst>
            <a:ext uri="{FF2B5EF4-FFF2-40B4-BE49-F238E27FC236}">
              <a16:creationId xmlns:a16="http://schemas.microsoft.com/office/drawing/2014/main" id="{00000000-0008-0000-0000-000003000000}"/>
            </a:ext>
          </a:extLst>
        </xdr:cNvPr>
        <xdr:cNvGrpSpPr/>
      </xdr:nvGrpSpPr>
      <xdr:grpSpPr>
        <a:xfrm>
          <a:off x="8119532" y="1347258"/>
          <a:ext cx="2115569" cy="2552272"/>
          <a:chOff x="8117415" y="1333500"/>
          <a:chExt cx="2115569" cy="2541688"/>
        </a:xfrm>
      </xdr:grpSpPr>
      <xdr:sp macro="[0]!GoTo_SalesAutomatedAdjustment_Tables" textlink="">
        <xdr:nvSpPr>
          <xdr:cNvPr id="190" name="Main Menu - Sales 3">
            <a:extLst>
              <a:ext uri="{FF2B5EF4-FFF2-40B4-BE49-F238E27FC236}">
                <a16:creationId xmlns:a16="http://schemas.microsoft.com/office/drawing/2014/main" id="{00000000-0008-0000-0000-0000BE000000}"/>
              </a:ext>
            </a:extLst>
          </xdr:cNvPr>
          <xdr:cNvSpPr>
            <a:spLocks noChangeAspect="1"/>
          </xdr:cNvSpPr>
        </xdr:nvSpPr>
        <xdr:spPr>
          <a:xfrm>
            <a:off x="8118509" y="1989671"/>
            <a:ext cx="2112597" cy="59436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Automated Sales Adjustments</a:t>
            </a:r>
          </a:p>
        </xdr:txBody>
      </xdr:sp>
      <xdr:sp macro="[0]!GoTo_SalesApproachSummary_Table_Light" textlink="">
        <xdr:nvSpPr>
          <xdr:cNvPr id="191" name="Main Menu - Sales 1">
            <a:extLst>
              <a:ext uri="{FF2B5EF4-FFF2-40B4-BE49-F238E27FC236}">
                <a16:creationId xmlns:a16="http://schemas.microsoft.com/office/drawing/2014/main" id="{00000000-0008-0000-0000-0000BF000000}"/>
              </a:ext>
            </a:extLst>
          </xdr:cNvPr>
          <xdr:cNvSpPr>
            <a:spLocks noChangeAspect="1"/>
          </xdr:cNvSpPr>
        </xdr:nvSpPr>
        <xdr:spPr>
          <a:xfrm>
            <a:off x="8118508" y="1333500"/>
            <a:ext cx="1042416" cy="59436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Summary - Light</a:t>
            </a:r>
          </a:p>
        </xdr:txBody>
      </xdr:sp>
      <xdr:sp macro="[0]!GoTo_SalesApproachSummary_Table_Detailed" textlink="">
        <xdr:nvSpPr>
          <xdr:cNvPr id="192" name="Main Menu - Sales 2">
            <a:extLst>
              <a:ext uri="{FF2B5EF4-FFF2-40B4-BE49-F238E27FC236}">
                <a16:creationId xmlns:a16="http://schemas.microsoft.com/office/drawing/2014/main" id="{00000000-0008-0000-0000-0000C0000000}"/>
              </a:ext>
            </a:extLst>
          </xdr:cNvPr>
          <xdr:cNvSpPr>
            <a:spLocks noChangeAspect="1"/>
          </xdr:cNvSpPr>
        </xdr:nvSpPr>
        <xdr:spPr>
          <a:xfrm>
            <a:off x="9187378" y="1333500"/>
            <a:ext cx="1042416" cy="59436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Summary - Detailed</a:t>
            </a:r>
          </a:p>
        </xdr:txBody>
      </xdr:sp>
      <xdr:sp macro="[0]!GoTo_SalesSpecialtyAdjustment_Tables" textlink="">
        <xdr:nvSpPr>
          <xdr:cNvPr id="193" name="Main Menu - Sales 4">
            <a:extLst>
              <a:ext uri="{FF2B5EF4-FFF2-40B4-BE49-F238E27FC236}">
                <a16:creationId xmlns:a16="http://schemas.microsoft.com/office/drawing/2014/main" id="{00000000-0008-0000-0000-0000C1000000}"/>
              </a:ext>
            </a:extLst>
          </xdr:cNvPr>
          <xdr:cNvSpPr>
            <a:spLocks noChangeAspect="1"/>
          </xdr:cNvSpPr>
        </xdr:nvSpPr>
        <xdr:spPr>
          <a:xfrm>
            <a:off x="8118460" y="2635249"/>
            <a:ext cx="2112597" cy="59436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Specialty Sales Adjustments</a:t>
            </a:r>
          </a:p>
        </xdr:txBody>
      </xdr:sp>
      <xdr:sp macro="[0]!GoTo_SalesApproach_Grid" textlink="">
        <xdr:nvSpPr>
          <xdr:cNvPr id="60" name="Main Menu - Sales 5">
            <a:extLst>
              <a:ext uri="{FF2B5EF4-FFF2-40B4-BE49-F238E27FC236}">
                <a16:creationId xmlns:a16="http://schemas.microsoft.com/office/drawing/2014/main" id="{00000000-0008-0000-0000-00003C000000}"/>
              </a:ext>
            </a:extLst>
          </xdr:cNvPr>
          <xdr:cNvSpPr>
            <a:spLocks noChangeAspect="1"/>
          </xdr:cNvSpPr>
        </xdr:nvSpPr>
        <xdr:spPr>
          <a:xfrm>
            <a:off x="8117415" y="3280828"/>
            <a:ext cx="2112597" cy="59436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Improved SCA Adjustment Grid</a:t>
            </a:r>
          </a:p>
        </xdr:txBody>
      </xdr:sp>
      <xdr:sp macro="[0]!GoTo_SalesApproach_GridB1" textlink="">
        <xdr:nvSpPr>
          <xdr:cNvPr id="70" name="Main Menu - Sales 6" hidden="1">
            <a:extLst>
              <a:ext uri="{FF2B5EF4-FFF2-40B4-BE49-F238E27FC236}">
                <a16:creationId xmlns:a16="http://schemas.microsoft.com/office/drawing/2014/main" id="{00000000-0008-0000-0000-000046000000}"/>
              </a:ext>
            </a:extLst>
          </xdr:cNvPr>
          <xdr:cNvSpPr>
            <a:spLocks noChangeAspect="1"/>
          </xdr:cNvSpPr>
        </xdr:nvSpPr>
        <xdr:spPr>
          <a:xfrm>
            <a:off x="8117415" y="3270255"/>
            <a:ext cx="1042416" cy="59436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Improved SCA Grid 1</a:t>
            </a:r>
          </a:p>
        </xdr:txBody>
      </xdr:sp>
      <xdr:sp macro="[0]!GoTo_SalesApproach_GridB2" textlink="">
        <xdr:nvSpPr>
          <xdr:cNvPr id="71" name="Main Menu - Sales 7" hidden="1">
            <a:extLst>
              <a:ext uri="{FF2B5EF4-FFF2-40B4-BE49-F238E27FC236}">
                <a16:creationId xmlns:a16="http://schemas.microsoft.com/office/drawing/2014/main" id="{00000000-0008-0000-0000-000047000000}"/>
              </a:ext>
            </a:extLst>
          </xdr:cNvPr>
          <xdr:cNvSpPr>
            <a:spLocks noChangeAspect="1"/>
          </xdr:cNvSpPr>
        </xdr:nvSpPr>
        <xdr:spPr>
          <a:xfrm>
            <a:off x="9190568" y="3274487"/>
            <a:ext cx="1042416" cy="59436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Improved SCA Grid 2</a:t>
            </a:r>
          </a:p>
        </xdr:txBody>
      </xdr:sp>
    </xdr:grpSp>
    <xdr:clientData/>
  </xdr:twoCellAnchor>
  <xdr:twoCellAnchor>
    <xdr:from>
      <xdr:col>7</xdr:col>
      <xdr:colOff>52916</xdr:colOff>
      <xdr:row>6</xdr:row>
      <xdr:rowOff>243417</xdr:rowOff>
    </xdr:from>
    <xdr:to>
      <xdr:col>7</xdr:col>
      <xdr:colOff>1095332</xdr:colOff>
      <xdr:row>7</xdr:row>
      <xdr:rowOff>382694</xdr:rowOff>
    </xdr:to>
    <xdr:sp macro="[0]!GoTo_SalesAutomatedAdjustment_Bucket1" textlink="">
      <xdr:nvSpPr>
        <xdr:cNvPr id="77" name="Main Menu - Sales 8" hidden="1">
          <a:extLst>
            <a:ext uri="{FF2B5EF4-FFF2-40B4-BE49-F238E27FC236}">
              <a16:creationId xmlns:a16="http://schemas.microsoft.com/office/drawing/2014/main" id="{00000000-0008-0000-0000-00004D000000}"/>
            </a:ext>
          </a:extLst>
        </xdr:cNvPr>
        <xdr:cNvSpPr>
          <a:spLocks noChangeAspect="1"/>
        </xdr:cNvSpPr>
      </xdr:nvSpPr>
      <xdr:spPr>
        <a:xfrm>
          <a:off x="8127999" y="1989667"/>
          <a:ext cx="1042416" cy="59436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Auto.</a:t>
          </a:r>
          <a:r>
            <a:rPr lang="en-US" sz="1200" b="1" baseline="0">
              <a:latin typeface="Segoe UI" panose="020B0502040204020203" pitchFamily="34" charset="0"/>
              <a:cs typeface="Segoe UI" panose="020B0502040204020203" pitchFamily="34" charset="0"/>
            </a:rPr>
            <a:t> SCA</a:t>
          </a:r>
          <a:r>
            <a:rPr lang="en-US" sz="1200" b="1">
              <a:latin typeface="Segoe UI" panose="020B0502040204020203" pitchFamily="34" charset="0"/>
              <a:cs typeface="Segoe UI" panose="020B0502040204020203" pitchFamily="34" charset="0"/>
            </a:rPr>
            <a:t> Adj.</a:t>
          </a:r>
          <a:r>
            <a:rPr lang="en-US" sz="1200" b="1" baseline="0">
              <a:latin typeface="Segoe UI" panose="020B0502040204020203" pitchFamily="34" charset="0"/>
              <a:cs typeface="Segoe UI" panose="020B0502040204020203" pitchFamily="34" charset="0"/>
            </a:rPr>
            <a:t> </a:t>
          </a:r>
          <a:r>
            <a:rPr lang="en-US" sz="1200" b="1">
              <a:latin typeface="Segoe UI" panose="020B0502040204020203" pitchFamily="34" charset="0"/>
              <a:cs typeface="Segoe UI" panose="020B0502040204020203" pitchFamily="34" charset="0"/>
            </a:rPr>
            <a:t>1</a:t>
          </a:r>
        </a:p>
      </xdr:txBody>
    </xdr:sp>
    <xdr:clientData/>
  </xdr:twoCellAnchor>
  <xdr:twoCellAnchor>
    <xdr:from>
      <xdr:col>7</xdr:col>
      <xdr:colOff>1126066</xdr:colOff>
      <xdr:row>6</xdr:row>
      <xdr:rowOff>237067</xdr:rowOff>
    </xdr:from>
    <xdr:to>
      <xdr:col>7</xdr:col>
      <xdr:colOff>2168482</xdr:colOff>
      <xdr:row>7</xdr:row>
      <xdr:rowOff>376344</xdr:rowOff>
    </xdr:to>
    <xdr:sp macro="[0]!GoTo_SalesAutomatedAdjustment_Bucket2" textlink="">
      <xdr:nvSpPr>
        <xdr:cNvPr id="78" name="Main Menu - Sales 9" hidden="1">
          <a:extLst>
            <a:ext uri="{FF2B5EF4-FFF2-40B4-BE49-F238E27FC236}">
              <a16:creationId xmlns:a16="http://schemas.microsoft.com/office/drawing/2014/main" id="{00000000-0008-0000-0000-00004E000000}"/>
            </a:ext>
          </a:extLst>
        </xdr:cNvPr>
        <xdr:cNvSpPr>
          <a:spLocks noChangeAspect="1"/>
        </xdr:cNvSpPr>
      </xdr:nvSpPr>
      <xdr:spPr>
        <a:xfrm>
          <a:off x="9201149" y="1983317"/>
          <a:ext cx="1042416" cy="59436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Auto.</a:t>
          </a:r>
          <a:r>
            <a:rPr lang="en-US" sz="1200" b="1" baseline="0">
              <a:latin typeface="Segoe UI" panose="020B0502040204020203" pitchFamily="34" charset="0"/>
              <a:cs typeface="Segoe UI" panose="020B0502040204020203" pitchFamily="34" charset="0"/>
            </a:rPr>
            <a:t> SCA Adj. 2</a:t>
          </a:r>
          <a:endParaRPr lang="en-US" sz="1200" b="1">
            <a:latin typeface="Segoe UI" panose="020B0502040204020203" pitchFamily="34" charset="0"/>
            <a:cs typeface="Segoe UI" panose="020B0502040204020203" pitchFamily="34" charset="0"/>
          </a:endParaRPr>
        </a:p>
      </xdr:txBody>
    </xdr:sp>
    <xdr:clientData/>
  </xdr:twoCellAnchor>
  <xdr:twoCellAnchor>
    <xdr:from>
      <xdr:col>7</xdr:col>
      <xdr:colOff>42333</xdr:colOff>
      <xdr:row>7</xdr:row>
      <xdr:rowOff>440267</xdr:rowOff>
    </xdr:from>
    <xdr:to>
      <xdr:col>7</xdr:col>
      <xdr:colOff>1084749</xdr:colOff>
      <xdr:row>9</xdr:row>
      <xdr:rowOff>124460</xdr:rowOff>
    </xdr:to>
    <xdr:sp macro="[0]!GoTo_SalesSpecialtyAdjustment_Bucket1" textlink="">
      <xdr:nvSpPr>
        <xdr:cNvPr id="79" name="Main Menu - Sales 10" hidden="1">
          <a:extLst>
            <a:ext uri="{FF2B5EF4-FFF2-40B4-BE49-F238E27FC236}">
              <a16:creationId xmlns:a16="http://schemas.microsoft.com/office/drawing/2014/main" id="{00000000-0008-0000-0000-00004F000000}"/>
            </a:ext>
          </a:extLst>
        </xdr:cNvPr>
        <xdr:cNvSpPr>
          <a:spLocks noChangeAspect="1"/>
        </xdr:cNvSpPr>
      </xdr:nvSpPr>
      <xdr:spPr>
        <a:xfrm>
          <a:off x="8117416" y="2641600"/>
          <a:ext cx="1042416" cy="59436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Specialty SCA Adj.</a:t>
          </a:r>
          <a:r>
            <a:rPr lang="en-US" sz="1200" b="1" baseline="0">
              <a:latin typeface="Segoe UI" panose="020B0502040204020203" pitchFamily="34" charset="0"/>
              <a:cs typeface="Segoe UI" panose="020B0502040204020203" pitchFamily="34" charset="0"/>
            </a:rPr>
            <a:t> </a:t>
          </a:r>
          <a:r>
            <a:rPr lang="en-US" sz="1200" b="1">
              <a:latin typeface="Segoe UI" panose="020B0502040204020203" pitchFamily="34" charset="0"/>
              <a:cs typeface="Segoe UI" panose="020B0502040204020203" pitchFamily="34" charset="0"/>
            </a:rPr>
            <a:t>1</a:t>
          </a:r>
        </a:p>
      </xdr:txBody>
    </xdr:sp>
    <xdr:clientData/>
  </xdr:twoCellAnchor>
  <xdr:twoCellAnchor>
    <xdr:from>
      <xdr:col>7</xdr:col>
      <xdr:colOff>1115483</xdr:colOff>
      <xdr:row>7</xdr:row>
      <xdr:rowOff>433917</xdr:rowOff>
    </xdr:from>
    <xdr:to>
      <xdr:col>7</xdr:col>
      <xdr:colOff>2157899</xdr:colOff>
      <xdr:row>9</xdr:row>
      <xdr:rowOff>118110</xdr:rowOff>
    </xdr:to>
    <xdr:sp macro="[0]!GoTo_SalesSpecialtyAdjustment_Bucket2" textlink="">
      <xdr:nvSpPr>
        <xdr:cNvPr id="80" name="Main Menu - Sales 11" hidden="1">
          <a:extLst>
            <a:ext uri="{FF2B5EF4-FFF2-40B4-BE49-F238E27FC236}">
              <a16:creationId xmlns:a16="http://schemas.microsoft.com/office/drawing/2014/main" id="{00000000-0008-0000-0000-000050000000}"/>
            </a:ext>
          </a:extLst>
        </xdr:cNvPr>
        <xdr:cNvSpPr>
          <a:spLocks noChangeAspect="1"/>
        </xdr:cNvSpPr>
      </xdr:nvSpPr>
      <xdr:spPr>
        <a:xfrm>
          <a:off x="9190566" y="2635250"/>
          <a:ext cx="1042416" cy="59436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Specialty</a:t>
          </a:r>
          <a:r>
            <a:rPr lang="en-US" sz="1200" b="1" baseline="0">
              <a:latin typeface="Segoe UI" panose="020B0502040204020203" pitchFamily="34" charset="0"/>
              <a:cs typeface="Segoe UI" panose="020B0502040204020203" pitchFamily="34" charset="0"/>
            </a:rPr>
            <a:t> SCA Adj. 2</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3</xdr:col>
      <xdr:colOff>32797</xdr:colOff>
      <xdr:row>5</xdr:row>
      <xdr:rowOff>53974</xdr:rowOff>
    </xdr:from>
    <xdr:to>
      <xdr:col>3</xdr:col>
      <xdr:colOff>2156025</xdr:colOff>
      <xdr:row>12</xdr:row>
      <xdr:rowOff>417874</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2985547" y="1358899"/>
          <a:ext cx="2123228" cy="3564300"/>
          <a:chOff x="2985547" y="1345141"/>
          <a:chExt cx="2123228" cy="3547956"/>
        </a:xfrm>
        <a:solidFill>
          <a:srgbClr val="4F81BD"/>
        </a:solidFill>
      </xdr:grpSpPr>
      <xdr:sp macro="[0]!GoTo_SalientFacts_Table" textlink="">
        <xdr:nvSpPr>
          <xdr:cNvPr id="168" name="Main Menu - Non-Valuation 1">
            <a:extLst>
              <a:ext uri="{FF2B5EF4-FFF2-40B4-BE49-F238E27FC236}">
                <a16:creationId xmlns:a16="http://schemas.microsoft.com/office/drawing/2014/main" id="{00000000-0008-0000-0000-0000A8000000}"/>
              </a:ext>
            </a:extLst>
          </xdr:cNvPr>
          <xdr:cNvSpPr>
            <a:spLocks noChangeAspect="1"/>
          </xdr:cNvSpPr>
        </xdr:nvSpPr>
        <xdr:spPr>
          <a:xfrm>
            <a:off x="2996178" y="1345141"/>
            <a:ext cx="2112597" cy="548640"/>
          </a:xfrm>
          <a:prstGeom prst="roundRect">
            <a:avLst/>
          </a:prstGeom>
          <a:grpFill/>
          <a:ln>
            <a:noFill/>
          </a:ln>
          <a:scene3d>
            <a:camera prst="orthographicFront"/>
            <a:lightRig rig="threePt" dir="t"/>
          </a:scene3d>
          <a:sp3d>
            <a:bevelT w="254000"/>
            <a:bevelB w="254000"/>
            <a:contourClr>
              <a:srgbClr val="1F497D"/>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Summary of Salient Facts</a:t>
            </a:r>
          </a:p>
        </xdr:txBody>
      </xdr:sp>
      <xdr:sp macro="[0]!GoTo_ValueIndications_Table" textlink="">
        <xdr:nvSpPr>
          <xdr:cNvPr id="170" name="Main Menu - Non-Valuation 2">
            <a:extLst>
              <a:ext uri="{FF2B5EF4-FFF2-40B4-BE49-F238E27FC236}">
                <a16:creationId xmlns:a16="http://schemas.microsoft.com/office/drawing/2014/main" id="{00000000-0008-0000-0000-0000AA000000}"/>
              </a:ext>
            </a:extLst>
          </xdr:cNvPr>
          <xdr:cNvSpPr>
            <a:spLocks noChangeAspect="1"/>
          </xdr:cNvSpPr>
        </xdr:nvSpPr>
        <xdr:spPr>
          <a:xfrm>
            <a:off x="2985548" y="1937808"/>
            <a:ext cx="2112597" cy="548640"/>
          </a:xfrm>
          <a:prstGeom prst="roundRect">
            <a:avLst/>
          </a:prstGeom>
          <a:grp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a:t>
            </a:r>
            <a:r>
              <a:rPr lang="en-US" sz="1200" b="1" baseline="0">
                <a:latin typeface="Segoe UI" panose="020B0502040204020203" pitchFamily="34" charset="0"/>
                <a:cs typeface="Segoe UI" panose="020B0502040204020203" pitchFamily="34" charset="0"/>
              </a:rPr>
              <a:t> Indications</a:t>
            </a:r>
            <a:endParaRPr lang="en-US" sz="1200" b="1">
              <a:latin typeface="Segoe UI" panose="020B0502040204020203" pitchFamily="34" charset="0"/>
              <a:cs typeface="Segoe UI" panose="020B0502040204020203" pitchFamily="34" charset="0"/>
            </a:endParaRPr>
          </a:p>
        </xdr:txBody>
      </xdr:sp>
      <xdr:sp macro="[0]!GoTo_RegionalData" textlink="">
        <xdr:nvSpPr>
          <xdr:cNvPr id="171" name="Main Menu - Non-Valuation 3">
            <a:extLst>
              <a:ext uri="{FF2B5EF4-FFF2-40B4-BE49-F238E27FC236}">
                <a16:creationId xmlns:a16="http://schemas.microsoft.com/office/drawing/2014/main" id="{00000000-0008-0000-0000-0000AB000000}"/>
              </a:ext>
            </a:extLst>
          </xdr:cNvPr>
          <xdr:cNvSpPr>
            <a:spLocks noChangeAspect="1"/>
          </xdr:cNvSpPr>
        </xdr:nvSpPr>
        <xdr:spPr>
          <a:xfrm>
            <a:off x="2985547" y="2530475"/>
            <a:ext cx="1042416" cy="548640"/>
          </a:xfrm>
          <a:prstGeom prst="roundRect">
            <a:avLst/>
          </a:prstGeom>
          <a:grp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Regional</a:t>
            </a:r>
          </a:p>
        </xdr:txBody>
      </xdr:sp>
      <xdr:sp macro="[0]!GoTo_NeighborhoodData" textlink="">
        <xdr:nvSpPr>
          <xdr:cNvPr id="172" name="Main Menu - Non-Valuation 4">
            <a:extLst>
              <a:ext uri="{FF2B5EF4-FFF2-40B4-BE49-F238E27FC236}">
                <a16:creationId xmlns:a16="http://schemas.microsoft.com/office/drawing/2014/main" id="{00000000-0008-0000-0000-0000AC000000}"/>
              </a:ext>
            </a:extLst>
          </xdr:cNvPr>
          <xdr:cNvSpPr>
            <a:spLocks noChangeAspect="1"/>
          </xdr:cNvSpPr>
        </xdr:nvSpPr>
        <xdr:spPr>
          <a:xfrm>
            <a:off x="4054464" y="2530474"/>
            <a:ext cx="1042416" cy="548640"/>
          </a:xfrm>
          <a:prstGeom prst="roundRect">
            <a:avLst/>
          </a:prstGeom>
          <a:grp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Neighbor.</a:t>
            </a:r>
          </a:p>
        </xdr:txBody>
      </xdr:sp>
      <xdr:sp macro="[0]!GoTo_BuildingAreaBreakdown" textlink="">
        <xdr:nvSpPr>
          <xdr:cNvPr id="173" name="Main Menu - Non-Valuation 5" hidden="1">
            <a:extLst>
              <a:ext uri="{FF2B5EF4-FFF2-40B4-BE49-F238E27FC236}">
                <a16:creationId xmlns:a16="http://schemas.microsoft.com/office/drawing/2014/main" id="{00000000-0008-0000-0000-0000AD000000}"/>
              </a:ext>
            </a:extLst>
          </xdr:cNvPr>
          <xdr:cNvSpPr>
            <a:spLocks noChangeAspect="1"/>
          </xdr:cNvSpPr>
        </xdr:nvSpPr>
        <xdr:spPr>
          <a:xfrm>
            <a:off x="2989799" y="3116791"/>
            <a:ext cx="2112597" cy="548640"/>
          </a:xfrm>
          <a:prstGeom prst="roundRect">
            <a:avLst/>
          </a:prstGeom>
          <a:grp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Building Area Breakdown</a:t>
            </a:r>
          </a:p>
        </xdr:txBody>
      </xdr:sp>
      <xdr:sp macro="[0]!GoTo_TaxSchedule_Table" textlink="">
        <xdr:nvSpPr>
          <xdr:cNvPr id="174" name="Main Menu - Non-Valuation 6">
            <a:extLst>
              <a:ext uri="{FF2B5EF4-FFF2-40B4-BE49-F238E27FC236}">
                <a16:creationId xmlns:a16="http://schemas.microsoft.com/office/drawing/2014/main" id="{00000000-0008-0000-0000-0000AE000000}"/>
              </a:ext>
            </a:extLst>
          </xdr:cNvPr>
          <xdr:cNvSpPr>
            <a:spLocks noChangeAspect="1"/>
          </xdr:cNvSpPr>
        </xdr:nvSpPr>
        <xdr:spPr>
          <a:xfrm>
            <a:off x="2985547" y="3705223"/>
            <a:ext cx="1042416" cy="594360"/>
          </a:xfrm>
          <a:prstGeom prst="roundRect">
            <a:avLst/>
          </a:prstGeom>
          <a:grp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Subject Tax</a:t>
            </a:r>
          </a:p>
        </xdr:txBody>
      </xdr:sp>
      <xdr:sp macro="[0]!GoTo_TaxComparable_Table" textlink="">
        <xdr:nvSpPr>
          <xdr:cNvPr id="175" name="Main Menu - Non-Valuation 7">
            <a:extLst>
              <a:ext uri="{FF2B5EF4-FFF2-40B4-BE49-F238E27FC236}">
                <a16:creationId xmlns:a16="http://schemas.microsoft.com/office/drawing/2014/main" id="{00000000-0008-0000-0000-0000AF000000}"/>
              </a:ext>
            </a:extLst>
          </xdr:cNvPr>
          <xdr:cNvSpPr>
            <a:spLocks noChangeAspect="1"/>
          </xdr:cNvSpPr>
        </xdr:nvSpPr>
        <xdr:spPr>
          <a:xfrm>
            <a:off x="4054459" y="3705231"/>
            <a:ext cx="1042416" cy="594360"/>
          </a:xfrm>
          <a:prstGeom prst="roundRect">
            <a:avLst/>
          </a:prstGeom>
          <a:grp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Tax Comps</a:t>
            </a:r>
          </a:p>
        </xdr:txBody>
      </xdr:sp>
      <xdr:sp macro="[0]!GoTo_MarketStudy_Table" textlink="">
        <xdr:nvSpPr>
          <xdr:cNvPr id="176" name="Main Menu - Non-Valuation 8">
            <a:extLst>
              <a:ext uri="{FF2B5EF4-FFF2-40B4-BE49-F238E27FC236}">
                <a16:creationId xmlns:a16="http://schemas.microsoft.com/office/drawing/2014/main" id="{00000000-0008-0000-0000-0000B0000000}"/>
              </a:ext>
            </a:extLst>
          </xdr:cNvPr>
          <xdr:cNvSpPr>
            <a:spLocks noChangeAspect="1"/>
          </xdr:cNvSpPr>
        </xdr:nvSpPr>
        <xdr:spPr>
          <a:xfrm>
            <a:off x="2989801" y="4344457"/>
            <a:ext cx="2112597" cy="548640"/>
          </a:xfrm>
          <a:prstGeom prst="roundRect">
            <a:avLst/>
          </a:prstGeom>
          <a:grp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Market Study</a:t>
            </a:r>
          </a:p>
        </xdr:txBody>
      </xdr:sp>
    </xdr:grpSp>
    <xdr:clientData/>
  </xdr:twoCellAnchor>
  <xdr:twoCellAnchor editAs="absolute">
    <xdr:from>
      <xdr:col>1</xdr:col>
      <xdr:colOff>52917</xdr:colOff>
      <xdr:row>12</xdr:row>
      <xdr:rowOff>81491</xdr:rowOff>
    </xdr:from>
    <xdr:to>
      <xdr:col>1</xdr:col>
      <xdr:colOff>2165562</xdr:colOff>
      <xdr:row>13</xdr:row>
      <xdr:rowOff>174966</xdr:rowOff>
    </xdr:to>
    <xdr:sp macro="[0]!GoTo_USPS" textlink="">
      <xdr:nvSpPr>
        <xdr:cNvPr id="66" name="Main Menu - Specialty 1" hidden="1">
          <a:extLst>
            <a:ext uri="{FF2B5EF4-FFF2-40B4-BE49-F238E27FC236}">
              <a16:creationId xmlns:a16="http://schemas.microsoft.com/office/drawing/2014/main" id="{00000000-0008-0000-0000-000042000000}"/>
            </a:ext>
          </a:extLst>
        </xdr:cNvPr>
        <xdr:cNvSpPr>
          <a:spLocks noChangeAspect="1"/>
        </xdr:cNvSpPr>
      </xdr:nvSpPr>
      <xdr:spPr>
        <a:xfrm>
          <a:off x="433917" y="4586816"/>
          <a:ext cx="2112645" cy="550675"/>
        </a:xfrm>
        <a:prstGeom prst="roundRect">
          <a:avLst/>
        </a:prstGeom>
        <a:solidFill>
          <a:schemeClr val="accent5">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USPS</a:t>
          </a:r>
        </a:p>
      </xdr:txBody>
    </xdr:sp>
    <xdr:clientData/>
  </xdr:twoCellAnchor>
  <xdr:twoCellAnchor>
    <xdr:from>
      <xdr:col>1</xdr:col>
      <xdr:colOff>42863</xdr:colOff>
      <xdr:row>6</xdr:row>
      <xdr:rowOff>190500</xdr:rowOff>
    </xdr:from>
    <xdr:to>
      <xdr:col>1</xdr:col>
      <xdr:colOff>2155270</xdr:colOff>
      <xdr:row>7</xdr:row>
      <xdr:rowOff>284057</xdr:rowOff>
    </xdr:to>
    <xdr:sp macro="[0]!GoTo_Revisions_Additions" textlink="">
      <xdr:nvSpPr>
        <xdr:cNvPr id="83" name="Main Menu - Revisions-Additions">
          <a:extLst>
            <a:ext uri="{FF2B5EF4-FFF2-40B4-BE49-F238E27FC236}">
              <a16:creationId xmlns:a16="http://schemas.microsoft.com/office/drawing/2014/main" id="{00000000-0008-0000-0000-000053000000}"/>
            </a:ext>
          </a:extLst>
        </xdr:cNvPr>
        <xdr:cNvSpPr>
          <a:spLocks noChangeAspect="1"/>
        </xdr:cNvSpPr>
      </xdr:nvSpPr>
      <xdr:spPr>
        <a:xfrm>
          <a:off x="452438" y="1976438"/>
          <a:ext cx="2112407" cy="550757"/>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bIns="45720" rtlCol="0" anchor="ctr"/>
        <a:lstStyle/>
        <a:p>
          <a:pPr algn="ctr"/>
          <a:r>
            <a:rPr lang="en-US" sz="1200" b="1">
              <a:solidFill>
                <a:srgbClr val="1F497D"/>
              </a:solidFill>
              <a:latin typeface="Segoe UI" panose="020B0502040204020203" pitchFamily="34" charset="0"/>
              <a:cs typeface="Segoe UI" panose="020B0502040204020203" pitchFamily="34" charset="0"/>
            </a:rPr>
            <a:t>Revisions-Additions History</a:t>
          </a:r>
        </a:p>
      </xdr:txBody>
    </xdr:sp>
    <xdr:clientData/>
  </xdr:twoCellAnchor>
  <xdr:twoCellAnchor editAs="absolute">
    <xdr:from>
      <xdr:col>1</xdr:col>
      <xdr:colOff>57150</xdr:colOff>
      <xdr:row>13</xdr:row>
      <xdr:rowOff>247650</xdr:rowOff>
    </xdr:from>
    <xdr:to>
      <xdr:col>1</xdr:col>
      <xdr:colOff>2169795</xdr:colOff>
      <xdr:row>14</xdr:row>
      <xdr:rowOff>341125</xdr:rowOff>
    </xdr:to>
    <xdr:sp macro="[0]!GoTo_WellsFargo" textlink="">
      <xdr:nvSpPr>
        <xdr:cNvPr id="81" name="Main Menu - Specialty 2" hidden="1">
          <a:extLst>
            <a:ext uri="{FF2B5EF4-FFF2-40B4-BE49-F238E27FC236}">
              <a16:creationId xmlns:a16="http://schemas.microsoft.com/office/drawing/2014/main" id="{00000000-0008-0000-0000-000051000000}"/>
            </a:ext>
          </a:extLst>
        </xdr:cNvPr>
        <xdr:cNvSpPr>
          <a:spLocks noChangeAspect="1"/>
        </xdr:cNvSpPr>
      </xdr:nvSpPr>
      <xdr:spPr>
        <a:xfrm>
          <a:off x="438150" y="5210175"/>
          <a:ext cx="2112645" cy="550675"/>
        </a:xfrm>
        <a:prstGeom prst="roundRect">
          <a:avLst/>
        </a:prstGeom>
        <a:solidFill>
          <a:schemeClr val="accent5">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Wells</a:t>
          </a:r>
          <a:r>
            <a:rPr lang="en-US" sz="1200" b="1" baseline="0">
              <a:latin typeface="Segoe UI" panose="020B0502040204020203" pitchFamily="34" charset="0"/>
              <a:cs typeface="Segoe UI" panose="020B0502040204020203" pitchFamily="34" charset="0"/>
            </a:rPr>
            <a:t> Fargo Data Exchange</a:t>
          </a:r>
          <a:endParaRPr lang="en-US" sz="1200" b="1">
            <a:latin typeface="Segoe UI" panose="020B0502040204020203" pitchFamily="34" charset="0"/>
            <a:cs typeface="Segoe UI" panose="020B0502040204020203"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1442508</xdr:colOff>
      <xdr:row>0</xdr:row>
      <xdr:rowOff>85722</xdr:rowOff>
    </xdr:from>
    <xdr:to>
      <xdr:col>3</xdr:col>
      <xdr:colOff>2278591</xdr:colOff>
      <xdr:row>0</xdr:row>
      <xdr:rowOff>685800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2199216" y="85722"/>
          <a:ext cx="3550709" cy="60007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No user inputs are required on this sheet</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Datappraise Merge</a:t>
          </a:r>
        </a:p>
      </xdr:txBody>
    </xdr:sp>
    <xdr:clientData/>
  </xdr:twoCellAnchor>
  <xdr:twoCellAnchor editAs="absolute">
    <xdr:from>
      <xdr:col>0</xdr:col>
      <xdr:colOff>0</xdr:colOff>
      <xdr:row>0</xdr:row>
      <xdr:rowOff>0</xdr:rowOff>
    </xdr:from>
    <xdr:to>
      <xdr:col>2</xdr:col>
      <xdr:colOff>149367</xdr:colOff>
      <xdr:row>0</xdr:row>
      <xdr:rowOff>731520</xdr:rowOff>
    </xdr:to>
    <xdr:sp macro="[0]!GoTo_Main" textlink="">
      <xdr:nvSpPr>
        <xdr:cNvPr id="6" name="Rounded Rectangle 5">
          <a:extLst>
            <a:ext uri="{FF2B5EF4-FFF2-40B4-BE49-F238E27FC236}">
              <a16:creationId xmlns:a16="http://schemas.microsoft.com/office/drawing/2014/main" id="{00000000-0008-0000-0100-000006000000}"/>
            </a:ext>
          </a:extLst>
        </xdr:cNvPr>
        <xdr:cNvSpPr>
          <a:spLocks noChangeAspect="1"/>
        </xdr:cNvSpPr>
      </xdr:nvSpPr>
      <xdr:spPr>
        <a:xfrm>
          <a:off x="0" y="0"/>
          <a:ext cx="911367"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2</xdr:col>
      <xdr:colOff>183318</xdr:colOff>
      <xdr:row>0</xdr:row>
      <xdr:rowOff>0</xdr:rowOff>
    </xdr:from>
    <xdr:to>
      <xdr:col>2</xdr:col>
      <xdr:colOff>1373443</xdr:colOff>
      <xdr:row>0</xdr:row>
      <xdr:rowOff>731520</xdr:rowOff>
    </xdr:to>
    <xdr:sp macro="[0]!ShowUserFormTemplateAssumptions" textlink="">
      <xdr:nvSpPr>
        <xdr:cNvPr id="4" name="Rounded Rectangle 3">
          <a:extLst>
            <a:ext uri="{FF2B5EF4-FFF2-40B4-BE49-F238E27FC236}">
              <a16:creationId xmlns:a16="http://schemas.microsoft.com/office/drawing/2014/main" id="{00000000-0008-0000-0100-000004000000}"/>
            </a:ext>
          </a:extLst>
        </xdr:cNvPr>
        <xdr:cNvSpPr>
          <a:spLocks noChangeAspect="1"/>
        </xdr:cNvSpPr>
      </xdr:nvSpPr>
      <xdr:spPr>
        <a:xfrm>
          <a:off x="945318" y="0"/>
          <a:ext cx="1190125"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a:t>
          </a:r>
          <a:r>
            <a:rPr lang="en-US" sz="1200" b="1" baseline="0">
              <a:solidFill>
                <a:srgbClr val="1F497D"/>
              </a:solidFill>
              <a:latin typeface="Segoe UI" panose="020B0502040204020203" pitchFamily="34" charset="0"/>
              <a:cs typeface="Segoe UI" panose="020B0502040204020203" pitchFamily="34" charset="0"/>
            </a:rPr>
            <a:t> Assumptions</a:t>
          </a:r>
          <a:endParaRPr lang="en-US" sz="1200" b="1">
            <a:solidFill>
              <a:srgbClr val="1F497D"/>
            </a:solidFill>
            <a:latin typeface="Segoe UI" panose="020B0502040204020203" pitchFamily="34" charset="0"/>
            <a:cs typeface="Segoe UI" panose="020B0502040204020203" pitchFamily="34" charset="0"/>
          </a:endParaRPr>
        </a:p>
      </xdr:txBody>
    </xdr:sp>
    <xdr:clientData/>
  </xdr:twoCellAnchor>
  <xdr:twoCellAnchor editAs="absolute">
    <xdr:from>
      <xdr:col>3</xdr:col>
      <xdr:colOff>2343149</xdr:colOff>
      <xdr:row>0</xdr:row>
      <xdr:rowOff>0</xdr:rowOff>
    </xdr:from>
    <xdr:to>
      <xdr:col>4</xdr:col>
      <xdr:colOff>908684</xdr:colOff>
      <xdr:row>0</xdr:row>
      <xdr:rowOff>731520</xdr:rowOff>
    </xdr:to>
    <xdr:sp macro="[0]!EmailDraftReview" textlink="">
      <xdr:nvSpPr>
        <xdr:cNvPr id="3" name="Rounded Rectangle 5">
          <a:extLst>
            <a:ext uri="{FF2B5EF4-FFF2-40B4-BE49-F238E27FC236}">
              <a16:creationId xmlns:a16="http://schemas.microsoft.com/office/drawing/2014/main" id="{00000000-0008-0000-0100-000003000000}"/>
            </a:ext>
          </a:extLst>
        </xdr:cNvPr>
        <xdr:cNvSpPr>
          <a:spLocks noChangeAspect="1"/>
        </xdr:cNvSpPr>
      </xdr:nvSpPr>
      <xdr:spPr>
        <a:xfrm>
          <a:off x="5819774" y="0"/>
          <a:ext cx="1280160" cy="731520"/>
        </a:xfrm>
        <a:prstGeom prst="roundRect">
          <a:avLst/>
        </a:prstGeom>
        <a:solidFill>
          <a:srgbClr val="F2B8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Email Review Request</a:t>
          </a:r>
        </a:p>
      </xdr:txBody>
    </xdr:sp>
    <xdr:clientData/>
  </xdr:twoCellAnchor>
  <xdr:twoCellAnchor editAs="absolute">
    <xdr:from>
      <xdr:col>4</xdr:col>
      <xdr:colOff>962024</xdr:colOff>
      <xdr:row>0</xdr:row>
      <xdr:rowOff>0</xdr:rowOff>
    </xdr:from>
    <xdr:to>
      <xdr:col>4</xdr:col>
      <xdr:colOff>2425064</xdr:colOff>
      <xdr:row>0</xdr:row>
      <xdr:rowOff>731520</xdr:rowOff>
    </xdr:to>
    <xdr:sp macro="[0]!EmailInvoiceDelivery" textlink="">
      <xdr:nvSpPr>
        <xdr:cNvPr id="7" name="Rounded Rectangle 5">
          <a:extLst>
            <a:ext uri="{FF2B5EF4-FFF2-40B4-BE49-F238E27FC236}">
              <a16:creationId xmlns:a16="http://schemas.microsoft.com/office/drawing/2014/main" id="{00000000-0008-0000-0100-000007000000}"/>
            </a:ext>
          </a:extLst>
        </xdr:cNvPr>
        <xdr:cNvSpPr>
          <a:spLocks noChangeAspect="1"/>
        </xdr:cNvSpPr>
      </xdr:nvSpPr>
      <xdr:spPr>
        <a:xfrm>
          <a:off x="7153274" y="0"/>
          <a:ext cx="1463040" cy="731520"/>
        </a:xfrm>
        <a:prstGeom prst="roundRect">
          <a:avLst/>
        </a:prstGeom>
        <a:solidFill>
          <a:srgbClr val="F2B8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Email Invoice</a:t>
          </a:r>
          <a:r>
            <a:rPr lang="en-US" sz="1200" b="1" baseline="0">
              <a:solidFill>
                <a:srgbClr val="1F497D"/>
              </a:solidFill>
              <a:latin typeface="Segoe UI" panose="020B0502040204020203" pitchFamily="34" charset="0"/>
              <a:cs typeface="Segoe UI" panose="020B0502040204020203" pitchFamily="34" charset="0"/>
            </a:rPr>
            <a:t> &amp; Delivery Request</a:t>
          </a:r>
          <a:endParaRPr lang="en-US" sz="1200" b="1">
            <a:solidFill>
              <a:srgbClr val="1F497D"/>
            </a:solidFill>
            <a:latin typeface="Segoe UI" panose="020B0502040204020203"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11</xdr:col>
      <xdr:colOff>11642</xdr:colOff>
      <xdr:row>0</xdr:row>
      <xdr:rowOff>96308</xdr:rowOff>
    </xdr:from>
    <xdr:to>
      <xdr:col>21</xdr:col>
      <xdr:colOff>137371</xdr:colOff>
      <xdr:row>2</xdr:row>
      <xdr:rowOff>205317</xdr:rowOff>
    </xdr:to>
    <xdr:sp macro="" textlink="">
      <xdr:nvSpPr>
        <xdr:cNvPr id="15" name="TextBox 14">
          <a:hlinkClick xmlns:r="http://schemas.openxmlformats.org/officeDocument/2006/relationships" r:id="rId1"/>
          <a:extLst>
            <a:ext uri="{FF2B5EF4-FFF2-40B4-BE49-F238E27FC236}">
              <a16:creationId xmlns:a16="http://schemas.microsoft.com/office/drawing/2014/main" id="{00000000-0008-0000-0200-00000F000000}"/>
            </a:ext>
          </a:extLst>
        </xdr:cNvPr>
        <xdr:cNvSpPr txBox="1">
          <a:spLocks noChangeAspect="1"/>
        </xdr:cNvSpPr>
      </xdr:nvSpPr>
      <xdr:spPr>
        <a:xfrm>
          <a:off x="9553575" y="96308"/>
          <a:ext cx="6626013" cy="9980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rtl="0" eaLnBrk="1" fontAlgn="auto" latinLnBrk="0" hangingPunct="1">
            <a:lnSpc>
              <a:spcPct val="100000"/>
            </a:lnSpc>
            <a:spcBef>
              <a:spcPts val="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1. </a:t>
          </a:r>
          <a:r>
            <a:rPr kumimoji="0" lang="en-US" sz="1000" b="1" i="0" u="none" strike="noStrike" kern="0" cap="none" spc="0" normalizeH="0" baseline="0" noProof="0">
              <a:ln>
                <a:noFill/>
              </a:ln>
              <a:solidFill>
                <a:prstClr val="black"/>
              </a:solidFill>
              <a:effectLst/>
              <a:uLnTx/>
              <a:uFillTx/>
              <a:latin typeface="Segoe UI" panose="020B0502040204020203" pitchFamily="34" charset="0"/>
              <a:ea typeface="+mn-ea"/>
              <a:cs typeface="Segoe UI" panose="020B0502040204020203" pitchFamily="34" charset="0"/>
            </a:rPr>
            <a:t>User inputs in cells with white background only</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2.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shading scheme,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 "Default" Button to add shading scheme and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9</xdr:col>
      <xdr:colOff>340786</xdr:colOff>
      <xdr:row>0</xdr:row>
      <xdr:rowOff>731520</xdr:rowOff>
    </xdr:to>
    <xdr:grpSp>
      <xdr:nvGrpSpPr>
        <xdr:cNvPr id="2" name="Group 1">
          <a:extLst>
            <a:ext uri="{FF2B5EF4-FFF2-40B4-BE49-F238E27FC236}">
              <a16:creationId xmlns:a16="http://schemas.microsoft.com/office/drawing/2014/main" id="{00000000-0008-0000-0200-000002000000}"/>
            </a:ext>
          </a:extLst>
        </xdr:cNvPr>
        <xdr:cNvGrpSpPr>
          <a:grpSpLocks noChangeAspect="1"/>
        </xdr:cNvGrpSpPr>
      </xdr:nvGrpSpPr>
      <xdr:grpSpPr>
        <a:xfrm>
          <a:off x="0" y="0"/>
          <a:ext cx="9389536" cy="731520"/>
          <a:chOff x="0" y="0"/>
          <a:chExt cx="9359902" cy="731520"/>
        </a:xfrm>
      </xdr:grpSpPr>
      <xdr:sp macro="[0]!GoTo_Main" textlink="">
        <xdr:nvSpPr>
          <xdr:cNvPr id="17" name="Rounded Rectangle 16">
            <a:extLst>
              <a:ext uri="{FF2B5EF4-FFF2-40B4-BE49-F238E27FC236}">
                <a16:creationId xmlns:a16="http://schemas.microsoft.com/office/drawing/2014/main" id="{00000000-0008-0000-0200-000011000000}"/>
              </a:ext>
            </a:extLst>
          </xdr:cNvPr>
          <xdr:cNvSpPr>
            <a:spLocks noChangeAspect="1"/>
          </xdr:cNvSpPr>
        </xdr:nvSpPr>
        <xdr:spPr>
          <a:xfrm>
            <a:off x="0" y="0"/>
            <a:ext cx="912283"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LandAdjustment_Grid" textlink="">
        <xdr:nvSpPr>
          <xdr:cNvPr id="18" name="Rounded Rectangle 17">
            <a:extLst>
              <a:ext uri="{FF2B5EF4-FFF2-40B4-BE49-F238E27FC236}">
                <a16:creationId xmlns:a16="http://schemas.microsoft.com/office/drawing/2014/main" id="{00000000-0008-0000-0200-000012000000}"/>
              </a:ext>
            </a:extLst>
          </xdr:cNvPr>
          <xdr:cNvSpPr>
            <a:spLocks noChangeAspect="1"/>
          </xdr:cNvSpPr>
        </xdr:nvSpPr>
        <xdr:spPr>
          <a:xfrm>
            <a:off x="3314699" y="0"/>
            <a:ext cx="914400" cy="73152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Land Adj.</a:t>
            </a:r>
            <a:r>
              <a:rPr lang="en-US" sz="1200" b="1" baseline="0">
                <a:latin typeface="Segoe UI" panose="020B0502040204020203" pitchFamily="34" charset="0"/>
                <a:cs typeface="Segoe UI" panose="020B0502040204020203" pitchFamily="34" charset="0"/>
              </a:rPr>
              <a:t> Grid</a:t>
            </a:r>
            <a:endParaRPr lang="en-US" sz="1200" b="1">
              <a:latin typeface="Segoe UI" panose="020B0502040204020203" pitchFamily="34" charset="0"/>
              <a:cs typeface="Segoe UI" panose="020B0502040204020203" pitchFamily="34" charset="0"/>
            </a:endParaRPr>
          </a:p>
        </xdr:txBody>
      </xdr:sp>
      <xdr:sp macro="[0]!GoTo_CostApproach_Table" textlink="">
        <xdr:nvSpPr>
          <xdr:cNvPr id="19" name="Rounded Rectangle 18">
            <a:extLst>
              <a:ext uri="{FF2B5EF4-FFF2-40B4-BE49-F238E27FC236}">
                <a16:creationId xmlns:a16="http://schemas.microsoft.com/office/drawing/2014/main" id="{00000000-0008-0000-0200-000013000000}"/>
              </a:ext>
            </a:extLst>
          </xdr:cNvPr>
          <xdr:cNvSpPr>
            <a:spLocks noChangeAspect="1"/>
          </xdr:cNvSpPr>
        </xdr:nvSpPr>
        <xdr:spPr>
          <a:xfrm>
            <a:off x="4267198" y="0"/>
            <a:ext cx="914400"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Cost Schedule</a:t>
            </a:r>
          </a:p>
        </xdr:txBody>
      </xdr:sp>
      <xdr:sp macro="[0]!GoTo_SalesApproach_Grid" textlink="">
        <xdr:nvSpPr>
          <xdr:cNvPr id="20" name="Rounded Rectangle 19">
            <a:extLst>
              <a:ext uri="{FF2B5EF4-FFF2-40B4-BE49-F238E27FC236}">
                <a16:creationId xmlns:a16="http://schemas.microsoft.com/office/drawing/2014/main" id="{00000000-0008-0000-0200-000014000000}"/>
              </a:ext>
            </a:extLst>
          </xdr:cNvPr>
          <xdr:cNvSpPr>
            <a:spLocks noChangeAspect="1"/>
          </xdr:cNvSpPr>
        </xdr:nvSpPr>
        <xdr:spPr>
          <a:xfrm>
            <a:off x="5219698" y="0"/>
            <a:ext cx="91440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a:t>
            </a:r>
            <a:r>
              <a:rPr lang="en-US" sz="1200" b="1" baseline="0">
                <a:latin typeface="Segoe UI" panose="020B0502040204020203" pitchFamily="34" charset="0"/>
                <a:cs typeface="Segoe UI" panose="020B0502040204020203" pitchFamily="34" charset="0"/>
              </a:rPr>
              <a:t> Adj. Grid</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21" name="Rounded Rectangle 20">
            <a:extLst>
              <a:ext uri="{FF2B5EF4-FFF2-40B4-BE49-F238E27FC236}">
                <a16:creationId xmlns:a16="http://schemas.microsoft.com/office/drawing/2014/main" id="{00000000-0008-0000-0200-000015000000}"/>
              </a:ext>
            </a:extLst>
          </xdr:cNvPr>
          <xdr:cNvSpPr>
            <a:spLocks noChangeAspect="1"/>
          </xdr:cNvSpPr>
        </xdr:nvSpPr>
        <xdr:spPr>
          <a:xfrm>
            <a:off x="6172198" y="0"/>
            <a:ext cx="1282276"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 Assumptions</a:t>
            </a:r>
          </a:p>
        </xdr:txBody>
      </xdr:sp>
      <xdr:sp macro="[0]!ShowUserFormTemplateAssumptions" textlink="">
        <xdr:nvSpPr>
          <xdr:cNvPr id="22" name="Rounded Rectangle 21">
            <a:extLst>
              <a:ext uri="{FF2B5EF4-FFF2-40B4-BE49-F238E27FC236}">
                <a16:creationId xmlns:a16="http://schemas.microsoft.com/office/drawing/2014/main" id="{00000000-0008-0000-0200-000016000000}"/>
              </a:ext>
            </a:extLst>
          </xdr:cNvPr>
          <xdr:cNvSpPr>
            <a:spLocks noChangeAspect="1"/>
          </xdr:cNvSpPr>
        </xdr:nvSpPr>
        <xdr:spPr>
          <a:xfrm>
            <a:off x="2081738" y="0"/>
            <a:ext cx="1183429"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a:t>
            </a:r>
            <a:r>
              <a:rPr lang="en-US" sz="1200" b="1" baseline="0">
                <a:solidFill>
                  <a:srgbClr val="1F497D"/>
                </a:solidFill>
                <a:latin typeface="Segoe UI" panose="020B0502040204020203" pitchFamily="34" charset="0"/>
                <a:cs typeface="Segoe UI" panose="020B0502040204020203" pitchFamily="34" charset="0"/>
              </a:rPr>
              <a:t> Assumptions</a:t>
            </a:r>
            <a:endParaRPr lang="en-US" sz="1200" b="1">
              <a:solidFill>
                <a:srgbClr val="1F497D"/>
              </a:solidFill>
              <a:latin typeface="Segoe UI" panose="020B0502040204020203" pitchFamily="34" charset="0"/>
              <a:cs typeface="Segoe UI" panose="020B0502040204020203" pitchFamily="34" charset="0"/>
            </a:endParaRPr>
          </a:p>
        </xdr:txBody>
      </xdr:sp>
      <xdr:sp macro="[0]!Update_SalientFacts_Table" textlink="">
        <xdr:nvSpPr>
          <xdr:cNvPr id="23" name="Rounded Rectangle 22">
            <a:extLst>
              <a:ext uri="{FF2B5EF4-FFF2-40B4-BE49-F238E27FC236}">
                <a16:creationId xmlns:a16="http://schemas.microsoft.com/office/drawing/2014/main" id="{00000000-0008-0000-0200-000017000000}"/>
              </a:ext>
            </a:extLst>
          </xdr:cNvPr>
          <xdr:cNvSpPr>
            <a:spLocks noChangeAspect="1"/>
          </xdr:cNvSpPr>
        </xdr:nvSpPr>
        <xdr:spPr>
          <a:xfrm>
            <a:off x="7496178" y="0"/>
            <a:ext cx="905934"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SalientFacts_Table" textlink="">
        <xdr:nvSpPr>
          <xdr:cNvPr id="24" name="Rounded Rectangle 23">
            <a:extLst>
              <a:ext uri="{FF2B5EF4-FFF2-40B4-BE49-F238E27FC236}">
                <a16:creationId xmlns:a16="http://schemas.microsoft.com/office/drawing/2014/main" id="{00000000-0008-0000-0200-000018000000}"/>
              </a:ext>
            </a:extLst>
          </xdr:cNvPr>
          <xdr:cNvSpPr>
            <a:spLocks noChangeAspect="1"/>
          </xdr:cNvSpPr>
        </xdr:nvSpPr>
        <xdr:spPr>
          <a:xfrm>
            <a:off x="8449736" y="0"/>
            <a:ext cx="91016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GoTo_ValueIndications_Table" textlink="">
        <xdr:nvSpPr>
          <xdr:cNvPr id="25" name="Rounded Rectangle 24">
            <a:extLst>
              <a:ext uri="{FF2B5EF4-FFF2-40B4-BE49-F238E27FC236}">
                <a16:creationId xmlns:a16="http://schemas.microsoft.com/office/drawing/2014/main" id="{00000000-0008-0000-0200-000019000000}"/>
              </a:ext>
            </a:extLst>
          </xdr:cNvPr>
          <xdr:cNvSpPr>
            <a:spLocks noChangeAspect="1"/>
          </xdr:cNvSpPr>
        </xdr:nvSpPr>
        <xdr:spPr>
          <a:xfrm>
            <a:off x="949325" y="0"/>
            <a:ext cx="109728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12</xdr:col>
      <xdr:colOff>9525</xdr:colOff>
      <xdr:row>3</xdr:row>
      <xdr:rowOff>68791</xdr:rowOff>
    </xdr:from>
    <xdr:to>
      <xdr:col>16</xdr:col>
      <xdr:colOff>3458634</xdr:colOff>
      <xdr:row>10</xdr:row>
      <xdr:rowOff>118533</xdr:rowOff>
    </xdr:to>
    <xdr:sp macro="" textlink="">
      <xdr:nvSpPr>
        <xdr:cNvPr id="14" name="TextBox 13">
          <a:hlinkClick xmlns:r="http://schemas.openxmlformats.org/officeDocument/2006/relationships" r:id="rId1"/>
          <a:extLst>
            <a:ext uri="{FF2B5EF4-FFF2-40B4-BE49-F238E27FC236}">
              <a16:creationId xmlns:a16="http://schemas.microsoft.com/office/drawing/2014/main" id="{00000000-0008-0000-0300-00000E000000}"/>
            </a:ext>
          </a:extLst>
        </xdr:cNvPr>
        <xdr:cNvSpPr txBox="1"/>
      </xdr:nvSpPr>
      <xdr:spPr>
        <a:xfrm>
          <a:off x="8277225" y="1145116"/>
          <a:ext cx="6849534" cy="10022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rtl="0" eaLnBrk="1" fontAlgn="auto" latinLnBrk="0" hangingPunct="1">
            <a:lnSpc>
              <a:spcPct val="100000"/>
            </a:lnSpc>
            <a:spcBef>
              <a:spcPts val="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1. </a:t>
          </a:r>
          <a:r>
            <a:rPr kumimoji="0" lang="en-US" sz="1000" b="1" i="0" u="none" strike="noStrike" kern="0" cap="none" spc="0" normalizeH="0" baseline="0" noProof="0">
              <a:ln>
                <a:noFill/>
              </a:ln>
              <a:solidFill>
                <a:prstClr val="black"/>
              </a:solidFill>
              <a:effectLst/>
              <a:uLnTx/>
              <a:uFillTx/>
              <a:latin typeface="Segoe UI" panose="020B0502040204020203" pitchFamily="34" charset="0"/>
              <a:ea typeface="+mn-ea"/>
              <a:cs typeface="Segoe UI" panose="020B0502040204020203" pitchFamily="34" charset="0"/>
            </a:rPr>
            <a:t>User inputs in cells with white background only</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2.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 "Default" Button to add shading and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15</xdr:col>
      <xdr:colOff>976842</xdr:colOff>
      <xdr:row>0</xdr:row>
      <xdr:rowOff>731520</xdr:rowOff>
    </xdr:to>
    <xdr:grpSp>
      <xdr:nvGrpSpPr>
        <xdr:cNvPr id="2" name="Group 1">
          <a:extLst>
            <a:ext uri="{FF2B5EF4-FFF2-40B4-BE49-F238E27FC236}">
              <a16:creationId xmlns:a16="http://schemas.microsoft.com/office/drawing/2014/main" id="{00000000-0008-0000-0300-000002000000}"/>
            </a:ext>
          </a:extLst>
        </xdr:cNvPr>
        <xdr:cNvGrpSpPr>
          <a:grpSpLocks/>
        </xdr:cNvGrpSpPr>
      </xdr:nvGrpSpPr>
      <xdr:grpSpPr>
        <a:xfrm>
          <a:off x="0" y="0"/>
          <a:ext cx="9444567" cy="731520"/>
          <a:chOff x="0" y="0"/>
          <a:chExt cx="9449858" cy="731520"/>
        </a:xfrm>
      </xdr:grpSpPr>
      <xdr:sp macro="[0]!GoTo_Main" textlink="">
        <xdr:nvSpPr>
          <xdr:cNvPr id="25" name="Rounded Rectangle 24">
            <a:extLst>
              <a:ext uri="{FF2B5EF4-FFF2-40B4-BE49-F238E27FC236}">
                <a16:creationId xmlns:a16="http://schemas.microsoft.com/office/drawing/2014/main" id="{00000000-0008-0000-0300-000019000000}"/>
              </a:ext>
            </a:extLst>
          </xdr:cNvPr>
          <xdr:cNvSpPr>
            <a:spLocks noChangeAspect="1"/>
          </xdr:cNvSpPr>
        </xdr:nvSpPr>
        <xdr:spPr>
          <a:xfrm>
            <a:off x="0" y="0"/>
            <a:ext cx="911225"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LandAdjustment_Grid" textlink="">
        <xdr:nvSpPr>
          <xdr:cNvPr id="26" name="Rounded Rectangle 25">
            <a:extLst>
              <a:ext uri="{FF2B5EF4-FFF2-40B4-BE49-F238E27FC236}">
                <a16:creationId xmlns:a16="http://schemas.microsoft.com/office/drawing/2014/main" id="{00000000-0008-0000-0300-00001A000000}"/>
              </a:ext>
            </a:extLst>
          </xdr:cNvPr>
          <xdr:cNvSpPr>
            <a:spLocks noChangeAspect="1"/>
          </xdr:cNvSpPr>
        </xdr:nvSpPr>
        <xdr:spPr>
          <a:xfrm>
            <a:off x="3399362" y="0"/>
            <a:ext cx="917575" cy="73152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Land Adj.</a:t>
            </a:r>
            <a:r>
              <a:rPr lang="en-US" sz="1200" b="1" baseline="0">
                <a:latin typeface="Segoe UI" panose="020B0502040204020203" pitchFamily="34" charset="0"/>
                <a:cs typeface="Segoe UI" panose="020B0502040204020203" pitchFamily="34" charset="0"/>
              </a:rPr>
              <a:t> Grid</a:t>
            </a:r>
            <a:endParaRPr lang="en-US" sz="1200" b="1">
              <a:latin typeface="Segoe UI" panose="020B0502040204020203" pitchFamily="34" charset="0"/>
              <a:cs typeface="Segoe UI" panose="020B0502040204020203" pitchFamily="34" charset="0"/>
            </a:endParaRPr>
          </a:p>
        </xdr:txBody>
      </xdr:sp>
      <xdr:sp macro="[0]!GoTo_CostApproach_Table" textlink="">
        <xdr:nvSpPr>
          <xdr:cNvPr id="27" name="Rounded Rectangle 26">
            <a:extLst>
              <a:ext uri="{FF2B5EF4-FFF2-40B4-BE49-F238E27FC236}">
                <a16:creationId xmlns:a16="http://schemas.microsoft.com/office/drawing/2014/main" id="{00000000-0008-0000-0300-00001B000000}"/>
              </a:ext>
            </a:extLst>
          </xdr:cNvPr>
          <xdr:cNvSpPr>
            <a:spLocks noChangeAspect="1"/>
          </xdr:cNvSpPr>
        </xdr:nvSpPr>
        <xdr:spPr>
          <a:xfrm>
            <a:off x="4355036" y="0"/>
            <a:ext cx="917575"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Cost Schedule</a:t>
            </a:r>
          </a:p>
        </xdr:txBody>
      </xdr:sp>
      <xdr:sp macro="[0]!GoTo_SalesApproach_Grid" textlink="">
        <xdr:nvSpPr>
          <xdr:cNvPr id="28" name="Rounded Rectangle 27">
            <a:extLst>
              <a:ext uri="{FF2B5EF4-FFF2-40B4-BE49-F238E27FC236}">
                <a16:creationId xmlns:a16="http://schemas.microsoft.com/office/drawing/2014/main" id="{00000000-0008-0000-0300-00001C000000}"/>
              </a:ext>
            </a:extLst>
          </xdr:cNvPr>
          <xdr:cNvSpPr>
            <a:spLocks noChangeAspect="1"/>
          </xdr:cNvSpPr>
        </xdr:nvSpPr>
        <xdr:spPr>
          <a:xfrm>
            <a:off x="5310711" y="0"/>
            <a:ext cx="91440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a:t>
            </a:r>
            <a:r>
              <a:rPr lang="en-US" sz="1200" b="1" baseline="0">
                <a:latin typeface="Segoe UI" panose="020B0502040204020203" pitchFamily="34" charset="0"/>
                <a:cs typeface="Segoe UI" panose="020B0502040204020203" pitchFamily="34" charset="0"/>
              </a:rPr>
              <a:t> Adj. Grid</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29" name="Rounded Rectangle 28">
            <a:extLst>
              <a:ext uri="{FF2B5EF4-FFF2-40B4-BE49-F238E27FC236}">
                <a16:creationId xmlns:a16="http://schemas.microsoft.com/office/drawing/2014/main" id="{00000000-0008-0000-0300-00001D000000}"/>
              </a:ext>
            </a:extLst>
          </xdr:cNvPr>
          <xdr:cNvSpPr>
            <a:spLocks noChangeAspect="1"/>
          </xdr:cNvSpPr>
        </xdr:nvSpPr>
        <xdr:spPr>
          <a:xfrm>
            <a:off x="6253686" y="0"/>
            <a:ext cx="1297094"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 Assumptions</a:t>
            </a:r>
          </a:p>
        </xdr:txBody>
      </xdr:sp>
      <xdr:sp macro="[0]!ShowUserFormTemplateAssumptions" textlink="">
        <xdr:nvSpPr>
          <xdr:cNvPr id="30" name="Rounded Rectangle 29">
            <a:extLst>
              <a:ext uri="{FF2B5EF4-FFF2-40B4-BE49-F238E27FC236}">
                <a16:creationId xmlns:a16="http://schemas.microsoft.com/office/drawing/2014/main" id="{00000000-0008-0000-0300-00001E000000}"/>
              </a:ext>
            </a:extLst>
          </xdr:cNvPr>
          <xdr:cNvSpPr>
            <a:spLocks noChangeAspect="1"/>
          </xdr:cNvSpPr>
        </xdr:nvSpPr>
        <xdr:spPr>
          <a:xfrm>
            <a:off x="2166402" y="0"/>
            <a:ext cx="1183428"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a:t>
            </a:r>
            <a:r>
              <a:rPr lang="en-US" sz="1200" b="1" baseline="0">
                <a:solidFill>
                  <a:srgbClr val="1F497D"/>
                </a:solidFill>
                <a:latin typeface="Segoe UI" panose="020B0502040204020203" pitchFamily="34" charset="0"/>
                <a:cs typeface="Segoe UI" panose="020B0502040204020203" pitchFamily="34" charset="0"/>
              </a:rPr>
              <a:t> Assumptions</a:t>
            </a:r>
            <a:endParaRPr lang="en-US" sz="1200" b="1">
              <a:solidFill>
                <a:srgbClr val="1F497D"/>
              </a:solidFill>
              <a:latin typeface="Segoe UI" panose="020B0502040204020203" pitchFamily="34" charset="0"/>
              <a:cs typeface="Segoe UI" panose="020B0502040204020203" pitchFamily="34" charset="0"/>
            </a:endParaRPr>
          </a:p>
        </xdr:txBody>
      </xdr:sp>
      <xdr:sp macro="[0]!Update_ValueIndications_Table" textlink="">
        <xdr:nvSpPr>
          <xdr:cNvPr id="31" name="Rounded Rectangle 30">
            <a:extLst>
              <a:ext uri="{FF2B5EF4-FFF2-40B4-BE49-F238E27FC236}">
                <a16:creationId xmlns:a16="http://schemas.microsoft.com/office/drawing/2014/main" id="{00000000-0008-0000-0300-00001F000000}"/>
              </a:ext>
            </a:extLst>
          </xdr:cNvPr>
          <xdr:cNvSpPr>
            <a:spLocks noChangeAspect="1"/>
          </xdr:cNvSpPr>
        </xdr:nvSpPr>
        <xdr:spPr>
          <a:xfrm>
            <a:off x="7582959"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ValueIndications_Table" textlink="">
        <xdr:nvSpPr>
          <xdr:cNvPr id="32" name="Rounded Rectangle 31">
            <a:extLst>
              <a:ext uri="{FF2B5EF4-FFF2-40B4-BE49-F238E27FC236}">
                <a16:creationId xmlns:a16="http://schemas.microsoft.com/office/drawing/2014/main" id="{00000000-0008-0000-0300-000020000000}"/>
              </a:ext>
            </a:extLst>
          </xdr:cNvPr>
          <xdr:cNvSpPr>
            <a:spLocks noChangeAspect="1"/>
          </xdr:cNvSpPr>
        </xdr:nvSpPr>
        <xdr:spPr>
          <a:xfrm>
            <a:off x="8535458"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GoTo_SalientFacts_Table" textlink="">
        <xdr:nvSpPr>
          <xdr:cNvPr id="33" name="Rounded Rectangle 32">
            <a:extLst>
              <a:ext uri="{FF2B5EF4-FFF2-40B4-BE49-F238E27FC236}">
                <a16:creationId xmlns:a16="http://schemas.microsoft.com/office/drawing/2014/main" id="{00000000-0008-0000-0300-000021000000}"/>
              </a:ext>
            </a:extLst>
          </xdr:cNvPr>
          <xdr:cNvSpPr>
            <a:spLocks noChangeAspect="1"/>
          </xdr:cNvSpPr>
        </xdr:nvSpPr>
        <xdr:spPr>
          <a:xfrm>
            <a:off x="938742" y="0"/>
            <a:ext cx="118872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Summary</a:t>
            </a:r>
            <a:r>
              <a:rPr lang="en-US" sz="1200" b="1" baseline="0">
                <a:latin typeface="Segoe UI" panose="020B0502040204020203" pitchFamily="34" charset="0"/>
                <a:cs typeface="Segoe UI" panose="020B0502040204020203" pitchFamily="34" charset="0"/>
              </a:rPr>
              <a:t> of Salient Facts</a:t>
            </a:r>
            <a:endParaRPr lang="en-US" sz="1200" b="1">
              <a:latin typeface="Segoe UI" panose="020B0502040204020203" pitchFamily="34" charset="0"/>
              <a:cs typeface="Segoe UI" panose="020B0502040204020203" pitchFamily="34" charset="0"/>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6</xdr:col>
      <xdr:colOff>115354</xdr:colOff>
      <xdr:row>0</xdr:row>
      <xdr:rowOff>266700</xdr:rowOff>
    </xdr:from>
    <xdr:to>
      <xdr:col>16</xdr:col>
      <xdr:colOff>1114425</xdr:colOff>
      <xdr:row>5</xdr:row>
      <xdr:rowOff>38100</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4925479" y="266700"/>
          <a:ext cx="7752296" cy="1400175"/>
        </a:xfrm>
        <a:prstGeom prst="rect">
          <a:avLst/>
        </a:prstGeom>
        <a:solidFill>
          <a:schemeClr val="bg1"/>
        </a:solidFill>
        <a:ln w="25400"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tIns="45720" rIns="45720" rtlCol="0" anchor="ctr"/>
        <a:lstStyle/>
        <a:p>
          <a:pPr rtl="0">
            <a:spcBef>
              <a:spcPts val="300"/>
            </a:spcBef>
            <a:spcAft>
              <a:spcPts val="300"/>
            </a:spcAft>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All BLS Unemployment Rates reflect </a:t>
          </a:r>
          <a:r>
            <a:rPr lang="en-US" sz="900" b="1" i="0" u="sng" baseline="0">
              <a:solidFill>
                <a:sysClr val="windowText" lastClr="000000"/>
              </a:solidFill>
              <a:effectLst/>
              <a:latin typeface="Segoe UI" panose="020B0502040204020203" pitchFamily="34" charset="0"/>
              <a:ea typeface="+mn-ea"/>
              <a:cs typeface="Segoe UI" panose="020B0502040204020203" pitchFamily="34" charset="0"/>
            </a:rPr>
            <a:t>NOT Seasonally Adjusted </a:t>
          </a:r>
          <a:r>
            <a:rPr lang="en-US" sz="900" b="1" i="0" baseline="0">
              <a:solidFill>
                <a:sysClr val="windowText" lastClr="000000"/>
              </a:solidFill>
              <a:effectLst/>
              <a:latin typeface="Segoe UI" panose="020B0502040204020203" pitchFamily="34" charset="0"/>
              <a:ea typeface="+mn-ea"/>
              <a:cs typeface="Segoe UI" panose="020B0502040204020203" pitchFamily="34" charset="0"/>
            </a:rPr>
            <a:t>data (source line is hyperlinked to bls URL).  Note that these are </a:t>
          </a:r>
          <a:r>
            <a:rPr lang="en-US" sz="900" b="1" i="0" u="sng" baseline="0">
              <a:solidFill>
                <a:sysClr val="windowText" lastClr="000000"/>
              </a:solidFill>
              <a:effectLst/>
              <a:latin typeface="Segoe UI" panose="020B0502040204020203" pitchFamily="34" charset="0"/>
              <a:ea typeface="+mn-ea"/>
              <a:cs typeface="Segoe UI" panose="020B0502040204020203" pitchFamily="34" charset="0"/>
            </a:rPr>
            <a:t>free</a:t>
          </a:r>
          <a:r>
            <a:rPr lang="en-US" sz="900" b="1" i="0" baseline="0">
              <a:solidFill>
                <a:sysClr val="windowText" lastClr="000000"/>
              </a:solidFill>
              <a:effectLst/>
              <a:latin typeface="Segoe UI" panose="020B0502040204020203" pitchFamily="34" charset="0"/>
              <a:ea typeface="+mn-ea"/>
              <a:cs typeface="Segoe UI" panose="020B0502040204020203" pitchFamily="34" charset="0"/>
            </a:rPr>
            <a:t> clicks.</a:t>
          </a:r>
        </a:p>
        <a:p>
          <a:pPr marL="0" marR="0" lvl="0" indent="0" defTabSz="914400" rtl="0" eaLnBrk="1" fontAlgn="auto" latinLnBrk="0" hangingPunct="1">
            <a:lnSpc>
              <a:spcPct val="100000"/>
            </a:lnSpc>
            <a:spcBef>
              <a:spcPts val="300"/>
            </a:spcBef>
            <a:spcAft>
              <a:spcPts val="300"/>
            </a:spcAft>
            <a:buClrTx/>
            <a:buSzTx/>
            <a:buFontTx/>
            <a:buNone/>
            <a:tabLst/>
            <a:defRPr/>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     ❶  A change in the State selection will clear the remaining drop-down's and re-filter them all to that state.</a:t>
          </a:r>
        </a:p>
        <a:p>
          <a:pPr marL="0" marR="0" lvl="0" indent="0" defTabSz="914400" rtl="0" eaLnBrk="1" fontAlgn="auto" latinLnBrk="0" hangingPunct="1">
            <a:lnSpc>
              <a:spcPct val="100000"/>
            </a:lnSpc>
            <a:spcBef>
              <a:spcPts val="300"/>
            </a:spcBef>
            <a:spcAft>
              <a:spcPts val="300"/>
            </a:spcAft>
            <a:buClrTx/>
            <a:buSzTx/>
            <a:buFontTx/>
            <a:buNone/>
            <a:tabLst/>
            <a:defRPr/>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     ❷  Make selections for State, MSA, County &amp; Town (note: MSA &amp; Town may not be available).</a:t>
          </a:r>
        </a:p>
        <a:p>
          <a:pPr rtl="0">
            <a:spcBef>
              <a:spcPts val="300"/>
            </a:spcBef>
            <a:spcAft>
              <a:spcPts val="300"/>
            </a:spcAft>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     ❸  Verify the Start Year &amp; adjust if needed (note: geographic data below US tends to lag ±3 months).</a:t>
          </a:r>
        </a:p>
        <a:p>
          <a:pPr rtl="0">
            <a:spcBef>
              <a:spcPts val="300"/>
            </a:spcBef>
            <a:spcAft>
              <a:spcPts val="300"/>
            </a:spcAft>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     ❹  Click "Import BLS" to retrieve Unemployment data (note: this may take up to 30 seconds so be patient).</a:t>
          </a:r>
          <a:endParaRPr lang="en-US" sz="900" b="1">
            <a:solidFill>
              <a:sysClr val="windowText" lastClr="000000"/>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19050</xdr:colOff>
      <xdr:row>0</xdr:row>
      <xdr:rowOff>19050</xdr:rowOff>
    </xdr:from>
    <xdr:to>
      <xdr:col>2</xdr:col>
      <xdr:colOff>855019</xdr:colOff>
      <xdr:row>0</xdr:row>
      <xdr:rowOff>750570</xdr:rowOff>
    </xdr:to>
    <xdr:grpSp>
      <xdr:nvGrpSpPr>
        <xdr:cNvPr id="2" name="Group 1">
          <a:extLst>
            <a:ext uri="{FF2B5EF4-FFF2-40B4-BE49-F238E27FC236}">
              <a16:creationId xmlns:a16="http://schemas.microsoft.com/office/drawing/2014/main" id="{00000000-0008-0000-0400-000002000000}"/>
            </a:ext>
          </a:extLst>
        </xdr:cNvPr>
        <xdr:cNvGrpSpPr/>
      </xdr:nvGrpSpPr>
      <xdr:grpSpPr>
        <a:xfrm>
          <a:off x="19050" y="19050"/>
          <a:ext cx="2598094" cy="731520"/>
          <a:chOff x="19054" y="19050"/>
          <a:chExt cx="2598542" cy="731520"/>
        </a:xfrm>
      </xdr:grpSpPr>
      <xdr:sp macro="[0]!GoTo_Main" textlink="">
        <xdr:nvSpPr>
          <xdr:cNvPr id="27" name="Rounded Rectangle 26">
            <a:extLst>
              <a:ext uri="{FF2B5EF4-FFF2-40B4-BE49-F238E27FC236}">
                <a16:creationId xmlns:a16="http://schemas.microsoft.com/office/drawing/2014/main" id="{00000000-0008-0000-0400-00001B000000}"/>
              </a:ext>
            </a:extLst>
          </xdr:cNvPr>
          <xdr:cNvSpPr>
            <a:spLocks noChangeAspect="1"/>
          </xdr:cNvSpPr>
        </xdr:nvSpPr>
        <xdr:spPr>
          <a:xfrm>
            <a:off x="19054" y="19050"/>
            <a:ext cx="914558"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BLS_Download" textlink="">
        <xdr:nvSpPr>
          <xdr:cNvPr id="28" name="cmdGetBLSData">
            <a:extLst>
              <a:ext uri="{FF2B5EF4-FFF2-40B4-BE49-F238E27FC236}">
                <a16:creationId xmlns:a16="http://schemas.microsoft.com/office/drawing/2014/main" id="{00000000-0008-0000-0400-00001C000000}"/>
              </a:ext>
            </a:extLst>
          </xdr:cNvPr>
          <xdr:cNvSpPr>
            <a:spLocks noChangeAspect="1"/>
          </xdr:cNvSpPr>
        </xdr:nvSpPr>
        <xdr:spPr>
          <a:xfrm>
            <a:off x="971676" y="19050"/>
            <a:ext cx="164592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Import BLS Unemployment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0</xdr:colOff>
          <xdr:row>5</xdr:row>
          <xdr:rowOff>9525</xdr:rowOff>
        </xdr:from>
        <xdr:to>
          <xdr:col>2</xdr:col>
          <xdr:colOff>1733550</xdr:colOff>
          <xdr:row>6</xdr:row>
          <xdr:rowOff>19050</xdr:rowOff>
        </xdr:to>
        <xdr:sp macro="" textlink="">
          <xdr:nvSpPr>
            <xdr:cNvPr id="10254" name="cmbState" hidden="1">
              <a:extLst>
                <a:ext uri="{63B3BB69-23CF-44E3-9099-C40C66FF867C}">
                  <a14:compatExt spid="_x0000_s10254"/>
                </a:ext>
                <a:ext uri="{FF2B5EF4-FFF2-40B4-BE49-F238E27FC236}">
                  <a16:creationId xmlns:a16="http://schemas.microsoft.com/office/drawing/2014/main" id="{00000000-0008-0000-0400-00000E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19050</xdr:rowOff>
        </xdr:from>
        <xdr:to>
          <xdr:col>2</xdr:col>
          <xdr:colOff>1733550</xdr:colOff>
          <xdr:row>7</xdr:row>
          <xdr:rowOff>19050</xdr:rowOff>
        </xdr:to>
        <xdr:sp macro="" textlink="">
          <xdr:nvSpPr>
            <xdr:cNvPr id="10255" name="cmbMSA" hidden="1">
              <a:extLst>
                <a:ext uri="{63B3BB69-23CF-44E3-9099-C40C66FF867C}">
                  <a14:compatExt spid="_x0000_s10255"/>
                </a:ext>
                <a:ext uri="{FF2B5EF4-FFF2-40B4-BE49-F238E27FC236}">
                  <a16:creationId xmlns:a16="http://schemas.microsoft.com/office/drawing/2014/main" id="{00000000-0008-0000-0400-00000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19050</xdr:rowOff>
        </xdr:from>
        <xdr:to>
          <xdr:col>2</xdr:col>
          <xdr:colOff>1733550</xdr:colOff>
          <xdr:row>8</xdr:row>
          <xdr:rowOff>19050</xdr:rowOff>
        </xdr:to>
        <xdr:sp macro="" textlink="">
          <xdr:nvSpPr>
            <xdr:cNvPr id="10256" name="cmbCounty" hidden="1">
              <a:extLst>
                <a:ext uri="{63B3BB69-23CF-44E3-9099-C40C66FF867C}">
                  <a14:compatExt spid="_x0000_s10256"/>
                </a:ext>
                <a:ext uri="{FF2B5EF4-FFF2-40B4-BE49-F238E27FC236}">
                  <a16:creationId xmlns:a16="http://schemas.microsoft.com/office/drawing/2014/main" id="{00000000-0008-0000-0400-00001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xdr:row>
          <xdr:rowOff>19050</xdr:rowOff>
        </xdr:from>
        <xdr:to>
          <xdr:col>2</xdr:col>
          <xdr:colOff>1733550</xdr:colOff>
          <xdr:row>9</xdr:row>
          <xdr:rowOff>0</xdr:rowOff>
        </xdr:to>
        <xdr:sp macro="" textlink="">
          <xdr:nvSpPr>
            <xdr:cNvPr id="10257" name="cmbTown" hidden="1">
              <a:extLst>
                <a:ext uri="{63B3BB69-23CF-44E3-9099-C40C66FF867C}">
                  <a14:compatExt spid="_x0000_s10257"/>
                </a:ext>
                <a:ext uri="{FF2B5EF4-FFF2-40B4-BE49-F238E27FC236}">
                  <a16:creationId xmlns:a16="http://schemas.microsoft.com/office/drawing/2014/main" id="{00000000-0008-0000-0400-00001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19050</xdr:colOff>
      <xdr:row>10</xdr:row>
      <xdr:rowOff>38100</xdr:rowOff>
    </xdr:from>
    <xdr:to>
      <xdr:col>2</xdr:col>
      <xdr:colOff>1733550</xdr:colOff>
      <xdr:row>18</xdr:row>
      <xdr:rowOff>164143</xdr:rowOff>
    </xdr:to>
    <xdr:pic>
      <xdr:nvPicPr>
        <xdr:cNvPr id="30" name="Picture 29">
          <a:extLst>
            <a:ext uri="{FF2B5EF4-FFF2-40B4-BE49-F238E27FC236}">
              <a16:creationId xmlns:a16="http://schemas.microsoft.com/office/drawing/2014/main" id="{00000000-0008-0000-0400-00001E000000}"/>
            </a:ext>
          </a:extLst>
        </xdr:cNvPr>
        <xdr:cNvPicPr>
          <a:picLocks noChangeAspect="1"/>
        </xdr:cNvPicPr>
      </xdr:nvPicPr>
      <xdr:blipFill>
        <a:blip xmlns:r="http://schemas.openxmlformats.org/officeDocument/2006/relationships" r:embed="rId1"/>
        <a:stretch>
          <a:fillRect/>
        </a:stretch>
      </xdr:blipFill>
      <xdr:spPr>
        <a:xfrm>
          <a:off x="400050" y="2628900"/>
          <a:ext cx="3095625" cy="1297618"/>
        </a:xfrm>
        <a:prstGeom prst="rect">
          <a:avLst/>
        </a:prstGeom>
        <a:ln w="25400">
          <a:solidFill>
            <a:schemeClr val="accent6"/>
          </a:solidFill>
        </a:ln>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581024</xdr:colOff>
      <xdr:row>0</xdr:row>
      <xdr:rowOff>66675</xdr:rowOff>
    </xdr:from>
    <xdr:ext cx="9058276" cy="638175"/>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1190624" y="66675"/>
          <a:ext cx="9058276" cy="638175"/>
        </a:xfrm>
        <a:prstGeom prst="rect">
          <a:avLst/>
        </a:prstGeom>
        <a:solidFill>
          <a:schemeClr val="bg1"/>
        </a:solidFill>
        <a:ln w="25400" cmpd="sng">
          <a:solidFill>
            <a:schemeClr val="accent6">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tIns="45720" rIns="45720" rtlCol="0" anchor="ctr"/>
        <a:lstStyle/>
        <a:p>
          <a:pPr rtl="0">
            <a:spcBef>
              <a:spcPts val="300"/>
            </a:spcBef>
            <a:spcAft>
              <a:spcPts val="300"/>
            </a:spcAft>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Regional and Neighborhood demographics on this tab are populated via Refresh from Web once the Research project is completed in LBX.  Refreshed data appears on the 'RawDemosLBX' tab and is mapped to the appropriate tables below.  The demographic provider is EASI (https://www.easidemographics.com/web/).  The EASI base year's are shown below.  These will be updated whenever LBX notifies Valbridge that demo data has encountered the year-end rollover.</a:t>
          </a:r>
        </a:p>
      </xdr:txBody>
    </xdr:sp>
    <xdr:clientData/>
  </xdr:oneCellAnchor>
  <xdr:twoCellAnchor>
    <xdr:from>
      <xdr:col>0</xdr:col>
      <xdr:colOff>0</xdr:colOff>
      <xdr:row>0</xdr:row>
      <xdr:rowOff>0</xdr:rowOff>
    </xdr:from>
    <xdr:to>
      <xdr:col>1</xdr:col>
      <xdr:colOff>429324</xdr:colOff>
      <xdr:row>0</xdr:row>
      <xdr:rowOff>731520</xdr:rowOff>
    </xdr:to>
    <xdr:sp macro="[0]!GoTo_Main" textlink="">
      <xdr:nvSpPr>
        <xdr:cNvPr id="3" name="Rounded Rectangle 5">
          <a:extLst>
            <a:ext uri="{FF2B5EF4-FFF2-40B4-BE49-F238E27FC236}">
              <a16:creationId xmlns:a16="http://schemas.microsoft.com/office/drawing/2014/main" id="{00000000-0008-0000-0500-000003000000}"/>
            </a:ext>
          </a:extLst>
        </xdr:cNvPr>
        <xdr:cNvSpPr>
          <a:spLocks noChangeAspect="1"/>
        </xdr:cNvSpPr>
      </xdr:nvSpPr>
      <xdr:spPr>
        <a:xfrm>
          <a:off x="0" y="0"/>
          <a:ext cx="1038924"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3</xdr:col>
      <xdr:colOff>362649</xdr:colOff>
      <xdr:row>0</xdr:row>
      <xdr:rowOff>731520</xdr:rowOff>
    </xdr:to>
    <xdr:sp macro="[0]!GoTo_Main" textlink="">
      <xdr:nvSpPr>
        <xdr:cNvPr id="6" name="Rounded Rectangle 5">
          <a:extLst>
            <a:ext uri="{FF2B5EF4-FFF2-40B4-BE49-F238E27FC236}">
              <a16:creationId xmlns:a16="http://schemas.microsoft.com/office/drawing/2014/main" id="{00000000-0008-0000-0600-000006000000}"/>
            </a:ext>
          </a:extLst>
        </xdr:cNvPr>
        <xdr:cNvSpPr>
          <a:spLocks noChangeAspect="1"/>
        </xdr:cNvSpPr>
      </xdr:nvSpPr>
      <xdr:spPr>
        <a:xfrm>
          <a:off x="0" y="0"/>
          <a:ext cx="915099"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3</xdr:col>
      <xdr:colOff>495299</xdr:colOff>
      <xdr:row>0</xdr:row>
      <xdr:rowOff>38099</xdr:rowOff>
    </xdr:from>
    <xdr:to>
      <xdr:col>7</xdr:col>
      <xdr:colOff>28575</xdr:colOff>
      <xdr:row>0</xdr:row>
      <xdr:rowOff>733424</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1114424" y="38099"/>
          <a:ext cx="5324476" cy="695325"/>
        </a:xfrm>
        <a:prstGeom prst="rect">
          <a:avLst/>
        </a:prstGeom>
        <a:solidFill>
          <a:schemeClr val="lt1"/>
        </a:solidFill>
        <a:ln w="25400"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900" b="1" i="0" baseline="0">
              <a:solidFill>
                <a:schemeClr val="dk1"/>
              </a:solidFill>
              <a:effectLst/>
              <a:latin typeface="Segoe UI" panose="020B0502040204020203" pitchFamily="34" charset="0"/>
              <a:ea typeface="+mn-ea"/>
              <a:cs typeface="Segoe UI" panose="020B0502040204020203" pitchFamily="34" charset="0"/>
            </a:rPr>
            <a:t>1. No user inputs are required on this sheet</a:t>
          </a:r>
        </a:p>
        <a:p>
          <a:pPr algn="l" rtl="0">
            <a:spcBef>
              <a:spcPts val="300"/>
            </a:spcBef>
            <a:spcAft>
              <a:spcPts val="300"/>
            </a:spcAft>
          </a:pPr>
          <a:r>
            <a:rPr lang="en-US" sz="900" b="1" i="0" baseline="0">
              <a:solidFill>
                <a:schemeClr val="dk1"/>
              </a:solidFill>
              <a:effectLst/>
              <a:latin typeface="Segoe UI" panose="020B0502040204020203" pitchFamily="34" charset="0"/>
              <a:ea typeface="+mn-ea"/>
              <a:cs typeface="Segoe UI" panose="020B0502040204020203" pitchFamily="34" charset="0"/>
            </a:rPr>
            <a:t>2. Tables 1 &amp; 2 populate with Datappraise Merge to the post LBX Word templates;  #'s 3-5 can be manually added if desired.</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19050</xdr:colOff>
      <xdr:row>0</xdr:row>
      <xdr:rowOff>238125</xdr:rowOff>
    </xdr:from>
    <xdr:to>
      <xdr:col>22</xdr:col>
      <xdr:colOff>295275</xdr:colOff>
      <xdr:row>12</xdr:row>
      <xdr:rowOff>142875</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11058525" y="238125"/>
          <a:ext cx="6543675" cy="2590800"/>
        </a:xfrm>
        <a:prstGeom prst="rect">
          <a:avLst/>
        </a:prstGeom>
        <a:solidFill>
          <a:schemeClr val="bg1"/>
        </a:solidFill>
        <a:ln w="25400"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tIns="45720" rIns="45720" rtlCol="0" anchor="ctr"/>
        <a:lstStyle/>
        <a:p>
          <a:pPr rtl="0">
            <a:spcBef>
              <a:spcPts val="300"/>
            </a:spcBef>
            <a:spcAft>
              <a:spcPts val="300"/>
            </a:spcAft>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Before you click Get ESRI Demos, be sure to check your options at far left. These tables have changed &amp; are now designed to mirror the LBX tables for both the Regional and Neighborhood.  Please note that these are </a:t>
          </a:r>
          <a:r>
            <a:rPr lang="en-US" sz="900" b="1" i="0" u="sng" baseline="0">
              <a:solidFill>
                <a:sysClr val="windowText" lastClr="000000"/>
              </a:solidFill>
              <a:effectLst/>
              <a:latin typeface="Segoe UI" panose="020B0502040204020203" pitchFamily="34" charset="0"/>
              <a:ea typeface="+mn-ea"/>
              <a:cs typeface="Segoe UI" panose="020B0502040204020203" pitchFamily="34" charset="0"/>
            </a:rPr>
            <a:t>pay</a:t>
          </a:r>
          <a:r>
            <a:rPr lang="en-US" sz="900" b="1" i="0" baseline="0">
              <a:solidFill>
                <a:sysClr val="windowText" lastClr="000000"/>
              </a:solidFill>
              <a:effectLst/>
              <a:latin typeface="Segoe UI" panose="020B0502040204020203" pitchFamily="34" charset="0"/>
              <a:ea typeface="+mn-ea"/>
              <a:cs typeface="Segoe UI" panose="020B0502040204020203" pitchFamily="34" charset="0"/>
            </a:rPr>
            <a:t> </a:t>
          </a:r>
          <a:r>
            <a:rPr lang="en-US" sz="900" b="1" i="0" u="sng" baseline="0">
              <a:solidFill>
                <a:sysClr val="windowText" lastClr="000000"/>
              </a:solidFill>
              <a:effectLst/>
              <a:latin typeface="Segoe UI" panose="020B0502040204020203" pitchFamily="34" charset="0"/>
              <a:ea typeface="+mn-ea"/>
              <a:cs typeface="Segoe UI" panose="020B0502040204020203" pitchFamily="34" charset="0"/>
            </a:rPr>
            <a:t>clicks</a:t>
          </a:r>
          <a:r>
            <a:rPr lang="en-US" sz="900" b="1" i="0" baseline="0">
              <a:solidFill>
                <a:sysClr val="windowText" lastClr="000000"/>
              </a:solidFill>
              <a:effectLst/>
              <a:latin typeface="Segoe UI" panose="020B0502040204020203" pitchFamily="34" charset="0"/>
              <a:ea typeface="+mn-ea"/>
              <a:cs typeface="Segoe UI" panose="020B0502040204020203" pitchFamily="34" charset="0"/>
            </a:rPr>
            <a:t>, so do not abuse this functionality!  </a:t>
          </a:r>
          <a:r>
            <a:rPr lang="en-US" sz="900" b="1" i="0" baseline="0">
              <a:solidFill>
                <a:srgbClr val="FF0000"/>
              </a:solidFill>
              <a:effectLst/>
              <a:latin typeface="Segoe UI" panose="020B0502040204020203" pitchFamily="34" charset="0"/>
              <a:ea typeface="+mn-ea"/>
              <a:cs typeface="Segoe UI" panose="020B0502040204020203" pitchFamily="34" charset="0"/>
            </a:rPr>
            <a:t>Valbridge Corporate logs &amp; monitors usage of ESRI</a:t>
          </a:r>
          <a:r>
            <a:rPr lang="en-US" sz="900" b="1" i="0" baseline="0">
              <a:solidFill>
                <a:sysClr val="windowText" lastClr="000000"/>
              </a:solidFill>
              <a:effectLst/>
              <a:latin typeface="Segoe UI" panose="020B0502040204020203" pitchFamily="34" charset="0"/>
              <a:ea typeface="+mn-ea"/>
              <a:cs typeface="Segoe UI" panose="020B0502040204020203" pitchFamily="34" charset="0"/>
            </a:rPr>
            <a:t>.</a:t>
          </a:r>
        </a:p>
        <a:p>
          <a:pPr rtl="0">
            <a:spcBef>
              <a:spcPts val="300"/>
            </a:spcBef>
            <a:spcAft>
              <a:spcPts val="300"/>
            </a:spcAft>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     ❶  Verify the subject's lat/lon coordinates or move the pin in DP &amp; Refresh.</a:t>
          </a:r>
        </a:p>
        <a:p>
          <a:pPr rtl="0">
            <a:spcBef>
              <a:spcPts val="300"/>
            </a:spcBef>
            <a:spcAft>
              <a:spcPts val="300"/>
            </a:spcAft>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     ❷  Select Miles or DriveTime for the Neighborhood rings.</a:t>
          </a:r>
        </a:p>
        <a:p>
          <a:pPr rtl="0">
            <a:spcBef>
              <a:spcPts val="300"/>
            </a:spcBef>
            <a:spcAft>
              <a:spcPts val="300"/>
            </a:spcAft>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     ❸  Enter the 3 rings (i.e., 0.5/1.0/1.5 mi or 5/15/30 min) - Note: too small an area may produce 0's.</a:t>
          </a:r>
        </a:p>
        <a:p>
          <a:pPr marL="0" marR="0" lvl="0" indent="0" defTabSz="914400" rtl="0" eaLnBrk="1" fontAlgn="auto" latinLnBrk="0" hangingPunct="1">
            <a:lnSpc>
              <a:spcPct val="100000"/>
            </a:lnSpc>
            <a:spcBef>
              <a:spcPts val="300"/>
            </a:spcBef>
            <a:spcAft>
              <a:spcPts val="300"/>
            </a:spcAft>
            <a:buClrTx/>
            <a:buSzTx/>
            <a:buFontTx/>
            <a:buNone/>
            <a:tabLst/>
            <a:defRPr/>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     ❹  </a:t>
          </a:r>
          <a:r>
            <a:rPr lang="en-US" sz="900" b="1" i="1" baseline="0">
              <a:solidFill>
                <a:sysClr val="windowText" lastClr="000000"/>
              </a:solidFill>
              <a:effectLst/>
              <a:latin typeface="Segoe UI" panose="020B0502040204020203" pitchFamily="34" charset="0"/>
              <a:ea typeface="+mn-ea"/>
              <a:cs typeface="Segoe UI" panose="020B0502040204020203" pitchFamily="34" charset="0"/>
            </a:rPr>
            <a:t>Only if needed</a:t>
          </a:r>
          <a:r>
            <a:rPr lang="en-US" sz="900" b="1" i="0" baseline="0">
              <a:solidFill>
                <a:sysClr val="windowText" lastClr="000000"/>
              </a:solidFill>
              <a:effectLst/>
              <a:latin typeface="Segoe UI" panose="020B0502040204020203" pitchFamily="34" charset="0"/>
              <a:ea typeface="+mn-ea"/>
              <a:cs typeface="Segoe UI" panose="020B0502040204020203" pitchFamily="34" charset="0"/>
            </a:rPr>
            <a:t>, change the ESRI defined Current Year.</a:t>
          </a:r>
          <a:endParaRPr lang="en-US" sz="900">
            <a:solidFill>
              <a:sysClr val="windowText" lastClr="000000"/>
            </a:solidFill>
            <a:effectLst/>
            <a:latin typeface="Segoe UI" panose="020B0502040204020203" pitchFamily="34" charset="0"/>
            <a:cs typeface="Segoe UI" panose="020B0502040204020203" pitchFamily="34" charset="0"/>
          </a:endParaRPr>
        </a:p>
        <a:p>
          <a:pPr rtl="0">
            <a:spcBef>
              <a:spcPts val="300"/>
            </a:spcBef>
            <a:spcAft>
              <a:spcPts val="300"/>
            </a:spcAft>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     ❺  Click "Get ESRI Demos," choose Regional, Neighborhood or Both to retrieve your demos.</a:t>
          </a:r>
          <a:endParaRPr lang="en-US" sz="900" b="1">
            <a:solidFill>
              <a:sysClr val="windowText" lastClr="000000"/>
            </a:solidFill>
            <a:effectLst/>
            <a:latin typeface="Segoe UI" panose="020B0502040204020203" pitchFamily="34" charset="0"/>
            <a:cs typeface="Segoe UI" panose="020B0502040204020203" pitchFamily="34" charset="0"/>
          </a:endParaRPr>
        </a:p>
        <a:p>
          <a:pPr rtl="0">
            <a:spcBef>
              <a:spcPts val="300"/>
            </a:spcBef>
            <a:spcAft>
              <a:spcPts val="300"/>
            </a:spcAft>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     ❻  Select one/both/none of the smallest geographic areas (Town/Place vs. CSD/subdivision) if prompted.</a:t>
          </a:r>
        </a:p>
        <a:p>
          <a:pPr rtl="0">
            <a:spcBef>
              <a:spcPts val="300"/>
            </a:spcBef>
            <a:spcAft>
              <a:spcPts val="300"/>
            </a:spcAft>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     ❼</a:t>
          </a:r>
          <a:r>
            <a:rPr lang="en-US" sz="1100" b="1" i="0" baseline="0">
              <a:solidFill>
                <a:sysClr val="windowText" lastClr="000000"/>
              </a:solidFill>
              <a:effectLst/>
              <a:latin typeface="+mn-lt"/>
              <a:ea typeface="+mn-ea"/>
              <a:cs typeface="+mn-cs"/>
            </a:rPr>
            <a:t>  </a:t>
          </a:r>
          <a:r>
            <a:rPr lang="en-US" sz="900" b="1" i="0" baseline="0">
              <a:solidFill>
                <a:sysClr val="windowText" lastClr="000000"/>
              </a:solidFill>
              <a:effectLst/>
              <a:latin typeface="Segoe UI" panose="020B0502040204020203" pitchFamily="34" charset="0"/>
              <a:ea typeface="+mn-ea"/>
              <a:cs typeface="Segoe UI" panose="020B0502040204020203" pitchFamily="34" charset="0"/>
            </a:rPr>
            <a:t>Use Update/Default to display/hide unused rows.</a:t>
          </a:r>
          <a:endParaRPr lang="en-US" sz="900" b="1" baseline="0">
            <a:solidFill>
              <a:sysClr val="windowText" lastClr="000000"/>
            </a:solidFill>
            <a:effectLst/>
            <a:latin typeface="Segoe UI" panose="020B0502040204020203" pitchFamily="34" charset="0"/>
            <a:ea typeface="+mn-ea"/>
            <a:cs typeface="Segoe UI" panose="020B0502040204020203" pitchFamily="34" charset="0"/>
          </a:endParaRPr>
        </a:p>
        <a:p>
          <a:pPr marL="0" marR="0" lvl="0" indent="0" defTabSz="914400" rtl="0" eaLnBrk="1" fontAlgn="auto" latinLnBrk="0" hangingPunct="1">
            <a:lnSpc>
              <a:spcPct val="100000"/>
            </a:lnSpc>
            <a:spcBef>
              <a:spcPts val="300"/>
            </a:spcBef>
            <a:spcAft>
              <a:spcPts val="300"/>
            </a:spcAft>
            <a:buClrTx/>
            <a:buSzTx/>
            <a:buFontTx/>
            <a:buNone/>
            <a:tabLst/>
            <a:defRPr/>
          </a:pPr>
          <a:r>
            <a:rPr lang="en-US" sz="900" b="1" i="0" u="sng" baseline="0">
              <a:solidFill>
                <a:sysClr val="windowText" lastClr="000000"/>
              </a:solidFill>
              <a:effectLst/>
              <a:latin typeface="Segoe UI" panose="020B0502040204020203" pitchFamily="34" charset="0"/>
              <a:ea typeface="+mn-ea"/>
              <a:cs typeface="+mn-cs"/>
            </a:rPr>
            <a:t>Note</a:t>
          </a:r>
          <a:r>
            <a:rPr lang="en-US" sz="900" b="1" i="0" baseline="0">
              <a:solidFill>
                <a:sysClr val="windowText" lastClr="000000"/>
              </a:solidFill>
              <a:effectLst/>
              <a:latin typeface="Segoe UI" panose="020B0502040204020203" pitchFamily="34" charset="0"/>
              <a:ea typeface="+mn-ea"/>
              <a:cs typeface="+mn-cs"/>
            </a:rPr>
            <a:t>:  if the data returned is null or appears to be different than expected, verify that your lat/lon is correct or move it to the closest public roadway.  Data for the US is manually entered &amp; should be verified at year rollover.</a:t>
          </a:r>
          <a:endParaRPr lang="en-US" sz="900" b="1" i="0" baseline="0">
            <a:solidFill>
              <a:sysClr val="windowText" lastClr="000000"/>
            </a:solidFill>
            <a:effectLst/>
            <a:latin typeface="Segoe UI" panose="020B0502040204020203" pitchFamily="34" charset="0"/>
          </a:endParaRPr>
        </a:p>
      </xdr:txBody>
    </xdr:sp>
    <xdr:clientData/>
  </xdr:twoCellAnchor>
  <xdr:twoCellAnchor>
    <xdr:from>
      <xdr:col>0</xdr:col>
      <xdr:colOff>0</xdr:colOff>
      <xdr:row>0</xdr:row>
      <xdr:rowOff>0</xdr:rowOff>
    </xdr:from>
    <xdr:to>
      <xdr:col>1</xdr:col>
      <xdr:colOff>429324</xdr:colOff>
      <xdr:row>0</xdr:row>
      <xdr:rowOff>731520</xdr:rowOff>
    </xdr:to>
    <xdr:sp macro="[0]!GoTo_Main" textlink="">
      <xdr:nvSpPr>
        <xdr:cNvPr id="2" name="Rounded Rectangle 5">
          <a:extLst>
            <a:ext uri="{FF2B5EF4-FFF2-40B4-BE49-F238E27FC236}">
              <a16:creationId xmlns:a16="http://schemas.microsoft.com/office/drawing/2014/main" id="{00000000-0008-0000-0700-000002000000}"/>
            </a:ext>
          </a:extLst>
        </xdr:cNvPr>
        <xdr:cNvSpPr>
          <a:spLocks noChangeAspect="1"/>
        </xdr:cNvSpPr>
      </xdr:nvSpPr>
      <xdr:spPr>
        <a:xfrm>
          <a:off x="0" y="0"/>
          <a:ext cx="1038924"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twoCellAnchor>
    <xdr:from>
      <xdr:col>1</xdr:col>
      <xdr:colOff>457200</xdr:colOff>
      <xdr:row>0</xdr:row>
      <xdr:rowOff>0</xdr:rowOff>
    </xdr:from>
    <xdr:to>
      <xdr:col>3</xdr:col>
      <xdr:colOff>112395</xdr:colOff>
      <xdr:row>0</xdr:row>
      <xdr:rowOff>731520</xdr:rowOff>
    </xdr:to>
    <xdr:sp macro="[0]!GetEsriData" textlink="">
      <xdr:nvSpPr>
        <xdr:cNvPr id="4" name="Rounded Rectangle 5">
          <a:extLst>
            <a:ext uri="{FF2B5EF4-FFF2-40B4-BE49-F238E27FC236}">
              <a16:creationId xmlns:a16="http://schemas.microsoft.com/office/drawing/2014/main" id="{00000000-0008-0000-0700-000004000000}"/>
            </a:ext>
          </a:extLst>
        </xdr:cNvPr>
        <xdr:cNvSpPr>
          <a:spLocks noChangeAspect="1"/>
        </xdr:cNvSpPr>
      </xdr:nvSpPr>
      <xdr:spPr>
        <a:xfrm>
          <a:off x="1066800" y="0"/>
          <a:ext cx="164592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Get ESRI Demos</a:t>
          </a:r>
        </a:p>
      </xdr:txBody>
    </xdr:sp>
    <xdr:clientData/>
  </xdr:twoCellAnchor>
  <xdr:twoCellAnchor>
    <xdr:from>
      <xdr:col>24</xdr:col>
      <xdr:colOff>84664</xdr:colOff>
      <xdr:row>28</xdr:row>
      <xdr:rowOff>45506</xdr:rowOff>
    </xdr:from>
    <xdr:to>
      <xdr:col>28</xdr:col>
      <xdr:colOff>109217</xdr:colOff>
      <xdr:row>52</xdr:row>
      <xdr:rowOff>167849</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142875</xdr:colOff>
      <xdr:row>0</xdr:row>
      <xdr:rowOff>0</xdr:rowOff>
    </xdr:from>
    <xdr:to>
      <xdr:col>5</xdr:col>
      <xdr:colOff>818638</xdr:colOff>
      <xdr:row>0</xdr:row>
      <xdr:rowOff>731520</xdr:rowOff>
    </xdr:to>
    <xdr:sp macro="[0]!Update_Regional_Tables" textlink="">
      <xdr:nvSpPr>
        <xdr:cNvPr id="6" name="Rounded Rectangle 30">
          <a:extLst>
            <a:ext uri="{FF2B5EF4-FFF2-40B4-BE49-F238E27FC236}">
              <a16:creationId xmlns:a16="http://schemas.microsoft.com/office/drawing/2014/main" id="{00000000-0008-0000-0700-000006000000}"/>
            </a:ext>
          </a:extLst>
        </xdr:cNvPr>
        <xdr:cNvSpPr>
          <a:spLocks noChangeAspect="1"/>
        </xdr:cNvSpPr>
      </xdr:nvSpPr>
      <xdr:spPr>
        <a:xfrm>
          <a:off x="2743200" y="0"/>
          <a:ext cx="913888"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clientData/>
  </xdr:twoCellAnchor>
  <xdr:twoCellAnchor>
    <xdr:from>
      <xdr:col>5</xdr:col>
      <xdr:colOff>847725</xdr:colOff>
      <xdr:row>0</xdr:row>
      <xdr:rowOff>0</xdr:rowOff>
    </xdr:from>
    <xdr:to>
      <xdr:col>5</xdr:col>
      <xdr:colOff>1761613</xdr:colOff>
      <xdr:row>0</xdr:row>
      <xdr:rowOff>731520</xdr:rowOff>
    </xdr:to>
    <xdr:sp macro="[0]!Default_Regional_Tables" textlink="">
      <xdr:nvSpPr>
        <xdr:cNvPr id="7" name="Rounded Rectangle 31">
          <a:extLst>
            <a:ext uri="{FF2B5EF4-FFF2-40B4-BE49-F238E27FC236}">
              <a16:creationId xmlns:a16="http://schemas.microsoft.com/office/drawing/2014/main" id="{00000000-0008-0000-0700-000007000000}"/>
            </a:ext>
          </a:extLst>
        </xdr:cNvPr>
        <xdr:cNvSpPr>
          <a:spLocks noChangeAspect="1"/>
        </xdr:cNvSpPr>
      </xdr:nvSpPr>
      <xdr:spPr>
        <a:xfrm>
          <a:off x="3686175" y="0"/>
          <a:ext cx="913888"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13</xdr:col>
      <xdr:colOff>295275</xdr:colOff>
      <xdr:row>0</xdr:row>
      <xdr:rowOff>133350</xdr:rowOff>
    </xdr:from>
    <xdr:to>
      <xdr:col>13</xdr:col>
      <xdr:colOff>5172075</xdr:colOff>
      <xdr:row>7</xdr:row>
      <xdr:rowOff>152401</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0353675" y="133350"/>
          <a:ext cx="4876800" cy="1952626"/>
        </a:xfrm>
        <a:prstGeom prst="rect">
          <a:avLst/>
        </a:prstGeom>
        <a:solidFill>
          <a:sysClr val="window" lastClr="FFFFFF"/>
        </a:solidFill>
        <a:ln w="25400"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rtl="0" eaLnBrk="1" fontAlgn="auto" latinLnBrk="0" hangingPunct="1">
            <a:lnSpc>
              <a:spcPct val="100000"/>
            </a:lnSpc>
            <a:spcBef>
              <a:spcPts val="300"/>
            </a:spcBef>
            <a:spcAft>
              <a:spcPts val="300"/>
            </a:spcAft>
            <a:buClrTx/>
            <a:buSzTx/>
            <a:buFontTx/>
            <a:buNone/>
            <a:tabLst/>
            <a:defRPr/>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There are no inputs on this tab.  Shaded areas are used for calculations and/or references - do not alter.</a:t>
          </a:r>
        </a:p>
        <a:p>
          <a:pPr marL="0" marR="0" indent="0" algn="l" defTabSz="914400" rtl="0" eaLnBrk="1" fontAlgn="auto" latinLnBrk="0" hangingPunct="1">
            <a:lnSpc>
              <a:spcPct val="100000"/>
            </a:lnSpc>
            <a:spcBef>
              <a:spcPts val="300"/>
            </a:spcBef>
            <a:spcAft>
              <a:spcPts val="300"/>
            </a:spcAft>
            <a:buClrTx/>
            <a:buSzTx/>
            <a:buFontTx/>
            <a:buNone/>
            <a:tabLst/>
            <a:defRPr/>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❶  Use the 'Get ESRI Demographics' button on the RegionalESRI tab to populate these Neighborhood tables. They are designed to mirror tables from LBX.</a:t>
          </a:r>
        </a:p>
        <a:p>
          <a:pPr marL="0" marR="0" indent="0" algn="l" defTabSz="914400" rtl="0" eaLnBrk="1" fontAlgn="auto" latinLnBrk="0" hangingPunct="1">
            <a:lnSpc>
              <a:spcPct val="100000"/>
            </a:lnSpc>
            <a:spcBef>
              <a:spcPts val="300"/>
            </a:spcBef>
            <a:spcAft>
              <a:spcPts val="300"/>
            </a:spcAft>
            <a:buClrTx/>
            <a:buSzTx/>
            <a:buFontTx/>
            <a:buNone/>
            <a:tabLst/>
            <a:defRPr/>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❷  The Flood Map button will open the FEMA URL for your subject based on the lat/lon.</a:t>
          </a:r>
        </a:p>
        <a:p>
          <a:pPr marL="0" marR="0" indent="0" algn="l" defTabSz="914400" rtl="0" eaLnBrk="1" fontAlgn="auto" latinLnBrk="0" hangingPunct="1">
            <a:lnSpc>
              <a:spcPct val="100000"/>
            </a:lnSpc>
            <a:spcBef>
              <a:spcPts val="300"/>
            </a:spcBef>
            <a:spcAft>
              <a:spcPts val="300"/>
            </a:spcAft>
            <a:buClrTx/>
            <a:buSzTx/>
            <a:buFontTx/>
            <a:buNone/>
            <a:tabLst/>
            <a:defRPr/>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❸  The Census Tract button will similarly uses the subject's lat/lon for retrieval.</a:t>
          </a:r>
        </a:p>
        <a:p>
          <a:pPr marL="0" marR="0" indent="0" algn="l" defTabSz="914400" rtl="0" eaLnBrk="1" fontAlgn="auto" latinLnBrk="0" hangingPunct="1">
            <a:lnSpc>
              <a:spcPct val="100000"/>
            </a:lnSpc>
            <a:spcBef>
              <a:spcPts val="300"/>
            </a:spcBef>
            <a:spcAft>
              <a:spcPts val="300"/>
            </a:spcAft>
            <a:buClrTx/>
            <a:buSzTx/>
            <a:buFontTx/>
            <a:buNone/>
            <a:tabLst/>
            <a:defRPr/>
          </a:pPr>
          <a:r>
            <a:rPr lang="en-US" sz="900" b="1" i="0" baseline="0">
              <a:solidFill>
                <a:sysClr val="windowText" lastClr="000000"/>
              </a:solidFill>
              <a:effectLst/>
              <a:latin typeface="Segoe UI" panose="020B0502040204020203" pitchFamily="34" charset="0"/>
              <a:ea typeface="+mn-ea"/>
              <a:cs typeface="Segoe UI" panose="020B0502040204020203" pitchFamily="34" charset="0"/>
            </a:rPr>
            <a:t>❹  The Ring Map button will create a demographic ring map based upon the input on the previous tab (mileage rings only).</a:t>
          </a:r>
        </a:p>
      </xdr:txBody>
    </xdr:sp>
    <xdr:clientData/>
  </xdr:twoCellAnchor>
  <xdr:twoCellAnchor>
    <xdr:from>
      <xdr:col>0</xdr:col>
      <xdr:colOff>0</xdr:colOff>
      <xdr:row>0</xdr:row>
      <xdr:rowOff>0</xdr:rowOff>
    </xdr:from>
    <xdr:to>
      <xdr:col>3</xdr:col>
      <xdr:colOff>362649</xdr:colOff>
      <xdr:row>0</xdr:row>
      <xdr:rowOff>731520</xdr:rowOff>
    </xdr:to>
    <xdr:sp macro="[0]!GoTo_Main" textlink="">
      <xdr:nvSpPr>
        <xdr:cNvPr id="7" name="Rounded Rectangle 5">
          <a:extLst>
            <a:ext uri="{FF2B5EF4-FFF2-40B4-BE49-F238E27FC236}">
              <a16:creationId xmlns:a16="http://schemas.microsoft.com/office/drawing/2014/main" id="{00000000-0008-0000-0800-000007000000}"/>
            </a:ext>
          </a:extLst>
        </xdr:cNvPr>
        <xdr:cNvSpPr>
          <a:spLocks noChangeAspect="1"/>
        </xdr:cNvSpPr>
      </xdr:nvSpPr>
      <xdr:spPr>
        <a:xfrm>
          <a:off x="0" y="0"/>
          <a:ext cx="1038924"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twoCellAnchor>
    <xdr:from>
      <xdr:col>3</xdr:col>
      <xdr:colOff>390525</xdr:colOff>
      <xdr:row>0</xdr:row>
      <xdr:rowOff>0</xdr:rowOff>
    </xdr:from>
    <xdr:to>
      <xdr:col>3</xdr:col>
      <xdr:colOff>2036445</xdr:colOff>
      <xdr:row>0</xdr:row>
      <xdr:rowOff>731520</xdr:rowOff>
    </xdr:to>
    <xdr:sp macro="[0]!GetFlood" textlink="">
      <xdr:nvSpPr>
        <xdr:cNvPr id="8" name="Rounded Rectangle 5">
          <a:extLst>
            <a:ext uri="{FF2B5EF4-FFF2-40B4-BE49-F238E27FC236}">
              <a16:creationId xmlns:a16="http://schemas.microsoft.com/office/drawing/2014/main" id="{00000000-0008-0000-0800-000008000000}"/>
            </a:ext>
          </a:extLst>
        </xdr:cNvPr>
        <xdr:cNvSpPr>
          <a:spLocks noChangeAspect="1"/>
        </xdr:cNvSpPr>
      </xdr:nvSpPr>
      <xdr:spPr>
        <a:xfrm>
          <a:off x="1066800" y="0"/>
          <a:ext cx="164592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Locate FEMA</a:t>
          </a:r>
        </a:p>
        <a:p>
          <a:pPr algn="ctr"/>
          <a:r>
            <a:rPr lang="en-US" sz="1200" b="1">
              <a:latin typeface="Segoe UI" panose="020B0502040204020203" pitchFamily="34" charset="0"/>
              <a:cs typeface="Segoe UI" panose="020B0502040204020203" pitchFamily="34" charset="0"/>
            </a:rPr>
            <a:t>Flood Map</a:t>
          </a:r>
        </a:p>
      </xdr:txBody>
    </xdr:sp>
    <xdr:clientData/>
  </xdr:twoCellAnchor>
  <xdr:twoCellAnchor>
    <xdr:from>
      <xdr:col>3</xdr:col>
      <xdr:colOff>2076450</xdr:colOff>
      <xdr:row>0</xdr:row>
      <xdr:rowOff>9525</xdr:rowOff>
    </xdr:from>
    <xdr:to>
      <xdr:col>4</xdr:col>
      <xdr:colOff>874395</xdr:colOff>
      <xdr:row>0</xdr:row>
      <xdr:rowOff>741045</xdr:rowOff>
    </xdr:to>
    <xdr:sp macro="[0]!GetCensusFIPS" textlink="">
      <xdr:nvSpPr>
        <xdr:cNvPr id="9" name="Rounded Rectangle 5">
          <a:extLst>
            <a:ext uri="{FF2B5EF4-FFF2-40B4-BE49-F238E27FC236}">
              <a16:creationId xmlns:a16="http://schemas.microsoft.com/office/drawing/2014/main" id="{00000000-0008-0000-0800-000009000000}"/>
            </a:ext>
          </a:extLst>
        </xdr:cNvPr>
        <xdr:cNvSpPr>
          <a:spLocks noChangeAspect="1"/>
        </xdr:cNvSpPr>
      </xdr:nvSpPr>
      <xdr:spPr>
        <a:xfrm>
          <a:off x="2752725" y="9525"/>
          <a:ext cx="164592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Get Census Tract</a:t>
          </a:r>
        </a:p>
      </xdr:txBody>
    </xdr:sp>
    <xdr:clientData/>
  </xdr:twoCellAnchor>
  <xdr:twoCellAnchor>
    <xdr:from>
      <xdr:col>4</xdr:col>
      <xdr:colOff>904875</xdr:colOff>
      <xdr:row>0</xdr:row>
      <xdr:rowOff>0</xdr:rowOff>
    </xdr:from>
    <xdr:to>
      <xdr:col>6</xdr:col>
      <xdr:colOff>588645</xdr:colOff>
      <xdr:row>0</xdr:row>
      <xdr:rowOff>731520</xdr:rowOff>
    </xdr:to>
    <xdr:sp macro="[0]!ShowUserFormMapDefine" textlink="">
      <xdr:nvSpPr>
        <xdr:cNvPr id="10" name="Rounded Rectangle 5">
          <a:extLst>
            <a:ext uri="{FF2B5EF4-FFF2-40B4-BE49-F238E27FC236}">
              <a16:creationId xmlns:a16="http://schemas.microsoft.com/office/drawing/2014/main" id="{00000000-0008-0000-0800-00000A000000}"/>
            </a:ext>
          </a:extLst>
        </xdr:cNvPr>
        <xdr:cNvSpPr>
          <a:spLocks noChangeAspect="1"/>
        </xdr:cNvSpPr>
      </xdr:nvSpPr>
      <xdr:spPr>
        <a:xfrm>
          <a:off x="4429125" y="0"/>
          <a:ext cx="164592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Create Ring Map</a:t>
          </a:r>
        </a:p>
      </xdr:txBody>
    </xdr:sp>
    <xdr:clientData/>
  </xdr:twoCellAnchor>
  <xdr:twoCellAnchor>
    <xdr:from>
      <xdr:col>13</xdr:col>
      <xdr:colOff>0</xdr:colOff>
      <xdr:row>56</xdr:row>
      <xdr:rowOff>0</xdr:rowOff>
    </xdr:from>
    <xdr:to>
      <xdr:col>14</xdr:col>
      <xdr:colOff>0</xdr:colOff>
      <xdr:row>57</xdr:row>
      <xdr:rowOff>0</xdr:rowOff>
    </xdr:to>
    <xdr:sp macro="" textlink="" fLocksText="0">
      <xdr:nvSpPr>
        <xdr:cNvPr id="2" name="RingMap">
          <a:extLst>
            <a:ext uri="{FF2B5EF4-FFF2-40B4-BE49-F238E27FC236}">
              <a16:creationId xmlns:a16="http://schemas.microsoft.com/office/drawing/2014/main" id="{F7374ACC-B5BD-0330-687F-8CE7931B527A}"/>
            </a:ext>
          </a:extLst>
        </xdr:cNvPr>
        <xdr:cNvSpPr/>
      </xdr:nvSpPr>
      <xdr:spPr>
        <a:xfrm>
          <a:off x="10058400" y="11506200"/>
          <a:ext cx="5200650" cy="5200650"/>
        </a:xfrm>
        <a:prstGeom prst="rect">
          <a:avLst/>
        </a:prstGeom>
        <a:blipFill>
          <a:blip xmlns:r="http://schemas.openxmlformats.org/officeDocument/2006/relationships" r:embed="rId1"/>
          <a:stretch>
            <a:fillRect/>
          </a:stretch>
        </a:blipFill>
        <a:ln w="12700">
          <a:solidFill>
            <a:srgbClr val="1F497D"/>
          </a:solidFill>
        </a:ln>
        <a:extLst>
          <a:ext uri="{31F19639-BCED-4A60-ADC4-E9642A236FB7}">
            <a14:hiddenScene3d xmlns:a14="http://schemas.microsoft.com/office/drawing/2010/main">
              <a:camera prst="orthographicFront"/>
              <a:lightRig rig="threePt" dir="t"/>
            </a14:hiddenScene3d>
          </a:ext>
          <a:ext uri="{E45631CC-5BF2-4C18-A39C-3461C7D3F71A}">
            <a14:hiddenSp3d xmlns:a14="http://schemas.microsoft.com/office/drawing/2010/main">
              <a:bevelT w="254000"/>
              <a:bevelB w="254000"/>
            </a14:hiddenSp3d>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200" b="1">
            <a:solidFill>
              <a:sysClr val="windowText" lastClr="000000"/>
            </a:solidFill>
            <a:latin typeface="Segoe UI" panose="020B0502040204020203" pitchFamily="34" charset="0"/>
            <a:cs typeface="Segoe UI" panose="020B0502040204020203" pitchFamily="34" charset="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12</xdr:col>
      <xdr:colOff>74083</xdr:colOff>
      <xdr:row>0</xdr:row>
      <xdr:rowOff>127000</xdr:rowOff>
    </xdr:from>
    <xdr:to>
      <xdr:col>23</xdr:col>
      <xdr:colOff>343959</xdr:colOff>
      <xdr:row>3</xdr:row>
      <xdr:rowOff>31750</xdr:rowOff>
    </xdr:to>
    <xdr:sp macro="" textlink="">
      <xdr:nvSpPr>
        <xdr:cNvPr id="7" name="TextBox 6">
          <a:hlinkClick xmlns:r="http://schemas.openxmlformats.org/officeDocument/2006/relationships" r:id="rId1"/>
          <a:extLst>
            <a:ext uri="{FF2B5EF4-FFF2-40B4-BE49-F238E27FC236}">
              <a16:creationId xmlns:a16="http://schemas.microsoft.com/office/drawing/2014/main" id="{00000000-0008-0000-1300-000007000000}"/>
            </a:ext>
          </a:extLst>
        </xdr:cNvPr>
        <xdr:cNvSpPr txBox="1"/>
      </xdr:nvSpPr>
      <xdr:spPr>
        <a:xfrm>
          <a:off x="6254750" y="127000"/>
          <a:ext cx="6858000" cy="1047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Table requires user inputs</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2.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5</xdr:col>
      <xdr:colOff>575727</xdr:colOff>
      <xdr:row>0</xdr:row>
      <xdr:rowOff>731520</xdr:rowOff>
    </xdr:to>
    <xdr:grpSp>
      <xdr:nvGrpSpPr>
        <xdr:cNvPr id="3" name="Group 2">
          <a:extLst>
            <a:ext uri="{FF2B5EF4-FFF2-40B4-BE49-F238E27FC236}">
              <a16:creationId xmlns:a16="http://schemas.microsoft.com/office/drawing/2014/main" id="{00000000-0008-0000-1300-000003000000}"/>
            </a:ext>
          </a:extLst>
        </xdr:cNvPr>
        <xdr:cNvGrpSpPr>
          <a:grpSpLocks noChangeAspect="1"/>
        </xdr:cNvGrpSpPr>
      </xdr:nvGrpSpPr>
      <xdr:grpSpPr>
        <a:xfrm>
          <a:off x="0" y="0"/>
          <a:ext cx="2823627" cy="731520"/>
          <a:chOff x="0" y="0"/>
          <a:chExt cx="2819394" cy="731520"/>
        </a:xfrm>
      </xdr:grpSpPr>
      <xdr:sp macro="[0]!GoTo_Main" textlink="">
        <xdr:nvSpPr>
          <xdr:cNvPr id="8" name="Rounded Rectangle 7">
            <a:extLst>
              <a:ext uri="{FF2B5EF4-FFF2-40B4-BE49-F238E27FC236}">
                <a16:creationId xmlns:a16="http://schemas.microsoft.com/office/drawing/2014/main" id="{00000000-0008-0000-1300-000008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Update_BuildingAreaBreakdown_Table" textlink="">
        <xdr:nvSpPr>
          <xdr:cNvPr id="9" name="Rounded Rectangle 8">
            <a:extLst>
              <a:ext uri="{FF2B5EF4-FFF2-40B4-BE49-F238E27FC236}">
                <a16:creationId xmlns:a16="http://schemas.microsoft.com/office/drawing/2014/main" id="{00000000-0008-0000-1300-000009000000}"/>
              </a:ext>
            </a:extLst>
          </xdr:cNvPr>
          <xdr:cNvSpPr>
            <a:spLocks noChangeAspect="1"/>
          </xdr:cNvSpPr>
        </xdr:nvSpPr>
        <xdr:spPr>
          <a:xfrm>
            <a:off x="952495"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BuildingAreaBreakdown_Table" textlink="">
        <xdr:nvSpPr>
          <xdr:cNvPr id="10" name="Rounded Rectangle 9">
            <a:extLst>
              <a:ext uri="{FF2B5EF4-FFF2-40B4-BE49-F238E27FC236}">
                <a16:creationId xmlns:a16="http://schemas.microsoft.com/office/drawing/2014/main" id="{00000000-0008-0000-1300-00000A000000}"/>
              </a:ext>
            </a:extLst>
          </xdr:cNvPr>
          <xdr:cNvSpPr>
            <a:spLocks noChangeAspect="1"/>
          </xdr:cNvSpPr>
        </xdr:nvSpPr>
        <xdr:spPr>
          <a:xfrm>
            <a:off x="1904994"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19</xdr:col>
      <xdr:colOff>82533</xdr:colOff>
      <xdr:row>0</xdr:row>
      <xdr:rowOff>76571</xdr:rowOff>
    </xdr:from>
    <xdr:to>
      <xdr:col>28</xdr:col>
      <xdr:colOff>213391</xdr:colOff>
      <xdr:row>12</xdr:row>
      <xdr:rowOff>52917</xdr:rowOff>
    </xdr:to>
    <xdr:sp macro="" textlink="">
      <xdr:nvSpPr>
        <xdr:cNvPr id="9" name="TextBox 8">
          <a:hlinkClick xmlns:r="http://schemas.openxmlformats.org/officeDocument/2006/relationships" r:id="rId1"/>
          <a:extLst>
            <a:ext uri="{FF2B5EF4-FFF2-40B4-BE49-F238E27FC236}">
              <a16:creationId xmlns:a16="http://schemas.microsoft.com/office/drawing/2014/main" id="{00000000-0008-0000-1400-000009000000}"/>
            </a:ext>
          </a:extLst>
        </xdr:cNvPr>
        <xdr:cNvSpPr txBox="1"/>
      </xdr:nvSpPr>
      <xdr:spPr>
        <a:xfrm>
          <a:off x="8969358" y="76571"/>
          <a:ext cx="7012141" cy="25163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Select "Actual" or "Preliminary" in column H in reference to Most Recent Tax Data Presented, even if data does not appear in column H</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User inputs in cells with white background only</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Manual Assessment Ratio override by user is required if Ratios are different for Land &amp; Improvements Only</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4. Appraiser should input Year 1 estimate if Income Approach is being developed</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5. </a:t>
          </a:r>
          <a:r>
            <a:rPr lang="en-US" sz="1100" b="1" i="0" baseline="0">
              <a:solidFill>
                <a:schemeClr val="dk1"/>
              </a:solidFill>
              <a:effectLst/>
              <a:latin typeface="+mn-lt"/>
              <a:ea typeface="+mn-ea"/>
              <a:cs typeface="+mn-cs"/>
            </a:rPr>
            <a:t>Make Appraised/Assessed Value Selection in Table to match the taxing authority.  "Assessed Value" - assessed value is the basis of the taxing authority and the assessment-to-value ratio calculates the "Implied Market Value." "Appraised Value" - the assessed value will be calculated from the appraised value.</a:t>
          </a:r>
          <a:endParaRPr lang="en-US" sz="1000" b="1" i="0" baseline="0">
            <a:solidFill>
              <a:schemeClr val="dk1"/>
            </a:solidFill>
            <a:effectLst/>
            <a:latin typeface="Segoe UI" panose="020B0502040204020203" pitchFamily="34" charset="0"/>
            <a:ea typeface="+mn-ea"/>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6.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7.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7</xdr:col>
      <xdr:colOff>388683</xdr:colOff>
      <xdr:row>0</xdr:row>
      <xdr:rowOff>731520</xdr:rowOff>
    </xdr:to>
    <xdr:grpSp>
      <xdr:nvGrpSpPr>
        <xdr:cNvPr id="3" name="Group 2">
          <a:extLst>
            <a:ext uri="{FF2B5EF4-FFF2-40B4-BE49-F238E27FC236}">
              <a16:creationId xmlns:a16="http://schemas.microsoft.com/office/drawing/2014/main" id="{00000000-0008-0000-1400-000003000000}"/>
            </a:ext>
          </a:extLst>
        </xdr:cNvPr>
        <xdr:cNvGrpSpPr>
          <a:grpSpLocks noChangeAspect="1"/>
        </xdr:cNvGrpSpPr>
      </xdr:nvGrpSpPr>
      <xdr:grpSpPr>
        <a:xfrm>
          <a:off x="0" y="0"/>
          <a:ext cx="3751008" cy="731520"/>
          <a:chOff x="0" y="0"/>
          <a:chExt cx="3761314" cy="731520"/>
        </a:xfrm>
      </xdr:grpSpPr>
      <xdr:sp macro="[0]!Update_TaxScheduleTable" textlink="">
        <xdr:nvSpPr>
          <xdr:cNvPr id="8" name="Rounded Rectangle 7">
            <a:extLst>
              <a:ext uri="{FF2B5EF4-FFF2-40B4-BE49-F238E27FC236}">
                <a16:creationId xmlns:a16="http://schemas.microsoft.com/office/drawing/2014/main" id="{00000000-0008-0000-1400-000008000000}"/>
              </a:ext>
            </a:extLst>
          </xdr:cNvPr>
          <xdr:cNvSpPr>
            <a:spLocks noChangeAspect="1"/>
          </xdr:cNvSpPr>
        </xdr:nvSpPr>
        <xdr:spPr>
          <a:xfrm>
            <a:off x="1894415"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TaxSchedule_Table" textlink="">
        <xdr:nvSpPr>
          <xdr:cNvPr id="10" name="Rounded Rectangle 9">
            <a:extLst>
              <a:ext uri="{FF2B5EF4-FFF2-40B4-BE49-F238E27FC236}">
                <a16:creationId xmlns:a16="http://schemas.microsoft.com/office/drawing/2014/main" id="{00000000-0008-0000-1400-00000A000000}"/>
              </a:ext>
            </a:extLst>
          </xdr:cNvPr>
          <xdr:cNvSpPr>
            <a:spLocks noChangeAspect="1"/>
          </xdr:cNvSpPr>
        </xdr:nvSpPr>
        <xdr:spPr>
          <a:xfrm>
            <a:off x="2846914"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GoTo_Main" textlink="">
        <xdr:nvSpPr>
          <xdr:cNvPr id="11" name="Rounded Rectangle 10">
            <a:extLst>
              <a:ext uri="{FF2B5EF4-FFF2-40B4-BE49-F238E27FC236}">
                <a16:creationId xmlns:a16="http://schemas.microsoft.com/office/drawing/2014/main" id="{00000000-0008-0000-1400-00000B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TaxComparable_Table" textlink="">
        <xdr:nvSpPr>
          <xdr:cNvPr id="12" name="Rounded Rectangle 11">
            <a:extLst>
              <a:ext uri="{FF2B5EF4-FFF2-40B4-BE49-F238E27FC236}">
                <a16:creationId xmlns:a16="http://schemas.microsoft.com/office/drawing/2014/main" id="{00000000-0008-0000-1400-00000C000000}"/>
              </a:ext>
            </a:extLst>
          </xdr:cNvPr>
          <xdr:cNvSpPr>
            <a:spLocks noChangeAspect="1"/>
          </xdr:cNvSpPr>
        </xdr:nvSpPr>
        <xdr:spPr>
          <a:xfrm>
            <a:off x="941918"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Tax Comps</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18</xdr:col>
      <xdr:colOff>470514</xdr:colOff>
      <xdr:row>0</xdr:row>
      <xdr:rowOff>101600</xdr:rowOff>
    </xdr:from>
    <xdr:to>
      <xdr:col>30</xdr:col>
      <xdr:colOff>344624</xdr:colOff>
      <xdr:row>2</xdr:row>
      <xdr:rowOff>200526</xdr:rowOff>
    </xdr:to>
    <xdr:sp macro="" textlink="">
      <xdr:nvSpPr>
        <xdr:cNvPr id="8" name="TextBox 7">
          <a:hlinkClick xmlns:r="http://schemas.openxmlformats.org/officeDocument/2006/relationships" r:id="rId1"/>
          <a:extLst>
            <a:ext uri="{FF2B5EF4-FFF2-40B4-BE49-F238E27FC236}">
              <a16:creationId xmlns:a16="http://schemas.microsoft.com/office/drawing/2014/main" id="{00000000-0008-0000-1500-000008000000}"/>
            </a:ext>
          </a:extLst>
        </xdr:cNvPr>
        <xdr:cNvSpPr txBox="1"/>
      </xdr:nvSpPr>
      <xdr:spPr>
        <a:xfrm>
          <a:off x="8552727" y="101600"/>
          <a:ext cx="6972742" cy="1051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a:t>
          </a:r>
          <a:r>
            <a:rPr lang="en-US" sz="1100" b="1" i="0" baseline="0">
              <a:solidFill>
                <a:schemeClr val="dk1"/>
              </a:solidFill>
              <a:effectLst/>
              <a:latin typeface="+mn-lt"/>
              <a:ea typeface="+mn-ea"/>
              <a:cs typeface="+mn-cs"/>
            </a:rPr>
            <a:t>User inputs in cells with white background only</a:t>
          </a:r>
          <a:endParaRPr lang="en-US" sz="1000" b="1" i="0" baseline="0">
            <a:solidFill>
              <a:schemeClr val="dk1"/>
            </a:solidFill>
            <a:effectLst/>
            <a:latin typeface="Segoe UI" panose="020B0502040204020203" pitchFamily="34" charset="0"/>
            <a:ea typeface="+mn-ea"/>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2.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8</xdr:col>
      <xdr:colOff>227316</xdr:colOff>
      <xdr:row>0</xdr:row>
      <xdr:rowOff>731520</xdr:rowOff>
    </xdr:to>
    <xdr:grpSp>
      <xdr:nvGrpSpPr>
        <xdr:cNvPr id="3" name="Group 2">
          <a:extLst>
            <a:ext uri="{FF2B5EF4-FFF2-40B4-BE49-F238E27FC236}">
              <a16:creationId xmlns:a16="http://schemas.microsoft.com/office/drawing/2014/main" id="{00000000-0008-0000-1500-000003000000}"/>
            </a:ext>
          </a:extLst>
        </xdr:cNvPr>
        <xdr:cNvGrpSpPr>
          <a:grpSpLocks noChangeAspect="1"/>
        </xdr:cNvGrpSpPr>
      </xdr:nvGrpSpPr>
      <xdr:grpSpPr>
        <a:xfrm>
          <a:off x="0" y="0"/>
          <a:ext cx="3951591" cy="731520"/>
          <a:chOff x="0" y="0"/>
          <a:chExt cx="3941287" cy="731520"/>
        </a:xfrm>
      </xdr:grpSpPr>
      <xdr:sp macro="[0]!Update_TaxComps_Table" textlink="">
        <xdr:nvSpPr>
          <xdr:cNvPr id="9" name="Rounded Rectangle 8">
            <a:extLst>
              <a:ext uri="{FF2B5EF4-FFF2-40B4-BE49-F238E27FC236}">
                <a16:creationId xmlns:a16="http://schemas.microsoft.com/office/drawing/2014/main" id="{00000000-0008-0000-1500-000009000000}"/>
              </a:ext>
            </a:extLst>
          </xdr:cNvPr>
          <xdr:cNvSpPr>
            <a:spLocks noChangeAspect="1"/>
          </xdr:cNvSpPr>
        </xdr:nvSpPr>
        <xdr:spPr>
          <a:xfrm>
            <a:off x="2074388"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TaxComps_Table" textlink="">
        <xdr:nvSpPr>
          <xdr:cNvPr id="10" name="Rounded Rectangle 9">
            <a:extLst>
              <a:ext uri="{FF2B5EF4-FFF2-40B4-BE49-F238E27FC236}">
                <a16:creationId xmlns:a16="http://schemas.microsoft.com/office/drawing/2014/main" id="{00000000-0008-0000-1500-00000A000000}"/>
              </a:ext>
            </a:extLst>
          </xdr:cNvPr>
          <xdr:cNvSpPr>
            <a:spLocks noChangeAspect="1"/>
          </xdr:cNvSpPr>
        </xdr:nvSpPr>
        <xdr:spPr>
          <a:xfrm>
            <a:off x="3026887"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GoTo_Main" textlink="">
        <xdr:nvSpPr>
          <xdr:cNvPr id="11" name="Rounded Rectangle 10">
            <a:extLst>
              <a:ext uri="{FF2B5EF4-FFF2-40B4-BE49-F238E27FC236}">
                <a16:creationId xmlns:a16="http://schemas.microsoft.com/office/drawing/2014/main" id="{00000000-0008-0000-1500-00000B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TaxSchedule_Table" textlink="">
        <xdr:nvSpPr>
          <xdr:cNvPr id="12" name="Rounded Rectangle 11">
            <a:extLst>
              <a:ext uri="{FF2B5EF4-FFF2-40B4-BE49-F238E27FC236}">
                <a16:creationId xmlns:a16="http://schemas.microsoft.com/office/drawing/2014/main" id="{00000000-0008-0000-1500-00000C000000}"/>
              </a:ext>
            </a:extLst>
          </xdr:cNvPr>
          <xdr:cNvSpPr>
            <a:spLocks noChangeAspect="1"/>
          </xdr:cNvSpPr>
        </xdr:nvSpPr>
        <xdr:spPr>
          <a:xfrm>
            <a:off x="941918" y="0"/>
            <a:ext cx="109728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Subject Tax</a:t>
            </a:r>
            <a:r>
              <a:rPr lang="en-US" sz="1200" b="1" baseline="0">
                <a:latin typeface="Segoe UI" panose="020B0502040204020203" pitchFamily="34" charset="0"/>
                <a:cs typeface="Segoe UI" panose="020B0502040204020203" pitchFamily="34" charset="0"/>
              </a:rPr>
              <a:t> Schedule</a:t>
            </a:r>
            <a:endParaRPr lang="en-US" sz="1200" b="1">
              <a:latin typeface="Segoe UI" panose="020B0502040204020203" pitchFamily="34" charset="0"/>
              <a:cs typeface="Segoe UI" panose="020B0502040204020203" pitchFamily="34" charset="0"/>
            </a:endParaRPr>
          </a:p>
        </xdr:txBody>
      </xdr:sp>
    </xdr:grp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11</xdr:col>
      <xdr:colOff>568326</xdr:colOff>
      <xdr:row>1</xdr:row>
      <xdr:rowOff>53977</xdr:rowOff>
    </xdr:from>
    <xdr:to>
      <xdr:col>19</xdr:col>
      <xdr:colOff>3314698</xdr:colOff>
      <xdr:row>5</xdr:row>
      <xdr:rowOff>233892</xdr:rowOff>
    </xdr:to>
    <xdr:sp macro="" textlink="">
      <xdr:nvSpPr>
        <xdr:cNvPr id="3" name="TextBox 2">
          <a:hlinkClick xmlns:r="http://schemas.openxmlformats.org/officeDocument/2006/relationships" r:id="rId1"/>
          <a:extLst>
            <a:ext uri="{FF2B5EF4-FFF2-40B4-BE49-F238E27FC236}">
              <a16:creationId xmlns:a16="http://schemas.microsoft.com/office/drawing/2014/main" id="{00000000-0008-0000-1600-000003000000}"/>
            </a:ext>
          </a:extLst>
        </xdr:cNvPr>
        <xdr:cNvSpPr txBox="1"/>
      </xdr:nvSpPr>
      <xdr:spPr>
        <a:xfrm>
          <a:off x="5759451" y="815977"/>
          <a:ext cx="5680072" cy="11705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spcBef>
              <a:spcPts val="300"/>
            </a:spcBef>
            <a:spcAft>
              <a:spcPts val="300"/>
            </a:spcAft>
          </a:pPr>
          <a:r>
            <a:rPr lang="en-US" sz="900" b="1">
              <a:latin typeface="Segoe UI" panose="020B0502040204020203" pitchFamily="34" charset="0"/>
              <a:cs typeface="Segoe UI" panose="020B0502040204020203" pitchFamily="34" charset="0"/>
            </a:rPr>
            <a:t>1.</a:t>
          </a:r>
          <a:r>
            <a:rPr lang="en-US" sz="900" b="1" baseline="0">
              <a:latin typeface="Segoe UI" panose="020B0502040204020203" pitchFamily="34" charset="0"/>
              <a:cs typeface="Segoe UI" panose="020B0502040204020203" pitchFamily="34" charset="0"/>
            </a:rPr>
            <a:t>  </a:t>
          </a:r>
          <a:r>
            <a:rPr lang="en-US" sz="900" b="1">
              <a:latin typeface="Segoe UI" panose="020B0502040204020203" pitchFamily="34" charset="0"/>
              <a:cs typeface="Segoe UI" panose="020B0502040204020203" pitchFamily="34" charset="0"/>
            </a:rPr>
            <a:t>The user can import up to four search parameters from CoStar</a:t>
          </a:r>
          <a:r>
            <a:rPr lang="en-US" sz="900" b="1" baseline="0">
              <a:latin typeface="Segoe UI" panose="020B0502040204020203" pitchFamily="34" charset="0"/>
              <a:cs typeface="Segoe UI" panose="020B0502040204020203" pitchFamily="34" charset="0"/>
            </a:rPr>
            <a:t> to populate these two tables</a:t>
          </a:r>
        </a:p>
        <a:p>
          <a:pPr algn="l">
            <a:spcBef>
              <a:spcPts val="300"/>
            </a:spcBef>
            <a:spcAft>
              <a:spcPts val="300"/>
            </a:spcAft>
          </a:pPr>
          <a:r>
            <a:rPr lang="en-US" sz="900" b="1" baseline="0">
              <a:latin typeface="Segoe UI" panose="020B0502040204020203" pitchFamily="34" charset="0"/>
              <a:cs typeface="Segoe UI" panose="020B0502040204020203" pitchFamily="34" charset="0"/>
            </a:rPr>
            <a:t>2. Both .xls and .csv options are provided and should be used based on the CoStar Export</a:t>
          </a:r>
        </a:p>
        <a:p>
          <a:pPr algn="l">
            <a:spcBef>
              <a:spcPts val="300"/>
            </a:spcBef>
            <a:spcAft>
              <a:spcPts val="300"/>
            </a:spcAft>
          </a:pPr>
          <a:r>
            <a:rPr lang="en-US" sz="900" b="1" baseline="0">
              <a:latin typeface="Segoe UI" panose="020B0502040204020203" pitchFamily="34" charset="0"/>
              <a:cs typeface="Segoe UI" panose="020B0502040204020203" pitchFamily="34" charset="0"/>
            </a:rPr>
            <a:t>3.  The user may select the data to display in the tables via the drop down menus below</a:t>
          </a:r>
        </a:p>
        <a:p>
          <a:pPr algn="l">
            <a:spcBef>
              <a:spcPts val="300"/>
            </a:spcBef>
            <a:spcAft>
              <a:spcPts val="300"/>
            </a:spcAft>
          </a:pPr>
          <a:r>
            <a:rPr lang="en-US" sz="900" b="1" baseline="0">
              <a:latin typeface="Segoe UI" panose="020B0502040204020203" pitchFamily="34" charset="0"/>
              <a:cs typeface="Segoe UI" panose="020B0502040204020203" pitchFamily="34" charset="0"/>
            </a:rPr>
            <a:t>4.  Market Study Assumptions formatting in Word is based on User Input Formatting</a:t>
          </a:r>
        </a:p>
        <a:p>
          <a:pPr algn="l">
            <a:spcBef>
              <a:spcPts val="300"/>
            </a:spcBef>
            <a:spcAft>
              <a:spcPts val="300"/>
            </a:spcAft>
          </a:pPr>
          <a:r>
            <a:rPr lang="en-US" sz="900" b="1" u="sng" baseline="0">
              <a:solidFill>
                <a:srgbClr val="0000FF"/>
              </a:solidFill>
              <a:latin typeface="Segoe UI" panose="020B0502040204020203" pitchFamily="34" charset="0"/>
              <a:cs typeface="Segoe UI" panose="020B0502040204020203" pitchFamily="34" charset="0"/>
            </a:rPr>
            <a:t>User Guide</a:t>
          </a:r>
          <a:endParaRPr lang="en-US" sz="900" b="1" u="sng">
            <a:solidFill>
              <a:srgbClr val="0000FF"/>
            </a:solidFill>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14</xdr:col>
      <xdr:colOff>605569</xdr:colOff>
      <xdr:row>0</xdr:row>
      <xdr:rowOff>731520</xdr:rowOff>
    </xdr:to>
    <xdr:grpSp>
      <xdr:nvGrpSpPr>
        <xdr:cNvPr id="6" name="Group 5">
          <a:extLst>
            <a:ext uri="{FF2B5EF4-FFF2-40B4-BE49-F238E27FC236}">
              <a16:creationId xmlns:a16="http://schemas.microsoft.com/office/drawing/2014/main" id="{00000000-0008-0000-1600-000006000000}"/>
            </a:ext>
          </a:extLst>
        </xdr:cNvPr>
        <xdr:cNvGrpSpPr>
          <a:grpSpLocks noChangeAspect="1"/>
        </xdr:cNvGrpSpPr>
      </xdr:nvGrpSpPr>
      <xdr:grpSpPr>
        <a:xfrm>
          <a:off x="0" y="0"/>
          <a:ext cx="7644544" cy="731520"/>
          <a:chOff x="0" y="0"/>
          <a:chExt cx="7646661" cy="731520"/>
        </a:xfrm>
      </xdr:grpSpPr>
      <xdr:sp macro="[0]!GoTo_Main" textlink="">
        <xdr:nvSpPr>
          <xdr:cNvPr id="21" name="Rounded Rectangle 20">
            <a:extLst>
              <a:ext uri="{FF2B5EF4-FFF2-40B4-BE49-F238E27FC236}">
                <a16:creationId xmlns:a16="http://schemas.microsoft.com/office/drawing/2014/main" id="{00000000-0008-0000-1600-000015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ImportCoStar_01_xls" textlink="">
        <xdr:nvSpPr>
          <xdr:cNvPr id="22" name="Rounded Rectangle 21">
            <a:extLst>
              <a:ext uri="{FF2B5EF4-FFF2-40B4-BE49-F238E27FC236}">
                <a16:creationId xmlns:a16="http://schemas.microsoft.com/office/drawing/2014/main" id="{00000000-0008-0000-1600-000016000000}"/>
              </a:ext>
            </a:extLst>
          </xdr:cNvPr>
          <xdr:cNvSpPr>
            <a:spLocks noChangeAspect="1"/>
          </xdr:cNvSpPr>
        </xdr:nvSpPr>
        <xdr:spPr>
          <a:xfrm>
            <a:off x="952499" y="0"/>
            <a:ext cx="164592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Import Metro Total</a:t>
            </a:r>
          </a:p>
        </xdr:txBody>
      </xdr:sp>
      <xdr:sp macro="[0]!ImportCoStar_02_xls" textlink="">
        <xdr:nvSpPr>
          <xdr:cNvPr id="23" name="Rounded Rectangle 22">
            <a:extLst>
              <a:ext uri="{FF2B5EF4-FFF2-40B4-BE49-F238E27FC236}">
                <a16:creationId xmlns:a16="http://schemas.microsoft.com/office/drawing/2014/main" id="{00000000-0008-0000-1600-000017000000}"/>
              </a:ext>
            </a:extLst>
          </xdr:cNvPr>
          <xdr:cNvSpPr>
            <a:spLocks noChangeAspect="1"/>
          </xdr:cNvSpPr>
        </xdr:nvSpPr>
        <xdr:spPr>
          <a:xfrm>
            <a:off x="2635246" y="0"/>
            <a:ext cx="164592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Import Metro Sub Property Type</a:t>
            </a:r>
          </a:p>
        </xdr:txBody>
      </xdr:sp>
      <xdr:sp macro="[0]!ImportCoStar_03_xls" textlink="">
        <xdr:nvSpPr>
          <xdr:cNvPr id="24" name="Rounded Rectangle 23">
            <a:extLst>
              <a:ext uri="{FF2B5EF4-FFF2-40B4-BE49-F238E27FC236}">
                <a16:creationId xmlns:a16="http://schemas.microsoft.com/office/drawing/2014/main" id="{00000000-0008-0000-1600-000018000000}"/>
              </a:ext>
            </a:extLst>
          </xdr:cNvPr>
          <xdr:cNvSpPr>
            <a:spLocks noChangeAspect="1"/>
          </xdr:cNvSpPr>
        </xdr:nvSpPr>
        <xdr:spPr>
          <a:xfrm>
            <a:off x="4317993" y="0"/>
            <a:ext cx="164592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Import Submarket Total</a:t>
            </a:r>
          </a:p>
        </xdr:txBody>
      </xdr:sp>
      <xdr:sp macro="[0]!ImportCoStar_04_xls" textlink="">
        <xdr:nvSpPr>
          <xdr:cNvPr id="25" name="Rounded Rectangle 24">
            <a:extLst>
              <a:ext uri="{FF2B5EF4-FFF2-40B4-BE49-F238E27FC236}">
                <a16:creationId xmlns:a16="http://schemas.microsoft.com/office/drawing/2014/main" id="{00000000-0008-0000-1600-000019000000}"/>
              </a:ext>
            </a:extLst>
          </xdr:cNvPr>
          <xdr:cNvSpPr>
            <a:spLocks noChangeAspect="1"/>
          </xdr:cNvSpPr>
        </xdr:nvSpPr>
        <xdr:spPr>
          <a:xfrm>
            <a:off x="6000741" y="0"/>
            <a:ext cx="164592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Import Submarket Sub Property Type</a:t>
            </a:r>
          </a:p>
        </xdr:txBody>
      </xdr:sp>
    </xdr:grpSp>
    <xdr:clientData/>
  </xdr:twoCellAnchor>
  <mc:AlternateContent xmlns:mc="http://schemas.openxmlformats.org/markup-compatibility/2006">
    <mc:Choice xmlns:a14="http://schemas.microsoft.com/office/drawing/2010/main" Requires="a14">
      <xdr:twoCellAnchor>
        <xdr:from>
          <xdr:col>6</xdr:col>
          <xdr:colOff>0</xdr:colOff>
          <xdr:row>6</xdr:row>
          <xdr:rowOff>0</xdr:rowOff>
        </xdr:from>
        <xdr:to>
          <xdr:col>6</xdr:col>
          <xdr:colOff>419100</xdr:colOff>
          <xdr:row>7</xdr:row>
          <xdr:rowOff>0</xdr:rowOff>
        </xdr:to>
        <xdr:sp macro="" textlink="">
          <xdr:nvSpPr>
            <xdr:cNvPr id="25617" name="Spinner 17" hidden="1">
              <a:extLst>
                <a:ext uri="{63B3BB69-23CF-44E3-9099-C40C66FF867C}">
                  <a14:compatExt spid="_x0000_s25617"/>
                </a:ext>
                <a:ext uri="{FF2B5EF4-FFF2-40B4-BE49-F238E27FC236}">
                  <a16:creationId xmlns:a16="http://schemas.microsoft.com/office/drawing/2014/main" id="{00000000-0008-0000-1600-0000116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9</xdr:row>
          <xdr:rowOff>28575</xdr:rowOff>
        </xdr:from>
        <xdr:to>
          <xdr:col>5</xdr:col>
          <xdr:colOff>447675</xdr:colOff>
          <xdr:row>9</xdr:row>
          <xdr:rowOff>257175</xdr:rowOff>
        </xdr:to>
        <xdr:sp macro="" textlink="">
          <xdr:nvSpPr>
            <xdr:cNvPr id="25619" name="Drop Down 19" hidden="1">
              <a:extLst>
                <a:ext uri="{63B3BB69-23CF-44E3-9099-C40C66FF867C}">
                  <a14:compatExt spid="_x0000_s25619"/>
                </a:ext>
                <a:ext uri="{FF2B5EF4-FFF2-40B4-BE49-F238E27FC236}">
                  <a16:creationId xmlns:a16="http://schemas.microsoft.com/office/drawing/2014/main" id="{00000000-0008-0000-1600-000013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504825</xdr:colOff>
          <xdr:row>9</xdr:row>
          <xdr:rowOff>19050</xdr:rowOff>
        </xdr:from>
        <xdr:to>
          <xdr:col>8</xdr:col>
          <xdr:colOff>476250</xdr:colOff>
          <xdr:row>9</xdr:row>
          <xdr:rowOff>247650</xdr:rowOff>
        </xdr:to>
        <xdr:sp macro="" textlink="">
          <xdr:nvSpPr>
            <xdr:cNvPr id="25620" name="Drop Down 20" hidden="1">
              <a:extLst>
                <a:ext uri="{63B3BB69-23CF-44E3-9099-C40C66FF867C}">
                  <a14:compatExt spid="_x0000_s25620"/>
                </a:ext>
                <a:ext uri="{FF2B5EF4-FFF2-40B4-BE49-F238E27FC236}">
                  <a16:creationId xmlns:a16="http://schemas.microsoft.com/office/drawing/2014/main" id="{00000000-0008-0000-1600-000014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8</xdr:col>
          <xdr:colOff>523875</xdr:colOff>
          <xdr:row>9</xdr:row>
          <xdr:rowOff>19050</xdr:rowOff>
        </xdr:from>
        <xdr:to>
          <xdr:col>12</xdr:col>
          <xdr:colOff>9525</xdr:colOff>
          <xdr:row>9</xdr:row>
          <xdr:rowOff>257175</xdr:rowOff>
        </xdr:to>
        <xdr:sp macro="" textlink="">
          <xdr:nvSpPr>
            <xdr:cNvPr id="25621" name="Drop Down 21" hidden="1">
              <a:extLst>
                <a:ext uri="{63B3BB69-23CF-44E3-9099-C40C66FF867C}">
                  <a14:compatExt spid="_x0000_s25621"/>
                </a:ext>
                <a:ext uri="{FF2B5EF4-FFF2-40B4-BE49-F238E27FC236}">
                  <a16:creationId xmlns:a16="http://schemas.microsoft.com/office/drawing/2014/main" id="{00000000-0008-0000-1600-000015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66675</xdr:colOff>
          <xdr:row>9</xdr:row>
          <xdr:rowOff>19050</xdr:rowOff>
        </xdr:from>
        <xdr:to>
          <xdr:col>16</xdr:col>
          <xdr:colOff>85725</xdr:colOff>
          <xdr:row>9</xdr:row>
          <xdr:rowOff>247650</xdr:rowOff>
        </xdr:to>
        <xdr:sp macro="" textlink="">
          <xdr:nvSpPr>
            <xdr:cNvPr id="25622" name="Drop Down 22" hidden="1">
              <a:extLst>
                <a:ext uri="{63B3BB69-23CF-44E3-9099-C40C66FF867C}">
                  <a14:compatExt spid="_x0000_s25622"/>
                </a:ext>
                <a:ext uri="{FF2B5EF4-FFF2-40B4-BE49-F238E27FC236}">
                  <a16:creationId xmlns:a16="http://schemas.microsoft.com/office/drawing/2014/main" id="{00000000-0008-0000-1600-000016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17</xdr:col>
          <xdr:colOff>19050</xdr:colOff>
          <xdr:row>9</xdr:row>
          <xdr:rowOff>19050</xdr:rowOff>
        </xdr:from>
        <xdr:to>
          <xdr:col>19</xdr:col>
          <xdr:colOff>1619250</xdr:colOff>
          <xdr:row>9</xdr:row>
          <xdr:rowOff>247650</xdr:rowOff>
        </xdr:to>
        <xdr:sp macro="" textlink="">
          <xdr:nvSpPr>
            <xdr:cNvPr id="25623" name="Drop Down 23" hidden="1">
              <a:extLst>
                <a:ext uri="{63B3BB69-23CF-44E3-9099-C40C66FF867C}">
                  <a14:compatExt spid="_x0000_s25623"/>
                </a:ext>
                <a:ext uri="{FF2B5EF4-FFF2-40B4-BE49-F238E27FC236}">
                  <a16:creationId xmlns:a16="http://schemas.microsoft.com/office/drawing/2014/main" id="{00000000-0008-0000-1600-0000176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9525</xdr:colOff>
      <xdr:row>7</xdr:row>
      <xdr:rowOff>95250</xdr:rowOff>
    </xdr:from>
    <xdr:to>
      <xdr:col>5</xdr:col>
      <xdr:colOff>443442</xdr:colOff>
      <xdr:row>8</xdr:row>
      <xdr:rowOff>208156</xdr:rowOff>
    </xdr:to>
    <xdr:sp macro="" textlink="">
      <xdr:nvSpPr>
        <xdr:cNvPr id="26" name="TextBox 25">
          <a:extLst>
            <a:ext uri="{FF2B5EF4-FFF2-40B4-BE49-F238E27FC236}">
              <a16:creationId xmlns:a16="http://schemas.microsoft.com/office/drawing/2014/main" id="{00000000-0008-0000-1600-00001A000000}"/>
            </a:ext>
          </a:extLst>
        </xdr:cNvPr>
        <xdr:cNvSpPr txBox="1">
          <a:spLocks noChangeAspect="1"/>
        </xdr:cNvSpPr>
      </xdr:nvSpPr>
      <xdr:spPr>
        <a:xfrm>
          <a:off x="390525" y="2400300"/>
          <a:ext cx="1824567" cy="2367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rgbClr val="1F497D"/>
              </a:solidFill>
              <a:latin typeface="Segoe UI" panose="020B0502040204020203" pitchFamily="34" charset="0"/>
              <a:cs typeface="Segoe UI" panose="020B0502040204020203" pitchFamily="34" charset="0"/>
            </a:rPr>
            <a:t>Column 1</a:t>
          </a:r>
        </a:p>
      </xdr:txBody>
    </xdr:sp>
    <xdr:clientData/>
  </xdr:twoCellAnchor>
  <xdr:twoCellAnchor editAs="absolute">
    <xdr:from>
      <xdr:col>5</xdr:col>
      <xdr:colOff>503829</xdr:colOff>
      <xdr:row>7</xdr:row>
      <xdr:rowOff>95249</xdr:rowOff>
    </xdr:from>
    <xdr:to>
      <xdr:col>8</xdr:col>
      <xdr:colOff>475255</xdr:colOff>
      <xdr:row>8</xdr:row>
      <xdr:rowOff>209168</xdr:rowOff>
    </xdr:to>
    <xdr:sp macro="" textlink="">
      <xdr:nvSpPr>
        <xdr:cNvPr id="31" name="TextBox 30">
          <a:extLst>
            <a:ext uri="{FF2B5EF4-FFF2-40B4-BE49-F238E27FC236}">
              <a16:creationId xmlns:a16="http://schemas.microsoft.com/office/drawing/2014/main" id="{00000000-0008-0000-1600-00001F000000}"/>
            </a:ext>
          </a:extLst>
        </xdr:cNvPr>
        <xdr:cNvSpPr txBox="1">
          <a:spLocks noChangeAspect="1"/>
        </xdr:cNvSpPr>
      </xdr:nvSpPr>
      <xdr:spPr>
        <a:xfrm>
          <a:off x="2275479" y="2400299"/>
          <a:ext cx="1828801" cy="2377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rgbClr val="1F497D"/>
              </a:solidFill>
              <a:latin typeface="Segoe UI" panose="020B0502040204020203" pitchFamily="34" charset="0"/>
              <a:cs typeface="Segoe UI" panose="020B0502040204020203" pitchFamily="34" charset="0"/>
            </a:rPr>
            <a:t>Column 2</a:t>
          </a:r>
        </a:p>
      </xdr:txBody>
    </xdr:sp>
    <xdr:clientData/>
  </xdr:twoCellAnchor>
  <xdr:twoCellAnchor editAs="absolute">
    <xdr:from>
      <xdr:col>8</xdr:col>
      <xdr:colOff>517739</xdr:colOff>
      <xdr:row>7</xdr:row>
      <xdr:rowOff>99439</xdr:rowOff>
    </xdr:from>
    <xdr:to>
      <xdr:col>12</xdr:col>
      <xdr:colOff>3387</xdr:colOff>
      <xdr:row>8</xdr:row>
      <xdr:rowOff>204378</xdr:rowOff>
    </xdr:to>
    <xdr:sp macro="" textlink="">
      <xdr:nvSpPr>
        <xdr:cNvPr id="32" name="TextBox 31">
          <a:extLst>
            <a:ext uri="{FF2B5EF4-FFF2-40B4-BE49-F238E27FC236}">
              <a16:creationId xmlns:a16="http://schemas.microsoft.com/office/drawing/2014/main" id="{00000000-0008-0000-1600-000020000000}"/>
            </a:ext>
          </a:extLst>
        </xdr:cNvPr>
        <xdr:cNvSpPr txBox="1">
          <a:spLocks noChangeAspect="1"/>
        </xdr:cNvSpPr>
      </xdr:nvSpPr>
      <xdr:spPr>
        <a:xfrm>
          <a:off x="4146764" y="2404489"/>
          <a:ext cx="1828798" cy="2287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rgbClr val="1F497D"/>
              </a:solidFill>
              <a:latin typeface="Segoe UI" panose="020B0502040204020203" pitchFamily="34" charset="0"/>
              <a:cs typeface="Segoe UI" panose="020B0502040204020203" pitchFamily="34" charset="0"/>
            </a:rPr>
            <a:t>Column 3</a:t>
          </a:r>
        </a:p>
      </xdr:txBody>
    </xdr:sp>
    <xdr:clientData/>
  </xdr:twoCellAnchor>
  <xdr:twoCellAnchor editAs="absolute">
    <xdr:from>
      <xdr:col>12</xdr:col>
      <xdr:colOff>75217</xdr:colOff>
      <xdr:row>7</xdr:row>
      <xdr:rowOff>89914</xdr:rowOff>
    </xdr:from>
    <xdr:to>
      <xdr:col>16</xdr:col>
      <xdr:colOff>94268</xdr:colOff>
      <xdr:row>8</xdr:row>
      <xdr:rowOff>194853</xdr:rowOff>
    </xdr:to>
    <xdr:sp macro="" textlink="">
      <xdr:nvSpPr>
        <xdr:cNvPr id="33" name="TextBox 32">
          <a:extLst>
            <a:ext uri="{FF2B5EF4-FFF2-40B4-BE49-F238E27FC236}">
              <a16:creationId xmlns:a16="http://schemas.microsoft.com/office/drawing/2014/main" id="{00000000-0008-0000-1600-000021000000}"/>
            </a:ext>
          </a:extLst>
        </xdr:cNvPr>
        <xdr:cNvSpPr txBox="1">
          <a:spLocks noChangeAspect="1"/>
        </xdr:cNvSpPr>
      </xdr:nvSpPr>
      <xdr:spPr>
        <a:xfrm>
          <a:off x="6047392" y="2394964"/>
          <a:ext cx="1828801" cy="2287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rgbClr val="1F497D"/>
              </a:solidFill>
              <a:latin typeface="Segoe UI" panose="020B0502040204020203" pitchFamily="34" charset="0"/>
              <a:cs typeface="Segoe UI" panose="020B0502040204020203" pitchFamily="34" charset="0"/>
            </a:rPr>
            <a:t>Column 4</a:t>
          </a:r>
        </a:p>
      </xdr:txBody>
    </xdr:sp>
    <xdr:clientData/>
  </xdr:twoCellAnchor>
  <xdr:twoCellAnchor editAs="absolute">
    <xdr:from>
      <xdr:col>17</xdr:col>
      <xdr:colOff>23059</xdr:colOff>
      <xdr:row>7</xdr:row>
      <xdr:rowOff>80391</xdr:rowOff>
    </xdr:from>
    <xdr:to>
      <xdr:col>19</xdr:col>
      <xdr:colOff>1623259</xdr:colOff>
      <xdr:row>8</xdr:row>
      <xdr:rowOff>194310</xdr:rowOff>
    </xdr:to>
    <xdr:sp macro="" textlink="">
      <xdr:nvSpPr>
        <xdr:cNvPr id="34" name="TextBox 33">
          <a:extLst>
            <a:ext uri="{FF2B5EF4-FFF2-40B4-BE49-F238E27FC236}">
              <a16:creationId xmlns:a16="http://schemas.microsoft.com/office/drawing/2014/main" id="{00000000-0008-0000-1600-000022000000}"/>
            </a:ext>
          </a:extLst>
        </xdr:cNvPr>
        <xdr:cNvSpPr txBox="1">
          <a:spLocks noChangeAspect="1"/>
        </xdr:cNvSpPr>
      </xdr:nvSpPr>
      <xdr:spPr>
        <a:xfrm>
          <a:off x="7919284" y="2385441"/>
          <a:ext cx="1828800" cy="2377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00" b="1">
              <a:solidFill>
                <a:srgbClr val="1F497D"/>
              </a:solidFill>
              <a:latin typeface="Segoe UI" panose="020B0502040204020203" pitchFamily="34" charset="0"/>
              <a:cs typeface="Segoe UI" panose="020B0502040204020203" pitchFamily="34" charset="0"/>
            </a:rPr>
            <a:t>Column 5</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2</xdr:col>
      <xdr:colOff>38414</xdr:colOff>
      <xdr:row>50</xdr:row>
      <xdr:rowOff>60320</xdr:rowOff>
    </xdr:from>
    <xdr:to>
      <xdr:col>9</xdr:col>
      <xdr:colOff>26349</xdr:colOff>
      <xdr:row>50</xdr:row>
      <xdr:rowOff>3078741</xdr:rowOff>
    </xdr:to>
    <xdr:graphicFrame macro="">
      <xdr:nvGraphicFramePr>
        <xdr:cNvPr id="2" name="Chart_AbsDelVac_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32381</xdr:colOff>
      <xdr:row>24</xdr:row>
      <xdr:rowOff>61984</xdr:rowOff>
    </xdr:from>
    <xdr:to>
      <xdr:col>9</xdr:col>
      <xdr:colOff>26666</xdr:colOff>
      <xdr:row>25</xdr:row>
      <xdr:rowOff>30215</xdr:rowOff>
    </xdr:to>
    <xdr:graphicFrame macro="">
      <xdr:nvGraphicFramePr>
        <xdr:cNvPr id="4" name="Chart_MarketStudy_Rent_1">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22201</xdr:colOff>
      <xdr:row>5</xdr:row>
      <xdr:rowOff>288598</xdr:rowOff>
    </xdr:from>
    <xdr:to>
      <xdr:col>19</xdr:col>
      <xdr:colOff>3954121</xdr:colOff>
      <xdr:row>18</xdr:row>
      <xdr:rowOff>212398</xdr:rowOff>
    </xdr:to>
    <xdr:graphicFrame macro="">
      <xdr:nvGraphicFramePr>
        <xdr:cNvPr id="11" name="Chart_MarketStudy_Inventory_1">
          <a:extLst>
            <a:ext uri="{FF2B5EF4-FFF2-40B4-BE49-F238E27FC236}">
              <a16:creationId xmlns:a16="http://schemas.microsoft.com/office/drawing/2014/main" id="{00000000-0008-0000-1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28575</xdr:colOff>
          <xdr:row>1</xdr:row>
          <xdr:rowOff>228600</xdr:rowOff>
        </xdr:from>
        <xdr:to>
          <xdr:col>13</xdr:col>
          <xdr:colOff>533400</xdr:colOff>
          <xdr:row>2</xdr:row>
          <xdr:rowOff>171450</xdr:rowOff>
        </xdr:to>
        <xdr:sp macro="" textlink="">
          <xdr:nvSpPr>
            <xdr:cNvPr id="1152008" name="CoStar_Inventory_Spinner" hidden="1">
              <a:extLst>
                <a:ext uri="{63B3BB69-23CF-44E3-9099-C40C66FF867C}">
                  <a14:compatExt spid="_x0000_s1152008"/>
                </a:ext>
                <a:ext uri="{FF2B5EF4-FFF2-40B4-BE49-F238E27FC236}">
                  <a16:creationId xmlns:a16="http://schemas.microsoft.com/office/drawing/2014/main" id="{00000000-0008-0000-1700-0000089411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20</xdr:row>
          <xdr:rowOff>38100</xdr:rowOff>
        </xdr:from>
        <xdr:to>
          <xdr:col>6</xdr:col>
          <xdr:colOff>0</xdr:colOff>
          <xdr:row>21</xdr:row>
          <xdr:rowOff>180975</xdr:rowOff>
        </xdr:to>
        <xdr:sp macro="" textlink="">
          <xdr:nvSpPr>
            <xdr:cNvPr id="1152021" name="CoStar_Inventory_Spinner" hidden="1">
              <a:extLst>
                <a:ext uri="{63B3BB69-23CF-44E3-9099-C40C66FF867C}">
                  <a14:compatExt spid="_x0000_s1152021"/>
                </a:ext>
                <a:ext uri="{FF2B5EF4-FFF2-40B4-BE49-F238E27FC236}">
                  <a16:creationId xmlns:a16="http://schemas.microsoft.com/office/drawing/2014/main" id="{00000000-0008-0000-1700-000015941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oneCellAnchor>
    <xdr:from>
      <xdr:col>2</xdr:col>
      <xdr:colOff>32385</xdr:colOff>
      <xdr:row>37</xdr:row>
      <xdr:rowOff>60080</xdr:rowOff>
    </xdr:from>
    <xdr:ext cx="5623560" cy="2743200"/>
    <xdr:graphicFrame macro="">
      <xdr:nvGraphicFramePr>
        <xdr:cNvPr id="12" name="Chart_MarketStudy_Rent_2">
          <a:extLst>
            <a:ext uri="{FF2B5EF4-FFF2-40B4-BE49-F238E27FC236}">
              <a16:creationId xmlns:a16="http://schemas.microsoft.com/office/drawing/2014/main" id="{00000000-0008-0000-1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oneCellAnchor>
  <mc:AlternateContent xmlns:mc="http://schemas.openxmlformats.org/markup-compatibility/2006">
    <mc:Choice xmlns:a14="http://schemas.microsoft.com/office/drawing/2010/main" Requires="a14">
      <xdr:twoCellAnchor editAs="oneCell">
        <xdr:from>
          <xdr:col>5</xdr:col>
          <xdr:colOff>38100</xdr:colOff>
          <xdr:row>46</xdr:row>
          <xdr:rowOff>38100</xdr:rowOff>
        </xdr:from>
        <xdr:to>
          <xdr:col>6</xdr:col>
          <xdr:colOff>0</xdr:colOff>
          <xdr:row>47</xdr:row>
          <xdr:rowOff>180975</xdr:rowOff>
        </xdr:to>
        <xdr:sp macro="" textlink="">
          <xdr:nvSpPr>
            <xdr:cNvPr id="1152041" name="Spinner 41" hidden="1">
              <a:extLst>
                <a:ext uri="{63B3BB69-23CF-44E3-9099-C40C66FF867C}">
                  <a14:compatExt spid="_x0000_s1152041"/>
                </a:ext>
                <a:ext uri="{FF2B5EF4-FFF2-40B4-BE49-F238E27FC236}">
                  <a16:creationId xmlns:a16="http://schemas.microsoft.com/office/drawing/2014/main" id="{00000000-0008-0000-1700-000029941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31</xdr:col>
      <xdr:colOff>22206</xdr:colOff>
      <xdr:row>5</xdr:row>
      <xdr:rowOff>288602</xdr:rowOff>
    </xdr:from>
    <xdr:to>
      <xdr:col>31</xdr:col>
      <xdr:colOff>3954126</xdr:colOff>
      <xdr:row>18</xdr:row>
      <xdr:rowOff>212402</xdr:rowOff>
    </xdr:to>
    <xdr:graphicFrame macro="">
      <xdr:nvGraphicFramePr>
        <xdr:cNvPr id="9" name="Chart_MarketStudy_Inventory_2">
          <a:extLst>
            <a:ext uri="{FF2B5EF4-FFF2-40B4-BE49-F238E27FC236}">
              <a16:creationId xmlns:a16="http://schemas.microsoft.com/office/drawing/2014/main" id="{00000000-0008-0000-1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2</xdr:col>
      <xdr:colOff>24129</xdr:colOff>
      <xdr:row>63</xdr:row>
      <xdr:rowOff>63179</xdr:rowOff>
    </xdr:from>
    <xdr:ext cx="5623560" cy="3017805"/>
    <xdr:graphicFrame macro="">
      <xdr:nvGraphicFramePr>
        <xdr:cNvPr id="10" name="Chart_AbsDelVac_2">
          <a:extLst>
            <a:ext uri="{FF2B5EF4-FFF2-40B4-BE49-F238E27FC236}">
              <a16:creationId xmlns:a16="http://schemas.microsoft.com/office/drawing/2014/main" id="{00000000-0008-0000-1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oneCellAnchor>
  <xdr:twoCellAnchor>
    <xdr:from>
      <xdr:col>8</xdr:col>
      <xdr:colOff>28575</xdr:colOff>
      <xdr:row>20</xdr:row>
      <xdr:rowOff>95250</xdr:rowOff>
    </xdr:from>
    <xdr:to>
      <xdr:col>9</xdr:col>
      <xdr:colOff>51435</xdr:colOff>
      <xdr:row>21</xdr:row>
      <xdr:rowOff>179070</xdr:rowOff>
    </xdr:to>
    <xdr:sp macro="[0]!MarketStudy_RentTrend_SetAxis" textlink="">
      <xdr:nvSpPr>
        <xdr:cNvPr id="14" name="Rounded Rectangle 20">
          <a:extLst>
            <a:ext uri="{FF2B5EF4-FFF2-40B4-BE49-F238E27FC236}">
              <a16:creationId xmlns:a16="http://schemas.microsoft.com/office/drawing/2014/main" id="{00000000-0008-0000-1700-00000E000000}"/>
            </a:ext>
          </a:extLst>
        </xdr:cNvPr>
        <xdr:cNvSpPr>
          <a:spLocks/>
        </xdr:cNvSpPr>
      </xdr:nvSpPr>
      <xdr:spPr>
        <a:xfrm>
          <a:off x="5486400" y="5172075"/>
          <a:ext cx="822960" cy="274320"/>
        </a:xfrm>
        <a:prstGeom prst="roundRect">
          <a:avLst/>
        </a:prstGeom>
        <a:solidFill>
          <a:srgbClr val="F2B8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Set Axis</a:t>
          </a:r>
        </a:p>
      </xdr:txBody>
    </xdr:sp>
    <xdr:clientData/>
  </xdr:twoCellAnchor>
  <xdr:twoCellAnchor>
    <xdr:from>
      <xdr:col>8</xdr:col>
      <xdr:colOff>28575</xdr:colOff>
      <xdr:row>46</xdr:row>
      <xdr:rowOff>85725</xdr:rowOff>
    </xdr:from>
    <xdr:to>
      <xdr:col>9</xdr:col>
      <xdr:colOff>51435</xdr:colOff>
      <xdr:row>47</xdr:row>
      <xdr:rowOff>169545</xdr:rowOff>
    </xdr:to>
    <xdr:sp macro="[0]!MarketStudy_VacancyTrend_SetAxis" textlink="">
      <xdr:nvSpPr>
        <xdr:cNvPr id="15" name="Rounded Rectangle 20">
          <a:extLst>
            <a:ext uri="{FF2B5EF4-FFF2-40B4-BE49-F238E27FC236}">
              <a16:creationId xmlns:a16="http://schemas.microsoft.com/office/drawing/2014/main" id="{00000000-0008-0000-1700-00000F000000}"/>
            </a:ext>
          </a:extLst>
        </xdr:cNvPr>
        <xdr:cNvSpPr>
          <a:spLocks/>
        </xdr:cNvSpPr>
      </xdr:nvSpPr>
      <xdr:spPr>
        <a:xfrm>
          <a:off x="5486400" y="15011400"/>
          <a:ext cx="822960" cy="274320"/>
        </a:xfrm>
        <a:prstGeom prst="roundRect">
          <a:avLst/>
        </a:prstGeom>
        <a:solidFill>
          <a:srgbClr val="F2B8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Set Axis</a:t>
          </a:r>
        </a:p>
      </xdr:txBody>
    </xdr:sp>
    <xdr:clientData/>
  </xdr:twoCellAnchor>
  <xdr:twoCellAnchor>
    <xdr:from>
      <xdr:col>0</xdr:col>
      <xdr:colOff>0</xdr:colOff>
      <xdr:row>0</xdr:row>
      <xdr:rowOff>0</xdr:rowOff>
    </xdr:from>
    <xdr:to>
      <xdr:col>19</xdr:col>
      <xdr:colOff>624812</xdr:colOff>
      <xdr:row>0</xdr:row>
      <xdr:rowOff>733419</xdr:rowOff>
    </xdr:to>
    <xdr:grpSp>
      <xdr:nvGrpSpPr>
        <xdr:cNvPr id="5" name="Group 4">
          <a:extLst>
            <a:ext uri="{FF2B5EF4-FFF2-40B4-BE49-F238E27FC236}">
              <a16:creationId xmlns:a16="http://schemas.microsoft.com/office/drawing/2014/main" id="{00000000-0008-0000-1700-000005000000}"/>
            </a:ext>
          </a:extLst>
        </xdr:cNvPr>
        <xdr:cNvGrpSpPr/>
      </xdr:nvGrpSpPr>
      <xdr:grpSpPr>
        <a:xfrm>
          <a:off x="0" y="0"/>
          <a:ext cx="10654637" cy="733419"/>
          <a:chOff x="0" y="0"/>
          <a:chExt cx="10654637" cy="733419"/>
        </a:xfrm>
      </xdr:grpSpPr>
      <xdr:sp macro="[0]!MarketStudy_Charts_Reset" textlink="">
        <xdr:nvSpPr>
          <xdr:cNvPr id="17" name="Rounded Rectangle 20">
            <a:extLst>
              <a:ext uri="{FF2B5EF4-FFF2-40B4-BE49-F238E27FC236}">
                <a16:creationId xmlns:a16="http://schemas.microsoft.com/office/drawing/2014/main" id="{00000000-0008-0000-1700-000011000000}"/>
              </a:ext>
            </a:extLst>
          </xdr:cNvPr>
          <xdr:cNvSpPr>
            <a:spLocks/>
          </xdr:cNvSpPr>
        </xdr:nvSpPr>
        <xdr:spPr>
          <a:xfrm>
            <a:off x="9578313" y="0"/>
            <a:ext cx="1076324" cy="732463"/>
          </a:xfrm>
          <a:prstGeom prst="roundRect">
            <a:avLst/>
          </a:prstGeom>
          <a:solidFill>
            <a:srgbClr val="F2B8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Reset</a:t>
            </a:r>
            <a:r>
              <a:rPr lang="en-US" sz="1200" b="1" baseline="0">
                <a:solidFill>
                  <a:srgbClr val="1F497D"/>
                </a:solidFill>
                <a:latin typeface="Segoe UI" panose="020B0502040204020203" pitchFamily="34" charset="0"/>
                <a:cs typeface="Segoe UI" panose="020B0502040204020203" pitchFamily="34" charset="0"/>
              </a:rPr>
              <a:t> Chart Widths</a:t>
            </a:r>
            <a:endParaRPr lang="en-US" sz="1200" b="1">
              <a:solidFill>
                <a:srgbClr val="1F497D"/>
              </a:solidFill>
              <a:latin typeface="Segoe UI" panose="020B0502040204020203" pitchFamily="34" charset="0"/>
              <a:cs typeface="Segoe UI" panose="020B0502040204020203" pitchFamily="34" charset="0"/>
            </a:endParaRPr>
          </a:p>
        </xdr:txBody>
      </xdr:sp>
      <xdr:sp macro="[0]!GoTo_Main" textlink="">
        <xdr:nvSpPr>
          <xdr:cNvPr id="18" name="Rounded Rectangle 20">
            <a:extLst>
              <a:ext uri="{FF2B5EF4-FFF2-40B4-BE49-F238E27FC236}">
                <a16:creationId xmlns:a16="http://schemas.microsoft.com/office/drawing/2014/main" id="{00000000-0008-0000-1700-000012000000}"/>
              </a:ext>
            </a:extLst>
          </xdr:cNvPr>
          <xdr:cNvSpPr>
            <a:spLocks noChangeAspect="1"/>
          </xdr:cNvSpPr>
        </xdr:nvSpPr>
        <xdr:spPr>
          <a:xfrm>
            <a:off x="0" y="0"/>
            <a:ext cx="911514" cy="733419"/>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ImportCoStar_01" textlink="">
        <xdr:nvSpPr>
          <xdr:cNvPr id="19" name="Rounded Rectangle 21">
            <a:extLst>
              <a:ext uri="{FF2B5EF4-FFF2-40B4-BE49-F238E27FC236}">
                <a16:creationId xmlns:a16="http://schemas.microsoft.com/office/drawing/2014/main" id="{00000000-0008-0000-1700-000013000000}"/>
              </a:ext>
            </a:extLst>
          </xdr:cNvPr>
          <xdr:cNvSpPr>
            <a:spLocks noChangeAspect="1"/>
          </xdr:cNvSpPr>
        </xdr:nvSpPr>
        <xdr:spPr>
          <a:xfrm>
            <a:off x="949493" y="0"/>
            <a:ext cx="1640725" cy="733419"/>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Import Location 1 -Property Type</a:t>
            </a:r>
          </a:p>
        </xdr:txBody>
      </xdr:sp>
      <xdr:sp macro="[0]!ImportCoStar_02" textlink="">
        <xdr:nvSpPr>
          <xdr:cNvPr id="20" name="Rounded Rectangle 22">
            <a:extLst>
              <a:ext uri="{FF2B5EF4-FFF2-40B4-BE49-F238E27FC236}">
                <a16:creationId xmlns:a16="http://schemas.microsoft.com/office/drawing/2014/main" id="{00000000-0008-0000-1700-000014000000}"/>
              </a:ext>
            </a:extLst>
          </xdr:cNvPr>
          <xdr:cNvSpPr>
            <a:spLocks noChangeAspect="1"/>
          </xdr:cNvSpPr>
        </xdr:nvSpPr>
        <xdr:spPr>
          <a:xfrm>
            <a:off x="2626928" y="0"/>
            <a:ext cx="1640725" cy="733419"/>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Import Location 1</a:t>
            </a:r>
            <a:r>
              <a:rPr lang="en-US" sz="1200" b="1" baseline="0">
                <a:latin typeface="Segoe UI" panose="020B0502040204020203" pitchFamily="34" charset="0"/>
                <a:cs typeface="Segoe UI" panose="020B0502040204020203" pitchFamily="34" charset="0"/>
              </a:rPr>
              <a:t> - Property Sub-Type</a:t>
            </a:r>
            <a:endParaRPr lang="en-US" sz="1200" b="1">
              <a:latin typeface="Segoe UI" panose="020B0502040204020203" pitchFamily="34" charset="0"/>
              <a:cs typeface="Segoe UI" panose="020B0502040204020203" pitchFamily="34" charset="0"/>
            </a:endParaRPr>
          </a:p>
        </xdr:txBody>
      </xdr:sp>
      <xdr:sp macro="[0]!ImportCoStar_03" textlink="">
        <xdr:nvSpPr>
          <xdr:cNvPr id="21" name="Rounded Rectangle 23">
            <a:extLst>
              <a:ext uri="{FF2B5EF4-FFF2-40B4-BE49-F238E27FC236}">
                <a16:creationId xmlns:a16="http://schemas.microsoft.com/office/drawing/2014/main" id="{00000000-0008-0000-1700-000015000000}"/>
              </a:ext>
            </a:extLst>
          </xdr:cNvPr>
          <xdr:cNvSpPr>
            <a:spLocks noChangeAspect="1"/>
          </xdr:cNvSpPr>
        </xdr:nvSpPr>
        <xdr:spPr>
          <a:xfrm>
            <a:off x="4304364" y="0"/>
            <a:ext cx="1640725" cy="733419"/>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Import Location 2 - Property Type</a:t>
            </a:r>
          </a:p>
        </xdr:txBody>
      </xdr:sp>
      <xdr:sp macro="[0]!ImportCoStar_04" textlink="">
        <xdr:nvSpPr>
          <xdr:cNvPr id="22" name="Rounded Rectangle 24">
            <a:extLst>
              <a:ext uri="{FF2B5EF4-FFF2-40B4-BE49-F238E27FC236}">
                <a16:creationId xmlns:a16="http://schemas.microsoft.com/office/drawing/2014/main" id="{00000000-0008-0000-1700-000016000000}"/>
              </a:ext>
            </a:extLst>
          </xdr:cNvPr>
          <xdr:cNvSpPr>
            <a:spLocks noChangeAspect="1"/>
          </xdr:cNvSpPr>
        </xdr:nvSpPr>
        <xdr:spPr>
          <a:xfrm>
            <a:off x="5981800" y="0"/>
            <a:ext cx="1640725" cy="733419"/>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Import Location</a:t>
            </a:r>
            <a:r>
              <a:rPr lang="en-US" sz="1200" b="1" baseline="0">
                <a:latin typeface="Segoe UI" panose="020B0502040204020203" pitchFamily="34" charset="0"/>
                <a:cs typeface="Segoe UI" panose="020B0502040204020203" pitchFamily="34" charset="0"/>
              </a:rPr>
              <a:t> 2 - Property Sub-Type</a:t>
            </a:r>
            <a:endParaRPr lang="en-US" sz="1200" b="1">
              <a:latin typeface="Segoe UI" panose="020B0502040204020203" pitchFamily="34" charset="0"/>
              <a:cs typeface="Segoe UI" panose="020B0502040204020203" pitchFamily="34" charset="0"/>
            </a:endParaRPr>
          </a:p>
        </xdr:txBody>
      </xdr:sp>
      <xdr:sp macro="[0]!Update_MarketStudy" textlink="">
        <xdr:nvSpPr>
          <xdr:cNvPr id="23" name="Rounded Rectangle 30">
            <a:extLst>
              <a:ext uri="{FF2B5EF4-FFF2-40B4-BE49-F238E27FC236}">
                <a16:creationId xmlns:a16="http://schemas.microsoft.com/office/drawing/2014/main" id="{00000000-0008-0000-1700-000017000000}"/>
              </a:ext>
            </a:extLst>
          </xdr:cNvPr>
          <xdr:cNvSpPr>
            <a:spLocks noChangeAspect="1"/>
          </xdr:cNvSpPr>
        </xdr:nvSpPr>
        <xdr:spPr>
          <a:xfrm>
            <a:off x="7667619" y="0"/>
            <a:ext cx="900639" cy="730562"/>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 textlink="">
        <xdr:nvSpPr>
          <xdr:cNvPr id="24" name="Rounded Rectangle 31">
            <a:extLst>
              <a:ext uri="{FF2B5EF4-FFF2-40B4-BE49-F238E27FC236}">
                <a16:creationId xmlns:a16="http://schemas.microsoft.com/office/drawing/2014/main" id="{00000000-0008-0000-1700-000018000000}"/>
              </a:ext>
            </a:extLst>
          </xdr:cNvPr>
          <xdr:cNvSpPr>
            <a:spLocks noChangeAspect="1"/>
          </xdr:cNvSpPr>
        </xdr:nvSpPr>
        <xdr:spPr>
          <a:xfrm>
            <a:off x="8614436" y="0"/>
            <a:ext cx="932070" cy="731514"/>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grpSp>
    <xdr:clientData/>
  </xdr:twoCellAnchor>
  <xdr:twoCellAnchor editAs="absolute">
    <xdr:from>
      <xdr:col>12</xdr:col>
      <xdr:colOff>9524</xdr:colOff>
      <xdr:row>21</xdr:row>
      <xdr:rowOff>180974</xdr:rowOff>
    </xdr:from>
    <xdr:to>
      <xdr:col>31</xdr:col>
      <xdr:colOff>2895600</xdr:colOff>
      <xdr:row>31</xdr:row>
      <xdr:rowOff>177800</xdr:rowOff>
    </xdr:to>
    <xdr:sp macro="" textlink="">
      <xdr:nvSpPr>
        <xdr:cNvPr id="25" name="TextBox 24">
          <a:extLst>
            <a:ext uri="{FF2B5EF4-FFF2-40B4-BE49-F238E27FC236}">
              <a16:creationId xmlns:a16="http://schemas.microsoft.com/office/drawing/2014/main" id="{00000000-0008-0000-1700-000019000000}"/>
            </a:ext>
          </a:extLst>
        </xdr:cNvPr>
        <xdr:cNvSpPr txBox="1"/>
      </xdr:nvSpPr>
      <xdr:spPr>
        <a:xfrm>
          <a:off x="6343649" y="5800724"/>
          <a:ext cx="14649451" cy="44481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rtl="0" eaLnBrk="1" fontAlgn="auto" latinLnBrk="0" hangingPunct="1">
            <a:lnSpc>
              <a:spcPct val="100000"/>
            </a:lnSpc>
            <a:spcBef>
              <a:spcPts val="0"/>
            </a:spcBef>
            <a:spcAft>
              <a:spcPts val="300"/>
            </a:spcAft>
            <a:buClrTx/>
            <a:buSzTx/>
            <a:buFontTx/>
            <a:buNone/>
            <a:tabLst/>
            <a:defRPr/>
          </a:pPr>
          <a:r>
            <a:rPr lang="en-US" sz="1200" b="1" i="1" baseline="0">
              <a:solidFill>
                <a:schemeClr val="dk1"/>
              </a:solidFill>
              <a:effectLst/>
              <a:latin typeface="Segoe UI" panose="020B0502040204020203" pitchFamily="34" charset="0"/>
              <a:ea typeface="+mn-ea"/>
              <a:cs typeface="Segoe UI" panose="020B0502040204020203" pitchFamily="34" charset="0"/>
            </a:rPr>
            <a:t>User Instructions</a:t>
          </a:r>
          <a:endParaRPr lang="en-US" sz="1000" b="1" i="1" baseline="0">
            <a:solidFill>
              <a:schemeClr val="dk1"/>
            </a:solidFill>
            <a:effectLst/>
            <a:latin typeface="Segoe UI" panose="020B0502040204020203" pitchFamily="34" charset="0"/>
            <a:ea typeface="+mn-ea"/>
            <a:cs typeface="Segoe UI" panose="020B0502040204020203" pitchFamily="34" charset="0"/>
          </a:endParaRPr>
        </a:p>
        <a:p>
          <a:pPr marL="0" marR="0" lvl="0" indent="0" algn="l" defTabSz="914400" rtl="0" eaLnBrk="1" fontAlgn="auto" latinLnBrk="0" hangingPunct="1">
            <a:lnSpc>
              <a:spcPct val="100000"/>
            </a:lnSpc>
            <a:spcBef>
              <a:spcPts val="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a:t>
          </a:r>
          <a:r>
            <a:rPr lang="en-US" sz="1000" b="1">
              <a:effectLst/>
              <a:latin typeface="Segoe UI" panose="020B0502040204020203" pitchFamily="34" charset="0"/>
              <a:ea typeface="Calibri" panose="020F0502020204030204" pitchFamily="34" charset="0"/>
              <a:cs typeface="Segoe UI" panose="020B0502040204020203" pitchFamily="34" charset="0"/>
            </a:rPr>
            <a:t>Note the only work in Word you should have to do is Change the CoStar Map and your conclusion paragraph</a:t>
          </a:r>
          <a:endParaRPr lang="en-US" sz="1000" b="1" i="0" baseline="0">
            <a:solidFill>
              <a:schemeClr val="dk1"/>
            </a:solidFill>
            <a:effectLst/>
            <a:latin typeface="Segoe UI" panose="020B0502040204020203" pitchFamily="34" charset="0"/>
            <a:ea typeface="+mn-ea"/>
            <a:cs typeface="Segoe UI" panose="020B0502040204020203" pitchFamily="34" charset="0"/>
          </a:endParaRPr>
        </a:p>
        <a:p>
          <a:pPr marL="0" marR="0" lvl="0" indent="0" algn="l" defTabSz="914400" rtl="0" eaLnBrk="1" fontAlgn="auto" latinLnBrk="0" hangingPunct="1">
            <a:lnSpc>
              <a:spcPct val="100000"/>
            </a:lnSpc>
            <a:spcBef>
              <a:spcPts val="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*The CoStar Export functions just like the Market Analysis we’ve been using for years, but here’s a few instructions:</a:t>
          </a:r>
        </a:p>
        <a:p>
          <a:pPr marL="0" marR="0" lvl="0" indent="0" algn="l" defTabSz="914400" rtl="0" eaLnBrk="1" fontAlgn="auto" latinLnBrk="0" hangingPunct="1">
            <a:lnSpc>
              <a:spcPct val="100000"/>
            </a:lnSpc>
            <a:spcBef>
              <a:spcPts val="0"/>
            </a:spcBef>
            <a:spcAft>
              <a:spcPts val="6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1. Import CoStar Tables (Note that it is recommended to Select "All History" when Exporting CoStar data to provide access to all data and eliminate any issues caused by using a retrospective date of value)</a:t>
          </a:r>
        </a:p>
        <a:p>
          <a:pPr marL="0" marR="0" lvl="0" indent="0" algn="l" defTabSz="914400" rtl="0" eaLnBrk="1" fontAlgn="auto" latinLnBrk="0" hangingPunct="1">
            <a:lnSpc>
              <a:spcPct val="100000"/>
            </a:lnSpc>
            <a:spcBef>
              <a:spcPts val="0"/>
            </a:spcBef>
            <a:spcAft>
              <a:spcPts val="6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2. Fill out Market Study Assumptions, note you need to include “MSA” or “Market” and “Submarket” in location labels and Property Type should often include "all ", for example, "all office"</a:t>
          </a:r>
        </a:p>
        <a:p>
          <a:pPr marL="0" marR="0" lvl="0" indent="0" algn="l" defTabSz="914400" rtl="0" eaLnBrk="1" fontAlgn="auto" latinLnBrk="0" hangingPunct="1">
            <a:lnSpc>
              <a:spcPct val="100000"/>
            </a:lnSpc>
            <a:spcBef>
              <a:spcPts val="0"/>
            </a:spcBef>
            <a:spcAft>
              <a:spcPts val="6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3. Make Sector selections, which are drop downs based on the Market Study Location and Property Type Assumptions you entered in Step 2 (Note you can mix/match sector selections however you see fit);</a:t>
          </a:r>
        </a:p>
        <a:p>
          <a:pPr marL="0" marR="0" lvl="0" indent="0" algn="l" defTabSz="914400" rtl="0" eaLnBrk="1" fontAlgn="auto" latinLnBrk="0" hangingPunct="1">
            <a:lnSpc>
              <a:spcPct val="100000"/>
            </a:lnSpc>
            <a:spcBef>
              <a:spcPts val="0"/>
            </a:spcBef>
            <a:spcAft>
              <a:spcPts val="6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Master Settings will apply to All Charts, but Individual Table Settings can be modified by clicking on the Sector Label within Each Table (highlighted below), revealing same drop down lists as Master List. Period Start/Internal/No. of Period Settings also available above each set of tables</a:t>
          </a:r>
        </a:p>
        <a:p>
          <a:pPr marL="0" marR="0" lvl="0" indent="0" algn="l" defTabSz="914400" rtl="0" eaLnBrk="1" fontAlgn="auto" latinLnBrk="0" hangingPunct="1">
            <a:lnSpc>
              <a:spcPct val="100000"/>
            </a:lnSpc>
            <a:spcBef>
              <a:spcPts val="0"/>
            </a:spcBef>
            <a:spcAft>
              <a:spcPts val="600"/>
            </a:spcAft>
            <a:buClrTx/>
            <a:buSzTx/>
            <a:buFontTx/>
            <a:buNone/>
            <a:tabLst/>
            <a:defRPr/>
          </a:pPr>
          <a:endParaRPr lang="en-US" sz="1000" b="1" i="0" baseline="0">
            <a:solidFill>
              <a:schemeClr val="dk1"/>
            </a:solidFill>
            <a:effectLst/>
            <a:latin typeface="Segoe UI" panose="020B0502040204020203" pitchFamily="34" charset="0"/>
            <a:ea typeface="+mn-ea"/>
            <a:cs typeface="Segoe UI" panose="020B0502040204020203" pitchFamily="34" charset="0"/>
          </a:endParaRPr>
        </a:p>
        <a:p>
          <a:pPr marL="0" marR="0" lvl="0" indent="0" algn="l" defTabSz="914400" rtl="0" eaLnBrk="1" fontAlgn="auto" latinLnBrk="0" hangingPunct="1">
            <a:lnSpc>
              <a:spcPct val="100000"/>
            </a:lnSpc>
            <a:spcBef>
              <a:spcPts val="0"/>
            </a:spcBef>
            <a:spcAft>
              <a:spcPts val="600"/>
            </a:spcAft>
            <a:buClrTx/>
            <a:buSzTx/>
            <a:buFontTx/>
            <a:buNone/>
            <a:tabLst/>
            <a:defRPr/>
          </a:pPr>
          <a:endParaRPr lang="en-US" sz="1000" b="1" i="0" baseline="0">
            <a:solidFill>
              <a:schemeClr val="dk1"/>
            </a:solidFill>
            <a:effectLst/>
            <a:latin typeface="Segoe UI" panose="020B0502040204020203" pitchFamily="34" charset="0"/>
            <a:ea typeface="+mn-ea"/>
            <a:cs typeface="Segoe UI" panose="020B0502040204020203" pitchFamily="34" charset="0"/>
          </a:endParaRPr>
        </a:p>
        <a:p>
          <a:pPr marL="0" marR="0" lvl="0" indent="0" algn="l" defTabSz="914400" rtl="0" eaLnBrk="1" fontAlgn="auto" latinLnBrk="0" hangingPunct="1">
            <a:lnSpc>
              <a:spcPct val="100000"/>
            </a:lnSpc>
            <a:spcBef>
              <a:spcPts val="0"/>
            </a:spcBef>
            <a:spcAft>
              <a:spcPts val="600"/>
            </a:spcAft>
            <a:buClrTx/>
            <a:buSzTx/>
            <a:buFontTx/>
            <a:buNone/>
            <a:tabLst/>
            <a:defRPr/>
          </a:pPr>
          <a:endParaRPr lang="en-US" sz="1000" b="1" i="0" baseline="0">
            <a:solidFill>
              <a:schemeClr val="dk1"/>
            </a:solidFill>
            <a:effectLst/>
            <a:latin typeface="Segoe UI" panose="020B0502040204020203" pitchFamily="34" charset="0"/>
            <a:ea typeface="+mn-ea"/>
            <a:cs typeface="Segoe UI" panose="020B0502040204020203" pitchFamily="34" charset="0"/>
          </a:endParaRPr>
        </a:p>
        <a:p>
          <a:pPr marL="0" marR="0" lvl="0" indent="0" algn="l" defTabSz="914400" rtl="0" eaLnBrk="1" fontAlgn="auto" latinLnBrk="0" hangingPunct="1">
            <a:lnSpc>
              <a:spcPct val="100000"/>
            </a:lnSpc>
            <a:spcBef>
              <a:spcPts val="0"/>
            </a:spcBef>
            <a:spcAft>
              <a:spcPts val="6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4. </a:t>
          </a:r>
          <a:r>
            <a:rPr lang="en-US" sz="1100" b="1" i="0" baseline="0">
              <a:solidFill>
                <a:schemeClr val="dk1"/>
              </a:solidFill>
              <a:effectLst/>
              <a:latin typeface="+mn-lt"/>
              <a:ea typeface="+mn-ea"/>
              <a:cs typeface="+mn-cs"/>
            </a:rPr>
            <a:t>Make Rental Data Selection just above Rental Rate Charts…First selection will initially flow through to other three sectors, but each can be different…these Drop Down lists populate based on CoStar Import</a:t>
          </a:r>
          <a:endParaRPr lang="en-US" sz="1000">
            <a:effectLst/>
          </a:endParaRPr>
        </a:p>
        <a:p>
          <a:pPr marL="0" marR="0" lvl="0" indent="0" algn="l" defTabSz="914400" rtl="0" eaLnBrk="1" fontAlgn="auto" latinLnBrk="0" hangingPunct="1">
            <a:lnSpc>
              <a:spcPct val="100000"/>
            </a:lnSpc>
            <a:spcBef>
              <a:spcPts val="0"/>
            </a:spcBef>
            <a:spcAft>
              <a:spcPts val="600"/>
            </a:spcAft>
            <a:buClrTx/>
            <a:buSzTx/>
            <a:buFontTx/>
            <a:buNone/>
            <a:tabLst/>
            <a:defRPr/>
          </a:pPr>
          <a:r>
            <a:rPr lang="en-US" sz="1000" b="1">
              <a:solidFill>
                <a:schemeClr val="dk1"/>
              </a:solidFill>
              <a:effectLst/>
              <a:latin typeface="Segoe UI" panose="020B0502040204020203" pitchFamily="34" charset="0"/>
              <a:ea typeface="+mn-ea"/>
              <a:cs typeface="Segoe UI" panose="020B0502040204020203" pitchFamily="34" charset="0"/>
            </a:rPr>
            <a:t>5. Click 3 Gold Buttons:</a:t>
          </a:r>
        </a:p>
        <a:p>
          <a:pPr marL="0" marR="0" lvl="0" indent="0" algn="l" defTabSz="914400" rtl="0" eaLnBrk="1" fontAlgn="auto" latinLnBrk="0" hangingPunct="1">
            <a:lnSpc>
              <a:spcPct val="100000"/>
            </a:lnSpc>
            <a:spcBef>
              <a:spcPts val="0"/>
            </a:spcBef>
            <a:spcAft>
              <a:spcPts val="600"/>
            </a:spcAft>
            <a:buClrTx/>
            <a:buSzTx/>
            <a:buFontTx/>
            <a:buNone/>
            <a:tabLst/>
            <a:defRPr/>
          </a:pPr>
          <a:r>
            <a:rPr lang="en-US" sz="1000" b="1" baseline="0">
              <a:solidFill>
                <a:schemeClr val="dk1"/>
              </a:solidFill>
              <a:effectLst/>
              <a:latin typeface="Segoe UI" panose="020B0502040204020203" pitchFamily="34" charset="0"/>
              <a:ea typeface="+mn-ea"/>
              <a:cs typeface="Segoe UI" panose="020B0502040204020203" pitchFamily="34" charset="0"/>
            </a:rPr>
            <a:t>    2</a:t>
          </a:r>
          <a:r>
            <a:rPr lang="en-US" sz="1000" b="1">
              <a:solidFill>
                <a:schemeClr val="dk1"/>
              </a:solidFill>
              <a:effectLst/>
              <a:latin typeface="Segoe UI" panose="020B0502040204020203" pitchFamily="34" charset="0"/>
              <a:ea typeface="+mn-ea"/>
              <a:cs typeface="Segoe UI" panose="020B0502040204020203" pitchFamily="34" charset="0"/>
            </a:rPr>
            <a:t> “Set Axis” Buttons format Rental Rate and Vacancy/Absorption Tables to Data;</a:t>
          </a:r>
          <a:endParaRPr lang="en-US" sz="1000" b="1" baseline="0">
            <a:solidFill>
              <a:schemeClr val="dk1"/>
            </a:solidFill>
            <a:effectLst/>
            <a:latin typeface="Segoe UI" panose="020B0502040204020203" pitchFamily="34" charset="0"/>
            <a:ea typeface="+mn-ea"/>
            <a:cs typeface="Segoe UI" panose="020B0502040204020203" pitchFamily="34" charset="0"/>
          </a:endParaRPr>
        </a:p>
        <a:p>
          <a:pPr marL="0" marR="0" lvl="0" indent="0" algn="l" defTabSz="914400" rtl="0" eaLnBrk="1" fontAlgn="auto" latinLnBrk="0" hangingPunct="1">
            <a:lnSpc>
              <a:spcPct val="100000"/>
            </a:lnSpc>
            <a:spcBef>
              <a:spcPts val="0"/>
            </a:spcBef>
            <a:spcAft>
              <a:spcPts val="600"/>
            </a:spcAft>
            <a:buClrTx/>
            <a:buSzTx/>
            <a:buFontTx/>
            <a:buNone/>
            <a:tabLst/>
            <a:defRPr/>
          </a:pPr>
          <a:r>
            <a:rPr lang="en-US" sz="1000" b="1" baseline="0">
              <a:solidFill>
                <a:schemeClr val="dk1"/>
              </a:solidFill>
              <a:effectLst/>
              <a:latin typeface="Segoe UI" panose="020B0502040204020203" pitchFamily="34" charset="0"/>
              <a:ea typeface="+mn-ea"/>
              <a:cs typeface="Segoe UI" panose="020B0502040204020203" pitchFamily="34" charset="0"/>
            </a:rPr>
            <a:t>    1</a:t>
          </a:r>
          <a:r>
            <a:rPr lang="en-US" sz="1000" b="1">
              <a:solidFill>
                <a:schemeClr val="dk1"/>
              </a:solidFill>
              <a:effectLst/>
              <a:latin typeface="Segoe UI" panose="020B0502040204020203" pitchFamily="34" charset="0"/>
              <a:ea typeface="+mn-ea"/>
              <a:cs typeface="Segoe UI" panose="020B0502040204020203" pitchFamily="34" charset="0"/>
            </a:rPr>
            <a:t> “Reset Chart Widths” Button is necessary because the charts change widths depending on your monitor’s dimensions</a:t>
          </a:r>
          <a:r>
            <a:rPr lang="en-US" sz="1000" b="1" baseline="0">
              <a:solidFill>
                <a:schemeClr val="dk1"/>
              </a:solidFill>
              <a:effectLst/>
              <a:latin typeface="Segoe UI" panose="020B0502040204020203" pitchFamily="34" charset="0"/>
              <a:ea typeface="+mn-ea"/>
              <a:cs typeface="Segoe UI" panose="020B0502040204020203" pitchFamily="34" charset="0"/>
            </a:rPr>
            <a:t> </a:t>
          </a:r>
          <a:r>
            <a:rPr lang="en-US" sz="1000" b="1">
              <a:solidFill>
                <a:schemeClr val="dk1"/>
              </a:solidFill>
              <a:effectLst/>
              <a:latin typeface="Segoe UI" panose="020B0502040204020203" pitchFamily="34" charset="0"/>
              <a:ea typeface="+mn-ea"/>
              <a:cs typeface="Segoe UI" panose="020B0502040204020203" pitchFamily="34" charset="0"/>
            </a:rPr>
            <a:t>(thanks Microsoft!); clicking this button will return all charts to the intended widths no matter the monitor being used</a:t>
          </a:r>
        </a:p>
        <a:p>
          <a:pPr marL="0" marR="0" lvl="0" indent="0" algn="l" defTabSz="914400" rtl="0" eaLnBrk="1" fontAlgn="auto" latinLnBrk="0" hangingPunct="1">
            <a:lnSpc>
              <a:spcPct val="100000"/>
            </a:lnSpc>
            <a:spcBef>
              <a:spcPts val="0"/>
            </a:spcBef>
            <a:spcAft>
              <a:spcPts val="6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6. Press Update/Default to Hide/Show Unused Construction Rows (only applicable if time period does not utilize entire table</a:t>
          </a:r>
        </a:p>
        <a:p>
          <a:pPr marL="0" marR="0" lvl="0" indent="0" algn="l" defTabSz="914400" rtl="0" eaLnBrk="1" fontAlgn="auto" latinLnBrk="0" hangingPunct="1">
            <a:lnSpc>
              <a:spcPct val="100000"/>
            </a:lnSpc>
            <a:spcBef>
              <a:spcPts val="0"/>
            </a:spcBef>
            <a:spcAft>
              <a:spcPts val="6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7. Your Done…Marvel at the Wealth of Data and Graphics you just created in less than a minute! </a:t>
          </a:r>
          <a:r>
            <a:rPr lang="en-US" sz="1000" b="1" baseline="0">
              <a:solidFill>
                <a:schemeClr val="dk1"/>
              </a:solidFill>
              <a:effectLst/>
              <a:latin typeface="Segoe UI" panose="020B0502040204020203" pitchFamily="34" charset="0"/>
              <a:ea typeface="+mn-ea"/>
              <a:cs typeface="Segoe UI" panose="020B0502040204020203" pitchFamily="34" charset="0"/>
            </a:rPr>
            <a:t> </a:t>
          </a:r>
        </a:p>
        <a:p>
          <a:pPr algn="l" rtl="0">
            <a:spcBef>
              <a:spcPts val="300"/>
            </a:spcBef>
            <a:spcAft>
              <a:spcPts val="300"/>
            </a:spcAft>
          </a:pP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12</xdr:col>
      <xdr:colOff>123825</xdr:colOff>
      <xdr:row>24</xdr:row>
      <xdr:rowOff>1533524</xdr:rowOff>
    </xdr:from>
    <xdr:to>
      <xdr:col>19</xdr:col>
      <xdr:colOff>2010554</xdr:colOff>
      <xdr:row>24</xdr:row>
      <xdr:rowOff>2162262</xdr:rowOff>
    </xdr:to>
    <xdr:pic>
      <xdr:nvPicPr>
        <xdr:cNvPr id="3" name="Pictur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7"/>
        <a:stretch>
          <a:fillRect/>
        </a:stretch>
      </xdr:blipFill>
      <xdr:spPr>
        <a:xfrm>
          <a:off x="6457950" y="7715249"/>
          <a:ext cx="5582429" cy="628738"/>
        </a:xfrm>
        <a:prstGeom prst="rect">
          <a:avLst/>
        </a:prstGeom>
        <a:ln w="25400">
          <a:solidFill>
            <a:srgbClr val="1F497D"/>
          </a:solidFill>
        </a:ln>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18</xdr:col>
      <xdr:colOff>448727</xdr:colOff>
      <xdr:row>0</xdr:row>
      <xdr:rowOff>31749</xdr:rowOff>
    </xdr:from>
    <xdr:to>
      <xdr:col>91</xdr:col>
      <xdr:colOff>462485</xdr:colOff>
      <xdr:row>1</xdr:row>
      <xdr:rowOff>550332</xdr:rowOff>
    </xdr:to>
    <xdr:sp macro="" textlink="">
      <xdr:nvSpPr>
        <xdr:cNvPr id="11" name="TextBox 10">
          <a:hlinkClick xmlns:r="http://schemas.openxmlformats.org/officeDocument/2006/relationships" r:id="rId1"/>
          <a:extLst>
            <a:ext uri="{FF2B5EF4-FFF2-40B4-BE49-F238E27FC236}">
              <a16:creationId xmlns:a16="http://schemas.microsoft.com/office/drawing/2014/main" id="{00000000-0008-0000-1900-00000B000000}"/>
            </a:ext>
          </a:extLst>
        </xdr:cNvPr>
        <xdr:cNvSpPr txBox="1"/>
      </xdr:nvSpPr>
      <xdr:spPr>
        <a:xfrm>
          <a:off x="5254619" y="31749"/>
          <a:ext cx="6924674" cy="12805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No user inputs are required on this sheet</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Datappraise Merge</a:t>
          </a:r>
          <a:r>
            <a:rPr lang="en-US" sz="1000" b="1" i="0" baseline="0">
              <a:solidFill>
                <a:srgbClr val="FF0000"/>
              </a:solidFill>
              <a:effectLst/>
              <a:latin typeface="Segoe UI" panose="020B0502040204020203" pitchFamily="34" charset="0"/>
              <a:ea typeface="+mn-ea"/>
              <a:cs typeface="Segoe UI" panose="020B0502040204020203" pitchFamily="34" charset="0"/>
            </a:rPr>
            <a:t>  </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18</xdr:col>
      <xdr:colOff>360889</xdr:colOff>
      <xdr:row>0</xdr:row>
      <xdr:rowOff>731520</xdr:rowOff>
    </xdr:to>
    <xdr:grpSp>
      <xdr:nvGrpSpPr>
        <xdr:cNvPr id="4" name="Group 3">
          <a:extLst>
            <a:ext uri="{FF2B5EF4-FFF2-40B4-BE49-F238E27FC236}">
              <a16:creationId xmlns:a16="http://schemas.microsoft.com/office/drawing/2014/main" id="{00000000-0008-0000-1900-000004000000}"/>
            </a:ext>
          </a:extLst>
        </xdr:cNvPr>
        <xdr:cNvGrpSpPr>
          <a:grpSpLocks noChangeAspect="1"/>
        </xdr:cNvGrpSpPr>
      </xdr:nvGrpSpPr>
      <xdr:grpSpPr>
        <a:xfrm>
          <a:off x="0" y="0"/>
          <a:ext cx="5171014" cy="731520"/>
          <a:chOff x="0" y="0"/>
          <a:chExt cx="5179481" cy="731520"/>
        </a:xfrm>
      </xdr:grpSpPr>
      <xdr:sp macro="[0]!GoTo_Main" textlink="">
        <xdr:nvSpPr>
          <xdr:cNvPr id="9" name="Rounded Rectangle 8">
            <a:extLst>
              <a:ext uri="{FF2B5EF4-FFF2-40B4-BE49-F238E27FC236}">
                <a16:creationId xmlns:a16="http://schemas.microsoft.com/office/drawing/2014/main" id="{00000000-0008-0000-1900-000009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LandAdjustment_Grid" textlink="">
        <xdr:nvSpPr>
          <xdr:cNvPr id="10" name="Rounded Rectangle 9">
            <a:extLst>
              <a:ext uri="{FF2B5EF4-FFF2-40B4-BE49-F238E27FC236}">
                <a16:creationId xmlns:a16="http://schemas.microsoft.com/office/drawing/2014/main" id="{00000000-0008-0000-1900-00000A000000}"/>
              </a:ext>
            </a:extLst>
          </xdr:cNvPr>
          <xdr:cNvSpPr>
            <a:spLocks noChangeAspect="1"/>
          </xdr:cNvSpPr>
        </xdr:nvSpPr>
        <xdr:spPr>
          <a:xfrm>
            <a:off x="2360083" y="0"/>
            <a:ext cx="914400" cy="73152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Land Adj.</a:t>
            </a:r>
            <a:r>
              <a:rPr lang="en-US" sz="1200" b="1" baseline="0">
                <a:latin typeface="Segoe UI" panose="020B0502040204020203" pitchFamily="34" charset="0"/>
                <a:cs typeface="Segoe UI" panose="020B0502040204020203" pitchFamily="34" charset="0"/>
              </a:rPr>
              <a:t> Grid</a:t>
            </a:r>
            <a:endParaRPr lang="en-US" sz="1200" b="1">
              <a:latin typeface="Segoe UI" panose="020B0502040204020203" pitchFamily="34" charset="0"/>
              <a:cs typeface="Segoe UI" panose="020B0502040204020203" pitchFamily="34" charset="0"/>
            </a:endParaRPr>
          </a:p>
        </xdr:txBody>
      </xdr:sp>
      <xdr:sp macro="[0]!GoTo_LandSummaryDetail_Table" textlink="">
        <xdr:nvSpPr>
          <xdr:cNvPr id="12" name="Rounded Rectangle 11">
            <a:extLst>
              <a:ext uri="{FF2B5EF4-FFF2-40B4-BE49-F238E27FC236}">
                <a16:creationId xmlns:a16="http://schemas.microsoft.com/office/drawing/2014/main" id="{00000000-0008-0000-1900-00000C000000}"/>
              </a:ext>
            </a:extLst>
          </xdr:cNvPr>
          <xdr:cNvSpPr>
            <a:spLocks noChangeAspect="1"/>
          </xdr:cNvSpPr>
        </xdr:nvSpPr>
        <xdr:spPr>
          <a:xfrm>
            <a:off x="952498" y="0"/>
            <a:ext cx="1371600" cy="73152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Land Summary</a:t>
            </a:r>
            <a:r>
              <a:rPr lang="en-US" sz="1200" b="1" baseline="0">
                <a:latin typeface="Segoe UI" panose="020B0502040204020203" pitchFamily="34" charset="0"/>
                <a:cs typeface="Segoe UI" panose="020B0502040204020203" pitchFamily="34" charset="0"/>
              </a:rPr>
              <a:t> Detailed</a:t>
            </a:r>
            <a:endParaRPr lang="en-US" sz="1200" b="1">
              <a:latin typeface="Segoe UI" panose="020B0502040204020203" pitchFamily="34" charset="0"/>
              <a:cs typeface="Segoe UI" panose="020B0502040204020203" pitchFamily="34" charset="0"/>
            </a:endParaRPr>
          </a:p>
        </xdr:txBody>
      </xdr:sp>
      <xdr:sp macro="[0]!Update_LandSummaryLight_Table" textlink="">
        <xdr:nvSpPr>
          <xdr:cNvPr id="15" name="Rounded Rectangle 14">
            <a:extLst>
              <a:ext uri="{FF2B5EF4-FFF2-40B4-BE49-F238E27FC236}">
                <a16:creationId xmlns:a16="http://schemas.microsoft.com/office/drawing/2014/main" id="{00000000-0008-0000-1900-00000F000000}"/>
              </a:ext>
            </a:extLst>
          </xdr:cNvPr>
          <xdr:cNvSpPr>
            <a:spLocks noChangeAspect="1"/>
          </xdr:cNvSpPr>
        </xdr:nvSpPr>
        <xdr:spPr>
          <a:xfrm>
            <a:off x="3312582"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 textlink="">
        <xdr:nvSpPr>
          <xdr:cNvPr id="16" name="Rounded Rectangle 15">
            <a:extLst>
              <a:ext uri="{FF2B5EF4-FFF2-40B4-BE49-F238E27FC236}">
                <a16:creationId xmlns:a16="http://schemas.microsoft.com/office/drawing/2014/main" id="{00000000-0008-0000-1900-000010000000}"/>
              </a:ext>
            </a:extLst>
          </xdr:cNvPr>
          <xdr:cNvSpPr>
            <a:spLocks noChangeAspect="1"/>
          </xdr:cNvSpPr>
        </xdr:nvSpPr>
        <xdr:spPr>
          <a:xfrm>
            <a:off x="4265081"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6</xdr:col>
      <xdr:colOff>647700</xdr:colOff>
      <xdr:row>0</xdr:row>
      <xdr:rowOff>27517</xdr:rowOff>
    </xdr:from>
    <xdr:to>
      <xdr:col>16</xdr:col>
      <xdr:colOff>947208</xdr:colOff>
      <xdr:row>1</xdr:row>
      <xdr:rowOff>698501</xdr:rowOff>
    </xdr:to>
    <xdr:sp macro="" textlink="">
      <xdr:nvSpPr>
        <xdr:cNvPr id="12" name="TextBox 11">
          <a:hlinkClick xmlns:r="http://schemas.openxmlformats.org/officeDocument/2006/relationships" r:id="rId1"/>
          <a:extLst>
            <a:ext uri="{FF2B5EF4-FFF2-40B4-BE49-F238E27FC236}">
              <a16:creationId xmlns:a16="http://schemas.microsoft.com/office/drawing/2014/main" id="{00000000-0008-0000-1A00-00000C000000}"/>
            </a:ext>
          </a:extLst>
        </xdr:cNvPr>
        <xdr:cNvSpPr txBox="1"/>
      </xdr:nvSpPr>
      <xdr:spPr>
        <a:xfrm>
          <a:off x="5270500" y="27517"/>
          <a:ext cx="7475008" cy="143298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a:r>
            <a:rPr lang="en-US" sz="1000" b="1" i="0" baseline="0">
              <a:solidFill>
                <a:schemeClr val="dk1"/>
              </a:solidFill>
              <a:effectLst/>
              <a:latin typeface="Segoe UI" panose="020B0502040204020203" pitchFamily="34" charset="0"/>
              <a:ea typeface="+mn-ea"/>
              <a:cs typeface="Segoe UI" panose="020B0502040204020203" pitchFamily="34" charset="0"/>
            </a:rPr>
            <a:t>1. No user inputs are required on this sheet, but the Filter Tool is available to manually select which rows show/hide. Refer to User Guide Worksheet for Filter Tool instructions</a:t>
          </a:r>
          <a:endParaRPr lang="en-US" sz="1000" b="1">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Datappraise Merge  </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6</xdr:col>
      <xdr:colOff>559856</xdr:colOff>
      <xdr:row>0</xdr:row>
      <xdr:rowOff>731520</xdr:rowOff>
    </xdr:to>
    <xdr:grpSp>
      <xdr:nvGrpSpPr>
        <xdr:cNvPr id="9" name="Group 8">
          <a:extLst>
            <a:ext uri="{FF2B5EF4-FFF2-40B4-BE49-F238E27FC236}">
              <a16:creationId xmlns:a16="http://schemas.microsoft.com/office/drawing/2014/main" id="{00000000-0008-0000-1A00-000009000000}"/>
            </a:ext>
          </a:extLst>
        </xdr:cNvPr>
        <xdr:cNvGrpSpPr>
          <a:grpSpLocks noChangeAspect="1"/>
        </xdr:cNvGrpSpPr>
      </xdr:nvGrpSpPr>
      <xdr:grpSpPr>
        <a:xfrm>
          <a:off x="0" y="0"/>
          <a:ext cx="5189006" cy="731520"/>
          <a:chOff x="0" y="0"/>
          <a:chExt cx="5179481" cy="731520"/>
        </a:xfrm>
      </xdr:grpSpPr>
      <xdr:sp macro="[0]!GoTo_Main" textlink="">
        <xdr:nvSpPr>
          <xdr:cNvPr id="10" name="Rounded Rectangle 9">
            <a:extLst>
              <a:ext uri="{FF2B5EF4-FFF2-40B4-BE49-F238E27FC236}">
                <a16:creationId xmlns:a16="http://schemas.microsoft.com/office/drawing/2014/main" id="{00000000-0008-0000-1A00-00000A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LandAdjustment_Grid" textlink="">
        <xdr:nvSpPr>
          <xdr:cNvPr id="11" name="Rounded Rectangle 10">
            <a:extLst>
              <a:ext uri="{FF2B5EF4-FFF2-40B4-BE49-F238E27FC236}">
                <a16:creationId xmlns:a16="http://schemas.microsoft.com/office/drawing/2014/main" id="{00000000-0008-0000-1A00-00000B000000}"/>
              </a:ext>
            </a:extLst>
          </xdr:cNvPr>
          <xdr:cNvSpPr>
            <a:spLocks noChangeAspect="1"/>
          </xdr:cNvSpPr>
        </xdr:nvSpPr>
        <xdr:spPr>
          <a:xfrm>
            <a:off x="2360083" y="0"/>
            <a:ext cx="914400" cy="73152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Land Adj.</a:t>
            </a:r>
            <a:r>
              <a:rPr lang="en-US" sz="1200" b="1" baseline="0">
                <a:latin typeface="Segoe UI" panose="020B0502040204020203" pitchFamily="34" charset="0"/>
                <a:cs typeface="Segoe UI" panose="020B0502040204020203" pitchFamily="34" charset="0"/>
              </a:rPr>
              <a:t> Grid</a:t>
            </a:r>
            <a:endParaRPr lang="en-US" sz="1200" b="1">
              <a:latin typeface="Segoe UI" panose="020B0502040204020203" pitchFamily="34" charset="0"/>
              <a:cs typeface="Segoe UI" panose="020B0502040204020203" pitchFamily="34" charset="0"/>
            </a:endParaRPr>
          </a:p>
        </xdr:txBody>
      </xdr:sp>
      <xdr:sp macro="[0]!GoTo_LandSummaryLight_Table" textlink="">
        <xdr:nvSpPr>
          <xdr:cNvPr id="13" name="Rounded Rectangle 12">
            <a:extLst>
              <a:ext uri="{FF2B5EF4-FFF2-40B4-BE49-F238E27FC236}">
                <a16:creationId xmlns:a16="http://schemas.microsoft.com/office/drawing/2014/main" id="{00000000-0008-0000-1A00-00000D000000}"/>
              </a:ext>
            </a:extLst>
          </xdr:cNvPr>
          <xdr:cNvSpPr>
            <a:spLocks noChangeAspect="1"/>
          </xdr:cNvSpPr>
        </xdr:nvSpPr>
        <xdr:spPr>
          <a:xfrm>
            <a:off x="952498" y="0"/>
            <a:ext cx="1371600" cy="73152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Land Summary</a:t>
            </a:r>
            <a:r>
              <a:rPr lang="en-US" sz="1200" b="1" baseline="0">
                <a:latin typeface="Segoe UI" panose="020B0502040204020203" pitchFamily="34" charset="0"/>
                <a:cs typeface="Segoe UI" panose="020B0502040204020203" pitchFamily="34" charset="0"/>
              </a:rPr>
              <a:t> Light</a:t>
            </a:r>
            <a:endParaRPr lang="en-US" sz="1200" b="1">
              <a:latin typeface="Segoe UI" panose="020B0502040204020203" pitchFamily="34" charset="0"/>
              <a:cs typeface="Segoe UI" panose="020B0502040204020203" pitchFamily="34" charset="0"/>
            </a:endParaRPr>
          </a:p>
        </xdr:txBody>
      </xdr:sp>
      <xdr:sp macro="[0]!Update_LandSummaryDetail_Table" textlink="">
        <xdr:nvSpPr>
          <xdr:cNvPr id="14" name="Rounded Rectangle 13">
            <a:extLst>
              <a:ext uri="{FF2B5EF4-FFF2-40B4-BE49-F238E27FC236}">
                <a16:creationId xmlns:a16="http://schemas.microsoft.com/office/drawing/2014/main" id="{00000000-0008-0000-1A00-00000E000000}"/>
              </a:ext>
            </a:extLst>
          </xdr:cNvPr>
          <xdr:cNvSpPr>
            <a:spLocks noChangeAspect="1"/>
          </xdr:cNvSpPr>
        </xdr:nvSpPr>
        <xdr:spPr>
          <a:xfrm>
            <a:off x="3312582"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 textlink="">
        <xdr:nvSpPr>
          <xdr:cNvPr id="15" name="Rounded Rectangle 14">
            <a:extLst>
              <a:ext uri="{FF2B5EF4-FFF2-40B4-BE49-F238E27FC236}">
                <a16:creationId xmlns:a16="http://schemas.microsoft.com/office/drawing/2014/main" id="{00000000-0008-0000-1A00-00000F000000}"/>
              </a:ext>
            </a:extLst>
          </xdr:cNvPr>
          <xdr:cNvSpPr>
            <a:spLocks noChangeAspect="1"/>
          </xdr:cNvSpPr>
        </xdr:nvSpPr>
        <xdr:spPr>
          <a:xfrm>
            <a:off x="4265081"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editAs="oneCell">
    <xdr:from>
      <xdr:col>24</xdr:col>
      <xdr:colOff>31751</xdr:colOff>
      <xdr:row>146</xdr:row>
      <xdr:rowOff>179918</xdr:rowOff>
    </xdr:from>
    <xdr:to>
      <xdr:col>27</xdr:col>
      <xdr:colOff>365656</xdr:colOff>
      <xdr:row>150</xdr:row>
      <xdr:rowOff>179128</xdr:rowOff>
    </xdr:to>
    <xdr:sp macro="[0]!GoTo_LandAdjustment_Grid" textlink="">
      <xdr:nvSpPr>
        <xdr:cNvPr id="15" name="Rounded Rectangle 14">
          <a:extLst>
            <a:ext uri="{FF2B5EF4-FFF2-40B4-BE49-F238E27FC236}">
              <a16:creationId xmlns:a16="http://schemas.microsoft.com/office/drawing/2014/main" id="{00000000-0008-0000-1B00-00000F000000}"/>
            </a:ext>
          </a:extLst>
        </xdr:cNvPr>
        <xdr:cNvSpPr>
          <a:spLocks noChangeAspect="1"/>
        </xdr:cNvSpPr>
      </xdr:nvSpPr>
      <xdr:spPr>
        <a:xfrm>
          <a:off x="16330084" y="26257251"/>
          <a:ext cx="1879072" cy="72946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Return to Top</a:t>
          </a:r>
        </a:p>
      </xdr:txBody>
    </xdr:sp>
    <xdr:clientData/>
  </xdr:twoCellAnchor>
  <xdr:twoCellAnchor editAs="absolute">
    <xdr:from>
      <xdr:col>0</xdr:col>
      <xdr:colOff>0</xdr:colOff>
      <xdr:row>0</xdr:row>
      <xdr:rowOff>0</xdr:rowOff>
    </xdr:from>
    <xdr:to>
      <xdr:col>3</xdr:col>
      <xdr:colOff>354738</xdr:colOff>
      <xdr:row>0</xdr:row>
      <xdr:rowOff>733515</xdr:rowOff>
    </xdr:to>
    <xdr:sp macro="[0]!GoTo_Main" textlink="">
      <xdr:nvSpPr>
        <xdr:cNvPr id="17" name="Rounded Rectangle 16">
          <a:extLst>
            <a:ext uri="{FF2B5EF4-FFF2-40B4-BE49-F238E27FC236}">
              <a16:creationId xmlns:a16="http://schemas.microsoft.com/office/drawing/2014/main" id="{00000000-0008-0000-1B00-000011000000}"/>
            </a:ext>
          </a:extLst>
        </xdr:cNvPr>
        <xdr:cNvSpPr>
          <a:spLocks noChangeAspect="1"/>
        </xdr:cNvSpPr>
      </xdr:nvSpPr>
      <xdr:spPr>
        <a:xfrm>
          <a:off x="0" y="0"/>
          <a:ext cx="907188" cy="733515"/>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5</xdr:col>
      <xdr:colOff>112156</xdr:colOff>
      <xdr:row>0</xdr:row>
      <xdr:rowOff>0</xdr:rowOff>
    </xdr:from>
    <xdr:to>
      <xdr:col>6</xdr:col>
      <xdr:colOff>387088</xdr:colOff>
      <xdr:row>0</xdr:row>
      <xdr:rowOff>733515</xdr:rowOff>
    </xdr:to>
    <xdr:sp macro="[0]!GoTo_LandSummaryDetail_Table" textlink="">
      <xdr:nvSpPr>
        <xdr:cNvPr id="18" name="Rounded Rectangle 17">
          <a:extLst>
            <a:ext uri="{FF2B5EF4-FFF2-40B4-BE49-F238E27FC236}">
              <a16:creationId xmlns:a16="http://schemas.microsoft.com/office/drawing/2014/main" id="{00000000-0008-0000-1B00-000012000000}"/>
            </a:ext>
          </a:extLst>
        </xdr:cNvPr>
        <xdr:cNvSpPr>
          <a:spLocks noChangeAspect="1"/>
        </xdr:cNvSpPr>
      </xdr:nvSpPr>
      <xdr:spPr>
        <a:xfrm>
          <a:off x="3464956" y="0"/>
          <a:ext cx="1360782" cy="733515"/>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Land Summary</a:t>
          </a:r>
          <a:r>
            <a:rPr lang="en-US" sz="1200" b="1" baseline="0">
              <a:latin typeface="Segoe UI" panose="020B0502040204020203" pitchFamily="34" charset="0"/>
              <a:cs typeface="Segoe UI" panose="020B0502040204020203" pitchFamily="34" charset="0"/>
            </a:rPr>
            <a:t> Detail</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3</xdr:col>
      <xdr:colOff>1516023</xdr:colOff>
      <xdr:row>0</xdr:row>
      <xdr:rowOff>0</xdr:rowOff>
    </xdr:from>
    <xdr:to>
      <xdr:col>5</xdr:col>
      <xdr:colOff>76455</xdr:colOff>
      <xdr:row>0</xdr:row>
      <xdr:rowOff>733515</xdr:rowOff>
    </xdr:to>
    <xdr:sp macro="[0]!GoTo_LandSummaryLight_Table" textlink="">
      <xdr:nvSpPr>
        <xdr:cNvPr id="19" name="Rounded Rectangle 18">
          <a:extLst>
            <a:ext uri="{FF2B5EF4-FFF2-40B4-BE49-F238E27FC236}">
              <a16:creationId xmlns:a16="http://schemas.microsoft.com/office/drawing/2014/main" id="{00000000-0008-0000-1B00-000013000000}"/>
            </a:ext>
          </a:extLst>
        </xdr:cNvPr>
        <xdr:cNvSpPr>
          <a:spLocks noChangeAspect="1"/>
        </xdr:cNvSpPr>
      </xdr:nvSpPr>
      <xdr:spPr>
        <a:xfrm>
          <a:off x="2068473" y="0"/>
          <a:ext cx="1360782" cy="733515"/>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Land Summary</a:t>
          </a:r>
          <a:r>
            <a:rPr lang="en-US" sz="1200" b="1" baseline="0">
              <a:latin typeface="Segoe UI" panose="020B0502040204020203" pitchFamily="34" charset="0"/>
              <a:cs typeface="Segoe UI" panose="020B0502040204020203" pitchFamily="34" charset="0"/>
            </a:rPr>
            <a:t> Light</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7</xdr:col>
      <xdr:colOff>1006394</xdr:colOff>
      <xdr:row>1</xdr:row>
      <xdr:rowOff>36158</xdr:rowOff>
    </xdr:from>
    <xdr:to>
      <xdr:col>8</xdr:col>
      <xdr:colOff>827732</xdr:colOff>
      <xdr:row>3</xdr:row>
      <xdr:rowOff>83873</xdr:rowOff>
    </xdr:to>
    <xdr:sp macro="[0]!Update_LandAdjust_Grid" textlink="">
      <xdr:nvSpPr>
        <xdr:cNvPr id="20" name="Rounded Rectangle 19">
          <a:extLst>
            <a:ext uri="{FF2B5EF4-FFF2-40B4-BE49-F238E27FC236}">
              <a16:creationId xmlns:a16="http://schemas.microsoft.com/office/drawing/2014/main" id="{00000000-0008-0000-1B00-000014000000}"/>
            </a:ext>
          </a:extLst>
        </xdr:cNvPr>
        <xdr:cNvSpPr>
          <a:spLocks noChangeAspect="1"/>
        </xdr:cNvSpPr>
      </xdr:nvSpPr>
      <xdr:spPr>
        <a:xfrm>
          <a:off x="6530894" y="798158"/>
          <a:ext cx="907188" cy="733515"/>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clientData/>
  </xdr:twoCellAnchor>
  <xdr:twoCellAnchor editAs="absolute">
    <xdr:from>
      <xdr:col>8</xdr:col>
      <xdr:colOff>865544</xdr:colOff>
      <xdr:row>1</xdr:row>
      <xdr:rowOff>36158</xdr:rowOff>
    </xdr:from>
    <xdr:to>
      <xdr:col>14</xdr:col>
      <xdr:colOff>29657</xdr:colOff>
      <xdr:row>3</xdr:row>
      <xdr:rowOff>83873</xdr:rowOff>
    </xdr:to>
    <xdr:sp macro="[0]!Default_LandAdjust_Grid" textlink="">
      <xdr:nvSpPr>
        <xdr:cNvPr id="21" name="Rounded Rectangle 20">
          <a:extLst>
            <a:ext uri="{FF2B5EF4-FFF2-40B4-BE49-F238E27FC236}">
              <a16:creationId xmlns:a16="http://schemas.microsoft.com/office/drawing/2014/main" id="{00000000-0008-0000-1B00-000015000000}"/>
            </a:ext>
          </a:extLst>
        </xdr:cNvPr>
        <xdr:cNvSpPr>
          <a:spLocks noChangeAspect="1"/>
        </xdr:cNvSpPr>
      </xdr:nvSpPr>
      <xdr:spPr>
        <a:xfrm>
          <a:off x="7475894" y="798158"/>
          <a:ext cx="907188" cy="733515"/>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clientData/>
  </xdr:twoCellAnchor>
  <xdr:twoCellAnchor editAs="absolute">
    <xdr:from>
      <xdr:col>6</xdr:col>
      <xdr:colOff>422789</xdr:colOff>
      <xdr:row>0</xdr:row>
      <xdr:rowOff>0</xdr:rowOff>
    </xdr:from>
    <xdr:to>
      <xdr:col>7</xdr:col>
      <xdr:colOff>969878</xdr:colOff>
      <xdr:row>0</xdr:row>
      <xdr:rowOff>733515</xdr:rowOff>
    </xdr:to>
    <xdr:sp macro="[0]!ShowDialogLandAdj" textlink="">
      <xdr:nvSpPr>
        <xdr:cNvPr id="28" name="Rounded Rectangle 27">
          <a:extLst>
            <a:ext uri="{FF2B5EF4-FFF2-40B4-BE49-F238E27FC236}">
              <a16:creationId xmlns:a16="http://schemas.microsoft.com/office/drawing/2014/main" id="{00000000-0008-0000-1B00-00001C000000}"/>
            </a:ext>
          </a:extLst>
        </xdr:cNvPr>
        <xdr:cNvSpPr>
          <a:spLocks noChangeAspect="1"/>
        </xdr:cNvSpPr>
      </xdr:nvSpPr>
      <xdr:spPr>
        <a:xfrm>
          <a:off x="4861439" y="0"/>
          <a:ext cx="1632939" cy="733515"/>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Select</a:t>
          </a:r>
          <a:r>
            <a:rPr lang="en-US" sz="1200" b="1" baseline="0">
              <a:solidFill>
                <a:schemeClr val="bg1"/>
              </a:solidFill>
              <a:latin typeface="Segoe UI" panose="020B0502040204020203" pitchFamily="34" charset="0"/>
              <a:cs typeface="Segoe UI" panose="020B0502040204020203" pitchFamily="34" charset="0"/>
            </a:rPr>
            <a:t> Adjustment Categories</a:t>
          </a:r>
          <a:endParaRPr lang="en-US" sz="1200" b="1">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5</xdr:col>
      <xdr:colOff>731671</xdr:colOff>
      <xdr:row>1</xdr:row>
      <xdr:rowOff>36158</xdr:rowOff>
    </xdr:from>
    <xdr:to>
      <xdr:col>6</xdr:col>
      <xdr:colOff>825166</xdr:colOff>
      <xdr:row>3</xdr:row>
      <xdr:rowOff>83873</xdr:rowOff>
    </xdr:to>
    <xdr:sp macro="[0]!ShowUserFormTemplateAssumptions" textlink="">
      <xdr:nvSpPr>
        <xdr:cNvPr id="30" name="Rounded Rectangle 29">
          <a:extLst>
            <a:ext uri="{FF2B5EF4-FFF2-40B4-BE49-F238E27FC236}">
              <a16:creationId xmlns:a16="http://schemas.microsoft.com/office/drawing/2014/main" id="{00000000-0008-0000-1B00-00001E000000}"/>
            </a:ext>
          </a:extLst>
        </xdr:cNvPr>
        <xdr:cNvSpPr>
          <a:spLocks noChangeAspect="1"/>
        </xdr:cNvSpPr>
      </xdr:nvSpPr>
      <xdr:spPr>
        <a:xfrm>
          <a:off x="4084471" y="798158"/>
          <a:ext cx="1179345" cy="733515"/>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a:t>
          </a:r>
          <a:r>
            <a:rPr lang="en-US" sz="1200" b="1" baseline="0">
              <a:solidFill>
                <a:srgbClr val="1F497D"/>
              </a:solidFill>
              <a:latin typeface="Segoe UI" panose="020B0502040204020203" pitchFamily="34" charset="0"/>
              <a:cs typeface="Segoe UI" panose="020B0502040204020203" pitchFamily="34" charset="0"/>
            </a:rPr>
            <a:t> Assumptions</a:t>
          </a:r>
          <a:endParaRPr lang="en-US" sz="1200" b="1">
            <a:solidFill>
              <a:srgbClr val="1F497D"/>
            </a:solidFill>
            <a:latin typeface="Segoe UI" panose="020B0502040204020203" pitchFamily="34" charset="0"/>
            <a:cs typeface="Segoe UI" panose="020B0502040204020203" pitchFamily="34" charset="0"/>
          </a:endParaRPr>
        </a:p>
      </xdr:txBody>
    </xdr:sp>
    <xdr:clientData/>
  </xdr:twoCellAnchor>
  <xdr:twoCellAnchor editAs="absolute">
    <xdr:from>
      <xdr:col>3</xdr:col>
      <xdr:colOff>382063</xdr:colOff>
      <xdr:row>0</xdr:row>
      <xdr:rowOff>0</xdr:rowOff>
    </xdr:from>
    <xdr:to>
      <xdr:col>3</xdr:col>
      <xdr:colOff>1470689</xdr:colOff>
      <xdr:row>0</xdr:row>
      <xdr:rowOff>733515</xdr:rowOff>
    </xdr:to>
    <xdr:sp macro="[0]!GoTo_ValueIndications_Table" textlink="">
      <xdr:nvSpPr>
        <xdr:cNvPr id="31" name="Rounded Rectangle 30">
          <a:extLst>
            <a:ext uri="{FF2B5EF4-FFF2-40B4-BE49-F238E27FC236}">
              <a16:creationId xmlns:a16="http://schemas.microsoft.com/office/drawing/2014/main" id="{00000000-0008-0000-1B00-00001F000000}"/>
            </a:ext>
          </a:extLst>
        </xdr:cNvPr>
        <xdr:cNvSpPr>
          <a:spLocks noChangeAspect="1"/>
        </xdr:cNvSpPr>
      </xdr:nvSpPr>
      <xdr:spPr>
        <a:xfrm>
          <a:off x="934513" y="0"/>
          <a:ext cx="1088626" cy="733515"/>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clientData/>
  </xdr:twoCellAnchor>
  <xdr:twoCellAnchor editAs="absolute">
    <xdr:from>
      <xdr:col>6</xdr:col>
      <xdr:colOff>874284</xdr:colOff>
      <xdr:row>1</xdr:row>
      <xdr:rowOff>36158</xdr:rowOff>
    </xdr:from>
    <xdr:to>
      <xdr:col>7</xdr:col>
      <xdr:colOff>967779</xdr:colOff>
      <xdr:row>3</xdr:row>
      <xdr:rowOff>83873</xdr:rowOff>
    </xdr:to>
    <xdr:sp macro="[0]!ClearLandAdjustments" textlink="">
      <xdr:nvSpPr>
        <xdr:cNvPr id="22" name="Rounded Rectangle 21">
          <a:extLst>
            <a:ext uri="{FF2B5EF4-FFF2-40B4-BE49-F238E27FC236}">
              <a16:creationId xmlns:a16="http://schemas.microsoft.com/office/drawing/2014/main" id="{00000000-0008-0000-1B00-000016000000}"/>
            </a:ext>
          </a:extLst>
        </xdr:cNvPr>
        <xdr:cNvSpPr>
          <a:spLocks noChangeAspect="1"/>
        </xdr:cNvSpPr>
      </xdr:nvSpPr>
      <xdr:spPr>
        <a:xfrm>
          <a:off x="5312934" y="798158"/>
          <a:ext cx="1179345" cy="733515"/>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Clear Adjustments</a:t>
          </a:r>
        </a:p>
      </xdr:txBody>
    </xdr:sp>
    <xdr:clientData/>
  </xdr:twoCellAnchor>
  <xdr:twoCellAnchor editAs="absolute">
    <xdr:from>
      <xdr:col>7</xdr:col>
      <xdr:colOff>999810</xdr:colOff>
      <xdr:row>0</xdr:row>
      <xdr:rowOff>18037</xdr:rowOff>
    </xdr:from>
    <xdr:to>
      <xdr:col>14</xdr:col>
      <xdr:colOff>35140</xdr:colOff>
      <xdr:row>0</xdr:row>
      <xdr:rowOff>751552</xdr:rowOff>
    </xdr:to>
    <xdr:sp macro="[0]!GoTo_Land_Conclusion" textlink="">
      <xdr:nvSpPr>
        <xdr:cNvPr id="14" name="Rounded Rectangle 13">
          <a:extLst>
            <a:ext uri="{FF2B5EF4-FFF2-40B4-BE49-F238E27FC236}">
              <a16:creationId xmlns:a16="http://schemas.microsoft.com/office/drawing/2014/main" id="{00000000-0008-0000-1B00-00000E000000}"/>
            </a:ext>
          </a:extLst>
        </xdr:cNvPr>
        <xdr:cNvSpPr>
          <a:spLocks noChangeAspect="1"/>
        </xdr:cNvSpPr>
      </xdr:nvSpPr>
      <xdr:spPr>
        <a:xfrm>
          <a:off x="6524310" y="18037"/>
          <a:ext cx="1864255" cy="733515"/>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Land</a:t>
          </a:r>
          <a:r>
            <a:rPr lang="en-US" sz="1200" b="1" baseline="0">
              <a:solidFill>
                <a:schemeClr val="bg1"/>
              </a:solidFill>
              <a:latin typeface="Segoe UI" panose="020B0502040204020203" pitchFamily="34" charset="0"/>
              <a:cs typeface="Segoe UI" panose="020B0502040204020203" pitchFamily="34" charset="0"/>
            </a:rPr>
            <a:t> Value Conclusion</a:t>
          </a:r>
          <a:endParaRPr lang="en-US" sz="1200" b="1">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14</xdr:col>
      <xdr:colOff>88901</xdr:colOff>
      <xdr:row>0</xdr:row>
      <xdr:rowOff>0</xdr:rowOff>
    </xdr:from>
    <xdr:to>
      <xdr:col>30</xdr:col>
      <xdr:colOff>511175</xdr:colOff>
      <xdr:row>3</xdr:row>
      <xdr:rowOff>296334</xdr:rowOff>
    </xdr:to>
    <xdr:sp macro="" textlink="">
      <xdr:nvSpPr>
        <xdr:cNvPr id="16" name="TextBox 15">
          <a:hlinkClick xmlns:r="http://schemas.openxmlformats.org/officeDocument/2006/relationships" r:id="rId1"/>
          <a:extLst>
            <a:ext uri="{FF2B5EF4-FFF2-40B4-BE49-F238E27FC236}">
              <a16:creationId xmlns:a16="http://schemas.microsoft.com/office/drawing/2014/main" id="{00000000-0008-0000-1B00-000010000000}"/>
            </a:ext>
          </a:extLst>
        </xdr:cNvPr>
        <xdr:cNvSpPr txBox="1"/>
      </xdr:nvSpPr>
      <xdr:spPr>
        <a:xfrm>
          <a:off x="8509000" y="0"/>
          <a:ext cx="8307917" cy="17356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45720" bIns="45720"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Make sure all proper assumptions have been selected in Land Assumptions Section, including Adjustment Categories</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User inputs in cells with white background only (%, whole $ or $/unit adjustments may be used regardless of selected display)</a:t>
          </a:r>
          <a:endParaRPr lang="en-US" sz="1000" b="1">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Use Insert Manager to bring in data for User Defined adjustment categories if desired (see cell comments for additional instructions)</a:t>
          </a: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4. Press</a:t>
          </a:r>
          <a:r>
            <a:rPr lang="en-US" sz="1000" b="1" baseline="0">
              <a:effectLst/>
              <a:latin typeface="Segoe UI" panose="020B0502040204020203" pitchFamily="34" charset="0"/>
              <a:cs typeface="Segoe UI" panose="020B0502040204020203" pitchFamily="34" charset="0"/>
            </a:rPr>
            <a:t> "Updae" Button when complete - removes background colors/cell comment indicators, hides rows &amp; sets print area</a:t>
          </a: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5. Press "Default" Button to add</a:t>
          </a:r>
          <a:r>
            <a:rPr lang="en-US" sz="1000" b="1" baseline="0">
              <a:effectLst/>
              <a:latin typeface="Segoe UI" panose="020B0502040204020203" pitchFamily="34" charset="0"/>
              <a:cs typeface="Segoe UI" panose="020B0502040204020203" pitchFamily="34" charset="0"/>
            </a:rPr>
            <a:t> background colors/cell comment indicators &amp; unhide all rows to modify prior input</a:t>
          </a:r>
        </a:p>
        <a:p>
          <a:pPr algn="l" rtl="0">
            <a:spcBef>
              <a:spcPts val="300"/>
            </a:spcBef>
            <a:spcAft>
              <a:spcPts val="300"/>
            </a:spcAft>
          </a:pPr>
          <a:r>
            <a:rPr lang="en-US" sz="1000" b="1" baseline="0">
              <a:effectLst/>
              <a:latin typeface="Segoe UI" panose="020B0502040204020203" pitchFamily="34" charset="0"/>
              <a:cs typeface="Segoe UI" panose="020B0502040204020203" pitchFamily="34" charset="0"/>
            </a:rPr>
            <a:t>6. Note that Adjustment Entries DO NOT move if a Datappraise merge results in comparables moving columns</a:t>
          </a:r>
        </a:p>
        <a:p>
          <a:pPr algn="l" rtl="0">
            <a:spcBef>
              <a:spcPts val="300"/>
            </a:spcBef>
            <a:spcAft>
              <a:spcPts val="300"/>
            </a:spcAft>
          </a:pPr>
          <a:r>
            <a:rPr lang="en-US" sz="1000" b="1" u="sng" baseline="0">
              <a:solidFill>
                <a:srgbClr val="0000FF"/>
              </a:solidFill>
              <a:effectLst/>
              <a:latin typeface="Segoe UI" panose="020B0502040204020203" pitchFamily="34" charset="0"/>
              <a:cs typeface="Segoe UI" panose="020B0502040204020203" pitchFamily="34" charset="0"/>
            </a:rPr>
            <a:t>User Guide</a:t>
          </a:r>
          <a:endParaRPr lang="en-US" sz="1000" b="1" u="sng">
            <a:solidFill>
              <a:srgbClr val="0000FF"/>
            </a:solidFill>
            <a:effectLst/>
            <a:latin typeface="Segoe UI" panose="020B0502040204020203" pitchFamily="34" charset="0"/>
            <a:cs typeface="Segoe UI" panose="020B0502040204020203" pitchFamily="34" charset="0"/>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8</xdr:col>
      <xdr:colOff>364059</xdr:colOff>
      <xdr:row>0</xdr:row>
      <xdr:rowOff>36593</xdr:rowOff>
    </xdr:from>
    <xdr:to>
      <xdr:col>13</xdr:col>
      <xdr:colOff>741894</xdr:colOff>
      <xdr:row>1</xdr:row>
      <xdr:rowOff>613833</xdr:rowOff>
    </xdr:to>
    <xdr:sp macro="" textlink="">
      <xdr:nvSpPr>
        <xdr:cNvPr id="8" name="TextBox 7">
          <a:hlinkClick xmlns:r="http://schemas.openxmlformats.org/officeDocument/2006/relationships" r:id="rId1"/>
          <a:extLst>
            <a:ext uri="{FF2B5EF4-FFF2-40B4-BE49-F238E27FC236}">
              <a16:creationId xmlns:a16="http://schemas.microsoft.com/office/drawing/2014/main" id="{00000000-0008-0000-1C00-000008000000}"/>
            </a:ext>
          </a:extLst>
        </xdr:cNvPr>
        <xdr:cNvSpPr txBox="1"/>
      </xdr:nvSpPr>
      <xdr:spPr>
        <a:xfrm>
          <a:off x="9822384" y="36593"/>
          <a:ext cx="8950335" cy="13392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91440" tIns="45720" rIns="91440" bIns="45720" rtlCol="0" anchor="ctr">
          <a:noAutofit/>
        </a:bodyPr>
        <a:lstStyle/>
        <a:p>
          <a:pPr algn="l" rtl="0">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Number of buildings based on Datappraise Web App. input </a:t>
          </a:r>
          <a:r>
            <a:rPr lang="en-US" sz="1000" b="1" i="1" baseline="0">
              <a:solidFill>
                <a:schemeClr val="dk1"/>
              </a:solidFill>
              <a:effectLst/>
              <a:latin typeface="Segoe UI" panose="020B0502040204020203" pitchFamily="34" charset="0"/>
              <a:ea typeface="+mn-ea"/>
              <a:cs typeface="Segoe UI" panose="020B0502040204020203" pitchFamily="34" charset="0"/>
            </a:rPr>
            <a:t>(hidden columns data deleted - modify number of buildings in Datappraise first!)</a:t>
          </a:r>
        </a:p>
        <a:p>
          <a:pPr algn="l" rtl="0">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User inputs in cells with white background only</a:t>
          </a:r>
        </a:p>
        <a:p>
          <a:pPr algn="l" rtl="0">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Remember to input a 1 into unused Multipliers due to Multiplicaion Rules</a:t>
          </a:r>
        </a:p>
        <a:p>
          <a:pPr algn="l" rtl="0">
            <a:spcAft>
              <a:spcPts val="300"/>
            </a:spcAft>
          </a:pPr>
          <a:r>
            <a:rPr lang="en-US" sz="1000" b="1">
              <a:effectLst/>
              <a:latin typeface="Segoe UI" panose="020B0502040204020203" pitchFamily="34" charset="0"/>
              <a:cs typeface="Segoe UI" panose="020B0502040204020203" pitchFamily="34" charset="0"/>
            </a:rPr>
            <a:t>4. Press</a:t>
          </a:r>
          <a:r>
            <a:rPr lang="en-US" sz="1000" b="1" baseline="0">
              <a:effectLst/>
              <a:latin typeface="Segoe UI" panose="020B0502040204020203" pitchFamily="34" charset="0"/>
              <a:cs typeface="Segoe UI" panose="020B0502040204020203" pitchFamily="34" charset="0"/>
            </a:rPr>
            <a:t> "Update" Button when complete - removes background colors, hides rows/columns &amp; sets print area</a:t>
          </a:r>
        </a:p>
        <a:p>
          <a:pPr algn="l" rtl="0">
            <a:spcAft>
              <a:spcPts val="300"/>
            </a:spcAft>
          </a:pPr>
          <a:r>
            <a:rPr lang="en-US" sz="1000" b="1">
              <a:effectLst/>
              <a:latin typeface="Segoe UI" panose="020B0502040204020203" pitchFamily="34" charset="0"/>
              <a:cs typeface="Segoe UI" panose="020B0502040204020203" pitchFamily="34" charset="0"/>
            </a:rPr>
            <a:t>5. Press "Default" Button to add</a:t>
          </a:r>
          <a:r>
            <a:rPr lang="en-US" sz="1000" b="1" baseline="0">
              <a:effectLst/>
              <a:latin typeface="Segoe UI" panose="020B0502040204020203" pitchFamily="34" charset="0"/>
              <a:cs typeface="Segoe UI" panose="020B0502040204020203" pitchFamily="34" charset="0"/>
            </a:rPr>
            <a:t> background colors &amp; unhide all rows to modify prior inputs</a:t>
          </a:r>
        </a:p>
        <a:p>
          <a:pPr algn="l" rtl="0">
            <a:spcAft>
              <a:spcPts val="300"/>
            </a:spcAft>
          </a:pPr>
          <a:r>
            <a:rPr lang="en-US" sz="1000" b="1" u="sng" baseline="0">
              <a:solidFill>
                <a:srgbClr val="0000FF"/>
              </a:solidFill>
              <a:effectLst/>
              <a:latin typeface="Segoe UI" panose="020B0502040204020203" pitchFamily="34" charset="0"/>
              <a:cs typeface="Segoe UI" panose="020B0502040204020203" pitchFamily="34" charset="0"/>
            </a:rPr>
            <a:t>User Guide</a:t>
          </a:r>
          <a:endParaRPr lang="en-US" sz="1000" b="1"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7</xdr:col>
      <xdr:colOff>1453090</xdr:colOff>
      <xdr:row>0</xdr:row>
      <xdr:rowOff>731522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0" y="0"/>
          <a:ext cx="9196915" cy="731522"/>
          <a:chOff x="0" y="0"/>
          <a:chExt cx="9196915" cy="731522"/>
        </a:xfrm>
      </xdr:grpSpPr>
      <xdr:sp macro="[0]!Update_BuildingRCNTable" textlink="">
        <xdr:nvSpPr>
          <xdr:cNvPr id="14" name="Rounded Rectangle 13">
            <a:extLst>
              <a:ext uri="{FF2B5EF4-FFF2-40B4-BE49-F238E27FC236}">
                <a16:creationId xmlns:a16="http://schemas.microsoft.com/office/drawing/2014/main" id="{00000000-0008-0000-1C00-00000E000000}"/>
              </a:ext>
            </a:extLst>
          </xdr:cNvPr>
          <xdr:cNvSpPr>
            <a:spLocks noChangeAspect="1"/>
          </xdr:cNvSpPr>
        </xdr:nvSpPr>
        <xdr:spPr>
          <a:xfrm>
            <a:off x="7316968" y="0"/>
            <a:ext cx="91612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GoTo_Main" textlink="">
        <xdr:nvSpPr>
          <xdr:cNvPr id="10" name="Rounded Rectangle 9">
            <a:extLst>
              <a:ext uri="{FF2B5EF4-FFF2-40B4-BE49-F238E27FC236}">
                <a16:creationId xmlns:a16="http://schemas.microsoft.com/office/drawing/2014/main" id="{00000000-0008-0000-1C00-00000A000000}"/>
              </a:ext>
            </a:extLst>
          </xdr:cNvPr>
          <xdr:cNvSpPr>
            <a:spLocks noChangeAspect="1"/>
          </xdr:cNvSpPr>
        </xdr:nvSpPr>
        <xdr:spPr>
          <a:xfrm>
            <a:off x="0" y="0"/>
            <a:ext cx="916126"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CostDepreciation_Table" textlink="">
        <xdr:nvSpPr>
          <xdr:cNvPr id="11" name="Rounded Rectangle 10">
            <a:extLst>
              <a:ext uri="{FF2B5EF4-FFF2-40B4-BE49-F238E27FC236}">
                <a16:creationId xmlns:a16="http://schemas.microsoft.com/office/drawing/2014/main" id="{00000000-0008-0000-1C00-00000B000000}"/>
              </a:ext>
            </a:extLst>
          </xdr:cNvPr>
          <xdr:cNvSpPr>
            <a:spLocks noChangeAspect="1"/>
          </xdr:cNvSpPr>
        </xdr:nvSpPr>
        <xdr:spPr>
          <a:xfrm>
            <a:off x="2860064" y="2"/>
            <a:ext cx="1190964"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Depreciation Calculations</a:t>
            </a:r>
          </a:p>
        </xdr:txBody>
      </xdr:sp>
      <xdr:sp macro="[0]!GoTo_CostApproach_Table" textlink="">
        <xdr:nvSpPr>
          <xdr:cNvPr id="12" name="Rounded Rectangle 11">
            <a:extLst>
              <a:ext uri="{FF2B5EF4-FFF2-40B4-BE49-F238E27FC236}">
                <a16:creationId xmlns:a16="http://schemas.microsoft.com/office/drawing/2014/main" id="{00000000-0008-0000-1C00-00000C000000}"/>
              </a:ext>
            </a:extLst>
          </xdr:cNvPr>
          <xdr:cNvSpPr>
            <a:spLocks noChangeAspect="1"/>
          </xdr:cNvSpPr>
        </xdr:nvSpPr>
        <xdr:spPr>
          <a:xfrm>
            <a:off x="5312938" y="0"/>
            <a:ext cx="916126"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Cost Schedule</a:t>
            </a:r>
          </a:p>
        </xdr:txBody>
      </xdr:sp>
      <xdr:sp macro="[0]!GoTo_InsurableCost_Table" textlink="">
        <xdr:nvSpPr>
          <xdr:cNvPr id="13" name="Rounded Rectangle 12">
            <a:extLst>
              <a:ext uri="{FF2B5EF4-FFF2-40B4-BE49-F238E27FC236}">
                <a16:creationId xmlns:a16="http://schemas.microsoft.com/office/drawing/2014/main" id="{00000000-0008-0000-1C00-00000D000000}"/>
              </a:ext>
            </a:extLst>
          </xdr:cNvPr>
          <xdr:cNvSpPr>
            <a:spLocks noChangeAspect="1"/>
          </xdr:cNvSpPr>
        </xdr:nvSpPr>
        <xdr:spPr>
          <a:xfrm>
            <a:off x="6267237" y="0"/>
            <a:ext cx="1007738"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Insurable</a:t>
            </a:r>
            <a:r>
              <a:rPr lang="en-US" sz="1200" b="1" baseline="0">
                <a:latin typeface="Segoe UI" panose="020B0502040204020203" pitchFamily="34" charset="0"/>
                <a:cs typeface="Segoe UI" panose="020B0502040204020203" pitchFamily="34" charset="0"/>
              </a:rPr>
              <a:t> Cost</a:t>
            </a:r>
            <a:endParaRPr lang="en-US" sz="1200" b="1">
              <a:latin typeface="Segoe UI" panose="020B0502040204020203" pitchFamily="34" charset="0"/>
              <a:cs typeface="Segoe UI" panose="020B0502040204020203" pitchFamily="34" charset="0"/>
            </a:endParaRPr>
          </a:p>
        </xdr:txBody>
      </xdr:sp>
      <xdr:sp macro="[0]!Default_BuildingRCNTable" textlink="">
        <xdr:nvSpPr>
          <xdr:cNvPr id="15" name="Rounded Rectangle 14">
            <a:extLst>
              <a:ext uri="{FF2B5EF4-FFF2-40B4-BE49-F238E27FC236}">
                <a16:creationId xmlns:a16="http://schemas.microsoft.com/office/drawing/2014/main" id="{00000000-0008-0000-1C00-00000F000000}"/>
              </a:ext>
            </a:extLst>
          </xdr:cNvPr>
          <xdr:cNvSpPr>
            <a:spLocks noChangeAspect="1"/>
          </xdr:cNvSpPr>
        </xdr:nvSpPr>
        <xdr:spPr>
          <a:xfrm>
            <a:off x="8280789" y="0"/>
            <a:ext cx="91612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GoTo_CostOtherRCN" textlink="">
        <xdr:nvSpPr>
          <xdr:cNvPr id="16" name="Rounded Rectangle 15">
            <a:extLst>
              <a:ext uri="{FF2B5EF4-FFF2-40B4-BE49-F238E27FC236}">
                <a16:creationId xmlns:a16="http://schemas.microsoft.com/office/drawing/2014/main" id="{00000000-0008-0000-1C00-000010000000}"/>
              </a:ext>
            </a:extLst>
          </xdr:cNvPr>
          <xdr:cNvSpPr>
            <a:spLocks noChangeAspect="1"/>
          </xdr:cNvSpPr>
        </xdr:nvSpPr>
        <xdr:spPr>
          <a:xfrm>
            <a:off x="1910657" y="0"/>
            <a:ext cx="916126"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Other RCN</a:t>
            </a:r>
          </a:p>
        </xdr:txBody>
      </xdr:sp>
      <xdr:sp macro="[0]!GoTo_CostMarketExtraction_Table" textlink="">
        <xdr:nvSpPr>
          <xdr:cNvPr id="17" name="Rounded Rectangle 16">
            <a:extLst>
              <a:ext uri="{FF2B5EF4-FFF2-40B4-BE49-F238E27FC236}">
                <a16:creationId xmlns:a16="http://schemas.microsoft.com/office/drawing/2014/main" id="{00000000-0008-0000-1C00-000011000000}"/>
              </a:ext>
            </a:extLst>
          </xdr:cNvPr>
          <xdr:cNvSpPr>
            <a:spLocks noChangeAspect="1"/>
          </xdr:cNvSpPr>
        </xdr:nvSpPr>
        <xdr:spPr>
          <a:xfrm>
            <a:off x="4083783" y="0"/>
            <a:ext cx="1191019"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Depreciation Extraction</a:t>
            </a:r>
          </a:p>
        </xdr:txBody>
      </xdr:sp>
      <xdr:sp macro="[0]!GoTo_CostComps" textlink="">
        <xdr:nvSpPr>
          <xdr:cNvPr id="18" name="Rounded Rectangle 15">
            <a:extLst>
              <a:ext uri="{FF2B5EF4-FFF2-40B4-BE49-F238E27FC236}">
                <a16:creationId xmlns:a16="http://schemas.microsoft.com/office/drawing/2014/main" id="{00000000-0008-0000-1C00-000012000000}"/>
              </a:ext>
            </a:extLst>
          </xdr:cNvPr>
          <xdr:cNvSpPr>
            <a:spLocks noChangeAspect="1"/>
          </xdr:cNvSpPr>
        </xdr:nvSpPr>
        <xdr:spPr>
          <a:xfrm>
            <a:off x="958157" y="0"/>
            <a:ext cx="916126"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Cost Comps</a:t>
            </a:r>
          </a:p>
        </xdr:txBody>
      </xdr:sp>
    </xdr:grp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17</xdr:col>
      <xdr:colOff>213940</xdr:colOff>
      <xdr:row>0</xdr:row>
      <xdr:rowOff>731520</xdr:rowOff>
    </xdr:to>
    <xdr:grpSp>
      <xdr:nvGrpSpPr>
        <xdr:cNvPr id="13" name="Group 12">
          <a:extLst>
            <a:ext uri="{FF2B5EF4-FFF2-40B4-BE49-F238E27FC236}">
              <a16:creationId xmlns:a16="http://schemas.microsoft.com/office/drawing/2014/main" id="{00000000-0008-0000-1D00-00000D000000}"/>
            </a:ext>
          </a:extLst>
        </xdr:cNvPr>
        <xdr:cNvGrpSpPr/>
      </xdr:nvGrpSpPr>
      <xdr:grpSpPr>
        <a:xfrm>
          <a:off x="0" y="0"/>
          <a:ext cx="9243640" cy="731520"/>
          <a:chOff x="0" y="0"/>
          <a:chExt cx="9243640" cy="731520"/>
        </a:xfrm>
      </xdr:grpSpPr>
      <xdr:sp macro="[0]!GoTo_Main" textlink="">
        <xdr:nvSpPr>
          <xdr:cNvPr id="3" name="Rounded Rectangle 2">
            <a:extLst>
              <a:ext uri="{FF2B5EF4-FFF2-40B4-BE49-F238E27FC236}">
                <a16:creationId xmlns:a16="http://schemas.microsoft.com/office/drawing/2014/main" id="{00000000-0008-0000-1D00-000003000000}"/>
              </a:ext>
            </a:extLst>
          </xdr:cNvPr>
          <xdr:cNvSpPr>
            <a:spLocks noChangeAspect="1"/>
          </xdr:cNvSpPr>
        </xdr:nvSpPr>
        <xdr:spPr>
          <a:xfrm>
            <a:off x="0" y="0"/>
            <a:ext cx="915861"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CostBuildingRCN_Table" textlink="">
        <xdr:nvSpPr>
          <xdr:cNvPr id="4" name="Rounded Rectangle 3">
            <a:extLst>
              <a:ext uri="{FF2B5EF4-FFF2-40B4-BE49-F238E27FC236}">
                <a16:creationId xmlns:a16="http://schemas.microsoft.com/office/drawing/2014/main" id="{00000000-0008-0000-1D00-000004000000}"/>
              </a:ext>
            </a:extLst>
          </xdr:cNvPr>
          <xdr:cNvSpPr>
            <a:spLocks noChangeAspect="1"/>
          </xdr:cNvSpPr>
        </xdr:nvSpPr>
        <xdr:spPr>
          <a:xfrm>
            <a:off x="963592" y="0"/>
            <a:ext cx="915408"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Building RCN</a:t>
            </a:r>
          </a:p>
        </xdr:txBody>
      </xdr:sp>
      <xdr:sp macro="[0]!GoTo_CostApproach_Table" textlink="">
        <xdr:nvSpPr>
          <xdr:cNvPr id="5" name="Rounded Rectangle 4">
            <a:extLst>
              <a:ext uri="{FF2B5EF4-FFF2-40B4-BE49-F238E27FC236}">
                <a16:creationId xmlns:a16="http://schemas.microsoft.com/office/drawing/2014/main" id="{00000000-0008-0000-1D00-000005000000}"/>
              </a:ext>
            </a:extLst>
          </xdr:cNvPr>
          <xdr:cNvSpPr>
            <a:spLocks noChangeAspect="1"/>
          </xdr:cNvSpPr>
        </xdr:nvSpPr>
        <xdr:spPr>
          <a:xfrm>
            <a:off x="5354447" y="0"/>
            <a:ext cx="915861"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Cost Schedule</a:t>
            </a:r>
          </a:p>
        </xdr:txBody>
      </xdr:sp>
      <xdr:sp macro="[0]!GoTo_InsurableCost_Table" textlink="">
        <xdr:nvSpPr>
          <xdr:cNvPr id="6" name="Rounded Rectangle 5">
            <a:extLst>
              <a:ext uri="{FF2B5EF4-FFF2-40B4-BE49-F238E27FC236}">
                <a16:creationId xmlns:a16="http://schemas.microsoft.com/office/drawing/2014/main" id="{00000000-0008-0000-1D00-000006000000}"/>
              </a:ext>
            </a:extLst>
          </xdr:cNvPr>
          <xdr:cNvSpPr>
            <a:spLocks noChangeAspect="1"/>
          </xdr:cNvSpPr>
        </xdr:nvSpPr>
        <xdr:spPr>
          <a:xfrm>
            <a:off x="6308484" y="0"/>
            <a:ext cx="1007446"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Insurable</a:t>
            </a:r>
            <a:r>
              <a:rPr lang="en-US" sz="1200" b="1" baseline="0">
                <a:latin typeface="Segoe UI" panose="020B0502040204020203" pitchFamily="34" charset="0"/>
                <a:cs typeface="Segoe UI" panose="020B0502040204020203" pitchFamily="34" charset="0"/>
              </a:rPr>
              <a:t> Cost</a:t>
            </a:r>
            <a:endParaRPr lang="en-US" sz="1200" b="1">
              <a:latin typeface="Segoe UI" panose="020B0502040204020203" pitchFamily="34" charset="0"/>
              <a:cs typeface="Segoe UI" panose="020B0502040204020203" pitchFamily="34" charset="0"/>
            </a:endParaRPr>
          </a:p>
        </xdr:txBody>
      </xdr:sp>
      <xdr:sp macro="[0]!GoTo_CostOtherRCN" textlink="">
        <xdr:nvSpPr>
          <xdr:cNvPr id="7" name="Rounded Rectangle 8">
            <a:extLst>
              <a:ext uri="{FF2B5EF4-FFF2-40B4-BE49-F238E27FC236}">
                <a16:creationId xmlns:a16="http://schemas.microsoft.com/office/drawing/2014/main" id="{00000000-0008-0000-1D00-000007000000}"/>
              </a:ext>
            </a:extLst>
          </xdr:cNvPr>
          <xdr:cNvSpPr>
            <a:spLocks noChangeAspect="1"/>
          </xdr:cNvSpPr>
        </xdr:nvSpPr>
        <xdr:spPr>
          <a:xfrm>
            <a:off x="1914515" y="0"/>
            <a:ext cx="915861"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Other RCN</a:t>
            </a:r>
          </a:p>
        </xdr:txBody>
      </xdr:sp>
      <xdr:sp macro="[0]!GoTo_CostDepreciation_Table" textlink="">
        <xdr:nvSpPr>
          <xdr:cNvPr id="8" name="Rounded Rectangle 7">
            <a:extLst>
              <a:ext uri="{FF2B5EF4-FFF2-40B4-BE49-F238E27FC236}">
                <a16:creationId xmlns:a16="http://schemas.microsoft.com/office/drawing/2014/main" id="{00000000-0008-0000-1D00-000008000000}"/>
              </a:ext>
            </a:extLst>
          </xdr:cNvPr>
          <xdr:cNvSpPr>
            <a:spLocks noChangeAspect="1"/>
          </xdr:cNvSpPr>
        </xdr:nvSpPr>
        <xdr:spPr>
          <a:xfrm>
            <a:off x="2865076" y="0"/>
            <a:ext cx="1216909"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Depreciation Calculations</a:t>
            </a:r>
          </a:p>
        </xdr:txBody>
      </xdr:sp>
      <xdr:sp macro="[0]!Update_CostComps" textlink="">
        <xdr:nvSpPr>
          <xdr:cNvPr id="9" name="Rounded Rectangle 9">
            <a:extLst>
              <a:ext uri="{FF2B5EF4-FFF2-40B4-BE49-F238E27FC236}">
                <a16:creationId xmlns:a16="http://schemas.microsoft.com/office/drawing/2014/main" id="{00000000-0008-0000-1D00-000009000000}"/>
              </a:ext>
            </a:extLst>
          </xdr:cNvPr>
          <xdr:cNvSpPr>
            <a:spLocks noChangeAspect="1"/>
          </xdr:cNvSpPr>
        </xdr:nvSpPr>
        <xdr:spPr>
          <a:xfrm>
            <a:off x="7361019" y="0"/>
            <a:ext cx="916824"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a:t>
            </a:r>
          </a:p>
        </xdr:txBody>
      </xdr:sp>
      <xdr:sp macro="[0]!Default_CostComps" textlink="">
        <xdr:nvSpPr>
          <xdr:cNvPr id="10" name="Rounded Rectangle 11">
            <a:extLst>
              <a:ext uri="{FF2B5EF4-FFF2-40B4-BE49-F238E27FC236}">
                <a16:creationId xmlns:a16="http://schemas.microsoft.com/office/drawing/2014/main" id="{00000000-0008-0000-1D00-00000A000000}"/>
              </a:ext>
            </a:extLst>
          </xdr:cNvPr>
          <xdr:cNvSpPr>
            <a:spLocks noChangeAspect="1"/>
          </xdr:cNvSpPr>
        </xdr:nvSpPr>
        <xdr:spPr>
          <a:xfrm>
            <a:off x="8326654" y="0"/>
            <a:ext cx="91698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sp macro="[0]!GoTo_CostMarketExtraction_Table" textlink="">
        <xdr:nvSpPr>
          <xdr:cNvPr id="12" name="Rounded Rectangle 16">
            <a:extLst>
              <a:ext uri="{FF2B5EF4-FFF2-40B4-BE49-F238E27FC236}">
                <a16:creationId xmlns:a16="http://schemas.microsoft.com/office/drawing/2014/main" id="{00000000-0008-0000-1D00-00000C000000}"/>
              </a:ext>
            </a:extLst>
          </xdr:cNvPr>
          <xdr:cNvSpPr>
            <a:spLocks noChangeAspect="1"/>
          </xdr:cNvSpPr>
        </xdr:nvSpPr>
        <xdr:spPr>
          <a:xfrm>
            <a:off x="4124325" y="0"/>
            <a:ext cx="1191019"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Depreciation Extraction</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22</xdr:col>
      <xdr:colOff>55559</xdr:colOff>
      <xdr:row>0</xdr:row>
      <xdr:rowOff>731520</xdr:rowOff>
    </xdr:to>
    <xdr:grpSp>
      <xdr:nvGrpSpPr>
        <xdr:cNvPr id="4" name="Group 3">
          <a:extLst>
            <a:ext uri="{FF2B5EF4-FFF2-40B4-BE49-F238E27FC236}">
              <a16:creationId xmlns:a16="http://schemas.microsoft.com/office/drawing/2014/main" id="{00000000-0008-0000-1E00-000004000000}"/>
            </a:ext>
          </a:extLst>
        </xdr:cNvPr>
        <xdr:cNvGrpSpPr>
          <a:grpSpLocks noChangeAspect="1"/>
        </xdr:cNvGrpSpPr>
      </xdr:nvGrpSpPr>
      <xdr:grpSpPr>
        <a:xfrm>
          <a:off x="0" y="0"/>
          <a:ext cx="8285159" cy="731520"/>
          <a:chOff x="0" y="0"/>
          <a:chExt cx="8275633" cy="731520"/>
        </a:xfrm>
      </xdr:grpSpPr>
      <xdr:sp macro="[0]!GoTo_Main" textlink="">
        <xdr:nvSpPr>
          <xdr:cNvPr id="3" name="Rounded Rectangle 2">
            <a:extLst>
              <a:ext uri="{FF2B5EF4-FFF2-40B4-BE49-F238E27FC236}">
                <a16:creationId xmlns:a16="http://schemas.microsoft.com/office/drawing/2014/main" id="{00000000-0008-0000-1E00-000003000000}"/>
              </a:ext>
            </a:extLst>
          </xdr:cNvPr>
          <xdr:cNvSpPr>
            <a:spLocks noChangeAspect="1"/>
          </xdr:cNvSpPr>
        </xdr:nvSpPr>
        <xdr:spPr>
          <a:xfrm>
            <a:off x="0" y="0"/>
            <a:ext cx="910898"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CostBuildingRCN_Table" textlink="">
        <xdr:nvSpPr>
          <xdr:cNvPr id="6" name="Rounded Rectangle 5">
            <a:extLst>
              <a:ext uri="{FF2B5EF4-FFF2-40B4-BE49-F238E27FC236}">
                <a16:creationId xmlns:a16="http://schemas.microsoft.com/office/drawing/2014/main" id="{00000000-0008-0000-1E00-000006000000}"/>
              </a:ext>
            </a:extLst>
          </xdr:cNvPr>
          <xdr:cNvSpPr>
            <a:spLocks noChangeAspect="1"/>
          </xdr:cNvSpPr>
        </xdr:nvSpPr>
        <xdr:spPr>
          <a:xfrm>
            <a:off x="942777" y="0"/>
            <a:ext cx="912342"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Building </a:t>
            </a:r>
            <a:r>
              <a:rPr lang="en-US" sz="1200" b="1" baseline="0">
                <a:latin typeface="Segoe UI" panose="020B0502040204020203" pitchFamily="34" charset="0"/>
                <a:cs typeface="Segoe UI" panose="020B0502040204020203" pitchFamily="34" charset="0"/>
              </a:rPr>
              <a:t>RCN</a:t>
            </a:r>
            <a:endParaRPr lang="en-US" sz="1200" b="1">
              <a:latin typeface="Segoe UI" panose="020B0502040204020203" pitchFamily="34" charset="0"/>
              <a:cs typeface="Segoe UI" panose="020B0502040204020203" pitchFamily="34" charset="0"/>
            </a:endParaRPr>
          </a:p>
        </xdr:txBody>
      </xdr:sp>
      <xdr:sp macro="[0]!GoTo_CostDepreciation_Table" textlink="">
        <xdr:nvSpPr>
          <xdr:cNvPr id="7" name="Rounded Rectangle 6">
            <a:extLst>
              <a:ext uri="{FF2B5EF4-FFF2-40B4-BE49-F238E27FC236}">
                <a16:creationId xmlns:a16="http://schemas.microsoft.com/office/drawing/2014/main" id="{00000000-0008-0000-1E00-000007000000}"/>
              </a:ext>
            </a:extLst>
          </xdr:cNvPr>
          <xdr:cNvSpPr>
            <a:spLocks noChangeAspect="1"/>
          </xdr:cNvSpPr>
        </xdr:nvSpPr>
        <xdr:spPr>
          <a:xfrm>
            <a:off x="1890171" y="0"/>
            <a:ext cx="1184169"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Depreciation Calculations</a:t>
            </a:r>
          </a:p>
        </xdr:txBody>
      </xdr:sp>
      <xdr:sp macro="[0]!GoTo_InsurableCost_Table" textlink="">
        <xdr:nvSpPr>
          <xdr:cNvPr id="8" name="Rounded Rectangle 7">
            <a:extLst>
              <a:ext uri="{FF2B5EF4-FFF2-40B4-BE49-F238E27FC236}">
                <a16:creationId xmlns:a16="http://schemas.microsoft.com/office/drawing/2014/main" id="{00000000-0008-0000-1E00-000008000000}"/>
              </a:ext>
            </a:extLst>
          </xdr:cNvPr>
          <xdr:cNvSpPr>
            <a:spLocks noChangeAspect="1"/>
          </xdr:cNvSpPr>
        </xdr:nvSpPr>
        <xdr:spPr>
          <a:xfrm>
            <a:off x="5368199" y="0"/>
            <a:ext cx="1001989"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Insurable</a:t>
            </a:r>
            <a:r>
              <a:rPr lang="en-US" sz="1200" b="1" baseline="0">
                <a:latin typeface="Segoe UI" panose="020B0502040204020203" pitchFamily="34" charset="0"/>
                <a:cs typeface="Segoe UI" panose="020B0502040204020203" pitchFamily="34" charset="0"/>
              </a:rPr>
              <a:t> Cost</a:t>
            </a:r>
            <a:endParaRPr lang="en-US" sz="1200" b="1">
              <a:latin typeface="Segoe UI" panose="020B0502040204020203" pitchFamily="34" charset="0"/>
              <a:cs typeface="Segoe UI" panose="020B0502040204020203" pitchFamily="34" charset="0"/>
            </a:endParaRPr>
          </a:p>
        </xdr:txBody>
      </xdr:sp>
      <xdr:sp macro="[0]!GoTo_CostApproach_Table" textlink="">
        <xdr:nvSpPr>
          <xdr:cNvPr id="11" name="Rounded Rectangle 10">
            <a:extLst>
              <a:ext uri="{FF2B5EF4-FFF2-40B4-BE49-F238E27FC236}">
                <a16:creationId xmlns:a16="http://schemas.microsoft.com/office/drawing/2014/main" id="{00000000-0008-0000-1E00-00000B000000}"/>
              </a:ext>
            </a:extLst>
          </xdr:cNvPr>
          <xdr:cNvSpPr>
            <a:spLocks noChangeAspect="1"/>
          </xdr:cNvSpPr>
        </xdr:nvSpPr>
        <xdr:spPr>
          <a:xfrm>
            <a:off x="4339710" y="0"/>
            <a:ext cx="1004553"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Cost</a:t>
            </a:r>
            <a:r>
              <a:rPr lang="en-US" sz="1200" b="1" baseline="0">
                <a:latin typeface="Segoe UI" panose="020B0502040204020203" pitchFamily="34" charset="0"/>
                <a:cs typeface="Segoe UI" panose="020B0502040204020203" pitchFamily="34" charset="0"/>
              </a:rPr>
              <a:t> Schedule</a:t>
            </a:r>
            <a:endParaRPr lang="en-US" sz="1200" b="1">
              <a:latin typeface="Segoe UI" panose="020B0502040204020203" pitchFamily="34" charset="0"/>
              <a:cs typeface="Segoe UI" panose="020B0502040204020203" pitchFamily="34" charset="0"/>
            </a:endParaRPr>
          </a:p>
        </xdr:txBody>
      </xdr:sp>
      <xdr:sp macro="[0]!Update_CostOtherRCN" textlink="">
        <xdr:nvSpPr>
          <xdr:cNvPr id="9" name="Rounded Rectangle 8">
            <a:extLst>
              <a:ext uri="{FF2B5EF4-FFF2-40B4-BE49-F238E27FC236}">
                <a16:creationId xmlns:a16="http://schemas.microsoft.com/office/drawing/2014/main" id="{00000000-0008-0000-1E00-000009000000}"/>
              </a:ext>
            </a:extLst>
          </xdr:cNvPr>
          <xdr:cNvSpPr>
            <a:spLocks noChangeAspect="1"/>
          </xdr:cNvSpPr>
        </xdr:nvSpPr>
        <xdr:spPr>
          <a:xfrm>
            <a:off x="6412417" y="0"/>
            <a:ext cx="912595"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CostOtherRCN" textlink="">
        <xdr:nvSpPr>
          <xdr:cNvPr id="10" name="Rounded Rectangle 9">
            <a:extLst>
              <a:ext uri="{FF2B5EF4-FFF2-40B4-BE49-F238E27FC236}">
                <a16:creationId xmlns:a16="http://schemas.microsoft.com/office/drawing/2014/main" id="{00000000-0008-0000-1E00-00000A000000}"/>
              </a:ext>
            </a:extLst>
          </xdr:cNvPr>
          <xdr:cNvSpPr>
            <a:spLocks noChangeAspect="1"/>
          </xdr:cNvSpPr>
        </xdr:nvSpPr>
        <xdr:spPr>
          <a:xfrm>
            <a:off x="7363036" y="0"/>
            <a:ext cx="912597"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GoTo_CostMarketExtraction_Table" textlink="">
        <xdr:nvSpPr>
          <xdr:cNvPr id="12" name="Rounded Rectangle 11">
            <a:extLst>
              <a:ext uri="{FF2B5EF4-FFF2-40B4-BE49-F238E27FC236}">
                <a16:creationId xmlns:a16="http://schemas.microsoft.com/office/drawing/2014/main" id="{00000000-0008-0000-1E00-00000C000000}"/>
              </a:ext>
            </a:extLst>
          </xdr:cNvPr>
          <xdr:cNvSpPr>
            <a:spLocks noChangeAspect="1"/>
          </xdr:cNvSpPr>
        </xdr:nvSpPr>
        <xdr:spPr>
          <a:xfrm>
            <a:off x="3114675" y="0"/>
            <a:ext cx="1188720"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Depreciation Extraction</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109168</xdr:colOff>
      <xdr:row>0</xdr:row>
      <xdr:rowOff>731520</xdr:rowOff>
    </xdr:to>
    <xdr:grpSp>
      <xdr:nvGrpSpPr>
        <xdr:cNvPr id="7" name="Group 6">
          <a:extLst>
            <a:ext uri="{FF2B5EF4-FFF2-40B4-BE49-F238E27FC236}">
              <a16:creationId xmlns:a16="http://schemas.microsoft.com/office/drawing/2014/main" id="{00000000-0008-0000-1F00-000007000000}"/>
            </a:ext>
          </a:extLst>
        </xdr:cNvPr>
        <xdr:cNvGrpSpPr>
          <a:grpSpLocks noChangeAspect="1"/>
        </xdr:cNvGrpSpPr>
      </xdr:nvGrpSpPr>
      <xdr:grpSpPr>
        <a:xfrm>
          <a:off x="0" y="0"/>
          <a:ext cx="8005393" cy="731520"/>
          <a:chOff x="0" y="0"/>
          <a:chExt cx="7984226" cy="731520"/>
        </a:xfrm>
      </xdr:grpSpPr>
      <xdr:sp macro="[0]!GoTo_Main" textlink="">
        <xdr:nvSpPr>
          <xdr:cNvPr id="3" name="Rounded Rectangle 2">
            <a:extLst>
              <a:ext uri="{FF2B5EF4-FFF2-40B4-BE49-F238E27FC236}">
                <a16:creationId xmlns:a16="http://schemas.microsoft.com/office/drawing/2014/main" id="{00000000-0008-0000-1F00-000003000000}"/>
              </a:ext>
            </a:extLst>
          </xdr:cNvPr>
          <xdr:cNvSpPr>
            <a:spLocks noChangeAspect="1"/>
          </xdr:cNvSpPr>
        </xdr:nvSpPr>
        <xdr:spPr>
          <a:xfrm>
            <a:off x="0" y="0"/>
            <a:ext cx="913439"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CostBuildingRCN_Table" textlink="">
        <xdr:nvSpPr>
          <xdr:cNvPr id="4" name="Rounded Rectangle 3">
            <a:extLst>
              <a:ext uri="{FF2B5EF4-FFF2-40B4-BE49-F238E27FC236}">
                <a16:creationId xmlns:a16="http://schemas.microsoft.com/office/drawing/2014/main" id="{00000000-0008-0000-1F00-000004000000}"/>
              </a:ext>
            </a:extLst>
          </xdr:cNvPr>
          <xdr:cNvSpPr>
            <a:spLocks noChangeAspect="1"/>
          </xdr:cNvSpPr>
        </xdr:nvSpPr>
        <xdr:spPr>
          <a:xfrm>
            <a:off x="961044" y="0"/>
            <a:ext cx="912988"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Building RCN</a:t>
            </a:r>
          </a:p>
        </xdr:txBody>
      </xdr:sp>
      <xdr:sp macro="[0]!GoTo_CostApproach_Table" textlink="">
        <xdr:nvSpPr>
          <xdr:cNvPr id="5" name="Rounded Rectangle 4">
            <a:extLst>
              <a:ext uri="{FF2B5EF4-FFF2-40B4-BE49-F238E27FC236}">
                <a16:creationId xmlns:a16="http://schemas.microsoft.com/office/drawing/2014/main" id="{00000000-0008-0000-1F00-000005000000}"/>
              </a:ext>
            </a:extLst>
          </xdr:cNvPr>
          <xdr:cNvSpPr>
            <a:spLocks noChangeAspect="1"/>
          </xdr:cNvSpPr>
        </xdr:nvSpPr>
        <xdr:spPr>
          <a:xfrm>
            <a:off x="4105316" y="0"/>
            <a:ext cx="913439"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Cost Schedule</a:t>
            </a:r>
          </a:p>
        </xdr:txBody>
      </xdr:sp>
      <xdr:sp macro="[0]!GoTo_InsurableCost_Table" textlink="">
        <xdr:nvSpPr>
          <xdr:cNvPr id="6" name="Rounded Rectangle 5">
            <a:extLst>
              <a:ext uri="{FF2B5EF4-FFF2-40B4-BE49-F238E27FC236}">
                <a16:creationId xmlns:a16="http://schemas.microsoft.com/office/drawing/2014/main" id="{00000000-0008-0000-1F00-000006000000}"/>
              </a:ext>
            </a:extLst>
          </xdr:cNvPr>
          <xdr:cNvSpPr>
            <a:spLocks noChangeAspect="1"/>
          </xdr:cNvSpPr>
        </xdr:nvSpPr>
        <xdr:spPr>
          <a:xfrm>
            <a:off x="5056827" y="0"/>
            <a:ext cx="1004782"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Insurable</a:t>
            </a:r>
            <a:r>
              <a:rPr lang="en-US" sz="1200" b="1" baseline="0">
                <a:latin typeface="Segoe UI" panose="020B0502040204020203" pitchFamily="34" charset="0"/>
                <a:cs typeface="Segoe UI" panose="020B0502040204020203" pitchFamily="34" charset="0"/>
              </a:rPr>
              <a:t> Cost</a:t>
            </a:r>
            <a:endParaRPr lang="en-US" sz="1200" b="1">
              <a:latin typeface="Segoe UI" panose="020B0502040204020203" pitchFamily="34" charset="0"/>
              <a:cs typeface="Segoe UI" panose="020B0502040204020203" pitchFamily="34" charset="0"/>
            </a:endParaRPr>
          </a:p>
        </xdr:txBody>
      </xdr:sp>
      <xdr:sp macro="[0]!GoTo_CostOtherRCN" textlink="">
        <xdr:nvSpPr>
          <xdr:cNvPr id="9" name="Rounded Rectangle 8">
            <a:extLst>
              <a:ext uri="{FF2B5EF4-FFF2-40B4-BE49-F238E27FC236}">
                <a16:creationId xmlns:a16="http://schemas.microsoft.com/office/drawing/2014/main" id="{00000000-0008-0000-1F00-000009000000}"/>
              </a:ext>
            </a:extLst>
          </xdr:cNvPr>
          <xdr:cNvSpPr>
            <a:spLocks noChangeAspect="1"/>
          </xdr:cNvSpPr>
        </xdr:nvSpPr>
        <xdr:spPr>
          <a:xfrm>
            <a:off x="1909453" y="0"/>
            <a:ext cx="913439"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Other RCN</a:t>
            </a:r>
          </a:p>
        </xdr:txBody>
      </xdr:sp>
      <xdr:sp macro="[0]!GoTo_CostDepreciation_Table" textlink="">
        <xdr:nvSpPr>
          <xdr:cNvPr id="8" name="Rounded Rectangle 7">
            <a:extLst>
              <a:ext uri="{FF2B5EF4-FFF2-40B4-BE49-F238E27FC236}">
                <a16:creationId xmlns:a16="http://schemas.microsoft.com/office/drawing/2014/main" id="{00000000-0008-0000-1F00-000008000000}"/>
              </a:ext>
            </a:extLst>
          </xdr:cNvPr>
          <xdr:cNvSpPr>
            <a:spLocks noChangeAspect="1"/>
          </xdr:cNvSpPr>
        </xdr:nvSpPr>
        <xdr:spPr>
          <a:xfrm>
            <a:off x="2857501" y="0"/>
            <a:ext cx="1213692"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Depreciation Calculations</a:t>
            </a:r>
          </a:p>
        </xdr:txBody>
      </xdr:sp>
      <xdr:sp macro="[0]!Update_CostDepreciationExtraction" textlink="">
        <xdr:nvSpPr>
          <xdr:cNvPr id="10" name="Rounded Rectangle 9">
            <a:extLst>
              <a:ext uri="{FF2B5EF4-FFF2-40B4-BE49-F238E27FC236}">
                <a16:creationId xmlns:a16="http://schemas.microsoft.com/office/drawing/2014/main" id="{00000000-0008-0000-1F00-00000A000000}"/>
              </a:ext>
            </a:extLst>
          </xdr:cNvPr>
          <xdr:cNvSpPr>
            <a:spLocks noChangeAspect="1"/>
          </xdr:cNvSpPr>
        </xdr:nvSpPr>
        <xdr:spPr>
          <a:xfrm>
            <a:off x="6106582"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a:t>
            </a:r>
          </a:p>
        </xdr:txBody>
      </xdr:sp>
      <xdr:sp macro="[0]!Default_CostDepreciationExtraction" textlink="">
        <xdr:nvSpPr>
          <xdr:cNvPr id="12" name="Rounded Rectangle 11">
            <a:extLst>
              <a:ext uri="{FF2B5EF4-FFF2-40B4-BE49-F238E27FC236}">
                <a16:creationId xmlns:a16="http://schemas.microsoft.com/office/drawing/2014/main" id="{00000000-0008-0000-1F00-00000C000000}"/>
              </a:ext>
            </a:extLst>
          </xdr:cNvPr>
          <xdr:cNvSpPr>
            <a:spLocks noChangeAspect="1"/>
          </xdr:cNvSpPr>
        </xdr:nvSpPr>
        <xdr:spPr>
          <a:xfrm>
            <a:off x="7069664" y="0"/>
            <a:ext cx="914562"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grpSp>
    <xdr:clientData/>
  </xdr:twoCellAnchor>
  <xdr:twoCellAnchor editAs="absolute">
    <xdr:from>
      <xdr:col>13</xdr:col>
      <xdr:colOff>206375</xdr:colOff>
      <xdr:row>0</xdr:row>
      <xdr:rowOff>42333</xdr:rowOff>
    </xdr:from>
    <xdr:to>
      <xdr:col>24</xdr:col>
      <xdr:colOff>437537</xdr:colOff>
      <xdr:row>3</xdr:row>
      <xdr:rowOff>105833</xdr:rowOff>
    </xdr:to>
    <xdr:sp macro="" textlink="">
      <xdr:nvSpPr>
        <xdr:cNvPr id="13" name="TextBox 12">
          <a:hlinkClick xmlns:r="http://schemas.openxmlformats.org/officeDocument/2006/relationships" r:id="rId1"/>
          <a:extLst>
            <a:ext uri="{FF2B5EF4-FFF2-40B4-BE49-F238E27FC236}">
              <a16:creationId xmlns:a16="http://schemas.microsoft.com/office/drawing/2014/main" id="{00000000-0008-0000-1F00-00000D000000}"/>
            </a:ext>
          </a:extLst>
        </xdr:cNvPr>
        <xdr:cNvSpPr txBox="1"/>
      </xdr:nvSpPr>
      <xdr:spPr>
        <a:xfrm>
          <a:off x="8794750" y="42333"/>
          <a:ext cx="6940995" cy="15134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Depreciation Extraction is an alternative method to the Age/Life Method</a:t>
          </a:r>
        </a:p>
        <a:p>
          <a:pPr algn="l" rtl="0">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The annual depreciation rate is extracted and estimated for the subjected property on this worksheet; the total depreciation calculation is then located on the Cost Depreciation worksheet (next to Age/Life)</a:t>
          </a:r>
        </a:p>
        <a:p>
          <a:pPr algn="l" rtl="0">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Use the table to the bottom to calculate RCN for each Sale Comp if it does not merge from Datappraise</a:t>
          </a:r>
        </a:p>
        <a:p>
          <a:pPr algn="l" rtl="0">
            <a:spcAft>
              <a:spcPts val="300"/>
            </a:spcAft>
          </a:pPr>
          <a:r>
            <a:rPr lang="en-US" sz="1000" b="1">
              <a:effectLst/>
              <a:latin typeface="Segoe UI" panose="020B0502040204020203" pitchFamily="34" charset="0"/>
              <a:cs typeface="Segoe UI" panose="020B0502040204020203" pitchFamily="34" charset="0"/>
            </a:rPr>
            <a:t>4. Press</a:t>
          </a:r>
          <a:r>
            <a:rPr lang="en-US" sz="1000" b="1" baseline="0">
              <a:effectLst/>
              <a:latin typeface="Segoe UI" panose="020B0502040204020203" pitchFamily="34" charset="0"/>
              <a:cs typeface="Segoe UI" panose="020B0502040204020203" pitchFamily="34" charset="0"/>
            </a:rPr>
            <a:t> "Update" Button when complete - removes background colors, hides rows/columns &amp; sets print area</a:t>
          </a:r>
        </a:p>
        <a:p>
          <a:pPr algn="l" rtl="0">
            <a:spcAft>
              <a:spcPts val="300"/>
            </a:spcAft>
          </a:pPr>
          <a:r>
            <a:rPr lang="en-US" sz="1000" b="1">
              <a:effectLst/>
              <a:latin typeface="Segoe UI" panose="020B0502040204020203" pitchFamily="34" charset="0"/>
              <a:cs typeface="Segoe UI" panose="020B0502040204020203" pitchFamily="34" charset="0"/>
            </a:rPr>
            <a:t>5. Press "Default" Button to add</a:t>
          </a:r>
          <a:r>
            <a:rPr lang="en-US" sz="1000" b="1" baseline="0">
              <a:effectLst/>
              <a:latin typeface="Segoe UI" panose="020B0502040204020203" pitchFamily="34" charset="0"/>
              <a:cs typeface="Segoe UI" panose="020B0502040204020203" pitchFamily="34" charset="0"/>
            </a:rPr>
            <a:t> background colors &amp; unhide all rows to modify prior inputs</a:t>
          </a:r>
        </a:p>
        <a:p>
          <a:pPr algn="l" rtl="0">
            <a:spcAft>
              <a:spcPts val="300"/>
            </a:spcAft>
          </a:pPr>
          <a:r>
            <a:rPr lang="en-US" sz="1000" b="1" u="sng" baseline="0">
              <a:solidFill>
                <a:srgbClr val="0000FF"/>
              </a:solidFill>
              <a:effectLst/>
              <a:latin typeface="Segoe UI" panose="020B0502040204020203" pitchFamily="34" charset="0"/>
              <a:cs typeface="Segoe UI" panose="020B0502040204020203" pitchFamily="34" charset="0"/>
            </a:rPr>
            <a:t>User Guide</a:t>
          </a:r>
          <a:endParaRPr lang="en-US" sz="1000" b="1" u="sng">
            <a:solidFill>
              <a:srgbClr val="0000FF"/>
            </a:solidFill>
            <a:effectLst/>
            <a:latin typeface="Segoe UI" panose="020B0502040204020203" pitchFamily="34" charset="0"/>
            <a:cs typeface="Segoe UI" panose="020B0502040204020203" pitchFamily="34" charset="0"/>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14</xdr:col>
      <xdr:colOff>498476</xdr:colOff>
      <xdr:row>0</xdr:row>
      <xdr:rowOff>37040</xdr:rowOff>
    </xdr:from>
    <xdr:to>
      <xdr:col>34</xdr:col>
      <xdr:colOff>13759</xdr:colOff>
      <xdr:row>3</xdr:row>
      <xdr:rowOff>41275</xdr:rowOff>
    </xdr:to>
    <xdr:sp macro="" textlink="">
      <xdr:nvSpPr>
        <xdr:cNvPr id="11" name="TextBox 10">
          <a:hlinkClick xmlns:r="http://schemas.openxmlformats.org/officeDocument/2006/relationships" r:id="rId1"/>
          <a:extLst>
            <a:ext uri="{FF2B5EF4-FFF2-40B4-BE49-F238E27FC236}">
              <a16:creationId xmlns:a16="http://schemas.microsoft.com/office/drawing/2014/main" id="{00000000-0008-0000-2000-00000B000000}"/>
            </a:ext>
          </a:extLst>
        </xdr:cNvPr>
        <xdr:cNvSpPr txBox="1"/>
      </xdr:nvSpPr>
      <xdr:spPr>
        <a:xfrm>
          <a:off x="9248776" y="37040"/>
          <a:ext cx="6753224" cy="11662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Curable &amp; Incurable Calculations are located on this sheet (short-lived depreciation is optional)</a:t>
          </a:r>
        </a:p>
        <a:p>
          <a:pPr algn="l" rtl="0">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User inputs in cells with white background only</a:t>
          </a:r>
        </a:p>
        <a:p>
          <a:pPr algn="l" rtl="0">
            <a:spcAft>
              <a:spcPts val="300"/>
            </a:spcAft>
          </a:pPr>
          <a:r>
            <a:rPr lang="en-US" sz="1000" b="1">
              <a:effectLst/>
              <a:latin typeface="Segoe UI" panose="020B0502040204020203" pitchFamily="34" charset="0"/>
              <a:cs typeface="Segoe UI" panose="020B0502040204020203" pitchFamily="34" charset="0"/>
            </a:rPr>
            <a:t>3. Press</a:t>
          </a:r>
          <a:r>
            <a:rPr lang="en-US" sz="1000" b="1" baseline="0">
              <a:effectLst/>
              <a:latin typeface="Segoe UI" panose="020B0502040204020203" pitchFamily="34" charset="0"/>
              <a:cs typeface="Segoe UI" panose="020B0502040204020203" pitchFamily="34" charset="0"/>
            </a:rPr>
            <a:t> "Update" Button when complete - removes background colors, hides rows/columns &amp; sets print area</a:t>
          </a:r>
        </a:p>
        <a:p>
          <a:pPr algn="l" rtl="0">
            <a:spcAft>
              <a:spcPts val="300"/>
            </a:spcAft>
          </a:pPr>
          <a:r>
            <a:rPr lang="en-US" sz="1000" b="1">
              <a:effectLst/>
              <a:latin typeface="Segoe UI" panose="020B0502040204020203" pitchFamily="34" charset="0"/>
              <a:cs typeface="Segoe UI" panose="020B0502040204020203" pitchFamily="34" charset="0"/>
            </a:rPr>
            <a:t>4. Press "Default" Button to add</a:t>
          </a:r>
          <a:r>
            <a:rPr lang="en-US" sz="1000" b="1" baseline="0">
              <a:effectLst/>
              <a:latin typeface="Segoe UI" panose="020B0502040204020203" pitchFamily="34" charset="0"/>
              <a:cs typeface="Segoe UI" panose="020B0502040204020203" pitchFamily="34" charset="0"/>
            </a:rPr>
            <a:t> background colors &amp; unhide all rows to modify prior inputs</a:t>
          </a:r>
        </a:p>
        <a:p>
          <a:pPr algn="l" rtl="0">
            <a:spcAft>
              <a:spcPts val="300"/>
            </a:spcAft>
          </a:pPr>
          <a:r>
            <a:rPr lang="en-US" sz="1000" b="1" u="sng" baseline="0">
              <a:solidFill>
                <a:srgbClr val="0000FF"/>
              </a:solidFill>
              <a:effectLst/>
              <a:latin typeface="Segoe UI" panose="020B0502040204020203" pitchFamily="34" charset="0"/>
              <a:cs typeface="Segoe UI" panose="020B0502040204020203" pitchFamily="34" charset="0"/>
            </a:rPr>
            <a:t>User Guide</a:t>
          </a:r>
          <a:endParaRPr lang="en-US" sz="1000" b="1"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14</xdr:col>
      <xdr:colOff>436016</xdr:colOff>
      <xdr:row>0</xdr:row>
      <xdr:rowOff>731520</xdr:rowOff>
    </xdr:to>
    <xdr:grpSp>
      <xdr:nvGrpSpPr>
        <xdr:cNvPr id="2" name="Group 1">
          <a:extLst>
            <a:ext uri="{FF2B5EF4-FFF2-40B4-BE49-F238E27FC236}">
              <a16:creationId xmlns:a16="http://schemas.microsoft.com/office/drawing/2014/main" id="{00000000-0008-0000-2000-000002000000}"/>
            </a:ext>
          </a:extLst>
        </xdr:cNvPr>
        <xdr:cNvGrpSpPr/>
      </xdr:nvGrpSpPr>
      <xdr:grpSpPr>
        <a:xfrm>
          <a:off x="0" y="0"/>
          <a:ext cx="9179966" cy="731520"/>
          <a:chOff x="0" y="0"/>
          <a:chExt cx="9185257" cy="731520"/>
        </a:xfrm>
      </xdr:grpSpPr>
      <xdr:sp macro="[0]!GoTo_Main" textlink="">
        <xdr:nvSpPr>
          <xdr:cNvPr id="12" name="Rounded Rectangle 11">
            <a:extLst>
              <a:ext uri="{FF2B5EF4-FFF2-40B4-BE49-F238E27FC236}">
                <a16:creationId xmlns:a16="http://schemas.microsoft.com/office/drawing/2014/main" id="{00000000-0008-0000-2000-00000C000000}"/>
              </a:ext>
            </a:extLst>
          </xdr:cNvPr>
          <xdr:cNvSpPr>
            <a:spLocks noChangeAspect="1"/>
          </xdr:cNvSpPr>
        </xdr:nvSpPr>
        <xdr:spPr>
          <a:xfrm>
            <a:off x="0" y="0"/>
            <a:ext cx="914806"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CostBuildingRCN_Table" textlink="">
        <xdr:nvSpPr>
          <xdr:cNvPr id="13" name="Rounded Rectangle 12">
            <a:extLst>
              <a:ext uri="{FF2B5EF4-FFF2-40B4-BE49-F238E27FC236}">
                <a16:creationId xmlns:a16="http://schemas.microsoft.com/office/drawing/2014/main" id="{00000000-0008-0000-2000-00000D000000}"/>
              </a:ext>
            </a:extLst>
          </xdr:cNvPr>
          <xdr:cNvSpPr>
            <a:spLocks noChangeAspect="1"/>
          </xdr:cNvSpPr>
        </xdr:nvSpPr>
        <xdr:spPr>
          <a:xfrm>
            <a:off x="2209183" y="0"/>
            <a:ext cx="914354"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Building RCN</a:t>
            </a:r>
          </a:p>
        </xdr:txBody>
      </xdr:sp>
      <xdr:sp macro="[0]!GoTo_CostApproach_Table" textlink="">
        <xdr:nvSpPr>
          <xdr:cNvPr id="14" name="Rounded Rectangle 13">
            <a:extLst>
              <a:ext uri="{FF2B5EF4-FFF2-40B4-BE49-F238E27FC236}">
                <a16:creationId xmlns:a16="http://schemas.microsoft.com/office/drawing/2014/main" id="{00000000-0008-0000-2000-00000E000000}"/>
              </a:ext>
            </a:extLst>
          </xdr:cNvPr>
          <xdr:cNvSpPr>
            <a:spLocks noChangeAspect="1"/>
          </xdr:cNvSpPr>
        </xdr:nvSpPr>
        <xdr:spPr>
          <a:xfrm>
            <a:off x="5326984" y="0"/>
            <a:ext cx="914806"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Cost Schedule</a:t>
            </a:r>
          </a:p>
        </xdr:txBody>
      </xdr:sp>
      <xdr:sp macro="[0]!GoTo_InsurableCost_Table" textlink="">
        <xdr:nvSpPr>
          <xdr:cNvPr id="15" name="Rounded Rectangle 14">
            <a:extLst>
              <a:ext uri="{FF2B5EF4-FFF2-40B4-BE49-F238E27FC236}">
                <a16:creationId xmlns:a16="http://schemas.microsoft.com/office/drawing/2014/main" id="{00000000-0008-0000-2000-00000F000000}"/>
              </a:ext>
            </a:extLst>
          </xdr:cNvPr>
          <xdr:cNvSpPr>
            <a:spLocks noChangeAspect="1"/>
          </xdr:cNvSpPr>
        </xdr:nvSpPr>
        <xdr:spPr>
          <a:xfrm>
            <a:off x="6269319" y="0"/>
            <a:ext cx="1006287"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Insurable</a:t>
            </a:r>
            <a:r>
              <a:rPr lang="en-US" sz="1200" b="1" baseline="0">
                <a:latin typeface="Segoe UI" panose="020B0502040204020203" pitchFamily="34" charset="0"/>
                <a:cs typeface="Segoe UI" panose="020B0502040204020203" pitchFamily="34" charset="0"/>
              </a:rPr>
              <a:t> Cost</a:t>
            </a:r>
            <a:endParaRPr lang="en-US" sz="1200" b="1">
              <a:latin typeface="Segoe UI" panose="020B0502040204020203" pitchFamily="34" charset="0"/>
              <a:cs typeface="Segoe UI" panose="020B0502040204020203" pitchFamily="34" charset="0"/>
            </a:endParaRPr>
          </a:p>
        </xdr:txBody>
      </xdr:sp>
      <xdr:sp macro="[0]!Update_DepreciationCostTables" textlink="">
        <xdr:nvSpPr>
          <xdr:cNvPr id="16" name="Rounded Rectangle 15">
            <a:extLst>
              <a:ext uri="{FF2B5EF4-FFF2-40B4-BE49-F238E27FC236}">
                <a16:creationId xmlns:a16="http://schemas.microsoft.com/office/drawing/2014/main" id="{00000000-0008-0000-2000-000010000000}"/>
              </a:ext>
            </a:extLst>
          </xdr:cNvPr>
          <xdr:cNvSpPr>
            <a:spLocks noChangeAspect="1"/>
          </xdr:cNvSpPr>
        </xdr:nvSpPr>
        <xdr:spPr>
          <a:xfrm>
            <a:off x="7317539" y="0"/>
            <a:ext cx="91480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DepreciationCostTables" textlink="">
        <xdr:nvSpPr>
          <xdr:cNvPr id="17" name="Rounded Rectangle 16">
            <a:extLst>
              <a:ext uri="{FF2B5EF4-FFF2-40B4-BE49-F238E27FC236}">
                <a16:creationId xmlns:a16="http://schemas.microsoft.com/office/drawing/2014/main" id="{00000000-0008-0000-2000-000011000000}"/>
              </a:ext>
            </a:extLst>
          </xdr:cNvPr>
          <xdr:cNvSpPr>
            <a:spLocks noChangeAspect="1"/>
          </xdr:cNvSpPr>
        </xdr:nvSpPr>
        <xdr:spPr>
          <a:xfrm>
            <a:off x="8270451" y="0"/>
            <a:ext cx="91480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GoTo_CostOtherRCN" textlink="">
        <xdr:nvSpPr>
          <xdr:cNvPr id="10" name="Rounded Rectangle 9">
            <a:extLst>
              <a:ext uri="{FF2B5EF4-FFF2-40B4-BE49-F238E27FC236}">
                <a16:creationId xmlns:a16="http://schemas.microsoft.com/office/drawing/2014/main" id="{00000000-0008-0000-2000-00000A000000}"/>
              </a:ext>
            </a:extLst>
          </xdr:cNvPr>
          <xdr:cNvSpPr>
            <a:spLocks noChangeAspect="1"/>
          </xdr:cNvSpPr>
        </xdr:nvSpPr>
        <xdr:spPr>
          <a:xfrm>
            <a:off x="3159012" y="0"/>
            <a:ext cx="914806"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Other RCN</a:t>
            </a:r>
          </a:p>
        </xdr:txBody>
      </xdr:sp>
      <xdr:sp macro="[0]!GoTo_CostMarketExtraction_Table" textlink="">
        <xdr:nvSpPr>
          <xdr:cNvPr id="19" name="Rounded Rectangle 18">
            <a:extLst>
              <a:ext uri="{FF2B5EF4-FFF2-40B4-BE49-F238E27FC236}">
                <a16:creationId xmlns:a16="http://schemas.microsoft.com/office/drawing/2014/main" id="{00000000-0008-0000-2000-000013000000}"/>
              </a:ext>
            </a:extLst>
          </xdr:cNvPr>
          <xdr:cNvSpPr>
            <a:spLocks noChangeAspect="1"/>
          </xdr:cNvSpPr>
        </xdr:nvSpPr>
        <xdr:spPr>
          <a:xfrm>
            <a:off x="4106036" y="0"/>
            <a:ext cx="1189038"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Depreciation Extraction</a:t>
            </a:r>
          </a:p>
        </xdr:txBody>
      </xdr:sp>
      <xdr:sp macro="[0]!ShowUserFormTemplateAssumptions" textlink="">
        <xdr:nvSpPr>
          <xdr:cNvPr id="20" name="Rounded Rectangle 19">
            <a:extLst>
              <a:ext uri="{FF2B5EF4-FFF2-40B4-BE49-F238E27FC236}">
                <a16:creationId xmlns:a16="http://schemas.microsoft.com/office/drawing/2014/main" id="{00000000-0008-0000-2000-000014000000}"/>
              </a:ext>
            </a:extLst>
          </xdr:cNvPr>
          <xdr:cNvSpPr>
            <a:spLocks noChangeAspect="1"/>
          </xdr:cNvSpPr>
        </xdr:nvSpPr>
        <xdr:spPr>
          <a:xfrm>
            <a:off x="962025" y="0"/>
            <a:ext cx="121371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a:t>
            </a:r>
            <a:r>
              <a:rPr lang="en-US" sz="1200" b="1" baseline="0">
                <a:solidFill>
                  <a:srgbClr val="1F497D"/>
                </a:solidFill>
                <a:latin typeface="Segoe UI" panose="020B0502040204020203" pitchFamily="34" charset="0"/>
                <a:cs typeface="Segoe UI" panose="020B0502040204020203" pitchFamily="34" charset="0"/>
              </a:rPr>
              <a:t> Assumptions</a:t>
            </a:r>
            <a:endParaRPr lang="en-US" sz="1200" b="1">
              <a:solidFill>
                <a:srgbClr val="1F497D"/>
              </a:solidFill>
              <a:latin typeface="Segoe UI" panose="020B0502040204020203" pitchFamily="34" charset="0"/>
              <a:cs typeface="Segoe UI" panose="020B0502040204020203" pitchFamily="34" charset="0"/>
            </a:endParaRPr>
          </a:p>
        </xdr:txBody>
      </xdr:sp>
    </xdr:grpSp>
    <xdr:clientData/>
  </xdr:twoCellAnchor>
</xdr:wsDr>
</file>

<file path=xl/drawings/drawing23.xml><?xml version="1.0" encoding="utf-8"?>
<xdr:wsDr xmlns:xdr="http://schemas.openxmlformats.org/drawingml/2006/spreadsheetDrawing" xmlns:a="http://schemas.openxmlformats.org/drawingml/2006/main">
  <xdr:twoCellAnchor editAs="absolute">
    <xdr:from>
      <xdr:col>16</xdr:col>
      <xdr:colOff>887942</xdr:colOff>
      <xdr:row>0</xdr:row>
      <xdr:rowOff>79377</xdr:rowOff>
    </xdr:from>
    <xdr:to>
      <xdr:col>28</xdr:col>
      <xdr:colOff>397933</xdr:colOff>
      <xdr:row>3</xdr:row>
      <xdr:rowOff>95250</xdr:rowOff>
    </xdr:to>
    <xdr:sp macro="" textlink="">
      <xdr:nvSpPr>
        <xdr:cNvPr id="9" name="TextBox 8">
          <a:hlinkClick xmlns:r="http://schemas.openxmlformats.org/officeDocument/2006/relationships" r:id="rId1"/>
          <a:extLst>
            <a:ext uri="{FF2B5EF4-FFF2-40B4-BE49-F238E27FC236}">
              <a16:creationId xmlns:a16="http://schemas.microsoft.com/office/drawing/2014/main" id="{00000000-0008-0000-2100-000009000000}"/>
            </a:ext>
          </a:extLst>
        </xdr:cNvPr>
        <xdr:cNvSpPr txBox="1"/>
      </xdr:nvSpPr>
      <xdr:spPr>
        <a:xfrm>
          <a:off x="10956925" y="79377"/>
          <a:ext cx="6841066" cy="114829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a:r>
            <a:rPr lang="en-US" sz="1000" b="1" i="0" baseline="0">
              <a:solidFill>
                <a:schemeClr val="dk1"/>
              </a:solidFill>
              <a:effectLst/>
              <a:latin typeface="Segoe UI" panose="020B0502040204020203" pitchFamily="34" charset="0"/>
              <a:ea typeface="+mn-ea"/>
              <a:cs typeface="Segoe UI" panose="020B0502040204020203" pitchFamily="34" charset="0"/>
            </a:rPr>
            <a:t>1. User inputs in cells with white background only </a:t>
          </a:r>
          <a:endParaRPr lang="en-US" sz="1000" b="1">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2.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sets site improment formatting,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 "Default" Button to add</a:t>
          </a:r>
          <a:r>
            <a:rPr lang="en-US" sz="1000" b="1" baseline="0">
              <a:solidFill>
                <a:schemeClr val="dk1"/>
              </a:solidFill>
              <a:effectLst/>
              <a:latin typeface="Segoe UI" panose="020B0502040204020203" pitchFamily="34" charset="0"/>
              <a:ea typeface="+mn-ea"/>
              <a:cs typeface="Segoe UI" panose="020B0502040204020203" pitchFamily="34" charset="0"/>
            </a:rPr>
            <a:t> background colors &amp; unhide all rows to modify prior inputs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16</xdr:col>
      <xdr:colOff>672060</xdr:colOff>
      <xdr:row>0</xdr:row>
      <xdr:rowOff>731520</xdr:rowOff>
    </xdr:to>
    <xdr:grpSp>
      <xdr:nvGrpSpPr>
        <xdr:cNvPr id="2" name="Group 1">
          <a:extLst>
            <a:ext uri="{FF2B5EF4-FFF2-40B4-BE49-F238E27FC236}">
              <a16:creationId xmlns:a16="http://schemas.microsoft.com/office/drawing/2014/main" id="{00000000-0008-0000-2100-000002000000}"/>
            </a:ext>
          </a:extLst>
        </xdr:cNvPr>
        <xdr:cNvGrpSpPr/>
      </xdr:nvGrpSpPr>
      <xdr:grpSpPr>
        <a:xfrm>
          <a:off x="0" y="0"/>
          <a:ext cx="10730460" cy="731520"/>
          <a:chOff x="0" y="0"/>
          <a:chExt cx="10741043" cy="731520"/>
        </a:xfrm>
      </xdr:grpSpPr>
      <xdr:sp macro="[0]!GoTo_Main" textlink="">
        <xdr:nvSpPr>
          <xdr:cNvPr id="14" name="Rounded Rectangle 13">
            <a:extLst>
              <a:ext uri="{FF2B5EF4-FFF2-40B4-BE49-F238E27FC236}">
                <a16:creationId xmlns:a16="http://schemas.microsoft.com/office/drawing/2014/main" id="{00000000-0008-0000-2100-00000E000000}"/>
              </a:ext>
            </a:extLst>
          </xdr:cNvPr>
          <xdr:cNvSpPr>
            <a:spLocks noChangeAspect="1"/>
          </xdr:cNvSpPr>
        </xdr:nvSpPr>
        <xdr:spPr>
          <a:xfrm>
            <a:off x="0" y="0"/>
            <a:ext cx="934544"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ShowUserFormTemplateAssumptions" textlink="">
        <xdr:nvSpPr>
          <xdr:cNvPr id="15" name="Rounded Rectangle 14">
            <a:extLst>
              <a:ext uri="{FF2B5EF4-FFF2-40B4-BE49-F238E27FC236}">
                <a16:creationId xmlns:a16="http://schemas.microsoft.com/office/drawing/2014/main" id="{00000000-0008-0000-2100-00000F000000}"/>
              </a:ext>
            </a:extLst>
          </xdr:cNvPr>
          <xdr:cNvSpPr>
            <a:spLocks noChangeAspect="1"/>
          </xdr:cNvSpPr>
        </xdr:nvSpPr>
        <xdr:spPr>
          <a:xfrm>
            <a:off x="2121082" y="0"/>
            <a:ext cx="1214907"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a:t>
            </a:r>
            <a:r>
              <a:rPr lang="en-US" sz="1200" b="1" baseline="0">
                <a:solidFill>
                  <a:srgbClr val="1F497D"/>
                </a:solidFill>
                <a:latin typeface="Segoe UI" panose="020B0502040204020203" pitchFamily="34" charset="0"/>
                <a:cs typeface="Segoe UI" panose="020B0502040204020203" pitchFamily="34" charset="0"/>
              </a:rPr>
              <a:t> Assumptions</a:t>
            </a:r>
            <a:endParaRPr lang="en-US" sz="1200" b="1">
              <a:solidFill>
                <a:srgbClr val="1F497D"/>
              </a:solidFill>
              <a:latin typeface="Segoe UI" panose="020B0502040204020203" pitchFamily="34" charset="0"/>
              <a:cs typeface="Segoe UI" panose="020B0502040204020203" pitchFamily="34" charset="0"/>
            </a:endParaRPr>
          </a:p>
        </xdr:txBody>
      </xdr:sp>
      <xdr:sp macro="[0]!GoTo_ValueIndications_Table" textlink="">
        <xdr:nvSpPr>
          <xdr:cNvPr id="16" name="Rounded Rectangle 15">
            <a:extLst>
              <a:ext uri="{FF2B5EF4-FFF2-40B4-BE49-F238E27FC236}">
                <a16:creationId xmlns:a16="http://schemas.microsoft.com/office/drawing/2014/main" id="{00000000-0008-0000-2100-000010000000}"/>
              </a:ext>
            </a:extLst>
          </xdr:cNvPr>
          <xdr:cNvSpPr>
            <a:spLocks noChangeAspect="1"/>
          </xdr:cNvSpPr>
        </xdr:nvSpPr>
        <xdr:spPr>
          <a:xfrm>
            <a:off x="962667" y="0"/>
            <a:ext cx="1121452"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sp macro="[0]!GoTo_CostBuildingRCN_Table" textlink="">
        <xdr:nvSpPr>
          <xdr:cNvPr id="17" name="Rounded Rectangle 16">
            <a:extLst>
              <a:ext uri="{FF2B5EF4-FFF2-40B4-BE49-F238E27FC236}">
                <a16:creationId xmlns:a16="http://schemas.microsoft.com/office/drawing/2014/main" id="{00000000-0008-0000-2100-000011000000}"/>
              </a:ext>
            </a:extLst>
          </xdr:cNvPr>
          <xdr:cNvSpPr>
            <a:spLocks noChangeAspect="1"/>
          </xdr:cNvSpPr>
        </xdr:nvSpPr>
        <xdr:spPr>
          <a:xfrm>
            <a:off x="3377909" y="0"/>
            <a:ext cx="932760"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Building RCN</a:t>
            </a:r>
          </a:p>
        </xdr:txBody>
      </xdr:sp>
      <xdr:sp macro="[0]!GoTo_CostDepreciation_Table" textlink="">
        <xdr:nvSpPr>
          <xdr:cNvPr id="18" name="Rounded Rectangle 17">
            <a:extLst>
              <a:ext uri="{FF2B5EF4-FFF2-40B4-BE49-F238E27FC236}">
                <a16:creationId xmlns:a16="http://schemas.microsoft.com/office/drawing/2014/main" id="{00000000-0008-0000-2100-000012000000}"/>
              </a:ext>
            </a:extLst>
          </xdr:cNvPr>
          <xdr:cNvSpPr>
            <a:spLocks noChangeAspect="1"/>
          </xdr:cNvSpPr>
        </xdr:nvSpPr>
        <xdr:spPr>
          <a:xfrm>
            <a:off x="5560416" y="0"/>
            <a:ext cx="1214907"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Depreciation Calculations</a:t>
            </a:r>
          </a:p>
        </xdr:txBody>
      </xdr:sp>
      <xdr:sp macro="[0]!GoTo_InsurableCost_Table" textlink="">
        <xdr:nvSpPr>
          <xdr:cNvPr id="19" name="Rounded Rectangle 18">
            <a:extLst>
              <a:ext uri="{FF2B5EF4-FFF2-40B4-BE49-F238E27FC236}">
                <a16:creationId xmlns:a16="http://schemas.microsoft.com/office/drawing/2014/main" id="{00000000-0008-0000-2100-000013000000}"/>
              </a:ext>
            </a:extLst>
          </xdr:cNvPr>
          <xdr:cNvSpPr>
            <a:spLocks noChangeAspect="1"/>
          </xdr:cNvSpPr>
        </xdr:nvSpPr>
        <xdr:spPr>
          <a:xfrm>
            <a:off x="7762196" y="0"/>
            <a:ext cx="1027998"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Insurable</a:t>
            </a:r>
            <a:r>
              <a:rPr lang="en-US" sz="1200" b="1" baseline="0">
                <a:latin typeface="Segoe UI" panose="020B0502040204020203" pitchFamily="34" charset="0"/>
                <a:cs typeface="Segoe UI" panose="020B0502040204020203" pitchFamily="34" charset="0"/>
              </a:rPr>
              <a:t> Cost</a:t>
            </a:r>
            <a:endParaRPr lang="en-US" sz="1200" b="1">
              <a:latin typeface="Segoe UI" panose="020B0502040204020203" pitchFamily="34" charset="0"/>
              <a:cs typeface="Segoe UI" panose="020B0502040204020203" pitchFamily="34" charset="0"/>
            </a:endParaRPr>
          </a:p>
        </xdr:txBody>
      </xdr:sp>
      <xdr:sp macro="[0]!Update_CostApproachTable" textlink="">
        <xdr:nvSpPr>
          <xdr:cNvPr id="20" name="Rounded Rectangle 19">
            <a:extLst>
              <a:ext uri="{FF2B5EF4-FFF2-40B4-BE49-F238E27FC236}">
                <a16:creationId xmlns:a16="http://schemas.microsoft.com/office/drawing/2014/main" id="{00000000-0008-0000-2100-000014000000}"/>
              </a:ext>
            </a:extLst>
          </xdr:cNvPr>
          <xdr:cNvSpPr>
            <a:spLocks noChangeAspect="1"/>
          </xdr:cNvSpPr>
        </xdr:nvSpPr>
        <xdr:spPr>
          <a:xfrm>
            <a:off x="8833025" y="0"/>
            <a:ext cx="934544"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CostApproachTable" textlink="">
        <xdr:nvSpPr>
          <xdr:cNvPr id="21" name="Rounded Rectangle 20">
            <a:extLst>
              <a:ext uri="{FF2B5EF4-FFF2-40B4-BE49-F238E27FC236}">
                <a16:creationId xmlns:a16="http://schemas.microsoft.com/office/drawing/2014/main" id="{00000000-0008-0000-2100-000015000000}"/>
              </a:ext>
            </a:extLst>
          </xdr:cNvPr>
          <xdr:cNvSpPr>
            <a:spLocks noChangeAspect="1"/>
          </xdr:cNvSpPr>
        </xdr:nvSpPr>
        <xdr:spPr>
          <a:xfrm>
            <a:off x="9806499" y="0"/>
            <a:ext cx="934544"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GoTo_CostOtherRCN" textlink="">
        <xdr:nvSpPr>
          <xdr:cNvPr id="13" name="Rounded Rectangle 12">
            <a:extLst>
              <a:ext uri="{FF2B5EF4-FFF2-40B4-BE49-F238E27FC236}">
                <a16:creationId xmlns:a16="http://schemas.microsoft.com/office/drawing/2014/main" id="{00000000-0008-0000-2100-00000D000000}"/>
              </a:ext>
            </a:extLst>
          </xdr:cNvPr>
          <xdr:cNvSpPr>
            <a:spLocks noChangeAspect="1"/>
          </xdr:cNvSpPr>
        </xdr:nvSpPr>
        <xdr:spPr>
          <a:xfrm>
            <a:off x="6802338" y="0"/>
            <a:ext cx="932253"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Other RCN</a:t>
            </a:r>
          </a:p>
        </xdr:txBody>
      </xdr:sp>
      <xdr:sp macro="[0]!GoTo_CostMarketExtraction_Table" textlink="">
        <xdr:nvSpPr>
          <xdr:cNvPr id="23" name="Rounded Rectangle 22">
            <a:extLst>
              <a:ext uri="{FF2B5EF4-FFF2-40B4-BE49-F238E27FC236}">
                <a16:creationId xmlns:a16="http://schemas.microsoft.com/office/drawing/2014/main" id="{00000000-0008-0000-2100-000017000000}"/>
              </a:ext>
            </a:extLst>
          </xdr:cNvPr>
          <xdr:cNvSpPr>
            <a:spLocks noChangeAspect="1"/>
          </xdr:cNvSpPr>
        </xdr:nvSpPr>
        <xdr:spPr>
          <a:xfrm>
            <a:off x="4339167" y="0"/>
            <a:ext cx="1188720"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Depreciation Extraction</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13</xdr:col>
      <xdr:colOff>315383</xdr:colOff>
      <xdr:row>0</xdr:row>
      <xdr:rowOff>34925</xdr:rowOff>
    </xdr:from>
    <xdr:to>
      <xdr:col>25</xdr:col>
      <xdr:colOff>236008</xdr:colOff>
      <xdr:row>2</xdr:row>
      <xdr:rowOff>52917</xdr:rowOff>
    </xdr:to>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8686800" y="34925"/>
          <a:ext cx="6842125" cy="12668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Select Insurable Replacement Cost Only or Insurable Replacement Cost and Depreciated Replacement Cost</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User inputs in cells with white background only</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add</a:t>
          </a:r>
          <a:r>
            <a:rPr lang="en-US" sz="1000" b="1" baseline="0">
              <a:solidFill>
                <a:schemeClr val="dk1"/>
              </a:solidFill>
              <a:effectLst/>
              <a:latin typeface="Segoe UI" panose="020B0502040204020203" pitchFamily="34" charset="0"/>
              <a:ea typeface="+mn-ea"/>
              <a:cs typeface="Segoe UI" panose="020B0502040204020203" pitchFamily="34" charset="0"/>
            </a:rPr>
            <a:t> background colors &amp; unhide all rows to modify prior inputs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12</xdr:col>
      <xdr:colOff>684746</xdr:colOff>
      <xdr:row>0</xdr:row>
      <xdr:rowOff>731520</xdr:rowOff>
    </xdr:to>
    <xdr:grpSp>
      <xdr:nvGrpSpPr>
        <xdr:cNvPr id="2" name="Group 1">
          <a:extLst>
            <a:ext uri="{FF2B5EF4-FFF2-40B4-BE49-F238E27FC236}">
              <a16:creationId xmlns:a16="http://schemas.microsoft.com/office/drawing/2014/main" id="{00000000-0008-0000-2200-000002000000}"/>
            </a:ext>
          </a:extLst>
        </xdr:cNvPr>
        <xdr:cNvGrpSpPr>
          <a:grpSpLocks noChangeAspect="1"/>
        </xdr:cNvGrpSpPr>
      </xdr:nvGrpSpPr>
      <xdr:grpSpPr>
        <a:xfrm>
          <a:off x="0" y="0"/>
          <a:ext cx="8209496" cy="731520"/>
          <a:chOff x="0" y="0"/>
          <a:chExt cx="8201029" cy="731520"/>
        </a:xfrm>
      </xdr:grpSpPr>
      <xdr:sp macro="[0]!GoTo_Main" textlink="">
        <xdr:nvSpPr>
          <xdr:cNvPr id="12" name="Rounded Rectangle 11">
            <a:extLst>
              <a:ext uri="{FF2B5EF4-FFF2-40B4-BE49-F238E27FC236}">
                <a16:creationId xmlns:a16="http://schemas.microsoft.com/office/drawing/2014/main" id="{00000000-0008-0000-2200-00000C000000}"/>
              </a:ext>
            </a:extLst>
          </xdr:cNvPr>
          <xdr:cNvSpPr>
            <a:spLocks noChangeAspect="1"/>
          </xdr:cNvSpPr>
        </xdr:nvSpPr>
        <xdr:spPr>
          <a:xfrm>
            <a:off x="0" y="0"/>
            <a:ext cx="915057"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CostBuildingRCN_Table" textlink="">
        <xdr:nvSpPr>
          <xdr:cNvPr id="13" name="Rounded Rectangle 12">
            <a:extLst>
              <a:ext uri="{FF2B5EF4-FFF2-40B4-BE49-F238E27FC236}">
                <a16:creationId xmlns:a16="http://schemas.microsoft.com/office/drawing/2014/main" id="{00000000-0008-0000-2200-00000D000000}"/>
              </a:ext>
            </a:extLst>
          </xdr:cNvPr>
          <xdr:cNvSpPr>
            <a:spLocks noChangeAspect="1"/>
          </xdr:cNvSpPr>
        </xdr:nvSpPr>
        <xdr:spPr>
          <a:xfrm>
            <a:off x="952126" y="0"/>
            <a:ext cx="914400"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Building RCN</a:t>
            </a:r>
          </a:p>
        </xdr:txBody>
      </xdr:sp>
      <xdr:sp macro="[0]!GoTo_CostApproach_Table" textlink="">
        <xdr:nvSpPr>
          <xdr:cNvPr id="14" name="Rounded Rectangle 13">
            <a:extLst>
              <a:ext uri="{FF2B5EF4-FFF2-40B4-BE49-F238E27FC236}">
                <a16:creationId xmlns:a16="http://schemas.microsoft.com/office/drawing/2014/main" id="{00000000-0008-0000-2200-00000E000000}"/>
              </a:ext>
            </a:extLst>
          </xdr:cNvPr>
          <xdr:cNvSpPr>
            <a:spLocks noChangeAspect="1"/>
          </xdr:cNvSpPr>
        </xdr:nvSpPr>
        <xdr:spPr>
          <a:xfrm>
            <a:off x="2846365" y="0"/>
            <a:ext cx="1189574"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Depreciation Calculations</a:t>
            </a:r>
          </a:p>
        </xdr:txBody>
      </xdr:sp>
      <xdr:sp macro="[0]!GoTo_CostApproach_Table" textlink="">
        <xdr:nvSpPr>
          <xdr:cNvPr id="15" name="Rounded Rectangle 14">
            <a:extLst>
              <a:ext uri="{FF2B5EF4-FFF2-40B4-BE49-F238E27FC236}">
                <a16:creationId xmlns:a16="http://schemas.microsoft.com/office/drawing/2014/main" id="{00000000-0008-0000-2200-00000F000000}"/>
              </a:ext>
            </a:extLst>
          </xdr:cNvPr>
          <xdr:cNvSpPr>
            <a:spLocks noChangeAspect="1"/>
          </xdr:cNvSpPr>
        </xdr:nvSpPr>
        <xdr:spPr>
          <a:xfrm>
            <a:off x="5284283" y="0"/>
            <a:ext cx="1006562"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Cost</a:t>
            </a:r>
            <a:r>
              <a:rPr lang="en-US" sz="1200" b="1" baseline="0">
                <a:latin typeface="Segoe UI" panose="020B0502040204020203" pitchFamily="34" charset="0"/>
                <a:cs typeface="Segoe UI" panose="020B0502040204020203" pitchFamily="34" charset="0"/>
              </a:rPr>
              <a:t> Schedule</a:t>
            </a:r>
            <a:endParaRPr lang="en-US" sz="1200" b="1">
              <a:latin typeface="Segoe UI" panose="020B0502040204020203" pitchFamily="34" charset="0"/>
              <a:cs typeface="Segoe UI" panose="020B0502040204020203" pitchFamily="34" charset="0"/>
            </a:endParaRPr>
          </a:p>
        </xdr:txBody>
      </xdr:sp>
      <xdr:sp macro="[0]!Update_InsurableCostTable" textlink="">
        <xdr:nvSpPr>
          <xdr:cNvPr id="16" name="Rounded Rectangle 15">
            <a:extLst>
              <a:ext uri="{FF2B5EF4-FFF2-40B4-BE49-F238E27FC236}">
                <a16:creationId xmlns:a16="http://schemas.microsoft.com/office/drawing/2014/main" id="{00000000-0008-0000-2200-000010000000}"/>
              </a:ext>
            </a:extLst>
          </xdr:cNvPr>
          <xdr:cNvSpPr>
            <a:spLocks noChangeAspect="1"/>
          </xdr:cNvSpPr>
        </xdr:nvSpPr>
        <xdr:spPr>
          <a:xfrm>
            <a:off x="6332789" y="0"/>
            <a:ext cx="915057"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InsurableCostTable" textlink="">
        <xdr:nvSpPr>
          <xdr:cNvPr id="17" name="Rounded Rectangle 16">
            <a:extLst>
              <a:ext uri="{FF2B5EF4-FFF2-40B4-BE49-F238E27FC236}">
                <a16:creationId xmlns:a16="http://schemas.microsoft.com/office/drawing/2014/main" id="{00000000-0008-0000-2200-000011000000}"/>
              </a:ext>
            </a:extLst>
          </xdr:cNvPr>
          <xdr:cNvSpPr>
            <a:spLocks noChangeAspect="1"/>
          </xdr:cNvSpPr>
        </xdr:nvSpPr>
        <xdr:spPr>
          <a:xfrm>
            <a:off x="7285972" y="0"/>
            <a:ext cx="915057"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GoTo_CostOtherRCN" textlink="">
        <xdr:nvSpPr>
          <xdr:cNvPr id="18" name="Rounded Rectangle 17">
            <a:extLst>
              <a:ext uri="{FF2B5EF4-FFF2-40B4-BE49-F238E27FC236}">
                <a16:creationId xmlns:a16="http://schemas.microsoft.com/office/drawing/2014/main" id="{00000000-0008-0000-2200-000012000000}"/>
              </a:ext>
            </a:extLst>
          </xdr:cNvPr>
          <xdr:cNvSpPr>
            <a:spLocks noChangeAspect="1"/>
          </xdr:cNvSpPr>
        </xdr:nvSpPr>
        <xdr:spPr>
          <a:xfrm>
            <a:off x="1898979" y="0"/>
            <a:ext cx="914400"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Other RCN</a:t>
            </a:r>
          </a:p>
        </xdr:txBody>
      </xdr:sp>
      <xdr:sp macro="[0]!GoTo_CostMarketExtraction_Table" textlink="">
        <xdr:nvSpPr>
          <xdr:cNvPr id="19" name="Rounded Rectangle 18">
            <a:extLst>
              <a:ext uri="{FF2B5EF4-FFF2-40B4-BE49-F238E27FC236}">
                <a16:creationId xmlns:a16="http://schemas.microsoft.com/office/drawing/2014/main" id="{00000000-0008-0000-2200-000013000000}"/>
              </a:ext>
            </a:extLst>
          </xdr:cNvPr>
          <xdr:cNvSpPr>
            <a:spLocks noChangeAspect="1"/>
          </xdr:cNvSpPr>
        </xdr:nvSpPr>
        <xdr:spPr>
          <a:xfrm>
            <a:off x="4067175" y="0"/>
            <a:ext cx="1188720" cy="731520"/>
          </a:xfrm>
          <a:prstGeom prst="roundRect">
            <a:avLst/>
          </a:prstGeom>
          <a:solidFill>
            <a:schemeClr val="accent6">
              <a:lumMod val="50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Depreciation Extraction</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990815</xdr:colOff>
      <xdr:row>3</xdr:row>
      <xdr:rowOff>75406</xdr:rowOff>
    </xdr:to>
    <xdr:grpSp>
      <xdr:nvGrpSpPr>
        <xdr:cNvPr id="2" name="Group 1">
          <a:extLst>
            <a:ext uri="{FF2B5EF4-FFF2-40B4-BE49-F238E27FC236}">
              <a16:creationId xmlns:a16="http://schemas.microsoft.com/office/drawing/2014/main" id="{00000000-0008-0000-2300-000002000000}"/>
            </a:ext>
          </a:extLst>
        </xdr:cNvPr>
        <xdr:cNvGrpSpPr/>
      </xdr:nvGrpSpPr>
      <xdr:grpSpPr>
        <a:xfrm>
          <a:off x="0" y="0"/>
          <a:ext cx="8420315" cy="1523206"/>
          <a:chOff x="0" y="0"/>
          <a:chExt cx="8451144" cy="1527508"/>
        </a:xfrm>
      </xdr:grpSpPr>
      <xdr:sp macro="[0]!GoTo_Main" textlink="">
        <xdr:nvSpPr>
          <xdr:cNvPr id="3" name="Rounded Rectangle 2">
            <a:extLst>
              <a:ext uri="{FF2B5EF4-FFF2-40B4-BE49-F238E27FC236}">
                <a16:creationId xmlns:a16="http://schemas.microsoft.com/office/drawing/2014/main" id="{00000000-0008-0000-2300-000003000000}"/>
              </a:ext>
            </a:extLst>
          </xdr:cNvPr>
          <xdr:cNvSpPr>
            <a:spLocks noChangeAspect="1"/>
          </xdr:cNvSpPr>
        </xdr:nvSpPr>
        <xdr:spPr>
          <a:xfrm>
            <a:off x="0" y="0"/>
            <a:ext cx="913956"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LandSummaryDetail_Table" textlink="">
        <xdr:nvSpPr>
          <xdr:cNvPr id="4" name="Rounded Rectangle 3">
            <a:extLst>
              <a:ext uri="{FF2B5EF4-FFF2-40B4-BE49-F238E27FC236}">
                <a16:creationId xmlns:a16="http://schemas.microsoft.com/office/drawing/2014/main" id="{00000000-0008-0000-2300-000004000000}"/>
              </a:ext>
            </a:extLst>
          </xdr:cNvPr>
          <xdr:cNvSpPr>
            <a:spLocks noChangeAspect="1"/>
          </xdr:cNvSpPr>
        </xdr:nvSpPr>
        <xdr:spPr>
          <a:xfrm>
            <a:off x="3490805" y="0"/>
            <a:ext cx="1370933" cy="73152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Land Summary</a:t>
            </a:r>
            <a:r>
              <a:rPr lang="en-US" sz="1200" b="1" baseline="0">
                <a:latin typeface="Segoe UI" panose="020B0502040204020203" pitchFamily="34" charset="0"/>
                <a:cs typeface="Segoe UI" panose="020B0502040204020203" pitchFamily="34" charset="0"/>
              </a:rPr>
              <a:t> Detail</a:t>
            </a:r>
            <a:endParaRPr lang="en-US" sz="1200" b="1">
              <a:latin typeface="Segoe UI" panose="020B0502040204020203" pitchFamily="34" charset="0"/>
              <a:cs typeface="Segoe UI" panose="020B0502040204020203" pitchFamily="34" charset="0"/>
            </a:endParaRPr>
          </a:p>
        </xdr:txBody>
      </xdr:sp>
      <xdr:sp macro="[0]!GoTo_LandSummaryLight_Table" textlink="">
        <xdr:nvSpPr>
          <xdr:cNvPr id="5" name="Rounded Rectangle 4">
            <a:extLst>
              <a:ext uri="{FF2B5EF4-FFF2-40B4-BE49-F238E27FC236}">
                <a16:creationId xmlns:a16="http://schemas.microsoft.com/office/drawing/2014/main" id="{00000000-0008-0000-2300-000005000000}"/>
              </a:ext>
            </a:extLst>
          </xdr:cNvPr>
          <xdr:cNvSpPr>
            <a:spLocks noChangeAspect="1"/>
          </xdr:cNvSpPr>
        </xdr:nvSpPr>
        <xdr:spPr>
          <a:xfrm>
            <a:off x="2083904" y="0"/>
            <a:ext cx="1370933" cy="73152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Land Summary</a:t>
            </a:r>
            <a:r>
              <a:rPr lang="en-US" sz="1200" b="1" baseline="0">
                <a:latin typeface="Segoe UI" panose="020B0502040204020203" pitchFamily="34" charset="0"/>
                <a:cs typeface="Segoe UI" panose="020B0502040204020203" pitchFamily="34" charset="0"/>
              </a:rPr>
              <a:t> Light</a:t>
            </a:r>
            <a:endParaRPr lang="en-US" sz="1200" b="1">
              <a:latin typeface="Segoe UI" panose="020B0502040204020203" pitchFamily="34" charset="0"/>
              <a:cs typeface="Segoe UI" panose="020B0502040204020203" pitchFamily="34" charset="0"/>
            </a:endParaRPr>
          </a:p>
        </xdr:txBody>
      </xdr:sp>
      <xdr:sp macro="[0]!Update_LandAdjust_Grid_Bucket1" textlink="">
        <xdr:nvSpPr>
          <xdr:cNvPr id="6" name="Rounded Rectangle 5">
            <a:extLst>
              <a:ext uri="{FF2B5EF4-FFF2-40B4-BE49-F238E27FC236}">
                <a16:creationId xmlns:a16="http://schemas.microsoft.com/office/drawing/2014/main" id="{00000000-0008-0000-2300-000006000000}"/>
              </a:ext>
            </a:extLst>
          </xdr:cNvPr>
          <xdr:cNvSpPr>
            <a:spLocks noChangeAspect="1"/>
          </xdr:cNvSpPr>
        </xdr:nvSpPr>
        <xdr:spPr>
          <a:xfrm>
            <a:off x="6579615" y="795988"/>
            <a:ext cx="91395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a:t>
            </a:r>
          </a:p>
        </xdr:txBody>
      </xdr:sp>
      <xdr:sp macro="[0]!Default_LandAdjust_GridB1" textlink="">
        <xdr:nvSpPr>
          <xdr:cNvPr id="7" name="Rounded Rectangle 6">
            <a:extLst>
              <a:ext uri="{FF2B5EF4-FFF2-40B4-BE49-F238E27FC236}">
                <a16:creationId xmlns:a16="http://schemas.microsoft.com/office/drawing/2014/main" id="{00000000-0008-0000-2300-000007000000}"/>
              </a:ext>
            </a:extLst>
          </xdr:cNvPr>
          <xdr:cNvSpPr>
            <a:spLocks noChangeAspect="1"/>
          </xdr:cNvSpPr>
        </xdr:nvSpPr>
        <xdr:spPr>
          <a:xfrm>
            <a:off x="7531664" y="795988"/>
            <a:ext cx="91395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sp macro="[0]!ShowDialogLandAdjB1" textlink="">
        <xdr:nvSpPr>
          <xdr:cNvPr id="8" name="Rounded Rectangle 7">
            <a:extLst>
              <a:ext uri="{FF2B5EF4-FFF2-40B4-BE49-F238E27FC236}">
                <a16:creationId xmlns:a16="http://schemas.microsoft.com/office/drawing/2014/main" id="{00000000-0008-0000-2300-000008000000}"/>
              </a:ext>
            </a:extLst>
          </xdr:cNvPr>
          <xdr:cNvSpPr>
            <a:spLocks noChangeAspect="1"/>
          </xdr:cNvSpPr>
        </xdr:nvSpPr>
        <xdr:spPr>
          <a:xfrm>
            <a:off x="4897706" y="0"/>
            <a:ext cx="1645121" cy="73152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Select</a:t>
            </a:r>
            <a:r>
              <a:rPr lang="en-US" sz="1200" b="1" baseline="0">
                <a:solidFill>
                  <a:schemeClr val="bg1"/>
                </a:solidFill>
                <a:latin typeface="Segoe UI" panose="020B0502040204020203" pitchFamily="34" charset="0"/>
                <a:cs typeface="Segoe UI" panose="020B0502040204020203" pitchFamily="34" charset="0"/>
              </a:rPr>
              <a:t> Adjustment Categories</a:t>
            </a:r>
            <a:endParaRPr lang="en-US" sz="1200" b="1">
              <a:solidFill>
                <a:schemeClr val="bg1"/>
              </a:solidFill>
              <a:latin typeface="Segoe UI" panose="020B0502040204020203" pitchFamily="34" charset="0"/>
              <a:cs typeface="Segoe UI" panose="020B0502040204020203" pitchFamily="34" charset="0"/>
            </a:endParaRPr>
          </a:p>
        </xdr:txBody>
      </xdr:sp>
      <xdr:sp macro="[0]!ShowUserFormTemplateAssumptions" textlink="">
        <xdr:nvSpPr>
          <xdr:cNvPr id="9" name="Rounded Rectangle 8">
            <a:extLst>
              <a:ext uri="{FF2B5EF4-FFF2-40B4-BE49-F238E27FC236}">
                <a16:creationId xmlns:a16="http://schemas.microsoft.com/office/drawing/2014/main" id="{00000000-0008-0000-2300-000009000000}"/>
              </a:ext>
            </a:extLst>
          </xdr:cNvPr>
          <xdr:cNvSpPr>
            <a:spLocks noChangeAspect="1"/>
          </xdr:cNvSpPr>
        </xdr:nvSpPr>
        <xdr:spPr>
          <a:xfrm>
            <a:off x="4114941" y="795988"/>
            <a:ext cx="1188143"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latin typeface="Segoe UI" panose="020B0502040204020203" pitchFamily="34" charset="0"/>
                <a:cs typeface="Segoe UI" panose="020B0502040204020203" pitchFamily="34" charset="0"/>
              </a:rPr>
              <a:t>Template</a:t>
            </a:r>
            <a:r>
              <a:rPr lang="en-US" sz="1200" b="1" baseline="0">
                <a:solidFill>
                  <a:schemeClr val="tx1"/>
                </a:solidFill>
                <a:latin typeface="Segoe UI" panose="020B0502040204020203" pitchFamily="34" charset="0"/>
                <a:cs typeface="Segoe UI" panose="020B0502040204020203" pitchFamily="34" charset="0"/>
              </a:rPr>
              <a:t> Assumptions</a:t>
            </a:r>
            <a:endParaRPr lang="en-US" sz="1200" b="1">
              <a:solidFill>
                <a:schemeClr val="tx1"/>
              </a:solidFill>
              <a:latin typeface="Segoe UI" panose="020B0502040204020203" pitchFamily="34" charset="0"/>
              <a:cs typeface="Segoe UI" panose="020B0502040204020203" pitchFamily="34" charset="0"/>
            </a:endParaRPr>
          </a:p>
        </xdr:txBody>
      </xdr:sp>
      <xdr:sp macro="[0]!GoTo_ValueIndications_Table" textlink="">
        <xdr:nvSpPr>
          <xdr:cNvPr id="10" name="Rounded Rectangle 9">
            <a:extLst>
              <a:ext uri="{FF2B5EF4-FFF2-40B4-BE49-F238E27FC236}">
                <a16:creationId xmlns:a16="http://schemas.microsoft.com/office/drawing/2014/main" id="{00000000-0008-0000-2300-00000A000000}"/>
              </a:ext>
            </a:extLst>
          </xdr:cNvPr>
          <xdr:cNvSpPr>
            <a:spLocks noChangeAspect="1"/>
          </xdr:cNvSpPr>
        </xdr:nvSpPr>
        <xdr:spPr>
          <a:xfrm>
            <a:off x="941485" y="0"/>
            <a:ext cx="1096747"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sp macro="[0]!ClearLandAdjustmentsB1" textlink="">
        <xdr:nvSpPr>
          <xdr:cNvPr id="11" name="Rounded Rectangle 10">
            <a:extLst>
              <a:ext uri="{FF2B5EF4-FFF2-40B4-BE49-F238E27FC236}">
                <a16:creationId xmlns:a16="http://schemas.microsoft.com/office/drawing/2014/main" id="{00000000-0008-0000-2300-00000B000000}"/>
              </a:ext>
            </a:extLst>
          </xdr:cNvPr>
          <xdr:cNvSpPr>
            <a:spLocks noChangeAspect="1"/>
          </xdr:cNvSpPr>
        </xdr:nvSpPr>
        <xdr:spPr>
          <a:xfrm>
            <a:off x="5352569" y="795988"/>
            <a:ext cx="1188143"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Clear Adjustments</a:t>
            </a:r>
          </a:p>
        </xdr:txBody>
      </xdr:sp>
      <xdr:sp macro="[0]!GoTo_Land_ConclusionB1" textlink="">
        <xdr:nvSpPr>
          <xdr:cNvPr id="12" name="Rounded Rectangle 11">
            <a:extLst>
              <a:ext uri="{FF2B5EF4-FFF2-40B4-BE49-F238E27FC236}">
                <a16:creationId xmlns:a16="http://schemas.microsoft.com/office/drawing/2014/main" id="{00000000-0008-0000-2300-00000C000000}"/>
              </a:ext>
            </a:extLst>
          </xdr:cNvPr>
          <xdr:cNvSpPr>
            <a:spLocks noChangeAspect="1"/>
          </xdr:cNvSpPr>
        </xdr:nvSpPr>
        <xdr:spPr>
          <a:xfrm>
            <a:off x="6572982" y="17988"/>
            <a:ext cx="1878162" cy="73152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Land</a:t>
            </a:r>
            <a:r>
              <a:rPr lang="en-US" sz="1200" b="1" baseline="0">
                <a:solidFill>
                  <a:schemeClr val="bg1"/>
                </a:solidFill>
                <a:latin typeface="Segoe UI" panose="020B0502040204020203" pitchFamily="34" charset="0"/>
                <a:cs typeface="Segoe UI" panose="020B0502040204020203" pitchFamily="34" charset="0"/>
              </a:rPr>
              <a:t> Value Conclusion</a:t>
            </a:r>
            <a:endParaRPr lang="en-US" sz="1200" b="1">
              <a:solidFill>
                <a:schemeClr val="bg1"/>
              </a:solidFill>
              <a:latin typeface="Segoe UI" panose="020B0502040204020203" pitchFamily="34" charset="0"/>
              <a:cs typeface="Segoe UI" panose="020B0502040204020203" pitchFamily="34" charset="0"/>
            </a:endParaRPr>
          </a:p>
        </xdr:txBody>
      </xdr:sp>
    </xdr:grpSp>
    <xdr:clientData/>
  </xdr:twoCellAnchor>
  <xdr:twoCellAnchor editAs="absolute">
    <xdr:from>
      <xdr:col>10</xdr:col>
      <xdr:colOff>41275</xdr:colOff>
      <xdr:row>0</xdr:row>
      <xdr:rowOff>0</xdr:rowOff>
    </xdr:from>
    <xdr:to>
      <xdr:col>27</xdr:col>
      <xdr:colOff>365124</xdr:colOff>
      <xdr:row>3</xdr:row>
      <xdr:rowOff>296334</xdr:rowOff>
    </xdr:to>
    <xdr:sp macro="" textlink="">
      <xdr:nvSpPr>
        <xdr:cNvPr id="13" name="TextBox 12">
          <a:hlinkClick xmlns:r="http://schemas.openxmlformats.org/officeDocument/2006/relationships" r:id="rId1"/>
          <a:extLst>
            <a:ext uri="{FF2B5EF4-FFF2-40B4-BE49-F238E27FC236}">
              <a16:creationId xmlns:a16="http://schemas.microsoft.com/office/drawing/2014/main" id="{00000000-0008-0000-2300-00000D000000}"/>
            </a:ext>
          </a:extLst>
        </xdr:cNvPr>
        <xdr:cNvSpPr txBox="1"/>
      </xdr:nvSpPr>
      <xdr:spPr>
        <a:xfrm>
          <a:off x="8486775" y="0"/>
          <a:ext cx="8278282" cy="17441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45720" bIns="45720"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Make sure all proper assumptions have been selected in Land Assumptions Section, including Adjustment Categories</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User inputs in cells with white background only (%, whole $ or $/unit adjustments may be used regardless of selected display)</a:t>
          </a:r>
          <a:endParaRPr lang="en-US" sz="1000" b="1">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Use Insert Manager to bring in data for User Defined adjustment categories if desired (see cell comments for additional instructions)</a:t>
          </a: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4. Press</a:t>
          </a:r>
          <a:r>
            <a:rPr lang="en-US" sz="1000" b="1" baseline="0">
              <a:effectLst/>
              <a:latin typeface="Segoe UI" panose="020B0502040204020203" pitchFamily="34" charset="0"/>
              <a:cs typeface="Segoe UI" panose="020B0502040204020203" pitchFamily="34" charset="0"/>
            </a:rPr>
            <a:t> "Updae" Button when complete - removes background colors/cell comment indicators, hides rows &amp; sets print area</a:t>
          </a: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5. Press "Default" Button to add</a:t>
          </a:r>
          <a:r>
            <a:rPr lang="en-US" sz="1000" b="1" baseline="0">
              <a:effectLst/>
              <a:latin typeface="Segoe UI" panose="020B0502040204020203" pitchFamily="34" charset="0"/>
              <a:cs typeface="Segoe UI" panose="020B0502040204020203" pitchFamily="34" charset="0"/>
            </a:rPr>
            <a:t> background colors/cell comment indicators &amp; unhide all rows to modify prior input</a:t>
          </a:r>
        </a:p>
        <a:p>
          <a:pPr algn="l" rtl="0">
            <a:spcBef>
              <a:spcPts val="300"/>
            </a:spcBef>
            <a:spcAft>
              <a:spcPts val="300"/>
            </a:spcAft>
          </a:pPr>
          <a:r>
            <a:rPr lang="en-US" sz="1000" b="1" baseline="0">
              <a:effectLst/>
              <a:latin typeface="Segoe UI" panose="020B0502040204020203" pitchFamily="34" charset="0"/>
              <a:cs typeface="Segoe UI" panose="020B0502040204020203" pitchFamily="34" charset="0"/>
            </a:rPr>
            <a:t>6. Note that Adjustment Entries DO NOT move if a Datappraise merge results in comparables moving columns</a:t>
          </a:r>
        </a:p>
        <a:p>
          <a:pPr algn="l" rtl="0">
            <a:spcBef>
              <a:spcPts val="300"/>
            </a:spcBef>
            <a:spcAft>
              <a:spcPts val="300"/>
            </a:spcAft>
          </a:pPr>
          <a:r>
            <a:rPr lang="en-US" sz="1000" b="1" u="sng" baseline="0">
              <a:solidFill>
                <a:srgbClr val="0000FF"/>
              </a:solidFill>
              <a:effectLst/>
              <a:latin typeface="Segoe UI" panose="020B0502040204020203" pitchFamily="34" charset="0"/>
              <a:cs typeface="Segoe UI" panose="020B0502040204020203" pitchFamily="34" charset="0"/>
            </a:rPr>
            <a:t>User Guide</a:t>
          </a:r>
          <a:endParaRPr lang="en-US" sz="1000" b="1" u="sng">
            <a:solidFill>
              <a:srgbClr val="0000FF"/>
            </a:solidFill>
            <a:effectLst/>
            <a:latin typeface="Segoe UI" panose="020B0502040204020203" pitchFamily="34" charset="0"/>
            <a:cs typeface="Segoe UI" panose="020B0502040204020203" pitchFamily="34" charset="0"/>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990815</xdr:colOff>
      <xdr:row>3</xdr:row>
      <xdr:rowOff>75406</xdr:rowOff>
    </xdr:to>
    <xdr:grpSp>
      <xdr:nvGrpSpPr>
        <xdr:cNvPr id="2" name="Group 1">
          <a:extLst>
            <a:ext uri="{FF2B5EF4-FFF2-40B4-BE49-F238E27FC236}">
              <a16:creationId xmlns:a16="http://schemas.microsoft.com/office/drawing/2014/main" id="{00000000-0008-0000-2400-000002000000}"/>
            </a:ext>
          </a:extLst>
        </xdr:cNvPr>
        <xdr:cNvGrpSpPr/>
      </xdr:nvGrpSpPr>
      <xdr:grpSpPr>
        <a:xfrm>
          <a:off x="0" y="0"/>
          <a:ext cx="8420315" cy="1523206"/>
          <a:chOff x="0" y="0"/>
          <a:chExt cx="8451144" cy="1527508"/>
        </a:xfrm>
      </xdr:grpSpPr>
      <xdr:sp macro="[0]!GoTo_Main" textlink="">
        <xdr:nvSpPr>
          <xdr:cNvPr id="3" name="Rounded Rectangle 2">
            <a:extLst>
              <a:ext uri="{FF2B5EF4-FFF2-40B4-BE49-F238E27FC236}">
                <a16:creationId xmlns:a16="http://schemas.microsoft.com/office/drawing/2014/main" id="{00000000-0008-0000-2400-000003000000}"/>
              </a:ext>
            </a:extLst>
          </xdr:cNvPr>
          <xdr:cNvSpPr>
            <a:spLocks noChangeAspect="1"/>
          </xdr:cNvSpPr>
        </xdr:nvSpPr>
        <xdr:spPr>
          <a:xfrm>
            <a:off x="0" y="0"/>
            <a:ext cx="913956"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LandSummaryDetail_Table" textlink="">
        <xdr:nvSpPr>
          <xdr:cNvPr id="4" name="Rounded Rectangle 3">
            <a:extLst>
              <a:ext uri="{FF2B5EF4-FFF2-40B4-BE49-F238E27FC236}">
                <a16:creationId xmlns:a16="http://schemas.microsoft.com/office/drawing/2014/main" id="{00000000-0008-0000-2400-000004000000}"/>
              </a:ext>
            </a:extLst>
          </xdr:cNvPr>
          <xdr:cNvSpPr>
            <a:spLocks noChangeAspect="1"/>
          </xdr:cNvSpPr>
        </xdr:nvSpPr>
        <xdr:spPr>
          <a:xfrm>
            <a:off x="3490805" y="0"/>
            <a:ext cx="1370933" cy="73152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Land Summary</a:t>
            </a:r>
            <a:r>
              <a:rPr lang="en-US" sz="1200" b="1" baseline="0">
                <a:latin typeface="Segoe UI" panose="020B0502040204020203" pitchFamily="34" charset="0"/>
                <a:cs typeface="Segoe UI" panose="020B0502040204020203" pitchFamily="34" charset="0"/>
              </a:rPr>
              <a:t> Detail</a:t>
            </a:r>
            <a:endParaRPr lang="en-US" sz="1200" b="1">
              <a:latin typeface="Segoe UI" panose="020B0502040204020203" pitchFamily="34" charset="0"/>
              <a:cs typeface="Segoe UI" panose="020B0502040204020203" pitchFamily="34" charset="0"/>
            </a:endParaRPr>
          </a:p>
        </xdr:txBody>
      </xdr:sp>
      <xdr:sp macro="[0]!GoTo_LandSummaryLight_Table" textlink="">
        <xdr:nvSpPr>
          <xdr:cNvPr id="5" name="Rounded Rectangle 4">
            <a:extLst>
              <a:ext uri="{FF2B5EF4-FFF2-40B4-BE49-F238E27FC236}">
                <a16:creationId xmlns:a16="http://schemas.microsoft.com/office/drawing/2014/main" id="{00000000-0008-0000-2400-000005000000}"/>
              </a:ext>
            </a:extLst>
          </xdr:cNvPr>
          <xdr:cNvSpPr>
            <a:spLocks noChangeAspect="1"/>
          </xdr:cNvSpPr>
        </xdr:nvSpPr>
        <xdr:spPr>
          <a:xfrm>
            <a:off x="2083904" y="0"/>
            <a:ext cx="1370933" cy="73152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Land Summary</a:t>
            </a:r>
            <a:r>
              <a:rPr lang="en-US" sz="1200" b="1" baseline="0">
                <a:latin typeface="Segoe UI" panose="020B0502040204020203" pitchFamily="34" charset="0"/>
                <a:cs typeface="Segoe UI" panose="020B0502040204020203" pitchFamily="34" charset="0"/>
              </a:rPr>
              <a:t> Light</a:t>
            </a:r>
            <a:endParaRPr lang="en-US" sz="1200" b="1">
              <a:latin typeface="Segoe UI" panose="020B0502040204020203" pitchFamily="34" charset="0"/>
              <a:cs typeface="Segoe UI" panose="020B0502040204020203" pitchFamily="34" charset="0"/>
            </a:endParaRPr>
          </a:p>
        </xdr:txBody>
      </xdr:sp>
      <xdr:sp macro="[0]!Update_LandAdjust_Grid_Bucket2" textlink="">
        <xdr:nvSpPr>
          <xdr:cNvPr id="6" name="Rounded Rectangle 5">
            <a:extLst>
              <a:ext uri="{FF2B5EF4-FFF2-40B4-BE49-F238E27FC236}">
                <a16:creationId xmlns:a16="http://schemas.microsoft.com/office/drawing/2014/main" id="{00000000-0008-0000-2400-000006000000}"/>
              </a:ext>
            </a:extLst>
          </xdr:cNvPr>
          <xdr:cNvSpPr>
            <a:spLocks noChangeAspect="1"/>
          </xdr:cNvSpPr>
        </xdr:nvSpPr>
        <xdr:spPr>
          <a:xfrm>
            <a:off x="6579615" y="795988"/>
            <a:ext cx="91395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a:t>
            </a:r>
          </a:p>
        </xdr:txBody>
      </xdr:sp>
      <xdr:sp macro="[0]!Default_LandAdjust_GridB2" textlink="">
        <xdr:nvSpPr>
          <xdr:cNvPr id="7" name="Rounded Rectangle 6">
            <a:extLst>
              <a:ext uri="{FF2B5EF4-FFF2-40B4-BE49-F238E27FC236}">
                <a16:creationId xmlns:a16="http://schemas.microsoft.com/office/drawing/2014/main" id="{00000000-0008-0000-2400-000007000000}"/>
              </a:ext>
            </a:extLst>
          </xdr:cNvPr>
          <xdr:cNvSpPr>
            <a:spLocks noChangeAspect="1"/>
          </xdr:cNvSpPr>
        </xdr:nvSpPr>
        <xdr:spPr>
          <a:xfrm>
            <a:off x="7531664" y="795988"/>
            <a:ext cx="91395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sp macro="[0]!ShowDialogLandAdjB2" textlink="">
        <xdr:nvSpPr>
          <xdr:cNvPr id="8" name="Rounded Rectangle 7">
            <a:extLst>
              <a:ext uri="{FF2B5EF4-FFF2-40B4-BE49-F238E27FC236}">
                <a16:creationId xmlns:a16="http://schemas.microsoft.com/office/drawing/2014/main" id="{00000000-0008-0000-2400-000008000000}"/>
              </a:ext>
            </a:extLst>
          </xdr:cNvPr>
          <xdr:cNvSpPr>
            <a:spLocks noChangeAspect="1"/>
          </xdr:cNvSpPr>
        </xdr:nvSpPr>
        <xdr:spPr>
          <a:xfrm>
            <a:off x="4897706" y="0"/>
            <a:ext cx="1645121" cy="73152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Select</a:t>
            </a:r>
            <a:r>
              <a:rPr lang="en-US" sz="1200" b="1" baseline="0">
                <a:solidFill>
                  <a:schemeClr val="bg1"/>
                </a:solidFill>
                <a:latin typeface="Segoe UI" panose="020B0502040204020203" pitchFamily="34" charset="0"/>
                <a:cs typeface="Segoe UI" panose="020B0502040204020203" pitchFamily="34" charset="0"/>
              </a:rPr>
              <a:t> Adjustment Categories</a:t>
            </a:r>
            <a:endParaRPr lang="en-US" sz="1200" b="1">
              <a:solidFill>
                <a:schemeClr val="bg1"/>
              </a:solidFill>
              <a:latin typeface="Segoe UI" panose="020B0502040204020203" pitchFamily="34" charset="0"/>
              <a:cs typeface="Segoe UI" panose="020B0502040204020203" pitchFamily="34" charset="0"/>
            </a:endParaRPr>
          </a:p>
        </xdr:txBody>
      </xdr:sp>
      <xdr:sp macro="[0]!ShowUserFormTemplateAssumptions" textlink="">
        <xdr:nvSpPr>
          <xdr:cNvPr id="9" name="Rounded Rectangle 8">
            <a:extLst>
              <a:ext uri="{FF2B5EF4-FFF2-40B4-BE49-F238E27FC236}">
                <a16:creationId xmlns:a16="http://schemas.microsoft.com/office/drawing/2014/main" id="{00000000-0008-0000-2400-000009000000}"/>
              </a:ext>
            </a:extLst>
          </xdr:cNvPr>
          <xdr:cNvSpPr>
            <a:spLocks noChangeAspect="1"/>
          </xdr:cNvSpPr>
        </xdr:nvSpPr>
        <xdr:spPr>
          <a:xfrm>
            <a:off x="4114941" y="795988"/>
            <a:ext cx="1188143"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latin typeface="Segoe UI" panose="020B0502040204020203" pitchFamily="34" charset="0"/>
                <a:cs typeface="Segoe UI" panose="020B0502040204020203" pitchFamily="34" charset="0"/>
              </a:rPr>
              <a:t>Template</a:t>
            </a:r>
            <a:r>
              <a:rPr lang="en-US" sz="1200" b="1" baseline="0">
                <a:solidFill>
                  <a:schemeClr val="tx1"/>
                </a:solidFill>
                <a:latin typeface="Segoe UI" panose="020B0502040204020203" pitchFamily="34" charset="0"/>
                <a:cs typeface="Segoe UI" panose="020B0502040204020203" pitchFamily="34" charset="0"/>
              </a:rPr>
              <a:t> Assumptions</a:t>
            </a:r>
            <a:endParaRPr lang="en-US" sz="1200" b="1">
              <a:solidFill>
                <a:schemeClr val="tx1"/>
              </a:solidFill>
              <a:latin typeface="Segoe UI" panose="020B0502040204020203" pitchFamily="34" charset="0"/>
              <a:cs typeface="Segoe UI" panose="020B0502040204020203" pitchFamily="34" charset="0"/>
            </a:endParaRPr>
          </a:p>
        </xdr:txBody>
      </xdr:sp>
      <xdr:sp macro="[0]!GoTo_ValueIndications_Table" textlink="">
        <xdr:nvSpPr>
          <xdr:cNvPr id="10" name="Rounded Rectangle 9">
            <a:extLst>
              <a:ext uri="{FF2B5EF4-FFF2-40B4-BE49-F238E27FC236}">
                <a16:creationId xmlns:a16="http://schemas.microsoft.com/office/drawing/2014/main" id="{00000000-0008-0000-2400-00000A000000}"/>
              </a:ext>
            </a:extLst>
          </xdr:cNvPr>
          <xdr:cNvSpPr>
            <a:spLocks noChangeAspect="1"/>
          </xdr:cNvSpPr>
        </xdr:nvSpPr>
        <xdr:spPr>
          <a:xfrm>
            <a:off x="941485" y="0"/>
            <a:ext cx="1096747"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sp macro="[0]!ClearLandAdjustmentsB2" textlink="">
        <xdr:nvSpPr>
          <xdr:cNvPr id="11" name="Rounded Rectangle 10">
            <a:extLst>
              <a:ext uri="{FF2B5EF4-FFF2-40B4-BE49-F238E27FC236}">
                <a16:creationId xmlns:a16="http://schemas.microsoft.com/office/drawing/2014/main" id="{00000000-0008-0000-2400-00000B000000}"/>
              </a:ext>
            </a:extLst>
          </xdr:cNvPr>
          <xdr:cNvSpPr>
            <a:spLocks noChangeAspect="1"/>
          </xdr:cNvSpPr>
        </xdr:nvSpPr>
        <xdr:spPr>
          <a:xfrm>
            <a:off x="5352569" y="795988"/>
            <a:ext cx="1188143"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Clear Adjustments</a:t>
            </a:r>
          </a:p>
        </xdr:txBody>
      </xdr:sp>
      <xdr:sp macro="[0]!GoTo_Land_ConclusionB2" textlink="">
        <xdr:nvSpPr>
          <xdr:cNvPr id="12" name="Rounded Rectangle 11">
            <a:extLst>
              <a:ext uri="{FF2B5EF4-FFF2-40B4-BE49-F238E27FC236}">
                <a16:creationId xmlns:a16="http://schemas.microsoft.com/office/drawing/2014/main" id="{00000000-0008-0000-2400-00000C000000}"/>
              </a:ext>
            </a:extLst>
          </xdr:cNvPr>
          <xdr:cNvSpPr>
            <a:spLocks noChangeAspect="1"/>
          </xdr:cNvSpPr>
        </xdr:nvSpPr>
        <xdr:spPr>
          <a:xfrm>
            <a:off x="6572982" y="17988"/>
            <a:ext cx="1878162" cy="731520"/>
          </a:xfrm>
          <a:prstGeom prst="roundRect">
            <a:avLst/>
          </a:prstGeom>
          <a:solidFill>
            <a:srgbClr val="00B050"/>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Land</a:t>
            </a:r>
            <a:r>
              <a:rPr lang="en-US" sz="1200" b="1" baseline="0">
                <a:solidFill>
                  <a:schemeClr val="bg1"/>
                </a:solidFill>
                <a:latin typeface="Segoe UI" panose="020B0502040204020203" pitchFamily="34" charset="0"/>
                <a:cs typeface="Segoe UI" panose="020B0502040204020203" pitchFamily="34" charset="0"/>
              </a:rPr>
              <a:t> Value Conclusion</a:t>
            </a:r>
            <a:endParaRPr lang="en-US" sz="1200" b="1">
              <a:solidFill>
                <a:schemeClr val="bg1"/>
              </a:solidFill>
              <a:latin typeface="Segoe UI" panose="020B0502040204020203" pitchFamily="34" charset="0"/>
              <a:cs typeface="Segoe UI" panose="020B0502040204020203" pitchFamily="34" charset="0"/>
            </a:endParaRPr>
          </a:p>
        </xdr:txBody>
      </xdr:sp>
    </xdr:grpSp>
    <xdr:clientData/>
  </xdr:twoCellAnchor>
</xdr:wsDr>
</file>

<file path=xl/drawings/drawing27.xml><?xml version="1.0" encoding="utf-8"?>
<xdr:wsDr xmlns:xdr="http://schemas.openxmlformats.org/drawingml/2006/spreadsheetDrawing" xmlns:a="http://schemas.openxmlformats.org/drawingml/2006/main">
  <xdr:absoluteAnchor>
    <xdr:pos x="8975726" y="74082"/>
    <xdr:ext cx="6744495" cy="1256242"/>
    <xdr:sp macro="" textlink="">
      <xdr:nvSpPr>
        <xdr:cNvPr id="2" name="TextBox 1">
          <a:hlinkClick xmlns:r="http://schemas.openxmlformats.org/officeDocument/2006/relationships" r:id="rId1"/>
          <a:extLst>
            <a:ext uri="{FF2B5EF4-FFF2-40B4-BE49-F238E27FC236}">
              <a16:creationId xmlns:a16="http://schemas.microsoft.com/office/drawing/2014/main" id="{00000000-0008-0000-2500-000002000000}"/>
            </a:ext>
          </a:extLst>
        </xdr:cNvPr>
        <xdr:cNvSpPr txBox="1"/>
      </xdr:nvSpPr>
      <xdr:spPr>
        <a:xfrm>
          <a:off x="8966201" y="74082"/>
          <a:ext cx="6795295" cy="125941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No user inputs are required on this sheet</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Datappraise Merge  </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absoluteAnchor>
  <xdr:absoluteAnchor>
    <xdr:pos x="0" y="0"/>
    <xdr:ext cx="7446427" cy="731520"/>
    <xdr:grpSp>
      <xdr:nvGrpSpPr>
        <xdr:cNvPr id="4" name="Group 3">
          <a:extLst>
            <a:ext uri="{FF2B5EF4-FFF2-40B4-BE49-F238E27FC236}">
              <a16:creationId xmlns:a16="http://schemas.microsoft.com/office/drawing/2014/main" id="{00000000-0008-0000-2500-000004000000}"/>
            </a:ext>
          </a:extLst>
        </xdr:cNvPr>
        <xdr:cNvGrpSpPr>
          <a:grpSpLocks noChangeAspect="1"/>
        </xdr:cNvGrpSpPr>
      </xdr:nvGrpSpPr>
      <xdr:grpSpPr>
        <a:xfrm>
          <a:off x="0" y="0"/>
          <a:ext cx="7446427" cy="731520"/>
          <a:chOff x="0" y="0"/>
          <a:chExt cx="7443252" cy="731520"/>
        </a:xfrm>
      </xdr:grpSpPr>
      <xdr:sp macro="[0]!GoTo_Main" textlink="">
        <xdr:nvSpPr>
          <xdr:cNvPr id="11" name="Rounded Rectangle 10">
            <a:extLst>
              <a:ext uri="{FF2B5EF4-FFF2-40B4-BE49-F238E27FC236}">
                <a16:creationId xmlns:a16="http://schemas.microsoft.com/office/drawing/2014/main" id="{00000000-0008-0000-2500-00000B000000}"/>
              </a:ext>
            </a:extLst>
          </xdr:cNvPr>
          <xdr:cNvSpPr>
            <a:spLocks noChangeAspect="1"/>
          </xdr:cNvSpPr>
        </xdr:nvSpPr>
        <xdr:spPr>
          <a:xfrm>
            <a:off x="0" y="0"/>
            <a:ext cx="912874"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SalesApproachSummary_Table_Detailed" textlink="">
        <xdr:nvSpPr>
          <xdr:cNvPr id="12" name="Rounded Rectangle 11">
            <a:extLst>
              <a:ext uri="{FF2B5EF4-FFF2-40B4-BE49-F238E27FC236}">
                <a16:creationId xmlns:a16="http://schemas.microsoft.com/office/drawing/2014/main" id="{00000000-0008-0000-2500-00000C000000}"/>
              </a:ext>
            </a:extLst>
          </xdr:cNvPr>
          <xdr:cNvSpPr>
            <a:spLocks noChangeAspect="1"/>
          </xdr:cNvSpPr>
        </xdr:nvSpPr>
        <xdr:spPr>
          <a:xfrm>
            <a:off x="950912" y="0"/>
            <a:ext cx="1278023"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Detailed</a:t>
            </a:r>
          </a:p>
        </xdr:txBody>
      </xdr:sp>
      <xdr:sp macro="[0]!GoTo_SalesAutomatedAdjustment_Tables" textlink="">
        <xdr:nvSpPr>
          <xdr:cNvPr id="13" name="Rounded Rectangle 12">
            <a:extLst>
              <a:ext uri="{FF2B5EF4-FFF2-40B4-BE49-F238E27FC236}">
                <a16:creationId xmlns:a16="http://schemas.microsoft.com/office/drawing/2014/main" id="{00000000-0008-0000-2500-00000D000000}"/>
              </a:ext>
            </a:extLst>
          </xdr:cNvPr>
          <xdr:cNvSpPr>
            <a:spLocks noChangeAspect="1"/>
          </xdr:cNvSpPr>
        </xdr:nvSpPr>
        <xdr:spPr>
          <a:xfrm>
            <a:off x="2261053" y="0"/>
            <a:ext cx="1005839"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Auto. Adj.</a:t>
            </a:r>
          </a:p>
        </xdr:txBody>
      </xdr:sp>
      <xdr:sp macro="[0]!GoTo_SalesApproach_Grid" textlink="">
        <xdr:nvSpPr>
          <xdr:cNvPr id="14" name="Rounded Rectangle 13">
            <a:extLst>
              <a:ext uri="{FF2B5EF4-FFF2-40B4-BE49-F238E27FC236}">
                <a16:creationId xmlns:a16="http://schemas.microsoft.com/office/drawing/2014/main" id="{00000000-0008-0000-2500-00000E000000}"/>
              </a:ext>
            </a:extLst>
          </xdr:cNvPr>
          <xdr:cNvSpPr>
            <a:spLocks noChangeAspect="1"/>
          </xdr:cNvSpPr>
        </xdr:nvSpPr>
        <xdr:spPr>
          <a:xfrm>
            <a:off x="4618651" y="0"/>
            <a:ext cx="912874"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Adj. Grid</a:t>
            </a:r>
          </a:p>
        </xdr:txBody>
      </xdr:sp>
      <xdr:sp macro="[0]!Update_SalesSummary_Table_Light" textlink="">
        <xdr:nvSpPr>
          <xdr:cNvPr id="15" name="Rounded Rectangle 14">
            <a:extLst>
              <a:ext uri="{FF2B5EF4-FFF2-40B4-BE49-F238E27FC236}">
                <a16:creationId xmlns:a16="http://schemas.microsoft.com/office/drawing/2014/main" id="{00000000-0008-0000-2500-00000F000000}"/>
              </a:ext>
            </a:extLst>
          </xdr:cNvPr>
          <xdr:cNvSpPr>
            <a:spLocks noChangeAspect="1"/>
          </xdr:cNvSpPr>
        </xdr:nvSpPr>
        <xdr:spPr>
          <a:xfrm>
            <a:off x="5579492" y="0"/>
            <a:ext cx="912874"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 textlink="">
        <xdr:nvSpPr>
          <xdr:cNvPr id="16" name="Rounded Rectangle 15">
            <a:extLst>
              <a:ext uri="{FF2B5EF4-FFF2-40B4-BE49-F238E27FC236}">
                <a16:creationId xmlns:a16="http://schemas.microsoft.com/office/drawing/2014/main" id="{00000000-0008-0000-2500-000010000000}"/>
              </a:ext>
            </a:extLst>
          </xdr:cNvPr>
          <xdr:cNvSpPr>
            <a:spLocks noChangeAspect="1"/>
          </xdr:cNvSpPr>
        </xdr:nvSpPr>
        <xdr:spPr>
          <a:xfrm>
            <a:off x="6530378" y="0"/>
            <a:ext cx="912874"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GoTo_SalesSpecialtyAdjustment_Tables" textlink="">
        <xdr:nvSpPr>
          <xdr:cNvPr id="10" name="Rounded Rectangle 9">
            <a:extLst>
              <a:ext uri="{FF2B5EF4-FFF2-40B4-BE49-F238E27FC236}">
                <a16:creationId xmlns:a16="http://schemas.microsoft.com/office/drawing/2014/main" id="{00000000-0008-0000-2500-00000A000000}"/>
              </a:ext>
            </a:extLst>
          </xdr:cNvPr>
          <xdr:cNvSpPr>
            <a:spLocks noChangeAspect="1"/>
          </xdr:cNvSpPr>
        </xdr:nvSpPr>
        <xdr:spPr>
          <a:xfrm>
            <a:off x="3302003" y="0"/>
            <a:ext cx="128016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Specialty Adj.</a:t>
            </a:r>
          </a:p>
        </xdr:txBody>
      </xdr:sp>
    </xdr:grpSp>
    <xdr:clientData/>
  </xdr:absoluteAnchor>
</xdr:wsDr>
</file>

<file path=xl/drawings/drawing28.xml><?xml version="1.0" encoding="utf-8"?>
<xdr:wsDr xmlns:xdr="http://schemas.openxmlformats.org/drawingml/2006/spreadsheetDrawing" xmlns:a="http://schemas.openxmlformats.org/drawingml/2006/main">
  <xdr:twoCellAnchor editAs="absolute">
    <xdr:from>
      <xdr:col>8</xdr:col>
      <xdr:colOff>829993</xdr:colOff>
      <xdr:row>0</xdr:row>
      <xdr:rowOff>33864</xdr:rowOff>
    </xdr:from>
    <xdr:to>
      <xdr:col>18</xdr:col>
      <xdr:colOff>911750</xdr:colOff>
      <xdr:row>1</xdr:row>
      <xdr:rowOff>645583</xdr:rowOff>
    </xdr:to>
    <xdr:sp macro="" textlink="">
      <xdr:nvSpPr>
        <xdr:cNvPr id="9" name="TextBox 8">
          <a:hlinkClick xmlns:r="http://schemas.openxmlformats.org/officeDocument/2006/relationships" r:id="rId1"/>
          <a:extLst>
            <a:ext uri="{FF2B5EF4-FFF2-40B4-BE49-F238E27FC236}">
              <a16:creationId xmlns:a16="http://schemas.microsoft.com/office/drawing/2014/main" id="{00000000-0008-0000-2600-000009000000}"/>
            </a:ext>
          </a:extLst>
        </xdr:cNvPr>
        <xdr:cNvSpPr txBox="1"/>
      </xdr:nvSpPr>
      <xdr:spPr>
        <a:xfrm>
          <a:off x="8021104" y="33864"/>
          <a:ext cx="7472892" cy="1373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a:r>
            <a:rPr lang="en-US" sz="1000" b="1" i="0" baseline="0">
              <a:solidFill>
                <a:schemeClr val="dk1"/>
              </a:solidFill>
              <a:effectLst/>
              <a:latin typeface="Segoe UI" panose="020B0502040204020203" pitchFamily="34" charset="0"/>
              <a:ea typeface="+mn-ea"/>
              <a:cs typeface="Segoe UI" panose="020B0502040204020203" pitchFamily="34" charset="0"/>
            </a:rPr>
            <a:t>1. No user inputs are required on this sheet, but the Filter Tool is available to manually select which rows show/hide. Refer to User Guide Worksheet for Filter Tool instructions</a:t>
          </a:r>
          <a:endParaRPr lang="en-US" sz="1000" b="1">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Datappraise Merge  </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8</xdr:col>
      <xdr:colOff>729452</xdr:colOff>
      <xdr:row>0</xdr:row>
      <xdr:rowOff>742103</xdr:rowOff>
    </xdr:to>
    <xdr:grpSp>
      <xdr:nvGrpSpPr>
        <xdr:cNvPr id="3" name="Group 2">
          <a:extLst>
            <a:ext uri="{FF2B5EF4-FFF2-40B4-BE49-F238E27FC236}">
              <a16:creationId xmlns:a16="http://schemas.microsoft.com/office/drawing/2014/main" id="{00000000-0008-0000-2600-000003000000}"/>
            </a:ext>
          </a:extLst>
        </xdr:cNvPr>
        <xdr:cNvGrpSpPr>
          <a:grpSpLocks noChangeAspect="1"/>
        </xdr:cNvGrpSpPr>
      </xdr:nvGrpSpPr>
      <xdr:grpSpPr>
        <a:xfrm>
          <a:off x="0" y="0"/>
          <a:ext cx="7920827" cy="742103"/>
          <a:chOff x="0" y="0"/>
          <a:chExt cx="7920563" cy="742103"/>
        </a:xfrm>
      </xdr:grpSpPr>
      <xdr:sp macro="[0]!GoTo_Main" textlink="">
        <xdr:nvSpPr>
          <xdr:cNvPr id="11" name="Rounded Rectangle 10">
            <a:extLst>
              <a:ext uri="{FF2B5EF4-FFF2-40B4-BE49-F238E27FC236}">
                <a16:creationId xmlns:a16="http://schemas.microsoft.com/office/drawing/2014/main" id="{00000000-0008-0000-2600-00000B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SalesApproachSummary_Table_Light" textlink="">
        <xdr:nvSpPr>
          <xdr:cNvPr id="12" name="Rounded Rectangle 11">
            <a:extLst>
              <a:ext uri="{FF2B5EF4-FFF2-40B4-BE49-F238E27FC236}">
                <a16:creationId xmlns:a16="http://schemas.microsoft.com/office/drawing/2014/main" id="{00000000-0008-0000-2600-00000C000000}"/>
              </a:ext>
            </a:extLst>
          </xdr:cNvPr>
          <xdr:cNvSpPr>
            <a:spLocks noChangeAspect="1"/>
          </xdr:cNvSpPr>
        </xdr:nvSpPr>
        <xdr:spPr>
          <a:xfrm>
            <a:off x="952502" y="0"/>
            <a:ext cx="128016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Light</a:t>
            </a:r>
          </a:p>
        </xdr:txBody>
      </xdr:sp>
      <xdr:sp macro="[0]!GoTo_SalesAutomatedAdjustment_Tables" textlink="">
        <xdr:nvSpPr>
          <xdr:cNvPr id="13" name="Rounded Rectangle 12">
            <a:extLst>
              <a:ext uri="{FF2B5EF4-FFF2-40B4-BE49-F238E27FC236}">
                <a16:creationId xmlns:a16="http://schemas.microsoft.com/office/drawing/2014/main" id="{00000000-0008-0000-2600-00000D000000}"/>
              </a:ext>
            </a:extLst>
          </xdr:cNvPr>
          <xdr:cNvSpPr>
            <a:spLocks noChangeAspect="1"/>
          </xdr:cNvSpPr>
        </xdr:nvSpPr>
        <xdr:spPr>
          <a:xfrm>
            <a:off x="2264834" y="0"/>
            <a:ext cx="146304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Automated Adj.</a:t>
            </a:r>
          </a:p>
        </xdr:txBody>
      </xdr:sp>
      <xdr:sp macro="[0]!GoTo_SalesApproach_Grid" textlink="">
        <xdr:nvSpPr>
          <xdr:cNvPr id="14" name="Rounded Rectangle 13">
            <a:extLst>
              <a:ext uri="{FF2B5EF4-FFF2-40B4-BE49-F238E27FC236}">
                <a16:creationId xmlns:a16="http://schemas.microsoft.com/office/drawing/2014/main" id="{00000000-0008-0000-2600-00000E000000}"/>
              </a:ext>
            </a:extLst>
          </xdr:cNvPr>
          <xdr:cNvSpPr>
            <a:spLocks noChangeAspect="1"/>
          </xdr:cNvSpPr>
        </xdr:nvSpPr>
        <xdr:spPr>
          <a:xfrm>
            <a:off x="3767670" y="0"/>
            <a:ext cx="91440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Adj. Grid</a:t>
            </a:r>
          </a:p>
        </xdr:txBody>
      </xdr:sp>
      <xdr:sp macro="[0]!Update_SalesSummary_Table_Detailed" textlink="">
        <xdr:nvSpPr>
          <xdr:cNvPr id="15" name="Rounded Rectangle 14">
            <a:extLst>
              <a:ext uri="{FF2B5EF4-FFF2-40B4-BE49-F238E27FC236}">
                <a16:creationId xmlns:a16="http://schemas.microsoft.com/office/drawing/2014/main" id="{00000000-0008-0000-2600-00000F000000}"/>
              </a:ext>
            </a:extLst>
          </xdr:cNvPr>
          <xdr:cNvSpPr>
            <a:spLocks noChangeAspect="1"/>
          </xdr:cNvSpPr>
        </xdr:nvSpPr>
        <xdr:spPr>
          <a:xfrm>
            <a:off x="6043081"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 textlink="">
        <xdr:nvSpPr>
          <xdr:cNvPr id="16" name="Rounded Rectangle 15">
            <a:extLst>
              <a:ext uri="{FF2B5EF4-FFF2-40B4-BE49-F238E27FC236}">
                <a16:creationId xmlns:a16="http://schemas.microsoft.com/office/drawing/2014/main" id="{00000000-0008-0000-2600-000010000000}"/>
              </a:ext>
            </a:extLst>
          </xdr:cNvPr>
          <xdr:cNvSpPr>
            <a:spLocks noChangeAspect="1"/>
          </xdr:cNvSpPr>
        </xdr:nvSpPr>
        <xdr:spPr>
          <a:xfrm>
            <a:off x="7006163"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GoTo_SalesSpecialtyAdjustment_Tables" textlink="">
        <xdr:nvSpPr>
          <xdr:cNvPr id="10" name="Rounded Rectangle 9">
            <a:extLst>
              <a:ext uri="{FF2B5EF4-FFF2-40B4-BE49-F238E27FC236}">
                <a16:creationId xmlns:a16="http://schemas.microsoft.com/office/drawing/2014/main" id="{00000000-0008-0000-2600-00000A000000}"/>
              </a:ext>
            </a:extLst>
          </xdr:cNvPr>
          <xdr:cNvSpPr>
            <a:spLocks noChangeAspect="1"/>
          </xdr:cNvSpPr>
        </xdr:nvSpPr>
        <xdr:spPr>
          <a:xfrm>
            <a:off x="4720167" y="10583"/>
            <a:ext cx="128016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Specialty Adj.</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18</xdr:col>
      <xdr:colOff>73820</xdr:colOff>
      <xdr:row>0</xdr:row>
      <xdr:rowOff>0</xdr:rowOff>
    </xdr:from>
    <xdr:to>
      <xdr:col>24</xdr:col>
      <xdr:colOff>1198827</xdr:colOff>
      <xdr:row>8</xdr:row>
      <xdr:rowOff>572823</xdr:rowOff>
    </xdr:to>
    <xdr:sp macro="" textlink="">
      <xdr:nvSpPr>
        <xdr:cNvPr id="10" name="TextBox 9">
          <a:extLst>
            <a:ext uri="{FF2B5EF4-FFF2-40B4-BE49-F238E27FC236}">
              <a16:creationId xmlns:a16="http://schemas.microsoft.com/office/drawing/2014/main" id="{00000000-0008-0000-2700-00000A000000}"/>
            </a:ext>
          </a:extLst>
        </xdr:cNvPr>
        <xdr:cNvSpPr txBox="1"/>
      </xdr:nvSpPr>
      <xdr:spPr>
        <a:xfrm>
          <a:off x="9474995" y="0"/>
          <a:ext cx="6954307" cy="271594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Adjustments Included on this Worksheet:</a:t>
          </a:r>
        </a:p>
        <a:p>
          <a:pPr marL="0" marR="0" lvl="0" indent="0" defTabSz="914400" rtl="0" eaLnBrk="1" fontAlgn="auto" latinLnBrk="0" hangingPunct="1">
            <a:lnSpc>
              <a:spcPct val="100000"/>
            </a:lnSpc>
            <a:spcBef>
              <a:spcPts val="0"/>
            </a:spcBef>
            <a:spcAft>
              <a:spcPts val="6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1. Construction Quality (Requires Matching Construction Class and Quality Ratings  in Datappraise Web)</a:t>
          </a:r>
        </a:p>
        <a:p>
          <a:pPr marL="0" marR="0" lvl="0" indent="0" defTabSz="914400" rtl="0" eaLnBrk="1" fontAlgn="auto" latinLnBrk="0" hangingPunct="1">
            <a:lnSpc>
              <a:spcPct val="100000"/>
            </a:lnSpc>
            <a:spcBef>
              <a:spcPts val="0"/>
            </a:spcBef>
            <a:spcAft>
              <a:spcPts val="6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2. Clear Height </a:t>
          </a:r>
          <a:r>
            <a:rPr lang="en-US" sz="1100" b="1" i="0" baseline="0">
              <a:solidFill>
                <a:schemeClr val="dk1"/>
              </a:solidFill>
              <a:effectLst/>
              <a:latin typeface="+mn-lt"/>
              <a:ea typeface="+mn-ea"/>
              <a:cs typeface="+mn-cs"/>
            </a:rPr>
            <a:t>(Note Max Adjust. Cut-Off is Optional and Market Specific)</a:t>
          </a:r>
          <a:endParaRPr lang="en-US" sz="1000" b="1" i="0" baseline="0">
            <a:solidFill>
              <a:schemeClr val="dk1"/>
            </a:solidFill>
            <a:effectLst/>
            <a:latin typeface="Segoe UI" panose="020B0502040204020203" pitchFamily="34" charset="0"/>
            <a:ea typeface="+mn-ea"/>
            <a:cs typeface="Segoe UI" panose="020B0502040204020203" pitchFamily="34" charset="0"/>
          </a:endParaRPr>
        </a:p>
        <a:p>
          <a:pPr rtl="0">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3. Percent Office</a:t>
          </a:r>
        </a:p>
        <a:p>
          <a:pPr rtl="0">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4. Land-to-Building Ratio</a:t>
          </a:r>
        </a:p>
        <a:p>
          <a:pPr rtl="0">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5. Effective Age</a:t>
          </a:r>
        </a:p>
        <a:p>
          <a:pPr rtl="0">
            <a:spcBef>
              <a:spcPts val="0"/>
            </a:spcBef>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Instructions</a:t>
          </a:r>
        </a:p>
        <a:p>
          <a:pPr rtl="0"/>
          <a:r>
            <a:rPr lang="en-US" sz="1000" b="1" i="0" baseline="0">
              <a:solidFill>
                <a:schemeClr val="dk1"/>
              </a:solidFill>
              <a:effectLst/>
              <a:latin typeface="Segoe UI" panose="020B0502040204020203" pitchFamily="34" charset="0"/>
              <a:ea typeface="+mn-ea"/>
              <a:cs typeface="Segoe UI" panose="020B0502040204020203" pitchFamily="34" charset="0"/>
            </a:rPr>
            <a:t>1. </a:t>
          </a:r>
          <a:r>
            <a:rPr lang="en-US" sz="1100" b="1" i="0" baseline="0">
              <a:solidFill>
                <a:schemeClr val="dk1"/>
              </a:solidFill>
              <a:effectLst/>
              <a:latin typeface="+mn-lt"/>
              <a:ea typeface="+mn-ea"/>
              <a:cs typeface="+mn-cs"/>
            </a:rPr>
            <a:t>User inputs in cells with white background only</a:t>
          </a:r>
          <a:endParaRPr lang="en-US" sz="1000">
            <a:effectLst/>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Improved Sales Adjustment Grid Datappraise Merge</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xdr:txBody>
    </xdr:sp>
    <xdr:clientData/>
  </xdr:twoCellAnchor>
  <xdr:twoCellAnchor editAs="absolute">
    <xdr:from>
      <xdr:col>0</xdr:col>
      <xdr:colOff>0</xdr:colOff>
      <xdr:row>0</xdr:row>
      <xdr:rowOff>0</xdr:rowOff>
    </xdr:from>
    <xdr:to>
      <xdr:col>15</xdr:col>
      <xdr:colOff>293948</xdr:colOff>
      <xdr:row>0</xdr:row>
      <xdr:rowOff>731520</xdr:rowOff>
    </xdr:to>
    <xdr:grpSp>
      <xdr:nvGrpSpPr>
        <xdr:cNvPr id="3" name="Group 2">
          <a:extLst>
            <a:ext uri="{FF2B5EF4-FFF2-40B4-BE49-F238E27FC236}">
              <a16:creationId xmlns:a16="http://schemas.microsoft.com/office/drawing/2014/main" id="{00000000-0008-0000-2700-000003000000}"/>
            </a:ext>
          </a:extLst>
        </xdr:cNvPr>
        <xdr:cNvGrpSpPr>
          <a:grpSpLocks noChangeAspect="1"/>
        </xdr:cNvGrpSpPr>
      </xdr:nvGrpSpPr>
      <xdr:grpSpPr>
        <a:xfrm>
          <a:off x="0" y="0"/>
          <a:ext cx="7742498" cy="731520"/>
          <a:chOff x="0" y="0"/>
          <a:chExt cx="7730064" cy="731520"/>
        </a:xfrm>
      </xdr:grpSpPr>
      <xdr:sp macro="[0]!GoTo_Main" textlink="">
        <xdr:nvSpPr>
          <xdr:cNvPr id="12" name="Rounded Rectangle 11">
            <a:extLst>
              <a:ext uri="{FF2B5EF4-FFF2-40B4-BE49-F238E27FC236}">
                <a16:creationId xmlns:a16="http://schemas.microsoft.com/office/drawing/2014/main" id="{00000000-0008-0000-2700-00000C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SalesApproachSummary_Table_Light" textlink="">
        <xdr:nvSpPr>
          <xdr:cNvPr id="13" name="Rounded Rectangle 12">
            <a:extLst>
              <a:ext uri="{FF2B5EF4-FFF2-40B4-BE49-F238E27FC236}">
                <a16:creationId xmlns:a16="http://schemas.microsoft.com/office/drawing/2014/main" id="{00000000-0008-0000-2700-00000D000000}"/>
              </a:ext>
            </a:extLst>
          </xdr:cNvPr>
          <xdr:cNvSpPr>
            <a:spLocks noChangeAspect="1"/>
          </xdr:cNvSpPr>
        </xdr:nvSpPr>
        <xdr:spPr>
          <a:xfrm>
            <a:off x="952502" y="0"/>
            <a:ext cx="128016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Light</a:t>
            </a:r>
          </a:p>
        </xdr:txBody>
      </xdr:sp>
      <xdr:sp macro="[0]!GoTo_SalesApproachSummary_Table_Detailed" textlink="">
        <xdr:nvSpPr>
          <xdr:cNvPr id="14" name="Rounded Rectangle 13">
            <a:extLst>
              <a:ext uri="{FF2B5EF4-FFF2-40B4-BE49-F238E27FC236}">
                <a16:creationId xmlns:a16="http://schemas.microsoft.com/office/drawing/2014/main" id="{00000000-0008-0000-2700-00000E000000}"/>
              </a:ext>
            </a:extLst>
          </xdr:cNvPr>
          <xdr:cNvSpPr>
            <a:spLocks noChangeAspect="1"/>
          </xdr:cNvSpPr>
        </xdr:nvSpPr>
        <xdr:spPr>
          <a:xfrm>
            <a:off x="2264834" y="0"/>
            <a:ext cx="128016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Detailed</a:t>
            </a:r>
          </a:p>
        </xdr:txBody>
      </xdr:sp>
      <xdr:sp macro="[0]!GoTo_SalesApproach_Grid" textlink="">
        <xdr:nvSpPr>
          <xdr:cNvPr id="15" name="Rounded Rectangle 14">
            <a:extLst>
              <a:ext uri="{FF2B5EF4-FFF2-40B4-BE49-F238E27FC236}">
                <a16:creationId xmlns:a16="http://schemas.microsoft.com/office/drawing/2014/main" id="{00000000-0008-0000-2700-00000F000000}"/>
              </a:ext>
            </a:extLst>
          </xdr:cNvPr>
          <xdr:cNvSpPr>
            <a:spLocks noChangeAspect="1"/>
          </xdr:cNvSpPr>
        </xdr:nvSpPr>
        <xdr:spPr>
          <a:xfrm>
            <a:off x="3577169" y="0"/>
            <a:ext cx="91440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Adj. Grid</a:t>
            </a:r>
          </a:p>
        </xdr:txBody>
      </xdr:sp>
      <xdr:sp macro="[0]!Update_SalesAutoAdj_Tables" textlink="">
        <xdr:nvSpPr>
          <xdr:cNvPr id="16" name="Rounded Rectangle 15">
            <a:extLst>
              <a:ext uri="{FF2B5EF4-FFF2-40B4-BE49-F238E27FC236}">
                <a16:creationId xmlns:a16="http://schemas.microsoft.com/office/drawing/2014/main" id="{00000000-0008-0000-2700-000010000000}"/>
              </a:ext>
            </a:extLst>
          </xdr:cNvPr>
          <xdr:cNvSpPr>
            <a:spLocks noChangeAspect="1"/>
          </xdr:cNvSpPr>
        </xdr:nvSpPr>
        <xdr:spPr>
          <a:xfrm>
            <a:off x="5852582"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SalesAutoAdj_Tables" textlink="">
        <xdr:nvSpPr>
          <xdr:cNvPr id="17" name="Rounded Rectangle 16">
            <a:extLst>
              <a:ext uri="{FF2B5EF4-FFF2-40B4-BE49-F238E27FC236}">
                <a16:creationId xmlns:a16="http://schemas.microsoft.com/office/drawing/2014/main" id="{00000000-0008-0000-2700-000011000000}"/>
              </a:ext>
            </a:extLst>
          </xdr:cNvPr>
          <xdr:cNvSpPr>
            <a:spLocks noChangeAspect="1"/>
          </xdr:cNvSpPr>
        </xdr:nvSpPr>
        <xdr:spPr>
          <a:xfrm>
            <a:off x="6815664"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GoTo_SalesSpecialtyAdjustment_Tables" textlink="">
        <xdr:nvSpPr>
          <xdr:cNvPr id="11" name="Rounded Rectangle 10">
            <a:extLst>
              <a:ext uri="{FF2B5EF4-FFF2-40B4-BE49-F238E27FC236}">
                <a16:creationId xmlns:a16="http://schemas.microsoft.com/office/drawing/2014/main" id="{00000000-0008-0000-2700-00000B000000}"/>
              </a:ext>
            </a:extLst>
          </xdr:cNvPr>
          <xdr:cNvSpPr>
            <a:spLocks noChangeAspect="1"/>
          </xdr:cNvSpPr>
        </xdr:nvSpPr>
        <xdr:spPr>
          <a:xfrm>
            <a:off x="4529671" y="0"/>
            <a:ext cx="128016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Specialty Adj.</a:t>
            </a:r>
          </a:p>
        </xdr:txBody>
      </xdr:sp>
    </xdr:grpSp>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40</xdr:col>
      <xdr:colOff>582081</xdr:colOff>
      <xdr:row>0</xdr:row>
      <xdr:rowOff>731520</xdr:rowOff>
    </xdr:to>
    <xdr:grpSp>
      <xdr:nvGrpSpPr>
        <xdr:cNvPr id="12" name="Group 11">
          <a:extLst>
            <a:ext uri="{FF2B5EF4-FFF2-40B4-BE49-F238E27FC236}">
              <a16:creationId xmlns:a16="http://schemas.microsoft.com/office/drawing/2014/main" id="{00000000-0008-0000-2800-00000C000000}"/>
            </a:ext>
          </a:extLst>
        </xdr:cNvPr>
        <xdr:cNvGrpSpPr/>
      </xdr:nvGrpSpPr>
      <xdr:grpSpPr>
        <a:xfrm>
          <a:off x="0" y="0"/>
          <a:ext cx="10259481" cy="731520"/>
          <a:chOff x="0" y="0"/>
          <a:chExt cx="10297581" cy="731520"/>
        </a:xfrm>
      </xdr:grpSpPr>
      <xdr:sp macro="[0]!GoTo_Main" textlink="">
        <xdr:nvSpPr>
          <xdr:cNvPr id="3" name="Rounded Rectangle 2">
            <a:extLst>
              <a:ext uri="{FF2B5EF4-FFF2-40B4-BE49-F238E27FC236}">
                <a16:creationId xmlns:a16="http://schemas.microsoft.com/office/drawing/2014/main" id="{00000000-0008-0000-2800-000003000000}"/>
              </a:ext>
            </a:extLst>
          </xdr:cNvPr>
          <xdr:cNvSpPr>
            <a:spLocks noChangeAspect="1"/>
          </xdr:cNvSpPr>
        </xdr:nvSpPr>
        <xdr:spPr>
          <a:xfrm>
            <a:off x="0" y="0"/>
            <a:ext cx="918633"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SalesApproachSummary_Table_Light" textlink="">
        <xdr:nvSpPr>
          <xdr:cNvPr id="4" name="Rounded Rectangle 3">
            <a:extLst>
              <a:ext uri="{FF2B5EF4-FFF2-40B4-BE49-F238E27FC236}">
                <a16:creationId xmlns:a16="http://schemas.microsoft.com/office/drawing/2014/main" id="{00000000-0008-0000-2800-000004000000}"/>
              </a:ext>
            </a:extLst>
          </xdr:cNvPr>
          <xdr:cNvSpPr>
            <a:spLocks noChangeAspect="1"/>
          </xdr:cNvSpPr>
        </xdr:nvSpPr>
        <xdr:spPr>
          <a:xfrm>
            <a:off x="955710" y="0"/>
            <a:ext cx="1288627"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Light</a:t>
            </a:r>
          </a:p>
        </xdr:txBody>
      </xdr:sp>
      <xdr:sp macro="[0]!GoTo_SalesApproachSummary_Table_Detailed" textlink="">
        <xdr:nvSpPr>
          <xdr:cNvPr id="5" name="Rounded Rectangle 4">
            <a:extLst>
              <a:ext uri="{FF2B5EF4-FFF2-40B4-BE49-F238E27FC236}">
                <a16:creationId xmlns:a16="http://schemas.microsoft.com/office/drawing/2014/main" id="{00000000-0008-0000-2800-000005000000}"/>
              </a:ext>
            </a:extLst>
          </xdr:cNvPr>
          <xdr:cNvSpPr>
            <a:spLocks noChangeAspect="1"/>
          </xdr:cNvSpPr>
        </xdr:nvSpPr>
        <xdr:spPr>
          <a:xfrm>
            <a:off x="2275452" y="0"/>
            <a:ext cx="1288627"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Detailed</a:t>
            </a:r>
          </a:p>
        </xdr:txBody>
      </xdr:sp>
      <xdr:sp macro="[0]!GoTo_SalesApproach_Grid" textlink="">
        <xdr:nvSpPr>
          <xdr:cNvPr id="6" name="Rounded Rectangle 5">
            <a:extLst>
              <a:ext uri="{FF2B5EF4-FFF2-40B4-BE49-F238E27FC236}">
                <a16:creationId xmlns:a16="http://schemas.microsoft.com/office/drawing/2014/main" id="{00000000-0008-0000-2800-000006000000}"/>
              </a:ext>
            </a:extLst>
          </xdr:cNvPr>
          <xdr:cNvSpPr>
            <a:spLocks noChangeAspect="1"/>
          </xdr:cNvSpPr>
        </xdr:nvSpPr>
        <xdr:spPr>
          <a:xfrm>
            <a:off x="4720210" y="0"/>
            <a:ext cx="918633"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Adj. Grid</a:t>
            </a:r>
          </a:p>
        </xdr:txBody>
      </xdr:sp>
      <xdr:sp macro="[0]!UseSpecialtyAdj_PropertyRights" textlink="">
        <xdr:nvSpPr>
          <xdr:cNvPr id="7" name="Rounded Rectangle 6">
            <a:extLst>
              <a:ext uri="{FF2B5EF4-FFF2-40B4-BE49-F238E27FC236}">
                <a16:creationId xmlns:a16="http://schemas.microsoft.com/office/drawing/2014/main" id="{00000000-0008-0000-2800-000007000000}"/>
              </a:ext>
            </a:extLst>
          </xdr:cNvPr>
          <xdr:cNvSpPr>
            <a:spLocks noChangeAspect="1"/>
          </xdr:cNvSpPr>
        </xdr:nvSpPr>
        <xdr:spPr>
          <a:xfrm>
            <a:off x="5677963" y="0"/>
            <a:ext cx="13716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Apply</a:t>
            </a:r>
            <a:r>
              <a:rPr lang="en-US" sz="1200" b="1" baseline="0">
                <a:solidFill>
                  <a:srgbClr val="1F497D"/>
                </a:solidFill>
                <a:latin typeface="Segoe UI" panose="020B0502040204020203" pitchFamily="34" charset="0"/>
                <a:cs typeface="Segoe UI" panose="020B0502040204020203" pitchFamily="34" charset="0"/>
              </a:rPr>
              <a:t> Property Rights Adj.</a:t>
            </a:r>
            <a:endParaRPr lang="en-US" sz="1200" b="1">
              <a:solidFill>
                <a:srgbClr val="1F497D"/>
              </a:solidFill>
              <a:latin typeface="Segoe UI" panose="020B0502040204020203" pitchFamily="34" charset="0"/>
              <a:cs typeface="Segoe UI" panose="020B0502040204020203" pitchFamily="34" charset="0"/>
            </a:endParaRPr>
          </a:p>
        </xdr:txBody>
      </xdr:sp>
      <xdr:sp macro="[0]!UseSpecialtyAdj_NOILocation" textlink="">
        <xdr:nvSpPr>
          <xdr:cNvPr id="8" name="Rounded Rectangle 7">
            <a:extLst>
              <a:ext uri="{FF2B5EF4-FFF2-40B4-BE49-F238E27FC236}">
                <a16:creationId xmlns:a16="http://schemas.microsoft.com/office/drawing/2014/main" id="{00000000-0008-0000-2800-000008000000}"/>
              </a:ext>
            </a:extLst>
          </xdr:cNvPr>
          <xdr:cNvSpPr>
            <a:spLocks noChangeAspect="1"/>
          </xdr:cNvSpPr>
        </xdr:nvSpPr>
        <xdr:spPr>
          <a:xfrm>
            <a:off x="7094014" y="0"/>
            <a:ext cx="128016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Apply NOI Location Adj.</a:t>
            </a:r>
          </a:p>
        </xdr:txBody>
      </xdr:sp>
      <xdr:sp macro="[0]!GoTo_SalesAutomatedAdjustment_Tables" textlink="">
        <xdr:nvSpPr>
          <xdr:cNvPr id="9" name="Rounded Rectangle 8">
            <a:extLst>
              <a:ext uri="{FF2B5EF4-FFF2-40B4-BE49-F238E27FC236}">
                <a16:creationId xmlns:a16="http://schemas.microsoft.com/office/drawing/2014/main" id="{00000000-0008-0000-2800-000009000000}"/>
              </a:ext>
            </a:extLst>
          </xdr:cNvPr>
          <xdr:cNvSpPr>
            <a:spLocks noChangeAspect="1"/>
          </xdr:cNvSpPr>
        </xdr:nvSpPr>
        <xdr:spPr>
          <a:xfrm>
            <a:off x="3590960" y="0"/>
            <a:ext cx="1091565" cy="729481"/>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effectLst/>
                <a:latin typeface="Segoe UI" panose="020B0502040204020203" pitchFamily="34" charset="0"/>
                <a:ea typeface="+mn-ea"/>
                <a:cs typeface="Segoe UI" panose="020B0502040204020203" pitchFamily="34" charset="0"/>
              </a:rPr>
              <a:t>SCA Auto. Adj.</a:t>
            </a:r>
            <a:endParaRPr lang="en-US" sz="1400">
              <a:effectLst/>
              <a:latin typeface="Segoe UI" panose="020B0502040204020203" pitchFamily="34" charset="0"/>
              <a:cs typeface="Segoe UI" panose="020B0502040204020203" pitchFamily="34" charset="0"/>
            </a:endParaRPr>
          </a:p>
        </xdr:txBody>
      </xdr:sp>
      <xdr:sp macro="[0]!Update_SalesSpecialtyAdj_Tables" textlink="">
        <xdr:nvSpPr>
          <xdr:cNvPr id="10" name="Rounded Rectangle 9">
            <a:extLst>
              <a:ext uri="{FF2B5EF4-FFF2-40B4-BE49-F238E27FC236}">
                <a16:creationId xmlns:a16="http://schemas.microsoft.com/office/drawing/2014/main" id="{00000000-0008-0000-2800-00000A000000}"/>
              </a:ext>
            </a:extLst>
          </xdr:cNvPr>
          <xdr:cNvSpPr>
            <a:spLocks noChangeAspect="1"/>
          </xdr:cNvSpPr>
        </xdr:nvSpPr>
        <xdr:spPr>
          <a:xfrm>
            <a:off x="8413749" y="0"/>
            <a:ext cx="922867"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SalesSpecialtyAdj_Tables" textlink="">
        <xdr:nvSpPr>
          <xdr:cNvPr id="11" name="Rounded Rectangle 10">
            <a:extLst>
              <a:ext uri="{FF2B5EF4-FFF2-40B4-BE49-F238E27FC236}">
                <a16:creationId xmlns:a16="http://schemas.microsoft.com/office/drawing/2014/main" id="{00000000-0008-0000-2800-00000B000000}"/>
              </a:ext>
            </a:extLst>
          </xdr:cNvPr>
          <xdr:cNvSpPr>
            <a:spLocks noChangeAspect="1"/>
          </xdr:cNvSpPr>
        </xdr:nvSpPr>
        <xdr:spPr>
          <a:xfrm>
            <a:off x="9374715" y="0"/>
            <a:ext cx="92286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grpSp>
    <xdr:clientData/>
  </xdr:twoCellAnchor>
  <xdr:twoCellAnchor editAs="absolute">
    <xdr:from>
      <xdr:col>41</xdr:col>
      <xdr:colOff>180975</xdr:colOff>
      <xdr:row>0</xdr:row>
      <xdr:rowOff>114300</xdr:rowOff>
    </xdr:from>
    <xdr:to>
      <xdr:col>52</xdr:col>
      <xdr:colOff>403225</xdr:colOff>
      <xdr:row>3</xdr:row>
      <xdr:rowOff>19050</xdr:rowOff>
    </xdr:to>
    <xdr:sp macro="" textlink="">
      <xdr:nvSpPr>
        <xdr:cNvPr id="14" name="TextBox 13">
          <a:extLst>
            <a:ext uri="{FF2B5EF4-FFF2-40B4-BE49-F238E27FC236}">
              <a16:creationId xmlns:a16="http://schemas.microsoft.com/office/drawing/2014/main" id="{00000000-0008-0000-2800-00000E000000}"/>
            </a:ext>
          </a:extLst>
        </xdr:cNvPr>
        <xdr:cNvSpPr txBox="1"/>
      </xdr:nvSpPr>
      <xdr:spPr>
        <a:xfrm>
          <a:off x="10467975" y="114300"/>
          <a:ext cx="6927850" cy="123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Instructions</a:t>
          </a:r>
        </a:p>
        <a:p>
          <a:pPr rtl="0"/>
          <a:r>
            <a:rPr lang="en-US" sz="1000" b="1" i="0" baseline="0">
              <a:solidFill>
                <a:schemeClr val="dk1"/>
              </a:solidFill>
              <a:effectLst/>
              <a:latin typeface="Segoe UI" panose="020B0502040204020203" pitchFamily="34" charset="0"/>
              <a:ea typeface="+mn-ea"/>
              <a:cs typeface="Segoe UI" panose="020B0502040204020203" pitchFamily="34" charset="0"/>
            </a:rPr>
            <a:t>1. User inputs in cells with white background only</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Improved Sales Summary Detailed Datappraise Merge</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17</xdr:col>
      <xdr:colOff>468842</xdr:colOff>
      <xdr:row>0</xdr:row>
      <xdr:rowOff>25400</xdr:rowOff>
    </xdr:from>
    <xdr:to>
      <xdr:col>31</xdr:col>
      <xdr:colOff>606426</xdr:colOff>
      <xdr:row>5</xdr:row>
      <xdr:rowOff>0</xdr:rowOff>
    </xdr:to>
    <xdr:sp macro="" textlink="">
      <xdr:nvSpPr>
        <xdr:cNvPr id="9" name="TextBox 8">
          <a:hlinkClick xmlns:r="http://schemas.openxmlformats.org/officeDocument/2006/relationships" r:id="rId1"/>
          <a:extLst>
            <a:ext uri="{FF2B5EF4-FFF2-40B4-BE49-F238E27FC236}">
              <a16:creationId xmlns:a16="http://schemas.microsoft.com/office/drawing/2014/main" id="{00000000-0008-0000-2900-000009000000}"/>
            </a:ext>
          </a:extLst>
        </xdr:cNvPr>
        <xdr:cNvSpPr txBox="1">
          <a:spLocks noChangeAspect="1"/>
        </xdr:cNvSpPr>
      </xdr:nvSpPr>
      <xdr:spPr>
        <a:xfrm>
          <a:off x="11146366" y="31750"/>
          <a:ext cx="8263468" cy="17356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Make sure all proper assumptions are selected, including Adjustment Categories</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User inputs in cells with white background only (%, whole $ or $/unit adjustments may be used regardless of selected display)</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Use Insert Manager to bring in data for User Defined adjustment categories if desired (see cell comments for additional instructions)</a:t>
          </a: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4. Press</a:t>
          </a:r>
          <a:r>
            <a:rPr lang="en-US" sz="1000" b="1" baseline="0">
              <a:effectLst/>
              <a:latin typeface="Segoe UI" panose="020B0502040204020203" pitchFamily="34" charset="0"/>
              <a:cs typeface="Segoe UI" panose="020B0502040204020203" pitchFamily="34" charset="0"/>
            </a:rPr>
            <a:t> "Update" Button when complete - removes background colors/cell comment indicators, hides rows &amp; sets print area</a:t>
          </a: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5. Press "Default" Button to add</a:t>
          </a:r>
          <a:r>
            <a:rPr lang="en-US" sz="1000" b="1" baseline="0">
              <a:effectLst/>
              <a:latin typeface="Segoe UI" panose="020B0502040204020203" pitchFamily="34" charset="0"/>
              <a:cs typeface="Segoe UI" panose="020B0502040204020203" pitchFamily="34" charset="0"/>
            </a:rPr>
            <a:t> background colors/cell comment indicators &amp; unhide all rows to modify prior input</a:t>
          </a:r>
        </a:p>
        <a:p>
          <a:pPr algn="l" rtl="0">
            <a:spcBef>
              <a:spcPts val="300"/>
            </a:spcBef>
            <a:spcAft>
              <a:spcPts val="300"/>
            </a:spcAft>
          </a:pPr>
          <a:r>
            <a:rPr lang="en-US" sz="1000" b="1" baseline="0">
              <a:solidFill>
                <a:schemeClr val="dk1"/>
              </a:solidFill>
              <a:effectLst/>
              <a:latin typeface="Segoe UI" panose="020B0502040204020203" pitchFamily="34" charset="0"/>
              <a:ea typeface="+mn-ea"/>
              <a:cs typeface="Segoe UI" panose="020B0502040204020203" pitchFamily="34" charset="0"/>
            </a:rPr>
            <a:t>6. Note that Adjustment Entries DO NOT move if a Datappraise merge results in comparables moving</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b="1"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oneCell">
    <xdr:from>
      <xdr:col>24</xdr:col>
      <xdr:colOff>105831</xdr:colOff>
      <xdr:row>151</xdr:row>
      <xdr:rowOff>127000</xdr:rowOff>
    </xdr:from>
    <xdr:to>
      <xdr:col>26</xdr:col>
      <xdr:colOff>640166</xdr:colOff>
      <xdr:row>155</xdr:row>
      <xdr:rowOff>105053</xdr:rowOff>
    </xdr:to>
    <xdr:sp macro="[0]!GoTo_SalesApproach_Grid" textlink="">
      <xdr:nvSpPr>
        <xdr:cNvPr id="19" name="Rounded Rectangle 18">
          <a:extLst>
            <a:ext uri="{FF2B5EF4-FFF2-40B4-BE49-F238E27FC236}">
              <a16:creationId xmlns:a16="http://schemas.microsoft.com/office/drawing/2014/main" id="{00000000-0008-0000-2900-000013000000}"/>
            </a:ext>
          </a:extLst>
        </xdr:cNvPr>
        <xdr:cNvSpPr>
          <a:spLocks noChangeAspect="1"/>
        </xdr:cNvSpPr>
      </xdr:nvSpPr>
      <xdr:spPr>
        <a:xfrm>
          <a:off x="16584081" y="26056167"/>
          <a:ext cx="1561976" cy="733703"/>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Return</a:t>
          </a:r>
          <a:r>
            <a:rPr lang="en-US" sz="1200" b="1" baseline="0">
              <a:solidFill>
                <a:schemeClr val="bg1"/>
              </a:solidFill>
              <a:latin typeface="Segoe UI" panose="020B0502040204020203" pitchFamily="34" charset="0"/>
              <a:cs typeface="Segoe UI" panose="020B0502040204020203" pitchFamily="34" charset="0"/>
            </a:rPr>
            <a:t> to Top</a:t>
          </a:r>
          <a:endParaRPr lang="en-US" sz="1200" b="1">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3</xdr:col>
      <xdr:colOff>361900</xdr:colOff>
      <xdr:row>0</xdr:row>
      <xdr:rowOff>730488</xdr:rowOff>
    </xdr:to>
    <xdr:sp macro="[0]!GoTo_Main" textlink="">
      <xdr:nvSpPr>
        <xdr:cNvPr id="25" name="Rounded Rectangle 24">
          <a:extLst>
            <a:ext uri="{FF2B5EF4-FFF2-40B4-BE49-F238E27FC236}">
              <a16:creationId xmlns:a16="http://schemas.microsoft.com/office/drawing/2014/main" id="{00000000-0008-0000-2900-000019000000}"/>
            </a:ext>
          </a:extLst>
        </xdr:cNvPr>
        <xdr:cNvSpPr>
          <a:spLocks noChangeAspect="1"/>
        </xdr:cNvSpPr>
      </xdr:nvSpPr>
      <xdr:spPr>
        <a:xfrm>
          <a:off x="0" y="0"/>
          <a:ext cx="914350" cy="730488"/>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3</xdr:col>
      <xdr:colOff>1531990</xdr:colOff>
      <xdr:row>0</xdr:row>
      <xdr:rowOff>0</xdr:rowOff>
    </xdr:from>
    <xdr:to>
      <xdr:col>5</xdr:col>
      <xdr:colOff>582189</xdr:colOff>
      <xdr:row>0</xdr:row>
      <xdr:rowOff>730488</xdr:rowOff>
    </xdr:to>
    <xdr:sp macro="[0]!GoTo_SalesApproachSummary_Table_Light" textlink="">
      <xdr:nvSpPr>
        <xdr:cNvPr id="26" name="Rounded Rectangle 25">
          <a:extLst>
            <a:ext uri="{FF2B5EF4-FFF2-40B4-BE49-F238E27FC236}">
              <a16:creationId xmlns:a16="http://schemas.microsoft.com/office/drawing/2014/main" id="{00000000-0008-0000-2900-00001A000000}"/>
            </a:ext>
          </a:extLst>
        </xdr:cNvPr>
        <xdr:cNvSpPr>
          <a:spLocks noChangeAspect="1"/>
        </xdr:cNvSpPr>
      </xdr:nvSpPr>
      <xdr:spPr>
        <a:xfrm>
          <a:off x="2090790" y="0"/>
          <a:ext cx="1275874" cy="730488"/>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Light</a:t>
          </a:r>
        </a:p>
      </xdr:txBody>
    </xdr:sp>
    <xdr:clientData/>
  </xdr:twoCellAnchor>
  <xdr:twoCellAnchor editAs="absolute">
    <xdr:from>
      <xdr:col>5</xdr:col>
      <xdr:colOff>618592</xdr:colOff>
      <xdr:row>0</xdr:row>
      <xdr:rowOff>0</xdr:rowOff>
    </xdr:from>
    <xdr:to>
      <xdr:col>6</xdr:col>
      <xdr:colOff>844607</xdr:colOff>
      <xdr:row>0</xdr:row>
      <xdr:rowOff>730488</xdr:rowOff>
    </xdr:to>
    <xdr:sp macro="[0]!GoTo_SalesApproachSummary_Table_Detailed" textlink="">
      <xdr:nvSpPr>
        <xdr:cNvPr id="27" name="Rounded Rectangle 26">
          <a:extLst>
            <a:ext uri="{FF2B5EF4-FFF2-40B4-BE49-F238E27FC236}">
              <a16:creationId xmlns:a16="http://schemas.microsoft.com/office/drawing/2014/main" id="{00000000-0008-0000-2900-00001B000000}"/>
            </a:ext>
          </a:extLst>
        </xdr:cNvPr>
        <xdr:cNvSpPr>
          <a:spLocks noChangeAspect="1"/>
        </xdr:cNvSpPr>
      </xdr:nvSpPr>
      <xdr:spPr>
        <a:xfrm>
          <a:off x="3409417" y="0"/>
          <a:ext cx="1273765" cy="730488"/>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Detailed</a:t>
          </a:r>
        </a:p>
      </xdr:txBody>
    </xdr:sp>
    <xdr:clientData/>
  </xdr:twoCellAnchor>
  <xdr:twoCellAnchor editAs="absolute">
    <xdr:from>
      <xdr:col>7</xdr:col>
      <xdr:colOff>797976</xdr:colOff>
      <xdr:row>0</xdr:row>
      <xdr:rowOff>0</xdr:rowOff>
    </xdr:from>
    <xdr:to>
      <xdr:col>9</xdr:col>
      <xdr:colOff>235288</xdr:colOff>
      <xdr:row>0</xdr:row>
      <xdr:rowOff>730488</xdr:rowOff>
    </xdr:to>
    <xdr:sp macro="[0]!GoTo_SalesAutomatedAdjustment_Tables" textlink="">
      <xdr:nvSpPr>
        <xdr:cNvPr id="28" name="Rounded Rectangle 27">
          <a:extLst>
            <a:ext uri="{FF2B5EF4-FFF2-40B4-BE49-F238E27FC236}">
              <a16:creationId xmlns:a16="http://schemas.microsoft.com/office/drawing/2014/main" id="{00000000-0008-0000-2900-00001C000000}"/>
            </a:ext>
          </a:extLst>
        </xdr:cNvPr>
        <xdr:cNvSpPr>
          <a:spLocks noChangeAspect="1"/>
        </xdr:cNvSpPr>
      </xdr:nvSpPr>
      <xdr:spPr>
        <a:xfrm>
          <a:off x="5684301" y="0"/>
          <a:ext cx="1462962" cy="730488"/>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effectLst/>
              <a:latin typeface="Segoe UI" panose="020B0502040204020203" pitchFamily="34" charset="0"/>
              <a:ea typeface="+mn-ea"/>
              <a:cs typeface="Segoe UI" panose="020B0502040204020203" pitchFamily="34" charset="0"/>
            </a:rPr>
            <a:t>SCA Automated Adj.</a:t>
          </a:r>
          <a:endParaRPr lang="en-US" sz="1400">
            <a:effectLst/>
            <a:latin typeface="Segoe UI" panose="020B0502040204020203" pitchFamily="34" charset="0"/>
            <a:cs typeface="Segoe UI" panose="020B0502040204020203" pitchFamily="34" charset="0"/>
          </a:endParaRPr>
        </a:p>
      </xdr:txBody>
    </xdr:sp>
    <xdr:clientData/>
  </xdr:twoCellAnchor>
  <xdr:twoCellAnchor editAs="absolute">
    <xdr:from>
      <xdr:col>12</xdr:col>
      <xdr:colOff>19160</xdr:colOff>
      <xdr:row>1</xdr:row>
      <xdr:rowOff>26491</xdr:rowOff>
    </xdr:from>
    <xdr:to>
      <xdr:col>16</xdr:col>
      <xdr:colOff>330260</xdr:colOff>
      <xdr:row>3</xdr:row>
      <xdr:rowOff>210879</xdr:rowOff>
    </xdr:to>
    <xdr:sp macro="[0]!Update_SalesAdjust_Grid" textlink="">
      <xdr:nvSpPr>
        <xdr:cNvPr id="29" name="Rounded Rectangle 28">
          <a:extLst>
            <a:ext uri="{FF2B5EF4-FFF2-40B4-BE49-F238E27FC236}">
              <a16:creationId xmlns:a16="http://schemas.microsoft.com/office/drawing/2014/main" id="{00000000-0008-0000-2900-00001D000000}"/>
            </a:ext>
          </a:extLst>
        </xdr:cNvPr>
        <xdr:cNvSpPr>
          <a:spLocks noChangeAspect="1"/>
        </xdr:cNvSpPr>
      </xdr:nvSpPr>
      <xdr:spPr>
        <a:xfrm>
          <a:off x="8185260" y="794841"/>
          <a:ext cx="914350" cy="730488"/>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clientData/>
  </xdr:twoCellAnchor>
  <xdr:twoCellAnchor editAs="absolute">
    <xdr:from>
      <xdr:col>16</xdr:col>
      <xdr:colOff>391689</xdr:colOff>
      <xdr:row>1</xdr:row>
      <xdr:rowOff>26491</xdr:rowOff>
    </xdr:from>
    <xdr:to>
      <xdr:col>16</xdr:col>
      <xdr:colOff>1302864</xdr:colOff>
      <xdr:row>3</xdr:row>
      <xdr:rowOff>210879</xdr:rowOff>
    </xdr:to>
    <xdr:sp macro="[0]!Default_SalesAdjust_Grid" textlink="">
      <xdr:nvSpPr>
        <xdr:cNvPr id="30" name="Rounded Rectangle 29">
          <a:extLst>
            <a:ext uri="{FF2B5EF4-FFF2-40B4-BE49-F238E27FC236}">
              <a16:creationId xmlns:a16="http://schemas.microsoft.com/office/drawing/2014/main" id="{00000000-0008-0000-2900-00001E000000}"/>
            </a:ext>
          </a:extLst>
        </xdr:cNvPr>
        <xdr:cNvSpPr>
          <a:spLocks noChangeAspect="1"/>
        </xdr:cNvSpPr>
      </xdr:nvSpPr>
      <xdr:spPr>
        <a:xfrm>
          <a:off x="9148339" y="794841"/>
          <a:ext cx="914350" cy="730488"/>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clientData/>
  </xdr:twoCellAnchor>
  <xdr:twoCellAnchor editAs="absolute">
    <xdr:from>
      <xdr:col>6</xdr:col>
      <xdr:colOff>188818</xdr:colOff>
      <xdr:row>1</xdr:row>
      <xdr:rowOff>49794</xdr:rowOff>
    </xdr:from>
    <xdr:to>
      <xdr:col>7</xdr:col>
      <xdr:colOff>780574</xdr:colOff>
      <xdr:row>3</xdr:row>
      <xdr:rowOff>221482</xdr:rowOff>
    </xdr:to>
    <xdr:sp macro="[0]!ShowDialogSalesAdj" textlink="">
      <xdr:nvSpPr>
        <xdr:cNvPr id="31" name="Rounded Rectangle 30">
          <a:extLst>
            <a:ext uri="{FF2B5EF4-FFF2-40B4-BE49-F238E27FC236}">
              <a16:creationId xmlns:a16="http://schemas.microsoft.com/office/drawing/2014/main" id="{00000000-0008-0000-2900-00001F000000}"/>
            </a:ext>
          </a:extLst>
        </xdr:cNvPr>
        <xdr:cNvSpPr>
          <a:spLocks noChangeAspect="1"/>
        </xdr:cNvSpPr>
      </xdr:nvSpPr>
      <xdr:spPr>
        <a:xfrm>
          <a:off x="4027393" y="805444"/>
          <a:ext cx="1639506" cy="730488"/>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Select Adjustment Categories</a:t>
          </a:r>
        </a:p>
      </xdr:txBody>
    </xdr:sp>
    <xdr:clientData/>
  </xdr:twoCellAnchor>
  <xdr:twoCellAnchor editAs="absolute">
    <xdr:from>
      <xdr:col>9</xdr:col>
      <xdr:colOff>35112</xdr:colOff>
      <xdr:row>1</xdr:row>
      <xdr:rowOff>26492</xdr:rowOff>
    </xdr:from>
    <xdr:to>
      <xdr:col>11</xdr:col>
      <xdr:colOff>83945</xdr:colOff>
      <xdr:row>3</xdr:row>
      <xdr:rowOff>210880</xdr:rowOff>
    </xdr:to>
    <xdr:sp macro="[0]!ClearSalesAdjustments" textlink="">
      <xdr:nvSpPr>
        <xdr:cNvPr id="36" name="Rounded Rectangle 35">
          <a:extLst>
            <a:ext uri="{FF2B5EF4-FFF2-40B4-BE49-F238E27FC236}">
              <a16:creationId xmlns:a16="http://schemas.microsoft.com/office/drawing/2014/main" id="{00000000-0008-0000-2900-000024000000}"/>
            </a:ext>
          </a:extLst>
        </xdr:cNvPr>
        <xdr:cNvSpPr>
          <a:spLocks noChangeAspect="1"/>
        </xdr:cNvSpPr>
      </xdr:nvSpPr>
      <xdr:spPr>
        <a:xfrm>
          <a:off x="6947087" y="794842"/>
          <a:ext cx="1188658" cy="730488"/>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Clear Adjustments</a:t>
          </a:r>
        </a:p>
      </xdr:txBody>
    </xdr:sp>
    <xdr:clientData/>
  </xdr:twoCellAnchor>
  <xdr:twoCellAnchor editAs="absolute">
    <xdr:from>
      <xdr:col>3</xdr:col>
      <xdr:colOff>399998</xdr:colOff>
      <xdr:row>0</xdr:row>
      <xdr:rowOff>0</xdr:rowOff>
    </xdr:from>
    <xdr:to>
      <xdr:col>3</xdr:col>
      <xdr:colOff>1492980</xdr:colOff>
      <xdr:row>0</xdr:row>
      <xdr:rowOff>730488</xdr:rowOff>
    </xdr:to>
    <xdr:sp macro="[0]!GoTo_ValueIndications_Table" textlink="">
      <xdr:nvSpPr>
        <xdr:cNvPr id="38" name="Rounded Rectangle 37">
          <a:extLst>
            <a:ext uri="{FF2B5EF4-FFF2-40B4-BE49-F238E27FC236}">
              <a16:creationId xmlns:a16="http://schemas.microsoft.com/office/drawing/2014/main" id="{00000000-0008-0000-2900-000026000000}"/>
            </a:ext>
          </a:extLst>
        </xdr:cNvPr>
        <xdr:cNvSpPr>
          <a:spLocks noChangeAspect="1"/>
        </xdr:cNvSpPr>
      </xdr:nvSpPr>
      <xdr:spPr>
        <a:xfrm>
          <a:off x="952448" y="0"/>
          <a:ext cx="1099332" cy="730488"/>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clientData/>
  </xdr:twoCellAnchor>
  <xdr:twoCellAnchor editAs="absolute">
    <xdr:from>
      <xdr:col>7</xdr:col>
      <xdr:colOff>826393</xdr:colOff>
      <xdr:row>1</xdr:row>
      <xdr:rowOff>28598</xdr:rowOff>
    </xdr:from>
    <xdr:to>
      <xdr:col>8</xdr:col>
      <xdr:colOff>974717</xdr:colOff>
      <xdr:row>3</xdr:row>
      <xdr:rowOff>200286</xdr:rowOff>
    </xdr:to>
    <xdr:sp macro="[0]!ShowUserFormTemplateAssumptions" textlink="">
      <xdr:nvSpPr>
        <xdr:cNvPr id="40" name="Rounded Rectangle 39">
          <a:extLst>
            <a:ext uri="{FF2B5EF4-FFF2-40B4-BE49-F238E27FC236}">
              <a16:creationId xmlns:a16="http://schemas.microsoft.com/office/drawing/2014/main" id="{00000000-0008-0000-2900-000028000000}"/>
            </a:ext>
          </a:extLst>
        </xdr:cNvPr>
        <xdr:cNvSpPr>
          <a:spLocks noChangeAspect="1"/>
        </xdr:cNvSpPr>
      </xdr:nvSpPr>
      <xdr:spPr>
        <a:xfrm>
          <a:off x="5719068" y="784248"/>
          <a:ext cx="1186549" cy="730488"/>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a:t>
          </a:r>
          <a:r>
            <a:rPr lang="en-US" sz="1200" b="1" baseline="0">
              <a:solidFill>
                <a:srgbClr val="1F497D"/>
              </a:solidFill>
              <a:latin typeface="Segoe UI" panose="020B0502040204020203" pitchFamily="34" charset="0"/>
              <a:cs typeface="Segoe UI" panose="020B0502040204020203" pitchFamily="34" charset="0"/>
            </a:rPr>
            <a:t> Assumptions</a:t>
          </a:r>
          <a:endParaRPr lang="en-US" sz="1200" b="1">
            <a:solidFill>
              <a:srgbClr val="1F497D"/>
            </a:solidFill>
            <a:latin typeface="Segoe UI" panose="020B0502040204020203" pitchFamily="34" charset="0"/>
            <a:cs typeface="Segoe UI" panose="020B0502040204020203" pitchFamily="34" charset="0"/>
          </a:endParaRPr>
        </a:p>
      </xdr:txBody>
    </xdr:sp>
    <xdr:clientData/>
  </xdr:twoCellAnchor>
  <xdr:twoCellAnchor editAs="absolute">
    <xdr:from>
      <xdr:col>12</xdr:col>
      <xdr:colOff>334488</xdr:colOff>
      <xdr:row>0</xdr:row>
      <xdr:rowOff>9511</xdr:rowOff>
    </xdr:from>
    <xdr:to>
      <xdr:col>16</xdr:col>
      <xdr:colOff>1304685</xdr:colOff>
      <xdr:row>0</xdr:row>
      <xdr:rowOff>744227</xdr:rowOff>
    </xdr:to>
    <xdr:sp macro="[0]!GoTo_SalesApproach_Conclusion" textlink="">
      <xdr:nvSpPr>
        <xdr:cNvPr id="21" name="Rounded Rectangle 20">
          <a:extLst>
            <a:ext uri="{FF2B5EF4-FFF2-40B4-BE49-F238E27FC236}">
              <a16:creationId xmlns:a16="http://schemas.microsoft.com/office/drawing/2014/main" id="{00000000-0008-0000-2900-000015000000}"/>
            </a:ext>
          </a:extLst>
        </xdr:cNvPr>
        <xdr:cNvSpPr>
          <a:spLocks noChangeAspect="1"/>
        </xdr:cNvSpPr>
      </xdr:nvSpPr>
      <xdr:spPr>
        <a:xfrm>
          <a:off x="8506938" y="9511"/>
          <a:ext cx="1554397" cy="734716"/>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SCA Conclusion</a:t>
          </a:r>
        </a:p>
      </xdr:txBody>
    </xdr:sp>
    <xdr:clientData/>
  </xdr:twoCellAnchor>
  <xdr:twoCellAnchor editAs="absolute">
    <xdr:from>
      <xdr:col>6</xdr:col>
      <xdr:colOff>883932</xdr:colOff>
      <xdr:row>0</xdr:row>
      <xdr:rowOff>0</xdr:rowOff>
    </xdr:from>
    <xdr:to>
      <xdr:col>7</xdr:col>
      <xdr:colOff>751619</xdr:colOff>
      <xdr:row>0</xdr:row>
      <xdr:rowOff>732530</xdr:rowOff>
    </xdr:to>
    <xdr:sp macro="[0]!GoTo_SalesApproach_EGIM" textlink="">
      <xdr:nvSpPr>
        <xdr:cNvPr id="20" name="Rounded Rectangle 19">
          <a:extLst>
            <a:ext uri="{FF2B5EF4-FFF2-40B4-BE49-F238E27FC236}">
              <a16:creationId xmlns:a16="http://schemas.microsoft.com/office/drawing/2014/main" id="{00000000-0008-0000-2900-000014000000}"/>
            </a:ext>
          </a:extLst>
        </xdr:cNvPr>
        <xdr:cNvSpPr>
          <a:spLocks noChangeAspect="1"/>
        </xdr:cNvSpPr>
      </xdr:nvSpPr>
      <xdr:spPr>
        <a:xfrm>
          <a:off x="4728857" y="0"/>
          <a:ext cx="909087" cy="73253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EGIM Analysis</a:t>
          </a:r>
        </a:p>
      </xdr:txBody>
    </xdr:sp>
    <xdr:clientData/>
  </xdr:twoCellAnchor>
  <xdr:twoCellAnchor editAs="absolute">
    <xdr:from>
      <xdr:col>9</xdr:col>
      <xdr:colOff>275289</xdr:colOff>
      <xdr:row>0</xdr:row>
      <xdr:rowOff>0</xdr:rowOff>
    </xdr:from>
    <xdr:to>
      <xdr:col>12</xdr:col>
      <xdr:colOff>295160</xdr:colOff>
      <xdr:row>0</xdr:row>
      <xdr:rowOff>732530</xdr:rowOff>
    </xdr:to>
    <xdr:sp macro="[0]!GoTo_SalesSpecialtyAdjustment_Tables" textlink="">
      <xdr:nvSpPr>
        <xdr:cNvPr id="17" name="Rounded Rectangle 16">
          <a:extLst>
            <a:ext uri="{FF2B5EF4-FFF2-40B4-BE49-F238E27FC236}">
              <a16:creationId xmlns:a16="http://schemas.microsoft.com/office/drawing/2014/main" id="{00000000-0008-0000-2900-000011000000}"/>
            </a:ext>
          </a:extLst>
        </xdr:cNvPr>
        <xdr:cNvSpPr>
          <a:spLocks noChangeAspect="1"/>
        </xdr:cNvSpPr>
      </xdr:nvSpPr>
      <xdr:spPr>
        <a:xfrm>
          <a:off x="7193614" y="0"/>
          <a:ext cx="1273996" cy="73253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Specialty Adj.</a:t>
          </a:r>
        </a:p>
      </xdr:txBody>
    </xdr:sp>
    <xdr:clientData/>
  </xdr:twoCellAnchor>
</xdr:wsDr>
</file>

<file path=xl/drawings/drawing3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406397</xdr:colOff>
      <xdr:row>0</xdr:row>
      <xdr:rowOff>731520</xdr:rowOff>
    </xdr:to>
    <xdr:grpSp>
      <xdr:nvGrpSpPr>
        <xdr:cNvPr id="2" name="Group 1">
          <a:extLst>
            <a:ext uri="{FF2B5EF4-FFF2-40B4-BE49-F238E27FC236}">
              <a16:creationId xmlns:a16="http://schemas.microsoft.com/office/drawing/2014/main" id="{00000000-0008-0000-2A00-000002000000}"/>
            </a:ext>
          </a:extLst>
        </xdr:cNvPr>
        <xdr:cNvGrpSpPr>
          <a:grpSpLocks noChangeAspect="1"/>
        </xdr:cNvGrpSpPr>
      </xdr:nvGrpSpPr>
      <xdr:grpSpPr>
        <a:xfrm>
          <a:off x="0" y="0"/>
          <a:ext cx="7740647" cy="731520"/>
          <a:chOff x="0" y="0"/>
          <a:chExt cx="7730064" cy="731520"/>
        </a:xfrm>
      </xdr:grpSpPr>
      <xdr:sp macro="[0]!GoTo_Main" textlink="">
        <xdr:nvSpPr>
          <xdr:cNvPr id="3" name="Rounded Rectangle 2">
            <a:extLst>
              <a:ext uri="{FF2B5EF4-FFF2-40B4-BE49-F238E27FC236}">
                <a16:creationId xmlns:a16="http://schemas.microsoft.com/office/drawing/2014/main" id="{00000000-0008-0000-2A00-000003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SalesApproachSummary_Table_Light" textlink="">
        <xdr:nvSpPr>
          <xdr:cNvPr id="4" name="Rounded Rectangle 3">
            <a:extLst>
              <a:ext uri="{FF2B5EF4-FFF2-40B4-BE49-F238E27FC236}">
                <a16:creationId xmlns:a16="http://schemas.microsoft.com/office/drawing/2014/main" id="{00000000-0008-0000-2A00-000004000000}"/>
              </a:ext>
            </a:extLst>
          </xdr:cNvPr>
          <xdr:cNvSpPr>
            <a:spLocks noChangeAspect="1"/>
          </xdr:cNvSpPr>
        </xdr:nvSpPr>
        <xdr:spPr>
          <a:xfrm>
            <a:off x="952502" y="0"/>
            <a:ext cx="128016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Light</a:t>
            </a:r>
          </a:p>
        </xdr:txBody>
      </xdr:sp>
      <xdr:sp macro="[0]!GoTo_SalesApproachSummary_Table_Detailed" textlink="">
        <xdr:nvSpPr>
          <xdr:cNvPr id="5" name="Rounded Rectangle 4">
            <a:extLst>
              <a:ext uri="{FF2B5EF4-FFF2-40B4-BE49-F238E27FC236}">
                <a16:creationId xmlns:a16="http://schemas.microsoft.com/office/drawing/2014/main" id="{00000000-0008-0000-2A00-000005000000}"/>
              </a:ext>
            </a:extLst>
          </xdr:cNvPr>
          <xdr:cNvSpPr>
            <a:spLocks noChangeAspect="1"/>
          </xdr:cNvSpPr>
        </xdr:nvSpPr>
        <xdr:spPr>
          <a:xfrm>
            <a:off x="2264834" y="0"/>
            <a:ext cx="128016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Detailed</a:t>
            </a:r>
          </a:p>
        </xdr:txBody>
      </xdr:sp>
      <xdr:sp macro="[0]!GoTo_SalesApproach_GridB1" textlink="">
        <xdr:nvSpPr>
          <xdr:cNvPr id="6" name="Rounded Rectangle 5">
            <a:extLst>
              <a:ext uri="{FF2B5EF4-FFF2-40B4-BE49-F238E27FC236}">
                <a16:creationId xmlns:a16="http://schemas.microsoft.com/office/drawing/2014/main" id="{00000000-0008-0000-2A00-000006000000}"/>
              </a:ext>
            </a:extLst>
          </xdr:cNvPr>
          <xdr:cNvSpPr>
            <a:spLocks noChangeAspect="1"/>
          </xdr:cNvSpPr>
        </xdr:nvSpPr>
        <xdr:spPr>
          <a:xfrm>
            <a:off x="3577169" y="0"/>
            <a:ext cx="91440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Grid Bucket 1</a:t>
            </a:r>
          </a:p>
        </xdr:txBody>
      </xdr:sp>
      <xdr:sp macro="[0]!Update_SalesAutoAdj_Bucket1" textlink="">
        <xdr:nvSpPr>
          <xdr:cNvPr id="7" name="Rounded Rectangle 6">
            <a:extLst>
              <a:ext uri="{FF2B5EF4-FFF2-40B4-BE49-F238E27FC236}">
                <a16:creationId xmlns:a16="http://schemas.microsoft.com/office/drawing/2014/main" id="{00000000-0008-0000-2A00-000007000000}"/>
              </a:ext>
            </a:extLst>
          </xdr:cNvPr>
          <xdr:cNvSpPr>
            <a:spLocks noChangeAspect="1"/>
          </xdr:cNvSpPr>
        </xdr:nvSpPr>
        <xdr:spPr>
          <a:xfrm>
            <a:off x="5852582"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a:t>
            </a:r>
          </a:p>
        </xdr:txBody>
      </xdr:sp>
      <xdr:sp macro="[0]!Default_SalesAutoAdj_Bucket1" textlink="">
        <xdr:nvSpPr>
          <xdr:cNvPr id="8" name="Rounded Rectangle 7">
            <a:extLst>
              <a:ext uri="{FF2B5EF4-FFF2-40B4-BE49-F238E27FC236}">
                <a16:creationId xmlns:a16="http://schemas.microsoft.com/office/drawing/2014/main" id="{00000000-0008-0000-2A00-000008000000}"/>
              </a:ext>
            </a:extLst>
          </xdr:cNvPr>
          <xdr:cNvSpPr>
            <a:spLocks noChangeAspect="1"/>
          </xdr:cNvSpPr>
        </xdr:nvSpPr>
        <xdr:spPr>
          <a:xfrm>
            <a:off x="6815664"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sp macro="[0]!GoTo_SalesSpecialtyAdjustment_Bucket1" textlink="">
        <xdr:nvSpPr>
          <xdr:cNvPr id="9" name="Rounded Rectangle 8">
            <a:extLst>
              <a:ext uri="{FF2B5EF4-FFF2-40B4-BE49-F238E27FC236}">
                <a16:creationId xmlns:a16="http://schemas.microsoft.com/office/drawing/2014/main" id="{00000000-0008-0000-2A00-000009000000}"/>
              </a:ext>
            </a:extLst>
          </xdr:cNvPr>
          <xdr:cNvSpPr>
            <a:spLocks noChangeAspect="1"/>
          </xdr:cNvSpPr>
        </xdr:nvSpPr>
        <xdr:spPr>
          <a:xfrm>
            <a:off x="4529671" y="0"/>
            <a:ext cx="128016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Specialty Adj. Bucket 1</a:t>
            </a:r>
          </a:p>
        </xdr:txBody>
      </xdr:sp>
    </xdr:grpSp>
    <xdr:clientData/>
  </xdr:twoCellAnchor>
  <xdr:twoCellAnchor editAs="absolute">
    <xdr:from>
      <xdr:col>17</xdr:col>
      <xdr:colOff>504825</xdr:colOff>
      <xdr:row>0</xdr:row>
      <xdr:rowOff>28575</xdr:rowOff>
    </xdr:from>
    <xdr:to>
      <xdr:col>22</xdr:col>
      <xdr:colOff>60325</xdr:colOff>
      <xdr:row>9</xdr:row>
      <xdr:rowOff>148168</xdr:rowOff>
    </xdr:to>
    <xdr:sp macro="" textlink="">
      <xdr:nvSpPr>
        <xdr:cNvPr id="10" name="TextBox 9">
          <a:extLst>
            <a:ext uri="{FF2B5EF4-FFF2-40B4-BE49-F238E27FC236}">
              <a16:creationId xmlns:a16="http://schemas.microsoft.com/office/drawing/2014/main" id="{00000000-0008-0000-2A00-00000A000000}"/>
            </a:ext>
          </a:extLst>
        </xdr:cNvPr>
        <xdr:cNvSpPr txBox="1"/>
      </xdr:nvSpPr>
      <xdr:spPr>
        <a:xfrm>
          <a:off x="8963025" y="28575"/>
          <a:ext cx="6927850" cy="24722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Adjustments Included on this Worksheet:</a:t>
          </a:r>
        </a:p>
        <a:p>
          <a:pPr marL="0" marR="0" lvl="0" indent="0" defTabSz="914400" rtl="0" eaLnBrk="1" fontAlgn="auto" latinLnBrk="0" hangingPunct="1">
            <a:lnSpc>
              <a:spcPct val="100000"/>
            </a:lnSpc>
            <a:spcBef>
              <a:spcPts val="0"/>
            </a:spcBef>
            <a:spcAft>
              <a:spcPts val="6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1. Clear Height </a:t>
          </a:r>
          <a:r>
            <a:rPr lang="en-US" sz="1100" b="1" i="0" baseline="0">
              <a:solidFill>
                <a:schemeClr val="dk1"/>
              </a:solidFill>
              <a:effectLst/>
              <a:latin typeface="+mn-lt"/>
              <a:ea typeface="+mn-ea"/>
              <a:cs typeface="+mn-cs"/>
            </a:rPr>
            <a:t>(Note Max Adjust. Cut-Off is Optional and Market Specific)</a:t>
          </a:r>
          <a:endParaRPr lang="en-US" sz="1000" b="1" i="0" baseline="0">
            <a:solidFill>
              <a:schemeClr val="dk1"/>
            </a:solidFill>
            <a:effectLst/>
            <a:latin typeface="Segoe UI" panose="020B0502040204020203" pitchFamily="34" charset="0"/>
            <a:ea typeface="+mn-ea"/>
            <a:cs typeface="Segoe UI" panose="020B0502040204020203" pitchFamily="34" charset="0"/>
          </a:endParaRPr>
        </a:p>
        <a:p>
          <a:pPr rtl="0">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2. Percent Office</a:t>
          </a:r>
        </a:p>
        <a:p>
          <a:pPr rtl="0">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3. Land-to-Building Ratio</a:t>
          </a:r>
        </a:p>
        <a:p>
          <a:pPr rtl="0">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4. Effective Age</a:t>
          </a:r>
        </a:p>
        <a:p>
          <a:pPr rtl="0">
            <a:spcBef>
              <a:spcPts val="0"/>
            </a:spcBef>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Instructions</a:t>
          </a:r>
        </a:p>
        <a:p>
          <a:pPr rtl="0"/>
          <a:r>
            <a:rPr lang="en-US" sz="1000" b="1" i="0" baseline="0">
              <a:solidFill>
                <a:schemeClr val="dk1"/>
              </a:solidFill>
              <a:effectLst/>
              <a:latin typeface="Segoe UI" panose="020B0502040204020203" pitchFamily="34" charset="0"/>
              <a:ea typeface="+mn-ea"/>
              <a:cs typeface="Segoe UI" panose="020B0502040204020203" pitchFamily="34" charset="0"/>
            </a:rPr>
            <a:t>1. </a:t>
          </a:r>
          <a:r>
            <a:rPr lang="en-US" sz="1100" b="1" i="0" baseline="0">
              <a:solidFill>
                <a:schemeClr val="dk1"/>
              </a:solidFill>
              <a:effectLst/>
              <a:latin typeface="+mn-lt"/>
              <a:ea typeface="+mn-ea"/>
              <a:cs typeface="+mn-cs"/>
            </a:rPr>
            <a:t>User inputs in cells with white background only</a:t>
          </a:r>
          <a:endParaRPr lang="en-US" sz="1000">
            <a:effectLst/>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Improved Sales Adjustment Grid Datappraise Merge</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xdr:txBody>
    </xdr:sp>
    <xdr:clientData/>
  </xdr:twoCellAnchor>
</xdr:wsDr>
</file>

<file path=xl/drawings/drawing3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23</xdr:col>
      <xdr:colOff>124881</xdr:colOff>
      <xdr:row>0</xdr:row>
      <xdr:rowOff>731520</xdr:rowOff>
    </xdr:to>
    <xdr:grpSp>
      <xdr:nvGrpSpPr>
        <xdr:cNvPr id="2" name="Group 1">
          <a:extLst>
            <a:ext uri="{FF2B5EF4-FFF2-40B4-BE49-F238E27FC236}">
              <a16:creationId xmlns:a16="http://schemas.microsoft.com/office/drawing/2014/main" id="{00000000-0008-0000-2B00-000002000000}"/>
            </a:ext>
          </a:extLst>
        </xdr:cNvPr>
        <xdr:cNvGrpSpPr/>
      </xdr:nvGrpSpPr>
      <xdr:grpSpPr>
        <a:xfrm>
          <a:off x="0" y="0"/>
          <a:ext cx="10259481" cy="731520"/>
          <a:chOff x="0" y="0"/>
          <a:chExt cx="10297581" cy="731520"/>
        </a:xfrm>
      </xdr:grpSpPr>
      <xdr:sp macro="[0]!GoTo_Main" textlink="">
        <xdr:nvSpPr>
          <xdr:cNvPr id="3" name="Rounded Rectangle 2">
            <a:extLst>
              <a:ext uri="{FF2B5EF4-FFF2-40B4-BE49-F238E27FC236}">
                <a16:creationId xmlns:a16="http://schemas.microsoft.com/office/drawing/2014/main" id="{00000000-0008-0000-2B00-000003000000}"/>
              </a:ext>
            </a:extLst>
          </xdr:cNvPr>
          <xdr:cNvSpPr>
            <a:spLocks noChangeAspect="1"/>
          </xdr:cNvSpPr>
        </xdr:nvSpPr>
        <xdr:spPr>
          <a:xfrm>
            <a:off x="0" y="0"/>
            <a:ext cx="918633"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SalesApproachSummary_Table_Light" textlink="">
        <xdr:nvSpPr>
          <xdr:cNvPr id="4" name="Rounded Rectangle 3">
            <a:extLst>
              <a:ext uri="{FF2B5EF4-FFF2-40B4-BE49-F238E27FC236}">
                <a16:creationId xmlns:a16="http://schemas.microsoft.com/office/drawing/2014/main" id="{00000000-0008-0000-2B00-000004000000}"/>
              </a:ext>
            </a:extLst>
          </xdr:cNvPr>
          <xdr:cNvSpPr>
            <a:spLocks noChangeAspect="1"/>
          </xdr:cNvSpPr>
        </xdr:nvSpPr>
        <xdr:spPr>
          <a:xfrm>
            <a:off x="955710" y="0"/>
            <a:ext cx="1288627"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Light</a:t>
            </a:r>
          </a:p>
        </xdr:txBody>
      </xdr:sp>
      <xdr:sp macro="[0]!GoTo_SalesApproachSummary_Table_Detailed" textlink="">
        <xdr:nvSpPr>
          <xdr:cNvPr id="5" name="Rounded Rectangle 4">
            <a:extLst>
              <a:ext uri="{FF2B5EF4-FFF2-40B4-BE49-F238E27FC236}">
                <a16:creationId xmlns:a16="http://schemas.microsoft.com/office/drawing/2014/main" id="{00000000-0008-0000-2B00-000005000000}"/>
              </a:ext>
            </a:extLst>
          </xdr:cNvPr>
          <xdr:cNvSpPr>
            <a:spLocks noChangeAspect="1"/>
          </xdr:cNvSpPr>
        </xdr:nvSpPr>
        <xdr:spPr>
          <a:xfrm>
            <a:off x="2275452" y="0"/>
            <a:ext cx="1288627"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Detailed</a:t>
            </a:r>
          </a:p>
        </xdr:txBody>
      </xdr:sp>
      <xdr:sp macro="[0]!GoTo_SalesApproach_GridB1" textlink="">
        <xdr:nvSpPr>
          <xdr:cNvPr id="6" name="Rounded Rectangle 5">
            <a:extLst>
              <a:ext uri="{FF2B5EF4-FFF2-40B4-BE49-F238E27FC236}">
                <a16:creationId xmlns:a16="http://schemas.microsoft.com/office/drawing/2014/main" id="{00000000-0008-0000-2B00-000006000000}"/>
              </a:ext>
            </a:extLst>
          </xdr:cNvPr>
          <xdr:cNvSpPr>
            <a:spLocks noChangeAspect="1"/>
          </xdr:cNvSpPr>
        </xdr:nvSpPr>
        <xdr:spPr>
          <a:xfrm>
            <a:off x="4720210" y="0"/>
            <a:ext cx="918633"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Grid Bucket 1</a:t>
            </a:r>
          </a:p>
        </xdr:txBody>
      </xdr:sp>
      <xdr:sp macro="[0]!UseSpecialtyAdj_PropertyRightsBucket1" textlink="">
        <xdr:nvSpPr>
          <xdr:cNvPr id="7" name="Rounded Rectangle 6">
            <a:extLst>
              <a:ext uri="{FF2B5EF4-FFF2-40B4-BE49-F238E27FC236}">
                <a16:creationId xmlns:a16="http://schemas.microsoft.com/office/drawing/2014/main" id="{00000000-0008-0000-2B00-000007000000}"/>
              </a:ext>
            </a:extLst>
          </xdr:cNvPr>
          <xdr:cNvSpPr>
            <a:spLocks noChangeAspect="1"/>
          </xdr:cNvSpPr>
        </xdr:nvSpPr>
        <xdr:spPr>
          <a:xfrm>
            <a:off x="5677963" y="0"/>
            <a:ext cx="13716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Apply</a:t>
            </a:r>
            <a:r>
              <a:rPr lang="en-US" sz="1200" b="1" baseline="0">
                <a:solidFill>
                  <a:sysClr val="windowText" lastClr="000000"/>
                </a:solidFill>
                <a:latin typeface="Segoe UI" panose="020B0502040204020203" pitchFamily="34" charset="0"/>
                <a:cs typeface="Segoe UI" panose="020B0502040204020203" pitchFamily="34" charset="0"/>
              </a:rPr>
              <a:t> Property Rights Adj.</a:t>
            </a:r>
            <a:endParaRPr lang="en-US" sz="1200" b="1">
              <a:solidFill>
                <a:sysClr val="windowText" lastClr="000000"/>
              </a:solidFill>
              <a:latin typeface="Segoe UI" panose="020B0502040204020203" pitchFamily="34" charset="0"/>
              <a:cs typeface="Segoe UI" panose="020B0502040204020203" pitchFamily="34" charset="0"/>
            </a:endParaRPr>
          </a:p>
        </xdr:txBody>
      </xdr:sp>
      <xdr:sp macro="[0]!UseSpecialtyAdj_NOILocationBucket1" textlink="">
        <xdr:nvSpPr>
          <xdr:cNvPr id="8" name="Rounded Rectangle 7">
            <a:extLst>
              <a:ext uri="{FF2B5EF4-FFF2-40B4-BE49-F238E27FC236}">
                <a16:creationId xmlns:a16="http://schemas.microsoft.com/office/drawing/2014/main" id="{00000000-0008-0000-2B00-000008000000}"/>
              </a:ext>
            </a:extLst>
          </xdr:cNvPr>
          <xdr:cNvSpPr>
            <a:spLocks noChangeAspect="1"/>
          </xdr:cNvSpPr>
        </xdr:nvSpPr>
        <xdr:spPr>
          <a:xfrm>
            <a:off x="7094014" y="0"/>
            <a:ext cx="128016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Apply NOI Location Adj.</a:t>
            </a:r>
          </a:p>
        </xdr:txBody>
      </xdr:sp>
      <xdr:sp macro="[0]!GoTo_SalesAutomatedAdjustment_Bucket1" textlink="">
        <xdr:nvSpPr>
          <xdr:cNvPr id="9" name="Rounded Rectangle 8">
            <a:extLst>
              <a:ext uri="{FF2B5EF4-FFF2-40B4-BE49-F238E27FC236}">
                <a16:creationId xmlns:a16="http://schemas.microsoft.com/office/drawing/2014/main" id="{00000000-0008-0000-2B00-000009000000}"/>
              </a:ext>
            </a:extLst>
          </xdr:cNvPr>
          <xdr:cNvSpPr>
            <a:spLocks noChangeAspect="1"/>
          </xdr:cNvSpPr>
        </xdr:nvSpPr>
        <xdr:spPr>
          <a:xfrm>
            <a:off x="3590960" y="0"/>
            <a:ext cx="1091565" cy="729481"/>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effectLst/>
                <a:latin typeface="Segoe UI" panose="020B0502040204020203" pitchFamily="34" charset="0"/>
                <a:ea typeface="+mn-ea"/>
                <a:cs typeface="Segoe UI" panose="020B0502040204020203" pitchFamily="34" charset="0"/>
              </a:rPr>
              <a:t>SCA Auto. Bucket</a:t>
            </a:r>
            <a:r>
              <a:rPr lang="en-US" sz="1200" b="1" baseline="0">
                <a:solidFill>
                  <a:schemeClr val="lt1"/>
                </a:solidFill>
                <a:effectLst/>
                <a:latin typeface="Segoe UI" panose="020B0502040204020203" pitchFamily="34" charset="0"/>
                <a:ea typeface="+mn-ea"/>
                <a:cs typeface="Segoe UI" panose="020B0502040204020203" pitchFamily="34" charset="0"/>
              </a:rPr>
              <a:t> 1</a:t>
            </a:r>
            <a:endParaRPr lang="en-US" sz="1400">
              <a:effectLst/>
              <a:latin typeface="Segoe UI" panose="020B0502040204020203" pitchFamily="34" charset="0"/>
              <a:cs typeface="Segoe UI" panose="020B0502040204020203" pitchFamily="34" charset="0"/>
            </a:endParaRPr>
          </a:p>
        </xdr:txBody>
      </xdr:sp>
      <xdr:sp macro="[0]!Update_SalesSpecialtyAdj_Bucket1" textlink="">
        <xdr:nvSpPr>
          <xdr:cNvPr id="10" name="Rounded Rectangle 9">
            <a:extLst>
              <a:ext uri="{FF2B5EF4-FFF2-40B4-BE49-F238E27FC236}">
                <a16:creationId xmlns:a16="http://schemas.microsoft.com/office/drawing/2014/main" id="{00000000-0008-0000-2B00-00000A000000}"/>
              </a:ext>
            </a:extLst>
          </xdr:cNvPr>
          <xdr:cNvSpPr>
            <a:spLocks noChangeAspect="1"/>
          </xdr:cNvSpPr>
        </xdr:nvSpPr>
        <xdr:spPr>
          <a:xfrm>
            <a:off x="8413749" y="0"/>
            <a:ext cx="922867"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a:t>
            </a:r>
          </a:p>
        </xdr:txBody>
      </xdr:sp>
      <xdr:sp macro="[0]!Default_SalesSpecialtyAdj_Bucket1" textlink="">
        <xdr:nvSpPr>
          <xdr:cNvPr id="11" name="Rounded Rectangle 10">
            <a:extLst>
              <a:ext uri="{FF2B5EF4-FFF2-40B4-BE49-F238E27FC236}">
                <a16:creationId xmlns:a16="http://schemas.microsoft.com/office/drawing/2014/main" id="{00000000-0008-0000-2B00-00000B000000}"/>
              </a:ext>
            </a:extLst>
          </xdr:cNvPr>
          <xdr:cNvSpPr>
            <a:spLocks noChangeAspect="1"/>
          </xdr:cNvSpPr>
        </xdr:nvSpPr>
        <xdr:spPr>
          <a:xfrm>
            <a:off x="9374715" y="0"/>
            <a:ext cx="92286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grpSp>
    <xdr:clientData/>
  </xdr:twoCellAnchor>
</xdr:wsDr>
</file>

<file path=xl/drawings/drawing3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xdr:col>
      <xdr:colOff>306973</xdr:colOff>
      <xdr:row>3</xdr:row>
      <xdr:rowOff>221482</xdr:rowOff>
    </xdr:to>
    <xdr:grpSp>
      <xdr:nvGrpSpPr>
        <xdr:cNvPr id="2" name="Group 1">
          <a:extLst>
            <a:ext uri="{FF2B5EF4-FFF2-40B4-BE49-F238E27FC236}">
              <a16:creationId xmlns:a16="http://schemas.microsoft.com/office/drawing/2014/main" id="{00000000-0008-0000-2C00-000002000000}"/>
            </a:ext>
          </a:extLst>
        </xdr:cNvPr>
        <xdr:cNvGrpSpPr>
          <a:grpSpLocks noChangeAspect="1"/>
        </xdr:cNvGrpSpPr>
      </xdr:nvGrpSpPr>
      <xdr:grpSpPr>
        <a:xfrm>
          <a:off x="0" y="0"/>
          <a:ext cx="10060573" cy="1535932"/>
          <a:chOff x="0" y="0"/>
          <a:chExt cx="10111372" cy="1533815"/>
        </a:xfrm>
      </xdr:grpSpPr>
      <xdr:sp macro="[0]!GoTo_Main" textlink="">
        <xdr:nvSpPr>
          <xdr:cNvPr id="3" name="Rounded Rectangle 2">
            <a:extLst>
              <a:ext uri="{FF2B5EF4-FFF2-40B4-BE49-F238E27FC236}">
                <a16:creationId xmlns:a16="http://schemas.microsoft.com/office/drawing/2014/main" id="{00000000-0008-0000-2C00-000003000000}"/>
              </a:ext>
            </a:extLst>
          </xdr:cNvPr>
          <xdr:cNvSpPr>
            <a:spLocks noChangeAspect="1"/>
          </xdr:cNvSpPr>
        </xdr:nvSpPr>
        <xdr:spPr>
          <a:xfrm>
            <a:off x="0" y="0"/>
            <a:ext cx="918774" cy="729481"/>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SalesApproachSummary_Table_Light" textlink="">
        <xdr:nvSpPr>
          <xdr:cNvPr id="4" name="Rounded Rectangle 3">
            <a:extLst>
              <a:ext uri="{FF2B5EF4-FFF2-40B4-BE49-F238E27FC236}">
                <a16:creationId xmlns:a16="http://schemas.microsoft.com/office/drawing/2014/main" id="{00000000-0008-0000-2C00-000004000000}"/>
              </a:ext>
            </a:extLst>
          </xdr:cNvPr>
          <xdr:cNvSpPr>
            <a:spLocks noChangeAspect="1"/>
          </xdr:cNvSpPr>
        </xdr:nvSpPr>
        <xdr:spPr>
          <a:xfrm>
            <a:off x="2100905" y="0"/>
            <a:ext cx="1282047" cy="729481"/>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Light</a:t>
            </a:r>
          </a:p>
        </xdr:txBody>
      </xdr:sp>
      <xdr:sp macro="[0]!GoTo_SalesApproachSummary_Table_Detailed" textlink="">
        <xdr:nvSpPr>
          <xdr:cNvPr id="5" name="Rounded Rectangle 4">
            <a:extLst>
              <a:ext uri="{FF2B5EF4-FFF2-40B4-BE49-F238E27FC236}">
                <a16:creationId xmlns:a16="http://schemas.microsoft.com/office/drawing/2014/main" id="{00000000-0008-0000-2C00-000005000000}"/>
              </a:ext>
            </a:extLst>
          </xdr:cNvPr>
          <xdr:cNvSpPr>
            <a:spLocks noChangeAspect="1"/>
          </xdr:cNvSpPr>
        </xdr:nvSpPr>
        <xdr:spPr>
          <a:xfrm>
            <a:off x="3425912" y="0"/>
            <a:ext cx="1279927" cy="729481"/>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Detailed</a:t>
            </a:r>
          </a:p>
        </xdr:txBody>
      </xdr:sp>
      <xdr:sp macro="[0]!GoTo_SalesAutomatedAdjustment_Tables" textlink="">
        <xdr:nvSpPr>
          <xdr:cNvPr id="6" name="Rounded Rectangle 5">
            <a:extLst>
              <a:ext uri="{FF2B5EF4-FFF2-40B4-BE49-F238E27FC236}">
                <a16:creationId xmlns:a16="http://schemas.microsoft.com/office/drawing/2014/main" id="{00000000-0008-0000-2C00-000006000000}"/>
              </a:ext>
            </a:extLst>
          </xdr:cNvPr>
          <xdr:cNvSpPr>
            <a:spLocks noChangeAspect="1"/>
          </xdr:cNvSpPr>
        </xdr:nvSpPr>
        <xdr:spPr>
          <a:xfrm>
            <a:off x="5711801" y="0"/>
            <a:ext cx="1470040" cy="729481"/>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effectLst/>
                <a:latin typeface="Segoe UI" panose="020B0502040204020203" pitchFamily="34" charset="0"/>
                <a:ea typeface="+mn-ea"/>
                <a:cs typeface="Segoe UI" panose="020B0502040204020203" pitchFamily="34" charset="0"/>
              </a:rPr>
              <a:t>SCA Automated Adj.</a:t>
            </a:r>
            <a:endParaRPr lang="en-US" sz="1400">
              <a:effectLst/>
              <a:latin typeface="Segoe UI" panose="020B0502040204020203" pitchFamily="34" charset="0"/>
              <a:cs typeface="Segoe UI" panose="020B0502040204020203" pitchFamily="34" charset="0"/>
            </a:endParaRPr>
          </a:p>
        </xdr:txBody>
      </xdr:sp>
      <xdr:sp macro="[0]!Update_SalesAdjust_Grid_B1" textlink="">
        <xdr:nvSpPr>
          <xdr:cNvPr id="7" name="Rounded Rectangle 6">
            <a:extLst>
              <a:ext uri="{FF2B5EF4-FFF2-40B4-BE49-F238E27FC236}">
                <a16:creationId xmlns:a16="http://schemas.microsoft.com/office/drawing/2014/main" id="{00000000-0008-0000-2C00-000007000000}"/>
              </a:ext>
            </a:extLst>
          </xdr:cNvPr>
          <xdr:cNvSpPr>
            <a:spLocks noChangeAspect="1"/>
          </xdr:cNvSpPr>
        </xdr:nvSpPr>
        <xdr:spPr>
          <a:xfrm>
            <a:off x="8224860" y="793745"/>
            <a:ext cx="918774" cy="729481"/>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a:t>
            </a:r>
          </a:p>
        </xdr:txBody>
      </xdr:sp>
      <xdr:sp macro="[0]!Default_SalesAdjust_Grid_B1" textlink="">
        <xdr:nvSpPr>
          <xdr:cNvPr id="8" name="Rounded Rectangle 7">
            <a:extLst>
              <a:ext uri="{FF2B5EF4-FFF2-40B4-BE49-F238E27FC236}">
                <a16:creationId xmlns:a16="http://schemas.microsoft.com/office/drawing/2014/main" id="{00000000-0008-0000-2C00-000008000000}"/>
              </a:ext>
            </a:extLst>
          </xdr:cNvPr>
          <xdr:cNvSpPr>
            <a:spLocks noChangeAspect="1"/>
          </xdr:cNvSpPr>
        </xdr:nvSpPr>
        <xdr:spPr>
          <a:xfrm>
            <a:off x="9192598" y="793745"/>
            <a:ext cx="918774" cy="729481"/>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sp macro="[0]!ShowDialogSalesAdjB1" textlink="">
        <xdr:nvSpPr>
          <xdr:cNvPr id="9" name="Rounded Rectangle 8">
            <a:extLst>
              <a:ext uri="{FF2B5EF4-FFF2-40B4-BE49-F238E27FC236}">
                <a16:creationId xmlns:a16="http://schemas.microsoft.com/office/drawing/2014/main" id="{00000000-0008-0000-2C00-000009000000}"/>
              </a:ext>
            </a:extLst>
          </xdr:cNvPr>
          <xdr:cNvSpPr>
            <a:spLocks noChangeAspect="1"/>
          </xdr:cNvSpPr>
        </xdr:nvSpPr>
        <xdr:spPr>
          <a:xfrm>
            <a:off x="4046877" y="804334"/>
            <a:ext cx="1647438" cy="729481"/>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Select Adjustment Categories</a:t>
            </a:r>
          </a:p>
        </xdr:txBody>
      </xdr:sp>
      <xdr:sp macro="[0]!ClearSalesAdjustmentsB1" textlink="">
        <xdr:nvSpPr>
          <xdr:cNvPr id="10" name="Rounded Rectangle 9">
            <a:extLst>
              <a:ext uri="{FF2B5EF4-FFF2-40B4-BE49-F238E27FC236}">
                <a16:creationId xmlns:a16="http://schemas.microsoft.com/office/drawing/2014/main" id="{00000000-0008-0000-2C00-00000A000000}"/>
              </a:ext>
            </a:extLst>
          </xdr:cNvPr>
          <xdr:cNvSpPr>
            <a:spLocks noChangeAspect="1"/>
          </xdr:cNvSpPr>
        </xdr:nvSpPr>
        <xdr:spPr>
          <a:xfrm>
            <a:off x="6980697" y="793746"/>
            <a:ext cx="1194409" cy="729481"/>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Clear Adjustments</a:t>
            </a:r>
          </a:p>
        </xdr:txBody>
      </xdr:sp>
      <xdr:sp macro="[0]!GoTo_ValueIndications_Table" textlink="">
        <xdr:nvSpPr>
          <xdr:cNvPr id="11" name="Rounded Rectangle 10">
            <a:extLst>
              <a:ext uri="{FF2B5EF4-FFF2-40B4-BE49-F238E27FC236}">
                <a16:creationId xmlns:a16="http://schemas.microsoft.com/office/drawing/2014/main" id="{00000000-0008-0000-2C00-00000B000000}"/>
              </a:ext>
            </a:extLst>
          </xdr:cNvPr>
          <xdr:cNvSpPr>
            <a:spLocks noChangeAspect="1"/>
          </xdr:cNvSpPr>
        </xdr:nvSpPr>
        <xdr:spPr>
          <a:xfrm>
            <a:off x="957056" y="0"/>
            <a:ext cx="1104651" cy="729481"/>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sp macro="[0]!ShowUserFormTemplateAssumptions" textlink="">
        <xdr:nvSpPr>
          <xdr:cNvPr id="12" name="Rounded Rectangle 11">
            <a:extLst>
              <a:ext uri="{FF2B5EF4-FFF2-40B4-BE49-F238E27FC236}">
                <a16:creationId xmlns:a16="http://schemas.microsoft.com/office/drawing/2014/main" id="{00000000-0008-0000-2C00-00000C000000}"/>
              </a:ext>
            </a:extLst>
          </xdr:cNvPr>
          <xdr:cNvSpPr>
            <a:spLocks noChangeAspect="1"/>
          </xdr:cNvSpPr>
        </xdr:nvSpPr>
        <xdr:spPr>
          <a:xfrm>
            <a:off x="5746737" y="783167"/>
            <a:ext cx="1192289" cy="729481"/>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latin typeface="Segoe UI" panose="020B0502040204020203" pitchFamily="34" charset="0"/>
                <a:cs typeface="Segoe UI" panose="020B0502040204020203" pitchFamily="34" charset="0"/>
              </a:rPr>
              <a:t>Template</a:t>
            </a:r>
            <a:r>
              <a:rPr lang="en-US" sz="1200" b="1" baseline="0">
                <a:solidFill>
                  <a:schemeClr val="tx1"/>
                </a:solidFill>
                <a:latin typeface="Segoe UI" panose="020B0502040204020203" pitchFamily="34" charset="0"/>
                <a:cs typeface="Segoe UI" panose="020B0502040204020203" pitchFamily="34" charset="0"/>
              </a:rPr>
              <a:t> Assumptions</a:t>
            </a:r>
            <a:endParaRPr lang="en-US" sz="1200" b="1">
              <a:solidFill>
                <a:schemeClr val="tx1"/>
              </a:solidFill>
              <a:latin typeface="Segoe UI" panose="020B0502040204020203" pitchFamily="34" charset="0"/>
              <a:cs typeface="Segoe UI" panose="020B0502040204020203" pitchFamily="34" charset="0"/>
            </a:endParaRPr>
          </a:p>
        </xdr:txBody>
      </xdr:sp>
      <xdr:sp macro="[0]!GoTo_SalesApproach_Conclusion" textlink="">
        <xdr:nvSpPr>
          <xdr:cNvPr id="13" name="Rounded Rectangle 12">
            <a:extLst>
              <a:ext uri="{FF2B5EF4-FFF2-40B4-BE49-F238E27FC236}">
                <a16:creationId xmlns:a16="http://schemas.microsoft.com/office/drawing/2014/main" id="{00000000-0008-0000-2C00-00000D000000}"/>
              </a:ext>
            </a:extLst>
          </xdr:cNvPr>
          <xdr:cNvSpPr>
            <a:spLocks noChangeAspect="1"/>
          </xdr:cNvSpPr>
        </xdr:nvSpPr>
        <xdr:spPr>
          <a:xfrm>
            <a:off x="8548094" y="9498"/>
            <a:ext cx="1561917" cy="733703"/>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SCA Conclusion</a:t>
            </a:r>
          </a:p>
        </xdr:txBody>
      </xdr:sp>
      <xdr:sp macro="[0]!GoTo_SalesApproach_EGIM" textlink="">
        <xdr:nvSpPr>
          <xdr:cNvPr id="14" name="Rounded Rectangle 13">
            <a:extLst>
              <a:ext uri="{FF2B5EF4-FFF2-40B4-BE49-F238E27FC236}">
                <a16:creationId xmlns:a16="http://schemas.microsoft.com/office/drawing/2014/main" id="{00000000-0008-0000-2C00-00000E000000}"/>
              </a:ext>
            </a:extLst>
          </xdr:cNvPr>
          <xdr:cNvSpPr>
            <a:spLocks noChangeAspect="1"/>
          </xdr:cNvSpPr>
        </xdr:nvSpPr>
        <xdr:spPr>
          <a:xfrm>
            <a:off x="4751735" y="0"/>
            <a:ext cx="913485"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EGIM Analysis</a:t>
            </a:r>
          </a:p>
        </xdr:txBody>
      </xdr:sp>
      <xdr:sp macro="[0]!GoTo_SalesSpecialtyAdjustment_Tables" textlink="">
        <xdr:nvSpPr>
          <xdr:cNvPr id="15" name="Rounded Rectangle 14">
            <a:extLst>
              <a:ext uri="{FF2B5EF4-FFF2-40B4-BE49-F238E27FC236}">
                <a16:creationId xmlns:a16="http://schemas.microsoft.com/office/drawing/2014/main" id="{00000000-0008-0000-2C00-00000F000000}"/>
              </a:ext>
            </a:extLst>
          </xdr:cNvPr>
          <xdr:cNvSpPr>
            <a:spLocks noChangeAspect="1"/>
          </xdr:cNvSpPr>
        </xdr:nvSpPr>
        <xdr:spPr>
          <a:xfrm>
            <a:off x="7228417" y="0"/>
            <a:ext cx="128016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Specialty Adj.</a:t>
            </a:r>
          </a:p>
        </xdr:txBody>
      </xdr: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406397</xdr:colOff>
      <xdr:row>0</xdr:row>
      <xdr:rowOff>731520</xdr:rowOff>
    </xdr:to>
    <xdr:grpSp>
      <xdr:nvGrpSpPr>
        <xdr:cNvPr id="2" name="Group 1">
          <a:extLst>
            <a:ext uri="{FF2B5EF4-FFF2-40B4-BE49-F238E27FC236}">
              <a16:creationId xmlns:a16="http://schemas.microsoft.com/office/drawing/2014/main" id="{00000000-0008-0000-2D00-000002000000}"/>
            </a:ext>
          </a:extLst>
        </xdr:cNvPr>
        <xdr:cNvGrpSpPr>
          <a:grpSpLocks noChangeAspect="1"/>
        </xdr:cNvGrpSpPr>
      </xdr:nvGrpSpPr>
      <xdr:grpSpPr>
        <a:xfrm>
          <a:off x="0" y="0"/>
          <a:ext cx="7740647" cy="731520"/>
          <a:chOff x="0" y="0"/>
          <a:chExt cx="7730064" cy="731520"/>
        </a:xfrm>
      </xdr:grpSpPr>
      <xdr:sp macro="[0]!GoTo_Main" textlink="">
        <xdr:nvSpPr>
          <xdr:cNvPr id="3" name="Rounded Rectangle 2">
            <a:extLst>
              <a:ext uri="{FF2B5EF4-FFF2-40B4-BE49-F238E27FC236}">
                <a16:creationId xmlns:a16="http://schemas.microsoft.com/office/drawing/2014/main" id="{00000000-0008-0000-2D00-000003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SalesApproachSummary_Table_Light" textlink="">
        <xdr:nvSpPr>
          <xdr:cNvPr id="4" name="Rounded Rectangle 3">
            <a:extLst>
              <a:ext uri="{FF2B5EF4-FFF2-40B4-BE49-F238E27FC236}">
                <a16:creationId xmlns:a16="http://schemas.microsoft.com/office/drawing/2014/main" id="{00000000-0008-0000-2D00-000004000000}"/>
              </a:ext>
            </a:extLst>
          </xdr:cNvPr>
          <xdr:cNvSpPr>
            <a:spLocks noChangeAspect="1"/>
          </xdr:cNvSpPr>
        </xdr:nvSpPr>
        <xdr:spPr>
          <a:xfrm>
            <a:off x="952502" y="0"/>
            <a:ext cx="128016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Light</a:t>
            </a:r>
          </a:p>
        </xdr:txBody>
      </xdr:sp>
      <xdr:sp macro="[0]!GoTo_SalesApproachSummary_Table_Detailed" textlink="">
        <xdr:nvSpPr>
          <xdr:cNvPr id="5" name="Rounded Rectangle 4">
            <a:extLst>
              <a:ext uri="{FF2B5EF4-FFF2-40B4-BE49-F238E27FC236}">
                <a16:creationId xmlns:a16="http://schemas.microsoft.com/office/drawing/2014/main" id="{00000000-0008-0000-2D00-000005000000}"/>
              </a:ext>
            </a:extLst>
          </xdr:cNvPr>
          <xdr:cNvSpPr>
            <a:spLocks noChangeAspect="1"/>
          </xdr:cNvSpPr>
        </xdr:nvSpPr>
        <xdr:spPr>
          <a:xfrm>
            <a:off x="2264834" y="0"/>
            <a:ext cx="128016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Detailed</a:t>
            </a:r>
          </a:p>
        </xdr:txBody>
      </xdr:sp>
      <xdr:sp macro="[0]!GoTo_SalesApproach_GridB2" textlink="">
        <xdr:nvSpPr>
          <xdr:cNvPr id="6" name="Rounded Rectangle 5">
            <a:extLst>
              <a:ext uri="{FF2B5EF4-FFF2-40B4-BE49-F238E27FC236}">
                <a16:creationId xmlns:a16="http://schemas.microsoft.com/office/drawing/2014/main" id="{00000000-0008-0000-2D00-000006000000}"/>
              </a:ext>
            </a:extLst>
          </xdr:cNvPr>
          <xdr:cNvSpPr>
            <a:spLocks noChangeAspect="1"/>
          </xdr:cNvSpPr>
        </xdr:nvSpPr>
        <xdr:spPr>
          <a:xfrm>
            <a:off x="3577169" y="0"/>
            <a:ext cx="91440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Grid Bucket 2</a:t>
            </a:r>
          </a:p>
        </xdr:txBody>
      </xdr:sp>
      <xdr:sp macro="[0]!Update_SalesAutoAdj_Bucket2" textlink="">
        <xdr:nvSpPr>
          <xdr:cNvPr id="7" name="Rounded Rectangle 6">
            <a:extLst>
              <a:ext uri="{FF2B5EF4-FFF2-40B4-BE49-F238E27FC236}">
                <a16:creationId xmlns:a16="http://schemas.microsoft.com/office/drawing/2014/main" id="{00000000-0008-0000-2D00-000007000000}"/>
              </a:ext>
            </a:extLst>
          </xdr:cNvPr>
          <xdr:cNvSpPr>
            <a:spLocks noChangeAspect="1"/>
          </xdr:cNvSpPr>
        </xdr:nvSpPr>
        <xdr:spPr>
          <a:xfrm>
            <a:off x="5852582"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a:t>
            </a:r>
          </a:p>
        </xdr:txBody>
      </xdr:sp>
      <xdr:sp macro="[0]!Default_SalesAutoAdj_Bucket2" textlink="">
        <xdr:nvSpPr>
          <xdr:cNvPr id="8" name="Rounded Rectangle 7">
            <a:extLst>
              <a:ext uri="{FF2B5EF4-FFF2-40B4-BE49-F238E27FC236}">
                <a16:creationId xmlns:a16="http://schemas.microsoft.com/office/drawing/2014/main" id="{00000000-0008-0000-2D00-000008000000}"/>
              </a:ext>
            </a:extLst>
          </xdr:cNvPr>
          <xdr:cNvSpPr>
            <a:spLocks noChangeAspect="1"/>
          </xdr:cNvSpPr>
        </xdr:nvSpPr>
        <xdr:spPr>
          <a:xfrm>
            <a:off x="6815664"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sp macro="[0]!GoTo_SalesAutomatedAdjustment_Bucket2" textlink="">
        <xdr:nvSpPr>
          <xdr:cNvPr id="9" name="Rounded Rectangle 8">
            <a:extLst>
              <a:ext uri="{FF2B5EF4-FFF2-40B4-BE49-F238E27FC236}">
                <a16:creationId xmlns:a16="http://schemas.microsoft.com/office/drawing/2014/main" id="{00000000-0008-0000-2D00-000009000000}"/>
              </a:ext>
            </a:extLst>
          </xdr:cNvPr>
          <xdr:cNvSpPr>
            <a:spLocks noChangeAspect="1"/>
          </xdr:cNvSpPr>
        </xdr:nvSpPr>
        <xdr:spPr>
          <a:xfrm>
            <a:off x="4529671" y="0"/>
            <a:ext cx="128016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Specialty Adj. Bucket 2</a:t>
            </a:r>
          </a:p>
        </xdr:txBody>
      </xdr:sp>
    </xdr:grpSp>
    <xdr:clientData/>
  </xdr:twoCellAnchor>
  <xdr:twoCellAnchor editAs="absolute">
    <xdr:from>
      <xdr:col>17</xdr:col>
      <xdr:colOff>361950</xdr:colOff>
      <xdr:row>0</xdr:row>
      <xdr:rowOff>38100</xdr:rowOff>
    </xdr:from>
    <xdr:to>
      <xdr:col>21</xdr:col>
      <xdr:colOff>1631950</xdr:colOff>
      <xdr:row>9</xdr:row>
      <xdr:rowOff>157693</xdr:rowOff>
    </xdr:to>
    <xdr:sp macro="" textlink="">
      <xdr:nvSpPr>
        <xdr:cNvPr id="10" name="TextBox 9">
          <a:extLst>
            <a:ext uri="{FF2B5EF4-FFF2-40B4-BE49-F238E27FC236}">
              <a16:creationId xmlns:a16="http://schemas.microsoft.com/office/drawing/2014/main" id="{00000000-0008-0000-2D00-00000A000000}"/>
            </a:ext>
          </a:extLst>
        </xdr:cNvPr>
        <xdr:cNvSpPr txBox="1"/>
      </xdr:nvSpPr>
      <xdr:spPr>
        <a:xfrm>
          <a:off x="8820150" y="38100"/>
          <a:ext cx="6927850" cy="24722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Adjustments Included on this Worksheet:</a:t>
          </a:r>
        </a:p>
        <a:p>
          <a:pPr marL="0" marR="0" lvl="0" indent="0" defTabSz="914400" rtl="0" eaLnBrk="1" fontAlgn="auto" latinLnBrk="0" hangingPunct="1">
            <a:lnSpc>
              <a:spcPct val="100000"/>
            </a:lnSpc>
            <a:spcBef>
              <a:spcPts val="0"/>
            </a:spcBef>
            <a:spcAft>
              <a:spcPts val="6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1. Clear Height </a:t>
          </a:r>
          <a:r>
            <a:rPr lang="en-US" sz="1100" b="1" i="0" baseline="0">
              <a:solidFill>
                <a:schemeClr val="dk1"/>
              </a:solidFill>
              <a:effectLst/>
              <a:latin typeface="+mn-lt"/>
              <a:ea typeface="+mn-ea"/>
              <a:cs typeface="+mn-cs"/>
            </a:rPr>
            <a:t>(Note Max Adjust. Cut-Off is Optional and Market Specific)</a:t>
          </a:r>
          <a:endParaRPr lang="en-US" sz="1000" b="1" i="0" baseline="0">
            <a:solidFill>
              <a:schemeClr val="dk1"/>
            </a:solidFill>
            <a:effectLst/>
            <a:latin typeface="Segoe UI" panose="020B0502040204020203" pitchFamily="34" charset="0"/>
            <a:ea typeface="+mn-ea"/>
            <a:cs typeface="Segoe UI" panose="020B0502040204020203" pitchFamily="34" charset="0"/>
          </a:endParaRPr>
        </a:p>
        <a:p>
          <a:pPr rtl="0">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2. Percent Office</a:t>
          </a:r>
        </a:p>
        <a:p>
          <a:pPr rtl="0">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3. Land-to-Building Ratio</a:t>
          </a:r>
        </a:p>
        <a:p>
          <a:pPr rtl="0">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4. Effective Age</a:t>
          </a:r>
        </a:p>
        <a:p>
          <a:pPr rtl="0">
            <a:spcBef>
              <a:spcPts val="0"/>
            </a:spcBef>
            <a:spcAft>
              <a:spcPts val="600"/>
            </a:spcAft>
          </a:pPr>
          <a:r>
            <a:rPr lang="en-US" sz="1000" b="1" i="0" baseline="0">
              <a:solidFill>
                <a:schemeClr val="dk1"/>
              </a:solidFill>
              <a:effectLst/>
              <a:latin typeface="Segoe UI" panose="020B0502040204020203" pitchFamily="34" charset="0"/>
              <a:ea typeface="+mn-ea"/>
              <a:cs typeface="Segoe UI" panose="020B0502040204020203" pitchFamily="34" charset="0"/>
            </a:rPr>
            <a:t>Instructions</a:t>
          </a:r>
        </a:p>
        <a:p>
          <a:pPr rtl="0"/>
          <a:r>
            <a:rPr lang="en-US" sz="1000" b="1" i="0" baseline="0">
              <a:solidFill>
                <a:schemeClr val="dk1"/>
              </a:solidFill>
              <a:effectLst/>
              <a:latin typeface="Segoe UI" panose="020B0502040204020203" pitchFamily="34" charset="0"/>
              <a:ea typeface="+mn-ea"/>
              <a:cs typeface="Segoe UI" panose="020B0502040204020203" pitchFamily="34" charset="0"/>
            </a:rPr>
            <a:t>1. </a:t>
          </a:r>
          <a:r>
            <a:rPr lang="en-US" sz="1100" b="1" i="0" baseline="0">
              <a:solidFill>
                <a:schemeClr val="dk1"/>
              </a:solidFill>
              <a:effectLst/>
              <a:latin typeface="+mn-lt"/>
              <a:ea typeface="+mn-ea"/>
              <a:cs typeface="+mn-cs"/>
            </a:rPr>
            <a:t>User inputs in cells with white background only</a:t>
          </a:r>
          <a:endParaRPr lang="en-US" sz="1000">
            <a:effectLst/>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Improved Sales Adjustment Grid Datappraise Merge</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23</xdr:col>
      <xdr:colOff>124881</xdr:colOff>
      <xdr:row>0</xdr:row>
      <xdr:rowOff>731520</xdr:rowOff>
    </xdr:to>
    <xdr:grpSp>
      <xdr:nvGrpSpPr>
        <xdr:cNvPr id="2" name="Group 1">
          <a:extLst>
            <a:ext uri="{FF2B5EF4-FFF2-40B4-BE49-F238E27FC236}">
              <a16:creationId xmlns:a16="http://schemas.microsoft.com/office/drawing/2014/main" id="{00000000-0008-0000-2E00-000002000000}"/>
            </a:ext>
          </a:extLst>
        </xdr:cNvPr>
        <xdr:cNvGrpSpPr/>
      </xdr:nvGrpSpPr>
      <xdr:grpSpPr>
        <a:xfrm>
          <a:off x="0" y="0"/>
          <a:ext cx="10259481" cy="731520"/>
          <a:chOff x="0" y="0"/>
          <a:chExt cx="10297581" cy="731520"/>
        </a:xfrm>
      </xdr:grpSpPr>
      <xdr:sp macro="[0]!GoTo_Main" textlink="">
        <xdr:nvSpPr>
          <xdr:cNvPr id="3" name="Rounded Rectangle 2">
            <a:extLst>
              <a:ext uri="{FF2B5EF4-FFF2-40B4-BE49-F238E27FC236}">
                <a16:creationId xmlns:a16="http://schemas.microsoft.com/office/drawing/2014/main" id="{00000000-0008-0000-2E00-000003000000}"/>
              </a:ext>
            </a:extLst>
          </xdr:cNvPr>
          <xdr:cNvSpPr>
            <a:spLocks noChangeAspect="1"/>
          </xdr:cNvSpPr>
        </xdr:nvSpPr>
        <xdr:spPr>
          <a:xfrm>
            <a:off x="0" y="0"/>
            <a:ext cx="918633"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SalesApproachSummary_Table_Light" textlink="">
        <xdr:nvSpPr>
          <xdr:cNvPr id="4" name="Rounded Rectangle 3">
            <a:extLst>
              <a:ext uri="{FF2B5EF4-FFF2-40B4-BE49-F238E27FC236}">
                <a16:creationId xmlns:a16="http://schemas.microsoft.com/office/drawing/2014/main" id="{00000000-0008-0000-2E00-000004000000}"/>
              </a:ext>
            </a:extLst>
          </xdr:cNvPr>
          <xdr:cNvSpPr>
            <a:spLocks noChangeAspect="1"/>
          </xdr:cNvSpPr>
        </xdr:nvSpPr>
        <xdr:spPr>
          <a:xfrm>
            <a:off x="955710" y="0"/>
            <a:ext cx="1288627"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Light</a:t>
            </a:r>
          </a:p>
        </xdr:txBody>
      </xdr:sp>
      <xdr:sp macro="[0]!GoTo_SalesApproachSummary_Table_Detailed" textlink="">
        <xdr:nvSpPr>
          <xdr:cNvPr id="5" name="Rounded Rectangle 4">
            <a:extLst>
              <a:ext uri="{FF2B5EF4-FFF2-40B4-BE49-F238E27FC236}">
                <a16:creationId xmlns:a16="http://schemas.microsoft.com/office/drawing/2014/main" id="{00000000-0008-0000-2E00-000005000000}"/>
              </a:ext>
            </a:extLst>
          </xdr:cNvPr>
          <xdr:cNvSpPr>
            <a:spLocks noChangeAspect="1"/>
          </xdr:cNvSpPr>
        </xdr:nvSpPr>
        <xdr:spPr>
          <a:xfrm>
            <a:off x="2275452" y="0"/>
            <a:ext cx="1288627"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Detailed</a:t>
            </a:r>
          </a:p>
        </xdr:txBody>
      </xdr:sp>
      <xdr:sp macro="[0]!GoTo_SalesApproach_GridB2" textlink="">
        <xdr:nvSpPr>
          <xdr:cNvPr id="6" name="Rounded Rectangle 5">
            <a:extLst>
              <a:ext uri="{FF2B5EF4-FFF2-40B4-BE49-F238E27FC236}">
                <a16:creationId xmlns:a16="http://schemas.microsoft.com/office/drawing/2014/main" id="{00000000-0008-0000-2E00-000006000000}"/>
              </a:ext>
            </a:extLst>
          </xdr:cNvPr>
          <xdr:cNvSpPr>
            <a:spLocks noChangeAspect="1"/>
          </xdr:cNvSpPr>
        </xdr:nvSpPr>
        <xdr:spPr>
          <a:xfrm>
            <a:off x="4720210" y="0"/>
            <a:ext cx="918633"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Grid Bucket 1</a:t>
            </a:r>
          </a:p>
        </xdr:txBody>
      </xdr:sp>
      <xdr:sp macro="[0]!UseSpecialtyAdj_PropertyRightsBucket2" textlink="">
        <xdr:nvSpPr>
          <xdr:cNvPr id="7" name="Rounded Rectangle 6">
            <a:extLst>
              <a:ext uri="{FF2B5EF4-FFF2-40B4-BE49-F238E27FC236}">
                <a16:creationId xmlns:a16="http://schemas.microsoft.com/office/drawing/2014/main" id="{00000000-0008-0000-2E00-000007000000}"/>
              </a:ext>
            </a:extLst>
          </xdr:cNvPr>
          <xdr:cNvSpPr>
            <a:spLocks noChangeAspect="1"/>
          </xdr:cNvSpPr>
        </xdr:nvSpPr>
        <xdr:spPr>
          <a:xfrm>
            <a:off x="5677963" y="0"/>
            <a:ext cx="13716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Apply</a:t>
            </a:r>
            <a:r>
              <a:rPr lang="en-US" sz="1200" b="1" baseline="0">
                <a:solidFill>
                  <a:sysClr val="windowText" lastClr="000000"/>
                </a:solidFill>
                <a:latin typeface="Segoe UI" panose="020B0502040204020203" pitchFamily="34" charset="0"/>
                <a:cs typeface="Segoe UI" panose="020B0502040204020203" pitchFamily="34" charset="0"/>
              </a:rPr>
              <a:t> Property Rights Adj.</a:t>
            </a:r>
            <a:endParaRPr lang="en-US" sz="1200" b="1">
              <a:solidFill>
                <a:sysClr val="windowText" lastClr="000000"/>
              </a:solidFill>
              <a:latin typeface="Segoe UI" panose="020B0502040204020203" pitchFamily="34" charset="0"/>
              <a:cs typeface="Segoe UI" panose="020B0502040204020203" pitchFamily="34" charset="0"/>
            </a:endParaRPr>
          </a:p>
        </xdr:txBody>
      </xdr:sp>
      <xdr:sp macro="[0]!UseSpecialtyAdj_NOILocationBucket2" textlink="">
        <xdr:nvSpPr>
          <xdr:cNvPr id="8" name="Rounded Rectangle 7">
            <a:extLst>
              <a:ext uri="{FF2B5EF4-FFF2-40B4-BE49-F238E27FC236}">
                <a16:creationId xmlns:a16="http://schemas.microsoft.com/office/drawing/2014/main" id="{00000000-0008-0000-2E00-000008000000}"/>
              </a:ext>
            </a:extLst>
          </xdr:cNvPr>
          <xdr:cNvSpPr>
            <a:spLocks noChangeAspect="1"/>
          </xdr:cNvSpPr>
        </xdr:nvSpPr>
        <xdr:spPr>
          <a:xfrm>
            <a:off x="7094014" y="0"/>
            <a:ext cx="128016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Apply NOI Location Adj.</a:t>
            </a:r>
          </a:p>
        </xdr:txBody>
      </xdr:sp>
      <xdr:sp macro="[0]!GoTo_SalesAutomatedAdjustment_Bucket2" textlink="">
        <xdr:nvSpPr>
          <xdr:cNvPr id="9" name="Rounded Rectangle 8">
            <a:extLst>
              <a:ext uri="{FF2B5EF4-FFF2-40B4-BE49-F238E27FC236}">
                <a16:creationId xmlns:a16="http://schemas.microsoft.com/office/drawing/2014/main" id="{00000000-0008-0000-2E00-000009000000}"/>
              </a:ext>
            </a:extLst>
          </xdr:cNvPr>
          <xdr:cNvSpPr>
            <a:spLocks noChangeAspect="1"/>
          </xdr:cNvSpPr>
        </xdr:nvSpPr>
        <xdr:spPr>
          <a:xfrm>
            <a:off x="3590960" y="0"/>
            <a:ext cx="1091565" cy="729481"/>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effectLst/>
                <a:latin typeface="Segoe UI" panose="020B0502040204020203" pitchFamily="34" charset="0"/>
                <a:ea typeface="+mn-ea"/>
                <a:cs typeface="Segoe UI" panose="020B0502040204020203" pitchFamily="34" charset="0"/>
              </a:rPr>
              <a:t>SCA Auto. Bucket</a:t>
            </a:r>
            <a:r>
              <a:rPr lang="en-US" sz="1200" b="1" baseline="0">
                <a:solidFill>
                  <a:schemeClr val="lt1"/>
                </a:solidFill>
                <a:effectLst/>
                <a:latin typeface="Segoe UI" panose="020B0502040204020203" pitchFamily="34" charset="0"/>
                <a:ea typeface="+mn-ea"/>
                <a:cs typeface="Segoe UI" panose="020B0502040204020203" pitchFamily="34" charset="0"/>
              </a:rPr>
              <a:t> 1</a:t>
            </a:r>
            <a:endParaRPr lang="en-US" sz="1400">
              <a:effectLst/>
              <a:latin typeface="Segoe UI" panose="020B0502040204020203" pitchFamily="34" charset="0"/>
              <a:cs typeface="Segoe UI" panose="020B0502040204020203" pitchFamily="34" charset="0"/>
            </a:endParaRPr>
          </a:p>
        </xdr:txBody>
      </xdr:sp>
      <xdr:sp macro="[0]!Update_SalesSpecialtyAdj_Bucket2" textlink="">
        <xdr:nvSpPr>
          <xdr:cNvPr id="10" name="Rounded Rectangle 9">
            <a:extLst>
              <a:ext uri="{FF2B5EF4-FFF2-40B4-BE49-F238E27FC236}">
                <a16:creationId xmlns:a16="http://schemas.microsoft.com/office/drawing/2014/main" id="{00000000-0008-0000-2E00-00000A000000}"/>
              </a:ext>
            </a:extLst>
          </xdr:cNvPr>
          <xdr:cNvSpPr>
            <a:spLocks noChangeAspect="1"/>
          </xdr:cNvSpPr>
        </xdr:nvSpPr>
        <xdr:spPr>
          <a:xfrm>
            <a:off x="8413749" y="0"/>
            <a:ext cx="922867"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a:t>
            </a:r>
          </a:p>
        </xdr:txBody>
      </xdr:sp>
      <xdr:sp macro="[0]!Default_SalesSpecialtyAdj_Bucket2" textlink="">
        <xdr:nvSpPr>
          <xdr:cNvPr id="11" name="Rounded Rectangle 10">
            <a:extLst>
              <a:ext uri="{FF2B5EF4-FFF2-40B4-BE49-F238E27FC236}">
                <a16:creationId xmlns:a16="http://schemas.microsoft.com/office/drawing/2014/main" id="{00000000-0008-0000-2E00-00000B000000}"/>
              </a:ext>
            </a:extLst>
          </xdr:cNvPr>
          <xdr:cNvSpPr>
            <a:spLocks noChangeAspect="1"/>
          </xdr:cNvSpPr>
        </xdr:nvSpPr>
        <xdr:spPr>
          <a:xfrm>
            <a:off x="9374715" y="0"/>
            <a:ext cx="92286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14</xdr:col>
      <xdr:colOff>309089</xdr:colOff>
      <xdr:row>3</xdr:row>
      <xdr:rowOff>221482</xdr:rowOff>
    </xdr:to>
    <xdr:grpSp>
      <xdr:nvGrpSpPr>
        <xdr:cNvPr id="2" name="Group 1">
          <a:extLst>
            <a:ext uri="{FF2B5EF4-FFF2-40B4-BE49-F238E27FC236}">
              <a16:creationId xmlns:a16="http://schemas.microsoft.com/office/drawing/2014/main" id="{00000000-0008-0000-2F00-000002000000}"/>
            </a:ext>
          </a:extLst>
        </xdr:cNvPr>
        <xdr:cNvGrpSpPr>
          <a:grpSpLocks noChangeAspect="1"/>
        </xdr:cNvGrpSpPr>
      </xdr:nvGrpSpPr>
      <xdr:grpSpPr>
        <a:xfrm>
          <a:off x="0" y="0"/>
          <a:ext cx="10062689" cy="1535932"/>
          <a:chOff x="0" y="0"/>
          <a:chExt cx="10111372" cy="1533815"/>
        </a:xfrm>
      </xdr:grpSpPr>
      <xdr:sp macro="[0]!GoTo_Main" textlink="">
        <xdr:nvSpPr>
          <xdr:cNvPr id="3" name="Rounded Rectangle 2">
            <a:extLst>
              <a:ext uri="{FF2B5EF4-FFF2-40B4-BE49-F238E27FC236}">
                <a16:creationId xmlns:a16="http://schemas.microsoft.com/office/drawing/2014/main" id="{00000000-0008-0000-2F00-000003000000}"/>
              </a:ext>
            </a:extLst>
          </xdr:cNvPr>
          <xdr:cNvSpPr>
            <a:spLocks noChangeAspect="1"/>
          </xdr:cNvSpPr>
        </xdr:nvSpPr>
        <xdr:spPr>
          <a:xfrm>
            <a:off x="0" y="0"/>
            <a:ext cx="918774" cy="729481"/>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SalesApproachSummary_Table_Light" textlink="">
        <xdr:nvSpPr>
          <xdr:cNvPr id="4" name="Rounded Rectangle 3">
            <a:extLst>
              <a:ext uri="{FF2B5EF4-FFF2-40B4-BE49-F238E27FC236}">
                <a16:creationId xmlns:a16="http://schemas.microsoft.com/office/drawing/2014/main" id="{00000000-0008-0000-2F00-000004000000}"/>
              </a:ext>
            </a:extLst>
          </xdr:cNvPr>
          <xdr:cNvSpPr>
            <a:spLocks noChangeAspect="1"/>
          </xdr:cNvSpPr>
        </xdr:nvSpPr>
        <xdr:spPr>
          <a:xfrm>
            <a:off x="2100905" y="0"/>
            <a:ext cx="1282047" cy="729481"/>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Light</a:t>
            </a:r>
          </a:p>
        </xdr:txBody>
      </xdr:sp>
      <xdr:sp macro="[0]!GoTo_SalesApproachSummary_Table_Detailed" textlink="">
        <xdr:nvSpPr>
          <xdr:cNvPr id="5" name="Rounded Rectangle 4">
            <a:extLst>
              <a:ext uri="{FF2B5EF4-FFF2-40B4-BE49-F238E27FC236}">
                <a16:creationId xmlns:a16="http://schemas.microsoft.com/office/drawing/2014/main" id="{00000000-0008-0000-2F00-000005000000}"/>
              </a:ext>
            </a:extLst>
          </xdr:cNvPr>
          <xdr:cNvSpPr>
            <a:spLocks noChangeAspect="1"/>
          </xdr:cNvSpPr>
        </xdr:nvSpPr>
        <xdr:spPr>
          <a:xfrm>
            <a:off x="3425912" y="0"/>
            <a:ext cx="1279927" cy="729481"/>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Detailed</a:t>
            </a:r>
          </a:p>
        </xdr:txBody>
      </xdr:sp>
      <xdr:sp macro="[0]!GoTo_SalesAutomatedAdjustment_Tables" textlink="">
        <xdr:nvSpPr>
          <xdr:cNvPr id="6" name="Rounded Rectangle 5">
            <a:extLst>
              <a:ext uri="{FF2B5EF4-FFF2-40B4-BE49-F238E27FC236}">
                <a16:creationId xmlns:a16="http://schemas.microsoft.com/office/drawing/2014/main" id="{00000000-0008-0000-2F00-000006000000}"/>
              </a:ext>
            </a:extLst>
          </xdr:cNvPr>
          <xdr:cNvSpPr>
            <a:spLocks noChangeAspect="1"/>
          </xdr:cNvSpPr>
        </xdr:nvSpPr>
        <xdr:spPr>
          <a:xfrm>
            <a:off x="5711801" y="0"/>
            <a:ext cx="1470040" cy="729481"/>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lt1"/>
                </a:solidFill>
                <a:effectLst/>
                <a:latin typeface="Segoe UI" panose="020B0502040204020203" pitchFamily="34" charset="0"/>
                <a:ea typeface="+mn-ea"/>
                <a:cs typeface="Segoe UI" panose="020B0502040204020203" pitchFamily="34" charset="0"/>
              </a:rPr>
              <a:t>SCA Automated Adj.</a:t>
            </a:r>
            <a:endParaRPr lang="en-US" sz="1400">
              <a:effectLst/>
              <a:latin typeface="Segoe UI" panose="020B0502040204020203" pitchFamily="34" charset="0"/>
              <a:cs typeface="Segoe UI" panose="020B0502040204020203" pitchFamily="34" charset="0"/>
            </a:endParaRPr>
          </a:p>
        </xdr:txBody>
      </xdr:sp>
      <xdr:sp macro="[0]!Update_SalesAdjust_Grid_B2" textlink="">
        <xdr:nvSpPr>
          <xdr:cNvPr id="7" name="Rounded Rectangle 6">
            <a:extLst>
              <a:ext uri="{FF2B5EF4-FFF2-40B4-BE49-F238E27FC236}">
                <a16:creationId xmlns:a16="http://schemas.microsoft.com/office/drawing/2014/main" id="{00000000-0008-0000-2F00-000007000000}"/>
              </a:ext>
            </a:extLst>
          </xdr:cNvPr>
          <xdr:cNvSpPr>
            <a:spLocks noChangeAspect="1"/>
          </xdr:cNvSpPr>
        </xdr:nvSpPr>
        <xdr:spPr>
          <a:xfrm>
            <a:off x="8224860" y="793745"/>
            <a:ext cx="918774" cy="729481"/>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a:t>
            </a:r>
          </a:p>
        </xdr:txBody>
      </xdr:sp>
      <xdr:sp macro="[0]!Default_SalesAdjust_Grid_B2" textlink="">
        <xdr:nvSpPr>
          <xdr:cNvPr id="8" name="Rounded Rectangle 7">
            <a:extLst>
              <a:ext uri="{FF2B5EF4-FFF2-40B4-BE49-F238E27FC236}">
                <a16:creationId xmlns:a16="http://schemas.microsoft.com/office/drawing/2014/main" id="{00000000-0008-0000-2F00-000008000000}"/>
              </a:ext>
            </a:extLst>
          </xdr:cNvPr>
          <xdr:cNvSpPr>
            <a:spLocks noChangeAspect="1"/>
          </xdr:cNvSpPr>
        </xdr:nvSpPr>
        <xdr:spPr>
          <a:xfrm>
            <a:off x="9192598" y="793745"/>
            <a:ext cx="918774" cy="729481"/>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sp macro="[0]!ShowDialogSalesAdjB2" textlink="">
        <xdr:nvSpPr>
          <xdr:cNvPr id="9" name="Rounded Rectangle 8">
            <a:extLst>
              <a:ext uri="{FF2B5EF4-FFF2-40B4-BE49-F238E27FC236}">
                <a16:creationId xmlns:a16="http://schemas.microsoft.com/office/drawing/2014/main" id="{00000000-0008-0000-2F00-000009000000}"/>
              </a:ext>
            </a:extLst>
          </xdr:cNvPr>
          <xdr:cNvSpPr>
            <a:spLocks noChangeAspect="1"/>
          </xdr:cNvSpPr>
        </xdr:nvSpPr>
        <xdr:spPr>
          <a:xfrm>
            <a:off x="4046877" y="804334"/>
            <a:ext cx="1647438" cy="729481"/>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Select Adjustment Categories</a:t>
            </a:r>
          </a:p>
        </xdr:txBody>
      </xdr:sp>
      <xdr:sp macro="[0]!ClearSalesAdjustmentsB2" textlink="">
        <xdr:nvSpPr>
          <xdr:cNvPr id="10" name="Rounded Rectangle 9">
            <a:extLst>
              <a:ext uri="{FF2B5EF4-FFF2-40B4-BE49-F238E27FC236}">
                <a16:creationId xmlns:a16="http://schemas.microsoft.com/office/drawing/2014/main" id="{00000000-0008-0000-2F00-00000A000000}"/>
              </a:ext>
            </a:extLst>
          </xdr:cNvPr>
          <xdr:cNvSpPr>
            <a:spLocks noChangeAspect="1"/>
          </xdr:cNvSpPr>
        </xdr:nvSpPr>
        <xdr:spPr>
          <a:xfrm>
            <a:off x="6980697" y="793746"/>
            <a:ext cx="1194409" cy="729481"/>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Clear Adjustments</a:t>
            </a:r>
          </a:p>
        </xdr:txBody>
      </xdr:sp>
      <xdr:sp macro="[0]!GoTo_ValueIndications_Table" textlink="">
        <xdr:nvSpPr>
          <xdr:cNvPr id="11" name="Rounded Rectangle 10">
            <a:extLst>
              <a:ext uri="{FF2B5EF4-FFF2-40B4-BE49-F238E27FC236}">
                <a16:creationId xmlns:a16="http://schemas.microsoft.com/office/drawing/2014/main" id="{00000000-0008-0000-2F00-00000B000000}"/>
              </a:ext>
            </a:extLst>
          </xdr:cNvPr>
          <xdr:cNvSpPr>
            <a:spLocks noChangeAspect="1"/>
          </xdr:cNvSpPr>
        </xdr:nvSpPr>
        <xdr:spPr>
          <a:xfrm>
            <a:off x="957056" y="0"/>
            <a:ext cx="1104651" cy="729481"/>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sp macro="[0]!ShowUserFormTemplateAssumptions" textlink="">
        <xdr:nvSpPr>
          <xdr:cNvPr id="12" name="Rounded Rectangle 11">
            <a:extLst>
              <a:ext uri="{FF2B5EF4-FFF2-40B4-BE49-F238E27FC236}">
                <a16:creationId xmlns:a16="http://schemas.microsoft.com/office/drawing/2014/main" id="{00000000-0008-0000-2F00-00000C000000}"/>
              </a:ext>
            </a:extLst>
          </xdr:cNvPr>
          <xdr:cNvSpPr>
            <a:spLocks noChangeAspect="1"/>
          </xdr:cNvSpPr>
        </xdr:nvSpPr>
        <xdr:spPr>
          <a:xfrm>
            <a:off x="5746737" y="783167"/>
            <a:ext cx="1192289" cy="729481"/>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latin typeface="Segoe UI" panose="020B0502040204020203" pitchFamily="34" charset="0"/>
                <a:cs typeface="Segoe UI" panose="020B0502040204020203" pitchFamily="34" charset="0"/>
              </a:rPr>
              <a:t>Template</a:t>
            </a:r>
            <a:r>
              <a:rPr lang="en-US" sz="1200" b="1" baseline="0">
                <a:solidFill>
                  <a:schemeClr val="tx1"/>
                </a:solidFill>
                <a:latin typeface="Segoe UI" panose="020B0502040204020203" pitchFamily="34" charset="0"/>
                <a:cs typeface="Segoe UI" panose="020B0502040204020203" pitchFamily="34" charset="0"/>
              </a:rPr>
              <a:t> Assumptions</a:t>
            </a:r>
            <a:endParaRPr lang="en-US" sz="1200" b="1">
              <a:solidFill>
                <a:schemeClr val="tx1"/>
              </a:solidFill>
              <a:latin typeface="Segoe UI" panose="020B0502040204020203" pitchFamily="34" charset="0"/>
              <a:cs typeface="Segoe UI" panose="020B0502040204020203" pitchFamily="34" charset="0"/>
            </a:endParaRPr>
          </a:p>
        </xdr:txBody>
      </xdr:sp>
      <xdr:sp macro="[0]!GoTo_SalesApproach_Conclusion" textlink="">
        <xdr:nvSpPr>
          <xdr:cNvPr id="13" name="Rounded Rectangle 12">
            <a:extLst>
              <a:ext uri="{FF2B5EF4-FFF2-40B4-BE49-F238E27FC236}">
                <a16:creationId xmlns:a16="http://schemas.microsoft.com/office/drawing/2014/main" id="{00000000-0008-0000-2F00-00000D000000}"/>
              </a:ext>
            </a:extLst>
          </xdr:cNvPr>
          <xdr:cNvSpPr>
            <a:spLocks noChangeAspect="1"/>
          </xdr:cNvSpPr>
        </xdr:nvSpPr>
        <xdr:spPr>
          <a:xfrm>
            <a:off x="8548094" y="9498"/>
            <a:ext cx="1561917" cy="733703"/>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SCA Conclusion</a:t>
            </a:r>
          </a:p>
        </xdr:txBody>
      </xdr:sp>
      <xdr:sp macro="[0]!GoTo_SalesApproach_EGIM" textlink="">
        <xdr:nvSpPr>
          <xdr:cNvPr id="14" name="Rounded Rectangle 13">
            <a:extLst>
              <a:ext uri="{FF2B5EF4-FFF2-40B4-BE49-F238E27FC236}">
                <a16:creationId xmlns:a16="http://schemas.microsoft.com/office/drawing/2014/main" id="{00000000-0008-0000-2F00-00000E000000}"/>
              </a:ext>
            </a:extLst>
          </xdr:cNvPr>
          <xdr:cNvSpPr>
            <a:spLocks noChangeAspect="1"/>
          </xdr:cNvSpPr>
        </xdr:nvSpPr>
        <xdr:spPr>
          <a:xfrm>
            <a:off x="4751735" y="0"/>
            <a:ext cx="913485"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EGIM Analysis</a:t>
            </a:r>
          </a:p>
        </xdr:txBody>
      </xdr:sp>
      <xdr:sp macro="[0]!GoTo_SalesSpecialtyAdjustment_Tables" textlink="">
        <xdr:nvSpPr>
          <xdr:cNvPr id="15" name="Rounded Rectangle 14">
            <a:extLst>
              <a:ext uri="{FF2B5EF4-FFF2-40B4-BE49-F238E27FC236}">
                <a16:creationId xmlns:a16="http://schemas.microsoft.com/office/drawing/2014/main" id="{00000000-0008-0000-2F00-00000F000000}"/>
              </a:ext>
            </a:extLst>
          </xdr:cNvPr>
          <xdr:cNvSpPr>
            <a:spLocks noChangeAspect="1"/>
          </xdr:cNvSpPr>
        </xdr:nvSpPr>
        <xdr:spPr>
          <a:xfrm>
            <a:off x="7228417" y="0"/>
            <a:ext cx="128016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Specialty Adj.</a:t>
            </a:r>
          </a:p>
        </xdr:txBody>
      </xdr: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0</xdr:col>
      <xdr:colOff>19050</xdr:colOff>
      <xdr:row>0</xdr:row>
      <xdr:rowOff>0</xdr:rowOff>
    </xdr:from>
    <xdr:to>
      <xdr:col>23</xdr:col>
      <xdr:colOff>1706025</xdr:colOff>
      <xdr:row>0</xdr:row>
      <xdr:rowOff>731520</xdr:rowOff>
    </xdr:to>
    <xdr:grpSp>
      <xdr:nvGrpSpPr>
        <xdr:cNvPr id="13" name="Group 12">
          <a:extLst>
            <a:ext uri="{FF2B5EF4-FFF2-40B4-BE49-F238E27FC236}">
              <a16:creationId xmlns:a16="http://schemas.microsoft.com/office/drawing/2014/main" id="{00000000-0008-0000-3000-00000D000000}"/>
            </a:ext>
          </a:extLst>
        </xdr:cNvPr>
        <xdr:cNvGrpSpPr/>
      </xdr:nvGrpSpPr>
      <xdr:grpSpPr>
        <a:xfrm>
          <a:off x="19050" y="0"/>
          <a:ext cx="9687975" cy="731520"/>
          <a:chOff x="19050" y="0"/>
          <a:chExt cx="9657283" cy="731520"/>
        </a:xfrm>
      </xdr:grpSpPr>
      <xdr:sp macro="[0]!GoTo_Main" textlink="">
        <xdr:nvSpPr>
          <xdr:cNvPr id="4" name="Rounded Rectangle 3">
            <a:extLst>
              <a:ext uri="{FF2B5EF4-FFF2-40B4-BE49-F238E27FC236}">
                <a16:creationId xmlns:a16="http://schemas.microsoft.com/office/drawing/2014/main" id="{00000000-0008-0000-3000-000004000000}"/>
              </a:ext>
            </a:extLst>
          </xdr:cNvPr>
          <xdr:cNvSpPr>
            <a:spLocks noChangeAspect="1"/>
          </xdr:cNvSpPr>
        </xdr:nvSpPr>
        <xdr:spPr>
          <a:xfrm>
            <a:off x="19050" y="0"/>
            <a:ext cx="913518"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SalesApproachSummary_Table_Detailed" textlink="">
        <xdr:nvSpPr>
          <xdr:cNvPr id="5" name="Rounded Rectangle 4">
            <a:extLst>
              <a:ext uri="{FF2B5EF4-FFF2-40B4-BE49-F238E27FC236}">
                <a16:creationId xmlns:a16="http://schemas.microsoft.com/office/drawing/2014/main" id="{00000000-0008-0000-3000-000005000000}"/>
              </a:ext>
            </a:extLst>
          </xdr:cNvPr>
          <xdr:cNvSpPr>
            <a:spLocks noChangeAspect="1"/>
          </xdr:cNvSpPr>
        </xdr:nvSpPr>
        <xdr:spPr>
          <a:xfrm>
            <a:off x="2275559" y="0"/>
            <a:ext cx="1278926"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Detailed</a:t>
            </a:r>
          </a:p>
        </xdr:txBody>
      </xdr:sp>
      <xdr:sp macro="[0]!GoTo_SalesAutomatedAdjustment_Tables" textlink="">
        <xdr:nvSpPr>
          <xdr:cNvPr id="6" name="Rounded Rectangle 5">
            <a:extLst>
              <a:ext uri="{FF2B5EF4-FFF2-40B4-BE49-F238E27FC236}">
                <a16:creationId xmlns:a16="http://schemas.microsoft.com/office/drawing/2014/main" id="{00000000-0008-0000-3000-000006000000}"/>
              </a:ext>
            </a:extLst>
          </xdr:cNvPr>
          <xdr:cNvSpPr>
            <a:spLocks noChangeAspect="1"/>
          </xdr:cNvSpPr>
        </xdr:nvSpPr>
        <xdr:spPr>
          <a:xfrm>
            <a:off x="3586625" y="0"/>
            <a:ext cx="1461629"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Automated Adj.</a:t>
            </a:r>
          </a:p>
        </xdr:txBody>
      </xdr:sp>
      <xdr:sp macro="[0]!GoTo_SalesApproach_Grid" textlink="">
        <xdr:nvSpPr>
          <xdr:cNvPr id="7" name="Rounded Rectangle 6">
            <a:extLst>
              <a:ext uri="{FF2B5EF4-FFF2-40B4-BE49-F238E27FC236}">
                <a16:creationId xmlns:a16="http://schemas.microsoft.com/office/drawing/2014/main" id="{00000000-0008-0000-3000-000007000000}"/>
              </a:ext>
            </a:extLst>
          </xdr:cNvPr>
          <xdr:cNvSpPr>
            <a:spLocks noChangeAspect="1"/>
          </xdr:cNvSpPr>
        </xdr:nvSpPr>
        <xdr:spPr>
          <a:xfrm>
            <a:off x="5077439" y="0"/>
            <a:ext cx="913518"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Adj. Grid</a:t>
            </a:r>
          </a:p>
        </xdr:txBody>
      </xdr:sp>
      <xdr:sp macro="[0]!Update_SalesEGIM_Table_Actual" textlink="">
        <xdr:nvSpPr>
          <xdr:cNvPr id="8" name="Rounded Rectangle 7">
            <a:extLst>
              <a:ext uri="{FF2B5EF4-FFF2-40B4-BE49-F238E27FC236}">
                <a16:creationId xmlns:a16="http://schemas.microsoft.com/office/drawing/2014/main" id="{00000000-0008-0000-3000-000008000000}"/>
              </a:ext>
            </a:extLst>
          </xdr:cNvPr>
          <xdr:cNvSpPr>
            <a:spLocks noChangeAspect="1"/>
          </xdr:cNvSpPr>
        </xdr:nvSpPr>
        <xdr:spPr>
          <a:xfrm>
            <a:off x="6029018" y="0"/>
            <a:ext cx="118872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 - Actual</a:t>
            </a:r>
            <a:r>
              <a:rPr lang="en-US" sz="1200" b="1" baseline="0">
                <a:solidFill>
                  <a:sysClr val="windowText" lastClr="000000"/>
                </a:solidFill>
                <a:latin typeface="Segoe UI" panose="020B0502040204020203" pitchFamily="34" charset="0"/>
                <a:cs typeface="Segoe UI" panose="020B0502040204020203" pitchFamily="34" charset="0"/>
              </a:rPr>
              <a:t> EGIM</a:t>
            </a:r>
            <a:endParaRPr lang="en-US" sz="1200" b="1">
              <a:solidFill>
                <a:sysClr val="windowText" lastClr="000000"/>
              </a:solidFill>
              <a:latin typeface="Segoe UI" panose="020B0502040204020203" pitchFamily="34" charset="0"/>
              <a:cs typeface="Segoe UI" panose="020B0502040204020203" pitchFamily="34" charset="0"/>
            </a:endParaRPr>
          </a:p>
        </xdr:txBody>
      </xdr:sp>
      <xdr:sp macro="[0]!Default_SalesEGIM_Table" textlink="">
        <xdr:nvSpPr>
          <xdr:cNvPr id="9" name="Rounded Rectangle 8">
            <a:extLst>
              <a:ext uri="{FF2B5EF4-FFF2-40B4-BE49-F238E27FC236}">
                <a16:creationId xmlns:a16="http://schemas.microsoft.com/office/drawing/2014/main" id="{00000000-0008-0000-3000-000009000000}"/>
              </a:ext>
            </a:extLst>
          </xdr:cNvPr>
          <xdr:cNvSpPr>
            <a:spLocks noChangeAspect="1"/>
          </xdr:cNvSpPr>
        </xdr:nvSpPr>
        <xdr:spPr>
          <a:xfrm>
            <a:off x="8762816" y="0"/>
            <a:ext cx="913517"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sp macro="[0]!Update_SalesEGIM_Table_Stabilized" textlink="">
        <xdr:nvSpPr>
          <xdr:cNvPr id="10" name="Rounded Rectangle 9">
            <a:extLst>
              <a:ext uri="{FF2B5EF4-FFF2-40B4-BE49-F238E27FC236}">
                <a16:creationId xmlns:a16="http://schemas.microsoft.com/office/drawing/2014/main" id="{00000000-0008-0000-3000-00000A000000}"/>
              </a:ext>
            </a:extLst>
          </xdr:cNvPr>
          <xdr:cNvSpPr>
            <a:spLocks noChangeAspect="1"/>
          </xdr:cNvSpPr>
        </xdr:nvSpPr>
        <xdr:spPr>
          <a:xfrm>
            <a:off x="7258050" y="0"/>
            <a:ext cx="146304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 - Stabilized </a:t>
            </a:r>
            <a:r>
              <a:rPr lang="en-US" sz="1200" b="1" baseline="0">
                <a:solidFill>
                  <a:sysClr val="windowText" lastClr="000000"/>
                </a:solidFill>
                <a:latin typeface="Segoe UI" panose="020B0502040204020203" pitchFamily="34" charset="0"/>
                <a:cs typeface="Segoe UI" panose="020B0502040204020203" pitchFamily="34" charset="0"/>
              </a:rPr>
              <a:t>EGIM</a:t>
            </a:r>
            <a:endParaRPr lang="en-US" sz="1200" b="1">
              <a:solidFill>
                <a:sysClr val="windowText" lastClr="000000"/>
              </a:solidFill>
              <a:latin typeface="Segoe UI" panose="020B0502040204020203" pitchFamily="34" charset="0"/>
              <a:cs typeface="Segoe UI" panose="020B0502040204020203" pitchFamily="34" charset="0"/>
            </a:endParaRPr>
          </a:p>
        </xdr:txBody>
      </xdr:sp>
      <xdr:sp macro="[0]!GoTo_SalesApproachSummary_Table_Light" textlink="">
        <xdr:nvSpPr>
          <xdr:cNvPr id="12" name="Rounded Rectangle 11">
            <a:extLst>
              <a:ext uri="{FF2B5EF4-FFF2-40B4-BE49-F238E27FC236}">
                <a16:creationId xmlns:a16="http://schemas.microsoft.com/office/drawing/2014/main" id="{00000000-0008-0000-3000-00000C000000}"/>
              </a:ext>
            </a:extLst>
          </xdr:cNvPr>
          <xdr:cNvSpPr>
            <a:spLocks noChangeAspect="1"/>
          </xdr:cNvSpPr>
        </xdr:nvSpPr>
        <xdr:spPr>
          <a:xfrm>
            <a:off x="962025" y="0"/>
            <a:ext cx="1280160" cy="731520"/>
          </a:xfrm>
          <a:prstGeom prst="roundRect">
            <a:avLst/>
          </a:prstGeom>
          <a:solidFill>
            <a:schemeClr val="accent4"/>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SCA Summary Light</a:t>
            </a:r>
          </a:p>
        </xdr:txBody>
      </xdr:sp>
    </xdr:grpSp>
    <xdr:clientData/>
  </xdr:twoCellAnchor>
  <xdr:twoCellAnchor editAs="absolute">
    <xdr:from>
      <xdr:col>25</xdr:col>
      <xdr:colOff>724960</xdr:colOff>
      <xdr:row>0</xdr:row>
      <xdr:rowOff>63499</xdr:rowOff>
    </xdr:from>
    <xdr:to>
      <xdr:col>39</xdr:col>
      <xdr:colOff>449793</xdr:colOff>
      <xdr:row>3</xdr:row>
      <xdr:rowOff>84665</xdr:rowOff>
    </xdr:to>
    <xdr:sp macro="" textlink="">
      <xdr:nvSpPr>
        <xdr:cNvPr id="11" name="TextBox 10">
          <a:hlinkClick xmlns:r="http://schemas.openxmlformats.org/officeDocument/2006/relationships" r:id="rId1"/>
          <a:extLst>
            <a:ext uri="{FF2B5EF4-FFF2-40B4-BE49-F238E27FC236}">
              <a16:creationId xmlns:a16="http://schemas.microsoft.com/office/drawing/2014/main" id="{00000000-0008-0000-3000-00000B000000}"/>
            </a:ext>
          </a:extLst>
        </xdr:cNvPr>
        <xdr:cNvSpPr txBox="1">
          <a:spLocks noChangeAspect="1"/>
        </xdr:cNvSpPr>
      </xdr:nvSpPr>
      <xdr:spPr>
        <a:xfrm>
          <a:off x="11418360" y="63499"/>
          <a:ext cx="7620000" cy="1344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Select SCA Valuation Technique</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User inputs in cells with white background only</a:t>
          </a: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3. Press</a:t>
          </a:r>
          <a:r>
            <a:rPr lang="en-US" sz="1000" b="1" baseline="0">
              <a:effectLst/>
              <a:latin typeface="Segoe UI" panose="020B0502040204020203" pitchFamily="34" charset="0"/>
              <a:cs typeface="Segoe UI" panose="020B0502040204020203" pitchFamily="34" charset="0"/>
            </a:rPr>
            <a:t> "Update" Button when complete - removes background colors/cell comment indicators, hides rows &amp; sets print area</a:t>
          </a: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4. Press "Default" Button to add</a:t>
          </a:r>
          <a:r>
            <a:rPr lang="en-US" sz="1000" b="1" baseline="0">
              <a:effectLst/>
              <a:latin typeface="Segoe UI" panose="020B0502040204020203" pitchFamily="34" charset="0"/>
              <a:cs typeface="Segoe UI" panose="020B0502040204020203" pitchFamily="34" charset="0"/>
            </a:rPr>
            <a:t> background colors/cell comment indicators &amp; unhide all rows to modify prior inputs</a:t>
          </a:r>
        </a:p>
        <a:p>
          <a:pPr algn="l" rtl="0">
            <a:spcBef>
              <a:spcPts val="300"/>
            </a:spcBef>
            <a:spcAft>
              <a:spcPts val="300"/>
            </a:spcAft>
          </a:pPr>
          <a:r>
            <a:rPr lang="en-US" sz="1000" b="1" u="sng" baseline="0">
              <a:solidFill>
                <a:srgbClr val="0000FF"/>
              </a:solidFill>
              <a:effectLst/>
              <a:latin typeface="Segoe UI" panose="020B0502040204020203" pitchFamily="34" charset="0"/>
              <a:cs typeface="Segoe UI" panose="020B0502040204020203" pitchFamily="34" charset="0"/>
            </a:rPr>
            <a:t>User Guide</a:t>
          </a:r>
          <a:endParaRPr lang="en-US" sz="1000" b="1" u="sng">
            <a:solidFill>
              <a:srgbClr val="0000FF"/>
            </a:solidFill>
            <a:effectLst/>
            <a:latin typeface="Segoe UI" panose="020B0502040204020203" pitchFamily="34" charset="0"/>
            <a:cs typeface="Segoe UI" panose="020B0502040204020203" pitchFamily="34" charset="0"/>
          </a:endParaRPr>
        </a:p>
      </xdr:txBody>
    </xdr: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14</xdr:col>
      <xdr:colOff>352425</xdr:colOff>
      <xdr:row>0</xdr:row>
      <xdr:rowOff>52915</xdr:rowOff>
    </xdr:from>
    <xdr:to>
      <xdr:col>24</xdr:col>
      <xdr:colOff>1475952</xdr:colOff>
      <xdr:row>4</xdr:row>
      <xdr:rowOff>258232</xdr:rowOff>
    </xdr:to>
    <xdr:sp macro="" textlink="">
      <xdr:nvSpPr>
        <xdr:cNvPr id="10" name="TextBox 9">
          <a:hlinkClick xmlns:r="http://schemas.openxmlformats.org/officeDocument/2006/relationships" r:id="rId1"/>
          <a:extLst>
            <a:ext uri="{FF2B5EF4-FFF2-40B4-BE49-F238E27FC236}">
              <a16:creationId xmlns:a16="http://schemas.microsoft.com/office/drawing/2014/main" id="{00000000-0008-0000-3100-00000A000000}"/>
            </a:ext>
          </a:extLst>
        </xdr:cNvPr>
        <xdr:cNvSpPr txBox="1"/>
      </xdr:nvSpPr>
      <xdr:spPr>
        <a:xfrm>
          <a:off x="8371417" y="52915"/>
          <a:ext cx="6753860" cy="15451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rtl="0" eaLnBrk="1" fontAlgn="auto" latinLnBrk="0" hangingPunct="1">
            <a:lnSpc>
              <a:spcPct val="100000"/>
            </a:lnSpc>
            <a:spcBef>
              <a:spcPts val="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1. User inputs in cells with white background only</a:t>
          </a:r>
        </a:p>
        <a:p>
          <a:pPr marL="0" marR="0" indent="0" algn="l" defTabSz="914400" rtl="0" eaLnBrk="1" fontAlgn="auto" latinLnBrk="0" hangingPunct="1">
            <a:lnSpc>
              <a:spcPct val="100000"/>
            </a:lnSpc>
            <a:spcBef>
              <a:spcPts val="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2. CoStar Table Dependent on Market Study</a:t>
          </a:r>
        </a:p>
        <a:p>
          <a:pPr marL="0" marR="0" indent="0" algn="l" defTabSz="914400" rtl="0" eaLnBrk="1" fontAlgn="auto" latinLnBrk="0" hangingPunct="1">
            <a:lnSpc>
              <a:spcPct val="100000"/>
            </a:lnSpc>
            <a:spcBef>
              <a:spcPts val="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3. Absorption Comparables 100% User Entry</a:t>
          </a:r>
        </a:p>
        <a:p>
          <a:pPr marL="0" marR="0" lvl="0" indent="0" algn="l" defTabSz="914400" rtl="0" eaLnBrk="1" fontAlgn="auto" latinLnBrk="0" hangingPunct="1">
            <a:lnSpc>
              <a:spcPct val="100000"/>
            </a:lnSpc>
            <a:spcBef>
              <a:spcPts val="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4. Subject Leasing Activity Dependent on Rent Roll</a:t>
          </a:r>
        </a:p>
        <a:p>
          <a:pPr algn="l" rtl="0">
            <a:spcBef>
              <a:spcPts val="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5.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6. Press "Default" Button to add</a:t>
          </a:r>
          <a:r>
            <a:rPr lang="en-US" sz="1000" b="1" baseline="0">
              <a:solidFill>
                <a:schemeClr val="dk1"/>
              </a:solidFill>
              <a:effectLst/>
              <a:latin typeface="Segoe UI" panose="020B0502040204020203" pitchFamily="34" charset="0"/>
              <a:ea typeface="+mn-ea"/>
              <a:cs typeface="Segoe UI" panose="020B0502040204020203" pitchFamily="34" charset="0"/>
            </a:rPr>
            <a:t> background colors &amp; unhide all rows to modify prior inputs</a:t>
          </a:r>
        </a:p>
        <a:p>
          <a:pPr algn="l" rtl="0">
            <a:spcBef>
              <a:spcPts val="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14</xdr:col>
      <xdr:colOff>273054</xdr:colOff>
      <xdr:row>0</xdr:row>
      <xdr:rowOff>731520</xdr:rowOff>
    </xdr:to>
    <xdr:grpSp>
      <xdr:nvGrpSpPr>
        <xdr:cNvPr id="12" name="Group 11">
          <a:extLst>
            <a:ext uri="{FF2B5EF4-FFF2-40B4-BE49-F238E27FC236}">
              <a16:creationId xmlns:a16="http://schemas.microsoft.com/office/drawing/2014/main" id="{00000000-0008-0000-3100-00000C000000}"/>
            </a:ext>
          </a:extLst>
        </xdr:cNvPr>
        <xdr:cNvGrpSpPr/>
      </xdr:nvGrpSpPr>
      <xdr:grpSpPr>
        <a:xfrm>
          <a:off x="0" y="0"/>
          <a:ext cx="8302629" cy="731520"/>
          <a:chOff x="0" y="0"/>
          <a:chExt cx="8292046" cy="731520"/>
        </a:xfrm>
      </xdr:grpSpPr>
      <xdr:sp macro="[0]!GoTo_Main" textlink="">
        <xdr:nvSpPr>
          <xdr:cNvPr id="3" name="Rounded Rectangle 2">
            <a:extLst>
              <a:ext uri="{FF2B5EF4-FFF2-40B4-BE49-F238E27FC236}">
                <a16:creationId xmlns:a16="http://schemas.microsoft.com/office/drawing/2014/main" id="{00000000-0008-0000-3100-000003000000}"/>
              </a:ext>
            </a:extLst>
          </xdr:cNvPr>
          <xdr:cNvSpPr>
            <a:spLocks noChangeAspect="1"/>
          </xdr:cNvSpPr>
        </xdr:nvSpPr>
        <xdr:spPr>
          <a:xfrm>
            <a:off x="0" y="0"/>
            <a:ext cx="916135"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MarketStudy_Table" textlink="">
        <xdr:nvSpPr>
          <xdr:cNvPr id="4" name="Rounded Rectangle 3">
            <a:extLst>
              <a:ext uri="{FF2B5EF4-FFF2-40B4-BE49-F238E27FC236}">
                <a16:creationId xmlns:a16="http://schemas.microsoft.com/office/drawing/2014/main" id="{00000000-0008-0000-3100-000004000000}"/>
              </a:ext>
            </a:extLst>
          </xdr:cNvPr>
          <xdr:cNvSpPr>
            <a:spLocks noChangeAspect="1"/>
          </xdr:cNvSpPr>
        </xdr:nvSpPr>
        <xdr:spPr>
          <a:xfrm>
            <a:off x="3350630" y="0"/>
            <a:ext cx="914399"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Market Study</a:t>
            </a:r>
          </a:p>
        </xdr:txBody>
      </xdr:sp>
      <xdr:sp macro="[0]!GoTo_ValueIndications_Table" textlink="">
        <xdr:nvSpPr>
          <xdr:cNvPr id="5" name="Rounded Rectangle 4">
            <a:extLst>
              <a:ext uri="{FF2B5EF4-FFF2-40B4-BE49-F238E27FC236}">
                <a16:creationId xmlns:a16="http://schemas.microsoft.com/office/drawing/2014/main" id="{00000000-0008-0000-3100-000005000000}"/>
              </a:ext>
            </a:extLst>
          </xdr:cNvPr>
          <xdr:cNvSpPr>
            <a:spLocks noChangeAspect="1"/>
          </xdr:cNvSpPr>
        </xdr:nvSpPr>
        <xdr:spPr>
          <a:xfrm>
            <a:off x="964909" y="0"/>
            <a:ext cx="1099363"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sp macro="[0]!ShowUserFormTemplateAssumptions" textlink="">
        <xdr:nvSpPr>
          <xdr:cNvPr id="6" name="Rounded Rectangle 5">
            <a:extLst>
              <a:ext uri="{FF2B5EF4-FFF2-40B4-BE49-F238E27FC236}">
                <a16:creationId xmlns:a16="http://schemas.microsoft.com/office/drawing/2014/main" id="{00000000-0008-0000-3100-000006000000}"/>
              </a:ext>
            </a:extLst>
          </xdr:cNvPr>
          <xdr:cNvSpPr>
            <a:spLocks noChangeAspect="1"/>
          </xdr:cNvSpPr>
        </xdr:nvSpPr>
        <xdr:spPr>
          <a:xfrm>
            <a:off x="2110037" y="0"/>
            <a:ext cx="119097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latin typeface="Segoe UI" panose="020B0502040204020203" pitchFamily="34" charset="0"/>
                <a:cs typeface="Segoe UI" panose="020B0502040204020203" pitchFamily="34" charset="0"/>
              </a:rPr>
              <a:t>Template</a:t>
            </a:r>
            <a:r>
              <a:rPr lang="en-US" sz="1200" b="1" baseline="0">
                <a:solidFill>
                  <a:schemeClr val="tx1"/>
                </a:solidFill>
                <a:latin typeface="Segoe UI" panose="020B0502040204020203" pitchFamily="34" charset="0"/>
                <a:cs typeface="Segoe UI" panose="020B0502040204020203" pitchFamily="34" charset="0"/>
              </a:rPr>
              <a:t> Assumptions</a:t>
            </a:r>
            <a:endParaRPr lang="en-US" sz="1200" b="1">
              <a:solidFill>
                <a:schemeClr val="tx1"/>
              </a:solidFill>
              <a:latin typeface="Segoe UI" panose="020B0502040204020203" pitchFamily="34" charset="0"/>
              <a:cs typeface="Segoe UI" panose="020B0502040204020203" pitchFamily="34" charset="0"/>
            </a:endParaRPr>
          </a:p>
        </xdr:txBody>
      </xdr:sp>
      <xdr:sp macro="[0]!Update_Absorption" textlink="">
        <xdr:nvSpPr>
          <xdr:cNvPr id="7" name="Rounded Rectangle 6">
            <a:extLst>
              <a:ext uri="{FF2B5EF4-FFF2-40B4-BE49-F238E27FC236}">
                <a16:creationId xmlns:a16="http://schemas.microsoft.com/office/drawing/2014/main" id="{00000000-0008-0000-3100-000007000000}"/>
              </a:ext>
            </a:extLst>
          </xdr:cNvPr>
          <xdr:cNvSpPr>
            <a:spLocks noChangeAspect="1"/>
          </xdr:cNvSpPr>
        </xdr:nvSpPr>
        <xdr:spPr>
          <a:xfrm>
            <a:off x="6411004" y="0"/>
            <a:ext cx="916135"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a:t>
            </a:r>
          </a:p>
        </xdr:txBody>
      </xdr:sp>
      <xdr:sp macro="[0]!Default_Absorption" textlink="">
        <xdr:nvSpPr>
          <xdr:cNvPr id="8" name="Rounded Rectangle 7">
            <a:extLst>
              <a:ext uri="{FF2B5EF4-FFF2-40B4-BE49-F238E27FC236}">
                <a16:creationId xmlns:a16="http://schemas.microsoft.com/office/drawing/2014/main" id="{00000000-0008-0000-3100-000008000000}"/>
              </a:ext>
            </a:extLst>
          </xdr:cNvPr>
          <xdr:cNvSpPr>
            <a:spLocks noChangeAspect="1"/>
          </xdr:cNvSpPr>
        </xdr:nvSpPr>
        <xdr:spPr>
          <a:xfrm>
            <a:off x="7375911" y="0"/>
            <a:ext cx="916135"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sp macro="[0]!GoTo_LUD" textlink="">
        <xdr:nvSpPr>
          <xdr:cNvPr id="9" name="Rounded Rectangle 8">
            <a:extLst>
              <a:ext uri="{FF2B5EF4-FFF2-40B4-BE49-F238E27FC236}">
                <a16:creationId xmlns:a16="http://schemas.microsoft.com/office/drawing/2014/main" id="{00000000-0008-0000-3100-000009000000}"/>
              </a:ext>
            </a:extLst>
          </xdr:cNvPr>
          <xdr:cNvSpPr>
            <a:spLocks noChangeAspect="1"/>
          </xdr:cNvSpPr>
        </xdr:nvSpPr>
        <xdr:spPr>
          <a:xfrm>
            <a:off x="5449520" y="1"/>
            <a:ext cx="914400" cy="730861"/>
          </a:xfrm>
          <a:prstGeom prst="roundRect">
            <a:avLst/>
          </a:prstGeom>
          <a:solidFill>
            <a:schemeClr val="tx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Lease-Up</a:t>
            </a:r>
          </a:p>
        </xdr:txBody>
      </xdr:sp>
      <xdr:sp macro="[0]!GoTo_IncomeRentRollTable" textlink="">
        <xdr:nvSpPr>
          <xdr:cNvPr id="11" name="Rounded Rectangle 10">
            <a:extLst>
              <a:ext uri="{FF2B5EF4-FFF2-40B4-BE49-F238E27FC236}">
                <a16:creationId xmlns:a16="http://schemas.microsoft.com/office/drawing/2014/main" id="{00000000-0008-0000-3100-00000B000000}"/>
              </a:ext>
            </a:extLst>
          </xdr:cNvPr>
          <xdr:cNvSpPr>
            <a:spLocks noChangeAspect="1"/>
          </xdr:cNvSpPr>
        </xdr:nvSpPr>
        <xdr:spPr>
          <a:xfrm>
            <a:off x="4307412" y="0"/>
            <a:ext cx="1095053"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Roll - Report</a:t>
            </a:r>
          </a:p>
        </xdr:txBody>
      </xdr:sp>
    </xdr:grpSp>
    <xdr:clientData/>
  </xdr:twoCellAnchor>
  <mc:AlternateContent xmlns:mc="http://schemas.openxmlformats.org/markup-compatibility/2006">
    <mc:Choice xmlns:a14="http://schemas.microsoft.com/office/drawing/2010/main" Requires="a14">
      <xdr:twoCellAnchor editAs="oneCell">
        <xdr:from>
          <xdr:col>0</xdr:col>
          <xdr:colOff>19050</xdr:colOff>
          <xdr:row>6</xdr:row>
          <xdr:rowOff>19050</xdr:rowOff>
        </xdr:from>
        <xdr:to>
          <xdr:col>0</xdr:col>
          <xdr:colOff>571500</xdr:colOff>
          <xdr:row>7</xdr:row>
          <xdr:rowOff>142875</xdr:rowOff>
        </xdr:to>
        <xdr:sp macro="" textlink="">
          <xdr:nvSpPr>
            <xdr:cNvPr id="1177603" name="Spinner 3" hidden="1">
              <a:extLst>
                <a:ext uri="{63B3BB69-23CF-44E3-9099-C40C66FF867C}">
                  <a14:compatExt spid="_x0000_s1177603"/>
                </a:ext>
                <a:ext uri="{FF2B5EF4-FFF2-40B4-BE49-F238E27FC236}">
                  <a16:creationId xmlns:a16="http://schemas.microsoft.com/office/drawing/2014/main" id="{00000000-0008-0000-3100-000003F811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0.xml><?xml version="1.0" encoding="utf-8"?>
<xdr:wsDr xmlns:xdr="http://schemas.openxmlformats.org/drawingml/2006/spreadsheetDrawing" xmlns:a="http://schemas.openxmlformats.org/drawingml/2006/main">
  <xdr:twoCellAnchor editAs="absolute">
    <xdr:from>
      <xdr:col>88</xdr:col>
      <xdr:colOff>323850</xdr:colOff>
      <xdr:row>0</xdr:row>
      <xdr:rowOff>53976</xdr:rowOff>
    </xdr:from>
    <xdr:to>
      <xdr:col>99</xdr:col>
      <xdr:colOff>384810</xdr:colOff>
      <xdr:row>1</xdr:row>
      <xdr:rowOff>603250</xdr:rowOff>
    </xdr:to>
    <xdr:sp macro="" textlink="">
      <xdr:nvSpPr>
        <xdr:cNvPr id="51" name="TextBox 50">
          <a:hlinkClick xmlns:r="http://schemas.openxmlformats.org/officeDocument/2006/relationships" r:id="rId1"/>
          <a:extLst>
            <a:ext uri="{FF2B5EF4-FFF2-40B4-BE49-F238E27FC236}">
              <a16:creationId xmlns:a16="http://schemas.microsoft.com/office/drawing/2014/main" id="{00000000-0008-0000-3200-000033000000}"/>
            </a:ext>
          </a:extLst>
        </xdr:cNvPr>
        <xdr:cNvSpPr txBox="1"/>
      </xdr:nvSpPr>
      <xdr:spPr>
        <a:xfrm>
          <a:off x="8927042" y="53976"/>
          <a:ext cx="6745393" cy="13112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rtl="0" eaLnBrk="1" fontAlgn="auto" latinLnBrk="0" hangingPunct="1">
            <a:lnSpc>
              <a:spcPct val="100000"/>
            </a:lnSpc>
            <a:spcBef>
              <a:spcPts val="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1. User inputs in cells with white background only</a:t>
          </a:r>
        </a:p>
        <a:p>
          <a:pPr marL="0" marR="0" indent="0" algn="l" defTabSz="914400" rtl="0" eaLnBrk="1" fontAlgn="auto" latinLnBrk="0" hangingPunct="1">
            <a:lnSpc>
              <a:spcPct val="100000"/>
            </a:lnSpc>
            <a:spcBef>
              <a:spcPts val="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2. Lease-Up with and without discounting is available (see non-discounting table at bottom)</a:t>
          </a:r>
        </a:p>
        <a:p>
          <a:pPr marL="0" marR="0" indent="0" algn="l" defTabSz="914400" rtl="0" eaLnBrk="1" fontAlgn="auto" latinLnBrk="0" hangingPunct="1">
            <a:lnSpc>
              <a:spcPct val="100000"/>
            </a:lnSpc>
            <a:spcBef>
              <a:spcPts val="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3. User must fill in Reconciled cell at bottom even if only one method is used</a:t>
          </a:r>
        </a:p>
        <a:p>
          <a:pPr algn="l" rtl="0">
            <a:spcBef>
              <a:spcPts val="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5. Press "Default" Button to add</a:t>
          </a:r>
          <a:r>
            <a:rPr lang="en-US" sz="1000" b="1" baseline="0">
              <a:solidFill>
                <a:schemeClr val="dk1"/>
              </a:solidFill>
              <a:effectLst/>
              <a:latin typeface="Segoe UI" panose="020B0502040204020203" pitchFamily="34" charset="0"/>
              <a:ea typeface="+mn-ea"/>
              <a:cs typeface="Segoe UI" panose="020B0502040204020203" pitchFamily="34" charset="0"/>
            </a:rPr>
            <a:t> background colors &amp; unhide all rows to modify prior inputs</a:t>
          </a:r>
        </a:p>
        <a:p>
          <a:pPr algn="l" rtl="0">
            <a:spcBef>
              <a:spcPts val="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88</xdr:col>
      <xdr:colOff>156655</xdr:colOff>
      <xdr:row>0</xdr:row>
      <xdr:rowOff>731520</xdr:rowOff>
    </xdr:to>
    <xdr:grpSp>
      <xdr:nvGrpSpPr>
        <xdr:cNvPr id="2" name="Group 1">
          <a:extLst>
            <a:ext uri="{FF2B5EF4-FFF2-40B4-BE49-F238E27FC236}">
              <a16:creationId xmlns:a16="http://schemas.microsoft.com/office/drawing/2014/main" id="{00000000-0008-0000-3200-000002000000}"/>
            </a:ext>
          </a:extLst>
        </xdr:cNvPr>
        <xdr:cNvGrpSpPr/>
      </xdr:nvGrpSpPr>
      <xdr:grpSpPr>
        <a:xfrm>
          <a:off x="0" y="0"/>
          <a:ext cx="8757730" cy="731520"/>
          <a:chOff x="0" y="0"/>
          <a:chExt cx="8754555" cy="731520"/>
        </a:xfrm>
      </xdr:grpSpPr>
      <xdr:sp macro="[0]!GoTo_Main" textlink="">
        <xdr:nvSpPr>
          <xdr:cNvPr id="31" name="Rounded Rectangle 30">
            <a:extLst>
              <a:ext uri="{FF2B5EF4-FFF2-40B4-BE49-F238E27FC236}">
                <a16:creationId xmlns:a16="http://schemas.microsoft.com/office/drawing/2014/main" id="{00000000-0008-0000-3200-00001F000000}"/>
              </a:ext>
            </a:extLst>
          </xdr:cNvPr>
          <xdr:cNvSpPr>
            <a:spLocks noChangeAspect="1"/>
          </xdr:cNvSpPr>
        </xdr:nvSpPr>
        <xdr:spPr>
          <a:xfrm>
            <a:off x="0" y="0"/>
            <a:ext cx="91825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32" name="Rounded Rectangle 31">
            <a:extLst>
              <a:ext uri="{FF2B5EF4-FFF2-40B4-BE49-F238E27FC236}">
                <a16:creationId xmlns:a16="http://schemas.microsoft.com/office/drawing/2014/main" id="{00000000-0008-0000-3200-000020000000}"/>
              </a:ext>
            </a:extLst>
          </xdr:cNvPr>
          <xdr:cNvSpPr>
            <a:spLocks noChangeAspect="1"/>
          </xdr:cNvSpPr>
        </xdr:nvSpPr>
        <xdr:spPr>
          <a:xfrm>
            <a:off x="3347782" y="0"/>
            <a:ext cx="1193725"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GoTo_ValueIndications_Table" textlink="">
        <xdr:nvSpPr>
          <xdr:cNvPr id="33" name="Rounded Rectangle 32">
            <a:extLst>
              <a:ext uri="{FF2B5EF4-FFF2-40B4-BE49-F238E27FC236}">
                <a16:creationId xmlns:a16="http://schemas.microsoft.com/office/drawing/2014/main" id="{00000000-0008-0000-3200-000021000000}"/>
              </a:ext>
            </a:extLst>
          </xdr:cNvPr>
          <xdr:cNvSpPr>
            <a:spLocks noChangeAspect="1"/>
          </xdr:cNvSpPr>
        </xdr:nvSpPr>
        <xdr:spPr>
          <a:xfrm>
            <a:off x="956553" y="0"/>
            <a:ext cx="11019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sp macro="[0]!ShowUserFormTemplateAssumptions" textlink="">
        <xdr:nvSpPr>
          <xdr:cNvPr id="34" name="Rounded Rectangle 33">
            <a:extLst>
              <a:ext uri="{FF2B5EF4-FFF2-40B4-BE49-F238E27FC236}">
                <a16:creationId xmlns:a16="http://schemas.microsoft.com/office/drawing/2014/main" id="{00000000-0008-0000-3200-000022000000}"/>
              </a:ext>
            </a:extLst>
          </xdr:cNvPr>
          <xdr:cNvSpPr>
            <a:spLocks noChangeAspect="1"/>
          </xdr:cNvSpPr>
        </xdr:nvSpPr>
        <xdr:spPr>
          <a:xfrm>
            <a:off x="2104325" y="0"/>
            <a:ext cx="1193725"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latin typeface="Segoe UI" panose="020B0502040204020203" pitchFamily="34" charset="0"/>
                <a:cs typeface="Segoe UI" panose="020B0502040204020203" pitchFamily="34" charset="0"/>
              </a:rPr>
              <a:t>Template</a:t>
            </a:r>
            <a:r>
              <a:rPr lang="en-US" sz="1200" b="1" baseline="0">
                <a:solidFill>
                  <a:schemeClr val="tx1"/>
                </a:solidFill>
                <a:latin typeface="Segoe UI" panose="020B0502040204020203" pitchFamily="34" charset="0"/>
                <a:cs typeface="Segoe UI" panose="020B0502040204020203" pitchFamily="34" charset="0"/>
              </a:rPr>
              <a:t> Assumptions</a:t>
            </a:r>
            <a:endParaRPr lang="en-US" sz="1200" b="1">
              <a:solidFill>
                <a:schemeClr val="tx1"/>
              </a:solidFill>
              <a:latin typeface="Segoe UI" panose="020B0502040204020203" pitchFamily="34" charset="0"/>
              <a:cs typeface="Segoe UI" panose="020B0502040204020203" pitchFamily="34" charset="0"/>
            </a:endParaRPr>
          </a:p>
        </xdr:txBody>
      </xdr:sp>
      <xdr:sp macro="[0]!Update_LUD" textlink="">
        <xdr:nvSpPr>
          <xdr:cNvPr id="38" name="Rounded Rectangle 37">
            <a:extLst>
              <a:ext uri="{FF2B5EF4-FFF2-40B4-BE49-F238E27FC236}">
                <a16:creationId xmlns:a16="http://schemas.microsoft.com/office/drawing/2014/main" id="{00000000-0008-0000-3200-000026000000}"/>
              </a:ext>
            </a:extLst>
          </xdr:cNvPr>
          <xdr:cNvSpPr>
            <a:spLocks noChangeAspect="1"/>
          </xdr:cNvSpPr>
        </xdr:nvSpPr>
        <xdr:spPr>
          <a:xfrm>
            <a:off x="6869167" y="0"/>
            <a:ext cx="91825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a:t>
            </a:r>
          </a:p>
        </xdr:txBody>
      </xdr:sp>
      <xdr:sp macro="[0]!Default_LUD" textlink="">
        <xdr:nvSpPr>
          <xdr:cNvPr id="39" name="Rounded Rectangle 38">
            <a:extLst>
              <a:ext uri="{FF2B5EF4-FFF2-40B4-BE49-F238E27FC236}">
                <a16:creationId xmlns:a16="http://schemas.microsoft.com/office/drawing/2014/main" id="{00000000-0008-0000-3200-000027000000}"/>
              </a:ext>
            </a:extLst>
          </xdr:cNvPr>
          <xdr:cNvSpPr>
            <a:spLocks noChangeAspect="1"/>
          </xdr:cNvSpPr>
        </xdr:nvSpPr>
        <xdr:spPr>
          <a:xfrm>
            <a:off x="7836305" y="0"/>
            <a:ext cx="91825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sp macro="[0]!GoTo_IncomeDirectCapitalization" textlink="">
        <xdr:nvSpPr>
          <xdr:cNvPr id="41" name="Rounded Rectangle 40">
            <a:extLst>
              <a:ext uri="{FF2B5EF4-FFF2-40B4-BE49-F238E27FC236}">
                <a16:creationId xmlns:a16="http://schemas.microsoft.com/office/drawing/2014/main" id="{00000000-0008-0000-3200-000029000000}"/>
              </a:ext>
            </a:extLst>
          </xdr:cNvPr>
          <xdr:cNvSpPr>
            <a:spLocks noChangeAspect="1"/>
          </xdr:cNvSpPr>
        </xdr:nvSpPr>
        <xdr:spPr>
          <a:xfrm>
            <a:off x="4581687" y="0"/>
            <a:ext cx="1284273"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Direct Capitalization</a:t>
            </a:r>
          </a:p>
        </xdr:txBody>
      </xdr:sp>
      <xdr:sp macro="[0]!GoTo_Absorption" textlink="">
        <xdr:nvSpPr>
          <xdr:cNvPr id="20" name="Rounded Rectangle 19">
            <a:extLst>
              <a:ext uri="{FF2B5EF4-FFF2-40B4-BE49-F238E27FC236}">
                <a16:creationId xmlns:a16="http://schemas.microsoft.com/office/drawing/2014/main" id="{00000000-0008-0000-3200-000014000000}"/>
              </a:ext>
            </a:extLst>
          </xdr:cNvPr>
          <xdr:cNvSpPr>
            <a:spLocks noChangeAspect="1"/>
          </xdr:cNvSpPr>
        </xdr:nvSpPr>
        <xdr:spPr>
          <a:xfrm>
            <a:off x="5905493" y="0"/>
            <a:ext cx="914400" cy="730861"/>
          </a:xfrm>
          <a:prstGeom prst="roundRect">
            <a:avLst/>
          </a:prstGeom>
          <a:solidFill>
            <a:schemeClr val="tx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Lease-Up</a:t>
            </a:r>
          </a:p>
        </xdr:txBody>
      </xdr:sp>
    </xdr:grpSp>
    <xdr:clientData/>
  </xdr:twoCellAnchor>
</xdr:wsDr>
</file>

<file path=xl/drawings/drawing41.xml><?xml version="1.0" encoding="utf-8"?>
<xdr:wsDr xmlns:xdr="http://schemas.openxmlformats.org/drawingml/2006/spreadsheetDrawing" xmlns:a="http://schemas.openxmlformats.org/drawingml/2006/main">
  <xdr:oneCellAnchor>
    <xdr:from>
      <xdr:col>12</xdr:col>
      <xdr:colOff>59278</xdr:colOff>
      <xdr:row>25</xdr:row>
      <xdr:rowOff>0</xdr:rowOff>
    </xdr:from>
    <xdr:ext cx="1551769" cy="731520"/>
    <xdr:pic>
      <xdr:nvPicPr>
        <xdr:cNvPr id="22" name="ARLOGO1.SF" descr="F:\WINARGUS\ARLOGO1.SF">
          <a:extLst>
            <a:ext uri="{FF2B5EF4-FFF2-40B4-BE49-F238E27FC236}">
              <a16:creationId xmlns:a16="http://schemas.microsoft.com/office/drawing/2014/main" id="{00000000-0008-0000-3300-000016000000}"/>
            </a:ext>
          </a:extLst>
        </xdr:cNvPr>
        <xdr:cNvPicPr>
          <a:picLocks noChangeAspect="1"/>
        </xdr:cNvPicPr>
      </xdr:nvPicPr>
      <xdr:blipFill>
        <a:blip xmlns:r="http://schemas.openxmlformats.org/officeDocument/2006/relationships" r:embed="rId1" r:link="rId2" cstate="print"/>
        <a:stretch>
          <a:fillRect/>
        </a:stretch>
      </xdr:blipFill>
      <xdr:spPr>
        <a:xfrm>
          <a:off x="6261111" y="6773333"/>
          <a:ext cx="1551769" cy="731520"/>
        </a:xfrm>
        <a:prstGeom prst="rect">
          <a:avLst/>
        </a:prstGeom>
        <a:ln>
          <a:noFill/>
        </a:ln>
      </xdr:spPr>
    </xdr:pic>
    <xdr:clientData/>
  </xdr:oneCellAnchor>
  <xdr:twoCellAnchor editAs="absolute">
    <xdr:from>
      <xdr:col>0</xdr:col>
      <xdr:colOff>0</xdr:colOff>
      <xdr:row>0</xdr:row>
      <xdr:rowOff>0</xdr:rowOff>
    </xdr:from>
    <xdr:to>
      <xdr:col>10</xdr:col>
      <xdr:colOff>237061</xdr:colOff>
      <xdr:row>0</xdr:row>
      <xdr:rowOff>731520</xdr:rowOff>
    </xdr:to>
    <xdr:grpSp>
      <xdr:nvGrpSpPr>
        <xdr:cNvPr id="2" name="Group 1">
          <a:extLst>
            <a:ext uri="{FF2B5EF4-FFF2-40B4-BE49-F238E27FC236}">
              <a16:creationId xmlns:a16="http://schemas.microsoft.com/office/drawing/2014/main" id="{00000000-0008-0000-3300-000002000000}"/>
            </a:ext>
          </a:extLst>
        </xdr:cNvPr>
        <xdr:cNvGrpSpPr>
          <a:grpSpLocks noChangeAspect="1"/>
        </xdr:cNvGrpSpPr>
      </xdr:nvGrpSpPr>
      <xdr:grpSpPr>
        <a:xfrm>
          <a:off x="0" y="0"/>
          <a:ext cx="5199586" cy="731520"/>
          <a:chOff x="0" y="0"/>
          <a:chExt cx="5211227" cy="731520"/>
        </a:xfrm>
      </xdr:grpSpPr>
      <xdr:sp macro="[0]!GoTo_Main" textlink="">
        <xdr:nvSpPr>
          <xdr:cNvPr id="20" name="Rounded Rectangle 19">
            <a:extLst>
              <a:ext uri="{FF2B5EF4-FFF2-40B4-BE49-F238E27FC236}">
                <a16:creationId xmlns:a16="http://schemas.microsoft.com/office/drawing/2014/main" id="{00000000-0008-0000-3300-000014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ValueIndications_Table" textlink="">
        <xdr:nvSpPr>
          <xdr:cNvPr id="42" name="Rounded Rectangle 41">
            <a:extLst>
              <a:ext uri="{FF2B5EF4-FFF2-40B4-BE49-F238E27FC236}">
                <a16:creationId xmlns:a16="http://schemas.microsoft.com/office/drawing/2014/main" id="{00000000-0008-0000-3300-00002A000000}"/>
              </a:ext>
            </a:extLst>
          </xdr:cNvPr>
          <xdr:cNvSpPr>
            <a:spLocks noChangeAspect="1"/>
          </xdr:cNvSpPr>
        </xdr:nvSpPr>
        <xdr:spPr>
          <a:xfrm>
            <a:off x="952501" y="0"/>
            <a:ext cx="109728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sp macro="[0]!Update_Income_Assumptions" textlink="">
        <xdr:nvSpPr>
          <xdr:cNvPr id="43" name="Rounded Rectangle 42">
            <a:extLst>
              <a:ext uri="{FF2B5EF4-FFF2-40B4-BE49-F238E27FC236}">
                <a16:creationId xmlns:a16="http://schemas.microsoft.com/office/drawing/2014/main" id="{00000000-0008-0000-3300-00002B000000}"/>
              </a:ext>
            </a:extLst>
          </xdr:cNvPr>
          <xdr:cNvSpPr>
            <a:spLocks noChangeAspect="1"/>
          </xdr:cNvSpPr>
        </xdr:nvSpPr>
        <xdr:spPr>
          <a:xfrm>
            <a:off x="3333745"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Income_Assumptions" textlink="">
        <xdr:nvSpPr>
          <xdr:cNvPr id="44" name="Rounded Rectangle 43">
            <a:extLst>
              <a:ext uri="{FF2B5EF4-FFF2-40B4-BE49-F238E27FC236}">
                <a16:creationId xmlns:a16="http://schemas.microsoft.com/office/drawing/2014/main" id="{00000000-0008-0000-3300-00002C000000}"/>
              </a:ext>
            </a:extLst>
          </xdr:cNvPr>
          <xdr:cNvSpPr>
            <a:spLocks noChangeAspect="1"/>
          </xdr:cNvSpPr>
        </xdr:nvSpPr>
        <xdr:spPr>
          <a:xfrm>
            <a:off x="4296827"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ShowUserFormTemplateAssumptions" textlink="">
        <xdr:nvSpPr>
          <xdr:cNvPr id="45" name="Rounded Rectangle 44">
            <a:extLst>
              <a:ext uri="{FF2B5EF4-FFF2-40B4-BE49-F238E27FC236}">
                <a16:creationId xmlns:a16="http://schemas.microsoft.com/office/drawing/2014/main" id="{00000000-0008-0000-3300-00002D000000}"/>
              </a:ext>
            </a:extLst>
          </xdr:cNvPr>
          <xdr:cNvSpPr>
            <a:spLocks noChangeAspect="1"/>
          </xdr:cNvSpPr>
        </xdr:nvSpPr>
        <xdr:spPr>
          <a:xfrm>
            <a:off x="2095498" y="0"/>
            <a:ext cx="118872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 Assumptions</a:t>
            </a:r>
          </a:p>
        </xdr:txBody>
      </xdr:sp>
    </xdr:grpSp>
    <xdr:clientData/>
  </xdr:twoCellAnchor>
  <xdr:twoCellAnchor editAs="absolute">
    <xdr:from>
      <xdr:col>12</xdr:col>
      <xdr:colOff>328100</xdr:colOff>
      <xdr:row>0</xdr:row>
      <xdr:rowOff>476251</xdr:rowOff>
    </xdr:from>
    <xdr:to>
      <xdr:col>19</xdr:col>
      <xdr:colOff>54626</xdr:colOff>
      <xdr:row>2</xdr:row>
      <xdr:rowOff>86149</xdr:rowOff>
    </xdr:to>
    <xdr:sp macro="[0]!GoTo_IncomeRentSummaryLight_Table" textlink="">
      <xdr:nvSpPr>
        <xdr:cNvPr id="23" name="Rounded Rectangle 22">
          <a:extLst>
            <a:ext uri="{FF2B5EF4-FFF2-40B4-BE49-F238E27FC236}">
              <a16:creationId xmlns:a16="http://schemas.microsoft.com/office/drawing/2014/main" id="{00000000-0008-0000-3300-000017000000}"/>
            </a:ext>
          </a:extLst>
        </xdr:cNvPr>
        <xdr:cNvSpPr>
          <a:spLocks noChangeAspect="1"/>
        </xdr:cNvSpPr>
      </xdr:nvSpPr>
      <xdr:spPr>
        <a:xfrm>
          <a:off x="6529933" y="476251"/>
          <a:ext cx="1737360" cy="551815"/>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Rent Comparable Summary - Light</a:t>
          </a:r>
        </a:p>
      </xdr:txBody>
    </xdr:sp>
    <xdr:clientData/>
  </xdr:twoCellAnchor>
  <xdr:twoCellAnchor editAs="absolute">
    <xdr:from>
      <xdr:col>12</xdr:col>
      <xdr:colOff>328100</xdr:colOff>
      <xdr:row>5</xdr:row>
      <xdr:rowOff>97372</xdr:rowOff>
    </xdr:from>
    <xdr:to>
      <xdr:col>19</xdr:col>
      <xdr:colOff>54626</xdr:colOff>
      <xdr:row>8</xdr:row>
      <xdr:rowOff>98853</xdr:rowOff>
    </xdr:to>
    <xdr:sp macro="[0]!GoTo_IncomeRentAutoAdjustment_Tables" textlink="">
      <xdr:nvSpPr>
        <xdr:cNvPr id="27" name="Rounded Rectangle 26">
          <a:extLst>
            <a:ext uri="{FF2B5EF4-FFF2-40B4-BE49-F238E27FC236}">
              <a16:creationId xmlns:a16="http://schemas.microsoft.com/office/drawing/2014/main" id="{00000000-0008-0000-3300-00001B000000}"/>
            </a:ext>
          </a:extLst>
        </xdr:cNvPr>
        <xdr:cNvSpPr>
          <a:spLocks noChangeAspect="1"/>
        </xdr:cNvSpPr>
      </xdr:nvSpPr>
      <xdr:spPr>
        <a:xfrm>
          <a:off x="6529933" y="1621372"/>
          <a:ext cx="1737360" cy="541231"/>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Automated Rent Adjustments</a:t>
          </a:r>
        </a:p>
      </xdr:txBody>
    </xdr:sp>
    <xdr:clientData/>
  </xdr:twoCellAnchor>
  <xdr:twoCellAnchor editAs="absolute">
    <xdr:from>
      <xdr:col>12</xdr:col>
      <xdr:colOff>328100</xdr:colOff>
      <xdr:row>2</xdr:row>
      <xdr:rowOff>109011</xdr:rowOff>
    </xdr:from>
    <xdr:to>
      <xdr:col>19</xdr:col>
      <xdr:colOff>54626</xdr:colOff>
      <xdr:row>5</xdr:row>
      <xdr:rowOff>74510</xdr:rowOff>
    </xdr:to>
    <xdr:sp macro="[0]!GoTo_IncomeRentSummaryDetail_Table" textlink="">
      <xdr:nvSpPr>
        <xdr:cNvPr id="28" name="Rounded Rectangle 27">
          <a:extLst>
            <a:ext uri="{FF2B5EF4-FFF2-40B4-BE49-F238E27FC236}">
              <a16:creationId xmlns:a16="http://schemas.microsoft.com/office/drawing/2014/main" id="{00000000-0008-0000-3300-00001C000000}"/>
            </a:ext>
          </a:extLst>
        </xdr:cNvPr>
        <xdr:cNvSpPr>
          <a:spLocks noChangeAspect="1"/>
        </xdr:cNvSpPr>
      </xdr:nvSpPr>
      <xdr:spPr>
        <a:xfrm>
          <a:off x="6529933" y="1050928"/>
          <a:ext cx="1737360" cy="547582"/>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Rent Comparable Summary - Detailed</a:t>
          </a:r>
        </a:p>
      </xdr:txBody>
    </xdr:sp>
    <xdr:clientData/>
  </xdr:twoCellAnchor>
  <xdr:twoCellAnchor editAs="absolute">
    <xdr:from>
      <xdr:col>12</xdr:col>
      <xdr:colOff>328122</xdr:colOff>
      <xdr:row>8</xdr:row>
      <xdr:rowOff>117483</xdr:rowOff>
    </xdr:from>
    <xdr:to>
      <xdr:col>19</xdr:col>
      <xdr:colOff>54648</xdr:colOff>
      <xdr:row>11</xdr:row>
      <xdr:rowOff>114731</xdr:rowOff>
    </xdr:to>
    <xdr:sp macro="[0]!GoTo_IncomeRentAdjustment_Grid" textlink="">
      <xdr:nvSpPr>
        <xdr:cNvPr id="29" name="Rounded Rectangle 28">
          <a:extLst>
            <a:ext uri="{FF2B5EF4-FFF2-40B4-BE49-F238E27FC236}">
              <a16:creationId xmlns:a16="http://schemas.microsoft.com/office/drawing/2014/main" id="{00000000-0008-0000-3300-00001D000000}"/>
            </a:ext>
          </a:extLst>
        </xdr:cNvPr>
        <xdr:cNvSpPr>
          <a:spLocks noChangeAspect="1"/>
        </xdr:cNvSpPr>
      </xdr:nvSpPr>
      <xdr:spPr>
        <a:xfrm>
          <a:off x="6529955" y="2181233"/>
          <a:ext cx="1737360" cy="536998"/>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Rent Comparable Adjustment Grid</a:t>
          </a:r>
        </a:p>
      </xdr:txBody>
    </xdr:sp>
    <xdr:clientData/>
  </xdr:twoCellAnchor>
  <xdr:twoCellAnchor editAs="absolute">
    <xdr:from>
      <xdr:col>20</xdr:col>
      <xdr:colOff>13776</xdr:colOff>
      <xdr:row>0</xdr:row>
      <xdr:rowOff>476253</xdr:rowOff>
    </xdr:from>
    <xdr:to>
      <xdr:col>21</xdr:col>
      <xdr:colOff>766886</xdr:colOff>
      <xdr:row>2</xdr:row>
      <xdr:rowOff>86151</xdr:rowOff>
    </xdr:to>
    <xdr:sp macro="[0]!GoTo_IncomeRentRollTable" textlink="">
      <xdr:nvSpPr>
        <xdr:cNvPr id="30" name="Rounded Rectangle 29">
          <a:extLst>
            <a:ext uri="{FF2B5EF4-FFF2-40B4-BE49-F238E27FC236}">
              <a16:creationId xmlns:a16="http://schemas.microsoft.com/office/drawing/2014/main" id="{00000000-0008-0000-3300-00001E000000}"/>
            </a:ext>
          </a:extLst>
        </xdr:cNvPr>
        <xdr:cNvSpPr>
          <a:spLocks noChangeAspect="1"/>
        </xdr:cNvSpPr>
      </xdr:nvSpPr>
      <xdr:spPr>
        <a:xfrm>
          <a:off x="8342859" y="476253"/>
          <a:ext cx="1737360" cy="551815"/>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Rent Roll - Report</a:t>
          </a:r>
        </a:p>
      </xdr:txBody>
    </xdr:sp>
    <xdr:clientData/>
  </xdr:twoCellAnchor>
  <xdr:twoCellAnchor editAs="absolute">
    <xdr:from>
      <xdr:col>20</xdr:col>
      <xdr:colOff>13775</xdr:colOff>
      <xdr:row>2</xdr:row>
      <xdr:rowOff>109011</xdr:rowOff>
    </xdr:from>
    <xdr:to>
      <xdr:col>21</xdr:col>
      <xdr:colOff>766885</xdr:colOff>
      <xdr:row>5</xdr:row>
      <xdr:rowOff>74510</xdr:rowOff>
    </xdr:to>
    <xdr:sp macro="[0]!GoTo_IncomeTenantProfileTables" textlink="">
      <xdr:nvSpPr>
        <xdr:cNvPr id="31" name="Rounded Rectangle 30">
          <a:extLst>
            <a:ext uri="{FF2B5EF4-FFF2-40B4-BE49-F238E27FC236}">
              <a16:creationId xmlns:a16="http://schemas.microsoft.com/office/drawing/2014/main" id="{00000000-0008-0000-3300-00001F000000}"/>
            </a:ext>
          </a:extLst>
        </xdr:cNvPr>
        <xdr:cNvSpPr>
          <a:spLocks noChangeAspect="1"/>
        </xdr:cNvSpPr>
      </xdr:nvSpPr>
      <xdr:spPr>
        <a:xfrm>
          <a:off x="8342858" y="1050928"/>
          <a:ext cx="1737360" cy="547582"/>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Subject Space Types / Tenant Breakdown</a:t>
          </a:r>
        </a:p>
      </xdr:txBody>
    </xdr:sp>
    <xdr:clientData/>
  </xdr:twoCellAnchor>
  <xdr:twoCellAnchor editAs="absolute">
    <xdr:from>
      <xdr:col>25</xdr:col>
      <xdr:colOff>451925</xdr:colOff>
      <xdr:row>0</xdr:row>
      <xdr:rowOff>476253</xdr:rowOff>
    </xdr:from>
    <xdr:to>
      <xdr:col>27</xdr:col>
      <xdr:colOff>529819</xdr:colOff>
      <xdr:row>2</xdr:row>
      <xdr:rowOff>86151</xdr:rowOff>
    </xdr:to>
    <xdr:sp macro="[0]!GoTo_IncomeSubjectOperatingStatementTable" textlink="">
      <xdr:nvSpPr>
        <xdr:cNvPr id="35" name="Rounded Rectangle 34">
          <a:extLst>
            <a:ext uri="{FF2B5EF4-FFF2-40B4-BE49-F238E27FC236}">
              <a16:creationId xmlns:a16="http://schemas.microsoft.com/office/drawing/2014/main" id="{00000000-0008-0000-3300-000023000000}"/>
            </a:ext>
          </a:extLst>
        </xdr:cNvPr>
        <xdr:cNvSpPr>
          <a:spLocks noChangeAspect="1"/>
        </xdr:cNvSpPr>
      </xdr:nvSpPr>
      <xdr:spPr>
        <a:xfrm>
          <a:off x="11966592" y="476253"/>
          <a:ext cx="1739477" cy="551815"/>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Subject</a:t>
          </a:r>
          <a:r>
            <a:rPr lang="en-US" sz="1050" b="1" baseline="0">
              <a:latin typeface="Segoe UI" panose="020B0502040204020203" pitchFamily="34" charset="0"/>
              <a:cs typeface="Segoe UI" panose="020B0502040204020203" pitchFamily="34" charset="0"/>
            </a:rPr>
            <a:t> Operating Statements</a:t>
          </a:r>
          <a:endParaRPr lang="en-US" sz="1050" b="1">
            <a:latin typeface="Segoe UI" panose="020B0502040204020203" pitchFamily="34" charset="0"/>
            <a:cs typeface="Segoe UI" panose="020B0502040204020203" pitchFamily="34" charset="0"/>
          </a:endParaRPr>
        </a:p>
      </xdr:txBody>
    </xdr:sp>
    <xdr:clientData/>
  </xdr:twoCellAnchor>
  <xdr:twoCellAnchor editAs="absolute">
    <xdr:from>
      <xdr:col>25</xdr:col>
      <xdr:colOff>451923</xdr:colOff>
      <xdr:row>2</xdr:row>
      <xdr:rowOff>109014</xdr:rowOff>
    </xdr:from>
    <xdr:to>
      <xdr:col>27</xdr:col>
      <xdr:colOff>529817</xdr:colOff>
      <xdr:row>5</xdr:row>
      <xdr:rowOff>74513</xdr:rowOff>
    </xdr:to>
    <xdr:sp macro="[0]!GoTo_IncomeExpenseComparablesTable" textlink="">
      <xdr:nvSpPr>
        <xdr:cNvPr id="36" name="Rounded Rectangle 35">
          <a:extLst>
            <a:ext uri="{FF2B5EF4-FFF2-40B4-BE49-F238E27FC236}">
              <a16:creationId xmlns:a16="http://schemas.microsoft.com/office/drawing/2014/main" id="{00000000-0008-0000-3300-000024000000}"/>
            </a:ext>
          </a:extLst>
        </xdr:cNvPr>
        <xdr:cNvSpPr>
          <a:spLocks noChangeAspect="1"/>
        </xdr:cNvSpPr>
      </xdr:nvSpPr>
      <xdr:spPr>
        <a:xfrm>
          <a:off x="11966590" y="1050931"/>
          <a:ext cx="1739477" cy="547582"/>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Expense Comparables</a:t>
          </a:r>
        </a:p>
      </xdr:txBody>
    </xdr:sp>
    <xdr:clientData/>
  </xdr:twoCellAnchor>
  <xdr:twoCellAnchor editAs="absolute">
    <xdr:from>
      <xdr:col>25</xdr:col>
      <xdr:colOff>451923</xdr:colOff>
      <xdr:row>5</xdr:row>
      <xdr:rowOff>97374</xdr:rowOff>
    </xdr:from>
    <xdr:to>
      <xdr:col>27</xdr:col>
      <xdr:colOff>529817</xdr:colOff>
      <xdr:row>8</xdr:row>
      <xdr:rowOff>98855</xdr:rowOff>
    </xdr:to>
    <xdr:sp macro="[0]!GoTo_ExpenseEstimateTables" textlink="">
      <xdr:nvSpPr>
        <xdr:cNvPr id="37" name="Rounded Rectangle 36">
          <a:extLst>
            <a:ext uri="{FF2B5EF4-FFF2-40B4-BE49-F238E27FC236}">
              <a16:creationId xmlns:a16="http://schemas.microsoft.com/office/drawing/2014/main" id="{00000000-0008-0000-3300-000025000000}"/>
            </a:ext>
          </a:extLst>
        </xdr:cNvPr>
        <xdr:cNvSpPr>
          <a:spLocks noChangeAspect="1"/>
        </xdr:cNvSpPr>
      </xdr:nvSpPr>
      <xdr:spPr>
        <a:xfrm>
          <a:off x="11966590" y="1621374"/>
          <a:ext cx="1739477" cy="541231"/>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Expense</a:t>
          </a:r>
          <a:r>
            <a:rPr lang="en-US" sz="1050" b="1" baseline="0">
              <a:latin typeface="Segoe UI" panose="020B0502040204020203" pitchFamily="34" charset="0"/>
              <a:cs typeface="Segoe UI" panose="020B0502040204020203" pitchFamily="34" charset="0"/>
            </a:rPr>
            <a:t> Estimates</a:t>
          </a:r>
          <a:endParaRPr lang="en-US" sz="1050" b="1">
            <a:latin typeface="Segoe UI" panose="020B0502040204020203" pitchFamily="34" charset="0"/>
            <a:cs typeface="Segoe UI" panose="020B0502040204020203" pitchFamily="34" charset="0"/>
          </a:endParaRPr>
        </a:p>
      </xdr:txBody>
    </xdr:sp>
    <xdr:clientData/>
  </xdr:twoCellAnchor>
  <xdr:twoCellAnchor editAs="absolute">
    <xdr:from>
      <xdr:col>27</xdr:col>
      <xdr:colOff>605392</xdr:colOff>
      <xdr:row>0</xdr:row>
      <xdr:rowOff>476253</xdr:rowOff>
    </xdr:from>
    <xdr:to>
      <xdr:col>30</xdr:col>
      <xdr:colOff>67335</xdr:colOff>
      <xdr:row>2</xdr:row>
      <xdr:rowOff>86151</xdr:rowOff>
    </xdr:to>
    <xdr:sp macro="[0]!GoTo_IncomeMarketOAR" textlink="">
      <xdr:nvSpPr>
        <xdr:cNvPr id="38" name="Rounded Rectangle 37">
          <a:extLst>
            <a:ext uri="{FF2B5EF4-FFF2-40B4-BE49-F238E27FC236}">
              <a16:creationId xmlns:a16="http://schemas.microsoft.com/office/drawing/2014/main" id="{00000000-0008-0000-3300-000026000000}"/>
            </a:ext>
          </a:extLst>
        </xdr:cNvPr>
        <xdr:cNvSpPr>
          <a:spLocks noChangeAspect="1"/>
        </xdr:cNvSpPr>
      </xdr:nvSpPr>
      <xdr:spPr>
        <a:xfrm>
          <a:off x="13781642" y="476253"/>
          <a:ext cx="1737360" cy="551815"/>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Market OAR</a:t>
          </a:r>
        </a:p>
      </xdr:txBody>
    </xdr:sp>
    <xdr:clientData/>
  </xdr:twoCellAnchor>
  <xdr:twoCellAnchor editAs="absolute">
    <xdr:from>
      <xdr:col>27</xdr:col>
      <xdr:colOff>605392</xdr:colOff>
      <xdr:row>2</xdr:row>
      <xdr:rowOff>109009</xdr:rowOff>
    </xdr:from>
    <xdr:to>
      <xdr:col>30</xdr:col>
      <xdr:colOff>67335</xdr:colOff>
      <xdr:row>5</xdr:row>
      <xdr:rowOff>74508</xdr:rowOff>
    </xdr:to>
    <xdr:sp macro="[0]!GoTo_IncomeBoiInvSurveys" textlink="">
      <xdr:nvSpPr>
        <xdr:cNvPr id="39" name="Rounded Rectangle 38">
          <a:extLst>
            <a:ext uri="{FF2B5EF4-FFF2-40B4-BE49-F238E27FC236}">
              <a16:creationId xmlns:a16="http://schemas.microsoft.com/office/drawing/2014/main" id="{00000000-0008-0000-3300-000027000000}"/>
            </a:ext>
          </a:extLst>
        </xdr:cNvPr>
        <xdr:cNvSpPr>
          <a:spLocks noChangeAspect="1"/>
        </xdr:cNvSpPr>
      </xdr:nvSpPr>
      <xdr:spPr>
        <a:xfrm>
          <a:off x="13781642" y="1050926"/>
          <a:ext cx="1737360" cy="547582"/>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Band of Investment &amp; Investor Surveys</a:t>
          </a:r>
        </a:p>
      </xdr:txBody>
    </xdr:sp>
    <xdr:clientData/>
  </xdr:twoCellAnchor>
  <xdr:twoCellAnchor editAs="absolute">
    <xdr:from>
      <xdr:col>27</xdr:col>
      <xdr:colOff>605392</xdr:colOff>
      <xdr:row>5</xdr:row>
      <xdr:rowOff>97365</xdr:rowOff>
    </xdr:from>
    <xdr:to>
      <xdr:col>30</xdr:col>
      <xdr:colOff>67335</xdr:colOff>
      <xdr:row>8</xdr:row>
      <xdr:rowOff>98846</xdr:rowOff>
    </xdr:to>
    <xdr:sp macro="[0]!GoTo_IncomeDirectCapitalization" textlink="">
      <xdr:nvSpPr>
        <xdr:cNvPr id="40" name="Rounded Rectangle 39">
          <a:extLst>
            <a:ext uri="{FF2B5EF4-FFF2-40B4-BE49-F238E27FC236}">
              <a16:creationId xmlns:a16="http://schemas.microsoft.com/office/drawing/2014/main" id="{00000000-0008-0000-3300-000028000000}"/>
            </a:ext>
          </a:extLst>
        </xdr:cNvPr>
        <xdr:cNvSpPr>
          <a:spLocks noChangeAspect="1"/>
        </xdr:cNvSpPr>
      </xdr:nvSpPr>
      <xdr:spPr>
        <a:xfrm>
          <a:off x="13781642" y="1621365"/>
          <a:ext cx="1737360" cy="541231"/>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Direct Capitalization</a:t>
          </a:r>
        </a:p>
      </xdr:txBody>
    </xdr:sp>
    <xdr:clientData/>
  </xdr:twoCellAnchor>
  <xdr:twoCellAnchor editAs="absolute">
    <xdr:from>
      <xdr:col>20</xdr:col>
      <xdr:colOff>13778</xdr:colOff>
      <xdr:row>5</xdr:row>
      <xdr:rowOff>97368</xdr:rowOff>
    </xdr:from>
    <xdr:to>
      <xdr:col>21</xdr:col>
      <xdr:colOff>766888</xdr:colOff>
      <xdr:row>8</xdr:row>
      <xdr:rowOff>98849</xdr:rowOff>
    </xdr:to>
    <xdr:sp macro="[0]!GoTo_IncomeLeaseExpirationsGraph" textlink="">
      <xdr:nvSpPr>
        <xdr:cNvPr id="54" name="Rounded Rectangle 53">
          <a:extLst>
            <a:ext uri="{FF2B5EF4-FFF2-40B4-BE49-F238E27FC236}">
              <a16:creationId xmlns:a16="http://schemas.microsoft.com/office/drawing/2014/main" id="{00000000-0008-0000-3300-000036000000}"/>
            </a:ext>
          </a:extLst>
        </xdr:cNvPr>
        <xdr:cNvSpPr>
          <a:spLocks noChangeAspect="1"/>
        </xdr:cNvSpPr>
      </xdr:nvSpPr>
      <xdr:spPr>
        <a:xfrm>
          <a:off x="8342861" y="1621368"/>
          <a:ext cx="1737360" cy="541231"/>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Lease Expiration Chart</a:t>
          </a:r>
        </a:p>
      </xdr:txBody>
    </xdr:sp>
    <xdr:clientData/>
  </xdr:twoCellAnchor>
  <xdr:twoCellAnchor editAs="absolute">
    <xdr:from>
      <xdr:col>20</xdr:col>
      <xdr:colOff>13779</xdr:colOff>
      <xdr:row>8</xdr:row>
      <xdr:rowOff>117474</xdr:rowOff>
    </xdr:from>
    <xdr:to>
      <xdr:col>21</xdr:col>
      <xdr:colOff>766889</xdr:colOff>
      <xdr:row>11</xdr:row>
      <xdr:rowOff>114722</xdr:rowOff>
    </xdr:to>
    <xdr:sp macro="[0]!GoTo_IncomeRentRoll_DatappraiseMerge" textlink="">
      <xdr:nvSpPr>
        <xdr:cNvPr id="56" name="IncomeAssump - Rent Roll - 4">
          <a:extLst>
            <a:ext uri="{FF2B5EF4-FFF2-40B4-BE49-F238E27FC236}">
              <a16:creationId xmlns:a16="http://schemas.microsoft.com/office/drawing/2014/main" id="{00000000-0008-0000-3300-000038000000}"/>
            </a:ext>
          </a:extLst>
        </xdr:cNvPr>
        <xdr:cNvSpPr>
          <a:spLocks noChangeAspect="1"/>
        </xdr:cNvSpPr>
      </xdr:nvSpPr>
      <xdr:spPr>
        <a:xfrm>
          <a:off x="8342862" y="2181224"/>
          <a:ext cx="1737360" cy="536998"/>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Rent Roll - Datappraise</a:t>
          </a:r>
          <a:r>
            <a:rPr lang="en-US" sz="1050" b="1" baseline="0">
              <a:latin typeface="Segoe UI" panose="020B0502040204020203" pitchFamily="34" charset="0"/>
              <a:cs typeface="Segoe UI" panose="020B0502040204020203" pitchFamily="34" charset="0"/>
            </a:rPr>
            <a:t> </a:t>
          </a:r>
          <a:r>
            <a:rPr lang="en-US" sz="1050" b="1">
              <a:latin typeface="Segoe UI" panose="020B0502040204020203" pitchFamily="34" charset="0"/>
              <a:cs typeface="Segoe UI" panose="020B0502040204020203" pitchFamily="34" charset="0"/>
            </a:rPr>
            <a:t>Manual Entry</a:t>
          </a:r>
        </a:p>
      </xdr:txBody>
    </xdr:sp>
    <xdr:clientData/>
  </xdr:twoCellAnchor>
  <xdr:twoCellAnchor editAs="absolute">
    <xdr:from>
      <xdr:col>21</xdr:col>
      <xdr:colOff>842451</xdr:colOff>
      <xdr:row>2</xdr:row>
      <xdr:rowOff>104775</xdr:rowOff>
    </xdr:from>
    <xdr:to>
      <xdr:col>25</xdr:col>
      <xdr:colOff>376361</xdr:colOff>
      <xdr:row>5</xdr:row>
      <xdr:rowOff>76623</xdr:rowOff>
    </xdr:to>
    <xdr:sp macro="[0]!GoTo_IncomeHistoricalOccupancy" textlink="">
      <xdr:nvSpPr>
        <xdr:cNvPr id="58" name="Rounded Rectangle 57">
          <a:extLst>
            <a:ext uri="{FF2B5EF4-FFF2-40B4-BE49-F238E27FC236}">
              <a16:creationId xmlns:a16="http://schemas.microsoft.com/office/drawing/2014/main" id="{00000000-0008-0000-3300-00003A000000}"/>
            </a:ext>
          </a:extLst>
        </xdr:cNvPr>
        <xdr:cNvSpPr>
          <a:spLocks noChangeAspect="1"/>
        </xdr:cNvSpPr>
      </xdr:nvSpPr>
      <xdr:spPr>
        <a:xfrm>
          <a:off x="10138851" y="1047750"/>
          <a:ext cx="1724660" cy="552873"/>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Historical Vacancy</a:t>
          </a:r>
        </a:p>
      </xdr:txBody>
    </xdr:sp>
    <xdr:clientData/>
  </xdr:twoCellAnchor>
  <xdr:twoCellAnchor editAs="absolute">
    <xdr:from>
      <xdr:col>21</xdr:col>
      <xdr:colOff>842452</xdr:colOff>
      <xdr:row>5</xdr:row>
      <xdr:rowOff>99484</xdr:rowOff>
    </xdr:from>
    <xdr:to>
      <xdr:col>25</xdr:col>
      <xdr:colOff>376362</xdr:colOff>
      <xdr:row>8</xdr:row>
      <xdr:rowOff>103083</xdr:rowOff>
    </xdr:to>
    <xdr:sp macro="[0]!GoTo_IncomeContractVsMarketRent" textlink="">
      <xdr:nvSpPr>
        <xdr:cNvPr id="59" name="Rounded Rectangle 58">
          <a:extLst>
            <a:ext uri="{FF2B5EF4-FFF2-40B4-BE49-F238E27FC236}">
              <a16:creationId xmlns:a16="http://schemas.microsoft.com/office/drawing/2014/main" id="{00000000-0008-0000-3300-00003B000000}"/>
            </a:ext>
          </a:extLst>
        </xdr:cNvPr>
        <xdr:cNvSpPr>
          <a:spLocks noChangeAspect="1"/>
        </xdr:cNvSpPr>
      </xdr:nvSpPr>
      <xdr:spPr>
        <a:xfrm>
          <a:off x="10138852" y="1623484"/>
          <a:ext cx="1724660" cy="546524"/>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Contract</a:t>
          </a:r>
          <a:r>
            <a:rPr lang="en-US" sz="1050" b="1" baseline="0">
              <a:latin typeface="Segoe UI" panose="020B0502040204020203" pitchFamily="34" charset="0"/>
              <a:cs typeface="Segoe UI" panose="020B0502040204020203" pitchFamily="34" charset="0"/>
            </a:rPr>
            <a:t> vs. Market Rent</a:t>
          </a:r>
          <a:endParaRPr lang="en-US" sz="1050" b="1">
            <a:latin typeface="Segoe UI" panose="020B0502040204020203" pitchFamily="34" charset="0"/>
            <a:cs typeface="Segoe UI" panose="020B0502040204020203" pitchFamily="34" charset="0"/>
          </a:endParaRPr>
        </a:p>
      </xdr:txBody>
    </xdr:sp>
    <xdr:clientData/>
  </xdr:twoCellAnchor>
  <xdr:twoCellAnchor editAs="absolute">
    <xdr:from>
      <xdr:col>30</xdr:col>
      <xdr:colOff>132317</xdr:colOff>
      <xdr:row>0</xdr:row>
      <xdr:rowOff>476252</xdr:rowOff>
    </xdr:from>
    <xdr:to>
      <xdr:col>33</xdr:col>
      <xdr:colOff>28177</xdr:colOff>
      <xdr:row>2</xdr:row>
      <xdr:rowOff>86150</xdr:rowOff>
    </xdr:to>
    <xdr:sp macro="[0]!GoTo_IncomeDCF_1" textlink="">
      <xdr:nvSpPr>
        <xdr:cNvPr id="50" name="Rounded Rectangle 49">
          <a:extLst>
            <a:ext uri="{FF2B5EF4-FFF2-40B4-BE49-F238E27FC236}">
              <a16:creationId xmlns:a16="http://schemas.microsoft.com/office/drawing/2014/main" id="{00000000-0008-0000-3300-000032000000}"/>
            </a:ext>
          </a:extLst>
        </xdr:cNvPr>
        <xdr:cNvSpPr>
          <a:spLocks noChangeAspect="1"/>
        </xdr:cNvSpPr>
      </xdr:nvSpPr>
      <xdr:spPr>
        <a:xfrm>
          <a:off x="15583984" y="476252"/>
          <a:ext cx="1737360" cy="551815"/>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Discounted Cash Flow 1</a:t>
          </a:r>
        </a:p>
      </xdr:txBody>
    </xdr:sp>
    <xdr:clientData/>
  </xdr:twoCellAnchor>
  <xdr:twoCellAnchor editAs="absolute">
    <xdr:from>
      <xdr:col>30</xdr:col>
      <xdr:colOff>132316</xdr:colOff>
      <xdr:row>2</xdr:row>
      <xdr:rowOff>109014</xdr:rowOff>
    </xdr:from>
    <xdr:to>
      <xdr:col>33</xdr:col>
      <xdr:colOff>28176</xdr:colOff>
      <xdr:row>5</xdr:row>
      <xdr:rowOff>74513</xdr:rowOff>
    </xdr:to>
    <xdr:sp macro="[0]!GoTo_IncomeDCF_2" textlink="">
      <xdr:nvSpPr>
        <xdr:cNvPr id="51" name="Rounded Rectangle 50">
          <a:extLst>
            <a:ext uri="{FF2B5EF4-FFF2-40B4-BE49-F238E27FC236}">
              <a16:creationId xmlns:a16="http://schemas.microsoft.com/office/drawing/2014/main" id="{00000000-0008-0000-3300-000033000000}"/>
            </a:ext>
          </a:extLst>
        </xdr:cNvPr>
        <xdr:cNvSpPr>
          <a:spLocks noChangeAspect="1"/>
        </xdr:cNvSpPr>
      </xdr:nvSpPr>
      <xdr:spPr>
        <a:xfrm>
          <a:off x="15583983" y="1050931"/>
          <a:ext cx="1737360" cy="547582"/>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Discounted Cash Flow 2</a:t>
          </a:r>
        </a:p>
      </xdr:txBody>
    </xdr:sp>
    <xdr:clientData/>
  </xdr:twoCellAnchor>
  <xdr:twoCellAnchor editAs="absolute">
    <xdr:from>
      <xdr:col>30</xdr:col>
      <xdr:colOff>132316</xdr:colOff>
      <xdr:row>5</xdr:row>
      <xdr:rowOff>97369</xdr:rowOff>
    </xdr:from>
    <xdr:to>
      <xdr:col>33</xdr:col>
      <xdr:colOff>28176</xdr:colOff>
      <xdr:row>8</xdr:row>
      <xdr:rowOff>98850</xdr:rowOff>
    </xdr:to>
    <xdr:sp macro="[0]!GoTo_IncomeDCF_3" textlink="">
      <xdr:nvSpPr>
        <xdr:cNvPr id="52" name="Rounded Rectangle 51">
          <a:extLst>
            <a:ext uri="{FF2B5EF4-FFF2-40B4-BE49-F238E27FC236}">
              <a16:creationId xmlns:a16="http://schemas.microsoft.com/office/drawing/2014/main" id="{00000000-0008-0000-3300-000034000000}"/>
            </a:ext>
          </a:extLst>
        </xdr:cNvPr>
        <xdr:cNvSpPr>
          <a:spLocks noChangeAspect="1"/>
        </xdr:cNvSpPr>
      </xdr:nvSpPr>
      <xdr:spPr>
        <a:xfrm>
          <a:off x="15583983" y="1621369"/>
          <a:ext cx="1737360" cy="541231"/>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Discounted Cash Flow 3</a:t>
          </a:r>
        </a:p>
      </xdr:txBody>
    </xdr:sp>
    <xdr:clientData/>
  </xdr:twoCellAnchor>
  <xdr:twoCellAnchor editAs="absolute">
    <xdr:from>
      <xdr:col>30</xdr:col>
      <xdr:colOff>132316</xdr:colOff>
      <xdr:row>8</xdr:row>
      <xdr:rowOff>128056</xdr:rowOff>
    </xdr:from>
    <xdr:to>
      <xdr:col>33</xdr:col>
      <xdr:colOff>28176</xdr:colOff>
      <xdr:row>11</xdr:row>
      <xdr:rowOff>125304</xdr:rowOff>
    </xdr:to>
    <xdr:sp macro="[0]!GoTo_IncomeReversionTable" textlink="">
      <xdr:nvSpPr>
        <xdr:cNvPr id="53" name="Rounded Rectangle 52">
          <a:extLst>
            <a:ext uri="{FF2B5EF4-FFF2-40B4-BE49-F238E27FC236}">
              <a16:creationId xmlns:a16="http://schemas.microsoft.com/office/drawing/2014/main" id="{00000000-0008-0000-3300-000035000000}"/>
            </a:ext>
          </a:extLst>
        </xdr:cNvPr>
        <xdr:cNvSpPr>
          <a:spLocks noChangeAspect="1"/>
        </xdr:cNvSpPr>
      </xdr:nvSpPr>
      <xdr:spPr>
        <a:xfrm>
          <a:off x="15583983" y="2191806"/>
          <a:ext cx="1737360" cy="536998"/>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Reversion Calculation</a:t>
          </a:r>
        </a:p>
      </xdr:txBody>
    </xdr:sp>
    <xdr:clientData/>
  </xdr:twoCellAnchor>
  <xdr:twoCellAnchor editAs="absolute">
    <xdr:from>
      <xdr:col>21</xdr:col>
      <xdr:colOff>842451</xdr:colOff>
      <xdr:row>8</xdr:row>
      <xdr:rowOff>125943</xdr:rowOff>
    </xdr:from>
    <xdr:to>
      <xdr:col>25</xdr:col>
      <xdr:colOff>376361</xdr:colOff>
      <xdr:row>11</xdr:row>
      <xdr:rowOff>127424</xdr:rowOff>
    </xdr:to>
    <xdr:sp macro="[0]!GoTo_IncomeMonthsVacantCalculationTables" textlink="">
      <xdr:nvSpPr>
        <xdr:cNvPr id="61" name="Rounded Rectangle 60">
          <a:extLst>
            <a:ext uri="{FF2B5EF4-FFF2-40B4-BE49-F238E27FC236}">
              <a16:creationId xmlns:a16="http://schemas.microsoft.com/office/drawing/2014/main" id="{00000000-0008-0000-3300-00003D000000}"/>
            </a:ext>
          </a:extLst>
        </xdr:cNvPr>
        <xdr:cNvSpPr>
          <a:spLocks noChangeAspect="1"/>
        </xdr:cNvSpPr>
      </xdr:nvSpPr>
      <xdr:spPr>
        <a:xfrm>
          <a:off x="10138851" y="2192868"/>
          <a:ext cx="1724660" cy="544406"/>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Months Vacant Calculation</a:t>
          </a:r>
        </a:p>
      </xdr:txBody>
    </xdr:sp>
    <xdr:clientData/>
  </xdr:twoCellAnchor>
  <xdr:twoCellAnchor editAs="absolute">
    <xdr:from>
      <xdr:col>12</xdr:col>
      <xdr:colOff>328102</xdr:colOff>
      <xdr:row>0</xdr:row>
      <xdr:rowOff>1</xdr:rowOff>
    </xdr:from>
    <xdr:to>
      <xdr:col>19</xdr:col>
      <xdr:colOff>54628</xdr:colOff>
      <xdr:row>0</xdr:row>
      <xdr:rowOff>402167</xdr:rowOff>
    </xdr:to>
    <xdr:sp macro="" textlink="">
      <xdr:nvSpPr>
        <xdr:cNvPr id="4" name="Rectangle 3">
          <a:extLst>
            <a:ext uri="{FF2B5EF4-FFF2-40B4-BE49-F238E27FC236}">
              <a16:creationId xmlns:a16="http://schemas.microsoft.com/office/drawing/2014/main" id="{00000000-0008-0000-3300-000004000000}"/>
            </a:ext>
          </a:extLst>
        </xdr:cNvPr>
        <xdr:cNvSpPr/>
      </xdr:nvSpPr>
      <xdr:spPr>
        <a:xfrm>
          <a:off x="6529935" y="1"/>
          <a:ext cx="1737360" cy="402166"/>
        </a:xfrm>
        <a:prstGeom prst="rect">
          <a:avLst/>
        </a:prstGeom>
        <a:solidFill>
          <a:srgbClr val="1F497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100" b="1">
              <a:latin typeface="Segoe UI" panose="020B0502040204020203" pitchFamily="34" charset="0"/>
              <a:cs typeface="Segoe UI" panose="020B0502040204020203" pitchFamily="34" charset="0"/>
            </a:rPr>
            <a:t>Market Rent Estimate</a:t>
          </a:r>
        </a:p>
      </xdr:txBody>
    </xdr:sp>
    <xdr:clientData/>
  </xdr:twoCellAnchor>
  <xdr:twoCellAnchor editAs="absolute">
    <xdr:from>
      <xdr:col>20</xdr:col>
      <xdr:colOff>13776</xdr:colOff>
      <xdr:row>0</xdr:row>
      <xdr:rowOff>0</xdr:rowOff>
    </xdr:from>
    <xdr:to>
      <xdr:col>21</xdr:col>
      <xdr:colOff>766886</xdr:colOff>
      <xdr:row>0</xdr:row>
      <xdr:rowOff>402166</xdr:rowOff>
    </xdr:to>
    <xdr:sp macro="" textlink="">
      <xdr:nvSpPr>
        <xdr:cNvPr id="34" name="Rectangle 33">
          <a:extLst>
            <a:ext uri="{FF2B5EF4-FFF2-40B4-BE49-F238E27FC236}">
              <a16:creationId xmlns:a16="http://schemas.microsoft.com/office/drawing/2014/main" id="{00000000-0008-0000-3300-000022000000}"/>
            </a:ext>
          </a:extLst>
        </xdr:cNvPr>
        <xdr:cNvSpPr/>
      </xdr:nvSpPr>
      <xdr:spPr>
        <a:xfrm>
          <a:off x="8342859" y="0"/>
          <a:ext cx="1737360" cy="402166"/>
        </a:xfrm>
        <a:prstGeom prst="rect">
          <a:avLst/>
        </a:prstGeom>
        <a:solidFill>
          <a:srgbClr val="1F497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100" b="1">
              <a:latin typeface="Segoe UI" panose="020B0502040204020203" pitchFamily="34" charset="0"/>
              <a:cs typeface="Segoe UI" panose="020B0502040204020203" pitchFamily="34" charset="0"/>
            </a:rPr>
            <a:t>Rent</a:t>
          </a:r>
          <a:r>
            <a:rPr lang="en-US" sz="1100" b="1" baseline="0">
              <a:latin typeface="Segoe UI" panose="020B0502040204020203" pitchFamily="34" charset="0"/>
              <a:cs typeface="Segoe UI" panose="020B0502040204020203" pitchFamily="34" charset="0"/>
            </a:rPr>
            <a:t> Roll</a:t>
          </a:r>
          <a:endParaRPr lang="en-US" sz="1100" b="1">
            <a:latin typeface="Segoe UI" panose="020B0502040204020203" pitchFamily="34" charset="0"/>
            <a:cs typeface="Segoe UI" panose="020B0502040204020203" pitchFamily="34" charset="0"/>
          </a:endParaRPr>
        </a:p>
      </xdr:txBody>
    </xdr:sp>
    <xdr:clientData/>
  </xdr:twoCellAnchor>
  <xdr:twoCellAnchor editAs="absolute">
    <xdr:from>
      <xdr:col>21</xdr:col>
      <xdr:colOff>842449</xdr:colOff>
      <xdr:row>0</xdr:row>
      <xdr:rowOff>0</xdr:rowOff>
    </xdr:from>
    <xdr:to>
      <xdr:col>25</xdr:col>
      <xdr:colOff>376359</xdr:colOff>
      <xdr:row>0</xdr:row>
      <xdr:rowOff>402166</xdr:rowOff>
    </xdr:to>
    <xdr:sp macro="" textlink="">
      <xdr:nvSpPr>
        <xdr:cNvPr id="41" name="Rectangle 40">
          <a:extLst>
            <a:ext uri="{FF2B5EF4-FFF2-40B4-BE49-F238E27FC236}">
              <a16:creationId xmlns:a16="http://schemas.microsoft.com/office/drawing/2014/main" id="{00000000-0008-0000-3300-000029000000}"/>
            </a:ext>
          </a:extLst>
        </xdr:cNvPr>
        <xdr:cNvSpPr/>
      </xdr:nvSpPr>
      <xdr:spPr>
        <a:xfrm>
          <a:off x="10155782" y="0"/>
          <a:ext cx="1735244" cy="402166"/>
        </a:xfrm>
        <a:prstGeom prst="rect">
          <a:avLst/>
        </a:prstGeom>
        <a:solidFill>
          <a:srgbClr val="1F497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100" b="1">
              <a:latin typeface="Segoe UI" panose="020B0502040204020203" pitchFamily="34" charset="0"/>
              <a:cs typeface="Segoe UI" panose="020B0502040204020203" pitchFamily="34" charset="0"/>
            </a:rPr>
            <a:t>Income Support</a:t>
          </a:r>
        </a:p>
      </xdr:txBody>
    </xdr:sp>
    <xdr:clientData/>
  </xdr:twoCellAnchor>
  <xdr:twoCellAnchor editAs="absolute">
    <xdr:from>
      <xdr:col>25</xdr:col>
      <xdr:colOff>451929</xdr:colOff>
      <xdr:row>0</xdr:row>
      <xdr:rowOff>0</xdr:rowOff>
    </xdr:from>
    <xdr:to>
      <xdr:col>27</xdr:col>
      <xdr:colOff>529823</xdr:colOff>
      <xdr:row>0</xdr:row>
      <xdr:rowOff>402166</xdr:rowOff>
    </xdr:to>
    <xdr:sp macro="" textlink="">
      <xdr:nvSpPr>
        <xdr:cNvPr id="46" name="Rectangle 45">
          <a:extLst>
            <a:ext uri="{FF2B5EF4-FFF2-40B4-BE49-F238E27FC236}">
              <a16:creationId xmlns:a16="http://schemas.microsoft.com/office/drawing/2014/main" id="{00000000-0008-0000-3300-00002E000000}"/>
            </a:ext>
          </a:extLst>
        </xdr:cNvPr>
        <xdr:cNvSpPr/>
      </xdr:nvSpPr>
      <xdr:spPr>
        <a:xfrm>
          <a:off x="11966596" y="0"/>
          <a:ext cx="1739477" cy="402166"/>
        </a:xfrm>
        <a:prstGeom prst="rect">
          <a:avLst/>
        </a:prstGeom>
        <a:solidFill>
          <a:srgbClr val="1F497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100" b="1">
              <a:latin typeface="Segoe UI" panose="020B0502040204020203" pitchFamily="34" charset="0"/>
              <a:cs typeface="Segoe UI" panose="020B0502040204020203" pitchFamily="34" charset="0"/>
            </a:rPr>
            <a:t>Expenses</a:t>
          </a:r>
        </a:p>
      </xdr:txBody>
    </xdr:sp>
    <xdr:clientData/>
  </xdr:twoCellAnchor>
  <xdr:twoCellAnchor editAs="absolute">
    <xdr:from>
      <xdr:col>27</xdr:col>
      <xdr:colOff>605388</xdr:colOff>
      <xdr:row>0</xdr:row>
      <xdr:rowOff>0</xdr:rowOff>
    </xdr:from>
    <xdr:to>
      <xdr:col>30</xdr:col>
      <xdr:colOff>67331</xdr:colOff>
      <xdr:row>0</xdr:row>
      <xdr:rowOff>402166</xdr:rowOff>
    </xdr:to>
    <xdr:sp macro="" textlink="">
      <xdr:nvSpPr>
        <xdr:cNvPr id="47" name="Rectangle 46">
          <a:extLst>
            <a:ext uri="{FF2B5EF4-FFF2-40B4-BE49-F238E27FC236}">
              <a16:creationId xmlns:a16="http://schemas.microsoft.com/office/drawing/2014/main" id="{00000000-0008-0000-3300-00002F000000}"/>
            </a:ext>
          </a:extLst>
        </xdr:cNvPr>
        <xdr:cNvSpPr/>
      </xdr:nvSpPr>
      <xdr:spPr>
        <a:xfrm>
          <a:off x="13781638" y="0"/>
          <a:ext cx="1737360" cy="402166"/>
        </a:xfrm>
        <a:prstGeom prst="rect">
          <a:avLst/>
        </a:prstGeom>
        <a:solidFill>
          <a:srgbClr val="1F497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100" b="1">
              <a:latin typeface="Segoe UI" panose="020B0502040204020203" pitchFamily="34" charset="0"/>
              <a:cs typeface="Segoe UI" panose="020B0502040204020203" pitchFamily="34" charset="0"/>
            </a:rPr>
            <a:t>Direct</a:t>
          </a:r>
          <a:r>
            <a:rPr lang="en-US" sz="1100" b="1" baseline="0">
              <a:latin typeface="Segoe UI" panose="020B0502040204020203" pitchFamily="34" charset="0"/>
              <a:cs typeface="Segoe UI" panose="020B0502040204020203" pitchFamily="34" charset="0"/>
            </a:rPr>
            <a:t> Capitalization</a:t>
          </a:r>
          <a:endParaRPr lang="en-US" sz="1100" b="1">
            <a:latin typeface="Segoe UI" panose="020B0502040204020203" pitchFamily="34" charset="0"/>
            <a:cs typeface="Segoe UI" panose="020B0502040204020203" pitchFamily="34" charset="0"/>
          </a:endParaRPr>
        </a:p>
      </xdr:txBody>
    </xdr:sp>
    <xdr:clientData/>
  </xdr:twoCellAnchor>
  <xdr:twoCellAnchor editAs="absolute">
    <xdr:from>
      <xdr:col>30</xdr:col>
      <xdr:colOff>132305</xdr:colOff>
      <xdr:row>0</xdr:row>
      <xdr:rowOff>0</xdr:rowOff>
    </xdr:from>
    <xdr:to>
      <xdr:col>33</xdr:col>
      <xdr:colOff>28165</xdr:colOff>
      <xdr:row>0</xdr:row>
      <xdr:rowOff>402166</xdr:rowOff>
    </xdr:to>
    <xdr:sp macro="" textlink="">
      <xdr:nvSpPr>
        <xdr:cNvPr id="48" name="Rectangle 47">
          <a:extLst>
            <a:ext uri="{FF2B5EF4-FFF2-40B4-BE49-F238E27FC236}">
              <a16:creationId xmlns:a16="http://schemas.microsoft.com/office/drawing/2014/main" id="{00000000-0008-0000-3300-000030000000}"/>
            </a:ext>
          </a:extLst>
        </xdr:cNvPr>
        <xdr:cNvSpPr/>
      </xdr:nvSpPr>
      <xdr:spPr>
        <a:xfrm>
          <a:off x="15583972" y="0"/>
          <a:ext cx="1737360" cy="402166"/>
        </a:xfrm>
        <a:prstGeom prst="rect">
          <a:avLst/>
        </a:prstGeom>
        <a:solidFill>
          <a:srgbClr val="1F497D"/>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US" sz="1100" b="1">
              <a:latin typeface="Segoe UI" panose="020B0502040204020203" pitchFamily="34" charset="0"/>
              <a:cs typeface="Segoe UI" panose="020B0502040204020203" pitchFamily="34" charset="0"/>
            </a:rPr>
            <a:t>Discounted</a:t>
          </a:r>
          <a:r>
            <a:rPr lang="en-US" sz="1100" b="1" baseline="0">
              <a:latin typeface="Segoe UI" panose="020B0502040204020203" pitchFamily="34" charset="0"/>
              <a:cs typeface="Segoe UI" panose="020B0502040204020203" pitchFamily="34" charset="0"/>
            </a:rPr>
            <a:t> Cash Flow</a:t>
          </a:r>
          <a:endParaRPr lang="en-US" sz="1100" b="1">
            <a:latin typeface="Segoe UI" panose="020B0502040204020203" pitchFamily="34" charset="0"/>
            <a:cs typeface="Segoe UI" panose="020B0502040204020203" pitchFamily="34" charset="0"/>
          </a:endParaRPr>
        </a:p>
      </xdr:txBody>
    </xdr:sp>
    <xdr:clientData/>
  </xdr:twoCellAnchor>
  <xdr:twoCellAnchor editAs="oneCell">
    <xdr:from>
      <xdr:col>10</xdr:col>
      <xdr:colOff>137583</xdr:colOff>
      <xdr:row>60</xdr:row>
      <xdr:rowOff>31750</xdr:rowOff>
    </xdr:from>
    <xdr:to>
      <xdr:col>21</xdr:col>
      <xdr:colOff>592668</xdr:colOff>
      <xdr:row>77</xdr:row>
      <xdr:rowOff>172720</xdr:rowOff>
    </xdr:to>
    <xdr:sp macro="" textlink="">
      <xdr:nvSpPr>
        <xdr:cNvPr id="49" name="TextBox 48">
          <a:extLst>
            <a:ext uri="{FF2B5EF4-FFF2-40B4-BE49-F238E27FC236}">
              <a16:creationId xmlns:a16="http://schemas.microsoft.com/office/drawing/2014/main" id="{00000000-0008-0000-3300-000031000000}"/>
            </a:ext>
          </a:extLst>
        </xdr:cNvPr>
        <xdr:cNvSpPr txBox="1">
          <a:spLocks noChangeAspect="1"/>
        </xdr:cNvSpPr>
      </xdr:nvSpPr>
      <xdr:spPr>
        <a:xfrm>
          <a:off x="7196666" y="14372167"/>
          <a:ext cx="4794251" cy="72834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rtl="0" eaLnBrk="1" fontAlgn="auto" latinLnBrk="0" hangingPunct="1">
            <a:lnSpc>
              <a:spcPct val="100000"/>
            </a:lnSpc>
            <a:spcBef>
              <a:spcPts val="30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1. User inputs in cells with white background only</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Table requires Reconciled Values to complete narrative in Word correctly, whether using Direct Capitalization, Discounted Cash Flow or Both</a:t>
          </a:r>
        </a:p>
      </xdr:txBody>
    </xdr:sp>
    <xdr:clientData/>
  </xdr:twoCellAnchor>
  <xdr:twoCellAnchor editAs="absolute">
    <xdr:from>
      <xdr:col>12</xdr:col>
      <xdr:colOff>338682</xdr:colOff>
      <xdr:row>11</xdr:row>
      <xdr:rowOff>158753</xdr:rowOff>
    </xdr:from>
    <xdr:to>
      <xdr:col>19</xdr:col>
      <xdr:colOff>65208</xdr:colOff>
      <xdr:row>21</xdr:row>
      <xdr:rowOff>260776</xdr:rowOff>
    </xdr:to>
    <xdr:sp macro="[0]!GoTo_IncomeGL_Rent" textlink="">
      <xdr:nvSpPr>
        <xdr:cNvPr id="55" name="Rounded Rectangle 54">
          <a:extLst>
            <a:ext uri="{FF2B5EF4-FFF2-40B4-BE49-F238E27FC236}">
              <a16:creationId xmlns:a16="http://schemas.microsoft.com/office/drawing/2014/main" id="{00000000-0008-0000-3300-000037000000}"/>
            </a:ext>
          </a:extLst>
        </xdr:cNvPr>
        <xdr:cNvSpPr>
          <a:spLocks noChangeAspect="1"/>
        </xdr:cNvSpPr>
      </xdr:nvSpPr>
      <xdr:spPr>
        <a:xfrm>
          <a:off x="6540515" y="2762253"/>
          <a:ext cx="1737360" cy="536998"/>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Ground Rent Estimate</a:t>
          </a:r>
        </a:p>
      </xdr:txBody>
    </xdr:sp>
    <xdr:clientData/>
  </xdr:twoCellAnchor>
  <xdr:twoCellAnchor editAs="absolute">
    <xdr:from>
      <xdr:col>12</xdr:col>
      <xdr:colOff>338667</xdr:colOff>
      <xdr:row>8</xdr:row>
      <xdr:rowOff>127005</xdr:rowOff>
    </xdr:from>
    <xdr:to>
      <xdr:col>14</xdr:col>
      <xdr:colOff>108119</xdr:colOff>
      <xdr:row>11</xdr:row>
      <xdr:rowOff>124253</xdr:rowOff>
    </xdr:to>
    <xdr:sp macro="[0]!GoTo_IncomeRentAdjustment_GridB1" textlink="">
      <xdr:nvSpPr>
        <xdr:cNvPr id="57" name="Rounded Rectangle 56" hidden="1">
          <a:extLst>
            <a:ext uri="{FF2B5EF4-FFF2-40B4-BE49-F238E27FC236}">
              <a16:creationId xmlns:a16="http://schemas.microsoft.com/office/drawing/2014/main" id="{00000000-0008-0000-3300-000039000000}"/>
            </a:ext>
          </a:extLst>
        </xdr:cNvPr>
        <xdr:cNvSpPr>
          <a:spLocks noChangeAspect="1"/>
        </xdr:cNvSpPr>
      </xdr:nvSpPr>
      <xdr:spPr>
        <a:xfrm>
          <a:off x="6540500" y="2190755"/>
          <a:ext cx="859536" cy="536998"/>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Rent Adj. Grid 1</a:t>
          </a:r>
        </a:p>
      </xdr:txBody>
    </xdr:sp>
    <xdr:clientData/>
  </xdr:twoCellAnchor>
  <xdr:twoCellAnchor editAs="absolute">
    <xdr:from>
      <xdr:col>14</xdr:col>
      <xdr:colOff>137583</xdr:colOff>
      <xdr:row>8</xdr:row>
      <xdr:rowOff>127005</xdr:rowOff>
    </xdr:from>
    <xdr:to>
      <xdr:col>19</xdr:col>
      <xdr:colOff>76369</xdr:colOff>
      <xdr:row>11</xdr:row>
      <xdr:rowOff>124253</xdr:rowOff>
    </xdr:to>
    <xdr:sp macro="[0]!GoTo_IncomeRentAdjustment_GridB1" textlink="">
      <xdr:nvSpPr>
        <xdr:cNvPr id="60" name="Rounded Rectangle 59" hidden="1">
          <a:extLst>
            <a:ext uri="{FF2B5EF4-FFF2-40B4-BE49-F238E27FC236}">
              <a16:creationId xmlns:a16="http://schemas.microsoft.com/office/drawing/2014/main" id="{00000000-0008-0000-3300-00003C000000}"/>
            </a:ext>
          </a:extLst>
        </xdr:cNvPr>
        <xdr:cNvSpPr>
          <a:spLocks noChangeAspect="1"/>
        </xdr:cNvSpPr>
      </xdr:nvSpPr>
      <xdr:spPr>
        <a:xfrm>
          <a:off x="7429500" y="2190755"/>
          <a:ext cx="859536" cy="536998"/>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Rent Adj. Grid 2</a:t>
          </a:r>
        </a:p>
      </xdr:txBody>
    </xdr:sp>
    <xdr:clientData/>
  </xdr:twoCellAnchor>
  <xdr:twoCellAnchor editAs="absolute">
    <xdr:from>
      <xdr:col>21</xdr:col>
      <xdr:colOff>831865</xdr:colOff>
      <xdr:row>0</xdr:row>
      <xdr:rowOff>478374</xdr:rowOff>
    </xdr:from>
    <xdr:to>
      <xdr:col>25</xdr:col>
      <xdr:colOff>376359</xdr:colOff>
      <xdr:row>2</xdr:row>
      <xdr:rowOff>79805</xdr:rowOff>
    </xdr:to>
    <xdr:sp macro="[0]!GoTo_IncomeEstimateTables" textlink="">
      <xdr:nvSpPr>
        <xdr:cNvPr id="62" name="Rounded Rectangle 61">
          <a:extLst>
            <a:ext uri="{FF2B5EF4-FFF2-40B4-BE49-F238E27FC236}">
              <a16:creationId xmlns:a16="http://schemas.microsoft.com/office/drawing/2014/main" id="{00000000-0008-0000-3300-00003E000000}"/>
            </a:ext>
          </a:extLst>
        </xdr:cNvPr>
        <xdr:cNvSpPr>
          <a:spLocks noChangeAspect="1"/>
        </xdr:cNvSpPr>
      </xdr:nvSpPr>
      <xdr:spPr>
        <a:xfrm>
          <a:off x="10128265" y="478374"/>
          <a:ext cx="1735244" cy="544406"/>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latin typeface="Segoe UI" panose="020B0502040204020203" pitchFamily="34" charset="0"/>
              <a:cs typeface="Segoe UI" panose="020B0502040204020203" pitchFamily="34" charset="0"/>
            </a:rPr>
            <a:t>Income</a:t>
          </a:r>
          <a:r>
            <a:rPr lang="en-US" sz="1050" b="1" baseline="0">
              <a:latin typeface="Segoe UI" panose="020B0502040204020203" pitchFamily="34" charset="0"/>
              <a:cs typeface="Segoe UI" panose="020B0502040204020203" pitchFamily="34" charset="0"/>
            </a:rPr>
            <a:t> Estimates</a:t>
          </a:r>
          <a:endParaRPr lang="en-US" sz="1050" b="1">
            <a:latin typeface="Segoe UI" panose="020B0502040204020203" pitchFamily="34" charset="0"/>
            <a:cs typeface="Segoe UI" panose="020B0502040204020203" pitchFamily="34" charset="0"/>
          </a:endParaRPr>
        </a:p>
      </xdr:txBody>
    </xdr:sp>
    <xdr:clientData/>
  </xdr:twoCellAnchor>
</xdr:wsDr>
</file>

<file path=xl/drawings/drawing4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18</xdr:col>
      <xdr:colOff>454020</xdr:colOff>
      <xdr:row>0</xdr:row>
      <xdr:rowOff>731521</xdr:rowOff>
    </xdr:to>
    <xdr:grpSp>
      <xdr:nvGrpSpPr>
        <xdr:cNvPr id="7" name="Group 6">
          <a:extLst>
            <a:ext uri="{FF2B5EF4-FFF2-40B4-BE49-F238E27FC236}">
              <a16:creationId xmlns:a16="http://schemas.microsoft.com/office/drawing/2014/main" id="{00000000-0008-0000-3400-000007000000}"/>
            </a:ext>
          </a:extLst>
        </xdr:cNvPr>
        <xdr:cNvGrpSpPr>
          <a:grpSpLocks noChangeAspect="1"/>
        </xdr:cNvGrpSpPr>
      </xdr:nvGrpSpPr>
      <xdr:grpSpPr>
        <a:xfrm>
          <a:off x="0" y="0"/>
          <a:ext cx="10436220" cy="731521"/>
          <a:chOff x="0" y="0"/>
          <a:chExt cx="10444687" cy="731521"/>
        </a:xfrm>
      </xdr:grpSpPr>
      <xdr:sp macro="[0]!GoTo_Main" textlink="">
        <xdr:nvSpPr>
          <xdr:cNvPr id="3" name="Rounded Rectangle 2">
            <a:extLst>
              <a:ext uri="{FF2B5EF4-FFF2-40B4-BE49-F238E27FC236}">
                <a16:creationId xmlns:a16="http://schemas.microsoft.com/office/drawing/2014/main" id="{00000000-0008-0000-3400-000003000000}"/>
              </a:ext>
            </a:extLst>
          </xdr:cNvPr>
          <xdr:cNvSpPr>
            <a:spLocks noChangeAspect="1"/>
          </xdr:cNvSpPr>
        </xdr:nvSpPr>
        <xdr:spPr>
          <a:xfrm>
            <a:off x="0" y="0"/>
            <a:ext cx="920608"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4" name="Rounded Rectangle 3">
            <a:extLst>
              <a:ext uri="{FF2B5EF4-FFF2-40B4-BE49-F238E27FC236}">
                <a16:creationId xmlns:a16="http://schemas.microsoft.com/office/drawing/2014/main" id="{00000000-0008-0000-3400-000004000000}"/>
              </a:ext>
            </a:extLst>
          </xdr:cNvPr>
          <xdr:cNvSpPr>
            <a:spLocks noChangeAspect="1"/>
          </xdr:cNvSpPr>
        </xdr:nvSpPr>
        <xdr:spPr>
          <a:xfrm>
            <a:off x="958964" y="0"/>
            <a:ext cx="1196791"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Update_GL_Rent" textlink="">
        <xdr:nvSpPr>
          <xdr:cNvPr id="8" name="Rounded Rectangle 7">
            <a:extLst>
              <a:ext uri="{FF2B5EF4-FFF2-40B4-BE49-F238E27FC236}">
                <a16:creationId xmlns:a16="http://schemas.microsoft.com/office/drawing/2014/main" id="{00000000-0008-0000-3400-000008000000}"/>
              </a:ext>
            </a:extLst>
          </xdr:cNvPr>
          <xdr:cNvSpPr>
            <a:spLocks noChangeAspect="1"/>
          </xdr:cNvSpPr>
        </xdr:nvSpPr>
        <xdr:spPr>
          <a:xfrm>
            <a:off x="8554458" y="1"/>
            <a:ext cx="920608"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GL_Rent" textlink="">
        <xdr:nvSpPr>
          <xdr:cNvPr id="9" name="Rounded Rectangle 8">
            <a:extLst>
              <a:ext uri="{FF2B5EF4-FFF2-40B4-BE49-F238E27FC236}">
                <a16:creationId xmlns:a16="http://schemas.microsoft.com/office/drawing/2014/main" id="{00000000-0008-0000-3400-000009000000}"/>
              </a:ext>
            </a:extLst>
          </xdr:cNvPr>
          <xdr:cNvSpPr>
            <a:spLocks noChangeAspect="1"/>
          </xdr:cNvSpPr>
        </xdr:nvSpPr>
        <xdr:spPr>
          <a:xfrm>
            <a:off x="9524079" y="1"/>
            <a:ext cx="920608"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ShowUserFormTemplateAssumptions" textlink="">
        <xdr:nvSpPr>
          <xdr:cNvPr id="12" name="Rounded Rectangle 11">
            <a:extLst>
              <a:ext uri="{FF2B5EF4-FFF2-40B4-BE49-F238E27FC236}">
                <a16:creationId xmlns:a16="http://schemas.microsoft.com/office/drawing/2014/main" id="{00000000-0008-0000-3400-00000C000000}"/>
              </a:ext>
            </a:extLst>
          </xdr:cNvPr>
          <xdr:cNvSpPr>
            <a:spLocks noChangeAspect="1"/>
          </xdr:cNvSpPr>
        </xdr:nvSpPr>
        <xdr:spPr>
          <a:xfrm>
            <a:off x="7304808" y="1"/>
            <a:ext cx="1199898" cy="729481"/>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a:t>
            </a:r>
            <a:r>
              <a:rPr lang="en-US" sz="1200" b="1" baseline="0">
                <a:solidFill>
                  <a:srgbClr val="1F497D"/>
                </a:solidFill>
                <a:latin typeface="Segoe UI" panose="020B0502040204020203" pitchFamily="34" charset="0"/>
                <a:cs typeface="Segoe UI" panose="020B0502040204020203" pitchFamily="34" charset="0"/>
              </a:rPr>
              <a:t> Assumptions</a:t>
            </a:r>
            <a:endParaRPr lang="en-US" sz="1200" b="1">
              <a:solidFill>
                <a:srgbClr val="1F497D"/>
              </a:solidFill>
              <a:latin typeface="Segoe UI" panose="020B0502040204020203" pitchFamily="34" charset="0"/>
              <a:cs typeface="Segoe UI" panose="020B0502040204020203" pitchFamily="34" charset="0"/>
            </a:endParaRPr>
          </a:p>
        </xdr:txBody>
      </xdr:sp>
      <xdr:sp macro="[0]!GoTo_IncomeExpenseEstimateTables" textlink="">
        <xdr:nvSpPr>
          <xdr:cNvPr id="10" name="Rounded Rectangle 9">
            <a:extLst>
              <a:ext uri="{FF2B5EF4-FFF2-40B4-BE49-F238E27FC236}">
                <a16:creationId xmlns:a16="http://schemas.microsoft.com/office/drawing/2014/main" id="{00000000-0008-0000-3400-00000A000000}"/>
              </a:ext>
            </a:extLst>
          </xdr:cNvPr>
          <xdr:cNvSpPr>
            <a:spLocks noChangeAspect="1"/>
          </xdr:cNvSpPr>
        </xdr:nvSpPr>
        <xdr:spPr>
          <a:xfrm>
            <a:off x="2201332" y="0"/>
            <a:ext cx="100584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Expense Estimates</a:t>
            </a:r>
          </a:p>
        </xdr:txBody>
      </xdr:sp>
      <xdr:sp macro="[0]!GoTo_IncomeMarketOAR" textlink="">
        <xdr:nvSpPr>
          <xdr:cNvPr id="11" name="Rounded Rectangle 10">
            <a:extLst>
              <a:ext uri="{FF2B5EF4-FFF2-40B4-BE49-F238E27FC236}">
                <a16:creationId xmlns:a16="http://schemas.microsoft.com/office/drawing/2014/main" id="{00000000-0008-0000-3400-00000B000000}"/>
              </a:ext>
            </a:extLst>
          </xdr:cNvPr>
          <xdr:cNvSpPr>
            <a:spLocks noChangeAspect="1"/>
          </xdr:cNvSpPr>
        </xdr:nvSpPr>
        <xdr:spPr>
          <a:xfrm>
            <a:off x="3249084" y="0"/>
            <a:ext cx="91440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Market OAR</a:t>
            </a:r>
          </a:p>
        </xdr:txBody>
      </xdr:sp>
      <xdr:sp macro="[0]!GoTo_IncomeDirectCapitalization" textlink="">
        <xdr:nvSpPr>
          <xdr:cNvPr id="13" name="Rounded Rectangle 12">
            <a:extLst>
              <a:ext uri="{FF2B5EF4-FFF2-40B4-BE49-F238E27FC236}">
                <a16:creationId xmlns:a16="http://schemas.microsoft.com/office/drawing/2014/main" id="{00000000-0008-0000-3400-00000D000000}"/>
              </a:ext>
            </a:extLst>
          </xdr:cNvPr>
          <xdr:cNvSpPr>
            <a:spLocks noChangeAspect="1"/>
          </xdr:cNvSpPr>
        </xdr:nvSpPr>
        <xdr:spPr>
          <a:xfrm>
            <a:off x="5970054" y="0"/>
            <a:ext cx="128016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Direct Capitalization</a:t>
            </a:r>
          </a:p>
        </xdr:txBody>
      </xdr:sp>
      <xdr:sp macro="[0]!GoTo_IncomeBoiInvSurveys" textlink="">
        <xdr:nvSpPr>
          <xdr:cNvPr id="14" name="Rounded Rectangle 13">
            <a:extLst>
              <a:ext uri="{FF2B5EF4-FFF2-40B4-BE49-F238E27FC236}">
                <a16:creationId xmlns:a16="http://schemas.microsoft.com/office/drawing/2014/main" id="{00000000-0008-0000-3400-00000E000000}"/>
              </a:ext>
            </a:extLst>
          </xdr:cNvPr>
          <xdr:cNvSpPr>
            <a:spLocks noChangeAspect="1"/>
          </xdr:cNvSpPr>
        </xdr:nvSpPr>
        <xdr:spPr>
          <a:xfrm>
            <a:off x="4201588" y="0"/>
            <a:ext cx="1732242"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Band of Investment &amp; Investor Surveys</a:t>
            </a:r>
          </a:p>
        </xdr:txBody>
      </xdr:sp>
    </xdr:grpSp>
    <xdr:clientData/>
  </xdr:twoCellAnchor>
  <xdr:twoCellAnchor editAs="absolute">
    <xdr:from>
      <xdr:col>18</xdr:col>
      <xdr:colOff>539752</xdr:colOff>
      <xdr:row>0</xdr:row>
      <xdr:rowOff>63498</xdr:rowOff>
    </xdr:from>
    <xdr:to>
      <xdr:col>29</xdr:col>
      <xdr:colOff>550336</xdr:colOff>
      <xdr:row>1</xdr:row>
      <xdr:rowOff>166592</xdr:rowOff>
    </xdr:to>
    <xdr:sp macro="" textlink="">
      <xdr:nvSpPr>
        <xdr:cNvPr id="16" name="TextBox 15">
          <a:extLst>
            <a:ext uri="{FF2B5EF4-FFF2-40B4-BE49-F238E27FC236}">
              <a16:creationId xmlns:a16="http://schemas.microsoft.com/office/drawing/2014/main" id="{00000000-0008-0000-3400-000010000000}"/>
            </a:ext>
          </a:extLst>
        </xdr:cNvPr>
        <xdr:cNvSpPr txBox="1"/>
      </xdr:nvSpPr>
      <xdr:spPr>
        <a:xfrm>
          <a:off x="10530419" y="63498"/>
          <a:ext cx="6858000" cy="86509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rtl="0" eaLnBrk="1" fontAlgn="auto" latinLnBrk="0" hangingPunct="1">
            <a:lnSpc>
              <a:spcPct val="100000"/>
            </a:lnSpc>
            <a:spcBef>
              <a:spcPts val="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1. </a:t>
          </a:r>
          <a:r>
            <a:rPr kumimoji="0" lang="en-US" sz="1000" b="1" i="0" u="none" strike="noStrike" kern="0" cap="none" spc="0" normalizeH="0" baseline="0" noProof="0">
              <a:ln>
                <a:noFill/>
              </a:ln>
              <a:solidFill>
                <a:prstClr val="black"/>
              </a:solidFill>
              <a:effectLst/>
              <a:uLnTx/>
              <a:uFillTx/>
              <a:latin typeface="Segoe UI" panose="020B0502040204020203" pitchFamily="34" charset="0"/>
              <a:ea typeface="+mn-ea"/>
              <a:cs typeface="Segoe UI" panose="020B0502040204020203" pitchFamily="34" charset="0"/>
            </a:rPr>
            <a:t>User inputs in cells with white background only</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2.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 "Default" Button to add shading and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endParaRPr lang="en-US" sz="1000">
            <a:effectLst/>
            <a:latin typeface="Segoe UI" panose="020B0502040204020203" pitchFamily="34" charset="0"/>
            <a:cs typeface="Segoe UI" panose="020B0502040204020203" pitchFamily="34" charset="0"/>
          </a:endParaRPr>
        </a:p>
      </xdr:txBody>
    </xdr:sp>
    <xdr:clientData/>
  </xdr:twoCellAnchor>
</xdr:wsDr>
</file>

<file path=xl/drawings/drawing43.xml><?xml version="1.0" encoding="utf-8"?>
<xdr:wsDr xmlns:xdr="http://schemas.openxmlformats.org/drawingml/2006/spreadsheetDrawing" xmlns:a="http://schemas.openxmlformats.org/drawingml/2006/main">
  <xdr:twoCellAnchor editAs="absolute">
    <xdr:from>
      <xdr:col>75</xdr:col>
      <xdr:colOff>237326</xdr:colOff>
      <xdr:row>0</xdr:row>
      <xdr:rowOff>65991</xdr:rowOff>
    </xdr:from>
    <xdr:to>
      <xdr:col>86</xdr:col>
      <xdr:colOff>547152</xdr:colOff>
      <xdr:row>1</xdr:row>
      <xdr:rowOff>582083</xdr:rowOff>
    </xdr:to>
    <xdr:sp macro="" textlink="">
      <xdr:nvSpPr>
        <xdr:cNvPr id="7" name="TextBox 6">
          <a:hlinkClick xmlns:r="http://schemas.openxmlformats.org/officeDocument/2006/relationships" r:id="rId1"/>
          <a:extLst>
            <a:ext uri="{FF2B5EF4-FFF2-40B4-BE49-F238E27FC236}">
              <a16:creationId xmlns:a16="http://schemas.microsoft.com/office/drawing/2014/main" id="{00000000-0008-0000-3500-000007000000}"/>
            </a:ext>
          </a:extLst>
        </xdr:cNvPr>
        <xdr:cNvSpPr txBox="1"/>
      </xdr:nvSpPr>
      <xdr:spPr>
        <a:xfrm>
          <a:off x="8457401" y="65991"/>
          <a:ext cx="6807993" cy="127809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No user inputs are required on this sheet</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Datappraise Merge  </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75</xdr:col>
      <xdr:colOff>166159</xdr:colOff>
      <xdr:row>0</xdr:row>
      <xdr:rowOff>731520</xdr:rowOff>
    </xdr:to>
    <xdr:grpSp>
      <xdr:nvGrpSpPr>
        <xdr:cNvPr id="3" name="Group 2">
          <a:extLst>
            <a:ext uri="{FF2B5EF4-FFF2-40B4-BE49-F238E27FC236}">
              <a16:creationId xmlns:a16="http://schemas.microsoft.com/office/drawing/2014/main" id="{00000000-0008-0000-3500-000003000000}"/>
            </a:ext>
          </a:extLst>
        </xdr:cNvPr>
        <xdr:cNvGrpSpPr>
          <a:grpSpLocks noChangeAspect="1"/>
        </xdr:cNvGrpSpPr>
      </xdr:nvGrpSpPr>
      <xdr:grpSpPr>
        <a:xfrm>
          <a:off x="0" y="0"/>
          <a:ext cx="8386234" cy="731520"/>
          <a:chOff x="0" y="0"/>
          <a:chExt cx="8396817" cy="731520"/>
        </a:xfrm>
      </xdr:grpSpPr>
      <xdr:sp macro="[0]!GoTo_Main" textlink="">
        <xdr:nvSpPr>
          <xdr:cNvPr id="11" name="Rounded Rectangle 10">
            <a:extLst>
              <a:ext uri="{FF2B5EF4-FFF2-40B4-BE49-F238E27FC236}">
                <a16:creationId xmlns:a16="http://schemas.microsoft.com/office/drawing/2014/main" id="{00000000-0008-0000-3500-00000B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13" name="Rounded Rectangle 12">
            <a:extLst>
              <a:ext uri="{FF2B5EF4-FFF2-40B4-BE49-F238E27FC236}">
                <a16:creationId xmlns:a16="http://schemas.microsoft.com/office/drawing/2014/main" id="{00000000-0008-0000-3500-00000D000000}"/>
              </a:ext>
            </a:extLst>
          </xdr:cNvPr>
          <xdr:cNvSpPr>
            <a:spLocks noChangeAspect="1"/>
          </xdr:cNvSpPr>
        </xdr:nvSpPr>
        <xdr:spPr>
          <a:xfrm>
            <a:off x="952498" y="0"/>
            <a:ext cx="11887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GoTo_IncomeRentSummaryDetail_Table" textlink="">
        <xdr:nvSpPr>
          <xdr:cNvPr id="14" name="Rounded Rectangle 13">
            <a:extLst>
              <a:ext uri="{FF2B5EF4-FFF2-40B4-BE49-F238E27FC236}">
                <a16:creationId xmlns:a16="http://schemas.microsoft.com/office/drawing/2014/main" id="{00000000-0008-0000-3500-00000E000000}"/>
              </a:ext>
            </a:extLst>
          </xdr:cNvPr>
          <xdr:cNvSpPr>
            <a:spLocks/>
          </xdr:cNvSpPr>
        </xdr:nvSpPr>
        <xdr:spPr>
          <a:xfrm>
            <a:off x="2180171" y="0"/>
            <a:ext cx="16459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Summary Detailed</a:t>
            </a:r>
          </a:p>
        </xdr:txBody>
      </xdr:sp>
      <xdr:sp macro="[0]!GoTo_IncomeRentAutoAdjustment_Tables" textlink="">
        <xdr:nvSpPr>
          <xdr:cNvPr id="15" name="Rounded Rectangle 14">
            <a:extLst>
              <a:ext uri="{FF2B5EF4-FFF2-40B4-BE49-F238E27FC236}">
                <a16:creationId xmlns:a16="http://schemas.microsoft.com/office/drawing/2014/main" id="{00000000-0008-0000-3500-00000F000000}"/>
              </a:ext>
            </a:extLst>
          </xdr:cNvPr>
          <xdr:cNvSpPr>
            <a:spLocks/>
          </xdr:cNvSpPr>
        </xdr:nvSpPr>
        <xdr:spPr>
          <a:xfrm>
            <a:off x="3862917" y="0"/>
            <a:ext cx="146304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Automated Adj.</a:t>
            </a:r>
          </a:p>
        </xdr:txBody>
      </xdr:sp>
      <xdr:sp macro="[0]!GoTo_IncomeRentAdjustment_Grid" textlink="">
        <xdr:nvSpPr>
          <xdr:cNvPr id="16" name="Rounded Rectangle 15">
            <a:extLst>
              <a:ext uri="{FF2B5EF4-FFF2-40B4-BE49-F238E27FC236}">
                <a16:creationId xmlns:a16="http://schemas.microsoft.com/office/drawing/2014/main" id="{00000000-0008-0000-3500-000010000000}"/>
              </a:ext>
            </a:extLst>
          </xdr:cNvPr>
          <xdr:cNvSpPr>
            <a:spLocks noChangeAspect="1"/>
          </xdr:cNvSpPr>
        </xdr:nvSpPr>
        <xdr:spPr>
          <a:xfrm>
            <a:off x="5376333" y="0"/>
            <a:ext cx="109728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Adj. Grid</a:t>
            </a:r>
          </a:p>
        </xdr:txBody>
      </xdr:sp>
      <xdr:sp macro="[0]!Update_RentSummaryLight_Table" textlink="">
        <xdr:nvSpPr>
          <xdr:cNvPr id="17" name="Rounded Rectangle 16">
            <a:extLst>
              <a:ext uri="{FF2B5EF4-FFF2-40B4-BE49-F238E27FC236}">
                <a16:creationId xmlns:a16="http://schemas.microsoft.com/office/drawing/2014/main" id="{00000000-0008-0000-3500-000011000000}"/>
              </a:ext>
            </a:extLst>
          </xdr:cNvPr>
          <xdr:cNvSpPr>
            <a:spLocks noChangeAspect="1"/>
          </xdr:cNvSpPr>
        </xdr:nvSpPr>
        <xdr:spPr>
          <a:xfrm>
            <a:off x="6519335"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 textlink="">
        <xdr:nvSpPr>
          <xdr:cNvPr id="18" name="Rounded Rectangle 17">
            <a:extLst>
              <a:ext uri="{FF2B5EF4-FFF2-40B4-BE49-F238E27FC236}">
                <a16:creationId xmlns:a16="http://schemas.microsoft.com/office/drawing/2014/main" id="{00000000-0008-0000-3500-000012000000}"/>
              </a:ext>
            </a:extLst>
          </xdr:cNvPr>
          <xdr:cNvSpPr>
            <a:spLocks noChangeAspect="1"/>
          </xdr:cNvSpPr>
        </xdr:nvSpPr>
        <xdr:spPr>
          <a:xfrm>
            <a:off x="7482417"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11</xdr:col>
      <xdr:colOff>140759</xdr:colOff>
      <xdr:row>0</xdr:row>
      <xdr:rowOff>38100</xdr:rowOff>
    </xdr:from>
    <xdr:to>
      <xdr:col>18</xdr:col>
      <xdr:colOff>1093258</xdr:colOff>
      <xdr:row>1</xdr:row>
      <xdr:rowOff>719667</xdr:rowOff>
    </xdr:to>
    <xdr:sp macro="" textlink="">
      <xdr:nvSpPr>
        <xdr:cNvPr id="9" name="TextBox 8">
          <a:hlinkClick xmlns:r="http://schemas.openxmlformats.org/officeDocument/2006/relationships" r:id="rId1"/>
          <a:extLst>
            <a:ext uri="{FF2B5EF4-FFF2-40B4-BE49-F238E27FC236}">
              <a16:creationId xmlns:a16="http://schemas.microsoft.com/office/drawing/2014/main" id="{00000000-0008-0000-3600-000009000000}"/>
            </a:ext>
          </a:extLst>
        </xdr:cNvPr>
        <xdr:cNvSpPr txBox="1"/>
      </xdr:nvSpPr>
      <xdr:spPr>
        <a:xfrm>
          <a:off x="8423276" y="38100"/>
          <a:ext cx="6761691" cy="14435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No user inputs are required on this sheet, but the Filter Tool is available to manually select which rows show/hide. Refer to User Guide Worksheet for Filter Tool instructions</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Datappraise Merge  </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10</xdr:col>
      <xdr:colOff>33870</xdr:colOff>
      <xdr:row>0</xdr:row>
      <xdr:rowOff>731520</xdr:rowOff>
    </xdr:to>
    <xdr:grpSp>
      <xdr:nvGrpSpPr>
        <xdr:cNvPr id="11" name="Group 10">
          <a:extLst>
            <a:ext uri="{FF2B5EF4-FFF2-40B4-BE49-F238E27FC236}">
              <a16:creationId xmlns:a16="http://schemas.microsoft.com/office/drawing/2014/main" id="{00000000-0008-0000-3600-00000B000000}"/>
            </a:ext>
          </a:extLst>
        </xdr:cNvPr>
        <xdr:cNvGrpSpPr>
          <a:grpSpLocks noChangeAspect="1"/>
        </xdr:cNvGrpSpPr>
      </xdr:nvGrpSpPr>
      <xdr:grpSpPr>
        <a:xfrm>
          <a:off x="0" y="0"/>
          <a:ext cx="8196795" cy="731520"/>
          <a:chOff x="0" y="0"/>
          <a:chExt cx="8206320" cy="731520"/>
        </a:xfrm>
      </xdr:grpSpPr>
      <xdr:sp macro="[0]!GoTo_Main" textlink="">
        <xdr:nvSpPr>
          <xdr:cNvPr id="12" name="Rounded Rectangle 11">
            <a:extLst>
              <a:ext uri="{FF2B5EF4-FFF2-40B4-BE49-F238E27FC236}">
                <a16:creationId xmlns:a16="http://schemas.microsoft.com/office/drawing/2014/main" id="{00000000-0008-0000-3600-00000C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13" name="Rounded Rectangle 12">
            <a:extLst>
              <a:ext uri="{FF2B5EF4-FFF2-40B4-BE49-F238E27FC236}">
                <a16:creationId xmlns:a16="http://schemas.microsoft.com/office/drawing/2014/main" id="{00000000-0008-0000-3600-00000D000000}"/>
              </a:ext>
            </a:extLst>
          </xdr:cNvPr>
          <xdr:cNvSpPr>
            <a:spLocks noChangeAspect="1"/>
          </xdr:cNvSpPr>
        </xdr:nvSpPr>
        <xdr:spPr>
          <a:xfrm>
            <a:off x="952498" y="0"/>
            <a:ext cx="11887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GoTo_IncomeRentSummaryLight_Table" textlink="">
        <xdr:nvSpPr>
          <xdr:cNvPr id="14" name="Rounded Rectangle 13">
            <a:extLst>
              <a:ext uri="{FF2B5EF4-FFF2-40B4-BE49-F238E27FC236}">
                <a16:creationId xmlns:a16="http://schemas.microsoft.com/office/drawing/2014/main" id="{00000000-0008-0000-3600-00000E000000}"/>
              </a:ext>
            </a:extLst>
          </xdr:cNvPr>
          <xdr:cNvSpPr>
            <a:spLocks noChangeAspect="1"/>
          </xdr:cNvSpPr>
        </xdr:nvSpPr>
        <xdr:spPr>
          <a:xfrm>
            <a:off x="2180171" y="0"/>
            <a:ext cx="146304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Summary Light</a:t>
            </a:r>
          </a:p>
        </xdr:txBody>
      </xdr:sp>
      <xdr:sp macro="[0]!GoTo_IncomeRentAutoAdjustment_Tables" textlink="">
        <xdr:nvSpPr>
          <xdr:cNvPr id="15" name="Rounded Rectangle 14">
            <a:extLst>
              <a:ext uri="{FF2B5EF4-FFF2-40B4-BE49-F238E27FC236}">
                <a16:creationId xmlns:a16="http://schemas.microsoft.com/office/drawing/2014/main" id="{00000000-0008-0000-3600-00000F000000}"/>
              </a:ext>
            </a:extLst>
          </xdr:cNvPr>
          <xdr:cNvSpPr>
            <a:spLocks noChangeAspect="1"/>
          </xdr:cNvSpPr>
        </xdr:nvSpPr>
        <xdr:spPr>
          <a:xfrm>
            <a:off x="3683003" y="0"/>
            <a:ext cx="146304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Automated Adj.</a:t>
            </a:r>
          </a:p>
        </xdr:txBody>
      </xdr:sp>
      <xdr:sp macro="[0]!GoTo_IncomeRentAdjustment_Grid" textlink="">
        <xdr:nvSpPr>
          <xdr:cNvPr id="16" name="Rounded Rectangle 15">
            <a:extLst>
              <a:ext uri="{FF2B5EF4-FFF2-40B4-BE49-F238E27FC236}">
                <a16:creationId xmlns:a16="http://schemas.microsoft.com/office/drawing/2014/main" id="{00000000-0008-0000-3600-000010000000}"/>
              </a:ext>
            </a:extLst>
          </xdr:cNvPr>
          <xdr:cNvSpPr>
            <a:spLocks noChangeAspect="1"/>
          </xdr:cNvSpPr>
        </xdr:nvSpPr>
        <xdr:spPr>
          <a:xfrm>
            <a:off x="5196419" y="0"/>
            <a:ext cx="109728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Adj. Grid</a:t>
            </a:r>
          </a:p>
        </xdr:txBody>
      </xdr:sp>
      <xdr:sp macro="[0]!Update_RentSummaryDetail_Table" textlink="">
        <xdr:nvSpPr>
          <xdr:cNvPr id="17" name="Rounded Rectangle 16">
            <a:extLst>
              <a:ext uri="{FF2B5EF4-FFF2-40B4-BE49-F238E27FC236}">
                <a16:creationId xmlns:a16="http://schemas.microsoft.com/office/drawing/2014/main" id="{00000000-0008-0000-3600-000011000000}"/>
              </a:ext>
            </a:extLst>
          </xdr:cNvPr>
          <xdr:cNvSpPr>
            <a:spLocks noChangeAspect="1"/>
          </xdr:cNvSpPr>
        </xdr:nvSpPr>
        <xdr:spPr>
          <a:xfrm>
            <a:off x="6339421"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 textlink="">
        <xdr:nvSpPr>
          <xdr:cNvPr id="18" name="Rounded Rectangle 17">
            <a:extLst>
              <a:ext uri="{FF2B5EF4-FFF2-40B4-BE49-F238E27FC236}">
                <a16:creationId xmlns:a16="http://schemas.microsoft.com/office/drawing/2014/main" id="{00000000-0008-0000-3600-000012000000}"/>
              </a:ext>
            </a:extLst>
          </xdr:cNvPr>
          <xdr:cNvSpPr>
            <a:spLocks noChangeAspect="1"/>
          </xdr:cNvSpPr>
        </xdr:nvSpPr>
        <xdr:spPr>
          <a:xfrm>
            <a:off x="7291920"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grpSp>
    <xdr:clientData/>
  </xdr:twoCellAnchor>
</xdr:wsDr>
</file>

<file path=xl/drawings/drawing4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19</xdr:col>
      <xdr:colOff>75139</xdr:colOff>
      <xdr:row>0</xdr:row>
      <xdr:rowOff>731520</xdr:rowOff>
    </xdr:to>
    <xdr:grpSp>
      <xdr:nvGrpSpPr>
        <xdr:cNvPr id="18" name="Group 17">
          <a:extLst>
            <a:ext uri="{FF2B5EF4-FFF2-40B4-BE49-F238E27FC236}">
              <a16:creationId xmlns:a16="http://schemas.microsoft.com/office/drawing/2014/main" id="{00000000-0008-0000-3700-000012000000}"/>
            </a:ext>
          </a:extLst>
        </xdr:cNvPr>
        <xdr:cNvGrpSpPr>
          <a:grpSpLocks noChangeAspect="1"/>
        </xdr:cNvGrpSpPr>
      </xdr:nvGrpSpPr>
      <xdr:grpSpPr>
        <a:xfrm>
          <a:off x="0" y="0"/>
          <a:ext cx="8390464" cy="731520"/>
          <a:chOff x="0" y="0"/>
          <a:chExt cx="8386231" cy="731520"/>
        </a:xfrm>
      </xdr:grpSpPr>
      <xdr:sp macro="[0]!GoTo_Main" textlink="">
        <xdr:nvSpPr>
          <xdr:cNvPr id="19" name="Rounded Rectangle 18">
            <a:extLst>
              <a:ext uri="{FF2B5EF4-FFF2-40B4-BE49-F238E27FC236}">
                <a16:creationId xmlns:a16="http://schemas.microsoft.com/office/drawing/2014/main" id="{00000000-0008-0000-3700-000013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Default_RentAutoAdj_Tables" textlink="">
        <xdr:nvSpPr>
          <xdr:cNvPr id="20" name="Rounded Rectangle 19">
            <a:extLst>
              <a:ext uri="{FF2B5EF4-FFF2-40B4-BE49-F238E27FC236}">
                <a16:creationId xmlns:a16="http://schemas.microsoft.com/office/drawing/2014/main" id="{00000000-0008-0000-3700-000014000000}"/>
              </a:ext>
            </a:extLst>
          </xdr:cNvPr>
          <xdr:cNvSpPr>
            <a:spLocks noChangeAspect="1"/>
          </xdr:cNvSpPr>
        </xdr:nvSpPr>
        <xdr:spPr>
          <a:xfrm>
            <a:off x="952498" y="0"/>
            <a:ext cx="11887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GoTo_IncomeRentSummaryLight_Table" textlink="">
        <xdr:nvSpPr>
          <xdr:cNvPr id="21" name="Rounded Rectangle 20">
            <a:extLst>
              <a:ext uri="{FF2B5EF4-FFF2-40B4-BE49-F238E27FC236}">
                <a16:creationId xmlns:a16="http://schemas.microsoft.com/office/drawing/2014/main" id="{00000000-0008-0000-3700-000015000000}"/>
              </a:ext>
            </a:extLst>
          </xdr:cNvPr>
          <xdr:cNvSpPr>
            <a:spLocks noChangeAspect="1"/>
          </xdr:cNvSpPr>
        </xdr:nvSpPr>
        <xdr:spPr>
          <a:xfrm>
            <a:off x="2180171" y="0"/>
            <a:ext cx="146304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Summary Light</a:t>
            </a:r>
          </a:p>
        </xdr:txBody>
      </xdr:sp>
      <xdr:sp macro="[0]!GoTo_IncomeRentSummaryDetail_Table" textlink="">
        <xdr:nvSpPr>
          <xdr:cNvPr id="22" name="Rounded Rectangle 21">
            <a:extLst>
              <a:ext uri="{FF2B5EF4-FFF2-40B4-BE49-F238E27FC236}">
                <a16:creationId xmlns:a16="http://schemas.microsoft.com/office/drawing/2014/main" id="{00000000-0008-0000-3700-000016000000}"/>
              </a:ext>
            </a:extLst>
          </xdr:cNvPr>
          <xdr:cNvSpPr>
            <a:spLocks noChangeAspect="1"/>
          </xdr:cNvSpPr>
        </xdr:nvSpPr>
        <xdr:spPr>
          <a:xfrm>
            <a:off x="3683003" y="0"/>
            <a:ext cx="16459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Summary Detailed</a:t>
            </a:r>
          </a:p>
        </xdr:txBody>
      </xdr:sp>
      <xdr:sp macro="[0]!GoTo_IncomeRentAdjustment_Grid" textlink="">
        <xdr:nvSpPr>
          <xdr:cNvPr id="23" name="Rounded Rectangle 22">
            <a:extLst>
              <a:ext uri="{FF2B5EF4-FFF2-40B4-BE49-F238E27FC236}">
                <a16:creationId xmlns:a16="http://schemas.microsoft.com/office/drawing/2014/main" id="{00000000-0008-0000-3700-000017000000}"/>
              </a:ext>
            </a:extLst>
          </xdr:cNvPr>
          <xdr:cNvSpPr>
            <a:spLocks noChangeAspect="1"/>
          </xdr:cNvSpPr>
        </xdr:nvSpPr>
        <xdr:spPr>
          <a:xfrm>
            <a:off x="5365747" y="0"/>
            <a:ext cx="109728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Adj. Grid</a:t>
            </a:r>
          </a:p>
        </xdr:txBody>
      </xdr:sp>
      <xdr:sp macro="[0]!Update_RentAutoAdj_Tables" textlink="">
        <xdr:nvSpPr>
          <xdr:cNvPr id="24" name="Rounded Rectangle 23">
            <a:extLst>
              <a:ext uri="{FF2B5EF4-FFF2-40B4-BE49-F238E27FC236}">
                <a16:creationId xmlns:a16="http://schemas.microsoft.com/office/drawing/2014/main" id="{00000000-0008-0000-3700-000018000000}"/>
              </a:ext>
            </a:extLst>
          </xdr:cNvPr>
          <xdr:cNvSpPr>
            <a:spLocks noChangeAspect="1"/>
          </xdr:cNvSpPr>
        </xdr:nvSpPr>
        <xdr:spPr>
          <a:xfrm>
            <a:off x="6508749"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RentAutoAdj_Tables" textlink="">
        <xdr:nvSpPr>
          <xdr:cNvPr id="25" name="Rounded Rectangle 24">
            <a:extLst>
              <a:ext uri="{FF2B5EF4-FFF2-40B4-BE49-F238E27FC236}">
                <a16:creationId xmlns:a16="http://schemas.microsoft.com/office/drawing/2014/main" id="{00000000-0008-0000-3700-000019000000}"/>
              </a:ext>
            </a:extLst>
          </xdr:cNvPr>
          <xdr:cNvSpPr>
            <a:spLocks noChangeAspect="1"/>
          </xdr:cNvSpPr>
        </xdr:nvSpPr>
        <xdr:spPr>
          <a:xfrm>
            <a:off x="7471831"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grpSp>
    <xdr:clientData/>
  </xdr:twoCellAnchor>
  <xdr:twoCellAnchor editAs="absolute">
    <xdr:from>
      <xdr:col>19</xdr:col>
      <xdr:colOff>142875</xdr:colOff>
      <xdr:row>0</xdr:row>
      <xdr:rowOff>0</xdr:rowOff>
    </xdr:from>
    <xdr:to>
      <xdr:col>30</xdr:col>
      <xdr:colOff>125941</xdr:colOff>
      <xdr:row>44</xdr:row>
      <xdr:rowOff>66675</xdr:rowOff>
    </xdr:to>
    <xdr:sp macro="" textlink="">
      <xdr:nvSpPr>
        <xdr:cNvPr id="10" name="TextBox 9">
          <a:extLst>
            <a:ext uri="{FF2B5EF4-FFF2-40B4-BE49-F238E27FC236}">
              <a16:creationId xmlns:a16="http://schemas.microsoft.com/office/drawing/2014/main" id="{00000000-0008-0000-3700-00000A000000}"/>
            </a:ext>
          </a:extLst>
        </xdr:cNvPr>
        <xdr:cNvSpPr txBox="1"/>
      </xdr:nvSpPr>
      <xdr:spPr>
        <a:xfrm>
          <a:off x="8458200" y="0"/>
          <a:ext cx="6907741" cy="2381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lnSpc>
              <a:spcPct val="150000"/>
            </a:lnSpc>
            <a:spcBef>
              <a:spcPts val="0"/>
            </a:spcBef>
            <a:spcAft>
              <a:spcPts val="0"/>
            </a:spcAft>
          </a:pPr>
          <a:r>
            <a:rPr lang="en-US" sz="1000" b="1" i="0" baseline="0">
              <a:solidFill>
                <a:schemeClr val="dk1"/>
              </a:solidFill>
              <a:effectLst/>
              <a:latin typeface="Segoe UI" panose="020B0502040204020203" pitchFamily="34" charset="0"/>
              <a:ea typeface="+mn-ea"/>
              <a:cs typeface="Segoe UI" panose="020B0502040204020203" pitchFamily="34" charset="0"/>
            </a:rPr>
            <a:t>Adjustments Included on this Worksheet:</a:t>
          </a:r>
        </a:p>
        <a:p>
          <a:pPr rtl="0" eaLnBrk="1" fontAlgn="auto" latinLnBrk="0" hangingPunct="1">
            <a:lnSpc>
              <a:spcPct val="150000"/>
            </a:lnSpc>
            <a:spcBef>
              <a:spcPts val="0"/>
            </a:spcBef>
            <a:spcAft>
              <a:spcPts val="0"/>
            </a:spcAft>
          </a:pPr>
          <a:r>
            <a:rPr lang="en-US" sz="1000" b="1" i="0" baseline="0">
              <a:solidFill>
                <a:schemeClr val="dk1"/>
              </a:solidFill>
              <a:effectLst/>
              <a:latin typeface="Segoe UI" panose="020B0502040204020203" pitchFamily="34" charset="0"/>
              <a:ea typeface="+mn-ea"/>
              <a:cs typeface="Segoe UI" panose="020B0502040204020203" pitchFamily="34" charset="0"/>
            </a:rPr>
            <a:t>1. Construction Quality (Requires Matching Construction Class and Quality Ratings  in Datappraise Web)</a:t>
          </a:r>
          <a:endParaRPr lang="en-US" sz="1000">
            <a:effectLst/>
            <a:latin typeface="Segoe UI" panose="020B0502040204020203" pitchFamily="34" charset="0"/>
            <a:cs typeface="Segoe UI" panose="020B0502040204020203" pitchFamily="34" charset="0"/>
          </a:endParaRPr>
        </a:p>
        <a:p>
          <a:pPr rtl="0" eaLnBrk="1" fontAlgn="auto" latinLnBrk="0" hangingPunct="1">
            <a:lnSpc>
              <a:spcPct val="150000"/>
            </a:lnSpc>
            <a:spcBef>
              <a:spcPts val="0"/>
            </a:spcBef>
            <a:spcAft>
              <a:spcPts val="0"/>
            </a:spcAft>
          </a:pPr>
          <a:r>
            <a:rPr lang="en-US" sz="1000" b="1" i="0" baseline="0">
              <a:solidFill>
                <a:schemeClr val="dk1"/>
              </a:solidFill>
              <a:effectLst/>
              <a:latin typeface="Segoe UI" panose="020B0502040204020203" pitchFamily="34" charset="0"/>
              <a:ea typeface="+mn-ea"/>
              <a:cs typeface="Segoe UI" panose="020B0502040204020203" pitchFamily="34" charset="0"/>
            </a:rPr>
            <a:t>2. Clear Height (Note Max Adjust. Cut-Off is Optional and Market Specific)</a:t>
          </a:r>
          <a:endParaRPr lang="en-US" sz="1000">
            <a:effectLst/>
            <a:latin typeface="Segoe UI" panose="020B0502040204020203" pitchFamily="34" charset="0"/>
            <a:cs typeface="Segoe UI" panose="020B0502040204020203" pitchFamily="34" charset="0"/>
          </a:endParaRPr>
        </a:p>
        <a:p>
          <a:pPr marL="0" marR="0" lvl="0" indent="0" defTabSz="914400" rtl="0" eaLnBrk="1" fontAlgn="auto" latinLnBrk="0" hangingPunct="1">
            <a:lnSpc>
              <a:spcPct val="150000"/>
            </a:lnSpc>
            <a:spcBef>
              <a:spcPts val="0"/>
            </a:spcBef>
            <a:spcAft>
              <a:spcPts val="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3. Rent Concessions</a:t>
          </a:r>
        </a:p>
        <a:p>
          <a:pPr rtl="0">
            <a:lnSpc>
              <a:spcPct val="150000"/>
            </a:lnSpc>
            <a:spcBef>
              <a:spcPts val="0"/>
            </a:spcBef>
            <a:spcAft>
              <a:spcPts val="0"/>
            </a:spcAft>
          </a:pPr>
          <a:r>
            <a:rPr lang="en-US" sz="1000" b="1" i="0" baseline="0">
              <a:solidFill>
                <a:schemeClr val="dk1"/>
              </a:solidFill>
              <a:effectLst/>
              <a:latin typeface="Segoe UI" panose="020B0502040204020203" pitchFamily="34" charset="0"/>
              <a:ea typeface="+mn-ea"/>
              <a:cs typeface="Segoe UI" panose="020B0502040204020203" pitchFamily="34" charset="0"/>
            </a:rPr>
            <a:t>Instructions</a:t>
          </a:r>
        </a:p>
        <a:p>
          <a:pPr rtl="0">
            <a:lnSpc>
              <a:spcPct val="150000"/>
            </a:lnSpc>
            <a:spcBef>
              <a:spcPts val="0"/>
            </a:spcBef>
            <a:spcAft>
              <a:spcPts val="0"/>
            </a:spcAft>
          </a:pPr>
          <a:r>
            <a:rPr lang="en-US" sz="1000" b="1" i="0" baseline="0">
              <a:solidFill>
                <a:schemeClr val="dk1"/>
              </a:solidFill>
              <a:effectLst/>
              <a:latin typeface="Segoe UI" panose="020B0502040204020203" pitchFamily="34" charset="0"/>
              <a:ea typeface="+mn-ea"/>
              <a:cs typeface="Segoe UI" panose="020B0502040204020203" pitchFamily="34" charset="0"/>
            </a:rPr>
            <a:t>1. User inputs in cells with white background only</a:t>
          </a:r>
          <a:endParaRPr lang="en-US" sz="1000">
            <a:effectLst/>
            <a:latin typeface="Segoe UI" panose="020B0502040204020203" pitchFamily="34" charset="0"/>
            <a:cs typeface="Segoe UI" panose="020B0502040204020203" pitchFamily="34" charset="0"/>
          </a:endParaRPr>
        </a:p>
        <a:p>
          <a:pPr algn="l" rtl="0">
            <a:lnSpc>
              <a:spcPct val="150000"/>
            </a:lnSpc>
            <a:spcBef>
              <a:spcPts val="0"/>
            </a:spcBef>
            <a:spcAft>
              <a:spcPts val="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Rent Adjustment Grid Datappraise Merge</a:t>
          </a:r>
        </a:p>
        <a:p>
          <a:pPr algn="l" rtl="0">
            <a:lnSpc>
              <a:spcPct val="150000"/>
            </a:lnSpc>
            <a:spcBef>
              <a:spcPts val="0"/>
            </a:spcBef>
            <a:spcAft>
              <a:spcPts val="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lnSpc>
              <a:spcPct val="150000"/>
            </a:lnSpc>
            <a:spcBef>
              <a:spcPts val="0"/>
            </a:spcBef>
            <a:spcAft>
              <a:spcPts val="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xdr:txBody>
    </xdr: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14</xdr:col>
      <xdr:colOff>1981200</xdr:colOff>
      <xdr:row>0</xdr:row>
      <xdr:rowOff>0</xdr:rowOff>
    </xdr:from>
    <xdr:to>
      <xdr:col>25</xdr:col>
      <xdr:colOff>1164167</xdr:colOff>
      <xdr:row>6</xdr:row>
      <xdr:rowOff>31750</xdr:rowOff>
    </xdr:to>
    <xdr:sp macro="" textlink="">
      <xdr:nvSpPr>
        <xdr:cNvPr id="10" name="TextBox 9">
          <a:hlinkClick xmlns:r="http://schemas.openxmlformats.org/officeDocument/2006/relationships" r:id="rId1"/>
          <a:extLst>
            <a:ext uri="{FF2B5EF4-FFF2-40B4-BE49-F238E27FC236}">
              <a16:creationId xmlns:a16="http://schemas.microsoft.com/office/drawing/2014/main" id="{00000000-0008-0000-3800-00000A000000}"/>
            </a:ext>
          </a:extLst>
        </xdr:cNvPr>
        <xdr:cNvSpPr txBox="1"/>
      </xdr:nvSpPr>
      <xdr:spPr>
        <a:xfrm>
          <a:off x="10466917" y="0"/>
          <a:ext cx="8464550" cy="181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Make sure all proper assumptions have been selected in Rent Assumptions Section including Adjustment Categories</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User inputs in cells with white background only (%, whole $ or $/unit adjustments may be used regardless of selected display)</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Use Insert Manager to merge data for User Defined adjustment categories if desired (see cell comments for additional instructions)</a:t>
          </a: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4. Press</a:t>
          </a:r>
          <a:r>
            <a:rPr lang="en-US" sz="1000" b="1" baseline="0">
              <a:effectLst/>
              <a:latin typeface="Segoe UI" panose="020B0502040204020203" pitchFamily="34" charset="0"/>
              <a:cs typeface="Segoe UI" panose="020B0502040204020203" pitchFamily="34" charset="0"/>
            </a:rPr>
            <a:t> "Update" Button when complete - removes background colors/cell comment indicators, hides rows &amp; sets print area</a:t>
          </a: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5. Press "Default" Button to add</a:t>
          </a:r>
          <a:r>
            <a:rPr lang="en-US" sz="1000" b="1" baseline="0">
              <a:effectLst/>
              <a:latin typeface="Segoe UI" panose="020B0502040204020203" pitchFamily="34" charset="0"/>
              <a:cs typeface="Segoe UI" panose="020B0502040204020203" pitchFamily="34" charset="0"/>
            </a:rPr>
            <a:t> background colors/cell comment indicators &amp; unhide all rows to modify prior input</a:t>
          </a:r>
        </a:p>
        <a:p>
          <a:pPr algn="l" rtl="0">
            <a:spcBef>
              <a:spcPts val="300"/>
            </a:spcBef>
            <a:spcAft>
              <a:spcPts val="300"/>
            </a:spcAft>
          </a:pPr>
          <a:r>
            <a:rPr lang="en-US" sz="1000" b="1" baseline="0">
              <a:solidFill>
                <a:schemeClr val="dk1"/>
              </a:solidFill>
              <a:effectLst/>
              <a:latin typeface="Segoe UI" panose="020B0502040204020203" pitchFamily="34" charset="0"/>
              <a:ea typeface="+mn-ea"/>
              <a:cs typeface="Segoe UI" panose="020B0502040204020203" pitchFamily="34" charset="0"/>
            </a:rPr>
            <a:t>6. Note that Adjustment Entries DO NOT move if a Datappraise merge results in comparables moving</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b="1"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oneCell">
    <xdr:from>
      <xdr:col>15</xdr:col>
      <xdr:colOff>105834</xdr:colOff>
      <xdr:row>147</xdr:row>
      <xdr:rowOff>306918</xdr:rowOff>
    </xdr:from>
    <xdr:to>
      <xdr:col>16</xdr:col>
      <xdr:colOff>867833</xdr:colOff>
      <xdr:row>149</xdr:row>
      <xdr:rowOff>74083</xdr:rowOff>
    </xdr:to>
    <xdr:sp macro="[0]!GoTo_IncomeRentAdjustment_Grid" textlink="">
      <xdr:nvSpPr>
        <xdr:cNvPr id="14" name="Rounded Rectangle 13">
          <a:extLst>
            <a:ext uri="{FF2B5EF4-FFF2-40B4-BE49-F238E27FC236}">
              <a16:creationId xmlns:a16="http://schemas.microsoft.com/office/drawing/2014/main" id="{00000000-0008-0000-3800-00000E000000}"/>
            </a:ext>
          </a:extLst>
        </xdr:cNvPr>
        <xdr:cNvSpPr>
          <a:spLocks noChangeAspect="1"/>
        </xdr:cNvSpPr>
      </xdr:nvSpPr>
      <xdr:spPr>
        <a:xfrm>
          <a:off x="12858751" y="24341668"/>
          <a:ext cx="1809749" cy="34925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Return to Top</a:t>
          </a:r>
        </a:p>
      </xdr:txBody>
    </xdr:sp>
    <xdr:clientData/>
  </xdr:twoCellAnchor>
  <xdr:twoCellAnchor editAs="absolute">
    <xdr:from>
      <xdr:col>0</xdr:col>
      <xdr:colOff>0</xdr:colOff>
      <xdr:row>0</xdr:row>
      <xdr:rowOff>0</xdr:rowOff>
    </xdr:from>
    <xdr:to>
      <xdr:col>3</xdr:col>
      <xdr:colOff>358205</xdr:colOff>
      <xdr:row>0</xdr:row>
      <xdr:rowOff>725936</xdr:rowOff>
    </xdr:to>
    <xdr:sp macro="[0]!GoTo_Main" textlink="">
      <xdr:nvSpPr>
        <xdr:cNvPr id="16" name="Rounded Rectangle 15">
          <a:extLst>
            <a:ext uri="{FF2B5EF4-FFF2-40B4-BE49-F238E27FC236}">
              <a16:creationId xmlns:a16="http://schemas.microsoft.com/office/drawing/2014/main" id="{00000000-0008-0000-3800-000010000000}"/>
            </a:ext>
          </a:extLst>
        </xdr:cNvPr>
        <xdr:cNvSpPr>
          <a:spLocks noChangeAspect="1"/>
        </xdr:cNvSpPr>
      </xdr:nvSpPr>
      <xdr:spPr>
        <a:xfrm>
          <a:off x="0" y="0"/>
          <a:ext cx="910655" cy="725936"/>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3</xdr:col>
      <xdr:colOff>396146</xdr:colOff>
      <xdr:row>0</xdr:row>
      <xdr:rowOff>0</xdr:rowOff>
    </xdr:from>
    <xdr:to>
      <xdr:col>3</xdr:col>
      <xdr:colOff>1579997</xdr:colOff>
      <xdr:row>0</xdr:row>
      <xdr:rowOff>725936</xdr:rowOff>
    </xdr:to>
    <xdr:sp macro="[0]!GoTo_IncomeApproachAssumptions_Input" textlink="">
      <xdr:nvSpPr>
        <xdr:cNvPr id="17" name="Rounded Rectangle 16">
          <a:extLst>
            <a:ext uri="{FF2B5EF4-FFF2-40B4-BE49-F238E27FC236}">
              <a16:creationId xmlns:a16="http://schemas.microsoft.com/office/drawing/2014/main" id="{00000000-0008-0000-3800-000011000000}"/>
            </a:ext>
          </a:extLst>
        </xdr:cNvPr>
        <xdr:cNvSpPr>
          <a:spLocks noChangeAspect="1"/>
        </xdr:cNvSpPr>
      </xdr:nvSpPr>
      <xdr:spPr>
        <a:xfrm>
          <a:off x="948596" y="0"/>
          <a:ext cx="1183851" cy="725936"/>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4</xdr:col>
      <xdr:colOff>37642</xdr:colOff>
      <xdr:row>0</xdr:row>
      <xdr:rowOff>0</xdr:rowOff>
    </xdr:from>
    <xdr:to>
      <xdr:col>5</xdr:col>
      <xdr:colOff>913664</xdr:colOff>
      <xdr:row>0</xdr:row>
      <xdr:rowOff>725936</xdr:rowOff>
    </xdr:to>
    <xdr:sp macro="[0]!GoTo_IncomeRentSummaryLight_Table" textlink="">
      <xdr:nvSpPr>
        <xdr:cNvPr id="18" name="Rounded Rectangle 17">
          <a:extLst>
            <a:ext uri="{FF2B5EF4-FFF2-40B4-BE49-F238E27FC236}">
              <a16:creationId xmlns:a16="http://schemas.microsoft.com/office/drawing/2014/main" id="{00000000-0008-0000-3800-000012000000}"/>
            </a:ext>
          </a:extLst>
        </xdr:cNvPr>
        <xdr:cNvSpPr>
          <a:spLocks noChangeAspect="1"/>
        </xdr:cNvSpPr>
      </xdr:nvSpPr>
      <xdr:spPr>
        <a:xfrm>
          <a:off x="2171242" y="0"/>
          <a:ext cx="1457047" cy="725936"/>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Summary Light</a:t>
          </a:r>
        </a:p>
      </xdr:txBody>
    </xdr:sp>
    <xdr:clientData/>
  </xdr:twoCellAnchor>
  <xdr:twoCellAnchor editAs="absolute">
    <xdr:from>
      <xdr:col>5</xdr:col>
      <xdr:colOff>953293</xdr:colOff>
      <xdr:row>0</xdr:row>
      <xdr:rowOff>0</xdr:rowOff>
    </xdr:from>
    <xdr:to>
      <xdr:col>7</xdr:col>
      <xdr:colOff>420771</xdr:colOff>
      <xdr:row>0</xdr:row>
      <xdr:rowOff>725936</xdr:rowOff>
    </xdr:to>
    <xdr:sp macro="[0]!GoTo_IncomeRentSummaryDetail_Table" textlink="">
      <xdr:nvSpPr>
        <xdr:cNvPr id="19" name="Rounded Rectangle 18">
          <a:extLst>
            <a:ext uri="{FF2B5EF4-FFF2-40B4-BE49-F238E27FC236}">
              <a16:creationId xmlns:a16="http://schemas.microsoft.com/office/drawing/2014/main" id="{00000000-0008-0000-3800-000013000000}"/>
            </a:ext>
          </a:extLst>
        </xdr:cNvPr>
        <xdr:cNvSpPr>
          <a:spLocks noChangeAspect="1"/>
        </xdr:cNvSpPr>
      </xdr:nvSpPr>
      <xdr:spPr>
        <a:xfrm>
          <a:off x="3667918" y="0"/>
          <a:ext cx="1639178" cy="725936"/>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Summary Detailed</a:t>
          </a:r>
        </a:p>
      </xdr:txBody>
    </xdr:sp>
    <xdr:clientData/>
  </xdr:twoCellAnchor>
  <xdr:twoCellAnchor editAs="absolute">
    <xdr:from>
      <xdr:col>7</xdr:col>
      <xdr:colOff>457449</xdr:colOff>
      <xdr:row>0</xdr:row>
      <xdr:rowOff>0</xdr:rowOff>
    </xdr:from>
    <xdr:to>
      <xdr:col>8</xdr:col>
      <xdr:colOff>828646</xdr:colOff>
      <xdr:row>0</xdr:row>
      <xdr:rowOff>725936</xdr:rowOff>
    </xdr:to>
    <xdr:sp macro="[0]!GoTo_IncomeRentAutoAdjustment_Tables" textlink="">
      <xdr:nvSpPr>
        <xdr:cNvPr id="20" name="Rounded Rectangle 19">
          <a:extLst>
            <a:ext uri="{FF2B5EF4-FFF2-40B4-BE49-F238E27FC236}">
              <a16:creationId xmlns:a16="http://schemas.microsoft.com/office/drawing/2014/main" id="{00000000-0008-0000-3800-000014000000}"/>
            </a:ext>
          </a:extLst>
        </xdr:cNvPr>
        <xdr:cNvSpPr>
          <a:spLocks noChangeAspect="1"/>
        </xdr:cNvSpPr>
      </xdr:nvSpPr>
      <xdr:spPr>
        <a:xfrm>
          <a:off x="5343774" y="0"/>
          <a:ext cx="1457047" cy="725936"/>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a:t>
          </a:r>
          <a:r>
            <a:rPr lang="en-US" sz="1200" b="1" baseline="0">
              <a:latin typeface="Segoe UI" panose="020B0502040204020203" pitchFamily="34" charset="0"/>
              <a:cs typeface="Segoe UI" panose="020B0502040204020203" pitchFamily="34" charset="0"/>
            </a:rPr>
            <a:t> Comp. Automated Adj.</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10</xdr:col>
      <xdr:colOff>56368</xdr:colOff>
      <xdr:row>1</xdr:row>
      <xdr:rowOff>25691</xdr:rowOff>
    </xdr:from>
    <xdr:to>
      <xdr:col>14</xdr:col>
      <xdr:colOff>624123</xdr:colOff>
      <xdr:row>4</xdr:row>
      <xdr:rowOff>151552</xdr:rowOff>
    </xdr:to>
    <xdr:sp macro="[0]!Update_RentAdjustGrid" textlink="">
      <xdr:nvSpPr>
        <xdr:cNvPr id="21" name="Rounded Rectangle 20">
          <a:extLst>
            <a:ext uri="{FF2B5EF4-FFF2-40B4-BE49-F238E27FC236}">
              <a16:creationId xmlns:a16="http://schemas.microsoft.com/office/drawing/2014/main" id="{00000000-0008-0000-3800-000015000000}"/>
            </a:ext>
          </a:extLst>
        </xdr:cNvPr>
        <xdr:cNvSpPr>
          <a:spLocks noChangeAspect="1"/>
        </xdr:cNvSpPr>
      </xdr:nvSpPr>
      <xdr:spPr>
        <a:xfrm>
          <a:off x="8200243" y="787691"/>
          <a:ext cx="910655" cy="725936"/>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clientData/>
  </xdr:twoCellAnchor>
  <xdr:twoCellAnchor editAs="absolute">
    <xdr:from>
      <xdr:col>14</xdr:col>
      <xdr:colOff>672605</xdr:colOff>
      <xdr:row>1</xdr:row>
      <xdr:rowOff>25691</xdr:rowOff>
    </xdr:from>
    <xdr:to>
      <xdr:col>14</xdr:col>
      <xdr:colOff>1583260</xdr:colOff>
      <xdr:row>4</xdr:row>
      <xdr:rowOff>151552</xdr:rowOff>
    </xdr:to>
    <xdr:sp macro="[0]!Default_RentAdjustGrid" textlink="">
      <xdr:nvSpPr>
        <xdr:cNvPr id="22" name="Rounded Rectangle 21">
          <a:extLst>
            <a:ext uri="{FF2B5EF4-FFF2-40B4-BE49-F238E27FC236}">
              <a16:creationId xmlns:a16="http://schemas.microsoft.com/office/drawing/2014/main" id="{00000000-0008-0000-3800-000016000000}"/>
            </a:ext>
          </a:extLst>
        </xdr:cNvPr>
        <xdr:cNvSpPr>
          <a:spLocks noChangeAspect="1"/>
        </xdr:cNvSpPr>
      </xdr:nvSpPr>
      <xdr:spPr>
        <a:xfrm>
          <a:off x="9159380" y="787691"/>
          <a:ext cx="910655" cy="725936"/>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clientData/>
  </xdr:twoCellAnchor>
  <xdr:twoCellAnchor editAs="absolute">
    <xdr:from>
      <xdr:col>8</xdr:col>
      <xdr:colOff>868282</xdr:colOff>
      <xdr:row>0</xdr:row>
      <xdr:rowOff>0</xdr:rowOff>
    </xdr:from>
    <xdr:to>
      <xdr:col>13</xdr:col>
      <xdr:colOff>50010</xdr:colOff>
      <xdr:row>0</xdr:row>
      <xdr:rowOff>725936</xdr:rowOff>
    </xdr:to>
    <xdr:sp macro="[0]!ShowDialogRentAdj" textlink="">
      <xdr:nvSpPr>
        <xdr:cNvPr id="24" name="Rounded Rectangle 23">
          <a:extLst>
            <a:ext uri="{FF2B5EF4-FFF2-40B4-BE49-F238E27FC236}">
              <a16:creationId xmlns:a16="http://schemas.microsoft.com/office/drawing/2014/main" id="{00000000-0008-0000-3800-000018000000}"/>
            </a:ext>
          </a:extLst>
        </xdr:cNvPr>
        <xdr:cNvSpPr>
          <a:spLocks noChangeAspect="1"/>
        </xdr:cNvSpPr>
      </xdr:nvSpPr>
      <xdr:spPr>
        <a:xfrm>
          <a:off x="6840457" y="0"/>
          <a:ext cx="1639178" cy="725936"/>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Select Adjustment Categories</a:t>
          </a:r>
        </a:p>
      </xdr:txBody>
    </xdr:sp>
    <xdr:clientData/>
  </xdr:twoCellAnchor>
  <xdr:twoCellAnchor editAs="absolute">
    <xdr:from>
      <xdr:col>14</xdr:col>
      <xdr:colOff>34070</xdr:colOff>
      <xdr:row>0</xdr:row>
      <xdr:rowOff>6243</xdr:rowOff>
    </xdr:from>
    <xdr:to>
      <xdr:col>14</xdr:col>
      <xdr:colOff>1582183</xdr:colOff>
      <xdr:row>0</xdr:row>
      <xdr:rowOff>732179</xdr:rowOff>
    </xdr:to>
    <xdr:sp macro="[0]!GoTo_IncomeRentAdjustment_Conclusion" textlink="">
      <xdr:nvSpPr>
        <xdr:cNvPr id="13" name="Rounded Rectangle 12">
          <a:extLst>
            <a:ext uri="{FF2B5EF4-FFF2-40B4-BE49-F238E27FC236}">
              <a16:creationId xmlns:a16="http://schemas.microsoft.com/office/drawing/2014/main" id="{00000000-0008-0000-3800-00000D000000}"/>
            </a:ext>
          </a:extLst>
        </xdr:cNvPr>
        <xdr:cNvSpPr>
          <a:spLocks noChangeAspect="1"/>
        </xdr:cNvSpPr>
      </xdr:nvSpPr>
      <xdr:spPr>
        <a:xfrm>
          <a:off x="8520845" y="6243"/>
          <a:ext cx="1548113" cy="725936"/>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Conclusion</a:t>
          </a:r>
        </a:p>
      </xdr:txBody>
    </xdr:sp>
    <xdr:clientData/>
  </xdr:twoCellAnchor>
  <xdr:twoCellAnchor editAs="absolute">
    <xdr:from>
      <xdr:col>8</xdr:col>
      <xdr:colOff>991929</xdr:colOff>
      <xdr:row>1</xdr:row>
      <xdr:rowOff>25691</xdr:rowOff>
    </xdr:from>
    <xdr:to>
      <xdr:col>10</xdr:col>
      <xdr:colOff>7154</xdr:colOff>
      <xdr:row>4</xdr:row>
      <xdr:rowOff>149529</xdr:rowOff>
    </xdr:to>
    <xdr:sp macro="[0]!ShowUserFormTemplateAssumptions" textlink="">
      <xdr:nvSpPr>
        <xdr:cNvPr id="15" name="Rounded Rectangle 14">
          <a:extLst>
            <a:ext uri="{FF2B5EF4-FFF2-40B4-BE49-F238E27FC236}">
              <a16:creationId xmlns:a16="http://schemas.microsoft.com/office/drawing/2014/main" id="{00000000-0008-0000-3800-00000F000000}"/>
            </a:ext>
          </a:extLst>
        </xdr:cNvPr>
        <xdr:cNvSpPr>
          <a:spLocks noChangeAspect="1"/>
        </xdr:cNvSpPr>
      </xdr:nvSpPr>
      <xdr:spPr>
        <a:xfrm>
          <a:off x="6964104" y="787691"/>
          <a:ext cx="1186925" cy="723913"/>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a:t>
          </a:r>
          <a:r>
            <a:rPr lang="en-US" sz="1200" b="1" baseline="0">
              <a:solidFill>
                <a:srgbClr val="1F497D"/>
              </a:solidFill>
              <a:latin typeface="Segoe UI" panose="020B0502040204020203" pitchFamily="34" charset="0"/>
              <a:cs typeface="Segoe UI" panose="020B0502040204020203" pitchFamily="34" charset="0"/>
            </a:rPr>
            <a:t> Assumptions</a:t>
          </a:r>
          <a:endParaRPr lang="en-US" sz="1200" b="1">
            <a:solidFill>
              <a:srgbClr val="1F497D"/>
            </a:solidFill>
            <a:latin typeface="Segoe UI" panose="020B0502040204020203" pitchFamily="34" charset="0"/>
            <a:cs typeface="Segoe UI" panose="020B0502040204020203" pitchFamily="34" charset="0"/>
          </a:endParaRPr>
        </a:p>
      </xdr:txBody>
    </xdr:sp>
    <xdr:clientData/>
  </xdr:twoCellAnchor>
</xdr:wsDr>
</file>

<file path=xl/drawings/drawing4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50794</xdr:colOff>
      <xdr:row>4</xdr:row>
      <xdr:rowOff>154727</xdr:rowOff>
    </xdr:to>
    <xdr:grpSp>
      <xdr:nvGrpSpPr>
        <xdr:cNvPr id="2" name="Group 1">
          <a:extLst>
            <a:ext uri="{FF2B5EF4-FFF2-40B4-BE49-F238E27FC236}">
              <a16:creationId xmlns:a16="http://schemas.microsoft.com/office/drawing/2014/main" id="{00000000-0008-0000-3900-000002000000}"/>
            </a:ext>
          </a:extLst>
        </xdr:cNvPr>
        <xdr:cNvGrpSpPr/>
      </xdr:nvGrpSpPr>
      <xdr:grpSpPr>
        <a:xfrm>
          <a:off x="0" y="0"/>
          <a:ext cx="10071094" cy="1516802"/>
          <a:chOff x="0" y="0"/>
          <a:chExt cx="10115543" cy="1525269"/>
        </a:xfrm>
      </xdr:grpSpPr>
      <xdr:sp macro="[0]!GoTo_Main" textlink="">
        <xdr:nvSpPr>
          <xdr:cNvPr id="3" name="Rounded Rectangle 2">
            <a:extLst>
              <a:ext uri="{FF2B5EF4-FFF2-40B4-BE49-F238E27FC236}">
                <a16:creationId xmlns:a16="http://schemas.microsoft.com/office/drawing/2014/main" id="{00000000-0008-0000-3900-000003000000}"/>
              </a:ext>
            </a:extLst>
          </xdr:cNvPr>
          <xdr:cNvSpPr>
            <a:spLocks noChangeAspect="1"/>
          </xdr:cNvSpPr>
        </xdr:nvSpPr>
        <xdr:spPr>
          <a:xfrm>
            <a:off x="0" y="0"/>
            <a:ext cx="91477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4" name="Rounded Rectangle 3">
            <a:extLst>
              <a:ext uri="{FF2B5EF4-FFF2-40B4-BE49-F238E27FC236}">
                <a16:creationId xmlns:a16="http://schemas.microsoft.com/office/drawing/2014/main" id="{00000000-0008-0000-3900-000004000000}"/>
              </a:ext>
            </a:extLst>
          </xdr:cNvPr>
          <xdr:cNvSpPr>
            <a:spLocks noChangeAspect="1"/>
          </xdr:cNvSpPr>
        </xdr:nvSpPr>
        <xdr:spPr>
          <a:xfrm>
            <a:off x="952883" y="0"/>
            <a:ext cx="1189201"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GoTo_IncomeRentSummaryLight_Table" textlink="">
        <xdr:nvSpPr>
          <xdr:cNvPr id="5" name="Rounded Rectangle 4">
            <a:extLst>
              <a:ext uri="{FF2B5EF4-FFF2-40B4-BE49-F238E27FC236}">
                <a16:creationId xmlns:a16="http://schemas.microsoft.com/office/drawing/2014/main" id="{00000000-0008-0000-3900-000005000000}"/>
              </a:ext>
            </a:extLst>
          </xdr:cNvPr>
          <xdr:cNvSpPr>
            <a:spLocks noChangeAspect="1"/>
          </xdr:cNvSpPr>
        </xdr:nvSpPr>
        <xdr:spPr>
          <a:xfrm>
            <a:off x="2181054" y="0"/>
            <a:ext cx="1463632"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Summary Light</a:t>
            </a:r>
          </a:p>
        </xdr:txBody>
      </xdr:sp>
      <xdr:sp macro="[0]!GoTo_IncomeRentSummaryDetail_Table" textlink="">
        <xdr:nvSpPr>
          <xdr:cNvPr id="6" name="Rounded Rectangle 5">
            <a:extLst>
              <a:ext uri="{FF2B5EF4-FFF2-40B4-BE49-F238E27FC236}">
                <a16:creationId xmlns:a16="http://schemas.microsoft.com/office/drawing/2014/main" id="{00000000-0008-0000-3900-000006000000}"/>
              </a:ext>
            </a:extLst>
          </xdr:cNvPr>
          <xdr:cNvSpPr>
            <a:spLocks noChangeAspect="1"/>
          </xdr:cNvSpPr>
        </xdr:nvSpPr>
        <xdr:spPr>
          <a:xfrm>
            <a:off x="3684494" y="0"/>
            <a:ext cx="1646586"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Summary Detailed</a:t>
            </a:r>
          </a:p>
        </xdr:txBody>
      </xdr:sp>
      <xdr:sp macro="[0]!GoTo_IncomeRentAutoAdjustment_Tables" textlink="">
        <xdr:nvSpPr>
          <xdr:cNvPr id="7" name="Rounded Rectangle 6">
            <a:extLst>
              <a:ext uri="{FF2B5EF4-FFF2-40B4-BE49-F238E27FC236}">
                <a16:creationId xmlns:a16="http://schemas.microsoft.com/office/drawing/2014/main" id="{00000000-0008-0000-3900-000007000000}"/>
              </a:ext>
            </a:extLst>
          </xdr:cNvPr>
          <xdr:cNvSpPr>
            <a:spLocks noChangeAspect="1"/>
          </xdr:cNvSpPr>
        </xdr:nvSpPr>
        <xdr:spPr>
          <a:xfrm>
            <a:off x="5367923" y="0"/>
            <a:ext cx="1463632"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a:t>
            </a:r>
            <a:r>
              <a:rPr lang="en-US" sz="1200" b="1" baseline="0">
                <a:latin typeface="Segoe UI" panose="020B0502040204020203" pitchFamily="34" charset="0"/>
                <a:cs typeface="Segoe UI" panose="020B0502040204020203" pitchFamily="34" charset="0"/>
              </a:rPr>
              <a:t> Comp. Automated Adj.</a:t>
            </a:r>
            <a:endParaRPr lang="en-US" sz="1200" b="1">
              <a:latin typeface="Segoe UI" panose="020B0502040204020203" pitchFamily="34" charset="0"/>
              <a:cs typeface="Segoe UI" panose="020B0502040204020203" pitchFamily="34" charset="0"/>
            </a:endParaRPr>
          </a:p>
        </xdr:txBody>
      </xdr:sp>
      <xdr:sp macro="[0]!Update_RentAdjustGrid_Bucket1" textlink="">
        <xdr:nvSpPr>
          <xdr:cNvPr id="8" name="Rounded Rectangle 7">
            <a:extLst>
              <a:ext uri="{FF2B5EF4-FFF2-40B4-BE49-F238E27FC236}">
                <a16:creationId xmlns:a16="http://schemas.microsoft.com/office/drawing/2014/main" id="{00000000-0008-0000-3900-000008000000}"/>
              </a:ext>
            </a:extLst>
          </xdr:cNvPr>
          <xdr:cNvSpPr>
            <a:spLocks noChangeAspect="1"/>
          </xdr:cNvSpPr>
        </xdr:nvSpPr>
        <xdr:spPr>
          <a:xfrm>
            <a:off x="8237301" y="793749"/>
            <a:ext cx="91477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a:t>
            </a:r>
          </a:p>
        </xdr:txBody>
      </xdr:sp>
      <xdr:sp macro="[0]!Default_RentAdjustGrid_Bucket1" textlink="">
        <xdr:nvSpPr>
          <xdr:cNvPr id="9" name="Rounded Rectangle 8">
            <a:extLst>
              <a:ext uri="{FF2B5EF4-FFF2-40B4-BE49-F238E27FC236}">
                <a16:creationId xmlns:a16="http://schemas.microsoft.com/office/drawing/2014/main" id="{00000000-0008-0000-3900-000009000000}"/>
              </a:ext>
            </a:extLst>
          </xdr:cNvPr>
          <xdr:cNvSpPr>
            <a:spLocks noChangeAspect="1"/>
          </xdr:cNvSpPr>
        </xdr:nvSpPr>
        <xdr:spPr>
          <a:xfrm>
            <a:off x="9200773" y="793749"/>
            <a:ext cx="91477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sp macro="[0]!ShowDialogRentAdjB1" textlink="">
        <xdr:nvSpPr>
          <xdr:cNvPr id="10" name="Rounded Rectangle 9">
            <a:extLst>
              <a:ext uri="{FF2B5EF4-FFF2-40B4-BE49-F238E27FC236}">
                <a16:creationId xmlns:a16="http://schemas.microsoft.com/office/drawing/2014/main" id="{00000000-0008-0000-3900-00000A000000}"/>
              </a:ext>
            </a:extLst>
          </xdr:cNvPr>
          <xdr:cNvSpPr>
            <a:spLocks noChangeAspect="1"/>
          </xdr:cNvSpPr>
        </xdr:nvSpPr>
        <xdr:spPr>
          <a:xfrm>
            <a:off x="6871370" y="0"/>
            <a:ext cx="1646586"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Select Adjustment Categories</a:t>
            </a:r>
          </a:p>
        </xdr:txBody>
      </xdr:sp>
      <xdr:sp macro="[0]!GoTo_IncomeRentAdjustment_Conclusion" textlink="">
        <xdr:nvSpPr>
          <xdr:cNvPr id="11" name="Rounded Rectangle 10">
            <a:extLst>
              <a:ext uri="{FF2B5EF4-FFF2-40B4-BE49-F238E27FC236}">
                <a16:creationId xmlns:a16="http://schemas.microsoft.com/office/drawing/2014/main" id="{00000000-0008-0000-3900-00000B000000}"/>
              </a:ext>
            </a:extLst>
          </xdr:cNvPr>
          <xdr:cNvSpPr>
            <a:spLocks noChangeAspect="1"/>
          </xdr:cNvSpPr>
        </xdr:nvSpPr>
        <xdr:spPr>
          <a:xfrm>
            <a:off x="8559352" y="6291"/>
            <a:ext cx="1555109"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Conclusion</a:t>
            </a:r>
          </a:p>
        </xdr:txBody>
      </xdr:sp>
      <xdr:sp macro="[0]!ShowUserFormTemplateAssumptions" textlink="">
        <xdr:nvSpPr>
          <xdr:cNvPr id="12" name="Rounded Rectangle 11">
            <a:extLst>
              <a:ext uri="{FF2B5EF4-FFF2-40B4-BE49-F238E27FC236}">
                <a16:creationId xmlns:a16="http://schemas.microsoft.com/office/drawing/2014/main" id="{00000000-0008-0000-3900-00000C000000}"/>
              </a:ext>
            </a:extLst>
          </xdr:cNvPr>
          <xdr:cNvSpPr>
            <a:spLocks noChangeAspect="1"/>
          </xdr:cNvSpPr>
        </xdr:nvSpPr>
        <xdr:spPr>
          <a:xfrm>
            <a:off x="6995576" y="793749"/>
            <a:ext cx="1192289" cy="729481"/>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latin typeface="Segoe UI" panose="020B0502040204020203" pitchFamily="34" charset="0"/>
                <a:cs typeface="Segoe UI" panose="020B0502040204020203" pitchFamily="34" charset="0"/>
              </a:rPr>
              <a:t>Template</a:t>
            </a:r>
            <a:r>
              <a:rPr lang="en-US" sz="1200" b="1" baseline="0">
                <a:solidFill>
                  <a:schemeClr val="tx1"/>
                </a:solidFill>
                <a:latin typeface="Segoe UI" panose="020B0502040204020203" pitchFamily="34" charset="0"/>
                <a:cs typeface="Segoe UI" panose="020B0502040204020203" pitchFamily="34" charset="0"/>
              </a:rPr>
              <a:t> Assumptions</a:t>
            </a:r>
            <a:endParaRPr lang="en-US" sz="1200" b="1">
              <a:solidFill>
                <a:schemeClr val="tx1"/>
              </a:solidFill>
              <a:latin typeface="Segoe UI" panose="020B0502040204020203" pitchFamily="34" charset="0"/>
              <a:cs typeface="Segoe UI" panose="020B0502040204020203" pitchFamily="34" charset="0"/>
            </a:endParaRPr>
          </a:p>
        </xdr:txBody>
      </xdr:sp>
    </xdr:grpSp>
    <xdr:clientData/>
  </xdr:twoCellAnchor>
  <xdr:twoCellAnchor editAs="absolute">
    <xdr:from>
      <xdr:col>16</xdr:col>
      <xdr:colOff>570441</xdr:colOff>
      <xdr:row>0</xdr:row>
      <xdr:rowOff>0</xdr:rowOff>
    </xdr:from>
    <xdr:to>
      <xdr:col>27</xdr:col>
      <xdr:colOff>448732</xdr:colOff>
      <xdr:row>6</xdr:row>
      <xdr:rowOff>41275</xdr:rowOff>
    </xdr:to>
    <xdr:sp macro="" textlink="">
      <xdr:nvSpPr>
        <xdr:cNvPr id="13" name="TextBox 12">
          <a:hlinkClick xmlns:r="http://schemas.openxmlformats.org/officeDocument/2006/relationships" r:id="rId1"/>
          <a:extLst>
            <a:ext uri="{FF2B5EF4-FFF2-40B4-BE49-F238E27FC236}">
              <a16:creationId xmlns:a16="http://schemas.microsoft.com/office/drawing/2014/main" id="{00000000-0008-0000-3900-00000D000000}"/>
            </a:ext>
          </a:extLst>
        </xdr:cNvPr>
        <xdr:cNvSpPr txBox="1"/>
      </xdr:nvSpPr>
      <xdr:spPr>
        <a:xfrm>
          <a:off x="10900833" y="0"/>
          <a:ext cx="8482541" cy="1809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Make sure all proper assumptions have been selected in Rent Assumptions Section including Adjustment Categories</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User inputs in cells with white background only (%, whole $ or $/unit adjustments may be used regardless of selected display)</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Use Insert Manager to merge data for User Defined adjustment categories if desired (see cell comments for additional instructions)</a:t>
          </a: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4. Press</a:t>
          </a:r>
          <a:r>
            <a:rPr lang="en-US" sz="1000" b="1" baseline="0">
              <a:effectLst/>
              <a:latin typeface="Segoe UI" panose="020B0502040204020203" pitchFamily="34" charset="0"/>
              <a:cs typeface="Segoe UI" panose="020B0502040204020203" pitchFamily="34" charset="0"/>
            </a:rPr>
            <a:t> "Update" Button when complete - removes background colors/cell comment indicators, hides rows &amp; sets print area</a:t>
          </a: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5. Press "Default" Button to add</a:t>
          </a:r>
          <a:r>
            <a:rPr lang="en-US" sz="1000" b="1" baseline="0">
              <a:effectLst/>
              <a:latin typeface="Segoe UI" panose="020B0502040204020203" pitchFamily="34" charset="0"/>
              <a:cs typeface="Segoe UI" panose="020B0502040204020203" pitchFamily="34" charset="0"/>
            </a:rPr>
            <a:t> background colors/cell comment indicators &amp; unhide all rows to modify prior input</a:t>
          </a:r>
        </a:p>
        <a:p>
          <a:pPr algn="l" rtl="0">
            <a:spcBef>
              <a:spcPts val="300"/>
            </a:spcBef>
            <a:spcAft>
              <a:spcPts val="300"/>
            </a:spcAft>
          </a:pPr>
          <a:r>
            <a:rPr lang="en-US" sz="1000" b="1" baseline="0">
              <a:solidFill>
                <a:schemeClr val="dk1"/>
              </a:solidFill>
              <a:effectLst/>
              <a:latin typeface="Segoe UI" panose="020B0502040204020203" pitchFamily="34" charset="0"/>
              <a:ea typeface="+mn-ea"/>
              <a:cs typeface="Segoe UI" panose="020B0502040204020203" pitchFamily="34" charset="0"/>
            </a:rPr>
            <a:t>6. Note that Adjustment Entries DO NOT move if a Datappraise merge results in comparables moving</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b="1" u="sng">
            <a:solidFill>
              <a:srgbClr val="0000FF"/>
            </a:solidFill>
            <a:effectLst/>
            <a:latin typeface="Segoe UI" panose="020B0502040204020203" pitchFamily="34" charset="0"/>
            <a:cs typeface="Segoe UI" panose="020B0502040204020203" pitchFamily="34" charset="0"/>
          </a:endParaRPr>
        </a:p>
      </xdr:txBody>
    </xdr: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16</xdr:col>
      <xdr:colOff>566208</xdr:colOff>
      <xdr:row>0</xdr:row>
      <xdr:rowOff>0</xdr:rowOff>
    </xdr:from>
    <xdr:to>
      <xdr:col>27</xdr:col>
      <xdr:colOff>444499</xdr:colOff>
      <xdr:row>6</xdr:row>
      <xdr:rowOff>41275</xdr:rowOff>
    </xdr:to>
    <xdr:sp macro="" textlink="">
      <xdr:nvSpPr>
        <xdr:cNvPr id="2" name="TextBox 1">
          <a:hlinkClick xmlns:r="http://schemas.openxmlformats.org/officeDocument/2006/relationships" r:id="rId1"/>
          <a:extLst>
            <a:ext uri="{FF2B5EF4-FFF2-40B4-BE49-F238E27FC236}">
              <a16:creationId xmlns:a16="http://schemas.microsoft.com/office/drawing/2014/main" id="{00000000-0008-0000-3A00-000002000000}"/>
            </a:ext>
          </a:extLst>
        </xdr:cNvPr>
        <xdr:cNvSpPr txBox="1"/>
      </xdr:nvSpPr>
      <xdr:spPr>
        <a:xfrm>
          <a:off x="10900833" y="0"/>
          <a:ext cx="8482541" cy="1809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Make sure all proper assumptions have been selected in Rent Assumptions Section including Adjustment Categories</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User inputs in cells with white background only (%, whole $ or $/unit adjustments may be used regardless of selected display)</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Use Insert Manager to merge data for User Defined adjustment categories if desired (see cell comments for additional instructions)</a:t>
          </a: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4. Press</a:t>
          </a:r>
          <a:r>
            <a:rPr lang="en-US" sz="1000" b="1" baseline="0">
              <a:effectLst/>
              <a:latin typeface="Segoe UI" panose="020B0502040204020203" pitchFamily="34" charset="0"/>
              <a:cs typeface="Segoe UI" panose="020B0502040204020203" pitchFamily="34" charset="0"/>
            </a:rPr>
            <a:t> "Update" Button when complete - removes background colors/cell comment indicators, hides rows &amp; sets print area</a:t>
          </a: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5. Press "Default" Button to add</a:t>
          </a:r>
          <a:r>
            <a:rPr lang="en-US" sz="1000" b="1" baseline="0">
              <a:effectLst/>
              <a:latin typeface="Segoe UI" panose="020B0502040204020203" pitchFamily="34" charset="0"/>
              <a:cs typeface="Segoe UI" panose="020B0502040204020203" pitchFamily="34" charset="0"/>
            </a:rPr>
            <a:t> background colors/cell comment indicators &amp; unhide all rows to modify prior input</a:t>
          </a:r>
        </a:p>
        <a:p>
          <a:pPr algn="l" rtl="0">
            <a:spcBef>
              <a:spcPts val="300"/>
            </a:spcBef>
            <a:spcAft>
              <a:spcPts val="300"/>
            </a:spcAft>
          </a:pPr>
          <a:r>
            <a:rPr lang="en-US" sz="1000" b="1" baseline="0">
              <a:solidFill>
                <a:schemeClr val="dk1"/>
              </a:solidFill>
              <a:effectLst/>
              <a:latin typeface="Segoe UI" panose="020B0502040204020203" pitchFamily="34" charset="0"/>
              <a:ea typeface="+mn-ea"/>
              <a:cs typeface="Segoe UI" panose="020B0502040204020203" pitchFamily="34" charset="0"/>
            </a:rPr>
            <a:t>6. Note that Adjustment Entries DO NOT move if a Datappraise merge results in comparables moving</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b="1"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12</xdr:col>
      <xdr:colOff>46561</xdr:colOff>
      <xdr:row>4</xdr:row>
      <xdr:rowOff>154727</xdr:rowOff>
    </xdr:to>
    <xdr:grpSp>
      <xdr:nvGrpSpPr>
        <xdr:cNvPr id="3" name="Group 2">
          <a:extLst>
            <a:ext uri="{FF2B5EF4-FFF2-40B4-BE49-F238E27FC236}">
              <a16:creationId xmlns:a16="http://schemas.microsoft.com/office/drawing/2014/main" id="{00000000-0008-0000-3A00-000003000000}"/>
            </a:ext>
          </a:extLst>
        </xdr:cNvPr>
        <xdr:cNvGrpSpPr/>
      </xdr:nvGrpSpPr>
      <xdr:grpSpPr>
        <a:xfrm>
          <a:off x="0" y="0"/>
          <a:ext cx="10066861" cy="1516802"/>
          <a:chOff x="0" y="0"/>
          <a:chExt cx="10115543" cy="1525269"/>
        </a:xfrm>
      </xdr:grpSpPr>
      <xdr:sp macro="[0]!GoTo_Main" textlink="">
        <xdr:nvSpPr>
          <xdr:cNvPr id="4" name="Rounded Rectangle 3">
            <a:extLst>
              <a:ext uri="{FF2B5EF4-FFF2-40B4-BE49-F238E27FC236}">
                <a16:creationId xmlns:a16="http://schemas.microsoft.com/office/drawing/2014/main" id="{00000000-0008-0000-3A00-000004000000}"/>
              </a:ext>
            </a:extLst>
          </xdr:cNvPr>
          <xdr:cNvSpPr>
            <a:spLocks noChangeAspect="1"/>
          </xdr:cNvSpPr>
        </xdr:nvSpPr>
        <xdr:spPr>
          <a:xfrm>
            <a:off x="0" y="0"/>
            <a:ext cx="91477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5" name="Rounded Rectangle 4">
            <a:extLst>
              <a:ext uri="{FF2B5EF4-FFF2-40B4-BE49-F238E27FC236}">
                <a16:creationId xmlns:a16="http://schemas.microsoft.com/office/drawing/2014/main" id="{00000000-0008-0000-3A00-000005000000}"/>
              </a:ext>
            </a:extLst>
          </xdr:cNvPr>
          <xdr:cNvSpPr>
            <a:spLocks noChangeAspect="1"/>
          </xdr:cNvSpPr>
        </xdr:nvSpPr>
        <xdr:spPr>
          <a:xfrm>
            <a:off x="952883" y="0"/>
            <a:ext cx="1189201"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GoTo_IncomeRentSummaryLight_Table" textlink="">
        <xdr:nvSpPr>
          <xdr:cNvPr id="6" name="Rounded Rectangle 5">
            <a:extLst>
              <a:ext uri="{FF2B5EF4-FFF2-40B4-BE49-F238E27FC236}">
                <a16:creationId xmlns:a16="http://schemas.microsoft.com/office/drawing/2014/main" id="{00000000-0008-0000-3A00-000006000000}"/>
              </a:ext>
            </a:extLst>
          </xdr:cNvPr>
          <xdr:cNvSpPr>
            <a:spLocks noChangeAspect="1"/>
          </xdr:cNvSpPr>
        </xdr:nvSpPr>
        <xdr:spPr>
          <a:xfrm>
            <a:off x="2181054" y="0"/>
            <a:ext cx="1463632"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Summary Light</a:t>
            </a:r>
          </a:p>
        </xdr:txBody>
      </xdr:sp>
      <xdr:sp macro="[0]!GoTo_IncomeRentSummaryDetail_Table" textlink="">
        <xdr:nvSpPr>
          <xdr:cNvPr id="7" name="Rounded Rectangle 6">
            <a:extLst>
              <a:ext uri="{FF2B5EF4-FFF2-40B4-BE49-F238E27FC236}">
                <a16:creationId xmlns:a16="http://schemas.microsoft.com/office/drawing/2014/main" id="{00000000-0008-0000-3A00-000007000000}"/>
              </a:ext>
            </a:extLst>
          </xdr:cNvPr>
          <xdr:cNvSpPr>
            <a:spLocks noChangeAspect="1"/>
          </xdr:cNvSpPr>
        </xdr:nvSpPr>
        <xdr:spPr>
          <a:xfrm>
            <a:off x="3684494" y="0"/>
            <a:ext cx="1646586"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Summary Detailed</a:t>
            </a:r>
          </a:p>
        </xdr:txBody>
      </xdr:sp>
      <xdr:sp macro="[0]!GoTo_IncomeRentAutoAdjustment_Tables" textlink="">
        <xdr:nvSpPr>
          <xdr:cNvPr id="8" name="Rounded Rectangle 7">
            <a:extLst>
              <a:ext uri="{FF2B5EF4-FFF2-40B4-BE49-F238E27FC236}">
                <a16:creationId xmlns:a16="http://schemas.microsoft.com/office/drawing/2014/main" id="{00000000-0008-0000-3A00-000008000000}"/>
              </a:ext>
            </a:extLst>
          </xdr:cNvPr>
          <xdr:cNvSpPr>
            <a:spLocks noChangeAspect="1"/>
          </xdr:cNvSpPr>
        </xdr:nvSpPr>
        <xdr:spPr>
          <a:xfrm>
            <a:off x="5367923" y="0"/>
            <a:ext cx="1463632"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a:t>
            </a:r>
            <a:r>
              <a:rPr lang="en-US" sz="1200" b="1" baseline="0">
                <a:latin typeface="Segoe UI" panose="020B0502040204020203" pitchFamily="34" charset="0"/>
                <a:cs typeface="Segoe UI" panose="020B0502040204020203" pitchFamily="34" charset="0"/>
              </a:rPr>
              <a:t> Comp. Automated Adj.</a:t>
            </a:r>
            <a:endParaRPr lang="en-US" sz="1200" b="1">
              <a:latin typeface="Segoe UI" panose="020B0502040204020203" pitchFamily="34" charset="0"/>
              <a:cs typeface="Segoe UI" panose="020B0502040204020203" pitchFamily="34" charset="0"/>
            </a:endParaRPr>
          </a:p>
        </xdr:txBody>
      </xdr:sp>
      <xdr:sp macro="[0]!Update_RentAdjustGrid_Bucket2" textlink="">
        <xdr:nvSpPr>
          <xdr:cNvPr id="9" name="Rounded Rectangle 8">
            <a:extLst>
              <a:ext uri="{FF2B5EF4-FFF2-40B4-BE49-F238E27FC236}">
                <a16:creationId xmlns:a16="http://schemas.microsoft.com/office/drawing/2014/main" id="{00000000-0008-0000-3A00-000009000000}"/>
              </a:ext>
            </a:extLst>
          </xdr:cNvPr>
          <xdr:cNvSpPr>
            <a:spLocks noChangeAspect="1"/>
          </xdr:cNvSpPr>
        </xdr:nvSpPr>
        <xdr:spPr>
          <a:xfrm>
            <a:off x="8237301" y="793749"/>
            <a:ext cx="91477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a:t>
            </a:r>
          </a:p>
        </xdr:txBody>
      </xdr:sp>
      <xdr:sp macro="[0]!Default_RentAdjustGrid_Bucket2" textlink="">
        <xdr:nvSpPr>
          <xdr:cNvPr id="10" name="Rounded Rectangle 9">
            <a:extLst>
              <a:ext uri="{FF2B5EF4-FFF2-40B4-BE49-F238E27FC236}">
                <a16:creationId xmlns:a16="http://schemas.microsoft.com/office/drawing/2014/main" id="{00000000-0008-0000-3A00-00000A000000}"/>
              </a:ext>
            </a:extLst>
          </xdr:cNvPr>
          <xdr:cNvSpPr>
            <a:spLocks noChangeAspect="1"/>
          </xdr:cNvSpPr>
        </xdr:nvSpPr>
        <xdr:spPr>
          <a:xfrm>
            <a:off x="9200773" y="793749"/>
            <a:ext cx="91477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sp macro="[0]!ShowDialogRentAdjB2" textlink="">
        <xdr:nvSpPr>
          <xdr:cNvPr id="11" name="Rounded Rectangle 10">
            <a:extLst>
              <a:ext uri="{FF2B5EF4-FFF2-40B4-BE49-F238E27FC236}">
                <a16:creationId xmlns:a16="http://schemas.microsoft.com/office/drawing/2014/main" id="{00000000-0008-0000-3A00-00000B000000}"/>
              </a:ext>
            </a:extLst>
          </xdr:cNvPr>
          <xdr:cNvSpPr>
            <a:spLocks noChangeAspect="1"/>
          </xdr:cNvSpPr>
        </xdr:nvSpPr>
        <xdr:spPr>
          <a:xfrm>
            <a:off x="6871370" y="0"/>
            <a:ext cx="1646586"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Select Adjustment Categories</a:t>
            </a:r>
          </a:p>
        </xdr:txBody>
      </xdr:sp>
      <xdr:sp macro="[0]!GoTo_IncomeRentAdjustment_Conclusion" textlink="">
        <xdr:nvSpPr>
          <xdr:cNvPr id="12" name="Rounded Rectangle 11">
            <a:extLst>
              <a:ext uri="{FF2B5EF4-FFF2-40B4-BE49-F238E27FC236}">
                <a16:creationId xmlns:a16="http://schemas.microsoft.com/office/drawing/2014/main" id="{00000000-0008-0000-3A00-00000C000000}"/>
              </a:ext>
            </a:extLst>
          </xdr:cNvPr>
          <xdr:cNvSpPr>
            <a:spLocks noChangeAspect="1"/>
          </xdr:cNvSpPr>
        </xdr:nvSpPr>
        <xdr:spPr>
          <a:xfrm>
            <a:off x="8559352" y="6291"/>
            <a:ext cx="1555109"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Conclusion</a:t>
            </a:r>
          </a:p>
        </xdr:txBody>
      </xdr:sp>
      <xdr:sp macro="[0]!ShowUserFormTemplateAssumptions" textlink="">
        <xdr:nvSpPr>
          <xdr:cNvPr id="13" name="Rounded Rectangle 12">
            <a:extLst>
              <a:ext uri="{FF2B5EF4-FFF2-40B4-BE49-F238E27FC236}">
                <a16:creationId xmlns:a16="http://schemas.microsoft.com/office/drawing/2014/main" id="{00000000-0008-0000-3A00-00000D000000}"/>
              </a:ext>
            </a:extLst>
          </xdr:cNvPr>
          <xdr:cNvSpPr>
            <a:spLocks noChangeAspect="1"/>
          </xdr:cNvSpPr>
        </xdr:nvSpPr>
        <xdr:spPr>
          <a:xfrm>
            <a:off x="6995576" y="793749"/>
            <a:ext cx="1192289" cy="729481"/>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tx1"/>
                </a:solidFill>
                <a:latin typeface="Segoe UI" panose="020B0502040204020203" pitchFamily="34" charset="0"/>
                <a:cs typeface="Segoe UI" panose="020B0502040204020203" pitchFamily="34" charset="0"/>
              </a:rPr>
              <a:t>Template</a:t>
            </a:r>
            <a:r>
              <a:rPr lang="en-US" sz="1200" b="1" baseline="0">
                <a:solidFill>
                  <a:schemeClr val="tx1"/>
                </a:solidFill>
                <a:latin typeface="Segoe UI" panose="020B0502040204020203" pitchFamily="34" charset="0"/>
                <a:cs typeface="Segoe UI" panose="020B0502040204020203" pitchFamily="34" charset="0"/>
              </a:rPr>
              <a:t> Assumptions</a:t>
            </a:r>
            <a:endParaRPr lang="en-US" sz="1200" b="1">
              <a:solidFill>
                <a:schemeClr val="tx1"/>
              </a:solidFill>
              <a:latin typeface="Segoe UI" panose="020B0502040204020203" pitchFamily="34" charset="0"/>
              <a:cs typeface="Segoe UI" panose="020B0502040204020203" pitchFamily="34" charset="0"/>
            </a:endParaRPr>
          </a:p>
        </xdr:txBody>
      </xdr:sp>
    </xdr:grpSp>
    <xdr:clientData/>
  </xdr:twoCellAnchor>
</xdr:wsDr>
</file>

<file path=xl/drawings/drawing49.xml><?xml version="1.0" encoding="utf-8"?>
<xdr:wsDr xmlns:xdr="http://schemas.openxmlformats.org/drawingml/2006/spreadsheetDrawing" xmlns:a="http://schemas.openxmlformats.org/drawingml/2006/main">
  <xdr:twoCellAnchor editAs="oneCell">
    <xdr:from>
      <xdr:col>24</xdr:col>
      <xdr:colOff>92071</xdr:colOff>
      <xdr:row>0</xdr:row>
      <xdr:rowOff>53975</xdr:rowOff>
    </xdr:from>
    <xdr:to>
      <xdr:col>29</xdr:col>
      <xdr:colOff>161925</xdr:colOff>
      <xdr:row>3</xdr:row>
      <xdr:rowOff>133351</xdr:rowOff>
    </xdr:to>
    <xdr:sp macro="" textlink="">
      <xdr:nvSpPr>
        <xdr:cNvPr id="45" name="TextBox 44">
          <a:hlinkClick xmlns:r="http://schemas.openxmlformats.org/officeDocument/2006/relationships" r:id="rId1"/>
          <a:extLst>
            <a:ext uri="{FF2B5EF4-FFF2-40B4-BE49-F238E27FC236}">
              <a16:creationId xmlns:a16="http://schemas.microsoft.com/office/drawing/2014/main" id="{00000000-0008-0000-3B00-00002D000000}"/>
            </a:ext>
          </a:extLst>
        </xdr:cNvPr>
        <xdr:cNvSpPr txBox="1">
          <a:spLocks noChangeAspect="1"/>
        </xdr:cNvSpPr>
      </xdr:nvSpPr>
      <xdr:spPr>
        <a:xfrm>
          <a:off x="13646146" y="53975"/>
          <a:ext cx="7642229" cy="1546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900" b="1" i="0" baseline="0">
              <a:solidFill>
                <a:schemeClr val="dk1"/>
              </a:solidFill>
              <a:effectLst/>
              <a:latin typeface="Segoe UI" panose="020B0502040204020203" pitchFamily="34" charset="0"/>
              <a:ea typeface="+mn-ea"/>
              <a:cs typeface="Segoe UI" panose="020B0502040204020203" pitchFamily="34" charset="0"/>
            </a:rPr>
            <a:t>1. Data may be populated through ARGUS Import or Datappraise Merge.  User must select method being used in Income Assumptions.</a:t>
          </a:r>
        </a:p>
        <a:p>
          <a:pPr algn="l" rtl="0">
            <a:spcBef>
              <a:spcPts val="300"/>
            </a:spcBef>
            <a:spcAft>
              <a:spcPts val="300"/>
            </a:spcAft>
          </a:pPr>
          <a:r>
            <a:rPr lang="en-US" sz="900" b="1" i="0" baseline="0">
              <a:solidFill>
                <a:schemeClr val="dk1"/>
              </a:solidFill>
              <a:effectLst/>
              <a:latin typeface="Segoe UI" panose="020B0502040204020203" pitchFamily="34" charset="0"/>
              <a:ea typeface="+mn-ea"/>
              <a:cs typeface="Segoe UI" panose="020B0502040204020203" pitchFamily="34" charset="0"/>
            </a:rPr>
            <a:t>2. ARGUS Import requires ARGUS Tenant Rent Roll, which is included in Shared "VPA Template" Report Package</a:t>
          </a:r>
        </a:p>
        <a:p>
          <a:pPr algn="l" rtl="0">
            <a:spcBef>
              <a:spcPts val="300"/>
            </a:spcBef>
            <a:spcAft>
              <a:spcPts val="300"/>
            </a:spcAft>
          </a:pPr>
          <a:r>
            <a:rPr lang="en-US" sz="900" b="1" i="0" baseline="0">
              <a:solidFill>
                <a:schemeClr val="dk1"/>
              </a:solidFill>
              <a:effectLst/>
              <a:latin typeface="Segoe UI" panose="020B0502040204020203" pitchFamily="34" charset="0"/>
              <a:ea typeface="+mn-ea"/>
              <a:cs typeface="Segoe UI" panose="020B0502040204020203" pitchFamily="34" charset="0"/>
            </a:rPr>
            <a:t>3. </a:t>
          </a:r>
          <a:r>
            <a:rPr lang="en-US" sz="1100" b="1" i="0" baseline="0">
              <a:solidFill>
                <a:schemeClr val="dk1"/>
              </a:solidFill>
              <a:effectLst/>
              <a:latin typeface="+mn-lt"/>
              <a:ea typeface="+mn-ea"/>
              <a:cs typeface="+mn-cs"/>
            </a:rPr>
            <a:t>. Space Category Selections in Column S must be made for each tenant</a:t>
          </a:r>
          <a:endParaRPr lang="en-US" sz="900" b="1" i="0" baseline="0">
            <a:solidFill>
              <a:schemeClr val="dk1"/>
            </a:solidFill>
            <a:effectLst/>
            <a:latin typeface="Segoe UI" panose="020B0502040204020203" pitchFamily="34" charset="0"/>
            <a:ea typeface="+mn-ea"/>
            <a:cs typeface="Segoe UI" panose="020B0502040204020203" pitchFamily="34" charset="0"/>
          </a:endParaRPr>
        </a:p>
        <a:p>
          <a:pPr algn="l" rtl="0">
            <a:spcBef>
              <a:spcPts val="300"/>
            </a:spcBef>
            <a:spcAft>
              <a:spcPts val="300"/>
            </a:spcAft>
          </a:pPr>
          <a:r>
            <a:rPr lang="en-US" sz="900" b="1">
              <a:solidFill>
                <a:schemeClr val="dk1"/>
              </a:solidFill>
              <a:effectLst/>
              <a:latin typeface="Segoe UI" panose="020B0502040204020203" pitchFamily="34" charset="0"/>
              <a:ea typeface="+mn-ea"/>
              <a:cs typeface="Segoe UI" panose="020B0502040204020203" pitchFamily="34" charset="0"/>
            </a:rPr>
            <a:t>4. Press</a:t>
          </a:r>
          <a:r>
            <a:rPr lang="en-US" sz="9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900">
            <a:effectLst/>
            <a:latin typeface="Segoe UI" panose="020B0502040204020203" pitchFamily="34" charset="0"/>
            <a:cs typeface="Segoe UI" panose="020B0502040204020203" pitchFamily="34" charset="0"/>
          </a:endParaRPr>
        </a:p>
        <a:p>
          <a:pPr algn="l" rtl="0">
            <a:spcBef>
              <a:spcPts val="300"/>
            </a:spcBef>
            <a:spcAft>
              <a:spcPts val="300"/>
            </a:spcAft>
          </a:pPr>
          <a:r>
            <a:rPr lang="en-US" sz="900" b="1">
              <a:solidFill>
                <a:schemeClr val="dk1"/>
              </a:solidFill>
              <a:effectLst/>
              <a:latin typeface="Segoe UI" panose="020B0502040204020203" pitchFamily="34" charset="0"/>
              <a:ea typeface="+mn-ea"/>
              <a:cs typeface="Segoe UI" panose="020B0502040204020203" pitchFamily="34" charset="0"/>
            </a:rPr>
            <a:t>5. Press "Default" Button to </a:t>
          </a:r>
          <a:r>
            <a:rPr lang="en-US" sz="9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9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9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3</xdr:col>
      <xdr:colOff>34433</xdr:colOff>
      <xdr:row>0</xdr:row>
      <xdr:rowOff>731520</xdr:rowOff>
    </xdr:to>
    <xdr:sp macro="[0]!GoTo_Main" textlink="">
      <xdr:nvSpPr>
        <xdr:cNvPr id="21" name="Rounded Rectangle 20">
          <a:extLst>
            <a:ext uri="{FF2B5EF4-FFF2-40B4-BE49-F238E27FC236}">
              <a16:creationId xmlns:a16="http://schemas.microsoft.com/office/drawing/2014/main" id="{00000000-0008-0000-3B00-000015000000}"/>
            </a:ext>
          </a:extLst>
        </xdr:cNvPr>
        <xdr:cNvSpPr>
          <a:spLocks noChangeAspect="1"/>
        </xdr:cNvSpPr>
      </xdr:nvSpPr>
      <xdr:spPr>
        <a:xfrm>
          <a:off x="0" y="0"/>
          <a:ext cx="910733"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4</xdr:col>
      <xdr:colOff>25770</xdr:colOff>
      <xdr:row>0</xdr:row>
      <xdr:rowOff>0</xdr:rowOff>
    </xdr:from>
    <xdr:to>
      <xdr:col>4</xdr:col>
      <xdr:colOff>1310283</xdr:colOff>
      <xdr:row>0</xdr:row>
      <xdr:rowOff>731520</xdr:rowOff>
    </xdr:to>
    <xdr:sp macro="[0]!GoTo_IncomeApproachAssumptions_Input" textlink="">
      <xdr:nvSpPr>
        <xdr:cNvPr id="23" name="Rounded Rectangle 22">
          <a:extLst>
            <a:ext uri="{FF2B5EF4-FFF2-40B4-BE49-F238E27FC236}">
              <a16:creationId xmlns:a16="http://schemas.microsoft.com/office/drawing/2014/main" id="{00000000-0008-0000-3B00-000017000000}"/>
            </a:ext>
          </a:extLst>
        </xdr:cNvPr>
        <xdr:cNvSpPr>
          <a:spLocks noChangeAspect="1"/>
        </xdr:cNvSpPr>
      </xdr:nvSpPr>
      <xdr:spPr>
        <a:xfrm>
          <a:off x="959220" y="0"/>
          <a:ext cx="1284513"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 Assumptions</a:t>
          </a:r>
        </a:p>
      </xdr:txBody>
    </xdr:sp>
    <xdr:clientData/>
  </xdr:twoCellAnchor>
  <xdr:twoCellAnchor editAs="absolute">
    <xdr:from>
      <xdr:col>4</xdr:col>
      <xdr:colOff>1343384</xdr:colOff>
      <xdr:row>0</xdr:row>
      <xdr:rowOff>0</xdr:rowOff>
    </xdr:from>
    <xdr:to>
      <xdr:col>7</xdr:col>
      <xdr:colOff>219282</xdr:colOff>
      <xdr:row>0</xdr:row>
      <xdr:rowOff>731520</xdr:rowOff>
    </xdr:to>
    <xdr:sp macro="[0]!GoTo_IncomeRentAutoAdjustment_Tables" textlink="">
      <xdr:nvSpPr>
        <xdr:cNvPr id="25" name="Rounded Rectangle 24">
          <a:extLst>
            <a:ext uri="{FF2B5EF4-FFF2-40B4-BE49-F238E27FC236}">
              <a16:creationId xmlns:a16="http://schemas.microsoft.com/office/drawing/2014/main" id="{00000000-0008-0000-3B00-000019000000}"/>
            </a:ext>
          </a:extLst>
        </xdr:cNvPr>
        <xdr:cNvSpPr>
          <a:spLocks noChangeAspect="1"/>
        </xdr:cNvSpPr>
      </xdr:nvSpPr>
      <xdr:spPr>
        <a:xfrm>
          <a:off x="2276834" y="0"/>
          <a:ext cx="1457173"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Comp. Automated Adj.</a:t>
          </a:r>
        </a:p>
      </xdr:txBody>
    </xdr:sp>
    <xdr:clientData/>
  </xdr:twoCellAnchor>
  <xdr:twoCellAnchor editAs="absolute">
    <xdr:from>
      <xdr:col>7</xdr:col>
      <xdr:colOff>269452</xdr:colOff>
      <xdr:row>0</xdr:row>
      <xdr:rowOff>0</xdr:rowOff>
    </xdr:from>
    <xdr:to>
      <xdr:col>9</xdr:col>
      <xdr:colOff>528679</xdr:colOff>
      <xdr:row>0</xdr:row>
      <xdr:rowOff>731520</xdr:rowOff>
    </xdr:to>
    <xdr:sp macro="[0]!GoTo_IncomeRentRoll_DatappraiseMerge" textlink="">
      <xdr:nvSpPr>
        <xdr:cNvPr id="27" name="RentRoll - 4">
          <a:extLst>
            <a:ext uri="{FF2B5EF4-FFF2-40B4-BE49-F238E27FC236}">
              <a16:creationId xmlns:a16="http://schemas.microsoft.com/office/drawing/2014/main" id="{00000000-0008-0000-3B00-00001B000000}"/>
            </a:ext>
          </a:extLst>
        </xdr:cNvPr>
        <xdr:cNvSpPr>
          <a:spLocks noChangeAspect="1"/>
        </xdr:cNvSpPr>
      </xdr:nvSpPr>
      <xdr:spPr>
        <a:xfrm>
          <a:off x="3784177" y="0"/>
          <a:ext cx="1278402"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prstClr val="white"/>
              </a:solidFill>
              <a:effectLst/>
              <a:uLnTx/>
              <a:uFillTx/>
              <a:latin typeface="Segoe UI" panose="020B0502040204020203" pitchFamily="34" charset="0"/>
              <a:ea typeface="+mn-ea"/>
              <a:cs typeface="Segoe UI" panose="020B0502040204020203" pitchFamily="34" charset="0"/>
            </a:rPr>
            <a:t>Rent Roll - Datappraise Manual Entry</a:t>
          </a:r>
        </a:p>
      </xdr:txBody>
    </xdr:sp>
    <xdr:clientData/>
  </xdr:twoCellAnchor>
  <xdr:twoCellAnchor editAs="absolute">
    <xdr:from>
      <xdr:col>9</xdr:col>
      <xdr:colOff>578681</xdr:colOff>
      <xdr:row>0</xdr:row>
      <xdr:rowOff>0</xdr:rowOff>
    </xdr:from>
    <xdr:to>
      <xdr:col>11</xdr:col>
      <xdr:colOff>7029</xdr:colOff>
      <xdr:row>0</xdr:row>
      <xdr:rowOff>731520</xdr:rowOff>
    </xdr:to>
    <xdr:sp macro="[0]!GoTo_IncomeLeaseExpirationsGraph" textlink="">
      <xdr:nvSpPr>
        <xdr:cNvPr id="28" name="Rounded Rectangle 27">
          <a:extLst>
            <a:ext uri="{FF2B5EF4-FFF2-40B4-BE49-F238E27FC236}">
              <a16:creationId xmlns:a16="http://schemas.microsoft.com/office/drawing/2014/main" id="{00000000-0008-0000-3B00-00001C000000}"/>
            </a:ext>
          </a:extLst>
        </xdr:cNvPr>
        <xdr:cNvSpPr>
          <a:spLocks noChangeAspect="1"/>
        </xdr:cNvSpPr>
      </xdr:nvSpPr>
      <xdr:spPr>
        <a:xfrm>
          <a:off x="5112581" y="0"/>
          <a:ext cx="1457173"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Lease Expiration Chart</a:t>
          </a:r>
        </a:p>
      </xdr:txBody>
    </xdr:sp>
    <xdr:clientData/>
  </xdr:twoCellAnchor>
  <xdr:twoCellAnchor editAs="absolute">
    <xdr:from>
      <xdr:col>11</xdr:col>
      <xdr:colOff>46668</xdr:colOff>
      <xdr:row>0</xdr:row>
      <xdr:rowOff>0</xdr:rowOff>
    </xdr:from>
    <xdr:to>
      <xdr:col>14</xdr:col>
      <xdr:colOff>387663</xdr:colOff>
      <xdr:row>0</xdr:row>
      <xdr:rowOff>731520</xdr:rowOff>
    </xdr:to>
    <xdr:sp macro="[0]!GoTo_IncomeTenantProfileTables" textlink="">
      <xdr:nvSpPr>
        <xdr:cNvPr id="29" name="Rounded Rectangle 28">
          <a:extLst>
            <a:ext uri="{FF2B5EF4-FFF2-40B4-BE49-F238E27FC236}">
              <a16:creationId xmlns:a16="http://schemas.microsoft.com/office/drawing/2014/main" id="{00000000-0008-0000-3B00-00001D000000}"/>
            </a:ext>
          </a:extLst>
        </xdr:cNvPr>
        <xdr:cNvSpPr>
          <a:spLocks noChangeAspect="1"/>
        </xdr:cNvSpPr>
      </xdr:nvSpPr>
      <xdr:spPr>
        <a:xfrm>
          <a:off x="6609393" y="0"/>
          <a:ext cx="16459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Space Type/ Tenant Breakdown</a:t>
          </a:r>
        </a:p>
      </xdr:txBody>
    </xdr:sp>
    <xdr:clientData/>
  </xdr:twoCellAnchor>
  <xdr:twoCellAnchor editAs="absolute">
    <xdr:from>
      <xdr:col>14</xdr:col>
      <xdr:colOff>430446</xdr:colOff>
      <xdr:row>0</xdr:row>
      <xdr:rowOff>0</xdr:rowOff>
    </xdr:from>
    <xdr:to>
      <xdr:col>18</xdr:col>
      <xdr:colOff>853571</xdr:colOff>
      <xdr:row>0</xdr:row>
      <xdr:rowOff>731520</xdr:rowOff>
    </xdr:to>
    <xdr:sp macro="[0]!ImportARGUS_RentRoll" textlink="">
      <xdr:nvSpPr>
        <xdr:cNvPr id="31" name="Rounded Rectangle 30">
          <a:extLst>
            <a:ext uri="{FF2B5EF4-FFF2-40B4-BE49-F238E27FC236}">
              <a16:creationId xmlns:a16="http://schemas.microsoft.com/office/drawing/2014/main" id="{00000000-0008-0000-3B00-00001F000000}"/>
            </a:ext>
          </a:extLst>
        </xdr:cNvPr>
        <xdr:cNvSpPr>
          <a:spLocks noChangeAspect="1"/>
        </xdr:cNvSpPr>
      </xdr:nvSpPr>
      <xdr:spPr>
        <a:xfrm>
          <a:off x="8298096" y="0"/>
          <a:ext cx="13661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Import</a:t>
          </a:r>
          <a:r>
            <a:rPr lang="en-US" sz="1200" b="1" baseline="0">
              <a:solidFill>
                <a:schemeClr val="bg1"/>
              </a:solidFill>
              <a:latin typeface="Segoe UI" panose="020B0502040204020203" pitchFamily="34" charset="0"/>
              <a:cs typeface="Segoe UI" panose="020B0502040204020203" pitchFamily="34" charset="0"/>
            </a:rPr>
            <a:t> ARGUS Rent Roll</a:t>
          </a:r>
          <a:endParaRPr lang="en-US" sz="1200" b="1">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18</xdr:col>
      <xdr:colOff>902535</xdr:colOff>
      <xdr:row>0</xdr:row>
      <xdr:rowOff>0</xdr:rowOff>
    </xdr:from>
    <xdr:to>
      <xdr:col>21</xdr:col>
      <xdr:colOff>32093</xdr:colOff>
      <xdr:row>0</xdr:row>
      <xdr:rowOff>731520</xdr:rowOff>
    </xdr:to>
    <xdr:sp macro="[0]!Update_RentRollTable" textlink="">
      <xdr:nvSpPr>
        <xdr:cNvPr id="34" name="Rounded Rectangle 33">
          <a:extLst>
            <a:ext uri="{FF2B5EF4-FFF2-40B4-BE49-F238E27FC236}">
              <a16:creationId xmlns:a16="http://schemas.microsoft.com/office/drawing/2014/main" id="{00000000-0008-0000-3B00-000022000000}"/>
            </a:ext>
          </a:extLst>
        </xdr:cNvPr>
        <xdr:cNvSpPr>
          <a:spLocks noChangeAspect="1"/>
        </xdr:cNvSpPr>
      </xdr:nvSpPr>
      <xdr:spPr>
        <a:xfrm>
          <a:off x="9713160" y="0"/>
          <a:ext cx="910733"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clientData/>
  </xdr:twoCellAnchor>
  <xdr:twoCellAnchor editAs="absolute">
    <xdr:from>
      <xdr:col>21</xdr:col>
      <xdr:colOff>80588</xdr:colOff>
      <xdr:row>0</xdr:row>
      <xdr:rowOff>0</xdr:rowOff>
    </xdr:from>
    <xdr:to>
      <xdr:col>22</xdr:col>
      <xdr:colOff>877021</xdr:colOff>
      <xdr:row>0</xdr:row>
      <xdr:rowOff>731520</xdr:rowOff>
    </xdr:to>
    <xdr:sp macro="[0]!Default_RentRollTable" textlink="">
      <xdr:nvSpPr>
        <xdr:cNvPr id="35" name="Rounded Rectangle 34">
          <a:extLst>
            <a:ext uri="{FF2B5EF4-FFF2-40B4-BE49-F238E27FC236}">
              <a16:creationId xmlns:a16="http://schemas.microsoft.com/office/drawing/2014/main" id="{00000000-0008-0000-3B00-000023000000}"/>
            </a:ext>
          </a:extLst>
        </xdr:cNvPr>
        <xdr:cNvSpPr>
          <a:spLocks noChangeAspect="1"/>
        </xdr:cNvSpPr>
      </xdr:nvSpPr>
      <xdr:spPr>
        <a:xfrm>
          <a:off x="10672388" y="0"/>
          <a:ext cx="910733"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clientData/>
  </xdr:twoCellAnchor>
</xdr:wsDr>
</file>

<file path=xl/drawings/drawing50.xml><?xml version="1.0" encoding="utf-8"?>
<xdr:wsDr xmlns:xdr="http://schemas.openxmlformats.org/drawingml/2006/spreadsheetDrawing" xmlns:a="http://schemas.openxmlformats.org/drawingml/2006/main">
  <xdr:twoCellAnchor editAs="absolute">
    <xdr:from>
      <xdr:col>8</xdr:col>
      <xdr:colOff>1102517</xdr:colOff>
      <xdr:row>0</xdr:row>
      <xdr:rowOff>29897</xdr:rowOff>
    </xdr:from>
    <xdr:to>
      <xdr:col>17</xdr:col>
      <xdr:colOff>371475</xdr:colOff>
      <xdr:row>1</xdr:row>
      <xdr:rowOff>391582</xdr:rowOff>
    </xdr:to>
    <xdr:sp macro="" textlink="">
      <xdr:nvSpPr>
        <xdr:cNvPr id="20" name="TextBox 19">
          <a:hlinkClick xmlns:r="http://schemas.openxmlformats.org/officeDocument/2006/relationships" r:id="rId1"/>
          <a:extLst>
            <a:ext uri="{FF2B5EF4-FFF2-40B4-BE49-F238E27FC236}">
              <a16:creationId xmlns:a16="http://schemas.microsoft.com/office/drawing/2014/main" id="{00000000-0008-0000-3C00-000014000000}"/>
            </a:ext>
          </a:extLst>
        </xdr:cNvPr>
        <xdr:cNvSpPr txBox="1"/>
      </xdr:nvSpPr>
      <xdr:spPr>
        <a:xfrm>
          <a:off x="8055767" y="29897"/>
          <a:ext cx="7746208" cy="1247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Rent Roll will populate based on Datappraise and/or Manual Entry Below. Note table Designations.</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Datappraise Merge</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Lease Abstract Tables Populate based on Tenant Name - Type or Place formula in Column F to Equal Desired Tenant</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4. Items in Yellow are only required for Lease Abstract</a:t>
          </a:r>
        </a:p>
        <a:p>
          <a:pPr algn="l" rtl="0">
            <a:spcBef>
              <a:spcPts val="300"/>
            </a:spcBef>
            <a:spcAft>
              <a:spcPts val="300"/>
            </a:spcAft>
          </a:pPr>
          <a:r>
            <a:rPr lang="en-US" sz="1000" b="1" i="0" u="sng" baseline="0">
              <a:solidFill>
                <a:srgbClr val="0000FF"/>
              </a:solidFill>
              <a:effectLst/>
              <a:latin typeface="Segoe UI" panose="020B0502040204020203" pitchFamily="34" charset="0"/>
              <a:ea typeface="+mn-ea"/>
              <a:cs typeface="Segoe UI" panose="020B0502040204020203" pitchFamily="34" charset="0"/>
            </a:rPr>
            <a:t>User Guide</a:t>
          </a:r>
        </a:p>
      </xdr:txBody>
    </xdr:sp>
    <xdr:clientData/>
  </xdr:twoCellAnchor>
  <xdr:twoCellAnchor editAs="oneCell">
    <xdr:from>
      <xdr:col>1</xdr:col>
      <xdr:colOff>35719</xdr:colOff>
      <xdr:row>13</xdr:row>
      <xdr:rowOff>71438</xdr:rowOff>
    </xdr:from>
    <xdr:to>
      <xdr:col>5</xdr:col>
      <xdr:colOff>63446</xdr:colOff>
      <xdr:row>13</xdr:row>
      <xdr:rowOff>350520</xdr:rowOff>
    </xdr:to>
    <xdr:sp macro="[0]!AddRowRentRollManualEntry" textlink="">
      <xdr:nvSpPr>
        <xdr:cNvPr id="9" name="Rounded Rectangle 8">
          <a:extLst>
            <a:ext uri="{FF2B5EF4-FFF2-40B4-BE49-F238E27FC236}">
              <a16:creationId xmlns:a16="http://schemas.microsoft.com/office/drawing/2014/main" id="{00000000-0008-0000-3C00-000009000000}"/>
            </a:ext>
          </a:extLst>
        </xdr:cNvPr>
        <xdr:cNvSpPr>
          <a:spLocks noChangeAspect="1"/>
        </xdr:cNvSpPr>
      </xdr:nvSpPr>
      <xdr:spPr>
        <a:xfrm>
          <a:off x="881063" y="3643313"/>
          <a:ext cx="2100738" cy="279082"/>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Insert Row to</a:t>
          </a:r>
          <a:r>
            <a:rPr lang="en-US" sz="1200" b="1" baseline="0">
              <a:latin typeface="Segoe UI" panose="020B0502040204020203" pitchFamily="34" charset="0"/>
              <a:cs typeface="Segoe UI" panose="020B0502040204020203" pitchFamily="34" charset="0"/>
            </a:rPr>
            <a:t> Add Tenant</a:t>
          </a:r>
        </a:p>
      </xdr:txBody>
    </xdr:sp>
    <xdr:clientData/>
  </xdr:twoCellAnchor>
  <xdr:twoCellAnchor editAs="absolute">
    <xdr:from>
      <xdr:col>0</xdr:col>
      <xdr:colOff>0</xdr:colOff>
      <xdr:row>0</xdr:row>
      <xdr:rowOff>0</xdr:rowOff>
    </xdr:from>
    <xdr:to>
      <xdr:col>3</xdr:col>
      <xdr:colOff>360094</xdr:colOff>
      <xdr:row>0</xdr:row>
      <xdr:rowOff>731520</xdr:rowOff>
    </xdr:to>
    <xdr:sp macro="[0]!GoTo_Main" textlink="">
      <xdr:nvSpPr>
        <xdr:cNvPr id="19" name="Rounded Rectangle 18">
          <a:extLst>
            <a:ext uri="{FF2B5EF4-FFF2-40B4-BE49-F238E27FC236}">
              <a16:creationId xmlns:a16="http://schemas.microsoft.com/office/drawing/2014/main" id="{00000000-0008-0000-3C00-000013000000}"/>
            </a:ext>
          </a:extLst>
        </xdr:cNvPr>
        <xdr:cNvSpPr>
          <a:spLocks noChangeAspect="1"/>
        </xdr:cNvSpPr>
      </xdr:nvSpPr>
      <xdr:spPr>
        <a:xfrm>
          <a:off x="0" y="0"/>
          <a:ext cx="912544"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4</xdr:col>
      <xdr:colOff>1251315</xdr:colOff>
      <xdr:row>0</xdr:row>
      <xdr:rowOff>0</xdr:rowOff>
    </xdr:from>
    <xdr:to>
      <xdr:col>5</xdr:col>
      <xdr:colOff>923147</xdr:colOff>
      <xdr:row>0</xdr:row>
      <xdr:rowOff>731520</xdr:rowOff>
    </xdr:to>
    <xdr:sp macro="[0]!GoTo_IncomeApproachAssumptions_Input" textlink="">
      <xdr:nvSpPr>
        <xdr:cNvPr id="21" name="Rounded Rectangle 20">
          <a:extLst>
            <a:ext uri="{FF2B5EF4-FFF2-40B4-BE49-F238E27FC236}">
              <a16:creationId xmlns:a16="http://schemas.microsoft.com/office/drawing/2014/main" id="{00000000-0008-0000-3C00-000015000000}"/>
            </a:ext>
          </a:extLst>
        </xdr:cNvPr>
        <xdr:cNvSpPr>
          <a:spLocks noChangeAspect="1"/>
        </xdr:cNvSpPr>
      </xdr:nvSpPr>
      <xdr:spPr>
        <a:xfrm>
          <a:off x="2184765" y="0"/>
          <a:ext cx="1186307"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5</xdr:col>
      <xdr:colOff>961988</xdr:colOff>
      <xdr:row>0</xdr:row>
      <xdr:rowOff>0</xdr:rowOff>
    </xdr:from>
    <xdr:to>
      <xdr:col>6</xdr:col>
      <xdr:colOff>313966</xdr:colOff>
      <xdr:row>0</xdr:row>
      <xdr:rowOff>731520</xdr:rowOff>
    </xdr:to>
    <xdr:sp macro="[0]!GoTo_IncomeRentRollTable" textlink="">
      <xdr:nvSpPr>
        <xdr:cNvPr id="22" name="Rounded Rectangle 21">
          <a:extLst>
            <a:ext uri="{FF2B5EF4-FFF2-40B4-BE49-F238E27FC236}">
              <a16:creationId xmlns:a16="http://schemas.microsoft.com/office/drawing/2014/main" id="{00000000-0008-0000-3C00-000016000000}"/>
            </a:ext>
          </a:extLst>
        </xdr:cNvPr>
        <xdr:cNvSpPr>
          <a:spLocks noChangeAspect="1"/>
        </xdr:cNvSpPr>
      </xdr:nvSpPr>
      <xdr:spPr>
        <a:xfrm>
          <a:off x="3409913" y="0"/>
          <a:ext cx="1095053"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Roll - Report</a:t>
          </a:r>
        </a:p>
      </xdr:txBody>
    </xdr:sp>
    <xdr:clientData/>
  </xdr:twoCellAnchor>
  <xdr:twoCellAnchor editAs="absolute">
    <xdr:from>
      <xdr:col>6</xdr:col>
      <xdr:colOff>359593</xdr:colOff>
      <xdr:row>0</xdr:row>
      <xdr:rowOff>1</xdr:rowOff>
    </xdr:from>
    <xdr:to>
      <xdr:col>7</xdr:col>
      <xdr:colOff>491038</xdr:colOff>
      <xdr:row>0</xdr:row>
      <xdr:rowOff>733009</xdr:rowOff>
    </xdr:to>
    <xdr:sp macro="[0]!GoTo_IncomeRentRollTable" textlink="">
      <xdr:nvSpPr>
        <xdr:cNvPr id="23" name="Rounded Rectangle 22">
          <a:extLst>
            <a:ext uri="{FF2B5EF4-FFF2-40B4-BE49-F238E27FC236}">
              <a16:creationId xmlns:a16="http://schemas.microsoft.com/office/drawing/2014/main" id="{00000000-0008-0000-3C00-000017000000}"/>
            </a:ext>
          </a:extLst>
        </xdr:cNvPr>
        <xdr:cNvSpPr>
          <a:spLocks noChangeAspect="1"/>
        </xdr:cNvSpPr>
      </xdr:nvSpPr>
      <xdr:spPr>
        <a:xfrm>
          <a:off x="4550593" y="1"/>
          <a:ext cx="1645920" cy="733008"/>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Space Type/ Tenant Breakdown</a:t>
          </a:r>
        </a:p>
      </xdr:txBody>
    </xdr:sp>
    <xdr:clientData/>
  </xdr:twoCellAnchor>
  <xdr:twoCellAnchor editAs="absolute">
    <xdr:from>
      <xdr:col>7</xdr:col>
      <xdr:colOff>527108</xdr:colOff>
      <xdr:row>0</xdr:row>
      <xdr:rowOff>0</xdr:rowOff>
    </xdr:from>
    <xdr:to>
      <xdr:col>8</xdr:col>
      <xdr:colOff>739402</xdr:colOff>
      <xdr:row>0</xdr:row>
      <xdr:rowOff>731520</xdr:rowOff>
    </xdr:to>
    <xdr:sp macro="[0]!GoTo_IncomeLeaseExpirationsGraph" textlink="">
      <xdr:nvSpPr>
        <xdr:cNvPr id="24" name="Rounded Rectangle 23">
          <a:extLst>
            <a:ext uri="{FF2B5EF4-FFF2-40B4-BE49-F238E27FC236}">
              <a16:creationId xmlns:a16="http://schemas.microsoft.com/office/drawing/2014/main" id="{00000000-0008-0000-3C00-000018000000}"/>
            </a:ext>
          </a:extLst>
        </xdr:cNvPr>
        <xdr:cNvSpPr>
          <a:spLocks/>
        </xdr:cNvSpPr>
      </xdr:nvSpPr>
      <xdr:spPr>
        <a:xfrm>
          <a:off x="6232583" y="0"/>
          <a:ext cx="1460069"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Lease Expiration Chart</a:t>
          </a:r>
        </a:p>
      </xdr:txBody>
    </xdr:sp>
    <xdr:clientData/>
  </xdr:twoCellAnchor>
  <xdr:twoCellAnchor editAs="absolute">
    <xdr:from>
      <xdr:col>4</xdr:col>
      <xdr:colOff>17968</xdr:colOff>
      <xdr:row>0</xdr:row>
      <xdr:rowOff>0</xdr:rowOff>
    </xdr:from>
    <xdr:to>
      <xdr:col>4</xdr:col>
      <xdr:colOff>1205334</xdr:colOff>
      <xdr:row>0</xdr:row>
      <xdr:rowOff>731520</xdr:rowOff>
    </xdr:to>
    <xdr:sp macro="[0]!ShowUserFormTemplateAssumptions" textlink="">
      <xdr:nvSpPr>
        <xdr:cNvPr id="10" name="Rounded Rectangle 9">
          <a:extLst>
            <a:ext uri="{FF2B5EF4-FFF2-40B4-BE49-F238E27FC236}">
              <a16:creationId xmlns:a16="http://schemas.microsoft.com/office/drawing/2014/main" id="{00000000-0008-0000-3C00-00000A000000}"/>
            </a:ext>
          </a:extLst>
        </xdr:cNvPr>
        <xdr:cNvSpPr>
          <a:spLocks noChangeAspect="1"/>
        </xdr:cNvSpPr>
      </xdr:nvSpPr>
      <xdr:spPr>
        <a:xfrm>
          <a:off x="951418" y="0"/>
          <a:ext cx="118736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 Assumptions</a:t>
          </a:r>
        </a:p>
      </xdr:txBody>
    </xdr: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13</xdr:col>
      <xdr:colOff>218811</xdr:colOff>
      <xdr:row>0</xdr:row>
      <xdr:rowOff>74082</xdr:rowOff>
    </xdr:from>
    <xdr:to>
      <xdr:col>29</xdr:col>
      <xdr:colOff>765175</xdr:colOff>
      <xdr:row>4</xdr:row>
      <xdr:rowOff>21167</xdr:rowOff>
    </xdr:to>
    <xdr:sp macro="" textlink="">
      <xdr:nvSpPr>
        <xdr:cNvPr id="55" name="TextBox 54">
          <a:hlinkClick xmlns:r="http://schemas.openxmlformats.org/officeDocument/2006/relationships" r:id="rId1"/>
          <a:extLst>
            <a:ext uri="{FF2B5EF4-FFF2-40B4-BE49-F238E27FC236}">
              <a16:creationId xmlns:a16="http://schemas.microsoft.com/office/drawing/2014/main" id="{00000000-0008-0000-3D00-000037000000}"/>
            </a:ext>
          </a:extLst>
        </xdr:cNvPr>
        <xdr:cNvSpPr txBox="1"/>
      </xdr:nvSpPr>
      <xdr:spPr>
        <a:xfrm>
          <a:off x="8124561" y="74082"/>
          <a:ext cx="5930106" cy="12805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User Inputs are Limited to Space Type Names and the User-Defined Title and Category Names</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based on Rent Roll</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(Expect Extended Update Time)</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13</xdr:col>
      <xdr:colOff>124611</xdr:colOff>
      <xdr:row>0</xdr:row>
      <xdr:rowOff>731520</xdr:rowOff>
    </xdr:to>
    <xdr:grpSp>
      <xdr:nvGrpSpPr>
        <xdr:cNvPr id="4" name="Group 3">
          <a:extLst>
            <a:ext uri="{FF2B5EF4-FFF2-40B4-BE49-F238E27FC236}">
              <a16:creationId xmlns:a16="http://schemas.microsoft.com/office/drawing/2014/main" id="{00000000-0008-0000-3D00-000004000000}"/>
            </a:ext>
          </a:extLst>
        </xdr:cNvPr>
        <xdr:cNvGrpSpPr>
          <a:grpSpLocks noChangeAspect="1"/>
        </xdr:cNvGrpSpPr>
      </xdr:nvGrpSpPr>
      <xdr:grpSpPr>
        <a:xfrm>
          <a:off x="0" y="0"/>
          <a:ext cx="8020836" cy="731520"/>
          <a:chOff x="0" y="0"/>
          <a:chExt cx="8058165" cy="731520"/>
        </a:xfrm>
      </xdr:grpSpPr>
      <xdr:sp macro="[0]!GoTo_Main" textlink="">
        <xdr:nvSpPr>
          <xdr:cNvPr id="20" name="Rounded Rectangle 19">
            <a:extLst>
              <a:ext uri="{FF2B5EF4-FFF2-40B4-BE49-F238E27FC236}">
                <a16:creationId xmlns:a16="http://schemas.microsoft.com/office/drawing/2014/main" id="{00000000-0008-0000-3D00-000014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21" name="Rounded Rectangle 20">
            <a:extLst>
              <a:ext uri="{FF2B5EF4-FFF2-40B4-BE49-F238E27FC236}">
                <a16:creationId xmlns:a16="http://schemas.microsoft.com/office/drawing/2014/main" id="{00000000-0008-0000-3D00-000015000000}"/>
              </a:ext>
            </a:extLst>
          </xdr:cNvPr>
          <xdr:cNvSpPr>
            <a:spLocks noChangeAspect="1"/>
          </xdr:cNvSpPr>
        </xdr:nvSpPr>
        <xdr:spPr>
          <a:xfrm>
            <a:off x="963081" y="0"/>
            <a:ext cx="11887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GoTo_IncomeRentRollTable" textlink="">
        <xdr:nvSpPr>
          <xdr:cNvPr id="22" name="Rounded Rectangle 21">
            <a:extLst>
              <a:ext uri="{FF2B5EF4-FFF2-40B4-BE49-F238E27FC236}">
                <a16:creationId xmlns:a16="http://schemas.microsoft.com/office/drawing/2014/main" id="{00000000-0008-0000-3D00-000016000000}"/>
              </a:ext>
            </a:extLst>
          </xdr:cNvPr>
          <xdr:cNvSpPr>
            <a:spLocks noChangeAspect="1"/>
          </xdr:cNvSpPr>
        </xdr:nvSpPr>
        <xdr:spPr>
          <a:xfrm>
            <a:off x="2201328" y="0"/>
            <a:ext cx="109728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Roll - Report</a:t>
            </a:r>
          </a:p>
        </xdr:txBody>
      </xdr:sp>
      <xdr:sp macro="[0]!GoTo_IncomeLeaseExpirationsGraph" textlink="">
        <xdr:nvSpPr>
          <xdr:cNvPr id="23" name="Rounded Rectangle 22">
            <a:extLst>
              <a:ext uri="{FF2B5EF4-FFF2-40B4-BE49-F238E27FC236}">
                <a16:creationId xmlns:a16="http://schemas.microsoft.com/office/drawing/2014/main" id="{00000000-0008-0000-3D00-000017000000}"/>
              </a:ext>
            </a:extLst>
          </xdr:cNvPr>
          <xdr:cNvSpPr>
            <a:spLocks/>
          </xdr:cNvSpPr>
        </xdr:nvSpPr>
        <xdr:spPr>
          <a:xfrm>
            <a:off x="4667264" y="0"/>
            <a:ext cx="146304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Lease Expiration Chart</a:t>
            </a:r>
          </a:p>
        </xdr:txBody>
      </xdr:sp>
      <xdr:sp macro="[0]!Update_IncomeTenantProfileTables" textlink="">
        <xdr:nvSpPr>
          <xdr:cNvPr id="24" name="Rounded Rectangle 23">
            <a:extLst>
              <a:ext uri="{FF2B5EF4-FFF2-40B4-BE49-F238E27FC236}">
                <a16:creationId xmlns:a16="http://schemas.microsoft.com/office/drawing/2014/main" id="{00000000-0008-0000-3D00-000018000000}"/>
              </a:ext>
            </a:extLst>
          </xdr:cNvPr>
          <xdr:cNvSpPr>
            <a:spLocks noChangeAspect="1"/>
          </xdr:cNvSpPr>
        </xdr:nvSpPr>
        <xdr:spPr>
          <a:xfrm>
            <a:off x="6180677"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IncomeTenantProfileTables" textlink="">
        <xdr:nvSpPr>
          <xdr:cNvPr id="25" name="Rounded Rectangle 24">
            <a:extLst>
              <a:ext uri="{FF2B5EF4-FFF2-40B4-BE49-F238E27FC236}">
                <a16:creationId xmlns:a16="http://schemas.microsoft.com/office/drawing/2014/main" id="{00000000-0008-0000-3D00-000019000000}"/>
              </a:ext>
            </a:extLst>
          </xdr:cNvPr>
          <xdr:cNvSpPr>
            <a:spLocks noChangeAspect="1"/>
          </xdr:cNvSpPr>
        </xdr:nvSpPr>
        <xdr:spPr>
          <a:xfrm>
            <a:off x="7143765"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GoTo_IncomeRentRoll_DatappraiseMerge" textlink="">
        <xdr:nvSpPr>
          <xdr:cNvPr id="28" name="RentRollBreakdown - 4">
            <a:extLst>
              <a:ext uri="{FF2B5EF4-FFF2-40B4-BE49-F238E27FC236}">
                <a16:creationId xmlns:a16="http://schemas.microsoft.com/office/drawing/2014/main" id="{00000000-0008-0000-3D00-00001C000000}"/>
              </a:ext>
            </a:extLst>
          </xdr:cNvPr>
          <xdr:cNvSpPr>
            <a:spLocks noChangeAspect="1"/>
          </xdr:cNvSpPr>
        </xdr:nvSpPr>
        <xdr:spPr>
          <a:xfrm>
            <a:off x="3344346" y="0"/>
            <a:ext cx="128050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prstClr val="white"/>
                </a:solidFill>
                <a:effectLst/>
                <a:uLnTx/>
                <a:uFillTx/>
                <a:latin typeface="Segoe UI" panose="020B0502040204020203" pitchFamily="34" charset="0"/>
                <a:ea typeface="+mn-ea"/>
                <a:cs typeface="Segoe UI" panose="020B0502040204020203" pitchFamily="34" charset="0"/>
              </a:rPr>
              <a:t>Rent Roll - Datappraise Manual Entry</a:t>
            </a:r>
          </a:p>
        </xdr:txBody>
      </xdr:sp>
    </xdr:grpSp>
    <xdr:clientData/>
  </xdr:twoCellAnchor>
  <xdr:twoCellAnchor>
    <xdr:from>
      <xdr:col>10</xdr:col>
      <xdr:colOff>19050</xdr:colOff>
      <xdr:row>32</xdr:row>
      <xdr:rowOff>24871</xdr:rowOff>
    </xdr:from>
    <xdr:to>
      <xdr:col>15</xdr:col>
      <xdr:colOff>35137</xdr:colOff>
      <xdr:row>32</xdr:row>
      <xdr:rowOff>2493751</xdr:rowOff>
    </xdr:to>
    <xdr:graphicFrame macro="">
      <xdr:nvGraphicFramePr>
        <xdr:cNvPr id="2" name="Chart 1">
          <a:extLst>
            <a:ext uri="{FF2B5EF4-FFF2-40B4-BE49-F238E27FC236}">
              <a16:creationId xmlns:a16="http://schemas.microsoft.com/office/drawing/2014/main" id="{00000000-0008-0000-3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editAs="absolute">
    <xdr:from>
      <xdr:col>9</xdr:col>
      <xdr:colOff>20108</xdr:colOff>
      <xdr:row>1</xdr:row>
      <xdr:rowOff>22225</xdr:rowOff>
    </xdr:from>
    <xdr:to>
      <xdr:col>13</xdr:col>
      <xdr:colOff>1340273</xdr:colOff>
      <xdr:row>8</xdr:row>
      <xdr:rowOff>327025</xdr:rowOff>
    </xdr:to>
    <xdr:graphicFrame macro="">
      <xdr:nvGraphicFramePr>
        <xdr:cNvPr id="4" name="Chart 3">
          <a:extLst>
            <a:ext uri="{FF2B5EF4-FFF2-40B4-BE49-F238E27FC236}">
              <a16:creationId xmlns:a16="http://schemas.microsoft.com/office/drawing/2014/main" id="{00000000-0008-0000-3E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xdr:col>
      <xdr:colOff>1058</xdr:colOff>
      <xdr:row>1</xdr:row>
      <xdr:rowOff>78317</xdr:rowOff>
    </xdr:from>
    <xdr:to>
      <xdr:col>7</xdr:col>
      <xdr:colOff>66674</xdr:colOff>
      <xdr:row>4</xdr:row>
      <xdr:rowOff>89958</xdr:rowOff>
    </xdr:to>
    <xdr:sp macro="" textlink="">
      <xdr:nvSpPr>
        <xdr:cNvPr id="20" name="TextBox 19">
          <a:hlinkClick xmlns:r="http://schemas.openxmlformats.org/officeDocument/2006/relationships" r:id="rId2"/>
          <a:extLst>
            <a:ext uri="{FF2B5EF4-FFF2-40B4-BE49-F238E27FC236}">
              <a16:creationId xmlns:a16="http://schemas.microsoft.com/office/drawing/2014/main" id="{00000000-0008-0000-3E00-000014000000}"/>
            </a:ext>
          </a:extLst>
        </xdr:cNvPr>
        <xdr:cNvSpPr txBox="1"/>
      </xdr:nvSpPr>
      <xdr:spPr>
        <a:xfrm>
          <a:off x="496358" y="840317"/>
          <a:ext cx="3923241" cy="11546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No user inputs are required on this sheet</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based on rent roll</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User May</a:t>
          </a:r>
          <a:r>
            <a:rPr lang="en-US" sz="1000" b="1" baseline="0">
              <a:solidFill>
                <a:schemeClr val="dk1"/>
              </a:solidFill>
              <a:effectLst/>
              <a:latin typeface="Segoe UI" panose="020B0502040204020203" pitchFamily="34" charset="0"/>
              <a:ea typeface="+mn-ea"/>
              <a:cs typeface="Segoe UI" panose="020B0502040204020203" pitchFamily="34" charset="0"/>
            </a:rPr>
            <a:t> Hide Rows in Table to Limit Years Displayed</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3</xdr:col>
      <xdr:colOff>360505</xdr:colOff>
      <xdr:row>0</xdr:row>
      <xdr:rowOff>731520</xdr:rowOff>
    </xdr:to>
    <xdr:sp macro="[0]!GoTo_Main" textlink="">
      <xdr:nvSpPr>
        <xdr:cNvPr id="21" name="Rounded Rectangle 20">
          <a:extLst>
            <a:ext uri="{FF2B5EF4-FFF2-40B4-BE49-F238E27FC236}">
              <a16:creationId xmlns:a16="http://schemas.microsoft.com/office/drawing/2014/main" id="{00000000-0008-0000-3E00-000015000000}"/>
            </a:ext>
          </a:extLst>
        </xdr:cNvPr>
        <xdr:cNvSpPr>
          <a:spLocks noChangeAspect="1"/>
        </xdr:cNvSpPr>
      </xdr:nvSpPr>
      <xdr:spPr>
        <a:xfrm>
          <a:off x="0" y="0"/>
          <a:ext cx="912955"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3</xdr:col>
      <xdr:colOff>399584</xdr:colOff>
      <xdr:row>0</xdr:row>
      <xdr:rowOff>0</xdr:rowOff>
    </xdr:from>
    <xdr:to>
      <xdr:col>4</xdr:col>
      <xdr:colOff>338651</xdr:colOff>
      <xdr:row>0</xdr:row>
      <xdr:rowOff>731520</xdr:rowOff>
    </xdr:to>
    <xdr:sp macro="[0]!GoTo_IncomeApproachAssumptions_Input" textlink="">
      <xdr:nvSpPr>
        <xdr:cNvPr id="22" name="Rounded Rectangle 21">
          <a:extLst>
            <a:ext uri="{FF2B5EF4-FFF2-40B4-BE49-F238E27FC236}">
              <a16:creationId xmlns:a16="http://schemas.microsoft.com/office/drawing/2014/main" id="{00000000-0008-0000-3E00-000016000000}"/>
            </a:ext>
          </a:extLst>
        </xdr:cNvPr>
        <xdr:cNvSpPr>
          <a:spLocks noChangeAspect="1"/>
        </xdr:cNvSpPr>
      </xdr:nvSpPr>
      <xdr:spPr>
        <a:xfrm>
          <a:off x="952034" y="0"/>
          <a:ext cx="1186842"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4</xdr:col>
      <xdr:colOff>369050</xdr:colOff>
      <xdr:row>0</xdr:row>
      <xdr:rowOff>0</xdr:rowOff>
    </xdr:from>
    <xdr:to>
      <xdr:col>5</xdr:col>
      <xdr:colOff>216821</xdr:colOff>
      <xdr:row>0</xdr:row>
      <xdr:rowOff>731520</xdr:rowOff>
    </xdr:to>
    <xdr:sp macro="[0]!GoTo_IncomeRentRollTable" textlink="">
      <xdr:nvSpPr>
        <xdr:cNvPr id="23" name="Rounded Rectangle 22">
          <a:extLst>
            <a:ext uri="{FF2B5EF4-FFF2-40B4-BE49-F238E27FC236}">
              <a16:creationId xmlns:a16="http://schemas.microsoft.com/office/drawing/2014/main" id="{00000000-0008-0000-3E00-000017000000}"/>
            </a:ext>
          </a:extLst>
        </xdr:cNvPr>
        <xdr:cNvSpPr>
          <a:spLocks noChangeAspect="1"/>
        </xdr:cNvSpPr>
      </xdr:nvSpPr>
      <xdr:spPr>
        <a:xfrm>
          <a:off x="2169275" y="0"/>
          <a:ext cx="1095546"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Rent Roll - Report</a:t>
          </a:r>
        </a:p>
      </xdr:txBody>
    </xdr:sp>
    <xdr:clientData/>
  </xdr:twoCellAnchor>
  <xdr:twoCellAnchor editAs="absolute">
    <xdr:from>
      <xdr:col>8</xdr:col>
      <xdr:colOff>134447</xdr:colOff>
      <xdr:row>0</xdr:row>
      <xdr:rowOff>0</xdr:rowOff>
    </xdr:from>
    <xdr:to>
      <xdr:col>10</xdr:col>
      <xdr:colOff>1285067</xdr:colOff>
      <xdr:row>0</xdr:row>
      <xdr:rowOff>731520</xdr:rowOff>
    </xdr:to>
    <xdr:sp macro="[0]!GoTo_IncomeRentRollTable" textlink="">
      <xdr:nvSpPr>
        <xdr:cNvPr id="24" name="Rounded Rectangle 23">
          <a:extLst>
            <a:ext uri="{FF2B5EF4-FFF2-40B4-BE49-F238E27FC236}">
              <a16:creationId xmlns:a16="http://schemas.microsoft.com/office/drawing/2014/main" id="{00000000-0008-0000-3E00-000018000000}"/>
            </a:ext>
          </a:extLst>
        </xdr:cNvPr>
        <xdr:cNvSpPr>
          <a:spLocks noChangeAspect="1"/>
        </xdr:cNvSpPr>
      </xdr:nvSpPr>
      <xdr:spPr>
        <a:xfrm>
          <a:off x="4601672" y="0"/>
          <a:ext cx="16459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Space Type/ Tenant Breakdown</a:t>
          </a:r>
        </a:p>
      </xdr:txBody>
    </xdr:sp>
    <xdr:clientData/>
  </xdr:twoCellAnchor>
  <xdr:twoCellAnchor editAs="absolute">
    <xdr:from>
      <xdr:col>5</xdr:col>
      <xdr:colOff>242383</xdr:colOff>
      <xdr:row>0</xdr:row>
      <xdr:rowOff>0</xdr:rowOff>
    </xdr:from>
    <xdr:to>
      <xdr:col>8</xdr:col>
      <xdr:colOff>101295</xdr:colOff>
      <xdr:row>0</xdr:row>
      <xdr:rowOff>731520</xdr:rowOff>
    </xdr:to>
    <xdr:sp macro="[0]!GoTo_IncomeRentRoll_DatappraiseMerge" textlink="">
      <xdr:nvSpPr>
        <xdr:cNvPr id="27" name="LeaseExpGraph - 4">
          <a:extLst>
            <a:ext uri="{FF2B5EF4-FFF2-40B4-BE49-F238E27FC236}">
              <a16:creationId xmlns:a16="http://schemas.microsoft.com/office/drawing/2014/main" id="{00000000-0008-0000-3E00-00001B000000}"/>
            </a:ext>
          </a:extLst>
        </xdr:cNvPr>
        <xdr:cNvSpPr>
          <a:spLocks noChangeAspect="1"/>
        </xdr:cNvSpPr>
      </xdr:nvSpPr>
      <xdr:spPr>
        <a:xfrm>
          <a:off x="3290383" y="0"/>
          <a:ext cx="1278137"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prstClr val="white"/>
              </a:solidFill>
              <a:effectLst/>
              <a:uLnTx/>
              <a:uFillTx/>
              <a:latin typeface="Segoe UI" panose="020B0502040204020203" pitchFamily="34" charset="0"/>
              <a:ea typeface="+mn-ea"/>
              <a:cs typeface="Segoe UI" panose="020B0502040204020203" pitchFamily="34" charset="0"/>
            </a:rPr>
            <a:t>Rent Roll - Datappraise Manual Entry</a:t>
          </a:r>
        </a:p>
      </xdr:txBody>
    </xdr:sp>
    <xdr:clientData/>
  </xdr:twoCellAnchor>
  <xdr:twoCellAnchor>
    <xdr:from>
      <xdr:col>10</xdr:col>
      <xdr:colOff>1323975</xdr:colOff>
      <xdr:row>0</xdr:row>
      <xdr:rowOff>0</xdr:rowOff>
    </xdr:from>
    <xdr:to>
      <xdr:col>11</xdr:col>
      <xdr:colOff>853014</xdr:colOff>
      <xdr:row>0</xdr:row>
      <xdr:rowOff>731520</xdr:rowOff>
    </xdr:to>
    <xdr:sp macro="[0]!Update_IncomeLeaseExpirationTable" textlink="">
      <xdr:nvSpPr>
        <xdr:cNvPr id="2" name="Rounded Rectangle 23">
          <a:extLst>
            <a:ext uri="{FF2B5EF4-FFF2-40B4-BE49-F238E27FC236}">
              <a16:creationId xmlns:a16="http://schemas.microsoft.com/office/drawing/2014/main" id="{00000000-0008-0000-3E00-000002000000}"/>
            </a:ext>
          </a:extLst>
        </xdr:cNvPr>
        <xdr:cNvSpPr>
          <a:spLocks noChangeAspect="1"/>
        </xdr:cNvSpPr>
      </xdr:nvSpPr>
      <xdr:spPr>
        <a:xfrm>
          <a:off x="6286500" y="0"/>
          <a:ext cx="910164"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clientData/>
  </xdr:twoCellAnchor>
  <xdr:twoCellAnchor>
    <xdr:from>
      <xdr:col>11</xdr:col>
      <xdr:colOff>901477</xdr:colOff>
      <xdr:row>0</xdr:row>
      <xdr:rowOff>0</xdr:rowOff>
    </xdr:from>
    <xdr:to>
      <xdr:col>12</xdr:col>
      <xdr:colOff>430516</xdr:colOff>
      <xdr:row>0</xdr:row>
      <xdr:rowOff>731520</xdr:rowOff>
    </xdr:to>
    <xdr:sp macro="[0]!default" textlink="">
      <xdr:nvSpPr>
        <xdr:cNvPr id="3" name="Rounded Rectangle 24">
          <a:extLst>
            <a:ext uri="{FF2B5EF4-FFF2-40B4-BE49-F238E27FC236}">
              <a16:creationId xmlns:a16="http://schemas.microsoft.com/office/drawing/2014/main" id="{00000000-0008-0000-3E00-000003000000}"/>
            </a:ext>
          </a:extLst>
        </xdr:cNvPr>
        <xdr:cNvSpPr>
          <a:spLocks noChangeAspect="1"/>
        </xdr:cNvSpPr>
      </xdr:nvSpPr>
      <xdr:spPr>
        <a:xfrm>
          <a:off x="7245127" y="0"/>
          <a:ext cx="910164"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12</xdr:col>
      <xdr:colOff>1504950</xdr:colOff>
      <xdr:row>0</xdr:row>
      <xdr:rowOff>95249</xdr:rowOff>
    </xdr:from>
    <xdr:to>
      <xdr:col>23</xdr:col>
      <xdr:colOff>211667</xdr:colOff>
      <xdr:row>1</xdr:row>
      <xdr:rowOff>179916</xdr:rowOff>
    </xdr:to>
    <xdr:sp macro="" textlink="">
      <xdr:nvSpPr>
        <xdr:cNvPr id="40" name="TextBox 39">
          <a:hlinkClick xmlns:r="http://schemas.openxmlformats.org/officeDocument/2006/relationships" r:id="rId1"/>
          <a:extLst>
            <a:ext uri="{FF2B5EF4-FFF2-40B4-BE49-F238E27FC236}">
              <a16:creationId xmlns:a16="http://schemas.microsoft.com/office/drawing/2014/main" id="{00000000-0008-0000-3F00-000028000000}"/>
            </a:ext>
          </a:extLst>
        </xdr:cNvPr>
        <xdr:cNvSpPr txBox="1"/>
      </xdr:nvSpPr>
      <xdr:spPr>
        <a:xfrm>
          <a:off x="7515225" y="95249"/>
          <a:ext cx="4918075" cy="84666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User Inputs only required in Vacancy Analysis Table further right</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Other tables use data aggregated from other sections within the workbook</a:t>
          </a:r>
        </a:p>
        <a:p>
          <a:pPr algn="l" rtl="0">
            <a:spcBef>
              <a:spcPts val="300"/>
            </a:spcBef>
            <a:spcAft>
              <a:spcPts val="300"/>
            </a:spcAft>
          </a:pPr>
          <a:r>
            <a:rPr lang="en-US" sz="1000" b="1" i="0" u="sng" baseline="0">
              <a:solidFill>
                <a:srgbClr val="0000FF"/>
              </a:solidFill>
              <a:effectLst/>
              <a:latin typeface="Segoe UI" panose="020B0502040204020203" pitchFamily="34" charset="0"/>
              <a:ea typeface="+mn-ea"/>
              <a:cs typeface="Segoe UI" panose="020B0502040204020203" pitchFamily="34" charset="0"/>
            </a:rPr>
            <a:t>User Guide</a:t>
          </a:r>
        </a:p>
      </xdr:txBody>
    </xdr:sp>
    <xdr:clientData/>
  </xdr:twoCellAnchor>
  <xdr:twoCellAnchor editAs="absolute">
    <xdr:from>
      <xdr:col>0</xdr:col>
      <xdr:colOff>0</xdr:colOff>
      <xdr:row>0</xdr:row>
      <xdr:rowOff>0</xdr:rowOff>
    </xdr:from>
    <xdr:to>
      <xdr:col>5</xdr:col>
      <xdr:colOff>1162186</xdr:colOff>
      <xdr:row>0</xdr:row>
      <xdr:rowOff>731520</xdr:rowOff>
    </xdr:to>
    <xdr:grpSp>
      <xdr:nvGrpSpPr>
        <xdr:cNvPr id="3" name="Group 2">
          <a:extLst>
            <a:ext uri="{FF2B5EF4-FFF2-40B4-BE49-F238E27FC236}">
              <a16:creationId xmlns:a16="http://schemas.microsoft.com/office/drawing/2014/main" id="{00000000-0008-0000-3F00-000003000000}"/>
            </a:ext>
          </a:extLst>
        </xdr:cNvPr>
        <xdr:cNvGrpSpPr/>
      </xdr:nvGrpSpPr>
      <xdr:grpSpPr>
        <a:xfrm>
          <a:off x="0" y="0"/>
          <a:ext cx="4076836" cy="731520"/>
          <a:chOff x="0" y="0"/>
          <a:chExt cx="4088478" cy="731520"/>
        </a:xfrm>
      </xdr:grpSpPr>
      <xdr:sp macro="[0]!GoTo_Main" textlink="">
        <xdr:nvSpPr>
          <xdr:cNvPr id="19" name="Rounded Rectangle 18">
            <a:extLst>
              <a:ext uri="{FF2B5EF4-FFF2-40B4-BE49-F238E27FC236}">
                <a16:creationId xmlns:a16="http://schemas.microsoft.com/office/drawing/2014/main" id="{00000000-0008-0000-3F00-000013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20" name="Rounded Rectangle 19">
            <a:extLst>
              <a:ext uri="{FF2B5EF4-FFF2-40B4-BE49-F238E27FC236}">
                <a16:creationId xmlns:a16="http://schemas.microsoft.com/office/drawing/2014/main" id="{00000000-0008-0000-3F00-000014000000}"/>
              </a:ext>
            </a:extLst>
          </xdr:cNvPr>
          <xdr:cNvSpPr>
            <a:spLocks noChangeAspect="1"/>
          </xdr:cNvSpPr>
        </xdr:nvSpPr>
        <xdr:spPr>
          <a:xfrm>
            <a:off x="963081" y="0"/>
            <a:ext cx="11887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Update_IncomeSupport_Table" textlink="">
        <xdr:nvSpPr>
          <xdr:cNvPr id="7" name="Rounded Rectangle 6">
            <a:extLst>
              <a:ext uri="{FF2B5EF4-FFF2-40B4-BE49-F238E27FC236}">
                <a16:creationId xmlns:a16="http://schemas.microsoft.com/office/drawing/2014/main" id="{00000000-0008-0000-3F00-000007000000}"/>
              </a:ext>
            </a:extLst>
          </xdr:cNvPr>
          <xdr:cNvSpPr>
            <a:spLocks noChangeAspect="1"/>
          </xdr:cNvSpPr>
        </xdr:nvSpPr>
        <xdr:spPr>
          <a:xfrm>
            <a:off x="2204508" y="0"/>
            <a:ext cx="911361"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 textlink="">
        <xdr:nvSpPr>
          <xdr:cNvPr id="8" name="Rounded Rectangle 7">
            <a:extLst>
              <a:ext uri="{FF2B5EF4-FFF2-40B4-BE49-F238E27FC236}">
                <a16:creationId xmlns:a16="http://schemas.microsoft.com/office/drawing/2014/main" id="{00000000-0008-0000-3F00-000008000000}"/>
              </a:ext>
            </a:extLst>
          </xdr:cNvPr>
          <xdr:cNvSpPr>
            <a:spLocks noChangeAspect="1"/>
          </xdr:cNvSpPr>
        </xdr:nvSpPr>
        <xdr:spPr>
          <a:xfrm>
            <a:off x="3172883" y="0"/>
            <a:ext cx="915595"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30</xdr:col>
      <xdr:colOff>273052</xdr:colOff>
      <xdr:row>0</xdr:row>
      <xdr:rowOff>21165</xdr:rowOff>
    </xdr:from>
    <xdr:to>
      <xdr:col>41</xdr:col>
      <xdr:colOff>291679</xdr:colOff>
      <xdr:row>1</xdr:row>
      <xdr:rowOff>687917</xdr:rowOff>
    </xdr:to>
    <xdr:sp macro="" textlink="">
      <xdr:nvSpPr>
        <xdr:cNvPr id="10" name="TextBox 9">
          <a:hlinkClick xmlns:r="http://schemas.openxmlformats.org/officeDocument/2006/relationships" r:id="rId1"/>
          <a:extLst>
            <a:ext uri="{FF2B5EF4-FFF2-40B4-BE49-F238E27FC236}">
              <a16:creationId xmlns:a16="http://schemas.microsoft.com/office/drawing/2014/main" id="{00000000-0008-0000-4000-00000A000000}"/>
            </a:ext>
          </a:extLst>
        </xdr:cNvPr>
        <xdr:cNvSpPr txBox="1">
          <a:spLocks noChangeAspect="1"/>
        </xdr:cNvSpPr>
      </xdr:nvSpPr>
      <xdr:spPr>
        <a:xfrm>
          <a:off x="8434919" y="21165"/>
          <a:ext cx="6766560" cy="1428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No user inputs are required on this sheet</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Datappraise Merge - </a:t>
          </a:r>
          <a:r>
            <a:rPr lang="en-US" sz="1000" b="1" i="1" baseline="0">
              <a:solidFill>
                <a:schemeClr val="dk1"/>
              </a:solidFill>
              <a:effectLst/>
              <a:latin typeface="Segoe UI" panose="020B0502040204020203" pitchFamily="34" charset="0"/>
              <a:ea typeface="+mn-ea"/>
              <a:cs typeface="Segoe UI" panose="020B0502040204020203" pitchFamily="34" charset="0"/>
            </a:rPr>
            <a:t>All Income &amp; Expenses are merged &amp; displayed despite Income &amp; Expense Categories selected for Subject Property</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29</xdr:col>
      <xdr:colOff>530228</xdr:colOff>
      <xdr:row>0</xdr:row>
      <xdr:rowOff>731520</xdr:rowOff>
    </xdr:to>
    <xdr:grpSp>
      <xdr:nvGrpSpPr>
        <xdr:cNvPr id="3" name="Group 2">
          <a:extLst>
            <a:ext uri="{FF2B5EF4-FFF2-40B4-BE49-F238E27FC236}">
              <a16:creationId xmlns:a16="http://schemas.microsoft.com/office/drawing/2014/main" id="{00000000-0008-0000-4000-000003000000}"/>
            </a:ext>
          </a:extLst>
        </xdr:cNvPr>
        <xdr:cNvGrpSpPr>
          <a:grpSpLocks noChangeAspect="1"/>
        </xdr:cNvGrpSpPr>
      </xdr:nvGrpSpPr>
      <xdr:grpSpPr>
        <a:xfrm>
          <a:off x="0" y="0"/>
          <a:ext cx="8045453" cy="731520"/>
          <a:chOff x="0" y="0"/>
          <a:chExt cx="8079320" cy="731520"/>
        </a:xfrm>
      </xdr:grpSpPr>
      <xdr:sp macro="[0]!GoTo_Main" textlink="">
        <xdr:nvSpPr>
          <xdr:cNvPr id="11" name="Rounded Rectangle 10">
            <a:extLst>
              <a:ext uri="{FF2B5EF4-FFF2-40B4-BE49-F238E27FC236}">
                <a16:creationId xmlns:a16="http://schemas.microsoft.com/office/drawing/2014/main" id="{00000000-0008-0000-4000-00000B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12" name="Rounded Rectangle 11">
            <a:extLst>
              <a:ext uri="{FF2B5EF4-FFF2-40B4-BE49-F238E27FC236}">
                <a16:creationId xmlns:a16="http://schemas.microsoft.com/office/drawing/2014/main" id="{00000000-0008-0000-4000-00000C000000}"/>
              </a:ext>
            </a:extLst>
          </xdr:cNvPr>
          <xdr:cNvSpPr>
            <a:spLocks noChangeAspect="1"/>
          </xdr:cNvSpPr>
        </xdr:nvSpPr>
        <xdr:spPr>
          <a:xfrm>
            <a:off x="963081" y="0"/>
            <a:ext cx="11887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GoTo_IncomeExpenseComparablesTable" textlink="">
        <xdr:nvSpPr>
          <xdr:cNvPr id="13" name="Rounded Rectangle 12">
            <a:extLst>
              <a:ext uri="{FF2B5EF4-FFF2-40B4-BE49-F238E27FC236}">
                <a16:creationId xmlns:a16="http://schemas.microsoft.com/office/drawing/2014/main" id="{00000000-0008-0000-4000-00000D000000}"/>
              </a:ext>
            </a:extLst>
          </xdr:cNvPr>
          <xdr:cNvSpPr>
            <a:spLocks noChangeAspect="1"/>
          </xdr:cNvSpPr>
        </xdr:nvSpPr>
        <xdr:spPr>
          <a:xfrm>
            <a:off x="2211915" y="0"/>
            <a:ext cx="11887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Expense Comparables</a:t>
            </a:r>
          </a:p>
        </xdr:txBody>
      </xdr:sp>
      <xdr:sp macro="[0]!GoTo_ExpenseEstimateTables" textlink="">
        <xdr:nvSpPr>
          <xdr:cNvPr id="14" name="Rounded Rectangle 13">
            <a:extLst>
              <a:ext uri="{FF2B5EF4-FFF2-40B4-BE49-F238E27FC236}">
                <a16:creationId xmlns:a16="http://schemas.microsoft.com/office/drawing/2014/main" id="{00000000-0008-0000-4000-00000E000000}"/>
              </a:ext>
            </a:extLst>
          </xdr:cNvPr>
          <xdr:cNvSpPr>
            <a:spLocks noChangeAspect="1"/>
          </xdr:cNvSpPr>
        </xdr:nvSpPr>
        <xdr:spPr>
          <a:xfrm>
            <a:off x="3450169" y="0"/>
            <a:ext cx="100584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Expense Estimates</a:t>
            </a:r>
          </a:p>
        </xdr:txBody>
      </xdr:sp>
      <xdr:sp macro="[0]!ShowUserFormIncomeExpenseSelection" textlink="">
        <xdr:nvSpPr>
          <xdr:cNvPr id="15" name="Rounded Rectangle 14">
            <a:extLst>
              <a:ext uri="{FF2B5EF4-FFF2-40B4-BE49-F238E27FC236}">
                <a16:creationId xmlns:a16="http://schemas.microsoft.com/office/drawing/2014/main" id="{00000000-0008-0000-4000-00000F000000}"/>
              </a:ext>
            </a:extLst>
          </xdr:cNvPr>
          <xdr:cNvSpPr>
            <a:spLocks noChangeAspect="1"/>
          </xdr:cNvSpPr>
        </xdr:nvSpPr>
        <xdr:spPr>
          <a:xfrm>
            <a:off x="4508504" y="0"/>
            <a:ext cx="16459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Select Income &amp; Expense</a:t>
            </a:r>
            <a:r>
              <a:rPr lang="en-US" sz="1200" b="1" baseline="0">
                <a:latin typeface="Segoe UI" panose="020B0502040204020203" pitchFamily="34" charset="0"/>
                <a:cs typeface="Segoe UI" panose="020B0502040204020203" pitchFamily="34" charset="0"/>
              </a:rPr>
              <a:t> Categories</a:t>
            </a:r>
            <a:endParaRPr lang="en-US" sz="1200" b="1">
              <a:latin typeface="Segoe UI" panose="020B0502040204020203" pitchFamily="34" charset="0"/>
              <a:cs typeface="Segoe UI" panose="020B0502040204020203" pitchFamily="34" charset="0"/>
            </a:endParaRPr>
          </a:p>
        </xdr:txBody>
      </xdr:sp>
      <xdr:sp macro="[0]!Update_IncomeSubjectOperatingStatementTable" textlink="">
        <xdr:nvSpPr>
          <xdr:cNvPr id="16" name="Rounded Rectangle 15">
            <a:extLst>
              <a:ext uri="{FF2B5EF4-FFF2-40B4-BE49-F238E27FC236}">
                <a16:creationId xmlns:a16="http://schemas.microsoft.com/office/drawing/2014/main" id="{00000000-0008-0000-4000-000010000000}"/>
              </a:ext>
            </a:extLst>
          </xdr:cNvPr>
          <xdr:cNvSpPr>
            <a:spLocks noChangeAspect="1"/>
          </xdr:cNvSpPr>
        </xdr:nvSpPr>
        <xdr:spPr>
          <a:xfrm>
            <a:off x="6201836"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IncomeSubjectOperatingStatementTable" textlink="">
        <xdr:nvSpPr>
          <xdr:cNvPr id="17" name="Rounded Rectangle 16">
            <a:extLst>
              <a:ext uri="{FF2B5EF4-FFF2-40B4-BE49-F238E27FC236}">
                <a16:creationId xmlns:a16="http://schemas.microsoft.com/office/drawing/2014/main" id="{00000000-0008-0000-4000-000011000000}"/>
              </a:ext>
            </a:extLst>
          </xdr:cNvPr>
          <xdr:cNvSpPr>
            <a:spLocks noChangeAspect="1"/>
          </xdr:cNvSpPr>
        </xdr:nvSpPr>
        <xdr:spPr>
          <a:xfrm>
            <a:off x="7164920"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35</xdr:col>
      <xdr:colOff>250827</xdr:colOff>
      <xdr:row>0</xdr:row>
      <xdr:rowOff>31747</xdr:rowOff>
    </xdr:from>
    <xdr:to>
      <xdr:col>46</xdr:col>
      <xdr:colOff>274745</xdr:colOff>
      <xdr:row>1</xdr:row>
      <xdr:rowOff>719667</xdr:rowOff>
    </xdr:to>
    <xdr:sp macro="" textlink="">
      <xdr:nvSpPr>
        <xdr:cNvPr id="10" name="TextBox 9">
          <a:hlinkClick xmlns:r="http://schemas.openxmlformats.org/officeDocument/2006/relationships" r:id="rId1"/>
          <a:extLst>
            <a:ext uri="{FF2B5EF4-FFF2-40B4-BE49-F238E27FC236}">
              <a16:creationId xmlns:a16="http://schemas.microsoft.com/office/drawing/2014/main" id="{00000000-0008-0000-4100-00000A000000}"/>
            </a:ext>
          </a:extLst>
        </xdr:cNvPr>
        <xdr:cNvSpPr txBox="1">
          <a:spLocks noChangeAspect="1"/>
        </xdr:cNvSpPr>
      </xdr:nvSpPr>
      <xdr:spPr>
        <a:xfrm>
          <a:off x="9027585" y="31747"/>
          <a:ext cx="6766560" cy="14499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No user inputs are required on this sheet</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Datappraise Merge - </a:t>
          </a:r>
          <a:r>
            <a:rPr lang="en-US" sz="1000" b="1" i="1" baseline="0">
              <a:solidFill>
                <a:schemeClr val="dk1"/>
              </a:solidFill>
              <a:effectLst/>
              <a:latin typeface="Segoe UI" panose="020B0502040204020203" pitchFamily="34" charset="0"/>
              <a:ea typeface="+mn-ea"/>
              <a:cs typeface="Segoe UI" panose="020B0502040204020203" pitchFamily="34" charset="0"/>
            </a:rPr>
            <a:t>All Income &amp; Expenses are merged &amp; displayed despite Income &amp; Expense Categories selected for Subject Property</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34</xdr:col>
      <xdr:colOff>245537</xdr:colOff>
      <xdr:row>1</xdr:row>
      <xdr:rowOff>467783</xdr:rowOff>
    </xdr:to>
    <xdr:grpSp>
      <xdr:nvGrpSpPr>
        <xdr:cNvPr id="2" name="Group 1">
          <a:extLst>
            <a:ext uri="{FF2B5EF4-FFF2-40B4-BE49-F238E27FC236}">
              <a16:creationId xmlns:a16="http://schemas.microsoft.com/office/drawing/2014/main" id="{00000000-0008-0000-4100-000002000000}"/>
            </a:ext>
          </a:extLst>
        </xdr:cNvPr>
        <xdr:cNvGrpSpPr/>
      </xdr:nvGrpSpPr>
      <xdr:grpSpPr>
        <a:xfrm>
          <a:off x="0" y="0"/>
          <a:ext cx="8370362" cy="1229783"/>
          <a:chOff x="0" y="0"/>
          <a:chExt cx="8407404" cy="1229783"/>
        </a:xfrm>
      </xdr:grpSpPr>
      <xdr:sp macro="[0]!GoTo_Main" textlink="">
        <xdr:nvSpPr>
          <xdr:cNvPr id="12" name="Rounded Rectangle 11">
            <a:extLst>
              <a:ext uri="{FF2B5EF4-FFF2-40B4-BE49-F238E27FC236}">
                <a16:creationId xmlns:a16="http://schemas.microsoft.com/office/drawing/2014/main" id="{00000000-0008-0000-4100-00000C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13" name="Rounded Rectangle 12">
            <a:extLst>
              <a:ext uri="{FF2B5EF4-FFF2-40B4-BE49-F238E27FC236}">
                <a16:creationId xmlns:a16="http://schemas.microsoft.com/office/drawing/2014/main" id="{00000000-0008-0000-4100-00000D000000}"/>
              </a:ext>
            </a:extLst>
          </xdr:cNvPr>
          <xdr:cNvSpPr>
            <a:spLocks noChangeAspect="1"/>
          </xdr:cNvSpPr>
        </xdr:nvSpPr>
        <xdr:spPr>
          <a:xfrm>
            <a:off x="963081" y="0"/>
            <a:ext cx="11887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GoTo_IncomeSubjectOperatingStatementTable" textlink="">
        <xdr:nvSpPr>
          <xdr:cNvPr id="14" name="Rounded Rectangle 13">
            <a:extLst>
              <a:ext uri="{FF2B5EF4-FFF2-40B4-BE49-F238E27FC236}">
                <a16:creationId xmlns:a16="http://schemas.microsoft.com/office/drawing/2014/main" id="{00000000-0008-0000-4100-00000E000000}"/>
              </a:ext>
            </a:extLst>
          </xdr:cNvPr>
          <xdr:cNvSpPr>
            <a:spLocks noChangeAspect="1"/>
          </xdr:cNvSpPr>
        </xdr:nvSpPr>
        <xdr:spPr>
          <a:xfrm>
            <a:off x="2201332" y="0"/>
            <a:ext cx="155448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Subject Operating Statements</a:t>
            </a:r>
          </a:p>
        </xdr:txBody>
      </xdr:sp>
      <xdr:sp macro="[0]!GoTo_ExpenseEstimateTables" textlink="">
        <xdr:nvSpPr>
          <xdr:cNvPr id="15" name="Rounded Rectangle 14">
            <a:extLst>
              <a:ext uri="{FF2B5EF4-FFF2-40B4-BE49-F238E27FC236}">
                <a16:creationId xmlns:a16="http://schemas.microsoft.com/office/drawing/2014/main" id="{00000000-0008-0000-4100-00000F000000}"/>
              </a:ext>
            </a:extLst>
          </xdr:cNvPr>
          <xdr:cNvSpPr>
            <a:spLocks noChangeAspect="1"/>
          </xdr:cNvSpPr>
        </xdr:nvSpPr>
        <xdr:spPr>
          <a:xfrm>
            <a:off x="3788835" y="0"/>
            <a:ext cx="100584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Expense Estimates</a:t>
            </a:r>
          </a:p>
        </xdr:txBody>
      </xdr:sp>
      <xdr:sp macro="[0]!ShowUserFormIncomeExpenseSelection" textlink="">
        <xdr:nvSpPr>
          <xdr:cNvPr id="16" name="Rounded Rectangle 15">
            <a:extLst>
              <a:ext uri="{FF2B5EF4-FFF2-40B4-BE49-F238E27FC236}">
                <a16:creationId xmlns:a16="http://schemas.microsoft.com/office/drawing/2014/main" id="{00000000-0008-0000-4100-000010000000}"/>
              </a:ext>
            </a:extLst>
          </xdr:cNvPr>
          <xdr:cNvSpPr>
            <a:spLocks noChangeAspect="1"/>
          </xdr:cNvSpPr>
        </xdr:nvSpPr>
        <xdr:spPr>
          <a:xfrm>
            <a:off x="4836588" y="0"/>
            <a:ext cx="16459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Select Income &amp; Expense</a:t>
            </a:r>
            <a:r>
              <a:rPr lang="en-US" sz="1200" b="1" baseline="0">
                <a:latin typeface="Segoe UI" panose="020B0502040204020203" pitchFamily="34" charset="0"/>
                <a:cs typeface="Segoe UI" panose="020B0502040204020203" pitchFamily="34" charset="0"/>
              </a:rPr>
              <a:t> Categories</a:t>
            </a:r>
            <a:endParaRPr lang="en-US" sz="1200" b="1">
              <a:latin typeface="Segoe UI" panose="020B0502040204020203" pitchFamily="34" charset="0"/>
              <a:cs typeface="Segoe UI" panose="020B0502040204020203" pitchFamily="34" charset="0"/>
            </a:endParaRPr>
          </a:p>
        </xdr:txBody>
      </xdr:sp>
      <xdr:sp macro="[0]!Update_IncomeExpenseCompsTable" textlink="">
        <xdr:nvSpPr>
          <xdr:cNvPr id="17" name="Rounded Rectangle 16">
            <a:extLst>
              <a:ext uri="{FF2B5EF4-FFF2-40B4-BE49-F238E27FC236}">
                <a16:creationId xmlns:a16="http://schemas.microsoft.com/office/drawing/2014/main" id="{00000000-0008-0000-4100-000011000000}"/>
              </a:ext>
            </a:extLst>
          </xdr:cNvPr>
          <xdr:cNvSpPr>
            <a:spLocks noChangeAspect="1"/>
          </xdr:cNvSpPr>
        </xdr:nvSpPr>
        <xdr:spPr>
          <a:xfrm>
            <a:off x="6529920"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IncomeExpenseCompsTable" textlink="">
        <xdr:nvSpPr>
          <xdr:cNvPr id="18" name="Rounded Rectangle 17">
            <a:extLst>
              <a:ext uri="{FF2B5EF4-FFF2-40B4-BE49-F238E27FC236}">
                <a16:creationId xmlns:a16="http://schemas.microsoft.com/office/drawing/2014/main" id="{00000000-0008-0000-4100-000012000000}"/>
              </a:ext>
            </a:extLst>
          </xdr:cNvPr>
          <xdr:cNvSpPr>
            <a:spLocks noChangeAspect="1"/>
          </xdr:cNvSpPr>
        </xdr:nvSpPr>
        <xdr:spPr>
          <a:xfrm>
            <a:off x="7493004"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Update_IncomeExpenseCompsTable_Total" textlink="">
        <xdr:nvSpPr>
          <xdr:cNvPr id="19" name="Rounded Rectangle 18">
            <a:extLst>
              <a:ext uri="{FF2B5EF4-FFF2-40B4-BE49-F238E27FC236}">
                <a16:creationId xmlns:a16="http://schemas.microsoft.com/office/drawing/2014/main" id="{00000000-0008-0000-4100-000013000000}"/>
              </a:ext>
            </a:extLst>
          </xdr:cNvPr>
          <xdr:cNvSpPr>
            <a:spLocks noChangeAspect="1"/>
          </xdr:cNvSpPr>
        </xdr:nvSpPr>
        <xdr:spPr>
          <a:xfrm>
            <a:off x="6561665" y="772583"/>
            <a:ext cx="1828800" cy="45720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Total Expense Only</a:t>
            </a:r>
          </a:p>
        </xdr:txBody>
      </xdr:sp>
    </xdr:grpSp>
    <xdr:clientData/>
  </xdr:twoCellAnchor>
</xdr:wsDr>
</file>

<file path=xl/drawings/drawing5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564088</xdr:colOff>
      <xdr:row>0</xdr:row>
      <xdr:rowOff>731520</xdr:rowOff>
    </xdr:to>
    <xdr:grpSp>
      <xdr:nvGrpSpPr>
        <xdr:cNvPr id="2" name="Group 1">
          <a:extLst>
            <a:ext uri="{FF2B5EF4-FFF2-40B4-BE49-F238E27FC236}">
              <a16:creationId xmlns:a16="http://schemas.microsoft.com/office/drawing/2014/main" id="{00000000-0008-0000-4200-000002000000}"/>
            </a:ext>
          </a:extLst>
        </xdr:cNvPr>
        <xdr:cNvGrpSpPr>
          <a:grpSpLocks noChangeAspect="1"/>
        </xdr:cNvGrpSpPr>
      </xdr:nvGrpSpPr>
      <xdr:grpSpPr>
        <a:xfrm>
          <a:off x="0" y="0"/>
          <a:ext cx="8603188" cy="731520"/>
          <a:chOff x="0" y="0"/>
          <a:chExt cx="8597894" cy="731520"/>
        </a:xfrm>
      </xdr:grpSpPr>
      <xdr:sp macro="[0]!GoTo_Main" textlink="">
        <xdr:nvSpPr>
          <xdr:cNvPr id="3" name="Rounded Rectangle 2">
            <a:extLst>
              <a:ext uri="{FF2B5EF4-FFF2-40B4-BE49-F238E27FC236}">
                <a16:creationId xmlns:a16="http://schemas.microsoft.com/office/drawing/2014/main" id="{00000000-0008-0000-4200-000003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4" name="Rounded Rectangle 3">
            <a:extLst>
              <a:ext uri="{FF2B5EF4-FFF2-40B4-BE49-F238E27FC236}">
                <a16:creationId xmlns:a16="http://schemas.microsoft.com/office/drawing/2014/main" id="{00000000-0008-0000-4200-000004000000}"/>
              </a:ext>
            </a:extLst>
          </xdr:cNvPr>
          <xdr:cNvSpPr>
            <a:spLocks noChangeAspect="1"/>
          </xdr:cNvSpPr>
        </xdr:nvSpPr>
        <xdr:spPr>
          <a:xfrm>
            <a:off x="963081" y="0"/>
            <a:ext cx="11887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GoTo_IncomeSubjectOperatingStatementTable" textlink="">
        <xdr:nvSpPr>
          <xdr:cNvPr id="5" name="Rounded Rectangle 4">
            <a:extLst>
              <a:ext uri="{FF2B5EF4-FFF2-40B4-BE49-F238E27FC236}">
                <a16:creationId xmlns:a16="http://schemas.microsoft.com/office/drawing/2014/main" id="{00000000-0008-0000-4200-000005000000}"/>
              </a:ext>
            </a:extLst>
          </xdr:cNvPr>
          <xdr:cNvSpPr>
            <a:spLocks noChangeAspect="1"/>
          </xdr:cNvSpPr>
        </xdr:nvSpPr>
        <xdr:spPr>
          <a:xfrm>
            <a:off x="2201331" y="0"/>
            <a:ext cx="155448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Subject Operating Statements</a:t>
            </a:r>
          </a:p>
        </xdr:txBody>
      </xdr:sp>
      <xdr:sp macro="[0]!GoTo_IncomeExpenseComparablesTable" textlink="">
        <xdr:nvSpPr>
          <xdr:cNvPr id="6" name="Rounded Rectangle 5">
            <a:extLst>
              <a:ext uri="{FF2B5EF4-FFF2-40B4-BE49-F238E27FC236}">
                <a16:creationId xmlns:a16="http://schemas.microsoft.com/office/drawing/2014/main" id="{00000000-0008-0000-4200-000006000000}"/>
              </a:ext>
            </a:extLst>
          </xdr:cNvPr>
          <xdr:cNvSpPr>
            <a:spLocks noChangeAspect="1"/>
          </xdr:cNvSpPr>
        </xdr:nvSpPr>
        <xdr:spPr>
          <a:xfrm>
            <a:off x="3799416" y="0"/>
            <a:ext cx="11887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Expense Comparables</a:t>
            </a:r>
          </a:p>
        </xdr:txBody>
      </xdr:sp>
      <xdr:sp macro="[0]!ShowUserFormIncomeExpenseSelection" textlink="">
        <xdr:nvSpPr>
          <xdr:cNvPr id="7" name="Rounded Rectangle 6">
            <a:extLst>
              <a:ext uri="{FF2B5EF4-FFF2-40B4-BE49-F238E27FC236}">
                <a16:creationId xmlns:a16="http://schemas.microsoft.com/office/drawing/2014/main" id="{00000000-0008-0000-4200-000007000000}"/>
              </a:ext>
            </a:extLst>
          </xdr:cNvPr>
          <xdr:cNvSpPr>
            <a:spLocks noChangeAspect="1"/>
          </xdr:cNvSpPr>
        </xdr:nvSpPr>
        <xdr:spPr>
          <a:xfrm>
            <a:off x="5027081" y="0"/>
            <a:ext cx="16459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Select Income &amp; Expense</a:t>
            </a:r>
            <a:r>
              <a:rPr lang="en-US" sz="1200" b="1" baseline="0">
                <a:latin typeface="Segoe UI" panose="020B0502040204020203" pitchFamily="34" charset="0"/>
                <a:cs typeface="Segoe UI" panose="020B0502040204020203" pitchFamily="34" charset="0"/>
              </a:rPr>
              <a:t> Categories</a:t>
            </a:r>
            <a:endParaRPr lang="en-US" sz="1200" b="1">
              <a:latin typeface="Segoe UI" panose="020B0502040204020203" pitchFamily="34" charset="0"/>
              <a:cs typeface="Segoe UI" panose="020B0502040204020203" pitchFamily="34" charset="0"/>
            </a:endParaRPr>
          </a:p>
        </xdr:txBody>
      </xdr:sp>
      <xdr:sp macro="[0]!Update_IncomeEstimateTables" textlink="">
        <xdr:nvSpPr>
          <xdr:cNvPr id="8" name="Rounded Rectangle 7">
            <a:extLst>
              <a:ext uri="{FF2B5EF4-FFF2-40B4-BE49-F238E27FC236}">
                <a16:creationId xmlns:a16="http://schemas.microsoft.com/office/drawing/2014/main" id="{00000000-0008-0000-4200-000008000000}"/>
              </a:ext>
            </a:extLst>
          </xdr:cNvPr>
          <xdr:cNvSpPr>
            <a:spLocks noChangeAspect="1"/>
          </xdr:cNvSpPr>
        </xdr:nvSpPr>
        <xdr:spPr>
          <a:xfrm>
            <a:off x="6720411"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IncomeEstimateTables" textlink="">
        <xdr:nvSpPr>
          <xdr:cNvPr id="9" name="Rounded Rectangle 8">
            <a:extLst>
              <a:ext uri="{FF2B5EF4-FFF2-40B4-BE49-F238E27FC236}">
                <a16:creationId xmlns:a16="http://schemas.microsoft.com/office/drawing/2014/main" id="{00000000-0008-0000-4200-000009000000}"/>
              </a:ext>
            </a:extLst>
          </xdr:cNvPr>
          <xdr:cNvSpPr>
            <a:spLocks noChangeAspect="1"/>
          </xdr:cNvSpPr>
        </xdr:nvSpPr>
        <xdr:spPr>
          <a:xfrm>
            <a:off x="7683494"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grpSp>
    <xdr:clientData/>
  </xdr:twoCellAnchor>
  <xdr:twoCellAnchor editAs="absolute">
    <xdr:from>
      <xdr:col>11</xdr:col>
      <xdr:colOff>0</xdr:colOff>
      <xdr:row>0</xdr:row>
      <xdr:rowOff>0</xdr:rowOff>
    </xdr:from>
    <xdr:to>
      <xdr:col>22</xdr:col>
      <xdr:colOff>563034</xdr:colOff>
      <xdr:row>62</xdr:row>
      <xdr:rowOff>41276</xdr:rowOff>
    </xdr:to>
    <xdr:sp macro="" textlink="">
      <xdr:nvSpPr>
        <xdr:cNvPr id="10" name="TextBox 9">
          <a:hlinkClick xmlns:r="http://schemas.openxmlformats.org/officeDocument/2006/relationships" r:id="rId1"/>
          <a:extLst>
            <a:ext uri="{FF2B5EF4-FFF2-40B4-BE49-F238E27FC236}">
              <a16:creationId xmlns:a16="http://schemas.microsoft.com/office/drawing/2014/main" id="{00000000-0008-0000-4200-00000A000000}"/>
            </a:ext>
          </a:extLst>
        </xdr:cNvPr>
        <xdr:cNvSpPr txBox="1">
          <a:spLocks noChangeAspect="1"/>
        </xdr:cNvSpPr>
      </xdr:nvSpPr>
      <xdr:spPr>
        <a:xfrm>
          <a:off x="8648700" y="0"/>
          <a:ext cx="7268634" cy="20224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Data populates from Subject Operating Statements Merge</a:t>
          </a:r>
        </a:p>
        <a:p>
          <a:pPr marL="0" marR="0" indent="0" algn="l" defTabSz="914400" rtl="0" eaLnBrk="1" fontAlgn="auto" latinLnBrk="0" hangingPunct="1">
            <a:lnSpc>
              <a:spcPct val="100000"/>
            </a:lnSpc>
            <a:spcBef>
              <a:spcPts val="30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2.  Make sure proper Income Category selections have been made</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Make Estimate Period selection for each Income/Expense Category (Column J)</a:t>
          </a:r>
        </a:p>
        <a:p>
          <a:pPr marL="0" marR="0" lvl="0" indent="0" algn="l" defTabSz="914400" rtl="0" eaLnBrk="1" fontAlgn="auto" latinLnBrk="0" hangingPunct="1">
            <a:lnSpc>
              <a:spcPct val="100000"/>
            </a:lnSpc>
            <a:spcBef>
              <a:spcPts val="30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     a. </a:t>
          </a:r>
          <a:r>
            <a:rPr lang="en-US" sz="1000" b="1" baseline="0">
              <a:solidFill>
                <a:schemeClr val="dk1"/>
              </a:solidFill>
              <a:effectLst/>
              <a:latin typeface="Segoe UI" panose="020B0502040204020203" pitchFamily="34" charset="0"/>
              <a:ea typeface="+mn-ea"/>
              <a:cs typeface="Segoe UI" panose="020B0502040204020203" pitchFamily="34" charset="0"/>
            </a:rPr>
            <a:t>% of EGI is based on Direct Cap. if "Stabilized Only" Selected and Yr. 1 of DCF for all other selections</a:t>
          </a:r>
          <a:endParaRPr lang="en-US" sz="1000" b="1" i="0" baseline="0">
            <a:solidFill>
              <a:schemeClr val="dk1"/>
            </a:solidFill>
            <a:effectLst/>
            <a:latin typeface="Segoe UI" panose="020B0502040204020203" pitchFamily="34" charset="0"/>
            <a:ea typeface="+mn-ea"/>
            <a:cs typeface="Segoe UI" panose="020B0502040204020203" pitchFamily="34" charset="0"/>
          </a:endParaRP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4.  User Inputs Income Estimates in Column E</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5.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6. Press "Default" Button to add</a:t>
          </a:r>
          <a:r>
            <a:rPr lang="en-US" sz="1000" b="1" baseline="0">
              <a:effectLst/>
              <a:latin typeface="Segoe UI" panose="020B0502040204020203" pitchFamily="34" charset="0"/>
              <a:cs typeface="Segoe UI" panose="020B0502040204020203" pitchFamily="34" charset="0"/>
            </a:rPr>
            <a:t> background colors/cell comment indicators &amp; unhide all rows to modify prior inputs</a:t>
          </a:r>
        </a:p>
        <a:p>
          <a:pPr algn="l" rtl="0">
            <a:spcBef>
              <a:spcPts val="300"/>
            </a:spcBef>
            <a:spcAft>
              <a:spcPts val="300"/>
            </a:spcAft>
          </a:pPr>
          <a:r>
            <a:rPr lang="en-US" sz="1000" b="1" u="sng" baseline="0">
              <a:solidFill>
                <a:srgbClr val="0000FF"/>
              </a:solidFill>
              <a:effectLst/>
              <a:latin typeface="Segoe UI" panose="020B0502040204020203" pitchFamily="34" charset="0"/>
              <a:cs typeface="Segoe UI" panose="020B0502040204020203" pitchFamily="34" charset="0"/>
            </a:rPr>
            <a:t>User Guide</a:t>
          </a:r>
          <a:endParaRPr lang="en-US" sz="1000" b="1" u="sng">
            <a:solidFill>
              <a:srgbClr val="0000FF"/>
            </a:solidFill>
            <a:effectLst/>
            <a:latin typeface="Segoe UI" panose="020B0502040204020203" pitchFamily="34" charset="0"/>
            <a:cs typeface="Segoe UI" panose="020B0502040204020203" pitchFamily="34" charset="0"/>
          </a:endParaRPr>
        </a:p>
      </xdr:txBody>
    </xdr:sp>
    <xdr:clientData/>
  </xdr:twoCellAnchor>
</xdr:wsDr>
</file>

<file path=xl/drawings/drawing57.xml><?xml version="1.0" encoding="utf-8"?>
<xdr:wsDr xmlns:xdr="http://schemas.openxmlformats.org/drawingml/2006/spreadsheetDrawing" xmlns:a="http://schemas.openxmlformats.org/drawingml/2006/main">
  <xdr:twoCellAnchor editAs="absolute">
    <xdr:from>
      <xdr:col>19</xdr:col>
      <xdr:colOff>407464</xdr:colOff>
      <xdr:row>0</xdr:row>
      <xdr:rowOff>52918</xdr:rowOff>
    </xdr:from>
    <xdr:to>
      <xdr:col>40</xdr:col>
      <xdr:colOff>325669</xdr:colOff>
      <xdr:row>1</xdr:row>
      <xdr:rowOff>1068917</xdr:rowOff>
    </xdr:to>
    <xdr:sp macro="" textlink="">
      <xdr:nvSpPr>
        <xdr:cNvPr id="10" name="TextBox 9">
          <a:hlinkClick xmlns:r="http://schemas.openxmlformats.org/officeDocument/2006/relationships" r:id="rId1"/>
          <a:extLst>
            <a:ext uri="{FF2B5EF4-FFF2-40B4-BE49-F238E27FC236}">
              <a16:creationId xmlns:a16="http://schemas.microsoft.com/office/drawing/2014/main" id="{00000000-0008-0000-4300-00000A000000}"/>
            </a:ext>
          </a:extLst>
        </xdr:cNvPr>
        <xdr:cNvSpPr txBox="1">
          <a:spLocks noChangeAspect="1"/>
        </xdr:cNvSpPr>
      </xdr:nvSpPr>
      <xdr:spPr>
        <a:xfrm>
          <a:off x="8666697" y="52918"/>
          <a:ext cx="7315200" cy="17779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Data populates from Subject Operating Statements &amp; Expense Comparable Merges</a:t>
          </a:r>
        </a:p>
        <a:p>
          <a:pPr marL="0" marR="0" indent="0" algn="l" defTabSz="914400" rtl="0" eaLnBrk="1" fontAlgn="auto" latinLnBrk="0" hangingPunct="1">
            <a:lnSpc>
              <a:spcPct val="100000"/>
            </a:lnSpc>
            <a:spcBef>
              <a:spcPts val="30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2.  Make sure proper Expense Category selections have been made</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Make Estimate Period selection for each Expense Category (Column P)</a:t>
          </a:r>
        </a:p>
        <a:p>
          <a:pPr marL="0" marR="0" lvl="0" indent="0" algn="l" defTabSz="914400" rtl="0" eaLnBrk="1" fontAlgn="auto" latinLnBrk="0" hangingPunct="1">
            <a:lnSpc>
              <a:spcPct val="100000"/>
            </a:lnSpc>
            <a:spcBef>
              <a:spcPts val="30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     a. </a:t>
          </a:r>
          <a:r>
            <a:rPr lang="en-US" sz="1000" b="1" baseline="0">
              <a:solidFill>
                <a:schemeClr val="dk1"/>
              </a:solidFill>
              <a:effectLst/>
              <a:latin typeface="Segoe UI" panose="020B0502040204020203" pitchFamily="34" charset="0"/>
              <a:ea typeface="+mn-ea"/>
              <a:cs typeface="Segoe UI" panose="020B0502040204020203" pitchFamily="34" charset="0"/>
            </a:rPr>
            <a:t>% of EGI is based on Direct Cap. if "Stabilized Only" Selected and Yr. 1 of DCF for all other selections</a:t>
          </a:r>
          <a:endParaRPr lang="en-US" sz="1000" b="1" i="0" baseline="0">
            <a:solidFill>
              <a:schemeClr val="dk1"/>
            </a:solidFill>
            <a:effectLst/>
            <a:latin typeface="Segoe UI" panose="020B0502040204020203" pitchFamily="34" charset="0"/>
            <a:ea typeface="+mn-ea"/>
            <a:cs typeface="Segoe UI" panose="020B0502040204020203" pitchFamily="34" charset="0"/>
          </a:endParaRPr>
        </a:p>
        <a:p>
          <a:pPr marL="0" marR="0" lvl="0" indent="0" algn="l" defTabSz="914400" rtl="0" eaLnBrk="1" fontAlgn="auto" latinLnBrk="0" hangingPunct="1">
            <a:lnSpc>
              <a:spcPct val="100000"/>
            </a:lnSpc>
            <a:spcBef>
              <a:spcPts val="300"/>
            </a:spcBef>
            <a:spcAft>
              <a:spcPts val="300"/>
            </a:spcAft>
            <a:buClrTx/>
            <a:buSzTx/>
            <a:buFontTx/>
            <a:buNone/>
            <a:tabLst/>
            <a:defRPr/>
          </a:pPr>
          <a:r>
            <a:rPr lang="en-US" sz="1000" b="1">
              <a:solidFill>
                <a:schemeClr val="dk1"/>
              </a:solidFill>
              <a:effectLst/>
              <a:latin typeface="Segoe UI" panose="020B0502040204020203" pitchFamily="34" charset="0"/>
              <a:ea typeface="+mn-ea"/>
              <a:cs typeface="Segoe UI" panose="020B0502040204020203" pitchFamily="34" charset="0"/>
            </a:rPr>
            <a:t>4.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effectLst/>
              <a:latin typeface="Segoe UI" panose="020B0502040204020203" pitchFamily="34" charset="0"/>
              <a:cs typeface="Segoe UI" panose="020B0502040204020203" pitchFamily="34" charset="0"/>
            </a:rPr>
            <a:t>5. Press "Default" Button to add</a:t>
          </a:r>
          <a:r>
            <a:rPr lang="en-US" sz="1000" b="1" baseline="0">
              <a:effectLst/>
              <a:latin typeface="Segoe UI" panose="020B0502040204020203" pitchFamily="34" charset="0"/>
              <a:cs typeface="Segoe UI" panose="020B0502040204020203" pitchFamily="34" charset="0"/>
            </a:rPr>
            <a:t> background colors/cell comment indicators &amp; unhide all rows to modify prior inputs</a:t>
          </a:r>
        </a:p>
        <a:p>
          <a:pPr algn="l" rtl="0">
            <a:spcBef>
              <a:spcPts val="300"/>
            </a:spcBef>
            <a:spcAft>
              <a:spcPts val="300"/>
            </a:spcAft>
          </a:pPr>
          <a:r>
            <a:rPr lang="en-US" sz="1000" b="1" u="sng" baseline="0">
              <a:solidFill>
                <a:srgbClr val="0000FF"/>
              </a:solidFill>
              <a:effectLst/>
              <a:latin typeface="Segoe UI" panose="020B0502040204020203" pitchFamily="34" charset="0"/>
              <a:cs typeface="Segoe UI" panose="020B0502040204020203" pitchFamily="34" charset="0"/>
            </a:rPr>
            <a:t>User Guide</a:t>
          </a:r>
          <a:endParaRPr lang="en-US" sz="1000" b="1"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19</xdr:col>
      <xdr:colOff>337605</xdr:colOff>
      <xdr:row>0</xdr:row>
      <xdr:rowOff>731520</xdr:rowOff>
    </xdr:to>
    <xdr:grpSp>
      <xdr:nvGrpSpPr>
        <xdr:cNvPr id="20" name="Group 19">
          <a:extLst>
            <a:ext uri="{FF2B5EF4-FFF2-40B4-BE49-F238E27FC236}">
              <a16:creationId xmlns:a16="http://schemas.microsoft.com/office/drawing/2014/main" id="{00000000-0008-0000-4300-000014000000}"/>
            </a:ext>
          </a:extLst>
        </xdr:cNvPr>
        <xdr:cNvGrpSpPr>
          <a:grpSpLocks noChangeAspect="1"/>
        </xdr:cNvGrpSpPr>
      </xdr:nvGrpSpPr>
      <xdr:grpSpPr>
        <a:xfrm>
          <a:off x="0" y="0"/>
          <a:ext cx="8586255" cy="731520"/>
          <a:chOff x="0" y="0"/>
          <a:chExt cx="8597894" cy="731520"/>
        </a:xfrm>
      </xdr:grpSpPr>
      <xdr:sp macro="[0]!GoTo_Main" textlink="">
        <xdr:nvSpPr>
          <xdr:cNvPr id="21" name="Rounded Rectangle 20">
            <a:extLst>
              <a:ext uri="{FF2B5EF4-FFF2-40B4-BE49-F238E27FC236}">
                <a16:creationId xmlns:a16="http://schemas.microsoft.com/office/drawing/2014/main" id="{00000000-0008-0000-4300-000015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22" name="Rounded Rectangle 21">
            <a:extLst>
              <a:ext uri="{FF2B5EF4-FFF2-40B4-BE49-F238E27FC236}">
                <a16:creationId xmlns:a16="http://schemas.microsoft.com/office/drawing/2014/main" id="{00000000-0008-0000-4300-000016000000}"/>
              </a:ext>
            </a:extLst>
          </xdr:cNvPr>
          <xdr:cNvSpPr>
            <a:spLocks noChangeAspect="1"/>
          </xdr:cNvSpPr>
        </xdr:nvSpPr>
        <xdr:spPr>
          <a:xfrm>
            <a:off x="963081" y="0"/>
            <a:ext cx="11887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GoTo_IncomeSubjectOperatingStatementTable" textlink="">
        <xdr:nvSpPr>
          <xdr:cNvPr id="23" name="Rounded Rectangle 22">
            <a:extLst>
              <a:ext uri="{FF2B5EF4-FFF2-40B4-BE49-F238E27FC236}">
                <a16:creationId xmlns:a16="http://schemas.microsoft.com/office/drawing/2014/main" id="{00000000-0008-0000-4300-000017000000}"/>
              </a:ext>
            </a:extLst>
          </xdr:cNvPr>
          <xdr:cNvSpPr>
            <a:spLocks noChangeAspect="1"/>
          </xdr:cNvSpPr>
        </xdr:nvSpPr>
        <xdr:spPr>
          <a:xfrm>
            <a:off x="2201331" y="0"/>
            <a:ext cx="155448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Subject Operating Statements</a:t>
            </a:r>
          </a:p>
        </xdr:txBody>
      </xdr:sp>
      <xdr:sp macro="[0]!GoTo_IncomeExpenseComparablesTable" textlink="">
        <xdr:nvSpPr>
          <xdr:cNvPr id="24" name="Rounded Rectangle 23">
            <a:extLst>
              <a:ext uri="{FF2B5EF4-FFF2-40B4-BE49-F238E27FC236}">
                <a16:creationId xmlns:a16="http://schemas.microsoft.com/office/drawing/2014/main" id="{00000000-0008-0000-4300-000018000000}"/>
              </a:ext>
            </a:extLst>
          </xdr:cNvPr>
          <xdr:cNvSpPr>
            <a:spLocks noChangeAspect="1"/>
          </xdr:cNvSpPr>
        </xdr:nvSpPr>
        <xdr:spPr>
          <a:xfrm>
            <a:off x="3799416" y="0"/>
            <a:ext cx="11887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Expense Comparables</a:t>
            </a:r>
          </a:p>
        </xdr:txBody>
      </xdr:sp>
      <xdr:sp macro="[0]!ShowUserFormIncomeExpenseSelection" textlink="">
        <xdr:nvSpPr>
          <xdr:cNvPr id="25" name="Rounded Rectangle 24">
            <a:extLst>
              <a:ext uri="{FF2B5EF4-FFF2-40B4-BE49-F238E27FC236}">
                <a16:creationId xmlns:a16="http://schemas.microsoft.com/office/drawing/2014/main" id="{00000000-0008-0000-4300-000019000000}"/>
              </a:ext>
            </a:extLst>
          </xdr:cNvPr>
          <xdr:cNvSpPr>
            <a:spLocks noChangeAspect="1"/>
          </xdr:cNvSpPr>
        </xdr:nvSpPr>
        <xdr:spPr>
          <a:xfrm>
            <a:off x="5027081" y="0"/>
            <a:ext cx="16459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Select Income &amp; Expense</a:t>
            </a:r>
            <a:r>
              <a:rPr lang="en-US" sz="1200" b="1" baseline="0">
                <a:latin typeface="Segoe UI" panose="020B0502040204020203" pitchFamily="34" charset="0"/>
                <a:cs typeface="Segoe UI" panose="020B0502040204020203" pitchFamily="34" charset="0"/>
              </a:rPr>
              <a:t> Categories</a:t>
            </a:r>
            <a:endParaRPr lang="en-US" sz="1200" b="1">
              <a:latin typeface="Segoe UI" panose="020B0502040204020203" pitchFamily="34" charset="0"/>
              <a:cs typeface="Segoe UI" panose="020B0502040204020203" pitchFamily="34" charset="0"/>
            </a:endParaRPr>
          </a:p>
        </xdr:txBody>
      </xdr:sp>
      <xdr:sp macro="[0]!Update_ExpenseEstimateTables" textlink="">
        <xdr:nvSpPr>
          <xdr:cNvPr id="26" name="Rounded Rectangle 25">
            <a:extLst>
              <a:ext uri="{FF2B5EF4-FFF2-40B4-BE49-F238E27FC236}">
                <a16:creationId xmlns:a16="http://schemas.microsoft.com/office/drawing/2014/main" id="{00000000-0008-0000-4300-00001A000000}"/>
              </a:ext>
            </a:extLst>
          </xdr:cNvPr>
          <xdr:cNvSpPr>
            <a:spLocks noChangeAspect="1"/>
          </xdr:cNvSpPr>
        </xdr:nvSpPr>
        <xdr:spPr>
          <a:xfrm>
            <a:off x="6720411"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ExpenseEstimateTables" textlink="">
        <xdr:nvSpPr>
          <xdr:cNvPr id="27" name="Rounded Rectangle 26">
            <a:extLst>
              <a:ext uri="{FF2B5EF4-FFF2-40B4-BE49-F238E27FC236}">
                <a16:creationId xmlns:a16="http://schemas.microsoft.com/office/drawing/2014/main" id="{00000000-0008-0000-4300-00001B000000}"/>
              </a:ext>
            </a:extLst>
          </xdr:cNvPr>
          <xdr:cNvSpPr>
            <a:spLocks noChangeAspect="1"/>
          </xdr:cNvSpPr>
        </xdr:nvSpPr>
        <xdr:spPr>
          <a:xfrm>
            <a:off x="7683494"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grpSp>
    <xdr:clientData/>
  </xdr:twoCellAnchor>
  <xdr:twoCellAnchor>
    <xdr:from>
      <xdr:col>15</xdr:col>
      <xdr:colOff>31750</xdr:colOff>
      <xdr:row>24</xdr:row>
      <xdr:rowOff>31750</xdr:rowOff>
    </xdr:from>
    <xdr:to>
      <xdr:col>15</xdr:col>
      <xdr:colOff>1494790</xdr:colOff>
      <xdr:row>25</xdr:row>
      <xdr:rowOff>16933</xdr:rowOff>
    </xdr:to>
    <xdr:sp macro="[0]!ApplyTaxExpense" textlink="">
      <xdr:nvSpPr>
        <xdr:cNvPr id="11" name="Rounded Rectangle 10">
          <a:extLst>
            <a:ext uri="{FF2B5EF4-FFF2-40B4-BE49-F238E27FC236}">
              <a16:creationId xmlns:a16="http://schemas.microsoft.com/office/drawing/2014/main" id="{00000000-0008-0000-4300-00000B000000}"/>
            </a:ext>
          </a:extLst>
        </xdr:cNvPr>
        <xdr:cNvSpPr>
          <a:spLocks noChangeAspect="1"/>
        </xdr:cNvSpPr>
      </xdr:nvSpPr>
      <xdr:spPr>
        <a:xfrm>
          <a:off x="6879167" y="16054917"/>
          <a:ext cx="1463040" cy="228599"/>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ysClr val="windowText" lastClr="000000"/>
              </a:solidFill>
              <a:latin typeface="Segoe UI" panose="020B0502040204020203" pitchFamily="34" charset="0"/>
              <a:cs typeface="Segoe UI" panose="020B0502040204020203" pitchFamily="34" charset="0"/>
            </a:rPr>
            <a:t>Apply Tax Expense</a:t>
          </a:r>
        </a:p>
        <a:p>
          <a:pPr algn="ctr"/>
          <a:endParaRPr lang="en-US" sz="12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editAs="absolute">
    <xdr:from>
      <xdr:col>0</xdr:col>
      <xdr:colOff>95250</xdr:colOff>
      <xdr:row>1</xdr:row>
      <xdr:rowOff>21167</xdr:rowOff>
    </xdr:from>
    <xdr:to>
      <xdr:col>15</xdr:col>
      <xdr:colOff>1212850</xdr:colOff>
      <xdr:row>1</xdr:row>
      <xdr:rowOff>1270001</xdr:rowOff>
    </xdr:to>
    <xdr:sp macro="" textlink="">
      <xdr:nvSpPr>
        <xdr:cNvPr id="12" name="TextBox 11">
          <a:hlinkClick xmlns:r="http://schemas.openxmlformats.org/officeDocument/2006/relationships" r:id="rId1"/>
          <a:extLst>
            <a:ext uri="{FF2B5EF4-FFF2-40B4-BE49-F238E27FC236}">
              <a16:creationId xmlns:a16="http://schemas.microsoft.com/office/drawing/2014/main" id="{00000000-0008-0000-4300-00000C000000}"/>
            </a:ext>
          </a:extLst>
        </xdr:cNvPr>
        <xdr:cNvSpPr txBox="1">
          <a:spLocks noChangeAspect="1"/>
        </xdr:cNvSpPr>
      </xdr:nvSpPr>
      <xdr:spPr>
        <a:xfrm>
          <a:off x="95250" y="783167"/>
          <a:ext cx="7315200" cy="1248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u="sng" baseline="0">
              <a:effectLst/>
              <a:latin typeface="Segoe UI" panose="020B0502040204020203" pitchFamily="34" charset="0"/>
              <a:cs typeface="Segoe UI" panose="020B0502040204020203" pitchFamily="34" charset="0"/>
            </a:rPr>
            <a:t>Expense Pools</a:t>
          </a:r>
        </a:p>
        <a:p>
          <a:pPr algn="l" rtl="0">
            <a:spcBef>
              <a:spcPts val="300"/>
            </a:spcBef>
            <a:spcAft>
              <a:spcPts val="300"/>
            </a:spcAft>
          </a:pPr>
          <a:r>
            <a:rPr lang="en-US" sz="1000" b="1" baseline="0">
              <a:effectLst/>
              <a:latin typeface="Segoe UI" panose="020B0502040204020203" pitchFamily="34" charset="0"/>
              <a:cs typeface="Segoe UI" panose="020B0502040204020203" pitchFamily="34" charset="0"/>
            </a:rPr>
            <a:t>1. Pools Can be Custom Named in Row 2 (will carry through to All Tables)</a:t>
          </a:r>
        </a:p>
        <a:p>
          <a:pPr algn="l" rtl="0">
            <a:spcBef>
              <a:spcPts val="300"/>
            </a:spcBef>
            <a:spcAft>
              <a:spcPts val="300"/>
            </a:spcAft>
          </a:pPr>
          <a:r>
            <a:rPr lang="en-US" sz="1000" b="1" baseline="0">
              <a:effectLst/>
              <a:latin typeface="Segoe UI" panose="020B0502040204020203" pitchFamily="34" charset="0"/>
              <a:cs typeface="Segoe UI" panose="020B0502040204020203" pitchFamily="34" charset="0"/>
            </a:rPr>
            <a:t>2. Enter Effective Gross Income for Each Expense Pool in Row 3 for % of EGI Calculations</a:t>
          </a:r>
        </a:p>
        <a:p>
          <a:pPr algn="l" rtl="0">
            <a:spcBef>
              <a:spcPts val="300"/>
            </a:spcBef>
            <a:spcAft>
              <a:spcPts val="300"/>
            </a:spcAft>
          </a:pPr>
          <a:r>
            <a:rPr lang="en-US" sz="1000" b="1" baseline="0">
              <a:effectLst/>
              <a:latin typeface="Segoe UI" panose="020B0502040204020203" pitchFamily="34" charset="0"/>
              <a:cs typeface="Segoe UI" panose="020B0502040204020203" pitchFamily="34" charset="0"/>
            </a:rPr>
            <a:t>3. Expense Totals Merge as Typical, but Individual Pools must be Manually Entered in Columns E, G, I</a:t>
          </a:r>
        </a:p>
        <a:p>
          <a:pPr algn="l" rtl="0">
            <a:spcBef>
              <a:spcPts val="300"/>
            </a:spcBef>
            <a:spcAft>
              <a:spcPts val="300"/>
            </a:spcAft>
          </a:pPr>
          <a:r>
            <a:rPr lang="en-US" sz="1000" b="1" baseline="0">
              <a:effectLst/>
              <a:latin typeface="Segoe UI" panose="020B0502040204020203" pitchFamily="34" charset="0"/>
              <a:cs typeface="Segoe UI" panose="020B0502040204020203" pitchFamily="34" charset="0"/>
            </a:rPr>
            <a:t>4. Enter Expense Estimates in Columns E, G, I (will Total in Column K, which flows to Direct Cap.)</a:t>
          </a:r>
        </a:p>
      </xdr:txBody>
    </xdr:sp>
    <xdr:clientData/>
  </xdr:twoCellAnchor>
</xdr:wsDr>
</file>

<file path=xl/drawings/drawing58.xml><?xml version="1.0" encoding="utf-8"?>
<xdr:wsDr xmlns:xdr="http://schemas.openxmlformats.org/drawingml/2006/spreadsheetDrawing" xmlns:a="http://schemas.openxmlformats.org/drawingml/2006/main">
  <xdr:twoCellAnchor editAs="absolute">
    <xdr:from>
      <xdr:col>37</xdr:col>
      <xdr:colOff>311146</xdr:colOff>
      <xdr:row>0</xdr:row>
      <xdr:rowOff>0</xdr:rowOff>
    </xdr:from>
    <xdr:to>
      <xdr:col>68</xdr:col>
      <xdr:colOff>675941</xdr:colOff>
      <xdr:row>1</xdr:row>
      <xdr:rowOff>814916</xdr:rowOff>
    </xdr:to>
    <xdr:sp macro="" textlink="">
      <xdr:nvSpPr>
        <xdr:cNvPr id="23" name="TextBox 22">
          <a:hlinkClick xmlns:r="http://schemas.openxmlformats.org/officeDocument/2006/relationships" r:id="rId1"/>
          <a:extLst>
            <a:ext uri="{FF2B5EF4-FFF2-40B4-BE49-F238E27FC236}">
              <a16:creationId xmlns:a16="http://schemas.microsoft.com/office/drawing/2014/main" id="{00000000-0008-0000-4400-000017000000}"/>
            </a:ext>
          </a:extLst>
        </xdr:cNvPr>
        <xdr:cNvSpPr txBox="1">
          <a:spLocks noChangeAspect="1"/>
        </xdr:cNvSpPr>
      </xdr:nvSpPr>
      <xdr:spPr>
        <a:xfrm>
          <a:off x="11209863" y="0"/>
          <a:ext cx="7454570" cy="157691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The only user inputs required on this sheet are the indicated range entries and Remaining Lease Term Option Selection</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Data populates with Datappraise Merge</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If Buckets are Used, Tables are Populated to the Right  </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a:t>
          </a:r>
          <a:r>
            <a:rPr lang="en-US" sz="1000" b="1" i="1" baseline="0">
              <a:solidFill>
                <a:schemeClr val="dk1"/>
              </a:solidFill>
              <a:effectLst/>
              <a:latin typeface="Segoe UI" panose="020B0502040204020203" pitchFamily="34" charset="0"/>
              <a:ea typeface="+mn-ea"/>
              <a:cs typeface="Segoe UI" panose="020B0502040204020203" pitchFamily="34" charset="0"/>
            </a:rPr>
            <a:t>Desired</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3</xdr:col>
      <xdr:colOff>358474</xdr:colOff>
      <xdr:row>0</xdr:row>
      <xdr:rowOff>731520</xdr:rowOff>
    </xdr:to>
    <xdr:sp macro="[0]!GoTo_Main" textlink="">
      <xdr:nvSpPr>
        <xdr:cNvPr id="25" name="Rounded Rectangle 24">
          <a:extLst>
            <a:ext uri="{FF2B5EF4-FFF2-40B4-BE49-F238E27FC236}">
              <a16:creationId xmlns:a16="http://schemas.microsoft.com/office/drawing/2014/main" id="{00000000-0008-0000-4400-000019000000}"/>
            </a:ext>
          </a:extLst>
        </xdr:cNvPr>
        <xdr:cNvSpPr>
          <a:spLocks noChangeAspect="1"/>
        </xdr:cNvSpPr>
      </xdr:nvSpPr>
      <xdr:spPr>
        <a:xfrm>
          <a:off x="0" y="0"/>
          <a:ext cx="910924"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3</xdr:col>
      <xdr:colOff>406970</xdr:colOff>
      <xdr:row>0</xdr:row>
      <xdr:rowOff>0</xdr:rowOff>
    </xdr:from>
    <xdr:to>
      <xdr:col>5</xdr:col>
      <xdr:colOff>286247</xdr:colOff>
      <xdr:row>0</xdr:row>
      <xdr:rowOff>731520</xdr:rowOff>
    </xdr:to>
    <xdr:sp macro="[0]!GoTo_IncomeApproachAssumptions_Input" textlink="">
      <xdr:nvSpPr>
        <xdr:cNvPr id="26" name="Rounded Rectangle 25">
          <a:extLst>
            <a:ext uri="{FF2B5EF4-FFF2-40B4-BE49-F238E27FC236}">
              <a16:creationId xmlns:a16="http://schemas.microsoft.com/office/drawing/2014/main" id="{00000000-0008-0000-4400-00001A000000}"/>
            </a:ext>
          </a:extLst>
        </xdr:cNvPr>
        <xdr:cNvSpPr>
          <a:spLocks noChangeAspect="1"/>
        </xdr:cNvSpPr>
      </xdr:nvSpPr>
      <xdr:spPr>
        <a:xfrm>
          <a:off x="959420" y="0"/>
          <a:ext cx="1184202"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5</xdr:col>
      <xdr:colOff>335593</xdr:colOff>
      <xdr:row>0</xdr:row>
      <xdr:rowOff>0</xdr:rowOff>
    </xdr:from>
    <xdr:to>
      <xdr:col>7</xdr:col>
      <xdr:colOff>266124</xdr:colOff>
      <xdr:row>0</xdr:row>
      <xdr:rowOff>731520</xdr:rowOff>
    </xdr:to>
    <xdr:sp macro="[0]!GoTo_IncomeBoiInvSurveys" textlink="">
      <xdr:nvSpPr>
        <xdr:cNvPr id="33" name="Rounded Rectangle 32">
          <a:extLst>
            <a:ext uri="{FF2B5EF4-FFF2-40B4-BE49-F238E27FC236}">
              <a16:creationId xmlns:a16="http://schemas.microsoft.com/office/drawing/2014/main" id="{00000000-0008-0000-4400-000021000000}"/>
            </a:ext>
          </a:extLst>
        </xdr:cNvPr>
        <xdr:cNvSpPr>
          <a:spLocks noChangeAspect="1"/>
        </xdr:cNvSpPr>
      </xdr:nvSpPr>
      <xdr:spPr>
        <a:xfrm>
          <a:off x="2192968" y="0"/>
          <a:ext cx="1730756"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Band of Investment &amp; Investor Surveys</a:t>
          </a:r>
        </a:p>
      </xdr:txBody>
    </xdr:sp>
    <xdr:clientData/>
  </xdr:twoCellAnchor>
  <xdr:twoCellAnchor editAs="absolute">
    <xdr:from>
      <xdr:col>7</xdr:col>
      <xdr:colOff>307630</xdr:colOff>
      <xdr:row>0</xdr:row>
      <xdr:rowOff>0</xdr:rowOff>
    </xdr:from>
    <xdr:to>
      <xdr:col>14</xdr:col>
      <xdr:colOff>287525</xdr:colOff>
      <xdr:row>0</xdr:row>
      <xdr:rowOff>731520</xdr:rowOff>
    </xdr:to>
    <xdr:sp macro="[0]!GoTo_IncomeDirectCapitalization" textlink="">
      <xdr:nvSpPr>
        <xdr:cNvPr id="34" name="Rounded Rectangle 33">
          <a:extLst>
            <a:ext uri="{FF2B5EF4-FFF2-40B4-BE49-F238E27FC236}">
              <a16:creationId xmlns:a16="http://schemas.microsoft.com/office/drawing/2014/main" id="{00000000-0008-0000-4400-000022000000}"/>
            </a:ext>
          </a:extLst>
        </xdr:cNvPr>
        <xdr:cNvSpPr>
          <a:spLocks noChangeAspect="1"/>
        </xdr:cNvSpPr>
      </xdr:nvSpPr>
      <xdr:spPr>
        <a:xfrm>
          <a:off x="3965230" y="0"/>
          <a:ext cx="1275295"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Direct Capitalization</a:t>
          </a:r>
        </a:p>
      </xdr:txBody>
    </xdr:sp>
    <xdr:clientData/>
  </xdr:twoCellAnchor>
  <xdr:twoCellAnchor editAs="absolute">
    <xdr:from>
      <xdr:col>14</xdr:col>
      <xdr:colOff>330119</xdr:colOff>
      <xdr:row>0</xdr:row>
      <xdr:rowOff>0</xdr:rowOff>
    </xdr:from>
    <xdr:to>
      <xdr:col>25</xdr:col>
      <xdr:colOff>699328</xdr:colOff>
      <xdr:row>0</xdr:row>
      <xdr:rowOff>731520</xdr:rowOff>
    </xdr:to>
    <xdr:sp macro="[0]!Update_MarketOAR_ActualTable" textlink="">
      <xdr:nvSpPr>
        <xdr:cNvPr id="35" name="Rounded Rectangle 34">
          <a:extLst>
            <a:ext uri="{FF2B5EF4-FFF2-40B4-BE49-F238E27FC236}">
              <a16:creationId xmlns:a16="http://schemas.microsoft.com/office/drawing/2014/main" id="{00000000-0008-0000-4400-000023000000}"/>
            </a:ext>
          </a:extLst>
        </xdr:cNvPr>
        <xdr:cNvSpPr>
          <a:spLocks noChangeAspect="1"/>
        </xdr:cNvSpPr>
      </xdr:nvSpPr>
      <xdr:spPr>
        <a:xfrm>
          <a:off x="5283119" y="0"/>
          <a:ext cx="1093109"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 - Actual OAR</a:t>
          </a:r>
        </a:p>
      </xdr:txBody>
    </xdr:sp>
    <xdr:clientData/>
  </xdr:twoCellAnchor>
  <xdr:twoCellAnchor editAs="absolute">
    <xdr:from>
      <xdr:col>35</xdr:col>
      <xdr:colOff>612016</xdr:colOff>
      <xdr:row>0</xdr:row>
      <xdr:rowOff>0</xdr:rowOff>
    </xdr:from>
    <xdr:to>
      <xdr:col>37</xdr:col>
      <xdr:colOff>170390</xdr:colOff>
      <xdr:row>0</xdr:row>
      <xdr:rowOff>731520</xdr:rowOff>
    </xdr:to>
    <xdr:sp macro="[0]!default" textlink="">
      <xdr:nvSpPr>
        <xdr:cNvPr id="36" name="Rounded Rectangle 35">
          <a:extLst>
            <a:ext uri="{FF2B5EF4-FFF2-40B4-BE49-F238E27FC236}">
              <a16:creationId xmlns:a16="http://schemas.microsoft.com/office/drawing/2014/main" id="{00000000-0008-0000-4400-000024000000}"/>
            </a:ext>
          </a:extLst>
        </xdr:cNvPr>
        <xdr:cNvSpPr>
          <a:spLocks noChangeAspect="1"/>
        </xdr:cNvSpPr>
      </xdr:nvSpPr>
      <xdr:spPr>
        <a:xfrm>
          <a:off x="10175116" y="0"/>
          <a:ext cx="910924"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clientData/>
  </xdr:twoCellAnchor>
  <xdr:twoCellAnchor editAs="absolute">
    <xdr:from>
      <xdr:col>25</xdr:col>
      <xdr:colOff>755411</xdr:colOff>
      <xdr:row>0</xdr:row>
      <xdr:rowOff>0</xdr:rowOff>
    </xdr:from>
    <xdr:to>
      <xdr:col>30</xdr:col>
      <xdr:colOff>630002</xdr:colOff>
      <xdr:row>0</xdr:row>
      <xdr:rowOff>731520</xdr:rowOff>
    </xdr:to>
    <xdr:sp macro="[0]!Update_MarketOAR_StabNoReserveTable" textlink="">
      <xdr:nvSpPr>
        <xdr:cNvPr id="41" name="Rounded Rectangle 40">
          <a:extLst>
            <a:ext uri="{FF2B5EF4-FFF2-40B4-BE49-F238E27FC236}">
              <a16:creationId xmlns:a16="http://schemas.microsoft.com/office/drawing/2014/main" id="{00000000-0008-0000-4400-000029000000}"/>
            </a:ext>
          </a:extLst>
        </xdr:cNvPr>
        <xdr:cNvSpPr>
          <a:spLocks noChangeAspect="1"/>
        </xdr:cNvSpPr>
      </xdr:nvSpPr>
      <xdr:spPr>
        <a:xfrm>
          <a:off x="6432311" y="0"/>
          <a:ext cx="1912941"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 - Stabilized OAR Prior to Reserves</a:t>
          </a:r>
        </a:p>
      </xdr:txBody>
    </xdr:sp>
    <xdr:clientData/>
  </xdr:twoCellAnchor>
  <xdr:twoCellAnchor editAs="absolute">
    <xdr:from>
      <xdr:col>30</xdr:col>
      <xdr:colOff>678082</xdr:colOff>
      <xdr:row>0</xdr:row>
      <xdr:rowOff>0</xdr:rowOff>
    </xdr:from>
    <xdr:to>
      <xdr:col>35</xdr:col>
      <xdr:colOff>560988</xdr:colOff>
      <xdr:row>0</xdr:row>
      <xdr:rowOff>731520</xdr:rowOff>
    </xdr:to>
    <xdr:sp macro="[0]!Update_MarketOAR_StabReserveTable" textlink="">
      <xdr:nvSpPr>
        <xdr:cNvPr id="42" name="Rounded Rectangle 41">
          <a:extLst>
            <a:ext uri="{FF2B5EF4-FFF2-40B4-BE49-F238E27FC236}">
              <a16:creationId xmlns:a16="http://schemas.microsoft.com/office/drawing/2014/main" id="{00000000-0008-0000-4400-00002A000000}"/>
            </a:ext>
          </a:extLst>
        </xdr:cNvPr>
        <xdr:cNvSpPr>
          <a:spLocks noChangeAspect="1"/>
        </xdr:cNvSpPr>
      </xdr:nvSpPr>
      <xdr:spPr>
        <a:xfrm>
          <a:off x="8393332" y="0"/>
          <a:ext cx="173075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 - Stabilized OAR After Reserves</a:t>
          </a:r>
        </a:p>
      </xdr:txBody>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6</xdr:col>
      <xdr:colOff>95250</xdr:colOff>
      <xdr:row>2</xdr:row>
      <xdr:rowOff>47625</xdr:rowOff>
    </xdr:from>
    <xdr:to>
      <xdr:col>14</xdr:col>
      <xdr:colOff>76200</xdr:colOff>
      <xdr:row>4</xdr:row>
      <xdr:rowOff>123825</xdr:rowOff>
    </xdr:to>
    <xdr:sp macro="" textlink="">
      <xdr:nvSpPr>
        <xdr:cNvPr id="11" name="TextBox 10">
          <a:extLst>
            <a:ext uri="{FF2B5EF4-FFF2-40B4-BE49-F238E27FC236}">
              <a16:creationId xmlns:a16="http://schemas.microsoft.com/office/drawing/2014/main" id="{00000000-0008-0000-4500-00000B000000}"/>
            </a:ext>
          </a:extLst>
        </xdr:cNvPr>
        <xdr:cNvSpPr txBox="1"/>
      </xdr:nvSpPr>
      <xdr:spPr>
        <a:xfrm>
          <a:off x="3857625" y="1190625"/>
          <a:ext cx="2981325" cy="44767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rtl="0" eaLnBrk="1" fontAlgn="auto" latinLnBrk="0" hangingPunct="1">
            <a:lnSpc>
              <a:spcPct val="100000"/>
            </a:lnSpc>
            <a:spcBef>
              <a:spcPts val="300"/>
            </a:spcBef>
            <a:spcAft>
              <a:spcPts val="300"/>
            </a:spcAft>
            <a:buClrTx/>
            <a:buSzTx/>
            <a:buFontTx/>
            <a:buNone/>
            <a:tabLst/>
            <a:defRPr/>
          </a:pPr>
          <a:r>
            <a:rPr lang="en-US" sz="900" b="1" i="0" baseline="0">
              <a:solidFill>
                <a:schemeClr val="dk1"/>
              </a:solidFill>
              <a:effectLst/>
              <a:latin typeface="Segoe UI" panose="020B0502040204020203" pitchFamily="34" charset="0"/>
              <a:ea typeface="+mn-ea"/>
              <a:cs typeface="Segoe UI" panose="020B0502040204020203" pitchFamily="34" charset="0"/>
            </a:rPr>
            <a:t>❶ Select RR Property Type here for BOI table; Delete to Hide RealtyRates Data and Resize Table</a:t>
          </a:r>
        </a:p>
      </xdr:txBody>
    </xdr:sp>
    <xdr:clientData/>
  </xdr:twoCellAnchor>
  <xdr:twoCellAnchor editAs="oneCell">
    <xdr:from>
      <xdr:col>3</xdr:col>
      <xdr:colOff>0</xdr:colOff>
      <xdr:row>26</xdr:row>
      <xdr:rowOff>28575</xdr:rowOff>
    </xdr:from>
    <xdr:to>
      <xdr:col>5</xdr:col>
      <xdr:colOff>1381125</xdr:colOff>
      <xdr:row>26</xdr:row>
      <xdr:rowOff>295274</xdr:rowOff>
    </xdr:to>
    <xdr:sp macro="" textlink="">
      <xdr:nvSpPr>
        <xdr:cNvPr id="12" name="TextBox 11">
          <a:extLst>
            <a:ext uri="{FF2B5EF4-FFF2-40B4-BE49-F238E27FC236}">
              <a16:creationId xmlns:a16="http://schemas.microsoft.com/office/drawing/2014/main" id="{00000000-0008-0000-4500-00000C000000}"/>
            </a:ext>
          </a:extLst>
        </xdr:cNvPr>
        <xdr:cNvSpPr txBox="1"/>
      </xdr:nvSpPr>
      <xdr:spPr>
        <a:xfrm>
          <a:off x="552450" y="4448175"/>
          <a:ext cx="3143250" cy="266699"/>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rtl="0" eaLnBrk="1" fontAlgn="auto" latinLnBrk="0" hangingPunct="1">
            <a:lnSpc>
              <a:spcPct val="100000"/>
            </a:lnSpc>
            <a:spcBef>
              <a:spcPts val="300"/>
            </a:spcBef>
            <a:spcAft>
              <a:spcPts val="300"/>
            </a:spcAft>
            <a:buClrTx/>
            <a:buSzTx/>
            <a:buFontTx/>
            <a:buNone/>
            <a:tabLst/>
            <a:defRPr/>
          </a:pPr>
          <a:r>
            <a:rPr lang="en-US" sz="900" b="1" i="0" baseline="0">
              <a:solidFill>
                <a:schemeClr val="dk1"/>
              </a:solidFill>
              <a:effectLst/>
              <a:latin typeface="Segoe UI" panose="020B0502040204020203" pitchFamily="34" charset="0"/>
              <a:ea typeface="+mn-ea"/>
              <a:cs typeface="Segoe UI" panose="020B0502040204020203" pitchFamily="34" charset="0"/>
            </a:rPr>
            <a:t>❷ Select property types below for remaining tables</a:t>
          </a:r>
        </a:p>
      </xdr:txBody>
    </xdr:sp>
    <xdr:clientData/>
  </xdr:twoCellAnchor>
  <xdr:twoCellAnchor editAs="absolute">
    <xdr:from>
      <xdr:col>17</xdr:col>
      <xdr:colOff>123825</xdr:colOff>
      <xdr:row>0</xdr:row>
      <xdr:rowOff>57150</xdr:rowOff>
    </xdr:from>
    <xdr:to>
      <xdr:col>29</xdr:col>
      <xdr:colOff>41910</xdr:colOff>
      <xdr:row>10</xdr:row>
      <xdr:rowOff>129540</xdr:rowOff>
    </xdr:to>
    <xdr:sp macro="" textlink="">
      <xdr:nvSpPr>
        <xdr:cNvPr id="13" name="TextBox 12">
          <a:hlinkClick xmlns:r="http://schemas.openxmlformats.org/officeDocument/2006/relationships" r:id="rId1"/>
          <a:extLst>
            <a:ext uri="{FF2B5EF4-FFF2-40B4-BE49-F238E27FC236}">
              <a16:creationId xmlns:a16="http://schemas.microsoft.com/office/drawing/2014/main" id="{00000000-0008-0000-4500-00000D000000}"/>
            </a:ext>
          </a:extLst>
        </xdr:cNvPr>
        <xdr:cNvSpPr txBox="1"/>
      </xdr:nvSpPr>
      <xdr:spPr>
        <a:xfrm>
          <a:off x="8162925" y="57150"/>
          <a:ext cx="7680960" cy="28346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User inputs in cells with white background only</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2.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 "Default" Button to </a:t>
          </a:r>
          <a:r>
            <a:rPr lang="en-US" sz="1000" b="1" baseline="0">
              <a:solidFill>
                <a:schemeClr val="dk1"/>
              </a:solidFill>
              <a:effectLst/>
              <a:latin typeface="Segoe UI" panose="020B0502040204020203" pitchFamily="34" charset="0"/>
              <a:ea typeface="+mn-ea"/>
              <a:cs typeface="Segoe UI" panose="020B0502040204020203" pitchFamily="34" charset="0"/>
            </a:rPr>
            <a:t>unhide all rows/columns</a:t>
          </a:r>
        </a:p>
        <a:p>
          <a:pPr algn="l" rtl="0">
            <a:spcBef>
              <a:spcPts val="300"/>
            </a:spcBef>
            <a:spcAft>
              <a:spcPts val="300"/>
            </a:spcAft>
          </a:pPr>
          <a:r>
            <a:rPr lang="en-US" sz="1000" b="1" baseline="0">
              <a:solidFill>
                <a:schemeClr val="dk1"/>
              </a:solidFill>
              <a:effectLst/>
              <a:latin typeface="Segoe UI" panose="020B0502040204020203" pitchFamily="34" charset="0"/>
              <a:ea typeface="+mn-ea"/>
              <a:cs typeface="Segoe UI" panose="020B0502040204020203" pitchFamily="34" charset="0"/>
            </a:rPr>
            <a:t>4. Use "Get Latest Survey Data" from the Valbridge Intranet to import the current PwC, RERC Investor Survey and RealtyRate.com data (</a:t>
          </a:r>
          <a:r>
            <a:rPr lang="en-US" sz="1000" b="1" i="1" baseline="0">
              <a:solidFill>
                <a:schemeClr val="dk1"/>
              </a:solidFill>
              <a:effectLst/>
              <a:latin typeface="Segoe UI" panose="020B0502040204020203" pitchFamily="34" charset="0"/>
              <a:ea typeface="+mn-ea"/>
              <a:cs typeface="Segoe UI" panose="020B0502040204020203" pitchFamily="34" charset="0"/>
            </a:rPr>
            <a:t>Investor Survey Utility.xlsx</a:t>
          </a:r>
          <a:r>
            <a:rPr lang="en-US" sz="1000" b="1" baseline="0">
              <a:solidFill>
                <a:schemeClr val="dk1"/>
              </a:solidFill>
              <a:effectLst/>
              <a:latin typeface="Segoe UI" panose="020B0502040204020203" pitchFamily="34" charset="0"/>
              <a:ea typeface="+mn-ea"/>
              <a:cs typeface="Segoe UI" panose="020B0502040204020203" pitchFamily="34" charset="0"/>
            </a:rPr>
            <a:t>) and auto-populate all of these tables. Make sure that you have saved the data file to your system (same folder as job template for quick access) and point to it when prompted.</a:t>
          </a:r>
        </a:p>
        <a:p>
          <a:pPr algn="l" rtl="0">
            <a:spcBef>
              <a:spcPts val="300"/>
            </a:spcBef>
            <a:spcAft>
              <a:spcPts val="300"/>
            </a:spcAft>
          </a:pPr>
          <a:r>
            <a:rPr lang="en-US" sz="1000" b="1" baseline="0">
              <a:solidFill>
                <a:schemeClr val="dk1"/>
              </a:solidFill>
              <a:effectLst/>
              <a:latin typeface="Segoe UI" panose="020B0502040204020203" pitchFamily="34" charset="0"/>
              <a:ea typeface="+mn-ea"/>
              <a:cs typeface="Segoe UI" panose="020B0502040204020203" pitchFamily="34" charset="0"/>
            </a:rPr>
            <a:t>5. You May "Localize" the Investor Survey Utility with Up to an Additional 10 PwC and 10 RERC Investory Survey Categories</a:t>
          </a:r>
        </a:p>
        <a:p>
          <a:pPr algn="l" rtl="0">
            <a:spcBef>
              <a:spcPts val="300"/>
            </a:spcBef>
            <a:spcAft>
              <a:spcPts val="300"/>
            </a:spcAft>
          </a:pPr>
          <a:r>
            <a:rPr lang="en-US" sz="1000" b="1" baseline="0">
              <a:solidFill>
                <a:schemeClr val="dk1"/>
              </a:solidFill>
              <a:effectLst/>
              <a:latin typeface="Segoe UI" panose="020B0502040204020203" pitchFamily="34" charset="0"/>
              <a:ea typeface="+mn-ea"/>
              <a:cs typeface="Segoe UI" panose="020B0502040204020203" pitchFamily="34" charset="0"/>
            </a:rPr>
            <a:t>6. Select your property type ❶ above BOI table for BOI data, and ❷ inside the Discount Rates table for each property type/survey that you want to display data. </a:t>
          </a:r>
        </a:p>
        <a:p>
          <a:pPr algn="l" rtl="0">
            <a:spcBef>
              <a:spcPts val="300"/>
            </a:spcBef>
            <a:spcAft>
              <a:spcPts val="300"/>
            </a:spcAft>
          </a:pPr>
          <a:r>
            <a:rPr lang="en-US" sz="1000" b="1" baseline="0">
              <a:solidFill>
                <a:schemeClr val="dk1"/>
              </a:solidFill>
              <a:effectLst/>
              <a:latin typeface="Segoe UI" panose="020B0502040204020203" pitchFamily="34" charset="0"/>
              <a:ea typeface="+mn-ea"/>
              <a:cs typeface="Segoe UI" panose="020B0502040204020203" pitchFamily="34" charset="0"/>
            </a:rPr>
            <a:t>7. Manual Entry Rows are provided for use with Surveys not incouded in Investor Survey Utility file.</a:t>
          </a:r>
        </a:p>
        <a:p>
          <a:pPr algn="l" rtl="0">
            <a:spcBef>
              <a:spcPts val="300"/>
            </a:spcBef>
            <a:spcAft>
              <a:spcPts val="300"/>
            </a:spcAft>
          </a:pPr>
          <a:r>
            <a:rPr lang="en-US" sz="1000" b="1" baseline="0">
              <a:solidFill>
                <a:schemeClr val="dk1"/>
              </a:solidFill>
              <a:effectLst/>
              <a:latin typeface="Segoe UI" panose="020B0502040204020203" pitchFamily="34" charset="0"/>
              <a:ea typeface="+mn-ea"/>
              <a:cs typeface="Segoe UI" panose="020B0502040204020203" pitchFamily="34" charset="0"/>
            </a:rPr>
            <a:t>8. Alternative Rates for Comparison to Yield Rates are Imported from the Federal Reserve Economic Develompent (FRED) site</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3</xdr:col>
      <xdr:colOff>310572</xdr:colOff>
      <xdr:row>0</xdr:row>
      <xdr:rowOff>731520</xdr:rowOff>
    </xdr:to>
    <xdr:sp macro="[0]!GoTo_Main" textlink="">
      <xdr:nvSpPr>
        <xdr:cNvPr id="19" name="Rounded Rectangle 18">
          <a:extLst>
            <a:ext uri="{FF2B5EF4-FFF2-40B4-BE49-F238E27FC236}">
              <a16:creationId xmlns:a16="http://schemas.microsoft.com/office/drawing/2014/main" id="{00000000-0008-0000-4500-000013000000}"/>
            </a:ext>
          </a:extLst>
        </xdr:cNvPr>
        <xdr:cNvSpPr>
          <a:spLocks noChangeAspect="1"/>
        </xdr:cNvSpPr>
      </xdr:nvSpPr>
      <xdr:spPr>
        <a:xfrm>
          <a:off x="0" y="0"/>
          <a:ext cx="863022"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3</xdr:col>
      <xdr:colOff>346992</xdr:colOff>
      <xdr:row>0</xdr:row>
      <xdr:rowOff>0</xdr:rowOff>
    </xdr:from>
    <xdr:to>
      <xdr:col>4</xdr:col>
      <xdr:colOff>21237</xdr:colOff>
      <xdr:row>0</xdr:row>
      <xdr:rowOff>731520</xdr:rowOff>
    </xdr:to>
    <xdr:sp macro="[0]!GoTo_IncomeApproachAssumptions_Input" textlink="">
      <xdr:nvSpPr>
        <xdr:cNvPr id="20" name="Rounded Rectangle 19">
          <a:extLst>
            <a:ext uri="{FF2B5EF4-FFF2-40B4-BE49-F238E27FC236}">
              <a16:creationId xmlns:a16="http://schemas.microsoft.com/office/drawing/2014/main" id="{00000000-0008-0000-4500-000014000000}"/>
            </a:ext>
          </a:extLst>
        </xdr:cNvPr>
        <xdr:cNvSpPr>
          <a:spLocks noChangeAspect="1"/>
        </xdr:cNvSpPr>
      </xdr:nvSpPr>
      <xdr:spPr>
        <a:xfrm>
          <a:off x="899442" y="0"/>
          <a:ext cx="11887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4</xdr:col>
      <xdr:colOff>57885</xdr:colOff>
      <xdr:row>0</xdr:row>
      <xdr:rowOff>0</xdr:rowOff>
    </xdr:from>
    <xdr:to>
      <xdr:col>5</xdr:col>
      <xdr:colOff>724635</xdr:colOff>
      <xdr:row>0</xdr:row>
      <xdr:rowOff>731520</xdr:rowOff>
    </xdr:to>
    <xdr:sp macro="[0]!GoTo_IncomeMarketOAR" textlink="">
      <xdr:nvSpPr>
        <xdr:cNvPr id="24" name="Rounded Rectangle 23">
          <a:extLst>
            <a:ext uri="{FF2B5EF4-FFF2-40B4-BE49-F238E27FC236}">
              <a16:creationId xmlns:a16="http://schemas.microsoft.com/office/drawing/2014/main" id="{00000000-0008-0000-4500-000018000000}"/>
            </a:ext>
          </a:extLst>
        </xdr:cNvPr>
        <xdr:cNvSpPr>
          <a:spLocks noChangeAspect="1"/>
        </xdr:cNvSpPr>
      </xdr:nvSpPr>
      <xdr:spPr>
        <a:xfrm>
          <a:off x="2124810" y="0"/>
          <a:ext cx="91440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Market OAR</a:t>
          </a:r>
        </a:p>
      </xdr:txBody>
    </xdr:sp>
    <xdr:clientData/>
  </xdr:twoCellAnchor>
  <xdr:twoCellAnchor editAs="absolute">
    <xdr:from>
      <xdr:col>5</xdr:col>
      <xdr:colOff>757297</xdr:colOff>
      <xdr:row>0</xdr:row>
      <xdr:rowOff>0</xdr:rowOff>
    </xdr:from>
    <xdr:to>
      <xdr:col>7</xdr:col>
      <xdr:colOff>475357</xdr:colOff>
      <xdr:row>0</xdr:row>
      <xdr:rowOff>731520</xdr:rowOff>
    </xdr:to>
    <xdr:sp macro="[0]!GoTo_IncomeDirectCapitalization" textlink="">
      <xdr:nvSpPr>
        <xdr:cNvPr id="34" name="Rounded Rectangle 33">
          <a:extLst>
            <a:ext uri="{FF2B5EF4-FFF2-40B4-BE49-F238E27FC236}">
              <a16:creationId xmlns:a16="http://schemas.microsoft.com/office/drawing/2014/main" id="{00000000-0008-0000-4500-000022000000}"/>
            </a:ext>
          </a:extLst>
        </xdr:cNvPr>
        <xdr:cNvSpPr>
          <a:spLocks noChangeAspect="1"/>
        </xdr:cNvSpPr>
      </xdr:nvSpPr>
      <xdr:spPr>
        <a:xfrm>
          <a:off x="3071872" y="0"/>
          <a:ext cx="128016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Direct Capitalization</a:t>
          </a:r>
        </a:p>
      </xdr:txBody>
    </xdr:sp>
    <xdr:clientData/>
  </xdr:twoCellAnchor>
  <xdr:twoCellAnchor editAs="absolute">
    <xdr:from>
      <xdr:col>15</xdr:col>
      <xdr:colOff>348532</xdr:colOff>
      <xdr:row>0</xdr:row>
      <xdr:rowOff>0</xdr:rowOff>
    </xdr:from>
    <xdr:to>
      <xdr:col>17</xdr:col>
      <xdr:colOff>49501</xdr:colOff>
      <xdr:row>0</xdr:row>
      <xdr:rowOff>731520</xdr:rowOff>
    </xdr:to>
    <xdr:sp macro="[0]!Update_BoiInvestorSurveysTables" textlink="">
      <xdr:nvSpPr>
        <xdr:cNvPr id="35" name="Rounded Rectangle 34">
          <a:extLst>
            <a:ext uri="{FF2B5EF4-FFF2-40B4-BE49-F238E27FC236}">
              <a16:creationId xmlns:a16="http://schemas.microsoft.com/office/drawing/2014/main" id="{00000000-0008-0000-4500-000023000000}"/>
            </a:ext>
          </a:extLst>
        </xdr:cNvPr>
        <xdr:cNvSpPr>
          <a:spLocks noChangeAspect="1"/>
        </xdr:cNvSpPr>
      </xdr:nvSpPr>
      <xdr:spPr>
        <a:xfrm>
          <a:off x="7225582" y="0"/>
          <a:ext cx="863019"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clientData/>
  </xdr:twoCellAnchor>
  <xdr:twoCellAnchor editAs="absolute">
    <xdr:from>
      <xdr:col>15</xdr:col>
      <xdr:colOff>343102</xdr:colOff>
      <xdr:row>1</xdr:row>
      <xdr:rowOff>19050</xdr:rowOff>
    </xdr:from>
    <xdr:to>
      <xdr:col>17</xdr:col>
      <xdr:colOff>44071</xdr:colOff>
      <xdr:row>3</xdr:row>
      <xdr:rowOff>121920</xdr:rowOff>
    </xdr:to>
    <xdr:sp macro="[0]!Default_BoiInvestorSurveysTables" textlink="">
      <xdr:nvSpPr>
        <xdr:cNvPr id="36" name="Rounded Rectangle 35">
          <a:extLst>
            <a:ext uri="{FF2B5EF4-FFF2-40B4-BE49-F238E27FC236}">
              <a16:creationId xmlns:a16="http://schemas.microsoft.com/office/drawing/2014/main" id="{00000000-0008-0000-4500-000024000000}"/>
            </a:ext>
          </a:extLst>
        </xdr:cNvPr>
        <xdr:cNvSpPr>
          <a:spLocks noChangeAspect="1"/>
        </xdr:cNvSpPr>
      </xdr:nvSpPr>
      <xdr:spPr>
        <a:xfrm>
          <a:off x="7220152" y="781050"/>
          <a:ext cx="863019"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clientData/>
  </xdr:twoCellAnchor>
  <xdr:twoCellAnchor editAs="absolute">
    <xdr:from>
      <xdr:col>7</xdr:col>
      <xdr:colOff>511079</xdr:colOff>
      <xdr:row>0</xdr:row>
      <xdr:rowOff>0</xdr:rowOff>
    </xdr:from>
    <xdr:to>
      <xdr:col>11</xdr:col>
      <xdr:colOff>124364</xdr:colOff>
      <xdr:row>0</xdr:row>
      <xdr:rowOff>731520</xdr:rowOff>
    </xdr:to>
    <xdr:sp macro="[0]!GetSurveyData" textlink="">
      <xdr:nvSpPr>
        <xdr:cNvPr id="14" name="Rounded Rectangle 18">
          <a:extLst>
            <a:ext uri="{FF2B5EF4-FFF2-40B4-BE49-F238E27FC236}">
              <a16:creationId xmlns:a16="http://schemas.microsoft.com/office/drawing/2014/main" id="{00000000-0008-0000-4500-00000E000000}"/>
            </a:ext>
          </a:extLst>
        </xdr:cNvPr>
        <xdr:cNvSpPr>
          <a:spLocks noChangeAspect="1"/>
        </xdr:cNvSpPr>
      </xdr:nvSpPr>
      <xdr:spPr>
        <a:xfrm>
          <a:off x="4387754" y="0"/>
          <a:ext cx="128016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Import Latest</a:t>
          </a:r>
          <a:r>
            <a:rPr lang="en-US" sz="1200" b="1" baseline="0">
              <a:solidFill>
                <a:schemeClr val="bg1"/>
              </a:solidFill>
              <a:latin typeface="Segoe UI" panose="020B0502040204020203" pitchFamily="34" charset="0"/>
              <a:cs typeface="Segoe UI" panose="020B0502040204020203" pitchFamily="34" charset="0"/>
            </a:rPr>
            <a:t> Survey Data</a:t>
          </a:r>
          <a:endParaRPr lang="en-US" sz="1200" b="1">
            <a:solidFill>
              <a:schemeClr val="bg1"/>
            </a:solidFill>
            <a:latin typeface="Segoe UI" panose="020B0502040204020203" pitchFamily="34" charset="0"/>
            <a:cs typeface="Segoe UI" panose="020B0502040204020203" pitchFamily="34" charset="0"/>
          </a:endParaRPr>
        </a:p>
      </xdr:txBody>
    </xdr:sp>
    <xdr:clientData/>
  </xdr:twoCellAnchor>
  <xdr:twoCellAnchor editAs="absolute">
    <xdr:from>
      <xdr:col>11</xdr:col>
      <xdr:colOff>171450</xdr:colOff>
      <xdr:row>0</xdr:row>
      <xdr:rowOff>0</xdr:rowOff>
    </xdr:from>
    <xdr:to>
      <xdr:col>15</xdr:col>
      <xdr:colOff>300990</xdr:colOff>
      <xdr:row>0</xdr:row>
      <xdr:rowOff>731520</xdr:rowOff>
    </xdr:to>
    <xdr:sp macro="[0]!FRED_AltYieldRates" textlink="">
      <xdr:nvSpPr>
        <xdr:cNvPr id="2" name="Rounded Rectangle 18">
          <a:extLst>
            <a:ext uri="{FF2B5EF4-FFF2-40B4-BE49-F238E27FC236}">
              <a16:creationId xmlns:a16="http://schemas.microsoft.com/office/drawing/2014/main" id="{00000000-0008-0000-4500-000002000000}"/>
            </a:ext>
          </a:extLst>
        </xdr:cNvPr>
        <xdr:cNvSpPr>
          <a:spLocks noChangeAspect="1"/>
        </xdr:cNvSpPr>
      </xdr:nvSpPr>
      <xdr:spPr>
        <a:xfrm>
          <a:off x="5715000" y="0"/>
          <a:ext cx="146304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Import FRED Alt. Yield Rates</a:t>
          </a:r>
        </a:p>
      </xdr:txBody>
    </xdr:sp>
    <xdr:clientData/>
  </xdr:twoCellAnchor>
  <xdr:twoCellAnchor editAs="absolute">
    <xdr:from>
      <xdr:col>11</xdr:col>
      <xdr:colOff>171450</xdr:colOff>
      <xdr:row>1</xdr:row>
      <xdr:rowOff>19050</xdr:rowOff>
    </xdr:from>
    <xdr:to>
      <xdr:col>15</xdr:col>
      <xdr:colOff>300990</xdr:colOff>
      <xdr:row>1</xdr:row>
      <xdr:rowOff>384810</xdr:rowOff>
    </xdr:to>
    <xdr:sp macro="[0]!FRED_ClearAltYieldRates" textlink="">
      <xdr:nvSpPr>
        <xdr:cNvPr id="4" name="Rounded Rectangle 18">
          <a:extLst>
            <a:ext uri="{FF2B5EF4-FFF2-40B4-BE49-F238E27FC236}">
              <a16:creationId xmlns:a16="http://schemas.microsoft.com/office/drawing/2014/main" id="{00000000-0008-0000-4500-000004000000}"/>
            </a:ext>
          </a:extLst>
        </xdr:cNvPr>
        <xdr:cNvSpPr>
          <a:spLocks noChangeAspect="1"/>
        </xdr:cNvSpPr>
      </xdr:nvSpPr>
      <xdr:spPr>
        <a:xfrm>
          <a:off x="5715000" y="781050"/>
          <a:ext cx="1463040" cy="36576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Clear FRED Rates</a:t>
          </a:r>
        </a:p>
      </xdr:txBody>
    </xdr:sp>
    <xdr:clientData/>
  </xdr:twoCellAnchor>
</xdr:wsDr>
</file>

<file path=xl/drawings/drawing60.xml><?xml version="1.0" encoding="utf-8"?>
<xdr:wsDr xmlns:xdr="http://schemas.openxmlformats.org/drawingml/2006/spreadsheetDrawing" xmlns:a="http://schemas.openxmlformats.org/drawingml/2006/main">
  <xdr:twoCellAnchor editAs="absolute">
    <xdr:from>
      <xdr:col>1</xdr:col>
      <xdr:colOff>0</xdr:colOff>
      <xdr:row>0</xdr:row>
      <xdr:rowOff>38100</xdr:rowOff>
    </xdr:from>
    <xdr:to>
      <xdr:col>10</xdr:col>
      <xdr:colOff>334434</xdr:colOff>
      <xdr:row>1</xdr:row>
      <xdr:rowOff>19050</xdr:rowOff>
    </xdr:to>
    <xdr:sp macro="" textlink="">
      <xdr:nvSpPr>
        <xdr:cNvPr id="2" name="TextBox 1">
          <a:extLst>
            <a:ext uri="{FF2B5EF4-FFF2-40B4-BE49-F238E27FC236}">
              <a16:creationId xmlns:a16="http://schemas.microsoft.com/office/drawing/2014/main" id="{00000000-0008-0000-4600-000002000000}"/>
            </a:ext>
          </a:extLst>
        </xdr:cNvPr>
        <xdr:cNvSpPr txBox="1"/>
      </xdr:nvSpPr>
      <xdr:spPr>
        <a:xfrm>
          <a:off x="609600" y="38100"/>
          <a:ext cx="10660593" cy="3619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l" defTabSz="914400" rtl="0" eaLnBrk="1" fontAlgn="auto" latinLnBrk="0" hangingPunct="1">
            <a:lnSpc>
              <a:spcPct val="100000"/>
            </a:lnSpc>
            <a:spcBef>
              <a:spcPts val="300"/>
            </a:spcBef>
            <a:spcAft>
              <a:spcPts val="300"/>
            </a:spcAft>
            <a:buClrTx/>
            <a:buSzTx/>
            <a:buFontTx/>
            <a:buNone/>
            <a:tabLst/>
            <a:defRPr/>
          </a:pPr>
          <a:r>
            <a:rPr lang="en-US" sz="900" b="1" i="0" baseline="0">
              <a:solidFill>
                <a:srgbClr val="FF0000"/>
              </a:solidFill>
              <a:effectLst/>
              <a:latin typeface="Segoe UI" panose="020B0502040204020203" pitchFamily="34" charset="0"/>
              <a:ea typeface="+mn-ea"/>
              <a:cs typeface="Segoe UI" panose="020B0502040204020203" pitchFamily="34" charset="0"/>
            </a:rPr>
            <a:t>These tables are auto-populated during the "Get Latest Survey Data" import.  Use caution if overwriting as you may cause the lookup formulas on the BOI Investory Survey tab to fail.</a:t>
          </a:r>
        </a:p>
      </xdr:txBody>
    </xdr:sp>
    <xdr:clientData/>
  </xdr:twoCellAnchor>
</xdr:wsDr>
</file>

<file path=xl/drawings/drawing61.xml><?xml version="1.0" encoding="utf-8"?>
<xdr:wsDr xmlns:xdr="http://schemas.openxmlformats.org/drawingml/2006/spreadsheetDrawing" xmlns:a="http://schemas.openxmlformats.org/drawingml/2006/main">
  <xdr:twoCellAnchor editAs="absolute">
    <xdr:from>
      <xdr:col>20</xdr:col>
      <xdr:colOff>744009</xdr:colOff>
      <xdr:row>0</xdr:row>
      <xdr:rowOff>91017</xdr:rowOff>
    </xdr:from>
    <xdr:to>
      <xdr:col>32</xdr:col>
      <xdr:colOff>264162</xdr:colOff>
      <xdr:row>3</xdr:row>
      <xdr:rowOff>130174</xdr:rowOff>
    </xdr:to>
    <xdr:sp macro="" textlink="">
      <xdr:nvSpPr>
        <xdr:cNvPr id="22" name="TextBox 21">
          <a:hlinkClick xmlns:r="http://schemas.openxmlformats.org/officeDocument/2006/relationships" r:id="rId1"/>
          <a:extLst>
            <a:ext uri="{FF2B5EF4-FFF2-40B4-BE49-F238E27FC236}">
              <a16:creationId xmlns:a16="http://schemas.microsoft.com/office/drawing/2014/main" id="{00000000-0008-0000-4700-000016000000}"/>
            </a:ext>
          </a:extLst>
        </xdr:cNvPr>
        <xdr:cNvSpPr txBox="1">
          <a:spLocks noChangeAspect="1"/>
        </xdr:cNvSpPr>
      </xdr:nvSpPr>
      <xdr:spPr>
        <a:xfrm>
          <a:off x="10573809" y="84667"/>
          <a:ext cx="6736928" cy="129963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User inputs in cells with white background only</a:t>
          </a:r>
          <a:endParaRPr lang="en-US" sz="1000" b="1">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2. Remember to</a:t>
          </a:r>
          <a:r>
            <a:rPr lang="en-US" sz="1000" b="1" baseline="0">
              <a:solidFill>
                <a:schemeClr val="dk1"/>
              </a:solidFill>
              <a:effectLst/>
              <a:latin typeface="Segoe UI" panose="020B0502040204020203" pitchFamily="34" charset="0"/>
              <a:ea typeface="+mn-ea"/>
              <a:cs typeface="Segoe UI" panose="020B0502040204020203" pitchFamily="34" charset="0"/>
            </a:rPr>
            <a:t> "Select Income &amp; Expense Categories" to the left and mark Reimb./Non-Reimb.</a:t>
          </a:r>
          <a:endParaRPr lang="en-US" sz="1000">
            <a:effectLst/>
            <a:latin typeface="Segoe UI" panose="020B0502040204020203" pitchFamily="34" charset="0"/>
            <a:cs typeface="Segoe UI" panose="020B0502040204020203" pitchFamily="34" charset="0"/>
          </a:endParaRPr>
        </a:p>
        <a:p>
          <a:pPr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rtl="0">
            <a:spcBef>
              <a:spcPts val="300"/>
            </a:spcBef>
            <a:spcAft>
              <a:spcPts val="300"/>
            </a:spcAft>
          </a:pPr>
          <a:r>
            <a:rPr lang="en-US" sz="1000" b="1" baseline="0">
              <a:solidFill>
                <a:schemeClr val="dk1"/>
              </a:solidFill>
              <a:effectLst/>
              <a:latin typeface="Segoe UI" panose="020B0502040204020203" pitchFamily="34" charset="0"/>
              <a:ea typeface="+mn-ea"/>
              <a:cs typeface="Segoe UI" panose="020B0502040204020203" pitchFamily="34" charset="0"/>
            </a:rPr>
            <a:t>4. </a:t>
          </a:r>
          <a:r>
            <a:rPr lang="en-US" sz="1000" b="1">
              <a:solidFill>
                <a:schemeClr val="dk1"/>
              </a:solidFill>
              <a:effectLst/>
              <a:latin typeface="Segoe UI" panose="020B0502040204020203" pitchFamily="34" charset="0"/>
              <a:ea typeface="+mn-ea"/>
              <a:cs typeface="Segoe UI" panose="020B0502040204020203" pitchFamily="34" charset="0"/>
            </a:rPr>
            <a:t>Press "Default" Button to add</a:t>
          </a:r>
          <a:r>
            <a:rPr lang="en-US" sz="1000" b="1" baseline="0">
              <a:solidFill>
                <a:schemeClr val="dk1"/>
              </a:solidFill>
              <a:effectLst/>
              <a:latin typeface="Segoe UI" panose="020B0502040204020203" pitchFamily="34" charset="0"/>
              <a:ea typeface="+mn-ea"/>
              <a:cs typeface="Segoe UI" panose="020B0502040204020203" pitchFamily="34" charset="0"/>
            </a:rPr>
            <a:t> background colors &amp; unhide all rows to modify prior inputs</a:t>
          </a:r>
        </a:p>
        <a:p>
          <a:pPr rtl="0">
            <a:spcBef>
              <a:spcPts val="300"/>
            </a:spcBef>
            <a:spcAft>
              <a:spcPts val="300"/>
            </a:spcAft>
          </a:pPr>
          <a:r>
            <a:rPr lang="en-US" sz="1000" b="1" i="0" u="sng" baseline="0">
              <a:solidFill>
                <a:srgbClr val="0000FF"/>
              </a:solidFill>
              <a:effectLst/>
              <a:latin typeface="Segoe UI" panose="020B0502040204020203" pitchFamily="34" charset="0"/>
              <a:ea typeface="+mn-ea"/>
              <a:cs typeface="Segoe UI" panose="020B0502040204020203" pitchFamily="34" charset="0"/>
            </a:rPr>
            <a:t>User Guide</a:t>
          </a:r>
          <a:endParaRPr lang="en-US" sz="800" i="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20</xdr:col>
      <xdr:colOff>532346</xdr:colOff>
      <xdr:row>4</xdr:row>
      <xdr:rowOff>54189</xdr:rowOff>
    </xdr:to>
    <xdr:grpSp>
      <xdr:nvGrpSpPr>
        <xdr:cNvPr id="3" name="Group 2">
          <a:extLst>
            <a:ext uri="{FF2B5EF4-FFF2-40B4-BE49-F238E27FC236}">
              <a16:creationId xmlns:a16="http://schemas.microsoft.com/office/drawing/2014/main" id="{00000000-0008-0000-4700-000003000000}"/>
            </a:ext>
          </a:extLst>
        </xdr:cNvPr>
        <xdr:cNvGrpSpPr>
          <a:grpSpLocks noChangeAspect="1"/>
        </xdr:cNvGrpSpPr>
      </xdr:nvGrpSpPr>
      <xdr:grpSpPr>
        <a:xfrm>
          <a:off x="0" y="0"/>
          <a:ext cx="10362146" cy="1511514"/>
          <a:chOff x="0" y="0"/>
          <a:chExt cx="10341340" cy="1514689"/>
        </a:xfrm>
      </xdr:grpSpPr>
      <xdr:sp macro="[0]!GoTo_Main" textlink="">
        <xdr:nvSpPr>
          <xdr:cNvPr id="29" name="Rounded Rectangle 28">
            <a:extLst>
              <a:ext uri="{FF2B5EF4-FFF2-40B4-BE49-F238E27FC236}">
                <a16:creationId xmlns:a16="http://schemas.microsoft.com/office/drawing/2014/main" id="{00000000-0008-0000-4700-00001D000000}"/>
              </a:ext>
            </a:extLst>
          </xdr:cNvPr>
          <xdr:cNvSpPr>
            <a:spLocks noChangeAspect="1"/>
          </xdr:cNvSpPr>
        </xdr:nvSpPr>
        <xdr:spPr>
          <a:xfrm>
            <a:off x="0" y="0"/>
            <a:ext cx="915996"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30" name="Rounded Rectangle 29">
            <a:extLst>
              <a:ext uri="{FF2B5EF4-FFF2-40B4-BE49-F238E27FC236}">
                <a16:creationId xmlns:a16="http://schemas.microsoft.com/office/drawing/2014/main" id="{00000000-0008-0000-4700-00001E000000}"/>
              </a:ext>
            </a:extLst>
          </xdr:cNvPr>
          <xdr:cNvSpPr>
            <a:spLocks noChangeAspect="1"/>
          </xdr:cNvSpPr>
        </xdr:nvSpPr>
        <xdr:spPr>
          <a:xfrm>
            <a:off x="2082344" y="0"/>
            <a:ext cx="1190795"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GoTo_IncomeMarketOAR" textlink="">
        <xdr:nvSpPr>
          <xdr:cNvPr id="31" name="Rounded Rectangle 30">
            <a:extLst>
              <a:ext uri="{FF2B5EF4-FFF2-40B4-BE49-F238E27FC236}">
                <a16:creationId xmlns:a16="http://schemas.microsoft.com/office/drawing/2014/main" id="{00000000-0008-0000-4700-00001F000000}"/>
              </a:ext>
            </a:extLst>
          </xdr:cNvPr>
          <xdr:cNvSpPr>
            <a:spLocks noChangeAspect="1"/>
          </xdr:cNvSpPr>
        </xdr:nvSpPr>
        <xdr:spPr>
          <a:xfrm>
            <a:off x="7361194" y="0"/>
            <a:ext cx="915996"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Market OAR</a:t>
            </a:r>
          </a:p>
        </xdr:txBody>
      </xdr:sp>
      <xdr:sp macro="[0]!Update_DirectCapitalizationTable" textlink="">
        <xdr:nvSpPr>
          <xdr:cNvPr id="33" name="Rounded Rectangle 32">
            <a:extLst>
              <a:ext uri="{FF2B5EF4-FFF2-40B4-BE49-F238E27FC236}">
                <a16:creationId xmlns:a16="http://schemas.microsoft.com/office/drawing/2014/main" id="{00000000-0008-0000-4700-000021000000}"/>
              </a:ext>
            </a:extLst>
          </xdr:cNvPr>
          <xdr:cNvSpPr>
            <a:spLocks noChangeAspect="1"/>
          </xdr:cNvSpPr>
        </xdr:nvSpPr>
        <xdr:spPr>
          <a:xfrm>
            <a:off x="8460579" y="783169"/>
            <a:ext cx="91599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DirectCapitalizationTable" textlink="">
        <xdr:nvSpPr>
          <xdr:cNvPr id="34" name="Rounded Rectangle 33">
            <a:extLst>
              <a:ext uri="{FF2B5EF4-FFF2-40B4-BE49-F238E27FC236}">
                <a16:creationId xmlns:a16="http://schemas.microsoft.com/office/drawing/2014/main" id="{00000000-0008-0000-4700-000022000000}"/>
              </a:ext>
            </a:extLst>
          </xdr:cNvPr>
          <xdr:cNvSpPr>
            <a:spLocks noChangeAspect="1"/>
          </xdr:cNvSpPr>
        </xdr:nvSpPr>
        <xdr:spPr>
          <a:xfrm>
            <a:off x="9425344" y="783169"/>
            <a:ext cx="91599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GoTo_ValueIndications_Table" textlink="">
        <xdr:nvSpPr>
          <xdr:cNvPr id="35" name="Rounded Rectangle 34">
            <a:extLst>
              <a:ext uri="{FF2B5EF4-FFF2-40B4-BE49-F238E27FC236}">
                <a16:creationId xmlns:a16="http://schemas.microsoft.com/office/drawing/2014/main" id="{00000000-0008-0000-4700-000023000000}"/>
              </a:ext>
            </a:extLst>
          </xdr:cNvPr>
          <xdr:cNvSpPr>
            <a:spLocks noChangeAspect="1"/>
          </xdr:cNvSpPr>
        </xdr:nvSpPr>
        <xdr:spPr>
          <a:xfrm>
            <a:off x="944673" y="0"/>
            <a:ext cx="1099195"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sp macro="[0]!GoTo_IncomeBoiInvSurveys" textlink="">
        <xdr:nvSpPr>
          <xdr:cNvPr id="36" name="Rounded Rectangle 35">
            <a:extLst>
              <a:ext uri="{FF2B5EF4-FFF2-40B4-BE49-F238E27FC236}">
                <a16:creationId xmlns:a16="http://schemas.microsoft.com/office/drawing/2014/main" id="{00000000-0008-0000-4700-000024000000}"/>
              </a:ext>
            </a:extLst>
          </xdr:cNvPr>
          <xdr:cNvSpPr>
            <a:spLocks noChangeAspect="1"/>
          </xdr:cNvSpPr>
        </xdr:nvSpPr>
        <xdr:spPr>
          <a:xfrm>
            <a:off x="8315371" y="0"/>
            <a:ext cx="1740392"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Band of Investment &amp; Investor Surveys</a:t>
            </a:r>
          </a:p>
        </xdr:txBody>
      </xdr:sp>
      <xdr:sp macro="[0]!ShowUserFormIncomeExpenseSelection" textlink="">
        <xdr:nvSpPr>
          <xdr:cNvPr id="37" name="Rounded Rectangle 36">
            <a:extLst>
              <a:ext uri="{FF2B5EF4-FFF2-40B4-BE49-F238E27FC236}">
                <a16:creationId xmlns:a16="http://schemas.microsoft.com/office/drawing/2014/main" id="{00000000-0008-0000-4700-000025000000}"/>
              </a:ext>
            </a:extLst>
          </xdr:cNvPr>
          <xdr:cNvSpPr>
            <a:spLocks noChangeAspect="1"/>
          </xdr:cNvSpPr>
        </xdr:nvSpPr>
        <xdr:spPr>
          <a:xfrm>
            <a:off x="4626665" y="0"/>
            <a:ext cx="1648792"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Select Income &amp; Expense</a:t>
            </a:r>
            <a:r>
              <a:rPr lang="en-US" sz="1200" b="1" baseline="0">
                <a:latin typeface="Segoe UI" panose="020B0502040204020203" pitchFamily="34" charset="0"/>
                <a:cs typeface="Segoe UI" panose="020B0502040204020203" pitchFamily="34" charset="0"/>
              </a:rPr>
              <a:t> Categories</a:t>
            </a:r>
            <a:endParaRPr lang="en-US" sz="1200" b="1">
              <a:latin typeface="Segoe UI" panose="020B0502040204020203" pitchFamily="34" charset="0"/>
              <a:cs typeface="Segoe UI" panose="020B0502040204020203" pitchFamily="34" charset="0"/>
            </a:endParaRPr>
          </a:p>
        </xdr:txBody>
      </xdr:sp>
      <xdr:sp macro="[0]!ShowUserFormTemplateAssumptions" textlink="">
        <xdr:nvSpPr>
          <xdr:cNvPr id="39" name="Rounded Rectangle 38">
            <a:extLst>
              <a:ext uri="{FF2B5EF4-FFF2-40B4-BE49-F238E27FC236}">
                <a16:creationId xmlns:a16="http://schemas.microsoft.com/office/drawing/2014/main" id="{00000000-0008-0000-4700-000027000000}"/>
              </a:ext>
            </a:extLst>
          </xdr:cNvPr>
          <xdr:cNvSpPr>
            <a:spLocks noChangeAspect="1"/>
          </xdr:cNvSpPr>
        </xdr:nvSpPr>
        <xdr:spPr>
          <a:xfrm>
            <a:off x="7231386" y="783169"/>
            <a:ext cx="1190795"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 </a:t>
            </a:r>
            <a:r>
              <a:rPr lang="en-US" sz="1200" b="1" baseline="0">
                <a:solidFill>
                  <a:srgbClr val="1F497D"/>
                </a:solidFill>
                <a:latin typeface="Segoe UI" panose="020B0502040204020203" pitchFamily="34" charset="0"/>
                <a:cs typeface="Segoe UI" panose="020B0502040204020203" pitchFamily="34" charset="0"/>
              </a:rPr>
              <a:t>Assumptions</a:t>
            </a:r>
            <a:endParaRPr lang="en-US" sz="1200" b="1">
              <a:solidFill>
                <a:srgbClr val="1F497D"/>
              </a:solidFill>
              <a:latin typeface="Segoe UI" panose="020B0502040204020203" pitchFamily="34" charset="0"/>
              <a:cs typeface="Segoe UI" panose="020B0502040204020203" pitchFamily="34" charset="0"/>
            </a:endParaRPr>
          </a:p>
        </xdr:txBody>
      </xdr:sp>
      <xdr:sp macro="[0]!GoTo_ExpenseEstimateTables" textlink="">
        <xdr:nvSpPr>
          <xdr:cNvPr id="14" name="Rounded Rectangle 13">
            <a:extLst>
              <a:ext uri="{FF2B5EF4-FFF2-40B4-BE49-F238E27FC236}">
                <a16:creationId xmlns:a16="http://schemas.microsoft.com/office/drawing/2014/main" id="{00000000-0008-0000-4700-00000E000000}"/>
              </a:ext>
            </a:extLst>
          </xdr:cNvPr>
          <xdr:cNvSpPr>
            <a:spLocks noChangeAspect="1"/>
          </xdr:cNvSpPr>
        </xdr:nvSpPr>
        <xdr:spPr>
          <a:xfrm>
            <a:off x="6313053" y="0"/>
            <a:ext cx="100584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Expense Estimates</a:t>
            </a:r>
          </a:p>
        </xdr:txBody>
      </xdr:sp>
      <xdr:sp macro="[0]!GoTo_IncomeRentRoll_DatappraiseMerge" textlink="">
        <xdr:nvSpPr>
          <xdr:cNvPr id="15" name="RentRoll - 4">
            <a:extLst>
              <a:ext uri="{FF2B5EF4-FFF2-40B4-BE49-F238E27FC236}">
                <a16:creationId xmlns:a16="http://schemas.microsoft.com/office/drawing/2014/main" id="{00000000-0008-0000-4700-00000F000000}"/>
              </a:ext>
            </a:extLst>
          </xdr:cNvPr>
          <xdr:cNvSpPr>
            <a:spLocks noChangeAspect="1"/>
          </xdr:cNvSpPr>
        </xdr:nvSpPr>
        <xdr:spPr>
          <a:xfrm>
            <a:off x="3305233" y="0"/>
            <a:ext cx="1281718"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50" b="1" i="0" u="none" strike="noStrike" kern="0" cap="none" spc="0" normalizeH="0" baseline="0" noProof="0">
                <a:ln>
                  <a:noFill/>
                </a:ln>
                <a:solidFill>
                  <a:prstClr val="white"/>
                </a:solidFill>
                <a:effectLst/>
                <a:uLnTx/>
                <a:uFillTx/>
                <a:latin typeface="Segoe UI" panose="020B0502040204020203" pitchFamily="34" charset="0"/>
                <a:ea typeface="+mn-ea"/>
                <a:cs typeface="Segoe UI" panose="020B0502040204020203" pitchFamily="34" charset="0"/>
              </a:rPr>
              <a:t>Rent Roll - Datappraise Manual Entry</a:t>
            </a:r>
          </a:p>
        </xdr:txBody>
      </xdr:sp>
    </xdr:grpSp>
    <xdr:clientData/>
  </xdr:twoCellAnchor>
</xdr:wsDr>
</file>

<file path=xl/drawings/drawing62.xml><?xml version="1.0" encoding="utf-8"?>
<xdr:wsDr xmlns:xdr="http://schemas.openxmlformats.org/drawingml/2006/spreadsheetDrawing" xmlns:a="http://schemas.openxmlformats.org/drawingml/2006/main">
  <xdr:twoCellAnchor editAs="oneCell">
    <xdr:from>
      <xdr:col>15</xdr:col>
      <xdr:colOff>551376</xdr:colOff>
      <xdr:row>107</xdr:row>
      <xdr:rowOff>3168</xdr:rowOff>
    </xdr:from>
    <xdr:to>
      <xdr:col>17</xdr:col>
      <xdr:colOff>681803</xdr:colOff>
      <xdr:row>110</xdr:row>
      <xdr:rowOff>163188</xdr:rowOff>
    </xdr:to>
    <xdr:pic>
      <xdr:nvPicPr>
        <xdr:cNvPr id="4" name="ARLOGO1.SF" descr="F:\WINARGUS\ARLOGO1.SF">
          <a:extLst>
            <a:ext uri="{FF2B5EF4-FFF2-40B4-BE49-F238E27FC236}">
              <a16:creationId xmlns:a16="http://schemas.microsoft.com/office/drawing/2014/main" id="{00000000-0008-0000-4800-000004000000}"/>
            </a:ext>
          </a:extLst>
        </xdr:cNvPr>
        <xdr:cNvPicPr>
          <a:picLocks noChangeAspect="1"/>
        </xdr:cNvPicPr>
      </xdr:nvPicPr>
      <xdr:blipFill>
        <a:blip xmlns:r="http://schemas.openxmlformats.org/officeDocument/2006/relationships" r:embed="rId1" r:link="rId2" cstate="print"/>
        <a:stretch>
          <a:fillRect/>
        </a:stretch>
      </xdr:blipFill>
      <xdr:spPr>
        <a:xfrm>
          <a:off x="10129293" y="20799418"/>
          <a:ext cx="1569760" cy="731520"/>
        </a:xfrm>
        <a:prstGeom prst="rect">
          <a:avLst/>
        </a:prstGeom>
        <a:ln>
          <a:noFill/>
        </a:ln>
      </xdr:spPr>
    </xdr:pic>
    <xdr:clientData/>
  </xdr:twoCellAnchor>
  <xdr:twoCellAnchor editAs="absolute">
    <xdr:from>
      <xdr:col>0</xdr:col>
      <xdr:colOff>0</xdr:colOff>
      <xdr:row>0</xdr:row>
      <xdr:rowOff>0</xdr:rowOff>
    </xdr:from>
    <xdr:to>
      <xdr:col>19</xdr:col>
      <xdr:colOff>107950</xdr:colOff>
      <xdr:row>0</xdr:row>
      <xdr:rowOff>731520</xdr:rowOff>
    </xdr:to>
    <xdr:grpSp>
      <xdr:nvGrpSpPr>
        <xdr:cNvPr id="25" name="Group 24">
          <a:extLst>
            <a:ext uri="{FF2B5EF4-FFF2-40B4-BE49-F238E27FC236}">
              <a16:creationId xmlns:a16="http://schemas.microsoft.com/office/drawing/2014/main" id="{00000000-0008-0000-4800-000019000000}"/>
            </a:ext>
          </a:extLst>
        </xdr:cNvPr>
        <xdr:cNvGrpSpPr>
          <a:grpSpLocks noChangeAspect="1"/>
        </xdr:cNvGrpSpPr>
      </xdr:nvGrpSpPr>
      <xdr:grpSpPr>
        <a:xfrm>
          <a:off x="0" y="0"/>
          <a:ext cx="11833225" cy="731520"/>
          <a:chOff x="0" y="0"/>
          <a:chExt cx="11860682" cy="731520"/>
        </a:xfrm>
      </xdr:grpSpPr>
      <xdr:sp macro="[0]!GoTo_Main" textlink="">
        <xdr:nvSpPr>
          <xdr:cNvPr id="27" name="Rounded Rectangle 26">
            <a:extLst>
              <a:ext uri="{FF2B5EF4-FFF2-40B4-BE49-F238E27FC236}">
                <a16:creationId xmlns:a16="http://schemas.microsoft.com/office/drawing/2014/main" id="{00000000-0008-0000-4800-00001B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28" name="Rounded Rectangle 27">
            <a:extLst>
              <a:ext uri="{FF2B5EF4-FFF2-40B4-BE49-F238E27FC236}">
                <a16:creationId xmlns:a16="http://schemas.microsoft.com/office/drawing/2014/main" id="{00000000-0008-0000-4800-00001C000000}"/>
              </a:ext>
            </a:extLst>
          </xdr:cNvPr>
          <xdr:cNvSpPr>
            <a:spLocks noChangeAspect="1"/>
          </xdr:cNvSpPr>
        </xdr:nvSpPr>
        <xdr:spPr>
          <a:xfrm>
            <a:off x="3333744" y="0"/>
            <a:ext cx="11887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GoTo_ValueIndications_Table" textlink="">
        <xdr:nvSpPr>
          <xdr:cNvPr id="29" name="Rounded Rectangle 28">
            <a:extLst>
              <a:ext uri="{FF2B5EF4-FFF2-40B4-BE49-F238E27FC236}">
                <a16:creationId xmlns:a16="http://schemas.microsoft.com/office/drawing/2014/main" id="{00000000-0008-0000-4800-00001D000000}"/>
              </a:ext>
            </a:extLst>
          </xdr:cNvPr>
          <xdr:cNvSpPr>
            <a:spLocks noChangeAspect="1"/>
          </xdr:cNvSpPr>
        </xdr:nvSpPr>
        <xdr:spPr>
          <a:xfrm>
            <a:off x="963081" y="0"/>
            <a:ext cx="109728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sp macro="[0]!ShowUserFormTemplateAssumptions" textlink="">
        <xdr:nvSpPr>
          <xdr:cNvPr id="30" name="Rounded Rectangle 29">
            <a:extLst>
              <a:ext uri="{FF2B5EF4-FFF2-40B4-BE49-F238E27FC236}">
                <a16:creationId xmlns:a16="http://schemas.microsoft.com/office/drawing/2014/main" id="{00000000-0008-0000-4800-00001E000000}"/>
              </a:ext>
            </a:extLst>
          </xdr:cNvPr>
          <xdr:cNvSpPr>
            <a:spLocks noChangeAspect="1"/>
          </xdr:cNvSpPr>
        </xdr:nvSpPr>
        <xdr:spPr>
          <a:xfrm>
            <a:off x="2095501" y="0"/>
            <a:ext cx="118872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baseline="0">
                <a:solidFill>
                  <a:srgbClr val="1F497D"/>
                </a:solidFill>
                <a:latin typeface="Segoe UI" panose="020B0502040204020203" pitchFamily="34" charset="0"/>
                <a:cs typeface="Segoe UI" panose="020B0502040204020203" pitchFamily="34" charset="0"/>
              </a:rPr>
              <a:t>Template Assumptions</a:t>
            </a:r>
            <a:endParaRPr lang="en-US" sz="1200" b="1">
              <a:solidFill>
                <a:srgbClr val="1F497D"/>
              </a:solidFill>
              <a:latin typeface="Segoe UI" panose="020B0502040204020203" pitchFamily="34" charset="0"/>
              <a:cs typeface="Segoe UI" panose="020B0502040204020203" pitchFamily="34" charset="0"/>
            </a:endParaRPr>
          </a:p>
        </xdr:txBody>
      </xdr:sp>
      <xdr:sp macro="[0]!GoTo_IncomeDCF_1" textlink="">
        <xdr:nvSpPr>
          <xdr:cNvPr id="31" name="Rounded Rectangle 30">
            <a:extLst>
              <a:ext uri="{FF2B5EF4-FFF2-40B4-BE49-F238E27FC236}">
                <a16:creationId xmlns:a16="http://schemas.microsoft.com/office/drawing/2014/main" id="{00000000-0008-0000-4800-00001F000000}"/>
              </a:ext>
            </a:extLst>
          </xdr:cNvPr>
          <xdr:cNvSpPr>
            <a:spLocks noChangeAspect="1"/>
          </xdr:cNvSpPr>
        </xdr:nvSpPr>
        <xdr:spPr>
          <a:xfrm>
            <a:off x="4561421" y="0"/>
            <a:ext cx="91440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DCF 1</a:t>
            </a:r>
          </a:p>
        </xdr:txBody>
      </xdr:sp>
      <xdr:sp macro="[0]!GoTo_IncomeDCF_3" textlink="">
        <xdr:nvSpPr>
          <xdr:cNvPr id="32" name="Rounded Rectangle 31">
            <a:extLst>
              <a:ext uri="{FF2B5EF4-FFF2-40B4-BE49-F238E27FC236}">
                <a16:creationId xmlns:a16="http://schemas.microsoft.com/office/drawing/2014/main" id="{00000000-0008-0000-4800-000020000000}"/>
              </a:ext>
            </a:extLst>
          </xdr:cNvPr>
          <xdr:cNvSpPr>
            <a:spLocks noChangeAspect="1"/>
          </xdr:cNvSpPr>
        </xdr:nvSpPr>
        <xdr:spPr>
          <a:xfrm>
            <a:off x="5524503" y="0"/>
            <a:ext cx="91440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DCF 3</a:t>
            </a:r>
          </a:p>
        </xdr:txBody>
      </xdr:sp>
      <xdr:sp macro="[0]!GoTo_IncomeReversionTable" textlink="">
        <xdr:nvSpPr>
          <xdr:cNvPr id="33" name="Rounded Rectangle 32">
            <a:extLst>
              <a:ext uri="{FF2B5EF4-FFF2-40B4-BE49-F238E27FC236}">
                <a16:creationId xmlns:a16="http://schemas.microsoft.com/office/drawing/2014/main" id="{00000000-0008-0000-4800-000021000000}"/>
              </a:ext>
            </a:extLst>
          </xdr:cNvPr>
          <xdr:cNvSpPr>
            <a:spLocks noChangeAspect="1"/>
          </xdr:cNvSpPr>
        </xdr:nvSpPr>
        <xdr:spPr>
          <a:xfrm>
            <a:off x="6477001" y="0"/>
            <a:ext cx="100584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DCF Reversion</a:t>
            </a:r>
          </a:p>
        </xdr:txBody>
      </xdr:sp>
      <xdr:sp macro="[0]!Update_DCF_2" textlink="">
        <xdr:nvSpPr>
          <xdr:cNvPr id="34" name="Rounded Rectangle 33">
            <a:extLst>
              <a:ext uri="{FF2B5EF4-FFF2-40B4-BE49-F238E27FC236}">
                <a16:creationId xmlns:a16="http://schemas.microsoft.com/office/drawing/2014/main" id="{00000000-0008-0000-4800-000022000000}"/>
              </a:ext>
            </a:extLst>
          </xdr:cNvPr>
          <xdr:cNvSpPr>
            <a:spLocks noChangeAspect="1"/>
          </xdr:cNvSpPr>
        </xdr:nvSpPr>
        <xdr:spPr>
          <a:xfrm>
            <a:off x="9983201"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DCF_2" textlink="">
        <xdr:nvSpPr>
          <xdr:cNvPr id="35" name="Rounded Rectangle 34">
            <a:extLst>
              <a:ext uri="{FF2B5EF4-FFF2-40B4-BE49-F238E27FC236}">
                <a16:creationId xmlns:a16="http://schemas.microsoft.com/office/drawing/2014/main" id="{00000000-0008-0000-4800-000023000000}"/>
              </a:ext>
            </a:extLst>
          </xdr:cNvPr>
          <xdr:cNvSpPr>
            <a:spLocks noChangeAspect="1"/>
          </xdr:cNvSpPr>
        </xdr:nvSpPr>
        <xdr:spPr>
          <a:xfrm>
            <a:off x="10946282"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ImportARGUS_CashFlow_2" textlink="">
        <xdr:nvSpPr>
          <xdr:cNvPr id="36" name="Rounded Rectangle 35">
            <a:extLst>
              <a:ext uri="{FF2B5EF4-FFF2-40B4-BE49-F238E27FC236}">
                <a16:creationId xmlns:a16="http://schemas.microsoft.com/office/drawing/2014/main" id="{00000000-0008-0000-4800-000024000000}"/>
              </a:ext>
            </a:extLst>
          </xdr:cNvPr>
          <xdr:cNvSpPr>
            <a:spLocks noChangeAspect="1"/>
          </xdr:cNvSpPr>
        </xdr:nvSpPr>
        <xdr:spPr>
          <a:xfrm>
            <a:off x="7517281" y="0"/>
            <a:ext cx="118872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Import Cash Flow 2</a:t>
            </a:r>
          </a:p>
        </xdr:txBody>
      </xdr:sp>
      <xdr:sp macro="[0]!ImportARGUS_CashFlow_1_2" textlink="">
        <xdr:nvSpPr>
          <xdr:cNvPr id="37" name="Rounded Rectangle 36">
            <a:extLst>
              <a:ext uri="{FF2B5EF4-FFF2-40B4-BE49-F238E27FC236}">
                <a16:creationId xmlns:a16="http://schemas.microsoft.com/office/drawing/2014/main" id="{00000000-0008-0000-4800-000025000000}"/>
              </a:ext>
            </a:extLst>
          </xdr:cNvPr>
          <xdr:cNvSpPr>
            <a:spLocks noChangeAspect="1"/>
          </xdr:cNvSpPr>
        </xdr:nvSpPr>
        <xdr:spPr>
          <a:xfrm>
            <a:off x="8744951" y="0"/>
            <a:ext cx="118872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Import Cash Flows 1 &amp; 2</a:t>
            </a:r>
          </a:p>
        </xdr:txBody>
      </xdr:sp>
    </xdr:grpSp>
    <xdr:clientData/>
  </xdr:twoCellAnchor>
  <xdr:twoCellAnchor editAs="absolute">
    <xdr:from>
      <xdr:col>20</xdr:col>
      <xdr:colOff>607484</xdr:colOff>
      <xdr:row>0</xdr:row>
      <xdr:rowOff>19050</xdr:rowOff>
    </xdr:from>
    <xdr:to>
      <xdr:col>32</xdr:col>
      <xdr:colOff>12278</xdr:colOff>
      <xdr:row>4</xdr:row>
      <xdr:rowOff>184151</xdr:rowOff>
    </xdr:to>
    <xdr:sp macro="" textlink="">
      <xdr:nvSpPr>
        <xdr:cNvPr id="16" name="TextBox 15">
          <a:hlinkClick xmlns:r="http://schemas.openxmlformats.org/officeDocument/2006/relationships" r:id="rId3"/>
          <a:extLst>
            <a:ext uri="{FF2B5EF4-FFF2-40B4-BE49-F238E27FC236}">
              <a16:creationId xmlns:a16="http://schemas.microsoft.com/office/drawing/2014/main" id="{00000000-0008-0000-4800-000010000000}"/>
            </a:ext>
          </a:extLst>
        </xdr:cNvPr>
        <xdr:cNvSpPr txBox="1">
          <a:spLocks noChangeAspect="1"/>
        </xdr:cNvSpPr>
      </xdr:nvSpPr>
      <xdr:spPr>
        <a:xfrm>
          <a:off x="12447059" y="19050"/>
          <a:ext cx="6719994" cy="15081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a:r>
            <a:rPr lang="en-US" sz="1000" b="1" i="0" baseline="0">
              <a:solidFill>
                <a:schemeClr val="dk1"/>
              </a:solidFill>
              <a:effectLst/>
              <a:latin typeface="Segoe UI" panose="020B0502040204020203" pitchFamily="34" charset="0"/>
              <a:ea typeface="+mn-ea"/>
              <a:cs typeface="Segoe UI" panose="020B0502040204020203" pitchFamily="34" charset="0"/>
            </a:rPr>
            <a:t>1. User inputs in cells with white background only</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Cash Flows are Imported from ARGUS Only</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ARGUS Logo will Require Manual Placement/Remval for Cash Flows under 8 years</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5. Press "Default" Button to add</a:t>
          </a:r>
          <a:r>
            <a:rPr lang="en-US" sz="1000" b="1" baseline="0">
              <a:solidFill>
                <a:schemeClr val="dk1"/>
              </a:solidFill>
              <a:effectLst/>
              <a:latin typeface="Segoe UI" panose="020B0502040204020203" pitchFamily="34" charset="0"/>
              <a:ea typeface="+mn-ea"/>
              <a:cs typeface="Segoe UI" panose="020B0502040204020203" pitchFamily="34" charset="0"/>
            </a:rPr>
            <a:t> background colors &amp; unhide all rows to modify prior inputs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wsDr>
</file>

<file path=xl/drawings/drawing63.xml><?xml version="1.0" encoding="utf-8"?>
<xdr:wsDr xmlns:xdr="http://schemas.openxmlformats.org/drawingml/2006/spreadsheetDrawing" xmlns:a="http://schemas.openxmlformats.org/drawingml/2006/main">
  <xdr:twoCellAnchor editAs="oneCell">
    <xdr:from>
      <xdr:col>15</xdr:col>
      <xdr:colOff>571500</xdr:colOff>
      <xdr:row>107</xdr:row>
      <xdr:rowOff>3168</xdr:rowOff>
    </xdr:from>
    <xdr:to>
      <xdr:col>17</xdr:col>
      <xdr:colOff>692402</xdr:colOff>
      <xdr:row>110</xdr:row>
      <xdr:rowOff>163188</xdr:rowOff>
    </xdr:to>
    <xdr:pic>
      <xdr:nvPicPr>
        <xdr:cNvPr id="3" name="ARLOGO1.SF" descr="F:\WINARGUS\ARLOGO1.SF">
          <a:extLst>
            <a:ext uri="{FF2B5EF4-FFF2-40B4-BE49-F238E27FC236}">
              <a16:creationId xmlns:a16="http://schemas.microsoft.com/office/drawing/2014/main" id="{00000000-0008-0000-4900-000003000000}"/>
            </a:ext>
          </a:extLst>
        </xdr:cNvPr>
        <xdr:cNvPicPr>
          <a:picLocks noChangeAspect="1"/>
        </xdr:cNvPicPr>
      </xdr:nvPicPr>
      <xdr:blipFill>
        <a:blip xmlns:r="http://schemas.openxmlformats.org/officeDocument/2006/relationships" r:embed="rId1" r:link="rId2" cstate="print"/>
        <a:stretch>
          <a:fillRect/>
        </a:stretch>
      </xdr:blipFill>
      <xdr:spPr>
        <a:xfrm>
          <a:off x="10163175" y="20796243"/>
          <a:ext cx="1549652" cy="731520"/>
        </a:xfrm>
        <a:prstGeom prst="rect">
          <a:avLst/>
        </a:prstGeom>
        <a:ln>
          <a:noFill/>
        </a:ln>
      </xdr:spPr>
    </xdr:pic>
    <xdr:clientData/>
  </xdr:twoCellAnchor>
  <xdr:twoCellAnchor editAs="absolute">
    <xdr:from>
      <xdr:col>0</xdr:col>
      <xdr:colOff>0</xdr:colOff>
      <xdr:row>0</xdr:row>
      <xdr:rowOff>0</xdr:rowOff>
    </xdr:from>
    <xdr:to>
      <xdr:col>16</xdr:col>
      <xdr:colOff>398996</xdr:colOff>
      <xdr:row>0</xdr:row>
      <xdr:rowOff>752686</xdr:rowOff>
    </xdr:to>
    <xdr:grpSp>
      <xdr:nvGrpSpPr>
        <xdr:cNvPr id="2" name="Group 1">
          <a:extLst>
            <a:ext uri="{FF2B5EF4-FFF2-40B4-BE49-F238E27FC236}">
              <a16:creationId xmlns:a16="http://schemas.microsoft.com/office/drawing/2014/main" id="{00000000-0008-0000-4900-000002000000}"/>
            </a:ext>
          </a:extLst>
        </xdr:cNvPr>
        <xdr:cNvGrpSpPr>
          <a:grpSpLocks noChangeAspect="1"/>
        </xdr:cNvGrpSpPr>
      </xdr:nvGrpSpPr>
      <xdr:grpSpPr>
        <a:xfrm>
          <a:off x="0" y="0"/>
          <a:ext cx="10638371" cy="752686"/>
          <a:chOff x="0" y="0"/>
          <a:chExt cx="10661654" cy="752686"/>
        </a:xfrm>
      </xdr:grpSpPr>
      <xdr:sp macro="[0]!GoTo_Main" textlink="">
        <xdr:nvSpPr>
          <xdr:cNvPr id="26" name="Rounded Rectangle 25">
            <a:extLst>
              <a:ext uri="{FF2B5EF4-FFF2-40B4-BE49-F238E27FC236}">
                <a16:creationId xmlns:a16="http://schemas.microsoft.com/office/drawing/2014/main" id="{00000000-0008-0000-4900-00001A000000}"/>
              </a:ext>
            </a:extLst>
          </xdr:cNvPr>
          <xdr:cNvSpPr>
            <a:spLocks noChangeAspect="1"/>
          </xdr:cNvSpPr>
        </xdr:nvSpPr>
        <xdr:spPr>
          <a:xfrm>
            <a:off x="0" y="0"/>
            <a:ext cx="91440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ValueIndications_Table" textlink="">
        <xdr:nvSpPr>
          <xdr:cNvPr id="28" name="Rounded Rectangle 27">
            <a:extLst>
              <a:ext uri="{FF2B5EF4-FFF2-40B4-BE49-F238E27FC236}">
                <a16:creationId xmlns:a16="http://schemas.microsoft.com/office/drawing/2014/main" id="{00000000-0008-0000-4900-00001C000000}"/>
              </a:ext>
            </a:extLst>
          </xdr:cNvPr>
          <xdr:cNvSpPr>
            <a:spLocks noChangeAspect="1"/>
          </xdr:cNvSpPr>
        </xdr:nvSpPr>
        <xdr:spPr>
          <a:xfrm>
            <a:off x="963081" y="0"/>
            <a:ext cx="109728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sp macro="[0]!ShowUserFormTemplateAssumptions" textlink="">
        <xdr:nvSpPr>
          <xdr:cNvPr id="29" name="Rounded Rectangle 28">
            <a:extLst>
              <a:ext uri="{FF2B5EF4-FFF2-40B4-BE49-F238E27FC236}">
                <a16:creationId xmlns:a16="http://schemas.microsoft.com/office/drawing/2014/main" id="{00000000-0008-0000-4900-00001D000000}"/>
              </a:ext>
            </a:extLst>
          </xdr:cNvPr>
          <xdr:cNvSpPr>
            <a:spLocks noChangeAspect="1"/>
          </xdr:cNvSpPr>
        </xdr:nvSpPr>
        <xdr:spPr>
          <a:xfrm>
            <a:off x="2095501" y="0"/>
            <a:ext cx="118872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a:t>
            </a:r>
            <a:r>
              <a:rPr lang="en-US" sz="1200" b="1" baseline="0">
                <a:solidFill>
                  <a:srgbClr val="1F497D"/>
                </a:solidFill>
                <a:latin typeface="Segoe UI" panose="020B0502040204020203" pitchFamily="34" charset="0"/>
                <a:cs typeface="Segoe UI" panose="020B0502040204020203" pitchFamily="34" charset="0"/>
              </a:rPr>
              <a:t> Assumptions</a:t>
            </a:r>
            <a:endParaRPr lang="en-US" sz="1200" b="1">
              <a:solidFill>
                <a:srgbClr val="1F497D"/>
              </a:solidFill>
              <a:latin typeface="Segoe UI" panose="020B0502040204020203" pitchFamily="34" charset="0"/>
              <a:cs typeface="Segoe UI" panose="020B0502040204020203" pitchFamily="34" charset="0"/>
            </a:endParaRPr>
          </a:p>
        </xdr:txBody>
      </xdr:sp>
      <xdr:sp macro="[0]!GoTo_IncomeDCF_1" textlink="">
        <xdr:nvSpPr>
          <xdr:cNvPr id="30" name="Rounded Rectangle 29">
            <a:extLst>
              <a:ext uri="{FF2B5EF4-FFF2-40B4-BE49-F238E27FC236}">
                <a16:creationId xmlns:a16="http://schemas.microsoft.com/office/drawing/2014/main" id="{00000000-0008-0000-4900-00001E000000}"/>
              </a:ext>
            </a:extLst>
          </xdr:cNvPr>
          <xdr:cNvSpPr>
            <a:spLocks noChangeAspect="1"/>
          </xdr:cNvSpPr>
        </xdr:nvSpPr>
        <xdr:spPr>
          <a:xfrm>
            <a:off x="4561422" y="0"/>
            <a:ext cx="91440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DCF 1</a:t>
            </a:r>
          </a:p>
        </xdr:txBody>
      </xdr:sp>
      <xdr:sp macro="[0]!GoTo_IncomeDCF_2" textlink="">
        <xdr:nvSpPr>
          <xdr:cNvPr id="31" name="Rounded Rectangle 30">
            <a:extLst>
              <a:ext uri="{FF2B5EF4-FFF2-40B4-BE49-F238E27FC236}">
                <a16:creationId xmlns:a16="http://schemas.microsoft.com/office/drawing/2014/main" id="{00000000-0008-0000-4900-00001F000000}"/>
              </a:ext>
            </a:extLst>
          </xdr:cNvPr>
          <xdr:cNvSpPr>
            <a:spLocks noChangeAspect="1"/>
          </xdr:cNvSpPr>
        </xdr:nvSpPr>
        <xdr:spPr>
          <a:xfrm>
            <a:off x="5524504" y="0"/>
            <a:ext cx="91440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DCF 2</a:t>
            </a:r>
          </a:p>
        </xdr:txBody>
      </xdr:sp>
      <xdr:sp macro="[0]!GoTo_IncomeReversionTable" textlink="">
        <xdr:nvSpPr>
          <xdr:cNvPr id="32" name="Rounded Rectangle 31">
            <a:extLst>
              <a:ext uri="{FF2B5EF4-FFF2-40B4-BE49-F238E27FC236}">
                <a16:creationId xmlns:a16="http://schemas.microsoft.com/office/drawing/2014/main" id="{00000000-0008-0000-4900-000020000000}"/>
              </a:ext>
            </a:extLst>
          </xdr:cNvPr>
          <xdr:cNvSpPr>
            <a:spLocks noChangeAspect="1"/>
          </xdr:cNvSpPr>
        </xdr:nvSpPr>
        <xdr:spPr>
          <a:xfrm>
            <a:off x="6477002" y="0"/>
            <a:ext cx="100584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DCF Reversion</a:t>
            </a:r>
          </a:p>
        </xdr:txBody>
      </xdr:sp>
      <xdr:sp macro="[0]!Update_DCF_3" textlink="">
        <xdr:nvSpPr>
          <xdr:cNvPr id="33" name="Rounded Rectangle 32">
            <a:extLst>
              <a:ext uri="{FF2B5EF4-FFF2-40B4-BE49-F238E27FC236}">
                <a16:creationId xmlns:a16="http://schemas.microsoft.com/office/drawing/2014/main" id="{00000000-0008-0000-4900-000021000000}"/>
              </a:ext>
            </a:extLst>
          </xdr:cNvPr>
          <xdr:cNvSpPr>
            <a:spLocks noChangeAspect="1"/>
          </xdr:cNvSpPr>
        </xdr:nvSpPr>
        <xdr:spPr>
          <a:xfrm>
            <a:off x="8784170"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DCF_3" textlink="">
        <xdr:nvSpPr>
          <xdr:cNvPr id="34" name="Rounded Rectangle 33">
            <a:extLst>
              <a:ext uri="{FF2B5EF4-FFF2-40B4-BE49-F238E27FC236}">
                <a16:creationId xmlns:a16="http://schemas.microsoft.com/office/drawing/2014/main" id="{00000000-0008-0000-4900-000022000000}"/>
              </a:ext>
            </a:extLst>
          </xdr:cNvPr>
          <xdr:cNvSpPr>
            <a:spLocks noChangeAspect="1"/>
          </xdr:cNvSpPr>
        </xdr:nvSpPr>
        <xdr:spPr>
          <a:xfrm>
            <a:off x="9747254" y="0"/>
            <a:ext cx="91440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ImportARGUS_CashFlow_3" textlink="">
        <xdr:nvSpPr>
          <xdr:cNvPr id="35" name="Rounded Rectangle 34">
            <a:extLst>
              <a:ext uri="{FF2B5EF4-FFF2-40B4-BE49-F238E27FC236}">
                <a16:creationId xmlns:a16="http://schemas.microsoft.com/office/drawing/2014/main" id="{00000000-0008-0000-4900-000023000000}"/>
              </a:ext>
            </a:extLst>
          </xdr:cNvPr>
          <xdr:cNvSpPr>
            <a:spLocks noChangeAspect="1"/>
          </xdr:cNvSpPr>
        </xdr:nvSpPr>
        <xdr:spPr>
          <a:xfrm>
            <a:off x="7545916" y="0"/>
            <a:ext cx="1188720"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Import Cash Flow 3</a:t>
            </a:r>
          </a:p>
        </xdr:txBody>
      </xdr:sp>
      <xdr:sp macro="[0]!GoTo_IncomeApproachAssumptions_Input" textlink="">
        <xdr:nvSpPr>
          <xdr:cNvPr id="15" name="Rounded Rectangle 14">
            <a:extLst>
              <a:ext uri="{FF2B5EF4-FFF2-40B4-BE49-F238E27FC236}">
                <a16:creationId xmlns:a16="http://schemas.microsoft.com/office/drawing/2014/main" id="{00000000-0008-0000-4900-00000F000000}"/>
              </a:ext>
            </a:extLst>
          </xdr:cNvPr>
          <xdr:cNvSpPr>
            <a:spLocks noChangeAspect="1"/>
          </xdr:cNvSpPr>
        </xdr:nvSpPr>
        <xdr:spPr>
          <a:xfrm>
            <a:off x="3333750" y="21166"/>
            <a:ext cx="1188720"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grpSp>
    <xdr:clientData/>
  </xdr:twoCellAnchor>
  <xdr:twoCellAnchor editAs="absolute">
    <xdr:from>
      <xdr:col>21</xdr:col>
      <xdr:colOff>13758</xdr:colOff>
      <xdr:row>0</xdr:row>
      <xdr:rowOff>9525</xdr:rowOff>
    </xdr:from>
    <xdr:to>
      <xdr:col>32</xdr:col>
      <xdr:colOff>26035</xdr:colOff>
      <xdr:row>4</xdr:row>
      <xdr:rowOff>174626</xdr:rowOff>
    </xdr:to>
    <xdr:sp macro="" textlink="">
      <xdr:nvSpPr>
        <xdr:cNvPr id="16" name="TextBox 15">
          <a:hlinkClick xmlns:r="http://schemas.openxmlformats.org/officeDocument/2006/relationships" r:id="rId3"/>
          <a:extLst>
            <a:ext uri="{FF2B5EF4-FFF2-40B4-BE49-F238E27FC236}">
              <a16:creationId xmlns:a16="http://schemas.microsoft.com/office/drawing/2014/main" id="{00000000-0008-0000-4900-000010000000}"/>
            </a:ext>
          </a:extLst>
        </xdr:cNvPr>
        <xdr:cNvSpPr txBox="1">
          <a:spLocks noChangeAspect="1"/>
        </xdr:cNvSpPr>
      </xdr:nvSpPr>
      <xdr:spPr>
        <a:xfrm>
          <a:off x="12462933" y="9525"/>
          <a:ext cx="6717877" cy="15081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a:r>
            <a:rPr lang="en-US" sz="1000" b="1" i="0" baseline="0">
              <a:solidFill>
                <a:schemeClr val="dk1"/>
              </a:solidFill>
              <a:effectLst/>
              <a:latin typeface="Segoe UI" panose="020B0502040204020203" pitchFamily="34" charset="0"/>
              <a:ea typeface="+mn-ea"/>
              <a:cs typeface="Segoe UI" panose="020B0502040204020203" pitchFamily="34" charset="0"/>
            </a:rPr>
            <a:t>1. User inputs in cells with white background only</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Cash Flows are Imported from ARGUS Only</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ARGUS Logo will Require Manual Placement/Remval for Cash Flows under 8 years</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5. Press "Default" Button to add</a:t>
          </a:r>
          <a:r>
            <a:rPr lang="en-US" sz="1000" b="1" baseline="0">
              <a:solidFill>
                <a:schemeClr val="dk1"/>
              </a:solidFill>
              <a:effectLst/>
              <a:latin typeface="Segoe UI" panose="020B0502040204020203" pitchFamily="34" charset="0"/>
              <a:ea typeface="+mn-ea"/>
              <a:cs typeface="Segoe UI" panose="020B0502040204020203" pitchFamily="34" charset="0"/>
            </a:rPr>
            <a:t> background colors &amp; unhide all rows to modify prior inputs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wsDr>
</file>

<file path=xl/drawings/drawing64.xml><?xml version="1.0" encoding="utf-8"?>
<xdr:wsDr xmlns:xdr="http://schemas.openxmlformats.org/drawingml/2006/spreadsheetDrawing" xmlns:a="http://schemas.openxmlformats.org/drawingml/2006/main">
  <xdr:twoCellAnchor editAs="oneCell">
    <xdr:from>
      <xdr:col>3</xdr:col>
      <xdr:colOff>428626</xdr:colOff>
      <xdr:row>4</xdr:row>
      <xdr:rowOff>114300</xdr:rowOff>
    </xdr:from>
    <xdr:to>
      <xdr:col>3</xdr:col>
      <xdr:colOff>1595455</xdr:colOff>
      <xdr:row>5</xdr:row>
      <xdr:rowOff>91440</xdr:rowOff>
    </xdr:to>
    <xdr:pic>
      <xdr:nvPicPr>
        <xdr:cNvPr id="3" name="ARLOGO1.SF" descr="F:\WINARGUS\ARLOGO1.SF">
          <a:extLst>
            <a:ext uri="{FF2B5EF4-FFF2-40B4-BE49-F238E27FC236}">
              <a16:creationId xmlns:a16="http://schemas.microsoft.com/office/drawing/2014/main" id="{00000000-0008-0000-4A00-000003000000}"/>
            </a:ext>
          </a:extLst>
        </xdr:cNvPr>
        <xdr:cNvPicPr>
          <a:picLocks noChangeAspect="1"/>
        </xdr:cNvPicPr>
      </xdr:nvPicPr>
      <xdr:blipFill>
        <a:blip xmlns:r="http://schemas.openxmlformats.org/officeDocument/2006/relationships" r:embed="rId1" r:link="rId2" cstate="print"/>
        <a:stretch>
          <a:fillRect/>
        </a:stretch>
      </xdr:blipFill>
      <xdr:spPr>
        <a:xfrm>
          <a:off x="981076" y="1447800"/>
          <a:ext cx="1166829" cy="548640"/>
        </a:xfrm>
        <a:prstGeom prst="rect">
          <a:avLst/>
        </a:prstGeom>
        <a:ln>
          <a:noFill/>
        </a:ln>
      </xdr:spPr>
    </xdr:pic>
    <xdr:clientData/>
  </xdr:twoCellAnchor>
  <xdr:twoCellAnchor editAs="absolute">
    <xdr:from>
      <xdr:col>23</xdr:col>
      <xdr:colOff>164041</xdr:colOff>
      <xdr:row>0</xdr:row>
      <xdr:rowOff>38100</xdr:rowOff>
    </xdr:from>
    <xdr:to>
      <xdr:col>34</xdr:col>
      <xdr:colOff>307973</xdr:colOff>
      <xdr:row>4</xdr:row>
      <xdr:rowOff>28574</xdr:rowOff>
    </xdr:to>
    <xdr:sp macro="" textlink="">
      <xdr:nvSpPr>
        <xdr:cNvPr id="39" name="TextBox 38">
          <a:hlinkClick xmlns:r="http://schemas.openxmlformats.org/officeDocument/2006/relationships" r:id="rId3"/>
          <a:extLst>
            <a:ext uri="{FF2B5EF4-FFF2-40B4-BE49-F238E27FC236}">
              <a16:creationId xmlns:a16="http://schemas.microsoft.com/office/drawing/2014/main" id="{00000000-0008-0000-4A00-000027000000}"/>
            </a:ext>
          </a:extLst>
        </xdr:cNvPr>
        <xdr:cNvSpPr txBox="1">
          <a:spLocks noChangeAspect="1"/>
        </xdr:cNvSpPr>
      </xdr:nvSpPr>
      <xdr:spPr>
        <a:xfrm>
          <a:off x="9355666" y="38100"/>
          <a:ext cx="6849532" cy="132397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a:r>
            <a:rPr lang="en-US" sz="1000" b="1" i="0" baseline="0">
              <a:solidFill>
                <a:schemeClr val="dk1"/>
              </a:solidFill>
              <a:effectLst/>
              <a:latin typeface="Segoe UI" panose="020B0502040204020203" pitchFamily="34" charset="0"/>
              <a:ea typeface="+mn-ea"/>
              <a:cs typeface="Segoe UI" panose="020B0502040204020203" pitchFamily="34" charset="0"/>
            </a:rPr>
            <a:t>1. User inputs in cells with white background only</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Populates Based on Discounted Cash Flow Import, but can be Manually Overwritten</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add</a:t>
          </a:r>
          <a:r>
            <a:rPr lang="en-US" sz="1000" b="1" baseline="0">
              <a:solidFill>
                <a:schemeClr val="dk1"/>
              </a:solidFill>
              <a:effectLst/>
              <a:latin typeface="Segoe UI" panose="020B0502040204020203" pitchFamily="34" charset="0"/>
              <a:ea typeface="+mn-ea"/>
              <a:cs typeface="Segoe UI" panose="020B0502040204020203" pitchFamily="34" charset="0"/>
            </a:rPr>
            <a:t> background colors &amp; unhide all rows to modify prior inputs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23</xdr:col>
      <xdr:colOff>89964</xdr:colOff>
      <xdr:row>0</xdr:row>
      <xdr:rowOff>731520</xdr:rowOff>
    </xdr:to>
    <xdr:grpSp>
      <xdr:nvGrpSpPr>
        <xdr:cNvPr id="5" name="Group 4">
          <a:extLst>
            <a:ext uri="{FF2B5EF4-FFF2-40B4-BE49-F238E27FC236}">
              <a16:creationId xmlns:a16="http://schemas.microsoft.com/office/drawing/2014/main" id="{00000000-0008-0000-4A00-000005000000}"/>
            </a:ext>
          </a:extLst>
        </xdr:cNvPr>
        <xdr:cNvGrpSpPr/>
      </xdr:nvGrpSpPr>
      <xdr:grpSpPr>
        <a:xfrm>
          <a:off x="0" y="0"/>
          <a:ext cx="9281589" cy="731520"/>
          <a:chOff x="0" y="0"/>
          <a:chExt cx="9281589" cy="731520"/>
        </a:xfrm>
      </xdr:grpSpPr>
      <xdr:sp macro="[0]!GoTo_Main" textlink="">
        <xdr:nvSpPr>
          <xdr:cNvPr id="23" name="Rounded Rectangle 22">
            <a:extLst>
              <a:ext uri="{FF2B5EF4-FFF2-40B4-BE49-F238E27FC236}">
                <a16:creationId xmlns:a16="http://schemas.microsoft.com/office/drawing/2014/main" id="{00000000-0008-0000-4A00-000017000000}"/>
              </a:ext>
            </a:extLst>
          </xdr:cNvPr>
          <xdr:cNvSpPr>
            <a:spLocks noChangeAspect="1"/>
          </xdr:cNvSpPr>
        </xdr:nvSpPr>
        <xdr:spPr>
          <a:xfrm>
            <a:off x="0" y="0"/>
            <a:ext cx="913776"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ValueIndications_Table" textlink="">
        <xdr:nvSpPr>
          <xdr:cNvPr id="25" name="Rounded Rectangle 24">
            <a:extLst>
              <a:ext uri="{FF2B5EF4-FFF2-40B4-BE49-F238E27FC236}">
                <a16:creationId xmlns:a16="http://schemas.microsoft.com/office/drawing/2014/main" id="{00000000-0008-0000-4A00-000019000000}"/>
              </a:ext>
            </a:extLst>
          </xdr:cNvPr>
          <xdr:cNvSpPr>
            <a:spLocks noChangeAspect="1"/>
          </xdr:cNvSpPr>
        </xdr:nvSpPr>
        <xdr:spPr>
          <a:xfrm>
            <a:off x="962424" y="0"/>
            <a:ext cx="1096531"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sp macro="[0]!ShowUserFormTemplateAssumptions" textlink="">
        <xdr:nvSpPr>
          <xdr:cNvPr id="26" name="Rounded Rectangle 25">
            <a:extLst>
              <a:ext uri="{FF2B5EF4-FFF2-40B4-BE49-F238E27FC236}">
                <a16:creationId xmlns:a16="http://schemas.microsoft.com/office/drawing/2014/main" id="{00000000-0008-0000-4A00-00001A000000}"/>
              </a:ext>
            </a:extLst>
          </xdr:cNvPr>
          <xdr:cNvSpPr>
            <a:spLocks noChangeAspect="1"/>
          </xdr:cNvSpPr>
        </xdr:nvSpPr>
        <xdr:spPr>
          <a:xfrm>
            <a:off x="2094071" y="0"/>
            <a:ext cx="1187909"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a:t>
            </a:r>
            <a:r>
              <a:rPr lang="en-US" sz="1200" b="1" baseline="0">
                <a:solidFill>
                  <a:srgbClr val="1F497D"/>
                </a:solidFill>
                <a:latin typeface="Segoe UI" panose="020B0502040204020203" pitchFamily="34" charset="0"/>
                <a:cs typeface="Segoe UI" panose="020B0502040204020203" pitchFamily="34" charset="0"/>
              </a:rPr>
              <a:t> Assumptions</a:t>
            </a:r>
            <a:endParaRPr lang="en-US" sz="1200" b="1">
              <a:solidFill>
                <a:srgbClr val="1F497D"/>
              </a:solidFill>
              <a:latin typeface="Segoe UI" panose="020B0502040204020203" pitchFamily="34" charset="0"/>
              <a:cs typeface="Segoe UI" panose="020B0502040204020203" pitchFamily="34" charset="0"/>
            </a:endParaRPr>
          </a:p>
        </xdr:txBody>
      </xdr:sp>
      <xdr:sp macro="[0]!GoTo_IncomeDCF_1" textlink="">
        <xdr:nvSpPr>
          <xdr:cNvPr id="27" name="Rounded Rectangle 26">
            <a:extLst>
              <a:ext uri="{FF2B5EF4-FFF2-40B4-BE49-F238E27FC236}">
                <a16:creationId xmlns:a16="http://schemas.microsoft.com/office/drawing/2014/main" id="{00000000-0008-0000-4A00-00001B000000}"/>
              </a:ext>
            </a:extLst>
          </xdr:cNvPr>
          <xdr:cNvSpPr>
            <a:spLocks noChangeAspect="1"/>
          </xdr:cNvSpPr>
        </xdr:nvSpPr>
        <xdr:spPr>
          <a:xfrm>
            <a:off x="4558308" y="0"/>
            <a:ext cx="913776"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DCF 1</a:t>
            </a:r>
          </a:p>
        </xdr:txBody>
      </xdr:sp>
      <xdr:sp macro="[0]!GoTo_IncomeDCF_2" textlink="">
        <xdr:nvSpPr>
          <xdr:cNvPr id="28" name="Rounded Rectangle 27">
            <a:extLst>
              <a:ext uri="{FF2B5EF4-FFF2-40B4-BE49-F238E27FC236}">
                <a16:creationId xmlns:a16="http://schemas.microsoft.com/office/drawing/2014/main" id="{00000000-0008-0000-4A00-00001C000000}"/>
              </a:ext>
            </a:extLst>
          </xdr:cNvPr>
          <xdr:cNvSpPr>
            <a:spLocks noChangeAspect="1"/>
          </xdr:cNvSpPr>
        </xdr:nvSpPr>
        <xdr:spPr>
          <a:xfrm>
            <a:off x="5510157" y="0"/>
            <a:ext cx="913776"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DCF 2</a:t>
            </a:r>
          </a:p>
        </xdr:txBody>
      </xdr:sp>
      <xdr:sp macro="[0]!GoTo_IncomeDCF_3" textlink="">
        <xdr:nvSpPr>
          <xdr:cNvPr id="29" name="Rounded Rectangle 28">
            <a:extLst>
              <a:ext uri="{FF2B5EF4-FFF2-40B4-BE49-F238E27FC236}">
                <a16:creationId xmlns:a16="http://schemas.microsoft.com/office/drawing/2014/main" id="{00000000-0008-0000-4A00-00001D000000}"/>
              </a:ext>
            </a:extLst>
          </xdr:cNvPr>
          <xdr:cNvSpPr>
            <a:spLocks noChangeAspect="1"/>
          </xdr:cNvSpPr>
        </xdr:nvSpPr>
        <xdr:spPr>
          <a:xfrm>
            <a:off x="6462005" y="0"/>
            <a:ext cx="913776"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DCF 3</a:t>
            </a:r>
          </a:p>
        </xdr:txBody>
      </xdr:sp>
      <xdr:sp macro="[0]!update_dcf_reversion" textlink="">
        <xdr:nvSpPr>
          <xdr:cNvPr id="30" name="Rounded Rectangle 29">
            <a:extLst>
              <a:ext uri="{FF2B5EF4-FFF2-40B4-BE49-F238E27FC236}">
                <a16:creationId xmlns:a16="http://schemas.microsoft.com/office/drawing/2014/main" id="{00000000-0008-0000-4A00-00001E000000}"/>
              </a:ext>
            </a:extLst>
          </xdr:cNvPr>
          <xdr:cNvSpPr>
            <a:spLocks noChangeAspect="1"/>
          </xdr:cNvSpPr>
        </xdr:nvSpPr>
        <xdr:spPr>
          <a:xfrm>
            <a:off x="7414911" y="0"/>
            <a:ext cx="91377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DCF_Reversion" textlink="">
        <xdr:nvSpPr>
          <xdr:cNvPr id="31" name="Rounded Rectangle 30">
            <a:extLst>
              <a:ext uri="{FF2B5EF4-FFF2-40B4-BE49-F238E27FC236}">
                <a16:creationId xmlns:a16="http://schemas.microsoft.com/office/drawing/2014/main" id="{00000000-0008-0000-4A00-00001F000000}"/>
              </a:ext>
            </a:extLst>
          </xdr:cNvPr>
          <xdr:cNvSpPr>
            <a:spLocks noChangeAspect="1"/>
          </xdr:cNvSpPr>
        </xdr:nvSpPr>
        <xdr:spPr>
          <a:xfrm>
            <a:off x="8367813" y="0"/>
            <a:ext cx="913776"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GoTo_IncomeApproachAssumptions_Input" textlink="">
        <xdr:nvSpPr>
          <xdr:cNvPr id="14" name="Rounded Rectangle 13">
            <a:extLst>
              <a:ext uri="{FF2B5EF4-FFF2-40B4-BE49-F238E27FC236}">
                <a16:creationId xmlns:a16="http://schemas.microsoft.com/office/drawing/2014/main" id="{00000000-0008-0000-4A00-00000E000000}"/>
              </a:ext>
            </a:extLst>
          </xdr:cNvPr>
          <xdr:cNvSpPr>
            <a:spLocks noChangeAspect="1"/>
          </xdr:cNvSpPr>
        </xdr:nvSpPr>
        <xdr:spPr>
          <a:xfrm>
            <a:off x="3331475" y="0"/>
            <a:ext cx="1187909"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grpSp>
    <xdr:clientData/>
  </xdr:twoCellAnchor>
</xdr:wsDr>
</file>

<file path=xl/drawings/drawing6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1049655</xdr:colOff>
      <xdr:row>0</xdr:row>
      <xdr:rowOff>731520</xdr:rowOff>
    </xdr:to>
    <xdr:grpSp>
      <xdr:nvGrpSpPr>
        <xdr:cNvPr id="2" name="Group 1">
          <a:extLst>
            <a:ext uri="{FF2B5EF4-FFF2-40B4-BE49-F238E27FC236}">
              <a16:creationId xmlns:a16="http://schemas.microsoft.com/office/drawing/2014/main" id="{00000000-0008-0000-4B00-000002000000}"/>
            </a:ext>
          </a:extLst>
        </xdr:cNvPr>
        <xdr:cNvGrpSpPr>
          <a:grpSpLocks noChangeAspect="1"/>
        </xdr:cNvGrpSpPr>
      </xdr:nvGrpSpPr>
      <xdr:grpSpPr>
        <a:xfrm>
          <a:off x="0" y="0"/>
          <a:ext cx="3469005" cy="731520"/>
          <a:chOff x="0" y="0"/>
          <a:chExt cx="3469005" cy="731520"/>
        </a:xfrm>
      </xdr:grpSpPr>
      <xdr:sp macro="[0]!GoTo_Main" textlink="">
        <xdr:nvSpPr>
          <xdr:cNvPr id="6" name="Rounded Rectangle 5">
            <a:extLst>
              <a:ext uri="{FF2B5EF4-FFF2-40B4-BE49-F238E27FC236}">
                <a16:creationId xmlns:a16="http://schemas.microsoft.com/office/drawing/2014/main" id="{00000000-0008-0000-4B00-000006000000}"/>
              </a:ext>
            </a:extLst>
          </xdr:cNvPr>
          <xdr:cNvSpPr>
            <a:spLocks noChangeAspect="1"/>
          </xdr:cNvSpPr>
        </xdr:nvSpPr>
        <xdr:spPr>
          <a:xfrm>
            <a:off x="0" y="0"/>
            <a:ext cx="919692"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CreateTable" textlink="">
        <xdr:nvSpPr>
          <xdr:cNvPr id="7" name="Rounded Rectangle 6">
            <a:extLst>
              <a:ext uri="{FF2B5EF4-FFF2-40B4-BE49-F238E27FC236}">
                <a16:creationId xmlns:a16="http://schemas.microsoft.com/office/drawing/2014/main" id="{00000000-0008-0000-4B00-000007000000}"/>
              </a:ext>
            </a:extLst>
          </xdr:cNvPr>
          <xdr:cNvSpPr>
            <a:spLocks noChangeAspect="1"/>
          </xdr:cNvSpPr>
        </xdr:nvSpPr>
        <xdr:spPr>
          <a:xfrm>
            <a:off x="962025" y="0"/>
            <a:ext cx="913394"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New</a:t>
            </a:r>
            <a:r>
              <a:rPr lang="en-US" sz="1200" b="1" baseline="0">
                <a:solidFill>
                  <a:sysClr val="windowText" lastClr="000000"/>
                </a:solidFill>
                <a:latin typeface="Segoe UI" panose="020B0502040204020203" pitchFamily="34" charset="0"/>
                <a:cs typeface="Segoe UI" panose="020B0502040204020203" pitchFamily="34" charset="0"/>
              </a:rPr>
              <a:t> Table</a:t>
            </a:r>
            <a:endParaRPr lang="en-US" sz="1200" b="1">
              <a:solidFill>
                <a:sysClr val="windowText" lastClr="000000"/>
              </a:solidFill>
              <a:latin typeface="Segoe UI" panose="020B0502040204020203" pitchFamily="34" charset="0"/>
              <a:cs typeface="Segoe UI" panose="020B0502040204020203" pitchFamily="34" charset="0"/>
            </a:endParaRPr>
          </a:p>
        </xdr:txBody>
      </xdr:sp>
      <xdr:sp macro="[0]!ListLinks" textlink="">
        <xdr:nvSpPr>
          <xdr:cNvPr id="8" name="Rounded Rectangle 7">
            <a:extLst>
              <a:ext uri="{FF2B5EF4-FFF2-40B4-BE49-F238E27FC236}">
                <a16:creationId xmlns:a16="http://schemas.microsoft.com/office/drawing/2014/main" id="{00000000-0008-0000-4B00-000008000000}"/>
              </a:ext>
            </a:extLst>
          </xdr:cNvPr>
          <xdr:cNvSpPr>
            <a:spLocks noChangeAspect="1"/>
          </xdr:cNvSpPr>
        </xdr:nvSpPr>
        <xdr:spPr>
          <a:xfrm>
            <a:off x="1914525" y="0"/>
            <a:ext cx="155448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Identify Links to Other Workbooks</a:t>
            </a:r>
          </a:p>
        </xdr:txBody>
      </xdr:sp>
    </xdr:grpSp>
    <xdr:clientData/>
  </xdr:twoCellAnchor>
</xdr:wsDr>
</file>

<file path=xl/drawings/drawing6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109490</xdr:colOff>
      <xdr:row>0</xdr:row>
      <xdr:rowOff>731520</xdr:rowOff>
    </xdr:to>
    <xdr:grpSp>
      <xdr:nvGrpSpPr>
        <xdr:cNvPr id="5" name="Group 4">
          <a:extLst>
            <a:ext uri="{FF2B5EF4-FFF2-40B4-BE49-F238E27FC236}">
              <a16:creationId xmlns:a16="http://schemas.microsoft.com/office/drawing/2014/main" id="{00000000-0008-0000-4C00-000005000000}"/>
            </a:ext>
          </a:extLst>
        </xdr:cNvPr>
        <xdr:cNvGrpSpPr>
          <a:grpSpLocks noChangeAspect="1"/>
        </xdr:cNvGrpSpPr>
      </xdr:nvGrpSpPr>
      <xdr:grpSpPr>
        <a:xfrm>
          <a:off x="0" y="0"/>
          <a:ext cx="1881140" cy="731520"/>
          <a:chOff x="0" y="0"/>
          <a:chExt cx="1875419" cy="731520"/>
        </a:xfrm>
      </xdr:grpSpPr>
      <xdr:sp macro="[0]!GoTo_Main" textlink="">
        <xdr:nvSpPr>
          <xdr:cNvPr id="6" name="Rounded Rectangle 5">
            <a:extLst>
              <a:ext uri="{FF2B5EF4-FFF2-40B4-BE49-F238E27FC236}">
                <a16:creationId xmlns:a16="http://schemas.microsoft.com/office/drawing/2014/main" id="{00000000-0008-0000-4C00-000006000000}"/>
              </a:ext>
            </a:extLst>
          </xdr:cNvPr>
          <xdr:cNvSpPr>
            <a:spLocks noChangeAspect="1"/>
          </xdr:cNvSpPr>
        </xdr:nvSpPr>
        <xdr:spPr>
          <a:xfrm>
            <a:off x="0" y="0"/>
            <a:ext cx="919692"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CreateTable" textlink="">
        <xdr:nvSpPr>
          <xdr:cNvPr id="7" name="Rounded Rectangle 6">
            <a:extLst>
              <a:ext uri="{FF2B5EF4-FFF2-40B4-BE49-F238E27FC236}">
                <a16:creationId xmlns:a16="http://schemas.microsoft.com/office/drawing/2014/main" id="{00000000-0008-0000-4C00-000007000000}"/>
              </a:ext>
            </a:extLst>
          </xdr:cNvPr>
          <xdr:cNvSpPr>
            <a:spLocks noChangeAspect="1"/>
          </xdr:cNvSpPr>
        </xdr:nvSpPr>
        <xdr:spPr>
          <a:xfrm>
            <a:off x="962025" y="0"/>
            <a:ext cx="913394"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New</a:t>
            </a:r>
            <a:r>
              <a:rPr lang="en-US" sz="1200" b="1" baseline="0">
                <a:solidFill>
                  <a:sysClr val="windowText" lastClr="000000"/>
                </a:solidFill>
                <a:latin typeface="Segoe UI" panose="020B0502040204020203" pitchFamily="34" charset="0"/>
                <a:cs typeface="Segoe UI" panose="020B0502040204020203" pitchFamily="34" charset="0"/>
              </a:rPr>
              <a:t> Table</a:t>
            </a:r>
            <a:endParaRPr lang="en-US" sz="1200" b="1">
              <a:solidFill>
                <a:sysClr val="windowText" lastClr="000000"/>
              </a:solidFill>
              <a:latin typeface="Segoe UI" panose="020B0502040204020203" pitchFamily="34" charset="0"/>
              <a:cs typeface="Segoe UI" panose="020B0502040204020203" pitchFamily="34" charset="0"/>
            </a:endParaRPr>
          </a:p>
        </xdr:txBody>
      </xdr:sp>
    </xdr:grpSp>
    <xdr:clientData/>
  </xdr:twoCellAnchor>
</xdr:wsDr>
</file>

<file path=xl/drawings/drawing6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115840</xdr:colOff>
      <xdr:row>0</xdr:row>
      <xdr:rowOff>731520</xdr:rowOff>
    </xdr:to>
    <xdr:grpSp>
      <xdr:nvGrpSpPr>
        <xdr:cNvPr id="5" name="Group 4">
          <a:extLst>
            <a:ext uri="{FF2B5EF4-FFF2-40B4-BE49-F238E27FC236}">
              <a16:creationId xmlns:a16="http://schemas.microsoft.com/office/drawing/2014/main" id="{00000000-0008-0000-4D00-000005000000}"/>
            </a:ext>
          </a:extLst>
        </xdr:cNvPr>
        <xdr:cNvGrpSpPr>
          <a:grpSpLocks noChangeAspect="1"/>
        </xdr:cNvGrpSpPr>
      </xdr:nvGrpSpPr>
      <xdr:grpSpPr>
        <a:xfrm>
          <a:off x="0" y="0"/>
          <a:ext cx="1887490" cy="731520"/>
          <a:chOff x="0" y="0"/>
          <a:chExt cx="1875419" cy="731520"/>
        </a:xfrm>
      </xdr:grpSpPr>
      <xdr:sp macro="[0]!GoTo_Main" textlink="">
        <xdr:nvSpPr>
          <xdr:cNvPr id="6" name="Rounded Rectangle 5">
            <a:extLst>
              <a:ext uri="{FF2B5EF4-FFF2-40B4-BE49-F238E27FC236}">
                <a16:creationId xmlns:a16="http://schemas.microsoft.com/office/drawing/2014/main" id="{00000000-0008-0000-4D00-000006000000}"/>
              </a:ext>
            </a:extLst>
          </xdr:cNvPr>
          <xdr:cNvSpPr>
            <a:spLocks noChangeAspect="1"/>
          </xdr:cNvSpPr>
        </xdr:nvSpPr>
        <xdr:spPr>
          <a:xfrm>
            <a:off x="0" y="0"/>
            <a:ext cx="919692"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CreateTable" textlink="">
        <xdr:nvSpPr>
          <xdr:cNvPr id="7" name="Rounded Rectangle 6">
            <a:extLst>
              <a:ext uri="{FF2B5EF4-FFF2-40B4-BE49-F238E27FC236}">
                <a16:creationId xmlns:a16="http://schemas.microsoft.com/office/drawing/2014/main" id="{00000000-0008-0000-4D00-000007000000}"/>
              </a:ext>
            </a:extLst>
          </xdr:cNvPr>
          <xdr:cNvSpPr>
            <a:spLocks noChangeAspect="1"/>
          </xdr:cNvSpPr>
        </xdr:nvSpPr>
        <xdr:spPr>
          <a:xfrm>
            <a:off x="962025" y="0"/>
            <a:ext cx="913394"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New</a:t>
            </a:r>
            <a:r>
              <a:rPr lang="en-US" sz="1200" b="1" baseline="0">
                <a:solidFill>
                  <a:sysClr val="windowText" lastClr="000000"/>
                </a:solidFill>
                <a:latin typeface="Segoe UI" panose="020B0502040204020203" pitchFamily="34" charset="0"/>
                <a:cs typeface="Segoe UI" panose="020B0502040204020203" pitchFamily="34" charset="0"/>
              </a:rPr>
              <a:t> Table</a:t>
            </a:r>
            <a:endParaRPr lang="en-US" sz="1200" b="1">
              <a:solidFill>
                <a:sysClr val="windowText" lastClr="000000"/>
              </a:solidFill>
              <a:latin typeface="Segoe UI" panose="020B0502040204020203" pitchFamily="34" charset="0"/>
              <a:cs typeface="Segoe UI" panose="020B0502040204020203" pitchFamily="34" charset="0"/>
            </a:endParaRPr>
          </a:p>
        </xdr:txBody>
      </xdr:sp>
    </xdr:grpSp>
    <xdr:clientData/>
  </xdr:twoCellAnchor>
</xdr:wsDr>
</file>

<file path=xl/drawings/drawing6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115840</xdr:colOff>
      <xdr:row>0</xdr:row>
      <xdr:rowOff>731520</xdr:rowOff>
    </xdr:to>
    <xdr:grpSp>
      <xdr:nvGrpSpPr>
        <xdr:cNvPr id="5" name="Group 4">
          <a:extLst>
            <a:ext uri="{FF2B5EF4-FFF2-40B4-BE49-F238E27FC236}">
              <a16:creationId xmlns:a16="http://schemas.microsoft.com/office/drawing/2014/main" id="{00000000-0008-0000-4E00-000005000000}"/>
            </a:ext>
          </a:extLst>
        </xdr:cNvPr>
        <xdr:cNvGrpSpPr>
          <a:grpSpLocks noChangeAspect="1"/>
        </xdr:cNvGrpSpPr>
      </xdr:nvGrpSpPr>
      <xdr:grpSpPr>
        <a:xfrm>
          <a:off x="0" y="0"/>
          <a:ext cx="1887490" cy="731520"/>
          <a:chOff x="0" y="0"/>
          <a:chExt cx="1875419" cy="731520"/>
        </a:xfrm>
      </xdr:grpSpPr>
      <xdr:sp macro="[0]!GoTo_Main" textlink="">
        <xdr:nvSpPr>
          <xdr:cNvPr id="6" name="Rounded Rectangle 5">
            <a:extLst>
              <a:ext uri="{FF2B5EF4-FFF2-40B4-BE49-F238E27FC236}">
                <a16:creationId xmlns:a16="http://schemas.microsoft.com/office/drawing/2014/main" id="{00000000-0008-0000-4E00-000006000000}"/>
              </a:ext>
            </a:extLst>
          </xdr:cNvPr>
          <xdr:cNvSpPr>
            <a:spLocks noChangeAspect="1"/>
          </xdr:cNvSpPr>
        </xdr:nvSpPr>
        <xdr:spPr>
          <a:xfrm>
            <a:off x="0" y="0"/>
            <a:ext cx="919692"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CreateTable" textlink="">
        <xdr:nvSpPr>
          <xdr:cNvPr id="7" name="Rounded Rectangle 6">
            <a:extLst>
              <a:ext uri="{FF2B5EF4-FFF2-40B4-BE49-F238E27FC236}">
                <a16:creationId xmlns:a16="http://schemas.microsoft.com/office/drawing/2014/main" id="{00000000-0008-0000-4E00-000007000000}"/>
              </a:ext>
            </a:extLst>
          </xdr:cNvPr>
          <xdr:cNvSpPr>
            <a:spLocks noChangeAspect="1"/>
          </xdr:cNvSpPr>
        </xdr:nvSpPr>
        <xdr:spPr>
          <a:xfrm>
            <a:off x="962025" y="0"/>
            <a:ext cx="913394"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New</a:t>
            </a:r>
            <a:r>
              <a:rPr lang="en-US" sz="1200" b="1" baseline="0">
                <a:solidFill>
                  <a:sysClr val="windowText" lastClr="000000"/>
                </a:solidFill>
                <a:latin typeface="Segoe UI" panose="020B0502040204020203" pitchFamily="34" charset="0"/>
                <a:cs typeface="Segoe UI" panose="020B0502040204020203" pitchFamily="34" charset="0"/>
              </a:rPr>
              <a:t> Table</a:t>
            </a:r>
            <a:endParaRPr lang="en-US" sz="1200" b="1">
              <a:solidFill>
                <a:sysClr val="windowText" lastClr="000000"/>
              </a:solidFill>
              <a:latin typeface="Segoe UI" panose="020B0502040204020203" pitchFamily="34" charset="0"/>
              <a:cs typeface="Segoe UI" panose="020B0502040204020203" pitchFamily="34" charset="0"/>
            </a:endParaRPr>
          </a:p>
        </xdr:txBody>
      </xdr:sp>
    </xdr:grpSp>
    <xdr:clientData/>
  </xdr:twoCellAnchor>
</xdr:wsDr>
</file>

<file path=xl/drawings/drawing69.xml><?xml version="1.0" encoding="utf-8"?>
<xdr:wsDr xmlns:xdr="http://schemas.openxmlformats.org/drawingml/2006/spreadsheetDrawing" xmlns:a="http://schemas.openxmlformats.org/drawingml/2006/main">
  <xdr:twoCellAnchor>
    <xdr:from>
      <xdr:col>0</xdr:col>
      <xdr:colOff>31750</xdr:colOff>
      <xdr:row>0</xdr:row>
      <xdr:rowOff>0</xdr:rowOff>
    </xdr:from>
    <xdr:to>
      <xdr:col>3</xdr:col>
      <xdr:colOff>1973489</xdr:colOff>
      <xdr:row>0</xdr:row>
      <xdr:rowOff>731520</xdr:rowOff>
    </xdr:to>
    <xdr:grpSp>
      <xdr:nvGrpSpPr>
        <xdr:cNvPr id="6" name="Group 5">
          <a:extLst>
            <a:ext uri="{FF2B5EF4-FFF2-40B4-BE49-F238E27FC236}">
              <a16:creationId xmlns:a16="http://schemas.microsoft.com/office/drawing/2014/main" id="{00000000-0008-0000-4F00-000006000000}"/>
            </a:ext>
          </a:extLst>
        </xdr:cNvPr>
        <xdr:cNvGrpSpPr/>
      </xdr:nvGrpSpPr>
      <xdr:grpSpPr>
        <a:xfrm>
          <a:off x="31750" y="0"/>
          <a:ext cx="2494189" cy="731520"/>
          <a:chOff x="31750" y="0"/>
          <a:chExt cx="2830739" cy="731520"/>
        </a:xfrm>
      </xdr:grpSpPr>
      <xdr:sp macro="[0]!GoTo_Main" textlink="">
        <xdr:nvSpPr>
          <xdr:cNvPr id="2" name="Rounded Rectangle 1">
            <a:extLst>
              <a:ext uri="{FF2B5EF4-FFF2-40B4-BE49-F238E27FC236}">
                <a16:creationId xmlns:a16="http://schemas.microsoft.com/office/drawing/2014/main" id="{00000000-0008-0000-4F00-000002000000}"/>
              </a:ext>
            </a:extLst>
          </xdr:cNvPr>
          <xdr:cNvSpPr>
            <a:spLocks noChangeAspect="1"/>
          </xdr:cNvSpPr>
        </xdr:nvSpPr>
        <xdr:spPr>
          <a:xfrm>
            <a:off x="31750" y="0"/>
            <a:ext cx="917680" cy="727287"/>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Update_USPS" textlink="">
        <xdr:nvSpPr>
          <xdr:cNvPr id="3" name="Rounded Rectangle 2">
            <a:extLst>
              <a:ext uri="{FF2B5EF4-FFF2-40B4-BE49-F238E27FC236}">
                <a16:creationId xmlns:a16="http://schemas.microsoft.com/office/drawing/2014/main" id="{00000000-0008-0000-4F00-000003000000}"/>
              </a:ext>
            </a:extLst>
          </xdr:cNvPr>
          <xdr:cNvSpPr>
            <a:spLocks noChangeAspect="1"/>
          </xdr:cNvSpPr>
        </xdr:nvSpPr>
        <xdr:spPr>
          <a:xfrm>
            <a:off x="994830" y="0"/>
            <a:ext cx="91477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Update</a:t>
            </a:r>
          </a:p>
        </xdr:txBody>
      </xdr:sp>
      <xdr:sp macro="[0]!Default_USPS" textlink="">
        <xdr:nvSpPr>
          <xdr:cNvPr id="4" name="Rounded Rectangle 3">
            <a:extLst>
              <a:ext uri="{FF2B5EF4-FFF2-40B4-BE49-F238E27FC236}">
                <a16:creationId xmlns:a16="http://schemas.microsoft.com/office/drawing/2014/main" id="{00000000-0008-0000-4F00-000004000000}"/>
              </a:ext>
            </a:extLst>
          </xdr:cNvPr>
          <xdr:cNvSpPr>
            <a:spLocks noChangeAspect="1"/>
          </xdr:cNvSpPr>
        </xdr:nvSpPr>
        <xdr:spPr>
          <a:xfrm>
            <a:off x="1947719" y="0"/>
            <a:ext cx="914770"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ysClr val="windowText" lastClr="000000"/>
                </a:solidFill>
                <a:latin typeface="Segoe UI" panose="020B0502040204020203" pitchFamily="34" charset="0"/>
                <a:cs typeface="Segoe UI" panose="020B0502040204020203" pitchFamily="34" charset="0"/>
              </a:rPr>
              <a:t>Default</a:t>
            </a:r>
          </a:p>
        </xdr:txBody>
      </xdr:sp>
    </xdr:grpSp>
    <xdr:clientData/>
  </xdr:twoCellAnchor>
  <xdr:twoCellAnchor editAs="absolute">
    <xdr:from>
      <xdr:col>10</xdr:col>
      <xdr:colOff>402167</xdr:colOff>
      <xdr:row>0</xdr:row>
      <xdr:rowOff>137582</xdr:rowOff>
    </xdr:from>
    <xdr:to>
      <xdr:col>16</xdr:col>
      <xdr:colOff>750359</xdr:colOff>
      <xdr:row>8</xdr:row>
      <xdr:rowOff>74083</xdr:rowOff>
    </xdr:to>
    <xdr:sp macro="" textlink="">
      <xdr:nvSpPr>
        <xdr:cNvPr id="5" name="TextBox 4">
          <a:extLst>
            <a:ext uri="{FF2B5EF4-FFF2-40B4-BE49-F238E27FC236}">
              <a16:creationId xmlns:a16="http://schemas.microsoft.com/office/drawing/2014/main" id="{00000000-0008-0000-4F00-000005000000}"/>
            </a:ext>
          </a:extLst>
        </xdr:cNvPr>
        <xdr:cNvSpPr txBox="1"/>
      </xdr:nvSpPr>
      <xdr:spPr>
        <a:xfrm>
          <a:off x="7768167" y="137582"/>
          <a:ext cx="6851650" cy="2211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1. Select Report Type at Top First - Instructs Excel which rows to show/hide on Update</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User inputs in cells with white background only</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3.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 "Default" Button to add</a:t>
          </a:r>
          <a:r>
            <a:rPr lang="en-US" sz="1000" b="1" baseline="0">
              <a:solidFill>
                <a:schemeClr val="dk1"/>
              </a:solidFill>
              <a:effectLst/>
              <a:latin typeface="Segoe UI" panose="020B0502040204020203" pitchFamily="34" charset="0"/>
              <a:ea typeface="+mn-ea"/>
              <a:cs typeface="Segoe UI" panose="020B0502040204020203" pitchFamily="34" charset="0"/>
            </a:rPr>
            <a:t> background colors &amp; unhide all rows to modify prior inputs</a:t>
          </a:r>
        </a:p>
        <a:p>
          <a:pPr algn="l" rtl="0">
            <a:spcBef>
              <a:spcPts val="300"/>
            </a:spcBef>
            <a:spcAft>
              <a:spcPts val="300"/>
            </a:spcAft>
          </a:pPr>
          <a:r>
            <a:rPr lang="en-US" sz="1000" b="1" baseline="0">
              <a:solidFill>
                <a:schemeClr val="dk1"/>
              </a:solidFill>
              <a:effectLst/>
              <a:latin typeface="Segoe UI" panose="020B0502040204020203" pitchFamily="34" charset="0"/>
              <a:ea typeface="+mn-ea"/>
              <a:cs typeface="Segoe UI" panose="020B0502040204020203" pitchFamily="34" charset="0"/>
            </a:rPr>
            <a:t>5. The "Update All" Button on the Main Menu does not update this worksheet</a:t>
          </a:r>
        </a:p>
        <a:p>
          <a:pPr algn="l" rtl="0">
            <a:spcBef>
              <a:spcPts val="300"/>
            </a:spcBef>
            <a:spcAft>
              <a:spcPts val="300"/>
            </a:spcAft>
          </a:pPr>
          <a:r>
            <a:rPr lang="en-US" sz="1000" b="1" baseline="0">
              <a:solidFill>
                <a:schemeClr val="dk1"/>
              </a:solidFill>
              <a:effectLst/>
              <a:latin typeface="Segoe UI" panose="020B0502040204020203" pitchFamily="34" charset="0"/>
              <a:ea typeface="+mn-ea"/>
              <a:cs typeface="Segoe UI" panose="020B0502040204020203" pitchFamily="34" charset="0"/>
            </a:rPr>
            <a:t>6. Make necessary footnotes in the Word Document, not in the Excel tables</a:t>
          </a:r>
        </a:p>
        <a:p>
          <a:pPr algn="l" rtl="0">
            <a:spcBef>
              <a:spcPts val="300"/>
            </a:spcBef>
            <a:spcAft>
              <a:spcPts val="300"/>
            </a:spcAft>
          </a:pPr>
          <a:r>
            <a:rPr lang="en-US" sz="1000" b="1" baseline="0">
              <a:solidFill>
                <a:schemeClr val="dk1"/>
              </a:solidFill>
              <a:effectLst/>
              <a:latin typeface="Segoe UI" panose="020B0502040204020203" pitchFamily="34" charset="0"/>
              <a:ea typeface="+mn-ea"/>
              <a:cs typeface="Segoe UI" panose="020B0502040204020203" pitchFamily="34" charset="0"/>
            </a:rPr>
            <a:t>7. Add or Modify rows as necessary; Deleting white shaded rows may cause shading errors, but only this worksheet would be impacted</a:t>
          </a:r>
        </a:p>
      </xdr:txBody>
    </xdr:sp>
    <xdr:clientData/>
  </xdr:twoCellAnchor>
</xdr:wsDr>
</file>

<file path=xl/drawings/drawing7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540798</xdr:colOff>
      <xdr:row>0</xdr:row>
      <xdr:rowOff>732468</xdr:rowOff>
    </xdr:to>
    <xdr:sp macro="[0]!GoTo_Main" textlink="">
      <xdr:nvSpPr>
        <xdr:cNvPr id="4" name="Rounded Rectangle 3">
          <a:extLst>
            <a:ext uri="{FF2B5EF4-FFF2-40B4-BE49-F238E27FC236}">
              <a16:creationId xmlns:a16="http://schemas.microsoft.com/office/drawing/2014/main" id="{00000000-0008-0000-5400-000004000000}"/>
            </a:ext>
          </a:extLst>
        </xdr:cNvPr>
        <xdr:cNvSpPr>
          <a:spLocks noChangeAspect="1"/>
        </xdr:cNvSpPr>
      </xdr:nvSpPr>
      <xdr:spPr>
        <a:xfrm>
          <a:off x="0" y="0"/>
          <a:ext cx="921798" cy="732468"/>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twoCellAnchor>
    <xdr:from>
      <xdr:col>29</xdr:col>
      <xdr:colOff>95250</xdr:colOff>
      <xdr:row>0</xdr:row>
      <xdr:rowOff>0</xdr:rowOff>
    </xdr:from>
    <xdr:to>
      <xdr:col>30</xdr:col>
      <xdr:colOff>1152365</xdr:colOff>
      <xdr:row>0</xdr:row>
      <xdr:rowOff>731520</xdr:rowOff>
    </xdr:to>
    <xdr:sp macro="[0]!ShowUserFormTemplateAssumptions" textlink="">
      <xdr:nvSpPr>
        <xdr:cNvPr id="3" name="Rounded Rectangle 2">
          <a:extLst>
            <a:ext uri="{FF2B5EF4-FFF2-40B4-BE49-F238E27FC236}">
              <a16:creationId xmlns:a16="http://schemas.microsoft.com/office/drawing/2014/main" id="{00000000-0008-0000-5400-000003000000}"/>
            </a:ext>
          </a:extLst>
        </xdr:cNvPr>
        <xdr:cNvSpPr>
          <a:spLocks noChangeAspect="1"/>
        </xdr:cNvSpPr>
      </xdr:nvSpPr>
      <xdr:spPr>
        <a:xfrm>
          <a:off x="31919333" y="0"/>
          <a:ext cx="1215865"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Template</a:t>
          </a:r>
          <a:r>
            <a:rPr lang="en-US" sz="1200" b="1" baseline="0">
              <a:solidFill>
                <a:srgbClr val="1F497D"/>
              </a:solidFill>
              <a:latin typeface="Segoe UI" panose="020B0502040204020203" pitchFamily="34" charset="0"/>
              <a:cs typeface="Segoe UI" panose="020B0502040204020203" pitchFamily="34" charset="0"/>
            </a:rPr>
            <a:t> Assumptions</a:t>
          </a:r>
          <a:endParaRPr lang="en-US" sz="1200" b="1">
            <a:solidFill>
              <a:srgbClr val="1F497D"/>
            </a:solidFill>
            <a:latin typeface="Segoe UI" panose="020B0502040204020203" pitchFamily="34" charset="0"/>
            <a:cs typeface="Segoe UI" panose="020B0502040204020203" pitchFamily="34" charset="0"/>
          </a:endParaRPr>
        </a:p>
      </xdr:txBody>
    </xdr:sp>
    <xdr:clientData/>
  </xdr:twoCellAnchor>
</xdr:wsDr>
</file>

<file path=xl/drawings/drawing71.xml><?xml version="1.0" encoding="utf-8"?>
<xdr:wsDr xmlns:xdr="http://schemas.openxmlformats.org/drawingml/2006/spreadsheetDrawing" xmlns:a="http://schemas.openxmlformats.org/drawingml/2006/main">
  <xdr:twoCellAnchor editAs="oneCell">
    <xdr:from>
      <xdr:col>13</xdr:col>
      <xdr:colOff>0</xdr:colOff>
      <xdr:row>107</xdr:row>
      <xdr:rowOff>13750</xdr:rowOff>
    </xdr:from>
    <xdr:to>
      <xdr:col>15</xdr:col>
      <xdr:colOff>113264</xdr:colOff>
      <xdr:row>110</xdr:row>
      <xdr:rowOff>173770</xdr:rowOff>
    </xdr:to>
    <xdr:pic>
      <xdr:nvPicPr>
        <xdr:cNvPr id="5" name="ARLOGO1.SF" descr="F:\WINARGUS\ARLOGO1.SF">
          <a:extLst>
            <a:ext uri="{FF2B5EF4-FFF2-40B4-BE49-F238E27FC236}">
              <a16:creationId xmlns:a16="http://schemas.microsoft.com/office/drawing/2014/main" id="{00000000-0008-0000-5500-000005000000}"/>
            </a:ext>
          </a:extLst>
        </xdr:cNvPr>
        <xdr:cNvPicPr>
          <a:picLocks noChangeAspect="1"/>
        </xdr:cNvPicPr>
      </xdr:nvPicPr>
      <xdr:blipFill>
        <a:blip xmlns:r="http://schemas.openxmlformats.org/officeDocument/2006/relationships" r:embed="rId1" r:link="rId2" cstate="print"/>
        <a:stretch>
          <a:fillRect/>
        </a:stretch>
      </xdr:blipFill>
      <xdr:spPr>
        <a:xfrm>
          <a:off x="8096250" y="14272675"/>
          <a:ext cx="1542014" cy="731520"/>
        </a:xfrm>
        <a:prstGeom prst="rect">
          <a:avLst/>
        </a:prstGeom>
        <a:ln>
          <a:noFill/>
        </a:ln>
      </xdr:spPr>
    </xdr:pic>
    <xdr:clientData/>
  </xdr:twoCellAnchor>
  <xdr:twoCellAnchor editAs="absolute">
    <xdr:from>
      <xdr:col>21</xdr:col>
      <xdr:colOff>9525</xdr:colOff>
      <xdr:row>0</xdr:row>
      <xdr:rowOff>0</xdr:rowOff>
    </xdr:from>
    <xdr:to>
      <xdr:col>32</xdr:col>
      <xdr:colOff>23919</xdr:colOff>
      <xdr:row>4</xdr:row>
      <xdr:rowOff>165101</xdr:rowOff>
    </xdr:to>
    <xdr:sp macro="" textlink="">
      <xdr:nvSpPr>
        <xdr:cNvPr id="26" name="TextBox 25">
          <a:hlinkClick xmlns:r="http://schemas.openxmlformats.org/officeDocument/2006/relationships" r:id="rId3"/>
          <a:extLst>
            <a:ext uri="{FF2B5EF4-FFF2-40B4-BE49-F238E27FC236}">
              <a16:creationId xmlns:a16="http://schemas.microsoft.com/office/drawing/2014/main" id="{00000000-0008-0000-5500-00001A000000}"/>
            </a:ext>
          </a:extLst>
        </xdr:cNvPr>
        <xdr:cNvSpPr txBox="1">
          <a:spLocks noChangeAspect="1"/>
        </xdr:cNvSpPr>
      </xdr:nvSpPr>
      <xdr:spPr>
        <a:xfrm>
          <a:off x="13277850" y="0"/>
          <a:ext cx="6719994" cy="15081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a:r>
            <a:rPr lang="en-US" sz="1000" b="1" i="0" baseline="0">
              <a:solidFill>
                <a:schemeClr val="dk1"/>
              </a:solidFill>
              <a:effectLst/>
              <a:latin typeface="Segoe UI" panose="020B0502040204020203" pitchFamily="34" charset="0"/>
              <a:ea typeface="+mn-ea"/>
              <a:cs typeface="Segoe UI" panose="020B0502040204020203" pitchFamily="34" charset="0"/>
            </a:rPr>
            <a:t>1. User inputs in cells with white background only</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2. Cash Flows are Imported from ARGUS Only</a:t>
          </a:r>
        </a:p>
        <a:p>
          <a:pPr algn="l" rtl="0">
            <a:spcBef>
              <a:spcPts val="300"/>
            </a:spcBef>
            <a:spcAft>
              <a:spcPts val="300"/>
            </a:spcAft>
          </a:pPr>
          <a:r>
            <a:rPr lang="en-US" sz="1000" b="1" i="0" baseline="0">
              <a:solidFill>
                <a:schemeClr val="dk1"/>
              </a:solidFill>
              <a:effectLst/>
              <a:latin typeface="Segoe UI" panose="020B0502040204020203" pitchFamily="34" charset="0"/>
              <a:ea typeface="+mn-ea"/>
              <a:cs typeface="Segoe UI" panose="020B0502040204020203" pitchFamily="34" charset="0"/>
            </a:rPr>
            <a:t>3. ARGUS Logo will Require Manual Placement/Remval for Cash Flows under 8 years</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4. Press</a:t>
          </a:r>
          <a:r>
            <a:rPr lang="en-US" sz="1000" b="1" baseline="0">
              <a:solidFill>
                <a:schemeClr val="dk1"/>
              </a:solidFill>
              <a:effectLst/>
              <a:latin typeface="Segoe UI" panose="020B0502040204020203" pitchFamily="34" charset="0"/>
              <a:ea typeface="+mn-ea"/>
              <a:cs typeface="Segoe UI" panose="020B0502040204020203" pitchFamily="34" charset="0"/>
            </a:rPr>
            <a:t> "Update" Button when complete - removes background colors, hides rows/columns &amp; sets print area</a:t>
          </a:r>
          <a:endParaRPr lang="en-US" sz="1000">
            <a:effectLst/>
            <a:latin typeface="Segoe UI" panose="020B0502040204020203" pitchFamily="34" charset="0"/>
            <a:cs typeface="Segoe UI" panose="020B0502040204020203" pitchFamily="34" charset="0"/>
          </a:endParaRP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5. Press "Default" Button to add</a:t>
          </a:r>
          <a:r>
            <a:rPr lang="en-US" sz="1000" b="1" baseline="0">
              <a:solidFill>
                <a:schemeClr val="dk1"/>
              </a:solidFill>
              <a:effectLst/>
              <a:latin typeface="Segoe UI" panose="020B0502040204020203" pitchFamily="34" charset="0"/>
              <a:ea typeface="+mn-ea"/>
              <a:cs typeface="Segoe UI" panose="020B0502040204020203" pitchFamily="34" charset="0"/>
            </a:rPr>
            <a:t> background colors &amp; unhide all rows to modify prior inputs</a:t>
          </a:r>
        </a:p>
        <a:p>
          <a:pPr algn="l" rtl="0">
            <a:spcBef>
              <a:spcPts val="300"/>
            </a:spcBef>
            <a:spcAft>
              <a:spcPts val="300"/>
            </a:spcAft>
          </a:pPr>
          <a:r>
            <a:rPr lang="en-US" sz="1000" b="1" u="sng" baseline="0">
              <a:solidFill>
                <a:srgbClr val="0000FF"/>
              </a:solidFill>
              <a:effectLst/>
              <a:latin typeface="Segoe UI" panose="020B0502040204020203" pitchFamily="34" charset="0"/>
              <a:ea typeface="+mn-ea"/>
              <a:cs typeface="Segoe UI" panose="020B0502040204020203" pitchFamily="34" charset="0"/>
            </a:rPr>
            <a:t>User Guide</a:t>
          </a:r>
          <a:endParaRPr lang="en-US" sz="1000" u="sng">
            <a:solidFill>
              <a:srgbClr val="0000FF"/>
            </a:solidFill>
            <a:effectLst/>
            <a:latin typeface="Segoe UI" panose="020B0502040204020203" pitchFamily="34" charset="0"/>
            <a:cs typeface="Segoe UI" panose="020B0502040204020203" pitchFamily="34" charset="0"/>
          </a:endParaRPr>
        </a:p>
      </xdr:txBody>
    </xdr:sp>
    <xdr:clientData/>
  </xdr:twoCellAnchor>
  <xdr:twoCellAnchor editAs="absolute">
    <xdr:from>
      <xdr:col>0</xdr:col>
      <xdr:colOff>0</xdr:colOff>
      <xdr:row>0</xdr:row>
      <xdr:rowOff>0</xdr:rowOff>
    </xdr:from>
    <xdr:to>
      <xdr:col>19</xdr:col>
      <xdr:colOff>82554</xdr:colOff>
      <xdr:row>0</xdr:row>
      <xdr:rowOff>731520</xdr:rowOff>
    </xdr:to>
    <xdr:grpSp>
      <xdr:nvGrpSpPr>
        <xdr:cNvPr id="2" name="Group 1">
          <a:extLst>
            <a:ext uri="{FF2B5EF4-FFF2-40B4-BE49-F238E27FC236}">
              <a16:creationId xmlns:a16="http://schemas.microsoft.com/office/drawing/2014/main" id="{00000000-0008-0000-5500-000002000000}"/>
            </a:ext>
          </a:extLst>
        </xdr:cNvPr>
        <xdr:cNvGrpSpPr>
          <a:grpSpLocks noChangeAspect="1"/>
        </xdr:cNvGrpSpPr>
      </xdr:nvGrpSpPr>
      <xdr:grpSpPr>
        <a:xfrm>
          <a:off x="0" y="0"/>
          <a:ext cx="11807829" cy="731520"/>
          <a:chOff x="0" y="0"/>
          <a:chExt cx="11870270" cy="731520"/>
        </a:xfrm>
      </xdr:grpSpPr>
      <xdr:sp macro="[0]!GoTo_Main" textlink="">
        <xdr:nvSpPr>
          <xdr:cNvPr id="28" name="Rounded Rectangle 27">
            <a:extLst>
              <a:ext uri="{FF2B5EF4-FFF2-40B4-BE49-F238E27FC236}">
                <a16:creationId xmlns:a16="http://schemas.microsoft.com/office/drawing/2014/main" id="{00000000-0008-0000-5500-00001C000000}"/>
              </a:ext>
            </a:extLst>
          </xdr:cNvPr>
          <xdr:cNvSpPr>
            <a:spLocks noChangeAspect="1"/>
          </xdr:cNvSpPr>
        </xdr:nvSpPr>
        <xdr:spPr>
          <a:xfrm>
            <a:off x="0" y="0"/>
            <a:ext cx="913891"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sp macro="[0]!GoTo_IncomeApproachAssumptions_Input" textlink="">
        <xdr:nvSpPr>
          <xdr:cNvPr id="29" name="Rounded Rectangle 28">
            <a:extLst>
              <a:ext uri="{FF2B5EF4-FFF2-40B4-BE49-F238E27FC236}">
                <a16:creationId xmlns:a16="http://schemas.microsoft.com/office/drawing/2014/main" id="{00000000-0008-0000-5500-00001D000000}"/>
              </a:ext>
            </a:extLst>
          </xdr:cNvPr>
          <xdr:cNvSpPr>
            <a:spLocks noChangeAspect="1"/>
          </xdr:cNvSpPr>
        </xdr:nvSpPr>
        <xdr:spPr>
          <a:xfrm>
            <a:off x="3331889" y="0"/>
            <a:ext cx="1188058"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Income</a:t>
            </a:r>
            <a:r>
              <a:rPr lang="en-US" sz="1200" b="1" baseline="0">
                <a:latin typeface="Segoe UI" panose="020B0502040204020203" pitchFamily="34" charset="0"/>
                <a:cs typeface="Segoe UI" panose="020B0502040204020203" pitchFamily="34" charset="0"/>
              </a:rPr>
              <a:t> Assumptions</a:t>
            </a:r>
            <a:endParaRPr lang="en-US" sz="1200" b="1">
              <a:latin typeface="Segoe UI" panose="020B0502040204020203" pitchFamily="34" charset="0"/>
              <a:cs typeface="Segoe UI" panose="020B0502040204020203" pitchFamily="34" charset="0"/>
            </a:endParaRPr>
          </a:p>
        </xdr:txBody>
      </xdr:sp>
      <xdr:sp macro="[0]!GoTo_ValueIndications_Table" textlink="">
        <xdr:nvSpPr>
          <xdr:cNvPr id="30" name="Rounded Rectangle 29">
            <a:extLst>
              <a:ext uri="{FF2B5EF4-FFF2-40B4-BE49-F238E27FC236}">
                <a16:creationId xmlns:a16="http://schemas.microsoft.com/office/drawing/2014/main" id="{00000000-0008-0000-5500-00001E000000}"/>
              </a:ext>
            </a:extLst>
          </xdr:cNvPr>
          <xdr:cNvSpPr>
            <a:spLocks noChangeAspect="1"/>
          </xdr:cNvSpPr>
        </xdr:nvSpPr>
        <xdr:spPr>
          <a:xfrm>
            <a:off x="962545" y="0"/>
            <a:ext cx="1096669"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Value Indications</a:t>
            </a:r>
          </a:p>
        </xdr:txBody>
      </xdr:sp>
      <xdr:sp macro="[0]!ShowUserFormTemplateAssumptions" textlink="">
        <xdr:nvSpPr>
          <xdr:cNvPr id="31" name="Rounded Rectangle 30">
            <a:extLst>
              <a:ext uri="{FF2B5EF4-FFF2-40B4-BE49-F238E27FC236}">
                <a16:creationId xmlns:a16="http://schemas.microsoft.com/office/drawing/2014/main" id="{00000000-0008-0000-5500-00001F000000}"/>
              </a:ext>
            </a:extLst>
          </xdr:cNvPr>
          <xdr:cNvSpPr>
            <a:spLocks noChangeAspect="1"/>
          </xdr:cNvSpPr>
        </xdr:nvSpPr>
        <xdr:spPr>
          <a:xfrm>
            <a:off x="2094335" y="0"/>
            <a:ext cx="1188058"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baseline="0">
                <a:solidFill>
                  <a:srgbClr val="1F497D"/>
                </a:solidFill>
                <a:latin typeface="Segoe UI" panose="020B0502040204020203" pitchFamily="34" charset="0"/>
                <a:cs typeface="Segoe UI" panose="020B0502040204020203" pitchFamily="34" charset="0"/>
              </a:rPr>
              <a:t>Template Assumptions</a:t>
            </a:r>
            <a:endParaRPr lang="en-US" sz="1200" b="1">
              <a:solidFill>
                <a:srgbClr val="1F497D"/>
              </a:solidFill>
              <a:latin typeface="Segoe UI" panose="020B0502040204020203" pitchFamily="34" charset="0"/>
              <a:cs typeface="Segoe UI" panose="020B0502040204020203" pitchFamily="34" charset="0"/>
            </a:endParaRPr>
          </a:p>
        </xdr:txBody>
      </xdr:sp>
      <xdr:sp macro="[0]!GoTo_IncomeDCF_2" textlink="">
        <xdr:nvSpPr>
          <xdr:cNvPr id="33" name="Rounded Rectangle 32">
            <a:extLst>
              <a:ext uri="{FF2B5EF4-FFF2-40B4-BE49-F238E27FC236}">
                <a16:creationId xmlns:a16="http://schemas.microsoft.com/office/drawing/2014/main" id="{00000000-0008-0000-5500-000021000000}"/>
              </a:ext>
            </a:extLst>
          </xdr:cNvPr>
          <xdr:cNvSpPr>
            <a:spLocks noChangeAspect="1"/>
          </xdr:cNvSpPr>
        </xdr:nvSpPr>
        <xdr:spPr>
          <a:xfrm>
            <a:off x="4558882" y="0"/>
            <a:ext cx="913891"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DCF 2</a:t>
            </a:r>
          </a:p>
        </xdr:txBody>
      </xdr:sp>
      <xdr:sp macro="[0]!GoTo_IncomeDCF_3" textlink="">
        <xdr:nvSpPr>
          <xdr:cNvPr id="34" name="Rounded Rectangle 33">
            <a:extLst>
              <a:ext uri="{FF2B5EF4-FFF2-40B4-BE49-F238E27FC236}">
                <a16:creationId xmlns:a16="http://schemas.microsoft.com/office/drawing/2014/main" id="{00000000-0008-0000-5500-000022000000}"/>
              </a:ext>
            </a:extLst>
          </xdr:cNvPr>
          <xdr:cNvSpPr>
            <a:spLocks noChangeAspect="1"/>
          </xdr:cNvSpPr>
        </xdr:nvSpPr>
        <xdr:spPr>
          <a:xfrm>
            <a:off x="5521428" y="0"/>
            <a:ext cx="913891"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DCF 3</a:t>
            </a:r>
          </a:p>
        </xdr:txBody>
      </xdr:sp>
      <xdr:sp macro="[0]!GoTo_IncomeReversionTable" textlink="">
        <xdr:nvSpPr>
          <xdr:cNvPr id="35" name="Rounded Rectangle 34">
            <a:extLst>
              <a:ext uri="{FF2B5EF4-FFF2-40B4-BE49-F238E27FC236}">
                <a16:creationId xmlns:a16="http://schemas.microsoft.com/office/drawing/2014/main" id="{00000000-0008-0000-5500-000023000000}"/>
              </a:ext>
            </a:extLst>
          </xdr:cNvPr>
          <xdr:cNvSpPr>
            <a:spLocks noChangeAspect="1"/>
          </xdr:cNvSpPr>
        </xdr:nvSpPr>
        <xdr:spPr>
          <a:xfrm>
            <a:off x="6473396" y="0"/>
            <a:ext cx="1005281" cy="731520"/>
          </a:xfrm>
          <a:prstGeom prst="roundRect">
            <a:avLst/>
          </a:prstGeom>
          <a:solidFill>
            <a:schemeClr val="accent2">
              <a:lumMod val="75000"/>
            </a:schemeClr>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DCF Reversion</a:t>
            </a:r>
          </a:p>
        </xdr:txBody>
      </xdr:sp>
      <xdr:sp macro="[0]!Update_DCF_1" textlink="">
        <xdr:nvSpPr>
          <xdr:cNvPr id="36" name="Rounded Rectangle 35">
            <a:extLst>
              <a:ext uri="{FF2B5EF4-FFF2-40B4-BE49-F238E27FC236}">
                <a16:creationId xmlns:a16="http://schemas.microsoft.com/office/drawing/2014/main" id="{00000000-0008-0000-5500-000024000000}"/>
              </a:ext>
            </a:extLst>
          </xdr:cNvPr>
          <xdr:cNvSpPr>
            <a:spLocks noChangeAspect="1"/>
          </xdr:cNvSpPr>
        </xdr:nvSpPr>
        <xdr:spPr>
          <a:xfrm>
            <a:off x="9993831" y="0"/>
            <a:ext cx="913891"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Update</a:t>
            </a:r>
          </a:p>
        </xdr:txBody>
      </xdr:sp>
      <xdr:sp macro="[0]!Default_DCF_1" textlink="">
        <xdr:nvSpPr>
          <xdr:cNvPr id="37" name="Rounded Rectangle 36">
            <a:extLst>
              <a:ext uri="{FF2B5EF4-FFF2-40B4-BE49-F238E27FC236}">
                <a16:creationId xmlns:a16="http://schemas.microsoft.com/office/drawing/2014/main" id="{00000000-0008-0000-5500-000025000000}"/>
              </a:ext>
            </a:extLst>
          </xdr:cNvPr>
          <xdr:cNvSpPr>
            <a:spLocks noChangeAspect="1"/>
          </xdr:cNvSpPr>
        </xdr:nvSpPr>
        <xdr:spPr>
          <a:xfrm>
            <a:off x="10948145" y="0"/>
            <a:ext cx="922125" cy="731520"/>
          </a:xfrm>
          <a:prstGeom prst="roundRect">
            <a:avLst/>
          </a:prstGeom>
          <a:solidFill>
            <a:schemeClr val="bg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1F497D"/>
                </a:solidFill>
                <a:latin typeface="Segoe UI" panose="020B0502040204020203" pitchFamily="34" charset="0"/>
                <a:cs typeface="Segoe UI" panose="020B0502040204020203" pitchFamily="34" charset="0"/>
              </a:rPr>
              <a:t>Default</a:t>
            </a:r>
          </a:p>
        </xdr:txBody>
      </xdr:sp>
      <xdr:sp macro="[0]!ImportARGUS_CashFlow_1" textlink="">
        <xdr:nvSpPr>
          <xdr:cNvPr id="38" name="Rounded Rectangle 37">
            <a:extLst>
              <a:ext uri="{FF2B5EF4-FFF2-40B4-BE49-F238E27FC236}">
                <a16:creationId xmlns:a16="http://schemas.microsoft.com/office/drawing/2014/main" id="{00000000-0008-0000-5500-000026000000}"/>
              </a:ext>
            </a:extLst>
          </xdr:cNvPr>
          <xdr:cNvSpPr>
            <a:spLocks noChangeAspect="1"/>
          </xdr:cNvSpPr>
        </xdr:nvSpPr>
        <xdr:spPr>
          <a:xfrm>
            <a:off x="7522637" y="0"/>
            <a:ext cx="1188058"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Import Cash Flow 1</a:t>
            </a:r>
          </a:p>
        </xdr:txBody>
      </xdr:sp>
      <xdr:sp macro="[0]!ImportARGUS_CashFlow_1_2" textlink="">
        <xdr:nvSpPr>
          <xdr:cNvPr id="15" name="Rounded Rectangle 14">
            <a:extLst>
              <a:ext uri="{FF2B5EF4-FFF2-40B4-BE49-F238E27FC236}">
                <a16:creationId xmlns:a16="http://schemas.microsoft.com/office/drawing/2014/main" id="{00000000-0008-0000-5500-00000F000000}"/>
              </a:ext>
            </a:extLst>
          </xdr:cNvPr>
          <xdr:cNvSpPr>
            <a:spLocks noChangeAspect="1"/>
          </xdr:cNvSpPr>
        </xdr:nvSpPr>
        <xdr:spPr>
          <a:xfrm>
            <a:off x="8762999" y="0"/>
            <a:ext cx="1188058"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chemeClr val="bg1"/>
                </a:solidFill>
                <a:latin typeface="Segoe UI" panose="020B0502040204020203" pitchFamily="34" charset="0"/>
                <a:cs typeface="Segoe UI" panose="020B0502040204020203" pitchFamily="34" charset="0"/>
              </a:rPr>
              <a:t>Import Cash Flow 1 &amp; 2</a:t>
            </a:r>
          </a:p>
        </xdr:txBody>
      </xdr:sp>
    </xdr:grpSp>
    <xdr:clientData/>
  </xdr:twoCellAnchor>
</xdr:wsDr>
</file>

<file path=xl/drawings/drawing7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152400</xdr:colOff>
      <xdr:row>0</xdr:row>
      <xdr:rowOff>732426</xdr:rowOff>
    </xdr:to>
    <xdr:sp macro="[0]!GoTo_Main" textlink="">
      <xdr:nvSpPr>
        <xdr:cNvPr id="3" name="Rounded Rectangle 2">
          <a:extLst>
            <a:ext uri="{FF2B5EF4-FFF2-40B4-BE49-F238E27FC236}">
              <a16:creationId xmlns:a16="http://schemas.microsoft.com/office/drawing/2014/main" id="{00000000-0008-0000-5600-000003000000}"/>
            </a:ext>
          </a:extLst>
        </xdr:cNvPr>
        <xdr:cNvSpPr>
          <a:spLocks noChangeAspect="1"/>
        </xdr:cNvSpPr>
      </xdr:nvSpPr>
      <xdr:spPr>
        <a:xfrm>
          <a:off x="0" y="0"/>
          <a:ext cx="914400" cy="732426"/>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wsDr>
</file>

<file path=xl/drawings/drawing73.xml><?xml version="1.0" encoding="utf-8"?>
<xdr:wsDr xmlns:xdr="http://schemas.openxmlformats.org/drawingml/2006/spreadsheetDrawing" xmlns:a="http://schemas.openxmlformats.org/drawingml/2006/main">
  <xdr:twoCellAnchor editAs="absolute">
    <xdr:from>
      <xdr:col>1</xdr:col>
      <xdr:colOff>257175</xdr:colOff>
      <xdr:row>0</xdr:row>
      <xdr:rowOff>85725</xdr:rowOff>
    </xdr:from>
    <xdr:to>
      <xdr:col>5</xdr:col>
      <xdr:colOff>590550</xdr:colOff>
      <xdr:row>0</xdr:row>
      <xdr:rowOff>657228</xdr:rowOff>
    </xdr:to>
    <xdr:sp macro="" textlink="">
      <xdr:nvSpPr>
        <xdr:cNvPr id="2" name="TextBox 1">
          <a:extLst>
            <a:ext uri="{FF2B5EF4-FFF2-40B4-BE49-F238E27FC236}">
              <a16:creationId xmlns:a16="http://schemas.microsoft.com/office/drawing/2014/main" id="{00000000-0008-0000-5700-000002000000}"/>
            </a:ext>
          </a:extLst>
        </xdr:cNvPr>
        <xdr:cNvSpPr txBox="1"/>
      </xdr:nvSpPr>
      <xdr:spPr>
        <a:xfrm>
          <a:off x="638175" y="85725"/>
          <a:ext cx="6858000" cy="571503"/>
        </a:xfrm>
        <a:prstGeom prst="rect">
          <a:avLst/>
        </a:prstGeom>
        <a:solidFill>
          <a:schemeClr val="lt1"/>
        </a:solidFill>
        <a:ln w="25400" cmpd="sng">
          <a:solidFill>
            <a:schemeClr val="accent6"/>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rtl="0">
            <a:spcBef>
              <a:spcPts val="300"/>
            </a:spcBef>
            <a:spcAft>
              <a:spcPts val="300"/>
            </a:spcAft>
          </a:pPr>
          <a:r>
            <a:rPr lang="en-US" sz="900" b="1" i="0" baseline="0">
              <a:solidFill>
                <a:schemeClr val="dk1"/>
              </a:solidFill>
              <a:effectLst/>
              <a:latin typeface="Segoe UI" panose="020B0502040204020203" pitchFamily="34" charset="0"/>
              <a:ea typeface="+mn-ea"/>
              <a:cs typeface="Segoe UI" panose="020B0502040204020203" pitchFamily="34" charset="0"/>
            </a:rPr>
            <a:t>1. No user inputs are required on this sheet</a:t>
          </a:r>
        </a:p>
        <a:p>
          <a:pPr algn="l" rtl="0">
            <a:spcBef>
              <a:spcPts val="300"/>
            </a:spcBef>
            <a:spcAft>
              <a:spcPts val="300"/>
            </a:spcAft>
          </a:pPr>
          <a:r>
            <a:rPr lang="en-US" sz="900" b="1" i="0" baseline="0">
              <a:solidFill>
                <a:schemeClr val="dk1"/>
              </a:solidFill>
              <a:effectLst/>
              <a:latin typeface="Segoe UI" panose="020B0502040204020203" pitchFamily="34" charset="0"/>
              <a:ea typeface="+mn-ea"/>
              <a:cs typeface="Segoe UI" panose="020B0502040204020203" pitchFamily="34" charset="0"/>
            </a:rPr>
            <a:t>2. Table populates with Datappraise Merge after LBX Research is completed;  do not alter or hide this sheet</a:t>
          </a:r>
        </a:p>
      </xdr:txBody>
    </xdr:sp>
    <xdr:clientData/>
  </xdr:twoCellAnchor>
</xdr:wsDr>
</file>

<file path=xl/drawings/drawing7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152400</xdr:colOff>
      <xdr:row>0</xdr:row>
      <xdr:rowOff>732426</xdr:rowOff>
    </xdr:to>
    <xdr:sp macro="[0]!GoTo_Main" textlink="">
      <xdr:nvSpPr>
        <xdr:cNvPr id="2" name="Rounded Rectangle 2">
          <a:extLst>
            <a:ext uri="{FF2B5EF4-FFF2-40B4-BE49-F238E27FC236}">
              <a16:creationId xmlns:a16="http://schemas.microsoft.com/office/drawing/2014/main" id="{00000000-0008-0000-5800-000002000000}"/>
            </a:ext>
          </a:extLst>
        </xdr:cNvPr>
        <xdr:cNvSpPr>
          <a:spLocks noChangeAspect="1"/>
        </xdr:cNvSpPr>
      </xdr:nvSpPr>
      <xdr:spPr>
        <a:xfrm>
          <a:off x="0" y="0"/>
          <a:ext cx="914400" cy="732426"/>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twoCellAnchor editAs="absolute">
    <xdr:from>
      <xdr:col>2</xdr:col>
      <xdr:colOff>171450</xdr:colOff>
      <xdr:row>0</xdr:row>
      <xdr:rowOff>0</xdr:rowOff>
    </xdr:from>
    <xdr:to>
      <xdr:col>2</xdr:col>
      <xdr:colOff>1085850</xdr:colOff>
      <xdr:row>0</xdr:row>
      <xdr:rowOff>732426</xdr:rowOff>
    </xdr:to>
    <xdr:sp macro="[0]!GoTo_Subject" textlink="">
      <xdr:nvSpPr>
        <xdr:cNvPr id="3" name="Rounded Rectangle 2">
          <a:extLst>
            <a:ext uri="{FF2B5EF4-FFF2-40B4-BE49-F238E27FC236}">
              <a16:creationId xmlns:a16="http://schemas.microsoft.com/office/drawing/2014/main" id="{00000000-0008-0000-5800-000003000000}"/>
            </a:ext>
          </a:extLst>
        </xdr:cNvPr>
        <xdr:cNvSpPr>
          <a:spLocks noChangeAspect="1"/>
        </xdr:cNvSpPr>
      </xdr:nvSpPr>
      <xdr:spPr>
        <a:xfrm>
          <a:off x="933450" y="0"/>
          <a:ext cx="914400" cy="732426"/>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Subject Data</a:t>
          </a:r>
        </a:p>
      </xdr:txBody>
    </xdr:sp>
    <xdr:clientData/>
  </xdr:twoCellAnchor>
  <xdr:twoCellAnchor editAs="oneCell">
    <xdr:from>
      <xdr:col>2</xdr:col>
      <xdr:colOff>1171574</xdr:colOff>
      <xdr:row>0</xdr:row>
      <xdr:rowOff>38102</xdr:rowOff>
    </xdr:from>
    <xdr:to>
      <xdr:col>7</xdr:col>
      <xdr:colOff>228600</xdr:colOff>
      <xdr:row>0</xdr:row>
      <xdr:rowOff>695326</xdr:rowOff>
    </xdr:to>
    <xdr:sp macro="" textlink="">
      <xdr:nvSpPr>
        <xdr:cNvPr id="6" name="TextBox 5">
          <a:hlinkClick xmlns:r="http://schemas.openxmlformats.org/officeDocument/2006/relationships" r:id="rId1"/>
          <a:extLst>
            <a:ext uri="{FF2B5EF4-FFF2-40B4-BE49-F238E27FC236}">
              <a16:creationId xmlns:a16="http://schemas.microsoft.com/office/drawing/2014/main" id="{00000000-0008-0000-5800-000006000000}"/>
            </a:ext>
          </a:extLst>
        </xdr:cNvPr>
        <xdr:cNvSpPr txBox="1"/>
      </xdr:nvSpPr>
      <xdr:spPr>
        <a:xfrm>
          <a:off x="1933574" y="38102"/>
          <a:ext cx="10629901" cy="6572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rtl="0" eaLnBrk="1" fontAlgn="auto" latinLnBrk="0" hangingPunct="1">
            <a:lnSpc>
              <a:spcPct val="100000"/>
            </a:lnSpc>
            <a:spcBef>
              <a:spcPts val="0"/>
            </a:spcBef>
            <a:spcAft>
              <a:spcPts val="300"/>
            </a:spcAft>
            <a:buClrTx/>
            <a:buSzTx/>
            <a:buFontTx/>
            <a:buNone/>
            <a:tabLst/>
            <a:defRPr/>
          </a:pPr>
          <a:r>
            <a:rPr lang="en-US" sz="1000" b="1" i="0" baseline="0">
              <a:solidFill>
                <a:schemeClr val="dk1"/>
              </a:solidFill>
              <a:effectLst/>
              <a:latin typeface="Segoe UI" panose="020B0502040204020203" pitchFamily="34" charset="0"/>
              <a:ea typeface="+mn-ea"/>
              <a:cs typeface="Segoe UI" panose="020B0502040204020203" pitchFamily="34" charset="0"/>
            </a:rPr>
            <a:t>1. </a:t>
          </a:r>
          <a:r>
            <a:rPr kumimoji="0" lang="en-US" sz="1000" b="1" i="0" u="none" strike="noStrike" kern="0" cap="none" spc="0" normalizeH="0" baseline="0" noProof="0">
              <a:ln>
                <a:noFill/>
              </a:ln>
              <a:solidFill>
                <a:prstClr val="black"/>
              </a:solidFill>
              <a:effectLst/>
              <a:uLnTx/>
              <a:uFillTx/>
              <a:latin typeface="Segoe UI" panose="020B0502040204020203" pitchFamily="34" charset="0"/>
              <a:ea typeface="+mn-ea"/>
              <a:cs typeface="Segoe UI" panose="020B0502040204020203" pitchFamily="34" charset="0"/>
            </a:rPr>
            <a:t>User inputs in cells with white background only (these are Wells Fargo required data that does not Exist in Datappraise or Uses Terminology that Does not Match Templates</a:t>
          </a:r>
        </a:p>
        <a:p>
          <a:pPr algn="l" rtl="0">
            <a:spcBef>
              <a:spcPts val="300"/>
            </a:spcBef>
            <a:spcAft>
              <a:spcPts val="300"/>
            </a:spcAft>
          </a:pPr>
          <a:r>
            <a:rPr lang="en-US" sz="1000" b="1">
              <a:solidFill>
                <a:schemeClr val="dk1"/>
              </a:solidFill>
              <a:effectLst/>
              <a:latin typeface="Segoe UI" panose="020B0502040204020203" pitchFamily="34" charset="0"/>
              <a:ea typeface="+mn-ea"/>
              <a:cs typeface="Segoe UI" panose="020B0502040204020203" pitchFamily="34" charset="0"/>
            </a:rPr>
            <a:t>2. Admin will upload</a:t>
          </a:r>
          <a:r>
            <a:rPr lang="en-US" sz="1000" b="1" baseline="0">
              <a:solidFill>
                <a:schemeClr val="dk1"/>
              </a:solidFill>
              <a:effectLst/>
              <a:latin typeface="Segoe UI" panose="020B0502040204020203" pitchFamily="34" charset="0"/>
              <a:ea typeface="+mn-ea"/>
              <a:cs typeface="Segoe UI" panose="020B0502040204020203" pitchFamily="34" charset="0"/>
            </a:rPr>
            <a:t> to Wells Fargo Data Exchange after Appraiser Validation</a:t>
          </a:r>
        </a:p>
      </xdr:txBody>
    </xdr:sp>
    <xdr:clientData/>
  </xdr:twoCellAnchor>
  <mc:AlternateContent xmlns:mc="http://schemas.openxmlformats.org/markup-compatibility/2006">
    <mc:Choice xmlns:a14="http://schemas.microsoft.com/office/drawing/2010/main" Requires="a14">
      <xdr:twoCellAnchor editAs="oneCell">
        <xdr:from>
          <xdr:col>3</xdr:col>
          <xdr:colOff>66675</xdr:colOff>
          <xdr:row>2</xdr:row>
          <xdr:rowOff>47625</xdr:rowOff>
        </xdr:from>
        <xdr:to>
          <xdr:col>3</xdr:col>
          <xdr:colOff>285750</xdr:colOff>
          <xdr:row>2</xdr:row>
          <xdr:rowOff>352425</xdr:rowOff>
        </xdr:to>
        <xdr:sp macro="" textlink="">
          <xdr:nvSpPr>
            <xdr:cNvPr id="1212436" name="CheckBox_WF_Validation1" descr="Value" hidden="1">
              <a:extLst>
                <a:ext uri="{63B3BB69-23CF-44E3-9099-C40C66FF867C}">
                  <a14:compatExt spid="_x0000_s1212436"/>
                </a:ext>
                <a:ext uri="{FF2B5EF4-FFF2-40B4-BE49-F238E27FC236}">
                  <a16:creationId xmlns:a16="http://schemas.microsoft.com/office/drawing/2014/main" id="{00000000-0008-0000-5800-00001480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2</xdr:row>
          <xdr:rowOff>47625</xdr:rowOff>
        </xdr:from>
        <xdr:to>
          <xdr:col>4</xdr:col>
          <xdr:colOff>285750</xdr:colOff>
          <xdr:row>2</xdr:row>
          <xdr:rowOff>352425</xdr:rowOff>
        </xdr:to>
        <xdr:sp macro="" textlink="">
          <xdr:nvSpPr>
            <xdr:cNvPr id="1212437" name="CheckBox_WF_Validation2" descr="Value" hidden="1">
              <a:extLst>
                <a:ext uri="{63B3BB69-23CF-44E3-9099-C40C66FF867C}">
                  <a14:compatExt spid="_x0000_s1212437"/>
                </a:ext>
                <a:ext uri="{FF2B5EF4-FFF2-40B4-BE49-F238E27FC236}">
                  <a16:creationId xmlns:a16="http://schemas.microsoft.com/office/drawing/2014/main" id="{00000000-0008-0000-5800-00001580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47625</xdr:rowOff>
        </xdr:from>
        <xdr:to>
          <xdr:col>5</xdr:col>
          <xdr:colOff>285750</xdr:colOff>
          <xdr:row>2</xdr:row>
          <xdr:rowOff>352425</xdr:rowOff>
        </xdr:to>
        <xdr:sp macro="" textlink="">
          <xdr:nvSpPr>
            <xdr:cNvPr id="1212438" name="CheckBox_WF_Validation3" descr="Value" hidden="1">
              <a:extLst>
                <a:ext uri="{63B3BB69-23CF-44E3-9099-C40C66FF867C}">
                  <a14:compatExt spid="_x0000_s1212438"/>
                </a:ext>
                <a:ext uri="{FF2B5EF4-FFF2-40B4-BE49-F238E27FC236}">
                  <a16:creationId xmlns:a16="http://schemas.microsoft.com/office/drawing/2014/main" id="{00000000-0008-0000-5800-00001680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xdr:row>
          <xdr:rowOff>47625</xdr:rowOff>
        </xdr:from>
        <xdr:to>
          <xdr:col>6</xdr:col>
          <xdr:colOff>285750</xdr:colOff>
          <xdr:row>2</xdr:row>
          <xdr:rowOff>352425</xdr:rowOff>
        </xdr:to>
        <xdr:sp macro="" textlink="">
          <xdr:nvSpPr>
            <xdr:cNvPr id="1212439" name="CheckBox_WF_Validation4" descr="Value" hidden="1">
              <a:extLst>
                <a:ext uri="{63B3BB69-23CF-44E3-9099-C40C66FF867C}">
                  <a14:compatExt spid="_x0000_s1212439"/>
                </a:ext>
                <a:ext uri="{FF2B5EF4-FFF2-40B4-BE49-F238E27FC236}">
                  <a16:creationId xmlns:a16="http://schemas.microsoft.com/office/drawing/2014/main" id="{00000000-0008-0000-5800-00001780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2</xdr:row>
          <xdr:rowOff>47625</xdr:rowOff>
        </xdr:from>
        <xdr:to>
          <xdr:col>7</xdr:col>
          <xdr:colOff>285750</xdr:colOff>
          <xdr:row>2</xdr:row>
          <xdr:rowOff>352425</xdr:rowOff>
        </xdr:to>
        <xdr:sp macro="" textlink="">
          <xdr:nvSpPr>
            <xdr:cNvPr id="1212440" name="CheckBox_WF_Validation5" descr="Value" hidden="1">
              <a:extLst>
                <a:ext uri="{63B3BB69-23CF-44E3-9099-C40C66FF867C}">
                  <a14:compatExt spid="_x0000_s1212440"/>
                </a:ext>
                <a:ext uri="{FF2B5EF4-FFF2-40B4-BE49-F238E27FC236}">
                  <a16:creationId xmlns:a16="http://schemas.microsoft.com/office/drawing/2014/main" id="{00000000-0008-0000-5800-00001880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3</xdr:col>
      <xdr:colOff>71966</xdr:colOff>
      <xdr:row>0</xdr:row>
      <xdr:rowOff>731520</xdr:rowOff>
    </xdr:to>
    <xdr:sp macro="[0]!GoTo_Main" textlink="">
      <xdr:nvSpPr>
        <xdr:cNvPr id="2" name="Rounded Rectangle 1">
          <a:extLst>
            <a:ext uri="{FF2B5EF4-FFF2-40B4-BE49-F238E27FC236}">
              <a16:creationId xmlns:a16="http://schemas.microsoft.com/office/drawing/2014/main" id="{00000000-0008-0000-5900-000002000000}"/>
            </a:ext>
          </a:extLst>
        </xdr:cNvPr>
        <xdr:cNvSpPr>
          <a:spLocks noChangeAspect="1"/>
        </xdr:cNvSpPr>
      </xdr:nvSpPr>
      <xdr:spPr>
        <a:xfrm>
          <a:off x="0" y="0"/>
          <a:ext cx="918633" cy="731520"/>
        </a:xfrm>
        <a:prstGeom prst="roundRect">
          <a:avLst/>
        </a:prstGeom>
        <a:solidFill>
          <a:schemeClr val="accent1"/>
        </a:solidFill>
        <a:ln>
          <a:noFill/>
        </a:ln>
        <a:scene3d>
          <a:camera prst="orthographicFront"/>
          <a:lightRig rig="threePt" dir="t"/>
        </a:scene3d>
        <a:sp3d>
          <a:bevelT w="254000"/>
          <a:bevelB w="2540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latin typeface="Segoe UI" panose="020B0502040204020203" pitchFamily="34" charset="0"/>
              <a:cs typeface="Segoe UI" panose="020B0502040204020203" pitchFamily="34" charset="0"/>
            </a:rPr>
            <a:t>Main</a:t>
          </a:r>
          <a:r>
            <a:rPr lang="en-US" sz="1200" b="1" baseline="0">
              <a:latin typeface="Segoe UI" panose="020B0502040204020203" pitchFamily="34" charset="0"/>
              <a:cs typeface="Segoe UI" panose="020B0502040204020203" pitchFamily="34" charset="0"/>
            </a:rPr>
            <a:t> Menu</a:t>
          </a:r>
          <a:endParaRPr lang="en-US" sz="1200" b="1">
            <a:latin typeface="Segoe UI" panose="020B0502040204020203" pitchFamily="34" charset="0"/>
            <a:cs typeface="Segoe UI" panose="020B0502040204020203"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E549915-9A8F-4A46-AECE-6614294DE2EB}" name="BLS_TableState" displayName="BLS_TableState" ref="A1:E53" totalsRowShown="0" headerRowDxfId="144" dataDxfId="143">
  <autoFilter ref="A1:E53" xr:uid="{7EF78E5E-EC72-4100-A956-52CDF35D5E60}"/>
  <tableColumns count="5">
    <tableColumn id="1" xr3:uid="{28A1E3BE-6CDC-4C63-944C-C6450376C12C}" name="area_type_code" dataDxfId="142"/>
    <tableColumn id="2" xr3:uid="{9BE8A4E2-37A7-453E-8D4A-FAACC3FE9E7E}" name="area_code" dataDxfId="141"/>
    <tableColumn id="3" xr3:uid="{0028F24A-9B9C-46C5-B659-CAB4EB18AC8D}" name="area_text" dataDxfId="140"/>
    <tableColumn id="4" xr3:uid="{E5F0031C-C610-4122-BED1-17405C3256F9}" name="State_Abbr" dataDxfId="139"/>
    <tableColumn id="5" xr3:uid="{C201DAC9-6A22-4B9D-ABC6-30632D2D18D5}" name="FIPS_State" dataDxfId="138">
      <calculatedColumnFormula>MID(B2,3,2)</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20AAE4-01BA-41FF-9F03-A31A072F27B6}" name="BLS_TableMSA" displayName="BLS_TableMSA" ref="A1:H1225" totalsRowShown="0" headerRowDxfId="137" dataDxfId="136">
  <autoFilter ref="A1:H1225" xr:uid="{ACCB96B5-059E-4624-A103-F922AF37EAA4}">
    <filterColumn colId="3">
      <filters>
        <filter val="FL"/>
      </filters>
    </filterColumn>
  </autoFilter>
  <tableColumns count="8">
    <tableColumn id="1" xr3:uid="{A884D990-6A80-44E3-97AF-FCA10B2A5970}" name="area_type_code" dataDxfId="135"/>
    <tableColumn id="2" xr3:uid="{439D22D1-FABC-4241-958E-BA874CB5278B}" name="area_code" dataDxfId="134"/>
    <tableColumn id="3" xr3:uid="{F2EC147E-79AE-4FE8-AA23-E08B3AF841B9}" name="area_text" dataDxfId="133"/>
    <tableColumn id="4" xr3:uid="{EE46012F-6397-401A-BA66-6A91F0EB87F6}" name="State_Abbr" dataDxfId="132">
      <calculatedColumnFormula>MID(C2,E2+2,2)</calculatedColumnFormula>
    </tableColumn>
    <tableColumn id="5" xr3:uid="{D7D622EF-1AD1-4CB6-830D-10EBB70D7890}" name="Comma_Pos" dataDxfId="131">
      <calculatedColumnFormula>FIND(",",C2)</calculatedColumnFormula>
    </tableColumn>
    <tableColumn id="6" xr3:uid="{662B88A1-0AA5-491F-B124-173CCDAECE12}" name="FIPS_State" dataDxfId="130">
      <calculatedColumnFormula>MID(B2,3,2)</calculatedColumnFormula>
    </tableColumn>
    <tableColumn id="7" xr3:uid="{F154957E-A67D-44EC-BC01-06161D0E1BA0}" name="FIPS_Place" dataDxfId="129">
      <calculatedColumnFormula>MID(B2,5,5)</calculatedColumnFormula>
    </tableColumn>
    <tableColumn id="8" xr3:uid="{F144918C-5F13-48AD-A4E7-29ED113D0C10}" name="List_No" dataDxfId="128">
      <calculatedColumnFormula>--SUBTOTAL(3,C$2:C2)</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89651E6-BB9C-47E6-9893-4BB7B960949A}" name="BLS_TableMSA_Avail" displayName="BLS_TableMSA_Avail" ref="B1230:C1330" totalsRowShown="0" headerRowDxfId="127" dataDxfId="126">
  <autoFilter ref="B1230:C1330" xr:uid="{4D16564D-A3C4-4EFA-9456-F03FD257252D}"/>
  <tableColumns count="2">
    <tableColumn id="1" xr3:uid="{A2C802A8-CC68-4F95-A8C3-64D5C22D9A09}" name="List_No" dataDxfId="125"/>
    <tableColumn id="2" xr3:uid="{4AF5F05C-BD06-4D51-9F18-2FF116999208}" name="area_text" dataDxfId="124">
      <calculatedColumnFormula>IFERROR(INDEX(BLS_TableMSA[area_text], MATCH(B1231,BLS_TableMSA[List_No],0)),"")</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EA768BA-C309-4557-B76E-D710CCDE3D78}" name="BLS_TableCounty" displayName="BLS_TableCounty" ref="A1:G3223" totalsRowShown="0" headerRowDxfId="123" dataDxfId="122">
  <autoFilter ref="A1:G3223" xr:uid="{F5492253-5489-4A62-A564-D008D908AA34}">
    <filterColumn colId="3">
      <filters>
        <filter val="FL"/>
      </filters>
    </filterColumn>
  </autoFilter>
  <tableColumns count="7">
    <tableColumn id="1" xr3:uid="{9590DDE0-997B-4EB7-8A2F-63A66217EB67}" name="area_type_code" dataDxfId="121"/>
    <tableColumn id="2" xr3:uid="{D3387290-9AEC-4506-A8A4-66BEB74246EE}" name="area_code" dataDxfId="120"/>
    <tableColumn id="3" xr3:uid="{42287F5B-08A1-497B-8B9B-A06B0910EBD4}" name="area_text" dataDxfId="119"/>
    <tableColumn id="4" xr3:uid="{8B3BA816-186A-4495-A69B-789F104EDAE7}" name="State_Abbr" dataDxfId="118">
      <calculatedColumnFormula>RIGHT(C2,2)</calculatedColumnFormula>
    </tableColumn>
    <tableColumn id="5" xr3:uid="{C7B5BBE0-F142-44D0-BF8D-AC3108FF4928}" name="FIPS_State" dataDxfId="117">
      <calculatedColumnFormula>MID(B2,3,2)</calculatedColumnFormula>
    </tableColumn>
    <tableColumn id="6" xr3:uid="{FA59B234-A306-4393-9252-D4ED66C3B2BA}" name="FIPS_County" dataDxfId="116">
      <calculatedColumnFormula>MID(B2,5,3)</calculatedColumnFormula>
    </tableColumn>
    <tableColumn id="7" xr3:uid="{5300A180-6F84-4D5B-AE44-8A337F4D47B7}" name="List_No" dataDxfId="115">
      <calculatedColumnFormula>--SUBTOTAL(3,C$2:C2)</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0F945A0-8D4E-4F21-A17C-6A8F00989A0A}" name="BLS_TableCounty_Avail" displayName="BLS_TableCounty_Avail" ref="B3230:C3505" totalsRowShown="0" headerRowDxfId="114" dataDxfId="113">
  <autoFilter ref="B3230:C3505" xr:uid="{27F810CD-6D4D-435D-9474-EB969668F021}"/>
  <tableColumns count="2">
    <tableColumn id="1" xr3:uid="{19CA58E1-D3C2-42B2-BDD7-48A9FC0136E2}" name="List_No" dataDxfId="112"/>
    <tableColumn id="2" xr3:uid="{82DE4D7C-1A31-4F28-8464-4768C3E1EE97}" name="area_text" dataDxfId="11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1C801BD-9659-4BD3-BB15-2431BDD05A3A}" name="BLS_TableTown" displayName="BLS_TableTown" ref="A1:H3367" totalsRowShown="0" headerRowDxfId="110" dataDxfId="109">
  <autoFilter ref="A1:H3367" xr:uid="{CD6539E9-7E6A-4B86-BEE3-1562831CADEC}">
    <filterColumn colId="3">
      <filters>
        <filter val="FL"/>
      </filters>
    </filterColumn>
  </autoFilter>
  <tableColumns count="8">
    <tableColumn id="1" xr3:uid="{FB1BD30A-FAA8-4BFA-AA88-9AE28E22BA3C}" name="area_type_code" dataDxfId="108"/>
    <tableColumn id="2" xr3:uid="{EF541786-0E18-44FB-88B5-E8A379133C7A}" name="area_code" dataDxfId="107"/>
    <tableColumn id="3" xr3:uid="{929B2FF4-5878-43BF-91E1-0CA420F2F30D}" name="area_text" dataDxfId="106"/>
    <tableColumn id="4" xr3:uid="{D9372FC9-4C48-422C-B35A-CFB8612D8782}" name="State_Abbr" dataDxfId="105">
      <calculatedColumnFormula>MID(C2,E2+2,2)</calculatedColumnFormula>
    </tableColumn>
    <tableColumn id="8" xr3:uid="{2E1B8188-96FE-4874-B5B5-0967EDFED35C}" name="Comma_Pos" dataDxfId="104">
      <calculatedColumnFormula>FIND(",",C2)</calculatedColumnFormula>
    </tableColumn>
    <tableColumn id="5" xr3:uid="{347BCB1D-E575-4C1E-B4D9-662DF6618D8C}" name="FIPS_State" dataDxfId="103">
      <calculatedColumnFormula>MID(B2,3,2)</calculatedColumnFormula>
    </tableColumn>
    <tableColumn id="6" xr3:uid="{2BD24B5A-2B5E-4FB1-904A-EC4D58093336}" name="FIPS_Place" dataDxfId="102">
      <calculatedColumnFormula>MID(B2,5,5)</calculatedColumnFormula>
    </tableColumn>
    <tableColumn id="7" xr3:uid="{3BCBDD3F-9B61-42C5-BE6E-720541BE3C69}" name="List_No" dataDxfId="101">
      <calculatedColumnFormula>--SUBTOTAL(3,C$2:C2)</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8BB4F74-149D-4409-AEDD-7BECEA613168}" name="BLS_TableTown_Avail" displayName="BLS_TableTown_Avail" ref="B3375:C3920" totalsRowShown="0" headerRowDxfId="100" dataDxfId="99">
  <autoFilter ref="B3375:C3920" xr:uid="{E4129C32-46B8-4F4B-834E-F8F48476E2B4}"/>
  <tableColumns count="2">
    <tableColumn id="1" xr3:uid="{40708A32-CCA6-4073-B223-A722CB17D471}" name="List_No" dataDxfId="98"/>
    <tableColumn id="2" xr3:uid="{61002D88-564F-4413-9338-BF36FD1FF293}" name="area_text" dataDxfId="97">
      <calculatedColumnFormula>IFERROR(INDEX(BLS_TableTown[area_text], MATCH(B3376,BLS_TableTown[List_No],0)),"")</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06A4C48-DD59-4AB3-8F48-1EA4DB3F4EEF}" name="tblRR_Data" displayName="tblRR_Data" ref="B69:X125" totalsRowShown="0" headerRowDxfId="96">
  <tableColumns count="23">
    <tableColumn id="1" xr3:uid="{3262BF5A-23E9-494A-8787-1EE59B7A8399}" name="Category"/>
    <tableColumn id="2" xr3:uid="{068E58A9-6ECB-4E77-9363-D818B66AFBE8}" name="Date" dataDxfId="95"/>
    <tableColumn id="3" xr3:uid="{EA26B811-70CE-42DD-A064-9C858F6402A7}" name="IRR Low" dataDxfId="94" dataCellStyle="Percent"/>
    <tableColumn id="4" xr3:uid="{45301B5F-B225-45EE-BACA-0C9814B7E77D}" name="IRR High" dataDxfId="93" dataCellStyle="Percent"/>
    <tableColumn id="5" xr3:uid="{33AE0384-B701-4591-A21D-C3EBF565AC1C}" name="IRR Avg" dataDxfId="92" dataCellStyle="Percent"/>
    <tableColumn id="6" xr3:uid="{7A2562F3-35A3-47DC-93F3-52AF15CC0822}" name="OAR Low" dataDxfId="91" dataCellStyle="Percent"/>
    <tableColumn id="7" xr3:uid="{4E53F79E-2B80-42FE-8AC4-B6ABDC06669D}" name="OAR High" dataDxfId="90" dataCellStyle="Percent"/>
    <tableColumn id="8" xr3:uid="{E385BA95-A8A2-4AAB-B528-D86891765E6F}" name="OAR Avg" dataDxfId="89" dataCellStyle="Percent"/>
    <tableColumn id="9" xr3:uid="{C8BE63FC-F7EE-4DF1-A1C7-C81431CA8774}" name="Amort Low" dataDxfId="88" dataCellStyle="Percent"/>
    <tableColumn id="10" xr3:uid="{49426B93-87B4-4182-A516-51849336A747}" name="Amort High" dataDxfId="87" dataCellStyle="Percent"/>
    <tableColumn id="11" xr3:uid="{B56A85B9-0059-41A0-B2EE-96758F76C775}" name="Amort Avg" dataDxfId="86" dataCellStyle="Percent"/>
    <tableColumn id="12" xr3:uid="{1EDD38AE-FF96-4717-B98E-F34B5AACE2AA}" name="LTV Low" dataDxfId="85" dataCellStyle="Percent"/>
    <tableColumn id="13" xr3:uid="{B5DBA805-50CA-400D-8400-D03D31D038FA}" name="LTV High" dataDxfId="84" dataCellStyle="Percent"/>
    <tableColumn id="14" xr3:uid="{A3287D6C-B1FB-4C29-8B71-E96956A10FB7}" name="LTV Avg" dataDxfId="83" dataCellStyle="Percent"/>
    <tableColumn id="15" xr3:uid="{D1738313-617C-47EC-9E5C-A914B64E27BC}" name="Interest Low" dataDxfId="82" dataCellStyle="Percent"/>
    <tableColumn id="16" xr3:uid="{67B26AFB-22DD-4B89-9DFC-CF300312C013}" name="Interest High" dataDxfId="81" dataCellStyle="Percent"/>
    <tableColumn id="17" xr3:uid="{0E5B7E35-DE17-4C35-AAEB-6EF10E43B3D2}" name="Interest Avg" dataDxfId="80" dataCellStyle="Percent"/>
    <tableColumn id="18" xr3:uid="{0C6AA6E8-DACC-4F89-9C3A-6642A121365E}" name="EDR Low" dataDxfId="79" dataCellStyle="Percent"/>
    <tableColumn id="19" xr3:uid="{BFA445D1-F30F-435E-8AFF-4CF3ACF48B3D}" name="EDR High" dataDxfId="78" dataCellStyle="Percent"/>
    <tableColumn id="20" xr3:uid="{D13A62CF-0919-4EBE-B0AB-14F275856513}" name="EDR Avg" dataDxfId="77" dataCellStyle="Percent"/>
    <tableColumn id="21" xr3:uid="{70085C1E-9CE1-477C-84FB-4B6CD6B953E4}" name="DCR Low" dataDxfId="76"/>
    <tableColumn id="22" xr3:uid="{4092A962-221B-4C89-B3A7-CDE81147CC60}" name="DCR High" dataDxfId="75"/>
    <tableColumn id="23" xr3:uid="{009E1C54-101A-4490-995C-F72E50F9AE65}" name="DCR Avg" dataDxfId="7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solidFill>
        <a:ln>
          <a:noFill/>
        </a:ln>
        <a:scene3d>
          <a:camera prst="orthographicFront"/>
          <a:lightRig rig="threePt" dir="t"/>
        </a:scene3d>
        <a:sp3d>
          <a:bevelT w="254000"/>
          <a:bevelB w="254000"/>
        </a:sp3d>
      </a:spPr>
      <a:bodyPr vertOverflow="clip" horzOverflow="clip" rtlCol="0" anchor="ctr"/>
      <a:lstStyle>
        <a:defPPr algn="ctr">
          <a:defRPr sz="1200" b="1">
            <a:solidFill>
              <a:sysClr val="windowText" lastClr="000000"/>
            </a:solidFill>
            <a:latin typeface="Segoe UI" panose="020B0502040204020203" pitchFamily="34" charset="0"/>
            <a:cs typeface="Segoe UI" panose="020B0502040204020203" pitchFamily="34" charset="0"/>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EFE2DEF-497C-4EFE-84C2-A3ECE68EC869}">
  <we:reference id="wa200003692" version="1.0.0.1" store="en-US" storeType="OMEX"/>
  <we:alternateReferences>
    <we:reference id="wa200003692" version="1.0.0.1" store="wa20000369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https://gisapp.adcogov.org/QuickSearch/doreport.aspx?pid=0182511405010" TargetMode="External"/><Relationship Id="rId7" Type="http://schemas.openxmlformats.org/officeDocument/2006/relationships/hyperlink" Target="https://gisapp.adcogov.org/QuickSearch/doreport.aspx?pid=0182511405014" TargetMode="External"/><Relationship Id="rId2" Type="http://schemas.openxmlformats.org/officeDocument/2006/relationships/hyperlink" Target="https://gisapp.adcogov.org/QuickSearch/doreport.aspx?pid=0182511405009" TargetMode="External"/><Relationship Id="rId1" Type="http://schemas.openxmlformats.org/officeDocument/2006/relationships/hyperlink" Target="https://gisapp.adcogov.org/QuickSearch/doreport.aspx?pid=0182511405008" TargetMode="External"/><Relationship Id="rId6" Type="http://schemas.openxmlformats.org/officeDocument/2006/relationships/hyperlink" Target="https://gisapp.adcogov.org/QuickSearch/doreport.aspx?pid=0182511405013" TargetMode="External"/><Relationship Id="rId11" Type="http://schemas.openxmlformats.org/officeDocument/2006/relationships/comments" Target="../comments3.xml"/><Relationship Id="rId5" Type="http://schemas.openxmlformats.org/officeDocument/2006/relationships/hyperlink" Target="https://gisapp.adcogov.org/QuickSearch/doreport.aspx?pid=0182511405012" TargetMode="External"/><Relationship Id="rId10" Type="http://schemas.openxmlformats.org/officeDocument/2006/relationships/vmlDrawing" Target="../drawings/vmlDrawing3.vml"/><Relationship Id="rId4" Type="http://schemas.openxmlformats.org/officeDocument/2006/relationships/hyperlink" Target="https://gisapp.adcogov.org/QuickSearch/doreport.aspx?pid=0182511405011" TargetMode="External"/><Relationship Id="rId9"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mments" Target="../comments5.xml"/><Relationship Id="rId3" Type="http://schemas.openxmlformats.org/officeDocument/2006/relationships/drawing" Target="../drawings/drawing5.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5.bin"/><Relationship Id="rId1" Type="http://schemas.openxmlformats.org/officeDocument/2006/relationships/hyperlink" Target="http://data.bls.gov/cgi-bin/dsrv?la"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5.vml"/><Relationship Id="rId9"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2.vml"/><Relationship Id="rId7" Type="http://schemas.openxmlformats.org/officeDocument/2006/relationships/ctrlProp" Target="../ctrlProps/ctrlProp4.xml"/><Relationship Id="rId2" Type="http://schemas.openxmlformats.org/officeDocument/2006/relationships/drawing" Target="../drawings/drawing13.xml"/><Relationship Id="rId1" Type="http://schemas.openxmlformats.org/officeDocument/2006/relationships/printerSettings" Target="../printerSettings/printerSettings1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1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13.xml"/><Relationship Id="rId2" Type="http://schemas.openxmlformats.org/officeDocument/2006/relationships/drawing" Target="../drawings/drawing14.xml"/><Relationship Id="rId1" Type="http://schemas.openxmlformats.org/officeDocument/2006/relationships/printerSettings" Target="../printerSettings/printerSettings1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16.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19.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9.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1.xml"/><Relationship Id="rId1" Type="http://schemas.openxmlformats.org/officeDocument/2006/relationships/printerSettings" Target="../printerSettings/printerSettings20.bin"/><Relationship Id="rId4" Type="http://schemas.openxmlformats.org/officeDocument/2006/relationships/comments" Target="../comments18.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2.xml"/><Relationship Id="rId1" Type="http://schemas.openxmlformats.org/officeDocument/2006/relationships/printerSettings" Target="../printerSettings/printerSettings21.bin"/><Relationship Id="rId4" Type="http://schemas.openxmlformats.org/officeDocument/2006/relationships/comments" Target="../comments19.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3.xml"/><Relationship Id="rId1" Type="http://schemas.openxmlformats.org/officeDocument/2006/relationships/printerSettings" Target="../printerSettings/printerSettings22.bin"/><Relationship Id="rId4" Type="http://schemas.openxmlformats.org/officeDocument/2006/relationships/comments" Target="../comments2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4.xml"/><Relationship Id="rId1" Type="http://schemas.openxmlformats.org/officeDocument/2006/relationships/printerSettings" Target="../printerSettings/printerSettings23.bin"/><Relationship Id="rId4" Type="http://schemas.openxmlformats.org/officeDocument/2006/relationships/comments" Target="../comments21.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5.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7.xml"/><Relationship Id="rId1" Type="http://schemas.openxmlformats.org/officeDocument/2006/relationships/printerSettings" Target="../printerSettings/printerSettings24.bin"/><Relationship Id="rId4" Type="http://schemas.openxmlformats.org/officeDocument/2006/relationships/comments" Target="../comments24.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8.xml"/><Relationship Id="rId1" Type="http://schemas.openxmlformats.org/officeDocument/2006/relationships/printerSettings" Target="../printerSettings/printerSettings25.bin"/><Relationship Id="rId4" Type="http://schemas.openxmlformats.org/officeDocument/2006/relationships/comments" Target="../comments25.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9.xml"/><Relationship Id="rId1" Type="http://schemas.openxmlformats.org/officeDocument/2006/relationships/printerSettings" Target="../printerSettings/printerSettings26.bin"/><Relationship Id="rId4" Type="http://schemas.openxmlformats.org/officeDocument/2006/relationships/comments" Target="../comments26.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30.xml"/><Relationship Id="rId1" Type="http://schemas.openxmlformats.org/officeDocument/2006/relationships/printerSettings" Target="../printerSettings/printerSettings27.bin"/><Relationship Id="rId4" Type="http://schemas.openxmlformats.org/officeDocument/2006/relationships/comments" Target="../comments27.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1.xml"/><Relationship Id="rId1" Type="http://schemas.openxmlformats.org/officeDocument/2006/relationships/printerSettings" Target="../printerSettings/printerSettings28.bin"/><Relationship Id="rId4" Type="http://schemas.openxmlformats.org/officeDocument/2006/relationships/comments" Target="../comments28.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drawing" Target="../drawings/drawing32.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drawing" Target="../drawings/drawing33.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4.xml"/><Relationship Id="rId1" Type="http://schemas.openxmlformats.org/officeDocument/2006/relationships/printerSettings" Target="../printerSettings/printerSettings29.bin"/><Relationship Id="rId4" Type="http://schemas.openxmlformats.org/officeDocument/2006/relationships/comments" Target="../comments31.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drawing" Target="../drawings/drawing35.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6.xml"/><Relationship Id="rId1" Type="http://schemas.openxmlformats.org/officeDocument/2006/relationships/printerSettings" Target="../printerSettings/printerSettings30.bin"/><Relationship Id="rId4" Type="http://schemas.openxmlformats.org/officeDocument/2006/relationships/comments" Target="../comments33.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7.xml"/><Relationship Id="rId1" Type="http://schemas.openxmlformats.org/officeDocument/2006/relationships/printerSettings" Target="../printerSettings/printerSettings31.bin"/><Relationship Id="rId4" Type="http://schemas.openxmlformats.org/officeDocument/2006/relationships/comments" Target="../comments34.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8.xml"/><Relationship Id="rId1" Type="http://schemas.openxmlformats.org/officeDocument/2006/relationships/printerSettings" Target="../printerSettings/printerSettings32.bin"/><Relationship Id="rId4" Type="http://schemas.openxmlformats.org/officeDocument/2006/relationships/comments" Target="../comments35.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9.xml"/><Relationship Id="rId1" Type="http://schemas.openxmlformats.org/officeDocument/2006/relationships/printerSettings" Target="../printerSettings/printerSettings33.bin"/><Relationship Id="rId4" Type="http://schemas.openxmlformats.org/officeDocument/2006/relationships/ctrlProp" Target="../ctrlProps/ctrlProp1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40.xml"/><Relationship Id="rId1" Type="http://schemas.openxmlformats.org/officeDocument/2006/relationships/printerSettings" Target="../printerSettings/printerSettings34.bin"/><Relationship Id="rId4" Type="http://schemas.openxmlformats.org/officeDocument/2006/relationships/comments" Target="../comments36.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41.xml"/><Relationship Id="rId1" Type="http://schemas.openxmlformats.org/officeDocument/2006/relationships/printerSettings" Target="../printerSettings/printerSettings35.bin"/><Relationship Id="rId4" Type="http://schemas.openxmlformats.org/officeDocument/2006/relationships/comments" Target="../comments37.xml"/></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36.bin"/></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43.xml"/><Relationship Id="rId1" Type="http://schemas.openxmlformats.org/officeDocument/2006/relationships/printerSettings" Target="../printerSettings/printerSettings37.bin"/><Relationship Id="rId4" Type="http://schemas.openxmlformats.org/officeDocument/2006/relationships/comments" Target="../comments38.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44.xml"/><Relationship Id="rId1" Type="http://schemas.openxmlformats.org/officeDocument/2006/relationships/printerSettings" Target="../printerSettings/printerSettings38.bin"/><Relationship Id="rId4" Type="http://schemas.openxmlformats.org/officeDocument/2006/relationships/comments" Target="../comments39.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5.xml"/><Relationship Id="rId1" Type="http://schemas.openxmlformats.org/officeDocument/2006/relationships/printerSettings" Target="../printerSettings/printerSettings39.bin"/><Relationship Id="rId4" Type="http://schemas.openxmlformats.org/officeDocument/2006/relationships/comments" Target="../comments40.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6.xml"/><Relationship Id="rId1" Type="http://schemas.openxmlformats.org/officeDocument/2006/relationships/printerSettings" Target="../printerSettings/printerSettings40.bin"/><Relationship Id="rId4" Type="http://schemas.openxmlformats.org/officeDocument/2006/relationships/comments" Target="../comments41.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7.xml"/><Relationship Id="rId1" Type="http://schemas.openxmlformats.org/officeDocument/2006/relationships/printerSettings" Target="../printerSettings/printerSettings41.bin"/><Relationship Id="rId4" Type="http://schemas.openxmlformats.org/officeDocument/2006/relationships/comments" Target="../comments42.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8.xml"/><Relationship Id="rId1" Type="http://schemas.openxmlformats.org/officeDocument/2006/relationships/printerSettings" Target="../printerSettings/printerSettings42.bin"/><Relationship Id="rId4" Type="http://schemas.openxmlformats.org/officeDocument/2006/relationships/comments" Target="../comments43.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9.xml"/><Relationship Id="rId1" Type="http://schemas.openxmlformats.org/officeDocument/2006/relationships/printerSettings" Target="../printerSettings/printerSettings43.bin"/><Relationship Id="rId4" Type="http://schemas.openxmlformats.org/officeDocument/2006/relationships/comments" Target="../comments44.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50.xml"/><Relationship Id="rId1" Type="http://schemas.openxmlformats.org/officeDocument/2006/relationships/printerSettings" Target="../printerSettings/printerSettings44.bin"/><Relationship Id="rId4" Type="http://schemas.openxmlformats.org/officeDocument/2006/relationships/comments" Target="../comments45.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51.xml"/><Relationship Id="rId1" Type="http://schemas.openxmlformats.org/officeDocument/2006/relationships/printerSettings" Target="../printerSettings/printerSettings45.bin"/><Relationship Id="rId4" Type="http://schemas.openxmlformats.org/officeDocument/2006/relationships/comments" Target="../comments46.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52.xml"/><Relationship Id="rId1" Type="http://schemas.openxmlformats.org/officeDocument/2006/relationships/printerSettings" Target="../printerSettings/printerSettings46.bin"/><Relationship Id="rId4" Type="http://schemas.openxmlformats.org/officeDocument/2006/relationships/comments" Target="../comments47.xml"/></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47.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54.xml"/><Relationship Id="rId1" Type="http://schemas.openxmlformats.org/officeDocument/2006/relationships/printerSettings" Target="../printerSettings/printerSettings48.bin"/><Relationship Id="rId4" Type="http://schemas.openxmlformats.org/officeDocument/2006/relationships/comments" Target="../comments48.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55.xml"/><Relationship Id="rId1" Type="http://schemas.openxmlformats.org/officeDocument/2006/relationships/printerSettings" Target="../printerSettings/printerSettings49.bin"/><Relationship Id="rId4" Type="http://schemas.openxmlformats.org/officeDocument/2006/relationships/comments" Target="../comments49.xm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0.bin"/></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7.xml"/><Relationship Id="rId1" Type="http://schemas.openxmlformats.org/officeDocument/2006/relationships/printerSettings" Target="../printerSettings/printerSettings51.bin"/><Relationship Id="rId4" Type="http://schemas.openxmlformats.org/officeDocument/2006/relationships/comments" Target="../comments50.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8.xml"/><Relationship Id="rId1" Type="http://schemas.openxmlformats.org/officeDocument/2006/relationships/printerSettings" Target="../printerSettings/printerSettings52.bin"/><Relationship Id="rId4" Type="http://schemas.openxmlformats.org/officeDocument/2006/relationships/comments" Target="../comments51.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9.xml"/><Relationship Id="rId1" Type="http://schemas.openxmlformats.org/officeDocument/2006/relationships/printerSettings" Target="../printerSettings/printerSettings53.bin"/><Relationship Id="rId4" Type="http://schemas.openxmlformats.org/officeDocument/2006/relationships/comments" Target="../comments52.xml"/></Relationships>
</file>

<file path=xl/worksheets/_rels/sheet7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0.xml"/><Relationship Id="rId1" Type="http://schemas.openxmlformats.org/officeDocument/2006/relationships/printerSettings" Target="../printerSettings/printerSettings54.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61.xml"/><Relationship Id="rId1" Type="http://schemas.openxmlformats.org/officeDocument/2006/relationships/printerSettings" Target="../printerSettings/printerSettings55.bin"/><Relationship Id="rId4" Type="http://schemas.openxmlformats.org/officeDocument/2006/relationships/comments" Target="../comments53.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62.xml"/><Relationship Id="rId1" Type="http://schemas.openxmlformats.org/officeDocument/2006/relationships/printerSettings" Target="../printerSettings/printerSettings56.bin"/><Relationship Id="rId4" Type="http://schemas.openxmlformats.org/officeDocument/2006/relationships/comments" Target="../comments54.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63.xml"/><Relationship Id="rId1" Type="http://schemas.openxmlformats.org/officeDocument/2006/relationships/printerSettings" Target="../printerSettings/printerSettings57.bin"/><Relationship Id="rId4" Type="http://schemas.openxmlformats.org/officeDocument/2006/relationships/comments" Target="../comments55.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64.xml"/><Relationship Id="rId1" Type="http://schemas.openxmlformats.org/officeDocument/2006/relationships/printerSettings" Target="../printerSettings/printerSettings58.bin"/><Relationship Id="rId4" Type="http://schemas.openxmlformats.org/officeDocument/2006/relationships/comments" Target="../comments56.xml"/></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59.bin"/></Relationships>
</file>

<file path=xl/worksheets/_rels/sheet77.xml.rels><?xml version="1.0" encoding="UTF-8" standalone="yes"?>
<Relationships xmlns="http://schemas.openxmlformats.org/package/2006/relationships"><Relationship Id="rId1" Type="http://schemas.openxmlformats.org/officeDocument/2006/relationships/drawing" Target="../drawings/drawing66.xml"/></Relationships>
</file>

<file path=xl/worksheets/_rels/sheet78.xml.rels><?xml version="1.0" encoding="UTF-8" standalone="yes"?>
<Relationships xmlns="http://schemas.openxmlformats.org/package/2006/relationships"><Relationship Id="rId1" Type="http://schemas.openxmlformats.org/officeDocument/2006/relationships/drawing" Target="../drawings/drawing67.xml"/></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0.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61.bin"/></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70.xml"/><Relationship Id="rId1" Type="http://schemas.openxmlformats.org/officeDocument/2006/relationships/printerSettings" Target="../printerSettings/printerSettings62.bin"/><Relationship Id="rId4" Type="http://schemas.openxmlformats.org/officeDocument/2006/relationships/comments" Target="../comments57.xml"/></Relationships>
</file>

<file path=xl/worksheets/_rels/sheet86.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71.xml"/><Relationship Id="rId1" Type="http://schemas.openxmlformats.org/officeDocument/2006/relationships/printerSettings" Target="../printerSettings/printerSettings63.bin"/><Relationship Id="rId4" Type="http://schemas.openxmlformats.org/officeDocument/2006/relationships/comments" Target="../comments58.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72.xml"/><Relationship Id="rId1" Type="http://schemas.openxmlformats.org/officeDocument/2006/relationships/printerSettings" Target="../printerSettings/printerSettings64.bin"/><Relationship Id="rId4" Type="http://schemas.openxmlformats.org/officeDocument/2006/relationships/comments" Target="../comments59.xml"/></Relationships>
</file>

<file path=xl/worksheets/_rels/sheet88.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1.vml"/><Relationship Id="rId1" Type="http://schemas.openxmlformats.org/officeDocument/2006/relationships/drawing" Target="../drawings/drawing73.xml"/></Relationships>
</file>

<file path=xl/worksheets/_rels/sheet8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62.vml"/><Relationship Id="rId7" Type="http://schemas.openxmlformats.org/officeDocument/2006/relationships/ctrlProp" Target="../ctrlProps/ctrlProp14.xml"/><Relationship Id="rId2" Type="http://schemas.openxmlformats.org/officeDocument/2006/relationships/drawing" Target="../drawings/drawing74.xml"/><Relationship Id="rId1" Type="http://schemas.openxmlformats.org/officeDocument/2006/relationships/printerSettings" Target="../printerSettings/printerSettings65.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61.xml"/></Relationships>
</file>

<file path=xl/worksheets/_rels/sheet90.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75.xml"/><Relationship Id="rId1" Type="http://schemas.openxmlformats.org/officeDocument/2006/relationships/printerSettings" Target="../printerSettings/printerSettings66.bin"/><Relationship Id="rId4" Type="http://schemas.openxmlformats.org/officeDocument/2006/relationships/comments" Target="../comments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23"/>
  <sheetViews>
    <sheetView zoomScaleNormal="100" workbookViewId="0">
      <selection activeCell="B2" sqref="B2:L4"/>
    </sheetView>
  </sheetViews>
  <sheetFormatPr defaultColWidth="9.140625" defaultRowHeight="17.25" x14ac:dyDescent="0.3"/>
  <cols>
    <col min="1" max="1" width="5.7109375" style="40" customWidth="1"/>
    <col min="2" max="2" width="32.85546875" style="40" customWidth="1"/>
    <col min="3" max="3" width="5.7109375" style="40" customWidth="1"/>
    <col min="4" max="4" width="32.7109375" style="40" customWidth="1"/>
    <col min="5" max="5" width="5.7109375" style="40" customWidth="1"/>
    <col min="6" max="6" width="32.7109375" style="40" customWidth="1"/>
    <col min="7" max="7" width="5.7109375" style="40" customWidth="1"/>
    <col min="8" max="8" width="32.7109375" style="40" customWidth="1"/>
    <col min="9" max="9" width="5.7109375" style="40" customWidth="1"/>
    <col min="10" max="10" width="32.7109375" style="40" customWidth="1"/>
    <col min="11" max="11" width="5.7109375" style="40" customWidth="1"/>
    <col min="12" max="12" width="32.7109375" style="40" customWidth="1"/>
    <col min="13" max="13" width="0.85546875" style="40" customWidth="1"/>
    <col min="14" max="16384" width="9.140625" style="40"/>
  </cols>
  <sheetData>
    <row r="1" spans="1:14" ht="10.15" customHeight="1" x14ac:dyDescent="0.3"/>
    <row r="2" spans="1:14" ht="20.100000000000001" customHeight="1" x14ac:dyDescent="0.3">
      <c r="B2" s="4085"/>
      <c r="C2" s="4085"/>
      <c r="D2" s="4085"/>
      <c r="E2" s="4085"/>
      <c r="F2" s="4085"/>
      <c r="G2" s="4085"/>
      <c r="H2" s="4085"/>
      <c r="I2" s="4085"/>
      <c r="J2" s="4085"/>
      <c r="K2" s="4086"/>
      <c r="L2" s="4085"/>
      <c r="M2" s="107"/>
      <c r="N2" s="543"/>
    </row>
    <row r="3" spans="1:14" ht="20.100000000000001" customHeight="1" x14ac:dyDescent="0.3">
      <c r="B3" s="4085"/>
      <c r="C3" s="4085"/>
      <c r="D3" s="4085"/>
      <c r="E3" s="4085"/>
      <c r="F3" s="4085"/>
      <c r="G3" s="4085"/>
      <c r="H3" s="4085"/>
      <c r="I3" s="4085"/>
      <c r="J3" s="4085"/>
      <c r="K3" s="4085"/>
      <c r="L3" s="4085"/>
      <c r="M3" s="543"/>
      <c r="N3" s="543"/>
    </row>
    <row r="4" spans="1:14" ht="20.100000000000001" customHeight="1" x14ac:dyDescent="0.3">
      <c r="B4" s="4085"/>
      <c r="C4" s="4085"/>
      <c r="D4" s="4085"/>
      <c r="E4" s="4085"/>
      <c r="F4" s="4085"/>
      <c r="G4" s="4085"/>
      <c r="H4" s="4085"/>
      <c r="I4" s="4085"/>
      <c r="J4" s="4085"/>
      <c r="K4" s="4085"/>
      <c r="L4" s="4085"/>
    </row>
    <row r="5" spans="1:14" ht="35.1" customHeight="1" x14ac:dyDescent="0.35">
      <c r="B5" s="1085" t="s">
        <v>1210</v>
      </c>
      <c r="D5" s="1085" t="s">
        <v>413</v>
      </c>
      <c r="F5" s="1247" t="s">
        <v>414</v>
      </c>
      <c r="H5" s="1247" t="s">
        <v>416</v>
      </c>
      <c r="J5" s="4084" t="s">
        <v>794</v>
      </c>
      <c r="K5" s="4084"/>
      <c r="L5" s="4084"/>
    </row>
    <row r="6" spans="1:14" ht="36" customHeight="1" x14ac:dyDescent="0.3">
      <c r="J6" s="3179" t="s">
        <v>960</v>
      </c>
      <c r="L6" s="3179" t="s">
        <v>446</v>
      </c>
    </row>
    <row r="7" spans="1:14" ht="36" customHeight="1" x14ac:dyDescent="0.3">
      <c r="L7" s="728"/>
    </row>
    <row r="8" spans="1:14" ht="36" customHeight="1" x14ac:dyDescent="0.3">
      <c r="J8" s="632"/>
    </row>
    <row r="9" spans="1:14" ht="36" customHeight="1" x14ac:dyDescent="0.35">
      <c r="B9" s="1218"/>
      <c r="F9" s="3178"/>
      <c r="J9" s="3178" t="s">
        <v>319</v>
      </c>
      <c r="L9" s="3178" t="s">
        <v>18672</v>
      </c>
    </row>
    <row r="10" spans="1:14" ht="36" customHeight="1" x14ac:dyDescent="0.35">
      <c r="B10" s="1247" t="s">
        <v>968</v>
      </c>
      <c r="D10" s="635"/>
      <c r="F10" s="636"/>
      <c r="H10" s="1247"/>
      <c r="J10" s="632"/>
      <c r="L10" s="631"/>
    </row>
    <row r="11" spans="1:14" ht="36" customHeight="1" x14ac:dyDescent="0.35">
      <c r="B11" s="1218"/>
      <c r="D11" s="632"/>
      <c r="H11" s="1281"/>
      <c r="L11" s="632"/>
    </row>
    <row r="12" spans="1:14" ht="36" customHeight="1" x14ac:dyDescent="0.35">
      <c r="B12" s="1218" t="s">
        <v>1739</v>
      </c>
      <c r="D12" s="983"/>
      <c r="H12" s="2138" t="s">
        <v>1127</v>
      </c>
    </row>
    <row r="13" spans="1:14" ht="36" customHeight="1" x14ac:dyDescent="0.3">
      <c r="B13" s="631"/>
      <c r="C13" s="10"/>
      <c r="D13" s="631"/>
      <c r="J13" s="632"/>
      <c r="M13" s="391"/>
    </row>
    <row r="14" spans="1:14" ht="36" customHeight="1" x14ac:dyDescent="0.3">
      <c r="B14" s="631"/>
      <c r="G14" s="159"/>
      <c r="I14" s="1700"/>
      <c r="J14" s="3179" t="s">
        <v>959</v>
      </c>
      <c r="L14" s="2138" t="s">
        <v>418</v>
      </c>
    </row>
    <row r="15" spans="1:14" ht="36" customHeight="1" x14ac:dyDescent="0.3">
      <c r="B15" s="982"/>
      <c r="G15" s="161"/>
      <c r="J15" s="631"/>
      <c r="L15" s="728"/>
    </row>
    <row r="16" spans="1:14" ht="36" customHeight="1" x14ac:dyDescent="0.3">
      <c r="B16" s="635"/>
      <c r="D16" s="635"/>
      <c r="J16" s="631"/>
      <c r="L16" s="632"/>
    </row>
    <row r="17" spans="2:12" ht="36" customHeight="1" x14ac:dyDescent="0.6">
      <c r="B17" s="956"/>
      <c r="C17" s="956"/>
      <c r="D17" s="956"/>
      <c r="E17" s="956"/>
      <c r="F17" s="956"/>
      <c r="G17" s="956"/>
      <c r="H17" s="956"/>
      <c r="I17" s="956"/>
      <c r="J17" s="956"/>
      <c r="K17" s="956"/>
      <c r="L17" s="956"/>
    </row>
    <row r="18" spans="2:12" ht="36" customHeight="1" x14ac:dyDescent="0.6">
      <c r="B18" s="4083"/>
      <c r="C18" s="4083"/>
      <c r="D18" s="4083"/>
      <c r="E18" s="4083"/>
      <c r="F18" s="4083"/>
      <c r="G18" s="4083"/>
      <c r="H18" s="4083"/>
      <c r="I18" s="4083"/>
      <c r="J18" s="4083"/>
      <c r="K18" s="4083"/>
      <c r="L18" s="4083"/>
    </row>
    <row r="19" spans="2:12" ht="36" customHeight="1" x14ac:dyDescent="0.3"/>
    <row r="20" spans="2:12" ht="36" customHeight="1" x14ac:dyDescent="0.3"/>
    <row r="21" spans="2:12" ht="36" customHeight="1" x14ac:dyDescent="0.3"/>
    <row r="22" spans="2:12" ht="36" customHeight="1" x14ac:dyDescent="0.3"/>
    <row r="23" spans="2:12" ht="35.1" customHeight="1" x14ac:dyDescent="0.3"/>
  </sheetData>
  <mergeCells count="3">
    <mergeCell ref="B18:L18"/>
    <mergeCell ref="J5:L5"/>
    <mergeCell ref="B2:L4"/>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1:J170"/>
  <sheetViews>
    <sheetView topLeftCell="A123" zoomScaleNormal="100" workbookViewId="0">
      <selection activeCell="D82" sqref="D82"/>
    </sheetView>
  </sheetViews>
  <sheetFormatPr defaultColWidth="9.140625" defaultRowHeight="14.25" x14ac:dyDescent="0.25"/>
  <cols>
    <col min="1" max="2" width="5.7109375" style="10" customWidth="1"/>
    <col min="3" max="3" width="40.7109375" style="10" customWidth="1"/>
    <col min="4" max="4" width="40.7109375" style="24" customWidth="1"/>
    <col min="5" max="5" width="40.5703125" style="24" customWidth="1"/>
    <col min="6" max="6" width="5.7109375" style="24" customWidth="1"/>
    <col min="7" max="16384" width="9.140625" style="10"/>
  </cols>
  <sheetData>
    <row r="1" spans="2:6" ht="60" customHeight="1" x14ac:dyDescent="0.25"/>
    <row r="2" spans="2:6" ht="9.9499999999999993" customHeight="1" thickBot="1" x14ac:dyDescent="0.3"/>
    <row r="3" spans="2:6" x14ac:dyDescent="0.25">
      <c r="B3" s="1"/>
      <c r="C3" s="2"/>
      <c r="D3" s="25"/>
      <c r="E3" s="25"/>
      <c r="F3" s="56"/>
    </row>
    <row r="4" spans="2:6" ht="16.5" x14ac:dyDescent="0.3">
      <c r="B4" s="16"/>
      <c r="C4" s="4087" t="s">
        <v>205</v>
      </c>
      <c r="D4" s="4087"/>
      <c r="E4" s="4087"/>
      <c r="F4" s="57"/>
    </row>
    <row r="5" spans="2:6" x14ac:dyDescent="0.25">
      <c r="B5" s="4"/>
      <c r="C5" s="5"/>
      <c r="D5" s="20"/>
      <c r="E5" s="20"/>
      <c r="F5" s="58"/>
    </row>
    <row r="6" spans="2:6" ht="16.5" x14ac:dyDescent="0.3">
      <c r="B6" s="4"/>
      <c r="C6" s="17" t="s">
        <v>23</v>
      </c>
      <c r="D6" s="26">
        <v>1</v>
      </c>
      <c r="E6" s="26">
        <v>2</v>
      </c>
      <c r="F6" s="59"/>
    </row>
    <row r="7" spans="2:6" ht="9.9499999999999993" customHeight="1" x14ac:dyDescent="0.3">
      <c r="B7" s="4"/>
      <c r="C7" s="22"/>
      <c r="D7" s="27"/>
      <c r="E7" s="27"/>
      <c r="F7" s="59"/>
    </row>
    <row r="8" spans="2:6" x14ac:dyDescent="0.25">
      <c r="B8" s="4"/>
      <c r="C8" s="5" t="s">
        <v>24</v>
      </c>
      <c r="D8" s="20" t="s">
        <v>18920</v>
      </c>
      <c r="E8" s="20"/>
      <c r="F8" s="58"/>
    </row>
    <row r="9" spans="2:6" x14ac:dyDescent="0.25">
      <c r="B9" s="4"/>
      <c r="C9" s="5" t="s">
        <v>0</v>
      </c>
      <c r="D9" s="4082" t="inlineStr">
        <is>
          <t xml:space="preserve">CityView Industrial Park</t>
        </is>
      </c>
      <c r="E9" s="28"/>
      <c r="F9" s="60"/>
    </row>
    <row r="10" spans="2:6" x14ac:dyDescent="0.25">
      <c r="B10" s="4"/>
      <c r="C10" s="18" t="s">
        <v>5</v>
      </c>
      <c r="D10" s="28">
        <v>11286975</v>
      </c>
      <c r="E10" s="28"/>
      <c r="F10" s="60"/>
    </row>
    <row r="11" spans="2:6" x14ac:dyDescent="0.25">
      <c r="B11" s="4"/>
      <c r="C11" s="18" t="s">
        <v>34</v>
      </c>
      <c r="D11" s="28" t="s">
        <v>20049</v>
      </c>
      <c r="E11" s="28"/>
      <c r="F11" s="60"/>
    </row>
    <row r="12" spans="2:6" x14ac:dyDescent="0.25">
      <c r="B12" s="4"/>
      <c r="C12" s="18" t="s">
        <v>40</v>
      </c>
      <c r="D12" s="28" t="s">
        <v>20110</v>
      </c>
      <c r="E12" s="28"/>
      <c r="F12" s="60"/>
    </row>
    <row r="13" spans="2:6" x14ac:dyDescent="0.25">
      <c r="B13" s="4"/>
      <c r="C13" s="18" t="s">
        <v>816</v>
      </c>
      <c r="D13" s="28"/>
      <c r="E13" s="28"/>
      <c r="F13" s="60"/>
    </row>
    <row r="14" spans="2:6" x14ac:dyDescent="0.25">
      <c r="B14" s="4"/>
      <c r="C14" s="18" t="s">
        <v>817</v>
      </c>
      <c r="D14" s="28" t="s">
        <v>18921</v>
      </c>
      <c r="E14" s="28"/>
      <c r="F14" s="60"/>
    </row>
    <row r="15" spans="2:6" x14ac:dyDescent="0.25">
      <c r="B15" s="4"/>
      <c r="C15" s="18" t="s">
        <v>56</v>
      </c>
      <c r="D15" s="28"/>
      <c r="E15" s="28"/>
      <c r="F15" s="60"/>
    </row>
    <row r="16" spans="2:6" x14ac:dyDescent="0.25">
      <c r="B16" s="4"/>
      <c r="C16" s="18" t="s">
        <v>815</v>
      </c>
      <c r="D16" s="28"/>
      <c r="E16" s="28"/>
      <c r="F16" s="60"/>
    </row>
    <row r="17" spans="2:6" x14ac:dyDescent="0.25">
      <c r="B17" s="4"/>
      <c r="C17" s="18" t="s">
        <v>818</v>
      </c>
      <c r="D17" s="28"/>
      <c r="E17" s="28"/>
      <c r="F17" s="60"/>
    </row>
    <row r="18" spans="2:6" x14ac:dyDescent="0.25">
      <c r="B18" s="4"/>
      <c r="C18" s="5" t="s">
        <v>55</v>
      </c>
      <c r="D18" s="20"/>
      <c r="E18" s="20"/>
      <c r="F18" s="58"/>
    </row>
    <row r="19" spans="2:6" x14ac:dyDescent="0.25">
      <c r="B19" s="4"/>
      <c r="C19" s="5" t="s">
        <v>814</v>
      </c>
      <c r="D19" s="20"/>
      <c r="E19" s="20"/>
      <c r="F19" s="58"/>
    </row>
    <row r="20" spans="2:6" x14ac:dyDescent="0.25">
      <c r="B20" s="4"/>
      <c r="C20" s="5" t="s">
        <v>819</v>
      </c>
      <c r="D20" s="20"/>
      <c r="E20" s="20"/>
      <c r="F20" s="58"/>
    </row>
    <row r="21" spans="2:6" x14ac:dyDescent="0.25">
      <c r="B21" s="4"/>
      <c r="C21" s="5" t="s">
        <v>15</v>
      </c>
      <c r="D21" s="443"/>
      <c r="E21" s="61"/>
      <c r="F21" s="62"/>
    </row>
    <row r="22" spans="2:6" x14ac:dyDescent="0.25">
      <c r="B22" s="4"/>
      <c r="C22" s="5" t="s">
        <v>16</v>
      </c>
      <c r="D22" s="443">
        <v>45720</v>
      </c>
      <c r="E22" s="20"/>
      <c r="F22" s="58"/>
    </row>
    <row r="23" spans="2:6" x14ac:dyDescent="0.25">
      <c r="B23" s="4"/>
      <c r="C23" s="5" t="s">
        <v>1008</v>
      </c>
      <c r="D23" s="694" t="s">
        <v>18922</v>
      </c>
      <c r="E23" s="20"/>
      <c r="F23" s="58"/>
    </row>
    <row r="24" spans="2:6" x14ac:dyDescent="0.25">
      <c r="B24" s="4"/>
      <c r="C24" s="18" t="s">
        <v>27</v>
      </c>
      <c r="D24" s="20" t="s">
        <v>18923</v>
      </c>
      <c r="E24" s="20"/>
      <c r="F24" s="58"/>
    </row>
    <row r="25" spans="2:6" x14ac:dyDescent="0.25">
      <c r="B25" s="4"/>
      <c r="C25" s="18" t="s">
        <v>28</v>
      </c>
      <c r="D25" s="20" t="s">
        <v>18924</v>
      </c>
      <c r="E25" s="20"/>
      <c r="F25" s="58"/>
    </row>
    <row r="26" spans="2:6" x14ac:dyDescent="0.25">
      <c r="B26" s="4"/>
      <c r="C26" s="18" t="s">
        <v>29</v>
      </c>
      <c r="D26" s="20" t="s">
        <v>18925</v>
      </c>
      <c r="E26" s="20"/>
      <c r="F26" s="58"/>
    </row>
    <row r="27" spans="2:6" x14ac:dyDescent="0.25">
      <c r="B27" s="4"/>
      <c r="C27" s="18" t="s">
        <v>32</v>
      </c>
      <c r="D27" s="20" t="s">
        <v>18926</v>
      </c>
      <c r="E27" s="20"/>
      <c r="F27" s="58"/>
    </row>
    <row r="28" spans="2:6" x14ac:dyDescent="0.25">
      <c r="B28" s="4"/>
      <c r="C28" s="18" t="s">
        <v>30</v>
      </c>
      <c r="D28" s="20"/>
      <c r="E28" s="20"/>
      <c r="F28" s="58"/>
    </row>
    <row r="29" spans="2:6" x14ac:dyDescent="0.25">
      <c r="B29" s="4"/>
      <c r="C29" s="18" t="s">
        <v>31</v>
      </c>
      <c r="D29" s="20"/>
      <c r="E29" s="20"/>
      <c r="F29" s="58"/>
    </row>
    <row r="30" spans="2:6" x14ac:dyDescent="0.25">
      <c r="B30" s="4"/>
      <c r="C30" s="18" t="s">
        <v>33</v>
      </c>
      <c r="D30" s="20"/>
      <c r="E30" s="20"/>
      <c r="F30" s="58"/>
    </row>
    <row r="31" spans="2:6" x14ac:dyDescent="0.25">
      <c r="B31" s="4"/>
      <c r="C31" s="5" t="s">
        <v>25</v>
      </c>
      <c r="D31" s="20" t="s">
        <v>18927</v>
      </c>
      <c r="E31" s="20"/>
      <c r="F31" s="58"/>
    </row>
    <row r="32" spans="2:6" x14ac:dyDescent="0.25">
      <c r="B32" s="4"/>
      <c r="C32" s="18" t="s">
        <v>26</v>
      </c>
      <c r="D32" s="20" t="s">
        <v>18928</v>
      </c>
      <c r="E32" s="20"/>
      <c r="F32" s="58"/>
    </row>
    <row r="33" spans="2:6" x14ac:dyDescent="0.25">
      <c r="B33" s="4"/>
      <c r="C33" s="5" t="s">
        <v>35</v>
      </c>
      <c r="D33" s="20" t="s">
        <v>18929</v>
      </c>
      <c r="E33" s="20"/>
      <c r="F33" s="58"/>
    </row>
    <row r="34" spans="2:6" x14ac:dyDescent="0.25">
      <c r="B34" s="4"/>
      <c r="C34" s="2715" t="s">
        <v>18217</v>
      </c>
      <c r="D34" s="394" t="s">
        <v>18930</v>
      </c>
      <c r="E34" s="28"/>
      <c r="F34" s="60"/>
    </row>
    <row r="35" spans="2:6" x14ac:dyDescent="0.25">
      <c r="B35" s="4"/>
      <c r="C35" s="18" t="s">
        <v>43</v>
      </c>
      <c r="D35" s="394"/>
      <c r="E35" s="28"/>
      <c r="F35" s="60"/>
    </row>
    <row r="36" spans="2:6" x14ac:dyDescent="0.25">
      <c r="B36" s="4"/>
      <c r="C36" s="2715" t="s">
        <v>18220</v>
      </c>
      <c r="D36" s="444"/>
      <c r="E36" s="28"/>
      <c r="F36" s="60"/>
    </row>
    <row r="37" spans="2:6" x14ac:dyDescent="0.25">
      <c r="B37" s="4"/>
      <c r="C37" s="18" t="s">
        <v>532</v>
      </c>
      <c r="D37" s="28"/>
      <c r="E37" s="28"/>
      <c r="F37" s="60"/>
    </row>
    <row r="38" spans="2:6" x14ac:dyDescent="0.25">
      <c r="B38" s="4"/>
      <c r="C38" s="18" t="s">
        <v>832</v>
      </c>
      <c r="D38" s="28"/>
      <c r="E38" s="28"/>
      <c r="F38" s="60"/>
    </row>
    <row r="39" spans="2:6" ht="9.9499999999999993" customHeight="1" x14ac:dyDescent="0.25">
      <c r="B39" s="4"/>
      <c r="C39" s="63"/>
      <c r="D39" s="28"/>
      <c r="E39" s="28"/>
      <c r="F39" s="60"/>
    </row>
    <row r="40" spans="2:6" ht="16.5" x14ac:dyDescent="0.3">
      <c r="B40" s="4"/>
      <c r="C40" s="17" t="s">
        <v>57</v>
      </c>
      <c r="D40" s="26"/>
      <c r="E40" s="26"/>
      <c r="F40" s="59"/>
    </row>
    <row r="41" spans="2:6" ht="9.9499999999999993" customHeight="1" x14ac:dyDescent="0.25">
      <c r="B41" s="4"/>
      <c r="C41" s="63"/>
      <c r="D41" s="28"/>
      <c r="E41" s="28"/>
      <c r="F41" s="60"/>
    </row>
    <row r="42" spans="2:6" ht="14.25" customHeight="1" x14ac:dyDescent="0.25">
      <c r="B42" s="4"/>
      <c r="C42" s="23" t="s">
        <v>58</v>
      </c>
      <c r="D42" s="28"/>
      <c r="E42" s="28"/>
      <c r="F42" s="60"/>
    </row>
    <row r="43" spans="2:6" x14ac:dyDescent="0.25">
      <c r="B43" s="4"/>
      <c r="C43" s="5" t="s">
        <v>61</v>
      </c>
      <c r="D43" s="64" t="s">
        <v>18228</v>
      </c>
      <c r="E43" s="28"/>
      <c r="F43" s="60"/>
    </row>
    <row r="44" spans="2:6" x14ac:dyDescent="0.25">
      <c r="B44" s="4"/>
      <c r="C44" s="5" t="s">
        <v>62</v>
      </c>
      <c r="D44" s="28" t="s">
        <v>18931</v>
      </c>
      <c r="E44" s="28"/>
      <c r="F44" s="60"/>
    </row>
    <row r="45" spans="2:6" x14ac:dyDescent="0.25">
      <c r="B45" s="4"/>
      <c r="C45" s="5" t="s">
        <v>36</v>
      </c>
      <c r="D45" s="28" t="s">
        <v>18247</v>
      </c>
      <c r="E45" s="28"/>
      <c r="F45" s="60"/>
    </row>
    <row r="46" spans="2:6" x14ac:dyDescent="0.25">
      <c r="B46" s="4"/>
      <c r="C46" s="5" t="s">
        <v>18418</v>
      </c>
      <c r="D46" s="28" t="s">
        <v>18260</v>
      </c>
      <c r="E46" s="28"/>
      <c r="F46" s="60"/>
    </row>
    <row r="47" spans="2:6" x14ac:dyDescent="0.25">
      <c r="B47" s="4"/>
      <c r="C47" s="5" t="s">
        <v>59</v>
      </c>
      <c r="D47" s="444">
        <v>45473</v>
      </c>
      <c r="E47" s="1320"/>
      <c r="F47" s="65"/>
    </row>
    <row r="48" spans="2:6" ht="9.9499999999999993" customHeight="1" x14ac:dyDescent="0.25">
      <c r="B48" s="4"/>
      <c r="C48" s="5"/>
      <c r="D48" s="64"/>
      <c r="E48" s="64"/>
      <c r="F48" s="65"/>
    </row>
    <row r="49" spans="2:6" x14ac:dyDescent="0.25">
      <c r="B49" s="4"/>
      <c r="C49" s="23" t="s">
        <v>63</v>
      </c>
      <c r="D49" s="28"/>
      <c r="E49" s="28"/>
      <c r="F49" s="60"/>
    </row>
    <row r="50" spans="2:6" x14ac:dyDescent="0.25">
      <c r="B50" s="4"/>
      <c r="C50" s="5" t="s">
        <v>61</v>
      </c>
      <c r="D50" s="64"/>
      <c r="E50" s="28"/>
      <c r="F50" s="60"/>
    </row>
    <row r="51" spans="2:6" x14ac:dyDescent="0.25">
      <c r="B51" s="4"/>
      <c r="C51" s="5" t="s">
        <v>62</v>
      </c>
      <c r="D51" s="28"/>
      <c r="E51" s="28"/>
      <c r="F51" s="60"/>
    </row>
    <row r="52" spans="2:6" x14ac:dyDescent="0.25">
      <c r="B52" s="4"/>
      <c r="C52" s="5" t="s">
        <v>36</v>
      </c>
      <c r="D52" s="28"/>
      <c r="E52" s="28"/>
      <c r="F52" s="60"/>
    </row>
    <row r="53" spans="2:6" x14ac:dyDescent="0.25">
      <c r="B53" s="4"/>
      <c r="C53" s="5" t="s">
        <v>18418</v>
      </c>
      <c r="D53" s="28"/>
      <c r="E53" s="28"/>
      <c r="F53" s="60"/>
    </row>
    <row r="54" spans="2:6" x14ac:dyDescent="0.25">
      <c r="B54" s="4"/>
      <c r="C54" s="5" t="s">
        <v>59</v>
      </c>
      <c r="D54" s="444">
        <v>45473</v>
      </c>
      <c r="E54" s="28"/>
      <c r="F54" s="60"/>
    </row>
    <row r="55" spans="2:6" ht="9.9499999999999993" customHeight="1" x14ac:dyDescent="0.25">
      <c r="B55" s="4"/>
      <c r="C55" s="5"/>
      <c r="D55" s="28"/>
      <c r="E55" s="28"/>
      <c r="F55" s="60"/>
    </row>
    <row r="56" spans="2:6" x14ac:dyDescent="0.25">
      <c r="B56" s="4"/>
      <c r="C56" s="23" t="s">
        <v>64</v>
      </c>
      <c r="D56" s="28"/>
      <c r="E56" s="28"/>
      <c r="F56" s="60"/>
    </row>
    <row r="57" spans="2:6" x14ac:dyDescent="0.25">
      <c r="B57" s="4"/>
      <c r="C57" s="5" t="s">
        <v>61</v>
      </c>
      <c r="D57" s="64"/>
      <c r="E57" s="28"/>
      <c r="F57" s="60"/>
    </row>
    <row r="58" spans="2:6" x14ac:dyDescent="0.25">
      <c r="B58" s="4"/>
      <c r="C58" s="5" t="s">
        <v>62</v>
      </c>
      <c r="D58" s="28"/>
      <c r="E58" s="28"/>
      <c r="F58" s="60"/>
    </row>
    <row r="59" spans="2:6" x14ac:dyDescent="0.25">
      <c r="B59" s="4"/>
      <c r="C59" s="5" t="s">
        <v>36</v>
      </c>
      <c r="D59" s="28"/>
      <c r="E59" s="28"/>
      <c r="F59" s="60"/>
    </row>
    <row r="60" spans="2:6" x14ac:dyDescent="0.25">
      <c r="B60" s="4"/>
      <c r="C60" s="5" t="s">
        <v>18418</v>
      </c>
      <c r="D60" s="28"/>
      <c r="E60" s="28"/>
      <c r="F60" s="60"/>
    </row>
    <row r="61" spans="2:6" x14ac:dyDescent="0.25">
      <c r="B61" s="4"/>
      <c r="C61" s="5" t="s">
        <v>59</v>
      </c>
      <c r="D61" s="444"/>
      <c r="E61" s="28"/>
      <c r="F61" s="60"/>
    </row>
    <row r="62" spans="2:6" ht="9.9499999999999993" customHeight="1" x14ac:dyDescent="0.25">
      <c r="B62" s="4"/>
      <c r="C62" s="5"/>
      <c r="D62" s="20"/>
      <c r="E62" s="20"/>
      <c r="F62" s="58"/>
    </row>
    <row r="63" spans="2:6" x14ac:dyDescent="0.25">
      <c r="B63" s="4"/>
      <c r="C63" s="5" t="s">
        <v>41</v>
      </c>
      <c r="D63" s="20"/>
      <c r="E63" s="20"/>
      <c r="F63" s="58"/>
    </row>
    <row r="64" spans="2:6" x14ac:dyDescent="0.25">
      <c r="B64" s="4"/>
      <c r="C64" s="5" t="s">
        <v>42</v>
      </c>
      <c r="D64" s="1099" t="s">
        <v>67</v>
      </c>
      <c r="E64" s="20"/>
      <c r="F64" s="58"/>
    </row>
    <row r="65" spans="2:6" x14ac:dyDescent="0.25">
      <c r="B65" s="4"/>
      <c r="C65" s="5" t="s">
        <v>254</v>
      </c>
      <c r="D65" s="1099" t="s">
        <v>67</v>
      </c>
      <c r="E65" s="20"/>
      <c r="F65" s="58"/>
    </row>
    <row r="66" spans="2:6" x14ac:dyDescent="0.25">
      <c r="B66" s="4"/>
      <c r="C66" s="5" t="s">
        <v>65</v>
      </c>
      <c r="D66" s="1099" t="s">
        <v>67</v>
      </c>
      <c r="E66" s="20"/>
      <c r="F66" s="58"/>
    </row>
    <row r="67" spans="2:6" ht="9.9499999999999993" customHeight="1" x14ac:dyDescent="0.25">
      <c r="B67" s="4"/>
      <c r="C67" s="5"/>
      <c r="D67" s="28"/>
      <c r="E67" s="28"/>
      <c r="F67" s="60"/>
    </row>
    <row r="68" spans="2:6" ht="16.5" x14ac:dyDescent="0.3">
      <c r="B68" s="4"/>
      <c r="C68" s="17" t="s">
        <v>71</v>
      </c>
      <c r="D68" s="26"/>
      <c r="E68" s="26"/>
      <c r="F68" s="59"/>
    </row>
    <row r="69" spans="2:6" ht="9.9499999999999993" customHeight="1" x14ac:dyDescent="0.3">
      <c r="B69" s="4"/>
      <c r="C69" s="22"/>
      <c r="D69" s="27"/>
      <c r="E69" s="27"/>
      <c r="F69" s="59"/>
    </row>
    <row r="70" spans="2:6" x14ac:dyDescent="0.25">
      <c r="B70" s="4"/>
      <c r="C70" s="5" t="s">
        <v>6</v>
      </c>
      <c r="D70" s="28" t="s">
        <v>19963</v>
      </c>
      <c r="E70" s="28"/>
      <c r="F70" s="60"/>
    </row>
    <row r="71" spans="2:6" x14ac:dyDescent="0.25">
      <c r="B71" s="4"/>
      <c r="C71" s="5" t="s">
        <v>7</v>
      </c>
      <c r="D71" s="28" t="s">
        <v>20038</v>
      </c>
      <c r="E71" s="28"/>
      <c r="F71" s="60"/>
    </row>
    <row r="72" spans="2:6" x14ac:dyDescent="0.25">
      <c r="B72" s="4"/>
      <c r="C72" s="5" t="s">
        <v>833</v>
      </c>
      <c r="D72" s="28" t="s">
        <v>20038</v>
      </c>
      <c r="E72" s="28"/>
      <c r="F72" s="60"/>
    </row>
    <row r="73" spans="2:6" x14ac:dyDescent="0.25">
      <c r="B73" s="4"/>
      <c r="C73" s="5" t="s">
        <v>8</v>
      </c>
      <c r="D73" s="28" t="inlineStr">
        <is>
          <t xml:space="preserve">5800 Franklin St &amp; 1609-1805 E 58th Ave</t>
        </is>
      </c>
      <c r="E73" s="28"/>
      <c r="F73" s="60"/>
    </row>
    <row r="74" spans="2:6" x14ac:dyDescent="0.25">
      <c r="B74" s="4"/>
      <c r="C74" s="5" t="s">
        <v>9</v>
      </c>
      <c r="D74" s="28" t="s">
        <v>20024</v>
      </c>
      <c r="E74" s="28"/>
      <c r="F74" s="60"/>
    </row>
    <row r="75" spans="2:6" x14ac:dyDescent="0.25">
      <c r="B75" s="4"/>
      <c r="C75" s="18" t="str">
        <f>IF(Subject_State="Louisiana","Parish","County")</f>
        <v>County</v>
      </c>
      <c r="D75" s="28" t="s">
        <v>20018</v>
      </c>
      <c r="E75" s="28"/>
      <c r="F75" s="60"/>
    </row>
    <row r="76" spans="2:6" x14ac:dyDescent="0.25">
      <c r="B76" s="4"/>
      <c r="C76" s="18" t="s">
        <v>21</v>
      </c>
      <c r="D76" s="28" t="s">
        <v>17417</v>
      </c>
      <c r="E76" s="28"/>
      <c r="F76" s="60"/>
    </row>
    <row r="77" spans="2:6" x14ac:dyDescent="0.25">
      <c r="B77" s="4"/>
      <c r="C77" s="18" t="s">
        <v>22</v>
      </c>
      <c r="D77" s="476" t="inlineStr">
        <is>
          <t xml:space="preserve">80022</t>
        </is>
      </c>
      <c r="E77" s="28"/>
      <c r="F77" s="60"/>
    </row>
    <row r="78" spans="2:6" x14ac:dyDescent="0.25">
      <c r="B78" s="4"/>
      <c r="C78" s="18" t="s">
        <v>75</v>
      </c>
      <c r="D78" s="28" t="inlineStr">
        <is>
          <t xml:space="preserve">Denver-Aurora-Lakewood</t>
        </is>
      </c>
      <c r="E78" s="28"/>
      <c r="F78" s="60"/>
    </row>
    <row r="79" spans="2:6" x14ac:dyDescent="0.25">
      <c r="B79" s="4"/>
      <c r="C79" s="18" t="s">
        <v>760</v>
      </c>
      <c r="D79" s="28">
        <v>39.8031</v>
      </c>
      <c r="E79" s="28"/>
      <c r="F79" s="60"/>
    </row>
    <row r="80" spans="2:6" x14ac:dyDescent="0.25">
      <c r="B80" s="4"/>
      <c r="C80" s="18" t="s">
        <v>753</v>
      </c>
      <c r="D80" s="28">
        <v>-104.9614</v>
      </c>
      <c r="E80" s="28"/>
      <c r="F80" s="60"/>
    </row>
    <row r="81" spans="2:6" x14ac:dyDescent="0.25">
      <c r="B81" s="4"/>
      <c r="C81" s="18" t="s">
        <v>752</v>
      </c>
      <c r="D81" s="28" t="inlineStr">
        <is>
          <t xml:space="preserve">N/Av</t>
        </is>
      </c>
      <c r="E81" s="28"/>
      <c r="F81" s="60"/>
    </row>
    <row r="82" spans="2:6" x14ac:dyDescent="0.25">
      <c r="B82" s="4"/>
      <c r="C82" s="18" t="s">
        <v>772</v>
      </c>
      <c r="D82" s="28" t="s">
        <v>20112</v>
      </c>
      <c r="E82" s="28"/>
      <c r="F82" s="60"/>
    </row>
    <row r="83" spans="2:6" x14ac:dyDescent="0.25">
      <c r="B83" s="4"/>
      <c r="C83" s="18" t="s">
        <v>775</v>
      </c>
      <c r="D83" s="28" t="s">
        <v>20113</v>
      </c>
      <c r="E83" s="28"/>
      <c r="F83" s="60"/>
    </row>
    <row r="84" spans="2:6" x14ac:dyDescent="0.25">
      <c r="B84" s="4"/>
      <c r="C84" s="18" t="s">
        <v>309</v>
      </c>
      <c r="D84" s="28"/>
      <c r="E84" s="28"/>
      <c r="F84" s="60"/>
    </row>
    <row r="85" spans="2:6" x14ac:dyDescent="0.25">
      <c r="B85" s="4"/>
      <c r="C85" s="5" t="s">
        <v>10</v>
      </c>
      <c r="D85" s="28">
        <v>1973</v>
      </c>
      <c r="E85" s="28"/>
      <c r="F85" s="60"/>
    </row>
    <row r="86" spans="2:6" x14ac:dyDescent="0.25">
      <c r="B86" s="4"/>
      <c r="C86" s="5" t="s">
        <v>1009</v>
      </c>
      <c r="D86" s="28" t="inlineStr">
        <is>
          <t xml:space="preserve">1973 - 1986</t>
        </is>
      </c>
      <c r="E86" s="28"/>
      <c r="F86" s="60"/>
    </row>
    <row r="87" spans="2:6" x14ac:dyDescent="0.25">
      <c r="B87" s="4"/>
      <c r="C87" s="5" t="s">
        <v>77</v>
      </c>
      <c r="D87" s="28" t="s">
        <v>306</v>
      </c>
      <c r="E87" s="28"/>
      <c r="F87" s="60"/>
    </row>
    <row r="88" spans="2:6" x14ac:dyDescent="0.25">
      <c r="B88" s="4"/>
      <c r="C88" s="5" t="s">
        <v>288</v>
      </c>
      <c r="D88" s="28" t="s">
        <v>1460</v>
      </c>
      <c r="E88" s="28"/>
      <c r="F88" s="60"/>
    </row>
    <row r="89" spans="2:6" x14ac:dyDescent="0.25">
      <c r="B89" s="4"/>
      <c r="C89" s="5" t="s">
        <v>307</v>
      </c>
      <c r="D89" s="28" t="s">
        <v>1878</v>
      </c>
      <c r="E89" s="28"/>
      <c r="F89" s="60"/>
    </row>
    <row r="90" spans="2:6" x14ac:dyDescent="0.25">
      <c r="B90" s="4"/>
      <c r="C90" s="1080" t="s">
        <v>1789</v>
      </c>
      <c r="D90" s="28" t="s">
        <v>18934</v>
      </c>
      <c r="E90" s="28"/>
      <c r="F90" s="60"/>
    </row>
    <row r="91" spans="2:6" x14ac:dyDescent="0.25">
      <c r="B91" s="4"/>
      <c r="C91" s="5" t="s">
        <v>308</v>
      </c>
      <c r="D91" s="28" t="s">
        <v>1878</v>
      </c>
      <c r="E91" s="28"/>
      <c r="F91" s="60"/>
    </row>
    <row r="92" spans="2:6" x14ac:dyDescent="0.25">
      <c r="B92" s="4"/>
      <c r="C92" s="5" t="s">
        <v>743</v>
      </c>
      <c r="D92" s="28" t="s">
        <v>18935</v>
      </c>
      <c r="E92" s="28"/>
      <c r="F92" s="60"/>
    </row>
    <row r="93" spans="2:6" x14ac:dyDescent="0.25">
      <c r="B93" s="4"/>
      <c r="C93" s="5" t="s">
        <v>769</v>
      </c>
      <c r="D93" s="28" t="inlineStr">
        <is>
          <t xml:space="preserve">Leased</t>
        </is>
      </c>
      <c r="E93" s="28"/>
      <c r="F93" s="60"/>
    </row>
    <row r="94" spans="2:6" x14ac:dyDescent="0.25">
      <c r="B94" s="4"/>
      <c r="C94" s="5" t="s">
        <v>18320</v>
      </c>
      <c r="D94" s="2928">
        <v>0.991</v>
      </c>
      <c r="E94" s="28"/>
      <c r="F94" s="60"/>
    </row>
    <row r="95" spans="2:6" ht="9.9499999999999993" customHeight="1" x14ac:dyDescent="0.25">
      <c r="B95" s="4"/>
      <c r="C95" s="5"/>
      <c r="D95" s="28"/>
      <c r="E95" s="28"/>
      <c r="F95" s="60"/>
    </row>
    <row r="96" spans="2:6" x14ac:dyDescent="0.25">
      <c r="B96" s="4"/>
      <c r="C96" s="21" t="s">
        <v>37</v>
      </c>
      <c r="D96" s="28"/>
      <c r="E96" s="28"/>
      <c r="F96" s="60"/>
    </row>
    <row r="97" spans="2:6" x14ac:dyDescent="0.25">
      <c r="B97" s="4"/>
      <c r="C97" s="1080" t="s">
        <v>1288</v>
      </c>
      <c r="D97" s="170">
        <v>688405</v>
      </c>
      <c r="E97" s="28"/>
      <c r="F97" s="60"/>
    </row>
    <row r="98" spans="2:6" x14ac:dyDescent="0.25">
      <c r="B98" s="4"/>
      <c r="C98" s="1080" t="s">
        <v>1286</v>
      </c>
      <c r="D98" s="669">
        <f>+Subject_LandPrimary_UsableSF/43560</f>
        <v>0.99173553719008267</v>
      </c>
      <c r="E98" s="28"/>
      <c r="F98" s="60"/>
    </row>
    <row r="99" spans="2:6" x14ac:dyDescent="0.25">
      <c r="B99" s="4"/>
      <c r="C99" s="1080" t="s">
        <v>1289</v>
      </c>
      <c r="D99" s="170">
        <v>688405</v>
      </c>
      <c r="E99" s="28"/>
      <c r="F99" s="60"/>
    </row>
    <row r="100" spans="2:6" x14ac:dyDescent="0.25">
      <c r="B100" s="4"/>
      <c r="C100" s="1080" t="s">
        <v>1287</v>
      </c>
      <c r="D100" s="669">
        <f>D99/43560</f>
        <v>0.99173553719008267</v>
      </c>
      <c r="E100" s="28"/>
      <c r="F100" s="60"/>
    </row>
    <row r="101" spans="2:6" x14ac:dyDescent="0.25">
      <c r="B101" s="4"/>
      <c r="C101" s="1080" t="s">
        <v>1282</v>
      </c>
      <c r="D101" s="170">
        <v>0</v>
      </c>
      <c r="E101" s="28"/>
      <c r="F101" s="60"/>
    </row>
    <row r="102" spans="2:6" x14ac:dyDescent="0.25">
      <c r="B102" s="4"/>
      <c r="C102" s="1080" t="s">
        <v>1283</v>
      </c>
      <c r="D102" s="669">
        <f>D101/43560</f>
        <v>0</v>
      </c>
      <c r="E102" s="28"/>
      <c r="F102" s="60"/>
    </row>
    <row r="103" spans="2:6" x14ac:dyDescent="0.25">
      <c r="B103" s="4"/>
      <c r="C103" s="1080" t="s">
        <v>1284</v>
      </c>
      <c r="D103" s="170">
        <v>0</v>
      </c>
      <c r="E103" s="28"/>
      <c r="F103" s="60"/>
    </row>
    <row r="104" spans="2:6" x14ac:dyDescent="0.25">
      <c r="B104" s="4"/>
      <c r="C104" s="333" t="s">
        <v>1285</v>
      </c>
      <c r="D104" s="1115">
        <f>D103/43560</f>
        <v>0</v>
      </c>
      <c r="E104" s="28"/>
      <c r="F104" s="60"/>
    </row>
    <row r="105" spans="2:6" x14ac:dyDescent="0.25">
      <c r="B105" s="4"/>
      <c r="C105" s="5" t="s">
        <v>970</v>
      </c>
      <c r="D105" s="714">
        <f>IF(AND(Subject_LandExcessAcres="N/A",Subject_LandSurplusAcres="N/A"),Subject_LandPrimary_UsableAcres,IF(Subject_LandExcessAcres="N/A",Subject_LandPrimary_UsableAcres+Subject_LandSurplusAcres,IF(Subject_LandSurplusAcres="N/A",Subject_LandPrimary_UsableAcres+Subject_LandExcessAcres,Subject_LandPrimary_UsableAcres+Subject_LandSurplusAcres+Subject_LandExcessAcres)))</f>
        <v>0.99173553719008267</v>
      </c>
      <c r="E105" s="28"/>
      <c r="F105" s="60"/>
    </row>
    <row r="106" spans="2:6" x14ac:dyDescent="0.25">
      <c r="B106" s="4"/>
      <c r="C106" s="5" t="s">
        <v>971</v>
      </c>
      <c r="D106" s="714">
        <f>IF(AND(Subject_LandExcessAcres="N/A",Subject_LandSurplusAcres="N/A"),Subject_LandPrimary_GrossAcres,IF(Subject_LandExcessAcres="N/A",Subject_LandPrimary_UsableAcres+Subject_LandSurplusAcres,IF(Subject_LandSurplusAcres="N/A",Subject_LandPrimary_GrossAcres+Subject_LandExcessAcres,Subject_LandPrimary_GrossAcres+Subject_LandSurplusAcres+Subject_LandExcessAcres)))</f>
        <v>0.99173553719008267</v>
      </c>
      <c r="E106" s="28"/>
      <c r="F106" s="60"/>
    </row>
    <row r="107" spans="2:6" x14ac:dyDescent="0.25">
      <c r="B107" s="4"/>
      <c r="C107" s="5" t="s">
        <v>841</v>
      </c>
      <c r="D107" s="170">
        <v>0</v>
      </c>
      <c r="E107" s="28"/>
      <c r="F107" s="60"/>
    </row>
    <row r="108" spans="2:6" x14ac:dyDescent="0.25">
      <c r="B108" s="4"/>
      <c r="C108" s="5" t="s">
        <v>1024</v>
      </c>
      <c r="D108" s="170">
        <v>7</v>
      </c>
      <c r="E108" s="28"/>
      <c r="F108" s="60"/>
    </row>
    <row r="109" spans="2:6" x14ac:dyDescent="0.25">
      <c r="B109" s="4"/>
      <c r="C109" s="18" t="s">
        <v>1059</v>
      </c>
      <c r="D109" s="170">
        <v>0</v>
      </c>
      <c r="E109" s="28"/>
      <c r="F109" s="60"/>
    </row>
    <row r="110" spans="2:6" ht="10.15" customHeight="1" x14ac:dyDescent="0.25">
      <c r="B110" s="4"/>
      <c r="C110" s="5"/>
      <c r="D110" s="28"/>
      <c r="E110" s="28"/>
      <c r="F110" s="60"/>
    </row>
    <row r="111" spans="2:6" x14ac:dyDescent="0.25">
      <c r="B111" s="4"/>
      <c r="C111" s="18" t="s">
        <v>265</v>
      </c>
      <c r="D111" s="28" t="s">
        <v>17917</v>
      </c>
      <c r="E111" s="28"/>
      <c r="F111" s="60"/>
    </row>
    <row r="112" spans="2:6" x14ac:dyDescent="0.25">
      <c r="B112" s="4"/>
      <c r="C112" s="18" t="s">
        <v>99</v>
      </c>
      <c r="D112" s="28" t="s">
        <v>18936</v>
      </c>
      <c r="E112" s="28"/>
      <c r="F112" s="60"/>
    </row>
    <row r="113" spans="2:10" x14ac:dyDescent="0.25">
      <c r="B113" s="4"/>
      <c r="C113" s="5" t="s">
        <v>589</v>
      </c>
      <c r="D113" s="28" t="s">
        <v>18937</v>
      </c>
      <c r="E113" s="28"/>
      <c r="F113" s="60"/>
    </row>
    <row r="114" spans="2:10" x14ac:dyDescent="0.25">
      <c r="B114" s="4"/>
      <c r="C114" s="5" t="s">
        <v>92</v>
      </c>
      <c r="D114" s="28" t="s">
        <v>18938</v>
      </c>
      <c r="E114" s="28"/>
      <c r="F114" s="60"/>
      <c r="J114" s="10">
        <f>+Subject_GBA/Subject_LandPrimary_GrossSF</f>
        <v>5.1044907407407409</v>
      </c>
    </row>
    <row r="115" spans="2:10" x14ac:dyDescent="0.25">
      <c r="B115" s="4"/>
      <c r="C115" s="5" t="s">
        <v>976</v>
      </c>
      <c r="D115" s="28" t="s">
        <v>20011</v>
      </c>
      <c r="E115" s="28"/>
      <c r="F115" s="60"/>
    </row>
    <row r="116" spans="2:10" x14ac:dyDescent="0.25">
      <c r="B116" s="4"/>
      <c r="C116" s="5" t="s">
        <v>100</v>
      </c>
      <c r="D116" s="28" t="s">
        <v>19881</v>
      </c>
      <c r="E116" s="28"/>
      <c r="F116" s="60"/>
    </row>
    <row r="117" spans="2:10" x14ac:dyDescent="0.25">
      <c r="B117" s="4"/>
      <c r="C117" s="5" t="s">
        <v>310</v>
      </c>
      <c r="D117" s="170">
        <v>125</v>
      </c>
      <c r="E117" s="28"/>
      <c r="F117" s="60"/>
    </row>
    <row r="118" spans="2:10" x14ac:dyDescent="0.25">
      <c r="B118" s="4"/>
      <c r="C118" s="5" t="s">
        <v>311</v>
      </c>
      <c r="D118" s="170"/>
      <c r="E118" s="28"/>
      <c r="F118" s="60"/>
      <c r="J118" s="10">
        <f>+Subject_LandPrimary_GrossSF/Subject_GBA</f>
        <v>0.19590592887526415</v>
      </c>
    </row>
    <row r="119" spans="2:10" x14ac:dyDescent="0.25">
      <c r="B119" s="4"/>
      <c r="C119" s="5" t="s">
        <v>1010</v>
      </c>
      <c r="D119" s="170"/>
      <c r="E119" s="28"/>
      <c r="F119" s="60"/>
    </row>
    <row r="120" spans="2:10" ht="9.9499999999999993" customHeight="1" x14ac:dyDescent="0.25">
      <c r="B120" s="4"/>
      <c r="C120" s="5"/>
      <c r="D120" s="66"/>
      <c r="E120" s="66"/>
      <c r="F120" s="67"/>
    </row>
    <row r="121" spans="2:10" x14ac:dyDescent="0.25">
      <c r="B121" s="4"/>
      <c r="C121" s="5" t="s">
        <v>11</v>
      </c>
      <c r="D121" s="30">
        <v>220514</v>
      </c>
      <c r="E121" s="30"/>
      <c r="F121" s="68"/>
    </row>
    <row r="122" spans="2:10" x14ac:dyDescent="0.25">
      <c r="B122" s="4"/>
      <c r="C122" s="5" t="s">
        <v>20</v>
      </c>
      <c r="D122" s="30">
        <v>209207.95</v>
      </c>
      <c r="E122" s="30"/>
      <c r="F122" s="68"/>
    </row>
    <row r="123" spans="2:10" x14ac:dyDescent="0.25">
      <c r="B123" s="4"/>
      <c r="C123" s="63" t="s">
        <v>12</v>
      </c>
      <c r="D123" s="20"/>
      <c r="E123" s="20"/>
      <c r="F123" s="58"/>
    </row>
    <row r="124" spans="2:10" x14ac:dyDescent="0.25">
      <c r="B124" s="4"/>
      <c r="C124" s="18" t="s">
        <v>13</v>
      </c>
      <c r="D124" s="20">
        <v>77</v>
      </c>
      <c r="F124" s="58"/>
    </row>
    <row r="125" spans="2:10" x14ac:dyDescent="0.25">
      <c r="B125" s="4"/>
      <c r="C125" s="18" t="s">
        <v>191</v>
      </c>
      <c r="D125" s="20"/>
      <c r="E125" s="20"/>
      <c r="F125" s="58"/>
    </row>
    <row r="126" spans="2:10" x14ac:dyDescent="0.25">
      <c r="B126" s="4"/>
      <c r="C126" s="18" t="s">
        <v>285</v>
      </c>
      <c r="D126" s="169">
        <v>0.085</v>
      </c>
      <c r="E126" s="20"/>
      <c r="F126" s="58"/>
    </row>
    <row r="127" spans="2:10" x14ac:dyDescent="0.25">
      <c r="B127" s="4"/>
      <c r="C127" s="18" t="s">
        <v>1467</v>
      </c>
      <c r="D127" s="169"/>
      <c r="E127" s="20"/>
      <c r="F127" s="58"/>
    </row>
    <row r="128" spans="2:10" x14ac:dyDescent="0.25">
      <c r="B128" s="4"/>
      <c r="C128" s="18" t="s">
        <v>184</v>
      </c>
      <c r="D128" s="694">
        <v>1</v>
      </c>
      <c r="E128" s="20"/>
      <c r="F128" s="58"/>
    </row>
    <row r="129" spans="2:6" x14ac:dyDescent="0.25">
      <c r="B129" s="4"/>
      <c r="C129" s="18" t="s">
        <v>993</v>
      </c>
      <c r="D129" s="172">
        <v>3.12</v>
      </c>
      <c r="E129" s="20"/>
      <c r="F129" s="58"/>
    </row>
    <row r="130" spans="2:6" x14ac:dyDescent="0.25">
      <c r="B130" s="4"/>
      <c r="C130" s="18" t="s">
        <v>994</v>
      </c>
      <c r="D130" s="172">
        <v>3.12</v>
      </c>
      <c r="E130" s="20"/>
      <c r="F130" s="58"/>
    </row>
    <row r="131" spans="2:6" x14ac:dyDescent="0.25">
      <c r="B131" s="4"/>
      <c r="C131" s="18" t="s">
        <v>770</v>
      </c>
      <c r="D131" s="172"/>
      <c r="E131" s="20"/>
      <c r="F131" s="58"/>
    </row>
    <row r="132" spans="2:6" x14ac:dyDescent="0.25">
      <c r="B132" s="4"/>
      <c r="C132" s="18" t="s">
        <v>68</v>
      </c>
      <c r="D132" s="20">
        <v>30</v>
      </c>
      <c r="E132" s="20"/>
      <c r="F132" s="58"/>
    </row>
    <row r="133" spans="2:6" x14ac:dyDescent="0.25">
      <c r="B133" s="4"/>
      <c r="C133" s="18" t="s">
        <v>69</v>
      </c>
      <c r="D133" s="30"/>
      <c r="E133" s="20"/>
      <c r="F133" s="58"/>
    </row>
    <row r="134" spans="2:6" x14ac:dyDescent="0.25">
      <c r="B134" s="4"/>
      <c r="C134" s="69" t="s">
        <v>70</v>
      </c>
      <c r="D134" s="70">
        <v>13</v>
      </c>
      <c r="E134" s="30"/>
      <c r="F134" s="68"/>
    </row>
    <row r="135" spans="2:6" x14ac:dyDescent="0.25">
      <c r="B135" s="4"/>
      <c r="C135" s="5" t="s">
        <v>1018</v>
      </c>
      <c r="D135" s="1375">
        <v>2.95</v>
      </c>
      <c r="E135" s="30"/>
      <c r="F135" s="68"/>
    </row>
    <row r="136" spans="2:6" x14ac:dyDescent="0.25">
      <c r="B136" s="4"/>
      <c r="C136" s="5" t="s">
        <v>14</v>
      </c>
      <c r="D136" s="20">
        <v>12</v>
      </c>
      <c r="E136" s="20"/>
      <c r="F136" s="58"/>
    </row>
    <row r="137" spans="2:6" x14ac:dyDescent="0.25">
      <c r="B137" s="4"/>
      <c r="C137" s="5"/>
      <c r="D137" s="20"/>
      <c r="E137" s="20"/>
      <c r="F137" s="58"/>
    </row>
    <row r="138" spans="2:6" x14ac:dyDescent="0.25">
      <c r="B138" s="4"/>
      <c r="C138" s="5" t="s">
        <v>17</v>
      </c>
      <c r="D138" s="20">
        <v>0</v>
      </c>
      <c r="E138" s="20"/>
      <c r="F138" s="58"/>
    </row>
    <row r="139" spans="2:6" x14ac:dyDescent="0.25">
      <c r="B139" s="4"/>
      <c r="C139" s="5" t="s">
        <v>18</v>
      </c>
      <c r="D139" s="20">
        <v>45</v>
      </c>
      <c r="E139" s="20"/>
      <c r="F139" s="58"/>
    </row>
    <row r="140" spans="2:6" x14ac:dyDescent="0.25">
      <c r="B140" s="4"/>
      <c r="C140" s="5" t="s">
        <v>19</v>
      </c>
      <c r="D140" s="20">
        <v>45</v>
      </c>
      <c r="E140" s="20"/>
      <c r="F140" s="58"/>
    </row>
    <row r="141" spans="2:6" ht="9.9499999999999993" customHeight="1" x14ac:dyDescent="0.25">
      <c r="B141" s="4"/>
      <c r="C141" s="5"/>
      <c r="D141" s="20"/>
      <c r="E141" s="20"/>
      <c r="F141" s="58"/>
    </row>
    <row r="142" spans="2:6" x14ac:dyDescent="0.25">
      <c r="B142" s="4"/>
      <c r="C142" s="5" t="s">
        <v>1020</v>
      </c>
      <c r="D142" s="20"/>
      <c r="E142" s="20"/>
      <c r="F142" s="58"/>
    </row>
    <row r="143" spans="2:6" ht="9.9499999999999993" customHeight="1" x14ac:dyDescent="0.25">
      <c r="B143" s="4"/>
      <c r="C143" s="5"/>
      <c r="D143" s="20"/>
      <c r="E143" s="20"/>
      <c r="F143" s="58"/>
    </row>
    <row r="144" spans="2:6" x14ac:dyDescent="0.25">
      <c r="B144" s="4"/>
      <c r="C144" s="18" t="s">
        <v>78</v>
      </c>
      <c r="D144" s="20" t="s">
        <v>20116</v>
      </c>
      <c r="E144" s="20"/>
      <c r="F144" s="58"/>
    </row>
    <row r="145" spans="2:6" x14ac:dyDescent="0.25">
      <c r="B145" s="4"/>
      <c r="C145" s="18" t="s">
        <v>79</v>
      </c>
      <c r="D145" s="20" t="s">
        <v>20076</v>
      </c>
      <c r="E145" s="20"/>
      <c r="F145" s="58"/>
    </row>
    <row r="146" spans="2:6" x14ac:dyDescent="0.25">
      <c r="B146" s="4"/>
      <c r="C146" s="18" t="s">
        <v>777</v>
      </c>
      <c r="D146" s="20" t="s">
        <v>20043</v>
      </c>
      <c r="E146" s="20"/>
      <c r="F146" s="58"/>
    </row>
    <row r="147" spans="2:6" x14ac:dyDescent="0.25">
      <c r="B147" s="4"/>
      <c r="C147" s="18" t="s">
        <v>778</v>
      </c>
      <c r="D147" s="20" t="s">
        <v>20117</v>
      </c>
      <c r="E147" s="20"/>
      <c r="F147" s="58"/>
    </row>
    <row r="148" spans="2:6" ht="9.9499999999999993" customHeight="1" x14ac:dyDescent="0.25">
      <c r="B148" s="4"/>
      <c r="C148" s="18"/>
      <c r="D148" s="20"/>
      <c r="E148" s="20"/>
      <c r="F148" s="58"/>
    </row>
    <row r="149" spans="2:6" x14ac:dyDescent="0.25">
      <c r="B149" s="4"/>
      <c r="C149" s="18" t="s">
        <v>667</v>
      </c>
      <c r="D149" s="20" t="s">
        <v>18939</v>
      </c>
      <c r="E149" s="20"/>
      <c r="F149" s="58"/>
    </row>
    <row r="150" spans="2:6" x14ac:dyDescent="0.25">
      <c r="B150" s="4"/>
      <c r="C150" s="18" t="s">
        <v>664</v>
      </c>
      <c r="D150" s="20" t="s">
        <v>18940</v>
      </c>
      <c r="E150" s="20"/>
      <c r="F150" s="58"/>
    </row>
    <row r="151" spans="2:6" x14ac:dyDescent="0.25">
      <c r="B151" s="4"/>
      <c r="C151" s="18" t="s">
        <v>665</v>
      </c>
      <c r="D151" s="20" t="s">
        <v>18941</v>
      </c>
      <c r="E151" s="20"/>
      <c r="F151" s="58"/>
    </row>
    <row r="152" spans="2:6" x14ac:dyDescent="0.25">
      <c r="B152" s="4"/>
      <c r="C152" s="18" t="s">
        <v>666</v>
      </c>
      <c r="D152" s="20"/>
      <c r="E152" s="20"/>
      <c r="F152" s="58"/>
    </row>
    <row r="153" spans="2:6" x14ac:dyDescent="0.25">
      <c r="B153" s="4"/>
      <c r="C153" s="18" t="s">
        <v>668</v>
      </c>
      <c r="D153" s="20" t="s">
        <v>18939</v>
      </c>
      <c r="E153" s="20"/>
      <c r="F153" s="58"/>
    </row>
    <row r="154" spans="2:6" x14ac:dyDescent="0.25">
      <c r="B154" s="4"/>
      <c r="C154" s="18" t="s">
        <v>669</v>
      </c>
      <c r="D154" s="20" t="s">
        <v>18942</v>
      </c>
      <c r="E154" s="20"/>
      <c r="F154" s="58"/>
    </row>
    <row r="155" spans="2:6" x14ac:dyDescent="0.25">
      <c r="B155" s="4"/>
      <c r="C155" s="18" t="s">
        <v>670</v>
      </c>
      <c r="D155" s="20"/>
      <c r="E155" s="20"/>
      <c r="F155" s="58"/>
    </row>
    <row r="156" spans="2:6" x14ac:dyDescent="0.25">
      <c r="B156" s="4"/>
      <c r="C156" s="18" t="s">
        <v>671</v>
      </c>
      <c r="D156" s="20"/>
      <c r="E156" s="20"/>
      <c r="F156" s="58"/>
    </row>
    <row r="157" spans="2:6" x14ac:dyDescent="0.25">
      <c r="B157" s="4"/>
      <c r="C157" s="18" t="s">
        <v>978</v>
      </c>
      <c r="D157" s="20" t="s">
        <v>18943</v>
      </c>
      <c r="E157" s="20"/>
      <c r="F157" s="58"/>
    </row>
    <row r="158" spans="2:6" x14ac:dyDescent="0.25">
      <c r="B158" s="4"/>
      <c r="C158" s="18" t="s">
        <v>979</v>
      </c>
      <c r="D158" s="20" t="s">
        <v>18943</v>
      </c>
      <c r="E158" s="20"/>
      <c r="F158" s="58"/>
    </row>
    <row r="159" spans="2:6" ht="20.25" x14ac:dyDescent="0.35">
      <c r="B159" s="4"/>
      <c r="C159" s="18" t="s">
        <v>684</v>
      </c>
      <c r="D159" s="3791" t="inlineStr">
        <is>
          <t xml:space="preserve">R0103784, R0103785, R0103786, R0103787, R0103788, R0103789, R0103790</t>
        </is>
      </c>
      <c r="E159" s="20"/>
      <c r="F159" s="58"/>
    </row>
    <row r="160" spans="2:6" ht="9.9499999999999993" customHeight="1" x14ac:dyDescent="0.25">
      <c r="B160" s="4"/>
      <c r="C160" s="5"/>
      <c r="D160" s="20"/>
      <c r="E160" s="20"/>
      <c r="F160" s="58"/>
    </row>
    <row r="161" spans="2:6" ht="16.5" x14ac:dyDescent="0.3">
      <c r="B161" s="4"/>
      <c r="C161" s="17" t="s">
        <v>66</v>
      </c>
      <c r="F161" s="58"/>
    </row>
    <row r="162" spans="2:6" ht="10.15" customHeight="1" x14ac:dyDescent="0.25">
      <c r="B162" s="4"/>
      <c r="C162" s="5"/>
      <c r="D162" s="20"/>
      <c r="E162" s="20"/>
      <c r="F162" s="58"/>
    </row>
    <row r="163" spans="2:6" x14ac:dyDescent="0.25">
      <c r="B163" s="4"/>
      <c r="C163" s="4088" t="s">
        <v>199</v>
      </c>
      <c r="D163" s="4088"/>
      <c r="F163" s="58"/>
    </row>
    <row r="164" spans="2:6" x14ac:dyDescent="0.25">
      <c r="B164" s="4"/>
      <c r="C164" s="19" t="s">
        <v>203</v>
      </c>
      <c r="D164" s="20" t="s">
        <v>520</v>
      </c>
      <c r="E164" s="20"/>
      <c r="F164" s="58"/>
    </row>
    <row r="165" spans="2:6" x14ac:dyDescent="0.25">
      <c r="B165" s="4"/>
      <c r="C165" s="328" t="s">
        <v>202</v>
      </c>
      <c r="D165" s="20" t="s">
        <v>206</v>
      </c>
      <c r="E165" s="20"/>
      <c r="F165" s="58"/>
    </row>
    <row r="166" spans="2:6" x14ac:dyDescent="0.25">
      <c r="B166" s="4"/>
      <c r="C166" s="329" t="s">
        <v>526</v>
      </c>
      <c r="D166" s="20" t="s">
        <v>527</v>
      </c>
      <c r="E166" s="20"/>
      <c r="F166" s="58"/>
    </row>
    <row r="167" spans="2:6" x14ac:dyDescent="0.25">
      <c r="B167" s="4"/>
      <c r="C167" s="19" t="s">
        <v>204</v>
      </c>
      <c r="D167" s="20" t="s">
        <v>206</v>
      </c>
      <c r="E167" s="20"/>
      <c r="F167" s="58"/>
    </row>
    <row r="168" spans="2:6" x14ac:dyDescent="0.25">
      <c r="B168" s="4"/>
      <c r="C168" s="19" t="s">
        <v>200</v>
      </c>
      <c r="D168" s="20">
        <v>-3</v>
      </c>
      <c r="E168" s="20"/>
      <c r="F168" s="58"/>
    </row>
    <row r="169" spans="2:6" x14ac:dyDescent="0.25">
      <c r="B169" s="4"/>
      <c r="C169" s="19" t="s">
        <v>201</v>
      </c>
      <c r="D169" s="20">
        <v>-3</v>
      </c>
      <c r="E169" s="20"/>
      <c r="F169" s="58"/>
    </row>
    <row r="170" spans="2:6" ht="15" thickBot="1" x14ac:dyDescent="0.3">
      <c r="B170" s="8"/>
      <c r="C170" s="7"/>
      <c r="D170" s="29"/>
      <c r="E170" s="29"/>
      <c r="F170" s="71"/>
    </row>
  </sheetData>
  <mergeCells count="2">
    <mergeCell ref="C4:E4"/>
    <mergeCell ref="C163:D163"/>
  </mergeCells>
  <pageMargins left="0.7" right="0.7" top="0.75" bottom="0.75" header="0.3" footer="0.3"/>
  <pageSetup scale="30" fitToHeight="2"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8">
    <tabColor theme="4"/>
    <pageSetUpPr fitToPage="1"/>
  </sheetPr>
  <dimension ref="A1:T89"/>
  <sheetViews>
    <sheetView zoomScaleNormal="100" workbookViewId="0">
      <selection activeCell="B3" sqref="B3:I63"/>
    </sheetView>
  </sheetViews>
  <sheetFormatPr defaultColWidth="9.140625" defaultRowHeight="14.25" x14ac:dyDescent="0.25"/>
  <cols>
    <col min="1" max="1" width="5.7109375" style="96" customWidth="1"/>
    <col min="2" max="2" width="1.7109375" style="10" customWidth="1"/>
    <col min="3" max="3" width="0.85546875" style="10" customWidth="1"/>
    <col min="4" max="4" width="31.5703125" style="10" customWidth="1"/>
    <col min="5" max="5" width="30.28515625" style="10" customWidth="1"/>
    <col min="6" max="6" width="24.7109375" style="10" customWidth="1"/>
    <col min="7" max="7" width="11.7109375" style="10" hidden="1" customWidth="1"/>
    <col min="8" max="8" width="15.85546875" style="10" customWidth="1"/>
    <col min="9" max="9" width="25" style="10" customWidth="1"/>
    <col min="10" max="10" width="5.7109375" style="10" customWidth="1"/>
    <col min="11" max="11" width="1.7109375" style="10" customWidth="1"/>
    <col min="12" max="12" width="0.85546875" style="10" customWidth="1"/>
    <col min="13" max="13" width="40.7109375" style="10" customWidth="1"/>
    <col min="14" max="14" width="25.7109375" style="10" customWidth="1"/>
    <col min="15" max="15" width="32.7109375" style="10" hidden="1" customWidth="1"/>
    <col min="16" max="16" width="15.7109375" style="10" hidden="1" customWidth="1"/>
    <col min="17" max="17" width="0.85546875" style="10" customWidth="1"/>
    <col min="18" max="18" width="1.7109375" style="10" customWidth="1"/>
    <col min="19" max="16384" width="9.140625" style="10"/>
  </cols>
  <sheetData>
    <row r="1" spans="1:9" ht="60" customHeight="1" x14ac:dyDescent="0.25"/>
    <row r="2" spans="1:9" ht="9.9499999999999993" customHeight="1" x14ac:dyDescent="0.25"/>
    <row r="3" spans="1:9" ht="20.100000000000001" customHeight="1" x14ac:dyDescent="0.25">
      <c r="B3" s="4373"/>
      <c r="C3" s="4374"/>
      <c r="D3" s="4374"/>
      <c r="E3" s="4375"/>
      <c r="F3" s="4374"/>
      <c r="G3" s="4374"/>
      <c r="H3" s="4374"/>
      <c r="I3" s="4376"/>
    </row>
    <row r="4" spans="1:9" s="129" customFormat="1" ht="20.100000000000001" customHeight="1" x14ac:dyDescent="0.3">
      <c r="A4" s="677"/>
      <c r="B4" s="4382"/>
      <c r="C4" s="4383"/>
      <c r="D4" s="4384" t="s">
        <v>694</v>
      </c>
      <c r="E4" s="4385"/>
      <c r="F4" s="4383"/>
      <c r="G4" s="4383"/>
      <c r="H4" s="4383"/>
      <c r="I4" s="4386"/>
    </row>
    <row r="5" spans="1:9" ht="20.100000000000001" customHeight="1" x14ac:dyDescent="0.25">
      <c r="A5" s="957">
        <v>1</v>
      </c>
      <c r="B5" s="4387"/>
      <c r="C5" s="4388"/>
      <c r="D5" s="4389" t="s">
        <v>972</v>
      </c>
      <c r="E5" s="4390"/>
      <c r="F5" s="4388"/>
      <c r="G5" s="4388"/>
      <c r="H5" s="4388"/>
      <c r="I5" s="4391"/>
    </row>
    <row r="6" spans="1:9" ht="14.25" hidden="1" customHeight="1" x14ac:dyDescent="0.25">
      <c r="A6" s="957">
        <v>0</v>
      </c>
      <c r="B6" s="4387"/>
      <c r="C6" s="4388"/>
      <c r="D6" s="4392" t="s">
        <v>973</v>
      </c>
      <c r="E6" s="4393" t="str">
        <f>Subject_ClientIDNumber</f>
        <v>25-000142-01-01</v>
      </c>
      <c r="F6" s="4388"/>
      <c r="G6" s="4388"/>
      <c r="H6" s="4388"/>
      <c r="I6" s="4391"/>
    </row>
    <row r="7" spans="1:9" x14ac:dyDescent="0.25">
      <c r="A7" s="957">
        <v>1</v>
      </c>
      <c r="B7" s="4387"/>
      <c r="C7" s="4388"/>
      <c r="D7" s="4394" t="s">
        <v>20009</v>
      </c>
      <c r="E7" s="4394" t="s">
        <v>980</v>
      </c>
      <c r="F7" s="4394" t="str">
        <f>IF(AND(ISERR(FIND("and",Subject_TaxAccounts)),ISERR(FIND("&amp;",Subject_TaxAccounts)))=TRUE,"Tax Parcel Number","Tax Parcel Numbers")</f>
        <v>Tax Parcel Number</v>
      </c>
      <c r="G7" s="4395"/>
      <c r="H7" s="4394" t="str">
        <f>IF(AND(ISERR(FIND("and",Subject_TaxAccounts)),ISERR(FIND("&amp;",Subject_TaxAccounts)))=TRUE,"Property Owner","Property Owners")</f>
        <v>Property Owner</v>
      </c>
      <c r="I7" s="4396"/>
    </row>
    <row r="8" spans="1:9" x14ac:dyDescent="0.25">
      <c r="A8" s="957">
        <v>1</v>
      </c>
      <c r="B8" s="4387"/>
      <c r="C8" s="4388"/>
      <c r="D8" s="4377" t="s">
        <v>20101</v>
      </c>
      <c r="E8" s="4377" t="s">
        <v>20088</v>
      </c>
      <c r="F8" s="4378">
        <v>182511405008</v>
      </c>
      <c r="G8" s="4397"/>
      <c r="H8" s="4377" t="s">
        <v>20108</v>
      </c>
      <c r="I8" s="4391"/>
    </row>
    <row r="9" spans="1:9" x14ac:dyDescent="0.25">
      <c r="A9" s="957">
        <v>1</v>
      </c>
      <c r="B9" s="4387"/>
      <c r="C9" s="4388"/>
      <c r="D9" s="4377" t="s">
        <v>20102</v>
      </c>
      <c r="E9" s="4377" t="s">
        <v>20089</v>
      </c>
      <c r="F9" s="4378">
        <v>182511405009</v>
      </c>
      <c r="G9" s="4397"/>
      <c r="H9" s="4377" t="s">
        <v>20108</v>
      </c>
      <c r="I9" s="4391"/>
    </row>
    <row r="10" spans="1:9" s="36" customFormat="1" ht="14.25" hidden="1" customHeight="1" x14ac:dyDescent="0.25">
      <c r="A10" s="972">
        <v>0</v>
      </c>
      <c r="B10" s="4398"/>
      <c r="C10" s="4399"/>
      <c r="D10" s="4400" t="s">
        <v>759</v>
      </c>
      <c r="E10" s="4401" t="str">
        <f>CONCATENATE(Subject_Latitude,", ",Subject_Longitude)</f>
        <v>26.561524, -81.949277</v>
      </c>
      <c r="F10" s="4378"/>
      <c r="G10" s="4402"/>
      <c r="H10" s="4377"/>
      <c r="I10" s="4403"/>
    </row>
    <row r="11" spans="1:9" s="36" customFormat="1" ht="14.25" hidden="1" customHeight="1" x14ac:dyDescent="0.2">
      <c r="A11" s="972">
        <v>0</v>
      </c>
      <c r="B11" s="4398"/>
      <c r="C11" s="4399"/>
      <c r="D11" s="4400" t="s">
        <v>752</v>
      </c>
      <c r="E11" s="4404">
        <f>IF(Subject_CensusTract="",Subject_CensusTract_2,Subject_CensusTract)</f>
        <v>108.02</v>
      </c>
      <c r="F11" s="4378"/>
      <c r="G11" s="4402"/>
      <c r="H11" s="4377"/>
      <c r="I11" s="4403"/>
    </row>
    <row r="12" spans="1:9" s="36" customFormat="1" ht="14.25" customHeight="1" x14ac:dyDescent="0.25">
      <c r="A12" s="972">
        <v>1</v>
      </c>
      <c r="B12" s="4398"/>
      <c r="C12" s="4399"/>
      <c r="D12" s="4377" t="s">
        <v>20103</v>
      </c>
      <c r="E12" s="4377" t="s">
        <v>20090</v>
      </c>
      <c r="F12" s="4378">
        <v>182511405010</v>
      </c>
      <c r="G12" s="4402"/>
      <c r="H12" s="4377" t="s">
        <v>20108</v>
      </c>
      <c r="I12" s="4403"/>
    </row>
    <row r="13" spans="1:9" s="36" customFormat="1" ht="14.25" customHeight="1" x14ac:dyDescent="0.25">
      <c r="A13" s="972">
        <v>1</v>
      </c>
      <c r="B13" s="4398"/>
      <c r="C13" s="4399"/>
      <c r="D13" s="4377" t="s">
        <v>20104</v>
      </c>
      <c r="E13" s="4377" t="s">
        <v>20091</v>
      </c>
      <c r="F13" s="4378">
        <v>182511405011</v>
      </c>
      <c r="G13" s="4402"/>
      <c r="H13" s="4377" t="s">
        <v>20108</v>
      </c>
      <c r="I13" s="4403"/>
    </row>
    <row r="14" spans="1:9" s="36" customFormat="1" ht="14.25" customHeight="1" x14ac:dyDescent="0.25">
      <c r="A14" s="972"/>
      <c r="B14" s="4398"/>
      <c r="C14" s="4399"/>
      <c r="D14" s="4377" t="s">
        <v>20105</v>
      </c>
      <c r="E14" s="4377" t="s">
        <v>20088</v>
      </c>
      <c r="F14" s="4378">
        <v>182511405012</v>
      </c>
      <c r="G14" s="4402"/>
      <c r="H14" s="4377" t="s">
        <v>20108</v>
      </c>
      <c r="I14" s="4403"/>
    </row>
    <row r="15" spans="1:9" s="36" customFormat="1" ht="14.25" customHeight="1" x14ac:dyDescent="0.25">
      <c r="A15" s="972"/>
      <c r="B15" s="4398"/>
      <c r="C15" s="4399"/>
      <c r="D15" s="4377" t="s">
        <v>20106</v>
      </c>
      <c r="E15" s="4377" t="s">
        <v>20092</v>
      </c>
      <c r="F15" s="4378">
        <v>182511405013</v>
      </c>
      <c r="G15" s="4402"/>
      <c r="H15" s="4377" t="s">
        <v>20108</v>
      </c>
      <c r="I15" s="4403"/>
    </row>
    <row r="16" spans="1:9" s="36" customFormat="1" ht="14.25" customHeight="1" x14ac:dyDescent="0.25">
      <c r="A16" s="972"/>
      <c r="B16" s="4398"/>
      <c r="C16" s="4399"/>
      <c r="D16" s="4377" t="s">
        <v>20107</v>
      </c>
      <c r="E16" s="4377" t="s">
        <v>20093</v>
      </c>
      <c r="F16" s="4378">
        <v>182511405014</v>
      </c>
      <c r="G16" s="4402"/>
      <c r="H16" s="4377" t="s">
        <v>20108</v>
      </c>
      <c r="I16" s="4403"/>
    </row>
    <row r="17" spans="1:13" s="36" customFormat="1" ht="14.25" customHeight="1" x14ac:dyDescent="0.25">
      <c r="A17" s="972"/>
      <c r="B17" s="4398"/>
      <c r="C17" s="4399"/>
      <c r="D17" s="4377"/>
      <c r="E17" s="4405"/>
      <c r="F17" s="4402"/>
      <c r="G17" s="4402"/>
      <c r="H17" s="4402"/>
      <c r="I17" s="4403"/>
    </row>
    <row r="18" spans="1:13" ht="24.95" customHeight="1" x14ac:dyDescent="0.25">
      <c r="A18" s="957">
        <v>1</v>
      </c>
      <c r="B18" s="4387"/>
      <c r="C18" s="4388"/>
      <c r="D18" s="4389" t="s">
        <v>974</v>
      </c>
      <c r="E18" s="4406"/>
      <c r="F18" s="4388"/>
      <c r="G18" s="4388"/>
      <c r="H18" s="4388"/>
      <c r="I18" s="4391"/>
    </row>
    <row r="19" spans="1:13" ht="14.25" customHeight="1" x14ac:dyDescent="0.25">
      <c r="A19" s="957"/>
      <c r="B19" s="4387"/>
      <c r="C19" s="4388"/>
      <c r="D19" s="4394" t="s">
        <v>20009</v>
      </c>
      <c r="E19" s="4394" t="s">
        <v>980</v>
      </c>
      <c r="F19" s="4394" t="str">
        <f>IF(AND(Subject_LandSurplusAcres=0,Subject_LandExcessAcres=0),"Gross Land Area","Primary Gross Land Area")</f>
        <v>Gross Land Area</v>
      </c>
      <c r="G19" s="4394"/>
      <c r="H19" s="4394" t="str">
        <f>IF(AND(Subject_LandSurplusAcres=0,Subject_LandExcessAcres=0),"Usable Land Area","Primary Usable Land Area")</f>
        <v>Usable Land Area</v>
      </c>
      <c r="I19" s="4396"/>
    </row>
    <row r="20" spans="1:13" ht="21.75" customHeight="1" x14ac:dyDescent="0.25">
      <c r="A20" s="957"/>
      <c r="B20" s="4387"/>
      <c r="C20" s="4388"/>
      <c r="D20" s="4377" t="s">
        <v>20101</v>
      </c>
      <c r="E20" s="4377" t="s">
        <v>20088</v>
      </c>
      <c r="F20" s="4407">
        <v>123710</v>
      </c>
      <c r="G20" s="4395"/>
      <c r="H20" s="4407">
        <f t="shared" ref="H20:H26" si="0">F20</f>
        <v>123710</v>
      </c>
      <c r="I20" s="4396"/>
    </row>
    <row r="21" spans="1:13" ht="17.25" customHeight="1" x14ac:dyDescent="0.25">
      <c r="A21" s="957"/>
      <c r="B21" s="4387"/>
      <c r="C21" s="4388"/>
      <c r="D21" s="4377" t="s">
        <v>20102</v>
      </c>
      <c r="E21" s="4377" t="s">
        <v>20089</v>
      </c>
      <c r="F21" s="4407">
        <v>87120</v>
      </c>
      <c r="G21" s="4395"/>
      <c r="H21" s="4407">
        <f t="shared" si="0"/>
        <v>87120</v>
      </c>
      <c r="I21" s="4396"/>
    </row>
    <row r="22" spans="1:13" ht="24.95" customHeight="1" x14ac:dyDescent="0.25">
      <c r="A22" s="957"/>
      <c r="B22" s="4387"/>
      <c r="C22" s="4388"/>
      <c r="D22" s="4377" t="s">
        <v>20103</v>
      </c>
      <c r="E22" s="4377" t="s">
        <v>20090</v>
      </c>
      <c r="F22" s="4407">
        <v>87120</v>
      </c>
      <c r="G22" s="4395"/>
      <c r="H22" s="4407">
        <f t="shared" si="0"/>
        <v>87120</v>
      </c>
      <c r="I22" s="4396"/>
    </row>
    <row r="23" spans="1:13" ht="24.95" customHeight="1" x14ac:dyDescent="0.25">
      <c r="A23" s="957"/>
      <c r="B23" s="4387"/>
      <c r="C23" s="4388"/>
      <c r="D23" s="4377" t="s">
        <v>20104</v>
      </c>
      <c r="E23" s="4377" t="s">
        <v>20091</v>
      </c>
      <c r="F23" s="4407">
        <v>89734</v>
      </c>
      <c r="G23" s="4395"/>
      <c r="H23" s="4407">
        <f t="shared" si="0"/>
        <v>89734</v>
      </c>
      <c r="I23" s="4396"/>
    </row>
    <row r="24" spans="1:13" ht="24.95" customHeight="1" x14ac:dyDescent="0.25">
      <c r="A24" s="957"/>
      <c r="B24" s="4387"/>
      <c r="C24" s="4388"/>
      <c r="D24" s="4377" t="s">
        <v>20105</v>
      </c>
      <c r="E24" s="4377" t="s">
        <v>20088</v>
      </c>
      <c r="F24" s="4407">
        <v>86806</v>
      </c>
      <c r="G24" s="4395"/>
      <c r="H24" s="4407">
        <f t="shared" si="0"/>
        <v>86806</v>
      </c>
      <c r="I24" s="4396"/>
    </row>
    <row r="25" spans="1:13" ht="24.95" customHeight="1" x14ac:dyDescent="0.25">
      <c r="A25" s="957"/>
      <c r="B25" s="4387"/>
      <c r="C25" s="4388"/>
      <c r="D25" s="4377" t="s">
        <v>20106</v>
      </c>
      <c r="E25" s="4377" t="s">
        <v>20092</v>
      </c>
      <c r="F25" s="4407">
        <v>111113</v>
      </c>
      <c r="G25" s="4395"/>
      <c r="H25" s="4407">
        <f t="shared" si="0"/>
        <v>111113</v>
      </c>
      <c r="I25" s="4396"/>
    </row>
    <row r="26" spans="1:13" ht="24.95" customHeight="1" x14ac:dyDescent="0.25">
      <c r="A26" s="957"/>
      <c r="B26" s="4387"/>
      <c r="C26" s="4388"/>
      <c r="D26" s="4377" t="s">
        <v>20107</v>
      </c>
      <c r="E26" s="4377" t="s">
        <v>20093</v>
      </c>
      <c r="F26" s="4407">
        <v>102802</v>
      </c>
      <c r="G26" s="4395"/>
      <c r="H26" s="4407">
        <f t="shared" si="0"/>
        <v>102802</v>
      </c>
      <c r="I26" s="4396"/>
    </row>
    <row r="27" spans="1:13" ht="15.75" customHeight="1" x14ac:dyDescent="0.25">
      <c r="A27" s="957"/>
      <c r="B27" s="4387"/>
      <c r="C27" s="4388"/>
      <c r="D27" s="4408"/>
      <c r="E27" s="4409" t="str">
        <f>IF(AND(Subject_LandSurplusAcres=0,Subject_LandExcessAcres=0),"Gross Land Area","Primary Gross Land Area")</f>
        <v>Gross Land Area</v>
      </c>
      <c r="F27" s="4410">
        <f>SUM(F20:F26)</f>
        <v>688405</v>
      </c>
      <c r="G27" s="4395"/>
      <c r="H27" s="4410">
        <f>SUM(H20:H26)</f>
        <v>688405</v>
      </c>
      <c r="I27" s="4396"/>
    </row>
    <row r="28" spans="1:13" ht="24.95" customHeight="1" x14ac:dyDescent="0.25">
      <c r="A28" s="957"/>
      <c r="B28" s="4387"/>
      <c r="C28" s="4388"/>
      <c r="D28" s="4408"/>
      <c r="E28" s="4409" t="s">
        <v>20109</v>
      </c>
      <c r="F28" s="4411">
        <f>F27/43560</f>
        <v>15.80360422405877</v>
      </c>
      <c r="G28" s="4388"/>
      <c r="H28" s="4411">
        <f>F28</f>
        <v>15.80360422405877</v>
      </c>
      <c r="I28" s="4391"/>
    </row>
    <row r="29" spans="1:13" ht="18" customHeight="1" x14ac:dyDescent="0.25">
      <c r="A29" s="957">
        <v>1</v>
      </c>
      <c r="B29" s="4387"/>
      <c r="C29" s="4388"/>
      <c r="D29" s="4408" t="s">
        <v>76</v>
      </c>
      <c r="E29" s="4393" t="s">
        <v>20114</v>
      </c>
      <c r="F29" s="4388"/>
      <c r="G29" s="4388"/>
      <c r="H29" s="4388"/>
      <c r="I29" s="4391"/>
    </row>
    <row r="30" spans="1:13" ht="14.25" customHeight="1" x14ac:dyDescent="0.25">
      <c r="A30" s="957">
        <v>1</v>
      </c>
      <c r="B30" s="4387"/>
      <c r="C30" s="4388"/>
      <c r="D30" s="4408" t="s">
        <v>975</v>
      </c>
      <c r="E30" s="4393" t="s">
        <v>20073</v>
      </c>
      <c r="F30" s="4388"/>
      <c r="G30" s="4388"/>
      <c r="H30" s="4388"/>
      <c r="I30" s="4391"/>
    </row>
    <row r="31" spans="1:13" x14ac:dyDescent="0.25">
      <c r="A31" s="957">
        <v>1</v>
      </c>
      <c r="B31" s="4387"/>
      <c r="C31" s="4388"/>
      <c r="D31" s="4408" t="s">
        <v>541</v>
      </c>
      <c r="E31" s="4412" t="s">
        <v>19881</v>
      </c>
      <c r="F31" s="4388"/>
      <c r="G31" s="4388"/>
      <c r="H31" s="4388"/>
      <c r="I31" s="4391"/>
      <c r="M31" s="10">
        <f>43200/43560</f>
        <v>0.99173553719008267</v>
      </c>
    </row>
    <row r="32" spans="1:13" hidden="1" x14ac:dyDescent="0.25">
      <c r="A32" s="957">
        <f>IF(E32="",0,1)</f>
        <v>0</v>
      </c>
      <c r="B32" s="4387"/>
      <c r="C32" s="4388"/>
      <c r="D32" s="4392"/>
      <c r="E32" s="4393"/>
      <c r="F32" s="4388"/>
      <c r="G32" s="4388"/>
      <c r="H32" s="4388"/>
      <c r="I32" s="4391"/>
    </row>
    <row r="33" spans="1:20" hidden="1" x14ac:dyDescent="0.25">
      <c r="A33" s="957">
        <f>IF(E33="",0,1)</f>
        <v>0</v>
      </c>
      <c r="B33" s="4387"/>
      <c r="C33" s="4388"/>
      <c r="D33" s="4392"/>
      <c r="E33" s="4393"/>
      <c r="F33" s="4388"/>
      <c r="G33" s="4388"/>
      <c r="H33" s="4388"/>
      <c r="I33" s="4391"/>
    </row>
    <row r="34" spans="1:20" hidden="1" x14ac:dyDescent="0.25">
      <c r="A34" s="957">
        <f>IF(OR(Subject_LandExcessAcres=0,Subject_LandExcessAcres="N/A"),0,1)</f>
        <v>0</v>
      </c>
      <c r="B34" s="4387"/>
      <c r="C34" s="4388"/>
      <c r="D34" s="4408" t="s">
        <v>534</v>
      </c>
      <c r="E34" s="4413" t="str">
        <f>IF(OR(LandUnitDisplay="Gross Square Feet",LandUnitDisplay="Usable Square Feet"),CONCATENATE(TEXT(Subject_LandExcessSF,"#,###")," square feet"),CONCATENATE(TEXT(Subject_LandExcessAcres,"#,##0.000")," acres"))</f>
        <v>0.000 acres</v>
      </c>
      <c r="F34" s="4388"/>
      <c r="G34" s="4388"/>
      <c r="H34" s="4388"/>
      <c r="I34" s="4391"/>
    </row>
    <row r="35" spans="1:20" hidden="1" x14ac:dyDescent="0.25">
      <c r="A35" s="957">
        <f>IF(OR(Subject_LandSurplusAcres=0,Subject_LandSurplusAcres="N/A"),0,1)</f>
        <v>0</v>
      </c>
      <c r="B35" s="4387"/>
      <c r="C35" s="4388"/>
      <c r="D35" s="4408" t="s">
        <v>535</v>
      </c>
      <c r="E35" s="4413" t="str">
        <f>IF(OR(LandUnitDisplay="Gross Square Feet",LandUnitDisplay="Usable Square Feet"),CONCATENATE(TEXT(Subject_LandSurplusSF,"#,###")," square feet"),CONCATENATE(TEXT(Subject_LandSurplusAcres,"#,##0.000")," acres"))</f>
        <v>0.000 acres</v>
      </c>
      <c r="F35" s="4388"/>
      <c r="G35" s="4388"/>
      <c r="H35" s="4388"/>
      <c r="I35" s="4391"/>
    </row>
    <row r="36" spans="1:20" hidden="1" x14ac:dyDescent="0.25">
      <c r="A36" s="957">
        <f>IF(SUM(A34:A35)=0,0,1)</f>
        <v>0</v>
      </c>
      <c r="B36" s="4387"/>
      <c r="C36" s="4388"/>
      <c r="D36" s="4414" t="s">
        <v>38</v>
      </c>
      <c r="E36" s="4415" t="str">
        <f>IF(OR(LandUnitDisplay="Gross Square Feet",LandUnitDisplay="Usable Square Feet"),CONCATENATE(TEXT(SUM(Subject_LandPrimary_GrossSF,Subject_LandExcessSF,Subject_LandSurplusSF),"#,###")," square feet"),CONCATENATE(TEXT(SUM(Subject_LandPrimary_GrossAcres,Subject_LandExcessAcres,Subject_LandSurplusAcres),"#,##0.000")," acres"))</f>
        <v>0.992 acres</v>
      </c>
      <c r="F36" s="4388"/>
      <c r="G36" s="4388"/>
      <c r="H36" s="4388"/>
      <c r="I36" s="4391"/>
    </row>
    <row r="37" spans="1:20" ht="24.95" customHeight="1" x14ac:dyDescent="0.25">
      <c r="A37" s="957">
        <f t="shared" ref="A37:A49" si="1">IF(AND(Subject_LandAppraisal="Yes",dpLand_DemolitionCost=0),0,1)</f>
        <v>1</v>
      </c>
      <c r="B37" s="4387"/>
      <c r="C37" s="4388"/>
      <c r="D37" s="4389" t="str">
        <f ca="1">IF(Subject_Year_Built&gt;YEAR(TODAY()),"Proposed Improvements","Existing Improvements")</f>
        <v>Existing Improvements</v>
      </c>
      <c r="E37" s="4416"/>
      <c r="F37" s="4388"/>
      <c r="G37" s="4388"/>
      <c r="H37" s="4388"/>
      <c r="I37" s="4391"/>
    </row>
    <row r="38" spans="1:20" x14ac:dyDescent="0.25">
      <c r="A38" s="957">
        <f t="shared" si="1"/>
        <v>1</v>
      </c>
      <c r="B38" s="4387"/>
      <c r="C38" s="4388"/>
      <c r="D38" s="4408" t="s">
        <v>833</v>
      </c>
      <c r="E38" s="4417" t="s">
        <v>20074</v>
      </c>
      <c r="F38" s="4388"/>
      <c r="G38" s="4388"/>
      <c r="H38" s="4388"/>
      <c r="I38" s="4391"/>
    </row>
    <row r="39" spans="1:20" hidden="1" x14ac:dyDescent="0.25">
      <c r="A39" s="957">
        <v>0</v>
      </c>
      <c r="B39" s="4387"/>
      <c r="C39" s="4388"/>
      <c r="D39" s="4408" t="s">
        <v>308</v>
      </c>
      <c r="E39" s="4412" t="str">
        <f>Subject_InvestmentClass</f>
        <v>B</v>
      </c>
      <c r="F39" s="4388"/>
      <c r="G39" s="4388"/>
      <c r="H39" s="4388"/>
      <c r="I39" s="4391"/>
    </row>
    <row r="40" spans="1:20" x14ac:dyDescent="0.25">
      <c r="A40" s="957">
        <f t="shared" si="1"/>
        <v>1</v>
      </c>
      <c r="B40" s="4387"/>
      <c r="C40" s="4388"/>
      <c r="D40" s="4408" t="s">
        <v>268</v>
      </c>
      <c r="E40" s="4412" t="s">
        <v>20051</v>
      </c>
      <c r="F40" s="4388"/>
      <c r="G40" s="4388"/>
      <c r="H40" s="4388"/>
      <c r="I40" s="4391"/>
    </row>
    <row r="41" spans="1:20" x14ac:dyDescent="0.25">
      <c r="A41" s="957">
        <f t="shared" si="1"/>
        <v>1</v>
      </c>
      <c r="B41" s="4387"/>
      <c r="C41" s="4388"/>
      <c r="D41" s="4408" t="s">
        <v>536</v>
      </c>
      <c r="E41" s="4418" t="s">
        <v>20111</v>
      </c>
      <c r="F41" s="4388"/>
      <c r="G41" s="4388"/>
      <c r="H41" s="4388"/>
      <c r="I41" s="4391"/>
      <c r="T41" s="10">
        <f>497896/43560</f>
        <v>11.430119375573922</v>
      </c>
    </row>
    <row r="42" spans="1:20" x14ac:dyDescent="0.25">
      <c r="A42" s="957">
        <f t="shared" si="1"/>
        <v>1</v>
      </c>
      <c r="B42" s="4387"/>
      <c r="C42" s="4388"/>
      <c r="D42" s="4408" t="s">
        <v>537</v>
      </c>
      <c r="E42" s="4418">
        <v>209208</v>
      </c>
      <c r="F42" s="4388"/>
      <c r="G42" s="4388"/>
      <c r="H42" s="4388"/>
      <c r="I42" s="4391"/>
    </row>
    <row r="43" spans="1:20" hidden="1" x14ac:dyDescent="0.25">
      <c r="A43" s="957">
        <v>0</v>
      </c>
      <c r="B43" s="4387"/>
      <c r="C43" s="4388"/>
      <c r="D43" s="4408" t="s">
        <v>1131</v>
      </c>
      <c r="E43" s="4419">
        <v>1</v>
      </c>
      <c r="F43" s="4388"/>
      <c r="G43" s="4388"/>
      <c r="H43" s="4388"/>
      <c r="I43" s="4391"/>
    </row>
    <row r="44" spans="1:20" x14ac:dyDescent="0.25">
      <c r="A44" s="957">
        <f t="shared" si="1"/>
        <v>1</v>
      </c>
      <c r="B44" s="4387"/>
      <c r="C44" s="4388"/>
      <c r="D44" s="4408" t="s">
        <v>542</v>
      </c>
      <c r="E44" s="4412">
        <v>4</v>
      </c>
      <c r="F44" s="4388"/>
      <c r="G44" s="4388"/>
      <c r="H44" s="4388"/>
      <c r="I44" s="4391"/>
    </row>
    <row r="45" spans="1:20" x14ac:dyDescent="0.25">
      <c r="A45" s="957">
        <f t="shared" si="1"/>
        <v>1</v>
      </c>
      <c r="B45" s="4387"/>
      <c r="C45" s="4388"/>
      <c r="D45" s="4408" t="s">
        <v>745</v>
      </c>
      <c r="E45" s="4420" t="s">
        <v>20115</v>
      </c>
      <c r="F45" s="4388"/>
      <c r="G45" s="4388"/>
      <c r="H45" s="4388"/>
      <c r="I45" s="4391"/>
    </row>
    <row r="46" spans="1:20" x14ac:dyDescent="0.25">
      <c r="A46" s="957">
        <f t="shared" si="1"/>
        <v>1</v>
      </c>
      <c r="B46" s="4387"/>
      <c r="C46" s="4388"/>
      <c r="D46" s="4408" t="s">
        <v>10</v>
      </c>
      <c r="E46" s="4412">
        <v>1988</v>
      </c>
      <c r="F46" s="4388"/>
      <c r="G46" s="4388"/>
      <c r="H46" s="4388"/>
      <c r="I46" s="4391"/>
    </row>
    <row r="47" spans="1:20" x14ac:dyDescent="0.25">
      <c r="A47" s="957">
        <f t="shared" si="1"/>
        <v>1</v>
      </c>
      <c r="B47" s="4387"/>
      <c r="C47" s="4388"/>
      <c r="D47" s="4408" t="s">
        <v>538</v>
      </c>
      <c r="E47" s="4412" t="s">
        <v>306</v>
      </c>
      <c r="F47" s="4388"/>
      <c r="G47" s="4388"/>
      <c r="H47" s="4388"/>
      <c r="I47" s="4391"/>
    </row>
    <row r="48" spans="1:20" hidden="1" x14ac:dyDescent="0.25">
      <c r="A48" s="957">
        <v>0</v>
      </c>
      <c r="B48" s="4387"/>
      <c r="C48" s="4388"/>
      <c r="D48" s="4408" t="s">
        <v>307</v>
      </c>
      <c r="E48" s="4412" t="str">
        <f>Subject_ConstructionClass</f>
        <v>B</v>
      </c>
      <c r="F48" s="4388"/>
      <c r="G48" s="4388"/>
      <c r="H48" s="4388"/>
      <c r="I48" s="4391"/>
    </row>
    <row r="49" spans="1:9" x14ac:dyDescent="0.25">
      <c r="A49" s="957">
        <f t="shared" si="1"/>
        <v>1</v>
      </c>
      <c r="B49" s="4387"/>
      <c r="C49" s="4388"/>
      <c r="D49" s="4408" t="s">
        <v>288</v>
      </c>
      <c r="E49" s="4412" t="s">
        <v>20075</v>
      </c>
      <c r="F49" s="4388"/>
      <c r="G49" s="4388"/>
      <c r="H49" s="4388"/>
      <c r="I49" s="4391"/>
    </row>
    <row r="50" spans="1:9" hidden="1" x14ac:dyDescent="0.25">
      <c r="A50" s="957">
        <v>0</v>
      </c>
      <c r="B50" s="4387"/>
      <c r="C50" s="4388"/>
      <c r="D50" s="4408" t="s">
        <v>540</v>
      </c>
      <c r="E50" s="4421">
        <f>Subject_PercentOfficeFinish</f>
        <v>7.4999999999999997E-2</v>
      </c>
      <c r="F50" s="4388"/>
      <c r="G50" s="4388"/>
      <c r="H50" s="4388"/>
      <c r="I50" s="4391"/>
    </row>
    <row r="51" spans="1:9" hidden="1" x14ac:dyDescent="0.25">
      <c r="A51" s="957">
        <v>0</v>
      </c>
      <c r="B51" s="4387"/>
      <c r="C51" s="4388"/>
      <c r="D51" s="4408" t="s">
        <v>191</v>
      </c>
      <c r="E51" s="4422">
        <f>Subject_ClearHeight</f>
        <v>0</v>
      </c>
      <c r="F51" s="4388"/>
      <c r="G51" s="4388"/>
      <c r="H51" s="4388"/>
      <c r="I51" s="4391"/>
    </row>
    <row r="52" spans="1:9" hidden="1" x14ac:dyDescent="0.25">
      <c r="A52" s="957">
        <f>IF(E52="",0,1)</f>
        <v>0</v>
      </c>
      <c r="B52" s="4387"/>
      <c r="C52" s="4388"/>
      <c r="D52" s="4392"/>
      <c r="E52" s="4393"/>
      <c r="F52" s="4388"/>
      <c r="G52" s="4388"/>
      <c r="H52" s="4388"/>
      <c r="I52" s="4391"/>
    </row>
    <row r="53" spans="1:9" hidden="1" x14ac:dyDescent="0.25">
      <c r="A53" s="957">
        <f>IF(E53="",0,1)</f>
        <v>0</v>
      </c>
      <c r="B53" s="4387"/>
      <c r="C53" s="4388"/>
      <c r="D53" s="4392"/>
      <c r="E53" s="4393"/>
      <c r="F53" s="4388"/>
      <c r="G53" s="4388"/>
      <c r="H53" s="4388"/>
      <c r="I53" s="4391"/>
    </row>
    <row r="54" spans="1:9" hidden="1" x14ac:dyDescent="0.25">
      <c r="A54" s="957">
        <f>IF(E54="",0,1)</f>
        <v>0</v>
      </c>
      <c r="B54" s="4387"/>
      <c r="C54" s="4388"/>
      <c r="D54" s="4392"/>
      <c r="E54" s="4393"/>
      <c r="F54" s="4388"/>
      <c r="G54" s="4388"/>
      <c r="H54" s="4388"/>
      <c r="I54" s="4391"/>
    </row>
    <row r="55" spans="1:9" hidden="1" x14ac:dyDescent="0.25">
      <c r="A55" s="957">
        <f>IF(E55="",0,1)</f>
        <v>0</v>
      </c>
      <c r="B55" s="4387"/>
      <c r="C55" s="4388"/>
      <c r="D55" s="4392"/>
      <c r="E55" s="4393"/>
      <c r="F55" s="4388"/>
      <c r="G55" s="4388"/>
      <c r="H55" s="4388"/>
      <c r="I55" s="4391"/>
    </row>
    <row r="56" spans="1:9" x14ac:dyDescent="0.25">
      <c r="A56" s="957">
        <f>IF(E56=0,0,1)</f>
        <v>1</v>
      </c>
      <c r="B56" s="4387"/>
      <c r="C56" s="4388"/>
      <c r="D56" s="4408" t="s">
        <v>801</v>
      </c>
      <c r="E56" s="4423" t="s">
        <v>20118</v>
      </c>
      <c r="F56" s="4388"/>
      <c r="G56" s="4388"/>
      <c r="H56" s="4388"/>
      <c r="I56" s="4391"/>
    </row>
    <row r="57" spans="1:9" hidden="1" x14ac:dyDescent="0.25">
      <c r="A57" s="957">
        <f>IF(E57=0,0,1)</f>
        <v>0</v>
      </c>
      <c r="B57" s="4387"/>
      <c r="C57" s="4388"/>
      <c r="D57" s="4408" t="s">
        <v>802</v>
      </c>
      <c r="E57" s="4423">
        <f>Subject_ParkingGarage</f>
        <v>0</v>
      </c>
      <c r="F57" s="4388"/>
      <c r="G57" s="4388"/>
      <c r="H57" s="4388"/>
      <c r="I57" s="4391"/>
    </row>
    <row r="58" spans="1:9" hidden="1" x14ac:dyDescent="0.25">
      <c r="A58" s="957">
        <f>IF(SUM(A56:A57)=2,1,0)</f>
        <v>0</v>
      </c>
      <c r="B58" s="4387"/>
      <c r="C58" s="4388"/>
      <c r="D58" s="4414" t="s">
        <v>803</v>
      </c>
      <c r="E58" s="4424">
        <f>Subject_ParkingTotal</f>
        <v>13</v>
      </c>
      <c r="F58" s="4388"/>
      <c r="G58" s="4388"/>
      <c r="H58" s="4388"/>
      <c r="I58" s="4391"/>
    </row>
    <row r="59" spans="1:9" ht="20.100000000000001" customHeight="1" x14ac:dyDescent="0.25">
      <c r="A59" s="957">
        <v>1</v>
      </c>
      <c r="B59" s="4387"/>
      <c r="C59" s="4388"/>
      <c r="D59" s="4389" t="s">
        <v>977</v>
      </c>
      <c r="E59" s="4416"/>
      <c r="F59" s="4388"/>
      <c r="G59" s="4388"/>
      <c r="H59" s="4388"/>
      <c r="I59" s="4391"/>
    </row>
    <row r="60" spans="1:9" x14ac:dyDescent="0.25">
      <c r="A60" s="957">
        <v>1</v>
      </c>
      <c r="B60" s="4387"/>
      <c r="C60" s="4388"/>
      <c r="D60" s="4408" t="s">
        <v>78</v>
      </c>
      <c r="E60" s="4393" t="str">
        <f>CONCATENATE(UPPER(LEFT(Subject_HBU_AsVacant,1)),RIGHT(Subject_HBU_AsVacant,LEN(Subject_HBU_AsVacant)-1))</f>
        <v xml:space="preserve">Industrial Development </v>
      </c>
      <c r="F60" s="4388"/>
      <c r="G60" s="4388"/>
      <c r="H60" s="4388"/>
      <c r="I60" s="4391"/>
    </row>
    <row r="61" spans="1:9" x14ac:dyDescent="0.25">
      <c r="A61" s="957">
        <f>IF(Subject_LandAppraisal="Yes",0,1)</f>
        <v>1</v>
      </c>
      <c r="B61" s="4387"/>
      <c r="C61" s="4388"/>
      <c r="D61" s="4408" t="s">
        <v>79</v>
      </c>
      <c r="E61" s="4393" t="str">
        <f>CONCATENATE(UPPER(LEFT(Subject_HBU_AsImproved,1)),RIGHT(Subject_HBU_AsImproved,LEN(Subject_HBU_AsImproved)-1))</f>
        <v xml:space="preserve">Continuation as Existing Use </v>
      </c>
      <c r="F61" s="4388"/>
      <c r="G61" s="4388"/>
      <c r="H61" s="4388"/>
      <c r="I61" s="4391"/>
    </row>
    <row r="62" spans="1:9" x14ac:dyDescent="0.25">
      <c r="A62" s="957">
        <v>1</v>
      </c>
      <c r="B62" s="4387"/>
      <c r="C62" s="4388"/>
      <c r="D62" s="4408" t="s">
        <v>985</v>
      </c>
      <c r="E62" s="4393" t="str">
        <f>REPLACE(Subject_ExposureTime,1,1,UPPER(LEFT(Subject_ExposureTime,1)))</f>
        <v>6 to 12 months</v>
      </c>
      <c r="F62" s="4388"/>
      <c r="G62" s="4388"/>
      <c r="H62" s="4388"/>
      <c r="I62" s="4391"/>
    </row>
    <row r="63" spans="1:9" x14ac:dyDescent="0.25">
      <c r="A63" s="957">
        <v>1</v>
      </c>
      <c r="B63" s="4425"/>
      <c r="C63" s="4426"/>
      <c r="D63" s="4427" t="s">
        <v>986</v>
      </c>
      <c r="E63" s="4428" t="str">
        <f>REPLACE(Subject_MarketingPeriod,1,1,UPPER(LEFT(Subject_MarketingPeriod,1)))</f>
        <v>6 to 12 months</v>
      </c>
      <c r="F63" s="4426"/>
      <c r="G63" s="4426"/>
      <c r="H63" s="4426"/>
      <c r="I63" s="4429"/>
    </row>
    <row r="64" spans="1:9" x14ac:dyDescent="0.25">
      <c r="A64" s="957">
        <v>1</v>
      </c>
      <c r="B64" s="4379"/>
      <c r="C64" s="1416"/>
      <c r="D64" s="4381" t="s">
        <v>852</v>
      </c>
      <c r="E64" s="217"/>
      <c r="F64" s="1416"/>
      <c r="G64" s="1416"/>
      <c r="H64" s="1416"/>
      <c r="I64" s="4380"/>
    </row>
    <row r="65" spans="1:18" ht="15" thickBot="1" x14ac:dyDescent="0.3">
      <c r="A65" s="957">
        <v>1</v>
      </c>
    </row>
    <row r="66" spans="1:18" x14ac:dyDescent="0.25">
      <c r="A66" s="957">
        <v>1</v>
      </c>
      <c r="K66" s="1"/>
      <c r="L66" s="2"/>
      <c r="M66" s="2"/>
      <c r="N66" s="2"/>
      <c r="O66" s="2"/>
      <c r="P66" s="2"/>
      <c r="Q66" s="2"/>
      <c r="R66" s="3"/>
    </row>
    <row r="67" spans="1:18" ht="16.5" x14ac:dyDescent="0.3">
      <c r="A67" s="957">
        <v>1</v>
      </c>
      <c r="K67" s="4"/>
      <c r="L67" s="5"/>
      <c r="M67" s="246" t="s">
        <v>563</v>
      </c>
      <c r="N67" s="5"/>
      <c r="O67" s="5"/>
      <c r="P67" s="5"/>
      <c r="Q67" s="5"/>
      <c r="R67" s="6"/>
    </row>
    <row r="68" spans="1:18" x14ac:dyDescent="0.25">
      <c r="A68" s="957">
        <v>1</v>
      </c>
      <c r="K68" s="4"/>
      <c r="L68" s="11"/>
      <c r="M68" s="12" t="s">
        <v>1423</v>
      </c>
      <c r="N68" s="12"/>
      <c r="O68" s="12" t="str">
        <f>IF(AND(ISERR(FIND("Leased",dpSort_Interest_1)),ISERR(FIND("Leased",Sort_Interest_2)),ISERR(FIND("Leased",Sort_Interest_3))),"","Contract Data")</f>
        <v/>
      </c>
      <c r="P68" s="12"/>
      <c r="Q68" s="11"/>
      <c r="R68" s="6"/>
    </row>
    <row r="69" spans="1:18" x14ac:dyDescent="0.25">
      <c r="A69" s="957">
        <v>1</v>
      </c>
      <c r="K69" s="4"/>
      <c r="L69" s="258"/>
      <c r="M69" s="1272" t="str">
        <f>IF(AND(ISERR(FIND("Leased",dpSort_Interest_1)),ISERR(FIND("Leased",Sort_Interest_2)),ISERR(FIND("Leased",Sort_Interest_3))),IF(COUNTBLANK(Income_SpaceTypeSelectionRange)=7,"Market Rental Rate","Market Rental Rate Average"),IF(dpIncome_TenantCount=1,"Potential Rental Rate","Potential Rental Rate Average"))</f>
        <v>Market Rental Rate Average</v>
      </c>
      <c r="N69" s="3862" t="e">
        <f ca="1">IF(Income_RentRollSource="No Rent Roll",SUMPRODUCT('Income Assumptions'!E12:E19,'Income Assumptions'!F12:F19)/'Income Assumptions'!E20,'Rent Roll'!N216)</f>
        <v>#VALUE!</v>
      </c>
      <c r="O69" s="1272" t="str">
        <f ca="1">IF(dpIncome_TenantCount=1,"Rental Rate","Rental Rate Average")</f>
        <v>Rental Rate Average</v>
      </c>
      <c r="P69" s="3862" t="str">
        <f>IF(AND(ISERR(FIND("Lease",dpSort_Interest_1)),ISERR(FIND("Lease",Sort_Interest_2)),ISERR(FIND("Lease",Sort_Interest_3))),"",dpIncome_ContractRent_Average)</f>
        <v/>
      </c>
      <c r="Q69" s="258"/>
      <c r="R69" s="6"/>
    </row>
    <row r="70" spans="1:18" x14ac:dyDescent="0.25">
      <c r="A70" s="957">
        <v>1</v>
      </c>
      <c r="K70" s="4"/>
      <c r="L70" s="258"/>
      <c r="M70" s="258" t="s">
        <v>742</v>
      </c>
      <c r="N70" s="2893" t="str">
        <f>Income_TCat1_LeaseStructure</f>
        <v>Triple Net</v>
      </c>
      <c r="O70" s="258" t="str">
        <f>IF(AND(ISERR(FIND("Lease",dpSort_Interest_1)),ISERR(FIND("Lease",Sort_Interest_2)),ISERR(FIND("Lease",Sort_Interest_3))),"",IF(dpIncome_TenantCount=1,"Lease Structure","Predominant Lease Structure"))</f>
        <v/>
      </c>
      <c r="P70" s="2893" t="str">
        <f>IF(AND(ISERR(FIND("Lease",dpSort_Interest_1)),ISERR(FIND("Lease",Sort_Interest_2)),ISERR(FIND("Lease",Sort_Interest_3))),"",IFERROR(dpIncome_ContractLeaseStructure,dpincome_))</f>
        <v/>
      </c>
      <c r="Q70" s="258"/>
      <c r="R70" s="6"/>
    </row>
    <row r="71" spans="1:18" x14ac:dyDescent="0.25">
      <c r="A71" s="957">
        <v>1</v>
      </c>
      <c r="K71" s="4"/>
      <c r="L71" s="258"/>
      <c r="M71" s="258" t="str">
        <f>IF(Income_TechniqueUsed="Discount Cash Flow","Total Year 1 Expense Estimate","Total Stabilized Expense Estimate")</f>
        <v>Total Stabilized Expense Estimate</v>
      </c>
      <c r="N71" s="3863">
        <f ca="1">dpIncome_Expense_TotalOperatingExpenses_Stabilized</f>
        <v>7.2507582884019737</v>
      </c>
      <c r="O71" s="258" t="str">
        <f>IF(AND(ISERR(FIND("Lease",dpSort_Interest_1)),ISERR(FIND("Lease",Sort_Interest_2)),ISERR(FIND("Lease",Sort_Interest_3))),"",IF(dpIncome_TenantCount=1,"Remaining Lease Term","Avg. Remaining Lease Term"))</f>
        <v/>
      </c>
      <c r="P71" s="3864" t="str">
        <f>IF(AND(ISERR(FIND("Lease",dpSort_Interest_1)),ISERR(FIND("Lease",Sort_Interest_2)),ISERR(FIND("Lease",Sort_Interest_3))),"",dpIncome_Lease_AvgRemTerm)</f>
        <v/>
      </c>
      <c r="Q71" s="258"/>
      <c r="R71" s="6"/>
    </row>
    <row r="72" spans="1:18" x14ac:dyDescent="0.25">
      <c r="A72" s="957">
        <v>1</v>
      </c>
      <c r="K72" s="4"/>
      <c r="L72" s="258"/>
      <c r="M72" s="258" t="s">
        <v>962</v>
      </c>
      <c r="N72" s="3865">
        <f>dpIncome_StabilizedVacancyCLoss</f>
        <v>0.03</v>
      </c>
      <c r="O72" s="258" t="str">
        <f>IF(AND(ISERR(FIND("Lease",dpSort_Interest_1)),ISERR(FIND("Lease",Sort_Interest_2)),ISERR(FIND("Lease",Sort_Interest_3))),"","Number of Spaces")</f>
        <v/>
      </c>
      <c r="P72" s="3866" t="str">
        <f>IF(AND(ISERR(FIND("Lease",dpSort_Interest_1)),ISERR(FIND("Lease",Sort_Interest_2)),ISERR(FIND("Lease",Sort_Interest_3))),"",'Rent Roll Breakdown'!E15)</f>
        <v/>
      </c>
      <c r="Q72" s="258"/>
      <c r="R72" s="6"/>
    </row>
    <row r="73" spans="1:18" x14ac:dyDescent="0.25">
      <c r="A73" s="957">
        <v>1</v>
      </c>
      <c r="K73" s="4"/>
      <c r="L73" s="258"/>
      <c r="M73" s="258" t="s">
        <v>433</v>
      </c>
      <c r="N73" s="1117">
        <f>IF(Income_TechniqueUsed="Discounted Cash Flow","N/A",dpIncome_OAR)</f>
        <v>6.7500000000000004E-2</v>
      </c>
      <c r="O73" s="258" t="str">
        <f>IF(AND(ISERR(FIND("Lease",dpSort_Interest_1)),ISERR(FIND("Lease",Sort_Interest_2)),ISERR(FIND("Lease",Sort_Interest_3))),"","Actual Vacancy")</f>
        <v/>
      </c>
      <c r="P73" s="3867" t="str">
        <f>IF(AND(ISERR(FIND("Lease",dpSort_Interest_1)),ISERR(FIND("Lease",Sort_Interest_2)),ISERR(FIND("Lease",Sort_Interest_3))),"",dpIncome_VacancyActual)</f>
        <v/>
      </c>
      <c r="Q73" s="258"/>
      <c r="R73" s="6"/>
    </row>
    <row r="74" spans="1:18" hidden="1" x14ac:dyDescent="0.25">
      <c r="A74" s="957">
        <f>IF(Income_TechniqueUsed="Direct Capitalization",0,1)</f>
        <v>0</v>
      </c>
      <c r="K74" s="4"/>
      <c r="L74" s="258"/>
      <c r="M74" s="258" t="s">
        <v>461</v>
      </c>
      <c r="N74" s="1117" t="str">
        <f>IF(Income_TechniqueUsed="Direct Capitalization","N/A",IF(OR(dpIncome_DiscRate2=0,dpIncome_DiscRate1=dpIncome_DiscRate2),dpIncome_DiscRate1,""))</f>
        <v>N/A</v>
      </c>
      <c r="O74" s="258"/>
      <c r="P74" s="258"/>
      <c r="Q74" s="258"/>
      <c r="R74" s="6"/>
    </row>
    <row r="75" spans="1:18" hidden="1" x14ac:dyDescent="0.25">
      <c r="A75" s="957">
        <f>IF(OR(Income_TechniqueUsed="Direct Capitalization",dpIncome_DiscRate2=0,dpIncome_DiscRate1=dpIncome_DiscRate2),0,1)</f>
        <v>0</v>
      </c>
      <c r="K75" s="4"/>
      <c r="L75" s="258"/>
      <c r="M75" s="3185" t="str">
        <f>IF(dpSort_DOV_1="N/A","",IF(Sort_Perspective_1="Current",CONCATENATE(Sort_Premise_1),IF(Sort_Premise_1="As Is",CONCATENATE(Sort_Perspective_1),CONCATENATE(Sort_Perspective_1," ",Sort_Premise_1))))</f>
        <v>Retrospective</v>
      </c>
      <c r="N75" s="1117" t="str">
        <f>IF(Income_TechniqueUsed="Direct Capitalization","N/A",IF(OR(dpIncome_DiscRate2=0,dpIncome_DiscRate1=dpIncome_DiscRate2),dpIncome_DiscRate1,dpIncome_DiscRate2))</f>
        <v>N/A</v>
      </c>
      <c r="O75" s="258"/>
      <c r="P75" s="258"/>
      <c r="Q75" s="258"/>
      <c r="R75" s="6"/>
    </row>
    <row r="76" spans="1:18" hidden="1" x14ac:dyDescent="0.25">
      <c r="A76" s="957">
        <f>IF(OR(Income_TechniqueUsed="Direct Capitalization",dpIncome_DiscRate2=0,dpIncome_DiscRate1=dpIncome_DiscRate2),0,1)</f>
        <v>0</v>
      </c>
      <c r="K76" s="4"/>
      <c r="L76" s="258"/>
      <c r="M76" s="3185" t="str">
        <f>IF(dpSort_DOV_2="N/A","",IF(Sort_Perspective_2="Current",CONCATENATE(Sort_Premise_2),IF(Sort_Premise_2="As Is",CONCATENATE(Sort_Perspective_2),CONCATENATE(Sort_Perspective_2," ",Sort_Premise_2))))</f>
        <v/>
      </c>
      <c r="N76" s="1117" t="str">
        <f>IF(Income_TechniqueUsed="Direct Capitalization","N/A",IF(OR(dpIncome_DiscRate2=0,dpIncome_DiscRate1=dpIncome_DiscRate2),dpIncome_DiscRate1,dpIncome_DiscRate1))</f>
        <v>N/A</v>
      </c>
      <c r="O76" s="258"/>
      <c r="P76" s="258"/>
      <c r="Q76" s="258"/>
      <c r="R76" s="6"/>
    </row>
    <row r="77" spans="1:18" hidden="1" x14ac:dyDescent="0.25">
      <c r="A77" s="957">
        <f>IF(OR(Income_TechniqueUsed="Direct Capitalization",dpIncome_DiscRate3=0,AND(dpIncome_DiscRate1=dpIncome_DiscRate2,dpIncome_DiscRate1=dpIncome_DiscRate3)),0,1)</f>
        <v>0</v>
      </c>
      <c r="K77" s="4"/>
      <c r="L77" s="258"/>
      <c r="M77" s="3185" t="str">
        <f>IF(dpSort_DOV_3="N/A","",IF(Sort_Perspective_3="Current",CONCATENATE(Sort_Premise_3),IF(Sort_Premise_3="As Is",CONCATENATE(Sort_Perspective_3),CONCATENATE(Sort_Perspective_3," ",Sort_Premise_3))))</f>
        <v/>
      </c>
      <c r="N77" s="1117" t="str">
        <f>IF(Income_TechniqueUsed="Direct Capitalization","N/A",IF(OR(dpIncome_DiscRate2=0,dpIncome_DiscRate1=dpIncome_DiscRate2),dpIncome_DiscRate1,""))</f>
        <v>N/A</v>
      </c>
      <c r="O77" s="258"/>
      <c r="P77" s="258"/>
      <c r="Q77" s="258"/>
      <c r="R77" s="6"/>
    </row>
    <row r="78" spans="1:18" hidden="1" x14ac:dyDescent="0.25">
      <c r="A78" s="957">
        <f>IF(Income_TechniqueUsed="Direct Capitalization",0,1)</f>
        <v>0</v>
      </c>
      <c r="K78" s="4"/>
      <c r="L78" s="258"/>
      <c r="M78" s="258" t="s">
        <v>434</v>
      </c>
      <c r="N78" s="1117" t="str">
        <f>IF(Income_TechniqueUsed="Direct Capitalization","N/A",dpIncome_TerminalRate)</f>
        <v>N/A</v>
      </c>
      <c r="O78" s="258"/>
      <c r="P78" s="258"/>
      <c r="Q78" s="258"/>
      <c r="R78" s="6"/>
    </row>
    <row r="79" spans="1:18" hidden="1" x14ac:dyDescent="0.25">
      <c r="A79" s="957">
        <f>IF(Income_TechniqueUsed="Direct Capitalization",0,1)</f>
        <v>0</v>
      </c>
      <c r="K79" s="4"/>
      <c r="L79" s="258"/>
      <c r="M79" s="258" t="s">
        <v>494</v>
      </c>
      <c r="N79" s="3868" t="str">
        <f>IF(Income_TechniqueUsed="Direct Capitalization","N/A",IF(OR(Income_DCF_HoldingPeriod2=0,Income_DCF_HoldingPeriod1=Income_DCF_HoldingPeriod2),Income_DCF_HoldingPeriod1,""))</f>
        <v>N/A</v>
      </c>
      <c r="O79" s="258"/>
      <c r="P79" s="258"/>
      <c r="Q79" s="258"/>
      <c r="R79" s="6"/>
    </row>
    <row r="80" spans="1:18" hidden="1" x14ac:dyDescent="0.25">
      <c r="A80" s="957">
        <f>IF(OR(Income_TechniqueUsed="Direct Capitalization",dpIncome_DiscRate2=0,Income_DCF_HoldingPeriod1=Income_DCF_HoldingPeriod2),0,1)</f>
        <v>0</v>
      </c>
      <c r="K80" s="4"/>
      <c r="L80" s="258"/>
      <c r="M80" s="3185" t="str">
        <f>IF(dpSort_DOV_1="N/A","",IF(Sort_Perspective_1="Current",CONCATENATE(Sort_Premise_1),IF(Sort_Premise_1="As Is",CONCATENATE(Sort_Perspective_1),CONCATENATE(Sort_Perspective_1," ",Sort_Premise_1))))</f>
        <v>Retrospective</v>
      </c>
      <c r="N80" s="3868" t="str">
        <f>IF(Income_TechniqueUsed="Direct Capitalization","N/A",IF(OR(Income_DCF_HoldingPeriod2=0,Income_DCF_HoldingPeriod1=Income_DCF_HoldingPeriod2),"",Income_DCF_HoldingPeriod1))</f>
        <v>N/A</v>
      </c>
      <c r="O80" s="258"/>
      <c r="P80" s="258"/>
      <c r="Q80" s="258"/>
      <c r="R80" s="6"/>
    </row>
    <row r="81" spans="1:18" hidden="1" x14ac:dyDescent="0.25">
      <c r="A81" s="957">
        <f>IF(OR(Income_TechniqueUsed="Direct Capitalization",dpIncome_DiscRate2=0,dpIncome_DiscRate2=0,Income_DCF_HoldingPeriod1=Income_DCF_HoldingPeriod2),0,1)</f>
        <v>0</v>
      </c>
      <c r="K81" s="4"/>
      <c r="L81" s="258"/>
      <c r="M81" s="3185" t="str">
        <f>IF(dpSort_DOV_2="N/A","",IF(Sort_Perspective_2="Current",CONCATENATE(Sort_Premise_2),IF(Sort_Premise_2="As Is",CONCATENATE(Sort_Perspective_2),CONCATENATE(Sort_Perspective_2," ",Sort_Premise_2))))</f>
        <v/>
      </c>
      <c r="N81" s="3868" t="str">
        <f>IF(Income_TechniqueUsed="Direct Capitalization","N/A",IF(OR(Income_DCF_HoldingPeriod2=0,Income_DCF_HoldingPeriod1=Income_DCF_HoldingPeriod2),"",Income_DCF_HoldingPeriod2))</f>
        <v>N/A</v>
      </c>
      <c r="O81" s="258"/>
      <c r="P81" s="258"/>
      <c r="Q81" s="258"/>
      <c r="R81" s="6"/>
    </row>
    <row r="82" spans="1:18" hidden="1" x14ac:dyDescent="0.25">
      <c r="A82" s="957">
        <f>IF(OR(Income_TechniqueUsed="Direct Capitalization",dpIncome_DiscRate3=0,AND(Income_DCF_HoldingPeriod1=Income_DCF_HoldingPeriod2,Income_DCF_HoldingPeriod1=Income_DCF_HoldingPeriod3)),0,1)</f>
        <v>0</v>
      </c>
      <c r="K82" s="4"/>
      <c r="L82" s="258"/>
      <c r="M82" s="3185" t="str">
        <f>IF(dpSort_DOV_3="N/A","",IF(Sort_Perspective_3="Current",CONCATENATE(Sort_Premise_3),IF(Sort_Premise_3="As Is",CONCATENATE(Sort_Perspective_3),CONCATENATE(Sort_Perspective_3," ",Sort_Premise_3))))</f>
        <v/>
      </c>
      <c r="N82" s="3867" t="str">
        <f>IF(Income_TechniqueUsed="Direct Capitalization","N/A",IF(OR(dpIncome_DiscRate2=0,dpIncome_DiscRate1=dpIncome_DiscRate2),dpIncome_DiscRate1,""))</f>
        <v>N/A</v>
      </c>
      <c r="O82" s="258"/>
      <c r="P82" s="258"/>
      <c r="Q82" s="258"/>
      <c r="R82" s="6"/>
    </row>
    <row r="83" spans="1:18" x14ac:dyDescent="0.25">
      <c r="A83" s="957">
        <f>IF(ISERROR(dpValue_LUD_Period)=TRUE,0,IF(dpValue_LUD_Period=0,0,1))</f>
        <v>1</v>
      </c>
      <c r="K83" s="4"/>
      <c r="L83" s="258"/>
      <c r="M83" s="258" t="s">
        <v>987</v>
      </c>
      <c r="N83" s="3869">
        <f>dpValue_LUD_Period</f>
        <v>6</v>
      </c>
      <c r="O83" s="258"/>
      <c r="P83" s="258"/>
      <c r="Q83" s="258"/>
      <c r="R83" s="6"/>
    </row>
    <row r="84" spans="1:18" ht="15" thickBot="1" x14ac:dyDescent="0.3">
      <c r="A84" s="957">
        <f>A83</f>
        <v>1</v>
      </c>
      <c r="K84" s="4"/>
      <c r="L84" s="258"/>
      <c r="M84" s="258" t="s">
        <v>983</v>
      </c>
      <c r="N84" s="3870">
        <f>dpValue_LUD_Reconciled</f>
        <v>70000</v>
      </c>
      <c r="O84" s="258"/>
      <c r="P84" s="258"/>
      <c r="Q84" s="258"/>
      <c r="R84" s="6"/>
    </row>
    <row r="85" spans="1:18" hidden="1" x14ac:dyDescent="0.25">
      <c r="A85" s="957">
        <f>IF(AND(N85="",P85=""),0,1)</f>
        <v>0</v>
      </c>
      <c r="K85" s="4"/>
      <c r="L85" s="258"/>
      <c r="M85" s="258"/>
      <c r="N85" s="258"/>
      <c r="O85" s="258"/>
      <c r="P85" s="258"/>
      <c r="Q85" s="258"/>
      <c r="R85" s="6"/>
    </row>
    <row r="86" spans="1:18" ht="15" hidden="1" thickBot="1" x14ac:dyDescent="0.3">
      <c r="A86" s="957">
        <f>IF(AND(N86="",P86=""),0,1)</f>
        <v>0</v>
      </c>
      <c r="K86" s="4"/>
      <c r="L86" s="258"/>
      <c r="M86" s="2888"/>
      <c r="N86" s="2888"/>
      <c r="O86" s="2888"/>
      <c r="P86" s="2888"/>
      <c r="Q86" s="258"/>
      <c r="R86" s="6"/>
    </row>
    <row r="87" spans="1:18" x14ac:dyDescent="0.25">
      <c r="K87" s="4"/>
      <c r="L87" s="5"/>
      <c r="M87" s="558" t="s">
        <v>984</v>
      </c>
      <c r="N87" s="683"/>
      <c r="O87" s="683"/>
      <c r="P87" s="683"/>
      <c r="Q87" s="5"/>
      <c r="R87" s="6"/>
    </row>
    <row r="88" spans="1:18" ht="15" thickBot="1" x14ac:dyDescent="0.3">
      <c r="K88" s="8"/>
      <c r="L88" s="7"/>
      <c r="M88" s="7" t="s">
        <v>990</v>
      </c>
      <c r="N88" s="7"/>
      <c r="O88" s="7"/>
      <c r="P88" s="7"/>
      <c r="Q88" s="7"/>
      <c r="R88" s="9"/>
    </row>
    <row r="89" spans="1:18" x14ac:dyDescent="0.25">
      <c r="O89" s="957">
        <f>IF(AND(ISERR(FIND("Lease",dpSort_Interest_1)),ISERR(FIND("Lease",Sort_Interest_2)),ISERR(FIND("Lease",Sort_Interest_3))),0,1)</f>
        <v>0</v>
      </c>
      <c r="P89" s="957">
        <f>IF(AND(ISERR(FIND("Lease",dpSort_Interest_1)),ISERR(FIND("Lease",Sort_Interest_2)),ISERR(FIND("Lease",Sort_Interest_3))),0,1)</f>
        <v>0</v>
      </c>
    </row>
  </sheetData>
  <hyperlinks>
    <hyperlink ref="E31" location="Subject_LandFlood" display="Subject_LandFlood" xr:uid="{00000000-0004-0000-0200-000005000000}"/>
    <hyperlink ref="E41" location="Subject_GBA" display="Subject_GBA" xr:uid="{00000000-0004-0000-0200-000006000000}"/>
    <hyperlink ref="E42" location="Subject_NRA" display="Subject_NRA" xr:uid="{00000000-0004-0000-0200-000007000000}"/>
    <hyperlink ref="E44" location="Subject_BuildingCount" display="Subject_BuildingCount" xr:uid="{00000000-0004-0000-0200-000008000000}"/>
    <hyperlink ref="E45" location="Subject_NumFloors" display="Subject_NumFloors" xr:uid="{00000000-0004-0000-0200-000009000000}"/>
    <hyperlink ref="E46" location="Subject_Year_Built" display="Subject_Year_Built" xr:uid="{00000000-0004-0000-0200-00000A000000}"/>
    <hyperlink ref="E39" location="Subject_InvestmentClass" display="Subject_InvestmentClass" xr:uid="{00000000-0004-0000-0200-00000B000000}"/>
    <hyperlink ref="E47" location="Subject_Condition" display="Subject_Condition" xr:uid="{00000000-0004-0000-0200-00000C000000}"/>
    <hyperlink ref="E50" location="Subject_PercentOfficeFinish" display="Subject_PercentOfficeFinish" xr:uid="{00000000-0004-0000-0200-00000D000000}"/>
    <hyperlink ref="E51" location="Subject_ClearHeight" display="Subject_ClearHeight" xr:uid="{00000000-0004-0000-0200-00000E000000}"/>
    <hyperlink ref="E29" location="Subject_ZoningCode" display="Subject_ZoningCode" xr:uid="{00000000-0004-0000-0200-00000F000000}"/>
    <hyperlink ref="E38" location="Subject_PropertyUse" display="Subject_PropertyUse" xr:uid="{00000000-0004-0000-0200-000010000000}"/>
    <hyperlink ref="E60" location="Subject_HBU_AsVacant" display="Subject_HBU_AsVacant" xr:uid="{00000000-0004-0000-0200-000011000000}"/>
    <hyperlink ref="E61" location="Subject_HBU_AsImproved" display="Subject_HBU_AsImproved" xr:uid="{00000000-0004-0000-0200-000012000000}"/>
    <hyperlink ref="E6" location="Subject_ClientIDNumber" display="Subject_ClientIDNumber" xr:uid="{00000000-0004-0000-0200-000013000000}"/>
    <hyperlink ref="F8" r:id="rId1" display="https://gisapp.adcogov.org/QuickSearch/doreport.aspx?pid=0182511405008" xr:uid="{64F3BE83-18DC-45F0-8A85-A8BDF7D28B7A}"/>
    <hyperlink ref="F9" r:id="rId2" display="https://gisapp.adcogov.org/QuickSearch/doreport.aspx?pid=0182511405009" xr:uid="{96DA756C-3114-4D9A-8D53-37B302CC78E6}"/>
    <hyperlink ref="F12" r:id="rId3" display="https://gisapp.adcogov.org/QuickSearch/doreport.aspx?pid=0182511405010" xr:uid="{74D0C92F-6E01-4495-8DBB-38FB5D9A5EA8}"/>
    <hyperlink ref="F13" r:id="rId4" display="https://gisapp.adcogov.org/QuickSearch/doreport.aspx?pid=0182511405011" xr:uid="{9A6E66E4-9F0A-4919-9969-CF1886206E53}"/>
    <hyperlink ref="F14" r:id="rId5" display="https://gisapp.adcogov.org/QuickSearch/doreport.aspx?pid=0182511405012" xr:uid="{A526405F-25E0-46DA-888C-BECB2CC26A38}"/>
    <hyperlink ref="F15" r:id="rId6" display="https://gisapp.adcogov.org/QuickSearch/doreport.aspx?pid=0182511405013" xr:uid="{8DB498ED-9C80-41F6-90C4-BFAC43997650}"/>
    <hyperlink ref="F16" r:id="rId7" display="https://gisapp.adcogov.org/QuickSearch/doreport.aspx?pid=0182511405014" xr:uid="{1B8C3119-1029-4030-9814-36DCF2632F36}"/>
  </hyperlinks>
  <printOptions horizontalCentered="1"/>
  <pageMargins left="0.5" right="0.5" top="0.75" bottom="0.75" header="0.3" footer="0.3"/>
  <pageSetup orientation="portrait" horizontalDpi="1200" verticalDpi="1200" r:id="rId8"/>
  <ignoredErrors>
    <ignoredError sqref="H27" formula="1"/>
  </ignoredErrors>
  <drawing r:id="rId9"/>
  <legacyDrawing r:id="rId1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pageSetUpPr fitToPage="1"/>
  </sheetPr>
  <dimension ref="A1:AC61"/>
  <sheetViews>
    <sheetView topLeftCell="Q30" zoomScaleNormal="100" workbookViewId="0">
      <selection activeCell="Q44" sqref="Q44"/>
    </sheetView>
  </sheetViews>
  <sheetFormatPr defaultColWidth="9.140625" defaultRowHeight="14.25" x14ac:dyDescent="0.25"/>
  <cols>
    <col min="1" max="1" width="3.7109375" style="96" customWidth="1"/>
    <col min="2" max="2" width="1.7109375" style="10" hidden="1" customWidth="1"/>
    <col min="3" max="3" width="1.7109375" style="10" customWidth="1"/>
    <col min="4" max="4" width="0.85546875" style="10" customWidth="1"/>
    <col min="5" max="5" width="35.7109375" style="10" customWidth="1"/>
    <col min="6" max="6" width="40.7109375" style="37" customWidth="1"/>
    <col min="7" max="7" width="18.28515625" style="37" hidden="1" customWidth="1"/>
    <col min="8" max="8" width="16.7109375" style="37" hidden="1" customWidth="1"/>
    <col min="9" max="9" width="16.7109375" style="37" customWidth="1"/>
    <col min="10" max="10" width="0.85546875" style="10" customWidth="1"/>
    <col min="11" max="12" width="1.7109375" style="10" customWidth="1"/>
    <col min="13" max="13" width="20.7109375" style="10" customWidth="1"/>
    <col min="14" max="14" width="1.7109375" style="10" customWidth="1"/>
    <col min="15" max="15" width="0.85546875" style="10" customWidth="1"/>
    <col min="16" max="16" width="27.7109375" style="10" customWidth="1"/>
    <col min="17" max="18" width="60.7109375" style="10" customWidth="1"/>
    <col min="19" max="19" width="21.7109375" style="37" customWidth="1"/>
    <col min="20" max="20" width="0.85546875" style="10" customWidth="1"/>
    <col min="21" max="21" width="1.7109375" style="10" customWidth="1"/>
    <col min="22" max="22" width="5.7109375" style="10" customWidth="1"/>
    <col min="23" max="23" width="1.7109375" style="10" customWidth="1"/>
    <col min="24" max="24" width="0.85546875" style="10" customWidth="1"/>
    <col min="25" max="25" width="50.7109375" style="10" customWidth="1"/>
    <col min="26" max="26" width="15.7109375" style="10" customWidth="1"/>
    <col min="27" max="27" width="20.7109375" style="10" customWidth="1"/>
    <col min="28" max="28" width="0.85546875" style="10" customWidth="1"/>
    <col min="29" max="29" width="1.7109375" style="10" customWidth="1"/>
    <col min="30" max="16384" width="9.140625" style="10"/>
  </cols>
  <sheetData>
    <row r="1" spans="1:19" ht="60" customHeight="1" x14ac:dyDescent="0.25"/>
    <row r="2" spans="1:19" ht="9.9499999999999993" customHeight="1" thickBot="1" x14ac:dyDescent="0.3"/>
    <row r="3" spans="1:19" ht="15" customHeight="1" thickBot="1" x14ac:dyDescent="0.3">
      <c r="B3" s="1"/>
      <c r="C3" s="2"/>
      <c r="D3" s="2"/>
      <c r="E3" s="2"/>
      <c r="F3" s="123"/>
      <c r="G3" s="123"/>
      <c r="H3" s="123"/>
      <c r="I3" s="123"/>
      <c r="J3" s="2"/>
      <c r="K3" s="3"/>
      <c r="M3" s="706" t="s">
        <v>1017</v>
      </c>
      <c r="Q3" s="161" t="s">
        <v>1792</v>
      </c>
      <c r="R3" s="161"/>
    </row>
    <row r="4" spans="1:19" ht="18" customHeight="1" x14ac:dyDescent="0.3">
      <c r="B4" s="4"/>
      <c r="C4" s="5"/>
      <c r="D4" s="258"/>
      <c r="E4" s="3775" t="s">
        <v>1</v>
      </c>
      <c r="F4" s="97"/>
      <c r="G4" s="97"/>
      <c r="H4" s="97"/>
      <c r="I4" s="97"/>
      <c r="J4" s="258"/>
      <c r="K4" s="6"/>
    </row>
    <row r="5" spans="1:19" ht="18" customHeight="1" x14ac:dyDescent="0.25">
      <c r="A5" s="957">
        <v>1</v>
      </c>
      <c r="B5" s="4"/>
      <c r="C5" s="5"/>
      <c r="D5" s="3776"/>
      <c r="E5" s="3777" t="s">
        <v>2</v>
      </c>
      <c r="F5" s="3887" t="str">
        <f>IF(Salient_Sort_NumValues=3,IF(Salient_Sort_Perspective_3="Current",Salient_Sort_Premise_3,IF(Salient_Sort_Premise_3="As Is",Salient_Sort_Perspective_3,CONCATENATE(Salient_Sort_Perspective_3," ",Salient_Sort_Premise_3))),IF(Salient_Sort_NumValues=2,IF(Salient_Sort_Perspective_2="Current",Salient_Sort_Premise_2,IF(Salient_Sort_Premise_2="As Is",Salient_Sort_Perspective_2,CONCATENATE(Salient_Sort_Perspective_2," ",Salient_Sort_Premise_2))),IF(Salient_Sort_Perspective_1="Current",Salient_Sort_Premise_1,IF(Salient_Sort_Premise_1="As Is",Salient_Sort_Perspective_1,CONCATENATE(Salient_Sort_Perspective_1," ",Salient_Sort_Premise_1)))))</f>
        <v>Retrospective</v>
      </c>
      <c r="G5" s="3887" t="str">
        <f>IF(Salient_Sort_NumValues=3,IF(Salient_Sort_Perspective_2="Current",Salient_Sort_Premise_2,IF(Salient_Sort_Premise_2="As Is",Salient_Sort_Perspective_2,CONCATENATE(Salient_Sort_Perspective_2," ",Salient_Sort_Premise_2))),IF(Salient_Sort_NumValues=2,IF(Salient_Sort_Perspective_1="Current",Salient_Sort_Premise_1,IF(Salient_Sort_Premise_1="As Is",Salient_Sort_Perspective_1,CONCATENATE(Salient_Sort_Perspective_1," ",Salient_Sort_Premise_1))),""))</f>
        <v/>
      </c>
      <c r="H5" s="3887" t="str">
        <f>IF(Salient_Sort_NumValues=3,IF(Salient_Sort_Perspective_1="Current",Salient_Sort_Premise_1,IF(Salient_Sort_Premise_1="As Is",Salient_Sort_Perspective_1,CONCATENATE(Salient_Sort_Perspective_1," ",Salient_Sort_Premise_1))),"")</f>
        <v/>
      </c>
      <c r="I5" s="3887"/>
      <c r="J5" s="3776"/>
      <c r="K5" s="6"/>
    </row>
    <row r="6" spans="1:19" s="42" customFormat="1" ht="20.100000000000001" hidden="1" customHeight="1" x14ac:dyDescent="0.25">
      <c r="A6" s="976">
        <v>0</v>
      </c>
      <c r="B6" s="174"/>
      <c r="C6" s="18"/>
      <c r="D6" s="92"/>
      <c r="E6" s="742" t="str">
        <f>IF(Subject_LandAppraisal="Yes",IF(LandAdjustmentGrid="Single","Sales Comparison",CONCATENATE("Sales Comparison - ",dpLand_TractNameB1)),IF(LandAdjustmentGrid="Single","Sales Comparison - Land Only",CONCATENATE("Sales Comparison - ",dpLand_TractNameB1," - Land Only")))</f>
        <v>Sales Comparison - Land Only</v>
      </c>
      <c r="F6" s="3186">
        <f>IF(OR(Main_Land=TRUE,Main_Cost=TRUE),IF(LandAdjustmentGrid="Single",dpLand_PrimaryLandValue,dpLand_PrimaryLandValue_1),"")</f>
        <v>6800000</v>
      </c>
      <c r="G6" s="3187" t="str">
        <f>IF(OR(Main_Land=TRUE,Main_Cost=TRUE),IF(LandAdjustmentGrid="Single","",IF(dpLand_DOV_1=Salient_Sort_DOV_2,dpLand_PrimaryLandValue_1,"")),"")</f>
        <v/>
      </c>
      <c r="H6" s="3187" t="str">
        <f>IF(OR(Main_Land=TRUE,Main_Cost=TRUE),IF(LandAdjustmentGrid="Single","",IF(dpLand_DOV_1=Salient_Sort_DOV_1,dpLand_PrimaryLandValue_1,"")),"")</f>
        <v/>
      </c>
      <c r="I6" s="3187"/>
      <c r="J6" s="92"/>
      <c r="K6" s="74"/>
      <c r="S6" s="810"/>
    </row>
    <row r="7" spans="1:19" s="42" customFormat="1" ht="20.100000000000001" hidden="1" customHeight="1" x14ac:dyDescent="0.25">
      <c r="A7" s="976">
        <f>IF(F7="",0,1)</f>
        <v>0</v>
      </c>
      <c r="B7" s="174"/>
      <c r="C7" s="18"/>
      <c r="D7" s="92"/>
      <c r="E7" s="742" t="str">
        <f>IF(Subject_LandAppraisal="Yes",IF(LandAdjustmentGrid="Single","Sales Comparison",CONCATENATE("Sales Comparison - ",dpLand_TractNameB2)),IF(LandAdjustmentGrid="Single","Sales Comparison - Land Only",CONCATENATE("Sales Comparison - ",dpLand_TractNameB2," - Land Only")))</f>
        <v>Sales Comparison - Land Only</v>
      </c>
      <c r="F7" s="3186" t="str">
        <f>IF(OR(Main_Land=TRUE,Main_Cost=TRUE),IF(LandAdjustmentGrid="Single","",dpLand_PrimaryLandValue_2),"")</f>
        <v/>
      </c>
      <c r="G7" s="3186" t="str">
        <f>IF(OR(Main_Land=TRUE,Main_Cost=TRUE),IF(LandAdjustmentGrid="Single","",IF(dpLand_DOV_2=Salient_Sort_DOV_2,dpLand_PrimaryLandValue_2,"")),"")</f>
        <v/>
      </c>
      <c r="H7" s="3186" t="str">
        <f>IF(OR(Main_Land=TRUE,Main_Cost=TRUE),IF(LandAdjustmentGrid="Single","",IF(dpLand_DOV_2=Salient_Sort_DOV_1,dpLand_PrimaryLandValue_2,"")),"")</f>
        <v/>
      </c>
      <c r="I7" s="3186"/>
      <c r="J7" s="92"/>
      <c r="K7" s="74"/>
      <c r="S7" s="810"/>
    </row>
    <row r="8" spans="1:19" ht="20.100000000000001" customHeight="1" x14ac:dyDescent="0.25">
      <c r="A8" s="976">
        <v>1</v>
      </c>
      <c r="B8" s="4"/>
      <c r="C8" s="5"/>
      <c r="D8" s="258"/>
      <c r="E8" s="2984" t="s">
        <v>240</v>
      </c>
      <c r="F8" s="3186" t="s">
        <v>20057</v>
      </c>
      <c r="G8" s="3186" t="str">
        <f>IF(Salient_Sort_NumValues=3,IF(Subject_UseCostApproach="Yes",dpCost_IndicatedValue2,"Not Developed"),IF(Salient_Sort_NumValues=2,IF(Subject_UseCostApproach="Yes",dpCost_IndicatedValue1,"Not Developed"),""))</f>
        <v/>
      </c>
      <c r="H8" s="3188" t="str">
        <f>IF(Salient_Sort_NumValues=3,IF(Subject_UseCostApproach="Yes",IF(OR(Sort_NumValues=3,Sort_NumValues=2),dpCost_IndicatedValue1,""),"Not Developed"),"")</f>
        <v/>
      </c>
      <c r="I8" s="3188"/>
      <c r="J8" s="258"/>
      <c r="K8" s="6"/>
    </row>
    <row r="9" spans="1:19" ht="20.100000000000001" customHeight="1" x14ac:dyDescent="0.25">
      <c r="A9" s="976">
        <v>1</v>
      </c>
      <c r="B9" s="4"/>
      <c r="C9" s="5"/>
      <c r="D9" s="258"/>
      <c r="E9" s="2984" t="s">
        <v>260</v>
      </c>
      <c r="F9" s="3188">
        <f>IF(Subject_UseSaleApproach="Yes",IF(Subject_LandAppraisal="Yes","N/A",IF(SalesAdjustmentGrid="Single",IF(Salient_Sort_NumValues=3,dpSales_Value3_Unit,IF(Salient_Sort_NumValues=2,dpSales_Value2_Unit,dpSales_Value1_Unit)),IF(Salient_Sort_NumValues=3,dpSales_Value3_Unit_1,IF(Salient_Sort_NumValues=2,dpSales_Value2_Unit_1,dpSales_Value1_Unit_1)))),"Not Developed")</f>
        <v>4000000</v>
      </c>
      <c r="G9" s="3186" t="str">
        <f>IF(SalesAdjustmentGrid="Single",IF(Salient_Sort_NumValues=3,IF(Subject_UseSaleApproach="Yes",dpSales_Value2_Unit,"Not Developed"),IF(Salient_Sort_NumValues=2,IF(Subject_UseSaleApproach="Yes",dpSales_Value1_Unit,"Not Developed"),"")),IF(Salient_Sort_NumValues=3,IF(Subject_UseSaleApproach="Yes",dpSales_Value2_Unit_1,"Not Developed"),IF(Salient_Sort_NumValues=2,IF(Subject_UseSaleApproach="Yes",dpSales_Value1_Unit_1,"Not Developed"),"")))</f>
        <v/>
      </c>
      <c r="H9" s="3188" t="str">
        <f>IF(SalesAdjustmentGrid="Single",IF(Salient_Sort_NumValues=3,IF(Subject_UseSaleApproach="Yes",IF(OR(Sort_NumValues=3,Sort_NumValues=2),dpSales_Value1_Unit,""),"Not Developed"),""),IF(Salient_Sort_NumValues=3,IF(Subject_UseSaleApproach="Yes",IF(OR(Sort_NumValues=3,Sort_NumValues=2),dpSales_Value1_Unit_1,""),"Not Developed"),""))</f>
        <v/>
      </c>
      <c r="I9" s="3188"/>
      <c r="J9" s="258"/>
      <c r="K9" s="6"/>
    </row>
    <row r="10" spans="1:19" ht="20.100000000000001" hidden="1" customHeight="1" x14ac:dyDescent="0.25">
      <c r="A10" s="976">
        <f>IF(Main_EGIM=TRUE,1,0)</f>
        <v>0</v>
      </c>
      <c r="B10" s="4"/>
      <c r="C10" s="5"/>
      <c r="D10" s="258"/>
      <c r="E10" s="3189" t="s">
        <v>1098</v>
      </c>
      <c r="F10" s="3188">
        <f ca="1">IF(Subject_UseSaleApproach="Yes",IF(Subject_LandAppraisal="Yes","N/A",IF(Salient_Sort_NumValues=3,dpSales_Value3_EGIM,IF(Salient_Sort_NumValues=2,dpSales_Value2_EGIM,dpSales_Value1_EGIM))),"Not Developed")</f>
        <v>0</v>
      </c>
      <c r="G10" s="3186" t="str">
        <f>IF(Salient_Sort_NumValues=3,IF(Subject_UseSaleApproach="Yes",dpSales_Value2_EGIM,"Not Developed"),IF(Salient_Sort_NumValues=2,IF(Subject_UseSaleApproach="Yes",dpSales_Value1_EGIM,"Not Developed"),""))</f>
        <v/>
      </c>
      <c r="H10" s="3188" t="str">
        <f>IF(Salient_Sort_NumValues=3,IF(Subject_UseSaleApproach="Yes",IF(OR(Sort_NumValues=3,Sort_NumValues=2),dpSales_Value1_EGIM,""),"Not Developed"),"")</f>
        <v/>
      </c>
      <c r="I10" s="3188"/>
      <c r="J10" s="258"/>
      <c r="K10" s="6"/>
    </row>
    <row r="11" spans="1:19" ht="14.25" customHeight="1" x14ac:dyDescent="0.25">
      <c r="A11" s="957">
        <v>1</v>
      </c>
      <c r="B11" s="4"/>
      <c r="C11" s="5"/>
      <c r="D11" s="258"/>
      <c r="E11" s="258" t="s">
        <v>595</v>
      </c>
      <c r="F11" s="2877" t="str">
        <f>IF(Subject_UseIncomeApproach="No","Not Developed","")</f>
        <v/>
      </c>
      <c r="G11" s="2877" t="str">
        <f>IF(Subject_UseIncomeApproach="No","Not Developed","")</f>
        <v/>
      </c>
      <c r="H11" s="2877" t="str">
        <f>IF(Subject_UseIncomeApproach="No","Not Developed","")</f>
        <v/>
      </c>
      <c r="I11" s="2877"/>
      <c r="J11" s="258"/>
      <c r="K11" s="6"/>
    </row>
    <row r="12" spans="1:19" x14ac:dyDescent="0.25">
      <c r="A12" s="957">
        <f>IF(Main_Income=TRUE,IF(OR(Income_TechniqueUsed="Direct Capitalization",Income_TechniqueUsed="Direct Cap. and DCF"),1,0),0)</f>
        <v>1</v>
      </c>
      <c r="B12" s="4"/>
      <c r="C12" s="5"/>
      <c r="D12" s="258"/>
      <c r="E12" s="3180" t="s">
        <v>417</v>
      </c>
      <c r="F12" s="3186">
        <v>3850000</v>
      </c>
      <c r="G12" s="3186" t="str">
        <f>IF(Salient_Sort_NumValues=3,IF(Subject_UseIncomeApproach="Yes",IF(OR(Income_TechniqueUsed="Direct Capitalization",Income_TechniqueUsed="Direct Cap. and DCF"),Income_DirectCap_IndicatedValue2,"Not Developed"),"Not Developed"),IF(Salient_Sort_NumValues=2,IF(Subject_UseIncomeApproach="Yes",IF(OR(Income_TechniqueUsed="Direct Capitalization",Income_TechniqueUsed="Direct Cap. and DCF"),Income_DirectCap_IndicatedValue1,"Not Developed"),"Not Developed"),""))</f>
        <v/>
      </c>
      <c r="H12" s="3188" t="str">
        <f>IF(Salient_Sort_NumValues=3,IF(Subject_UseIncomeApproach="Yes",IF(OR(Sort_NumValues=3,Sort_NumValues=2),Income_DirectCap_IndicatedValue1,""),"Not Developed"),"")</f>
        <v/>
      </c>
      <c r="I12" s="3188"/>
      <c r="J12" s="258"/>
      <c r="K12" s="6"/>
    </row>
    <row r="13" spans="1:19" hidden="1" x14ac:dyDescent="0.25">
      <c r="A13" s="957">
        <f>IF(Main_Income=TRUE,IF(OR(Income_TechniqueUsed="Discounted Cash Flow",Income_TechniqueUsed="Direct Cap. and DCF"),1,0),0)</f>
        <v>0</v>
      </c>
      <c r="B13" s="4"/>
      <c r="C13" s="5"/>
      <c r="D13" s="258"/>
      <c r="E13" s="3180" t="s">
        <v>596</v>
      </c>
      <c r="F13" s="3186" t="e">
        <f>IF(Subject_UseIncomeApproach="Yes",IF(DOV1_Selection=1,"N/A",Income_DCF_IndicatedValue1),"Not Developed")</f>
        <v>#N/A</v>
      </c>
      <c r="G13" s="3186" t="str">
        <f>IF(Salient_Sort_NumValues&gt;1,IF(Subject_UseIncomeApproach="Yes",IF(DOV2_Selection=1,Income_DCF_IndicatedValue1,Income_DCF_IndicatedValue2),"Not Developed"),"")</f>
        <v/>
      </c>
      <c r="H13" s="3188" t="str">
        <f>IF(Salient_Sort_NumValues=3,IF(Subject_UseIncomeApproach="Yes",IF(DOV3_Selection=1,Income_DCF_IndicatedValue2,Income_DCF_IndicatedValue3),"Not Developed"),"")</f>
        <v/>
      </c>
      <c r="I13" s="3188"/>
      <c r="J13" s="258"/>
      <c r="K13" s="6"/>
    </row>
    <row r="14" spans="1:19" hidden="1" x14ac:dyDescent="0.25">
      <c r="A14" s="957">
        <f>IF(Main_Income=TRUE,IF(Income_TechniqueUsed="Direct Cap. and DCF",1,0),0)</f>
        <v>0</v>
      </c>
      <c r="B14" s="4"/>
      <c r="C14" s="5"/>
      <c r="D14" s="258"/>
      <c r="E14" s="3184" t="s">
        <v>967</v>
      </c>
      <c r="F14" s="3190">
        <f ca="1">IF(Subject_UseIncomeApproach="Yes",IF(Salient_Sort_NumValues=3,Income_IndicatedValue3,IF(Salient_Sort_NumValues=2,Income_IndicatedValue2,Income_IndicatedValue1)),"Not Developed")</f>
        <v>2000000</v>
      </c>
      <c r="G14" s="3191" t="str">
        <f>IF(Salient_Sort_NumValues=3,IF(Subject_UseIncomeApproach="Yes",Income_IndicatedValue2,"Not Developed"),IF(Salient_Sort_NumValues=2,IF(Subject_UseIncomeApproach="Yes",Income_IndicatedValue1,"Not Developed"),""))</f>
        <v/>
      </c>
      <c r="H14" s="3192" t="str">
        <f>IF(Salient_Sort_NumValues=3,IF(Subject_UseIncomeApproach="Yes",IF(OR(Sort_NumValues=3,Sort_NumValues=2),Income_IndicatedValue1,""),"Not Developed"),"")</f>
        <v/>
      </c>
      <c r="I14" s="3188"/>
      <c r="J14" s="258"/>
      <c r="K14" s="6"/>
    </row>
    <row r="15" spans="1:19" ht="18" customHeight="1" x14ac:dyDescent="0.3">
      <c r="A15" s="957">
        <v>1</v>
      </c>
      <c r="B15" s="4"/>
      <c r="C15" s="5"/>
      <c r="D15" s="258"/>
      <c r="E15" s="3775" t="str">
        <f>IF(AND(Value_Real_MVTAB="Real Property",dpValue_Scenario2="",dpValue_Scenario3=""),"Value Conclusion","Value Conclusions")</f>
        <v>Value Conclusion</v>
      </c>
      <c r="F15" s="97"/>
      <c r="G15" s="97"/>
      <c r="H15" s="97"/>
      <c r="I15" s="97"/>
      <c r="J15" s="258"/>
      <c r="K15" s="6"/>
    </row>
    <row r="16" spans="1:19" ht="18" customHeight="1" x14ac:dyDescent="0.25">
      <c r="A16" s="957">
        <v>1</v>
      </c>
      <c r="B16" s="4"/>
      <c r="C16" s="5"/>
      <c r="D16" s="3776"/>
      <c r="E16" s="3777" t="s">
        <v>1100</v>
      </c>
      <c r="F16" s="3887" t="str">
        <f>F5</f>
        <v>Retrospective</v>
      </c>
      <c r="G16" s="3887" t="str">
        <f>dpValue_Scenario2</f>
        <v/>
      </c>
      <c r="H16" s="3887" t="str">
        <f>H5</f>
        <v/>
      </c>
      <c r="I16" s="3887"/>
      <c r="J16" s="3776"/>
      <c r="K16" s="6"/>
    </row>
    <row r="17" spans="1:17" ht="15.95" customHeight="1" x14ac:dyDescent="0.25">
      <c r="A17" s="957">
        <v>1</v>
      </c>
      <c r="B17" s="4"/>
      <c r="C17" s="5"/>
      <c r="D17" s="258"/>
      <c r="E17" s="2984" t="s">
        <v>61</v>
      </c>
      <c r="F17" s="3193" t="s">
        <v>19972</v>
      </c>
      <c r="G17" s="1002" t="str">
        <f>IF(Salient_Sort_NumValues=3,Salient_Sort_Type_2,IF(Salient_Sort_NumValues=2,Salient_Sort_Type_1,""))</f>
        <v/>
      </c>
      <c r="H17" s="2022" t="str">
        <f>IF(Salient_Sort_NumValues=3,Salient_Sort_Type_1,"")</f>
        <v/>
      </c>
      <c r="I17" s="2022"/>
      <c r="J17" s="258"/>
      <c r="K17" s="6"/>
      <c r="Q17" s="10">
        <f>8250000/410776</f>
        <v>20.083938691647027</v>
      </c>
    </row>
    <row r="18" spans="1:17" ht="15.95" customHeight="1" x14ac:dyDescent="0.25">
      <c r="A18" s="957">
        <f>IF(OR(Salient_Sort_Type_1="Market Rent",Salient_Sort_Type_1="Fair Market Rent"),0,1)</f>
        <v>1</v>
      </c>
      <c r="B18" s="4"/>
      <c r="C18" s="5"/>
      <c r="D18" s="258"/>
      <c r="E18" s="2984" t="s">
        <v>18418</v>
      </c>
      <c r="F18" s="3193" t="str">
        <f>IF(Salient_Sort_NumValues=3,Salient_Sort_Interest_3,IF(Salient_Sort_NumValues=2,Salient_Sort_Interest_2,Salient_Sort_Interest_1))</f>
        <v>Fee Simple</v>
      </c>
      <c r="G18" s="1002" t="str">
        <f>IF(Salient_Sort_NumValues=3,Salient_Sort_Interest_2,IF(Salient_Sort_NumValues=2,Salient_Sort_Interest_1,""))</f>
        <v/>
      </c>
      <c r="H18" s="2022" t="str">
        <f>IF(Salient_Sort_NumValues=3,Salient_Sort_Interest_1,"")</f>
        <v/>
      </c>
      <c r="I18" s="2022"/>
      <c r="J18" s="258"/>
      <c r="K18" s="6"/>
    </row>
    <row r="19" spans="1:17" ht="15.95" customHeight="1" x14ac:dyDescent="0.25">
      <c r="A19" s="957">
        <v>1</v>
      </c>
      <c r="B19" s="563"/>
      <c r="C19" s="52"/>
      <c r="D19" s="258"/>
      <c r="E19" s="2984" t="s">
        <v>765</v>
      </c>
      <c r="F19" s="3194">
        <f>IF(Salient_Sort_NumValues=3,Salient_Sort_DOV_3,IF(Salient_Sort_NumValues=2,Salient_Sort_DOV_2,Salient_Sort_DOV_1))</f>
        <v>45473</v>
      </c>
      <c r="G19" s="3195" t="str">
        <f>IF(Salient_Sort_NumValues=3,Salient_Sort_DOV_2,IF(Salient_Sort_NumValues=2,Salient_Sort_DOV_1,""))</f>
        <v/>
      </c>
      <c r="H19" s="3196" t="str">
        <f>IF(Salient_Sort_NumValues=3,Salient_Sort_DOV_1,"")</f>
        <v/>
      </c>
      <c r="I19" s="3196"/>
      <c r="J19" s="258"/>
      <c r="K19" s="6"/>
    </row>
    <row r="20" spans="1:17" ht="15.95" hidden="1" customHeight="1" x14ac:dyDescent="0.25">
      <c r="A20" s="957">
        <f>IF(OR(Salient_Sort_Type_1="Market Rent",Salient_Sort_Type_1="Fair Market Rent"),1,0)</f>
        <v>0</v>
      </c>
      <c r="B20" s="563"/>
      <c r="C20" s="52"/>
      <c r="D20" s="258"/>
      <c r="E20" s="3197" t="s">
        <v>742</v>
      </c>
      <c r="F20" s="3193" t="str">
        <f>dpIncome_MarketRent_LeaseStructure</f>
        <v>Triple Net</v>
      </c>
      <c r="G20" s="3195"/>
      <c r="H20" s="3196"/>
      <c r="I20" s="3196"/>
      <c r="J20" s="258"/>
      <c r="K20" s="6"/>
    </row>
    <row r="21" spans="1:17" ht="15.95" hidden="1" customHeight="1" x14ac:dyDescent="0.25">
      <c r="A21" s="957">
        <f>IF(OR(Salient_Sort_Type_1="Market Rent",Salient_Sort_Type_1="Fair Market Rent"),1,0)</f>
        <v>0</v>
      </c>
      <c r="B21" s="563"/>
      <c r="C21" s="52"/>
      <c r="D21" s="258"/>
      <c r="E21" s="3197" t="s">
        <v>1466</v>
      </c>
      <c r="F21" s="3198" t="str">
        <f>dpIncome_RentTenantSize_Subject</f>
        <v>Varies</v>
      </c>
      <c r="G21" s="3195"/>
      <c r="H21" s="3196"/>
      <c r="I21" s="3196"/>
      <c r="J21" s="258"/>
      <c r="K21" s="6"/>
    </row>
    <row r="22" spans="1:17" ht="15.95" hidden="1" customHeight="1" x14ac:dyDescent="0.25">
      <c r="A22" s="957">
        <f>IF(Value_Real_MVTAB="VTAB",1,0)</f>
        <v>0</v>
      </c>
      <c r="B22" s="781">
        <f>IF(Value_Real_MVTAB="VTAB",1,0)</f>
        <v>0</v>
      </c>
      <c r="C22" s="2049"/>
      <c r="D22" s="258"/>
      <c r="E22" s="3199" t="s">
        <v>4</v>
      </c>
      <c r="F22" s="3194"/>
      <c r="G22" s="3195"/>
      <c r="H22" s="3196"/>
      <c r="I22" s="3196"/>
      <c r="J22" s="258"/>
      <c r="K22" s="6"/>
    </row>
    <row r="23" spans="1:17" ht="15.95" hidden="1" customHeight="1" x14ac:dyDescent="0.25">
      <c r="A23" s="957">
        <f>A22</f>
        <v>0</v>
      </c>
      <c r="B23" s="781">
        <f>B22</f>
        <v>0</v>
      </c>
      <c r="C23" s="2049"/>
      <c r="D23" s="258"/>
      <c r="E23" s="3200" t="s">
        <v>1410</v>
      </c>
      <c r="F23" s="3206"/>
      <c r="G23" s="3962"/>
      <c r="H23" s="3207"/>
      <c r="I23" s="3207"/>
      <c r="J23" s="258"/>
      <c r="K23" s="6"/>
    </row>
    <row r="24" spans="1:17" ht="15.95" hidden="1" customHeight="1" x14ac:dyDescent="0.25">
      <c r="A24" s="957">
        <f>A22</f>
        <v>0</v>
      </c>
      <c r="B24" s="781">
        <f>B22</f>
        <v>0</v>
      </c>
      <c r="C24" s="2049"/>
      <c r="D24" s="258"/>
      <c r="E24" s="3200" t="s">
        <v>1411</v>
      </c>
      <c r="F24" s="3206"/>
      <c r="G24" s="3962"/>
      <c r="H24" s="3207"/>
      <c r="I24" s="3207"/>
      <c r="J24" s="258"/>
      <c r="K24" s="6"/>
    </row>
    <row r="25" spans="1:17" ht="15.95" hidden="1" customHeight="1" x14ac:dyDescent="0.25">
      <c r="A25" s="957">
        <f>A22</f>
        <v>0</v>
      </c>
      <c r="B25" s="781">
        <f>B22</f>
        <v>0</v>
      </c>
      <c r="C25" s="2049"/>
      <c r="D25" s="258"/>
      <c r="E25" s="3200" t="s">
        <v>1017</v>
      </c>
      <c r="F25" s="3206"/>
      <c r="G25" s="3962"/>
      <c r="H25" s="3207"/>
      <c r="I25" s="3207"/>
      <c r="J25" s="258"/>
      <c r="K25" s="6"/>
    </row>
    <row r="26" spans="1:17" ht="15.95" customHeight="1" x14ac:dyDescent="0.25">
      <c r="A26" s="957">
        <f>IF(OR(Salient_Sort_Type_1="Market Rent",Salient_Sort_Type_1="Fair Market Rent"),0,1)</f>
        <v>1</v>
      </c>
      <c r="B26" s="563">
        <v>1</v>
      </c>
      <c r="C26" s="52"/>
      <c r="D26" s="258"/>
      <c r="E26" s="3201" t="str">
        <f>IF(Value_Real_MVTAB="VTAB","Value of the Total Assets of the Business (VTAB)","Value Conclusion")</f>
        <v>Value Conclusion</v>
      </c>
      <c r="F26" s="537"/>
      <c r="G26" s="537"/>
      <c r="H26" s="537"/>
      <c r="I26" s="537"/>
      <c r="J26" s="258"/>
      <c r="K26" s="6"/>
    </row>
    <row r="27" spans="1:17" ht="15.95" customHeight="1" x14ac:dyDescent="0.25">
      <c r="A27" s="957"/>
      <c r="B27" s="563"/>
      <c r="C27" s="52"/>
      <c r="D27" s="258"/>
      <c r="E27" s="2984" t="s">
        <v>20094</v>
      </c>
      <c r="F27" s="537">
        <v>1000000</v>
      </c>
      <c r="G27" s="537"/>
      <c r="H27" s="537"/>
      <c r="I27" s="537"/>
      <c r="J27" s="258"/>
      <c r="K27" s="6"/>
    </row>
    <row r="28" spans="1:17" ht="15.95" customHeight="1" x14ac:dyDescent="0.25">
      <c r="A28" s="957"/>
      <c r="B28" s="563"/>
      <c r="C28" s="52"/>
      <c r="D28" s="258"/>
      <c r="E28" s="2984" t="s">
        <v>20095</v>
      </c>
      <c r="F28" s="537">
        <v>1000000</v>
      </c>
      <c r="G28" s="537"/>
      <c r="H28" s="537"/>
      <c r="I28" s="537"/>
      <c r="J28" s="258"/>
      <c r="K28" s="6"/>
    </row>
    <row r="29" spans="1:17" ht="15.95" customHeight="1" x14ac:dyDescent="0.25">
      <c r="A29" s="957"/>
      <c r="B29" s="563"/>
      <c r="C29" s="52"/>
      <c r="D29" s="258"/>
      <c r="E29" s="2984" t="s">
        <v>20096</v>
      </c>
      <c r="F29" s="537">
        <v>1000000</v>
      </c>
      <c r="G29" s="537"/>
      <c r="H29" s="537"/>
      <c r="I29" s="537"/>
      <c r="J29" s="258"/>
      <c r="K29" s="6"/>
    </row>
    <row r="30" spans="1:17" ht="15.95" customHeight="1" x14ac:dyDescent="0.25">
      <c r="A30" s="957"/>
      <c r="B30" s="563"/>
      <c r="C30" s="52"/>
      <c r="D30" s="258"/>
      <c r="E30" s="2984" t="s">
        <v>20097</v>
      </c>
      <c r="F30" s="537">
        <v>1000000</v>
      </c>
      <c r="G30" s="537"/>
      <c r="H30" s="537"/>
      <c r="I30" s="537"/>
      <c r="J30" s="258"/>
      <c r="K30" s="6"/>
    </row>
    <row r="31" spans="1:17" ht="15.95" customHeight="1" x14ac:dyDescent="0.25">
      <c r="A31" s="957"/>
      <c r="B31" s="563"/>
      <c r="C31" s="52"/>
      <c r="D31" s="258"/>
      <c r="E31" s="2984" t="s">
        <v>20098</v>
      </c>
      <c r="F31" s="537">
        <v>1000000</v>
      </c>
      <c r="G31" s="537"/>
      <c r="H31" s="537"/>
      <c r="I31" s="537"/>
      <c r="J31" s="258"/>
      <c r="K31" s="6"/>
    </row>
    <row r="32" spans="1:17" ht="15.95" customHeight="1" x14ac:dyDescent="0.25">
      <c r="A32" s="957"/>
      <c r="B32" s="563"/>
      <c r="C32" s="52"/>
      <c r="D32" s="258"/>
      <c r="E32" s="2984" t="s">
        <v>20099</v>
      </c>
      <c r="F32" s="537">
        <v>1000000</v>
      </c>
      <c r="G32" s="537"/>
      <c r="H32" s="537"/>
      <c r="I32" s="537"/>
      <c r="J32" s="258"/>
      <c r="K32" s="6"/>
    </row>
    <row r="33" spans="1:21" ht="15.95" customHeight="1" thickBot="1" x14ac:dyDescent="0.3">
      <c r="A33" s="957"/>
      <c r="B33" s="563"/>
      <c r="C33" s="52"/>
      <c r="D33" s="258"/>
      <c r="E33" s="4078" t="s">
        <v>20100</v>
      </c>
      <c r="F33" s="4079"/>
      <c r="G33" s="537"/>
      <c r="H33" s="537"/>
      <c r="I33" s="537"/>
      <c r="J33" s="258"/>
      <c r="K33" s="6"/>
    </row>
    <row r="34" spans="1:21" ht="15.95" customHeight="1" thickBot="1" x14ac:dyDescent="0.3">
      <c r="A34" s="957"/>
      <c r="B34" s="563"/>
      <c r="C34" s="52"/>
      <c r="D34" s="258"/>
      <c r="E34" s="4078" t="s">
        <v>93</v>
      </c>
      <c r="F34" s="4079">
        <f>SUM(F27:F32)</f>
        <v>6000000</v>
      </c>
      <c r="G34" s="537"/>
      <c r="H34" s="537"/>
      <c r="I34" s="537"/>
      <c r="J34" s="258"/>
      <c r="K34" s="6"/>
    </row>
    <row r="35" spans="1:21" s="142" customFormat="1" ht="15.95" customHeight="1" thickBot="1" x14ac:dyDescent="0.3">
      <c r="A35" s="976">
        <v>1</v>
      </c>
      <c r="B35" s="140">
        <v>1</v>
      </c>
      <c r="C35" s="4081"/>
      <c r="D35" s="2984"/>
      <c r="E35" s="4078"/>
      <c r="F35" s="3778" t="str">
        <f>IF(DOV1_Selection=1,IF(dpUnit_Land="Per Usable Acre",TEXT(dpValue_Final_1/Subject_LandPrimary_UsableAcres,"$0,000")&amp;" per Acre",IF(dpUnit_Land="Per Gross Acre",TEXT(dpValue_Final_1/Subject_LandPrimary_GrossAcres,"$0,000")&amp;" per Acre",IF(dpUnit_Land="Per Usable Square Foot",TEXT(dpValue_Final_1/Subject_LandPrimary_UsableSF,"$#,##0.00")&amp;" PSF",IF(dpUnit_Land="Per Gross Square Foot",TEXT(dpValue_Final_1/Subject_LandPrimary_GrossSF,"$#,##0.00")&amp;" PSF",IF(dpUnit_Land="Per Front Foot",TEXT(dpValue_Final_1/Subject_PrimaryFrontageFeet,"$0,000")&amp;" per Front Foot",IF(dpUnit_Land="Per Proposed Square Foot",TEXT(dpValue_Final_1/Subject_GBA,"$#,##0.00")&amp;" PSF",TEXT(dpValue_Final_1/Subject_Lots,"$0,000")&amp;" per Lot")))))),IF(DOV1_Selection=2,IF(OR(Salient_Sort_Type_1="Market Rent",Salient_Sort_Type_1="Fair Market Rent"),TEXT(dpIncome_MarketRentEstimate,"$#,##0.00")&amp;" PSF",IF(dpUnit_Sales="Net Rentable Area",TEXT(dpValue_Final_1/Subject_NRA,"$#,##0.00")&amp;" PSF",IF(dpUnit_Sales="Gross Building Area",TEXT(dpValue_Final_1/Subject_GBA,"$#,##0.00")&amp;" PSF",TEXT(dpValue_Final_1/Subject_Units,"$#,##0.00")&amp;" per Unit"))),""))</f>
        <v>$0.00 PSF</v>
      </c>
      <c r="G35" s="3202" t="str">
        <f>IF(DOV2_Selection=1,IF(dpUnit_Land="Per Usable Acre",TEXT(dpValue_Final_2/Subject_LandPrimary_UsableAcres,"$0,000")&amp;" per Acre",IF(dpUnit_Land="Per Gross Acre",TEXT(dpValue_Final_2/Subject_LandPrimary_GrossAcres,"$0,000")&amp;" per Acre",IF(dpUnit_Land="Per Usable Square Foot",TEXT(dpValue_Final_2/Subject_LandPrimary_UsableSF,"$#,##0.00")&amp;" PSF",IF(dpUnit_Land="Per Gross Square Foot",TEXT(dpValue_Final_2/Subject_LandPrimary_GrossSF,"$#,##0.00")&amp;" PSF",IF(dpUnit_Land="Per Front Foot",TEXT(dpValue_Final_2/Subject_PrimaryFrontageFeet,"$0,000")&amp;" per Front Foot",IF(dpUnit_Land="Per Proposed Square Foot",TEXT(dpValue_Final_2/Subject_GBA,"$#,##0.00")&amp;" PSF",TEXT(dpValue_Final_2/Subject_Lots,"$0,000")&amp;" per Lot")))))),IF(DOV2_Selection=2,IF(OR(Salient_Sort_Type_1="Market Rent",Salient_Sort_Type_1="Fair Market Rent"),TEXT(dpIncome_MarketRentEstimate,"$#,##0.00")&amp;" PSF",IF(dpUnit_Sales="Net Rentable Area",TEXT(dpValue_Final_2/Subject_NRA,"$#,##0.00")&amp;" PSF",IF(dpUnit_Sales="Gross Building Area",TEXT(dpValue_Final_2/Subject_GBA,"$#,##0.00")&amp;" PSF",TEXT(dpValue_Final_2/Subject_Units,"$#,##0.00")&amp;" per Unit"))),""))</f>
        <v/>
      </c>
      <c r="H35" s="3202" t="str">
        <f>IF(DOV3_Selection=1,IF(dpUnit_Land="Per Usable Acre",TEXT(dpValue_Final_3/Subject_LandPrimary_UsableAcres,"$0,000")&amp;" per Acre",IF(dpUnit_Land="Per Gross Acre",TEXT(dpValue_Final_3/Subject_LandPrimary_GrossAcres,"$0,000")&amp;" per Acre",IF(dpUnit_Land="Per Usable Square Foot",TEXT(dpValue_Final_3/Subject_LandPrimary_UsableSF,"$#,##0.00")&amp;" PSF",IF(dpUnit_Land="Per Gross Square Foot",TEXT(dpValue_Final_3/Subject_LandPrimary_GrossSF,"$#,##0.00")&amp;" PSF",IF(dpUnit_Land="Per Front Foot",TEXT(dpValue_Final_3/Subject_PrimaryFrontageFeet,"$0,000")&amp;" per Front Foot",IF(dpUnit_Land="Per Proposed Square Foot",TEXT(dpValue_Final_3/Subject_GBA,"$#,##0.00")&amp;" PSF",TEXT(dpValue_Final_3/Subject_Lots,"$0,000")&amp;" per Lot")))))),IF(DOV3_Selection=2,IF(OR(Salient_Sort_Type_1="Market Rent",Salient_Sort_Type_1="Fair Market Rent"),TEXT(dpIncome_MarketRentEstimate,"$#,##0.00")&amp;" PSF",IF(dpUnit_Sales="Net Rentable Area",TEXT(dpValue_Final_3/Subject_NRA,"$#,##0.00")&amp;" PSF",IF(dpUnit_Sales="Gross Building Area",TEXT(dpValue_Final_3/Subject_GBA,"$#,##0.00")&amp;" PSF",TEXT(dpValue_Final_3/Subject_Units,"$#,##0.00")&amp;" per Unit"))),""))</f>
        <v/>
      </c>
      <c r="I35" s="4080"/>
      <c r="J35" s="2984"/>
      <c r="K35" s="288"/>
      <c r="S35" s="1321"/>
    </row>
    <row r="36" spans="1:21" ht="20.100000000000001" customHeight="1" x14ac:dyDescent="0.25">
      <c r="A36" s="957">
        <v>1</v>
      </c>
      <c r="B36" s="16">
        <v>1</v>
      </c>
      <c r="C36" s="51"/>
      <c r="D36" s="5"/>
      <c r="E36" s="43" t="s">
        <v>850</v>
      </c>
      <c r="F36" s="19"/>
      <c r="G36" s="19"/>
      <c r="H36" s="19"/>
      <c r="I36" s="19"/>
      <c r="J36" s="5"/>
      <c r="K36" s="6"/>
    </row>
    <row r="37" spans="1:21" s="32" customFormat="1" ht="20.100000000000001" customHeight="1" thickBot="1" x14ac:dyDescent="0.3">
      <c r="A37" s="957">
        <v>1</v>
      </c>
      <c r="B37" s="95">
        <v>1</v>
      </c>
      <c r="C37" s="440"/>
      <c r="D37" s="565"/>
      <c r="E37" s="552" t="s">
        <v>988</v>
      </c>
      <c r="F37" s="999"/>
      <c r="G37" s="999"/>
      <c r="H37" s="999"/>
      <c r="I37" s="999"/>
      <c r="J37" s="565"/>
      <c r="K37" s="680"/>
      <c r="S37" s="1322"/>
    </row>
    <row r="38" spans="1:21" x14ac:dyDescent="0.25">
      <c r="A38" s="957">
        <v>1</v>
      </c>
      <c r="B38" s="32">
        <v>1</v>
      </c>
      <c r="C38" s="32"/>
      <c r="F38" s="41">
        <f>IF(dpValue_Scenario1="",0,1)</f>
        <v>1</v>
      </c>
      <c r="G38" s="41">
        <f>IF(dpValue_Scenario2="",0,1)</f>
        <v>0</v>
      </c>
      <c r="H38" s="41">
        <f>IF(dpValue_Scenario3="",0,1)</f>
        <v>0</v>
      </c>
      <c r="I38" s="41"/>
      <c r="N38" s="1"/>
      <c r="O38" s="2"/>
      <c r="P38" s="2"/>
      <c r="Q38" s="2"/>
      <c r="R38" s="2"/>
      <c r="S38" s="123"/>
      <c r="T38" s="2"/>
      <c r="U38" s="3"/>
    </row>
    <row r="39" spans="1:21" s="36" customFormat="1" ht="18" customHeight="1" x14ac:dyDescent="0.25">
      <c r="A39" s="972">
        <v>1</v>
      </c>
      <c r="B39" s="750">
        <v>1</v>
      </c>
      <c r="C39" s="750"/>
      <c r="F39" s="243">
        <f>IF(DOV1_Selection=1,IF(dpUnit_Land="Per Usable Acre",Subject_LandPrimary_UsableAcres,IF(dpUnit_Land="Per Gross Acre",Subject_LandPrimary_GrossAcres,IF(dpUnit_Land="Per Usable Square Foot",Subject_LandPrimary_UsableSF,IF(dpUnit_Land="Per Gross Square Foot",Subject_LandPrimary_GrossSF,IF(dpUnit_Land="Per Front Foot",Subject_PrimaryFrontageFeet,IF(dpUnit_Land="Per Proposed Square Foot",Subject_GBA,Subject_Lots)))))),IF(DOV1_Selection=2,IF(dpUnit_Sales="Net Rentable Area",Subject_NRA,IF(dpUnit_Sales="Gross Building Area",Subject_GBA,Subject_Units))))</f>
        <v>209208</v>
      </c>
      <c r="G39" s="243"/>
      <c r="H39" s="243"/>
      <c r="I39" s="243"/>
      <c r="N39" s="87"/>
      <c r="O39" s="4430" t="s">
        <v>20119</v>
      </c>
      <c r="P39" s="4430"/>
      <c r="Q39" s="4430"/>
      <c r="R39" s="4430"/>
      <c r="S39" s="4430"/>
      <c r="T39" s="4430"/>
      <c r="U39" s="89"/>
    </row>
    <row r="40" spans="1:21" s="36" customFormat="1" ht="20.100000000000001" hidden="1" customHeight="1" x14ac:dyDescent="0.25">
      <c r="A40" s="972">
        <f>IF(OR(S40=0,S40="N/A"),0,1)</f>
        <v>0</v>
      </c>
      <c r="B40" s="750">
        <v>1</v>
      </c>
      <c r="C40" s="750"/>
      <c r="F40" s="902"/>
      <c r="G40" s="902"/>
      <c r="H40" s="902"/>
      <c r="I40" s="902"/>
      <c r="N40" s="87"/>
      <c r="O40" s="259"/>
      <c r="P40" s="259"/>
      <c r="Q40" s="259" t="str">
        <f>IF(Salient_Sort_Perspective_3="Current",IF(OR(Salient_Sort_Type_3="Market Rent",Salient_Sort_Type_3="Fair Market Rent"),CONCATENATE(Salient_Sort_Premise_3," ",Salient_Sort_Type_3),CONCATENATE(Salient_Sort_Premise_3," ",Salient_Sort_Type_3," of the ",Salient_Sort_Interest_3," Interest")),CONCATENATE(Salient_Sort_Perspective_3," ",Salient_Sort_Premise_3," ",Salient_Sort_Type_3," of the ",Salient_Sort_Interest_3," Interest"))</f>
        <v>N/A N/A N/A of the N/A Interest</v>
      </c>
      <c r="R40" s="259"/>
      <c r="S40" s="3203" t="str">
        <f>Salient_Sort_DOV_3</f>
        <v>N/A</v>
      </c>
      <c r="T40" s="259"/>
      <c r="U40" s="89"/>
    </row>
    <row r="41" spans="1:21" s="36" customFormat="1" ht="20.100000000000001" hidden="1" customHeight="1" x14ac:dyDescent="0.25">
      <c r="A41" s="972">
        <f>IF(OR(S41=0,S41="N/A"),0,1)</f>
        <v>0</v>
      </c>
      <c r="B41" s="750">
        <v>1</v>
      </c>
      <c r="C41" s="750"/>
      <c r="F41" s="902"/>
      <c r="G41" s="902"/>
      <c r="H41" s="902"/>
      <c r="I41" s="902"/>
      <c r="N41" s="87"/>
      <c r="O41" s="259"/>
      <c r="P41" s="259"/>
      <c r="Q41" s="259" t="str">
        <f>IF(Salient_Sort_Perspective_2="Current",IF(OR(Salient_Sort_Type_2="Market Rent",Salient_Sort_Type_2="Fair Market Rent"),CONCATENATE(Salient_Sort_Premise_2," ",Salient_Sort_Type_2),CONCATENATE(Salient_Sort_Premise_2," ",Salient_Sort_Type_2," of the ",Salient_Sort_Interest_2," Interest")),CONCATENATE(Salient_Sort_Perspective_2," ",Salient_Sort_Premise_2," ",Salient_Sort_Type_2," of the ",Salient_Sort_Interest_2," Interest"))</f>
        <v>N/A N/A N/A of the N/A Interest</v>
      </c>
      <c r="R41" s="259"/>
      <c r="S41" s="3203" t="str">
        <f>Salient_Sort_DOV_2</f>
        <v>N/A</v>
      </c>
      <c r="T41" s="259"/>
      <c r="U41" s="89"/>
    </row>
    <row r="42" spans="1:21" s="36" customFormat="1" ht="20.100000000000001" customHeight="1" x14ac:dyDescent="0.25">
      <c r="A42" s="972"/>
      <c r="B42" s="750"/>
      <c r="C42" s="750"/>
      <c r="F42" s="902"/>
      <c r="G42" s="902"/>
      <c r="H42" s="902"/>
      <c r="I42" s="902"/>
      <c r="N42" s="4431"/>
      <c r="O42" s="4432"/>
      <c r="P42" s="4432"/>
      <c r="Q42" s="4433"/>
      <c r="R42" s="4435" t="s">
        <v>20120</v>
      </c>
      <c r="S42" s="4436" t="s">
        <v>20121</v>
      </c>
      <c r="T42" s="4432"/>
      <c r="U42" s="4434"/>
    </row>
    <row r="43" spans="1:21" s="36" customFormat="1" ht="20.100000000000001" customHeight="1" x14ac:dyDescent="0.25">
      <c r="A43" s="972"/>
      <c r="B43" s="750"/>
      <c r="C43" s="750"/>
      <c r="F43" s="902"/>
      <c r="G43" s="902"/>
      <c r="H43" s="902"/>
      <c r="I43" s="902"/>
      <c r="N43" s="87"/>
      <c r="O43" s="259"/>
      <c r="P43" s="259"/>
      <c r="Q43" s="259" t="s">
        <v>20122</v>
      </c>
      <c r="R43" s="259"/>
      <c r="S43" s="3203"/>
      <c r="T43" s="259"/>
      <c r="U43" s="89"/>
    </row>
    <row r="44" spans="1:21" s="36" customFormat="1" ht="20.100000000000001" customHeight="1" x14ac:dyDescent="0.25">
      <c r="A44" s="972"/>
      <c r="B44" s="750"/>
      <c r="C44" s="750"/>
      <c r="F44" s="902"/>
      <c r="G44" s="902"/>
      <c r="H44" s="902"/>
      <c r="I44" s="902"/>
      <c r="N44" s="87"/>
      <c r="O44" s="259"/>
      <c r="P44" s="259"/>
      <c r="Q44" s="259"/>
      <c r="R44" s="259"/>
      <c r="S44" s="3203"/>
      <c r="T44" s="259"/>
      <c r="U44" s="89"/>
    </row>
    <row r="45" spans="1:21" s="36" customFormat="1" ht="20.100000000000001" customHeight="1" x14ac:dyDescent="0.25">
      <c r="A45" s="972"/>
      <c r="B45" s="750"/>
      <c r="C45" s="750"/>
      <c r="F45" s="902"/>
      <c r="G45" s="902"/>
      <c r="H45" s="902"/>
      <c r="I45" s="902"/>
      <c r="N45" s="87"/>
      <c r="O45" s="259"/>
      <c r="P45" s="259"/>
      <c r="Q45" s="259"/>
      <c r="R45" s="259"/>
      <c r="S45" s="3203"/>
      <c r="T45" s="259"/>
      <c r="U45" s="89"/>
    </row>
    <row r="46" spans="1:21" s="36" customFormat="1" ht="20.100000000000001" customHeight="1" x14ac:dyDescent="0.25">
      <c r="A46" s="972"/>
      <c r="B46" s="750"/>
      <c r="C46" s="750"/>
      <c r="F46" s="902"/>
      <c r="G46" s="902"/>
      <c r="H46" s="902"/>
      <c r="I46" s="902"/>
      <c r="N46" s="87"/>
      <c r="O46" s="259"/>
      <c r="P46" s="259"/>
      <c r="Q46" s="259"/>
      <c r="R46" s="259"/>
      <c r="S46" s="3203"/>
      <c r="T46" s="259"/>
      <c r="U46" s="89"/>
    </row>
    <row r="47" spans="1:21" s="36" customFormat="1" ht="20.100000000000001" customHeight="1" x14ac:dyDescent="0.25">
      <c r="A47" s="972"/>
      <c r="B47" s="750"/>
      <c r="C47" s="750"/>
      <c r="F47" s="902"/>
      <c r="G47" s="902"/>
      <c r="H47" s="902"/>
      <c r="I47" s="902"/>
      <c r="N47" s="87"/>
      <c r="O47" s="259"/>
      <c r="P47" s="259"/>
      <c r="Q47" s="259"/>
      <c r="R47" s="259"/>
      <c r="S47" s="3203"/>
      <c r="T47" s="259"/>
      <c r="U47" s="89"/>
    </row>
    <row r="48" spans="1:21" s="36" customFormat="1" ht="20.100000000000001" customHeight="1" thickBot="1" x14ac:dyDescent="0.3">
      <c r="A48" s="972">
        <f>IF(OR(S48=0,S48="N/A"),0,1)</f>
        <v>1</v>
      </c>
      <c r="B48" s="750">
        <v>1</v>
      </c>
      <c r="C48" s="750"/>
      <c r="F48" s="902"/>
      <c r="G48" s="902"/>
      <c r="H48" s="902"/>
      <c r="I48" s="902"/>
      <c r="N48" s="87"/>
      <c r="O48" s="259"/>
      <c r="P48" s="4437"/>
      <c r="Q48" s="4437"/>
      <c r="R48" s="3204"/>
      <c r="S48" s="3205">
        <f>Salient_Sort_DOV_1</f>
        <v>45473</v>
      </c>
      <c r="T48" s="259"/>
      <c r="U48" s="89"/>
    </row>
    <row r="49" spans="1:29" ht="20.100000000000001" customHeight="1" thickBot="1" x14ac:dyDescent="0.3">
      <c r="N49" s="8"/>
      <c r="O49" s="7"/>
      <c r="P49" s="7"/>
      <c r="Q49" s="552" t="s">
        <v>851</v>
      </c>
      <c r="R49" s="552"/>
      <c r="S49" s="800"/>
      <c r="T49" s="7"/>
      <c r="U49" s="9"/>
    </row>
    <row r="50" spans="1:29" ht="15" thickBot="1" x14ac:dyDescent="0.3"/>
    <row r="51" spans="1:29" x14ac:dyDescent="0.25">
      <c r="W51" s="1"/>
      <c r="X51" s="2"/>
      <c r="Y51" s="2"/>
      <c r="Z51" s="2"/>
      <c r="AA51" s="2"/>
      <c r="AB51" s="2"/>
      <c r="AC51" s="3"/>
    </row>
    <row r="52" spans="1:29" ht="16.5" x14ac:dyDescent="0.3">
      <c r="W52" s="4"/>
      <c r="X52" s="5"/>
      <c r="Y52" s="246" t="s">
        <v>4</v>
      </c>
      <c r="Z52" s="5"/>
      <c r="AA52" s="5"/>
      <c r="AB52" s="5"/>
      <c r="AC52" s="6"/>
    </row>
    <row r="53" spans="1:29" ht="30" customHeight="1" x14ac:dyDescent="0.25">
      <c r="W53" s="4"/>
      <c r="Y53" s="12" t="s">
        <v>502</v>
      </c>
      <c r="Z53" s="290">
        <f>S39</f>
        <v>0</v>
      </c>
      <c r="AA53" s="55" t="s">
        <v>533</v>
      </c>
      <c r="AB53" s="55"/>
      <c r="AC53" s="6"/>
    </row>
    <row r="54" spans="1:29" s="36" customFormat="1" ht="20.100000000000001" customHeight="1" x14ac:dyDescent="0.25">
      <c r="A54" s="243"/>
      <c r="F54" s="902"/>
      <c r="G54" s="902"/>
      <c r="H54" s="902"/>
      <c r="I54" s="902"/>
      <c r="S54" s="902"/>
      <c r="W54" s="87"/>
      <c r="X54" s="681"/>
      <c r="Y54" s="681" t="str">
        <f>LEFT(Salient_ValueScenario_1, LEN(Salient_ValueScenario_1)-11)</f>
        <v>Retrospective Fee Simple Market Value</v>
      </c>
      <c r="Z54" s="682">
        <f>Salient_Sort_DOV_1</f>
        <v>45473</v>
      </c>
      <c r="AA54" s="684">
        <f>dpValue_Final_1</f>
        <v>0</v>
      </c>
      <c r="AB54" s="681"/>
      <c r="AC54" s="89"/>
    </row>
    <row r="55" spans="1:29" s="36" customFormat="1" ht="20.100000000000001" customHeight="1" x14ac:dyDescent="0.25">
      <c r="A55" s="243"/>
      <c r="F55" s="902"/>
      <c r="G55" s="902"/>
      <c r="H55" s="902"/>
      <c r="I55" s="902"/>
      <c r="S55" s="902"/>
      <c r="W55" s="87"/>
      <c r="X55" s="681"/>
      <c r="Y55" s="681" t="e">
        <f>LEFT(Salient_ValueScenario_2, LEN(Salient_ValueScenario_2)-11)</f>
        <v>#VALUE!</v>
      </c>
      <c r="Z55" s="682" t="str">
        <f>Salient_Sort_DOV_2</f>
        <v>N/A</v>
      </c>
      <c r="AA55" s="684">
        <f>dpValue_Final_2</f>
        <v>0</v>
      </c>
      <c r="AB55" s="681"/>
      <c r="AC55" s="89"/>
    </row>
    <row r="56" spans="1:29" s="36" customFormat="1" ht="20.100000000000001" customHeight="1" x14ac:dyDescent="0.25">
      <c r="A56" s="243"/>
      <c r="F56" s="902"/>
      <c r="G56" s="902"/>
      <c r="H56" s="902"/>
      <c r="I56" s="902"/>
      <c r="S56" s="902"/>
      <c r="W56" s="87"/>
      <c r="X56" s="681"/>
      <c r="Y56" s="681" t="e">
        <f>LEFT(Salient_ValueScenario_3, LEN(Salient_ValueScenario_3)-11)</f>
        <v>#VALUE!</v>
      </c>
      <c r="Z56" s="682" t="str">
        <f>Salient_Sort_DOV_3</f>
        <v>N/A</v>
      </c>
      <c r="AA56" s="684">
        <f>dpValue_Final_3</f>
        <v>0</v>
      </c>
      <c r="AB56" s="681"/>
      <c r="AC56" s="89"/>
    </row>
    <row r="57" spans="1:29" s="36" customFormat="1" ht="20.100000000000001" customHeight="1" x14ac:dyDescent="0.25">
      <c r="A57" s="243"/>
      <c r="F57" s="902"/>
      <c r="G57" s="902"/>
      <c r="H57" s="902"/>
      <c r="I57" s="902"/>
      <c r="S57" s="902"/>
      <c r="W57" s="87"/>
      <c r="X57" s="681"/>
      <c r="Y57" s="681"/>
      <c r="Z57" s="682"/>
      <c r="AA57" s="684"/>
      <c r="AB57" s="681"/>
      <c r="AC57" s="89"/>
    </row>
    <row r="58" spans="1:29" s="36" customFormat="1" ht="20.100000000000001" customHeight="1" x14ac:dyDescent="0.25">
      <c r="A58" s="243"/>
      <c r="F58" s="902"/>
      <c r="G58" s="902"/>
      <c r="H58" s="902"/>
      <c r="I58" s="902"/>
      <c r="S58" s="902"/>
      <c r="W58" s="87"/>
      <c r="X58" s="681"/>
      <c r="Y58" s="681"/>
      <c r="Z58" s="682"/>
      <c r="AA58" s="684"/>
      <c r="AB58" s="681"/>
      <c r="AC58" s="89"/>
    </row>
    <row r="59" spans="1:29" ht="5.0999999999999996" customHeight="1" thickBot="1" x14ac:dyDescent="0.3">
      <c r="W59" s="4"/>
      <c r="X59" s="5"/>
      <c r="Y59" s="5"/>
      <c r="Z59" s="5"/>
      <c r="AA59" s="5"/>
      <c r="AB59" s="5"/>
      <c r="AC59" s="6"/>
    </row>
    <row r="60" spans="1:29" x14ac:dyDescent="0.25">
      <c r="W60" s="4"/>
      <c r="X60" s="5"/>
      <c r="Y60" s="558" t="s">
        <v>989</v>
      </c>
      <c r="Z60" s="683"/>
      <c r="AA60" s="683"/>
      <c r="AB60" s="5"/>
      <c r="AC60" s="6"/>
    </row>
    <row r="61" spans="1:29" s="36" customFormat="1" ht="75" customHeight="1" thickBot="1" x14ac:dyDescent="0.3">
      <c r="A61" s="243"/>
      <c r="F61" s="902"/>
      <c r="G61" s="902"/>
      <c r="H61" s="902"/>
      <c r="I61" s="902"/>
      <c r="S61" s="902"/>
      <c r="W61" s="646"/>
      <c r="X61" s="647"/>
      <c r="Y61" s="4089" t="s">
        <v>992</v>
      </c>
      <c r="Z61" s="4089"/>
      <c r="AA61" s="4089"/>
      <c r="AB61" s="647"/>
      <c r="AC61" s="649"/>
    </row>
  </sheetData>
  <mergeCells count="3">
    <mergeCell ref="Y61:AA61"/>
    <mergeCell ref="O39:T39"/>
    <mergeCell ref="P48:Q48"/>
  </mergeCells>
  <printOptions horizontalCentered="1"/>
  <pageMargins left="0.5" right="0.5"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Invalid Option - Please Select from the List" prompt="Select MVTAB to show Value Component Lines" xr:uid="{00000000-0002-0000-0300-000000000000}">
          <x14:formula1>
            <xm:f>'Selection Tables'!$G$18:$G$19</xm:f>
          </x14:formula1>
          <xm:sqref>M3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4"/>
    <pageSetUpPr fitToPage="1"/>
  </sheetPr>
  <dimension ref="A1:Q17"/>
  <sheetViews>
    <sheetView showGridLines="0" topLeftCell="B1" zoomScaleNormal="100" workbookViewId="0">
      <selection activeCell="F9" sqref="F9:N16"/>
    </sheetView>
  </sheetViews>
  <sheetFormatPr defaultColWidth="9.140625" defaultRowHeight="14.25" x14ac:dyDescent="0.25"/>
  <cols>
    <col min="1" max="1" width="5.7109375" style="41" customWidth="1"/>
    <col min="2" max="2" width="20.7109375" style="96" customWidth="1"/>
    <col min="3" max="3" width="30.42578125" style="96" bestFit="1" customWidth="1"/>
    <col min="4" max="4" width="11.7109375" style="10" customWidth="1"/>
    <col min="5" max="5" width="2.7109375" style="10" customWidth="1"/>
    <col min="6" max="6" width="0.85546875" style="10" customWidth="1"/>
    <col min="7" max="7" width="36.7109375" style="10" customWidth="1"/>
    <col min="8" max="13" width="9.7109375" style="10" customWidth="1"/>
    <col min="14" max="14" width="0.85546875" style="10" customWidth="1"/>
    <col min="15" max="16" width="2.7109375" style="10" customWidth="1"/>
    <col min="17" max="17" width="27.7109375" style="10" customWidth="1"/>
    <col min="18" max="16384" width="9.140625" style="10"/>
  </cols>
  <sheetData>
    <row r="1" spans="1:17" ht="60" customHeight="1" x14ac:dyDescent="0.25">
      <c r="G1" s="2559" t="s">
        <v>17847</v>
      </c>
    </row>
    <row r="2" spans="1:17" ht="21" customHeight="1" x14ac:dyDescent="0.25">
      <c r="B2" s="207" t="s">
        <v>18702</v>
      </c>
      <c r="G2" s="2234"/>
    </row>
    <row r="3" spans="1:17" ht="17.25" x14ac:dyDescent="0.25">
      <c r="B3" s="2562">
        <v>2024</v>
      </c>
      <c r="C3" s="207"/>
      <c r="G3" s="2234"/>
    </row>
    <row r="4" spans="1:17" ht="15" customHeight="1" x14ac:dyDescent="0.25">
      <c r="C4" s="2563"/>
      <c r="D4" s="1996"/>
      <c r="G4" s="2234"/>
    </row>
    <row r="5" spans="1:17" ht="15" customHeight="1" x14ac:dyDescent="0.25">
      <c r="B5" s="667" t="s">
        <v>18129</v>
      </c>
      <c r="E5" s="1996"/>
      <c r="Q5" s="2224"/>
    </row>
    <row r="6" spans="1:17" x14ac:dyDescent="0.25">
      <c r="D6" s="2560" t="str">
        <f>"◄   " &amp; IFERROR(INDEX(BLS_TableState[],MATCH(BLS_Series1_Name,BLS_TableState[area_text],0),1),"-Select-")</f>
        <v>◄   A</v>
      </c>
      <c r="E6" s="1996"/>
      <c r="Q6" s="2224"/>
    </row>
    <row r="7" spans="1:17" ht="15" thickBot="1" x14ac:dyDescent="0.3">
      <c r="B7" s="957"/>
      <c r="C7" s="957"/>
      <c r="D7" s="2560" t="str">
        <f>"◄   " &amp; IFERROR(INDEX(BLS_TableMSA[],MATCH(BLS_Series2_Name,BLS_TableMSA[area_text],0),1),"-Select-")</f>
        <v>◄   B</v>
      </c>
      <c r="G7" s="2229">
        <v>2</v>
      </c>
      <c r="H7" s="2229">
        <v>3</v>
      </c>
      <c r="I7" s="2229">
        <v>4</v>
      </c>
      <c r="J7" s="2229">
        <v>5</v>
      </c>
      <c r="K7" s="2229">
        <v>6</v>
      </c>
      <c r="L7" s="2229">
        <v>7</v>
      </c>
      <c r="M7" s="2229">
        <v>8</v>
      </c>
      <c r="N7" s="2231">
        <v>9</v>
      </c>
      <c r="O7" s="2225"/>
      <c r="P7" s="2225"/>
    </row>
    <row r="8" spans="1:17" ht="15" customHeight="1" x14ac:dyDescent="0.25">
      <c r="B8" s="957"/>
      <c r="C8" s="957"/>
      <c r="D8" s="2560" t="str">
        <f>"◄   " &amp; IFERROR(INDEX(BLS_TableCounty[],MATCH(BLS_Series3_Name,BLS_TableCounty[area_text],0),1),"-Select-")</f>
        <v>◄   -Select-</v>
      </c>
      <c r="E8" s="1"/>
      <c r="F8" s="2"/>
      <c r="G8" s="2"/>
      <c r="H8" s="2"/>
      <c r="I8" s="2"/>
      <c r="J8" s="2"/>
      <c r="K8" s="2"/>
      <c r="L8" s="2"/>
      <c r="M8" s="2"/>
      <c r="N8" s="2"/>
      <c r="O8" s="3"/>
    </row>
    <row r="9" spans="1:17" s="142" customFormat="1" ht="16.5" x14ac:dyDescent="0.3">
      <c r="A9" s="515"/>
      <c r="B9" s="976"/>
      <c r="C9" s="976"/>
      <c r="D9" s="2561" t="str">
        <f>"◄   " &amp; IFERROR(INDEX(BLS_TableTown[],MATCH(BLS_Series4_Name,BLS_TableTown[area_text],0),1),"-Select-")</f>
        <v>◄   G</v>
      </c>
      <c r="E9" s="286"/>
      <c r="F9" s="492"/>
      <c r="G9" s="27" t="s">
        <v>90</v>
      </c>
      <c r="H9" s="494"/>
      <c r="I9" s="494"/>
      <c r="J9" s="494"/>
      <c r="K9" s="494"/>
      <c r="L9" s="494"/>
      <c r="M9" s="494"/>
      <c r="N9" s="495"/>
      <c r="O9" s="288"/>
    </row>
    <row r="10" spans="1:17" s="142" customFormat="1" ht="15" customHeight="1" thickBot="1" x14ac:dyDescent="0.3">
      <c r="A10" s="515"/>
      <c r="B10" s="976"/>
      <c r="C10" s="976"/>
      <c r="D10" s="2233">
        <v>1</v>
      </c>
      <c r="E10" s="286"/>
      <c r="F10" s="502"/>
      <c r="G10" s="207" t="s">
        <v>74</v>
      </c>
      <c r="H10" s="3121" cm="1">
        <f t="array" ref="H10">IFERROR(INDEX(BLS_Unemployment_Rates_Table,$D10,H$7),"n/a")</f>
        <v>2019</v>
      </c>
      <c r="I10" s="3121" cm="1">
        <f t="array" ref="I10">INDEX(BLS_Unemployment_Rates_Table,$D10,I$7)</f>
        <v>2020</v>
      </c>
      <c r="J10" s="3121" cm="1">
        <f t="array" ref="J10">INDEX(BLS_Unemployment_Rates_Table,$D10,J$7)</f>
        <v>2021</v>
      </c>
      <c r="K10" s="3121" cm="1">
        <f t="array" ref="K10">INDEX(BLS_Unemployment_Rates_Table,$D10,K$7)</f>
        <v>2022</v>
      </c>
      <c r="L10" s="3121" cm="1">
        <f t="array" ref="L10">INDEX(BLS_Unemployment_Rates_Table,$D10,L$7)</f>
        <v>2023</v>
      </c>
      <c r="M10" s="3122" t="str" cm="1">
        <f t="array" ref="M10">INDEX(BLS_Unemployment_Rates_Table,$D10,M$7)</f>
        <v>2024¹</v>
      </c>
      <c r="N10" s="490"/>
      <c r="O10" s="288"/>
      <c r="Q10" s="2235" t="s">
        <v>17846</v>
      </c>
    </row>
    <row r="11" spans="1:17" s="142" customFormat="1" ht="15" customHeight="1" x14ac:dyDescent="0.25">
      <c r="A11" s="976"/>
      <c r="B11" s="976"/>
      <c r="C11" s="976"/>
      <c r="D11" s="2233">
        <v>2</v>
      </c>
      <c r="E11" s="286"/>
      <c r="F11" s="2994"/>
      <c r="G11" s="2995" t="str" cm="1">
        <f t="array" ref="G11">INDEX(BLS_Unemployment_Rates_Table,$D11,G$7)</f>
        <v>United States</v>
      </c>
      <c r="H11" s="2996" cm="1">
        <f t="array" ref="H11">IFERROR(INDEX(BLS_Unemployment_Rates_Table,$D11,H$7)*100,"n/a")</f>
        <v>3.7000000000000006</v>
      </c>
      <c r="I11" s="2996" cm="1">
        <f t="array" ref="I11">IFERROR(INDEX(BLS_Unemployment_Rates_Table,$D11,I$7)*100,"n/a")</f>
        <v>8.1</v>
      </c>
      <c r="J11" s="2996" cm="1">
        <f t="array" ref="J11">IFERROR(INDEX(BLS_Unemployment_Rates_Table,$D11,J$7)*100,"n/a")</f>
        <v>5.3</v>
      </c>
      <c r="K11" s="2996" cm="1">
        <f t="array" ref="K11">IFERROR(INDEX(BLS_Unemployment_Rates_Table,$D11,K$7)*100,"n/a")</f>
        <v>3.6000000000000005</v>
      </c>
      <c r="L11" s="2996" cm="1">
        <f t="array" ref="L11">IFERROR(INDEX(BLS_Unemployment_Rates_Table,$D11,L$7)*100,"n/a")</f>
        <v>3.6000000000000005</v>
      </c>
      <c r="M11" s="2996" cm="1">
        <f t="array" ref="M11">IFERROR(INDEX(BLS_Unemployment_Rates_Table,$D11,M$7)*100,"n/a")</f>
        <v>4</v>
      </c>
      <c r="N11" s="2997"/>
      <c r="O11" s="288"/>
      <c r="Q11" s="2236" t="str" cm="1">
        <f t="array" ref="Q11">"&lt;--  " &amp; IFERROR(INDEX(BLS_Unemployment_Rates_Table,$D11,N$7),"n/a")</f>
        <v>&lt;--  Annual</v>
      </c>
    </row>
    <row r="12" spans="1:17" s="142" customFormat="1" ht="15" customHeight="1" x14ac:dyDescent="0.25">
      <c r="A12" s="976"/>
      <c r="B12" s="976"/>
      <c r="C12" s="976"/>
      <c r="D12" s="2233">
        <v>3</v>
      </c>
      <c r="E12" s="286"/>
      <c r="F12" s="2994"/>
      <c r="G12" s="2995" t="str" cm="1">
        <f t="array" ref="G12">INDEX(BLS_Unemployment_Rates_Table,$D12,G$7)</f>
        <v>Florida</v>
      </c>
      <c r="H12" s="2996" cm="1">
        <f t="array" ref="H12">IFERROR(INDEX(BLS_Unemployment_Rates_Table,$D12,H$7)*100,"n/a")</f>
        <v>3.2</v>
      </c>
      <c r="I12" s="2996" cm="1">
        <f t="array" ref="I12">IFERROR(INDEX(BLS_Unemployment_Rates_Table,$D12,I$7)*100,"n/a")</f>
        <v>8</v>
      </c>
      <c r="J12" s="2996" cm="1">
        <f t="array" ref="J12">IFERROR(INDEX(BLS_Unemployment_Rates_Table,$D12,J$7)*100,"n/a")</f>
        <v>4.7</v>
      </c>
      <c r="K12" s="2996" cm="1">
        <f t="array" ref="K12">IFERROR(INDEX(BLS_Unemployment_Rates_Table,$D12,K$7)*100,"n/a")</f>
        <v>3</v>
      </c>
      <c r="L12" s="2996" cm="1">
        <f t="array" ref="L12">IFERROR(INDEX(BLS_Unemployment_Rates_Table,$D12,L$7)*100,"n/a")</f>
        <v>3</v>
      </c>
      <c r="M12" s="2996" cm="1">
        <f t="array" ref="M12">IFERROR(INDEX(BLS_Unemployment_Rates_Table,$D12,M$7)*100,"n/a")</f>
        <v>3.4000000000000004</v>
      </c>
      <c r="N12" s="2997"/>
      <c r="O12" s="288"/>
      <c r="Q12" s="2236" t="str" cm="1">
        <f t="array" ref="Q12">"&lt;--  " &amp; IFERROR(INDEX(BLS_Unemployment_Rates_Table,$D12,N$7),"n/a")</f>
        <v>&lt;--  Annual</v>
      </c>
    </row>
    <row r="13" spans="1:17" s="142" customFormat="1" ht="15" customHeight="1" thickBot="1" x14ac:dyDescent="0.3">
      <c r="A13" s="976"/>
      <c r="B13" s="976"/>
      <c r="C13" s="976"/>
      <c r="D13" s="2233">
        <v>4</v>
      </c>
      <c r="E13" s="286"/>
      <c r="F13" s="2994"/>
      <c r="G13" s="2998" t="str" cm="1">
        <f t="array" ref="G13">INDEX(BLS_Unemployment_Rates_Table,$D13,G$7)</f>
        <v>Cape Coral-Fort Myers, FL (MSA)</v>
      </c>
      <c r="H13" s="2996" cm="1">
        <f t="array" ref="H13">IFERROR(INDEX(BLS_Unemployment_Rates_Table,$D13,H$7)*100,"n/a")</f>
        <v>3.2</v>
      </c>
      <c r="I13" s="2996" cm="1">
        <f t="array" ref="I13">IFERROR(INDEX(BLS_Unemployment_Rates_Table,$D13,I$7)*100,"n/a")</f>
        <v>7.7</v>
      </c>
      <c r="J13" s="2996" cm="1">
        <f t="array" ref="J13">IFERROR(INDEX(BLS_Unemployment_Rates_Table,$D13,J$7)*100,"n/a")</f>
        <v>4.3</v>
      </c>
      <c r="K13" s="2996" cm="1">
        <f t="array" ref="K13">IFERROR(INDEX(BLS_Unemployment_Rates_Table,$D13,K$7)*100,"n/a")</f>
        <v>3.3000000000000003</v>
      </c>
      <c r="L13" s="2996" cm="1">
        <f t="array" ref="L13">IFERROR(INDEX(BLS_Unemployment_Rates_Table,$D13,L$7)*100,"n/a")</f>
        <v>3.2</v>
      </c>
      <c r="M13" s="2996" cm="1">
        <f t="array" ref="M13">IFERROR(INDEX(BLS_Unemployment_Rates_Table,$D13,M$7)*100,"n/a")</f>
        <v>3.1</v>
      </c>
      <c r="N13" s="2997"/>
      <c r="O13" s="288"/>
      <c r="Q13" s="2236" t="str" cm="1">
        <f t="array" ref="Q13">"&lt;--  " &amp; IFERROR(INDEX(BLS_Unemployment_Rates_Table,$D13,N$7),"n/a")</f>
        <v>&lt;--  December</v>
      </c>
    </row>
    <row r="14" spans="1:17" s="142" customFormat="1" ht="15" hidden="1" customHeight="1" x14ac:dyDescent="0.25">
      <c r="A14" s="976"/>
      <c r="B14" s="976"/>
      <c r="C14" s="976"/>
      <c r="D14" s="2233">
        <v>5</v>
      </c>
      <c r="E14" s="286"/>
      <c r="F14" s="2994"/>
      <c r="G14" s="2995" cm="1">
        <f t="array" ref="G14">INDEX(BLS_Unemployment_Rates_Table,$D14,G$7)</f>
        <v>0</v>
      </c>
      <c r="H14" s="2996" t="str" cm="1">
        <f t="array" ref="H14">IFERROR(INDEX(BLS_Unemployment_Rates_Table,$D14,H$7)*100,"n/a")</f>
        <v>n/a</v>
      </c>
      <c r="I14" s="2996" t="str" cm="1">
        <f t="array" ref="I14">IFERROR(INDEX(BLS_Unemployment_Rates_Table,$D14,I$7)*100,"n/a")</f>
        <v>n/a</v>
      </c>
      <c r="J14" s="2996" t="str" cm="1">
        <f t="array" ref="J14">IFERROR(INDEX(BLS_Unemployment_Rates_Table,$D14,J$7)*100,"n/a")</f>
        <v>n/a</v>
      </c>
      <c r="K14" s="2996" t="str" cm="1">
        <f t="array" ref="K14">IFERROR(INDEX(BLS_Unemployment_Rates_Table,$D14,K$7)*100,"n/a")</f>
        <v>n/a</v>
      </c>
      <c r="L14" s="2996" t="str" cm="1">
        <f t="array" ref="L14">IFERROR(INDEX(BLS_Unemployment_Rates_Table,$D14,L$7)*100,"n/a")</f>
        <v>n/a</v>
      </c>
      <c r="M14" s="2996" t="str" cm="1">
        <f t="array" ref="M14">IFERROR(INDEX(BLS_Unemployment_Rates_Table,$D14,M$7)*100,"n/a")</f>
        <v>n/a</v>
      </c>
      <c r="N14" s="2997"/>
      <c r="O14" s="288"/>
      <c r="Q14" s="2236" t="str" cm="1">
        <f t="array" ref="Q14">"&lt;--  " &amp; IFERROR(INDEX(BLS_Unemployment_Rates_Table,$D14,N$7),"n/a")</f>
        <v>&lt;--  n/a</v>
      </c>
    </row>
    <row r="15" spans="1:17" s="142" customFormat="1" ht="15" hidden="1" customHeight="1" thickBot="1" x14ac:dyDescent="0.3">
      <c r="A15" s="976"/>
      <c r="B15" s="976"/>
      <c r="C15" s="976"/>
      <c r="D15" s="2233">
        <v>6</v>
      </c>
      <c r="E15" s="286"/>
      <c r="F15" s="2994"/>
      <c r="G15" s="2995" t="str" cm="1">
        <f t="array" ref="G15">INDEX(BLS_Unemployment_Rates_Table,$D15,G$7)</f>
        <v>Cape Coral city, FL</v>
      </c>
      <c r="H15" s="2996" t="str" cm="1">
        <f t="array" ref="H15">IFERROR(INDEX(BLS_Unemployment_Rates_Table,$D15,H$7)*100,"n/a")</f>
        <v>n/a</v>
      </c>
      <c r="I15" s="2996" t="str" cm="1">
        <f t="array" ref="I15">IFERROR(INDEX(BLS_Unemployment_Rates_Table,$D15,I$7)*100,"n/a")</f>
        <v>n/a</v>
      </c>
      <c r="J15" s="2996" t="str" cm="1">
        <f t="array" ref="J15">IFERROR(INDEX(BLS_Unemployment_Rates_Table,$D15,J$7)*100,"n/a")</f>
        <v>n/a</v>
      </c>
      <c r="K15" s="2996" t="str" cm="1">
        <f t="array" ref="K15">IFERROR(INDEX(BLS_Unemployment_Rates_Table,$D15,K$7)*100,"n/a")</f>
        <v>n/a</v>
      </c>
      <c r="L15" s="2996" t="str" cm="1">
        <f t="array" ref="L15">IFERROR(INDEX(BLS_Unemployment_Rates_Table,$D15,L$7)*100,"n/a")</f>
        <v>n/a</v>
      </c>
      <c r="M15" s="2996" t="str" cm="1">
        <f t="array" ref="M15">IFERROR(INDEX(BLS_Unemployment_Rates_Table,$D15,M$7)*100,"n/a")</f>
        <v>n/a</v>
      </c>
      <c r="N15" s="2997"/>
      <c r="O15" s="288"/>
      <c r="Q15" s="2236" t="str" cm="1">
        <f t="array" ref="Q15">"&lt;--  " &amp; IFERROR(INDEX(BLS_Unemployment_Rates_Table,$D15,N$7),"n/a")</f>
        <v>&lt;--  n/a</v>
      </c>
    </row>
    <row r="16" spans="1:17" s="142" customFormat="1" ht="14.1" customHeight="1" x14ac:dyDescent="0.25">
      <c r="A16" s="976"/>
      <c r="B16" s="976"/>
      <c r="C16" s="976"/>
      <c r="E16" s="286"/>
      <c r="F16" s="2994"/>
      <c r="G16" s="2999" t="s">
        <v>17522</v>
      </c>
      <c r="H16" s="3000"/>
      <c r="I16" s="3000"/>
      <c r="J16" s="3000"/>
      <c r="K16" s="3000"/>
      <c r="L16" s="3000"/>
      <c r="M16" s="3001" t="str" cm="1">
        <f t="array" ref="M16">"data not seasonally adjusted;   " &amp; CHAR(185) &amp; INDEX(BLS_Unemployment_Rates_Table,$D11,N7) &amp; " - most recent for US, others lag by 1-2 mos.)"</f>
        <v>data not seasonally adjusted;   ¹Annual - most recent for US, others lag by 1-2 mos.)</v>
      </c>
      <c r="N16" s="2994"/>
      <c r="O16" s="288"/>
    </row>
    <row r="17" spans="1:15" ht="19.899999999999999" customHeight="1" thickBot="1" x14ac:dyDescent="0.3">
      <c r="A17" s="957"/>
      <c r="B17" s="957"/>
      <c r="C17" s="957"/>
      <c r="E17" s="8"/>
      <c r="F17" s="7"/>
      <c r="G17" s="553" t="s">
        <v>853</v>
      </c>
      <c r="H17" s="7"/>
      <c r="I17" s="7"/>
      <c r="J17" s="7"/>
      <c r="K17" s="7"/>
      <c r="L17" s="7"/>
      <c r="M17" s="7"/>
      <c r="N17" s="7"/>
      <c r="O17" s="9"/>
    </row>
  </sheetData>
  <dataConsolidate link="1"/>
  <dataValidations xWindow="709" yWindow="595" count="2">
    <dataValidation type="list" showInputMessage="1" showErrorMessage="1" promptTitle="End Year" prompt="This should reflect the year of the Effective Date of Appraisal.  You may have to use the previous year in Jan/Feb when BLS data has yet to be updated for the new year." sqref="B3" xr:uid="{4625A688-E824-400E-B82C-F7C08A4DC7A6}">
      <formula1>"2010, 2011, 2012, 2013, 2014, 2015, 2016, 2017, 2018, 2019, 2020, 2021, 2022, 2023, 2024, 2025"</formula1>
    </dataValidation>
    <dataValidation allowBlank="1" showInputMessage="1" showErrorMessage="1" promptTitle="BLS Area Type Code" prompt="This is the Area Type selected (see image key for definitions).  A : J is generally largest to smallest.  This is of importance for the Metropolitan areas (B/C/D/E)." sqref="D6:D9" xr:uid="{889BD318-B912-4131-98E5-C4FFB39AB56D}"/>
  </dataValidations>
  <hyperlinks>
    <hyperlink ref="G16" r:id="rId1" display="Source: Bureau of Labor Statistics - Year End - National &amp; State Seasonally Adjusted" xr:uid="{00000000-0004-0000-0400-000000000000}"/>
  </hyperlinks>
  <printOptions horizontalCentered="1"/>
  <pageMargins left="0.5" right="0.5" top="0.75" bottom="0.75" header="0.3" footer="0.3"/>
  <pageSetup scale="66" orientation="landscape" r:id="rId2"/>
  <drawing r:id="rId3"/>
  <legacyDrawing r:id="rId4"/>
  <controls>
    <mc:AlternateContent xmlns:mc="http://schemas.openxmlformats.org/markup-compatibility/2006">
      <mc:Choice Requires="x14">
        <control shapeId="10254" r:id="rId5" name="cmbState">
          <controlPr defaultSize="0" autoLine="0" linkedCell="BLS_Series1_Name" listFillRange="BLS_Filtered_State_2" r:id="rId6">
            <anchor moveWithCells="1">
              <from>
                <xdr:col>1</xdr:col>
                <xdr:colOff>0</xdr:colOff>
                <xdr:row>5</xdr:row>
                <xdr:rowOff>9525</xdr:rowOff>
              </from>
              <to>
                <xdr:col>2</xdr:col>
                <xdr:colOff>1733550</xdr:colOff>
                <xdr:row>6</xdr:row>
                <xdr:rowOff>19050</xdr:rowOff>
              </to>
            </anchor>
          </controlPr>
        </control>
      </mc:Choice>
      <mc:Fallback>
        <control shapeId="10254" r:id="rId5" name="cmbState"/>
      </mc:Fallback>
    </mc:AlternateContent>
    <mc:AlternateContent xmlns:mc="http://schemas.openxmlformats.org/markup-compatibility/2006">
      <mc:Choice Requires="x14">
        <control shapeId="10255" r:id="rId7" name="cmbMSA">
          <controlPr defaultSize="0" autoLine="0" linkedCell="BLS_Series2_Name" listFillRange="BLS_Filtered_MSA_2" r:id="rId8">
            <anchor moveWithCells="1">
              <from>
                <xdr:col>1</xdr:col>
                <xdr:colOff>0</xdr:colOff>
                <xdr:row>6</xdr:row>
                <xdr:rowOff>19050</xdr:rowOff>
              </from>
              <to>
                <xdr:col>2</xdr:col>
                <xdr:colOff>1733550</xdr:colOff>
                <xdr:row>7</xdr:row>
                <xdr:rowOff>19050</xdr:rowOff>
              </to>
            </anchor>
          </controlPr>
        </control>
      </mc:Choice>
      <mc:Fallback>
        <control shapeId="10255" r:id="rId7" name="cmbMSA"/>
      </mc:Fallback>
    </mc:AlternateContent>
    <mc:AlternateContent xmlns:mc="http://schemas.openxmlformats.org/markup-compatibility/2006">
      <mc:Choice Requires="x14">
        <control shapeId="10256" r:id="rId9" name="cmbCounty">
          <controlPr defaultSize="0" autoLine="0" linkedCell="BLS_Series3_Name" listFillRange="BLS_Filtered_County_2" r:id="rId10">
            <anchor moveWithCells="1">
              <from>
                <xdr:col>1</xdr:col>
                <xdr:colOff>0</xdr:colOff>
                <xdr:row>7</xdr:row>
                <xdr:rowOff>19050</xdr:rowOff>
              </from>
              <to>
                <xdr:col>2</xdr:col>
                <xdr:colOff>1733550</xdr:colOff>
                <xdr:row>8</xdr:row>
                <xdr:rowOff>19050</xdr:rowOff>
              </to>
            </anchor>
          </controlPr>
        </control>
      </mc:Choice>
      <mc:Fallback>
        <control shapeId="10256" r:id="rId9" name="cmbCounty"/>
      </mc:Fallback>
    </mc:AlternateContent>
    <mc:AlternateContent xmlns:mc="http://schemas.openxmlformats.org/markup-compatibility/2006">
      <mc:Choice Requires="x14">
        <control shapeId="10257" r:id="rId11" name="cmbTown">
          <controlPr defaultSize="0" autoLine="0" linkedCell="BLS_Series4_Name" listFillRange="BLS_Filtered_Town_2" r:id="rId12">
            <anchor moveWithCells="1">
              <from>
                <xdr:col>1</xdr:col>
                <xdr:colOff>0</xdr:colOff>
                <xdr:row>8</xdr:row>
                <xdr:rowOff>19050</xdr:rowOff>
              </from>
              <to>
                <xdr:col>2</xdr:col>
                <xdr:colOff>1733550</xdr:colOff>
                <xdr:row>9</xdr:row>
                <xdr:rowOff>0</xdr:rowOff>
              </to>
            </anchor>
          </controlPr>
        </control>
      </mc:Choice>
      <mc:Fallback>
        <control shapeId="10257" r:id="rId11" name="cmbTow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EE6F2-D847-400D-BD7C-67813028D27E}">
  <sheetPr codeName="Sheet88">
    <tabColor theme="4"/>
  </sheetPr>
  <dimension ref="A1:W23"/>
  <sheetViews>
    <sheetView showGridLines="0" workbookViewId="0">
      <selection activeCell="B13" sqref="B13:L22"/>
    </sheetView>
  </sheetViews>
  <sheetFormatPr defaultRowHeight="14.25" x14ac:dyDescent="0.25"/>
  <cols>
    <col min="2" max="2" width="29" bestFit="1" customWidth="1"/>
    <col min="3" max="3" width="6.7109375" customWidth="1"/>
    <col min="5" max="5" width="2.7109375" customWidth="1"/>
    <col min="6" max="6" width="0.85546875" customWidth="1"/>
    <col min="7" max="7" width="36.7109375" customWidth="1"/>
    <col min="8" max="12" width="12.7109375" style="2047" customWidth="1"/>
    <col min="13" max="13" width="0.85546875" customWidth="1"/>
    <col min="14" max="14" width="2.7109375" customWidth="1"/>
    <col min="16" max="16" width="2.7109375" customWidth="1"/>
    <col min="17" max="17" width="0.85546875" customWidth="1"/>
    <col min="18" max="18" width="36.7109375" customWidth="1"/>
    <col min="19" max="21" width="16.7109375" customWidth="1"/>
    <col min="22" max="22" width="0.85546875" customWidth="1"/>
    <col min="23" max="23" width="2.7109375" customWidth="1"/>
  </cols>
  <sheetData>
    <row r="1" spans="1:23" s="10" customFormat="1" ht="60" customHeight="1" thickBot="1" x14ac:dyDescent="0.3">
      <c r="A1" s="957"/>
      <c r="B1" s="957"/>
      <c r="C1" s="957"/>
      <c r="G1" s="2227">
        <v>3</v>
      </c>
      <c r="H1" s="2228">
        <v>10</v>
      </c>
      <c r="I1" s="2228">
        <v>11</v>
      </c>
      <c r="J1" s="2228">
        <v>15</v>
      </c>
      <c r="K1" s="2228">
        <v>12</v>
      </c>
      <c r="L1" s="2228">
        <v>16</v>
      </c>
      <c r="S1" s="13"/>
      <c r="T1" s="13"/>
      <c r="U1" s="13"/>
    </row>
    <row r="2" spans="1:23" s="10" customFormat="1" ht="15" customHeight="1" x14ac:dyDescent="0.25">
      <c r="A2" s="957"/>
      <c r="B2" s="957"/>
      <c r="E2" s="1"/>
      <c r="F2" s="2"/>
      <c r="G2" s="2"/>
      <c r="H2" s="123"/>
      <c r="I2" s="123"/>
      <c r="J2" s="123"/>
      <c r="K2" s="123"/>
      <c r="L2" s="123"/>
      <c r="M2" s="2"/>
      <c r="N2" s="3"/>
      <c r="S2" s="13"/>
      <c r="T2" s="13"/>
      <c r="U2" s="13"/>
    </row>
    <row r="3" spans="1:23" s="142" customFormat="1" ht="16.5" x14ac:dyDescent="0.25">
      <c r="A3" s="957"/>
      <c r="B3" s="957"/>
      <c r="C3" s="10"/>
      <c r="E3" s="491"/>
      <c r="F3" s="492"/>
      <c r="G3" s="493" t="s">
        <v>72</v>
      </c>
      <c r="H3" s="804"/>
      <c r="I3" s="804"/>
      <c r="J3" s="804"/>
      <c r="K3" s="804"/>
      <c r="L3" s="804"/>
      <c r="M3" s="495"/>
      <c r="N3" s="496"/>
      <c r="S3" s="497"/>
      <c r="T3" s="497"/>
      <c r="U3" s="497"/>
    </row>
    <row r="4" spans="1:23" s="142" customFormat="1" ht="30" customHeight="1" x14ac:dyDescent="0.25">
      <c r="A4" s="957"/>
      <c r="B4" s="957"/>
      <c r="C4" s="10"/>
      <c r="E4" s="498"/>
      <c r="F4" s="499"/>
      <c r="G4" s="490"/>
      <c r="H4" s="4090" t="str" cm="1">
        <f t="array" ref="H4">INDEX(LBX_Demos,H$1,1)</f>
        <v>Census Population (2010)</v>
      </c>
      <c r="I4" s="4090" t="str" cm="1">
        <f t="array" ref="I4">INDEX(LBX_Demos,I$1,1)</f>
        <v>Current Population (2021)</v>
      </c>
      <c r="J4" s="634" t="s">
        <v>18634</v>
      </c>
      <c r="K4" s="4090" t="str" cm="1">
        <f t="array" ref="K4">INDEX(LBX_Demos,K$1,1)</f>
        <v>Projected Population (2026)</v>
      </c>
      <c r="L4" s="634" t="s">
        <v>18634</v>
      </c>
      <c r="M4" s="490"/>
      <c r="N4" s="500"/>
      <c r="S4" s="497"/>
      <c r="U4" s="497"/>
    </row>
    <row r="5" spans="1:23" s="142" customFormat="1" ht="15" customHeight="1" x14ac:dyDescent="0.25">
      <c r="A5" s="957"/>
      <c r="D5" s="2934" t="s">
        <v>18622</v>
      </c>
      <c r="E5" s="501"/>
      <c r="F5" s="502"/>
      <c r="G5" s="503" t="s">
        <v>74</v>
      </c>
      <c r="H5" s="4090"/>
      <c r="I5" s="4090"/>
      <c r="J5" s="55" t="str" cm="1">
        <f t="array" ref="J5">INDEX(LBX_Demos,J$1,1)</f>
        <v>2010 - 2021</v>
      </c>
      <c r="K5" s="4090"/>
      <c r="L5" s="55" t="str" cm="1">
        <f t="array" ref="L5">INDEX(LBX_Demos,L$1,1)</f>
        <v>2021 - 2026</v>
      </c>
      <c r="M5" s="490"/>
      <c r="N5" s="141"/>
      <c r="O5" s="2226"/>
      <c r="S5" s="497"/>
      <c r="U5" s="497"/>
    </row>
    <row r="6" spans="1:23" s="142" customFormat="1" ht="15" customHeight="1" x14ac:dyDescent="0.2">
      <c r="A6" s="976"/>
      <c r="B6" s="3112" t="s">
        <v>18637</v>
      </c>
      <c r="C6" s="3108">
        <v>2000</v>
      </c>
      <c r="D6" s="2226">
        <v>8</v>
      </c>
      <c r="E6" s="501"/>
      <c r="F6" s="2994"/>
      <c r="G6" s="3145" cm="1">
        <f t="array" ref="G6">INDEX(LBX_Demos,G$1,$D6)</f>
        <v>0</v>
      </c>
      <c r="H6" s="3146" cm="1">
        <f t="array" ref="H6">INDEX(LBX_Demos,H$1,$D6)</f>
        <v>0</v>
      </c>
      <c r="I6" s="3146" cm="1">
        <f t="array" ref="I6">INDEX(LBX_Demos,I$1,$D6)</f>
        <v>0</v>
      </c>
      <c r="J6" s="3147" t="e" cm="1">
        <f t="array" ref="J6">INDEX(LBX_Demos,J$1,$D6)</f>
        <v>#NUM!</v>
      </c>
      <c r="K6" s="3146" cm="1">
        <f t="array" ref="K6">INDEX(LBX_Demos,K$1,$D6)</f>
        <v>0</v>
      </c>
      <c r="L6" s="3147" t="e" cm="1">
        <f t="array" ref="L6">INDEX(LBX_Demos,L$1,$D6)</f>
        <v>#NUM!</v>
      </c>
      <c r="M6" s="2997"/>
      <c r="N6" s="141"/>
      <c r="S6" s="497"/>
      <c r="U6" s="497"/>
    </row>
    <row r="7" spans="1:23" s="142" customFormat="1" ht="15" customHeight="1" x14ac:dyDescent="0.2">
      <c r="A7" s="976"/>
      <c r="B7" s="3113" t="s">
        <v>18638</v>
      </c>
      <c r="C7" s="3109">
        <v>2010</v>
      </c>
      <c r="D7" s="2226">
        <v>7</v>
      </c>
      <c r="E7" s="501"/>
      <c r="F7" s="2994"/>
      <c r="G7" s="3145" cm="1">
        <f t="array" ref="G7">INDEX(LBX_Demos,G$1,$D7)</f>
        <v>0</v>
      </c>
      <c r="H7" s="3146" cm="1">
        <f t="array" ref="H7">INDEX(LBX_Demos,H$1,$D7)</f>
        <v>0</v>
      </c>
      <c r="I7" s="3146" cm="1">
        <f t="array" ref="I7">INDEX(LBX_Demos,I$1,$D7)</f>
        <v>0</v>
      </c>
      <c r="J7" s="3147" t="e" cm="1">
        <f t="array" ref="J7">INDEX(LBX_Demos,J$1,$D7)</f>
        <v>#NUM!</v>
      </c>
      <c r="K7" s="3146" cm="1">
        <f t="array" ref="K7">INDEX(LBX_Demos,K$1,$D7)</f>
        <v>0</v>
      </c>
      <c r="L7" s="3147" t="e" cm="1">
        <f t="array" ref="L7">INDEX(LBX_Demos,L$1,$D7)</f>
        <v>#NUM!</v>
      </c>
      <c r="M7" s="2997"/>
      <c r="N7" s="141"/>
      <c r="U7" s="497"/>
    </row>
    <row r="8" spans="1:23" s="142" customFormat="1" ht="15" customHeight="1" x14ac:dyDescent="0.2">
      <c r="A8" s="976"/>
      <c r="B8" s="3114" t="s">
        <v>18639</v>
      </c>
      <c r="C8" s="3110">
        <v>2021</v>
      </c>
      <c r="D8" s="2226">
        <v>6</v>
      </c>
      <c r="E8" s="501"/>
      <c r="F8" s="2994"/>
      <c r="G8" s="3148" t="str" cm="1">
        <f t="array" ref="G8">INDEX(LBX_Demos,G$1,$D8) &amp; " (CBSA)"</f>
        <v xml:space="preserve"> (CBSA)</v>
      </c>
      <c r="H8" s="3146" cm="1">
        <f t="array" ref="H8">INDEX(LBX_Demos,H$1,$D8)</f>
        <v>0</v>
      </c>
      <c r="I8" s="3146" cm="1">
        <f t="array" ref="I8">INDEX(LBX_Demos,I$1,$D8)</f>
        <v>0</v>
      </c>
      <c r="J8" s="3147" t="e" cm="1">
        <f t="array" ref="J8">INDEX(LBX_Demos,J$1,$D8)</f>
        <v>#NUM!</v>
      </c>
      <c r="K8" s="3146" cm="1">
        <f t="array" ref="K8">INDEX(LBX_Demos,K$1,$D8)</f>
        <v>0</v>
      </c>
      <c r="L8" s="3147" t="e" cm="1">
        <f t="array" ref="L8">INDEX(LBX_Demos,L$1,$D8)</f>
        <v>#NUM!</v>
      </c>
      <c r="M8" s="2997"/>
      <c r="N8" s="141"/>
      <c r="T8" s="497"/>
      <c r="U8" s="497"/>
    </row>
    <row r="9" spans="1:23" s="142" customFormat="1" ht="15" customHeight="1" thickBot="1" x14ac:dyDescent="0.25">
      <c r="A9" s="976"/>
      <c r="B9" s="3115" t="s">
        <v>18640</v>
      </c>
      <c r="C9" s="3111">
        <f>EASI.CY+5</f>
        <v>2026</v>
      </c>
      <c r="D9" s="2226">
        <v>5</v>
      </c>
      <c r="E9" s="501"/>
      <c r="F9" s="2994"/>
      <c r="G9" s="3145" t="str" cm="1">
        <f t="array" ref="G9">INDEX(LBX_Demos,G$1,$D9) &amp; " " &amp; INDEX(LBX_Demos,G$1+1,$D9)</f>
        <v xml:space="preserve"> County</v>
      </c>
      <c r="H9" s="3146" cm="1">
        <f t="array" ref="H9">INDEX(LBX_Demos,H$1,$D9)</f>
        <v>0</v>
      </c>
      <c r="I9" s="3146" cm="1">
        <f t="array" ref="I9">INDEX(LBX_Demos,I$1,$D9)</f>
        <v>0</v>
      </c>
      <c r="J9" s="3147" t="e" cm="1">
        <f t="array" ref="J9">INDEX(LBX_Demos,J$1,$D9)</f>
        <v>#NUM!</v>
      </c>
      <c r="K9" s="3146" cm="1">
        <f t="array" ref="K9">INDEX(LBX_Demos,K$1,$D9)</f>
        <v>0</v>
      </c>
      <c r="L9" s="3147" t="e" cm="1">
        <f t="array" ref="L9">INDEX(LBX_Demos,L$1,$D9)</f>
        <v>#NUM!</v>
      </c>
      <c r="M9" s="2997"/>
      <c r="N9" s="141"/>
      <c r="T9" s="497"/>
      <c r="U9" s="497"/>
    </row>
    <row r="10" spans="1:23" s="142" customFormat="1" ht="15" customHeight="1" x14ac:dyDescent="0.25">
      <c r="A10" s="976"/>
      <c r="B10" s="976"/>
      <c r="E10" s="501"/>
      <c r="F10" s="2994"/>
      <c r="G10" s="3006" t="s">
        <v>18629</v>
      </c>
      <c r="H10" s="3007"/>
      <c r="I10" s="3007"/>
      <c r="J10" s="3007"/>
      <c r="K10" s="3007"/>
      <c r="L10" s="3007"/>
      <c r="M10" s="2994"/>
      <c r="N10" s="141"/>
      <c r="S10" s="497"/>
      <c r="T10" s="497"/>
      <c r="U10" s="497"/>
    </row>
    <row r="11" spans="1:23" s="10" customFormat="1" ht="15" customHeight="1" thickBot="1" x14ac:dyDescent="0.3">
      <c r="A11" s="957"/>
      <c r="B11" s="957"/>
      <c r="E11" s="8"/>
      <c r="F11" s="7"/>
      <c r="G11" s="553" t="s">
        <v>18799</v>
      </c>
      <c r="H11" s="800"/>
      <c r="I11" s="800"/>
      <c r="J11" s="800"/>
      <c r="K11" s="800"/>
      <c r="L11" s="800"/>
      <c r="M11" s="7"/>
      <c r="N11" s="9"/>
      <c r="S11" s="13"/>
      <c r="T11" s="13"/>
      <c r="U11" s="13"/>
    </row>
    <row r="12" spans="1:23" s="10" customFormat="1" ht="30" customHeight="1" thickBot="1" x14ac:dyDescent="0.3">
      <c r="A12" s="957"/>
      <c r="B12" s="957"/>
      <c r="H12" s="37"/>
      <c r="I12" s="37"/>
      <c r="J12" s="37"/>
      <c r="K12" s="37"/>
      <c r="L12" s="37"/>
      <c r="R12" s="2227">
        <v>3</v>
      </c>
      <c r="S12" s="2232">
        <v>53</v>
      </c>
      <c r="T12" s="2232">
        <v>54</v>
      </c>
      <c r="U12" s="2232">
        <v>67</v>
      </c>
    </row>
    <row r="13" spans="1:23" s="10" customFormat="1" ht="19.899999999999999" customHeight="1" x14ac:dyDescent="0.25">
      <c r="A13" s="957"/>
      <c r="B13" s="4091" t="s">
        <v>18910</v>
      </c>
      <c r="C13" s="4091"/>
      <c r="D13" s="4091"/>
      <c r="E13" s="4091"/>
      <c r="F13" s="4091"/>
      <c r="G13" s="4091"/>
      <c r="H13" s="4091"/>
      <c r="I13" s="4091"/>
      <c r="J13" s="4091"/>
      <c r="K13" s="4091"/>
      <c r="L13" s="4091"/>
      <c r="P13" s="1"/>
      <c r="Q13" s="2"/>
      <c r="R13" s="2"/>
      <c r="S13" s="202"/>
      <c r="T13" s="202"/>
      <c r="U13" s="202"/>
      <c r="V13" s="2"/>
      <c r="W13" s="3"/>
    </row>
    <row r="14" spans="1:23" s="142" customFormat="1" ht="16.5" x14ac:dyDescent="0.25">
      <c r="A14" s="976"/>
      <c r="B14" s="4091"/>
      <c r="C14" s="4091"/>
      <c r="D14" s="4091"/>
      <c r="E14" s="4091"/>
      <c r="F14" s="4091"/>
      <c r="G14" s="4091"/>
      <c r="H14" s="4091"/>
      <c r="I14" s="4091"/>
      <c r="J14" s="4091"/>
      <c r="K14" s="4091"/>
      <c r="L14" s="4091"/>
      <c r="P14" s="286"/>
      <c r="Q14" s="492"/>
      <c r="R14" s="430" t="s">
        <v>18636</v>
      </c>
      <c r="S14" s="494"/>
      <c r="T14" s="494"/>
      <c r="U14" s="494"/>
      <c r="V14" s="495"/>
      <c r="W14" s="288"/>
    </row>
    <row r="15" spans="1:23" s="142" customFormat="1" x14ac:dyDescent="0.25">
      <c r="A15" s="976"/>
      <c r="B15" s="4091"/>
      <c r="C15" s="4091"/>
      <c r="D15" s="4091"/>
      <c r="E15" s="4091"/>
      <c r="F15" s="4091"/>
      <c r="G15" s="4091"/>
      <c r="H15" s="4091"/>
      <c r="I15" s="4091"/>
      <c r="J15" s="4091"/>
      <c r="K15" s="4091"/>
      <c r="L15" s="4091"/>
      <c r="P15" s="286"/>
      <c r="Q15" s="419"/>
      <c r="R15" s="503"/>
      <c r="S15" s="55" t="str">
        <f>EASI.CY &amp; " Median"</f>
        <v>2021 Median</v>
      </c>
      <c r="T15" s="55" t="str">
        <f>EASI.CY &amp; " Average"</f>
        <v>2021 Average</v>
      </c>
      <c r="U15" s="634" t="str">
        <f>EASI.CY &amp; " Per Capita"</f>
        <v>2021 Per Capita</v>
      </c>
      <c r="V15" s="490"/>
      <c r="W15" s="288"/>
    </row>
    <row r="16" spans="1:23" s="142" customFormat="1" x14ac:dyDescent="0.25">
      <c r="A16" s="976"/>
      <c r="B16" s="4091"/>
      <c r="C16" s="4091"/>
      <c r="D16" s="4091"/>
      <c r="E16" s="4091"/>
      <c r="F16" s="4091"/>
      <c r="G16" s="4091"/>
      <c r="H16" s="4091"/>
      <c r="I16" s="4091"/>
      <c r="J16" s="4091"/>
      <c r="K16" s="4091"/>
      <c r="L16" s="4091"/>
      <c r="O16" s="2934" t="s">
        <v>18622</v>
      </c>
      <c r="P16" s="286"/>
      <c r="Q16" s="502"/>
      <c r="R16" s="503" t="s">
        <v>74</v>
      </c>
      <c r="S16" s="663" t="s">
        <v>18635</v>
      </c>
      <c r="T16" s="663" t="s">
        <v>18635</v>
      </c>
      <c r="U16" s="663" t="s">
        <v>18636</v>
      </c>
      <c r="V16" s="490"/>
      <c r="W16" s="288"/>
    </row>
    <row r="17" spans="1:23" s="142" customFormat="1" x14ac:dyDescent="0.25">
      <c r="A17" s="976"/>
      <c r="B17" s="4091"/>
      <c r="C17" s="4091"/>
      <c r="D17" s="4091"/>
      <c r="E17" s="4091"/>
      <c r="F17" s="4091"/>
      <c r="G17" s="4091"/>
      <c r="H17" s="4091"/>
      <c r="I17" s="4091"/>
      <c r="J17" s="4091"/>
      <c r="K17" s="4091"/>
      <c r="L17" s="4091"/>
      <c r="O17" s="2226">
        <v>8</v>
      </c>
      <c r="P17" s="286"/>
      <c r="Q17" s="2994"/>
      <c r="R17" s="3145">
        <f>Regional_Area_1</f>
        <v>0</v>
      </c>
      <c r="S17" s="3149" cm="1">
        <f t="array" ref="S17">INDEX(LBX_Demos,S$12,$O17)</f>
        <v>0</v>
      </c>
      <c r="T17" s="3149" cm="1">
        <f t="array" ref="T17">INDEX(LBX_Demos,T$12,$O17)</f>
        <v>0</v>
      </c>
      <c r="U17" s="3149" cm="1">
        <f t="array" ref="U17">INDEX(LBX_Demos,U$12,$O17)</f>
        <v>0</v>
      </c>
      <c r="V17" s="2997"/>
      <c r="W17" s="288"/>
    </row>
    <row r="18" spans="1:23" s="142" customFormat="1" x14ac:dyDescent="0.25">
      <c r="A18" s="976"/>
      <c r="B18" s="4091"/>
      <c r="C18" s="4091"/>
      <c r="D18" s="4091"/>
      <c r="E18" s="4091"/>
      <c r="F18" s="4091"/>
      <c r="G18" s="4091"/>
      <c r="H18" s="4091"/>
      <c r="I18" s="4091"/>
      <c r="J18" s="4091"/>
      <c r="K18" s="4091"/>
      <c r="L18" s="4091"/>
      <c r="O18" s="2226">
        <v>7</v>
      </c>
      <c r="P18" s="286"/>
      <c r="Q18" s="2994"/>
      <c r="R18" s="3145">
        <f>Regional_Area_2</f>
        <v>0</v>
      </c>
      <c r="S18" s="3149" cm="1">
        <f t="array" ref="S18">INDEX(LBX_Demos,S$12,$O18)</f>
        <v>0</v>
      </c>
      <c r="T18" s="3149" cm="1">
        <f t="array" ref="T18">INDEX(LBX_Demos,T$12,$O18)</f>
        <v>0</v>
      </c>
      <c r="U18" s="3149" cm="1">
        <f t="array" ref="U18">INDEX(LBX_Demos,U$12,$O18)</f>
        <v>0</v>
      </c>
      <c r="V18" s="2997"/>
      <c r="W18" s="288"/>
    </row>
    <row r="19" spans="1:23" s="142" customFormat="1" x14ac:dyDescent="0.25">
      <c r="A19" s="976"/>
      <c r="B19" s="4091"/>
      <c r="C19" s="4091"/>
      <c r="D19" s="4091"/>
      <c r="E19" s="4091"/>
      <c r="F19" s="4091"/>
      <c r="G19" s="4091"/>
      <c r="H19" s="4091"/>
      <c r="I19" s="4091"/>
      <c r="J19" s="4091"/>
      <c r="K19" s="4091"/>
      <c r="L19" s="4091"/>
      <c r="O19" s="2226">
        <v>6</v>
      </c>
      <c r="P19" s="286"/>
      <c r="Q19" s="2994"/>
      <c r="R19" s="3148" t="str">
        <f>Regional_Area_3</f>
        <v xml:space="preserve"> (CBSA)</v>
      </c>
      <c r="S19" s="3149" cm="1">
        <f t="array" ref="S19">INDEX(LBX_Demos,S$12,$O19)</f>
        <v>0</v>
      </c>
      <c r="T19" s="3149" cm="1">
        <f t="array" ref="T19">INDEX(LBX_Demos,T$12,$O19)</f>
        <v>0</v>
      </c>
      <c r="U19" s="3149" cm="1">
        <f t="array" ref="U19">INDEX(LBX_Demos,U$12,$O19)</f>
        <v>0</v>
      </c>
      <c r="V19" s="2997"/>
      <c r="W19" s="288"/>
    </row>
    <row r="20" spans="1:23" s="142" customFormat="1" ht="15" thickBot="1" x14ac:dyDescent="0.3">
      <c r="A20" s="976"/>
      <c r="B20" s="4091"/>
      <c r="C20" s="4091"/>
      <c r="D20" s="4091"/>
      <c r="E20" s="4091"/>
      <c r="F20" s="4091"/>
      <c r="G20" s="4091"/>
      <c r="H20" s="4091"/>
      <c r="I20" s="4091"/>
      <c r="J20" s="4091"/>
      <c r="K20" s="4091"/>
      <c r="L20" s="4091"/>
      <c r="O20" s="2226">
        <v>5</v>
      </c>
      <c r="P20" s="286"/>
      <c r="Q20" s="2994"/>
      <c r="R20" s="3145" t="str">
        <f>Regional_Area_4</f>
        <v xml:space="preserve"> County</v>
      </c>
      <c r="S20" s="3149" cm="1">
        <f t="array" ref="S20">INDEX(LBX_Demos,S$12,$O20)</f>
        <v>0</v>
      </c>
      <c r="T20" s="3149" cm="1">
        <f t="array" ref="T20">INDEX(LBX_Demos,T$12,$O20)</f>
        <v>0</v>
      </c>
      <c r="U20" s="3149" cm="1">
        <f t="array" ref="U20">INDEX(LBX_Demos,U$12,$O20)</f>
        <v>0</v>
      </c>
      <c r="V20" s="2997"/>
      <c r="W20" s="288"/>
    </row>
    <row r="21" spans="1:23" s="36" customFormat="1" ht="15" customHeight="1" x14ac:dyDescent="0.25">
      <c r="A21" s="976"/>
      <c r="B21" s="4091"/>
      <c r="C21" s="4091"/>
      <c r="D21" s="4091"/>
      <c r="E21" s="4091"/>
      <c r="F21" s="4091"/>
      <c r="G21" s="4091"/>
      <c r="H21" s="4091"/>
      <c r="I21" s="4091"/>
      <c r="J21" s="4091"/>
      <c r="K21" s="4091"/>
      <c r="L21" s="4091"/>
      <c r="P21" s="87"/>
      <c r="Q21" s="3008"/>
      <c r="R21" s="3006" t="str">
        <f>Source_EASI</f>
        <v>Source: EASI (LightBox)</v>
      </c>
      <c r="S21" s="3009"/>
      <c r="T21" s="3009"/>
      <c r="U21" s="3009"/>
      <c r="V21" s="3008"/>
      <c r="W21" s="89"/>
    </row>
    <row r="22" spans="1:23" s="10" customFormat="1" ht="19.899999999999999" customHeight="1" thickBot="1" x14ac:dyDescent="0.3">
      <c r="A22" s="976"/>
      <c r="B22" s="4091"/>
      <c r="C22" s="4091"/>
      <c r="D22" s="4091"/>
      <c r="E22" s="4091"/>
      <c r="F22" s="4091"/>
      <c r="G22" s="4091"/>
      <c r="H22" s="4091"/>
      <c r="I22" s="4091"/>
      <c r="J22" s="4091"/>
      <c r="K22" s="4091"/>
      <c r="L22" s="4091"/>
      <c r="P22" s="8"/>
      <c r="Q22" s="7"/>
      <c r="R22" s="553" t="s">
        <v>18800</v>
      </c>
      <c r="S22" s="14"/>
      <c r="T22" s="14"/>
      <c r="U22" s="14"/>
      <c r="V22" s="7"/>
      <c r="W22" s="9"/>
    </row>
    <row r="23" spans="1:23" s="10" customFormat="1" ht="25.5" customHeight="1" x14ac:dyDescent="0.25">
      <c r="A23" s="976"/>
      <c r="B23" s="976"/>
      <c r="H23" s="37"/>
      <c r="I23" s="37"/>
      <c r="J23" s="37"/>
      <c r="K23" s="37"/>
      <c r="L23" s="37"/>
      <c r="S23" s="13"/>
      <c r="T23" s="13"/>
      <c r="U23" s="13"/>
    </row>
  </sheetData>
  <mergeCells count="4">
    <mergeCell ref="H4:H5"/>
    <mergeCell ref="I4:I5"/>
    <mergeCell ref="K4:K5"/>
    <mergeCell ref="B13:L22"/>
  </mergeCells>
  <dataValidations disablePrompts="1" count="3">
    <dataValidation allowBlank="1" showInputMessage="1" showErrorMessage="1" promptTitle="Projected Year" prompt="Auto-calc'd as Current Year +5" sqref="C9" xr:uid="{9B4B0376-8B7F-4CF3-8DB7-401F392A612F}"/>
    <dataValidation type="list" allowBlank="1" showInputMessage="1" showErrorMessage="1" sqref="C8" xr:uid="{EDC91A0C-BDEC-4DA6-B0EB-09883C8E9F1A}">
      <formula1>"2021, 2022, 2023, 2024, 2025, 2026, 2027, 2028, 2029, 2030"</formula1>
    </dataValidation>
    <dataValidation type="list" allowBlank="1" showInputMessage="1" showErrorMessage="1" sqref="C6:C7" xr:uid="{2E216F87-505E-461D-981F-727B8FE6A542}">
      <formula1>"2000, 2010, 2020"</formula1>
    </dataValidation>
  </dataValidation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2">
    <tabColor theme="4"/>
  </sheetPr>
  <dimension ref="A1:J111"/>
  <sheetViews>
    <sheetView zoomScaleNormal="100" workbookViewId="0">
      <selection activeCell="AA17" sqref="AA17"/>
    </sheetView>
  </sheetViews>
  <sheetFormatPr defaultColWidth="9.140625" defaultRowHeight="15" customHeight="1" x14ac:dyDescent="0.25"/>
  <cols>
    <col min="1" max="1" width="5.7109375" style="10" customWidth="1"/>
    <col min="2" max="2" width="2.7109375" style="10" customWidth="1"/>
    <col min="3" max="3" width="0.85546875" style="10" customWidth="1"/>
    <col min="4" max="4" width="42.7109375" style="10" customWidth="1"/>
    <col min="5" max="7" width="14.7109375" style="37" customWidth="1"/>
    <col min="8" max="8" width="0.85546875" style="10" customWidth="1"/>
    <col min="9" max="9" width="2.7109375" style="10" customWidth="1"/>
    <col min="10" max="10" width="20.7109375" style="2222" bestFit="1" customWidth="1"/>
    <col min="11" max="16384" width="9.140625" style="10"/>
  </cols>
  <sheetData>
    <row r="1" spans="1:10" ht="60" customHeight="1" x14ac:dyDescent="0.25">
      <c r="J1" s="3176" t="s">
        <v>18910</v>
      </c>
    </row>
    <row r="2" spans="1:10" ht="15" customHeight="1" thickBot="1" x14ac:dyDescent="0.3">
      <c r="D2" s="2221" t="s">
        <v>18625</v>
      </c>
      <c r="E2" s="2228">
        <v>2</v>
      </c>
      <c r="F2" s="2228">
        <v>3</v>
      </c>
      <c r="G2" s="2228">
        <v>4</v>
      </c>
      <c r="H2" s="2230"/>
      <c r="I2" s="2230"/>
    </row>
    <row r="3" spans="1:10" ht="15" customHeight="1" x14ac:dyDescent="0.25">
      <c r="B3" s="1"/>
      <c r="C3" s="2"/>
      <c r="D3" s="2"/>
      <c r="E3" s="123"/>
      <c r="F3" s="123"/>
      <c r="G3" s="123"/>
      <c r="H3" s="2"/>
      <c r="I3" s="3"/>
    </row>
    <row r="4" spans="1:10" s="142" customFormat="1" ht="16.5" x14ac:dyDescent="0.25">
      <c r="B4" s="286"/>
      <c r="C4" s="287"/>
      <c r="D4" s="505" t="s">
        <v>562</v>
      </c>
      <c r="E4" s="797"/>
      <c r="F4" s="797"/>
      <c r="G4" s="797"/>
      <c r="H4" s="287"/>
      <c r="I4" s="288"/>
      <c r="J4" s="2929" t="s">
        <v>18626</v>
      </c>
    </row>
    <row r="5" spans="1:10" s="142" customFormat="1" ht="15" customHeight="1" x14ac:dyDescent="0.25">
      <c r="B5" s="286"/>
      <c r="C5" s="419"/>
      <c r="D5" s="419" t="s">
        <v>18624</v>
      </c>
      <c r="E5" s="663" cm="1">
        <f t="array" ref="E5">INDEX(LBX_Demos,$J5,E$2)</f>
        <v>0</v>
      </c>
      <c r="F5" s="663" cm="1">
        <f t="array" ref="F5">INDEX(LBX_Demos,$J5,F$2)</f>
        <v>0</v>
      </c>
      <c r="G5" s="663" cm="1">
        <f t="array" ref="G5">INDEX(LBX_Demos,$J5,G$2)</f>
        <v>0</v>
      </c>
      <c r="H5" s="419"/>
      <c r="I5" s="288"/>
      <c r="J5" s="2929">
        <v>5</v>
      </c>
    </row>
    <row r="6" spans="1:10" ht="15" customHeight="1" x14ac:dyDescent="0.25">
      <c r="B6" s="4"/>
      <c r="C6" s="5"/>
      <c r="D6" s="3150" t="str" cm="1">
        <f t="array" ref="D6">INDEX(LBX_Demos,J6,1)</f>
        <v>Trade Area (Sq. Mi.)</v>
      </c>
      <c r="E6" s="3151" cm="1">
        <f t="array" ref="E6">INDEX(LBX_Demos,$J6,E$2)</f>
        <v>0</v>
      </c>
      <c r="F6" s="3151" cm="1">
        <f t="array" ref="F6">INDEX(LBX_Demos,$J6,F$2)</f>
        <v>0</v>
      </c>
      <c r="G6" s="3151" cm="1">
        <f t="array" ref="G6">INDEX(LBX_Demos,$J6,G$2)</f>
        <v>0</v>
      </c>
      <c r="H6" s="5"/>
      <c r="I6" s="6"/>
      <c r="J6" s="2930">
        <v>6</v>
      </c>
    </row>
    <row r="7" spans="1:10" ht="15" customHeight="1" x14ac:dyDescent="0.25">
      <c r="B7" s="4"/>
      <c r="C7" s="5"/>
      <c r="D7" s="3150" t="str" cm="1">
        <f t="array" ref="D7">INDEX(LBX_Demos,J7,1)</f>
        <v>Trade Density (Pop/Sq. Mi.)</v>
      </c>
      <c r="E7" s="3152" cm="1">
        <f t="array" ref="E7">INDEX(LBX_Demos,$J7,E$2)</f>
        <v>0</v>
      </c>
      <c r="F7" s="3152" cm="1">
        <f t="array" ref="F7">INDEX(LBX_Demos,$J7,F$2)</f>
        <v>0</v>
      </c>
      <c r="G7" s="3152" cm="1">
        <f t="array" ref="G7">INDEX(LBX_Demos,$J7,G$2)</f>
        <v>0</v>
      </c>
      <c r="H7" s="5"/>
      <c r="I7" s="6"/>
      <c r="J7" s="2930">
        <v>7</v>
      </c>
    </row>
    <row r="8" spans="1:10" s="142" customFormat="1" ht="18.75" customHeight="1" x14ac:dyDescent="0.25">
      <c r="B8" s="501"/>
      <c r="C8" s="506"/>
      <c r="D8" s="3153" t="s">
        <v>72</v>
      </c>
      <c r="E8" s="3154"/>
      <c r="F8" s="3154"/>
      <c r="G8" s="3154"/>
      <c r="H8" s="506"/>
      <c r="I8" s="141"/>
      <c r="J8" s="2223"/>
    </row>
    <row r="9" spans="1:10" ht="15" customHeight="1" x14ac:dyDescent="0.25">
      <c r="B9" s="4"/>
      <c r="C9" s="5"/>
      <c r="D9" s="3150" t="str" cm="1">
        <f t="array" ref="D9">INDEX(LBX_Demos,J9,1)</f>
        <v>Census Population (2000)</v>
      </c>
      <c r="E9" s="3152" cm="1">
        <f t="array" ref="E9">INDEX(LBX_Demos,$J9,E$2)</f>
        <v>0</v>
      </c>
      <c r="F9" s="3152" cm="1">
        <f t="array" ref="F9">INDEX(LBX_Demos,$J9,F$2)</f>
        <v>0</v>
      </c>
      <c r="G9" s="3152" cm="1">
        <f t="array" ref="G9">INDEX(LBX_Demos,$J9,G$2)</f>
        <v>0</v>
      </c>
      <c r="H9" s="5"/>
      <c r="I9" s="6"/>
      <c r="J9" s="2930">
        <v>9</v>
      </c>
    </row>
    <row r="10" spans="1:10" ht="15" customHeight="1" x14ac:dyDescent="0.25">
      <c r="B10" s="4"/>
      <c r="C10" s="5"/>
      <c r="D10" s="3150" t="str" cm="1">
        <f t="array" ref="D10">INDEX(LBX_Demos,J10,1)</f>
        <v>Census Population (2010)</v>
      </c>
      <c r="E10" s="3152" cm="1">
        <f t="array" ref="E10">INDEX(LBX_Demos,$J10,E$2)</f>
        <v>0</v>
      </c>
      <c r="F10" s="3152" cm="1">
        <f t="array" ref="F10">INDEX(LBX_Demos,$J10,F$2)</f>
        <v>0</v>
      </c>
      <c r="G10" s="3152" cm="1">
        <f t="array" ref="G10">INDEX(LBX_Demos,$J10,G$2)</f>
        <v>0</v>
      </c>
      <c r="H10" s="5"/>
      <c r="I10" s="6"/>
      <c r="J10" s="2930">
        <v>10</v>
      </c>
    </row>
    <row r="11" spans="1:10" ht="15" customHeight="1" x14ac:dyDescent="0.25">
      <c r="B11" s="4"/>
      <c r="C11" s="5"/>
      <c r="D11" s="3150" t="str" cm="1">
        <f t="array" ref="D11">INDEX(LBX_Demos,J11,1)</f>
        <v>Current Population (2021)</v>
      </c>
      <c r="E11" s="3152" cm="1">
        <f t="array" ref="E11">INDEX(LBX_Demos,$J11,E$2)</f>
        <v>0</v>
      </c>
      <c r="F11" s="3152" cm="1">
        <f t="array" ref="F11">INDEX(LBX_Demos,$J11,F$2)</f>
        <v>0</v>
      </c>
      <c r="G11" s="3152" cm="1">
        <f t="array" ref="G11">INDEX(LBX_Demos,$J11,G$2)</f>
        <v>0</v>
      </c>
      <c r="H11" s="5"/>
      <c r="I11" s="6"/>
      <c r="J11" s="2930">
        <v>11</v>
      </c>
    </row>
    <row r="12" spans="1:10" ht="15" customHeight="1" x14ac:dyDescent="0.25">
      <c r="B12" s="4"/>
      <c r="C12" s="5"/>
      <c r="D12" s="3150" t="str" cm="1">
        <f t="array" ref="D12">INDEX(LBX_Demos,J12,1)</f>
        <v>Projected Population (2026)</v>
      </c>
      <c r="E12" s="3152" cm="1">
        <f t="array" ref="E12">INDEX(LBX_Demos,$J12,E$2)</f>
        <v>0</v>
      </c>
      <c r="F12" s="3152" cm="1">
        <f t="array" ref="F12">INDEX(LBX_Demos,$J12,F$2)</f>
        <v>0</v>
      </c>
      <c r="G12" s="3152" cm="1">
        <f t="array" ref="G12">INDEX(LBX_Demos,$J12,G$2)</f>
        <v>0</v>
      </c>
      <c r="H12" s="5"/>
      <c r="I12" s="6"/>
      <c r="J12" s="2930">
        <v>12</v>
      </c>
    </row>
    <row r="13" spans="1:10" ht="15" customHeight="1" x14ac:dyDescent="0.25">
      <c r="B13" s="4"/>
      <c r="C13" s="5"/>
      <c r="D13" s="3155" t="s">
        <v>18568</v>
      </c>
      <c r="E13" s="3152"/>
      <c r="F13" s="3152"/>
      <c r="G13" s="3152"/>
      <c r="H13" s="5"/>
      <c r="I13" s="6"/>
      <c r="J13" s="2930"/>
    </row>
    <row r="14" spans="1:10" ht="15" customHeight="1" x14ac:dyDescent="0.25">
      <c r="B14" s="4"/>
      <c r="C14" s="5"/>
      <c r="D14" s="3156" t="str" cm="1">
        <f t="array" ref="D14">INDEX(LBX_Demos,J14,1)</f>
        <v>2000 - 2010</v>
      </c>
      <c r="E14" s="3157" t="e" cm="1">
        <f t="array" ref="E14">INDEX(LBX_Demos,$J14,E$2)</f>
        <v>#NUM!</v>
      </c>
      <c r="F14" s="3157" t="e" cm="1">
        <f t="array" ref="F14">INDEX(LBX_Demos,$J14,F$2)</f>
        <v>#NUM!</v>
      </c>
      <c r="G14" s="3157" t="e" cm="1">
        <f t="array" ref="G14">INDEX(LBX_Demos,$J14,G$2)</f>
        <v>#NUM!</v>
      </c>
      <c r="H14" s="5"/>
      <c r="I14" s="6"/>
      <c r="J14" s="2930">
        <v>14</v>
      </c>
    </row>
    <row r="15" spans="1:10" ht="15" customHeight="1" x14ac:dyDescent="0.25">
      <c r="B15" s="4"/>
      <c r="C15" s="5"/>
      <c r="D15" s="3156" t="str" cm="1">
        <f t="array" ref="D15">INDEX(LBX_Demos,J15,1)</f>
        <v>2010 - 2021</v>
      </c>
      <c r="E15" s="3157" t="e" cm="1">
        <f t="array" ref="E15">INDEX(LBX_Demos,$J15,E$2)</f>
        <v>#NUM!</v>
      </c>
      <c r="F15" s="3157" t="e" cm="1">
        <f t="array" ref="F15">INDEX(LBX_Demos,$J15,F$2)</f>
        <v>#NUM!</v>
      </c>
      <c r="G15" s="3157" t="e" cm="1">
        <f t="array" ref="G15">INDEX(LBX_Demos,$J15,G$2)</f>
        <v>#NUM!</v>
      </c>
      <c r="H15" s="5"/>
      <c r="I15" s="6"/>
      <c r="J15" s="2930">
        <v>15</v>
      </c>
    </row>
    <row r="16" spans="1:10" ht="15" customHeight="1" x14ac:dyDescent="0.25">
      <c r="B16" s="4"/>
      <c r="C16" s="5"/>
      <c r="D16" s="3156" t="str" cm="1">
        <f t="array" ref="D16">INDEX(LBX_Demos,J16,1)</f>
        <v>2021 - 2026</v>
      </c>
      <c r="E16" s="3157" t="e" cm="1">
        <f t="array" ref="E16">INDEX(LBX_Demos,$J16,E$2)</f>
        <v>#NUM!</v>
      </c>
      <c r="F16" s="3157" t="e" cm="1">
        <f t="array" ref="F16">INDEX(LBX_Demos,$J16,F$2)</f>
        <v>#NUM!</v>
      </c>
      <c r="G16" s="3157" t="e" cm="1">
        <f t="array" ref="G16">INDEX(LBX_Demos,$J16,G$2)</f>
        <v>#NUM!</v>
      </c>
      <c r="H16" s="5"/>
      <c r="I16" s="6"/>
      <c r="J16" s="2930">
        <v>16</v>
      </c>
    </row>
    <row r="17" spans="2:10" s="142" customFormat="1" ht="18.75" customHeight="1" x14ac:dyDescent="0.25">
      <c r="B17" s="501"/>
      <c r="C17" s="506"/>
      <c r="D17" s="3153" t="s">
        <v>18582</v>
      </c>
      <c r="E17" s="3154"/>
      <c r="F17" s="3154"/>
      <c r="G17" s="3154"/>
      <c r="H17" s="506"/>
      <c r="I17" s="141"/>
      <c r="J17" s="2223"/>
    </row>
    <row r="18" spans="2:10" ht="15" customHeight="1" x14ac:dyDescent="0.25">
      <c r="B18" s="4"/>
      <c r="C18" s="5"/>
      <c r="D18" s="3150" t="str" cm="1">
        <f t="array" ref="D18">INDEX(LBX_Demos,J18,1)</f>
        <v>Census Households (2000)</v>
      </c>
      <c r="E18" s="3152" cm="1">
        <f t="array" ref="E18">INDEX(LBX_Demos,$J18,E$2)</f>
        <v>0</v>
      </c>
      <c r="F18" s="3152" cm="1">
        <f t="array" ref="F18">INDEX(LBX_Demos,$J18,F$2)</f>
        <v>0</v>
      </c>
      <c r="G18" s="3152" cm="1">
        <f t="array" ref="G18">INDEX(LBX_Demos,$J18,G$2)</f>
        <v>0</v>
      </c>
      <c r="H18" s="5"/>
      <c r="I18" s="6"/>
      <c r="J18" s="2930">
        <v>31</v>
      </c>
    </row>
    <row r="19" spans="2:10" ht="15" customHeight="1" x14ac:dyDescent="0.25">
      <c r="B19" s="4"/>
      <c r="C19" s="5"/>
      <c r="D19" s="3150" t="str" cm="1">
        <f t="array" ref="D19">INDEX(LBX_Demos,J19,1)</f>
        <v>Census Households (2010)</v>
      </c>
      <c r="E19" s="3152" cm="1">
        <f t="array" ref="E19">INDEX(LBX_Demos,$J19,E$2)</f>
        <v>0</v>
      </c>
      <c r="F19" s="3152" cm="1">
        <f t="array" ref="F19">INDEX(LBX_Demos,$J19,F$2)</f>
        <v>0</v>
      </c>
      <c r="G19" s="3152" cm="1">
        <f t="array" ref="G19">INDEX(LBX_Demos,$J19,G$2)</f>
        <v>0</v>
      </c>
      <c r="H19" s="5"/>
      <c r="I19" s="6"/>
      <c r="J19" s="2930">
        <v>32</v>
      </c>
    </row>
    <row r="20" spans="2:10" ht="15" customHeight="1" x14ac:dyDescent="0.25">
      <c r="B20" s="4"/>
      <c r="C20" s="5"/>
      <c r="D20" s="3150" t="str" cm="1">
        <f t="array" ref="D20">INDEX(LBX_Demos,J20,1)</f>
        <v>Current Households (2021)</v>
      </c>
      <c r="E20" s="3152" cm="1">
        <f t="array" ref="E20">INDEX(LBX_Demos,$J20,E$2)</f>
        <v>0</v>
      </c>
      <c r="F20" s="3152" cm="1">
        <f t="array" ref="F20">INDEX(LBX_Demos,$J20,F$2)</f>
        <v>0</v>
      </c>
      <c r="G20" s="3152" cm="1">
        <f t="array" ref="G20">INDEX(LBX_Demos,$J20,G$2)</f>
        <v>0</v>
      </c>
      <c r="H20" s="5"/>
      <c r="I20" s="6"/>
      <c r="J20" s="2930">
        <v>33</v>
      </c>
    </row>
    <row r="21" spans="2:10" ht="15" customHeight="1" x14ac:dyDescent="0.25">
      <c r="B21" s="4"/>
      <c r="C21" s="5"/>
      <c r="D21" s="3150" t="str" cm="1">
        <f t="array" ref="D21">INDEX(LBX_Demos,J21,1)</f>
        <v>Projected Households (2026)</v>
      </c>
      <c r="E21" s="3152" cm="1">
        <f t="array" ref="E21">INDEX(LBX_Demos,$J21,E$2)</f>
        <v>0</v>
      </c>
      <c r="F21" s="3152" cm="1">
        <f t="array" ref="F21">INDEX(LBX_Demos,$J21,F$2)</f>
        <v>0</v>
      </c>
      <c r="G21" s="3152" cm="1">
        <f t="array" ref="G21">INDEX(LBX_Demos,$J21,G$2)</f>
        <v>0</v>
      </c>
      <c r="H21" s="5"/>
      <c r="I21" s="6"/>
      <c r="J21" s="2930">
        <v>34</v>
      </c>
    </row>
    <row r="22" spans="2:10" ht="15" customHeight="1" x14ac:dyDescent="0.25">
      <c r="B22" s="4"/>
      <c r="C22" s="5"/>
      <c r="D22" s="3155" t="s">
        <v>18568</v>
      </c>
      <c r="E22" s="3152"/>
      <c r="F22" s="3152"/>
      <c r="G22" s="3152"/>
      <c r="H22" s="5"/>
      <c r="I22" s="6"/>
      <c r="J22" s="2930"/>
    </row>
    <row r="23" spans="2:10" ht="15" customHeight="1" x14ac:dyDescent="0.25">
      <c r="B23" s="4"/>
      <c r="C23" s="5"/>
      <c r="D23" s="3156" t="str" cm="1">
        <f t="array" ref="D23">INDEX(LBX_Demos,J23,1)</f>
        <v>2000 - 2010</v>
      </c>
      <c r="E23" s="3157" t="e" cm="1">
        <f t="array" ref="E23">INDEX(LBX_Demos,$J23,E$2)</f>
        <v>#NUM!</v>
      </c>
      <c r="F23" s="3157" t="e" cm="1">
        <f t="array" ref="F23">INDEX(LBX_Demos,$J23,F$2)</f>
        <v>#NUM!</v>
      </c>
      <c r="G23" s="3157" t="e" cm="1">
        <f t="array" ref="G23">INDEX(LBX_Demos,$J23,G$2)</f>
        <v>#NUM!</v>
      </c>
      <c r="H23" s="5"/>
      <c r="I23" s="6"/>
      <c r="J23" s="2930">
        <v>36</v>
      </c>
    </row>
    <row r="24" spans="2:10" ht="15" customHeight="1" x14ac:dyDescent="0.25">
      <c r="B24" s="4"/>
      <c r="C24" s="5"/>
      <c r="D24" s="3156" t="str" cm="1">
        <f t="array" ref="D24">INDEX(LBX_Demos,J24,1)</f>
        <v>2010 - 2021</v>
      </c>
      <c r="E24" s="3157" t="e" cm="1">
        <f t="array" ref="E24">INDEX(LBX_Demos,$J24,E$2)</f>
        <v>#NUM!</v>
      </c>
      <c r="F24" s="3157" t="e" cm="1">
        <f t="array" ref="F24">INDEX(LBX_Demos,$J24,F$2)</f>
        <v>#NUM!</v>
      </c>
      <c r="G24" s="3157" t="e" cm="1">
        <f t="array" ref="G24">INDEX(LBX_Demos,$J24,G$2)</f>
        <v>#NUM!</v>
      </c>
      <c r="H24" s="5"/>
      <c r="I24" s="6"/>
      <c r="J24" s="2930">
        <v>37</v>
      </c>
    </row>
    <row r="25" spans="2:10" ht="15" customHeight="1" x14ac:dyDescent="0.25">
      <c r="B25" s="4"/>
      <c r="C25" s="5"/>
      <c r="D25" s="3156" t="str" cm="1">
        <f t="array" ref="D25">INDEX(LBX_Demos,J25,1)</f>
        <v>2021 - 2026</v>
      </c>
      <c r="E25" s="3157" t="e" cm="1">
        <f t="array" ref="E25">INDEX(LBX_Demos,$J25,E$2)</f>
        <v>#NUM!</v>
      </c>
      <c r="F25" s="3157" t="e" cm="1">
        <f t="array" ref="F25">INDEX(LBX_Demos,$J25,F$2)</f>
        <v>#NUM!</v>
      </c>
      <c r="G25" s="3157" t="e" cm="1">
        <f t="array" ref="G25">INDEX(LBX_Demos,$J25,G$2)</f>
        <v>#NUM!</v>
      </c>
      <c r="H25" s="5"/>
      <c r="I25" s="6"/>
      <c r="J25" s="2930">
        <v>38</v>
      </c>
    </row>
    <row r="26" spans="2:10" ht="15" customHeight="1" thickBot="1" x14ac:dyDescent="0.3">
      <c r="B26" s="4"/>
      <c r="C26" s="5"/>
      <c r="D26" s="3150" t="str" cm="1">
        <f t="array" ref="D26">INDEX(LBX_Demos,J26,1)</f>
        <v>Average Household Size</v>
      </c>
      <c r="E26" s="3151" cm="1">
        <f t="array" ref="E26">INDEX(LBX_Demos,$J26,E$2)</f>
        <v>0</v>
      </c>
      <c r="F26" s="3151" cm="1">
        <f t="array" ref="F26">INDEX(LBX_Demos,$J26,F$2)</f>
        <v>0</v>
      </c>
      <c r="G26" s="3151" cm="1">
        <f t="array" ref="G26">INDEX(LBX_Demos,$J26,G$2)</f>
        <v>0</v>
      </c>
      <c r="H26" s="5"/>
      <c r="I26" s="6"/>
      <c r="J26" s="2930">
        <v>39</v>
      </c>
    </row>
    <row r="27" spans="2:10" s="36" customFormat="1" ht="15" customHeight="1" x14ac:dyDescent="0.25">
      <c r="B27" s="87"/>
      <c r="C27" s="681"/>
      <c r="D27" s="2931" t="str">
        <f>Source_EASI</f>
        <v>Source: EASI (LightBox)</v>
      </c>
      <c r="E27" s="2932"/>
      <c r="F27" s="2932"/>
      <c r="G27" s="2933" t="str">
        <f>"(Lat: " &amp; Subject_Latitude &amp; ", Lon: " &amp; Subject_Longitude &amp; ")"</f>
        <v>(Lat: 26.561524, Lon: -81.949277)</v>
      </c>
      <c r="H27" s="681"/>
      <c r="I27" s="89"/>
      <c r="J27" s="1095"/>
    </row>
    <row r="28" spans="2:10" thickBot="1" x14ac:dyDescent="0.3">
      <c r="B28" s="8"/>
      <c r="C28" s="7"/>
      <c r="D28" s="553" t="s">
        <v>18814</v>
      </c>
      <c r="E28" s="800"/>
      <c r="F28" s="800"/>
      <c r="G28" s="800"/>
      <c r="H28" s="7"/>
      <c r="I28" s="9"/>
    </row>
    <row r="29" spans="2:10" ht="15" customHeight="1" thickBot="1" x14ac:dyDescent="0.3"/>
    <row r="30" spans="2:10" ht="15" customHeight="1" x14ac:dyDescent="0.25">
      <c r="B30" s="1"/>
      <c r="C30" s="2"/>
      <c r="D30" s="2"/>
      <c r="E30" s="123"/>
      <c r="F30" s="123"/>
      <c r="G30" s="123"/>
      <c r="H30" s="2"/>
      <c r="I30" s="3"/>
    </row>
    <row r="31" spans="2:10" s="142" customFormat="1" ht="16.5" x14ac:dyDescent="0.25">
      <c r="B31" s="286"/>
      <c r="C31" s="287"/>
      <c r="D31" s="505" t="s">
        <v>18630</v>
      </c>
      <c r="E31" s="797"/>
      <c r="F31" s="797"/>
      <c r="G31" s="797"/>
      <c r="H31" s="287"/>
      <c r="I31" s="288"/>
      <c r="J31" s="2929" t="s">
        <v>18626</v>
      </c>
    </row>
    <row r="32" spans="2:10" s="142" customFormat="1" ht="15" customHeight="1" x14ac:dyDescent="0.25">
      <c r="B32" s="286"/>
      <c r="C32" s="419"/>
      <c r="D32" s="419" t="s">
        <v>18624</v>
      </c>
      <c r="E32" s="663" cm="1">
        <f t="array" ref="E32">INDEX(LBX_Demos,$J32,E$2)</f>
        <v>0</v>
      </c>
      <c r="F32" s="663" cm="1">
        <f t="array" ref="F32">INDEX(LBX_Demos,$J32,F$2)</f>
        <v>0</v>
      </c>
      <c r="G32" s="663" cm="1">
        <f t="array" ref="G32">INDEX(LBX_Demos,$J32,G$2)</f>
        <v>0</v>
      </c>
      <c r="H32" s="419"/>
      <c r="I32" s="288"/>
      <c r="J32" s="2929">
        <v>5</v>
      </c>
    </row>
    <row r="33" spans="2:10" ht="15" customHeight="1" x14ac:dyDescent="0.25">
      <c r="B33" s="4"/>
      <c r="C33" s="5"/>
      <c r="D33" s="3150" t="str" cm="1">
        <f t="array" ref="D33">INDEX(LBX_Demos,J33,1)</f>
        <v>Trade Area (Sq. Mi.)</v>
      </c>
      <c r="E33" s="3151" cm="1">
        <f t="array" ref="E33">INDEX(LBX_Demos,$J33,E$2)</f>
        <v>0</v>
      </c>
      <c r="F33" s="3151" cm="1">
        <f t="array" ref="F33">INDEX(LBX_Demos,$J33,F$2)</f>
        <v>0</v>
      </c>
      <c r="G33" s="3151" cm="1">
        <f t="array" ref="G33">INDEX(LBX_Demos,$J33,G$2)</f>
        <v>0</v>
      </c>
      <c r="H33" s="5"/>
      <c r="I33" s="6"/>
      <c r="J33" s="2930">
        <v>6</v>
      </c>
    </row>
    <row r="34" spans="2:10" ht="15" customHeight="1" x14ac:dyDescent="0.25">
      <c r="B34" s="4"/>
      <c r="C34" s="5"/>
      <c r="D34" s="3150" t="str" cm="1">
        <f t="array" ref="D34">INDEX(LBX_Demos,J34,1)</f>
        <v>Trade Density (Pop/Sq. Mi.)</v>
      </c>
      <c r="E34" s="3152" cm="1">
        <f t="array" ref="E34">INDEX(LBX_Demos,$J34,E$2)</f>
        <v>0</v>
      </c>
      <c r="F34" s="3152" cm="1">
        <f t="array" ref="F34">INDEX(LBX_Demos,$J34,F$2)</f>
        <v>0</v>
      </c>
      <c r="G34" s="3152" cm="1">
        <f t="array" ref="G34">INDEX(LBX_Demos,$J34,G$2)</f>
        <v>0</v>
      </c>
      <c r="H34" s="5"/>
      <c r="I34" s="6"/>
      <c r="J34" s="2930">
        <v>7</v>
      </c>
    </row>
    <row r="35" spans="2:10" ht="18.75" customHeight="1" x14ac:dyDescent="0.25">
      <c r="B35" s="4"/>
      <c r="C35" s="5"/>
      <c r="D35" s="3158" t="str">
        <f>EASI.CY &amp; " Housing Units"</f>
        <v>2021 Housing Units</v>
      </c>
      <c r="E35" s="3159"/>
      <c r="F35" s="3159"/>
      <c r="G35" s="3159"/>
      <c r="H35" s="5"/>
      <c r="I35" s="6"/>
    </row>
    <row r="36" spans="2:10" ht="15" customHeight="1" x14ac:dyDescent="0.25">
      <c r="B36" s="4"/>
      <c r="C36" s="5"/>
      <c r="D36" s="3150" t="str" cm="1">
        <f t="array" ref="D36">INDEX(LBX_Demos,J36,1)</f>
        <v>Median Home Value</v>
      </c>
      <c r="E36" s="3160" cm="1">
        <f t="array" ref="E36">INDEX(LBX_Demos,$J36,E$2)</f>
        <v>0</v>
      </c>
      <c r="F36" s="3160" cm="1">
        <f t="array" ref="F36">INDEX(LBX_Demos,$J36,F$2)</f>
        <v>0</v>
      </c>
      <c r="G36" s="3160" cm="1">
        <f t="array" ref="G36">INDEX(LBX_Demos,$J36,G$2)</f>
        <v>0</v>
      </c>
      <c r="H36" s="5"/>
      <c r="I36" s="6"/>
      <c r="J36" s="2930">
        <v>41</v>
      </c>
    </row>
    <row r="37" spans="2:10" ht="15" customHeight="1" x14ac:dyDescent="0.25">
      <c r="B37" s="4"/>
      <c r="C37" s="5"/>
      <c r="D37" s="3150" t="str" cm="1">
        <f t="array" ref="D37">INDEX(LBX_Demos,J37,1)</f>
        <v>Median Year Built</v>
      </c>
      <c r="E37" s="3161" cm="1">
        <f t="array" ref="E37">INDEX(LBX_Demos,$J37,E$2)</f>
        <v>0</v>
      </c>
      <c r="F37" s="3161" cm="1">
        <f t="array" ref="F37">INDEX(LBX_Demos,$J37,F$2)</f>
        <v>0</v>
      </c>
      <c r="G37" s="3161" cm="1">
        <f t="array" ref="G37">INDEX(LBX_Demos,$J37,G$2)</f>
        <v>0</v>
      </c>
      <c r="H37" s="5"/>
      <c r="I37" s="6"/>
      <c r="J37" s="2930">
        <v>42</v>
      </c>
    </row>
    <row r="38" spans="2:10" ht="15" customHeight="1" x14ac:dyDescent="0.25">
      <c r="B38" s="4"/>
      <c r="C38" s="5"/>
      <c r="D38" s="3150" t="str" cm="1">
        <f t="array" ref="D38">INDEX(LBX_Demos,J38,1)</f>
        <v>Total Housing Units</v>
      </c>
      <c r="E38" s="3162" cm="1">
        <f t="array" ref="E38">INDEX(LBX_Demos,$J38,E$2)</f>
        <v>0</v>
      </c>
      <c r="F38" s="3162" cm="1">
        <f t="array" ref="F38">INDEX(LBX_Demos,$J38,F$2)</f>
        <v>0</v>
      </c>
      <c r="G38" s="3162" cm="1">
        <f t="array" ref="G38">INDEX(LBX_Demos,$J38,G$2)</f>
        <v>0</v>
      </c>
      <c r="H38" s="5"/>
      <c r="I38" s="6"/>
      <c r="J38" s="2930">
        <v>43</v>
      </c>
    </row>
    <row r="39" spans="2:10" ht="15" customHeight="1" x14ac:dyDescent="0.25">
      <c r="B39" s="4"/>
      <c r="C39" s="5"/>
      <c r="D39" s="3163" t="str" cm="1">
        <f t="array" ref="D39">INDEX(LBX_Demos,J39,1)</f>
        <v>Owner-Occupied Housing %</v>
      </c>
      <c r="E39" s="3164" cm="1">
        <f t="array" ref="E39">INDEX(LBX_Demos,$J39,E$2)</f>
        <v>0</v>
      </c>
      <c r="F39" s="3164" cm="1">
        <f t="array" ref="F39">INDEX(LBX_Demos,$J39,F$2)</f>
        <v>0</v>
      </c>
      <c r="G39" s="3164" cm="1">
        <f t="array" ref="G39">INDEX(LBX_Demos,$J39,G$2)</f>
        <v>0</v>
      </c>
      <c r="H39" s="5"/>
      <c r="I39" s="6"/>
      <c r="J39" s="2930">
        <v>44</v>
      </c>
    </row>
    <row r="40" spans="2:10" ht="15" customHeight="1" x14ac:dyDescent="0.25">
      <c r="B40" s="4"/>
      <c r="C40" s="5"/>
      <c r="D40" s="3163" t="str" cm="1">
        <f t="array" ref="D40">INDEX(LBX_Demos,J40,1)</f>
        <v>Renter-Occupied Housing %</v>
      </c>
      <c r="E40" s="3164" cm="1">
        <f t="array" ref="E40">INDEX(LBX_Demos,$J40,E$2)</f>
        <v>0</v>
      </c>
      <c r="F40" s="3164" cm="1">
        <f t="array" ref="F40">INDEX(LBX_Demos,$J40,F$2)</f>
        <v>0</v>
      </c>
      <c r="G40" s="3164" cm="1">
        <f t="array" ref="G40">INDEX(LBX_Demos,$J40,G$2)</f>
        <v>0</v>
      </c>
      <c r="H40" s="5"/>
      <c r="I40" s="6"/>
      <c r="J40" s="2930">
        <v>45</v>
      </c>
    </row>
    <row r="41" spans="2:10" ht="15" customHeight="1" x14ac:dyDescent="0.25">
      <c r="B41" s="4"/>
      <c r="C41" s="5"/>
      <c r="D41" s="3163" t="str" cm="1">
        <f t="array" ref="D41">INDEX(LBX_Demos,J41,1)</f>
        <v>Vacant Housing %</v>
      </c>
      <c r="E41" s="3164" cm="1">
        <f t="array" ref="E41">INDEX(LBX_Demos,$J41,E$2)</f>
        <v>0</v>
      </c>
      <c r="F41" s="3164" cm="1">
        <f t="array" ref="F41">INDEX(LBX_Demos,$J41,F$2)</f>
        <v>0</v>
      </c>
      <c r="G41" s="3164" cm="1">
        <f t="array" ref="G41">INDEX(LBX_Demos,$J41,G$2)</f>
        <v>0</v>
      </c>
      <c r="H41" s="5"/>
      <c r="I41" s="6"/>
      <c r="J41" s="2930">
        <v>46</v>
      </c>
    </row>
    <row r="42" spans="2:10" ht="18.75" customHeight="1" x14ac:dyDescent="0.25">
      <c r="B42" s="4"/>
      <c r="C42" s="5"/>
      <c r="D42" s="3158" t="str">
        <f>EASI.CY &amp; " Employment"</f>
        <v>2021 Employment</v>
      </c>
      <c r="E42" s="3159"/>
      <c r="F42" s="3159"/>
      <c r="G42" s="3159"/>
      <c r="H42" s="5"/>
      <c r="I42" s="6"/>
    </row>
    <row r="43" spans="2:10" ht="15" customHeight="1" x14ac:dyDescent="0.25">
      <c r="B43" s="4"/>
      <c r="C43" s="5"/>
      <c r="D43" s="3150" t="str" cm="1">
        <f t="array" ref="D43">INDEX(LBX_Demos,J43,1)</f>
        <v>Total Establishments</v>
      </c>
      <c r="E43" s="3162" cm="1">
        <f t="array" ref="E43">INDEX(LBX_Demos,$J43,E$2)</f>
        <v>0</v>
      </c>
      <c r="F43" s="3162" cm="1">
        <f t="array" ref="F43">INDEX(LBX_Demos,$J43,F$2)</f>
        <v>0</v>
      </c>
      <c r="G43" s="3162" cm="1">
        <f t="array" ref="G43">INDEX(LBX_Demos,$J43,G$2)</f>
        <v>0</v>
      </c>
      <c r="H43" s="5"/>
      <c r="I43" s="6"/>
      <c r="J43" s="2930">
        <v>48</v>
      </c>
    </row>
    <row r="44" spans="2:10" ht="15" customHeight="1" x14ac:dyDescent="0.25">
      <c r="B44" s="4"/>
      <c r="C44" s="5"/>
      <c r="D44" s="3150" t="str" cm="1">
        <f t="array" ref="D44">INDEX(LBX_Demos,J44,1)</f>
        <v>Total Employees</v>
      </c>
      <c r="E44" s="3162" cm="1">
        <f t="array" ref="E44">INDEX(LBX_Demos,$J44,E$2)</f>
        <v>0</v>
      </c>
      <c r="F44" s="3162" cm="1">
        <f t="array" ref="F44">INDEX(LBX_Demos,$J44,F$2)</f>
        <v>0</v>
      </c>
      <c r="G44" s="3162" cm="1">
        <f t="array" ref="G44">INDEX(LBX_Demos,$J44,G$2)</f>
        <v>0</v>
      </c>
      <c r="H44" s="5"/>
      <c r="I44" s="6"/>
      <c r="J44" s="2930">
        <v>49</v>
      </c>
    </row>
    <row r="45" spans="2:10" ht="15" customHeight="1" x14ac:dyDescent="0.25">
      <c r="B45" s="4"/>
      <c r="C45" s="5"/>
      <c r="D45" s="3150" t="str" cm="1">
        <f t="array" ref="D45">INDEX(LBX_Demos,J45,1)</f>
        <v>Average Commute Time</v>
      </c>
      <c r="E45" s="3165" cm="1">
        <f t="array" ref="E45">INDEX(LBX_Demos,$J45,E$2)</f>
        <v>0</v>
      </c>
      <c r="F45" s="3165" cm="1">
        <f t="array" ref="F45">INDEX(LBX_Demos,$J45,F$2)</f>
        <v>0</v>
      </c>
      <c r="G45" s="3165" cm="1">
        <f t="array" ref="G45">INDEX(LBX_Demos,$J45,G$2)</f>
        <v>0</v>
      </c>
      <c r="H45" s="5"/>
      <c r="I45" s="6"/>
      <c r="J45" s="2930">
        <v>50</v>
      </c>
    </row>
    <row r="46" spans="2:10" ht="15" customHeight="1" x14ac:dyDescent="0.25">
      <c r="B46" s="4"/>
      <c r="C46" s="5"/>
      <c r="D46" s="3166" t="str" cm="1">
        <f t="array" ref="D46">INDEX(LBX_Demos,J46,1)</f>
        <v>% College Graduates</v>
      </c>
      <c r="E46" s="3167" cm="1">
        <f t="array" ref="E46">INDEX(LBX_Demos,$J46,E$2)</f>
        <v>0</v>
      </c>
      <c r="F46" s="3167" cm="1">
        <f t="array" ref="F46">INDEX(LBX_Demos,$J46,F$2)</f>
        <v>0</v>
      </c>
      <c r="G46" s="3167" cm="1">
        <f t="array" ref="G46">INDEX(LBX_Demos,$J46,G$2)</f>
        <v>0</v>
      </c>
      <c r="H46" s="5"/>
      <c r="I46" s="6"/>
      <c r="J46" s="2930">
        <v>51</v>
      </c>
    </row>
    <row r="47" spans="2:10" ht="18.75" customHeight="1" x14ac:dyDescent="0.25">
      <c r="B47" s="4"/>
      <c r="C47" s="5"/>
      <c r="D47" s="3158" t="str">
        <f>EASI.CY &amp; " Income Summary"</f>
        <v>2021 Income Summary</v>
      </c>
      <c r="E47" s="3159"/>
      <c r="F47" s="3159"/>
      <c r="G47" s="3159"/>
      <c r="H47" s="5"/>
      <c r="I47" s="6"/>
    </row>
    <row r="48" spans="2:10" ht="15" customHeight="1" x14ac:dyDescent="0.25">
      <c r="B48" s="4"/>
      <c r="C48" s="5"/>
      <c r="D48" s="3150" t="str" cm="1">
        <f t="array" ref="D48">INDEX(LBX_Demos,J48,1)</f>
        <v>Median Household Income</v>
      </c>
      <c r="E48" s="3160" cm="1">
        <f t="array" ref="E48">INDEX(LBX_Demos,$J48,E$2)</f>
        <v>0</v>
      </c>
      <c r="F48" s="3160" cm="1">
        <f t="array" ref="F48">INDEX(LBX_Demos,$J48,F$2)</f>
        <v>0</v>
      </c>
      <c r="G48" s="3160" cm="1">
        <f t="array" ref="G48">INDEX(LBX_Demos,$J48,G$2)</f>
        <v>0</v>
      </c>
      <c r="H48" s="5"/>
      <c r="I48" s="6"/>
      <c r="J48" s="2930">
        <v>53</v>
      </c>
    </row>
    <row r="49" spans="2:10" ht="15" customHeight="1" x14ac:dyDescent="0.25">
      <c r="B49" s="4"/>
      <c r="C49" s="5"/>
      <c r="D49" s="3150" t="str" cm="1">
        <f t="array" ref="D49">INDEX(LBX_Demos,J49,1)</f>
        <v>Average Household Income</v>
      </c>
      <c r="E49" s="3160" cm="1">
        <f t="array" ref="E49">INDEX(LBX_Demos,$J49,E$2)</f>
        <v>0</v>
      </c>
      <c r="F49" s="3160" cm="1">
        <f t="array" ref="F49">INDEX(LBX_Demos,$J49,F$2)</f>
        <v>0</v>
      </c>
      <c r="G49" s="3160" cm="1">
        <f t="array" ref="G49">INDEX(LBX_Demos,$J49,G$2)</f>
        <v>0</v>
      </c>
      <c r="H49" s="5"/>
      <c r="I49" s="6"/>
      <c r="J49" s="2930">
        <v>54</v>
      </c>
    </row>
    <row r="50" spans="2:10" ht="15" customHeight="1" x14ac:dyDescent="0.25">
      <c r="B50" s="4"/>
      <c r="C50" s="5"/>
      <c r="D50" s="3150" t="str" cm="1">
        <f t="array" ref="D50">INDEX(LBX_Demos,J50,1)</f>
        <v>Avg Spending/Household</v>
      </c>
      <c r="E50" s="3160" cm="1">
        <f t="array" ref="E50">INDEX(LBX_Demos,$J50,E$2)</f>
        <v>0</v>
      </c>
      <c r="F50" s="3160" cm="1">
        <f t="array" ref="F50">INDEX(LBX_Demos,$J50,F$2)</f>
        <v>0</v>
      </c>
      <c r="G50" s="3160" cm="1">
        <f t="array" ref="G50">INDEX(LBX_Demos,$J50,G$2)</f>
        <v>0</v>
      </c>
      <c r="H50" s="5"/>
      <c r="I50" s="6"/>
      <c r="J50" s="2930">
        <v>66</v>
      </c>
    </row>
    <row r="51" spans="2:10" ht="15" customHeight="1" thickBot="1" x14ac:dyDescent="0.3">
      <c r="B51" s="4"/>
      <c r="C51" s="5"/>
      <c r="D51" s="3150" t="str" cm="1">
        <f t="array" ref="D51">INDEX(LBX_Demos,J51,1)</f>
        <v>Per Capita Income</v>
      </c>
      <c r="E51" s="3160" cm="1">
        <f t="array" ref="E51">INDEX(LBX_Demos,$J51,E$2)</f>
        <v>0</v>
      </c>
      <c r="F51" s="3160" cm="1">
        <f t="array" ref="F51">INDEX(LBX_Demos,$J51,F$2)</f>
        <v>0</v>
      </c>
      <c r="G51" s="3160" cm="1">
        <f t="array" ref="G51">INDEX(LBX_Demos,$J51,G$2)</f>
        <v>0</v>
      </c>
      <c r="H51" s="5"/>
      <c r="I51" s="6"/>
      <c r="J51" s="2930">
        <v>67</v>
      </c>
    </row>
    <row r="52" spans="2:10" s="36" customFormat="1" ht="15" customHeight="1" x14ac:dyDescent="0.25">
      <c r="B52" s="87"/>
      <c r="C52" s="681"/>
      <c r="D52" s="2931" t="str">
        <f>Source_EASI</f>
        <v>Source: EASI (LightBox)</v>
      </c>
      <c r="E52" s="2932"/>
      <c r="F52" s="2932"/>
      <c r="G52" s="2933" t="str">
        <f>"(Lat: " &amp; Subject_Latitude &amp; ", Lon: " &amp; Subject_Longitude &amp; ")"</f>
        <v>(Lat: 26.561524, Lon: -81.949277)</v>
      </c>
      <c r="H52" s="681"/>
      <c r="I52" s="89"/>
      <c r="J52" s="1095"/>
    </row>
    <row r="53" spans="2:10" ht="15" customHeight="1" thickBot="1" x14ac:dyDescent="0.3">
      <c r="B53" s="8"/>
      <c r="C53" s="7"/>
      <c r="D53" s="553" t="s">
        <v>18813</v>
      </c>
      <c r="E53" s="800"/>
      <c r="F53" s="800"/>
      <c r="G53" s="800"/>
      <c r="H53" s="7"/>
      <c r="I53" s="9"/>
    </row>
    <row r="54" spans="2:10" ht="15" customHeight="1" thickBot="1" x14ac:dyDescent="0.3"/>
    <row r="55" spans="2:10" ht="15" customHeight="1" x14ac:dyDescent="0.25">
      <c r="B55" s="1"/>
      <c r="C55" s="2"/>
      <c r="D55" s="2"/>
      <c r="E55" s="123"/>
      <c r="F55" s="123"/>
      <c r="G55" s="123"/>
      <c r="H55" s="2"/>
      <c r="I55" s="3"/>
    </row>
    <row r="56" spans="2:10" s="142" customFormat="1" ht="16.5" x14ac:dyDescent="0.25">
      <c r="B56" s="286"/>
      <c r="C56" s="287"/>
      <c r="D56" s="505" t="s">
        <v>18631</v>
      </c>
      <c r="E56" s="797"/>
      <c r="F56" s="797"/>
      <c r="G56" s="797"/>
      <c r="H56" s="287"/>
      <c r="I56" s="288"/>
      <c r="J56" s="2929" t="s">
        <v>18626</v>
      </c>
    </row>
    <row r="57" spans="2:10" s="142" customFormat="1" ht="15" customHeight="1" x14ac:dyDescent="0.25">
      <c r="B57" s="286"/>
      <c r="C57" s="419"/>
      <c r="D57" s="419" t="s">
        <v>18624</v>
      </c>
      <c r="E57" s="663" cm="1">
        <f t="array" ref="E57">INDEX(LBX_Demos,$J57,E$2)</f>
        <v>0</v>
      </c>
      <c r="F57" s="663" cm="1">
        <f t="array" ref="F57">INDEX(LBX_Demos,$J57,F$2)</f>
        <v>0</v>
      </c>
      <c r="G57" s="663" cm="1">
        <f t="array" ref="G57">INDEX(LBX_Demos,$J57,G$2)</f>
        <v>0</v>
      </c>
      <c r="H57" s="419"/>
      <c r="I57" s="288"/>
      <c r="J57" s="2929">
        <v>5</v>
      </c>
    </row>
    <row r="58" spans="2:10" ht="15" customHeight="1" x14ac:dyDescent="0.25">
      <c r="B58" s="4"/>
      <c r="C58" s="5"/>
      <c r="D58" s="3158" t="str">
        <f>EASI.CY &amp; " Population Distribution by Age Cohort"</f>
        <v>2021 Population Distribution by Age Cohort</v>
      </c>
      <c r="E58" s="3159"/>
      <c r="F58" s="3159"/>
      <c r="G58" s="3159"/>
      <c r="H58" s="5"/>
      <c r="I58" s="6"/>
    </row>
    <row r="59" spans="2:10" ht="15" customHeight="1" x14ac:dyDescent="0.25">
      <c r="B59" s="4"/>
      <c r="C59" s="5"/>
      <c r="D59" s="3163" t="str" cm="1">
        <f t="array" ref="D59">INDEX(LBX_Demos,J59,1)</f>
        <v>Age 0 to 5</v>
      </c>
      <c r="E59" s="3162" cm="1">
        <f t="array" ref="E59">INDEX(LBX_Demos,$J59,E$2)</f>
        <v>0</v>
      </c>
      <c r="F59" s="3162" cm="1">
        <f t="array" ref="F59">INDEX(LBX_Demos,$J59,F$2)</f>
        <v>0</v>
      </c>
      <c r="G59" s="3162" cm="1">
        <f t="array" ref="G59">INDEX(LBX_Demos,$J59,G$2)</f>
        <v>0</v>
      </c>
      <c r="H59" s="5"/>
      <c r="I59" s="6"/>
      <c r="J59" s="2930">
        <v>19</v>
      </c>
    </row>
    <row r="60" spans="2:10" ht="15" customHeight="1" x14ac:dyDescent="0.25">
      <c r="B60" s="4"/>
      <c r="C60" s="5"/>
      <c r="D60" s="3163" t="str" cm="1">
        <f t="array" ref="D60">INDEX(LBX_Demos,J60,1)</f>
        <v>Age 6 to 11</v>
      </c>
      <c r="E60" s="3162" cm="1">
        <f t="array" ref="E60">INDEX(LBX_Demos,$J60,E$2)</f>
        <v>0</v>
      </c>
      <c r="F60" s="3162" cm="1">
        <f t="array" ref="F60">INDEX(LBX_Demos,$J60,F$2)</f>
        <v>0</v>
      </c>
      <c r="G60" s="3162" cm="1">
        <f t="array" ref="G60">INDEX(LBX_Demos,$J60,G$2)</f>
        <v>0</v>
      </c>
      <c r="H60" s="5"/>
      <c r="I60" s="6"/>
      <c r="J60" s="2930">
        <v>20</v>
      </c>
    </row>
    <row r="61" spans="2:10" ht="15" customHeight="1" x14ac:dyDescent="0.25">
      <c r="B61" s="4"/>
      <c r="C61" s="5"/>
      <c r="D61" s="3163" t="str" cm="1">
        <f t="array" ref="D61">INDEX(LBX_Demos,J61,1)</f>
        <v>Age 12 to 17</v>
      </c>
      <c r="E61" s="3168" cm="1">
        <f t="array" ref="E61">INDEX(LBX_Demos,$J61,E$2)</f>
        <v>0</v>
      </c>
      <c r="F61" s="3168" cm="1">
        <f t="array" ref="F61">INDEX(LBX_Demos,$J61,F$2)</f>
        <v>0</v>
      </c>
      <c r="G61" s="3168" cm="1">
        <f t="array" ref="G61">INDEX(LBX_Demos,$J61,G$2)</f>
        <v>0</v>
      </c>
      <c r="H61" s="5"/>
      <c r="I61" s="6"/>
      <c r="J61" s="2930">
        <v>21</v>
      </c>
    </row>
    <row r="62" spans="2:10" ht="15" customHeight="1" x14ac:dyDescent="0.25">
      <c r="B62" s="4"/>
      <c r="C62" s="5"/>
      <c r="D62" s="3163" t="str" cm="1">
        <f t="array" ref="D62">INDEX(LBX_Demos,J62,1)</f>
        <v>Age 18 to 24</v>
      </c>
      <c r="E62" s="3168" cm="1">
        <f t="array" ref="E62">INDEX(LBX_Demos,$J62,E$2)</f>
        <v>0</v>
      </c>
      <c r="F62" s="3168" cm="1">
        <f t="array" ref="F62">INDEX(LBX_Demos,$J62,F$2)</f>
        <v>0</v>
      </c>
      <c r="G62" s="3168" cm="1">
        <f t="array" ref="G62">INDEX(LBX_Demos,$J62,G$2)</f>
        <v>0</v>
      </c>
      <c r="H62" s="5"/>
      <c r="I62" s="6"/>
      <c r="J62" s="2930">
        <v>22</v>
      </c>
    </row>
    <row r="63" spans="2:10" ht="15" customHeight="1" x14ac:dyDescent="0.25">
      <c r="B63" s="4"/>
      <c r="C63" s="5"/>
      <c r="D63" s="3163" t="str" cm="1">
        <f t="array" ref="D63">INDEX(LBX_Demos,J63,1)</f>
        <v>Age 25 to 34</v>
      </c>
      <c r="E63" s="3168" cm="1">
        <f t="array" ref="E63">INDEX(LBX_Demos,$J63,E$2)</f>
        <v>0</v>
      </c>
      <c r="F63" s="3168" cm="1">
        <f t="array" ref="F63">INDEX(LBX_Demos,$J63,F$2)</f>
        <v>0</v>
      </c>
      <c r="G63" s="3168" cm="1">
        <f t="array" ref="G63">INDEX(LBX_Demos,$J63,G$2)</f>
        <v>0</v>
      </c>
      <c r="H63" s="5"/>
      <c r="I63" s="6"/>
      <c r="J63" s="2930">
        <v>23</v>
      </c>
    </row>
    <row r="64" spans="2:10" ht="15" customHeight="1" x14ac:dyDescent="0.25">
      <c r="B64" s="4"/>
      <c r="C64" s="5"/>
      <c r="D64" s="3163" t="str" cm="1">
        <f t="array" ref="D64">INDEX(LBX_Demos,J64,1)</f>
        <v>Age 35 to 44</v>
      </c>
      <c r="E64" s="3162" cm="1">
        <f t="array" ref="E64">INDEX(LBX_Demos,$J64,E$2)</f>
        <v>0</v>
      </c>
      <c r="F64" s="3162" cm="1">
        <f t="array" ref="F64">INDEX(LBX_Demos,$J64,F$2)</f>
        <v>0</v>
      </c>
      <c r="G64" s="3162" cm="1">
        <f t="array" ref="G64">INDEX(LBX_Demos,$J64,G$2)</f>
        <v>0</v>
      </c>
      <c r="H64" s="5"/>
      <c r="I64" s="6"/>
      <c r="J64" s="2930">
        <v>24</v>
      </c>
    </row>
    <row r="65" spans="2:10" ht="15" customHeight="1" x14ac:dyDescent="0.25">
      <c r="B65" s="4"/>
      <c r="C65" s="5"/>
      <c r="D65" s="3163" t="str" cm="1">
        <f t="array" ref="D65">INDEX(LBX_Demos,J65,1)</f>
        <v>Age 45 to 54</v>
      </c>
      <c r="E65" s="3162" cm="1">
        <f t="array" ref="E65">INDEX(LBX_Demos,$J65,E$2)</f>
        <v>0</v>
      </c>
      <c r="F65" s="3162" cm="1">
        <f t="array" ref="F65">INDEX(LBX_Demos,$J65,F$2)</f>
        <v>0</v>
      </c>
      <c r="G65" s="3162" cm="1">
        <f t="array" ref="G65">INDEX(LBX_Demos,$J65,G$2)</f>
        <v>0</v>
      </c>
      <c r="H65" s="5"/>
      <c r="I65" s="6"/>
      <c r="J65" s="2930">
        <v>25</v>
      </c>
    </row>
    <row r="66" spans="2:10" ht="15" customHeight="1" x14ac:dyDescent="0.25">
      <c r="B66" s="4"/>
      <c r="C66" s="5"/>
      <c r="D66" s="3163" t="str" cm="1">
        <f t="array" ref="D66">INDEX(LBX_Demos,J66,1)</f>
        <v>Age 55 to 64</v>
      </c>
      <c r="E66" s="3162" cm="1">
        <f t="array" ref="E66">INDEX(LBX_Demos,$J66,E$2)</f>
        <v>0</v>
      </c>
      <c r="F66" s="3162" cm="1">
        <f t="array" ref="F66">INDEX(LBX_Demos,$J66,F$2)</f>
        <v>0</v>
      </c>
      <c r="G66" s="3162" cm="1">
        <f t="array" ref="G66">INDEX(LBX_Demos,$J66,G$2)</f>
        <v>0</v>
      </c>
      <c r="H66" s="5"/>
      <c r="I66" s="6"/>
      <c r="J66" s="2930">
        <v>26</v>
      </c>
    </row>
    <row r="67" spans="2:10" ht="15" customHeight="1" x14ac:dyDescent="0.25">
      <c r="B67" s="4"/>
      <c r="C67" s="5"/>
      <c r="D67" s="3169" t="str" cm="1">
        <f t="array" ref="D67">INDEX(LBX_Demos,J67,1)</f>
        <v>Age 65 to 74</v>
      </c>
      <c r="E67" s="3152" cm="1">
        <f t="array" ref="E67">INDEX(LBX_Demos,$J67,E$2)</f>
        <v>0</v>
      </c>
      <c r="F67" s="3152" cm="1">
        <f t="array" ref="F67">INDEX(LBX_Demos,$J67,F$2)</f>
        <v>0</v>
      </c>
      <c r="G67" s="3152" cm="1">
        <f t="array" ref="G67">INDEX(LBX_Demos,$J67,G$2)</f>
        <v>0</v>
      </c>
      <c r="H67" s="5"/>
      <c r="I67" s="6"/>
      <c r="J67" s="2930">
        <v>27</v>
      </c>
    </row>
    <row r="68" spans="2:10" ht="15" customHeight="1" x14ac:dyDescent="0.25">
      <c r="B68" s="4"/>
      <c r="C68" s="5"/>
      <c r="D68" s="3163" t="str" cm="1">
        <f t="array" ref="D68">INDEX(LBX_Demos,J68,1)</f>
        <v>Age 75 to 84</v>
      </c>
      <c r="E68" s="3162" cm="1">
        <f t="array" ref="E68">INDEX(LBX_Demos,$J68,E$2)</f>
        <v>0</v>
      </c>
      <c r="F68" s="3162" cm="1">
        <f t="array" ref="F68">INDEX(LBX_Demos,$J68,F$2)</f>
        <v>0</v>
      </c>
      <c r="G68" s="3162" cm="1">
        <f t="array" ref="G68">INDEX(LBX_Demos,$J68,G$2)</f>
        <v>0</v>
      </c>
      <c r="H68" s="5"/>
      <c r="I68" s="6"/>
      <c r="J68" s="2930">
        <v>28</v>
      </c>
    </row>
    <row r="69" spans="2:10" ht="15" customHeight="1" x14ac:dyDescent="0.25">
      <c r="B69" s="4"/>
      <c r="C69" s="5"/>
      <c r="D69" s="3163" t="str" cm="1">
        <f t="array" ref="D69">INDEX(LBX_Demos,J69,1)</f>
        <v>Age 85 Plus</v>
      </c>
      <c r="E69" s="3162" cm="1">
        <f t="array" ref="E69">INDEX(LBX_Demos,$J69,E$2)</f>
        <v>0</v>
      </c>
      <c r="F69" s="3162" cm="1">
        <f t="array" ref="F69">INDEX(LBX_Demos,$J69,F$2)</f>
        <v>0</v>
      </c>
      <c r="G69" s="3162" cm="1">
        <f t="array" ref="G69">INDEX(LBX_Demos,$J69,G$2)</f>
        <v>0</v>
      </c>
      <c r="H69" s="5"/>
      <c r="I69" s="6"/>
      <c r="J69" s="2930">
        <v>29</v>
      </c>
    </row>
    <row r="70" spans="2:10" ht="15" customHeight="1" thickBot="1" x14ac:dyDescent="0.3">
      <c r="B70" s="4"/>
      <c r="C70" s="5"/>
      <c r="D70" s="3170" t="str" cm="1">
        <f t="array" ref="D70">INDEX(LBX_Demos,J70,1)</f>
        <v>Median Age</v>
      </c>
      <c r="E70" s="3171" cm="1">
        <f t="array" ref="E70">INDEX(LBX_Demos,$J70,E$2)</f>
        <v>0</v>
      </c>
      <c r="F70" s="3171" cm="1">
        <f t="array" ref="F70">INDEX(LBX_Demos,$J70,F$2)</f>
        <v>0</v>
      </c>
      <c r="G70" s="3171" cm="1">
        <f t="array" ref="G70">INDEX(LBX_Demos,$J70,G$2)</f>
        <v>0</v>
      </c>
      <c r="H70" s="5"/>
      <c r="I70" s="6"/>
      <c r="J70" s="2930">
        <v>18</v>
      </c>
    </row>
    <row r="71" spans="2:10" s="36" customFormat="1" ht="15" customHeight="1" x14ac:dyDescent="0.25">
      <c r="B71" s="87"/>
      <c r="C71" s="681"/>
      <c r="D71" s="2931" t="str">
        <f>Source_EASI</f>
        <v>Source: EASI (LightBox)</v>
      </c>
      <c r="E71" s="2932"/>
      <c r="F71" s="2932"/>
      <c r="G71" s="2933" t="str">
        <f>"(Lat: " &amp; Subject_Latitude &amp; ", Lon: " &amp; Subject_Longitude &amp; ")"</f>
        <v>(Lat: 26.561524, Lon: -81.949277)</v>
      </c>
      <c r="H71" s="681"/>
      <c r="I71" s="89"/>
      <c r="J71" s="1095"/>
    </row>
    <row r="72" spans="2:10" ht="15" customHeight="1" thickBot="1" x14ac:dyDescent="0.3">
      <c r="B72" s="8"/>
      <c r="C72" s="7"/>
      <c r="D72" s="553" t="s">
        <v>18812</v>
      </c>
      <c r="E72" s="800"/>
      <c r="F72" s="800"/>
      <c r="G72" s="800"/>
      <c r="H72" s="7"/>
      <c r="I72" s="9"/>
    </row>
    <row r="73" spans="2:10" ht="15" customHeight="1" thickBot="1" x14ac:dyDescent="0.3"/>
    <row r="74" spans="2:10" ht="15" customHeight="1" x14ac:dyDescent="0.25">
      <c r="B74" s="1"/>
      <c r="C74" s="2"/>
      <c r="D74" s="2"/>
      <c r="E74" s="123"/>
      <c r="F74" s="123"/>
      <c r="G74" s="123"/>
      <c r="H74" s="2"/>
      <c r="I74" s="3"/>
    </row>
    <row r="75" spans="2:10" s="142" customFormat="1" ht="16.5" x14ac:dyDescent="0.25">
      <c r="B75" s="286"/>
      <c r="C75" s="287"/>
      <c r="D75" s="505" t="s">
        <v>18632</v>
      </c>
      <c r="E75" s="797"/>
      <c r="F75" s="797"/>
      <c r="G75" s="797"/>
      <c r="H75" s="287"/>
      <c r="I75" s="288"/>
      <c r="J75" s="2929" t="s">
        <v>18626</v>
      </c>
    </row>
    <row r="76" spans="2:10" s="142" customFormat="1" ht="15" customHeight="1" x14ac:dyDescent="0.25">
      <c r="B76" s="286"/>
      <c r="C76" s="419"/>
      <c r="D76" s="419" t="s">
        <v>18624</v>
      </c>
      <c r="E76" s="663" cm="1">
        <f t="array" ref="E76">INDEX(LBX_Demos,$J76,E$2)</f>
        <v>0</v>
      </c>
      <c r="F76" s="663" cm="1">
        <f t="array" ref="F76">INDEX(LBX_Demos,$J76,F$2)</f>
        <v>0</v>
      </c>
      <c r="G76" s="663" cm="1">
        <f t="array" ref="G76">INDEX(LBX_Demos,$J76,G$2)</f>
        <v>0</v>
      </c>
      <c r="H76" s="419"/>
      <c r="I76" s="288"/>
      <c r="J76" s="2929">
        <v>5</v>
      </c>
    </row>
    <row r="77" spans="2:10" ht="15" customHeight="1" x14ac:dyDescent="0.25">
      <c r="B77" s="4"/>
      <c r="C77" s="5"/>
      <c r="D77" s="3158" t="str">
        <f>EASI.CY &amp; " Distribution by Income"</f>
        <v>2021 Distribution by Income</v>
      </c>
      <c r="E77" s="3159"/>
      <c r="F77" s="3159"/>
      <c r="G77" s="3159"/>
      <c r="H77" s="5"/>
      <c r="I77" s="6"/>
    </row>
    <row r="78" spans="2:10" ht="15" customHeight="1" x14ac:dyDescent="0.25">
      <c r="B78" s="4"/>
      <c r="C78" s="5"/>
      <c r="D78" s="3163" t="str" cm="1">
        <f t="array" ref="D78">INDEX(LBX_Demos,J78,1)</f>
        <v>&lt; $15,000</v>
      </c>
      <c r="E78" s="3162" cm="1">
        <f t="array" ref="E78">INDEX(LBX_Demos,$J78,E$2)</f>
        <v>0</v>
      </c>
      <c r="F78" s="3162" cm="1">
        <f t="array" ref="F78">INDEX(LBX_Demos,$J78,F$2)</f>
        <v>0</v>
      </c>
      <c r="G78" s="3162" cm="1">
        <f t="array" ref="G78">INDEX(LBX_Demos,$J78,G$2)</f>
        <v>0</v>
      </c>
      <c r="H78" s="5"/>
      <c r="I78" s="6"/>
      <c r="J78" s="2930">
        <v>56</v>
      </c>
    </row>
    <row r="79" spans="2:10" ht="15" customHeight="1" x14ac:dyDescent="0.25">
      <c r="B79" s="4"/>
      <c r="C79" s="5"/>
      <c r="D79" s="3163" t="str" cm="1">
        <f t="array" ref="D79">INDEX(LBX_Demos,J79,1)</f>
        <v>$15,000 - $24,999</v>
      </c>
      <c r="E79" s="3168" cm="1">
        <f t="array" ref="E79">INDEX(LBX_Demos,$J79,E$2)</f>
        <v>0</v>
      </c>
      <c r="F79" s="3168" cm="1">
        <f t="array" ref="F79">INDEX(LBX_Demos,$J79,F$2)</f>
        <v>0</v>
      </c>
      <c r="G79" s="3168" cm="1">
        <f t="array" ref="G79">INDEX(LBX_Demos,$J79,G$2)</f>
        <v>0</v>
      </c>
      <c r="H79" s="5"/>
      <c r="I79" s="6"/>
      <c r="J79" s="2930">
        <v>57</v>
      </c>
    </row>
    <row r="80" spans="2:10" ht="15" customHeight="1" x14ac:dyDescent="0.25">
      <c r="B80" s="4"/>
      <c r="C80" s="5"/>
      <c r="D80" s="3163" t="str" cm="1">
        <f t="array" ref="D80">INDEX(LBX_Demos,J80,1)</f>
        <v>$25,000 - $34,999</v>
      </c>
      <c r="E80" s="3168" cm="1">
        <f t="array" ref="E80">INDEX(LBX_Demos,$J80,E$2)</f>
        <v>0</v>
      </c>
      <c r="F80" s="3168" cm="1">
        <f t="array" ref="F80">INDEX(LBX_Demos,$J80,F$2)</f>
        <v>0</v>
      </c>
      <c r="G80" s="3168" cm="1">
        <f t="array" ref="G80">INDEX(LBX_Demos,$J80,G$2)</f>
        <v>0</v>
      </c>
      <c r="H80" s="5"/>
      <c r="I80" s="6"/>
      <c r="J80" s="2930">
        <v>58</v>
      </c>
    </row>
    <row r="81" spans="2:10" ht="15" customHeight="1" x14ac:dyDescent="0.25">
      <c r="B81" s="4"/>
      <c r="C81" s="5"/>
      <c r="D81" s="3163" t="str" cm="1">
        <f t="array" ref="D81">INDEX(LBX_Demos,J81,1)</f>
        <v>$35,000 - $49,999</v>
      </c>
      <c r="E81" s="3168" cm="1">
        <f t="array" ref="E81">INDEX(LBX_Demos,$J81,E$2)</f>
        <v>0</v>
      </c>
      <c r="F81" s="3168" cm="1">
        <f t="array" ref="F81">INDEX(LBX_Demos,$J81,F$2)</f>
        <v>0</v>
      </c>
      <c r="G81" s="3168" cm="1">
        <f t="array" ref="G81">INDEX(LBX_Demos,$J81,G$2)</f>
        <v>0</v>
      </c>
      <c r="H81" s="5"/>
      <c r="I81" s="6"/>
      <c r="J81" s="2930">
        <v>59</v>
      </c>
    </row>
    <row r="82" spans="2:10" ht="15" customHeight="1" x14ac:dyDescent="0.25">
      <c r="B82" s="4"/>
      <c r="C82" s="5"/>
      <c r="D82" s="3163" t="str" cm="1">
        <f t="array" ref="D82">INDEX(LBX_Demos,J82,1)</f>
        <v>$50,000 - $74,999</v>
      </c>
      <c r="E82" s="3162" cm="1">
        <f t="array" ref="E82">INDEX(LBX_Demos,$J82,E$2)</f>
        <v>0</v>
      </c>
      <c r="F82" s="3162" cm="1">
        <f t="array" ref="F82">INDEX(LBX_Demos,$J82,F$2)</f>
        <v>0</v>
      </c>
      <c r="G82" s="3162" cm="1">
        <f t="array" ref="G82">INDEX(LBX_Demos,$J82,G$2)</f>
        <v>0</v>
      </c>
      <c r="H82" s="5"/>
      <c r="I82" s="6"/>
      <c r="J82" s="2930">
        <v>60</v>
      </c>
    </row>
    <row r="83" spans="2:10" ht="15" customHeight="1" x14ac:dyDescent="0.25">
      <c r="B83" s="4"/>
      <c r="C83" s="5"/>
      <c r="D83" s="3163" t="str" cm="1">
        <f t="array" ref="D83">INDEX(LBX_Demos,J83,1)</f>
        <v>$75,000 - $99,999</v>
      </c>
      <c r="E83" s="3162" cm="1">
        <f t="array" ref="E83">INDEX(LBX_Demos,$J83,E$2)</f>
        <v>0</v>
      </c>
      <c r="F83" s="3162" cm="1">
        <f t="array" ref="F83">INDEX(LBX_Demos,$J83,F$2)</f>
        <v>0</v>
      </c>
      <c r="G83" s="3162" cm="1">
        <f t="array" ref="G83">INDEX(LBX_Demos,$J83,G$2)</f>
        <v>0</v>
      </c>
      <c r="H83" s="5"/>
      <c r="I83" s="6"/>
      <c r="J83" s="2930">
        <v>61</v>
      </c>
    </row>
    <row r="84" spans="2:10" ht="15" customHeight="1" x14ac:dyDescent="0.25">
      <c r="B84" s="4"/>
      <c r="C84" s="5"/>
      <c r="D84" s="3163" t="str" cm="1">
        <f t="array" ref="D84">INDEX(LBX_Demos,J84,1)</f>
        <v>$100,000 - $124,999</v>
      </c>
      <c r="E84" s="3162" cm="1">
        <f t="array" ref="E84">INDEX(LBX_Demos,$J84,E$2)</f>
        <v>0</v>
      </c>
      <c r="F84" s="3162" cm="1">
        <f t="array" ref="F84">INDEX(LBX_Demos,$J84,F$2)</f>
        <v>0</v>
      </c>
      <c r="G84" s="3162" cm="1">
        <f t="array" ref="G84">INDEX(LBX_Demos,$J84,G$2)</f>
        <v>0</v>
      </c>
      <c r="H84" s="5"/>
      <c r="I84" s="6"/>
      <c r="J84" s="2930">
        <v>62</v>
      </c>
    </row>
    <row r="85" spans="2:10" ht="15" customHeight="1" x14ac:dyDescent="0.25">
      <c r="B85" s="4"/>
      <c r="C85" s="5"/>
      <c r="D85" s="3169" t="str" cm="1">
        <f t="array" ref="D85">INDEX(LBX_Demos,J85,1)</f>
        <v>$125,000 - $149,999</v>
      </c>
      <c r="E85" s="3152" cm="1">
        <f t="array" ref="E85">INDEX(LBX_Demos,$J85,E$2)</f>
        <v>0</v>
      </c>
      <c r="F85" s="3152" cm="1">
        <f t="array" ref="F85">INDEX(LBX_Demos,$J85,F$2)</f>
        <v>0</v>
      </c>
      <c r="G85" s="3152" cm="1">
        <f t="array" ref="G85">INDEX(LBX_Demos,$J85,G$2)</f>
        <v>0</v>
      </c>
      <c r="H85" s="5"/>
      <c r="I85" s="6"/>
      <c r="J85" s="2930">
        <v>63</v>
      </c>
    </row>
    <row r="86" spans="2:10" ht="15" customHeight="1" x14ac:dyDescent="0.25">
      <c r="B86" s="4"/>
      <c r="C86" s="5"/>
      <c r="D86" s="3163" t="str" cm="1">
        <f t="array" ref="D86">INDEX(LBX_Demos,J86,1)</f>
        <v>$150,000 - $199,999</v>
      </c>
      <c r="E86" s="3162" cm="1">
        <f t="array" ref="E86">INDEX(LBX_Demos,$J86,E$2)</f>
        <v>0</v>
      </c>
      <c r="F86" s="3162" cm="1">
        <f t="array" ref="F86">INDEX(LBX_Demos,$J86,F$2)</f>
        <v>0</v>
      </c>
      <c r="G86" s="3162" cm="1">
        <f t="array" ref="G86">INDEX(LBX_Demos,$J86,G$2)</f>
        <v>0</v>
      </c>
      <c r="H86" s="5"/>
      <c r="I86" s="6"/>
      <c r="J86" s="2930">
        <v>64</v>
      </c>
    </row>
    <row r="87" spans="2:10" ht="15" customHeight="1" x14ac:dyDescent="0.25">
      <c r="B87" s="4"/>
      <c r="C87" s="5"/>
      <c r="D87" s="3163" t="str" cm="1">
        <f t="array" ref="D87">INDEX(LBX_Demos,J87,1)</f>
        <v>$200,000 +</v>
      </c>
      <c r="E87" s="3162" cm="1">
        <f t="array" ref="E87">INDEX(LBX_Demos,$J87,E$2)</f>
        <v>0</v>
      </c>
      <c r="F87" s="3162" cm="1">
        <f t="array" ref="F87">INDEX(LBX_Demos,$J87,F$2)</f>
        <v>0</v>
      </c>
      <c r="G87" s="3162" cm="1">
        <f t="array" ref="G87">INDEX(LBX_Demos,$J87,G$2)</f>
        <v>0</v>
      </c>
      <c r="H87" s="5"/>
      <c r="I87" s="6"/>
      <c r="J87" s="2930">
        <v>65</v>
      </c>
    </row>
    <row r="88" spans="2:10" ht="15" customHeight="1" thickBot="1" x14ac:dyDescent="0.3">
      <c r="B88" s="4"/>
      <c r="C88" s="5"/>
      <c r="D88" s="3170" t="str" cm="1">
        <f t="array" ref="D88">INDEX(LBX_Demos,J88,1)</f>
        <v>Average Household Income</v>
      </c>
      <c r="E88" s="3172" cm="1">
        <f t="array" ref="E88">INDEX(LBX_Demos,$J88,E$2)</f>
        <v>0</v>
      </c>
      <c r="F88" s="3172" cm="1">
        <f t="array" ref="F88">INDEX(LBX_Demos,$J88,F$2)</f>
        <v>0</v>
      </c>
      <c r="G88" s="3172" cm="1">
        <f t="array" ref="G88">INDEX(LBX_Demos,$J88,G$2)</f>
        <v>0</v>
      </c>
      <c r="H88" s="5"/>
      <c r="I88" s="6"/>
      <c r="J88" s="2930">
        <v>54</v>
      </c>
    </row>
    <row r="89" spans="2:10" s="36" customFormat="1" ht="15" customHeight="1" x14ac:dyDescent="0.25">
      <c r="B89" s="87"/>
      <c r="C89" s="681"/>
      <c r="D89" s="2931" t="str">
        <f>Source_EASI</f>
        <v>Source: EASI (LightBox)</v>
      </c>
      <c r="E89" s="2932"/>
      <c r="F89" s="2932"/>
      <c r="G89" s="2933" t="str">
        <f>"(Lat: " &amp; Subject_Latitude &amp; ", Lon: " &amp; Subject_Longitude &amp; ")"</f>
        <v>(Lat: 26.561524, Lon: -81.949277)</v>
      </c>
      <c r="H89" s="681"/>
      <c r="I89" s="89"/>
      <c r="J89" s="1095"/>
    </row>
    <row r="90" spans="2:10" ht="15" customHeight="1" thickBot="1" x14ac:dyDescent="0.3">
      <c r="B90" s="8"/>
      <c r="C90" s="7"/>
      <c r="D90" s="553" t="s">
        <v>18811</v>
      </c>
      <c r="E90" s="800"/>
      <c r="F90" s="800"/>
      <c r="G90" s="800"/>
      <c r="H90" s="7"/>
      <c r="I90" s="9"/>
    </row>
    <row r="91" spans="2:10" ht="15" customHeight="1" thickBot="1" x14ac:dyDescent="0.3"/>
    <row r="92" spans="2:10" ht="15" customHeight="1" x14ac:dyDescent="0.25">
      <c r="B92" s="1"/>
      <c r="C92" s="2"/>
      <c r="D92" s="2"/>
      <c r="E92" s="123"/>
      <c r="F92" s="123"/>
      <c r="G92" s="123"/>
      <c r="H92" s="2"/>
      <c r="I92" s="3"/>
    </row>
    <row r="93" spans="2:10" s="142" customFormat="1" ht="16.5" x14ac:dyDescent="0.25">
      <c r="B93" s="286"/>
      <c r="C93" s="287"/>
      <c r="D93" s="505" t="s">
        <v>18633</v>
      </c>
      <c r="E93" s="797"/>
      <c r="F93" s="797"/>
      <c r="G93" s="797"/>
      <c r="H93" s="287"/>
      <c r="I93" s="288"/>
      <c r="J93" s="2929" t="s">
        <v>18626</v>
      </c>
    </row>
    <row r="94" spans="2:10" s="142" customFormat="1" ht="15" customHeight="1" x14ac:dyDescent="0.25">
      <c r="B94" s="286"/>
      <c r="C94" s="419"/>
      <c r="D94" s="419" t="s">
        <v>18624</v>
      </c>
      <c r="E94" s="663" cm="1">
        <f t="array" ref="E94">INDEX(LBX_Demos,$J94,E$2)</f>
        <v>0</v>
      </c>
      <c r="F94" s="663" cm="1">
        <f t="array" ref="F94">INDEX(LBX_Demos,$J94,F$2)</f>
        <v>0</v>
      </c>
      <c r="G94" s="663" cm="1">
        <f t="array" ref="G94">INDEX(LBX_Demos,$J94,G$2)</f>
        <v>0</v>
      </c>
      <c r="H94" s="419"/>
      <c r="I94" s="288"/>
      <c r="J94" s="2929">
        <v>5</v>
      </c>
    </row>
    <row r="95" spans="2:10" ht="15" customHeight="1" x14ac:dyDescent="0.25">
      <c r="B95" s="4"/>
      <c r="C95" s="5"/>
      <c r="D95" s="3158" t="str">
        <f>EASI.CY &amp; " Consumer Spending by Industry"</f>
        <v>2021 Consumer Spending by Industry</v>
      </c>
      <c r="E95" s="3159"/>
      <c r="F95" s="3159"/>
      <c r="G95" s="3159"/>
      <c r="H95" s="5"/>
      <c r="I95" s="6"/>
    </row>
    <row r="96" spans="2:10" ht="15" customHeight="1" x14ac:dyDescent="0.25">
      <c r="B96" s="4"/>
      <c r="C96" s="5"/>
      <c r="D96" s="3150" t="str" cm="1">
        <f t="array" ref="D96">INDEX(LBX_Demos,J96,1)</f>
        <v>Building &amp; Garden Materials</v>
      </c>
      <c r="E96" s="3160" t="e" cm="1">
        <f t="array" ref="E96">INDEX(LBX_Demos,$J96,E$2)/E$20</f>
        <v>#DIV/0!</v>
      </c>
      <c r="F96" s="3160" t="e" cm="1">
        <f t="array" ref="F96">INDEX(LBX_Demos,$J96,F$2)/F$20</f>
        <v>#DIV/0!</v>
      </c>
      <c r="G96" s="3160" t="e" cm="1">
        <f t="array" ref="G96">INDEX(LBX_Demos,$J96,G$2)/G$20</f>
        <v>#DIV/0!</v>
      </c>
      <c r="H96" s="5"/>
      <c r="I96" s="6"/>
      <c r="J96" s="2930">
        <v>69</v>
      </c>
    </row>
    <row r="97" spans="2:10" ht="15" customHeight="1" x14ac:dyDescent="0.25">
      <c r="B97" s="4"/>
      <c r="C97" s="5"/>
      <c r="D97" s="3166" t="str" cm="1">
        <f t="array" ref="D97">INDEX(LBX_Demos,J97,1)</f>
        <v>Clothing &amp; Accessories</v>
      </c>
      <c r="E97" s="3160" t="e" cm="1">
        <f t="array" ref="E97">INDEX(LBX_Demos,$J97,E$2)/E$20</f>
        <v>#DIV/0!</v>
      </c>
      <c r="F97" s="3160" t="e" cm="1">
        <f t="array" ref="F97">INDEX(LBX_Demos,$J97,F$2)/F$20</f>
        <v>#DIV/0!</v>
      </c>
      <c r="G97" s="3160" t="e" cm="1">
        <f t="array" ref="G97">INDEX(LBX_Demos,$J97,G$2)/G$20</f>
        <v>#DIV/0!</v>
      </c>
      <c r="H97" s="5"/>
      <c r="I97" s="6"/>
      <c r="J97" s="2930">
        <v>70</v>
      </c>
    </row>
    <row r="98" spans="2:10" ht="15" customHeight="1" x14ac:dyDescent="0.25">
      <c r="B98" s="4"/>
      <c r="C98" s="5"/>
      <c r="D98" s="3150" t="str" cm="1">
        <f t="array" ref="D98">INDEX(LBX_Demos,J98,1)</f>
        <v>Electrical &amp; Appliances</v>
      </c>
      <c r="E98" s="3160" t="e" cm="1">
        <f t="array" ref="E98">INDEX(LBX_Demos,$J98,E$2)/E$20</f>
        <v>#DIV/0!</v>
      </c>
      <c r="F98" s="3160" t="e" cm="1">
        <f t="array" ref="F98">INDEX(LBX_Demos,$J98,F$2)/F$20</f>
        <v>#DIV/0!</v>
      </c>
      <c r="G98" s="3160" t="e" cm="1">
        <f t="array" ref="G98">INDEX(LBX_Demos,$J98,G$2)/G$20</f>
        <v>#DIV/0!</v>
      </c>
      <c r="H98" s="5"/>
      <c r="I98" s="6"/>
      <c r="J98" s="2930">
        <v>71</v>
      </c>
    </row>
    <row r="99" spans="2:10" ht="15" customHeight="1" x14ac:dyDescent="0.25">
      <c r="B99" s="4"/>
      <c r="C99" s="5"/>
      <c r="D99" s="3150" t="str" cm="1">
        <f t="array" ref="D99">INDEX(LBX_Demos,J99,1)</f>
        <v>Food &amp; Beverage</v>
      </c>
      <c r="E99" s="3173" t="e" cm="1">
        <f t="array" ref="E99">INDEX(LBX_Demos,$J99,E$2)/E$20</f>
        <v>#DIV/0!</v>
      </c>
      <c r="F99" s="3173" t="e" cm="1">
        <f t="array" ref="F99">INDEX(LBX_Demos,$J99,F$2)/F$20</f>
        <v>#DIV/0!</v>
      </c>
      <c r="G99" s="3173" t="e" cm="1">
        <f t="array" ref="G99">INDEX(LBX_Demos,$J99,G$2)/G$20</f>
        <v>#DIV/0!</v>
      </c>
      <c r="H99" s="5"/>
      <c r="I99" s="6"/>
      <c r="J99" s="2930">
        <v>72</v>
      </c>
    </row>
    <row r="100" spans="2:10" ht="15" customHeight="1" x14ac:dyDescent="0.25">
      <c r="B100" s="4"/>
      <c r="C100" s="5"/>
      <c r="D100" s="3150" t="str" cm="1">
        <f t="array" ref="D100">INDEX(LBX_Demos,J100,1)</f>
        <v>Food Services</v>
      </c>
      <c r="E100" s="3173" t="e" cm="1">
        <f t="array" ref="E100">INDEX(LBX_Demos,$J100,E$2)/E$20</f>
        <v>#DIV/0!</v>
      </c>
      <c r="F100" s="3173" t="e" cm="1">
        <f t="array" ref="F100">INDEX(LBX_Demos,$J100,F$2)/F$20</f>
        <v>#DIV/0!</v>
      </c>
      <c r="G100" s="3173" t="e" cm="1">
        <f t="array" ref="G100">INDEX(LBX_Demos,$J100,G$2)/G$20</f>
        <v>#DIV/0!</v>
      </c>
      <c r="H100" s="5"/>
      <c r="I100" s="6"/>
      <c r="J100" s="2930">
        <v>73</v>
      </c>
    </row>
    <row r="101" spans="2:10" ht="15" customHeight="1" x14ac:dyDescent="0.25">
      <c r="B101" s="4"/>
      <c r="C101" s="5"/>
      <c r="D101" s="3150" t="str" cm="1">
        <f t="array" ref="D101">INDEX(LBX_Demos,J101,1)</f>
        <v>Furniture Home Furnishings</v>
      </c>
      <c r="E101" s="3173" t="e" cm="1">
        <f t="array" ref="E101">INDEX(LBX_Demos,$J101,E$2)/E$20</f>
        <v>#DIV/0!</v>
      </c>
      <c r="F101" s="3173" t="e" cm="1">
        <f t="array" ref="F101">INDEX(LBX_Demos,$J101,F$2)/F$20</f>
        <v>#DIV/0!</v>
      </c>
      <c r="G101" s="3173" t="e" cm="1">
        <f t="array" ref="G101">INDEX(LBX_Demos,$J101,G$2)/G$20</f>
        <v>#DIV/0!</v>
      </c>
      <c r="H101" s="5"/>
      <c r="I101" s="6"/>
      <c r="J101" s="2930">
        <v>74</v>
      </c>
    </row>
    <row r="102" spans="2:10" ht="15" customHeight="1" x14ac:dyDescent="0.25">
      <c r="B102" s="4"/>
      <c r="C102" s="5"/>
      <c r="D102" s="3150" t="str" cm="1">
        <f t="array" ref="D102">INDEX(LBX_Demos,J102,1)</f>
        <v>Gasoline Stations</v>
      </c>
      <c r="E102" s="3160" t="e" cm="1">
        <f t="array" ref="E102">INDEX(LBX_Demos,$J102,E$2)/E$20</f>
        <v>#DIV/0!</v>
      </c>
      <c r="F102" s="3160" t="e" cm="1">
        <f t="array" ref="F102">INDEX(LBX_Demos,$J102,F$2)/F$20</f>
        <v>#DIV/0!</v>
      </c>
      <c r="G102" s="3160" t="e" cm="1">
        <f t="array" ref="G102">INDEX(LBX_Demos,$J102,G$2)/G$20</f>
        <v>#DIV/0!</v>
      </c>
      <c r="H102" s="5"/>
      <c r="I102" s="6"/>
      <c r="J102" s="2930">
        <v>75</v>
      </c>
    </row>
    <row r="103" spans="2:10" ht="15" customHeight="1" x14ac:dyDescent="0.25">
      <c r="B103" s="4"/>
      <c r="C103" s="5"/>
      <c r="D103" s="3150" t="str" cm="1">
        <f t="array" ref="D103">INDEX(LBX_Demos,J103,1)</f>
        <v>General Merchandise</v>
      </c>
      <c r="E103" s="3160" t="e" cm="1">
        <f t="array" ref="E103">INDEX(LBX_Demos,$J103,E$2)/E$20</f>
        <v>#DIV/0!</v>
      </c>
      <c r="F103" s="3160" t="e" cm="1">
        <f t="array" ref="F103">INDEX(LBX_Demos,$J103,F$2)/F$20</f>
        <v>#DIV/0!</v>
      </c>
      <c r="G103" s="3160" t="e" cm="1">
        <f t="array" ref="G103">INDEX(LBX_Demos,$J103,G$2)/G$20</f>
        <v>#DIV/0!</v>
      </c>
      <c r="H103" s="5"/>
      <c r="I103" s="6"/>
      <c r="J103" s="2930">
        <v>76</v>
      </c>
    </row>
    <row r="104" spans="2:10" ht="15" customHeight="1" x14ac:dyDescent="0.25">
      <c r="B104" s="4"/>
      <c r="C104" s="5"/>
      <c r="D104" s="3150" t="str" cm="1">
        <f t="array" ref="D104">INDEX(LBX_Demos,J104,1)</f>
        <v>Health &amp; Personal</v>
      </c>
      <c r="E104" s="3160" t="e" cm="1">
        <f t="array" ref="E104">INDEX(LBX_Demos,$J104,E$2)/E$20</f>
        <v>#DIV/0!</v>
      </c>
      <c r="F104" s="3160" t="e" cm="1">
        <f t="array" ref="F104">INDEX(LBX_Demos,$J104,F$2)/F$20</f>
        <v>#DIV/0!</v>
      </c>
      <c r="G104" s="3160" t="e" cm="1">
        <f t="array" ref="G104">INDEX(LBX_Demos,$J104,G$2)/G$20</f>
        <v>#DIV/0!</v>
      </c>
      <c r="H104" s="5"/>
      <c r="I104" s="6"/>
      <c r="J104" s="2930">
        <v>77</v>
      </c>
    </row>
    <row r="105" spans="2:10" ht="15" customHeight="1" x14ac:dyDescent="0.25">
      <c r="B105" s="4"/>
      <c r="C105" s="5"/>
      <c r="D105" s="3166" t="str" cm="1">
        <f t="array" ref="D105">INDEX(LBX_Demos,J105,1)</f>
        <v>Miscellaneous</v>
      </c>
      <c r="E105" s="3174" t="e" cm="1">
        <f t="array" ref="E105">INDEX(LBX_Demos,$J105,E$2)/E$20</f>
        <v>#DIV/0!</v>
      </c>
      <c r="F105" s="3174" t="e" cm="1">
        <f t="array" ref="F105">INDEX(LBX_Demos,$J105,F$2)/F$20</f>
        <v>#DIV/0!</v>
      </c>
      <c r="G105" s="3174" t="e" cm="1">
        <f t="array" ref="G105">INDEX(LBX_Demos,$J105,G$2)/G$20</f>
        <v>#DIV/0!</v>
      </c>
      <c r="H105" s="5"/>
      <c r="I105" s="6"/>
      <c r="J105" s="2930">
        <v>78</v>
      </c>
    </row>
    <row r="106" spans="2:10" ht="15" customHeight="1" x14ac:dyDescent="0.25">
      <c r="B106" s="4"/>
      <c r="C106" s="5"/>
      <c r="D106" s="3150" t="str" cm="1">
        <f t="array" ref="D106">INDEX(LBX_Demos,J106,1)</f>
        <v>Motor Vehicles</v>
      </c>
      <c r="E106" s="3160" t="e" cm="1">
        <f t="array" ref="E106">INDEX(LBX_Demos,$J106,E$2)/E$20</f>
        <v>#DIV/0!</v>
      </c>
      <c r="F106" s="3160" t="e" cm="1">
        <f t="array" ref="F106">INDEX(LBX_Demos,$J106,F$2)/F$20</f>
        <v>#DIV/0!</v>
      </c>
      <c r="G106" s="3160" t="e" cm="1">
        <f t="array" ref="G106">INDEX(LBX_Demos,$J106,G$2)/G$20</f>
        <v>#DIV/0!</v>
      </c>
      <c r="H106" s="5"/>
      <c r="I106" s="6"/>
      <c r="J106" s="2930">
        <v>79</v>
      </c>
    </row>
    <row r="107" spans="2:10" ht="15" customHeight="1" x14ac:dyDescent="0.25">
      <c r="B107" s="4"/>
      <c r="C107" s="5"/>
      <c r="D107" s="3150" t="str" cm="1">
        <f t="array" ref="D107">INDEX(LBX_Demos,J107,1)</f>
        <v>Non Store Purchases</v>
      </c>
      <c r="E107" s="3160" t="e" cm="1">
        <f t="array" ref="E107">INDEX(LBX_Demos,$J107,E$2)/E$20</f>
        <v>#DIV/0!</v>
      </c>
      <c r="F107" s="3160" t="e" cm="1">
        <f t="array" ref="F107">INDEX(LBX_Demos,$J107,F$2)/F$20</f>
        <v>#DIV/0!</v>
      </c>
      <c r="G107" s="3160" t="e" cm="1">
        <f t="array" ref="G107">INDEX(LBX_Demos,$J107,G$2)/G$20</f>
        <v>#DIV/0!</v>
      </c>
      <c r="H107" s="5"/>
      <c r="I107" s="6"/>
      <c r="J107" s="2930">
        <v>80</v>
      </c>
    </row>
    <row r="108" spans="2:10" ht="15" customHeight="1" x14ac:dyDescent="0.25">
      <c r="B108" s="4"/>
      <c r="C108" s="5"/>
      <c r="D108" s="3150" t="str" cm="1">
        <f t="array" ref="D108">INDEX(LBX_Demos,J108,1)</f>
        <v>Sporting Goods</v>
      </c>
      <c r="E108" s="3160" t="e" cm="1">
        <f t="array" ref="E108">INDEX(LBX_Demos,$J108,E$2)/E$20</f>
        <v>#DIV/0!</v>
      </c>
      <c r="F108" s="3160" t="e" cm="1">
        <f t="array" ref="F108">INDEX(LBX_Demos,$J108,F$2)/F$20</f>
        <v>#DIV/0!</v>
      </c>
      <c r="G108" s="3160" t="e" cm="1">
        <f t="array" ref="G108">INDEX(LBX_Demos,$J108,G$2)/G$20</f>
        <v>#DIV/0!</v>
      </c>
      <c r="H108" s="5"/>
      <c r="I108" s="6"/>
      <c r="J108" s="2930">
        <v>81</v>
      </c>
    </row>
    <row r="109" spans="2:10" ht="15" customHeight="1" thickBot="1" x14ac:dyDescent="0.3">
      <c r="B109" s="4"/>
      <c r="C109" s="5"/>
      <c r="D109" s="3175" t="str" cm="1">
        <f t="array" ref="D109">INDEX(LBX_Demos,J109,1)</f>
        <v>Avg Spending/Household</v>
      </c>
      <c r="E109" s="3172" cm="1">
        <f t="array" ref="E109">INDEX(LBX_Demos,$J109,E$2)</f>
        <v>0</v>
      </c>
      <c r="F109" s="3172" cm="1">
        <f t="array" ref="F109">INDEX(LBX_Demos,$J109,F$2)</f>
        <v>0</v>
      </c>
      <c r="G109" s="3172" cm="1">
        <f t="array" ref="G109">INDEX(LBX_Demos,$J109,G$2)</f>
        <v>0</v>
      </c>
      <c r="H109" s="5"/>
      <c r="I109" s="6"/>
      <c r="J109" s="2930">
        <v>66</v>
      </c>
    </row>
    <row r="110" spans="2:10" s="36" customFormat="1" ht="15" customHeight="1" x14ac:dyDescent="0.25">
      <c r="B110" s="87"/>
      <c r="C110" s="681"/>
      <c r="D110" s="2931" t="str">
        <f>Source_EASI</f>
        <v>Source: EASI (LightBox)</v>
      </c>
      <c r="E110" s="2932"/>
      <c r="F110" s="2932"/>
      <c r="G110" s="2933" t="str">
        <f>"(Lat: " &amp; Subject_Latitude &amp; ", Lon: " &amp; Subject_Longitude &amp; ")"</f>
        <v>(Lat: 26.561524, Lon: -81.949277)</v>
      </c>
      <c r="H110" s="681"/>
      <c r="I110" s="89"/>
      <c r="J110" s="1095"/>
    </row>
    <row r="111" spans="2:10" ht="15" customHeight="1" thickBot="1" x14ac:dyDescent="0.3">
      <c r="B111" s="8"/>
      <c r="C111" s="7"/>
      <c r="D111" s="553" t="s">
        <v>18810</v>
      </c>
      <c r="E111" s="800"/>
      <c r="F111" s="800"/>
      <c r="G111" s="800"/>
      <c r="H111" s="7"/>
      <c r="I111" s="9"/>
    </row>
  </sheetData>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A8AF5-8188-4D11-836C-0DFD845BE4F0}">
  <sheetPr codeName="Sheet89">
    <tabColor theme="4"/>
  </sheetPr>
  <dimension ref="A1:AH56"/>
  <sheetViews>
    <sheetView showGridLines="0" workbookViewId="0">
      <selection activeCell="D4" sqref="D4"/>
    </sheetView>
  </sheetViews>
  <sheetFormatPr defaultRowHeight="14.25" x14ac:dyDescent="0.25"/>
  <cols>
    <col min="2" max="2" width="20.7109375" customWidth="1"/>
    <col min="4" max="4" width="2.7109375" customWidth="1"/>
    <col min="5" max="5" width="0.85546875" customWidth="1"/>
    <col min="6" max="6" width="36.7109375" customWidth="1"/>
    <col min="7" max="11" width="14.7109375" customWidth="1"/>
    <col min="12" max="12" width="0.85546875" customWidth="1"/>
    <col min="13" max="13" width="2.7109375" customWidth="1"/>
    <col min="15" max="15" width="2.7109375" customWidth="1"/>
    <col min="16" max="16" width="0.85546875" customWidth="1"/>
    <col min="17" max="17" width="36.7109375" customWidth="1"/>
    <col min="18" max="20" width="16.7109375" customWidth="1"/>
    <col min="21" max="21" width="0.85546875" customWidth="1"/>
    <col min="22" max="22" width="2.7109375" customWidth="1"/>
    <col min="24" max="24" width="1.7109375" style="2345" customWidth="1"/>
    <col min="25" max="25" width="2.7109375" style="2345" customWidth="1"/>
    <col min="26" max="26" width="55.7109375" style="2345" customWidth="1"/>
    <col min="27" max="28" width="14.7109375" style="2345" customWidth="1"/>
    <col min="29" max="29" width="2.7109375" style="2345" customWidth="1"/>
    <col min="30" max="30" width="1.7109375" style="2345" customWidth="1"/>
    <col min="31" max="31" width="3.7109375" style="2345" customWidth="1"/>
    <col min="32" max="32" width="20.7109375" style="2345" customWidth="1"/>
    <col min="33" max="33" width="36.7109375" style="2345" customWidth="1"/>
    <col min="34" max="34" width="12.7109375" style="2345" customWidth="1"/>
  </cols>
  <sheetData>
    <row r="1" spans="1:34" s="10" customFormat="1" ht="60" customHeight="1" thickBot="1" x14ac:dyDescent="0.3">
      <c r="A1" s="957"/>
      <c r="B1" s="957"/>
      <c r="F1" s="2227">
        <v>2</v>
      </c>
      <c r="G1" s="2227">
        <v>3</v>
      </c>
      <c r="H1" s="2227">
        <v>4</v>
      </c>
      <c r="I1" s="2228"/>
      <c r="J1" s="2227">
        <v>5</v>
      </c>
      <c r="K1" s="2227"/>
      <c r="R1" s="13"/>
      <c r="S1" s="13"/>
      <c r="T1" s="13"/>
    </row>
    <row r="2" spans="1:34" s="10" customFormat="1" ht="15" customHeight="1" x14ac:dyDescent="0.25">
      <c r="A2" s="957"/>
      <c r="B2" s="957"/>
      <c r="D2" s="1"/>
      <c r="E2" s="2"/>
      <c r="F2" s="2"/>
      <c r="G2" s="123"/>
      <c r="H2" s="123"/>
      <c r="I2" s="123"/>
      <c r="J2" s="123"/>
      <c r="K2" s="123"/>
      <c r="L2" s="2"/>
      <c r="M2" s="3"/>
      <c r="R2" s="13"/>
      <c r="S2" s="13"/>
      <c r="T2" s="13"/>
    </row>
    <row r="3" spans="1:34" s="142" customFormat="1" ht="16.5" x14ac:dyDescent="0.25">
      <c r="A3" s="957"/>
      <c r="B3" s="957"/>
      <c r="D3" s="491"/>
      <c r="E3" s="492"/>
      <c r="F3" s="493" t="s">
        <v>72</v>
      </c>
      <c r="G3" s="804"/>
      <c r="H3" s="804"/>
      <c r="I3" s="804"/>
      <c r="J3" s="804"/>
      <c r="K3" s="804"/>
      <c r="L3" s="495"/>
      <c r="M3" s="496"/>
      <c r="R3" s="497"/>
      <c r="S3" s="497"/>
      <c r="T3" s="497"/>
      <c r="X3" s="10"/>
      <c r="Y3" s="10"/>
      <c r="Z3" s="10"/>
      <c r="AA3" s="10"/>
      <c r="AB3" s="10"/>
      <c r="AC3" s="10"/>
      <c r="AD3" s="10"/>
      <c r="AE3" s="10"/>
      <c r="AF3" s="10"/>
      <c r="AG3" s="10"/>
      <c r="AH3" s="10"/>
    </row>
    <row r="4" spans="1:34" s="142" customFormat="1" ht="30" customHeight="1" x14ac:dyDescent="0.25">
      <c r="A4" s="957"/>
      <c r="B4" s="3119" t="s">
        <v>18773</v>
      </c>
      <c r="D4" s="498"/>
      <c r="E4" s="499"/>
      <c r="F4" s="490"/>
      <c r="G4" s="4090" t="str">
        <f>"Census Population (" &amp; ESRI_Census&amp;")"</f>
        <v>Census Population (2020)</v>
      </c>
      <c r="H4" s="4090" t="str">
        <f>"Current Population (" &amp; ESRI_CY &amp; ")"</f>
        <v>Current Population (2023)</v>
      </c>
      <c r="I4" s="634" t="s">
        <v>18634</v>
      </c>
      <c r="J4" s="4090" t="str">
        <f>"Projected Population (" &amp; ESRI_FY &amp; ")"</f>
        <v>Projected Population (2028)</v>
      </c>
      <c r="K4" s="634" t="s">
        <v>18634</v>
      </c>
      <c r="L4" s="490"/>
      <c r="M4" s="500"/>
      <c r="R4" s="497"/>
      <c r="T4" s="497"/>
      <c r="X4" s="10"/>
      <c r="Y4" s="10"/>
      <c r="Z4" s="10"/>
      <c r="AA4" s="10"/>
      <c r="AB4" s="10"/>
      <c r="AC4" s="10"/>
      <c r="AD4" s="10"/>
      <c r="AE4" s="10"/>
      <c r="AF4" s="10"/>
      <c r="AG4" s="10"/>
      <c r="AH4" s="10"/>
    </row>
    <row r="5" spans="1:34" s="142" customFormat="1" ht="15" customHeight="1" x14ac:dyDescent="0.25">
      <c r="A5" s="957"/>
      <c r="B5" s="3118" t="s">
        <v>18706</v>
      </c>
      <c r="C5" s="2934"/>
      <c r="D5" s="501"/>
      <c r="E5" s="502"/>
      <c r="F5" s="503" t="s">
        <v>74</v>
      </c>
      <c r="G5" s="4090"/>
      <c r="H5" s="4090"/>
      <c r="I5" s="55" t="str">
        <f>ESRI_Census &amp; " - " &amp; ESRI_CY</f>
        <v>2020 - 2023</v>
      </c>
      <c r="J5" s="4090"/>
      <c r="K5" s="55" t="str">
        <f>ESRI_CY &amp; " - " &amp; ESRI_FY</f>
        <v>2023 - 2028</v>
      </c>
      <c r="L5" s="490"/>
      <c r="M5" s="141"/>
      <c r="N5" s="2226"/>
      <c r="R5" s="497"/>
      <c r="T5" s="497"/>
      <c r="X5" s="10"/>
      <c r="Y5" s="10"/>
      <c r="Z5" s="10"/>
      <c r="AA5" s="10"/>
      <c r="AB5" s="10"/>
      <c r="AC5" s="10"/>
      <c r="AD5" s="10"/>
      <c r="AE5" s="10"/>
      <c r="AF5" s="10"/>
      <c r="AG5" s="10"/>
      <c r="AH5" s="10"/>
    </row>
    <row r="6" spans="1:34" s="142" customFormat="1" ht="15" customHeight="1" x14ac:dyDescent="0.25">
      <c r="A6" s="976"/>
      <c r="B6" s="3023">
        <v>1</v>
      </c>
      <c r="C6" s="2226"/>
      <c r="D6" s="501"/>
      <c r="E6" s="2994"/>
      <c r="F6" s="3002" t="s">
        <v>1413</v>
      </c>
      <c r="G6" s="3003">
        <v>331449520</v>
      </c>
      <c r="H6" s="3003">
        <v>335707897</v>
      </c>
      <c r="I6" s="3004">
        <f t="shared" ref="I6:I11" si="0">RATE(ESRI_CY-ESRI_Census,1,-G6,H6)</f>
        <v>4.2643720543607258E-3</v>
      </c>
      <c r="J6" s="3003">
        <v>343238675</v>
      </c>
      <c r="K6" s="3004">
        <f t="shared" ref="K6:K11" si="1">RATE(ESRI_FY-ESRI_CY,1,-H6,J6)</f>
        <v>4.4467852703267826E-3</v>
      </c>
      <c r="L6" s="2997"/>
      <c r="M6" s="141"/>
      <c r="R6" s="497"/>
      <c r="T6" s="497"/>
      <c r="X6" s="10"/>
      <c r="Y6" s="10"/>
      <c r="Z6" s="10"/>
      <c r="AA6" s="10"/>
      <c r="AB6" s="10"/>
      <c r="AC6" s="10"/>
      <c r="AD6" s="10"/>
      <c r="AE6" s="10"/>
      <c r="AF6" s="10"/>
      <c r="AG6" s="10"/>
      <c r="AH6" s="10"/>
    </row>
    <row r="7" spans="1:34" s="142" customFormat="1" ht="15" customHeight="1" x14ac:dyDescent="0.25">
      <c r="A7" s="976"/>
      <c r="B7" s="3023">
        <v>3</v>
      </c>
      <c r="C7" s="2226">
        <v>4</v>
      </c>
      <c r="D7" s="501"/>
      <c r="E7" s="2994"/>
      <c r="F7" s="3002" t="str">
        <f t="shared" ref="F7:H11" si="2">INDEX(RawData_ESRI_Geography,F$1,$C7)</f>
        <v>Florida</v>
      </c>
      <c r="G7" s="3003">
        <f t="shared" si="2"/>
        <v>21538187</v>
      </c>
      <c r="H7" s="3003">
        <f t="shared" si="2"/>
        <v>22779514</v>
      </c>
      <c r="I7" s="3004">
        <f t="shared" si="0"/>
        <v>1.8853612675644994E-2</v>
      </c>
      <c r="J7" s="3003">
        <f>INDEX(RawData_ESRI_Geography,J$1,$C7)</f>
        <v>23862875</v>
      </c>
      <c r="K7" s="3004">
        <f t="shared" si="1"/>
        <v>9.3358081447714233E-3</v>
      </c>
      <c r="L7" s="2997"/>
      <c r="M7" s="141"/>
      <c r="T7" s="497"/>
      <c r="X7" s="10"/>
      <c r="Y7" s="10"/>
      <c r="Z7" s="10"/>
      <c r="AA7" s="10"/>
      <c r="AB7" s="10"/>
      <c r="AC7" s="10"/>
      <c r="AD7" s="10"/>
      <c r="AE7" s="10"/>
      <c r="AF7" s="10"/>
      <c r="AG7" s="10"/>
      <c r="AH7" s="10"/>
    </row>
    <row r="8" spans="1:34" s="142" customFormat="1" ht="15" customHeight="1" x14ac:dyDescent="0.25">
      <c r="A8" s="2226">
        <f t="shared" ref="A8" si="3">IFERROR(IF(OR(F8=0,F8=""),0,1),0)</f>
        <v>1</v>
      </c>
      <c r="B8" s="3023">
        <v>5</v>
      </c>
      <c r="C8" s="2226">
        <v>5</v>
      </c>
      <c r="D8" s="501"/>
      <c r="E8" s="2994"/>
      <c r="F8" s="3005" t="str">
        <f t="shared" si="2"/>
        <v>Cape Coral-Fort Myers, FL (MSA)</v>
      </c>
      <c r="G8" s="3003">
        <f t="shared" si="2"/>
        <v>760822</v>
      </c>
      <c r="H8" s="3003">
        <f t="shared" si="2"/>
        <v>840698</v>
      </c>
      <c r="I8" s="3004">
        <f t="shared" si="0"/>
        <v>3.3838858052941588E-2</v>
      </c>
      <c r="J8" s="3003">
        <f>INDEX(RawData_ESRI_Geography,J$1,$C8)</f>
        <v>908872</v>
      </c>
      <c r="K8" s="3004">
        <f t="shared" si="1"/>
        <v>1.571773390723109E-2</v>
      </c>
      <c r="L8" s="2997"/>
      <c r="M8" s="141"/>
      <c r="S8" s="497"/>
      <c r="T8" s="497"/>
      <c r="X8" s="10"/>
      <c r="Y8" s="10"/>
      <c r="Z8" s="10"/>
      <c r="AA8" s="10"/>
      <c r="AB8" s="10"/>
      <c r="AC8" s="10"/>
      <c r="AD8" s="10"/>
      <c r="AE8" s="10"/>
      <c r="AF8" s="10"/>
      <c r="AG8" s="10"/>
      <c r="AH8" s="10"/>
    </row>
    <row r="9" spans="1:34" s="142" customFormat="1" ht="15" hidden="1" customHeight="1" x14ac:dyDescent="0.25">
      <c r="A9" s="2226">
        <v>0</v>
      </c>
      <c r="B9" s="3023">
        <v>2023</v>
      </c>
      <c r="C9" s="2226">
        <v>6</v>
      </c>
      <c r="D9" s="501"/>
      <c r="E9" s="2994"/>
      <c r="F9" s="3002" t="str">
        <f t="shared" si="2"/>
        <v>Lee County</v>
      </c>
      <c r="G9" s="3003">
        <f t="shared" si="2"/>
        <v>760822</v>
      </c>
      <c r="H9" s="3003">
        <f t="shared" si="2"/>
        <v>840698</v>
      </c>
      <c r="I9" s="3004">
        <f t="shared" si="0"/>
        <v>3.3838858052941588E-2</v>
      </c>
      <c r="J9" s="3003">
        <f>INDEX(RawData_ESRI_Geography,J$1,$C9)</f>
        <v>908872</v>
      </c>
      <c r="K9" s="3004">
        <f t="shared" si="1"/>
        <v>1.571773390723109E-2</v>
      </c>
      <c r="L9" s="2997"/>
      <c r="M9" s="141"/>
      <c r="S9" s="497"/>
      <c r="T9" s="497"/>
    </row>
    <row r="10" spans="1:34" s="142" customFormat="1" ht="15" customHeight="1" thickBot="1" x14ac:dyDescent="0.3">
      <c r="A10" s="2226">
        <f>IFERROR(IF(OR(F10=0,F10=""),0,1),0)</f>
        <v>1</v>
      </c>
      <c r="C10" s="2226">
        <v>7</v>
      </c>
      <c r="D10" s="501"/>
      <c r="E10" s="2994"/>
      <c r="F10" s="3002" t="str">
        <f t="shared" si="2"/>
        <v>Cape Coral city</v>
      </c>
      <c r="G10" s="3003">
        <f t="shared" si="2"/>
        <v>194069</v>
      </c>
      <c r="H10" s="3003">
        <f t="shared" si="2"/>
        <v>215561</v>
      </c>
      <c r="I10" s="3004">
        <f t="shared" si="0"/>
        <v>3.5635099984970553E-2</v>
      </c>
      <c r="J10" s="3003">
        <f>INDEX(RawData_ESRI_Geography,J$1,$C10)</f>
        <v>235257</v>
      </c>
      <c r="K10" s="3004">
        <f t="shared" si="1"/>
        <v>1.7645192609387482E-2</v>
      </c>
      <c r="L10" s="2997"/>
      <c r="M10" s="141"/>
      <c r="S10" s="497"/>
      <c r="T10" s="497"/>
    </row>
    <row r="11" spans="1:34" s="142" customFormat="1" ht="15" hidden="1" customHeight="1" thickBot="1" x14ac:dyDescent="0.3">
      <c r="A11" s="2226">
        <f>IFERROR(IF(OR(F11=0,F11=""),0,1),0)</f>
        <v>0</v>
      </c>
      <c r="B11" s="976"/>
      <c r="C11" s="2226">
        <v>8</v>
      </c>
      <c r="D11" s="501"/>
      <c r="E11" s="2994"/>
      <c r="F11" s="3002">
        <f t="shared" si="2"/>
        <v>0</v>
      </c>
      <c r="G11" s="3003">
        <f t="shared" si="2"/>
        <v>0</v>
      </c>
      <c r="H11" s="3003">
        <f t="shared" si="2"/>
        <v>0</v>
      </c>
      <c r="I11" s="3004" t="e">
        <f t="shared" si="0"/>
        <v>#NUM!</v>
      </c>
      <c r="J11" s="3003">
        <f>INDEX(RawData_ESRI_Geography,J$1,$C11)</f>
        <v>0</v>
      </c>
      <c r="K11" s="3004" t="e">
        <f t="shared" si="1"/>
        <v>#NUM!</v>
      </c>
      <c r="L11" s="2997"/>
      <c r="M11" s="141"/>
      <c r="S11" s="497"/>
      <c r="T11" s="497"/>
    </row>
    <row r="12" spans="1:34" s="142" customFormat="1" ht="15" customHeight="1" x14ac:dyDescent="0.25">
      <c r="A12" s="2226">
        <v>1</v>
      </c>
      <c r="B12" s="3107" t="str">
        <f>Subject_Geocode</f>
        <v>26.561524,-81.949277</v>
      </c>
      <c r="D12" s="501"/>
      <c r="E12" s="2994"/>
      <c r="F12" s="3006" t="s">
        <v>18762</v>
      </c>
      <c r="G12" s="3007"/>
      <c r="H12" s="3007"/>
      <c r="I12" s="3007"/>
      <c r="J12" s="3007"/>
      <c r="K12" s="3007"/>
      <c r="L12" s="2994"/>
      <c r="M12" s="141"/>
      <c r="R12" s="497"/>
      <c r="S12" s="497"/>
      <c r="T12" s="497"/>
    </row>
    <row r="13" spans="1:34" s="10" customFormat="1" ht="15" customHeight="1" thickBot="1" x14ac:dyDescent="0.3">
      <c r="A13" s="2226">
        <v>1</v>
      </c>
      <c r="B13" s="957"/>
      <c r="D13" s="8"/>
      <c r="E13" s="7"/>
      <c r="F13" s="553" t="s">
        <v>18803</v>
      </c>
      <c r="G13" s="800"/>
      <c r="H13" s="800"/>
      <c r="I13" s="800"/>
      <c r="J13" s="800"/>
      <c r="K13" s="800"/>
      <c r="L13" s="7"/>
      <c r="M13" s="9"/>
      <c r="R13" s="13"/>
      <c r="S13" s="13"/>
      <c r="T13" s="13"/>
      <c r="X13" s="142"/>
      <c r="Y13" s="142"/>
      <c r="Z13" s="142"/>
      <c r="AA13" s="142"/>
      <c r="AB13" s="142"/>
      <c r="AC13" s="142"/>
      <c r="AD13" s="142"/>
      <c r="AE13" s="142"/>
      <c r="AF13" s="142"/>
      <c r="AG13" s="142"/>
      <c r="AH13" s="142"/>
    </row>
    <row r="14" spans="1:34" s="10" customFormat="1" ht="30" customHeight="1" thickBot="1" x14ac:dyDescent="0.3">
      <c r="A14" s="2226">
        <v>1</v>
      </c>
      <c r="B14" s="957"/>
      <c r="G14" s="37"/>
      <c r="I14" s="37"/>
      <c r="J14" s="37"/>
      <c r="K14" s="37"/>
      <c r="Q14" s="2227">
        <v>2</v>
      </c>
      <c r="R14" s="2232">
        <v>7</v>
      </c>
      <c r="S14" s="2232">
        <v>8</v>
      </c>
      <c r="T14" s="2232">
        <v>9</v>
      </c>
      <c r="X14" s="142"/>
      <c r="Y14" s="142"/>
      <c r="Z14" s="142"/>
      <c r="AA14" s="142"/>
      <c r="AB14" s="142"/>
      <c r="AC14" s="142"/>
      <c r="AD14" s="142"/>
      <c r="AE14" s="142"/>
      <c r="AF14" s="142"/>
      <c r="AG14" s="142"/>
      <c r="AH14" s="142"/>
    </row>
    <row r="15" spans="1:34" s="10" customFormat="1" ht="19.899999999999999" customHeight="1" x14ac:dyDescent="0.25">
      <c r="A15" s="2226">
        <v>1</v>
      </c>
      <c r="B15" s="957"/>
      <c r="G15" s="37"/>
      <c r="I15" s="37"/>
      <c r="K15" s="37"/>
      <c r="O15" s="1"/>
      <c r="P15" s="2"/>
      <c r="Q15" s="2"/>
      <c r="R15" s="202"/>
      <c r="S15" s="202"/>
      <c r="T15" s="202"/>
      <c r="U15" s="2"/>
      <c r="V15" s="3"/>
      <c r="X15" s="142"/>
      <c r="Y15" s="142"/>
      <c r="Z15" s="142"/>
      <c r="AA15" s="142"/>
      <c r="AB15" s="142"/>
      <c r="AC15" s="142"/>
      <c r="AD15" s="142"/>
      <c r="AE15" s="142"/>
      <c r="AF15" s="142"/>
      <c r="AG15" s="142"/>
      <c r="AH15" s="142"/>
    </row>
    <row r="16" spans="1:34" s="142" customFormat="1" ht="16.5" x14ac:dyDescent="0.25">
      <c r="A16" s="2226">
        <v>1</v>
      </c>
      <c r="B16" s="976"/>
      <c r="F16" s="3019" t="s">
        <v>18766</v>
      </c>
      <c r="G16" s="3021">
        <f>INDEX(RawData_ESRI_Geography,1,4)</f>
        <v>12</v>
      </c>
      <c r="H16" s="3022">
        <f>INDEX(RawData_ESRI_Geography,1,4)</f>
        <v>12</v>
      </c>
      <c r="I16" s="3020" t="b">
        <v>1</v>
      </c>
      <c r="J16" s="37"/>
      <c r="K16" s="37"/>
      <c r="O16" s="286"/>
      <c r="P16" s="492"/>
      <c r="Q16" s="430" t="s">
        <v>18636</v>
      </c>
      <c r="R16" s="494"/>
      <c r="S16" s="494"/>
      <c r="T16" s="494"/>
      <c r="U16" s="495"/>
      <c r="V16" s="288"/>
    </row>
    <row r="17" spans="1:34" s="142" customFormat="1" x14ac:dyDescent="0.25">
      <c r="A17" s="2226">
        <v>1</v>
      </c>
      <c r="B17" s="976"/>
      <c r="F17" s="3019" t="s">
        <v>18767</v>
      </c>
      <c r="G17" s="3021">
        <f>IF(VALUE(LEFT(INDEX(RawData_ESRI_Geography,1,5),2))=FIPS_State,"",INDEX(RawData_ESRI_Geography,1,5))</f>
        <v>15980</v>
      </c>
      <c r="H17" s="3022">
        <f>IF(VALUE(LEFT(INDEX(RawData_ESRI_Geography,1,5),2))=FIPS_State,"",INDEX(RawData_ESRI_Geography,1,5))</f>
        <v>15980</v>
      </c>
      <c r="I17" s="3020" t="b">
        <v>1</v>
      </c>
      <c r="J17" s="37"/>
      <c r="K17" s="37"/>
      <c r="O17" s="286"/>
      <c r="P17" s="419"/>
      <c r="Q17" s="503"/>
      <c r="R17" s="55" t="str">
        <f>ESRI_CY &amp; " Median"</f>
        <v>2023 Median</v>
      </c>
      <c r="S17" s="55" t="str">
        <f>ESRI_CY &amp; " Average"</f>
        <v>2023 Average</v>
      </c>
      <c r="T17" s="634" t="str">
        <f>ESRI_CY &amp; " Per Capita"</f>
        <v>2023 Per Capita</v>
      </c>
      <c r="U17" s="490"/>
      <c r="V17" s="288"/>
      <c r="X17" s="10"/>
      <c r="Y17" s="10"/>
      <c r="Z17" s="10"/>
      <c r="AA17" s="10"/>
      <c r="AB17" s="10"/>
      <c r="AC17" s="10"/>
      <c r="AD17" s="10"/>
      <c r="AE17" s="10"/>
      <c r="AF17" s="10"/>
      <c r="AG17" s="10"/>
      <c r="AH17" s="10"/>
    </row>
    <row r="18" spans="1:34" s="142" customFormat="1" ht="15" customHeight="1" x14ac:dyDescent="0.25">
      <c r="A18" s="2226">
        <v>1</v>
      </c>
      <c r="B18" s="976"/>
      <c r="F18" s="3019" t="s">
        <v>18768</v>
      </c>
      <c r="G18" s="3021">
        <f>IF(FIPS_MSA&lt;&gt;"",INDEX(RawData_ESRI_Geography,1,6),INDEX(RawData_ESRI_Geography,1,5))</f>
        <v>12071</v>
      </c>
      <c r="H18" s="3022">
        <f>IF(LEN(FIPS_State)=1,"0" &amp; G18,G18)</f>
        <v>12071</v>
      </c>
      <c r="I18" s="3020" t="b">
        <v>1</v>
      </c>
      <c r="J18" s="37"/>
      <c r="K18" s="37"/>
      <c r="N18" s="2934"/>
      <c r="O18" s="286"/>
      <c r="P18" s="502"/>
      <c r="Q18" s="503" t="s">
        <v>74</v>
      </c>
      <c r="R18" s="663" t="s">
        <v>18635</v>
      </c>
      <c r="S18" s="663" t="s">
        <v>18635</v>
      </c>
      <c r="T18" s="663" t="s">
        <v>18636</v>
      </c>
      <c r="U18" s="490"/>
      <c r="V18" s="288"/>
      <c r="X18" s="10"/>
      <c r="Y18" s="10"/>
      <c r="Z18" s="10"/>
      <c r="AA18" s="10"/>
      <c r="AB18" s="10"/>
      <c r="AC18" s="10"/>
      <c r="AD18" s="10"/>
      <c r="AE18" s="10"/>
      <c r="AF18" s="10"/>
      <c r="AG18" s="10"/>
      <c r="AH18" s="10"/>
    </row>
    <row r="19" spans="1:34" s="142" customFormat="1" ht="15" customHeight="1" x14ac:dyDescent="0.25">
      <c r="A19" s="2226">
        <v>1</v>
      </c>
      <c r="B19" s="976"/>
      <c r="F19" s="3019" t="s">
        <v>18769</v>
      </c>
      <c r="G19" s="3021">
        <f>IF(LEN(INDEX(RawData_ESRI_Geography,1,6))=I19,INDEX(RawData_ESRI_Geography,1,6),
IF(LEN(INDEX(RawData_ESRI_Geography,1,7))=I19,INDEX(RawData_ESRI_Geography,1,7),
IF(LEN(INDEX(RawData_ESRI_Geography,1,8))=I19,INDEX(RawData_ESRI_Geography,1,8),
"")))</f>
        <v>1210275</v>
      </c>
      <c r="H19" s="3022">
        <f>IF(LEN(FIPS_State)=1,"0" &amp; G19,G19)</f>
        <v>1210275</v>
      </c>
      <c r="I19" s="3020">
        <f>IF(LEN(FIPS_State)=1,6,7)</f>
        <v>7</v>
      </c>
      <c r="J19" s="37"/>
      <c r="K19" s="37"/>
      <c r="N19" s="2226"/>
      <c r="O19" s="286"/>
      <c r="P19" s="2994"/>
      <c r="Q19" s="3002" t="s">
        <v>1413</v>
      </c>
      <c r="R19" s="3120">
        <v>72233</v>
      </c>
      <c r="S19" s="3120">
        <v>104831</v>
      </c>
      <c r="T19" s="3120">
        <v>41000</v>
      </c>
      <c r="U19" s="2997"/>
      <c r="V19" s="288"/>
      <c r="X19" s="10"/>
      <c r="Y19" s="10"/>
      <c r="Z19" s="10"/>
      <c r="AA19" s="10"/>
      <c r="AB19" s="10"/>
      <c r="AC19" s="10"/>
      <c r="AD19" s="10"/>
      <c r="AE19" s="10"/>
      <c r="AF19" s="10"/>
      <c r="AG19" s="10"/>
      <c r="AH19" s="10"/>
    </row>
    <row r="20" spans="1:34" s="142" customFormat="1" ht="15" customHeight="1" x14ac:dyDescent="0.25">
      <c r="A20" s="2226">
        <v>1</v>
      </c>
      <c r="B20" s="976"/>
      <c r="F20" s="3019" t="s">
        <v>18770</v>
      </c>
      <c r="G20" s="3021" t="str">
        <f>IF(LEN(INDEX(RawData_ESRI_Geography,1,6))=I20,INDEX(RawData_ESRI_Geography,1,6),
IF(LEN(INDEX(RawData_ESRI_Geography,1,7))=I20,INDEX(RawData_ESRI_Geography,1,7),
IF(LEN(INDEX(RawData_ESRI_Geography,1,8))=I20,INDEX(RawData_ESRI_Geography,1,8),
"")))</f>
        <v/>
      </c>
      <c r="H20" s="3022" t="str">
        <f>IF(LEN(FIPS_State)=1,"0" &amp; G20,G20)</f>
        <v/>
      </c>
      <c r="I20" s="3020">
        <f>IF(LEN(FIPS_State)=1,9,10)</f>
        <v>10</v>
      </c>
      <c r="J20" s="37"/>
      <c r="K20" s="37"/>
      <c r="N20" s="2226">
        <v>4</v>
      </c>
      <c r="O20" s="286"/>
      <c r="P20" s="2994"/>
      <c r="Q20" s="3002" t="str">
        <f t="shared" ref="Q20:T24" si="4">INDEX(RawData_ESRI_Geography,Q$14,$N20)</f>
        <v>Florida</v>
      </c>
      <c r="R20" s="3120">
        <f t="shared" si="4"/>
        <v>74715</v>
      </c>
      <c r="S20" s="3120">
        <f t="shared" si="4"/>
        <v>105305</v>
      </c>
      <c r="T20" s="3120">
        <f t="shared" si="4"/>
        <v>42078</v>
      </c>
      <c r="U20" s="2997"/>
      <c r="V20" s="288"/>
      <c r="X20" s="10"/>
      <c r="Y20" s="10"/>
      <c r="Z20" s="10"/>
      <c r="AA20" s="10"/>
      <c r="AB20" s="10"/>
      <c r="AC20" s="10"/>
      <c r="AD20" s="10"/>
      <c r="AE20" s="10"/>
      <c r="AF20" s="10"/>
      <c r="AG20" s="10"/>
      <c r="AH20" s="10"/>
    </row>
    <row r="21" spans="1:34" s="142" customFormat="1" ht="15" customHeight="1" x14ac:dyDescent="0.25">
      <c r="A21" s="2226">
        <f t="shared" ref="A21:A23" si="5">IFERROR(IF(OR(Q21=0,Q21=""),0,1),0)</f>
        <v>1</v>
      </c>
      <c r="B21" s="976"/>
      <c r="F21" s="3019" t="s">
        <v>18771</v>
      </c>
      <c r="G21" s="3021">
        <f>ESRI_Census-10</f>
        <v>2010</v>
      </c>
      <c r="H21" s="37"/>
      <c r="I21" s="37"/>
      <c r="K21" s="37"/>
      <c r="N21" s="2226">
        <v>5</v>
      </c>
      <c r="O21" s="286"/>
      <c r="P21" s="2994"/>
      <c r="Q21" s="3005" t="str">
        <f t="shared" si="4"/>
        <v>Cape Coral-Fort Myers, FL (MSA)</v>
      </c>
      <c r="R21" s="3120">
        <f t="shared" si="4"/>
        <v>74445</v>
      </c>
      <c r="S21" s="3120">
        <f t="shared" si="4"/>
        <v>106790</v>
      </c>
      <c r="T21" s="3120">
        <f t="shared" si="4"/>
        <v>45048</v>
      </c>
      <c r="U21" s="2997"/>
      <c r="V21" s="288"/>
      <c r="X21" s="10"/>
      <c r="Y21" s="10"/>
      <c r="Z21" s="10"/>
      <c r="AA21" s="10"/>
      <c r="AB21" s="10"/>
      <c r="AC21" s="10"/>
      <c r="AD21" s="10"/>
      <c r="AE21" s="10"/>
      <c r="AF21" s="10"/>
      <c r="AG21" s="10"/>
      <c r="AH21" s="10"/>
    </row>
    <row r="22" spans="1:34" s="142" customFormat="1" ht="15" hidden="1" customHeight="1" x14ac:dyDescent="0.25">
      <c r="A22" s="2226">
        <v>0</v>
      </c>
      <c r="B22" s="976"/>
      <c r="F22" s="3019" t="s">
        <v>18772</v>
      </c>
      <c r="G22" s="3021">
        <v>2020</v>
      </c>
      <c r="H22" s="37"/>
      <c r="I22" s="37"/>
      <c r="J22" s="37"/>
      <c r="K22" s="37"/>
      <c r="N22" s="2226">
        <v>6</v>
      </c>
      <c r="O22" s="286"/>
      <c r="P22" s="2994"/>
      <c r="Q22" s="3002" t="str">
        <f t="shared" si="4"/>
        <v>Lee County</v>
      </c>
      <c r="R22" s="3120">
        <f t="shared" si="4"/>
        <v>74445</v>
      </c>
      <c r="S22" s="3120">
        <f t="shared" si="4"/>
        <v>106790</v>
      </c>
      <c r="T22" s="3120">
        <f t="shared" si="4"/>
        <v>45048</v>
      </c>
      <c r="U22" s="2997"/>
      <c r="V22" s="288"/>
      <c r="X22" s="10"/>
      <c r="Y22" s="10"/>
      <c r="Z22" s="10"/>
      <c r="AA22" s="10"/>
      <c r="AB22" s="10"/>
      <c r="AC22" s="10"/>
      <c r="AD22" s="10"/>
      <c r="AE22" s="10"/>
      <c r="AF22" s="10"/>
      <c r="AG22" s="10"/>
      <c r="AH22" s="10"/>
    </row>
    <row r="23" spans="1:34" s="142" customFormat="1" ht="15" customHeight="1" thickBot="1" x14ac:dyDescent="0.3">
      <c r="A23" s="2226">
        <f t="shared" si="5"/>
        <v>1</v>
      </c>
      <c r="B23" s="976"/>
      <c r="F23" s="3019" t="s">
        <v>18761</v>
      </c>
      <c r="G23" s="3021">
        <f>ESRI_CY+5</f>
        <v>2028</v>
      </c>
      <c r="H23" s="37"/>
      <c r="I23" s="37"/>
      <c r="J23" s="37"/>
      <c r="K23" s="37"/>
      <c r="N23" s="2226">
        <v>7</v>
      </c>
      <c r="O23" s="286"/>
      <c r="P23" s="2994"/>
      <c r="Q23" s="3002" t="str">
        <f t="shared" si="4"/>
        <v>Cape Coral city</v>
      </c>
      <c r="R23" s="3120">
        <f t="shared" si="4"/>
        <v>76293</v>
      </c>
      <c r="S23" s="3120">
        <f t="shared" si="4"/>
        <v>100767</v>
      </c>
      <c r="T23" s="3120">
        <f t="shared" si="4"/>
        <v>40138</v>
      </c>
      <c r="U23" s="2997"/>
      <c r="V23" s="288"/>
      <c r="X23" s="10"/>
      <c r="Y23" s="10"/>
      <c r="Z23" s="10"/>
      <c r="AA23" s="10"/>
      <c r="AB23" s="10"/>
      <c r="AC23" s="10"/>
      <c r="AD23" s="10"/>
      <c r="AE23" s="10"/>
      <c r="AF23" s="10"/>
      <c r="AG23" s="10"/>
      <c r="AH23" s="10"/>
    </row>
    <row r="24" spans="1:34" s="142" customFormat="1" ht="15" hidden="1" customHeight="1" thickBot="1" x14ac:dyDescent="0.3">
      <c r="A24" s="2226">
        <f>IFERROR(IF(OR(Q24=0,Q24=""),0,1),0)</f>
        <v>0</v>
      </c>
      <c r="B24" s="976"/>
      <c r="G24" s="37"/>
      <c r="H24" s="37"/>
      <c r="I24" s="37"/>
      <c r="J24" s="37"/>
      <c r="K24" s="37"/>
      <c r="N24" s="2226">
        <v>8</v>
      </c>
      <c r="O24" s="286"/>
      <c r="P24" s="2994"/>
      <c r="Q24" s="3002">
        <f t="shared" si="4"/>
        <v>0</v>
      </c>
      <c r="R24" s="3120">
        <f t="shared" si="4"/>
        <v>0</v>
      </c>
      <c r="S24" s="3120">
        <f t="shared" si="4"/>
        <v>0</v>
      </c>
      <c r="T24" s="3120">
        <f t="shared" si="4"/>
        <v>0</v>
      </c>
      <c r="U24" s="2997"/>
      <c r="V24" s="288"/>
      <c r="X24" s="10"/>
      <c r="Y24" s="10"/>
      <c r="Z24" s="10"/>
      <c r="AA24" s="10"/>
      <c r="AB24" s="10"/>
      <c r="AC24" s="10"/>
      <c r="AD24" s="10"/>
      <c r="AE24" s="10"/>
      <c r="AF24" s="10"/>
      <c r="AG24" s="10"/>
      <c r="AH24" s="10"/>
    </row>
    <row r="25" spans="1:34" s="36" customFormat="1" ht="15" customHeight="1" x14ac:dyDescent="0.25">
      <c r="A25" s="976"/>
      <c r="B25" s="976"/>
      <c r="H25" s="902"/>
      <c r="I25" s="902"/>
      <c r="J25" s="902"/>
      <c r="K25" s="902"/>
      <c r="O25" s="87"/>
      <c r="P25" s="3008"/>
      <c r="Q25" s="3006" t="str">
        <f>Source_ESRI</f>
        <v>Source: ESRI (ArcGIS)</v>
      </c>
      <c r="R25" s="3009"/>
      <c r="S25" s="3009"/>
      <c r="T25" s="3009"/>
      <c r="U25" s="3008"/>
      <c r="V25" s="89"/>
      <c r="X25" s="10"/>
      <c r="Y25" s="10"/>
      <c r="Z25" s="10"/>
      <c r="AA25" s="10"/>
      <c r="AB25" s="10"/>
      <c r="AC25" s="10"/>
      <c r="AD25" s="10"/>
      <c r="AE25" s="10"/>
      <c r="AF25" s="10"/>
      <c r="AG25" s="10"/>
      <c r="AH25" s="10"/>
    </row>
    <row r="26" spans="1:34" s="10" customFormat="1" ht="19.899999999999999" customHeight="1" thickBot="1" x14ac:dyDescent="0.3">
      <c r="A26" s="976"/>
      <c r="B26" s="976"/>
      <c r="G26" s="37"/>
      <c r="H26" s="37"/>
      <c r="I26" s="37"/>
      <c r="J26" s="37"/>
      <c r="K26" s="37"/>
      <c r="O26" s="8"/>
      <c r="P26" s="7"/>
      <c r="Q26" s="553" t="s">
        <v>18801</v>
      </c>
      <c r="R26" s="14"/>
      <c r="S26" s="14"/>
      <c r="T26" s="14"/>
      <c r="U26" s="7"/>
      <c r="V26" s="9"/>
    </row>
    <row r="27" spans="1:34" s="10" customFormat="1" ht="25.5" customHeight="1" x14ac:dyDescent="0.25">
      <c r="A27" s="976"/>
      <c r="B27" s="976"/>
      <c r="G27" s="37"/>
      <c r="H27" s="37"/>
      <c r="I27" s="37"/>
      <c r="J27" s="37"/>
      <c r="K27" s="37"/>
      <c r="R27" s="13"/>
      <c r="S27" s="13"/>
      <c r="T27" s="13"/>
    </row>
    <row r="28" spans="1:34" s="3143" customFormat="1" x14ac:dyDescent="0.25">
      <c r="X28" s="5"/>
      <c r="Y28" s="5"/>
      <c r="Z28" s="5"/>
      <c r="AA28" s="5"/>
      <c r="AB28" s="5"/>
      <c r="AC28" s="5"/>
      <c r="AD28" s="5"/>
      <c r="AE28" s="10"/>
      <c r="AF28" s="10"/>
      <c r="AG28" s="10"/>
      <c r="AH28" s="2230"/>
    </row>
    <row r="29" spans="1:34" s="3143" customFormat="1" x14ac:dyDescent="0.25">
      <c r="X29" s="5"/>
      <c r="Y29" s="5"/>
      <c r="Z29" s="5"/>
      <c r="AA29" s="5"/>
      <c r="AB29" s="5"/>
      <c r="AC29" s="5"/>
      <c r="AD29" s="5"/>
      <c r="AE29" s="3140"/>
      <c r="AF29" s="3139">
        <v>3</v>
      </c>
      <c r="AG29" s="3137" t="s">
        <v>18825</v>
      </c>
      <c r="AH29" s="3137" t="s">
        <v>18844</v>
      </c>
    </row>
    <row r="30" spans="1:34" s="3143" customFormat="1" x14ac:dyDescent="0.25">
      <c r="X30" s="5"/>
      <c r="Y30" s="5"/>
      <c r="Z30" s="5"/>
      <c r="AA30" s="5"/>
      <c r="AB30" s="5"/>
      <c r="AC30" s="5"/>
      <c r="AD30" s="5"/>
      <c r="AE30" s="3140">
        <v>4</v>
      </c>
      <c r="AF30" s="3141" cm="1">
        <f t="array" ref="AF30">INDEX(RawData_ESRI_EmplByIndus,Employment_Chart_ColumnStart,$AF$29)</f>
        <v>2277</v>
      </c>
      <c r="AG30" s="2230" t="s">
        <v>18826</v>
      </c>
      <c r="AH30" s="3142" cm="1">
        <f t="array" ref="AH30">INDEX(RawData_ESRI_EmplByIndus,Employment_Chart_ColumnStart,$AF$29)/$AF$50</f>
        <v>6.377615326443156E-3</v>
      </c>
    </row>
    <row r="31" spans="1:34" s="3143" customFormat="1" x14ac:dyDescent="0.25">
      <c r="X31" s="5"/>
      <c r="Y31" s="5"/>
      <c r="Z31" s="5"/>
      <c r="AA31" s="5"/>
      <c r="AB31" s="5"/>
      <c r="AC31" s="5"/>
      <c r="AD31" s="5"/>
      <c r="AE31" s="3140">
        <v>5</v>
      </c>
      <c r="AF31" s="3141" cm="1">
        <f t="array" ref="AF31">INDEX(RawData_ESRI_EmplByIndus,AE31,$AF$29)</f>
        <v>237</v>
      </c>
      <c r="AG31" s="2230" t="s">
        <v>18827</v>
      </c>
      <c r="AH31" s="3142" cm="1">
        <f t="array" ref="AH31">INDEX(RawData_ESRI_EmplByIndus,AE31,$AF$29)/$AF$50</f>
        <v>6.6380976388538779E-4</v>
      </c>
    </row>
    <row r="32" spans="1:34" s="3143" customFormat="1" x14ac:dyDescent="0.25">
      <c r="X32" s="5"/>
      <c r="Y32" s="5"/>
      <c r="Z32" s="5"/>
      <c r="AA32" s="5"/>
      <c r="AB32" s="5"/>
      <c r="AC32" s="5"/>
      <c r="AD32" s="5"/>
      <c r="AE32" s="3140">
        <v>6</v>
      </c>
      <c r="AF32" s="3141" cm="1">
        <f t="array" ref="AF32">INDEX(RawData_ESRI_EmplByIndus,AE32,$AF$29)</f>
        <v>43258</v>
      </c>
      <c r="AG32" s="2230" t="s">
        <v>91</v>
      </c>
      <c r="AH32" s="3142" cm="1">
        <f t="array" ref="AH32">INDEX(RawData_ESRI_EmplByIndus,AE32,$AF$29)/$AF$50</f>
        <v>0.12116068677702153</v>
      </c>
    </row>
    <row r="33" spans="24:34" s="3143" customFormat="1" x14ac:dyDescent="0.25">
      <c r="X33" s="5"/>
      <c r="Y33" s="5"/>
      <c r="Z33" s="5"/>
      <c r="AA33" s="5"/>
      <c r="AB33" s="5"/>
      <c r="AC33" s="5"/>
      <c r="AD33" s="5"/>
      <c r="AE33" s="3140">
        <v>7</v>
      </c>
      <c r="AF33" s="3141" cm="1">
        <f t="array" ref="AF33">INDEX(RawData_ESRI_EmplByIndus,AE33,$AF$29)</f>
        <v>12800</v>
      </c>
      <c r="AG33" s="2230" t="s">
        <v>18828</v>
      </c>
      <c r="AH33" s="3142" cm="1">
        <f t="array" ref="AH33">INDEX(RawData_ESRI_EmplByIndus,AE33,$AF$29)/$AF$50</f>
        <v>3.5851329019970311E-2</v>
      </c>
    </row>
    <row r="34" spans="24:34" s="3143" customFormat="1" x14ac:dyDescent="0.25">
      <c r="X34" s="5"/>
      <c r="Y34" s="5"/>
      <c r="Z34" s="5"/>
      <c r="AA34" s="5"/>
      <c r="AB34" s="5"/>
      <c r="AC34" s="5"/>
      <c r="AD34" s="5"/>
      <c r="AE34" s="3140">
        <v>8</v>
      </c>
      <c r="AF34" s="3141" cm="1">
        <f t="array" ref="AF34">INDEX(RawData_ESRI_EmplByIndus,AE34,$AF$29)</f>
        <v>5661</v>
      </c>
      <c r="AG34" s="2230" t="s">
        <v>18829</v>
      </c>
      <c r="AH34" s="3142" cm="1">
        <f t="array" ref="AH34">INDEX(RawData_ESRI_EmplByIndus,AE34,$AF$29)/$AF$50</f>
        <v>1.5855810436097809E-2</v>
      </c>
    </row>
    <row r="35" spans="24:34" s="3143" customFormat="1" x14ac:dyDescent="0.25">
      <c r="X35" s="5"/>
      <c r="Y35" s="5"/>
      <c r="Z35" s="5"/>
      <c r="AA35" s="5"/>
      <c r="AB35" s="5"/>
      <c r="AC35" s="5"/>
      <c r="AD35" s="5"/>
      <c r="AE35" s="3140">
        <v>9</v>
      </c>
      <c r="AF35" s="3141" cm="1">
        <f t="array" ref="AF35">INDEX(RawData_ESRI_EmplByIndus,AE35,$AF$29)</f>
        <v>49474</v>
      </c>
      <c r="AG35" s="2230" t="s">
        <v>18830</v>
      </c>
      <c r="AH35" s="3142" cm="1">
        <f t="array" ref="AH35">INDEX(RawData_ESRI_EmplByIndus,AE35,$AF$29)/$AF$50</f>
        <v>0.13857098843234461</v>
      </c>
    </row>
    <row r="36" spans="24:34" s="3143" customFormat="1" x14ac:dyDescent="0.25">
      <c r="X36" s="5"/>
      <c r="Y36" s="5"/>
      <c r="Z36" s="5"/>
      <c r="AA36" s="5"/>
      <c r="AB36" s="5"/>
      <c r="AC36" s="5"/>
      <c r="AD36" s="5"/>
      <c r="AE36" s="3140">
        <v>10</v>
      </c>
      <c r="AF36" s="3141" cm="1">
        <f t="array" ref="AF36">INDEX(RawData_ESRI_EmplByIndus,AE36,$AF$29)</f>
        <v>16528</v>
      </c>
      <c r="AG36" s="2230" t="s">
        <v>18831</v>
      </c>
      <c r="AH36" s="3142" cm="1">
        <f t="array" ref="AH36">INDEX(RawData_ESRI_EmplByIndus,AE36,$AF$29)/$AF$50</f>
        <v>4.6293028597036663E-2</v>
      </c>
    </row>
    <row r="37" spans="24:34" s="3143" customFormat="1" x14ac:dyDescent="0.25">
      <c r="X37" s="5"/>
      <c r="Y37" s="5"/>
      <c r="Z37" s="5"/>
      <c r="AA37" s="5"/>
      <c r="AB37" s="5"/>
      <c r="AC37" s="5"/>
      <c r="AD37" s="5"/>
      <c r="AE37" s="3140">
        <v>11</v>
      </c>
      <c r="AF37" s="3141" cm="1">
        <f t="array" ref="AF37">INDEX(RawData_ESRI_EmplByIndus,AE37,$AF$29)</f>
        <v>2464</v>
      </c>
      <c r="AG37" s="2230" t="s">
        <v>92</v>
      </c>
      <c r="AH37" s="3142" cm="1">
        <f t="array" ref="AH37">INDEX(RawData_ESRI_EmplByIndus,AE37,$AF$29)/$AF$50</f>
        <v>6.901380836344285E-3</v>
      </c>
    </row>
    <row r="38" spans="24:34" s="3143" customFormat="1" x14ac:dyDescent="0.25">
      <c r="X38" s="5"/>
      <c r="Y38" s="5"/>
      <c r="Z38" s="5"/>
      <c r="AA38" s="5"/>
      <c r="AB38" s="5"/>
      <c r="AC38" s="5"/>
      <c r="AD38" s="5"/>
      <c r="AE38" s="3140">
        <v>12</v>
      </c>
      <c r="AF38" s="3141" cm="1">
        <f t="array" ref="AF38">INDEX(RawData_ESRI_EmplByIndus,AE38,$AF$29)</f>
        <v>6001</v>
      </c>
      <c r="AG38" s="2230" t="s">
        <v>18832</v>
      </c>
      <c r="AH38" s="3142" cm="1">
        <f t="array" ref="AH38">INDEX(RawData_ESRI_EmplByIndus,AE38,$AF$29)/$AF$50</f>
        <v>1.680811136319077E-2</v>
      </c>
    </row>
    <row r="39" spans="24:34" s="3143" customFormat="1" x14ac:dyDescent="0.25">
      <c r="X39" s="5"/>
      <c r="Y39" s="5"/>
      <c r="Z39" s="5"/>
      <c r="AA39" s="5"/>
      <c r="AB39" s="5"/>
      <c r="AC39" s="5"/>
      <c r="AD39" s="5"/>
      <c r="AE39" s="3140">
        <v>13</v>
      </c>
      <c r="AF39" s="3141" cm="1">
        <f t="array" ref="AF39">INDEX(RawData_ESRI_EmplByIndus,AE39,$AF$29)</f>
        <v>12015</v>
      </c>
      <c r="AG39" s="2230" t="s">
        <v>18833</v>
      </c>
      <c r="AH39" s="3142" cm="1">
        <f t="array" ref="AH39">INDEX(RawData_ESRI_EmplByIndus,AE39,$AF$29)/$AF$50</f>
        <v>3.3652634232417447E-2</v>
      </c>
    </row>
    <row r="40" spans="24:34" s="3143" customFormat="1" x14ac:dyDescent="0.25">
      <c r="X40" s="5"/>
      <c r="Y40" s="5"/>
      <c r="Z40" s="5"/>
      <c r="AA40" s="5"/>
      <c r="AB40" s="5"/>
      <c r="AC40" s="5"/>
      <c r="AD40" s="5"/>
      <c r="AE40" s="3140">
        <v>14</v>
      </c>
      <c r="AF40" s="3141" cm="1">
        <f t="array" ref="AF40">INDEX(RawData_ESRI_EmplByIndus,AE40,$AF$29)</f>
        <v>12781</v>
      </c>
      <c r="AG40" s="2230" t="s">
        <v>18834</v>
      </c>
      <c r="AH40" s="3142" cm="1">
        <f t="array" ref="AH40">INDEX(RawData_ESRI_EmplByIndus,AE40,$AF$29)/$AF$50</f>
        <v>3.5798112203456293E-2</v>
      </c>
    </row>
    <row r="41" spans="24:34" s="3143" customFormat="1" x14ac:dyDescent="0.25">
      <c r="X41" s="5"/>
      <c r="Y41" s="5"/>
      <c r="Z41" s="5"/>
      <c r="AA41" s="5"/>
      <c r="AB41" s="5"/>
      <c r="AC41" s="5"/>
      <c r="AD41" s="5"/>
      <c r="AE41" s="3140">
        <v>15</v>
      </c>
      <c r="AF41" s="3141" cm="1">
        <f t="array" ref="AF41">INDEX(RawData_ESRI_EmplByIndus,AE41,$AF$29)</f>
        <v>26279</v>
      </c>
      <c r="AG41" s="2230" t="s">
        <v>18835</v>
      </c>
      <c r="AH41" s="3142" cm="1">
        <f t="array" ref="AH41">INDEX(RawData_ESRI_EmplByIndus,AE41,$AF$29)/$AF$50</f>
        <v>7.3604459009046858E-2</v>
      </c>
    </row>
    <row r="42" spans="24:34" s="3143" customFormat="1" x14ac:dyDescent="0.25">
      <c r="X42" s="5"/>
      <c r="Y42" s="5"/>
      <c r="Z42" s="5"/>
      <c r="AA42" s="5"/>
      <c r="AB42" s="5"/>
      <c r="AC42" s="5"/>
      <c r="AD42" s="5"/>
      <c r="AE42" s="3140">
        <v>16</v>
      </c>
      <c r="AF42" s="3141" cm="1">
        <f t="array" ref="AF42">INDEX(RawData_ESRI_EmplByIndus,AE42,$AF$29)</f>
        <v>312</v>
      </c>
      <c r="AG42" s="2230" t="s">
        <v>18836</v>
      </c>
      <c r="AH42" s="3142" cm="1">
        <f t="array" ref="AH42">INDEX(RawData_ESRI_EmplByIndus,AE42,$AF$29)/$AF$50</f>
        <v>8.7387614486177632E-4</v>
      </c>
    </row>
    <row r="43" spans="24:34" s="3143" customFormat="1" x14ac:dyDescent="0.25">
      <c r="X43" s="5"/>
      <c r="Y43" s="5"/>
      <c r="Z43" s="5"/>
      <c r="AA43" s="5"/>
      <c r="AB43" s="5"/>
      <c r="AC43" s="5"/>
      <c r="AD43" s="5"/>
      <c r="AE43" s="3140">
        <v>17</v>
      </c>
      <c r="AF43" s="3141" cm="1">
        <f t="array" ref="AF43">INDEX(RawData_ESRI_EmplByIndus,AE43,$AF$29)</f>
        <v>23037</v>
      </c>
      <c r="AG43" s="2230" t="s">
        <v>18837</v>
      </c>
      <c r="AH43" s="3142" cm="1">
        <f t="array" ref="AH43">INDEX(RawData_ESRI_EmplByIndus,AE43,$AF$29)/$AF$50</f>
        <v>6.45239895807075E-2</v>
      </c>
    </row>
    <row r="44" spans="24:34" s="3143" customFormat="1" x14ac:dyDescent="0.25">
      <c r="X44" s="5"/>
      <c r="Y44" s="5"/>
      <c r="Z44" s="5"/>
      <c r="AA44" s="5"/>
      <c r="AB44" s="5"/>
      <c r="AC44" s="5"/>
      <c r="AD44" s="5"/>
      <c r="AE44" s="3140">
        <v>18</v>
      </c>
      <c r="AF44" s="3141" cm="1">
        <f t="array" ref="AF44">INDEX(RawData_ESRI_EmplByIndus,AE44,$AF$29)</f>
        <v>22806</v>
      </c>
      <c r="AG44" s="2230" t="s">
        <v>18838</v>
      </c>
      <c r="AH44" s="3142" cm="1">
        <f t="array" ref="AH44">INDEX(RawData_ESRI_EmplByIndus,AE44,$AF$29)/$AF$50</f>
        <v>6.3876985127300223E-2</v>
      </c>
    </row>
    <row r="45" spans="24:34" s="3143" customFormat="1" x14ac:dyDescent="0.25">
      <c r="X45" s="5"/>
      <c r="Y45" s="5"/>
      <c r="Z45" s="5"/>
      <c r="AA45" s="5"/>
      <c r="AB45" s="5"/>
      <c r="AC45" s="5"/>
      <c r="AD45" s="5"/>
      <c r="AE45" s="3140">
        <v>19</v>
      </c>
      <c r="AF45" s="3141" cm="1">
        <f t="array" ref="AF45">INDEX(RawData_ESRI_EmplByIndus,AE45,$AF$29)</f>
        <v>50458</v>
      </c>
      <c r="AG45" s="2230" t="s">
        <v>18895</v>
      </c>
      <c r="AH45" s="3142" cm="1">
        <f t="array" ref="AH45">INDEX(RawData_ESRI_EmplByIndus,AE45,$AF$29)/$AF$50</f>
        <v>0.14132705935075485</v>
      </c>
    </row>
    <row r="46" spans="24:34" s="3143" customFormat="1" x14ac:dyDescent="0.25">
      <c r="X46" s="5"/>
      <c r="Y46" s="5"/>
      <c r="Z46" s="5"/>
      <c r="AA46" s="5"/>
      <c r="AB46" s="5"/>
      <c r="AC46" s="5"/>
      <c r="AD46" s="5"/>
      <c r="AE46" s="3140">
        <v>20</v>
      </c>
      <c r="AF46" s="3141" cm="1">
        <f t="array" ref="AF46">INDEX(RawData_ESRI_EmplByIndus,AE46,$AF$29)</f>
        <v>10986</v>
      </c>
      <c r="AG46" s="2230" t="s">
        <v>18839</v>
      </c>
      <c r="AH46" s="3142" cm="1">
        <f t="array" ref="AH46">INDEX(RawData_ESRI_EmplByIndus,AE46,$AF$29)/$AF$50</f>
        <v>3.0770523485421392E-2</v>
      </c>
    </row>
    <row r="47" spans="24:34" s="3143" customFormat="1" x14ac:dyDescent="0.25">
      <c r="X47" s="5"/>
      <c r="Y47" s="5"/>
      <c r="Z47" s="5"/>
      <c r="AA47" s="5"/>
      <c r="AB47" s="5"/>
      <c r="AC47" s="5"/>
      <c r="AD47" s="5"/>
      <c r="AE47" s="3140">
        <v>21</v>
      </c>
      <c r="AF47" s="3141" cm="1">
        <f t="array" ref="AF47">INDEX(RawData_ESRI_EmplByIndus,AE47,$AF$29)</f>
        <v>30424</v>
      </c>
      <c r="AG47" s="2230" t="s">
        <v>18840</v>
      </c>
      <c r="AH47" s="3142" cm="1">
        <f t="array" ref="AH47">INDEX(RawData_ESRI_EmplByIndus,AE47,$AF$29)/$AF$50</f>
        <v>8.5214127664341929E-2</v>
      </c>
    </row>
    <row r="48" spans="24:34" s="3143" customFormat="1" x14ac:dyDescent="0.25">
      <c r="X48" s="5"/>
      <c r="Y48" s="5"/>
      <c r="Z48" s="5"/>
      <c r="AA48" s="5"/>
      <c r="AB48" s="5"/>
      <c r="AC48" s="5"/>
      <c r="AD48" s="5"/>
      <c r="AE48" s="3140">
        <v>22</v>
      </c>
      <c r="AF48" s="3141" cm="1">
        <f t="array" ref="AF48">INDEX(RawData_ESRI_EmplByIndus,AE48,$AF$29)</f>
        <v>17030</v>
      </c>
      <c r="AG48" s="2230" t="s">
        <v>18841</v>
      </c>
      <c r="AH48" s="3142" cm="1">
        <f t="array" ref="AH48">INDEX(RawData_ESRI_EmplByIndus,AE48,$AF$29)/$AF$50</f>
        <v>4.7699072907038627E-2</v>
      </c>
    </row>
    <row r="49" spans="24:34" s="3143" customFormat="1" x14ac:dyDescent="0.25">
      <c r="X49" s="5"/>
      <c r="Y49" s="5"/>
      <c r="Z49" s="5"/>
      <c r="AA49" s="5"/>
      <c r="AB49" s="5"/>
      <c r="AC49" s="5"/>
      <c r="AD49" s="5"/>
      <c r="AE49" s="3140">
        <v>23</v>
      </c>
      <c r="AF49" s="3141" cm="1">
        <f t="array" ref="AF49">INDEX(RawData_ESRI_EmplByIndus,AE49,$AF$29)</f>
        <v>12202</v>
      </c>
      <c r="AG49" s="2230" t="s">
        <v>18842</v>
      </c>
      <c r="AH49" s="3142" cm="1">
        <f t="array" ref="AH49">INDEX(RawData_ESRI_EmplByIndus,AE49,$AF$29)/$AF$50</f>
        <v>3.4176399742318571E-2</v>
      </c>
    </row>
    <row r="50" spans="24:34" s="3143" customFormat="1" x14ac:dyDescent="0.25">
      <c r="X50" s="5"/>
      <c r="Y50" s="5"/>
      <c r="Z50" s="5"/>
      <c r="AA50" s="5"/>
      <c r="AB50" s="5"/>
      <c r="AC50" s="5"/>
      <c r="AD50" s="5"/>
      <c r="AE50" s="3140">
        <v>3</v>
      </c>
      <c r="AF50" s="3141" cm="1">
        <f t="array" ref="AF50">INDEX(RawData_ESRI_EmplByIndus,AE50,$AF$29)</f>
        <v>357030</v>
      </c>
      <c r="AG50" s="2230" t="s">
        <v>18888</v>
      </c>
      <c r="AH50" s="3142" cm="1">
        <f t="array" ref="AH50">INDEX(RawData_ESRI_EmplByIndus,AE50,$AF$29)/$AF$50</f>
        <v>1</v>
      </c>
    </row>
    <row r="51" spans="24:34" s="3143" customFormat="1" x14ac:dyDescent="0.25">
      <c r="X51" s="5"/>
      <c r="Y51" s="5"/>
      <c r="Z51" s="5"/>
      <c r="AA51" s="5"/>
      <c r="AB51" s="5"/>
      <c r="AC51" s="5"/>
      <c r="AD51" s="5"/>
      <c r="AE51" s="41"/>
      <c r="AF51" s="1061"/>
      <c r="AG51" s="2230" t="s">
        <v>18889</v>
      </c>
      <c r="AH51" s="3142">
        <f>SUM(AH30:AH49)</f>
        <v>1</v>
      </c>
    </row>
    <row r="52" spans="24:34" s="3143" customFormat="1" x14ac:dyDescent="0.25">
      <c r="X52" s="5"/>
      <c r="Y52" s="5"/>
      <c r="Z52" s="5"/>
      <c r="AA52" s="5"/>
      <c r="AB52" s="5"/>
      <c r="AC52" s="5"/>
      <c r="AD52" s="5"/>
      <c r="AE52" s="3140">
        <v>2</v>
      </c>
      <c r="AF52" s="3141" t="str" cm="1">
        <f t="array" ref="AF52">INDEX(RawData_ESRI_EmplByIndus,AE52,$AF$29)</f>
        <v>Lee County</v>
      </c>
      <c r="AG52" s="10"/>
      <c r="AH52" s="10"/>
    </row>
    <row r="53" spans="24:34" s="3143" customFormat="1" x14ac:dyDescent="0.25">
      <c r="X53" s="5"/>
      <c r="Y53" s="5"/>
      <c r="Z53" s="5"/>
      <c r="AA53" s="5"/>
      <c r="AB53" s="5"/>
      <c r="AC53" s="5"/>
      <c r="AD53" s="5"/>
      <c r="AE53" s="41"/>
      <c r="AF53" s="41"/>
      <c r="AG53" s="10"/>
      <c r="AH53" s="10"/>
    </row>
    <row r="54" spans="24:34" s="3143" customFormat="1" x14ac:dyDescent="0.25">
      <c r="X54" s="287"/>
      <c r="Y54" s="287"/>
      <c r="Z54" s="4092" t="str">
        <f>"Employment by Industry for " &amp; AF52 &amp; "  -  " &amp; Source_ESRI</f>
        <v>Employment by Industry for Lee County  -  Source: ESRI (ArcGIS)</v>
      </c>
      <c r="AA54" s="4092"/>
      <c r="AB54" s="4092"/>
      <c r="AC54" s="287"/>
      <c r="AD54" s="287"/>
      <c r="AE54" s="142"/>
      <c r="AF54" s="142"/>
      <c r="AG54" s="142"/>
      <c r="AH54" s="142"/>
    </row>
    <row r="55" spans="24:34" s="3143" customFormat="1" x14ac:dyDescent="0.25">
      <c r="X55" s="681"/>
      <c r="Y55" s="681"/>
      <c r="Z55" s="3136" t="s">
        <v>18843</v>
      </c>
      <c r="AA55" s="681"/>
      <c r="AB55" s="681"/>
      <c r="AC55" s="681"/>
      <c r="AD55" s="681"/>
      <c r="AE55" s="36"/>
      <c r="AF55" s="36"/>
      <c r="AG55" s="3138"/>
      <c r="AH55" s="3138"/>
    </row>
    <row r="56" spans="24:34" s="3143" customFormat="1" x14ac:dyDescent="0.25">
      <c r="X56" s="10"/>
      <c r="Y56" s="10"/>
      <c r="Z56" s="10"/>
      <c r="AA56" s="10"/>
      <c r="AB56" s="10"/>
      <c r="AC56" s="10"/>
      <c r="AD56" s="10"/>
      <c r="AE56" s="10"/>
      <c r="AF56" s="10"/>
      <c r="AG56" s="10"/>
      <c r="AH56" s="10"/>
    </row>
  </sheetData>
  <mergeCells count="4">
    <mergeCell ref="G4:G5"/>
    <mergeCell ref="H4:H5"/>
    <mergeCell ref="J4:J5"/>
    <mergeCell ref="Z54:AB54"/>
  </mergeCells>
  <dataValidations count="8">
    <dataValidation type="whole" allowBlank="1" showInputMessage="1" showErrorMessage="1" promptTitle="ESRI - Current Year" prompt="This represents the current year of the ESRI data.  Should be the current year, although a slight lag occurs at the beginning of the year while new data is uploaded. Typically changes around March." sqref="B9" xr:uid="{AA4975F6-EF5F-4DAD-A8A5-326F7FCC9A5F}">
      <formula1>2020</formula1>
      <formula2>2025</formula2>
    </dataValidation>
    <dataValidation type="list" allowBlank="1" showInputMessage="1" showErrorMessage="1" promptTitle="ESRI - Census Year" prompt="This represents the last Census year of the ESRI data." sqref="G22" xr:uid="{06C8686B-4AD9-4FB5-AB35-E725A6C9D10A}">
      <formula1>"2020, 2030"</formula1>
    </dataValidation>
    <dataValidation type="whole" allowBlank="1" showInputMessage="1" showErrorMessage="1" promptTitle="ESRI - Future Year" prompt="This represents the projection year of the ESRI data.  Auto-calculated as 5 yrs from the current year in the cell above." sqref="G23" xr:uid="{7828B783-717B-4307-960E-7021D8E388B5}">
      <formula1>2025</formula1>
      <formula2>2030</formula2>
    </dataValidation>
    <dataValidation allowBlank="1" showInputMessage="1" showErrorMessage="1" promptTitle="Geographic Codes" prompt="Used for reference.  These are the FIPS/geographic codes used by ESRI." sqref="H16:H19 F16:F19" xr:uid="{9180F093-9733-4BC4-82F0-47DB3FDD1FC2}"/>
    <dataValidation type="decimal" allowBlank="1" showInputMessage="1" showErrorMessage="1" promptTitle="Ring 3 (default = 5 mile)" prompt="Mileage (0.1 to 30.0 mi) or DriveTime (minutes) integer only (1-30)_x000a_" sqref="B8" xr:uid="{78236A34-3C20-4C0D-95D5-ED5F10D4757F}">
      <formula1>0.1</formula1>
      <formula2>30</formula2>
    </dataValidation>
    <dataValidation type="decimal" allowBlank="1" showInputMessage="1" showErrorMessage="1" promptTitle="Ring 2 (default = 3 mile)" prompt="Mileage (0.1 to 30.0 mi) or DriveTime (minutes) integer only (1-30)_x000a_" sqref="B7" xr:uid="{99543C40-DD4F-45CD-B462-68966F2271E3}">
      <formula1>0.1</formula1>
      <formula2>30</formula2>
    </dataValidation>
    <dataValidation type="decimal" allowBlank="1" showInputMessage="1" showErrorMessage="1" promptTitle="Ring 1 (default = 1 mile)" prompt="Mileage (0.1 to 30.0 mi) or DriveTime (minutes) integer only (1-30)_x000a_" sqref="B6" xr:uid="{D72E3E7D-C0C8-4564-9992-929DD513554B}">
      <formula1>0.1</formula1>
      <formula2>30</formula2>
    </dataValidation>
    <dataValidation type="list" allowBlank="1" showInputMessage="1" showErrorMessage="1" promptTitle="Radii Options" prompt="Select Miles (default) or DriveTime" sqref="B5" xr:uid="{F9C292DA-1D40-432F-B822-462996A886C2}">
      <formula1>"Miles, DriveTime"</formula1>
    </dataValidation>
  </dataValidations>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3FFDDC-D5A8-499A-A0D7-9033817840C0}">
  <sheetPr codeName="Sheet90">
    <tabColor theme="4"/>
  </sheetPr>
  <dimension ref="B1:V60"/>
  <sheetViews>
    <sheetView showGridLines="0" topLeftCell="A20" workbookViewId="0">
      <selection activeCell="D4" sqref="D4"/>
    </sheetView>
  </sheetViews>
  <sheetFormatPr defaultColWidth="9.140625" defaultRowHeight="14.25" x14ac:dyDescent="0.25"/>
  <cols>
    <col min="1" max="1" width="5.7109375" style="10" customWidth="1"/>
    <col min="2" max="2" width="2.7109375" style="10" customWidth="1"/>
    <col min="3" max="3" width="0.85546875" style="10" customWidth="1"/>
    <col min="4" max="4" width="42.7109375" style="10" customWidth="1"/>
    <col min="5" max="7" width="14.7109375" style="37" customWidth="1"/>
    <col min="8" max="8" width="0.85546875" style="10" customWidth="1"/>
    <col min="9" max="9" width="2.7109375" style="10" customWidth="1"/>
    <col min="10" max="10" width="9.140625" style="2222" customWidth="1"/>
    <col min="11" max="11" width="12.7109375" style="10" customWidth="1"/>
    <col min="12" max="12" width="26.5703125" style="10" bestFit="1" customWidth="1"/>
    <col min="13" max="13" width="2.7109375" style="10" customWidth="1"/>
    <col min="14" max="14" width="78" style="10" customWidth="1"/>
    <col min="15" max="15" width="2.7109375" style="10" customWidth="1"/>
    <col min="16" max="16" width="2.7109375" style="10" hidden="1" customWidth="1"/>
    <col min="17" max="22" width="9.140625" style="10" hidden="1" customWidth="1"/>
    <col min="23" max="16384" width="9.140625" style="10"/>
  </cols>
  <sheetData>
    <row r="1" spans="2:22" ht="60" customHeight="1" x14ac:dyDescent="0.25"/>
    <row r="2" spans="2:22" ht="15" customHeight="1" thickBot="1" x14ac:dyDescent="0.3">
      <c r="D2" s="2221">
        <v>2</v>
      </c>
      <c r="E2" s="2228">
        <v>3</v>
      </c>
      <c r="F2" s="2228">
        <v>4</v>
      </c>
      <c r="G2" s="2228">
        <v>5</v>
      </c>
      <c r="H2" s="2230"/>
      <c r="I2" s="2230"/>
      <c r="J2" s="3117" t="s">
        <v>18783</v>
      </c>
      <c r="K2" s="3116" t="str">
        <f>IF(FIPS_CensusTract="n/a",0,MID(FIPS_CensusTract,6,4)&amp;"."&amp;MID(FIPS_CensusTract,10,2))</f>
        <v>6931.02</v>
      </c>
      <c r="L2" s="3144">
        <v>483396931021028</v>
      </c>
      <c r="P2" s="3069"/>
      <c r="Q2" s="3070"/>
      <c r="R2" s="3070"/>
      <c r="S2" s="3071">
        <f>Ring1</f>
        <v>1</v>
      </c>
      <c r="T2" s="3071">
        <f>Ring2</f>
        <v>3</v>
      </c>
      <c r="U2" s="3071">
        <f>Ring3</f>
        <v>5</v>
      </c>
      <c r="V2" s="3072"/>
    </row>
    <row r="3" spans="2:22" ht="15" customHeight="1" x14ac:dyDescent="0.25">
      <c r="B3" s="1"/>
      <c r="C3" s="2"/>
      <c r="D3" s="2"/>
      <c r="E3" s="123"/>
      <c r="F3" s="123"/>
      <c r="G3" s="123"/>
      <c r="H3" s="2"/>
      <c r="I3" s="3"/>
      <c r="P3" s="3073">
        <v>12</v>
      </c>
      <c r="Q3" s="3074">
        <v>156543.04000000001</v>
      </c>
      <c r="R3" s="3074">
        <v>1609.34</v>
      </c>
      <c r="S3" s="3075">
        <f ca="1">INDEX(tblScaleLookup,MATCH(MapScaleValue,OFFSET(tblScaleLookup,,,,1),0),4)</f>
        <v>47.077742607772805</v>
      </c>
      <c r="T3" s="3075">
        <f ca="1">INDEX(tblScaleLookup,MATCH(MapScaleValue,OFFSET(tblScaleLookup,,,,1),0),5)</f>
        <v>141.23322782331843</v>
      </c>
      <c r="U3" s="3075">
        <f ca="1">INDEX(tblScaleLookup,MATCH(MapScaleValue,OFFSET(tblScaleLookup,,,,1),0),6)</f>
        <v>235.38871303886404</v>
      </c>
      <c r="V3" s="3076">
        <v>640</v>
      </c>
    </row>
    <row r="4" spans="2:22" s="142" customFormat="1" ht="17.25" thickBot="1" x14ac:dyDescent="0.3">
      <c r="B4" s="286"/>
      <c r="C4" s="287"/>
      <c r="D4" s="505" t="s">
        <v>562</v>
      </c>
      <c r="E4" s="797"/>
      <c r="F4" s="797"/>
      <c r="G4" s="797"/>
      <c r="H4" s="287"/>
      <c r="I4" s="288"/>
      <c r="J4" s="3018" t="s">
        <v>18626</v>
      </c>
      <c r="K4" s="3018" t="s">
        <v>18765</v>
      </c>
      <c r="L4" s="3018" t="s">
        <v>18764</v>
      </c>
      <c r="P4" s="3077">
        <v>8</v>
      </c>
      <c r="Q4" s="3078">
        <v>611.5</v>
      </c>
      <c r="R4" s="3078">
        <f t="shared" ref="R4:R12" si="0">$Q$3*COS(RADIANS(Subject_Latitude))/(2^$P4)</f>
        <v>546.95570716996565</v>
      </c>
      <c r="S4" s="3078">
        <f t="shared" ref="S4:S12" si="1">(Ring1*$R$3)/$R4</f>
        <v>2.9423589129858003</v>
      </c>
      <c r="T4" s="3078">
        <f t="shared" ref="T4:T12" si="2">(Ring2*$R$3)/$R4</f>
        <v>8.8270767389574019</v>
      </c>
      <c r="U4" s="3078">
        <f t="shared" ref="U4:U12" si="3">(Ring3*$R$3)/$R4</f>
        <v>14.711794564929003</v>
      </c>
      <c r="V4" s="3079">
        <v>512</v>
      </c>
    </row>
    <row r="5" spans="2:22" s="142" customFormat="1" ht="15" customHeight="1" x14ac:dyDescent="0.15">
      <c r="B5" s="286"/>
      <c r="C5" s="419"/>
      <c r="D5" s="419" t="str">
        <f>"Radius (" &amp; rngDriveTimeOption &amp; ")"</f>
        <v>Radius (Miles)</v>
      </c>
      <c r="E5" s="663" t="str" cm="1">
        <f t="array" ref="E5">INDEX(RawData_ESRI_Rings,$J5,E$2) &amp; " " &amp; IF(rngDriveTimeOption="DriveTime",
RIGHT(INDEX(RawData_ESRI_Rings,$J6,E$2),7),
LEFT(INDEX(RawData_ESRI_Rings,$J6,E$2),LEN(INDEX(RawData_ESRI_Rings,$J6,E$2))-1))</f>
        <v>1 Mile</v>
      </c>
      <c r="F5" s="663" t="str" cm="1">
        <f t="array" ref="F5">INDEX(RawData_ESRI_Rings,$J5,F$2) &amp; " " &amp; IF(rngDriveTimeOption="DriveTime",
RIGHT(INDEX(RawData_ESRI_Rings,$J6,F$2),7),
LEFT(INDEX(RawData_ESRI_Rings,$J6,F$2),LEN(INDEX(RawData_ESRI_Rings,$J6,F$2))-1))</f>
        <v>3 Mile</v>
      </c>
      <c r="G5" s="663" t="str" cm="1">
        <f t="array" ref="G5">INDEX(RawData_ESRI_Rings,$J5,G$2) &amp; " " &amp; IF(rngDriveTimeOption="DriveTime",
RIGHT(INDEX(RawData_ESRI_Rings,$J6,G$2),7),
LEFT(INDEX(RawData_ESRI_Rings,$J6,G$2),LEN(INDEX(RawData_ESRI_Rings,$J6,G$2))-1))</f>
        <v>5 Mile</v>
      </c>
      <c r="H5" s="419"/>
      <c r="I5" s="3036"/>
      <c r="J5" s="3028">
        <v>1</v>
      </c>
      <c r="K5" s="3029"/>
      <c r="L5" s="3030"/>
      <c r="P5" s="3077">
        <v>9</v>
      </c>
      <c r="Q5" s="3078">
        <v>305.75</v>
      </c>
      <c r="R5" s="3078">
        <f t="shared" si="0"/>
        <v>273.47785358498282</v>
      </c>
      <c r="S5" s="3078">
        <f t="shared" si="1"/>
        <v>5.8847178259716006</v>
      </c>
      <c r="T5" s="3078">
        <f t="shared" si="2"/>
        <v>17.654153477914804</v>
      </c>
      <c r="U5" s="3078">
        <f t="shared" si="3"/>
        <v>29.423589129858005</v>
      </c>
      <c r="V5" s="3079">
        <v>640</v>
      </c>
    </row>
    <row r="6" spans="2:22" ht="15" customHeight="1" x14ac:dyDescent="0.25">
      <c r="B6" s="4"/>
      <c r="C6" s="5"/>
      <c r="D6" s="3037" t="s">
        <v>18627</v>
      </c>
      <c r="E6" s="3038" cm="1">
        <f t="array" ref="E6">IF(rngDriveTimeOption&lt;&gt;"miles","n/a - irregular",PI()*(INDEX(RawData_ESRI_Rings,$J5,E$2)^2))</f>
        <v>3.1415926535897931</v>
      </c>
      <c r="F6" s="3038" cm="1">
        <f t="array" ref="F6">IF(rngDriveTimeOption&lt;&gt;"miles","n/a - irregular",PI()*(INDEX(RawData_ESRI_Rings,$J5,F$2)^2))</f>
        <v>28.274333882308138</v>
      </c>
      <c r="G6" s="3038" cm="1">
        <f t="array" ref="G6">IF(rngDriveTimeOption&lt;&gt;"miles","n/a - irregular",PI()*(INDEX(RawData_ESRI_Rings,$J5,G$2)^2))</f>
        <v>78.539816339744831</v>
      </c>
      <c r="H6" s="2345"/>
      <c r="I6" s="3039"/>
      <c r="J6" s="3028">
        <v>2</v>
      </c>
      <c r="K6" s="3029"/>
      <c r="L6" s="3030"/>
      <c r="P6" s="3077">
        <v>10</v>
      </c>
      <c r="Q6" s="3078">
        <v>152.87</v>
      </c>
      <c r="R6" s="3078">
        <f t="shared" si="0"/>
        <v>136.73892679249141</v>
      </c>
      <c r="S6" s="3078">
        <f t="shared" si="1"/>
        <v>11.769435651943201</v>
      </c>
      <c r="T6" s="3078">
        <f t="shared" si="2"/>
        <v>35.308306955829607</v>
      </c>
      <c r="U6" s="3078">
        <f t="shared" si="3"/>
        <v>58.84717825971601</v>
      </c>
      <c r="V6" s="3079">
        <v>768</v>
      </c>
    </row>
    <row r="7" spans="2:22" ht="15" customHeight="1" x14ac:dyDescent="0.25">
      <c r="B7" s="4"/>
      <c r="C7" s="5"/>
      <c r="D7" s="3040" t="s">
        <v>18628</v>
      </c>
      <c r="E7" s="3041" cm="1">
        <f t="array" ref="E7">INDEX(RawData_ESRI_Rings,$J7,E$2)</f>
        <v>2367.1999999999998</v>
      </c>
      <c r="F7" s="3041" cm="1">
        <f t="array" ref="F7">INDEX(RawData_ESRI_Rings,$J7,F$2)</f>
        <v>2127.1999999999998</v>
      </c>
      <c r="G7" s="3041" cm="1">
        <f t="array" ref="G7">INDEX(RawData_ESRI_Rings,$J7,G$2)</f>
        <v>2288</v>
      </c>
      <c r="H7" s="2345"/>
      <c r="I7" s="3039"/>
      <c r="J7" s="3028">
        <v>3</v>
      </c>
      <c r="K7" s="3029"/>
      <c r="L7" s="3030" t="s">
        <v>18774</v>
      </c>
      <c r="P7" s="3077">
        <v>11</v>
      </c>
      <c r="Q7" s="3078">
        <v>76.44</v>
      </c>
      <c r="R7" s="3078">
        <f t="shared" si="0"/>
        <v>68.369463396245706</v>
      </c>
      <c r="S7" s="3078">
        <f t="shared" si="1"/>
        <v>23.538871303886403</v>
      </c>
      <c r="T7" s="3078">
        <f t="shared" si="2"/>
        <v>70.616613911659215</v>
      </c>
      <c r="U7" s="3078">
        <f t="shared" si="3"/>
        <v>117.69435651943202</v>
      </c>
      <c r="V7" s="3079">
        <v>896</v>
      </c>
    </row>
    <row r="8" spans="2:22" s="142" customFormat="1" ht="18.75" customHeight="1" x14ac:dyDescent="0.25">
      <c r="B8" s="501"/>
      <c r="C8" s="506"/>
      <c r="D8" s="3042" t="s">
        <v>72</v>
      </c>
      <c r="E8" s="3043"/>
      <c r="F8" s="3043"/>
      <c r="G8" s="3043"/>
      <c r="H8" s="2994"/>
      <c r="I8" s="3044"/>
      <c r="J8" s="3031"/>
      <c r="K8" s="3031"/>
      <c r="L8" s="3031"/>
      <c r="P8" s="3077">
        <v>12</v>
      </c>
      <c r="Q8" s="3078">
        <v>38.22</v>
      </c>
      <c r="R8" s="3078">
        <f t="shared" si="0"/>
        <v>34.184731698122853</v>
      </c>
      <c r="S8" s="3078">
        <f t="shared" si="1"/>
        <v>47.077742607772805</v>
      </c>
      <c r="T8" s="3078">
        <f t="shared" si="2"/>
        <v>141.23322782331843</v>
      </c>
      <c r="U8" s="3078">
        <f t="shared" si="3"/>
        <v>235.38871303886404</v>
      </c>
      <c r="V8" s="3079"/>
    </row>
    <row r="9" spans="2:22" ht="15" customHeight="1" x14ac:dyDescent="0.25">
      <c r="B9" s="4"/>
      <c r="C9" s="5"/>
      <c r="D9" s="3045" t="str">
        <f>L9 &amp; " (" &amp; ESRI_Census-10 &amp; ")"</f>
        <v>Census Population (2010)</v>
      </c>
      <c r="E9" s="3041" cm="1">
        <f t="array" ref="E9">INDEX(RawData_ESRI_Rings,$J9,E$2)</f>
        <v>6490</v>
      </c>
      <c r="F9" s="3041" cm="1">
        <f t="array" ref="F9">INDEX(RawData_ESRI_Rings,$J9,F$2)</f>
        <v>54961</v>
      </c>
      <c r="G9" s="3041" cm="1">
        <f t="array" ref="G9">INDEX(RawData_ESRI_Rings,$J9,G$2)</f>
        <v>155128</v>
      </c>
      <c r="H9" s="2345"/>
      <c r="I9" s="3039"/>
      <c r="J9" s="3028">
        <v>4</v>
      </c>
      <c r="K9" s="3029" t="str" cm="1">
        <f t="array" ref="K9">INDEX(RawData_ESRI_Rings,$J9,D$2)</f>
        <v>TOTPOP10</v>
      </c>
      <c r="L9" s="3030" t="s">
        <v>18775</v>
      </c>
      <c r="P9" s="3077">
        <v>13</v>
      </c>
      <c r="Q9" s="3078">
        <v>19.11</v>
      </c>
      <c r="R9" s="3078">
        <f t="shared" si="0"/>
        <v>17.092365849061427</v>
      </c>
      <c r="S9" s="3078">
        <f t="shared" si="1"/>
        <v>94.15548521554561</v>
      </c>
      <c r="T9" s="3078">
        <f t="shared" si="2"/>
        <v>282.46645564663686</v>
      </c>
      <c r="U9" s="3078">
        <f t="shared" si="3"/>
        <v>470.77742607772808</v>
      </c>
      <c r="V9" s="3079"/>
    </row>
    <row r="10" spans="2:22" ht="15" customHeight="1" x14ac:dyDescent="0.25">
      <c r="B10" s="4"/>
      <c r="C10" s="5"/>
      <c r="D10" s="3045" t="str">
        <f>L10 &amp; " (" &amp; ESRI_Census &amp; ")"</f>
        <v>Census Population (2020)</v>
      </c>
      <c r="E10" s="3041" cm="1">
        <f t="array" ref="E10">INDEX(RawData_ESRI_Rings,$J10,E$2)</f>
        <v>6940</v>
      </c>
      <c r="F10" s="3041" cm="1">
        <f t="array" ref="F10">INDEX(RawData_ESRI_Rings,$J10,F$2)</f>
        <v>58300</v>
      </c>
      <c r="G10" s="3041" cm="1">
        <f t="array" ref="G10">INDEX(RawData_ESRI_Rings,$J10,G$2)</f>
        <v>172785</v>
      </c>
      <c r="H10" s="2345"/>
      <c r="I10" s="3039"/>
      <c r="J10" s="3028">
        <v>5</v>
      </c>
      <c r="K10" s="3029" t="str" cm="1">
        <f t="array" ref="K10">INDEX(RawData_ESRI_Rings,$J10,D$2)</f>
        <v>TOTPOP20</v>
      </c>
      <c r="L10" s="3030" t="s">
        <v>18775</v>
      </c>
      <c r="P10" s="3077">
        <v>14</v>
      </c>
      <c r="Q10" s="3078">
        <v>9.5500000000000007</v>
      </c>
      <c r="R10" s="3078">
        <f t="shared" si="0"/>
        <v>8.5461829245307133</v>
      </c>
      <c r="S10" s="3078">
        <f t="shared" si="1"/>
        <v>188.31097043109122</v>
      </c>
      <c r="T10" s="3078">
        <f t="shared" si="2"/>
        <v>564.93291129327372</v>
      </c>
      <c r="U10" s="3078">
        <f t="shared" si="3"/>
        <v>941.55485215545616</v>
      </c>
      <c r="V10" s="3079"/>
    </row>
    <row r="11" spans="2:22" ht="15" customHeight="1" x14ac:dyDescent="0.25">
      <c r="B11" s="4"/>
      <c r="C11" s="5"/>
      <c r="D11" s="3045" t="str">
        <f>L11 &amp; " (" &amp; ESRI_CY &amp; ")"</f>
        <v>Current Population (2023)</v>
      </c>
      <c r="E11" s="3041" cm="1">
        <f t="array" ref="E11">INDEX(RawData_ESRI_Rings,$J11,E$2)</f>
        <v>7431</v>
      </c>
      <c r="F11" s="3041" cm="1">
        <f t="array" ref="F11">INDEX(RawData_ESRI_Rings,$J11,F$2)</f>
        <v>60132</v>
      </c>
      <c r="G11" s="3041" cm="1">
        <f t="array" ref="G11">INDEX(RawData_ESRI_Rings,$J11,G$2)</f>
        <v>179673</v>
      </c>
      <c r="H11" s="2345"/>
      <c r="I11" s="3039"/>
      <c r="J11" s="3028">
        <v>6</v>
      </c>
      <c r="K11" s="3029" t="str" cm="1">
        <f t="array" ref="K11">INDEX(RawData_ESRI_Rings,$J11,D$2)</f>
        <v>TOTPOP_CY</v>
      </c>
      <c r="L11" s="3030" t="s">
        <v>18776</v>
      </c>
      <c r="P11" s="3077">
        <v>15</v>
      </c>
      <c r="Q11" s="3078">
        <v>4.78</v>
      </c>
      <c r="R11" s="3078">
        <f t="shared" si="0"/>
        <v>4.2730914622653566</v>
      </c>
      <c r="S11" s="3078">
        <f t="shared" si="1"/>
        <v>376.62194086218244</v>
      </c>
      <c r="T11" s="3078">
        <f t="shared" si="2"/>
        <v>1129.8658225865474</v>
      </c>
      <c r="U11" s="3078">
        <f t="shared" si="3"/>
        <v>1883.1097043109123</v>
      </c>
      <c r="V11" s="3079"/>
    </row>
    <row r="12" spans="2:22" ht="15" customHeight="1" x14ac:dyDescent="0.25">
      <c r="B12" s="4"/>
      <c r="C12" s="5"/>
      <c r="D12" s="3045" t="str">
        <f>L12 &amp; " (" &amp; ESRI_FY &amp; ")"</f>
        <v>Projected Population (2028)</v>
      </c>
      <c r="E12" s="3041" cm="1">
        <f t="array" ref="E12">INDEX(RawData_ESRI_Rings,$J12,E$2)</f>
        <v>8168</v>
      </c>
      <c r="F12" s="3041" cm="1">
        <f t="array" ref="F12">INDEX(RawData_ESRI_Rings,$J12,F$2)</f>
        <v>62284</v>
      </c>
      <c r="G12" s="3041" cm="1">
        <f t="array" ref="G12">INDEX(RawData_ESRI_Rings,$J12,G$2)</f>
        <v>186090</v>
      </c>
      <c r="H12" s="2345"/>
      <c r="I12" s="3039"/>
      <c r="J12" s="3028">
        <v>7</v>
      </c>
      <c r="K12" s="3029" t="str" cm="1">
        <f t="array" ref="K12">INDEX(RawData_ESRI_Rings,$J12,D$2)</f>
        <v>TOTPOP_FY</v>
      </c>
      <c r="L12" s="3030" t="s">
        <v>18777</v>
      </c>
      <c r="P12" s="3080">
        <v>16</v>
      </c>
      <c r="Q12" s="3075">
        <v>2.39</v>
      </c>
      <c r="R12" s="3075">
        <f t="shared" si="0"/>
        <v>2.1365457311326783</v>
      </c>
      <c r="S12" s="3075">
        <f t="shared" si="1"/>
        <v>753.24388172436488</v>
      </c>
      <c r="T12" s="3075">
        <f t="shared" si="2"/>
        <v>2259.7316451730949</v>
      </c>
      <c r="U12" s="3075">
        <f t="shared" si="3"/>
        <v>3766.2194086218246</v>
      </c>
      <c r="V12" s="3081"/>
    </row>
    <row r="13" spans="2:22" ht="15" customHeight="1" x14ac:dyDescent="0.25">
      <c r="B13" s="4"/>
      <c r="C13" s="5"/>
      <c r="D13" s="3046" t="s">
        <v>18568</v>
      </c>
      <c r="E13" s="3041"/>
      <c r="F13" s="3041"/>
      <c r="G13" s="3041"/>
      <c r="H13" s="2345"/>
      <c r="I13" s="3039"/>
      <c r="J13" s="3028"/>
      <c r="K13" s="3029"/>
      <c r="L13" s="3030"/>
    </row>
    <row r="14" spans="2:22" ht="15" customHeight="1" x14ac:dyDescent="0.25">
      <c r="B14" s="4"/>
      <c r="C14" s="5"/>
      <c r="D14" s="3047" t="str">
        <f>ESRI_Census-10 &amp; " - " &amp; ESRI_Census</f>
        <v>2010 - 2020</v>
      </c>
      <c r="E14" s="3048">
        <f>RATE(10,,-E9,E10)</f>
        <v>6.72644598089362E-3</v>
      </c>
      <c r="F14" s="3048">
        <f t="shared" ref="F14:G14" si="4">RATE(10,,-F9,F10)</f>
        <v>5.9152514683537835E-3</v>
      </c>
      <c r="G14" s="3048">
        <f t="shared" si="4"/>
        <v>1.0838057250224912E-2</v>
      </c>
      <c r="H14" s="2345"/>
      <c r="I14" s="3039"/>
      <c r="J14" s="3028"/>
      <c r="K14" s="3029"/>
      <c r="L14" s="3030"/>
    </row>
    <row r="15" spans="2:22" ht="15" customHeight="1" x14ac:dyDescent="0.25">
      <c r="B15" s="4"/>
      <c r="C15" s="5"/>
      <c r="D15" s="3047" t="str">
        <f>ESRI_Census &amp; " - " &amp; ESRI_CY</f>
        <v>2020 - 2023</v>
      </c>
      <c r="E15" s="3048">
        <f>RATE(ESRI_CY-ESRI_Census,,-E10,E11)</f>
        <v>2.3047810595316329E-2</v>
      </c>
      <c r="F15" s="3048">
        <f>RATE(ESRI_CY-ESRI_Census,,-F10,F11)</f>
        <v>1.0366716708101716E-2</v>
      </c>
      <c r="G15" s="3048">
        <f>RATE(ESRI_CY-ESRI_Census,,-G10,G11)</f>
        <v>1.3115424161153556E-2</v>
      </c>
      <c r="H15" s="2345"/>
      <c r="I15" s="3039"/>
      <c r="J15" s="3028"/>
      <c r="K15" s="3029"/>
      <c r="L15" s="3030"/>
    </row>
    <row r="16" spans="2:22" ht="15" customHeight="1" x14ac:dyDescent="0.25">
      <c r="B16" s="4"/>
      <c r="C16" s="5"/>
      <c r="D16" s="3047" t="str">
        <f>ESRI_CY &amp; " - " &amp; ESRI_FY</f>
        <v>2023 - 2028</v>
      </c>
      <c r="E16" s="3048">
        <f>RATE(ESRI_FY-ESRI_CY,,-E11,E12)</f>
        <v>1.9092706821553986E-2</v>
      </c>
      <c r="F16" s="3048">
        <f>RATE(ESRI_FY-ESRI_CY,,-F11,F12)</f>
        <v>7.0572710339607244E-3</v>
      </c>
      <c r="G16" s="3048">
        <f>RATE(ESRI_FY-ESRI_CY,,-G11,G12)</f>
        <v>7.0430656560122439E-3</v>
      </c>
      <c r="H16" s="2345"/>
      <c r="I16" s="3039"/>
      <c r="J16" s="3028"/>
      <c r="K16" s="3029"/>
      <c r="L16" s="3030"/>
    </row>
    <row r="17" spans="2:12" s="142" customFormat="1" ht="18.75" customHeight="1" x14ac:dyDescent="0.25">
      <c r="B17" s="501"/>
      <c r="C17" s="506"/>
      <c r="D17" s="3049" t="s">
        <v>18582</v>
      </c>
      <c r="E17" s="3050"/>
      <c r="F17" s="3050"/>
      <c r="G17" s="3050"/>
      <c r="H17" s="2345"/>
      <c r="I17" s="3039"/>
      <c r="J17" s="3029"/>
      <c r="K17" s="3029"/>
      <c r="L17" s="3029"/>
    </row>
    <row r="18" spans="2:12" ht="15" customHeight="1" x14ac:dyDescent="0.25">
      <c r="B18" s="4"/>
      <c r="C18" s="5"/>
      <c r="D18" s="3045" t="str">
        <f>L18 &amp; " (" &amp; ESRI_Census-10 &amp; ")"</f>
        <v>Census Households (2010)</v>
      </c>
      <c r="E18" s="3041" cm="1">
        <f t="array" ref="E18">INDEX(RawData_ESRI_Rings,$J18,E$2)</f>
        <v>3358</v>
      </c>
      <c r="F18" s="3041" cm="1">
        <f t="array" ref="F18">INDEX(RawData_ESRI_Rings,$J18,F$2)</f>
        <v>25643</v>
      </c>
      <c r="G18" s="3041" cm="1">
        <f t="array" ref="G18">INDEX(RawData_ESRI_Rings,$J18,G$2)</f>
        <v>70995</v>
      </c>
      <c r="H18" s="2345"/>
      <c r="I18" s="3039"/>
      <c r="J18" s="3028">
        <v>8</v>
      </c>
      <c r="K18" s="3029" t="str" cm="1">
        <f t="array" ref="K18">INDEX(RawData_ESRI_Rings,$J18,D$2)</f>
        <v>TOTHH10</v>
      </c>
      <c r="L18" s="3030" t="s">
        <v>18778</v>
      </c>
    </row>
    <row r="19" spans="2:12" ht="15" customHeight="1" x14ac:dyDescent="0.25">
      <c r="B19" s="4"/>
      <c r="C19" s="5"/>
      <c r="D19" s="3045" t="str">
        <f>L19 &amp; " (" &amp; ESRI_Census &amp; ")"</f>
        <v>Census Households (2020)</v>
      </c>
      <c r="E19" s="3041" cm="1">
        <f t="array" ref="E19">INDEX(RawData_ESRI_Rings,$J19,E$2)</f>
        <v>3633</v>
      </c>
      <c r="F19" s="3041" cm="1">
        <f t="array" ref="F19">INDEX(RawData_ESRI_Rings,$J19,F$2)</f>
        <v>27687</v>
      </c>
      <c r="G19" s="3041" cm="1">
        <f t="array" ref="G19">INDEX(RawData_ESRI_Rings,$J19,G$2)</f>
        <v>79039</v>
      </c>
      <c r="H19" s="2345"/>
      <c r="I19" s="3039"/>
      <c r="J19" s="3028">
        <v>9</v>
      </c>
      <c r="K19" s="3029" t="str" cm="1">
        <f t="array" ref="K19">INDEX(RawData_ESRI_Rings,$J19,D$2)</f>
        <v>TOTHH20</v>
      </c>
      <c r="L19" s="3030" t="s">
        <v>18778</v>
      </c>
    </row>
    <row r="20" spans="2:12" ht="15" customHeight="1" x14ac:dyDescent="0.25">
      <c r="B20" s="4"/>
      <c r="C20" s="5"/>
      <c r="D20" s="3045" t="str">
        <f>L20 &amp; " (" &amp; ESRI_CY &amp; ")"</f>
        <v>Current Households (2023)</v>
      </c>
      <c r="E20" s="3041" cm="1">
        <f t="array" ref="E20">INDEX(RawData_ESRI_Rings,$J20,E$2)</f>
        <v>3971</v>
      </c>
      <c r="F20" s="3041" cm="1">
        <f t="array" ref="F20">INDEX(RawData_ESRI_Rings,$J20,F$2)</f>
        <v>28934</v>
      </c>
      <c r="G20" s="3041" cm="1">
        <f t="array" ref="G20">INDEX(RawData_ESRI_Rings,$J20,G$2)</f>
        <v>82613</v>
      </c>
      <c r="H20" s="2345"/>
      <c r="I20" s="3039"/>
      <c r="J20" s="3028">
        <v>10</v>
      </c>
      <c r="K20" s="3029" t="str" cm="1">
        <f t="array" ref="K20">INDEX(RawData_ESRI_Rings,$J20,D$2)</f>
        <v>TOTHH_CY</v>
      </c>
      <c r="L20" s="3030" t="s">
        <v>18779</v>
      </c>
    </row>
    <row r="21" spans="2:12" ht="15" customHeight="1" x14ac:dyDescent="0.25">
      <c r="B21" s="4"/>
      <c r="C21" s="5"/>
      <c r="D21" s="3045" t="str">
        <f>L21 &amp; " (" &amp; ESRI_FY &amp; ")"</f>
        <v>Projected Households (2028)</v>
      </c>
      <c r="E21" s="3041" cm="1">
        <f t="array" ref="E21">INDEX(RawData_ESRI_Rings,$J21,E$2)</f>
        <v>4411</v>
      </c>
      <c r="F21" s="3041" cm="1">
        <f t="array" ref="F21">INDEX(RawData_ESRI_Rings,$J21,F$2)</f>
        <v>30473</v>
      </c>
      <c r="G21" s="3041" cm="1">
        <f t="array" ref="G21">INDEX(RawData_ESRI_Rings,$J21,G$2)</f>
        <v>86787</v>
      </c>
      <c r="H21" s="2345"/>
      <c r="I21" s="3039"/>
      <c r="J21" s="3028">
        <v>11</v>
      </c>
      <c r="K21" s="3029" t="str" cm="1">
        <f t="array" ref="K21">INDEX(RawData_ESRI_Rings,$J21,D$2)</f>
        <v>TOTHH_FY</v>
      </c>
      <c r="L21" s="3030" t="s">
        <v>18780</v>
      </c>
    </row>
    <row r="22" spans="2:12" ht="15" customHeight="1" x14ac:dyDescent="0.25">
      <c r="B22" s="4"/>
      <c r="C22" s="5"/>
      <c r="D22" s="3046" t="s">
        <v>18568</v>
      </c>
      <c r="E22" s="3041"/>
      <c r="F22" s="3041"/>
      <c r="G22" s="3041"/>
      <c r="H22" s="2345"/>
      <c r="I22" s="3039"/>
      <c r="J22" s="3028"/>
      <c r="K22" s="3029"/>
      <c r="L22" s="3030"/>
    </row>
    <row r="23" spans="2:12" ht="15" customHeight="1" x14ac:dyDescent="0.25">
      <c r="B23" s="4"/>
      <c r="C23" s="5"/>
      <c r="D23" s="3047" t="str">
        <f>ESRI_Census-10 &amp; " - " &amp; ESRI_Census</f>
        <v>2010 - 2020</v>
      </c>
      <c r="E23" s="3048">
        <f>RATE(10,,-E18,E19)</f>
        <v>7.9023797350152372E-3</v>
      </c>
      <c r="F23" s="3048">
        <f t="shared" ref="F23:G23" si="5">RATE(10,,-F18,F19)</f>
        <v>7.6987198208704399E-3</v>
      </c>
      <c r="G23" s="3048">
        <f t="shared" si="5"/>
        <v>1.0791002322211956E-2</v>
      </c>
      <c r="H23" s="2345"/>
      <c r="I23" s="3039"/>
      <c r="J23" s="3029"/>
      <c r="K23" s="3029"/>
      <c r="L23" s="3029"/>
    </row>
    <row r="24" spans="2:12" ht="15" customHeight="1" x14ac:dyDescent="0.25">
      <c r="B24" s="4"/>
      <c r="C24" s="5"/>
      <c r="D24" s="3047" t="str">
        <f>ESRI_Census &amp; " - " &amp; ESRI_CY</f>
        <v>2020 - 2023</v>
      </c>
      <c r="E24" s="3048">
        <f>RATE(ESRI_CY-ESRI_Census,,-E19,E20)</f>
        <v>3.0097096559946104E-2</v>
      </c>
      <c r="F24" s="3048">
        <f>RATE(ESRI_CY-ESRI_Census,,-F19,F20)</f>
        <v>1.4793146411308283E-2</v>
      </c>
      <c r="G24" s="3048">
        <f>RATE(ESRI_CY-ESRI_Census,,-G19,G20)</f>
        <v>1.4851081366860506E-2</v>
      </c>
      <c r="H24" s="2345"/>
      <c r="I24" s="3039"/>
      <c r="J24" s="3029"/>
      <c r="K24" s="3029"/>
      <c r="L24" s="3029"/>
    </row>
    <row r="25" spans="2:12" ht="15" customHeight="1" x14ac:dyDescent="0.25">
      <c r="B25" s="4"/>
      <c r="C25" s="5"/>
      <c r="D25" s="3047" t="str">
        <f>ESRI_CY &amp; " - " &amp; ESRI_FY</f>
        <v>2023 - 2028</v>
      </c>
      <c r="E25" s="3048">
        <f>RATE(ESRI_FY-ESRI_CY,,-E20,E21)</f>
        <v>2.1239099851139538E-2</v>
      </c>
      <c r="F25" s="3048">
        <f>RATE(ESRI_FY-ESRI_CY,,-F20,F21)</f>
        <v>1.0418634205476663E-2</v>
      </c>
      <c r="G25" s="3048">
        <f>RATE(ESRI_FY-ESRI_CY,,-G20,G21)</f>
        <v>9.9067072693842344E-3</v>
      </c>
      <c r="H25" s="2345"/>
      <c r="I25" s="3039"/>
      <c r="J25" s="3029"/>
      <c r="K25" s="3029"/>
      <c r="L25" s="3029"/>
    </row>
    <row r="26" spans="2:12" ht="15" customHeight="1" thickBot="1" x14ac:dyDescent="0.3">
      <c r="B26" s="4"/>
      <c r="C26" s="5"/>
      <c r="D26" s="3045" t="str">
        <f>L26 &amp; " (" &amp; ESRI_CY &amp; ")"</f>
        <v>Average Household Size (2023)</v>
      </c>
      <c r="E26" s="3051" cm="1">
        <f t="array" ref="E26">INDEX(RawData_ESRI_Rings,$J26,E$2)</f>
        <v>1.85</v>
      </c>
      <c r="F26" s="3051" cm="1">
        <f t="array" ref="F26">INDEX(RawData_ESRI_Rings,$J26,F$2)</f>
        <v>2.0699999999999998</v>
      </c>
      <c r="G26" s="3051" cm="1">
        <f t="array" ref="G26">INDEX(RawData_ESRI_Rings,$J26,G$2)</f>
        <v>2.14</v>
      </c>
      <c r="H26" s="2345"/>
      <c r="I26" s="3039"/>
      <c r="J26" s="3028">
        <v>12</v>
      </c>
      <c r="K26" s="3029" t="str" cm="1">
        <f t="array" ref="K26">INDEX(RawData_ESRI_Rings,$J26,D$2)</f>
        <v>AVGHHSZ_CY</v>
      </c>
      <c r="L26" s="3030" t="s">
        <v>18583</v>
      </c>
    </row>
    <row r="27" spans="2:12" s="36" customFormat="1" ht="15" customHeight="1" x14ac:dyDescent="0.25">
      <c r="B27" s="87"/>
      <c r="C27" s="681"/>
      <c r="D27" s="3024" t="str">
        <f>Source_ESRI</f>
        <v>Source: ESRI (ArcGIS)</v>
      </c>
      <c r="E27" s="3025"/>
      <c r="F27" s="3025"/>
      <c r="G27" s="2933" t="str">
        <f>"(Lat: " &amp; Subject_Latitude &amp; ", Lon: " &amp; Subject_Longitude &amp; ")"</f>
        <v>(Lat: 26.561524, Lon: -81.949277)</v>
      </c>
      <c r="H27" s="3026"/>
      <c r="I27" s="3039"/>
      <c r="J27" s="10"/>
      <c r="K27" s="10"/>
      <c r="L27" s="10"/>
    </row>
    <row r="28" spans="2:12" ht="15" thickBot="1" x14ac:dyDescent="0.3">
      <c r="B28" s="8"/>
      <c r="C28" s="7"/>
      <c r="D28" s="3052" t="s">
        <v>18808</v>
      </c>
      <c r="E28" s="3053"/>
      <c r="F28" s="3053"/>
      <c r="G28" s="3053"/>
      <c r="H28" s="3054"/>
      <c r="I28" s="3055"/>
      <c r="J28" s="10"/>
    </row>
    <row r="29" spans="2:12" ht="15" customHeight="1" thickBot="1" x14ac:dyDescent="0.3">
      <c r="E29" s="10"/>
      <c r="F29" s="10"/>
      <c r="G29" s="10"/>
      <c r="J29" s="10"/>
    </row>
    <row r="30" spans="2:12" ht="15" customHeight="1" x14ac:dyDescent="0.25">
      <c r="B30" s="1"/>
      <c r="C30" s="2"/>
      <c r="D30" s="3056"/>
      <c r="E30" s="3056"/>
      <c r="F30" s="3056"/>
      <c r="G30" s="3056"/>
      <c r="H30" s="3056"/>
      <c r="I30" s="3057"/>
      <c r="J30" s="10"/>
    </row>
    <row r="31" spans="2:12" s="142" customFormat="1" ht="16.5" x14ac:dyDescent="0.25">
      <c r="B31" s="286"/>
      <c r="C31" s="287"/>
      <c r="D31" s="3058" t="s">
        <v>18763</v>
      </c>
      <c r="E31" s="3059"/>
      <c r="F31" s="3059"/>
      <c r="G31" s="3059"/>
      <c r="H31" s="3059"/>
      <c r="I31" s="3039"/>
      <c r="J31" s="10"/>
      <c r="K31" s="10"/>
      <c r="L31" s="10"/>
    </row>
    <row r="32" spans="2:12" s="142" customFormat="1" ht="15" customHeight="1" x14ac:dyDescent="0.25">
      <c r="B32" s="286"/>
      <c r="C32" s="419"/>
      <c r="D32" s="419" t="str">
        <f>$D$5</f>
        <v>Radius (Miles)</v>
      </c>
      <c r="E32" s="663" t="str">
        <f>$E$5</f>
        <v>1 Mile</v>
      </c>
      <c r="F32" s="663" t="str">
        <f>$F$5</f>
        <v>3 Mile</v>
      </c>
      <c r="G32" s="663" t="str">
        <f>$G$5</f>
        <v>5 Mile</v>
      </c>
      <c r="H32" s="165"/>
      <c r="I32" s="3039"/>
      <c r="J32" s="3032" t="s">
        <v>18781</v>
      </c>
      <c r="K32" s="3033" t="s">
        <v>18765</v>
      </c>
      <c r="L32" s="3034" t="s">
        <v>18764</v>
      </c>
    </row>
    <row r="33" spans="2:12" ht="15" customHeight="1" x14ac:dyDescent="0.25">
      <c r="B33" s="4"/>
      <c r="C33" s="5"/>
      <c r="D33" s="3037" t="s">
        <v>18627</v>
      </c>
      <c r="E33" s="3038">
        <f>E6</f>
        <v>3.1415926535897931</v>
      </c>
      <c r="F33" s="3038">
        <f t="shared" ref="F33:G34" si="6">F6</f>
        <v>28.274333882308138</v>
      </c>
      <c r="G33" s="3038">
        <f t="shared" si="6"/>
        <v>78.539816339744831</v>
      </c>
      <c r="H33" s="2345"/>
      <c r="I33" s="3039"/>
      <c r="J33" s="3028"/>
      <c r="K33" s="3029"/>
      <c r="L33" s="3030"/>
    </row>
    <row r="34" spans="2:12" ht="15" customHeight="1" x14ac:dyDescent="0.25">
      <c r="B34" s="4"/>
      <c r="C34" s="5"/>
      <c r="D34" s="3040" t="s">
        <v>18628</v>
      </c>
      <c r="E34" s="3041">
        <f>E7</f>
        <v>2367.1999999999998</v>
      </c>
      <c r="F34" s="3041">
        <f t="shared" si="6"/>
        <v>2127.1999999999998</v>
      </c>
      <c r="G34" s="3041">
        <f t="shared" si="6"/>
        <v>2288</v>
      </c>
      <c r="H34" s="2345"/>
      <c r="I34" s="3039"/>
      <c r="J34" s="3028"/>
      <c r="K34" s="3029"/>
      <c r="L34" s="3030"/>
    </row>
    <row r="35" spans="2:12" ht="18.75" customHeight="1" x14ac:dyDescent="0.25">
      <c r="B35" s="4"/>
      <c r="C35" s="5"/>
      <c r="D35" s="3049" t="str">
        <f>ESRI_CY &amp; " " &amp; L35</f>
        <v>2023 Housing Units</v>
      </c>
      <c r="E35" s="2345"/>
      <c r="F35" s="2345"/>
      <c r="G35" s="2345"/>
      <c r="H35" s="2345"/>
      <c r="I35" s="3039"/>
      <c r="J35" s="3029"/>
      <c r="K35" s="3029"/>
      <c r="L35" s="3030" t="s">
        <v>17845</v>
      </c>
    </row>
    <row r="36" spans="2:12" ht="15" customHeight="1" x14ac:dyDescent="0.25">
      <c r="B36" s="4"/>
      <c r="C36" s="5"/>
      <c r="D36" s="2372" t="str">
        <f t="shared" ref="D36:D37" si="7">L36</f>
        <v>Median Home Value</v>
      </c>
      <c r="E36" s="3060" cm="1">
        <f t="array" ref="E36">INDEX(RawData_ESRI_Rings,$J36,E$2)</f>
        <v>440442</v>
      </c>
      <c r="F36" s="3060" cm="1">
        <f t="array" ref="F36">INDEX(RawData_ESRI_Rings,$J36,F$2)</f>
        <v>459912</v>
      </c>
      <c r="G36" s="3060" cm="1">
        <f t="array" ref="G36">INDEX(RawData_ESRI_Rings,$J36,G$2)</f>
        <v>424768</v>
      </c>
      <c r="H36" s="2345"/>
      <c r="I36" s="3039"/>
      <c r="J36" s="3028">
        <v>13</v>
      </c>
      <c r="K36" s="3029" t="str" cm="1">
        <f t="array" ref="K36">INDEX(RawData_ESRI_Rings,$J36,D$2)</f>
        <v>MEDVAL_CY</v>
      </c>
      <c r="L36" s="3030" t="s">
        <v>18584</v>
      </c>
    </row>
    <row r="37" spans="2:12" ht="15" customHeight="1" x14ac:dyDescent="0.25">
      <c r="B37" s="4"/>
      <c r="C37" s="5"/>
      <c r="D37" s="2372" t="str">
        <f t="shared" si="7"/>
        <v>Median Year Built</v>
      </c>
      <c r="E37" s="3061" cm="1">
        <f t="array" ref="E37">INDEX(RawData_ESRI_Rings,$J37,E$2)</f>
        <v>1978</v>
      </c>
      <c r="F37" s="3061" cm="1">
        <f t="array" ref="F37">INDEX(RawData_ESRI_Rings,$J37,F$2)</f>
        <v>1985</v>
      </c>
      <c r="G37" s="3061" cm="1">
        <f t="array" ref="G37">INDEX(RawData_ESRI_Rings,$J37,G$2)</f>
        <v>1989</v>
      </c>
      <c r="H37" s="2345"/>
      <c r="I37" s="3039"/>
      <c r="J37" s="3028">
        <v>14</v>
      </c>
      <c r="K37" s="3029" t="str" cm="1">
        <f t="array" ref="K37">INDEX(RawData_ESRI_Rings,$J37,D$2)</f>
        <v>ACSMEDYBLT</v>
      </c>
      <c r="L37" s="3030" t="s">
        <v>18585</v>
      </c>
    </row>
    <row r="38" spans="2:12" ht="15" customHeight="1" x14ac:dyDescent="0.25">
      <c r="B38" s="4"/>
      <c r="C38" s="5"/>
      <c r="D38" s="2372" t="str">
        <f>L38</f>
        <v>Total Housing Units</v>
      </c>
      <c r="E38" s="3041" cm="1">
        <f t="array" ref="E38">INDEX(RawData_ESRI_Rings,$J38,E$2)</f>
        <v>5300</v>
      </c>
      <c r="F38" s="3041" cm="1">
        <f t="array" ref="F38">INDEX(RawData_ESRI_Rings,$J38,F$2)</f>
        <v>37298</v>
      </c>
      <c r="G38" s="3041" cm="1">
        <f t="array" ref="G38">INDEX(RawData_ESRI_Rings,$J38,G$2)</f>
        <v>104299</v>
      </c>
      <c r="H38" s="2345"/>
      <c r="I38" s="3039"/>
      <c r="J38" s="3028">
        <v>15</v>
      </c>
      <c r="K38" s="3029" t="str" cm="1">
        <f t="array" ref="K38">INDEX(RawData_ESRI_Rings,$J38,D$2)</f>
        <v>TOTHU_CY</v>
      </c>
      <c r="L38" s="3030" t="s">
        <v>18586</v>
      </c>
    </row>
    <row r="39" spans="2:12" ht="15" customHeight="1" x14ac:dyDescent="0.25">
      <c r="B39" s="4"/>
      <c r="C39" s="5"/>
      <c r="D39" s="3062" t="str">
        <f t="shared" ref="D39:D41" si="8">L39</f>
        <v>Owner-Occupied Housing %</v>
      </c>
      <c r="E39" s="3063" cm="1">
        <f t="array" ref="E39">IFERROR(INDEX(RawData_ESRI_Rings,$J39,E$2)/E38*100,"n/a")</f>
        <v>45.018867924528301</v>
      </c>
      <c r="F39" s="3063" cm="1">
        <f t="array" ref="F39">IFERROR(INDEX(RawData_ESRI_Rings,$J39,F$2)/F38*100,"n/a")</f>
        <v>57.970936779451975</v>
      </c>
      <c r="G39" s="3063" cm="1">
        <f t="array" ref="G39">IFERROR(INDEX(RawData_ESRI_Rings,$J39,G$2)/G38*100,"n/a")</f>
        <v>56.159694723822852</v>
      </c>
      <c r="H39" s="2345"/>
      <c r="I39" s="3039"/>
      <c r="J39" s="3028">
        <v>16</v>
      </c>
      <c r="K39" s="3029" t="str" cm="1">
        <f t="array" ref="K39">INDEX(RawData_ESRI_Rings,$J39,D$2)</f>
        <v>OWNER_CY</v>
      </c>
      <c r="L39" s="3030" t="s">
        <v>18587</v>
      </c>
    </row>
    <row r="40" spans="2:12" ht="15" customHeight="1" x14ac:dyDescent="0.25">
      <c r="B40" s="4"/>
      <c r="C40" s="5"/>
      <c r="D40" s="3062" t="str">
        <f t="shared" si="8"/>
        <v>Renter-Occupied Housing %</v>
      </c>
      <c r="E40" s="3063" cm="1">
        <f t="array" ref="E40">IFERROR(INDEX(RawData_ESRI_Rings,$J40,E$2)/E38*100,"n/a")</f>
        <v>29.90566037735849</v>
      </c>
      <c r="F40" s="3063" cm="1">
        <f t="array" ref="F40">IFERROR(INDEX(RawData_ESRI_Rings,$J40,F$2)/F38*100,"n/a")</f>
        <v>19.604268325379376</v>
      </c>
      <c r="G40" s="3063" cm="1">
        <f t="array" ref="G40">IFERROR(INDEX(RawData_ESRI_Rings,$J40,G$2)/G38*100,"n/a")</f>
        <v>23.048159618021266</v>
      </c>
      <c r="H40" s="2345"/>
      <c r="I40" s="3039"/>
      <c r="J40" s="3028">
        <v>17</v>
      </c>
      <c r="K40" s="3029" t="str" cm="1">
        <f t="array" ref="K40">INDEX(RawData_ESRI_Rings,$J40,D$2)</f>
        <v>RENTER_CY</v>
      </c>
      <c r="L40" s="3030" t="s">
        <v>18588</v>
      </c>
    </row>
    <row r="41" spans="2:12" ht="15" customHeight="1" x14ac:dyDescent="0.25">
      <c r="B41" s="4"/>
      <c r="C41" s="5"/>
      <c r="D41" s="3062" t="str">
        <f t="shared" si="8"/>
        <v>Vacant Housing %</v>
      </c>
      <c r="E41" s="3063" cm="1">
        <f t="array" ref="E41">IFERROR(INDEX(RawData_ESRI_Rings,$J41,E$2)/E38*100,"n/a")</f>
        <v>25.075471698113205</v>
      </c>
      <c r="F41" s="3063" cm="1">
        <f t="array" ref="F41">IFERROR(INDEX(RawData_ESRI_Rings,$J41,F$2)/F38*100,"n/a")</f>
        <v>22.424794895168642</v>
      </c>
      <c r="G41" s="3063" cm="1">
        <f t="array" ref="G41">IFERROR(INDEX(RawData_ESRI_Rings,$J41,G$2)/G38*100,"n/a")</f>
        <v>20.792145658155878</v>
      </c>
      <c r="H41" s="2345"/>
      <c r="I41" s="3039"/>
      <c r="J41" s="3028">
        <v>18</v>
      </c>
      <c r="K41" s="3029" t="str" cm="1">
        <f t="array" ref="K41">INDEX(RawData_ESRI_Rings,$J41,D$2)</f>
        <v>VACANT_CY</v>
      </c>
      <c r="L41" s="3030" t="s">
        <v>18589</v>
      </c>
    </row>
    <row r="42" spans="2:12" ht="18.75" customHeight="1" x14ac:dyDescent="0.25">
      <c r="B42" s="4"/>
      <c r="C42" s="5"/>
      <c r="D42" s="3049" t="str">
        <f>ESRI_CY &amp; " " &amp; L42</f>
        <v>2023 Employment</v>
      </c>
      <c r="E42" s="2345"/>
      <c r="F42" s="2345"/>
      <c r="G42" s="2345"/>
      <c r="H42" s="2345"/>
      <c r="I42" s="3039"/>
      <c r="J42" s="3029"/>
      <c r="K42" s="3029"/>
      <c r="L42" s="3030" t="s">
        <v>544</v>
      </c>
    </row>
    <row r="43" spans="2:12" ht="15" customHeight="1" x14ac:dyDescent="0.25">
      <c r="B43" s="4"/>
      <c r="C43" s="5"/>
      <c r="D43" s="2372" t="str">
        <f>L43</f>
        <v>Total Establishments</v>
      </c>
      <c r="E43" s="3041" cm="1">
        <f t="array" ref="E43">INDEX(RawData_ESRI_Rings,$J43,E$2)</f>
        <v>1251</v>
      </c>
      <c r="F43" s="3041" cm="1">
        <f t="array" ref="F43">INDEX(RawData_ESRI_Rings,$J43,F$2)</f>
        <v>2817</v>
      </c>
      <c r="G43" s="3041" cm="1">
        <f t="array" ref="G43">INDEX(RawData_ESRI_Rings,$J43,G$2)</f>
        <v>9017</v>
      </c>
      <c r="H43" s="2345"/>
      <c r="I43" s="3039"/>
      <c r="J43" s="3028">
        <v>19</v>
      </c>
      <c r="K43" s="3029" t="str" cm="1">
        <f t="array" ref="K43">INDEX(RawData_ESRI_Rings,$J43,D$2)</f>
        <v>S01_BUS</v>
      </c>
      <c r="L43" s="3030" t="s">
        <v>18590</v>
      </c>
    </row>
    <row r="44" spans="2:12" ht="15" customHeight="1" x14ac:dyDescent="0.25">
      <c r="B44" s="4"/>
      <c r="C44" s="5"/>
      <c r="D44" s="2372" t="str">
        <f>L44</f>
        <v>Total Employees</v>
      </c>
      <c r="E44" s="3041" cm="1">
        <f t="array" ref="E44">INDEX(RawData_ESRI_Rings,$J44,E$2)</f>
        <v>7166</v>
      </c>
      <c r="F44" s="3041" cm="1">
        <f t="array" ref="F44">INDEX(RawData_ESRI_Rings,$J44,F$2)</f>
        <v>16759</v>
      </c>
      <c r="G44" s="3041" cm="1">
        <f t="array" ref="G44">INDEX(RawData_ESRI_Rings,$J44,G$2)</f>
        <v>71959</v>
      </c>
      <c r="H44" s="2345"/>
      <c r="I44" s="3039"/>
      <c r="J44" s="3028">
        <v>20</v>
      </c>
      <c r="K44" s="3029" t="str" cm="1">
        <f t="array" ref="K44">INDEX(RawData_ESRI_Rings,$J44,D$2)</f>
        <v>S01_EMP</v>
      </c>
      <c r="L44" s="3030" t="s">
        <v>18591</v>
      </c>
    </row>
    <row r="45" spans="2:12" ht="15" customHeight="1" x14ac:dyDescent="0.25">
      <c r="B45" s="4"/>
      <c r="C45" s="5"/>
      <c r="D45" s="2372" t="str">
        <f>L45</f>
        <v>Average Commute Time</v>
      </c>
      <c r="E45" s="3064" t="str" cm="1">
        <f t="array" ref="E45">IF(OR(INDEX(RawData_ESRI_Rings,$J45,E$2)=0,INDEX(RawData_ESRI_Rings,$J45,E$2)=""),"n/a",INDEX(RawData_ESRI_Rings,$J45,E$2))</f>
        <v>n/a</v>
      </c>
      <c r="F45" s="3064" t="str" cm="1">
        <f t="array" ref="F45">IF(OR(INDEX(RawData_ESRI_Rings,$J45,F$2)=0,INDEX(RawData_ESRI_Rings,$J45,F$2)=""),"n/a",INDEX(RawData_ESRI_Rings,$J45,F$2))</f>
        <v>n/a</v>
      </c>
      <c r="G45" s="3064" t="str" cm="1">
        <f t="array" ref="G45">IF(OR(INDEX(RawData_ESRI_Rings,$J45,G$2)=0,INDEX(RawData_ESRI_Rings,$J45,G$2)=""),"n/a",INDEX(RawData_ESRI_Rings,$J45,G$2))</f>
        <v>n/a</v>
      </c>
      <c r="H45" s="2345"/>
      <c r="I45" s="3039"/>
      <c r="J45" s="3028">
        <v>21</v>
      </c>
      <c r="K45" s="3029" t="str" cm="1">
        <f t="array" ref="K45">INDEX(RawData_ESRI_Rings,$J45,D$2)</f>
        <v>ACSAVGTWRK</v>
      </c>
      <c r="L45" s="3030" t="s">
        <v>18592</v>
      </c>
    </row>
    <row r="46" spans="2:12" ht="15" customHeight="1" x14ac:dyDescent="0.25">
      <c r="B46" s="4"/>
      <c r="C46" s="5"/>
      <c r="D46" s="3045" t="str">
        <f t="shared" ref="D46" si="9">L46</f>
        <v>% College Graduates</v>
      </c>
      <c r="E46" s="3048" cm="1">
        <f t="array" ref="E46">(INDEX(RawData_ESRI_Rings,$J46,E$2)+INDEX(RawData_ESRI_Rings,$J47,E$2))/INDEX(RawData_ESRI_Rings,$K47,E$2)</f>
        <v>0.26224278194289358</v>
      </c>
      <c r="F46" s="3048" cm="1">
        <f t="array" ref="F46">(INDEX(RawData_ESRI_Rings,$J46,F$2)+INDEX(RawData_ESRI_Rings,$J47,F$2))/INDEX(RawData_ESRI_Rings,$K47,F$2)</f>
        <v>0.34324487334137516</v>
      </c>
      <c r="G46" s="3048" cm="1">
        <f t="array" ref="G46">(INDEX(RawData_ESRI_Rings,$J46,G$2)+INDEX(RawData_ESRI_Rings,$J47,G$2))/INDEX(RawData_ESRI_Rings,$K47,G$2)</f>
        <v>0.34998618975279655</v>
      </c>
      <c r="H46" s="2345"/>
      <c r="I46" s="3039"/>
      <c r="J46" s="3028">
        <v>22</v>
      </c>
      <c r="K46" s="3029" t="str" cm="1">
        <f t="array" ref="K46">INDEX(RawData_ESRI_Rings,$J46,D$2)</f>
        <v>BACHDEG_CY</v>
      </c>
      <c r="L46" s="3030" t="s">
        <v>18593</v>
      </c>
    </row>
    <row r="47" spans="2:12" ht="18.75" customHeight="1" x14ac:dyDescent="0.25">
      <c r="B47" s="4"/>
      <c r="C47" s="5"/>
      <c r="D47" s="3049" t="str">
        <f>ESRI_CY &amp; " " &amp; L47</f>
        <v>2023 Income Summary</v>
      </c>
      <c r="E47" s="2345"/>
      <c r="F47" s="2345"/>
      <c r="G47" s="2345"/>
      <c r="H47" s="2345"/>
      <c r="I47" s="3039"/>
      <c r="J47" s="3028">
        <v>23</v>
      </c>
      <c r="K47" s="3035">
        <v>24</v>
      </c>
      <c r="L47" s="3030" t="s">
        <v>563</v>
      </c>
    </row>
    <row r="48" spans="2:12" ht="15" customHeight="1" x14ac:dyDescent="0.25">
      <c r="B48" s="4"/>
      <c r="C48" s="5"/>
      <c r="D48" s="2372" t="str">
        <f>L48</f>
        <v>Median Household Income</v>
      </c>
      <c r="E48" s="3060" cm="1">
        <f t="array" ref="E48">INDEX(RawData_ESRI_Rings,$J48,E$2)</f>
        <v>52749</v>
      </c>
      <c r="F48" s="3060" cm="1">
        <f t="array" ref="F48">INDEX(RawData_ESRI_Rings,$J48,F$2)</f>
        <v>67731</v>
      </c>
      <c r="G48" s="3060" cm="1">
        <f t="array" ref="G48">INDEX(RawData_ESRI_Rings,$J48,G$2)</f>
        <v>67961</v>
      </c>
      <c r="H48" s="3045"/>
      <c r="I48" s="3065"/>
      <c r="J48" s="3028">
        <v>25</v>
      </c>
      <c r="K48" s="3029" t="str" cm="1">
        <f t="array" ref="K48">INDEX(RawData_ESRI_Rings,$J48,D$2)</f>
        <v>MEDHINC_CY</v>
      </c>
      <c r="L48" s="3030" t="s">
        <v>543</v>
      </c>
    </row>
    <row r="49" spans="2:15" ht="15" customHeight="1" x14ac:dyDescent="0.25">
      <c r="B49" s="4"/>
      <c r="C49" s="5"/>
      <c r="D49" s="2372" t="str">
        <f>L49</f>
        <v>Average Household Income</v>
      </c>
      <c r="E49" s="3060" cm="1">
        <f t="array" ref="E49">INDEX(RawData_ESRI_Rings,$J49,E$2)</f>
        <v>73967</v>
      </c>
      <c r="F49" s="3060" cm="1">
        <f t="array" ref="F49">INDEX(RawData_ESRI_Rings,$J49,F$2)</f>
        <v>105029</v>
      </c>
      <c r="G49" s="3060" cm="1">
        <f t="array" ref="G49">INDEX(RawData_ESRI_Rings,$J49,G$2)</f>
        <v>100325</v>
      </c>
      <c r="H49" s="2345"/>
      <c r="I49" s="3039"/>
      <c r="J49" s="3028">
        <v>26</v>
      </c>
      <c r="K49" s="3029" t="str" cm="1">
        <f t="array" ref="K49">INDEX(RawData_ESRI_Rings,$J49,D$2)</f>
        <v>AVGHINC_CY</v>
      </c>
      <c r="L49" s="3030" t="s">
        <v>18594</v>
      </c>
    </row>
    <row r="50" spans="2:15" ht="15" customHeight="1" x14ac:dyDescent="0.25">
      <c r="B50" s="4"/>
      <c r="C50" s="5"/>
      <c r="D50" s="2372" t="str">
        <f>L50</f>
        <v>Avg Spending/Household</v>
      </c>
      <c r="E50" s="3060" cm="1">
        <f t="array" ref="E50">INDEX(RawData_ESRI_Rings,$J50,E$2)/INDEX(RawData_ESRI_Rings,$J20,E$2)</f>
        <v>22284.3530596827</v>
      </c>
      <c r="F50" s="3060" cm="1">
        <f t="array" ref="F50">INDEX(RawData_ESRI_Rings,$J50,F$2)/INDEX(RawData_ESRI_Rings,$J20,F$2)</f>
        <v>30957.174984447363</v>
      </c>
      <c r="G50" s="3060" cm="1">
        <f t="array" ref="G50">INDEX(RawData_ESRI_Rings,$J50,G$2)/INDEX(RawData_ESRI_Rings,$J20,G$2)</f>
        <v>29286.134107222835</v>
      </c>
      <c r="H50" s="3045"/>
      <c r="I50" s="3065"/>
      <c r="J50" s="3028">
        <v>27</v>
      </c>
      <c r="K50" s="3029" t="str" cm="1">
        <f t="array" ref="K50">INDEX(RawData_ESRI_Rings,$J50,D$2)</f>
        <v>X150001_X</v>
      </c>
      <c r="L50" s="3030" t="s">
        <v>18606</v>
      </c>
    </row>
    <row r="51" spans="2:15" ht="15" customHeight="1" thickBot="1" x14ac:dyDescent="0.3">
      <c r="B51" s="4"/>
      <c r="C51" s="5"/>
      <c r="D51" s="2372" t="str">
        <f>L51</f>
        <v>Per Capita Income</v>
      </c>
      <c r="E51" s="3060" cm="1">
        <f t="array" ref="E51">INDEX(RawData_ESRI_Rings,$J51,E$2)</f>
        <v>39498</v>
      </c>
      <c r="F51" s="3060" cm="1">
        <f t="array" ref="F51">INDEX(RawData_ESRI_Rings,$J51,F$2)</f>
        <v>50472</v>
      </c>
      <c r="G51" s="3060" cm="1">
        <f t="array" ref="G51">INDEX(RawData_ESRI_Rings,$J51,G$2)</f>
        <v>46243</v>
      </c>
      <c r="H51" s="3045"/>
      <c r="I51" s="3065"/>
      <c r="J51" s="3028">
        <v>28</v>
      </c>
      <c r="K51" s="3029" t="str" cm="1">
        <f t="array" ref="K51">INDEX(RawData_ESRI_Rings,$J51,D$2)</f>
        <v>PCI_CY</v>
      </c>
      <c r="L51" s="3030" t="s">
        <v>18607</v>
      </c>
    </row>
    <row r="52" spans="2:15" s="36" customFormat="1" ht="15" customHeight="1" x14ac:dyDescent="0.25">
      <c r="B52" s="87"/>
      <c r="C52" s="681"/>
      <c r="D52" s="3024" t="str">
        <f>Source_ESRI</f>
        <v>Source: ESRI (ArcGIS)</v>
      </c>
      <c r="E52" s="3026"/>
      <c r="F52" s="3026"/>
      <c r="G52" s="2933" t="str">
        <f>"(Lat: " &amp; Subject_Latitude &amp; ", Lon: " &amp; Subject_Longitude &amp; ")"</f>
        <v>(Lat: 26.561524, Lon: -81.949277)</v>
      </c>
      <c r="H52" s="3026"/>
      <c r="I52" s="3039"/>
      <c r="J52" s="10"/>
      <c r="K52" s="10"/>
      <c r="L52" s="10"/>
    </row>
    <row r="53" spans="2:15" ht="15" customHeight="1" thickBot="1" x14ac:dyDescent="0.3">
      <c r="B53" s="8"/>
      <c r="C53" s="7"/>
      <c r="D53" s="3052" t="s">
        <v>18809</v>
      </c>
      <c r="E53" s="3054"/>
      <c r="F53" s="3054"/>
      <c r="G53" s="3054"/>
      <c r="H53" s="3054"/>
      <c r="I53" s="3055"/>
      <c r="J53" s="10"/>
    </row>
    <row r="54" spans="2:15" ht="15" customHeight="1" x14ac:dyDescent="0.25"/>
    <row r="55" spans="2:15" x14ac:dyDescent="0.25">
      <c r="N55" s="3066" t="str">
        <f>Subject_Latitude &amp; "," &amp; Subject_Longitude</f>
        <v>26.561524,-81.949277</v>
      </c>
    </row>
    <row r="56" spans="2:15" x14ac:dyDescent="0.25">
      <c r="M56" s="2345"/>
      <c r="N56" s="2345"/>
      <c r="O56" s="2345"/>
    </row>
    <row r="57" spans="2:15" ht="409.5" customHeight="1" x14ac:dyDescent="0.25">
      <c r="M57" s="2345"/>
      <c r="N57"/>
      <c r="O57" s="2345"/>
    </row>
    <row r="58" spans="2:15" x14ac:dyDescent="0.25">
      <c r="M58" s="2345"/>
      <c r="N58" s="3067" t="str">
        <f>"Source:  Bing Maps - approximate " &amp; Ring1 &amp; "/" &amp; Ring2 &amp; "/" &amp; Ring3 &amp; " mile radii from subject at " &amp; TEXT(Subject_Latitude,"#.000000") &amp; "," &amp; TEXT(Subject_Longitude,"#.000000")</f>
        <v>Source:  Bing Maps - approximate 1/3/5 mile radii from subject at 26.561524,-81.949277</v>
      </c>
      <c r="O58" s="2345"/>
    </row>
    <row r="59" spans="2:15" x14ac:dyDescent="0.25">
      <c r="M59" s="2345"/>
      <c r="N59" s="3068" t="s">
        <v>18782</v>
      </c>
      <c r="O59" s="2345"/>
    </row>
    <row r="60" spans="2:15" x14ac:dyDescent="0.25">
      <c r="M60" s="2345"/>
      <c r="N60" s="3027" t="s">
        <v>18802</v>
      </c>
      <c r="O60" s="2345"/>
    </row>
  </sheetData>
  <dataValidations count="5">
    <dataValidation allowBlank="1" showInputMessage="1" showErrorMessage="1" promptTitle="Ring Map" prompt="The default map image will automatically be replaced when you create a new one." sqref="N57" xr:uid="{D2A95AC8-2210-49C9-B797-59BC75452D6A}"/>
    <dataValidation allowBlank="1" showInputMessage="1" showErrorMessage="1" promptTitle="Census Tract" prompt="This is the raw FIPS number obtained from fcc.gov.  It is unlikely you will need this number." sqref="L2" xr:uid="{94089A2E-EB29-455C-A9C9-152D0B655735}"/>
    <dataValidation allowBlank="1" showInputMessage="1" showErrorMessage="1" promptTitle="Census Tract" prompt="This is the tract number, parsed from the FIPS.  The formula is replaced each time the call is made (free)." sqref="K2" xr:uid="{07C4C482-245B-4F7D-AACB-0C0242EB2047}"/>
    <dataValidation allowBlank="1" showInputMessage="1" showErrorMessage="1" promptTitle="Base Calc" prompt="Meters/Pixel at Equator" sqref="Q3" xr:uid="{EB1CEEE4-4941-4C93-BB9F-E8BFA9C1F1BD}"/>
    <dataValidation allowBlank="1" showInputMessage="1" showErrorMessage="1" promptTitle="Conversion" prompt="Meters per Mile" sqref="R3" xr:uid="{E51C82FB-C267-422F-8BF0-27318C27F779}"/>
  </dataValidation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8B870-88C1-4499-B85A-01D0E5AD385C}">
  <sheetPr codeName="Sheet83"/>
  <dimension ref="B2:W8"/>
  <sheetViews>
    <sheetView showGridLines="0" workbookViewId="0"/>
  </sheetViews>
  <sheetFormatPr defaultColWidth="9.140625" defaultRowHeight="10.5" x14ac:dyDescent="0.15"/>
  <cols>
    <col min="1" max="1" width="4.7109375" style="2200" customWidth="1"/>
    <col min="2" max="2" width="9.140625" style="2200"/>
    <col min="3" max="3" width="14.7109375" style="2200" customWidth="1"/>
    <col min="4" max="4" width="35.28515625" style="2200" customWidth="1"/>
    <col min="5" max="10" width="7.28515625" style="2200" customWidth="1"/>
    <col min="11" max="11" width="11.140625" style="2216" bestFit="1" customWidth="1"/>
    <col min="12" max="12" width="4.42578125" style="2200" bestFit="1" customWidth="1"/>
    <col min="13" max="13" width="9.140625" style="2200"/>
    <col min="14" max="14" width="17.7109375" style="2200" customWidth="1"/>
    <col min="15" max="16" width="9.7109375" style="2200" customWidth="1"/>
    <col min="17" max="17" width="13.7109375" style="2200" customWidth="1"/>
    <col min="18" max="16384" width="9.140625" style="2200"/>
  </cols>
  <sheetData>
    <row r="2" spans="2:23" x14ac:dyDescent="0.15">
      <c r="L2" s="2202"/>
      <c r="M2" s="2201">
        <v>0</v>
      </c>
      <c r="N2" s="2205" t="s">
        <v>17519</v>
      </c>
      <c r="O2" s="2206" t="s">
        <v>17520</v>
      </c>
      <c r="P2" s="2206"/>
      <c r="Q2" s="2206"/>
      <c r="R2" s="2201">
        <f t="shared" ref="R2:W2" si="0">E3</f>
        <v>2019</v>
      </c>
      <c r="S2" s="2201">
        <f t="shared" si="0"/>
        <v>2020</v>
      </c>
      <c r="T2" s="2201">
        <f t="shared" si="0"/>
        <v>2021</v>
      </c>
      <c r="U2" s="2201">
        <f t="shared" si="0"/>
        <v>2022</v>
      </c>
      <c r="V2" s="2201">
        <f t="shared" si="0"/>
        <v>2023</v>
      </c>
      <c r="W2" s="2201" t="str">
        <f t="shared" si="0"/>
        <v>2024¹</v>
      </c>
    </row>
    <row r="3" spans="2:23" x14ac:dyDescent="0.15">
      <c r="C3" s="2207" t="s">
        <v>17509</v>
      </c>
      <c r="D3" s="2208" t="s">
        <v>17510</v>
      </c>
      <c r="E3" s="2209">
        <f>INDEX(JsonPayload!$1:$2,2,MATCH(SUBSTITUTE($N3,"data[0]", "data["&amp;R3&amp;"]"),JsonPayload!$1:$1,0))</f>
        <v>2019</v>
      </c>
      <c r="F3" s="2209">
        <f>INDEX(JsonPayload!$1:$2,2,MATCH(SUBSTITUTE($N3,"data[0]", "data["&amp;S3&amp;"]"),JsonPayload!$1:$1,0))</f>
        <v>2020</v>
      </c>
      <c r="G3" s="2209">
        <f>INDEX(JsonPayload!$1:$2,2,MATCH(SUBSTITUTE($N3,"data[0]", "data["&amp;T3&amp;"]"),JsonPayload!$1:$1,0))</f>
        <v>2021</v>
      </c>
      <c r="H3" s="2209">
        <f>INDEX(JsonPayload!$1:$2,2,MATCH(SUBSTITUTE($N3,"data[0]", "data["&amp;U3&amp;"]"),JsonPayload!$1:$1,0))</f>
        <v>2022</v>
      </c>
      <c r="I3" s="2209">
        <f>INDEX(JsonPayload!$1:$2,2,MATCH(SUBSTITUTE($N3,"data[0]", "data["&amp;V3&amp;"]"),JsonPayload!$1:$1,0))</f>
        <v>2023</v>
      </c>
      <c r="J3" s="2209" t="str">
        <f>INDEX(JsonPayload!$1:$2,2,MATCH($N3,JsonPayload!$1:$1,0)) &amp; CHAR(185)</f>
        <v>2024¹</v>
      </c>
      <c r="K3" s="2217" t="s">
        <v>17523</v>
      </c>
      <c r="L3" s="2202"/>
      <c r="M3" s="2201" t="s">
        <v>17507</v>
      </c>
      <c r="N3" s="2220" t="str">
        <f>"[0].data[" &amp; $M$2 &amp;"].year"</f>
        <v>[0].data[0].year</v>
      </c>
      <c r="O3" s="2204" t="s">
        <v>17521</v>
      </c>
      <c r="P3" s="2204" t="s">
        <v>17524</v>
      </c>
      <c r="Q3" s="2202" t="s">
        <v>17508</v>
      </c>
      <c r="R3" s="2201">
        <f>S3+13</f>
        <v>65</v>
      </c>
      <c r="S3" s="2201">
        <f>T3+13</f>
        <v>52</v>
      </c>
      <c r="T3" s="2201">
        <f>U3+13</f>
        <v>39</v>
      </c>
      <c r="U3" s="2201">
        <f>V3+13</f>
        <v>26</v>
      </c>
      <c r="V3" s="2201">
        <f>V4+W3</f>
        <v>13</v>
      </c>
      <c r="W3" s="2201">
        <v>0</v>
      </c>
    </row>
    <row r="4" spans="2:23" x14ac:dyDescent="0.15">
      <c r="B4" s="2200" t="s">
        <v>17511</v>
      </c>
      <c r="C4" s="2210" t="s">
        <v>1861</v>
      </c>
      <c r="D4" s="2200" t="s">
        <v>1413</v>
      </c>
      <c r="E4" s="2211">
        <f>IFERROR(INDEX(JsonPayload!$1:$2,2,MATCH(SUBSTITUTE($N4,"data[0]", "data["&amp;R4&amp;"]"),JsonPayload!$1:$1,0))/100,"---")</f>
        <v>3.7000000000000005E-2</v>
      </c>
      <c r="F4" s="2211">
        <f>IFERROR(INDEX(JsonPayload!$1:$2,2,MATCH(SUBSTITUTE($N4,"data[0]", "data["&amp;S4&amp;"]"),JsonPayload!$1:$1,0))/100,"---")</f>
        <v>8.1000000000000003E-2</v>
      </c>
      <c r="G4" s="2211">
        <f>IFERROR(INDEX(JsonPayload!$1:$2,2,MATCH(SUBSTITUTE($N4,"data[0]", "data["&amp;T4&amp;"]"),JsonPayload!$1:$1,0))/100,"---")</f>
        <v>5.2999999999999999E-2</v>
      </c>
      <c r="H4" s="2211">
        <f>IFERROR(INDEX(JsonPayload!$1:$2,2,MATCH(SUBSTITUTE($N4,"data[0]", "data["&amp;U4&amp;"]"),JsonPayload!$1:$1,0))/100,"---")</f>
        <v>3.6000000000000004E-2</v>
      </c>
      <c r="I4" s="2211">
        <f>IFERROR(INDEX(JsonPayload!$1:$2,2,MATCH(SUBSTITUTE($N4,"data[0]", "data["&amp;V4&amp;"]"),JsonPayload!$1:$1,0))/100,"---")</f>
        <v>3.6000000000000004E-2</v>
      </c>
      <c r="J4" s="2211">
        <f>IFERROR(INDEX(JsonPayload!$1:$2,2,MATCH($N4,JsonPayload!$1:$1,0))/100,"---")</f>
        <v>0.04</v>
      </c>
      <c r="K4" s="2218" t="str">
        <f xml:space="preserve"> INDEX(JsonPayload!$1:$2,2,MATCH(SUBSTITUTE($N4,".value",".periodname"),JsonPayload!$1:$1,0))</f>
        <v>Annual</v>
      </c>
      <c r="L4" s="2202" t="s">
        <v>17516</v>
      </c>
      <c r="M4" s="2203">
        <v>0</v>
      </c>
      <c r="N4" s="2220" t="str">
        <f>"[" &amp; M4 &amp; "].data[" &amp; $M$2 &amp;"].value"</f>
        <v>[0].data[0].value</v>
      </c>
      <c r="O4" s="2204" t="str">
        <f>INDEX(JsonPayload!$1:$2,2,MATCH($Q4,JsonPayload!$1:$1,0))</f>
        <v>M13</v>
      </c>
      <c r="P4" s="2204">
        <f>INDEX(JsonPayload!$1:$2,2,MATCH(SUBSTITUTE($Q4,"period","year"),JsonPayload!$1:$1,0))</f>
        <v>2024</v>
      </c>
      <c r="Q4" s="2202" t="str">
        <f>SUBSTITUTE(N4,"value","period")</f>
        <v>[0].data[0].period</v>
      </c>
      <c r="R4" s="2201">
        <f t="shared" ref="R4:S8" si="1">S4+13</f>
        <v>65</v>
      </c>
      <c r="S4" s="2201">
        <f t="shared" si="1"/>
        <v>52</v>
      </c>
      <c r="T4" s="2201">
        <f t="shared" ref="T4:U8" si="2">U4+13</f>
        <v>39</v>
      </c>
      <c r="U4" s="2201">
        <f t="shared" si="2"/>
        <v>26</v>
      </c>
      <c r="V4" s="2201">
        <f>RIGHT(O4,LEN(O4)-1)+W4</f>
        <v>13</v>
      </c>
      <c r="W4" s="2201">
        <v>0</v>
      </c>
    </row>
    <row r="5" spans="2:23" x14ac:dyDescent="0.15">
      <c r="B5" s="2200" t="s">
        <v>17512</v>
      </c>
      <c r="C5" s="2210" t="str">
        <f>IFERROR(INDEX(BLS_TableState[],MATCH(BLS_Series1_Name,BLS_TableState[area_text],0),2),"")</f>
        <v>ST1200000000000</v>
      </c>
      <c r="D5" s="2200" t="s">
        <v>17424</v>
      </c>
      <c r="E5" s="2211">
        <f>IFERROR(IF(VALUE(LEFT($J$3,4))=$P5,INDEX(JsonPayload!$1:$2,2,MATCH(SUBSTITUTE($N5,"data[0]", "data["&amp;R5&amp;"]"),JsonPayload!$1:$1,0))/100,INDEX(JsonPayload!$1:$2,2,MATCH(SUBSTITUTE($N5,"data[0]", "data["&amp;S5&amp;"]"),JsonPayload!$1:$1,0))/100),"---")</f>
        <v>3.2000000000000001E-2</v>
      </c>
      <c r="F5" s="2211">
        <f>IFERROR(IF(VALUE(LEFT($J$3,4))=$P5,INDEX(JsonPayload!$1:$2,2,MATCH(SUBSTITUTE($N5,"data[0]", "data["&amp;S5&amp;"]"),JsonPayload!$1:$1,0))/100,INDEX(JsonPayload!$1:$2,2,MATCH(SUBSTITUTE($N5,"data[0]", "data["&amp;T5&amp;"]"),JsonPayload!$1:$1,0))/100),"---")</f>
        <v>0.08</v>
      </c>
      <c r="G5" s="2211">
        <f>IFERROR(IF(VALUE(LEFT($J$3,4))=$P5,INDEX(JsonPayload!$1:$2,2,MATCH(SUBSTITUTE($N5,"data[0]", "data["&amp;T5&amp;"]"),JsonPayload!$1:$1,0))/100,INDEX(JsonPayload!$1:$2,2,MATCH(SUBSTITUTE($N5,"data[0]", "data["&amp;U5&amp;"]"),JsonPayload!$1:$1,0))/100),"---")</f>
        <v>4.7E-2</v>
      </c>
      <c r="H5" s="2211">
        <f>IFERROR(IF(VALUE(LEFT($J$3,4))=$P5,INDEX(JsonPayload!$1:$2,2,MATCH(SUBSTITUTE($N5,"data[0]", "data["&amp;U5&amp;"]"),JsonPayload!$1:$1,0))/100,INDEX(JsonPayload!$1:$2,2,MATCH(SUBSTITUTE($N5,"data[0]", "data["&amp;V5&amp;"]"),JsonPayload!$1:$1,0))/100),"---")</f>
        <v>0.03</v>
      </c>
      <c r="I5" s="2211">
        <f>IFERROR(IF(VALUE(LEFT($J$3,4))=$P5,INDEX(JsonPayload!$1:$2,2,MATCH(SUBSTITUTE($N5,"data[0]", "data["&amp;V5&amp;"]"),JsonPayload!$1:$1,0))/100,INDEX(JsonPayload!$1:$2,2,MATCH($N5,JsonPayload!$1:$1,0))/100),"---")</f>
        <v>0.03</v>
      </c>
      <c r="J5" s="2211">
        <f>IFERROR(IF(VALUE(LEFT($J$3,4))=$P5,INDEX(JsonPayload!$1:$2,2,MATCH($N5,JsonPayload!$1:$1,0))/100,"n/a"),"---")</f>
        <v>3.4000000000000002E-2</v>
      </c>
      <c r="K5" s="2218" t="str">
        <f>INDEX(JsonPayload!$1:$2,2,MATCH(SUBSTITUTE($N5,".value",".periodname"),JsonPayload!$1:$1,0))</f>
        <v>Annual</v>
      </c>
      <c r="L5" s="2200" t="str">
        <f ca="1">IFERROR(VLOOKUP(BLS_Series1_Name,OFFSET(BLS_TableState[],0,2,,3),2,FALSE),"---")</f>
        <v>FL</v>
      </c>
      <c r="M5" s="2203">
        <v>1</v>
      </c>
      <c r="N5" s="2220" t="str">
        <f>"[" &amp; M5 &amp; "].data[" &amp; $M$2 &amp;"].value"</f>
        <v>[1].data[0].value</v>
      </c>
      <c r="O5" s="2204" t="str">
        <f>INDEX(JsonPayload!$1:$2,2,MATCH($Q5,JsonPayload!$1:$1,0))</f>
        <v>M13</v>
      </c>
      <c r="P5" s="2204">
        <f>INDEX(JsonPayload!$1:$2,2,MATCH(SUBSTITUTE($Q5,"period","year"),JsonPayload!$1:$1,0))</f>
        <v>2024</v>
      </c>
      <c r="Q5" s="2202" t="str">
        <f>SUBSTITUTE(N5,"value","period")</f>
        <v>[1].data[0].period</v>
      </c>
      <c r="R5" s="2201">
        <f t="shared" si="1"/>
        <v>65</v>
      </c>
      <c r="S5" s="2201">
        <f t="shared" si="1"/>
        <v>52</v>
      </c>
      <c r="T5" s="2201">
        <f t="shared" si="2"/>
        <v>39</v>
      </c>
      <c r="U5" s="2201">
        <f t="shared" si="2"/>
        <v>26</v>
      </c>
      <c r="V5" s="2201">
        <f>RIGHT(O5,LEN(O5)-1)+W5</f>
        <v>13</v>
      </c>
      <c r="W5" s="2201">
        <v>0</v>
      </c>
    </row>
    <row r="6" spans="2:23" x14ac:dyDescent="0.15">
      <c r="B6" s="2200" t="s">
        <v>17513</v>
      </c>
      <c r="C6" s="2210" t="str">
        <f>IFERROR(INDEX(BLS_TableMSA[],MATCH(BLS_Series2_Name,BLS_TableMSA[area_text],0),2),"")</f>
        <v>MT1215980000000</v>
      </c>
      <c r="D6" s="2212" t="s">
        <v>2193</v>
      </c>
      <c r="E6" s="2211">
        <f>IFERROR(IF(VALUE(LEFT($J$3,4))=$P6,INDEX(JsonPayload!$1:$2,2,MATCH(SUBSTITUTE($N6,"data[0]", "data["&amp;R6&amp;"]"),JsonPayload!$1:$1,0))/100,INDEX(JsonPayload!$1:$2,2,MATCH(SUBSTITUTE($N6,"data[0]", "data["&amp;S6&amp;"]"),JsonPayload!$1:$1,0))/100),"---")</f>
        <v>3.2000000000000001E-2</v>
      </c>
      <c r="F6" s="2211">
        <f>IFERROR(IF(VALUE(LEFT($J$3,4))=$P6,INDEX(JsonPayload!$1:$2,2,MATCH(SUBSTITUTE($N6,"data[0]", "data["&amp;S6&amp;"]"),JsonPayload!$1:$1,0))/100,INDEX(JsonPayload!$1:$2,2,MATCH(SUBSTITUTE($N6,"data[0]", "data["&amp;T6&amp;"]"),JsonPayload!$1:$1,0))/100),"---")</f>
        <v>7.6999999999999999E-2</v>
      </c>
      <c r="G6" s="2211">
        <f>IFERROR(IF(VALUE(LEFT($J$3,4))=$P6,INDEX(JsonPayload!$1:$2,2,MATCH(SUBSTITUTE($N6,"data[0]", "data["&amp;T6&amp;"]"),JsonPayload!$1:$1,0))/100,INDEX(JsonPayload!$1:$2,2,MATCH(SUBSTITUTE($N6,"data[0]", "data["&amp;U6&amp;"]"),JsonPayload!$1:$1,0))/100),"---")</f>
        <v>4.2999999999999997E-2</v>
      </c>
      <c r="H6" s="2211">
        <f>IFERROR(IF(VALUE(LEFT($J$3,4))=$P6,INDEX(JsonPayload!$1:$2,2,MATCH(SUBSTITUTE($N6,"data[0]", "data["&amp;U6&amp;"]"),JsonPayload!$1:$1,0))/100,INDEX(JsonPayload!$1:$2,2,MATCH(SUBSTITUTE($N6,"data[0]", "data["&amp;V6&amp;"]"),JsonPayload!$1:$1,0))/100),"---")</f>
        <v>3.3000000000000002E-2</v>
      </c>
      <c r="I6" s="2211">
        <f>IFERROR(IF(VALUE(LEFT($J$3,4))=$P6,INDEX(JsonPayload!$1:$2,2,MATCH(SUBSTITUTE($N6,"data[0]", "data["&amp;V6&amp;"]"),JsonPayload!$1:$1,0))/100,INDEX(JsonPayload!$1:$2,2,MATCH($N6,JsonPayload!$1:$1,0))/100),"---")</f>
        <v>3.2000000000000001E-2</v>
      </c>
      <c r="J6" s="2211">
        <f>IFERROR(IF(VALUE(LEFT($J$3,4))=$P6,INDEX(JsonPayload!$1:$2,2,MATCH($N6,JsonPayload!$1:$1,0))/100,"n/a"),"---")</f>
        <v>3.1E-2</v>
      </c>
      <c r="K6" s="2218" t="str">
        <f>INDEX(JsonPayload!$1:$2,2,MATCH(SUBSTITUTE($N6,".value",".periodname"),JsonPayload!$1:$1,0))</f>
        <v>December</v>
      </c>
      <c r="L6" s="2202" t="s">
        <v>75</v>
      </c>
      <c r="M6" s="2203">
        <v>2</v>
      </c>
      <c r="N6" s="2220" t="str">
        <f>"[" &amp; M6 &amp; "].data[" &amp; $M$2 &amp;"].value"</f>
        <v>[2].data[0].value</v>
      </c>
      <c r="O6" s="2204" t="str">
        <f>INDEX(JsonPayload!$1:$2,2,MATCH($Q6,JsonPayload!$1:$1,0))</f>
        <v>M12</v>
      </c>
      <c r="P6" s="2204">
        <f>INDEX(JsonPayload!$1:$2,2,MATCH(SUBSTITUTE($Q6,"period","year"),JsonPayload!$1:$1,0))</f>
        <v>2024</v>
      </c>
      <c r="Q6" s="2202" t="str">
        <f>SUBSTITUTE(N6,"value","period")</f>
        <v>[2].data[0].period</v>
      </c>
      <c r="R6" s="2201">
        <f t="shared" si="1"/>
        <v>64</v>
      </c>
      <c r="S6" s="2201">
        <f t="shared" si="1"/>
        <v>51</v>
      </c>
      <c r="T6" s="2201">
        <f t="shared" si="2"/>
        <v>38</v>
      </c>
      <c r="U6" s="2201">
        <f t="shared" si="2"/>
        <v>25</v>
      </c>
      <c r="V6" s="2201">
        <f>RIGHT(O6,LEN(O6)-1)+W6</f>
        <v>12</v>
      </c>
      <c r="W6" s="2201">
        <v>0</v>
      </c>
    </row>
    <row r="7" spans="2:23" x14ac:dyDescent="0.15">
      <c r="B7" s="2200" t="s">
        <v>17514</v>
      </c>
      <c r="C7" s="2210" t="str">
        <f>IFERROR(INDEX(BLS_TableCounty[],MATCH(BLS_Series3_Name,BLS_TableCounty[area_text],0),2),"")</f>
        <v/>
      </c>
      <c r="E7" s="2211" t="str">
        <f>IFERROR(IF(VALUE(LEFT($J$3,4))=$P7,INDEX(JsonPayload!$1:$2,2,MATCH(SUBSTITUTE($N7,"data[0]", "data["&amp;R7&amp;"]"),JsonPayload!$1:$1,0))/100,INDEX(JsonPayload!$1:$2,2,MATCH(SUBSTITUTE($N7,"data[0]", "data["&amp;S7&amp;"]"),JsonPayload!$1:$1,0))/100),"---")</f>
        <v>---</v>
      </c>
      <c r="F7" s="2211" t="str">
        <f>IFERROR(IF(VALUE(LEFT($J$3,4))=$P7,INDEX(JsonPayload!$1:$2,2,MATCH(SUBSTITUTE($N7,"data[0]", "data["&amp;S7&amp;"]"),JsonPayload!$1:$1,0))/100,INDEX(JsonPayload!$1:$2,2,MATCH(SUBSTITUTE($N7,"data[0]", "data["&amp;T7&amp;"]"),JsonPayload!$1:$1,0))/100),"---")</f>
        <v>---</v>
      </c>
      <c r="G7" s="2211" t="str">
        <f>IFERROR(IF(VALUE(LEFT($J$3,4))=$P7,INDEX(JsonPayload!$1:$2,2,MATCH(SUBSTITUTE($N7,"data[0]", "data["&amp;T7&amp;"]"),JsonPayload!$1:$1,0))/100,INDEX(JsonPayload!$1:$2,2,MATCH(SUBSTITUTE($N7,"data[0]", "data["&amp;U7&amp;"]"),JsonPayload!$1:$1,0))/100),"---")</f>
        <v>---</v>
      </c>
      <c r="H7" s="2211" t="str">
        <f>IFERROR(IF(VALUE(LEFT($J$3,4))=$P7,INDEX(JsonPayload!$1:$2,2,MATCH(SUBSTITUTE($N7,"data[0]", "data["&amp;U7&amp;"]"),JsonPayload!$1:$1,0))/100,INDEX(JsonPayload!$1:$2,2,MATCH(SUBSTITUTE($N7,"data[0]", "data["&amp;V7&amp;"]"),JsonPayload!$1:$1,0))/100),"---")</f>
        <v>---</v>
      </c>
      <c r="I7" s="2211" t="str">
        <f>IFERROR(IF(VALUE(LEFT($J$3,4))=$P7,INDEX(JsonPayload!$1:$2,2,MATCH(SUBSTITUTE($N7,"data[0]", "data["&amp;V7&amp;"]"),JsonPayload!$1:$1,0))/100,INDEX(JsonPayload!$1:$2,2,MATCH($N7,JsonPayload!$1:$1,0))/100),"---")</f>
        <v>---</v>
      </c>
      <c r="J7" s="2211" t="str">
        <f>IFERROR(IF(VALUE(LEFT($J$3,4))=$P7,INDEX(JsonPayload!$1:$2,2,MATCH($N7,JsonPayload!$1:$1,0))/100,"n/a"),"---")</f>
        <v>---</v>
      </c>
      <c r="K7" s="2218" t="e">
        <f>INDEX(JsonPayload!$1:$2,2,MATCH(SUBSTITUTE($N7,".value",".periodname"),JsonPayload!$1:$1,0))</f>
        <v>#N/A</v>
      </c>
      <c r="L7" s="2202" t="s">
        <v>17517</v>
      </c>
      <c r="M7" s="2203">
        <v>3</v>
      </c>
      <c r="N7" s="2220" t="str">
        <f>"[" &amp; M7 &amp; "].data[" &amp; $M$2 &amp;"].value"</f>
        <v>[3].data[0].value</v>
      </c>
      <c r="O7" s="2204" t="e">
        <f>INDEX(JsonPayload!$1:$2,2,MATCH($Q7,JsonPayload!$1:$1,0))</f>
        <v>#N/A</v>
      </c>
      <c r="P7" s="2204" t="e">
        <f>INDEX(JsonPayload!$1:$2,2,MATCH(SUBSTITUTE($Q7,"period","year"),JsonPayload!$1:$1,0))</f>
        <v>#N/A</v>
      </c>
      <c r="Q7" s="2202" t="str">
        <f>SUBSTITUTE(N7,"value","period")</f>
        <v>[3].data[0].period</v>
      </c>
      <c r="R7" s="2201" t="e">
        <f t="shared" si="1"/>
        <v>#N/A</v>
      </c>
      <c r="S7" s="2201" t="e">
        <f t="shared" si="1"/>
        <v>#N/A</v>
      </c>
      <c r="T7" s="2201" t="e">
        <f t="shared" si="2"/>
        <v>#N/A</v>
      </c>
      <c r="U7" s="2201" t="e">
        <f t="shared" si="2"/>
        <v>#N/A</v>
      </c>
      <c r="V7" s="2201" t="e">
        <f>RIGHT(O7,LEN(O7)-1)+W7</f>
        <v>#N/A</v>
      </c>
      <c r="W7" s="2201">
        <v>0</v>
      </c>
    </row>
    <row r="8" spans="2:23" x14ac:dyDescent="0.15">
      <c r="B8" s="2200" t="s">
        <v>17515</v>
      </c>
      <c r="C8" s="2213" t="str">
        <f>IFERROR(INDEX(BLS_TableTown[],MATCH(BLS_Series4_Name,BLS_TableTown[area_text],0),2),"")</f>
        <v>CT1210275000000</v>
      </c>
      <c r="D8" s="2214" t="s">
        <v>11868</v>
      </c>
      <c r="E8" s="2215" t="str">
        <f>IFERROR(IF(VALUE(LEFT($J$3,4))=$P8,INDEX(JsonPayload!$1:$2,2,MATCH(SUBSTITUTE($N8,"data[0]", "data["&amp;R8&amp;"]"),JsonPayload!$1:$1,0))/100,INDEX(JsonPayload!$1:$2,2,MATCH(SUBSTITUTE($N8,"data[0]", "data["&amp;S8&amp;"]"),JsonPayload!$1:$1,0))/100),"---")</f>
        <v>---</v>
      </c>
      <c r="F8" s="2215" t="str">
        <f>IFERROR(IF(VALUE(LEFT($J$3,4))=$P8,INDEX(JsonPayload!$1:$2,2,MATCH(SUBSTITUTE($N8,"data[0]", "data["&amp;S8&amp;"]"),JsonPayload!$1:$1,0))/100,INDEX(JsonPayload!$1:$2,2,MATCH(SUBSTITUTE($N8,"data[0]", "data["&amp;T8&amp;"]"),JsonPayload!$1:$1,0))/100),"---")</f>
        <v>---</v>
      </c>
      <c r="G8" s="2215" t="str">
        <f>IFERROR(IF(VALUE(LEFT($J$3,4))=$P8,INDEX(JsonPayload!$1:$2,2,MATCH(SUBSTITUTE($N8,"data[0]", "data["&amp;T8&amp;"]"),JsonPayload!$1:$1,0))/100,INDEX(JsonPayload!$1:$2,2,MATCH(SUBSTITUTE($N8,"data[0]", "data["&amp;U8&amp;"]"),JsonPayload!$1:$1,0))/100),"---")</f>
        <v>---</v>
      </c>
      <c r="H8" s="2215" t="str">
        <f>IFERROR(IF(VALUE(LEFT($J$3,4))=$P8,INDEX(JsonPayload!$1:$2,2,MATCH(SUBSTITUTE($N8,"data[0]", "data["&amp;U8&amp;"]"),JsonPayload!$1:$1,0))/100,INDEX(JsonPayload!$1:$2,2,MATCH(SUBSTITUTE($N8,"data[0]", "data["&amp;V8&amp;"]"),JsonPayload!$1:$1,0))/100),"---")</f>
        <v>---</v>
      </c>
      <c r="I8" s="2215" t="str">
        <f>IFERROR(IF(VALUE(LEFT($J$3,4))=$P8,INDEX(JsonPayload!$1:$2,2,MATCH(SUBSTITUTE($N8,"data[0]", "data["&amp;V8&amp;"]"),JsonPayload!$1:$1,0))/100,INDEX(JsonPayload!$1:$2,2,MATCH($N8,JsonPayload!$1:$1,0))/100),"---")</f>
        <v>---</v>
      </c>
      <c r="J8" s="2215" t="str">
        <f>IFERROR(IF(VALUE(LEFT($J$3,4))=$P8,INDEX(JsonPayload!$1:$2,2,MATCH($N8,JsonPayload!$1:$1,0))/100,"n/a"),"---")</f>
        <v>---</v>
      </c>
      <c r="K8" s="2219" t="e">
        <f>INDEX(JsonPayload!$1:$2,2,MATCH(SUBSTITUTE($N8,".value",".periodname"),JsonPayload!$1:$1,0))</f>
        <v>#N/A</v>
      </c>
      <c r="L8" s="2202" t="s">
        <v>17518</v>
      </c>
      <c r="M8" s="2203">
        <v>4</v>
      </c>
      <c r="N8" s="2220" t="str">
        <f>"[" &amp; M8 &amp; "].data[" &amp; $M$2 &amp;"].value"</f>
        <v>[4].data[0].value</v>
      </c>
      <c r="O8" s="2204" t="e">
        <f>INDEX(JsonPayload!$1:$2,2,MATCH($Q8,JsonPayload!$1:$1,0))</f>
        <v>#N/A</v>
      </c>
      <c r="P8" s="2204" t="e">
        <f>INDEX(JsonPayload!$1:$2,2,MATCH(SUBSTITUTE($Q8,"period","year"),JsonPayload!$1:$1,0))</f>
        <v>#N/A</v>
      </c>
      <c r="Q8" s="2202" t="str">
        <f>SUBSTITUTE(N8,"value","period")</f>
        <v>[4].data[0].period</v>
      </c>
      <c r="R8" s="2201" t="e">
        <f t="shared" si="1"/>
        <v>#N/A</v>
      </c>
      <c r="S8" s="2201" t="e">
        <f t="shared" si="1"/>
        <v>#N/A</v>
      </c>
      <c r="T8" s="2201" t="e">
        <f t="shared" si="2"/>
        <v>#N/A</v>
      </c>
      <c r="U8" s="2201" t="e">
        <f t="shared" si="2"/>
        <v>#N/A</v>
      </c>
      <c r="V8" s="2201" t="e">
        <f>RIGHT(O8,LEN(O8)-1)+W8</f>
        <v>#N/A</v>
      </c>
      <c r="W8" s="2201">
        <v>0</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B401A-36CA-469A-84AC-D72CF8A2B3EF}">
  <sheetPr codeName="Sheet87"/>
  <dimension ref="A1:E53"/>
  <sheetViews>
    <sheetView workbookViewId="0"/>
  </sheetViews>
  <sheetFormatPr defaultColWidth="9.140625" defaultRowHeight="10.5" x14ac:dyDescent="0.15"/>
  <cols>
    <col min="1" max="1" width="5.7109375" style="2200" customWidth="1"/>
    <col min="2" max="2" width="14" style="2200" bestFit="1" customWidth="1"/>
    <col min="3" max="3" width="15.7109375" style="2200" bestFit="1" customWidth="1"/>
    <col min="4" max="5" width="9.85546875" style="2200" customWidth="1"/>
    <col min="6" max="16384" width="9.140625" style="2200"/>
  </cols>
  <sheetData>
    <row r="1" spans="1:5" x14ac:dyDescent="0.15">
      <c r="A1" s="2200" t="s">
        <v>1870</v>
      </c>
      <c r="B1" s="2200" t="s">
        <v>1871</v>
      </c>
      <c r="C1" s="2200" t="s">
        <v>1872</v>
      </c>
      <c r="D1" s="2200" t="s">
        <v>1873</v>
      </c>
      <c r="E1" s="2200" t="s">
        <v>1875</v>
      </c>
    </row>
    <row r="2" spans="1:5" x14ac:dyDescent="0.15">
      <c r="A2" s="2200" t="s">
        <v>17405</v>
      </c>
      <c r="B2" s="2200" t="s">
        <v>17406</v>
      </c>
      <c r="C2" s="2200" t="s">
        <v>17407</v>
      </c>
      <c r="D2" s="2200" t="s">
        <v>1891</v>
      </c>
      <c r="E2" s="2200" t="str">
        <f>MID(B2,3,2)</f>
        <v>01</v>
      </c>
    </row>
    <row r="3" spans="1:5" x14ac:dyDescent="0.15">
      <c r="A3" s="2200" t="s">
        <v>17405</v>
      </c>
      <c r="B3" s="2200" t="s">
        <v>17408</v>
      </c>
      <c r="C3" s="2200" t="s">
        <v>17409</v>
      </c>
      <c r="D3" s="2200" t="s">
        <v>1881</v>
      </c>
      <c r="E3" s="2200" t="str">
        <f t="shared" ref="E3:E53" si="0">MID(B3,3,2)</f>
        <v>02</v>
      </c>
    </row>
    <row r="4" spans="1:5" x14ac:dyDescent="0.15">
      <c r="A4" s="2200" t="s">
        <v>17405</v>
      </c>
      <c r="B4" s="2200" t="s">
        <v>17410</v>
      </c>
      <c r="C4" s="2200" t="s">
        <v>17411</v>
      </c>
      <c r="D4" s="2200" t="s">
        <v>2000</v>
      </c>
      <c r="E4" s="2200" t="str">
        <f t="shared" si="0"/>
        <v>04</v>
      </c>
    </row>
    <row r="5" spans="1:5" x14ac:dyDescent="0.15">
      <c r="A5" s="2200" t="s">
        <v>17405</v>
      </c>
      <c r="B5" s="2200" t="s">
        <v>17412</v>
      </c>
      <c r="C5" s="2200" t="s">
        <v>17413</v>
      </c>
      <c r="D5" s="2200" t="s">
        <v>1951</v>
      </c>
      <c r="E5" s="2200" t="str">
        <f t="shared" si="0"/>
        <v>05</v>
      </c>
    </row>
    <row r="6" spans="1:5" x14ac:dyDescent="0.15">
      <c r="A6" s="2200" t="s">
        <v>17405</v>
      </c>
      <c r="B6" s="2200" t="s">
        <v>17414</v>
      </c>
      <c r="C6" s="2200" t="s">
        <v>17415</v>
      </c>
      <c r="D6" s="2200" t="s">
        <v>2026</v>
      </c>
      <c r="E6" s="2200" t="str">
        <f t="shared" si="0"/>
        <v>06</v>
      </c>
    </row>
    <row r="7" spans="1:5" x14ac:dyDescent="0.15">
      <c r="A7" s="2200" t="s">
        <v>17405</v>
      </c>
      <c r="B7" s="2200" t="s">
        <v>17416</v>
      </c>
      <c r="C7" s="2200" t="s">
        <v>17417</v>
      </c>
      <c r="D7" s="2200" t="s">
        <v>2119</v>
      </c>
      <c r="E7" s="2200" t="str">
        <f t="shared" si="0"/>
        <v>08</v>
      </c>
    </row>
    <row r="8" spans="1:5" x14ac:dyDescent="0.15">
      <c r="A8" s="2200" t="s">
        <v>17405</v>
      </c>
      <c r="B8" s="2200" t="s">
        <v>17418</v>
      </c>
      <c r="C8" s="2200" t="s">
        <v>17419</v>
      </c>
      <c r="D8" s="2200" t="s">
        <v>2162</v>
      </c>
      <c r="E8" s="2200" t="str">
        <f t="shared" si="0"/>
        <v>09</v>
      </c>
    </row>
    <row r="9" spans="1:5" x14ac:dyDescent="0.15">
      <c r="A9" s="2200" t="s">
        <v>17405</v>
      </c>
      <c r="B9" s="2200" t="s">
        <v>17420</v>
      </c>
      <c r="C9" s="2200" t="s">
        <v>17421</v>
      </c>
      <c r="D9" s="2200" t="s">
        <v>2186</v>
      </c>
      <c r="E9" s="2200" t="str">
        <f t="shared" si="0"/>
        <v>10</v>
      </c>
    </row>
    <row r="10" spans="1:5" x14ac:dyDescent="0.15">
      <c r="A10" s="2200" t="s">
        <v>17405</v>
      </c>
      <c r="B10" s="2200" t="s">
        <v>17422</v>
      </c>
      <c r="C10" s="2200" t="s">
        <v>4926</v>
      </c>
      <c r="D10" s="2200" t="s">
        <v>2179</v>
      </c>
      <c r="E10" s="2200" t="str">
        <f t="shared" si="0"/>
        <v>11</v>
      </c>
    </row>
    <row r="11" spans="1:5" x14ac:dyDescent="0.15">
      <c r="A11" s="2200" t="s">
        <v>17405</v>
      </c>
      <c r="B11" s="2200" t="s">
        <v>17423</v>
      </c>
      <c r="C11" s="2200" t="s">
        <v>17424</v>
      </c>
      <c r="D11" s="2200" t="s">
        <v>2191</v>
      </c>
      <c r="E11" s="2200" t="str">
        <f t="shared" si="0"/>
        <v>12</v>
      </c>
    </row>
    <row r="12" spans="1:5" x14ac:dyDescent="0.15">
      <c r="A12" s="2200" t="s">
        <v>17405</v>
      </c>
      <c r="B12" s="2200" t="s">
        <v>17425</v>
      </c>
      <c r="C12" s="2200" t="s">
        <v>17426</v>
      </c>
      <c r="D12" s="2200" t="s">
        <v>2272</v>
      </c>
      <c r="E12" s="2200" t="str">
        <f t="shared" si="0"/>
        <v>13</v>
      </c>
    </row>
    <row r="13" spans="1:5" x14ac:dyDescent="0.15">
      <c r="A13" s="2200" t="s">
        <v>17405</v>
      </c>
      <c r="B13" s="2200" t="s">
        <v>17427</v>
      </c>
      <c r="C13" s="2200" t="s">
        <v>17428</v>
      </c>
      <c r="D13" s="2200" t="s">
        <v>2357</v>
      </c>
      <c r="E13" s="2200" t="str">
        <f t="shared" si="0"/>
        <v>15</v>
      </c>
    </row>
    <row r="14" spans="1:5" x14ac:dyDescent="0.15">
      <c r="A14" s="2200" t="s">
        <v>17405</v>
      </c>
      <c r="B14" s="2200" t="s">
        <v>17429</v>
      </c>
      <c r="C14" s="2200" t="s">
        <v>17430</v>
      </c>
      <c r="D14" s="2200" t="s">
        <v>126</v>
      </c>
      <c r="E14" s="2200" t="str">
        <f t="shared" si="0"/>
        <v>16</v>
      </c>
    </row>
    <row r="15" spans="1:5" x14ac:dyDescent="0.15">
      <c r="A15" s="2200" t="s">
        <v>17405</v>
      </c>
      <c r="B15" s="2200" t="s">
        <v>17431</v>
      </c>
      <c r="C15" s="2200" t="s">
        <v>17432</v>
      </c>
      <c r="D15" s="2200" t="s">
        <v>2457</v>
      </c>
      <c r="E15" s="2200" t="str">
        <f t="shared" si="0"/>
        <v>17</v>
      </c>
    </row>
    <row r="16" spans="1:5" x14ac:dyDescent="0.15">
      <c r="A16" s="2200" t="s">
        <v>17405</v>
      </c>
      <c r="B16" s="2200" t="s">
        <v>17433</v>
      </c>
      <c r="C16" s="2200" t="s">
        <v>17434</v>
      </c>
      <c r="D16" s="2200" t="s">
        <v>2532</v>
      </c>
      <c r="E16" s="2200" t="str">
        <f t="shared" si="0"/>
        <v>18</v>
      </c>
    </row>
    <row r="17" spans="1:5" x14ac:dyDescent="0.15">
      <c r="A17" s="2200" t="s">
        <v>17405</v>
      </c>
      <c r="B17" s="2200" t="s">
        <v>17435</v>
      </c>
      <c r="C17" s="2200" t="s">
        <v>17436</v>
      </c>
      <c r="D17" s="2200" t="s">
        <v>2366</v>
      </c>
      <c r="E17" s="2200" t="str">
        <f t="shared" si="0"/>
        <v>19</v>
      </c>
    </row>
    <row r="18" spans="1:5" x14ac:dyDescent="0.15">
      <c r="A18" s="2200" t="s">
        <v>17405</v>
      </c>
      <c r="B18" s="2200" t="s">
        <v>17437</v>
      </c>
      <c r="C18" s="2200" t="s">
        <v>17438</v>
      </c>
      <c r="D18" s="2200" t="s">
        <v>2621</v>
      </c>
      <c r="E18" s="2200" t="str">
        <f t="shared" si="0"/>
        <v>20</v>
      </c>
    </row>
    <row r="19" spans="1:5" x14ac:dyDescent="0.15">
      <c r="A19" s="2200" t="s">
        <v>17405</v>
      </c>
      <c r="B19" s="2200" t="s">
        <v>17439</v>
      </c>
      <c r="C19" s="2200" t="s">
        <v>17440</v>
      </c>
      <c r="D19" s="2200" t="s">
        <v>2666</v>
      </c>
      <c r="E19" s="2200" t="str">
        <f t="shared" si="0"/>
        <v>21</v>
      </c>
    </row>
    <row r="20" spans="1:5" x14ac:dyDescent="0.15">
      <c r="A20" s="2200" t="s">
        <v>17405</v>
      </c>
      <c r="B20" s="2200" t="s">
        <v>17441</v>
      </c>
      <c r="C20" s="2200" t="s">
        <v>17442</v>
      </c>
      <c r="D20" s="2200" t="s">
        <v>2717</v>
      </c>
      <c r="E20" s="2200" t="str">
        <f t="shared" si="0"/>
        <v>22</v>
      </c>
    </row>
    <row r="21" spans="1:5" x14ac:dyDescent="0.15">
      <c r="A21" s="2200" t="s">
        <v>17405</v>
      </c>
      <c r="B21" s="2200" t="s">
        <v>17443</v>
      </c>
      <c r="C21" s="2200" t="s">
        <v>17444</v>
      </c>
      <c r="D21" s="2200" t="s">
        <v>2828</v>
      </c>
      <c r="E21" s="2200" t="str">
        <f t="shared" si="0"/>
        <v>23</v>
      </c>
    </row>
    <row r="22" spans="1:5" x14ac:dyDescent="0.15">
      <c r="A22" s="2200" t="s">
        <v>17405</v>
      </c>
      <c r="B22" s="2200" t="s">
        <v>17445</v>
      </c>
      <c r="C22" s="2200" t="s">
        <v>17446</v>
      </c>
      <c r="D22" s="2200" t="s">
        <v>2811</v>
      </c>
      <c r="E22" s="2200" t="str">
        <f t="shared" si="0"/>
        <v>24</v>
      </c>
    </row>
    <row r="23" spans="1:5" x14ac:dyDescent="0.15">
      <c r="A23" s="2200" t="s">
        <v>17405</v>
      </c>
      <c r="B23" s="2200" t="s">
        <v>17447</v>
      </c>
      <c r="C23" s="2200" t="s">
        <v>17448</v>
      </c>
      <c r="D23" s="2200" t="s">
        <v>2764</v>
      </c>
      <c r="E23" s="2200" t="str">
        <f t="shared" si="0"/>
        <v>25</v>
      </c>
    </row>
    <row r="24" spans="1:5" x14ac:dyDescent="0.15">
      <c r="A24" s="2200" t="s">
        <v>17405</v>
      </c>
      <c r="B24" s="2200" t="s">
        <v>17449</v>
      </c>
      <c r="C24" s="2200" t="s">
        <v>17450</v>
      </c>
      <c r="D24" s="2200" t="s">
        <v>2847</v>
      </c>
      <c r="E24" s="2200" t="str">
        <f t="shared" si="0"/>
        <v>26</v>
      </c>
    </row>
    <row r="25" spans="1:5" x14ac:dyDescent="0.15">
      <c r="A25" s="2200" t="s">
        <v>17405</v>
      </c>
      <c r="B25" s="2200" t="s">
        <v>17451</v>
      </c>
      <c r="C25" s="2200" t="s">
        <v>17452</v>
      </c>
      <c r="D25" s="2200" t="s">
        <v>2930</v>
      </c>
      <c r="E25" s="2200" t="str">
        <f t="shared" si="0"/>
        <v>27</v>
      </c>
    </row>
    <row r="26" spans="1:5" x14ac:dyDescent="0.15">
      <c r="A26" s="2200" t="s">
        <v>17405</v>
      </c>
      <c r="B26" s="2200" t="s">
        <v>17453</v>
      </c>
      <c r="C26" s="2200" t="s">
        <v>17454</v>
      </c>
      <c r="D26" s="2200" t="s">
        <v>3044</v>
      </c>
      <c r="E26" s="2200" t="str">
        <f t="shared" si="0"/>
        <v>28</v>
      </c>
    </row>
    <row r="27" spans="1:5" x14ac:dyDescent="0.15">
      <c r="A27" s="2200" t="s">
        <v>17405</v>
      </c>
      <c r="B27" s="2200" t="s">
        <v>17455</v>
      </c>
      <c r="C27" s="2200" t="s">
        <v>17456</v>
      </c>
      <c r="D27" s="2200" t="s">
        <v>2981</v>
      </c>
      <c r="E27" s="2200" t="str">
        <f t="shared" si="0"/>
        <v>29</v>
      </c>
    </row>
    <row r="28" spans="1:5" x14ac:dyDescent="0.15">
      <c r="A28" s="2200" t="s">
        <v>17405</v>
      </c>
      <c r="B28" s="2200" t="s">
        <v>17457</v>
      </c>
      <c r="C28" s="2200" t="s">
        <v>17458</v>
      </c>
      <c r="D28" s="2200" t="s">
        <v>3095</v>
      </c>
      <c r="E28" s="2200" t="str">
        <f t="shared" si="0"/>
        <v>30</v>
      </c>
    </row>
    <row r="29" spans="1:5" x14ac:dyDescent="0.15">
      <c r="A29" s="2200" t="s">
        <v>17405</v>
      </c>
      <c r="B29" s="2200" t="s">
        <v>17459</v>
      </c>
      <c r="C29" s="2200" t="s">
        <v>17460</v>
      </c>
      <c r="D29" s="2200" t="s">
        <v>3226</v>
      </c>
      <c r="E29" s="2200" t="str">
        <f t="shared" si="0"/>
        <v>31</v>
      </c>
    </row>
    <row r="30" spans="1:5" x14ac:dyDescent="0.15">
      <c r="A30" s="2200" t="s">
        <v>17405</v>
      </c>
      <c r="B30" s="2200" t="s">
        <v>17461</v>
      </c>
      <c r="C30" s="2200" t="s">
        <v>17462</v>
      </c>
      <c r="D30" s="2200" t="s">
        <v>3334</v>
      </c>
      <c r="E30" s="2200" t="str">
        <f t="shared" si="0"/>
        <v>32</v>
      </c>
    </row>
    <row r="31" spans="1:5" x14ac:dyDescent="0.15">
      <c r="A31" s="2200" t="s">
        <v>17405</v>
      </c>
      <c r="B31" s="2200" t="s">
        <v>17463</v>
      </c>
      <c r="C31" s="2200" t="s">
        <v>17464</v>
      </c>
      <c r="D31" s="2200" t="s">
        <v>3255</v>
      </c>
      <c r="E31" s="2200" t="str">
        <f t="shared" si="0"/>
        <v>33</v>
      </c>
    </row>
    <row r="32" spans="1:5" x14ac:dyDescent="0.15">
      <c r="A32" s="2200" t="s">
        <v>17405</v>
      </c>
      <c r="B32" s="2200" t="s">
        <v>17465</v>
      </c>
      <c r="C32" s="2200" t="s">
        <v>17466</v>
      </c>
      <c r="D32" s="2200" t="s">
        <v>3278</v>
      </c>
      <c r="E32" s="2200" t="str">
        <f t="shared" si="0"/>
        <v>34</v>
      </c>
    </row>
    <row r="33" spans="1:5" x14ac:dyDescent="0.15">
      <c r="A33" s="2200" t="s">
        <v>17405</v>
      </c>
      <c r="B33" s="2200" t="s">
        <v>17467</v>
      </c>
      <c r="C33" s="2200" t="s">
        <v>17468</v>
      </c>
      <c r="D33" s="2200" t="s">
        <v>3291</v>
      </c>
      <c r="E33" s="2200" t="str">
        <f t="shared" si="0"/>
        <v>35</v>
      </c>
    </row>
    <row r="34" spans="1:5" x14ac:dyDescent="0.15">
      <c r="A34" s="2200" t="s">
        <v>17405</v>
      </c>
      <c r="B34" s="2200" t="s">
        <v>17469</v>
      </c>
      <c r="C34" s="2200" t="s">
        <v>17470</v>
      </c>
      <c r="D34" s="2200" t="s">
        <v>3357</v>
      </c>
      <c r="E34" s="2200" t="str">
        <f t="shared" si="0"/>
        <v>36</v>
      </c>
    </row>
    <row r="35" spans="1:5" x14ac:dyDescent="0.15">
      <c r="A35" s="2200" t="s">
        <v>17405</v>
      </c>
      <c r="B35" s="2200" t="s">
        <v>17471</v>
      </c>
      <c r="C35" s="2200" t="s">
        <v>17472</v>
      </c>
      <c r="D35" s="2200" t="s">
        <v>3110</v>
      </c>
      <c r="E35" s="2200" t="str">
        <f t="shared" si="0"/>
        <v>37</v>
      </c>
    </row>
    <row r="36" spans="1:5" x14ac:dyDescent="0.15">
      <c r="A36" s="2200" t="s">
        <v>17405</v>
      </c>
      <c r="B36" s="2200" t="s">
        <v>17473</v>
      </c>
      <c r="C36" s="2200" t="s">
        <v>17474</v>
      </c>
      <c r="D36" s="2200" t="s">
        <v>3207</v>
      </c>
      <c r="E36" s="2200" t="str">
        <f t="shared" si="0"/>
        <v>38</v>
      </c>
    </row>
    <row r="37" spans="1:5" x14ac:dyDescent="0.15">
      <c r="A37" s="2200" t="s">
        <v>17405</v>
      </c>
      <c r="B37" s="2200" t="s">
        <v>17475</v>
      </c>
      <c r="C37" s="2200" t="s">
        <v>17476</v>
      </c>
      <c r="D37" s="2200" t="s">
        <v>3430</v>
      </c>
      <c r="E37" s="2200" t="str">
        <f t="shared" si="0"/>
        <v>39</v>
      </c>
    </row>
    <row r="38" spans="1:5" x14ac:dyDescent="0.15">
      <c r="A38" s="2200" t="s">
        <v>17405</v>
      </c>
      <c r="B38" s="2200" t="s">
        <v>17477</v>
      </c>
      <c r="C38" s="2200" t="s">
        <v>17478</v>
      </c>
      <c r="D38" s="2200" t="s">
        <v>3535</v>
      </c>
      <c r="E38" s="2200" t="str">
        <f t="shared" si="0"/>
        <v>40</v>
      </c>
    </row>
    <row r="39" spans="1:5" x14ac:dyDescent="0.15">
      <c r="A39" s="2200" t="s">
        <v>17405</v>
      </c>
      <c r="B39" s="2200" t="s">
        <v>17479</v>
      </c>
      <c r="C39" s="2200" t="s">
        <v>17480</v>
      </c>
      <c r="D39" s="2200" t="s">
        <v>3582</v>
      </c>
      <c r="E39" s="2200" t="str">
        <f t="shared" si="0"/>
        <v>41</v>
      </c>
    </row>
    <row r="40" spans="1:5" x14ac:dyDescent="0.15">
      <c r="A40" s="2200" t="s">
        <v>17405</v>
      </c>
      <c r="B40" s="2200" t="s">
        <v>17481</v>
      </c>
      <c r="C40" s="2200" t="s">
        <v>17482</v>
      </c>
      <c r="D40" s="2200" t="s">
        <v>3629</v>
      </c>
      <c r="E40" s="2200" t="str">
        <f t="shared" si="0"/>
        <v>42</v>
      </c>
    </row>
    <row r="41" spans="1:5" x14ac:dyDescent="0.15">
      <c r="A41" s="2200" t="s">
        <v>17405</v>
      </c>
      <c r="B41" s="2200" t="s">
        <v>17483</v>
      </c>
      <c r="C41" s="2200" t="s">
        <v>17484</v>
      </c>
      <c r="D41" s="2200" t="s">
        <v>3720</v>
      </c>
      <c r="E41" s="2200" t="str">
        <f t="shared" si="0"/>
        <v>44</v>
      </c>
    </row>
    <row r="42" spans="1:5" x14ac:dyDescent="0.15">
      <c r="A42" s="2200" t="s">
        <v>17405</v>
      </c>
      <c r="B42" s="2200" t="s">
        <v>17485</v>
      </c>
      <c r="C42" s="2200" t="s">
        <v>17486</v>
      </c>
      <c r="D42" s="2200" t="s">
        <v>3723</v>
      </c>
      <c r="E42" s="2200" t="str">
        <f t="shared" si="0"/>
        <v>45</v>
      </c>
    </row>
    <row r="43" spans="1:5" x14ac:dyDescent="0.15">
      <c r="A43" s="2200" t="s">
        <v>17405</v>
      </c>
      <c r="B43" s="2200" t="s">
        <v>17487</v>
      </c>
      <c r="C43" s="2200" t="s">
        <v>17488</v>
      </c>
      <c r="D43" s="2200" t="s">
        <v>3760</v>
      </c>
      <c r="E43" s="2200" t="str">
        <f t="shared" si="0"/>
        <v>46</v>
      </c>
    </row>
    <row r="44" spans="1:5" x14ac:dyDescent="0.15">
      <c r="A44" s="2200" t="s">
        <v>17405</v>
      </c>
      <c r="B44" s="2200" t="s">
        <v>17489</v>
      </c>
      <c r="C44" s="2200" t="s">
        <v>17490</v>
      </c>
      <c r="D44" s="2200" t="s">
        <v>3785</v>
      </c>
      <c r="E44" s="2200" t="str">
        <f t="shared" si="0"/>
        <v>47</v>
      </c>
    </row>
    <row r="45" spans="1:5" x14ac:dyDescent="0.15">
      <c r="A45" s="2200" t="s">
        <v>17405</v>
      </c>
      <c r="B45" s="2200" t="s">
        <v>1866</v>
      </c>
      <c r="C45" s="2200" t="s">
        <v>1865</v>
      </c>
      <c r="D45" s="2200" t="s">
        <v>3854</v>
      </c>
      <c r="E45" s="2200" t="str">
        <f t="shared" si="0"/>
        <v>48</v>
      </c>
    </row>
    <row r="46" spans="1:5" x14ac:dyDescent="0.15">
      <c r="A46" s="2200" t="s">
        <v>17405</v>
      </c>
      <c r="B46" s="2200" t="s">
        <v>17491</v>
      </c>
      <c r="C46" s="2200" t="s">
        <v>17492</v>
      </c>
      <c r="D46" s="2200" t="s">
        <v>4023</v>
      </c>
      <c r="E46" s="2200" t="str">
        <f t="shared" si="0"/>
        <v>49</v>
      </c>
    </row>
    <row r="47" spans="1:5" x14ac:dyDescent="0.15">
      <c r="A47" s="2200" t="s">
        <v>17405</v>
      </c>
      <c r="B47" s="2200" t="s">
        <v>17493</v>
      </c>
      <c r="C47" s="2200" t="s">
        <v>17494</v>
      </c>
      <c r="D47" s="2200" t="s">
        <v>4075</v>
      </c>
      <c r="E47" s="2200" t="str">
        <f t="shared" si="0"/>
        <v>50</v>
      </c>
    </row>
    <row r="48" spans="1:5" x14ac:dyDescent="0.15">
      <c r="A48" s="2200" t="s">
        <v>17405</v>
      </c>
      <c r="B48" s="2200" t="s">
        <v>17495</v>
      </c>
      <c r="C48" s="2200" t="s">
        <v>17496</v>
      </c>
      <c r="D48" s="2200" t="s">
        <v>4046</v>
      </c>
      <c r="E48" s="2200" t="str">
        <f t="shared" si="0"/>
        <v>51</v>
      </c>
    </row>
    <row r="49" spans="1:5" x14ac:dyDescent="0.15">
      <c r="A49" s="2200" t="s">
        <v>17405</v>
      </c>
      <c r="B49" s="2200" t="s">
        <v>17497</v>
      </c>
      <c r="C49" s="2200" t="s">
        <v>17498</v>
      </c>
      <c r="D49" s="2200" t="s">
        <v>4084</v>
      </c>
      <c r="E49" s="2200" t="str">
        <f t="shared" si="0"/>
        <v>53</v>
      </c>
    </row>
    <row r="50" spans="1:5" x14ac:dyDescent="0.15">
      <c r="A50" s="2200" t="s">
        <v>17405</v>
      </c>
      <c r="B50" s="2200" t="s">
        <v>17499</v>
      </c>
      <c r="C50" s="2200" t="s">
        <v>17500</v>
      </c>
      <c r="D50" s="2200" t="s">
        <v>4198</v>
      </c>
      <c r="E50" s="2200" t="str">
        <f t="shared" si="0"/>
        <v>54</v>
      </c>
    </row>
    <row r="51" spans="1:5" x14ac:dyDescent="0.15">
      <c r="A51" s="2200" t="s">
        <v>17405</v>
      </c>
      <c r="B51" s="2200" t="s">
        <v>17501</v>
      </c>
      <c r="C51" s="2200" t="s">
        <v>17502</v>
      </c>
      <c r="D51" s="2200" t="s">
        <v>4137</v>
      </c>
      <c r="E51" s="2200" t="str">
        <f t="shared" si="0"/>
        <v>55</v>
      </c>
    </row>
    <row r="52" spans="1:5" x14ac:dyDescent="0.15">
      <c r="A52" s="2200" t="s">
        <v>17405</v>
      </c>
      <c r="B52" s="2200" t="s">
        <v>17503</v>
      </c>
      <c r="C52" s="2200" t="s">
        <v>17504</v>
      </c>
      <c r="D52" s="2200" t="s">
        <v>4231</v>
      </c>
      <c r="E52" s="2200" t="str">
        <f t="shared" si="0"/>
        <v>56</v>
      </c>
    </row>
    <row r="53" spans="1:5" x14ac:dyDescent="0.15">
      <c r="A53" s="2200" t="s">
        <v>17405</v>
      </c>
      <c r="B53" s="2200" t="s">
        <v>17505</v>
      </c>
      <c r="C53" s="2200" t="s">
        <v>17506</v>
      </c>
      <c r="D53" s="2200" t="s">
        <v>4250</v>
      </c>
      <c r="E53" s="2200" t="str">
        <f t="shared" si="0"/>
        <v>72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56120-84DA-4A10-9A9A-0994423FE78B}">
  <sheetPr codeName="Sheet84"/>
  <dimension ref="A1:H1330"/>
  <sheetViews>
    <sheetView workbookViewId="0"/>
  </sheetViews>
  <sheetFormatPr defaultColWidth="9.140625" defaultRowHeight="10.5" x14ac:dyDescent="0.15"/>
  <cols>
    <col min="1" max="1" width="5.7109375" style="2200" customWidth="1"/>
    <col min="2" max="2" width="14.7109375" style="2200" bestFit="1" customWidth="1"/>
    <col min="3" max="3" width="51.5703125" style="2200" bestFit="1" customWidth="1"/>
    <col min="4" max="4" width="11.28515625" style="2200" customWidth="1"/>
    <col min="5" max="5" width="12.28515625" style="2200" customWidth="1"/>
    <col min="6" max="6" width="10.7109375" style="2200" customWidth="1"/>
    <col min="7" max="7" width="10.85546875" style="2200" customWidth="1"/>
    <col min="8" max="16384" width="9.140625" style="2200"/>
  </cols>
  <sheetData>
    <row r="1" spans="1:8" x14ac:dyDescent="0.15">
      <c r="A1" s="2200" t="s">
        <v>1870</v>
      </c>
      <c r="B1" s="2200" t="s">
        <v>1871</v>
      </c>
      <c r="C1" s="2200" t="s">
        <v>1872</v>
      </c>
      <c r="D1" s="2200" t="s">
        <v>1873</v>
      </c>
      <c r="E1" s="2200" t="s">
        <v>1874</v>
      </c>
      <c r="F1" s="2200" t="s">
        <v>1875</v>
      </c>
      <c r="G1" s="2200" t="s">
        <v>1876</v>
      </c>
      <c r="H1" s="2200" t="s">
        <v>1877</v>
      </c>
    </row>
    <row r="2" spans="1:8" hidden="1" x14ac:dyDescent="0.15">
      <c r="A2" s="2200" t="s">
        <v>1878</v>
      </c>
      <c r="B2" s="2200" t="s">
        <v>1879</v>
      </c>
      <c r="C2" s="2200" t="s">
        <v>1880</v>
      </c>
      <c r="D2" s="2200" t="str">
        <f>MID(C2,E2+2,2)</f>
        <v>AK</v>
      </c>
      <c r="E2" s="2200">
        <f>FIND(",",C2)</f>
        <v>10</v>
      </c>
      <c r="F2" s="2200" t="str">
        <f>MID(B2,3,2)</f>
        <v>02</v>
      </c>
      <c r="G2" s="2200" t="str">
        <f>MID(B2,5,5)</f>
        <v>11260</v>
      </c>
      <c r="H2" s="2200">
        <f>--SUBTOTAL(3,C$2:C2)</f>
        <v>0</v>
      </c>
    </row>
    <row r="3" spans="1:8" hidden="1" x14ac:dyDescent="0.15">
      <c r="A3" s="2200" t="s">
        <v>1878</v>
      </c>
      <c r="B3" s="2200" t="s">
        <v>1882</v>
      </c>
      <c r="C3" s="2200" t="s">
        <v>1883</v>
      </c>
      <c r="D3" s="2200" t="str">
        <f t="shared" ref="D3:D69" si="0">MID(C3,E3+2,2)</f>
        <v>AK</v>
      </c>
      <c r="E3" s="2200">
        <f t="shared" ref="E3:E69" si="1">FIND(",",C3)</f>
        <v>10</v>
      </c>
      <c r="F3" s="2200" t="str">
        <f t="shared" ref="F3:F69" si="2">MID(B3,3,2)</f>
        <v>02</v>
      </c>
      <c r="G3" s="2200" t="str">
        <f t="shared" ref="G3:G69" si="3">MID(B3,5,5)</f>
        <v>21820</v>
      </c>
      <c r="H3" s="2200">
        <f>--SUBTOTAL(3,C$2:C3)</f>
        <v>0</v>
      </c>
    </row>
    <row r="4" spans="1:8" hidden="1" x14ac:dyDescent="0.15">
      <c r="A4" s="2200" t="s">
        <v>1884</v>
      </c>
      <c r="B4" s="2200" t="s">
        <v>1885</v>
      </c>
      <c r="C4" s="2200" t="s">
        <v>1886</v>
      </c>
      <c r="D4" s="2200" t="str">
        <f t="shared" si="0"/>
        <v>AK</v>
      </c>
      <c r="E4" s="2200">
        <f t="shared" si="1"/>
        <v>7</v>
      </c>
      <c r="F4" s="2200" t="str">
        <f t="shared" si="2"/>
        <v>02</v>
      </c>
      <c r="G4" s="2200" t="str">
        <f t="shared" si="3"/>
        <v>27940</v>
      </c>
      <c r="H4" s="2200">
        <f>--SUBTOTAL(3,C$2:C4)</f>
        <v>0</v>
      </c>
    </row>
    <row r="5" spans="1:8" hidden="1" x14ac:dyDescent="0.15">
      <c r="A5" s="2200" t="s">
        <v>1884</v>
      </c>
      <c r="B5" s="2200" t="s">
        <v>1887</v>
      </c>
      <c r="C5" s="2200" t="s">
        <v>1888</v>
      </c>
      <c r="D5" s="2200" t="str">
        <f t="shared" si="0"/>
        <v>AK</v>
      </c>
      <c r="E5" s="2200">
        <f t="shared" si="1"/>
        <v>10</v>
      </c>
      <c r="F5" s="2200" t="str">
        <f t="shared" si="2"/>
        <v>02</v>
      </c>
      <c r="G5" s="2200" t="str">
        <f t="shared" si="3"/>
        <v>28540</v>
      </c>
      <c r="H5" s="2200">
        <f>--SUBTOTAL(3,C$2:C5)</f>
        <v>0</v>
      </c>
    </row>
    <row r="6" spans="1:8" hidden="1" x14ac:dyDescent="0.15">
      <c r="A6" s="2200" t="s">
        <v>1884</v>
      </c>
      <c r="B6" s="2200" t="s">
        <v>1889</v>
      </c>
      <c r="C6" s="2200" t="s">
        <v>1890</v>
      </c>
      <c r="D6" s="2200" t="str">
        <f t="shared" si="0"/>
        <v>AL</v>
      </c>
      <c r="E6" s="2200">
        <f t="shared" si="1"/>
        <v>12</v>
      </c>
      <c r="F6" s="2200" t="str">
        <f t="shared" si="2"/>
        <v>01</v>
      </c>
      <c r="G6" s="2200" t="str">
        <f t="shared" si="3"/>
        <v>10700</v>
      </c>
      <c r="H6" s="2200">
        <f>--SUBTOTAL(3,C$2:C6)</f>
        <v>0</v>
      </c>
    </row>
    <row r="7" spans="1:8" hidden="1" x14ac:dyDescent="0.15">
      <c r="A7" s="2200" t="s">
        <v>1884</v>
      </c>
      <c r="B7" s="2200" t="s">
        <v>1892</v>
      </c>
      <c r="C7" s="2200" t="s">
        <v>1893</v>
      </c>
      <c r="D7" s="2200" t="str">
        <f t="shared" si="0"/>
        <v>AL</v>
      </c>
      <c r="E7" s="2200">
        <f t="shared" si="1"/>
        <v>15</v>
      </c>
      <c r="F7" s="2200" t="str">
        <f t="shared" si="2"/>
        <v>01</v>
      </c>
      <c r="G7" s="2200" t="str">
        <f t="shared" si="3"/>
        <v>10760</v>
      </c>
      <c r="H7" s="2200">
        <f>--SUBTOTAL(3,C$2:C7)</f>
        <v>0</v>
      </c>
    </row>
    <row r="8" spans="1:8" hidden="1" x14ac:dyDescent="0.15">
      <c r="A8" s="2200" t="s">
        <v>1878</v>
      </c>
      <c r="B8" s="2200" t="s">
        <v>1894</v>
      </c>
      <c r="C8" s="2200" t="s">
        <v>1895</v>
      </c>
      <c r="D8" s="2200" t="str">
        <f t="shared" si="0"/>
        <v>AL</v>
      </c>
      <c r="E8" s="2200">
        <f t="shared" si="1"/>
        <v>29</v>
      </c>
      <c r="F8" s="2200" t="str">
        <f t="shared" si="2"/>
        <v>01</v>
      </c>
      <c r="G8" s="2200" t="str">
        <f t="shared" si="3"/>
        <v>11500</v>
      </c>
      <c r="H8" s="2200">
        <f>--SUBTOTAL(3,C$2:C8)</f>
        <v>0</v>
      </c>
    </row>
    <row r="9" spans="1:8" hidden="1" x14ac:dyDescent="0.15">
      <c r="A9" s="2200" t="s">
        <v>1884</v>
      </c>
      <c r="B9" s="2200" t="s">
        <v>1896</v>
      </c>
      <c r="C9" s="2200" t="s">
        <v>1897</v>
      </c>
      <c r="D9" s="2200" t="str">
        <f t="shared" si="0"/>
        <v>AL</v>
      </c>
      <c r="E9" s="2200">
        <f t="shared" si="1"/>
        <v>7</v>
      </c>
      <c r="F9" s="2200" t="str">
        <f t="shared" si="2"/>
        <v>01</v>
      </c>
      <c r="G9" s="2200" t="str">
        <f t="shared" si="3"/>
        <v>12120</v>
      </c>
      <c r="H9" s="2200">
        <f>--SUBTOTAL(3,C$2:C9)</f>
        <v>0</v>
      </c>
    </row>
    <row r="10" spans="1:8" hidden="1" x14ac:dyDescent="0.15">
      <c r="A10" s="2200" t="s">
        <v>1878</v>
      </c>
      <c r="B10" s="2200" t="s">
        <v>1898</v>
      </c>
      <c r="C10" s="2200" t="s">
        <v>1899</v>
      </c>
      <c r="D10" s="2200" t="str">
        <f t="shared" si="0"/>
        <v>AL</v>
      </c>
      <c r="E10" s="2200">
        <f t="shared" si="1"/>
        <v>15</v>
      </c>
      <c r="F10" s="2200" t="str">
        <f t="shared" si="2"/>
        <v>01</v>
      </c>
      <c r="G10" s="2200" t="str">
        <f t="shared" si="3"/>
        <v>12220</v>
      </c>
      <c r="H10" s="2200">
        <f>--SUBTOTAL(3,C$2:C10)</f>
        <v>0</v>
      </c>
    </row>
    <row r="11" spans="1:8" hidden="1" x14ac:dyDescent="0.15">
      <c r="A11" s="2200" t="s">
        <v>1878</v>
      </c>
      <c r="B11" s="2200" t="s">
        <v>1900</v>
      </c>
      <c r="C11" s="2200" t="s">
        <v>1901</v>
      </c>
      <c r="D11" s="2200" t="str">
        <f t="shared" si="0"/>
        <v>AL</v>
      </c>
      <c r="E11" s="2200">
        <f t="shared" si="1"/>
        <v>18</v>
      </c>
      <c r="F11" s="2200" t="str">
        <f t="shared" si="2"/>
        <v>01</v>
      </c>
      <c r="G11" s="2200" t="str">
        <f t="shared" si="3"/>
        <v>13820</v>
      </c>
      <c r="H11" s="2200">
        <f>--SUBTOTAL(3,C$2:C11)</f>
        <v>0</v>
      </c>
    </row>
    <row r="12" spans="1:8" hidden="1" x14ac:dyDescent="0.15">
      <c r="A12" s="2200" t="s">
        <v>1902</v>
      </c>
      <c r="B12" s="2200" t="s">
        <v>1903</v>
      </c>
      <c r="C12" s="2200" t="s">
        <v>1904</v>
      </c>
      <c r="D12" s="2200" t="str">
        <f t="shared" si="0"/>
        <v>AL</v>
      </c>
      <c r="E12" s="2200">
        <f t="shared" si="1"/>
        <v>28</v>
      </c>
      <c r="F12" s="2200" t="str">
        <f t="shared" si="2"/>
        <v>01</v>
      </c>
      <c r="G12" s="2200" t="str">
        <f t="shared" si="3"/>
        <v>14200</v>
      </c>
      <c r="H12" s="2200">
        <f>--SUBTOTAL(3,C$2:C12)</f>
        <v>0</v>
      </c>
    </row>
    <row r="13" spans="1:8" hidden="1" x14ac:dyDescent="0.15">
      <c r="A13" s="2200" t="s">
        <v>1878</v>
      </c>
      <c r="B13" s="2200" t="s">
        <v>2291</v>
      </c>
      <c r="C13" s="2200" t="s">
        <v>17857</v>
      </c>
      <c r="D13" s="2200" t="str">
        <f t="shared" si="0"/>
        <v>AL</v>
      </c>
      <c r="E13" s="2200">
        <f t="shared" si="1"/>
        <v>9</v>
      </c>
      <c r="F13" s="2200" t="str">
        <f t="shared" si="2"/>
        <v>13</v>
      </c>
      <c r="G13" s="2200" t="str">
        <f t="shared" si="3"/>
        <v>17980</v>
      </c>
      <c r="H13" s="2200">
        <f>--SUBTOTAL(3,C$2:C13)</f>
        <v>0</v>
      </c>
    </row>
    <row r="14" spans="1:8" hidden="1" x14ac:dyDescent="0.15">
      <c r="A14" s="2200" t="s">
        <v>1884</v>
      </c>
      <c r="B14" s="2200" t="s">
        <v>1905</v>
      </c>
      <c r="C14" s="2200" t="s">
        <v>1906</v>
      </c>
      <c r="D14" s="2200" t="str">
        <f t="shared" si="0"/>
        <v>AL</v>
      </c>
      <c r="E14" s="2200">
        <f t="shared" si="1"/>
        <v>8</v>
      </c>
      <c r="F14" s="2200" t="str">
        <f t="shared" si="2"/>
        <v>01</v>
      </c>
      <c r="G14" s="2200" t="str">
        <f t="shared" si="3"/>
        <v>18980</v>
      </c>
      <c r="H14" s="2200">
        <f>--SUBTOTAL(3,C$2:C14)</f>
        <v>0</v>
      </c>
    </row>
    <row r="15" spans="1:8" hidden="1" x14ac:dyDescent="0.15">
      <c r="A15" s="2200" t="s">
        <v>1878</v>
      </c>
      <c r="B15" s="2200" t="s">
        <v>1907</v>
      </c>
      <c r="C15" s="2200" t="s">
        <v>1908</v>
      </c>
      <c r="D15" s="2200" t="str">
        <f t="shared" si="0"/>
        <v>AL</v>
      </c>
      <c r="E15" s="2200">
        <f t="shared" si="1"/>
        <v>22</v>
      </c>
      <c r="F15" s="2200" t="str">
        <f t="shared" si="2"/>
        <v>01</v>
      </c>
      <c r="G15" s="2200" t="str">
        <f t="shared" si="3"/>
        <v>19300</v>
      </c>
      <c r="H15" s="2200">
        <f>--SUBTOTAL(3,C$2:C15)</f>
        <v>0</v>
      </c>
    </row>
    <row r="16" spans="1:8" hidden="1" x14ac:dyDescent="0.15">
      <c r="A16" s="2200" t="s">
        <v>1878</v>
      </c>
      <c r="B16" s="2200" t="s">
        <v>1909</v>
      </c>
      <c r="C16" s="2200" t="s">
        <v>1910</v>
      </c>
      <c r="D16" s="2200" t="str">
        <f t="shared" si="0"/>
        <v>AL</v>
      </c>
      <c r="E16" s="2200">
        <f t="shared" si="1"/>
        <v>8</v>
      </c>
      <c r="F16" s="2200" t="str">
        <f t="shared" si="2"/>
        <v>01</v>
      </c>
      <c r="G16" s="2200" t="str">
        <f t="shared" si="3"/>
        <v>19460</v>
      </c>
      <c r="H16" s="2200">
        <f>--SUBTOTAL(3,C$2:C16)</f>
        <v>0</v>
      </c>
    </row>
    <row r="17" spans="1:8" hidden="1" x14ac:dyDescent="0.15">
      <c r="A17" s="2200" t="s">
        <v>1878</v>
      </c>
      <c r="B17" s="2200" t="s">
        <v>1911</v>
      </c>
      <c r="C17" s="2200" t="s">
        <v>1912</v>
      </c>
      <c r="D17" s="2200" t="str">
        <f t="shared" si="0"/>
        <v>AL</v>
      </c>
      <c r="E17" s="2200">
        <f t="shared" si="1"/>
        <v>7</v>
      </c>
      <c r="F17" s="2200" t="str">
        <f t="shared" si="2"/>
        <v>01</v>
      </c>
      <c r="G17" s="2200" t="str">
        <f t="shared" si="3"/>
        <v>20020</v>
      </c>
      <c r="H17" s="2200">
        <f>--SUBTOTAL(3,C$2:C17)</f>
        <v>0</v>
      </c>
    </row>
    <row r="18" spans="1:8" hidden="1" x14ac:dyDescent="0.15">
      <c r="A18" s="2200" t="s">
        <v>1902</v>
      </c>
      <c r="B18" s="2200" t="s">
        <v>1913</v>
      </c>
      <c r="C18" s="2200" t="s">
        <v>1914</v>
      </c>
      <c r="D18" s="2200" t="str">
        <f t="shared" si="0"/>
        <v>AL</v>
      </c>
      <c r="E18" s="2200">
        <f t="shared" si="1"/>
        <v>24</v>
      </c>
      <c r="F18" s="2200" t="str">
        <f t="shared" si="2"/>
        <v>01</v>
      </c>
      <c r="G18" s="2200" t="str">
        <f t="shared" si="3"/>
        <v>22200</v>
      </c>
      <c r="H18" s="2200">
        <f>--SUBTOTAL(3,C$2:C18)</f>
        <v>0</v>
      </c>
    </row>
    <row r="19" spans="1:8" hidden="1" x14ac:dyDescent="0.15">
      <c r="A19" s="2200" t="s">
        <v>1884</v>
      </c>
      <c r="B19" s="2200" t="s">
        <v>1915</v>
      </c>
      <c r="C19" s="2200" t="s">
        <v>1916</v>
      </c>
      <c r="D19" s="2200" t="str">
        <f t="shared" si="0"/>
        <v>AL</v>
      </c>
      <c r="E19" s="2200">
        <f t="shared" si="1"/>
        <v>11</v>
      </c>
      <c r="F19" s="2200" t="str">
        <f t="shared" si="2"/>
        <v>01</v>
      </c>
      <c r="G19" s="2200" t="str">
        <f t="shared" si="3"/>
        <v>21460</v>
      </c>
      <c r="H19" s="2200">
        <f>--SUBTOTAL(3,C$2:C19)</f>
        <v>0</v>
      </c>
    </row>
    <row r="20" spans="1:8" hidden="1" x14ac:dyDescent="0.15">
      <c r="A20" s="2200" t="s">
        <v>1884</v>
      </c>
      <c r="B20" s="2200" t="s">
        <v>1917</v>
      </c>
      <c r="C20" s="2200" t="s">
        <v>1918</v>
      </c>
      <c r="D20" s="2200" t="str">
        <f t="shared" si="0"/>
        <v>AL</v>
      </c>
      <c r="E20" s="2200">
        <f t="shared" si="1"/>
        <v>8</v>
      </c>
      <c r="F20" s="2200" t="str">
        <f t="shared" si="2"/>
        <v>01</v>
      </c>
      <c r="G20" s="2200" t="str">
        <f t="shared" si="3"/>
        <v>21640</v>
      </c>
      <c r="H20" s="2200">
        <f>--SUBTOTAL(3,C$2:C20)</f>
        <v>0</v>
      </c>
    </row>
    <row r="21" spans="1:8" hidden="1" x14ac:dyDescent="0.15">
      <c r="A21" s="2200" t="s">
        <v>1878</v>
      </c>
      <c r="B21" s="2200" t="s">
        <v>1919</v>
      </c>
      <c r="C21" s="2200" t="s">
        <v>1920</v>
      </c>
      <c r="D21" s="2200" t="str">
        <f t="shared" si="0"/>
        <v>AL</v>
      </c>
      <c r="E21" s="2200">
        <f t="shared" si="1"/>
        <v>23</v>
      </c>
      <c r="F21" s="2200" t="str">
        <f t="shared" si="2"/>
        <v>01</v>
      </c>
      <c r="G21" s="2200" t="str">
        <f t="shared" si="3"/>
        <v>22520</v>
      </c>
      <c r="H21" s="2200">
        <f>--SUBTOTAL(3,C$2:C21)</f>
        <v>0</v>
      </c>
    </row>
    <row r="22" spans="1:8" hidden="1" x14ac:dyDescent="0.15">
      <c r="A22" s="2200" t="s">
        <v>1884</v>
      </c>
      <c r="B22" s="2200" t="s">
        <v>1921</v>
      </c>
      <c r="C22" s="2200" t="s">
        <v>1922</v>
      </c>
      <c r="D22" s="2200" t="str">
        <f t="shared" si="0"/>
        <v>AL</v>
      </c>
      <c r="E22" s="2200">
        <f t="shared" si="1"/>
        <v>11</v>
      </c>
      <c r="F22" s="2200" t="str">
        <f t="shared" si="2"/>
        <v>01</v>
      </c>
      <c r="G22" s="2200" t="str">
        <f t="shared" si="3"/>
        <v>22840</v>
      </c>
      <c r="H22" s="2200">
        <f>--SUBTOTAL(3,C$2:C22)</f>
        <v>0</v>
      </c>
    </row>
    <row r="23" spans="1:8" hidden="1" x14ac:dyDescent="0.15">
      <c r="A23" s="2200" t="s">
        <v>1878</v>
      </c>
      <c r="B23" s="2200" t="s">
        <v>1923</v>
      </c>
      <c r="C23" s="2200" t="s">
        <v>1924</v>
      </c>
      <c r="D23" s="2200" t="str">
        <f t="shared" si="0"/>
        <v>AL</v>
      </c>
      <c r="E23" s="2200">
        <f t="shared" si="1"/>
        <v>8</v>
      </c>
      <c r="F23" s="2200" t="str">
        <f t="shared" si="2"/>
        <v>01</v>
      </c>
      <c r="G23" s="2200" t="str">
        <f t="shared" si="3"/>
        <v>23460</v>
      </c>
      <c r="H23" s="2200">
        <f>--SUBTOTAL(3,C$2:C23)</f>
        <v>0</v>
      </c>
    </row>
    <row r="24" spans="1:8" hidden="1" x14ac:dyDescent="0.15">
      <c r="A24" s="2200" t="s">
        <v>1878</v>
      </c>
      <c r="B24" s="2200" t="s">
        <v>1925</v>
      </c>
      <c r="C24" s="2200" t="s">
        <v>1926</v>
      </c>
      <c r="D24" s="2200" t="str">
        <f t="shared" si="0"/>
        <v>AL</v>
      </c>
      <c r="E24" s="2200">
        <f t="shared" si="1"/>
        <v>11</v>
      </c>
      <c r="F24" s="2200" t="str">
        <f t="shared" si="2"/>
        <v>01</v>
      </c>
      <c r="G24" s="2200" t="str">
        <f t="shared" si="3"/>
        <v>26620</v>
      </c>
      <c r="H24" s="2200">
        <f>--SUBTOTAL(3,C$2:C24)</f>
        <v>0</v>
      </c>
    </row>
    <row r="25" spans="1:8" hidden="1" x14ac:dyDescent="0.15">
      <c r="A25" s="2200" t="s">
        <v>1902</v>
      </c>
      <c r="B25" s="2200" t="s">
        <v>1927</v>
      </c>
      <c r="C25" s="2200" t="s">
        <v>1928</v>
      </c>
      <c r="D25" s="2200" t="str">
        <f t="shared" si="0"/>
        <v>AL</v>
      </c>
      <c r="E25" s="2200">
        <f t="shared" si="1"/>
        <v>31</v>
      </c>
      <c r="F25" s="2200" t="str">
        <f t="shared" si="2"/>
        <v>01</v>
      </c>
      <c r="G25" s="2200" t="str">
        <f t="shared" si="3"/>
        <v>29000</v>
      </c>
      <c r="H25" s="2200">
        <f>--SUBTOTAL(3,C$2:C25)</f>
        <v>0</v>
      </c>
    </row>
    <row r="26" spans="1:8" hidden="1" x14ac:dyDescent="0.15">
      <c r="A26" s="2200" t="s">
        <v>1878</v>
      </c>
      <c r="B26" s="2200" t="s">
        <v>1929</v>
      </c>
      <c r="C26" s="2200" t="s">
        <v>1930</v>
      </c>
      <c r="D26" s="2200" t="str">
        <f t="shared" si="0"/>
        <v>AL</v>
      </c>
      <c r="E26" s="2200">
        <f t="shared" si="1"/>
        <v>7</v>
      </c>
      <c r="F26" s="2200" t="str">
        <f t="shared" si="2"/>
        <v>01</v>
      </c>
      <c r="G26" s="2200" t="str">
        <f t="shared" si="3"/>
        <v>33660</v>
      </c>
      <c r="H26" s="2200">
        <f>--SUBTOTAL(3,C$2:C26)</f>
        <v>0</v>
      </c>
    </row>
    <row r="27" spans="1:8" hidden="1" x14ac:dyDescent="0.15">
      <c r="A27" s="2200" t="s">
        <v>1902</v>
      </c>
      <c r="B27" s="2200" t="s">
        <v>1931</v>
      </c>
      <c r="C27" s="2200" t="s">
        <v>1932</v>
      </c>
      <c r="D27" s="2200" t="str">
        <f t="shared" si="0"/>
        <v>AL</v>
      </c>
      <c r="E27" s="2200">
        <f t="shared" si="1"/>
        <v>23</v>
      </c>
      <c r="F27" s="2200" t="str">
        <f t="shared" si="2"/>
        <v>01</v>
      </c>
      <c r="G27" s="2200" t="str">
        <f t="shared" si="3"/>
        <v>38000</v>
      </c>
      <c r="H27" s="2200">
        <f>--SUBTOTAL(3,C$2:C27)</f>
        <v>0</v>
      </c>
    </row>
    <row r="28" spans="1:8" hidden="1" x14ac:dyDescent="0.15">
      <c r="A28" s="2200" t="s">
        <v>1878</v>
      </c>
      <c r="B28" s="2200" t="s">
        <v>1933</v>
      </c>
      <c r="C28" s="2200" t="s">
        <v>1934</v>
      </c>
      <c r="D28" s="2200" t="str">
        <f t="shared" si="0"/>
        <v>AL</v>
      </c>
      <c r="E28" s="2200">
        <f t="shared" si="1"/>
        <v>11</v>
      </c>
      <c r="F28" s="2200" t="str">
        <f t="shared" si="2"/>
        <v>01</v>
      </c>
      <c r="G28" s="2200" t="str">
        <f t="shared" si="3"/>
        <v>33860</v>
      </c>
      <c r="H28" s="2200">
        <f>--SUBTOTAL(3,C$2:C28)</f>
        <v>0</v>
      </c>
    </row>
    <row r="29" spans="1:8" hidden="1" x14ac:dyDescent="0.15">
      <c r="A29" s="2200" t="s">
        <v>1884</v>
      </c>
      <c r="B29" s="2200" t="s">
        <v>1935</v>
      </c>
      <c r="C29" s="2200" t="s">
        <v>1936</v>
      </c>
      <c r="D29" s="2200" t="str">
        <f t="shared" si="0"/>
        <v>AL</v>
      </c>
      <c r="E29" s="2200">
        <f t="shared" si="1"/>
        <v>6</v>
      </c>
      <c r="F29" s="2200" t="str">
        <f t="shared" si="2"/>
        <v>01</v>
      </c>
      <c r="G29" s="2200" t="str">
        <f t="shared" si="3"/>
        <v>37120</v>
      </c>
      <c r="H29" s="2200">
        <f>--SUBTOTAL(3,C$2:C29)</f>
        <v>0</v>
      </c>
    </row>
    <row r="30" spans="1:8" hidden="1" x14ac:dyDescent="0.15">
      <c r="A30" s="2200" t="s">
        <v>1884</v>
      </c>
      <c r="B30" s="2200" t="s">
        <v>1937</v>
      </c>
      <c r="C30" s="2200" t="s">
        <v>1938</v>
      </c>
      <c r="D30" s="2200" t="str">
        <f t="shared" si="0"/>
        <v>AL</v>
      </c>
      <c r="E30" s="2200">
        <f t="shared" si="1"/>
        <v>11</v>
      </c>
      <c r="F30" s="2200" t="str">
        <f t="shared" si="2"/>
        <v>01</v>
      </c>
      <c r="G30" s="2200" t="str">
        <f t="shared" si="3"/>
        <v>42460</v>
      </c>
      <c r="H30" s="2200">
        <f>--SUBTOTAL(3,C$2:C30)</f>
        <v>0</v>
      </c>
    </row>
    <row r="31" spans="1:8" hidden="1" x14ac:dyDescent="0.15">
      <c r="A31" s="2200" t="s">
        <v>1884</v>
      </c>
      <c r="B31" s="2200" t="s">
        <v>1939</v>
      </c>
      <c r="C31" s="2200" t="s">
        <v>1940</v>
      </c>
      <c r="D31" s="2200" t="str">
        <f t="shared" si="0"/>
        <v>AL</v>
      </c>
      <c r="E31" s="2200">
        <f t="shared" si="1"/>
        <v>6</v>
      </c>
      <c r="F31" s="2200" t="str">
        <f t="shared" si="2"/>
        <v>01</v>
      </c>
      <c r="G31" s="2200" t="str">
        <f t="shared" si="3"/>
        <v>42820</v>
      </c>
      <c r="H31" s="2200">
        <f>--SUBTOTAL(3,C$2:C31)</f>
        <v>0</v>
      </c>
    </row>
    <row r="32" spans="1:8" hidden="1" x14ac:dyDescent="0.15">
      <c r="A32" s="2200" t="s">
        <v>1884</v>
      </c>
      <c r="B32" s="2200" t="s">
        <v>1941</v>
      </c>
      <c r="C32" s="2200" t="s">
        <v>1942</v>
      </c>
      <c r="D32" s="2200" t="str">
        <f t="shared" si="0"/>
        <v>AL</v>
      </c>
      <c r="E32" s="2200">
        <f t="shared" si="1"/>
        <v>20</v>
      </c>
      <c r="F32" s="2200" t="str">
        <f t="shared" si="2"/>
        <v>01</v>
      </c>
      <c r="G32" s="2200" t="str">
        <f t="shared" si="3"/>
        <v>45180</v>
      </c>
      <c r="H32" s="2200">
        <f>--SUBTOTAL(3,C$2:C32)</f>
        <v>0</v>
      </c>
    </row>
    <row r="33" spans="1:8" hidden="1" x14ac:dyDescent="0.15">
      <c r="A33" s="2200" t="s">
        <v>1884</v>
      </c>
      <c r="B33" s="2200" t="s">
        <v>1943</v>
      </c>
      <c r="C33" s="2200" t="s">
        <v>1944</v>
      </c>
      <c r="D33" s="2200" t="str">
        <f t="shared" si="0"/>
        <v>AL</v>
      </c>
      <c r="E33" s="2200">
        <f t="shared" si="1"/>
        <v>5</v>
      </c>
      <c r="F33" s="2200" t="str">
        <f t="shared" si="2"/>
        <v>01</v>
      </c>
      <c r="G33" s="2200" t="str">
        <f t="shared" si="3"/>
        <v>45980</v>
      </c>
      <c r="H33" s="2200">
        <f>--SUBTOTAL(3,C$2:C33)</f>
        <v>0</v>
      </c>
    </row>
    <row r="34" spans="1:8" hidden="1" x14ac:dyDescent="0.15">
      <c r="A34" s="2200" t="s">
        <v>1878</v>
      </c>
      <c r="B34" s="2200" t="s">
        <v>1945</v>
      </c>
      <c r="C34" s="2200" t="s">
        <v>1946</v>
      </c>
      <c r="D34" s="2200" t="str">
        <f t="shared" si="0"/>
        <v>AL</v>
      </c>
      <c r="E34" s="2200">
        <f t="shared" si="1"/>
        <v>11</v>
      </c>
      <c r="F34" s="2200" t="str">
        <f t="shared" si="2"/>
        <v>01</v>
      </c>
      <c r="G34" s="2200" t="str">
        <f t="shared" si="3"/>
        <v>46220</v>
      </c>
      <c r="H34" s="2200">
        <f>--SUBTOTAL(3,C$2:C34)</f>
        <v>0</v>
      </c>
    </row>
    <row r="35" spans="1:8" hidden="1" x14ac:dyDescent="0.15">
      <c r="A35" s="2200" t="s">
        <v>1884</v>
      </c>
      <c r="B35" s="2200" t="s">
        <v>1947</v>
      </c>
      <c r="C35" s="2200" t="s">
        <v>1948</v>
      </c>
      <c r="D35" s="2200" t="str">
        <f t="shared" si="0"/>
        <v>AL</v>
      </c>
      <c r="E35" s="2200">
        <f t="shared" si="1"/>
        <v>7</v>
      </c>
      <c r="F35" s="2200" t="str">
        <f t="shared" si="2"/>
        <v>01</v>
      </c>
      <c r="G35" s="2200" t="str">
        <f t="shared" si="3"/>
        <v>46740</v>
      </c>
      <c r="H35" s="2200">
        <f>--SUBTOTAL(3,C$2:C35)</f>
        <v>0</v>
      </c>
    </row>
    <row r="36" spans="1:8" hidden="1" x14ac:dyDescent="0.15">
      <c r="A36" s="2200" t="s">
        <v>1884</v>
      </c>
      <c r="B36" s="2200" t="s">
        <v>1949</v>
      </c>
      <c r="C36" s="2200" t="s">
        <v>1950</v>
      </c>
      <c r="D36" s="2200" t="str">
        <f t="shared" si="0"/>
        <v>AR</v>
      </c>
      <c r="E36" s="2200">
        <f t="shared" si="1"/>
        <v>12</v>
      </c>
      <c r="F36" s="2200" t="str">
        <f t="shared" si="2"/>
        <v>05</v>
      </c>
      <c r="G36" s="2200" t="str">
        <f t="shared" si="3"/>
        <v>11660</v>
      </c>
      <c r="H36" s="2200">
        <f>--SUBTOTAL(3,C$2:C36)</f>
        <v>0</v>
      </c>
    </row>
    <row r="37" spans="1:8" hidden="1" x14ac:dyDescent="0.15">
      <c r="A37" s="2200" t="s">
        <v>1884</v>
      </c>
      <c r="B37" s="2200" t="s">
        <v>1952</v>
      </c>
      <c r="C37" s="2200" t="s">
        <v>1953</v>
      </c>
      <c r="D37" s="2200" t="str">
        <f t="shared" si="0"/>
        <v>AR</v>
      </c>
      <c r="E37" s="2200">
        <f t="shared" si="1"/>
        <v>11</v>
      </c>
      <c r="F37" s="2200" t="str">
        <f t="shared" si="2"/>
        <v>05</v>
      </c>
      <c r="G37" s="2200" t="str">
        <f t="shared" si="3"/>
        <v>12900</v>
      </c>
      <c r="H37" s="2200">
        <f>--SUBTOTAL(3,C$2:C37)</f>
        <v>0</v>
      </c>
    </row>
    <row r="38" spans="1:8" hidden="1" x14ac:dyDescent="0.15">
      <c r="A38" s="2200" t="s">
        <v>1884</v>
      </c>
      <c r="B38" s="2200" t="s">
        <v>1954</v>
      </c>
      <c r="C38" s="2200" t="s">
        <v>1955</v>
      </c>
      <c r="D38" s="2200" t="str">
        <f t="shared" si="0"/>
        <v>AR</v>
      </c>
      <c r="E38" s="2200">
        <f t="shared" si="1"/>
        <v>12</v>
      </c>
      <c r="F38" s="2200" t="str">
        <f t="shared" si="2"/>
        <v>05</v>
      </c>
      <c r="G38" s="2200" t="str">
        <f t="shared" si="3"/>
        <v>14180</v>
      </c>
      <c r="H38" s="2200">
        <f>--SUBTOTAL(3,C$2:C38)</f>
        <v>0</v>
      </c>
    </row>
    <row r="39" spans="1:8" hidden="1" x14ac:dyDescent="0.15">
      <c r="A39" s="2200" t="s">
        <v>1884</v>
      </c>
      <c r="B39" s="2200" t="s">
        <v>1956</v>
      </c>
      <c r="C39" s="2200" t="s">
        <v>1957</v>
      </c>
      <c r="D39" s="2200" t="str">
        <f t="shared" si="0"/>
        <v>AR</v>
      </c>
      <c r="E39" s="2200">
        <f t="shared" si="1"/>
        <v>7</v>
      </c>
      <c r="F39" s="2200" t="str">
        <f t="shared" si="2"/>
        <v>05</v>
      </c>
      <c r="G39" s="2200" t="str">
        <f t="shared" si="3"/>
        <v>15780</v>
      </c>
      <c r="H39" s="2200">
        <f>--SUBTOTAL(3,C$2:C39)</f>
        <v>0</v>
      </c>
    </row>
    <row r="40" spans="1:8" hidden="1" x14ac:dyDescent="0.15">
      <c r="A40" s="2200" t="s">
        <v>1884</v>
      </c>
      <c r="B40" s="2200" t="s">
        <v>1958</v>
      </c>
      <c r="C40" s="2200" t="s">
        <v>1959</v>
      </c>
      <c r="D40" s="2200" t="str">
        <f t="shared" si="0"/>
        <v>AR</v>
      </c>
      <c r="E40" s="2200">
        <f t="shared" si="1"/>
        <v>10</v>
      </c>
      <c r="F40" s="2200" t="str">
        <f t="shared" si="2"/>
        <v>05</v>
      </c>
      <c r="G40" s="2200" t="str">
        <f t="shared" si="3"/>
        <v>20980</v>
      </c>
      <c r="H40" s="2200">
        <f>--SUBTOTAL(3,C$2:C40)</f>
        <v>0</v>
      </c>
    </row>
    <row r="41" spans="1:8" hidden="1" x14ac:dyDescent="0.15">
      <c r="A41" s="2200" t="s">
        <v>1878</v>
      </c>
      <c r="B41" s="2200" t="s">
        <v>1960</v>
      </c>
      <c r="C41" s="2200" t="s">
        <v>1961</v>
      </c>
      <c r="D41" s="2200" t="str">
        <f t="shared" si="0"/>
        <v>AR</v>
      </c>
      <c r="E41" s="2200">
        <f t="shared" si="1"/>
        <v>31</v>
      </c>
      <c r="F41" s="2200" t="str">
        <f t="shared" si="2"/>
        <v>05</v>
      </c>
      <c r="G41" s="2200" t="str">
        <f t="shared" si="3"/>
        <v>22220</v>
      </c>
      <c r="H41" s="2200">
        <f>--SUBTOTAL(3,C$2:C41)</f>
        <v>0</v>
      </c>
    </row>
    <row r="42" spans="1:8" hidden="1" x14ac:dyDescent="0.15">
      <c r="A42" s="2200" t="s">
        <v>1884</v>
      </c>
      <c r="B42" s="2200" t="s">
        <v>1962</v>
      </c>
      <c r="C42" s="2200" t="s">
        <v>1963</v>
      </c>
      <c r="D42" s="2200" t="str">
        <f t="shared" si="0"/>
        <v>AR</v>
      </c>
      <c r="E42" s="2200">
        <f t="shared" si="1"/>
        <v>13</v>
      </c>
      <c r="F42" s="2200" t="str">
        <f t="shared" si="2"/>
        <v>05</v>
      </c>
      <c r="G42" s="2200" t="str">
        <f t="shared" si="3"/>
        <v>22620</v>
      </c>
      <c r="H42" s="2200">
        <f>--SUBTOTAL(3,C$2:C42)</f>
        <v>0</v>
      </c>
    </row>
    <row r="43" spans="1:8" hidden="1" x14ac:dyDescent="0.15">
      <c r="A43" s="2200" t="s">
        <v>1878</v>
      </c>
      <c r="B43" s="2200" t="s">
        <v>1964</v>
      </c>
      <c r="C43" s="2200" t="s">
        <v>1965</v>
      </c>
      <c r="D43" s="2200" t="str">
        <f t="shared" si="0"/>
        <v>AR</v>
      </c>
      <c r="E43" s="2200">
        <f t="shared" si="1"/>
        <v>11</v>
      </c>
      <c r="F43" s="2200" t="str">
        <f t="shared" si="2"/>
        <v>05</v>
      </c>
      <c r="G43" s="2200" t="str">
        <f t="shared" si="3"/>
        <v>22900</v>
      </c>
      <c r="H43" s="2200">
        <f>--SUBTOTAL(3,C$2:C43)</f>
        <v>0</v>
      </c>
    </row>
    <row r="44" spans="1:8" hidden="1" x14ac:dyDescent="0.15">
      <c r="A44" s="2200" t="s">
        <v>1884</v>
      </c>
      <c r="B44" s="2200" t="s">
        <v>1966</v>
      </c>
      <c r="C44" s="2200" t="s">
        <v>1967</v>
      </c>
      <c r="D44" s="2200" t="str">
        <f t="shared" si="0"/>
        <v>AR</v>
      </c>
      <c r="E44" s="2200">
        <f t="shared" si="1"/>
        <v>9</v>
      </c>
      <c r="F44" s="2200" t="str">
        <f t="shared" si="2"/>
        <v>05</v>
      </c>
      <c r="G44" s="2200" t="str">
        <f t="shared" si="3"/>
        <v>25460</v>
      </c>
      <c r="H44" s="2200">
        <f>--SUBTOTAL(3,C$2:C44)</f>
        <v>0</v>
      </c>
    </row>
    <row r="45" spans="1:8" hidden="1" x14ac:dyDescent="0.15">
      <c r="A45" s="2200" t="s">
        <v>1884</v>
      </c>
      <c r="B45" s="2200" t="s">
        <v>1968</v>
      </c>
      <c r="C45" s="2200" t="s">
        <v>1969</v>
      </c>
      <c r="D45" s="2200" t="str">
        <f t="shared" si="0"/>
        <v>AR</v>
      </c>
      <c r="E45" s="2200">
        <f t="shared" si="1"/>
        <v>19</v>
      </c>
      <c r="F45" s="2200" t="str">
        <f t="shared" si="2"/>
        <v>05</v>
      </c>
      <c r="G45" s="2200" t="str">
        <f t="shared" si="3"/>
        <v>25760</v>
      </c>
      <c r="H45" s="2200">
        <f>--SUBTOTAL(3,C$2:C45)</f>
        <v>0</v>
      </c>
    </row>
    <row r="46" spans="1:8" hidden="1" x14ac:dyDescent="0.15">
      <c r="A46" s="2200" t="s">
        <v>1884</v>
      </c>
      <c r="B46" s="2200" t="s">
        <v>1970</v>
      </c>
      <c r="C46" s="2200" t="s">
        <v>1971</v>
      </c>
      <c r="D46" s="2200" t="str">
        <f t="shared" si="0"/>
        <v>AR</v>
      </c>
      <c r="E46" s="2200">
        <f t="shared" si="1"/>
        <v>5</v>
      </c>
      <c r="F46" s="2200" t="str">
        <f t="shared" si="2"/>
        <v>05</v>
      </c>
      <c r="G46" s="2200" t="str">
        <f t="shared" si="3"/>
        <v>26260</v>
      </c>
      <c r="H46" s="2200">
        <f>--SUBTOTAL(3,C$2:C46)</f>
        <v>0</v>
      </c>
    </row>
    <row r="47" spans="1:8" hidden="1" x14ac:dyDescent="0.15">
      <c r="A47" s="2200" t="s">
        <v>1878</v>
      </c>
      <c r="B47" s="2200" t="s">
        <v>1972</v>
      </c>
      <c r="C47" s="2200" t="s">
        <v>1973</v>
      </c>
      <c r="D47" s="2200" t="str">
        <f t="shared" si="0"/>
        <v>AR</v>
      </c>
      <c r="E47" s="2200">
        <f t="shared" si="1"/>
        <v>12</v>
      </c>
      <c r="F47" s="2200" t="str">
        <f t="shared" si="2"/>
        <v>05</v>
      </c>
      <c r="G47" s="2200" t="str">
        <f t="shared" si="3"/>
        <v>26300</v>
      </c>
      <c r="H47" s="2200">
        <f>--SUBTOTAL(3,C$2:C47)</f>
        <v>0</v>
      </c>
    </row>
    <row r="48" spans="1:8" hidden="1" x14ac:dyDescent="0.15">
      <c r="A48" s="2200" t="s">
        <v>1902</v>
      </c>
      <c r="B48" s="2200" t="s">
        <v>1974</v>
      </c>
      <c r="C48" s="2200" t="s">
        <v>1975</v>
      </c>
      <c r="D48" s="2200" t="str">
        <f t="shared" si="0"/>
        <v>AR</v>
      </c>
      <c r="E48" s="2200">
        <f t="shared" si="1"/>
        <v>20</v>
      </c>
      <c r="F48" s="2200" t="str">
        <f t="shared" si="2"/>
        <v>05</v>
      </c>
      <c r="G48" s="2200" t="str">
        <f t="shared" si="3"/>
        <v>28400</v>
      </c>
      <c r="H48" s="2200">
        <f>--SUBTOTAL(3,C$2:C48)</f>
        <v>0</v>
      </c>
    </row>
    <row r="49" spans="1:8" hidden="1" x14ac:dyDescent="0.15">
      <c r="A49" s="2200" t="s">
        <v>1878</v>
      </c>
      <c r="B49" s="2200" t="s">
        <v>1976</v>
      </c>
      <c r="C49" s="2200" t="s">
        <v>1977</v>
      </c>
      <c r="D49" s="2200" t="str">
        <f t="shared" si="0"/>
        <v>AR</v>
      </c>
      <c r="E49" s="2200">
        <f t="shared" si="1"/>
        <v>10</v>
      </c>
      <c r="F49" s="2200" t="str">
        <f t="shared" si="2"/>
        <v>05</v>
      </c>
      <c r="G49" s="2200" t="str">
        <f t="shared" si="3"/>
        <v>27860</v>
      </c>
      <c r="H49" s="2200">
        <f>--SUBTOTAL(3,C$2:C49)</f>
        <v>0</v>
      </c>
    </row>
    <row r="50" spans="1:8" hidden="1" x14ac:dyDescent="0.15">
      <c r="A50" s="2200" t="s">
        <v>1902</v>
      </c>
      <c r="B50" s="2200" t="s">
        <v>1978</v>
      </c>
      <c r="C50" s="2200" t="s">
        <v>1979</v>
      </c>
      <c r="D50" s="2200" t="str">
        <f t="shared" si="0"/>
        <v>AR</v>
      </c>
      <c r="E50" s="2200">
        <f t="shared" si="1"/>
        <v>20</v>
      </c>
      <c r="F50" s="2200" t="str">
        <f t="shared" si="2"/>
        <v>05</v>
      </c>
      <c r="G50" s="2200" t="str">
        <f t="shared" si="3"/>
        <v>30800</v>
      </c>
      <c r="H50" s="2200">
        <f>--SUBTOTAL(3,C$2:C50)</f>
        <v>0</v>
      </c>
    </row>
    <row r="51" spans="1:8" hidden="1" x14ac:dyDescent="0.15">
      <c r="A51" s="2200" t="s">
        <v>1902</v>
      </c>
      <c r="B51" s="2200" t="s">
        <v>1980</v>
      </c>
      <c r="C51" s="2200" t="s">
        <v>1981</v>
      </c>
      <c r="D51" s="2200" t="str">
        <f t="shared" si="0"/>
        <v>AR</v>
      </c>
      <c r="E51" s="2200">
        <f t="shared" si="1"/>
        <v>30</v>
      </c>
      <c r="F51" s="2200" t="str">
        <f t="shared" si="2"/>
        <v>05</v>
      </c>
      <c r="G51" s="2200" t="str">
        <f t="shared" si="3"/>
        <v>34000</v>
      </c>
      <c r="H51" s="2200">
        <f>--SUBTOTAL(3,C$2:C51)</f>
        <v>0</v>
      </c>
    </row>
    <row r="52" spans="1:8" hidden="1" x14ac:dyDescent="0.15">
      <c r="A52" s="2200" t="s">
        <v>1878</v>
      </c>
      <c r="B52" s="2200" t="s">
        <v>1982</v>
      </c>
      <c r="C52" s="2200" t="s">
        <v>1983</v>
      </c>
      <c r="D52" s="2200" t="str">
        <f t="shared" si="0"/>
        <v>AR</v>
      </c>
      <c r="E52" s="2200">
        <f t="shared" si="1"/>
        <v>37</v>
      </c>
      <c r="F52" s="2200" t="str">
        <f t="shared" si="2"/>
        <v>05</v>
      </c>
      <c r="G52" s="2200" t="str">
        <f t="shared" si="3"/>
        <v>30780</v>
      </c>
      <c r="H52" s="2200">
        <f>--SUBTOTAL(3,C$2:C52)</f>
        <v>0</v>
      </c>
    </row>
    <row r="53" spans="1:8" hidden="1" x14ac:dyDescent="0.15">
      <c r="A53" s="2200" t="s">
        <v>1884</v>
      </c>
      <c r="B53" s="2200" t="s">
        <v>1984</v>
      </c>
      <c r="C53" s="2200" t="s">
        <v>1985</v>
      </c>
      <c r="D53" s="2200" t="str">
        <f t="shared" si="0"/>
        <v>AR</v>
      </c>
      <c r="E53" s="2200">
        <f t="shared" si="1"/>
        <v>9</v>
      </c>
      <c r="F53" s="2200" t="str">
        <f t="shared" si="2"/>
        <v>05</v>
      </c>
      <c r="G53" s="2200" t="str">
        <f t="shared" si="3"/>
        <v>31620</v>
      </c>
      <c r="H53" s="2200">
        <f>--SUBTOTAL(3,C$2:C53)</f>
        <v>0</v>
      </c>
    </row>
    <row r="54" spans="1:8" hidden="1" x14ac:dyDescent="0.15">
      <c r="A54" s="2200" t="s">
        <v>1884</v>
      </c>
      <c r="B54" s="2200" t="s">
        <v>1986</v>
      </c>
      <c r="C54" s="2200" t="s">
        <v>1987</v>
      </c>
      <c r="D54" s="2200" t="str">
        <f t="shared" si="0"/>
        <v>AR</v>
      </c>
      <c r="E54" s="2200">
        <f t="shared" si="1"/>
        <v>8</v>
      </c>
      <c r="F54" s="2200" t="str">
        <f t="shared" si="2"/>
        <v>05</v>
      </c>
      <c r="G54" s="2200" t="str">
        <f t="shared" si="3"/>
        <v>31680</v>
      </c>
      <c r="H54" s="2200">
        <f>--SUBTOTAL(3,C$2:C54)</f>
        <v>0</v>
      </c>
    </row>
    <row r="55" spans="1:8" hidden="1" x14ac:dyDescent="0.15">
      <c r="A55" s="2200" t="s">
        <v>1878</v>
      </c>
      <c r="B55" s="2200" t="s">
        <v>3830</v>
      </c>
      <c r="C55" s="2200" t="s">
        <v>17891</v>
      </c>
      <c r="D55" s="2200" t="str">
        <f t="shared" si="0"/>
        <v>AR</v>
      </c>
      <c r="E55" s="2200">
        <f t="shared" si="1"/>
        <v>8</v>
      </c>
      <c r="F55" s="2200" t="str">
        <f t="shared" si="2"/>
        <v>47</v>
      </c>
      <c r="G55" s="2200" t="str">
        <f t="shared" si="3"/>
        <v>32820</v>
      </c>
      <c r="H55" s="2200">
        <f>--SUBTOTAL(3,C$2:C55)</f>
        <v>0</v>
      </c>
    </row>
    <row r="56" spans="1:8" hidden="1" x14ac:dyDescent="0.15">
      <c r="A56" s="2200" t="s">
        <v>1884</v>
      </c>
      <c r="B56" s="2200" t="s">
        <v>1988</v>
      </c>
      <c r="C56" s="2200" t="s">
        <v>1989</v>
      </c>
      <c r="D56" s="2200" t="str">
        <f t="shared" si="0"/>
        <v>AR</v>
      </c>
      <c r="E56" s="2200">
        <f t="shared" si="1"/>
        <v>14</v>
      </c>
      <c r="F56" s="2200" t="str">
        <f t="shared" si="2"/>
        <v>05</v>
      </c>
      <c r="G56" s="2200" t="str">
        <f t="shared" si="3"/>
        <v>34260</v>
      </c>
      <c r="H56" s="2200">
        <f>--SUBTOTAL(3,C$2:C56)</f>
        <v>0</v>
      </c>
    </row>
    <row r="57" spans="1:8" hidden="1" x14ac:dyDescent="0.15">
      <c r="A57" s="2200" t="s">
        <v>1884</v>
      </c>
      <c r="B57" s="2200" t="s">
        <v>1990</v>
      </c>
      <c r="C57" s="2200" t="s">
        <v>1991</v>
      </c>
      <c r="D57" s="2200" t="str">
        <f t="shared" si="0"/>
        <v>AR</v>
      </c>
      <c r="E57" s="2200">
        <f t="shared" si="1"/>
        <v>10</v>
      </c>
      <c r="F57" s="2200" t="str">
        <f t="shared" si="2"/>
        <v>05</v>
      </c>
      <c r="G57" s="2200" t="str">
        <f t="shared" si="3"/>
        <v>37500</v>
      </c>
      <c r="H57" s="2200">
        <f>--SUBTOTAL(3,C$2:C57)</f>
        <v>0</v>
      </c>
    </row>
    <row r="58" spans="1:8" hidden="1" x14ac:dyDescent="0.15">
      <c r="A58" s="2200" t="s">
        <v>1878</v>
      </c>
      <c r="B58" s="2200" t="s">
        <v>1992</v>
      </c>
      <c r="C58" s="2200" t="s">
        <v>1993</v>
      </c>
      <c r="D58" s="2200" t="str">
        <f t="shared" si="0"/>
        <v>AR</v>
      </c>
      <c r="E58" s="2200">
        <f t="shared" si="1"/>
        <v>11</v>
      </c>
      <c r="F58" s="2200" t="str">
        <f t="shared" si="2"/>
        <v>05</v>
      </c>
      <c r="G58" s="2200" t="str">
        <f t="shared" si="3"/>
        <v>38220</v>
      </c>
      <c r="H58" s="2200">
        <f>--SUBTOTAL(3,C$2:C58)</f>
        <v>0</v>
      </c>
    </row>
    <row r="59" spans="1:8" hidden="1" x14ac:dyDescent="0.15">
      <c r="A59" s="2200" t="s">
        <v>1884</v>
      </c>
      <c r="B59" s="2200" t="s">
        <v>1994</v>
      </c>
      <c r="C59" s="2200" t="s">
        <v>1995</v>
      </c>
      <c r="D59" s="2200" t="str">
        <f t="shared" si="0"/>
        <v>AR</v>
      </c>
      <c r="E59" s="2200">
        <f t="shared" si="1"/>
        <v>13</v>
      </c>
      <c r="F59" s="2200" t="str">
        <f t="shared" si="2"/>
        <v>05</v>
      </c>
      <c r="G59" s="2200" t="str">
        <f t="shared" si="3"/>
        <v>40780</v>
      </c>
      <c r="H59" s="2200">
        <f>--SUBTOTAL(3,C$2:C59)</f>
        <v>0</v>
      </c>
    </row>
    <row r="60" spans="1:8" hidden="1" x14ac:dyDescent="0.15">
      <c r="A60" s="2200" t="s">
        <v>1884</v>
      </c>
      <c r="B60" s="2200" t="s">
        <v>1996</v>
      </c>
      <c r="C60" s="2200" t="s">
        <v>1997</v>
      </c>
      <c r="D60" s="2200" t="str">
        <f t="shared" si="0"/>
        <v>AR</v>
      </c>
      <c r="E60" s="2200">
        <f t="shared" si="1"/>
        <v>7</v>
      </c>
      <c r="F60" s="2200" t="str">
        <f t="shared" si="2"/>
        <v>05</v>
      </c>
      <c r="G60" s="2200" t="str">
        <f t="shared" si="3"/>
        <v>42620</v>
      </c>
      <c r="H60" s="2200">
        <f>--SUBTOTAL(3,C$2:C60)</f>
        <v>0</v>
      </c>
    </row>
    <row r="61" spans="1:8" hidden="1" x14ac:dyDescent="0.15">
      <c r="A61" s="2200" t="s">
        <v>1878</v>
      </c>
      <c r="B61" s="2200" t="s">
        <v>4001</v>
      </c>
      <c r="C61" s="2200" t="s">
        <v>17892</v>
      </c>
      <c r="D61" s="2200" t="str">
        <f t="shared" si="0"/>
        <v>AR</v>
      </c>
      <c r="E61" s="2200">
        <f t="shared" si="1"/>
        <v>10</v>
      </c>
      <c r="F61" s="2200" t="str">
        <f t="shared" si="2"/>
        <v>48</v>
      </c>
      <c r="G61" s="2200" t="str">
        <f t="shared" si="3"/>
        <v>45500</v>
      </c>
      <c r="H61" s="2200">
        <f>--SUBTOTAL(3,C$2:C61)</f>
        <v>0</v>
      </c>
    </row>
    <row r="62" spans="1:8" hidden="1" x14ac:dyDescent="0.15">
      <c r="A62" s="2200" t="s">
        <v>1878</v>
      </c>
      <c r="B62" s="2200" t="s">
        <v>1998</v>
      </c>
      <c r="C62" s="2200" t="s">
        <v>1999</v>
      </c>
      <c r="D62" s="2200" t="str">
        <f t="shared" si="0"/>
        <v>AZ</v>
      </c>
      <c r="E62" s="2200">
        <f t="shared" si="1"/>
        <v>10</v>
      </c>
      <c r="F62" s="2200" t="str">
        <f t="shared" si="2"/>
        <v>04</v>
      </c>
      <c r="G62" s="2200" t="str">
        <f t="shared" si="3"/>
        <v>22380</v>
      </c>
      <c r="H62" s="2200">
        <f>--SUBTOTAL(3,C$2:C62)</f>
        <v>0</v>
      </c>
    </row>
    <row r="63" spans="1:8" hidden="1" x14ac:dyDescent="0.15">
      <c r="A63" s="2200" t="s">
        <v>1878</v>
      </c>
      <c r="B63" s="2200" t="s">
        <v>2001</v>
      </c>
      <c r="C63" s="2200" t="s">
        <v>2002</v>
      </c>
      <c r="D63" s="2200" t="str">
        <f t="shared" si="0"/>
        <v>AZ</v>
      </c>
      <c r="E63" s="2200">
        <f t="shared" si="1"/>
        <v>25</v>
      </c>
      <c r="F63" s="2200" t="str">
        <f t="shared" si="2"/>
        <v>04</v>
      </c>
      <c r="G63" s="2200" t="str">
        <f t="shared" si="3"/>
        <v>29420</v>
      </c>
      <c r="H63" s="2200">
        <f>--SUBTOTAL(3,C$2:C63)</f>
        <v>0</v>
      </c>
    </row>
    <row r="64" spans="1:8" hidden="1" x14ac:dyDescent="0.15">
      <c r="A64" s="2200" t="s">
        <v>1884</v>
      </c>
      <c r="B64" s="2200" t="s">
        <v>2003</v>
      </c>
      <c r="C64" s="2200" t="s">
        <v>2004</v>
      </c>
      <c r="D64" s="2200" t="str">
        <f t="shared" si="0"/>
        <v>AZ</v>
      </c>
      <c r="E64" s="2200">
        <f t="shared" si="1"/>
        <v>8</v>
      </c>
      <c r="F64" s="2200" t="str">
        <f t="shared" si="2"/>
        <v>04</v>
      </c>
      <c r="G64" s="2200" t="str">
        <f t="shared" si="3"/>
        <v>35700</v>
      </c>
      <c r="H64" s="2200">
        <f>--SUBTOTAL(3,C$2:C64)</f>
        <v>0</v>
      </c>
    </row>
    <row r="65" spans="1:8" hidden="1" x14ac:dyDescent="0.15">
      <c r="A65" s="2200" t="s">
        <v>1884</v>
      </c>
      <c r="B65" s="2200" t="s">
        <v>2005</v>
      </c>
      <c r="C65" s="2200" t="s">
        <v>2006</v>
      </c>
      <c r="D65" s="2200" t="str">
        <f t="shared" si="0"/>
        <v>AZ</v>
      </c>
      <c r="E65" s="2200">
        <f t="shared" si="1"/>
        <v>7</v>
      </c>
      <c r="F65" s="2200" t="str">
        <f t="shared" si="2"/>
        <v>04</v>
      </c>
      <c r="G65" s="2200" t="str">
        <f t="shared" si="3"/>
        <v>37740</v>
      </c>
      <c r="H65" s="2200">
        <f>--SUBTOTAL(3,C$2:C65)</f>
        <v>0</v>
      </c>
    </row>
    <row r="66" spans="1:8" hidden="1" x14ac:dyDescent="0.15">
      <c r="A66" s="2200" t="s">
        <v>1878</v>
      </c>
      <c r="B66" s="2200" t="s">
        <v>2007</v>
      </c>
      <c r="C66" s="2200" t="s">
        <v>2008</v>
      </c>
      <c r="D66" s="2200" t="str">
        <f t="shared" si="0"/>
        <v>AZ</v>
      </c>
      <c r="E66" s="2200">
        <f t="shared" si="1"/>
        <v>24</v>
      </c>
      <c r="F66" s="2200" t="str">
        <f t="shared" si="2"/>
        <v>04</v>
      </c>
      <c r="G66" s="2200" t="str">
        <f t="shared" si="3"/>
        <v>38060</v>
      </c>
      <c r="H66" s="2200">
        <f>--SUBTOTAL(3,C$2:C66)</f>
        <v>0</v>
      </c>
    </row>
    <row r="67" spans="1:8" hidden="1" x14ac:dyDescent="0.15">
      <c r="A67" s="2200" t="s">
        <v>1878</v>
      </c>
      <c r="B67" s="2200" t="s">
        <v>2009</v>
      </c>
      <c r="C67" s="2200" t="s">
        <v>2010</v>
      </c>
      <c r="D67" s="2200" t="str">
        <f t="shared" si="0"/>
        <v>AZ</v>
      </c>
      <c r="E67" s="2200">
        <f t="shared" si="1"/>
        <v>9</v>
      </c>
      <c r="F67" s="2200" t="str">
        <f t="shared" si="2"/>
        <v>04</v>
      </c>
      <c r="G67" s="2200" t="str">
        <f t="shared" si="3"/>
        <v>39140</v>
      </c>
      <c r="H67" s="2200">
        <f>--SUBTOTAL(3,C$2:C67)</f>
        <v>0</v>
      </c>
    </row>
    <row r="68" spans="1:8" hidden="1" x14ac:dyDescent="0.15">
      <c r="A68" s="2200" t="s">
        <v>1884</v>
      </c>
      <c r="B68" s="2200" t="s">
        <v>2011</v>
      </c>
      <c r="C68" s="2200" t="s">
        <v>2012</v>
      </c>
      <c r="D68" s="2200" t="str">
        <f t="shared" si="0"/>
        <v>AZ</v>
      </c>
      <c r="E68" s="2200">
        <f t="shared" si="1"/>
        <v>8</v>
      </c>
      <c r="F68" s="2200" t="str">
        <f t="shared" si="2"/>
        <v>04</v>
      </c>
      <c r="G68" s="2200" t="str">
        <f t="shared" si="3"/>
        <v>40940</v>
      </c>
      <c r="H68" s="2200">
        <f>--SUBTOTAL(3,C$2:C68)</f>
        <v>0</v>
      </c>
    </row>
    <row r="69" spans="1:8" hidden="1" x14ac:dyDescent="0.15">
      <c r="A69" s="2200" t="s">
        <v>1884</v>
      </c>
      <c r="B69" s="2200" t="s">
        <v>2013</v>
      </c>
      <c r="C69" s="2200" t="s">
        <v>2014</v>
      </c>
      <c r="D69" s="2200" t="str">
        <f t="shared" si="0"/>
        <v>AZ</v>
      </c>
      <c r="E69" s="2200">
        <f t="shared" si="1"/>
        <v>9</v>
      </c>
      <c r="F69" s="2200" t="str">
        <f t="shared" si="2"/>
        <v>04</v>
      </c>
      <c r="G69" s="2200" t="str">
        <f t="shared" si="3"/>
        <v>43320</v>
      </c>
      <c r="H69" s="2200">
        <f>--SUBTOTAL(3,C$2:C69)</f>
        <v>0</v>
      </c>
    </row>
    <row r="70" spans="1:8" hidden="1" x14ac:dyDescent="0.15">
      <c r="A70" s="2200" t="s">
        <v>1878</v>
      </c>
      <c r="B70" s="2200" t="s">
        <v>2015</v>
      </c>
      <c r="C70" s="2200" t="s">
        <v>2016</v>
      </c>
      <c r="D70" s="2200" t="str">
        <f t="shared" ref="D70:D133" si="4">MID(C70,E70+2,2)</f>
        <v>AZ</v>
      </c>
      <c r="E70" s="2200">
        <f t="shared" ref="E70:E133" si="5">FIND(",",C70)</f>
        <v>21</v>
      </c>
      <c r="F70" s="2200" t="str">
        <f t="shared" ref="F70:F133" si="6">MID(B70,3,2)</f>
        <v>04</v>
      </c>
      <c r="G70" s="2200" t="str">
        <f t="shared" ref="G70:G133" si="7">MID(B70,5,5)</f>
        <v>43420</v>
      </c>
      <c r="H70" s="2200">
        <f>--SUBTOTAL(3,C$2:C70)</f>
        <v>0</v>
      </c>
    </row>
    <row r="71" spans="1:8" hidden="1" x14ac:dyDescent="0.15">
      <c r="A71" s="2200" t="s">
        <v>1878</v>
      </c>
      <c r="B71" s="2200" t="s">
        <v>2017</v>
      </c>
      <c r="C71" s="2200" t="s">
        <v>2018</v>
      </c>
      <c r="D71" s="2200" t="str">
        <f t="shared" si="4"/>
        <v>AZ</v>
      </c>
      <c r="E71" s="2200">
        <f t="shared" si="5"/>
        <v>7</v>
      </c>
      <c r="F71" s="2200" t="str">
        <f t="shared" si="6"/>
        <v>04</v>
      </c>
      <c r="G71" s="2200" t="str">
        <f t="shared" si="7"/>
        <v>46060</v>
      </c>
      <c r="H71" s="2200">
        <f>--SUBTOTAL(3,C$2:C71)</f>
        <v>0</v>
      </c>
    </row>
    <row r="72" spans="1:8" hidden="1" x14ac:dyDescent="0.15">
      <c r="A72" s="2200" t="s">
        <v>1902</v>
      </c>
      <c r="B72" s="2200" t="s">
        <v>2019</v>
      </c>
      <c r="C72" s="2200" t="s">
        <v>2020</v>
      </c>
      <c r="D72" s="2200" t="str">
        <f t="shared" si="4"/>
        <v>AZ</v>
      </c>
      <c r="E72" s="2200">
        <f t="shared" si="5"/>
        <v>15</v>
      </c>
      <c r="F72" s="2200" t="str">
        <f t="shared" si="6"/>
        <v>04</v>
      </c>
      <c r="G72" s="2200" t="str">
        <f t="shared" si="7"/>
        <v>53600</v>
      </c>
      <c r="H72" s="2200">
        <f>--SUBTOTAL(3,C$2:C72)</f>
        <v>0</v>
      </c>
    </row>
    <row r="73" spans="1:8" hidden="1" x14ac:dyDescent="0.15">
      <c r="A73" s="2200" t="s">
        <v>1878</v>
      </c>
      <c r="B73" s="2200" t="s">
        <v>2021</v>
      </c>
      <c r="C73" s="2200" t="s">
        <v>2022</v>
      </c>
      <c r="D73" s="2200" t="str">
        <f t="shared" si="4"/>
        <v>AZ</v>
      </c>
      <c r="E73" s="2200">
        <f t="shared" si="5"/>
        <v>5</v>
      </c>
      <c r="F73" s="2200" t="str">
        <f t="shared" si="6"/>
        <v>04</v>
      </c>
      <c r="G73" s="2200" t="str">
        <f t="shared" si="7"/>
        <v>49740</v>
      </c>
      <c r="H73" s="2200">
        <f>--SUBTOTAL(3,C$2:C73)</f>
        <v>0</v>
      </c>
    </row>
    <row r="74" spans="1:8" hidden="1" x14ac:dyDescent="0.15">
      <c r="A74" s="2200" t="s">
        <v>2023</v>
      </c>
      <c r="B74" s="2200" t="s">
        <v>2024</v>
      </c>
      <c r="C74" s="2200" t="s">
        <v>2025</v>
      </c>
      <c r="D74" s="2200" t="str">
        <f t="shared" si="4"/>
        <v>CA</v>
      </c>
      <c r="E74" s="2200">
        <f t="shared" si="5"/>
        <v>25</v>
      </c>
      <c r="F74" s="2200" t="str">
        <f t="shared" si="6"/>
        <v>06</v>
      </c>
      <c r="G74" s="2200" t="str">
        <f t="shared" si="7"/>
        <v>11244</v>
      </c>
      <c r="H74" s="2200">
        <f>--SUBTOTAL(3,C$2:C74)</f>
        <v>0</v>
      </c>
    </row>
    <row r="75" spans="1:8" hidden="1" x14ac:dyDescent="0.15">
      <c r="A75" s="2200" t="s">
        <v>1878</v>
      </c>
      <c r="B75" s="2200" t="s">
        <v>2027</v>
      </c>
      <c r="C75" s="2200" t="s">
        <v>2028</v>
      </c>
      <c r="D75" s="2200" t="str">
        <f t="shared" si="4"/>
        <v>CA</v>
      </c>
      <c r="E75" s="2200">
        <f t="shared" si="5"/>
        <v>12</v>
      </c>
      <c r="F75" s="2200" t="str">
        <f t="shared" si="6"/>
        <v>06</v>
      </c>
      <c r="G75" s="2200" t="str">
        <f t="shared" si="7"/>
        <v>12540</v>
      </c>
      <c r="H75" s="2200">
        <f>--SUBTOTAL(3,C$2:C75)</f>
        <v>0</v>
      </c>
    </row>
    <row r="76" spans="1:8" hidden="1" x14ac:dyDescent="0.15">
      <c r="A76" s="2200" t="s">
        <v>1878</v>
      </c>
      <c r="B76" s="2200" t="s">
        <v>2029</v>
      </c>
      <c r="C76" s="2200" t="s">
        <v>2030</v>
      </c>
      <c r="D76" s="2200" t="str">
        <f t="shared" si="4"/>
        <v>CA</v>
      </c>
      <c r="E76" s="2200">
        <f t="shared" si="5"/>
        <v>6</v>
      </c>
      <c r="F76" s="2200" t="str">
        <f t="shared" si="6"/>
        <v>06</v>
      </c>
      <c r="G76" s="2200" t="str">
        <f t="shared" si="7"/>
        <v>17020</v>
      </c>
      <c r="H76" s="2200">
        <f>--SUBTOTAL(3,C$2:C76)</f>
        <v>0</v>
      </c>
    </row>
    <row r="77" spans="1:8" hidden="1" x14ac:dyDescent="0.15">
      <c r="A77" s="2200" t="s">
        <v>1884</v>
      </c>
      <c r="B77" s="2200" t="s">
        <v>2031</v>
      </c>
      <c r="C77" s="2200" t="s">
        <v>2032</v>
      </c>
      <c r="D77" s="2200" t="str">
        <f t="shared" si="4"/>
        <v>CA</v>
      </c>
      <c r="E77" s="2200">
        <f t="shared" si="5"/>
        <v>10</v>
      </c>
      <c r="F77" s="2200" t="str">
        <f t="shared" si="6"/>
        <v>06</v>
      </c>
      <c r="G77" s="2200" t="str">
        <f t="shared" si="7"/>
        <v>17340</v>
      </c>
      <c r="H77" s="2200">
        <f>--SUBTOTAL(3,C$2:C77)</f>
        <v>0</v>
      </c>
    </row>
    <row r="78" spans="1:8" hidden="1" x14ac:dyDescent="0.15">
      <c r="A78" s="2200" t="s">
        <v>1884</v>
      </c>
      <c r="B78" s="2200" t="s">
        <v>2033</v>
      </c>
      <c r="C78" s="2200" t="s">
        <v>2034</v>
      </c>
      <c r="D78" s="2200" t="str">
        <f t="shared" si="4"/>
        <v>CA</v>
      </c>
      <c r="E78" s="2200">
        <f t="shared" si="5"/>
        <v>14</v>
      </c>
      <c r="F78" s="2200" t="str">
        <f t="shared" si="6"/>
        <v>06</v>
      </c>
      <c r="G78" s="2200" t="str">
        <f t="shared" si="7"/>
        <v>18860</v>
      </c>
      <c r="H78" s="2200">
        <f>--SUBTOTAL(3,C$2:C78)</f>
        <v>0</v>
      </c>
    </row>
    <row r="79" spans="1:8" hidden="1" x14ac:dyDescent="0.15">
      <c r="A79" s="2200" t="s">
        <v>1878</v>
      </c>
      <c r="B79" s="2200" t="s">
        <v>2035</v>
      </c>
      <c r="C79" s="2200" t="s">
        <v>2036</v>
      </c>
      <c r="D79" s="2200" t="str">
        <f t="shared" si="4"/>
        <v>CA</v>
      </c>
      <c r="E79" s="2200">
        <f t="shared" si="5"/>
        <v>10</v>
      </c>
      <c r="F79" s="2200" t="str">
        <f t="shared" si="6"/>
        <v>06</v>
      </c>
      <c r="G79" s="2200" t="str">
        <f t="shared" si="7"/>
        <v>20940</v>
      </c>
      <c r="H79" s="2200">
        <f>--SUBTOTAL(3,C$2:C79)</f>
        <v>0</v>
      </c>
    </row>
    <row r="80" spans="1:8" hidden="1" x14ac:dyDescent="0.15">
      <c r="A80" s="2200" t="s">
        <v>1884</v>
      </c>
      <c r="B80" s="2200" t="s">
        <v>2037</v>
      </c>
      <c r="C80" s="2200" t="s">
        <v>2038</v>
      </c>
      <c r="D80" s="2200" t="str">
        <f t="shared" si="4"/>
        <v>CA</v>
      </c>
      <c r="E80" s="2200">
        <f t="shared" si="5"/>
        <v>22</v>
      </c>
      <c r="F80" s="2200" t="str">
        <f t="shared" si="6"/>
        <v>06</v>
      </c>
      <c r="G80" s="2200" t="str">
        <f t="shared" si="7"/>
        <v>21700</v>
      </c>
      <c r="H80" s="2200">
        <f>--SUBTOTAL(3,C$2:C80)</f>
        <v>0</v>
      </c>
    </row>
    <row r="81" spans="1:8" hidden="1" x14ac:dyDescent="0.15">
      <c r="A81" s="2200" t="s">
        <v>1878</v>
      </c>
      <c r="B81" s="2200" t="s">
        <v>2039</v>
      </c>
      <c r="C81" s="2200" t="s">
        <v>2040</v>
      </c>
      <c r="D81" s="2200" t="str">
        <f t="shared" si="4"/>
        <v>CA</v>
      </c>
      <c r="E81" s="2200">
        <f t="shared" si="5"/>
        <v>7</v>
      </c>
      <c r="F81" s="2200" t="str">
        <f t="shared" si="6"/>
        <v>06</v>
      </c>
      <c r="G81" s="2200" t="str">
        <f t="shared" si="7"/>
        <v>23420</v>
      </c>
      <c r="H81" s="2200">
        <f>--SUBTOTAL(3,C$2:C81)</f>
        <v>0</v>
      </c>
    </row>
    <row r="82" spans="1:8" hidden="1" x14ac:dyDescent="0.15">
      <c r="A82" s="2200" t="s">
        <v>1902</v>
      </c>
      <c r="B82" s="2200" t="s">
        <v>2041</v>
      </c>
      <c r="C82" s="2200" t="s">
        <v>2042</v>
      </c>
      <c r="D82" s="2200" t="str">
        <f t="shared" si="4"/>
        <v>CA</v>
      </c>
      <c r="E82" s="2200">
        <f t="shared" si="5"/>
        <v>14</v>
      </c>
      <c r="F82" s="2200" t="str">
        <f t="shared" si="6"/>
        <v>06</v>
      </c>
      <c r="G82" s="2200" t="str">
        <f t="shared" si="7"/>
        <v>26000</v>
      </c>
      <c r="H82" s="2200">
        <f>--SUBTOTAL(3,C$2:C82)</f>
        <v>0</v>
      </c>
    </row>
    <row r="83" spans="1:8" hidden="1" x14ac:dyDescent="0.15">
      <c r="A83" s="2200" t="s">
        <v>1878</v>
      </c>
      <c r="B83" s="2200" t="s">
        <v>2043</v>
      </c>
      <c r="C83" s="2200" t="s">
        <v>2044</v>
      </c>
      <c r="D83" s="2200" t="str">
        <f t="shared" si="4"/>
        <v>CA</v>
      </c>
      <c r="E83" s="2200">
        <f t="shared" si="5"/>
        <v>17</v>
      </c>
      <c r="F83" s="2200" t="str">
        <f t="shared" si="6"/>
        <v>06</v>
      </c>
      <c r="G83" s="2200" t="str">
        <f t="shared" si="7"/>
        <v>25260</v>
      </c>
      <c r="H83" s="2200">
        <f>--SUBTOTAL(3,C$2:C83)</f>
        <v>0</v>
      </c>
    </row>
    <row r="84" spans="1:8" hidden="1" x14ac:dyDescent="0.15">
      <c r="A84" s="2200" t="s">
        <v>1902</v>
      </c>
      <c r="B84" s="2200" t="s">
        <v>2045</v>
      </c>
      <c r="C84" s="2200" t="s">
        <v>2046</v>
      </c>
      <c r="D84" s="2200" t="str">
        <f t="shared" si="4"/>
        <v>CA</v>
      </c>
      <c r="E84" s="2200">
        <f t="shared" si="5"/>
        <v>23</v>
      </c>
      <c r="F84" s="2200" t="str">
        <f t="shared" si="6"/>
        <v>06</v>
      </c>
      <c r="G84" s="2200" t="str">
        <f t="shared" si="7"/>
        <v>34800</v>
      </c>
      <c r="H84" s="2200">
        <f>--SUBTOTAL(3,C$2:C84)</f>
        <v>0</v>
      </c>
    </row>
    <row r="85" spans="1:8" hidden="1" x14ac:dyDescent="0.15">
      <c r="A85" s="2200" t="s">
        <v>1878</v>
      </c>
      <c r="B85" s="2200" t="s">
        <v>2047</v>
      </c>
      <c r="C85" s="2200" t="s">
        <v>2048</v>
      </c>
      <c r="D85" s="2200" t="str">
        <f t="shared" si="4"/>
        <v>CA</v>
      </c>
      <c r="E85" s="2200">
        <f t="shared" si="5"/>
        <v>31</v>
      </c>
      <c r="F85" s="2200" t="str">
        <f t="shared" si="6"/>
        <v>06</v>
      </c>
      <c r="G85" s="2200" t="str">
        <f t="shared" si="7"/>
        <v>31080</v>
      </c>
      <c r="H85" s="2200">
        <f>--SUBTOTAL(3,C$2:C85)</f>
        <v>0</v>
      </c>
    </row>
    <row r="86" spans="1:8" hidden="1" x14ac:dyDescent="0.15">
      <c r="A86" s="2200" t="s">
        <v>2023</v>
      </c>
      <c r="B86" s="2200" t="s">
        <v>2049</v>
      </c>
      <c r="C86" s="2200" t="s">
        <v>2050</v>
      </c>
      <c r="D86" s="2200" t="str">
        <f t="shared" si="4"/>
        <v>CA</v>
      </c>
      <c r="E86" s="2200">
        <f t="shared" si="5"/>
        <v>32</v>
      </c>
      <c r="F86" s="2200" t="str">
        <f t="shared" si="6"/>
        <v>06</v>
      </c>
      <c r="G86" s="2200" t="str">
        <f t="shared" si="7"/>
        <v>31084</v>
      </c>
      <c r="H86" s="2200">
        <f>--SUBTOTAL(3,C$2:C86)</f>
        <v>0</v>
      </c>
    </row>
    <row r="87" spans="1:8" hidden="1" x14ac:dyDescent="0.15">
      <c r="A87" s="2200" t="s">
        <v>1878</v>
      </c>
      <c r="B87" s="2200" t="s">
        <v>2051</v>
      </c>
      <c r="C87" s="2200" t="s">
        <v>2052</v>
      </c>
      <c r="D87" s="2200" t="str">
        <f t="shared" si="4"/>
        <v>CA</v>
      </c>
      <c r="E87" s="2200">
        <f t="shared" si="5"/>
        <v>7</v>
      </c>
      <c r="F87" s="2200" t="str">
        <f t="shared" si="6"/>
        <v>06</v>
      </c>
      <c r="G87" s="2200" t="str">
        <f t="shared" si="7"/>
        <v>31460</v>
      </c>
      <c r="H87" s="2200">
        <f>--SUBTOTAL(3,C$2:C87)</f>
        <v>0</v>
      </c>
    </row>
    <row r="88" spans="1:8" hidden="1" x14ac:dyDescent="0.15">
      <c r="A88" s="2200" t="s">
        <v>1878</v>
      </c>
      <c r="B88" s="2200" t="s">
        <v>2053</v>
      </c>
      <c r="C88" s="2200" t="s">
        <v>2054</v>
      </c>
      <c r="D88" s="2200" t="str">
        <f t="shared" si="4"/>
        <v>CA</v>
      </c>
      <c r="E88" s="2200">
        <f t="shared" si="5"/>
        <v>7</v>
      </c>
      <c r="F88" s="2200" t="str">
        <f t="shared" si="6"/>
        <v>06</v>
      </c>
      <c r="G88" s="2200" t="str">
        <f t="shared" si="7"/>
        <v>32900</v>
      </c>
      <c r="H88" s="2200">
        <f>--SUBTOTAL(3,C$2:C88)</f>
        <v>0</v>
      </c>
    </row>
    <row r="89" spans="1:8" hidden="1" x14ac:dyDescent="0.15">
      <c r="A89" s="2200" t="s">
        <v>1878</v>
      </c>
      <c r="B89" s="2200" t="s">
        <v>2055</v>
      </c>
      <c r="C89" s="2200" t="s">
        <v>2056</v>
      </c>
      <c r="D89" s="2200" t="str">
        <f t="shared" si="4"/>
        <v>CA</v>
      </c>
      <c r="E89" s="2200">
        <f t="shared" si="5"/>
        <v>8</v>
      </c>
      <c r="F89" s="2200" t="str">
        <f t="shared" si="6"/>
        <v>06</v>
      </c>
      <c r="G89" s="2200" t="str">
        <f t="shared" si="7"/>
        <v>33700</v>
      </c>
      <c r="H89" s="2200">
        <f>--SUBTOTAL(3,C$2:C89)</f>
        <v>0</v>
      </c>
    </row>
    <row r="90" spans="1:8" hidden="1" x14ac:dyDescent="0.15">
      <c r="A90" s="2200" t="s">
        <v>1902</v>
      </c>
      <c r="B90" s="2200" t="s">
        <v>2057</v>
      </c>
      <c r="C90" s="2200" t="s">
        <v>2058</v>
      </c>
      <c r="D90" s="2200" t="str">
        <f t="shared" si="4"/>
        <v>CA</v>
      </c>
      <c r="E90" s="2200">
        <f t="shared" si="5"/>
        <v>15</v>
      </c>
      <c r="F90" s="2200" t="str">
        <f t="shared" si="6"/>
        <v>06</v>
      </c>
      <c r="G90" s="2200" t="str">
        <f t="shared" si="7"/>
        <v>38200</v>
      </c>
      <c r="H90" s="2200">
        <f>--SUBTOTAL(3,C$2:C90)</f>
        <v>0</v>
      </c>
    </row>
    <row r="91" spans="1:8" hidden="1" x14ac:dyDescent="0.15">
      <c r="A91" s="2200" t="s">
        <v>1878</v>
      </c>
      <c r="B91" s="2200" t="s">
        <v>2059</v>
      </c>
      <c r="C91" s="2200" t="s">
        <v>2060</v>
      </c>
      <c r="D91" s="2200" t="str">
        <f t="shared" si="4"/>
        <v>CA</v>
      </c>
      <c r="E91" s="2200">
        <f t="shared" si="5"/>
        <v>5</v>
      </c>
      <c r="F91" s="2200" t="str">
        <f t="shared" si="6"/>
        <v>06</v>
      </c>
      <c r="G91" s="2200" t="str">
        <f t="shared" si="7"/>
        <v>34900</v>
      </c>
      <c r="H91" s="2200">
        <f>--SUBTOTAL(3,C$2:C91)</f>
        <v>0</v>
      </c>
    </row>
    <row r="92" spans="1:8" hidden="1" x14ac:dyDescent="0.15">
      <c r="A92" s="2200" t="s">
        <v>2023</v>
      </c>
      <c r="B92" s="2200" t="s">
        <v>2061</v>
      </c>
      <c r="C92" s="2200" t="s">
        <v>2062</v>
      </c>
      <c r="D92" s="2200" t="str">
        <f t="shared" si="4"/>
        <v>CA</v>
      </c>
      <c r="E92" s="2200">
        <f t="shared" si="5"/>
        <v>25</v>
      </c>
      <c r="F92" s="2200" t="str">
        <f t="shared" si="6"/>
        <v>06</v>
      </c>
      <c r="G92" s="2200" t="str">
        <f t="shared" si="7"/>
        <v>36084</v>
      </c>
      <c r="H92" s="2200">
        <f>--SUBTOTAL(3,C$2:C92)</f>
        <v>0</v>
      </c>
    </row>
    <row r="93" spans="1:8" hidden="1" x14ac:dyDescent="0.15">
      <c r="A93" s="2200" t="s">
        <v>1878</v>
      </c>
      <c r="B93" s="2200" t="s">
        <v>2063</v>
      </c>
      <c r="C93" s="2200" t="s">
        <v>2064</v>
      </c>
      <c r="D93" s="2200" t="str">
        <f t="shared" si="4"/>
        <v>CA</v>
      </c>
      <c r="E93" s="2200">
        <f t="shared" si="5"/>
        <v>29</v>
      </c>
      <c r="F93" s="2200" t="str">
        <f t="shared" si="6"/>
        <v>06</v>
      </c>
      <c r="G93" s="2200" t="str">
        <f t="shared" si="7"/>
        <v>37100</v>
      </c>
      <c r="H93" s="2200">
        <f>--SUBTOTAL(3,C$2:C93)</f>
        <v>0</v>
      </c>
    </row>
    <row r="94" spans="1:8" hidden="1" x14ac:dyDescent="0.15">
      <c r="A94" s="2200" t="s">
        <v>1884</v>
      </c>
      <c r="B94" s="2200" t="s">
        <v>2065</v>
      </c>
      <c r="C94" s="2200" t="s">
        <v>2066</v>
      </c>
      <c r="D94" s="2200" t="str">
        <f t="shared" si="4"/>
        <v>CA</v>
      </c>
      <c r="E94" s="2200">
        <f t="shared" si="5"/>
        <v>10</v>
      </c>
      <c r="F94" s="2200" t="str">
        <f t="shared" si="6"/>
        <v>06</v>
      </c>
      <c r="G94" s="2200" t="str">
        <f t="shared" si="7"/>
        <v>39780</v>
      </c>
      <c r="H94" s="2200">
        <f>--SUBTOTAL(3,C$2:C94)</f>
        <v>0</v>
      </c>
    </row>
    <row r="95" spans="1:8" hidden="1" x14ac:dyDescent="0.15">
      <c r="A95" s="2200" t="s">
        <v>1878</v>
      </c>
      <c r="B95" s="2200" t="s">
        <v>2067</v>
      </c>
      <c r="C95" s="2200" t="s">
        <v>2068</v>
      </c>
      <c r="D95" s="2200" t="str">
        <f t="shared" si="4"/>
        <v>CA</v>
      </c>
      <c r="E95" s="2200">
        <f t="shared" si="5"/>
        <v>8</v>
      </c>
      <c r="F95" s="2200" t="str">
        <f t="shared" si="6"/>
        <v>06</v>
      </c>
      <c r="G95" s="2200" t="str">
        <f t="shared" si="7"/>
        <v>39820</v>
      </c>
      <c r="H95" s="2200">
        <f>--SUBTOTAL(3,C$2:C95)</f>
        <v>0</v>
      </c>
    </row>
    <row r="96" spans="1:8" hidden="1" x14ac:dyDescent="0.15">
      <c r="A96" s="2200" t="s">
        <v>1902</v>
      </c>
      <c r="B96" s="2200" t="s">
        <v>2069</v>
      </c>
      <c r="C96" s="2200" t="s">
        <v>2070</v>
      </c>
      <c r="D96" s="2200" t="str">
        <f t="shared" si="4"/>
        <v>CA</v>
      </c>
      <c r="E96" s="2200">
        <f t="shared" si="5"/>
        <v>18</v>
      </c>
      <c r="F96" s="2200" t="str">
        <f t="shared" si="6"/>
        <v>06</v>
      </c>
      <c r="G96" s="2200" t="str">
        <f t="shared" si="7"/>
        <v>45400</v>
      </c>
      <c r="H96" s="2200">
        <f>--SUBTOTAL(3,C$2:C96)</f>
        <v>0</v>
      </c>
    </row>
    <row r="97" spans="1:8" hidden="1" x14ac:dyDescent="0.15">
      <c r="A97" s="2200" t="s">
        <v>1878</v>
      </c>
      <c r="B97" s="2200" t="s">
        <v>2071</v>
      </c>
      <c r="C97" s="2200" t="s">
        <v>2072</v>
      </c>
      <c r="D97" s="2200" t="str">
        <f t="shared" si="4"/>
        <v>CA</v>
      </c>
      <c r="E97" s="2200">
        <f t="shared" si="5"/>
        <v>33</v>
      </c>
      <c r="F97" s="2200" t="str">
        <f t="shared" si="6"/>
        <v>06</v>
      </c>
      <c r="G97" s="2200" t="str">
        <f t="shared" si="7"/>
        <v>40140</v>
      </c>
      <c r="H97" s="2200">
        <f>--SUBTOTAL(3,C$2:C97)</f>
        <v>0</v>
      </c>
    </row>
    <row r="98" spans="1:8" hidden="1" x14ac:dyDescent="0.15">
      <c r="A98" s="2200" t="s">
        <v>1902</v>
      </c>
      <c r="B98" s="2200" t="s">
        <v>2073</v>
      </c>
      <c r="C98" s="2200" t="s">
        <v>2074</v>
      </c>
      <c r="D98" s="2200" t="str">
        <f t="shared" si="4"/>
        <v>CA</v>
      </c>
      <c r="E98" s="2200">
        <f t="shared" si="5"/>
        <v>21</v>
      </c>
      <c r="F98" s="2200" t="str">
        <f t="shared" si="6"/>
        <v>06</v>
      </c>
      <c r="G98" s="2200" t="str">
        <f t="shared" si="7"/>
        <v>47200</v>
      </c>
      <c r="H98" s="2200">
        <f>--SUBTOTAL(3,C$2:C98)</f>
        <v>0</v>
      </c>
    </row>
    <row r="99" spans="1:8" hidden="1" x14ac:dyDescent="0.15">
      <c r="A99" s="2200" t="s">
        <v>1878</v>
      </c>
      <c r="B99" s="2200" t="s">
        <v>2075</v>
      </c>
      <c r="C99" s="2200" t="s">
        <v>2076</v>
      </c>
      <c r="D99" s="2200" t="str">
        <f t="shared" si="4"/>
        <v>CA</v>
      </c>
      <c r="E99" s="2200">
        <f t="shared" si="5"/>
        <v>36</v>
      </c>
      <c r="F99" s="2200" t="str">
        <f t="shared" si="6"/>
        <v>06</v>
      </c>
      <c r="G99" s="2200" t="str">
        <f t="shared" si="7"/>
        <v>40900</v>
      </c>
      <c r="H99" s="2200">
        <f>--SUBTOTAL(3,C$2:C99)</f>
        <v>0</v>
      </c>
    </row>
    <row r="100" spans="1:8" hidden="1" x14ac:dyDescent="0.15">
      <c r="A100" s="2200" t="s">
        <v>1878</v>
      </c>
      <c r="B100" s="2200" t="s">
        <v>2077</v>
      </c>
      <c r="C100" s="2200" t="s">
        <v>2078</v>
      </c>
      <c r="D100" s="2200" t="str">
        <f t="shared" si="4"/>
        <v>CA</v>
      </c>
      <c r="E100" s="2200">
        <f t="shared" si="5"/>
        <v>8</v>
      </c>
      <c r="F100" s="2200" t="str">
        <f t="shared" si="6"/>
        <v>06</v>
      </c>
      <c r="G100" s="2200" t="str">
        <f t="shared" si="7"/>
        <v>41500</v>
      </c>
      <c r="H100" s="2200">
        <f>--SUBTOTAL(3,C$2:C100)</f>
        <v>0</v>
      </c>
    </row>
    <row r="101" spans="1:8" hidden="1" x14ac:dyDescent="0.15">
      <c r="A101" s="2200" t="s">
        <v>1878</v>
      </c>
      <c r="B101" s="2200" t="s">
        <v>2079</v>
      </c>
      <c r="C101" s="2200" t="s">
        <v>2080</v>
      </c>
      <c r="D101" s="2200" t="str">
        <f t="shared" si="4"/>
        <v>CA</v>
      </c>
      <c r="E101" s="2200">
        <f t="shared" si="5"/>
        <v>19</v>
      </c>
      <c r="F101" s="2200" t="str">
        <f t="shared" si="6"/>
        <v>06</v>
      </c>
      <c r="G101" s="2200" t="str">
        <f t="shared" si="7"/>
        <v>41740</v>
      </c>
      <c r="H101" s="2200">
        <f>--SUBTOTAL(3,C$2:C101)</f>
        <v>0</v>
      </c>
    </row>
    <row r="102" spans="1:8" hidden="1" x14ac:dyDescent="0.15">
      <c r="A102" s="2200" t="s">
        <v>1878</v>
      </c>
      <c r="B102" s="2200" t="s">
        <v>2081</v>
      </c>
      <c r="C102" s="2200" t="s">
        <v>2082</v>
      </c>
      <c r="D102" s="2200" t="str">
        <f t="shared" si="4"/>
        <v>CA</v>
      </c>
      <c r="E102" s="2200">
        <f t="shared" si="5"/>
        <v>30</v>
      </c>
      <c r="F102" s="2200" t="str">
        <f t="shared" si="6"/>
        <v>06</v>
      </c>
      <c r="G102" s="2200" t="str">
        <f t="shared" si="7"/>
        <v>41860</v>
      </c>
      <c r="H102" s="2200">
        <f>--SUBTOTAL(3,C$2:C102)</f>
        <v>0</v>
      </c>
    </row>
    <row r="103" spans="1:8" hidden="1" x14ac:dyDescent="0.15">
      <c r="A103" s="2200" t="s">
        <v>2023</v>
      </c>
      <c r="B103" s="2200" t="s">
        <v>2083</v>
      </c>
      <c r="C103" s="2200" t="s">
        <v>2084</v>
      </c>
      <c r="D103" s="2200" t="str">
        <f t="shared" si="4"/>
        <v>CA</v>
      </c>
      <c r="E103" s="2200">
        <f t="shared" si="5"/>
        <v>47</v>
      </c>
      <c r="F103" s="2200" t="str">
        <f t="shared" si="6"/>
        <v>06</v>
      </c>
      <c r="G103" s="2200" t="str">
        <f t="shared" si="7"/>
        <v>41884</v>
      </c>
      <c r="H103" s="2200">
        <f>--SUBTOTAL(3,C$2:C103)</f>
        <v>0</v>
      </c>
    </row>
    <row r="104" spans="1:8" hidden="1" x14ac:dyDescent="0.15">
      <c r="A104" s="2200" t="s">
        <v>1902</v>
      </c>
      <c r="B104" s="2200" t="s">
        <v>2085</v>
      </c>
      <c r="C104" s="2200" t="s">
        <v>2086</v>
      </c>
      <c r="D104" s="2200" t="str">
        <f t="shared" si="4"/>
        <v>CA</v>
      </c>
      <c r="E104" s="2200">
        <f t="shared" si="5"/>
        <v>31</v>
      </c>
      <c r="F104" s="2200" t="str">
        <f t="shared" si="6"/>
        <v>06</v>
      </c>
      <c r="G104" s="2200" t="str">
        <f t="shared" si="7"/>
        <v>48800</v>
      </c>
      <c r="H104" s="2200">
        <f>--SUBTOTAL(3,C$2:C104)</f>
        <v>0</v>
      </c>
    </row>
    <row r="105" spans="1:8" hidden="1" x14ac:dyDescent="0.15">
      <c r="A105" s="2200" t="s">
        <v>1878</v>
      </c>
      <c r="B105" s="2200" t="s">
        <v>2087</v>
      </c>
      <c r="C105" s="2200" t="s">
        <v>2088</v>
      </c>
      <c r="D105" s="2200" t="str">
        <f t="shared" si="4"/>
        <v>CA</v>
      </c>
      <c r="E105" s="2200">
        <f t="shared" si="5"/>
        <v>31</v>
      </c>
      <c r="F105" s="2200" t="str">
        <f t="shared" si="6"/>
        <v>06</v>
      </c>
      <c r="G105" s="2200" t="str">
        <f t="shared" si="7"/>
        <v>41940</v>
      </c>
      <c r="H105" s="2200">
        <f>--SUBTOTAL(3,C$2:C105)</f>
        <v>0</v>
      </c>
    </row>
    <row r="106" spans="1:8" hidden="1" x14ac:dyDescent="0.15">
      <c r="A106" s="2200" t="s">
        <v>1878</v>
      </c>
      <c r="B106" s="2200" t="s">
        <v>2089</v>
      </c>
      <c r="C106" s="2200" t="s">
        <v>2090</v>
      </c>
      <c r="D106" s="2200" t="str">
        <f t="shared" si="4"/>
        <v>CA</v>
      </c>
      <c r="E106" s="2200">
        <f t="shared" si="5"/>
        <v>42</v>
      </c>
      <c r="F106" s="2200" t="str">
        <f t="shared" si="6"/>
        <v>06</v>
      </c>
      <c r="G106" s="2200" t="str">
        <f t="shared" si="7"/>
        <v>42020</v>
      </c>
      <c r="H106" s="2200">
        <f>--SUBTOTAL(3,C$2:C106)</f>
        <v>0</v>
      </c>
    </row>
    <row r="107" spans="1:8" hidden="1" x14ac:dyDescent="0.15">
      <c r="A107" s="2200" t="s">
        <v>2023</v>
      </c>
      <c r="B107" s="2200" t="s">
        <v>2091</v>
      </c>
      <c r="C107" s="2200" t="s">
        <v>2092</v>
      </c>
      <c r="D107" s="2200" t="str">
        <f t="shared" si="4"/>
        <v>CA</v>
      </c>
      <c r="E107" s="2200">
        <f t="shared" si="5"/>
        <v>11</v>
      </c>
      <c r="F107" s="2200" t="str">
        <f t="shared" si="6"/>
        <v>06</v>
      </c>
      <c r="G107" s="2200" t="str">
        <f t="shared" si="7"/>
        <v>42034</v>
      </c>
      <c r="H107" s="2200">
        <f>--SUBTOTAL(3,C$2:C107)</f>
        <v>0</v>
      </c>
    </row>
    <row r="108" spans="1:8" hidden="1" x14ac:dyDescent="0.15">
      <c r="A108" s="2200" t="s">
        <v>1878</v>
      </c>
      <c r="B108" s="2200" t="s">
        <v>2093</v>
      </c>
      <c r="C108" s="2200" t="s">
        <v>2094</v>
      </c>
      <c r="D108" s="2200" t="str">
        <f t="shared" si="4"/>
        <v>CA</v>
      </c>
      <c r="E108" s="2200">
        <f t="shared" si="5"/>
        <v>23</v>
      </c>
      <c r="F108" s="2200" t="str">
        <f t="shared" si="6"/>
        <v>06</v>
      </c>
      <c r="G108" s="2200" t="str">
        <f t="shared" si="7"/>
        <v>42100</v>
      </c>
      <c r="H108" s="2200">
        <f>--SUBTOTAL(3,C$2:C108)</f>
        <v>0</v>
      </c>
    </row>
    <row r="109" spans="1:8" hidden="1" x14ac:dyDescent="0.15">
      <c r="A109" s="2200" t="s">
        <v>1878</v>
      </c>
      <c r="B109" s="2200" t="s">
        <v>2095</v>
      </c>
      <c r="C109" s="2200" t="s">
        <v>2096</v>
      </c>
      <c r="D109" s="2200" t="str">
        <f t="shared" si="4"/>
        <v>CA</v>
      </c>
      <c r="E109" s="2200">
        <f t="shared" si="5"/>
        <v>26</v>
      </c>
      <c r="F109" s="2200" t="str">
        <f t="shared" si="6"/>
        <v>06</v>
      </c>
      <c r="G109" s="2200" t="str">
        <f t="shared" si="7"/>
        <v>42200</v>
      </c>
      <c r="H109" s="2200">
        <f>--SUBTOTAL(3,C$2:C109)</f>
        <v>0</v>
      </c>
    </row>
    <row r="110" spans="1:8" hidden="1" x14ac:dyDescent="0.15">
      <c r="A110" s="2200" t="s">
        <v>1878</v>
      </c>
      <c r="B110" s="2200" t="s">
        <v>2097</v>
      </c>
      <c r="C110" s="2200" t="s">
        <v>2098</v>
      </c>
      <c r="D110" s="2200" t="str">
        <f t="shared" si="4"/>
        <v>CA</v>
      </c>
      <c r="E110" s="2200">
        <f t="shared" si="5"/>
        <v>11</v>
      </c>
      <c r="F110" s="2200" t="str">
        <f t="shared" si="6"/>
        <v>06</v>
      </c>
      <c r="G110" s="2200" t="str">
        <f t="shared" si="7"/>
        <v>42220</v>
      </c>
      <c r="H110" s="2200">
        <f>--SUBTOTAL(3,C$2:C110)</f>
        <v>0</v>
      </c>
    </row>
    <row r="111" spans="1:8" hidden="1" x14ac:dyDescent="0.15">
      <c r="A111" s="2200" t="s">
        <v>1884</v>
      </c>
      <c r="B111" s="2200" t="s">
        <v>2099</v>
      </c>
      <c r="C111" s="2200" t="s">
        <v>2100</v>
      </c>
      <c r="D111" s="2200" t="str">
        <f t="shared" si="4"/>
        <v>CA</v>
      </c>
      <c r="E111" s="2200">
        <f t="shared" si="5"/>
        <v>7</v>
      </c>
      <c r="F111" s="2200" t="str">
        <f t="shared" si="6"/>
        <v>06</v>
      </c>
      <c r="G111" s="2200" t="str">
        <f t="shared" si="7"/>
        <v>43760</v>
      </c>
      <c r="H111" s="2200">
        <f>--SUBTOTAL(3,C$2:C111)</f>
        <v>0</v>
      </c>
    </row>
    <row r="112" spans="1:8" hidden="1" x14ac:dyDescent="0.15">
      <c r="A112" s="2200" t="s">
        <v>1878</v>
      </c>
      <c r="B112" s="2200" t="s">
        <v>2101</v>
      </c>
      <c r="C112" s="2200" t="s">
        <v>2102</v>
      </c>
      <c r="D112" s="2200" t="str">
        <f t="shared" si="4"/>
        <v>CA</v>
      </c>
      <c r="E112" s="2200">
        <f t="shared" si="5"/>
        <v>14</v>
      </c>
      <c r="F112" s="2200" t="str">
        <f t="shared" si="6"/>
        <v>06</v>
      </c>
      <c r="G112" s="2200" t="str">
        <f t="shared" si="7"/>
        <v>44700</v>
      </c>
      <c r="H112" s="2200">
        <f>--SUBTOTAL(3,C$2:C112)</f>
        <v>0</v>
      </c>
    </row>
    <row r="113" spans="1:8" hidden="1" x14ac:dyDescent="0.15">
      <c r="A113" s="2200" t="s">
        <v>1884</v>
      </c>
      <c r="B113" s="2200" t="s">
        <v>2103</v>
      </c>
      <c r="C113" s="2200" t="s">
        <v>2104</v>
      </c>
      <c r="D113" s="2200" t="str">
        <f t="shared" si="4"/>
        <v>CA</v>
      </c>
      <c r="E113" s="2200">
        <f t="shared" si="5"/>
        <v>11</v>
      </c>
      <c r="F113" s="2200" t="str">
        <f t="shared" si="6"/>
        <v>06</v>
      </c>
      <c r="G113" s="2200" t="str">
        <f t="shared" si="7"/>
        <v>45000</v>
      </c>
      <c r="H113" s="2200">
        <f>--SUBTOTAL(3,C$2:C113)</f>
        <v>0</v>
      </c>
    </row>
    <row r="114" spans="1:8" hidden="1" x14ac:dyDescent="0.15">
      <c r="A114" s="2200" t="s">
        <v>1884</v>
      </c>
      <c r="B114" s="2200" t="s">
        <v>2105</v>
      </c>
      <c r="C114" s="2200" t="s">
        <v>2106</v>
      </c>
      <c r="D114" s="2200" t="str">
        <f t="shared" si="4"/>
        <v>CA</v>
      </c>
      <c r="E114" s="2200">
        <f t="shared" si="5"/>
        <v>21</v>
      </c>
      <c r="F114" s="2200" t="str">
        <f t="shared" si="6"/>
        <v>06</v>
      </c>
      <c r="G114" s="2200" t="str">
        <f t="shared" si="7"/>
        <v>46020</v>
      </c>
      <c r="H114" s="2200">
        <f>--SUBTOTAL(3,C$2:C114)</f>
        <v>0</v>
      </c>
    </row>
    <row r="115" spans="1:8" hidden="1" x14ac:dyDescent="0.15">
      <c r="A115" s="2200" t="s">
        <v>1884</v>
      </c>
      <c r="B115" s="2200" t="s">
        <v>2107</v>
      </c>
      <c r="C115" s="2200" t="s">
        <v>2108</v>
      </c>
      <c r="D115" s="2200" t="str">
        <f t="shared" si="4"/>
        <v>CA</v>
      </c>
      <c r="E115" s="2200">
        <f t="shared" si="5"/>
        <v>6</v>
      </c>
      <c r="F115" s="2200" t="str">
        <f t="shared" si="6"/>
        <v>06</v>
      </c>
      <c r="G115" s="2200" t="str">
        <f t="shared" si="7"/>
        <v>46380</v>
      </c>
      <c r="H115" s="2200">
        <f>--SUBTOTAL(3,C$2:C115)</f>
        <v>0</v>
      </c>
    </row>
    <row r="116" spans="1:8" hidden="1" x14ac:dyDescent="0.15">
      <c r="A116" s="2200" t="s">
        <v>1878</v>
      </c>
      <c r="B116" s="2200" t="s">
        <v>2109</v>
      </c>
      <c r="C116" s="2200" t="s">
        <v>2110</v>
      </c>
      <c r="D116" s="2200" t="str">
        <f t="shared" si="4"/>
        <v>CA</v>
      </c>
      <c r="E116" s="2200">
        <f t="shared" si="5"/>
        <v>18</v>
      </c>
      <c r="F116" s="2200" t="str">
        <f t="shared" si="6"/>
        <v>06</v>
      </c>
      <c r="G116" s="2200" t="str">
        <f t="shared" si="7"/>
        <v>46700</v>
      </c>
      <c r="H116" s="2200">
        <f>--SUBTOTAL(3,C$2:C116)</f>
        <v>0</v>
      </c>
    </row>
    <row r="117" spans="1:8" hidden="1" x14ac:dyDescent="0.15">
      <c r="A117" s="2200" t="s">
        <v>1878</v>
      </c>
      <c r="B117" s="2200" t="s">
        <v>2111</v>
      </c>
      <c r="C117" s="2200" t="s">
        <v>2112</v>
      </c>
      <c r="D117" s="2200" t="str">
        <f t="shared" si="4"/>
        <v>CA</v>
      </c>
      <c r="E117" s="2200">
        <f t="shared" si="5"/>
        <v>20</v>
      </c>
      <c r="F117" s="2200" t="str">
        <f t="shared" si="6"/>
        <v>06</v>
      </c>
      <c r="G117" s="2200" t="str">
        <f t="shared" si="7"/>
        <v>47300</v>
      </c>
      <c r="H117" s="2200">
        <f>--SUBTOTAL(3,C$2:C117)</f>
        <v>0</v>
      </c>
    </row>
    <row r="118" spans="1:8" hidden="1" x14ac:dyDescent="0.15">
      <c r="A118" s="2200" t="s">
        <v>1902</v>
      </c>
      <c r="B118" s="2200" t="s">
        <v>2113</v>
      </c>
      <c r="C118" s="2200" t="s">
        <v>2114</v>
      </c>
      <c r="D118" s="2200" t="str">
        <f t="shared" si="4"/>
        <v>CA</v>
      </c>
      <c r="E118" s="2200">
        <f t="shared" si="5"/>
        <v>28</v>
      </c>
      <c r="F118" s="2200" t="str">
        <f t="shared" si="6"/>
        <v>06</v>
      </c>
      <c r="G118" s="2200" t="str">
        <f t="shared" si="7"/>
        <v>54600</v>
      </c>
      <c r="H118" s="2200">
        <f>--SUBTOTAL(3,C$2:C118)</f>
        <v>0</v>
      </c>
    </row>
    <row r="119" spans="1:8" hidden="1" x14ac:dyDescent="0.15">
      <c r="A119" s="2200" t="s">
        <v>1878</v>
      </c>
      <c r="B119" s="2200" t="s">
        <v>2115</v>
      </c>
      <c r="C119" s="2200" t="s">
        <v>2116</v>
      </c>
      <c r="D119" s="2200" t="str">
        <f t="shared" si="4"/>
        <v>CA</v>
      </c>
      <c r="E119" s="2200">
        <f t="shared" si="5"/>
        <v>10</v>
      </c>
      <c r="F119" s="2200" t="str">
        <f t="shared" si="6"/>
        <v>06</v>
      </c>
      <c r="G119" s="2200" t="str">
        <f t="shared" si="7"/>
        <v>49700</v>
      </c>
      <c r="H119" s="2200">
        <f>--SUBTOTAL(3,C$2:C119)</f>
        <v>0</v>
      </c>
    </row>
    <row r="120" spans="1:8" hidden="1" x14ac:dyDescent="0.15">
      <c r="A120" s="2200" t="s">
        <v>1878</v>
      </c>
      <c r="B120" s="2200" t="s">
        <v>2117</v>
      </c>
      <c r="C120" s="2200" t="s">
        <v>2118</v>
      </c>
      <c r="D120" s="2200" t="str">
        <f t="shared" si="4"/>
        <v>CO</v>
      </c>
      <c r="E120" s="2200">
        <f t="shared" si="5"/>
        <v>8</v>
      </c>
      <c r="F120" s="2200" t="str">
        <f t="shared" si="6"/>
        <v>08</v>
      </c>
      <c r="G120" s="2200" t="str">
        <f t="shared" si="7"/>
        <v>14500</v>
      </c>
      <c r="H120" s="2200">
        <f>--SUBTOTAL(3,C$2:C120)</f>
        <v>0</v>
      </c>
    </row>
    <row r="121" spans="1:8" hidden="1" x14ac:dyDescent="0.15">
      <c r="A121" s="2200" t="s">
        <v>1884</v>
      </c>
      <c r="B121" s="2200" t="s">
        <v>2120</v>
      </c>
      <c r="C121" s="2200" t="s">
        <v>2121</v>
      </c>
      <c r="D121" s="2200" t="str">
        <f t="shared" si="4"/>
        <v>CO</v>
      </c>
      <c r="E121" s="2200">
        <f t="shared" si="5"/>
        <v>13</v>
      </c>
      <c r="F121" s="2200" t="str">
        <f t="shared" si="6"/>
        <v>08</v>
      </c>
      <c r="G121" s="2200" t="str">
        <f t="shared" si="7"/>
        <v>14720</v>
      </c>
      <c r="H121" s="2200">
        <f>--SUBTOTAL(3,C$2:C121)</f>
        <v>0</v>
      </c>
    </row>
    <row r="122" spans="1:8" hidden="1" x14ac:dyDescent="0.15">
      <c r="A122" s="2200" t="s">
        <v>1884</v>
      </c>
      <c r="B122" s="2200" t="s">
        <v>2122</v>
      </c>
      <c r="C122" s="2200" t="s">
        <v>2123</v>
      </c>
      <c r="D122" s="2200" t="str">
        <f t="shared" si="4"/>
        <v>CO</v>
      </c>
      <c r="E122" s="2200">
        <f t="shared" si="5"/>
        <v>11</v>
      </c>
      <c r="F122" s="2200" t="str">
        <f t="shared" si="6"/>
        <v>08</v>
      </c>
      <c r="G122" s="2200" t="str">
        <f t="shared" si="7"/>
        <v>15860</v>
      </c>
      <c r="H122" s="2200">
        <f>--SUBTOTAL(3,C$2:C122)</f>
        <v>0</v>
      </c>
    </row>
    <row r="123" spans="1:8" hidden="1" x14ac:dyDescent="0.15">
      <c r="A123" s="2200" t="s">
        <v>1878</v>
      </c>
      <c r="B123" s="2200" t="s">
        <v>2124</v>
      </c>
      <c r="C123" s="2200" t="s">
        <v>2125</v>
      </c>
      <c r="D123" s="2200" t="str">
        <f t="shared" si="4"/>
        <v>CO</v>
      </c>
      <c r="E123" s="2200">
        <f t="shared" si="5"/>
        <v>17</v>
      </c>
      <c r="F123" s="2200" t="str">
        <f t="shared" si="6"/>
        <v>08</v>
      </c>
      <c r="G123" s="2200" t="str">
        <f t="shared" si="7"/>
        <v>17820</v>
      </c>
      <c r="H123" s="2200">
        <f>--SUBTOTAL(3,C$2:C123)</f>
        <v>0</v>
      </c>
    </row>
    <row r="124" spans="1:8" hidden="1" x14ac:dyDescent="0.15">
      <c r="A124" s="2200" t="s">
        <v>1884</v>
      </c>
      <c r="B124" s="2200" t="s">
        <v>2126</v>
      </c>
      <c r="C124" s="2200" t="s">
        <v>2127</v>
      </c>
      <c r="D124" s="2200" t="str">
        <f t="shared" si="4"/>
        <v>CO</v>
      </c>
      <c r="E124" s="2200">
        <f t="shared" si="5"/>
        <v>6</v>
      </c>
      <c r="F124" s="2200" t="str">
        <f t="shared" si="6"/>
        <v>08</v>
      </c>
      <c r="G124" s="2200" t="str">
        <f t="shared" si="7"/>
        <v>18780</v>
      </c>
      <c r="H124" s="2200">
        <f>--SUBTOTAL(3,C$2:C124)</f>
        <v>0</v>
      </c>
    </row>
    <row r="125" spans="1:8" hidden="1" x14ac:dyDescent="0.15">
      <c r="A125" s="2200" t="s">
        <v>1902</v>
      </c>
      <c r="B125" s="2200" t="s">
        <v>2128</v>
      </c>
      <c r="C125" s="2200" t="s">
        <v>2129</v>
      </c>
      <c r="D125" s="2200" t="str">
        <f t="shared" si="4"/>
        <v>CO</v>
      </c>
      <c r="E125" s="2200">
        <f t="shared" si="5"/>
        <v>14</v>
      </c>
      <c r="F125" s="2200" t="str">
        <f t="shared" si="6"/>
        <v>08</v>
      </c>
      <c r="G125" s="2200" t="str">
        <f t="shared" si="7"/>
        <v>21600</v>
      </c>
      <c r="H125" s="2200">
        <f>--SUBTOTAL(3,C$2:C125)</f>
        <v>0</v>
      </c>
    </row>
    <row r="126" spans="1:8" hidden="1" x14ac:dyDescent="0.15">
      <c r="A126" s="2200" t="s">
        <v>1878</v>
      </c>
      <c r="B126" s="2200" t="s">
        <v>2130</v>
      </c>
      <c r="C126" s="2200" t="s">
        <v>2131</v>
      </c>
      <c r="D126" s="2200" t="str">
        <f t="shared" si="4"/>
        <v>CO</v>
      </c>
      <c r="E126" s="2200">
        <f t="shared" si="5"/>
        <v>23</v>
      </c>
      <c r="F126" s="2200" t="str">
        <f t="shared" si="6"/>
        <v>08</v>
      </c>
      <c r="G126" s="2200" t="str">
        <f t="shared" si="7"/>
        <v>19740</v>
      </c>
      <c r="H126" s="2200">
        <f>--SUBTOTAL(3,C$2:C126)</f>
        <v>0</v>
      </c>
    </row>
    <row r="127" spans="1:8" hidden="1" x14ac:dyDescent="0.15">
      <c r="A127" s="2200" t="s">
        <v>1884</v>
      </c>
      <c r="B127" s="2200" t="s">
        <v>2132</v>
      </c>
      <c r="C127" s="2200" t="s">
        <v>2133</v>
      </c>
      <c r="D127" s="2200" t="str">
        <f t="shared" si="4"/>
        <v>CO</v>
      </c>
      <c r="E127" s="2200">
        <f t="shared" si="5"/>
        <v>8</v>
      </c>
      <c r="F127" s="2200" t="str">
        <f t="shared" si="6"/>
        <v>08</v>
      </c>
      <c r="G127" s="2200" t="str">
        <f t="shared" si="7"/>
        <v>20420</v>
      </c>
      <c r="H127" s="2200">
        <f>--SUBTOTAL(3,C$2:C127)</f>
        <v>0</v>
      </c>
    </row>
    <row r="128" spans="1:8" hidden="1" x14ac:dyDescent="0.15">
      <c r="A128" s="2200" t="s">
        <v>1884</v>
      </c>
      <c r="B128" s="2200" t="s">
        <v>2134</v>
      </c>
      <c r="C128" s="2200" t="s">
        <v>2135</v>
      </c>
      <c r="D128" s="2200" t="str">
        <f t="shared" si="4"/>
        <v>CO</v>
      </c>
      <c r="E128" s="2200">
        <f t="shared" si="5"/>
        <v>8</v>
      </c>
      <c r="F128" s="2200" t="str">
        <f t="shared" si="6"/>
        <v>08</v>
      </c>
      <c r="G128" s="2200" t="str">
        <f t="shared" si="7"/>
        <v>20780</v>
      </c>
      <c r="H128" s="2200">
        <f>--SUBTOTAL(3,C$2:C128)</f>
        <v>0</v>
      </c>
    </row>
    <row r="129" spans="1:8" hidden="1" x14ac:dyDescent="0.15">
      <c r="A129" s="2200" t="s">
        <v>1902</v>
      </c>
      <c r="B129" s="2200" t="s">
        <v>2136</v>
      </c>
      <c r="C129" s="2200" t="s">
        <v>2137</v>
      </c>
      <c r="D129" s="2200" t="str">
        <f t="shared" si="4"/>
        <v>CO</v>
      </c>
      <c r="E129" s="2200">
        <f t="shared" si="5"/>
        <v>25</v>
      </c>
      <c r="F129" s="2200" t="str">
        <f t="shared" si="6"/>
        <v>08</v>
      </c>
      <c r="G129" s="2200" t="str">
        <f t="shared" si="7"/>
        <v>23300</v>
      </c>
      <c r="H129" s="2200">
        <f>--SUBTOTAL(3,C$2:C129)</f>
        <v>0</v>
      </c>
    </row>
    <row r="130" spans="1:8" hidden="1" x14ac:dyDescent="0.15">
      <c r="A130" s="2200" t="s">
        <v>1878</v>
      </c>
      <c r="B130" s="2200" t="s">
        <v>2138</v>
      </c>
      <c r="C130" s="2200" t="s">
        <v>2139</v>
      </c>
      <c r="D130" s="2200" t="str">
        <f t="shared" si="4"/>
        <v>CO</v>
      </c>
      <c r="E130" s="2200">
        <f t="shared" si="5"/>
        <v>13</v>
      </c>
      <c r="F130" s="2200" t="str">
        <f t="shared" si="6"/>
        <v>08</v>
      </c>
      <c r="G130" s="2200" t="str">
        <f t="shared" si="7"/>
        <v>22660</v>
      </c>
      <c r="H130" s="2200">
        <f>--SUBTOTAL(3,C$2:C130)</f>
        <v>0</v>
      </c>
    </row>
    <row r="131" spans="1:8" hidden="1" x14ac:dyDescent="0.15">
      <c r="A131" s="2200" t="s">
        <v>1884</v>
      </c>
      <c r="B131" s="2200" t="s">
        <v>2140</v>
      </c>
      <c r="C131" s="2200" t="s">
        <v>2141</v>
      </c>
      <c r="D131" s="2200" t="str">
        <f t="shared" si="4"/>
        <v>CO</v>
      </c>
      <c r="E131" s="2200">
        <f t="shared" si="5"/>
        <v>12</v>
      </c>
      <c r="F131" s="2200" t="str">
        <f t="shared" si="6"/>
        <v>08</v>
      </c>
      <c r="G131" s="2200" t="str">
        <f t="shared" si="7"/>
        <v>22820</v>
      </c>
      <c r="H131" s="2200">
        <f>--SUBTOTAL(3,C$2:C131)</f>
        <v>0</v>
      </c>
    </row>
    <row r="132" spans="1:8" hidden="1" x14ac:dyDescent="0.15">
      <c r="A132" s="2200" t="s">
        <v>1884</v>
      </c>
      <c r="B132" s="2200" t="s">
        <v>2142</v>
      </c>
      <c r="C132" s="2200" t="s">
        <v>2143</v>
      </c>
      <c r="D132" s="2200" t="str">
        <f t="shared" si="4"/>
        <v>CO</v>
      </c>
      <c r="E132" s="2200">
        <f t="shared" si="5"/>
        <v>17</v>
      </c>
      <c r="F132" s="2200" t="str">
        <f t="shared" si="6"/>
        <v>08</v>
      </c>
      <c r="G132" s="2200" t="str">
        <f t="shared" si="7"/>
        <v>24060</v>
      </c>
      <c r="H132" s="2200">
        <f>--SUBTOTAL(3,C$2:C132)</f>
        <v>0</v>
      </c>
    </row>
    <row r="133" spans="1:8" hidden="1" x14ac:dyDescent="0.15">
      <c r="A133" s="2200" t="s">
        <v>1878</v>
      </c>
      <c r="B133" s="2200" t="s">
        <v>2144</v>
      </c>
      <c r="C133" s="2200" t="s">
        <v>2145</v>
      </c>
      <c r="D133" s="2200" t="str">
        <f t="shared" si="4"/>
        <v>CO</v>
      </c>
      <c r="E133" s="2200">
        <f t="shared" si="5"/>
        <v>15</v>
      </c>
      <c r="F133" s="2200" t="str">
        <f t="shared" si="6"/>
        <v>08</v>
      </c>
      <c r="G133" s="2200" t="str">
        <f t="shared" si="7"/>
        <v>24300</v>
      </c>
      <c r="H133" s="2200">
        <f>--SUBTOTAL(3,C$2:C133)</f>
        <v>0</v>
      </c>
    </row>
    <row r="134" spans="1:8" hidden="1" x14ac:dyDescent="0.15">
      <c r="A134" s="2200" t="s">
        <v>1878</v>
      </c>
      <c r="B134" s="2200" t="s">
        <v>2146</v>
      </c>
      <c r="C134" s="2200" t="s">
        <v>2147</v>
      </c>
      <c r="D134" s="2200" t="str">
        <f t="shared" ref="D134:D200" si="8">MID(C134,E134+2,2)</f>
        <v>CO</v>
      </c>
      <c r="E134" s="2200">
        <f t="shared" ref="E134:E200" si="9">FIND(",",C134)</f>
        <v>8</v>
      </c>
      <c r="F134" s="2200" t="str">
        <f t="shared" ref="F134:F200" si="10">MID(B134,3,2)</f>
        <v>08</v>
      </c>
      <c r="G134" s="2200" t="str">
        <f t="shared" ref="G134:G200" si="11">MID(B134,5,5)</f>
        <v>24540</v>
      </c>
      <c r="H134" s="2200">
        <f>--SUBTOTAL(3,C$2:C134)</f>
        <v>0</v>
      </c>
    </row>
    <row r="135" spans="1:8" hidden="1" x14ac:dyDescent="0.15">
      <c r="A135" s="2200" t="s">
        <v>1884</v>
      </c>
      <c r="B135" s="2200" t="s">
        <v>2148</v>
      </c>
      <c r="C135" s="2200" t="s">
        <v>2149</v>
      </c>
      <c r="D135" s="2200" t="str">
        <f t="shared" si="8"/>
        <v>CO</v>
      </c>
      <c r="E135" s="2200">
        <f t="shared" si="9"/>
        <v>9</v>
      </c>
      <c r="F135" s="2200" t="str">
        <f t="shared" si="10"/>
        <v>08</v>
      </c>
      <c r="G135" s="2200" t="str">
        <f t="shared" si="11"/>
        <v>33940</v>
      </c>
      <c r="H135" s="2200">
        <f>--SUBTOTAL(3,C$2:C135)</f>
        <v>0</v>
      </c>
    </row>
    <row r="136" spans="1:8" hidden="1" x14ac:dyDescent="0.15">
      <c r="A136" s="2200" t="s">
        <v>1878</v>
      </c>
      <c r="B136" s="2200" t="s">
        <v>2150</v>
      </c>
      <c r="C136" s="2200" t="s">
        <v>2151</v>
      </c>
      <c r="D136" s="2200" t="str">
        <f t="shared" si="8"/>
        <v>CO</v>
      </c>
      <c r="E136" s="2200">
        <f t="shared" si="9"/>
        <v>7</v>
      </c>
      <c r="F136" s="2200" t="str">
        <f t="shared" si="10"/>
        <v>08</v>
      </c>
      <c r="G136" s="2200" t="str">
        <f t="shared" si="11"/>
        <v>39380</v>
      </c>
      <c r="H136" s="2200">
        <f>--SUBTOTAL(3,C$2:C136)</f>
        <v>0</v>
      </c>
    </row>
    <row r="137" spans="1:8" hidden="1" x14ac:dyDescent="0.15">
      <c r="A137" s="2200" t="s">
        <v>1902</v>
      </c>
      <c r="B137" s="2200" t="s">
        <v>2152</v>
      </c>
      <c r="C137" s="2200" t="s">
        <v>2153</v>
      </c>
      <c r="D137" s="2200" t="str">
        <f t="shared" si="8"/>
        <v>CO</v>
      </c>
      <c r="E137" s="2200">
        <f t="shared" si="9"/>
        <v>18</v>
      </c>
      <c r="F137" s="2200" t="str">
        <f t="shared" si="10"/>
        <v>08</v>
      </c>
      <c r="G137" s="2200" t="str">
        <f t="shared" si="11"/>
        <v>44400</v>
      </c>
      <c r="H137" s="2200">
        <f>--SUBTOTAL(3,C$2:C137)</f>
        <v>0</v>
      </c>
    </row>
    <row r="138" spans="1:8" hidden="1" x14ac:dyDescent="0.15">
      <c r="A138" s="2200" t="s">
        <v>1884</v>
      </c>
      <c r="B138" s="2200" t="s">
        <v>2154</v>
      </c>
      <c r="C138" s="2200" t="s">
        <v>2155</v>
      </c>
      <c r="D138" s="2200" t="str">
        <f t="shared" si="8"/>
        <v>CO</v>
      </c>
      <c r="E138" s="2200">
        <f t="shared" si="9"/>
        <v>18</v>
      </c>
      <c r="F138" s="2200" t="str">
        <f t="shared" si="10"/>
        <v>08</v>
      </c>
      <c r="G138" s="2200" t="str">
        <f t="shared" si="11"/>
        <v>44460</v>
      </c>
      <c r="H138" s="2200">
        <f>--SUBTOTAL(3,C$2:C138)</f>
        <v>0</v>
      </c>
    </row>
    <row r="139" spans="1:8" hidden="1" x14ac:dyDescent="0.15">
      <c r="A139" s="2200" t="s">
        <v>1902</v>
      </c>
      <c r="B139" s="2200" t="s">
        <v>2156</v>
      </c>
      <c r="C139" s="2200" t="s">
        <v>2157</v>
      </c>
      <c r="D139" s="2200" t="str">
        <f t="shared" si="8"/>
        <v>CO</v>
      </c>
      <c r="E139" s="2200">
        <f t="shared" si="9"/>
        <v>24</v>
      </c>
      <c r="F139" s="2200" t="str">
        <f t="shared" si="10"/>
        <v>08</v>
      </c>
      <c r="G139" s="2200" t="str">
        <f t="shared" si="11"/>
        <v>52500</v>
      </c>
      <c r="H139" s="2200">
        <f>--SUBTOTAL(3,C$2:C139)</f>
        <v>0</v>
      </c>
    </row>
    <row r="140" spans="1:8" hidden="1" x14ac:dyDescent="0.15">
      <c r="A140" s="2200" t="s">
        <v>1884</v>
      </c>
      <c r="B140" s="2200" t="s">
        <v>2158</v>
      </c>
      <c r="C140" s="2200" t="s">
        <v>2159</v>
      </c>
      <c r="D140" s="2200" t="str">
        <f t="shared" si="8"/>
        <v>CO</v>
      </c>
      <c r="E140" s="2200">
        <f t="shared" si="9"/>
        <v>9</v>
      </c>
      <c r="F140" s="2200" t="str">
        <f t="shared" si="10"/>
        <v>08</v>
      </c>
      <c r="G140" s="2200" t="str">
        <f t="shared" si="11"/>
        <v>44540</v>
      </c>
      <c r="H140" s="2200">
        <f>--SUBTOTAL(3,C$2:C140)</f>
        <v>0</v>
      </c>
    </row>
    <row r="141" spans="1:8" hidden="1" x14ac:dyDescent="0.15">
      <c r="A141" s="2200" t="s">
        <v>1902</v>
      </c>
      <c r="B141" s="2200" t="s">
        <v>2160</v>
      </c>
      <c r="C141" s="2200" t="s">
        <v>2161</v>
      </c>
      <c r="D141" s="2200" t="str">
        <f t="shared" si="8"/>
        <v>CT</v>
      </c>
      <c r="E141" s="2200">
        <f t="shared" si="9"/>
        <v>30</v>
      </c>
      <c r="F141" s="2200" t="str">
        <f t="shared" si="10"/>
        <v>09</v>
      </c>
      <c r="G141" s="2200" t="str">
        <f t="shared" si="11"/>
        <v>72000</v>
      </c>
      <c r="H141" s="2200">
        <f>--SUBTOTAL(3,C$2:C141)</f>
        <v>0</v>
      </c>
    </row>
    <row r="142" spans="1:8" hidden="1" x14ac:dyDescent="0.15">
      <c r="A142" s="2200" t="s">
        <v>1878</v>
      </c>
      <c r="B142" s="2200" t="s">
        <v>2163</v>
      </c>
      <c r="C142" s="2200" t="s">
        <v>2164</v>
      </c>
      <c r="D142" s="2200" t="str">
        <f t="shared" si="8"/>
        <v>CT</v>
      </c>
      <c r="E142" s="2200">
        <f t="shared" si="9"/>
        <v>28</v>
      </c>
      <c r="F142" s="2200" t="str">
        <f t="shared" si="10"/>
        <v>09</v>
      </c>
      <c r="G142" s="2200" t="str">
        <f t="shared" si="11"/>
        <v>71950</v>
      </c>
      <c r="H142" s="2200">
        <f>--SUBTOTAL(3,C$2:C142)</f>
        <v>0</v>
      </c>
    </row>
    <row r="143" spans="1:8" hidden="1" x14ac:dyDescent="0.15">
      <c r="A143" s="2200" t="s">
        <v>1878</v>
      </c>
      <c r="B143" s="2200" t="s">
        <v>2165</v>
      </c>
      <c r="C143" s="2200" t="s">
        <v>2166</v>
      </c>
      <c r="D143" s="2200" t="str">
        <f t="shared" si="8"/>
        <v>CT</v>
      </c>
      <c r="E143" s="2200">
        <f t="shared" si="9"/>
        <v>8</v>
      </c>
      <c r="F143" s="2200" t="str">
        <f t="shared" si="10"/>
        <v>09</v>
      </c>
      <c r="G143" s="2200" t="str">
        <f t="shared" si="11"/>
        <v>72850</v>
      </c>
      <c r="H143" s="2200">
        <f>--SUBTOTAL(3,C$2:C143)</f>
        <v>0</v>
      </c>
    </row>
    <row r="144" spans="1:8" hidden="1" x14ac:dyDescent="0.15">
      <c r="A144" s="2200" t="s">
        <v>1878</v>
      </c>
      <c r="B144" s="2200" t="s">
        <v>2167</v>
      </c>
      <c r="C144" s="2200" t="s">
        <v>2168</v>
      </c>
      <c r="D144" s="2200" t="str">
        <f t="shared" si="8"/>
        <v>CT</v>
      </c>
      <c r="E144" s="2200">
        <f t="shared" si="9"/>
        <v>37</v>
      </c>
      <c r="F144" s="2200" t="str">
        <f t="shared" si="10"/>
        <v>09</v>
      </c>
      <c r="G144" s="2200" t="str">
        <f t="shared" si="11"/>
        <v>73450</v>
      </c>
      <c r="H144" s="2200">
        <f>--SUBTOTAL(3,C$2:C144)</f>
        <v>0</v>
      </c>
    </row>
    <row r="145" spans="1:8" hidden="1" x14ac:dyDescent="0.15">
      <c r="A145" s="2200" t="s">
        <v>1878</v>
      </c>
      <c r="B145" s="2200" t="s">
        <v>2169</v>
      </c>
      <c r="C145" s="2200" t="s">
        <v>2170</v>
      </c>
      <c r="D145" s="2200" t="str">
        <f t="shared" si="8"/>
        <v>CT</v>
      </c>
      <c r="E145" s="2200">
        <f t="shared" si="9"/>
        <v>10</v>
      </c>
      <c r="F145" s="2200" t="str">
        <f t="shared" si="10"/>
        <v>09</v>
      </c>
      <c r="G145" s="2200" t="str">
        <f t="shared" si="11"/>
        <v>75700</v>
      </c>
      <c r="H145" s="2200">
        <f>--SUBTOTAL(3,C$2:C145)</f>
        <v>0</v>
      </c>
    </row>
    <row r="146" spans="1:8" hidden="1" x14ac:dyDescent="0.15">
      <c r="A146" s="2200" t="s">
        <v>1878</v>
      </c>
      <c r="B146" s="2200" t="s">
        <v>2171</v>
      </c>
      <c r="C146" s="2200" t="s">
        <v>2172</v>
      </c>
      <c r="D146" s="2200" t="str">
        <f t="shared" si="8"/>
        <v>CT</v>
      </c>
      <c r="E146" s="2200">
        <f t="shared" si="9"/>
        <v>28</v>
      </c>
      <c r="F146" s="2200" t="str">
        <f t="shared" si="10"/>
        <v>09</v>
      </c>
      <c r="G146" s="2200" t="str">
        <f t="shared" si="11"/>
        <v>76450</v>
      </c>
      <c r="H146" s="2200">
        <f>--SUBTOTAL(3,C$2:C146)</f>
        <v>0</v>
      </c>
    </row>
    <row r="147" spans="1:8" hidden="1" x14ac:dyDescent="0.15">
      <c r="A147" s="2200" t="s">
        <v>1884</v>
      </c>
      <c r="B147" s="2200" t="s">
        <v>2173</v>
      </c>
      <c r="C147" s="2200" t="s">
        <v>2174</v>
      </c>
      <c r="D147" s="2200" t="str">
        <f t="shared" si="8"/>
        <v>CT</v>
      </c>
      <c r="E147" s="2200">
        <f t="shared" si="9"/>
        <v>11</v>
      </c>
      <c r="F147" s="2200" t="str">
        <f t="shared" si="10"/>
        <v>09</v>
      </c>
      <c r="G147" s="2200" t="str">
        <f t="shared" si="11"/>
        <v>78400</v>
      </c>
      <c r="H147" s="2200">
        <f>--SUBTOTAL(3,C$2:C147)</f>
        <v>0</v>
      </c>
    </row>
    <row r="148" spans="1:8" hidden="1" x14ac:dyDescent="0.15">
      <c r="A148" s="2200" t="s">
        <v>1878</v>
      </c>
      <c r="B148" s="2200" t="s">
        <v>2799</v>
      </c>
      <c r="C148" s="2200" t="s">
        <v>17865</v>
      </c>
      <c r="D148" s="2200" t="str">
        <f t="shared" si="8"/>
        <v>CT</v>
      </c>
      <c r="E148" s="2200">
        <f t="shared" si="9"/>
        <v>12</v>
      </c>
      <c r="F148" s="2200" t="str">
        <f t="shared" si="10"/>
        <v>25</v>
      </c>
      <c r="G148" s="2200" t="str">
        <f t="shared" si="11"/>
        <v>78100</v>
      </c>
      <c r="H148" s="2200">
        <f>--SUBTOTAL(3,C$2:C148)</f>
        <v>0</v>
      </c>
    </row>
    <row r="149" spans="1:8" hidden="1" x14ac:dyDescent="0.15">
      <c r="A149" s="2200" t="s">
        <v>1878</v>
      </c>
      <c r="B149" s="2200" t="s">
        <v>2175</v>
      </c>
      <c r="C149" s="2200" t="s">
        <v>2176</v>
      </c>
      <c r="D149" s="2200" t="str">
        <f t="shared" si="8"/>
        <v>CT</v>
      </c>
      <c r="E149" s="2200">
        <f t="shared" si="9"/>
        <v>10</v>
      </c>
      <c r="F149" s="2200" t="str">
        <f t="shared" si="10"/>
        <v>09</v>
      </c>
      <c r="G149" s="2200" t="str">
        <f t="shared" si="11"/>
        <v>78700</v>
      </c>
      <c r="H149" s="2200">
        <f>--SUBTOTAL(3,C$2:C149)</f>
        <v>0</v>
      </c>
    </row>
    <row r="150" spans="1:8" hidden="1" x14ac:dyDescent="0.15">
      <c r="A150" s="2200" t="s">
        <v>1878</v>
      </c>
      <c r="B150" s="2200" t="s">
        <v>2807</v>
      </c>
      <c r="C150" s="2200" t="s">
        <v>17866</v>
      </c>
      <c r="D150" s="2200" t="str">
        <f t="shared" si="8"/>
        <v>CT</v>
      </c>
      <c r="E150" s="2200">
        <f t="shared" si="9"/>
        <v>10</v>
      </c>
      <c r="F150" s="2200" t="str">
        <f t="shared" si="10"/>
        <v>25</v>
      </c>
      <c r="G150" s="2200" t="str">
        <f t="shared" si="11"/>
        <v>79600</v>
      </c>
      <c r="H150" s="2200">
        <f>--SUBTOTAL(3,C$2:C150)</f>
        <v>0</v>
      </c>
    </row>
    <row r="151" spans="1:8" hidden="1" x14ac:dyDescent="0.15">
      <c r="A151" s="2200" t="s">
        <v>2023</v>
      </c>
      <c r="B151" s="2200" t="s">
        <v>2177</v>
      </c>
      <c r="C151" s="2200" t="s">
        <v>2178</v>
      </c>
      <c r="D151" s="2200" t="str">
        <f t="shared" si="8"/>
        <v>DC</v>
      </c>
      <c r="E151" s="2200">
        <f t="shared" si="9"/>
        <v>32</v>
      </c>
      <c r="F151" s="2200" t="str">
        <f t="shared" si="10"/>
        <v>11</v>
      </c>
      <c r="G151" s="2200" t="str">
        <f t="shared" si="11"/>
        <v>47894</v>
      </c>
      <c r="H151" s="2200">
        <f>--SUBTOTAL(3,C$2:C151)</f>
        <v>0</v>
      </c>
    </row>
    <row r="152" spans="1:8" hidden="1" x14ac:dyDescent="0.15">
      <c r="A152" s="2200" t="s">
        <v>1878</v>
      </c>
      <c r="B152" s="2200" t="s">
        <v>2180</v>
      </c>
      <c r="C152" s="2200" t="s">
        <v>2181</v>
      </c>
      <c r="D152" s="2200" t="str">
        <f t="shared" si="8"/>
        <v>DC</v>
      </c>
      <c r="E152" s="2200">
        <f t="shared" si="9"/>
        <v>32</v>
      </c>
      <c r="F152" s="2200" t="str">
        <f t="shared" si="10"/>
        <v>11</v>
      </c>
      <c r="G152" s="2200" t="str">
        <f t="shared" si="11"/>
        <v>47900</v>
      </c>
      <c r="H152" s="2200">
        <f>--SUBTOTAL(3,C$2:C152)</f>
        <v>0</v>
      </c>
    </row>
    <row r="153" spans="1:8" hidden="1" x14ac:dyDescent="0.15">
      <c r="A153" s="2200" t="s">
        <v>1902</v>
      </c>
      <c r="B153" s="2200" t="s">
        <v>2182</v>
      </c>
      <c r="C153" s="2200" t="s">
        <v>2183</v>
      </c>
      <c r="D153" s="2200" t="str">
        <f t="shared" si="8"/>
        <v>DC</v>
      </c>
      <c r="E153" s="2200">
        <f t="shared" si="9"/>
        <v>31</v>
      </c>
      <c r="F153" s="2200" t="str">
        <f t="shared" si="10"/>
        <v>11</v>
      </c>
      <c r="G153" s="2200" t="str">
        <f t="shared" si="11"/>
        <v>54800</v>
      </c>
      <c r="H153" s="2200">
        <f>--SUBTOTAL(3,C$2:C153)</f>
        <v>0</v>
      </c>
    </row>
    <row r="154" spans="1:8" hidden="1" x14ac:dyDescent="0.15">
      <c r="A154" s="2200" t="s">
        <v>1878</v>
      </c>
      <c r="B154" s="2200" t="s">
        <v>2184</v>
      </c>
      <c r="C154" s="2200" t="s">
        <v>2185</v>
      </c>
      <c r="D154" s="2200" t="str">
        <f t="shared" si="8"/>
        <v>DE</v>
      </c>
      <c r="E154" s="2200">
        <f t="shared" si="9"/>
        <v>6</v>
      </c>
      <c r="F154" s="2200" t="str">
        <f t="shared" si="10"/>
        <v>10</v>
      </c>
      <c r="G154" s="2200" t="str">
        <f t="shared" si="11"/>
        <v>20100</v>
      </c>
      <c r="H154" s="2200">
        <f>--SUBTOTAL(3,C$2:C154)</f>
        <v>0</v>
      </c>
    </row>
    <row r="155" spans="1:8" hidden="1" x14ac:dyDescent="0.15">
      <c r="A155" s="2200" t="s">
        <v>1878</v>
      </c>
      <c r="B155" s="2200" t="s">
        <v>2822</v>
      </c>
      <c r="C155" s="2200" t="s">
        <v>17869</v>
      </c>
      <c r="D155" s="2200" t="str">
        <f t="shared" si="8"/>
        <v>DE</v>
      </c>
      <c r="E155" s="2200">
        <f t="shared" si="9"/>
        <v>10</v>
      </c>
      <c r="F155" s="2200" t="str">
        <f t="shared" si="10"/>
        <v>10</v>
      </c>
      <c r="G155" s="2200" t="str">
        <f t="shared" si="11"/>
        <v>41540</v>
      </c>
      <c r="H155" s="2200">
        <f>--SUBTOTAL(3,C$2:C155)</f>
        <v>0</v>
      </c>
    </row>
    <row r="156" spans="1:8" hidden="1" x14ac:dyDescent="0.15">
      <c r="A156" s="2200" t="s">
        <v>2023</v>
      </c>
      <c r="B156" s="2200" t="s">
        <v>2187</v>
      </c>
      <c r="C156" s="2200" t="s">
        <v>2188</v>
      </c>
      <c r="D156" s="2200" t="str">
        <f t="shared" si="8"/>
        <v>DE</v>
      </c>
      <c r="E156" s="2200">
        <f t="shared" si="9"/>
        <v>11</v>
      </c>
      <c r="F156" s="2200" t="str">
        <f t="shared" si="10"/>
        <v>10</v>
      </c>
      <c r="G156" s="2200" t="str">
        <f t="shared" si="11"/>
        <v>48864</v>
      </c>
      <c r="H156" s="2200">
        <f>--SUBTOTAL(3,C$2:C156)</f>
        <v>0</v>
      </c>
    </row>
    <row r="157" spans="1:8" x14ac:dyDescent="0.15">
      <c r="A157" s="2200" t="s">
        <v>1884</v>
      </c>
      <c r="B157" s="2200" t="s">
        <v>2189</v>
      </c>
      <c r="C157" s="2200" t="s">
        <v>2190</v>
      </c>
      <c r="D157" s="2200" t="str">
        <f t="shared" si="8"/>
        <v>FL</v>
      </c>
      <c r="E157" s="2200">
        <f t="shared" si="9"/>
        <v>8</v>
      </c>
      <c r="F157" s="2200" t="str">
        <f t="shared" si="10"/>
        <v>12</v>
      </c>
      <c r="G157" s="2200" t="str">
        <f t="shared" si="11"/>
        <v>11580</v>
      </c>
      <c r="H157" s="2200">
        <f>--SUBTOTAL(3,C$2:C157)</f>
        <v>1</v>
      </c>
    </row>
    <row r="158" spans="1:8" x14ac:dyDescent="0.15">
      <c r="A158" s="2200" t="s">
        <v>1878</v>
      </c>
      <c r="B158" s="2200" t="s">
        <v>2192</v>
      </c>
      <c r="C158" s="2200" t="s">
        <v>2193</v>
      </c>
      <c r="D158" s="2200" t="str">
        <f t="shared" si="8"/>
        <v>FL</v>
      </c>
      <c r="E158" s="2200">
        <f t="shared" si="9"/>
        <v>22</v>
      </c>
      <c r="F158" s="2200" t="str">
        <f t="shared" si="10"/>
        <v>12</v>
      </c>
      <c r="G158" s="2200" t="str">
        <f t="shared" si="11"/>
        <v>15980</v>
      </c>
      <c r="H158" s="2200">
        <f>--SUBTOTAL(3,C$2:C158)</f>
        <v>2</v>
      </c>
    </row>
    <row r="159" spans="1:8" x14ac:dyDescent="0.15">
      <c r="A159" s="2200" t="s">
        <v>1902</v>
      </c>
      <c r="B159" s="2200" t="s">
        <v>2194</v>
      </c>
      <c r="C159" s="2200" t="s">
        <v>2195</v>
      </c>
      <c r="D159" s="2200" t="str">
        <f t="shared" si="8"/>
        <v>FL</v>
      </c>
      <c r="E159" s="2200">
        <f t="shared" si="9"/>
        <v>29</v>
      </c>
      <c r="F159" s="2200" t="str">
        <f t="shared" si="10"/>
        <v>12</v>
      </c>
      <c r="G159" s="2200" t="str">
        <f t="shared" si="11"/>
        <v>16200</v>
      </c>
      <c r="H159" s="2200">
        <f>--SUBTOTAL(3,C$2:C159)</f>
        <v>3</v>
      </c>
    </row>
    <row r="160" spans="1:8" x14ac:dyDescent="0.15">
      <c r="A160" s="2200" t="s">
        <v>1884</v>
      </c>
      <c r="B160" s="2200" t="s">
        <v>2196</v>
      </c>
      <c r="C160" s="2200" t="s">
        <v>2197</v>
      </c>
      <c r="D160" s="2200" t="str">
        <f t="shared" si="8"/>
        <v>FL</v>
      </c>
      <c r="E160" s="2200">
        <f t="shared" si="9"/>
        <v>10</v>
      </c>
      <c r="F160" s="2200" t="str">
        <f t="shared" si="10"/>
        <v>12</v>
      </c>
      <c r="G160" s="2200" t="str">
        <f t="shared" si="11"/>
        <v>17500</v>
      </c>
      <c r="H160" s="2200">
        <f>--SUBTOTAL(3,C$2:C160)</f>
        <v>4</v>
      </c>
    </row>
    <row r="161" spans="1:8" x14ac:dyDescent="0.15">
      <c r="A161" s="2200" t="s">
        <v>1878</v>
      </c>
      <c r="B161" s="2200" t="s">
        <v>2198</v>
      </c>
      <c r="C161" s="2200" t="s">
        <v>2199</v>
      </c>
      <c r="D161" s="2200" t="str">
        <f t="shared" si="8"/>
        <v>FL</v>
      </c>
      <c r="E161" s="2200">
        <f t="shared" si="9"/>
        <v>35</v>
      </c>
      <c r="F161" s="2200" t="str">
        <f t="shared" si="10"/>
        <v>12</v>
      </c>
      <c r="G161" s="2200" t="str">
        <f t="shared" si="11"/>
        <v>18880</v>
      </c>
      <c r="H161" s="2200">
        <f>--SUBTOTAL(3,C$2:C161)</f>
        <v>5</v>
      </c>
    </row>
    <row r="162" spans="1:8" x14ac:dyDescent="0.15">
      <c r="A162" s="2200" t="s">
        <v>1878</v>
      </c>
      <c r="B162" s="2200" t="s">
        <v>2200</v>
      </c>
      <c r="C162" s="2200" t="s">
        <v>2201</v>
      </c>
      <c r="D162" s="2200" t="str">
        <f t="shared" si="8"/>
        <v>FL</v>
      </c>
      <c r="E162" s="2200">
        <f t="shared" si="9"/>
        <v>35</v>
      </c>
      <c r="F162" s="2200" t="str">
        <f t="shared" si="10"/>
        <v>12</v>
      </c>
      <c r="G162" s="2200" t="str">
        <f t="shared" si="11"/>
        <v>19660</v>
      </c>
      <c r="H162" s="2200">
        <f>--SUBTOTAL(3,C$2:C162)</f>
        <v>6</v>
      </c>
    </row>
    <row r="163" spans="1:8" x14ac:dyDescent="0.15">
      <c r="A163" s="2200" t="s">
        <v>2023</v>
      </c>
      <c r="B163" s="2200" t="s">
        <v>2202</v>
      </c>
      <c r="C163" s="2200" t="s">
        <v>2203</v>
      </c>
      <c r="D163" s="2200" t="str">
        <f t="shared" si="8"/>
        <v>FL</v>
      </c>
      <c r="E163" s="2200">
        <f t="shared" si="9"/>
        <v>46</v>
      </c>
      <c r="F163" s="2200" t="str">
        <f t="shared" si="10"/>
        <v>12</v>
      </c>
      <c r="G163" s="2200" t="str">
        <f t="shared" si="11"/>
        <v>22744</v>
      </c>
      <c r="H163" s="2200">
        <f>--SUBTOTAL(3,C$2:C163)</f>
        <v>7</v>
      </c>
    </row>
    <row r="164" spans="1:8" x14ac:dyDescent="0.15">
      <c r="A164" s="2200" t="s">
        <v>1878</v>
      </c>
      <c r="B164" s="2200" t="s">
        <v>2204</v>
      </c>
      <c r="C164" s="2200" t="s">
        <v>2205</v>
      </c>
      <c r="D164" s="2200" t="str">
        <f t="shared" si="8"/>
        <v>FL</v>
      </c>
      <c r="E164" s="2200">
        <f t="shared" si="9"/>
        <v>12</v>
      </c>
      <c r="F164" s="2200" t="str">
        <f t="shared" si="10"/>
        <v>12</v>
      </c>
      <c r="G164" s="2200" t="str">
        <f t="shared" si="11"/>
        <v>23540</v>
      </c>
      <c r="H164" s="2200">
        <f>--SUBTOTAL(3,C$2:C164)</f>
        <v>8</v>
      </c>
    </row>
    <row r="165" spans="1:8" x14ac:dyDescent="0.15">
      <c r="A165" s="2200" t="s">
        <v>1902</v>
      </c>
      <c r="B165" s="2200" t="s">
        <v>2206</v>
      </c>
      <c r="C165" s="2200" t="s">
        <v>2207</v>
      </c>
      <c r="D165" s="2200" t="str">
        <f t="shared" si="8"/>
        <v>FL</v>
      </c>
      <c r="E165" s="2200">
        <f t="shared" si="9"/>
        <v>22</v>
      </c>
      <c r="F165" s="2200" t="str">
        <f t="shared" si="10"/>
        <v>12</v>
      </c>
      <c r="G165" s="2200" t="str">
        <f t="shared" si="11"/>
        <v>26400</v>
      </c>
      <c r="H165" s="2200">
        <f>--SUBTOTAL(3,C$2:C165)</f>
        <v>9</v>
      </c>
    </row>
    <row r="166" spans="1:8" x14ac:dyDescent="0.15">
      <c r="A166" s="2200" t="s">
        <v>1878</v>
      </c>
      <c r="B166" s="2200" t="s">
        <v>2208</v>
      </c>
      <c r="C166" s="2200" t="s">
        <v>2209</v>
      </c>
      <c r="D166" s="2200" t="str">
        <f t="shared" si="8"/>
        <v>FL</v>
      </c>
      <c r="E166" s="2200">
        <f t="shared" si="9"/>
        <v>18</v>
      </c>
      <c r="F166" s="2200" t="str">
        <f t="shared" si="10"/>
        <v>12</v>
      </c>
      <c r="G166" s="2200" t="str">
        <f t="shared" si="11"/>
        <v>26140</v>
      </c>
      <c r="H166" s="2200">
        <f>--SUBTOTAL(3,C$2:C166)</f>
        <v>10</v>
      </c>
    </row>
    <row r="167" spans="1:8" x14ac:dyDescent="0.15">
      <c r="A167" s="2200" t="s">
        <v>1878</v>
      </c>
      <c r="B167" s="2200" t="s">
        <v>2210</v>
      </c>
      <c r="C167" s="2200" t="s">
        <v>2211</v>
      </c>
      <c r="D167" s="2200" t="str">
        <f t="shared" si="8"/>
        <v>FL</v>
      </c>
      <c r="E167" s="2200">
        <f t="shared" si="9"/>
        <v>13</v>
      </c>
      <c r="F167" s="2200" t="str">
        <f t="shared" si="10"/>
        <v>12</v>
      </c>
      <c r="G167" s="2200" t="str">
        <f t="shared" si="11"/>
        <v>27260</v>
      </c>
      <c r="H167" s="2200">
        <f>--SUBTOTAL(3,C$2:C167)</f>
        <v>11</v>
      </c>
    </row>
    <row r="168" spans="1:8" x14ac:dyDescent="0.15">
      <c r="A168" s="2200" t="s">
        <v>1902</v>
      </c>
      <c r="B168" s="2200" t="s">
        <v>2212</v>
      </c>
      <c r="C168" s="2200" t="s">
        <v>2213</v>
      </c>
      <c r="D168" s="2200" t="str">
        <f t="shared" si="8"/>
        <v>FL</v>
      </c>
      <c r="E168" s="2200">
        <f t="shared" si="9"/>
        <v>31</v>
      </c>
      <c r="F168" s="2200" t="str">
        <f t="shared" si="10"/>
        <v>12</v>
      </c>
      <c r="G168" s="2200" t="str">
        <f t="shared" si="11"/>
        <v>30000</v>
      </c>
      <c r="H168" s="2200">
        <f>--SUBTOTAL(3,C$2:C168)</f>
        <v>12</v>
      </c>
    </row>
    <row r="169" spans="1:8" x14ac:dyDescent="0.15">
      <c r="A169" s="2200" t="s">
        <v>1884</v>
      </c>
      <c r="B169" s="2200" t="s">
        <v>2214</v>
      </c>
      <c r="C169" s="2200" t="s">
        <v>2215</v>
      </c>
      <c r="D169" s="2200" t="str">
        <f t="shared" si="8"/>
        <v>FL</v>
      </c>
      <c r="E169" s="2200">
        <f t="shared" si="9"/>
        <v>9</v>
      </c>
      <c r="F169" s="2200" t="str">
        <f t="shared" si="10"/>
        <v>12</v>
      </c>
      <c r="G169" s="2200" t="str">
        <f t="shared" si="11"/>
        <v>28580</v>
      </c>
      <c r="H169" s="2200">
        <f>--SUBTOTAL(3,C$2:C169)</f>
        <v>13</v>
      </c>
    </row>
    <row r="170" spans="1:8" x14ac:dyDescent="0.15">
      <c r="A170" s="2200" t="s">
        <v>1884</v>
      </c>
      <c r="B170" s="2200" t="s">
        <v>2216</v>
      </c>
      <c r="C170" s="2200" t="s">
        <v>2217</v>
      </c>
      <c r="D170" s="2200" t="str">
        <f t="shared" si="8"/>
        <v>FL</v>
      </c>
      <c r="E170" s="2200">
        <f t="shared" si="9"/>
        <v>10</v>
      </c>
      <c r="F170" s="2200" t="str">
        <f t="shared" si="10"/>
        <v>12</v>
      </c>
      <c r="G170" s="2200" t="str">
        <f t="shared" si="11"/>
        <v>29380</v>
      </c>
      <c r="H170" s="2200">
        <f>--SUBTOTAL(3,C$2:C170)</f>
        <v>14</v>
      </c>
    </row>
    <row r="171" spans="1:8" x14ac:dyDescent="0.15">
      <c r="A171" s="2200" t="s">
        <v>1878</v>
      </c>
      <c r="B171" s="2200" t="s">
        <v>2218</v>
      </c>
      <c r="C171" s="2200" t="s">
        <v>2219</v>
      </c>
      <c r="D171" s="2200" t="str">
        <f t="shared" si="8"/>
        <v>FL</v>
      </c>
      <c r="E171" s="2200">
        <f t="shared" si="9"/>
        <v>22</v>
      </c>
      <c r="F171" s="2200" t="str">
        <f t="shared" si="10"/>
        <v>12</v>
      </c>
      <c r="G171" s="2200" t="str">
        <f t="shared" si="11"/>
        <v>29460</v>
      </c>
      <c r="H171" s="2200">
        <f>--SUBTOTAL(3,C$2:C171)</f>
        <v>15</v>
      </c>
    </row>
    <row r="172" spans="1:8" x14ac:dyDescent="0.15">
      <c r="A172" s="2200" t="s">
        <v>1902</v>
      </c>
      <c r="B172" s="2200" t="s">
        <v>2220</v>
      </c>
      <c r="C172" s="2200" t="s">
        <v>2221</v>
      </c>
      <c r="D172" s="2200" t="str">
        <f t="shared" si="8"/>
        <v>FL</v>
      </c>
      <c r="E172" s="2200">
        <f t="shared" si="9"/>
        <v>37</v>
      </c>
      <c r="F172" s="2200" t="str">
        <f t="shared" si="10"/>
        <v>12</v>
      </c>
      <c r="G172" s="2200" t="str">
        <f t="shared" si="11"/>
        <v>37000</v>
      </c>
      <c r="H172" s="2200">
        <f>--SUBTOTAL(3,C$2:C172)</f>
        <v>16</v>
      </c>
    </row>
    <row r="173" spans="1:8" x14ac:dyDescent="0.15">
      <c r="A173" s="2200" t="s">
        <v>1878</v>
      </c>
      <c r="B173" s="2200" t="s">
        <v>2222</v>
      </c>
      <c r="C173" s="2200" t="s">
        <v>2223</v>
      </c>
      <c r="D173" s="2200" t="str">
        <f t="shared" si="8"/>
        <v>FL</v>
      </c>
      <c r="E173" s="2200">
        <f t="shared" si="9"/>
        <v>38</v>
      </c>
      <c r="F173" s="2200" t="str">
        <f t="shared" si="10"/>
        <v>12</v>
      </c>
      <c r="G173" s="2200" t="str">
        <f t="shared" si="11"/>
        <v>33100</v>
      </c>
      <c r="H173" s="2200">
        <f>--SUBTOTAL(3,C$2:C173)</f>
        <v>17</v>
      </c>
    </row>
    <row r="174" spans="1:8" x14ac:dyDescent="0.15">
      <c r="A174" s="2200" t="s">
        <v>2023</v>
      </c>
      <c r="B174" s="2200" t="s">
        <v>2224</v>
      </c>
      <c r="C174" s="2200" t="s">
        <v>2225</v>
      </c>
      <c r="D174" s="2200" t="str">
        <f t="shared" si="8"/>
        <v>FL</v>
      </c>
      <c r="E174" s="2200">
        <f t="shared" si="9"/>
        <v>26</v>
      </c>
      <c r="F174" s="2200" t="str">
        <f t="shared" si="10"/>
        <v>12</v>
      </c>
      <c r="G174" s="2200" t="str">
        <f t="shared" si="11"/>
        <v>33124</v>
      </c>
      <c r="H174" s="2200">
        <f>--SUBTOTAL(3,C$2:C174)</f>
        <v>18</v>
      </c>
    </row>
    <row r="175" spans="1:8" x14ac:dyDescent="0.15">
      <c r="A175" s="2200" t="s">
        <v>1878</v>
      </c>
      <c r="B175" s="2200" t="s">
        <v>2226</v>
      </c>
      <c r="C175" s="2200" t="s">
        <v>2227</v>
      </c>
      <c r="D175" s="2200" t="str">
        <f t="shared" si="8"/>
        <v>FL</v>
      </c>
      <c r="E175" s="2200">
        <f t="shared" si="9"/>
        <v>30</v>
      </c>
      <c r="F175" s="2200" t="str">
        <f t="shared" si="10"/>
        <v>12</v>
      </c>
      <c r="G175" s="2200" t="str">
        <f t="shared" si="11"/>
        <v>34940</v>
      </c>
      <c r="H175" s="2200">
        <f>--SUBTOTAL(3,C$2:C175)</f>
        <v>19</v>
      </c>
    </row>
    <row r="176" spans="1:8" x14ac:dyDescent="0.15">
      <c r="A176" s="2200" t="s">
        <v>1902</v>
      </c>
      <c r="B176" s="2200" t="s">
        <v>2228</v>
      </c>
      <c r="C176" s="2200" t="s">
        <v>2229</v>
      </c>
      <c r="D176" s="2200" t="str">
        <f t="shared" si="8"/>
        <v>FL</v>
      </c>
      <c r="E176" s="2200">
        <f t="shared" si="9"/>
        <v>20</v>
      </c>
      <c r="F176" s="2200" t="str">
        <f t="shared" si="10"/>
        <v>12</v>
      </c>
      <c r="G176" s="2200" t="str">
        <f t="shared" si="11"/>
        <v>41200</v>
      </c>
      <c r="H176" s="2200">
        <f>--SUBTOTAL(3,C$2:C176)</f>
        <v>20</v>
      </c>
    </row>
    <row r="177" spans="1:8" x14ac:dyDescent="0.15">
      <c r="A177" s="2200" t="s">
        <v>1878</v>
      </c>
      <c r="B177" s="2200" t="s">
        <v>2230</v>
      </c>
      <c r="C177" s="2200" t="s">
        <v>2231</v>
      </c>
      <c r="D177" s="2200" t="str">
        <f t="shared" si="8"/>
        <v>FL</v>
      </c>
      <c r="E177" s="2200">
        <f t="shared" si="9"/>
        <v>30</v>
      </c>
      <c r="F177" s="2200" t="str">
        <f t="shared" si="10"/>
        <v>12</v>
      </c>
      <c r="G177" s="2200" t="str">
        <f t="shared" si="11"/>
        <v>35840</v>
      </c>
      <c r="H177" s="2200">
        <f>--SUBTOTAL(3,C$2:C177)</f>
        <v>21</v>
      </c>
    </row>
    <row r="178" spans="1:8" x14ac:dyDescent="0.15">
      <c r="A178" s="2200" t="s">
        <v>1878</v>
      </c>
      <c r="B178" s="2200" t="s">
        <v>2232</v>
      </c>
      <c r="C178" s="2200" t="s">
        <v>2233</v>
      </c>
      <c r="D178" s="2200" t="str">
        <f t="shared" si="8"/>
        <v>FL</v>
      </c>
      <c r="E178" s="2200">
        <f t="shared" si="9"/>
        <v>6</v>
      </c>
      <c r="F178" s="2200" t="str">
        <f t="shared" si="10"/>
        <v>12</v>
      </c>
      <c r="G178" s="2200" t="str">
        <f t="shared" si="11"/>
        <v>36100</v>
      </c>
      <c r="H178" s="2200">
        <f>--SUBTOTAL(3,C$2:C178)</f>
        <v>22</v>
      </c>
    </row>
    <row r="179" spans="1:8" x14ac:dyDescent="0.15">
      <c r="A179" s="2200" t="s">
        <v>1884</v>
      </c>
      <c r="B179" s="2200" t="s">
        <v>2234</v>
      </c>
      <c r="C179" s="2200" t="s">
        <v>2235</v>
      </c>
      <c r="D179" s="2200" t="str">
        <f t="shared" si="8"/>
        <v>FL</v>
      </c>
      <c r="E179" s="2200">
        <f t="shared" si="9"/>
        <v>11</v>
      </c>
      <c r="F179" s="2200" t="str">
        <f t="shared" si="10"/>
        <v>12</v>
      </c>
      <c r="G179" s="2200" t="str">
        <f t="shared" si="11"/>
        <v>36380</v>
      </c>
      <c r="H179" s="2200">
        <f>--SUBTOTAL(3,C$2:C179)</f>
        <v>23</v>
      </c>
    </row>
    <row r="180" spans="1:8" x14ac:dyDescent="0.15">
      <c r="A180" s="2200" t="s">
        <v>1902</v>
      </c>
      <c r="B180" s="2200" t="s">
        <v>2236</v>
      </c>
      <c r="C180" s="2200" t="s">
        <v>2237</v>
      </c>
      <c r="D180" s="2200" t="str">
        <f t="shared" si="8"/>
        <v>FL</v>
      </c>
      <c r="E180" s="2200">
        <f t="shared" si="9"/>
        <v>30</v>
      </c>
      <c r="F180" s="2200" t="str">
        <f t="shared" si="10"/>
        <v>12</v>
      </c>
      <c r="G180" s="2200" t="str">
        <f t="shared" si="11"/>
        <v>42200</v>
      </c>
      <c r="H180" s="2200">
        <f>--SUBTOTAL(3,C$2:C180)</f>
        <v>24</v>
      </c>
    </row>
    <row r="181" spans="1:8" x14ac:dyDescent="0.15">
      <c r="A181" s="2200" t="s">
        <v>1878</v>
      </c>
      <c r="B181" s="2200" t="s">
        <v>2238</v>
      </c>
      <c r="C181" s="2200" t="s">
        <v>2239</v>
      </c>
      <c r="D181" s="2200" t="str">
        <f t="shared" si="8"/>
        <v>FL</v>
      </c>
      <c r="E181" s="2200">
        <f t="shared" si="9"/>
        <v>26</v>
      </c>
      <c r="F181" s="2200" t="str">
        <f t="shared" si="10"/>
        <v>12</v>
      </c>
      <c r="G181" s="2200" t="str">
        <f t="shared" si="11"/>
        <v>36740</v>
      </c>
      <c r="H181" s="2200">
        <f>--SUBTOTAL(3,C$2:C181)</f>
        <v>25</v>
      </c>
    </row>
    <row r="182" spans="1:8" x14ac:dyDescent="0.15">
      <c r="A182" s="2200" t="s">
        <v>1884</v>
      </c>
      <c r="B182" s="2200" t="s">
        <v>2240</v>
      </c>
      <c r="C182" s="2200" t="s">
        <v>2241</v>
      </c>
      <c r="D182" s="2200" t="str">
        <f t="shared" si="8"/>
        <v>FL</v>
      </c>
      <c r="E182" s="2200">
        <f t="shared" si="9"/>
        <v>8</v>
      </c>
      <c r="F182" s="2200" t="str">
        <f t="shared" si="10"/>
        <v>12</v>
      </c>
      <c r="G182" s="2200" t="str">
        <f t="shared" si="11"/>
        <v>37260</v>
      </c>
      <c r="H182" s="2200">
        <f>--SUBTOTAL(3,C$2:C182)</f>
        <v>26</v>
      </c>
    </row>
    <row r="183" spans="1:8" x14ac:dyDescent="0.15">
      <c r="A183" s="2200" t="s">
        <v>1878</v>
      </c>
      <c r="B183" s="2200" t="s">
        <v>2242</v>
      </c>
      <c r="C183" s="2200" t="s">
        <v>2243</v>
      </c>
      <c r="D183" s="2200" t="str">
        <f t="shared" si="8"/>
        <v>FL</v>
      </c>
      <c r="E183" s="2200">
        <f t="shared" si="9"/>
        <v>30</v>
      </c>
      <c r="F183" s="2200" t="str">
        <f t="shared" si="10"/>
        <v>12</v>
      </c>
      <c r="G183" s="2200" t="str">
        <f t="shared" si="11"/>
        <v>37340</v>
      </c>
      <c r="H183" s="2200">
        <f>--SUBTOTAL(3,C$2:C183)</f>
        <v>27</v>
      </c>
    </row>
    <row r="184" spans="1:8" x14ac:dyDescent="0.15">
      <c r="A184" s="2200" t="s">
        <v>1878</v>
      </c>
      <c r="B184" s="2200" t="s">
        <v>2244</v>
      </c>
      <c r="C184" s="2200" t="s">
        <v>2245</v>
      </c>
      <c r="D184" s="2200" t="str">
        <f t="shared" si="8"/>
        <v>FL</v>
      </c>
      <c r="E184" s="2200">
        <f t="shared" si="9"/>
        <v>12</v>
      </c>
      <c r="F184" s="2200" t="str">
        <f t="shared" si="10"/>
        <v>12</v>
      </c>
      <c r="G184" s="2200" t="str">
        <f t="shared" si="11"/>
        <v>37460</v>
      </c>
      <c r="H184" s="2200">
        <f>--SUBTOTAL(3,C$2:C184)</f>
        <v>28</v>
      </c>
    </row>
    <row r="185" spans="1:8" x14ac:dyDescent="0.15">
      <c r="A185" s="2200" t="s">
        <v>1902</v>
      </c>
      <c r="B185" s="2200" t="s">
        <v>2246</v>
      </c>
      <c r="C185" s="2200" t="s">
        <v>2247</v>
      </c>
      <c r="D185" s="2200" t="str">
        <f t="shared" si="8"/>
        <v>FL</v>
      </c>
      <c r="E185" s="2200">
        <f t="shared" si="9"/>
        <v>21</v>
      </c>
      <c r="F185" s="2200" t="str">
        <f t="shared" si="10"/>
        <v>12</v>
      </c>
      <c r="G185" s="2200" t="str">
        <f t="shared" si="11"/>
        <v>42600</v>
      </c>
      <c r="H185" s="2200">
        <f>--SUBTOTAL(3,C$2:C185)</f>
        <v>29</v>
      </c>
    </row>
    <row r="186" spans="1:8" x14ac:dyDescent="0.15">
      <c r="A186" s="2200" t="s">
        <v>1878</v>
      </c>
      <c r="B186" s="2200" t="s">
        <v>2248</v>
      </c>
      <c r="C186" s="2200" t="s">
        <v>2249</v>
      </c>
      <c r="D186" s="2200" t="str">
        <f t="shared" si="8"/>
        <v>FL</v>
      </c>
      <c r="E186" s="2200">
        <f t="shared" si="9"/>
        <v>27</v>
      </c>
      <c r="F186" s="2200" t="str">
        <f t="shared" si="10"/>
        <v>12</v>
      </c>
      <c r="G186" s="2200" t="str">
        <f t="shared" si="11"/>
        <v>37860</v>
      </c>
      <c r="H186" s="2200">
        <f>--SUBTOTAL(3,C$2:C186)</f>
        <v>30</v>
      </c>
    </row>
    <row r="187" spans="1:8" x14ac:dyDescent="0.15">
      <c r="A187" s="2200" t="s">
        <v>1878</v>
      </c>
      <c r="B187" s="2200" t="s">
        <v>2250</v>
      </c>
      <c r="C187" s="2200" t="s">
        <v>2251</v>
      </c>
      <c r="D187" s="2200" t="str">
        <f t="shared" si="8"/>
        <v>FL</v>
      </c>
      <c r="E187" s="2200">
        <f t="shared" si="9"/>
        <v>15</v>
      </c>
      <c r="F187" s="2200" t="str">
        <f t="shared" si="10"/>
        <v>12</v>
      </c>
      <c r="G187" s="2200" t="str">
        <f t="shared" si="11"/>
        <v>38940</v>
      </c>
      <c r="H187" s="2200">
        <f>--SUBTOTAL(3,C$2:C187)</f>
        <v>31</v>
      </c>
    </row>
    <row r="188" spans="1:8" x14ac:dyDescent="0.15">
      <c r="A188" s="2200" t="s">
        <v>1878</v>
      </c>
      <c r="B188" s="2200" t="s">
        <v>2252</v>
      </c>
      <c r="C188" s="2200" t="s">
        <v>2253</v>
      </c>
      <c r="D188" s="2200" t="str">
        <f t="shared" si="8"/>
        <v>FL</v>
      </c>
      <c r="E188" s="2200">
        <f t="shared" si="9"/>
        <v>12</v>
      </c>
      <c r="F188" s="2200" t="str">
        <f t="shared" si="10"/>
        <v>12</v>
      </c>
      <c r="G188" s="2200" t="str">
        <f t="shared" si="11"/>
        <v>39460</v>
      </c>
      <c r="H188" s="2200">
        <f>--SUBTOTAL(3,C$2:C188)</f>
        <v>32</v>
      </c>
    </row>
    <row r="189" spans="1:8" x14ac:dyDescent="0.15">
      <c r="A189" s="2200" t="s">
        <v>1878</v>
      </c>
      <c r="B189" s="2200" t="s">
        <v>2254</v>
      </c>
      <c r="C189" s="2200" t="s">
        <v>2255</v>
      </c>
      <c r="D189" s="2200" t="str">
        <f t="shared" si="8"/>
        <v>FL</v>
      </c>
      <c r="E189" s="2200">
        <f t="shared" si="9"/>
        <v>21</v>
      </c>
      <c r="F189" s="2200" t="str">
        <f t="shared" si="10"/>
        <v>12</v>
      </c>
      <c r="G189" s="2200" t="str">
        <f t="shared" si="11"/>
        <v>42680</v>
      </c>
      <c r="H189" s="2200">
        <f>--SUBTOTAL(3,C$2:C189)</f>
        <v>33</v>
      </c>
    </row>
    <row r="190" spans="1:8" x14ac:dyDescent="0.15">
      <c r="A190" s="2200" t="s">
        <v>1878</v>
      </c>
      <c r="B190" s="2200" t="s">
        <v>2256</v>
      </c>
      <c r="C190" s="2200" t="s">
        <v>2257</v>
      </c>
      <c r="D190" s="2200" t="str">
        <f t="shared" si="8"/>
        <v>FL</v>
      </c>
      <c r="E190" s="2200">
        <f t="shared" si="9"/>
        <v>8</v>
      </c>
      <c r="F190" s="2200" t="str">
        <f t="shared" si="10"/>
        <v>12</v>
      </c>
      <c r="G190" s="2200" t="str">
        <f t="shared" si="11"/>
        <v>42700</v>
      </c>
      <c r="H190" s="2200">
        <f>--SUBTOTAL(3,C$2:C190)</f>
        <v>34</v>
      </c>
    </row>
    <row r="191" spans="1:8" x14ac:dyDescent="0.15">
      <c r="A191" s="2200" t="s">
        <v>1878</v>
      </c>
      <c r="B191" s="2200" t="s">
        <v>2258</v>
      </c>
      <c r="C191" s="2200" t="s">
        <v>2259</v>
      </c>
      <c r="D191" s="2200" t="str">
        <f t="shared" si="8"/>
        <v>FL</v>
      </c>
      <c r="E191" s="2200">
        <f t="shared" si="9"/>
        <v>12</v>
      </c>
      <c r="F191" s="2200" t="str">
        <f t="shared" si="10"/>
        <v>12</v>
      </c>
      <c r="G191" s="2200" t="str">
        <f t="shared" si="11"/>
        <v>45220</v>
      </c>
      <c r="H191" s="2200">
        <f>--SUBTOTAL(3,C$2:C191)</f>
        <v>35</v>
      </c>
    </row>
    <row r="192" spans="1:8" x14ac:dyDescent="0.15">
      <c r="A192" s="2200" t="s">
        <v>1902</v>
      </c>
      <c r="B192" s="2200" t="s">
        <v>2260</v>
      </c>
      <c r="C192" s="2200" t="s">
        <v>2261</v>
      </c>
      <c r="D192" s="2200" t="str">
        <f t="shared" si="8"/>
        <v>FL</v>
      </c>
      <c r="E192" s="2200">
        <f t="shared" si="9"/>
        <v>23</v>
      </c>
      <c r="F192" s="2200" t="str">
        <f t="shared" si="10"/>
        <v>12</v>
      </c>
      <c r="G192" s="2200" t="str">
        <f t="shared" si="11"/>
        <v>53300</v>
      </c>
      <c r="H192" s="2200">
        <f>--SUBTOTAL(3,C$2:C192)</f>
        <v>36</v>
      </c>
    </row>
    <row r="193" spans="1:8" x14ac:dyDescent="0.15">
      <c r="A193" s="2200" t="s">
        <v>1878</v>
      </c>
      <c r="B193" s="2200" t="s">
        <v>2262</v>
      </c>
      <c r="C193" s="2200" t="s">
        <v>2263</v>
      </c>
      <c r="D193" s="2200" t="str">
        <f t="shared" si="8"/>
        <v>FL</v>
      </c>
      <c r="E193" s="2200">
        <f t="shared" si="9"/>
        <v>32</v>
      </c>
      <c r="F193" s="2200" t="str">
        <f t="shared" si="10"/>
        <v>12</v>
      </c>
      <c r="G193" s="2200" t="str">
        <f t="shared" si="11"/>
        <v>45300</v>
      </c>
      <c r="H193" s="2200">
        <f>--SUBTOTAL(3,C$2:C193)</f>
        <v>37</v>
      </c>
    </row>
    <row r="194" spans="1:8" x14ac:dyDescent="0.15">
      <c r="A194" s="2200" t="s">
        <v>1878</v>
      </c>
      <c r="B194" s="2200" t="s">
        <v>2264</v>
      </c>
      <c r="C194" s="2200" t="s">
        <v>2265</v>
      </c>
      <c r="D194" s="2200" t="str">
        <f t="shared" si="8"/>
        <v>FL</v>
      </c>
      <c r="E194" s="2200">
        <f t="shared" si="9"/>
        <v>13</v>
      </c>
      <c r="F194" s="2200" t="str">
        <f t="shared" si="10"/>
        <v>12</v>
      </c>
      <c r="G194" s="2200" t="str">
        <f t="shared" si="11"/>
        <v>45540</v>
      </c>
      <c r="H194" s="2200">
        <f>--SUBTOTAL(3,C$2:C194)</f>
        <v>38</v>
      </c>
    </row>
    <row r="195" spans="1:8" x14ac:dyDescent="0.15">
      <c r="A195" s="2200" t="s">
        <v>1884</v>
      </c>
      <c r="B195" s="2200" t="s">
        <v>2266</v>
      </c>
      <c r="C195" s="2200" t="s">
        <v>2267</v>
      </c>
      <c r="D195" s="2200" t="str">
        <f t="shared" si="8"/>
        <v>FL</v>
      </c>
      <c r="E195" s="2200">
        <f t="shared" si="9"/>
        <v>9</v>
      </c>
      <c r="F195" s="2200" t="str">
        <f t="shared" si="10"/>
        <v>12</v>
      </c>
      <c r="G195" s="2200" t="str">
        <f t="shared" si="11"/>
        <v>48100</v>
      </c>
      <c r="H195" s="2200">
        <f>--SUBTOTAL(3,C$2:C195)</f>
        <v>39</v>
      </c>
    </row>
    <row r="196" spans="1:8" x14ac:dyDescent="0.15">
      <c r="A196" s="2200" t="s">
        <v>2023</v>
      </c>
      <c r="B196" s="2200" t="s">
        <v>2268</v>
      </c>
      <c r="C196" s="2200" t="s">
        <v>2269</v>
      </c>
      <c r="D196" s="2200" t="str">
        <f t="shared" si="8"/>
        <v>FL</v>
      </c>
      <c r="E196" s="2200">
        <f t="shared" si="9"/>
        <v>40</v>
      </c>
      <c r="F196" s="2200" t="str">
        <f t="shared" si="10"/>
        <v>12</v>
      </c>
      <c r="G196" s="2200" t="str">
        <f t="shared" si="11"/>
        <v>48424</v>
      </c>
      <c r="H196" s="2200">
        <f>--SUBTOTAL(3,C$2:C196)</f>
        <v>40</v>
      </c>
    </row>
    <row r="197" spans="1:8" hidden="1" x14ac:dyDescent="0.15">
      <c r="A197" s="2200" t="s">
        <v>1878</v>
      </c>
      <c r="B197" s="2200" t="s">
        <v>2270</v>
      </c>
      <c r="C197" s="2200" t="s">
        <v>2271</v>
      </c>
      <c r="D197" s="2200" t="str">
        <f t="shared" si="8"/>
        <v>GA</v>
      </c>
      <c r="E197" s="2200">
        <f t="shared" si="9"/>
        <v>7</v>
      </c>
      <c r="F197" s="2200" t="str">
        <f t="shared" si="10"/>
        <v>13</v>
      </c>
      <c r="G197" s="2200" t="str">
        <f t="shared" si="11"/>
        <v>10500</v>
      </c>
      <c r="H197" s="2200">
        <f>--SUBTOTAL(3,C$2:C197)</f>
        <v>40</v>
      </c>
    </row>
    <row r="198" spans="1:8" hidden="1" x14ac:dyDescent="0.15">
      <c r="A198" s="2200" t="s">
        <v>1884</v>
      </c>
      <c r="B198" s="2200" t="s">
        <v>2273</v>
      </c>
      <c r="C198" s="2200" t="s">
        <v>2274</v>
      </c>
      <c r="D198" s="2200" t="str">
        <f t="shared" si="8"/>
        <v>GA</v>
      </c>
      <c r="E198" s="2200">
        <f t="shared" si="9"/>
        <v>9</v>
      </c>
      <c r="F198" s="2200" t="str">
        <f t="shared" si="10"/>
        <v>13</v>
      </c>
      <c r="G198" s="2200" t="str">
        <f t="shared" si="11"/>
        <v>11140</v>
      </c>
      <c r="H198" s="2200">
        <f>--SUBTOTAL(3,C$2:C198)</f>
        <v>40</v>
      </c>
    </row>
    <row r="199" spans="1:8" hidden="1" x14ac:dyDescent="0.15">
      <c r="A199" s="2200" t="s">
        <v>1878</v>
      </c>
      <c r="B199" s="2200" t="s">
        <v>2275</v>
      </c>
      <c r="C199" s="2200" t="s">
        <v>2276</v>
      </c>
      <c r="D199" s="2200" t="str">
        <f t="shared" si="8"/>
        <v>GA</v>
      </c>
      <c r="E199" s="2200">
        <f t="shared" si="9"/>
        <v>21</v>
      </c>
      <c r="F199" s="2200" t="str">
        <f t="shared" si="10"/>
        <v>13</v>
      </c>
      <c r="G199" s="2200" t="str">
        <f t="shared" si="11"/>
        <v>12020</v>
      </c>
      <c r="H199" s="2200">
        <f>--SUBTOTAL(3,C$2:C199)</f>
        <v>40</v>
      </c>
    </row>
    <row r="200" spans="1:8" hidden="1" x14ac:dyDescent="0.15">
      <c r="A200" s="2200" t="s">
        <v>1902</v>
      </c>
      <c r="B200" s="2200" t="s">
        <v>2277</v>
      </c>
      <c r="C200" s="2200" t="s">
        <v>2278</v>
      </c>
      <c r="D200" s="2200" t="str">
        <f t="shared" si="8"/>
        <v>GA</v>
      </c>
      <c r="E200" s="2200">
        <f t="shared" si="9"/>
        <v>45</v>
      </c>
      <c r="F200" s="2200" t="str">
        <f t="shared" si="10"/>
        <v>13</v>
      </c>
      <c r="G200" s="2200" t="str">
        <f t="shared" si="11"/>
        <v>12200</v>
      </c>
      <c r="H200" s="2200">
        <f>--SUBTOTAL(3,C$2:C200)</f>
        <v>40</v>
      </c>
    </row>
    <row r="201" spans="1:8" hidden="1" x14ac:dyDescent="0.15">
      <c r="A201" s="2200" t="s">
        <v>1878</v>
      </c>
      <c r="B201" s="2200" t="s">
        <v>2279</v>
      </c>
      <c r="C201" s="2200" t="s">
        <v>2280</v>
      </c>
      <c r="D201" s="2200" t="str">
        <f t="shared" ref="D201:D266" si="12">MID(C201,E201+2,2)</f>
        <v>GA</v>
      </c>
      <c r="E201" s="2200">
        <f t="shared" ref="E201:E266" si="13">FIND(",",C201)</f>
        <v>30</v>
      </c>
      <c r="F201" s="2200" t="str">
        <f t="shared" ref="F201:F266" si="14">MID(B201,3,2)</f>
        <v>13</v>
      </c>
      <c r="G201" s="2200" t="str">
        <f t="shared" ref="G201:G266" si="15">MID(B201,5,5)</f>
        <v>12060</v>
      </c>
      <c r="H201" s="2200">
        <f>--SUBTOTAL(3,C$2:C201)</f>
        <v>40</v>
      </c>
    </row>
    <row r="202" spans="1:8" hidden="1" x14ac:dyDescent="0.15">
      <c r="A202" s="2200" t="s">
        <v>1878</v>
      </c>
      <c r="B202" s="2200" t="s">
        <v>2281</v>
      </c>
      <c r="C202" s="2200" t="s">
        <v>2282</v>
      </c>
      <c r="D202" s="2200" t="str">
        <f t="shared" si="12"/>
        <v>GA</v>
      </c>
      <c r="E202" s="2200">
        <f t="shared" si="13"/>
        <v>24</v>
      </c>
      <c r="F202" s="2200" t="str">
        <f t="shared" si="14"/>
        <v>13</v>
      </c>
      <c r="G202" s="2200" t="str">
        <f t="shared" si="15"/>
        <v>12260</v>
      </c>
      <c r="H202" s="2200">
        <f>--SUBTOTAL(3,C$2:C202)</f>
        <v>40</v>
      </c>
    </row>
    <row r="203" spans="1:8" hidden="1" x14ac:dyDescent="0.15">
      <c r="A203" s="2200" t="s">
        <v>1884</v>
      </c>
      <c r="B203" s="2200" t="s">
        <v>2283</v>
      </c>
      <c r="C203" s="2200" t="s">
        <v>2284</v>
      </c>
      <c r="D203" s="2200" t="str">
        <f t="shared" si="12"/>
        <v>GA</v>
      </c>
      <c r="E203" s="2200">
        <f t="shared" si="13"/>
        <v>11</v>
      </c>
      <c r="F203" s="2200" t="str">
        <f t="shared" si="14"/>
        <v>13</v>
      </c>
      <c r="G203" s="2200" t="str">
        <f t="shared" si="15"/>
        <v>12460</v>
      </c>
      <c r="H203" s="2200">
        <f>--SUBTOTAL(3,C$2:C203)</f>
        <v>40</v>
      </c>
    </row>
    <row r="204" spans="1:8" hidden="1" x14ac:dyDescent="0.15">
      <c r="A204" s="2200" t="s">
        <v>1878</v>
      </c>
      <c r="B204" s="2200" t="s">
        <v>2285</v>
      </c>
      <c r="C204" s="2200" t="s">
        <v>2286</v>
      </c>
      <c r="D204" s="2200" t="str">
        <f t="shared" si="12"/>
        <v>GA</v>
      </c>
      <c r="E204" s="2200">
        <f t="shared" si="13"/>
        <v>10</v>
      </c>
      <c r="F204" s="2200" t="str">
        <f t="shared" si="14"/>
        <v>13</v>
      </c>
      <c r="G204" s="2200" t="str">
        <f t="shared" si="15"/>
        <v>15260</v>
      </c>
      <c r="H204" s="2200">
        <f>--SUBTOTAL(3,C$2:C204)</f>
        <v>40</v>
      </c>
    </row>
    <row r="205" spans="1:8" hidden="1" x14ac:dyDescent="0.15">
      <c r="A205" s="2200" t="s">
        <v>1884</v>
      </c>
      <c r="B205" s="2200" t="s">
        <v>2287</v>
      </c>
      <c r="C205" s="2200" t="s">
        <v>2288</v>
      </c>
      <c r="D205" s="2200" t="str">
        <f t="shared" si="12"/>
        <v>GA</v>
      </c>
      <c r="E205" s="2200">
        <f t="shared" si="13"/>
        <v>8</v>
      </c>
      <c r="F205" s="2200" t="str">
        <f t="shared" si="14"/>
        <v>13</v>
      </c>
      <c r="G205" s="2200" t="str">
        <f t="shared" si="15"/>
        <v>15660</v>
      </c>
      <c r="H205" s="2200">
        <f>--SUBTOTAL(3,C$2:C205)</f>
        <v>40</v>
      </c>
    </row>
    <row r="206" spans="1:8" hidden="1" x14ac:dyDescent="0.15">
      <c r="A206" s="2200" t="s">
        <v>1884</v>
      </c>
      <c r="B206" s="2200" t="s">
        <v>2289</v>
      </c>
      <c r="C206" s="2200" t="s">
        <v>2290</v>
      </c>
      <c r="D206" s="2200" t="str">
        <f t="shared" si="12"/>
        <v>GA</v>
      </c>
      <c r="E206" s="2200">
        <f t="shared" si="13"/>
        <v>10</v>
      </c>
      <c r="F206" s="2200" t="str">
        <f t="shared" si="14"/>
        <v>13</v>
      </c>
      <c r="G206" s="2200" t="str">
        <f t="shared" si="15"/>
        <v>16340</v>
      </c>
      <c r="H206" s="2200">
        <f>--SUBTOTAL(3,C$2:C206)</f>
        <v>40</v>
      </c>
    </row>
    <row r="207" spans="1:8" hidden="1" x14ac:dyDescent="0.15">
      <c r="A207" s="2200" t="s">
        <v>1878</v>
      </c>
      <c r="B207" s="2200" t="s">
        <v>3788</v>
      </c>
      <c r="C207" s="2200" t="s">
        <v>17887</v>
      </c>
      <c r="D207" s="2200" t="str">
        <f t="shared" si="12"/>
        <v>GA</v>
      </c>
      <c r="E207" s="2200">
        <f t="shared" si="13"/>
        <v>12</v>
      </c>
      <c r="F207" s="2200" t="str">
        <f t="shared" si="14"/>
        <v>47</v>
      </c>
      <c r="G207" s="2200" t="str">
        <f t="shared" si="15"/>
        <v>16860</v>
      </c>
      <c r="H207" s="2200">
        <f>--SUBTOTAL(3,C$2:C207)</f>
        <v>40</v>
      </c>
    </row>
    <row r="208" spans="1:8" hidden="1" x14ac:dyDescent="0.15">
      <c r="A208" s="2200" t="s">
        <v>1878</v>
      </c>
      <c r="B208" s="2200" t="s">
        <v>2291</v>
      </c>
      <c r="C208" s="2200" t="s">
        <v>2292</v>
      </c>
      <c r="D208" s="2200" t="str">
        <f t="shared" si="12"/>
        <v>GA</v>
      </c>
      <c r="E208" s="2200">
        <f t="shared" si="13"/>
        <v>9</v>
      </c>
      <c r="F208" s="2200" t="str">
        <f t="shared" si="14"/>
        <v>13</v>
      </c>
      <c r="G208" s="2200" t="str">
        <f t="shared" si="15"/>
        <v>17980</v>
      </c>
      <c r="H208" s="2200">
        <f>--SUBTOTAL(3,C$2:C208)</f>
        <v>40</v>
      </c>
    </row>
    <row r="209" spans="1:8" hidden="1" x14ac:dyDescent="0.15">
      <c r="A209" s="2200" t="s">
        <v>1902</v>
      </c>
      <c r="B209" s="2200" t="s">
        <v>2293</v>
      </c>
      <c r="C209" s="2200" t="s">
        <v>2294</v>
      </c>
      <c r="D209" s="2200" t="str">
        <f t="shared" si="12"/>
        <v>GA</v>
      </c>
      <c r="E209" s="2200">
        <f t="shared" si="13"/>
        <v>24</v>
      </c>
      <c r="F209" s="2200" t="str">
        <f t="shared" si="14"/>
        <v>13</v>
      </c>
      <c r="G209" s="2200" t="str">
        <f t="shared" si="15"/>
        <v>19400</v>
      </c>
      <c r="H209" s="2200">
        <f>--SUBTOTAL(3,C$2:C209)</f>
        <v>40</v>
      </c>
    </row>
    <row r="210" spans="1:8" hidden="1" x14ac:dyDescent="0.15">
      <c r="A210" s="2200" t="s">
        <v>1884</v>
      </c>
      <c r="B210" s="2200" t="s">
        <v>2295</v>
      </c>
      <c r="C210" s="2200" t="s">
        <v>2296</v>
      </c>
      <c r="D210" s="2200" t="str">
        <f t="shared" si="12"/>
        <v>GA</v>
      </c>
      <c r="E210" s="2200">
        <f t="shared" si="13"/>
        <v>8</v>
      </c>
      <c r="F210" s="2200" t="str">
        <f t="shared" si="14"/>
        <v>13</v>
      </c>
      <c r="G210" s="2200" t="str">
        <f t="shared" si="15"/>
        <v>18380</v>
      </c>
      <c r="H210" s="2200">
        <f>--SUBTOTAL(3,C$2:C210)</f>
        <v>40</v>
      </c>
    </row>
    <row r="211" spans="1:8" hidden="1" x14ac:dyDescent="0.15">
      <c r="A211" s="2200" t="s">
        <v>1884</v>
      </c>
      <c r="B211" s="2200" t="s">
        <v>2297</v>
      </c>
      <c r="C211" s="2200" t="s">
        <v>2298</v>
      </c>
      <c r="D211" s="2200" t="str">
        <f t="shared" si="12"/>
        <v>GA</v>
      </c>
      <c r="E211" s="2200">
        <f t="shared" si="13"/>
        <v>9</v>
      </c>
      <c r="F211" s="2200" t="str">
        <f t="shared" si="14"/>
        <v>13</v>
      </c>
      <c r="G211" s="2200" t="str">
        <f t="shared" si="15"/>
        <v>18460</v>
      </c>
      <c r="H211" s="2200">
        <f>--SUBTOTAL(3,C$2:C211)</f>
        <v>40</v>
      </c>
    </row>
    <row r="212" spans="1:8" hidden="1" x14ac:dyDescent="0.15">
      <c r="A212" s="2200" t="s">
        <v>1878</v>
      </c>
      <c r="B212" s="2200" t="s">
        <v>2299</v>
      </c>
      <c r="C212" s="2200" t="s">
        <v>2300</v>
      </c>
      <c r="D212" s="2200" t="str">
        <f t="shared" si="12"/>
        <v>GA</v>
      </c>
      <c r="E212" s="2200">
        <f t="shared" si="13"/>
        <v>7</v>
      </c>
      <c r="F212" s="2200" t="str">
        <f t="shared" si="14"/>
        <v>13</v>
      </c>
      <c r="G212" s="2200" t="str">
        <f t="shared" si="15"/>
        <v>19140</v>
      </c>
      <c r="H212" s="2200">
        <f>--SUBTOTAL(3,C$2:C212)</f>
        <v>40</v>
      </c>
    </row>
    <row r="213" spans="1:8" hidden="1" x14ac:dyDescent="0.15">
      <c r="A213" s="2200" t="s">
        <v>1884</v>
      </c>
      <c r="B213" s="2200" t="s">
        <v>2301</v>
      </c>
      <c r="C213" s="2200" t="s">
        <v>2302</v>
      </c>
      <c r="D213" s="2200" t="str">
        <f t="shared" si="12"/>
        <v>GA</v>
      </c>
      <c r="E213" s="2200">
        <f t="shared" si="13"/>
        <v>8</v>
      </c>
      <c r="F213" s="2200" t="str">
        <f t="shared" si="14"/>
        <v>13</v>
      </c>
      <c r="G213" s="2200" t="str">
        <f t="shared" si="15"/>
        <v>20060</v>
      </c>
      <c r="H213" s="2200">
        <f>--SUBTOTAL(3,C$2:C213)</f>
        <v>40</v>
      </c>
    </row>
    <row r="214" spans="1:8" hidden="1" x14ac:dyDescent="0.15">
      <c r="A214" s="2200" t="s">
        <v>1884</v>
      </c>
      <c r="B214" s="2200" t="s">
        <v>2303</v>
      </c>
      <c r="C214" s="2200" t="s">
        <v>2304</v>
      </c>
      <c r="D214" s="2200" t="str">
        <f t="shared" si="12"/>
        <v>GA</v>
      </c>
      <c r="E214" s="2200">
        <f t="shared" si="13"/>
        <v>7</v>
      </c>
      <c r="F214" s="2200" t="str">
        <f t="shared" si="14"/>
        <v>13</v>
      </c>
      <c r="G214" s="2200" t="str">
        <f t="shared" si="15"/>
        <v>20140</v>
      </c>
      <c r="H214" s="2200">
        <f>--SUBTOTAL(3,C$2:C214)</f>
        <v>40</v>
      </c>
    </row>
    <row r="215" spans="1:8" hidden="1" x14ac:dyDescent="0.15">
      <c r="A215" s="2200" t="s">
        <v>1884</v>
      </c>
      <c r="B215" s="2200" t="s">
        <v>2305</v>
      </c>
      <c r="C215" s="2200" t="s">
        <v>2306</v>
      </c>
      <c r="D215" s="2200" t="str">
        <f t="shared" si="12"/>
        <v>GA</v>
      </c>
      <c r="E215" s="2200">
        <f t="shared" si="13"/>
        <v>11</v>
      </c>
      <c r="F215" s="2200" t="str">
        <f t="shared" si="14"/>
        <v>13</v>
      </c>
      <c r="G215" s="2200" t="str">
        <f t="shared" si="15"/>
        <v>22340</v>
      </c>
      <c r="H215" s="2200">
        <f>--SUBTOTAL(3,C$2:C215)</f>
        <v>40</v>
      </c>
    </row>
    <row r="216" spans="1:8" hidden="1" x14ac:dyDescent="0.15">
      <c r="A216" s="2200" t="s">
        <v>1878</v>
      </c>
      <c r="B216" s="2200" t="s">
        <v>2307</v>
      </c>
      <c r="C216" s="2200" t="s">
        <v>2308</v>
      </c>
      <c r="D216" s="2200" t="str">
        <f t="shared" si="12"/>
        <v>GA</v>
      </c>
      <c r="E216" s="2200">
        <f t="shared" si="13"/>
        <v>12</v>
      </c>
      <c r="F216" s="2200" t="str">
        <f t="shared" si="14"/>
        <v>13</v>
      </c>
      <c r="G216" s="2200" t="str">
        <f t="shared" si="15"/>
        <v>23580</v>
      </c>
      <c r="H216" s="2200">
        <f>--SUBTOTAL(3,C$2:C216)</f>
        <v>40</v>
      </c>
    </row>
    <row r="217" spans="1:8" hidden="1" x14ac:dyDescent="0.15">
      <c r="A217" s="2200" t="s">
        <v>1878</v>
      </c>
      <c r="B217" s="2200" t="s">
        <v>2309</v>
      </c>
      <c r="C217" s="2200" t="s">
        <v>2310</v>
      </c>
      <c r="D217" s="2200" t="str">
        <f t="shared" si="12"/>
        <v>GA</v>
      </c>
      <c r="E217" s="2200">
        <f t="shared" si="13"/>
        <v>11</v>
      </c>
      <c r="F217" s="2200" t="str">
        <f t="shared" si="14"/>
        <v>13</v>
      </c>
      <c r="G217" s="2200" t="str">
        <f t="shared" si="15"/>
        <v>25980</v>
      </c>
      <c r="H217" s="2200">
        <f>--SUBTOTAL(3,C$2:C217)</f>
        <v>40</v>
      </c>
    </row>
    <row r="218" spans="1:8" hidden="1" x14ac:dyDescent="0.15">
      <c r="A218" s="2200" t="s">
        <v>1884</v>
      </c>
      <c r="B218" s="2200" t="s">
        <v>2311</v>
      </c>
      <c r="C218" s="2200" t="s">
        <v>2312</v>
      </c>
      <c r="D218" s="2200" t="str">
        <f t="shared" si="12"/>
        <v>GA</v>
      </c>
      <c r="E218" s="2200">
        <f t="shared" si="13"/>
        <v>10</v>
      </c>
      <c r="F218" s="2200" t="str">
        <f t="shared" si="14"/>
        <v>13</v>
      </c>
      <c r="G218" s="2200" t="str">
        <f t="shared" si="15"/>
        <v>27600</v>
      </c>
      <c r="H218" s="2200">
        <f>--SUBTOTAL(3,C$2:C218)</f>
        <v>40</v>
      </c>
    </row>
    <row r="219" spans="1:8" hidden="1" x14ac:dyDescent="0.15">
      <c r="A219" s="2200" t="s">
        <v>1884</v>
      </c>
      <c r="B219" s="2200" t="s">
        <v>2313</v>
      </c>
      <c r="C219" s="2200" t="s">
        <v>2314</v>
      </c>
      <c r="D219" s="2200" t="str">
        <f t="shared" si="12"/>
        <v>GA</v>
      </c>
      <c r="E219" s="2200">
        <f t="shared" si="13"/>
        <v>6</v>
      </c>
      <c r="F219" s="2200" t="str">
        <f t="shared" si="14"/>
        <v>13</v>
      </c>
      <c r="G219" s="2200" t="str">
        <f t="shared" si="15"/>
        <v>27700</v>
      </c>
      <c r="H219" s="2200">
        <f>--SUBTOTAL(3,C$2:C219)</f>
        <v>40</v>
      </c>
    </row>
    <row r="220" spans="1:8" hidden="1" x14ac:dyDescent="0.15">
      <c r="A220" s="2200" t="s">
        <v>1884</v>
      </c>
      <c r="B220" s="2200" t="s">
        <v>2315</v>
      </c>
      <c r="C220" s="2200" t="s">
        <v>2316</v>
      </c>
      <c r="D220" s="2200" t="str">
        <f t="shared" si="12"/>
        <v>GA</v>
      </c>
      <c r="E220" s="2200">
        <f t="shared" si="13"/>
        <v>9</v>
      </c>
      <c r="F220" s="2200" t="str">
        <f t="shared" si="14"/>
        <v>13</v>
      </c>
      <c r="G220" s="2200" t="str">
        <f t="shared" si="15"/>
        <v>29300</v>
      </c>
      <c r="H220" s="2200">
        <f>--SUBTOTAL(3,C$2:C220)</f>
        <v>40</v>
      </c>
    </row>
    <row r="221" spans="1:8" hidden="1" x14ac:dyDescent="0.15">
      <c r="A221" s="2200" t="s">
        <v>1878</v>
      </c>
      <c r="B221" s="2200" t="s">
        <v>2317</v>
      </c>
      <c r="C221" s="2200" t="s">
        <v>2318</v>
      </c>
      <c r="D221" s="2200" t="str">
        <f t="shared" si="12"/>
        <v>GA</v>
      </c>
      <c r="E221" s="2200">
        <f t="shared" si="13"/>
        <v>18</v>
      </c>
      <c r="F221" s="2200" t="str">
        <f t="shared" si="14"/>
        <v>13</v>
      </c>
      <c r="G221" s="2200" t="str">
        <f t="shared" si="15"/>
        <v>31420</v>
      </c>
      <c r="H221" s="2200">
        <f>--SUBTOTAL(3,C$2:C221)</f>
        <v>40</v>
      </c>
    </row>
    <row r="222" spans="1:8" hidden="1" x14ac:dyDescent="0.15">
      <c r="A222" s="2200" t="s">
        <v>1902</v>
      </c>
      <c r="B222" s="2200" t="s">
        <v>2319</v>
      </c>
      <c r="C222" s="2200" t="s">
        <v>2320</v>
      </c>
      <c r="D222" s="2200" t="str">
        <f t="shared" si="12"/>
        <v>GA</v>
      </c>
      <c r="E222" s="2200">
        <f t="shared" si="13"/>
        <v>33</v>
      </c>
      <c r="F222" s="2200" t="str">
        <f t="shared" si="14"/>
        <v>13</v>
      </c>
      <c r="G222" s="2200" t="str">
        <f t="shared" si="15"/>
        <v>35600</v>
      </c>
      <c r="H222" s="2200">
        <f>--SUBTOTAL(3,C$2:C222)</f>
        <v>40</v>
      </c>
    </row>
    <row r="223" spans="1:8" hidden="1" x14ac:dyDescent="0.15">
      <c r="A223" s="2200" t="s">
        <v>1884</v>
      </c>
      <c r="B223" s="2200" t="s">
        <v>2321</v>
      </c>
      <c r="C223" s="2200" t="s">
        <v>2322</v>
      </c>
      <c r="D223" s="2200" t="str">
        <f t="shared" si="12"/>
        <v>GA</v>
      </c>
      <c r="E223" s="2200">
        <f t="shared" si="13"/>
        <v>14</v>
      </c>
      <c r="F223" s="2200" t="str">
        <f t="shared" si="14"/>
        <v>13</v>
      </c>
      <c r="G223" s="2200" t="str">
        <f t="shared" si="15"/>
        <v>33300</v>
      </c>
      <c r="H223" s="2200">
        <f>--SUBTOTAL(3,C$2:C223)</f>
        <v>40</v>
      </c>
    </row>
    <row r="224" spans="1:8" hidden="1" x14ac:dyDescent="0.15">
      <c r="A224" s="2200" t="s">
        <v>1884</v>
      </c>
      <c r="B224" s="2200" t="s">
        <v>2323</v>
      </c>
      <c r="C224" s="2200" t="s">
        <v>2324</v>
      </c>
      <c r="D224" s="2200" t="str">
        <f t="shared" si="12"/>
        <v>GA</v>
      </c>
      <c r="E224" s="2200">
        <f t="shared" si="13"/>
        <v>9</v>
      </c>
      <c r="F224" s="2200" t="str">
        <f t="shared" si="14"/>
        <v>13</v>
      </c>
      <c r="G224" s="2200" t="str">
        <f t="shared" si="15"/>
        <v>34220</v>
      </c>
      <c r="H224" s="2200">
        <f>--SUBTOTAL(3,C$2:C224)</f>
        <v>40</v>
      </c>
    </row>
    <row r="225" spans="1:8" hidden="1" x14ac:dyDescent="0.15">
      <c r="A225" s="2200" t="s">
        <v>1878</v>
      </c>
      <c r="B225" s="2200" t="s">
        <v>2325</v>
      </c>
      <c r="C225" s="2200" t="s">
        <v>2326</v>
      </c>
      <c r="D225" s="2200" t="str">
        <f t="shared" si="12"/>
        <v>GA</v>
      </c>
      <c r="E225" s="2200">
        <f t="shared" si="13"/>
        <v>5</v>
      </c>
      <c r="F225" s="2200" t="str">
        <f t="shared" si="14"/>
        <v>13</v>
      </c>
      <c r="G225" s="2200" t="str">
        <f t="shared" si="15"/>
        <v>40660</v>
      </c>
      <c r="H225" s="2200">
        <f>--SUBTOTAL(3,C$2:C225)</f>
        <v>40</v>
      </c>
    </row>
    <row r="226" spans="1:8" hidden="1" x14ac:dyDescent="0.15">
      <c r="A226" s="2200" t="s">
        <v>1902</v>
      </c>
      <c r="B226" s="2200" t="s">
        <v>2327</v>
      </c>
      <c r="C226" s="2200" t="s">
        <v>2328</v>
      </c>
      <c r="D226" s="2200" t="str">
        <f t="shared" si="12"/>
        <v>GA</v>
      </c>
      <c r="E226" s="2200">
        <f t="shared" si="13"/>
        <v>17</v>
      </c>
      <c r="F226" s="2200" t="str">
        <f t="shared" si="14"/>
        <v>13</v>
      </c>
      <c r="G226" s="2200" t="str">
        <f t="shared" si="15"/>
        <v>47000</v>
      </c>
      <c r="H226" s="2200">
        <f>--SUBTOTAL(3,C$2:C226)</f>
        <v>40</v>
      </c>
    </row>
    <row r="227" spans="1:8" hidden="1" x14ac:dyDescent="0.15">
      <c r="A227" s="2200" t="s">
        <v>1878</v>
      </c>
      <c r="B227" s="2200" t="s">
        <v>2329</v>
      </c>
      <c r="C227" s="2200" t="s">
        <v>2330</v>
      </c>
      <c r="D227" s="2200" t="str">
        <f t="shared" si="12"/>
        <v>GA</v>
      </c>
      <c r="E227" s="2200">
        <f t="shared" si="13"/>
        <v>9</v>
      </c>
      <c r="F227" s="2200" t="str">
        <f t="shared" si="14"/>
        <v>13</v>
      </c>
      <c r="G227" s="2200" t="str">
        <f t="shared" si="15"/>
        <v>42340</v>
      </c>
      <c r="H227" s="2200">
        <f>--SUBTOTAL(3,C$2:C227)</f>
        <v>40</v>
      </c>
    </row>
    <row r="228" spans="1:8" hidden="1" x14ac:dyDescent="0.15">
      <c r="A228" s="2200" t="s">
        <v>1902</v>
      </c>
      <c r="B228" s="2200" t="s">
        <v>2331</v>
      </c>
      <c r="C228" s="2200" t="s">
        <v>2332</v>
      </c>
      <c r="D228" s="2200" t="str">
        <f t="shared" si="12"/>
        <v>GA</v>
      </c>
      <c r="E228" s="2200">
        <f t="shared" si="13"/>
        <v>31</v>
      </c>
      <c r="F228" s="2200" t="str">
        <f t="shared" si="14"/>
        <v>13</v>
      </c>
      <c r="G228" s="2200" t="str">
        <f t="shared" si="15"/>
        <v>49600</v>
      </c>
      <c r="H228" s="2200">
        <f>--SUBTOTAL(3,C$2:C228)</f>
        <v>40</v>
      </c>
    </row>
    <row r="229" spans="1:8" hidden="1" x14ac:dyDescent="0.15">
      <c r="A229" s="2200" t="s">
        <v>1884</v>
      </c>
      <c r="B229" s="2200" t="s">
        <v>2333</v>
      </c>
      <c r="C229" s="2200" t="s">
        <v>2334</v>
      </c>
      <c r="D229" s="2200" t="str">
        <f t="shared" si="12"/>
        <v>GA</v>
      </c>
      <c r="E229" s="2200">
        <f t="shared" si="13"/>
        <v>10</v>
      </c>
      <c r="F229" s="2200" t="str">
        <f t="shared" si="14"/>
        <v>13</v>
      </c>
      <c r="G229" s="2200" t="str">
        <f t="shared" si="15"/>
        <v>41220</v>
      </c>
      <c r="H229" s="2200">
        <f>--SUBTOTAL(3,C$2:C229)</f>
        <v>40</v>
      </c>
    </row>
    <row r="230" spans="1:8" hidden="1" x14ac:dyDescent="0.15">
      <c r="A230" s="2200" t="s">
        <v>1884</v>
      </c>
      <c r="B230" s="2200" t="s">
        <v>2335</v>
      </c>
      <c r="C230" s="2200" t="s">
        <v>2336</v>
      </c>
      <c r="D230" s="2200" t="str">
        <f t="shared" si="12"/>
        <v>GA</v>
      </c>
      <c r="E230" s="2200">
        <f t="shared" si="13"/>
        <v>11</v>
      </c>
      <c r="F230" s="2200" t="str">
        <f t="shared" si="14"/>
        <v>13</v>
      </c>
      <c r="G230" s="2200" t="str">
        <f t="shared" si="15"/>
        <v>44340</v>
      </c>
      <c r="H230" s="2200">
        <f>--SUBTOTAL(3,C$2:C230)</f>
        <v>40</v>
      </c>
    </row>
    <row r="231" spans="1:8" hidden="1" x14ac:dyDescent="0.15">
      <c r="A231" s="2200" t="s">
        <v>1884</v>
      </c>
      <c r="B231" s="2200" t="s">
        <v>2337</v>
      </c>
      <c r="C231" s="2200" t="s">
        <v>2338</v>
      </c>
      <c r="D231" s="2200" t="str">
        <f t="shared" si="12"/>
        <v>GA</v>
      </c>
      <c r="E231" s="2200">
        <f t="shared" si="13"/>
        <v>12</v>
      </c>
      <c r="F231" s="2200" t="str">
        <f t="shared" si="14"/>
        <v>13</v>
      </c>
      <c r="G231" s="2200" t="str">
        <f t="shared" si="15"/>
        <v>44900</v>
      </c>
      <c r="H231" s="2200">
        <f>--SUBTOTAL(3,C$2:C231)</f>
        <v>40</v>
      </c>
    </row>
    <row r="232" spans="1:8" hidden="1" x14ac:dyDescent="0.15">
      <c r="A232" s="2200" t="s">
        <v>1884</v>
      </c>
      <c r="B232" s="2200" t="s">
        <v>2339</v>
      </c>
      <c r="C232" s="2200" t="s">
        <v>2340</v>
      </c>
      <c r="D232" s="2200" t="str">
        <f t="shared" si="12"/>
        <v>GA</v>
      </c>
      <c r="E232" s="2200">
        <f t="shared" si="13"/>
        <v>10</v>
      </c>
      <c r="F232" s="2200" t="str">
        <f t="shared" si="14"/>
        <v>13</v>
      </c>
      <c r="G232" s="2200" t="str">
        <f t="shared" si="15"/>
        <v>45580</v>
      </c>
      <c r="H232" s="2200">
        <f>--SUBTOTAL(3,C$2:C232)</f>
        <v>40</v>
      </c>
    </row>
    <row r="233" spans="1:8" hidden="1" x14ac:dyDescent="0.15">
      <c r="A233" s="2200" t="s">
        <v>1884</v>
      </c>
      <c r="B233" s="2200" t="s">
        <v>2341</v>
      </c>
      <c r="C233" s="2200" t="s">
        <v>2342</v>
      </c>
      <c r="D233" s="2200" t="str">
        <f t="shared" si="12"/>
        <v>GA</v>
      </c>
      <c r="E233" s="2200">
        <f t="shared" si="13"/>
        <v>12</v>
      </c>
      <c r="F233" s="2200" t="str">
        <f t="shared" si="14"/>
        <v>13</v>
      </c>
      <c r="G233" s="2200" t="str">
        <f t="shared" si="15"/>
        <v>45620</v>
      </c>
      <c r="H233" s="2200">
        <f>--SUBTOTAL(3,C$2:C233)</f>
        <v>40</v>
      </c>
    </row>
    <row r="234" spans="1:8" hidden="1" x14ac:dyDescent="0.15">
      <c r="A234" s="2200" t="s">
        <v>1884</v>
      </c>
      <c r="B234" s="2200" t="s">
        <v>2343</v>
      </c>
      <c r="C234" s="2200" t="s">
        <v>2344</v>
      </c>
      <c r="D234" s="2200" t="str">
        <f t="shared" si="12"/>
        <v>GA</v>
      </c>
      <c r="E234" s="2200">
        <f t="shared" si="13"/>
        <v>7</v>
      </c>
      <c r="F234" s="2200" t="str">
        <f t="shared" si="14"/>
        <v>13</v>
      </c>
      <c r="G234" s="2200" t="str">
        <f t="shared" si="15"/>
        <v>45700</v>
      </c>
      <c r="H234" s="2200">
        <f>--SUBTOTAL(3,C$2:C234)</f>
        <v>40</v>
      </c>
    </row>
    <row r="235" spans="1:8" hidden="1" x14ac:dyDescent="0.15">
      <c r="A235" s="2200" t="s">
        <v>1884</v>
      </c>
      <c r="B235" s="2200" t="s">
        <v>2345</v>
      </c>
      <c r="C235" s="2200" t="s">
        <v>2346</v>
      </c>
      <c r="D235" s="2200" t="str">
        <f t="shared" si="12"/>
        <v>GA</v>
      </c>
      <c r="E235" s="2200">
        <f t="shared" si="13"/>
        <v>7</v>
      </c>
      <c r="F235" s="2200" t="str">
        <f t="shared" si="14"/>
        <v>13</v>
      </c>
      <c r="G235" s="2200" t="str">
        <f t="shared" si="15"/>
        <v>45740</v>
      </c>
      <c r="H235" s="2200">
        <f>--SUBTOTAL(3,C$2:C235)</f>
        <v>40</v>
      </c>
    </row>
    <row r="236" spans="1:8" hidden="1" x14ac:dyDescent="0.15">
      <c r="A236" s="2200" t="s">
        <v>1878</v>
      </c>
      <c r="B236" s="2200" t="s">
        <v>2347</v>
      </c>
      <c r="C236" s="2200" t="s">
        <v>2348</v>
      </c>
      <c r="D236" s="2200" t="str">
        <f t="shared" si="12"/>
        <v>GA</v>
      </c>
      <c r="E236" s="2200">
        <f t="shared" si="13"/>
        <v>9</v>
      </c>
      <c r="F236" s="2200" t="str">
        <f t="shared" si="14"/>
        <v>13</v>
      </c>
      <c r="G236" s="2200" t="str">
        <f t="shared" si="15"/>
        <v>46660</v>
      </c>
      <c r="H236" s="2200">
        <f>--SUBTOTAL(3,C$2:C236)</f>
        <v>40</v>
      </c>
    </row>
    <row r="237" spans="1:8" hidden="1" x14ac:dyDescent="0.15">
      <c r="A237" s="2200" t="s">
        <v>1884</v>
      </c>
      <c r="B237" s="2200" t="s">
        <v>2349</v>
      </c>
      <c r="C237" s="2200" t="s">
        <v>2350</v>
      </c>
      <c r="D237" s="2200" t="str">
        <f t="shared" si="12"/>
        <v>GA</v>
      </c>
      <c r="E237" s="2200">
        <f t="shared" si="13"/>
        <v>8</v>
      </c>
      <c r="F237" s="2200" t="str">
        <f t="shared" si="14"/>
        <v>13</v>
      </c>
      <c r="G237" s="2200" t="str">
        <f t="shared" si="15"/>
        <v>47080</v>
      </c>
      <c r="H237" s="2200">
        <f>--SUBTOTAL(3,C$2:C237)</f>
        <v>40</v>
      </c>
    </row>
    <row r="238" spans="1:8" hidden="1" x14ac:dyDescent="0.15">
      <c r="A238" s="2200" t="s">
        <v>1878</v>
      </c>
      <c r="B238" s="2200" t="s">
        <v>2351</v>
      </c>
      <c r="C238" s="2200" t="s">
        <v>2352</v>
      </c>
      <c r="D238" s="2200" t="str">
        <f t="shared" si="12"/>
        <v>GA</v>
      </c>
      <c r="E238" s="2200">
        <f t="shared" si="13"/>
        <v>14</v>
      </c>
      <c r="F238" s="2200" t="str">
        <f t="shared" si="14"/>
        <v>13</v>
      </c>
      <c r="G238" s="2200" t="str">
        <f t="shared" si="15"/>
        <v>47580</v>
      </c>
      <c r="H238" s="2200">
        <f>--SUBTOTAL(3,C$2:C238)</f>
        <v>40</v>
      </c>
    </row>
    <row r="239" spans="1:8" hidden="1" x14ac:dyDescent="0.15">
      <c r="A239" s="2200" t="s">
        <v>1884</v>
      </c>
      <c r="B239" s="2200" t="s">
        <v>2353</v>
      </c>
      <c r="C239" s="2200" t="s">
        <v>2354</v>
      </c>
      <c r="D239" s="2200" t="str">
        <f t="shared" si="12"/>
        <v>GA</v>
      </c>
      <c r="E239" s="2200">
        <f t="shared" si="13"/>
        <v>9</v>
      </c>
      <c r="F239" s="2200" t="str">
        <f t="shared" si="14"/>
        <v>13</v>
      </c>
      <c r="G239" s="2200" t="str">
        <f t="shared" si="15"/>
        <v>48180</v>
      </c>
      <c r="H239" s="2200">
        <f>--SUBTOTAL(3,C$2:C239)</f>
        <v>40</v>
      </c>
    </row>
    <row r="240" spans="1:8" hidden="1" x14ac:dyDescent="0.15">
      <c r="A240" s="2200" t="s">
        <v>1884</v>
      </c>
      <c r="B240" s="2200" t="s">
        <v>2355</v>
      </c>
      <c r="C240" s="2200" t="s">
        <v>2356</v>
      </c>
      <c r="D240" s="2200" t="str">
        <f t="shared" si="12"/>
        <v>HI</v>
      </c>
      <c r="E240" s="2200">
        <f t="shared" si="13"/>
        <v>5</v>
      </c>
      <c r="F240" s="2200" t="str">
        <f t="shared" si="14"/>
        <v>15</v>
      </c>
      <c r="G240" s="2200" t="str">
        <f t="shared" si="15"/>
        <v>25900</v>
      </c>
      <c r="H240" s="2200">
        <f>--SUBTOTAL(3,C$2:C240)</f>
        <v>40</v>
      </c>
    </row>
    <row r="241" spans="1:8" hidden="1" x14ac:dyDescent="0.15">
      <c r="A241" s="2200" t="s">
        <v>1878</v>
      </c>
      <c r="B241" s="2200" t="s">
        <v>2358</v>
      </c>
      <c r="C241" s="2200" t="s">
        <v>2359</v>
      </c>
      <c r="D241" s="2200" t="str">
        <f t="shared" si="12"/>
        <v>HI</v>
      </c>
      <c r="E241" s="2200">
        <f t="shared" si="13"/>
        <v>24</v>
      </c>
      <c r="F241" s="2200" t="str">
        <f t="shared" si="14"/>
        <v>15</v>
      </c>
      <c r="G241" s="2200" t="str">
        <f t="shared" si="15"/>
        <v>27980</v>
      </c>
      <c r="H241" s="2200">
        <f>--SUBTOTAL(3,C$2:C241)</f>
        <v>40</v>
      </c>
    </row>
    <row r="242" spans="1:8" hidden="1" x14ac:dyDescent="0.15">
      <c r="A242" s="2200" t="s">
        <v>1884</v>
      </c>
      <c r="B242" s="2200" t="s">
        <v>2360</v>
      </c>
      <c r="C242" s="2200" t="s">
        <v>2361</v>
      </c>
      <c r="D242" s="2200" t="str">
        <f t="shared" si="12"/>
        <v>HI</v>
      </c>
      <c r="E242" s="2200">
        <f t="shared" si="13"/>
        <v>6</v>
      </c>
      <c r="F242" s="2200" t="str">
        <f t="shared" si="14"/>
        <v>15</v>
      </c>
      <c r="G242" s="2200" t="str">
        <f t="shared" si="15"/>
        <v>28180</v>
      </c>
      <c r="H242" s="2200">
        <f>--SUBTOTAL(3,C$2:C242)</f>
        <v>40</v>
      </c>
    </row>
    <row r="243" spans="1:8" hidden="1" x14ac:dyDescent="0.15">
      <c r="A243" s="2200" t="s">
        <v>1878</v>
      </c>
      <c r="B243" s="2200" t="s">
        <v>2362</v>
      </c>
      <c r="C243" s="2200" t="s">
        <v>2363</v>
      </c>
      <c r="D243" s="2200" t="str">
        <f t="shared" si="12"/>
        <v>HI</v>
      </c>
      <c r="E243" s="2200">
        <f t="shared" si="13"/>
        <v>15</v>
      </c>
      <c r="F243" s="2200" t="str">
        <f t="shared" si="14"/>
        <v>15</v>
      </c>
      <c r="G243" s="2200" t="str">
        <f t="shared" si="15"/>
        <v>46520</v>
      </c>
      <c r="H243" s="2200">
        <f>--SUBTOTAL(3,C$2:C243)</f>
        <v>40</v>
      </c>
    </row>
    <row r="244" spans="1:8" hidden="1" x14ac:dyDescent="0.15">
      <c r="A244" s="2200" t="s">
        <v>1878</v>
      </c>
      <c r="B244" s="2200" t="s">
        <v>2364</v>
      </c>
      <c r="C244" s="2200" t="s">
        <v>2365</v>
      </c>
      <c r="D244" s="2200" t="str">
        <f t="shared" si="12"/>
        <v>IA</v>
      </c>
      <c r="E244" s="2200">
        <f t="shared" si="13"/>
        <v>5</v>
      </c>
      <c r="F244" s="2200" t="str">
        <f t="shared" si="14"/>
        <v>19</v>
      </c>
      <c r="G244" s="2200" t="str">
        <f t="shared" si="15"/>
        <v>11180</v>
      </c>
      <c r="H244" s="2200">
        <f>--SUBTOTAL(3,C$2:C244)</f>
        <v>40</v>
      </c>
    </row>
    <row r="245" spans="1:8" hidden="1" x14ac:dyDescent="0.15">
      <c r="A245" s="2200" t="s">
        <v>1884</v>
      </c>
      <c r="B245" s="2200" t="s">
        <v>2367</v>
      </c>
      <c r="C245" s="2200" t="s">
        <v>2368</v>
      </c>
      <c r="D245" s="2200" t="str">
        <f t="shared" si="12"/>
        <v>IA</v>
      </c>
      <c r="E245" s="2200">
        <f t="shared" si="13"/>
        <v>6</v>
      </c>
      <c r="F245" s="2200" t="str">
        <f t="shared" si="14"/>
        <v>19</v>
      </c>
      <c r="G245" s="2200" t="str">
        <f t="shared" si="15"/>
        <v>14340</v>
      </c>
      <c r="H245" s="2200">
        <f>--SUBTOTAL(3,C$2:C245)</f>
        <v>40</v>
      </c>
    </row>
    <row r="246" spans="1:8" hidden="1" x14ac:dyDescent="0.15">
      <c r="A246" s="2200" t="s">
        <v>1884</v>
      </c>
      <c r="B246" s="2200" t="s">
        <v>2369</v>
      </c>
      <c r="C246" s="2200" t="s">
        <v>2370</v>
      </c>
      <c r="D246" s="2200" t="str">
        <f t="shared" si="12"/>
        <v>IA</v>
      </c>
      <c r="E246" s="2200">
        <f t="shared" si="13"/>
        <v>11</v>
      </c>
      <c r="F246" s="2200" t="str">
        <f t="shared" si="14"/>
        <v>19</v>
      </c>
      <c r="G246" s="2200" t="str">
        <f t="shared" si="15"/>
        <v>15460</v>
      </c>
      <c r="H246" s="2200">
        <f>--SUBTOTAL(3,C$2:C246)</f>
        <v>40</v>
      </c>
    </row>
    <row r="247" spans="1:8" hidden="1" x14ac:dyDescent="0.15">
      <c r="A247" s="2200" t="s">
        <v>1884</v>
      </c>
      <c r="B247" s="2200" t="s">
        <v>2371</v>
      </c>
      <c r="C247" s="2200" t="s">
        <v>2372</v>
      </c>
      <c r="D247" s="2200" t="str">
        <f t="shared" si="12"/>
        <v>IA</v>
      </c>
      <c r="E247" s="2200">
        <f t="shared" si="13"/>
        <v>8</v>
      </c>
      <c r="F247" s="2200" t="str">
        <f t="shared" si="14"/>
        <v>19</v>
      </c>
      <c r="G247" s="2200" t="str">
        <f t="shared" si="15"/>
        <v>16140</v>
      </c>
      <c r="H247" s="2200">
        <f>--SUBTOTAL(3,C$2:C247)</f>
        <v>40</v>
      </c>
    </row>
    <row r="248" spans="1:8" hidden="1" x14ac:dyDescent="0.15">
      <c r="A248" s="2200" t="s">
        <v>1878</v>
      </c>
      <c r="B248" s="2200" t="s">
        <v>2373</v>
      </c>
      <c r="C248" s="2200" t="s">
        <v>2374</v>
      </c>
      <c r="D248" s="2200" t="str">
        <f t="shared" si="12"/>
        <v>IA</v>
      </c>
      <c r="E248" s="2200">
        <f t="shared" si="13"/>
        <v>13</v>
      </c>
      <c r="F248" s="2200" t="str">
        <f t="shared" si="14"/>
        <v>19</v>
      </c>
      <c r="G248" s="2200" t="str">
        <f t="shared" si="15"/>
        <v>16300</v>
      </c>
      <c r="H248" s="2200">
        <f>--SUBTOTAL(3,C$2:C248)</f>
        <v>40</v>
      </c>
    </row>
    <row r="249" spans="1:8" hidden="1" x14ac:dyDescent="0.15">
      <c r="A249" s="2200" t="s">
        <v>1902</v>
      </c>
      <c r="B249" s="2200" t="s">
        <v>2375</v>
      </c>
      <c r="C249" s="2200" t="s">
        <v>2376</v>
      </c>
      <c r="D249" s="2200" t="str">
        <f t="shared" si="12"/>
        <v>IA</v>
      </c>
      <c r="E249" s="2200">
        <f t="shared" si="13"/>
        <v>23</v>
      </c>
      <c r="F249" s="2200" t="str">
        <f t="shared" si="14"/>
        <v>19</v>
      </c>
      <c r="G249" s="2200" t="str">
        <f t="shared" si="15"/>
        <v>16800</v>
      </c>
      <c r="H249" s="2200">
        <f>--SUBTOTAL(3,C$2:C249)</f>
        <v>40</v>
      </c>
    </row>
    <row r="250" spans="1:8" hidden="1" x14ac:dyDescent="0.15">
      <c r="A250" s="2200" t="s">
        <v>1884</v>
      </c>
      <c r="B250" s="2200" t="s">
        <v>2377</v>
      </c>
      <c r="C250" s="2200" t="s">
        <v>2378</v>
      </c>
      <c r="D250" s="2200" t="str">
        <f t="shared" si="12"/>
        <v>IA</v>
      </c>
      <c r="E250" s="2200">
        <f t="shared" si="13"/>
        <v>8</v>
      </c>
      <c r="F250" s="2200" t="str">
        <f t="shared" si="14"/>
        <v>19</v>
      </c>
      <c r="G250" s="2200" t="str">
        <f t="shared" si="15"/>
        <v>17540</v>
      </c>
      <c r="H250" s="2200">
        <f>--SUBTOTAL(3,C$2:C250)</f>
        <v>40</v>
      </c>
    </row>
    <row r="251" spans="1:8" hidden="1" x14ac:dyDescent="0.15">
      <c r="A251" s="2200" t="s">
        <v>1902</v>
      </c>
      <c r="B251" s="2200" t="s">
        <v>2379</v>
      </c>
      <c r="C251" s="2200" t="s">
        <v>2380</v>
      </c>
      <c r="D251" s="2200" t="str">
        <f t="shared" si="12"/>
        <v>IA</v>
      </c>
      <c r="E251" s="2200">
        <f t="shared" si="13"/>
        <v>17</v>
      </c>
      <c r="F251" s="2200" t="str">
        <f t="shared" si="14"/>
        <v>19</v>
      </c>
      <c r="G251" s="2200" t="str">
        <f t="shared" si="15"/>
        <v>20900</v>
      </c>
      <c r="H251" s="2200">
        <f>--SUBTOTAL(3,C$2:C251)</f>
        <v>40</v>
      </c>
    </row>
    <row r="252" spans="1:8" hidden="1" x14ac:dyDescent="0.15">
      <c r="A252" s="2200" t="s">
        <v>1878</v>
      </c>
      <c r="B252" s="2200" t="s">
        <v>2381</v>
      </c>
      <c r="C252" s="2200" t="s">
        <v>2382</v>
      </c>
      <c r="D252" s="2200" t="str">
        <f t="shared" si="12"/>
        <v>IA</v>
      </c>
      <c r="E252" s="2200">
        <f t="shared" si="13"/>
        <v>29</v>
      </c>
      <c r="F252" s="2200" t="str">
        <f t="shared" si="14"/>
        <v>17</v>
      </c>
      <c r="G252" s="2200" t="str">
        <f t="shared" si="15"/>
        <v>19340</v>
      </c>
      <c r="H252" s="2200">
        <f>--SUBTOTAL(3,C$2:C252)</f>
        <v>40</v>
      </c>
    </row>
    <row r="253" spans="1:8" hidden="1" x14ac:dyDescent="0.15">
      <c r="A253" s="2200" t="s">
        <v>1902</v>
      </c>
      <c r="B253" s="2200" t="s">
        <v>2383</v>
      </c>
      <c r="C253" s="2200" t="s">
        <v>2384</v>
      </c>
      <c r="D253" s="2200" t="str">
        <f t="shared" si="12"/>
        <v>IA</v>
      </c>
      <c r="E253" s="2200">
        <f t="shared" si="13"/>
        <v>32</v>
      </c>
      <c r="F253" s="2200" t="str">
        <f t="shared" si="14"/>
        <v>19</v>
      </c>
      <c r="G253" s="2200" t="str">
        <f t="shared" si="15"/>
        <v>21800</v>
      </c>
      <c r="H253" s="2200">
        <f>--SUBTOTAL(3,C$2:C253)</f>
        <v>40</v>
      </c>
    </row>
    <row r="254" spans="1:8" hidden="1" x14ac:dyDescent="0.15">
      <c r="A254" s="2200" t="s">
        <v>1878</v>
      </c>
      <c r="B254" s="2200" t="s">
        <v>2385</v>
      </c>
      <c r="C254" s="2200" t="s">
        <v>2386</v>
      </c>
      <c r="D254" s="2200" t="str">
        <f t="shared" si="12"/>
        <v>IA</v>
      </c>
      <c r="E254" s="2200">
        <f t="shared" si="13"/>
        <v>27</v>
      </c>
      <c r="F254" s="2200" t="str">
        <f t="shared" si="14"/>
        <v>19</v>
      </c>
      <c r="G254" s="2200" t="str">
        <f t="shared" si="15"/>
        <v>19780</v>
      </c>
      <c r="H254" s="2200">
        <f>--SUBTOTAL(3,C$2:C254)</f>
        <v>40</v>
      </c>
    </row>
    <row r="255" spans="1:8" hidden="1" x14ac:dyDescent="0.15">
      <c r="A255" s="2200" t="s">
        <v>1878</v>
      </c>
      <c r="B255" s="2200" t="s">
        <v>2387</v>
      </c>
      <c r="C255" s="2200" t="s">
        <v>2388</v>
      </c>
      <c r="D255" s="2200" t="str">
        <f t="shared" si="12"/>
        <v>IA</v>
      </c>
      <c r="E255" s="2200">
        <f t="shared" si="13"/>
        <v>8</v>
      </c>
      <c r="F255" s="2200" t="str">
        <f t="shared" si="14"/>
        <v>19</v>
      </c>
      <c r="G255" s="2200" t="str">
        <f t="shared" si="15"/>
        <v>20220</v>
      </c>
      <c r="H255" s="2200">
        <f>--SUBTOTAL(3,C$2:C255)</f>
        <v>40</v>
      </c>
    </row>
    <row r="256" spans="1:8" hidden="1" x14ac:dyDescent="0.15">
      <c r="A256" s="2200" t="s">
        <v>1884</v>
      </c>
      <c r="B256" s="2200" t="s">
        <v>2389</v>
      </c>
      <c r="C256" s="2200" t="s">
        <v>2390</v>
      </c>
      <c r="D256" s="2200" t="str">
        <f t="shared" si="12"/>
        <v>IA</v>
      </c>
      <c r="E256" s="2200">
        <f t="shared" si="13"/>
        <v>10</v>
      </c>
      <c r="F256" s="2200" t="str">
        <f t="shared" si="14"/>
        <v>19</v>
      </c>
      <c r="G256" s="2200" t="str">
        <f t="shared" si="15"/>
        <v>21840</v>
      </c>
      <c r="H256" s="2200">
        <f>--SUBTOTAL(3,C$2:C256)</f>
        <v>40</v>
      </c>
    </row>
    <row r="257" spans="1:8" hidden="1" x14ac:dyDescent="0.15">
      <c r="A257" s="2200" t="s">
        <v>1884</v>
      </c>
      <c r="B257" s="2200" t="s">
        <v>2391</v>
      </c>
      <c r="C257" s="2200" t="s">
        <v>2392</v>
      </c>
      <c r="D257" s="2200" t="str">
        <f t="shared" si="12"/>
        <v>IA</v>
      </c>
      <c r="E257" s="2200">
        <f t="shared" si="13"/>
        <v>11</v>
      </c>
      <c r="F257" s="2200" t="str">
        <f t="shared" si="14"/>
        <v>19</v>
      </c>
      <c r="G257" s="2200" t="str">
        <f t="shared" si="15"/>
        <v>22700</v>
      </c>
      <c r="H257" s="2200">
        <f>--SUBTOTAL(3,C$2:C257)</f>
        <v>40</v>
      </c>
    </row>
    <row r="258" spans="1:8" hidden="1" x14ac:dyDescent="0.15">
      <c r="A258" s="2200" t="s">
        <v>1884</v>
      </c>
      <c r="B258" s="2200" t="s">
        <v>2393</v>
      </c>
      <c r="C258" s="2200" t="s">
        <v>2394</v>
      </c>
      <c r="D258" s="2200" t="str">
        <f t="shared" si="12"/>
        <v>IA</v>
      </c>
      <c r="E258" s="2200">
        <f t="shared" si="13"/>
        <v>20</v>
      </c>
      <c r="F258" s="2200" t="str">
        <f t="shared" si="14"/>
        <v>19</v>
      </c>
      <c r="G258" s="2200" t="str">
        <f t="shared" si="15"/>
        <v>22800</v>
      </c>
      <c r="H258" s="2200">
        <f>--SUBTOTAL(3,C$2:C258)</f>
        <v>40</v>
      </c>
    </row>
    <row r="259" spans="1:8" hidden="1" x14ac:dyDescent="0.15">
      <c r="A259" s="2200" t="s">
        <v>1878</v>
      </c>
      <c r="B259" s="2200" t="s">
        <v>2395</v>
      </c>
      <c r="C259" s="2200" t="s">
        <v>2396</v>
      </c>
      <c r="D259" s="2200" t="str">
        <f t="shared" si="12"/>
        <v>IA</v>
      </c>
      <c r="E259" s="2200">
        <f t="shared" si="13"/>
        <v>10</v>
      </c>
      <c r="F259" s="2200" t="str">
        <f t="shared" si="14"/>
        <v>19</v>
      </c>
      <c r="G259" s="2200" t="str">
        <f t="shared" si="15"/>
        <v>26980</v>
      </c>
      <c r="H259" s="2200">
        <f>--SUBTOTAL(3,C$2:C259)</f>
        <v>40</v>
      </c>
    </row>
    <row r="260" spans="1:8" hidden="1" x14ac:dyDescent="0.15">
      <c r="A260" s="2200" t="s">
        <v>1884</v>
      </c>
      <c r="B260" s="2200" t="s">
        <v>2397</v>
      </c>
      <c r="C260" s="2200" t="s">
        <v>2398</v>
      </c>
      <c r="D260" s="2200" t="str">
        <f t="shared" si="12"/>
        <v>IA</v>
      </c>
      <c r="E260" s="2200">
        <f t="shared" si="13"/>
        <v>13</v>
      </c>
      <c r="F260" s="2200" t="str">
        <f t="shared" si="14"/>
        <v>19</v>
      </c>
      <c r="G260" s="2200" t="str">
        <f t="shared" si="15"/>
        <v>32260</v>
      </c>
      <c r="H260" s="2200">
        <f>--SUBTOTAL(3,C$2:C260)</f>
        <v>40</v>
      </c>
    </row>
    <row r="261" spans="1:8" hidden="1" x14ac:dyDescent="0.15">
      <c r="A261" s="2200" t="s">
        <v>1884</v>
      </c>
      <c r="B261" s="2200" t="s">
        <v>2399</v>
      </c>
      <c r="C261" s="2200" t="s">
        <v>2400</v>
      </c>
      <c r="D261" s="2200" t="str">
        <f t="shared" si="12"/>
        <v>IA</v>
      </c>
      <c r="E261" s="2200">
        <f t="shared" si="13"/>
        <v>11</v>
      </c>
      <c r="F261" s="2200" t="str">
        <f t="shared" si="14"/>
        <v>19</v>
      </c>
      <c r="G261" s="2200" t="str">
        <f t="shared" si="15"/>
        <v>32380</v>
      </c>
      <c r="H261" s="2200">
        <f>--SUBTOTAL(3,C$2:C261)</f>
        <v>40</v>
      </c>
    </row>
    <row r="262" spans="1:8" hidden="1" x14ac:dyDescent="0.15">
      <c r="A262" s="2200" t="s">
        <v>1884</v>
      </c>
      <c r="B262" s="2200" t="s">
        <v>2401</v>
      </c>
      <c r="C262" s="2200" t="s">
        <v>2402</v>
      </c>
      <c r="D262" s="2200" t="str">
        <f t="shared" si="12"/>
        <v>IA</v>
      </c>
      <c r="E262" s="2200">
        <f t="shared" si="13"/>
        <v>10</v>
      </c>
      <c r="F262" s="2200" t="str">
        <f t="shared" si="14"/>
        <v>19</v>
      </c>
      <c r="G262" s="2200" t="str">
        <f t="shared" si="15"/>
        <v>34700</v>
      </c>
      <c r="H262" s="2200">
        <f>--SUBTOTAL(3,C$2:C262)</f>
        <v>40</v>
      </c>
    </row>
    <row r="263" spans="1:8" hidden="1" x14ac:dyDescent="0.15">
      <c r="A263" s="2200" t="s">
        <v>1884</v>
      </c>
      <c r="B263" s="2200" t="s">
        <v>2403</v>
      </c>
      <c r="C263" s="2200" t="s">
        <v>2404</v>
      </c>
      <c r="D263" s="2200" t="str">
        <f t="shared" si="12"/>
        <v>IA</v>
      </c>
      <c r="E263" s="2200">
        <f t="shared" si="13"/>
        <v>7</v>
      </c>
      <c r="F263" s="2200" t="str">
        <f t="shared" si="14"/>
        <v>19</v>
      </c>
      <c r="G263" s="2200" t="str">
        <f t="shared" si="15"/>
        <v>35500</v>
      </c>
      <c r="H263" s="2200">
        <f>--SUBTOTAL(3,C$2:C263)</f>
        <v>40</v>
      </c>
    </row>
    <row r="264" spans="1:8" hidden="1" x14ac:dyDescent="0.15">
      <c r="A264" s="2200" t="s">
        <v>1878</v>
      </c>
      <c r="B264" s="2200" t="s">
        <v>3247</v>
      </c>
      <c r="C264" s="2200" t="s">
        <v>17877</v>
      </c>
      <c r="D264" s="2200" t="str">
        <f t="shared" si="12"/>
        <v>IA</v>
      </c>
      <c r="E264" s="2200">
        <f t="shared" si="13"/>
        <v>21</v>
      </c>
      <c r="F264" s="2200" t="str">
        <f t="shared" si="14"/>
        <v>31</v>
      </c>
      <c r="G264" s="2200" t="str">
        <f t="shared" si="15"/>
        <v>36540</v>
      </c>
      <c r="H264" s="2200">
        <f>--SUBTOTAL(3,C$2:C264)</f>
        <v>40</v>
      </c>
    </row>
    <row r="265" spans="1:8" hidden="1" x14ac:dyDescent="0.15">
      <c r="A265" s="2200" t="s">
        <v>1884</v>
      </c>
      <c r="B265" s="2200" t="s">
        <v>2405</v>
      </c>
      <c r="C265" s="2200" t="s">
        <v>2406</v>
      </c>
      <c r="D265" s="2200" t="str">
        <f t="shared" si="12"/>
        <v>IA</v>
      </c>
      <c r="E265" s="2200">
        <f t="shared" si="13"/>
        <v>10</v>
      </c>
      <c r="F265" s="2200" t="str">
        <f t="shared" si="14"/>
        <v>19</v>
      </c>
      <c r="G265" s="2200" t="str">
        <f t="shared" si="15"/>
        <v>36820</v>
      </c>
      <c r="H265" s="2200">
        <f>--SUBTOTAL(3,C$2:C265)</f>
        <v>40</v>
      </c>
    </row>
    <row r="266" spans="1:8" hidden="1" x14ac:dyDescent="0.15">
      <c r="A266" s="2200" t="s">
        <v>1902</v>
      </c>
      <c r="B266" s="2200" t="s">
        <v>2407</v>
      </c>
      <c r="C266" s="2200" t="s">
        <v>2408</v>
      </c>
      <c r="D266" s="2200" t="str">
        <f t="shared" si="12"/>
        <v>IA</v>
      </c>
      <c r="E266" s="2200">
        <f t="shared" si="13"/>
        <v>16</v>
      </c>
      <c r="F266" s="2200" t="str">
        <f t="shared" si="14"/>
        <v>19</v>
      </c>
      <c r="G266" s="2200" t="str">
        <f t="shared" si="15"/>
        <v>42300</v>
      </c>
      <c r="H266" s="2200">
        <f>--SUBTOTAL(3,C$2:C266)</f>
        <v>40</v>
      </c>
    </row>
    <row r="267" spans="1:8" hidden="1" x14ac:dyDescent="0.15">
      <c r="A267" s="2200" t="s">
        <v>1884</v>
      </c>
      <c r="B267" s="2200" t="s">
        <v>2409</v>
      </c>
      <c r="C267" s="2200" t="s">
        <v>2410</v>
      </c>
      <c r="D267" s="2200" t="str">
        <f t="shared" ref="D267:D333" si="16">MID(C267,E267+2,2)</f>
        <v>IA</v>
      </c>
      <c r="E267" s="2200">
        <f t="shared" ref="E267:E333" si="17">FIND(",",C267)</f>
        <v>8</v>
      </c>
      <c r="F267" s="2200" t="str">
        <f t="shared" ref="F267:F333" si="18">MID(B267,3,2)</f>
        <v>19</v>
      </c>
      <c r="G267" s="2200" t="str">
        <f t="shared" ref="G267:G333" si="19">MID(B267,5,5)</f>
        <v>36900</v>
      </c>
      <c r="H267" s="2200">
        <f>--SUBTOTAL(3,C$2:C267)</f>
        <v>40</v>
      </c>
    </row>
    <row r="268" spans="1:8" hidden="1" x14ac:dyDescent="0.15">
      <c r="A268" s="2200" t="s">
        <v>1884</v>
      </c>
      <c r="B268" s="2200" t="s">
        <v>2411</v>
      </c>
      <c r="C268" s="2200" t="s">
        <v>2412</v>
      </c>
      <c r="D268" s="2200" t="str">
        <f t="shared" si="16"/>
        <v>IA</v>
      </c>
      <c r="E268" s="2200">
        <f t="shared" si="17"/>
        <v>6</v>
      </c>
      <c r="F268" s="2200" t="str">
        <f t="shared" si="18"/>
        <v>19</v>
      </c>
      <c r="G268" s="2200" t="str">
        <f t="shared" si="19"/>
        <v>37800</v>
      </c>
      <c r="H268" s="2200">
        <f>--SUBTOTAL(3,C$2:C268)</f>
        <v>40</v>
      </c>
    </row>
    <row r="269" spans="1:8" hidden="1" x14ac:dyDescent="0.15">
      <c r="A269" s="2200" t="s">
        <v>1878</v>
      </c>
      <c r="B269" s="2200" t="s">
        <v>2413</v>
      </c>
      <c r="C269" s="2200" t="s">
        <v>2414</v>
      </c>
      <c r="D269" s="2200" t="str">
        <f t="shared" si="16"/>
        <v>IA</v>
      </c>
      <c r="E269" s="2200">
        <f t="shared" si="17"/>
        <v>11</v>
      </c>
      <c r="F269" s="2200" t="str">
        <f t="shared" si="18"/>
        <v>19</v>
      </c>
      <c r="G269" s="2200" t="str">
        <f t="shared" si="19"/>
        <v>43580</v>
      </c>
      <c r="H269" s="2200">
        <f>--SUBTOTAL(3,C$2:C269)</f>
        <v>40</v>
      </c>
    </row>
    <row r="270" spans="1:8" hidden="1" x14ac:dyDescent="0.15">
      <c r="A270" s="2200" t="s">
        <v>1902</v>
      </c>
      <c r="B270" s="2200" t="s">
        <v>2415</v>
      </c>
      <c r="C270" s="2200" t="s">
        <v>2416</v>
      </c>
      <c r="D270" s="2200" t="str">
        <f t="shared" si="16"/>
        <v>IA</v>
      </c>
      <c r="E270" s="2200">
        <f t="shared" si="17"/>
        <v>22</v>
      </c>
      <c r="F270" s="2200" t="str">
        <f t="shared" si="18"/>
        <v>19</v>
      </c>
      <c r="G270" s="2200" t="str">
        <f t="shared" si="19"/>
        <v>51200</v>
      </c>
      <c r="H270" s="2200">
        <f>--SUBTOTAL(3,C$2:C270)</f>
        <v>40</v>
      </c>
    </row>
    <row r="271" spans="1:8" hidden="1" x14ac:dyDescent="0.15">
      <c r="A271" s="2200" t="s">
        <v>1884</v>
      </c>
      <c r="B271" s="2200" t="s">
        <v>2417</v>
      </c>
      <c r="C271" s="2200" t="s">
        <v>2418</v>
      </c>
      <c r="D271" s="2200" t="str">
        <f t="shared" si="16"/>
        <v>IA</v>
      </c>
      <c r="E271" s="2200">
        <f t="shared" si="17"/>
        <v>8</v>
      </c>
      <c r="F271" s="2200" t="str">
        <f t="shared" si="18"/>
        <v>19</v>
      </c>
      <c r="G271" s="2200" t="str">
        <f t="shared" si="19"/>
        <v>43980</v>
      </c>
      <c r="H271" s="2200">
        <f>--SUBTOTAL(3,C$2:C271)</f>
        <v>40</v>
      </c>
    </row>
    <row r="272" spans="1:8" hidden="1" x14ac:dyDescent="0.15">
      <c r="A272" s="2200" t="s">
        <v>1884</v>
      </c>
      <c r="B272" s="2200" t="s">
        <v>2419</v>
      </c>
      <c r="C272" s="2200" t="s">
        <v>2420</v>
      </c>
      <c r="D272" s="2200" t="str">
        <f t="shared" si="16"/>
        <v>IA</v>
      </c>
      <c r="E272" s="2200">
        <f t="shared" si="17"/>
        <v>12</v>
      </c>
      <c r="F272" s="2200" t="str">
        <f t="shared" si="18"/>
        <v>19</v>
      </c>
      <c r="G272" s="2200" t="str">
        <f t="shared" si="19"/>
        <v>44020</v>
      </c>
      <c r="H272" s="2200">
        <f>--SUBTOTAL(3,C$2:C272)</f>
        <v>40</v>
      </c>
    </row>
    <row r="273" spans="1:8" hidden="1" x14ac:dyDescent="0.15">
      <c r="A273" s="2200" t="s">
        <v>1884</v>
      </c>
      <c r="B273" s="2200" t="s">
        <v>2421</v>
      </c>
      <c r="C273" s="2200" t="s">
        <v>2422</v>
      </c>
      <c r="D273" s="2200" t="str">
        <f t="shared" si="16"/>
        <v>IA</v>
      </c>
      <c r="E273" s="2200">
        <f t="shared" si="17"/>
        <v>11</v>
      </c>
      <c r="F273" s="2200" t="str">
        <f t="shared" si="18"/>
        <v>19</v>
      </c>
      <c r="G273" s="2200" t="str">
        <f t="shared" si="19"/>
        <v>44740</v>
      </c>
      <c r="H273" s="2200">
        <f>--SUBTOTAL(3,C$2:C273)</f>
        <v>40</v>
      </c>
    </row>
    <row r="274" spans="1:8" hidden="1" x14ac:dyDescent="0.15">
      <c r="A274" s="2200" t="s">
        <v>1878</v>
      </c>
      <c r="B274" s="2200" t="s">
        <v>2423</v>
      </c>
      <c r="C274" s="2200" t="s">
        <v>2424</v>
      </c>
      <c r="D274" s="2200" t="str">
        <f t="shared" si="16"/>
        <v>IA</v>
      </c>
      <c r="E274" s="2200">
        <f t="shared" si="17"/>
        <v>21</v>
      </c>
      <c r="F274" s="2200" t="str">
        <f t="shared" si="18"/>
        <v>19</v>
      </c>
      <c r="G274" s="2200" t="str">
        <f t="shared" si="19"/>
        <v>47940</v>
      </c>
      <c r="H274" s="2200">
        <f>--SUBTOTAL(3,C$2:C274)</f>
        <v>40</v>
      </c>
    </row>
    <row r="275" spans="1:8" hidden="1" x14ac:dyDescent="0.15">
      <c r="A275" s="2200" t="s">
        <v>1884</v>
      </c>
      <c r="B275" s="2200" t="s">
        <v>2425</v>
      </c>
      <c r="C275" s="2200" t="s">
        <v>2426</v>
      </c>
      <c r="D275" s="2200" t="str">
        <f t="shared" si="16"/>
        <v>ID</v>
      </c>
      <c r="E275" s="2200">
        <f t="shared" si="17"/>
        <v>10</v>
      </c>
      <c r="F275" s="2200" t="str">
        <f t="shared" si="18"/>
        <v>16</v>
      </c>
      <c r="G275" s="2200" t="str">
        <f t="shared" si="19"/>
        <v>13940</v>
      </c>
      <c r="H275" s="2200">
        <f>--SUBTOTAL(3,C$2:C275)</f>
        <v>40</v>
      </c>
    </row>
    <row r="276" spans="1:8" hidden="1" x14ac:dyDescent="0.15">
      <c r="A276" s="2200" t="s">
        <v>1878</v>
      </c>
      <c r="B276" s="2200" t="s">
        <v>2427</v>
      </c>
      <c r="C276" s="2200" t="s">
        <v>2428</v>
      </c>
      <c r="D276" s="2200" t="str">
        <f t="shared" si="16"/>
        <v>ID</v>
      </c>
      <c r="E276" s="2200">
        <f t="shared" si="17"/>
        <v>11</v>
      </c>
      <c r="F276" s="2200" t="str">
        <f t="shared" si="18"/>
        <v>16</v>
      </c>
      <c r="G276" s="2200" t="str">
        <f t="shared" si="19"/>
        <v>14260</v>
      </c>
      <c r="H276" s="2200">
        <f>--SUBTOTAL(3,C$2:C276)</f>
        <v>40</v>
      </c>
    </row>
    <row r="277" spans="1:8" hidden="1" x14ac:dyDescent="0.15">
      <c r="A277" s="2200" t="s">
        <v>1902</v>
      </c>
      <c r="B277" s="2200" t="s">
        <v>2429</v>
      </c>
      <c r="C277" s="2200" t="s">
        <v>2430</v>
      </c>
      <c r="D277" s="2200" t="str">
        <f t="shared" si="16"/>
        <v>ID</v>
      </c>
      <c r="E277" s="2200">
        <f t="shared" si="17"/>
        <v>33</v>
      </c>
      <c r="F277" s="2200" t="str">
        <f t="shared" si="18"/>
        <v>16</v>
      </c>
      <c r="G277" s="2200" t="str">
        <f t="shared" si="19"/>
        <v>14700</v>
      </c>
      <c r="H277" s="2200">
        <f>--SUBTOTAL(3,C$2:C277)</f>
        <v>40</v>
      </c>
    </row>
    <row r="278" spans="1:8" hidden="1" x14ac:dyDescent="0.15">
      <c r="A278" s="2200" t="s">
        <v>1884</v>
      </c>
      <c r="B278" s="2200" t="s">
        <v>2431</v>
      </c>
      <c r="C278" s="2200" t="s">
        <v>2432</v>
      </c>
      <c r="D278" s="2200" t="str">
        <f t="shared" si="16"/>
        <v>ID</v>
      </c>
      <c r="E278" s="2200">
        <f t="shared" si="17"/>
        <v>7</v>
      </c>
      <c r="F278" s="2200" t="str">
        <f t="shared" si="18"/>
        <v>16</v>
      </c>
      <c r="G278" s="2200" t="str">
        <f t="shared" si="19"/>
        <v>15420</v>
      </c>
      <c r="H278" s="2200">
        <f>--SUBTOTAL(3,C$2:C278)</f>
        <v>40</v>
      </c>
    </row>
    <row r="279" spans="1:8" hidden="1" x14ac:dyDescent="0.15">
      <c r="A279" s="2200" t="s">
        <v>1878</v>
      </c>
      <c r="B279" s="2200" t="s">
        <v>2433</v>
      </c>
      <c r="C279" s="2200" t="s">
        <v>2434</v>
      </c>
      <c r="D279" s="2200" t="str">
        <f t="shared" si="16"/>
        <v>ID</v>
      </c>
      <c r="E279" s="2200">
        <f t="shared" si="17"/>
        <v>14</v>
      </c>
      <c r="F279" s="2200" t="str">
        <f t="shared" si="18"/>
        <v>16</v>
      </c>
      <c r="G279" s="2200" t="str">
        <f t="shared" si="19"/>
        <v>17660</v>
      </c>
      <c r="H279" s="2200">
        <f>--SUBTOTAL(3,C$2:C279)</f>
        <v>40</v>
      </c>
    </row>
    <row r="280" spans="1:8" hidden="1" x14ac:dyDescent="0.15">
      <c r="A280" s="2200" t="s">
        <v>1884</v>
      </c>
      <c r="B280" s="2200" t="s">
        <v>2435</v>
      </c>
      <c r="C280" s="2200" t="s">
        <v>2436</v>
      </c>
      <c r="D280" s="2200" t="str">
        <f t="shared" si="16"/>
        <v>ID</v>
      </c>
      <c r="E280" s="2200">
        <f t="shared" si="17"/>
        <v>7</v>
      </c>
      <c r="F280" s="2200" t="str">
        <f t="shared" si="18"/>
        <v>16</v>
      </c>
      <c r="G280" s="2200" t="str">
        <f t="shared" si="19"/>
        <v>25200</v>
      </c>
      <c r="H280" s="2200">
        <f>--SUBTOTAL(3,C$2:C280)</f>
        <v>40</v>
      </c>
    </row>
    <row r="281" spans="1:8" hidden="1" x14ac:dyDescent="0.15">
      <c r="A281" s="2200" t="s">
        <v>1878</v>
      </c>
      <c r="B281" s="2200" t="s">
        <v>2437</v>
      </c>
      <c r="C281" s="2200" t="s">
        <v>2438</v>
      </c>
      <c r="D281" s="2200" t="str">
        <f t="shared" si="16"/>
        <v>ID</v>
      </c>
      <c r="E281" s="2200">
        <f t="shared" si="17"/>
        <v>12</v>
      </c>
      <c r="F281" s="2200" t="str">
        <f t="shared" si="18"/>
        <v>16</v>
      </c>
      <c r="G281" s="2200" t="str">
        <f t="shared" si="19"/>
        <v>26820</v>
      </c>
      <c r="H281" s="2200">
        <f>--SUBTOTAL(3,C$2:C281)</f>
        <v>40</v>
      </c>
    </row>
    <row r="282" spans="1:8" hidden="1" x14ac:dyDescent="0.15">
      <c r="A282" s="2200" t="s">
        <v>1902</v>
      </c>
      <c r="B282" s="2200" t="s">
        <v>2439</v>
      </c>
      <c r="C282" s="2200" t="s">
        <v>2440</v>
      </c>
      <c r="D282" s="2200" t="str">
        <f t="shared" si="16"/>
        <v>ID</v>
      </c>
      <c r="E282" s="2200">
        <f t="shared" si="17"/>
        <v>30</v>
      </c>
      <c r="F282" s="2200" t="str">
        <f t="shared" si="18"/>
        <v>16</v>
      </c>
      <c r="G282" s="2200" t="str">
        <f t="shared" si="19"/>
        <v>29200</v>
      </c>
      <c r="H282" s="2200">
        <f>--SUBTOTAL(3,C$2:C282)</f>
        <v>40</v>
      </c>
    </row>
    <row r="283" spans="1:8" hidden="1" x14ac:dyDescent="0.15">
      <c r="A283" s="2200" t="s">
        <v>1878</v>
      </c>
      <c r="B283" s="2200" t="s">
        <v>2441</v>
      </c>
      <c r="C283" s="2200" t="s">
        <v>2442</v>
      </c>
      <c r="D283" s="2200" t="str">
        <f t="shared" si="16"/>
        <v>ID</v>
      </c>
      <c r="E283" s="2200">
        <f t="shared" si="17"/>
        <v>9</v>
      </c>
      <c r="F283" s="2200" t="str">
        <f t="shared" si="18"/>
        <v>16</v>
      </c>
      <c r="G283" s="2200" t="str">
        <f t="shared" si="19"/>
        <v>30300</v>
      </c>
      <c r="H283" s="2200">
        <f>--SUBTOTAL(3,C$2:C283)</f>
        <v>40</v>
      </c>
    </row>
    <row r="284" spans="1:8" hidden="1" x14ac:dyDescent="0.15">
      <c r="A284" s="2200" t="s">
        <v>1884</v>
      </c>
      <c r="B284" s="2200" t="s">
        <v>2443</v>
      </c>
      <c r="C284" s="2200" t="s">
        <v>2444</v>
      </c>
      <c r="D284" s="2200" t="str">
        <f t="shared" si="16"/>
        <v>ID</v>
      </c>
      <c r="E284" s="2200">
        <f t="shared" si="17"/>
        <v>7</v>
      </c>
      <c r="F284" s="2200" t="str">
        <f t="shared" si="18"/>
        <v>16</v>
      </c>
      <c r="G284" s="2200" t="str">
        <f t="shared" si="19"/>
        <v>34140</v>
      </c>
      <c r="H284" s="2200">
        <f>--SUBTOTAL(3,C$2:C284)</f>
        <v>40</v>
      </c>
    </row>
    <row r="285" spans="1:8" hidden="1" x14ac:dyDescent="0.15">
      <c r="A285" s="2200" t="s">
        <v>1884</v>
      </c>
      <c r="B285" s="2200" t="s">
        <v>2445</v>
      </c>
      <c r="C285" s="2200" t="s">
        <v>2446</v>
      </c>
      <c r="D285" s="2200" t="str">
        <f t="shared" si="16"/>
        <v>ID</v>
      </c>
      <c r="E285" s="2200">
        <f t="shared" si="17"/>
        <v>14</v>
      </c>
      <c r="F285" s="2200" t="str">
        <f t="shared" si="18"/>
        <v>16</v>
      </c>
      <c r="G285" s="2200" t="str">
        <f t="shared" si="19"/>
        <v>34300</v>
      </c>
      <c r="H285" s="2200">
        <f>--SUBTOTAL(3,C$2:C285)</f>
        <v>40</v>
      </c>
    </row>
    <row r="286" spans="1:8" hidden="1" x14ac:dyDescent="0.15">
      <c r="A286" s="2200" t="s">
        <v>1878</v>
      </c>
      <c r="B286" s="2200" t="s">
        <v>2447</v>
      </c>
      <c r="C286" s="2200" t="s">
        <v>2448</v>
      </c>
      <c r="D286" s="2200" t="str">
        <f t="shared" si="16"/>
        <v>ID</v>
      </c>
      <c r="E286" s="2200">
        <f t="shared" si="17"/>
        <v>10</v>
      </c>
      <c r="F286" s="2200" t="str">
        <f t="shared" si="18"/>
        <v>16</v>
      </c>
      <c r="G286" s="2200" t="str">
        <f t="shared" si="19"/>
        <v>38540</v>
      </c>
      <c r="H286" s="2200">
        <f>--SUBTOTAL(3,C$2:C286)</f>
        <v>40</v>
      </c>
    </row>
    <row r="287" spans="1:8" hidden="1" x14ac:dyDescent="0.15">
      <c r="A287" s="2200" t="s">
        <v>1884</v>
      </c>
      <c r="B287" s="2200" t="s">
        <v>2449</v>
      </c>
      <c r="C287" s="2200" t="s">
        <v>2450</v>
      </c>
      <c r="D287" s="2200" t="str">
        <f t="shared" si="16"/>
        <v>ID</v>
      </c>
      <c r="E287" s="2200">
        <f t="shared" si="17"/>
        <v>8</v>
      </c>
      <c r="F287" s="2200" t="str">
        <f t="shared" si="18"/>
        <v>16</v>
      </c>
      <c r="G287" s="2200" t="str">
        <f t="shared" si="19"/>
        <v>39940</v>
      </c>
      <c r="H287" s="2200">
        <f>--SUBTOTAL(3,C$2:C287)</f>
        <v>40</v>
      </c>
    </row>
    <row r="288" spans="1:8" hidden="1" x14ac:dyDescent="0.15">
      <c r="A288" s="2200" t="s">
        <v>1884</v>
      </c>
      <c r="B288" s="2200" t="s">
        <v>2451</v>
      </c>
      <c r="C288" s="2200" t="s">
        <v>2452</v>
      </c>
      <c r="D288" s="2200" t="str">
        <f t="shared" si="16"/>
        <v>ID</v>
      </c>
      <c r="E288" s="2200">
        <f t="shared" si="17"/>
        <v>10</v>
      </c>
      <c r="F288" s="2200" t="str">
        <f t="shared" si="18"/>
        <v>16</v>
      </c>
      <c r="G288" s="2200" t="str">
        <f t="shared" si="19"/>
        <v>41760</v>
      </c>
      <c r="H288" s="2200">
        <f>--SUBTOTAL(3,C$2:C288)</f>
        <v>40</v>
      </c>
    </row>
    <row r="289" spans="1:8" hidden="1" x14ac:dyDescent="0.15">
      <c r="A289" s="2200" t="s">
        <v>1878</v>
      </c>
      <c r="B289" s="2200" t="s">
        <v>2453</v>
      </c>
      <c r="C289" s="2200" t="s">
        <v>2454</v>
      </c>
      <c r="D289" s="2200" t="str">
        <f t="shared" si="16"/>
        <v>ID</v>
      </c>
      <c r="E289" s="2200">
        <f t="shared" si="17"/>
        <v>11</v>
      </c>
      <c r="F289" s="2200" t="str">
        <f t="shared" si="18"/>
        <v>16</v>
      </c>
      <c r="G289" s="2200" t="str">
        <f t="shared" si="19"/>
        <v>46300</v>
      </c>
      <c r="H289" s="2200">
        <f>--SUBTOTAL(3,C$2:C289)</f>
        <v>40</v>
      </c>
    </row>
    <row r="290" spans="1:8" hidden="1" x14ac:dyDescent="0.15">
      <c r="A290" s="2200" t="s">
        <v>1878</v>
      </c>
      <c r="B290" s="2200" t="s">
        <v>2455</v>
      </c>
      <c r="C290" s="2200" t="s">
        <v>2456</v>
      </c>
      <c r="D290" s="2200" t="str">
        <f t="shared" si="16"/>
        <v>IL</v>
      </c>
      <c r="E290" s="2200">
        <f t="shared" si="17"/>
        <v>12</v>
      </c>
      <c r="F290" s="2200" t="str">
        <f t="shared" si="18"/>
        <v>17</v>
      </c>
      <c r="G290" s="2200" t="str">
        <f t="shared" si="19"/>
        <v>14010</v>
      </c>
      <c r="H290" s="2200">
        <f>--SUBTOTAL(3,C$2:C290)</f>
        <v>40</v>
      </c>
    </row>
    <row r="291" spans="1:8" hidden="1" x14ac:dyDescent="0.15">
      <c r="A291" s="2200" t="s">
        <v>1902</v>
      </c>
      <c r="B291" s="2200" t="s">
        <v>2458</v>
      </c>
      <c r="C291" s="2200" t="s">
        <v>2459</v>
      </c>
      <c r="D291" s="2200" t="str">
        <f t="shared" si="16"/>
        <v>IL</v>
      </c>
      <c r="E291" s="2200">
        <f t="shared" si="17"/>
        <v>20</v>
      </c>
      <c r="F291" s="2200" t="str">
        <f t="shared" si="18"/>
        <v>17</v>
      </c>
      <c r="G291" s="2200" t="str">
        <f t="shared" si="19"/>
        <v>14500</v>
      </c>
      <c r="H291" s="2200">
        <f>--SUBTOTAL(3,C$2:C291)</f>
        <v>40</v>
      </c>
    </row>
    <row r="292" spans="1:8" hidden="1" x14ac:dyDescent="0.15">
      <c r="A292" s="2200" t="s">
        <v>1884</v>
      </c>
      <c r="B292" s="2200" t="s">
        <v>2460</v>
      </c>
      <c r="C292" s="2200" t="s">
        <v>2461</v>
      </c>
      <c r="D292" s="2200" t="str">
        <f t="shared" si="16"/>
        <v>IL</v>
      </c>
      <c r="E292" s="2200">
        <f t="shared" si="17"/>
        <v>7</v>
      </c>
      <c r="F292" s="2200" t="str">
        <f t="shared" si="18"/>
        <v>17</v>
      </c>
      <c r="G292" s="2200" t="str">
        <f t="shared" si="19"/>
        <v>15900</v>
      </c>
      <c r="H292" s="2200">
        <f>--SUBTOTAL(3,C$2:C292)</f>
        <v>40</v>
      </c>
    </row>
    <row r="293" spans="1:8" hidden="1" x14ac:dyDescent="0.15">
      <c r="A293" s="2200" t="s">
        <v>1878</v>
      </c>
      <c r="B293" s="2200" t="s">
        <v>2982</v>
      </c>
      <c r="C293" s="2200" t="s">
        <v>17872</v>
      </c>
      <c r="D293" s="2200" t="str">
        <f t="shared" si="16"/>
        <v>IL</v>
      </c>
      <c r="E293" s="2200">
        <f t="shared" si="17"/>
        <v>15</v>
      </c>
      <c r="F293" s="2200" t="str">
        <f t="shared" si="18"/>
        <v>29</v>
      </c>
      <c r="G293" s="2200" t="str">
        <f t="shared" si="19"/>
        <v>16020</v>
      </c>
      <c r="H293" s="2200">
        <f>--SUBTOTAL(3,C$2:C293)</f>
        <v>40</v>
      </c>
    </row>
    <row r="294" spans="1:8" hidden="1" x14ac:dyDescent="0.15">
      <c r="A294" s="2200" t="s">
        <v>1878</v>
      </c>
      <c r="B294" s="2200" t="s">
        <v>2462</v>
      </c>
      <c r="C294" s="2200" t="s">
        <v>2463</v>
      </c>
      <c r="D294" s="2200" t="str">
        <f t="shared" si="16"/>
        <v>IL</v>
      </c>
      <c r="E294" s="2200">
        <f t="shared" si="17"/>
        <v>18</v>
      </c>
      <c r="F294" s="2200" t="str">
        <f t="shared" si="18"/>
        <v>17</v>
      </c>
      <c r="G294" s="2200" t="str">
        <f t="shared" si="19"/>
        <v>16060</v>
      </c>
      <c r="H294" s="2200">
        <f>--SUBTOTAL(3,C$2:C294)</f>
        <v>40</v>
      </c>
    </row>
    <row r="295" spans="1:8" hidden="1" x14ac:dyDescent="0.15">
      <c r="A295" s="2200" t="s">
        <v>1884</v>
      </c>
      <c r="B295" s="2200" t="s">
        <v>2464</v>
      </c>
      <c r="C295" s="2200" t="s">
        <v>2465</v>
      </c>
      <c r="D295" s="2200" t="str">
        <f t="shared" si="16"/>
        <v>IL</v>
      </c>
      <c r="E295" s="2200">
        <f t="shared" si="17"/>
        <v>10</v>
      </c>
      <c r="F295" s="2200" t="str">
        <f t="shared" si="18"/>
        <v>17</v>
      </c>
      <c r="G295" s="2200" t="str">
        <f t="shared" si="19"/>
        <v>16460</v>
      </c>
      <c r="H295" s="2200">
        <f>--SUBTOTAL(3,C$2:C295)</f>
        <v>40</v>
      </c>
    </row>
    <row r="296" spans="1:8" hidden="1" x14ac:dyDescent="0.15">
      <c r="A296" s="2200" t="s">
        <v>1878</v>
      </c>
      <c r="B296" s="2200" t="s">
        <v>2466</v>
      </c>
      <c r="C296" s="2200" t="s">
        <v>2467</v>
      </c>
      <c r="D296" s="2200" t="str">
        <f t="shared" si="16"/>
        <v>IL</v>
      </c>
      <c r="E296" s="2200">
        <f t="shared" si="17"/>
        <v>17</v>
      </c>
      <c r="F296" s="2200" t="str">
        <f t="shared" si="18"/>
        <v>17</v>
      </c>
      <c r="G296" s="2200" t="str">
        <f t="shared" si="19"/>
        <v>16580</v>
      </c>
      <c r="H296" s="2200">
        <f>--SUBTOTAL(3,C$2:C296)</f>
        <v>40</v>
      </c>
    </row>
    <row r="297" spans="1:8" hidden="1" x14ac:dyDescent="0.15">
      <c r="A297" s="2200" t="s">
        <v>1884</v>
      </c>
      <c r="B297" s="2200" t="s">
        <v>2468</v>
      </c>
      <c r="C297" s="2200" t="s">
        <v>2469</v>
      </c>
      <c r="D297" s="2200" t="str">
        <f t="shared" si="16"/>
        <v>IL</v>
      </c>
      <c r="E297" s="2200">
        <f t="shared" si="17"/>
        <v>19</v>
      </c>
      <c r="F297" s="2200" t="str">
        <f t="shared" si="18"/>
        <v>17</v>
      </c>
      <c r="G297" s="2200" t="str">
        <f t="shared" si="19"/>
        <v>16660</v>
      </c>
      <c r="H297" s="2200">
        <f>--SUBTOTAL(3,C$2:C297)</f>
        <v>40</v>
      </c>
    </row>
    <row r="298" spans="1:8" hidden="1" x14ac:dyDescent="0.15">
      <c r="A298" s="2200" t="s">
        <v>1902</v>
      </c>
      <c r="B298" s="2200" t="s">
        <v>2470</v>
      </c>
      <c r="C298" s="2200" t="s">
        <v>2471</v>
      </c>
      <c r="D298" s="2200" t="str">
        <f t="shared" si="16"/>
        <v>IL</v>
      </c>
      <c r="E298" s="2200">
        <f t="shared" si="17"/>
        <v>19</v>
      </c>
      <c r="F298" s="2200" t="str">
        <f t="shared" si="18"/>
        <v>17</v>
      </c>
      <c r="G298" s="2200" t="str">
        <f t="shared" si="19"/>
        <v>17600</v>
      </c>
      <c r="H298" s="2200">
        <f>--SUBTOTAL(3,C$2:C298)</f>
        <v>40</v>
      </c>
    </row>
    <row r="299" spans="1:8" hidden="1" x14ac:dyDescent="0.15">
      <c r="A299" s="2200" t="s">
        <v>2023</v>
      </c>
      <c r="B299" s="2200" t="s">
        <v>2472</v>
      </c>
      <c r="C299" s="2200" t="s">
        <v>2473</v>
      </c>
      <c r="D299" s="2200" t="str">
        <f t="shared" si="16"/>
        <v>IL</v>
      </c>
      <c r="E299" s="2200">
        <f t="shared" si="17"/>
        <v>37</v>
      </c>
      <c r="F299" s="2200" t="str">
        <f t="shared" si="18"/>
        <v>17</v>
      </c>
      <c r="G299" s="2200" t="str">
        <f t="shared" si="19"/>
        <v>16974</v>
      </c>
      <c r="H299" s="2200">
        <f>--SUBTOTAL(3,C$2:C299)</f>
        <v>40</v>
      </c>
    </row>
    <row r="300" spans="1:8" hidden="1" x14ac:dyDescent="0.15">
      <c r="A300" s="2200" t="s">
        <v>1878</v>
      </c>
      <c r="B300" s="2200" t="s">
        <v>2474</v>
      </c>
      <c r="C300" s="2200" t="s">
        <v>2475</v>
      </c>
      <c r="D300" s="2200" t="str">
        <f t="shared" si="16"/>
        <v>IL</v>
      </c>
      <c r="E300" s="2200">
        <f t="shared" si="17"/>
        <v>25</v>
      </c>
      <c r="F300" s="2200" t="str">
        <f t="shared" si="18"/>
        <v>17</v>
      </c>
      <c r="G300" s="2200" t="str">
        <f t="shared" si="19"/>
        <v>16980</v>
      </c>
      <c r="H300" s="2200">
        <f>--SUBTOTAL(3,C$2:C300)</f>
        <v>40</v>
      </c>
    </row>
    <row r="301" spans="1:8" hidden="1" x14ac:dyDescent="0.15">
      <c r="A301" s="2200" t="s">
        <v>1878</v>
      </c>
      <c r="B301" s="2200" t="s">
        <v>2476</v>
      </c>
      <c r="C301" s="2200" t="s">
        <v>2477</v>
      </c>
      <c r="D301" s="2200" t="str">
        <f t="shared" si="16"/>
        <v>IL</v>
      </c>
      <c r="E301" s="2200">
        <f t="shared" si="17"/>
        <v>9</v>
      </c>
      <c r="F301" s="2200" t="str">
        <f t="shared" si="18"/>
        <v>17</v>
      </c>
      <c r="G301" s="2200" t="str">
        <f t="shared" si="19"/>
        <v>19180</v>
      </c>
      <c r="H301" s="2200">
        <f>--SUBTOTAL(3,C$2:C301)</f>
        <v>40</v>
      </c>
    </row>
    <row r="302" spans="1:8" hidden="1" x14ac:dyDescent="0.15">
      <c r="A302" s="2200" t="s">
        <v>1878</v>
      </c>
      <c r="B302" s="2200" t="s">
        <v>2381</v>
      </c>
      <c r="C302" s="2200" t="s">
        <v>17858</v>
      </c>
      <c r="D302" s="2200" t="str">
        <f t="shared" si="16"/>
        <v>IL</v>
      </c>
      <c r="E302" s="2200">
        <f t="shared" si="17"/>
        <v>29</v>
      </c>
      <c r="F302" s="2200" t="str">
        <f t="shared" si="18"/>
        <v>17</v>
      </c>
      <c r="G302" s="2200" t="str">
        <f t="shared" si="19"/>
        <v>19340</v>
      </c>
      <c r="H302" s="2200">
        <f>--SUBTOTAL(3,C$2:C302)</f>
        <v>40</v>
      </c>
    </row>
    <row r="303" spans="1:8" hidden="1" x14ac:dyDescent="0.15">
      <c r="A303" s="2200" t="s">
        <v>1878</v>
      </c>
      <c r="B303" s="2200" t="s">
        <v>2478</v>
      </c>
      <c r="C303" s="2200" t="s">
        <v>2479</v>
      </c>
      <c r="D303" s="2200" t="str">
        <f t="shared" si="16"/>
        <v>IL</v>
      </c>
      <c r="E303" s="2200">
        <f t="shared" si="17"/>
        <v>8</v>
      </c>
      <c r="F303" s="2200" t="str">
        <f t="shared" si="18"/>
        <v>17</v>
      </c>
      <c r="G303" s="2200" t="str">
        <f t="shared" si="19"/>
        <v>19500</v>
      </c>
      <c r="H303" s="2200">
        <f>--SUBTOTAL(3,C$2:C303)</f>
        <v>40</v>
      </c>
    </row>
    <row r="304" spans="1:8" hidden="1" x14ac:dyDescent="0.15">
      <c r="A304" s="2200" t="s">
        <v>1884</v>
      </c>
      <c r="B304" s="2200" t="s">
        <v>2480</v>
      </c>
      <c r="C304" s="2200" t="s">
        <v>2481</v>
      </c>
      <c r="D304" s="2200" t="str">
        <f t="shared" si="16"/>
        <v>IL</v>
      </c>
      <c r="E304" s="2200">
        <f t="shared" si="17"/>
        <v>6</v>
      </c>
      <c r="F304" s="2200" t="str">
        <f t="shared" si="18"/>
        <v>17</v>
      </c>
      <c r="G304" s="2200" t="str">
        <f t="shared" si="19"/>
        <v>19940</v>
      </c>
      <c r="H304" s="2200">
        <f>--SUBTOTAL(3,C$2:C304)</f>
        <v>40</v>
      </c>
    </row>
    <row r="305" spans="1:8" hidden="1" x14ac:dyDescent="0.15">
      <c r="A305" s="2200" t="s">
        <v>1902</v>
      </c>
      <c r="B305" s="2200" t="s">
        <v>2482</v>
      </c>
      <c r="C305" s="2200" t="s">
        <v>2483</v>
      </c>
      <c r="D305" s="2200" t="str">
        <f t="shared" si="16"/>
        <v>IL</v>
      </c>
      <c r="E305" s="2200">
        <f t="shared" si="17"/>
        <v>15</v>
      </c>
      <c r="F305" s="2200" t="str">
        <f t="shared" si="18"/>
        <v>17</v>
      </c>
      <c r="G305" s="2200" t="str">
        <f t="shared" si="19"/>
        <v>22100</v>
      </c>
      <c r="H305" s="2200">
        <f>--SUBTOTAL(3,C$2:C305)</f>
        <v>40</v>
      </c>
    </row>
    <row r="306" spans="1:8" hidden="1" x14ac:dyDescent="0.15">
      <c r="A306" s="2200" t="s">
        <v>1884</v>
      </c>
      <c r="B306" s="2200" t="s">
        <v>2484</v>
      </c>
      <c r="C306" s="2200" t="s">
        <v>2485</v>
      </c>
      <c r="D306" s="2200" t="str">
        <f t="shared" si="16"/>
        <v>IL</v>
      </c>
      <c r="E306" s="2200">
        <f t="shared" si="17"/>
        <v>10</v>
      </c>
      <c r="F306" s="2200" t="str">
        <f t="shared" si="18"/>
        <v>17</v>
      </c>
      <c r="G306" s="2200" t="str">
        <f t="shared" si="19"/>
        <v>20820</v>
      </c>
      <c r="H306" s="2200">
        <f>--SUBTOTAL(3,C$2:C306)</f>
        <v>40</v>
      </c>
    </row>
    <row r="307" spans="1:8" hidden="1" x14ac:dyDescent="0.15">
      <c r="A307" s="2200" t="s">
        <v>2023</v>
      </c>
      <c r="B307" s="2200" t="s">
        <v>2486</v>
      </c>
      <c r="C307" s="2200" t="s">
        <v>2487</v>
      </c>
      <c r="D307" s="2200" t="str">
        <f t="shared" si="16"/>
        <v>IL</v>
      </c>
      <c r="E307" s="2200">
        <f t="shared" si="17"/>
        <v>6</v>
      </c>
      <c r="F307" s="2200" t="str">
        <f t="shared" si="18"/>
        <v>17</v>
      </c>
      <c r="G307" s="2200" t="str">
        <f t="shared" si="19"/>
        <v>20994</v>
      </c>
      <c r="H307" s="2200">
        <f>--SUBTOTAL(3,C$2:C307)</f>
        <v>40</v>
      </c>
    </row>
    <row r="308" spans="1:8" hidden="1" x14ac:dyDescent="0.15">
      <c r="A308" s="2200" t="s">
        <v>1884</v>
      </c>
      <c r="B308" s="2200" t="s">
        <v>2488</v>
      </c>
      <c r="C308" s="2200" t="s">
        <v>2489</v>
      </c>
      <c r="D308" s="2200" t="str">
        <f t="shared" si="16"/>
        <v>IL</v>
      </c>
      <c r="E308" s="2200">
        <f t="shared" si="17"/>
        <v>9</v>
      </c>
      <c r="F308" s="2200" t="str">
        <f t="shared" si="18"/>
        <v>17</v>
      </c>
      <c r="G308" s="2200" t="str">
        <f t="shared" si="19"/>
        <v>23300</v>
      </c>
      <c r="H308" s="2200">
        <f>--SUBTOTAL(3,C$2:C308)</f>
        <v>40</v>
      </c>
    </row>
    <row r="309" spans="1:8" hidden="1" x14ac:dyDescent="0.15">
      <c r="A309" s="2200" t="s">
        <v>1884</v>
      </c>
      <c r="B309" s="2200" t="s">
        <v>2490</v>
      </c>
      <c r="C309" s="2200" t="s">
        <v>2491</v>
      </c>
      <c r="D309" s="2200" t="str">
        <f t="shared" si="16"/>
        <v>IL</v>
      </c>
      <c r="E309" s="2200">
        <f t="shared" si="17"/>
        <v>10</v>
      </c>
      <c r="F309" s="2200" t="str">
        <f t="shared" si="18"/>
        <v>17</v>
      </c>
      <c r="G309" s="2200" t="str">
        <f t="shared" si="19"/>
        <v>23660</v>
      </c>
      <c r="H309" s="2200">
        <f>--SUBTOTAL(3,C$2:C309)</f>
        <v>40</v>
      </c>
    </row>
    <row r="310" spans="1:8" hidden="1" x14ac:dyDescent="0.15">
      <c r="A310" s="2200" t="s">
        <v>1884</v>
      </c>
      <c r="B310" s="2200" t="s">
        <v>2492</v>
      </c>
      <c r="C310" s="2200" t="s">
        <v>2493</v>
      </c>
      <c r="D310" s="2200" t="str">
        <f t="shared" si="16"/>
        <v>IL</v>
      </c>
      <c r="E310" s="2200">
        <f t="shared" si="17"/>
        <v>13</v>
      </c>
      <c r="F310" s="2200" t="str">
        <f t="shared" si="18"/>
        <v>17</v>
      </c>
      <c r="G310" s="2200" t="str">
        <f t="shared" si="19"/>
        <v>27300</v>
      </c>
      <c r="H310" s="2200">
        <f>--SUBTOTAL(3,C$2:C310)</f>
        <v>40</v>
      </c>
    </row>
    <row r="311" spans="1:8" hidden="1" x14ac:dyDescent="0.15">
      <c r="A311" s="2200" t="s">
        <v>1878</v>
      </c>
      <c r="B311" s="2200" t="s">
        <v>2494</v>
      </c>
      <c r="C311" s="2200" t="s">
        <v>2495</v>
      </c>
      <c r="D311" s="2200" t="str">
        <f t="shared" si="16"/>
        <v>IL</v>
      </c>
      <c r="E311" s="2200">
        <f t="shared" si="17"/>
        <v>9</v>
      </c>
      <c r="F311" s="2200" t="str">
        <f t="shared" si="18"/>
        <v>17</v>
      </c>
      <c r="G311" s="2200" t="str">
        <f t="shared" si="19"/>
        <v>28100</v>
      </c>
      <c r="H311" s="2200">
        <f>--SUBTOTAL(3,C$2:C311)</f>
        <v>40</v>
      </c>
    </row>
    <row r="312" spans="1:8" hidden="1" x14ac:dyDescent="0.15">
      <c r="A312" s="2200" t="s">
        <v>2023</v>
      </c>
      <c r="B312" s="2200" t="s">
        <v>2496</v>
      </c>
      <c r="C312" s="2200" t="s">
        <v>2497</v>
      </c>
      <c r="D312" s="2200" t="str">
        <f t="shared" si="16"/>
        <v>IL</v>
      </c>
      <c r="E312" s="2200">
        <f t="shared" si="17"/>
        <v>27</v>
      </c>
      <c r="F312" s="2200" t="str">
        <f t="shared" si="18"/>
        <v>17</v>
      </c>
      <c r="G312" s="2200" t="str">
        <f t="shared" si="19"/>
        <v>29404</v>
      </c>
      <c r="H312" s="2200">
        <f>--SUBTOTAL(3,C$2:C312)</f>
        <v>40</v>
      </c>
    </row>
    <row r="313" spans="1:8" hidden="1" x14ac:dyDescent="0.15">
      <c r="A313" s="2200" t="s">
        <v>1884</v>
      </c>
      <c r="B313" s="2200" t="s">
        <v>2498</v>
      </c>
      <c r="C313" s="2200" t="s">
        <v>2499</v>
      </c>
      <c r="D313" s="2200" t="str">
        <f t="shared" si="16"/>
        <v>IL</v>
      </c>
      <c r="E313" s="2200">
        <f t="shared" si="17"/>
        <v>8</v>
      </c>
      <c r="F313" s="2200" t="str">
        <f t="shared" si="18"/>
        <v>17</v>
      </c>
      <c r="G313" s="2200" t="str">
        <f t="shared" si="19"/>
        <v>30660</v>
      </c>
      <c r="H313" s="2200">
        <f>--SUBTOTAL(3,C$2:C313)</f>
        <v>40</v>
      </c>
    </row>
    <row r="314" spans="1:8" hidden="1" x14ac:dyDescent="0.15">
      <c r="A314" s="2200" t="s">
        <v>1884</v>
      </c>
      <c r="B314" s="2200" t="s">
        <v>2500</v>
      </c>
      <c r="C314" s="2200" t="s">
        <v>2501</v>
      </c>
      <c r="D314" s="2200" t="str">
        <f t="shared" si="16"/>
        <v>IL</v>
      </c>
      <c r="E314" s="2200">
        <f t="shared" si="17"/>
        <v>7</v>
      </c>
      <c r="F314" s="2200" t="str">
        <f t="shared" si="18"/>
        <v>17</v>
      </c>
      <c r="G314" s="2200" t="str">
        <f t="shared" si="19"/>
        <v>31380</v>
      </c>
      <c r="H314" s="2200">
        <f>--SUBTOTAL(3,C$2:C314)</f>
        <v>40</v>
      </c>
    </row>
    <row r="315" spans="1:8" hidden="1" x14ac:dyDescent="0.15">
      <c r="A315" s="2200" t="s">
        <v>1884</v>
      </c>
      <c r="B315" s="2200" t="s">
        <v>2502</v>
      </c>
      <c r="C315" s="2200" t="s">
        <v>2503</v>
      </c>
      <c r="D315" s="2200" t="str">
        <f t="shared" si="16"/>
        <v>IL</v>
      </c>
      <c r="E315" s="2200">
        <f t="shared" si="17"/>
        <v>13</v>
      </c>
      <c r="F315" s="2200" t="str">
        <f t="shared" si="18"/>
        <v>17</v>
      </c>
      <c r="G315" s="2200" t="str">
        <f t="shared" si="19"/>
        <v>34500</v>
      </c>
      <c r="H315" s="2200">
        <f>--SUBTOTAL(3,C$2:C315)</f>
        <v>40</v>
      </c>
    </row>
    <row r="316" spans="1:8" hidden="1" x14ac:dyDescent="0.15">
      <c r="A316" s="2200" t="s">
        <v>1884</v>
      </c>
      <c r="B316" s="2200" t="s">
        <v>2504</v>
      </c>
      <c r="C316" s="2200" t="s">
        <v>2505</v>
      </c>
      <c r="D316" s="2200" t="str">
        <f t="shared" si="16"/>
        <v>IL</v>
      </c>
      <c r="E316" s="2200">
        <f t="shared" si="17"/>
        <v>12</v>
      </c>
      <c r="F316" s="2200" t="str">
        <f t="shared" si="18"/>
        <v>17</v>
      </c>
      <c r="G316" s="2200" t="str">
        <f t="shared" si="19"/>
        <v>36860</v>
      </c>
      <c r="H316" s="2200">
        <f>--SUBTOTAL(3,C$2:C316)</f>
        <v>40</v>
      </c>
    </row>
    <row r="317" spans="1:8" hidden="1" x14ac:dyDescent="0.15">
      <c r="A317" s="2200" t="s">
        <v>1878</v>
      </c>
      <c r="B317" s="2200" t="s">
        <v>2506</v>
      </c>
      <c r="C317" s="2200" t="s">
        <v>2507</v>
      </c>
      <c r="D317" s="2200" t="str">
        <f t="shared" si="16"/>
        <v>IL</v>
      </c>
      <c r="E317" s="2200">
        <f t="shared" si="17"/>
        <v>7</v>
      </c>
      <c r="F317" s="2200" t="str">
        <f t="shared" si="18"/>
        <v>17</v>
      </c>
      <c r="G317" s="2200" t="str">
        <f t="shared" si="19"/>
        <v>37900</v>
      </c>
      <c r="H317" s="2200">
        <f>--SUBTOTAL(3,C$2:C317)</f>
        <v>40</v>
      </c>
    </row>
    <row r="318" spans="1:8" hidden="1" x14ac:dyDescent="0.15">
      <c r="A318" s="2200" t="s">
        <v>1902</v>
      </c>
      <c r="B318" s="2200" t="s">
        <v>2508</v>
      </c>
      <c r="C318" s="2200" t="s">
        <v>2509</v>
      </c>
      <c r="D318" s="2200" t="str">
        <f t="shared" si="16"/>
        <v>IL</v>
      </c>
      <c r="E318" s="2200">
        <f t="shared" si="17"/>
        <v>14</v>
      </c>
      <c r="F318" s="2200" t="str">
        <f t="shared" si="18"/>
        <v>17</v>
      </c>
      <c r="G318" s="2200" t="str">
        <f t="shared" si="19"/>
        <v>42700</v>
      </c>
      <c r="H318" s="2200">
        <f>--SUBTOTAL(3,C$2:C318)</f>
        <v>40</v>
      </c>
    </row>
    <row r="319" spans="1:8" hidden="1" x14ac:dyDescent="0.15">
      <c r="A319" s="2200" t="s">
        <v>1884</v>
      </c>
      <c r="B319" s="2200" t="s">
        <v>2510</v>
      </c>
      <c r="C319" s="2200" t="s">
        <v>2511</v>
      </c>
      <c r="D319" s="2200" t="str">
        <f t="shared" si="16"/>
        <v>IL</v>
      </c>
      <c r="E319" s="2200">
        <f t="shared" si="17"/>
        <v>8</v>
      </c>
      <c r="F319" s="2200" t="str">
        <f t="shared" si="18"/>
        <v>17</v>
      </c>
      <c r="G319" s="2200" t="str">
        <f t="shared" si="19"/>
        <v>38700</v>
      </c>
      <c r="H319" s="2200">
        <f>--SUBTOTAL(3,C$2:C319)</f>
        <v>40</v>
      </c>
    </row>
    <row r="320" spans="1:8" hidden="1" x14ac:dyDescent="0.15">
      <c r="A320" s="2200" t="s">
        <v>1884</v>
      </c>
      <c r="B320" s="2200" t="s">
        <v>2512</v>
      </c>
      <c r="C320" s="2200" t="s">
        <v>2513</v>
      </c>
      <c r="D320" s="2200" t="str">
        <f t="shared" si="16"/>
        <v>IL</v>
      </c>
      <c r="E320" s="2200">
        <f t="shared" si="17"/>
        <v>7</v>
      </c>
      <c r="F320" s="2200" t="str">
        <f t="shared" si="18"/>
        <v>17</v>
      </c>
      <c r="G320" s="2200" t="str">
        <f t="shared" si="19"/>
        <v>39500</v>
      </c>
      <c r="H320" s="2200">
        <f>--SUBTOTAL(3,C$2:C320)</f>
        <v>40</v>
      </c>
    </row>
    <row r="321" spans="1:8" hidden="1" x14ac:dyDescent="0.15">
      <c r="A321" s="2200" t="s">
        <v>1902</v>
      </c>
      <c r="B321" s="2200" t="s">
        <v>2514</v>
      </c>
      <c r="C321" s="2200" t="s">
        <v>2515</v>
      </c>
      <c r="D321" s="2200" t="str">
        <f t="shared" si="16"/>
        <v>IL</v>
      </c>
      <c r="E321" s="2200">
        <f t="shared" si="17"/>
        <v>16</v>
      </c>
      <c r="F321" s="2200" t="str">
        <f t="shared" si="18"/>
        <v>17</v>
      </c>
      <c r="G321" s="2200" t="str">
        <f t="shared" si="19"/>
        <v>44800</v>
      </c>
      <c r="H321" s="2200">
        <f>--SUBTOTAL(3,C$2:C321)</f>
        <v>40</v>
      </c>
    </row>
    <row r="322" spans="1:8" hidden="1" x14ac:dyDescent="0.15">
      <c r="A322" s="2200" t="s">
        <v>1884</v>
      </c>
      <c r="B322" s="2200" t="s">
        <v>2516</v>
      </c>
      <c r="C322" s="2200" t="s">
        <v>2517</v>
      </c>
      <c r="D322" s="2200" t="str">
        <f t="shared" si="16"/>
        <v>IL</v>
      </c>
      <c r="E322" s="2200">
        <f t="shared" si="17"/>
        <v>9</v>
      </c>
      <c r="F322" s="2200" t="str">
        <f t="shared" si="18"/>
        <v>17</v>
      </c>
      <c r="G322" s="2200" t="str">
        <f t="shared" si="19"/>
        <v>40300</v>
      </c>
      <c r="H322" s="2200">
        <f>--SUBTOTAL(3,C$2:C322)</f>
        <v>40</v>
      </c>
    </row>
    <row r="323" spans="1:8" hidden="1" x14ac:dyDescent="0.15">
      <c r="A323" s="2200" t="s">
        <v>1878</v>
      </c>
      <c r="B323" s="2200" t="s">
        <v>2518</v>
      </c>
      <c r="C323" s="2200" t="s">
        <v>2519</v>
      </c>
      <c r="D323" s="2200" t="str">
        <f t="shared" si="16"/>
        <v>IL</v>
      </c>
      <c r="E323" s="2200">
        <f t="shared" si="17"/>
        <v>9</v>
      </c>
      <c r="F323" s="2200" t="str">
        <f t="shared" si="18"/>
        <v>17</v>
      </c>
      <c r="G323" s="2200" t="str">
        <f t="shared" si="19"/>
        <v>40420</v>
      </c>
      <c r="H323" s="2200">
        <f>--SUBTOTAL(3,C$2:C323)</f>
        <v>40</v>
      </c>
    </row>
    <row r="324" spans="1:8" hidden="1" x14ac:dyDescent="0.15">
      <c r="A324" s="2200" t="s">
        <v>1902</v>
      </c>
      <c r="B324" s="2200" t="s">
        <v>2520</v>
      </c>
      <c r="C324" s="2200" t="s">
        <v>2521</v>
      </c>
      <c r="D324" s="2200" t="str">
        <f t="shared" si="16"/>
        <v>IL</v>
      </c>
      <c r="E324" s="2200">
        <f t="shared" si="17"/>
        <v>27</v>
      </c>
      <c r="F324" s="2200" t="str">
        <f t="shared" si="18"/>
        <v>17</v>
      </c>
      <c r="G324" s="2200" t="str">
        <f t="shared" si="19"/>
        <v>46600</v>
      </c>
      <c r="H324" s="2200">
        <f>--SUBTOTAL(3,C$2:C324)</f>
        <v>40</v>
      </c>
    </row>
    <row r="325" spans="1:8" hidden="1" x14ac:dyDescent="0.15">
      <c r="A325" s="2200" t="s">
        <v>1878</v>
      </c>
      <c r="B325" s="2200" t="s">
        <v>2522</v>
      </c>
      <c r="C325" s="2200" t="s">
        <v>2523</v>
      </c>
      <c r="D325" s="2200" t="str">
        <f t="shared" si="16"/>
        <v>IL</v>
      </c>
      <c r="E325" s="2200">
        <f t="shared" si="17"/>
        <v>12</v>
      </c>
      <c r="F325" s="2200" t="str">
        <f t="shared" si="18"/>
        <v>17</v>
      </c>
      <c r="G325" s="2200" t="str">
        <f t="shared" si="19"/>
        <v>44100</v>
      </c>
      <c r="H325" s="2200">
        <f>--SUBTOTAL(3,C$2:C325)</f>
        <v>40</v>
      </c>
    </row>
    <row r="326" spans="1:8" hidden="1" x14ac:dyDescent="0.15">
      <c r="A326" s="2200" t="s">
        <v>1902</v>
      </c>
      <c r="B326" s="2200" t="s">
        <v>2524</v>
      </c>
      <c r="C326" s="2200" t="s">
        <v>2525</v>
      </c>
      <c r="D326" s="2200" t="str">
        <f t="shared" si="16"/>
        <v>IL</v>
      </c>
      <c r="E326" s="2200">
        <f t="shared" si="17"/>
        <v>33</v>
      </c>
      <c r="F326" s="2200" t="str">
        <f t="shared" si="18"/>
        <v>17</v>
      </c>
      <c r="G326" s="2200" t="str">
        <f t="shared" si="19"/>
        <v>52200</v>
      </c>
      <c r="H326" s="2200">
        <f>--SUBTOTAL(3,C$2:C326)</f>
        <v>40</v>
      </c>
    </row>
    <row r="327" spans="1:8" hidden="1" x14ac:dyDescent="0.15">
      <c r="A327" s="2200" t="s">
        <v>1878</v>
      </c>
      <c r="B327" s="2200" t="s">
        <v>3034</v>
      </c>
      <c r="C327" s="2200" t="s">
        <v>17874</v>
      </c>
      <c r="D327" s="2200" t="str">
        <f t="shared" si="16"/>
        <v>IL</v>
      </c>
      <c r="E327" s="2200">
        <f t="shared" si="17"/>
        <v>10</v>
      </c>
      <c r="F327" s="2200" t="str">
        <f t="shared" si="18"/>
        <v>29</v>
      </c>
      <c r="G327" s="2200" t="str">
        <f t="shared" si="19"/>
        <v>41180</v>
      </c>
      <c r="H327" s="2200">
        <f>--SUBTOTAL(3,C$2:C327)</f>
        <v>40</v>
      </c>
    </row>
    <row r="328" spans="1:8" hidden="1" x14ac:dyDescent="0.15">
      <c r="A328" s="2200" t="s">
        <v>1884</v>
      </c>
      <c r="B328" s="2200" t="s">
        <v>2526</v>
      </c>
      <c r="C328" s="2200" t="s">
        <v>2527</v>
      </c>
      <c r="D328" s="2200" t="str">
        <f t="shared" si="16"/>
        <v>IL</v>
      </c>
      <c r="E328" s="2200">
        <f t="shared" si="17"/>
        <v>9</v>
      </c>
      <c r="F328" s="2200" t="str">
        <f t="shared" si="18"/>
        <v>17</v>
      </c>
      <c r="G328" s="2200" t="str">
        <f t="shared" si="19"/>
        <v>44580</v>
      </c>
      <c r="H328" s="2200">
        <f>--SUBTOTAL(3,C$2:C328)</f>
        <v>40</v>
      </c>
    </row>
    <row r="329" spans="1:8" hidden="1" x14ac:dyDescent="0.15">
      <c r="A329" s="2200" t="s">
        <v>1884</v>
      </c>
      <c r="B329" s="2200" t="s">
        <v>2528</v>
      </c>
      <c r="C329" s="2200" t="s">
        <v>2529</v>
      </c>
      <c r="D329" s="2200" t="str">
        <f t="shared" si="16"/>
        <v>IL</v>
      </c>
      <c r="E329" s="2200">
        <f t="shared" si="17"/>
        <v>12</v>
      </c>
      <c r="F329" s="2200" t="str">
        <f t="shared" si="18"/>
        <v>17</v>
      </c>
      <c r="G329" s="2200" t="str">
        <f t="shared" si="19"/>
        <v>45380</v>
      </c>
      <c r="H329" s="2200">
        <f>--SUBTOTAL(3,C$2:C329)</f>
        <v>40</v>
      </c>
    </row>
    <row r="330" spans="1:8" hidden="1" x14ac:dyDescent="0.15">
      <c r="A330" s="2200" t="s">
        <v>1884</v>
      </c>
      <c r="B330" s="2200" t="s">
        <v>2530</v>
      </c>
      <c r="C330" s="2200" t="s">
        <v>2531</v>
      </c>
      <c r="D330" s="2200" t="str">
        <f t="shared" si="16"/>
        <v>IN</v>
      </c>
      <c r="E330" s="2200">
        <f t="shared" si="17"/>
        <v>7</v>
      </c>
      <c r="F330" s="2200" t="str">
        <f t="shared" si="18"/>
        <v>18</v>
      </c>
      <c r="G330" s="2200" t="str">
        <f t="shared" si="19"/>
        <v>11420</v>
      </c>
      <c r="H330" s="2200">
        <f>--SUBTOTAL(3,C$2:C330)</f>
        <v>40</v>
      </c>
    </row>
    <row r="331" spans="1:8" hidden="1" x14ac:dyDescent="0.15">
      <c r="A331" s="2200" t="s">
        <v>1884</v>
      </c>
      <c r="B331" s="2200" t="s">
        <v>2533</v>
      </c>
      <c r="C331" s="2200" t="s">
        <v>2534</v>
      </c>
      <c r="D331" s="2200" t="str">
        <f t="shared" si="16"/>
        <v>IN</v>
      </c>
      <c r="E331" s="2200">
        <f t="shared" si="17"/>
        <v>7</v>
      </c>
      <c r="F331" s="2200" t="str">
        <f t="shared" si="18"/>
        <v>18</v>
      </c>
      <c r="G331" s="2200" t="str">
        <f t="shared" si="19"/>
        <v>12140</v>
      </c>
      <c r="H331" s="2200">
        <f>--SUBTOTAL(3,C$2:C331)</f>
        <v>40</v>
      </c>
    </row>
    <row r="332" spans="1:8" hidden="1" x14ac:dyDescent="0.15">
      <c r="A332" s="2200" t="s">
        <v>1884</v>
      </c>
      <c r="B332" s="2200" t="s">
        <v>2535</v>
      </c>
      <c r="C332" s="2200" t="s">
        <v>2536</v>
      </c>
      <c r="D332" s="2200" t="str">
        <f t="shared" si="16"/>
        <v>IN</v>
      </c>
      <c r="E332" s="2200">
        <f t="shared" si="17"/>
        <v>8</v>
      </c>
      <c r="F332" s="2200" t="str">
        <f t="shared" si="18"/>
        <v>18</v>
      </c>
      <c r="G332" s="2200" t="str">
        <f t="shared" si="19"/>
        <v>13260</v>
      </c>
      <c r="H332" s="2200">
        <f>--SUBTOTAL(3,C$2:C332)</f>
        <v>40</v>
      </c>
    </row>
    <row r="333" spans="1:8" hidden="1" x14ac:dyDescent="0.15">
      <c r="A333" s="2200" t="s">
        <v>1878</v>
      </c>
      <c r="B333" s="2200" t="s">
        <v>2537</v>
      </c>
      <c r="C333" s="2200" t="s">
        <v>2538</v>
      </c>
      <c r="D333" s="2200" t="str">
        <f t="shared" si="16"/>
        <v>IN</v>
      </c>
      <c r="E333" s="2200">
        <f t="shared" si="17"/>
        <v>12</v>
      </c>
      <c r="F333" s="2200" t="str">
        <f t="shared" si="18"/>
        <v>18</v>
      </c>
      <c r="G333" s="2200" t="str">
        <f t="shared" si="19"/>
        <v>14020</v>
      </c>
      <c r="H333" s="2200">
        <f>--SUBTOTAL(3,C$2:C333)</f>
        <v>40</v>
      </c>
    </row>
    <row r="334" spans="1:8" hidden="1" x14ac:dyDescent="0.15">
      <c r="A334" s="2200" t="s">
        <v>1902</v>
      </c>
      <c r="B334" s="2200" t="s">
        <v>2539</v>
      </c>
      <c r="C334" s="2200" t="s">
        <v>2540</v>
      </c>
      <c r="D334" s="2200" t="str">
        <f t="shared" ref="D334:D401" si="20">MID(C334,E334+2,2)</f>
        <v>IN</v>
      </c>
      <c r="E334" s="2200">
        <f t="shared" ref="E334:E401" si="21">FIND(",",C334)</f>
        <v>20</v>
      </c>
      <c r="F334" s="2200" t="str">
        <f t="shared" ref="F334:F401" si="22">MID(B334,3,2)</f>
        <v>18</v>
      </c>
      <c r="G334" s="2200" t="str">
        <f t="shared" ref="G334:G401" si="23">MID(B334,5,5)</f>
        <v>14400</v>
      </c>
      <c r="H334" s="2200">
        <f>--SUBTOTAL(3,C$2:C334)</f>
        <v>40</v>
      </c>
    </row>
    <row r="335" spans="1:8" hidden="1" x14ac:dyDescent="0.15">
      <c r="A335" s="2200" t="s">
        <v>1878</v>
      </c>
      <c r="B335" s="2200" t="s">
        <v>2474</v>
      </c>
      <c r="C335" s="2200" t="s">
        <v>17860</v>
      </c>
      <c r="D335" s="2200" t="str">
        <f t="shared" si="20"/>
        <v>IN</v>
      </c>
      <c r="E335" s="2200">
        <f t="shared" si="21"/>
        <v>25</v>
      </c>
      <c r="F335" s="2200" t="str">
        <f t="shared" si="22"/>
        <v>17</v>
      </c>
      <c r="G335" s="2200" t="str">
        <f t="shared" si="23"/>
        <v>16980</v>
      </c>
      <c r="H335" s="2200">
        <f>--SUBTOTAL(3,C$2:C335)</f>
        <v>40</v>
      </c>
    </row>
    <row r="336" spans="1:8" hidden="1" x14ac:dyDescent="0.15">
      <c r="A336" s="2200" t="s">
        <v>1878</v>
      </c>
      <c r="B336" s="2200" t="s">
        <v>3449</v>
      </c>
      <c r="C336" s="2200" t="s">
        <v>17883</v>
      </c>
      <c r="D336" s="2200" t="str">
        <f t="shared" si="20"/>
        <v>IN</v>
      </c>
      <c r="E336" s="2200">
        <f t="shared" si="21"/>
        <v>11</v>
      </c>
      <c r="F336" s="2200" t="str">
        <f t="shared" si="22"/>
        <v>39</v>
      </c>
      <c r="G336" s="2200" t="str">
        <f t="shared" si="23"/>
        <v>17140</v>
      </c>
      <c r="H336" s="2200">
        <f>--SUBTOTAL(3,C$2:C336)</f>
        <v>40</v>
      </c>
    </row>
    <row r="337" spans="1:8" hidden="1" x14ac:dyDescent="0.15">
      <c r="A337" s="2200" t="s">
        <v>1878</v>
      </c>
      <c r="B337" s="2200" t="s">
        <v>2541</v>
      </c>
      <c r="C337" s="2200" t="s">
        <v>2542</v>
      </c>
      <c r="D337" s="2200" t="str">
        <f t="shared" si="20"/>
        <v>IN</v>
      </c>
      <c r="E337" s="2200">
        <f t="shared" si="21"/>
        <v>9</v>
      </c>
      <c r="F337" s="2200" t="str">
        <f t="shared" si="22"/>
        <v>18</v>
      </c>
      <c r="G337" s="2200" t="str">
        <f t="shared" si="23"/>
        <v>18020</v>
      </c>
      <c r="H337" s="2200">
        <f>--SUBTOTAL(3,C$2:C337)</f>
        <v>40</v>
      </c>
    </row>
    <row r="338" spans="1:8" hidden="1" x14ac:dyDescent="0.15">
      <c r="A338" s="2200" t="s">
        <v>1884</v>
      </c>
      <c r="B338" s="2200" t="s">
        <v>2543</v>
      </c>
      <c r="C338" s="2200" t="s">
        <v>2544</v>
      </c>
      <c r="D338" s="2200" t="str">
        <f t="shared" si="20"/>
        <v>IN</v>
      </c>
      <c r="E338" s="2200">
        <f t="shared" si="21"/>
        <v>13</v>
      </c>
      <c r="F338" s="2200" t="str">
        <f t="shared" si="22"/>
        <v>18</v>
      </c>
      <c r="G338" s="2200" t="str">
        <f t="shared" si="23"/>
        <v>18220</v>
      </c>
      <c r="H338" s="2200">
        <f>--SUBTOTAL(3,C$2:C338)</f>
        <v>40</v>
      </c>
    </row>
    <row r="339" spans="1:8" hidden="1" x14ac:dyDescent="0.15">
      <c r="A339" s="2200" t="s">
        <v>1884</v>
      </c>
      <c r="B339" s="2200" t="s">
        <v>2545</v>
      </c>
      <c r="C339" s="2200" t="s">
        <v>2546</v>
      </c>
      <c r="D339" s="2200" t="str">
        <f t="shared" si="20"/>
        <v>IN</v>
      </c>
      <c r="E339" s="2200">
        <f t="shared" si="21"/>
        <v>15</v>
      </c>
      <c r="F339" s="2200" t="str">
        <f t="shared" si="22"/>
        <v>18</v>
      </c>
      <c r="G339" s="2200" t="str">
        <f t="shared" si="23"/>
        <v>18820</v>
      </c>
      <c r="H339" s="2200">
        <f>--SUBTOTAL(3,C$2:C339)</f>
        <v>40</v>
      </c>
    </row>
    <row r="340" spans="1:8" hidden="1" x14ac:dyDescent="0.15">
      <c r="A340" s="2200" t="s">
        <v>1884</v>
      </c>
      <c r="B340" s="2200" t="s">
        <v>2547</v>
      </c>
      <c r="C340" s="2200" t="s">
        <v>2548</v>
      </c>
      <c r="D340" s="2200" t="str">
        <f t="shared" si="20"/>
        <v>IN</v>
      </c>
      <c r="E340" s="2200">
        <f t="shared" si="21"/>
        <v>8</v>
      </c>
      <c r="F340" s="2200" t="str">
        <f t="shared" si="22"/>
        <v>18</v>
      </c>
      <c r="G340" s="2200" t="str">
        <f t="shared" si="23"/>
        <v>19540</v>
      </c>
      <c r="H340" s="2200">
        <f>--SUBTOTAL(3,C$2:C340)</f>
        <v>40</v>
      </c>
    </row>
    <row r="341" spans="1:8" hidden="1" x14ac:dyDescent="0.15">
      <c r="A341" s="2200" t="s">
        <v>1878</v>
      </c>
      <c r="B341" s="2200" t="s">
        <v>2549</v>
      </c>
      <c r="C341" s="2200" t="s">
        <v>2550</v>
      </c>
      <c r="D341" s="2200" t="str">
        <f t="shared" si="20"/>
        <v>IN</v>
      </c>
      <c r="E341" s="2200">
        <f t="shared" si="21"/>
        <v>15</v>
      </c>
      <c r="F341" s="2200" t="str">
        <f t="shared" si="22"/>
        <v>18</v>
      </c>
      <c r="G341" s="2200" t="str">
        <f t="shared" si="23"/>
        <v>21140</v>
      </c>
      <c r="H341" s="2200">
        <f>--SUBTOTAL(3,C$2:C341)</f>
        <v>40</v>
      </c>
    </row>
    <row r="342" spans="1:8" hidden="1" x14ac:dyDescent="0.15">
      <c r="A342" s="2200" t="s">
        <v>1878</v>
      </c>
      <c r="B342" s="2200" t="s">
        <v>2551</v>
      </c>
      <c r="C342" s="2200" t="s">
        <v>2552</v>
      </c>
      <c r="D342" s="2200" t="str">
        <f t="shared" si="20"/>
        <v>IN</v>
      </c>
      <c r="E342" s="2200">
        <f t="shared" si="21"/>
        <v>11</v>
      </c>
      <c r="F342" s="2200" t="str">
        <f t="shared" si="22"/>
        <v>18</v>
      </c>
      <c r="G342" s="2200" t="str">
        <f t="shared" si="23"/>
        <v>21780</v>
      </c>
      <c r="H342" s="2200">
        <f>--SUBTOTAL(3,C$2:C342)</f>
        <v>40</v>
      </c>
    </row>
    <row r="343" spans="1:8" hidden="1" x14ac:dyDescent="0.15">
      <c r="A343" s="2200" t="s">
        <v>1878</v>
      </c>
      <c r="B343" s="2200" t="s">
        <v>2553</v>
      </c>
      <c r="C343" s="2200" t="s">
        <v>2554</v>
      </c>
      <c r="D343" s="2200" t="str">
        <f t="shared" si="20"/>
        <v>IN</v>
      </c>
      <c r="E343" s="2200">
        <f t="shared" si="21"/>
        <v>11</v>
      </c>
      <c r="F343" s="2200" t="str">
        <f t="shared" si="22"/>
        <v>18</v>
      </c>
      <c r="G343" s="2200" t="str">
        <f t="shared" si="23"/>
        <v>23060</v>
      </c>
      <c r="H343" s="2200">
        <f>--SUBTOTAL(3,C$2:C343)</f>
        <v>40</v>
      </c>
    </row>
    <row r="344" spans="1:8" hidden="1" x14ac:dyDescent="0.15">
      <c r="A344" s="2200" t="s">
        <v>1902</v>
      </c>
      <c r="B344" s="2200" t="s">
        <v>2555</v>
      </c>
      <c r="C344" s="2200" t="s">
        <v>2556</v>
      </c>
      <c r="D344" s="2200" t="str">
        <f t="shared" si="20"/>
        <v>IN</v>
      </c>
      <c r="E344" s="2200">
        <f t="shared" si="21"/>
        <v>29</v>
      </c>
      <c r="F344" s="2200" t="str">
        <f t="shared" si="22"/>
        <v>18</v>
      </c>
      <c r="G344" s="2200" t="str">
        <f t="shared" si="23"/>
        <v>25800</v>
      </c>
      <c r="H344" s="2200">
        <f>--SUBTOTAL(3,C$2:C344)</f>
        <v>40</v>
      </c>
    </row>
    <row r="345" spans="1:8" hidden="1" x14ac:dyDescent="0.15">
      <c r="A345" s="2200" t="s">
        <v>1884</v>
      </c>
      <c r="B345" s="2200" t="s">
        <v>2557</v>
      </c>
      <c r="C345" s="2200" t="s">
        <v>2558</v>
      </c>
      <c r="D345" s="2200" t="str">
        <f t="shared" si="20"/>
        <v>IN</v>
      </c>
      <c r="E345" s="2200">
        <f t="shared" si="21"/>
        <v>10</v>
      </c>
      <c r="F345" s="2200" t="str">
        <f t="shared" si="22"/>
        <v>18</v>
      </c>
      <c r="G345" s="2200" t="str">
        <f t="shared" si="23"/>
        <v>23140</v>
      </c>
      <c r="H345" s="2200">
        <f>--SUBTOTAL(3,C$2:C345)</f>
        <v>40</v>
      </c>
    </row>
    <row r="346" spans="1:8" hidden="1" x14ac:dyDescent="0.15">
      <c r="A346" s="2200" t="s">
        <v>2023</v>
      </c>
      <c r="B346" s="2200" t="s">
        <v>2559</v>
      </c>
      <c r="C346" s="2200" t="s">
        <v>2560</v>
      </c>
      <c r="D346" s="2200" t="str">
        <f t="shared" si="20"/>
        <v>IN</v>
      </c>
      <c r="E346" s="2200">
        <f t="shared" si="21"/>
        <v>5</v>
      </c>
      <c r="F346" s="2200" t="str">
        <f t="shared" si="22"/>
        <v>18</v>
      </c>
      <c r="G346" s="2200" t="str">
        <f t="shared" si="23"/>
        <v>23844</v>
      </c>
      <c r="H346" s="2200">
        <f>--SUBTOTAL(3,C$2:C346)</f>
        <v>40</v>
      </c>
    </row>
    <row r="347" spans="1:8" hidden="1" x14ac:dyDescent="0.15">
      <c r="A347" s="2200" t="s">
        <v>1884</v>
      </c>
      <c r="B347" s="2200" t="s">
        <v>2561</v>
      </c>
      <c r="C347" s="2200" t="s">
        <v>2562</v>
      </c>
      <c r="D347" s="2200" t="str">
        <f t="shared" si="20"/>
        <v>IN</v>
      </c>
      <c r="E347" s="2200">
        <f t="shared" si="21"/>
        <v>11</v>
      </c>
      <c r="F347" s="2200" t="str">
        <f t="shared" si="22"/>
        <v>18</v>
      </c>
      <c r="G347" s="2200" t="str">
        <f t="shared" si="23"/>
        <v>24700</v>
      </c>
      <c r="H347" s="2200">
        <f>--SUBTOTAL(3,C$2:C347)</f>
        <v>40</v>
      </c>
    </row>
    <row r="348" spans="1:8" hidden="1" x14ac:dyDescent="0.15">
      <c r="A348" s="2200" t="s">
        <v>1884</v>
      </c>
      <c r="B348" s="2200" t="s">
        <v>2563</v>
      </c>
      <c r="C348" s="2200" t="s">
        <v>2564</v>
      </c>
      <c r="D348" s="2200" t="str">
        <f t="shared" si="20"/>
        <v>IN</v>
      </c>
      <c r="E348" s="2200">
        <f t="shared" si="21"/>
        <v>11</v>
      </c>
      <c r="F348" s="2200" t="str">
        <f t="shared" si="22"/>
        <v>18</v>
      </c>
      <c r="G348" s="2200" t="str">
        <f t="shared" si="23"/>
        <v>26540</v>
      </c>
      <c r="H348" s="2200">
        <f>--SUBTOTAL(3,C$2:C348)</f>
        <v>40</v>
      </c>
    </row>
    <row r="349" spans="1:8" hidden="1" x14ac:dyDescent="0.15">
      <c r="A349" s="2200" t="s">
        <v>1878</v>
      </c>
      <c r="B349" s="2200" t="s">
        <v>2565</v>
      </c>
      <c r="C349" s="2200" t="s">
        <v>2566</v>
      </c>
      <c r="D349" s="2200" t="str">
        <f t="shared" si="20"/>
        <v>IN</v>
      </c>
      <c r="E349" s="2200">
        <f t="shared" si="21"/>
        <v>29</v>
      </c>
      <c r="F349" s="2200" t="str">
        <f t="shared" si="22"/>
        <v>18</v>
      </c>
      <c r="G349" s="2200" t="str">
        <f t="shared" si="23"/>
        <v>26900</v>
      </c>
      <c r="H349" s="2200">
        <f>--SUBTOTAL(3,C$2:C349)</f>
        <v>40</v>
      </c>
    </row>
    <row r="350" spans="1:8" hidden="1" x14ac:dyDescent="0.15">
      <c r="A350" s="2200" t="s">
        <v>1902</v>
      </c>
      <c r="B350" s="2200" t="s">
        <v>2567</v>
      </c>
      <c r="C350" s="2200" t="s">
        <v>2568</v>
      </c>
      <c r="D350" s="2200" t="str">
        <f t="shared" si="20"/>
        <v>IN</v>
      </c>
      <c r="E350" s="2200">
        <f t="shared" si="21"/>
        <v>27</v>
      </c>
      <c r="F350" s="2200" t="str">
        <f t="shared" si="22"/>
        <v>18</v>
      </c>
      <c r="G350" s="2200" t="str">
        <f t="shared" si="23"/>
        <v>29400</v>
      </c>
      <c r="H350" s="2200">
        <f>--SUBTOTAL(3,C$2:C350)</f>
        <v>40</v>
      </c>
    </row>
    <row r="351" spans="1:8" hidden="1" x14ac:dyDescent="0.15">
      <c r="A351" s="2200" t="s">
        <v>1884</v>
      </c>
      <c r="B351" s="2200" t="s">
        <v>2569</v>
      </c>
      <c r="C351" s="2200" t="s">
        <v>2570</v>
      </c>
      <c r="D351" s="2200" t="str">
        <f t="shared" si="20"/>
        <v>IN</v>
      </c>
      <c r="E351" s="2200">
        <f t="shared" si="21"/>
        <v>7</v>
      </c>
      <c r="F351" s="2200" t="str">
        <f t="shared" si="22"/>
        <v>18</v>
      </c>
      <c r="G351" s="2200" t="str">
        <f t="shared" si="23"/>
        <v>27540</v>
      </c>
      <c r="H351" s="2200">
        <f>--SUBTOTAL(3,C$2:C351)</f>
        <v>40</v>
      </c>
    </row>
    <row r="352" spans="1:8" hidden="1" x14ac:dyDescent="0.15">
      <c r="A352" s="2200" t="s">
        <v>1884</v>
      </c>
      <c r="B352" s="2200" t="s">
        <v>2571</v>
      </c>
      <c r="C352" s="2200" t="s">
        <v>2572</v>
      </c>
      <c r="D352" s="2200" t="str">
        <f t="shared" si="20"/>
        <v>IN</v>
      </c>
      <c r="E352" s="2200">
        <f t="shared" si="21"/>
        <v>13</v>
      </c>
      <c r="F352" s="2200" t="str">
        <f t="shared" si="22"/>
        <v>18</v>
      </c>
      <c r="G352" s="2200" t="str">
        <f t="shared" si="23"/>
        <v>28340</v>
      </c>
      <c r="H352" s="2200">
        <f>--SUBTOTAL(3,C$2:C352)</f>
        <v>40</v>
      </c>
    </row>
    <row r="353" spans="1:8" hidden="1" x14ac:dyDescent="0.15">
      <c r="A353" s="2200" t="s">
        <v>1878</v>
      </c>
      <c r="B353" s="2200" t="s">
        <v>2573</v>
      </c>
      <c r="C353" s="2200" t="s">
        <v>2574</v>
      </c>
      <c r="D353" s="2200" t="str">
        <f t="shared" si="20"/>
        <v>IN</v>
      </c>
      <c r="E353" s="2200">
        <f t="shared" si="21"/>
        <v>7</v>
      </c>
      <c r="F353" s="2200" t="str">
        <f t="shared" si="22"/>
        <v>18</v>
      </c>
      <c r="G353" s="2200" t="str">
        <f t="shared" si="23"/>
        <v>29020</v>
      </c>
      <c r="H353" s="2200">
        <f>--SUBTOTAL(3,C$2:C353)</f>
        <v>40</v>
      </c>
    </row>
    <row r="354" spans="1:8" hidden="1" x14ac:dyDescent="0.15">
      <c r="A354" s="2200" t="s">
        <v>1902</v>
      </c>
      <c r="B354" s="2200" t="s">
        <v>2575</v>
      </c>
      <c r="C354" s="2200" t="s">
        <v>2576</v>
      </c>
      <c r="D354" s="2200" t="str">
        <f t="shared" si="20"/>
        <v>IN</v>
      </c>
      <c r="E354" s="2200">
        <f t="shared" si="21"/>
        <v>12</v>
      </c>
      <c r="F354" s="2200" t="str">
        <f t="shared" si="22"/>
        <v>18</v>
      </c>
      <c r="G354" s="2200" t="str">
        <f t="shared" si="23"/>
        <v>31600</v>
      </c>
      <c r="H354" s="2200">
        <f>--SUBTOTAL(3,C$2:C354)</f>
        <v>40</v>
      </c>
    </row>
    <row r="355" spans="1:8" hidden="1" x14ac:dyDescent="0.15">
      <c r="A355" s="2200" t="s">
        <v>1878</v>
      </c>
      <c r="B355" s="2200" t="s">
        <v>2577</v>
      </c>
      <c r="C355" s="2200" t="s">
        <v>2578</v>
      </c>
      <c r="D355" s="2200" t="str">
        <f t="shared" si="20"/>
        <v>IN</v>
      </c>
      <c r="E355" s="2200">
        <f t="shared" si="21"/>
        <v>25</v>
      </c>
      <c r="F355" s="2200" t="str">
        <f t="shared" si="22"/>
        <v>18</v>
      </c>
      <c r="G355" s="2200" t="str">
        <f t="shared" si="23"/>
        <v>29200</v>
      </c>
      <c r="H355" s="2200">
        <f>--SUBTOTAL(3,C$2:C355)</f>
        <v>40</v>
      </c>
    </row>
    <row r="356" spans="1:8" hidden="1" x14ac:dyDescent="0.15">
      <c r="A356" s="2200" t="s">
        <v>1902</v>
      </c>
      <c r="B356" s="2200" t="s">
        <v>2579</v>
      </c>
      <c r="C356" s="2200" t="s">
        <v>2580</v>
      </c>
      <c r="D356" s="2200" t="str">
        <f t="shared" si="20"/>
        <v>IN</v>
      </c>
      <c r="E356" s="2200">
        <f t="shared" si="21"/>
        <v>35</v>
      </c>
      <c r="F356" s="2200" t="str">
        <f t="shared" si="22"/>
        <v>18</v>
      </c>
      <c r="G356" s="2200" t="str">
        <f t="shared" si="23"/>
        <v>32000</v>
      </c>
      <c r="H356" s="2200">
        <f>--SUBTOTAL(3,C$2:C356)</f>
        <v>40</v>
      </c>
    </row>
    <row r="357" spans="1:8" hidden="1" x14ac:dyDescent="0.15">
      <c r="A357" s="2200" t="s">
        <v>1884</v>
      </c>
      <c r="B357" s="2200" t="s">
        <v>2581</v>
      </c>
      <c r="C357" s="2200" t="s">
        <v>2582</v>
      </c>
      <c r="D357" s="2200" t="str">
        <f t="shared" si="20"/>
        <v>IN</v>
      </c>
      <c r="E357" s="2200">
        <f t="shared" si="21"/>
        <v>11</v>
      </c>
      <c r="F357" s="2200" t="str">
        <f t="shared" si="22"/>
        <v>18</v>
      </c>
      <c r="G357" s="2200" t="str">
        <f t="shared" si="23"/>
        <v>30900</v>
      </c>
      <c r="H357" s="2200">
        <f>--SUBTOTAL(3,C$2:C357)</f>
        <v>40</v>
      </c>
    </row>
    <row r="358" spans="1:8" hidden="1" x14ac:dyDescent="0.15">
      <c r="A358" s="2200" t="s">
        <v>1884</v>
      </c>
      <c r="B358" s="2200" t="s">
        <v>2583</v>
      </c>
      <c r="C358" s="2200" t="s">
        <v>2584</v>
      </c>
      <c r="D358" s="2200" t="str">
        <f t="shared" si="20"/>
        <v>IN</v>
      </c>
      <c r="E358" s="2200">
        <f t="shared" si="21"/>
        <v>8</v>
      </c>
      <c r="F358" s="2200" t="str">
        <f t="shared" si="22"/>
        <v>18</v>
      </c>
      <c r="G358" s="2200" t="str">
        <f t="shared" si="23"/>
        <v>31500</v>
      </c>
      <c r="H358" s="2200">
        <f>--SUBTOTAL(3,C$2:C358)</f>
        <v>40</v>
      </c>
    </row>
    <row r="359" spans="1:8" hidden="1" x14ac:dyDescent="0.15">
      <c r="A359" s="2200" t="s">
        <v>1884</v>
      </c>
      <c r="B359" s="2200" t="s">
        <v>2585</v>
      </c>
      <c r="C359" s="2200" t="s">
        <v>2586</v>
      </c>
      <c r="D359" s="2200" t="str">
        <f t="shared" si="20"/>
        <v>IN</v>
      </c>
      <c r="E359" s="2200">
        <f t="shared" si="21"/>
        <v>7</v>
      </c>
      <c r="F359" s="2200" t="str">
        <f t="shared" si="22"/>
        <v>18</v>
      </c>
      <c r="G359" s="2200" t="str">
        <f t="shared" si="23"/>
        <v>31980</v>
      </c>
      <c r="H359" s="2200">
        <f>--SUBTOTAL(3,C$2:C359)</f>
        <v>40</v>
      </c>
    </row>
    <row r="360" spans="1:8" hidden="1" x14ac:dyDescent="0.15">
      <c r="A360" s="2200" t="s">
        <v>1878</v>
      </c>
      <c r="B360" s="2200" t="s">
        <v>2587</v>
      </c>
      <c r="C360" s="2200" t="s">
        <v>2588</v>
      </c>
      <c r="D360" s="2200" t="str">
        <f t="shared" si="20"/>
        <v>IN</v>
      </c>
      <c r="E360" s="2200">
        <f t="shared" si="21"/>
        <v>23</v>
      </c>
      <c r="F360" s="2200" t="str">
        <f t="shared" si="22"/>
        <v>18</v>
      </c>
      <c r="G360" s="2200" t="str">
        <f t="shared" si="23"/>
        <v>33140</v>
      </c>
      <c r="H360" s="2200">
        <f>--SUBTOTAL(3,C$2:C360)</f>
        <v>40</v>
      </c>
    </row>
    <row r="361" spans="1:8" hidden="1" x14ac:dyDescent="0.15">
      <c r="A361" s="2200" t="s">
        <v>1878</v>
      </c>
      <c r="B361" s="2200" t="s">
        <v>2589</v>
      </c>
      <c r="C361" s="2200" t="s">
        <v>2590</v>
      </c>
      <c r="D361" s="2200" t="str">
        <f t="shared" si="20"/>
        <v>IN</v>
      </c>
      <c r="E361" s="2200">
        <f t="shared" si="21"/>
        <v>7</v>
      </c>
      <c r="F361" s="2200" t="str">
        <f t="shared" si="22"/>
        <v>18</v>
      </c>
      <c r="G361" s="2200" t="str">
        <f t="shared" si="23"/>
        <v>34620</v>
      </c>
      <c r="H361" s="2200">
        <f>--SUBTOTAL(3,C$2:C361)</f>
        <v>40</v>
      </c>
    </row>
    <row r="362" spans="1:8" hidden="1" x14ac:dyDescent="0.15">
      <c r="A362" s="2200" t="s">
        <v>1884</v>
      </c>
      <c r="B362" s="2200" t="s">
        <v>2591</v>
      </c>
      <c r="C362" s="2200" t="s">
        <v>2592</v>
      </c>
      <c r="D362" s="2200" t="str">
        <f t="shared" si="20"/>
        <v>IN</v>
      </c>
      <c r="E362" s="2200">
        <f t="shared" si="21"/>
        <v>11</v>
      </c>
      <c r="F362" s="2200" t="str">
        <f t="shared" si="22"/>
        <v>18</v>
      </c>
      <c r="G362" s="2200" t="str">
        <f t="shared" si="23"/>
        <v>35220</v>
      </c>
      <c r="H362" s="2200">
        <f>--SUBTOTAL(3,C$2:C362)</f>
        <v>40</v>
      </c>
    </row>
    <row r="363" spans="1:8" hidden="1" x14ac:dyDescent="0.15">
      <c r="A363" s="2200" t="s">
        <v>1884</v>
      </c>
      <c r="B363" s="2200" t="s">
        <v>2593</v>
      </c>
      <c r="C363" s="2200" t="s">
        <v>2594</v>
      </c>
      <c r="D363" s="2200" t="str">
        <f t="shared" si="20"/>
        <v>IN</v>
      </c>
      <c r="E363" s="2200">
        <f t="shared" si="21"/>
        <v>13</v>
      </c>
      <c r="F363" s="2200" t="str">
        <f t="shared" si="22"/>
        <v>18</v>
      </c>
      <c r="G363" s="2200" t="str">
        <f t="shared" si="23"/>
        <v>35860</v>
      </c>
      <c r="H363" s="2200">
        <f>--SUBTOTAL(3,C$2:C363)</f>
        <v>40</v>
      </c>
    </row>
    <row r="364" spans="1:8" hidden="1" x14ac:dyDescent="0.15">
      <c r="A364" s="2200" t="s">
        <v>1884</v>
      </c>
      <c r="B364" s="2200" t="s">
        <v>2595</v>
      </c>
      <c r="C364" s="2200" t="s">
        <v>2596</v>
      </c>
      <c r="D364" s="2200" t="str">
        <f t="shared" si="20"/>
        <v>IN</v>
      </c>
      <c r="E364" s="2200">
        <f t="shared" si="21"/>
        <v>5</v>
      </c>
      <c r="F364" s="2200" t="str">
        <f t="shared" si="22"/>
        <v>18</v>
      </c>
      <c r="G364" s="2200" t="str">
        <f t="shared" si="23"/>
        <v>37940</v>
      </c>
      <c r="H364" s="2200">
        <f>--SUBTOTAL(3,C$2:C364)</f>
        <v>40</v>
      </c>
    </row>
    <row r="365" spans="1:8" hidden="1" x14ac:dyDescent="0.15">
      <c r="A365" s="2200" t="s">
        <v>1884</v>
      </c>
      <c r="B365" s="2200" t="s">
        <v>2597</v>
      </c>
      <c r="C365" s="2200" t="s">
        <v>2598</v>
      </c>
      <c r="D365" s="2200" t="str">
        <f t="shared" si="20"/>
        <v>IN</v>
      </c>
      <c r="E365" s="2200">
        <f t="shared" si="21"/>
        <v>9</v>
      </c>
      <c r="F365" s="2200" t="str">
        <f t="shared" si="22"/>
        <v>18</v>
      </c>
      <c r="G365" s="2200" t="str">
        <f t="shared" si="23"/>
        <v>38500</v>
      </c>
      <c r="H365" s="2200">
        <f>--SUBTOTAL(3,C$2:C365)</f>
        <v>40</v>
      </c>
    </row>
    <row r="366" spans="1:8" hidden="1" x14ac:dyDescent="0.15">
      <c r="A366" s="2200" t="s">
        <v>1884</v>
      </c>
      <c r="B366" s="2200" t="s">
        <v>2599</v>
      </c>
      <c r="C366" s="2200" t="s">
        <v>2600</v>
      </c>
      <c r="D366" s="2200" t="str">
        <f t="shared" si="20"/>
        <v>IN</v>
      </c>
      <c r="E366" s="2200">
        <f t="shared" si="21"/>
        <v>9</v>
      </c>
      <c r="F366" s="2200" t="str">
        <f t="shared" si="22"/>
        <v>18</v>
      </c>
      <c r="G366" s="2200" t="str">
        <f t="shared" si="23"/>
        <v>39980</v>
      </c>
      <c r="H366" s="2200">
        <f>--SUBTOTAL(3,C$2:C366)</f>
        <v>40</v>
      </c>
    </row>
    <row r="367" spans="1:8" hidden="1" x14ac:dyDescent="0.15">
      <c r="A367" s="2200" t="s">
        <v>1902</v>
      </c>
      <c r="B367" s="2200" t="s">
        <v>2601</v>
      </c>
      <c r="C367" s="2200" t="s">
        <v>2602</v>
      </c>
      <c r="D367" s="2200" t="str">
        <f t="shared" si="20"/>
        <v>IN</v>
      </c>
      <c r="E367" s="2200">
        <f t="shared" si="21"/>
        <v>22</v>
      </c>
      <c r="F367" s="2200" t="str">
        <f t="shared" si="22"/>
        <v>18</v>
      </c>
      <c r="G367" s="2200" t="str">
        <f t="shared" si="23"/>
        <v>45800</v>
      </c>
      <c r="H367" s="2200">
        <f>--SUBTOTAL(3,C$2:C367)</f>
        <v>40</v>
      </c>
    </row>
    <row r="368" spans="1:8" hidden="1" x14ac:dyDescent="0.15">
      <c r="A368" s="2200" t="s">
        <v>1884</v>
      </c>
      <c r="B368" s="2200" t="s">
        <v>2603</v>
      </c>
      <c r="C368" s="2200" t="s">
        <v>2604</v>
      </c>
      <c r="D368" s="2200" t="str">
        <f t="shared" si="20"/>
        <v>IN</v>
      </c>
      <c r="E368" s="2200">
        <f t="shared" si="21"/>
        <v>8</v>
      </c>
      <c r="F368" s="2200" t="str">
        <f t="shared" si="22"/>
        <v>18</v>
      </c>
      <c r="G368" s="2200" t="str">
        <f t="shared" si="23"/>
        <v>42980</v>
      </c>
      <c r="H368" s="2200">
        <f>--SUBTOTAL(3,C$2:C368)</f>
        <v>40</v>
      </c>
    </row>
    <row r="369" spans="1:8" hidden="1" x14ac:dyDescent="0.15">
      <c r="A369" s="2200" t="s">
        <v>1902</v>
      </c>
      <c r="B369" s="2200" t="s">
        <v>2605</v>
      </c>
      <c r="C369" s="2200" t="s">
        <v>2606</v>
      </c>
      <c r="D369" s="2200" t="str">
        <f t="shared" si="20"/>
        <v>IN</v>
      </c>
      <c r="E369" s="2200">
        <f t="shared" si="21"/>
        <v>29</v>
      </c>
      <c r="F369" s="2200" t="str">
        <f t="shared" si="22"/>
        <v>18</v>
      </c>
      <c r="G369" s="2200" t="str">
        <f t="shared" si="23"/>
        <v>51500</v>
      </c>
      <c r="H369" s="2200">
        <f>--SUBTOTAL(3,C$2:C369)</f>
        <v>40</v>
      </c>
    </row>
    <row r="370" spans="1:8" hidden="1" x14ac:dyDescent="0.15">
      <c r="A370" s="2200" t="s">
        <v>1878</v>
      </c>
      <c r="B370" s="2200" t="s">
        <v>2607</v>
      </c>
      <c r="C370" s="2200" t="s">
        <v>2608</v>
      </c>
      <c r="D370" s="2200" t="str">
        <f t="shared" si="20"/>
        <v>IN</v>
      </c>
      <c r="E370" s="2200">
        <f t="shared" si="21"/>
        <v>21</v>
      </c>
      <c r="F370" s="2200" t="str">
        <f t="shared" si="22"/>
        <v>18</v>
      </c>
      <c r="G370" s="2200" t="str">
        <f t="shared" si="23"/>
        <v>43780</v>
      </c>
      <c r="H370" s="2200">
        <f>--SUBTOTAL(3,C$2:C370)</f>
        <v>40</v>
      </c>
    </row>
    <row r="371" spans="1:8" hidden="1" x14ac:dyDescent="0.15">
      <c r="A371" s="2200" t="s">
        <v>1878</v>
      </c>
      <c r="B371" s="2200" t="s">
        <v>2609</v>
      </c>
      <c r="C371" s="2200" t="s">
        <v>2610</v>
      </c>
      <c r="D371" s="2200" t="str">
        <f t="shared" si="20"/>
        <v>IN</v>
      </c>
      <c r="E371" s="2200">
        <f t="shared" si="21"/>
        <v>12</v>
      </c>
      <c r="F371" s="2200" t="str">
        <f t="shared" si="22"/>
        <v>18</v>
      </c>
      <c r="G371" s="2200" t="str">
        <f t="shared" si="23"/>
        <v>45460</v>
      </c>
      <c r="H371" s="2200">
        <f>--SUBTOTAL(3,C$2:C371)</f>
        <v>40</v>
      </c>
    </row>
    <row r="372" spans="1:8" hidden="1" x14ac:dyDescent="0.15">
      <c r="A372" s="2200" t="s">
        <v>1884</v>
      </c>
      <c r="B372" s="2200" t="s">
        <v>2611</v>
      </c>
      <c r="C372" s="2200" t="s">
        <v>2612</v>
      </c>
      <c r="D372" s="2200" t="str">
        <f t="shared" si="20"/>
        <v>IN</v>
      </c>
      <c r="E372" s="2200">
        <f t="shared" si="21"/>
        <v>10</v>
      </c>
      <c r="F372" s="2200" t="str">
        <f t="shared" si="22"/>
        <v>18</v>
      </c>
      <c r="G372" s="2200" t="str">
        <f t="shared" si="23"/>
        <v>47180</v>
      </c>
      <c r="H372" s="2200">
        <f>--SUBTOTAL(3,C$2:C372)</f>
        <v>40</v>
      </c>
    </row>
    <row r="373" spans="1:8" hidden="1" x14ac:dyDescent="0.15">
      <c r="A373" s="2200" t="s">
        <v>1884</v>
      </c>
      <c r="B373" s="2200" t="s">
        <v>2613</v>
      </c>
      <c r="C373" s="2200" t="s">
        <v>2614</v>
      </c>
      <c r="D373" s="2200" t="str">
        <f t="shared" si="20"/>
        <v>IN</v>
      </c>
      <c r="E373" s="2200">
        <f t="shared" si="21"/>
        <v>7</v>
      </c>
      <c r="F373" s="2200" t="str">
        <f t="shared" si="22"/>
        <v>18</v>
      </c>
      <c r="G373" s="2200" t="str">
        <f t="shared" si="23"/>
        <v>47340</v>
      </c>
      <c r="H373" s="2200">
        <f>--SUBTOTAL(3,C$2:C373)</f>
        <v>40</v>
      </c>
    </row>
    <row r="374" spans="1:8" hidden="1" x14ac:dyDescent="0.15">
      <c r="A374" s="2200" t="s">
        <v>1884</v>
      </c>
      <c r="B374" s="2200" t="s">
        <v>2615</v>
      </c>
      <c r="C374" s="2200" t="s">
        <v>2616</v>
      </c>
      <c r="D374" s="2200" t="str">
        <f t="shared" si="20"/>
        <v>IN</v>
      </c>
      <c r="E374" s="2200">
        <f t="shared" si="21"/>
        <v>7</v>
      </c>
      <c r="F374" s="2200" t="str">
        <f t="shared" si="22"/>
        <v>18</v>
      </c>
      <c r="G374" s="2200" t="str">
        <f t="shared" si="23"/>
        <v>47700</v>
      </c>
      <c r="H374" s="2200">
        <f>--SUBTOTAL(3,C$2:C374)</f>
        <v>40</v>
      </c>
    </row>
    <row r="375" spans="1:8" hidden="1" x14ac:dyDescent="0.15">
      <c r="A375" s="2200" t="s">
        <v>1884</v>
      </c>
      <c r="B375" s="2200" t="s">
        <v>2617</v>
      </c>
      <c r="C375" s="2200" t="s">
        <v>2618</v>
      </c>
      <c r="D375" s="2200" t="str">
        <f t="shared" si="20"/>
        <v>IN</v>
      </c>
      <c r="E375" s="2200">
        <f t="shared" si="21"/>
        <v>11</v>
      </c>
      <c r="F375" s="2200" t="str">
        <f t="shared" si="22"/>
        <v>18</v>
      </c>
      <c r="G375" s="2200" t="str">
        <f t="shared" si="23"/>
        <v>47780</v>
      </c>
      <c r="H375" s="2200">
        <f>--SUBTOTAL(3,C$2:C375)</f>
        <v>40</v>
      </c>
    </row>
    <row r="376" spans="1:8" hidden="1" x14ac:dyDescent="0.15">
      <c r="A376" s="2200" t="s">
        <v>1884</v>
      </c>
      <c r="B376" s="2200" t="s">
        <v>2619</v>
      </c>
      <c r="C376" s="2200" t="s">
        <v>2620</v>
      </c>
      <c r="D376" s="2200" t="str">
        <f t="shared" si="20"/>
        <v>KS</v>
      </c>
      <c r="E376" s="2200">
        <f t="shared" si="21"/>
        <v>23</v>
      </c>
      <c r="F376" s="2200" t="str">
        <f t="shared" si="22"/>
        <v>20</v>
      </c>
      <c r="G376" s="2200" t="str">
        <f t="shared" si="23"/>
        <v>11680</v>
      </c>
      <c r="H376" s="2200">
        <f>--SUBTOTAL(3,C$2:C376)</f>
        <v>40</v>
      </c>
    </row>
    <row r="377" spans="1:8" hidden="1" x14ac:dyDescent="0.15">
      <c r="A377" s="2200" t="s">
        <v>1884</v>
      </c>
      <c r="B377" s="2200" t="s">
        <v>2622</v>
      </c>
      <c r="C377" s="2200" t="s">
        <v>2623</v>
      </c>
      <c r="D377" s="2200" t="str">
        <f t="shared" si="20"/>
        <v>KS</v>
      </c>
      <c r="E377" s="2200">
        <f t="shared" si="21"/>
        <v>9</v>
      </c>
      <c r="F377" s="2200" t="str">
        <f t="shared" si="22"/>
        <v>20</v>
      </c>
      <c r="G377" s="2200" t="str">
        <f t="shared" si="23"/>
        <v>11860</v>
      </c>
      <c r="H377" s="2200">
        <f>--SUBTOTAL(3,C$2:C377)</f>
        <v>40</v>
      </c>
    </row>
    <row r="378" spans="1:8" hidden="1" x14ac:dyDescent="0.15">
      <c r="A378" s="2200" t="s">
        <v>1884</v>
      </c>
      <c r="B378" s="2200" t="s">
        <v>2624</v>
      </c>
      <c r="C378" s="2200" t="s">
        <v>2625</v>
      </c>
      <c r="D378" s="2200" t="str">
        <f t="shared" si="20"/>
        <v>KS</v>
      </c>
      <c r="E378" s="2200">
        <f t="shared" si="21"/>
        <v>12</v>
      </c>
      <c r="F378" s="2200" t="str">
        <f t="shared" si="22"/>
        <v>20</v>
      </c>
      <c r="G378" s="2200" t="str">
        <f t="shared" si="23"/>
        <v>17700</v>
      </c>
      <c r="H378" s="2200">
        <f>--SUBTOTAL(3,C$2:C378)</f>
        <v>40</v>
      </c>
    </row>
    <row r="379" spans="1:8" hidden="1" x14ac:dyDescent="0.15">
      <c r="A379" s="2200" t="s">
        <v>1884</v>
      </c>
      <c r="B379" s="2200" t="s">
        <v>2626</v>
      </c>
      <c r="C379" s="2200" t="s">
        <v>2627</v>
      </c>
      <c r="D379" s="2200" t="str">
        <f t="shared" si="20"/>
        <v>KS</v>
      </c>
      <c r="E379" s="2200">
        <f t="shared" si="21"/>
        <v>11</v>
      </c>
      <c r="F379" s="2200" t="str">
        <f t="shared" si="22"/>
        <v>20</v>
      </c>
      <c r="G379" s="2200" t="str">
        <f t="shared" si="23"/>
        <v>19980</v>
      </c>
      <c r="H379" s="2200">
        <f>--SUBTOTAL(3,C$2:C379)</f>
        <v>40</v>
      </c>
    </row>
    <row r="380" spans="1:8" hidden="1" x14ac:dyDescent="0.15">
      <c r="A380" s="2200" t="s">
        <v>1884</v>
      </c>
      <c r="B380" s="2200" t="s">
        <v>2628</v>
      </c>
      <c r="C380" s="2200" t="s">
        <v>2629</v>
      </c>
      <c r="D380" s="2200" t="str">
        <f t="shared" si="20"/>
        <v>KS</v>
      </c>
      <c r="E380" s="2200">
        <f t="shared" si="21"/>
        <v>8</v>
      </c>
      <c r="F380" s="2200" t="str">
        <f t="shared" si="22"/>
        <v>20</v>
      </c>
      <c r="G380" s="2200" t="str">
        <f t="shared" si="23"/>
        <v>21380</v>
      </c>
      <c r="H380" s="2200">
        <f>--SUBTOTAL(3,C$2:C380)</f>
        <v>40</v>
      </c>
    </row>
    <row r="381" spans="1:8" hidden="1" x14ac:dyDescent="0.15">
      <c r="A381" s="2200" t="s">
        <v>1884</v>
      </c>
      <c r="B381" s="2200" t="s">
        <v>2630</v>
      </c>
      <c r="C381" s="2200" t="s">
        <v>2631</v>
      </c>
      <c r="D381" s="2200" t="str">
        <f t="shared" si="20"/>
        <v>KS</v>
      </c>
      <c r="E381" s="2200">
        <f t="shared" si="21"/>
        <v>12</v>
      </c>
      <c r="F381" s="2200" t="str">
        <f t="shared" si="22"/>
        <v>20</v>
      </c>
      <c r="G381" s="2200" t="str">
        <f t="shared" si="23"/>
        <v>23780</v>
      </c>
      <c r="H381" s="2200">
        <f>--SUBTOTAL(3,C$2:C381)</f>
        <v>40</v>
      </c>
    </row>
    <row r="382" spans="1:8" hidden="1" x14ac:dyDescent="0.15">
      <c r="A382" s="2200" t="s">
        <v>1884</v>
      </c>
      <c r="B382" s="2200" t="s">
        <v>2632</v>
      </c>
      <c r="C382" s="2200" t="s">
        <v>2633</v>
      </c>
      <c r="D382" s="2200" t="str">
        <f t="shared" si="20"/>
        <v>KS</v>
      </c>
      <c r="E382" s="2200">
        <f t="shared" si="21"/>
        <v>11</v>
      </c>
      <c r="F382" s="2200" t="str">
        <f t="shared" si="22"/>
        <v>20</v>
      </c>
      <c r="G382" s="2200" t="str">
        <f t="shared" si="23"/>
        <v>24460</v>
      </c>
      <c r="H382" s="2200">
        <f>--SUBTOTAL(3,C$2:C382)</f>
        <v>40</v>
      </c>
    </row>
    <row r="383" spans="1:8" hidden="1" x14ac:dyDescent="0.15">
      <c r="A383" s="2200" t="s">
        <v>1884</v>
      </c>
      <c r="B383" s="2200" t="s">
        <v>2634</v>
      </c>
      <c r="C383" s="2200" t="s">
        <v>2635</v>
      </c>
      <c r="D383" s="2200" t="str">
        <f t="shared" si="20"/>
        <v>KS</v>
      </c>
      <c r="E383" s="2200">
        <f t="shared" si="21"/>
        <v>5</v>
      </c>
      <c r="F383" s="2200" t="str">
        <f t="shared" si="22"/>
        <v>20</v>
      </c>
      <c r="G383" s="2200" t="str">
        <f t="shared" si="23"/>
        <v>25700</v>
      </c>
      <c r="H383" s="2200">
        <f>--SUBTOTAL(3,C$2:C383)</f>
        <v>40</v>
      </c>
    </row>
    <row r="384" spans="1:8" hidden="1" x14ac:dyDescent="0.15">
      <c r="A384" s="2200" t="s">
        <v>1884</v>
      </c>
      <c r="B384" s="2200" t="s">
        <v>2636</v>
      </c>
      <c r="C384" s="2200" t="s">
        <v>2637</v>
      </c>
      <c r="D384" s="2200" t="str">
        <f t="shared" si="20"/>
        <v>KS</v>
      </c>
      <c r="E384" s="2200">
        <f t="shared" si="21"/>
        <v>11</v>
      </c>
      <c r="F384" s="2200" t="str">
        <f t="shared" si="22"/>
        <v>20</v>
      </c>
      <c r="G384" s="2200" t="str">
        <f t="shared" si="23"/>
        <v>26740</v>
      </c>
      <c r="H384" s="2200">
        <f>--SUBTOTAL(3,C$2:C384)</f>
        <v>40</v>
      </c>
    </row>
    <row r="385" spans="1:8" hidden="1" x14ac:dyDescent="0.15">
      <c r="A385" s="2200" t="s">
        <v>1884</v>
      </c>
      <c r="B385" s="2200" t="s">
        <v>2638</v>
      </c>
      <c r="C385" s="2200" t="s">
        <v>2639</v>
      </c>
      <c r="D385" s="2200" t="str">
        <f t="shared" si="20"/>
        <v>KS</v>
      </c>
      <c r="E385" s="2200">
        <f t="shared" si="21"/>
        <v>14</v>
      </c>
      <c r="F385" s="2200" t="str">
        <f t="shared" si="22"/>
        <v>20</v>
      </c>
      <c r="G385" s="2200" t="str">
        <f t="shared" si="23"/>
        <v>27920</v>
      </c>
      <c r="H385" s="2200">
        <f>--SUBTOTAL(3,C$2:C385)</f>
        <v>40</v>
      </c>
    </row>
    <row r="386" spans="1:8" hidden="1" x14ac:dyDescent="0.15">
      <c r="A386" s="2200" t="s">
        <v>1878</v>
      </c>
      <c r="B386" s="2200" t="s">
        <v>3002</v>
      </c>
      <c r="C386" s="2200" t="s">
        <v>17848</v>
      </c>
      <c r="D386" s="2200" t="str">
        <f t="shared" si="20"/>
        <v>KS</v>
      </c>
      <c r="E386" s="2200">
        <f t="shared" si="21"/>
        <v>12</v>
      </c>
      <c r="F386" s="2200" t="str">
        <f t="shared" si="22"/>
        <v>29</v>
      </c>
      <c r="G386" s="2200" t="str">
        <f t="shared" si="23"/>
        <v>28140</v>
      </c>
      <c r="H386" s="2200">
        <f>--SUBTOTAL(3,C$2:C386)</f>
        <v>40</v>
      </c>
    </row>
    <row r="387" spans="1:8" hidden="1" x14ac:dyDescent="0.15">
      <c r="A387" s="2200" t="s">
        <v>1878</v>
      </c>
      <c r="B387" s="2200" t="s">
        <v>2640</v>
      </c>
      <c r="C387" s="2200" t="s">
        <v>2641</v>
      </c>
      <c r="D387" s="2200" t="str">
        <f t="shared" si="20"/>
        <v>KS</v>
      </c>
      <c r="E387" s="2200">
        <f t="shared" si="21"/>
        <v>9</v>
      </c>
      <c r="F387" s="2200" t="str">
        <f t="shared" si="22"/>
        <v>20</v>
      </c>
      <c r="G387" s="2200" t="str">
        <f t="shared" si="23"/>
        <v>29940</v>
      </c>
      <c r="H387" s="2200">
        <f>--SUBTOTAL(3,C$2:C387)</f>
        <v>40</v>
      </c>
    </row>
    <row r="388" spans="1:8" hidden="1" x14ac:dyDescent="0.15">
      <c r="A388" s="2200" t="s">
        <v>1884</v>
      </c>
      <c r="B388" s="2200" t="s">
        <v>2642</v>
      </c>
      <c r="C388" s="2200" t="s">
        <v>2643</v>
      </c>
      <c r="D388" s="2200" t="str">
        <f t="shared" si="20"/>
        <v>KS</v>
      </c>
      <c r="E388" s="2200">
        <f t="shared" si="21"/>
        <v>8</v>
      </c>
      <c r="F388" s="2200" t="str">
        <f t="shared" si="22"/>
        <v>20</v>
      </c>
      <c r="G388" s="2200" t="str">
        <f t="shared" si="23"/>
        <v>30580</v>
      </c>
      <c r="H388" s="2200">
        <f>--SUBTOTAL(3,C$2:C388)</f>
        <v>40</v>
      </c>
    </row>
    <row r="389" spans="1:8" hidden="1" x14ac:dyDescent="0.15">
      <c r="A389" s="2200" t="s">
        <v>1878</v>
      </c>
      <c r="B389" s="2200" t="s">
        <v>2644</v>
      </c>
      <c r="C389" s="2200" t="s">
        <v>2645</v>
      </c>
      <c r="D389" s="2200" t="str">
        <f t="shared" si="20"/>
        <v>KS</v>
      </c>
      <c r="E389" s="2200">
        <f t="shared" si="21"/>
        <v>10</v>
      </c>
      <c r="F389" s="2200" t="str">
        <f t="shared" si="22"/>
        <v>20</v>
      </c>
      <c r="G389" s="2200" t="str">
        <f t="shared" si="23"/>
        <v>31740</v>
      </c>
      <c r="H389" s="2200">
        <f>--SUBTOTAL(3,C$2:C389)</f>
        <v>40</v>
      </c>
    </row>
    <row r="390" spans="1:8" hidden="1" x14ac:dyDescent="0.15">
      <c r="A390" s="2200" t="s">
        <v>1902</v>
      </c>
      <c r="B390" s="2200" t="s">
        <v>2646</v>
      </c>
      <c r="C390" s="2200" t="s">
        <v>2647</v>
      </c>
      <c r="D390" s="2200" t="str">
        <f t="shared" si="20"/>
        <v>KS</v>
      </c>
      <c r="E390" s="2200">
        <f t="shared" si="21"/>
        <v>24</v>
      </c>
      <c r="F390" s="2200" t="str">
        <f t="shared" si="22"/>
        <v>20</v>
      </c>
      <c r="G390" s="2200" t="str">
        <f t="shared" si="23"/>
        <v>35800</v>
      </c>
      <c r="H390" s="2200">
        <f>--SUBTOTAL(3,C$2:C390)</f>
        <v>40</v>
      </c>
    </row>
    <row r="391" spans="1:8" hidden="1" x14ac:dyDescent="0.15">
      <c r="A391" s="2200" t="s">
        <v>1884</v>
      </c>
      <c r="B391" s="2200" t="s">
        <v>2648</v>
      </c>
      <c r="C391" s="2200" t="s">
        <v>2649</v>
      </c>
      <c r="D391" s="2200" t="str">
        <f t="shared" si="20"/>
        <v>KS</v>
      </c>
      <c r="E391" s="2200">
        <f t="shared" si="21"/>
        <v>10</v>
      </c>
      <c r="F391" s="2200" t="str">
        <f t="shared" si="22"/>
        <v>20</v>
      </c>
      <c r="G391" s="2200" t="str">
        <f t="shared" si="23"/>
        <v>32700</v>
      </c>
      <c r="H391" s="2200">
        <f>--SUBTOTAL(3,C$2:C391)</f>
        <v>40</v>
      </c>
    </row>
    <row r="392" spans="1:8" hidden="1" x14ac:dyDescent="0.15">
      <c r="A392" s="2200" t="s">
        <v>1884</v>
      </c>
      <c r="B392" s="2200" t="s">
        <v>2650</v>
      </c>
      <c r="C392" s="2200" t="s">
        <v>2651</v>
      </c>
      <c r="D392" s="2200" t="str">
        <f t="shared" si="20"/>
        <v>KS</v>
      </c>
      <c r="E392" s="2200">
        <f t="shared" si="21"/>
        <v>7</v>
      </c>
      <c r="F392" s="2200" t="str">
        <f t="shared" si="22"/>
        <v>20</v>
      </c>
      <c r="G392" s="2200" t="str">
        <f t="shared" si="23"/>
        <v>36840</v>
      </c>
      <c r="H392" s="2200">
        <f>--SUBTOTAL(3,C$2:C392)</f>
        <v>40</v>
      </c>
    </row>
    <row r="393" spans="1:8" hidden="1" x14ac:dyDescent="0.15">
      <c r="A393" s="2200" t="s">
        <v>1884</v>
      </c>
      <c r="B393" s="2200" t="s">
        <v>2652</v>
      </c>
      <c r="C393" s="2200" t="s">
        <v>2653</v>
      </c>
      <c r="D393" s="2200" t="str">
        <f t="shared" si="20"/>
        <v>KS</v>
      </c>
      <c r="E393" s="2200">
        <f t="shared" si="21"/>
        <v>8</v>
      </c>
      <c r="F393" s="2200" t="str">
        <f t="shared" si="22"/>
        <v>20</v>
      </c>
      <c r="G393" s="2200" t="str">
        <f t="shared" si="23"/>
        <v>37660</v>
      </c>
      <c r="H393" s="2200">
        <f>--SUBTOTAL(3,C$2:C393)</f>
        <v>40</v>
      </c>
    </row>
    <row r="394" spans="1:8" hidden="1" x14ac:dyDescent="0.15">
      <c r="A394" s="2200" t="s">
        <v>1884</v>
      </c>
      <c r="B394" s="2200" t="s">
        <v>2654</v>
      </c>
      <c r="C394" s="2200" t="s">
        <v>2655</v>
      </c>
      <c r="D394" s="2200" t="str">
        <f t="shared" si="20"/>
        <v>KS</v>
      </c>
      <c r="E394" s="2200">
        <f t="shared" si="21"/>
        <v>10</v>
      </c>
      <c r="F394" s="2200" t="str">
        <f t="shared" si="22"/>
        <v>20</v>
      </c>
      <c r="G394" s="2200" t="str">
        <f t="shared" si="23"/>
        <v>38260</v>
      </c>
      <c r="H394" s="2200">
        <f>--SUBTOTAL(3,C$2:C394)</f>
        <v>40</v>
      </c>
    </row>
    <row r="395" spans="1:8" hidden="1" x14ac:dyDescent="0.15">
      <c r="A395" s="2200" t="s">
        <v>1884</v>
      </c>
      <c r="B395" s="2200" t="s">
        <v>2656</v>
      </c>
      <c r="C395" s="2200" t="s">
        <v>2657</v>
      </c>
      <c r="D395" s="2200" t="str">
        <f t="shared" si="20"/>
        <v>KS</v>
      </c>
      <c r="E395" s="2200">
        <f t="shared" si="21"/>
        <v>7</v>
      </c>
      <c r="F395" s="2200" t="str">
        <f t="shared" si="22"/>
        <v>20</v>
      </c>
      <c r="G395" s="2200" t="str">
        <f t="shared" si="23"/>
        <v>41460</v>
      </c>
      <c r="H395" s="2200">
        <f>--SUBTOTAL(3,C$2:C395)</f>
        <v>40</v>
      </c>
    </row>
    <row r="396" spans="1:8" hidden="1" x14ac:dyDescent="0.15">
      <c r="A396" s="2200" t="s">
        <v>1878</v>
      </c>
      <c r="B396" s="2200" t="s">
        <v>3032</v>
      </c>
      <c r="C396" s="2200" t="s">
        <v>17873</v>
      </c>
      <c r="D396" s="2200" t="str">
        <f t="shared" si="20"/>
        <v>KS</v>
      </c>
      <c r="E396" s="2200">
        <f t="shared" si="21"/>
        <v>11</v>
      </c>
      <c r="F396" s="2200" t="str">
        <f t="shared" si="22"/>
        <v>29</v>
      </c>
      <c r="G396" s="2200" t="str">
        <f t="shared" si="23"/>
        <v>41140</v>
      </c>
      <c r="H396" s="2200">
        <f>--SUBTOTAL(3,C$2:C396)</f>
        <v>40</v>
      </c>
    </row>
    <row r="397" spans="1:8" hidden="1" x14ac:dyDescent="0.15">
      <c r="A397" s="2200" t="s">
        <v>1878</v>
      </c>
      <c r="B397" s="2200" t="s">
        <v>2658</v>
      </c>
      <c r="C397" s="2200" t="s">
        <v>2659</v>
      </c>
      <c r="D397" s="2200" t="str">
        <f t="shared" si="20"/>
        <v>KS</v>
      </c>
      <c r="E397" s="2200">
        <f t="shared" si="21"/>
        <v>7</v>
      </c>
      <c r="F397" s="2200" t="str">
        <f t="shared" si="22"/>
        <v>20</v>
      </c>
      <c r="G397" s="2200" t="str">
        <f t="shared" si="23"/>
        <v>45820</v>
      </c>
      <c r="H397" s="2200">
        <f>--SUBTOTAL(3,C$2:C397)</f>
        <v>40</v>
      </c>
    </row>
    <row r="398" spans="1:8" hidden="1" x14ac:dyDescent="0.15">
      <c r="A398" s="2200" t="s">
        <v>1878</v>
      </c>
      <c r="B398" s="2200" t="s">
        <v>2660</v>
      </c>
      <c r="C398" s="2200" t="s">
        <v>2661</v>
      </c>
      <c r="D398" s="2200" t="str">
        <f t="shared" si="20"/>
        <v>KS</v>
      </c>
      <c r="E398" s="2200">
        <f t="shared" si="21"/>
        <v>8</v>
      </c>
      <c r="F398" s="2200" t="str">
        <f t="shared" si="22"/>
        <v>20</v>
      </c>
      <c r="G398" s="2200" t="str">
        <f t="shared" si="23"/>
        <v>48620</v>
      </c>
      <c r="H398" s="2200">
        <f>--SUBTOTAL(3,C$2:C398)</f>
        <v>40</v>
      </c>
    </row>
    <row r="399" spans="1:8" hidden="1" x14ac:dyDescent="0.15">
      <c r="A399" s="2200" t="s">
        <v>1902</v>
      </c>
      <c r="B399" s="2200" t="s">
        <v>2662</v>
      </c>
      <c r="C399" s="2200" t="s">
        <v>2663</v>
      </c>
      <c r="D399" s="2200" t="str">
        <f t="shared" si="20"/>
        <v>KS</v>
      </c>
      <c r="E399" s="2200">
        <f t="shared" si="21"/>
        <v>31</v>
      </c>
      <c r="F399" s="2200" t="str">
        <f t="shared" si="22"/>
        <v>20</v>
      </c>
      <c r="G399" s="2200" t="str">
        <f t="shared" si="23"/>
        <v>55600</v>
      </c>
      <c r="H399" s="2200">
        <f>--SUBTOTAL(3,C$2:C399)</f>
        <v>40</v>
      </c>
    </row>
    <row r="400" spans="1:8" hidden="1" x14ac:dyDescent="0.15">
      <c r="A400" s="2200" t="s">
        <v>1884</v>
      </c>
      <c r="B400" s="2200" t="s">
        <v>2664</v>
      </c>
      <c r="C400" s="2200" t="s">
        <v>2665</v>
      </c>
      <c r="D400" s="2200" t="str">
        <f t="shared" si="20"/>
        <v>KY</v>
      </c>
      <c r="E400" s="2200">
        <f t="shared" si="21"/>
        <v>10</v>
      </c>
      <c r="F400" s="2200" t="str">
        <f t="shared" si="22"/>
        <v>21</v>
      </c>
      <c r="G400" s="2200" t="str">
        <f t="shared" si="23"/>
        <v>12680</v>
      </c>
      <c r="H400" s="2200">
        <f>--SUBTOTAL(3,C$2:C400)</f>
        <v>40</v>
      </c>
    </row>
    <row r="401" spans="1:8" hidden="1" x14ac:dyDescent="0.15">
      <c r="A401" s="2200" t="s">
        <v>1878</v>
      </c>
      <c r="B401" s="2200" t="s">
        <v>2667</v>
      </c>
      <c r="C401" s="2200" t="s">
        <v>2668</v>
      </c>
      <c r="D401" s="2200" t="str">
        <f t="shared" si="20"/>
        <v>KY</v>
      </c>
      <c r="E401" s="2200">
        <f t="shared" si="21"/>
        <v>14</v>
      </c>
      <c r="F401" s="2200" t="str">
        <f t="shared" si="22"/>
        <v>21</v>
      </c>
      <c r="G401" s="2200" t="str">
        <f t="shared" si="23"/>
        <v>14540</v>
      </c>
      <c r="H401" s="2200">
        <f>--SUBTOTAL(3,C$2:C401)</f>
        <v>40</v>
      </c>
    </row>
    <row r="402" spans="1:8" hidden="1" x14ac:dyDescent="0.15">
      <c r="A402" s="2200" t="s">
        <v>1902</v>
      </c>
      <c r="B402" s="2200" t="s">
        <v>2669</v>
      </c>
      <c r="C402" s="2200" t="s">
        <v>2670</v>
      </c>
      <c r="D402" s="2200" t="str">
        <f t="shared" ref="D402:D469" si="24">MID(C402,E402+2,2)</f>
        <v>KY</v>
      </c>
      <c r="E402" s="2200">
        <f t="shared" ref="E402:E469" si="25">FIND(",",C402)</f>
        <v>22</v>
      </c>
      <c r="F402" s="2200" t="str">
        <f t="shared" ref="F402:F469" si="26">MID(B402,3,2)</f>
        <v>21</v>
      </c>
      <c r="G402" s="2200" t="str">
        <f t="shared" ref="G402:G469" si="27">MID(B402,5,5)</f>
        <v>15000</v>
      </c>
      <c r="H402" s="2200">
        <f>--SUBTOTAL(3,C$2:C402)</f>
        <v>40</v>
      </c>
    </row>
    <row r="403" spans="1:8" hidden="1" x14ac:dyDescent="0.15">
      <c r="A403" s="2200" t="s">
        <v>1884</v>
      </c>
      <c r="B403" s="2200" t="s">
        <v>2671</v>
      </c>
      <c r="C403" s="2200" t="s">
        <v>2672</v>
      </c>
      <c r="D403" s="2200" t="str">
        <f t="shared" si="24"/>
        <v>KY</v>
      </c>
      <c r="E403" s="2200">
        <f t="shared" si="25"/>
        <v>15</v>
      </c>
      <c r="F403" s="2200" t="str">
        <f t="shared" si="26"/>
        <v>21</v>
      </c>
      <c r="G403" s="2200" t="str">
        <f t="shared" si="27"/>
        <v>15820</v>
      </c>
      <c r="H403" s="2200">
        <f>--SUBTOTAL(3,C$2:C403)</f>
        <v>40</v>
      </c>
    </row>
    <row r="404" spans="1:8" hidden="1" x14ac:dyDescent="0.15">
      <c r="A404" s="2200" t="s">
        <v>1884</v>
      </c>
      <c r="B404" s="2200" t="s">
        <v>2673</v>
      </c>
      <c r="C404" s="2200" t="s">
        <v>2674</v>
      </c>
      <c r="D404" s="2200" t="str">
        <f t="shared" si="24"/>
        <v>KY</v>
      </c>
      <c r="E404" s="2200">
        <f t="shared" si="25"/>
        <v>13</v>
      </c>
      <c r="F404" s="2200" t="str">
        <f t="shared" si="26"/>
        <v>21</v>
      </c>
      <c r="G404" s="2200" t="str">
        <f t="shared" si="27"/>
        <v>16420</v>
      </c>
      <c r="H404" s="2200">
        <f>--SUBTOTAL(3,C$2:C404)</f>
        <v>40</v>
      </c>
    </row>
    <row r="405" spans="1:8" hidden="1" x14ac:dyDescent="0.15">
      <c r="A405" s="2200" t="s">
        <v>1878</v>
      </c>
      <c r="B405" s="2200" t="s">
        <v>3792</v>
      </c>
      <c r="C405" s="2200" t="s">
        <v>17888</v>
      </c>
      <c r="D405" s="2200" t="str">
        <f t="shared" si="24"/>
        <v>KY</v>
      </c>
      <c r="E405" s="2200">
        <f t="shared" si="25"/>
        <v>12</v>
      </c>
      <c r="F405" s="2200" t="str">
        <f t="shared" si="26"/>
        <v>47</v>
      </c>
      <c r="G405" s="2200" t="str">
        <f t="shared" si="27"/>
        <v>17300</v>
      </c>
      <c r="H405" s="2200">
        <f>--SUBTOTAL(3,C$2:C405)</f>
        <v>40</v>
      </c>
    </row>
    <row r="406" spans="1:8" hidden="1" x14ac:dyDescent="0.15">
      <c r="A406" s="2200" t="s">
        <v>1878</v>
      </c>
      <c r="B406" s="2200" t="s">
        <v>3449</v>
      </c>
      <c r="C406" s="2200" t="s">
        <v>17882</v>
      </c>
      <c r="D406" s="2200" t="str">
        <f t="shared" si="24"/>
        <v>KY</v>
      </c>
      <c r="E406" s="2200">
        <f t="shared" si="25"/>
        <v>11</v>
      </c>
      <c r="F406" s="2200" t="str">
        <f t="shared" si="26"/>
        <v>39</v>
      </c>
      <c r="G406" s="2200" t="str">
        <f t="shared" si="27"/>
        <v>17140</v>
      </c>
      <c r="H406" s="2200">
        <f>--SUBTOTAL(3,C$2:C406)</f>
        <v>40</v>
      </c>
    </row>
    <row r="407" spans="1:8" hidden="1" x14ac:dyDescent="0.15">
      <c r="A407" s="2200" t="s">
        <v>1884</v>
      </c>
      <c r="B407" s="2200" t="s">
        <v>2675</v>
      </c>
      <c r="C407" s="2200" t="s">
        <v>2676</v>
      </c>
      <c r="D407" s="2200" t="str">
        <f t="shared" si="24"/>
        <v>KY</v>
      </c>
      <c r="E407" s="2200">
        <f t="shared" si="25"/>
        <v>9</v>
      </c>
      <c r="F407" s="2200" t="str">
        <f t="shared" si="26"/>
        <v>21</v>
      </c>
      <c r="G407" s="2200" t="str">
        <f t="shared" si="27"/>
        <v>19220</v>
      </c>
      <c r="H407" s="2200">
        <f>--SUBTOTAL(3,C$2:C407)</f>
        <v>40</v>
      </c>
    </row>
    <row r="408" spans="1:8" hidden="1" x14ac:dyDescent="0.15">
      <c r="A408" s="2200" t="s">
        <v>1878</v>
      </c>
      <c r="B408" s="2200" t="s">
        <v>2677</v>
      </c>
      <c r="C408" s="2200" t="s">
        <v>2678</v>
      </c>
      <c r="D408" s="2200" t="str">
        <f t="shared" si="24"/>
        <v>KY</v>
      </c>
      <c r="E408" s="2200">
        <f t="shared" si="25"/>
        <v>24</v>
      </c>
      <c r="F408" s="2200" t="str">
        <f t="shared" si="26"/>
        <v>21</v>
      </c>
      <c r="G408" s="2200" t="str">
        <f t="shared" si="27"/>
        <v>21060</v>
      </c>
      <c r="H408" s="2200">
        <f>--SUBTOTAL(3,C$2:C408)</f>
        <v>40</v>
      </c>
    </row>
    <row r="409" spans="1:8" hidden="1" x14ac:dyDescent="0.15">
      <c r="A409" s="2200" t="s">
        <v>1878</v>
      </c>
      <c r="B409" s="2200" t="s">
        <v>2551</v>
      </c>
      <c r="C409" s="2200" t="s">
        <v>17862</v>
      </c>
      <c r="D409" s="2200" t="str">
        <f t="shared" si="24"/>
        <v>KY</v>
      </c>
      <c r="E409" s="2200">
        <f t="shared" si="25"/>
        <v>11</v>
      </c>
      <c r="F409" s="2200" t="str">
        <f t="shared" si="26"/>
        <v>18</v>
      </c>
      <c r="G409" s="2200" t="str">
        <f t="shared" si="27"/>
        <v>21780</v>
      </c>
      <c r="H409" s="2200">
        <f>--SUBTOTAL(3,C$2:C409)</f>
        <v>40</v>
      </c>
    </row>
    <row r="410" spans="1:8" hidden="1" x14ac:dyDescent="0.15">
      <c r="A410" s="2200" t="s">
        <v>1884</v>
      </c>
      <c r="B410" s="2200" t="s">
        <v>2679</v>
      </c>
      <c r="C410" s="2200" t="s">
        <v>2680</v>
      </c>
      <c r="D410" s="2200" t="str">
        <f t="shared" si="24"/>
        <v>KY</v>
      </c>
      <c r="E410" s="2200">
        <f t="shared" si="25"/>
        <v>10</v>
      </c>
      <c r="F410" s="2200" t="str">
        <f t="shared" si="26"/>
        <v>21</v>
      </c>
      <c r="G410" s="2200" t="str">
        <f t="shared" si="27"/>
        <v>23180</v>
      </c>
      <c r="H410" s="2200">
        <f>--SUBTOTAL(3,C$2:C410)</f>
        <v>40</v>
      </c>
    </row>
    <row r="411" spans="1:8" hidden="1" x14ac:dyDescent="0.15">
      <c r="A411" s="2200" t="s">
        <v>1884</v>
      </c>
      <c r="B411" s="2200" t="s">
        <v>2681</v>
      </c>
      <c r="C411" s="2200" t="s">
        <v>2682</v>
      </c>
      <c r="D411" s="2200" t="str">
        <f t="shared" si="24"/>
        <v>KY</v>
      </c>
      <c r="E411" s="2200">
        <f t="shared" si="25"/>
        <v>8</v>
      </c>
      <c r="F411" s="2200" t="str">
        <f t="shared" si="26"/>
        <v>21</v>
      </c>
      <c r="G411" s="2200" t="str">
        <f t="shared" si="27"/>
        <v>23980</v>
      </c>
      <c r="H411" s="2200">
        <f>--SUBTOTAL(3,C$2:C411)</f>
        <v>40</v>
      </c>
    </row>
    <row r="412" spans="1:8" hidden="1" x14ac:dyDescent="0.15">
      <c r="A412" s="2200" t="s">
        <v>1878</v>
      </c>
      <c r="B412" s="2200" t="s">
        <v>4211</v>
      </c>
      <c r="C412" s="2200" t="s">
        <v>17896</v>
      </c>
      <c r="D412" s="2200" t="str">
        <f t="shared" si="24"/>
        <v>KY</v>
      </c>
      <c r="E412" s="2200">
        <f t="shared" si="25"/>
        <v>19</v>
      </c>
      <c r="F412" s="2200" t="str">
        <f t="shared" si="26"/>
        <v>54</v>
      </c>
      <c r="G412" s="2200" t="str">
        <f t="shared" si="27"/>
        <v>26580</v>
      </c>
      <c r="H412" s="2200">
        <f>--SUBTOTAL(3,C$2:C412)</f>
        <v>40</v>
      </c>
    </row>
    <row r="413" spans="1:8" hidden="1" x14ac:dyDescent="0.15">
      <c r="A413" s="2200" t="s">
        <v>1878</v>
      </c>
      <c r="B413" s="2200" t="s">
        <v>2683</v>
      </c>
      <c r="C413" s="2200" t="s">
        <v>2684</v>
      </c>
      <c r="D413" s="2200" t="str">
        <f t="shared" si="24"/>
        <v>KY</v>
      </c>
      <c r="E413" s="2200">
        <f t="shared" si="25"/>
        <v>18</v>
      </c>
      <c r="F413" s="2200" t="str">
        <f t="shared" si="26"/>
        <v>21</v>
      </c>
      <c r="G413" s="2200" t="str">
        <f t="shared" si="27"/>
        <v>30460</v>
      </c>
      <c r="H413" s="2200">
        <f>--SUBTOTAL(3,C$2:C413)</f>
        <v>40</v>
      </c>
    </row>
    <row r="414" spans="1:8" hidden="1" x14ac:dyDescent="0.15">
      <c r="A414" s="2200" t="s">
        <v>1902</v>
      </c>
      <c r="B414" s="2200" t="s">
        <v>2685</v>
      </c>
      <c r="C414" s="2200" t="s">
        <v>2686</v>
      </c>
      <c r="D414" s="2200" t="str">
        <f t="shared" si="24"/>
        <v>KY</v>
      </c>
      <c r="E414" s="2200">
        <f t="shared" si="25"/>
        <v>39</v>
      </c>
      <c r="F414" s="2200" t="str">
        <f t="shared" si="26"/>
        <v>21</v>
      </c>
      <c r="G414" s="2200" t="str">
        <f t="shared" si="27"/>
        <v>33600</v>
      </c>
      <c r="H414" s="2200">
        <f>--SUBTOTAL(3,C$2:C414)</f>
        <v>40</v>
      </c>
    </row>
    <row r="415" spans="1:8" hidden="1" x14ac:dyDescent="0.15">
      <c r="A415" s="2200" t="s">
        <v>1884</v>
      </c>
      <c r="B415" s="2200" t="s">
        <v>2687</v>
      </c>
      <c r="C415" s="2200" t="s">
        <v>2688</v>
      </c>
      <c r="D415" s="2200" t="str">
        <f t="shared" si="24"/>
        <v>KY</v>
      </c>
      <c r="E415" s="2200">
        <f t="shared" si="25"/>
        <v>7</v>
      </c>
      <c r="F415" s="2200" t="str">
        <f t="shared" si="26"/>
        <v>21</v>
      </c>
      <c r="G415" s="2200" t="str">
        <f t="shared" si="27"/>
        <v>30940</v>
      </c>
      <c r="H415" s="2200">
        <f>--SUBTOTAL(3,C$2:C415)</f>
        <v>40</v>
      </c>
    </row>
    <row r="416" spans="1:8" hidden="1" x14ac:dyDescent="0.15">
      <c r="A416" s="2200" t="s">
        <v>1878</v>
      </c>
      <c r="B416" s="2200" t="s">
        <v>2689</v>
      </c>
      <c r="C416" s="2200" t="s">
        <v>2690</v>
      </c>
      <c r="D416" s="2200" t="str">
        <f t="shared" si="24"/>
        <v>KY</v>
      </c>
      <c r="E416" s="2200">
        <f t="shared" si="25"/>
        <v>28</v>
      </c>
      <c r="F416" s="2200" t="str">
        <f t="shared" si="26"/>
        <v>21</v>
      </c>
      <c r="G416" s="2200" t="str">
        <f t="shared" si="27"/>
        <v>31140</v>
      </c>
      <c r="H416" s="2200">
        <f>--SUBTOTAL(3,C$2:C416)</f>
        <v>40</v>
      </c>
    </row>
    <row r="417" spans="1:8" hidden="1" x14ac:dyDescent="0.15">
      <c r="A417" s="2200" t="s">
        <v>1902</v>
      </c>
      <c r="B417" s="2200" t="s">
        <v>2691</v>
      </c>
      <c r="C417" s="2200" t="s">
        <v>2692</v>
      </c>
      <c r="D417" s="2200" t="str">
        <f t="shared" si="24"/>
        <v>KY</v>
      </c>
      <c r="E417" s="2200">
        <f t="shared" si="25"/>
        <v>52</v>
      </c>
      <c r="F417" s="2200" t="str">
        <f t="shared" si="26"/>
        <v>21</v>
      </c>
      <c r="G417" s="2200" t="str">
        <f t="shared" si="27"/>
        <v>35000</v>
      </c>
      <c r="H417" s="2200">
        <f>--SUBTOTAL(3,C$2:C417)</f>
        <v>40</v>
      </c>
    </row>
    <row r="418" spans="1:8" hidden="1" x14ac:dyDescent="0.15">
      <c r="A418" s="2200" t="s">
        <v>1884</v>
      </c>
      <c r="B418" s="2200" t="s">
        <v>2693</v>
      </c>
      <c r="C418" s="2200" t="s">
        <v>2694</v>
      </c>
      <c r="D418" s="2200" t="str">
        <f t="shared" si="24"/>
        <v>KY</v>
      </c>
      <c r="E418" s="2200">
        <f t="shared" si="25"/>
        <v>13</v>
      </c>
      <c r="F418" s="2200" t="str">
        <f t="shared" si="26"/>
        <v>21</v>
      </c>
      <c r="G418" s="2200" t="str">
        <f t="shared" si="27"/>
        <v>31580</v>
      </c>
      <c r="H418" s="2200">
        <f>--SUBTOTAL(3,C$2:C418)</f>
        <v>40</v>
      </c>
    </row>
    <row r="419" spans="1:8" hidden="1" x14ac:dyDescent="0.15">
      <c r="A419" s="2200" t="s">
        <v>1884</v>
      </c>
      <c r="B419" s="2200" t="s">
        <v>2695</v>
      </c>
      <c r="C419" s="2200" t="s">
        <v>2696</v>
      </c>
      <c r="D419" s="2200" t="str">
        <f t="shared" si="24"/>
        <v>KY</v>
      </c>
      <c r="E419" s="2200">
        <f t="shared" si="25"/>
        <v>9</v>
      </c>
      <c r="F419" s="2200" t="str">
        <f t="shared" si="26"/>
        <v>21</v>
      </c>
      <c r="G419" s="2200" t="str">
        <f t="shared" si="27"/>
        <v>32460</v>
      </c>
      <c r="H419" s="2200">
        <f>--SUBTOTAL(3,C$2:C419)</f>
        <v>40</v>
      </c>
    </row>
    <row r="420" spans="1:8" hidden="1" x14ac:dyDescent="0.15">
      <c r="A420" s="2200" t="s">
        <v>1884</v>
      </c>
      <c r="B420" s="2200" t="s">
        <v>2697</v>
      </c>
      <c r="C420" s="2200" t="s">
        <v>2698</v>
      </c>
      <c r="D420" s="2200" t="str">
        <f t="shared" si="24"/>
        <v>KY</v>
      </c>
      <c r="E420" s="2200">
        <f t="shared" si="25"/>
        <v>10</v>
      </c>
      <c r="F420" s="2200" t="str">
        <f t="shared" si="26"/>
        <v>21</v>
      </c>
      <c r="G420" s="2200" t="str">
        <f t="shared" si="27"/>
        <v>32500</v>
      </c>
      <c r="H420" s="2200">
        <f>--SUBTOTAL(3,C$2:C420)</f>
        <v>40</v>
      </c>
    </row>
    <row r="421" spans="1:8" hidden="1" x14ac:dyDescent="0.15">
      <c r="A421" s="2200" t="s">
        <v>1884</v>
      </c>
      <c r="B421" s="2200" t="s">
        <v>2699</v>
      </c>
      <c r="C421" s="2200" t="s">
        <v>2700</v>
      </c>
      <c r="D421" s="2200" t="str">
        <f t="shared" si="24"/>
        <v>KY</v>
      </c>
      <c r="E421" s="2200">
        <f t="shared" si="25"/>
        <v>15</v>
      </c>
      <c r="F421" s="2200" t="str">
        <f t="shared" si="26"/>
        <v>21</v>
      </c>
      <c r="G421" s="2200" t="str">
        <f t="shared" si="27"/>
        <v>33180</v>
      </c>
      <c r="H421" s="2200">
        <f>--SUBTOTAL(3,C$2:C421)</f>
        <v>40</v>
      </c>
    </row>
    <row r="422" spans="1:8" hidden="1" x14ac:dyDescent="0.15">
      <c r="A422" s="2200" t="s">
        <v>1884</v>
      </c>
      <c r="B422" s="2200" t="s">
        <v>2701</v>
      </c>
      <c r="C422" s="2200" t="s">
        <v>2702</v>
      </c>
      <c r="D422" s="2200" t="str">
        <f t="shared" si="24"/>
        <v>KY</v>
      </c>
      <c r="E422" s="2200">
        <f t="shared" si="25"/>
        <v>15</v>
      </c>
      <c r="F422" s="2200" t="str">
        <f t="shared" si="26"/>
        <v>21</v>
      </c>
      <c r="G422" s="2200" t="str">
        <f t="shared" si="27"/>
        <v>34460</v>
      </c>
      <c r="H422" s="2200">
        <f>--SUBTOTAL(3,C$2:C422)</f>
        <v>40</v>
      </c>
    </row>
    <row r="423" spans="1:8" hidden="1" x14ac:dyDescent="0.15">
      <c r="A423" s="2200" t="s">
        <v>1884</v>
      </c>
      <c r="B423" s="2200" t="s">
        <v>2703</v>
      </c>
      <c r="C423" s="2200" t="s">
        <v>2704</v>
      </c>
      <c r="D423" s="2200" t="str">
        <f t="shared" si="24"/>
        <v>KY</v>
      </c>
      <c r="E423" s="2200">
        <f t="shared" si="25"/>
        <v>7</v>
      </c>
      <c r="F423" s="2200" t="str">
        <f t="shared" si="26"/>
        <v>21</v>
      </c>
      <c r="G423" s="2200" t="str">
        <f t="shared" si="27"/>
        <v>34660</v>
      </c>
      <c r="H423" s="2200">
        <f>--SUBTOTAL(3,C$2:C423)</f>
        <v>40</v>
      </c>
    </row>
    <row r="424" spans="1:8" hidden="1" x14ac:dyDescent="0.15">
      <c r="A424" s="2200" t="s">
        <v>1878</v>
      </c>
      <c r="B424" s="2200" t="s">
        <v>2705</v>
      </c>
      <c r="C424" s="2200" t="s">
        <v>2706</v>
      </c>
      <c r="D424" s="2200" t="str">
        <f t="shared" si="24"/>
        <v>KY</v>
      </c>
      <c r="E424" s="2200">
        <f t="shared" si="25"/>
        <v>10</v>
      </c>
      <c r="F424" s="2200" t="str">
        <f t="shared" si="26"/>
        <v>21</v>
      </c>
      <c r="G424" s="2200" t="str">
        <f t="shared" si="27"/>
        <v>36980</v>
      </c>
      <c r="H424" s="2200">
        <f>--SUBTOTAL(3,C$2:C424)</f>
        <v>40</v>
      </c>
    </row>
    <row r="425" spans="1:8" hidden="1" x14ac:dyDescent="0.15">
      <c r="A425" s="2200" t="s">
        <v>1884</v>
      </c>
      <c r="B425" s="2200" t="s">
        <v>2707</v>
      </c>
      <c r="C425" s="2200" t="s">
        <v>2708</v>
      </c>
      <c r="D425" s="2200" t="str">
        <f t="shared" si="24"/>
        <v>KY</v>
      </c>
      <c r="E425" s="2200">
        <f t="shared" si="25"/>
        <v>8</v>
      </c>
      <c r="F425" s="2200" t="str">
        <f t="shared" si="26"/>
        <v>21</v>
      </c>
      <c r="G425" s="2200" t="str">
        <f t="shared" si="27"/>
        <v>37140</v>
      </c>
      <c r="H425" s="2200">
        <f>--SUBTOTAL(3,C$2:C425)</f>
        <v>40</v>
      </c>
    </row>
    <row r="426" spans="1:8" hidden="1" x14ac:dyDescent="0.15">
      <c r="A426" s="2200" t="s">
        <v>1902</v>
      </c>
      <c r="B426" s="2200" t="s">
        <v>2709</v>
      </c>
      <c r="C426" s="2200" t="s">
        <v>2710</v>
      </c>
      <c r="D426" s="2200" t="str">
        <f t="shared" si="24"/>
        <v>KY</v>
      </c>
      <c r="E426" s="2200">
        <f t="shared" si="25"/>
        <v>17</v>
      </c>
      <c r="F426" s="2200" t="str">
        <f t="shared" si="26"/>
        <v>21</v>
      </c>
      <c r="G426" s="2200" t="str">
        <f t="shared" si="27"/>
        <v>42400</v>
      </c>
      <c r="H426" s="2200">
        <f>--SUBTOTAL(3,C$2:C426)</f>
        <v>40</v>
      </c>
    </row>
    <row r="427" spans="1:8" hidden="1" x14ac:dyDescent="0.15">
      <c r="A427" s="2200" t="s">
        <v>1884</v>
      </c>
      <c r="B427" s="2200" t="s">
        <v>2711</v>
      </c>
      <c r="C427" s="2200" t="s">
        <v>2712</v>
      </c>
      <c r="D427" s="2200" t="str">
        <f t="shared" si="24"/>
        <v>KY</v>
      </c>
      <c r="E427" s="2200">
        <f t="shared" si="25"/>
        <v>15</v>
      </c>
      <c r="F427" s="2200" t="str">
        <f t="shared" si="26"/>
        <v>21</v>
      </c>
      <c r="G427" s="2200" t="str">
        <f t="shared" si="27"/>
        <v>40080</v>
      </c>
      <c r="H427" s="2200">
        <f>--SUBTOTAL(3,C$2:C427)</f>
        <v>40</v>
      </c>
    </row>
    <row r="428" spans="1:8" hidden="1" x14ac:dyDescent="0.15">
      <c r="A428" s="2200" t="s">
        <v>1884</v>
      </c>
      <c r="B428" s="2200" t="s">
        <v>2713</v>
      </c>
      <c r="C428" s="2200" t="s">
        <v>2714</v>
      </c>
      <c r="D428" s="2200" t="str">
        <f t="shared" si="24"/>
        <v>KY</v>
      </c>
      <c r="E428" s="2200">
        <f t="shared" si="25"/>
        <v>9</v>
      </c>
      <c r="F428" s="2200" t="str">
        <f t="shared" si="26"/>
        <v>21</v>
      </c>
      <c r="G428" s="2200" t="str">
        <f t="shared" si="27"/>
        <v>43700</v>
      </c>
      <c r="H428" s="2200">
        <f>--SUBTOTAL(3,C$2:C428)</f>
        <v>40</v>
      </c>
    </row>
    <row r="429" spans="1:8" hidden="1" x14ac:dyDescent="0.15">
      <c r="A429" s="2200" t="s">
        <v>1878</v>
      </c>
      <c r="B429" s="2200" t="s">
        <v>2715</v>
      </c>
      <c r="C429" s="2200" t="s">
        <v>2716</v>
      </c>
      <c r="D429" s="2200" t="str">
        <f t="shared" si="24"/>
        <v>LA</v>
      </c>
      <c r="E429" s="2200">
        <f t="shared" si="25"/>
        <v>11</v>
      </c>
      <c r="F429" s="2200" t="str">
        <f t="shared" si="26"/>
        <v>22</v>
      </c>
      <c r="G429" s="2200" t="str">
        <f t="shared" si="27"/>
        <v>10780</v>
      </c>
      <c r="H429" s="2200">
        <f>--SUBTOTAL(3,C$2:C429)</f>
        <v>40</v>
      </c>
    </row>
    <row r="430" spans="1:8" hidden="1" x14ac:dyDescent="0.15">
      <c r="A430" s="2200" t="s">
        <v>1884</v>
      </c>
      <c r="B430" s="2200" t="s">
        <v>2718</v>
      </c>
      <c r="C430" s="2200" t="s">
        <v>2719</v>
      </c>
      <c r="D430" s="2200" t="str">
        <f t="shared" si="24"/>
        <v>LA</v>
      </c>
      <c r="E430" s="2200">
        <f t="shared" si="25"/>
        <v>8</v>
      </c>
      <c r="F430" s="2200" t="str">
        <f t="shared" si="26"/>
        <v>22</v>
      </c>
      <c r="G430" s="2200" t="str">
        <f t="shared" si="27"/>
        <v>12820</v>
      </c>
      <c r="H430" s="2200">
        <f>--SUBTOTAL(3,C$2:C430)</f>
        <v>40</v>
      </c>
    </row>
    <row r="431" spans="1:8" hidden="1" x14ac:dyDescent="0.15">
      <c r="A431" s="2200" t="s">
        <v>1878</v>
      </c>
      <c r="B431" s="2200" t="s">
        <v>2720</v>
      </c>
      <c r="C431" s="2200" t="s">
        <v>2721</v>
      </c>
      <c r="D431" s="2200" t="str">
        <f t="shared" si="24"/>
        <v>LA</v>
      </c>
      <c r="E431" s="2200">
        <f t="shared" si="25"/>
        <v>12</v>
      </c>
      <c r="F431" s="2200" t="str">
        <f t="shared" si="26"/>
        <v>22</v>
      </c>
      <c r="G431" s="2200" t="str">
        <f t="shared" si="27"/>
        <v>12940</v>
      </c>
      <c r="H431" s="2200">
        <f>--SUBTOTAL(3,C$2:C431)</f>
        <v>40</v>
      </c>
    </row>
    <row r="432" spans="1:8" hidden="1" x14ac:dyDescent="0.15">
      <c r="A432" s="2200" t="s">
        <v>1884</v>
      </c>
      <c r="B432" s="2200" t="s">
        <v>2722</v>
      </c>
      <c r="C432" s="2200" t="s">
        <v>2723</v>
      </c>
      <c r="D432" s="2200" t="str">
        <f t="shared" si="24"/>
        <v>LA</v>
      </c>
      <c r="E432" s="2200">
        <f t="shared" si="25"/>
        <v>9</v>
      </c>
      <c r="F432" s="2200" t="str">
        <f t="shared" si="26"/>
        <v>22</v>
      </c>
      <c r="G432" s="2200" t="str">
        <f t="shared" si="27"/>
        <v>14220</v>
      </c>
      <c r="H432" s="2200">
        <f>--SUBTOTAL(3,C$2:C432)</f>
        <v>40</v>
      </c>
    </row>
    <row r="433" spans="1:8" hidden="1" x14ac:dyDescent="0.15">
      <c r="A433" s="2200" t="s">
        <v>1884</v>
      </c>
      <c r="B433" s="2200" t="s">
        <v>2724</v>
      </c>
      <c r="C433" s="2200" t="s">
        <v>2725</v>
      </c>
      <c r="D433" s="2200" t="str">
        <f t="shared" si="24"/>
        <v>LA</v>
      </c>
      <c r="E433" s="2200">
        <f t="shared" si="25"/>
        <v>9</v>
      </c>
      <c r="F433" s="2200" t="str">
        <f t="shared" si="26"/>
        <v>22</v>
      </c>
      <c r="G433" s="2200" t="str">
        <f t="shared" si="27"/>
        <v>19760</v>
      </c>
      <c r="H433" s="2200">
        <f>--SUBTOTAL(3,C$2:C433)</f>
        <v>40</v>
      </c>
    </row>
    <row r="434" spans="1:8" hidden="1" x14ac:dyDescent="0.15">
      <c r="A434" s="2200" t="s">
        <v>1902</v>
      </c>
      <c r="B434" s="2200" t="s">
        <v>2726</v>
      </c>
      <c r="C434" s="2200" t="s">
        <v>2727</v>
      </c>
      <c r="D434" s="2200" t="str">
        <f t="shared" si="24"/>
        <v>LA</v>
      </c>
      <c r="E434" s="2200">
        <f t="shared" si="25"/>
        <v>25</v>
      </c>
      <c r="F434" s="2200" t="str">
        <f t="shared" si="26"/>
        <v>22</v>
      </c>
      <c r="G434" s="2200" t="str">
        <f t="shared" si="27"/>
        <v>21700</v>
      </c>
      <c r="H434" s="2200">
        <f>--SUBTOTAL(3,C$2:C434)</f>
        <v>40</v>
      </c>
    </row>
    <row r="435" spans="1:8" hidden="1" x14ac:dyDescent="0.15">
      <c r="A435" s="2200" t="s">
        <v>1884</v>
      </c>
      <c r="B435" s="2200" t="s">
        <v>2728</v>
      </c>
      <c r="C435" s="2200" t="s">
        <v>2729</v>
      </c>
      <c r="D435" s="2200" t="str">
        <f t="shared" si="24"/>
        <v>LA</v>
      </c>
      <c r="E435" s="2200">
        <f t="shared" si="25"/>
        <v>16</v>
      </c>
      <c r="F435" s="2200" t="str">
        <f t="shared" si="26"/>
        <v>22</v>
      </c>
      <c r="G435" s="2200" t="str">
        <f t="shared" si="27"/>
        <v>22860</v>
      </c>
      <c r="H435" s="2200">
        <f>--SUBTOTAL(3,C$2:C435)</f>
        <v>40</v>
      </c>
    </row>
    <row r="436" spans="1:8" hidden="1" x14ac:dyDescent="0.15">
      <c r="A436" s="2200" t="s">
        <v>1878</v>
      </c>
      <c r="B436" s="2200" t="s">
        <v>2730</v>
      </c>
      <c r="C436" s="2200" t="s">
        <v>2731</v>
      </c>
      <c r="D436" s="2200" t="str">
        <f t="shared" si="24"/>
        <v>LA</v>
      </c>
      <c r="E436" s="2200">
        <f t="shared" si="25"/>
        <v>8</v>
      </c>
      <c r="F436" s="2200" t="str">
        <f t="shared" si="26"/>
        <v>22</v>
      </c>
      <c r="G436" s="2200" t="str">
        <f t="shared" si="27"/>
        <v>25220</v>
      </c>
      <c r="H436" s="2200">
        <f>--SUBTOTAL(3,C$2:C436)</f>
        <v>40</v>
      </c>
    </row>
    <row r="437" spans="1:8" hidden="1" x14ac:dyDescent="0.15">
      <c r="A437" s="2200" t="s">
        <v>1878</v>
      </c>
      <c r="B437" s="2200" t="s">
        <v>2732</v>
      </c>
      <c r="C437" s="2200" t="s">
        <v>2733</v>
      </c>
      <c r="D437" s="2200" t="str">
        <f t="shared" si="24"/>
        <v>LA</v>
      </c>
      <c r="E437" s="2200">
        <f t="shared" si="25"/>
        <v>16</v>
      </c>
      <c r="F437" s="2200" t="str">
        <f t="shared" si="26"/>
        <v>22</v>
      </c>
      <c r="G437" s="2200" t="str">
        <f t="shared" si="27"/>
        <v>26380</v>
      </c>
      <c r="H437" s="2200">
        <f>--SUBTOTAL(3,C$2:C437)</f>
        <v>40</v>
      </c>
    </row>
    <row r="438" spans="1:8" hidden="1" x14ac:dyDescent="0.15">
      <c r="A438" s="2200" t="s">
        <v>1884</v>
      </c>
      <c r="B438" s="2200" t="s">
        <v>2734</v>
      </c>
      <c r="C438" s="2200" t="s">
        <v>2735</v>
      </c>
      <c r="D438" s="2200" t="str">
        <f t="shared" si="24"/>
        <v>LA</v>
      </c>
      <c r="E438" s="2200">
        <f t="shared" si="25"/>
        <v>9</v>
      </c>
      <c r="F438" s="2200" t="str">
        <f t="shared" si="26"/>
        <v>22</v>
      </c>
      <c r="G438" s="2200" t="str">
        <f t="shared" si="27"/>
        <v>27660</v>
      </c>
      <c r="H438" s="2200">
        <f>--SUBTOTAL(3,C$2:C438)</f>
        <v>40</v>
      </c>
    </row>
    <row r="439" spans="1:8" hidden="1" x14ac:dyDescent="0.15">
      <c r="A439" s="2200" t="s">
        <v>1878</v>
      </c>
      <c r="B439" s="2200" t="s">
        <v>2736</v>
      </c>
      <c r="C439" s="2200" t="s">
        <v>2737</v>
      </c>
      <c r="D439" s="2200" t="str">
        <f t="shared" si="24"/>
        <v>LA</v>
      </c>
      <c r="E439" s="2200">
        <f t="shared" si="25"/>
        <v>10</v>
      </c>
      <c r="F439" s="2200" t="str">
        <f t="shared" si="26"/>
        <v>22</v>
      </c>
      <c r="G439" s="2200" t="str">
        <f t="shared" si="27"/>
        <v>29180</v>
      </c>
      <c r="H439" s="2200">
        <f>--SUBTOTAL(3,C$2:C439)</f>
        <v>40</v>
      </c>
    </row>
    <row r="440" spans="1:8" hidden="1" x14ac:dyDescent="0.15">
      <c r="A440" s="2200" t="s">
        <v>1902</v>
      </c>
      <c r="B440" s="2200" t="s">
        <v>2738</v>
      </c>
      <c r="C440" s="2200" t="s">
        <v>2739</v>
      </c>
      <c r="D440" s="2200" t="str">
        <f t="shared" si="24"/>
        <v>LA</v>
      </c>
      <c r="E440" s="2200">
        <f t="shared" si="25"/>
        <v>32</v>
      </c>
      <c r="F440" s="2200" t="str">
        <f t="shared" si="26"/>
        <v>22</v>
      </c>
      <c r="G440" s="2200" t="str">
        <f t="shared" si="27"/>
        <v>31800</v>
      </c>
      <c r="H440" s="2200">
        <f>--SUBTOTAL(3,C$2:C440)</f>
        <v>40</v>
      </c>
    </row>
    <row r="441" spans="1:8" hidden="1" x14ac:dyDescent="0.15">
      <c r="A441" s="2200" t="s">
        <v>1878</v>
      </c>
      <c r="B441" s="2200" t="s">
        <v>2740</v>
      </c>
      <c r="C441" s="2200" t="s">
        <v>2741</v>
      </c>
      <c r="D441" s="2200" t="str">
        <f t="shared" si="24"/>
        <v>LA</v>
      </c>
      <c r="E441" s="2200">
        <f t="shared" si="25"/>
        <v>13</v>
      </c>
      <c r="F441" s="2200" t="str">
        <f t="shared" si="26"/>
        <v>22</v>
      </c>
      <c r="G441" s="2200" t="str">
        <f t="shared" si="27"/>
        <v>29340</v>
      </c>
      <c r="H441" s="2200">
        <f>--SUBTOTAL(3,C$2:C441)</f>
        <v>40</v>
      </c>
    </row>
    <row r="442" spans="1:8" hidden="1" x14ac:dyDescent="0.15">
      <c r="A442" s="2200" t="s">
        <v>1902</v>
      </c>
      <c r="B442" s="2200" t="s">
        <v>2742</v>
      </c>
      <c r="C442" s="2200" t="s">
        <v>2743</v>
      </c>
      <c r="D442" s="2200" t="str">
        <f t="shared" si="24"/>
        <v>LA</v>
      </c>
      <c r="E442" s="2200">
        <f t="shared" si="25"/>
        <v>22</v>
      </c>
      <c r="F442" s="2200" t="str">
        <f t="shared" si="26"/>
        <v>22</v>
      </c>
      <c r="G442" s="2200" t="str">
        <f t="shared" si="27"/>
        <v>32400</v>
      </c>
      <c r="H442" s="2200">
        <f>--SUBTOTAL(3,C$2:C442)</f>
        <v>40</v>
      </c>
    </row>
    <row r="443" spans="1:8" hidden="1" x14ac:dyDescent="0.15">
      <c r="A443" s="2200" t="s">
        <v>1878</v>
      </c>
      <c r="B443" s="2200" t="s">
        <v>2744</v>
      </c>
      <c r="C443" s="2200" t="s">
        <v>2745</v>
      </c>
      <c r="D443" s="2200" t="str">
        <f t="shared" si="24"/>
        <v>LA</v>
      </c>
      <c r="E443" s="2200">
        <f t="shared" si="25"/>
        <v>7</v>
      </c>
      <c r="F443" s="2200" t="str">
        <f t="shared" si="26"/>
        <v>22</v>
      </c>
      <c r="G443" s="2200" t="str">
        <f t="shared" si="27"/>
        <v>33740</v>
      </c>
      <c r="H443" s="2200">
        <f>--SUBTOTAL(3,C$2:C443)</f>
        <v>40</v>
      </c>
    </row>
    <row r="444" spans="1:8" hidden="1" x14ac:dyDescent="0.15">
      <c r="A444" s="2200" t="s">
        <v>1902</v>
      </c>
      <c r="B444" s="2200" t="s">
        <v>2746</v>
      </c>
      <c r="C444" s="2200" t="s">
        <v>2747</v>
      </c>
      <c r="D444" s="2200" t="str">
        <f t="shared" si="24"/>
        <v>LA</v>
      </c>
      <c r="E444" s="2200">
        <f t="shared" si="25"/>
        <v>22</v>
      </c>
      <c r="F444" s="2200" t="str">
        <f t="shared" si="26"/>
        <v>22</v>
      </c>
      <c r="G444" s="2200" t="str">
        <f t="shared" si="27"/>
        <v>38400</v>
      </c>
      <c r="H444" s="2200">
        <f>--SUBTOTAL(3,C$2:C444)</f>
        <v>40</v>
      </c>
    </row>
    <row r="445" spans="1:8" hidden="1" x14ac:dyDescent="0.15">
      <c r="A445" s="2200" t="s">
        <v>1884</v>
      </c>
      <c r="B445" s="2200" t="s">
        <v>2748</v>
      </c>
      <c r="C445" s="2200" t="s">
        <v>2749</v>
      </c>
      <c r="D445" s="2200" t="str">
        <f t="shared" si="24"/>
        <v>LA</v>
      </c>
      <c r="E445" s="2200">
        <f t="shared" si="25"/>
        <v>12</v>
      </c>
      <c r="F445" s="2200" t="str">
        <f t="shared" si="26"/>
        <v>22</v>
      </c>
      <c r="G445" s="2200" t="str">
        <f t="shared" si="27"/>
        <v>34020</v>
      </c>
      <c r="H445" s="2200">
        <f>--SUBTOTAL(3,C$2:C445)</f>
        <v>40</v>
      </c>
    </row>
    <row r="446" spans="1:8" hidden="1" x14ac:dyDescent="0.15">
      <c r="A446" s="2200" t="s">
        <v>1884</v>
      </c>
      <c r="B446" s="2200" t="s">
        <v>2750</v>
      </c>
      <c r="C446" s="2200" t="s">
        <v>2751</v>
      </c>
      <c r="D446" s="2200" t="str">
        <f t="shared" si="24"/>
        <v>LA</v>
      </c>
      <c r="E446" s="2200">
        <f t="shared" si="25"/>
        <v>13</v>
      </c>
      <c r="F446" s="2200" t="str">
        <f t="shared" si="26"/>
        <v>22</v>
      </c>
      <c r="G446" s="2200" t="str">
        <f t="shared" si="27"/>
        <v>35060</v>
      </c>
      <c r="H446" s="2200">
        <f>--SUBTOTAL(3,C$2:C446)</f>
        <v>40</v>
      </c>
    </row>
    <row r="447" spans="1:8" hidden="1" x14ac:dyDescent="0.15">
      <c r="A447" s="2200" t="s">
        <v>1878</v>
      </c>
      <c r="B447" s="2200" t="s">
        <v>2752</v>
      </c>
      <c r="C447" s="2200" t="s">
        <v>2753</v>
      </c>
      <c r="D447" s="2200" t="str">
        <f t="shared" si="24"/>
        <v>LA</v>
      </c>
      <c r="E447" s="2200">
        <f t="shared" si="25"/>
        <v>21</v>
      </c>
      <c r="F447" s="2200" t="str">
        <f t="shared" si="26"/>
        <v>22</v>
      </c>
      <c r="G447" s="2200" t="str">
        <f t="shared" si="27"/>
        <v>35380</v>
      </c>
      <c r="H447" s="2200">
        <f>--SUBTOTAL(3,C$2:C447)</f>
        <v>40</v>
      </c>
    </row>
    <row r="448" spans="1:8" hidden="1" x14ac:dyDescent="0.15">
      <c r="A448" s="2200" t="s">
        <v>1902</v>
      </c>
      <c r="B448" s="2200" t="s">
        <v>2754</v>
      </c>
      <c r="C448" s="2200" t="s">
        <v>2755</v>
      </c>
      <c r="D448" s="2200" t="str">
        <f t="shared" si="24"/>
        <v>LA</v>
      </c>
      <c r="E448" s="2200">
        <f t="shared" si="25"/>
        <v>29</v>
      </c>
      <c r="F448" s="2200" t="str">
        <f t="shared" si="26"/>
        <v>22</v>
      </c>
      <c r="G448" s="2200" t="str">
        <f t="shared" si="27"/>
        <v>40600</v>
      </c>
      <c r="H448" s="2200">
        <f>--SUBTOTAL(3,C$2:C448)</f>
        <v>40</v>
      </c>
    </row>
    <row r="449" spans="1:8" hidden="1" x14ac:dyDescent="0.15">
      <c r="A449" s="2200" t="s">
        <v>1884</v>
      </c>
      <c r="B449" s="2200" t="s">
        <v>2756</v>
      </c>
      <c r="C449" s="2200" t="s">
        <v>2757</v>
      </c>
      <c r="D449" s="2200" t="str">
        <f t="shared" si="24"/>
        <v>LA</v>
      </c>
      <c r="E449" s="2200">
        <f t="shared" si="25"/>
        <v>10</v>
      </c>
      <c r="F449" s="2200" t="str">
        <f t="shared" si="26"/>
        <v>22</v>
      </c>
      <c r="G449" s="2200" t="str">
        <f t="shared" si="27"/>
        <v>36660</v>
      </c>
      <c r="H449" s="2200">
        <f>--SUBTOTAL(3,C$2:C449)</f>
        <v>40</v>
      </c>
    </row>
    <row r="450" spans="1:8" hidden="1" x14ac:dyDescent="0.15">
      <c r="A450" s="2200" t="s">
        <v>1884</v>
      </c>
      <c r="B450" s="2200" t="s">
        <v>2758</v>
      </c>
      <c r="C450" s="2200" t="s">
        <v>2759</v>
      </c>
      <c r="D450" s="2200" t="str">
        <f t="shared" si="24"/>
        <v>LA</v>
      </c>
      <c r="E450" s="2200">
        <f t="shared" si="25"/>
        <v>7</v>
      </c>
      <c r="F450" s="2200" t="str">
        <f t="shared" si="26"/>
        <v>22</v>
      </c>
      <c r="G450" s="2200" t="str">
        <f t="shared" si="27"/>
        <v>40820</v>
      </c>
      <c r="H450" s="2200">
        <f>--SUBTOTAL(3,C$2:C450)</f>
        <v>40</v>
      </c>
    </row>
    <row r="451" spans="1:8" hidden="1" x14ac:dyDescent="0.15">
      <c r="A451" s="2200" t="s">
        <v>1878</v>
      </c>
      <c r="B451" s="2200" t="s">
        <v>2760</v>
      </c>
      <c r="C451" s="2200" t="s">
        <v>2761</v>
      </c>
      <c r="D451" s="2200" t="str">
        <f t="shared" si="24"/>
        <v>LA</v>
      </c>
      <c r="E451" s="2200">
        <f t="shared" si="25"/>
        <v>24</v>
      </c>
      <c r="F451" s="2200" t="str">
        <f t="shared" si="26"/>
        <v>22</v>
      </c>
      <c r="G451" s="2200" t="str">
        <f t="shared" si="27"/>
        <v>43340</v>
      </c>
      <c r="H451" s="2200">
        <f>--SUBTOTAL(3,C$2:C451)</f>
        <v>40</v>
      </c>
    </row>
    <row r="452" spans="1:8" hidden="1" x14ac:dyDescent="0.15">
      <c r="A452" s="2200" t="s">
        <v>1884</v>
      </c>
      <c r="B452" s="2200" t="s">
        <v>2762</v>
      </c>
      <c r="C452" s="2200" t="s">
        <v>2763</v>
      </c>
      <c r="D452" s="2200" t="str">
        <f t="shared" si="24"/>
        <v>MA</v>
      </c>
      <c r="E452" s="2200">
        <f t="shared" si="25"/>
        <v>6</v>
      </c>
      <c r="F452" s="2200" t="str">
        <f t="shared" si="26"/>
        <v>25</v>
      </c>
      <c r="G452" s="2200" t="str">
        <f t="shared" si="27"/>
        <v>70450</v>
      </c>
      <c r="H452" s="2200">
        <f>--SUBTOTAL(3,C$2:C452)</f>
        <v>40</v>
      </c>
    </row>
    <row r="453" spans="1:8" hidden="1" x14ac:dyDescent="0.15">
      <c r="A453" s="2200" t="s">
        <v>1878</v>
      </c>
      <c r="B453" s="2200" t="s">
        <v>2765</v>
      </c>
      <c r="C453" s="2200" t="s">
        <v>2766</v>
      </c>
      <c r="D453" s="2200" t="str">
        <f t="shared" si="24"/>
        <v>MA</v>
      </c>
      <c r="E453" s="2200">
        <f t="shared" si="25"/>
        <v>16</v>
      </c>
      <c r="F453" s="2200" t="str">
        <f t="shared" si="26"/>
        <v>25</v>
      </c>
      <c r="G453" s="2200" t="str">
        <f t="shared" si="27"/>
        <v>70900</v>
      </c>
      <c r="H453" s="2200">
        <f>--SUBTOTAL(3,C$2:C453)</f>
        <v>40</v>
      </c>
    </row>
    <row r="454" spans="1:8" hidden="1" x14ac:dyDescent="0.15">
      <c r="A454" s="2200" t="s">
        <v>1878</v>
      </c>
      <c r="B454" s="2200" t="s">
        <v>2767</v>
      </c>
      <c r="C454" s="2200" t="s">
        <v>2768</v>
      </c>
      <c r="D454" s="2200" t="str">
        <f t="shared" si="24"/>
        <v>MA</v>
      </c>
      <c r="E454" s="2200">
        <f t="shared" si="25"/>
        <v>24</v>
      </c>
      <c r="F454" s="2200" t="str">
        <f t="shared" si="26"/>
        <v>25</v>
      </c>
      <c r="G454" s="2200" t="str">
        <f t="shared" si="27"/>
        <v>71650</v>
      </c>
      <c r="H454" s="2200">
        <f>--SUBTOTAL(3,C$2:C454)</f>
        <v>40</v>
      </c>
    </row>
    <row r="455" spans="1:8" hidden="1" x14ac:dyDescent="0.15">
      <c r="A455" s="2200" t="s">
        <v>2023</v>
      </c>
      <c r="B455" s="2200" t="s">
        <v>2769</v>
      </c>
      <c r="C455" s="2200" t="s">
        <v>2770</v>
      </c>
      <c r="D455" s="2200" t="str">
        <f t="shared" si="24"/>
        <v>MA</v>
      </c>
      <c r="E455" s="2200">
        <f t="shared" si="25"/>
        <v>24</v>
      </c>
      <c r="F455" s="2200" t="str">
        <f t="shared" si="26"/>
        <v>25</v>
      </c>
      <c r="G455" s="2200" t="str">
        <f t="shared" si="27"/>
        <v>71654</v>
      </c>
      <c r="H455" s="2200">
        <f>--SUBTOTAL(3,C$2:C455)</f>
        <v>40</v>
      </c>
    </row>
    <row r="456" spans="1:8" hidden="1" x14ac:dyDescent="0.15">
      <c r="A456" s="2200" t="s">
        <v>1902</v>
      </c>
      <c r="B456" s="2200" t="s">
        <v>2771</v>
      </c>
      <c r="C456" s="2200" t="s">
        <v>2772</v>
      </c>
      <c r="D456" s="2200" t="str">
        <f t="shared" si="24"/>
        <v>MA</v>
      </c>
      <c r="E456" s="2200">
        <f t="shared" si="25"/>
        <v>28</v>
      </c>
      <c r="F456" s="2200" t="str">
        <f t="shared" si="26"/>
        <v>25</v>
      </c>
      <c r="G456" s="2200" t="str">
        <f t="shared" si="27"/>
        <v>71500</v>
      </c>
      <c r="H456" s="2200">
        <f>--SUBTOTAL(3,C$2:C456)</f>
        <v>40</v>
      </c>
    </row>
    <row r="457" spans="1:8" hidden="1" x14ac:dyDescent="0.15">
      <c r="A457" s="2200" t="s">
        <v>2023</v>
      </c>
      <c r="B457" s="2200" t="s">
        <v>2773</v>
      </c>
      <c r="C457" s="2200" t="s">
        <v>2774</v>
      </c>
      <c r="D457" s="2200" t="str">
        <f t="shared" si="24"/>
        <v>MA</v>
      </c>
      <c r="E457" s="2200">
        <f t="shared" si="25"/>
        <v>28</v>
      </c>
      <c r="F457" s="2200" t="str">
        <f t="shared" si="26"/>
        <v>25</v>
      </c>
      <c r="G457" s="2200" t="str">
        <f t="shared" si="27"/>
        <v>72104</v>
      </c>
      <c r="H457" s="2200">
        <f>--SUBTOTAL(3,C$2:C457)</f>
        <v>40</v>
      </c>
    </row>
    <row r="458" spans="1:8" hidden="1" x14ac:dyDescent="0.15">
      <c r="A458" s="2200" t="s">
        <v>2023</v>
      </c>
      <c r="B458" s="2200" t="s">
        <v>2775</v>
      </c>
      <c r="C458" s="2200" t="s">
        <v>2776</v>
      </c>
      <c r="D458" s="2200" t="str">
        <f t="shared" si="24"/>
        <v>MA</v>
      </c>
      <c r="E458" s="2200">
        <f t="shared" si="25"/>
        <v>11</v>
      </c>
      <c r="F458" s="2200" t="str">
        <f t="shared" si="26"/>
        <v>25</v>
      </c>
      <c r="G458" s="2200" t="str">
        <f t="shared" si="27"/>
        <v>73104</v>
      </c>
      <c r="H458" s="2200">
        <f>--SUBTOTAL(3,C$2:C458)</f>
        <v>40</v>
      </c>
    </row>
    <row r="459" spans="1:8" hidden="1" x14ac:dyDescent="0.15">
      <c r="A459" s="2200" t="s">
        <v>1884</v>
      </c>
      <c r="B459" s="2200" t="s">
        <v>2777</v>
      </c>
      <c r="C459" s="2200" t="s">
        <v>2778</v>
      </c>
      <c r="D459" s="2200" t="str">
        <f t="shared" si="24"/>
        <v>MA</v>
      </c>
      <c r="E459" s="2200">
        <f t="shared" si="25"/>
        <v>16</v>
      </c>
      <c r="F459" s="2200" t="str">
        <f t="shared" si="26"/>
        <v>25</v>
      </c>
      <c r="G459" s="2200" t="str">
        <f t="shared" si="27"/>
        <v>73300</v>
      </c>
      <c r="H459" s="2200">
        <f>--SUBTOTAL(3,C$2:C459)</f>
        <v>40</v>
      </c>
    </row>
    <row r="460" spans="1:8" hidden="1" x14ac:dyDescent="0.15">
      <c r="A460" s="2200" t="s">
        <v>2023</v>
      </c>
      <c r="B460" s="2200" t="s">
        <v>2779</v>
      </c>
      <c r="C460" s="2200" t="s">
        <v>2780</v>
      </c>
      <c r="D460" s="2200" t="str">
        <f t="shared" si="24"/>
        <v>MA</v>
      </c>
      <c r="E460" s="2200">
        <f t="shared" si="25"/>
        <v>36</v>
      </c>
      <c r="F460" s="2200" t="str">
        <f t="shared" si="26"/>
        <v>25</v>
      </c>
      <c r="G460" s="2200" t="str">
        <f t="shared" si="27"/>
        <v>73604</v>
      </c>
      <c r="H460" s="2200">
        <f>--SUBTOTAL(3,C$2:C460)</f>
        <v>40</v>
      </c>
    </row>
    <row r="461" spans="1:8" hidden="1" x14ac:dyDescent="0.15">
      <c r="A461" s="2200" t="s">
        <v>2023</v>
      </c>
      <c r="B461" s="2200" t="s">
        <v>2781</v>
      </c>
      <c r="C461" s="2200" t="s">
        <v>2782</v>
      </c>
      <c r="D461" s="2200" t="str">
        <f t="shared" si="24"/>
        <v>MA</v>
      </c>
      <c r="E461" s="2200">
        <f t="shared" si="25"/>
        <v>28</v>
      </c>
      <c r="F461" s="2200" t="str">
        <f t="shared" si="26"/>
        <v>25</v>
      </c>
      <c r="G461" s="2200" t="str">
        <f t="shared" si="27"/>
        <v>74204</v>
      </c>
      <c r="H461" s="2200">
        <f>--SUBTOTAL(3,C$2:C461)</f>
        <v>40</v>
      </c>
    </row>
    <row r="462" spans="1:8" hidden="1" x14ac:dyDescent="0.15">
      <c r="A462" s="2200" t="s">
        <v>1878</v>
      </c>
      <c r="B462" s="2200" t="s">
        <v>2783</v>
      </c>
      <c r="C462" s="2200" t="s">
        <v>2784</v>
      </c>
      <c r="D462" s="2200" t="str">
        <f t="shared" si="24"/>
        <v>MA</v>
      </c>
      <c r="E462" s="2200">
        <f t="shared" si="25"/>
        <v>19</v>
      </c>
      <c r="F462" s="2200" t="str">
        <f t="shared" si="26"/>
        <v>25</v>
      </c>
      <c r="G462" s="2200" t="str">
        <f t="shared" si="27"/>
        <v>74500</v>
      </c>
      <c r="H462" s="2200">
        <f>--SUBTOTAL(3,C$2:C462)</f>
        <v>40</v>
      </c>
    </row>
    <row r="463" spans="1:8" hidden="1" x14ac:dyDescent="0.15">
      <c r="A463" s="2200" t="s">
        <v>2023</v>
      </c>
      <c r="B463" s="2200" t="s">
        <v>2785</v>
      </c>
      <c r="C463" s="2200" t="s">
        <v>2786</v>
      </c>
      <c r="D463" s="2200" t="str">
        <f t="shared" si="24"/>
        <v>MA</v>
      </c>
      <c r="E463" s="2200">
        <f t="shared" si="25"/>
        <v>28</v>
      </c>
      <c r="F463" s="2200" t="str">
        <f t="shared" si="26"/>
        <v>25</v>
      </c>
      <c r="G463" s="2200" t="str">
        <f t="shared" si="27"/>
        <v>74804</v>
      </c>
      <c r="H463" s="2200">
        <f>--SUBTOTAL(3,C$2:C463)</f>
        <v>40</v>
      </c>
    </row>
    <row r="464" spans="1:8" hidden="1" x14ac:dyDescent="0.15">
      <c r="A464" s="2200" t="s">
        <v>2023</v>
      </c>
      <c r="B464" s="2200" t="s">
        <v>2787</v>
      </c>
      <c r="C464" s="2200" t="s">
        <v>2788</v>
      </c>
      <c r="D464" s="2200" t="str">
        <f t="shared" si="24"/>
        <v>MA</v>
      </c>
      <c r="E464" s="2200">
        <f t="shared" si="25"/>
        <v>23</v>
      </c>
      <c r="F464" s="2200" t="str">
        <f t="shared" si="26"/>
        <v>25</v>
      </c>
      <c r="G464" s="2200" t="str">
        <f t="shared" si="27"/>
        <v>74854</v>
      </c>
      <c r="H464" s="2200">
        <f>--SUBTOTAL(3,C$2:C464)</f>
        <v>40</v>
      </c>
    </row>
    <row r="465" spans="1:8" hidden="1" x14ac:dyDescent="0.15">
      <c r="A465" s="2200" t="s">
        <v>1878</v>
      </c>
      <c r="B465" s="2200" t="s">
        <v>2789</v>
      </c>
      <c r="C465" s="2200" t="s">
        <v>2790</v>
      </c>
      <c r="D465" s="2200" t="str">
        <f t="shared" si="24"/>
        <v>MA</v>
      </c>
      <c r="E465" s="2200">
        <f t="shared" si="25"/>
        <v>12</v>
      </c>
      <c r="F465" s="2200" t="str">
        <f t="shared" si="26"/>
        <v>25</v>
      </c>
      <c r="G465" s="2200" t="str">
        <f t="shared" si="27"/>
        <v>75550</v>
      </c>
      <c r="H465" s="2200">
        <f>--SUBTOTAL(3,C$2:C465)</f>
        <v>40</v>
      </c>
    </row>
    <row r="466" spans="1:8" hidden="1" x14ac:dyDescent="0.15">
      <c r="A466" s="2200" t="s">
        <v>1884</v>
      </c>
      <c r="B466" s="2200" t="s">
        <v>2791</v>
      </c>
      <c r="C466" s="2200" t="s">
        <v>2792</v>
      </c>
      <c r="D466" s="2200" t="str">
        <f t="shared" si="24"/>
        <v>MA</v>
      </c>
      <c r="E466" s="2200">
        <f t="shared" si="25"/>
        <v>12</v>
      </c>
      <c r="F466" s="2200" t="str">
        <f t="shared" si="26"/>
        <v>25</v>
      </c>
      <c r="G466" s="2200" t="str">
        <f t="shared" si="27"/>
        <v>76150</v>
      </c>
      <c r="H466" s="2200">
        <f>--SUBTOTAL(3,C$2:C466)</f>
        <v>40</v>
      </c>
    </row>
    <row r="467" spans="1:8" hidden="1" x14ac:dyDescent="0.15">
      <c r="A467" s="2200" t="s">
        <v>2023</v>
      </c>
      <c r="B467" s="2200" t="s">
        <v>2793</v>
      </c>
      <c r="C467" s="2200" t="s">
        <v>2794</v>
      </c>
      <c r="D467" s="2200" t="str">
        <f t="shared" si="24"/>
        <v>MA</v>
      </c>
      <c r="E467" s="2200">
        <f t="shared" si="25"/>
        <v>22</v>
      </c>
      <c r="F467" s="2200" t="str">
        <f t="shared" si="26"/>
        <v>25</v>
      </c>
      <c r="G467" s="2200" t="str">
        <f t="shared" si="27"/>
        <v>76524</v>
      </c>
      <c r="H467" s="2200">
        <f>--SUBTOTAL(3,C$2:C467)</f>
        <v>40</v>
      </c>
    </row>
    <row r="468" spans="1:8" hidden="1" x14ac:dyDescent="0.15">
      <c r="A468" s="2200" t="s">
        <v>1878</v>
      </c>
      <c r="B468" s="2200" t="s">
        <v>2795</v>
      </c>
      <c r="C468" s="2200" t="s">
        <v>2796</v>
      </c>
      <c r="D468" s="2200" t="str">
        <f t="shared" si="24"/>
        <v>MA</v>
      </c>
      <c r="E468" s="2200">
        <f t="shared" si="25"/>
        <v>11</v>
      </c>
      <c r="F468" s="2200" t="str">
        <f t="shared" si="26"/>
        <v>25</v>
      </c>
      <c r="G468" s="2200" t="str">
        <f t="shared" si="27"/>
        <v>76600</v>
      </c>
      <c r="H468" s="2200">
        <f>--SUBTOTAL(3,C$2:C468)</f>
        <v>40</v>
      </c>
    </row>
    <row r="469" spans="1:8" hidden="1" x14ac:dyDescent="0.15">
      <c r="A469" s="2200" t="s">
        <v>1902</v>
      </c>
      <c r="B469" s="2200" t="s">
        <v>2797</v>
      </c>
      <c r="C469" s="2200" t="s">
        <v>2798</v>
      </c>
      <c r="D469" s="2200" t="str">
        <f t="shared" si="24"/>
        <v>MA</v>
      </c>
      <c r="E469" s="2200">
        <f t="shared" si="25"/>
        <v>23</v>
      </c>
      <c r="F469" s="2200" t="str">
        <f t="shared" si="26"/>
        <v>25</v>
      </c>
      <c r="G469" s="2200" t="str">
        <f t="shared" si="27"/>
        <v>77000</v>
      </c>
      <c r="H469" s="2200">
        <f>--SUBTOTAL(3,C$2:C469)</f>
        <v>40</v>
      </c>
    </row>
    <row r="470" spans="1:8" hidden="1" x14ac:dyDescent="0.15">
      <c r="A470" s="2200" t="s">
        <v>1878</v>
      </c>
      <c r="B470" s="2200" t="s">
        <v>2799</v>
      </c>
      <c r="C470" s="2200" t="s">
        <v>2800</v>
      </c>
      <c r="D470" s="2200" t="str">
        <f t="shared" ref="D470:D537" si="28">MID(C470,E470+2,2)</f>
        <v>MA</v>
      </c>
      <c r="E470" s="2200">
        <f t="shared" ref="E470:E537" si="29">FIND(",",C470)</f>
        <v>12</v>
      </c>
      <c r="F470" s="2200" t="str">
        <f t="shared" ref="F470:F537" si="30">MID(B470,3,2)</f>
        <v>25</v>
      </c>
      <c r="G470" s="2200" t="str">
        <f t="shared" ref="G470:G537" si="31">MID(B470,5,5)</f>
        <v>78100</v>
      </c>
      <c r="H470" s="2200">
        <f>--SUBTOTAL(3,C$2:C470)</f>
        <v>40</v>
      </c>
    </row>
    <row r="471" spans="1:8" hidden="1" x14ac:dyDescent="0.15">
      <c r="A471" s="2200" t="s">
        <v>1902</v>
      </c>
      <c r="B471" s="2200" t="s">
        <v>2801</v>
      </c>
      <c r="C471" s="2200" t="s">
        <v>2802</v>
      </c>
      <c r="D471" s="2200" t="str">
        <f t="shared" si="28"/>
        <v>MA</v>
      </c>
      <c r="E471" s="2200">
        <f t="shared" si="29"/>
        <v>35</v>
      </c>
      <c r="F471" s="2200" t="str">
        <f t="shared" si="30"/>
        <v>09</v>
      </c>
      <c r="G471" s="2200" t="str">
        <f t="shared" si="31"/>
        <v>79000</v>
      </c>
      <c r="H471" s="2200">
        <f>--SUBTOTAL(3,C$2:C471)</f>
        <v>40</v>
      </c>
    </row>
    <row r="472" spans="1:8" hidden="1" x14ac:dyDescent="0.15">
      <c r="A472" s="2200" t="s">
        <v>2023</v>
      </c>
      <c r="B472" s="2200" t="s">
        <v>2803</v>
      </c>
      <c r="C472" s="2200" t="s">
        <v>2804</v>
      </c>
      <c r="D472" s="2200" t="str">
        <f t="shared" si="28"/>
        <v>MA</v>
      </c>
      <c r="E472" s="2200">
        <f t="shared" si="29"/>
        <v>29</v>
      </c>
      <c r="F472" s="2200" t="str">
        <f t="shared" si="30"/>
        <v>25</v>
      </c>
      <c r="G472" s="2200" t="str">
        <f t="shared" si="31"/>
        <v>78254</v>
      </c>
      <c r="H472" s="2200">
        <f>--SUBTOTAL(3,C$2:C472)</f>
        <v>40</v>
      </c>
    </row>
    <row r="473" spans="1:8" hidden="1" x14ac:dyDescent="0.15">
      <c r="A473" s="2200" t="s">
        <v>1884</v>
      </c>
      <c r="B473" s="2200" t="s">
        <v>2805</v>
      </c>
      <c r="C473" s="2200" t="s">
        <v>2806</v>
      </c>
      <c r="D473" s="2200" t="str">
        <f t="shared" si="28"/>
        <v>MA</v>
      </c>
      <c r="E473" s="2200">
        <f t="shared" si="29"/>
        <v>15</v>
      </c>
      <c r="F473" s="2200" t="str">
        <f t="shared" si="30"/>
        <v>25</v>
      </c>
      <c r="G473" s="2200" t="str">
        <f t="shared" si="31"/>
        <v>78500</v>
      </c>
      <c r="H473" s="2200">
        <f>--SUBTOTAL(3,C$2:C473)</f>
        <v>40</v>
      </c>
    </row>
    <row r="474" spans="1:8" hidden="1" x14ac:dyDescent="0.15">
      <c r="A474" s="2200" t="s">
        <v>1878</v>
      </c>
      <c r="B474" s="2200" t="s">
        <v>2807</v>
      </c>
      <c r="C474" s="2200" t="s">
        <v>2808</v>
      </c>
      <c r="D474" s="2200" t="str">
        <f t="shared" si="28"/>
        <v>MA</v>
      </c>
      <c r="E474" s="2200">
        <f t="shared" si="29"/>
        <v>10</v>
      </c>
      <c r="F474" s="2200" t="str">
        <f t="shared" si="30"/>
        <v>25</v>
      </c>
      <c r="G474" s="2200" t="str">
        <f t="shared" si="31"/>
        <v>79600</v>
      </c>
      <c r="H474" s="2200">
        <f>--SUBTOTAL(3,C$2:C474)</f>
        <v>40</v>
      </c>
    </row>
    <row r="475" spans="1:8" hidden="1" x14ac:dyDescent="0.15">
      <c r="A475" s="2200" t="s">
        <v>1878</v>
      </c>
      <c r="B475" s="2200" t="s">
        <v>2809</v>
      </c>
      <c r="C475" s="2200" t="s">
        <v>2810</v>
      </c>
      <c r="D475" s="2200" t="str">
        <f t="shared" si="28"/>
        <v>MD</v>
      </c>
      <c r="E475" s="2200">
        <f t="shared" si="29"/>
        <v>26</v>
      </c>
      <c r="F475" s="2200" t="str">
        <f t="shared" si="30"/>
        <v>24</v>
      </c>
      <c r="G475" s="2200" t="str">
        <f t="shared" si="31"/>
        <v>12580</v>
      </c>
      <c r="H475" s="2200">
        <f>--SUBTOTAL(3,C$2:C475)</f>
        <v>40</v>
      </c>
    </row>
    <row r="476" spans="1:8" hidden="1" x14ac:dyDescent="0.15">
      <c r="A476" s="2200" t="s">
        <v>1878</v>
      </c>
      <c r="B476" s="2200" t="s">
        <v>2812</v>
      </c>
      <c r="C476" s="2200" t="s">
        <v>2813</v>
      </c>
      <c r="D476" s="2200" t="str">
        <f t="shared" si="28"/>
        <v>MD</v>
      </c>
      <c r="E476" s="2200">
        <f t="shared" si="29"/>
        <v>26</v>
      </c>
      <c r="F476" s="2200" t="str">
        <f t="shared" si="30"/>
        <v>24</v>
      </c>
      <c r="G476" s="2200" t="str">
        <f t="shared" si="31"/>
        <v>15680</v>
      </c>
      <c r="H476" s="2200">
        <f>--SUBTOTAL(3,C$2:C476)</f>
        <v>40</v>
      </c>
    </row>
    <row r="477" spans="1:8" hidden="1" x14ac:dyDescent="0.15">
      <c r="A477" s="2200" t="s">
        <v>1884</v>
      </c>
      <c r="B477" s="2200" t="s">
        <v>2814</v>
      </c>
      <c r="C477" s="2200" t="s">
        <v>2815</v>
      </c>
      <c r="D477" s="2200" t="str">
        <f t="shared" si="28"/>
        <v>MD</v>
      </c>
      <c r="E477" s="2200">
        <f t="shared" si="29"/>
        <v>10</v>
      </c>
      <c r="F477" s="2200" t="str">
        <f t="shared" si="30"/>
        <v>24</v>
      </c>
      <c r="G477" s="2200" t="str">
        <f t="shared" si="31"/>
        <v>15700</v>
      </c>
      <c r="H477" s="2200">
        <f>--SUBTOTAL(3,C$2:C477)</f>
        <v>40</v>
      </c>
    </row>
    <row r="478" spans="1:8" hidden="1" x14ac:dyDescent="0.15">
      <c r="A478" s="2200" t="s">
        <v>1878</v>
      </c>
      <c r="B478" s="2200" t="s">
        <v>2816</v>
      </c>
      <c r="C478" s="2200" t="s">
        <v>2817</v>
      </c>
      <c r="D478" s="2200" t="str">
        <f t="shared" si="28"/>
        <v>MD</v>
      </c>
      <c r="E478" s="2200">
        <f t="shared" si="29"/>
        <v>11</v>
      </c>
      <c r="F478" s="2200" t="str">
        <f t="shared" si="30"/>
        <v>24</v>
      </c>
      <c r="G478" s="2200" t="str">
        <f t="shared" si="31"/>
        <v>19060</v>
      </c>
      <c r="H478" s="2200">
        <f>--SUBTOTAL(3,C$2:C478)</f>
        <v>40</v>
      </c>
    </row>
    <row r="479" spans="1:8" hidden="1" x14ac:dyDescent="0.15">
      <c r="A479" s="2200" t="s">
        <v>1884</v>
      </c>
      <c r="B479" s="2200" t="s">
        <v>2818</v>
      </c>
      <c r="C479" s="2200" t="s">
        <v>2819</v>
      </c>
      <c r="D479" s="2200" t="str">
        <f t="shared" si="28"/>
        <v>MD</v>
      </c>
      <c r="E479" s="2200">
        <f t="shared" si="29"/>
        <v>7</v>
      </c>
      <c r="F479" s="2200" t="str">
        <f t="shared" si="30"/>
        <v>24</v>
      </c>
      <c r="G479" s="2200" t="str">
        <f t="shared" si="31"/>
        <v>20660</v>
      </c>
      <c r="H479" s="2200">
        <f>--SUBTOTAL(3,C$2:C479)</f>
        <v>40</v>
      </c>
    </row>
    <row r="480" spans="1:8" hidden="1" x14ac:dyDescent="0.15">
      <c r="A480" s="2200" t="s">
        <v>1878</v>
      </c>
      <c r="B480" s="2200" t="s">
        <v>2820</v>
      </c>
      <c r="C480" s="2200" t="s">
        <v>2821</v>
      </c>
      <c r="D480" s="2200" t="str">
        <f t="shared" si="28"/>
        <v>MD</v>
      </c>
      <c r="E480" s="2200">
        <f t="shared" si="29"/>
        <v>23</v>
      </c>
      <c r="F480" s="2200" t="str">
        <f t="shared" si="30"/>
        <v>24</v>
      </c>
      <c r="G480" s="2200" t="str">
        <f t="shared" si="31"/>
        <v>25180</v>
      </c>
      <c r="H480" s="2200">
        <f>--SUBTOTAL(3,C$2:C480)</f>
        <v>40</v>
      </c>
    </row>
    <row r="481" spans="1:8" hidden="1" x14ac:dyDescent="0.15">
      <c r="A481" s="2200" t="s">
        <v>1878</v>
      </c>
      <c r="B481" s="2200" t="s">
        <v>2822</v>
      </c>
      <c r="C481" s="2200" t="s">
        <v>2823</v>
      </c>
      <c r="D481" s="2200" t="str">
        <f t="shared" si="28"/>
        <v>MD</v>
      </c>
      <c r="E481" s="2200">
        <f t="shared" si="29"/>
        <v>10</v>
      </c>
      <c r="F481" s="2200" t="str">
        <f t="shared" si="30"/>
        <v>10</v>
      </c>
      <c r="G481" s="2200" t="str">
        <f t="shared" si="31"/>
        <v>41540</v>
      </c>
      <c r="H481" s="2200">
        <f>--SUBTOTAL(3,C$2:C481)</f>
        <v>40</v>
      </c>
    </row>
    <row r="482" spans="1:8" hidden="1" x14ac:dyDescent="0.15">
      <c r="A482" s="2200" t="s">
        <v>2023</v>
      </c>
      <c r="B482" s="2200" t="s">
        <v>2824</v>
      </c>
      <c r="C482" s="2200" t="s">
        <v>2825</v>
      </c>
      <c r="D482" s="2200" t="str">
        <f t="shared" si="28"/>
        <v>MD</v>
      </c>
      <c r="E482" s="2200">
        <f t="shared" si="29"/>
        <v>34</v>
      </c>
      <c r="F482" s="2200" t="str">
        <f t="shared" si="30"/>
        <v>24</v>
      </c>
      <c r="G482" s="2200" t="str">
        <f t="shared" si="31"/>
        <v>43524</v>
      </c>
      <c r="H482" s="2200">
        <f>--SUBTOTAL(3,C$2:C482)</f>
        <v>40</v>
      </c>
    </row>
    <row r="483" spans="1:8" hidden="1" x14ac:dyDescent="0.15">
      <c r="A483" s="2200" t="s">
        <v>1878</v>
      </c>
      <c r="B483" s="2200" t="s">
        <v>2180</v>
      </c>
      <c r="C483" s="2200" t="s">
        <v>17851</v>
      </c>
      <c r="D483" s="2200" t="str">
        <f t="shared" si="28"/>
        <v>MD</v>
      </c>
      <c r="E483" s="2200">
        <f t="shared" si="29"/>
        <v>32</v>
      </c>
      <c r="F483" s="2200" t="str">
        <f t="shared" si="30"/>
        <v>11</v>
      </c>
      <c r="G483" s="2200" t="str">
        <f t="shared" si="31"/>
        <v>47900</v>
      </c>
      <c r="H483" s="2200">
        <f>--SUBTOTAL(3,C$2:C483)</f>
        <v>40</v>
      </c>
    </row>
    <row r="484" spans="1:8" hidden="1" x14ac:dyDescent="0.15">
      <c r="A484" s="2200" t="s">
        <v>1884</v>
      </c>
      <c r="B484" s="2200" t="s">
        <v>2826</v>
      </c>
      <c r="C484" s="2200" t="s">
        <v>2827</v>
      </c>
      <c r="D484" s="2200" t="str">
        <f t="shared" si="28"/>
        <v>ME</v>
      </c>
      <c r="E484" s="2200">
        <f t="shared" si="29"/>
        <v>8</v>
      </c>
      <c r="F484" s="2200" t="str">
        <f t="shared" si="30"/>
        <v>23</v>
      </c>
      <c r="G484" s="2200" t="str">
        <f t="shared" si="31"/>
        <v>70600</v>
      </c>
      <c r="H484" s="2200">
        <f>--SUBTOTAL(3,C$2:C484)</f>
        <v>40</v>
      </c>
    </row>
    <row r="485" spans="1:8" hidden="1" x14ac:dyDescent="0.15">
      <c r="A485" s="2200" t="s">
        <v>1902</v>
      </c>
      <c r="B485" s="2200" t="s">
        <v>2829</v>
      </c>
      <c r="C485" s="2200" t="s">
        <v>2830</v>
      </c>
      <c r="D485" s="2200" t="str">
        <f t="shared" si="28"/>
        <v>ME</v>
      </c>
      <c r="E485" s="2200">
        <f t="shared" si="29"/>
        <v>19</v>
      </c>
      <c r="F485" s="2200" t="str">
        <f t="shared" si="30"/>
        <v>23</v>
      </c>
      <c r="G485" s="2200" t="str">
        <f t="shared" si="31"/>
        <v>71000</v>
      </c>
      <c r="H485" s="2200">
        <f>--SUBTOTAL(3,C$2:C485)</f>
        <v>40</v>
      </c>
    </row>
    <row r="486" spans="1:8" hidden="1" x14ac:dyDescent="0.15">
      <c r="A486" s="2200" t="s">
        <v>1878</v>
      </c>
      <c r="B486" s="2200" t="s">
        <v>2831</v>
      </c>
      <c r="C486" s="2200" t="s">
        <v>2832</v>
      </c>
      <c r="D486" s="2200" t="str">
        <f t="shared" si="28"/>
        <v>ME</v>
      </c>
      <c r="E486" s="2200">
        <f t="shared" si="29"/>
        <v>7</v>
      </c>
      <c r="F486" s="2200" t="str">
        <f t="shared" si="30"/>
        <v>23</v>
      </c>
      <c r="G486" s="2200" t="str">
        <f t="shared" si="31"/>
        <v>70750</v>
      </c>
      <c r="H486" s="2200">
        <f>--SUBTOTAL(3,C$2:C486)</f>
        <v>40</v>
      </c>
    </row>
    <row r="487" spans="1:8" hidden="1" x14ac:dyDescent="0.15">
      <c r="A487" s="2200" t="s">
        <v>1884</v>
      </c>
      <c r="B487" s="2200" t="s">
        <v>2833</v>
      </c>
      <c r="C487" s="2200" t="s">
        <v>2834</v>
      </c>
      <c r="D487" s="2200" t="str">
        <f t="shared" si="28"/>
        <v>ME</v>
      </c>
      <c r="E487" s="2200">
        <f t="shared" si="29"/>
        <v>10</v>
      </c>
      <c r="F487" s="2200" t="str">
        <f t="shared" si="30"/>
        <v>23</v>
      </c>
      <c r="G487" s="2200" t="str">
        <f t="shared" si="31"/>
        <v>72250</v>
      </c>
      <c r="H487" s="2200">
        <f>--SUBTOTAL(3,C$2:C487)</f>
        <v>40</v>
      </c>
    </row>
    <row r="488" spans="1:8" hidden="1" x14ac:dyDescent="0.15">
      <c r="A488" s="2200" t="s">
        <v>1878</v>
      </c>
      <c r="B488" s="2200" t="s">
        <v>3262</v>
      </c>
      <c r="C488" s="2200" t="s">
        <v>17878</v>
      </c>
      <c r="D488" s="2200" t="str">
        <f t="shared" si="28"/>
        <v>ME</v>
      </c>
      <c r="E488" s="2200">
        <f t="shared" si="29"/>
        <v>13</v>
      </c>
      <c r="F488" s="2200" t="str">
        <f t="shared" si="30"/>
        <v>33</v>
      </c>
      <c r="G488" s="2200" t="str">
        <f t="shared" si="31"/>
        <v>73050</v>
      </c>
      <c r="H488" s="2200">
        <f>--SUBTOTAL(3,C$2:C488)</f>
        <v>40</v>
      </c>
    </row>
    <row r="489" spans="1:8" hidden="1" x14ac:dyDescent="0.15">
      <c r="A489" s="2200" t="s">
        <v>1878</v>
      </c>
      <c r="B489" s="2200" t="s">
        <v>2835</v>
      </c>
      <c r="C489" s="2200" t="s">
        <v>2836</v>
      </c>
      <c r="D489" s="2200" t="str">
        <f t="shared" si="28"/>
        <v>ME</v>
      </c>
      <c r="E489" s="2200">
        <f t="shared" si="29"/>
        <v>16</v>
      </c>
      <c r="F489" s="2200" t="str">
        <f t="shared" si="30"/>
        <v>23</v>
      </c>
      <c r="G489" s="2200" t="str">
        <f t="shared" si="31"/>
        <v>74650</v>
      </c>
      <c r="H489" s="2200">
        <f>--SUBTOTAL(3,C$2:C489)</f>
        <v>40</v>
      </c>
    </row>
    <row r="490" spans="1:8" hidden="1" x14ac:dyDescent="0.15">
      <c r="A490" s="2200" t="s">
        <v>1902</v>
      </c>
      <c r="B490" s="2200" t="s">
        <v>2837</v>
      </c>
      <c r="C490" s="2200" t="s">
        <v>2838</v>
      </c>
      <c r="D490" s="2200" t="str">
        <f t="shared" si="28"/>
        <v>ME</v>
      </c>
      <c r="E490" s="2200">
        <f t="shared" si="29"/>
        <v>33</v>
      </c>
      <c r="F490" s="2200" t="str">
        <f t="shared" si="30"/>
        <v>23</v>
      </c>
      <c r="G490" s="2200" t="str">
        <f t="shared" si="31"/>
        <v>77500</v>
      </c>
      <c r="H490" s="2200">
        <f>--SUBTOTAL(3,C$2:C490)</f>
        <v>40</v>
      </c>
    </row>
    <row r="491" spans="1:8" hidden="1" x14ac:dyDescent="0.15">
      <c r="A491" s="2200" t="s">
        <v>1878</v>
      </c>
      <c r="B491" s="2200" t="s">
        <v>2839</v>
      </c>
      <c r="C491" s="2200" t="s">
        <v>2840</v>
      </c>
      <c r="D491" s="2200" t="str">
        <f t="shared" si="28"/>
        <v>ME</v>
      </c>
      <c r="E491" s="2200">
        <f t="shared" si="29"/>
        <v>24</v>
      </c>
      <c r="F491" s="2200" t="str">
        <f t="shared" si="30"/>
        <v>23</v>
      </c>
      <c r="G491" s="2200" t="str">
        <f t="shared" si="31"/>
        <v>76750</v>
      </c>
      <c r="H491" s="2200">
        <f>--SUBTOTAL(3,C$2:C491)</f>
        <v>40</v>
      </c>
    </row>
    <row r="492" spans="1:8" hidden="1" x14ac:dyDescent="0.15">
      <c r="A492" s="2200" t="s">
        <v>1878</v>
      </c>
      <c r="B492" s="2200" t="s">
        <v>3274</v>
      </c>
      <c r="C492" s="2200" t="s">
        <v>17879</v>
      </c>
      <c r="D492" s="2200" t="str">
        <f t="shared" si="28"/>
        <v>ME</v>
      </c>
      <c r="E492" s="2200">
        <f t="shared" si="29"/>
        <v>11</v>
      </c>
      <c r="F492" s="2200" t="str">
        <f t="shared" si="30"/>
        <v>33</v>
      </c>
      <c r="G492" s="2200" t="str">
        <f t="shared" si="31"/>
        <v>76900</v>
      </c>
      <c r="H492" s="2200">
        <f>--SUBTOTAL(3,C$2:C492)</f>
        <v>40</v>
      </c>
    </row>
    <row r="493" spans="1:8" hidden="1" x14ac:dyDescent="0.15">
      <c r="A493" s="2200" t="s">
        <v>1884</v>
      </c>
      <c r="B493" s="2200" t="s">
        <v>2841</v>
      </c>
      <c r="C493" s="2200" t="s">
        <v>2842</v>
      </c>
      <c r="D493" s="2200" t="str">
        <f t="shared" si="28"/>
        <v>ME</v>
      </c>
      <c r="E493" s="2200">
        <f t="shared" si="29"/>
        <v>8</v>
      </c>
      <c r="F493" s="2200" t="str">
        <f t="shared" si="30"/>
        <v>23</v>
      </c>
      <c r="G493" s="2200" t="str">
        <f t="shared" si="31"/>
        <v>77950</v>
      </c>
      <c r="H493" s="2200">
        <f>--SUBTOTAL(3,C$2:C493)</f>
        <v>40</v>
      </c>
    </row>
    <row r="494" spans="1:8" hidden="1" x14ac:dyDescent="0.15">
      <c r="A494" s="2200" t="s">
        <v>1884</v>
      </c>
      <c r="B494" s="2200" t="s">
        <v>2843</v>
      </c>
      <c r="C494" s="2200" t="s">
        <v>2844</v>
      </c>
      <c r="D494" s="2200" t="str">
        <f t="shared" si="28"/>
        <v>ME</v>
      </c>
      <c r="E494" s="2200">
        <f t="shared" si="29"/>
        <v>11</v>
      </c>
      <c r="F494" s="2200" t="str">
        <f t="shared" si="30"/>
        <v>23</v>
      </c>
      <c r="G494" s="2200" t="str">
        <f t="shared" si="31"/>
        <v>78850</v>
      </c>
      <c r="H494" s="2200">
        <f>--SUBTOTAL(3,C$2:C494)</f>
        <v>40</v>
      </c>
    </row>
    <row r="495" spans="1:8" hidden="1" x14ac:dyDescent="0.15">
      <c r="A495" s="2200" t="s">
        <v>1884</v>
      </c>
      <c r="B495" s="2200" t="s">
        <v>2845</v>
      </c>
      <c r="C495" s="2200" t="s">
        <v>2846</v>
      </c>
      <c r="D495" s="2200" t="str">
        <f t="shared" si="28"/>
        <v>MI</v>
      </c>
      <c r="E495" s="2200">
        <f t="shared" si="29"/>
        <v>7</v>
      </c>
      <c r="F495" s="2200" t="str">
        <f t="shared" si="30"/>
        <v>26</v>
      </c>
      <c r="G495" s="2200" t="str">
        <f t="shared" si="31"/>
        <v>10300</v>
      </c>
      <c r="H495" s="2200">
        <f>--SUBTOTAL(3,C$2:C495)</f>
        <v>40</v>
      </c>
    </row>
    <row r="496" spans="1:8" hidden="1" x14ac:dyDescent="0.15">
      <c r="A496" s="2200" t="s">
        <v>1884</v>
      </c>
      <c r="B496" s="2200" t="s">
        <v>2848</v>
      </c>
      <c r="C496" s="2200" t="s">
        <v>2849</v>
      </c>
      <c r="D496" s="2200" t="str">
        <f t="shared" si="28"/>
        <v>MI</v>
      </c>
      <c r="E496" s="2200">
        <f t="shared" si="29"/>
        <v>5</v>
      </c>
      <c r="F496" s="2200" t="str">
        <f t="shared" si="30"/>
        <v>26</v>
      </c>
      <c r="G496" s="2200" t="str">
        <f t="shared" si="31"/>
        <v>10940</v>
      </c>
      <c r="H496" s="2200">
        <f>--SUBTOTAL(3,C$2:C496)</f>
        <v>40</v>
      </c>
    </row>
    <row r="497" spans="1:8" hidden="1" x14ac:dyDescent="0.15">
      <c r="A497" s="2200" t="s">
        <v>1884</v>
      </c>
      <c r="B497" s="2200" t="s">
        <v>2850</v>
      </c>
      <c r="C497" s="2200" t="s">
        <v>2851</v>
      </c>
      <c r="D497" s="2200" t="str">
        <f t="shared" si="28"/>
        <v>MI</v>
      </c>
      <c r="E497" s="2200">
        <f t="shared" si="29"/>
        <v>7</v>
      </c>
      <c r="F497" s="2200" t="str">
        <f t="shared" si="30"/>
        <v>26</v>
      </c>
      <c r="G497" s="2200" t="str">
        <f t="shared" si="31"/>
        <v>10980</v>
      </c>
      <c r="H497" s="2200">
        <f>--SUBTOTAL(3,C$2:C497)</f>
        <v>40</v>
      </c>
    </row>
    <row r="498" spans="1:8" hidden="1" x14ac:dyDescent="0.15">
      <c r="A498" s="2200" t="s">
        <v>1878</v>
      </c>
      <c r="B498" s="2200" t="s">
        <v>2852</v>
      </c>
      <c r="C498" s="2200" t="s">
        <v>2853</v>
      </c>
      <c r="D498" s="2200" t="str">
        <f t="shared" si="28"/>
        <v>MI</v>
      </c>
      <c r="E498" s="2200">
        <f t="shared" si="29"/>
        <v>10</v>
      </c>
      <c r="F498" s="2200" t="str">
        <f t="shared" si="30"/>
        <v>26</v>
      </c>
      <c r="G498" s="2200" t="str">
        <f t="shared" si="31"/>
        <v>11460</v>
      </c>
      <c r="H498" s="2200">
        <f>--SUBTOTAL(3,C$2:C498)</f>
        <v>40</v>
      </c>
    </row>
    <row r="499" spans="1:8" hidden="1" x14ac:dyDescent="0.15">
      <c r="A499" s="2200" t="s">
        <v>1878</v>
      </c>
      <c r="B499" s="2200" t="s">
        <v>2854</v>
      </c>
      <c r="C499" s="2200" t="s">
        <v>2855</v>
      </c>
      <c r="D499" s="2200" t="str">
        <f t="shared" si="28"/>
        <v>MI</v>
      </c>
      <c r="E499" s="2200">
        <f t="shared" si="29"/>
        <v>13</v>
      </c>
      <c r="F499" s="2200" t="str">
        <f t="shared" si="30"/>
        <v>26</v>
      </c>
      <c r="G499" s="2200" t="str">
        <f t="shared" si="31"/>
        <v>12980</v>
      </c>
      <c r="H499" s="2200">
        <f>--SUBTOTAL(3,C$2:C499)</f>
        <v>40</v>
      </c>
    </row>
    <row r="500" spans="1:8" hidden="1" x14ac:dyDescent="0.15">
      <c r="A500" s="2200" t="s">
        <v>1878</v>
      </c>
      <c r="B500" s="2200" t="s">
        <v>2856</v>
      </c>
      <c r="C500" s="2200" t="s">
        <v>2857</v>
      </c>
      <c r="D500" s="2200" t="str">
        <f t="shared" si="28"/>
        <v>MI</v>
      </c>
      <c r="E500" s="2200">
        <f t="shared" si="29"/>
        <v>9</v>
      </c>
      <c r="F500" s="2200" t="str">
        <f t="shared" si="30"/>
        <v>26</v>
      </c>
      <c r="G500" s="2200" t="str">
        <f t="shared" si="31"/>
        <v>13020</v>
      </c>
      <c r="H500" s="2200">
        <f>--SUBTOTAL(3,C$2:C500)</f>
        <v>40</v>
      </c>
    </row>
    <row r="501" spans="1:8" hidden="1" x14ac:dyDescent="0.15">
      <c r="A501" s="2200" t="s">
        <v>1884</v>
      </c>
      <c r="B501" s="2200" t="s">
        <v>2858</v>
      </c>
      <c r="C501" s="2200" t="s">
        <v>2859</v>
      </c>
      <c r="D501" s="2200" t="str">
        <f t="shared" si="28"/>
        <v>MI</v>
      </c>
      <c r="E501" s="2200">
        <f t="shared" si="29"/>
        <v>11</v>
      </c>
      <c r="F501" s="2200" t="str">
        <f t="shared" si="30"/>
        <v>26</v>
      </c>
      <c r="G501" s="2200" t="str">
        <f t="shared" si="31"/>
        <v>13660</v>
      </c>
      <c r="H501" s="2200">
        <f>--SUBTOTAL(3,C$2:C501)</f>
        <v>40</v>
      </c>
    </row>
    <row r="502" spans="1:8" hidden="1" x14ac:dyDescent="0.15">
      <c r="A502" s="2200" t="s">
        <v>1884</v>
      </c>
      <c r="B502" s="2200" t="s">
        <v>2860</v>
      </c>
      <c r="C502" s="2200" t="s">
        <v>2861</v>
      </c>
      <c r="D502" s="2200" t="str">
        <f t="shared" si="28"/>
        <v>MI</v>
      </c>
      <c r="E502" s="2200">
        <f t="shared" si="29"/>
        <v>9</v>
      </c>
      <c r="F502" s="2200" t="str">
        <f t="shared" si="30"/>
        <v>26</v>
      </c>
      <c r="G502" s="2200" t="str">
        <f t="shared" si="31"/>
        <v>15620</v>
      </c>
      <c r="H502" s="2200">
        <f>--SUBTOTAL(3,C$2:C502)</f>
        <v>40</v>
      </c>
    </row>
    <row r="503" spans="1:8" hidden="1" x14ac:dyDescent="0.15">
      <c r="A503" s="2200" t="s">
        <v>1884</v>
      </c>
      <c r="B503" s="2200" t="s">
        <v>2862</v>
      </c>
      <c r="C503" s="2200" t="s">
        <v>2863</v>
      </c>
      <c r="D503" s="2200" t="str">
        <f t="shared" si="28"/>
        <v>MI</v>
      </c>
      <c r="E503" s="2200">
        <f t="shared" si="29"/>
        <v>10</v>
      </c>
      <c r="F503" s="2200" t="str">
        <f t="shared" si="30"/>
        <v>26</v>
      </c>
      <c r="G503" s="2200" t="str">
        <f t="shared" si="31"/>
        <v>17740</v>
      </c>
      <c r="H503" s="2200">
        <f>--SUBTOTAL(3,C$2:C503)</f>
        <v>40</v>
      </c>
    </row>
    <row r="504" spans="1:8" hidden="1" x14ac:dyDescent="0.15">
      <c r="A504" s="2200" t="s">
        <v>2023</v>
      </c>
      <c r="B504" s="2200" t="s">
        <v>2864</v>
      </c>
      <c r="C504" s="2200" t="s">
        <v>2865</v>
      </c>
      <c r="D504" s="2200" t="str">
        <f t="shared" si="28"/>
        <v>MI</v>
      </c>
      <c r="E504" s="2200">
        <f t="shared" si="29"/>
        <v>25</v>
      </c>
      <c r="F504" s="2200" t="str">
        <f t="shared" si="30"/>
        <v>26</v>
      </c>
      <c r="G504" s="2200" t="str">
        <f t="shared" si="31"/>
        <v>19804</v>
      </c>
      <c r="H504" s="2200">
        <f>--SUBTOTAL(3,C$2:C504)</f>
        <v>40</v>
      </c>
    </row>
    <row r="505" spans="1:8" hidden="1" x14ac:dyDescent="0.15">
      <c r="A505" s="2200" t="s">
        <v>1902</v>
      </c>
      <c r="B505" s="2200" t="s">
        <v>2866</v>
      </c>
      <c r="C505" s="2200" t="s">
        <v>2867</v>
      </c>
      <c r="D505" s="2200" t="str">
        <f t="shared" si="28"/>
        <v>MI</v>
      </c>
      <c r="E505" s="2200">
        <f t="shared" si="29"/>
        <v>25</v>
      </c>
      <c r="F505" s="2200" t="str">
        <f t="shared" si="30"/>
        <v>26</v>
      </c>
      <c r="G505" s="2200" t="str">
        <f t="shared" si="31"/>
        <v>22000</v>
      </c>
      <c r="H505" s="2200">
        <f>--SUBTOTAL(3,C$2:C505)</f>
        <v>40</v>
      </c>
    </row>
    <row r="506" spans="1:8" hidden="1" x14ac:dyDescent="0.15">
      <c r="A506" s="2200" t="s">
        <v>1878</v>
      </c>
      <c r="B506" s="2200" t="s">
        <v>2868</v>
      </c>
      <c r="C506" s="2200" t="s">
        <v>2869</v>
      </c>
      <c r="D506" s="2200" t="str">
        <f t="shared" si="28"/>
        <v>MI</v>
      </c>
      <c r="E506" s="2200">
        <f t="shared" si="29"/>
        <v>24</v>
      </c>
      <c r="F506" s="2200" t="str">
        <f t="shared" si="30"/>
        <v>26</v>
      </c>
      <c r="G506" s="2200" t="str">
        <f t="shared" si="31"/>
        <v>19820</v>
      </c>
      <c r="H506" s="2200">
        <f>--SUBTOTAL(3,C$2:C506)</f>
        <v>40</v>
      </c>
    </row>
    <row r="507" spans="1:8" hidden="1" x14ac:dyDescent="0.15">
      <c r="A507" s="2200" t="s">
        <v>1884</v>
      </c>
      <c r="B507" s="2200" t="s">
        <v>2870</v>
      </c>
      <c r="C507" s="2200" t="s">
        <v>2871</v>
      </c>
      <c r="D507" s="2200" t="str">
        <f t="shared" si="28"/>
        <v>MI</v>
      </c>
      <c r="E507" s="2200">
        <f t="shared" si="29"/>
        <v>9</v>
      </c>
      <c r="F507" s="2200" t="str">
        <f t="shared" si="30"/>
        <v>26</v>
      </c>
      <c r="G507" s="2200" t="str">
        <f t="shared" si="31"/>
        <v>21540</v>
      </c>
      <c r="H507" s="2200">
        <f>--SUBTOTAL(3,C$2:C507)</f>
        <v>40</v>
      </c>
    </row>
    <row r="508" spans="1:8" hidden="1" x14ac:dyDescent="0.15">
      <c r="A508" s="2200" t="s">
        <v>1878</v>
      </c>
      <c r="B508" s="2200" t="s">
        <v>2872</v>
      </c>
      <c r="C508" s="2200" t="s">
        <v>2873</v>
      </c>
      <c r="D508" s="2200" t="str">
        <f t="shared" si="28"/>
        <v>MI</v>
      </c>
      <c r="E508" s="2200">
        <f t="shared" si="29"/>
        <v>6</v>
      </c>
      <c r="F508" s="2200" t="str">
        <f t="shared" si="30"/>
        <v>26</v>
      </c>
      <c r="G508" s="2200" t="str">
        <f t="shared" si="31"/>
        <v>22420</v>
      </c>
      <c r="H508" s="2200">
        <f>--SUBTOTAL(3,C$2:C508)</f>
        <v>40</v>
      </c>
    </row>
    <row r="509" spans="1:8" hidden="1" x14ac:dyDescent="0.15">
      <c r="A509" s="2200" t="s">
        <v>1878</v>
      </c>
      <c r="B509" s="2200" t="s">
        <v>2874</v>
      </c>
      <c r="C509" s="2200" t="s">
        <v>2875</v>
      </c>
      <c r="D509" s="2200" t="str">
        <f t="shared" si="28"/>
        <v>MI</v>
      </c>
      <c r="E509" s="2200">
        <f t="shared" si="29"/>
        <v>21</v>
      </c>
      <c r="F509" s="2200" t="str">
        <f t="shared" si="30"/>
        <v>26</v>
      </c>
      <c r="G509" s="2200" t="str">
        <f t="shared" si="31"/>
        <v>24340</v>
      </c>
      <c r="H509" s="2200">
        <f>--SUBTOTAL(3,C$2:C509)</f>
        <v>40</v>
      </c>
    </row>
    <row r="510" spans="1:8" hidden="1" x14ac:dyDescent="0.15">
      <c r="A510" s="2200" t="s">
        <v>1902</v>
      </c>
      <c r="B510" s="2200" t="s">
        <v>2876</v>
      </c>
      <c r="C510" s="2200" t="s">
        <v>2877</v>
      </c>
      <c r="D510" s="2200" t="str">
        <f t="shared" si="28"/>
        <v>MI</v>
      </c>
      <c r="E510" s="2200">
        <f t="shared" si="29"/>
        <v>30</v>
      </c>
      <c r="F510" s="2200" t="str">
        <f t="shared" si="30"/>
        <v>26</v>
      </c>
      <c r="G510" s="2200" t="str">
        <f t="shared" si="31"/>
        <v>26600</v>
      </c>
      <c r="H510" s="2200">
        <f>--SUBTOTAL(3,C$2:C510)</f>
        <v>40</v>
      </c>
    </row>
    <row r="511" spans="1:8" hidden="1" x14ac:dyDescent="0.15">
      <c r="A511" s="2200" t="s">
        <v>1884</v>
      </c>
      <c r="B511" s="2200" t="s">
        <v>2878</v>
      </c>
      <c r="C511" s="2200" t="s">
        <v>2879</v>
      </c>
      <c r="D511" s="2200" t="str">
        <f t="shared" si="28"/>
        <v>MI</v>
      </c>
      <c r="E511" s="2200">
        <f t="shared" si="29"/>
        <v>10</v>
      </c>
      <c r="F511" s="2200" t="str">
        <f t="shared" si="30"/>
        <v>26</v>
      </c>
      <c r="G511" s="2200" t="str">
        <f t="shared" si="31"/>
        <v>25880</v>
      </c>
      <c r="H511" s="2200">
        <f>--SUBTOTAL(3,C$2:C511)</f>
        <v>40</v>
      </c>
    </row>
    <row r="512" spans="1:8" hidden="1" x14ac:dyDescent="0.15">
      <c r="A512" s="2200" t="s">
        <v>1884</v>
      </c>
      <c r="B512" s="2200" t="s">
        <v>2880</v>
      </c>
      <c r="C512" s="2200" t="s">
        <v>2881</v>
      </c>
      <c r="D512" s="2200" t="str">
        <f t="shared" si="28"/>
        <v>MI</v>
      </c>
      <c r="E512" s="2200">
        <f t="shared" si="29"/>
        <v>8</v>
      </c>
      <c r="F512" s="2200" t="str">
        <f t="shared" si="30"/>
        <v>26</v>
      </c>
      <c r="G512" s="2200" t="str">
        <f t="shared" si="31"/>
        <v>26090</v>
      </c>
      <c r="H512" s="2200">
        <f>--SUBTOTAL(3,C$2:C512)</f>
        <v>40</v>
      </c>
    </row>
    <row r="513" spans="1:8" hidden="1" x14ac:dyDescent="0.15">
      <c r="A513" s="2200" t="s">
        <v>1884</v>
      </c>
      <c r="B513" s="2200" t="s">
        <v>2882</v>
      </c>
      <c r="C513" s="2200" t="s">
        <v>2883</v>
      </c>
      <c r="D513" s="2200" t="str">
        <f t="shared" si="28"/>
        <v>MI</v>
      </c>
      <c r="E513" s="2200">
        <f t="shared" si="29"/>
        <v>9</v>
      </c>
      <c r="F513" s="2200" t="str">
        <f t="shared" si="30"/>
        <v>26</v>
      </c>
      <c r="G513" s="2200" t="str">
        <f t="shared" si="31"/>
        <v>26340</v>
      </c>
      <c r="H513" s="2200">
        <f>--SUBTOTAL(3,C$2:C513)</f>
        <v>40</v>
      </c>
    </row>
    <row r="514" spans="1:8" hidden="1" x14ac:dyDescent="0.15">
      <c r="A514" s="2200" t="s">
        <v>1884</v>
      </c>
      <c r="B514" s="2200" t="s">
        <v>2884</v>
      </c>
      <c r="C514" s="2200" t="s">
        <v>2885</v>
      </c>
      <c r="D514" s="2200" t="str">
        <f t="shared" si="28"/>
        <v>MI</v>
      </c>
      <c r="E514" s="2200">
        <f t="shared" si="29"/>
        <v>6</v>
      </c>
      <c r="F514" s="2200" t="str">
        <f t="shared" si="30"/>
        <v>26</v>
      </c>
      <c r="G514" s="2200" t="str">
        <f t="shared" si="31"/>
        <v>26960</v>
      </c>
      <c r="H514" s="2200">
        <f>--SUBTOTAL(3,C$2:C514)</f>
        <v>40</v>
      </c>
    </row>
    <row r="515" spans="1:8" hidden="1" x14ac:dyDescent="0.15">
      <c r="A515" s="2200" t="s">
        <v>1884</v>
      </c>
      <c r="B515" s="2200" t="s">
        <v>2886</v>
      </c>
      <c r="C515" s="2200" t="s">
        <v>2887</v>
      </c>
      <c r="D515" s="2200" t="str">
        <f t="shared" si="28"/>
        <v>MI</v>
      </c>
      <c r="E515" s="2200">
        <f t="shared" si="29"/>
        <v>14</v>
      </c>
      <c r="F515" s="2200" t="str">
        <f t="shared" si="30"/>
        <v>26</v>
      </c>
      <c r="G515" s="2200" t="str">
        <f t="shared" si="31"/>
        <v>27020</v>
      </c>
      <c r="H515" s="2200">
        <f>--SUBTOTAL(3,C$2:C515)</f>
        <v>40</v>
      </c>
    </row>
    <row r="516" spans="1:8" hidden="1" x14ac:dyDescent="0.15">
      <c r="A516" s="2200" t="s">
        <v>1878</v>
      </c>
      <c r="B516" s="2200" t="s">
        <v>2888</v>
      </c>
      <c r="C516" s="2200" t="s">
        <v>2889</v>
      </c>
      <c r="D516" s="2200" t="str">
        <f t="shared" si="28"/>
        <v>MI</v>
      </c>
      <c r="E516" s="2200">
        <f t="shared" si="29"/>
        <v>8</v>
      </c>
      <c r="F516" s="2200" t="str">
        <f t="shared" si="30"/>
        <v>26</v>
      </c>
      <c r="G516" s="2200" t="str">
        <f t="shared" si="31"/>
        <v>27100</v>
      </c>
      <c r="H516" s="2200">
        <f>--SUBTOTAL(3,C$2:C516)</f>
        <v>40</v>
      </c>
    </row>
    <row r="517" spans="1:8" hidden="1" x14ac:dyDescent="0.15">
      <c r="A517" s="2200" t="s">
        <v>1902</v>
      </c>
      <c r="B517" s="2200" t="s">
        <v>2890</v>
      </c>
      <c r="C517" s="2200" t="s">
        <v>2891</v>
      </c>
      <c r="D517" s="2200" t="str">
        <f t="shared" si="28"/>
        <v>MI</v>
      </c>
      <c r="E517" s="2200">
        <f t="shared" si="29"/>
        <v>31</v>
      </c>
      <c r="F517" s="2200" t="str">
        <f t="shared" si="30"/>
        <v>26</v>
      </c>
      <c r="G517" s="2200" t="str">
        <f t="shared" si="31"/>
        <v>31000</v>
      </c>
      <c r="H517" s="2200">
        <f>--SUBTOTAL(3,C$2:C517)</f>
        <v>40</v>
      </c>
    </row>
    <row r="518" spans="1:8" hidden="1" x14ac:dyDescent="0.15">
      <c r="A518" s="2200" t="s">
        <v>1878</v>
      </c>
      <c r="B518" s="2200" t="s">
        <v>2892</v>
      </c>
      <c r="C518" s="2200" t="s">
        <v>2893</v>
      </c>
      <c r="D518" s="2200" t="str">
        <f t="shared" si="28"/>
        <v>MI</v>
      </c>
      <c r="E518" s="2200">
        <f t="shared" si="29"/>
        <v>18</v>
      </c>
      <c r="F518" s="2200" t="str">
        <f t="shared" si="30"/>
        <v>26</v>
      </c>
      <c r="G518" s="2200" t="str">
        <f t="shared" si="31"/>
        <v>28020</v>
      </c>
      <c r="H518" s="2200">
        <f>--SUBTOTAL(3,C$2:C518)</f>
        <v>40</v>
      </c>
    </row>
    <row r="519" spans="1:8" hidden="1" x14ac:dyDescent="0.15">
      <c r="A519" s="2200" t="s">
        <v>1878</v>
      </c>
      <c r="B519" s="2200" t="s">
        <v>2894</v>
      </c>
      <c r="C519" s="2200" t="s">
        <v>2895</v>
      </c>
      <c r="D519" s="2200" t="str">
        <f t="shared" si="28"/>
        <v>MI</v>
      </c>
      <c r="E519" s="2200">
        <f t="shared" si="29"/>
        <v>21</v>
      </c>
      <c r="F519" s="2200" t="str">
        <f t="shared" si="30"/>
        <v>26</v>
      </c>
      <c r="G519" s="2200" t="str">
        <f t="shared" si="31"/>
        <v>29620</v>
      </c>
      <c r="H519" s="2200">
        <f>--SUBTOTAL(3,C$2:C519)</f>
        <v>40</v>
      </c>
    </row>
    <row r="520" spans="1:8" hidden="1" x14ac:dyDescent="0.15">
      <c r="A520" s="2200" t="s">
        <v>1902</v>
      </c>
      <c r="B520" s="2200" t="s">
        <v>2896</v>
      </c>
      <c r="C520" s="2200" t="s">
        <v>2897</v>
      </c>
      <c r="D520" s="2200" t="str">
        <f t="shared" si="28"/>
        <v>MI</v>
      </c>
      <c r="E520" s="2200">
        <f t="shared" si="29"/>
        <v>28</v>
      </c>
      <c r="F520" s="2200" t="str">
        <f t="shared" si="30"/>
        <v>26</v>
      </c>
      <c r="G520" s="2200" t="str">
        <f t="shared" si="31"/>
        <v>33000</v>
      </c>
      <c r="H520" s="2200">
        <f>--SUBTOTAL(3,C$2:C520)</f>
        <v>40</v>
      </c>
    </row>
    <row r="521" spans="1:8" hidden="1" x14ac:dyDescent="0.15">
      <c r="A521" s="2200" t="s">
        <v>1884</v>
      </c>
      <c r="B521" s="2200" t="s">
        <v>2898</v>
      </c>
      <c r="C521" s="2200" t="s">
        <v>2899</v>
      </c>
      <c r="D521" s="2200" t="str">
        <f t="shared" si="28"/>
        <v>MI</v>
      </c>
      <c r="E521" s="2200">
        <f t="shared" si="29"/>
        <v>10</v>
      </c>
      <c r="F521" s="2200" t="str">
        <f t="shared" si="30"/>
        <v>26</v>
      </c>
      <c r="G521" s="2200" t="str">
        <f t="shared" si="31"/>
        <v>31220</v>
      </c>
      <c r="H521" s="2200">
        <f>--SUBTOTAL(3,C$2:C521)</f>
        <v>40</v>
      </c>
    </row>
    <row r="522" spans="1:8" hidden="1" x14ac:dyDescent="0.15">
      <c r="A522" s="2200" t="s">
        <v>1884</v>
      </c>
      <c r="B522" s="2200" t="s">
        <v>2900</v>
      </c>
      <c r="C522" s="2200" t="s">
        <v>2901</v>
      </c>
      <c r="D522" s="2200" t="str">
        <f t="shared" si="28"/>
        <v>MI</v>
      </c>
      <c r="E522" s="2200">
        <f t="shared" si="29"/>
        <v>10</v>
      </c>
      <c r="F522" s="2200" t="str">
        <f t="shared" si="30"/>
        <v>26</v>
      </c>
      <c r="G522" s="2200" t="str">
        <f t="shared" si="31"/>
        <v>32100</v>
      </c>
      <c r="H522" s="2200">
        <f>--SUBTOTAL(3,C$2:C522)</f>
        <v>40</v>
      </c>
    </row>
    <row r="523" spans="1:8" hidden="1" x14ac:dyDescent="0.15">
      <c r="A523" s="2200" t="s">
        <v>1878</v>
      </c>
      <c r="B523" s="2200" t="s">
        <v>2902</v>
      </c>
      <c r="C523" s="2200" t="s">
        <v>2903</v>
      </c>
      <c r="D523" s="2200" t="str">
        <f t="shared" si="28"/>
        <v>MI</v>
      </c>
      <c r="E523" s="2200">
        <f t="shared" si="29"/>
        <v>8</v>
      </c>
      <c r="F523" s="2200" t="str">
        <f t="shared" si="30"/>
        <v>26</v>
      </c>
      <c r="G523" s="2200" t="str">
        <f t="shared" si="31"/>
        <v>33220</v>
      </c>
      <c r="H523" s="2200">
        <f>--SUBTOTAL(3,C$2:C523)</f>
        <v>40</v>
      </c>
    </row>
    <row r="524" spans="1:8" hidden="1" x14ac:dyDescent="0.15">
      <c r="A524" s="2200" t="s">
        <v>1878</v>
      </c>
      <c r="B524" s="2200" t="s">
        <v>2904</v>
      </c>
      <c r="C524" s="2200" t="s">
        <v>2905</v>
      </c>
      <c r="D524" s="2200" t="str">
        <f t="shared" si="28"/>
        <v>MI</v>
      </c>
      <c r="E524" s="2200">
        <f t="shared" si="29"/>
        <v>7</v>
      </c>
      <c r="F524" s="2200" t="str">
        <f t="shared" si="30"/>
        <v>26</v>
      </c>
      <c r="G524" s="2200" t="str">
        <f t="shared" si="31"/>
        <v>33780</v>
      </c>
      <c r="H524" s="2200">
        <f>--SUBTOTAL(3,C$2:C524)</f>
        <v>40</v>
      </c>
    </row>
    <row r="525" spans="1:8" hidden="1" x14ac:dyDescent="0.15">
      <c r="A525" s="2200" t="s">
        <v>1884</v>
      </c>
      <c r="B525" s="2200" t="s">
        <v>2906</v>
      </c>
      <c r="C525" s="2200" t="s">
        <v>2907</v>
      </c>
      <c r="D525" s="2200" t="str">
        <f t="shared" si="28"/>
        <v>MI</v>
      </c>
      <c r="E525" s="2200">
        <f t="shared" si="29"/>
        <v>15</v>
      </c>
      <c r="F525" s="2200" t="str">
        <f t="shared" si="30"/>
        <v>26</v>
      </c>
      <c r="G525" s="2200" t="str">
        <f t="shared" si="31"/>
        <v>34380</v>
      </c>
      <c r="H525" s="2200">
        <f>--SUBTOTAL(3,C$2:C525)</f>
        <v>40</v>
      </c>
    </row>
    <row r="526" spans="1:8" hidden="1" x14ac:dyDescent="0.15">
      <c r="A526" s="2200" t="s">
        <v>1902</v>
      </c>
      <c r="B526" s="2200" t="s">
        <v>2908</v>
      </c>
      <c r="C526" s="2200" t="s">
        <v>2909</v>
      </c>
      <c r="D526" s="2200" t="str">
        <f t="shared" si="28"/>
        <v>MI</v>
      </c>
      <c r="E526" s="2200">
        <f t="shared" si="29"/>
        <v>20</v>
      </c>
      <c r="F526" s="2200" t="str">
        <f t="shared" si="30"/>
        <v>26</v>
      </c>
      <c r="G526" s="2200" t="str">
        <f t="shared" si="31"/>
        <v>39400</v>
      </c>
      <c r="H526" s="2200">
        <f>--SUBTOTAL(3,C$2:C526)</f>
        <v>40</v>
      </c>
    </row>
    <row r="527" spans="1:8" hidden="1" x14ac:dyDescent="0.15">
      <c r="A527" s="2200" t="s">
        <v>1878</v>
      </c>
      <c r="B527" s="2200" t="s">
        <v>2910</v>
      </c>
      <c r="C527" s="2200" t="s">
        <v>2911</v>
      </c>
      <c r="D527" s="2200" t="str">
        <f t="shared" si="28"/>
        <v>MI</v>
      </c>
      <c r="E527" s="2200">
        <f t="shared" si="29"/>
        <v>9</v>
      </c>
      <c r="F527" s="2200" t="str">
        <f t="shared" si="30"/>
        <v>26</v>
      </c>
      <c r="G527" s="2200" t="str">
        <f t="shared" si="31"/>
        <v>34740</v>
      </c>
      <c r="H527" s="2200">
        <f>--SUBTOTAL(3,C$2:C527)</f>
        <v>40</v>
      </c>
    </row>
    <row r="528" spans="1:8" hidden="1" x14ac:dyDescent="0.15">
      <c r="A528" s="2200" t="s">
        <v>1878</v>
      </c>
      <c r="B528" s="2200" t="s">
        <v>2912</v>
      </c>
      <c r="C528" s="2200" t="s">
        <v>2913</v>
      </c>
      <c r="D528" s="2200" t="str">
        <f t="shared" si="28"/>
        <v>MI</v>
      </c>
      <c r="E528" s="2200">
        <f t="shared" si="29"/>
        <v>20</v>
      </c>
      <c r="F528" s="2200" t="str">
        <f t="shared" si="30"/>
        <v>26</v>
      </c>
      <c r="G528" s="2200" t="str">
        <f t="shared" si="31"/>
        <v>35660</v>
      </c>
      <c r="H528" s="2200">
        <f>--SUBTOTAL(3,C$2:C528)</f>
        <v>40</v>
      </c>
    </row>
    <row r="529" spans="1:8" hidden="1" x14ac:dyDescent="0.15">
      <c r="A529" s="2200" t="s">
        <v>1884</v>
      </c>
      <c r="B529" s="2200" t="s">
        <v>2914</v>
      </c>
      <c r="C529" s="2200" t="s">
        <v>2915</v>
      </c>
      <c r="D529" s="2200" t="str">
        <f t="shared" si="28"/>
        <v>MI</v>
      </c>
      <c r="E529" s="2200">
        <f t="shared" si="29"/>
        <v>7</v>
      </c>
      <c r="F529" s="2200" t="str">
        <f t="shared" si="30"/>
        <v>26</v>
      </c>
      <c r="G529" s="2200" t="str">
        <f t="shared" si="31"/>
        <v>37020</v>
      </c>
      <c r="H529" s="2200">
        <f>--SUBTOTAL(3,C$2:C529)</f>
        <v>40</v>
      </c>
    </row>
    <row r="530" spans="1:8" hidden="1" x14ac:dyDescent="0.15">
      <c r="A530" s="2200" t="s">
        <v>1878</v>
      </c>
      <c r="B530" s="2200" t="s">
        <v>2916</v>
      </c>
      <c r="C530" s="2200" t="s">
        <v>2917</v>
      </c>
      <c r="D530" s="2200" t="str">
        <f t="shared" si="28"/>
        <v>MI</v>
      </c>
      <c r="E530" s="2200">
        <f t="shared" si="29"/>
        <v>8</v>
      </c>
      <c r="F530" s="2200" t="str">
        <f t="shared" si="30"/>
        <v>26</v>
      </c>
      <c r="G530" s="2200" t="str">
        <f t="shared" si="31"/>
        <v>40980</v>
      </c>
      <c r="H530" s="2200">
        <f>--SUBTOTAL(3,C$2:C530)</f>
        <v>40</v>
      </c>
    </row>
    <row r="531" spans="1:8" hidden="1" x14ac:dyDescent="0.15">
      <c r="A531" s="2200" t="s">
        <v>1902</v>
      </c>
      <c r="B531" s="2200" t="s">
        <v>2918</v>
      </c>
      <c r="C531" s="2200" t="s">
        <v>2919</v>
      </c>
      <c r="D531" s="2200" t="str">
        <f t="shared" si="28"/>
        <v>MI</v>
      </c>
      <c r="E531" s="2200">
        <f t="shared" si="29"/>
        <v>25</v>
      </c>
      <c r="F531" s="2200" t="str">
        <f t="shared" si="30"/>
        <v>26</v>
      </c>
      <c r="G531" s="2200" t="str">
        <f t="shared" si="31"/>
        <v>47400</v>
      </c>
      <c r="H531" s="2200">
        <f>--SUBTOTAL(3,C$2:C531)</f>
        <v>40</v>
      </c>
    </row>
    <row r="532" spans="1:8" hidden="1" x14ac:dyDescent="0.15">
      <c r="A532" s="2200" t="s">
        <v>1884</v>
      </c>
      <c r="B532" s="2200" t="s">
        <v>2920</v>
      </c>
      <c r="C532" s="2200" t="s">
        <v>2921</v>
      </c>
      <c r="D532" s="2200" t="str">
        <f t="shared" si="28"/>
        <v>MI</v>
      </c>
      <c r="E532" s="2200">
        <f t="shared" si="29"/>
        <v>17</v>
      </c>
      <c r="F532" s="2200" t="str">
        <f t="shared" si="30"/>
        <v>26</v>
      </c>
      <c r="G532" s="2200" t="str">
        <f t="shared" si="31"/>
        <v>42300</v>
      </c>
      <c r="H532" s="2200">
        <f>--SUBTOTAL(3,C$2:C532)</f>
        <v>40</v>
      </c>
    </row>
    <row r="533" spans="1:8" hidden="1" x14ac:dyDescent="0.15">
      <c r="A533" s="2200" t="s">
        <v>1878</v>
      </c>
      <c r="B533" s="2200" t="s">
        <v>2607</v>
      </c>
      <c r="C533" s="2200" t="s">
        <v>17863</v>
      </c>
      <c r="D533" s="2200" t="str">
        <f t="shared" si="28"/>
        <v>MI</v>
      </c>
      <c r="E533" s="2200">
        <f t="shared" si="29"/>
        <v>21</v>
      </c>
      <c r="F533" s="2200" t="str">
        <f t="shared" si="30"/>
        <v>18</v>
      </c>
      <c r="G533" s="2200" t="str">
        <f t="shared" si="31"/>
        <v>43780</v>
      </c>
      <c r="H533" s="2200">
        <f>--SUBTOTAL(3,C$2:C533)</f>
        <v>40</v>
      </c>
    </row>
    <row r="534" spans="1:8" hidden="1" x14ac:dyDescent="0.15">
      <c r="A534" s="2200" t="s">
        <v>1884</v>
      </c>
      <c r="B534" s="2200" t="s">
        <v>2922</v>
      </c>
      <c r="C534" s="2200" t="s">
        <v>2923</v>
      </c>
      <c r="D534" s="2200" t="str">
        <f t="shared" si="28"/>
        <v>MI</v>
      </c>
      <c r="E534" s="2200">
        <f t="shared" si="29"/>
        <v>8</v>
      </c>
      <c r="F534" s="2200" t="str">
        <f t="shared" si="30"/>
        <v>26</v>
      </c>
      <c r="G534" s="2200" t="str">
        <f t="shared" si="31"/>
        <v>44780</v>
      </c>
      <c r="H534" s="2200">
        <f>--SUBTOTAL(3,C$2:C534)</f>
        <v>40</v>
      </c>
    </row>
    <row r="535" spans="1:8" hidden="1" x14ac:dyDescent="0.15">
      <c r="A535" s="2200" t="s">
        <v>1884</v>
      </c>
      <c r="B535" s="2200" t="s">
        <v>2924</v>
      </c>
      <c r="C535" s="2200" t="s">
        <v>2925</v>
      </c>
      <c r="D535" s="2200" t="str">
        <f t="shared" si="28"/>
        <v>MI</v>
      </c>
      <c r="E535" s="2200">
        <f t="shared" si="29"/>
        <v>14</v>
      </c>
      <c r="F535" s="2200" t="str">
        <f t="shared" si="30"/>
        <v>26</v>
      </c>
      <c r="G535" s="2200" t="str">
        <f t="shared" si="31"/>
        <v>45900</v>
      </c>
      <c r="H535" s="2200">
        <f>--SUBTOTAL(3,C$2:C535)</f>
        <v>40</v>
      </c>
    </row>
    <row r="536" spans="1:8" hidden="1" x14ac:dyDescent="0.15">
      <c r="A536" s="2200" t="s">
        <v>2023</v>
      </c>
      <c r="B536" s="2200" t="s">
        <v>2926</v>
      </c>
      <c r="C536" s="2200" t="s">
        <v>2927</v>
      </c>
      <c r="D536" s="2200" t="str">
        <f t="shared" si="28"/>
        <v>MI</v>
      </c>
      <c r="E536" s="2200">
        <f t="shared" si="29"/>
        <v>29</v>
      </c>
      <c r="F536" s="2200" t="str">
        <f t="shared" si="30"/>
        <v>26</v>
      </c>
      <c r="G536" s="2200" t="str">
        <f t="shared" si="31"/>
        <v>47664</v>
      </c>
      <c r="H536" s="2200">
        <f>--SUBTOTAL(3,C$2:C536)</f>
        <v>40</v>
      </c>
    </row>
    <row r="537" spans="1:8" hidden="1" x14ac:dyDescent="0.15">
      <c r="A537" s="2200" t="s">
        <v>1884</v>
      </c>
      <c r="B537" s="2200" t="s">
        <v>2928</v>
      </c>
      <c r="C537" s="2200" t="s">
        <v>2929</v>
      </c>
      <c r="D537" s="2200" t="str">
        <f t="shared" si="28"/>
        <v>MN</v>
      </c>
      <c r="E537" s="2200">
        <f t="shared" si="29"/>
        <v>11</v>
      </c>
      <c r="F537" s="2200" t="str">
        <f t="shared" si="30"/>
        <v>27</v>
      </c>
      <c r="G537" s="2200" t="str">
        <f t="shared" si="31"/>
        <v>10660</v>
      </c>
      <c r="H537" s="2200">
        <f>--SUBTOTAL(3,C$2:C537)</f>
        <v>40</v>
      </c>
    </row>
    <row r="538" spans="1:8" hidden="1" x14ac:dyDescent="0.15">
      <c r="A538" s="2200" t="s">
        <v>1884</v>
      </c>
      <c r="B538" s="2200" t="s">
        <v>2931</v>
      </c>
      <c r="C538" s="2200" t="s">
        <v>2932</v>
      </c>
      <c r="D538" s="2200" t="str">
        <f t="shared" ref="D538:D605" si="32">MID(C538,E538+2,2)</f>
        <v>MN</v>
      </c>
      <c r="E538" s="2200">
        <f t="shared" ref="E538:E605" si="33">FIND(",",C538)</f>
        <v>11</v>
      </c>
      <c r="F538" s="2200" t="str">
        <f t="shared" ref="F538:F605" si="34">MID(B538,3,2)</f>
        <v>27</v>
      </c>
      <c r="G538" s="2200" t="str">
        <f t="shared" ref="G538:G605" si="35">MID(B538,5,5)</f>
        <v>10820</v>
      </c>
      <c r="H538" s="2200">
        <f>--SUBTOTAL(3,C$2:C538)</f>
        <v>40</v>
      </c>
    </row>
    <row r="539" spans="1:8" hidden="1" x14ac:dyDescent="0.15">
      <c r="A539" s="2200" t="s">
        <v>1884</v>
      </c>
      <c r="B539" s="2200" t="s">
        <v>2933</v>
      </c>
      <c r="C539" s="2200" t="s">
        <v>2934</v>
      </c>
      <c r="D539" s="2200" t="str">
        <f t="shared" si="32"/>
        <v>MN</v>
      </c>
      <c r="E539" s="2200">
        <f t="shared" si="33"/>
        <v>7</v>
      </c>
      <c r="F539" s="2200" t="str">
        <f t="shared" si="34"/>
        <v>27</v>
      </c>
      <c r="G539" s="2200" t="str">
        <f t="shared" si="35"/>
        <v>12380</v>
      </c>
      <c r="H539" s="2200">
        <f>--SUBTOTAL(3,C$2:C539)</f>
        <v>40</v>
      </c>
    </row>
    <row r="540" spans="1:8" hidden="1" x14ac:dyDescent="0.15">
      <c r="A540" s="2200" t="s">
        <v>1884</v>
      </c>
      <c r="B540" s="2200" t="s">
        <v>2935</v>
      </c>
      <c r="C540" s="2200" t="s">
        <v>2936</v>
      </c>
      <c r="D540" s="2200" t="str">
        <f t="shared" si="32"/>
        <v>MN</v>
      </c>
      <c r="E540" s="2200">
        <f t="shared" si="33"/>
        <v>8</v>
      </c>
      <c r="F540" s="2200" t="str">
        <f t="shared" si="34"/>
        <v>27</v>
      </c>
      <c r="G540" s="2200" t="str">
        <f t="shared" si="35"/>
        <v>13420</v>
      </c>
      <c r="H540" s="2200">
        <f>--SUBTOTAL(3,C$2:C540)</f>
        <v>40</v>
      </c>
    </row>
    <row r="541" spans="1:8" hidden="1" x14ac:dyDescent="0.15">
      <c r="A541" s="2200" t="s">
        <v>1884</v>
      </c>
      <c r="B541" s="2200" t="s">
        <v>2937</v>
      </c>
      <c r="C541" s="2200" t="s">
        <v>2938</v>
      </c>
      <c r="D541" s="2200" t="str">
        <f t="shared" si="32"/>
        <v>MN</v>
      </c>
      <c r="E541" s="2200">
        <f t="shared" si="33"/>
        <v>9</v>
      </c>
      <c r="F541" s="2200" t="str">
        <f t="shared" si="34"/>
        <v>27</v>
      </c>
      <c r="G541" s="2200" t="str">
        <f t="shared" si="35"/>
        <v>14660</v>
      </c>
      <c r="H541" s="2200">
        <f>--SUBTOTAL(3,C$2:C541)</f>
        <v>40</v>
      </c>
    </row>
    <row r="542" spans="1:8" hidden="1" x14ac:dyDescent="0.15">
      <c r="A542" s="2200" t="s">
        <v>1878</v>
      </c>
      <c r="B542" s="2200" t="s">
        <v>2939</v>
      </c>
      <c r="C542" s="2200" t="s">
        <v>2940</v>
      </c>
      <c r="D542" s="2200" t="str">
        <f t="shared" si="32"/>
        <v>MN</v>
      </c>
      <c r="E542" s="2200">
        <f t="shared" si="33"/>
        <v>7</v>
      </c>
      <c r="F542" s="2200" t="str">
        <f t="shared" si="34"/>
        <v>27</v>
      </c>
      <c r="G542" s="2200" t="str">
        <f t="shared" si="35"/>
        <v>20260</v>
      </c>
      <c r="H542" s="2200">
        <f>--SUBTOTAL(3,C$2:C542)</f>
        <v>40</v>
      </c>
    </row>
    <row r="543" spans="1:8" hidden="1" x14ac:dyDescent="0.15">
      <c r="A543" s="2200" t="s">
        <v>1884</v>
      </c>
      <c r="B543" s="2200" t="s">
        <v>2941</v>
      </c>
      <c r="C543" s="2200" t="s">
        <v>2942</v>
      </c>
      <c r="D543" s="2200" t="str">
        <f t="shared" si="32"/>
        <v>MN</v>
      </c>
      <c r="E543" s="2200">
        <f t="shared" si="33"/>
        <v>9</v>
      </c>
      <c r="F543" s="2200" t="str">
        <f t="shared" si="34"/>
        <v>27</v>
      </c>
      <c r="G543" s="2200" t="str">
        <f t="shared" si="35"/>
        <v>21860</v>
      </c>
      <c r="H543" s="2200">
        <f>--SUBTOTAL(3,C$2:C543)</f>
        <v>40</v>
      </c>
    </row>
    <row r="544" spans="1:8" hidden="1" x14ac:dyDescent="0.15">
      <c r="A544" s="2200" t="s">
        <v>1878</v>
      </c>
      <c r="B544" s="2200" t="s">
        <v>3210</v>
      </c>
      <c r="C544" s="2200" t="s">
        <v>17849</v>
      </c>
      <c r="D544" s="2200" t="str">
        <f t="shared" si="32"/>
        <v>MN</v>
      </c>
      <c r="E544" s="2200">
        <f t="shared" si="33"/>
        <v>6</v>
      </c>
      <c r="F544" s="2200" t="str">
        <f t="shared" si="34"/>
        <v>38</v>
      </c>
      <c r="G544" s="2200" t="str">
        <f t="shared" si="35"/>
        <v>22020</v>
      </c>
      <c r="H544" s="2200">
        <f>--SUBTOTAL(3,C$2:C544)</f>
        <v>40</v>
      </c>
    </row>
    <row r="545" spans="1:8" hidden="1" x14ac:dyDescent="0.15">
      <c r="A545" s="2200" t="s">
        <v>1884</v>
      </c>
      <c r="B545" s="2200" t="s">
        <v>2943</v>
      </c>
      <c r="C545" s="2200" t="s">
        <v>2944</v>
      </c>
      <c r="D545" s="2200" t="str">
        <f t="shared" si="32"/>
        <v>MN</v>
      </c>
      <c r="E545" s="2200">
        <f t="shared" si="33"/>
        <v>21</v>
      </c>
      <c r="F545" s="2200" t="str">
        <f t="shared" si="34"/>
        <v>27</v>
      </c>
      <c r="G545" s="2200" t="str">
        <f t="shared" si="35"/>
        <v>22060</v>
      </c>
      <c r="H545" s="2200">
        <f>--SUBTOTAL(3,C$2:C545)</f>
        <v>40</v>
      </c>
    </row>
    <row r="546" spans="1:8" hidden="1" x14ac:dyDescent="0.15">
      <c r="A546" s="2200" t="s">
        <v>1884</v>
      </c>
      <c r="B546" s="2200" t="s">
        <v>2945</v>
      </c>
      <c r="C546" s="2200" t="s">
        <v>2946</v>
      </c>
      <c r="D546" s="2200" t="str">
        <f t="shared" si="32"/>
        <v>MN</v>
      </c>
      <c r="E546" s="2200">
        <f t="shared" si="33"/>
        <v>13</v>
      </c>
      <c r="F546" s="2200" t="str">
        <f t="shared" si="34"/>
        <v>27</v>
      </c>
      <c r="G546" s="2200" t="str">
        <f t="shared" si="35"/>
        <v>22260</v>
      </c>
      <c r="H546" s="2200">
        <f>--SUBTOTAL(3,C$2:C546)</f>
        <v>40</v>
      </c>
    </row>
    <row r="547" spans="1:8" hidden="1" x14ac:dyDescent="0.15">
      <c r="A547" s="2200" t="s">
        <v>1878</v>
      </c>
      <c r="B547" s="2200" t="s">
        <v>3214</v>
      </c>
      <c r="C547" s="2200" t="s">
        <v>17876</v>
      </c>
      <c r="D547" s="2200" t="str">
        <f t="shared" si="32"/>
        <v>MN</v>
      </c>
      <c r="E547" s="2200">
        <f t="shared" si="33"/>
        <v>12</v>
      </c>
      <c r="F547" s="2200" t="str">
        <f t="shared" si="34"/>
        <v>38</v>
      </c>
      <c r="G547" s="2200" t="str">
        <f t="shared" si="35"/>
        <v>24220</v>
      </c>
      <c r="H547" s="2200">
        <f>--SUBTOTAL(3,C$2:C547)</f>
        <v>40</v>
      </c>
    </row>
    <row r="548" spans="1:8" hidden="1" x14ac:dyDescent="0.15">
      <c r="A548" s="2200" t="s">
        <v>1884</v>
      </c>
      <c r="B548" s="2200" t="s">
        <v>2947</v>
      </c>
      <c r="C548" s="2200" t="s">
        <v>2948</v>
      </c>
      <c r="D548" s="2200" t="str">
        <f t="shared" si="32"/>
        <v>MN</v>
      </c>
      <c r="E548" s="2200">
        <f t="shared" si="33"/>
        <v>13</v>
      </c>
      <c r="F548" s="2200" t="str">
        <f t="shared" si="34"/>
        <v>27</v>
      </c>
      <c r="G548" s="2200" t="str">
        <f t="shared" si="35"/>
        <v>24330</v>
      </c>
      <c r="H548" s="2200">
        <f>--SUBTOTAL(3,C$2:C548)</f>
        <v>40</v>
      </c>
    </row>
    <row r="549" spans="1:8" hidden="1" x14ac:dyDescent="0.15">
      <c r="A549" s="2200" t="s">
        <v>1884</v>
      </c>
      <c r="B549" s="2200" t="s">
        <v>2949</v>
      </c>
      <c r="C549" s="2200" t="s">
        <v>2950</v>
      </c>
      <c r="D549" s="2200" t="str">
        <f t="shared" si="32"/>
        <v>MN</v>
      </c>
      <c r="E549" s="2200">
        <f t="shared" si="33"/>
        <v>11</v>
      </c>
      <c r="F549" s="2200" t="str">
        <f t="shared" si="34"/>
        <v>27</v>
      </c>
      <c r="G549" s="2200" t="str">
        <f t="shared" si="35"/>
        <v>26780</v>
      </c>
      <c r="H549" s="2200">
        <f>--SUBTOTAL(3,C$2:C549)</f>
        <v>40</v>
      </c>
    </row>
    <row r="550" spans="1:8" hidden="1" x14ac:dyDescent="0.15">
      <c r="A550" s="2200" t="s">
        <v>1878</v>
      </c>
      <c r="B550" s="2200" t="s">
        <v>4156</v>
      </c>
      <c r="C550" s="2200" t="s">
        <v>17893</v>
      </c>
      <c r="D550" s="2200" t="str">
        <f t="shared" si="32"/>
        <v>MN</v>
      </c>
      <c r="E550" s="2200">
        <f t="shared" si="33"/>
        <v>19</v>
      </c>
      <c r="F550" s="2200" t="str">
        <f t="shared" si="34"/>
        <v>55</v>
      </c>
      <c r="G550" s="2200" t="str">
        <f t="shared" si="35"/>
        <v>29100</v>
      </c>
      <c r="H550" s="2200">
        <f>--SUBTOTAL(3,C$2:C550)</f>
        <v>40</v>
      </c>
    </row>
    <row r="551" spans="1:8" hidden="1" x14ac:dyDescent="0.15">
      <c r="A551" s="2200" t="s">
        <v>1902</v>
      </c>
      <c r="B551" s="2200" t="s">
        <v>2951</v>
      </c>
      <c r="C551" s="2200" t="s">
        <v>2952</v>
      </c>
      <c r="D551" s="2200" t="str">
        <f t="shared" si="32"/>
        <v>MN</v>
      </c>
      <c r="E551" s="2200">
        <f t="shared" si="33"/>
        <v>30</v>
      </c>
      <c r="F551" s="2200" t="str">
        <f t="shared" si="34"/>
        <v>27</v>
      </c>
      <c r="G551" s="2200" t="str">
        <f t="shared" si="35"/>
        <v>35900</v>
      </c>
      <c r="H551" s="2200">
        <f>--SUBTOTAL(3,C$2:C551)</f>
        <v>40</v>
      </c>
    </row>
    <row r="552" spans="1:8" hidden="1" x14ac:dyDescent="0.15">
      <c r="A552" s="2200" t="s">
        <v>1878</v>
      </c>
      <c r="B552" s="2200" t="s">
        <v>2953</v>
      </c>
      <c r="C552" s="2200" t="s">
        <v>2954</v>
      </c>
      <c r="D552" s="2200" t="str">
        <f t="shared" si="32"/>
        <v>MN</v>
      </c>
      <c r="E552" s="2200">
        <f t="shared" si="33"/>
        <v>22</v>
      </c>
      <c r="F552" s="2200" t="str">
        <f t="shared" si="34"/>
        <v>27</v>
      </c>
      <c r="G552" s="2200" t="str">
        <f t="shared" si="35"/>
        <v>31860</v>
      </c>
      <c r="H552" s="2200">
        <f>--SUBTOTAL(3,C$2:C552)</f>
        <v>40</v>
      </c>
    </row>
    <row r="553" spans="1:8" hidden="1" x14ac:dyDescent="0.15">
      <c r="A553" s="2200" t="s">
        <v>1884</v>
      </c>
      <c r="B553" s="2200" t="s">
        <v>2955</v>
      </c>
      <c r="C553" s="2200" t="s">
        <v>2956</v>
      </c>
      <c r="D553" s="2200" t="str">
        <f t="shared" si="32"/>
        <v>MN</v>
      </c>
      <c r="E553" s="2200">
        <f t="shared" si="33"/>
        <v>9</v>
      </c>
      <c r="F553" s="2200" t="str">
        <f t="shared" si="34"/>
        <v>27</v>
      </c>
      <c r="G553" s="2200" t="str">
        <f t="shared" si="35"/>
        <v>32140</v>
      </c>
      <c r="H553" s="2200">
        <f>--SUBTOTAL(3,C$2:C553)</f>
        <v>40</v>
      </c>
    </row>
    <row r="554" spans="1:8" hidden="1" x14ac:dyDescent="0.15">
      <c r="A554" s="2200" t="s">
        <v>1902</v>
      </c>
      <c r="B554" s="2200" t="s">
        <v>2957</v>
      </c>
      <c r="C554" s="2200" t="s">
        <v>2958</v>
      </c>
      <c r="D554" s="2200" t="str">
        <f t="shared" si="32"/>
        <v>MN</v>
      </c>
      <c r="E554" s="2200">
        <f t="shared" si="33"/>
        <v>21</v>
      </c>
      <c r="F554" s="2200" t="str">
        <f t="shared" si="34"/>
        <v>27</v>
      </c>
      <c r="G554" s="2200" t="str">
        <f t="shared" si="35"/>
        <v>37800</v>
      </c>
      <c r="H554" s="2200">
        <f>--SUBTOTAL(3,C$2:C554)</f>
        <v>40</v>
      </c>
    </row>
    <row r="555" spans="1:8" hidden="1" x14ac:dyDescent="0.15">
      <c r="A555" s="2200" t="s">
        <v>1878</v>
      </c>
      <c r="B555" s="2200" t="s">
        <v>2959</v>
      </c>
      <c r="C555" s="2200" t="s">
        <v>2960</v>
      </c>
      <c r="D555" s="2200" t="str">
        <f t="shared" si="32"/>
        <v>MN</v>
      </c>
      <c r="E555" s="2200">
        <f t="shared" si="33"/>
        <v>33</v>
      </c>
      <c r="F555" s="2200" t="str">
        <f t="shared" si="34"/>
        <v>27</v>
      </c>
      <c r="G555" s="2200" t="str">
        <f t="shared" si="35"/>
        <v>33460</v>
      </c>
      <c r="H555" s="2200">
        <f>--SUBTOTAL(3,C$2:C555)</f>
        <v>40</v>
      </c>
    </row>
    <row r="556" spans="1:8" hidden="1" x14ac:dyDescent="0.15">
      <c r="A556" s="2200" t="s">
        <v>1884</v>
      </c>
      <c r="B556" s="2200" t="s">
        <v>2961</v>
      </c>
      <c r="C556" s="2200" t="s">
        <v>2962</v>
      </c>
      <c r="D556" s="2200" t="str">
        <f t="shared" si="32"/>
        <v>MN</v>
      </c>
      <c r="E556" s="2200">
        <f t="shared" si="33"/>
        <v>8</v>
      </c>
      <c r="F556" s="2200" t="str">
        <f t="shared" si="34"/>
        <v>27</v>
      </c>
      <c r="G556" s="2200" t="str">
        <f t="shared" si="35"/>
        <v>35580</v>
      </c>
      <c r="H556" s="2200">
        <f>--SUBTOTAL(3,C$2:C556)</f>
        <v>40</v>
      </c>
    </row>
    <row r="557" spans="1:8" hidden="1" x14ac:dyDescent="0.15">
      <c r="A557" s="2200" t="s">
        <v>1884</v>
      </c>
      <c r="B557" s="2200" t="s">
        <v>2963</v>
      </c>
      <c r="C557" s="2200" t="s">
        <v>2964</v>
      </c>
      <c r="D557" s="2200" t="str">
        <f t="shared" si="32"/>
        <v>MN</v>
      </c>
      <c r="E557" s="2200">
        <f t="shared" si="33"/>
        <v>9</v>
      </c>
      <c r="F557" s="2200" t="str">
        <f t="shared" si="34"/>
        <v>27</v>
      </c>
      <c r="G557" s="2200" t="str">
        <f t="shared" si="35"/>
        <v>36940</v>
      </c>
      <c r="H557" s="2200">
        <f>--SUBTOTAL(3,C$2:C557)</f>
        <v>40</v>
      </c>
    </row>
    <row r="558" spans="1:8" hidden="1" x14ac:dyDescent="0.15">
      <c r="A558" s="2200" t="s">
        <v>1884</v>
      </c>
      <c r="B558" s="2200" t="s">
        <v>2965</v>
      </c>
      <c r="C558" s="2200" t="s">
        <v>2966</v>
      </c>
      <c r="D558" s="2200" t="str">
        <f t="shared" si="32"/>
        <v>MN</v>
      </c>
      <c r="E558" s="2200">
        <f t="shared" si="33"/>
        <v>9</v>
      </c>
      <c r="F558" s="2200" t="str">
        <f t="shared" si="34"/>
        <v>27</v>
      </c>
      <c r="G558" s="2200" t="str">
        <f t="shared" si="35"/>
        <v>39860</v>
      </c>
      <c r="H558" s="2200">
        <f>--SUBTOTAL(3,C$2:C558)</f>
        <v>40</v>
      </c>
    </row>
    <row r="559" spans="1:8" hidden="1" x14ac:dyDescent="0.15">
      <c r="A559" s="2200" t="s">
        <v>1878</v>
      </c>
      <c r="B559" s="2200" t="s">
        <v>2967</v>
      </c>
      <c r="C559" s="2200" t="s">
        <v>2968</v>
      </c>
      <c r="D559" s="2200" t="str">
        <f t="shared" si="32"/>
        <v>MN</v>
      </c>
      <c r="E559" s="2200">
        <f t="shared" si="33"/>
        <v>10</v>
      </c>
      <c r="F559" s="2200" t="str">
        <f t="shared" si="34"/>
        <v>27</v>
      </c>
      <c r="G559" s="2200" t="str">
        <f t="shared" si="35"/>
        <v>40340</v>
      </c>
      <c r="H559" s="2200">
        <f>--SUBTOTAL(3,C$2:C559)</f>
        <v>40</v>
      </c>
    </row>
    <row r="560" spans="1:8" hidden="1" x14ac:dyDescent="0.15">
      <c r="A560" s="2200" t="s">
        <v>1902</v>
      </c>
      <c r="B560" s="2200" t="s">
        <v>2969</v>
      </c>
      <c r="C560" s="2200" t="s">
        <v>2970</v>
      </c>
      <c r="D560" s="2200" t="str">
        <f t="shared" si="32"/>
        <v>MN</v>
      </c>
      <c r="E560" s="2200">
        <f t="shared" si="33"/>
        <v>17</v>
      </c>
      <c r="F560" s="2200" t="str">
        <f t="shared" si="34"/>
        <v>27</v>
      </c>
      <c r="G560" s="2200" t="str">
        <f t="shared" si="35"/>
        <v>46200</v>
      </c>
      <c r="H560" s="2200">
        <f>--SUBTOTAL(3,C$2:C560)</f>
        <v>40</v>
      </c>
    </row>
    <row r="561" spans="1:8" hidden="1" x14ac:dyDescent="0.15">
      <c r="A561" s="2200" t="s">
        <v>1878</v>
      </c>
      <c r="B561" s="2200" t="s">
        <v>2971</v>
      </c>
      <c r="C561" s="2200" t="s">
        <v>2972</v>
      </c>
      <c r="D561" s="2200" t="str">
        <f t="shared" si="32"/>
        <v>MN</v>
      </c>
      <c r="E561" s="2200">
        <f t="shared" si="33"/>
        <v>10</v>
      </c>
      <c r="F561" s="2200" t="str">
        <f t="shared" si="34"/>
        <v>27</v>
      </c>
      <c r="G561" s="2200" t="str">
        <f t="shared" si="35"/>
        <v>41060</v>
      </c>
      <c r="H561" s="2200">
        <f>--SUBTOTAL(3,C$2:C561)</f>
        <v>40</v>
      </c>
    </row>
    <row r="562" spans="1:8" hidden="1" x14ac:dyDescent="0.15">
      <c r="A562" s="2200" t="s">
        <v>1884</v>
      </c>
      <c r="B562" s="2200" t="s">
        <v>2973</v>
      </c>
      <c r="C562" s="2200" t="s">
        <v>2974</v>
      </c>
      <c r="D562" s="2200" t="str">
        <f t="shared" si="32"/>
        <v>MN</v>
      </c>
      <c r="E562" s="2200">
        <f t="shared" si="33"/>
        <v>8</v>
      </c>
      <c r="F562" s="2200" t="str">
        <f t="shared" si="34"/>
        <v>27</v>
      </c>
      <c r="G562" s="2200" t="str">
        <f t="shared" si="35"/>
        <v>48820</v>
      </c>
      <c r="H562" s="2200">
        <f>--SUBTOTAL(3,C$2:C562)</f>
        <v>40</v>
      </c>
    </row>
    <row r="563" spans="1:8" hidden="1" x14ac:dyDescent="0.15">
      <c r="A563" s="2200" t="s">
        <v>1884</v>
      </c>
      <c r="B563" s="2200" t="s">
        <v>2975</v>
      </c>
      <c r="C563" s="2200" t="s">
        <v>2976</v>
      </c>
      <c r="D563" s="2200" t="str">
        <f t="shared" si="32"/>
        <v>MN</v>
      </c>
      <c r="E563" s="2200">
        <f t="shared" si="33"/>
        <v>7</v>
      </c>
      <c r="F563" s="2200" t="str">
        <f t="shared" si="34"/>
        <v>27</v>
      </c>
      <c r="G563" s="2200" t="str">
        <f t="shared" si="35"/>
        <v>49100</v>
      </c>
      <c r="H563" s="2200">
        <f>--SUBTOTAL(3,C$2:C563)</f>
        <v>40</v>
      </c>
    </row>
    <row r="564" spans="1:8" hidden="1" x14ac:dyDescent="0.15">
      <c r="A564" s="2200" t="s">
        <v>1884</v>
      </c>
      <c r="B564" s="2200" t="s">
        <v>2977</v>
      </c>
      <c r="C564" s="2200" t="s">
        <v>2978</v>
      </c>
      <c r="D564" s="2200" t="str">
        <f t="shared" si="32"/>
        <v>MN</v>
      </c>
      <c r="E564" s="2200">
        <f t="shared" si="33"/>
        <v>12</v>
      </c>
      <c r="F564" s="2200" t="str">
        <f t="shared" si="34"/>
        <v>27</v>
      </c>
      <c r="G564" s="2200" t="str">
        <f t="shared" si="35"/>
        <v>49380</v>
      </c>
      <c r="H564" s="2200">
        <f>--SUBTOTAL(3,C$2:C564)</f>
        <v>40</v>
      </c>
    </row>
    <row r="565" spans="1:8" hidden="1" x14ac:dyDescent="0.15">
      <c r="A565" s="2200" t="s">
        <v>1884</v>
      </c>
      <c r="B565" s="2200" t="s">
        <v>2979</v>
      </c>
      <c r="C565" s="2200" t="s">
        <v>2980</v>
      </c>
      <c r="D565" s="2200" t="str">
        <f t="shared" si="32"/>
        <v>MO</v>
      </c>
      <c r="E565" s="2200">
        <f t="shared" si="33"/>
        <v>8</v>
      </c>
      <c r="F565" s="2200" t="str">
        <f t="shared" si="34"/>
        <v>29</v>
      </c>
      <c r="G565" s="2200" t="str">
        <f t="shared" si="35"/>
        <v>14700</v>
      </c>
      <c r="H565" s="2200">
        <f>--SUBTOTAL(3,C$2:C565)</f>
        <v>40</v>
      </c>
    </row>
    <row r="566" spans="1:8" hidden="1" x14ac:dyDescent="0.15">
      <c r="A566" s="2200" t="s">
        <v>1878</v>
      </c>
      <c r="B566" s="2200" t="s">
        <v>2982</v>
      </c>
      <c r="C566" s="2200" t="s">
        <v>2983</v>
      </c>
      <c r="D566" s="2200" t="str">
        <f t="shared" si="32"/>
        <v>MO</v>
      </c>
      <c r="E566" s="2200">
        <f t="shared" si="33"/>
        <v>15</v>
      </c>
      <c r="F566" s="2200" t="str">
        <f t="shared" si="34"/>
        <v>29</v>
      </c>
      <c r="G566" s="2200" t="str">
        <f t="shared" si="35"/>
        <v>16020</v>
      </c>
      <c r="H566" s="2200">
        <f>--SUBTOTAL(3,C$2:C566)</f>
        <v>40</v>
      </c>
    </row>
    <row r="567" spans="1:8" hidden="1" x14ac:dyDescent="0.15">
      <c r="A567" s="2200" t="s">
        <v>1902</v>
      </c>
      <c r="B567" s="2200" t="s">
        <v>2984</v>
      </c>
      <c r="C567" s="2200" t="s">
        <v>2985</v>
      </c>
      <c r="D567" s="2200" t="str">
        <f t="shared" si="32"/>
        <v>MO</v>
      </c>
      <c r="E567" s="2200">
        <f t="shared" si="33"/>
        <v>24</v>
      </c>
      <c r="F567" s="2200" t="str">
        <f t="shared" si="34"/>
        <v>29</v>
      </c>
      <c r="G567" s="2200" t="str">
        <f t="shared" si="35"/>
        <v>16400</v>
      </c>
      <c r="H567" s="2200">
        <f>--SUBTOTAL(3,C$2:C567)</f>
        <v>40</v>
      </c>
    </row>
    <row r="568" spans="1:8" hidden="1" x14ac:dyDescent="0.15">
      <c r="A568" s="2200" t="s">
        <v>1878</v>
      </c>
      <c r="B568" s="2200" t="s">
        <v>2986</v>
      </c>
      <c r="C568" s="2200" t="s">
        <v>2987</v>
      </c>
      <c r="D568" s="2200" t="str">
        <f t="shared" si="32"/>
        <v>MO</v>
      </c>
      <c r="E568" s="2200">
        <f t="shared" si="33"/>
        <v>9</v>
      </c>
      <c r="F568" s="2200" t="str">
        <f t="shared" si="34"/>
        <v>29</v>
      </c>
      <c r="G568" s="2200" t="str">
        <f t="shared" si="35"/>
        <v>17860</v>
      </c>
      <c r="H568" s="2200">
        <f>--SUBTOTAL(3,C$2:C568)</f>
        <v>40</v>
      </c>
    </row>
    <row r="569" spans="1:8" hidden="1" x14ac:dyDescent="0.15">
      <c r="A569" s="2200" t="s">
        <v>1902</v>
      </c>
      <c r="B569" s="2200" t="s">
        <v>2988</v>
      </c>
      <c r="C569" s="2200" t="s">
        <v>2989</v>
      </c>
      <c r="D569" s="2200" t="str">
        <f t="shared" si="32"/>
        <v>MO</v>
      </c>
      <c r="E569" s="2200">
        <f t="shared" si="33"/>
        <v>24</v>
      </c>
      <c r="F569" s="2200" t="str">
        <f t="shared" si="34"/>
        <v>29</v>
      </c>
      <c r="G569" s="2200" t="str">
        <f t="shared" si="35"/>
        <v>19000</v>
      </c>
      <c r="H569" s="2200">
        <f>--SUBTOTAL(3,C$2:C569)</f>
        <v>40</v>
      </c>
    </row>
    <row r="570" spans="1:8" hidden="1" x14ac:dyDescent="0.15">
      <c r="A570" s="2200" t="s">
        <v>1884</v>
      </c>
      <c r="B570" s="2200" t="s">
        <v>2990</v>
      </c>
      <c r="C570" s="2200" t="s">
        <v>2991</v>
      </c>
      <c r="D570" s="2200" t="str">
        <f t="shared" si="32"/>
        <v>MO</v>
      </c>
      <c r="E570" s="2200">
        <f t="shared" si="33"/>
        <v>11</v>
      </c>
      <c r="F570" s="2200" t="str">
        <f t="shared" si="34"/>
        <v>29</v>
      </c>
      <c r="G570" s="2200" t="str">
        <f t="shared" si="35"/>
        <v>22100</v>
      </c>
      <c r="H570" s="2200">
        <f>--SUBTOTAL(3,C$2:C570)</f>
        <v>40</v>
      </c>
    </row>
    <row r="571" spans="1:8" hidden="1" x14ac:dyDescent="0.15">
      <c r="A571" s="2200" t="s">
        <v>1878</v>
      </c>
      <c r="B571" s="2200" t="s">
        <v>1960</v>
      </c>
      <c r="C571" s="2200" t="s">
        <v>17855</v>
      </c>
      <c r="D571" s="2200" t="str">
        <f t="shared" si="32"/>
        <v>MO</v>
      </c>
      <c r="E571" s="2200">
        <f t="shared" si="33"/>
        <v>31</v>
      </c>
      <c r="F571" s="2200" t="str">
        <f t="shared" si="34"/>
        <v>05</v>
      </c>
      <c r="G571" s="2200" t="str">
        <f t="shared" si="35"/>
        <v>22220</v>
      </c>
      <c r="H571" s="2200">
        <f>--SUBTOTAL(3,C$2:C571)</f>
        <v>40</v>
      </c>
    </row>
    <row r="572" spans="1:8" hidden="1" x14ac:dyDescent="0.15">
      <c r="A572" s="2200" t="s">
        <v>1884</v>
      </c>
      <c r="B572" s="2200" t="s">
        <v>2992</v>
      </c>
      <c r="C572" s="2200" t="s">
        <v>2993</v>
      </c>
      <c r="D572" s="2200" t="str">
        <f t="shared" si="32"/>
        <v>MO</v>
      </c>
      <c r="E572" s="2200">
        <f t="shared" si="33"/>
        <v>18</v>
      </c>
      <c r="F572" s="2200" t="str">
        <f t="shared" si="34"/>
        <v>29</v>
      </c>
      <c r="G572" s="2200" t="str">
        <f t="shared" si="35"/>
        <v>22780</v>
      </c>
      <c r="H572" s="2200">
        <f>--SUBTOTAL(3,C$2:C572)</f>
        <v>40</v>
      </c>
    </row>
    <row r="573" spans="1:8" hidden="1" x14ac:dyDescent="0.15">
      <c r="A573" s="2200" t="s">
        <v>1884</v>
      </c>
      <c r="B573" s="2200" t="s">
        <v>2994</v>
      </c>
      <c r="C573" s="2200" t="s">
        <v>2995</v>
      </c>
      <c r="D573" s="2200" t="str">
        <f t="shared" si="32"/>
        <v>MO</v>
      </c>
      <c r="E573" s="2200">
        <f t="shared" si="33"/>
        <v>9</v>
      </c>
      <c r="F573" s="2200" t="str">
        <f t="shared" si="34"/>
        <v>29</v>
      </c>
      <c r="G573" s="2200" t="str">
        <f t="shared" si="35"/>
        <v>25300</v>
      </c>
      <c r="H573" s="2200">
        <f>--SUBTOTAL(3,C$2:C573)</f>
        <v>40</v>
      </c>
    </row>
    <row r="574" spans="1:8" hidden="1" x14ac:dyDescent="0.15">
      <c r="A574" s="2200" t="s">
        <v>1878</v>
      </c>
      <c r="B574" s="2200" t="s">
        <v>2996</v>
      </c>
      <c r="C574" s="2200" t="s">
        <v>2997</v>
      </c>
      <c r="D574" s="2200" t="str">
        <f t="shared" si="32"/>
        <v>MO</v>
      </c>
      <c r="E574" s="2200">
        <f t="shared" si="33"/>
        <v>15</v>
      </c>
      <c r="F574" s="2200" t="str">
        <f t="shared" si="34"/>
        <v>29</v>
      </c>
      <c r="G574" s="2200" t="str">
        <f t="shared" si="35"/>
        <v>27620</v>
      </c>
      <c r="H574" s="2200">
        <f>--SUBTOTAL(3,C$2:C574)</f>
        <v>40</v>
      </c>
    </row>
    <row r="575" spans="1:8" hidden="1" x14ac:dyDescent="0.15">
      <c r="A575" s="2200" t="s">
        <v>1878</v>
      </c>
      <c r="B575" s="2200" t="s">
        <v>2998</v>
      </c>
      <c r="C575" s="2200" t="s">
        <v>2999</v>
      </c>
      <c r="D575" s="2200" t="str">
        <f t="shared" si="32"/>
        <v>MO</v>
      </c>
      <c r="E575" s="2200">
        <f t="shared" si="33"/>
        <v>7</v>
      </c>
      <c r="F575" s="2200" t="str">
        <f t="shared" si="34"/>
        <v>29</v>
      </c>
      <c r="G575" s="2200" t="str">
        <f t="shared" si="35"/>
        <v>27900</v>
      </c>
      <c r="H575" s="2200">
        <f>--SUBTOTAL(3,C$2:C575)</f>
        <v>40</v>
      </c>
    </row>
    <row r="576" spans="1:8" hidden="1" x14ac:dyDescent="0.15">
      <c r="A576" s="2200" t="s">
        <v>1902</v>
      </c>
      <c r="B576" s="2200" t="s">
        <v>3000</v>
      </c>
      <c r="C576" s="2200" t="s">
        <v>3001</v>
      </c>
      <c r="D576" s="2200" t="str">
        <f t="shared" si="32"/>
        <v>MO</v>
      </c>
      <c r="E576" s="2200">
        <f t="shared" si="33"/>
        <v>13</v>
      </c>
      <c r="F576" s="2200" t="str">
        <f t="shared" si="34"/>
        <v>29</v>
      </c>
      <c r="G576" s="2200" t="str">
        <f t="shared" si="35"/>
        <v>30900</v>
      </c>
      <c r="H576" s="2200">
        <f>--SUBTOTAL(3,C$2:C576)</f>
        <v>40</v>
      </c>
    </row>
    <row r="577" spans="1:8" hidden="1" x14ac:dyDescent="0.15">
      <c r="A577" s="2200" t="s">
        <v>1878</v>
      </c>
      <c r="B577" s="2200" t="s">
        <v>3002</v>
      </c>
      <c r="C577" s="2200" t="s">
        <v>3003</v>
      </c>
      <c r="D577" s="2200" t="str">
        <f t="shared" si="32"/>
        <v>MO</v>
      </c>
      <c r="E577" s="2200">
        <f t="shared" si="33"/>
        <v>12</v>
      </c>
      <c r="F577" s="2200" t="str">
        <f t="shared" si="34"/>
        <v>29</v>
      </c>
      <c r="G577" s="2200" t="str">
        <f t="shared" si="35"/>
        <v>28140</v>
      </c>
      <c r="H577" s="2200">
        <f>--SUBTOTAL(3,C$2:C577)</f>
        <v>40</v>
      </c>
    </row>
    <row r="578" spans="1:8" hidden="1" x14ac:dyDescent="0.15">
      <c r="A578" s="2200" t="s">
        <v>1902</v>
      </c>
      <c r="B578" s="2200" t="s">
        <v>3004</v>
      </c>
      <c r="C578" s="2200" t="s">
        <v>3005</v>
      </c>
      <c r="D578" s="2200" t="str">
        <f t="shared" si="32"/>
        <v>MO</v>
      </c>
      <c r="E578" s="2200">
        <f t="shared" si="33"/>
        <v>38</v>
      </c>
      <c r="F578" s="2200" t="str">
        <f t="shared" si="34"/>
        <v>29</v>
      </c>
      <c r="G578" s="2200" t="str">
        <f t="shared" si="35"/>
        <v>31200</v>
      </c>
      <c r="H578" s="2200">
        <f>--SUBTOTAL(3,C$2:C578)</f>
        <v>40</v>
      </c>
    </row>
    <row r="579" spans="1:8" hidden="1" x14ac:dyDescent="0.15">
      <c r="A579" s="2200" t="s">
        <v>1884</v>
      </c>
      <c r="B579" s="2200" t="s">
        <v>3006</v>
      </c>
      <c r="C579" s="2200" t="s">
        <v>3007</v>
      </c>
      <c r="D579" s="2200" t="str">
        <f t="shared" si="32"/>
        <v>MO</v>
      </c>
      <c r="E579" s="2200">
        <f t="shared" si="33"/>
        <v>8</v>
      </c>
      <c r="F579" s="2200" t="str">
        <f t="shared" si="34"/>
        <v>29</v>
      </c>
      <c r="G579" s="2200" t="str">
        <f t="shared" si="35"/>
        <v>28380</v>
      </c>
      <c r="H579" s="2200">
        <f>--SUBTOTAL(3,C$2:C579)</f>
        <v>40</v>
      </c>
    </row>
    <row r="580" spans="1:8" hidden="1" x14ac:dyDescent="0.15">
      <c r="A580" s="2200" t="s">
        <v>1884</v>
      </c>
      <c r="B580" s="2200" t="s">
        <v>3008</v>
      </c>
      <c r="C580" s="2200" t="s">
        <v>3009</v>
      </c>
      <c r="D580" s="2200" t="str">
        <f t="shared" si="32"/>
        <v>MO</v>
      </c>
      <c r="E580" s="2200">
        <f t="shared" si="33"/>
        <v>11</v>
      </c>
      <c r="F580" s="2200" t="str">
        <f t="shared" si="34"/>
        <v>29</v>
      </c>
      <c r="G580" s="2200" t="str">
        <f t="shared" si="35"/>
        <v>28860</v>
      </c>
      <c r="H580" s="2200">
        <f>--SUBTOTAL(3,C$2:C580)</f>
        <v>40</v>
      </c>
    </row>
    <row r="581" spans="1:8" hidden="1" x14ac:dyDescent="0.15">
      <c r="A581" s="2200" t="s">
        <v>1884</v>
      </c>
      <c r="B581" s="2200" t="s">
        <v>3010</v>
      </c>
      <c r="C581" s="2200" t="s">
        <v>3011</v>
      </c>
      <c r="D581" s="2200" t="str">
        <f t="shared" si="32"/>
        <v>MO</v>
      </c>
      <c r="E581" s="2200">
        <f t="shared" si="33"/>
        <v>8</v>
      </c>
      <c r="F581" s="2200" t="str">
        <f t="shared" si="34"/>
        <v>29</v>
      </c>
      <c r="G581" s="2200" t="str">
        <f t="shared" si="35"/>
        <v>30060</v>
      </c>
      <c r="H581" s="2200">
        <f>--SUBTOTAL(3,C$2:C581)</f>
        <v>40</v>
      </c>
    </row>
    <row r="582" spans="1:8" hidden="1" x14ac:dyDescent="0.15">
      <c r="A582" s="2200" t="s">
        <v>1884</v>
      </c>
      <c r="B582" s="2200" t="s">
        <v>3012</v>
      </c>
      <c r="C582" s="2200" t="s">
        <v>3013</v>
      </c>
      <c r="D582" s="2200" t="str">
        <f t="shared" si="32"/>
        <v>MO</v>
      </c>
      <c r="E582" s="2200">
        <f t="shared" si="33"/>
        <v>9</v>
      </c>
      <c r="F582" s="2200" t="str">
        <f t="shared" si="34"/>
        <v>29</v>
      </c>
      <c r="G582" s="2200" t="str">
        <f t="shared" si="35"/>
        <v>32180</v>
      </c>
      <c r="H582" s="2200">
        <f>--SUBTOTAL(3,C$2:C582)</f>
        <v>40</v>
      </c>
    </row>
    <row r="583" spans="1:8" hidden="1" x14ac:dyDescent="0.15">
      <c r="A583" s="2200" t="s">
        <v>1884</v>
      </c>
      <c r="B583" s="2200" t="s">
        <v>3014</v>
      </c>
      <c r="C583" s="2200" t="s">
        <v>3015</v>
      </c>
      <c r="D583" s="2200" t="str">
        <f t="shared" si="32"/>
        <v>MO</v>
      </c>
      <c r="E583" s="2200">
        <f t="shared" si="33"/>
        <v>10</v>
      </c>
      <c r="F583" s="2200" t="str">
        <f t="shared" si="34"/>
        <v>29</v>
      </c>
      <c r="G583" s="2200" t="str">
        <f t="shared" si="35"/>
        <v>32340</v>
      </c>
      <c r="H583" s="2200">
        <f>--SUBTOTAL(3,C$2:C583)</f>
        <v>40</v>
      </c>
    </row>
    <row r="584" spans="1:8" hidden="1" x14ac:dyDescent="0.15">
      <c r="A584" s="2200" t="s">
        <v>1884</v>
      </c>
      <c r="B584" s="2200" t="s">
        <v>3016</v>
      </c>
      <c r="C584" s="2200" t="s">
        <v>3017</v>
      </c>
      <c r="D584" s="2200" t="str">
        <f t="shared" si="32"/>
        <v>MO</v>
      </c>
      <c r="E584" s="2200">
        <f t="shared" si="33"/>
        <v>7</v>
      </c>
      <c r="F584" s="2200" t="str">
        <f t="shared" si="34"/>
        <v>29</v>
      </c>
      <c r="G584" s="2200" t="str">
        <f t="shared" si="35"/>
        <v>33020</v>
      </c>
      <c r="H584" s="2200">
        <f>--SUBTOTAL(3,C$2:C584)</f>
        <v>40</v>
      </c>
    </row>
    <row r="585" spans="1:8" hidden="1" x14ac:dyDescent="0.15">
      <c r="A585" s="2200" t="s">
        <v>1884</v>
      </c>
      <c r="B585" s="2200" t="s">
        <v>3018</v>
      </c>
      <c r="C585" s="2200" t="s">
        <v>3019</v>
      </c>
      <c r="D585" s="2200" t="str">
        <f t="shared" si="32"/>
        <v>MO</v>
      </c>
      <c r="E585" s="2200">
        <f t="shared" si="33"/>
        <v>8</v>
      </c>
      <c r="F585" s="2200" t="str">
        <f t="shared" si="34"/>
        <v>29</v>
      </c>
      <c r="G585" s="2200" t="str">
        <f t="shared" si="35"/>
        <v>33620</v>
      </c>
      <c r="H585" s="2200">
        <f>--SUBTOTAL(3,C$2:C585)</f>
        <v>40</v>
      </c>
    </row>
    <row r="586" spans="1:8" hidden="1" x14ac:dyDescent="0.15">
      <c r="A586" s="2200" t="s">
        <v>1884</v>
      </c>
      <c r="B586" s="2200" t="s">
        <v>3020</v>
      </c>
      <c r="C586" s="2200" t="s">
        <v>3021</v>
      </c>
      <c r="D586" s="2200" t="str">
        <f t="shared" si="32"/>
        <v>MO</v>
      </c>
      <c r="E586" s="2200">
        <f t="shared" si="33"/>
        <v>13</v>
      </c>
      <c r="F586" s="2200" t="str">
        <f t="shared" si="34"/>
        <v>29</v>
      </c>
      <c r="G586" s="2200" t="str">
        <f t="shared" si="35"/>
        <v>38740</v>
      </c>
      <c r="H586" s="2200">
        <f>--SUBTOTAL(3,C$2:C586)</f>
        <v>40</v>
      </c>
    </row>
    <row r="587" spans="1:8" hidden="1" x14ac:dyDescent="0.15">
      <c r="A587" s="2200" t="s">
        <v>1884</v>
      </c>
      <c r="B587" s="2200" t="s">
        <v>3022</v>
      </c>
      <c r="C587" s="2200" t="s">
        <v>3023</v>
      </c>
      <c r="D587" s="2200" t="str">
        <f t="shared" si="32"/>
        <v>MO</v>
      </c>
      <c r="E587" s="2200">
        <f t="shared" si="33"/>
        <v>6</v>
      </c>
      <c r="F587" s="2200" t="str">
        <f t="shared" si="34"/>
        <v>29</v>
      </c>
      <c r="G587" s="2200" t="str">
        <f t="shared" si="35"/>
        <v>40620</v>
      </c>
      <c r="H587" s="2200">
        <f>--SUBTOTAL(3,C$2:C587)</f>
        <v>40</v>
      </c>
    </row>
    <row r="588" spans="1:8" hidden="1" x14ac:dyDescent="0.15">
      <c r="A588" s="2200" t="s">
        <v>1884</v>
      </c>
      <c r="B588" s="2200" t="s">
        <v>3024</v>
      </c>
      <c r="C588" s="2200" t="s">
        <v>3025</v>
      </c>
      <c r="D588" s="2200" t="str">
        <f t="shared" si="32"/>
        <v>MO</v>
      </c>
      <c r="E588" s="2200">
        <f t="shared" si="33"/>
        <v>8</v>
      </c>
      <c r="F588" s="2200" t="str">
        <f t="shared" si="34"/>
        <v>29</v>
      </c>
      <c r="G588" s="2200" t="str">
        <f t="shared" si="35"/>
        <v>42740</v>
      </c>
      <c r="H588" s="2200">
        <f>--SUBTOTAL(3,C$2:C588)</f>
        <v>40</v>
      </c>
    </row>
    <row r="589" spans="1:8" hidden="1" x14ac:dyDescent="0.15">
      <c r="A589" s="2200" t="s">
        <v>1884</v>
      </c>
      <c r="B589" s="2200" t="s">
        <v>3026</v>
      </c>
      <c r="C589" s="2200" t="s">
        <v>3027</v>
      </c>
      <c r="D589" s="2200" t="str">
        <f t="shared" si="32"/>
        <v>MO</v>
      </c>
      <c r="E589" s="2200">
        <f t="shared" si="33"/>
        <v>9</v>
      </c>
      <c r="F589" s="2200" t="str">
        <f t="shared" si="34"/>
        <v>29</v>
      </c>
      <c r="G589" s="2200" t="str">
        <f t="shared" si="35"/>
        <v>43460</v>
      </c>
      <c r="H589" s="2200">
        <f>--SUBTOTAL(3,C$2:C589)</f>
        <v>40</v>
      </c>
    </row>
    <row r="590" spans="1:8" hidden="1" x14ac:dyDescent="0.15">
      <c r="A590" s="2200" t="s">
        <v>1878</v>
      </c>
      <c r="B590" s="2200" t="s">
        <v>3028</v>
      </c>
      <c r="C590" s="2200" t="s">
        <v>3029</v>
      </c>
      <c r="D590" s="2200" t="str">
        <f t="shared" si="32"/>
        <v>MO</v>
      </c>
      <c r="E590" s="2200">
        <f t="shared" si="33"/>
        <v>12</v>
      </c>
      <c r="F590" s="2200" t="str">
        <f t="shared" si="34"/>
        <v>29</v>
      </c>
      <c r="G590" s="2200" t="str">
        <f t="shared" si="35"/>
        <v>44180</v>
      </c>
      <c r="H590" s="2200">
        <f>--SUBTOTAL(3,C$2:C590)</f>
        <v>40</v>
      </c>
    </row>
    <row r="591" spans="1:8" hidden="1" x14ac:dyDescent="0.15">
      <c r="A591" s="2200" t="s">
        <v>1902</v>
      </c>
      <c r="B591" s="2200" t="s">
        <v>3030</v>
      </c>
      <c r="C591" s="2200" t="s">
        <v>3031</v>
      </c>
      <c r="D591" s="2200" t="str">
        <f t="shared" si="32"/>
        <v>MO</v>
      </c>
      <c r="E591" s="2200">
        <f t="shared" si="33"/>
        <v>20</v>
      </c>
      <c r="F591" s="2200" t="str">
        <f t="shared" si="34"/>
        <v>29</v>
      </c>
      <c r="G591" s="2200" t="str">
        <f t="shared" si="35"/>
        <v>52000</v>
      </c>
      <c r="H591" s="2200">
        <f>--SUBTOTAL(3,C$2:C591)</f>
        <v>40</v>
      </c>
    </row>
    <row r="592" spans="1:8" hidden="1" x14ac:dyDescent="0.15">
      <c r="A592" s="2200" t="s">
        <v>1878</v>
      </c>
      <c r="B592" s="2200" t="s">
        <v>3032</v>
      </c>
      <c r="C592" s="2200" t="s">
        <v>3033</v>
      </c>
      <c r="D592" s="2200" t="str">
        <f t="shared" si="32"/>
        <v>MO</v>
      </c>
      <c r="E592" s="2200">
        <f t="shared" si="33"/>
        <v>11</v>
      </c>
      <c r="F592" s="2200" t="str">
        <f t="shared" si="34"/>
        <v>29</v>
      </c>
      <c r="G592" s="2200" t="str">
        <f t="shared" si="35"/>
        <v>41140</v>
      </c>
      <c r="H592" s="2200">
        <f>--SUBTOTAL(3,C$2:C592)</f>
        <v>40</v>
      </c>
    </row>
    <row r="593" spans="1:8" hidden="1" x14ac:dyDescent="0.15">
      <c r="A593" s="2200" t="s">
        <v>1878</v>
      </c>
      <c r="B593" s="2200" t="s">
        <v>3034</v>
      </c>
      <c r="C593" s="2200" t="s">
        <v>3035</v>
      </c>
      <c r="D593" s="2200" t="str">
        <f t="shared" si="32"/>
        <v>MO</v>
      </c>
      <c r="E593" s="2200">
        <f t="shared" si="33"/>
        <v>10</v>
      </c>
      <c r="F593" s="2200" t="str">
        <f t="shared" si="34"/>
        <v>29</v>
      </c>
      <c r="G593" s="2200" t="str">
        <f t="shared" si="35"/>
        <v>41180</v>
      </c>
      <c r="H593" s="2200">
        <f>--SUBTOTAL(3,C$2:C593)</f>
        <v>40</v>
      </c>
    </row>
    <row r="594" spans="1:8" hidden="1" x14ac:dyDescent="0.15">
      <c r="A594" s="2200" t="s">
        <v>1902</v>
      </c>
      <c r="B594" s="2200" t="s">
        <v>3036</v>
      </c>
      <c r="C594" s="2200" t="s">
        <v>3037</v>
      </c>
      <c r="D594" s="2200" t="str">
        <f t="shared" si="32"/>
        <v>MO</v>
      </c>
      <c r="E594" s="2200">
        <f t="shared" si="33"/>
        <v>33</v>
      </c>
      <c r="F594" s="2200" t="str">
        <f t="shared" si="34"/>
        <v>29</v>
      </c>
      <c r="G594" s="2200" t="str">
        <f t="shared" si="35"/>
        <v>47600</v>
      </c>
      <c r="H594" s="2200">
        <f>--SUBTOTAL(3,C$2:C594)</f>
        <v>40</v>
      </c>
    </row>
    <row r="595" spans="1:8" hidden="1" x14ac:dyDescent="0.15">
      <c r="A595" s="2200" t="s">
        <v>1884</v>
      </c>
      <c r="B595" s="2200" t="s">
        <v>3038</v>
      </c>
      <c r="C595" s="2200" t="s">
        <v>3039</v>
      </c>
      <c r="D595" s="2200" t="str">
        <f t="shared" si="32"/>
        <v>MO</v>
      </c>
      <c r="E595" s="2200">
        <f t="shared" si="33"/>
        <v>12</v>
      </c>
      <c r="F595" s="2200" t="str">
        <f t="shared" si="34"/>
        <v>29</v>
      </c>
      <c r="G595" s="2200" t="str">
        <f t="shared" si="35"/>
        <v>47660</v>
      </c>
      <c r="H595" s="2200">
        <f>--SUBTOTAL(3,C$2:C595)</f>
        <v>40</v>
      </c>
    </row>
    <row r="596" spans="1:8" hidden="1" x14ac:dyDescent="0.15">
      <c r="A596" s="2200" t="s">
        <v>1884</v>
      </c>
      <c r="B596" s="2200" t="s">
        <v>3040</v>
      </c>
      <c r="C596" s="2200" t="s">
        <v>3041</v>
      </c>
      <c r="D596" s="2200" t="str">
        <f t="shared" si="32"/>
        <v>MO</v>
      </c>
      <c r="E596" s="2200">
        <f t="shared" si="33"/>
        <v>12</v>
      </c>
      <c r="F596" s="2200" t="str">
        <f t="shared" si="34"/>
        <v>29</v>
      </c>
      <c r="G596" s="2200" t="str">
        <f t="shared" si="35"/>
        <v>48460</v>
      </c>
      <c r="H596" s="2200">
        <f>--SUBTOTAL(3,C$2:C596)</f>
        <v>40</v>
      </c>
    </row>
    <row r="597" spans="1:8" hidden="1" x14ac:dyDescent="0.15">
      <c r="A597" s="2200" t="s">
        <v>1884</v>
      </c>
      <c r="B597" s="2200" t="s">
        <v>3042</v>
      </c>
      <c r="C597" s="2200" t="s">
        <v>3043</v>
      </c>
      <c r="D597" s="2200" t="str">
        <f t="shared" si="32"/>
        <v>MS</v>
      </c>
      <c r="E597" s="2200">
        <f t="shared" si="33"/>
        <v>11</v>
      </c>
      <c r="F597" s="2200" t="str">
        <f t="shared" si="34"/>
        <v>28</v>
      </c>
      <c r="G597" s="2200" t="str">
        <f t="shared" si="35"/>
        <v>15020</v>
      </c>
      <c r="H597" s="2200">
        <f>--SUBTOTAL(3,C$2:C597)</f>
        <v>40</v>
      </c>
    </row>
    <row r="598" spans="1:8" hidden="1" x14ac:dyDescent="0.15">
      <c r="A598" s="2200" t="s">
        <v>1884</v>
      </c>
      <c r="B598" s="2200" t="s">
        <v>3045</v>
      </c>
      <c r="C598" s="2200" t="s">
        <v>3046</v>
      </c>
      <c r="D598" s="2200" t="str">
        <f t="shared" si="32"/>
        <v>MS</v>
      </c>
      <c r="E598" s="2200">
        <f t="shared" si="33"/>
        <v>11</v>
      </c>
      <c r="F598" s="2200" t="str">
        <f t="shared" si="34"/>
        <v>28</v>
      </c>
      <c r="G598" s="2200" t="str">
        <f t="shared" si="35"/>
        <v>17260</v>
      </c>
      <c r="H598" s="2200">
        <f>--SUBTOTAL(3,C$2:C598)</f>
        <v>40</v>
      </c>
    </row>
    <row r="599" spans="1:8" hidden="1" x14ac:dyDescent="0.15">
      <c r="A599" s="2200" t="s">
        <v>1884</v>
      </c>
      <c r="B599" s="2200" t="s">
        <v>3047</v>
      </c>
      <c r="C599" s="2200" t="s">
        <v>3048</v>
      </c>
      <c r="D599" s="2200" t="str">
        <f t="shared" si="32"/>
        <v>MS</v>
      </c>
      <c r="E599" s="2200">
        <f t="shared" si="33"/>
        <v>10</v>
      </c>
      <c r="F599" s="2200" t="str">
        <f t="shared" si="34"/>
        <v>28</v>
      </c>
      <c r="G599" s="2200" t="str">
        <f t="shared" si="35"/>
        <v>17380</v>
      </c>
      <c r="H599" s="2200">
        <f>--SUBTOTAL(3,C$2:C599)</f>
        <v>40</v>
      </c>
    </row>
    <row r="600" spans="1:8" hidden="1" x14ac:dyDescent="0.15">
      <c r="A600" s="2200" t="s">
        <v>1902</v>
      </c>
      <c r="B600" s="2200" t="s">
        <v>3049</v>
      </c>
      <c r="C600" s="2200" t="s">
        <v>3050</v>
      </c>
      <c r="D600" s="2200" t="str">
        <f t="shared" si="32"/>
        <v>MS</v>
      </c>
      <c r="E600" s="2200">
        <f t="shared" si="33"/>
        <v>20</v>
      </c>
      <c r="F600" s="2200" t="str">
        <f t="shared" si="34"/>
        <v>28</v>
      </c>
      <c r="G600" s="2200" t="str">
        <f t="shared" si="35"/>
        <v>18500</v>
      </c>
      <c r="H600" s="2200">
        <f>--SUBTOTAL(3,C$2:C600)</f>
        <v>40</v>
      </c>
    </row>
    <row r="601" spans="1:8" hidden="1" x14ac:dyDescent="0.15">
      <c r="A601" s="2200" t="s">
        <v>1884</v>
      </c>
      <c r="B601" s="2200" t="s">
        <v>3051</v>
      </c>
      <c r="C601" s="2200" t="s">
        <v>3052</v>
      </c>
      <c r="D601" s="2200" t="str">
        <f t="shared" si="32"/>
        <v>MS</v>
      </c>
      <c r="E601" s="2200">
        <f t="shared" si="33"/>
        <v>9</v>
      </c>
      <c r="F601" s="2200" t="str">
        <f t="shared" si="34"/>
        <v>28</v>
      </c>
      <c r="G601" s="2200" t="str">
        <f t="shared" si="35"/>
        <v>18060</v>
      </c>
      <c r="H601" s="2200">
        <f>--SUBTOTAL(3,C$2:C601)</f>
        <v>40</v>
      </c>
    </row>
    <row r="602" spans="1:8" hidden="1" x14ac:dyDescent="0.15">
      <c r="A602" s="2200" t="s">
        <v>1902</v>
      </c>
      <c r="B602" s="2200" t="s">
        <v>3053</v>
      </c>
      <c r="C602" s="2200" t="s">
        <v>3054</v>
      </c>
      <c r="D602" s="2200" t="str">
        <f t="shared" si="32"/>
        <v>MS</v>
      </c>
      <c r="E602" s="2200">
        <f t="shared" si="33"/>
        <v>20</v>
      </c>
      <c r="F602" s="2200" t="str">
        <f t="shared" si="34"/>
        <v>28</v>
      </c>
      <c r="G602" s="2200" t="str">
        <f t="shared" si="35"/>
        <v>20000</v>
      </c>
      <c r="H602" s="2200">
        <f>--SUBTOTAL(3,C$2:C602)</f>
        <v>40</v>
      </c>
    </row>
    <row r="603" spans="1:8" hidden="1" x14ac:dyDescent="0.15">
      <c r="A603" s="2200" t="s">
        <v>1884</v>
      </c>
      <c r="B603" s="2200" t="s">
        <v>3055</v>
      </c>
      <c r="C603" s="2200" t="s">
        <v>3056</v>
      </c>
      <c r="D603" s="2200" t="str">
        <f t="shared" si="32"/>
        <v>MS</v>
      </c>
      <c r="E603" s="2200">
        <f t="shared" si="33"/>
        <v>8</v>
      </c>
      <c r="F603" s="2200" t="str">
        <f t="shared" si="34"/>
        <v>28</v>
      </c>
      <c r="G603" s="2200" t="str">
        <f t="shared" si="35"/>
        <v>18420</v>
      </c>
      <c r="H603" s="2200">
        <f>--SUBTOTAL(3,C$2:C603)</f>
        <v>40</v>
      </c>
    </row>
    <row r="604" spans="1:8" hidden="1" x14ac:dyDescent="0.15">
      <c r="A604" s="2200" t="s">
        <v>1884</v>
      </c>
      <c r="B604" s="2200" t="s">
        <v>3057</v>
      </c>
      <c r="C604" s="2200" t="s">
        <v>3058</v>
      </c>
      <c r="D604" s="2200" t="str">
        <f t="shared" si="32"/>
        <v>MS</v>
      </c>
      <c r="E604" s="2200">
        <f t="shared" si="33"/>
        <v>11</v>
      </c>
      <c r="F604" s="2200" t="str">
        <f t="shared" si="34"/>
        <v>28</v>
      </c>
      <c r="G604" s="2200" t="str">
        <f t="shared" si="35"/>
        <v>24740</v>
      </c>
      <c r="H604" s="2200">
        <f>--SUBTOTAL(3,C$2:C604)</f>
        <v>40</v>
      </c>
    </row>
    <row r="605" spans="1:8" hidden="1" x14ac:dyDescent="0.15">
      <c r="A605" s="2200" t="s">
        <v>1884</v>
      </c>
      <c r="B605" s="2200" t="s">
        <v>3059</v>
      </c>
      <c r="C605" s="2200" t="s">
        <v>3060</v>
      </c>
      <c r="D605" s="2200" t="str">
        <f t="shared" si="32"/>
        <v>MS</v>
      </c>
      <c r="E605" s="2200">
        <f t="shared" si="33"/>
        <v>10</v>
      </c>
      <c r="F605" s="2200" t="str">
        <f t="shared" si="34"/>
        <v>28</v>
      </c>
      <c r="G605" s="2200" t="str">
        <f t="shared" si="35"/>
        <v>24900</v>
      </c>
      <c r="H605" s="2200">
        <f>--SUBTOTAL(3,C$2:C605)</f>
        <v>40</v>
      </c>
    </row>
    <row r="606" spans="1:8" hidden="1" x14ac:dyDescent="0.15">
      <c r="A606" s="2200" t="s">
        <v>1884</v>
      </c>
      <c r="B606" s="2200" t="s">
        <v>3061</v>
      </c>
      <c r="C606" s="2200" t="s">
        <v>3062</v>
      </c>
      <c r="D606" s="2200" t="str">
        <f t="shared" ref="D606:D671" si="36">MID(C606,E606+2,2)</f>
        <v>MS</v>
      </c>
      <c r="E606" s="2200">
        <f t="shared" ref="E606:E671" si="37">FIND(",",C606)</f>
        <v>8</v>
      </c>
      <c r="F606" s="2200" t="str">
        <f t="shared" ref="F606:F671" si="38">MID(B606,3,2)</f>
        <v>28</v>
      </c>
      <c r="G606" s="2200" t="str">
        <f t="shared" ref="G606:G671" si="39">MID(B606,5,5)</f>
        <v>24980</v>
      </c>
      <c r="H606" s="2200">
        <f>--SUBTOTAL(3,C$2:C606)</f>
        <v>40</v>
      </c>
    </row>
    <row r="607" spans="1:8" hidden="1" x14ac:dyDescent="0.15">
      <c r="A607" s="2200" t="s">
        <v>1878</v>
      </c>
      <c r="B607" s="2200" t="s">
        <v>3063</v>
      </c>
      <c r="C607" s="2200" t="s">
        <v>3064</v>
      </c>
      <c r="D607" s="2200" t="str">
        <f t="shared" si="36"/>
        <v>MS</v>
      </c>
      <c r="E607" s="2200">
        <f t="shared" si="37"/>
        <v>27</v>
      </c>
      <c r="F607" s="2200" t="str">
        <f t="shared" si="38"/>
        <v>28</v>
      </c>
      <c r="G607" s="2200" t="str">
        <f t="shared" si="39"/>
        <v>25060</v>
      </c>
      <c r="H607" s="2200">
        <f>--SUBTOTAL(3,C$2:C607)</f>
        <v>40</v>
      </c>
    </row>
    <row r="608" spans="1:8" hidden="1" x14ac:dyDescent="0.15">
      <c r="A608" s="2200" t="s">
        <v>1878</v>
      </c>
      <c r="B608" s="2200" t="s">
        <v>3065</v>
      </c>
      <c r="C608" s="2200" t="s">
        <v>3066</v>
      </c>
      <c r="D608" s="2200" t="str">
        <f t="shared" si="36"/>
        <v>MS</v>
      </c>
      <c r="E608" s="2200">
        <f t="shared" si="37"/>
        <v>12</v>
      </c>
      <c r="F608" s="2200" t="str">
        <f t="shared" si="38"/>
        <v>28</v>
      </c>
      <c r="G608" s="2200" t="str">
        <f t="shared" si="39"/>
        <v>25620</v>
      </c>
      <c r="H608" s="2200">
        <f>--SUBTOTAL(3,C$2:C608)</f>
        <v>40</v>
      </c>
    </row>
    <row r="609" spans="1:8" hidden="1" x14ac:dyDescent="0.15">
      <c r="A609" s="2200" t="s">
        <v>1884</v>
      </c>
      <c r="B609" s="2200" t="s">
        <v>3067</v>
      </c>
      <c r="C609" s="2200" t="s">
        <v>3068</v>
      </c>
      <c r="D609" s="2200" t="str">
        <f t="shared" si="36"/>
        <v>MS</v>
      </c>
      <c r="E609" s="2200">
        <f t="shared" si="37"/>
        <v>10</v>
      </c>
      <c r="F609" s="2200" t="str">
        <f t="shared" si="38"/>
        <v>28</v>
      </c>
      <c r="G609" s="2200" t="str">
        <f t="shared" si="39"/>
        <v>26940</v>
      </c>
      <c r="H609" s="2200">
        <f>--SUBTOTAL(3,C$2:C609)</f>
        <v>40</v>
      </c>
    </row>
    <row r="610" spans="1:8" hidden="1" x14ac:dyDescent="0.15">
      <c r="A610" s="2200" t="s">
        <v>1878</v>
      </c>
      <c r="B610" s="2200" t="s">
        <v>3069</v>
      </c>
      <c r="C610" s="2200" t="s">
        <v>3070</v>
      </c>
      <c r="D610" s="2200" t="str">
        <f t="shared" si="36"/>
        <v>MS</v>
      </c>
      <c r="E610" s="2200">
        <f t="shared" si="37"/>
        <v>8</v>
      </c>
      <c r="F610" s="2200" t="str">
        <f t="shared" si="38"/>
        <v>28</v>
      </c>
      <c r="G610" s="2200" t="str">
        <f t="shared" si="39"/>
        <v>27140</v>
      </c>
      <c r="H610" s="2200">
        <f>--SUBTOTAL(3,C$2:C610)</f>
        <v>40</v>
      </c>
    </row>
    <row r="611" spans="1:8" hidden="1" x14ac:dyDescent="0.15">
      <c r="A611" s="2200" t="s">
        <v>1902</v>
      </c>
      <c r="B611" s="2200" t="s">
        <v>3071</v>
      </c>
      <c r="C611" s="2200" t="s">
        <v>3072</v>
      </c>
      <c r="D611" s="2200" t="str">
        <f t="shared" si="36"/>
        <v>MS</v>
      </c>
      <c r="E611" s="2200">
        <f t="shared" si="37"/>
        <v>29</v>
      </c>
      <c r="F611" s="2200" t="str">
        <f t="shared" si="38"/>
        <v>28</v>
      </c>
      <c r="G611" s="2200" t="str">
        <f t="shared" si="39"/>
        <v>29800</v>
      </c>
      <c r="H611" s="2200">
        <f>--SUBTOTAL(3,C$2:C611)</f>
        <v>40</v>
      </c>
    </row>
    <row r="612" spans="1:8" hidden="1" x14ac:dyDescent="0.15">
      <c r="A612" s="2200" t="s">
        <v>1884</v>
      </c>
      <c r="B612" s="2200" t="s">
        <v>3073</v>
      </c>
      <c r="C612" s="2200" t="s">
        <v>3074</v>
      </c>
      <c r="D612" s="2200" t="str">
        <f t="shared" si="36"/>
        <v>MS</v>
      </c>
      <c r="E612" s="2200">
        <f t="shared" si="37"/>
        <v>7</v>
      </c>
      <c r="F612" s="2200" t="str">
        <f t="shared" si="38"/>
        <v>28</v>
      </c>
      <c r="G612" s="2200" t="str">
        <f t="shared" si="39"/>
        <v>29860</v>
      </c>
      <c r="H612" s="2200">
        <f>--SUBTOTAL(3,C$2:C612)</f>
        <v>40</v>
      </c>
    </row>
    <row r="613" spans="1:8" hidden="1" x14ac:dyDescent="0.15">
      <c r="A613" s="2200" t="s">
        <v>1884</v>
      </c>
      <c r="B613" s="2200" t="s">
        <v>3075</v>
      </c>
      <c r="C613" s="2200" t="s">
        <v>3076</v>
      </c>
      <c r="D613" s="2200" t="str">
        <f t="shared" si="36"/>
        <v>MS</v>
      </c>
      <c r="E613" s="2200">
        <f t="shared" si="37"/>
        <v>7</v>
      </c>
      <c r="F613" s="2200" t="str">
        <f t="shared" si="38"/>
        <v>28</v>
      </c>
      <c r="G613" s="2200" t="str">
        <f t="shared" si="39"/>
        <v>32620</v>
      </c>
      <c r="H613" s="2200">
        <f>--SUBTOTAL(3,C$2:C613)</f>
        <v>40</v>
      </c>
    </row>
    <row r="614" spans="1:8" hidden="1" x14ac:dyDescent="0.15">
      <c r="A614" s="2200" t="s">
        <v>1878</v>
      </c>
      <c r="B614" s="2200" t="s">
        <v>3830</v>
      </c>
      <c r="C614" s="2200" t="s">
        <v>17890</v>
      </c>
      <c r="D614" s="2200" t="str">
        <f t="shared" si="36"/>
        <v>MS</v>
      </c>
      <c r="E614" s="2200">
        <f t="shared" si="37"/>
        <v>8</v>
      </c>
      <c r="F614" s="2200" t="str">
        <f t="shared" si="38"/>
        <v>47</v>
      </c>
      <c r="G614" s="2200" t="str">
        <f t="shared" si="39"/>
        <v>32820</v>
      </c>
      <c r="H614" s="2200">
        <f>--SUBTOTAL(3,C$2:C614)</f>
        <v>40</v>
      </c>
    </row>
    <row r="615" spans="1:8" hidden="1" x14ac:dyDescent="0.15">
      <c r="A615" s="2200" t="s">
        <v>1884</v>
      </c>
      <c r="B615" s="2200" t="s">
        <v>3077</v>
      </c>
      <c r="C615" s="2200" t="s">
        <v>3078</v>
      </c>
      <c r="D615" s="2200" t="str">
        <f t="shared" si="36"/>
        <v>MS</v>
      </c>
      <c r="E615" s="2200">
        <f t="shared" si="37"/>
        <v>9</v>
      </c>
      <c r="F615" s="2200" t="str">
        <f t="shared" si="38"/>
        <v>28</v>
      </c>
      <c r="G615" s="2200" t="str">
        <f t="shared" si="39"/>
        <v>32940</v>
      </c>
      <c r="H615" s="2200">
        <f>--SUBTOTAL(3,C$2:C615)</f>
        <v>40</v>
      </c>
    </row>
    <row r="616" spans="1:8" hidden="1" x14ac:dyDescent="0.15">
      <c r="A616" s="2200" t="s">
        <v>1884</v>
      </c>
      <c r="B616" s="2200" t="s">
        <v>3079</v>
      </c>
      <c r="C616" s="2200" t="s">
        <v>3080</v>
      </c>
      <c r="D616" s="2200" t="str">
        <f t="shared" si="36"/>
        <v>MS</v>
      </c>
      <c r="E616" s="2200">
        <f t="shared" si="37"/>
        <v>8</v>
      </c>
      <c r="F616" s="2200" t="str">
        <f t="shared" si="38"/>
        <v>28</v>
      </c>
      <c r="G616" s="2200" t="str">
        <f t="shared" si="39"/>
        <v>35020</v>
      </c>
      <c r="H616" s="2200">
        <f>--SUBTOTAL(3,C$2:C616)</f>
        <v>40</v>
      </c>
    </row>
    <row r="617" spans="1:8" hidden="1" x14ac:dyDescent="0.15">
      <c r="A617" s="2200" t="s">
        <v>1884</v>
      </c>
      <c r="B617" s="2200" t="s">
        <v>3081</v>
      </c>
      <c r="C617" s="2200" t="s">
        <v>3082</v>
      </c>
      <c r="D617" s="2200" t="str">
        <f t="shared" si="36"/>
        <v>MS</v>
      </c>
      <c r="E617" s="2200">
        <f t="shared" si="37"/>
        <v>7</v>
      </c>
      <c r="F617" s="2200" t="str">
        <f t="shared" si="38"/>
        <v>28</v>
      </c>
      <c r="G617" s="2200" t="str">
        <f t="shared" si="39"/>
        <v>37060</v>
      </c>
      <c r="H617" s="2200">
        <f>--SUBTOTAL(3,C$2:C617)</f>
        <v>40</v>
      </c>
    </row>
    <row r="618" spans="1:8" hidden="1" x14ac:dyDescent="0.15">
      <c r="A618" s="2200" t="s">
        <v>1884</v>
      </c>
      <c r="B618" s="2200" t="s">
        <v>3083</v>
      </c>
      <c r="C618" s="2200" t="s">
        <v>3084</v>
      </c>
      <c r="D618" s="2200" t="str">
        <f t="shared" si="36"/>
        <v>MS</v>
      </c>
      <c r="E618" s="2200">
        <f t="shared" si="37"/>
        <v>9</v>
      </c>
      <c r="F618" s="2200" t="str">
        <f t="shared" si="38"/>
        <v>28</v>
      </c>
      <c r="G618" s="2200" t="str">
        <f t="shared" si="39"/>
        <v>38100</v>
      </c>
      <c r="H618" s="2200">
        <f>--SUBTOTAL(3,C$2:C618)</f>
        <v>40</v>
      </c>
    </row>
    <row r="619" spans="1:8" hidden="1" x14ac:dyDescent="0.15">
      <c r="A619" s="2200" t="s">
        <v>1884</v>
      </c>
      <c r="B619" s="2200" t="s">
        <v>3085</v>
      </c>
      <c r="C619" s="2200" t="s">
        <v>3086</v>
      </c>
      <c r="D619" s="2200" t="str">
        <f t="shared" si="36"/>
        <v>MS</v>
      </c>
      <c r="E619" s="2200">
        <f t="shared" si="37"/>
        <v>11</v>
      </c>
      <c r="F619" s="2200" t="str">
        <f t="shared" si="38"/>
        <v>28</v>
      </c>
      <c r="G619" s="2200" t="str">
        <f t="shared" si="39"/>
        <v>44260</v>
      </c>
      <c r="H619" s="2200">
        <f>--SUBTOTAL(3,C$2:C619)</f>
        <v>40</v>
      </c>
    </row>
    <row r="620" spans="1:8" hidden="1" x14ac:dyDescent="0.15">
      <c r="A620" s="2200" t="s">
        <v>1884</v>
      </c>
      <c r="B620" s="2200" t="s">
        <v>3087</v>
      </c>
      <c r="C620" s="2200" t="s">
        <v>3088</v>
      </c>
      <c r="D620" s="2200" t="str">
        <f t="shared" si="36"/>
        <v>MS</v>
      </c>
      <c r="E620" s="2200">
        <f t="shared" si="37"/>
        <v>7</v>
      </c>
      <c r="F620" s="2200" t="str">
        <f t="shared" si="38"/>
        <v>28</v>
      </c>
      <c r="G620" s="2200" t="str">
        <f t="shared" si="39"/>
        <v>46180</v>
      </c>
      <c r="H620" s="2200">
        <f>--SUBTOTAL(3,C$2:C620)</f>
        <v>40</v>
      </c>
    </row>
    <row r="621" spans="1:8" hidden="1" x14ac:dyDescent="0.15">
      <c r="A621" s="2200" t="s">
        <v>1884</v>
      </c>
      <c r="B621" s="2200" t="s">
        <v>3089</v>
      </c>
      <c r="C621" s="2200" t="s">
        <v>3090</v>
      </c>
      <c r="D621" s="2200" t="str">
        <f t="shared" si="36"/>
        <v>MS</v>
      </c>
      <c r="E621" s="2200">
        <f t="shared" si="37"/>
        <v>10</v>
      </c>
      <c r="F621" s="2200" t="str">
        <f t="shared" si="38"/>
        <v>28</v>
      </c>
      <c r="G621" s="2200" t="str">
        <f t="shared" si="39"/>
        <v>46980</v>
      </c>
      <c r="H621" s="2200">
        <f>--SUBTOTAL(3,C$2:C621)</f>
        <v>40</v>
      </c>
    </row>
    <row r="622" spans="1:8" hidden="1" x14ac:dyDescent="0.15">
      <c r="A622" s="2200" t="s">
        <v>1884</v>
      </c>
      <c r="B622" s="2200" t="s">
        <v>3091</v>
      </c>
      <c r="C622" s="2200" t="s">
        <v>3092</v>
      </c>
      <c r="D622" s="2200" t="str">
        <f t="shared" si="36"/>
        <v>MS</v>
      </c>
      <c r="E622" s="2200">
        <f t="shared" si="37"/>
        <v>11</v>
      </c>
      <c r="F622" s="2200" t="str">
        <f t="shared" si="38"/>
        <v>28</v>
      </c>
      <c r="G622" s="2200" t="str">
        <f t="shared" si="39"/>
        <v>48500</v>
      </c>
      <c r="H622" s="2200">
        <f>--SUBTOTAL(3,C$2:C622)</f>
        <v>40</v>
      </c>
    </row>
    <row r="623" spans="1:8" hidden="1" x14ac:dyDescent="0.15">
      <c r="A623" s="2200" t="s">
        <v>1878</v>
      </c>
      <c r="B623" s="2200" t="s">
        <v>3093</v>
      </c>
      <c r="C623" s="2200" t="s">
        <v>3094</v>
      </c>
      <c r="D623" s="2200" t="str">
        <f t="shared" si="36"/>
        <v>MT</v>
      </c>
      <c r="E623" s="2200">
        <f t="shared" si="37"/>
        <v>9</v>
      </c>
      <c r="F623" s="2200" t="str">
        <f t="shared" si="38"/>
        <v>30</v>
      </c>
      <c r="G623" s="2200" t="str">
        <f t="shared" si="39"/>
        <v>13740</v>
      </c>
      <c r="H623" s="2200">
        <f>--SUBTOTAL(3,C$2:C623)</f>
        <v>40</v>
      </c>
    </row>
    <row r="624" spans="1:8" hidden="1" x14ac:dyDescent="0.15">
      <c r="A624" s="2200" t="s">
        <v>1884</v>
      </c>
      <c r="B624" s="2200" t="s">
        <v>3096</v>
      </c>
      <c r="C624" s="2200" t="s">
        <v>3097</v>
      </c>
      <c r="D624" s="2200" t="str">
        <f t="shared" si="36"/>
        <v>MT</v>
      </c>
      <c r="E624" s="2200">
        <f t="shared" si="37"/>
        <v>8</v>
      </c>
      <c r="F624" s="2200" t="str">
        <f t="shared" si="38"/>
        <v>30</v>
      </c>
      <c r="G624" s="2200" t="str">
        <f t="shared" si="39"/>
        <v>14580</v>
      </c>
      <c r="H624" s="2200">
        <f>--SUBTOTAL(3,C$2:C624)</f>
        <v>40</v>
      </c>
    </row>
    <row r="625" spans="1:8" hidden="1" x14ac:dyDescent="0.15">
      <c r="A625" s="2200" t="s">
        <v>1884</v>
      </c>
      <c r="B625" s="2200" t="s">
        <v>3098</v>
      </c>
      <c r="C625" s="2200" t="s">
        <v>3099</v>
      </c>
      <c r="D625" s="2200" t="str">
        <f t="shared" si="36"/>
        <v>MT</v>
      </c>
      <c r="E625" s="2200">
        <f t="shared" si="37"/>
        <v>17</v>
      </c>
      <c r="F625" s="2200" t="str">
        <f t="shared" si="38"/>
        <v>30</v>
      </c>
      <c r="G625" s="2200" t="str">
        <f t="shared" si="39"/>
        <v>15580</v>
      </c>
      <c r="H625" s="2200">
        <f>--SUBTOTAL(3,C$2:C625)</f>
        <v>40</v>
      </c>
    </row>
    <row r="626" spans="1:8" hidden="1" x14ac:dyDescent="0.15">
      <c r="A626" s="2200" t="s">
        <v>1878</v>
      </c>
      <c r="B626" s="2200" t="s">
        <v>3100</v>
      </c>
      <c r="C626" s="2200" t="s">
        <v>3101</v>
      </c>
      <c r="D626" s="2200" t="str">
        <f t="shared" si="36"/>
        <v>MT</v>
      </c>
      <c r="E626" s="2200">
        <f t="shared" si="37"/>
        <v>12</v>
      </c>
      <c r="F626" s="2200" t="str">
        <f t="shared" si="38"/>
        <v>30</v>
      </c>
      <c r="G626" s="2200" t="str">
        <f t="shared" si="39"/>
        <v>24500</v>
      </c>
      <c r="H626" s="2200">
        <f>--SUBTOTAL(3,C$2:C626)</f>
        <v>40</v>
      </c>
    </row>
    <row r="627" spans="1:8" hidden="1" x14ac:dyDescent="0.15">
      <c r="A627" s="2200" t="s">
        <v>1884</v>
      </c>
      <c r="B627" s="2200" t="s">
        <v>3102</v>
      </c>
      <c r="C627" s="2200" t="s">
        <v>3103</v>
      </c>
      <c r="D627" s="2200" t="str">
        <f t="shared" si="36"/>
        <v>MT</v>
      </c>
      <c r="E627" s="2200">
        <f t="shared" si="37"/>
        <v>7</v>
      </c>
      <c r="F627" s="2200" t="str">
        <f t="shared" si="38"/>
        <v>30</v>
      </c>
      <c r="G627" s="2200" t="str">
        <f t="shared" si="39"/>
        <v>25740</v>
      </c>
      <c r="H627" s="2200">
        <f>--SUBTOTAL(3,C$2:C627)</f>
        <v>40</v>
      </c>
    </row>
    <row r="628" spans="1:8" hidden="1" x14ac:dyDescent="0.15">
      <c r="A628" s="2200" t="s">
        <v>1884</v>
      </c>
      <c r="B628" s="2200" t="s">
        <v>3104</v>
      </c>
      <c r="C628" s="2200" t="s">
        <v>3105</v>
      </c>
      <c r="D628" s="2200" t="str">
        <f t="shared" si="36"/>
        <v>MT</v>
      </c>
      <c r="E628" s="2200">
        <f t="shared" si="37"/>
        <v>10</v>
      </c>
      <c r="F628" s="2200" t="str">
        <f t="shared" si="38"/>
        <v>30</v>
      </c>
      <c r="G628" s="2200" t="str">
        <f t="shared" si="39"/>
        <v>28060</v>
      </c>
      <c r="H628" s="2200">
        <f>--SUBTOTAL(3,C$2:C628)</f>
        <v>40</v>
      </c>
    </row>
    <row r="629" spans="1:8" hidden="1" x14ac:dyDescent="0.15">
      <c r="A629" s="2200" t="s">
        <v>1878</v>
      </c>
      <c r="B629" s="2200" t="s">
        <v>3106</v>
      </c>
      <c r="C629" s="2200" t="s">
        <v>3107</v>
      </c>
      <c r="D629" s="2200" t="str">
        <f t="shared" si="36"/>
        <v>MT</v>
      </c>
      <c r="E629" s="2200">
        <f t="shared" si="37"/>
        <v>9</v>
      </c>
      <c r="F629" s="2200" t="str">
        <f t="shared" si="38"/>
        <v>30</v>
      </c>
      <c r="G629" s="2200" t="str">
        <f t="shared" si="39"/>
        <v>33540</v>
      </c>
      <c r="H629" s="2200">
        <f>--SUBTOTAL(3,C$2:C629)</f>
        <v>40</v>
      </c>
    </row>
    <row r="630" spans="1:8" hidden="1" x14ac:dyDescent="0.15">
      <c r="A630" s="2200" t="s">
        <v>1884</v>
      </c>
      <c r="B630" s="2200" t="s">
        <v>3108</v>
      </c>
      <c r="C630" s="2200" t="s">
        <v>3109</v>
      </c>
      <c r="D630" s="2200" t="str">
        <f t="shared" si="36"/>
        <v>NC</v>
      </c>
      <c r="E630" s="2200">
        <f t="shared" si="37"/>
        <v>10</v>
      </c>
      <c r="F630" s="2200" t="str">
        <f t="shared" si="38"/>
        <v>37</v>
      </c>
      <c r="G630" s="2200" t="str">
        <f t="shared" si="39"/>
        <v>10620</v>
      </c>
      <c r="H630" s="2200">
        <f>--SUBTOTAL(3,C$2:C630)</f>
        <v>40</v>
      </c>
    </row>
    <row r="631" spans="1:8" hidden="1" x14ac:dyDescent="0.15">
      <c r="A631" s="2200" t="s">
        <v>1878</v>
      </c>
      <c r="B631" s="2200" t="s">
        <v>3111</v>
      </c>
      <c r="C631" s="2200" t="s">
        <v>3112</v>
      </c>
      <c r="D631" s="2200" t="str">
        <f t="shared" si="36"/>
        <v>NC</v>
      </c>
      <c r="E631" s="2200">
        <f t="shared" si="37"/>
        <v>10</v>
      </c>
      <c r="F631" s="2200" t="str">
        <f t="shared" si="38"/>
        <v>37</v>
      </c>
      <c r="G631" s="2200" t="str">
        <f t="shared" si="39"/>
        <v>11700</v>
      </c>
      <c r="H631" s="2200">
        <f>--SUBTOTAL(3,C$2:C631)</f>
        <v>40</v>
      </c>
    </row>
    <row r="632" spans="1:8" hidden="1" x14ac:dyDescent="0.15">
      <c r="A632" s="2200" t="s">
        <v>1902</v>
      </c>
      <c r="B632" s="2200" t="s">
        <v>3113</v>
      </c>
      <c r="C632" s="2200" t="s">
        <v>3114</v>
      </c>
      <c r="D632" s="2200" t="str">
        <f t="shared" si="36"/>
        <v>NC</v>
      </c>
      <c r="E632" s="2200">
        <f t="shared" si="37"/>
        <v>18</v>
      </c>
      <c r="F632" s="2200" t="str">
        <f t="shared" si="38"/>
        <v>37</v>
      </c>
      <c r="G632" s="2200" t="str">
        <f t="shared" si="39"/>
        <v>12000</v>
      </c>
      <c r="H632" s="2200">
        <f>--SUBTOTAL(3,C$2:C632)</f>
        <v>40</v>
      </c>
    </row>
    <row r="633" spans="1:8" hidden="1" x14ac:dyDescent="0.15">
      <c r="A633" s="2200" t="s">
        <v>1884</v>
      </c>
      <c r="B633" s="2200" t="s">
        <v>3115</v>
      </c>
      <c r="C633" s="2200" t="s">
        <v>3116</v>
      </c>
      <c r="D633" s="2200" t="str">
        <f t="shared" si="36"/>
        <v>NC</v>
      </c>
      <c r="E633" s="2200">
        <f t="shared" si="37"/>
        <v>6</v>
      </c>
      <c r="F633" s="2200" t="str">
        <f t="shared" si="38"/>
        <v>37</v>
      </c>
      <c r="G633" s="2200" t="str">
        <f t="shared" si="39"/>
        <v>14380</v>
      </c>
      <c r="H633" s="2200">
        <f>--SUBTOTAL(3,C$2:C633)</f>
        <v>40</v>
      </c>
    </row>
    <row r="634" spans="1:8" hidden="1" x14ac:dyDescent="0.15">
      <c r="A634" s="2200" t="s">
        <v>1884</v>
      </c>
      <c r="B634" s="2200" t="s">
        <v>3117</v>
      </c>
      <c r="C634" s="2200" t="s">
        <v>3118</v>
      </c>
      <c r="D634" s="2200" t="str">
        <f t="shared" si="36"/>
        <v>NC</v>
      </c>
      <c r="E634" s="2200">
        <f t="shared" si="37"/>
        <v>8</v>
      </c>
      <c r="F634" s="2200" t="str">
        <f t="shared" si="38"/>
        <v>37</v>
      </c>
      <c r="G634" s="2200" t="str">
        <f t="shared" si="39"/>
        <v>14820</v>
      </c>
      <c r="H634" s="2200">
        <f>--SUBTOTAL(3,C$2:C634)</f>
        <v>40</v>
      </c>
    </row>
    <row r="635" spans="1:8" hidden="1" x14ac:dyDescent="0.15">
      <c r="A635" s="2200" t="s">
        <v>1878</v>
      </c>
      <c r="B635" s="2200" t="s">
        <v>3119</v>
      </c>
      <c r="C635" s="2200" t="s">
        <v>3120</v>
      </c>
      <c r="D635" s="2200" t="str">
        <f t="shared" si="36"/>
        <v>NC</v>
      </c>
      <c r="E635" s="2200">
        <f t="shared" si="37"/>
        <v>11</v>
      </c>
      <c r="F635" s="2200" t="str">
        <f t="shared" si="38"/>
        <v>37</v>
      </c>
      <c r="G635" s="2200" t="str">
        <f t="shared" si="39"/>
        <v>15500</v>
      </c>
      <c r="H635" s="2200">
        <f>--SUBTOTAL(3,C$2:C635)</f>
        <v>40</v>
      </c>
    </row>
    <row r="636" spans="1:8" hidden="1" x14ac:dyDescent="0.15">
      <c r="A636" s="2200" t="s">
        <v>1902</v>
      </c>
      <c r="B636" s="2200" t="s">
        <v>3121</v>
      </c>
      <c r="C636" s="2200" t="s">
        <v>3122</v>
      </c>
      <c r="D636" s="2200" t="str">
        <f t="shared" si="36"/>
        <v>NC</v>
      </c>
      <c r="E636" s="2200">
        <f t="shared" si="37"/>
        <v>18</v>
      </c>
      <c r="F636" s="2200" t="str">
        <f t="shared" si="38"/>
        <v>37</v>
      </c>
      <c r="G636" s="2200" t="str">
        <f t="shared" si="39"/>
        <v>17200</v>
      </c>
      <c r="H636" s="2200">
        <f>--SUBTOTAL(3,C$2:C636)</f>
        <v>40</v>
      </c>
    </row>
    <row r="637" spans="1:8" hidden="1" x14ac:dyDescent="0.15">
      <c r="A637" s="2200" t="s">
        <v>1878</v>
      </c>
      <c r="B637" s="2200" t="s">
        <v>3123</v>
      </c>
      <c r="C637" s="2200" t="s">
        <v>3124</v>
      </c>
      <c r="D637" s="2200" t="str">
        <f t="shared" si="36"/>
        <v>NC</v>
      </c>
      <c r="E637" s="2200">
        <f t="shared" si="37"/>
        <v>27</v>
      </c>
      <c r="F637" s="2200" t="str">
        <f t="shared" si="38"/>
        <v>37</v>
      </c>
      <c r="G637" s="2200" t="str">
        <f t="shared" si="39"/>
        <v>16740</v>
      </c>
      <c r="H637" s="2200">
        <f>--SUBTOTAL(3,C$2:C637)</f>
        <v>40</v>
      </c>
    </row>
    <row r="638" spans="1:8" hidden="1" x14ac:dyDescent="0.15">
      <c r="A638" s="2200" t="s">
        <v>1884</v>
      </c>
      <c r="B638" s="2200" t="s">
        <v>3125</v>
      </c>
      <c r="C638" s="2200" t="s">
        <v>3126</v>
      </c>
      <c r="D638" s="2200" t="str">
        <f t="shared" si="36"/>
        <v>NC</v>
      </c>
      <c r="E638" s="2200">
        <f t="shared" si="37"/>
        <v>10</v>
      </c>
      <c r="F638" s="2200" t="str">
        <f t="shared" si="38"/>
        <v>37</v>
      </c>
      <c r="G638" s="2200" t="str">
        <f t="shared" si="39"/>
        <v>19000</v>
      </c>
      <c r="H638" s="2200">
        <f>--SUBTOTAL(3,C$2:C638)</f>
        <v>40</v>
      </c>
    </row>
    <row r="639" spans="1:8" hidden="1" x14ac:dyDescent="0.15">
      <c r="A639" s="2200" t="s">
        <v>1884</v>
      </c>
      <c r="B639" s="2200" t="s">
        <v>3127</v>
      </c>
      <c r="C639" s="2200" t="s">
        <v>3128</v>
      </c>
      <c r="D639" s="2200" t="str">
        <f t="shared" si="36"/>
        <v>NC</v>
      </c>
      <c r="E639" s="2200">
        <f t="shared" si="37"/>
        <v>5</v>
      </c>
      <c r="F639" s="2200" t="str">
        <f t="shared" si="38"/>
        <v>37</v>
      </c>
      <c r="G639" s="2200" t="str">
        <f t="shared" si="39"/>
        <v>20380</v>
      </c>
      <c r="H639" s="2200">
        <f>--SUBTOTAL(3,C$2:C639)</f>
        <v>40</v>
      </c>
    </row>
    <row r="640" spans="1:8" hidden="1" x14ac:dyDescent="0.15">
      <c r="A640" s="2200" t="s">
        <v>1878</v>
      </c>
      <c r="B640" s="2200" t="s">
        <v>3129</v>
      </c>
      <c r="C640" s="2200" t="s">
        <v>3130</v>
      </c>
      <c r="D640" s="2200" t="str">
        <f t="shared" si="36"/>
        <v>NC</v>
      </c>
      <c r="E640" s="2200">
        <f t="shared" si="37"/>
        <v>19</v>
      </c>
      <c r="F640" s="2200" t="str">
        <f t="shared" si="38"/>
        <v>37</v>
      </c>
      <c r="G640" s="2200" t="str">
        <f t="shared" si="39"/>
        <v>20500</v>
      </c>
      <c r="H640" s="2200">
        <f>--SUBTOTAL(3,C$2:C640)</f>
        <v>40</v>
      </c>
    </row>
    <row r="641" spans="1:8" hidden="1" x14ac:dyDescent="0.15">
      <c r="A641" s="2200" t="s">
        <v>1884</v>
      </c>
      <c r="B641" s="2200" t="s">
        <v>3131</v>
      </c>
      <c r="C641" s="2200" t="s">
        <v>3132</v>
      </c>
      <c r="D641" s="2200" t="str">
        <f t="shared" si="36"/>
        <v>NC</v>
      </c>
      <c r="E641" s="2200">
        <f t="shared" si="37"/>
        <v>15</v>
      </c>
      <c r="F641" s="2200" t="str">
        <f t="shared" si="38"/>
        <v>37</v>
      </c>
      <c r="G641" s="2200" t="str">
        <f t="shared" si="39"/>
        <v>21020</v>
      </c>
      <c r="H641" s="2200">
        <f>--SUBTOTAL(3,C$2:C641)</f>
        <v>40</v>
      </c>
    </row>
    <row r="642" spans="1:8" hidden="1" x14ac:dyDescent="0.15">
      <c r="A642" s="2200" t="s">
        <v>1878</v>
      </c>
      <c r="B642" s="2200" t="s">
        <v>3133</v>
      </c>
      <c r="C642" s="2200" t="s">
        <v>3134</v>
      </c>
      <c r="D642" s="2200" t="str">
        <f t="shared" si="36"/>
        <v>NC</v>
      </c>
      <c r="E642" s="2200">
        <f t="shared" si="37"/>
        <v>13</v>
      </c>
      <c r="F642" s="2200" t="str">
        <f t="shared" si="38"/>
        <v>37</v>
      </c>
      <c r="G642" s="2200" t="str">
        <f t="shared" si="39"/>
        <v>22180</v>
      </c>
      <c r="H642" s="2200">
        <f>--SUBTOTAL(3,C$2:C642)</f>
        <v>40</v>
      </c>
    </row>
    <row r="643" spans="1:8" hidden="1" x14ac:dyDescent="0.15">
      <c r="A643" s="2200" t="s">
        <v>1902</v>
      </c>
      <c r="B643" s="2200" t="s">
        <v>3135</v>
      </c>
      <c r="C643" s="2200" t="s">
        <v>3136</v>
      </c>
      <c r="D643" s="2200" t="str">
        <f t="shared" si="36"/>
        <v>NC</v>
      </c>
      <c r="E643" s="2200">
        <f t="shared" si="37"/>
        <v>34</v>
      </c>
      <c r="F643" s="2200" t="str">
        <f t="shared" si="38"/>
        <v>37</v>
      </c>
      <c r="G643" s="2200" t="str">
        <f t="shared" si="39"/>
        <v>24600</v>
      </c>
      <c r="H643" s="2200">
        <f>--SUBTOTAL(3,C$2:C643)</f>
        <v>40</v>
      </c>
    </row>
    <row r="644" spans="1:8" hidden="1" x14ac:dyDescent="0.15">
      <c r="A644" s="2200" t="s">
        <v>1884</v>
      </c>
      <c r="B644" s="2200" t="s">
        <v>3137</v>
      </c>
      <c r="C644" s="2200" t="s">
        <v>3138</v>
      </c>
      <c r="D644" s="2200" t="str">
        <f t="shared" si="36"/>
        <v>NC</v>
      </c>
      <c r="E644" s="2200">
        <f t="shared" si="37"/>
        <v>12</v>
      </c>
      <c r="F644" s="2200" t="str">
        <f t="shared" si="38"/>
        <v>37</v>
      </c>
      <c r="G644" s="2200" t="str">
        <f t="shared" si="39"/>
        <v>22580</v>
      </c>
      <c r="H644" s="2200">
        <f>--SUBTOTAL(3,C$2:C644)</f>
        <v>40</v>
      </c>
    </row>
    <row r="645" spans="1:8" hidden="1" x14ac:dyDescent="0.15">
      <c r="A645" s="2200" t="s">
        <v>1878</v>
      </c>
      <c r="B645" s="2200" t="s">
        <v>3139</v>
      </c>
      <c r="C645" s="2200" t="s">
        <v>3140</v>
      </c>
      <c r="D645" s="2200" t="str">
        <f t="shared" si="36"/>
        <v>NC</v>
      </c>
      <c r="E645" s="2200">
        <f t="shared" si="37"/>
        <v>10</v>
      </c>
      <c r="F645" s="2200" t="str">
        <f t="shared" si="38"/>
        <v>37</v>
      </c>
      <c r="G645" s="2200" t="str">
        <f t="shared" si="39"/>
        <v>24140</v>
      </c>
      <c r="H645" s="2200">
        <f>--SUBTOTAL(3,C$2:C645)</f>
        <v>40</v>
      </c>
    </row>
    <row r="646" spans="1:8" hidden="1" x14ac:dyDescent="0.15">
      <c r="A646" s="2200" t="s">
        <v>1878</v>
      </c>
      <c r="B646" s="2200" t="s">
        <v>3141</v>
      </c>
      <c r="C646" s="2200" t="s">
        <v>3142</v>
      </c>
      <c r="D646" s="2200" t="str">
        <f t="shared" si="36"/>
        <v>NC</v>
      </c>
      <c r="E646" s="2200">
        <f t="shared" si="37"/>
        <v>22</v>
      </c>
      <c r="F646" s="2200" t="str">
        <f t="shared" si="38"/>
        <v>37</v>
      </c>
      <c r="G646" s="2200" t="str">
        <f t="shared" si="39"/>
        <v>24660</v>
      </c>
      <c r="H646" s="2200">
        <f>--SUBTOTAL(3,C$2:C646)</f>
        <v>40</v>
      </c>
    </row>
    <row r="647" spans="1:8" hidden="1" x14ac:dyDescent="0.15">
      <c r="A647" s="2200" t="s">
        <v>1902</v>
      </c>
      <c r="B647" s="2200" t="s">
        <v>3143</v>
      </c>
      <c r="C647" s="2200" t="s">
        <v>3144</v>
      </c>
      <c r="D647" s="2200" t="str">
        <f t="shared" si="36"/>
        <v>NC</v>
      </c>
      <c r="E647" s="2200">
        <f t="shared" si="37"/>
        <v>38</v>
      </c>
      <c r="F647" s="2200" t="str">
        <f t="shared" si="38"/>
        <v>37</v>
      </c>
      <c r="G647" s="2200" t="str">
        <f t="shared" si="39"/>
        <v>26800</v>
      </c>
      <c r="H647" s="2200">
        <f>--SUBTOTAL(3,C$2:C647)</f>
        <v>40</v>
      </c>
    </row>
    <row r="648" spans="1:8" hidden="1" x14ac:dyDescent="0.15">
      <c r="A648" s="2200" t="s">
        <v>1878</v>
      </c>
      <c r="B648" s="2200" t="s">
        <v>3145</v>
      </c>
      <c r="C648" s="2200" t="s">
        <v>3146</v>
      </c>
      <c r="D648" s="2200" t="str">
        <f t="shared" si="36"/>
        <v>NC</v>
      </c>
      <c r="E648" s="2200">
        <f t="shared" si="37"/>
        <v>11</v>
      </c>
      <c r="F648" s="2200" t="str">
        <f t="shared" si="38"/>
        <v>37</v>
      </c>
      <c r="G648" s="2200" t="str">
        <f t="shared" si="39"/>
        <v>24780</v>
      </c>
      <c r="H648" s="2200">
        <f>--SUBTOTAL(3,C$2:C648)</f>
        <v>40</v>
      </c>
    </row>
    <row r="649" spans="1:8" hidden="1" x14ac:dyDescent="0.15">
      <c r="A649" s="2200" t="s">
        <v>1902</v>
      </c>
      <c r="B649" s="2200" t="s">
        <v>3147</v>
      </c>
      <c r="C649" s="2200" t="s">
        <v>3148</v>
      </c>
      <c r="D649" s="2200" t="str">
        <f t="shared" si="36"/>
        <v>NC</v>
      </c>
      <c r="E649" s="2200">
        <f t="shared" si="37"/>
        <v>22</v>
      </c>
      <c r="F649" s="2200" t="str">
        <f t="shared" si="38"/>
        <v>37</v>
      </c>
      <c r="G649" s="2200" t="str">
        <f t="shared" si="39"/>
        <v>27400</v>
      </c>
      <c r="H649" s="2200">
        <f>--SUBTOTAL(3,C$2:C649)</f>
        <v>40</v>
      </c>
    </row>
    <row r="650" spans="1:8" hidden="1" x14ac:dyDescent="0.15">
      <c r="A650" s="2200" t="s">
        <v>1884</v>
      </c>
      <c r="B650" s="2200" t="s">
        <v>3149</v>
      </c>
      <c r="C650" s="2200" t="s">
        <v>3150</v>
      </c>
      <c r="D650" s="2200" t="str">
        <f t="shared" si="36"/>
        <v>NC</v>
      </c>
      <c r="E650" s="2200">
        <f t="shared" si="37"/>
        <v>10</v>
      </c>
      <c r="F650" s="2200" t="str">
        <f t="shared" si="38"/>
        <v>37</v>
      </c>
      <c r="G650" s="2200" t="str">
        <f t="shared" si="39"/>
        <v>25780</v>
      </c>
      <c r="H650" s="2200">
        <f>--SUBTOTAL(3,C$2:C650)</f>
        <v>40</v>
      </c>
    </row>
    <row r="651" spans="1:8" hidden="1" x14ac:dyDescent="0.15">
      <c r="A651" s="2200" t="s">
        <v>1902</v>
      </c>
      <c r="B651" s="2200" t="s">
        <v>3151</v>
      </c>
      <c r="C651" s="2200" t="s">
        <v>3152</v>
      </c>
      <c r="D651" s="2200" t="str">
        <f t="shared" si="36"/>
        <v>NC</v>
      </c>
      <c r="E651" s="2200">
        <f t="shared" si="37"/>
        <v>15</v>
      </c>
      <c r="F651" s="2200" t="str">
        <f t="shared" si="38"/>
        <v>37</v>
      </c>
      <c r="G651" s="2200" t="str">
        <f t="shared" si="39"/>
        <v>28000</v>
      </c>
      <c r="H651" s="2200">
        <f>--SUBTOTAL(3,C$2:C651)</f>
        <v>40</v>
      </c>
    </row>
    <row r="652" spans="1:8" hidden="1" x14ac:dyDescent="0.15">
      <c r="A652" s="2200" t="s">
        <v>1878</v>
      </c>
      <c r="B652" s="2200" t="s">
        <v>3153</v>
      </c>
      <c r="C652" s="2200" t="s">
        <v>3154</v>
      </c>
      <c r="D652" s="2200" t="str">
        <f t="shared" si="36"/>
        <v>NC</v>
      </c>
      <c r="E652" s="2200">
        <f t="shared" si="37"/>
        <v>25</v>
      </c>
      <c r="F652" s="2200" t="str">
        <f t="shared" si="38"/>
        <v>37</v>
      </c>
      <c r="G652" s="2200" t="str">
        <f t="shared" si="39"/>
        <v>25860</v>
      </c>
      <c r="H652" s="2200">
        <f>--SUBTOTAL(3,C$2:C652)</f>
        <v>40</v>
      </c>
    </row>
    <row r="653" spans="1:8" hidden="1" x14ac:dyDescent="0.15">
      <c r="A653" s="2200" t="s">
        <v>1878</v>
      </c>
      <c r="B653" s="2200" t="s">
        <v>3155</v>
      </c>
      <c r="C653" s="2200" t="s">
        <v>3156</v>
      </c>
      <c r="D653" s="2200" t="str">
        <f t="shared" si="36"/>
        <v>NC</v>
      </c>
      <c r="E653" s="2200">
        <f t="shared" si="37"/>
        <v>13</v>
      </c>
      <c r="F653" s="2200" t="str">
        <f t="shared" si="38"/>
        <v>37</v>
      </c>
      <c r="G653" s="2200" t="str">
        <f t="shared" si="39"/>
        <v>27340</v>
      </c>
      <c r="H653" s="2200">
        <f>--SUBTOTAL(3,C$2:C653)</f>
        <v>40</v>
      </c>
    </row>
    <row r="654" spans="1:8" hidden="1" x14ac:dyDescent="0.15">
      <c r="A654" s="2200" t="s">
        <v>1884</v>
      </c>
      <c r="B654" s="2200" t="s">
        <v>3157</v>
      </c>
      <c r="C654" s="2200" t="s">
        <v>3158</v>
      </c>
      <c r="D654" s="2200" t="str">
        <f t="shared" si="36"/>
        <v>NC</v>
      </c>
      <c r="E654" s="2200">
        <f t="shared" si="37"/>
        <v>17</v>
      </c>
      <c r="F654" s="2200" t="str">
        <f t="shared" si="38"/>
        <v>37</v>
      </c>
      <c r="G654" s="2200" t="str">
        <f t="shared" si="39"/>
        <v>28620</v>
      </c>
      <c r="H654" s="2200">
        <f>--SUBTOTAL(3,C$2:C654)</f>
        <v>40</v>
      </c>
    </row>
    <row r="655" spans="1:8" hidden="1" x14ac:dyDescent="0.15">
      <c r="A655" s="2200" t="s">
        <v>1884</v>
      </c>
      <c r="B655" s="2200" t="s">
        <v>3159</v>
      </c>
      <c r="C655" s="2200" t="s">
        <v>3160</v>
      </c>
      <c r="D655" s="2200" t="str">
        <f t="shared" si="36"/>
        <v>NC</v>
      </c>
      <c r="E655" s="2200">
        <f t="shared" si="37"/>
        <v>8</v>
      </c>
      <c r="F655" s="2200" t="str">
        <f t="shared" si="38"/>
        <v>37</v>
      </c>
      <c r="G655" s="2200" t="str">
        <f t="shared" si="39"/>
        <v>28820</v>
      </c>
      <c r="H655" s="2200">
        <f>--SUBTOTAL(3,C$2:C655)</f>
        <v>40</v>
      </c>
    </row>
    <row r="656" spans="1:8" hidden="1" x14ac:dyDescent="0.15">
      <c r="A656" s="2200" t="s">
        <v>1884</v>
      </c>
      <c r="B656" s="2200" t="s">
        <v>3161</v>
      </c>
      <c r="C656" s="2200" t="s">
        <v>3162</v>
      </c>
      <c r="D656" s="2200" t="str">
        <f t="shared" si="36"/>
        <v>NC</v>
      </c>
      <c r="E656" s="2200">
        <f t="shared" si="37"/>
        <v>11</v>
      </c>
      <c r="F656" s="2200" t="str">
        <f t="shared" si="38"/>
        <v>37</v>
      </c>
      <c r="G656" s="2200" t="str">
        <f t="shared" si="39"/>
        <v>29900</v>
      </c>
      <c r="H656" s="2200">
        <f>--SUBTOTAL(3,C$2:C656)</f>
        <v>40</v>
      </c>
    </row>
    <row r="657" spans="1:8" hidden="1" x14ac:dyDescent="0.15">
      <c r="A657" s="2200" t="s">
        <v>1884</v>
      </c>
      <c r="B657" s="2200" t="s">
        <v>3163</v>
      </c>
      <c r="C657" s="2200" t="s">
        <v>3164</v>
      </c>
      <c r="D657" s="2200" t="str">
        <f t="shared" si="36"/>
        <v>NC</v>
      </c>
      <c r="E657" s="2200">
        <f t="shared" si="37"/>
        <v>10</v>
      </c>
      <c r="F657" s="2200" t="str">
        <f t="shared" si="38"/>
        <v>37</v>
      </c>
      <c r="G657" s="2200" t="str">
        <f t="shared" si="39"/>
        <v>31300</v>
      </c>
      <c r="H657" s="2200">
        <f>--SUBTOTAL(3,C$2:C657)</f>
        <v>40</v>
      </c>
    </row>
    <row r="658" spans="1:8" hidden="1" x14ac:dyDescent="0.15">
      <c r="A658" s="2200" t="s">
        <v>1884</v>
      </c>
      <c r="B658" s="2200" t="s">
        <v>3165</v>
      </c>
      <c r="C658" s="2200" t="s">
        <v>3166</v>
      </c>
      <c r="D658" s="2200" t="str">
        <f t="shared" si="36"/>
        <v>NC</v>
      </c>
      <c r="E658" s="2200">
        <f t="shared" si="37"/>
        <v>7</v>
      </c>
      <c r="F658" s="2200" t="str">
        <f t="shared" si="38"/>
        <v>37</v>
      </c>
      <c r="G658" s="2200" t="str">
        <f t="shared" si="39"/>
        <v>32000</v>
      </c>
      <c r="H658" s="2200">
        <f>--SUBTOTAL(3,C$2:C658)</f>
        <v>40</v>
      </c>
    </row>
    <row r="659" spans="1:8" hidden="1" x14ac:dyDescent="0.15">
      <c r="A659" s="2200" t="s">
        <v>1884</v>
      </c>
      <c r="B659" s="2200" t="s">
        <v>3167</v>
      </c>
      <c r="C659" s="2200" t="s">
        <v>3168</v>
      </c>
      <c r="D659" s="2200" t="str">
        <f t="shared" si="36"/>
        <v>NC</v>
      </c>
      <c r="E659" s="2200">
        <f t="shared" si="37"/>
        <v>14</v>
      </c>
      <c r="F659" s="2200" t="str">
        <f t="shared" si="38"/>
        <v>37</v>
      </c>
      <c r="G659" s="2200" t="str">
        <f t="shared" si="39"/>
        <v>33980</v>
      </c>
      <c r="H659" s="2200">
        <f>--SUBTOTAL(3,C$2:C659)</f>
        <v>40</v>
      </c>
    </row>
    <row r="660" spans="1:8" hidden="1" x14ac:dyDescent="0.15">
      <c r="A660" s="2200" t="s">
        <v>1884</v>
      </c>
      <c r="B660" s="2200" t="s">
        <v>3169</v>
      </c>
      <c r="C660" s="2200" t="s">
        <v>3170</v>
      </c>
      <c r="D660" s="2200" t="str">
        <f t="shared" si="36"/>
        <v>NC</v>
      </c>
      <c r="E660" s="2200">
        <f t="shared" si="37"/>
        <v>11</v>
      </c>
      <c r="F660" s="2200" t="str">
        <f t="shared" si="38"/>
        <v>37</v>
      </c>
      <c r="G660" s="2200" t="str">
        <f t="shared" si="39"/>
        <v>34340</v>
      </c>
      <c r="H660" s="2200">
        <f>--SUBTOTAL(3,C$2:C660)</f>
        <v>40</v>
      </c>
    </row>
    <row r="661" spans="1:8" hidden="1" x14ac:dyDescent="0.15">
      <c r="A661" s="2200" t="s">
        <v>1878</v>
      </c>
      <c r="B661" s="2200" t="s">
        <v>3746</v>
      </c>
      <c r="C661" s="2200" t="s">
        <v>17886</v>
      </c>
      <c r="D661" s="2200" t="str">
        <f t="shared" si="36"/>
        <v>NC</v>
      </c>
      <c r="E661" s="2200">
        <f t="shared" si="37"/>
        <v>39</v>
      </c>
      <c r="F661" s="2200" t="str">
        <f t="shared" si="38"/>
        <v>45</v>
      </c>
      <c r="G661" s="2200" t="str">
        <f t="shared" si="39"/>
        <v>34820</v>
      </c>
      <c r="H661" s="2200">
        <f>--SUBTOTAL(3,C$2:C661)</f>
        <v>40</v>
      </c>
    </row>
    <row r="662" spans="1:8" hidden="1" x14ac:dyDescent="0.15">
      <c r="A662" s="2200" t="s">
        <v>1878</v>
      </c>
      <c r="B662" s="2200" t="s">
        <v>3171</v>
      </c>
      <c r="C662" s="2200" t="s">
        <v>3172</v>
      </c>
      <c r="D662" s="2200" t="str">
        <f t="shared" si="36"/>
        <v>NC</v>
      </c>
      <c r="E662" s="2200">
        <f t="shared" si="37"/>
        <v>9</v>
      </c>
      <c r="F662" s="2200" t="str">
        <f t="shared" si="38"/>
        <v>37</v>
      </c>
      <c r="G662" s="2200" t="str">
        <f t="shared" si="39"/>
        <v>35100</v>
      </c>
      <c r="H662" s="2200">
        <f>--SUBTOTAL(3,C$2:C662)</f>
        <v>40</v>
      </c>
    </row>
    <row r="663" spans="1:8" hidden="1" x14ac:dyDescent="0.15">
      <c r="A663" s="2200" t="s">
        <v>1902</v>
      </c>
      <c r="B663" s="2200" t="s">
        <v>3173</v>
      </c>
      <c r="C663" s="2200" t="s">
        <v>3174</v>
      </c>
      <c r="D663" s="2200" t="str">
        <f t="shared" si="36"/>
        <v>NC</v>
      </c>
      <c r="E663" s="2200">
        <f t="shared" si="37"/>
        <v>23</v>
      </c>
      <c r="F663" s="2200" t="str">
        <f t="shared" si="38"/>
        <v>37</v>
      </c>
      <c r="G663" s="2200" t="str">
        <f t="shared" si="39"/>
        <v>40400</v>
      </c>
      <c r="H663" s="2200">
        <f>--SUBTOTAL(3,C$2:C663)</f>
        <v>40</v>
      </c>
    </row>
    <row r="664" spans="1:8" hidden="1" x14ac:dyDescent="0.15">
      <c r="A664" s="2200" t="s">
        <v>1884</v>
      </c>
      <c r="B664" s="2200" t="s">
        <v>3175</v>
      </c>
      <c r="C664" s="2200" t="s">
        <v>3176</v>
      </c>
      <c r="D664" s="2200" t="str">
        <f t="shared" si="36"/>
        <v>NC</v>
      </c>
      <c r="E664" s="2200">
        <f t="shared" si="37"/>
        <v>17</v>
      </c>
      <c r="F664" s="2200" t="str">
        <f t="shared" si="38"/>
        <v>37</v>
      </c>
      <c r="G664" s="2200" t="str">
        <f t="shared" si="39"/>
        <v>35900</v>
      </c>
      <c r="H664" s="2200">
        <f>--SUBTOTAL(3,C$2:C664)</f>
        <v>40</v>
      </c>
    </row>
    <row r="665" spans="1:8" hidden="1" x14ac:dyDescent="0.15">
      <c r="A665" s="2200" t="s">
        <v>1884</v>
      </c>
      <c r="B665" s="2200" t="s">
        <v>3177</v>
      </c>
      <c r="C665" s="2200" t="s">
        <v>3178</v>
      </c>
      <c r="D665" s="2200" t="str">
        <f t="shared" si="36"/>
        <v>NC</v>
      </c>
      <c r="E665" s="2200">
        <f t="shared" si="37"/>
        <v>7</v>
      </c>
      <c r="F665" s="2200" t="str">
        <f t="shared" si="38"/>
        <v>37</v>
      </c>
      <c r="G665" s="2200" t="str">
        <f t="shared" si="39"/>
        <v>37080</v>
      </c>
      <c r="H665" s="2200">
        <f>--SUBTOTAL(3,C$2:C665)</f>
        <v>40</v>
      </c>
    </row>
    <row r="666" spans="1:8" hidden="1" x14ac:dyDescent="0.15">
      <c r="A666" s="2200" t="s">
        <v>1884</v>
      </c>
      <c r="B666" s="2200" t="s">
        <v>3179</v>
      </c>
      <c r="C666" s="2200" t="s">
        <v>3180</v>
      </c>
      <c r="D666" s="2200" t="str">
        <f t="shared" si="36"/>
        <v>NC</v>
      </c>
      <c r="E666" s="2200">
        <f t="shared" si="37"/>
        <v>25</v>
      </c>
      <c r="F666" s="2200" t="str">
        <f t="shared" si="38"/>
        <v>37</v>
      </c>
      <c r="G666" s="2200" t="str">
        <f t="shared" si="39"/>
        <v>38240</v>
      </c>
      <c r="H666" s="2200">
        <f>--SUBTOTAL(3,C$2:C666)</f>
        <v>40</v>
      </c>
    </row>
    <row r="667" spans="1:8" hidden="1" x14ac:dyDescent="0.15">
      <c r="A667" s="2200" t="s">
        <v>1878</v>
      </c>
      <c r="B667" s="2200" t="s">
        <v>3181</v>
      </c>
      <c r="C667" s="2200" t="s">
        <v>3182</v>
      </c>
      <c r="D667" s="2200" t="str">
        <f t="shared" si="36"/>
        <v>NC</v>
      </c>
      <c r="E667" s="2200">
        <f t="shared" si="37"/>
        <v>8</v>
      </c>
      <c r="F667" s="2200" t="str">
        <f t="shared" si="38"/>
        <v>37</v>
      </c>
      <c r="G667" s="2200" t="str">
        <f t="shared" si="39"/>
        <v>39580</v>
      </c>
      <c r="H667" s="2200">
        <f>--SUBTOTAL(3,C$2:C667)</f>
        <v>40</v>
      </c>
    </row>
    <row r="668" spans="1:8" hidden="1" x14ac:dyDescent="0.15">
      <c r="A668" s="2200" t="s">
        <v>1902</v>
      </c>
      <c r="B668" s="2200" t="s">
        <v>3183</v>
      </c>
      <c r="C668" s="2200" t="s">
        <v>3184</v>
      </c>
      <c r="D668" s="2200" t="str">
        <f t="shared" si="36"/>
        <v>NC</v>
      </c>
      <c r="E668" s="2200">
        <f t="shared" si="37"/>
        <v>27</v>
      </c>
      <c r="F668" s="2200" t="str">
        <f t="shared" si="38"/>
        <v>37</v>
      </c>
      <c r="G668" s="2200" t="str">
        <f t="shared" si="39"/>
        <v>45000</v>
      </c>
      <c r="H668" s="2200">
        <f>--SUBTOTAL(3,C$2:C668)</f>
        <v>40</v>
      </c>
    </row>
    <row r="669" spans="1:8" hidden="1" x14ac:dyDescent="0.15">
      <c r="A669" s="2200" t="s">
        <v>1884</v>
      </c>
      <c r="B669" s="2200" t="s">
        <v>3185</v>
      </c>
      <c r="C669" s="2200" t="s">
        <v>3186</v>
      </c>
      <c r="D669" s="2200" t="str">
        <f t="shared" si="36"/>
        <v>NC</v>
      </c>
      <c r="E669" s="2200">
        <f t="shared" si="37"/>
        <v>15</v>
      </c>
      <c r="F669" s="2200" t="str">
        <f t="shared" si="38"/>
        <v>37</v>
      </c>
      <c r="G669" s="2200" t="str">
        <f t="shared" si="39"/>
        <v>40260</v>
      </c>
      <c r="H669" s="2200">
        <f>--SUBTOTAL(3,C$2:C669)</f>
        <v>40</v>
      </c>
    </row>
    <row r="670" spans="1:8" hidden="1" x14ac:dyDescent="0.15">
      <c r="A670" s="2200" t="s">
        <v>1884</v>
      </c>
      <c r="B670" s="2200" t="s">
        <v>3187</v>
      </c>
      <c r="C670" s="2200" t="s">
        <v>3188</v>
      </c>
      <c r="D670" s="2200" t="str">
        <f t="shared" si="36"/>
        <v>NC</v>
      </c>
      <c r="E670" s="2200">
        <f t="shared" si="37"/>
        <v>11</v>
      </c>
      <c r="F670" s="2200" t="str">
        <f t="shared" si="38"/>
        <v>37</v>
      </c>
      <c r="G670" s="2200" t="str">
        <f t="shared" si="39"/>
        <v>40460</v>
      </c>
      <c r="H670" s="2200">
        <f>--SUBTOTAL(3,C$2:C670)</f>
        <v>40</v>
      </c>
    </row>
    <row r="671" spans="1:8" hidden="1" x14ac:dyDescent="0.15">
      <c r="A671" s="2200" t="s">
        <v>1878</v>
      </c>
      <c r="B671" s="2200" t="s">
        <v>3189</v>
      </c>
      <c r="C671" s="2200" t="s">
        <v>3190</v>
      </c>
      <c r="D671" s="2200" t="str">
        <f t="shared" si="36"/>
        <v>NC</v>
      </c>
      <c r="E671" s="2200">
        <f t="shared" si="37"/>
        <v>12</v>
      </c>
      <c r="F671" s="2200" t="str">
        <f t="shared" si="38"/>
        <v>37</v>
      </c>
      <c r="G671" s="2200" t="str">
        <f t="shared" si="39"/>
        <v>40580</v>
      </c>
      <c r="H671" s="2200">
        <f>--SUBTOTAL(3,C$2:C671)</f>
        <v>40</v>
      </c>
    </row>
    <row r="672" spans="1:8" hidden="1" x14ac:dyDescent="0.15">
      <c r="A672" s="2200" t="s">
        <v>1902</v>
      </c>
      <c r="B672" s="2200" t="s">
        <v>3191</v>
      </c>
      <c r="C672" s="2200" t="s">
        <v>3192</v>
      </c>
      <c r="D672" s="2200" t="str">
        <f t="shared" ref="D672:D739" si="40">MID(C672,E672+2,2)</f>
        <v>NC</v>
      </c>
      <c r="E672" s="2200">
        <f t="shared" ref="E672:E739" si="41">FIND(",",C672)</f>
        <v>34</v>
      </c>
      <c r="F672" s="2200" t="str">
        <f t="shared" ref="F672:F739" si="42">MID(B672,3,2)</f>
        <v>37</v>
      </c>
      <c r="G672" s="2200" t="str">
        <f t="shared" ref="G672:G739" si="43">MID(B672,5,5)</f>
        <v>46800</v>
      </c>
      <c r="H672" s="2200">
        <f>--SUBTOTAL(3,C$2:C672)</f>
        <v>40</v>
      </c>
    </row>
    <row r="673" spans="1:8" hidden="1" x14ac:dyDescent="0.15">
      <c r="A673" s="2200" t="s">
        <v>1884</v>
      </c>
      <c r="B673" s="2200" t="s">
        <v>3193</v>
      </c>
      <c r="C673" s="2200" t="s">
        <v>3194</v>
      </c>
      <c r="D673" s="2200" t="str">
        <f t="shared" si="40"/>
        <v>NC</v>
      </c>
      <c r="E673" s="2200">
        <f t="shared" si="41"/>
        <v>8</v>
      </c>
      <c r="F673" s="2200" t="str">
        <f t="shared" si="42"/>
        <v>37</v>
      </c>
      <c r="G673" s="2200" t="str">
        <f t="shared" si="43"/>
        <v>41820</v>
      </c>
      <c r="H673" s="2200">
        <f>--SUBTOTAL(3,C$2:C673)</f>
        <v>40</v>
      </c>
    </row>
    <row r="674" spans="1:8" hidden="1" x14ac:dyDescent="0.15">
      <c r="A674" s="2200" t="s">
        <v>1884</v>
      </c>
      <c r="B674" s="2200" t="s">
        <v>3195</v>
      </c>
      <c r="C674" s="2200" t="s">
        <v>3196</v>
      </c>
      <c r="D674" s="2200" t="str">
        <f t="shared" si="40"/>
        <v>NC</v>
      </c>
      <c r="E674" s="2200">
        <f t="shared" si="41"/>
        <v>7</v>
      </c>
      <c r="F674" s="2200" t="str">
        <f t="shared" si="42"/>
        <v>37</v>
      </c>
      <c r="G674" s="2200" t="str">
        <f t="shared" si="43"/>
        <v>43140</v>
      </c>
      <c r="H674" s="2200">
        <f>--SUBTOTAL(3,C$2:C674)</f>
        <v>40</v>
      </c>
    </row>
    <row r="675" spans="1:8" hidden="1" x14ac:dyDescent="0.15">
      <c r="A675" s="2200" t="s">
        <v>1878</v>
      </c>
      <c r="B675" s="2200" t="s">
        <v>4069</v>
      </c>
      <c r="C675" s="2200" t="s">
        <v>17850</v>
      </c>
      <c r="D675" s="2200" t="str">
        <f t="shared" si="40"/>
        <v>NC</v>
      </c>
      <c r="E675" s="2200">
        <f t="shared" si="41"/>
        <v>36</v>
      </c>
      <c r="F675" s="2200" t="str">
        <f t="shared" si="42"/>
        <v>51</v>
      </c>
      <c r="G675" s="2200" t="str">
        <f t="shared" si="43"/>
        <v>47260</v>
      </c>
      <c r="H675" s="2200">
        <f>--SUBTOTAL(3,C$2:C675)</f>
        <v>40</v>
      </c>
    </row>
    <row r="676" spans="1:8" hidden="1" x14ac:dyDescent="0.15">
      <c r="A676" s="2200" t="s">
        <v>1884</v>
      </c>
      <c r="B676" s="2200" t="s">
        <v>3197</v>
      </c>
      <c r="C676" s="2200" t="s">
        <v>3198</v>
      </c>
      <c r="D676" s="2200" t="str">
        <f t="shared" si="40"/>
        <v>NC</v>
      </c>
      <c r="E676" s="2200">
        <f t="shared" si="41"/>
        <v>11</v>
      </c>
      <c r="F676" s="2200" t="str">
        <f t="shared" si="42"/>
        <v>37</v>
      </c>
      <c r="G676" s="2200" t="str">
        <f t="shared" si="43"/>
        <v>47820</v>
      </c>
      <c r="H676" s="2200">
        <f>--SUBTOTAL(3,C$2:C676)</f>
        <v>40</v>
      </c>
    </row>
    <row r="677" spans="1:8" hidden="1" x14ac:dyDescent="0.15">
      <c r="A677" s="2200" t="s">
        <v>1878</v>
      </c>
      <c r="B677" s="2200" t="s">
        <v>3199</v>
      </c>
      <c r="C677" s="2200" t="s">
        <v>3200</v>
      </c>
      <c r="D677" s="2200" t="str">
        <f t="shared" si="40"/>
        <v>NC</v>
      </c>
      <c r="E677" s="2200">
        <f t="shared" si="41"/>
        <v>11</v>
      </c>
      <c r="F677" s="2200" t="str">
        <f t="shared" si="42"/>
        <v>37</v>
      </c>
      <c r="G677" s="2200" t="str">
        <f t="shared" si="43"/>
        <v>48900</v>
      </c>
      <c r="H677" s="2200">
        <f>--SUBTOTAL(3,C$2:C677)</f>
        <v>40</v>
      </c>
    </row>
    <row r="678" spans="1:8" hidden="1" x14ac:dyDescent="0.15">
      <c r="A678" s="2200" t="s">
        <v>1884</v>
      </c>
      <c r="B678" s="2200" t="s">
        <v>3201</v>
      </c>
      <c r="C678" s="2200" t="s">
        <v>3202</v>
      </c>
      <c r="D678" s="2200" t="str">
        <f t="shared" si="40"/>
        <v>NC</v>
      </c>
      <c r="E678" s="2200">
        <f t="shared" si="41"/>
        <v>7</v>
      </c>
      <c r="F678" s="2200" t="str">
        <f t="shared" si="42"/>
        <v>37</v>
      </c>
      <c r="G678" s="2200" t="str">
        <f t="shared" si="43"/>
        <v>48980</v>
      </c>
      <c r="H678" s="2200">
        <f>--SUBTOTAL(3,C$2:C678)</f>
        <v>40</v>
      </c>
    </row>
    <row r="679" spans="1:8" hidden="1" x14ac:dyDescent="0.15">
      <c r="A679" s="2200" t="s">
        <v>1878</v>
      </c>
      <c r="B679" s="2200" t="s">
        <v>3203</v>
      </c>
      <c r="C679" s="2200" t="s">
        <v>3204</v>
      </c>
      <c r="D679" s="2200" t="str">
        <f t="shared" si="40"/>
        <v>NC</v>
      </c>
      <c r="E679" s="2200">
        <f t="shared" si="41"/>
        <v>14</v>
      </c>
      <c r="F679" s="2200" t="str">
        <f t="shared" si="42"/>
        <v>37</v>
      </c>
      <c r="G679" s="2200" t="str">
        <f t="shared" si="43"/>
        <v>49180</v>
      </c>
      <c r="H679" s="2200">
        <f>--SUBTOTAL(3,C$2:C679)</f>
        <v>40</v>
      </c>
    </row>
    <row r="680" spans="1:8" hidden="1" x14ac:dyDescent="0.15">
      <c r="A680" s="2200" t="s">
        <v>1878</v>
      </c>
      <c r="B680" s="2200" t="s">
        <v>3205</v>
      </c>
      <c r="C680" s="2200" t="s">
        <v>3206</v>
      </c>
      <c r="D680" s="2200" t="str">
        <f t="shared" si="40"/>
        <v>ND</v>
      </c>
      <c r="E680" s="2200">
        <f t="shared" si="41"/>
        <v>9</v>
      </c>
      <c r="F680" s="2200" t="str">
        <f t="shared" si="42"/>
        <v>38</v>
      </c>
      <c r="G680" s="2200" t="str">
        <f t="shared" si="43"/>
        <v>13900</v>
      </c>
      <c r="H680" s="2200">
        <f>--SUBTOTAL(3,C$2:C680)</f>
        <v>40</v>
      </c>
    </row>
    <row r="681" spans="1:8" hidden="1" x14ac:dyDescent="0.15">
      <c r="A681" s="2200" t="s">
        <v>1884</v>
      </c>
      <c r="B681" s="2200" t="s">
        <v>3208</v>
      </c>
      <c r="C681" s="2200" t="s">
        <v>3209</v>
      </c>
      <c r="D681" s="2200" t="str">
        <f t="shared" si="40"/>
        <v>ND</v>
      </c>
      <c r="E681" s="2200">
        <f t="shared" si="41"/>
        <v>10</v>
      </c>
      <c r="F681" s="2200" t="str">
        <f t="shared" si="42"/>
        <v>38</v>
      </c>
      <c r="G681" s="2200" t="str">
        <f t="shared" si="43"/>
        <v>19860</v>
      </c>
      <c r="H681" s="2200">
        <f>--SUBTOTAL(3,C$2:C681)</f>
        <v>40</v>
      </c>
    </row>
    <row r="682" spans="1:8" hidden="1" x14ac:dyDescent="0.15">
      <c r="A682" s="2200" t="s">
        <v>1878</v>
      </c>
      <c r="B682" s="2200" t="s">
        <v>3210</v>
      </c>
      <c r="C682" s="2200" t="s">
        <v>3211</v>
      </c>
      <c r="D682" s="2200" t="str">
        <f t="shared" si="40"/>
        <v>ND</v>
      </c>
      <c r="E682" s="2200">
        <f t="shared" si="41"/>
        <v>6</v>
      </c>
      <c r="F682" s="2200" t="str">
        <f t="shared" si="42"/>
        <v>38</v>
      </c>
      <c r="G682" s="2200" t="str">
        <f t="shared" si="43"/>
        <v>22020</v>
      </c>
      <c r="H682" s="2200">
        <f>--SUBTOTAL(3,C$2:C682)</f>
        <v>40</v>
      </c>
    </row>
    <row r="683" spans="1:8" hidden="1" x14ac:dyDescent="0.15">
      <c r="A683" s="2200" t="s">
        <v>1902</v>
      </c>
      <c r="B683" s="2200" t="s">
        <v>3212</v>
      </c>
      <c r="C683" s="2200" t="s">
        <v>3213</v>
      </c>
      <c r="D683" s="2200" t="str">
        <f t="shared" si="40"/>
        <v>ND</v>
      </c>
      <c r="E683" s="2200">
        <f t="shared" si="41"/>
        <v>15</v>
      </c>
      <c r="F683" s="2200" t="str">
        <f t="shared" si="42"/>
        <v>38</v>
      </c>
      <c r="G683" s="2200" t="str">
        <f t="shared" si="43"/>
        <v>24400</v>
      </c>
      <c r="H683" s="2200">
        <f>--SUBTOTAL(3,C$2:C683)</f>
        <v>40</v>
      </c>
    </row>
    <row r="684" spans="1:8" hidden="1" x14ac:dyDescent="0.15">
      <c r="A684" s="2200" t="s">
        <v>1878</v>
      </c>
      <c r="B684" s="2200" t="s">
        <v>3214</v>
      </c>
      <c r="C684" s="2200" t="s">
        <v>3215</v>
      </c>
      <c r="D684" s="2200" t="str">
        <f t="shared" si="40"/>
        <v>ND</v>
      </c>
      <c r="E684" s="2200">
        <f t="shared" si="41"/>
        <v>12</v>
      </c>
      <c r="F684" s="2200" t="str">
        <f t="shared" si="42"/>
        <v>38</v>
      </c>
      <c r="G684" s="2200" t="str">
        <f t="shared" si="43"/>
        <v>24220</v>
      </c>
      <c r="H684" s="2200">
        <f>--SUBTOTAL(3,C$2:C684)</f>
        <v>40</v>
      </c>
    </row>
    <row r="685" spans="1:8" hidden="1" x14ac:dyDescent="0.15">
      <c r="A685" s="2200" t="s">
        <v>1884</v>
      </c>
      <c r="B685" s="2200" t="s">
        <v>3216</v>
      </c>
      <c r="C685" s="2200" t="s">
        <v>3217</v>
      </c>
      <c r="D685" s="2200" t="str">
        <f t="shared" si="40"/>
        <v>ND</v>
      </c>
      <c r="E685" s="2200">
        <f t="shared" si="41"/>
        <v>10</v>
      </c>
      <c r="F685" s="2200" t="str">
        <f t="shared" si="42"/>
        <v>38</v>
      </c>
      <c r="G685" s="2200" t="str">
        <f t="shared" si="43"/>
        <v>27420</v>
      </c>
      <c r="H685" s="2200">
        <f>--SUBTOTAL(3,C$2:C685)</f>
        <v>40</v>
      </c>
    </row>
    <row r="686" spans="1:8" hidden="1" x14ac:dyDescent="0.15">
      <c r="A686" s="2200" t="s">
        <v>1884</v>
      </c>
      <c r="B686" s="2200" t="s">
        <v>3218</v>
      </c>
      <c r="C686" s="2200" t="s">
        <v>3219</v>
      </c>
      <c r="D686" s="2200" t="str">
        <f t="shared" si="40"/>
        <v>ND</v>
      </c>
      <c r="E686" s="2200">
        <f t="shared" si="41"/>
        <v>6</v>
      </c>
      <c r="F686" s="2200" t="str">
        <f t="shared" si="42"/>
        <v>38</v>
      </c>
      <c r="G686" s="2200" t="str">
        <f t="shared" si="43"/>
        <v>33500</v>
      </c>
      <c r="H686" s="2200">
        <f>--SUBTOTAL(3,C$2:C686)</f>
        <v>40</v>
      </c>
    </row>
    <row r="687" spans="1:8" hidden="1" x14ac:dyDescent="0.15">
      <c r="A687" s="2200" t="s">
        <v>1884</v>
      </c>
      <c r="B687" s="2200" t="s">
        <v>3220</v>
      </c>
      <c r="C687" s="2200" t="s">
        <v>3221</v>
      </c>
      <c r="D687" s="2200" t="str">
        <f t="shared" si="40"/>
        <v>ND</v>
      </c>
      <c r="E687" s="2200">
        <f t="shared" si="41"/>
        <v>9</v>
      </c>
      <c r="F687" s="2200" t="str">
        <f t="shared" si="42"/>
        <v>38</v>
      </c>
      <c r="G687" s="2200" t="str">
        <f t="shared" si="43"/>
        <v>47420</v>
      </c>
      <c r="H687" s="2200">
        <f>--SUBTOTAL(3,C$2:C687)</f>
        <v>40</v>
      </c>
    </row>
    <row r="688" spans="1:8" hidden="1" x14ac:dyDescent="0.15">
      <c r="A688" s="2200" t="s">
        <v>1884</v>
      </c>
      <c r="B688" s="2200" t="s">
        <v>3222</v>
      </c>
      <c r="C688" s="2200" t="s">
        <v>3223</v>
      </c>
      <c r="D688" s="2200" t="str">
        <f t="shared" si="40"/>
        <v>ND</v>
      </c>
      <c r="E688" s="2200">
        <f t="shared" si="41"/>
        <v>10</v>
      </c>
      <c r="F688" s="2200" t="str">
        <f t="shared" si="42"/>
        <v>38</v>
      </c>
      <c r="G688" s="2200" t="str">
        <f t="shared" si="43"/>
        <v>48780</v>
      </c>
      <c r="H688" s="2200">
        <f>--SUBTOTAL(3,C$2:C688)</f>
        <v>40</v>
      </c>
    </row>
    <row r="689" spans="1:8" hidden="1" x14ac:dyDescent="0.15">
      <c r="A689" s="2200" t="s">
        <v>1884</v>
      </c>
      <c r="B689" s="2200" t="s">
        <v>3224</v>
      </c>
      <c r="C689" s="2200" t="s">
        <v>3225</v>
      </c>
      <c r="D689" s="2200" t="str">
        <f t="shared" si="40"/>
        <v>NE</v>
      </c>
      <c r="E689" s="2200">
        <f t="shared" si="41"/>
        <v>9</v>
      </c>
      <c r="F689" s="2200" t="str">
        <f t="shared" si="42"/>
        <v>31</v>
      </c>
      <c r="G689" s="2200" t="str">
        <f t="shared" si="43"/>
        <v>13100</v>
      </c>
      <c r="H689" s="2200">
        <f>--SUBTOTAL(3,C$2:C689)</f>
        <v>40</v>
      </c>
    </row>
    <row r="690" spans="1:8" hidden="1" x14ac:dyDescent="0.15">
      <c r="A690" s="2200" t="s">
        <v>1884</v>
      </c>
      <c r="B690" s="2200" t="s">
        <v>3227</v>
      </c>
      <c r="C690" s="2200" t="s">
        <v>3228</v>
      </c>
      <c r="D690" s="2200" t="str">
        <f t="shared" si="40"/>
        <v>NE</v>
      </c>
      <c r="E690" s="2200">
        <f t="shared" si="41"/>
        <v>9</v>
      </c>
      <c r="F690" s="2200" t="str">
        <f t="shared" si="42"/>
        <v>31</v>
      </c>
      <c r="G690" s="2200" t="str">
        <f t="shared" si="43"/>
        <v>18100</v>
      </c>
      <c r="H690" s="2200">
        <f>--SUBTOTAL(3,C$2:C690)</f>
        <v>40</v>
      </c>
    </row>
    <row r="691" spans="1:8" hidden="1" x14ac:dyDescent="0.15">
      <c r="A691" s="2200" t="s">
        <v>1884</v>
      </c>
      <c r="B691" s="2200" t="s">
        <v>3229</v>
      </c>
      <c r="C691" s="2200" t="s">
        <v>3230</v>
      </c>
      <c r="D691" s="2200" t="str">
        <f t="shared" si="40"/>
        <v>NE</v>
      </c>
      <c r="E691" s="2200">
        <f t="shared" si="41"/>
        <v>8</v>
      </c>
      <c r="F691" s="2200" t="str">
        <f t="shared" si="42"/>
        <v>31</v>
      </c>
      <c r="G691" s="2200" t="str">
        <f t="shared" si="43"/>
        <v>23340</v>
      </c>
      <c r="H691" s="2200">
        <f>--SUBTOTAL(3,C$2:C691)</f>
        <v>40</v>
      </c>
    </row>
    <row r="692" spans="1:8" hidden="1" x14ac:dyDescent="0.15">
      <c r="A692" s="2200" t="s">
        <v>1878</v>
      </c>
      <c r="B692" s="2200" t="s">
        <v>3231</v>
      </c>
      <c r="C692" s="2200" t="s">
        <v>3232</v>
      </c>
      <c r="D692" s="2200" t="str">
        <f t="shared" si="40"/>
        <v>NE</v>
      </c>
      <c r="E692" s="2200">
        <f t="shared" si="41"/>
        <v>13</v>
      </c>
      <c r="F692" s="2200" t="str">
        <f t="shared" si="42"/>
        <v>31</v>
      </c>
      <c r="G692" s="2200" t="str">
        <f t="shared" si="43"/>
        <v>24260</v>
      </c>
      <c r="H692" s="2200">
        <f>--SUBTOTAL(3,C$2:C692)</f>
        <v>40</v>
      </c>
    </row>
    <row r="693" spans="1:8" hidden="1" x14ac:dyDescent="0.15">
      <c r="A693" s="2200" t="s">
        <v>1884</v>
      </c>
      <c r="B693" s="2200" t="s">
        <v>3233</v>
      </c>
      <c r="C693" s="2200" t="s">
        <v>3234</v>
      </c>
      <c r="D693" s="2200" t="str">
        <f t="shared" si="40"/>
        <v>NE</v>
      </c>
      <c r="E693" s="2200">
        <f t="shared" si="41"/>
        <v>9</v>
      </c>
      <c r="F693" s="2200" t="str">
        <f t="shared" si="42"/>
        <v>31</v>
      </c>
      <c r="G693" s="2200" t="str">
        <f t="shared" si="43"/>
        <v>25580</v>
      </c>
      <c r="H693" s="2200">
        <f>--SUBTOTAL(3,C$2:C693)</f>
        <v>40</v>
      </c>
    </row>
    <row r="694" spans="1:8" hidden="1" x14ac:dyDescent="0.15">
      <c r="A694" s="2200" t="s">
        <v>1884</v>
      </c>
      <c r="B694" s="2200" t="s">
        <v>3235</v>
      </c>
      <c r="C694" s="2200" t="s">
        <v>3236</v>
      </c>
      <c r="D694" s="2200" t="str">
        <f t="shared" si="40"/>
        <v>NE</v>
      </c>
      <c r="E694" s="2200">
        <f t="shared" si="41"/>
        <v>8</v>
      </c>
      <c r="F694" s="2200" t="str">
        <f t="shared" si="42"/>
        <v>31</v>
      </c>
      <c r="G694" s="2200" t="str">
        <f t="shared" si="43"/>
        <v>28260</v>
      </c>
      <c r="H694" s="2200">
        <f>--SUBTOTAL(3,C$2:C694)</f>
        <v>40</v>
      </c>
    </row>
    <row r="695" spans="1:8" hidden="1" x14ac:dyDescent="0.15">
      <c r="A695" s="2200" t="s">
        <v>1884</v>
      </c>
      <c r="B695" s="2200" t="s">
        <v>3237</v>
      </c>
      <c r="C695" s="2200" t="s">
        <v>3238</v>
      </c>
      <c r="D695" s="2200" t="str">
        <f t="shared" si="40"/>
        <v>NE</v>
      </c>
      <c r="E695" s="2200">
        <f t="shared" si="41"/>
        <v>10</v>
      </c>
      <c r="F695" s="2200" t="str">
        <f t="shared" si="42"/>
        <v>31</v>
      </c>
      <c r="G695" s="2200" t="str">
        <f t="shared" si="43"/>
        <v>30420</v>
      </c>
      <c r="H695" s="2200">
        <f>--SUBTOTAL(3,C$2:C695)</f>
        <v>40</v>
      </c>
    </row>
    <row r="696" spans="1:8" hidden="1" x14ac:dyDescent="0.15">
      <c r="A696" s="2200" t="s">
        <v>1878</v>
      </c>
      <c r="B696" s="2200" t="s">
        <v>3239</v>
      </c>
      <c r="C696" s="2200" t="s">
        <v>3240</v>
      </c>
      <c r="D696" s="2200" t="str">
        <f t="shared" si="40"/>
        <v>NE</v>
      </c>
      <c r="E696" s="2200">
        <f t="shared" si="41"/>
        <v>8</v>
      </c>
      <c r="F696" s="2200" t="str">
        <f t="shared" si="42"/>
        <v>31</v>
      </c>
      <c r="G696" s="2200" t="str">
        <f t="shared" si="43"/>
        <v>30700</v>
      </c>
      <c r="H696" s="2200">
        <f>--SUBTOTAL(3,C$2:C696)</f>
        <v>40</v>
      </c>
    </row>
    <row r="697" spans="1:8" hidden="1" x14ac:dyDescent="0.15">
      <c r="A697" s="2200" t="s">
        <v>1902</v>
      </c>
      <c r="B697" s="2200" t="s">
        <v>3241</v>
      </c>
      <c r="C697" s="2200" t="s">
        <v>3242</v>
      </c>
      <c r="D697" s="2200" t="str">
        <f t="shared" si="40"/>
        <v>NE</v>
      </c>
      <c r="E697" s="2200">
        <f t="shared" si="41"/>
        <v>17</v>
      </c>
      <c r="F697" s="2200" t="str">
        <f t="shared" si="42"/>
        <v>31</v>
      </c>
      <c r="G697" s="2200" t="str">
        <f t="shared" si="43"/>
        <v>33900</v>
      </c>
      <c r="H697" s="2200">
        <f>--SUBTOTAL(3,C$2:C697)</f>
        <v>40</v>
      </c>
    </row>
    <row r="698" spans="1:8" hidden="1" x14ac:dyDescent="0.15">
      <c r="A698" s="2200" t="s">
        <v>1884</v>
      </c>
      <c r="B698" s="2200" t="s">
        <v>3243</v>
      </c>
      <c r="C698" s="2200" t="s">
        <v>3244</v>
      </c>
      <c r="D698" s="2200" t="str">
        <f t="shared" si="40"/>
        <v>NE</v>
      </c>
      <c r="E698" s="2200">
        <f t="shared" si="41"/>
        <v>8</v>
      </c>
      <c r="F698" s="2200" t="str">
        <f t="shared" si="42"/>
        <v>31</v>
      </c>
      <c r="G698" s="2200" t="str">
        <f t="shared" si="43"/>
        <v>35740</v>
      </c>
      <c r="H698" s="2200">
        <f>--SUBTOTAL(3,C$2:C698)</f>
        <v>40</v>
      </c>
    </row>
    <row r="699" spans="1:8" hidden="1" x14ac:dyDescent="0.15">
      <c r="A699" s="2200" t="s">
        <v>1884</v>
      </c>
      <c r="B699" s="2200" t="s">
        <v>3245</v>
      </c>
      <c r="C699" s="2200" t="s">
        <v>3246</v>
      </c>
      <c r="D699" s="2200" t="str">
        <f t="shared" si="40"/>
        <v>NE</v>
      </c>
      <c r="E699" s="2200">
        <f t="shared" si="41"/>
        <v>13</v>
      </c>
      <c r="F699" s="2200" t="str">
        <f t="shared" si="42"/>
        <v>31</v>
      </c>
      <c r="G699" s="2200" t="str">
        <f t="shared" si="43"/>
        <v>35820</v>
      </c>
      <c r="H699" s="2200">
        <f>--SUBTOTAL(3,C$2:C699)</f>
        <v>40</v>
      </c>
    </row>
    <row r="700" spans="1:8" hidden="1" x14ac:dyDescent="0.15">
      <c r="A700" s="2200" t="s">
        <v>1878</v>
      </c>
      <c r="B700" s="2200" t="s">
        <v>3247</v>
      </c>
      <c r="C700" s="2200" t="s">
        <v>3248</v>
      </c>
      <c r="D700" s="2200" t="str">
        <f t="shared" si="40"/>
        <v>NE</v>
      </c>
      <c r="E700" s="2200">
        <f t="shared" si="41"/>
        <v>21</v>
      </c>
      <c r="F700" s="2200" t="str">
        <f t="shared" si="42"/>
        <v>31</v>
      </c>
      <c r="G700" s="2200" t="str">
        <f t="shared" si="43"/>
        <v>36540</v>
      </c>
      <c r="H700" s="2200">
        <f>--SUBTOTAL(3,C$2:C700)</f>
        <v>40</v>
      </c>
    </row>
    <row r="701" spans="1:8" hidden="1" x14ac:dyDescent="0.15">
      <c r="A701" s="2200" t="s">
        <v>1902</v>
      </c>
      <c r="B701" s="2200" t="s">
        <v>3249</v>
      </c>
      <c r="C701" s="2200" t="s">
        <v>3250</v>
      </c>
      <c r="D701" s="2200" t="str">
        <f t="shared" si="40"/>
        <v>NE</v>
      </c>
      <c r="E701" s="2200">
        <f t="shared" si="41"/>
        <v>29</v>
      </c>
      <c r="F701" s="2200" t="str">
        <f t="shared" si="42"/>
        <v>31</v>
      </c>
      <c r="G701" s="2200" t="str">
        <f t="shared" si="43"/>
        <v>42000</v>
      </c>
      <c r="H701" s="2200">
        <f>--SUBTOTAL(3,C$2:C701)</f>
        <v>40</v>
      </c>
    </row>
    <row r="702" spans="1:8" hidden="1" x14ac:dyDescent="0.15">
      <c r="A702" s="2200" t="s">
        <v>1884</v>
      </c>
      <c r="B702" s="2200" t="s">
        <v>3251</v>
      </c>
      <c r="C702" s="2200" t="s">
        <v>3252</v>
      </c>
      <c r="D702" s="2200" t="str">
        <f t="shared" si="40"/>
        <v>NE</v>
      </c>
      <c r="E702" s="2200">
        <f t="shared" si="41"/>
        <v>12</v>
      </c>
      <c r="F702" s="2200" t="str">
        <f t="shared" si="42"/>
        <v>31</v>
      </c>
      <c r="G702" s="2200" t="str">
        <f t="shared" si="43"/>
        <v>42420</v>
      </c>
      <c r="H702" s="2200">
        <f>--SUBTOTAL(3,C$2:C702)</f>
        <v>40</v>
      </c>
    </row>
    <row r="703" spans="1:8" hidden="1" x14ac:dyDescent="0.15">
      <c r="A703" s="2200" t="s">
        <v>1878</v>
      </c>
      <c r="B703" s="2200" t="s">
        <v>2413</v>
      </c>
      <c r="C703" s="2200" t="s">
        <v>17859</v>
      </c>
      <c r="D703" s="2200" t="str">
        <f t="shared" si="40"/>
        <v>NE</v>
      </c>
      <c r="E703" s="2200">
        <f t="shared" si="41"/>
        <v>11</v>
      </c>
      <c r="F703" s="2200" t="str">
        <f t="shared" si="42"/>
        <v>19</v>
      </c>
      <c r="G703" s="2200" t="str">
        <f t="shared" si="43"/>
        <v>43580</v>
      </c>
      <c r="H703" s="2200">
        <f>--SUBTOTAL(3,C$2:C703)</f>
        <v>40</v>
      </c>
    </row>
    <row r="704" spans="1:8" hidden="1" x14ac:dyDescent="0.15">
      <c r="A704" s="2200" t="s">
        <v>1884</v>
      </c>
      <c r="B704" s="2200" t="s">
        <v>3253</v>
      </c>
      <c r="C704" s="2200" t="s">
        <v>3254</v>
      </c>
      <c r="D704" s="2200" t="str">
        <f t="shared" si="40"/>
        <v>NH</v>
      </c>
      <c r="E704" s="2200">
        <f t="shared" si="41"/>
        <v>7</v>
      </c>
      <c r="F704" s="2200" t="str">
        <f t="shared" si="42"/>
        <v>33</v>
      </c>
      <c r="G704" s="2200" t="str">
        <f t="shared" si="43"/>
        <v>71500</v>
      </c>
      <c r="H704" s="2200">
        <f>--SUBTOTAL(3,C$2:C704)</f>
        <v>40</v>
      </c>
    </row>
    <row r="705" spans="1:8" hidden="1" x14ac:dyDescent="0.15">
      <c r="A705" s="2200" t="s">
        <v>1878</v>
      </c>
      <c r="B705" s="2200" t="s">
        <v>2767</v>
      </c>
      <c r="C705" s="2200" t="s">
        <v>17864</v>
      </c>
      <c r="D705" s="2200" t="str">
        <f t="shared" si="40"/>
        <v>NH</v>
      </c>
      <c r="E705" s="2200">
        <f t="shared" si="41"/>
        <v>24</v>
      </c>
      <c r="F705" s="2200" t="str">
        <f t="shared" si="42"/>
        <v>25</v>
      </c>
      <c r="G705" s="2200" t="str">
        <f t="shared" si="43"/>
        <v>71650</v>
      </c>
      <c r="H705" s="2200">
        <f>--SUBTOTAL(3,C$2:C705)</f>
        <v>40</v>
      </c>
    </row>
    <row r="706" spans="1:8" hidden="1" x14ac:dyDescent="0.15">
      <c r="A706" s="2200" t="s">
        <v>1884</v>
      </c>
      <c r="B706" s="2200" t="s">
        <v>3256</v>
      </c>
      <c r="C706" s="2200" t="s">
        <v>3257</v>
      </c>
      <c r="D706" s="2200" t="str">
        <f t="shared" si="40"/>
        <v>NH</v>
      </c>
      <c r="E706" s="2200">
        <f t="shared" si="41"/>
        <v>10</v>
      </c>
      <c r="F706" s="2200" t="str">
        <f t="shared" si="42"/>
        <v>33</v>
      </c>
      <c r="G706" s="2200" t="str">
        <f t="shared" si="43"/>
        <v>72500</v>
      </c>
      <c r="H706" s="2200">
        <f>--SUBTOTAL(3,C$2:C706)</f>
        <v>40</v>
      </c>
    </row>
    <row r="707" spans="1:8" hidden="1" x14ac:dyDescent="0.15">
      <c r="A707" s="2200" t="s">
        <v>1902</v>
      </c>
      <c r="B707" s="2200" t="s">
        <v>3258</v>
      </c>
      <c r="C707" s="2200" t="s">
        <v>3259</v>
      </c>
      <c r="D707" s="2200" t="str">
        <f t="shared" si="40"/>
        <v>NH</v>
      </c>
      <c r="E707" s="2200">
        <f t="shared" si="41"/>
        <v>18</v>
      </c>
      <c r="F707" s="2200" t="str">
        <f t="shared" si="42"/>
        <v>33</v>
      </c>
      <c r="G707" s="2200" t="str">
        <f t="shared" si="43"/>
        <v>72500</v>
      </c>
      <c r="H707" s="2200">
        <f>--SUBTOTAL(3,C$2:C707)</f>
        <v>40</v>
      </c>
    </row>
    <row r="708" spans="1:8" hidden="1" x14ac:dyDescent="0.15">
      <c r="A708" s="2200" t="s">
        <v>1884</v>
      </c>
      <c r="B708" s="2200" t="s">
        <v>3260</v>
      </c>
      <c r="C708" s="2200" t="s">
        <v>3261</v>
      </c>
      <c r="D708" s="2200" t="str">
        <f t="shared" si="40"/>
        <v>NH</v>
      </c>
      <c r="E708" s="2200">
        <f t="shared" si="41"/>
        <v>8</v>
      </c>
      <c r="F708" s="2200" t="str">
        <f t="shared" si="42"/>
        <v>33</v>
      </c>
      <c r="G708" s="2200" t="str">
        <f t="shared" si="43"/>
        <v>72700</v>
      </c>
      <c r="H708" s="2200">
        <f>--SUBTOTAL(3,C$2:C708)</f>
        <v>40</v>
      </c>
    </row>
    <row r="709" spans="1:8" hidden="1" x14ac:dyDescent="0.15">
      <c r="A709" s="2200" t="s">
        <v>1878</v>
      </c>
      <c r="B709" s="2200" t="s">
        <v>3262</v>
      </c>
      <c r="C709" s="2200" t="s">
        <v>3263</v>
      </c>
      <c r="D709" s="2200" t="str">
        <f t="shared" si="40"/>
        <v>NH</v>
      </c>
      <c r="E709" s="2200">
        <f t="shared" si="41"/>
        <v>13</v>
      </c>
      <c r="F709" s="2200" t="str">
        <f t="shared" si="42"/>
        <v>33</v>
      </c>
      <c r="G709" s="2200" t="str">
        <f t="shared" si="43"/>
        <v>73050</v>
      </c>
      <c r="H709" s="2200">
        <f>--SUBTOTAL(3,C$2:C709)</f>
        <v>40</v>
      </c>
    </row>
    <row r="710" spans="1:8" hidden="1" x14ac:dyDescent="0.15">
      <c r="A710" s="2200" t="s">
        <v>1884</v>
      </c>
      <c r="B710" s="2200" t="s">
        <v>3264</v>
      </c>
      <c r="C710" s="2200" t="s">
        <v>3265</v>
      </c>
      <c r="D710" s="2200" t="str">
        <f t="shared" si="40"/>
        <v>NH</v>
      </c>
      <c r="E710" s="2200">
        <f t="shared" si="41"/>
        <v>6</v>
      </c>
      <c r="F710" s="2200" t="str">
        <f t="shared" si="42"/>
        <v>33</v>
      </c>
      <c r="G710" s="2200" t="str">
        <f t="shared" si="43"/>
        <v>73750</v>
      </c>
      <c r="H710" s="2200">
        <f>--SUBTOTAL(3,C$2:C710)</f>
        <v>40</v>
      </c>
    </row>
    <row r="711" spans="1:8" hidden="1" x14ac:dyDescent="0.15">
      <c r="A711" s="2200" t="s">
        <v>1884</v>
      </c>
      <c r="B711" s="2200" t="s">
        <v>3266</v>
      </c>
      <c r="C711" s="2200" t="s">
        <v>3267</v>
      </c>
      <c r="D711" s="2200" t="str">
        <f t="shared" si="40"/>
        <v>NH</v>
      </c>
      <c r="E711" s="2200">
        <f t="shared" si="41"/>
        <v>8</v>
      </c>
      <c r="F711" s="2200" t="str">
        <f t="shared" si="42"/>
        <v>33</v>
      </c>
      <c r="G711" s="2200" t="str">
        <f t="shared" si="43"/>
        <v>73900</v>
      </c>
      <c r="H711" s="2200">
        <f>--SUBTOTAL(3,C$2:C711)</f>
        <v>40</v>
      </c>
    </row>
    <row r="712" spans="1:8" hidden="1" x14ac:dyDescent="0.15">
      <c r="A712" s="2200" t="s">
        <v>1884</v>
      </c>
      <c r="B712" s="2200" t="s">
        <v>3268</v>
      </c>
      <c r="C712" s="2200" t="s">
        <v>3269</v>
      </c>
      <c r="D712" s="2200" t="str">
        <f t="shared" si="40"/>
        <v>NH</v>
      </c>
      <c r="E712" s="2200">
        <f t="shared" si="41"/>
        <v>8</v>
      </c>
      <c r="F712" s="2200" t="str">
        <f t="shared" si="42"/>
        <v>33</v>
      </c>
      <c r="G712" s="2200" t="str">
        <f t="shared" si="43"/>
        <v>74350</v>
      </c>
      <c r="H712" s="2200">
        <f>--SUBTOTAL(3,C$2:C712)</f>
        <v>40</v>
      </c>
    </row>
    <row r="713" spans="1:8" hidden="1" x14ac:dyDescent="0.15">
      <c r="A713" s="2200" t="s">
        <v>1878</v>
      </c>
      <c r="B713" s="2200" t="s">
        <v>3270</v>
      </c>
      <c r="C713" s="2200" t="s">
        <v>3271</v>
      </c>
      <c r="D713" s="2200" t="str">
        <f t="shared" si="40"/>
        <v>NH</v>
      </c>
      <c r="E713" s="2200">
        <f t="shared" si="41"/>
        <v>11</v>
      </c>
      <c r="F713" s="2200" t="str">
        <f t="shared" si="42"/>
        <v>33</v>
      </c>
      <c r="G713" s="2200" t="str">
        <f t="shared" si="43"/>
        <v>74950</v>
      </c>
      <c r="H713" s="2200">
        <f>--SUBTOTAL(3,C$2:C713)</f>
        <v>40</v>
      </c>
    </row>
    <row r="714" spans="1:8" hidden="1" x14ac:dyDescent="0.15">
      <c r="A714" s="2200" t="s">
        <v>2023</v>
      </c>
      <c r="B714" s="2200" t="s">
        <v>3272</v>
      </c>
      <c r="C714" s="2200" t="s">
        <v>3273</v>
      </c>
      <c r="D714" s="2200" t="str">
        <f t="shared" si="40"/>
        <v>NH</v>
      </c>
      <c r="E714" s="2200">
        <f t="shared" si="41"/>
        <v>7</v>
      </c>
      <c r="F714" s="2200" t="str">
        <f t="shared" si="42"/>
        <v>33</v>
      </c>
      <c r="G714" s="2200" t="str">
        <f t="shared" si="43"/>
        <v>75404</v>
      </c>
      <c r="H714" s="2200">
        <f>--SUBTOTAL(3,C$2:C714)</f>
        <v>40</v>
      </c>
    </row>
    <row r="715" spans="1:8" hidden="1" x14ac:dyDescent="0.15">
      <c r="A715" s="2200" t="s">
        <v>1878</v>
      </c>
      <c r="B715" s="2200" t="s">
        <v>3274</v>
      </c>
      <c r="C715" s="2200" t="s">
        <v>3275</v>
      </c>
      <c r="D715" s="2200" t="str">
        <f t="shared" si="40"/>
        <v>NH</v>
      </c>
      <c r="E715" s="2200">
        <f t="shared" si="41"/>
        <v>11</v>
      </c>
      <c r="F715" s="2200" t="str">
        <f t="shared" si="42"/>
        <v>33</v>
      </c>
      <c r="G715" s="2200" t="str">
        <f t="shared" si="43"/>
        <v>76900</v>
      </c>
      <c r="H715" s="2200">
        <f>--SUBTOTAL(3,C$2:C715)</f>
        <v>40</v>
      </c>
    </row>
    <row r="716" spans="1:8" hidden="1" x14ac:dyDescent="0.15">
      <c r="A716" s="2200" t="s">
        <v>1878</v>
      </c>
      <c r="B716" s="2200" t="s">
        <v>3276</v>
      </c>
      <c r="C716" s="2200" t="s">
        <v>3277</v>
      </c>
      <c r="D716" s="2200" t="str">
        <f t="shared" si="40"/>
        <v>NJ</v>
      </c>
      <c r="E716" s="2200">
        <f t="shared" si="41"/>
        <v>24</v>
      </c>
      <c r="F716" s="2200" t="str">
        <f t="shared" si="42"/>
        <v>34</v>
      </c>
      <c r="G716" s="2200" t="str">
        <f t="shared" si="43"/>
        <v>12100</v>
      </c>
      <c r="H716" s="2200">
        <f>--SUBTOTAL(3,C$2:C716)</f>
        <v>40</v>
      </c>
    </row>
    <row r="717" spans="1:8" hidden="1" x14ac:dyDescent="0.15">
      <c r="A717" s="2200" t="s">
        <v>2023</v>
      </c>
      <c r="B717" s="2200" t="s">
        <v>3279</v>
      </c>
      <c r="C717" s="2200" t="s">
        <v>3280</v>
      </c>
      <c r="D717" s="2200" t="str">
        <f t="shared" si="40"/>
        <v>NJ</v>
      </c>
      <c r="E717" s="2200">
        <f t="shared" si="41"/>
        <v>7</v>
      </c>
      <c r="F717" s="2200" t="str">
        <f t="shared" si="42"/>
        <v>34</v>
      </c>
      <c r="G717" s="2200" t="str">
        <f t="shared" si="43"/>
        <v>15804</v>
      </c>
      <c r="H717" s="2200">
        <f>--SUBTOTAL(3,C$2:C717)</f>
        <v>40</v>
      </c>
    </row>
    <row r="718" spans="1:8" hidden="1" x14ac:dyDescent="0.15">
      <c r="A718" s="2200" t="s">
        <v>2023</v>
      </c>
      <c r="B718" s="2200" t="s">
        <v>3281</v>
      </c>
      <c r="C718" s="2200" t="s">
        <v>3282</v>
      </c>
      <c r="D718" s="2200" t="str">
        <f t="shared" si="40"/>
        <v>NJ</v>
      </c>
      <c r="E718" s="2200">
        <f t="shared" si="41"/>
        <v>7</v>
      </c>
      <c r="F718" s="2200" t="str">
        <f t="shared" si="42"/>
        <v>34</v>
      </c>
      <c r="G718" s="2200" t="str">
        <f t="shared" si="43"/>
        <v>35084</v>
      </c>
      <c r="H718" s="2200">
        <f>--SUBTOTAL(3,C$2:C718)</f>
        <v>40</v>
      </c>
    </row>
    <row r="719" spans="1:8" hidden="1" x14ac:dyDescent="0.15">
      <c r="A719" s="2200" t="s">
        <v>1878</v>
      </c>
      <c r="B719" s="2200" t="s">
        <v>3404</v>
      </c>
      <c r="C719" s="2200" t="s">
        <v>17880</v>
      </c>
      <c r="D719" s="2200" t="str">
        <f t="shared" si="40"/>
        <v>NJ</v>
      </c>
      <c r="E719" s="2200">
        <f t="shared" si="41"/>
        <v>28</v>
      </c>
      <c r="F719" s="2200" t="str">
        <f t="shared" si="42"/>
        <v>36</v>
      </c>
      <c r="G719" s="2200" t="str">
        <f t="shared" si="43"/>
        <v>35620</v>
      </c>
      <c r="H719" s="2200">
        <f>--SUBTOTAL(3,C$2:C719)</f>
        <v>40</v>
      </c>
    </row>
    <row r="720" spans="1:8" hidden="1" x14ac:dyDescent="0.15">
      <c r="A720" s="2200" t="s">
        <v>1878</v>
      </c>
      <c r="B720" s="2200" t="s">
        <v>3283</v>
      </c>
      <c r="C720" s="2200" t="s">
        <v>3284</v>
      </c>
      <c r="D720" s="2200" t="str">
        <f t="shared" si="40"/>
        <v>NJ</v>
      </c>
      <c r="E720" s="2200">
        <f t="shared" si="41"/>
        <v>11</v>
      </c>
      <c r="F720" s="2200" t="str">
        <f t="shared" si="42"/>
        <v>34</v>
      </c>
      <c r="G720" s="2200" t="str">
        <f t="shared" si="43"/>
        <v>36140</v>
      </c>
      <c r="H720" s="2200">
        <f>--SUBTOTAL(3,C$2:C720)</f>
        <v>40</v>
      </c>
    </row>
    <row r="721" spans="1:8" hidden="1" x14ac:dyDescent="0.15">
      <c r="A721" s="2200" t="s">
        <v>1878</v>
      </c>
      <c r="B721" s="2200" t="s">
        <v>3285</v>
      </c>
      <c r="C721" s="2200" t="s">
        <v>3286</v>
      </c>
      <c r="D721" s="2200" t="str">
        <f t="shared" si="40"/>
        <v>NJ</v>
      </c>
      <c r="E721" s="2200">
        <f t="shared" si="41"/>
        <v>8</v>
      </c>
      <c r="F721" s="2200" t="str">
        <f t="shared" si="42"/>
        <v>34</v>
      </c>
      <c r="G721" s="2200" t="str">
        <f t="shared" si="43"/>
        <v>45940</v>
      </c>
      <c r="H721" s="2200">
        <f>--SUBTOTAL(3,C$2:C721)</f>
        <v>40</v>
      </c>
    </row>
    <row r="722" spans="1:8" hidden="1" x14ac:dyDescent="0.15">
      <c r="A722" s="2200" t="s">
        <v>1878</v>
      </c>
      <c r="B722" s="2200" t="s">
        <v>3287</v>
      </c>
      <c r="C722" s="2200" t="s">
        <v>3288</v>
      </c>
      <c r="D722" s="2200" t="str">
        <f t="shared" si="40"/>
        <v>NJ</v>
      </c>
      <c r="E722" s="2200">
        <f t="shared" si="41"/>
        <v>19</v>
      </c>
      <c r="F722" s="2200" t="str">
        <f t="shared" si="42"/>
        <v>34</v>
      </c>
      <c r="G722" s="2200" t="str">
        <f t="shared" si="43"/>
        <v>47220</v>
      </c>
      <c r="H722" s="2200">
        <f>--SUBTOTAL(3,C$2:C722)</f>
        <v>40</v>
      </c>
    </row>
    <row r="723" spans="1:8" hidden="1" x14ac:dyDescent="0.15">
      <c r="A723" s="2200" t="s">
        <v>1884</v>
      </c>
      <c r="B723" s="2200" t="s">
        <v>3289</v>
      </c>
      <c r="C723" s="2200" t="s">
        <v>3290</v>
      </c>
      <c r="D723" s="2200" t="str">
        <f t="shared" si="40"/>
        <v>NM</v>
      </c>
      <c r="E723" s="2200">
        <f t="shared" si="41"/>
        <v>11</v>
      </c>
      <c r="F723" s="2200" t="str">
        <f t="shared" si="42"/>
        <v>35</v>
      </c>
      <c r="G723" s="2200" t="str">
        <f t="shared" si="43"/>
        <v>10460</v>
      </c>
      <c r="H723" s="2200">
        <f>--SUBTOTAL(3,C$2:C723)</f>
        <v>40</v>
      </c>
    </row>
    <row r="724" spans="1:8" hidden="1" x14ac:dyDescent="0.15">
      <c r="A724" s="2200" t="s">
        <v>1878</v>
      </c>
      <c r="B724" s="2200" t="s">
        <v>3292</v>
      </c>
      <c r="C724" s="2200" t="s">
        <v>3293</v>
      </c>
      <c r="D724" s="2200" t="str">
        <f t="shared" si="40"/>
        <v>NM</v>
      </c>
      <c r="E724" s="2200">
        <f t="shared" si="41"/>
        <v>12</v>
      </c>
      <c r="F724" s="2200" t="str">
        <f t="shared" si="42"/>
        <v>35</v>
      </c>
      <c r="G724" s="2200" t="str">
        <f t="shared" si="43"/>
        <v>10740</v>
      </c>
      <c r="H724" s="2200">
        <f>--SUBTOTAL(3,C$2:C724)</f>
        <v>40</v>
      </c>
    </row>
    <row r="725" spans="1:8" hidden="1" x14ac:dyDescent="0.15">
      <c r="A725" s="2200" t="s">
        <v>1902</v>
      </c>
      <c r="B725" s="2200" t="s">
        <v>3294</v>
      </c>
      <c r="C725" s="2200" t="s">
        <v>3295</v>
      </c>
      <c r="D725" s="2200" t="str">
        <f t="shared" si="40"/>
        <v>NM</v>
      </c>
      <c r="E725" s="2200">
        <f t="shared" si="41"/>
        <v>31</v>
      </c>
      <c r="F725" s="2200" t="str">
        <f t="shared" si="42"/>
        <v>35</v>
      </c>
      <c r="G725" s="2200" t="str">
        <f t="shared" si="43"/>
        <v>10600</v>
      </c>
      <c r="H725" s="2200">
        <f>--SUBTOTAL(3,C$2:C725)</f>
        <v>40</v>
      </c>
    </row>
    <row r="726" spans="1:8" hidden="1" x14ac:dyDescent="0.15">
      <c r="A726" s="2200" t="s">
        <v>1884</v>
      </c>
      <c r="B726" s="2200" t="s">
        <v>3296</v>
      </c>
      <c r="C726" s="2200" t="s">
        <v>3297</v>
      </c>
      <c r="D726" s="2200" t="str">
        <f t="shared" si="40"/>
        <v>NM</v>
      </c>
      <c r="E726" s="2200">
        <f t="shared" si="41"/>
        <v>17</v>
      </c>
      <c r="F726" s="2200" t="str">
        <f t="shared" si="42"/>
        <v>35</v>
      </c>
      <c r="G726" s="2200" t="str">
        <f t="shared" si="43"/>
        <v>16100</v>
      </c>
      <c r="H726" s="2200">
        <f>--SUBTOTAL(3,C$2:C726)</f>
        <v>40</v>
      </c>
    </row>
    <row r="727" spans="1:8" hidden="1" x14ac:dyDescent="0.15">
      <c r="A727" s="2200" t="s">
        <v>1884</v>
      </c>
      <c r="B727" s="2200" t="s">
        <v>3298</v>
      </c>
      <c r="C727" s="2200" t="s">
        <v>3299</v>
      </c>
      <c r="D727" s="2200" t="str">
        <f t="shared" si="40"/>
        <v>NM</v>
      </c>
      <c r="E727" s="2200">
        <f t="shared" si="41"/>
        <v>7</v>
      </c>
      <c r="F727" s="2200" t="str">
        <f t="shared" si="42"/>
        <v>35</v>
      </c>
      <c r="G727" s="2200" t="str">
        <f t="shared" si="43"/>
        <v>17580</v>
      </c>
      <c r="H727" s="2200">
        <f>--SUBTOTAL(3,C$2:C727)</f>
        <v>40</v>
      </c>
    </row>
    <row r="728" spans="1:8" hidden="1" x14ac:dyDescent="0.15">
      <c r="A728" s="2200" t="s">
        <v>1902</v>
      </c>
      <c r="B728" s="2200" t="s">
        <v>3300</v>
      </c>
      <c r="C728" s="2200" t="s">
        <v>3301</v>
      </c>
      <c r="D728" s="2200" t="str">
        <f t="shared" si="40"/>
        <v>NM</v>
      </c>
      <c r="E728" s="2200">
        <f t="shared" si="41"/>
        <v>16</v>
      </c>
      <c r="F728" s="2200" t="str">
        <f t="shared" si="42"/>
        <v>35</v>
      </c>
      <c r="G728" s="2200" t="str">
        <f t="shared" si="43"/>
        <v>18800</v>
      </c>
      <c r="H728" s="2200">
        <f>--SUBTOTAL(3,C$2:C728)</f>
        <v>40</v>
      </c>
    </row>
    <row r="729" spans="1:8" hidden="1" x14ac:dyDescent="0.15">
      <c r="A729" s="2200" t="s">
        <v>1884</v>
      </c>
      <c r="B729" s="2200" t="s">
        <v>3302</v>
      </c>
      <c r="C729" s="2200" t="s">
        <v>3303</v>
      </c>
      <c r="D729" s="2200" t="str">
        <f t="shared" si="40"/>
        <v>NM</v>
      </c>
      <c r="E729" s="2200">
        <f t="shared" si="41"/>
        <v>7</v>
      </c>
      <c r="F729" s="2200" t="str">
        <f t="shared" si="42"/>
        <v>35</v>
      </c>
      <c r="G729" s="2200" t="str">
        <f t="shared" si="43"/>
        <v>19700</v>
      </c>
      <c r="H729" s="2200">
        <f>--SUBTOTAL(3,C$2:C729)</f>
        <v>40</v>
      </c>
    </row>
    <row r="730" spans="1:8" hidden="1" x14ac:dyDescent="0.15">
      <c r="A730" s="2200" t="s">
        <v>1884</v>
      </c>
      <c r="B730" s="2200" t="s">
        <v>3304</v>
      </c>
      <c r="C730" s="2200" t="s">
        <v>3305</v>
      </c>
      <c r="D730" s="2200" t="str">
        <f t="shared" si="40"/>
        <v>NM</v>
      </c>
      <c r="E730" s="2200">
        <f t="shared" si="41"/>
        <v>9</v>
      </c>
      <c r="F730" s="2200" t="str">
        <f t="shared" si="42"/>
        <v>35</v>
      </c>
      <c r="G730" s="2200" t="str">
        <f t="shared" si="43"/>
        <v>21580</v>
      </c>
      <c r="H730" s="2200">
        <f>--SUBTOTAL(3,C$2:C730)</f>
        <v>40</v>
      </c>
    </row>
    <row r="731" spans="1:8" hidden="1" x14ac:dyDescent="0.15">
      <c r="A731" s="2200" t="s">
        <v>1878</v>
      </c>
      <c r="B731" s="2200" t="s">
        <v>3306</v>
      </c>
      <c r="C731" s="2200" t="s">
        <v>3307</v>
      </c>
      <c r="D731" s="2200" t="str">
        <f t="shared" si="40"/>
        <v>NM</v>
      </c>
      <c r="E731" s="2200">
        <f t="shared" si="41"/>
        <v>11</v>
      </c>
      <c r="F731" s="2200" t="str">
        <f t="shared" si="42"/>
        <v>35</v>
      </c>
      <c r="G731" s="2200" t="str">
        <f t="shared" si="43"/>
        <v>22140</v>
      </c>
      <c r="H731" s="2200">
        <f>--SUBTOTAL(3,C$2:C731)</f>
        <v>40</v>
      </c>
    </row>
    <row r="732" spans="1:8" hidden="1" x14ac:dyDescent="0.15">
      <c r="A732" s="2200" t="s">
        <v>1884</v>
      </c>
      <c r="B732" s="2200" t="s">
        <v>3308</v>
      </c>
      <c r="C732" s="2200" t="s">
        <v>3309</v>
      </c>
      <c r="D732" s="2200" t="str">
        <f t="shared" si="40"/>
        <v>NM</v>
      </c>
      <c r="E732" s="2200">
        <f t="shared" si="41"/>
        <v>7</v>
      </c>
      <c r="F732" s="2200" t="str">
        <f t="shared" si="42"/>
        <v>35</v>
      </c>
      <c r="G732" s="2200" t="str">
        <f t="shared" si="43"/>
        <v>23700</v>
      </c>
      <c r="H732" s="2200">
        <f>--SUBTOTAL(3,C$2:C732)</f>
        <v>40</v>
      </c>
    </row>
    <row r="733" spans="1:8" hidden="1" x14ac:dyDescent="0.15">
      <c r="A733" s="2200" t="s">
        <v>1884</v>
      </c>
      <c r="B733" s="2200" t="s">
        <v>3310</v>
      </c>
      <c r="C733" s="2200" t="s">
        <v>3311</v>
      </c>
      <c r="D733" s="2200" t="str">
        <f t="shared" si="40"/>
        <v>NM</v>
      </c>
      <c r="E733" s="2200">
        <f t="shared" si="41"/>
        <v>7</v>
      </c>
      <c r="F733" s="2200" t="str">
        <f t="shared" si="42"/>
        <v>35</v>
      </c>
      <c r="G733" s="2200" t="str">
        <f t="shared" si="43"/>
        <v>24380</v>
      </c>
      <c r="H733" s="2200">
        <f>--SUBTOTAL(3,C$2:C733)</f>
        <v>40</v>
      </c>
    </row>
    <row r="734" spans="1:8" hidden="1" x14ac:dyDescent="0.15">
      <c r="A734" s="2200" t="s">
        <v>1884</v>
      </c>
      <c r="B734" s="2200" t="s">
        <v>3312</v>
      </c>
      <c r="C734" s="2200" t="s">
        <v>3313</v>
      </c>
      <c r="D734" s="2200" t="str">
        <f t="shared" si="40"/>
        <v>NM</v>
      </c>
      <c r="E734" s="2200">
        <f t="shared" si="41"/>
        <v>6</v>
      </c>
      <c r="F734" s="2200" t="str">
        <f t="shared" si="42"/>
        <v>35</v>
      </c>
      <c r="G734" s="2200" t="str">
        <f t="shared" si="43"/>
        <v>26020</v>
      </c>
      <c r="H734" s="2200">
        <f>--SUBTOTAL(3,C$2:C734)</f>
        <v>40</v>
      </c>
    </row>
    <row r="735" spans="1:8" hidden="1" x14ac:dyDescent="0.15">
      <c r="A735" s="2200" t="s">
        <v>1878</v>
      </c>
      <c r="B735" s="2200" t="s">
        <v>3314</v>
      </c>
      <c r="C735" s="2200" t="s">
        <v>3315</v>
      </c>
      <c r="D735" s="2200" t="str">
        <f t="shared" si="40"/>
        <v>NM</v>
      </c>
      <c r="E735" s="2200">
        <f t="shared" si="41"/>
        <v>11</v>
      </c>
      <c r="F735" s="2200" t="str">
        <f t="shared" si="42"/>
        <v>35</v>
      </c>
      <c r="G735" s="2200" t="str">
        <f t="shared" si="43"/>
        <v>29740</v>
      </c>
      <c r="H735" s="2200">
        <f>--SUBTOTAL(3,C$2:C735)</f>
        <v>40</v>
      </c>
    </row>
    <row r="736" spans="1:8" hidden="1" x14ac:dyDescent="0.15">
      <c r="A736" s="2200" t="s">
        <v>1884</v>
      </c>
      <c r="B736" s="2200" t="s">
        <v>3316</v>
      </c>
      <c r="C736" s="2200" t="s">
        <v>3317</v>
      </c>
      <c r="D736" s="2200" t="str">
        <f t="shared" si="40"/>
        <v>NM</v>
      </c>
      <c r="E736" s="2200">
        <f t="shared" si="41"/>
        <v>10</v>
      </c>
      <c r="F736" s="2200" t="str">
        <f t="shared" si="42"/>
        <v>35</v>
      </c>
      <c r="G736" s="2200" t="str">
        <f t="shared" si="43"/>
        <v>29780</v>
      </c>
      <c r="H736" s="2200">
        <f>--SUBTOTAL(3,C$2:C736)</f>
        <v>40</v>
      </c>
    </row>
    <row r="737" spans="1:8" hidden="1" x14ac:dyDescent="0.15">
      <c r="A737" s="2200" t="s">
        <v>1884</v>
      </c>
      <c r="B737" s="2200" t="s">
        <v>3318</v>
      </c>
      <c r="C737" s="2200" t="s">
        <v>3319</v>
      </c>
      <c r="D737" s="2200" t="str">
        <f t="shared" si="40"/>
        <v>NM</v>
      </c>
      <c r="E737" s="2200">
        <f t="shared" si="41"/>
        <v>11</v>
      </c>
      <c r="F737" s="2200" t="str">
        <f t="shared" si="42"/>
        <v>35</v>
      </c>
      <c r="G737" s="2200" t="str">
        <f t="shared" si="43"/>
        <v>31060</v>
      </c>
      <c r="H737" s="2200">
        <f>--SUBTOTAL(3,C$2:C737)</f>
        <v>40</v>
      </c>
    </row>
    <row r="738" spans="1:8" hidden="1" x14ac:dyDescent="0.15">
      <c r="A738" s="2200" t="s">
        <v>1884</v>
      </c>
      <c r="B738" s="2200" t="s">
        <v>3320</v>
      </c>
      <c r="C738" s="2200" t="s">
        <v>3321</v>
      </c>
      <c r="D738" s="2200" t="str">
        <f t="shared" si="40"/>
        <v>NM</v>
      </c>
      <c r="E738" s="2200">
        <f t="shared" si="41"/>
        <v>9</v>
      </c>
      <c r="F738" s="2200" t="str">
        <f t="shared" si="42"/>
        <v>35</v>
      </c>
      <c r="G738" s="2200" t="str">
        <f t="shared" si="43"/>
        <v>38780</v>
      </c>
      <c r="H738" s="2200">
        <f>--SUBTOTAL(3,C$2:C738)</f>
        <v>40</v>
      </c>
    </row>
    <row r="739" spans="1:8" hidden="1" x14ac:dyDescent="0.15">
      <c r="A739" s="2200" t="s">
        <v>1884</v>
      </c>
      <c r="B739" s="2200" t="s">
        <v>3322</v>
      </c>
      <c r="C739" s="2200" t="s">
        <v>3323</v>
      </c>
      <c r="D739" s="2200" t="str">
        <f t="shared" si="40"/>
        <v>NM</v>
      </c>
      <c r="E739" s="2200">
        <f t="shared" si="41"/>
        <v>8</v>
      </c>
      <c r="F739" s="2200" t="str">
        <f t="shared" si="42"/>
        <v>35</v>
      </c>
      <c r="G739" s="2200" t="str">
        <f t="shared" si="43"/>
        <v>40740</v>
      </c>
      <c r="H739" s="2200">
        <f>--SUBTOTAL(3,C$2:C739)</f>
        <v>40</v>
      </c>
    </row>
    <row r="740" spans="1:8" hidden="1" x14ac:dyDescent="0.15">
      <c r="A740" s="2200" t="s">
        <v>1884</v>
      </c>
      <c r="B740" s="2200" t="s">
        <v>3324</v>
      </c>
      <c r="C740" s="2200" t="s">
        <v>3325</v>
      </c>
      <c r="D740" s="2200" t="str">
        <f t="shared" ref="D740:D803" si="44">MID(C740,E740+2,2)</f>
        <v>NM</v>
      </c>
      <c r="E740" s="2200">
        <f t="shared" ref="E740:E803" si="45">FIND(",",C740)</f>
        <v>8</v>
      </c>
      <c r="F740" s="2200" t="str">
        <f t="shared" ref="F740:F803" si="46">MID(B740,3,2)</f>
        <v>35</v>
      </c>
      <c r="G740" s="2200" t="str">
        <f t="shared" ref="G740:G803" si="47">MID(B740,5,5)</f>
        <v>40760</v>
      </c>
      <c r="H740" s="2200">
        <f>--SUBTOTAL(3,C$2:C740)</f>
        <v>40</v>
      </c>
    </row>
    <row r="741" spans="1:8" hidden="1" x14ac:dyDescent="0.15">
      <c r="A741" s="2200" t="s">
        <v>1878</v>
      </c>
      <c r="B741" s="2200" t="s">
        <v>3326</v>
      </c>
      <c r="C741" s="2200" t="s">
        <v>3327</v>
      </c>
      <c r="D741" s="2200" t="str">
        <f t="shared" si="44"/>
        <v>NM</v>
      </c>
      <c r="E741" s="2200">
        <f t="shared" si="45"/>
        <v>9</v>
      </c>
      <c r="F741" s="2200" t="str">
        <f t="shared" si="46"/>
        <v>35</v>
      </c>
      <c r="G741" s="2200" t="str">
        <f t="shared" si="47"/>
        <v>42140</v>
      </c>
      <c r="H741" s="2200">
        <f>--SUBTOTAL(3,C$2:C741)</f>
        <v>40</v>
      </c>
    </row>
    <row r="742" spans="1:8" hidden="1" x14ac:dyDescent="0.15">
      <c r="A742" s="2200" t="s">
        <v>1884</v>
      </c>
      <c r="B742" s="2200" t="s">
        <v>3328</v>
      </c>
      <c r="C742" s="2200" t="s">
        <v>3329</v>
      </c>
      <c r="D742" s="2200" t="str">
        <f t="shared" si="44"/>
        <v>NM</v>
      </c>
      <c r="E742" s="2200">
        <f t="shared" si="45"/>
        <v>12</v>
      </c>
      <c r="F742" s="2200" t="str">
        <f t="shared" si="46"/>
        <v>35</v>
      </c>
      <c r="G742" s="2200" t="str">
        <f t="shared" si="47"/>
        <v>43500</v>
      </c>
      <c r="H742" s="2200">
        <f>--SUBTOTAL(3,C$2:C742)</f>
        <v>40</v>
      </c>
    </row>
    <row r="743" spans="1:8" hidden="1" x14ac:dyDescent="0.15">
      <c r="A743" s="2200" t="s">
        <v>1884</v>
      </c>
      <c r="B743" s="2200" t="s">
        <v>3330</v>
      </c>
      <c r="C743" s="2200" t="s">
        <v>3331</v>
      </c>
      <c r="D743" s="2200" t="str">
        <f t="shared" si="44"/>
        <v>NM</v>
      </c>
      <c r="E743" s="2200">
        <f t="shared" si="45"/>
        <v>5</v>
      </c>
      <c r="F743" s="2200" t="str">
        <f t="shared" si="46"/>
        <v>35</v>
      </c>
      <c r="G743" s="2200" t="str">
        <f t="shared" si="47"/>
        <v>45340</v>
      </c>
      <c r="H743" s="2200">
        <f>--SUBTOTAL(3,C$2:C743)</f>
        <v>40</v>
      </c>
    </row>
    <row r="744" spans="1:8" hidden="1" x14ac:dyDescent="0.15">
      <c r="A744" s="2200" t="s">
        <v>1878</v>
      </c>
      <c r="B744" s="2200" t="s">
        <v>3332</v>
      </c>
      <c r="C744" s="2200" t="s">
        <v>3333</v>
      </c>
      <c r="D744" s="2200" t="str">
        <f t="shared" si="44"/>
        <v>NV</v>
      </c>
      <c r="E744" s="2200">
        <f t="shared" si="45"/>
        <v>12</v>
      </c>
      <c r="F744" s="2200" t="str">
        <f t="shared" si="46"/>
        <v>32</v>
      </c>
      <c r="G744" s="2200" t="str">
        <f t="shared" si="47"/>
        <v>16180</v>
      </c>
      <c r="H744" s="2200">
        <f>--SUBTOTAL(3,C$2:C744)</f>
        <v>40</v>
      </c>
    </row>
    <row r="745" spans="1:8" hidden="1" x14ac:dyDescent="0.15">
      <c r="A745" s="2200" t="s">
        <v>1884</v>
      </c>
      <c r="B745" s="2200" t="s">
        <v>3335</v>
      </c>
      <c r="C745" s="2200" t="s">
        <v>3336</v>
      </c>
      <c r="D745" s="2200" t="str">
        <f t="shared" si="44"/>
        <v>NV</v>
      </c>
      <c r="E745" s="2200">
        <f t="shared" si="45"/>
        <v>5</v>
      </c>
      <c r="F745" s="2200" t="str">
        <f t="shared" si="46"/>
        <v>32</v>
      </c>
      <c r="G745" s="2200" t="str">
        <f t="shared" si="47"/>
        <v>21220</v>
      </c>
      <c r="H745" s="2200">
        <f>--SUBTOTAL(3,C$2:C745)</f>
        <v>40</v>
      </c>
    </row>
    <row r="746" spans="1:8" hidden="1" x14ac:dyDescent="0.15">
      <c r="A746" s="2200" t="s">
        <v>1884</v>
      </c>
      <c r="B746" s="2200" t="s">
        <v>3337</v>
      </c>
      <c r="C746" s="2200" t="s">
        <v>3338</v>
      </c>
      <c r="D746" s="2200" t="str">
        <f t="shared" si="44"/>
        <v>NV</v>
      </c>
      <c r="E746" s="2200">
        <f t="shared" si="45"/>
        <v>7</v>
      </c>
      <c r="F746" s="2200" t="str">
        <f t="shared" si="46"/>
        <v>32</v>
      </c>
      <c r="G746" s="2200" t="str">
        <f t="shared" si="47"/>
        <v>21980</v>
      </c>
      <c r="H746" s="2200">
        <f>--SUBTOTAL(3,C$2:C746)</f>
        <v>40</v>
      </c>
    </row>
    <row r="747" spans="1:8" hidden="1" x14ac:dyDescent="0.15">
      <c r="A747" s="2200" t="s">
        <v>1884</v>
      </c>
      <c r="B747" s="2200" t="s">
        <v>3339</v>
      </c>
      <c r="C747" s="2200" t="s">
        <v>3340</v>
      </c>
      <c r="D747" s="2200" t="str">
        <f t="shared" si="44"/>
        <v>NV</v>
      </c>
      <c r="E747" s="2200">
        <f t="shared" si="45"/>
        <v>8</v>
      </c>
      <c r="F747" s="2200" t="str">
        <f t="shared" si="46"/>
        <v>32</v>
      </c>
      <c r="G747" s="2200" t="str">
        <f t="shared" si="47"/>
        <v>22280</v>
      </c>
      <c r="H747" s="2200">
        <f>--SUBTOTAL(3,C$2:C747)</f>
        <v>40</v>
      </c>
    </row>
    <row r="748" spans="1:8" hidden="1" x14ac:dyDescent="0.15">
      <c r="A748" s="2200" t="s">
        <v>1884</v>
      </c>
      <c r="B748" s="2200" t="s">
        <v>3341</v>
      </c>
      <c r="C748" s="2200" t="s">
        <v>3342</v>
      </c>
      <c r="D748" s="2200" t="str">
        <f t="shared" si="44"/>
        <v>NV</v>
      </c>
      <c r="E748" s="2200">
        <f t="shared" si="45"/>
        <v>21</v>
      </c>
      <c r="F748" s="2200" t="str">
        <f t="shared" si="46"/>
        <v>32</v>
      </c>
      <c r="G748" s="2200" t="str">
        <f t="shared" si="47"/>
        <v>23820</v>
      </c>
      <c r="H748" s="2200">
        <f>--SUBTOTAL(3,C$2:C748)</f>
        <v>40</v>
      </c>
    </row>
    <row r="749" spans="1:8" hidden="1" x14ac:dyDescent="0.15">
      <c r="A749" s="2200" t="s">
        <v>1902</v>
      </c>
      <c r="B749" s="2200" t="s">
        <v>3343</v>
      </c>
      <c r="C749" s="2200" t="s">
        <v>3344</v>
      </c>
      <c r="D749" s="2200" t="str">
        <f t="shared" si="44"/>
        <v>NV</v>
      </c>
      <c r="E749" s="2200">
        <f t="shared" si="45"/>
        <v>20</v>
      </c>
      <c r="F749" s="2200" t="str">
        <f t="shared" si="46"/>
        <v>32</v>
      </c>
      <c r="G749" s="2200" t="str">
        <f t="shared" si="47"/>
        <v>33200</v>
      </c>
      <c r="H749" s="2200">
        <f>--SUBTOTAL(3,C$2:C749)</f>
        <v>40</v>
      </c>
    </row>
    <row r="750" spans="1:8" hidden="1" x14ac:dyDescent="0.15">
      <c r="A750" s="2200" t="s">
        <v>1878</v>
      </c>
      <c r="B750" s="2200" t="s">
        <v>3345</v>
      </c>
      <c r="C750" s="2200" t="s">
        <v>3346</v>
      </c>
      <c r="D750" s="2200" t="str">
        <f t="shared" si="44"/>
        <v>NV</v>
      </c>
      <c r="E750" s="2200">
        <f t="shared" si="45"/>
        <v>29</v>
      </c>
      <c r="F750" s="2200" t="str">
        <f t="shared" si="46"/>
        <v>32</v>
      </c>
      <c r="G750" s="2200" t="str">
        <f t="shared" si="47"/>
        <v>29820</v>
      </c>
      <c r="H750" s="2200">
        <f>--SUBTOTAL(3,C$2:C750)</f>
        <v>40</v>
      </c>
    </row>
    <row r="751" spans="1:8" hidden="1" x14ac:dyDescent="0.15">
      <c r="A751" s="2200" t="s">
        <v>1884</v>
      </c>
      <c r="B751" s="2200" t="s">
        <v>3347</v>
      </c>
      <c r="C751" s="2200" t="s">
        <v>3348</v>
      </c>
      <c r="D751" s="2200" t="str">
        <f t="shared" si="44"/>
        <v>NV</v>
      </c>
      <c r="E751" s="2200">
        <f t="shared" si="45"/>
        <v>8</v>
      </c>
      <c r="F751" s="2200" t="str">
        <f t="shared" si="46"/>
        <v>32</v>
      </c>
      <c r="G751" s="2200" t="str">
        <f t="shared" si="47"/>
        <v>37220</v>
      </c>
      <c r="H751" s="2200">
        <f>--SUBTOTAL(3,C$2:C751)</f>
        <v>40</v>
      </c>
    </row>
    <row r="752" spans="1:8" hidden="1" x14ac:dyDescent="0.15">
      <c r="A752" s="2200" t="s">
        <v>1878</v>
      </c>
      <c r="B752" s="2200" t="s">
        <v>3349</v>
      </c>
      <c r="C752" s="2200" t="s">
        <v>3350</v>
      </c>
      <c r="D752" s="2200" t="str">
        <f t="shared" si="44"/>
        <v>NV</v>
      </c>
      <c r="E752" s="2200">
        <f t="shared" si="45"/>
        <v>5</v>
      </c>
      <c r="F752" s="2200" t="str">
        <f t="shared" si="46"/>
        <v>32</v>
      </c>
      <c r="G752" s="2200" t="str">
        <f t="shared" si="47"/>
        <v>39900</v>
      </c>
      <c r="H752" s="2200">
        <f>--SUBTOTAL(3,C$2:C752)</f>
        <v>40</v>
      </c>
    </row>
    <row r="753" spans="1:8" hidden="1" x14ac:dyDescent="0.15">
      <c r="A753" s="2200" t="s">
        <v>1902</v>
      </c>
      <c r="B753" s="2200" t="s">
        <v>3351</v>
      </c>
      <c r="C753" s="2200" t="s">
        <v>3352</v>
      </c>
      <c r="D753" s="2200" t="str">
        <f t="shared" si="44"/>
        <v>NV</v>
      </c>
      <c r="E753" s="2200">
        <f t="shared" si="45"/>
        <v>25</v>
      </c>
      <c r="F753" s="2200" t="str">
        <f t="shared" si="46"/>
        <v>32</v>
      </c>
      <c r="G753" s="2200" t="str">
        <f t="shared" si="47"/>
        <v>45600</v>
      </c>
      <c r="H753" s="2200">
        <f>--SUBTOTAL(3,C$2:C753)</f>
        <v>40</v>
      </c>
    </row>
    <row r="754" spans="1:8" hidden="1" x14ac:dyDescent="0.15">
      <c r="A754" s="2200" t="s">
        <v>1884</v>
      </c>
      <c r="B754" s="2200" t="s">
        <v>3353</v>
      </c>
      <c r="C754" s="2200" t="s">
        <v>3354</v>
      </c>
      <c r="D754" s="2200" t="str">
        <f t="shared" si="44"/>
        <v>NV</v>
      </c>
      <c r="E754" s="2200">
        <f t="shared" si="45"/>
        <v>11</v>
      </c>
      <c r="F754" s="2200" t="str">
        <f t="shared" si="46"/>
        <v>32</v>
      </c>
      <c r="G754" s="2200" t="str">
        <f t="shared" si="47"/>
        <v>49080</v>
      </c>
      <c r="H754" s="2200">
        <f>--SUBTOTAL(3,C$2:C754)</f>
        <v>40</v>
      </c>
    </row>
    <row r="755" spans="1:8" hidden="1" x14ac:dyDescent="0.15">
      <c r="A755" s="2200" t="s">
        <v>1902</v>
      </c>
      <c r="B755" s="2200" t="s">
        <v>3355</v>
      </c>
      <c r="C755" s="2200" t="s">
        <v>3356</v>
      </c>
      <c r="D755" s="2200" t="str">
        <f t="shared" si="44"/>
        <v>NY</v>
      </c>
      <c r="E755" s="2200">
        <f t="shared" si="45"/>
        <v>19</v>
      </c>
      <c r="F755" s="2200" t="str">
        <f t="shared" si="46"/>
        <v>36</v>
      </c>
      <c r="G755" s="2200" t="str">
        <f t="shared" si="47"/>
        <v>10400</v>
      </c>
      <c r="H755" s="2200">
        <f>--SUBTOTAL(3,C$2:C755)</f>
        <v>40</v>
      </c>
    </row>
    <row r="756" spans="1:8" hidden="1" x14ac:dyDescent="0.15">
      <c r="A756" s="2200" t="s">
        <v>1878</v>
      </c>
      <c r="B756" s="2200" t="s">
        <v>3358</v>
      </c>
      <c r="C756" s="2200" t="s">
        <v>3359</v>
      </c>
      <c r="D756" s="2200" t="str">
        <f t="shared" si="44"/>
        <v>NY</v>
      </c>
      <c r="E756" s="2200">
        <f t="shared" si="45"/>
        <v>24</v>
      </c>
      <c r="F756" s="2200" t="str">
        <f t="shared" si="46"/>
        <v>36</v>
      </c>
      <c r="G756" s="2200" t="str">
        <f t="shared" si="47"/>
        <v>10580</v>
      </c>
      <c r="H756" s="2200">
        <f>--SUBTOTAL(3,C$2:C756)</f>
        <v>40</v>
      </c>
    </row>
    <row r="757" spans="1:8" hidden="1" x14ac:dyDescent="0.15">
      <c r="A757" s="2200" t="s">
        <v>1884</v>
      </c>
      <c r="B757" s="2200" t="s">
        <v>3360</v>
      </c>
      <c r="C757" s="2200" t="s">
        <v>3361</v>
      </c>
      <c r="D757" s="2200" t="str">
        <f t="shared" si="44"/>
        <v>NY</v>
      </c>
      <c r="E757" s="2200">
        <f t="shared" si="45"/>
        <v>10</v>
      </c>
      <c r="F757" s="2200" t="str">
        <f t="shared" si="46"/>
        <v>36</v>
      </c>
      <c r="G757" s="2200" t="str">
        <f t="shared" si="47"/>
        <v>11220</v>
      </c>
      <c r="H757" s="2200">
        <f>--SUBTOTAL(3,C$2:C757)</f>
        <v>40</v>
      </c>
    </row>
    <row r="758" spans="1:8" hidden="1" x14ac:dyDescent="0.15">
      <c r="A758" s="2200" t="s">
        <v>1884</v>
      </c>
      <c r="B758" s="2200" t="s">
        <v>3362</v>
      </c>
      <c r="C758" s="2200" t="s">
        <v>3363</v>
      </c>
      <c r="D758" s="2200" t="str">
        <f t="shared" si="44"/>
        <v>NY</v>
      </c>
      <c r="E758" s="2200">
        <f t="shared" si="45"/>
        <v>7</v>
      </c>
      <c r="F758" s="2200" t="str">
        <f t="shared" si="46"/>
        <v>36</v>
      </c>
      <c r="G758" s="2200" t="str">
        <f t="shared" si="47"/>
        <v>12180</v>
      </c>
      <c r="H758" s="2200">
        <f>--SUBTOTAL(3,C$2:C758)</f>
        <v>40</v>
      </c>
    </row>
    <row r="759" spans="1:8" hidden="1" x14ac:dyDescent="0.15">
      <c r="A759" s="2200" t="s">
        <v>1884</v>
      </c>
      <c r="B759" s="2200" t="s">
        <v>3364</v>
      </c>
      <c r="C759" s="2200" t="s">
        <v>3365</v>
      </c>
      <c r="D759" s="2200" t="str">
        <f t="shared" si="44"/>
        <v>NY</v>
      </c>
      <c r="E759" s="2200">
        <f t="shared" si="45"/>
        <v>8</v>
      </c>
      <c r="F759" s="2200" t="str">
        <f t="shared" si="46"/>
        <v>36</v>
      </c>
      <c r="G759" s="2200" t="str">
        <f t="shared" si="47"/>
        <v>12860</v>
      </c>
      <c r="H759" s="2200">
        <f>--SUBTOTAL(3,C$2:C759)</f>
        <v>40</v>
      </c>
    </row>
    <row r="760" spans="1:8" hidden="1" x14ac:dyDescent="0.15">
      <c r="A760" s="2200" t="s">
        <v>1878</v>
      </c>
      <c r="B760" s="2200" t="s">
        <v>3366</v>
      </c>
      <c r="C760" s="2200" t="s">
        <v>3367</v>
      </c>
      <c r="D760" s="2200" t="str">
        <f t="shared" si="44"/>
        <v>NY</v>
      </c>
      <c r="E760" s="2200">
        <f t="shared" si="45"/>
        <v>11</v>
      </c>
      <c r="F760" s="2200" t="str">
        <f t="shared" si="46"/>
        <v>36</v>
      </c>
      <c r="G760" s="2200" t="str">
        <f t="shared" si="47"/>
        <v>13780</v>
      </c>
      <c r="H760" s="2200">
        <f>--SUBTOTAL(3,C$2:C760)</f>
        <v>40</v>
      </c>
    </row>
    <row r="761" spans="1:8" hidden="1" x14ac:dyDescent="0.15">
      <c r="A761" s="2200" t="s">
        <v>1902</v>
      </c>
      <c r="B761" s="2200" t="s">
        <v>3368</v>
      </c>
      <c r="C761" s="2200" t="s">
        <v>3369</v>
      </c>
      <c r="D761" s="2200" t="str">
        <f t="shared" si="44"/>
        <v>NY</v>
      </c>
      <c r="E761" s="2200">
        <f t="shared" si="45"/>
        <v>20</v>
      </c>
      <c r="F761" s="2200" t="str">
        <f t="shared" si="46"/>
        <v>36</v>
      </c>
      <c r="G761" s="2200" t="str">
        <f t="shared" si="47"/>
        <v>16000</v>
      </c>
      <c r="H761" s="2200">
        <f>--SUBTOTAL(3,C$2:C761)</f>
        <v>40</v>
      </c>
    </row>
    <row r="762" spans="1:8" hidden="1" x14ac:dyDescent="0.15">
      <c r="A762" s="2200" t="s">
        <v>1878</v>
      </c>
      <c r="B762" s="2200" t="s">
        <v>3370</v>
      </c>
      <c r="C762" s="2200" t="s">
        <v>3371</v>
      </c>
      <c r="D762" s="2200" t="str">
        <f t="shared" si="44"/>
        <v>NY</v>
      </c>
      <c r="E762" s="2200">
        <f t="shared" si="45"/>
        <v>34</v>
      </c>
      <c r="F762" s="2200" t="str">
        <f t="shared" si="46"/>
        <v>36</v>
      </c>
      <c r="G762" s="2200" t="str">
        <f t="shared" si="47"/>
        <v>15380</v>
      </c>
      <c r="H762" s="2200">
        <f>--SUBTOTAL(3,C$2:C762)</f>
        <v>40</v>
      </c>
    </row>
    <row r="763" spans="1:8" hidden="1" x14ac:dyDescent="0.15">
      <c r="A763" s="2200" t="s">
        <v>1884</v>
      </c>
      <c r="B763" s="2200" t="s">
        <v>3372</v>
      </c>
      <c r="C763" s="2200" t="s">
        <v>3373</v>
      </c>
      <c r="D763" s="2200" t="str">
        <f t="shared" si="44"/>
        <v>NY</v>
      </c>
      <c r="E763" s="2200">
        <f t="shared" si="45"/>
        <v>8</v>
      </c>
      <c r="F763" s="2200" t="str">
        <f t="shared" si="46"/>
        <v>36</v>
      </c>
      <c r="G763" s="2200" t="str">
        <f t="shared" si="47"/>
        <v>18500</v>
      </c>
      <c r="H763" s="2200">
        <f>--SUBTOTAL(3,C$2:C763)</f>
        <v>40</v>
      </c>
    </row>
    <row r="764" spans="1:8" hidden="1" x14ac:dyDescent="0.15">
      <c r="A764" s="2200" t="s">
        <v>1884</v>
      </c>
      <c r="B764" s="2200" t="s">
        <v>3374</v>
      </c>
      <c r="C764" s="2200" t="s">
        <v>3375</v>
      </c>
      <c r="D764" s="2200" t="str">
        <f t="shared" si="44"/>
        <v>NY</v>
      </c>
      <c r="E764" s="2200">
        <f t="shared" si="45"/>
        <v>9</v>
      </c>
      <c r="F764" s="2200" t="str">
        <f t="shared" si="46"/>
        <v>36</v>
      </c>
      <c r="G764" s="2200" t="str">
        <f t="shared" si="47"/>
        <v>18660</v>
      </c>
      <c r="H764" s="2200">
        <f>--SUBTOTAL(3,C$2:C764)</f>
        <v>40</v>
      </c>
    </row>
    <row r="765" spans="1:8" hidden="1" x14ac:dyDescent="0.15">
      <c r="A765" s="2200" t="s">
        <v>2023</v>
      </c>
      <c r="B765" s="2200" t="s">
        <v>3376</v>
      </c>
      <c r="C765" s="2200" t="s">
        <v>3377</v>
      </c>
      <c r="D765" s="2200" t="str">
        <f t="shared" si="44"/>
        <v>NY</v>
      </c>
      <c r="E765" s="2200">
        <f t="shared" si="45"/>
        <v>30</v>
      </c>
      <c r="F765" s="2200" t="str">
        <f t="shared" si="46"/>
        <v>36</v>
      </c>
      <c r="G765" s="2200" t="str">
        <f t="shared" si="47"/>
        <v>20524</v>
      </c>
      <c r="H765" s="2200">
        <f>--SUBTOTAL(3,C$2:C765)</f>
        <v>40</v>
      </c>
    </row>
    <row r="766" spans="1:8" hidden="1" x14ac:dyDescent="0.15">
      <c r="A766" s="2200" t="s">
        <v>1878</v>
      </c>
      <c r="B766" s="2200" t="s">
        <v>3378</v>
      </c>
      <c r="C766" s="2200" t="s">
        <v>3379</v>
      </c>
      <c r="D766" s="2200" t="str">
        <f t="shared" si="44"/>
        <v>NY</v>
      </c>
      <c r="E766" s="2200">
        <f t="shared" si="45"/>
        <v>7</v>
      </c>
      <c r="F766" s="2200" t="str">
        <f t="shared" si="46"/>
        <v>36</v>
      </c>
      <c r="G766" s="2200" t="str">
        <f t="shared" si="47"/>
        <v>21300</v>
      </c>
      <c r="H766" s="2200">
        <f>--SUBTOTAL(3,C$2:C766)</f>
        <v>40</v>
      </c>
    </row>
    <row r="767" spans="1:8" hidden="1" x14ac:dyDescent="0.15">
      <c r="A767" s="2200" t="s">
        <v>1902</v>
      </c>
      <c r="B767" s="2200" t="s">
        <v>3380</v>
      </c>
      <c r="C767" s="2200" t="s">
        <v>3381</v>
      </c>
      <c r="D767" s="2200" t="str">
        <f t="shared" si="44"/>
        <v>NY</v>
      </c>
      <c r="E767" s="2200">
        <f t="shared" si="45"/>
        <v>15</v>
      </c>
      <c r="F767" s="2200" t="str">
        <f t="shared" si="46"/>
        <v>36</v>
      </c>
      <c r="G767" s="2200" t="str">
        <f t="shared" si="47"/>
        <v>23600</v>
      </c>
      <c r="H767" s="2200">
        <f>--SUBTOTAL(3,C$2:C767)</f>
        <v>40</v>
      </c>
    </row>
    <row r="768" spans="1:8" hidden="1" x14ac:dyDescent="0.15">
      <c r="A768" s="2200" t="s">
        <v>1878</v>
      </c>
      <c r="B768" s="2200" t="s">
        <v>3382</v>
      </c>
      <c r="C768" s="2200" t="s">
        <v>3383</v>
      </c>
      <c r="D768" s="2200" t="str">
        <f t="shared" si="44"/>
        <v>NY</v>
      </c>
      <c r="E768" s="2200">
        <f t="shared" si="45"/>
        <v>12</v>
      </c>
      <c r="F768" s="2200" t="str">
        <f t="shared" si="46"/>
        <v>36</v>
      </c>
      <c r="G768" s="2200" t="str">
        <f t="shared" si="47"/>
        <v>24020</v>
      </c>
      <c r="H768" s="2200">
        <f>--SUBTOTAL(3,C$2:C768)</f>
        <v>40</v>
      </c>
    </row>
    <row r="769" spans="1:8" hidden="1" x14ac:dyDescent="0.15">
      <c r="A769" s="2200" t="s">
        <v>1884</v>
      </c>
      <c r="B769" s="2200" t="s">
        <v>3384</v>
      </c>
      <c r="C769" s="2200" t="s">
        <v>3385</v>
      </c>
      <c r="D769" s="2200" t="str">
        <f t="shared" si="44"/>
        <v>NY</v>
      </c>
      <c r="E769" s="2200">
        <f t="shared" si="45"/>
        <v>13</v>
      </c>
      <c r="F769" s="2200" t="str">
        <f t="shared" si="46"/>
        <v>36</v>
      </c>
      <c r="G769" s="2200" t="str">
        <f t="shared" si="47"/>
        <v>24100</v>
      </c>
      <c r="H769" s="2200">
        <f>--SUBTOTAL(3,C$2:C769)</f>
        <v>40</v>
      </c>
    </row>
    <row r="770" spans="1:8" hidden="1" x14ac:dyDescent="0.15">
      <c r="A770" s="2200" t="s">
        <v>1884</v>
      </c>
      <c r="B770" s="2200" t="s">
        <v>3386</v>
      </c>
      <c r="C770" s="2200" t="s">
        <v>3387</v>
      </c>
      <c r="D770" s="2200" t="str">
        <f t="shared" si="44"/>
        <v>NY</v>
      </c>
      <c r="E770" s="2200">
        <f t="shared" si="45"/>
        <v>7</v>
      </c>
      <c r="F770" s="2200" t="str">
        <f t="shared" si="46"/>
        <v>36</v>
      </c>
      <c r="G770" s="2200" t="str">
        <f t="shared" si="47"/>
        <v>26460</v>
      </c>
      <c r="H770" s="2200">
        <f>--SUBTOTAL(3,C$2:C770)</f>
        <v>40</v>
      </c>
    </row>
    <row r="771" spans="1:8" hidden="1" x14ac:dyDescent="0.15">
      <c r="A771" s="2200" t="s">
        <v>1878</v>
      </c>
      <c r="B771" s="2200" t="s">
        <v>3388</v>
      </c>
      <c r="C771" s="2200" t="s">
        <v>3389</v>
      </c>
      <c r="D771" s="2200" t="str">
        <f t="shared" si="44"/>
        <v>NY</v>
      </c>
      <c r="E771" s="2200">
        <f t="shared" si="45"/>
        <v>7</v>
      </c>
      <c r="F771" s="2200" t="str">
        <f t="shared" si="46"/>
        <v>36</v>
      </c>
      <c r="G771" s="2200" t="str">
        <f t="shared" si="47"/>
        <v>27060</v>
      </c>
      <c r="H771" s="2200">
        <f>--SUBTOTAL(3,C$2:C771)</f>
        <v>40</v>
      </c>
    </row>
    <row r="772" spans="1:8" hidden="1" x14ac:dyDescent="0.15">
      <c r="A772" s="2200" t="s">
        <v>1902</v>
      </c>
      <c r="B772" s="2200" t="s">
        <v>3390</v>
      </c>
      <c r="C772" s="2200" t="s">
        <v>3391</v>
      </c>
      <c r="D772" s="2200" t="str">
        <f t="shared" si="44"/>
        <v>NY</v>
      </c>
      <c r="E772" s="2200">
        <f t="shared" si="45"/>
        <v>16</v>
      </c>
      <c r="F772" s="2200" t="str">
        <f t="shared" si="46"/>
        <v>36</v>
      </c>
      <c r="G772" s="2200" t="str">
        <f t="shared" si="47"/>
        <v>29600</v>
      </c>
      <c r="H772" s="2200">
        <f>--SUBTOTAL(3,C$2:C772)</f>
        <v>40</v>
      </c>
    </row>
    <row r="773" spans="1:8" hidden="1" x14ac:dyDescent="0.15">
      <c r="A773" s="2200" t="s">
        <v>1884</v>
      </c>
      <c r="B773" s="2200" t="s">
        <v>3392</v>
      </c>
      <c r="C773" s="2200" t="s">
        <v>3393</v>
      </c>
      <c r="D773" s="2200" t="str">
        <f t="shared" si="44"/>
        <v>NY</v>
      </c>
      <c r="E773" s="2200">
        <f t="shared" si="45"/>
        <v>27</v>
      </c>
      <c r="F773" s="2200" t="str">
        <f t="shared" si="46"/>
        <v>36</v>
      </c>
      <c r="G773" s="2200" t="str">
        <f t="shared" si="47"/>
        <v>27460</v>
      </c>
      <c r="H773" s="2200">
        <f>--SUBTOTAL(3,C$2:C773)</f>
        <v>40</v>
      </c>
    </row>
    <row r="774" spans="1:8" hidden="1" x14ac:dyDescent="0.15">
      <c r="A774" s="2200" t="s">
        <v>1878</v>
      </c>
      <c r="B774" s="2200" t="s">
        <v>3394</v>
      </c>
      <c r="C774" s="2200" t="s">
        <v>3395</v>
      </c>
      <c r="D774" s="2200" t="str">
        <f t="shared" si="44"/>
        <v>NY</v>
      </c>
      <c r="E774" s="2200">
        <f t="shared" si="45"/>
        <v>9</v>
      </c>
      <c r="F774" s="2200" t="str">
        <f t="shared" si="46"/>
        <v>36</v>
      </c>
      <c r="G774" s="2200" t="str">
        <f t="shared" si="47"/>
        <v>28740</v>
      </c>
      <c r="H774" s="2200">
        <f>--SUBTOTAL(3,C$2:C774)</f>
        <v>40</v>
      </c>
    </row>
    <row r="775" spans="1:8" hidden="1" x14ac:dyDescent="0.15">
      <c r="A775" s="2200" t="s">
        <v>1884</v>
      </c>
      <c r="B775" s="2200" t="s">
        <v>3396</v>
      </c>
      <c r="C775" s="2200" t="s">
        <v>3397</v>
      </c>
      <c r="D775" s="2200" t="str">
        <f t="shared" si="44"/>
        <v>NY</v>
      </c>
      <c r="E775" s="2200">
        <f t="shared" si="45"/>
        <v>7</v>
      </c>
      <c r="F775" s="2200" t="str">
        <f t="shared" si="46"/>
        <v>36</v>
      </c>
      <c r="G775" s="2200" t="str">
        <f t="shared" si="47"/>
        <v>31660</v>
      </c>
      <c r="H775" s="2200">
        <f>--SUBTOTAL(3,C$2:C775)</f>
        <v>40</v>
      </c>
    </row>
    <row r="776" spans="1:8" hidden="1" x14ac:dyDescent="0.15">
      <c r="A776" s="2200" t="s">
        <v>2023</v>
      </c>
      <c r="B776" s="2200" t="s">
        <v>3398</v>
      </c>
      <c r="C776" s="2200" t="s">
        <v>3399</v>
      </c>
      <c r="D776" s="2200" t="str">
        <f t="shared" si="44"/>
        <v>NY</v>
      </c>
      <c r="E776" s="2200">
        <f t="shared" si="45"/>
        <v>29</v>
      </c>
      <c r="F776" s="2200" t="str">
        <f t="shared" si="46"/>
        <v>36</v>
      </c>
      <c r="G776" s="2200" t="str">
        <f t="shared" si="47"/>
        <v>35004</v>
      </c>
      <c r="H776" s="2200">
        <f>--SUBTOTAL(3,C$2:C776)</f>
        <v>40</v>
      </c>
    </row>
    <row r="777" spans="1:8" hidden="1" x14ac:dyDescent="0.15">
      <c r="A777" s="2200" t="s">
        <v>2023</v>
      </c>
      <c r="B777" s="2200" t="s">
        <v>3400</v>
      </c>
      <c r="C777" s="2200" t="s">
        <v>3401</v>
      </c>
      <c r="D777" s="2200" t="str">
        <f t="shared" si="44"/>
        <v>NY</v>
      </c>
      <c r="E777" s="2200">
        <f t="shared" si="45"/>
        <v>34</v>
      </c>
      <c r="F777" s="2200" t="str">
        <f t="shared" si="46"/>
        <v>36</v>
      </c>
      <c r="G777" s="2200" t="str">
        <f t="shared" si="47"/>
        <v>35614</v>
      </c>
      <c r="H777" s="2200">
        <f>--SUBTOTAL(3,C$2:C777)</f>
        <v>40</v>
      </c>
    </row>
    <row r="778" spans="1:8" hidden="1" x14ac:dyDescent="0.15">
      <c r="A778" s="2200" t="s">
        <v>1902</v>
      </c>
      <c r="B778" s="2200" t="s">
        <v>3402</v>
      </c>
      <c r="C778" s="2200" t="s">
        <v>3403</v>
      </c>
      <c r="D778" s="2200" t="str">
        <f t="shared" si="44"/>
        <v>NY</v>
      </c>
      <c r="E778" s="2200">
        <f t="shared" si="45"/>
        <v>16</v>
      </c>
      <c r="F778" s="2200" t="str">
        <f t="shared" si="46"/>
        <v>36</v>
      </c>
      <c r="G778" s="2200" t="str">
        <f t="shared" si="47"/>
        <v>40800</v>
      </c>
      <c r="H778" s="2200">
        <f>--SUBTOTAL(3,C$2:C778)</f>
        <v>40</v>
      </c>
    </row>
    <row r="779" spans="1:8" hidden="1" x14ac:dyDescent="0.15">
      <c r="A779" s="2200" t="s">
        <v>1878</v>
      </c>
      <c r="B779" s="2200" t="s">
        <v>3404</v>
      </c>
      <c r="C779" s="2200" t="s">
        <v>3405</v>
      </c>
      <c r="D779" s="2200" t="str">
        <f t="shared" si="44"/>
        <v>NY</v>
      </c>
      <c r="E779" s="2200">
        <f t="shared" si="45"/>
        <v>28</v>
      </c>
      <c r="F779" s="2200" t="str">
        <f t="shared" si="46"/>
        <v>36</v>
      </c>
      <c r="G779" s="2200" t="str">
        <f t="shared" si="47"/>
        <v>35620</v>
      </c>
      <c r="H779" s="2200">
        <f>--SUBTOTAL(3,C$2:C779)</f>
        <v>40</v>
      </c>
    </row>
    <row r="780" spans="1:8" hidden="1" x14ac:dyDescent="0.15">
      <c r="A780" s="2200" t="s">
        <v>1884</v>
      </c>
      <c r="B780" s="2200" t="s">
        <v>3406</v>
      </c>
      <c r="C780" s="2200" t="s">
        <v>3407</v>
      </c>
      <c r="D780" s="2200" t="str">
        <f t="shared" si="44"/>
        <v>NY</v>
      </c>
      <c r="E780" s="2200">
        <f t="shared" si="45"/>
        <v>19</v>
      </c>
      <c r="F780" s="2200" t="str">
        <f t="shared" si="46"/>
        <v>36</v>
      </c>
      <c r="G780" s="2200" t="str">
        <f t="shared" si="47"/>
        <v>36300</v>
      </c>
      <c r="H780" s="2200">
        <f>--SUBTOTAL(3,C$2:C780)</f>
        <v>40</v>
      </c>
    </row>
    <row r="781" spans="1:8" hidden="1" x14ac:dyDescent="0.15">
      <c r="A781" s="2200" t="s">
        <v>1884</v>
      </c>
      <c r="B781" s="2200" t="s">
        <v>3408</v>
      </c>
      <c r="C781" s="2200" t="s">
        <v>3409</v>
      </c>
      <c r="D781" s="2200" t="str">
        <f t="shared" si="44"/>
        <v>NY</v>
      </c>
      <c r="E781" s="2200">
        <f t="shared" si="45"/>
        <v>6</v>
      </c>
      <c r="F781" s="2200" t="str">
        <f t="shared" si="46"/>
        <v>36</v>
      </c>
      <c r="G781" s="2200" t="str">
        <f t="shared" si="47"/>
        <v>36460</v>
      </c>
      <c r="H781" s="2200">
        <f>--SUBTOTAL(3,C$2:C781)</f>
        <v>40</v>
      </c>
    </row>
    <row r="782" spans="1:8" hidden="1" x14ac:dyDescent="0.15">
      <c r="A782" s="2200" t="s">
        <v>1884</v>
      </c>
      <c r="B782" s="2200" t="s">
        <v>3410</v>
      </c>
      <c r="C782" s="2200" t="s">
        <v>3411</v>
      </c>
      <c r="D782" s="2200" t="str">
        <f t="shared" si="44"/>
        <v>NY</v>
      </c>
      <c r="E782" s="2200">
        <f t="shared" si="45"/>
        <v>8</v>
      </c>
      <c r="F782" s="2200" t="str">
        <f t="shared" si="46"/>
        <v>36</v>
      </c>
      <c r="G782" s="2200" t="str">
        <f t="shared" si="47"/>
        <v>36580</v>
      </c>
      <c r="H782" s="2200">
        <f>--SUBTOTAL(3,C$2:C782)</f>
        <v>40</v>
      </c>
    </row>
    <row r="783" spans="1:8" hidden="1" x14ac:dyDescent="0.15">
      <c r="A783" s="2200" t="s">
        <v>1884</v>
      </c>
      <c r="B783" s="2200" t="s">
        <v>3412</v>
      </c>
      <c r="C783" s="2200" t="s">
        <v>3413</v>
      </c>
      <c r="D783" s="2200" t="str">
        <f t="shared" si="44"/>
        <v>NY</v>
      </c>
      <c r="E783" s="2200">
        <f t="shared" si="45"/>
        <v>12</v>
      </c>
      <c r="F783" s="2200" t="str">
        <f t="shared" si="46"/>
        <v>36</v>
      </c>
      <c r="G783" s="2200" t="str">
        <f t="shared" si="47"/>
        <v>38460</v>
      </c>
      <c r="H783" s="2200">
        <f>--SUBTOTAL(3,C$2:C783)</f>
        <v>40</v>
      </c>
    </row>
    <row r="784" spans="1:8" hidden="1" x14ac:dyDescent="0.15">
      <c r="A784" s="2200" t="s">
        <v>1878</v>
      </c>
      <c r="B784" s="2200" t="s">
        <v>3414</v>
      </c>
      <c r="C784" s="2200" t="s">
        <v>3415</v>
      </c>
      <c r="D784" s="2200" t="str">
        <f t="shared" si="44"/>
        <v>NY</v>
      </c>
      <c r="E784" s="2200">
        <f t="shared" si="45"/>
        <v>10</v>
      </c>
      <c r="F784" s="2200" t="str">
        <f t="shared" si="46"/>
        <v>36</v>
      </c>
      <c r="G784" s="2200" t="str">
        <f t="shared" si="47"/>
        <v>40380</v>
      </c>
      <c r="H784" s="2200">
        <f>--SUBTOTAL(3,C$2:C784)</f>
        <v>40</v>
      </c>
    </row>
    <row r="785" spans="1:8" hidden="1" x14ac:dyDescent="0.15">
      <c r="A785" s="2200" t="s">
        <v>1902</v>
      </c>
      <c r="B785" s="2200" t="s">
        <v>3416</v>
      </c>
      <c r="C785" s="2200" t="s">
        <v>3417</v>
      </c>
      <c r="D785" s="2200" t="str">
        <f t="shared" si="44"/>
        <v>NY</v>
      </c>
      <c r="E785" s="2200">
        <f t="shared" si="45"/>
        <v>31</v>
      </c>
      <c r="F785" s="2200" t="str">
        <f t="shared" si="46"/>
        <v>36</v>
      </c>
      <c r="G785" s="2200" t="str">
        <f t="shared" si="47"/>
        <v>46400</v>
      </c>
      <c r="H785" s="2200">
        <f>--SUBTOTAL(3,C$2:C785)</f>
        <v>40</v>
      </c>
    </row>
    <row r="786" spans="1:8" hidden="1" x14ac:dyDescent="0.15">
      <c r="A786" s="2200" t="s">
        <v>1884</v>
      </c>
      <c r="B786" s="2200" t="s">
        <v>3418</v>
      </c>
      <c r="C786" s="2200" t="s">
        <v>3419</v>
      </c>
      <c r="D786" s="2200" t="str">
        <f t="shared" si="44"/>
        <v>NY</v>
      </c>
      <c r="E786" s="2200">
        <f t="shared" si="45"/>
        <v>13</v>
      </c>
      <c r="F786" s="2200" t="str">
        <f t="shared" si="46"/>
        <v>36</v>
      </c>
      <c r="G786" s="2200" t="str">
        <f t="shared" si="47"/>
        <v>42900</v>
      </c>
      <c r="H786" s="2200">
        <f>--SUBTOTAL(3,C$2:C786)</f>
        <v>40</v>
      </c>
    </row>
    <row r="787" spans="1:8" hidden="1" x14ac:dyDescent="0.15">
      <c r="A787" s="2200" t="s">
        <v>1878</v>
      </c>
      <c r="B787" s="2200" t="s">
        <v>3420</v>
      </c>
      <c r="C787" s="2200" t="s">
        <v>3421</v>
      </c>
      <c r="D787" s="2200" t="str">
        <f t="shared" si="44"/>
        <v>NY</v>
      </c>
      <c r="E787" s="2200">
        <f t="shared" si="45"/>
        <v>9</v>
      </c>
      <c r="F787" s="2200" t="str">
        <f t="shared" si="46"/>
        <v>36</v>
      </c>
      <c r="G787" s="2200" t="str">
        <f t="shared" si="47"/>
        <v>45060</v>
      </c>
      <c r="H787" s="2200">
        <f>--SUBTOTAL(3,C$2:C787)</f>
        <v>40</v>
      </c>
    </row>
    <row r="788" spans="1:8" hidden="1" x14ac:dyDescent="0.15">
      <c r="A788" s="2200" t="s">
        <v>1902</v>
      </c>
      <c r="B788" s="2200" t="s">
        <v>3422</v>
      </c>
      <c r="C788" s="2200" t="s">
        <v>3423</v>
      </c>
      <c r="D788" s="2200" t="str">
        <f t="shared" si="44"/>
        <v>NY</v>
      </c>
      <c r="E788" s="2200">
        <f t="shared" si="45"/>
        <v>16</v>
      </c>
      <c r="F788" s="2200" t="str">
        <f t="shared" si="46"/>
        <v>36</v>
      </c>
      <c r="G788" s="2200" t="str">
        <f t="shared" si="47"/>
        <v>53200</v>
      </c>
      <c r="H788" s="2200">
        <f>--SUBTOTAL(3,C$2:C788)</f>
        <v>40</v>
      </c>
    </row>
    <row r="789" spans="1:8" hidden="1" x14ac:dyDescent="0.15">
      <c r="A789" s="2200" t="s">
        <v>1878</v>
      </c>
      <c r="B789" s="2200" t="s">
        <v>3424</v>
      </c>
      <c r="C789" s="2200" t="s">
        <v>3425</v>
      </c>
      <c r="D789" s="2200" t="str">
        <f t="shared" si="44"/>
        <v>NY</v>
      </c>
      <c r="E789" s="2200">
        <f t="shared" si="45"/>
        <v>11</v>
      </c>
      <c r="F789" s="2200" t="str">
        <f t="shared" si="46"/>
        <v>36</v>
      </c>
      <c r="G789" s="2200" t="str">
        <f t="shared" si="47"/>
        <v>46540</v>
      </c>
      <c r="H789" s="2200">
        <f>--SUBTOTAL(3,C$2:C789)</f>
        <v>40</v>
      </c>
    </row>
    <row r="790" spans="1:8" hidden="1" x14ac:dyDescent="0.15">
      <c r="A790" s="2200" t="s">
        <v>1878</v>
      </c>
      <c r="B790" s="2200" t="s">
        <v>3426</v>
      </c>
      <c r="C790" s="2200" t="s">
        <v>3427</v>
      </c>
      <c r="D790" s="2200" t="str">
        <f t="shared" si="44"/>
        <v>NY</v>
      </c>
      <c r="E790" s="2200">
        <f t="shared" si="45"/>
        <v>20</v>
      </c>
      <c r="F790" s="2200" t="str">
        <f t="shared" si="46"/>
        <v>36</v>
      </c>
      <c r="G790" s="2200" t="str">
        <f t="shared" si="47"/>
        <v>48060</v>
      </c>
      <c r="H790" s="2200">
        <f>--SUBTOTAL(3,C$2:C790)</f>
        <v>40</v>
      </c>
    </row>
    <row r="791" spans="1:8" hidden="1" x14ac:dyDescent="0.15">
      <c r="A791" s="2200" t="s">
        <v>1878</v>
      </c>
      <c r="B791" s="2200" t="s">
        <v>3428</v>
      </c>
      <c r="C791" s="2200" t="s">
        <v>3429</v>
      </c>
      <c r="D791" s="2200" t="str">
        <f t="shared" si="44"/>
        <v>OH</v>
      </c>
      <c r="E791" s="2200">
        <f t="shared" si="45"/>
        <v>6</v>
      </c>
      <c r="F791" s="2200" t="str">
        <f t="shared" si="46"/>
        <v>39</v>
      </c>
      <c r="G791" s="2200" t="str">
        <f t="shared" si="47"/>
        <v>10420</v>
      </c>
      <c r="H791" s="2200">
        <f>--SUBTOTAL(3,C$2:C791)</f>
        <v>40</v>
      </c>
    </row>
    <row r="792" spans="1:8" hidden="1" x14ac:dyDescent="0.15">
      <c r="A792" s="2200" t="s">
        <v>1884</v>
      </c>
      <c r="B792" s="2200" t="s">
        <v>3431</v>
      </c>
      <c r="C792" s="2200" t="s">
        <v>3432</v>
      </c>
      <c r="D792" s="2200" t="str">
        <f t="shared" si="44"/>
        <v>OH</v>
      </c>
      <c r="E792" s="2200">
        <f t="shared" si="45"/>
        <v>8</v>
      </c>
      <c r="F792" s="2200" t="str">
        <f t="shared" si="46"/>
        <v>39</v>
      </c>
      <c r="G792" s="2200" t="str">
        <f t="shared" si="47"/>
        <v>11740</v>
      </c>
      <c r="H792" s="2200">
        <f>--SUBTOTAL(3,C$2:C792)</f>
        <v>40</v>
      </c>
    </row>
    <row r="793" spans="1:8" hidden="1" x14ac:dyDescent="0.15">
      <c r="A793" s="2200" t="s">
        <v>1884</v>
      </c>
      <c r="B793" s="2200" t="s">
        <v>3433</v>
      </c>
      <c r="C793" s="2200" t="s">
        <v>3434</v>
      </c>
      <c r="D793" s="2200" t="str">
        <f t="shared" si="44"/>
        <v>OH</v>
      </c>
      <c r="E793" s="2200">
        <f t="shared" si="45"/>
        <v>10</v>
      </c>
      <c r="F793" s="2200" t="str">
        <f t="shared" si="46"/>
        <v>39</v>
      </c>
      <c r="G793" s="2200" t="str">
        <f t="shared" si="47"/>
        <v>11780</v>
      </c>
      <c r="H793" s="2200">
        <f>--SUBTOTAL(3,C$2:C793)</f>
        <v>40</v>
      </c>
    </row>
    <row r="794" spans="1:8" hidden="1" x14ac:dyDescent="0.15">
      <c r="A794" s="2200" t="s">
        <v>1884</v>
      </c>
      <c r="B794" s="2200" t="s">
        <v>3435</v>
      </c>
      <c r="C794" s="2200" t="s">
        <v>3436</v>
      </c>
      <c r="D794" s="2200" t="str">
        <f t="shared" si="44"/>
        <v>OH</v>
      </c>
      <c r="E794" s="2200">
        <f t="shared" si="45"/>
        <v>7</v>
      </c>
      <c r="F794" s="2200" t="str">
        <f t="shared" si="46"/>
        <v>39</v>
      </c>
      <c r="G794" s="2200" t="str">
        <f t="shared" si="47"/>
        <v>11900</v>
      </c>
      <c r="H794" s="2200">
        <f>--SUBTOTAL(3,C$2:C794)</f>
        <v>40</v>
      </c>
    </row>
    <row r="795" spans="1:8" hidden="1" x14ac:dyDescent="0.15">
      <c r="A795" s="2200" t="s">
        <v>1884</v>
      </c>
      <c r="B795" s="2200" t="s">
        <v>3437</v>
      </c>
      <c r="C795" s="2200" t="s">
        <v>3438</v>
      </c>
      <c r="D795" s="2200" t="str">
        <f t="shared" si="44"/>
        <v>OH</v>
      </c>
      <c r="E795" s="2200">
        <f t="shared" si="45"/>
        <v>14</v>
      </c>
      <c r="F795" s="2200" t="str">
        <f t="shared" si="46"/>
        <v>39</v>
      </c>
      <c r="G795" s="2200" t="str">
        <f t="shared" si="47"/>
        <v>13340</v>
      </c>
      <c r="H795" s="2200">
        <f>--SUBTOTAL(3,C$2:C795)</f>
        <v>40</v>
      </c>
    </row>
    <row r="796" spans="1:8" hidden="1" x14ac:dyDescent="0.15">
      <c r="A796" s="2200" t="s">
        <v>1884</v>
      </c>
      <c r="B796" s="2200" t="s">
        <v>3439</v>
      </c>
      <c r="C796" s="2200" t="s">
        <v>3440</v>
      </c>
      <c r="D796" s="2200" t="str">
        <f t="shared" si="44"/>
        <v>OH</v>
      </c>
      <c r="E796" s="2200">
        <f t="shared" si="45"/>
        <v>8</v>
      </c>
      <c r="F796" s="2200" t="str">
        <f t="shared" si="46"/>
        <v>39</v>
      </c>
      <c r="G796" s="2200" t="str">
        <f t="shared" si="47"/>
        <v>15340</v>
      </c>
      <c r="H796" s="2200">
        <f>--SUBTOTAL(3,C$2:C796)</f>
        <v>40</v>
      </c>
    </row>
    <row r="797" spans="1:8" hidden="1" x14ac:dyDescent="0.15">
      <c r="A797" s="2200" t="s">
        <v>1884</v>
      </c>
      <c r="B797" s="2200" t="s">
        <v>3441</v>
      </c>
      <c r="C797" s="2200" t="s">
        <v>3442</v>
      </c>
      <c r="D797" s="2200" t="str">
        <f t="shared" si="44"/>
        <v>OH</v>
      </c>
      <c r="E797" s="2200">
        <f t="shared" si="45"/>
        <v>10</v>
      </c>
      <c r="F797" s="2200" t="str">
        <f t="shared" si="46"/>
        <v>39</v>
      </c>
      <c r="G797" s="2200" t="str">
        <f t="shared" si="47"/>
        <v>15740</v>
      </c>
      <c r="H797" s="2200">
        <f>--SUBTOTAL(3,C$2:C797)</f>
        <v>40</v>
      </c>
    </row>
    <row r="798" spans="1:8" hidden="1" x14ac:dyDescent="0.15">
      <c r="A798" s="2200" t="s">
        <v>1878</v>
      </c>
      <c r="B798" s="2200" t="s">
        <v>3443</v>
      </c>
      <c r="C798" s="2200" t="s">
        <v>3444</v>
      </c>
      <c r="D798" s="2200" t="str">
        <f t="shared" si="44"/>
        <v>OH</v>
      </c>
      <c r="E798" s="2200">
        <f t="shared" si="45"/>
        <v>17</v>
      </c>
      <c r="F798" s="2200" t="str">
        <f t="shared" si="46"/>
        <v>39</v>
      </c>
      <c r="G798" s="2200" t="str">
        <f t="shared" si="47"/>
        <v>15940</v>
      </c>
      <c r="H798" s="2200">
        <f>--SUBTOTAL(3,C$2:C798)</f>
        <v>40</v>
      </c>
    </row>
    <row r="799" spans="1:8" hidden="1" x14ac:dyDescent="0.15">
      <c r="A799" s="2200" t="s">
        <v>1884</v>
      </c>
      <c r="B799" s="2200" t="s">
        <v>3445</v>
      </c>
      <c r="C799" s="2200" t="s">
        <v>3446</v>
      </c>
      <c r="D799" s="2200" t="str">
        <f t="shared" si="44"/>
        <v>OH</v>
      </c>
      <c r="E799" s="2200">
        <f t="shared" si="45"/>
        <v>7</v>
      </c>
      <c r="F799" s="2200" t="str">
        <f t="shared" si="46"/>
        <v>39</v>
      </c>
      <c r="G799" s="2200" t="str">
        <f t="shared" si="47"/>
        <v>16380</v>
      </c>
      <c r="H799" s="2200">
        <f>--SUBTOTAL(3,C$2:C799)</f>
        <v>40</v>
      </c>
    </row>
    <row r="800" spans="1:8" hidden="1" x14ac:dyDescent="0.15">
      <c r="A800" s="2200" t="s">
        <v>1884</v>
      </c>
      <c r="B800" s="2200" t="s">
        <v>3447</v>
      </c>
      <c r="C800" s="2200" t="s">
        <v>3448</v>
      </c>
      <c r="D800" s="2200" t="str">
        <f t="shared" si="44"/>
        <v>OH</v>
      </c>
      <c r="E800" s="2200">
        <f t="shared" si="45"/>
        <v>12</v>
      </c>
      <c r="F800" s="2200" t="str">
        <f t="shared" si="46"/>
        <v>39</v>
      </c>
      <c r="G800" s="2200" t="str">
        <f t="shared" si="47"/>
        <v>17060</v>
      </c>
      <c r="H800" s="2200">
        <f>--SUBTOTAL(3,C$2:C800)</f>
        <v>40</v>
      </c>
    </row>
    <row r="801" spans="1:8" hidden="1" x14ac:dyDescent="0.15">
      <c r="A801" s="2200" t="s">
        <v>1878</v>
      </c>
      <c r="B801" s="2200" t="s">
        <v>3449</v>
      </c>
      <c r="C801" s="2200" t="s">
        <v>3450</v>
      </c>
      <c r="D801" s="2200" t="str">
        <f t="shared" si="44"/>
        <v>OH</v>
      </c>
      <c r="E801" s="2200">
        <f t="shared" si="45"/>
        <v>11</v>
      </c>
      <c r="F801" s="2200" t="str">
        <f t="shared" si="46"/>
        <v>39</v>
      </c>
      <c r="G801" s="2200" t="str">
        <f t="shared" si="47"/>
        <v>17140</v>
      </c>
      <c r="H801" s="2200">
        <f>--SUBTOTAL(3,C$2:C801)</f>
        <v>40</v>
      </c>
    </row>
    <row r="802" spans="1:8" hidden="1" x14ac:dyDescent="0.15">
      <c r="A802" s="2200" t="s">
        <v>1902</v>
      </c>
      <c r="B802" s="2200" t="s">
        <v>3451</v>
      </c>
      <c r="C802" s="2200" t="s">
        <v>3452</v>
      </c>
      <c r="D802" s="2200" t="str">
        <f t="shared" si="44"/>
        <v>OH</v>
      </c>
      <c r="E802" s="2200">
        <f t="shared" si="45"/>
        <v>32</v>
      </c>
      <c r="F802" s="2200" t="str">
        <f t="shared" si="46"/>
        <v>39</v>
      </c>
      <c r="G802" s="2200" t="str">
        <f t="shared" si="47"/>
        <v>17800</v>
      </c>
      <c r="H802" s="2200">
        <f>--SUBTOTAL(3,C$2:C802)</f>
        <v>40</v>
      </c>
    </row>
    <row r="803" spans="1:8" hidden="1" x14ac:dyDescent="0.15">
      <c r="A803" s="2200" t="s">
        <v>1902</v>
      </c>
      <c r="B803" s="2200" t="s">
        <v>3453</v>
      </c>
      <c r="C803" s="2200" t="s">
        <v>3454</v>
      </c>
      <c r="D803" s="2200" t="str">
        <f t="shared" si="44"/>
        <v>OH</v>
      </c>
      <c r="E803" s="2200">
        <f t="shared" si="45"/>
        <v>23</v>
      </c>
      <c r="F803" s="2200" t="str">
        <f t="shared" si="46"/>
        <v>39</v>
      </c>
      <c r="G803" s="2200" t="str">
        <f t="shared" si="47"/>
        <v>18400</v>
      </c>
      <c r="H803" s="2200">
        <f>--SUBTOTAL(3,C$2:C803)</f>
        <v>40</v>
      </c>
    </row>
    <row r="804" spans="1:8" hidden="1" x14ac:dyDescent="0.15">
      <c r="A804" s="2200" t="s">
        <v>1878</v>
      </c>
      <c r="B804" s="2200" t="s">
        <v>3455</v>
      </c>
      <c r="C804" s="2200" t="s">
        <v>3456</v>
      </c>
      <c r="D804" s="2200" t="str">
        <f t="shared" ref="D804:D870" si="48">MID(C804,E804+2,2)</f>
        <v>OH</v>
      </c>
      <c r="E804" s="2200">
        <f t="shared" ref="E804:E870" si="49">FIND(",",C804)</f>
        <v>17</v>
      </c>
      <c r="F804" s="2200" t="str">
        <f t="shared" ref="F804:F870" si="50">MID(B804,3,2)</f>
        <v>39</v>
      </c>
      <c r="G804" s="2200" t="str">
        <f t="shared" ref="G804:G870" si="51">MID(B804,5,5)</f>
        <v>17460</v>
      </c>
      <c r="H804" s="2200">
        <f>--SUBTOTAL(3,C$2:C804)</f>
        <v>40</v>
      </c>
    </row>
    <row r="805" spans="1:8" hidden="1" x14ac:dyDescent="0.15">
      <c r="A805" s="2200" t="s">
        <v>1878</v>
      </c>
      <c r="B805" s="2200" t="s">
        <v>3457</v>
      </c>
      <c r="C805" s="2200" t="s">
        <v>3458</v>
      </c>
      <c r="D805" s="2200" t="str">
        <f t="shared" si="48"/>
        <v>OH</v>
      </c>
      <c r="E805" s="2200">
        <f t="shared" si="49"/>
        <v>9</v>
      </c>
      <c r="F805" s="2200" t="str">
        <f t="shared" si="50"/>
        <v>39</v>
      </c>
      <c r="G805" s="2200" t="str">
        <f t="shared" si="51"/>
        <v>18140</v>
      </c>
      <c r="H805" s="2200">
        <f>--SUBTOTAL(3,C$2:C805)</f>
        <v>40</v>
      </c>
    </row>
    <row r="806" spans="1:8" hidden="1" x14ac:dyDescent="0.15">
      <c r="A806" s="2200" t="s">
        <v>1902</v>
      </c>
      <c r="B806" s="2200" t="s">
        <v>3459</v>
      </c>
      <c r="C806" s="2200" t="s">
        <v>3460</v>
      </c>
      <c r="D806" s="2200" t="str">
        <f t="shared" si="48"/>
        <v>OH</v>
      </c>
      <c r="E806" s="2200">
        <f t="shared" si="49"/>
        <v>27</v>
      </c>
      <c r="F806" s="2200" t="str">
        <f t="shared" si="50"/>
        <v>39</v>
      </c>
      <c r="G806" s="2200" t="str">
        <f t="shared" si="51"/>
        <v>19800</v>
      </c>
      <c r="H806" s="2200">
        <f>--SUBTOTAL(3,C$2:C806)</f>
        <v>40</v>
      </c>
    </row>
    <row r="807" spans="1:8" hidden="1" x14ac:dyDescent="0.15">
      <c r="A807" s="2200" t="s">
        <v>1884</v>
      </c>
      <c r="B807" s="2200" t="s">
        <v>3461</v>
      </c>
      <c r="C807" s="2200" t="s">
        <v>3462</v>
      </c>
      <c r="D807" s="2200" t="str">
        <f t="shared" si="48"/>
        <v>OH</v>
      </c>
      <c r="E807" s="2200">
        <f t="shared" si="49"/>
        <v>10</v>
      </c>
      <c r="F807" s="2200" t="str">
        <f t="shared" si="50"/>
        <v>39</v>
      </c>
      <c r="G807" s="2200" t="str">
        <f t="shared" si="51"/>
        <v>18740</v>
      </c>
      <c r="H807" s="2200">
        <f>--SUBTOTAL(3,C$2:C807)</f>
        <v>40</v>
      </c>
    </row>
    <row r="808" spans="1:8" hidden="1" x14ac:dyDescent="0.15">
      <c r="A808" s="2200" t="s">
        <v>1878</v>
      </c>
      <c r="B808" s="2200" t="s">
        <v>3463</v>
      </c>
      <c r="C808" s="2200" t="s">
        <v>3464</v>
      </c>
      <c r="D808" s="2200" t="str">
        <f t="shared" si="48"/>
        <v>OH</v>
      </c>
      <c r="E808" s="2200">
        <f t="shared" si="49"/>
        <v>7</v>
      </c>
      <c r="F808" s="2200" t="str">
        <f t="shared" si="50"/>
        <v>39</v>
      </c>
      <c r="G808" s="2200" t="str">
        <f t="shared" si="51"/>
        <v>19380</v>
      </c>
      <c r="H808" s="2200">
        <f>--SUBTOTAL(3,C$2:C808)</f>
        <v>40</v>
      </c>
    </row>
    <row r="809" spans="1:8" hidden="1" x14ac:dyDescent="0.15">
      <c r="A809" s="2200" t="s">
        <v>1902</v>
      </c>
      <c r="B809" s="2200" t="s">
        <v>3465</v>
      </c>
      <c r="C809" s="2200" t="s">
        <v>3466</v>
      </c>
      <c r="D809" s="2200" t="str">
        <f t="shared" si="48"/>
        <v>OH</v>
      </c>
      <c r="E809" s="2200">
        <f t="shared" si="49"/>
        <v>26</v>
      </c>
      <c r="F809" s="2200" t="str">
        <f t="shared" si="50"/>
        <v>39</v>
      </c>
      <c r="G809" s="2200" t="str">
        <f t="shared" si="51"/>
        <v>21200</v>
      </c>
      <c r="H809" s="2200">
        <f>--SUBTOTAL(3,C$2:C809)</f>
        <v>40</v>
      </c>
    </row>
    <row r="810" spans="1:8" hidden="1" x14ac:dyDescent="0.15">
      <c r="A810" s="2200" t="s">
        <v>1884</v>
      </c>
      <c r="B810" s="2200" t="s">
        <v>3467</v>
      </c>
      <c r="C810" s="2200" t="s">
        <v>3468</v>
      </c>
      <c r="D810" s="2200" t="str">
        <f t="shared" si="48"/>
        <v>OH</v>
      </c>
      <c r="E810" s="2200">
        <f t="shared" si="49"/>
        <v>9</v>
      </c>
      <c r="F810" s="2200" t="str">
        <f t="shared" si="50"/>
        <v>39</v>
      </c>
      <c r="G810" s="2200" t="str">
        <f t="shared" si="51"/>
        <v>19580</v>
      </c>
      <c r="H810" s="2200">
        <f>--SUBTOTAL(3,C$2:C810)</f>
        <v>40</v>
      </c>
    </row>
    <row r="811" spans="1:8" hidden="1" x14ac:dyDescent="0.15">
      <c r="A811" s="2200" t="s">
        <v>1884</v>
      </c>
      <c r="B811" s="2200" t="s">
        <v>3469</v>
      </c>
      <c r="C811" s="2200" t="s">
        <v>3470</v>
      </c>
      <c r="D811" s="2200" t="str">
        <f t="shared" si="48"/>
        <v>OH</v>
      </c>
      <c r="E811" s="2200">
        <f t="shared" si="49"/>
        <v>8</v>
      </c>
      <c r="F811" s="2200" t="str">
        <f t="shared" si="50"/>
        <v>39</v>
      </c>
      <c r="G811" s="2200" t="str">
        <f t="shared" si="51"/>
        <v>22300</v>
      </c>
      <c r="H811" s="2200">
        <f>--SUBTOTAL(3,C$2:C811)</f>
        <v>40</v>
      </c>
    </row>
    <row r="812" spans="1:8" hidden="1" x14ac:dyDescent="0.15">
      <c r="A812" s="2200" t="s">
        <v>1902</v>
      </c>
      <c r="B812" s="2200" t="s">
        <v>3471</v>
      </c>
      <c r="C812" s="2200" t="s">
        <v>3472</v>
      </c>
      <c r="D812" s="2200" t="str">
        <f t="shared" si="48"/>
        <v>OH</v>
      </c>
      <c r="E812" s="2200">
        <f t="shared" si="49"/>
        <v>15</v>
      </c>
      <c r="F812" s="2200" t="str">
        <f t="shared" si="50"/>
        <v>39</v>
      </c>
      <c r="G812" s="2200" t="str">
        <f t="shared" si="51"/>
        <v>24800</v>
      </c>
      <c r="H812" s="2200">
        <f>--SUBTOTAL(3,C$2:C812)</f>
        <v>40</v>
      </c>
    </row>
    <row r="813" spans="1:8" hidden="1" x14ac:dyDescent="0.15">
      <c r="A813" s="2200" t="s">
        <v>1884</v>
      </c>
      <c r="B813" s="2200" t="s">
        <v>3473</v>
      </c>
      <c r="C813" s="2200" t="s">
        <v>3474</v>
      </c>
      <c r="D813" s="2200" t="str">
        <f t="shared" si="48"/>
        <v>OH</v>
      </c>
      <c r="E813" s="2200">
        <f t="shared" si="49"/>
        <v>8</v>
      </c>
      <c r="F813" s="2200" t="str">
        <f t="shared" si="50"/>
        <v>39</v>
      </c>
      <c r="G813" s="2200" t="str">
        <f t="shared" si="51"/>
        <v>23380</v>
      </c>
      <c r="H813" s="2200">
        <f>--SUBTOTAL(3,C$2:C813)</f>
        <v>40</v>
      </c>
    </row>
    <row r="814" spans="1:8" hidden="1" x14ac:dyDescent="0.15">
      <c r="A814" s="2200" t="s">
        <v>1884</v>
      </c>
      <c r="B814" s="2200" t="s">
        <v>3475</v>
      </c>
      <c r="C814" s="2200" t="s">
        <v>3476</v>
      </c>
      <c r="D814" s="2200" t="str">
        <f t="shared" si="48"/>
        <v>OH</v>
      </c>
      <c r="E814" s="2200">
        <f t="shared" si="49"/>
        <v>11</v>
      </c>
      <c r="F814" s="2200" t="str">
        <f t="shared" si="50"/>
        <v>39</v>
      </c>
      <c r="G814" s="2200" t="str">
        <f t="shared" si="51"/>
        <v>24820</v>
      </c>
      <c r="H814" s="2200">
        <f>--SUBTOTAL(3,C$2:C814)</f>
        <v>40</v>
      </c>
    </row>
    <row r="815" spans="1:8" hidden="1" x14ac:dyDescent="0.15">
      <c r="A815" s="2200" t="s">
        <v>1878</v>
      </c>
      <c r="B815" s="2200" t="s">
        <v>4211</v>
      </c>
      <c r="C815" s="2200" t="s">
        <v>17895</v>
      </c>
      <c r="D815" s="2200" t="str">
        <f t="shared" si="48"/>
        <v>OH</v>
      </c>
      <c r="E815" s="2200">
        <f t="shared" si="49"/>
        <v>19</v>
      </c>
      <c r="F815" s="2200" t="str">
        <f t="shared" si="50"/>
        <v>54</v>
      </c>
      <c r="G815" s="2200" t="str">
        <f t="shared" si="51"/>
        <v>26580</v>
      </c>
      <c r="H815" s="2200">
        <f>--SUBTOTAL(3,C$2:C815)</f>
        <v>40</v>
      </c>
    </row>
    <row r="816" spans="1:8" hidden="1" x14ac:dyDescent="0.15">
      <c r="A816" s="2200" t="s">
        <v>1884</v>
      </c>
      <c r="B816" s="2200" t="s">
        <v>3477</v>
      </c>
      <c r="C816" s="2200" t="s">
        <v>3478</v>
      </c>
      <c r="D816" s="2200" t="str">
        <f t="shared" si="48"/>
        <v>OH</v>
      </c>
      <c r="E816" s="2200">
        <f t="shared" si="49"/>
        <v>8</v>
      </c>
      <c r="F816" s="2200" t="str">
        <f t="shared" si="50"/>
        <v>39</v>
      </c>
      <c r="G816" s="2200" t="str">
        <f t="shared" si="51"/>
        <v>27160</v>
      </c>
      <c r="H816" s="2200">
        <f>--SUBTOTAL(3,C$2:C816)</f>
        <v>40</v>
      </c>
    </row>
    <row r="817" spans="1:8" hidden="1" x14ac:dyDescent="0.15">
      <c r="A817" s="2200" t="s">
        <v>1878</v>
      </c>
      <c r="B817" s="2200" t="s">
        <v>3479</v>
      </c>
      <c r="C817" s="2200" t="s">
        <v>3480</v>
      </c>
      <c r="D817" s="2200" t="str">
        <f t="shared" si="48"/>
        <v>OH</v>
      </c>
      <c r="E817" s="2200">
        <f t="shared" si="49"/>
        <v>5</v>
      </c>
      <c r="F817" s="2200" t="str">
        <f t="shared" si="50"/>
        <v>39</v>
      </c>
      <c r="G817" s="2200" t="str">
        <f t="shared" si="51"/>
        <v>30620</v>
      </c>
      <c r="H817" s="2200">
        <f>--SUBTOTAL(3,C$2:C817)</f>
        <v>40</v>
      </c>
    </row>
    <row r="818" spans="1:8" hidden="1" x14ac:dyDescent="0.15">
      <c r="A818" s="2200" t="s">
        <v>1902</v>
      </c>
      <c r="B818" s="2200" t="s">
        <v>3481</v>
      </c>
      <c r="C818" s="2200" t="s">
        <v>3482</v>
      </c>
      <c r="D818" s="2200" t="str">
        <f t="shared" si="48"/>
        <v>OH</v>
      </c>
      <c r="E818" s="2200">
        <f t="shared" si="49"/>
        <v>21</v>
      </c>
      <c r="F818" s="2200" t="str">
        <f t="shared" si="50"/>
        <v>39</v>
      </c>
      <c r="G818" s="2200" t="str">
        <f t="shared" si="51"/>
        <v>33800</v>
      </c>
      <c r="H818" s="2200">
        <f>--SUBTOTAL(3,C$2:C818)</f>
        <v>40</v>
      </c>
    </row>
    <row r="819" spans="1:8" hidden="1" x14ac:dyDescent="0.15">
      <c r="A819" s="2200" t="s">
        <v>1878</v>
      </c>
      <c r="B819" s="2200" t="s">
        <v>3483</v>
      </c>
      <c r="C819" s="2200" t="s">
        <v>3484</v>
      </c>
      <c r="D819" s="2200" t="str">
        <f t="shared" si="48"/>
        <v>OH</v>
      </c>
      <c r="E819" s="2200">
        <f t="shared" si="49"/>
        <v>10</v>
      </c>
      <c r="F819" s="2200" t="str">
        <f t="shared" si="50"/>
        <v>39</v>
      </c>
      <c r="G819" s="2200" t="str">
        <f t="shared" si="51"/>
        <v>31900</v>
      </c>
      <c r="H819" s="2200">
        <f>--SUBTOTAL(3,C$2:C819)</f>
        <v>40</v>
      </c>
    </row>
    <row r="820" spans="1:8" hidden="1" x14ac:dyDescent="0.15">
      <c r="A820" s="2200" t="s">
        <v>1902</v>
      </c>
      <c r="B820" s="2200" t="s">
        <v>3485</v>
      </c>
      <c r="C820" s="2200" t="s">
        <v>3486</v>
      </c>
      <c r="D820" s="2200" t="str">
        <f t="shared" si="48"/>
        <v>OH</v>
      </c>
      <c r="E820" s="2200">
        <f t="shared" si="49"/>
        <v>26</v>
      </c>
      <c r="F820" s="2200" t="str">
        <f t="shared" si="50"/>
        <v>39</v>
      </c>
      <c r="G820" s="2200" t="str">
        <f t="shared" si="51"/>
        <v>36000</v>
      </c>
      <c r="H820" s="2200">
        <f>--SUBTOTAL(3,C$2:C820)</f>
        <v>40</v>
      </c>
    </row>
    <row r="821" spans="1:8" hidden="1" x14ac:dyDescent="0.15">
      <c r="A821" s="2200" t="s">
        <v>1884</v>
      </c>
      <c r="B821" s="2200" t="s">
        <v>3487</v>
      </c>
      <c r="C821" s="2200" t="s">
        <v>3488</v>
      </c>
      <c r="D821" s="2200" t="str">
        <f t="shared" si="48"/>
        <v>OH</v>
      </c>
      <c r="E821" s="2200">
        <f t="shared" si="49"/>
        <v>9</v>
      </c>
      <c r="F821" s="2200" t="str">
        <f t="shared" si="50"/>
        <v>39</v>
      </c>
      <c r="G821" s="2200" t="str">
        <f t="shared" si="51"/>
        <v>31930</v>
      </c>
      <c r="H821" s="2200">
        <f>--SUBTOTAL(3,C$2:C821)</f>
        <v>40</v>
      </c>
    </row>
    <row r="822" spans="1:8" hidden="1" x14ac:dyDescent="0.15">
      <c r="A822" s="2200" t="s">
        <v>1884</v>
      </c>
      <c r="B822" s="2200" t="s">
        <v>3489</v>
      </c>
      <c r="C822" s="2200" t="s">
        <v>3490</v>
      </c>
      <c r="D822" s="2200" t="str">
        <f t="shared" si="48"/>
        <v>OH</v>
      </c>
      <c r="E822" s="2200">
        <f t="shared" si="49"/>
        <v>7</v>
      </c>
      <c r="F822" s="2200" t="str">
        <f t="shared" si="50"/>
        <v>39</v>
      </c>
      <c r="G822" s="2200" t="str">
        <f t="shared" si="51"/>
        <v>32020</v>
      </c>
      <c r="H822" s="2200">
        <f>--SUBTOTAL(3,C$2:C822)</f>
        <v>40</v>
      </c>
    </row>
    <row r="823" spans="1:8" hidden="1" x14ac:dyDescent="0.15">
      <c r="A823" s="2200" t="s">
        <v>1884</v>
      </c>
      <c r="B823" s="2200" t="s">
        <v>3491</v>
      </c>
      <c r="C823" s="2200" t="s">
        <v>3492</v>
      </c>
      <c r="D823" s="2200" t="str">
        <f t="shared" si="48"/>
        <v>OH</v>
      </c>
      <c r="E823" s="2200">
        <f t="shared" si="49"/>
        <v>13</v>
      </c>
      <c r="F823" s="2200" t="str">
        <f t="shared" si="50"/>
        <v>39</v>
      </c>
      <c r="G823" s="2200" t="str">
        <f t="shared" si="51"/>
        <v>34540</v>
      </c>
      <c r="H823" s="2200">
        <f>--SUBTOTAL(3,C$2:C823)</f>
        <v>40</v>
      </c>
    </row>
    <row r="824" spans="1:8" hidden="1" x14ac:dyDescent="0.15">
      <c r="A824" s="2200" t="s">
        <v>1884</v>
      </c>
      <c r="B824" s="2200" t="s">
        <v>3493</v>
      </c>
      <c r="C824" s="2200" t="s">
        <v>3494</v>
      </c>
      <c r="D824" s="2200" t="str">
        <f t="shared" si="48"/>
        <v>OH</v>
      </c>
      <c r="E824" s="2200">
        <f t="shared" si="49"/>
        <v>23</v>
      </c>
      <c r="F824" s="2200" t="str">
        <f t="shared" si="50"/>
        <v>39</v>
      </c>
      <c r="G824" s="2200" t="str">
        <f t="shared" si="51"/>
        <v>35420</v>
      </c>
      <c r="H824" s="2200">
        <f>--SUBTOTAL(3,C$2:C824)</f>
        <v>40</v>
      </c>
    </row>
    <row r="825" spans="1:8" hidden="1" x14ac:dyDescent="0.15">
      <c r="A825" s="2200" t="s">
        <v>1884</v>
      </c>
      <c r="B825" s="2200" t="s">
        <v>3495</v>
      </c>
      <c r="C825" s="2200" t="s">
        <v>3496</v>
      </c>
      <c r="D825" s="2200" t="str">
        <f t="shared" si="48"/>
        <v>OH</v>
      </c>
      <c r="E825" s="2200">
        <f t="shared" si="49"/>
        <v>8</v>
      </c>
      <c r="F825" s="2200" t="str">
        <f t="shared" si="50"/>
        <v>39</v>
      </c>
      <c r="G825" s="2200" t="str">
        <f t="shared" si="51"/>
        <v>35940</v>
      </c>
      <c r="H825" s="2200">
        <f>--SUBTOTAL(3,C$2:C825)</f>
        <v>40</v>
      </c>
    </row>
    <row r="826" spans="1:8" hidden="1" x14ac:dyDescent="0.15">
      <c r="A826" s="2200" t="s">
        <v>1884</v>
      </c>
      <c r="B826" s="2200" t="s">
        <v>3497</v>
      </c>
      <c r="C826" s="2200" t="s">
        <v>3498</v>
      </c>
      <c r="D826" s="2200" t="str">
        <f t="shared" si="48"/>
        <v>OH</v>
      </c>
      <c r="E826" s="2200">
        <f t="shared" si="49"/>
        <v>13</v>
      </c>
      <c r="F826" s="2200" t="str">
        <f t="shared" si="50"/>
        <v>39</v>
      </c>
      <c r="G826" s="2200" t="str">
        <f t="shared" si="51"/>
        <v>38840</v>
      </c>
      <c r="H826" s="2200">
        <f>--SUBTOTAL(3,C$2:C826)</f>
        <v>40</v>
      </c>
    </row>
    <row r="827" spans="1:8" hidden="1" x14ac:dyDescent="0.15">
      <c r="A827" s="2200" t="s">
        <v>1884</v>
      </c>
      <c r="B827" s="2200" t="s">
        <v>3499</v>
      </c>
      <c r="C827" s="2200" t="s">
        <v>3500</v>
      </c>
      <c r="D827" s="2200" t="str">
        <f t="shared" si="48"/>
        <v>OH</v>
      </c>
      <c r="E827" s="2200">
        <f t="shared" si="49"/>
        <v>11</v>
      </c>
      <c r="F827" s="2200" t="str">
        <f t="shared" si="50"/>
        <v>39</v>
      </c>
      <c r="G827" s="2200" t="str">
        <f t="shared" si="51"/>
        <v>39020</v>
      </c>
      <c r="H827" s="2200">
        <f>--SUBTOTAL(3,C$2:C827)</f>
        <v>40</v>
      </c>
    </row>
    <row r="828" spans="1:8" hidden="1" x14ac:dyDescent="0.15">
      <c r="A828" s="2200" t="s">
        <v>1884</v>
      </c>
      <c r="B828" s="2200" t="s">
        <v>3501</v>
      </c>
      <c r="C828" s="2200" t="s">
        <v>3502</v>
      </c>
      <c r="D828" s="2200" t="str">
        <f t="shared" si="48"/>
        <v>OH</v>
      </c>
      <c r="E828" s="2200">
        <f t="shared" si="49"/>
        <v>6</v>
      </c>
      <c r="F828" s="2200" t="str">
        <f t="shared" si="50"/>
        <v>39</v>
      </c>
      <c r="G828" s="2200" t="str">
        <f t="shared" si="51"/>
        <v>41400</v>
      </c>
      <c r="H828" s="2200">
        <f>--SUBTOTAL(3,C$2:C828)</f>
        <v>40</v>
      </c>
    </row>
    <row r="829" spans="1:8" hidden="1" x14ac:dyDescent="0.15">
      <c r="A829" s="2200" t="s">
        <v>1884</v>
      </c>
      <c r="B829" s="2200" t="s">
        <v>3503</v>
      </c>
      <c r="C829" s="2200" t="s">
        <v>3504</v>
      </c>
      <c r="D829" s="2200" t="str">
        <f t="shared" si="48"/>
        <v>OH</v>
      </c>
      <c r="E829" s="2200">
        <f t="shared" si="49"/>
        <v>9</v>
      </c>
      <c r="F829" s="2200" t="str">
        <f t="shared" si="50"/>
        <v>39</v>
      </c>
      <c r="G829" s="2200" t="str">
        <f t="shared" si="51"/>
        <v>41780</v>
      </c>
      <c r="H829" s="2200">
        <f>--SUBTOTAL(3,C$2:C829)</f>
        <v>40</v>
      </c>
    </row>
    <row r="830" spans="1:8" hidden="1" x14ac:dyDescent="0.15">
      <c r="A830" s="2200" t="s">
        <v>1884</v>
      </c>
      <c r="B830" s="2200" t="s">
        <v>3505</v>
      </c>
      <c r="C830" s="2200" t="s">
        <v>3506</v>
      </c>
      <c r="D830" s="2200" t="str">
        <f t="shared" si="48"/>
        <v>OH</v>
      </c>
      <c r="E830" s="2200">
        <f t="shared" si="49"/>
        <v>7</v>
      </c>
      <c r="F830" s="2200" t="str">
        <f t="shared" si="50"/>
        <v>39</v>
      </c>
      <c r="G830" s="2200" t="str">
        <f t="shared" si="51"/>
        <v>43380</v>
      </c>
      <c r="H830" s="2200">
        <f>--SUBTOTAL(3,C$2:C830)</f>
        <v>40</v>
      </c>
    </row>
    <row r="831" spans="1:8" hidden="1" x14ac:dyDescent="0.15">
      <c r="A831" s="2200" t="s">
        <v>1878</v>
      </c>
      <c r="B831" s="2200" t="s">
        <v>3507</v>
      </c>
      <c r="C831" s="2200" t="s">
        <v>3508</v>
      </c>
      <c r="D831" s="2200" t="str">
        <f t="shared" si="48"/>
        <v>OH</v>
      </c>
      <c r="E831" s="2200">
        <f t="shared" si="49"/>
        <v>12</v>
      </c>
      <c r="F831" s="2200" t="str">
        <f t="shared" si="50"/>
        <v>39</v>
      </c>
      <c r="G831" s="2200" t="str">
        <f t="shared" si="51"/>
        <v>44220</v>
      </c>
      <c r="H831" s="2200">
        <f>--SUBTOTAL(3,C$2:C831)</f>
        <v>40</v>
      </c>
    </row>
    <row r="832" spans="1:8" hidden="1" x14ac:dyDescent="0.15">
      <c r="A832" s="2200" t="s">
        <v>1884</v>
      </c>
      <c r="B832" s="2200" t="s">
        <v>3509</v>
      </c>
      <c r="C832" s="2200" t="s">
        <v>3510</v>
      </c>
      <c r="D832" s="2200" t="str">
        <f t="shared" si="48"/>
        <v>OH</v>
      </c>
      <c r="E832" s="2200">
        <f t="shared" si="49"/>
        <v>7</v>
      </c>
      <c r="F832" s="2200" t="str">
        <f t="shared" si="50"/>
        <v>39</v>
      </c>
      <c r="G832" s="2200" t="str">
        <f t="shared" si="51"/>
        <v>45660</v>
      </c>
      <c r="H832" s="2200">
        <f>--SUBTOTAL(3,C$2:C832)</f>
        <v>40</v>
      </c>
    </row>
    <row r="833" spans="1:8" hidden="1" x14ac:dyDescent="0.15">
      <c r="A833" s="2200" t="s">
        <v>1878</v>
      </c>
      <c r="B833" s="2200" t="s">
        <v>3511</v>
      </c>
      <c r="C833" s="2200" t="s">
        <v>3512</v>
      </c>
      <c r="D833" s="2200" t="str">
        <f t="shared" si="48"/>
        <v>OH</v>
      </c>
      <c r="E833" s="2200">
        <f t="shared" si="49"/>
        <v>7</v>
      </c>
      <c r="F833" s="2200" t="str">
        <f t="shared" si="50"/>
        <v>39</v>
      </c>
      <c r="G833" s="2200" t="str">
        <f t="shared" si="51"/>
        <v>45780</v>
      </c>
      <c r="H833" s="2200">
        <f>--SUBTOTAL(3,C$2:C833)</f>
        <v>40</v>
      </c>
    </row>
    <row r="834" spans="1:8" hidden="1" x14ac:dyDescent="0.15">
      <c r="A834" s="2200" t="s">
        <v>1902</v>
      </c>
      <c r="B834" s="2200" t="s">
        <v>3513</v>
      </c>
      <c r="C834" s="2200" t="s">
        <v>3514</v>
      </c>
      <c r="D834" s="2200" t="str">
        <f t="shared" si="48"/>
        <v>OH</v>
      </c>
      <c r="E834" s="2200">
        <f t="shared" si="49"/>
        <v>20</v>
      </c>
      <c r="F834" s="2200" t="str">
        <f t="shared" si="50"/>
        <v>39</v>
      </c>
      <c r="G834" s="2200" t="str">
        <f t="shared" si="51"/>
        <v>53400</v>
      </c>
      <c r="H834" s="2200">
        <f>--SUBTOTAL(3,C$2:C834)</f>
        <v>40</v>
      </c>
    </row>
    <row r="835" spans="1:8" hidden="1" x14ac:dyDescent="0.15">
      <c r="A835" s="2200" t="s">
        <v>1884</v>
      </c>
      <c r="B835" s="2200" t="s">
        <v>3515</v>
      </c>
      <c r="C835" s="2200" t="s">
        <v>3516</v>
      </c>
      <c r="D835" s="2200" t="str">
        <f t="shared" si="48"/>
        <v>OH</v>
      </c>
      <c r="E835" s="2200">
        <f t="shared" si="49"/>
        <v>7</v>
      </c>
      <c r="F835" s="2200" t="str">
        <f t="shared" si="50"/>
        <v>39</v>
      </c>
      <c r="G835" s="2200" t="str">
        <f t="shared" si="51"/>
        <v>46500</v>
      </c>
      <c r="H835" s="2200">
        <f>--SUBTOTAL(3,C$2:C835)</f>
        <v>40</v>
      </c>
    </row>
    <row r="836" spans="1:8" hidden="1" x14ac:dyDescent="0.15">
      <c r="A836" s="2200" t="s">
        <v>1884</v>
      </c>
      <c r="B836" s="2200" t="s">
        <v>3517</v>
      </c>
      <c r="C836" s="2200" t="s">
        <v>3518</v>
      </c>
      <c r="D836" s="2200" t="str">
        <f t="shared" si="48"/>
        <v>OH</v>
      </c>
      <c r="E836" s="2200">
        <f t="shared" si="49"/>
        <v>9</v>
      </c>
      <c r="F836" s="2200" t="str">
        <f t="shared" si="50"/>
        <v>39</v>
      </c>
      <c r="G836" s="2200" t="str">
        <f t="shared" si="51"/>
        <v>46780</v>
      </c>
      <c r="H836" s="2200">
        <f>--SUBTOTAL(3,C$2:C836)</f>
        <v>40</v>
      </c>
    </row>
    <row r="837" spans="1:8" hidden="1" x14ac:dyDescent="0.15">
      <c r="A837" s="2200" t="s">
        <v>1884</v>
      </c>
      <c r="B837" s="2200" t="s">
        <v>3519</v>
      </c>
      <c r="C837" s="2200" t="s">
        <v>3520</v>
      </c>
      <c r="D837" s="2200" t="str">
        <f t="shared" si="48"/>
        <v>OH</v>
      </c>
      <c r="E837" s="2200">
        <f t="shared" si="49"/>
        <v>11</v>
      </c>
      <c r="F837" s="2200" t="str">
        <f t="shared" si="50"/>
        <v>39</v>
      </c>
      <c r="G837" s="2200" t="str">
        <f t="shared" si="51"/>
        <v>47540</v>
      </c>
      <c r="H837" s="2200">
        <f>--SUBTOTAL(3,C$2:C837)</f>
        <v>40</v>
      </c>
    </row>
    <row r="838" spans="1:8" hidden="1" x14ac:dyDescent="0.15">
      <c r="A838" s="2200" t="s">
        <v>1884</v>
      </c>
      <c r="B838" s="2200" t="s">
        <v>3521</v>
      </c>
      <c r="C838" s="2200" t="s">
        <v>3522</v>
      </c>
      <c r="D838" s="2200" t="str">
        <f t="shared" si="48"/>
        <v>OH</v>
      </c>
      <c r="E838" s="2200">
        <f t="shared" si="49"/>
        <v>23</v>
      </c>
      <c r="F838" s="2200" t="str">
        <f t="shared" si="50"/>
        <v>39</v>
      </c>
      <c r="G838" s="2200" t="str">
        <f t="shared" si="51"/>
        <v>47920</v>
      </c>
      <c r="H838" s="2200">
        <f>--SUBTOTAL(3,C$2:C838)</f>
        <v>40</v>
      </c>
    </row>
    <row r="839" spans="1:8" hidden="1" x14ac:dyDescent="0.15">
      <c r="A839" s="2200" t="s">
        <v>1878</v>
      </c>
      <c r="B839" s="2200" t="s">
        <v>4227</v>
      </c>
      <c r="C839" s="2200" t="s">
        <v>17894</v>
      </c>
      <c r="D839" s="2200" t="str">
        <f t="shared" si="48"/>
        <v>OH</v>
      </c>
      <c r="E839" s="2200">
        <f t="shared" si="49"/>
        <v>9</v>
      </c>
      <c r="F839" s="2200" t="str">
        <f t="shared" si="50"/>
        <v>54</v>
      </c>
      <c r="G839" s="2200" t="str">
        <f t="shared" si="51"/>
        <v>48540</v>
      </c>
      <c r="H839" s="2200">
        <f>--SUBTOTAL(3,C$2:C839)</f>
        <v>40</v>
      </c>
    </row>
    <row r="840" spans="1:8" hidden="1" x14ac:dyDescent="0.15">
      <c r="A840" s="2200" t="s">
        <v>1884</v>
      </c>
      <c r="B840" s="2200" t="s">
        <v>3523</v>
      </c>
      <c r="C840" s="2200" t="s">
        <v>3524</v>
      </c>
      <c r="D840" s="2200" t="str">
        <f t="shared" si="48"/>
        <v>OH</v>
      </c>
      <c r="E840" s="2200">
        <f t="shared" si="49"/>
        <v>11</v>
      </c>
      <c r="F840" s="2200" t="str">
        <f t="shared" si="50"/>
        <v>39</v>
      </c>
      <c r="G840" s="2200" t="str">
        <f t="shared" si="51"/>
        <v>48940</v>
      </c>
      <c r="H840" s="2200">
        <f>--SUBTOTAL(3,C$2:C840)</f>
        <v>40</v>
      </c>
    </row>
    <row r="841" spans="1:8" hidden="1" x14ac:dyDescent="0.15">
      <c r="A841" s="2200" t="s">
        <v>1884</v>
      </c>
      <c r="B841" s="2200" t="s">
        <v>3525</v>
      </c>
      <c r="C841" s="2200" t="s">
        <v>3526</v>
      </c>
      <c r="D841" s="2200" t="str">
        <f t="shared" si="48"/>
        <v>OH</v>
      </c>
      <c r="E841" s="2200">
        <f t="shared" si="49"/>
        <v>8</v>
      </c>
      <c r="F841" s="2200" t="str">
        <f t="shared" si="50"/>
        <v>39</v>
      </c>
      <c r="G841" s="2200" t="str">
        <f t="shared" si="51"/>
        <v>49300</v>
      </c>
      <c r="H841" s="2200">
        <f>--SUBTOTAL(3,C$2:C841)</f>
        <v>40</v>
      </c>
    </row>
    <row r="842" spans="1:8" hidden="1" x14ac:dyDescent="0.15">
      <c r="A842" s="2200" t="s">
        <v>1902</v>
      </c>
      <c r="B842" s="2200" t="s">
        <v>3527</v>
      </c>
      <c r="C842" s="2200" t="s">
        <v>3528</v>
      </c>
      <c r="D842" s="2200" t="str">
        <f t="shared" si="48"/>
        <v>OH</v>
      </c>
      <c r="E842" s="2200">
        <f t="shared" si="49"/>
        <v>18</v>
      </c>
      <c r="F842" s="2200" t="str">
        <f t="shared" si="50"/>
        <v>39</v>
      </c>
      <c r="G842" s="2200" t="str">
        <f t="shared" si="51"/>
        <v>56600</v>
      </c>
      <c r="H842" s="2200">
        <f>--SUBTOTAL(3,C$2:C842)</f>
        <v>40</v>
      </c>
    </row>
    <row r="843" spans="1:8" hidden="1" x14ac:dyDescent="0.15">
      <c r="A843" s="2200" t="s">
        <v>1878</v>
      </c>
      <c r="B843" s="2200" t="s">
        <v>3529</v>
      </c>
      <c r="C843" s="2200" t="s">
        <v>3530</v>
      </c>
      <c r="D843" s="2200" t="str">
        <f t="shared" si="48"/>
        <v>OH</v>
      </c>
      <c r="E843" s="2200">
        <f t="shared" si="49"/>
        <v>27</v>
      </c>
      <c r="F843" s="2200" t="str">
        <f t="shared" si="50"/>
        <v>39</v>
      </c>
      <c r="G843" s="2200" t="str">
        <f t="shared" si="51"/>
        <v>49660</v>
      </c>
      <c r="H843" s="2200">
        <f>--SUBTOTAL(3,C$2:C843)</f>
        <v>40</v>
      </c>
    </row>
    <row r="844" spans="1:8" hidden="1" x14ac:dyDescent="0.15">
      <c r="A844" s="2200" t="s">
        <v>1884</v>
      </c>
      <c r="B844" s="2200" t="s">
        <v>3531</v>
      </c>
      <c r="C844" s="2200" t="s">
        <v>3532</v>
      </c>
      <c r="D844" s="2200" t="str">
        <f t="shared" si="48"/>
        <v>OH</v>
      </c>
      <c r="E844" s="2200">
        <f t="shared" si="49"/>
        <v>11</v>
      </c>
      <c r="F844" s="2200" t="str">
        <f t="shared" si="50"/>
        <v>39</v>
      </c>
      <c r="G844" s="2200" t="str">
        <f t="shared" si="51"/>
        <v>49780</v>
      </c>
      <c r="H844" s="2200">
        <f>--SUBTOTAL(3,C$2:C844)</f>
        <v>40</v>
      </c>
    </row>
    <row r="845" spans="1:8" hidden="1" x14ac:dyDescent="0.15">
      <c r="A845" s="2200" t="s">
        <v>1884</v>
      </c>
      <c r="B845" s="2200" t="s">
        <v>3533</v>
      </c>
      <c r="C845" s="2200" t="s">
        <v>3534</v>
      </c>
      <c r="D845" s="2200" t="str">
        <f t="shared" si="48"/>
        <v>OK</v>
      </c>
      <c r="E845" s="2200">
        <f t="shared" si="49"/>
        <v>4</v>
      </c>
      <c r="F845" s="2200" t="str">
        <f t="shared" si="50"/>
        <v>40</v>
      </c>
      <c r="G845" s="2200" t="str">
        <f t="shared" si="51"/>
        <v>10220</v>
      </c>
      <c r="H845" s="2200">
        <f>--SUBTOTAL(3,C$2:C845)</f>
        <v>40</v>
      </c>
    </row>
    <row r="846" spans="1:8" hidden="1" x14ac:dyDescent="0.15">
      <c r="A846" s="2200" t="s">
        <v>1884</v>
      </c>
      <c r="B846" s="2200" t="s">
        <v>3536</v>
      </c>
      <c r="C846" s="2200" t="s">
        <v>3537</v>
      </c>
      <c r="D846" s="2200" t="str">
        <f t="shared" si="48"/>
        <v>OK</v>
      </c>
      <c r="E846" s="2200">
        <f t="shared" si="49"/>
        <v>6</v>
      </c>
      <c r="F846" s="2200" t="str">
        <f t="shared" si="50"/>
        <v>40</v>
      </c>
      <c r="G846" s="2200" t="str">
        <f t="shared" si="51"/>
        <v>11060</v>
      </c>
      <c r="H846" s="2200">
        <f>--SUBTOTAL(3,C$2:C846)</f>
        <v>40</v>
      </c>
    </row>
    <row r="847" spans="1:8" hidden="1" x14ac:dyDescent="0.15">
      <c r="A847" s="2200" t="s">
        <v>1884</v>
      </c>
      <c r="B847" s="2200" t="s">
        <v>3538</v>
      </c>
      <c r="C847" s="2200" t="s">
        <v>3539</v>
      </c>
      <c r="D847" s="2200" t="str">
        <f t="shared" si="48"/>
        <v>OK</v>
      </c>
      <c r="E847" s="2200">
        <f t="shared" si="49"/>
        <v>8</v>
      </c>
      <c r="F847" s="2200" t="str">
        <f t="shared" si="50"/>
        <v>40</v>
      </c>
      <c r="G847" s="2200" t="str">
        <f t="shared" si="51"/>
        <v>11620</v>
      </c>
      <c r="H847" s="2200">
        <f>--SUBTOTAL(3,C$2:C847)</f>
        <v>40</v>
      </c>
    </row>
    <row r="848" spans="1:8" hidden="1" x14ac:dyDescent="0.15">
      <c r="A848" s="2200" t="s">
        <v>1884</v>
      </c>
      <c r="B848" s="2200" t="s">
        <v>3540</v>
      </c>
      <c r="C848" s="2200" t="s">
        <v>3541</v>
      </c>
      <c r="D848" s="2200" t="str">
        <f t="shared" si="48"/>
        <v>OK</v>
      </c>
      <c r="E848" s="2200">
        <f t="shared" si="49"/>
        <v>13</v>
      </c>
      <c r="F848" s="2200" t="str">
        <f t="shared" si="50"/>
        <v>40</v>
      </c>
      <c r="G848" s="2200" t="str">
        <f t="shared" si="51"/>
        <v>12780</v>
      </c>
      <c r="H848" s="2200">
        <f>--SUBTOTAL(3,C$2:C848)</f>
        <v>40</v>
      </c>
    </row>
    <row r="849" spans="1:8" hidden="1" x14ac:dyDescent="0.15">
      <c r="A849" s="2200" t="s">
        <v>1884</v>
      </c>
      <c r="B849" s="2200" t="s">
        <v>3542</v>
      </c>
      <c r="C849" s="2200" t="s">
        <v>3543</v>
      </c>
      <c r="D849" s="2200" t="str">
        <f t="shared" si="48"/>
        <v>OK</v>
      </c>
      <c r="E849" s="2200">
        <f t="shared" si="49"/>
        <v>7</v>
      </c>
      <c r="F849" s="2200" t="str">
        <f t="shared" si="50"/>
        <v>40</v>
      </c>
      <c r="G849" s="2200" t="str">
        <f t="shared" si="51"/>
        <v>20340</v>
      </c>
      <c r="H849" s="2200">
        <f>--SUBTOTAL(3,C$2:C849)</f>
        <v>40</v>
      </c>
    </row>
    <row r="850" spans="1:8" hidden="1" x14ac:dyDescent="0.15">
      <c r="A850" s="2200" t="s">
        <v>1884</v>
      </c>
      <c r="B850" s="2200" t="s">
        <v>3544</v>
      </c>
      <c r="C850" s="2200" t="s">
        <v>3545</v>
      </c>
      <c r="D850" s="2200" t="str">
        <f t="shared" si="48"/>
        <v>OK</v>
      </c>
      <c r="E850" s="2200">
        <f t="shared" si="49"/>
        <v>7</v>
      </c>
      <c r="F850" s="2200" t="str">
        <f t="shared" si="50"/>
        <v>40</v>
      </c>
      <c r="G850" s="2200" t="str">
        <f t="shared" si="51"/>
        <v>20460</v>
      </c>
      <c r="H850" s="2200">
        <f>--SUBTOTAL(3,C$2:C850)</f>
        <v>40</v>
      </c>
    </row>
    <row r="851" spans="1:8" hidden="1" x14ac:dyDescent="0.15">
      <c r="A851" s="2200" t="s">
        <v>1884</v>
      </c>
      <c r="B851" s="2200" t="s">
        <v>3546</v>
      </c>
      <c r="C851" s="2200" t="s">
        <v>3547</v>
      </c>
      <c r="D851" s="2200" t="str">
        <f t="shared" si="48"/>
        <v>OK</v>
      </c>
      <c r="E851" s="2200">
        <f t="shared" si="49"/>
        <v>9</v>
      </c>
      <c r="F851" s="2200" t="str">
        <f t="shared" si="50"/>
        <v>40</v>
      </c>
      <c r="G851" s="2200" t="str">
        <f t="shared" si="51"/>
        <v>21120</v>
      </c>
      <c r="H851" s="2200">
        <f>--SUBTOTAL(3,C$2:C851)</f>
        <v>40</v>
      </c>
    </row>
    <row r="852" spans="1:8" hidden="1" x14ac:dyDescent="0.15">
      <c r="A852" s="2200" t="s">
        <v>1878</v>
      </c>
      <c r="B852" s="2200" t="s">
        <v>3548</v>
      </c>
      <c r="C852" s="2200" t="s">
        <v>3549</v>
      </c>
      <c r="D852" s="2200" t="str">
        <f t="shared" si="48"/>
        <v>OK</v>
      </c>
      <c r="E852" s="2200">
        <f t="shared" si="49"/>
        <v>5</v>
      </c>
      <c r="F852" s="2200" t="str">
        <f t="shared" si="50"/>
        <v>40</v>
      </c>
      <c r="G852" s="2200" t="str">
        <f t="shared" si="51"/>
        <v>21420</v>
      </c>
      <c r="H852" s="2200">
        <f>--SUBTOTAL(3,C$2:C852)</f>
        <v>40</v>
      </c>
    </row>
    <row r="853" spans="1:8" hidden="1" x14ac:dyDescent="0.15">
      <c r="A853" s="2200" t="s">
        <v>1878</v>
      </c>
      <c r="B853" s="2200" t="s">
        <v>1964</v>
      </c>
      <c r="C853" s="2200" t="s">
        <v>17856</v>
      </c>
      <c r="D853" s="2200" t="str">
        <f t="shared" si="48"/>
        <v>OK</v>
      </c>
      <c r="E853" s="2200">
        <f t="shared" si="49"/>
        <v>11</v>
      </c>
      <c r="F853" s="2200" t="str">
        <f t="shared" si="50"/>
        <v>05</v>
      </c>
      <c r="G853" s="2200" t="str">
        <f t="shared" si="51"/>
        <v>22900</v>
      </c>
      <c r="H853" s="2200">
        <f>--SUBTOTAL(3,C$2:C853)</f>
        <v>40</v>
      </c>
    </row>
    <row r="854" spans="1:8" hidden="1" x14ac:dyDescent="0.15">
      <c r="A854" s="2200" t="s">
        <v>1884</v>
      </c>
      <c r="B854" s="2200" t="s">
        <v>3550</v>
      </c>
      <c r="C854" s="2200" t="s">
        <v>3551</v>
      </c>
      <c r="D854" s="2200" t="str">
        <f t="shared" si="48"/>
        <v>OK</v>
      </c>
      <c r="E854" s="2200">
        <f t="shared" si="49"/>
        <v>7</v>
      </c>
      <c r="F854" s="2200" t="str">
        <f t="shared" si="50"/>
        <v>40</v>
      </c>
      <c r="G854" s="2200" t="str">
        <f t="shared" si="51"/>
        <v>25100</v>
      </c>
      <c r="H854" s="2200">
        <f>--SUBTOTAL(3,C$2:C854)</f>
        <v>40</v>
      </c>
    </row>
    <row r="855" spans="1:8" hidden="1" x14ac:dyDescent="0.15">
      <c r="A855" s="2200" t="s">
        <v>1878</v>
      </c>
      <c r="B855" s="2200" t="s">
        <v>3552</v>
      </c>
      <c r="C855" s="2200" t="s">
        <v>3553</v>
      </c>
      <c r="D855" s="2200" t="str">
        <f t="shared" si="48"/>
        <v>OK</v>
      </c>
      <c r="E855" s="2200">
        <f t="shared" si="49"/>
        <v>7</v>
      </c>
      <c r="F855" s="2200" t="str">
        <f t="shared" si="50"/>
        <v>40</v>
      </c>
      <c r="G855" s="2200" t="str">
        <f t="shared" si="51"/>
        <v>30020</v>
      </c>
      <c r="H855" s="2200">
        <f>--SUBTOTAL(3,C$2:C855)</f>
        <v>40</v>
      </c>
    </row>
    <row r="856" spans="1:8" hidden="1" x14ac:dyDescent="0.15">
      <c r="A856" s="2200" t="s">
        <v>1884</v>
      </c>
      <c r="B856" s="2200" t="s">
        <v>3554</v>
      </c>
      <c r="C856" s="2200" t="s">
        <v>3555</v>
      </c>
      <c r="D856" s="2200" t="str">
        <f t="shared" si="48"/>
        <v>OK</v>
      </c>
      <c r="E856" s="2200">
        <f t="shared" si="49"/>
        <v>10</v>
      </c>
      <c r="F856" s="2200" t="str">
        <f t="shared" si="50"/>
        <v>40</v>
      </c>
      <c r="G856" s="2200" t="str">
        <f t="shared" si="51"/>
        <v>32540</v>
      </c>
      <c r="H856" s="2200">
        <f>--SUBTOTAL(3,C$2:C856)</f>
        <v>40</v>
      </c>
    </row>
    <row r="857" spans="1:8" hidden="1" x14ac:dyDescent="0.15">
      <c r="A857" s="2200" t="s">
        <v>1884</v>
      </c>
      <c r="B857" s="2200" t="s">
        <v>3556</v>
      </c>
      <c r="C857" s="2200" t="s">
        <v>3557</v>
      </c>
      <c r="D857" s="2200" t="str">
        <f t="shared" si="48"/>
        <v>OK</v>
      </c>
      <c r="E857" s="2200">
        <f t="shared" si="49"/>
        <v>6</v>
      </c>
      <c r="F857" s="2200" t="str">
        <f t="shared" si="50"/>
        <v>40</v>
      </c>
      <c r="G857" s="2200" t="str">
        <f t="shared" si="51"/>
        <v>33060</v>
      </c>
      <c r="H857" s="2200">
        <f>--SUBTOTAL(3,C$2:C857)</f>
        <v>40</v>
      </c>
    </row>
    <row r="858" spans="1:8" hidden="1" x14ac:dyDescent="0.15">
      <c r="A858" s="2200" t="s">
        <v>1884</v>
      </c>
      <c r="B858" s="2200" t="s">
        <v>3558</v>
      </c>
      <c r="C858" s="2200" t="s">
        <v>3559</v>
      </c>
      <c r="D858" s="2200" t="str">
        <f t="shared" si="48"/>
        <v>OK</v>
      </c>
      <c r="E858" s="2200">
        <f t="shared" si="49"/>
        <v>9</v>
      </c>
      <c r="F858" s="2200" t="str">
        <f t="shared" si="50"/>
        <v>40</v>
      </c>
      <c r="G858" s="2200" t="str">
        <f t="shared" si="51"/>
        <v>34780</v>
      </c>
      <c r="H858" s="2200">
        <f>--SUBTOTAL(3,C$2:C858)</f>
        <v>40</v>
      </c>
    </row>
    <row r="859" spans="1:8" hidden="1" x14ac:dyDescent="0.15">
      <c r="A859" s="2200" t="s">
        <v>1878</v>
      </c>
      <c r="B859" s="2200" t="s">
        <v>3560</v>
      </c>
      <c r="C859" s="2200" t="s">
        <v>3561</v>
      </c>
      <c r="D859" s="2200" t="str">
        <f t="shared" si="48"/>
        <v>OK</v>
      </c>
      <c r="E859" s="2200">
        <f t="shared" si="49"/>
        <v>14</v>
      </c>
      <c r="F859" s="2200" t="str">
        <f t="shared" si="50"/>
        <v>40</v>
      </c>
      <c r="G859" s="2200" t="str">
        <f t="shared" si="51"/>
        <v>36420</v>
      </c>
      <c r="H859" s="2200">
        <f>--SUBTOTAL(3,C$2:C859)</f>
        <v>40</v>
      </c>
    </row>
    <row r="860" spans="1:8" hidden="1" x14ac:dyDescent="0.15">
      <c r="A860" s="2200" t="s">
        <v>1902</v>
      </c>
      <c r="B860" s="2200" t="s">
        <v>3562</v>
      </c>
      <c r="C860" s="2200" t="s">
        <v>3563</v>
      </c>
      <c r="D860" s="2200" t="str">
        <f t="shared" si="48"/>
        <v>OK</v>
      </c>
      <c r="E860" s="2200">
        <f t="shared" si="49"/>
        <v>22</v>
      </c>
      <c r="F860" s="2200" t="str">
        <f t="shared" si="50"/>
        <v>40</v>
      </c>
      <c r="G860" s="2200" t="str">
        <f t="shared" si="51"/>
        <v>41600</v>
      </c>
      <c r="H860" s="2200">
        <f>--SUBTOTAL(3,C$2:C860)</f>
        <v>40</v>
      </c>
    </row>
    <row r="861" spans="1:8" hidden="1" x14ac:dyDescent="0.15">
      <c r="A861" s="2200" t="s">
        <v>1884</v>
      </c>
      <c r="B861" s="2200" t="s">
        <v>3564</v>
      </c>
      <c r="C861" s="2200" t="s">
        <v>3565</v>
      </c>
      <c r="D861" s="2200" t="str">
        <f t="shared" si="48"/>
        <v>OK</v>
      </c>
      <c r="E861" s="2200">
        <f t="shared" si="49"/>
        <v>11</v>
      </c>
      <c r="F861" s="2200" t="str">
        <f t="shared" si="50"/>
        <v>40</v>
      </c>
      <c r="G861" s="2200" t="str">
        <f t="shared" si="51"/>
        <v>38620</v>
      </c>
      <c r="H861" s="2200">
        <f>--SUBTOTAL(3,C$2:C861)</f>
        <v>40</v>
      </c>
    </row>
    <row r="862" spans="1:8" hidden="1" x14ac:dyDescent="0.15">
      <c r="A862" s="2200" t="s">
        <v>1884</v>
      </c>
      <c r="B862" s="2200" t="s">
        <v>3566</v>
      </c>
      <c r="C862" s="2200" t="s">
        <v>3567</v>
      </c>
      <c r="D862" s="2200" t="str">
        <f t="shared" si="48"/>
        <v>OK</v>
      </c>
      <c r="E862" s="2200">
        <f t="shared" si="49"/>
        <v>8</v>
      </c>
      <c r="F862" s="2200" t="str">
        <f t="shared" si="50"/>
        <v>40</v>
      </c>
      <c r="G862" s="2200" t="str">
        <f t="shared" si="51"/>
        <v>43060</v>
      </c>
      <c r="H862" s="2200">
        <f>--SUBTOTAL(3,C$2:C862)</f>
        <v>40</v>
      </c>
    </row>
    <row r="863" spans="1:8" hidden="1" x14ac:dyDescent="0.15">
      <c r="A863" s="2200" t="s">
        <v>1884</v>
      </c>
      <c r="B863" s="2200" t="s">
        <v>3568</v>
      </c>
      <c r="C863" s="2200" t="s">
        <v>3569</v>
      </c>
      <c r="D863" s="2200" t="str">
        <f t="shared" si="48"/>
        <v>OK</v>
      </c>
      <c r="E863" s="2200">
        <f t="shared" si="49"/>
        <v>11</v>
      </c>
      <c r="F863" s="2200" t="str">
        <f t="shared" si="50"/>
        <v>40</v>
      </c>
      <c r="G863" s="2200" t="str">
        <f t="shared" si="51"/>
        <v>44660</v>
      </c>
      <c r="H863" s="2200">
        <f>--SUBTOTAL(3,C$2:C863)</f>
        <v>40</v>
      </c>
    </row>
    <row r="864" spans="1:8" hidden="1" x14ac:dyDescent="0.15">
      <c r="A864" s="2200" t="s">
        <v>1884</v>
      </c>
      <c r="B864" s="2200" t="s">
        <v>3570</v>
      </c>
      <c r="C864" s="2200" t="s">
        <v>3571</v>
      </c>
      <c r="D864" s="2200" t="str">
        <f t="shared" si="48"/>
        <v>OK</v>
      </c>
      <c r="E864" s="2200">
        <f t="shared" si="49"/>
        <v>10</v>
      </c>
      <c r="F864" s="2200" t="str">
        <f t="shared" si="50"/>
        <v>40</v>
      </c>
      <c r="G864" s="2200" t="str">
        <f t="shared" si="51"/>
        <v>45140</v>
      </c>
      <c r="H864" s="2200">
        <f>--SUBTOTAL(3,C$2:C864)</f>
        <v>40</v>
      </c>
    </row>
    <row r="865" spans="1:8" hidden="1" x14ac:dyDescent="0.15">
      <c r="A865" s="2200" t="s">
        <v>1878</v>
      </c>
      <c r="B865" s="2200" t="s">
        <v>3572</v>
      </c>
      <c r="C865" s="2200" t="s">
        <v>3573</v>
      </c>
      <c r="D865" s="2200" t="str">
        <f t="shared" si="48"/>
        <v>OK</v>
      </c>
      <c r="E865" s="2200">
        <f t="shared" si="49"/>
        <v>6</v>
      </c>
      <c r="F865" s="2200" t="str">
        <f t="shared" si="50"/>
        <v>40</v>
      </c>
      <c r="G865" s="2200" t="str">
        <f t="shared" si="51"/>
        <v>46140</v>
      </c>
      <c r="H865" s="2200">
        <f>--SUBTOTAL(3,C$2:C865)</f>
        <v>40</v>
      </c>
    </row>
    <row r="866" spans="1:8" hidden="1" x14ac:dyDescent="0.15">
      <c r="A866" s="2200" t="s">
        <v>1902</v>
      </c>
      <c r="B866" s="2200" t="s">
        <v>3574</v>
      </c>
      <c r="C866" s="2200" t="s">
        <v>3575</v>
      </c>
      <c r="D866" s="2200" t="str">
        <f t="shared" si="48"/>
        <v>OK</v>
      </c>
      <c r="E866" s="2200">
        <f t="shared" si="49"/>
        <v>28</v>
      </c>
      <c r="F866" s="2200" t="str">
        <f t="shared" si="50"/>
        <v>40</v>
      </c>
      <c r="G866" s="2200" t="str">
        <f t="shared" si="51"/>
        <v>53800</v>
      </c>
      <c r="H866" s="2200">
        <f>--SUBTOTAL(3,C$2:C866)</f>
        <v>40</v>
      </c>
    </row>
    <row r="867" spans="1:8" hidden="1" x14ac:dyDescent="0.15">
      <c r="A867" s="2200" t="s">
        <v>1884</v>
      </c>
      <c r="B867" s="2200" t="s">
        <v>3576</v>
      </c>
      <c r="C867" s="2200" t="s">
        <v>3577</v>
      </c>
      <c r="D867" s="2200" t="str">
        <f t="shared" si="48"/>
        <v>OK</v>
      </c>
      <c r="E867" s="2200">
        <f t="shared" si="49"/>
        <v>12</v>
      </c>
      <c r="F867" s="2200" t="str">
        <f t="shared" si="50"/>
        <v>40</v>
      </c>
      <c r="G867" s="2200" t="str">
        <f t="shared" si="51"/>
        <v>48220</v>
      </c>
      <c r="H867" s="2200">
        <f>--SUBTOTAL(3,C$2:C867)</f>
        <v>40</v>
      </c>
    </row>
    <row r="868" spans="1:8" hidden="1" x14ac:dyDescent="0.15">
      <c r="A868" s="2200" t="s">
        <v>1884</v>
      </c>
      <c r="B868" s="2200" t="s">
        <v>3578</v>
      </c>
      <c r="C868" s="2200" t="s">
        <v>3579</v>
      </c>
      <c r="D868" s="2200" t="str">
        <f t="shared" si="48"/>
        <v>OK</v>
      </c>
      <c r="E868" s="2200">
        <f t="shared" si="49"/>
        <v>9</v>
      </c>
      <c r="F868" s="2200" t="str">
        <f t="shared" si="50"/>
        <v>40</v>
      </c>
      <c r="G868" s="2200" t="str">
        <f t="shared" si="51"/>
        <v>49260</v>
      </c>
      <c r="H868" s="2200">
        <f>--SUBTOTAL(3,C$2:C868)</f>
        <v>40</v>
      </c>
    </row>
    <row r="869" spans="1:8" hidden="1" x14ac:dyDescent="0.15">
      <c r="A869" s="2200" t="s">
        <v>1878</v>
      </c>
      <c r="B869" s="2200" t="s">
        <v>3580</v>
      </c>
      <c r="C869" s="2200" t="s">
        <v>3581</v>
      </c>
      <c r="D869" s="2200" t="str">
        <f t="shared" si="48"/>
        <v>OR</v>
      </c>
      <c r="E869" s="2200">
        <f t="shared" si="49"/>
        <v>7</v>
      </c>
      <c r="F869" s="2200" t="str">
        <f t="shared" si="50"/>
        <v>41</v>
      </c>
      <c r="G869" s="2200" t="str">
        <f t="shared" si="51"/>
        <v>10540</v>
      </c>
      <c r="H869" s="2200">
        <f>--SUBTOTAL(3,C$2:C869)</f>
        <v>40</v>
      </c>
    </row>
    <row r="870" spans="1:8" hidden="1" x14ac:dyDescent="0.15">
      <c r="A870" s="2200" t="s">
        <v>1884</v>
      </c>
      <c r="B870" s="2200" t="s">
        <v>3583</v>
      </c>
      <c r="C870" s="2200" t="s">
        <v>3584</v>
      </c>
      <c r="D870" s="2200" t="str">
        <f t="shared" si="48"/>
        <v>OR</v>
      </c>
      <c r="E870" s="2200">
        <f t="shared" si="49"/>
        <v>8</v>
      </c>
      <c r="F870" s="2200" t="str">
        <f t="shared" si="50"/>
        <v>41</v>
      </c>
      <c r="G870" s="2200" t="str">
        <f t="shared" si="51"/>
        <v>11820</v>
      </c>
      <c r="H870" s="2200">
        <f>--SUBTOTAL(3,C$2:C870)</f>
        <v>40</v>
      </c>
    </row>
    <row r="871" spans="1:8" hidden="1" x14ac:dyDescent="0.15">
      <c r="A871" s="2200" t="s">
        <v>1878</v>
      </c>
      <c r="B871" s="2200" t="s">
        <v>3585</v>
      </c>
      <c r="C871" s="2200" t="s">
        <v>3586</v>
      </c>
      <c r="D871" s="2200" t="str">
        <f t="shared" ref="D871:D935" si="52">MID(C871,E871+2,2)</f>
        <v>OR</v>
      </c>
      <c r="E871" s="2200">
        <f t="shared" ref="E871:E935" si="53">FIND(",",C871)</f>
        <v>13</v>
      </c>
      <c r="F871" s="2200" t="str">
        <f t="shared" ref="F871:F935" si="54">MID(B871,3,2)</f>
        <v>41</v>
      </c>
      <c r="G871" s="2200" t="str">
        <f t="shared" ref="G871:G935" si="55">MID(B871,5,5)</f>
        <v>13460</v>
      </c>
      <c r="H871" s="2200">
        <f>--SUBTOTAL(3,C$2:C871)</f>
        <v>40</v>
      </c>
    </row>
    <row r="872" spans="1:8" hidden="1" x14ac:dyDescent="0.15">
      <c r="A872" s="2200" t="s">
        <v>1902</v>
      </c>
      <c r="B872" s="2200" t="s">
        <v>3587</v>
      </c>
      <c r="C872" s="2200" t="s">
        <v>3588</v>
      </c>
      <c r="D872" s="2200" t="str">
        <f t="shared" si="52"/>
        <v>OR</v>
      </c>
      <c r="E872" s="2200">
        <f t="shared" si="53"/>
        <v>24</v>
      </c>
      <c r="F872" s="2200" t="str">
        <f t="shared" si="54"/>
        <v>41</v>
      </c>
      <c r="G872" s="2200" t="str">
        <f t="shared" si="55"/>
        <v>14000</v>
      </c>
      <c r="H872" s="2200">
        <f>--SUBTOTAL(3,C$2:C872)</f>
        <v>40</v>
      </c>
    </row>
    <row r="873" spans="1:8" hidden="1" x14ac:dyDescent="0.15">
      <c r="A873" s="2200" t="s">
        <v>1884</v>
      </c>
      <c r="B873" s="2200" t="s">
        <v>3589</v>
      </c>
      <c r="C873" s="2200" t="s">
        <v>3590</v>
      </c>
      <c r="D873" s="2200" t="str">
        <f t="shared" si="52"/>
        <v>OR</v>
      </c>
      <c r="E873" s="2200">
        <f t="shared" si="53"/>
        <v>10</v>
      </c>
      <c r="F873" s="2200" t="str">
        <f t="shared" si="54"/>
        <v>41</v>
      </c>
      <c r="G873" s="2200" t="str">
        <f t="shared" si="55"/>
        <v>15060</v>
      </c>
      <c r="H873" s="2200">
        <f>--SUBTOTAL(3,C$2:C873)</f>
        <v>40</v>
      </c>
    </row>
    <row r="874" spans="1:8" hidden="1" x14ac:dyDescent="0.15">
      <c r="A874" s="2200" t="s">
        <v>1884</v>
      </c>
      <c r="B874" s="2200" t="s">
        <v>3591</v>
      </c>
      <c r="C874" s="2200" t="s">
        <v>3592</v>
      </c>
      <c r="D874" s="2200" t="str">
        <f t="shared" si="52"/>
        <v>OR</v>
      </c>
      <c r="E874" s="2200">
        <f t="shared" si="53"/>
        <v>9</v>
      </c>
      <c r="F874" s="2200" t="str">
        <f t="shared" si="54"/>
        <v>41</v>
      </c>
      <c r="G874" s="2200" t="str">
        <f t="shared" si="55"/>
        <v>18300</v>
      </c>
      <c r="H874" s="2200">
        <f>--SUBTOTAL(3,C$2:C874)</f>
        <v>40</v>
      </c>
    </row>
    <row r="875" spans="1:8" hidden="1" x14ac:dyDescent="0.15">
      <c r="A875" s="2200" t="s">
        <v>1878</v>
      </c>
      <c r="B875" s="2200" t="s">
        <v>3593</v>
      </c>
      <c r="C875" s="2200" t="s">
        <v>3594</v>
      </c>
      <c r="D875" s="2200" t="str">
        <f t="shared" si="52"/>
        <v>OR</v>
      </c>
      <c r="E875" s="2200">
        <f t="shared" si="53"/>
        <v>10</v>
      </c>
      <c r="F875" s="2200" t="str">
        <f t="shared" si="54"/>
        <v>41</v>
      </c>
      <c r="G875" s="2200" t="str">
        <f t="shared" si="55"/>
        <v>18700</v>
      </c>
      <c r="H875" s="2200">
        <f>--SUBTOTAL(3,C$2:C875)</f>
        <v>40</v>
      </c>
    </row>
    <row r="876" spans="1:8" hidden="1" x14ac:dyDescent="0.15">
      <c r="A876" s="2200" t="s">
        <v>1878</v>
      </c>
      <c r="B876" s="2200" t="s">
        <v>3595</v>
      </c>
      <c r="C876" s="2200" t="s">
        <v>3596</v>
      </c>
      <c r="D876" s="2200" t="str">
        <f t="shared" si="52"/>
        <v>OR</v>
      </c>
      <c r="E876" s="2200">
        <f t="shared" si="53"/>
        <v>7</v>
      </c>
      <c r="F876" s="2200" t="str">
        <f t="shared" si="54"/>
        <v>41</v>
      </c>
      <c r="G876" s="2200" t="str">
        <f t="shared" si="55"/>
        <v>21660</v>
      </c>
      <c r="H876" s="2200">
        <f>--SUBTOTAL(3,C$2:C876)</f>
        <v>40</v>
      </c>
    </row>
    <row r="877" spans="1:8" hidden="1" x14ac:dyDescent="0.15">
      <c r="A877" s="2200" t="s">
        <v>1878</v>
      </c>
      <c r="B877" s="2200" t="s">
        <v>3597</v>
      </c>
      <c r="C877" s="2200" t="s">
        <v>3598</v>
      </c>
      <c r="D877" s="2200" t="str">
        <f t="shared" si="52"/>
        <v>OR</v>
      </c>
      <c r="E877" s="2200">
        <f t="shared" si="53"/>
        <v>12</v>
      </c>
      <c r="F877" s="2200" t="str">
        <f t="shared" si="54"/>
        <v>41</v>
      </c>
      <c r="G877" s="2200" t="str">
        <f t="shared" si="55"/>
        <v>24420</v>
      </c>
      <c r="H877" s="2200">
        <f>--SUBTOTAL(3,C$2:C877)</f>
        <v>40</v>
      </c>
    </row>
    <row r="878" spans="1:8" hidden="1" x14ac:dyDescent="0.15">
      <c r="A878" s="2200" t="s">
        <v>1884</v>
      </c>
      <c r="B878" s="2200" t="s">
        <v>3599</v>
      </c>
      <c r="C878" s="2200" t="s">
        <v>3600</v>
      </c>
      <c r="D878" s="2200" t="str">
        <f t="shared" si="52"/>
        <v>OR</v>
      </c>
      <c r="E878" s="2200">
        <f t="shared" si="53"/>
        <v>20</v>
      </c>
      <c r="F878" s="2200" t="str">
        <f t="shared" si="54"/>
        <v>41</v>
      </c>
      <c r="G878" s="2200" t="str">
        <f t="shared" si="55"/>
        <v>25840</v>
      </c>
      <c r="H878" s="2200">
        <f>--SUBTOTAL(3,C$2:C878)</f>
        <v>40</v>
      </c>
    </row>
    <row r="879" spans="1:8" hidden="1" x14ac:dyDescent="0.15">
      <c r="A879" s="2200" t="s">
        <v>1884</v>
      </c>
      <c r="B879" s="2200" t="s">
        <v>3601</v>
      </c>
      <c r="C879" s="2200" t="s">
        <v>3602</v>
      </c>
      <c r="D879" s="2200" t="str">
        <f t="shared" si="52"/>
        <v>OR</v>
      </c>
      <c r="E879" s="2200">
        <f t="shared" si="53"/>
        <v>11</v>
      </c>
      <c r="F879" s="2200" t="str">
        <f t="shared" si="54"/>
        <v>41</v>
      </c>
      <c r="G879" s="2200" t="str">
        <f t="shared" si="55"/>
        <v>26220</v>
      </c>
      <c r="H879" s="2200">
        <f>--SUBTOTAL(3,C$2:C879)</f>
        <v>40</v>
      </c>
    </row>
    <row r="880" spans="1:8" hidden="1" x14ac:dyDescent="0.15">
      <c r="A880" s="2200" t="s">
        <v>1884</v>
      </c>
      <c r="B880" s="2200" t="s">
        <v>3603</v>
      </c>
      <c r="C880" s="2200" t="s">
        <v>3604</v>
      </c>
      <c r="D880" s="2200" t="str">
        <f t="shared" si="52"/>
        <v>OR</v>
      </c>
      <c r="E880" s="2200">
        <f t="shared" si="53"/>
        <v>14</v>
      </c>
      <c r="F880" s="2200" t="str">
        <f t="shared" si="54"/>
        <v>41</v>
      </c>
      <c r="G880" s="2200" t="str">
        <f t="shared" si="55"/>
        <v>28900</v>
      </c>
      <c r="H880" s="2200">
        <f>--SUBTOTAL(3,C$2:C880)</f>
        <v>40</v>
      </c>
    </row>
    <row r="881" spans="1:8" hidden="1" x14ac:dyDescent="0.15">
      <c r="A881" s="2200" t="s">
        <v>1884</v>
      </c>
      <c r="B881" s="2200" t="s">
        <v>3605</v>
      </c>
      <c r="C881" s="2200" t="s">
        <v>3606</v>
      </c>
      <c r="D881" s="2200" t="str">
        <f t="shared" si="52"/>
        <v>OR</v>
      </c>
      <c r="E881" s="2200">
        <f t="shared" si="53"/>
        <v>10</v>
      </c>
      <c r="F881" s="2200" t="str">
        <f t="shared" si="54"/>
        <v>41</v>
      </c>
      <c r="G881" s="2200" t="str">
        <f t="shared" si="55"/>
        <v>29260</v>
      </c>
      <c r="H881" s="2200">
        <f>--SUBTOTAL(3,C$2:C881)</f>
        <v>40</v>
      </c>
    </row>
    <row r="882" spans="1:8" hidden="1" x14ac:dyDescent="0.15">
      <c r="A882" s="2200" t="s">
        <v>1878</v>
      </c>
      <c r="B882" s="2200" t="s">
        <v>3607</v>
      </c>
      <c r="C882" s="2200" t="s">
        <v>3608</v>
      </c>
      <c r="D882" s="2200" t="str">
        <f t="shared" si="52"/>
        <v>OR</v>
      </c>
      <c r="E882" s="2200">
        <f t="shared" si="53"/>
        <v>8</v>
      </c>
      <c r="F882" s="2200" t="str">
        <f t="shared" si="54"/>
        <v>41</v>
      </c>
      <c r="G882" s="2200" t="str">
        <f t="shared" si="55"/>
        <v>32780</v>
      </c>
      <c r="H882" s="2200">
        <f>--SUBTOTAL(3,C$2:C882)</f>
        <v>40</v>
      </c>
    </row>
    <row r="883" spans="1:8" hidden="1" x14ac:dyDescent="0.15">
      <c r="A883" s="2200" t="s">
        <v>1902</v>
      </c>
      <c r="B883" s="2200" t="s">
        <v>3609</v>
      </c>
      <c r="C883" s="2200" t="s">
        <v>3610</v>
      </c>
      <c r="D883" s="2200" t="str">
        <f t="shared" si="52"/>
        <v>OR</v>
      </c>
      <c r="E883" s="2200">
        <f t="shared" si="53"/>
        <v>20</v>
      </c>
      <c r="F883" s="2200" t="str">
        <f t="shared" si="54"/>
        <v>41</v>
      </c>
      <c r="G883" s="2200" t="str">
        <f t="shared" si="55"/>
        <v>36600</v>
      </c>
      <c r="H883" s="2200">
        <f>--SUBTOTAL(3,C$2:C883)</f>
        <v>40</v>
      </c>
    </row>
    <row r="884" spans="1:8" hidden="1" x14ac:dyDescent="0.15">
      <c r="A884" s="2200" t="s">
        <v>1884</v>
      </c>
      <c r="B884" s="2200" t="s">
        <v>3611</v>
      </c>
      <c r="C884" s="2200" t="s">
        <v>3612</v>
      </c>
      <c r="D884" s="2200" t="str">
        <f t="shared" si="52"/>
        <v>OR</v>
      </c>
      <c r="E884" s="2200">
        <f t="shared" si="53"/>
        <v>8</v>
      </c>
      <c r="F884" s="2200" t="str">
        <f t="shared" si="54"/>
        <v>41</v>
      </c>
      <c r="G884" s="2200" t="str">
        <f t="shared" si="55"/>
        <v>35440</v>
      </c>
      <c r="H884" s="2200">
        <f>--SUBTOTAL(3,C$2:C884)</f>
        <v>40</v>
      </c>
    </row>
    <row r="885" spans="1:8" hidden="1" x14ac:dyDescent="0.15">
      <c r="A885" s="2200" t="s">
        <v>1884</v>
      </c>
      <c r="B885" s="2200" t="s">
        <v>3613</v>
      </c>
      <c r="C885" s="2200" t="s">
        <v>3614</v>
      </c>
      <c r="D885" s="2200" t="str">
        <f t="shared" si="52"/>
        <v>OR</v>
      </c>
      <c r="E885" s="2200">
        <f t="shared" si="53"/>
        <v>8</v>
      </c>
      <c r="F885" s="2200" t="str">
        <f t="shared" si="54"/>
        <v>41</v>
      </c>
      <c r="G885" s="2200" t="str">
        <f t="shared" si="55"/>
        <v>36620</v>
      </c>
      <c r="H885" s="2200">
        <f>--SUBTOTAL(3,C$2:C885)</f>
        <v>40</v>
      </c>
    </row>
    <row r="886" spans="1:8" hidden="1" x14ac:dyDescent="0.15">
      <c r="A886" s="2200" t="s">
        <v>1878</v>
      </c>
      <c r="B886" s="2200" t="s">
        <v>3615</v>
      </c>
      <c r="C886" s="2200" t="s">
        <v>3616</v>
      </c>
      <c r="D886" s="2200" t="str">
        <f t="shared" si="52"/>
        <v>OR</v>
      </c>
      <c r="E886" s="2200">
        <f t="shared" si="53"/>
        <v>29</v>
      </c>
      <c r="F886" s="2200" t="str">
        <f t="shared" si="54"/>
        <v>41</v>
      </c>
      <c r="G886" s="2200" t="str">
        <f t="shared" si="55"/>
        <v>38900</v>
      </c>
      <c r="H886" s="2200">
        <f>--SUBTOTAL(3,C$2:C886)</f>
        <v>40</v>
      </c>
    </row>
    <row r="887" spans="1:8" hidden="1" x14ac:dyDescent="0.15">
      <c r="A887" s="2200" t="s">
        <v>1902</v>
      </c>
      <c r="B887" s="2200" t="s">
        <v>3617</v>
      </c>
      <c r="C887" s="2200" t="s">
        <v>3618</v>
      </c>
      <c r="D887" s="2200" t="str">
        <f t="shared" si="52"/>
        <v>OR</v>
      </c>
      <c r="E887" s="2200">
        <f t="shared" si="53"/>
        <v>25</v>
      </c>
      <c r="F887" s="2200" t="str">
        <f t="shared" si="54"/>
        <v>41</v>
      </c>
      <c r="G887" s="2200" t="str">
        <f t="shared" si="55"/>
        <v>44000</v>
      </c>
      <c r="H887" s="2200">
        <f>--SUBTOTAL(3,C$2:C887)</f>
        <v>40</v>
      </c>
    </row>
    <row r="888" spans="1:8" hidden="1" x14ac:dyDescent="0.15">
      <c r="A888" s="2200" t="s">
        <v>1884</v>
      </c>
      <c r="B888" s="2200" t="s">
        <v>3619</v>
      </c>
      <c r="C888" s="2200" t="s">
        <v>3620</v>
      </c>
      <c r="D888" s="2200" t="str">
        <f t="shared" si="52"/>
        <v>OR</v>
      </c>
      <c r="E888" s="2200">
        <f t="shared" si="53"/>
        <v>11</v>
      </c>
      <c r="F888" s="2200" t="str">
        <f t="shared" si="54"/>
        <v>41</v>
      </c>
      <c r="G888" s="2200" t="str">
        <f t="shared" si="55"/>
        <v>39260</v>
      </c>
      <c r="H888" s="2200">
        <f>--SUBTOTAL(3,C$2:C888)</f>
        <v>40</v>
      </c>
    </row>
    <row r="889" spans="1:8" hidden="1" x14ac:dyDescent="0.15">
      <c r="A889" s="2200" t="s">
        <v>1884</v>
      </c>
      <c r="B889" s="2200" t="s">
        <v>3621</v>
      </c>
      <c r="C889" s="2200" t="s">
        <v>3622</v>
      </c>
      <c r="D889" s="2200" t="str">
        <f t="shared" si="52"/>
        <v>OR</v>
      </c>
      <c r="E889" s="2200">
        <f t="shared" si="53"/>
        <v>9</v>
      </c>
      <c r="F889" s="2200" t="str">
        <f t="shared" si="54"/>
        <v>41</v>
      </c>
      <c r="G889" s="2200" t="str">
        <f t="shared" si="55"/>
        <v>40700</v>
      </c>
      <c r="H889" s="2200">
        <f>--SUBTOTAL(3,C$2:C889)</f>
        <v>40</v>
      </c>
    </row>
    <row r="890" spans="1:8" hidden="1" x14ac:dyDescent="0.15">
      <c r="A890" s="2200" t="s">
        <v>1878</v>
      </c>
      <c r="B890" s="2200" t="s">
        <v>3623</v>
      </c>
      <c r="C890" s="2200" t="s">
        <v>3624</v>
      </c>
      <c r="D890" s="2200" t="str">
        <f t="shared" si="52"/>
        <v>OR</v>
      </c>
      <c r="E890" s="2200">
        <f t="shared" si="53"/>
        <v>6</v>
      </c>
      <c r="F890" s="2200" t="str">
        <f t="shared" si="54"/>
        <v>41</v>
      </c>
      <c r="G890" s="2200" t="str">
        <f t="shared" si="55"/>
        <v>41420</v>
      </c>
      <c r="H890" s="2200">
        <f>--SUBTOTAL(3,C$2:C890)</f>
        <v>40</v>
      </c>
    </row>
    <row r="891" spans="1:8" hidden="1" x14ac:dyDescent="0.15">
      <c r="A891" s="2200" t="s">
        <v>1884</v>
      </c>
      <c r="B891" s="2200" t="s">
        <v>3625</v>
      </c>
      <c r="C891" s="2200" t="s">
        <v>3626</v>
      </c>
      <c r="D891" s="2200" t="str">
        <f t="shared" si="52"/>
        <v>OR</v>
      </c>
      <c r="E891" s="2200">
        <f t="shared" si="53"/>
        <v>11</v>
      </c>
      <c r="F891" s="2200" t="str">
        <f t="shared" si="54"/>
        <v>41</v>
      </c>
      <c r="G891" s="2200" t="str">
        <f t="shared" si="55"/>
        <v>45520</v>
      </c>
      <c r="H891" s="2200">
        <f>--SUBTOTAL(3,C$2:C891)</f>
        <v>40</v>
      </c>
    </row>
    <row r="892" spans="1:8" hidden="1" x14ac:dyDescent="0.15">
      <c r="A892" s="2200" t="s">
        <v>1878</v>
      </c>
      <c r="B892" s="2200" t="s">
        <v>3627</v>
      </c>
      <c r="C892" s="2200" t="s">
        <v>3628</v>
      </c>
      <c r="D892" s="2200" t="str">
        <f t="shared" si="52"/>
        <v>PA</v>
      </c>
      <c r="E892" s="2200">
        <f t="shared" si="53"/>
        <v>27</v>
      </c>
      <c r="F892" s="2200" t="str">
        <f t="shared" si="54"/>
        <v>42</v>
      </c>
      <c r="G892" s="2200" t="str">
        <f t="shared" si="55"/>
        <v>10900</v>
      </c>
      <c r="H892" s="2200">
        <f>--SUBTOTAL(3,C$2:C892)</f>
        <v>40</v>
      </c>
    </row>
    <row r="893" spans="1:8" hidden="1" x14ac:dyDescent="0.15">
      <c r="A893" s="2200" t="s">
        <v>1878</v>
      </c>
      <c r="B893" s="2200" t="s">
        <v>3630</v>
      </c>
      <c r="C893" s="2200" t="s">
        <v>3631</v>
      </c>
      <c r="D893" s="2200" t="str">
        <f t="shared" si="52"/>
        <v>PA</v>
      </c>
      <c r="E893" s="2200">
        <f t="shared" si="53"/>
        <v>8</v>
      </c>
      <c r="F893" s="2200" t="str">
        <f t="shared" si="54"/>
        <v>42</v>
      </c>
      <c r="G893" s="2200" t="str">
        <f t="shared" si="55"/>
        <v>11020</v>
      </c>
      <c r="H893" s="2200">
        <f>--SUBTOTAL(3,C$2:C893)</f>
        <v>40</v>
      </c>
    </row>
    <row r="894" spans="1:8" hidden="1" x14ac:dyDescent="0.15">
      <c r="A894" s="2200" t="s">
        <v>1878</v>
      </c>
      <c r="B894" s="2200" t="s">
        <v>3632</v>
      </c>
      <c r="C894" s="2200" t="s">
        <v>3633</v>
      </c>
      <c r="D894" s="2200" t="str">
        <f t="shared" si="52"/>
        <v>PA</v>
      </c>
      <c r="E894" s="2200">
        <f t="shared" si="53"/>
        <v>19</v>
      </c>
      <c r="F894" s="2200" t="str">
        <f t="shared" si="54"/>
        <v>42</v>
      </c>
      <c r="G894" s="2200" t="str">
        <f t="shared" si="55"/>
        <v>14100</v>
      </c>
      <c r="H894" s="2200">
        <f>--SUBTOTAL(3,C$2:C894)</f>
        <v>40</v>
      </c>
    </row>
    <row r="895" spans="1:8" hidden="1" x14ac:dyDescent="0.15">
      <c r="A895" s="2200" t="s">
        <v>1902</v>
      </c>
      <c r="B895" s="2200" t="s">
        <v>3634</v>
      </c>
      <c r="C895" s="2200" t="s">
        <v>3635</v>
      </c>
      <c r="D895" s="2200" t="str">
        <f t="shared" si="52"/>
        <v>PA</v>
      </c>
      <c r="E895" s="2200">
        <f t="shared" si="53"/>
        <v>27</v>
      </c>
      <c r="F895" s="2200" t="str">
        <f t="shared" si="54"/>
        <v>42</v>
      </c>
      <c r="G895" s="2200" t="str">
        <f t="shared" si="55"/>
        <v>14600</v>
      </c>
      <c r="H895" s="2200">
        <f>--SUBTOTAL(3,C$2:C895)</f>
        <v>40</v>
      </c>
    </row>
    <row r="896" spans="1:8" hidden="1" x14ac:dyDescent="0.15">
      <c r="A896" s="2200" t="s">
        <v>1884</v>
      </c>
      <c r="B896" s="2200" t="s">
        <v>3636</v>
      </c>
      <c r="C896" s="2200" t="s">
        <v>3637</v>
      </c>
      <c r="D896" s="2200" t="str">
        <f t="shared" si="52"/>
        <v>PA</v>
      </c>
      <c r="E896" s="2200">
        <f t="shared" si="53"/>
        <v>9</v>
      </c>
      <c r="F896" s="2200" t="str">
        <f t="shared" si="54"/>
        <v>42</v>
      </c>
      <c r="G896" s="2200" t="str">
        <f t="shared" si="55"/>
        <v>14620</v>
      </c>
      <c r="H896" s="2200">
        <f>--SUBTOTAL(3,C$2:C896)</f>
        <v>40</v>
      </c>
    </row>
    <row r="897" spans="1:8" hidden="1" x14ac:dyDescent="0.15">
      <c r="A897" s="2200" t="s">
        <v>1878</v>
      </c>
      <c r="B897" s="2200" t="s">
        <v>3638</v>
      </c>
      <c r="C897" s="2200" t="s">
        <v>3639</v>
      </c>
      <c r="D897" s="2200" t="str">
        <f t="shared" si="52"/>
        <v>PA</v>
      </c>
      <c r="E897" s="2200">
        <f t="shared" si="53"/>
        <v>24</v>
      </c>
      <c r="F897" s="2200" t="str">
        <f t="shared" si="54"/>
        <v>42</v>
      </c>
      <c r="G897" s="2200" t="str">
        <f t="shared" si="55"/>
        <v>16540</v>
      </c>
      <c r="H897" s="2200">
        <f>--SUBTOTAL(3,C$2:C897)</f>
        <v>40</v>
      </c>
    </row>
    <row r="898" spans="1:8" hidden="1" x14ac:dyDescent="0.15">
      <c r="A898" s="2200" t="s">
        <v>1884</v>
      </c>
      <c r="B898" s="2200" t="s">
        <v>3640</v>
      </c>
      <c r="C898" s="2200" t="s">
        <v>3641</v>
      </c>
      <c r="D898" s="2200" t="str">
        <f t="shared" si="52"/>
        <v>PA</v>
      </c>
      <c r="E898" s="2200">
        <f t="shared" si="53"/>
        <v>7</v>
      </c>
      <c r="F898" s="2200" t="str">
        <f t="shared" si="54"/>
        <v>42</v>
      </c>
      <c r="G898" s="2200" t="str">
        <f t="shared" si="55"/>
        <v>20180</v>
      </c>
      <c r="H898" s="2200">
        <f>--SUBTOTAL(3,C$2:C898)</f>
        <v>40</v>
      </c>
    </row>
    <row r="899" spans="1:8" hidden="1" x14ac:dyDescent="0.15">
      <c r="A899" s="2200" t="s">
        <v>1878</v>
      </c>
      <c r="B899" s="2200" t="s">
        <v>3642</v>
      </c>
      <c r="C899" s="2200" t="s">
        <v>3643</v>
      </c>
      <c r="D899" s="2200" t="str">
        <f t="shared" si="52"/>
        <v>PA</v>
      </c>
      <c r="E899" s="2200">
        <f t="shared" si="53"/>
        <v>17</v>
      </c>
      <c r="F899" s="2200" t="str">
        <f t="shared" si="54"/>
        <v>42</v>
      </c>
      <c r="G899" s="2200" t="str">
        <f t="shared" si="55"/>
        <v>20700</v>
      </c>
      <c r="H899" s="2200">
        <f>--SUBTOTAL(3,C$2:C899)</f>
        <v>40</v>
      </c>
    </row>
    <row r="900" spans="1:8" hidden="1" x14ac:dyDescent="0.15">
      <c r="A900" s="2200" t="s">
        <v>1878</v>
      </c>
      <c r="B900" s="2200" t="s">
        <v>3644</v>
      </c>
      <c r="C900" s="2200" t="s">
        <v>3645</v>
      </c>
      <c r="D900" s="2200" t="str">
        <f t="shared" si="52"/>
        <v>PA</v>
      </c>
      <c r="E900" s="2200">
        <f t="shared" si="53"/>
        <v>5</v>
      </c>
      <c r="F900" s="2200" t="str">
        <f t="shared" si="54"/>
        <v>42</v>
      </c>
      <c r="G900" s="2200" t="str">
        <f t="shared" si="55"/>
        <v>21500</v>
      </c>
      <c r="H900" s="2200">
        <f>--SUBTOTAL(3,C$2:C900)</f>
        <v>40</v>
      </c>
    </row>
    <row r="901" spans="1:8" hidden="1" x14ac:dyDescent="0.15">
      <c r="A901" s="2200" t="s">
        <v>1902</v>
      </c>
      <c r="B901" s="2200" t="s">
        <v>3646</v>
      </c>
      <c r="C901" s="2200" t="s">
        <v>3647</v>
      </c>
      <c r="D901" s="2200" t="str">
        <f t="shared" si="52"/>
        <v>PA</v>
      </c>
      <c r="E901" s="2200">
        <f t="shared" si="53"/>
        <v>15</v>
      </c>
      <c r="F901" s="2200" t="str">
        <f t="shared" si="54"/>
        <v>42</v>
      </c>
      <c r="G901" s="2200" t="str">
        <f t="shared" si="55"/>
        <v>24000</v>
      </c>
      <c r="H901" s="2200">
        <f>--SUBTOTAL(3,C$2:C901)</f>
        <v>40</v>
      </c>
    </row>
    <row r="902" spans="1:8" hidden="1" x14ac:dyDescent="0.15">
      <c r="A902" s="2200" t="s">
        <v>1878</v>
      </c>
      <c r="B902" s="2200" t="s">
        <v>3648</v>
      </c>
      <c r="C902" s="2200" t="s">
        <v>3649</v>
      </c>
      <c r="D902" s="2200" t="str">
        <f t="shared" si="52"/>
        <v>PA</v>
      </c>
      <c r="E902" s="2200">
        <f t="shared" si="53"/>
        <v>11</v>
      </c>
      <c r="F902" s="2200" t="str">
        <f t="shared" si="54"/>
        <v>42</v>
      </c>
      <c r="G902" s="2200" t="str">
        <f t="shared" si="55"/>
        <v>23900</v>
      </c>
      <c r="H902" s="2200">
        <f>--SUBTOTAL(3,C$2:C902)</f>
        <v>40</v>
      </c>
    </row>
    <row r="903" spans="1:8" hidden="1" x14ac:dyDescent="0.15">
      <c r="A903" s="2200" t="s">
        <v>1878</v>
      </c>
      <c r="B903" s="2200" t="s">
        <v>3650</v>
      </c>
      <c r="C903" s="2200" t="s">
        <v>3651</v>
      </c>
      <c r="D903" s="2200" t="str">
        <f t="shared" si="52"/>
        <v>PA</v>
      </c>
      <c r="E903" s="2200">
        <f t="shared" si="53"/>
        <v>20</v>
      </c>
      <c r="F903" s="2200" t="str">
        <f t="shared" si="54"/>
        <v>42</v>
      </c>
      <c r="G903" s="2200" t="str">
        <f t="shared" si="55"/>
        <v>25420</v>
      </c>
      <c r="H903" s="2200">
        <f>--SUBTOTAL(3,C$2:C903)</f>
        <v>40</v>
      </c>
    </row>
    <row r="904" spans="1:8" hidden="1" x14ac:dyDescent="0.15">
      <c r="A904" s="2200" t="s">
        <v>1902</v>
      </c>
      <c r="B904" s="2200" t="s">
        <v>3652</v>
      </c>
      <c r="C904" s="2200" t="s">
        <v>3653</v>
      </c>
      <c r="D904" s="2200" t="str">
        <f t="shared" si="52"/>
        <v>PA</v>
      </c>
      <c r="E904" s="2200">
        <f t="shared" si="53"/>
        <v>24</v>
      </c>
      <c r="F904" s="2200" t="str">
        <f t="shared" si="54"/>
        <v>42</v>
      </c>
      <c r="G904" s="2200" t="str">
        <f t="shared" si="55"/>
        <v>27600</v>
      </c>
      <c r="H904" s="2200">
        <f>--SUBTOTAL(3,C$2:C904)</f>
        <v>40</v>
      </c>
    </row>
    <row r="905" spans="1:8" hidden="1" x14ac:dyDescent="0.15">
      <c r="A905" s="2200" t="s">
        <v>1884</v>
      </c>
      <c r="B905" s="2200" t="s">
        <v>3654</v>
      </c>
      <c r="C905" s="2200" t="s">
        <v>3655</v>
      </c>
      <c r="D905" s="2200" t="str">
        <f t="shared" si="52"/>
        <v>PA</v>
      </c>
      <c r="E905" s="2200">
        <f t="shared" si="53"/>
        <v>11</v>
      </c>
      <c r="F905" s="2200" t="str">
        <f t="shared" si="54"/>
        <v>42</v>
      </c>
      <c r="G905" s="2200" t="str">
        <f t="shared" si="55"/>
        <v>26500</v>
      </c>
      <c r="H905" s="2200">
        <f>--SUBTOTAL(3,C$2:C905)</f>
        <v>40</v>
      </c>
    </row>
    <row r="906" spans="1:8" hidden="1" x14ac:dyDescent="0.15">
      <c r="A906" s="2200" t="s">
        <v>1884</v>
      </c>
      <c r="B906" s="2200" t="s">
        <v>3656</v>
      </c>
      <c r="C906" s="2200" t="s">
        <v>3657</v>
      </c>
      <c r="D906" s="2200" t="str">
        <f t="shared" si="52"/>
        <v>PA</v>
      </c>
      <c r="E906" s="2200">
        <f t="shared" si="53"/>
        <v>8</v>
      </c>
      <c r="F906" s="2200" t="str">
        <f t="shared" si="54"/>
        <v>42</v>
      </c>
      <c r="G906" s="2200" t="str">
        <f t="shared" si="55"/>
        <v>26860</v>
      </c>
      <c r="H906" s="2200">
        <f>--SUBTOTAL(3,C$2:C906)</f>
        <v>40</v>
      </c>
    </row>
    <row r="907" spans="1:8" hidden="1" x14ac:dyDescent="0.15">
      <c r="A907" s="2200" t="s">
        <v>1878</v>
      </c>
      <c r="B907" s="2200" t="s">
        <v>3658</v>
      </c>
      <c r="C907" s="2200" t="s">
        <v>3659</v>
      </c>
      <c r="D907" s="2200" t="str">
        <f t="shared" si="52"/>
        <v>PA</v>
      </c>
      <c r="E907" s="2200">
        <f t="shared" si="53"/>
        <v>10</v>
      </c>
      <c r="F907" s="2200" t="str">
        <f t="shared" si="54"/>
        <v>42</v>
      </c>
      <c r="G907" s="2200" t="str">
        <f t="shared" si="55"/>
        <v>27780</v>
      </c>
      <c r="H907" s="2200">
        <f>--SUBTOTAL(3,C$2:C907)</f>
        <v>40</v>
      </c>
    </row>
    <row r="908" spans="1:8" hidden="1" x14ac:dyDescent="0.15">
      <c r="A908" s="2200" t="s">
        <v>1902</v>
      </c>
      <c r="B908" s="2200" t="s">
        <v>3660</v>
      </c>
      <c r="C908" s="2200" t="s">
        <v>3661</v>
      </c>
      <c r="D908" s="2200" t="str">
        <f t="shared" si="52"/>
        <v>PA</v>
      </c>
      <c r="E908" s="2200">
        <f t="shared" si="53"/>
        <v>19</v>
      </c>
      <c r="F908" s="2200" t="str">
        <f t="shared" si="54"/>
        <v>42</v>
      </c>
      <c r="G908" s="2200" t="str">
        <f t="shared" si="55"/>
        <v>30600</v>
      </c>
      <c r="H908" s="2200">
        <f>--SUBTOTAL(3,C$2:C908)</f>
        <v>40</v>
      </c>
    </row>
    <row r="909" spans="1:8" hidden="1" x14ac:dyDescent="0.15">
      <c r="A909" s="2200" t="s">
        <v>1878</v>
      </c>
      <c r="B909" s="2200" t="s">
        <v>3662</v>
      </c>
      <c r="C909" s="2200" t="s">
        <v>3663</v>
      </c>
      <c r="D909" s="2200" t="str">
        <f t="shared" si="52"/>
        <v>PA</v>
      </c>
      <c r="E909" s="2200">
        <f t="shared" si="53"/>
        <v>10</v>
      </c>
      <c r="F909" s="2200" t="str">
        <f t="shared" si="54"/>
        <v>42</v>
      </c>
      <c r="G909" s="2200" t="str">
        <f t="shared" si="55"/>
        <v>29540</v>
      </c>
      <c r="H909" s="2200">
        <f>--SUBTOTAL(3,C$2:C909)</f>
        <v>40</v>
      </c>
    </row>
    <row r="910" spans="1:8" hidden="1" x14ac:dyDescent="0.15">
      <c r="A910" s="2200" t="s">
        <v>1878</v>
      </c>
      <c r="B910" s="2200" t="s">
        <v>3664</v>
      </c>
      <c r="C910" s="2200" t="s">
        <v>3665</v>
      </c>
      <c r="D910" s="2200" t="str">
        <f t="shared" si="52"/>
        <v>PA</v>
      </c>
      <c r="E910" s="2200">
        <f t="shared" si="53"/>
        <v>8</v>
      </c>
      <c r="F910" s="2200" t="str">
        <f t="shared" si="54"/>
        <v>42</v>
      </c>
      <c r="G910" s="2200" t="str">
        <f t="shared" si="55"/>
        <v>30140</v>
      </c>
      <c r="H910" s="2200">
        <f>--SUBTOTAL(3,C$2:C910)</f>
        <v>40</v>
      </c>
    </row>
    <row r="911" spans="1:8" hidden="1" x14ac:dyDescent="0.15">
      <c r="A911" s="2200" t="s">
        <v>1884</v>
      </c>
      <c r="B911" s="2200" t="s">
        <v>3666</v>
      </c>
      <c r="C911" s="2200" t="s">
        <v>3667</v>
      </c>
      <c r="D911" s="2200" t="str">
        <f t="shared" si="52"/>
        <v>PA</v>
      </c>
      <c r="E911" s="2200">
        <f t="shared" si="53"/>
        <v>10</v>
      </c>
      <c r="F911" s="2200" t="str">
        <f t="shared" si="54"/>
        <v>42</v>
      </c>
      <c r="G911" s="2200" t="str">
        <f t="shared" si="55"/>
        <v>30260</v>
      </c>
      <c r="H911" s="2200">
        <f>--SUBTOTAL(3,C$2:C911)</f>
        <v>40</v>
      </c>
    </row>
    <row r="912" spans="1:8" hidden="1" x14ac:dyDescent="0.15">
      <c r="A912" s="2200" t="s">
        <v>1884</v>
      </c>
      <c r="B912" s="2200" t="s">
        <v>3668</v>
      </c>
      <c r="C912" s="2200" t="s">
        <v>3669</v>
      </c>
      <c r="D912" s="2200" t="str">
        <f t="shared" si="52"/>
        <v>PA</v>
      </c>
      <c r="E912" s="2200">
        <f t="shared" si="53"/>
        <v>10</v>
      </c>
      <c r="F912" s="2200" t="str">
        <f t="shared" si="54"/>
        <v>42</v>
      </c>
      <c r="G912" s="2200" t="str">
        <f t="shared" si="55"/>
        <v>30380</v>
      </c>
      <c r="H912" s="2200">
        <f>--SUBTOTAL(3,C$2:C912)</f>
        <v>40</v>
      </c>
    </row>
    <row r="913" spans="1:8" hidden="1" x14ac:dyDescent="0.15">
      <c r="A913" s="2200" t="s">
        <v>1884</v>
      </c>
      <c r="B913" s="2200" t="s">
        <v>3670</v>
      </c>
      <c r="C913" s="2200" t="s">
        <v>3671</v>
      </c>
      <c r="D913" s="2200" t="str">
        <f t="shared" si="52"/>
        <v>PA</v>
      </c>
      <c r="E913" s="2200">
        <f t="shared" si="53"/>
        <v>11</v>
      </c>
      <c r="F913" s="2200" t="str">
        <f t="shared" si="54"/>
        <v>42</v>
      </c>
      <c r="G913" s="2200" t="str">
        <f t="shared" si="55"/>
        <v>30820</v>
      </c>
      <c r="H913" s="2200">
        <f>--SUBTOTAL(3,C$2:C913)</f>
        <v>40</v>
      </c>
    </row>
    <row r="914" spans="1:8" hidden="1" x14ac:dyDescent="0.15">
      <c r="A914" s="2200" t="s">
        <v>1884</v>
      </c>
      <c r="B914" s="2200" t="s">
        <v>3672</v>
      </c>
      <c r="C914" s="2200" t="s">
        <v>3673</v>
      </c>
      <c r="D914" s="2200" t="str">
        <f t="shared" si="52"/>
        <v>PA</v>
      </c>
      <c r="E914" s="2200">
        <f t="shared" si="53"/>
        <v>10</v>
      </c>
      <c r="F914" s="2200" t="str">
        <f t="shared" si="54"/>
        <v>42</v>
      </c>
      <c r="G914" s="2200" t="str">
        <f t="shared" si="55"/>
        <v>32740</v>
      </c>
      <c r="H914" s="2200">
        <f>--SUBTOTAL(3,C$2:C914)</f>
        <v>40</v>
      </c>
    </row>
    <row r="915" spans="1:8" hidden="1" x14ac:dyDescent="0.15">
      <c r="A915" s="2200" t="s">
        <v>2023</v>
      </c>
      <c r="B915" s="2200" t="s">
        <v>3674</v>
      </c>
      <c r="C915" s="2200" t="s">
        <v>3675</v>
      </c>
      <c r="D915" s="2200" t="str">
        <f t="shared" si="52"/>
        <v>PA</v>
      </c>
      <c r="E915" s="2200">
        <f t="shared" si="53"/>
        <v>46</v>
      </c>
      <c r="F915" s="2200" t="str">
        <f t="shared" si="54"/>
        <v>42</v>
      </c>
      <c r="G915" s="2200" t="str">
        <f t="shared" si="55"/>
        <v>33874</v>
      </c>
      <c r="H915" s="2200">
        <f>--SUBTOTAL(3,C$2:C915)</f>
        <v>40</v>
      </c>
    </row>
    <row r="916" spans="1:8" hidden="1" x14ac:dyDescent="0.15">
      <c r="A916" s="2200" t="s">
        <v>1884</v>
      </c>
      <c r="B916" s="2200" t="s">
        <v>3676</v>
      </c>
      <c r="C916" s="2200" t="s">
        <v>3677</v>
      </c>
      <c r="D916" s="2200" t="str">
        <f t="shared" si="52"/>
        <v>PA</v>
      </c>
      <c r="E916" s="2200">
        <f t="shared" si="53"/>
        <v>11</v>
      </c>
      <c r="F916" s="2200" t="str">
        <f t="shared" si="54"/>
        <v>42</v>
      </c>
      <c r="G916" s="2200" t="str">
        <f t="shared" si="55"/>
        <v>35260</v>
      </c>
      <c r="H916" s="2200">
        <f>--SUBTOTAL(3,C$2:C916)</f>
        <v>40</v>
      </c>
    </row>
    <row r="917" spans="1:8" hidden="1" x14ac:dyDescent="0.15">
      <c r="A917" s="2200" t="s">
        <v>1878</v>
      </c>
      <c r="B917" s="2200" t="s">
        <v>3404</v>
      </c>
      <c r="C917" s="2200" t="s">
        <v>17881</v>
      </c>
      <c r="D917" s="2200" t="str">
        <f t="shared" si="52"/>
        <v>PA</v>
      </c>
      <c r="E917" s="2200">
        <f t="shared" si="53"/>
        <v>28</v>
      </c>
      <c r="F917" s="2200" t="str">
        <f t="shared" si="54"/>
        <v>36</v>
      </c>
      <c r="G917" s="2200" t="str">
        <f t="shared" si="55"/>
        <v>35620</v>
      </c>
      <c r="H917" s="2200">
        <f>--SUBTOTAL(3,C$2:C917)</f>
        <v>40</v>
      </c>
    </row>
    <row r="918" spans="1:8" hidden="1" x14ac:dyDescent="0.15">
      <c r="A918" s="2200" t="s">
        <v>1884</v>
      </c>
      <c r="B918" s="2200" t="s">
        <v>3678</v>
      </c>
      <c r="C918" s="2200" t="s">
        <v>3679</v>
      </c>
      <c r="D918" s="2200" t="str">
        <f t="shared" si="52"/>
        <v>PA</v>
      </c>
      <c r="E918" s="2200">
        <f t="shared" si="53"/>
        <v>9</v>
      </c>
      <c r="F918" s="2200" t="str">
        <f t="shared" si="54"/>
        <v>42</v>
      </c>
      <c r="G918" s="2200" t="str">
        <f t="shared" si="55"/>
        <v>36340</v>
      </c>
      <c r="H918" s="2200">
        <f>--SUBTOTAL(3,C$2:C918)</f>
        <v>40</v>
      </c>
    </row>
    <row r="919" spans="1:8" hidden="1" x14ac:dyDescent="0.15">
      <c r="A919" s="2200" t="s">
        <v>2023</v>
      </c>
      <c r="B919" s="2200" t="s">
        <v>3680</v>
      </c>
      <c r="C919" s="2200" t="s">
        <v>3681</v>
      </c>
      <c r="D919" s="2200" t="str">
        <f t="shared" si="52"/>
        <v>PA</v>
      </c>
      <c r="E919" s="2200">
        <f t="shared" si="53"/>
        <v>13</v>
      </c>
      <c r="F919" s="2200" t="str">
        <f t="shared" si="54"/>
        <v>42</v>
      </c>
      <c r="G919" s="2200" t="str">
        <f t="shared" si="55"/>
        <v>37964</v>
      </c>
      <c r="H919" s="2200">
        <f>--SUBTOTAL(3,C$2:C919)</f>
        <v>40</v>
      </c>
    </row>
    <row r="920" spans="1:8" hidden="1" x14ac:dyDescent="0.15">
      <c r="A920" s="2200" t="s">
        <v>1878</v>
      </c>
      <c r="B920" s="2200" t="s">
        <v>3682</v>
      </c>
      <c r="C920" s="2200" t="s">
        <v>3683</v>
      </c>
      <c r="D920" s="2200" t="str">
        <f t="shared" si="52"/>
        <v>PA</v>
      </c>
      <c r="E920" s="2200">
        <f t="shared" si="53"/>
        <v>31</v>
      </c>
      <c r="F920" s="2200" t="str">
        <f t="shared" si="54"/>
        <v>42</v>
      </c>
      <c r="G920" s="2200" t="str">
        <f t="shared" si="55"/>
        <v>37980</v>
      </c>
      <c r="H920" s="2200">
        <f>--SUBTOTAL(3,C$2:C920)</f>
        <v>40</v>
      </c>
    </row>
    <row r="921" spans="1:8" hidden="1" x14ac:dyDescent="0.15">
      <c r="A921" s="2200" t="s">
        <v>1902</v>
      </c>
      <c r="B921" s="2200" t="s">
        <v>3684</v>
      </c>
      <c r="C921" s="2200" t="s">
        <v>3685</v>
      </c>
      <c r="D921" s="2200" t="str">
        <f t="shared" si="52"/>
        <v>PA</v>
      </c>
      <c r="E921" s="2200">
        <f t="shared" si="53"/>
        <v>28</v>
      </c>
      <c r="F921" s="2200" t="str">
        <f t="shared" si="54"/>
        <v>42</v>
      </c>
      <c r="G921" s="2200" t="str">
        <f t="shared" si="55"/>
        <v>42800</v>
      </c>
      <c r="H921" s="2200">
        <f>--SUBTOTAL(3,C$2:C921)</f>
        <v>40</v>
      </c>
    </row>
    <row r="922" spans="1:8" hidden="1" x14ac:dyDescent="0.15">
      <c r="A922" s="2200" t="s">
        <v>1878</v>
      </c>
      <c r="B922" s="2200" t="s">
        <v>3686</v>
      </c>
      <c r="C922" s="2200" t="s">
        <v>3687</v>
      </c>
      <c r="D922" s="2200" t="str">
        <f t="shared" si="52"/>
        <v>PA</v>
      </c>
      <c r="E922" s="2200">
        <f t="shared" si="53"/>
        <v>11</v>
      </c>
      <c r="F922" s="2200" t="str">
        <f t="shared" si="54"/>
        <v>42</v>
      </c>
      <c r="G922" s="2200" t="str">
        <f t="shared" si="55"/>
        <v>38300</v>
      </c>
      <c r="H922" s="2200">
        <f>--SUBTOTAL(3,C$2:C922)</f>
        <v>40</v>
      </c>
    </row>
    <row r="923" spans="1:8" hidden="1" x14ac:dyDescent="0.15">
      <c r="A923" s="2200" t="s">
        <v>1902</v>
      </c>
      <c r="B923" s="2200" t="s">
        <v>3688</v>
      </c>
      <c r="C923" s="2200" t="s">
        <v>3689</v>
      </c>
      <c r="D923" s="2200" t="str">
        <f t="shared" si="52"/>
        <v>PA</v>
      </c>
      <c r="E923" s="2200">
        <f t="shared" si="53"/>
        <v>30</v>
      </c>
      <c r="F923" s="2200" t="str">
        <f t="shared" si="54"/>
        <v>42</v>
      </c>
      <c r="G923" s="2200" t="str">
        <f t="shared" si="55"/>
        <v>43000</v>
      </c>
      <c r="H923" s="2200">
        <f>--SUBTOTAL(3,C$2:C923)</f>
        <v>40</v>
      </c>
    </row>
    <row r="924" spans="1:8" hidden="1" x14ac:dyDescent="0.15">
      <c r="A924" s="2200" t="s">
        <v>1884</v>
      </c>
      <c r="B924" s="2200" t="s">
        <v>3690</v>
      </c>
      <c r="C924" s="2200" t="s">
        <v>3691</v>
      </c>
      <c r="D924" s="2200" t="str">
        <f t="shared" si="52"/>
        <v>PA</v>
      </c>
      <c r="E924" s="2200">
        <f t="shared" si="53"/>
        <v>11</v>
      </c>
      <c r="F924" s="2200" t="str">
        <f t="shared" si="54"/>
        <v>42</v>
      </c>
      <c r="G924" s="2200" t="str">
        <f t="shared" si="55"/>
        <v>39060</v>
      </c>
      <c r="H924" s="2200">
        <f>--SUBTOTAL(3,C$2:C924)</f>
        <v>40</v>
      </c>
    </row>
    <row r="925" spans="1:8" hidden="1" x14ac:dyDescent="0.15">
      <c r="A925" s="2200" t="s">
        <v>1878</v>
      </c>
      <c r="B925" s="2200" t="s">
        <v>3692</v>
      </c>
      <c r="C925" s="2200" t="s">
        <v>3693</v>
      </c>
      <c r="D925" s="2200" t="str">
        <f t="shared" si="52"/>
        <v>PA</v>
      </c>
      <c r="E925" s="2200">
        <f t="shared" si="53"/>
        <v>8</v>
      </c>
      <c r="F925" s="2200" t="str">
        <f t="shared" si="54"/>
        <v>42</v>
      </c>
      <c r="G925" s="2200" t="str">
        <f t="shared" si="55"/>
        <v>39740</v>
      </c>
      <c r="H925" s="2200">
        <f>--SUBTOTAL(3,C$2:C925)</f>
        <v>40</v>
      </c>
    </row>
    <row r="926" spans="1:8" hidden="1" x14ac:dyDescent="0.15">
      <c r="A926" s="2200" t="s">
        <v>1884</v>
      </c>
      <c r="B926" s="2200" t="s">
        <v>3694</v>
      </c>
      <c r="C926" s="2200" t="s">
        <v>3695</v>
      </c>
      <c r="D926" s="2200" t="str">
        <f t="shared" si="52"/>
        <v>PA</v>
      </c>
      <c r="E926" s="2200">
        <f t="shared" si="53"/>
        <v>6</v>
      </c>
      <c r="F926" s="2200" t="str">
        <f t="shared" si="54"/>
        <v>42</v>
      </c>
      <c r="G926" s="2200" t="str">
        <f t="shared" si="55"/>
        <v>42380</v>
      </c>
      <c r="H926" s="2200">
        <f>--SUBTOTAL(3,C$2:C926)</f>
        <v>40</v>
      </c>
    </row>
    <row r="927" spans="1:8" hidden="1" x14ac:dyDescent="0.15">
      <c r="A927" s="2200" t="s">
        <v>1878</v>
      </c>
      <c r="B927" s="2200" t="s">
        <v>3696</v>
      </c>
      <c r="C927" s="2200" t="s">
        <v>3697</v>
      </c>
      <c r="D927" s="2200" t="str">
        <f t="shared" si="52"/>
        <v>PA</v>
      </c>
      <c r="E927" s="2200">
        <f t="shared" si="53"/>
        <v>33</v>
      </c>
      <c r="F927" s="2200" t="str">
        <f t="shared" si="54"/>
        <v>42</v>
      </c>
      <c r="G927" s="2200" t="str">
        <f t="shared" si="55"/>
        <v>42540</v>
      </c>
      <c r="H927" s="2200">
        <f>--SUBTOTAL(3,C$2:C927)</f>
        <v>40</v>
      </c>
    </row>
    <row r="928" spans="1:8" hidden="1" x14ac:dyDescent="0.15">
      <c r="A928" s="2200" t="s">
        <v>1884</v>
      </c>
      <c r="B928" s="2200" t="s">
        <v>3698</v>
      </c>
      <c r="C928" s="2200" t="s">
        <v>3699</v>
      </c>
      <c r="D928" s="2200" t="str">
        <f t="shared" si="52"/>
        <v>PA</v>
      </c>
      <c r="E928" s="2200">
        <f t="shared" si="53"/>
        <v>12</v>
      </c>
      <c r="F928" s="2200" t="str">
        <f t="shared" si="54"/>
        <v>42</v>
      </c>
      <c r="G928" s="2200" t="str">
        <f t="shared" si="55"/>
        <v>42780</v>
      </c>
      <c r="H928" s="2200">
        <f>--SUBTOTAL(3,C$2:C928)</f>
        <v>40</v>
      </c>
    </row>
    <row r="929" spans="1:8" hidden="1" x14ac:dyDescent="0.15">
      <c r="A929" s="2200" t="s">
        <v>1884</v>
      </c>
      <c r="B929" s="2200" t="s">
        <v>3700</v>
      </c>
      <c r="C929" s="2200" t="s">
        <v>3701</v>
      </c>
      <c r="D929" s="2200" t="str">
        <f t="shared" si="52"/>
        <v>PA</v>
      </c>
      <c r="E929" s="2200">
        <f t="shared" si="53"/>
        <v>9</v>
      </c>
      <c r="F929" s="2200" t="str">
        <f t="shared" si="54"/>
        <v>42</v>
      </c>
      <c r="G929" s="2200" t="str">
        <f t="shared" si="55"/>
        <v>43740</v>
      </c>
      <c r="H929" s="2200">
        <f>--SUBTOTAL(3,C$2:C929)</f>
        <v>40</v>
      </c>
    </row>
    <row r="930" spans="1:8" hidden="1" x14ac:dyDescent="0.15">
      <c r="A930" s="2200" t="s">
        <v>1884</v>
      </c>
      <c r="B930" s="2200" t="s">
        <v>3702</v>
      </c>
      <c r="C930" s="2200" t="s">
        <v>3703</v>
      </c>
      <c r="D930" s="2200" t="str">
        <f t="shared" si="52"/>
        <v>PA</v>
      </c>
      <c r="E930" s="2200">
        <f t="shared" si="53"/>
        <v>10</v>
      </c>
      <c r="F930" s="2200" t="str">
        <f t="shared" si="54"/>
        <v>42</v>
      </c>
      <c r="G930" s="2200" t="str">
        <f t="shared" si="55"/>
        <v>41260</v>
      </c>
      <c r="H930" s="2200">
        <f>--SUBTOTAL(3,C$2:C930)</f>
        <v>40</v>
      </c>
    </row>
    <row r="931" spans="1:8" hidden="1" x14ac:dyDescent="0.15">
      <c r="A931" s="2200" t="s">
        <v>1878</v>
      </c>
      <c r="B931" s="2200" t="s">
        <v>3704</v>
      </c>
      <c r="C931" s="2200" t="s">
        <v>3705</v>
      </c>
      <c r="D931" s="2200" t="str">
        <f t="shared" si="52"/>
        <v>PA</v>
      </c>
      <c r="E931" s="2200">
        <f t="shared" si="53"/>
        <v>14</v>
      </c>
      <c r="F931" s="2200" t="str">
        <f t="shared" si="54"/>
        <v>42</v>
      </c>
      <c r="G931" s="2200" t="str">
        <f t="shared" si="55"/>
        <v>44300</v>
      </c>
      <c r="H931" s="2200">
        <f>--SUBTOTAL(3,C$2:C931)</f>
        <v>40</v>
      </c>
    </row>
    <row r="932" spans="1:8" hidden="1" x14ac:dyDescent="0.15">
      <c r="A932" s="2200" t="s">
        <v>1902</v>
      </c>
      <c r="B932" s="2200" t="s">
        <v>3706</v>
      </c>
      <c r="C932" s="2200" t="s">
        <v>3707</v>
      </c>
      <c r="D932" s="2200" t="str">
        <f t="shared" si="52"/>
        <v>PA</v>
      </c>
      <c r="E932" s="2200">
        <f t="shared" si="53"/>
        <v>21</v>
      </c>
      <c r="F932" s="2200" t="str">
        <f t="shared" si="54"/>
        <v>42</v>
      </c>
      <c r="G932" s="2200" t="str">
        <f t="shared" si="55"/>
        <v>52400</v>
      </c>
      <c r="H932" s="2200">
        <f>--SUBTOTAL(3,C$2:C932)</f>
        <v>40</v>
      </c>
    </row>
    <row r="933" spans="1:8" hidden="1" x14ac:dyDescent="0.15">
      <c r="A933" s="2200" t="s">
        <v>1884</v>
      </c>
      <c r="B933" s="2200" t="s">
        <v>3708</v>
      </c>
      <c r="C933" s="2200" t="s">
        <v>3709</v>
      </c>
      <c r="D933" s="2200" t="str">
        <f t="shared" si="52"/>
        <v>PA</v>
      </c>
      <c r="E933" s="2200">
        <f t="shared" si="53"/>
        <v>8</v>
      </c>
      <c r="F933" s="2200" t="str">
        <f t="shared" si="54"/>
        <v>42</v>
      </c>
      <c r="G933" s="2200" t="str">
        <f t="shared" si="55"/>
        <v>44980</v>
      </c>
      <c r="H933" s="2200">
        <f>--SUBTOTAL(3,C$2:C933)</f>
        <v>40</v>
      </c>
    </row>
    <row r="934" spans="1:8" hidden="1" x14ac:dyDescent="0.15">
      <c r="A934" s="2200" t="s">
        <v>1884</v>
      </c>
      <c r="B934" s="2200" t="s">
        <v>3710</v>
      </c>
      <c r="C934" s="2200" t="s">
        <v>3711</v>
      </c>
      <c r="D934" s="2200" t="str">
        <f t="shared" si="52"/>
        <v>PA</v>
      </c>
      <c r="E934" s="2200">
        <f t="shared" si="53"/>
        <v>7</v>
      </c>
      <c r="F934" s="2200" t="str">
        <f t="shared" si="54"/>
        <v>42</v>
      </c>
      <c r="G934" s="2200" t="str">
        <f t="shared" si="55"/>
        <v>47620</v>
      </c>
      <c r="H934" s="2200">
        <f>--SUBTOTAL(3,C$2:C934)</f>
        <v>40</v>
      </c>
    </row>
    <row r="935" spans="1:8" hidden="1" x14ac:dyDescent="0.15">
      <c r="A935" s="2200" t="s">
        <v>1878</v>
      </c>
      <c r="B935" s="2200" t="s">
        <v>3712</v>
      </c>
      <c r="C935" s="2200" t="s">
        <v>3713</v>
      </c>
      <c r="D935" s="2200" t="str">
        <f t="shared" si="52"/>
        <v>PA</v>
      </c>
      <c r="E935" s="2200">
        <f t="shared" si="53"/>
        <v>13</v>
      </c>
      <c r="F935" s="2200" t="str">
        <f t="shared" si="54"/>
        <v>42</v>
      </c>
      <c r="G935" s="2200" t="str">
        <f t="shared" si="55"/>
        <v>48700</v>
      </c>
      <c r="H935" s="2200">
        <f>--SUBTOTAL(3,C$2:C935)</f>
        <v>40</v>
      </c>
    </row>
    <row r="936" spans="1:8" hidden="1" x14ac:dyDescent="0.15">
      <c r="A936" s="2200" t="s">
        <v>1902</v>
      </c>
      <c r="B936" s="2200" t="s">
        <v>3714</v>
      </c>
      <c r="C936" s="2200" t="s">
        <v>3715</v>
      </c>
      <c r="D936" s="2200" t="str">
        <f t="shared" ref="D936:D1004" si="56">MID(C936,E936+2,2)</f>
        <v>PA</v>
      </c>
      <c r="E936" s="2200">
        <f t="shared" ref="E936:E1004" si="57">FIND(",",C936)</f>
        <v>24</v>
      </c>
      <c r="F936" s="2200" t="str">
        <f t="shared" ref="F936:F1004" si="58">MID(B936,3,2)</f>
        <v>42</v>
      </c>
      <c r="G936" s="2200" t="str">
        <f t="shared" ref="G936:G1004" si="59">MID(B936,5,5)</f>
        <v>55800</v>
      </c>
      <c r="H936" s="2200">
        <f>--SUBTOTAL(3,C$2:C936)</f>
        <v>40</v>
      </c>
    </row>
    <row r="937" spans="1:8" hidden="1" x14ac:dyDescent="0.15">
      <c r="A937" s="2200" t="s">
        <v>1878</v>
      </c>
      <c r="B937" s="2200" t="s">
        <v>3716</v>
      </c>
      <c r="C937" s="2200" t="s">
        <v>3717</v>
      </c>
      <c r="D937" s="2200" t="str">
        <f t="shared" si="56"/>
        <v>PA</v>
      </c>
      <c r="E937" s="2200">
        <f t="shared" si="57"/>
        <v>13</v>
      </c>
      <c r="F937" s="2200" t="str">
        <f t="shared" si="58"/>
        <v>42</v>
      </c>
      <c r="G937" s="2200" t="str">
        <f t="shared" si="59"/>
        <v>49620</v>
      </c>
      <c r="H937" s="2200">
        <f>--SUBTOTAL(3,C$2:C937)</f>
        <v>40</v>
      </c>
    </row>
    <row r="938" spans="1:8" hidden="1" x14ac:dyDescent="0.15">
      <c r="A938" s="2200" t="s">
        <v>1878</v>
      </c>
      <c r="B938" s="2200" t="s">
        <v>3529</v>
      </c>
      <c r="C938" s="2200" t="s">
        <v>17884</v>
      </c>
      <c r="D938" s="2200" t="str">
        <f t="shared" si="56"/>
        <v>PA</v>
      </c>
      <c r="E938" s="2200">
        <f t="shared" si="57"/>
        <v>27</v>
      </c>
      <c r="F938" s="2200" t="str">
        <f t="shared" si="58"/>
        <v>39</v>
      </c>
      <c r="G938" s="2200" t="str">
        <f t="shared" si="59"/>
        <v>49660</v>
      </c>
      <c r="H938" s="2200">
        <f>--SUBTOTAL(3,C$2:C938)</f>
        <v>40</v>
      </c>
    </row>
    <row r="939" spans="1:8" hidden="1" x14ac:dyDescent="0.15">
      <c r="A939" s="2200" t="s">
        <v>1878</v>
      </c>
      <c r="B939" s="2200" t="s">
        <v>2171</v>
      </c>
      <c r="C939" s="2200" t="s">
        <v>17885</v>
      </c>
      <c r="D939" s="2200" t="str">
        <f t="shared" si="56"/>
        <v>RI</v>
      </c>
      <c r="E939" s="2200">
        <f t="shared" si="57"/>
        <v>28</v>
      </c>
      <c r="F939" s="2200" t="str">
        <f t="shared" si="58"/>
        <v>09</v>
      </c>
      <c r="G939" s="2200" t="str">
        <f t="shared" si="59"/>
        <v>76450</v>
      </c>
      <c r="H939" s="2200">
        <f>--SUBTOTAL(3,C$2:C939)</f>
        <v>40</v>
      </c>
    </row>
    <row r="940" spans="1:8" hidden="1" x14ac:dyDescent="0.15">
      <c r="A940" s="2200" t="s">
        <v>1878</v>
      </c>
      <c r="B940" s="2200" t="s">
        <v>3718</v>
      </c>
      <c r="C940" s="2200" t="s">
        <v>3719</v>
      </c>
      <c r="D940" s="2200" t="str">
        <f t="shared" si="56"/>
        <v>RI</v>
      </c>
      <c r="E940" s="2200">
        <f t="shared" si="57"/>
        <v>19</v>
      </c>
      <c r="F940" s="2200" t="str">
        <f t="shared" si="58"/>
        <v>44</v>
      </c>
      <c r="G940" s="2200" t="str">
        <f t="shared" si="59"/>
        <v>77200</v>
      </c>
      <c r="H940" s="2200">
        <f>--SUBTOTAL(3,C$2:C940)</f>
        <v>40</v>
      </c>
    </row>
    <row r="941" spans="1:8" hidden="1" x14ac:dyDescent="0.15">
      <c r="A941" s="2200" t="s">
        <v>1878</v>
      </c>
      <c r="B941" s="2200" t="s">
        <v>2281</v>
      </c>
      <c r="C941" s="2200" t="s">
        <v>17854</v>
      </c>
      <c r="D941" s="2200" t="str">
        <f t="shared" si="56"/>
        <v>SC</v>
      </c>
      <c r="E941" s="2200">
        <f t="shared" si="57"/>
        <v>24</v>
      </c>
      <c r="F941" s="2200" t="str">
        <f t="shared" si="58"/>
        <v>13</v>
      </c>
      <c r="G941" s="2200" t="str">
        <f t="shared" si="59"/>
        <v>12260</v>
      </c>
      <c r="H941" s="2200">
        <f>--SUBTOTAL(3,C$2:C941)</f>
        <v>40</v>
      </c>
    </row>
    <row r="942" spans="1:8" hidden="1" x14ac:dyDescent="0.15">
      <c r="A942" s="2200" t="s">
        <v>1884</v>
      </c>
      <c r="B942" s="2200" t="s">
        <v>3721</v>
      </c>
      <c r="C942" s="2200" t="s">
        <v>3722</v>
      </c>
      <c r="D942" s="2200" t="str">
        <f t="shared" si="56"/>
        <v>SC</v>
      </c>
      <c r="E942" s="2200">
        <f t="shared" si="57"/>
        <v>14</v>
      </c>
      <c r="F942" s="2200" t="str">
        <f t="shared" si="58"/>
        <v>45</v>
      </c>
      <c r="G942" s="2200" t="str">
        <f t="shared" si="59"/>
        <v>13500</v>
      </c>
      <c r="H942" s="2200">
        <f>--SUBTOTAL(3,C$2:C942)</f>
        <v>40</v>
      </c>
    </row>
    <row r="943" spans="1:8" hidden="1" x14ac:dyDescent="0.15">
      <c r="A943" s="2200" t="s">
        <v>1878</v>
      </c>
      <c r="B943" s="2200" t="s">
        <v>3724</v>
      </c>
      <c r="C943" s="2200" t="s">
        <v>3725</v>
      </c>
      <c r="D943" s="2200" t="str">
        <f t="shared" si="56"/>
        <v>SC</v>
      </c>
      <c r="E943" s="2200">
        <f t="shared" si="57"/>
        <v>28</v>
      </c>
      <c r="F943" s="2200" t="str">
        <f t="shared" si="58"/>
        <v>45</v>
      </c>
      <c r="G943" s="2200" t="str">
        <f t="shared" si="59"/>
        <v>16700</v>
      </c>
      <c r="H943" s="2200">
        <f>--SUBTOTAL(3,C$2:C943)</f>
        <v>40</v>
      </c>
    </row>
    <row r="944" spans="1:8" hidden="1" x14ac:dyDescent="0.15">
      <c r="A944" s="2200" t="s">
        <v>1878</v>
      </c>
      <c r="B944" s="2200" t="s">
        <v>3123</v>
      </c>
      <c r="C944" s="2200" t="s">
        <v>17875</v>
      </c>
      <c r="D944" s="2200" t="str">
        <f t="shared" si="56"/>
        <v>SC</v>
      </c>
      <c r="E944" s="2200">
        <f t="shared" si="57"/>
        <v>27</v>
      </c>
      <c r="F944" s="2200" t="str">
        <f t="shared" si="58"/>
        <v>37</v>
      </c>
      <c r="G944" s="2200" t="str">
        <f t="shared" si="59"/>
        <v>16740</v>
      </c>
      <c r="H944" s="2200">
        <f>--SUBTOTAL(3,C$2:C944)</f>
        <v>40</v>
      </c>
    </row>
    <row r="945" spans="1:8" hidden="1" x14ac:dyDescent="0.15">
      <c r="A945" s="2200" t="s">
        <v>1878</v>
      </c>
      <c r="B945" s="2200" t="s">
        <v>3726</v>
      </c>
      <c r="C945" s="2200" t="s">
        <v>3727</v>
      </c>
      <c r="D945" s="2200" t="str">
        <f t="shared" si="56"/>
        <v>SC</v>
      </c>
      <c r="E945" s="2200">
        <f t="shared" si="57"/>
        <v>9</v>
      </c>
      <c r="F945" s="2200" t="str">
        <f t="shared" si="58"/>
        <v>45</v>
      </c>
      <c r="G945" s="2200" t="str">
        <f t="shared" si="59"/>
        <v>17900</v>
      </c>
      <c r="H945" s="2200">
        <f>--SUBTOTAL(3,C$2:C945)</f>
        <v>40</v>
      </c>
    </row>
    <row r="946" spans="1:8" hidden="1" x14ac:dyDescent="0.15">
      <c r="A946" s="2200" t="s">
        <v>1902</v>
      </c>
      <c r="B946" s="2200" t="s">
        <v>3728</v>
      </c>
      <c r="C946" s="2200" t="s">
        <v>3729</v>
      </c>
      <c r="D946" s="2200" t="str">
        <f t="shared" si="56"/>
        <v>SC</v>
      </c>
      <c r="E946" s="2200">
        <f t="shared" si="57"/>
        <v>29</v>
      </c>
      <c r="F946" s="2200" t="str">
        <f t="shared" si="58"/>
        <v>45</v>
      </c>
      <c r="G946" s="2200" t="str">
        <f t="shared" si="59"/>
        <v>19200</v>
      </c>
      <c r="H946" s="2200">
        <f>--SUBTOTAL(3,C$2:C946)</f>
        <v>40</v>
      </c>
    </row>
    <row r="947" spans="1:8" hidden="1" x14ac:dyDescent="0.15">
      <c r="A947" s="2200" t="s">
        <v>1878</v>
      </c>
      <c r="B947" s="2200" t="s">
        <v>3730</v>
      </c>
      <c r="C947" s="2200" t="s">
        <v>3731</v>
      </c>
      <c r="D947" s="2200" t="str">
        <f t="shared" si="56"/>
        <v>SC</v>
      </c>
      <c r="E947" s="2200">
        <f t="shared" si="57"/>
        <v>9</v>
      </c>
      <c r="F947" s="2200" t="str">
        <f t="shared" si="58"/>
        <v>45</v>
      </c>
      <c r="G947" s="2200" t="str">
        <f t="shared" si="59"/>
        <v>22500</v>
      </c>
      <c r="H947" s="2200">
        <f>--SUBTOTAL(3,C$2:C947)</f>
        <v>40</v>
      </c>
    </row>
    <row r="948" spans="1:8" hidden="1" x14ac:dyDescent="0.15">
      <c r="A948" s="2200" t="s">
        <v>1884</v>
      </c>
      <c r="B948" s="2200" t="s">
        <v>3732</v>
      </c>
      <c r="C948" s="2200" t="s">
        <v>3733</v>
      </c>
      <c r="D948" s="2200" t="str">
        <f t="shared" si="56"/>
        <v>SC</v>
      </c>
      <c r="E948" s="2200">
        <f t="shared" si="57"/>
        <v>8</v>
      </c>
      <c r="F948" s="2200" t="str">
        <f t="shared" si="58"/>
        <v>45</v>
      </c>
      <c r="G948" s="2200" t="str">
        <f t="shared" si="59"/>
        <v>23500</v>
      </c>
      <c r="H948" s="2200">
        <f>--SUBTOTAL(3,C$2:C948)</f>
        <v>40</v>
      </c>
    </row>
    <row r="949" spans="1:8" hidden="1" x14ac:dyDescent="0.15">
      <c r="A949" s="2200" t="s">
        <v>1884</v>
      </c>
      <c r="B949" s="2200" t="s">
        <v>3734</v>
      </c>
      <c r="C949" s="2200" t="s">
        <v>3735</v>
      </c>
      <c r="D949" s="2200" t="str">
        <f t="shared" si="56"/>
        <v>SC</v>
      </c>
      <c r="E949" s="2200">
        <f t="shared" si="57"/>
        <v>11</v>
      </c>
      <c r="F949" s="2200" t="str">
        <f t="shared" si="58"/>
        <v>45</v>
      </c>
      <c r="G949" s="2200" t="str">
        <f t="shared" si="59"/>
        <v>23860</v>
      </c>
      <c r="H949" s="2200">
        <f>--SUBTOTAL(3,C$2:C949)</f>
        <v>40</v>
      </c>
    </row>
    <row r="950" spans="1:8" hidden="1" x14ac:dyDescent="0.15">
      <c r="A950" s="2200" t="s">
        <v>1878</v>
      </c>
      <c r="B950" s="2200" t="s">
        <v>3736</v>
      </c>
      <c r="C950" s="2200" t="s">
        <v>3737</v>
      </c>
      <c r="D950" s="2200" t="str">
        <f t="shared" si="56"/>
        <v>SC</v>
      </c>
      <c r="E950" s="2200">
        <f t="shared" si="57"/>
        <v>28</v>
      </c>
      <c r="F950" s="2200" t="str">
        <f t="shared" si="58"/>
        <v>45</v>
      </c>
      <c r="G950" s="2200" t="str">
        <f t="shared" si="59"/>
        <v>24860</v>
      </c>
      <c r="H950" s="2200">
        <f>--SUBTOTAL(3,C$2:C950)</f>
        <v>40</v>
      </c>
    </row>
    <row r="951" spans="1:8" hidden="1" x14ac:dyDescent="0.15">
      <c r="A951" s="2200" t="s">
        <v>1902</v>
      </c>
      <c r="B951" s="2200" t="s">
        <v>3738</v>
      </c>
      <c r="C951" s="2200" t="s">
        <v>3739</v>
      </c>
      <c r="D951" s="2200" t="str">
        <f t="shared" si="56"/>
        <v>SC</v>
      </c>
      <c r="E951" s="2200">
        <f t="shared" si="57"/>
        <v>32</v>
      </c>
      <c r="F951" s="2200" t="str">
        <f t="shared" si="58"/>
        <v>45</v>
      </c>
      <c r="G951" s="2200" t="str">
        <f t="shared" si="59"/>
        <v>27300</v>
      </c>
      <c r="H951" s="2200">
        <f>--SUBTOTAL(3,C$2:C951)</f>
        <v>40</v>
      </c>
    </row>
    <row r="952" spans="1:8" hidden="1" x14ac:dyDescent="0.15">
      <c r="A952" s="2200" t="s">
        <v>1884</v>
      </c>
      <c r="B952" s="2200" t="s">
        <v>3740</v>
      </c>
      <c r="C952" s="2200" t="s">
        <v>3741</v>
      </c>
      <c r="D952" s="2200" t="str">
        <f t="shared" si="56"/>
        <v>SC</v>
      </c>
      <c r="E952" s="2200">
        <f t="shared" si="57"/>
        <v>10</v>
      </c>
      <c r="F952" s="2200" t="str">
        <f t="shared" si="58"/>
        <v>45</v>
      </c>
      <c r="G952" s="2200" t="str">
        <f t="shared" si="59"/>
        <v>24940</v>
      </c>
      <c r="H952" s="2200">
        <f>--SUBTOTAL(3,C$2:C952)</f>
        <v>40</v>
      </c>
    </row>
    <row r="953" spans="1:8" hidden="1" x14ac:dyDescent="0.15">
      <c r="A953" s="2200" t="s">
        <v>1878</v>
      </c>
      <c r="B953" s="2200" t="s">
        <v>3742</v>
      </c>
      <c r="C953" s="2200" t="s">
        <v>3743</v>
      </c>
      <c r="D953" s="2200" t="str">
        <f t="shared" si="56"/>
        <v>SC</v>
      </c>
      <c r="E953" s="2200">
        <f t="shared" si="57"/>
        <v>37</v>
      </c>
      <c r="F953" s="2200" t="str">
        <f t="shared" si="58"/>
        <v>45</v>
      </c>
      <c r="G953" s="2200" t="str">
        <f t="shared" si="59"/>
        <v>25940</v>
      </c>
      <c r="H953" s="2200">
        <f>--SUBTOTAL(3,C$2:C953)</f>
        <v>40</v>
      </c>
    </row>
    <row r="954" spans="1:8" hidden="1" x14ac:dyDescent="0.15">
      <c r="A954" s="2200" t="s">
        <v>1902</v>
      </c>
      <c r="B954" s="2200" t="s">
        <v>3744</v>
      </c>
      <c r="C954" s="2200" t="s">
        <v>3745</v>
      </c>
      <c r="D954" s="2200" t="str">
        <f t="shared" si="56"/>
        <v>SC</v>
      </c>
      <c r="E954" s="2200">
        <f t="shared" si="57"/>
        <v>20</v>
      </c>
      <c r="F954" s="2200" t="str">
        <f t="shared" si="58"/>
        <v>45</v>
      </c>
      <c r="G954" s="2200" t="str">
        <f t="shared" si="59"/>
        <v>39600</v>
      </c>
      <c r="H954" s="2200">
        <f>--SUBTOTAL(3,C$2:C954)</f>
        <v>40</v>
      </c>
    </row>
    <row r="955" spans="1:8" hidden="1" x14ac:dyDescent="0.15">
      <c r="A955" s="2200" t="s">
        <v>1878</v>
      </c>
      <c r="B955" s="2200" t="s">
        <v>3746</v>
      </c>
      <c r="C955" s="2200" t="s">
        <v>3747</v>
      </c>
      <c r="D955" s="2200" t="str">
        <f t="shared" si="56"/>
        <v>SC</v>
      </c>
      <c r="E955" s="2200">
        <f t="shared" si="57"/>
        <v>39</v>
      </c>
      <c r="F955" s="2200" t="str">
        <f t="shared" si="58"/>
        <v>45</v>
      </c>
      <c r="G955" s="2200" t="str">
        <f t="shared" si="59"/>
        <v>34820</v>
      </c>
      <c r="H955" s="2200">
        <f>--SUBTOTAL(3,C$2:C955)</f>
        <v>40</v>
      </c>
    </row>
    <row r="956" spans="1:8" hidden="1" x14ac:dyDescent="0.15">
      <c r="A956" s="2200" t="s">
        <v>1884</v>
      </c>
      <c r="B956" s="2200" t="s">
        <v>3748</v>
      </c>
      <c r="C956" s="2200" t="s">
        <v>3749</v>
      </c>
      <c r="D956" s="2200" t="str">
        <f t="shared" si="56"/>
        <v>SC</v>
      </c>
      <c r="E956" s="2200">
        <f t="shared" si="57"/>
        <v>9</v>
      </c>
      <c r="F956" s="2200" t="str">
        <f t="shared" si="58"/>
        <v>45</v>
      </c>
      <c r="G956" s="2200" t="str">
        <f t="shared" si="59"/>
        <v>35140</v>
      </c>
      <c r="H956" s="2200">
        <f>--SUBTOTAL(3,C$2:C956)</f>
        <v>40</v>
      </c>
    </row>
    <row r="957" spans="1:8" hidden="1" x14ac:dyDescent="0.15">
      <c r="A957" s="2200" t="s">
        <v>1884</v>
      </c>
      <c r="B957" s="2200" t="s">
        <v>3750</v>
      </c>
      <c r="C957" s="2200" t="s">
        <v>3751</v>
      </c>
      <c r="D957" s="2200" t="str">
        <f t="shared" si="56"/>
        <v>SC</v>
      </c>
      <c r="E957" s="2200">
        <f t="shared" si="57"/>
        <v>11</v>
      </c>
      <c r="F957" s="2200" t="str">
        <f t="shared" si="58"/>
        <v>45</v>
      </c>
      <c r="G957" s="2200" t="str">
        <f t="shared" si="59"/>
        <v>36700</v>
      </c>
      <c r="H957" s="2200">
        <f>--SUBTOTAL(3,C$2:C957)</f>
        <v>40</v>
      </c>
    </row>
    <row r="958" spans="1:8" hidden="1" x14ac:dyDescent="0.15">
      <c r="A958" s="2200" t="s">
        <v>1884</v>
      </c>
      <c r="B958" s="2200" t="s">
        <v>3752</v>
      </c>
      <c r="C958" s="2200" t="s">
        <v>3753</v>
      </c>
      <c r="D958" s="2200" t="str">
        <f t="shared" si="56"/>
        <v>SC</v>
      </c>
      <c r="E958" s="2200">
        <f t="shared" si="57"/>
        <v>7</v>
      </c>
      <c r="F958" s="2200" t="str">
        <f t="shared" si="58"/>
        <v>45</v>
      </c>
      <c r="G958" s="2200" t="str">
        <f t="shared" si="59"/>
        <v>42860</v>
      </c>
      <c r="H958" s="2200">
        <f>--SUBTOTAL(3,C$2:C958)</f>
        <v>40</v>
      </c>
    </row>
    <row r="959" spans="1:8" hidden="1" x14ac:dyDescent="0.15">
      <c r="A959" s="2200" t="s">
        <v>1878</v>
      </c>
      <c r="B959" s="2200" t="s">
        <v>3754</v>
      </c>
      <c r="C959" s="2200" t="s">
        <v>3755</v>
      </c>
      <c r="D959" s="2200" t="str">
        <f t="shared" si="56"/>
        <v>SC</v>
      </c>
      <c r="E959" s="2200">
        <f t="shared" si="57"/>
        <v>12</v>
      </c>
      <c r="F959" s="2200" t="str">
        <f t="shared" si="58"/>
        <v>45</v>
      </c>
      <c r="G959" s="2200" t="str">
        <f t="shared" si="59"/>
        <v>43900</v>
      </c>
      <c r="H959" s="2200">
        <f>--SUBTOTAL(3,C$2:C959)</f>
        <v>40</v>
      </c>
    </row>
    <row r="960" spans="1:8" hidden="1" x14ac:dyDescent="0.15">
      <c r="A960" s="2200" t="s">
        <v>1878</v>
      </c>
      <c r="B960" s="2200" t="s">
        <v>3756</v>
      </c>
      <c r="C960" s="2200" t="s">
        <v>3757</v>
      </c>
      <c r="D960" s="2200" t="str">
        <f t="shared" si="56"/>
        <v>SC</v>
      </c>
      <c r="E960" s="2200">
        <f t="shared" si="57"/>
        <v>7</v>
      </c>
      <c r="F960" s="2200" t="str">
        <f t="shared" si="58"/>
        <v>45</v>
      </c>
      <c r="G960" s="2200" t="str">
        <f t="shared" si="59"/>
        <v>44940</v>
      </c>
      <c r="H960" s="2200">
        <f>--SUBTOTAL(3,C$2:C960)</f>
        <v>40</v>
      </c>
    </row>
    <row r="961" spans="1:8" hidden="1" x14ac:dyDescent="0.15">
      <c r="A961" s="2200" t="s">
        <v>1884</v>
      </c>
      <c r="B961" s="2200" t="s">
        <v>3758</v>
      </c>
      <c r="C961" s="2200" t="s">
        <v>3759</v>
      </c>
      <c r="D961" s="2200" t="str">
        <f t="shared" si="56"/>
        <v>SD</v>
      </c>
      <c r="E961" s="2200">
        <f t="shared" si="57"/>
        <v>9</v>
      </c>
      <c r="F961" s="2200" t="str">
        <f t="shared" si="58"/>
        <v>46</v>
      </c>
      <c r="G961" s="2200" t="str">
        <f t="shared" si="59"/>
        <v>10100</v>
      </c>
      <c r="H961" s="2200">
        <f>--SUBTOTAL(3,C$2:C961)</f>
        <v>40</v>
      </c>
    </row>
    <row r="962" spans="1:8" hidden="1" x14ac:dyDescent="0.15">
      <c r="A962" s="2200" t="s">
        <v>1884</v>
      </c>
      <c r="B962" s="2200" t="s">
        <v>3761</v>
      </c>
      <c r="C962" s="2200" t="s">
        <v>3762</v>
      </c>
      <c r="D962" s="2200" t="str">
        <f t="shared" si="56"/>
        <v>SD</v>
      </c>
      <c r="E962" s="2200">
        <f t="shared" si="57"/>
        <v>10</v>
      </c>
      <c r="F962" s="2200" t="str">
        <f t="shared" si="58"/>
        <v>46</v>
      </c>
      <c r="G962" s="2200" t="str">
        <f t="shared" si="59"/>
        <v>15100</v>
      </c>
      <c r="H962" s="2200">
        <f>--SUBTOTAL(3,C$2:C962)</f>
        <v>40</v>
      </c>
    </row>
    <row r="963" spans="1:8" hidden="1" x14ac:dyDescent="0.15">
      <c r="A963" s="2200" t="s">
        <v>1884</v>
      </c>
      <c r="B963" s="2200" t="s">
        <v>3763</v>
      </c>
      <c r="C963" s="2200" t="s">
        <v>3764</v>
      </c>
      <c r="D963" s="2200" t="str">
        <f t="shared" si="56"/>
        <v>SD</v>
      </c>
      <c r="E963" s="2200">
        <f t="shared" si="57"/>
        <v>6</v>
      </c>
      <c r="F963" s="2200" t="str">
        <f t="shared" si="58"/>
        <v>46</v>
      </c>
      <c r="G963" s="2200" t="str">
        <f t="shared" si="59"/>
        <v>26700</v>
      </c>
      <c r="H963" s="2200">
        <f>--SUBTOTAL(3,C$2:C963)</f>
        <v>40</v>
      </c>
    </row>
    <row r="964" spans="1:8" hidden="1" x14ac:dyDescent="0.15">
      <c r="A964" s="2200" t="s">
        <v>1884</v>
      </c>
      <c r="B964" s="2200" t="s">
        <v>3765</v>
      </c>
      <c r="C964" s="2200" t="s">
        <v>3766</v>
      </c>
      <c r="D964" s="2200" t="str">
        <f t="shared" si="56"/>
        <v>SD</v>
      </c>
      <c r="E964" s="2200">
        <f t="shared" si="57"/>
        <v>9</v>
      </c>
      <c r="F964" s="2200" t="str">
        <f t="shared" si="58"/>
        <v>46</v>
      </c>
      <c r="G964" s="2200" t="str">
        <f t="shared" si="59"/>
        <v>33580</v>
      </c>
      <c r="H964" s="2200">
        <f>--SUBTOTAL(3,C$2:C964)</f>
        <v>40</v>
      </c>
    </row>
    <row r="965" spans="1:8" hidden="1" x14ac:dyDescent="0.15">
      <c r="A965" s="2200" t="s">
        <v>1884</v>
      </c>
      <c r="B965" s="2200" t="s">
        <v>3767</v>
      </c>
      <c r="C965" s="2200" t="s">
        <v>3768</v>
      </c>
      <c r="D965" s="2200" t="str">
        <f t="shared" si="56"/>
        <v>SD</v>
      </c>
      <c r="E965" s="2200">
        <f t="shared" si="57"/>
        <v>7</v>
      </c>
      <c r="F965" s="2200" t="str">
        <f t="shared" si="58"/>
        <v>46</v>
      </c>
      <c r="G965" s="2200" t="str">
        <f t="shared" si="59"/>
        <v>38180</v>
      </c>
      <c r="H965" s="2200">
        <f>--SUBTOTAL(3,C$2:C965)</f>
        <v>40</v>
      </c>
    </row>
    <row r="966" spans="1:8" hidden="1" x14ac:dyDescent="0.15">
      <c r="A966" s="2200" t="s">
        <v>1878</v>
      </c>
      <c r="B966" s="2200" t="s">
        <v>3769</v>
      </c>
      <c r="C966" s="2200" t="s">
        <v>3770</v>
      </c>
      <c r="D966" s="2200" t="str">
        <f t="shared" si="56"/>
        <v>SD</v>
      </c>
      <c r="E966" s="2200">
        <f t="shared" si="57"/>
        <v>11</v>
      </c>
      <c r="F966" s="2200" t="str">
        <f t="shared" si="58"/>
        <v>46</v>
      </c>
      <c r="G966" s="2200" t="str">
        <f t="shared" si="59"/>
        <v>39660</v>
      </c>
      <c r="H966" s="2200">
        <f>--SUBTOTAL(3,C$2:C966)</f>
        <v>40</v>
      </c>
    </row>
    <row r="967" spans="1:8" hidden="1" x14ac:dyDescent="0.15">
      <c r="A967" s="2200" t="s">
        <v>1902</v>
      </c>
      <c r="B967" s="2200" t="s">
        <v>3771</v>
      </c>
      <c r="C967" s="2200" t="s">
        <v>3772</v>
      </c>
      <c r="D967" s="2200" t="str">
        <f t="shared" si="56"/>
        <v>SD</v>
      </c>
      <c r="E967" s="2200">
        <f t="shared" si="57"/>
        <v>21</v>
      </c>
      <c r="F967" s="2200" t="str">
        <f t="shared" si="58"/>
        <v>46</v>
      </c>
      <c r="G967" s="2200" t="str">
        <f t="shared" si="59"/>
        <v>45200</v>
      </c>
      <c r="H967" s="2200">
        <f>--SUBTOTAL(3,C$2:C967)</f>
        <v>40</v>
      </c>
    </row>
    <row r="968" spans="1:8" hidden="1" x14ac:dyDescent="0.15">
      <c r="A968" s="2200" t="s">
        <v>1878</v>
      </c>
      <c r="B968" s="2200" t="s">
        <v>2413</v>
      </c>
      <c r="C968" s="2200" t="s">
        <v>17859</v>
      </c>
      <c r="D968" s="2200" t="str">
        <f t="shared" si="56"/>
        <v>NE</v>
      </c>
      <c r="E968" s="2200">
        <f t="shared" si="57"/>
        <v>11</v>
      </c>
      <c r="F968" s="2200" t="str">
        <f t="shared" si="58"/>
        <v>19</v>
      </c>
      <c r="G968" s="2200" t="str">
        <f t="shared" si="59"/>
        <v>43580</v>
      </c>
      <c r="H968" s="2200">
        <f>--SUBTOTAL(3,C$2:C968)</f>
        <v>40</v>
      </c>
    </row>
    <row r="969" spans="1:8" hidden="1" x14ac:dyDescent="0.15">
      <c r="A969" s="2200" t="s">
        <v>1878</v>
      </c>
      <c r="B969" s="2200" t="s">
        <v>3773</v>
      </c>
      <c r="C969" s="2200" t="s">
        <v>3774</v>
      </c>
      <c r="D969" s="2200" t="str">
        <f t="shared" si="56"/>
        <v>SD</v>
      </c>
      <c r="E969" s="2200">
        <f t="shared" si="57"/>
        <v>12</v>
      </c>
      <c r="F969" s="2200" t="str">
        <f t="shared" si="58"/>
        <v>46</v>
      </c>
      <c r="G969" s="2200" t="str">
        <f t="shared" si="59"/>
        <v>43620</v>
      </c>
      <c r="H969" s="2200">
        <f>--SUBTOTAL(3,C$2:C969)</f>
        <v>40</v>
      </c>
    </row>
    <row r="970" spans="1:8" hidden="1" x14ac:dyDescent="0.15">
      <c r="A970" s="2200" t="s">
        <v>1884</v>
      </c>
      <c r="B970" s="2200" t="s">
        <v>3775</v>
      </c>
      <c r="C970" s="2200" t="s">
        <v>3776</v>
      </c>
      <c r="D970" s="2200" t="str">
        <f t="shared" si="56"/>
        <v>SD</v>
      </c>
      <c r="E970" s="2200">
        <f t="shared" si="57"/>
        <v>10</v>
      </c>
      <c r="F970" s="2200" t="str">
        <f t="shared" si="58"/>
        <v>46</v>
      </c>
      <c r="G970" s="2200" t="str">
        <f t="shared" si="59"/>
        <v>43940</v>
      </c>
      <c r="H970" s="2200">
        <f>--SUBTOTAL(3,C$2:C970)</f>
        <v>40</v>
      </c>
    </row>
    <row r="971" spans="1:8" hidden="1" x14ac:dyDescent="0.15">
      <c r="A971" s="2200" t="s">
        <v>1884</v>
      </c>
      <c r="B971" s="2200" t="s">
        <v>3777</v>
      </c>
      <c r="C971" s="2200" t="s">
        <v>3778</v>
      </c>
      <c r="D971" s="2200" t="str">
        <f t="shared" si="56"/>
        <v>SD</v>
      </c>
      <c r="E971" s="2200">
        <f t="shared" si="57"/>
        <v>11</v>
      </c>
      <c r="F971" s="2200" t="str">
        <f t="shared" si="58"/>
        <v>46</v>
      </c>
      <c r="G971" s="2200" t="str">
        <f t="shared" si="59"/>
        <v>46820</v>
      </c>
      <c r="H971" s="2200">
        <f>--SUBTOTAL(3,C$2:C971)</f>
        <v>40</v>
      </c>
    </row>
    <row r="972" spans="1:8" hidden="1" x14ac:dyDescent="0.15">
      <c r="A972" s="2200" t="s">
        <v>1884</v>
      </c>
      <c r="B972" s="2200" t="s">
        <v>3779</v>
      </c>
      <c r="C972" s="2200" t="s">
        <v>3780</v>
      </c>
      <c r="D972" s="2200" t="str">
        <f t="shared" si="56"/>
        <v>SD</v>
      </c>
      <c r="E972" s="2200">
        <f t="shared" si="57"/>
        <v>10</v>
      </c>
      <c r="F972" s="2200" t="str">
        <f t="shared" si="58"/>
        <v>46</v>
      </c>
      <c r="G972" s="2200" t="str">
        <f t="shared" si="59"/>
        <v>47980</v>
      </c>
      <c r="H972" s="2200">
        <f>--SUBTOTAL(3,C$2:C972)</f>
        <v>40</v>
      </c>
    </row>
    <row r="973" spans="1:8" hidden="1" x14ac:dyDescent="0.15">
      <c r="A973" s="2200" t="s">
        <v>1884</v>
      </c>
      <c r="B973" s="2200" t="s">
        <v>3781</v>
      </c>
      <c r="C973" s="2200" t="s">
        <v>3782</v>
      </c>
      <c r="D973" s="2200" t="str">
        <f t="shared" si="56"/>
        <v>SD</v>
      </c>
      <c r="E973" s="2200">
        <f t="shared" si="57"/>
        <v>8</v>
      </c>
      <c r="F973" s="2200" t="str">
        <f t="shared" si="58"/>
        <v>46</v>
      </c>
      <c r="G973" s="2200" t="str">
        <f t="shared" si="59"/>
        <v>49460</v>
      </c>
      <c r="H973" s="2200">
        <f>--SUBTOTAL(3,C$2:C973)</f>
        <v>40</v>
      </c>
    </row>
    <row r="974" spans="1:8" hidden="1" x14ac:dyDescent="0.15">
      <c r="A974" s="2200" t="s">
        <v>1884</v>
      </c>
      <c r="B974" s="2200" t="s">
        <v>3783</v>
      </c>
      <c r="C974" s="2200" t="s">
        <v>3784</v>
      </c>
      <c r="D974" s="2200" t="str">
        <f t="shared" si="56"/>
        <v>TN</v>
      </c>
      <c r="E974" s="2200">
        <f t="shared" si="57"/>
        <v>7</v>
      </c>
      <c r="F974" s="2200" t="str">
        <f t="shared" si="58"/>
        <v>47</v>
      </c>
      <c r="G974" s="2200" t="str">
        <f t="shared" si="59"/>
        <v>11940</v>
      </c>
      <c r="H974" s="2200">
        <f>--SUBTOTAL(3,C$2:C974)</f>
        <v>40</v>
      </c>
    </row>
    <row r="975" spans="1:8" hidden="1" x14ac:dyDescent="0.15">
      <c r="A975" s="2200" t="s">
        <v>1884</v>
      </c>
      <c r="B975" s="2200" t="s">
        <v>3786</v>
      </c>
      <c r="C975" s="2200" t="s">
        <v>3787</v>
      </c>
      <c r="D975" s="2200" t="str">
        <f t="shared" si="56"/>
        <v>TN</v>
      </c>
      <c r="E975" s="2200">
        <f t="shared" si="57"/>
        <v>12</v>
      </c>
      <c r="F975" s="2200" t="str">
        <f t="shared" si="58"/>
        <v>47</v>
      </c>
      <c r="G975" s="2200" t="str">
        <f t="shared" si="59"/>
        <v>15140</v>
      </c>
      <c r="H975" s="2200">
        <f>--SUBTOTAL(3,C$2:C975)</f>
        <v>40</v>
      </c>
    </row>
    <row r="976" spans="1:8" hidden="1" x14ac:dyDescent="0.15">
      <c r="A976" s="2200" t="s">
        <v>1878</v>
      </c>
      <c r="B976" s="2200" t="s">
        <v>3788</v>
      </c>
      <c r="C976" s="2200" t="s">
        <v>3789</v>
      </c>
      <c r="D976" s="2200" t="str">
        <f t="shared" si="56"/>
        <v>TN</v>
      </c>
      <c r="E976" s="2200">
        <f t="shared" si="57"/>
        <v>12</v>
      </c>
      <c r="F976" s="2200" t="str">
        <f t="shared" si="58"/>
        <v>47</v>
      </c>
      <c r="G976" s="2200" t="str">
        <f t="shared" si="59"/>
        <v>16860</v>
      </c>
      <c r="H976" s="2200">
        <f>--SUBTOTAL(3,C$2:C976)</f>
        <v>40</v>
      </c>
    </row>
    <row r="977" spans="1:8" hidden="1" x14ac:dyDescent="0.15">
      <c r="A977" s="2200" t="s">
        <v>1902</v>
      </c>
      <c r="B977" s="2200" t="s">
        <v>3790</v>
      </c>
      <c r="C977" s="2200" t="s">
        <v>3791</v>
      </c>
      <c r="D977" s="2200" t="str">
        <f t="shared" si="56"/>
        <v>TN</v>
      </c>
      <c r="E977" s="2200">
        <f t="shared" si="57"/>
        <v>29</v>
      </c>
      <c r="F977" s="2200" t="str">
        <f t="shared" si="58"/>
        <v>47</v>
      </c>
      <c r="G977" s="2200" t="str">
        <f t="shared" si="59"/>
        <v>17400</v>
      </c>
      <c r="H977" s="2200">
        <f>--SUBTOTAL(3,C$2:C977)</f>
        <v>40</v>
      </c>
    </row>
    <row r="978" spans="1:8" hidden="1" x14ac:dyDescent="0.15">
      <c r="A978" s="2200" t="s">
        <v>1878</v>
      </c>
      <c r="B978" s="2200" t="s">
        <v>3792</v>
      </c>
      <c r="C978" s="2200" t="s">
        <v>3793</v>
      </c>
      <c r="D978" s="2200" t="str">
        <f t="shared" si="56"/>
        <v>TN</v>
      </c>
      <c r="E978" s="2200">
        <f t="shared" si="57"/>
        <v>12</v>
      </c>
      <c r="F978" s="2200" t="str">
        <f t="shared" si="58"/>
        <v>47</v>
      </c>
      <c r="G978" s="2200" t="str">
        <f t="shared" si="59"/>
        <v>17300</v>
      </c>
      <c r="H978" s="2200">
        <f>--SUBTOTAL(3,C$2:C978)</f>
        <v>40</v>
      </c>
    </row>
    <row r="979" spans="1:8" hidden="1" x14ac:dyDescent="0.15">
      <c r="A979" s="2200" t="s">
        <v>1878</v>
      </c>
      <c r="B979" s="2200" t="s">
        <v>3794</v>
      </c>
      <c r="C979" s="2200" t="s">
        <v>3795</v>
      </c>
      <c r="D979" s="2200" t="str">
        <f t="shared" si="56"/>
        <v>TN</v>
      </c>
      <c r="E979" s="2200">
        <f t="shared" si="57"/>
        <v>10</v>
      </c>
      <c r="F979" s="2200" t="str">
        <f t="shared" si="58"/>
        <v>47</v>
      </c>
      <c r="G979" s="2200" t="str">
        <f t="shared" si="59"/>
        <v>17420</v>
      </c>
      <c r="H979" s="2200">
        <f>--SUBTOTAL(3,C$2:C979)</f>
        <v>40</v>
      </c>
    </row>
    <row r="980" spans="1:8" hidden="1" x14ac:dyDescent="0.15">
      <c r="A980" s="2200" t="s">
        <v>1884</v>
      </c>
      <c r="B980" s="2200" t="s">
        <v>3796</v>
      </c>
      <c r="C980" s="2200" t="s">
        <v>3797</v>
      </c>
      <c r="D980" s="2200" t="str">
        <f t="shared" si="56"/>
        <v>TN</v>
      </c>
      <c r="E980" s="2200">
        <f t="shared" si="57"/>
        <v>11</v>
      </c>
      <c r="F980" s="2200" t="str">
        <f t="shared" si="58"/>
        <v>47</v>
      </c>
      <c r="G980" s="2200" t="str">
        <f t="shared" si="59"/>
        <v>18260</v>
      </c>
      <c r="H980" s="2200">
        <f>--SUBTOTAL(3,C$2:C980)</f>
        <v>40</v>
      </c>
    </row>
    <row r="981" spans="1:8" hidden="1" x14ac:dyDescent="0.15">
      <c r="A981" s="2200" t="s">
        <v>1884</v>
      </c>
      <c r="B981" s="2200" t="s">
        <v>3798</v>
      </c>
      <c r="C981" s="2200" t="s">
        <v>3799</v>
      </c>
      <c r="D981" s="2200" t="str">
        <f t="shared" si="56"/>
        <v>TN</v>
      </c>
      <c r="E981" s="2200">
        <f t="shared" si="57"/>
        <v>11</v>
      </c>
      <c r="F981" s="2200" t="str">
        <f t="shared" si="58"/>
        <v>47</v>
      </c>
      <c r="G981" s="2200" t="str">
        <f t="shared" si="59"/>
        <v>18900</v>
      </c>
      <c r="H981" s="2200">
        <f>--SUBTOTAL(3,C$2:C981)</f>
        <v>40</v>
      </c>
    </row>
    <row r="982" spans="1:8" hidden="1" x14ac:dyDescent="0.15">
      <c r="A982" s="2200" t="s">
        <v>1884</v>
      </c>
      <c r="B982" s="2200" t="s">
        <v>3800</v>
      </c>
      <c r="C982" s="2200" t="s">
        <v>3801</v>
      </c>
      <c r="D982" s="2200" t="str">
        <f t="shared" si="56"/>
        <v>TN</v>
      </c>
      <c r="E982" s="2200">
        <f t="shared" si="57"/>
        <v>7</v>
      </c>
      <c r="F982" s="2200" t="str">
        <f t="shared" si="58"/>
        <v>47</v>
      </c>
      <c r="G982" s="2200" t="str">
        <f t="shared" si="59"/>
        <v>19420</v>
      </c>
      <c r="H982" s="2200">
        <f>--SUBTOTAL(3,C$2:C982)</f>
        <v>40</v>
      </c>
    </row>
    <row r="983" spans="1:8" hidden="1" x14ac:dyDescent="0.15">
      <c r="A983" s="2200" t="s">
        <v>1884</v>
      </c>
      <c r="B983" s="2200" t="s">
        <v>3802</v>
      </c>
      <c r="C983" s="2200" t="s">
        <v>3803</v>
      </c>
      <c r="D983" s="2200" t="str">
        <f t="shared" si="56"/>
        <v>TN</v>
      </c>
      <c r="E983" s="2200">
        <f t="shared" si="57"/>
        <v>10</v>
      </c>
      <c r="F983" s="2200" t="str">
        <f t="shared" si="58"/>
        <v>47</v>
      </c>
      <c r="G983" s="2200" t="str">
        <f t="shared" si="59"/>
        <v>20540</v>
      </c>
      <c r="H983" s="2200">
        <f>--SUBTOTAL(3,C$2:C983)</f>
        <v>40</v>
      </c>
    </row>
    <row r="984" spans="1:8" hidden="1" x14ac:dyDescent="0.15">
      <c r="A984" s="2200" t="s">
        <v>1884</v>
      </c>
      <c r="B984" s="2200" t="s">
        <v>3804</v>
      </c>
      <c r="C984" s="2200" t="s">
        <v>3805</v>
      </c>
      <c r="D984" s="2200" t="str">
        <f t="shared" si="56"/>
        <v>TN</v>
      </c>
      <c r="E984" s="2200">
        <f t="shared" si="57"/>
        <v>12</v>
      </c>
      <c r="F984" s="2200" t="str">
        <f t="shared" si="58"/>
        <v>47</v>
      </c>
      <c r="G984" s="2200" t="str">
        <f t="shared" si="59"/>
        <v>24620</v>
      </c>
      <c r="H984" s="2200">
        <f>--SUBTOTAL(3,C$2:C984)</f>
        <v>40</v>
      </c>
    </row>
    <row r="985" spans="1:8" hidden="1" x14ac:dyDescent="0.15">
      <c r="A985" s="2200" t="s">
        <v>1878</v>
      </c>
      <c r="B985" s="2200" t="s">
        <v>3806</v>
      </c>
      <c r="C985" s="2200" t="s">
        <v>3807</v>
      </c>
      <c r="D985" s="2200" t="str">
        <f t="shared" si="56"/>
        <v>TN</v>
      </c>
      <c r="E985" s="2200">
        <f t="shared" si="57"/>
        <v>8</v>
      </c>
      <c r="F985" s="2200" t="str">
        <f t="shared" si="58"/>
        <v>47</v>
      </c>
      <c r="G985" s="2200" t="str">
        <f t="shared" si="59"/>
        <v>27180</v>
      </c>
      <c r="H985" s="2200">
        <f>--SUBTOTAL(3,C$2:C985)</f>
        <v>40</v>
      </c>
    </row>
    <row r="986" spans="1:8" hidden="1" x14ac:dyDescent="0.15">
      <c r="A986" s="2200" t="s">
        <v>1902</v>
      </c>
      <c r="B986" s="2200" t="s">
        <v>3808</v>
      </c>
      <c r="C986" s="2200" t="s">
        <v>3809</v>
      </c>
      <c r="D986" s="2200" t="str">
        <f t="shared" si="56"/>
        <v>TN</v>
      </c>
      <c r="E986" s="2200">
        <f t="shared" si="57"/>
        <v>20</v>
      </c>
      <c r="F986" s="2200" t="str">
        <f t="shared" si="58"/>
        <v>47</v>
      </c>
      <c r="G986" s="2200" t="str">
        <f t="shared" si="59"/>
        <v>29700</v>
      </c>
      <c r="H986" s="2200">
        <f>--SUBTOTAL(3,C$2:C986)</f>
        <v>40</v>
      </c>
    </row>
    <row r="987" spans="1:8" hidden="1" x14ac:dyDescent="0.15">
      <c r="A987" s="2200" t="s">
        <v>1878</v>
      </c>
      <c r="B987" s="2200" t="s">
        <v>3810</v>
      </c>
      <c r="C987" s="2200" t="s">
        <v>3811</v>
      </c>
      <c r="D987" s="2200" t="str">
        <f t="shared" si="56"/>
        <v>TN</v>
      </c>
      <c r="E987" s="2200">
        <f t="shared" si="57"/>
        <v>13</v>
      </c>
      <c r="F987" s="2200" t="str">
        <f t="shared" si="58"/>
        <v>47</v>
      </c>
      <c r="G987" s="2200" t="str">
        <f t="shared" si="59"/>
        <v>27740</v>
      </c>
      <c r="H987" s="2200">
        <f>--SUBTOTAL(3,C$2:C987)</f>
        <v>40</v>
      </c>
    </row>
    <row r="988" spans="1:8" hidden="1" x14ac:dyDescent="0.15">
      <c r="A988" s="2200" t="s">
        <v>1902</v>
      </c>
      <c r="B988" s="2200" t="s">
        <v>3812</v>
      </c>
      <c r="C988" s="2200" t="s">
        <v>3813</v>
      </c>
      <c r="D988" s="2200" t="str">
        <f t="shared" si="56"/>
        <v>TN</v>
      </c>
      <c r="E988" s="2200">
        <f t="shared" si="57"/>
        <v>31</v>
      </c>
      <c r="F988" s="2200" t="str">
        <f t="shared" si="58"/>
        <v>47</v>
      </c>
      <c r="G988" s="2200" t="str">
        <f t="shared" si="59"/>
        <v>30400</v>
      </c>
      <c r="H988" s="2200">
        <f>--SUBTOTAL(3,C$2:C988)</f>
        <v>40</v>
      </c>
    </row>
    <row r="989" spans="1:8" hidden="1" x14ac:dyDescent="0.15">
      <c r="A989" s="2200" t="s">
        <v>1878</v>
      </c>
      <c r="B989" s="2200" t="s">
        <v>3814</v>
      </c>
      <c r="C989" s="2200" t="s">
        <v>3815</v>
      </c>
      <c r="D989" s="2200" t="str">
        <f t="shared" si="56"/>
        <v>TN</v>
      </c>
      <c r="E989" s="2200">
        <f t="shared" si="57"/>
        <v>26</v>
      </c>
      <c r="F989" s="2200" t="str">
        <f t="shared" si="58"/>
        <v>47</v>
      </c>
      <c r="G989" s="2200" t="str">
        <f t="shared" si="59"/>
        <v>28700</v>
      </c>
      <c r="H989" s="2200">
        <f>--SUBTOTAL(3,C$2:C989)</f>
        <v>40</v>
      </c>
    </row>
    <row r="990" spans="1:8" hidden="1" x14ac:dyDescent="0.15">
      <c r="A990" s="2200" t="s">
        <v>1878</v>
      </c>
      <c r="B990" s="2200" t="s">
        <v>3816</v>
      </c>
      <c r="C990" s="2200" t="s">
        <v>3817</v>
      </c>
      <c r="D990" s="2200" t="str">
        <f t="shared" si="56"/>
        <v>TN</v>
      </c>
      <c r="E990" s="2200">
        <f t="shared" si="57"/>
        <v>10</v>
      </c>
      <c r="F990" s="2200" t="str">
        <f t="shared" si="58"/>
        <v>47</v>
      </c>
      <c r="G990" s="2200" t="str">
        <f t="shared" si="59"/>
        <v>28940</v>
      </c>
      <c r="H990" s="2200">
        <f>--SUBTOTAL(3,C$2:C990)</f>
        <v>40</v>
      </c>
    </row>
    <row r="991" spans="1:8" hidden="1" x14ac:dyDescent="0.15">
      <c r="A991" s="2200" t="s">
        <v>1902</v>
      </c>
      <c r="B991" s="2200" t="s">
        <v>3818</v>
      </c>
      <c r="C991" s="2200" t="s">
        <v>3819</v>
      </c>
      <c r="D991" s="2200" t="str">
        <f t="shared" si="56"/>
        <v>TN</v>
      </c>
      <c r="E991" s="2200">
        <f t="shared" si="57"/>
        <v>33</v>
      </c>
      <c r="F991" s="2200" t="str">
        <f t="shared" si="58"/>
        <v>47</v>
      </c>
      <c r="G991" s="2200" t="str">
        <f t="shared" si="59"/>
        <v>31400</v>
      </c>
      <c r="H991" s="2200">
        <f>--SUBTOTAL(3,C$2:C991)</f>
        <v>40</v>
      </c>
    </row>
    <row r="992" spans="1:8" hidden="1" x14ac:dyDescent="0.15">
      <c r="A992" s="2200" t="s">
        <v>1884</v>
      </c>
      <c r="B992" s="2200" t="s">
        <v>3820</v>
      </c>
      <c r="C992" s="2200" t="s">
        <v>3821</v>
      </c>
      <c r="D992" s="2200" t="str">
        <f t="shared" si="56"/>
        <v>TN</v>
      </c>
      <c r="E992" s="2200">
        <f t="shared" si="57"/>
        <v>13</v>
      </c>
      <c r="F992" s="2200" t="str">
        <f t="shared" si="58"/>
        <v>47</v>
      </c>
      <c r="G992" s="2200" t="str">
        <f t="shared" si="59"/>
        <v>29980</v>
      </c>
      <c r="H992" s="2200">
        <f>--SUBTOTAL(3,C$2:C992)</f>
        <v>40</v>
      </c>
    </row>
    <row r="993" spans="1:8" hidden="1" x14ac:dyDescent="0.15">
      <c r="A993" s="2200" t="s">
        <v>1884</v>
      </c>
      <c r="B993" s="2200" t="s">
        <v>3822</v>
      </c>
      <c r="C993" s="2200" t="s">
        <v>3823</v>
      </c>
      <c r="D993" s="2200" t="str">
        <f t="shared" si="56"/>
        <v>TN</v>
      </c>
      <c r="E993" s="2200">
        <f t="shared" si="57"/>
        <v>10</v>
      </c>
      <c r="F993" s="2200" t="str">
        <f t="shared" si="58"/>
        <v>47</v>
      </c>
      <c r="G993" s="2200" t="str">
        <f t="shared" si="59"/>
        <v>30280</v>
      </c>
      <c r="H993" s="2200">
        <f>--SUBTOTAL(3,C$2:C993)</f>
        <v>40</v>
      </c>
    </row>
    <row r="994" spans="1:8" hidden="1" x14ac:dyDescent="0.15">
      <c r="A994" s="2200" t="s">
        <v>1884</v>
      </c>
      <c r="B994" s="2200" t="s">
        <v>3824</v>
      </c>
      <c r="C994" s="2200" t="s">
        <v>3825</v>
      </c>
      <c r="D994" s="2200" t="str">
        <f t="shared" si="56"/>
        <v>TN</v>
      </c>
      <c r="E994" s="2200">
        <f t="shared" si="57"/>
        <v>7</v>
      </c>
      <c r="F994" s="2200" t="str">
        <f t="shared" si="58"/>
        <v>47</v>
      </c>
      <c r="G994" s="2200" t="str">
        <f t="shared" si="59"/>
        <v>32280</v>
      </c>
      <c r="H994" s="2200">
        <f>--SUBTOTAL(3,C$2:C994)</f>
        <v>40</v>
      </c>
    </row>
    <row r="995" spans="1:8" hidden="1" x14ac:dyDescent="0.15">
      <c r="A995" s="2200" t="s">
        <v>1902</v>
      </c>
      <c r="B995" s="2200" t="s">
        <v>3826</v>
      </c>
      <c r="C995" s="2200" t="s">
        <v>3827</v>
      </c>
      <c r="D995" s="2200" t="str">
        <f t="shared" si="56"/>
        <v>TN</v>
      </c>
      <c r="E995" s="2200">
        <f t="shared" si="57"/>
        <v>18</v>
      </c>
      <c r="F995" s="2200" t="str">
        <f t="shared" si="58"/>
        <v>47</v>
      </c>
      <c r="G995" s="2200" t="str">
        <f t="shared" si="59"/>
        <v>36200</v>
      </c>
      <c r="H995" s="2200">
        <f>--SUBTOTAL(3,C$2:C995)</f>
        <v>40</v>
      </c>
    </row>
    <row r="996" spans="1:8" hidden="1" x14ac:dyDescent="0.15">
      <c r="A996" s="2200" t="s">
        <v>1884</v>
      </c>
      <c r="B996" s="2200" t="s">
        <v>3828</v>
      </c>
      <c r="C996" s="2200" t="s">
        <v>3829</v>
      </c>
      <c r="D996" s="2200" t="str">
        <f t="shared" si="56"/>
        <v>TN</v>
      </c>
      <c r="E996" s="2200">
        <f t="shared" si="57"/>
        <v>12</v>
      </c>
      <c r="F996" s="2200" t="str">
        <f t="shared" si="58"/>
        <v>47</v>
      </c>
      <c r="G996" s="2200" t="str">
        <f t="shared" si="59"/>
        <v>32660</v>
      </c>
      <c r="H996" s="2200">
        <f>--SUBTOTAL(3,C$2:C996)</f>
        <v>40</v>
      </c>
    </row>
    <row r="997" spans="1:8" hidden="1" x14ac:dyDescent="0.15">
      <c r="A997" s="2200" t="s">
        <v>1878</v>
      </c>
      <c r="B997" s="2200" t="s">
        <v>3830</v>
      </c>
      <c r="C997" s="2200" t="s">
        <v>3831</v>
      </c>
      <c r="D997" s="2200" t="str">
        <f t="shared" si="56"/>
        <v>TN</v>
      </c>
      <c r="E997" s="2200">
        <f t="shared" si="57"/>
        <v>8</v>
      </c>
      <c r="F997" s="2200" t="str">
        <f t="shared" si="58"/>
        <v>47</v>
      </c>
      <c r="G997" s="2200" t="str">
        <f t="shared" si="59"/>
        <v>32820</v>
      </c>
      <c r="H997" s="2200">
        <f>--SUBTOTAL(3,C$2:C997)</f>
        <v>40</v>
      </c>
    </row>
    <row r="998" spans="1:8" hidden="1" x14ac:dyDescent="0.15">
      <c r="A998" s="2200" t="s">
        <v>1902</v>
      </c>
      <c r="B998" s="2200" t="s">
        <v>3832</v>
      </c>
      <c r="C998" s="2200" t="s">
        <v>3833</v>
      </c>
      <c r="D998" s="2200" t="str">
        <f t="shared" si="56"/>
        <v>TN</v>
      </c>
      <c r="E998" s="2200">
        <f t="shared" si="57"/>
        <v>21</v>
      </c>
      <c r="F998" s="2200" t="str">
        <f t="shared" si="58"/>
        <v>47</v>
      </c>
      <c r="G998" s="2200" t="str">
        <f t="shared" si="59"/>
        <v>36800</v>
      </c>
      <c r="H998" s="2200">
        <f>--SUBTOTAL(3,C$2:C998)</f>
        <v>40</v>
      </c>
    </row>
    <row r="999" spans="1:8" hidden="1" x14ac:dyDescent="0.15">
      <c r="A999" s="2200" t="s">
        <v>1878</v>
      </c>
      <c r="B999" s="2200" t="s">
        <v>3834</v>
      </c>
      <c r="C999" s="2200" t="s">
        <v>3835</v>
      </c>
      <c r="D999" s="2200" t="str">
        <f t="shared" si="56"/>
        <v>TN</v>
      </c>
      <c r="E999" s="2200">
        <f t="shared" si="57"/>
        <v>11</v>
      </c>
      <c r="F999" s="2200" t="str">
        <f t="shared" si="58"/>
        <v>47</v>
      </c>
      <c r="G999" s="2200" t="str">
        <f t="shared" si="59"/>
        <v>34100</v>
      </c>
      <c r="H999" s="2200">
        <f>--SUBTOTAL(3,C$2:C999)</f>
        <v>40</v>
      </c>
    </row>
    <row r="1000" spans="1:8" hidden="1" x14ac:dyDescent="0.15">
      <c r="A1000" s="2200" t="s">
        <v>1902</v>
      </c>
      <c r="B1000" s="2200" t="s">
        <v>3836</v>
      </c>
      <c r="C1000" s="2200" t="s">
        <v>3837</v>
      </c>
      <c r="D1000" s="2200" t="str">
        <f t="shared" si="56"/>
        <v>TN</v>
      </c>
      <c r="E1000" s="2200">
        <f t="shared" si="57"/>
        <v>33</v>
      </c>
      <c r="F1000" s="2200" t="str">
        <f t="shared" si="58"/>
        <v>47</v>
      </c>
      <c r="G1000" s="2200" t="str">
        <f t="shared" si="59"/>
        <v>40000</v>
      </c>
      <c r="H1000" s="2200">
        <f>--SUBTOTAL(3,C$2:C1000)</f>
        <v>40</v>
      </c>
    </row>
    <row r="1001" spans="1:8" hidden="1" x14ac:dyDescent="0.15">
      <c r="A1001" s="2200" t="s">
        <v>1878</v>
      </c>
      <c r="B1001" s="2200" t="s">
        <v>3838</v>
      </c>
      <c r="C1001" s="2200" t="s">
        <v>3839</v>
      </c>
      <c r="D1001" s="2200" t="str">
        <f t="shared" si="56"/>
        <v>TN</v>
      </c>
      <c r="E1001" s="2200">
        <f t="shared" si="57"/>
        <v>43</v>
      </c>
      <c r="F1001" s="2200" t="str">
        <f t="shared" si="58"/>
        <v>47</v>
      </c>
      <c r="G1001" s="2200" t="str">
        <f t="shared" si="59"/>
        <v>34980</v>
      </c>
      <c r="H1001" s="2200">
        <f>--SUBTOTAL(3,C$2:C1001)</f>
        <v>40</v>
      </c>
    </row>
    <row r="1002" spans="1:8" hidden="1" x14ac:dyDescent="0.15">
      <c r="A1002" s="2200" t="s">
        <v>1884</v>
      </c>
      <c r="B1002" s="2200" t="s">
        <v>3840</v>
      </c>
      <c r="C1002" s="2200" t="s">
        <v>3841</v>
      </c>
      <c r="D1002" s="2200" t="str">
        <f t="shared" si="56"/>
        <v>TN</v>
      </c>
      <c r="E1002" s="2200">
        <f t="shared" si="57"/>
        <v>8</v>
      </c>
      <c r="F1002" s="2200" t="str">
        <f t="shared" si="58"/>
        <v>47</v>
      </c>
      <c r="G1002" s="2200" t="str">
        <f t="shared" si="59"/>
        <v>35460</v>
      </c>
      <c r="H1002" s="2200">
        <f>--SUBTOTAL(3,C$2:C1002)</f>
        <v>40</v>
      </c>
    </row>
    <row r="1003" spans="1:8" hidden="1" x14ac:dyDescent="0.15">
      <c r="A1003" s="2200" t="s">
        <v>1884</v>
      </c>
      <c r="B1003" s="2200" t="s">
        <v>3842</v>
      </c>
      <c r="C1003" s="2200" t="s">
        <v>3843</v>
      </c>
      <c r="D1003" s="2200" t="str">
        <f t="shared" si="56"/>
        <v>TN</v>
      </c>
      <c r="E1003" s="2200">
        <f t="shared" si="57"/>
        <v>6</v>
      </c>
      <c r="F1003" s="2200" t="str">
        <f t="shared" si="58"/>
        <v>47</v>
      </c>
      <c r="G1003" s="2200" t="str">
        <f t="shared" si="59"/>
        <v>37540</v>
      </c>
      <c r="H1003" s="2200">
        <f>--SUBTOTAL(3,C$2:C1003)</f>
        <v>40</v>
      </c>
    </row>
    <row r="1004" spans="1:8" hidden="1" x14ac:dyDescent="0.15">
      <c r="A1004" s="2200" t="s">
        <v>1884</v>
      </c>
      <c r="B1004" s="2200" t="s">
        <v>3844</v>
      </c>
      <c r="C1004" s="2200" t="s">
        <v>3845</v>
      </c>
      <c r="D1004" s="2200" t="str">
        <f t="shared" si="56"/>
        <v>TN</v>
      </c>
      <c r="E1004" s="2200">
        <f t="shared" si="57"/>
        <v>12</v>
      </c>
      <c r="F1004" s="2200" t="str">
        <f t="shared" si="58"/>
        <v>47</v>
      </c>
      <c r="G1004" s="2200" t="str">
        <f t="shared" si="59"/>
        <v>42940</v>
      </c>
      <c r="H1004" s="2200">
        <f>--SUBTOTAL(3,C$2:C1004)</f>
        <v>40</v>
      </c>
    </row>
    <row r="1005" spans="1:8" hidden="1" x14ac:dyDescent="0.15">
      <c r="A1005" s="2200" t="s">
        <v>1884</v>
      </c>
      <c r="B1005" s="2200" t="s">
        <v>3846</v>
      </c>
      <c r="C1005" s="2200" t="s">
        <v>3847</v>
      </c>
      <c r="D1005" s="2200" t="str">
        <f t="shared" ref="D1005:D1068" si="60">MID(C1005,E1005+2,2)</f>
        <v>TN</v>
      </c>
      <c r="E1005" s="2200">
        <f t="shared" ref="E1005:E1068" si="61">FIND(",",C1005)</f>
        <v>12</v>
      </c>
      <c r="F1005" s="2200" t="str">
        <f t="shared" ref="F1005:F1068" si="62">MID(B1005,3,2)</f>
        <v>47</v>
      </c>
      <c r="G1005" s="2200" t="str">
        <f t="shared" ref="G1005:G1068" si="63">MID(B1005,5,5)</f>
        <v>43180</v>
      </c>
      <c r="H1005" s="2200">
        <f>--SUBTOTAL(3,C$2:C1005)</f>
        <v>40</v>
      </c>
    </row>
    <row r="1006" spans="1:8" hidden="1" x14ac:dyDescent="0.15">
      <c r="A1006" s="2200" t="s">
        <v>1884</v>
      </c>
      <c r="B1006" s="2200" t="s">
        <v>3848</v>
      </c>
      <c r="C1006" s="2200" t="s">
        <v>3849</v>
      </c>
      <c r="D1006" s="2200" t="str">
        <f t="shared" si="60"/>
        <v>TN</v>
      </c>
      <c r="E1006" s="2200">
        <f t="shared" si="61"/>
        <v>21</v>
      </c>
      <c r="F1006" s="2200" t="str">
        <f t="shared" si="62"/>
        <v>47</v>
      </c>
      <c r="G1006" s="2200" t="str">
        <f t="shared" si="63"/>
        <v>46100</v>
      </c>
      <c r="H1006" s="2200">
        <f>--SUBTOTAL(3,C$2:C1006)</f>
        <v>40</v>
      </c>
    </row>
    <row r="1007" spans="1:8" hidden="1" x14ac:dyDescent="0.15">
      <c r="A1007" s="2200" t="s">
        <v>1884</v>
      </c>
      <c r="B1007" s="2200" t="s">
        <v>3850</v>
      </c>
      <c r="C1007" s="2200" t="s">
        <v>3851</v>
      </c>
      <c r="D1007" s="2200" t="str">
        <f t="shared" si="60"/>
        <v>TN</v>
      </c>
      <c r="E1007" s="2200">
        <f t="shared" si="61"/>
        <v>11</v>
      </c>
      <c r="F1007" s="2200" t="str">
        <f t="shared" si="62"/>
        <v>47</v>
      </c>
      <c r="G1007" s="2200" t="str">
        <f t="shared" si="63"/>
        <v>46460</v>
      </c>
      <c r="H1007" s="2200">
        <f>--SUBTOTAL(3,C$2:C1007)</f>
        <v>40</v>
      </c>
    </row>
    <row r="1008" spans="1:8" hidden="1" x14ac:dyDescent="0.15">
      <c r="A1008" s="2200" t="s">
        <v>1878</v>
      </c>
      <c r="B1008" s="2200" t="s">
        <v>3852</v>
      </c>
      <c r="C1008" s="2200" t="s">
        <v>3853</v>
      </c>
      <c r="D1008" s="2200" t="str">
        <f t="shared" si="60"/>
        <v>TX</v>
      </c>
      <c r="E1008" s="2200">
        <f t="shared" si="61"/>
        <v>8</v>
      </c>
      <c r="F1008" s="2200" t="str">
        <f t="shared" si="62"/>
        <v>48</v>
      </c>
      <c r="G1008" s="2200" t="str">
        <f t="shared" si="63"/>
        <v>10180</v>
      </c>
      <c r="H1008" s="2200">
        <f>--SUBTOTAL(3,C$2:C1008)</f>
        <v>40</v>
      </c>
    </row>
    <row r="1009" spans="1:8" hidden="1" x14ac:dyDescent="0.15">
      <c r="A1009" s="2200" t="s">
        <v>1884</v>
      </c>
      <c r="B1009" s="2200" t="s">
        <v>3855</v>
      </c>
      <c r="C1009" s="2200" t="s">
        <v>3856</v>
      </c>
      <c r="D1009" s="2200" t="str">
        <f t="shared" si="60"/>
        <v>TX</v>
      </c>
      <c r="E1009" s="2200">
        <f t="shared" si="61"/>
        <v>6</v>
      </c>
      <c r="F1009" s="2200" t="str">
        <f t="shared" si="62"/>
        <v>48</v>
      </c>
      <c r="G1009" s="2200" t="str">
        <f t="shared" si="63"/>
        <v>10860</v>
      </c>
      <c r="H1009" s="2200">
        <f>--SUBTOTAL(3,C$2:C1009)</f>
        <v>40</v>
      </c>
    </row>
    <row r="1010" spans="1:8" hidden="1" x14ac:dyDescent="0.15">
      <c r="A1010" s="2200" t="s">
        <v>1878</v>
      </c>
      <c r="B1010" s="2200" t="s">
        <v>3857</v>
      </c>
      <c r="C1010" s="2200" t="s">
        <v>3858</v>
      </c>
      <c r="D1010" s="2200" t="str">
        <f t="shared" si="60"/>
        <v>TX</v>
      </c>
      <c r="E1010" s="2200">
        <f t="shared" si="61"/>
        <v>9</v>
      </c>
      <c r="F1010" s="2200" t="str">
        <f t="shared" si="62"/>
        <v>48</v>
      </c>
      <c r="G1010" s="2200" t="str">
        <f t="shared" si="63"/>
        <v>11100</v>
      </c>
      <c r="H1010" s="2200">
        <f>--SUBTOTAL(3,C$2:C1010)</f>
        <v>40</v>
      </c>
    </row>
    <row r="1011" spans="1:8" hidden="1" x14ac:dyDescent="0.15">
      <c r="A1011" s="2200" t="s">
        <v>1902</v>
      </c>
      <c r="B1011" s="2200" t="s">
        <v>3859</v>
      </c>
      <c r="C1011" s="2200" t="s">
        <v>3860</v>
      </c>
      <c r="D1011" s="2200" t="str">
        <f t="shared" si="60"/>
        <v>TX</v>
      </c>
      <c r="E1011" s="2200">
        <f t="shared" si="61"/>
        <v>16</v>
      </c>
      <c r="F1011" s="2200" t="str">
        <f t="shared" si="62"/>
        <v>48</v>
      </c>
      <c r="G1011" s="2200" t="str">
        <f t="shared" si="63"/>
        <v>10800</v>
      </c>
      <c r="H1011" s="2200">
        <f>--SUBTOTAL(3,C$2:C1011)</f>
        <v>40</v>
      </c>
    </row>
    <row r="1012" spans="1:8" hidden="1" x14ac:dyDescent="0.15">
      <c r="A1012" s="2200" t="s">
        <v>1884</v>
      </c>
      <c r="B1012" s="2200" t="s">
        <v>3861</v>
      </c>
      <c r="C1012" s="2200" t="s">
        <v>3862</v>
      </c>
      <c r="D1012" s="2200" t="str">
        <f t="shared" si="60"/>
        <v>TX</v>
      </c>
      <c r="E1012" s="2200">
        <f t="shared" si="61"/>
        <v>8</v>
      </c>
      <c r="F1012" s="2200" t="str">
        <f t="shared" si="62"/>
        <v>48</v>
      </c>
      <c r="G1012" s="2200" t="str">
        <f t="shared" si="63"/>
        <v>11380</v>
      </c>
      <c r="H1012" s="2200">
        <f>--SUBTOTAL(3,C$2:C1012)</f>
        <v>40</v>
      </c>
    </row>
    <row r="1013" spans="1:8" hidden="1" x14ac:dyDescent="0.15">
      <c r="A1013" s="2200" t="s">
        <v>1884</v>
      </c>
      <c r="B1013" s="2200" t="s">
        <v>3863</v>
      </c>
      <c r="C1013" s="2200" t="s">
        <v>3864</v>
      </c>
      <c r="D1013" s="2200" t="str">
        <f t="shared" si="60"/>
        <v>TX</v>
      </c>
      <c r="E1013" s="2200">
        <f t="shared" si="61"/>
        <v>7</v>
      </c>
      <c r="F1013" s="2200" t="str">
        <f t="shared" si="62"/>
        <v>48</v>
      </c>
      <c r="G1013" s="2200" t="str">
        <f t="shared" si="63"/>
        <v>11980</v>
      </c>
      <c r="H1013" s="2200">
        <f>--SUBTOTAL(3,C$2:C1013)</f>
        <v>40</v>
      </c>
    </row>
    <row r="1014" spans="1:8" hidden="1" x14ac:dyDescent="0.15">
      <c r="A1014" s="2200" t="s">
        <v>1878</v>
      </c>
      <c r="B1014" s="2200" t="s">
        <v>3865</v>
      </c>
      <c r="C1014" s="2200" t="s">
        <v>3866</v>
      </c>
      <c r="D1014" s="2200" t="str">
        <f t="shared" si="60"/>
        <v>TX</v>
      </c>
      <c r="E1014" s="2200">
        <f t="shared" si="61"/>
        <v>18</v>
      </c>
      <c r="F1014" s="2200" t="str">
        <f t="shared" si="62"/>
        <v>48</v>
      </c>
      <c r="G1014" s="2200" t="str">
        <f t="shared" si="63"/>
        <v>12420</v>
      </c>
      <c r="H1014" s="2200">
        <f>--SUBTOTAL(3,C$2:C1014)</f>
        <v>40</v>
      </c>
    </row>
    <row r="1015" spans="1:8" hidden="1" x14ac:dyDescent="0.15">
      <c r="A1015" s="2200" t="s">
        <v>1884</v>
      </c>
      <c r="B1015" s="2200" t="s">
        <v>3867</v>
      </c>
      <c r="C1015" s="2200" t="s">
        <v>3868</v>
      </c>
      <c r="D1015" s="2200" t="str">
        <f t="shared" si="60"/>
        <v>TX</v>
      </c>
      <c r="E1015" s="2200">
        <f t="shared" si="61"/>
        <v>9</v>
      </c>
      <c r="F1015" s="2200" t="str">
        <f t="shared" si="62"/>
        <v>48</v>
      </c>
      <c r="G1015" s="2200" t="str">
        <f t="shared" si="63"/>
        <v>13060</v>
      </c>
      <c r="H1015" s="2200">
        <f>--SUBTOTAL(3,C$2:C1015)</f>
        <v>40</v>
      </c>
    </row>
    <row r="1016" spans="1:8" hidden="1" x14ac:dyDescent="0.15">
      <c r="A1016" s="2200" t="s">
        <v>1878</v>
      </c>
      <c r="B1016" s="2200" t="s">
        <v>3869</v>
      </c>
      <c r="C1016" s="2200" t="s">
        <v>3870</v>
      </c>
      <c r="D1016" s="2200" t="str">
        <f t="shared" si="60"/>
        <v>TX</v>
      </c>
      <c r="E1016" s="2200">
        <f t="shared" si="61"/>
        <v>21</v>
      </c>
      <c r="F1016" s="2200" t="str">
        <f t="shared" si="62"/>
        <v>48</v>
      </c>
      <c r="G1016" s="2200" t="str">
        <f t="shared" si="63"/>
        <v>13140</v>
      </c>
      <c r="H1016" s="2200">
        <f>--SUBTOTAL(3,C$2:C1016)</f>
        <v>40</v>
      </c>
    </row>
    <row r="1017" spans="1:8" hidden="1" x14ac:dyDescent="0.15">
      <c r="A1017" s="2200" t="s">
        <v>1884</v>
      </c>
      <c r="B1017" s="2200" t="s">
        <v>3871</v>
      </c>
      <c r="C1017" s="2200" t="s">
        <v>3872</v>
      </c>
      <c r="D1017" s="2200" t="str">
        <f t="shared" si="60"/>
        <v>TX</v>
      </c>
      <c r="E1017" s="2200">
        <f t="shared" si="61"/>
        <v>9</v>
      </c>
      <c r="F1017" s="2200" t="str">
        <f t="shared" si="62"/>
        <v>48</v>
      </c>
      <c r="G1017" s="2200" t="str">
        <f t="shared" si="63"/>
        <v>13300</v>
      </c>
      <c r="H1017" s="2200">
        <f>--SUBTOTAL(3,C$2:C1017)</f>
        <v>40</v>
      </c>
    </row>
    <row r="1018" spans="1:8" hidden="1" x14ac:dyDescent="0.15">
      <c r="A1018" s="2200" t="s">
        <v>1884</v>
      </c>
      <c r="B1018" s="2200" t="s">
        <v>3873</v>
      </c>
      <c r="C1018" s="2200" t="s">
        <v>3874</v>
      </c>
      <c r="D1018" s="2200" t="str">
        <f t="shared" si="60"/>
        <v>TX</v>
      </c>
      <c r="E1018" s="2200">
        <f t="shared" si="61"/>
        <v>11</v>
      </c>
      <c r="F1018" s="2200" t="str">
        <f t="shared" si="62"/>
        <v>48</v>
      </c>
      <c r="G1018" s="2200" t="str">
        <f t="shared" si="63"/>
        <v>13700</v>
      </c>
      <c r="H1018" s="2200">
        <f>--SUBTOTAL(3,C$2:C1018)</f>
        <v>40</v>
      </c>
    </row>
    <row r="1019" spans="1:8" hidden="1" x14ac:dyDescent="0.15">
      <c r="A1019" s="2200" t="s">
        <v>1884</v>
      </c>
      <c r="B1019" s="2200" t="s">
        <v>3875</v>
      </c>
      <c r="C1019" s="2200" t="s">
        <v>3876</v>
      </c>
      <c r="D1019" s="2200" t="str">
        <f t="shared" si="60"/>
        <v>TX</v>
      </c>
      <c r="E1019" s="2200">
        <f t="shared" si="61"/>
        <v>7</v>
      </c>
      <c r="F1019" s="2200" t="str">
        <f t="shared" si="62"/>
        <v>48</v>
      </c>
      <c r="G1019" s="2200" t="str">
        <f t="shared" si="63"/>
        <v>14300</v>
      </c>
      <c r="H1019" s="2200">
        <f>--SUBTOTAL(3,C$2:C1019)</f>
        <v>40</v>
      </c>
    </row>
    <row r="1020" spans="1:8" hidden="1" x14ac:dyDescent="0.15">
      <c r="A1020" s="2200" t="s">
        <v>1884</v>
      </c>
      <c r="B1020" s="2200" t="s">
        <v>3877</v>
      </c>
      <c r="C1020" s="2200" t="s">
        <v>3878</v>
      </c>
      <c r="D1020" s="2200" t="str">
        <f t="shared" si="60"/>
        <v>TX</v>
      </c>
      <c r="E1020" s="2200">
        <f t="shared" si="61"/>
        <v>7</v>
      </c>
      <c r="F1020" s="2200" t="str">
        <f t="shared" si="62"/>
        <v>48</v>
      </c>
      <c r="G1020" s="2200" t="str">
        <f t="shared" si="63"/>
        <v>14420</v>
      </c>
      <c r="H1020" s="2200">
        <f>--SUBTOTAL(3,C$2:C1020)</f>
        <v>40</v>
      </c>
    </row>
    <row r="1021" spans="1:8" hidden="1" x14ac:dyDescent="0.15">
      <c r="A1021" s="2200" t="s">
        <v>1884</v>
      </c>
      <c r="B1021" s="2200" t="s">
        <v>3879</v>
      </c>
      <c r="C1021" s="2200" t="s">
        <v>3880</v>
      </c>
      <c r="D1021" s="2200" t="str">
        <f t="shared" si="60"/>
        <v>TX</v>
      </c>
      <c r="E1021" s="2200">
        <f t="shared" si="61"/>
        <v>8</v>
      </c>
      <c r="F1021" s="2200" t="str">
        <f t="shared" si="62"/>
        <v>48</v>
      </c>
      <c r="G1021" s="2200" t="str">
        <f t="shared" si="63"/>
        <v>14780</v>
      </c>
      <c r="H1021" s="2200">
        <f>--SUBTOTAL(3,C$2:C1021)</f>
        <v>40</v>
      </c>
    </row>
    <row r="1022" spans="1:8" hidden="1" x14ac:dyDescent="0.15">
      <c r="A1022" s="2200" t="s">
        <v>1878</v>
      </c>
      <c r="B1022" s="2200" t="s">
        <v>3881</v>
      </c>
      <c r="C1022" s="2200" t="s">
        <v>3882</v>
      </c>
      <c r="D1022" s="2200" t="str">
        <f t="shared" si="60"/>
        <v>TX</v>
      </c>
      <c r="E1022" s="2200">
        <f t="shared" si="61"/>
        <v>22</v>
      </c>
      <c r="F1022" s="2200" t="str">
        <f t="shared" si="62"/>
        <v>48</v>
      </c>
      <c r="G1022" s="2200" t="str">
        <f t="shared" si="63"/>
        <v>15180</v>
      </c>
      <c r="H1022" s="2200">
        <f>--SUBTOTAL(3,C$2:C1022)</f>
        <v>40</v>
      </c>
    </row>
    <row r="1023" spans="1:8" hidden="1" x14ac:dyDescent="0.15">
      <c r="A1023" s="2200" t="s">
        <v>1902</v>
      </c>
      <c r="B1023" s="2200" t="s">
        <v>3883</v>
      </c>
      <c r="C1023" s="2200" t="s">
        <v>3884</v>
      </c>
      <c r="D1023" s="2200" t="str">
        <f t="shared" si="60"/>
        <v>TX</v>
      </c>
      <c r="E1023" s="2200">
        <f t="shared" si="61"/>
        <v>35</v>
      </c>
      <c r="F1023" s="2200" t="str">
        <f t="shared" si="62"/>
        <v>48</v>
      </c>
      <c r="G1023" s="2200" t="str">
        <f t="shared" si="63"/>
        <v>15400</v>
      </c>
      <c r="H1023" s="2200">
        <f>--SUBTOTAL(3,C$2:C1023)</f>
        <v>40</v>
      </c>
    </row>
    <row r="1024" spans="1:8" hidden="1" x14ac:dyDescent="0.15">
      <c r="A1024" s="2200" t="s">
        <v>1884</v>
      </c>
      <c r="B1024" s="2200" t="s">
        <v>3885</v>
      </c>
      <c r="C1024" s="2200" t="s">
        <v>3886</v>
      </c>
      <c r="D1024" s="2200" t="str">
        <f t="shared" si="60"/>
        <v>TX</v>
      </c>
      <c r="E1024" s="2200">
        <f t="shared" si="61"/>
        <v>10</v>
      </c>
      <c r="F1024" s="2200" t="str">
        <f t="shared" si="62"/>
        <v>48</v>
      </c>
      <c r="G1024" s="2200" t="str">
        <f t="shared" si="63"/>
        <v>15220</v>
      </c>
      <c r="H1024" s="2200">
        <f>--SUBTOTAL(3,C$2:C1024)</f>
        <v>40</v>
      </c>
    </row>
    <row r="1025" spans="1:8" hidden="1" x14ac:dyDescent="0.15">
      <c r="A1025" s="2200" t="s">
        <v>1878</v>
      </c>
      <c r="B1025" s="2200" t="s">
        <v>3887</v>
      </c>
      <c r="C1025" s="2200" t="s">
        <v>3888</v>
      </c>
      <c r="D1025" s="2200" t="str">
        <f t="shared" si="60"/>
        <v>TX</v>
      </c>
      <c r="E1025" s="2200">
        <f t="shared" si="61"/>
        <v>22</v>
      </c>
      <c r="F1025" s="2200" t="str">
        <f t="shared" si="62"/>
        <v>48</v>
      </c>
      <c r="G1025" s="2200" t="str">
        <f t="shared" si="63"/>
        <v>17780</v>
      </c>
      <c r="H1025" s="2200">
        <f>--SUBTOTAL(3,C$2:C1025)</f>
        <v>40</v>
      </c>
    </row>
    <row r="1026" spans="1:8" hidden="1" x14ac:dyDescent="0.15">
      <c r="A1026" s="2200" t="s">
        <v>1878</v>
      </c>
      <c r="B1026" s="2200" t="s">
        <v>3889</v>
      </c>
      <c r="C1026" s="2200" t="s">
        <v>3890</v>
      </c>
      <c r="D1026" s="2200" t="str">
        <f t="shared" si="60"/>
        <v>TX</v>
      </c>
      <c r="E1026" s="2200">
        <f t="shared" si="61"/>
        <v>15</v>
      </c>
      <c r="F1026" s="2200" t="str">
        <f t="shared" si="62"/>
        <v>48</v>
      </c>
      <c r="G1026" s="2200" t="str">
        <f t="shared" si="63"/>
        <v>18580</v>
      </c>
      <c r="H1026" s="2200">
        <f>--SUBTOTAL(3,C$2:C1026)</f>
        <v>40</v>
      </c>
    </row>
    <row r="1027" spans="1:8" hidden="1" x14ac:dyDescent="0.15">
      <c r="A1027" s="2200" t="s">
        <v>1902</v>
      </c>
      <c r="B1027" s="2200" t="s">
        <v>3891</v>
      </c>
      <c r="C1027" s="2200" t="s">
        <v>3892</v>
      </c>
      <c r="D1027" s="2200" t="str">
        <f t="shared" si="60"/>
        <v>TX</v>
      </c>
      <c r="E1027" s="2200">
        <f t="shared" si="61"/>
        <v>32</v>
      </c>
      <c r="F1027" s="2200" t="str">
        <f t="shared" si="62"/>
        <v>48</v>
      </c>
      <c r="G1027" s="2200" t="str">
        <f t="shared" si="63"/>
        <v>20400</v>
      </c>
      <c r="H1027" s="2200">
        <f>--SUBTOTAL(3,C$2:C1027)</f>
        <v>40</v>
      </c>
    </row>
    <row r="1028" spans="1:8" hidden="1" x14ac:dyDescent="0.15">
      <c r="A1028" s="2200" t="s">
        <v>1884</v>
      </c>
      <c r="B1028" s="2200" t="s">
        <v>3893</v>
      </c>
      <c r="C1028" s="2200" t="s">
        <v>3894</v>
      </c>
      <c r="D1028" s="2200" t="str">
        <f t="shared" si="60"/>
        <v>TX</v>
      </c>
      <c r="E1028" s="2200">
        <f t="shared" si="61"/>
        <v>10</v>
      </c>
      <c r="F1028" s="2200" t="str">
        <f t="shared" si="62"/>
        <v>48</v>
      </c>
      <c r="G1028" s="2200" t="str">
        <f t="shared" si="63"/>
        <v>18620</v>
      </c>
      <c r="H1028" s="2200">
        <f>--SUBTOTAL(3,C$2:C1028)</f>
        <v>40</v>
      </c>
    </row>
    <row r="1029" spans="1:8" hidden="1" x14ac:dyDescent="0.15">
      <c r="A1029" s="2200" t="s">
        <v>1902</v>
      </c>
      <c r="B1029" s="2200" t="s">
        <v>3895</v>
      </c>
      <c r="C1029" s="2200" t="s">
        <v>3896</v>
      </c>
      <c r="D1029" s="2200" t="str">
        <f t="shared" si="60"/>
        <v>TX</v>
      </c>
      <c r="E1029" s="2200">
        <f t="shared" si="61"/>
        <v>18</v>
      </c>
      <c r="F1029" s="2200" t="str">
        <f t="shared" si="62"/>
        <v>48</v>
      </c>
      <c r="G1029" s="2200" t="str">
        <f t="shared" si="63"/>
        <v>20600</v>
      </c>
      <c r="H1029" s="2200">
        <f>--SUBTOTAL(3,C$2:C1029)</f>
        <v>40</v>
      </c>
    </row>
    <row r="1030" spans="1:8" hidden="1" x14ac:dyDescent="0.15">
      <c r="A1030" s="2200" t="s">
        <v>1878</v>
      </c>
      <c r="B1030" s="2200" t="s">
        <v>3897</v>
      </c>
      <c r="C1030" s="2200" t="s">
        <v>3898</v>
      </c>
      <c r="D1030" s="2200" t="str">
        <f t="shared" si="60"/>
        <v>TX</v>
      </c>
      <c r="E1030" s="2200">
        <f t="shared" si="61"/>
        <v>28</v>
      </c>
      <c r="F1030" s="2200" t="str">
        <f t="shared" si="62"/>
        <v>48</v>
      </c>
      <c r="G1030" s="2200" t="str">
        <f t="shared" si="63"/>
        <v>19100</v>
      </c>
      <c r="H1030" s="2200">
        <f>--SUBTOTAL(3,C$2:C1030)</f>
        <v>40</v>
      </c>
    </row>
    <row r="1031" spans="1:8" hidden="1" x14ac:dyDescent="0.15">
      <c r="A1031" s="2200" t="s">
        <v>2023</v>
      </c>
      <c r="B1031" s="2200" t="s">
        <v>3899</v>
      </c>
      <c r="C1031" s="2200" t="s">
        <v>3900</v>
      </c>
      <c r="D1031" s="2200" t="str">
        <f t="shared" si="60"/>
        <v>TX</v>
      </c>
      <c r="E1031" s="2200">
        <f t="shared" si="61"/>
        <v>20</v>
      </c>
      <c r="F1031" s="2200" t="str">
        <f t="shared" si="62"/>
        <v>48</v>
      </c>
      <c r="G1031" s="2200" t="str">
        <f t="shared" si="63"/>
        <v>19124</v>
      </c>
      <c r="H1031" s="2200">
        <f>--SUBTOTAL(3,C$2:C1031)</f>
        <v>40</v>
      </c>
    </row>
    <row r="1032" spans="1:8" hidden="1" x14ac:dyDescent="0.15">
      <c r="A1032" s="2200" t="s">
        <v>1884</v>
      </c>
      <c r="B1032" s="2200" t="s">
        <v>3901</v>
      </c>
      <c r="C1032" s="2200" t="s">
        <v>3902</v>
      </c>
      <c r="D1032" s="2200" t="str">
        <f t="shared" si="60"/>
        <v>TX</v>
      </c>
      <c r="E1032" s="2200">
        <f t="shared" si="61"/>
        <v>8</v>
      </c>
      <c r="F1032" s="2200" t="str">
        <f t="shared" si="62"/>
        <v>48</v>
      </c>
      <c r="G1032" s="2200" t="str">
        <f t="shared" si="63"/>
        <v>19620</v>
      </c>
      <c r="H1032" s="2200">
        <f>--SUBTOTAL(3,C$2:C1032)</f>
        <v>40</v>
      </c>
    </row>
    <row r="1033" spans="1:8" hidden="1" x14ac:dyDescent="0.15">
      <c r="A1033" s="2200" t="s">
        <v>1884</v>
      </c>
      <c r="B1033" s="2200" t="s">
        <v>3903</v>
      </c>
      <c r="C1033" s="2200" t="s">
        <v>3904</v>
      </c>
      <c r="D1033" s="2200" t="str">
        <f t="shared" si="60"/>
        <v>TX</v>
      </c>
      <c r="E1033" s="2200">
        <f t="shared" si="61"/>
        <v>6</v>
      </c>
      <c r="F1033" s="2200" t="str">
        <f t="shared" si="62"/>
        <v>48</v>
      </c>
      <c r="G1033" s="2200" t="str">
        <f t="shared" si="63"/>
        <v>20300</v>
      </c>
      <c r="H1033" s="2200">
        <f>--SUBTOTAL(3,C$2:C1033)</f>
        <v>40</v>
      </c>
    </row>
    <row r="1034" spans="1:8" hidden="1" x14ac:dyDescent="0.15">
      <c r="A1034" s="2200" t="s">
        <v>1884</v>
      </c>
      <c r="B1034" s="2200" t="s">
        <v>3905</v>
      </c>
      <c r="C1034" s="2200" t="s">
        <v>3906</v>
      </c>
      <c r="D1034" s="2200" t="str">
        <f t="shared" si="60"/>
        <v>TX</v>
      </c>
      <c r="E1034" s="2200">
        <f t="shared" si="61"/>
        <v>11</v>
      </c>
      <c r="F1034" s="2200" t="str">
        <f t="shared" si="62"/>
        <v>48</v>
      </c>
      <c r="G1034" s="2200" t="str">
        <f t="shared" si="63"/>
        <v>20580</v>
      </c>
      <c r="H1034" s="2200">
        <f>--SUBTOTAL(3,C$2:C1034)</f>
        <v>40</v>
      </c>
    </row>
    <row r="1035" spans="1:8" hidden="1" x14ac:dyDescent="0.15">
      <c r="A1035" s="2200" t="s">
        <v>1884</v>
      </c>
      <c r="B1035" s="2200" t="s">
        <v>3907</v>
      </c>
      <c r="C1035" s="2200" t="s">
        <v>3908</v>
      </c>
      <c r="D1035" s="2200" t="str">
        <f t="shared" si="60"/>
        <v>TX</v>
      </c>
      <c r="E1035" s="2200">
        <f t="shared" si="61"/>
        <v>9</v>
      </c>
      <c r="F1035" s="2200" t="str">
        <f t="shared" si="62"/>
        <v>48</v>
      </c>
      <c r="G1035" s="2200" t="str">
        <f t="shared" si="63"/>
        <v>20900</v>
      </c>
      <c r="H1035" s="2200">
        <f>--SUBTOTAL(3,C$2:C1035)</f>
        <v>40</v>
      </c>
    </row>
    <row r="1036" spans="1:8" hidden="1" x14ac:dyDescent="0.15">
      <c r="A1036" s="2200" t="s">
        <v>1878</v>
      </c>
      <c r="B1036" s="2200" t="s">
        <v>3909</v>
      </c>
      <c r="C1036" s="2200" t="s">
        <v>3910</v>
      </c>
      <c r="D1036" s="2200" t="str">
        <f t="shared" si="60"/>
        <v>TX</v>
      </c>
      <c r="E1036" s="2200">
        <f t="shared" si="61"/>
        <v>8</v>
      </c>
      <c r="F1036" s="2200" t="str">
        <f t="shared" si="62"/>
        <v>48</v>
      </c>
      <c r="G1036" s="2200" t="str">
        <f t="shared" si="63"/>
        <v>21340</v>
      </c>
      <c r="H1036" s="2200">
        <f>--SUBTOTAL(3,C$2:C1036)</f>
        <v>40</v>
      </c>
    </row>
    <row r="1037" spans="1:8" hidden="1" x14ac:dyDescent="0.15">
      <c r="A1037" s="2200" t="s">
        <v>1902</v>
      </c>
      <c r="B1037" s="2200" t="s">
        <v>3911</v>
      </c>
      <c r="C1037" s="2200" t="s">
        <v>3912</v>
      </c>
      <c r="D1037" s="2200" t="str">
        <f t="shared" si="60"/>
        <v>TX</v>
      </c>
      <c r="E1037" s="2200">
        <f t="shared" si="61"/>
        <v>19</v>
      </c>
      <c r="F1037" s="2200" t="str">
        <f t="shared" si="62"/>
        <v>48</v>
      </c>
      <c r="G1037" s="2200" t="str">
        <f t="shared" si="63"/>
        <v>23800</v>
      </c>
      <c r="H1037" s="2200">
        <f>--SUBTOTAL(3,C$2:C1037)</f>
        <v>40</v>
      </c>
    </row>
    <row r="1038" spans="1:8" hidden="1" x14ac:dyDescent="0.15">
      <c r="A1038" s="2200" t="s">
        <v>2023</v>
      </c>
      <c r="B1038" s="2200" t="s">
        <v>3913</v>
      </c>
      <c r="C1038" s="2200" t="s">
        <v>3914</v>
      </c>
      <c r="D1038" s="2200" t="str">
        <f t="shared" si="60"/>
        <v>TX</v>
      </c>
      <c r="E1038" s="2200">
        <f t="shared" si="61"/>
        <v>21</v>
      </c>
      <c r="F1038" s="2200" t="str">
        <f t="shared" si="62"/>
        <v>48</v>
      </c>
      <c r="G1038" s="2200" t="str">
        <f t="shared" si="63"/>
        <v>23104</v>
      </c>
      <c r="H1038" s="2200">
        <f>--SUBTOTAL(3,C$2:C1038)</f>
        <v>40</v>
      </c>
    </row>
    <row r="1039" spans="1:8" hidden="1" x14ac:dyDescent="0.15">
      <c r="A1039" s="2200" t="s">
        <v>1884</v>
      </c>
      <c r="B1039" s="2200" t="s">
        <v>3915</v>
      </c>
      <c r="C1039" s="2200" t="s">
        <v>3916</v>
      </c>
      <c r="D1039" s="2200" t="str">
        <f t="shared" si="60"/>
        <v>TX</v>
      </c>
      <c r="E1039" s="2200">
        <f t="shared" si="61"/>
        <v>15</v>
      </c>
      <c r="F1039" s="2200" t="str">
        <f t="shared" si="62"/>
        <v>48</v>
      </c>
      <c r="G1039" s="2200" t="str">
        <f t="shared" si="63"/>
        <v>23240</v>
      </c>
      <c r="H1039" s="2200">
        <f>--SUBTOTAL(3,C$2:C1039)</f>
        <v>40</v>
      </c>
    </row>
    <row r="1040" spans="1:8" hidden="1" x14ac:dyDescent="0.15">
      <c r="A1040" s="2200" t="s">
        <v>1884</v>
      </c>
      <c r="B1040" s="2200" t="s">
        <v>3917</v>
      </c>
      <c r="C1040" s="2200" t="s">
        <v>3918</v>
      </c>
      <c r="D1040" s="2200" t="str">
        <f t="shared" si="60"/>
        <v>TX</v>
      </c>
      <c r="E1040" s="2200">
        <f t="shared" si="61"/>
        <v>12</v>
      </c>
      <c r="F1040" s="2200" t="str">
        <f t="shared" si="62"/>
        <v>48</v>
      </c>
      <c r="G1040" s="2200" t="str">
        <f t="shared" si="63"/>
        <v>23620</v>
      </c>
      <c r="H1040" s="2200">
        <f>--SUBTOTAL(3,C$2:C1040)</f>
        <v>40</v>
      </c>
    </row>
    <row r="1041" spans="1:8" hidden="1" x14ac:dyDescent="0.15">
      <c r="A1041" s="2200" t="s">
        <v>1884</v>
      </c>
      <c r="B1041" s="2200" t="s">
        <v>3919</v>
      </c>
      <c r="C1041" s="2200" t="s">
        <v>3920</v>
      </c>
      <c r="D1041" s="2200" t="str">
        <f t="shared" si="60"/>
        <v>TX</v>
      </c>
      <c r="E1041" s="2200">
        <f t="shared" si="61"/>
        <v>9</v>
      </c>
      <c r="F1041" s="2200" t="str">
        <f t="shared" si="62"/>
        <v>48</v>
      </c>
      <c r="G1041" s="2200" t="str">
        <f t="shared" si="63"/>
        <v>25820</v>
      </c>
      <c r="H1041" s="2200">
        <f>--SUBTOTAL(3,C$2:C1041)</f>
        <v>40</v>
      </c>
    </row>
    <row r="1042" spans="1:8" hidden="1" x14ac:dyDescent="0.15">
      <c r="A1042" s="2200" t="s">
        <v>1902</v>
      </c>
      <c r="B1042" s="2200" t="s">
        <v>3921</v>
      </c>
      <c r="C1042" s="2200" t="s">
        <v>3922</v>
      </c>
      <c r="D1042" s="2200" t="str">
        <f t="shared" si="60"/>
        <v>TX</v>
      </c>
      <c r="E1042" s="2200">
        <f t="shared" si="61"/>
        <v>22</v>
      </c>
      <c r="F1042" s="2200" t="str">
        <f t="shared" si="62"/>
        <v>48</v>
      </c>
      <c r="G1042" s="2200" t="str">
        <f t="shared" si="63"/>
        <v>28800</v>
      </c>
      <c r="H1042" s="2200">
        <f>--SUBTOTAL(3,C$2:C1042)</f>
        <v>40</v>
      </c>
    </row>
    <row r="1043" spans="1:8" hidden="1" x14ac:dyDescent="0.15">
      <c r="A1043" s="2200" t="s">
        <v>1878</v>
      </c>
      <c r="B1043" s="2200" t="s">
        <v>1867</v>
      </c>
      <c r="C1043" s="2200" t="s">
        <v>1862</v>
      </c>
      <c r="D1043" s="2200" t="str">
        <f t="shared" si="60"/>
        <v>TX</v>
      </c>
      <c r="E1043" s="2200">
        <f t="shared" si="61"/>
        <v>33</v>
      </c>
      <c r="F1043" s="2200" t="str">
        <f t="shared" si="62"/>
        <v>48</v>
      </c>
      <c r="G1043" s="2200" t="str">
        <f t="shared" si="63"/>
        <v>26420</v>
      </c>
      <c r="H1043" s="2200">
        <f>--SUBTOTAL(3,C$2:C1043)</f>
        <v>40</v>
      </c>
    </row>
    <row r="1044" spans="1:8" hidden="1" x14ac:dyDescent="0.15">
      <c r="A1044" s="2200" t="s">
        <v>1884</v>
      </c>
      <c r="B1044" s="2200" t="s">
        <v>3923</v>
      </c>
      <c r="C1044" s="2200" t="s">
        <v>3924</v>
      </c>
      <c r="D1044" s="2200" t="str">
        <f t="shared" si="60"/>
        <v>TX</v>
      </c>
      <c r="E1044" s="2200">
        <f t="shared" si="61"/>
        <v>11</v>
      </c>
      <c r="F1044" s="2200" t="str">
        <f t="shared" si="62"/>
        <v>48</v>
      </c>
      <c r="G1044" s="2200" t="str">
        <f t="shared" si="63"/>
        <v>26660</v>
      </c>
      <c r="H1044" s="2200">
        <f>--SUBTOTAL(3,C$2:C1044)</f>
        <v>40</v>
      </c>
    </row>
    <row r="1045" spans="1:8" hidden="1" x14ac:dyDescent="0.15">
      <c r="A1045" s="2200" t="s">
        <v>1884</v>
      </c>
      <c r="B1045" s="2200" t="s">
        <v>3925</v>
      </c>
      <c r="C1045" s="2200" t="s">
        <v>3926</v>
      </c>
      <c r="D1045" s="2200" t="str">
        <f t="shared" si="60"/>
        <v>TX</v>
      </c>
      <c r="E1045" s="2200">
        <f t="shared" si="61"/>
        <v>13</v>
      </c>
      <c r="F1045" s="2200" t="str">
        <f t="shared" si="62"/>
        <v>48</v>
      </c>
      <c r="G1045" s="2200" t="str">
        <f t="shared" si="63"/>
        <v>27380</v>
      </c>
      <c r="H1045" s="2200">
        <f>--SUBTOTAL(3,C$2:C1045)</f>
        <v>40</v>
      </c>
    </row>
    <row r="1046" spans="1:8" hidden="1" x14ac:dyDescent="0.15">
      <c r="A1046" s="2200" t="s">
        <v>1884</v>
      </c>
      <c r="B1046" s="2200" t="s">
        <v>3927</v>
      </c>
      <c r="C1046" s="2200" t="s">
        <v>3928</v>
      </c>
      <c r="D1046" s="2200" t="str">
        <f t="shared" si="60"/>
        <v>TX</v>
      </c>
      <c r="E1046" s="2200">
        <f t="shared" si="61"/>
        <v>10</v>
      </c>
      <c r="F1046" s="2200" t="str">
        <f t="shared" si="62"/>
        <v>48</v>
      </c>
      <c r="G1046" s="2200" t="str">
        <f t="shared" si="63"/>
        <v>28500</v>
      </c>
      <c r="H1046" s="2200">
        <f>--SUBTOTAL(3,C$2:C1046)</f>
        <v>40</v>
      </c>
    </row>
    <row r="1047" spans="1:8" hidden="1" x14ac:dyDescent="0.15">
      <c r="A1047" s="2200" t="s">
        <v>1878</v>
      </c>
      <c r="B1047" s="2200" t="s">
        <v>3929</v>
      </c>
      <c r="C1047" s="2200" t="s">
        <v>3930</v>
      </c>
      <c r="D1047" s="2200" t="str">
        <f t="shared" si="60"/>
        <v>TX</v>
      </c>
      <c r="E1047" s="2200">
        <f t="shared" si="61"/>
        <v>15</v>
      </c>
      <c r="F1047" s="2200" t="str">
        <f t="shared" si="62"/>
        <v>48</v>
      </c>
      <c r="G1047" s="2200" t="str">
        <f t="shared" si="63"/>
        <v>28660</v>
      </c>
      <c r="H1047" s="2200">
        <f>--SUBTOTAL(3,C$2:C1047)</f>
        <v>40</v>
      </c>
    </row>
    <row r="1048" spans="1:8" hidden="1" x14ac:dyDescent="0.15">
      <c r="A1048" s="2200" t="s">
        <v>1884</v>
      </c>
      <c r="B1048" s="2200" t="s">
        <v>3931</v>
      </c>
      <c r="C1048" s="2200" t="s">
        <v>3932</v>
      </c>
      <c r="D1048" s="2200" t="str">
        <f t="shared" si="60"/>
        <v>TX</v>
      </c>
      <c r="E1048" s="2200">
        <f t="shared" si="61"/>
        <v>11</v>
      </c>
      <c r="F1048" s="2200" t="str">
        <f t="shared" si="62"/>
        <v>48</v>
      </c>
      <c r="G1048" s="2200" t="str">
        <f t="shared" si="63"/>
        <v>28780</v>
      </c>
      <c r="H1048" s="2200">
        <f>--SUBTOTAL(3,C$2:C1048)</f>
        <v>40</v>
      </c>
    </row>
    <row r="1049" spans="1:8" hidden="1" x14ac:dyDescent="0.15">
      <c r="A1049" s="2200" t="s">
        <v>1884</v>
      </c>
      <c r="B1049" s="2200" t="s">
        <v>3933</v>
      </c>
      <c r="C1049" s="2200" t="s">
        <v>3934</v>
      </c>
      <c r="D1049" s="2200" t="str">
        <f t="shared" si="60"/>
        <v>TX</v>
      </c>
      <c r="E1049" s="2200">
        <f t="shared" si="61"/>
        <v>7</v>
      </c>
      <c r="F1049" s="2200" t="str">
        <f t="shared" si="62"/>
        <v>48</v>
      </c>
      <c r="G1049" s="2200" t="str">
        <f t="shared" si="63"/>
        <v>29500</v>
      </c>
      <c r="H1049" s="2200">
        <f>--SUBTOTAL(3,C$2:C1049)</f>
        <v>40</v>
      </c>
    </row>
    <row r="1050" spans="1:8" hidden="1" x14ac:dyDescent="0.15">
      <c r="A1050" s="2200" t="s">
        <v>1878</v>
      </c>
      <c r="B1050" s="2200" t="s">
        <v>3935</v>
      </c>
      <c r="C1050" s="2200" t="s">
        <v>3936</v>
      </c>
      <c r="D1050" s="2200" t="str">
        <f t="shared" si="60"/>
        <v>TX</v>
      </c>
      <c r="E1050" s="2200">
        <f t="shared" si="61"/>
        <v>7</v>
      </c>
      <c r="F1050" s="2200" t="str">
        <f t="shared" si="62"/>
        <v>48</v>
      </c>
      <c r="G1050" s="2200" t="str">
        <f t="shared" si="63"/>
        <v>29700</v>
      </c>
      <c r="H1050" s="2200">
        <f>--SUBTOTAL(3,C$2:C1050)</f>
        <v>40</v>
      </c>
    </row>
    <row r="1051" spans="1:8" hidden="1" x14ac:dyDescent="0.15">
      <c r="A1051" s="2200" t="s">
        <v>1884</v>
      </c>
      <c r="B1051" s="2200" t="s">
        <v>3937</v>
      </c>
      <c r="C1051" s="2200" t="s">
        <v>3938</v>
      </c>
      <c r="D1051" s="2200" t="str">
        <f t="shared" si="60"/>
        <v>TX</v>
      </c>
      <c r="E1051" s="2200">
        <f t="shared" si="61"/>
        <v>10</v>
      </c>
      <c r="F1051" s="2200" t="str">
        <f t="shared" si="62"/>
        <v>48</v>
      </c>
      <c r="G1051" s="2200" t="str">
        <f t="shared" si="63"/>
        <v>30220</v>
      </c>
      <c r="H1051" s="2200">
        <f>--SUBTOTAL(3,C$2:C1051)</f>
        <v>40</v>
      </c>
    </row>
    <row r="1052" spans="1:8" hidden="1" x14ac:dyDescent="0.15">
      <c r="A1052" s="2200" t="s">
        <v>1878</v>
      </c>
      <c r="B1052" s="2200" t="s">
        <v>3939</v>
      </c>
      <c r="C1052" s="2200" t="s">
        <v>3940</v>
      </c>
      <c r="D1052" s="2200" t="str">
        <f t="shared" si="60"/>
        <v>TX</v>
      </c>
      <c r="E1052" s="2200">
        <f t="shared" si="61"/>
        <v>9</v>
      </c>
      <c r="F1052" s="2200" t="str">
        <f t="shared" si="62"/>
        <v>48</v>
      </c>
      <c r="G1052" s="2200" t="str">
        <f t="shared" si="63"/>
        <v>30980</v>
      </c>
      <c r="H1052" s="2200">
        <f>--SUBTOTAL(3,C$2:C1052)</f>
        <v>40</v>
      </c>
    </row>
    <row r="1053" spans="1:8" hidden="1" x14ac:dyDescent="0.15">
      <c r="A1053" s="2200" t="s">
        <v>1902</v>
      </c>
      <c r="B1053" s="2200" t="s">
        <v>3941</v>
      </c>
      <c r="C1053" s="2200" t="s">
        <v>3942</v>
      </c>
      <c r="D1053" s="2200" t="str">
        <f t="shared" si="60"/>
        <v>TX</v>
      </c>
      <c r="E1053" s="2200">
        <f t="shared" si="61"/>
        <v>18</v>
      </c>
      <c r="F1053" s="2200" t="str">
        <f t="shared" si="62"/>
        <v>48</v>
      </c>
      <c r="G1053" s="2200" t="str">
        <f t="shared" si="63"/>
        <v>34600</v>
      </c>
      <c r="H1053" s="2200">
        <f>--SUBTOTAL(3,C$2:C1053)</f>
        <v>40</v>
      </c>
    </row>
    <row r="1054" spans="1:8" hidden="1" x14ac:dyDescent="0.15">
      <c r="A1054" s="2200" t="s">
        <v>1878</v>
      </c>
      <c r="B1054" s="2200" t="s">
        <v>3943</v>
      </c>
      <c r="C1054" s="2200" t="s">
        <v>3944</v>
      </c>
      <c r="D1054" s="2200" t="str">
        <f t="shared" si="60"/>
        <v>TX</v>
      </c>
      <c r="E1054" s="2200">
        <f t="shared" si="61"/>
        <v>8</v>
      </c>
      <c r="F1054" s="2200" t="str">
        <f t="shared" si="62"/>
        <v>48</v>
      </c>
      <c r="G1054" s="2200" t="str">
        <f t="shared" si="63"/>
        <v>31180</v>
      </c>
      <c r="H1054" s="2200">
        <f>--SUBTOTAL(3,C$2:C1054)</f>
        <v>40</v>
      </c>
    </row>
    <row r="1055" spans="1:8" hidden="1" x14ac:dyDescent="0.15">
      <c r="A1055" s="2200" t="s">
        <v>1902</v>
      </c>
      <c r="B1055" s="2200" t="s">
        <v>3945</v>
      </c>
      <c r="C1055" s="2200" t="s">
        <v>3946</v>
      </c>
      <c r="D1055" s="2200" t="str">
        <f t="shared" si="60"/>
        <v>TX</v>
      </c>
      <c r="E1055" s="2200">
        <f t="shared" si="61"/>
        <v>18</v>
      </c>
      <c r="F1055" s="2200" t="str">
        <f t="shared" si="62"/>
        <v>48</v>
      </c>
      <c r="G1055" s="2200" t="str">
        <f t="shared" si="63"/>
        <v>35200</v>
      </c>
      <c r="H1055" s="2200">
        <f>--SUBTOTAL(3,C$2:C1055)</f>
        <v>40</v>
      </c>
    </row>
    <row r="1056" spans="1:8" hidden="1" x14ac:dyDescent="0.15">
      <c r="A1056" s="2200" t="s">
        <v>1884</v>
      </c>
      <c r="B1056" s="2200" t="s">
        <v>3947</v>
      </c>
      <c r="C1056" s="2200" t="s">
        <v>3948</v>
      </c>
      <c r="D1056" s="2200" t="str">
        <f t="shared" si="60"/>
        <v>TX</v>
      </c>
      <c r="E1056" s="2200">
        <f t="shared" si="61"/>
        <v>7</v>
      </c>
      <c r="F1056" s="2200" t="str">
        <f t="shared" si="62"/>
        <v>48</v>
      </c>
      <c r="G1056" s="2200" t="str">
        <f t="shared" si="63"/>
        <v>31260</v>
      </c>
      <c r="H1056" s="2200">
        <f>--SUBTOTAL(3,C$2:C1056)</f>
        <v>40</v>
      </c>
    </row>
    <row r="1057" spans="1:8" hidden="1" x14ac:dyDescent="0.15">
      <c r="A1057" s="2200" t="s">
        <v>1884</v>
      </c>
      <c r="B1057" s="2200" t="s">
        <v>3949</v>
      </c>
      <c r="C1057" s="2200" t="s">
        <v>3950</v>
      </c>
      <c r="D1057" s="2200" t="str">
        <f t="shared" si="60"/>
        <v>TX</v>
      </c>
      <c r="E1057" s="2200">
        <f t="shared" si="61"/>
        <v>9</v>
      </c>
      <c r="F1057" s="2200" t="str">
        <f t="shared" si="62"/>
        <v>48</v>
      </c>
      <c r="G1057" s="2200" t="str">
        <f t="shared" si="63"/>
        <v>32220</v>
      </c>
      <c r="H1057" s="2200">
        <f>--SUBTOTAL(3,C$2:C1057)</f>
        <v>40</v>
      </c>
    </row>
    <row r="1058" spans="1:8" hidden="1" x14ac:dyDescent="0.15">
      <c r="A1058" s="2200" t="s">
        <v>1902</v>
      </c>
      <c r="B1058" s="2200" t="s">
        <v>3951</v>
      </c>
      <c r="C1058" s="2200" t="s">
        <v>3952</v>
      </c>
      <c r="D1058" s="2200" t="str">
        <f t="shared" si="60"/>
        <v>TX</v>
      </c>
      <c r="E1058" s="2200">
        <f t="shared" si="61"/>
        <v>17</v>
      </c>
      <c r="F1058" s="2200" t="str">
        <f t="shared" si="62"/>
        <v>48</v>
      </c>
      <c r="G1058" s="2200" t="str">
        <f t="shared" si="63"/>
        <v>36500</v>
      </c>
      <c r="H1058" s="2200">
        <f>--SUBTOTAL(3,C$2:C1058)</f>
        <v>40</v>
      </c>
    </row>
    <row r="1059" spans="1:8" hidden="1" x14ac:dyDescent="0.15">
      <c r="A1059" s="2200" t="s">
        <v>1878</v>
      </c>
      <c r="B1059" s="2200" t="s">
        <v>3953</v>
      </c>
      <c r="C1059" s="2200" t="s">
        <v>3954</v>
      </c>
      <c r="D1059" s="2200" t="str">
        <f t="shared" si="60"/>
        <v>TX</v>
      </c>
      <c r="E1059" s="2200">
        <f t="shared" si="61"/>
        <v>25</v>
      </c>
      <c r="F1059" s="2200" t="str">
        <f t="shared" si="62"/>
        <v>48</v>
      </c>
      <c r="G1059" s="2200" t="str">
        <f t="shared" si="63"/>
        <v>32580</v>
      </c>
      <c r="H1059" s="2200">
        <f>--SUBTOTAL(3,C$2:C1059)</f>
        <v>40</v>
      </c>
    </row>
    <row r="1060" spans="1:8" hidden="1" x14ac:dyDescent="0.15">
      <c r="A1060" s="2200" t="s">
        <v>1878</v>
      </c>
      <c r="B1060" s="2200" t="s">
        <v>3955</v>
      </c>
      <c r="C1060" s="2200" t="s">
        <v>3956</v>
      </c>
      <c r="D1060" s="2200" t="str">
        <f t="shared" si="60"/>
        <v>TX</v>
      </c>
      <c r="E1060" s="2200">
        <f t="shared" si="61"/>
        <v>8</v>
      </c>
      <c r="F1060" s="2200" t="str">
        <f t="shared" si="62"/>
        <v>48</v>
      </c>
      <c r="G1060" s="2200" t="str">
        <f t="shared" si="63"/>
        <v>33260</v>
      </c>
      <c r="H1060" s="2200">
        <f>--SUBTOTAL(3,C$2:C1060)</f>
        <v>40</v>
      </c>
    </row>
    <row r="1061" spans="1:8" hidden="1" x14ac:dyDescent="0.15">
      <c r="A1061" s="2200" t="s">
        <v>1902</v>
      </c>
      <c r="B1061" s="2200" t="s">
        <v>3957</v>
      </c>
      <c r="C1061" s="2200" t="s">
        <v>3958</v>
      </c>
      <c r="D1061" s="2200" t="str">
        <f t="shared" si="60"/>
        <v>TX</v>
      </c>
      <c r="E1061" s="2200">
        <f t="shared" si="61"/>
        <v>15</v>
      </c>
      <c r="F1061" s="2200" t="str">
        <f t="shared" si="62"/>
        <v>48</v>
      </c>
      <c r="G1061" s="2200" t="str">
        <f t="shared" si="63"/>
        <v>37200</v>
      </c>
      <c r="H1061" s="2200">
        <f>--SUBTOTAL(3,C$2:C1061)</f>
        <v>40</v>
      </c>
    </row>
    <row r="1062" spans="1:8" hidden="1" x14ac:dyDescent="0.15">
      <c r="A1062" s="2200" t="s">
        <v>1884</v>
      </c>
      <c r="B1062" s="2200" t="s">
        <v>3959</v>
      </c>
      <c r="C1062" s="2200" t="s">
        <v>3960</v>
      </c>
      <c r="D1062" s="2200" t="str">
        <f t="shared" si="60"/>
        <v>TX</v>
      </c>
      <c r="E1062" s="2200">
        <f t="shared" si="61"/>
        <v>14</v>
      </c>
      <c r="F1062" s="2200" t="str">
        <f t="shared" si="62"/>
        <v>48</v>
      </c>
      <c r="G1062" s="2200" t="str">
        <f t="shared" si="63"/>
        <v>33420</v>
      </c>
      <c r="H1062" s="2200">
        <f>--SUBTOTAL(3,C$2:C1062)</f>
        <v>40</v>
      </c>
    </row>
    <row r="1063" spans="1:8" hidden="1" x14ac:dyDescent="0.15">
      <c r="A1063" s="2200" t="s">
        <v>1884</v>
      </c>
      <c r="B1063" s="2200" t="s">
        <v>3961</v>
      </c>
      <c r="C1063" s="2200" t="s">
        <v>3962</v>
      </c>
      <c r="D1063" s="2200" t="str">
        <f t="shared" si="60"/>
        <v>TX</v>
      </c>
      <c r="E1063" s="2200">
        <f t="shared" si="61"/>
        <v>15</v>
      </c>
      <c r="F1063" s="2200" t="str">
        <f t="shared" si="62"/>
        <v>48</v>
      </c>
      <c r="G1063" s="2200" t="str">
        <f t="shared" si="63"/>
        <v>34420</v>
      </c>
      <c r="H1063" s="2200">
        <f>--SUBTOTAL(3,C$2:C1063)</f>
        <v>40</v>
      </c>
    </row>
    <row r="1064" spans="1:8" hidden="1" x14ac:dyDescent="0.15">
      <c r="A1064" s="2200" t="s">
        <v>1884</v>
      </c>
      <c r="B1064" s="2200" t="s">
        <v>3963</v>
      </c>
      <c r="C1064" s="2200" t="s">
        <v>3964</v>
      </c>
      <c r="D1064" s="2200" t="str">
        <f t="shared" si="60"/>
        <v>TX</v>
      </c>
      <c r="E1064" s="2200">
        <f t="shared" si="61"/>
        <v>12</v>
      </c>
      <c r="F1064" s="2200" t="str">
        <f t="shared" si="62"/>
        <v>48</v>
      </c>
      <c r="G1064" s="2200" t="str">
        <f t="shared" si="63"/>
        <v>34860</v>
      </c>
      <c r="H1064" s="2200">
        <f>--SUBTOTAL(3,C$2:C1064)</f>
        <v>40</v>
      </c>
    </row>
    <row r="1065" spans="1:8" hidden="1" x14ac:dyDescent="0.15">
      <c r="A1065" s="2200" t="s">
        <v>1878</v>
      </c>
      <c r="B1065" s="2200" t="s">
        <v>3965</v>
      </c>
      <c r="C1065" s="2200" t="s">
        <v>3966</v>
      </c>
      <c r="D1065" s="2200" t="str">
        <f t="shared" si="60"/>
        <v>TX</v>
      </c>
      <c r="E1065" s="2200">
        <f t="shared" si="61"/>
        <v>7</v>
      </c>
      <c r="F1065" s="2200" t="str">
        <f t="shared" si="62"/>
        <v>48</v>
      </c>
      <c r="G1065" s="2200" t="str">
        <f t="shared" si="63"/>
        <v>36220</v>
      </c>
      <c r="H1065" s="2200">
        <f>--SUBTOTAL(3,C$2:C1065)</f>
        <v>40</v>
      </c>
    </row>
    <row r="1066" spans="1:8" hidden="1" x14ac:dyDescent="0.15">
      <c r="A1066" s="2200" t="s">
        <v>1884</v>
      </c>
      <c r="B1066" s="2200" t="s">
        <v>3967</v>
      </c>
      <c r="C1066" s="2200" t="s">
        <v>3968</v>
      </c>
      <c r="D1066" s="2200" t="str">
        <f t="shared" si="60"/>
        <v>TX</v>
      </c>
      <c r="E1066" s="2200">
        <f t="shared" si="61"/>
        <v>10</v>
      </c>
      <c r="F1066" s="2200" t="str">
        <f t="shared" si="62"/>
        <v>48</v>
      </c>
      <c r="G1066" s="2200" t="str">
        <f t="shared" si="63"/>
        <v>37300</v>
      </c>
      <c r="H1066" s="2200">
        <f>--SUBTOTAL(3,C$2:C1066)</f>
        <v>40</v>
      </c>
    </row>
    <row r="1067" spans="1:8" hidden="1" x14ac:dyDescent="0.15">
      <c r="A1067" s="2200" t="s">
        <v>1884</v>
      </c>
      <c r="B1067" s="2200" t="s">
        <v>3969</v>
      </c>
      <c r="C1067" s="2200" t="s">
        <v>3970</v>
      </c>
      <c r="D1067" s="2200" t="str">
        <f t="shared" si="60"/>
        <v>TX</v>
      </c>
      <c r="E1067" s="2200">
        <f t="shared" si="61"/>
        <v>6</v>
      </c>
      <c r="F1067" s="2200" t="str">
        <f t="shared" si="62"/>
        <v>48</v>
      </c>
      <c r="G1067" s="2200" t="str">
        <f t="shared" si="63"/>
        <v>37420</v>
      </c>
      <c r="H1067" s="2200">
        <f>--SUBTOTAL(3,C$2:C1067)</f>
        <v>40</v>
      </c>
    </row>
    <row r="1068" spans="1:8" hidden="1" x14ac:dyDescent="0.15">
      <c r="A1068" s="2200" t="s">
        <v>1884</v>
      </c>
      <c r="B1068" s="2200" t="s">
        <v>3971</v>
      </c>
      <c r="C1068" s="2200" t="s">
        <v>3972</v>
      </c>
      <c r="D1068" s="2200" t="str">
        <f t="shared" si="60"/>
        <v>TX</v>
      </c>
      <c r="E1068" s="2200">
        <f t="shared" si="61"/>
        <v>6</v>
      </c>
      <c r="F1068" s="2200" t="str">
        <f t="shared" si="62"/>
        <v>48</v>
      </c>
      <c r="G1068" s="2200" t="str">
        <f t="shared" si="63"/>
        <v>37580</v>
      </c>
      <c r="H1068" s="2200">
        <f>--SUBTOTAL(3,C$2:C1068)</f>
        <v>40</v>
      </c>
    </row>
    <row r="1069" spans="1:8" hidden="1" x14ac:dyDescent="0.15">
      <c r="A1069" s="2200" t="s">
        <v>1884</v>
      </c>
      <c r="B1069" s="2200" t="s">
        <v>3973</v>
      </c>
      <c r="C1069" s="2200" t="s">
        <v>3974</v>
      </c>
      <c r="D1069" s="2200" t="str">
        <f t="shared" ref="D1069:D1134" si="64">MID(C1069,E1069+2,2)</f>
        <v>TX</v>
      </c>
      <c r="E1069" s="2200">
        <f t="shared" ref="E1069:E1134" si="65">FIND(",",C1069)</f>
        <v>9</v>
      </c>
      <c r="F1069" s="2200" t="str">
        <f t="shared" ref="F1069:F1134" si="66">MID(B1069,3,2)</f>
        <v>48</v>
      </c>
      <c r="G1069" s="2200" t="str">
        <f t="shared" ref="G1069:G1134" si="67">MID(B1069,5,5)</f>
        <v>37770</v>
      </c>
      <c r="H1069" s="2200">
        <f>--SUBTOTAL(3,C$2:C1069)</f>
        <v>40</v>
      </c>
    </row>
    <row r="1070" spans="1:8" hidden="1" x14ac:dyDescent="0.15">
      <c r="A1070" s="2200" t="s">
        <v>1884</v>
      </c>
      <c r="B1070" s="2200" t="s">
        <v>3975</v>
      </c>
      <c r="C1070" s="2200" t="s">
        <v>3976</v>
      </c>
      <c r="D1070" s="2200" t="str">
        <f t="shared" si="64"/>
        <v>TX</v>
      </c>
      <c r="E1070" s="2200">
        <f t="shared" si="65"/>
        <v>6</v>
      </c>
      <c r="F1070" s="2200" t="str">
        <f t="shared" si="66"/>
        <v>48</v>
      </c>
      <c r="G1070" s="2200" t="str">
        <f t="shared" si="67"/>
        <v>37780</v>
      </c>
      <c r="H1070" s="2200">
        <f>--SUBTOTAL(3,C$2:C1070)</f>
        <v>40</v>
      </c>
    </row>
    <row r="1071" spans="1:8" hidden="1" x14ac:dyDescent="0.15">
      <c r="A1071" s="2200" t="s">
        <v>1884</v>
      </c>
      <c r="B1071" s="2200" t="s">
        <v>3977</v>
      </c>
      <c r="C1071" s="2200" t="s">
        <v>3978</v>
      </c>
      <c r="D1071" s="2200" t="str">
        <f t="shared" si="64"/>
        <v>TX</v>
      </c>
      <c r="E1071" s="2200">
        <f t="shared" si="65"/>
        <v>10</v>
      </c>
      <c r="F1071" s="2200" t="str">
        <f t="shared" si="66"/>
        <v>48</v>
      </c>
      <c r="G1071" s="2200" t="str">
        <f t="shared" si="67"/>
        <v>38380</v>
      </c>
      <c r="H1071" s="2200">
        <f>--SUBTOTAL(3,C$2:C1071)</f>
        <v>40</v>
      </c>
    </row>
    <row r="1072" spans="1:8" hidden="1" x14ac:dyDescent="0.15">
      <c r="A1072" s="2200" t="s">
        <v>1884</v>
      </c>
      <c r="B1072" s="2200" t="s">
        <v>3979</v>
      </c>
      <c r="C1072" s="2200" t="s">
        <v>3980</v>
      </c>
      <c r="D1072" s="2200" t="str">
        <f t="shared" si="64"/>
        <v>TX</v>
      </c>
      <c r="E1072" s="2200">
        <f t="shared" si="65"/>
        <v>12</v>
      </c>
      <c r="F1072" s="2200" t="str">
        <f t="shared" si="66"/>
        <v>48</v>
      </c>
      <c r="G1072" s="2200" t="str">
        <f t="shared" si="67"/>
        <v>38920</v>
      </c>
      <c r="H1072" s="2200">
        <f>--SUBTOTAL(3,C$2:C1072)</f>
        <v>40</v>
      </c>
    </row>
    <row r="1073" spans="1:8" hidden="1" x14ac:dyDescent="0.15">
      <c r="A1073" s="2200" t="s">
        <v>1884</v>
      </c>
      <c r="B1073" s="2200" t="s">
        <v>3981</v>
      </c>
      <c r="C1073" s="2200" t="s">
        <v>3982</v>
      </c>
      <c r="D1073" s="2200" t="str">
        <f t="shared" si="64"/>
        <v>TX</v>
      </c>
      <c r="E1073" s="2200">
        <f t="shared" si="65"/>
        <v>13</v>
      </c>
      <c r="F1073" s="2200" t="str">
        <f t="shared" si="66"/>
        <v>48</v>
      </c>
      <c r="G1073" s="2200" t="str">
        <f t="shared" si="67"/>
        <v>39700</v>
      </c>
      <c r="H1073" s="2200">
        <f>--SUBTOTAL(3,C$2:C1073)</f>
        <v>40</v>
      </c>
    </row>
    <row r="1074" spans="1:8" hidden="1" x14ac:dyDescent="0.15">
      <c r="A1074" s="2200" t="s">
        <v>1884</v>
      </c>
      <c r="B1074" s="2200" t="s">
        <v>3983</v>
      </c>
      <c r="C1074" s="2200" t="s">
        <v>3984</v>
      </c>
      <c r="D1074" s="2200" t="str">
        <f t="shared" si="64"/>
        <v>TX</v>
      </c>
      <c r="E1074" s="2200">
        <f t="shared" si="65"/>
        <v>16</v>
      </c>
      <c r="F1074" s="2200" t="str">
        <f t="shared" si="66"/>
        <v>48</v>
      </c>
      <c r="G1074" s="2200" t="str">
        <f t="shared" si="67"/>
        <v>40100</v>
      </c>
      <c r="H1074" s="2200">
        <f>--SUBTOTAL(3,C$2:C1074)</f>
        <v>40</v>
      </c>
    </row>
    <row r="1075" spans="1:8" hidden="1" x14ac:dyDescent="0.15">
      <c r="A1075" s="2200" t="s">
        <v>1878</v>
      </c>
      <c r="B1075" s="2200" t="s">
        <v>3985</v>
      </c>
      <c r="C1075" s="2200" t="s">
        <v>3986</v>
      </c>
      <c r="D1075" s="2200" t="str">
        <f t="shared" si="64"/>
        <v>TX</v>
      </c>
      <c r="E1075" s="2200">
        <f t="shared" si="65"/>
        <v>11</v>
      </c>
      <c r="F1075" s="2200" t="str">
        <f t="shared" si="66"/>
        <v>48</v>
      </c>
      <c r="G1075" s="2200" t="str">
        <f t="shared" si="67"/>
        <v>41660</v>
      </c>
      <c r="H1075" s="2200">
        <f>--SUBTOTAL(3,C$2:C1075)</f>
        <v>40</v>
      </c>
    </row>
    <row r="1076" spans="1:8" hidden="1" x14ac:dyDescent="0.15">
      <c r="A1076" s="2200" t="s">
        <v>1878</v>
      </c>
      <c r="B1076" s="2200" t="s">
        <v>3987</v>
      </c>
      <c r="C1076" s="2200" t="s">
        <v>3988</v>
      </c>
      <c r="D1076" s="2200" t="str">
        <f t="shared" si="64"/>
        <v>TX</v>
      </c>
      <c r="E1076" s="2200">
        <f t="shared" si="65"/>
        <v>26</v>
      </c>
      <c r="F1076" s="2200" t="str">
        <f t="shared" si="66"/>
        <v>48</v>
      </c>
      <c r="G1076" s="2200" t="str">
        <f t="shared" si="67"/>
        <v>41700</v>
      </c>
      <c r="H1076" s="2200">
        <f>--SUBTOTAL(3,C$2:C1076)</f>
        <v>40</v>
      </c>
    </row>
    <row r="1077" spans="1:8" hidden="1" x14ac:dyDescent="0.15">
      <c r="A1077" s="2200" t="s">
        <v>1902</v>
      </c>
      <c r="B1077" s="2200" t="s">
        <v>3989</v>
      </c>
      <c r="C1077" s="2200" t="s">
        <v>3990</v>
      </c>
      <c r="D1077" s="2200" t="str">
        <f t="shared" si="64"/>
        <v>TX</v>
      </c>
      <c r="E1077" s="2200">
        <f t="shared" si="65"/>
        <v>35</v>
      </c>
      <c r="F1077" s="2200" t="str">
        <f t="shared" si="66"/>
        <v>48</v>
      </c>
      <c r="G1077" s="2200" t="str">
        <f t="shared" si="67"/>
        <v>48400</v>
      </c>
      <c r="H1077" s="2200">
        <f>--SUBTOTAL(3,C$2:C1077)</f>
        <v>40</v>
      </c>
    </row>
    <row r="1078" spans="1:8" hidden="1" x14ac:dyDescent="0.15">
      <c r="A1078" s="2200" t="s">
        <v>1878</v>
      </c>
      <c r="B1078" s="2200" t="s">
        <v>3991</v>
      </c>
      <c r="C1078" s="2200" t="s">
        <v>3992</v>
      </c>
      <c r="D1078" s="2200" t="str">
        <f t="shared" si="64"/>
        <v>TX</v>
      </c>
      <c r="E1078" s="2200">
        <f t="shared" si="65"/>
        <v>16</v>
      </c>
      <c r="F1078" s="2200" t="str">
        <f t="shared" si="66"/>
        <v>48</v>
      </c>
      <c r="G1078" s="2200" t="str">
        <f t="shared" si="67"/>
        <v>43300</v>
      </c>
      <c r="H1078" s="2200">
        <f>--SUBTOTAL(3,C$2:C1078)</f>
        <v>40</v>
      </c>
    </row>
    <row r="1079" spans="1:8" hidden="1" x14ac:dyDescent="0.15">
      <c r="A1079" s="2200" t="s">
        <v>1884</v>
      </c>
      <c r="B1079" s="2200" t="s">
        <v>3993</v>
      </c>
      <c r="C1079" s="2200" t="s">
        <v>3994</v>
      </c>
      <c r="D1079" s="2200" t="str">
        <f t="shared" si="64"/>
        <v>TX</v>
      </c>
      <c r="E1079" s="2200">
        <f t="shared" si="65"/>
        <v>7</v>
      </c>
      <c r="F1079" s="2200" t="str">
        <f t="shared" si="66"/>
        <v>48</v>
      </c>
      <c r="G1079" s="2200" t="str">
        <f t="shared" si="67"/>
        <v>43660</v>
      </c>
      <c r="H1079" s="2200">
        <f>--SUBTOTAL(3,C$2:C1079)</f>
        <v>40</v>
      </c>
    </row>
    <row r="1080" spans="1:8" hidden="1" x14ac:dyDescent="0.15">
      <c r="A1080" s="2200" t="s">
        <v>1884</v>
      </c>
      <c r="B1080" s="2200" t="s">
        <v>3995</v>
      </c>
      <c r="C1080" s="2200" t="s">
        <v>3996</v>
      </c>
      <c r="D1080" s="2200" t="str">
        <f t="shared" si="64"/>
        <v>TX</v>
      </c>
      <c r="E1080" s="2200">
        <f t="shared" si="65"/>
        <v>13</v>
      </c>
      <c r="F1080" s="2200" t="str">
        <f t="shared" si="66"/>
        <v>48</v>
      </c>
      <c r="G1080" s="2200" t="str">
        <f t="shared" si="67"/>
        <v>44500</v>
      </c>
      <c r="H1080" s="2200">
        <f>--SUBTOTAL(3,C$2:C1080)</f>
        <v>40</v>
      </c>
    </row>
    <row r="1081" spans="1:8" hidden="1" x14ac:dyDescent="0.15">
      <c r="A1081" s="2200" t="s">
        <v>1884</v>
      </c>
      <c r="B1081" s="2200" t="s">
        <v>3997</v>
      </c>
      <c r="C1081" s="2200" t="s">
        <v>3998</v>
      </c>
      <c r="D1081" s="2200" t="str">
        <f t="shared" si="64"/>
        <v>TX</v>
      </c>
      <c r="E1081" s="2200">
        <f t="shared" si="65"/>
        <v>16</v>
      </c>
      <c r="F1081" s="2200" t="str">
        <f t="shared" si="66"/>
        <v>48</v>
      </c>
      <c r="G1081" s="2200" t="str">
        <f t="shared" si="67"/>
        <v>44860</v>
      </c>
      <c r="H1081" s="2200">
        <f>--SUBTOTAL(3,C$2:C1081)</f>
        <v>40</v>
      </c>
    </row>
    <row r="1082" spans="1:8" hidden="1" x14ac:dyDescent="0.15">
      <c r="A1082" s="2200" t="s">
        <v>1884</v>
      </c>
      <c r="B1082" s="2200" t="s">
        <v>3999</v>
      </c>
      <c r="C1082" s="2200" t="s">
        <v>4000</v>
      </c>
      <c r="D1082" s="2200" t="str">
        <f t="shared" si="64"/>
        <v>TX</v>
      </c>
      <c r="E1082" s="2200">
        <f t="shared" si="65"/>
        <v>11</v>
      </c>
      <c r="F1082" s="2200" t="str">
        <f t="shared" si="66"/>
        <v>48</v>
      </c>
      <c r="G1082" s="2200" t="str">
        <f t="shared" si="67"/>
        <v>45020</v>
      </c>
      <c r="H1082" s="2200">
        <f>--SUBTOTAL(3,C$2:C1082)</f>
        <v>40</v>
      </c>
    </row>
    <row r="1083" spans="1:8" hidden="1" x14ac:dyDescent="0.15">
      <c r="A1083" s="2200" t="s">
        <v>1878</v>
      </c>
      <c r="B1083" s="2200" t="s">
        <v>4001</v>
      </c>
      <c r="C1083" s="2200" t="s">
        <v>4002</v>
      </c>
      <c r="D1083" s="2200" t="str">
        <f t="shared" si="64"/>
        <v>TX</v>
      </c>
      <c r="E1083" s="2200">
        <f t="shared" si="65"/>
        <v>10</v>
      </c>
      <c r="F1083" s="2200" t="str">
        <f t="shared" si="66"/>
        <v>48</v>
      </c>
      <c r="G1083" s="2200" t="str">
        <f t="shared" si="67"/>
        <v>45500</v>
      </c>
      <c r="H1083" s="2200">
        <f>--SUBTOTAL(3,C$2:C1083)</f>
        <v>40</v>
      </c>
    </row>
    <row r="1084" spans="1:8" hidden="1" x14ac:dyDescent="0.15">
      <c r="A1084" s="2200" t="s">
        <v>1878</v>
      </c>
      <c r="B1084" s="2200" t="s">
        <v>4003</v>
      </c>
      <c r="C1084" s="2200" t="s">
        <v>4004</v>
      </c>
      <c r="D1084" s="2200" t="str">
        <f t="shared" si="64"/>
        <v>TX</v>
      </c>
      <c r="E1084" s="2200">
        <f t="shared" si="65"/>
        <v>6</v>
      </c>
      <c r="F1084" s="2200" t="str">
        <f t="shared" si="66"/>
        <v>48</v>
      </c>
      <c r="G1084" s="2200" t="str">
        <f t="shared" si="67"/>
        <v>46340</v>
      </c>
      <c r="H1084" s="2200">
        <f>--SUBTOTAL(3,C$2:C1084)</f>
        <v>40</v>
      </c>
    </row>
    <row r="1085" spans="1:8" hidden="1" x14ac:dyDescent="0.15">
      <c r="A1085" s="2200" t="s">
        <v>1902</v>
      </c>
      <c r="B1085" s="2200" t="s">
        <v>4005</v>
      </c>
      <c r="C1085" s="2200" t="s">
        <v>4006</v>
      </c>
      <c r="D1085" s="2200" t="str">
        <f t="shared" si="64"/>
        <v>TX</v>
      </c>
      <c r="E1085" s="2200">
        <f t="shared" si="65"/>
        <v>19</v>
      </c>
      <c r="F1085" s="2200" t="str">
        <f t="shared" si="66"/>
        <v>48</v>
      </c>
      <c r="G1085" s="2200" t="str">
        <f t="shared" si="67"/>
        <v>54000</v>
      </c>
      <c r="H1085" s="2200">
        <f>--SUBTOTAL(3,C$2:C1085)</f>
        <v>40</v>
      </c>
    </row>
    <row r="1086" spans="1:8" hidden="1" x14ac:dyDescent="0.15">
      <c r="A1086" s="2200" t="s">
        <v>1884</v>
      </c>
      <c r="B1086" s="2200" t="s">
        <v>4007</v>
      </c>
      <c r="C1086" s="2200" t="s">
        <v>4008</v>
      </c>
      <c r="D1086" s="2200" t="str">
        <f t="shared" si="64"/>
        <v>TX</v>
      </c>
      <c r="E1086" s="2200">
        <f t="shared" si="65"/>
        <v>7</v>
      </c>
      <c r="F1086" s="2200" t="str">
        <f t="shared" si="66"/>
        <v>48</v>
      </c>
      <c r="G1086" s="2200" t="str">
        <f t="shared" si="67"/>
        <v>46620</v>
      </c>
      <c r="H1086" s="2200">
        <f>--SUBTOTAL(3,C$2:C1086)</f>
        <v>40</v>
      </c>
    </row>
    <row r="1087" spans="1:8" hidden="1" x14ac:dyDescent="0.15">
      <c r="A1087" s="2200" t="s">
        <v>1884</v>
      </c>
      <c r="B1087" s="2200" t="s">
        <v>4009</v>
      </c>
      <c r="C1087" s="2200" t="s">
        <v>4010</v>
      </c>
      <c r="D1087" s="2200" t="str">
        <f t="shared" si="64"/>
        <v>TX</v>
      </c>
      <c r="E1087" s="2200">
        <f t="shared" si="65"/>
        <v>7</v>
      </c>
      <c r="F1087" s="2200" t="str">
        <f t="shared" si="66"/>
        <v>48</v>
      </c>
      <c r="G1087" s="2200" t="str">
        <f t="shared" si="67"/>
        <v>46900</v>
      </c>
      <c r="H1087" s="2200">
        <f>--SUBTOTAL(3,C$2:C1087)</f>
        <v>40</v>
      </c>
    </row>
    <row r="1088" spans="1:8" hidden="1" x14ac:dyDescent="0.15">
      <c r="A1088" s="2200" t="s">
        <v>1878</v>
      </c>
      <c r="B1088" s="2200" t="s">
        <v>4011</v>
      </c>
      <c r="C1088" s="2200" t="s">
        <v>4012</v>
      </c>
      <c r="D1088" s="2200" t="str">
        <f t="shared" si="64"/>
        <v>TX</v>
      </c>
      <c r="E1088" s="2200">
        <f t="shared" si="65"/>
        <v>9</v>
      </c>
      <c r="F1088" s="2200" t="str">
        <f t="shared" si="66"/>
        <v>48</v>
      </c>
      <c r="G1088" s="2200" t="str">
        <f t="shared" si="67"/>
        <v>47020</v>
      </c>
      <c r="H1088" s="2200">
        <f>--SUBTOTAL(3,C$2:C1088)</f>
        <v>40</v>
      </c>
    </row>
    <row r="1089" spans="1:8" hidden="1" x14ac:dyDescent="0.15">
      <c r="A1089" s="2200" t="s">
        <v>1902</v>
      </c>
      <c r="B1089" s="2200" t="s">
        <v>4013</v>
      </c>
      <c r="C1089" s="2200" t="s">
        <v>4014</v>
      </c>
      <c r="D1089" s="2200" t="str">
        <f t="shared" si="64"/>
        <v>TX</v>
      </c>
      <c r="E1089" s="2200">
        <f t="shared" si="65"/>
        <v>21</v>
      </c>
      <c r="F1089" s="2200" t="str">
        <f t="shared" si="66"/>
        <v>48</v>
      </c>
      <c r="G1089" s="2200" t="str">
        <f t="shared" si="67"/>
        <v>54400</v>
      </c>
      <c r="H1089" s="2200">
        <f>--SUBTOTAL(3,C$2:C1089)</f>
        <v>40</v>
      </c>
    </row>
    <row r="1090" spans="1:8" hidden="1" x14ac:dyDescent="0.15">
      <c r="A1090" s="2200" t="s">
        <v>1878</v>
      </c>
      <c r="B1090" s="2200" t="s">
        <v>4015</v>
      </c>
      <c r="C1090" s="2200" t="s">
        <v>4016</v>
      </c>
      <c r="D1090" s="2200" t="str">
        <f t="shared" si="64"/>
        <v>TX</v>
      </c>
      <c r="E1090" s="2200">
        <f t="shared" si="65"/>
        <v>5</v>
      </c>
      <c r="F1090" s="2200" t="str">
        <f t="shared" si="66"/>
        <v>48</v>
      </c>
      <c r="G1090" s="2200" t="str">
        <f t="shared" si="67"/>
        <v>47380</v>
      </c>
      <c r="H1090" s="2200">
        <f>--SUBTOTAL(3,C$2:C1090)</f>
        <v>40</v>
      </c>
    </row>
    <row r="1091" spans="1:8" hidden="1" x14ac:dyDescent="0.15">
      <c r="A1091" s="2200" t="s">
        <v>1878</v>
      </c>
      <c r="B1091" s="2200" t="s">
        <v>4017</v>
      </c>
      <c r="C1091" s="2200" t="s">
        <v>4018</v>
      </c>
      <c r="D1091" s="2200" t="str">
        <f t="shared" si="64"/>
        <v>TX</v>
      </c>
      <c r="E1091" s="2200">
        <f t="shared" si="65"/>
        <v>14</v>
      </c>
      <c r="F1091" s="2200" t="str">
        <f t="shared" si="66"/>
        <v>48</v>
      </c>
      <c r="G1091" s="2200" t="str">
        <f t="shared" si="67"/>
        <v>48660</v>
      </c>
      <c r="H1091" s="2200">
        <f>--SUBTOTAL(3,C$2:C1091)</f>
        <v>40</v>
      </c>
    </row>
    <row r="1092" spans="1:8" hidden="1" x14ac:dyDescent="0.15">
      <c r="A1092" s="2200" t="s">
        <v>1884</v>
      </c>
      <c r="B1092" s="2200" t="s">
        <v>4019</v>
      </c>
      <c r="C1092" s="2200" t="s">
        <v>4020</v>
      </c>
      <c r="D1092" s="2200" t="str">
        <f t="shared" si="64"/>
        <v>TX</v>
      </c>
      <c r="E1092" s="2200">
        <f t="shared" si="65"/>
        <v>7</v>
      </c>
      <c r="F1092" s="2200" t="str">
        <f t="shared" si="66"/>
        <v>48</v>
      </c>
      <c r="G1092" s="2200" t="str">
        <f t="shared" si="67"/>
        <v>49820</v>
      </c>
      <c r="H1092" s="2200">
        <f>--SUBTOTAL(3,C$2:C1092)</f>
        <v>40</v>
      </c>
    </row>
    <row r="1093" spans="1:8" hidden="1" x14ac:dyDescent="0.15">
      <c r="A1093" s="2200" t="s">
        <v>1884</v>
      </c>
      <c r="B1093" s="2200" t="s">
        <v>4021</v>
      </c>
      <c r="C1093" s="2200" t="s">
        <v>4022</v>
      </c>
      <c r="D1093" s="2200" t="str">
        <f t="shared" si="64"/>
        <v>UT</v>
      </c>
      <c r="E1093" s="2200">
        <f t="shared" si="65"/>
        <v>11</v>
      </c>
      <c r="F1093" s="2200" t="str">
        <f t="shared" si="66"/>
        <v>49</v>
      </c>
      <c r="G1093" s="2200" t="str">
        <f t="shared" si="67"/>
        <v>16260</v>
      </c>
      <c r="H1093" s="2200">
        <f>--SUBTOTAL(3,C$2:C1093)</f>
        <v>40</v>
      </c>
    </row>
    <row r="1094" spans="1:8" hidden="1" x14ac:dyDescent="0.15">
      <c r="A1094" s="2200" t="s">
        <v>1884</v>
      </c>
      <c r="B1094" s="2200" t="s">
        <v>4024</v>
      </c>
      <c r="C1094" s="2200" t="s">
        <v>4025</v>
      </c>
      <c r="D1094" s="2200" t="str">
        <f t="shared" si="64"/>
        <v>UT</v>
      </c>
      <c r="E1094" s="2200">
        <f t="shared" si="65"/>
        <v>6</v>
      </c>
      <c r="F1094" s="2200" t="str">
        <f t="shared" si="66"/>
        <v>49</v>
      </c>
      <c r="G1094" s="2200" t="str">
        <f t="shared" si="67"/>
        <v>25720</v>
      </c>
      <c r="H1094" s="2200">
        <f>--SUBTOTAL(3,C$2:C1094)</f>
        <v>40</v>
      </c>
    </row>
    <row r="1095" spans="1:8" hidden="1" x14ac:dyDescent="0.15">
      <c r="A1095" s="2200" t="s">
        <v>1878</v>
      </c>
      <c r="B1095" s="2200" t="s">
        <v>4026</v>
      </c>
      <c r="C1095" s="2200" t="s">
        <v>4027</v>
      </c>
      <c r="D1095" s="2200" t="str">
        <f t="shared" si="64"/>
        <v>UT</v>
      </c>
      <c r="E1095" s="2200">
        <f t="shared" si="65"/>
        <v>6</v>
      </c>
      <c r="F1095" s="2200" t="str">
        <f t="shared" si="66"/>
        <v>49</v>
      </c>
      <c r="G1095" s="2200" t="str">
        <f t="shared" si="67"/>
        <v>30860</v>
      </c>
      <c r="H1095" s="2200">
        <f>--SUBTOTAL(3,C$2:C1095)</f>
        <v>40</v>
      </c>
    </row>
    <row r="1096" spans="1:8" hidden="1" x14ac:dyDescent="0.15">
      <c r="A1096" s="2200" t="s">
        <v>1878</v>
      </c>
      <c r="B1096" s="2200" t="s">
        <v>4028</v>
      </c>
      <c r="C1096" s="2200" t="s">
        <v>4029</v>
      </c>
      <c r="D1096" s="2200" t="str">
        <f t="shared" si="64"/>
        <v>UT</v>
      </c>
      <c r="E1096" s="2200">
        <f t="shared" si="65"/>
        <v>17</v>
      </c>
      <c r="F1096" s="2200" t="str">
        <f t="shared" si="66"/>
        <v>49</v>
      </c>
      <c r="G1096" s="2200" t="str">
        <f t="shared" si="67"/>
        <v>36260</v>
      </c>
      <c r="H1096" s="2200">
        <f>--SUBTOTAL(3,C$2:C1096)</f>
        <v>40</v>
      </c>
    </row>
    <row r="1097" spans="1:8" hidden="1" x14ac:dyDescent="0.15">
      <c r="A1097" s="2200" t="s">
        <v>1884</v>
      </c>
      <c r="B1097" s="2200" t="s">
        <v>4030</v>
      </c>
      <c r="C1097" s="2200" t="s">
        <v>4031</v>
      </c>
      <c r="D1097" s="2200" t="str">
        <f t="shared" si="64"/>
        <v>UT</v>
      </c>
      <c r="E1097" s="2200">
        <f t="shared" si="65"/>
        <v>6</v>
      </c>
      <c r="F1097" s="2200" t="str">
        <f t="shared" si="66"/>
        <v>49</v>
      </c>
      <c r="G1097" s="2200" t="str">
        <f t="shared" si="67"/>
        <v>39220</v>
      </c>
      <c r="H1097" s="2200">
        <f>--SUBTOTAL(3,C$2:C1097)</f>
        <v>40</v>
      </c>
    </row>
    <row r="1098" spans="1:8" hidden="1" x14ac:dyDescent="0.15">
      <c r="A1098" s="2200" t="s">
        <v>1878</v>
      </c>
      <c r="B1098" s="2200" t="s">
        <v>4032</v>
      </c>
      <c r="C1098" s="2200" t="s">
        <v>4033</v>
      </c>
      <c r="D1098" s="2200" t="str">
        <f t="shared" si="64"/>
        <v>UT</v>
      </c>
      <c r="E1098" s="2200">
        <f t="shared" si="65"/>
        <v>11</v>
      </c>
      <c r="F1098" s="2200" t="str">
        <f t="shared" si="66"/>
        <v>49</v>
      </c>
      <c r="G1098" s="2200" t="str">
        <f t="shared" si="67"/>
        <v>39340</v>
      </c>
      <c r="H1098" s="2200">
        <f>--SUBTOTAL(3,C$2:C1098)</f>
        <v>40</v>
      </c>
    </row>
    <row r="1099" spans="1:8" hidden="1" x14ac:dyDescent="0.15">
      <c r="A1099" s="2200" t="s">
        <v>1878</v>
      </c>
      <c r="B1099" s="2200" t="s">
        <v>4034</v>
      </c>
      <c r="C1099" s="2200" t="s">
        <v>4035</v>
      </c>
      <c r="D1099" s="2200" t="str">
        <f t="shared" si="64"/>
        <v>UT</v>
      </c>
      <c r="E1099" s="2200">
        <f t="shared" si="65"/>
        <v>15</v>
      </c>
      <c r="F1099" s="2200" t="str">
        <f t="shared" si="66"/>
        <v>49</v>
      </c>
      <c r="G1099" s="2200" t="str">
        <f t="shared" si="67"/>
        <v>41620</v>
      </c>
      <c r="H1099" s="2200">
        <f>--SUBTOTAL(3,C$2:C1099)</f>
        <v>40</v>
      </c>
    </row>
    <row r="1100" spans="1:8" hidden="1" x14ac:dyDescent="0.15">
      <c r="A1100" s="2200" t="s">
        <v>1902</v>
      </c>
      <c r="B1100" s="2200" t="s">
        <v>4036</v>
      </c>
      <c r="C1100" s="2200" t="s">
        <v>4037</v>
      </c>
      <c r="D1100" s="2200" t="str">
        <f t="shared" si="64"/>
        <v>UT</v>
      </c>
      <c r="E1100" s="2200">
        <f t="shared" si="65"/>
        <v>26</v>
      </c>
      <c r="F1100" s="2200" t="str">
        <f t="shared" si="66"/>
        <v>49</v>
      </c>
      <c r="G1100" s="2200" t="str">
        <f t="shared" si="67"/>
        <v>48200</v>
      </c>
      <c r="H1100" s="2200">
        <f>--SUBTOTAL(3,C$2:C1100)</f>
        <v>40</v>
      </c>
    </row>
    <row r="1101" spans="1:8" hidden="1" x14ac:dyDescent="0.15">
      <c r="A1101" s="2200" t="s">
        <v>1878</v>
      </c>
      <c r="B1101" s="2200" t="s">
        <v>4038</v>
      </c>
      <c r="C1101" s="2200" t="s">
        <v>4039</v>
      </c>
      <c r="D1101" s="2200" t="str">
        <f t="shared" si="64"/>
        <v>UT</v>
      </c>
      <c r="E1101" s="2200">
        <f t="shared" si="65"/>
        <v>11</v>
      </c>
      <c r="F1101" s="2200" t="str">
        <f t="shared" si="66"/>
        <v>49</v>
      </c>
      <c r="G1101" s="2200" t="str">
        <f t="shared" si="67"/>
        <v>41100</v>
      </c>
      <c r="H1101" s="2200">
        <f>--SUBTOTAL(3,C$2:C1101)</f>
        <v>40</v>
      </c>
    </row>
    <row r="1102" spans="1:8" hidden="1" x14ac:dyDescent="0.15">
      <c r="A1102" s="2200" t="s">
        <v>1884</v>
      </c>
      <c r="B1102" s="2200" t="s">
        <v>4040</v>
      </c>
      <c r="C1102" s="2200" t="s">
        <v>4041</v>
      </c>
      <c r="D1102" s="2200" t="str">
        <f t="shared" si="64"/>
        <v>UT</v>
      </c>
      <c r="E1102" s="2200">
        <f t="shared" si="65"/>
        <v>12</v>
      </c>
      <c r="F1102" s="2200" t="str">
        <f t="shared" si="66"/>
        <v>49</v>
      </c>
      <c r="G1102" s="2200" t="str">
        <f t="shared" si="67"/>
        <v>44920</v>
      </c>
      <c r="H1102" s="2200">
        <f>--SUBTOTAL(3,C$2:C1102)</f>
        <v>40</v>
      </c>
    </row>
    <row r="1103" spans="1:8" hidden="1" x14ac:dyDescent="0.15">
      <c r="A1103" s="2200" t="s">
        <v>1884</v>
      </c>
      <c r="B1103" s="2200" t="s">
        <v>4042</v>
      </c>
      <c r="C1103" s="2200" t="s">
        <v>4043</v>
      </c>
      <c r="D1103" s="2200" t="str">
        <f t="shared" si="64"/>
        <v>UT</v>
      </c>
      <c r="E1103" s="2200">
        <f t="shared" si="65"/>
        <v>7</v>
      </c>
      <c r="F1103" s="2200" t="str">
        <f t="shared" si="66"/>
        <v>49</v>
      </c>
      <c r="G1103" s="2200" t="str">
        <f t="shared" si="67"/>
        <v>46860</v>
      </c>
      <c r="H1103" s="2200">
        <f>--SUBTOTAL(3,C$2:C1103)</f>
        <v>40</v>
      </c>
    </row>
    <row r="1104" spans="1:8" hidden="1" x14ac:dyDescent="0.15">
      <c r="A1104" s="2200" t="s">
        <v>1884</v>
      </c>
      <c r="B1104" s="2200" t="s">
        <v>4044</v>
      </c>
      <c r="C1104" s="2200" t="s">
        <v>4045</v>
      </c>
      <c r="D1104" s="2200" t="str">
        <f t="shared" si="64"/>
        <v>VA</v>
      </c>
      <c r="E1104" s="2200">
        <f t="shared" si="65"/>
        <v>14</v>
      </c>
      <c r="F1104" s="2200" t="str">
        <f t="shared" si="66"/>
        <v>51</v>
      </c>
      <c r="G1104" s="2200" t="str">
        <f t="shared" si="67"/>
        <v>13720</v>
      </c>
      <c r="H1104" s="2200">
        <f>--SUBTOTAL(3,C$2:C1104)</f>
        <v>40</v>
      </c>
    </row>
    <row r="1105" spans="1:8" hidden="1" x14ac:dyDescent="0.15">
      <c r="A1105" s="2200" t="s">
        <v>1878</v>
      </c>
      <c r="B1105" s="2200" t="s">
        <v>4047</v>
      </c>
      <c r="C1105" s="2200" t="s">
        <v>4048</v>
      </c>
      <c r="D1105" s="2200" t="str">
        <f t="shared" si="64"/>
        <v>VA</v>
      </c>
      <c r="E1105" s="2200">
        <f t="shared" si="65"/>
        <v>34</v>
      </c>
      <c r="F1105" s="2200" t="str">
        <f t="shared" si="66"/>
        <v>51</v>
      </c>
      <c r="G1105" s="2200" t="str">
        <f t="shared" si="67"/>
        <v>13980</v>
      </c>
      <c r="H1105" s="2200">
        <f>--SUBTOTAL(3,C$2:C1105)</f>
        <v>40</v>
      </c>
    </row>
    <row r="1106" spans="1:8" hidden="1" x14ac:dyDescent="0.15">
      <c r="A1106" s="2200" t="s">
        <v>1878</v>
      </c>
      <c r="B1106" s="2200" t="s">
        <v>4049</v>
      </c>
      <c r="C1106" s="2200" t="s">
        <v>4050</v>
      </c>
      <c r="D1106" s="2200" t="str">
        <f t="shared" si="64"/>
        <v>VA</v>
      </c>
      <c r="E1106" s="2200">
        <f t="shared" si="65"/>
        <v>16</v>
      </c>
      <c r="F1106" s="2200" t="str">
        <f t="shared" si="66"/>
        <v>51</v>
      </c>
      <c r="G1106" s="2200" t="str">
        <f t="shared" si="67"/>
        <v>16820</v>
      </c>
      <c r="H1106" s="2200">
        <f>--SUBTOTAL(3,C$2:C1106)</f>
        <v>40</v>
      </c>
    </row>
    <row r="1107" spans="1:8" hidden="1" x14ac:dyDescent="0.15">
      <c r="A1107" s="2200" t="s">
        <v>1884</v>
      </c>
      <c r="B1107" s="2200" t="s">
        <v>4051</v>
      </c>
      <c r="C1107" s="2200" t="s">
        <v>4052</v>
      </c>
      <c r="D1107" s="2200" t="str">
        <f t="shared" si="64"/>
        <v>VA</v>
      </c>
      <c r="E1107" s="2200">
        <f t="shared" si="65"/>
        <v>9</v>
      </c>
      <c r="F1107" s="2200" t="str">
        <f t="shared" si="66"/>
        <v>51</v>
      </c>
      <c r="G1107" s="2200" t="str">
        <f t="shared" si="67"/>
        <v>19260</v>
      </c>
      <c r="H1107" s="2200">
        <f>--SUBTOTAL(3,C$2:C1107)</f>
        <v>40</v>
      </c>
    </row>
    <row r="1108" spans="1:8" hidden="1" x14ac:dyDescent="0.15">
      <c r="A1108" s="2200" t="s">
        <v>1878</v>
      </c>
      <c r="B1108" s="2200" t="s">
        <v>4053</v>
      </c>
      <c r="C1108" s="2200" t="s">
        <v>4054</v>
      </c>
      <c r="D1108" s="2200" t="str">
        <f t="shared" si="64"/>
        <v>VA</v>
      </c>
      <c r="E1108" s="2200">
        <f t="shared" si="65"/>
        <v>13</v>
      </c>
      <c r="F1108" s="2200" t="str">
        <f t="shared" si="66"/>
        <v>51</v>
      </c>
      <c r="G1108" s="2200" t="str">
        <f t="shared" si="67"/>
        <v>25500</v>
      </c>
      <c r="H1108" s="2200">
        <f>--SUBTOTAL(3,C$2:C1108)</f>
        <v>40</v>
      </c>
    </row>
    <row r="1109" spans="1:8" hidden="1" x14ac:dyDescent="0.15">
      <c r="A1109" s="2200" t="s">
        <v>1902</v>
      </c>
      <c r="B1109" s="2200" t="s">
        <v>4055</v>
      </c>
      <c r="C1109" s="2200" t="s">
        <v>4056</v>
      </c>
      <c r="D1109" s="2200" t="str">
        <f t="shared" si="64"/>
        <v>VA</v>
      </c>
      <c r="E1109" s="2200">
        <f t="shared" si="65"/>
        <v>33</v>
      </c>
      <c r="F1109" s="2200" t="str">
        <f t="shared" si="66"/>
        <v>51</v>
      </c>
      <c r="G1109" s="2200" t="str">
        <f t="shared" si="67"/>
        <v>27700</v>
      </c>
      <c r="H1109" s="2200">
        <f>--SUBTOTAL(3,C$2:C1109)</f>
        <v>40</v>
      </c>
    </row>
    <row r="1110" spans="1:8" hidden="1" x14ac:dyDescent="0.15">
      <c r="A1110" s="2200" t="s">
        <v>1878</v>
      </c>
      <c r="B1110" s="2200" t="s">
        <v>3814</v>
      </c>
      <c r="C1110" s="2200" t="s">
        <v>17889</v>
      </c>
      <c r="D1110" s="2200" t="str">
        <f t="shared" si="64"/>
        <v>VA</v>
      </c>
      <c r="E1110" s="2200">
        <f t="shared" si="65"/>
        <v>26</v>
      </c>
      <c r="F1110" s="2200" t="str">
        <f t="shared" si="66"/>
        <v>47</v>
      </c>
      <c r="G1110" s="2200" t="str">
        <f t="shared" si="67"/>
        <v>28700</v>
      </c>
      <c r="H1110" s="2200">
        <f>--SUBTOTAL(3,C$2:C1110)</f>
        <v>40</v>
      </c>
    </row>
    <row r="1111" spans="1:8" hidden="1" x14ac:dyDescent="0.15">
      <c r="A1111" s="2200" t="s">
        <v>1878</v>
      </c>
      <c r="B1111" s="2200" t="s">
        <v>4057</v>
      </c>
      <c r="C1111" s="2200" t="s">
        <v>4058</v>
      </c>
      <c r="D1111" s="2200" t="str">
        <f t="shared" si="64"/>
        <v>VA</v>
      </c>
      <c r="E1111" s="2200">
        <f t="shared" si="65"/>
        <v>10</v>
      </c>
      <c r="F1111" s="2200" t="str">
        <f t="shared" si="66"/>
        <v>51</v>
      </c>
      <c r="G1111" s="2200" t="str">
        <f t="shared" si="67"/>
        <v>31340</v>
      </c>
      <c r="H1111" s="2200">
        <f>--SUBTOTAL(3,C$2:C1111)</f>
        <v>40</v>
      </c>
    </row>
    <row r="1112" spans="1:8" hidden="1" x14ac:dyDescent="0.15">
      <c r="A1112" s="2200" t="s">
        <v>1884</v>
      </c>
      <c r="B1112" s="2200" t="s">
        <v>4059</v>
      </c>
      <c r="C1112" s="2200" t="s">
        <v>4060</v>
      </c>
      <c r="D1112" s="2200" t="str">
        <f t="shared" si="64"/>
        <v>VA</v>
      </c>
      <c r="E1112" s="2200">
        <f t="shared" si="65"/>
        <v>13</v>
      </c>
      <c r="F1112" s="2200" t="str">
        <f t="shared" si="66"/>
        <v>51</v>
      </c>
      <c r="G1112" s="2200" t="str">
        <f t="shared" si="67"/>
        <v>32300</v>
      </c>
      <c r="H1112" s="2200">
        <f>--SUBTOTAL(3,C$2:C1112)</f>
        <v>40</v>
      </c>
    </row>
    <row r="1113" spans="1:8" hidden="1" x14ac:dyDescent="0.15">
      <c r="A1113" s="2200" t="s">
        <v>1878</v>
      </c>
      <c r="B1113" s="2200" t="s">
        <v>4061</v>
      </c>
      <c r="C1113" s="2200" t="s">
        <v>4062</v>
      </c>
      <c r="D1113" s="2200" t="str">
        <f t="shared" si="64"/>
        <v>VA</v>
      </c>
      <c r="E1113" s="2200">
        <f t="shared" si="65"/>
        <v>9</v>
      </c>
      <c r="F1113" s="2200" t="str">
        <f t="shared" si="66"/>
        <v>51</v>
      </c>
      <c r="G1113" s="2200" t="str">
        <f t="shared" si="67"/>
        <v>40060</v>
      </c>
      <c r="H1113" s="2200">
        <f>--SUBTOTAL(3,C$2:C1113)</f>
        <v>40</v>
      </c>
    </row>
    <row r="1114" spans="1:8" hidden="1" x14ac:dyDescent="0.15">
      <c r="A1114" s="2200" t="s">
        <v>1878</v>
      </c>
      <c r="B1114" s="2200" t="s">
        <v>4063</v>
      </c>
      <c r="C1114" s="2200" t="s">
        <v>4064</v>
      </c>
      <c r="D1114" s="2200" t="str">
        <f t="shared" si="64"/>
        <v>VA</v>
      </c>
      <c r="E1114" s="2200">
        <f t="shared" si="65"/>
        <v>8</v>
      </c>
      <c r="F1114" s="2200" t="str">
        <f t="shared" si="66"/>
        <v>51</v>
      </c>
      <c r="G1114" s="2200" t="str">
        <f t="shared" si="67"/>
        <v>40220</v>
      </c>
      <c r="H1114" s="2200">
        <f>--SUBTOTAL(3,C$2:C1114)</f>
        <v>40</v>
      </c>
    </row>
    <row r="1115" spans="1:8" hidden="1" x14ac:dyDescent="0.15">
      <c r="A1115" s="2200" t="s">
        <v>1878</v>
      </c>
      <c r="B1115" s="2200" t="s">
        <v>4065</v>
      </c>
      <c r="C1115" s="2200" t="s">
        <v>4066</v>
      </c>
      <c r="D1115" s="2200" t="str">
        <f t="shared" si="64"/>
        <v>VA</v>
      </c>
      <c r="E1115" s="2200">
        <f t="shared" si="65"/>
        <v>20</v>
      </c>
      <c r="F1115" s="2200" t="str">
        <f t="shared" si="66"/>
        <v>51</v>
      </c>
      <c r="G1115" s="2200" t="str">
        <f t="shared" si="67"/>
        <v>44420</v>
      </c>
      <c r="H1115" s="2200">
        <f>--SUBTOTAL(3,C$2:C1115)</f>
        <v>40</v>
      </c>
    </row>
    <row r="1116" spans="1:8" hidden="1" x14ac:dyDescent="0.15">
      <c r="A1116" s="2200" t="s">
        <v>1902</v>
      </c>
      <c r="B1116" s="2200" t="s">
        <v>4067</v>
      </c>
      <c r="C1116" s="2200" t="s">
        <v>4068</v>
      </c>
      <c r="D1116" s="2200" t="str">
        <f t="shared" si="64"/>
        <v>VA</v>
      </c>
      <c r="E1116" s="2200">
        <f t="shared" si="65"/>
        <v>23</v>
      </c>
      <c r="F1116" s="2200" t="str">
        <f t="shared" si="66"/>
        <v>51</v>
      </c>
      <c r="G1116" s="2200" t="str">
        <f t="shared" si="67"/>
        <v>54500</v>
      </c>
      <c r="H1116" s="2200">
        <f>--SUBTOTAL(3,C$2:C1116)</f>
        <v>40</v>
      </c>
    </row>
    <row r="1117" spans="1:8" hidden="1" x14ac:dyDescent="0.15">
      <c r="A1117" s="2200" t="s">
        <v>1878</v>
      </c>
      <c r="B1117" s="2200" t="s">
        <v>4069</v>
      </c>
      <c r="C1117" s="2200" t="s">
        <v>4070</v>
      </c>
      <c r="D1117" s="2200" t="str">
        <f t="shared" si="64"/>
        <v>VA</v>
      </c>
      <c r="E1117" s="2200">
        <f t="shared" si="65"/>
        <v>36</v>
      </c>
      <c r="F1117" s="2200" t="str">
        <f t="shared" si="66"/>
        <v>51</v>
      </c>
      <c r="G1117" s="2200" t="str">
        <f t="shared" si="67"/>
        <v>47260</v>
      </c>
      <c r="H1117" s="2200">
        <f>--SUBTOTAL(3,C$2:C1117)</f>
        <v>40</v>
      </c>
    </row>
    <row r="1118" spans="1:8" hidden="1" x14ac:dyDescent="0.15">
      <c r="A1118" s="2200" t="s">
        <v>1878</v>
      </c>
      <c r="B1118" s="2200" t="s">
        <v>2180</v>
      </c>
      <c r="C1118" s="2200" t="s">
        <v>17852</v>
      </c>
      <c r="D1118" s="2200" t="str">
        <f t="shared" si="64"/>
        <v>VA</v>
      </c>
      <c r="E1118" s="2200">
        <f t="shared" si="65"/>
        <v>32</v>
      </c>
      <c r="F1118" s="2200" t="str">
        <f t="shared" si="66"/>
        <v>11</v>
      </c>
      <c r="G1118" s="2200" t="str">
        <f t="shared" si="67"/>
        <v>47900</v>
      </c>
      <c r="H1118" s="2200">
        <f>--SUBTOTAL(3,C$2:C1118)</f>
        <v>40</v>
      </c>
    </row>
    <row r="1119" spans="1:8" hidden="1" x14ac:dyDescent="0.15">
      <c r="A1119" s="2200" t="s">
        <v>1878</v>
      </c>
      <c r="B1119" s="2200" t="s">
        <v>4071</v>
      </c>
      <c r="C1119" s="2200" t="s">
        <v>4072</v>
      </c>
      <c r="D1119" s="2200" t="str">
        <f t="shared" si="64"/>
        <v>VA</v>
      </c>
      <c r="E1119" s="2200">
        <f t="shared" si="65"/>
        <v>11</v>
      </c>
      <c r="F1119" s="2200" t="str">
        <f t="shared" si="66"/>
        <v>51</v>
      </c>
      <c r="G1119" s="2200" t="str">
        <f t="shared" si="67"/>
        <v>49020</v>
      </c>
      <c r="H1119" s="2200">
        <f>--SUBTOTAL(3,C$2:C1119)</f>
        <v>40</v>
      </c>
    </row>
    <row r="1120" spans="1:8" hidden="1" x14ac:dyDescent="0.15">
      <c r="A1120" s="2200" t="s">
        <v>1884</v>
      </c>
      <c r="B1120" s="2200" t="s">
        <v>4073</v>
      </c>
      <c r="C1120" s="2200" t="s">
        <v>4074</v>
      </c>
      <c r="D1120" s="2200" t="str">
        <f t="shared" si="64"/>
        <v>VT</v>
      </c>
      <c r="E1120" s="2200">
        <f t="shared" si="65"/>
        <v>6</v>
      </c>
      <c r="F1120" s="2200" t="str">
        <f t="shared" si="66"/>
        <v>50</v>
      </c>
      <c r="G1120" s="2200" t="str">
        <f t="shared" si="67"/>
        <v>71050</v>
      </c>
      <c r="H1120" s="2200">
        <f>--SUBTOTAL(3,C$2:C1120)</f>
        <v>40</v>
      </c>
    </row>
    <row r="1121" spans="1:8" hidden="1" x14ac:dyDescent="0.15">
      <c r="A1121" s="2200" t="s">
        <v>1884</v>
      </c>
      <c r="B1121" s="2200" t="s">
        <v>4076</v>
      </c>
      <c r="C1121" s="2200" t="s">
        <v>4077</v>
      </c>
      <c r="D1121" s="2200" t="str">
        <f t="shared" si="64"/>
        <v>VT</v>
      </c>
      <c r="E1121" s="2200">
        <f t="shared" si="65"/>
        <v>11</v>
      </c>
      <c r="F1121" s="2200" t="str">
        <f t="shared" si="66"/>
        <v>50</v>
      </c>
      <c r="G1121" s="2200" t="str">
        <f t="shared" si="67"/>
        <v>71350</v>
      </c>
      <c r="H1121" s="2200">
        <f>--SUBTOTAL(3,C$2:C1121)</f>
        <v>40</v>
      </c>
    </row>
    <row r="1122" spans="1:8" hidden="1" x14ac:dyDescent="0.15">
      <c r="A1122" s="2200" t="s">
        <v>1878</v>
      </c>
      <c r="B1122" s="2200" t="s">
        <v>4078</v>
      </c>
      <c r="C1122" s="2200" t="s">
        <v>4079</v>
      </c>
      <c r="D1122" s="2200" t="str">
        <f t="shared" si="64"/>
        <v>VT</v>
      </c>
      <c r="E1122" s="2200">
        <f t="shared" si="65"/>
        <v>28</v>
      </c>
      <c r="F1122" s="2200" t="str">
        <f t="shared" si="66"/>
        <v>50</v>
      </c>
      <c r="G1122" s="2200" t="str">
        <f t="shared" si="67"/>
        <v>72400</v>
      </c>
      <c r="H1122" s="2200">
        <f>--SUBTOTAL(3,C$2:C1122)</f>
        <v>40</v>
      </c>
    </row>
    <row r="1123" spans="1:8" hidden="1" x14ac:dyDescent="0.15">
      <c r="A1123" s="2200" t="s">
        <v>1884</v>
      </c>
      <c r="B1123" s="2200" t="s">
        <v>4080</v>
      </c>
      <c r="C1123" s="2200" t="s">
        <v>4081</v>
      </c>
      <c r="D1123" s="2200" t="str">
        <f t="shared" si="64"/>
        <v>VT</v>
      </c>
      <c r="E1123" s="2200">
        <f t="shared" si="65"/>
        <v>8</v>
      </c>
      <c r="F1123" s="2200" t="str">
        <f t="shared" si="66"/>
        <v>50</v>
      </c>
      <c r="G1123" s="2200" t="str">
        <f t="shared" si="67"/>
        <v>77650</v>
      </c>
      <c r="H1123" s="2200">
        <f>--SUBTOTAL(3,C$2:C1123)</f>
        <v>40</v>
      </c>
    </row>
    <row r="1124" spans="1:8" hidden="1" x14ac:dyDescent="0.15">
      <c r="A1124" s="2200" t="s">
        <v>1884</v>
      </c>
      <c r="B1124" s="2200" t="s">
        <v>4082</v>
      </c>
      <c r="C1124" s="2200" t="s">
        <v>4083</v>
      </c>
      <c r="D1124" s="2200" t="str">
        <f t="shared" si="64"/>
        <v>WA</v>
      </c>
      <c r="E1124" s="2200">
        <f t="shared" si="65"/>
        <v>9</v>
      </c>
      <c r="F1124" s="2200" t="str">
        <f t="shared" si="66"/>
        <v>53</v>
      </c>
      <c r="G1124" s="2200" t="str">
        <f t="shared" si="67"/>
        <v>10140</v>
      </c>
      <c r="H1124" s="2200">
        <f>--SUBTOTAL(3,C$2:C1124)</f>
        <v>40</v>
      </c>
    </row>
    <row r="1125" spans="1:8" hidden="1" x14ac:dyDescent="0.15">
      <c r="A1125" s="2200" t="s">
        <v>1878</v>
      </c>
      <c r="B1125" s="2200" t="s">
        <v>4085</v>
      </c>
      <c r="C1125" s="2200" t="s">
        <v>4086</v>
      </c>
      <c r="D1125" s="2200" t="str">
        <f t="shared" si="64"/>
        <v>WA</v>
      </c>
      <c r="E1125" s="2200">
        <f t="shared" si="65"/>
        <v>11</v>
      </c>
      <c r="F1125" s="2200" t="str">
        <f t="shared" si="66"/>
        <v>53</v>
      </c>
      <c r="G1125" s="2200" t="str">
        <f t="shared" si="67"/>
        <v>13380</v>
      </c>
      <c r="H1125" s="2200">
        <f>--SUBTOTAL(3,C$2:C1125)</f>
        <v>40</v>
      </c>
    </row>
    <row r="1126" spans="1:8" hidden="1" x14ac:dyDescent="0.15">
      <c r="A1126" s="2200" t="s">
        <v>1878</v>
      </c>
      <c r="B1126" s="2200" t="s">
        <v>4087</v>
      </c>
      <c r="C1126" s="2200" t="s">
        <v>4088</v>
      </c>
      <c r="D1126" s="2200" t="str">
        <f t="shared" si="64"/>
        <v>WA</v>
      </c>
      <c r="E1126" s="2200">
        <f t="shared" si="65"/>
        <v>21</v>
      </c>
      <c r="F1126" s="2200" t="str">
        <f t="shared" si="66"/>
        <v>53</v>
      </c>
      <c r="G1126" s="2200" t="str">
        <f t="shared" si="67"/>
        <v>14740</v>
      </c>
      <c r="H1126" s="2200">
        <f>--SUBTOTAL(3,C$2:C1126)</f>
        <v>40</v>
      </c>
    </row>
    <row r="1127" spans="1:8" hidden="1" x14ac:dyDescent="0.15">
      <c r="A1127" s="2200" t="s">
        <v>1884</v>
      </c>
      <c r="B1127" s="2200" t="s">
        <v>4089</v>
      </c>
      <c r="C1127" s="2200" t="s">
        <v>4090</v>
      </c>
      <c r="D1127" s="2200" t="str">
        <f t="shared" si="64"/>
        <v>WA</v>
      </c>
      <c r="E1127" s="2200">
        <f t="shared" si="65"/>
        <v>10</v>
      </c>
      <c r="F1127" s="2200" t="str">
        <f t="shared" si="66"/>
        <v>53</v>
      </c>
      <c r="G1127" s="2200" t="str">
        <f t="shared" si="67"/>
        <v>16500</v>
      </c>
      <c r="H1127" s="2200">
        <f>--SUBTOTAL(3,C$2:C1127)</f>
        <v>40</v>
      </c>
    </row>
    <row r="1128" spans="1:8" hidden="1" x14ac:dyDescent="0.15">
      <c r="A1128" s="2200" t="s">
        <v>1884</v>
      </c>
      <c r="B1128" s="2200" t="s">
        <v>4091</v>
      </c>
      <c r="C1128" s="2200" t="s">
        <v>4092</v>
      </c>
      <c r="D1128" s="2200" t="str">
        <f t="shared" si="64"/>
        <v>WA</v>
      </c>
      <c r="E1128" s="2200">
        <f t="shared" si="65"/>
        <v>11</v>
      </c>
      <c r="F1128" s="2200" t="str">
        <f t="shared" si="66"/>
        <v>53</v>
      </c>
      <c r="G1128" s="2200" t="str">
        <f t="shared" si="67"/>
        <v>21260</v>
      </c>
      <c r="H1128" s="2200">
        <f>--SUBTOTAL(3,C$2:C1128)</f>
        <v>40</v>
      </c>
    </row>
    <row r="1129" spans="1:8" hidden="1" x14ac:dyDescent="0.15">
      <c r="A1129" s="2200" t="s">
        <v>1878</v>
      </c>
      <c r="B1129" s="2200" t="s">
        <v>4093</v>
      </c>
      <c r="C1129" s="2200" t="s">
        <v>4094</v>
      </c>
      <c r="D1129" s="2200" t="str">
        <f t="shared" si="64"/>
        <v>WA</v>
      </c>
      <c r="E1129" s="2200">
        <f t="shared" si="65"/>
        <v>19</v>
      </c>
      <c r="F1129" s="2200" t="str">
        <f t="shared" si="66"/>
        <v>53</v>
      </c>
      <c r="G1129" s="2200" t="str">
        <f t="shared" si="67"/>
        <v>28420</v>
      </c>
      <c r="H1129" s="2200">
        <f>--SUBTOTAL(3,C$2:C1129)</f>
        <v>40</v>
      </c>
    </row>
    <row r="1130" spans="1:8" hidden="1" x14ac:dyDescent="0.15">
      <c r="A1130" s="2200" t="s">
        <v>1878</v>
      </c>
      <c r="B1130" s="2200" t="s">
        <v>4095</v>
      </c>
      <c r="C1130" s="2200" t="s">
        <v>4096</v>
      </c>
      <c r="D1130" s="2200" t="str">
        <f t="shared" si="64"/>
        <v>WA</v>
      </c>
      <c r="E1130" s="2200">
        <f t="shared" si="65"/>
        <v>9</v>
      </c>
      <c r="F1130" s="2200" t="str">
        <f t="shared" si="66"/>
        <v>53</v>
      </c>
      <c r="G1130" s="2200" t="str">
        <f t="shared" si="67"/>
        <v>31020</v>
      </c>
      <c r="H1130" s="2200">
        <f>--SUBTOTAL(3,C$2:C1130)</f>
        <v>40</v>
      </c>
    </row>
    <row r="1131" spans="1:8" hidden="1" x14ac:dyDescent="0.15">
      <c r="A1131" s="2200" t="s">
        <v>1884</v>
      </c>
      <c r="B1131" s="2200" t="s">
        <v>4097</v>
      </c>
      <c r="C1131" s="2200" t="s">
        <v>4098</v>
      </c>
      <c r="D1131" s="2200" t="str">
        <f t="shared" si="64"/>
        <v>WA</v>
      </c>
      <c r="E1131" s="2200">
        <f t="shared" si="65"/>
        <v>11</v>
      </c>
      <c r="F1131" s="2200" t="str">
        <f t="shared" si="66"/>
        <v>53</v>
      </c>
      <c r="G1131" s="2200" t="str">
        <f t="shared" si="67"/>
        <v>34180</v>
      </c>
      <c r="H1131" s="2200">
        <f>--SUBTOTAL(3,C$2:C1131)</f>
        <v>40</v>
      </c>
    </row>
    <row r="1132" spans="1:8" hidden="1" x14ac:dyDescent="0.15">
      <c r="A1132" s="2200" t="s">
        <v>1902</v>
      </c>
      <c r="B1132" s="2200" t="s">
        <v>4099</v>
      </c>
      <c r="C1132" s="2200" t="s">
        <v>4100</v>
      </c>
      <c r="D1132" s="2200" t="str">
        <f t="shared" si="64"/>
        <v>WA</v>
      </c>
      <c r="E1132" s="2200">
        <f t="shared" si="65"/>
        <v>19</v>
      </c>
      <c r="F1132" s="2200" t="str">
        <f t="shared" si="66"/>
        <v>53</v>
      </c>
      <c r="G1132" s="2200" t="str">
        <f t="shared" si="67"/>
        <v>39300</v>
      </c>
      <c r="H1132" s="2200">
        <f>--SUBTOTAL(3,C$2:C1132)</f>
        <v>40</v>
      </c>
    </row>
    <row r="1133" spans="1:8" hidden="1" x14ac:dyDescent="0.15">
      <c r="A1133" s="2200" t="s">
        <v>1878</v>
      </c>
      <c r="B1133" s="2200" t="s">
        <v>4101</v>
      </c>
      <c r="C1133" s="2200" t="s">
        <v>4102</v>
      </c>
      <c r="D1133" s="2200" t="str">
        <f t="shared" si="64"/>
        <v>WA</v>
      </c>
      <c r="E1133" s="2200">
        <f t="shared" si="65"/>
        <v>23</v>
      </c>
      <c r="F1133" s="2200" t="str">
        <f t="shared" si="66"/>
        <v>53</v>
      </c>
      <c r="G1133" s="2200" t="str">
        <f t="shared" si="67"/>
        <v>34580</v>
      </c>
      <c r="H1133" s="2200">
        <f>--SUBTOTAL(3,C$2:C1133)</f>
        <v>40</v>
      </c>
    </row>
    <row r="1134" spans="1:8" hidden="1" x14ac:dyDescent="0.15">
      <c r="A1134" s="2200" t="s">
        <v>1884</v>
      </c>
      <c r="B1134" s="2200" t="s">
        <v>4103</v>
      </c>
      <c r="C1134" s="2200" t="s">
        <v>4104</v>
      </c>
      <c r="D1134" s="2200" t="str">
        <f t="shared" si="64"/>
        <v>WA</v>
      </c>
      <c r="E1134" s="2200">
        <f t="shared" si="65"/>
        <v>11</v>
      </c>
      <c r="F1134" s="2200" t="str">
        <f t="shared" si="66"/>
        <v>53</v>
      </c>
      <c r="G1134" s="2200" t="str">
        <f t="shared" si="67"/>
        <v>36020</v>
      </c>
      <c r="H1134" s="2200">
        <f>--SUBTOTAL(3,C$2:C1134)</f>
        <v>40</v>
      </c>
    </row>
    <row r="1135" spans="1:8" hidden="1" x14ac:dyDescent="0.15">
      <c r="A1135" s="2200" t="s">
        <v>1878</v>
      </c>
      <c r="B1135" s="2200" t="s">
        <v>4105</v>
      </c>
      <c r="C1135" s="2200" t="s">
        <v>4106</v>
      </c>
      <c r="D1135" s="2200" t="str">
        <f t="shared" ref="D1135:D1203" si="68">MID(C1135,E1135+2,2)</f>
        <v>WA</v>
      </c>
      <c r="E1135" s="2200">
        <f t="shared" ref="E1135:E1203" si="69">FIND(",",C1135)</f>
        <v>17</v>
      </c>
      <c r="F1135" s="2200" t="str">
        <f t="shared" ref="F1135:F1203" si="70">MID(B1135,3,2)</f>
        <v>53</v>
      </c>
      <c r="G1135" s="2200" t="str">
        <f t="shared" ref="G1135:G1203" si="71">MID(B1135,5,5)</f>
        <v>36500</v>
      </c>
      <c r="H1135" s="2200">
        <f>--SUBTOTAL(3,C$2:C1135)</f>
        <v>40</v>
      </c>
    </row>
    <row r="1136" spans="1:8" hidden="1" x14ac:dyDescent="0.15">
      <c r="A1136" s="2200" t="s">
        <v>1884</v>
      </c>
      <c r="B1136" s="2200" t="s">
        <v>4107</v>
      </c>
      <c r="C1136" s="2200" t="s">
        <v>4108</v>
      </c>
      <c r="D1136" s="2200" t="str">
        <f t="shared" si="68"/>
        <v>WA</v>
      </c>
      <c r="E1136" s="2200">
        <f t="shared" si="69"/>
        <v>8</v>
      </c>
      <c r="F1136" s="2200" t="str">
        <f t="shared" si="70"/>
        <v>53</v>
      </c>
      <c r="G1136" s="2200" t="str">
        <f t="shared" si="71"/>
        <v>36830</v>
      </c>
      <c r="H1136" s="2200">
        <f>--SUBTOTAL(3,C$2:C1136)</f>
        <v>40</v>
      </c>
    </row>
    <row r="1137" spans="1:8" hidden="1" x14ac:dyDescent="0.15">
      <c r="A1137" s="2200" t="s">
        <v>1884</v>
      </c>
      <c r="B1137" s="2200" t="s">
        <v>4109</v>
      </c>
      <c r="C1137" s="2200" t="s">
        <v>4110</v>
      </c>
      <c r="D1137" s="2200" t="str">
        <f t="shared" si="68"/>
        <v>WA</v>
      </c>
      <c r="E1137" s="2200">
        <f t="shared" si="69"/>
        <v>13</v>
      </c>
      <c r="F1137" s="2200" t="str">
        <f t="shared" si="70"/>
        <v>53</v>
      </c>
      <c r="G1137" s="2200" t="str">
        <f t="shared" si="71"/>
        <v>38820</v>
      </c>
      <c r="H1137" s="2200">
        <f>--SUBTOTAL(3,C$2:C1137)</f>
        <v>40</v>
      </c>
    </row>
    <row r="1138" spans="1:8" hidden="1" x14ac:dyDescent="0.15">
      <c r="A1138" s="2200" t="s">
        <v>1884</v>
      </c>
      <c r="B1138" s="2200" t="s">
        <v>4111</v>
      </c>
      <c r="C1138" s="2200" t="s">
        <v>4112</v>
      </c>
      <c r="D1138" s="2200" t="str">
        <f t="shared" si="68"/>
        <v>WA</v>
      </c>
      <c r="E1138" s="2200">
        <f t="shared" si="69"/>
        <v>8</v>
      </c>
      <c r="F1138" s="2200" t="str">
        <f t="shared" si="70"/>
        <v>53</v>
      </c>
      <c r="G1138" s="2200" t="str">
        <f t="shared" si="71"/>
        <v>39420</v>
      </c>
      <c r="H1138" s="2200">
        <f>--SUBTOTAL(3,C$2:C1138)</f>
        <v>40</v>
      </c>
    </row>
    <row r="1139" spans="1:8" hidden="1" x14ac:dyDescent="0.15">
      <c r="A1139" s="2200" t="s">
        <v>1902</v>
      </c>
      <c r="B1139" s="2200" t="s">
        <v>4113</v>
      </c>
      <c r="C1139" s="2200" t="s">
        <v>4114</v>
      </c>
      <c r="D1139" s="2200" t="str">
        <f t="shared" si="68"/>
        <v>WA</v>
      </c>
      <c r="E1139" s="2200">
        <f t="shared" si="69"/>
        <v>15</v>
      </c>
      <c r="F1139" s="2200" t="str">
        <f t="shared" si="70"/>
        <v>53</v>
      </c>
      <c r="G1139" s="2200" t="str">
        <f t="shared" si="71"/>
        <v>44600</v>
      </c>
      <c r="H1139" s="2200">
        <f>--SUBTOTAL(3,C$2:C1139)</f>
        <v>40</v>
      </c>
    </row>
    <row r="1140" spans="1:8" hidden="1" x14ac:dyDescent="0.15">
      <c r="A1140" s="2200" t="s">
        <v>2023</v>
      </c>
      <c r="B1140" s="2200" t="s">
        <v>4115</v>
      </c>
      <c r="C1140" s="2200" t="s">
        <v>4116</v>
      </c>
      <c r="D1140" s="2200" t="str">
        <f t="shared" si="68"/>
        <v>WA</v>
      </c>
      <c r="E1140" s="2200">
        <f t="shared" si="69"/>
        <v>25</v>
      </c>
      <c r="F1140" s="2200" t="str">
        <f t="shared" si="70"/>
        <v>53</v>
      </c>
      <c r="G1140" s="2200" t="str">
        <f t="shared" si="71"/>
        <v>42644</v>
      </c>
      <c r="H1140" s="2200">
        <f>--SUBTOTAL(3,C$2:C1140)</f>
        <v>40</v>
      </c>
    </row>
    <row r="1141" spans="1:8" hidden="1" x14ac:dyDescent="0.15">
      <c r="A1141" s="2200" t="s">
        <v>1902</v>
      </c>
      <c r="B1141" s="2200" t="s">
        <v>4117</v>
      </c>
      <c r="C1141" s="2200" t="s">
        <v>4118</v>
      </c>
      <c r="D1141" s="2200" t="str">
        <f t="shared" si="68"/>
        <v>WA</v>
      </c>
      <c r="E1141" s="2200">
        <f t="shared" si="69"/>
        <v>15</v>
      </c>
      <c r="F1141" s="2200" t="str">
        <f t="shared" si="70"/>
        <v>53</v>
      </c>
      <c r="G1141" s="2200" t="str">
        <f t="shared" si="71"/>
        <v>50000</v>
      </c>
      <c r="H1141" s="2200">
        <f>--SUBTOTAL(3,C$2:C1141)</f>
        <v>40</v>
      </c>
    </row>
    <row r="1142" spans="1:8" hidden="1" x14ac:dyDescent="0.15">
      <c r="A1142" s="2200" t="s">
        <v>1878</v>
      </c>
      <c r="B1142" s="2200" t="s">
        <v>4119</v>
      </c>
      <c r="C1142" s="2200" t="s">
        <v>4120</v>
      </c>
      <c r="D1142" s="2200" t="str">
        <f t="shared" si="68"/>
        <v>WA</v>
      </c>
      <c r="E1142" s="2200">
        <f t="shared" si="69"/>
        <v>24</v>
      </c>
      <c r="F1142" s="2200" t="str">
        <f t="shared" si="70"/>
        <v>53</v>
      </c>
      <c r="G1142" s="2200" t="str">
        <f t="shared" si="71"/>
        <v>42660</v>
      </c>
      <c r="H1142" s="2200">
        <f>--SUBTOTAL(3,C$2:C1142)</f>
        <v>40</v>
      </c>
    </row>
    <row r="1143" spans="1:8" hidden="1" x14ac:dyDescent="0.15">
      <c r="A1143" s="2200" t="s">
        <v>1884</v>
      </c>
      <c r="B1143" s="2200" t="s">
        <v>4121</v>
      </c>
      <c r="C1143" s="2200" t="s">
        <v>4122</v>
      </c>
      <c r="D1143" s="2200" t="str">
        <f t="shared" si="68"/>
        <v>WA</v>
      </c>
      <c r="E1143" s="2200">
        <f t="shared" si="69"/>
        <v>8</v>
      </c>
      <c r="F1143" s="2200" t="str">
        <f t="shared" si="70"/>
        <v>53</v>
      </c>
      <c r="G1143" s="2200" t="str">
        <f t="shared" si="71"/>
        <v>43220</v>
      </c>
      <c r="H1143" s="2200">
        <f>--SUBTOTAL(3,C$2:C1143)</f>
        <v>40</v>
      </c>
    </row>
    <row r="1144" spans="1:8" hidden="1" x14ac:dyDescent="0.15">
      <c r="A1144" s="2200" t="s">
        <v>1878</v>
      </c>
      <c r="B1144" s="2200" t="s">
        <v>4123</v>
      </c>
      <c r="C1144" s="2200" t="s">
        <v>4124</v>
      </c>
      <c r="D1144" s="2200" t="str">
        <f t="shared" si="68"/>
        <v>WA</v>
      </c>
      <c r="E1144" s="2200">
        <f t="shared" si="69"/>
        <v>23</v>
      </c>
      <c r="F1144" s="2200" t="str">
        <f t="shared" si="70"/>
        <v>53</v>
      </c>
      <c r="G1144" s="2200" t="str">
        <f t="shared" si="71"/>
        <v>44060</v>
      </c>
      <c r="H1144" s="2200">
        <f>--SUBTOTAL(3,C$2:C1144)</f>
        <v>40</v>
      </c>
    </row>
    <row r="1145" spans="1:8" hidden="1" x14ac:dyDescent="0.15">
      <c r="A1145" s="2200" t="s">
        <v>1902</v>
      </c>
      <c r="B1145" s="2200" t="s">
        <v>4125</v>
      </c>
      <c r="C1145" s="2200" t="s">
        <v>4126</v>
      </c>
      <c r="D1145" s="2200" t="str">
        <f t="shared" si="68"/>
        <v>WA</v>
      </c>
      <c r="E1145" s="2200">
        <f t="shared" si="69"/>
        <v>37</v>
      </c>
      <c r="F1145" s="2200" t="str">
        <f t="shared" si="70"/>
        <v>53</v>
      </c>
      <c r="G1145" s="2200" t="str">
        <f t="shared" si="71"/>
        <v>51800</v>
      </c>
      <c r="H1145" s="2200">
        <f>--SUBTOTAL(3,C$2:C1145)</f>
        <v>40</v>
      </c>
    </row>
    <row r="1146" spans="1:8" hidden="1" x14ac:dyDescent="0.15">
      <c r="A1146" s="2200" t="s">
        <v>2023</v>
      </c>
      <c r="B1146" s="2200" t="s">
        <v>4127</v>
      </c>
      <c r="C1146" s="2200" t="s">
        <v>4128</v>
      </c>
      <c r="D1146" s="2200" t="str">
        <f t="shared" si="68"/>
        <v>WA</v>
      </c>
      <c r="E1146" s="2200">
        <f t="shared" si="69"/>
        <v>16</v>
      </c>
      <c r="F1146" s="2200" t="str">
        <f t="shared" si="70"/>
        <v>53</v>
      </c>
      <c r="G1146" s="2200" t="str">
        <f t="shared" si="71"/>
        <v>45104</v>
      </c>
      <c r="H1146" s="2200">
        <f>--SUBTOTAL(3,C$2:C1146)</f>
        <v>40</v>
      </c>
    </row>
    <row r="1147" spans="1:8" hidden="1" x14ac:dyDescent="0.15">
      <c r="A1147" s="2200" t="s">
        <v>1878</v>
      </c>
      <c r="B1147" s="2200" t="s">
        <v>4129</v>
      </c>
      <c r="C1147" s="2200" t="s">
        <v>4130</v>
      </c>
      <c r="D1147" s="2200" t="str">
        <f t="shared" si="68"/>
        <v>WA</v>
      </c>
      <c r="E1147" s="2200">
        <f t="shared" si="69"/>
        <v>12</v>
      </c>
      <c r="F1147" s="2200" t="str">
        <f t="shared" si="70"/>
        <v>53</v>
      </c>
      <c r="G1147" s="2200" t="str">
        <f t="shared" si="71"/>
        <v>47460</v>
      </c>
      <c r="H1147" s="2200">
        <f>--SUBTOTAL(3,C$2:C1147)</f>
        <v>40</v>
      </c>
    </row>
    <row r="1148" spans="1:8" hidden="1" x14ac:dyDescent="0.15">
      <c r="A1148" s="2200" t="s">
        <v>1878</v>
      </c>
      <c r="B1148" s="2200" t="s">
        <v>4131</v>
      </c>
      <c r="C1148" s="2200" t="s">
        <v>4132</v>
      </c>
      <c r="D1148" s="2200" t="str">
        <f t="shared" si="68"/>
        <v>WA</v>
      </c>
      <c r="E1148" s="2200">
        <f t="shared" si="69"/>
        <v>10</v>
      </c>
      <c r="F1148" s="2200" t="str">
        <f t="shared" si="70"/>
        <v>53</v>
      </c>
      <c r="G1148" s="2200" t="str">
        <f t="shared" si="71"/>
        <v>48300</v>
      </c>
      <c r="H1148" s="2200">
        <f>--SUBTOTAL(3,C$2:C1148)</f>
        <v>40</v>
      </c>
    </row>
    <row r="1149" spans="1:8" hidden="1" x14ac:dyDescent="0.15">
      <c r="A1149" s="2200" t="s">
        <v>1878</v>
      </c>
      <c r="B1149" s="2200" t="s">
        <v>4133</v>
      </c>
      <c r="C1149" s="2200" t="s">
        <v>4134</v>
      </c>
      <c r="D1149" s="2200" t="str">
        <f t="shared" si="68"/>
        <v>WA</v>
      </c>
      <c r="E1149" s="2200">
        <f t="shared" si="69"/>
        <v>7</v>
      </c>
      <c r="F1149" s="2200" t="str">
        <f t="shared" si="70"/>
        <v>53</v>
      </c>
      <c r="G1149" s="2200" t="str">
        <f t="shared" si="71"/>
        <v>49420</v>
      </c>
      <c r="H1149" s="2200">
        <f>--SUBTOTAL(3,C$2:C1149)</f>
        <v>40</v>
      </c>
    </row>
    <row r="1150" spans="1:8" hidden="1" x14ac:dyDescent="0.15">
      <c r="A1150" s="2200" t="s">
        <v>1878</v>
      </c>
      <c r="B1150" s="2200" t="s">
        <v>4135</v>
      </c>
      <c r="C1150" s="2200" t="s">
        <v>4136</v>
      </c>
      <c r="D1150" s="2200" t="str">
        <f t="shared" si="68"/>
        <v>WI</v>
      </c>
      <c r="E1150" s="2200">
        <f t="shared" si="69"/>
        <v>9</v>
      </c>
      <c r="F1150" s="2200" t="str">
        <f t="shared" si="70"/>
        <v>55</v>
      </c>
      <c r="G1150" s="2200" t="str">
        <f t="shared" si="71"/>
        <v>11540</v>
      </c>
      <c r="H1150" s="2200">
        <f>--SUBTOTAL(3,C$2:C1150)</f>
        <v>40</v>
      </c>
    </row>
    <row r="1151" spans="1:8" hidden="1" x14ac:dyDescent="0.15">
      <c r="A1151" s="2200" t="s">
        <v>1902</v>
      </c>
      <c r="B1151" s="2200" t="s">
        <v>4138</v>
      </c>
      <c r="C1151" s="2200" t="s">
        <v>4139</v>
      </c>
      <c r="D1151" s="2200" t="str">
        <f t="shared" si="68"/>
        <v>WI</v>
      </c>
      <c r="E1151" s="2200">
        <f t="shared" si="69"/>
        <v>24</v>
      </c>
      <c r="F1151" s="2200" t="str">
        <f t="shared" si="70"/>
        <v>55</v>
      </c>
      <c r="G1151" s="2200" t="str">
        <f t="shared" si="71"/>
        <v>11800</v>
      </c>
      <c r="H1151" s="2200">
        <f>--SUBTOTAL(3,C$2:C1151)</f>
        <v>40</v>
      </c>
    </row>
    <row r="1152" spans="1:8" hidden="1" x14ac:dyDescent="0.15">
      <c r="A1152" s="2200" t="s">
        <v>1884</v>
      </c>
      <c r="B1152" s="2200" t="s">
        <v>4140</v>
      </c>
      <c r="C1152" s="2200" t="s">
        <v>4141</v>
      </c>
      <c r="D1152" s="2200" t="str">
        <f t="shared" si="68"/>
        <v>WI</v>
      </c>
      <c r="E1152" s="2200">
        <f t="shared" si="69"/>
        <v>8</v>
      </c>
      <c r="F1152" s="2200" t="str">
        <f t="shared" si="70"/>
        <v>55</v>
      </c>
      <c r="G1152" s="2200" t="str">
        <f t="shared" si="71"/>
        <v>12660</v>
      </c>
      <c r="H1152" s="2200">
        <f>--SUBTOTAL(3,C$2:C1152)</f>
        <v>40</v>
      </c>
    </row>
    <row r="1153" spans="1:8" hidden="1" x14ac:dyDescent="0.15">
      <c r="A1153" s="2200" t="s">
        <v>1884</v>
      </c>
      <c r="B1153" s="2200" t="s">
        <v>4142</v>
      </c>
      <c r="C1153" s="2200" t="s">
        <v>4143</v>
      </c>
      <c r="D1153" s="2200" t="str">
        <f t="shared" si="68"/>
        <v>WI</v>
      </c>
      <c r="E1153" s="2200">
        <f t="shared" si="69"/>
        <v>11</v>
      </c>
      <c r="F1153" s="2200" t="str">
        <f t="shared" si="70"/>
        <v>55</v>
      </c>
      <c r="G1153" s="2200" t="str">
        <f t="shared" si="71"/>
        <v>13180</v>
      </c>
      <c r="H1153" s="2200">
        <f>--SUBTOTAL(3,C$2:C1153)</f>
        <v>40</v>
      </c>
    </row>
    <row r="1154" spans="1:8" hidden="1" x14ac:dyDescent="0.15">
      <c r="A1154" s="2200" t="s">
        <v>1878</v>
      </c>
      <c r="B1154" s="2200" t="s">
        <v>2474</v>
      </c>
      <c r="C1154" s="2200" t="s">
        <v>17861</v>
      </c>
      <c r="D1154" s="2200" t="str">
        <f t="shared" si="68"/>
        <v>WI</v>
      </c>
      <c r="E1154" s="2200">
        <f t="shared" si="69"/>
        <v>25</v>
      </c>
      <c r="F1154" s="2200" t="str">
        <f t="shared" si="70"/>
        <v>17</v>
      </c>
      <c r="G1154" s="2200" t="str">
        <f t="shared" si="71"/>
        <v>16980</v>
      </c>
      <c r="H1154" s="2200">
        <f>--SUBTOTAL(3,C$2:C1154)</f>
        <v>40</v>
      </c>
    </row>
    <row r="1155" spans="1:8" hidden="1" x14ac:dyDescent="0.15">
      <c r="A1155" s="2200" t="s">
        <v>1878</v>
      </c>
      <c r="B1155" s="2200" t="s">
        <v>2939</v>
      </c>
      <c r="C1155" s="2200" t="s">
        <v>17870</v>
      </c>
      <c r="D1155" s="2200" t="str">
        <f t="shared" si="68"/>
        <v>WI</v>
      </c>
      <c r="E1155" s="2200">
        <f t="shared" si="69"/>
        <v>7</v>
      </c>
      <c r="F1155" s="2200" t="str">
        <f t="shared" si="70"/>
        <v>27</v>
      </c>
      <c r="G1155" s="2200" t="str">
        <f t="shared" si="71"/>
        <v>20260</v>
      </c>
      <c r="H1155" s="2200">
        <f>--SUBTOTAL(3,C$2:C1155)</f>
        <v>40</v>
      </c>
    </row>
    <row r="1156" spans="1:8" hidden="1" x14ac:dyDescent="0.15">
      <c r="A1156" s="2200" t="s">
        <v>1878</v>
      </c>
      <c r="B1156" s="2200" t="s">
        <v>4144</v>
      </c>
      <c r="C1156" s="2200" t="s">
        <v>4145</v>
      </c>
      <c r="D1156" s="2200" t="str">
        <f t="shared" si="68"/>
        <v>WI</v>
      </c>
      <c r="E1156" s="2200">
        <f t="shared" si="69"/>
        <v>11</v>
      </c>
      <c r="F1156" s="2200" t="str">
        <f t="shared" si="70"/>
        <v>55</v>
      </c>
      <c r="G1156" s="2200" t="str">
        <f t="shared" si="71"/>
        <v>20740</v>
      </c>
      <c r="H1156" s="2200">
        <f>--SUBTOTAL(3,C$2:C1156)</f>
        <v>40</v>
      </c>
    </row>
    <row r="1157" spans="1:8" hidden="1" x14ac:dyDescent="0.15">
      <c r="A1157" s="2200" t="s">
        <v>1902</v>
      </c>
      <c r="B1157" s="2200" t="s">
        <v>4146</v>
      </c>
      <c r="C1157" s="2200" t="s">
        <v>4147</v>
      </c>
      <c r="D1157" s="2200" t="str">
        <f t="shared" si="68"/>
        <v>WI</v>
      </c>
      <c r="E1157" s="2200">
        <f t="shared" si="69"/>
        <v>21</v>
      </c>
      <c r="F1157" s="2200" t="str">
        <f t="shared" si="70"/>
        <v>55</v>
      </c>
      <c r="G1157" s="2200" t="str">
        <f t="shared" si="71"/>
        <v>23200</v>
      </c>
      <c r="H1157" s="2200">
        <f>--SUBTOTAL(3,C$2:C1157)</f>
        <v>40</v>
      </c>
    </row>
    <row r="1158" spans="1:8" hidden="1" x14ac:dyDescent="0.15">
      <c r="A1158" s="2200" t="s">
        <v>1878</v>
      </c>
      <c r="B1158" s="2200" t="s">
        <v>4148</v>
      </c>
      <c r="C1158" s="2200" t="s">
        <v>4149</v>
      </c>
      <c r="D1158" s="2200" t="str">
        <f t="shared" si="68"/>
        <v>WI</v>
      </c>
      <c r="E1158" s="2200">
        <f t="shared" si="69"/>
        <v>12</v>
      </c>
      <c r="F1158" s="2200" t="str">
        <f t="shared" si="70"/>
        <v>55</v>
      </c>
      <c r="G1158" s="2200" t="str">
        <f t="shared" si="71"/>
        <v>22540</v>
      </c>
      <c r="H1158" s="2200">
        <f>--SUBTOTAL(3,C$2:C1158)</f>
        <v>40</v>
      </c>
    </row>
    <row r="1159" spans="1:8" hidden="1" x14ac:dyDescent="0.15">
      <c r="A1159" s="2200" t="s">
        <v>1878</v>
      </c>
      <c r="B1159" s="2200" t="s">
        <v>4150</v>
      </c>
      <c r="C1159" s="2200" t="s">
        <v>4151</v>
      </c>
      <c r="D1159" s="2200" t="str">
        <f t="shared" si="68"/>
        <v>WI</v>
      </c>
      <c r="E1159" s="2200">
        <f t="shared" si="69"/>
        <v>10</v>
      </c>
      <c r="F1159" s="2200" t="str">
        <f t="shared" si="70"/>
        <v>55</v>
      </c>
      <c r="G1159" s="2200" t="str">
        <f t="shared" si="71"/>
        <v>24580</v>
      </c>
      <c r="H1159" s="2200">
        <f>--SUBTOTAL(3,C$2:C1159)</f>
        <v>40</v>
      </c>
    </row>
    <row r="1160" spans="1:8" hidden="1" x14ac:dyDescent="0.15">
      <c r="A1160" s="2200" t="s">
        <v>1902</v>
      </c>
      <c r="B1160" s="2200" t="s">
        <v>4152</v>
      </c>
      <c r="C1160" s="2200" t="s">
        <v>4153</v>
      </c>
      <c r="D1160" s="2200" t="str">
        <f t="shared" si="68"/>
        <v>WI</v>
      </c>
      <c r="E1160" s="2200">
        <f t="shared" si="69"/>
        <v>18</v>
      </c>
      <c r="F1160" s="2200" t="str">
        <f t="shared" si="70"/>
        <v>55</v>
      </c>
      <c r="G1160" s="2200" t="str">
        <f t="shared" si="71"/>
        <v>26700</v>
      </c>
      <c r="H1160" s="2200">
        <f>--SUBTOTAL(3,C$2:C1160)</f>
        <v>40</v>
      </c>
    </row>
    <row r="1161" spans="1:8" hidden="1" x14ac:dyDescent="0.15">
      <c r="A1161" s="2200" t="s">
        <v>1878</v>
      </c>
      <c r="B1161" s="2200" t="s">
        <v>4154</v>
      </c>
      <c r="C1161" s="2200" t="s">
        <v>4155</v>
      </c>
      <c r="D1161" s="2200" t="str">
        <f t="shared" si="68"/>
        <v>WI</v>
      </c>
      <c r="E1161" s="2200">
        <f t="shared" si="69"/>
        <v>18</v>
      </c>
      <c r="F1161" s="2200" t="str">
        <f t="shared" si="70"/>
        <v>55</v>
      </c>
      <c r="G1161" s="2200" t="str">
        <f t="shared" si="71"/>
        <v>27500</v>
      </c>
      <c r="H1161" s="2200">
        <f>--SUBTOTAL(3,C$2:C1161)</f>
        <v>40</v>
      </c>
    </row>
    <row r="1162" spans="1:8" hidden="1" x14ac:dyDescent="0.15">
      <c r="A1162" s="2200" t="s">
        <v>1878</v>
      </c>
      <c r="B1162" s="2200" t="s">
        <v>4156</v>
      </c>
      <c r="C1162" s="2200" t="s">
        <v>4157</v>
      </c>
      <c r="D1162" s="2200" t="str">
        <f t="shared" si="68"/>
        <v>WI</v>
      </c>
      <c r="E1162" s="2200">
        <f t="shared" si="69"/>
        <v>19</v>
      </c>
      <c r="F1162" s="2200" t="str">
        <f t="shared" si="70"/>
        <v>55</v>
      </c>
      <c r="G1162" s="2200" t="str">
        <f t="shared" si="71"/>
        <v>29100</v>
      </c>
      <c r="H1162" s="2200">
        <f>--SUBTOTAL(3,C$2:C1162)</f>
        <v>40</v>
      </c>
    </row>
    <row r="1163" spans="1:8" hidden="1" x14ac:dyDescent="0.15">
      <c r="A1163" s="2200" t="s">
        <v>1878</v>
      </c>
      <c r="B1163" s="2200" t="s">
        <v>4158</v>
      </c>
      <c r="C1163" s="2200" t="s">
        <v>4159</v>
      </c>
      <c r="D1163" s="2200" t="str">
        <f t="shared" si="68"/>
        <v>WI</v>
      </c>
      <c r="E1163" s="2200">
        <f t="shared" si="69"/>
        <v>8</v>
      </c>
      <c r="F1163" s="2200" t="str">
        <f t="shared" si="70"/>
        <v>55</v>
      </c>
      <c r="G1163" s="2200" t="str">
        <f t="shared" si="71"/>
        <v>31540</v>
      </c>
      <c r="H1163" s="2200">
        <f>--SUBTOTAL(3,C$2:C1163)</f>
        <v>40</v>
      </c>
    </row>
    <row r="1164" spans="1:8" hidden="1" x14ac:dyDescent="0.15">
      <c r="A1164" s="2200" t="s">
        <v>1902</v>
      </c>
      <c r="B1164" s="2200" t="s">
        <v>4160</v>
      </c>
      <c r="C1164" s="2200" t="s">
        <v>4161</v>
      </c>
      <c r="D1164" s="2200" t="str">
        <f t="shared" si="68"/>
        <v>WI</v>
      </c>
      <c r="E1164" s="2200">
        <f t="shared" si="69"/>
        <v>26</v>
      </c>
      <c r="F1164" s="2200" t="str">
        <f t="shared" si="70"/>
        <v>55</v>
      </c>
      <c r="G1164" s="2200" t="str">
        <f t="shared" si="71"/>
        <v>35700</v>
      </c>
      <c r="H1164" s="2200">
        <f>--SUBTOTAL(3,C$2:C1164)</f>
        <v>40</v>
      </c>
    </row>
    <row r="1165" spans="1:8" hidden="1" x14ac:dyDescent="0.15">
      <c r="A1165" s="2200" t="s">
        <v>1884</v>
      </c>
      <c r="B1165" s="2200" t="s">
        <v>4162</v>
      </c>
      <c r="C1165" s="2200" t="s">
        <v>4163</v>
      </c>
      <c r="D1165" s="2200" t="str">
        <f t="shared" si="68"/>
        <v>WI</v>
      </c>
      <c r="E1165" s="2200">
        <f t="shared" si="69"/>
        <v>10</v>
      </c>
      <c r="F1165" s="2200" t="str">
        <f t="shared" si="70"/>
        <v>55</v>
      </c>
      <c r="G1165" s="2200" t="str">
        <f t="shared" si="71"/>
        <v>31820</v>
      </c>
      <c r="H1165" s="2200">
        <f>--SUBTOTAL(3,C$2:C1165)</f>
        <v>40</v>
      </c>
    </row>
    <row r="1166" spans="1:8" hidden="1" x14ac:dyDescent="0.15">
      <c r="A1166" s="2200" t="s">
        <v>1884</v>
      </c>
      <c r="B1166" s="2200" t="s">
        <v>4164</v>
      </c>
      <c r="C1166" s="2200" t="s">
        <v>4165</v>
      </c>
      <c r="D1166" s="2200" t="str">
        <f t="shared" si="68"/>
        <v>WI</v>
      </c>
      <c r="E1166" s="2200">
        <f t="shared" si="69"/>
        <v>10</v>
      </c>
      <c r="F1166" s="2200" t="str">
        <f t="shared" si="70"/>
        <v>55</v>
      </c>
      <c r="G1166" s="2200" t="str">
        <f t="shared" si="71"/>
        <v>31940</v>
      </c>
      <c r="H1166" s="2200">
        <f>--SUBTOTAL(3,C$2:C1166)</f>
        <v>40</v>
      </c>
    </row>
    <row r="1167" spans="1:8" hidden="1" x14ac:dyDescent="0.15">
      <c r="A1167" s="2200" t="s">
        <v>1884</v>
      </c>
      <c r="B1167" s="2200" t="s">
        <v>4166</v>
      </c>
      <c r="C1167" s="2200" t="s">
        <v>4167</v>
      </c>
      <c r="D1167" s="2200" t="str">
        <f t="shared" si="68"/>
        <v>WI</v>
      </c>
      <c r="E1167" s="2200">
        <f t="shared" si="69"/>
        <v>10</v>
      </c>
      <c r="F1167" s="2200" t="str">
        <f t="shared" si="70"/>
        <v>55</v>
      </c>
      <c r="G1167" s="2200" t="str">
        <f t="shared" si="71"/>
        <v>32860</v>
      </c>
      <c r="H1167" s="2200">
        <f>--SUBTOTAL(3,C$2:C1167)</f>
        <v>40</v>
      </c>
    </row>
    <row r="1168" spans="1:8" hidden="1" x14ac:dyDescent="0.15">
      <c r="A1168" s="2200" t="s">
        <v>1884</v>
      </c>
      <c r="B1168" s="2200" t="s">
        <v>4168</v>
      </c>
      <c r="C1168" s="2200" t="s">
        <v>4169</v>
      </c>
      <c r="D1168" s="2200" t="str">
        <f t="shared" si="68"/>
        <v>WI</v>
      </c>
      <c r="E1168" s="2200">
        <f t="shared" si="69"/>
        <v>8</v>
      </c>
      <c r="F1168" s="2200" t="str">
        <f t="shared" si="70"/>
        <v>55</v>
      </c>
      <c r="G1168" s="2200" t="str">
        <f t="shared" si="71"/>
        <v>32980</v>
      </c>
      <c r="H1168" s="2200">
        <f>--SUBTOTAL(3,C$2:C1168)</f>
        <v>40</v>
      </c>
    </row>
    <row r="1169" spans="1:8" hidden="1" x14ac:dyDescent="0.15">
      <c r="A1169" s="2200" t="s">
        <v>1902</v>
      </c>
      <c r="B1169" s="2200" t="s">
        <v>4170</v>
      </c>
      <c r="C1169" s="2200" t="s">
        <v>4171</v>
      </c>
      <c r="D1169" s="2200" t="str">
        <f t="shared" si="68"/>
        <v>WI</v>
      </c>
      <c r="E1169" s="2200">
        <f t="shared" si="69"/>
        <v>26</v>
      </c>
      <c r="F1169" s="2200" t="str">
        <f t="shared" si="70"/>
        <v>55</v>
      </c>
      <c r="G1169" s="2200" t="str">
        <f t="shared" si="71"/>
        <v>37600</v>
      </c>
      <c r="H1169" s="2200">
        <f>--SUBTOTAL(3,C$2:C1169)</f>
        <v>40</v>
      </c>
    </row>
    <row r="1170" spans="1:8" hidden="1" x14ac:dyDescent="0.15">
      <c r="A1170" s="2200" t="s">
        <v>1878</v>
      </c>
      <c r="B1170" s="2200" t="s">
        <v>4172</v>
      </c>
      <c r="C1170" s="2200" t="s">
        <v>4173</v>
      </c>
      <c r="D1170" s="2200" t="str">
        <f t="shared" si="68"/>
        <v>WI</v>
      </c>
      <c r="E1170" s="2200">
        <f t="shared" si="69"/>
        <v>30</v>
      </c>
      <c r="F1170" s="2200" t="str">
        <f t="shared" si="70"/>
        <v>55</v>
      </c>
      <c r="G1170" s="2200" t="str">
        <f t="shared" si="71"/>
        <v>33340</v>
      </c>
      <c r="H1170" s="2200">
        <f>--SUBTOTAL(3,C$2:C1170)</f>
        <v>40</v>
      </c>
    </row>
    <row r="1171" spans="1:8" hidden="1" x14ac:dyDescent="0.15">
      <c r="A1171" s="2200" t="s">
        <v>1878</v>
      </c>
      <c r="B1171" s="2200" t="s">
        <v>2959</v>
      </c>
      <c r="C1171" s="2200" t="s">
        <v>17871</v>
      </c>
      <c r="D1171" s="2200" t="str">
        <f t="shared" si="68"/>
        <v>WI</v>
      </c>
      <c r="E1171" s="2200">
        <f t="shared" si="69"/>
        <v>33</v>
      </c>
      <c r="F1171" s="2200" t="str">
        <f t="shared" si="70"/>
        <v>27</v>
      </c>
      <c r="G1171" s="2200" t="str">
        <f t="shared" si="71"/>
        <v>33460</v>
      </c>
      <c r="H1171" s="2200">
        <f>--SUBTOTAL(3,C$2:C1171)</f>
        <v>40</v>
      </c>
    </row>
    <row r="1172" spans="1:8" hidden="1" x14ac:dyDescent="0.15">
      <c r="A1172" s="2200" t="s">
        <v>1878</v>
      </c>
      <c r="B1172" s="2200" t="s">
        <v>4174</v>
      </c>
      <c r="C1172" s="2200" t="s">
        <v>4175</v>
      </c>
      <c r="D1172" s="2200" t="str">
        <f t="shared" si="68"/>
        <v>WI</v>
      </c>
      <c r="E1172" s="2200">
        <f t="shared" si="69"/>
        <v>15</v>
      </c>
      <c r="F1172" s="2200" t="str">
        <f t="shared" si="70"/>
        <v>55</v>
      </c>
      <c r="G1172" s="2200" t="str">
        <f t="shared" si="71"/>
        <v>36780</v>
      </c>
      <c r="H1172" s="2200">
        <f>--SUBTOTAL(3,C$2:C1172)</f>
        <v>40</v>
      </c>
    </row>
    <row r="1173" spans="1:8" hidden="1" x14ac:dyDescent="0.15">
      <c r="A1173" s="2200" t="s">
        <v>1884</v>
      </c>
      <c r="B1173" s="2200" t="s">
        <v>4176</v>
      </c>
      <c r="C1173" s="2200" t="s">
        <v>4177</v>
      </c>
      <c r="D1173" s="2200" t="str">
        <f t="shared" si="68"/>
        <v>WI</v>
      </c>
      <c r="E1173" s="2200">
        <f t="shared" si="69"/>
        <v>12</v>
      </c>
      <c r="F1173" s="2200" t="str">
        <f t="shared" si="70"/>
        <v>55</v>
      </c>
      <c r="G1173" s="2200" t="str">
        <f t="shared" si="71"/>
        <v>38420</v>
      </c>
      <c r="H1173" s="2200">
        <f>--SUBTOTAL(3,C$2:C1173)</f>
        <v>40</v>
      </c>
    </row>
    <row r="1174" spans="1:8" hidden="1" x14ac:dyDescent="0.15">
      <c r="A1174" s="2200" t="s">
        <v>1878</v>
      </c>
      <c r="B1174" s="2200" t="s">
        <v>4178</v>
      </c>
      <c r="C1174" s="2200" t="s">
        <v>4179</v>
      </c>
      <c r="D1174" s="2200" t="str">
        <f t="shared" si="68"/>
        <v>WI</v>
      </c>
      <c r="E1174" s="2200">
        <f t="shared" si="69"/>
        <v>7</v>
      </c>
      <c r="F1174" s="2200" t="str">
        <f t="shared" si="70"/>
        <v>55</v>
      </c>
      <c r="G1174" s="2200" t="str">
        <f t="shared" si="71"/>
        <v>39540</v>
      </c>
      <c r="H1174" s="2200">
        <f>--SUBTOTAL(3,C$2:C1174)</f>
        <v>40</v>
      </c>
    </row>
    <row r="1175" spans="1:8" hidden="1" x14ac:dyDescent="0.15">
      <c r="A1175" s="2200" t="s">
        <v>1884</v>
      </c>
      <c r="B1175" s="2200" t="s">
        <v>4180</v>
      </c>
      <c r="C1175" s="2200" t="s">
        <v>4181</v>
      </c>
      <c r="D1175" s="2200" t="str">
        <f t="shared" si="68"/>
        <v>WI</v>
      </c>
      <c r="E1175" s="2200">
        <f t="shared" si="69"/>
        <v>8</v>
      </c>
      <c r="F1175" s="2200" t="str">
        <f t="shared" si="70"/>
        <v>55</v>
      </c>
      <c r="G1175" s="2200" t="str">
        <f t="shared" si="71"/>
        <v>43020</v>
      </c>
      <c r="H1175" s="2200">
        <f>--SUBTOTAL(3,C$2:C1175)</f>
        <v>40</v>
      </c>
    </row>
    <row r="1176" spans="1:8" hidden="1" x14ac:dyDescent="0.15">
      <c r="A1176" s="2200" t="s">
        <v>1878</v>
      </c>
      <c r="B1176" s="2200" t="s">
        <v>4182</v>
      </c>
      <c r="C1176" s="2200" t="s">
        <v>4183</v>
      </c>
      <c r="D1176" s="2200" t="str">
        <f t="shared" si="68"/>
        <v>WI</v>
      </c>
      <c r="E1176" s="2200">
        <f t="shared" si="69"/>
        <v>10</v>
      </c>
      <c r="F1176" s="2200" t="str">
        <f t="shared" si="70"/>
        <v>55</v>
      </c>
      <c r="G1176" s="2200" t="str">
        <f t="shared" si="71"/>
        <v>43100</v>
      </c>
      <c r="H1176" s="2200">
        <f>--SUBTOTAL(3,C$2:C1176)</f>
        <v>40</v>
      </c>
    </row>
    <row r="1177" spans="1:8" hidden="1" x14ac:dyDescent="0.15">
      <c r="A1177" s="2200" t="s">
        <v>1884</v>
      </c>
      <c r="B1177" s="2200" t="s">
        <v>4184</v>
      </c>
      <c r="C1177" s="2200" t="s">
        <v>4185</v>
      </c>
      <c r="D1177" s="2200" t="str">
        <f t="shared" si="68"/>
        <v>WI</v>
      </c>
      <c r="E1177" s="2200">
        <f t="shared" si="69"/>
        <v>14</v>
      </c>
      <c r="F1177" s="2200" t="str">
        <f t="shared" si="70"/>
        <v>55</v>
      </c>
      <c r="G1177" s="2200" t="str">
        <f t="shared" si="71"/>
        <v>44620</v>
      </c>
      <c r="H1177" s="2200">
        <f>--SUBTOTAL(3,C$2:C1177)</f>
        <v>40</v>
      </c>
    </row>
    <row r="1178" spans="1:8" hidden="1" x14ac:dyDescent="0.15">
      <c r="A1178" s="2200" t="s">
        <v>1884</v>
      </c>
      <c r="B1178" s="2200" t="s">
        <v>4186</v>
      </c>
      <c r="C1178" s="2200" t="s">
        <v>4187</v>
      </c>
      <c r="D1178" s="2200" t="str">
        <f t="shared" si="68"/>
        <v>WI</v>
      </c>
      <c r="E1178" s="2200">
        <f t="shared" si="69"/>
        <v>24</v>
      </c>
      <c r="F1178" s="2200" t="str">
        <f t="shared" si="70"/>
        <v>55</v>
      </c>
      <c r="G1178" s="2200" t="str">
        <f t="shared" si="71"/>
        <v>48020</v>
      </c>
      <c r="H1178" s="2200">
        <f>--SUBTOTAL(3,C$2:C1178)</f>
        <v>40</v>
      </c>
    </row>
    <row r="1179" spans="1:8" hidden="1" x14ac:dyDescent="0.15">
      <c r="A1179" s="2200" t="s">
        <v>1878</v>
      </c>
      <c r="B1179" s="2200" t="s">
        <v>4188</v>
      </c>
      <c r="C1179" s="2200" t="s">
        <v>4189</v>
      </c>
      <c r="D1179" s="2200" t="str">
        <f t="shared" si="68"/>
        <v>WI</v>
      </c>
      <c r="E1179" s="2200">
        <f t="shared" si="69"/>
        <v>7</v>
      </c>
      <c r="F1179" s="2200" t="str">
        <f t="shared" si="70"/>
        <v>55</v>
      </c>
      <c r="G1179" s="2200" t="str">
        <f t="shared" si="71"/>
        <v>48140</v>
      </c>
      <c r="H1179" s="2200">
        <f>--SUBTOTAL(3,C$2:C1179)</f>
        <v>40</v>
      </c>
    </row>
    <row r="1180" spans="1:8" hidden="1" x14ac:dyDescent="0.15">
      <c r="A1180" s="2200" t="s">
        <v>1902</v>
      </c>
      <c r="B1180" s="2200" t="s">
        <v>4190</v>
      </c>
      <c r="C1180" s="2200" t="s">
        <v>4191</v>
      </c>
      <c r="D1180" s="2200" t="str">
        <f t="shared" si="68"/>
        <v>WI</v>
      </c>
      <c r="E1180" s="2200">
        <f t="shared" si="69"/>
        <v>38</v>
      </c>
      <c r="F1180" s="2200" t="str">
        <f t="shared" si="70"/>
        <v>55</v>
      </c>
      <c r="G1180" s="2200" t="str">
        <f t="shared" si="71"/>
        <v>55400</v>
      </c>
      <c r="H1180" s="2200">
        <f>--SUBTOTAL(3,C$2:C1180)</f>
        <v>40</v>
      </c>
    </row>
    <row r="1181" spans="1:8" hidden="1" x14ac:dyDescent="0.15">
      <c r="A1181" s="2200" t="s">
        <v>1884</v>
      </c>
      <c r="B1181" s="2200" t="s">
        <v>4192</v>
      </c>
      <c r="C1181" s="2200" t="s">
        <v>4193</v>
      </c>
      <c r="D1181" s="2200" t="str">
        <f t="shared" si="68"/>
        <v>WI</v>
      </c>
      <c r="E1181" s="2200">
        <f t="shared" si="69"/>
        <v>19</v>
      </c>
      <c r="F1181" s="2200" t="str">
        <f t="shared" si="70"/>
        <v>55</v>
      </c>
      <c r="G1181" s="2200" t="str">
        <f t="shared" si="71"/>
        <v>48580</v>
      </c>
      <c r="H1181" s="2200">
        <f>--SUBTOTAL(3,C$2:C1181)</f>
        <v>40</v>
      </c>
    </row>
    <row r="1182" spans="1:8" hidden="1" x14ac:dyDescent="0.15">
      <c r="A1182" s="2200" t="s">
        <v>1884</v>
      </c>
      <c r="B1182" s="2200" t="s">
        <v>4194</v>
      </c>
      <c r="C1182" s="2200" t="s">
        <v>4195</v>
      </c>
      <c r="D1182" s="2200" t="str">
        <f t="shared" si="68"/>
        <v>WI</v>
      </c>
      <c r="E1182" s="2200">
        <f t="shared" si="69"/>
        <v>28</v>
      </c>
      <c r="F1182" s="2200" t="str">
        <f t="shared" si="70"/>
        <v>55</v>
      </c>
      <c r="G1182" s="2200" t="str">
        <f t="shared" si="71"/>
        <v>49220</v>
      </c>
      <c r="H1182" s="2200">
        <f>--SUBTOTAL(3,C$2:C1182)</f>
        <v>40</v>
      </c>
    </row>
    <row r="1183" spans="1:8" hidden="1" x14ac:dyDescent="0.15">
      <c r="A1183" s="2200" t="s">
        <v>1878</v>
      </c>
      <c r="B1183" s="2200" t="s">
        <v>4196</v>
      </c>
      <c r="C1183" s="2200" t="s">
        <v>4197</v>
      </c>
      <c r="D1183" s="2200" t="str">
        <f t="shared" si="68"/>
        <v>WV</v>
      </c>
      <c r="E1183" s="2200">
        <f t="shared" si="69"/>
        <v>8</v>
      </c>
      <c r="F1183" s="2200" t="str">
        <f t="shared" si="70"/>
        <v>54</v>
      </c>
      <c r="G1183" s="2200" t="str">
        <f t="shared" si="71"/>
        <v>13220</v>
      </c>
      <c r="H1183" s="2200">
        <f>--SUBTOTAL(3,C$2:C1183)</f>
        <v>40</v>
      </c>
    </row>
    <row r="1184" spans="1:8" hidden="1" x14ac:dyDescent="0.15">
      <c r="A1184" s="2200" t="s">
        <v>1884</v>
      </c>
      <c r="B1184" s="2200" t="s">
        <v>4199</v>
      </c>
      <c r="C1184" s="2200" t="s">
        <v>4200</v>
      </c>
      <c r="D1184" s="2200" t="str">
        <f t="shared" si="68"/>
        <v>WV</v>
      </c>
      <c r="E1184" s="2200">
        <f t="shared" si="69"/>
        <v>10</v>
      </c>
      <c r="F1184" s="2200" t="str">
        <f t="shared" si="70"/>
        <v>54</v>
      </c>
      <c r="G1184" s="2200" t="str">
        <f t="shared" si="71"/>
        <v>14140</v>
      </c>
      <c r="H1184" s="2200">
        <f>--SUBTOTAL(3,C$2:C1184)</f>
        <v>40</v>
      </c>
    </row>
    <row r="1185" spans="1:8" hidden="1" x14ac:dyDescent="0.15">
      <c r="A1185" s="2200" t="s">
        <v>1878</v>
      </c>
      <c r="B1185" s="2200" t="s">
        <v>4201</v>
      </c>
      <c r="C1185" s="2200" t="s">
        <v>4202</v>
      </c>
      <c r="D1185" s="2200" t="str">
        <f t="shared" si="68"/>
        <v>WV</v>
      </c>
      <c r="E1185" s="2200">
        <f t="shared" si="69"/>
        <v>11</v>
      </c>
      <c r="F1185" s="2200" t="str">
        <f t="shared" si="70"/>
        <v>54</v>
      </c>
      <c r="G1185" s="2200" t="str">
        <f t="shared" si="71"/>
        <v>16620</v>
      </c>
      <c r="H1185" s="2200">
        <f>--SUBTOTAL(3,C$2:C1185)</f>
        <v>40</v>
      </c>
    </row>
    <row r="1186" spans="1:8" hidden="1" x14ac:dyDescent="0.15">
      <c r="A1186" s="2200" t="s">
        <v>1902</v>
      </c>
      <c r="B1186" s="2200" t="s">
        <v>4203</v>
      </c>
      <c r="C1186" s="2200" t="s">
        <v>4204</v>
      </c>
      <c r="D1186" s="2200" t="str">
        <f t="shared" si="68"/>
        <v>WV</v>
      </c>
      <c r="E1186" s="2200">
        <f t="shared" si="69"/>
        <v>30</v>
      </c>
      <c r="F1186" s="2200" t="str">
        <f t="shared" si="70"/>
        <v>54</v>
      </c>
      <c r="G1186" s="2200" t="str">
        <f t="shared" si="71"/>
        <v>17000</v>
      </c>
      <c r="H1186" s="2200">
        <f>--SUBTOTAL(3,C$2:C1186)</f>
        <v>40</v>
      </c>
    </row>
    <row r="1187" spans="1:8" hidden="1" x14ac:dyDescent="0.15">
      <c r="A1187" s="2200" t="s">
        <v>1884</v>
      </c>
      <c r="B1187" s="2200" t="s">
        <v>4205</v>
      </c>
      <c r="C1187" s="2200" t="s">
        <v>4206</v>
      </c>
      <c r="D1187" s="2200" t="str">
        <f t="shared" si="68"/>
        <v>WV</v>
      </c>
      <c r="E1187" s="2200">
        <f t="shared" si="69"/>
        <v>11</v>
      </c>
      <c r="F1187" s="2200" t="str">
        <f t="shared" si="70"/>
        <v>54</v>
      </c>
      <c r="G1187" s="2200" t="str">
        <f t="shared" si="71"/>
        <v>17220</v>
      </c>
      <c r="H1187" s="2200">
        <f>--SUBTOTAL(3,C$2:C1187)</f>
        <v>40</v>
      </c>
    </row>
    <row r="1188" spans="1:8" hidden="1" x14ac:dyDescent="0.15">
      <c r="A1188" s="2200" t="s">
        <v>1878</v>
      </c>
      <c r="B1188" s="2200" t="s">
        <v>2816</v>
      </c>
      <c r="C1188" s="2200" t="s">
        <v>17867</v>
      </c>
      <c r="D1188" s="2200" t="str">
        <f t="shared" si="68"/>
        <v>WV</v>
      </c>
      <c r="E1188" s="2200">
        <f t="shared" si="69"/>
        <v>11</v>
      </c>
      <c r="F1188" s="2200" t="str">
        <f t="shared" si="70"/>
        <v>24</v>
      </c>
      <c r="G1188" s="2200" t="str">
        <f t="shared" si="71"/>
        <v>19060</v>
      </c>
      <c r="H1188" s="2200">
        <f>--SUBTOTAL(3,C$2:C1188)</f>
        <v>40</v>
      </c>
    </row>
    <row r="1189" spans="1:8" hidden="1" x14ac:dyDescent="0.15">
      <c r="A1189" s="2200" t="s">
        <v>1884</v>
      </c>
      <c r="B1189" s="2200" t="s">
        <v>4207</v>
      </c>
      <c r="C1189" s="2200" t="s">
        <v>4208</v>
      </c>
      <c r="D1189" s="2200" t="str">
        <f t="shared" si="68"/>
        <v>WV</v>
      </c>
      <c r="E1189" s="2200">
        <f t="shared" si="69"/>
        <v>7</v>
      </c>
      <c r="F1189" s="2200" t="str">
        <f t="shared" si="70"/>
        <v>54</v>
      </c>
      <c r="G1189" s="2200" t="str">
        <f t="shared" si="71"/>
        <v>21180</v>
      </c>
      <c r="H1189" s="2200">
        <f>--SUBTOTAL(3,C$2:C1189)</f>
        <v>40</v>
      </c>
    </row>
    <row r="1190" spans="1:8" hidden="1" x14ac:dyDescent="0.15">
      <c r="A1190" s="2200" t="s">
        <v>1884</v>
      </c>
      <c r="B1190" s="2200" t="s">
        <v>4209</v>
      </c>
      <c r="C1190" s="2200" t="s">
        <v>4210</v>
      </c>
      <c r="D1190" s="2200" t="str">
        <f t="shared" si="68"/>
        <v>WV</v>
      </c>
      <c r="E1190" s="2200">
        <f t="shared" si="69"/>
        <v>9</v>
      </c>
      <c r="F1190" s="2200" t="str">
        <f t="shared" si="70"/>
        <v>54</v>
      </c>
      <c r="G1190" s="2200" t="str">
        <f t="shared" si="71"/>
        <v>21900</v>
      </c>
      <c r="H1190" s="2200">
        <f>--SUBTOTAL(3,C$2:C1190)</f>
        <v>40</v>
      </c>
    </row>
    <row r="1191" spans="1:8" hidden="1" x14ac:dyDescent="0.15">
      <c r="A1191" s="2200" t="s">
        <v>1878</v>
      </c>
      <c r="B1191" s="2200" t="s">
        <v>2820</v>
      </c>
      <c r="C1191" s="2200" t="s">
        <v>17868</v>
      </c>
      <c r="D1191" s="2200" t="str">
        <f t="shared" si="68"/>
        <v>WV</v>
      </c>
      <c r="E1191" s="2200">
        <f t="shared" si="69"/>
        <v>23</v>
      </c>
      <c r="F1191" s="2200" t="str">
        <f t="shared" si="70"/>
        <v>24</v>
      </c>
      <c r="G1191" s="2200" t="str">
        <f t="shared" si="71"/>
        <v>25180</v>
      </c>
      <c r="H1191" s="2200">
        <f>--SUBTOTAL(3,C$2:C1191)</f>
        <v>40</v>
      </c>
    </row>
    <row r="1192" spans="1:8" hidden="1" x14ac:dyDescent="0.15">
      <c r="A1192" s="2200" t="s">
        <v>1878</v>
      </c>
      <c r="B1192" s="2200" t="s">
        <v>4211</v>
      </c>
      <c r="C1192" s="2200" t="s">
        <v>4212</v>
      </c>
      <c r="D1192" s="2200" t="str">
        <f t="shared" si="68"/>
        <v>WV</v>
      </c>
      <c r="E1192" s="2200">
        <f t="shared" si="69"/>
        <v>19</v>
      </c>
      <c r="F1192" s="2200" t="str">
        <f t="shared" si="70"/>
        <v>54</v>
      </c>
      <c r="G1192" s="2200" t="str">
        <f t="shared" si="71"/>
        <v>26580</v>
      </c>
      <c r="H1192" s="2200">
        <f>--SUBTOTAL(3,C$2:C1192)</f>
        <v>40</v>
      </c>
    </row>
    <row r="1193" spans="1:8" hidden="1" x14ac:dyDescent="0.15">
      <c r="A1193" s="2200" t="s">
        <v>1884</v>
      </c>
      <c r="B1193" s="2200" t="s">
        <v>4213</v>
      </c>
      <c r="C1193" s="2200" t="s">
        <v>4214</v>
      </c>
      <c r="D1193" s="2200" t="str">
        <f t="shared" si="68"/>
        <v>WV</v>
      </c>
      <c r="E1193" s="2200">
        <f t="shared" si="69"/>
        <v>6</v>
      </c>
      <c r="F1193" s="2200" t="str">
        <f t="shared" si="70"/>
        <v>54</v>
      </c>
      <c r="G1193" s="2200" t="str">
        <f t="shared" si="71"/>
        <v>30880</v>
      </c>
      <c r="H1193" s="2200">
        <f>--SUBTOTAL(3,C$2:C1193)</f>
        <v>40</v>
      </c>
    </row>
    <row r="1194" spans="1:8" hidden="1" x14ac:dyDescent="0.15">
      <c r="A1194" s="2200" t="s">
        <v>1878</v>
      </c>
      <c r="B1194" s="2200" t="s">
        <v>4215</v>
      </c>
      <c r="C1194" s="2200" t="s">
        <v>4216</v>
      </c>
      <c r="D1194" s="2200" t="str">
        <f t="shared" si="68"/>
        <v>WV</v>
      </c>
      <c r="E1194" s="2200">
        <f t="shared" si="69"/>
        <v>11</v>
      </c>
      <c r="F1194" s="2200" t="str">
        <f t="shared" si="70"/>
        <v>54</v>
      </c>
      <c r="G1194" s="2200" t="str">
        <f t="shared" si="71"/>
        <v>34060</v>
      </c>
      <c r="H1194" s="2200">
        <f>--SUBTOTAL(3,C$2:C1194)</f>
        <v>40</v>
      </c>
    </row>
    <row r="1195" spans="1:8" hidden="1" x14ac:dyDescent="0.15">
      <c r="A1195" s="2200" t="s">
        <v>1902</v>
      </c>
      <c r="B1195" s="2200" t="s">
        <v>4217</v>
      </c>
      <c r="C1195" s="2200" t="s">
        <v>4218</v>
      </c>
      <c r="D1195" s="2200" t="str">
        <f t="shared" si="68"/>
        <v>WV</v>
      </c>
      <c r="E1195" s="2200">
        <f t="shared" si="69"/>
        <v>20</v>
      </c>
      <c r="F1195" s="2200" t="str">
        <f t="shared" si="70"/>
        <v>54</v>
      </c>
      <c r="G1195" s="2200" t="str">
        <f t="shared" si="71"/>
        <v>39000</v>
      </c>
      <c r="H1195" s="2200">
        <f>--SUBTOTAL(3,C$2:C1195)</f>
        <v>40</v>
      </c>
    </row>
    <row r="1196" spans="1:8" hidden="1" x14ac:dyDescent="0.15">
      <c r="A1196" s="2200" t="s">
        <v>1902</v>
      </c>
      <c r="B1196" s="2200" t="s">
        <v>4219</v>
      </c>
      <c r="C1196" s="2200" t="s">
        <v>4220</v>
      </c>
      <c r="D1196" s="2200" t="str">
        <f t="shared" si="68"/>
        <v>WV</v>
      </c>
      <c r="E1196" s="2200">
        <f t="shared" si="69"/>
        <v>28</v>
      </c>
      <c r="F1196" s="2200" t="str">
        <f t="shared" si="70"/>
        <v>54</v>
      </c>
      <c r="G1196" s="2200" t="str">
        <f t="shared" si="71"/>
        <v>42500</v>
      </c>
      <c r="H1196" s="2200">
        <f>--SUBTOTAL(3,C$2:C1196)</f>
        <v>40</v>
      </c>
    </row>
    <row r="1197" spans="1:8" hidden="1" x14ac:dyDescent="0.15">
      <c r="A1197" s="2200" t="s">
        <v>1878</v>
      </c>
      <c r="B1197" s="2200" t="s">
        <v>4221</v>
      </c>
      <c r="C1197" s="2200" t="s">
        <v>4222</v>
      </c>
      <c r="D1197" s="2200" t="str">
        <f t="shared" si="68"/>
        <v>WV</v>
      </c>
      <c r="E1197" s="2200">
        <f t="shared" si="69"/>
        <v>19</v>
      </c>
      <c r="F1197" s="2200" t="str">
        <f t="shared" si="70"/>
        <v>54</v>
      </c>
      <c r="G1197" s="2200" t="str">
        <f t="shared" si="71"/>
        <v>37620</v>
      </c>
      <c r="H1197" s="2200">
        <f>--SUBTOTAL(3,C$2:C1197)</f>
        <v>40</v>
      </c>
    </row>
    <row r="1198" spans="1:8" hidden="1" x14ac:dyDescent="0.15">
      <c r="A1198" s="2200" t="s">
        <v>1884</v>
      </c>
      <c r="B1198" s="2200" t="s">
        <v>4223</v>
      </c>
      <c r="C1198" s="2200" t="s">
        <v>4224</v>
      </c>
      <c r="D1198" s="2200" t="str">
        <f t="shared" si="68"/>
        <v>WV</v>
      </c>
      <c r="E1198" s="2200">
        <f t="shared" si="69"/>
        <v>15</v>
      </c>
      <c r="F1198" s="2200" t="str">
        <f t="shared" si="70"/>
        <v>39</v>
      </c>
      <c r="G1198" s="2200" t="str">
        <f t="shared" si="71"/>
        <v>38580</v>
      </c>
      <c r="H1198" s="2200">
        <f>--SUBTOTAL(3,C$2:C1198)</f>
        <v>40</v>
      </c>
    </row>
    <row r="1199" spans="1:8" hidden="1" x14ac:dyDescent="0.15">
      <c r="A1199" s="2200" t="s">
        <v>1878</v>
      </c>
      <c r="B1199" s="2200" t="s">
        <v>4225</v>
      </c>
      <c r="C1199" s="2200" t="s">
        <v>4226</v>
      </c>
      <c r="D1199" s="2200" t="str">
        <f t="shared" si="68"/>
        <v>WV</v>
      </c>
      <c r="E1199" s="2200">
        <f t="shared" si="69"/>
        <v>21</v>
      </c>
      <c r="F1199" s="2200" t="str">
        <f t="shared" si="70"/>
        <v>39</v>
      </c>
      <c r="G1199" s="2200" t="str">
        <f t="shared" si="71"/>
        <v>48260</v>
      </c>
      <c r="H1199" s="2200">
        <f>--SUBTOTAL(3,C$2:C1199)</f>
        <v>40</v>
      </c>
    </row>
    <row r="1200" spans="1:8" hidden="1" x14ac:dyDescent="0.15">
      <c r="A1200" s="2200" t="s">
        <v>1878</v>
      </c>
      <c r="B1200" s="2200" t="s">
        <v>4227</v>
      </c>
      <c r="C1200" s="2200" t="s">
        <v>4228</v>
      </c>
      <c r="D1200" s="2200" t="str">
        <f t="shared" si="68"/>
        <v>WV</v>
      </c>
      <c r="E1200" s="2200">
        <f t="shared" si="69"/>
        <v>9</v>
      </c>
      <c r="F1200" s="2200" t="str">
        <f t="shared" si="70"/>
        <v>54</v>
      </c>
      <c r="G1200" s="2200" t="str">
        <f t="shared" si="71"/>
        <v>48540</v>
      </c>
      <c r="H1200" s="2200">
        <f>--SUBTOTAL(3,C$2:C1200)</f>
        <v>40</v>
      </c>
    </row>
    <row r="1201" spans="1:8" hidden="1" x14ac:dyDescent="0.15">
      <c r="A1201" s="2200" t="s">
        <v>1878</v>
      </c>
      <c r="B1201" s="2200" t="s">
        <v>4229</v>
      </c>
      <c r="C1201" s="2200" t="s">
        <v>4230</v>
      </c>
      <c r="D1201" s="2200" t="str">
        <f t="shared" si="68"/>
        <v>WY</v>
      </c>
      <c r="E1201" s="2200">
        <f t="shared" si="69"/>
        <v>7</v>
      </c>
      <c r="F1201" s="2200" t="str">
        <f t="shared" si="70"/>
        <v>56</v>
      </c>
      <c r="G1201" s="2200" t="str">
        <f t="shared" si="71"/>
        <v>16220</v>
      </c>
      <c r="H1201" s="2200">
        <f>--SUBTOTAL(3,C$2:C1201)</f>
        <v>40</v>
      </c>
    </row>
    <row r="1202" spans="1:8" hidden="1" x14ac:dyDescent="0.15">
      <c r="A1202" s="2200" t="s">
        <v>1878</v>
      </c>
      <c r="B1202" s="2200" t="s">
        <v>4232</v>
      </c>
      <c r="C1202" s="2200" t="s">
        <v>4233</v>
      </c>
      <c r="D1202" s="2200" t="str">
        <f t="shared" si="68"/>
        <v>WY</v>
      </c>
      <c r="E1202" s="2200">
        <f t="shared" si="69"/>
        <v>9</v>
      </c>
      <c r="F1202" s="2200" t="str">
        <f t="shared" si="70"/>
        <v>56</v>
      </c>
      <c r="G1202" s="2200" t="str">
        <f t="shared" si="71"/>
        <v>16940</v>
      </c>
      <c r="H1202" s="2200">
        <f>--SUBTOTAL(3,C$2:C1202)</f>
        <v>40</v>
      </c>
    </row>
    <row r="1203" spans="1:8" hidden="1" x14ac:dyDescent="0.15">
      <c r="A1203" s="2200" t="s">
        <v>1884</v>
      </c>
      <c r="B1203" s="2200" t="s">
        <v>4234</v>
      </c>
      <c r="C1203" s="2200" t="s">
        <v>4235</v>
      </c>
      <c r="D1203" s="2200" t="str">
        <f t="shared" si="68"/>
        <v>WY</v>
      </c>
      <c r="E1203" s="2200">
        <f t="shared" si="69"/>
        <v>9</v>
      </c>
      <c r="F1203" s="2200" t="str">
        <f t="shared" si="70"/>
        <v>56</v>
      </c>
      <c r="G1203" s="2200" t="str">
        <f t="shared" si="71"/>
        <v>21740</v>
      </c>
      <c r="H1203" s="2200">
        <f>--SUBTOTAL(3,C$2:C1203)</f>
        <v>40</v>
      </c>
    </row>
    <row r="1204" spans="1:8" hidden="1" x14ac:dyDescent="0.15">
      <c r="A1204" s="2200" t="s">
        <v>1884</v>
      </c>
      <c r="B1204" s="2200" t="s">
        <v>4236</v>
      </c>
      <c r="C1204" s="2200" t="s">
        <v>4237</v>
      </c>
      <c r="D1204" s="2200" t="str">
        <f t="shared" ref="D1204:D1225" si="72">MID(C1204,E1204+2,2)</f>
        <v>WY</v>
      </c>
      <c r="E1204" s="2200">
        <f t="shared" ref="E1204:E1225" si="73">FIND(",",C1204)</f>
        <v>9</v>
      </c>
      <c r="F1204" s="2200" t="str">
        <f t="shared" ref="F1204:F1225" si="74">MID(B1204,3,2)</f>
        <v>56</v>
      </c>
      <c r="G1204" s="2200" t="str">
        <f t="shared" ref="G1204:G1225" si="75">MID(B1204,5,5)</f>
        <v>23940</v>
      </c>
      <c r="H1204" s="2200">
        <f>--SUBTOTAL(3,C$2:C1204)</f>
        <v>40</v>
      </c>
    </row>
    <row r="1205" spans="1:8" hidden="1" x14ac:dyDescent="0.15">
      <c r="A1205" s="2200" t="s">
        <v>1884</v>
      </c>
      <c r="B1205" s="2200" t="s">
        <v>4238</v>
      </c>
      <c r="C1205" s="2200" t="s">
        <v>4239</v>
      </c>
      <c r="D1205" s="2200" t="str">
        <f t="shared" si="72"/>
        <v>WY</v>
      </c>
      <c r="E1205" s="2200">
        <f t="shared" si="73"/>
        <v>8</v>
      </c>
      <c r="F1205" s="2200" t="str">
        <f t="shared" si="74"/>
        <v>56</v>
      </c>
      <c r="G1205" s="2200" t="str">
        <f t="shared" si="75"/>
        <v>27220</v>
      </c>
      <c r="H1205" s="2200">
        <f>--SUBTOTAL(3,C$2:C1205)</f>
        <v>40</v>
      </c>
    </row>
    <row r="1206" spans="1:8" hidden="1" x14ac:dyDescent="0.15">
      <c r="A1206" s="2200" t="s">
        <v>1884</v>
      </c>
      <c r="B1206" s="2200" t="s">
        <v>4240</v>
      </c>
      <c r="C1206" s="2200" t="s">
        <v>4241</v>
      </c>
      <c r="D1206" s="2200" t="str">
        <f t="shared" si="72"/>
        <v>WY</v>
      </c>
      <c r="E1206" s="2200">
        <f t="shared" si="73"/>
        <v>8</v>
      </c>
      <c r="F1206" s="2200" t="str">
        <f t="shared" si="74"/>
        <v>56</v>
      </c>
      <c r="G1206" s="2200" t="str">
        <f t="shared" si="75"/>
        <v>29660</v>
      </c>
      <c r="H1206" s="2200">
        <f>--SUBTOTAL(3,C$2:C1206)</f>
        <v>40</v>
      </c>
    </row>
    <row r="1207" spans="1:8" hidden="1" x14ac:dyDescent="0.15">
      <c r="A1207" s="2200" t="s">
        <v>1884</v>
      </c>
      <c r="B1207" s="2200" t="s">
        <v>4242</v>
      </c>
      <c r="C1207" s="2200" t="s">
        <v>4243</v>
      </c>
      <c r="D1207" s="2200" t="str">
        <f t="shared" si="72"/>
        <v>WY</v>
      </c>
      <c r="E1207" s="2200">
        <f t="shared" si="73"/>
        <v>9</v>
      </c>
      <c r="F1207" s="2200" t="str">
        <f t="shared" si="74"/>
        <v>56</v>
      </c>
      <c r="G1207" s="2200" t="str">
        <f t="shared" si="75"/>
        <v>40180</v>
      </c>
      <c r="H1207" s="2200">
        <f>--SUBTOTAL(3,C$2:C1207)</f>
        <v>40</v>
      </c>
    </row>
    <row r="1208" spans="1:8" hidden="1" x14ac:dyDescent="0.15">
      <c r="A1208" s="2200" t="s">
        <v>1884</v>
      </c>
      <c r="B1208" s="2200" t="s">
        <v>4244</v>
      </c>
      <c r="C1208" s="2200" t="s">
        <v>4245</v>
      </c>
      <c r="D1208" s="2200" t="str">
        <f t="shared" si="72"/>
        <v>WY</v>
      </c>
      <c r="E1208" s="2200">
        <f t="shared" si="73"/>
        <v>13</v>
      </c>
      <c r="F1208" s="2200" t="str">
        <f t="shared" si="74"/>
        <v>56</v>
      </c>
      <c r="G1208" s="2200" t="str">
        <f t="shared" si="75"/>
        <v>40540</v>
      </c>
      <c r="H1208" s="2200">
        <f>--SUBTOTAL(3,C$2:C1208)</f>
        <v>40</v>
      </c>
    </row>
    <row r="1209" spans="1:8" hidden="1" x14ac:dyDescent="0.15">
      <c r="A1209" s="2200" t="s">
        <v>1884</v>
      </c>
      <c r="B1209" s="2200" t="s">
        <v>4246</v>
      </c>
      <c r="C1209" s="2200" t="s">
        <v>4247</v>
      </c>
      <c r="D1209" s="2200" t="str">
        <f t="shared" si="72"/>
        <v>WY</v>
      </c>
      <c r="E1209" s="2200">
        <f t="shared" si="73"/>
        <v>9</v>
      </c>
      <c r="F1209" s="2200" t="str">
        <f t="shared" si="74"/>
        <v>56</v>
      </c>
      <c r="G1209" s="2200" t="str">
        <f t="shared" si="75"/>
        <v>43260</v>
      </c>
      <c r="H1209" s="2200">
        <f>--SUBTOTAL(3,C$2:C1209)</f>
        <v>40</v>
      </c>
    </row>
    <row r="1210" spans="1:8" hidden="1" x14ac:dyDescent="0.15">
      <c r="A1210" s="2200" t="s">
        <v>1878</v>
      </c>
      <c r="B1210" s="2200" t="s">
        <v>2180</v>
      </c>
      <c r="C1210" s="2200" t="s">
        <v>17853</v>
      </c>
      <c r="D1210" s="2200" t="str">
        <f t="shared" si="72"/>
        <v>WV</v>
      </c>
      <c r="E1210" s="2200">
        <f t="shared" si="73"/>
        <v>32</v>
      </c>
      <c r="F1210" s="2200" t="str">
        <f t="shared" si="74"/>
        <v>11</v>
      </c>
      <c r="G1210" s="2200" t="str">
        <f t="shared" si="75"/>
        <v>47900</v>
      </c>
      <c r="H1210" s="2200">
        <f>--SUBTOTAL(3,C$2:C1210)</f>
        <v>40</v>
      </c>
    </row>
    <row r="1211" spans="1:8" hidden="1" x14ac:dyDescent="0.15">
      <c r="A1211" s="2200" t="s">
        <v>1884</v>
      </c>
      <c r="B1211" s="2200" t="s">
        <v>4248</v>
      </c>
      <c r="C1211" s="2200" t="s">
        <v>4249</v>
      </c>
      <c r="D1211" s="2200" t="str">
        <f t="shared" si="72"/>
        <v>PR</v>
      </c>
      <c r="E1211" s="2200">
        <f t="shared" si="73"/>
        <v>9</v>
      </c>
      <c r="F1211" s="2200" t="str">
        <f t="shared" si="74"/>
        <v>72</v>
      </c>
      <c r="G1211" s="2200" t="str">
        <f t="shared" si="75"/>
        <v>10260</v>
      </c>
      <c r="H1211" s="2200">
        <f>--SUBTOTAL(3,C$2:C1211)</f>
        <v>40</v>
      </c>
    </row>
    <row r="1212" spans="1:8" hidden="1" x14ac:dyDescent="0.15">
      <c r="A1212" s="2200" t="s">
        <v>1878</v>
      </c>
      <c r="B1212" s="2200" t="s">
        <v>4251</v>
      </c>
      <c r="C1212" s="2200" t="s">
        <v>4252</v>
      </c>
      <c r="D1212" s="2200" t="str">
        <f t="shared" si="72"/>
        <v>PR</v>
      </c>
      <c r="E1212" s="2200">
        <f t="shared" si="73"/>
        <v>18</v>
      </c>
      <c r="F1212" s="2200" t="str">
        <f t="shared" si="74"/>
        <v>72</v>
      </c>
      <c r="G1212" s="2200" t="str">
        <f t="shared" si="75"/>
        <v>10380</v>
      </c>
      <c r="H1212" s="2200">
        <f>--SUBTOTAL(3,C$2:C1212)</f>
        <v>40</v>
      </c>
    </row>
    <row r="1213" spans="1:8" hidden="1" x14ac:dyDescent="0.15">
      <c r="A1213" s="2200" t="s">
        <v>1878</v>
      </c>
      <c r="B1213" s="2200" t="s">
        <v>4253</v>
      </c>
      <c r="C1213" s="2200" t="s">
        <v>4254</v>
      </c>
      <c r="D1213" s="2200" t="str">
        <f t="shared" si="72"/>
        <v>PR</v>
      </c>
      <c r="E1213" s="2200">
        <f t="shared" si="73"/>
        <v>8</v>
      </c>
      <c r="F1213" s="2200" t="str">
        <f t="shared" si="74"/>
        <v>72</v>
      </c>
      <c r="G1213" s="2200" t="str">
        <f t="shared" si="75"/>
        <v>11640</v>
      </c>
      <c r="H1213" s="2200">
        <f>--SUBTOTAL(3,C$2:C1213)</f>
        <v>40</v>
      </c>
    </row>
    <row r="1214" spans="1:8" hidden="1" x14ac:dyDescent="0.15">
      <c r="A1214" s="2200" t="s">
        <v>1884</v>
      </c>
      <c r="B1214" s="2200" t="s">
        <v>4255</v>
      </c>
      <c r="C1214" s="2200" t="s">
        <v>4256</v>
      </c>
      <c r="D1214" s="2200" t="str">
        <f t="shared" si="72"/>
        <v>PR</v>
      </c>
      <c r="E1214" s="2200">
        <f t="shared" si="73"/>
        <v>6</v>
      </c>
      <c r="F1214" s="2200" t="str">
        <f t="shared" si="74"/>
        <v>72</v>
      </c>
      <c r="G1214" s="2200" t="str">
        <f t="shared" si="75"/>
        <v>17620</v>
      </c>
      <c r="H1214" s="2200">
        <f>--SUBTOTAL(3,C$2:C1214)</f>
        <v>40</v>
      </c>
    </row>
    <row r="1215" spans="1:8" hidden="1" x14ac:dyDescent="0.15">
      <c r="A1215" s="2200" t="s">
        <v>1884</v>
      </c>
      <c r="B1215" s="2200" t="s">
        <v>4257</v>
      </c>
      <c r="C1215" s="2200" t="s">
        <v>4258</v>
      </c>
      <c r="D1215" s="2200" t="str">
        <f t="shared" si="72"/>
        <v>PR</v>
      </c>
      <c r="E1215" s="2200">
        <f t="shared" si="73"/>
        <v>5</v>
      </c>
      <c r="F1215" s="2200" t="str">
        <f t="shared" si="74"/>
        <v>72</v>
      </c>
      <c r="G1215" s="2200" t="str">
        <f t="shared" si="75"/>
        <v>17640</v>
      </c>
      <c r="H1215" s="2200">
        <f>--SUBTOTAL(3,C$2:C1215)</f>
        <v>40</v>
      </c>
    </row>
    <row r="1216" spans="1:8" hidden="1" x14ac:dyDescent="0.15">
      <c r="A1216" s="2200" t="s">
        <v>1878</v>
      </c>
      <c r="B1216" s="2200" t="s">
        <v>4259</v>
      </c>
      <c r="C1216" s="2200" t="s">
        <v>4260</v>
      </c>
      <c r="D1216" s="2200" t="str">
        <f t="shared" si="72"/>
        <v>PR</v>
      </c>
      <c r="E1216" s="2200">
        <f t="shared" si="73"/>
        <v>8</v>
      </c>
      <c r="F1216" s="2200" t="str">
        <f t="shared" si="74"/>
        <v>72</v>
      </c>
      <c r="G1216" s="2200" t="str">
        <f t="shared" si="75"/>
        <v>25020</v>
      </c>
      <c r="H1216" s="2200">
        <f>--SUBTOTAL(3,C$2:C1216)</f>
        <v>40</v>
      </c>
    </row>
    <row r="1217" spans="1:8" hidden="1" x14ac:dyDescent="0.15">
      <c r="A1217" s="2200" t="s">
        <v>1884</v>
      </c>
      <c r="B1217" s="2200" t="s">
        <v>4261</v>
      </c>
      <c r="C1217" s="2200" t="s">
        <v>4262</v>
      </c>
      <c r="D1217" s="2200" t="str">
        <f t="shared" si="72"/>
        <v>PR</v>
      </c>
      <c r="E1217" s="2200">
        <f t="shared" si="73"/>
        <v>7</v>
      </c>
      <c r="F1217" s="2200" t="str">
        <f t="shared" si="74"/>
        <v>72</v>
      </c>
      <c r="G1217" s="2200" t="str">
        <f t="shared" si="75"/>
        <v>27580</v>
      </c>
      <c r="H1217" s="2200">
        <f>--SUBTOTAL(3,C$2:C1217)</f>
        <v>40</v>
      </c>
    </row>
    <row r="1218" spans="1:8" hidden="1" x14ac:dyDescent="0.15">
      <c r="A1218" s="2200" t="s">
        <v>1878</v>
      </c>
      <c r="B1218" s="2200" t="s">
        <v>4263</v>
      </c>
      <c r="C1218" s="2200" t="s">
        <v>4264</v>
      </c>
      <c r="D1218" s="2200" t="str">
        <f t="shared" si="72"/>
        <v>PR</v>
      </c>
      <c r="E1218" s="2200">
        <f t="shared" si="73"/>
        <v>9</v>
      </c>
      <c r="F1218" s="2200" t="str">
        <f t="shared" si="74"/>
        <v>72</v>
      </c>
      <c r="G1218" s="2200" t="str">
        <f t="shared" si="75"/>
        <v>32420</v>
      </c>
      <c r="H1218" s="2200">
        <f>--SUBTOTAL(3,C$2:C1218)</f>
        <v>40</v>
      </c>
    </row>
    <row r="1219" spans="1:8" hidden="1" x14ac:dyDescent="0.15">
      <c r="A1219" s="2200" t="s">
        <v>1902</v>
      </c>
      <c r="B1219" s="2200" t="s">
        <v>4265</v>
      </c>
      <c r="C1219" s="2200" t="s">
        <v>4266</v>
      </c>
      <c r="D1219" s="2200" t="str">
        <f t="shared" si="72"/>
        <v>PR</v>
      </c>
      <c r="E1219" s="2200">
        <f t="shared" si="73"/>
        <v>20</v>
      </c>
      <c r="F1219" s="2200" t="str">
        <f t="shared" si="74"/>
        <v>72</v>
      </c>
      <c r="G1219" s="2200" t="str">
        <f t="shared" si="75"/>
        <v>36400</v>
      </c>
      <c r="H1219" s="2200">
        <f>--SUBTOTAL(3,C$2:C1219)</f>
        <v>40</v>
      </c>
    </row>
    <row r="1220" spans="1:8" hidden="1" x14ac:dyDescent="0.15">
      <c r="A1220" s="2200" t="s">
        <v>1878</v>
      </c>
      <c r="B1220" s="2200" t="s">
        <v>4267</v>
      </c>
      <c r="C1220" s="2200" t="s">
        <v>4268</v>
      </c>
      <c r="D1220" s="2200" t="str">
        <f t="shared" si="72"/>
        <v>PR</v>
      </c>
      <c r="E1220" s="2200">
        <f t="shared" si="73"/>
        <v>6</v>
      </c>
      <c r="F1220" s="2200" t="str">
        <f t="shared" si="74"/>
        <v>72</v>
      </c>
      <c r="G1220" s="2200" t="str">
        <f t="shared" si="75"/>
        <v>38660</v>
      </c>
      <c r="H1220" s="2200">
        <f>--SUBTOTAL(3,C$2:C1220)</f>
        <v>40</v>
      </c>
    </row>
    <row r="1221" spans="1:8" hidden="1" x14ac:dyDescent="0.15">
      <c r="A1221" s="2200" t="s">
        <v>1902</v>
      </c>
      <c r="B1221" s="2200" t="s">
        <v>4269</v>
      </c>
      <c r="C1221" s="2200" t="s">
        <v>4270</v>
      </c>
      <c r="D1221" s="2200" t="str">
        <f t="shared" si="72"/>
        <v>PR</v>
      </c>
      <c r="E1221" s="2200">
        <f t="shared" si="73"/>
        <v>25</v>
      </c>
      <c r="F1221" s="2200" t="str">
        <f t="shared" si="74"/>
        <v>72</v>
      </c>
      <c r="G1221" s="2200" t="str">
        <f t="shared" si="75"/>
        <v>43400</v>
      </c>
      <c r="H1221" s="2200">
        <f>--SUBTOTAL(3,C$2:C1221)</f>
        <v>40</v>
      </c>
    </row>
    <row r="1222" spans="1:8" hidden="1" x14ac:dyDescent="0.15">
      <c r="A1222" s="2200" t="s">
        <v>1878</v>
      </c>
      <c r="B1222" s="2200" t="s">
        <v>4271</v>
      </c>
      <c r="C1222" s="2200" t="s">
        <v>4272</v>
      </c>
      <c r="D1222" s="2200" t="str">
        <f t="shared" si="72"/>
        <v>PR</v>
      </c>
      <c r="E1222" s="2200">
        <f t="shared" si="73"/>
        <v>11</v>
      </c>
      <c r="F1222" s="2200" t="str">
        <f t="shared" si="74"/>
        <v>72</v>
      </c>
      <c r="G1222" s="2200" t="str">
        <f t="shared" si="75"/>
        <v>41900</v>
      </c>
      <c r="H1222" s="2200">
        <f>--SUBTOTAL(3,C$2:C1222)</f>
        <v>40</v>
      </c>
    </row>
    <row r="1223" spans="1:8" hidden="1" x14ac:dyDescent="0.15">
      <c r="A1223" s="2200" t="s">
        <v>1902</v>
      </c>
      <c r="B1223" s="2200" t="s">
        <v>4273</v>
      </c>
      <c r="C1223" s="2200" t="s">
        <v>4274</v>
      </c>
      <c r="D1223" s="2200" t="str">
        <f t="shared" si="72"/>
        <v>PR</v>
      </c>
      <c r="E1223" s="2200">
        <f t="shared" si="73"/>
        <v>18</v>
      </c>
      <c r="F1223" s="2200" t="str">
        <f t="shared" si="74"/>
        <v>72</v>
      </c>
      <c r="G1223" s="2200" t="str">
        <f t="shared" si="75"/>
        <v>49000</v>
      </c>
      <c r="H1223" s="2200">
        <f>--SUBTOTAL(3,C$2:C1223)</f>
        <v>40</v>
      </c>
    </row>
    <row r="1224" spans="1:8" hidden="1" x14ac:dyDescent="0.15">
      <c r="A1224" s="2200" t="s">
        <v>1878</v>
      </c>
      <c r="B1224" s="2200" t="s">
        <v>4275</v>
      </c>
      <c r="C1224" s="2200" t="s">
        <v>4276</v>
      </c>
      <c r="D1224" s="2200" t="str">
        <f t="shared" si="72"/>
        <v>PR</v>
      </c>
      <c r="E1224" s="2200">
        <f t="shared" si="73"/>
        <v>25</v>
      </c>
      <c r="F1224" s="2200" t="str">
        <f t="shared" si="74"/>
        <v>72</v>
      </c>
      <c r="G1224" s="2200" t="str">
        <f t="shared" si="75"/>
        <v>41980</v>
      </c>
      <c r="H1224" s="2200">
        <f>--SUBTOTAL(3,C$2:C1224)</f>
        <v>40</v>
      </c>
    </row>
    <row r="1225" spans="1:8" hidden="1" x14ac:dyDescent="0.15">
      <c r="A1225" s="2200" t="s">
        <v>1884</v>
      </c>
      <c r="B1225" s="2200" t="s">
        <v>4277</v>
      </c>
      <c r="C1225" s="2200" t="s">
        <v>4278</v>
      </c>
      <c r="D1225" s="2200" t="str">
        <f t="shared" si="72"/>
        <v>PR</v>
      </c>
      <c r="E1225" s="2200">
        <f t="shared" si="73"/>
        <v>13</v>
      </c>
      <c r="F1225" s="2200" t="str">
        <f t="shared" si="74"/>
        <v>72</v>
      </c>
      <c r="G1225" s="2200" t="str">
        <f t="shared" si="75"/>
        <v>42180</v>
      </c>
      <c r="H1225" s="2200">
        <f>--SUBTOTAL(3,C$2:C1225)</f>
        <v>40</v>
      </c>
    </row>
    <row r="1228" spans="1:8" x14ac:dyDescent="0.15">
      <c r="B1228" s="2200">
        <f>MAX(BLS_TableMSA[List_No])</f>
        <v>40</v>
      </c>
      <c r="C1228" s="2200" t="s">
        <v>1451</v>
      </c>
    </row>
    <row r="1230" spans="1:8" x14ac:dyDescent="0.15">
      <c r="B1230" s="2200" t="s">
        <v>1877</v>
      </c>
      <c r="C1230" s="2200" t="s">
        <v>1872</v>
      </c>
    </row>
    <row r="1231" spans="1:8" x14ac:dyDescent="0.15">
      <c r="B1231" s="2200">
        <v>1</v>
      </c>
      <c r="C1231" s="2200" t="str">
        <f>IFERROR(INDEX(BLS_TableMSA[area_text], MATCH(B1231,BLS_TableMSA[List_No],0)),"")</f>
        <v>Arcadia, FL (MiSA)</v>
      </c>
    </row>
    <row r="1232" spans="1:8" x14ac:dyDescent="0.15">
      <c r="B1232" s="2200">
        <v>2</v>
      </c>
      <c r="C1232" s="2200" t="str">
        <f>IFERROR(INDEX(BLS_TableMSA[area_text], MATCH(B1232,BLS_TableMSA[List_No],0)),"")</f>
        <v>Cape Coral-Fort Myers, FL (MSA)</v>
      </c>
    </row>
    <row r="1233" spans="2:3" x14ac:dyDescent="0.15">
      <c r="B1233" s="2200">
        <v>3</v>
      </c>
      <c r="C1233" s="2200" t="str">
        <f>IFERROR(INDEX(BLS_TableMSA[area_text], MATCH(B1233,BLS_TableMSA[List_No],0)),"")</f>
        <v>Cape Coral-Fort Myers-Naples, FL (CMSA)</v>
      </c>
    </row>
    <row r="1234" spans="2:3" x14ac:dyDescent="0.15">
      <c r="B1234" s="2200">
        <v>4</v>
      </c>
      <c r="C1234" s="2200" t="str">
        <f>IFERROR(INDEX(BLS_TableMSA[area_text], MATCH(B1234,BLS_TableMSA[List_No],0)),"")</f>
        <v>Clewiston, FL (MiSA)</v>
      </c>
    </row>
    <row r="1235" spans="2:3" x14ac:dyDescent="0.15">
      <c r="B1235" s="2200">
        <v>5</v>
      </c>
      <c r="C1235" s="2200" t="str">
        <f>IFERROR(INDEX(BLS_TableMSA[area_text], MATCH(B1235,BLS_TableMSA[List_No],0)),"")</f>
        <v>Crestview-Fort Walton Beach-Destin, FL (MSA)</v>
      </c>
    </row>
    <row r="1236" spans="2:3" x14ac:dyDescent="0.15">
      <c r="B1236" s="2200">
        <v>6</v>
      </c>
      <c r="C1236" s="2200" t="str">
        <f>IFERROR(INDEX(BLS_TableMSA[area_text], MATCH(B1236,BLS_TableMSA[List_No],0)),"")</f>
        <v>Deltona-Daytona Beach-Ormond Beach, FL (MSA)</v>
      </c>
    </row>
    <row r="1237" spans="2:3" x14ac:dyDescent="0.15">
      <c r="B1237" s="2200">
        <v>7</v>
      </c>
      <c r="C1237" s="2200" t="str">
        <f>IFERROR(INDEX(BLS_TableMSA[area_text], MATCH(B1237,BLS_TableMSA[List_No],0)),"")</f>
        <v>Fort Lauderdale-Pompano Beach-Deerfield Beach, FL (MD)</v>
      </c>
    </row>
    <row r="1238" spans="2:3" x14ac:dyDescent="0.15">
      <c r="B1238" s="2200">
        <v>8</v>
      </c>
      <c r="C1238" s="2200" t="str">
        <f>IFERROR(INDEX(BLS_TableMSA[area_text], MATCH(B1238,BLS_TableMSA[List_No],0)),"")</f>
        <v>Gainesville, FL (MSA)</v>
      </c>
    </row>
    <row r="1239" spans="2:3" x14ac:dyDescent="0.15">
      <c r="B1239" s="2200">
        <v>9</v>
      </c>
      <c r="C1239" s="2200" t="str">
        <f>IFERROR(INDEX(BLS_TableMSA[area_text], MATCH(B1239,BLS_TableMSA[List_No],0)),"")</f>
        <v>Gainesville-Lake City, FL (CMSA)</v>
      </c>
    </row>
    <row r="1240" spans="2:3" x14ac:dyDescent="0.15">
      <c r="B1240" s="2200">
        <v>10</v>
      </c>
      <c r="C1240" s="2200" t="str">
        <f>IFERROR(INDEX(BLS_TableMSA[area_text], MATCH(B1240,BLS_TableMSA[List_No],0)),"")</f>
        <v>Homosassa Springs, FL (MSA)</v>
      </c>
    </row>
    <row r="1241" spans="2:3" x14ac:dyDescent="0.15">
      <c r="B1241" s="2200">
        <v>11</v>
      </c>
      <c r="C1241" s="2200" t="str">
        <f>IFERROR(INDEX(BLS_TableMSA[area_text], MATCH(B1241,BLS_TableMSA[List_No],0)),"")</f>
        <v>Jacksonville, FL (MSA)</v>
      </c>
    </row>
    <row r="1242" spans="2:3" x14ac:dyDescent="0.15">
      <c r="B1242" s="2200">
        <v>12</v>
      </c>
      <c r="C1242" s="2200" t="str">
        <f>IFERROR(INDEX(BLS_TableMSA[area_text], MATCH(B1242,BLS_TableMSA[List_No],0)),"")</f>
        <v>Jacksonville-St. Marys-Palatka, FL-GA (CMSA)</v>
      </c>
    </row>
    <row r="1243" spans="2:3" x14ac:dyDescent="0.15">
      <c r="B1243" s="2200">
        <v>13</v>
      </c>
      <c r="C1243" s="2200" t="str">
        <f>IFERROR(INDEX(BLS_TableMSA[area_text], MATCH(B1243,BLS_TableMSA[List_No],0)),"")</f>
        <v>Key West, FL (MiSA)</v>
      </c>
    </row>
    <row r="1244" spans="2:3" x14ac:dyDescent="0.15">
      <c r="B1244" s="2200">
        <v>14</v>
      </c>
      <c r="C1244" s="2200" t="str">
        <f>IFERROR(INDEX(BLS_TableMSA[area_text], MATCH(B1244,BLS_TableMSA[List_No],0)),"")</f>
        <v>Lake City, FL (MiSA)</v>
      </c>
    </row>
    <row r="1245" spans="2:3" x14ac:dyDescent="0.15">
      <c r="B1245" s="2200">
        <v>15</v>
      </c>
      <c r="C1245" s="2200" t="str">
        <f>IFERROR(INDEX(BLS_TableMSA[area_text], MATCH(B1245,BLS_TableMSA[List_No],0)),"")</f>
        <v>Lakeland-Winter Haven, FL (MSA)</v>
      </c>
    </row>
    <row r="1246" spans="2:3" x14ac:dyDescent="0.15">
      <c r="B1246" s="2200">
        <v>16</v>
      </c>
      <c r="C1246" s="2200" t="str">
        <f>IFERROR(INDEX(BLS_TableMSA[area_text], MATCH(B1246,BLS_TableMSA[List_No],0)),"")</f>
        <v>Miami-Fort Lauderdale-Port St. Lucie, FL (CMSA)</v>
      </c>
    </row>
    <row r="1247" spans="2:3" x14ac:dyDescent="0.15">
      <c r="B1247" s="2200">
        <v>17</v>
      </c>
      <c r="C1247" s="2200" t="str">
        <f>IFERROR(INDEX(BLS_TableMSA[area_text], MATCH(B1247,BLS_TableMSA[List_No],0)),"")</f>
        <v>Miami-Fort Lauderdale-West Palm Beach, FL (MSA)</v>
      </c>
    </row>
    <row r="1248" spans="2:3" x14ac:dyDescent="0.15">
      <c r="B1248" s="2200">
        <v>18</v>
      </c>
      <c r="C1248" s="2200" t="str">
        <f>IFERROR(INDEX(BLS_TableMSA[area_text], MATCH(B1248,BLS_TableMSA[List_No],0)),"")</f>
        <v>Miami-Miami Beach-Kendall, FL (MD)</v>
      </c>
    </row>
    <row r="1249" spans="2:3" x14ac:dyDescent="0.15">
      <c r="B1249" s="2200">
        <v>19</v>
      </c>
      <c r="C1249" s="2200" t="str">
        <f>IFERROR(INDEX(BLS_TableMSA[area_text], MATCH(B1249,BLS_TableMSA[List_No],0)),"")</f>
        <v>Naples-Immokalee-Marco Island, FL (MSA)</v>
      </c>
    </row>
    <row r="1250" spans="2:3" x14ac:dyDescent="0.15">
      <c r="B1250" s="2200">
        <v>20</v>
      </c>
      <c r="C1250" s="2200" t="str">
        <f>IFERROR(INDEX(BLS_TableMSA[area_text], MATCH(B1250,BLS_TableMSA[List_No],0)),"")</f>
        <v>North Port-Sarasota, FL (CMSA)</v>
      </c>
    </row>
    <row r="1251" spans="2:3" x14ac:dyDescent="0.15">
      <c r="B1251" s="2200">
        <v>21</v>
      </c>
      <c r="C1251" s="2200" t="str">
        <f>IFERROR(INDEX(BLS_TableMSA[area_text], MATCH(B1251,BLS_TableMSA[List_No],0)),"")</f>
        <v>North Port-Sarasota-Bradenton, FL (MSA)</v>
      </c>
    </row>
    <row r="1252" spans="2:3" x14ac:dyDescent="0.15">
      <c r="B1252" s="2200">
        <v>22</v>
      </c>
      <c r="C1252" s="2200" t="str">
        <f>IFERROR(INDEX(BLS_TableMSA[area_text], MATCH(B1252,BLS_TableMSA[List_No],0)),"")</f>
        <v>Ocala, FL (MSA)</v>
      </c>
    </row>
    <row r="1253" spans="2:3" x14ac:dyDescent="0.15">
      <c r="B1253" s="2200">
        <v>23</v>
      </c>
      <c r="C1253" s="2200" t="str">
        <f>IFERROR(INDEX(BLS_TableMSA[area_text], MATCH(B1253,BLS_TableMSA[List_No],0)),"")</f>
        <v>Okeechobee, FL (MiSA)</v>
      </c>
    </row>
    <row r="1254" spans="2:3" x14ac:dyDescent="0.15">
      <c r="B1254" s="2200">
        <v>24</v>
      </c>
      <c r="C1254" s="2200" t="str">
        <f>IFERROR(INDEX(BLS_TableMSA[area_text], MATCH(B1254,BLS_TableMSA[List_No],0)),"")</f>
        <v>Orlando-Deltona-Daytona Beach, FL (CMSA)</v>
      </c>
    </row>
    <row r="1255" spans="2:3" x14ac:dyDescent="0.15">
      <c r="B1255" s="2200">
        <v>25</v>
      </c>
      <c r="C1255" s="2200" t="str">
        <f>IFERROR(INDEX(BLS_TableMSA[area_text], MATCH(B1255,BLS_TableMSA[List_No],0)),"")</f>
        <v>Orlando-Kissimmee-Sanford, FL (MSA)</v>
      </c>
    </row>
    <row r="1256" spans="2:3" x14ac:dyDescent="0.15">
      <c r="B1256" s="2200">
        <v>26</v>
      </c>
      <c r="C1256" s="2200" t="str">
        <f>IFERROR(INDEX(BLS_TableMSA[area_text], MATCH(B1256,BLS_TableMSA[List_No],0)),"")</f>
        <v>Palatka, FL (MiSA)</v>
      </c>
    </row>
    <row r="1257" spans="2:3" x14ac:dyDescent="0.15">
      <c r="B1257" s="2200">
        <v>27</v>
      </c>
      <c r="C1257" s="2200" t="str">
        <f>IFERROR(INDEX(BLS_TableMSA[area_text], MATCH(B1257,BLS_TableMSA[List_No],0)),"")</f>
        <v>Palm Bay-Melbourne-Titusville, FL (MSA)</v>
      </c>
    </row>
    <row r="1258" spans="2:3" x14ac:dyDescent="0.15">
      <c r="B1258" s="2200">
        <v>28</v>
      </c>
      <c r="C1258" s="2200" t="str">
        <f>IFERROR(INDEX(BLS_TableMSA[area_text], MATCH(B1258,BLS_TableMSA[List_No],0)),"")</f>
        <v>Panama City, FL (MSA)</v>
      </c>
    </row>
    <row r="1259" spans="2:3" x14ac:dyDescent="0.15">
      <c r="B1259" s="2200">
        <v>29</v>
      </c>
      <c r="C1259" s="2200" t="str">
        <f>IFERROR(INDEX(BLS_TableMSA[area_text], MATCH(B1259,BLS_TableMSA[List_No],0)),"")</f>
        <v>Pensacola-Ferry Pass, FL-AL (CMSA)</v>
      </c>
    </row>
    <row r="1260" spans="2:3" x14ac:dyDescent="0.15">
      <c r="B1260" s="2200">
        <v>30</v>
      </c>
      <c r="C1260" s="2200" t="str">
        <f>IFERROR(INDEX(BLS_TableMSA[area_text], MATCH(B1260,BLS_TableMSA[List_No],0)),"")</f>
        <v>Pensacola-Ferry Pass-Brent, FL (MSA)</v>
      </c>
    </row>
    <row r="1261" spans="2:3" x14ac:dyDescent="0.15">
      <c r="B1261" s="2200">
        <v>31</v>
      </c>
      <c r="C1261" s="2200" t="str">
        <f>IFERROR(INDEX(BLS_TableMSA[area_text], MATCH(B1261,BLS_TableMSA[List_No],0)),"")</f>
        <v>Port St. Lucie, FL (MSA)</v>
      </c>
    </row>
    <row r="1262" spans="2:3" x14ac:dyDescent="0.15">
      <c r="B1262" s="2200">
        <v>32</v>
      </c>
      <c r="C1262" s="2200" t="str">
        <f>IFERROR(INDEX(BLS_TableMSA[area_text], MATCH(B1262,BLS_TableMSA[List_No],0)),"")</f>
        <v>Punta Gorda, FL (MSA)</v>
      </c>
    </row>
    <row r="1263" spans="2:3" x14ac:dyDescent="0.15">
      <c r="B1263" s="2200">
        <v>33</v>
      </c>
      <c r="C1263" s="2200" t="str">
        <f>IFERROR(INDEX(BLS_TableMSA[area_text], MATCH(B1263,BLS_TableMSA[List_No],0)),"")</f>
        <v>Sebastian-Vero Beach, FL (MSA)</v>
      </c>
    </row>
    <row r="1264" spans="2:3" x14ac:dyDescent="0.15">
      <c r="B1264" s="2200">
        <v>34</v>
      </c>
      <c r="C1264" s="2200" t="str">
        <f>IFERROR(INDEX(BLS_TableMSA[area_text], MATCH(B1264,BLS_TableMSA[List_No],0)),"")</f>
        <v>Sebring, FL (MSA)</v>
      </c>
    </row>
    <row r="1265" spans="2:3" x14ac:dyDescent="0.15">
      <c r="B1265" s="2200">
        <v>35</v>
      </c>
      <c r="C1265" s="2200" t="str">
        <f>IFERROR(INDEX(BLS_TableMSA[area_text], MATCH(B1265,BLS_TableMSA[List_No],0)),"")</f>
        <v>Tallahassee, FL (MSA)</v>
      </c>
    </row>
    <row r="1266" spans="2:3" x14ac:dyDescent="0.15">
      <c r="B1266" s="2200">
        <v>36</v>
      </c>
      <c r="C1266" s="2200" t="str">
        <f>IFERROR(INDEX(BLS_TableMSA[area_text], MATCH(B1266,BLS_TableMSA[List_No],0)),"")</f>
        <v>Tallahassee-Bainbridge, FL-GA (CMSA)</v>
      </c>
    </row>
    <row r="1267" spans="2:3" x14ac:dyDescent="0.15">
      <c r="B1267" s="2200">
        <v>37</v>
      </c>
      <c r="C1267" s="2200" t="str">
        <f>IFERROR(INDEX(BLS_TableMSA[area_text], MATCH(B1267,BLS_TableMSA[List_No],0)),"")</f>
        <v>Tampa-St. Petersburg-Clearwater, FL (MSA)</v>
      </c>
    </row>
    <row r="1268" spans="2:3" x14ac:dyDescent="0.15">
      <c r="B1268" s="2200">
        <v>38</v>
      </c>
      <c r="C1268" s="2200" t="str">
        <f>IFERROR(INDEX(BLS_TableMSA[area_text], MATCH(B1268,BLS_TableMSA[List_No],0)),"")</f>
        <v>The Villages, FL (MSA)</v>
      </c>
    </row>
    <row r="1269" spans="2:3" x14ac:dyDescent="0.15">
      <c r="B1269" s="2200">
        <v>39</v>
      </c>
      <c r="C1269" s="2200" t="str">
        <f>IFERROR(INDEX(BLS_TableMSA[area_text], MATCH(B1269,BLS_TableMSA[List_No],0)),"")</f>
        <v>Wauchula, FL (MiSA)</v>
      </c>
    </row>
    <row r="1270" spans="2:3" x14ac:dyDescent="0.15">
      <c r="B1270" s="2200">
        <v>40</v>
      </c>
      <c r="C1270" s="2200" t="str">
        <f>IFERROR(INDEX(BLS_TableMSA[area_text], MATCH(B1270,BLS_TableMSA[List_No],0)),"")</f>
        <v>West Palm Beach-Boca Raton-Delray Beach, FL (MD)</v>
      </c>
    </row>
    <row r="1271" spans="2:3" x14ac:dyDescent="0.15">
      <c r="B1271" s="2200">
        <v>41</v>
      </c>
      <c r="C1271" s="2200" t="str">
        <f>IFERROR(INDEX(BLS_TableMSA[area_text], MATCH(B1271,BLS_TableMSA[List_No],0)),"")</f>
        <v/>
      </c>
    </row>
    <row r="1272" spans="2:3" x14ac:dyDescent="0.15">
      <c r="B1272" s="2200">
        <v>42</v>
      </c>
      <c r="C1272" s="2200" t="str">
        <f>IFERROR(INDEX(BLS_TableMSA[area_text], MATCH(B1272,BLS_TableMSA[List_No],0)),"")</f>
        <v/>
      </c>
    </row>
    <row r="1273" spans="2:3" x14ac:dyDescent="0.15">
      <c r="B1273" s="2200">
        <v>43</v>
      </c>
      <c r="C1273" s="2200" t="str">
        <f>IFERROR(INDEX(BLS_TableMSA[area_text], MATCH(B1273,BLS_TableMSA[List_No],0)),"")</f>
        <v/>
      </c>
    </row>
    <row r="1274" spans="2:3" x14ac:dyDescent="0.15">
      <c r="B1274" s="2200">
        <v>44</v>
      </c>
      <c r="C1274" s="2200" t="str">
        <f>IFERROR(INDEX(BLS_TableMSA[area_text], MATCH(B1274,BLS_TableMSA[List_No],0)),"")</f>
        <v/>
      </c>
    </row>
    <row r="1275" spans="2:3" x14ac:dyDescent="0.15">
      <c r="B1275" s="2200">
        <v>45</v>
      </c>
      <c r="C1275" s="2200" t="str">
        <f>IFERROR(INDEX(BLS_TableMSA[area_text], MATCH(B1275,BLS_TableMSA[List_No],0)),"")</f>
        <v/>
      </c>
    </row>
    <row r="1276" spans="2:3" x14ac:dyDescent="0.15">
      <c r="B1276" s="2200">
        <v>46</v>
      </c>
      <c r="C1276" s="2200" t="str">
        <f>IFERROR(INDEX(BLS_TableMSA[area_text], MATCH(B1276,BLS_TableMSA[List_No],0)),"")</f>
        <v/>
      </c>
    </row>
    <row r="1277" spans="2:3" x14ac:dyDescent="0.15">
      <c r="B1277" s="2200">
        <v>47</v>
      </c>
      <c r="C1277" s="2200" t="str">
        <f>IFERROR(INDEX(BLS_TableMSA[area_text], MATCH(B1277,BLS_TableMSA[List_No],0)),"")</f>
        <v/>
      </c>
    </row>
    <row r="1278" spans="2:3" x14ac:dyDescent="0.15">
      <c r="B1278" s="2200">
        <v>48</v>
      </c>
      <c r="C1278" s="2200" t="str">
        <f>IFERROR(INDEX(BLS_TableMSA[area_text], MATCH(B1278,BLS_TableMSA[List_No],0)),"")</f>
        <v/>
      </c>
    </row>
    <row r="1279" spans="2:3" x14ac:dyDescent="0.15">
      <c r="B1279" s="2200">
        <v>49</v>
      </c>
      <c r="C1279" s="2200" t="str">
        <f>IFERROR(INDEX(BLS_TableMSA[area_text], MATCH(B1279,BLS_TableMSA[List_No],0)),"")</f>
        <v/>
      </c>
    </row>
    <row r="1280" spans="2:3" x14ac:dyDescent="0.15">
      <c r="B1280" s="2200">
        <v>50</v>
      </c>
      <c r="C1280" s="2200" t="str">
        <f>IFERROR(INDEX(BLS_TableMSA[area_text], MATCH(B1280,BLS_TableMSA[List_No],0)),"")</f>
        <v/>
      </c>
    </row>
    <row r="1281" spans="2:3" x14ac:dyDescent="0.15">
      <c r="B1281" s="2200">
        <v>51</v>
      </c>
      <c r="C1281" s="2200" t="str">
        <f>IFERROR(INDEX(BLS_TableMSA[area_text], MATCH(B1281,BLS_TableMSA[List_No],0)),"")</f>
        <v/>
      </c>
    </row>
    <row r="1282" spans="2:3" x14ac:dyDescent="0.15">
      <c r="B1282" s="2200">
        <v>52</v>
      </c>
      <c r="C1282" s="2200" t="str">
        <f>IFERROR(INDEX(BLS_TableMSA[area_text], MATCH(B1282,BLS_TableMSA[List_No],0)),"")</f>
        <v/>
      </c>
    </row>
    <row r="1283" spans="2:3" x14ac:dyDescent="0.15">
      <c r="B1283" s="2200">
        <v>53</v>
      </c>
      <c r="C1283" s="2200" t="str">
        <f>IFERROR(INDEX(BLS_TableMSA[area_text], MATCH(B1283,BLS_TableMSA[List_No],0)),"")</f>
        <v/>
      </c>
    </row>
    <row r="1284" spans="2:3" x14ac:dyDescent="0.15">
      <c r="B1284" s="2200">
        <v>54</v>
      </c>
      <c r="C1284" s="2200" t="str">
        <f>IFERROR(INDEX(BLS_TableMSA[area_text], MATCH(B1284,BLS_TableMSA[List_No],0)),"")</f>
        <v/>
      </c>
    </row>
    <row r="1285" spans="2:3" x14ac:dyDescent="0.15">
      <c r="B1285" s="2200">
        <v>55</v>
      </c>
      <c r="C1285" s="2200" t="str">
        <f>IFERROR(INDEX(BLS_TableMSA[area_text], MATCH(B1285,BLS_TableMSA[List_No],0)),"")</f>
        <v/>
      </c>
    </row>
    <row r="1286" spans="2:3" x14ac:dyDescent="0.15">
      <c r="B1286" s="2200">
        <v>56</v>
      </c>
      <c r="C1286" s="2200" t="str">
        <f>IFERROR(INDEX(BLS_TableMSA[area_text], MATCH(B1286,BLS_TableMSA[List_No],0)),"")</f>
        <v/>
      </c>
    </row>
    <row r="1287" spans="2:3" x14ac:dyDescent="0.15">
      <c r="B1287" s="2200">
        <v>57</v>
      </c>
      <c r="C1287" s="2200" t="str">
        <f>IFERROR(INDEX(BLS_TableMSA[area_text], MATCH(B1287,BLS_TableMSA[List_No],0)),"")</f>
        <v/>
      </c>
    </row>
    <row r="1288" spans="2:3" x14ac:dyDescent="0.15">
      <c r="B1288" s="2200">
        <v>58</v>
      </c>
      <c r="C1288" s="2200" t="str">
        <f>IFERROR(INDEX(BLS_TableMSA[area_text], MATCH(B1288,BLS_TableMSA[List_No],0)),"")</f>
        <v/>
      </c>
    </row>
    <row r="1289" spans="2:3" x14ac:dyDescent="0.15">
      <c r="B1289" s="2200">
        <v>59</v>
      </c>
      <c r="C1289" s="2200" t="str">
        <f>IFERROR(INDEX(BLS_TableMSA[area_text], MATCH(B1289,BLS_TableMSA[List_No],0)),"")</f>
        <v/>
      </c>
    </row>
    <row r="1290" spans="2:3" x14ac:dyDescent="0.15">
      <c r="B1290" s="2200">
        <v>60</v>
      </c>
      <c r="C1290" s="2200" t="str">
        <f>IFERROR(INDEX(BLS_TableMSA[area_text], MATCH(B1290,BLS_TableMSA[List_No],0)),"")</f>
        <v/>
      </c>
    </row>
    <row r="1291" spans="2:3" x14ac:dyDescent="0.15">
      <c r="B1291" s="2200">
        <v>61</v>
      </c>
      <c r="C1291" s="2200" t="str">
        <f>IFERROR(INDEX(BLS_TableMSA[area_text], MATCH(B1291,BLS_TableMSA[List_No],0)),"")</f>
        <v/>
      </c>
    </row>
    <row r="1292" spans="2:3" x14ac:dyDescent="0.15">
      <c r="B1292" s="2200">
        <v>62</v>
      </c>
      <c r="C1292" s="2200" t="str">
        <f>IFERROR(INDEX(BLS_TableMSA[area_text], MATCH(B1292,BLS_TableMSA[List_No],0)),"")</f>
        <v/>
      </c>
    </row>
    <row r="1293" spans="2:3" x14ac:dyDescent="0.15">
      <c r="B1293" s="2200">
        <v>63</v>
      </c>
      <c r="C1293" s="2200" t="str">
        <f>IFERROR(INDEX(BLS_TableMSA[area_text], MATCH(B1293,BLS_TableMSA[List_No],0)),"")</f>
        <v/>
      </c>
    </row>
    <row r="1294" spans="2:3" x14ac:dyDescent="0.15">
      <c r="B1294" s="2200">
        <v>64</v>
      </c>
      <c r="C1294" s="2200" t="str">
        <f>IFERROR(INDEX(BLS_TableMSA[area_text], MATCH(B1294,BLS_TableMSA[List_No],0)),"")</f>
        <v/>
      </c>
    </row>
    <row r="1295" spans="2:3" x14ac:dyDescent="0.15">
      <c r="B1295" s="2200">
        <v>65</v>
      </c>
      <c r="C1295" s="2200" t="str">
        <f>IFERROR(INDEX(BLS_TableMSA[area_text], MATCH(B1295,BLS_TableMSA[List_No],0)),"")</f>
        <v/>
      </c>
    </row>
    <row r="1296" spans="2:3" x14ac:dyDescent="0.15">
      <c r="B1296" s="2200">
        <v>66</v>
      </c>
      <c r="C1296" s="2200" t="str">
        <f>IFERROR(INDEX(BLS_TableMSA[area_text], MATCH(B1296,BLS_TableMSA[List_No],0)),"")</f>
        <v/>
      </c>
    </row>
    <row r="1297" spans="2:3" x14ac:dyDescent="0.15">
      <c r="B1297" s="2200">
        <v>67</v>
      </c>
      <c r="C1297" s="2200" t="str">
        <f>IFERROR(INDEX(BLS_TableMSA[area_text], MATCH(B1297,BLS_TableMSA[List_No],0)),"")</f>
        <v/>
      </c>
    </row>
    <row r="1298" spans="2:3" x14ac:dyDescent="0.15">
      <c r="B1298" s="2200">
        <v>68</v>
      </c>
      <c r="C1298" s="2200" t="str">
        <f>IFERROR(INDEX(BLS_TableMSA[area_text], MATCH(B1298,BLS_TableMSA[List_No],0)),"")</f>
        <v/>
      </c>
    </row>
    <row r="1299" spans="2:3" x14ac:dyDescent="0.15">
      <c r="B1299" s="2200">
        <v>69</v>
      </c>
      <c r="C1299" s="2200" t="str">
        <f>IFERROR(INDEX(BLS_TableMSA[area_text], MATCH(B1299,BLS_TableMSA[List_No],0)),"")</f>
        <v/>
      </c>
    </row>
    <row r="1300" spans="2:3" x14ac:dyDescent="0.15">
      <c r="B1300" s="2200">
        <v>70</v>
      </c>
      <c r="C1300" s="2200" t="str">
        <f>IFERROR(INDEX(BLS_TableMSA[area_text], MATCH(B1300,BLS_TableMSA[List_No],0)),"")</f>
        <v/>
      </c>
    </row>
    <row r="1301" spans="2:3" x14ac:dyDescent="0.15">
      <c r="B1301" s="2200">
        <v>71</v>
      </c>
      <c r="C1301" s="2200" t="str">
        <f>IFERROR(INDEX(BLS_TableMSA[area_text], MATCH(B1301,BLS_TableMSA[List_No],0)),"")</f>
        <v/>
      </c>
    </row>
    <row r="1302" spans="2:3" x14ac:dyDescent="0.15">
      <c r="B1302" s="2200">
        <v>72</v>
      </c>
      <c r="C1302" s="2200" t="str">
        <f>IFERROR(INDEX(BLS_TableMSA[area_text], MATCH(B1302,BLS_TableMSA[List_No],0)),"")</f>
        <v/>
      </c>
    </row>
    <row r="1303" spans="2:3" x14ac:dyDescent="0.15">
      <c r="B1303" s="2200">
        <v>73</v>
      </c>
      <c r="C1303" s="2200" t="str">
        <f>IFERROR(INDEX(BLS_TableMSA[area_text], MATCH(B1303,BLS_TableMSA[List_No],0)),"")</f>
        <v/>
      </c>
    </row>
    <row r="1304" spans="2:3" x14ac:dyDescent="0.15">
      <c r="B1304" s="2200">
        <v>74</v>
      </c>
      <c r="C1304" s="2200" t="str">
        <f>IFERROR(INDEX(BLS_TableMSA[area_text], MATCH(B1304,BLS_TableMSA[List_No],0)),"")</f>
        <v/>
      </c>
    </row>
    <row r="1305" spans="2:3" x14ac:dyDescent="0.15">
      <c r="B1305" s="2200">
        <v>75</v>
      </c>
      <c r="C1305" s="2200" t="str">
        <f>IFERROR(INDEX(BLS_TableMSA[area_text], MATCH(B1305,BLS_TableMSA[List_No],0)),"")</f>
        <v/>
      </c>
    </row>
    <row r="1306" spans="2:3" x14ac:dyDescent="0.15">
      <c r="B1306" s="2200">
        <v>76</v>
      </c>
      <c r="C1306" s="2200" t="str">
        <f>IFERROR(INDEX(BLS_TableMSA[area_text], MATCH(B1306,BLS_TableMSA[List_No],0)),"")</f>
        <v/>
      </c>
    </row>
    <row r="1307" spans="2:3" x14ac:dyDescent="0.15">
      <c r="B1307" s="2200">
        <v>77</v>
      </c>
      <c r="C1307" s="2200" t="str">
        <f>IFERROR(INDEX(BLS_TableMSA[area_text], MATCH(B1307,BLS_TableMSA[List_No],0)),"")</f>
        <v/>
      </c>
    </row>
    <row r="1308" spans="2:3" x14ac:dyDescent="0.15">
      <c r="B1308" s="2200">
        <v>78</v>
      </c>
      <c r="C1308" s="2200" t="str">
        <f>IFERROR(INDEX(BLS_TableMSA[area_text], MATCH(B1308,BLS_TableMSA[List_No],0)),"")</f>
        <v/>
      </c>
    </row>
    <row r="1309" spans="2:3" x14ac:dyDescent="0.15">
      <c r="B1309" s="2200">
        <v>79</v>
      </c>
      <c r="C1309" s="2200" t="str">
        <f>IFERROR(INDEX(BLS_TableMSA[area_text], MATCH(B1309,BLS_TableMSA[List_No],0)),"")</f>
        <v/>
      </c>
    </row>
    <row r="1310" spans="2:3" x14ac:dyDescent="0.15">
      <c r="B1310" s="2200">
        <v>80</v>
      </c>
      <c r="C1310" s="2200" t="str">
        <f>IFERROR(INDEX(BLS_TableMSA[area_text], MATCH(B1310,BLS_TableMSA[List_No],0)),"")</f>
        <v/>
      </c>
    </row>
    <row r="1311" spans="2:3" x14ac:dyDescent="0.15">
      <c r="B1311" s="2200">
        <v>81</v>
      </c>
      <c r="C1311" s="2200" t="str">
        <f>IFERROR(INDEX(BLS_TableMSA[area_text], MATCH(B1311,BLS_TableMSA[List_No],0)),"")</f>
        <v/>
      </c>
    </row>
    <row r="1312" spans="2:3" x14ac:dyDescent="0.15">
      <c r="B1312" s="2200">
        <v>82</v>
      </c>
      <c r="C1312" s="2200" t="str">
        <f>IFERROR(INDEX(BLS_TableMSA[area_text], MATCH(B1312,BLS_TableMSA[List_No],0)),"")</f>
        <v/>
      </c>
    </row>
    <row r="1313" spans="2:3" x14ac:dyDescent="0.15">
      <c r="B1313" s="2200">
        <v>83</v>
      </c>
      <c r="C1313" s="2200" t="str">
        <f>IFERROR(INDEX(BLS_TableMSA[area_text], MATCH(B1313,BLS_TableMSA[List_No],0)),"")</f>
        <v/>
      </c>
    </row>
    <row r="1314" spans="2:3" x14ac:dyDescent="0.15">
      <c r="B1314" s="2200">
        <v>84</v>
      </c>
      <c r="C1314" s="2200" t="str">
        <f>IFERROR(INDEX(BLS_TableMSA[area_text], MATCH(B1314,BLS_TableMSA[List_No],0)),"")</f>
        <v/>
      </c>
    </row>
    <row r="1315" spans="2:3" x14ac:dyDescent="0.15">
      <c r="B1315" s="2200">
        <v>85</v>
      </c>
      <c r="C1315" s="2200" t="str">
        <f>IFERROR(INDEX(BLS_TableMSA[area_text], MATCH(B1315,BLS_TableMSA[List_No],0)),"")</f>
        <v/>
      </c>
    </row>
    <row r="1316" spans="2:3" x14ac:dyDescent="0.15">
      <c r="B1316" s="2200">
        <v>86</v>
      </c>
      <c r="C1316" s="2200" t="str">
        <f>IFERROR(INDEX(BLS_TableMSA[area_text], MATCH(B1316,BLS_TableMSA[List_No],0)),"")</f>
        <v/>
      </c>
    </row>
    <row r="1317" spans="2:3" x14ac:dyDescent="0.15">
      <c r="B1317" s="2200">
        <v>87</v>
      </c>
      <c r="C1317" s="2200" t="str">
        <f>IFERROR(INDEX(BLS_TableMSA[area_text], MATCH(B1317,BLS_TableMSA[List_No],0)),"")</f>
        <v/>
      </c>
    </row>
    <row r="1318" spans="2:3" x14ac:dyDescent="0.15">
      <c r="B1318" s="2200">
        <v>88</v>
      </c>
      <c r="C1318" s="2200" t="str">
        <f>IFERROR(INDEX(BLS_TableMSA[area_text], MATCH(B1318,BLS_TableMSA[List_No],0)),"")</f>
        <v/>
      </c>
    </row>
    <row r="1319" spans="2:3" x14ac:dyDescent="0.15">
      <c r="B1319" s="2200">
        <v>89</v>
      </c>
      <c r="C1319" s="2200" t="str">
        <f>IFERROR(INDEX(BLS_TableMSA[area_text], MATCH(B1319,BLS_TableMSA[List_No],0)),"")</f>
        <v/>
      </c>
    </row>
    <row r="1320" spans="2:3" x14ac:dyDescent="0.15">
      <c r="B1320" s="2200">
        <v>90</v>
      </c>
      <c r="C1320" s="2200" t="str">
        <f>IFERROR(INDEX(BLS_TableMSA[area_text], MATCH(B1320,BLS_TableMSA[List_No],0)),"")</f>
        <v/>
      </c>
    </row>
    <row r="1321" spans="2:3" x14ac:dyDescent="0.15">
      <c r="B1321" s="2200">
        <v>91</v>
      </c>
      <c r="C1321" s="2200" t="str">
        <f>IFERROR(INDEX(BLS_TableMSA[area_text], MATCH(B1321,BLS_TableMSA[List_No],0)),"")</f>
        <v/>
      </c>
    </row>
    <row r="1322" spans="2:3" x14ac:dyDescent="0.15">
      <c r="B1322" s="2200">
        <v>92</v>
      </c>
      <c r="C1322" s="2200" t="str">
        <f>IFERROR(INDEX(BLS_TableMSA[area_text], MATCH(B1322,BLS_TableMSA[List_No],0)),"")</f>
        <v/>
      </c>
    </row>
    <row r="1323" spans="2:3" x14ac:dyDescent="0.15">
      <c r="B1323" s="2200">
        <v>93</v>
      </c>
      <c r="C1323" s="2200" t="str">
        <f>IFERROR(INDEX(BLS_TableMSA[area_text], MATCH(B1323,BLS_TableMSA[List_No],0)),"")</f>
        <v/>
      </c>
    </row>
    <row r="1324" spans="2:3" x14ac:dyDescent="0.15">
      <c r="B1324" s="2200">
        <v>94</v>
      </c>
      <c r="C1324" s="2200" t="str">
        <f>IFERROR(INDEX(BLS_TableMSA[area_text], MATCH(B1324,BLS_TableMSA[List_No],0)),"")</f>
        <v/>
      </c>
    </row>
    <row r="1325" spans="2:3" x14ac:dyDescent="0.15">
      <c r="B1325" s="2200">
        <v>95</v>
      </c>
      <c r="C1325" s="2200" t="str">
        <f>IFERROR(INDEX(BLS_TableMSA[area_text], MATCH(B1325,BLS_TableMSA[List_No],0)),"")</f>
        <v/>
      </c>
    </row>
    <row r="1326" spans="2:3" x14ac:dyDescent="0.15">
      <c r="B1326" s="2200">
        <v>96</v>
      </c>
      <c r="C1326" s="2200" t="str">
        <f>IFERROR(INDEX(BLS_TableMSA[area_text], MATCH(B1326,BLS_TableMSA[List_No],0)),"")</f>
        <v/>
      </c>
    </row>
    <row r="1327" spans="2:3" x14ac:dyDescent="0.15">
      <c r="B1327" s="2200">
        <v>97</v>
      </c>
      <c r="C1327" s="2200" t="str">
        <f>IFERROR(INDEX(BLS_TableMSA[area_text], MATCH(B1327,BLS_TableMSA[List_No],0)),"")</f>
        <v/>
      </c>
    </row>
    <row r="1328" spans="2:3" x14ac:dyDescent="0.15">
      <c r="B1328" s="2200">
        <v>98</v>
      </c>
      <c r="C1328" s="2200" t="str">
        <f>IFERROR(INDEX(BLS_TableMSA[area_text], MATCH(B1328,BLS_TableMSA[List_No],0)),"")</f>
        <v/>
      </c>
    </row>
    <row r="1329" spans="2:3" x14ac:dyDescent="0.15">
      <c r="B1329" s="2200">
        <v>99</v>
      </c>
      <c r="C1329" s="2200" t="str">
        <f>IFERROR(INDEX(BLS_TableMSA[area_text], MATCH(B1329,BLS_TableMSA[List_No],0)),"")</f>
        <v/>
      </c>
    </row>
    <row r="1330" spans="2:3" x14ac:dyDescent="0.15">
      <c r="B1330" s="2200">
        <v>100</v>
      </c>
      <c r="C1330" s="2200" t="str">
        <f>IFERROR(INDEX(BLS_TableMSA[area_text], MATCH(B1330,BLS_TableMSA[List_No],0)),"")</f>
        <v/>
      </c>
    </row>
  </sheetData>
  <pageMargins left="0.7" right="0.7" top="0.75" bottom="0.75" header="0.3" footer="0.3"/>
  <tableParts count="2">
    <tablePart r:id="rId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9EB28-B218-4B5D-B26F-D90A6923E594}">
  <sheetPr codeName="Sheet85"/>
  <dimension ref="A1:G3505"/>
  <sheetViews>
    <sheetView workbookViewId="0"/>
  </sheetViews>
  <sheetFormatPr defaultColWidth="9.140625" defaultRowHeight="10.5" x14ac:dyDescent="0.15"/>
  <cols>
    <col min="1" max="1" width="5.7109375" style="2200" customWidth="1"/>
    <col min="2" max="2" width="14.42578125" style="2200" bestFit="1" customWidth="1"/>
    <col min="3" max="3" width="37.7109375" style="2200" bestFit="1" customWidth="1"/>
    <col min="4" max="4" width="11.28515625" style="2200" customWidth="1"/>
    <col min="5" max="5" width="10.7109375" style="2200" customWidth="1"/>
    <col min="6" max="6" width="12.42578125" style="2200" customWidth="1"/>
    <col min="7" max="16384" width="9.140625" style="2200"/>
  </cols>
  <sheetData>
    <row r="1" spans="1:7" x14ac:dyDescent="0.15">
      <c r="A1" s="2200" t="s">
        <v>1870</v>
      </c>
      <c r="B1" s="2200" t="s">
        <v>1871</v>
      </c>
      <c r="C1" s="2200" t="s">
        <v>1872</v>
      </c>
      <c r="D1" s="2200" t="s">
        <v>1873</v>
      </c>
      <c r="E1" s="2200" t="s">
        <v>1875</v>
      </c>
      <c r="F1" s="2200" t="s">
        <v>4279</v>
      </c>
      <c r="G1" s="2200" t="s">
        <v>1877</v>
      </c>
    </row>
    <row r="2" spans="1:7" hidden="1" x14ac:dyDescent="0.15">
      <c r="A2" s="2200" t="s">
        <v>4280</v>
      </c>
      <c r="B2" s="2200" t="s">
        <v>4281</v>
      </c>
      <c r="C2" s="2200" t="s">
        <v>4282</v>
      </c>
      <c r="D2" s="2200" t="str">
        <f>RIGHT(C2,2)</f>
        <v>AL</v>
      </c>
      <c r="E2" s="2200" t="str">
        <f>MID(B2,3,2)</f>
        <v>01</v>
      </c>
      <c r="F2" s="2200" t="str">
        <f>MID(B2,5,3)</f>
        <v>001</v>
      </c>
      <c r="G2" s="2200">
        <f>--SUBTOTAL(3,C$2:C2)</f>
        <v>0</v>
      </c>
    </row>
    <row r="3" spans="1:7" hidden="1" x14ac:dyDescent="0.15">
      <c r="A3" s="2200" t="s">
        <v>4280</v>
      </c>
      <c r="B3" s="2200" t="s">
        <v>4283</v>
      </c>
      <c r="C3" s="2200" t="s">
        <v>4284</v>
      </c>
      <c r="D3" s="2200" t="str">
        <f t="shared" ref="D3:D66" si="0">RIGHT(C3,2)</f>
        <v>AL</v>
      </c>
      <c r="E3" s="2200" t="str">
        <f t="shared" ref="E3:E66" si="1">MID(B3,3,2)</f>
        <v>01</v>
      </c>
      <c r="F3" s="2200" t="str">
        <f t="shared" ref="F3:F66" si="2">MID(B3,5,3)</f>
        <v>003</v>
      </c>
      <c r="G3" s="2200">
        <f>--SUBTOTAL(3,C$2:C3)</f>
        <v>0</v>
      </c>
    </row>
    <row r="4" spans="1:7" hidden="1" x14ac:dyDescent="0.15">
      <c r="A4" s="2200" t="s">
        <v>4280</v>
      </c>
      <c r="B4" s="2200" t="s">
        <v>4285</v>
      </c>
      <c r="C4" s="2200" t="s">
        <v>4286</v>
      </c>
      <c r="D4" s="2200" t="str">
        <f t="shared" si="0"/>
        <v>AL</v>
      </c>
      <c r="E4" s="2200" t="str">
        <f t="shared" si="1"/>
        <v>01</v>
      </c>
      <c r="F4" s="2200" t="str">
        <f t="shared" si="2"/>
        <v>005</v>
      </c>
      <c r="G4" s="2200">
        <f>--SUBTOTAL(3,C$2:C4)</f>
        <v>0</v>
      </c>
    </row>
    <row r="5" spans="1:7" hidden="1" x14ac:dyDescent="0.15">
      <c r="A5" s="2200" t="s">
        <v>4280</v>
      </c>
      <c r="B5" s="2200" t="s">
        <v>4287</v>
      </c>
      <c r="C5" s="2200" t="s">
        <v>4288</v>
      </c>
      <c r="D5" s="2200" t="str">
        <f t="shared" si="0"/>
        <v>AL</v>
      </c>
      <c r="E5" s="2200" t="str">
        <f t="shared" si="1"/>
        <v>01</v>
      </c>
      <c r="F5" s="2200" t="str">
        <f t="shared" si="2"/>
        <v>007</v>
      </c>
      <c r="G5" s="2200">
        <f>--SUBTOTAL(3,C$2:C5)</f>
        <v>0</v>
      </c>
    </row>
    <row r="6" spans="1:7" hidden="1" x14ac:dyDescent="0.15">
      <c r="A6" s="2200" t="s">
        <v>4280</v>
      </c>
      <c r="B6" s="2200" t="s">
        <v>4289</v>
      </c>
      <c r="C6" s="2200" t="s">
        <v>4290</v>
      </c>
      <c r="D6" s="2200" t="str">
        <f t="shared" si="0"/>
        <v>AL</v>
      </c>
      <c r="E6" s="2200" t="str">
        <f t="shared" si="1"/>
        <v>01</v>
      </c>
      <c r="F6" s="2200" t="str">
        <f t="shared" si="2"/>
        <v>009</v>
      </c>
      <c r="G6" s="2200">
        <f>--SUBTOTAL(3,C$2:C6)</f>
        <v>0</v>
      </c>
    </row>
    <row r="7" spans="1:7" hidden="1" x14ac:dyDescent="0.15">
      <c r="A7" s="2200" t="s">
        <v>4280</v>
      </c>
      <c r="B7" s="2200" t="s">
        <v>4291</v>
      </c>
      <c r="C7" s="2200" t="s">
        <v>4292</v>
      </c>
      <c r="D7" s="2200" t="str">
        <f t="shared" si="0"/>
        <v>AL</v>
      </c>
      <c r="E7" s="2200" t="str">
        <f t="shared" si="1"/>
        <v>01</v>
      </c>
      <c r="F7" s="2200" t="str">
        <f t="shared" si="2"/>
        <v>011</v>
      </c>
      <c r="G7" s="2200">
        <f>--SUBTOTAL(3,C$2:C7)</f>
        <v>0</v>
      </c>
    </row>
    <row r="8" spans="1:7" hidden="1" x14ac:dyDescent="0.15">
      <c r="A8" s="2200" t="s">
        <v>4280</v>
      </c>
      <c r="B8" s="2200" t="s">
        <v>4293</v>
      </c>
      <c r="C8" s="2200" t="s">
        <v>4294</v>
      </c>
      <c r="D8" s="2200" t="str">
        <f t="shared" si="0"/>
        <v>AL</v>
      </c>
      <c r="E8" s="2200" t="str">
        <f t="shared" si="1"/>
        <v>01</v>
      </c>
      <c r="F8" s="2200" t="str">
        <f t="shared" si="2"/>
        <v>013</v>
      </c>
      <c r="G8" s="2200">
        <f>--SUBTOTAL(3,C$2:C8)</f>
        <v>0</v>
      </c>
    </row>
    <row r="9" spans="1:7" hidden="1" x14ac:dyDescent="0.15">
      <c r="A9" s="2200" t="s">
        <v>4280</v>
      </c>
      <c r="B9" s="2200" t="s">
        <v>4295</v>
      </c>
      <c r="C9" s="2200" t="s">
        <v>4296</v>
      </c>
      <c r="D9" s="2200" t="str">
        <f t="shared" si="0"/>
        <v>AL</v>
      </c>
      <c r="E9" s="2200" t="str">
        <f t="shared" si="1"/>
        <v>01</v>
      </c>
      <c r="F9" s="2200" t="str">
        <f t="shared" si="2"/>
        <v>015</v>
      </c>
      <c r="G9" s="2200">
        <f>--SUBTOTAL(3,C$2:C9)</f>
        <v>0</v>
      </c>
    </row>
    <row r="10" spans="1:7" hidden="1" x14ac:dyDescent="0.15">
      <c r="A10" s="2200" t="s">
        <v>4280</v>
      </c>
      <c r="B10" s="2200" t="s">
        <v>4297</v>
      </c>
      <c r="C10" s="2200" t="s">
        <v>4298</v>
      </c>
      <c r="D10" s="2200" t="str">
        <f t="shared" si="0"/>
        <v>AL</v>
      </c>
      <c r="E10" s="2200" t="str">
        <f t="shared" si="1"/>
        <v>01</v>
      </c>
      <c r="F10" s="2200" t="str">
        <f t="shared" si="2"/>
        <v>017</v>
      </c>
      <c r="G10" s="2200">
        <f>--SUBTOTAL(3,C$2:C10)</f>
        <v>0</v>
      </c>
    </row>
    <row r="11" spans="1:7" hidden="1" x14ac:dyDescent="0.15">
      <c r="A11" s="2200" t="s">
        <v>4280</v>
      </c>
      <c r="B11" s="2200" t="s">
        <v>4299</v>
      </c>
      <c r="C11" s="2200" t="s">
        <v>4300</v>
      </c>
      <c r="D11" s="2200" t="str">
        <f t="shared" si="0"/>
        <v>AL</v>
      </c>
      <c r="E11" s="2200" t="str">
        <f t="shared" si="1"/>
        <v>01</v>
      </c>
      <c r="F11" s="2200" t="str">
        <f t="shared" si="2"/>
        <v>019</v>
      </c>
      <c r="G11" s="2200">
        <f>--SUBTOTAL(3,C$2:C11)</f>
        <v>0</v>
      </c>
    </row>
    <row r="12" spans="1:7" hidden="1" x14ac:dyDescent="0.15">
      <c r="A12" s="2200" t="s">
        <v>4280</v>
      </c>
      <c r="B12" s="2200" t="s">
        <v>4301</v>
      </c>
      <c r="C12" s="2200" t="s">
        <v>4302</v>
      </c>
      <c r="D12" s="2200" t="str">
        <f t="shared" si="0"/>
        <v>AL</v>
      </c>
      <c r="E12" s="2200" t="str">
        <f t="shared" si="1"/>
        <v>01</v>
      </c>
      <c r="F12" s="2200" t="str">
        <f t="shared" si="2"/>
        <v>021</v>
      </c>
      <c r="G12" s="2200">
        <f>--SUBTOTAL(3,C$2:C12)</f>
        <v>0</v>
      </c>
    </row>
    <row r="13" spans="1:7" hidden="1" x14ac:dyDescent="0.15">
      <c r="A13" s="2200" t="s">
        <v>4280</v>
      </c>
      <c r="B13" s="2200" t="s">
        <v>4303</v>
      </c>
      <c r="C13" s="2200" t="s">
        <v>4304</v>
      </c>
      <c r="D13" s="2200" t="str">
        <f t="shared" si="0"/>
        <v>AL</v>
      </c>
      <c r="E13" s="2200" t="str">
        <f t="shared" si="1"/>
        <v>01</v>
      </c>
      <c r="F13" s="2200" t="str">
        <f t="shared" si="2"/>
        <v>023</v>
      </c>
      <c r="G13" s="2200">
        <f>--SUBTOTAL(3,C$2:C13)</f>
        <v>0</v>
      </c>
    </row>
    <row r="14" spans="1:7" hidden="1" x14ac:dyDescent="0.15">
      <c r="A14" s="2200" t="s">
        <v>4280</v>
      </c>
      <c r="B14" s="2200" t="s">
        <v>4305</v>
      </c>
      <c r="C14" s="2200" t="s">
        <v>4306</v>
      </c>
      <c r="D14" s="2200" t="str">
        <f t="shared" si="0"/>
        <v>AL</v>
      </c>
      <c r="E14" s="2200" t="str">
        <f t="shared" si="1"/>
        <v>01</v>
      </c>
      <c r="F14" s="2200" t="str">
        <f t="shared" si="2"/>
        <v>025</v>
      </c>
      <c r="G14" s="2200">
        <f>--SUBTOTAL(3,C$2:C14)</f>
        <v>0</v>
      </c>
    </row>
    <row r="15" spans="1:7" hidden="1" x14ac:dyDescent="0.15">
      <c r="A15" s="2200" t="s">
        <v>4280</v>
      </c>
      <c r="B15" s="2200" t="s">
        <v>4307</v>
      </c>
      <c r="C15" s="2200" t="s">
        <v>4308</v>
      </c>
      <c r="D15" s="2200" t="str">
        <f t="shared" si="0"/>
        <v>AL</v>
      </c>
      <c r="E15" s="2200" t="str">
        <f t="shared" si="1"/>
        <v>01</v>
      </c>
      <c r="F15" s="2200" t="str">
        <f t="shared" si="2"/>
        <v>027</v>
      </c>
      <c r="G15" s="2200">
        <f>--SUBTOTAL(3,C$2:C15)</f>
        <v>0</v>
      </c>
    </row>
    <row r="16" spans="1:7" hidden="1" x14ac:dyDescent="0.15">
      <c r="A16" s="2200" t="s">
        <v>4280</v>
      </c>
      <c r="B16" s="2200" t="s">
        <v>4309</v>
      </c>
      <c r="C16" s="2200" t="s">
        <v>4310</v>
      </c>
      <c r="D16" s="2200" t="str">
        <f t="shared" si="0"/>
        <v>AL</v>
      </c>
      <c r="E16" s="2200" t="str">
        <f t="shared" si="1"/>
        <v>01</v>
      </c>
      <c r="F16" s="2200" t="str">
        <f t="shared" si="2"/>
        <v>029</v>
      </c>
      <c r="G16" s="2200">
        <f>--SUBTOTAL(3,C$2:C16)</f>
        <v>0</v>
      </c>
    </row>
    <row r="17" spans="1:7" hidden="1" x14ac:dyDescent="0.15">
      <c r="A17" s="2200" t="s">
        <v>4280</v>
      </c>
      <c r="B17" s="2200" t="s">
        <v>4311</v>
      </c>
      <c r="C17" s="2200" t="s">
        <v>4312</v>
      </c>
      <c r="D17" s="2200" t="str">
        <f t="shared" si="0"/>
        <v>AL</v>
      </c>
      <c r="E17" s="2200" t="str">
        <f t="shared" si="1"/>
        <v>01</v>
      </c>
      <c r="F17" s="2200" t="str">
        <f t="shared" si="2"/>
        <v>031</v>
      </c>
      <c r="G17" s="2200">
        <f>--SUBTOTAL(3,C$2:C17)</f>
        <v>0</v>
      </c>
    </row>
    <row r="18" spans="1:7" hidden="1" x14ac:dyDescent="0.15">
      <c r="A18" s="2200" t="s">
        <v>4280</v>
      </c>
      <c r="B18" s="2200" t="s">
        <v>4313</v>
      </c>
      <c r="C18" s="2200" t="s">
        <v>4314</v>
      </c>
      <c r="D18" s="2200" t="str">
        <f t="shared" si="0"/>
        <v>AL</v>
      </c>
      <c r="E18" s="2200" t="str">
        <f t="shared" si="1"/>
        <v>01</v>
      </c>
      <c r="F18" s="2200" t="str">
        <f t="shared" si="2"/>
        <v>033</v>
      </c>
      <c r="G18" s="2200">
        <f>--SUBTOTAL(3,C$2:C18)</f>
        <v>0</v>
      </c>
    </row>
    <row r="19" spans="1:7" hidden="1" x14ac:dyDescent="0.15">
      <c r="A19" s="2200" t="s">
        <v>4280</v>
      </c>
      <c r="B19" s="2200" t="s">
        <v>4315</v>
      </c>
      <c r="C19" s="2200" t="s">
        <v>4316</v>
      </c>
      <c r="D19" s="2200" t="str">
        <f t="shared" si="0"/>
        <v>AL</v>
      </c>
      <c r="E19" s="2200" t="str">
        <f t="shared" si="1"/>
        <v>01</v>
      </c>
      <c r="F19" s="2200" t="str">
        <f t="shared" si="2"/>
        <v>035</v>
      </c>
      <c r="G19" s="2200">
        <f>--SUBTOTAL(3,C$2:C19)</f>
        <v>0</v>
      </c>
    </row>
    <row r="20" spans="1:7" hidden="1" x14ac:dyDescent="0.15">
      <c r="A20" s="2200" t="s">
        <v>4280</v>
      </c>
      <c r="B20" s="2200" t="s">
        <v>4317</v>
      </c>
      <c r="C20" s="2200" t="s">
        <v>4318</v>
      </c>
      <c r="D20" s="2200" t="str">
        <f t="shared" si="0"/>
        <v>AL</v>
      </c>
      <c r="E20" s="2200" t="str">
        <f t="shared" si="1"/>
        <v>01</v>
      </c>
      <c r="F20" s="2200" t="str">
        <f t="shared" si="2"/>
        <v>037</v>
      </c>
      <c r="G20" s="2200">
        <f>--SUBTOTAL(3,C$2:C20)</f>
        <v>0</v>
      </c>
    </row>
    <row r="21" spans="1:7" hidden="1" x14ac:dyDescent="0.15">
      <c r="A21" s="2200" t="s">
        <v>4280</v>
      </c>
      <c r="B21" s="2200" t="s">
        <v>4319</v>
      </c>
      <c r="C21" s="2200" t="s">
        <v>4320</v>
      </c>
      <c r="D21" s="2200" t="str">
        <f t="shared" si="0"/>
        <v>AL</v>
      </c>
      <c r="E21" s="2200" t="str">
        <f t="shared" si="1"/>
        <v>01</v>
      </c>
      <c r="F21" s="2200" t="str">
        <f t="shared" si="2"/>
        <v>039</v>
      </c>
      <c r="G21" s="2200">
        <f>--SUBTOTAL(3,C$2:C21)</f>
        <v>0</v>
      </c>
    </row>
    <row r="22" spans="1:7" hidden="1" x14ac:dyDescent="0.15">
      <c r="A22" s="2200" t="s">
        <v>4280</v>
      </c>
      <c r="B22" s="2200" t="s">
        <v>4321</v>
      </c>
      <c r="C22" s="2200" t="s">
        <v>4322</v>
      </c>
      <c r="D22" s="2200" t="str">
        <f t="shared" si="0"/>
        <v>AL</v>
      </c>
      <c r="E22" s="2200" t="str">
        <f t="shared" si="1"/>
        <v>01</v>
      </c>
      <c r="F22" s="2200" t="str">
        <f t="shared" si="2"/>
        <v>041</v>
      </c>
      <c r="G22" s="2200">
        <f>--SUBTOTAL(3,C$2:C22)</f>
        <v>0</v>
      </c>
    </row>
    <row r="23" spans="1:7" hidden="1" x14ac:dyDescent="0.15">
      <c r="A23" s="2200" t="s">
        <v>4280</v>
      </c>
      <c r="B23" s="2200" t="s">
        <v>4323</v>
      </c>
      <c r="C23" s="2200" t="s">
        <v>4324</v>
      </c>
      <c r="D23" s="2200" t="str">
        <f t="shared" si="0"/>
        <v>AL</v>
      </c>
      <c r="E23" s="2200" t="str">
        <f t="shared" si="1"/>
        <v>01</v>
      </c>
      <c r="F23" s="2200" t="str">
        <f t="shared" si="2"/>
        <v>043</v>
      </c>
      <c r="G23" s="2200">
        <f>--SUBTOTAL(3,C$2:C23)</f>
        <v>0</v>
      </c>
    </row>
    <row r="24" spans="1:7" hidden="1" x14ac:dyDescent="0.15">
      <c r="A24" s="2200" t="s">
        <v>4280</v>
      </c>
      <c r="B24" s="2200" t="s">
        <v>4325</v>
      </c>
      <c r="C24" s="2200" t="s">
        <v>4326</v>
      </c>
      <c r="D24" s="2200" t="str">
        <f t="shared" si="0"/>
        <v>AL</v>
      </c>
      <c r="E24" s="2200" t="str">
        <f t="shared" si="1"/>
        <v>01</v>
      </c>
      <c r="F24" s="2200" t="str">
        <f t="shared" si="2"/>
        <v>045</v>
      </c>
      <c r="G24" s="2200">
        <f>--SUBTOTAL(3,C$2:C24)</f>
        <v>0</v>
      </c>
    </row>
    <row r="25" spans="1:7" hidden="1" x14ac:dyDescent="0.15">
      <c r="A25" s="2200" t="s">
        <v>4280</v>
      </c>
      <c r="B25" s="2200" t="s">
        <v>4327</v>
      </c>
      <c r="C25" s="2200" t="s">
        <v>4328</v>
      </c>
      <c r="D25" s="2200" t="str">
        <f t="shared" si="0"/>
        <v>AL</v>
      </c>
      <c r="E25" s="2200" t="str">
        <f t="shared" si="1"/>
        <v>01</v>
      </c>
      <c r="F25" s="2200" t="str">
        <f t="shared" si="2"/>
        <v>047</v>
      </c>
      <c r="G25" s="2200">
        <f>--SUBTOTAL(3,C$2:C25)</f>
        <v>0</v>
      </c>
    </row>
    <row r="26" spans="1:7" hidden="1" x14ac:dyDescent="0.15">
      <c r="A26" s="2200" t="s">
        <v>4280</v>
      </c>
      <c r="B26" s="2200" t="s">
        <v>4329</v>
      </c>
      <c r="C26" s="2200" t="s">
        <v>4330</v>
      </c>
      <c r="D26" s="2200" t="str">
        <f t="shared" si="0"/>
        <v>AL</v>
      </c>
      <c r="E26" s="2200" t="str">
        <f t="shared" si="1"/>
        <v>01</v>
      </c>
      <c r="F26" s="2200" t="str">
        <f t="shared" si="2"/>
        <v>049</v>
      </c>
      <c r="G26" s="2200">
        <f>--SUBTOTAL(3,C$2:C26)</f>
        <v>0</v>
      </c>
    </row>
    <row r="27" spans="1:7" hidden="1" x14ac:dyDescent="0.15">
      <c r="A27" s="2200" t="s">
        <v>4280</v>
      </c>
      <c r="B27" s="2200" t="s">
        <v>4331</v>
      </c>
      <c r="C27" s="2200" t="s">
        <v>4332</v>
      </c>
      <c r="D27" s="2200" t="str">
        <f t="shared" si="0"/>
        <v>AL</v>
      </c>
      <c r="E27" s="2200" t="str">
        <f t="shared" si="1"/>
        <v>01</v>
      </c>
      <c r="F27" s="2200" t="str">
        <f t="shared" si="2"/>
        <v>051</v>
      </c>
      <c r="G27" s="2200">
        <f>--SUBTOTAL(3,C$2:C27)</f>
        <v>0</v>
      </c>
    </row>
    <row r="28" spans="1:7" hidden="1" x14ac:dyDescent="0.15">
      <c r="A28" s="2200" t="s">
        <v>4280</v>
      </c>
      <c r="B28" s="2200" t="s">
        <v>4333</v>
      </c>
      <c r="C28" s="2200" t="s">
        <v>4334</v>
      </c>
      <c r="D28" s="2200" t="str">
        <f t="shared" si="0"/>
        <v>AL</v>
      </c>
      <c r="E28" s="2200" t="str">
        <f t="shared" si="1"/>
        <v>01</v>
      </c>
      <c r="F28" s="2200" t="str">
        <f t="shared" si="2"/>
        <v>053</v>
      </c>
      <c r="G28" s="2200">
        <f>--SUBTOTAL(3,C$2:C28)</f>
        <v>0</v>
      </c>
    </row>
    <row r="29" spans="1:7" hidden="1" x14ac:dyDescent="0.15">
      <c r="A29" s="2200" t="s">
        <v>4280</v>
      </c>
      <c r="B29" s="2200" t="s">
        <v>4335</v>
      </c>
      <c r="C29" s="2200" t="s">
        <v>4336</v>
      </c>
      <c r="D29" s="2200" t="str">
        <f t="shared" si="0"/>
        <v>AL</v>
      </c>
      <c r="E29" s="2200" t="str">
        <f t="shared" si="1"/>
        <v>01</v>
      </c>
      <c r="F29" s="2200" t="str">
        <f t="shared" si="2"/>
        <v>055</v>
      </c>
      <c r="G29" s="2200">
        <f>--SUBTOTAL(3,C$2:C29)</f>
        <v>0</v>
      </c>
    </row>
    <row r="30" spans="1:7" hidden="1" x14ac:dyDescent="0.15">
      <c r="A30" s="2200" t="s">
        <v>4280</v>
      </c>
      <c r="B30" s="2200" t="s">
        <v>4337</v>
      </c>
      <c r="C30" s="2200" t="s">
        <v>4338</v>
      </c>
      <c r="D30" s="2200" t="str">
        <f t="shared" si="0"/>
        <v>AL</v>
      </c>
      <c r="E30" s="2200" t="str">
        <f t="shared" si="1"/>
        <v>01</v>
      </c>
      <c r="F30" s="2200" t="str">
        <f t="shared" si="2"/>
        <v>057</v>
      </c>
      <c r="G30" s="2200">
        <f>--SUBTOTAL(3,C$2:C30)</f>
        <v>0</v>
      </c>
    </row>
    <row r="31" spans="1:7" hidden="1" x14ac:dyDescent="0.15">
      <c r="A31" s="2200" t="s">
        <v>4280</v>
      </c>
      <c r="B31" s="2200" t="s">
        <v>4339</v>
      </c>
      <c r="C31" s="2200" t="s">
        <v>4340</v>
      </c>
      <c r="D31" s="2200" t="str">
        <f t="shared" si="0"/>
        <v>AL</v>
      </c>
      <c r="E31" s="2200" t="str">
        <f t="shared" si="1"/>
        <v>01</v>
      </c>
      <c r="F31" s="2200" t="str">
        <f t="shared" si="2"/>
        <v>059</v>
      </c>
      <c r="G31" s="2200">
        <f>--SUBTOTAL(3,C$2:C31)</f>
        <v>0</v>
      </c>
    </row>
    <row r="32" spans="1:7" hidden="1" x14ac:dyDescent="0.15">
      <c r="A32" s="2200" t="s">
        <v>4280</v>
      </c>
      <c r="B32" s="2200" t="s">
        <v>4341</v>
      </c>
      <c r="C32" s="2200" t="s">
        <v>4342</v>
      </c>
      <c r="D32" s="2200" t="str">
        <f t="shared" si="0"/>
        <v>AL</v>
      </c>
      <c r="E32" s="2200" t="str">
        <f t="shared" si="1"/>
        <v>01</v>
      </c>
      <c r="F32" s="2200" t="str">
        <f t="shared" si="2"/>
        <v>061</v>
      </c>
      <c r="G32" s="2200">
        <f>--SUBTOTAL(3,C$2:C32)</f>
        <v>0</v>
      </c>
    </row>
    <row r="33" spans="1:7" hidden="1" x14ac:dyDescent="0.15">
      <c r="A33" s="2200" t="s">
        <v>4280</v>
      </c>
      <c r="B33" s="2200" t="s">
        <v>4343</v>
      </c>
      <c r="C33" s="2200" t="s">
        <v>4344</v>
      </c>
      <c r="D33" s="2200" t="str">
        <f t="shared" si="0"/>
        <v>AL</v>
      </c>
      <c r="E33" s="2200" t="str">
        <f t="shared" si="1"/>
        <v>01</v>
      </c>
      <c r="F33" s="2200" t="str">
        <f t="shared" si="2"/>
        <v>063</v>
      </c>
      <c r="G33" s="2200">
        <f>--SUBTOTAL(3,C$2:C33)</f>
        <v>0</v>
      </c>
    </row>
    <row r="34" spans="1:7" hidden="1" x14ac:dyDescent="0.15">
      <c r="A34" s="2200" t="s">
        <v>4280</v>
      </c>
      <c r="B34" s="2200" t="s">
        <v>4345</v>
      </c>
      <c r="C34" s="2200" t="s">
        <v>4346</v>
      </c>
      <c r="D34" s="2200" t="str">
        <f t="shared" si="0"/>
        <v>AL</v>
      </c>
      <c r="E34" s="2200" t="str">
        <f t="shared" si="1"/>
        <v>01</v>
      </c>
      <c r="F34" s="2200" t="str">
        <f t="shared" si="2"/>
        <v>065</v>
      </c>
      <c r="G34" s="2200">
        <f>--SUBTOTAL(3,C$2:C34)</f>
        <v>0</v>
      </c>
    </row>
    <row r="35" spans="1:7" hidden="1" x14ac:dyDescent="0.15">
      <c r="A35" s="2200" t="s">
        <v>4280</v>
      </c>
      <c r="B35" s="2200" t="s">
        <v>4347</v>
      </c>
      <c r="C35" s="2200" t="s">
        <v>4348</v>
      </c>
      <c r="D35" s="2200" t="str">
        <f t="shared" si="0"/>
        <v>AL</v>
      </c>
      <c r="E35" s="2200" t="str">
        <f t="shared" si="1"/>
        <v>01</v>
      </c>
      <c r="F35" s="2200" t="str">
        <f t="shared" si="2"/>
        <v>067</v>
      </c>
      <c r="G35" s="2200">
        <f>--SUBTOTAL(3,C$2:C35)</f>
        <v>0</v>
      </c>
    </row>
    <row r="36" spans="1:7" hidden="1" x14ac:dyDescent="0.15">
      <c r="A36" s="2200" t="s">
        <v>4280</v>
      </c>
      <c r="B36" s="2200" t="s">
        <v>4349</v>
      </c>
      <c r="C36" s="2200" t="s">
        <v>4350</v>
      </c>
      <c r="D36" s="2200" t="str">
        <f t="shared" si="0"/>
        <v>AL</v>
      </c>
      <c r="E36" s="2200" t="str">
        <f t="shared" si="1"/>
        <v>01</v>
      </c>
      <c r="F36" s="2200" t="str">
        <f t="shared" si="2"/>
        <v>069</v>
      </c>
      <c r="G36" s="2200">
        <f>--SUBTOTAL(3,C$2:C36)</f>
        <v>0</v>
      </c>
    </row>
    <row r="37" spans="1:7" hidden="1" x14ac:dyDescent="0.15">
      <c r="A37" s="2200" t="s">
        <v>4280</v>
      </c>
      <c r="B37" s="2200" t="s">
        <v>4351</v>
      </c>
      <c r="C37" s="2200" t="s">
        <v>4352</v>
      </c>
      <c r="D37" s="2200" t="str">
        <f t="shared" si="0"/>
        <v>AL</v>
      </c>
      <c r="E37" s="2200" t="str">
        <f t="shared" si="1"/>
        <v>01</v>
      </c>
      <c r="F37" s="2200" t="str">
        <f t="shared" si="2"/>
        <v>071</v>
      </c>
      <c r="G37" s="2200">
        <f>--SUBTOTAL(3,C$2:C37)</f>
        <v>0</v>
      </c>
    </row>
    <row r="38" spans="1:7" hidden="1" x14ac:dyDescent="0.15">
      <c r="A38" s="2200" t="s">
        <v>4280</v>
      </c>
      <c r="B38" s="2200" t="s">
        <v>4353</v>
      </c>
      <c r="C38" s="2200" t="s">
        <v>4354</v>
      </c>
      <c r="D38" s="2200" t="str">
        <f t="shared" si="0"/>
        <v>AL</v>
      </c>
      <c r="E38" s="2200" t="str">
        <f t="shared" si="1"/>
        <v>01</v>
      </c>
      <c r="F38" s="2200" t="str">
        <f t="shared" si="2"/>
        <v>073</v>
      </c>
      <c r="G38" s="2200">
        <f>--SUBTOTAL(3,C$2:C38)</f>
        <v>0</v>
      </c>
    </row>
    <row r="39" spans="1:7" hidden="1" x14ac:dyDescent="0.15">
      <c r="A39" s="2200" t="s">
        <v>4280</v>
      </c>
      <c r="B39" s="2200" t="s">
        <v>4355</v>
      </c>
      <c r="C39" s="2200" t="s">
        <v>4356</v>
      </c>
      <c r="D39" s="2200" t="str">
        <f t="shared" si="0"/>
        <v>AL</v>
      </c>
      <c r="E39" s="2200" t="str">
        <f t="shared" si="1"/>
        <v>01</v>
      </c>
      <c r="F39" s="2200" t="str">
        <f t="shared" si="2"/>
        <v>075</v>
      </c>
      <c r="G39" s="2200">
        <f>--SUBTOTAL(3,C$2:C39)</f>
        <v>0</v>
      </c>
    </row>
    <row r="40" spans="1:7" hidden="1" x14ac:dyDescent="0.15">
      <c r="A40" s="2200" t="s">
        <v>4280</v>
      </c>
      <c r="B40" s="2200" t="s">
        <v>4357</v>
      </c>
      <c r="C40" s="2200" t="s">
        <v>4358</v>
      </c>
      <c r="D40" s="2200" t="str">
        <f t="shared" si="0"/>
        <v>AL</v>
      </c>
      <c r="E40" s="2200" t="str">
        <f t="shared" si="1"/>
        <v>01</v>
      </c>
      <c r="F40" s="2200" t="str">
        <f t="shared" si="2"/>
        <v>077</v>
      </c>
      <c r="G40" s="2200">
        <f>--SUBTOTAL(3,C$2:C40)</f>
        <v>0</v>
      </c>
    </row>
    <row r="41" spans="1:7" hidden="1" x14ac:dyDescent="0.15">
      <c r="A41" s="2200" t="s">
        <v>4280</v>
      </c>
      <c r="B41" s="2200" t="s">
        <v>4359</v>
      </c>
      <c r="C41" s="2200" t="s">
        <v>4360</v>
      </c>
      <c r="D41" s="2200" t="str">
        <f t="shared" si="0"/>
        <v>AL</v>
      </c>
      <c r="E41" s="2200" t="str">
        <f t="shared" si="1"/>
        <v>01</v>
      </c>
      <c r="F41" s="2200" t="str">
        <f t="shared" si="2"/>
        <v>079</v>
      </c>
      <c r="G41" s="2200">
        <f>--SUBTOTAL(3,C$2:C41)</f>
        <v>0</v>
      </c>
    </row>
    <row r="42" spans="1:7" hidden="1" x14ac:dyDescent="0.15">
      <c r="A42" s="2200" t="s">
        <v>4280</v>
      </c>
      <c r="B42" s="2200" t="s">
        <v>4361</v>
      </c>
      <c r="C42" s="2200" t="s">
        <v>4362</v>
      </c>
      <c r="D42" s="2200" t="str">
        <f t="shared" si="0"/>
        <v>AL</v>
      </c>
      <c r="E42" s="2200" t="str">
        <f t="shared" si="1"/>
        <v>01</v>
      </c>
      <c r="F42" s="2200" t="str">
        <f t="shared" si="2"/>
        <v>081</v>
      </c>
      <c r="G42" s="2200">
        <f>--SUBTOTAL(3,C$2:C42)</f>
        <v>0</v>
      </c>
    </row>
    <row r="43" spans="1:7" hidden="1" x14ac:dyDescent="0.15">
      <c r="A43" s="2200" t="s">
        <v>4280</v>
      </c>
      <c r="B43" s="2200" t="s">
        <v>4363</v>
      </c>
      <c r="C43" s="2200" t="s">
        <v>4364</v>
      </c>
      <c r="D43" s="2200" t="str">
        <f t="shared" si="0"/>
        <v>AL</v>
      </c>
      <c r="E43" s="2200" t="str">
        <f t="shared" si="1"/>
        <v>01</v>
      </c>
      <c r="F43" s="2200" t="str">
        <f t="shared" si="2"/>
        <v>083</v>
      </c>
      <c r="G43" s="2200">
        <f>--SUBTOTAL(3,C$2:C43)</f>
        <v>0</v>
      </c>
    </row>
    <row r="44" spans="1:7" hidden="1" x14ac:dyDescent="0.15">
      <c r="A44" s="2200" t="s">
        <v>4280</v>
      </c>
      <c r="B44" s="2200" t="s">
        <v>4365</v>
      </c>
      <c r="C44" s="2200" t="s">
        <v>4366</v>
      </c>
      <c r="D44" s="2200" t="str">
        <f t="shared" si="0"/>
        <v>AL</v>
      </c>
      <c r="E44" s="2200" t="str">
        <f t="shared" si="1"/>
        <v>01</v>
      </c>
      <c r="F44" s="2200" t="str">
        <f t="shared" si="2"/>
        <v>085</v>
      </c>
      <c r="G44" s="2200">
        <f>--SUBTOTAL(3,C$2:C44)</f>
        <v>0</v>
      </c>
    </row>
    <row r="45" spans="1:7" hidden="1" x14ac:dyDescent="0.15">
      <c r="A45" s="2200" t="s">
        <v>4280</v>
      </c>
      <c r="B45" s="2200" t="s">
        <v>4367</v>
      </c>
      <c r="C45" s="2200" t="s">
        <v>4368</v>
      </c>
      <c r="D45" s="2200" t="str">
        <f t="shared" si="0"/>
        <v>AL</v>
      </c>
      <c r="E45" s="2200" t="str">
        <f t="shared" si="1"/>
        <v>01</v>
      </c>
      <c r="F45" s="2200" t="str">
        <f t="shared" si="2"/>
        <v>087</v>
      </c>
      <c r="G45" s="2200">
        <f>--SUBTOTAL(3,C$2:C45)</f>
        <v>0</v>
      </c>
    </row>
    <row r="46" spans="1:7" hidden="1" x14ac:dyDescent="0.15">
      <c r="A46" s="2200" t="s">
        <v>4280</v>
      </c>
      <c r="B46" s="2200" t="s">
        <v>4369</v>
      </c>
      <c r="C46" s="2200" t="s">
        <v>4370</v>
      </c>
      <c r="D46" s="2200" t="str">
        <f t="shared" si="0"/>
        <v>AL</v>
      </c>
      <c r="E46" s="2200" t="str">
        <f t="shared" si="1"/>
        <v>01</v>
      </c>
      <c r="F46" s="2200" t="str">
        <f t="shared" si="2"/>
        <v>089</v>
      </c>
      <c r="G46" s="2200">
        <f>--SUBTOTAL(3,C$2:C46)</f>
        <v>0</v>
      </c>
    </row>
    <row r="47" spans="1:7" hidden="1" x14ac:dyDescent="0.15">
      <c r="A47" s="2200" t="s">
        <v>4280</v>
      </c>
      <c r="B47" s="2200" t="s">
        <v>4371</v>
      </c>
      <c r="C47" s="2200" t="s">
        <v>4372</v>
      </c>
      <c r="D47" s="2200" t="str">
        <f t="shared" si="0"/>
        <v>AL</v>
      </c>
      <c r="E47" s="2200" t="str">
        <f t="shared" si="1"/>
        <v>01</v>
      </c>
      <c r="F47" s="2200" t="str">
        <f t="shared" si="2"/>
        <v>091</v>
      </c>
      <c r="G47" s="2200">
        <f>--SUBTOTAL(3,C$2:C47)</f>
        <v>0</v>
      </c>
    </row>
    <row r="48" spans="1:7" hidden="1" x14ac:dyDescent="0.15">
      <c r="A48" s="2200" t="s">
        <v>4280</v>
      </c>
      <c r="B48" s="2200" t="s">
        <v>4373</v>
      </c>
      <c r="C48" s="2200" t="s">
        <v>4374</v>
      </c>
      <c r="D48" s="2200" t="str">
        <f t="shared" si="0"/>
        <v>AL</v>
      </c>
      <c r="E48" s="2200" t="str">
        <f t="shared" si="1"/>
        <v>01</v>
      </c>
      <c r="F48" s="2200" t="str">
        <f t="shared" si="2"/>
        <v>093</v>
      </c>
      <c r="G48" s="2200">
        <f>--SUBTOTAL(3,C$2:C48)</f>
        <v>0</v>
      </c>
    </row>
    <row r="49" spans="1:7" hidden="1" x14ac:dyDescent="0.15">
      <c r="A49" s="2200" t="s">
        <v>4280</v>
      </c>
      <c r="B49" s="2200" t="s">
        <v>4375</v>
      </c>
      <c r="C49" s="2200" t="s">
        <v>4376</v>
      </c>
      <c r="D49" s="2200" t="str">
        <f t="shared" si="0"/>
        <v>AL</v>
      </c>
      <c r="E49" s="2200" t="str">
        <f t="shared" si="1"/>
        <v>01</v>
      </c>
      <c r="F49" s="2200" t="str">
        <f t="shared" si="2"/>
        <v>095</v>
      </c>
      <c r="G49" s="2200">
        <f>--SUBTOTAL(3,C$2:C49)</f>
        <v>0</v>
      </c>
    </row>
    <row r="50" spans="1:7" hidden="1" x14ac:dyDescent="0.15">
      <c r="A50" s="2200" t="s">
        <v>4280</v>
      </c>
      <c r="B50" s="2200" t="s">
        <v>4377</v>
      </c>
      <c r="C50" s="2200" t="s">
        <v>4378</v>
      </c>
      <c r="D50" s="2200" t="str">
        <f t="shared" si="0"/>
        <v>AL</v>
      </c>
      <c r="E50" s="2200" t="str">
        <f t="shared" si="1"/>
        <v>01</v>
      </c>
      <c r="F50" s="2200" t="str">
        <f t="shared" si="2"/>
        <v>097</v>
      </c>
      <c r="G50" s="2200">
        <f>--SUBTOTAL(3,C$2:C50)</f>
        <v>0</v>
      </c>
    </row>
    <row r="51" spans="1:7" hidden="1" x14ac:dyDescent="0.15">
      <c r="A51" s="2200" t="s">
        <v>4280</v>
      </c>
      <c r="B51" s="2200" t="s">
        <v>4379</v>
      </c>
      <c r="C51" s="2200" t="s">
        <v>4380</v>
      </c>
      <c r="D51" s="2200" t="str">
        <f t="shared" si="0"/>
        <v>AL</v>
      </c>
      <c r="E51" s="2200" t="str">
        <f t="shared" si="1"/>
        <v>01</v>
      </c>
      <c r="F51" s="2200" t="str">
        <f t="shared" si="2"/>
        <v>099</v>
      </c>
      <c r="G51" s="2200">
        <f>--SUBTOTAL(3,C$2:C51)</f>
        <v>0</v>
      </c>
    </row>
    <row r="52" spans="1:7" hidden="1" x14ac:dyDescent="0.15">
      <c r="A52" s="2200" t="s">
        <v>4280</v>
      </c>
      <c r="B52" s="2200" t="s">
        <v>4381</v>
      </c>
      <c r="C52" s="2200" t="s">
        <v>4382</v>
      </c>
      <c r="D52" s="2200" t="str">
        <f t="shared" si="0"/>
        <v>AL</v>
      </c>
      <c r="E52" s="2200" t="str">
        <f t="shared" si="1"/>
        <v>01</v>
      </c>
      <c r="F52" s="2200" t="str">
        <f t="shared" si="2"/>
        <v>101</v>
      </c>
      <c r="G52" s="2200">
        <f>--SUBTOTAL(3,C$2:C52)</f>
        <v>0</v>
      </c>
    </row>
    <row r="53" spans="1:7" hidden="1" x14ac:dyDescent="0.15">
      <c r="A53" s="2200" t="s">
        <v>4280</v>
      </c>
      <c r="B53" s="2200" t="s">
        <v>4383</v>
      </c>
      <c r="C53" s="2200" t="s">
        <v>4384</v>
      </c>
      <c r="D53" s="2200" t="str">
        <f t="shared" si="0"/>
        <v>AL</v>
      </c>
      <c r="E53" s="2200" t="str">
        <f t="shared" si="1"/>
        <v>01</v>
      </c>
      <c r="F53" s="2200" t="str">
        <f t="shared" si="2"/>
        <v>103</v>
      </c>
      <c r="G53" s="2200">
        <f>--SUBTOTAL(3,C$2:C53)</f>
        <v>0</v>
      </c>
    </row>
    <row r="54" spans="1:7" hidden="1" x14ac:dyDescent="0.15">
      <c r="A54" s="2200" t="s">
        <v>4280</v>
      </c>
      <c r="B54" s="2200" t="s">
        <v>4385</v>
      </c>
      <c r="C54" s="2200" t="s">
        <v>4386</v>
      </c>
      <c r="D54" s="2200" t="str">
        <f t="shared" si="0"/>
        <v>AL</v>
      </c>
      <c r="E54" s="2200" t="str">
        <f t="shared" si="1"/>
        <v>01</v>
      </c>
      <c r="F54" s="2200" t="str">
        <f t="shared" si="2"/>
        <v>105</v>
      </c>
      <c r="G54" s="2200">
        <f>--SUBTOTAL(3,C$2:C54)</f>
        <v>0</v>
      </c>
    </row>
    <row r="55" spans="1:7" hidden="1" x14ac:dyDescent="0.15">
      <c r="A55" s="2200" t="s">
        <v>4280</v>
      </c>
      <c r="B55" s="2200" t="s">
        <v>4387</v>
      </c>
      <c r="C55" s="2200" t="s">
        <v>4388</v>
      </c>
      <c r="D55" s="2200" t="str">
        <f t="shared" si="0"/>
        <v>AL</v>
      </c>
      <c r="E55" s="2200" t="str">
        <f t="shared" si="1"/>
        <v>01</v>
      </c>
      <c r="F55" s="2200" t="str">
        <f t="shared" si="2"/>
        <v>107</v>
      </c>
      <c r="G55" s="2200">
        <f>--SUBTOTAL(3,C$2:C55)</f>
        <v>0</v>
      </c>
    </row>
    <row r="56" spans="1:7" hidden="1" x14ac:dyDescent="0.15">
      <c r="A56" s="2200" t="s">
        <v>4280</v>
      </c>
      <c r="B56" s="2200" t="s">
        <v>4389</v>
      </c>
      <c r="C56" s="2200" t="s">
        <v>4390</v>
      </c>
      <c r="D56" s="2200" t="str">
        <f t="shared" si="0"/>
        <v>AL</v>
      </c>
      <c r="E56" s="2200" t="str">
        <f t="shared" si="1"/>
        <v>01</v>
      </c>
      <c r="F56" s="2200" t="str">
        <f t="shared" si="2"/>
        <v>109</v>
      </c>
      <c r="G56" s="2200">
        <f>--SUBTOTAL(3,C$2:C56)</f>
        <v>0</v>
      </c>
    </row>
    <row r="57" spans="1:7" hidden="1" x14ac:dyDescent="0.15">
      <c r="A57" s="2200" t="s">
        <v>4280</v>
      </c>
      <c r="B57" s="2200" t="s">
        <v>4391</v>
      </c>
      <c r="C57" s="2200" t="s">
        <v>4392</v>
      </c>
      <c r="D57" s="2200" t="str">
        <f t="shared" si="0"/>
        <v>AL</v>
      </c>
      <c r="E57" s="2200" t="str">
        <f t="shared" si="1"/>
        <v>01</v>
      </c>
      <c r="F57" s="2200" t="str">
        <f t="shared" si="2"/>
        <v>111</v>
      </c>
      <c r="G57" s="2200">
        <f>--SUBTOTAL(3,C$2:C57)</f>
        <v>0</v>
      </c>
    </row>
    <row r="58" spans="1:7" hidden="1" x14ac:dyDescent="0.15">
      <c r="A58" s="2200" t="s">
        <v>4280</v>
      </c>
      <c r="B58" s="2200" t="s">
        <v>4393</v>
      </c>
      <c r="C58" s="2200" t="s">
        <v>4394</v>
      </c>
      <c r="D58" s="2200" t="str">
        <f t="shared" si="0"/>
        <v>AL</v>
      </c>
      <c r="E58" s="2200" t="str">
        <f t="shared" si="1"/>
        <v>01</v>
      </c>
      <c r="F58" s="2200" t="str">
        <f t="shared" si="2"/>
        <v>113</v>
      </c>
      <c r="G58" s="2200">
        <f>--SUBTOTAL(3,C$2:C58)</f>
        <v>0</v>
      </c>
    </row>
    <row r="59" spans="1:7" hidden="1" x14ac:dyDescent="0.15">
      <c r="A59" s="2200" t="s">
        <v>4280</v>
      </c>
      <c r="B59" s="2200" t="s">
        <v>4395</v>
      </c>
      <c r="C59" s="2200" t="s">
        <v>4396</v>
      </c>
      <c r="D59" s="2200" t="str">
        <f t="shared" si="0"/>
        <v>AL</v>
      </c>
      <c r="E59" s="2200" t="str">
        <f t="shared" si="1"/>
        <v>01</v>
      </c>
      <c r="F59" s="2200" t="str">
        <f t="shared" si="2"/>
        <v>115</v>
      </c>
      <c r="G59" s="2200">
        <f>--SUBTOTAL(3,C$2:C59)</f>
        <v>0</v>
      </c>
    </row>
    <row r="60" spans="1:7" hidden="1" x14ac:dyDescent="0.15">
      <c r="A60" s="2200" t="s">
        <v>4280</v>
      </c>
      <c r="B60" s="2200" t="s">
        <v>4397</v>
      </c>
      <c r="C60" s="2200" t="s">
        <v>4398</v>
      </c>
      <c r="D60" s="2200" t="str">
        <f t="shared" si="0"/>
        <v>AL</v>
      </c>
      <c r="E60" s="2200" t="str">
        <f t="shared" si="1"/>
        <v>01</v>
      </c>
      <c r="F60" s="2200" t="str">
        <f t="shared" si="2"/>
        <v>117</v>
      </c>
      <c r="G60" s="2200">
        <f>--SUBTOTAL(3,C$2:C60)</f>
        <v>0</v>
      </c>
    </row>
    <row r="61" spans="1:7" hidden="1" x14ac:dyDescent="0.15">
      <c r="A61" s="2200" t="s">
        <v>4280</v>
      </c>
      <c r="B61" s="2200" t="s">
        <v>4399</v>
      </c>
      <c r="C61" s="2200" t="s">
        <v>4400</v>
      </c>
      <c r="D61" s="2200" t="str">
        <f t="shared" si="0"/>
        <v>AL</v>
      </c>
      <c r="E61" s="2200" t="str">
        <f t="shared" si="1"/>
        <v>01</v>
      </c>
      <c r="F61" s="2200" t="str">
        <f t="shared" si="2"/>
        <v>119</v>
      </c>
      <c r="G61" s="2200">
        <f>--SUBTOTAL(3,C$2:C61)</f>
        <v>0</v>
      </c>
    </row>
    <row r="62" spans="1:7" hidden="1" x14ac:dyDescent="0.15">
      <c r="A62" s="2200" t="s">
        <v>4280</v>
      </c>
      <c r="B62" s="2200" t="s">
        <v>4401</v>
      </c>
      <c r="C62" s="2200" t="s">
        <v>4402</v>
      </c>
      <c r="D62" s="2200" t="str">
        <f t="shared" si="0"/>
        <v>AL</v>
      </c>
      <c r="E62" s="2200" t="str">
        <f t="shared" si="1"/>
        <v>01</v>
      </c>
      <c r="F62" s="2200" t="str">
        <f t="shared" si="2"/>
        <v>121</v>
      </c>
      <c r="G62" s="2200">
        <f>--SUBTOTAL(3,C$2:C62)</f>
        <v>0</v>
      </c>
    </row>
    <row r="63" spans="1:7" hidden="1" x14ac:dyDescent="0.15">
      <c r="A63" s="2200" t="s">
        <v>4280</v>
      </c>
      <c r="B63" s="2200" t="s">
        <v>4403</v>
      </c>
      <c r="C63" s="2200" t="s">
        <v>4404</v>
      </c>
      <c r="D63" s="2200" t="str">
        <f t="shared" si="0"/>
        <v>AL</v>
      </c>
      <c r="E63" s="2200" t="str">
        <f t="shared" si="1"/>
        <v>01</v>
      </c>
      <c r="F63" s="2200" t="str">
        <f t="shared" si="2"/>
        <v>123</v>
      </c>
      <c r="G63" s="2200">
        <f>--SUBTOTAL(3,C$2:C63)</f>
        <v>0</v>
      </c>
    </row>
    <row r="64" spans="1:7" hidden="1" x14ac:dyDescent="0.15">
      <c r="A64" s="2200" t="s">
        <v>4280</v>
      </c>
      <c r="B64" s="2200" t="s">
        <v>4405</v>
      </c>
      <c r="C64" s="2200" t="s">
        <v>4406</v>
      </c>
      <c r="D64" s="2200" t="str">
        <f t="shared" si="0"/>
        <v>AL</v>
      </c>
      <c r="E64" s="2200" t="str">
        <f t="shared" si="1"/>
        <v>01</v>
      </c>
      <c r="F64" s="2200" t="str">
        <f t="shared" si="2"/>
        <v>125</v>
      </c>
      <c r="G64" s="2200">
        <f>--SUBTOTAL(3,C$2:C64)</f>
        <v>0</v>
      </c>
    </row>
    <row r="65" spans="1:7" hidden="1" x14ac:dyDescent="0.15">
      <c r="A65" s="2200" t="s">
        <v>4280</v>
      </c>
      <c r="B65" s="2200" t="s">
        <v>4407</v>
      </c>
      <c r="C65" s="2200" t="s">
        <v>4408</v>
      </c>
      <c r="D65" s="2200" t="str">
        <f t="shared" si="0"/>
        <v>AL</v>
      </c>
      <c r="E65" s="2200" t="str">
        <f t="shared" si="1"/>
        <v>01</v>
      </c>
      <c r="F65" s="2200" t="str">
        <f t="shared" si="2"/>
        <v>127</v>
      </c>
      <c r="G65" s="2200">
        <f>--SUBTOTAL(3,C$2:C65)</f>
        <v>0</v>
      </c>
    </row>
    <row r="66" spans="1:7" hidden="1" x14ac:dyDescent="0.15">
      <c r="A66" s="2200" t="s">
        <v>4280</v>
      </c>
      <c r="B66" s="2200" t="s">
        <v>4409</v>
      </c>
      <c r="C66" s="2200" t="s">
        <v>4410</v>
      </c>
      <c r="D66" s="2200" t="str">
        <f t="shared" si="0"/>
        <v>AL</v>
      </c>
      <c r="E66" s="2200" t="str">
        <f t="shared" si="1"/>
        <v>01</v>
      </c>
      <c r="F66" s="2200" t="str">
        <f t="shared" si="2"/>
        <v>129</v>
      </c>
      <c r="G66" s="2200">
        <f>--SUBTOTAL(3,C$2:C66)</f>
        <v>0</v>
      </c>
    </row>
    <row r="67" spans="1:7" hidden="1" x14ac:dyDescent="0.15">
      <c r="A67" s="2200" t="s">
        <v>4280</v>
      </c>
      <c r="B67" s="2200" t="s">
        <v>4411</v>
      </c>
      <c r="C67" s="2200" t="s">
        <v>4412</v>
      </c>
      <c r="D67" s="2200" t="str">
        <f t="shared" ref="D67:D130" si="3">RIGHT(C67,2)</f>
        <v>AL</v>
      </c>
      <c r="E67" s="2200" t="str">
        <f t="shared" ref="E67:E130" si="4">MID(B67,3,2)</f>
        <v>01</v>
      </c>
      <c r="F67" s="2200" t="str">
        <f t="shared" ref="F67:F130" si="5">MID(B67,5,3)</f>
        <v>131</v>
      </c>
      <c r="G67" s="2200">
        <f>--SUBTOTAL(3,C$2:C67)</f>
        <v>0</v>
      </c>
    </row>
    <row r="68" spans="1:7" hidden="1" x14ac:dyDescent="0.15">
      <c r="A68" s="2200" t="s">
        <v>4280</v>
      </c>
      <c r="B68" s="2200" t="s">
        <v>4413</v>
      </c>
      <c r="C68" s="2200" t="s">
        <v>4414</v>
      </c>
      <c r="D68" s="2200" t="str">
        <f t="shared" si="3"/>
        <v>AL</v>
      </c>
      <c r="E68" s="2200" t="str">
        <f t="shared" si="4"/>
        <v>01</v>
      </c>
      <c r="F68" s="2200" t="str">
        <f t="shared" si="5"/>
        <v>133</v>
      </c>
      <c r="G68" s="2200">
        <f>--SUBTOTAL(3,C$2:C68)</f>
        <v>0</v>
      </c>
    </row>
    <row r="69" spans="1:7" hidden="1" x14ac:dyDescent="0.15">
      <c r="A69" s="2200" t="s">
        <v>4280</v>
      </c>
      <c r="B69" s="2200" t="s">
        <v>4415</v>
      </c>
      <c r="C69" s="2200" t="s">
        <v>4416</v>
      </c>
      <c r="D69" s="2200" t="str">
        <f t="shared" si="3"/>
        <v>AK</v>
      </c>
      <c r="E69" s="2200" t="str">
        <f t="shared" si="4"/>
        <v>02</v>
      </c>
      <c r="F69" s="2200" t="str">
        <f t="shared" si="5"/>
        <v>013</v>
      </c>
      <c r="G69" s="2200">
        <f>--SUBTOTAL(3,C$2:C69)</f>
        <v>0</v>
      </c>
    </row>
    <row r="70" spans="1:7" hidden="1" x14ac:dyDescent="0.15">
      <c r="A70" s="2200" t="s">
        <v>4280</v>
      </c>
      <c r="B70" s="2200" t="s">
        <v>4417</v>
      </c>
      <c r="C70" s="2200" t="s">
        <v>4418</v>
      </c>
      <c r="D70" s="2200" t="str">
        <f t="shared" si="3"/>
        <v>AK</v>
      </c>
      <c r="E70" s="2200" t="str">
        <f t="shared" si="4"/>
        <v>02</v>
      </c>
      <c r="F70" s="2200" t="str">
        <f t="shared" si="5"/>
        <v>016</v>
      </c>
      <c r="G70" s="2200">
        <f>--SUBTOTAL(3,C$2:C70)</f>
        <v>0</v>
      </c>
    </row>
    <row r="71" spans="1:7" hidden="1" x14ac:dyDescent="0.15">
      <c r="A71" s="2200" t="s">
        <v>4280</v>
      </c>
      <c r="B71" s="2200" t="s">
        <v>4419</v>
      </c>
      <c r="C71" s="2200" t="s">
        <v>4420</v>
      </c>
      <c r="D71" s="2200" t="str">
        <f t="shared" si="3"/>
        <v>AK</v>
      </c>
      <c r="E71" s="2200" t="str">
        <f t="shared" si="4"/>
        <v>02</v>
      </c>
      <c r="F71" s="2200" t="str">
        <f t="shared" si="5"/>
        <v>020</v>
      </c>
      <c r="G71" s="2200">
        <f>--SUBTOTAL(3,C$2:C71)</f>
        <v>0</v>
      </c>
    </row>
    <row r="72" spans="1:7" hidden="1" x14ac:dyDescent="0.15">
      <c r="A72" s="2200" t="s">
        <v>4280</v>
      </c>
      <c r="B72" s="2200" t="s">
        <v>4421</v>
      </c>
      <c r="C72" s="2200" t="s">
        <v>4422</v>
      </c>
      <c r="D72" s="2200" t="str">
        <f t="shared" si="3"/>
        <v>AK</v>
      </c>
      <c r="E72" s="2200" t="str">
        <f t="shared" si="4"/>
        <v>02</v>
      </c>
      <c r="F72" s="2200" t="str">
        <f t="shared" si="5"/>
        <v>050</v>
      </c>
      <c r="G72" s="2200">
        <f>--SUBTOTAL(3,C$2:C72)</f>
        <v>0</v>
      </c>
    </row>
    <row r="73" spans="1:7" hidden="1" x14ac:dyDescent="0.15">
      <c r="A73" s="2200" t="s">
        <v>4280</v>
      </c>
      <c r="B73" s="2200" t="s">
        <v>4423</v>
      </c>
      <c r="C73" s="2200" t="s">
        <v>4424</v>
      </c>
      <c r="D73" s="2200" t="str">
        <f t="shared" si="3"/>
        <v>AK</v>
      </c>
      <c r="E73" s="2200" t="str">
        <f t="shared" si="4"/>
        <v>02</v>
      </c>
      <c r="F73" s="2200" t="str">
        <f t="shared" si="5"/>
        <v>060</v>
      </c>
      <c r="G73" s="2200">
        <f>--SUBTOTAL(3,C$2:C73)</f>
        <v>0</v>
      </c>
    </row>
    <row r="74" spans="1:7" hidden="1" x14ac:dyDescent="0.15">
      <c r="A74" s="2200" t="s">
        <v>4280</v>
      </c>
      <c r="B74" s="2200" t="s">
        <v>4425</v>
      </c>
      <c r="C74" s="2200" t="s">
        <v>4426</v>
      </c>
      <c r="D74" s="2200" t="str">
        <f t="shared" si="3"/>
        <v>AK</v>
      </c>
      <c r="E74" s="2200" t="str">
        <f t="shared" si="4"/>
        <v>02</v>
      </c>
      <c r="F74" s="2200" t="str">
        <f t="shared" si="5"/>
        <v>068</v>
      </c>
      <c r="G74" s="2200">
        <f>--SUBTOTAL(3,C$2:C74)</f>
        <v>0</v>
      </c>
    </row>
    <row r="75" spans="1:7" hidden="1" x14ac:dyDescent="0.15">
      <c r="A75" s="2200" t="s">
        <v>4280</v>
      </c>
      <c r="B75" s="2200" t="s">
        <v>4427</v>
      </c>
      <c r="C75" s="2200" t="s">
        <v>4428</v>
      </c>
      <c r="D75" s="2200" t="str">
        <f t="shared" si="3"/>
        <v>AK</v>
      </c>
      <c r="E75" s="2200" t="str">
        <f t="shared" si="4"/>
        <v>02</v>
      </c>
      <c r="F75" s="2200" t="str">
        <f t="shared" si="5"/>
        <v>070</v>
      </c>
      <c r="G75" s="2200">
        <f>--SUBTOTAL(3,C$2:C75)</f>
        <v>0</v>
      </c>
    </row>
    <row r="76" spans="1:7" hidden="1" x14ac:dyDescent="0.15">
      <c r="A76" s="2200" t="s">
        <v>4280</v>
      </c>
      <c r="B76" s="2200" t="s">
        <v>4429</v>
      </c>
      <c r="C76" s="2200" t="s">
        <v>4430</v>
      </c>
      <c r="D76" s="2200" t="str">
        <f t="shared" si="3"/>
        <v>AK</v>
      </c>
      <c r="E76" s="2200" t="str">
        <f t="shared" si="4"/>
        <v>02</v>
      </c>
      <c r="F76" s="2200" t="str">
        <f t="shared" si="5"/>
        <v>090</v>
      </c>
      <c r="G76" s="2200">
        <f>--SUBTOTAL(3,C$2:C76)</f>
        <v>0</v>
      </c>
    </row>
    <row r="77" spans="1:7" hidden="1" x14ac:dyDescent="0.15">
      <c r="A77" s="2200" t="s">
        <v>4280</v>
      </c>
      <c r="B77" s="2200" t="s">
        <v>4431</v>
      </c>
      <c r="C77" s="2200" t="s">
        <v>4432</v>
      </c>
      <c r="D77" s="2200" t="str">
        <f t="shared" si="3"/>
        <v>AK</v>
      </c>
      <c r="E77" s="2200" t="str">
        <f t="shared" si="4"/>
        <v>02</v>
      </c>
      <c r="F77" s="2200" t="str">
        <f t="shared" si="5"/>
        <v>100</v>
      </c>
      <c r="G77" s="2200">
        <f>--SUBTOTAL(3,C$2:C77)</f>
        <v>0</v>
      </c>
    </row>
    <row r="78" spans="1:7" hidden="1" x14ac:dyDescent="0.15">
      <c r="A78" s="2200" t="s">
        <v>4280</v>
      </c>
      <c r="B78" s="2200" t="s">
        <v>4433</v>
      </c>
      <c r="C78" s="2200" t="s">
        <v>4434</v>
      </c>
      <c r="D78" s="2200" t="str">
        <f t="shared" si="3"/>
        <v>AK</v>
      </c>
      <c r="E78" s="2200" t="str">
        <f t="shared" si="4"/>
        <v>02</v>
      </c>
      <c r="F78" s="2200" t="str">
        <f t="shared" si="5"/>
        <v>105</v>
      </c>
      <c r="G78" s="2200">
        <f>--SUBTOTAL(3,C$2:C78)</f>
        <v>0</v>
      </c>
    </row>
    <row r="79" spans="1:7" hidden="1" x14ac:dyDescent="0.15">
      <c r="A79" s="2200" t="s">
        <v>4280</v>
      </c>
      <c r="B79" s="2200" t="s">
        <v>4435</v>
      </c>
      <c r="C79" s="2200" t="s">
        <v>4436</v>
      </c>
      <c r="D79" s="2200" t="str">
        <f t="shared" si="3"/>
        <v>AK</v>
      </c>
      <c r="E79" s="2200" t="str">
        <f t="shared" si="4"/>
        <v>02</v>
      </c>
      <c r="F79" s="2200" t="str">
        <f t="shared" si="5"/>
        <v>110</v>
      </c>
      <c r="G79" s="2200">
        <f>--SUBTOTAL(3,C$2:C79)</f>
        <v>0</v>
      </c>
    </row>
    <row r="80" spans="1:7" hidden="1" x14ac:dyDescent="0.15">
      <c r="A80" s="2200" t="s">
        <v>4280</v>
      </c>
      <c r="B80" s="2200" t="s">
        <v>4437</v>
      </c>
      <c r="C80" s="2200" t="s">
        <v>4438</v>
      </c>
      <c r="D80" s="2200" t="str">
        <f t="shared" si="3"/>
        <v>AK</v>
      </c>
      <c r="E80" s="2200" t="str">
        <f t="shared" si="4"/>
        <v>02</v>
      </c>
      <c r="F80" s="2200" t="str">
        <f t="shared" si="5"/>
        <v>122</v>
      </c>
      <c r="G80" s="2200">
        <f>--SUBTOTAL(3,C$2:C80)</f>
        <v>0</v>
      </c>
    </row>
    <row r="81" spans="1:7" hidden="1" x14ac:dyDescent="0.15">
      <c r="A81" s="2200" t="s">
        <v>4280</v>
      </c>
      <c r="B81" s="2200" t="s">
        <v>4439</v>
      </c>
      <c r="C81" s="2200" t="s">
        <v>4440</v>
      </c>
      <c r="D81" s="2200" t="str">
        <f t="shared" si="3"/>
        <v>AK</v>
      </c>
      <c r="E81" s="2200" t="str">
        <f t="shared" si="4"/>
        <v>02</v>
      </c>
      <c r="F81" s="2200" t="str">
        <f t="shared" si="5"/>
        <v>130</v>
      </c>
      <c r="G81" s="2200">
        <f>--SUBTOTAL(3,C$2:C81)</f>
        <v>0</v>
      </c>
    </row>
    <row r="82" spans="1:7" hidden="1" x14ac:dyDescent="0.15">
      <c r="A82" s="2200" t="s">
        <v>4280</v>
      </c>
      <c r="B82" s="2200" t="s">
        <v>4441</v>
      </c>
      <c r="C82" s="2200" t="s">
        <v>4442</v>
      </c>
      <c r="D82" s="2200" t="str">
        <f t="shared" si="3"/>
        <v>AK</v>
      </c>
      <c r="E82" s="2200" t="str">
        <f t="shared" si="4"/>
        <v>02</v>
      </c>
      <c r="F82" s="2200" t="str">
        <f t="shared" si="5"/>
        <v>150</v>
      </c>
      <c r="G82" s="2200">
        <f>--SUBTOTAL(3,C$2:C82)</f>
        <v>0</v>
      </c>
    </row>
    <row r="83" spans="1:7" hidden="1" x14ac:dyDescent="0.15">
      <c r="A83" s="2200" t="s">
        <v>4280</v>
      </c>
      <c r="B83" s="2200" t="s">
        <v>4443</v>
      </c>
      <c r="C83" s="2200" t="s">
        <v>4444</v>
      </c>
      <c r="D83" s="2200" t="str">
        <f t="shared" si="3"/>
        <v>AK</v>
      </c>
      <c r="E83" s="2200" t="str">
        <f t="shared" si="4"/>
        <v>02</v>
      </c>
      <c r="F83" s="2200" t="str">
        <f t="shared" si="5"/>
        <v>158</v>
      </c>
      <c r="G83" s="2200">
        <f>--SUBTOTAL(3,C$2:C83)</f>
        <v>0</v>
      </c>
    </row>
    <row r="84" spans="1:7" hidden="1" x14ac:dyDescent="0.15">
      <c r="A84" s="2200" t="s">
        <v>4280</v>
      </c>
      <c r="B84" s="2200" t="s">
        <v>4445</v>
      </c>
      <c r="C84" s="2200" t="s">
        <v>4446</v>
      </c>
      <c r="D84" s="2200" t="str">
        <f t="shared" si="3"/>
        <v>AK</v>
      </c>
      <c r="E84" s="2200" t="str">
        <f t="shared" si="4"/>
        <v>02</v>
      </c>
      <c r="F84" s="2200" t="str">
        <f t="shared" si="5"/>
        <v>164</v>
      </c>
      <c r="G84" s="2200">
        <f>--SUBTOTAL(3,C$2:C84)</f>
        <v>0</v>
      </c>
    </row>
    <row r="85" spans="1:7" hidden="1" x14ac:dyDescent="0.15">
      <c r="A85" s="2200" t="s">
        <v>4280</v>
      </c>
      <c r="B85" s="2200" t="s">
        <v>4447</v>
      </c>
      <c r="C85" s="2200" t="s">
        <v>4448</v>
      </c>
      <c r="D85" s="2200" t="str">
        <f t="shared" si="3"/>
        <v>AK</v>
      </c>
      <c r="E85" s="2200" t="str">
        <f t="shared" si="4"/>
        <v>02</v>
      </c>
      <c r="F85" s="2200" t="str">
        <f t="shared" si="5"/>
        <v>170</v>
      </c>
      <c r="G85" s="2200">
        <f>--SUBTOTAL(3,C$2:C85)</f>
        <v>0</v>
      </c>
    </row>
    <row r="86" spans="1:7" hidden="1" x14ac:dyDescent="0.15">
      <c r="A86" s="2200" t="s">
        <v>4280</v>
      </c>
      <c r="B86" s="2200" t="s">
        <v>4449</v>
      </c>
      <c r="C86" s="2200" t="s">
        <v>4450</v>
      </c>
      <c r="D86" s="2200" t="str">
        <f t="shared" si="3"/>
        <v>AK</v>
      </c>
      <c r="E86" s="2200" t="str">
        <f t="shared" si="4"/>
        <v>02</v>
      </c>
      <c r="F86" s="2200" t="str">
        <f t="shared" si="5"/>
        <v>180</v>
      </c>
      <c r="G86" s="2200">
        <f>--SUBTOTAL(3,C$2:C86)</f>
        <v>0</v>
      </c>
    </row>
    <row r="87" spans="1:7" hidden="1" x14ac:dyDescent="0.15">
      <c r="A87" s="2200" t="s">
        <v>4280</v>
      </c>
      <c r="B87" s="2200" t="s">
        <v>4451</v>
      </c>
      <c r="C87" s="2200" t="s">
        <v>4452</v>
      </c>
      <c r="D87" s="2200" t="str">
        <f t="shared" si="3"/>
        <v>AK</v>
      </c>
      <c r="E87" s="2200" t="str">
        <f t="shared" si="4"/>
        <v>02</v>
      </c>
      <c r="F87" s="2200" t="str">
        <f t="shared" si="5"/>
        <v>185</v>
      </c>
      <c r="G87" s="2200">
        <f>--SUBTOTAL(3,C$2:C87)</f>
        <v>0</v>
      </c>
    </row>
    <row r="88" spans="1:7" hidden="1" x14ac:dyDescent="0.15">
      <c r="A88" s="2200" t="s">
        <v>4280</v>
      </c>
      <c r="B88" s="2200" t="s">
        <v>4453</v>
      </c>
      <c r="C88" s="2200" t="s">
        <v>4454</v>
      </c>
      <c r="D88" s="2200" t="str">
        <f t="shared" si="3"/>
        <v>AK</v>
      </c>
      <c r="E88" s="2200" t="str">
        <f t="shared" si="4"/>
        <v>02</v>
      </c>
      <c r="F88" s="2200" t="str">
        <f t="shared" si="5"/>
        <v>188</v>
      </c>
      <c r="G88" s="2200">
        <f>--SUBTOTAL(3,C$2:C88)</f>
        <v>0</v>
      </c>
    </row>
    <row r="89" spans="1:7" hidden="1" x14ac:dyDescent="0.15">
      <c r="A89" s="2200" t="s">
        <v>4280</v>
      </c>
      <c r="B89" s="2200" t="s">
        <v>4455</v>
      </c>
      <c r="C89" s="2200" t="s">
        <v>4456</v>
      </c>
      <c r="D89" s="2200" t="str">
        <f t="shared" si="3"/>
        <v>AK</v>
      </c>
      <c r="E89" s="2200" t="str">
        <f t="shared" si="4"/>
        <v>02</v>
      </c>
      <c r="F89" s="2200" t="str">
        <f t="shared" si="5"/>
        <v>195</v>
      </c>
      <c r="G89" s="2200">
        <f>--SUBTOTAL(3,C$2:C89)</f>
        <v>0</v>
      </c>
    </row>
    <row r="90" spans="1:7" hidden="1" x14ac:dyDescent="0.15">
      <c r="A90" s="2200" t="s">
        <v>4280</v>
      </c>
      <c r="B90" s="2200" t="s">
        <v>4457</v>
      </c>
      <c r="C90" s="2200" t="s">
        <v>4458</v>
      </c>
      <c r="D90" s="2200" t="str">
        <f t="shared" si="3"/>
        <v>AK</v>
      </c>
      <c r="E90" s="2200" t="str">
        <f t="shared" si="4"/>
        <v>02</v>
      </c>
      <c r="F90" s="2200" t="str">
        <f t="shared" si="5"/>
        <v>198</v>
      </c>
      <c r="G90" s="2200">
        <f>--SUBTOTAL(3,C$2:C90)</f>
        <v>0</v>
      </c>
    </row>
    <row r="91" spans="1:7" hidden="1" x14ac:dyDescent="0.15">
      <c r="A91" s="2200" t="s">
        <v>4280</v>
      </c>
      <c r="B91" s="2200" t="s">
        <v>4459</v>
      </c>
      <c r="C91" s="2200" t="s">
        <v>4460</v>
      </c>
      <c r="D91" s="2200" t="str">
        <f t="shared" si="3"/>
        <v>AK</v>
      </c>
      <c r="E91" s="2200" t="str">
        <f t="shared" si="4"/>
        <v>02</v>
      </c>
      <c r="F91" s="2200" t="str">
        <f t="shared" si="5"/>
        <v>201</v>
      </c>
      <c r="G91" s="2200">
        <f>--SUBTOTAL(3,C$2:C91)</f>
        <v>0</v>
      </c>
    </row>
    <row r="92" spans="1:7" hidden="1" x14ac:dyDescent="0.15">
      <c r="A92" s="2200" t="s">
        <v>4280</v>
      </c>
      <c r="B92" s="2200" t="s">
        <v>4461</v>
      </c>
      <c r="C92" s="2200" t="s">
        <v>4462</v>
      </c>
      <c r="D92" s="2200" t="str">
        <f t="shared" si="3"/>
        <v>AK</v>
      </c>
      <c r="E92" s="2200" t="str">
        <f t="shared" si="4"/>
        <v>02</v>
      </c>
      <c r="F92" s="2200" t="str">
        <f t="shared" si="5"/>
        <v>220</v>
      </c>
      <c r="G92" s="2200">
        <f>--SUBTOTAL(3,C$2:C92)</f>
        <v>0</v>
      </c>
    </row>
    <row r="93" spans="1:7" hidden="1" x14ac:dyDescent="0.15">
      <c r="A93" s="2200" t="s">
        <v>4280</v>
      </c>
      <c r="B93" s="2200" t="s">
        <v>4463</v>
      </c>
      <c r="C93" s="2200" t="s">
        <v>4464</v>
      </c>
      <c r="D93" s="2200" t="str">
        <f t="shared" si="3"/>
        <v>AK</v>
      </c>
      <c r="E93" s="2200" t="str">
        <f t="shared" si="4"/>
        <v>02</v>
      </c>
      <c r="F93" s="2200" t="str">
        <f t="shared" si="5"/>
        <v>230</v>
      </c>
      <c r="G93" s="2200">
        <f>--SUBTOTAL(3,C$2:C93)</f>
        <v>0</v>
      </c>
    </row>
    <row r="94" spans="1:7" hidden="1" x14ac:dyDescent="0.15">
      <c r="A94" s="2200" t="s">
        <v>4280</v>
      </c>
      <c r="B94" s="2200" t="s">
        <v>4465</v>
      </c>
      <c r="C94" s="2200" t="s">
        <v>4466</v>
      </c>
      <c r="D94" s="2200" t="str">
        <f t="shared" si="3"/>
        <v>AK</v>
      </c>
      <c r="E94" s="2200" t="str">
        <f t="shared" si="4"/>
        <v>02</v>
      </c>
      <c r="F94" s="2200" t="str">
        <f t="shared" si="5"/>
        <v>232</v>
      </c>
      <c r="G94" s="2200">
        <f>--SUBTOTAL(3,C$2:C94)</f>
        <v>0</v>
      </c>
    </row>
    <row r="95" spans="1:7" hidden="1" x14ac:dyDescent="0.15">
      <c r="A95" s="2200" t="s">
        <v>4280</v>
      </c>
      <c r="B95" s="2200" t="s">
        <v>4467</v>
      </c>
      <c r="C95" s="2200" t="s">
        <v>4468</v>
      </c>
      <c r="D95" s="2200" t="str">
        <f t="shared" si="3"/>
        <v>AK</v>
      </c>
      <c r="E95" s="2200" t="str">
        <f t="shared" si="4"/>
        <v>02</v>
      </c>
      <c r="F95" s="2200" t="str">
        <f t="shared" si="5"/>
        <v>240</v>
      </c>
      <c r="G95" s="2200">
        <f>--SUBTOTAL(3,C$2:C95)</f>
        <v>0</v>
      </c>
    </row>
    <row r="96" spans="1:7" hidden="1" x14ac:dyDescent="0.15">
      <c r="A96" s="2200" t="s">
        <v>4280</v>
      </c>
      <c r="B96" s="2200" t="s">
        <v>4469</v>
      </c>
      <c r="C96" s="2200" t="s">
        <v>4470</v>
      </c>
      <c r="D96" s="2200" t="str">
        <f t="shared" si="3"/>
        <v>AK</v>
      </c>
      <c r="E96" s="2200" t="str">
        <f t="shared" si="4"/>
        <v>02</v>
      </c>
      <c r="F96" s="2200" t="str">
        <f t="shared" si="5"/>
        <v>261</v>
      </c>
      <c r="G96" s="2200">
        <f>--SUBTOTAL(3,C$2:C96)</f>
        <v>0</v>
      </c>
    </row>
    <row r="97" spans="1:7" hidden="1" x14ac:dyDescent="0.15">
      <c r="A97" s="2200" t="s">
        <v>4280</v>
      </c>
      <c r="B97" s="2200" t="s">
        <v>4471</v>
      </c>
      <c r="C97" s="2200" t="s">
        <v>4472</v>
      </c>
      <c r="D97" s="2200" t="str">
        <f t="shared" si="3"/>
        <v>AK</v>
      </c>
      <c r="E97" s="2200" t="str">
        <f t="shared" si="4"/>
        <v>02</v>
      </c>
      <c r="F97" s="2200" t="str">
        <f t="shared" si="5"/>
        <v>275</v>
      </c>
      <c r="G97" s="2200">
        <f>--SUBTOTAL(3,C$2:C97)</f>
        <v>0</v>
      </c>
    </row>
    <row r="98" spans="1:7" hidden="1" x14ac:dyDescent="0.15">
      <c r="A98" s="2200" t="s">
        <v>4280</v>
      </c>
      <c r="B98" s="2200" t="s">
        <v>4473</v>
      </c>
      <c r="C98" s="2200" t="s">
        <v>4474</v>
      </c>
      <c r="D98" s="2200" t="str">
        <f t="shared" si="3"/>
        <v>AK</v>
      </c>
      <c r="E98" s="2200" t="str">
        <f t="shared" si="4"/>
        <v>02</v>
      </c>
      <c r="F98" s="2200" t="str">
        <f t="shared" si="5"/>
        <v>280</v>
      </c>
      <c r="G98" s="2200">
        <f>--SUBTOTAL(3,C$2:C98)</f>
        <v>0</v>
      </c>
    </row>
    <row r="99" spans="1:7" hidden="1" x14ac:dyDescent="0.15">
      <c r="A99" s="2200" t="s">
        <v>4280</v>
      </c>
      <c r="B99" s="2200" t="s">
        <v>4475</v>
      </c>
      <c r="C99" s="2200" t="s">
        <v>4476</v>
      </c>
      <c r="D99" s="2200" t="str">
        <f t="shared" si="3"/>
        <v>AK</v>
      </c>
      <c r="E99" s="2200" t="str">
        <f t="shared" si="4"/>
        <v>02</v>
      </c>
      <c r="F99" s="2200" t="str">
        <f t="shared" si="5"/>
        <v>282</v>
      </c>
      <c r="G99" s="2200">
        <f>--SUBTOTAL(3,C$2:C99)</f>
        <v>0</v>
      </c>
    </row>
    <row r="100" spans="1:7" hidden="1" x14ac:dyDescent="0.15">
      <c r="A100" s="2200" t="s">
        <v>4280</v>
      </c>
      <c r="B100" s="2200" t="s">
        <v>4477</v>
      </c>
      <c r="C100" s="2200" t="s">
        <v>4478</v>
      </c>
      <c r="D100" s="2200" t="str">
        <f t="shared" si="3"/>
        <v>AK</v>
      </c>
      <c r="E100" s="2200" t="str">
        <f t="shared" si="4"/>
        <v>02</v>
      </c>
      <c r="F100" s="2200" t="str">
        <f t="shared" si="5"/>
        <v>290</v>
      </c>
      <c r="G100" s="2200">
        <f>--SUBTOTAL(3,C$2:C100)</f>
        <v>0</v>
      </c>
    </row>
    <row r="101" spans="1:7" hidden="1" x14ac:dyDescent="0.15">
      <c r="A101" s="2200" t="s">
        <v>4280</v>
      </c>
      <c r="B101" s="2200" t="s">
        <v>4479</v>
      </c>
      <c r="C101" s="2200" t="s">
        <v>4480</v>
      </c>
      <c r="D101" s="2200" t="str">
        <f t="shared" si="3"/>
        <v>AZ</v>
      </c>
      <c r="E101" s="2200" t="str">
        <f t="shared" si="4"/>
        <v>04</v>
      </c>
      <c r="F101" s="2200" t="str">
        <f t="shared" si="5"/>
        <v>001</v>
      </c>
      <c r="G101" s="2200">
        <f>--SUBTOTAL(3,C$2:C101)</f>
        <v>0</v>
      </c>
    </row>
    <row r="102" spans="1:7" hidden="1" x14ac:dyDescent="0.15">
      <c r="A102" s="2200" t="s">
        <v>4280</v>
      </c>
      <c r="B102" s="2200" t="s">
        <v>4481</v>
      </c>
      <c r="C102" s="2200" t="s">
        <v>4482</v>
      </c>
      <c r="D102" s="2200" t="str">
        <f t="shared" si="3"/>
        <v>AZ</v>
      </c>
      <c r="E102" s="2200" t="str">
        <f t="shared" si="4"/>
        <v>04</v>
      </c>
      <c r="F102" s="2200" t="str">
        <f t="shared" si="5"/>
        <v>003</v>
      </c>
      <c r="G102" s="2200">
        <f>--SUBTOTAL(3,C$2:C102)</f>
        <v>0</v>
      </c>
    </row>
    <row r="103" spans="1:7" hidden="1" x14ac:dyDescent="0.15">
      <c r="A103" s="2200" t="s">
        <v>4280</v>
      </c>
      <c r="B103" s="2200" t="s">
        <v>4483</v>
      </c>
      <c r="C103" s="2200" t="s">
        <v>4484</v>
      </c>
      <c r="D103" s="2200" t="str">
        <f t="shared" si="3"/>
        <v>AZ</v>
      </c>
      <c r="E103" s="2200" t="str">
        <f t="shared" si="4"/>
        <v>04</v>
      </c>
      <c r="F103" s="2200" t="str">
        <f t="shared" si="5"/>
        <v>005</v>
      </c>
      <c r="G103" s="2200">
        <f>--SUBTOTAL(3,C$2:C103)</f>
        <v>0</v>
      </c>
    </row>
    <row r="104" spans="1:7" hidden="1" x14ac:dyDescent="0.15">
      <c r="A104" s="2200" t="s">
        <v>4280</v>
      </c>
      <c r="B104" s="2200" t="s">
        <v>4485</v>
      </c>
      <c r="C104" s="2200" t="s">
        <v>4486</v>
      </c>
      <c r="D104" s="2200" t="str">
        <f t="shared" si="3"/>
        <v>AZ</v>
      </c>
      <c r="E104" s="2200" t="str">
        <f t="shared" si="4"/>
        <v>04</v>
      </c>
      <c r="F104" s="2200" t="str">
        <f t="shared" si="5"/>
        <v>007</v>
      </c>
      <c r="G104" s="2200">
        <f>--SUBTOTAL(3,C$2:C104)</f>
        <v>0</v>
      </c>
    </row>
    <row r="105" spans="1:7" hidden="1" x14ac:dyDescent="0.15">
      <c r="A105" s="2200" t="s">
        <v>4280</v>
      </c>
      <c r="B105" s="2200" t="s">
        <v>4487</v>
      </c>
      <c r="C105" s="2200" t="s">
        <v>4488</v>
      </c>
      <c r="D105" s="2200" t="str">
        <f t="shared" si="3"/>
        <v>AZ</v>
      </c>
      <c r="E105" s="2200" t="str">
        <f t="shared" si="4"/>
        <v>04</v>
      </c>
      <c r="F105" s="2200" t="str">
        <f t="shared" si="5"/>
        <v>009</v>
      </c>
      <c r="G105" s="2200">
        <f>--SUBTOTAL(3,C$2:C105)</f>
        <v>0</v>
      </c>
    </row>
    <row r="106" spans="1:7" hidden="1" x14ac:dyDescent="0.15">
      <c r="A106" s="2200" t="s">
        <v>4280</v>
      </c>
      <c r="B106" s="2200" t="s">
        <v>4489</v>
      </c>
      <c r="C106" s="2200" t="s">
        <v>4490</v>
      </c>
      <c r="D106" s="2200" t="str">
        <f t="shared" si="3"/>
        <v>AZ</v>
      </c>
      <c r="E106" s="2200" t="str">
        <f t="shared" si="4"/>
        <v>04</v>
      </c>
      <c r="F106" s="2200" t="str">
        <f t="shared" si="5"/>
        <v>011</v>
      </c>
      <c r="G106" s="2200">
        <f>--SUBTOTAL(3,C$2:C106)</f>
        <v>0</v>
      </c>
    </row>
    <row r="107" spans="1:7" hidden="1" x14ac:dyDescent="0.15">
      <c r="A107" s="2200" t="s">
        <v>4280</v>
      </c>
      <c r="B107" s="2200" t="s">
        <v>4491</v>
      </c>
      <c r="C107" s="2200" t="s">
        <v>4492</v>
      </c>
      <c r="D107" s="2200" t="str">
        <f t="shared" si="3"/>
        <v>AZ</v>
      </c>
      <c r="E107" s="2200" t="str">
        <f t="shared" si="4"/>
        <v>04</v>
      </c>
      <c r="F107" s="2200" t="str">
        <f t="shared" si="5"/>
        <v>012</v>
      </c>
      <c r="G107" s="2200">
        <f>--SUBTOTAL(3,C$2:C107)</f>
        <v>0</v>
      </c>
    </row>
    <row r="108" spans="1:7" hidden="1" x14ac:dyDescent="0.15">
      <c r="A108" s="2200" t="s">
        <v>4280</v>
      </c>
      <c r="B108" s="2200" t="s">
        <v>4493</v>
      </c>
      <c r="C108" s="2200" t="s">
        <v>4494</v>
      </c>
      <c r="D108" s="2200" t="str">
        <f t="shared" si="3"/>
        <v>AZ</v>
      </c>
      <c r="E108" s="2200" t="str">
        <f t="shared" si="4"/>
        <v>04</v>
      </c>
      <c r="F108" s="2200" t="str">
        <f t="shared" si="5"/>
        <v>013</v>
      </c>
      <c r="G108" s="2200">
        <f>--SUBTOTAL(3,C$2:C108)</f>
        <v>0</v>
      </c>
    </row>
    <row r="109" spans="1:7" hidden="1" x14ac:dyDescent="0.15">
      <c r="A109" s="2200" t="s">
        <v>4280</v>
      </c>
      <c r="B109" s="2200" t="s">
        <v>4495</v>
      </c>
      <c r="C109" s="2200" t="s">
        <v>4496</v>
      </c>
      <c r="D109" s="2200" t="str">
        <f t="shared" si="3"/>
        <v>AZ</v>
      </c>
      <c r="E109" s="2200" t="str">
        <f t="shared" si="4"/>
        <v>04</v>
      </c>
      <c r="F109" s="2200" t="str">
        <f t="shared" si="5"/>
        <v>015</v>
      </c>
      <c r="G109" s="2200">
        <f>--SUBTOTAL(3,C$2:C109)</f>
        <v>0</v>
      </c>
    </row>
    <row r="110" spans="1:7" hidden="1" x14ac:dyDescent="0.15">
      <c r="A110" s="2200" t="s">
        <v>4280</v>
      </c>
      <c r="B110" s="2200" t="s">
        <v>4497</v>
      </c>
      <c r="C110" s="2200" t="s">
        <v>4498</v>
      </c>
      <c r="D110" s="2200" t="str">
        <f t="shared" si="3"/>
        <v>AZ</v>
      </c>
      <c r="E110" s="2200" t="str">
        <f t="shared" si="4"/>
        <v>04</v>
      </c>
      <c r="F110" s="2200" t="str">
        <f t="shared" si="5"/>
        <v>017</v>
      </c>
      <c r="G110" s="2200">
        <f>--SUBTOTAL(3,C$2:C110)</f>
        <v>0</v>
      </c>
    </row>
    <row r="111" spans="1:7" hidden="1" x14ac:dyDescent="0.15">
      <c r="A111" s="2200" t="s">
        <v>4280</v>
      </c>
      <c r="B111" s="2200" t="s">
        <v>4499</v>
      </c>
      <c r="C111" s="2200" t="s">
        <v>4500</v>
      </c>
      <c r="D111" s="2200" t="str">
        <f t="shared" si="3"/>
        <v>AZ</v>
      </c>
      <c r="E111" s="2200" t="str">
        <f t="shared" si="4"/>
        <v>04</v>
      </c>
      <c r="F111" s="2200" t="str">
        <f t="shared" si="5"/>
        <v>019</v>
      </c>
      <c r="G111" s="2200">
        <f>--SUBTOTAL(3,C$2:C111)</f>
        <v>0</v>
      </c>
    </row>
    <row r="112" spans="1:7" hidden="1" x14ac:dyDescent="0.15">
      <c r="A112" s="2200" t="s">
        <v>4280</v>
      </c>
      <c r="B112" s="2200" t="s">
        <v>4501</v>
      </c>
      <c r="C112" s="2200" t="s">
        <v>4502</v>
      </c>
      <c r="D112" s="2200" t="str">
        <f t="shared" si="3"/>
        <v>AZ</v>
      </c>
      <c r="E112" s="2200" t="str">
        <f t="shared" si="4"/>
        <v>04</v>
      </c>
      <c r="F112" s="2200" t="str">
        <f t="shared" si="5"/>
        <v>021</v>
      </c>
      <c r="G112" s="2200">
        <f>--SUBTOTAL(3,C$2:C112)</f>
        <v>0</v>
      </c>
    </row>
    <row r="113" spans="1:7" hidden="1" x14ac:dyDescent="0.15">
      <c r="A113" s="2200" t="s">
        <v>4280</v>
      </c>
      <c r="B113" s="2200" t="s">
        <v>4503</v>
      </c>
      <c r="C113" s="2200" t="s">
        <v>4504</v>
      </c>
      <c r="D113" s="2200" t="str">
        <f t="shared" si="3"/>
        <v>AZ</v>
      </c>
      <c r="E113" s="2200" t="str">
        <f t="shared" si="4"/>
        <v>04</v>
      </c>
      <c r="F113" s="2200" t="str">
        <f t="shared" si="5"/>
        <v>023</v>
      </c>
      <c r="G113" s="2200">
        <f>--SUBTOTAL(3,C$2:C113)</f>
        <v>0</v>
      </c>
    </row>
    <row r="114" spans="1:7" hidden="1" x14ac:dyDescent="0.15">
      <c r="A114" s="2200" t="s">
        <v>4280</v>
      </c>
      <c r="B114" s="2200" t="s">
        <v>4505</v>
      </c>
      <c r="C114" s="2200" t="s">
        <v>4506</v>
      </c>
      <c r="D114" s="2200" t="str">
        <f t="shared" si="3"/>
        <v>AZ</v>
      </c>
      <c r="E114" s="2200" t="str">
        <f t="shared" si="4"/>
        <v>04</v>
      </c>
      <c r="F114" s="2200" t="str">
        <f t="shared" si="5"/>
        <v>025</v>
      </c>
      <c r="G114" s="2200">
        <f>--SUBTOTAL(3,C$2:C114)</f>
        <v>0</v>
      </c>
    </row>
    <row r="115" spans="1:7" hidden="1" x14ac:dyDescent="0.15">
      <c r="A115" s="2200" t="s">
        <v>4280</v>
      </c>
      <c r="B115" s="2200" t="s">
        <v>4507</v>
      </c>
      <c r="C115" s="2200" t="s">
        <v>4508</v>
      </c>
      <c r="D115" s="2200" t="str">
        <f t="shared" si="3"/>
        <v>AZ</v>
      </c>
      <c r="E115" s="2200" t="str">
        <f t="shared" si="4"/>
        <v>04</v>
      </c>
      <c r="F115" s="2200" t="str">
        <f t="shared" si="5"/>
        <v>027</v>
      </c>
      <c r="G115" s="2200">
        <f>--SUBTOTAL(3,C$2:C115)</f>
        <v>0</v>
      </c>
    </row>
    <row r="116" spans="1:7" hidden="1" x14ac:dyDescent="0.15">
      <c r="A116" s="2200" t="s">
        <v>4280</v>
      </c>
      <c r="B116" s="2200" t="s">
        <v>4509</v>
      </c>
      <c r="C116" s="2200" t="s">
        <v>4510</v>
      </c>
      <c r="D116" s="2200" t="str">
        <f t="shared" si="3"/>
        <v>AR</v>
      </c>
      <c r="E116" s="2200" t="str">
        <f t="shared" si="4"/>
        <v>05</v>
      </c>
      <c r="F116" s="2200" t="str">
        <f t="shared" si="5"/>
        <v>001</v>
      </c>
      <c r="G116" s="2200">
        <f>--SUBTOTAL(3,C$2:C116)</f>
        <v>0</v>
      </c>
    </row>
    <row r="117" spans="1:7" hidden="1" x14ac:dyDescent="0.15">
      <c r="A117" s="2200" t="s">
        <v>4280</v>
      </c>
      <c r="B117" s="2200" t="s">
        <v>4511</v>
      </c>
      <c r="C117" s="2200" t="s">
        <v>4512</v>
      </c>
      <c r="D117" s="2200" t="str">
        <f t="shared" si="3"/>
        <v>AR</v>
      </c>
      <c r="E117" s="2200" t="str">
        <f t="shared" si="4"/>
        <v>05</v>
      </c>
      <c r="F117" s="2200" t="str">
        <f t="shared" si="5"/>
        <v>003</v>
      </c>
      <c r="G117" s="2200">
        <f>--SUBTOTAL(3,C$2:C117)</f>
        <v>0</v>
      </c>
    </row>
    <row r="118" spans="1:7" hidden="1" x14ac:dyDescent="0.15">
      <c r="A118" s="2200" t="s">
        <v>4280</v>
      </c>
      <c r="B118" s="2200" t="s">
        <v>4513</v>
      </c>
      <c r="C118" s="2200" t="s">
        <v>4514</v>
      </c>
      <c r="D118" s="2200" t="str">
        <f t="shared" si="3"/>
        <v>AR</v>
      </c>
      <c r="E118" s="2200" t="str">
        <f t="shared" si="4"/>
        <v>05</v>
      </c>
      <c r="F118" s="2200" t="str">
        <f t="shared" si="5"/>
        <v>005</v>
      </c>
      <c r="G118" s="2200">
        <f>--SUBTOTAL(3,C$2:C118)</f>
        <v>0</v>
      </c>
    </row>
    <row r="119" spans="1:7" hidden="1" x14ac:dyDescent="0.15">
      <c r="A119" s="2200" t="s">
        <v>4280</v>
      </c>
      <c r="B119" s="2200" t="s">
        <v>4515</v>
      </c>
      <c r="C119" s="2200" t="s">
        <v>4516</v>
      </c>
      <c r="D119" s="2200" t="str">
        <f t="shared" si="3"/>
        <v>AR</v>
      </c>
      <c r="E119" s="2200" t="str">
        <f t="shared" si="4"/>
        <v>05</v>
      </c>
      <c r="F119" s="2200" t="str">
        <f t="shared" si="5"/>
        <v>007</v>
      </c>
      <c r="G119" s="2200">
        <f>--SUBTOTAL(3,C$2:C119)</f>
        <v>0</v>
      </c>
    </row>
    <row r="120" spans="1:7" hidden="1" x14ac:dyDescent="0.15">
      <c r="A120" s="2200" t="s">
        <v>4280</v>
      </c>
      <c r="B120" s="2200" t="s">
        <v>4517</v>
      </c>
      <c r="C120" s="2200" t="s">
        <v>4518</v>
      </c>
      <c r="D120" s="2200" t="str">
        <f t="shared" si="3"/>
        <v>AR</v>
      </c>
      <c r="E120" s="2200" t="str">
        <f t="shared" si="4"/>
        <v>05</v>
      </c>
      <c r="F120" s="2200" t="str">
        <f t="shared" si="5"/>
        <v>009</v>
      </c>
      <c r="G120" s="2200">
        <f>--SUBTOTAL(3,C$2:C120)</f>
        <v>0</v>
      </c>
    </row>
    <row r="121" spans="1:7" hidden="1" x14ac:dyDescent="0.15">
      <c r="A121" s="2200" t="s">
        <v>4280</v>
      </c>
      <c r="B121" s="2200" t="s">
        <v>4519</v>
      </c>
      <c r="C121" s="2200" t="s">
        <v>4520</v>
      </c>
      <c r="D121" s="2200" t="str">
        <f t="shared" si="3"/>
        <v>AR</v>
      </c>
      <c r="E121" s="2200" t="str">
        <f t="shared" si="4"/>
        <v>05</v>
      </c>
      <c r="F121" s="2200" t="str">
        <f t="shared" si="5"/>
        <v>011</v>
      </c>
      <c r="G121" s="2200">
        <f>--SUBTOTAL(3,C$2:C121)</f>
        <v>0</v>
      </c>
    </row>
    <row r="122" spans="1:7" hidden="1" x14ac:dyDescent="0.15">
      <c r="A122" s="2200" t="s">
        <v>4280</v>
      </c>
      <c r="B122" s="2200" t="s">
        <v>4521</v>
      </c>
      <c r="C122" s="2200" t="s">
        <v>4522</v>
      </c>
      <c r="D122" s="2200" t="str">
        <f t="shared" si="3"/>
        <v>AR</v>
      </c>
      <c r="E122" s="2200" t="str">
        <f t="shared" si="4"/>
        <v>05</v>
      </c>
      <c r="F122" s="2200" t="str">
        <f t="shared" si="5"/>
        <v>013</v>
      </c>
      <c r="G122" s="2200">
        <f>--SUBTOTAL(3,C$2:C122)</f>
        <v>0</v>
      </c>
    </row>
    <row r="123" spans="1:7" hidden="1" x14ac:dyDescent="0.15">
      <c r="A123" s="2200" t="s">
        <v>4280</v>
      </c>
      <c r="B123" s="2200" t="s">
        <v>4523</v>
      </c>
      <c r="C123" s="2200" t="s">
        <v>4524</v>
      </c>
      <c r="D123" s="2200" t="str">
        <f t="shared" si="3"/>
        <v>AR</v>
      </c>
      <c r="E123" s="2200" t="str">
        <f t="shared" si="4"/>
        <v>05</v>
      </c>
      <c r="F123" s="2200" t="str">
        <f t="shared" si="5"/>
        <v>015</v>
      </c>
      <c r="G123" s="2200">
        <f>--SUBTOTAL(3,C$2:C123)</f>
        <v>0</v>
      </c>
    </row>
    <row r="124" spans="1:7" hidden="1" x14ac:dyDescent="0.15">
      <c r="A124" s="2200" t="s">
        <v>4280</v>
      </c>
      <c r="B124" s="2200" t="s">
        <v>4525</v>
      </c>
      <c r="C124" s="2200" t="s">
        <v>4526</v>
      </c>
      <c r="D124" s="2200" t="str">
        <f t="shared" si="3"/>
        <v>AR</v>
      </c>
      <c r="E124" s="2200" t="str">
        <f t="shared" si="4"/>
        <v>05</v>
      </c>
      <c r="F124" s="2200" t="str">
        <f t="shared" si="5"/>
        <v>017</v>
      </c>
      <c r="G124" s="2200">
        <f>--SUBTOTAL(3,C$2:C124)</f>
        <v>0</v>
      </c>
    </row>
    <row r="125" spans="1:7" hidden="1" x14ac:dyDescent="0.15">
      <c r="A125" s="2200" t="s">
        <v>4280</v>
      </c>
      <c r="B125" s="2200" t="s">
        <v>4527</v>
      </c>
      <c r="C125" s="2200" t="s">
        <v>4528</v>
      </c>
      <c r="D125" s="2200" t="str">
        <f t="shared" si="3"/>
        <v>AR</v>
      </c>
      <c r="E125" s="2200" t="str">
        <f t="shared" si="4"/>
        <v>05</v>
      </c>
      <c r="F125" s="2200" t="str">
        <f t="shared" si="5"/>
        <v>019</v>
      </c>
      <c r="G125" s="2200">
        <f>--SUBTOTAL(3,C$2:C125)</f>
        <v>0</v>
      </c>
    </row>
    <row r="126" spans="1:7" hidden="1" x14ac:dyDescent="0.15">
      <c r="A126" s="2200" t="s">
        <v>4280</v>
      </c>
      <c r="B126" s="2200" t="s">
        <v>4529</v>
      </c>
      <c r="C126" s="2200" t="s">
        <v>4530</v>
      </c>
      <c r="D126" s="2200" t="str">
        <f t="shared" si="3"/>
        <v>AR</v>
      </c>
      <c r="E126" s="2200" t="str">
        <f t="shared" si="4"/>
        <v>05</v>
      </c>
      <c r="F126" s="2200" t="str">
        <f t="shared" si="5"/>
        <v>021</v>
      </c>
      <c r="G126" s="2200">
        <f>--SUBTOTAL(3,C$2:C126)</f>
        <v>0</v>
      </c>
    </row>
    <row r="127" spans="1:7" hidden="1" x14ac:dyDescent="0.15">
      <c r="A127" s="2200" t="s">
        <v>4280</v>
      </c>
      <c r="B127" s="2200" t="s">
        <v>4531</v>
      </c>
      <c r="C127" s="2200" t="s">
        <v>4532</v>
      </c>
      <c r="D127" s="2200" t="str">
        <f t="shared" si="3"/>
        <v>AR</v>
      </c>
      <c r="E127" s="2200" t="str">
        <f t="shared" si="4"/>
        <v>05</v>
      </c>
      <c r="F127" s="2200" t="str">
        <f t="shared" si="5"/>
        <v>023</v>
      </c>
      <c r="G127" s="2200">
        <f>--SUBTOTAL(3,C$2:C127)</f>
        <v>0</v>
      </c>
    </row>
    <row r="128" spans="1:7" hidden="1" x14ac:dyDescent="0.15">
      <c r="A128" s="2200" t="s">
        <v>4280</v>
      </c>
      <c r="B128" s="2200" t="s">
        <v>4533</v>
      </c>
      <c r="C128" s="2200" t="s">
        <v>4534</v>
      </c>
      <c r="D128" s="2200" t="str">
        <f t="shared" si="3"/>
        <v>AR</v>
      </c>
      <c r="E128" s="2200" t="str">
        <f t="shared" si="4"/>
        <v>05</v>
      </c>
      <c r="F128" s="2200" t="str">
        <f t="shared" si="5"/>
        <v>025</v>
      </c>
      <c r="G128" s="2200">
        <f>--SUBTOTAL(3,C$2:C128)</f>
        <v>0</v>
      </c>
    </row>
    <row r="129" spans="1:7" hidden="1" x14ac:dyDescent="0.15">
      <c r="A129" s="2200" t="s">
        <v>4280</v>
      </c>
      <c r="B129" s="2200" t="s">
        <v>4535</v>
      </c>
      <c r="C129" s="2200" t="s">
        <v>4536</v>
      </c>
      <c r="D129" s="2200" t="str">
        <f t="shared" si="3"/>
        <v>AR</v>
      </c>
      <c r="E129" s="2200" t="str">
        <f t="shared" si="4"/>
        <v>05</v>
      </c>
      <c r="F129" s="2200" t="str">
        <f t="shared" si="5"/>
        <v>027</v>
      </c>
      <c r="G129" s="2200">
        <f>--SUBTOTAL(3,C$2:C129)</f>
        <v>0</v>
      </c>
    </row>
    <row r="130" spans="1:7" hidden="1" x14ac:dyDescent="0.15">
      <c r="A130" s="2200" t="s">
        <v>4280</v>
      </c>
      <c r="B130" s="2200" t="s">
        <v>4537</v>
      </c>
      <c r="C130" s="2200" t="s">
        <v>4538</v>
      </c>
      <c r="D130" s="2200" t="str">
        <f t="shared" si="3"/>
        <v>AR</v>
      </c>
      <c r="E130" s="2200" t="str">
        <f t="shared" si="4"/>
        <v>05</v>
      </c>
      <c r="F130" s="2200" t="str">
        <f t="shared" si="5"/>
        <v>029</v>
      </c>
      <c r="G130" s="2200">
        <f>--SUBTOTAL(3,C$2:C130)</f>
        <v>0</v>
      </c>
    </row>
    <row r="131" spans="1:7" hidden="1" x14ac:dyDescent="0.15">
      <c r="A131" s="2200" t="s">
        <v>4280</v>
      </c>
      <c r="B131" s="2200" t="s">
        <v>4539</v>
      </c>
      <c r="C131" s="2200" t="s">
        <v>4540</v>
      </c>
      <c r="D131" s="2200" t="str">
        <f t="shared" ref="D131:D194" si="6">RIGHT(C131,2)</f>
        <v>AR</v>
      </c>
      <c r="E131" s="2200" t="str">
        <f t="shared" ref="E131:E194" si="7">MID(B131,3,2)</f>
        <v>05</v>
      </c>
      <c r="F131" s="2200" t="str">
        <f t="shared" ref="F131:F194" si="8">MID(B131,5,3)</f>
        <v>031</v>
      </c>
      <c r="G131" s="2200">
        <f>--SUBTOTAL(3,C$2:C131)</f>
        <v>0</v>
      </c>
    </row>
    <row r="132" spans="1:7" hidden="1" x14ac:dyDescent="0.15">
      <c r="A132" s="2200" t="s">
        <v>4280</v>
      </c>
      <c r="B132" s="2200" t="s">
        <v>4541</v>
      </c>
      <c r="C132" s="2200" t="s">
        <v>4542</v>
      </c>
      <c r="D132" s="2200" t="str">
        <f t="shared" si="6"/>
        <v>AR</v>
      </c>
      <c r="E132" s="2200" t="str">
        <f t="shared" si="7"/>
        <v>05</v>
      </c>
      <c r="F132" s="2200" t="str">
        <f t="shared" si="8"/>
        <v>033</v>
      </c>
      <c r="G132" s="2200">
        <f>--SUBTOTAL(3,C$2:C132)</f>
        <v>0</v>
      </c>
    </row>
    <row r="133" spans="1:7" hidden="1" x14ac:dyDescent="0.15">
      <c r="A133" s="2200" t="s">
        <v>4280</v>
      </c>
      <c r="B133" s="2200" t="s">
        <v>4543</v>
      </c>
      <c r="C133" s="2200" t="s">
        <v>4544</v>
      </c>
      <c r="D133" s="2200" t="str">
        <f t="shared" si="6"/>
        <v>AR</v>
      </c>
      <c r="E133" s="2200" t="str">
        <f t="shared" si="7"/>
        <v>05</v>
      </c>
      <c r="F133" s="2200" t="str">
        <f t="shared" si="8"/>
        <v>035</v>
      </c>
      <c r="G133" s="2200">
        <f>--SUBTOTAL(3,C$2:C133)</f>
        <v>0</v>
      </c>
    </row>
    <row r="134" spans="1:7" hidden="1" x14ac:dyDescent="0.15">
      <c r="A134" s="2200" t="s">
        <v>4280</v>
      </c>
      <c r="B134" s="2200" t="s">
        <v>4545</v>
      </c>
      <c r="C134" s="2200" t="s">
        <v>4546</v>
      </c>
      <c r="D134" s="2200" t="str">
        <f t="shared" si="6"/>
        <v>AR</v>
      </c>
      <c r="E134" s="2200" t="str">
        <f t="shared" si="7"/>
        <v>05</v>
      </c>
      <c r="F134" s="2200" t="str">
        <f t="shared" si="8"/>
        <v>037</v>
      </c>
      <c r="G134" s="2200">
        <f>--SUBTOTAL(3,C$2:C134)</f>
        <v>0</v>
      </c>
    </row>
    <row r="135" spans="1:7" hidden="1" x14ac:dyDescent="0.15">
      <c r="A135" s="2200" t="s">
        <v>4280</v>
      </c>
      <c r="B135" s="2200" t="s">
        <v>4547</v>
      </c>
      <c r="C135" s="2200" t="s">
        <v>4548</v>
      </c>
      <c r="D135" s="2200" t="str">
        <f t="shared" si="6"/>
        <v>AR</v>
      </c>
      <c r="E135" s="2200" t="str">
        <f t="shared" si="7"/>
        <v>05</v>
      </c>
      <c r="F135" s="2200" t="str">
        <f t="shared" si="8"/>
        <v>039</v>
      </c>
      <c r="G135" s="2200">
        <f>--SUBTOTAL(3,C$2:C135)</f>
        <v>0</v>
      </c>
    </row>
    <row r="136" spans="1:7" hidden="1" x14ac:dyDescent="0.15">
      <c r="A136" s="2200" t="s">
        <v>4280</v>
      </c>
      <c r="B136" s="2200" t="s">
        <v>4549</v>
      </c>
      <c r="C136" s="2200" t="s">
        <v>4550</v>
      </c>
      <c r="D136" s="2200" t="str">
        <f t="shared" si="6"/>
        <v>AR</v>
      </c>
      <c r="E136" s="2200" t="str">
        <f t="shared" si="7"/>
        <v>05</v>
      </c>
      <c r="F136" s="2200" t="str">
        <f t="shared" si="8"/>
        <v>041</v>
      </c>
      <c r="G136" s="2200">
        <f>--SUBTOTAL(3,C$2:C136)</f>
        <v>0</v>
      </c>
    </row>
    <row r="137" spans="1:7" hidden="1" x14ac:dyDescent="0.15">
      <c r="A137" s="2200" t="s">
        <v>4280</v>
      </c>
      <c r="B137" s="2200" t="s">
        <v>4551</v>
      </c>
      <c r="C137" s="2200" t="s">
        <v>4552</v>
      </c>
      <c r="D137" s="2200" t="str">
        <f t="shared" si="6"/>
        <v>AR</v>
      </c>
      <c r="E137" s="2200" t="str">
        <f t="shared" si="7"/>
        <v>05</v>
      </c>
      <c r="F137" s="2200" t="str">
        <f t="shared" si="8"/>
        <v>043</v>
      </c>
      <c r="G137" s="2200">
        <f>--SUBTOTAL(3,C$2:C137)</f>
        <v>0</v>
      </c>
    </row>
    <row r="138" spans="1:7" hidden="1" x14ac:dyDescent="0.15">
      <c r="A138" s="2200" t="s">
        <v>4280</v>
      </c>
      <c r="B138" s="2200" t="s">
        <v>4553</v>
      </c>
      <c r="C138" s="2200" t="s">
        <v>4554</v>
      </c>
      <c r="D138" s="2200" t="str">
        <f t="shared" si="6"/>
        <v>AR</v>
      </c>
      <c r="E138" s="2200" t="str">
        <f t="shared" si="7"/>
        <v>05</v>
      </c>
      <c r="F138" s="2200" t="str">
        <f t="shared" si="8"/>
        <v>045</v>
      </c>
      <c r="G138" s="2200">
        <f>--SUBTOTAL(3,C$2:C138)</f>
        <v>0</v>
      </c>
    </row>
    <row r="139" spans="1:7" hidden="1" x14ac:dyDescent="0.15">
      <c r="A139" s="2200" t="s">
        <v>4280</v>
      </c>
      <c r="B139" s="2200" t="s">
        <v>4555</v>
      </c>
      <c r="C139" s="2200" t="s">
        <v>4556</v>
      </c>
      <c r="D139" s="2200" t="str">
        <f t="shared" si="6"/>
        <v>AR</v>
      </c>
      <c r="E139" s="2200" t="str">
        <f t="shared" si="7"/>
        <v>05</v>
      </c>
      <c r="F139" s="2200" t="str">
        <f t="shared" si="8"/>
        <v>047</v>
      </c>
      <c r="G139" s="2200">
        <f>--SUBTOTAL(3,C$2:C139)</f>
        <v>0</v>
      </c>
    </row>
    <row r="140" spans="1:7" hidden="1" x14ac:dyDescent="0.15">
      <c r="A140" s="2200" t="s">
        <v>4280</v>
      </c>
      <c r="B140" s="2200" t="s">
        <v>4557</v>
      </c>
      <c r="C140" s="2200" t="s">
        <v>4558</v>
      </c>
      <c r="D140" s="2200" t="str">
        <f t="shared" si="6"/>
        <v>AR</v>
      </c>
      <c r="E140" s="2200" t="str">
        <f t="shared" si="7"/>
        <v>05</v>
      </c>
      <c r="F140" s="2200" t="str">
        <f t="shared" si="8"/>
        <v>049</v>
      </c>
      <c r="G140" s="2200">
        <f>--SUBTOTAL(3,C$2:C140)</f>
        <v>0</v>
      </c>
    </row>
    <row r="141" spans="1:7" hidden="1" x14ac:dyDescent="0.15">
      <c r="A141" s="2200" t="s">
        <v>4280</v>
      </c>
      <c r="B141" s="2200" t="s">
        <v>4559</v>
      </c>
      <c r="C141" s="2200" t="s">
        <v>4560</v>
      </c>
      <c r="D141" s="2200" t="str">
        <f t="shared" si="6"/>
        <v>AR</v>
      </c>
      <c r="E141" s="2200" t="str">
        <f t="shared" si="7"/>
        <v>05</v>
      </c>
      <c r="F141" s="2200" t="str">
        <f t="shared" si="8"/>
        <v>051</v>
      </c>
      <c r="G141" s="2200">
        <f>--SUBTOTAL(3,C$2:C141)</f>
        <v>0</v>
      </c>
    </row>
    <row r="142" spans="1:7" hidden="1" x14ac:dyDescent="0.15">
      <c r="A142" s="2200" t="s">
        <v>4280</v>
      </c>
      <c r="B142" s="2200" t="s">
        <v>4561</v>
      </c>
      <c r="C142" s="2200" t="s">
        <v>4562</v>
      </c>
      <c r="D142" s="2200" t="str">
        <f t="shared" si="6"/>
        <v>AR</v>
      </c>
      <c r="E142" s="2200" t="str">
        <f t="shared" si="7"/>
        <v>05</v>
      </c>
      <c r="F142" s="2200" t="str">
        <f t="shared" si="8"/>
        <v>053</v>
      </c>
      <c r="G142" s="2200">
        <f>--SUBTOTAL(3,C$2:C142)</f>
        <v>0</v>
      </c>
    </row>
    <row r="143" spans="1:7" hidden="1" x14ac:dyDescent="0.15">
      <c r="A143" s="2200" t="s">
        <v>4280</v>
      </c>
      <c r="B143" s="2200" t="s">
        <v>4563</v>
      </c>
      <c r="C143" s="2200" t="s">
        <v>4564</v>
      </c>
      <c r="D143" s="2200" t="str">
        <f t="shared" si="6"/>
        <v>AR</v>
      </c>
      <c r="E143" s="2200" t="str">
        <f t="shared" si="7"/>
        <v>05</v>
      </c>
      <c r="F143" s="2200" t="str">
        <f t="shared" si="8"/>
        <v>055</v>
      </c>
      <c r="G143" s="2200">
        <f>--SUBTOTAL(3,C$2:C143)</f>
        <v>0</v>
      </c>
    </row>
    <row r="144" spans="1:7" hidden="1" x14ac:dyDescent="0.15">
      <c r="A144" s="2200" t="s">
        <v>4280</v>
      </c>
      <c r="B144" s="2200" t="s">
        <v>4565</v>
      </c>
      <c r="C144" s="2200" t="s">
        <v>4566</v>
      </c>
      <c r="D144" s="2200" t="str">
        <f t="shared" si="6"/>
        <v>AR</v>
      </c>
      <c r="E144" s="2200" t="str">
        <f t="shared" si="7"/>
        <v>05</v>
      </c>
      <c r="F144" s="2200" t="str">
        <f t="shared" si="8"/>
        <v>057</v>
      </c>
      <c r="G144" s="2200">
        <f>--SUBTOTAL(3,C$2:C144)</f>
        <v>0</v>
      </c>
    </row>
    <row r="145" spans="1:7" hidden="1" x14ac:dyDescent="0.15">
      <c r="A145" s="2200" t="s">
        <v>4280</v>
      </c>
      <c r="B145" s="2200" t="s">
        <v>4567</v>
      </c>
      <c r="C145" s="2200" t="s">
        <v>4568</v>
      </c>
      <c r="D145" s="2200" t="str">
        <f t="shared" si="6"/>
        <v>AR</v>
      </c>
      <c r="E145" s="2200" t="str">
        <f t="shared" si="7"/>
        <v>05</v>
      </c>
      <c r="F145" s="2200" t="str">
        <f t="shared" si="8"/>
        <v>059</v>
      </c>
      <c r="G145" s="2200">
        <f>--SUBTOTAL(3,C$2:C145)</f>
        <v>0</v>
      </c>
    </row>
    <row r="146" spans="1:7" hidden="1" x14ac:dyDescent="0.15">
      <c r="A146" s="2200" t="s">
        <v>4280</v>
      </c>
      <c r="B146" s="2200" t="s">
        <v>4569</v>
      </c>
      <c r="C146" s="2200" t="s">
        <v>4570</v>
      </c>
      <c r="D146" s="2200" t="str">
        <f t="shared" si="6"/>
        <v>AR</v>
      </c>
      <c r="E146" s="2200" t="str">
        <f t="shared" si="7"/>
        <v>05</v>
      </c>
      <c r="F146" s="2200" t="str">
        <f t="shared" si="8"/>
        <v>061</v>
      </c>
      <c r="G146" s="2200">
        <f>--SUBTOTAL(3,C$2:C146)</f>
        <v>0</v>
      </c>
    </row>
    <row r="147" spans="1:7" hidden="1" x14ac:dyDescent="0.15">
      <c r="A147" s="2200" t="s">
        <v>4280</v>
      </c>
      <c r="B147" s="2200" t="s">
        <v>4571</v>
      </c>
      <c r="C147" s="2200" t="s">
        <v>4572</v>
      </c>
      <c r="D147" s="2200" t="str">
        <f t="shared" si="6"/>
        <v>AR</v>
      </c>
      <c r="E147" s="2200" t="str">
        <f t="shared" si="7"/>
        <v>05</v>
      </c>
      <c r="F147" s="2200" t="str">
        <f t="shared" si="8"/>
        <v>063</v>
      </c>
      <c r="G147" s="2200">
        <f>--SUBTOTAL(3,C$2:C147)</f>
        <v>0</v>
      </c>
    </row>
    <row r="148" spans="1:7" hidden="1" x14ac:dyDescent="0.15">
      <c r="A148" s="2200" t="s">
        <v>4280</v>
      </c>
      <c r="B148" s="2200" t="s">
        <v>4573</v>
      </c>
      <c r="C148" s="2200" t="s">
        <v>4574</v>
      </c>
      <c r="D148" s="2200" t="str">
        <f t="shared" si="6"/>
        <v>AR</v>
      </c>
      <c r="E148" s="2200" t="str">
        <f t="shared" si="7"/>
        <v>05</v>
      </c>
      <c r="F148" s="2200" t="str">
        <f t="shared" si="8"/>
        <v>065</v>
      </c>
      <c r="G148" s="2200">
        <f>--SUBTOTAL(3,C$2:C148)</f>
        <v>0</v>
      </c>
    </row>
    <row r="149" spans="1:7" hidden="1" x14ac:dyDescent="0.15">
      <c r="A149" s="2200" t="s">
        <v>4280</v>
      </c>
      <c r="B149" s="2200" t="s">
        <v>4575</v>
      </c>
      <c r="C149" s="2200" t="s">
        <v>4576</v>
      </c>
      <c r="D149" s="2200" t="str">
        <f t="shared" si="6"/>
        <v>AR</v>
      </c>
      <c r="E149" s="2200" t="str">
        <f t="shared" si="7"/>
        <v>05</v>
      </c>
      <c r="F149" s="2200" t="str">
        <f t="shared" si="8"/>
        <v>067</v>
      </c>
      <c r="G149" s="2200">
        <f>--SUBTOTAL(3,C$2:C149)</f>
        <v>0</v>
      </c>
    </row>
    <row r="150" spans="1:7" hidden="1" x14ac:dyDescent="0.15">
      <c r="A150" s="2200" t="s">
        <v>4280</v>
      </c>
      <c r="B150" s="2200" t="s">
        <v>4577</v>
      </c>
      <c r="C150" s="2200" t="s">
        <v>4578</v>
      </c>
      <c r="D150" s="2200" t="str">
        <f t="shared" si="6"/>
        <v>AR</v>
      </c>
      <c r="E150" s="2200" t="str">
        <f t="shared" si="7"/>
        <v>05</v>
      </c>
      <c r="F150" s="2200" t="str">
        <f t="shared" si="8"/>
        <v>069</v>
      </c>
      <c r="G150" s="2200">
        <f>--SUBTOTAL(3,C$2:C150)</f>
        <v>0</v>
      </c>
    </row>
    <row r="151" spans="1:7" hidden="1" x14ac:dyDescent="0.15">
      <c r="A151" s="2200" t="s">
        <v>4280</v>
      </c>
      <c r="B151" s="2200" t="s">
        <v>4579</v>
      </c>
      <c r="C151" s="2200" t="s">
        <v>4580</v>
      </c>
      <c r="D151" s="2200" t="str">
        <f t="shared" si="6"/>
        <v>AR</v>
      </c>
      <c r="E151" s="2200" t="str">
        <f t="shared" si="7"/>
        <v>05</v>
      </c>
      <c r="F151" s="2200" t="str">
        <f t="shared" si="8"/>
        <v>071</v>
      </c>
      <c r="G151" s="2200">
        <f>--SUBTOTAL(3,C$2:C151)</f>
        <v>0</v>
      </c>
    </row>
    <row r="152" spans="1:7" hidden="1" x14ac:dyDescent="0.15">
      <c r="A152" s="2200" t="s">
        <v>4280</v>
      </c>
      <c r="B152" s="2200" t="s">
        <v>4581</v>
      </c>
      <c r="C152" s="2200" t="s">
        <v>4582</v>
      </c>
      <c r="D152" s="2200" t="str">
        <f t="shared" si="6"/>
        <v>AR</v>
      </c>
      <c r="E152" s="2200" t="str">
        <f t="shared" si="7"/>
        <v>05</v>
      </c>
      <c r="F152" s="2200" t="str">
        <f t="shared" si="8"/>
        <v>073</v>
      </c>
      <c r="G152" s="2200">
        <f>--SUBTOTAL(3,C$2:C152)</f>
        <v>0</v>
      </c>
    </row>
    <row r="153" spans="1:7" hidden="1" x14ac:dyDescent="0.15">
      <c r="A153" s="2200" t="s">
        <v>4280</v>
      </c>
      <c r="B153" s="2200" t="s">
        <v>4583</v>
      </c>
      <c r="C153" s="2200" t="s">
        <v>4584</v>
      </c>
      <c r="D153" s="2200" t="str">
        <f t="shared" si="6"/>
        <v>AR</v>
      </c>
      <c r="E153" s="2200" t="str">
        <f t="shared" si="7"/>
        <v>05</v>
      </c>
      <c r="F153" s="2200" t="str">
        <f t="shared" si="8"/>
        <v>075</v>
      </c>
      <c r="G153" s="2200">
        <f>--SUBTOTAL(3,C$2:C153)</f>
        <v>0</v>
      </c>
    </row>
    <row r="154" spans="1:7" hidden="1" x14ac:dyDescent="0.15">
      <c r="A154" s="2200" t="s">
        <v>4280</v>
      </c>
      <c r="B154" s="2200" t="s">
        <v>4585</v>
      </c>
      <c r="C154" s="2200" t="s">
        <v>4586</v>
      </c>
      <c r="D154" s="2200" t="str">
        <f t="shared" si="6"/>
        <v>AR</v>
      </c>
      <c r="E154" s="2200" t="str">
        <f t="shared" si="7"/>
        <v>05</v>
      </c>
      <c r="F154" s="2200" t="str">
        <f t="shared" si="8"/>
        <v>077</v>
      </c>
      <c r="G154" s="2200">
        <f>--SUBTOTAL(3,C$2:C154)</f>
        <v>0</v>
      </c>
    </row>
    <row r="155" spans="1:7" hidden="1" x14ac:dyDescent="0.15">
      <c r="A155" s="2200" t="s">
        <v>4280</v>
      </c>
      <c r="B155" s="2200" t="s">
        <v>4587</v>
      </c>
      <c r="C155" s="2200" t="s">
        <v>4588</v>
      </c>
      <c r="D155" s="2200" t="str">
        <f t="shared" si="6"/>
        <v>AR</v>
      </c>
      <c r="E155" s="2200" t="str">
        <f t="shared" si="7"/>
        <v>05</v>
      </c>
      <c r="F155" s="2200" t="str">
        <f t="shared" si="8"/>
        <v>079</v>
      </c>
      <c r="G155" s="2200">
        <f>--SUBTOTAL(3,C$2:C155)</f>
        <v>0</v>
      </c>
    </row>
    <row r="156" spans="1:7" hidden="1" x14ac:dyDescent="0.15">
      <c r="A156" s="2200" t="s">
        <v>4280</v>
      </c>
      <c r="B156" s="2200" t="s">
        <v>4589</v>
      </c>
      <c r="C156" s="2200" t="s">
        <v>4590</v>
      </c>
      <c r="D156" s="2200" t="str">
        <f t="shared" si="6"/>
        <v>AR</v>
      </c>
      <c r="E156" s="2200" t="str">
        <f t="shared" si="7"/>
        <v>05</v>
      </c>
      <c r="F156" s="2200" t="str">
        <f t="shared" si="8"/>
        <v>081</v>
      </c>
      <c r="G156" s="2200">
        <f>--SUBTOTAL(3,C$2:C156)</f>
        <v>0</v>
      </c>
    </row>
    <row r="157" spans="1:7" hidden="1" x14ac:dyDescent="0.15">
      <c r="A157" s="2200" t="s">
        <v>4280</v>
      </c>
      <c r="B157" s="2200" t="s">
        <v>4591</v>
      </c>
      <c r="C157" s="2200" t="s">
        <v>4592</v>
      </c>
      <c r="D157" s="2200" t="str">
        <f t="shared" si="6"/>
        <v>AR</v>
      </c>
      <c r="E157" s="2200" t="str">
        <f t="shared" si="7"/>
        <v>05</v>
      </c>
      <c r="F157" s="2200" t="str">
        <f t="shared" si="8"/>
        <v>083</v>
      </c>
      <c r="G157" s="2200">
        <f>--SUBTOTAL(3,C$2:C157)</f>
        <v>0</v>
      </c>
    </row>
    <row r="158" spans="1:7" hidden="1" x14ac:dyDescent="0.15">
      <c r="A158" s="2200" t="s">
        <v>4280</v>
      </c>
      <c r="B158" s="2200" t="s">
        <v>4593</v>
      </c>
      <c r="C158" s="2200" t="s">
        <v>4594</v>
      </c>
      <c r="D158" s="2200" t="str">
        <f t="shared" si="6"/>
        <v>AR</v>
      </c>
      <c r="E158" s="2200" t="str">
        <f t="shared" si="7"/>
        <v>05</v>
      </c>
      <c r="F158" s="2200" t="str">
        <f t="shared" si="8"/>
        <v>085</v>
      </c>
      <c r="G158" s="2200">
        <f>--SUBTOTAL(3,C$2:C158)</f>
        <v>0</v>
      </c>
    </row>
    <row r="159" spans="1:7" hidden="1" x14ac:dyDescent="0.15">
      <c r="A159" s="2200" t="s">
        <v>4280</v>
      </c>
      <c r="B159" s="2200" t="s">
        <v>4595</v>
      </c>
      <c r="C159" s="2200" t="s">
        <v>4596</v>
      </c>
      <c r="D159" s="2200" t="str">
        <f t="shared" si="6"/>
        <v>AR</v>
      </c>
      <c r="E159" s="2200" t="str">
        <f t="shared" si="7"/>
        <v>05</v>
      </c>
      <c r="F159" s="2200" t="str">
        <f t="shared" si="8"/>
        <v>087</v>
      </c>
      <c r="G159" s="2200">
        <f>--SUBTOTAL(3,C$2:C159)</f>
        <v>0</v>
      </c>
    </row>
    <row r="160" spans="1:7" hidden="1" x14ac:dyDescent="0.15">
      <c r="A160" s="2200" t="s">
        <v>4280</v>
      </c>
      <c r="B160" s="2200" t="s">
        <v>4597</v>
      </c>
      <c r="C160" s="2200" t="s">
        <v>4598</v>
      </c>
      <c r="D160" s="2200" t="str">
        <f t="shared" si="6"/>
        <v>AR</v>
      </c>
      <c r="E160" s="2200" t="str">
        <f t="shared" si="7"/>
        <v>05</v>
      </c>
      <c r="F160" s="2200" t="str">
        <f t="shared" si="8"/>
        <v>089</v>
      </c>
      <c r="G160" s="2200">
        <f>--SUBTOTAL(3,C$2:C160)</f>
        <v>0</v>
      </c>
    </row>
    <row r="161" spans="1:7" hidden="1" x14ac:dyDescent="0.15">
      <c r="A161" s="2200" t="s">
        <v>4280</v>
      </c>
      <c r="B161" s="2200" t="s">
        <v>4599</v>
      </c>
      <c r="C161" s="2200" t="s">
        <v>4600</v>
      </c>
      <c r="D161" s="2200" t="str">
        <f t="shared" si="6"/>
        <v>AR</v>
      </c>
      <c r="E161" s="2200" t="str">
        <f t="shared" si="7"/>
        <v>05</v>
      </c>
      <c r="F161" s="2200" t="str">
        <f t="shared" si="8"/>
        <v>091</v>
      </c>
      <c r="G161" s="2200">
        <f>--SUBTOTAL(3,C$2:C161)</f>
        <v>0</v>
      </c>
    </row>
    <row r="162" spans="1:7" hidden="1" x14ac:dyDescent="0.15">
      <c r="A162" s="2200" t="s">
        <v>4280</v>
      </c>
      <c r="B162" s="2200" t="s">
        <v>4601</v>
      </c>
      <c r="C162" s="2200" t="s">
        <v>4602</v>
      </c>
      <c r="D162" s="2200" t="str">
        <f t="shared" si="6"/>
        <v>AR</v>
      </c>
      <c r="E162" s="2200" t="str">
        <f t="shared" si="7"/>
        <v>05</v>
      </c>
      <c r="F162" s="2200" t="str">
        <f t="shared" si="8"/>
        <v>093</v>
      </c>
      <c r="G162" s="2200">
        <f>--SUBTOTAL(3,C$2:C162)</f>
        <v>0</v>
      </c>
    </row>
    <row r="163" spans="1:7" hidden="1" x14ac:dyDescent="0.15">
      <c r="A163" s="2200" t="s">
        <v>4280</v>
      </c>
      <c r="B163" s="2200" t="s">
        <v>4603</v>
      </c>
      <c r="C163" s="2200" t="s">
        <v>4604</v>
      </c>
      <c r="D163" s="2200" t="str">
        <f t="shared" si="6"/>
        <v>AR</v>
      </c>
      <c r="E163" s="2200" t="str">
        <f t="shared" si="7"/>
        <v>05</v>
      </c>
      <c r="F163" s="2200" t="str">
        <f t="shared" si="8"/>
        <v>095</v>
      </c>
      <c r="G163" s="2200">
        <f>--SUBTOTAL(3,C$2:C163)</f>
        <v>0</v>
      </c>
    </row>
    <row r="164" spans="1:7" hidden="1" x14ac:dyDescent="0.15">
      <c r="A164" s="2200" t="s">
        <v>4280</v>
      </c>
      <c r="B164" s="2200" t="s">
        <v>4605</v>
      </c>
      <c r="C164" s="2200" t="s">
        <v>4606</v>
      </c>
      <c r="D164" s="2200" t="str">
        <f t="shared" si="6"/>
        <v>AR</v>
      </c>
      <c r="E164" s="2200" t="str">
        <f t="shared" si="7"/>
        <v>05</v>
      </c>
      <c r="F164" s="2200" t="str">
        <f t="shared" si="8"/>
        <v>097</v>
      </c>
      <c r="G164" s="2200">
        <f>--SUBTOTAL(3,C$2:C164)</f>
        <v>0</v>
      </c>
    </row>
    <row r="165" spans="1:7" hidden="1" x14ac:dyDescent="0.15">
      <c r="A165" s="2200" t="s">
        <v>4280</v>
      </c>
      <c r="B165" s="2200" t="s">
        <v>4607</v>
      </c>
      <c r="C165" s="2200" t="s">
        <v>4608</v>
      </c>
      <c r="D165" s="2200" t="str">
        <f t="shared" si="6"/>
        <v>AR</v>
      </c>
      <c r="E165" s="2200" t="str">
        <f t="shared" si="7"/>
        <v>05</v>
      </c>
      <c r="F165" s="2200" t="str">
        <f t="shared" si="8"/>
        <v>099</v>
      </c>
      <c r="G165" s="2200">
        <f>--SUBTOTAL(3,C$2:C165)</f>
        <v>0</v>
      </c>
    </row>
    <row r="166" spans="1:7" hidden="1" x14ac:dyDescent="0.15">
      <c r="A166" s="2200" t="s">
        <v>4280</v>
      </c>
      <c r="B166" s="2200" t="s">
        <v>4609</v>
      </c>
      <c r="C166" s="2200" t="s">
        <v>4610</v>
      </c>
      <c r="D166" s="2200" t="str">
        <f t="shared" si="6"/>
        <v>AR</v>
      </c>
      <c r="E166" s="2200" t="str">
        <f t="shared" si="7"/>
        <v>05</v>
      </c>
      <c r="F166" s="2200" t="str">
        <f t="shared" si="8"/>
        <v>101</v>
      </c>
      <c r="G166" s="2200">
        <f>--SUBTOTAL(3,C$2:C166)</f>
        <v>0</v>
      </c>
    </row>
    <row r="167" spans="1:7" hidden="1" x14ac:dyDescent="0.15">
      <c r="A167" s="2200" t="s">
        <v>4280</v>
      </c>
      <c r="B167" s="2200" t="s">
        <v>4611</v>
      </c>
      <c r="C167" s="2200" t="s">
        <v>4612</v>
      </c>
      <c r="D167" s="2200" t="str">
        <f t="shared" si="6"/>
        <v>AR</v>
      </c>
      <c r="E167" s="2200" t="str">
        <f t="shared" si="7"/>
        <v>05</v>
      </c>
      <c r="F167" s="2200" t="str">
        <f t="shared" si="8"/>
        <v>103</v>
      </c>
      <c r="G167" s="2200">
        <f>--SUBTOTAL(3,C$2:C167)</f>
        <v>0</v>
      </c>
    </row>
    <row r="168" spans="1:7" hidden="1" x14ac:dyDescent="0.15">
      <c r="A168" s="2200" t="s">
        <v>4280</v>
      </c>
      <c r="B168" s="2200" t="s">
        <v>4613</v>
      </c>
      <c r="C168" s="2200" t="s">
        <v>4614</v>
      </c>
      <c r="D168" s="2200" t="str">
        <f t="shared" si="6"/>
        <v>AR</v>
      </c>
      <c r="E168" s="2200" t="str">
        <f t="shared" si="7"/>
        <v>05</v>
      </c>
      <c r="F168" s="2200" t="str">
        <f t="shared" si="8"/>
        <v>105</v>
      </c>
      <c r="G168" s="2200">
        <f>--SUBTOTAL(3,C$2:C168)</f>
        <v>0</v>
      </c>
    </row>
    <row r="169" spans="1:7" hidden="1" x14ac:dyDescent="0.15">
      <c r="A169" s="2200" t="s">
        <v>4280</v>
      </c>
      <c r="B169" s="2200" t="s">
        <v>4615</v>
      </c>
      <c r="C169" s="2200" t="s">
        <v>4616</v>
      </c>
      <c r="D169" s="2200" t="str">
        <f t="shared" si="6"/>
        <v>AR</v>
      </c>
      <c r="E169" s="2200" t="str">
        <f t="shared" si="7"/>
        <v>05</v>
      </c>
      <c r="F169" s="2200" t="str">
        <f t="shared" si="8"/>
        <v>107</v>
      </c>
      <c r="G169" s="2200">
        <f>--SUBTOTAL(3,C$2:C169)</f>
        <v>0</v>
      </c>
    </row>
    <row r="170" spans="1:7" hidden="1" x14ac:dyDescent="0.15">
      <c r="A170" s="2200" t="s">
        <v>4280</v>
      </c>
      <c r="B170" s="2200" t="s">
        <v>4617</v>
      </c>
      <c r="C170" s="2200" t="s">
        <v>4618</v>
      </c>
      <c r="D170" s="2200" t="str">
        <f t="shared" si="6"/>
        <v>AR</v>
      </c>
      <c r="E170" s="2200" t="str">
        <f t="shared" si="7"/>
        <v>05</v>
      </c>
      <c r="F170" s="2200" t="str">
        <f t="shared" si="8"/>
        <v>109</v>
      </c>
      <c r="G170" s="2200">
        <f>--SUBTOTAL(3,C$2:C170)</f>
        <v>0</v>
      </c>
    </row>
    <row r="171" spans="1:7" hidden="1" x14ac:dyDescent="0.15">
      <c r="A171" s="2200" t="s">
        <v>4280</v>
      </c>
      <c r="B171" s="2200" t="s">
        <v>4619</v>
      </c>
      <c r="C171" s="2200" t="s">
        <v>4620</v>
      </c>
      <c r="D171" s="2200" t="str">
        <f t="shared" si="6"/>
        <v>AR</v>
      </c>
      <c r="E171" s="2200" t="str">
        <f t="shared" si="7"/>
        <v>05</v>
      </c>
      <c r="F171" s="2200" t="str">
        <f t="shared" si="8"/>
        <v>111</v>
      </c>
      <c r="G171" s="2200">
        <f>--SUBTOTAL(3,C$2:C171)</f>
        <v>0</v>
      </c>
    </row>
    <row r="172" spans="1:7" hidden="1" x14ac:dyDescent="0.15">
      <c r="A172" s="2200" t="s">
        <v>4280</v>
      </c>
      <c r="B172" s="2200" t="s">
        <v>4621</v>
      </c>
      <c r="C172" s="2200" t="s">
        <v>4622</v>
      </c>
      <c r="D172" s="2200" t="str">
        <f t="shared" si="6"/>
        <v>AR</v>
      </c>
      <c r="E172" s="2200" t="str">
        <f t="shared" si="7"/>
        <v>05</v>
      </c>
      <c r="F172" s="2200" t="str">
        <f t="shared" si="8"/>
        <v>113</v>
      </c>
      <c r="G172" s="2200">
        <f>--SUBTOTAL(3,C$2:C172)</f>
        <v>0</v>
      </c>
    </row>
    <row r="173" spans="1:7" hidden="1" x14ac:dyDescent="0.15">
      <c r="A173" s="2200" t="s">
        <v>4280</v>
      </c>
      <c r="B173" s="2200" t="s">
        <v>4623</v>
      </c>
      <c r="C173" s="2200" t="s">
        <v>4624</v>
      </c>
      <c r="D173" s="2200" t="str">
        <f t="shared" si="6"/>
        <v>AR</v>
      </c>
      <c r="E173" s="2200" t="str">
        <f t="shared" si="7"/>
        <v>05</v>
      </c>
      <c r="F173" s="2200" t="str">
        <f t="shared" si="8"/>
        <v>115</v>
      </c>
      <c r="G173" s="2200">
        <f>--SUBTOTAL(3,C$2:C173)</f>
        <v>0</v>
      </c>
    </row>
    <row r="174" spans="1:7" hidden="1" x14ac:dyDescent="0.15">
      <c r="A174" s="2200" t="s">
        <v>4280</v>
      </c>
      <c r="B174" s="2200" t="s">
        <v>4625</v>
      </c>
      <c r="C174" s="2200" t="s">
        <v>4626</v>
      </c>
      <c r="D174" s="2200" t="str">
        <f t="shared" si="6"/>
        <v>AR</v>
      </c>
      <c r="E174" s="2200" t="str">
        <f t="shared" si="7"/>
        <v>05</v>
      </c>
      <c r="F174" s="2200" t="str">
        <f t="shared" si="8"/>
        <v>117</v>
      </c>
      <c r="G174" s="2200">
        <f>--SUBTOTAL(3,C$2:C174)</f>
        <v>0</v>
      </c>
    </row>
    <row r="175" spans="1:7" hidden="1" x14ac:dyDescent="0.15">
      <c r="A175" s="2200" t="s">
        <v>4280</v>
      </c>
      <c r="B175" s="2200" t="s">
        <v>4627</v>
      </c>
      <c r="C175" s="2200" t="s">
        <v>4628</v>
      </c>
      <c r="D175" s="2200" t="str">
        <f t="shared" si="6"/>
        <v>AR</v>
      </c>
      <c r="E175" s="2200" t="str">
        <f t="shared" si="7"/>
        <v>05</v>
      </c>
      <c r="F175" s="2200" t="str">
        <f t="shared" si="8"/>
        <v>119</v>
      </c>
      <c r="G175" s="2200">
        <f>--SUBTOTAL(3,C$2:C175)</f>
        <v>0</v>
      </c>
    </row>
    <row r="176" spans="1:7" hidden="1" x14ac:dyDescent="0.15">
      <c r="A176" s="2200" t="s">
        <v>4280</v>
      </c>
      <c r="B176" s="2200" t="s">
        <v>4629</v>
      </c>
      <c r="C176" s="2200" t="s">
        <v>4630</v>
      </c>
      <c r="D176" s="2200" t="str">
        <f t="shared" si="6"/>
        <v>AR</v>
      </c>
      <c r="E176" s="2200" t="str">
        <f t="shared" si="7"/>
        <v>05</v>
      </c>
      <c r="F176" s="2200" t="str">
        <f t="shared" si="8"/>
        <v>121</v>
      </c>
      <c r="G176" s="2200">
        <f>--SUBTOTAL(3,C$2:C176)</f>
        <v>0</v>
      </c>
    </row>
    <row r="177" spans="1:7" hidden="1" x14ac:dyDescent="0.15">
      <c r="A177" s="2200" t="s">
        <v>4280</v>
      </c>
      <c r="B177" s="2200" t="s">
        <v>4631</v>
      </c>
      <c r="C177" s="2200" t="s">
        <v>4632</v>
      </c>
      <c r="D177" s="2200" t="str">
        <f t="shared" si="6"/>
        <v>AR</v>
      </c>
      <c r="E177" s="2200" t="str">
        <f t="shared" si="7"/>
        <v>05</v>
      </c>
      <c r="F177" s="2200" t="str">
        <f t="shared" si="8"/>
        <v>123</v>
      </c>
      <c r="G177" s="2200">
        <f>--SUBTOTAL(3,C$2:C177)</f>
        <v>0</v>
      </c>
    </row>
    <row r="178" spans="1:7" hidden="1" x14ac:dyDescent="0.15">
      <c r="A178" s="2200" t="s">
        <v>4280</v>
      </c>
      <c r="B178" s="2200" t="s">
        <v>4633</v>
      </c>
      <c r="C178" s="2200" t="s">
        <v>4634</v>
      </c>
      <c r="D178" s="2200" t="str">
        <f t="shared" si="6"/>
        <v>AR</v>
      </c>
      <c r="E178" s="2200" t="str">
        <f t="shared" si="7"/>
        <v>05</v>
      </c>
      <c r="F178" s="2200" t="str">
        <f t="shared" si="8"/>
        <v>125</v>
      </c>
      <c r="G178" s="2200">
        <f>--SUBTOTAL(3,C$2:C178)</f>
        <v>0</v>
      </c>
    </row>
    <row r="179" spans="1:7" hidden="1" x14ac:dyDescent="0.15">
      <c r="A179" s="2200" t="s">
        <v>4280</v>
      </c>
      <c r="B179" s="2200" t="s">
        <v>4635</v>
      </c>
      <c r="C179" s="2200" t="s">
        <v>4636</v>
      </c>
      <c r="D179" s="2200" t="str">
        <f t="shared" si="6"/>
        <v>AR</v>
      </c>
      <c r="E179" s="2200" t="str">
        <f t="shared" si="7"/>
        <v>05</v>
      </c>
      <c r="F179" s="2200" t="str">
        <f t="shared" si="8"/>
        <v>127</v>
      </c>
      <c r="G179" s="2200">
        <f>--SUBTOTAL(3,C$2:C179)</f>
        <v>0</v>
      </c>
    </row>
    <row r="180" spans="1:7" hidden="1" x14ac:dyDescent="0.15">
      <c r="A180" s="2200" t="s">
        <v>4280</v>
      </c>
      <c r="B180" s="2200" t="s">
        <v>4637</v>
      </c>
      <c r="C180" s="2200" t="s">
        <v>4638</v>
      </c>
      <c r="D180" s="2200" t="str">
        <f t="shared" si="6"/>
        <v>AR</v>
      </c>
      <c r="E180" s="2200" t="str">
        <f t="shared" si="7"/>
        <v>05</v>
      </c>
      <c r="F180" s="2200" t="str">
        <f t="shared" si="8"/>
        <v>129</v>
      </c>
      <c r="G180" s="2200">
        <f>--SUBTOTAL(3,C$2:C180)</f>
        <v>0</v>
      </c>
    </row>
    <row r="181" spans="1:7" hidden="1" x14ac:dyDescent="0.15">
      <c r="A181" s="2200" t="s">
        <v>4280</v>
      </c>
      <c r="B181" s="2200" t="s">
        <v>4639</v>
      </c>
      <c r="C181" s="2200" t="s">
        <v>4640</v>
      </c>
      <c r="D181" s="2200" t="str">
        <f t="shared" si="6"/>
        <v>AR</v>
      </c>
      <c r="E181" s="2200" t="str">
        <f t="shared" si="7"/>
        <v>05</v>
      </c>
      <c r="F181" s="2200" t="str">
        <f t="shared" si="8"/>
        <v>131</v>
      </c>
      <c r="G181" s="2200">
        <f>--SUBTOTAL(3,C$2:C181)</f>
        <v>0</v>
      </c>
    </row>
    <row r="182" spans="1:7" hidden="1" x14ac:dyDescent="0.15">
      <c r="A182" s="2200" t="s">
        <v>4280</v>
      </c>
      <c r="B182" s="2200" t="s">
        <v>4641</v>
      </c>
      <c r="C182" s="2200" t="s">
        <v>4642</v>
      </c>
      <c r="D182" s="2200" t="str">
        <f t="shared" si="6"/>
        <v>AR</v>
      </c>
      <c r="E182" s="2200" t="str">
        <f t="shared" si="7"/>
        <v>05</v>
      </c>
      <c r="F182" s="2200" t="str">
        <f t="shared" si="8"/>
        <v>133</v>
      </c>
      <c r="G182" s="2200">
        <f>--SUBTOTAL(3,C$2:C182)</f>
        <v>0</v>
      </c>
    </row>
    <row r="183" spans="1:7" hidden="1" x14ac:dyDescent="0.15">
      <c r="A183" s="2200" t="s">
        <v>4280</v>
      </c>
      <c r="B183" s="2200" t="s">
        <v>4643</v>
      </c>
      <c r="C183" s="2200" t="s">
        <v>4644</v>
      </c>
      <c r="D183" s="2200" t="str">
        <f t="shared" si="6"/>
        <v>AR</v>
      </c>
      <c r="E183" s="2200" t="str">
        <f t="shared" si="7"/>
        <v>05</v>
      </c>
      <c r="F183" s="2200" t="str">
        <f t="shared" si="8"/>
        <v>135</v>
      </c>
      <c r="G183" s="2200">
        <f>--SUBTOTAL(3,C$2:C183)</f>
        <v>0</v>
      </c>
    </row>
    <row r="184" spans="1:7" hidden="1" x14ac:dyDescent="0.15">
      <c r="A184" s="2200" t="s">
        <v>4280</v>
      </c>
      <c r="B184" s="2200" t="s">
        <v>4645</v>
      </c>
      <c r="C184" s="2200" t="s">
        <v>4646</v>
      </c>
      <c r="D184" s="2200" t="str">
        <f t="shared" si="6"/>
        <v>AR</v>
      </c>
      <c r="E184" s="2200" t="str">
        <f t="shared" si="7"/>
        <v>05</v>
      </c>
      <c r="F184" s="2200" t="str">
        <f t="shared" si="8"/>
        <v>137</v>
      </c>
      <c r="G184" s="2200">
        <f>--SUBTOTAL(3,C$2:C184)</f>
        <v>0</v>
      </c>
    </row>
    <row r="185" spans="1:7" hidden="1" x14ac:dyDescent="0.15">
      <c r="A185" s="2200" t="s">
        <v>4280</v>
      </c>
      <c r="B185" s="2200" t="s">
        <v>4647</v>
      </c>
      <c r="C185" s="2200" t="s">
        <v>4648</v>
      </c>
      <c r="D185" s="2200" t="str">
        <f t="shared" si="6"/>
        <v>AR</v>
      </c>
      <c r="E185" s="2200" t="str">
        <f t="shared" si="7"/>
        <v>05</v>
      </c>
      <c r="F185" s="2200" t="str">
        <f t="shared" si="8"/>
        <v>139</v>
      </c>
      <c r="G185" s="2200">
        <f>--SUBTOTAL(3,C$2:C185)</f>
        <v>0</v>
      </c>
    </row>
    <row r="186" spans="1:7" hidden="1" x14ac:dyDescent="0.15">
      <c r="A186" s="2200" t="s">
        <v>4280</v>
      </c>
      <c r="B186" s="2200" t="s">
        <v>4649</v>
      </c>
      <c r="C186" s="2200" t="s">
        <v>4650</v>
      </c>
      <c r="D186" s="2200" t="str">
        <f t="shared" si="6"/>
        <v>AR</v>
      </c>
      <c r="E186" s="2200" t="str">
        <f t="shared" si="7"/>
        <v>05</v>
      </c>
      <c r="F186" s="2200" t="str">
        <f t="shared" si="8"/>
        <v>141</v>
      </c>
      <c r="G186" s="2200">
        <f>--SUBTOTAL(3,C$2:C186)</f>
        <v>0</v>
      </c>
    </row>
    <row r="187" spans="1:7" hidden="1" x14ac:dyDescent="0.15">
      <c r="A187" s="2200" t="s">
        <v>4280</v>
      </c>
      <c r="B187" s="2200" t="s">
        <v>4651</v>
      </c>
      <c r="C187" s="2200" t="s">
        <v>4652</v>
      </c>
      <c r="D187" s="2200" t="str">
        <f t="shared" si="6"/>
        <v>AR</v>
      </c>
      <c r="E187" s="2200" t="str">
        <f t="shared" si="7"/>
        <v>05</v>
      </c>
      <c r="F187" s="2200" t="str">
        <f t="shared" si="8"/>
        <v>143</v>
      </c>
      <c r="G187" s="2200">
        <f>--SUBTOTAL(3,C$2:C187)</f>
        <v>0</v>
      </c>
    </row>
    <row r="188" spans="1:7" hidden="1" x14ac:dyDescent="0.15">
      <c r="A188" s="2200" t="s">
        <v>4280</v>
      </c>
      <c r="B188" s="2200" t="s">
        <v>4653</v>
      </c>
      <c r="C188" s="2200" t="s">
        <v>4654</v>
      </c>
      <c r="D188" s="2200" t="str">
        <f t="shared" si="6"/>
        <v>AR</v>
      </c>
      <c r="E188" s="2200" t="str">
        <f t="shared" si="7"/>
        <v>05</v>
      </c>
      <c r="F188" s="2200" t="str">
        <f t="shared" si="8"/>
        <v>145</v>
      </c>
      <c r="G188" s="2200">
        <f>--SUBTOTAL(3,C$2:C188)</f>
        <v>0</v>
      </c>
    </row>
    <row r="189" spans="1:7" hidden="1" x14ac:dyDescent="0.15">
      <c r="A189" s="2200" t="s">
        <v>4280</v>
      </c>
      <c r="B189" s="2200" t="s">
        <v>4655</v>
      </c>
      <c r="C189" s="2200" t="s">
        <v>4656</v>
      </c>
      <c r="D189" s="2200" t="str">
        <f t="shared" si="6"/>
        <v>AR</v>
      </c>
      <c r="E189" s="2200" t="str">
        <f t="shared" si="7"/>
        <v>05</v>
      </c>
      <c r="F189" s="2200" t="str">
        <f t="shared" si="8"/>
        <v>147</v>
      </c>
      <c r="G189" s="2200">
        <f>--SUBTOTAL(3,C$2:C189)</f>
        <v>0</v>
      </c>
    </row>
    <row r="190" spans="1:7" hidden="1" x14ac:dyDescent="0.15">
      <c r="A190" s="2200" t="s">
        <v>4280</v>
      </c>
      <c r="B190" s="2200" t="s">
        <v>4657</v>
      </c>
      <c r="C190" s="2200" t="s">
        <v>4658</v>
      </c>
      <c r="D190" s="2200" t="str">
        <f t="shared" si="6"/>
        <v>AR</v>
      </c>
      <c r="E190" s="2200" t="str">
        <f t="shared" si="7"/>
        <v>05</v>
      </c>
      <c r="F190" s="2200" t="str">
        <f t="shared" si="8"/>
        <v>149</v>
      </c>
      <c r="G190" s="2200">
        <f>--SUBTOTAL(3,C$2:C190)</f>
        <v>0</v>
      </c>
    </row>
    <row r="191" spans="1:7" hidden="1" x14ac:dyDescent="0.15">
      <c r="A191" s="2200" t="s">
        <v>4280</v>
      </c>
      <c r="B191" s="2200" t="s">
        <v>4659</v>
      </c>
      <c r="C191" s="2200" t="s">
        <v>4660</v>
      </c>
      <c r="D191" s="2200" t="str">
        <f t="shared" si="6"/>
        <v>CA</v>
      </c>
      <c r="E191" s="2200" t="str">
        <f t="shared" si="7"/>
        <v>06</v>
      </c>
      <c r="F191" s="2200" t="str">
        <f t="shared" si="8"/>
        <v>001</v>
      </c>
      <c r="G191" s="2200">
        <f>--SUBTOTAL(3,C$2:C191)</f>
        <v>0</v>
      </c>
    </row>
    <row r="192" spans="1:7" hidden="1" x14ac:dyDescent="0.15">
      <c r="A192" s="2200" t="s">
        <v>4280</v>
      </c>
      <c r="B192" s="2200" t="s">
        <v>4661</v>
      </c>
      <c r="C192" s="2200" t="s">
        <v>4662</v>
      </c>
      <c r="D192" s="2200" t="str">
        <f t="shared" si="6"/>
        <v>CA</v>
      </c>
      <c r="E192" s="2200" t="str">
        <f t="shared" si="7"/>
        <v>06</v>
      </c>
      <c r="F192" s="2200" t="str">
        <f t="shared" si="8"/>
        <v>003</v>
      </c>
      <c r="G192" s="2200">
        <f>--SUBTOTAL(3,C$2:C192)</f>
        <v>0</v>
      </c>
    </row>
    <row r="193" spans="1:7" hidden="1" x14ac:dyDescent="0.15">
      <c r="A193" s="2200" t="s">
        <v>4280</v>
      </c>
      <c r="B193" s="2200" t="s">
        <v>4663</v>
      </c>
      <c r="C193" s="2200" t="s">
        <v>4664</v>
      </c>
      <c r="D193" s="2200" t="str">
        <f t="shared" si="6"/>
        <v>CA</v>
      </c>
      <c r="E193" s="2200" t="str">
        <f t="shared" si="7"/>
        <v>06</v>
      </c>
      <c r="F193" s="2200" t="str">
        <f t="shared" si="8"/>
        <v>005</v>
      </c>
      <c r="G193" s="2200">
        <f>--SUBTOTAL(3,C$2:C193)</f>
        <v>0</v>
      </c>
    </row>
    <row r="194" spans="1:7" hidden="1" x14ac:dyDescent="0.15">
      <c r="A194" s="2200" t="s">
        <v>4280</v>
      </c>
      <c r="B194" s="2200" t="s">
        <v>4665</v>
      </c>
      <c r="C194" s="2200" t="s">
        <v>4666</v>
      </c>
      <c r="D194" s="2200" t="str">
        <f t="shared" si="6"/>
        <v>CA</v>
      </c>
      <c r="E194" s="2200" t="str">
        <f t="shared" si="7"/>
        <v>06</v>
      </c>
      <c r="F194" s="2200" t="str">
        <f t="shared" si="8"/>
        <v>007</v>
      </c>
      <c r="G194" s="2200">
        <f>--SUBTOTAL(3,C$2:C194)</f>
        <v>0</v>
      </c>
    </row>
    <row r="195" spans="1:7" hidden="1" x14ac:dyDescent="0.15">
      <c r="A195" s="2200" t="s">
        <v>4280</v>
      </c>
      <c r="B195" s="2200" t="s">
        <v>4667</v>
      </c>
      <c r="C195" s="2200" t="s">
        <v>4668</v>
      </c>
      <c r="D195" s="2200" t="str">
        <f t="shared" ref="D195:D258" si="9">RIGHT(C195,2)</f>
        <v>CA</v>
      </c>
      <c r="E195" s="2200" t="str">
        <f t="shared" ref="E195:E258" si="10">MID(B195,3,2)</f>
        <v>06</v>
      </c>
      <c r="F195" s="2200" t="str">
        <f t="shared" ref="F195:F258" si="11">MID(B195,5,3)</f>
        <v>009</v>
      </c>
      <c r="G195" s="2200">
        <f>--SUBTOTAL(3,C$2:C195)</f>
        <v>0</v>
      </c>
    </row>
    <row r="196" spans="1:7" hidden="1" x14ac:dyDescent="0.15">
      <c r="A196" s="2200" t="s">
        <v>4280</v>
      </c>
      <c r="B196" s="2200" t="s">
        <v>4669</v>
      </c>
      <c r="C196" s="2200" t="s">
        <v>4670</v>
      </c>
      <c r="D196" s="2200" t="str">
        <f t="shared" si="9"/>
        <v>CA</v>
      </c>
      <c r="E196" s="2200" t="str">
        <f t="shared" si="10"/>
        <v>06</v>
      </c>
      <c r="F196" s="2200" t="str">
        <f t="shared" si="11"/>
        <v>011</v>
      </c>
      <c r="G196" s="2200">
        <f>--SUBTOTAL(3,C$2:C196)</f>
        <v>0</v>
      </c>
    </row>
    <row r="197" spans="1:7" hidden="1" x14ac:dyDescent="0.15">
      <c r="A197" s="2200" t="s">
        <v>4280</v>
      </c>
      <c r="B197" s="2200" t="s">
        <v>4671</v>
      </c>
      <c r="C197" s="2200" t="s">
        <v>4672</v>
      </c>
      <c r="D197" s="2200" t="str">
        <f t="shared" si="9"/>
        <v>CA</v>
      </c>
      <c r="E197" s="2200" t="str">
        <f t="shared" si="10"/>
        <v>06</v>
      </c>
      <c r="F197" s="2200" t="str">
        <f t="shared" si="11"/>
        <v>013</v>
      </c>
      <c r="G197" s="2200">
        <f>--SUBTOTAL(3,C$2:C197)</f>
        <v>0</v>
      </c>
    </row>
    <row r="198" spans="1:7" hidden="1" x14ac:dyDescent="0.15">
      <c r="A198" s="2200" t="s">
        <v>4280</v>
      </c>
      <c r="B198" s="2200" t="s">
        <v>4673</v>
      </c>
      <c r="C198" s="2200" t="s">
        <v>4674</v>
      </c>
      <c r="D198" s="2200" t="str">
        <f t="shared" si="9"/>
        <v>CA</v>
      </c>
      <c r="E198" s="2200" t="str">
        <f t="shared" si="10"/>
        <v>06</v>
      </c>
      <c r="F198" s="2200" t="str">
        <f t="shared" si="11"/>
        <v>015</v>
      </c>
      <c r="G198" s="2200">
        <f>--SUBTOTAL(3,C$2:C198)</f>
        <v>0</v>
      </c>
    </row>
    <row r="199" spans="1:7" hidden="1" x14ac:dyDescent="0.15">
      <c r="A199" s="2200" t="s">
        <v>4280</v>
      </c>
      <c r="B199" s="2200" t="s">
        <v>4675</v>
      </c>
      <c r="C199" s="2200" t="s">
        <v>4676</v>
      </c>
      <c r="D199" s="2200" t="str">
        <f t="shared" si="9"/>
        <v>CA</v>
      </c>
      <c r="E199" s="2200" t="str">
        <f t="shared" si="10"/>
        <v>06</v>
      </c>
      <c r="F199" s="2200" t="str">
        <f t="shared" si="11"/>
        <v>017</v>
      </c>
      <c r="G199" s="2200">
        <f>--SUBTOTAL(3,C$2:C199)</f>
        <v>0</v>
      </c>
    </row>
    <row r="200" spans="1:7" hidden="1" x14ac:dyDescent="0.15">
      <c r="A200" s="2200" t="s">
        <v>4280</v>
      </c>
      <c r="B200" s="2200" t="s">
        <v>4677</v>
      </c>
      <c r="C200" s="2200" t="s">
        <v>4678</v>
      </c>
      <c r="D200" s="2200" t="str">
        <f t="shared" si="9"/>
        <v>CA</v>
      </c>
      <c r="E200" s="2200" t="str">
        <f t="shared" si="10"/>
        <v>06</v>
      </c>
      <c r="F200" s="2200" t="str">
        <f t="shared" si="11"/>
        <v>019</v>
      </c>
      <c r="G200" s="2200">
        <f>--SUBTOTAL(3,C$2:C200)</f>
        <v>0</v>
      </c>
    </row>
    <row r="201" spans="1:7" hidden="1" x14ac:dyDescent="0.15">
      <c r="A201" s="2200" t="s">
        <v>4280</v>
      </c>
      <c r="B201" s="2200" t="s">
        <v>4679</v>
      </c>
      <c r="C201" s="2200" t="s">
        <v>4680</v>
      </c>
      <c r="D201" s="2200" t="str">
        <f t="shared" si="9"/>
        <v>CA</v>
      </c>
      <c r="E201" s="2200" t="str">
        <f t="shared" si="10"/>
        <v>06</v>
      </c>
      <c r="F201" s="2200" t="str">
        <f t="shared" si="11"/>
        <v>021</v>
      </c>
      <c r="G201" s="2200">
        <f>--SUBTOTAL(3,C$2:C201)</f>
        <v>0</v>
      </c>
    </row>
    <row r="202" spans="1:7" hidden="1" x14ac:dyDescent="0.15">
      <c r="A202" s="2200" t="s">
        <v>4280</v>
      </c>
      <c r="B202" s="2200" t="s">
        <v>4681</v>
      </c>
      <c r="C202" s="2200" t="s">
        <v>4682</v>
      </c>
      <c r="D202" s="2200" t="str">
        <f t="shared" si="9"/>
        <v>CA</v>
      </c>
      <c r="E202" s="2200" t="str">
        <f t="shared" si="10"/>
        <v>06</v>
      </c>
      <c r="F202" s="2200" t="str">
        <f t="shared" si="11"/>
        <v>023</v>
      </c>
      <c r="G202" s="2200">
        <f>--SUBTOTAL(3,C$2:C202)</f>
        <v>0</v>
      </c>
    </row>
    <row r="203" spans="1:7" hidden="1" x14ac:dyDescent="0.15">
      <c r="A203" s="2200" t="s">
        <v>4280</v>
      </c>
      <c r="B203" s="2200" t="s">
        <v>4683</v>
      </c>
      <c r="C203" s="2200" t="s">
        <v>4684</v>
      </c>
      <c r="D203" s="2200" t="str">
        <f t="shared" si="9"/>
        <v>CA</v>
      </c>
      <c r="E203" s="2200" t="str">
        <f t="shared" si="10"/>
        <v>06</v>
      </c>
      <c r="F203" s="2200" t="str">
        <f t="shared" si="11"/>
        <v>025</v>
      </c>
      <c r="G203" s="2200">
        <f>--SUBTOTAL(3,C$2:C203)</f>
        <v>0</v>
      </c>
    </row>
    <row r="204" spans="1:7" hidden="1" x14ac:dyDescent="0.15">
      <c r="A204" s="2200" t="s">
        <v>4280</v>
      </c>
      <c r="B204" s="2200" t="s">
        <v>4685</v>
      </c>
      <c r="C204" s="2200" t="s">
        <v>4686</v>
      </c>
      <c r="D204" s="2200" t="str">
        <f t="shared" si="9"/>
        <v>CA</v>
      </c>
      <c r="E204" s="2200" t="str">
        <f t="shared" si="10"/>
        <v>06</v>
      </c>
      <c r="F204" s="2200" t="str">
        <f t="shared" si="11"/>
        <v>027</v>
      </c>
      <c r="G204" s="2200">
        <f>--SUBTOTAL(3,C$2:C204)</f>
        <v>0</v>
      </c>
    </row>
    <row r="205" spans="1:7" hidden="1" x14ac:dyDescent="0.15">
      <c r="A205" s="2200" t="s">
        <v>4280</v>
      </c>
      <c r="B205" s="2200" t="s">
        <v>4687</v>
      </c>
      <c r="C205" s="2200" t="s">
        <v>4688</v>
      </c>
      <c r="D205" s="2200" t="str">
        <f t="shared" si="9"/>
        <v>CA</v>
      </c>
      <c r="E205" s="2200" t="str">
        <f t="shared" si="10"/>
        <v>06</v>
      </c>
      <c r="F205" s="2200" t="str">
        <f t="shared" si="11"/>
        <v>029</v>
      </c>
      <c r="G205" s="2200">
        <f>--SUBTOTAL(3,C$2:C205)</f>
        <v>0</v>
      </c>
    </row>
    <row r="206" spans="1:7" hidden="1" x14ac:dyDescent="0.15">
      <c r="A206" s="2200" t="s">
        <v>4280</v>
      </c>
      <c r="B206" s="2200" t="s">
        <v>4689</v>
      </c>
      <c r="C206" s="2200" t="s">
        <v>4690</v>
      </c>
      <c r="D206" s="2200" t="str">
        <f t="shared" si="9"/>
        <v>CA</v>
      </c>
      <c r="E206" s="2200" t="str">
        <f t="shared" si="10"/>
        <v>06</v>
      </c>
      <c r="F206" s="2200" t="str">
        <f t="shared" si="11"/>
        <v>031</v>
      </c>
      <c r="G206" s="2200">
        <f>--SUBTOTAL(3,C$2:C206)</f>
        <v>0</v>
      </c>
    </row>
    <row r="207" spans="1:7" hidden="1" x14ac:dyDescent="0.15">
      <c r="A207" s="2200" t="s">
        <v>4280</v>
      </c>
      <c r="B207" s="2200" t="s">
        <v>4691</v>
      </c>
      <c r="C207" s="2200" t="s">
        <v>4692</v>
      </c>
      <c r="D207" s="2200" t="str">
        <f t="shared" si="9"/>
        <v>CA</v>
      </c>
      <c r="E207" s="2200" t="str">
        <f t="shared" si="10"/>
        <v>06</v>
      </c>
      <c r="F207" s="2200" t="str">
        <f t="shared" si="11"/>
        <v>033</v>
      </c>
      <c r="G207" s="2200">
        <f>--SUBTOTAL(3,C$2:C207)</f>
        <v>0</v>
      </c>
    </row>
    <row r="208" spans="1:7" hidden="1" x14ac:dyDescent="0.15">
      <c r="A208" s="2200" t="s">
        <v>4280</v>
      </c>
      <c r="B208" s="2200" t="s">
        <v>4693</v>
      </c>
      <c r="C208" s="2200" t="s">
        <v>4694</v>
      </c>
      <c r="D208" s="2200" t="str">
        <f t="shared" si="9"/>
        <v>CA</v>
      </c>
      <c r="E208" s="2200" t="str">
        <f t="shared" si="10"/>
        <v>06</v>
      </c>
      <c r="F208" s="2200" t="str">
        <f t="shared" si="11"/>
        <v>035</v>
      </c>
      <c r="G208" s="2200">
        <f>--SUBTOTAL(3,C$2:C208)</f>
        <v>0</v>
      </c>
    </row>
    <row r="209" spans="1:7" hidden="1" x14ac:dyDescent="0.15">
      <c r="A209" s="2200" t="s">
        <v>4280</v>
      </c>
      <c r="B209" s="2200" t="s">
        <v>4695</v>
      </c>
      <c r="C209" s="2200" t="s">
        <v>4696</v>
      </c>
      <c r="D209" s="2200" t="str">
        <f t="shared" si="9"/>
        <v>CA</v>
      </c>
      <c r="E209" s="2200" t="str">
        <f t="shared" si="10"/>
        <v>06</v>
      </c>
      <c r="F209" s="2200" t="str">
        <f t="shared" si="11"/>
        <v>037</v>
      </c>
      <c r="G209" s="2200">
        <f>--SUBTOTAL(3,C$2:C209)</f>
        <v>0</v>
      </c>
    </row>
    <row r="210" spans="1:7" hidden="1" x14ac:dyDescent="0.15">
      <c r="A210" s="2200" t="s">
        <v>4280</v>
      </c>
      <c r="B210" s="2200" t="s">
        <v>4697</v>
      </c>
      <c r="C210" s="2200" t="s">
        <v>4698</v>
      </c>
      <c r="D210" s="2200" t="str">
        <f t="shared" si="9"/>
        <v>CA</v>
      </c>
      <c r="E210" s="2200" t="str">
        <f t="shared" si="10"/>
        <v>06</v>
      </c>
      <c r="F210" s="2200" t="str">
        <f t="shared" si="11"/>
        <v>039</v>
      </c>
      <c r="G210" s="2200">
        <f>--SUBTOTAL(3,C$2:C210)</f>
        <v>0</v>
      </c>
    </row>
    <row r="211" spans="1:7" hidden="1" x14ac:dyDescent="0.15">
      <c r="A211" s="2200" t="s">
        <v>4280</v>
      </c>
      <c r="B211" s="2200" t="s">
        <v>4699</v>
      </c>
      <c r="C211" s="2200" t="s">
        <v>4700</v>
      </c>
      <c r="D211" s="2200" t="str">
        <f t="shared" si="9"/>
        <v>CA</v>
      </c>
      <c r="E211" s="2200" t="str">
        <f t="shared" si="10"/>
        <v>06</v>
      </c>
      <c r="F211" s="2200" t="str">
        <f t="shared" si="11"/>
        <v>041</v>
      </c>
      <c r="G211" s="2200">
        <f>--SUBTOTAL(3,C$2:C211)</f>
        <v>0</v>
      </c>
    </row>
    <row r="212" spans="1:7" hidden="1" x14ac:dyDescent="0.15">
      <c r="A212" s="2200" t="s">
        <v>4280</v>
      </c>
      <c r="B212" s="2200" t="s">
        <v>4701</v>
      </c>
      <c r="C212" s="2200" t="s">
        <v>4702</v>
      </c>
      <c r="D212" s="2200" t="str">
        <f t="shared" si="9"/>
        <v>CA</v>
      </c>
      <c r="E212" s="2200" t="str">
        <f t="shared" si="10"/>
        <v>06</v>
      </c>
      <c r="F212" s="2200" t="str">
        <f t="shared" si="11"/>
        <v>043</v>
      </c>
      <c r="G212" s="2200">
        <f>--SUBTOTAL(3,C$2:C212)</f>
        <v>0</v>
      </c>
    </row>
    <row r="213" spans="1:7" hidden="1" x14ac:dyDescent="0.15">
      <c r="A213" s="2200" t="s">
        <v>4280</v>
      </c>
      <c r="B213" s="2200" t="s">
        <v>4703</v>
      </c>
      <c r="C213" s="2200" t="s">
        <v>4704</v>
      </c>
      <c r="D213" s="2200" t="str">
        <f t="shared" si="9"/>
        <v>CA</v>
      </c>
      <c r="E213" s="2200" t="str">
        <f t="shared" si="10"/>
        <v>06</v>
      </c>
      <c r="F213" s="2200" t="str">
        <f t="shared" si="11"/>
        <v>045</v>
      </c>
      <c r="G213" s="2200">
        <f>--SUBTOTAL(3,C$2:C213)</f>
        <v>0</v>
      </c>
    </row>
    <row r="214" spans="1:7" hidden="1" x14ac:dyDescent="0.15">
      <c r="A214" s="2200" t="s">
        <v>4280</v>
      </c>
      <c r="B214" s="2200" t="s">
        <v>4705</v>
      </c>
      <c r="C214" s="2200" t="s">
        <v>4706</v>
      </c>
      <c r="D214" s="2200" t="str">
        <f t="shared" si="9"/>
        <v>CA</v>
      </c>
      <c r="E214" s="2200" t="str">
        <f t="shared" si="10"/>
        <v>06</v>
      </c>
      <c r="F214" s="2200" t="str">
        <f t="shared" si="11"/>
        <v>047</v>
      </c>
      <c r="G214" s="2200">
        <f>--SUBTOTAL(3,C$2:C214)</f>
        <v>0</v>
      </c>
    </row>
    <row r="215" spans="1:7" hidden="1" x14ac:dyDescent="0.15">
      <c r="A215" s="2200" t="s">
        <v>4280</v>
      </c>
      <c r="B215" s="2200" t="s">
        <v>4707</v>
      </c>
      <c r="C215" s="2200" t="s">
        <v>4708</v>
      </c>
      <c r="D215" s="2200" t="str">
        <f t="shared" si="9"/>
        <v>CA</v>
      </c>
      <c r="E215" s="2200" t="str">
        <f t="shared" si="10"/>
        <v>06</v>
      </c>
      <c r="F215" s="2200" t="str">
        <f t="shared" si="11"/>
        <v>049</v>
      </c>
      <c r="G215" s="2200">
        <f>--SUBTOTAL(3,C$2:C215)</f>
        <v>0</v>
      </c>
    </row>
    <row r="216" spans="1:7" hidden="1" x14ac:dyDescent="0.15">
      <c r="A216" s="2200" t="s">
        <v>4280</v>
      </c>
      <c r="B216" s="2200" t="s">
        <v>4709</v>
      </c>
      <c r="C216" s="2200" t="s">
        <v>4710</v>
      </c>
      <c r="D216" s="2200" t="str">
        <f t="shared" si="9"/>
        <v>CA</v>
      </c>
      <c r="E216" s="2200" t="str">
        <f t="shared" si="10"/>
        <v>06</v>
      </c>
      <c r="F216" s="2200" t="str">
        <f t="shared" si="11"/>
        <v>051</v>
      </c>
      <c r="G216" s="2200">
        <f>--SUBTOTAL(3,C$2:C216)</f>
        <v>0</v>
      </c>
    </row>
    <row r="217" spans="1:7" hidden="1" x14ac:dyDescent="0.15">
      <c r="A217" s="2200" t="s">
        <v>4280</v>
      </c>
      <c r="B217" s="2200" t="s">
        <v>4711</v>
      </c>
      <c r="C217" s="2200" t="s">
        <v>4712</v>
      </c>
      <c r="D217" s="2200" t="str">
        <f t="shared" si="9"/>
        <v>CA</v>
      </c>
      <c r="E217" s="2200" t="str">
        <f t="shared" si="10"/>
        <v>06</v>
      </c>
      <c r="F217" s="2200" t="str">
        <f t="shared" si="11"/>
        <v>053</v>
      </c>
      <c r="G217" s="2200">
        <f>--SUBTOTAL(3,C$2:C217)</f>
        <v>0</v>
      </c>
    </row>
    <row r="218" spans="1:7" hidden="1" x14ac:dyDescent="0.15">
      <c r="A218" s="2200" t="s">
        <v>4280</v>
      </c>
      <c r="B218" s="2200" t="s">
        <v>4713</v>
      </c>
      <c r="C218" s="2200" t="s">
        <v>4714</v>
      </c>
      <c r="D218" s="2200" t="str">
        <f t="shared" si="9"/>
        <v>CA</v>
      </c>
      <c r="E218" s="2200" t="str">
        <f t="shared" si="10"/>
        <v>06</v>
      </c>
      <c r="F218" s="2200" t="str">
        <f t="shared" si="11"/>
        <v>055</v>
      </c>
      <c r="G218" s="2200">
        <f>--SUBTOTAL(3,C$2:C218)</f>
        <v>0</v>
      </c>
    </row>
    <row r="219" spans="1:7" hidden="1" x14ac:dyDescent="0.15">
      <c r="A219" s="2200" t="s">
        <v>4280</v>
      </c>
      <c r="B219" s="2200" t="s">
        <v>4715</v>
      </c>
      <c r="C219" s="2200" t="s">
        <v>4716</v>
      </c>
      <c r="D219" s="2200" t="str">
        <f t="shared" si="9"/>
        <v>CA</v>
      </c>
      <c r="E219" s="2200" t="str">
        <f t="shared" si="10"/>
        <v>06</v>
      </c>
      <c r="F219" s="2200" t="str">
        <f t="shared" si="11"/>
        <v>057</v>
      </c>
      <c r="G219" s="2200">
        <f>--SUBTOTAL(3,C$2:C219)</f>
        <v>0</v>
      </c>
    </row>
    <row r="220" spans="1:7" hidden="1" x14ac:dyDescent="0.15">
      <c r="A220" s="2200" t="s">
        <v>4280</v>
      </c>
      <c r="B220" s="2200" t="s">
        <v>4717</v>
      </c>
      <c r="C220" s="2200" t="s">
        <v>4718</v>
      </c>
      <c r="D220" s="2200" t="str">
        <f t="shared" si="9"/>
        <v>CA</v>
      </c>
      <c r="E220" s="2200" t="str">
        <f t="shared" si="10"/>
        <v>06</v>
      </c>
      <c r="F220" s="2200" t="str">
        <f t="shared" si="11"/>
        <v>059</v>
      </c>
      <c r="G220" s="2200">
        <f>--SUBTOTAL(3,C$2:C220)</f>
        <v>0</v>
      </c>
    </row>
    <row r="221" spans="1:7" hidden="1" x14ac:dyDescent="0.15">
      <c r="A221" s="2200" t="s">
        <v>4280</v>
      </c>
      <c r="B221" s="2200" t="s">
        <v>4719</v>
      </c>
      <c r="C221" s="2200" t="s">
        <v>4720</v>
      </c>
      <c r="D221" s="2200" t="str">
        <f t="shared" si="9"/>
        <v>CA</v>
      </c>
      <c r="E221" s="2200" t="str">
        <f t="shared" si="10"/>
        <v>06</v>
      </c>
      <c r="F221" s="2200" t="str">
        <f t="shared" si="11"/>
        <v>061</v>
      </c>
      <c r="G221" s="2200">
        <f>--SUBTOTAL(3,C$2:C221)</f>
        <v>0</v>
      </c>
    </row>
    <row r="222" spans="1:7" hidden="1" x14ac:dyDescent="0.15">
      <c r="A222" s="2200" t="s">
        <v>4280</v>
      </c>
      <c r="B222" s="2200" t="s">
        <v>4721</v>
      </c>
      <c r="C222" s="2200" t="s">
        <v>4722</v>
      </c>
      <c r="D222" s="2200" t="str">
        <f t="shared" si="9"/>
        <v>CA</v>
      </c>
      <c r="E222" s="2200" t="str">
        <f t="shared" si="10"/>
        <v>06</v>
      </c>
      <c r="F222" s="2200" t="str">
        <f t="shared" si="11"/>
        <v>063</v>
      </c>
      <c r="G222" s="2200">
        <f>--SUBTOTAL(3,C$2:C222)</f>
        <v>0</v>
      </c>
    </row>
    <row r="223" spans="1:7" hidden="1" x14ac:dyDescent="0.15">
      <c r="A223" s="2200" t="s">
        <v>4280</v>
      </c>
      <c r="B223" s="2200" t="s">
        <v>4723</v>
      </c>
      <c r="C223" s="2200" t="s">
        <v>4724</v>
      </c>
      <c r="D223" s="2200" t="str">
        <f t="shared" si="9"/>
        <v>CA</v>
      </c>
      <c r="E223" s="2200" t="str">
        <f t="shared" si="10"/>
        <v>06</v>
      </c>
      <c r="F223" s="2200" t="str">
        <f t="shared" si="11"/>
        <v>065</v>
      </c>
      <c r="G223" s="2200">
        <f>--SUBTOTAL(3,C$2:C223)</f>
        <v>0</v>
      </c>
    </row>
    <row r="224" spans="1:7" hidden="1" x14ac:dyDescent="0.15">
      <c r="A224" s="2200" t="s">
        <v>4280</v>
      </c>
      <c r="B224" s="2200" t="s">
        <v>4725</v>
      </c>
      <c r="C224" s="2200" t="s">
        <v>4726</v>
      </c>
      <c r="D224" s="2200" t="str">
        <f t="shared" si="9"/>
        <v>CA</v>
      </c>
      <c r="E224" s="2200" t="str">
        <f t="shared" si="10"/>
        <v>06</v>
      </c>
      <c r="F224" s="2200" t="str">
        <f t="shared" si="11"/>
        <v>067</v>
      </c>
      <c r="G224" s="2200">
        <f>--SUBTOTAL(3,C$2:C224)</f>
        <v>0</v>
      </c>
    </row>
    <row r="225" spans="1:7" hidden="1" x14ac:dyDescent="0.15">
      <c r="A225" s="2200" t="s">
        <v>4280</v>
      </c>
      <c r="B225" s="2200" t="s">
        <v>4727</v>
      </c>
      <c r="C225" s="2200" t="s">
        <v>4728</v>
      </c>
      <c r="D225" s="2200" t="str">
        <f t="shared" si="9"/>
        <v>CA</v>
      </c>
      <c r="E225" s="2200" t="str">
        <f t="shared" si="10"/>
        <v>06</v>
      </c>
      <c r="F225" s="2200" t="str">
        <f t="shared" si="11"/>
        <v>069</v>
      </c>
      <c r="G225" s="2200">
        <f>--SUBTOTAL(3,C$2:C225)</f>
        <v>0</v>
      </c>
    </row>
    <row r="226" spans="1:7" hidden="1" x14ac:dyDescent="0.15">
      <c r="A226" s="2200" t="s">
        <v>4280</v>
      </c>
      <c r="B226" s="2200" t="s">
        <v>4729</v>
      </c>
      <c r="C226" s="2200" t="s">
        <v>4730</v>
      </c>
      <c r="D226" s="2200" t="str">
        <f t="shared" si="9"/>
        <v>CA</v>
      </c>
      <c r="E226" s="2200" t="str">
        <f t="shared" si="10"/>
        <v>06</v>
      </c>
      <c r="F226" s="2200" t="str">
        <f t="shared" si="11"/>
        <v>071</v>
      </c>
      <c r="G226" s="2200">
        <f>--SUBTOTAL(3,C$2:C226)</f>
        <v>0</v>
      </c>
    </row>
    <row r="227" spans="1:7" hidden="1" x14ac:dyDescent="0.15">
      <c r="A227" s="2200" t="s">
        <v>4280</v>
      </c>
      <c r="B227" s="2200" t="s">
        <v>4731</v>
      </c>
      <c r="C227" s="2200" t="s">
        <v>4732</v>
      </c>
      <c r="D227" s="2200" t="str">
        <f t="shared" si="9"/>
        <v>CA</v>
      </c>
      <c r="E227" s="2200" t="str">
        <f t="shared" si="10"/>
        <v>06</v>
      </c>
      <c r="F227" s="2200" t="str">
        <f t="shared" si="11"/>
        <v>073</v>
      </c>
      <c r="G227" s="2200">
        <f>--SUBTOTAL(3,C$2:C227)</f>
        <v>0</v>
      </c>
    </row>
    <row r="228" spans="1:7" hidden="1" x14ac:dyDescent="0.15">
      <c r="A228" s="2200" t="s">
        <v>4280</v>
      </c>
      <c r="B228" s="2200" t="s">
        <v>4733</v>
      </c>
      <c r="C228" s="2200" t="s">
        <v>4734</v>
      </c>
      <c r="D228" s="2200" t="str">
        <f t="shared" si="9"/>
        <v>CA</v>
      </c>
      <c r="E228" s="2200" t="str">
        <f t="shared" si="10"/>
        <v>06</v>
      </c>
      <c r="F228" s="2200" t="str">
        <f t="shared" si="11"/>
        <v>075</v>
      </c>
      <c r="G228" s="2200">
        <f>--SUBTOTAL(3,C$2:C228)</f>
        <v>0</v>
      </c>
    </row>
    <row r="229" spans="1:7" hidden="1" x14ac:dyDescent="0.15">
      <c r="A229" s="2200" t="s">
        <v>4280</v>
      </c>
      <c r="B229" s="2200" t="s">
        <v>4735</v>
      </c>
      <c r="C229" s="2200" t="s">
        <v>4736</v>
      </c>
      <c r="D229" s="2200" t="str">
        <f t="shared" si="9"/>
        <v>CA</v>
      </c>
      <c r="E229" s="2200" t="str">
        <f t="shared" si="10"/>
        <v>06</v>
      </c>
      <c r="F229" s="2200" t="str">
        <f t="shared" si="11"/>
        <v>077</v>
      </c>
      <c r="G229" s="2200">
        <f>--SUBTOTAL(3,C$2:C229)</f>
        <v>0</v>
      </c>
    </row>
    <row r="230" spans="1:7" hidden="1" x14ac:dyDescent="0.15">
      <c r="A230" s="2200" t="s">
        <v>4280</v>
      </c>
      <c r="B230" s="2200" t="s">
        <v>4737</v>
      </c>
      <c r="C230" s="2200" t="s">
        <v>4738</v>
      </c>
      <c r="D230" s="2200" t="str">
        <f t="shared" si="9"/>
        <v>CA</v>
      </c>
      <c r="E230" s="2200" t="str">
        <f t="shared" si="10"/>
        <v>06</v>
      </c>
      <c r="F230" s="2200" t="str">
        <f t="shared" si="11"/>
        <v>079</v>
      </c>
      <c r="G230" s="2200">
        <f>--SUBTOTAL(3,C$2:C230)</f>
        <v>0</v>
      </c>
    </row>
    <row r="231" spans="1:7" hidden="1" x14ac:dyDescent="0.15">
      <c r="A231" s="2200" t="s">
        <v>4280</v>
      </c>
      <c r="B231" s="2200" t="s">
        <v>4739</v>
      </c>
      <c r="C231" s="2200" t="s">
        <v>4740</v>
      </c>
      <c r="D231" s="2200" t="str">
        <f t="shared" si="9"/>
        <v>CA</v>
      </c>
      <c r="E231" s="2200" t="str">
        <f t="shared" si="10"/>
        <v>06</v>
      </c>
      <c r="F231" s="2200" t="str">
        <f t="shared" si="11"/>
        <v>081</v>
      </c>
      <c r="G231" s="2200">
        <f>--SUBTOTAL(3,C$2:C231)</f>
        <v>0</v>
      </c>
    </row>
    <row r="232" spans="1:7" hidden="1" x14ac:dyDescent="0.15">
      <c r="A232" s="2200" t="s">
        <v>4280</v>
      </c>
      <c r="B232" s="2200" t="s">
        <v>4741</v>
      </c>
      <c r="C232" s="2200" t="s">
        <v>4742</v>
      </c>
      <c r="D232" s="2200" t="str">
        <f t="shared" si="9"/>
        <v>CA</v>
      </c>
      <c r="E232" s="2200" t="str">
        <f t="shared" si="10"/>
        <v>06</v>
      </c>
      <c r="F232" s="2200" t="str">
        <f t="shared" si="11"/>
        <v>083</v>
      </c>
      <c r="G232" s="2200">
        <f>--SUBTOTAL(3,C$2:C232)</f>
        <v>0</v>
      </c>
    </row>
    <row r="233" spans="1:7" hidden="1" x14ac:dyDescent="0.15">
      <c r="A233" s="2200" t="s">
        <v>4280</v>
      </c>
      <c r="B233" s="2200" t="s">
        <v>4743</v>
      </c>
      <c r="C233" s="2200" t="s">
        <v>4744</v>
      </c>
      <c r="D233" s="2200" t="str">
        <f t="shared" si="9"/>
        <v>CA</v>
      </c>
      <c r="E233" s="2200" t="str">
        <f t="shared" si="10"/>
        <v>06</v>
      </c>
      <c r="F233" s="2200" t="str">
        <f t="shared" si="11"/>
        <v>085</v>
      </c>
      <c r="G233" s="2200">
        <f>--SUBTOTAL(3,C$2:C233)</f>
        <v>0</v>
      </c>
    </row>
    <row r="234" spans="1:7" hidden="1" x14ac:dyDescent="0.15">
      <c r="A234" s="2200" t="s">
        <v>4280</v>
      </c>
      <c r="B234" s="2200" t="s">
        <v>4745</v>
      </c>
      <c r="C234" s="2200" t="s">
        <v>4746</v>
      </c>
      <c r="D234" s="2200" t="str">
        <f t="shared" si="9"/>
        <v>CA</v>
      </c>
      <c r="E234" s="2200" t="str">
        <f t="shared" si="10"/>
        <v>06</v>
      </c>
      <c r="F234" s="2200" t="str">
        <f t="shared" si="11"/>
        <v>087</v>
      </c>
      <c r="G234" s="2200">
        <f>--SUBTOTAL(3,C$2:C234)</f>
        <v>0</v>
      </c>
    </row>
    <row r="235" spans="1:7" hidden="1" x14ac:dyDescent="0.15">
      <c r="A235" s="2200" t="s">
        <v>4280</v>
      </c>
      <c r="B235" s="2200" t="s">
        <v>4747</v>
      </c>
      <c r="C235" s="2200" t="s">
        <v>4748</v>
      </c>
      <c r="D235" s="2200" t="str">
        <f t="shared" si="9"/>
        <v>CA</v>
      </c>
      <c r="E235" s="2200" t="str">
        <f t="shared" si="10"/>
        <v>06</v>
      </c>
      <c r="F235" s="2200" t="str">
        <f t="shared" si="11"/>
        <v>089</v>
      </c>
      <c r="G235" s="2200">
        <f>--SUBTOTAL(3,C$2:C235)</f>
        <v>0</v>
      </c>
    </row>
    <row r="236" spans="1:7" hidden="1" x14ac:dyDescent="0.15">
      <c r="A236" s="2200" t="s">
        <v>4280</v>
      </c>
      <c r="B236" s="2200" t="s">
        <v>4749</v>
      </c>
      <c r="C236" s="2200" t="s">
        <v>4750</v>
      </c>
      <c r="D236" s="2200" t="str">
        <f t="shared" si="9"/>
        <v>CA</v>
      </c>
      <c r="E236" s="2200" t="str">
        <f t="shared" si="10"/>
        <v>06</v>
      </c>
      <c r="F236" s="2200" t="str">
        <f t="shared" si="11"/>
        <v>091</v>
      </c>
      <c r="G236" s="2200">
        <f>--SUBTOTAL(3,C$2:C236)</f>
        <v>0</v>
      </c>
    </row>
    <row r="237" spans="1:7" hidden="1" x14ac:dyDescent="0.15">
      <c r="A237" s="2200" t="s">
        <v>4280</v>
      </c>
      <c r="B237" s="2200" t="s">
        <v>4751</v>
      </c>
      <c r="C237" s="2200" t="s">
        <v>4752</v>
      </c>
      <c r="D237" s="2200" t="str">
        <f t="shared" si="9"/>
        <v>CA</v>
      </c>
      <c r="E237" s="2200" t="str">
        <f t="shared" si="10"/>
        <v>06</v>
      </c>
      <c r="F237" s="2200" t="str">
        <f t="shared" si="11"/>
        <v>093</v>
      </c>
      <c r="G237" s="2200">
        <f>--SUBTOTAL(3,C$2:C237)</f>
        <v>0</v>
      </c>
    </row>
    <row r="238" spans="1:7" hidden="1" x14ac:dyDescent="0.15">
      <c r="A238" s="2200" t="s">
        <v>4280</v>
      </c>
      <c r="B238" s="2200" t="s">
        <v>4753</v>
      </c>
      <c r="C238" s="2200" t="s">
        <v>4754</v>
      </c>
      <c r="D238" s="2200" t="str">
        <f t="shared" si="9"/>
        <v>CA</v>
      </c>
      <c r="E238" s="2200" t="str">
        <f t="shared" si="10"/>
        <v>06</v>
      </c>
      <c r="F238" s="2200" t="str">
        <f t="shared" si="11"/>
        <v>095</v>
      </c>
      <c r="G238" s="2200">
        <f>--SUBTOTAL(3,C$2:C238)</f>
        <v>0</v>
      </c>
    </row>
    <row r="239" spans="1:7" hidden="1" x14ac:dyDescent="0.15">
      <c r="A239" s="2200" t="s">
        <v>4280</v>
      </c>
      <c r="B239" s="2200" t="s">
        <v>4755</v>
      </c>
      <c r="C239" s="2200" t="s">
        <v>4756</v>
      </c>
      <c r="D239" s="2200" t="str">
        <f t="shared" si="9"/>
        <v>CA</v>
      </c>
      <c r="E239" s="2200" t="str">
        <f t="shared" si="10"/>
        <v>06</v>
      </c>
      <c r="F239" s="2200" t="str">
        <f t="shared" si="11"/>
        <v>097</v>
      </c>
      <c r="G239" s="2200">
        <f>--SUBTOTAL(3,C$2:C239)</f>
        <v>0</v>
      </c>
    </row>
    <row r="240" spans="1:7" hidden="1" x14ac:dyDescent="0.15">
      <c r="A240" s="2200" t="s">
        <v>4280</v>
      </c>
      <c r="B240" s="2200" t="s">
        <v>4757</v>
      </c>
      <c r="C240" s="2200" t="s">
        <v>4758</v>
      </c>
      <c r="D240" s="2200" t="str">
        <f t="shared" si="9"/>
        <v>CA</v>
      </c>
      <c r="E240" s="2200" t="str">
        <f t="shared" si="10"/>
        <v>06</v>
      </c>
      <c r="F240" s="2200" t="str">
        <f t="shared" si="11"/>
        <v>099</v>
      </c>
      <c r="G240" s="2200">
        <f>--SUBTOTAL(3,C$2:C240)</f>
        <v>0</v>
      </c>
    </row>
    <row r="241" spans="1:7" hidden="1" x14ac:dyDescent="0.15">
      <c r="A241" s="2200" t="s">
        <v>4280</v>
      </c>
      <c r="B241" s="2200" t="s">
        <v>4759</v>
      </c>
      <c r="C241" s="2200" t="s">
        <v>4760</v>
      </c>
      <c r="D241" s="2200" t="str">
        <f t="shared" si="9"/>
        <v>CA</v>
      </c>
      <c r="E241" s="2200" t="str">
        <f t="shared" si="10"/>
        <v>06</v>
      </c>
      <c r="F241" s="2200" t="str">
        <f t="shared" si="11"/>
        <v>101</v>
      </c>
      <c r="G241" s="2200">
        <f>--SUBTOTAL(3,C$2:C241)</f>
        <v>0</v>
      </c>
    </row>
    <row r="242" spans="1:7" hidden="1" x14ac:dyDescent="0.15">
      <c r="A242" s="2200" t="s">
        <v>4280</v>
      </c>
      <c r="B242" s="2200" t="s">
        <v>4761</v>
      </c>
      <c r="C242" s="2200" t="s">
        <v>4762</v>
      </c>
      <c r="D242" s="2200" t="str">
        <f t="shared" si="9"/>
        <v>CA</v>
      </c>
      <c r="E242" s="2200" t="str">
        <f t="shared" si="10"/>
        <v>06</v>
      </c>
      <c r="F242" s="2200" t="str">
        <f t="shared" si="11"/>
        <v>103</v>
      </c>
      <c r="G242" s="2200">
        <f>--SUBTOTAL(3,C$2:C242)</f>
        <v>0</v>
      </c>
    </row>
    <row r="243" spans="1:7" hidden="1" x14ac:dyDescent="0.15">
      <c r="A243" s="2200" t="s">
        <v>4280</v>
      </c>
      <c r="B243" s="2200" t="s">
        <v>4763</v>
      </c>
      <c r="C243" s="2200" t="s">
        <v>4764</v>
      </c>
      <c r="D243" s="2200" t="str">
        <f t="shared" si="9"/>
        <v>CA</v>
      </c>
      <c r="E243" s="2200" t="str">
        <f t="shared" si="10"/>
        <v>06</v>
      </c>
      <c r="F243" s="2200" t="str">
        <f t="shared" si="11"/>
        <v>105</v>
      </c>
      <c r="G243" s="2200">
        <f>--SUBTOTAL(3,C$2:C243)</f>
        <v>0</v>
      </c>
    </row>
    <row r="244" spans="1:7" hidden="1" x14ac:dyDescent="0.15">
      <c r="A244" s="2200" t="s">
        <v>4280</v>
      </c>
      <c r="B244" s="2200" t="s">
        <v>4765</v>
      </c>
      <c r="C244" s="2200" t="s">
        <v>4766</v>
      </c>
      <c r="D244" s="2200" t="str">
        <f t="shared" si="9"/>
        <v>CA</v>
      </c>
      <c r="E244" s="2200" t="str">
        <f t="shared" si="10"/>
        <v>06</v>
      </c>
      <c r="F244" s="2200" t="str">
        <f t="shared" si="11"/>
        <v>107</v>
      </c>
      <c r="G244" s="2200">
        <f>--SUBTOTAL(3,C$2:C244)</f>
        <v>0</v>
      </c>
    </row>
    <row r="245" spans="1:7" hidden="1" x14ac:dyDescent="0.15">
      <c r="A245" s="2200" t="s">
        <v>4280</v>
      </c>
      <c r="B245" s="2200" t="s">
        <v>4767</v>
      </c>
      <c r="C245" s="2200" t="s">
        <v>4768</v>
      </c>
      <c r="D245" s="2200" t="str">
        <f t="shared" si="9"/>
        <v>CA</v>
      </c>
      <c r="E245" s="2200" t="str">
        <f t="shared" si="10"/>
        <v>06</v>
      </c>
      <c r="F245" s="2200" t="str">
        <f t="shared" si="11"/>
        <v>109</v>
      </c>
      <c r="G245" s="2200">
        <f>--SUBTOTAL(3,C$2:C245)</f>
        <v>0</v>
      </c>
    </row>
    <row r="246" spans="1:7" hidden="1" x14ac:dyDescent="0.15">
      <c r="A246" s="2200" t="s">
        <v>4280</v>
      </c>
      <c r="B246" s="2200" t="s">
        <v>4769</v>
      </c>
      <c r="C246" s="2200" t="s">
        <v>4770</v>
      </c>
      <c r="D246" s="2200" t="str">
        <f t="shared" si="9"/>
        <v>CA</v>
      </c>
      <c r="E246" s="2200" t="str">
        <f t="shared" si="10"/>
        <v>06</v>
      </c>
      <c r="F246" s="2200" t="str">
        <f t="shared" si="11"/>
        <v>111</v>
      </c>
      <c r="G246" s="2200">
        <f>--SUBTOTAL(3,C$2:C246)</f>
        <v>0</v>
      </c>
    </row>
    <row r="247" spans="1:7" hidden="1" x14ac:dyDescent="0.15">
      <c r="A247" s="2200" t="s">
        <v>4280</v>
      </c>
      <c r="B247" s="2200" t="s">
        <v>4771</v>
      </c>
      <c r="C247" s="2200" t="s">
        <v>4772</v>
      </c>
      <c r="D247" s="2200" t="str">
        <f t="shared" si="9"/>
        <v>CA</v>
      </c>
      <c r="E247" s="2200" t="str">
        <f t="shared" si="10"/>
        <v>06</v>
      </c>
      <c r="F247" s="2200" t="str">
        <f t="shared" si="11"/>
        <v>113</v>
      </c>
      <c r="G247" s="2200">
        <f>--SUBTOTAL(3,C$2:C247)</f>
        <v>0</v>
      </c>
    </row>
    <row r="248" spans="1:7" hidden="1" x14ac:dyDescent="0.15">
      <c r="A248" s="2200" t="s">
        <v>4280</v>
      </c>
      <c r="B248" s="2200" t="s">
        <v>4773</v>
      </c>
      <c r="C248" s="2200" t="s">
        <v>4774</v>
      </c>
      <c r="D248" s="2200" t="str">
        <f t="shared" si="9"/>
        <v>CA</v>
      </c>
      <c r="E248" s="2200" t="str">
        <f t="shared" si="10"/>
        <v>06</v>
      </c>
      <c r="F248" s="2200" t="str">
        <f t="shared" si="11"/>
        <v>115</v>
      </c>
      <c r="G248" s="2200">
        <f>--SUBTOTAL(3,C$2:C248)</f>
        <v>0</v>
      </c>
    </row>
    <row r="249" spans="1:7" hidden="1" x14ac:dyDescent="0.15">
      <c r="A249" s="2200" t="s">
        <v>4280</v>
      </c>
      <c r="B249" s="2200" t="s">
        <v>4775</v>
      </c>
      <c r="C249" s="2200" t="s">
        <v>4776</v>
      </c>
      <c r="D249" s="2200" t="str">
        <f t="shared" si="9"/>
        <v>CO</v>
      </c>
      <c r="E249" s="2200" t="str">
        <f t="shared" si="10"/>
        <v>08</v>
      </c>
      <c r="F249" s="2200" t="str">
        <f t="shared" si="11"/>
        <v>001</v>
      </c>
      <c r="G249" s="2200">
        <f>--SUBTOTAL(3,C$2:C249)</f>
        <v>0</v>
      </c>
    </row>
    <row r="250" spans="1:7" hidden="1" x14ac:dyDescent="0.15">
      <c r="A250" s="2200" t="s">
        <v>4280</v>
      </c>
      <c r="B250" s="2200" t="s">
        <v>4777</v>
      </c>
      <c r="C250" s="2200" t="s">
        <v>4778</v>
      </c>
      <c r="D250" s="2200" t="str">
        <f t="shared" si="9"/>
        <v>CO</v>
      </c>
      <c r="E250" s="2200" t="str">
        <f t="shared" si="10"/>
        <v>08</v>
      </c>
      <c r="F250" s="2200" t="str">
        <f t="shared" si="11"/>
        <v>003</v>
      </c>
      <c r="G250" s="2200">
        <f>--SUBTOTAL(3,C$2:C250)</f>
        <v>0</v>
      </c>
    </row>
    <row r="251" spans="1:7" hidden="1" x14ac:dyDescent="0.15">
      <c r="A251" s="2200" t="s">
        <v>4280</v>
      </c>
      <c r="B251" s="2200" t="s">
        <v>4779</v>
      </c>
      <c r="C251" s="2200" t="s">
        <v>4780</v>
      </c>
      <c r="D251" s="2200" t="str">
        <f t="shared" si="9"/>
        <v>CO</v>
      </c>
      <c r="E251" s="2200" t="str">
        <f t="shared" si="10"/>
        <v>08</v>
      </c>
      <c r="F251" s="2200" t="str">
        <f t="shared" si="11"/>
        <v>005</v>
      </c>
      <c r="G251" s="2200">
        <f>--SUBTOTAL(3,C$2:C251)</f>
        <v>0</v>
      </c>
    </row>
    <row r="252" spans="1:7" hidden="1" x14ac:dyDescent="0.15">
      <c r="A252" s="2200" t="s">
        <v>4280</v>
      </c>
      <c r="B252" s="2200" t="s">
        <v>4781</v>
      </c>
      <c r="C252" s="2200" t="s">
        <v>4782</v>
      </c>
      <c r="D252" s="2200" t="str">
        <f t="shared" si="9"/>
        <v>CO</v>
      </c>
      <c r="E252" s="2200" t="str">
        <f t="shared" si="10"/>
        <v>08</v>
      </c>
      <c r="F252" s="2200" t="str">
        <f t="shared" si="11"/>
        <v>007</v>
      </c>
      <c r="G252" s="2200">
        <f>--SUBTOTAL(3,C$2:C252)</f>
        <v>0</v>
      </c>
    </row>
    <row r="253" spans="1:7" hidden="1" x14ac:dyDescent="0.15">
      <c r="A253" s="2200" t="s">
        <v>4280</v>
      </c>
      <c r="B253" s="2200" t="s">
        <v>4783</v>
      </c>
      <c r="C253" s="2200" t="s">
        <v>4784</v>
      </c>
      <c r="D253" s="2200" t="str">
        <f t="shared" si="9"/>
        <v>CO</v>
      </c>
      <c r="E253" s="2200" t="str">
        <f t="shared" si="10"/>
        <v>08</v>
      </c>
      <c r="F253" s="2200" t="str">
        <f t="shared" si="11"/>
        <v>009</v>
      </c>
      <c r="G253" s="2200">
        <f>--SUBTOTAL(3,C$2:C253)</f>
        <v>0</v>
      </c>
    </row>
    <row r="254" spans="1:7" hidden="1" x14ac:dyDescent="0.15">
      <c r="A254" s="2200" t="s">
        <v>4280</v>
      </c>
      <c r="B254" s="2200" t="s">
        <v>4785</v>
      </c>
      <c r="C254" s="2200" t="s">
        <v>4786</v>
      </c>
      <c r="D254" s="2200" t="str">
        <f t="shared" si="9"/>
        <v>CO</v>
      </c>
      <c r="E254" s="2200" t="str">
        <f t="shared" si="10"/>
        <v>08</v>
      </c>
      <c r="F254" s="2200" t="str">
        <f t="shared" si="11"/>
        <v>011</v>
      </c>
      <c r="G254" s="2200">
        <f>--SUBTOTAL(3,C$2:C254)</f>
        <v>0</v>
      </c>
    </row>
    <row r="255" spans="1:7" hidden="1" x14ac:dyDescent="0.15">
      <c r="A255" s="2200" t="s">
        <v>4280</v>
      </c>
      <c r="B255" s="2200" t="s">
        <v>4787</v>
      </c>
      <c r="C255" s="2200" t="s">
        <v>4788</v>
      </c>
      <c r="D255" s="2200" t="str">
        <f t="shared" si="9"/>
        <v>CO</v>
      </c>
      <c r="E255" s="2200" t="str">
        <f t="shared" si="10"/>
        <v>08</v>
      </c>
      <c r="F255" s="2200" t="str">
        <f t="shared" si="11"/>
        <v>013</v>
      </c>
      <c r="G255" s="2200">
        <f>--SUBTOTAL(3,C$2:C255)</f>
        <v>0</v>
      </c>
    </row>
    <row r="256" spans="1:7" hidden="1" x14ac:dyDescent="0.15">
      <c r="A256" s="2200" t="s">
        <v>4280</v>
      </c>
      <c r="B256" s="2200" t="s">
        <v>4789</v>
      </c>
      <c r="C256" s="2200" t="s">
        <v>4790</v>
      </c>
      <c r="D256" s="2200" t="str">
        <f t="shared" si="9"/>
        <v>CO</v>
      </c>
      <c r="E256" s="2200" t="str">
        <f t="shared" si="10"/>
        <v>08</v>
      </c>
      <c r="F256" s="2200" t="str">
        <f t="shared" si="11"/>
        <v>014</v>
      </c>
      <c r="G256" s="2200">
        <f>--SUBTOTAL(3,C$2:C256)</f>
        <v>0</v>
      </c>
    </row>
    <row r="257" spans="1:7" hidden="1" x14ac:dyDescent="0.15">
      <c r="A257" s="2200" t="s">
        <v>4280</v>
      </c>
      <c r="B257" s="2200" t="s">
        <v>4791</v>
      </c>
      <c r="C257" s="2200" t="s">
        <v>4792</v>
      </c>
      <c r="D257" s="2200" t="str">
        <f t="shared" si="9"/>
        <v>CO</v>
      </c>
      <c r="E257" s="2200" t="str">
        <f t="shared" si="10"/>
        <v>08</v>
      </c>
      <c r="F257" s="2200" t="str">
        <f t="shared" si="11"/>
        <v>015</v>
      </c>
      <c r="G257" s="2200">
        <f>--SUBTOTAL(3,C$2:C257)</f>
        <v>0</v>
      </c>
    </row>
    <row r="258" spans="1:7" hidden="1" x14ac:dyDescent="0.15">
      <c r="A258" s="2200" t="s">
        <v>4280</v>
      </c>
      <c r="B258" s="2200" t="s">
        <v>4793</v>
      </c>
      <c r="C258" s="2200" t="s">
        <v>4794</v>
      </c>
      <c r="D258" s="2200" t="str">
        <f t="shared" si="9"/>
        <v>CO</v>
      </c>
      <c r="E258" s="2200" t="str">
        <f t="shared" si="10"/>
        <v>08</v>
      </c>
      <c r="F258" s="2200" t="str">
        <f t="shared" si="11"/>
        <v>017</v>
      </c>
      <c r="G258" s="2200">
        <f>--SUBTOTAL(3,C$2:C258)</f>
        <v>0</v>
      </c>
    </row>
    <row r="259" spans="1:7" hidden="1" x14ac:dyDescent="0.15">
      <c r="A259" s="2200" t="s">
        <v>4280</v>
      </c>
      <c r="B259" s="2200" t="s">
        <v>4795</v>
      </c>
      <c r="C259" s="2200" t="s">
        <v>4796</v>
      </c>
      <c r="D259" s="2200" t="str">
        <f t="shared" ref="D259:D322" si="12">RIGHT(C259,2)</f>
        <v>CO</v>
      </c>
      <c r="E259" s="2200" t="str">
        <f t="shared" ref="E259:E322" si="13">MID(B259,3,2)</f>
        <v>08</v>
      </c>
      <c r="F259" s="2200" t="str">
        <f t="shared" ref="F259:F322" si="14">MID(B259,5,3)</f>
        <v>019</v>
      </c>
      <c r="G259" s="2200">
        <f>--SUBTOTAL(3,C$2:C259)</f>
        <v>0</v>
      </c>
    </row>
    <row r="260" spans="1:7" hidden="1" x14ac:dyDescent="0.15">
      <c r="A260" s="2200" t="s">
        <v>4280</v>
      </c>
      <c r="B260" s="2200" t="s">
        <v>4797</v>
      </c>
      <c r="C260" s="2200" t="s">
        <v>4798</v>
      </c>
      <c r="D260" s="2200" t="str">
        <f t="shared" si="12"/>
        <v>CO</v>
      </c>
      <c r="E260" s="2200" t="str">
        <f t="shared" si="13"/>
        <v>08</v>
      </c>
      <c r="F260" s="2200" t="str">
        <f t="shared" si="14"/>
        <v>021</v>
      </c>
      <c r="G260" s="2200">
        <f>--SUBTOTAL(3,C$2:C260)</f>
        <v>0</v>
      </c>
    </row>
    <row r="261" spans="1:7" hidden="1" x14ac:dyDescent="0.15">
      <c r="A261" s="2200" t="s">
        <v>4280</v>
      </c>
      <c r="B261" s="2200" t="s">
        <v>4799</v>
      </c>
      <c r="C261" s="2200" t="s">
        <v>4800</v>
      </c>
      <c r="D261" s="2200" t="str">
        <f t="shared" si="12"/>
        <v>CO</v>
      </c>
      <c r="E261" s="2200" t="str">
        <f t="shared" si="13"/>
        <v>08</v>
      </c>
      <c r="F261" s="2200" t="str">
        <f t="shared" si="14"/>
        <v>023</v>
      </c>
      <c r="G261" s="2200">
        <f>--SUBTOTAL(3,C$2:C261)</f>
        <v>0</v>
      </c>
    </row>
    <row r="262" spans="1:7" hidden="1" x14ac:dyDescent="0.15">
      <c r="A262" s="2200" t="s">
        <v>4280</v>
      </c>
      <c r="B262" s="2200" t="s">
        <v>4801</v>
      </c>
      <c r="C262" s="2200" t="s">
        <v>4802</v>
      </c>
      <c r="D262" s="2200" t="str">
        <f t="shared" si="12"/>
        <v>CO</v>
      </c>
      <c r="E262" s="2200" t="str">
        <f t="shared" si="13"/>
        <v>08</v>
      </c>
      <c r="F262" s="2200" t="str">
        <f t="shared" si="14"/>
        <v>025</v>
      </c>
      <c r="G262" s="2200">
        <f>--SUBTOTAL(3,C$2:C262)</f>
        <v>0</v>
      </c>
    </row>
    <row r="263" spans="1:7" hidden="1" x14ac:dyDescent="0.15">
      <c r="A263" s="2200" t="s">
        <v>4280</v>
      </c>
      <c r="B263" s="2200" t="s">
        <v>4803</v>
      </c>
      <c r="C263" s="2200" t="s">
        <v>4804</v>
      </c>
      <c r="D263" s="2200" t="str">
        <f t="shared" si="12"/>
        <v>CO</v>
      </c>
      <c r="E263" s="2200" t="str">
        <f t="shared" si="13"/>
        <v>08</v>
      </c>
      <c r="F263" s="2200" t="str">
        <f t="shared" si="14"/>
        <v>027</v>
      </c>
      <c r="G263" s="2200">
        <f>--SUBTOTAL(3,C$2:C263)</f>
        <v>0</v>
      </c>
    </row>
    <row r="264" spans="1:7" hidden="1" x14ac:dyDescent="0.15">
      <c r="A264" s="2200" t="s">
        <v>4280</v>
      </c>
      <c r="B264" s="2200" t="s">
        <v>4805</v>
      </c>
      <c r="C264" s="2200" t="s">
        <v>4806</v>
      </c>
      <c r="D264" s="2200" t="str">
        <f t="shared" si="12"/>
        <v>CO</v>
      </c>
      <c r="E264" s="2200" t="str">
        <f t="shared" si="13"/>
        <v>08</v>
      </c>
      <c r="F264" s="2200" t="str">
        <f t="shared" si="14"/>
        <v>029</v>
      </c>
      <c r="G264" s="2200">
        <f>--SUBTOTAL(3,C$2:C264)</f>
        <v>0</v>
      </c>
    </row>
    <row r="265" spans="1:7" hidden="1" x14ac:dyDescent="0.15">
      <c r="A265" s="2200" t="s">
        <v>4280</v>
      </c>
      <c r="B265" s="2200" t="s">
        <v>4807</v>
      </c>
      <c r="C265" s="2200" t="s">
        <v>4808</v>
      </c>
      <c r="D265" s="2200" t="str">
        <f t="shared" si="12"/>
        <v>CO</v>
      </c>
      <c r="E265" s="2200" t="str">
        <f t="shared" si="13"/>
        <v>08</v>
      </c>
      <c r="F265" s="2200" t="str">
        <f t="shared" si="14"/>
        <v>031</v>
      </c>
      <c r="G265" s="2200">
        <f>--SUBTOTAL(3,C$2:C265)</f>
        <v>0</v>
      </c>
    </row>
    <row r="266" spans="1:7" hidden="1" x14ac:dyDescent="0.15">
      <c r="A266" s="2200" t="s">
        <v>4280</v>
      </c>
      <c r="B266" s="2200" t="s">
        <v>4809</v>
      </c>
      <c r="C266" s="2200" t="s">
        <v>4810</v>
      </c>
      <c r="D266" s="2200" t="str">
        <f t="shared" si="12"/>
        <v>CO</v>
      </c>
      <c r="E266" s="2200" t="str">
        <f t="shared" si="13"/>
        <v>08</v>
      </c>
      <c r="F266" s="2200" t="str">
        <f t="shared" si="14"/>
        <v>033</v>
      </c>
      <c r="G266" s="2200">
        <f>--SUBTOTAL(3,C$2:C266)</f>
        <v>0</v>
      </c>
    </row>
    <row r="267" spans="1:7" hidden="1" x14ac:dyDescent="0.15">
      <c r="A267" s="2200" t="s">
        <v>4280</v>
      </c>
      <c r="B267" s="2200" t="s">
        <v>4811</v>
      </c>
      <c r="C267" s="2200" t="s">
        <v>4812</v>
      </c>
      <c r="D267" s="2200" t="str">
        <f t="shared" si="12"/>
        <v>CO</v>
      </c>
      <c r="E267" s="2200" t="str">
        <f t="shared" si="13"/>
        <v>08</v>
      </c>
      <c r="F267" s="2200" t="str">
        <f t="shared" si="14"/>
        <v>035</v>
      </c>
      <c r="G267" s="2200">
        <f>--SUBTOTAL(3,C$2:C267)</f>
        <v>0</v>
      </c>
    </row>
    <row r="268" spans="1:7" hidden="1" x14ac:dyDescent="0.15">
      <c r="A268" s="2200" t="s">
        <v>4280</v>
      </c>
      <c r="B268" s="2200" t="s">
        <v>4813</v>
      </c>
      <c r="C268" s="2200" t="s">
        <v>4814</v>
      </c>
      <c r="D268" s="2200" t="str">
        <f t="shared" si="12"/>
        <v>CO</v>
      </c>
      <c r="E268" s="2200" t="str">
        <f t="shared" si="13"/>
        <v>08</v>
      </c>
      <c r="F268" s="2200" t="str">
        <f t="shared" si="14"/>
        <v>037</v>
      </c>
      <c r="G268" s="2200">
        <f>--SUBTOTAL(3,C$2:C268)</f>
        <v>0</v>
      </c>
    </row>
    <row r="269" spans="1:7" hidden="1" x14ac:dyDescent="0.15">
      <c r="A269" s="2200" t="s">
        <v>4280</v>
      </c>
      <c r="B269" s="2200" t="s">
        <v>4815</v>
      </c>
      <c r="C269" s="2200" t="s">
        <v>4816</v>
      </c>
      <c r="D269" s="2200" t="str">
        <f t="shared" si="12"/>
        <v>CO</v>
      </c>
      <c r="E269" s="2200" t="str">
        <f t="shared" si="13"/>
        <v>08</v>
      </c>
      <c r="F269" s="2200" t="str">
        <f t="shared" si="14"/>
        <v>039</v>
      </c>
      <c r="G269" s="2200">
        <f>--SUBTOTAL(3,C$2:C269)</f>
        <v>0</v>
      </c>
    </row>
    <row r="270" spans="1:7" hidden="1" x14ac:dyDescent="0.15">
      <c r="A270" s="2200" t="s">
        <v>4280</v>
      </c>
      <c r="B270" s="2200" t="s">
        <v>4817</v>
      </c>
      <c r="C270" s="2200" t="s">
        <v>4818</v>
      </c>
      <c r="D270" s="2200" t="str">
        <f t="shared" si="12"/>
        <v>CO</v>
      </c>
      <c r="E270" s="2200" t="str">
        <f t="shared" si="13"/>
        <v>08</v>
      </c>
      <c r="F270" s="2200" t="str">
        <f t="shared" si="14"/>
        <v>041</v>
      </c>
      <c r="G270" s="2200">
        <f>--SUBTOTAL(3,C$2:C270)</f>
        <v>0</v>
      </c>
    </row>
    <row r="271" spans="1:7" hidden="1" x14ac:dyDescent="0.15">
      <c r="A271" s="2200" t="s">
        <v>4280</v>
      </c>
      <c r="B271" s="2200" t="s">
        <v>4819</v>
      </c>
      <c r="C271" s="2200" t="s">
        <v>4820</v>
      </c>
      <c r="D271" s="2200" t="str">
        <f t="shared" si="12"/>
        <v>CO</v>
      </c>
      <c r="E271" s="2200" t="str">
        <f t="shared" si="13"/>
        <v>08</v>
      </c>
      <c r="F271" s="2200" t="str">
        <f t="shared" si="14"/>
        <v>043</v>
      </c>
      <c r="G271" s="2200">
        <f>--SUBTOTAL(3,C$2:C271)</f>
        <v>0</v>
      </c>
    </row>
    <row r="272" spans="1:7" hidden="1" x14ac:dyDescent="0.15">
      <c r="A272" s="2200" t="s">
        <v>4280</v>
      </c>
      <c r="B272" s="2200" t="s">
        <v>4821</v>
      </c>
      <c r="C272" s="2200" t="s">
        <v>4822</v>
      </c>
      <c r="D272" s="2200" t="str">
        <f t="shared" si="12"/>
        <v>CO</v>
      </c>
      <c r="E272" s="2200" t="str">
        <f t="shared" si="13"/>
        <v>08</v>
      </c>
      <c r="F272" s="2200" t="str">
        <f t="shared" si="14"/>
        <v>045</v>
      </c>
      <c r="G272" s="2200">
        <f>--SUBTOTAL(3,C$2:C272)</f>
        <v>0</v>
      </c>
    </row>
    <row r="273" spans="1:7" hidden="1" x14ac:dyDescent="0.15">
      <c r="A273" s="2200" t="s">
        <v>4280</v>
      </c>
      <c r="B273" s="2200" t="s">
        <v>4823</v>
      </c>
      <c r="C273" s="2200" t="s">
        <v>4824</v>
      </c>
      <c r="D273" s="2200" t="str">
        <f t="shared" si="12"/>
        <v>CO</v>
      </c>
      <c r="E273" s="2200" t="str">
        <f t="shared" si="13"/>
        <v>08</v>
      </c>
      <c r="F273" s="2200" t="str">
        <f t="shared" si="14"/>
        <v>047</v>
      </c>
      <c r="G273" s="2200">
        <f>--SUBTOTAL(3,C$2:C273)</f>
        <v>0</v>
      </c>
    </row>
    <row r="274" spans="1:7" hidden="1" x14ac:dyDescent="0.15">
      <c r="A274" s="2200" t="s">
        <v>4280</v>
      </c>
      <c r="B274" s="2200" t="s">
        <v>4825</v>
      </c>
      <c r="C274" s="2200" t="s">
        <v>4826</v>
      </c>
      <c r="D274" s="2200" t="str">
        <f t="shared" si="12"/>
        <v>CO</v>
      </c>
      <c r="E274" s="2200" t="str">
        <f t="shared" si="13"/>
        <v>08</v>
      </c>
      <c r="F274" s="2200" t="str">
        <f t="shared" si="14"/>
        <v>049</v>
      </c>
      <c r="G274" s="2200">
        <f>--SUBTOTAL(3,C$2:C274)</f>
        <v>0</v>
      </c>
    </row>
    <row r="275" spans="1:7" hidden="1" x14ac:dyDescent="0.15">
      <c r="A275" s="2200" t="s">
        <v>4280</v>
      </c>
      <c r="B275" s="2200" t="s">
        <v>4827</v>
      </c>
      <c r="C275" s="2200" t="s">
        <v>4828</v>
      </c>
      <c r="D275" s="2200" t="str">
        <f t="shared" si="12"/>
        <v>CO</v>
      </c>
      <c r="E275" s="2200" t="str">
        <f t="shared" si="13"/>
        <v>08</v>
      </c>
      <c r="F275" s="2200" t="str">
        <f t="shared" si="14"/>
        <v>051</v>
      </c>
      <c r="G275" s="2200">
        <f>--SUBTOTAL(3,C$2:C275)</f>
        <v>0</v>
      </c>
    </row>
    <row r="276" spans="1:7" hidden="1" x14ac:dyDescent="0.15">
      <c r="A276" s="2200" t="s">
        <v>4280</v>
      </c>
      <c r="B276" s="2200" t="s">
        <v>4829</v>
      </c>
      <c r="C276" s="2200" t="s">
        <v>4830</v>
      </c>
      <c r="D276" s="2200" t="str">
        <f t="shared" si="12"/>
        <v>CO</v>
      </c>
      <c r="E276" s="2200" t="str">
        <f t="shared" si="13"/>
        <v>08</v>
      </c>
      <c r="F276" s="2200" t="str">
        <f t="shared" si="14"/>
        <v>053</v>
      </c>
      <c r="G276" s="2200">
        <f>--SUBTOTAL(3,C$2:C276)</f>
        <v>0</v>
      </c>
    </row>
    <row r="277" spans="1:7" hidden="1" x14ac:dyDescent="0.15">
      <c r="A277" s="2200" t="s">
        <v>4280</v>
      </c>
      <c r="B277" s="2200" t="s">
        <v>4831</v>
      </c>
      <c r="C277" s="2200" t="s">
        <v>4832</v>
      </c>
      <c r="D277" s="2200" t="str">
        <f t="shared" si="12"/>
        <v>CO</v>
      </c>
      <c r="E277" s="2200" t="str">
        <f t="shared" si="13"/>
        <v>08</v>
      </c>
      <c r="F277" s="2200" t="str">
        <f t="shared" si="14"/>
        <v>055</v>
      </c>
      <c r="G277" s="2200">
        <f>--SUBTOTAL(3,C$2:C277)</f>
        <v>0</v>
      </c>
    </row>
    <row r="278" spans="1:7" hidden="1" x14ac:dyDescent="0.15">
      <c r="A278" s="2200" t="s">
        <v>4280</v>
      </c>
      <c r="B278" s="2200" t="s">
        <v>4833</v>
      </c>
      <c r="C278" s="2200" t="s">
        <v>4834</v>
      </c>
      <c r="D278" s="2200" t="str">
        <f t="shared" si="12"/>
        <v>CO</v>
      </c>
      <c r="E278" s="2200" t="str">
        <f t="shared" si="13"/>
        <v>08</v>
      </c>
      <c r="F278" s="2200" t="str">
        <f t="shared" si="14"/>
        <v>057</v>
      </c>
      <c r="G278" s="2200">
        <f>--SUBTOTAL(3,C$2:C278)</f>
        <v>0</v>
      </c>
    </row>
    <row r="279" spans="1:7" hidden="1" x14ac:dyDescent="0.15">
      <c r="A279" s="2200" t="s">
        <v>4280</v>
      </c>
      <c r="B279" s="2200" t="s">
        <v>4835</v>
      </c>
      <c r="C279" s="2200" t="s">
        <v>4836</v>
      </c>
      <c r="D279" s="2200" t="str">
        <f t="shared" si="12"/>
        <v>CO</v>
      </c>
      <c r="E279" s="2200" t="str">
        <f t="shared" si="13"/>
        <v>08</v>
      </c>
      <c r="F279" s="2200" t="str">
        <f t="shared" si="14"/>
        <v>059</v>
      </c>
      <c r="G279" s="2200">
        <f>--SUBTOTAL(3,C$2:C279)</f>
        <v>0</v>
      </c>
    </row>
    <row r="280" spans="1:7" hidden="1" x14ac:dyDescent="0.15">
      <c r="A280" s="2200" t="s">
        <v>4280</v>
      </c>
      <c r="B280" s="2200" t="s">
        <v>4837</v>
      </c>
      <c r="C280" s="2200" t="s">
        <v>4838</v>
      </c>
      <c r="D280" s="2200" t="str">
        <f t="shared" si="12"/>
        <v>CO</v>
      </c>
      <c r="E280" s="2200" t="str">
        <f t="shared" si="13"/>
        <v>08</v>
      </c>
      <c r="F280" s="2200" t="str">
        <f t="shared" si="14"/>
        <v>061</v>
      </c>
      <c r="G280" s="2200">
        <f>--SUBTOTAL(3,C$2:C280)</f>
        <v>0</v>
      </c>
    </row>
    <row r="281" spans="1:7" hidden="1" x14ac:dyDescent="0.15">
      <c r="A281" s="2200" t="s">
        <v>4280</v>
      </c>
      <c r="B281" s="2200" t="s">
        <v>4839</v>
      </c>
      <c r="C281" s="2200" t="s">
        <v>4840</v>
      </c>
      <c r="D281" s="2200" t="str">
        <f t="shared" si="12"/>
        <v>CO</v>
      </c>
      <c r="E281" s="2200" t="str">
        <f t="shared" si="13"/>
        <v>08</v>
      </c>
      <c r="F281" s="2200" t="str">
        <f t="shared" si="14"/>
        <v>063</v>
      </c>
      <c r="G281" s="2200">
        <f>--SUBTOTAL(3,C$2:C281)</f>
        <v>0</v>
      </c>
    </row>
    <row r="282" spans="1:7" hidden="1" x14ac:dyDescent="0.15">
      <c r="A282" s="2200" t="s">
        <v>4280</v>
      </c>
      <c r="B282" s="2200" t="s">
        <v>4841</v>
      </c>
      <c r="C282" s="2200" t="s">
        <v>4842</v>
      </c>
      <c r="D282" s="2200" t="str">
        <f t="shared" si="12"/>
        <v>CO</v>
      </c>
      <c r="E282" s="2200" t="str">
        <f t="shared" si="13"/>
        <v>08</v>
      </c>
      <c r="F282" s="2200" t="str">
        <f t="shared" si="14"/>
        <v>065</v>
      </c>
      <c r="G282" s="2200">
        <f>--SUBTOTAL(3,C$2:C282)</f>
        <v>0</v>
      </c>
    </row>
    <row r="283" spans="1:7" hidden="1" x14ac:dyDescent="0.15">
      <c r="A283" s="2200" t="s">
        <v>4280</v>
      </c>
      <c r="B283" s="2200" t="s">
        <v>4843</v>
      </c>
      <c r="C283" s="2200" t="s">
        <v>4844</v>
      </c>
      <c r="D283" s="2200" t="str">
        <f t="shared" si="12"/>
        <v>CO</v>
      </c>
      <c r="E283" s="2200" t="str">
        <f t="shared" si="13"/>
        <v>08</v>
      </c>
      <c r="F283" s="2200" t="str">
        <f t="shared" si="14"/>
        <v>067</v>
      </c>
      <c r="G283" s="2200">
        <f>--SUBTOTAL(3,C$2:C283)</f>
        <v>0</v>
      </c>
    </row>
    <row r="284" spans="1:7" hidden="1" x14ac:dyDescent="0.15">
      <c r="A284" s="2200" t="s">
        <v>4280</v>
      </c>
      <c r="B284" s="2200" t="s">
        <v>4845</v>
      </c>
      <c r="C284" s="2200" t="s">
        <v>4846</v>
      </c>
      <c r="D284" s="2200" t="str">
        <f t="shared" si="12"/>
        <v>CO</v>
      </c>
      <c r="E284" s="2200" t="str">
        <f t="shared" si="13"/>
        <v>08</v>
      </c>
      <c r="F284" s="2200" t="str">
        <f t="shared" si="14"/>
        <v>069</v>
      </c>
      <c r="G284" s="2200">
        <f>--SUBTOTAL(3,C$2:C284)</f>
        <v>0</v>
      </c>
    </row>
    <row r="285" spans="1:7" hidden="1" x14ac:dyDescent="0.15">
      <c r="A285" s="2200" t="s">
        <v>4280</v>
      </c>
      <c r="B285" s="2200" t="s">
        <v>4847</v>
      </c>
      <c r="C285" s="2200" t="s">
        <v>4848</v>
      </c>
      <c r="D285" s="2200" t="str">
        <f t="shared" si="12"/>
        <v>CO</v>
      </c>
      <c r="E285" s="2200" t="str">
        <f t="shared" si="13"/>
        <v>08</v>
      </c>
      <c r="F285" s="2200" t="str">
        <f t="shared" si="14"/>
        <v>071</v>
      </c>
      <c r="G285" s="2200">
        <f>--SUBTOTAL(3,C$2:C285)</f>
        <v>0</v>
      </c>
    </row>
    <row r="286" spans="1:7" hidden="1" x14ac:dyDescent="0.15">
      <c r="A286" s="2200" t="s">
        <v>4280</v>
      </c>
      <c r="B286" s="2200" t="s">
        <v>4849</v>
      </c>
      <c r="C286" s="2200" t="s">
        <v>4850</v>
      </c>
      <c r="D286" s="2200" t="str">
        <f t="shared" si="12"/>
        <v>CO</v>
      </c>
      <c r="E286" s="2200" t="str">
        <f t="shared" si="13"/>
        <v>08</v>
      </c>
      <c r="F286" s="2200" t="str">
        <f t="shared" si="14"/>
        <v>073</v>
      </c>
      <c r="G286" s="2200">
        <f>--SUBTOTAL(3,C$2:C286)</f>
        <v>0</v>
      </c>
    </row>
    <row r="287" spans="1:7" hidden="1" x14ac:dyDescent="0.15">
      <c r="A287" s="2200" t="s">
        <v>4280</v>
      </c>
      <c r="B287" s="2200" t="s">
        <v>4851</v>
      </c>
      <c r="C287" s="2200" t="s">
        <v>4852</v>
      </c>
      <c r="D287" s="2200" t="str">
        <f t="shared" si="12"/>
        <v>CO</v>
      </c>
      <c r="E287" s="2200" t="str">
        <f t="shared" si="13"/>
        <v>08</v>
      </c>
      <c r="F287" s="2200" t="str">
        <f t="shared" si="14"/>
        <v>075</v>
      </c>
      <c r="G287" s="2200">
        <f>--SUBTOTAL(3,C$2:C287)</f>
        <v>0</v>
      </c>
    </row>
    <row r="288" spans="1:7" hidden="1" x14ac:dyDescent="0.15">
      <c r="A288" s="2200" t="s">
        <v>4280</v>
      </c>
      <c r="B288" s="2200" t="s">
        <v>4853</v>
      </c>
      <c r="C288" s="2200" t="s">
        <v>4854</v>
      </c>
      <c r="D288" s="2200" t="str">
        <f t="shared" si="12"/>
        <v>CO</v>
      </c>
      <c r="E288" s="2200" t="str">
        <f t="shared" si="13"/>
        <v>08</v>
      </c>
      <c r="F288" s="2200" t="str">
        <f t="shared" si="14"/>
        <v>077</v>
      </c>
      <c r="G288" s="2200">
        <f>--SUBTOTAL(3,C$2:C288)</f>
        <v>0</v>
      </c>
    </row>
    <row r="289" spans="1:7" hidden="1" x14ac:dyDescent="0.15">
      <c r="A289" s="2200" t="s">
        <v>4280</v>
      </c>
      <c r="B289" s="2200" t="s">
        <v>4855</v>
      </c>
      <c r="C289" s="2200" t="s">
        <v>4856</v>
      </c>
      <c r="D289" s="2200" t="str">
        <f t="shared" si="12"/>
        <v>CO</v>
      </c>
      <c r="E289" s="2200" t="str">
        <f t="shared" si="13"/>
        <v>08</v>
      </c>
      <c r="F289" s="2200" t="str">
        <f t="shared" si="14"/>
        <v>079</v>
      </c>
      <c r="G289" s="2200">
        <f>--SUBTOTAL(3,C$2:C289)</f>
        <v>0</v>
      </c>
    </row>
    <row r="290" spans="1:7" hidden="1" x14ac:dyDescent="0.15">
      <c r="A290" s="2200" t="s">
        <v>4280</v>
      </c>
      <c r="B290" s="2200" t="s">
        <v>4857</v>
      </c>
      <c r="C290" s="2200" t="s">
        <v>4858</v>
      </c>
      <c r="D290" s="2200" t="str">
        <f t="shared" si="12"/>
        <v>CO</v>
      </c>
      <c r="E290" s="2200" t="str">
        <f t="shared" si="13"/>
        <v>08</v>
      </c>
      <c r="F290" s="2200" t="str">
        <f t="shared" si="14"/>
        <v>081</v>
      </c>
      <c r="G290" s="2200">
        <f>--SUBTOTAL(3,C$2:C290)</f>
        <v>0</v>
      </c>
    </row>
    <row r="291" spans="1:7" hidden="1" x14ac:dyDescent="0.15">
      <c r="A291" s="2200" t="s">
        <v>4280</v>
      </c>
      <c r="B291" s="2200" t="s">
        <v>4859</v>
      </c>
      <c r="C291" s="2200" t="s">
        <v>4860</v>
      </c>
      <c r="D291" s="2200" t="str">
        <f t="shared" si="12"/>
        <v>CO</v>
      </c>
      <c r="E291" s="2200" t="str">
        <f t="shared" si="13"/>
        <v>08</v>
      </c>
      <c r="F291" s="2200" t="str">
        <f t="shared" si="14"/>
        <v>083</v>
      </c>
      <c r="G291" s="2200">
        <f>--SUBTOTAL(3,C$2:C291)</f>
        <v>0</v>
      </c>
    </row>
    <row r="292" spans="1:7" hidden="1" x14ac:dyDescent="0.15">
      <c r="A292" s="2200" t="s">
        <v>4280</v>
      </c>
      <c r="B292" s="2200" t="s">
        <v>4861</v>
      </c>
      <c r="C292" s="2200" t="s">
        <v>4862</v>
      </c>
      <c r="D292" s="2200" t="str">
        <f t="shared" si="12"/>
        <v>CO</v>
      </c>
      <c r="E292" s="2200" t="str">
        <f t="shared" si="13"/>
        <v>08</v>
      </c>
      <c r="F292" s="2200" t="str">
        <f t="shared" si="14"/>
        <v>085</v>
      </c>
      <c r="G292" s="2200">
        <f>--SUBTOTAL(3,C$2:C292)</f>
        <v>0</v>
      </c>
    </row>
    <row r="293" spans="1:7" hidden="1" x14ac:dyDescent="0.15">
      <c r="A293" s="2200" t="s">
        <v>4280</v>
      </c>
      <c r="B293" s="2200" t="s">
        <v>4863</v>
      </c>
      <c r="C293" s="2200" t="s">
        <v>4864</v>
      </c>
      <c r="D293" s="2200" t="str">
        <f t="shared" si="12"/>
        <v>CO</v>
      </c>
      <c r="E293" s="2200" t="str">
        <f t="shared" si="13"/>
        <v>08</v>
      </c>
      <c r="F293" s="2200" t="str">
        <f t="shared" si="14"/>
        <v>087</v>
      </c>
      <c r="G293" s="2200">
        <f>--SUBTOTAL(3,C$2:C293)</f>
        <v>0</v>
      </c>
    </row>
    <row r="294" spans="1:7" hidden="1" x14ac:dyDescent="0.15">
      <c r="A294" s="2200" t="s">
        <v>4280</v>
      </c>
      <c r="B294" s="2200" t="s">
        <v>4865</v>
      </c>
      <c r="C294" s="2200" t="s">
        <v>4866</v>
      </c>
      <c r="D294" s="2200" t="str">
        <f t="shared" si="12"/>
        <v>CO</v>
      </c>
      <c r="E294" s="2200" t="str">
        <f t="shared" si="13"/>
        <v>08</v>
      </c>
      <c r="F294" s="2200" t="str">
        <f t="shared" si="14"/>
        <v>089</v>
      </c>
      <c r="G294" s="2200">
        <f>--SUBTOTAL(3,C$2:C294)</f>
        <v>0</v>
      </c>
    </row>
    <row r="295" spans="1:7" hidden="1" x14ac:dyDescent="0.15">
      <c r="A295" s="2200" t="s">
        <v>4280</v>
      </c>
      <c r="B295" s="2200" t="s">
        <v>4867</v>
      </c>
      <c r="C295" s="2200" t="s">
        <v>4868</v>
      </c>
      <c r="D295" s="2200" t="str">
        <f t="shared" si="12"/>
        <v>CO</v>
      </c>
      <c r="E295" s="2200" t="str">
        <f t="shared" si="13"/>
        <v>08</v>
      </c>
      <c r="F295" s="2200" t="str">
        <f t="shared" si="14"/>
        <v>091</v>
      </c>
      <c r="G295" s="2200">
        <f>--SUBTOTAL(3,C$2:C295)</f>
        <v>0</v>
      </c>
    </row>
    <row r="296" spans="1:7" hidden="1" x14ac:dyDescent="0.15">
      <c r="A296" s="2200" t="s">
        <v>4280</v>
      </c>
      <c r="B296" s="2200" t="s">
        <v>4869</v>
      </c>
      <c r="C296" s="2200" t="s">
        <v>4870</v>
      </c>
      <c r="D296" s="2200" t="str">
        <f t="shared" si="12"/>
        <v>CO</v>
      </c>
      <c r="E296" s="2200" t="str">
        <f t="shared" si="13"/>
        <v>08</v>
      </c>
      <c r="F296" s="2200" t="str">
        <f t="shared" si="14"/>
        <v>093</v>
      </c>
      <c r="G296" s="2200">
        <f>--SUBTOTAL(3,C$2:C296)</f>
        <v>0</v>
      </c>
    </row>
    <row r="297" spans="1:7" hidden="1" x14ac:dyDescent="0.15">
      <c r="A297" s="2200" t="s">
        <v>4280</v>
      </c>
      <c r="B297" s="2200" t="s">
        <v>4871</v>
      </c>
      <c r="C297" s="2200" t="s">
        <v>4872</v>
      </c>
      <c r="D297" s="2200" t="str">
        <f t="shared" si="12"/>
        <v>CO</v>
      </c>
      <c r="E297" s="2200" t="str">
        <f t="shared" si="13"/>
        <v>08</v>
      </c>
      <c r="F297" s="2200" t="str">
        <f t="shared" si="14"/>
        <v>095</v>
      </c>
      <c r="G297" s="2200">
        <f>--SUBTOTAL(3,C$2:C297)</f>
        <v>0</v>
      </c>
    </row>
    <row r="298" spans="1:7" hidden="1" x14ac:dyDescent="0.15">
      <c r="A298" s="2200" t="s">
        <v>4280</v>
      </c>
      <c r="B298" s="2200" t="s">
        <v>4873</v>
      </c>
      <c r="C298" s="2200" t="s">
        <v>4874</v>
      </c>
      <c r="D298" s="2200" t="str">
        <f t="shared" si="12"/>
        <v>CO</v>
      </c>
      <c r="E298" s="2200" t="str">
        <f t="shared" si="13"/>
        <v>08</v>
      </c>
      <c r="F298" s="2200" t="str">
        <f t="shared" si="14"/>
        <v>097</v>
      </c>
      <c r="G298" s="2200">
        <f>--SUBTOTAL(3,C$2:C298)</f>
        <v>0</v>
      </c>
    </row>
    <row r="299" spans="1:7" hidden="1" x14ac:dyDescent="0.15">
      <c r="A299" s="2200" t="s">
        <v>4280</v>
      </c>
      <c r="B299" s="2200" t="s">
        <v>4875</v>
      </c>
      <c r="C299" s="2200" t="s">
        <v>4876</v>
      </c>
      <c r="D299" s="2200" t="str">
        <f t="shared" si="12"/>
        <v>CO</v>
      </c>
      <c r="E299" s="2200" t="str">
        <f t="shared" si="13"/>
        <v>08</v>
      </c>
      <c r="F299" s="2200" t="str">
        <f t="shared" si="14"/>
        <v>099</v>
      </c>
      <c r="G299" s="2200">
        <f>--SUBTOTAL(3,C$2:C299)</f>
        <v>0</v>
      </c>
    </row>
    <row r="300" spans="1:7" hidden="1" x14ac:dyDescent="0.15">
      <c r="A300" s="2200" t="s">
        <v>4280</v>
      </c>
      <c r="B300" s="2200" t="s">
        <v>4877</v>
      </c>
      <c r="C300" s="2200" t="s">
        <v>4878</v>
      </c>
      <c r="D300" s="2200" t="str">
        <f t="shared" si="12"/>
        <v>CO</v>
      </c>
      <c r="E300" s="2200" t="str">
        <f t="shared" si="13"/>
        <v>08</v>
      </c>
      <c r="F300" s="2200" t="str">
        <f t="shared" si="14"/>
        <v>101</v>
      </c>
      <c r="G300" s="2200">
        <f>--SUBTOTAL(3,C$2:C300)</f>
        <v>0</v>
      </c>
    </row>
    <row r="301" spans="1:7" hidden="1" x14ac:dyDescent="0.15">
      <c r="A301" s="2200" t="s">
        <v>4280</v>
      </c>
      <c r="B301" s="2200" t="s">
        <v>4879</v>
      </c>
      <c r="C301" s="2200" t="s">
        <v>4880</v>
      </c>
      <c r="D301" s="2200" t="str">
        <f t="shared" si="12"/>
        <v>CO</v>
      </c>
      <c r="E301" s="2200" t="str">
        <f t="shared" si="13"/>
        <v>08</v>
      </c>
      <c r="F301" s="2200" t="str">
        <f t="shared" si="14"/>
        <v>103</v>
      </c>
      <c r="G301" s="2200">
        <f>--SUBTOTAL(3,C$2:C301)</f>
        <v>0</v>
      </c>
    </row>
    <row r="302" spans="1:7" hidden="1" x14ac:dyDescent="0.15">
      <c r="A302" s="2200" t="s">
        <v>4280</v>
      </c>
      <c r="B302" s="2200" t="s">
        <v>4881</v>
      </c>
      <c r="C302" s="2200" t="s">
        <v>4882</v>
      </c>
      <c r="D302" s="2200" t="str">
        <f t="shared" si="12"/>
        <v>CO</v>
      </c>
      <c r="E302" s="2200" t="str">
        <f t="shared" si="13"/>
        <v>08</v>
      </c>
      <c r="F302" s="2200" t="str">
        <f t="shared" si="14"/>
        <v>105</v>
      </c>
      <c r="G302" s="2200">
        <f>--SUBTOTAL(3,C$2:C302)</f>
        <v>0</v>
      </c>
    </row>
    <row r="303" spans="1:7" hidden="1" x14ac:dyDescent="0.15">
      <c r="A303" s="2200" t="s">
        <v>4280</v>
      </c>
      <c r="B303" s="2200" t="s">
        <v>4883</v>
      </c>
      <c r="C303" s="2200" t="s">
        <v>4884</v>
      </c>
      <c r="D303" s="2200" t="str">
        <f t="shared" si="12"/>
        <v>CO</v>
      </c>
      <c r="E303" s="2200" t="str">
        <f t="shared" si="13"/>
        <v>08</v>
      </c>
      <c r="F303" s="2200" t="str">
        <f t="shared" si="14"/>
        <v>107</v>
      </c>
      <c r="G303" s="2200">
        <f>--SUBTOTAL(3,C$2:C303)</f>
        <v>0</v>
      </c>
    </row>
    <row r="304" spans="1:7" hidden="1" x14ac:dyDescent="0.15">
      <c r="A304" s="2200" t="s">
        <v>4280</v>
      </c>
      <c r="B304" s="2200" t="s">
        <v>4885</v>
      </c>
      <c r="C304" s="2200" t="s">
        <v>4886</v>
      </c>
      <c r="D304" s="2200" t="str">
        <f t="shared" si="12"/>
        <v>CO</v>
      </c>
      <c r="E304" s="2200" t="str">
        <f t="shared" si="13"/>
        <v>08</v>
      </c>
      <c r="F304" s="2200" t="str">
        <f t="shared" si="14"/>
        <v>109</v>
      </c>
      <c r="G304" s="2200">
        <f>--SUBTOTAL(3,C$2:C304)</f>
        <v>0</v>
      </c>
    </row>
    <row r="305" spans="1:7" hidden="1" x14ac:dyDescent="0.15">
      <c r="A305" s="2200" t="s">
        <v>4280</v>
      </c>
      <c r="B305" s="2200" t="s">
        <v>4887</v>
      </c>
      <c r="C305" s="2200" t="s">
        <v>4888</v>
      </c>
      <c r="D305" s="2200" t="str">
        <f t="shared" si="12"/>
        <v>CO</v>
      </c>
      <c r="E305" s="2200" t="str">
        <f t="shared" si="13"/>
        <v>08</v>
      </c>
      <c r="F305" s="2200" t="str">
        <f t="shared" si="14"/>
        <v>111</v>
      </c>
      <c r="G305" s="2200">
        <f>--SUBTOTAL(3,C$2:C305)</f>
        <v>0</v>
      </c>
    </row>
    <row r="306" spans="1:7" hidden="1" x14ac:dyDescent="0.15">
      <c r="A306" s="2200" t="s">
        <v>4280</v>
      </c>
      <c r="B306" s="2200" t="s">
        <v>4889</v>
      </c>
      <c r="C306" s="2200" t="s">
        <v>4890</v>
      </c>
      <c r="D306" s="2200" t="str">
        <f t="shared" si="12"/>
        <v>CO</v>
      </c>
      <c r="E306" s="2200" t="str">
        <f t="shared" si="13"/>
        <v>08</v>
      </c>
      <c r="F306" s="2200" t="str">
        <f t="shared" si="14"/>
        <v>113</v>
      </c>
      <c r="G306" s="2200">
        <f>--SUBTOTAL(3,C$2:C306)</f>
        <v>0</v>
      </c>
    </row>
    <row r="307" spans="1:7" hidden="1" x14ac:dyDescent="0.15">
      <c r="A307" s="2200" t="s">
        <v>4280</v>
      </c>
      <c r="B307" s="2200" t="s">
        <v>4891</v>
      </c>
      <c r="C307" s="2200" t="s">
        <v>4892</v>
      </c>
      <c r="D307" s="2200" t="str">
        <f t="shared" si="12"/>
        <v>CO</v>
      </c>
      <c r="E307" s="2200" t="str">
        <f t="shared" si="13"/>
        <v>08</v>
      </c>
      <c r="F307" s="2200" t="str">
        <f t="shared" si="14"/>
        <v>115</v>
      </c>
      <c r="G307" s="2200">
        <f>--SUBTOTAL(3,C$2:C307)</f>
        <v>0</v>
      </c>
    </row>
    <row r="308" spans="1:7" hidden="1" x14ac:dyDescent="0.15">
      <c r="A308" s="2200" t="s">
        <v>4280</v>
      </c>
      <c r="B308" s="2200" t="s">
        <v>4893</v>
      </c>
      <c r="C308" s="2200" t="s">
        <v>4894</v>
      </c>
      <c r="D308" s="2200" t="str">
        <f t="shared" si="12"/>
        <v>CO</v>
      </c>
      <c r="E308" s="2200" t="str">
        <f t="shared" si="13"/>
        <v>08</v>
      </c>
      <c r="F308" s="2200" t="str">
        <f t="shared" si="14"/>
        <v>117</v>
      </c>
      <c r="G308" s="2200">
        <f>--SUBTOTAL(3,C$2:C308)</f>
        <v>0</v>
      </c>
    </row>
    <row r="309" spans="1:7" hidden="1" x14ac:dyDescent="0.15">
      <c r="A309" s="2200" t="s">
        <v>4280</v>
      </c>
      <c r="B309" s="2200" t="s">
        <v>4895</v>
      </c>
      <c r="C309" s="2200" t="s">
        <v>4896</v>
      </c>
      <c r="D309" s="2200" t="str">
        <f t="shared" si="12"/>
        <v>CO</v>
      </c>
      <c r="E309" s="2200" t="str">
        <f t="shared" si="13"/>
        <v>08</v>
      </c>
      <c r="F309" s="2200" t="str">
        <f t="shared" si="14"/>
        <v>119</v>
      </c>
      <c r="G309" s="2200">
        <f>--SUBTOTAL(3,C$2:C309)</f>
        <v>0</v>
      </c>
    </row>
    <row r="310" spans="1:7" hidden="1" x14ac:dyDescent="0.15">
      <c r="A310" s="2200" t="s">
        <v>4280</v>
      </c>
      <c r="B310" s="2200" t="s">
        <v>4897</v>
      </c>
      <c r="C310" s="2200" t="s">
        <v>4898</v>
      </c>
      <c r="D310" s="2200" t="str">
        <f t="shared" si="12"/>
        <v>CO</v>
      </c>
      <c r="E310" s="2200" t="str">
        <f t="shared" si="13"/>
        <v>08</v>
      </c>
      <c r="F310" s="2200" t="str">
        <f t="shared" si="14"/>
        <v>121</v>
      </c>
      <c r="G310" s="2200">
        <f>--SUBTOTAL(3,C$2:C310)</f>
        <v>0</v>
      </c>
    </row>
    <row r="311" spans="1:7" hidden="1" x14ac:dyDescent="0.15">
      <c r="A311" s="2200" t="s">
        <v>4280</v>
      </c>
      <c r="B311" s="2200" t="s">
        <v>4899</v>
      </c>
      <c r="C311" s="2200" t="s">
        <v>4900</v>
      </c>
      <c r="D311" s="2200" t="str">
        <f t="shared" si="12"/>
        <v>CO</v>
      </c>
      <c r="E311" s="2200" t="str">
        <f t="shared" si="13"/>
        <v>08</v>
      </c>
      <c r="F311" s="2200" t="str">
        <f t="shared" si="14"/>
        <v>123</v>
      </c>
      <c r="G311" s="2200">
        <f>--SUBTOTAL(3,C$2:C311)</f>
        <v>0</v>
      </c>
    </row>
    <row r="312" spans="1:7" hidden="1" x14ac:dyDescent="0.15">
      <c r="A312" s="2200" t="s">
        <v>4280</v>
      </c>
      <c r="B312" s="2200" t="s">
        <v>4901</v>
      </c>
      <c r="C312" s="2200" t="s">
        <v>4902</v>
      </c>
      <c r="D312" s="2200" t="str">
        <f t="shared" si="12"/>
        <v>CO</v>
      </c>
      <c r="E312" s="2200" t="str">
        <f t="shared" si="13"/>
        <v>08</v>
      </c>
      <c r="F312" s="2200" t="str">
        <f t="shared" si="14"/>
        <v>125</v>
      </c>
      <c r="G312" s="2200">
        <f>--SUBTOTAL(3,C$2:C312)</f>
        <v>0</v>
      </c>
    </row>
    <row r="313" spans="1:7" hidden="1" x14ac:dyDescent="0.15">
      <c r="A313" s="2200" t="s">
        <v>4280</v>
      </c>
      <c r="B313" s="2200" t="s">
        <v>4903</v>
      </c>
      <c r="C313" s="2200" t="s">
        <v>4904</v>
      </c>
      <c r="D313" s="2200" t="str">
        <f t="shared" si="12"/>
        <v>CT</v>
      </c>
      <c r="E313" s="2200" t="str">
        <f t="shared" si="13"/>
        <v>09</v>
      </c>
      <c r="F313" s="2200" t="str">
        <f t="shared" si="14"/>
        <v>001</v>
      </c>
      <c r="G313" s="2200">
        <f>--SUBTOTAL(3,C$2:C313)</f>
        <v>0</v>
      </c>
    </row>
    <row r="314" spans="1:7" hidden="1" x14ac:dyDescent="0.15">
      <c r="A314" s="2200" t="s">
        <v>4280</v>
      </c>
      <c r="B314" s="2200" t="s">
        <v>4905</v>
      </c>
      <c r="C314" s="2200" t="s">
        <v>4906</v>
      </c>
      <c r="D314" s="2200" t="str">
        <f t="shared" si="12"/>
        <v>CT</v>
      </c>
      <c r="E314" s="2200" t="str">
        <f t="shared" si="13"/>
        <v>09</v>
      </c>
      <c r="F314" s="2200" t="str">
        <f t="shared" si="14"/>
        <v>003</v>
      </c>
      <c r="G314" s="2200">
        <f>--SUBTOTAL(3,C$2:C314)</f>
        <v>0</v>
      </c>
    </row>
    <row r="315" spans="1:7" hidden="1" x14ac:dyDescent="0.15">
      <c r="A315" s="2200" t="s">
        <v>4280</v>
      </c>
      <c r="B315" s="2200" t="s">
        <v>4907</v>
      </c>
      <c r="C315" s="2200" t="s">
        <v>4908</v>
      </c>
      <c r="D315" s="2200" t="str">
        <f t="shared" si="12"/>
        <v>CT</v>
      </c>
      <c r="E315" s="2200" t="str">
        <f t="shared" si="13"/>
        <v>09</v>
      </c>
      <c r="F315" s="2200" t="str">
        <f t="shared" si="14"/>
        <v>005</v>
      </c>
      <c r="G315" s="2200">
        <f>--SUBTOTAL(3,C$2:C315)</f>
        <v>0</v>
      </c>
    </row>
    <row r="316" spans="1:7" hidden="1" x14ac:dyDescent="0.15">
      <c r="A316" s="2200" t="s">
        <v>4280</v>
      </c>
      <c r="B316" s="2200" t="s">
        <v>4909</v>
      </c>
      <c r="C316" s="2200" t="s">
        <v>4910</v>
      </c>
      <c r="D316" s="2200" t="str">
        <f t="shared" si="12"/>
        <v>CT</v>
      </c>
      <c r="E316" s="2200" t="str">
        <f t="shared" si="13"/>
        <v>09</v>
      </c>
      <c r="F316" s="2200" t="str">
        <f t="shared" si="14"/>
        <v>007</v>
      </c>
      <c r="G316" s="2200">
        <f>--SUBTOTAL(3,C$2:C316)</f>
        <v>0</v>
      </c>
    </row>
    <row r="317" spans="1:7" hidden="1" x14ac:dyDescent="0.15">
      <c r="A317" s="2200" t="s">
        <v>4280</v>
      </c>
      <c r="B317" s="2200" t="s">
        <v>4911</v>
      </c>
      <c r="C317" s="2200" t="s">
        <v>4912</v>
      </c>
      <c r="D317" s="2200" t="str">
        <f t="shared" si="12"/>
        <v>CT</v>
      </c>
      <c r="E317" s="2200" t="str">
        <f t="shared" si="13"/>
        <v>09</v>
      </c>
      <c r="F317" s="2200" t="str">
        <f t="shared" si="14"/>
        <v>009</v>
      </c>
      <c r="G317" s="2200">
        <f>--SUBTOTAL(3,C$2:C317)</f>
        <v>0</v>
      </c>
    </row>
    <row r="318" spans="1:7" hidden="1" x14ac:dyDescent="0.15">
      <c r="A318" s="2200" t="s">
        <v>4280</v>
      </c>
      <c r="B318" s="2200" t="s">
        <v>4913</v>
      </c>
      <c r="C318" s="2200" t="s">
        <v>4914</v>
      </c>
      <c r="D318" s="2200" t="str">
        <f t="shared" si="12"/>
        <v>CT</v>
      </c>
      <c r="E318" s="2200" t="str">
        <f t="shared" si="13"/>
        <v>09</v>
      </c>
      <c r="F318" s="2200" t="str">
        <f t="shared" si="14"/>
        <v>011</v>
      </c>
      <c r="G318" s="2200">
        <f>--SUBTOTAL(3,C$2:C318)</f>
        <v>0</v>
      </c>
    </row>
    <row r="319" spans="1:7" hidden="1" x14ac:dyDescent="0.15">
      <c r="A319" s="2200" t="s">
        <v>4280</v>
      </c>
      <c r="B319" s="2200" t="s">
        <v>4915</v>
      </c>
      <c r="C319" s="2200" t="s">
        <v>4916</v>
      </c>
      <c r="D319" s="2200" t="str">
        <f t="shared" si="12"/>
        <v>CT</v>
      </c>
      <c r="E319" s="2200" t="str">
        <f t="shared" si="13"/>
        <v>09</v>
      </c>
      <c r="F319" s="2200" t="str">
        <f t="shared" si="14"/>
        <v>013</v>
      </c>
      <c r="G319" s="2200">
        <f>--SUBTOTAL(3,C$2:C319)</f>
        <v>0</v>
      </c>
    </row>
    <row r="320" spans="1:7" hidden="1" x14ac:dyDescent="0.15">
      <c r="A320" s="2200" t="s">
        <v>4280</v>
      </c>
      <c r="B320" s="2200" t="s">
        <v>4917</v>
      </c>
      <c r="C320" s="2200" t="s">
        <v>4918</v>
      </c>
      <c r="D320" s="2200" t="str">
        <f t="shared" si="12"/>
        <v>CT</v>
      </c>
      <c r="E320" s="2200" t="str">
        <f t="shared" si="13"/>
        <v>09</v>
      </c>
      <c r="F320" s="2200" t="str">
        <f t="shared" si="14"/>
        <v>015</v>
      </c>
      <c r="G320" s="2200">
        <f>--SUBTOTAL(3,C$2:C320)</f>
        <v>0</v>
      </c>
    </row>
    <row r="321" spans="1:7" hidden="1" x14ac:dyDescent="0.15">
      <c r="A321" s="2200" t="s">
        <v>4280</v>
      </c>
      <c r="B321" s="2200" t="s">
        <v>4919</v>
      </c>
      <c r="C321" s="2200" t="s">
        <v>4920</v>
      </c>
      <c r="D321" s="2200" t="str">
        <f t="shared" si="12"/>
        <v>DE</v>
      </c>
      <c r="E321" s="2200" t="str">
        <f t="shared" si="13"/>
        <v>10</v>
      </c>
      <c r="F321" s="2200" t="str">
        <f t="shared" si="14"/>
        <v>001</v>
      </c>
      <c r="G321" s="2200">
        <f>--SUBTOTAL(3,C$2:C321)</f>
        <v>0</v>
      </c>
    </row>
    <row r="322" spans="1:7" hidden="1" x14ac:dyDescent="0.15">
      <c r="A322" s="2200" t="s">
        <v>4280</v>
      </c>
      <c r="B322" s="2200" t="s">
        <v>4921</v>
      </c>
      <c r="C322" s="2200" t="s">
        <v>4922</v>
      </c>
      <c r="D322" s="2200" t="str">
        <f t="shared" si="12"/>
        <v>DE</v>
      </c>
      <c r="E322" s="2200" t="str">
        <f t="shared" si="13"/>
        <v>10</v>
      </c>
      <c r="F322" s="2200" t="str">
        <f t="shared" si="14"/>
        <v>003</v>
      </c>
      <c r="G322" s="2200">
        <f>--SUBTOTAL(3,C$2:C322)</f>
        <v>0</v>
      </c>
    </row>
    <row r="323" spans="1:7" hidden="1" x14ac:dyDescent="0.15">
      <c r="A323" s="2200" t="s">
        <v>4280</v>
      </c>
      <c r="B323" s="2200" t="s">
        <v>4923</v>
      </c>
      <c r="C323" s="2200" t="s">
        <v>4924</v>
      </c>
      <c r="D323" s="2200" t="str">
        <f t="shared" ref="D323:D386" si="15">RIGHT(C323,2)</f>
        <v>DE</v>
      </c>
      <c r="E323" s="2200" t="str">
        <f t="shared" ref="E323:E386" si="16">MID(B323,3,2)</f>
        <v>10</v>
      </c>
      <c r="F323" s="2200" t="str">
        <f t="shared" ref="F323:F386" si="17">MID(B323,5,3)</f>
        <v>005</v>
      </c>
      <c r="G323" s="2200">
        <f>--SUBTOTAL(3,C$2:C323)</f>
        <v>0</v>
      </c>
    </row>
    <row r="324" spans="1:7" hidden="1" x14ac:dyDescent="0.15">
      <c r="A324" s="2200" t="s">
        <v>4280</v>
      </c>
      <c r="B324" s="2200" t="s">
        <v>4925</v>
      </c>
      <c r="C324" s="2200" t="s">
        <v>4926</v>
      </c>
      <c r="D324" s="2200" t="str">
        <f t="shared" si="15"/>
        <v>ia</v>
      </c>
      <c r="E324" s="2200" t="str">
        <f t="shared" si="16"/>
        <v>11</v>
      </c>
      <c r="F324" s="2200" t="str">
        <f t="shared" si="17"/>
        <v>001</v>
      </c>
      <c r="G324" s="2200">
        <f>--SUBTOTAL(3,C$2:C324)</f>
        <v>0</v>
      </c>
    </row>
    <row r="325" spans="1:7" x14ac:dyDescent="0.15">
      <c r="A325" s="2200" t="s">
        <v>4280</v>
      </c>
      <c r="B325" s="2200" t="s">
        <v>4927</v>
      </c>
      <c r="C325" s="2200" t="s">
        <v>4928</v>
      </c>
      <c r="D325" s="2200" t="str">
        <f t="shared" si="15"/>
        <v>FL</v>
      </c>
      <c r="E325" s="2200" t="str">
        <f t="shared" si="16"/>
        <v>12</v>
      </c>
      <c r="F325" s="2200" t="str">
        <f t="shared" si="17"/>
        <v>001</v>
      </c>
      <c r="G325" s="2200">
        <f>--SUBTOTAL(3,C$2:C325)</f>
        <v>1</v>
      </c>
    </row>
    <row r="326" spans="1:7" x14ac:dyDescent="0.15">
      <c r="A326" s="2200" t="s">
        <v>4280</v>
      </c>
      <c r="B326" s="2200" t="s">
        <v>4929</v>
      </c>
      <c r="C326" s="2200" t="s">
        <v>4930</v>
      </c>
      <c r="D326" s="2200" t="str">
        <f t="shared" si="15"/>
        <v>FL</v>
      </c>
      <c r="E326" s="2200" t="str">
        <f t="shared" si="16"/>
        <v>12</v>
      </c>
      <c r="F326" s="2200" t="str">
        <f t="shared" si="17"/>
        <v>003</v>
      </c>
      <c r="G326" s="2200">
        <f>--SUBTOTAL(3,C$2:C326)</f>
        <v>2</v>
      </c>
    </row>
    <row r="327" spans="1:7" x14ac:dyDescent="0.15">
      <c r="A327" s="2200" t="s">
        <v>4280</v>
      </c>
      <c r="B327" s="2200" t="s">
        <v>4931</v>
      </c>
      <c r="C327" s="2200" t="s">
        <v>4932</v>
      </c>
      <c r="D327" s="2200" t="str">
        <f t="shared" si="15"/>
        <v>FL</v>
      </c>
      <c r="E327" s="2200" t="str">
        <f t="shared" si="16"/>
        <v>12</v>
      </c>
      <c r="F327" s="2200" t="str">
        <f t="shared" si="17"/>
        <v>005</v>
      </c>
      <c r="G327" s="2200">
        <f>--SUBTOTAL(3,C$2:C327)</f>
        <v>3</v>
      </c>
    </row>
    <row r="328" spans="1:7" x14ac:dyDescent="0.15">
      <c r="A328" s="2200" t="s">
        <v>4280</v>
      </c>
      <c r="B328" s="2200" t="s">
        <v>4933</v>
      </c>
      <c r="C328" s="2200" t="s">
        <v>4934</v>
      </c>
      <c r="D328" s="2200" t="str">
        <f t="shared" si="15"/>
        <v>FL</v>
      </c>
      <c r="E328" s="2200" t="str">
        <f t="shared" si="16"/>
        <v>12</v>
      </c>
      <c r="F328" s="2200" t="str">
        <f t="shared" si="17"/>
        <v>007</v>
      </c>
      <c r="G328" s="2200">
        <f>--SUBTOTAL(3,C$2:C328)</f>
        <v>4</v>
      </c>
    </row>
    <row r="329" spans="1:7" x14ac:dyDescent="0.15">
      <c r="A329" s="2200" t="s">
        <v>4280</v>
      </c>
      <c r="B329" s="2200" t="s">
        <v>4935</v>
      </c>
      <c r="C329" s="2200" t="s">
        <v>4936</v>
      </c>
      <c r="D329" s="2200" t="str">
        <f t="shared" si="15"/>
        <v>FL</v>
      </c>
      <c r="E329" s="2200" t="str">
        <f t="shared" si="16"/>
        <v>12</v>
      </c>
      <c r="F329" s="2200" t="str">
        <f t="shared" si="17"/>
        <v>009</v>
      </c>
      <c r="G329" s="2200">
        <f>--SUBTOTAL(3,C$2:C329)</f>
        <v>5</v>
      </c>
    </row>
    <row r="330" spans="1:7" x14ac:dyDescent="0.15">
      <c r="A330" s="2200" t="s">
        <v>4280</v>
      </c>
      <c r="B330" s="2200" t="s">
        <v>4937</v>
      </c>
      <c r="C330" s="2200" t="s">
        <v>4938</v>
      </c>
      <c r="D330" s="2200" t="str">
        <f t="shared" si="15"/>
        <v>FL</v>
      </c>
      <c r="E330" s="2200" t="str">
        <f t="shared" si="16"/>
        <v>12</v>
      </c>
      <c r="F330" s="2200" t="str">
        <f t="shared" si="17"/>
        <v>011</v>
      </c>
      <c r="G330" s="2200">
        <f>--SUBTOTAL(3,C$2:C330)</f>
        <v>6</v>
      </c>
    </row>
    <row r="331" spans="1:7" x14ac:dyDescent="0.15">
      <c r="A331" s="2200" t="s">
        <v>4280</v>
      </c>
      <c r="B331" s="2200" t="s">
        <v>4939</v>
      </c>
      <c r="C331" s="2200" t="s">
        <v>4940</v>
      </c>
      <c r="D331" s="2200" t="str">
        <f t="shared" si="15"/>
        <v>FL</v>
      </c>
      <c r="E331" s="2200" t="str">
        <f t="shared" si="16"/>
        <v>12</v>
      </c>
      <c r="F331" s="2200" t="str">
        <f t="shared" si="17"/>
        <v>013</v>
      </c>
      <c r="G331" s="2200">
        <f>--SUBTOTAL(3,C$2:C331)</f>
        <v>7</v>
      </c>
    </row>
    <row r="332" spans="1:7" x14ac:dyDescent="0.15">
      <c r="A332" s="2200" t="s">
        <v>4280</v>
      </c>
      <c r="B332" s="2200" t="s">
        <v>4941</v>
      </c>
      <c r="C332" s="2200" t="s">
        <v>4942</v>
      </c>
      <c r="D332" s="2200" t="str">
        <f t="shared" si="15"/>
        <v>FL</v>
      </c>
      <c r="E332" s="2200" t="str">
        <f t="shared" si="16"/>
        <v>12</v>
      </c>
      <c r="F332" s="2200" t="str">
        <f t="shared" si="17"/>
        <v>015</v>
      </c>
      <c r="G332" s="2200">
        <f>--SUBTOTAL(3,C$2:C332)</f>
        <v>8</v>
      </c>
    </row>
    <row r="333" spans="1:7" x14ac:dyDescent="0.15">
      <c r="A333" s="2200" t="s">
        <v>4280</v>
      </c>
      <c r="B333" s="2200" t="s">
        <v>4943</v>
      </c>
      <c r="C333" s="2200" t="s">
        <v>4944</v>
      </c>
      <c r="D333" s="2200" t="str">
        <f t="shared" si="15"/>
        <v>FL</v>
      </c>
      <c r="E333" s="2200" t="str">
        <f t="shared" si="16"/>
        <v>12</v>
      </c>
      <c r="F333" s="2200" t="str">
        <f t="shared" si="17"/>
        <v>017</v>
      </c>
      <c r="G333" s="2200">
        <f>--SUBTOTAL(3,C$2:C333)</f>
        <v>9</v>
      </c>
    </row>
    <row r="334" spans="1:7" x14ac:dyDescent="0.15">
      <c r="A334" s="2200" t="s">
        <v>4280</v>
      </c>
      <c r="B334" s="2200" t="s">
        <v>4945</v>
      </c>
      <c r="C334" s="2200" t="s">
        <v>4946</v>
      </c>
      <c r="D334" s="2200" t="str">
        <f t="shared" si="15"/>
        <v>FL</v>
      </c>
      <c r="E334" s="2200" t="str">
        <f t="shared" si="16"/>
        <v>12</v>
      </c>
      <c r="F334" s="2200" t="str">
        <f t="shared" si="17"/>
        <v>019</v>
      </c>
      <c r="G334" s="2200">
        <f>--SUBTOTAL(3,C$2:C334)</f>
        <v>10</v>
      </c>
    </row>
    <row r="335" spans="1:7" x14ac:dyDescent="0.15">
      <c r="A335" s="2200" t="s">
        <v>4280</v>
      </c>
      <c r="B335" s="2200" t="s">
        <v>4947</v>
      </c>
      <c r="C335" s="2200" t="s">
        <v>4948</v>
      </c>
      <c r="D335" s="2200" t="str">
        <f t="shared" si="15"/>
        <v>FL</v>
      </c>
      <c r="E335" s="2200" t="str">
        <f t="shared" si="16"/>
        <v>12</v>
      </c>
      <c r="F335" s="2200" t="str">
        <f t="shared" si="17"/>
        <v>021</v>
      </c>
      <c r="G335" s="2200">
        <f>--SUBTOTAL(3,C$2:C335)</f>
        <v>11</v>
      </c>
    </row>
    <row r="336" spans="1:7" x14ac:dyDescent="0.15">
      <c r="A336" s="2200" t="s">
        <v>4280</v>
      </c>
      <c r="B336" s="2200" t="s">
        <v>4949</v>
      </c>
      <c r="C336" s="2200" t="s">
        <v>4950</v>
      </c>
      <c r="D336" s="2200" t="str">
        <f t="shared" si="15"/>
        <v>FL</v>
      </c>
      <c r="E336" s="2200" t="str">
        <f t="shared" si="16"/>
        <v>12</v>
      </c>
      <c r="F336" s="2200" t="str">
        <f t="shared" si="17"/>
        <v>023</v>
      </c>
      <c r="G336" s="2200">
        <f>--SUBTOTAL(3,C$2:C336)</f>
        <v>12</v>
      </c>
    </row>
    <row r="337" spans="1:7" x14ac:dyDescent="0.15">
      <c r="A337" s="2200" t="s">
        <v>4280</v>
      </c>
      <c r="B337" s="2200" t="s">
        <v>4951</v>
      </c>
      <c r="C337" s="2200" t="s">
        <v>4952</v>
      </c>
      <c r="D337" s="2200" t="str">
        <f t="shared" si="15"/>
        <v>FL</v>
      </c>
      <c r="E337" s="2200" t="str">
        <f t="shared" si="16"/>
        <v>12</v>
      </c>
      <c r="F337" s="2200" t="str">
        <f t="shared" si="17"/>
        <v>027</v>
      </c>
      <c r="G337" s="2200">
        <f>--SUBTOTAL(3,C$2:C337)</f>
        <v>13</v>
      </c>
    </row>
    <row r="338" spans="1:7" x14ac:dyDescent="0.15">
      <c r="A338" s="2200" t="s">
        <v>4280</v>
      </c>
      <c r="B338" s="2200" t="s">
        <v>4953</v>
      </c>
      <c r="C338" s="2200" t="s">
        <v>4954</v>
      </c>
      <c r="D338" s="2200" t="str">
        <f t="shared" si="15"/>
        <v>FL</v>
      </c>
      <c r="E338" s="2200" t="str">
        <f t="shared" si="16"/>
        <v>12</v>
      </c>
      <c r="F338" s="2200" t="str">
        <f t="shared" si="17"/>
        <v>029</v>
      </c>
      <c r="G338" s="2200">
        <f>--SUBTOTAL(3,C$2:C338)</f>
        <v>14</v>
      </c>
    </row>
    <row r="339" spans="1:7" x14ac:dyDescent="0.15">
      <c r="A339" s="2200" t="s">
        <v>4280</v>
      </c>
      <c r="B339" s="2200" t="s">
        <v>4955</v>
      </c>
      <c r="C339" s="2200" t="s">
        <v>4956</v>
      </c>
      <c r="D339" s="2200" t="str">
        <f t="shared" si="15"/>
        <v>FL</v>
      </c>
      <c r="E339" s="2200" t="str">
        <f t="shared" si="16"/>
        <v>12</v>
      </c>
      <c r="F339" s="2200" t="str">
        <f t="shared" si="17"/>
        <v>031</v>
      </c>
      <c r="G339" s="2200">
        <f>--SUBTOTAL(3,C$2:C339)</f>
        <v>15</v>
      </c>
    </row>
    <row r="340" spans="1:7" x14ac:dyDescent="0.15">
      <c r="A340" s="2200" t="s">
        <v>4280</v>
      </c>
      <c r="B340" s="2200" t="s">
        <v>4957</v>
      </c>
      <c r="C340" s="2200" t="s">
        <v>4958</v>
      </c>
      <c r="D340" s="2200" t="str">
        <f t="shared" si="15"/>
        <v>FL</v>
      </c>
      <c r="E340" s="2200" t="str">
        <f t="shared" si="16"/>
        <v>12</v>
      </c>
      <c r="F340" s="2200" t="str">
        <f t="shared" si="17"/>
        <v>033</v>
      </c>
      <c r="G340" s="2200">
        <f>--SUBTOTAL(3,C$2:C340)</f>
        <v>16</v>
      </c>
    </row>
    <row r="341" spans="1:7" x14ac:dyDescent="0.15">
      <c r="A341" s="2200" t="s">
        <v>4280</v>
      </c>
      <c r="B341" s="2200" t="s">
        <v>4959</v>
      </c>
      <c r="C341" s="2200" t="s">
        <v>4960</v>
      </c>
      <c r="D341" s="2200" t="str">
        <f t="shared" si="15"/>
        <v>FL</v>
      </c>
      <c r="E341" s="2200" t="str">
        <f t="shared" si="16"/>
        <v>12</v>
      </c>
      <c r="F341" s="2200" t="str">
        <f t="shared" si="17"/>
        <v>035</v>
      </c>
      <c r="G341" s="2200">
        <f>--SUBTOTAL(3,C$2:C341)</f>
        <v>17</v>
      </c>
    </row>
    <row r="342" spans="1:7" x14ac:dyDescent="0.15">
      <c r="A342" s="2200" t="s">
        <v>4280</v>
      </c>
      <c r="B342" s="2200" t="s">
        <v>4961</v>
      </c>
      <c r="C342" s="2200" t="s">
        <v>4962</v>
      </c>
      <c r="D342" s="2200" t="str">
        <f t="shared" si="15"/>
        <v>FL</v>
      </c>
      <c r="E342" s="2200" t="str">
        <f t="shared" si="16"/>
        <v>12</v>
      </c>
      <c r="F342" s="2200" t="str">
        <f t="shared" si="17"/>
        <v>037</v>
      </c>
      <c r="G342" s="2200">
        <f>--SUBTOTAL(3,C$2:C342)</f>
        <v>18</v>
      </c>
    </row>
    <row r="343" spans="1:7" x14ac:dyDescent="0.15">
      <c r="A343" s="2200" t="s">
        <v>4280</v>
      </c>
      <c r="B343" s="2200" t="s">
        <v>4963</v>
      </c>
      <c r="C343" s="2200" t="s">
        <v>4964</v>
      </c>
      <c r="D343" s="2200" t="str">
        <f t="shared" si="15"/>
        <v>FL</v>
      </c>
      <c r="E343" s="2200" t="str">
        <f t="shared" si="16"/>
        <v>12</v>
      </c>
      <c r="F343" s="2200" t="str">
        <f t="shared" si="17"/>
        <v>039</v>
      </c>
      <c r="G343" s="2200">
        <f>--SUBTOTAL(3,C$2:C343)</f>
        <v>19</v>
      </c>
    </row>
    <row r="344" spans="1:7" x14ac:dyDescent="0.15">
      <c r="A344" s="2200" t="s">
        <v>4280</v>
      </c>
      <c r="B344" s="2200" t="s">
        <v>4965</v>
      </c>
      <c r="C344" s="2200" t="s">
        <v>4966</v>
      </c>
      <c r="D344" s="2200" t="str">
        <f t="shared" si="15"/>
        <v>FL</v>
      </c>
      <c r="E344" s="2200" t="str">
        <f t="shared" si="16"/>
        <v>12</v>
      </c>
      <c r="F344" s="2200" t="str">
        <f t="shared" si="17"/>
        <v>041</v>
      </c>
      <c r="G344" s="2200">
        <f>--SUBTOTAL(3,C$2:C344)</f>
        <v>20</v>
      </c>
    </row>
    <row r="345" spans="1:7" x14ac:dyDescent="0.15">
      <c r="A345" s="2200" t="s">
        <v>4280</v>
      </c>
      <c r="B345" s="2200" t="s">
        <v>4967</v>
      </c>
      <c r="C345" s="2200" t="s">
        <v>4968</v>
      </c>
      <c r="D345" s="2200" t="str">
        <f t="shared" si="15"/>
        <v>FL</v>
      </c>
      <c r="E345" s="2200" t="str">
        <f t="shared" si="16"/>
        <v>12</v>
      </c>
      <c r="F345" s="2200" t="str">
        <f t="shared" si="17"/>
        <v>043</v>
      </c>
      <c r="G345" s="2200">
        <f>--SUBTOTAL(3,C$2:C345)</f>
        <v>21</v>
      </c>
    </row>
    <row r="346" spans="1:7" x14ac:dyDescent="0.15">
      <c r="A346" s="2200" t="s">
        <v>4280</v>
      </c>
      <c r="B346" s="2200" t="s">
        <v>4969</v>
      </c>
      <c r="C346" s="2200" t="s">
        <v>4970</v>
      </c>
      <c r="D346" s="2200" t="str">
        <f t="shared" si="15"/>
        <v>FL</v>
      </c>
      <c r="E346" s="2200" t="str">
        <f t="shared" si="16"/>
        <v>12</v>
      </c>
      <c r="F346" s="2200" t="str">
        <f t="shared" si="17"/>
        <v>045</v>
      </c>
      <c r="G346" s="2200">
        <f>--SUBTOTAL(3,C$2:C346)</f>
        <v>22</v>
      </c>
    </row>
    <row r="347" spans="1:7" x14ac:dyDescent="0.15">
      <c r="A347" s="2200" t="s">
        <v>4280</v>
      </c>
      <c r="B347" s="2200" t="s">
        <v>4971</v>
      </c>
      <c r="C347" s="2200" t="s">
        <v>4972</v>
      </c>
      <c r="D347" s="2200" t="str">
        <f t="shared" si="15"/>
        <v>FL</v>
      </c>
      <c r="E347" s="2200" t="str">
        <f t="shared" si="16"/>
        <v>12</v>
      </c>
      <c r="F347" s="2200" t="str">
        <f t="shared" si="17"/>
        <v>047</v>
      </c>
      <c r="G347" s="2200">
        <f>--SUBTOTAL(3,C$2:C347)</f>
        <v>23</v>
      </c>
    </row>
    <row r="348" spans="1:7" x14ac:dyDescent="0.15">
      <c r="A348" s="2200" t="s">
        <v>4280</v>
      </c>
      <c r="B348" s="2200" t="s">
        <v>4973</v>
      </c>
      <c r="C348" s="2200" t="s">
        <v>4974</v>
      </c>
      <c r="D348" s="2200" t="str">
        <f t="shared" si="15"/>
        <v>FL</v>
      </c>
      <c r="E348" s="2200" t="str">
        <f t="shared" si="16"/>
        <v>12</v>
      </c>
      <c r="F348" s="2200" t="str">
        <f t="shared" si="17"/>
        <v>049</v>
      </c>
      <c r="G348" s="2200">
        <f>--SUBTOTAL(3,C$2:C348)</f>
        <v>24</v>
      </c>
    </row>
    <row r="349" spans="1:7" x14ac:dyDescent="0.15">
      <c r="A349" s="2200" t="s">
        <v>4280</v>
      </c>
      <c r="B349" s="2200" t="s">
        <v>4975</v>
      </c>
      <c r="C349" s="2200" t="s">
        <v>4976</v>
      </c>
      <c r="D349" s="2200" t="str">
        <f t="shared" si="15"/>
        <v>FL</v>
      </c>
      <c r="E349" s="2200" t="str">
        <f t="shared" si="16"/>
        <v>12</v>
      </c>
      <c r="F349" s="2200" t="str">
        <f t="shared" si="17"/>
        <v>051</v>
      </c>
      <c r="G349" s="2200">
        <f>--SUBTOTAL(3,C$2:C349)</f>
        <v>25</v>
      </c>
    </row>
    <row r="350" spans="1:7" x14ac:dyDescent="0.15">
      <c r="A350" s="2200" t="s">
        <v>4280</v>
      </c>
      <c r="B350" s="2200" t="s">
        <v>4977</v>
      </c>
      <c r="C350" s="2200" t="s">
        <v>4978</v>
      </c>
      <c r="D350" s="2200" t="str">
        <f t="shared" si="15"/>
        <v>FL</v>
      </c>
      <c r="E350" s="2200" t="str">
        <f t="shared" si="16"/>
        <v>12</v>
      </c>
      <c r="F350" s="2200" t="str">
        <f t="shared" si="17"/>
        <v>053</v>
      </c>
      <c r="G350" s="2200">
        <f>--SUBTOTAL(3,C$2:C350)</f>
        <v>26</v>
      </c>
    </row>
    <row r="351" spans="1:7" x14ac:dyDescent="0.15">
      <c r="A351" s="2200" t="s">
        <v>4280</v>
      </c>
      <c r="B351" s="2200" t="s">
        <v>4979</v>
      </c>
      <c r="C351" s="2200" t="s">
        <v>4980</v>
      </c>
      <c r="D351" s="2200" t="str">
        <f t="shared" si="15"/>
        <v>FL</v>
      </c>
      <c r="E351" s="2200" t="str">
        <f t="shared" si="16"/>
        <v>12</v>
      </c>
      <c r="F351" s="2200" t="str">
        <f t="shared" si="17"/>
        <v>055</v>
      </c>
      <c r="G351" s="2200">
        <f>--SUBTOTAL(3,C$2:C351)</f>
        <v>27</v>
      </c>
    </row>
    <row r="352" spans="1:7" x14ac:dyDescent="0.15">
      <c r="A352" s="2200" t="s">
        <v>4280</v>
      </c>
      <c r="B352" s="2200" t="s">
        <v>4981</v>
      </c>
      <c r="C352" s="2200" t="s">
        <v>4982</v>
      </c>
      <c r="D352" s="2200" t="str">
        <f t="shared" si="15"/>
        <v>FL</v>
      </c>
      <c r="E352" s="2200" t="str">
        <f t="shared" si="16"/>
        <v>12</v>
      </c>
      <c r="F352" s="2200" t="str">
        <f t="shared" si="17"/>
        <v>057</v>
      </c>
      <c r="G352" s="2200">
        <f>--SUBTOTAL(3,C$2:C352)</f>
        <v>28</v>
      </c>
    </row>
    <row r="353" spans="1:7" x14ac:dyDescent="0.15">
      <c r="A353" s="2200" t="s">
        <v>4280</v>
      </c>
      <c r="B353" s="2200" t="s">
        <v>4983</v>
      </c>
      <c r="C353" s="2200" t="s">
        <v>4984</v>
      </c>
      <c r="D353" s="2200" t="str">
        <f t="shared" si="15"/>
        <v>FL</v>
      </c>
      <c r="E353" s="2200" t="str">
        <f t="shared" si="16"/>
        <v>12</v>
      </c>
      <c r="F353" s="2200" t="str">
        <f t="shared" si="17"/>
        <v>059</v>
      </c>
      <c r="G353" s="2200">
        <f>--SUBTOTAL(3,C$2:C353)</f>
        <v>29</v>
      </c>
    </row>
    <row r="354" spans="1:7" x14ac:dyDescent="0.15">
      <c r="A354" s="2200" t="s">
        <v>4280</v>
      </c>
      <c r="B354" s="2200" t="s">
        <v>4985</v>
      </c>
      <c r="C354" s="2200" t="s">
        <v>4986</v>
      </c>
      <c r="D354" s="2200" t="str">
        <f t="shared" si="15"/>
        <v>FL</v>
      </c>
      <c r="E354" s="2200" t="str">
        <f t="shared" si="16"/>
        <v>12</v>
      </c>
      <c r="F354" s="2200" t="str">
        <f t="shared" si="17"/>
        <v>061</v>
      </c>
      <c r="G354" s="2200">
        <f>--SUBTOTAL(3,C$2:C354)</f>
        <v>30</v>
      </c>
    </row>
    <row r="355" spans="1:7" x14ac:dyDescent="0.15">
      <c r="A355" s="2200" t="s">
        <v>4280</v>
      </c>
      <c r="B355" s="2200" t="s">
        <v>4987</v>
      </c>
      <c r="C355" s="2200" t="s">
        <v>4988</v>
      </c>
      <c r="D355" s="2200" t="str">
        <f t="shared" si="15"/>
        <v>FL</v>
      </c>
      <c r="E355" s="2200" t="str">
        <f t="shared" si="16"/>
        <v>12</v>
      </c>
      <c r="F355" s="2200" t="str">
        <f t="shared" si="17"/>
        <v>063</v>
      </c>
      <c r="G355" s="2200">
        <f>--SUBTOTAL(3,C$2:C355)</f>
        <v>31</v>
      </c>
    </row>
    <row r="356" spans="1:7" x14ac:dyDescent="0.15">
      <c r="A356" s="2200" t="s">
        <v>4280</v>
      </c>
      <c r="B356" s="2200" t="s">
        <v>4989</v>
      </c>
      <c r="C356" s="2200" t="s">
        <v>4990</v>
      </c>
      <c r="D356" s="2200" t="str">
        <f t="shared" si="15"/>
        <v>FL</v>
      </c>
      <c r="E356" s="2200" t="str">
        <f t="shared" si="16"/>
        <v>12</v>
      </c>
      <c r="F356" s="2200" t="str">
        <f t="shared" si="17"/>
        <v>065</v>
      </c>
      <c r="G356" s="2200">
        <f>--SUBTOTAL(3,C$2:C356)</f>
        <v>32</v>
      </c>
    </row>
    <row r="357" spans="1:7" x14ac:dyDescent="0.15">
      <c r="A357" s="2200" t="s">
        <v>4280</v>
      </c>
      <c r="B357" s="2200" t="s">
        <v>4991</v>
      </c>
      <c r="C357" s="2200" t="s">
        <v>4992</v>
      </c>
      <c r="D357" s="2200" t="str">
        <f t="shared" si="15"/>
        <v>FL</v>
      </c>
      <c r="E357" s="2200" t="str">
        <f t="shared" si="16"/>
        <v>12</v>
      </c>
      <c r="F357" s="2200" t="str">
        <f t="shared" si="17"/>
        <v>067</v>
      </c>
      <c r="G357" s="2200">
        <f>--SUBTOTAL(3,C$2:C357)</f>
        <v>33</v>
      </c>
    </row>
    <row r="358" spans="1:7" x14ac:dyDescent="0.15">
      <c r="A358" s="2200" t="s">
        <v>4280</v>
      </c>
      <c r="B358" s="2200" t="s">
        <v>4993</v>
      </c>
      <c r="C358" s="2200" t="s">
        <v>4994</v>
      </c>
      <c r="D358" s="2200" t="str">
        <f t="shared" si="15"/>
        <v>FL</v>
      </c>
      <c r="E358" s="2200" t="str">
        <f t="shared" si="16"/>
        <v>12</v>
      </c>
      <c r="F358" s="2200" t="str">
        <f t="shared" si="17"/>
        <v>069</v>
      </c>
      <c r="G358" s="2200">
        <f>--SUBTOTAL(3,C$2:C358)</f>
        <v>34</v>
      </c>
    </row>
    <row r="359" spans="1:7" x14ac:dyDescent="0.15">
      <c r="A359" s="2200" t="s">
        <v>4280</v>
      </c>
      <c r="B359" s="2200" t="s">
        <v>4995</v>
      </c>
      <c r="C359" s="2200" t="s">
        <v>4996</v>
      </c>
      <c r="D359" s="2200" t="str">
        <f t="shared" si="15"/>
        <v>FL</v>
      </c>
      <c r="E359" s="2200" t="str">
        <f t="shared" si="16"/>
        <v>12</v>
      </c>
      <c r="F359" s="2200" t="str">
        <f t="shared" si="17"/>
        <v>071</v>
      </c>
      <c r="G359" s="2200">
        <f>--SUBTOTAL(3,C$2:C359)</f>
        <v>35</v>
      </c>
    </row>
    <row r="360" spans="1:7" x14ac:dyDescent="0.15">
      <c r="A360" s="2200" t="s">
        <v>4280</v>
      </c>
      <c r="B360" s="2200" t="s">
        <v>4997</v>
      </c>
      <c r="C360" s="2200" t="s">
        <v>4998</v>
      </c>
      <c r="D360" s="2200" t="str">
        <f t="shared" si="15"/>
        <v>FL</v>
      </c>
      <c r="E360" s="2200" t="str">
        <f t="shared" si="16"/>
        <v>12</v>
      </c>
      <c r="F360" s="2200" t="str">
        <f t="shared" si="17"/>
        <v>073</v>
      </c>
      <c r="G360" s="2200">
        <f>--SUBTOTAL(3,C$2:C360)</f>
        <v>36</v>
      </c>
    </row>
    <row r="361" spans="1:7" x14ac:dyDescent="0.15">
      <c r="A361" s="2200" t="s">
        <v>4280</v>
      </c>
      <c r="B361" s="2200" t="s">
        <v>4999</v>
      </c>
      <c r="C361" s="2200" t="s">
        <v>5000</v>
      </c>
      <c r="D361" s="2200" t="str">
        <f t="shared" si="15"/>
        <v>FL</v>
      </c>
      <c r="E361" s="2200" t="str">
        <f t="shared" si="16"/>
        <v>12</v>
      </c>
      <c r="F361" s="2200" t="str">
        <f t="shared" si="17"/>
        <v>075</v>
      </c>
      <c r="G361" s="2200">
        <f>--SUBTOTAL(3,C$2:C361)</f>
        <v>37</v>
      </c>
    </row>
    <row r="362" spans="1:7" x14ac:dyDescent="0.15">
      <c r="A362" s="2200" t="s">
        <v>4280</v>
      </c>
      <c r="B362" s="2200" t="s">
        <v>5001</v>
      </c>
      <c r="C362" s="2200" t="s">
        <v>5002</v>
      </c>
      <c r="D362" s="2200" t="str">
        <f t="shared" si="15"/>
        <v>FL</v>
      </c>
      <c r="E362" s="2200" t="str">
        <f t="shared" si="16"/>
        <v>12</v>
      </c>
      <c r="F362" s="2200" t="str">
        <f t="shared" si="17"/>
        <v>077</v>
      </c>
      <c r="G362" s="2200">
        <f>--SUBTOTAL(3,C$2:C362)</f>
        <v>38</v>
      </c>
    </row>
    <row r="363" spans="1:7" x14ac:dyDescent="0.15">
      <c r="A363" s="2200" t="s">
        <v>4280</v>
      </c>
      <c r="B363" s="2200" t="s">
        <v>5003</v>
      </c>
      <c r="C363" s="2200" t="s">
        <v>5004</v>
      </c>
      <c r="D363" s="2200" t="str">
        <f t="shared" si="15"/>
        <v>FL</v>
      </c>
      <c r="E363" s="2200" t="str">
        <f t="shared" si="16"/>
        <v>12</v>
      </c>
      <c r="F363" s="2200" t="str">
        <f t="shared" si="17"/>
        <v>079</v>
      </c>
      <c r="G363" s="2200">
        <f>--SUBTOTAL(3,C$2:C363)</f>
        <v>39</v>
      </c>
    </row>
    <row r="364" spans="1:7" x14ac:dyDescent="0.15">
      <c r="A364" s="2200" t="s">
        <v>4280</v>
      </c>
      <c r="B364" s="2200" t="s">
        <v>5005</v>
      </c>
      <c r="C364" s="2200" t="s">
        <v>5006</v>
      </c>
      <c r="D364" s="2200" t="str">
        <f t="shared" si="15"/>
        <v>FL</v>
      </c>
      <c r="E364" s="2200" t="str">
        <f t="shared" si="16"/>
        <v>12</v>
      </c>
      <c r="F364" s="2200" t="str">
        <f t="shared" si="17"/>
        <v>081</v>
      </c>
      <c r="G364" s="2200">
        <f>--SUBTOTAL(3,C$2:C364)</f>
        <v>40</v>
      </c>
    </row>
    <row r="365" spans="1:7" x14ac:dyDescent="0.15">
      <c r="A365" s="2200" t="s">
        <v>4280</v>
      </c>
      <c r="B365" s="2200" t="s">
        <v>5007</v>
      </c>
      <c r="C365" s="2200" t="s">
        <v>5008</v>
      </c>
      <c r="D365" s="2200" t="str">
        <f t="shared" si="15"/>
        <v>FL</v>
      </c>
      <c r="E365" s="2200" t="str">
        <f t="shared" si="16"/>
        <v>12</v>
      </c>
      <c r="F365" s="2200" t="str">
        <f t="shared" si="17"/>
        <v>083</v>
      </c>
      <c r="G365" s="2200">
        <f>--SUBTOTAL(3,C$2:C365)</f>
        <v>41</v>
      </c>
    </row>
    <row r="366" spans="1:7" x14ac:dyDescent="0.15">
      <c r="A366" s="2200" t="s">
        <v>4280</v>
      </c>
      <c r="B366" s="2200" t="s">
        <v>5009</v>
      </c>
      <c r="C366" s="2200" t="s">
        <v>5010</v>
      </c>
      <c r="D366" s="2200" t="str">
        <f t="shared" si="15"/>
        <v>FL</v>
      </c>
      <c r="E366" s="2200" t="str">
        <f t="shared" si="16"/>
        <v>12</v>
      </c>
      <c r="F366" s="2200" t="str">
        <f t="shared" si="17"/>
        <v>085</v>
      </c>
      <c r="G366" s="2200">
        <f>--SUBTOTAL(3,C$2:C366)</f>
        <v>42</v>
      </c>
    </row>
    <row r="367" spans="1:7" x14ac:dyDescent="0.15">
      <c r="A367" s="2200" t="s">
        <v>4280</v>
      </c>
      <c r="B367" s="2200" t="s">
        <v>5011</v>
      </c>
      <c r="C367" s="2200" t="s">
        <v>5012</v>
      </c>
      <c r="D367" s="2200" t="str">
        <f t="shared" si="15"/>
        <v>FL</v>
      </c>
      <c r="E367" s="2200" t="str">
        <f t="shared" si="16"/>
        <v>12</v>
      </c>
      <c r="F367" s="2200" t="str">
        <f t="shared" si="17"/>
        <v>086</v>
      </c>
      <c r="G367" s="2200">
        <f>--SUBTOTAL(3,C$2:C367)</f>
        <v>43</v>
      </c>
    </row>
    <row r="368" spans="1:7" x14ac:dyDescent="0.15">
      <c r="A368" s="2200" t="s">
        <v>4280</v>
      </c>
      <c r="B368" s="2200" t="s">
        <v>5013</v>
      </c>
      <c r="C368" s="2200" t="s">
        <v>5014</v>
      </c>
      <c r="D368" s="2200" t="str">
        <f t="shared" si="15"/>
        <v>FL</v>
      </c>
      <c r="E368" s="2200" t="str">
        <f t="shared" si="16"/>
        <v>12</v>
      </c>
      <c r="F368" s="2200" t="str">
        <f t="shared" si="17"/>
        <v>087</v>
      </c>
      <c r="G368" s="2200">
        <f>--SUBTOTAL(3,C$2:C368)</f>
        <v>44</v>
      </c>
    </row>
    <row r="369" spans="1:7" x14ac:dyDescent="0.15">
      <c r="A369" s="2200" t="s">
        <v>4280</v>
      </c>
      <c r="B369" s="2200" t="s">
        <v>5015</v>
      </c>
      <c r="C369" s="2200" t="s">
        <v>5016</v>
      </c>
      <c r="D369" s="2200" t="str">
        <f t="shared" si="15"/>
        <v>FL</v>
      </c>
      <c r="E369" s="2200" t="str">
        <f t="shared" si="16"/>
        <v>12</v>
      </c>
      <c r="F369" s="2200" t="str">
        <f t="shared" si="17"/>
        <v>089</v>
      </c>
      <c r="G369" s="2200">
        <f>--SUBTOTAL(3,C$2:C369)</f>
        <v>45</v>
      </c>
    </row>
    <row r="370" spans="1:7" x14ac:dyDescent="0.15">
      <c r="A370" s="2200" t="s">
        <v>4280</v>
      </c>
      <c r="B370" s="2200" t="s">
        <v>5017</v>
      </c>
      <c r="C370" s="2200" t="s">
        <v>5018</v>
      </c>
      <c r="D370" s="2200" t="str">
        <f t="shared" si="15"/>
        <v>FL</v>
      </c>
      <c r="E370" s="2200" t="str">
        <f t="shared" si="16"/>
        <v>12</v>
      </c>
      <c r="F370" s="2200" t="str">
        <f t="shared" si="17"/>
        <v>091</v>
      </c>
      <c r="G370" s="2200">
        <f>--SUBTOTAL(3,C$2:C370)</f>
        <v>46</v>
      </c>
    </row>
    <row r="371" spans="1:7" x14ac:dyDescent="0.15">
      <c r="A371" s="2200" t="s">
        <v>4280</v>
      </c>
      <c r="B371" s="2200" t="s">
        <v>5019</v>
      </c>
      <c r="C371" s="2200" t="s">
        <v>5020</v>
      </c>
      <c r="D371" s="2200" t="str">
        <f t="shared" si="15"/>
        <v>FL</v>
      </c>
      <c r="E371" s="2200" t="str">
        <f t="shared" si="16"/>
        <v>12</v>
      </c>
      <c r="F371" s="2200" t="str">
        <f t="shared" si="17"/>
        <v>093</v>
      </c>
      <c r="G371" s="2200">
        <f>--SUBTOTAL(3,C$2:C371)</f>
        <v>47</v>
      </c>
    </row>
    <row r="372" spans="1:7" x14ac:dyDescent="0.15">
      <c r="A372" s="2200" t="s">
        <v>4280</v>
      </c>
      <c r="B372" s="2200" t="s">
        <v>5021</v>
      </c>
      <c r="C372" s="2200" t="s">
        <v>5022</v>
      </c>
      <c r="D372" s="2200" t="str">
        <f t="shared" si="15"/>
        <v>FL</v>
      </c>
      <c r="E372" s="2200" t="str">
        <f t="shared" si="16"/>
        <v>12</v>
      </c>
      <c r="F372" s="2200" t="str">
        <f t="shared" si="17"/>
        <v>095</v>
      </c>
      <c r="G372" s="2200">
        <f>--SUBTOTAL(3,C$2:C372)</f>
        <v>48</v>
      </c>
    </row>
    <row r="373" spans="1:7" x14ac:dyDescent="0.15">
      <c r="A373" s="2200" t="s">
        <v>4280</v>
      </c>
      <c r="B373" s="2200" t="s">
        <v>5023</v>
      </c>
      <c r="C373" s="2200" t="s">
        <v>5024</v>
      </c>
      <c r="D373" s="2200" t="str">
        <f t="shared" si="15"/>
        <v>FL</v>
      </c>
      <c r="E373" s="2200" t="str">
        <f t="shared" si="16"/>
        <v>12</v>
      </c>
      <c r="F373" s="2200" t="str">
        <f t="shared" si="17"/>
        <v>097</v>
      </c>
      <c r="G373" s="2200">
        <f>--SUBTOTAL(3,C$2:C373)</f>
        <v>49</v>
      </c>
    </row>
    <row r="374" spans="1:7" x14ac:dyDescent="0.15">
      <c r="A374" s="2200" t="s">
        <v>4280</v>
      </c>
      <c r="B374" s="2200" t="s">
        <v>5025</v>
      </c>
      <c r="C374" s="2200" t="s">
        <v>5026</v>
      </c>
      <c r="D374" s="2200" t="str">
        <f t="shared" si="15"/>
        <v>FL</v>
      </c>
      <c r="E374" s="2200" t="str">
        <f t="shared" si="16"/>
        <v>12</v>
      </c>
      <c r="F374" s="2200" t="str">
        <f t="shared" si="17"/>
        <v>099</v>
      </c>
      <c r="G374" s="2200">
        <f>--SUBTOTAL(3,C$2:C374)</f>
        <v>50</v>
      </c>
    </row>
    <row r="375" spans="1:7" x14ac:dyDescent="0.15">
      <c r="A375" s="2200" t="s">
        <v>4280</v>
      </c>
      <c r="B375" s="2200" t="s">
        <v>5027</v>
      </c>
      <c r="C375" s="2200" t="s">
        <v>5028</v>
      </c>
      <c r="D375" s="2200" t="str">
        <f t="shared" si="15"/>
        <v>FL</v>
      </c>
      <c r="E375" s="2200" t="str">
        <f t="shared" si="16"/>
        <v>12</v>
      </c>
      <c r="F375" s="2200" t="str">
        <f t="shared" si="17"/>
        <v>101</v>
      </c>
      <c r="G375" s="2200">
        <f>--SUBTOTAL(3,C$2:C375)</f>
        <v>51</v>
      </c>
    </row>
    <row r="376" spans="1:7" x14ac:dyDescent="0.15">
      <c r="A376" s="2200" t="s">
        <v>4280</v>
      </c>
      <c r="B376" s="2200" t="s">
        <v>5029</v>
      </c>
      <c r="C376" s="2200" t="s">
        <v>5030</v>
      </c>
      <c r="D376" s="2200" t="str">
        <f t="shared" si="15"/>
        <v>FL</v>
      </c>
      <c r="E376" s="2200" t="str">
        <f t="shared" si="16"/>
        <v>12</v>
      </c>
      <c r="F376" s="2200" t="str">
        <f t="shared" si="17"/>
        <v>103</v>
      </c>
      <c r="G376" s="2200">
        <f>--SUBTOTAL(3,C$2:C376)</f>
        <v>52</v>
      </c>
    </row>
    <row r="377" spans="1:7" x14ac:dyDescent="0.15">
      <c r="A377" s="2200" t="s">
        <v>4280</v>
      </c>
      <c r="B377" s="2200" t="s">
        <v>5031</v>
      </c>
      <c r="C377" s="2200" t="s">
        <v>5032</v>
      </c>
      <c r="D377" s="2200" t="str">
        <f t="shared" si="15"/>
        <v>FL</v>
      </c>
      <c r="E377" s="2200" t="str">
        <f t="shared" si="16"/>
        <v>12</v>
      </c>
      <c r="F377" s="2200" t="str">
        <f t="shared" si="17"/>
        <v>105</v>
      </c>
      <c r="G377" s="2200">
        <f>--SUBTOTAL(3,C$2:C377)</f>
        <v>53</v>
      </c>
    </row>
    <row r="378" spans="1:7" x14ac:dyDescent="0.15">
      <c r="A378" s="2200" t="s">
        <v>4280</v>
      </c>
      <c r="B378" s="2200" t="s">
        <v>5033</v>
      </c>
      <c r="C378" s="2200" t="s">
        <v>5034</v>
      </c>
      <c r="D378" s="2200" t="str">
        <f t="shared" si="15"/>
        <v>FL</v>
      </c>
      <c r="E378" s="2200" t="str">
        <f t="shared" si="16"/>
        <v>12</v>
      </c>
      <c r="F378" s="2200" t="str">
        <f t="shared" si="17"/>
        <v>107</v>
      </c>
      <c r="G378" s="2200">
        <f>--SUBTOTAL(3,C$2:C378)</f>
        <v>54</v>
      </c>
    </row>
    <row r="379" spans="1:7" x14ac:dyDescent="0.15">
      <c r="A379" s="2200" t="s">
        <v>4280</v>
      </c>
      <c r="B379" s="2200" t="s">
        <v>5035</v>
      </c>
      <c r="C379" s="2200" t="s">
        <v>5036</v>
      </c>
      <c r="D379" s="2200" t="str">
        <f t="shared" si="15"/>
        <v>FL</v>
      </c>
      <c r="E379" s="2200" t="str">
        <f t="shared" si="16"/>
        <v>12</v>
      </c>
      <c r="F379" s="2200" t="str">
        <f t="shared" si="17"/>
        <v>109</v>
      </c>
      <c r="G379" s="2200">
        <f>--SUBTOTAL(3,C$2:C379)</f>
        <v>55</v>
      </c>
    </row>
    <row r="380" spans="1:7" x14ac:dyDescent="0.15">
      <c r="A380" s="2200" t="s">
        <v>4280</v>
      </c>
      <c r="B380" s="2200" t="s">
        <v>5037</v>
      </c>
      <c r="C380" s="2200" t="s">
        <v>5038</v>
      </c>
      <c r="D380" s="2200" t="str">
        <f t="shared" si="15"/>
        <v>FL</v>
      </c>
      <c r="E380" s="2200" t="str">
        <f t="shared" si="16"/>
        <v>12</v>
      </c>
      <c r="F380" s="2200" t="str">
        <f t="shared" si="17"/>
        <v>111</v>
      </c>
      <c r="G380" s="2200">
        <f>--SUBTOTAL(3,C$2:C380)</f>
        <v>56</v>
      </c>
    </row>
    <row r="381" spans="1:7" x14ac:dyDescent="0.15">
      <c r="A381" s="2200" t="s">
        <v>4280</v>
      </c>
      <c r="B381" s="2200" t="s">
        <v>5039</v>
      </c>
      <c r="C381" s="2200" t="s">
        <v>5040</v>
      </c>
      <c r="D381" s="2200" t="str">
        <f t="shared" si="15"/>
        <v>FL</v>
      </c>
      <c r="E381" s="2200" t="str">
        <f t="shared" si="16"/>
        <v>12</v>
      </c>
      <c r="F381" s="2200" t="str">
        <f t="shared" si="17"/>
        <v>113</v>
      </c>
      <c r="G381" s="2200">
        <f>--SUBTOTAL(3,C$2:C381)</f>
        <v>57</v>
      </c>
    </row>
    <row r="382" spans="1:7" x14ac:dyDescent="0.15">
      <c r="A382" s="2200" t="s">
        <v>4280</v>
      </c>
      <c r="B382" s="2200" t="s">
        <v>5041</v>
      </c>
      <c r="C382" s="2200" t="s">
        <v>5042</v>
      </c>
      <c r="D382" s="2200" t="str">
        <f t="shared" si="15"/>
        <v>FL</v>
      </c>
      <c r="E382" s="2200" t="str">
        <f t="shared" si="16"/>
        <v>12</v>
      </c>
      <c r="F382" s="2200" t="str">
        <f t="shared" si="17"/>
        <v>115</v>
      </c>
      <c r="G382" s="2200">
        <f>--SUBTOTAL(3,C$2:C382)</f>
        <v>58</v>
      </c>
    </row>
    <row r="383" spans="1:7" x14ac:dyDescent="0.15">
      <c r="A383" s="2200" t="s">
        <v>4280</v>
      </c>
      <c r="B383" s="2200" t="s">
        <v>5043</v>
      </c>
      <c r="C383" s="2200" t="s">
        <v>5044</v>
      </c>
      <c r="D383" s="2200" t="str">
        <f t="shared" si="15"/>
        <v>FL</v>
      </c>
      <c r="E383" s="2200" t="str">
        <f t="shared" si="16"/>
        <v>12</v>
      </c>
      <c r="F383" s="2200" t="str">
        <f t="shared" si="17"/>
        <v>117</v>
      </c>
      <c r="G383" s="2200">
        <f>--SUBTOTAL(3,C$2:C383)</f>
        <v>59</v>
      </c>
    </row>
    <row r="384" spans="1:7" x14ac:dyDescent="0.15">
      <c r="A384" s="2200" t="s">
        <v>4280</v>
      </c>
      <c r="B384" s="2200" t="s">
        <v>5045</v>
      </c>
      <c r="C384" s="2200" t="s">
        <v>5046</v>
      </c>
      <c r="D384" s="2200" t="str">
        <f t="shared" si="15"/>
        <v>FL</v>
      </c>
      <c r="E384" s="2200" t="str">
        <f t="shared" si="16"/>
        <v>12</v>
      </c>
      <c r="F384" s="2200" t="str">
        <f t="shared" si="17"/>
        <v>119</v>
      </c>
      <c r="G384" s="2200">
        <f>--SUBTOTAL(3,C$2:C384)</f>
        <v>60</v>
      </c>
    </row>
    <row r="385" spans="1:7" x14ac:dyDescent="0.15">
      <c r="A385" s="2200" t="s">
        <v>4280</v>
      </c>
      <c r="B385" s="2200" t="s">
        <v>5047</v>
      </c>
      <c r="C385" s="2200" t="s">
        <v>5048</v>
      </c>
      <c r="D385" s="2200" t="str">
        <f t="shared" si="15"/>
        <v>FL</v>
      </c>
      <c r="E385" s="2200" t="str">
        <f t="shared" si="16"/>
        <v>12</v>
      </c>
      <c r="F385" s="2200" t="str">
        <f t="shared" si="17"/>
        <v>121</v>
      </c>
      <c r="G385" s="2200">
        <f>--SUBTOTAL(3,C$2:C385)</f>
        <v>61</v>
      </c>
    </row>
    <row r="386" spans="1:7" x14ac:dyDescent="0.15">
      <c r="A386" s="2200" t="s">
        <v>4280</v>
      </c>
      <c r="B386" s="2200" t="s">
        <v>5049</v>
      </c>
      <c r="C386" s="2200" t="s">
        <v>5050</v>
      </c>
      <c r="D386" s="2200" t="str">
        <f t="shared" si="15"/>
        <v>FL</v>
      </c>
      <c r="E386" s="2200" t="str">
        <f t="shared" si="16"/>
        <v>12</v>
      </c>
      <c r="F386" s="2200" t="str">
        <f t="shared" si="17"/>
        <v>123</v>
      </c>
      <c r="G386" s="2200">
        <f>--SUBTOTAL(3,C$2:C386)</f>
        <v>62</v>
      </c>
    </row>
    <row r="387" spans="1:7" x14ac:dyDescent="0.15">
      <c r="A387" s="2200" t="s">
        <v>4280</v>
      </c>
      <c r="B387" s="2200" t="s">
        <v>5051</v>
      </c>
      <c r="C387" s="2200" t="s">
        <v>5052</v>
      </c>
      <c r="D387" s="2200" t="str">
        <f t="shared" ref="D387:D450" si="18">RIGHT(C387,2)</f>
        <v>FL</v>
      </c>
      <c r="E387" s="2200" t="str">
        <f t="shared" ref="E387:E450" si="19">MID(B387,3,2)</f>
        <v>12</v>
      </c>
      <c r="F387" s="2200" t="str">
        <f t="shared" ref="F387:F450" si="20">MID(B387,5,3)</f>
        <v>125</v>
      </c>
      <c r="G387" s="2200">
        <f>--SUBTOTAL(3,C$2:C387)</f>
        <v>63</v>
      </c>
    </row>
    <row r="388" spans="1:7" x14ac:dyDescent="0.15">
      <c r="A388" s="2200" t="s">
        <v>4280</v>
      </c>
      <c r="B388" s="2200" t="s">
        <v>5053</v>
      </c>
      <c r="C388" s="2200" t="s">
        <v>5054</v>
      </c>
      <c r="D388" s="2200" t="str">
        <f t="shared" si="18"/>
        <v>FL</v>
      </c>
      <c r="E388" s="2200" t="str">
        <f t="shared" si="19"/>
        <v>12</v>
      </c>
      <c r="F388" s="2200" t="str">
        <f t="shared" si="20"/>
        <v>127</v>
      </c>
      <c r="G388" s="2200">
        <f>--SUBTOTAL(3,C$2:C388)</f>
        <v>64</v>
      </c>
    </row>
    <row r="389" spans="1:7" x14ac:dyDescent="0.15">
      <c r="A389" s="2200" t="s">
        <v>4280</v>
      </c>
      <c r="B389" s="2200" t="s">
        <v>5055</v>
      </c>
      <c r="C389" s="2200" t="s">
        <v>5056</v>
      </c>
      <c r="D389" s="2200" t="str">
        <f t="shared" si="18"/>
        <v>FL</v>
      </c>
      <c r="E389" s="2200" t="str">
        <f t="shared" si="19"/>
        <v>12</v>
      </c>
      <c r="F389" s="2200" t="str">
        <f t="shared" si="20"/>
        <v>129</v>
      </c>
      <c r="G389" s="2200">
        <f>--SUBTOTAL(3,C$2:C389)</f>
        <v>65</v>
      </c>
    </row>
    <row r="390" spans="1:7" x14ac:dyDescent="0.15">
      <c r="A390" s="2200" t="s">
        <v>4280</v>
      </c>
      <c r="B390" s="2200" t="s">
        <v>5057</v>
      </c>
      <c r="C390" s="2200" t="s">
        <v>5058</v>
      </c>
      <c r="D390" s="2200" t="str">
        <f t="shared" si="18"/>
        <v>FL</v>
      </c>
      <c r="E390" s="2200" t="str">
        <f t="shared" si="19"/>
        <v>12</v>
      </c>
      <c r="F390" s="2200" t="str">
        <f t="shared" si="20"/>
        <v>131</v>
      </c>
      <c r="G390" s="2200">
        <f>--SUBTOTAL(3,C$2:C390)</f>
        <v>66</v>
      </c>
    </row>
    <row r="391" spans="1:7" x14ac:dyDescent="0.15">
      <c r="A391" s="2200" t="s">
        <v>4280</v>
      </c>
      <c r="B391" s="2200" t="s">
        <v>5059</v>
      </c>
      <c r="C391" s="2200" t="s">
        <v>5060</v>
      </c>
      <c r="D391" s="2200" t="str">
        <f t="shared" si="18"/>
        <v>FL</v>
      </c>
      <c r="E391" s="2200" t="str">
        <f t="shared" si="19"/>
        <v>12</v>
      </c>
      <c r="F391" s="2200" t="str">
        <f t="shared" si="20"/>
        <v>133</v>
      </c>
      <c r="G391" s="2200">
        <f>--SUBTOTAL(3,C$2:C391)</f>
        <v>67</v>
      </c>
    </row>
    <row r="392" spans="1:7" hidden="1" x14ac:dyDescent="0.15">
      <c r="A392" s="2200" t="s">
        <v>4280</v>
      </c>
      <c r="B392" s="2200" t="s">
        <v>5061</v>
      </c>
      <c r="C392" s="2200" t="s">
        <v>5062</v>
      </c>
      <c r="D392" s="2200" t="str">
        <f t="shared" si="18"/>
        <v>GA</v>
      </c>
      <c r="E392" s="2200" t="str">
        <f t="shared" si="19"/>
        <v>13</v>
      </c>
      <c r="F392" s="2200" t="str">
        <f t="shared" si="20"/>
        <v>001</v>
      </c>
      <c r="G392" s="2200">
        <f>--SUBTOTAL(3,C$2:C392)</f>
        <v>67</v>
      </c>
    </row>
    <row r="393" spans="1:7" hidden="1" x14ac:dyDescent="0.15">
      <c r="A393" s="2200" t="s">
        <v>4280</v>
      </c>
      <c r="B393" s="2200" t="s">
        <v>5063</v>
      </c>
      <c r="C393" s="2200" t="s">
        <v>5064</v>
      </c>
      <c r="D393" s="2200" t="str">
        <f t="shared" si="18"/>
        <v>GA</v>
      </c>
      <c r="E393" s="2200" t="str">
        <f t="shared" si="19"/>
        <v>13</v>
      </c>
      <c r="F393" s="2200" t="str">
        <f t="shared" si="20"/>
        <v>003</v>
      </c>
      <c r="G393" s="2200">
        <f>--SUBTOTAL(3,C$2:C393)</f>
        <v>67</v>
      </c>
    </row>
    <row r="394" spans="1:7" hidden="1" x14ac:dyDescent="0.15">
      <c r="A394" s="2200" t="s">
        <v>4280</v>
      </c>
      <c r="B394" s="2200" t="s">
        <v>5065</v>
      </c>
      <c r="C394" s="2200" t="s">
        <v>5066</v>
      </c>
      <c r="D394" s="2200" t="str">
        <f t="shared" si="18"/>
        <v>GA</v>
      </c>
      <c r="E394" s="2200" t="str">
        <f t="shared" si="19"/>
        <v>13</v>
      </c>
      <c r="F394" s="2200" t="str">
        <f t="shared" si="20"/>
        <v>005</v>
      </c>
      <c r="G394" s="2200">
        <f>--SUBTOTAL(3,C$2:C394)</f>
        <v>67</v>
      </c>
    </row>
    <row r="395" spans="1:7" hidden="1" x14ac:dyDescent="0.15">
      <c r="A395" s="2200" t="s">
        <v>4280</v>
      </c>
      <c r="B395" s="2200" t="s">
        <v>5067</v>
      </c>
      <c r="C395" s="2200" t="s">
        <v>5068</v>
      </c>
      <c r="D395" s="2200" t="str">
        <f t="shared" si="18"/>
        <v>GA</v>
      </c>
      <c r="E395" s="2200" t="str">
        <f t="shared" si="19"/>
        <v>13</v>
      </c>
      <c r="F395" s="2200" t="str">
        <f t="shared" si="20"/>
        <v>007</v>
      </c>
      <c r="G395" s="2200">
        <f>--SUBTOTAL(3,C$2:C395)</f>
        <v>67</v>
      </c>
    </row>
    <row r="396" spans="1:7" hidden="1" x14ac:dyDescent="0.15">
      <c r="A396" s="2200" t="s">
        <v>4280</v>
      </c>
      <c r="B396" s="2200" t="s">
        <v>5069</v>
      </c>
      <c r="C396" s="2200" t="s">
        <v>5070</v>
      </c>
      <c r="D396" s="2200" t="str">
        <f t="shared" si="18"/>
        <v>GA</v>
      </c>
      <c r="E396" s="2200" t="str">
        <f t="shared" si="19"/>
        <v>13</v>
      </c>
      <c r="F396" s="2200" t="str">
        <f t="shared" si="20"/>
        <v>009</v>
      </c>
      <c r="G396" s="2200">
        <f>--SUBTOTAL(3,C$2:C396)</f>
        <v>67</v>
      </c>
    </row>
    <row r="397" spans="1:7" hidden="1" x14ac:dyDescent="0.15">
      <c r="A397" s="2200" t="s">
        <v>4280</v>
      </c>
      <c r="B397" s="2200" t="s">
        <v>5071</v>
      </c>
      <c r="C397" s="2200" t="s">
        <v>5072</v>
      </c>
      <c r="D397" s="2200" t="str">
        <f t="shared" si="18"/>
        <v>GA</v>
      </c>
      <c r="E397" s="2200" t="str">
        <f t="shared" si="19"/>
        <v>13</v>
      </c>
      <c r="F397" s="2200" t="str">
        <f t="shared" si="20"/>
        <v>011</v>
      </c>
      <c r="G397" s="2200">
        <f>--SUBTOTAL(3,C$2:C397)</f>
        <v>67</v>
      </c>
    </row>
    <row r="398" spans="1:7" hidden="1" x14ac:dyDescent="0.15">
      <c r="A398" s="2200" t="s">
        <v>4280</v>
      </c>
      <c r="B398" s="2200" t="s">
        <v>5073</v>
      </c>
      <c r="C398" s="2200" t="s">
        <v>5074</v>
      </c>
      <c r="D398" s="2200" t="str">
        <f t="shared" si="18"/>
        <v>GA</v>
      </c>
      <c r="E398" s="2200" t="str">
        <f t="shared" si="19"/>
        <v>13</v>
      </c>
      <c r="F398" s="2200" t="str">
        <f t="shared" si="20"/>
        <v>013</v>
      </c>
      <c r="G398" s="2200">
        <f>--SUBTOTAL(3,C$2:C398)</f>
        <v>67</v>
      </c>
    </row>
    <row r="399" spans="1:7" hidden="1" x14ac:dyDescent="0.15">
      <c r="A399" s="2200" t="s">
        <v>4280</v>
      </c>
      <c r="B399" s="2200" t="s">
        <v>5075</v>
      </c>
      <c r="C399" s="2200" t="s">
        <v>5076</v>
      </c>
      <c r="D399" s="2200" t="str">
        <f t="shared" si="18"/>
        <v>GA</v>
      </c>
      <c r="E399" s="2200" t="str">
        <f t="shared" si="19"/>
        <v>13</v>
      </c>
      <c r="F399" s="2200" t="str">
        <f t="shared" si="20"/>
        <v>015</v>
      </c>
      <c r="G399" s="2200">
        <f>--SUBTOTAL(3,C$2:C399)</f>
        <v>67</v>
      </c>
    </row>
    <row r="400" spans="1:7" hidden="1" x14ac:dyDescent="0.15">
      <c r="A400" s="2200" t="s">
        <v>4280</v>
      </c>
      <c r="B400" s="2200" t="s">
        <v>5077</v>
      </c>
      <c r="C400" s="2200" t="s">
        <v>5078</v>
      </c>
      <c r="D400" s="2200" t="str">
        <f t="shared" si="18"/>
        <v>GA</v>
      </c>
      <c r="E400" s="2200" t="str">
        <f t="shared" si="19"/>
        <v>13</v>
      </c>
      <c r="F400" s="2200" t="str">
        <f t="shared" si="20"/>
        <v>017</v>
      </c>
      <c r="G400" s="2200">
        <f>--SUBTOTAL(3,C$2:C400)</f>
        <v>67</v>
      </c>
    </row>
    <row r="401" spans="1:7" hidden="1" x14ac:dyDescent="0.15">
      <c r="A401" s="2200" t="s">
        <v>4280</v>
      </c>
      <c r="B401" s="2200" t="s">
        <v>5079</v>
      </c>
      <c r="C401" s="2200" t="s">
        <v>5080</v>
      </c>
      <c r="D401" s="2200" t="str">
        <f t="shared" si="18"/>
        <v>GA</v>
      </c>
      <c r="E401" s="2200" t="str">
        <f t="shared" si="19"/>
        <v>13</v>
      </c>
      <c r="F401" s="2200" t="str">
        <f t="shared" si="20"/>
        <v>019</v>
      </c>
      <c r="G401" s="2200">
        <f>--SUBTOTAL(3,C$2:C401)</f>
        <v>67</v>
      </c>
    </row>
    <row r="402" spans="1:7" hidden="1" x14ac:dyDescent="0.15">
      <c r="A402" s="2200" t="s">
        <v>4280</v>
      </c>
      <c r="B402" s="2200" t="s">
        <v>5081</v>
      </c>
      <c r="C402" s="2200" t="s">
        <v>5082</v>
      </c>
      <c r="D402" s="2200" t="str">
        <f t="shared" si="18"/>
        <v>GA</v>
      </c>
      <c r="E402" s="2200" t="str">
        <f t="shared" si="19"/>
        <v>13</v>
      </c>
      <c r="F402" s="2200" t="str">
        <f t="shared" si="20"/>
        <v>021</v>
      </c>
      <c r="G402" s="2200">
        <f>--SUBTOTAL(3,C$2:C402)</f>
        <v>67</v>
      </c>
    </row>
    <row r="403" spans="1:7" hidden="1" x14ac:dyDescent="0.15">
      <c r="A403" s="2200" t="s">
        <v>4280</v>
      </c>
      <c r="B403" s="2200" t="s">
        <v>5083</v>
      </c>
      <c r="C403" s="2200" t="s">
        <v>5084</v>
      </c>
      <c r="D403" s="2200" t="str">
        <f t="shared" si="18"/>
        <v>GA</v>
      </c>
      <c r="E403" s="2200" t="str">
        <f t="shared" si="19"/>
        <v>13</v>
      </c>
      <c r="F403" s="2200" t="str">
        <f t="shared" si="20"/>
        <v>023</v>
      </c>
      <c r="G403" s="2200">
        <f>--SUBTOTAL(3,C$2:C403)</f>
        <v>67</v>
      </c>
    </row>
    <row r="404" spans="1:7" hidden="1" x14ac:dyDescent="0.15">
      <c r="A404" s="2200" t="s">
        <v>4280</v>
      </c>
      <c r="B404" s="2200" t="s">
        <v>5085</v>
      </c>
      <c r="C404" s="2200" t="s">
        <v>5086</v>
      </c>
      <c r="D404" s="2200" t="str">
        <f t="shared" si="18"/>
        <v>GA</v>
      </c>
      <c r="E404" s="2200" t="str">
        <f t="shared" si="19"/>
        <v>13</v>
      </c>
      <c r="F404" s="2200" t="str">
        <f t="shared" si="20"/>
        <v>025</v>
      </c>
      <c r="G404" s="2200">
        <f>--SUBTOTAL(3,C$2:C404)</f>
        <v>67</v>
      </c>
    </row>
    <row r="405" spans="1:7" hidden="1" x14ac:dyDescent="0.15">
      <c r="A405" s="2200" t="s">
        <v>4280</v>
      </c>
      <c r="B405" s="2200" t="s">
        <v>5087</v>
      </c>
      <c r="C405" s="2200" t="s">
        <v>5088</v>
      </c>
      <c r="D405" s="2200" t="str">
        <f t="shared" si="18"/>
        <v>GA</v>
      </c>
      <c r="E405" s="2200" t="str">
        <f t="shared" si="19"/>
        <v>13</v>
      </c>
      <c r="F405" s="2200" t="str">
        <f t="shared" si="20"/>
        <v>027</v>
      </c>
      <c r="G405" s="2200">
        <f>--SUBTOTAL(3,C$2:C405)</f>
        <v>67</v>
      </c>
    </row>
    <row r="406" spans="1:7" hidden="1" x14ac:dyDescent="0.15">
      <c r="A406" s="2200" t="s">
        <v>4280</v>
      </c>
      <c r="B406" s="2200" t="s">
        <v>5089</v>
      </c>
      <c r="C406" s="2200" t="s">
        <v>5090</v>
      </c>
      <c r="D406" s="2200" t="str">
        <f t="shared" si="18"/>
        <v>GA</v>
      </c>
      <c r="E406" s="2200" t="str">
        <f t="shared" si="19"/>
        <v>13</v>
      </c>
      <c r="F406" s="2200" t="str">
        <f t="shared" si="20"/>
        <v>029</v>
      </c>
      <c r="G406" s="2200">
        <f>--SUBTOTAL(3,C$2:C406)</f>
        <v>67</v>
      </c>
    </row>
    <row r="407" spans="1:7" hidden="1" x14ac:dyDescent="0.15">
      <c r="A407" s="2200" t="s">
        <v>4280</v>
      </c>
      <c r="B407" s="2200" t="s">
        <v>5091</v>
      </c>
      <c r="C407" s="2200" t="s">
        <v>5092</v>
      </c>
      <c r="D407" s="2200" t="str">
        <f t="shared" si="18"/>
        <v>GA</v>
      </c>
      <c r="E407" s="2200" t="str">
        <f t="shared" si="19"/>
        <v>13</v>
      </c>
      <c r="F407" s="2200" t="str">
        <f t="shared" si="20"/>
        <v>031</v>
      </c>
      <c r="G407" s="2200">
        <f>--SUBTOTAL(3,C$2:C407)</f>
        <v>67</v>
      </c>
    </row>
    <row r="408" spans="1:7" hidden="1" x14ac:dyDescent="0.15">
      <c r="A408" s="2200" t="s">
        <v>4280</v>
      </c>
      <c r="B408" s="2200" t="s">
        <v>5093</v>
      </c>
      <c r="C408" s="2200" t="s">
        <v>5094</v>
      </c>
      <c r="D408" s="2200" t="str">
        <f t="shared" si="18"/>
        <v>GA</v>
      </c>
      <c r="E408" s="2200" t="str">
        <f t="shared" si="19"/>
        <v>13</v>
      </c>
      <c r="F408" s="2200" t="str">
        <f t="shared" si="20"/>
        <v>033</v>
      </c>
      <c r="G408" s="2200">
        <f>--SUBTOTAL(3,C$2:C408)</f>
        <v>67</v>
      </c>
    </row>
    <row r="409" spans="1:7" hidden="1" x14ac:dyDescent="0.15">
      <c r="A409" s="2200" t="s">
        <v>4280</v>
      </c>
      <c r="B409" s="2200" t="s">
        <v>5095</v>
      </c>
      <c r="C409" s="2200" t="s">
        <v>5096</v>
      </c>
      <c r="D409" s="2200" t="str">
        <f t="shared" si="18"/>
        <v>GA</v>
      </c>
      <c r="E409" s="2200" t="str">
        <f t="shared" si="19"/>
        <v>13</v>
      </c>
      <c r="F409" s="2200" t="str">
        <f t="shared" si="20"/>
        <v>035</v>
      </c>
      <c r="G409" s="2200">
        <f>--SUBTOTAL(3,C$2:C409)</f>
        <v>67</v>
      </c>
    </row>
    <row r="410" spans="1:7" hidden="1" x14ac:dyDescent="0.15">
      <c r="A410" s="2200" t="s">
        <v>4280</v>
      </c>
      <c r="B410" s="2200" t="s">
        <v>5097</v>
      </c>
      <c r="C410" s="2200" t="s">
        <v>5098</v>
      </c>
      <c r="D410" s="2200" t="str">
        <f t="shared" si="18"/>
        <v>GA</v>
      </c>
      <c r="E410" s="2200" t="str">
        <f t="shared" si="19"/>
        <v>13</v>
      </c>
      <c r="F410" s="2200" t="str">
        <f t="shared" si="20"/>
        <v>037</v>
      </c>
      <c r="G410" s="2200">
        <f>--SUBTOTAL(3,C$2:C410)</f>
        <v>67</v>
      </c>
    </row>
    <row r="411" spans="1:7" hidden="1" x14ac:dyDescent="0.15">
      <c r="A411" s="2200" t="s">
        <v>4280</v>
      </c>
      <c r="B411" s="2200" t="s">
        <v>5099</v>
      </c>
      <c r="C411" s="2200" t="s">
        <v>5100</v>
      </c>
      <c r="D411" s="2200" t="str">
        <f t="shared" si="18"/>
        <v>GA</v>
      </c>
      <c r="E411" s="2200" t="str">
        <f t="shared" si="19"/>
        <v>13</v>
      </c>
      <c r="F411" s="2200" t="str">
        <f t="shared" si="20"/>
        <v>039</v>
      </c>
      <c r="G411" s="2200">
        <f>--SUBTOTAL(3,C$2:C411)</f>
        <v>67</v>
      </c>
    </row>
    <row r="412" spans="1:7" hidden="1" x14ac:dyDescent="0.15">
      <c r="A412" s="2200" t="s">
        <v>4280</v>
      </c>
      <c r="B412" s="2200" t="s">
        <v>5101</v>
      </c>
      <c r="C412" s="2200" t="s">
        <v>5102</v>
      </c>
      <c r="D412" s="2200" t="str">
        <f t="shared" si="18"/>
        <v>GA</v>
      </c>
      <c r="E412" s="2200" t="str">
        <f t="shared" si="19"/>
        <v>13</v>
      </c>
      <c r="F412" s="2200" t="str">
        <f t="shared" si="20"/>
        <v>043</v>
      </c>
      <c r="G412" s="2200">
        <f>--SUBTOTAL(3,C$2:C412)</f>
        <v>67</v>
      </c>
    </row>
    <row r="413" spans="1:7" hidden="1" x14ac:dyDescent="0.15">
      <c r="A413" s="2200" t="s">
        <v>4280</v>
      </c>
      <c r="B413" s="2200" t="s">
        <v>5103</v>
      </c>
      <c r="C413" s="2200" t="s">
        <v>5104</v>
      </c>
      <c r="D413" s="2200" t="str">
        <f t="shared" si="18"/>
        <v>GA</v>
      </c>
      <c r="E413" s="2200" t="str">
        <f t="shared" si="19"/>
        <v>13</v>
      </c>
      <c r="F413" s="2200" t="str">
        <f t="shared" si="20"/>
        <v>045</v>
      </c>
      <c r="G413" s="2200">
        <f>--SUBTOTAL(3,C$2:C413)</f>
        <v>67</v>
      </c>
    </row>
    <row r="414" spans="1:7" hidden="1" x14ac:dyDescent="0.15">
      <c r="A414" s="2200" t="s">
        <v>4280</v>
      </c>
      <c r="B414" s="2200" t="s">
        <v>5105</v>
      </c>
      <c r="C414" s="2200" t="s">
        <v>5106</v>
      </c>
      <c r="D414" s="2200" t="str">
        <f t="shared" si="18"/>
        <v>GA</v>
      </c>
      <c r="E414" s="2200" t="str">
        <f t="shared" si="19"/>
        <v>13</v>
      </c>
      <c r="F414" s="2200" t="str">
        <f t="shared" si="20"/>
        <v>047</v>
      </c>
      <c r="G414" s="2200">
        <f>--SUBTOTAL(3,C$2:C414)</f>
        <v>67</v>
      </c>
    </row>
    <row r="415" spans="1:7" hidden="1" x14ac:dyDescent="0.15">
      <c r="A415" s="2200" t="s">
        <v>4280</v>
      </c>
      <c r="B415" s="2200" t="s">
        <v>5107</v>
      </c>
      <c r="C415" s="2200" t="s">
        <v>5108</v>
      </c>
      <c r="D415" s="2200" t="str">
        <f t="shared" si="18"/>
        <v>GA</v>
      </c>
      <c r="E415" s="2200" t="str">
        <f t="shared" si="19"/>
        <v>13</v>
      </c>
      <c r="F415" s="2200" t="str">
        <f t="shared" si="20"/>
        <v>049</v>
      </c>
      <c r="G415" s="2200">
        <f>--SUBTOTAL(3,C$2:C415)</f>
        <v>67</v>
      </c>
    </row>
    <row r="416" spans="1:7" hidden="1" x14ac:dyDescent="0.15">
      <c r="A416" s="2200" t="s">
        <v>4280</v>
      </c>
      <c r="B416" s="2200" t="s">
        <v>5109</v>
      </c>
      <c r="C416" s="2200" t="s">
        <v>5110</v>
      </c>
      <c r="D416" s="2200" t="str">
        <f t="shared" si="18"/>
        <v>GA</v>
      </c>
      <c r="E416" s="2200" t="str">
        <f t="shared" si="19"/>
        <v>13</v>
      </c>
      <c r="F416" s="2200" t="str">
        <f t="shared" si="20"/>
        <v>051</v>
      </c>
      <c r="G416" s="2200">
        <f>--SUBTOTAL(3,C$2:C416)</f>
        <v>67</v>
      </c>
    </row>
    <row r="417" spans="1:7" hidden="1" x14ac:dyDescent="0.15">
      <c r="A417" s="2200" t="s">
        <v>4280</v>
      </c>
      <c r="B417" s="2200" t="s">
        <v>5111</v>
      </c>
      <c r="C417" s="2200" t="s">
        <v>5112</v>
      </c>
      <c r="D417" s="2200" t="str">
        <f t="shared" si="18"/>
        <v>GA</v>
      </c>
      <c r="E417" s="2200" t="str">
        <f t="shared" si="19"/>
        <v>13</v>
      </c>
      <c r="F417" s="2200" t="str">
        <f t="shared" si="20"/>
        <v>053</v>
      </c>
      <c r="G417" s="2200">
        <f>--SUBTOTAL(3,C$2:C417)</f>
        <v>67</v>
      </c>
    </row>
    <row r="418" spans="1:7" hidden="1" x14ac:dyDescent="0.15">
      <c r="A418" s="2200" t="s">
        <v>4280</v>
      </c>
      <c r="B418" s="2200" t="s">
        <v>5113</v>
      </c>
      <c r="C418" s="2200" t="s">
        <v>5114</v>
      </c>
      <c r="D418" s="2200" t="str">
        <f t="shared" si="18"/>
        <v>GA</v>
      </c>
      <c r="E418" s="2200" t="str">
        <f t="shared" si="19"/>
        <v>13</v>
      </c>
      <c r="F418" s="2200" t="str">
        <f t="shared" si="20"/>
        <v>055</v>
      </c>
      <c r="G418" s="2200">
        <f>--SUBTOTAL(3,C$2:C418)</f>
        <v>67</v>
      </c>
    </row>
    <row r="419" spans="1:7" hidden="1" x14ac:dyDescent="0.15">
      <c r="A419" s="2200" t="s">
        <v>4280</v>
      </c>
      <c r="B419" s="2200" t="s">
        <v>5115</v>
      </c>
      <c r="C419" s="2200" t="s">
        <v>5116</v>
      </c>
      <c r="D419" s="2200" t="str">
        <f t="shared" si="18"/>
        <v>GA</v>
      </c>
      <c r="E419" s="2200" t="str">
        <f t="shared" si="19"/>
        <v>13</v>
      </c>
      <c r="F419" s="2200" t="str">
        <f t="shared" si="20"/>
        <v>057</v>
      </c>
      <c r="G419" s="2200">
        <f>--SUBTOTAL(3,C$2:C419)</f>
        <v>67</v>
      </c>
    </row>
    <row r="420" spans="1:7" hidden="1" x14ac:dyDescent="0.15">
      <c r="A420" s="2200" t="s">
        <v>4280</v>
      </c>
      <c r="B420" s="2200" t="s">
        <v>5117</v>
      </c>
      <c r="C420" s="2200" t="s">
        <v>5118</v>
      </c>
      <c r="D420" s="2200" t="str">
        <f t="shared" si="18"/>
        <v>GA</v>
      </c>
      <c r="E420" s="2200" t="str">
        <f t="shared" si="19"/>
        <v>13</v>
      </c>
      <c r="F420" s="2200" t="str">
        <f t="shared" si="20"/>
        <v>059</v>
      </c>
      <c r="G420" s="2200">
        <f>--SUBTOTAL(3,C$2:C420)</f>
        <v>67</v>
      </c>
    </row>
    <row r="421" spans="1:7" hidden="1" x14ac:dyDescent="0.15">
      <c r="A421" s="2200" t="s">
        <v>4280</v>
      </c>
      <c r="B421" s="2200" t="s">
        <v>5119</v>
      </c>
      <c r="C421" s="2200" t="s">
        <v>5120</v>
      </c>
      <c r="D421" s="2200" t="str">
        <f t="shared" si="18"/>
        <v>GA</v>
      </c>
      <c r="E421" s="2200" t="str">
        <f t="shared" si="19"/>
        <v>13</v>
      </c>
      <c r="F421" s="2200" t="str">
        <f t="shared" si="20"/>
        <v>061</v>
      </c>
      <c r="G421" s="2200">
        <f>--SUBTOTAL(3,C$2:C421)</f>
        <v>67</v>
      </c>
    </row>
    <row r="422" spans="1:7" hidden="1" x14ac:dyDescent="0.15">
      <c r="A422" s="2200" t="s">
        <v>4280</v>
      </c>
      <c r="B422" s="2200" t="s">
        <v>5121</v>
      </c>
      <c r="C422" s="2200" t="s">
        <v>5122</v>
      </c>
      <c r="D422" s="2200" t="str">
        <f t="shared" si="18"/>
        <v>GA</v>
      </c>
      <c r="E422" s="2200" t="str">
        <f t="shared" si="19"/>
        <v>13</v>
      </c>
      <c r="F422" s="2200" t="str">
        <f t="shared" si="20"/>
        <v>063</v>
      </c>
      <c r="G422" s="2200">
        <f>--SUBTOTAL(3,C$2:C422)</f>
        <v>67</v>
      </c>
    </row>
    <row r="423" spans="1:7" hidden="1" x14ac:dyDescent="0.15">
      <c r="A423" s="2200" t="s">
        <v>4280</v>
      </c>
      <c r="B423" s="2200" t="s">
        <v>5123</v>
      </c>
      <c r="C423" s="2200" t="s">
        <v>5124</v>
      </c>
      <c r="D423" s="2200" t="str">
        <f t="shared" si="18"/>
        <v>GA</v>
      </c>
      <c r="E423" s="2200" t="str">
        <f t="shared" si="19"/>
        <v>13</v>
      </c>
      <c r="F423" s="2200" t="str">
        <f t="shared" si="20"/>
        <v>065</v>
      </c>
      <c r="G423" s="2200">
        <f>--SUBTOTAL(3,C$2:C423)</f>
        <v>67</v>
      </c>
    </row>
    <row r="424" spans="1:7" hidden="1" x14ac:dyDescent="0.15">
      <c r="A424" s="2200" t="s">
        <v>4280</v>
      </c>
      <c r="B424" s="2200" t="s">
        <v>5125</v>
      </c>
      <c r="C424" s="2200" t="s">
        <v>5126</v>
      </c>
      <c r="D424" s="2200" t="str">
        <f t="shared" si="18"/>
        <v>GA</v>
      </c>
      <c r="E424" s="2200" t="str">
        <f t="shared" si="19"/>
        <v>13</v>
      </c>
      <c r="F424" s="2200" t="str">
        <f t="shared" si="20"/>
        <v>067</v>
      </c>
      <c r="G424" s="2200">
        <f>--SUBTOTAL(3,C$2:C424)</f>
        <v>67</v>
      </c>
    </row>
    <row r="425" spans="1:7" hidden="1" x14ac:dyDescent="0.15">
      <c r="A425" s="2200" t="s">
        <v>4280</v>
      </c>
      <c r="B425" s="2200" t="s">
        <v>5127</v>
      </c>
      <c r="C425" s="2200" t="s">
        <v>5128</v>
      </c>
      <c r="D425" s="2200" t="str">
        <f t="shared" si="18"/>
        <v>GA</v>
      </c>
      <c r="E425" s="2200" t="str">
        <f t="shared" si="19"/>
        <v>13</v>
      </c>
      <c r="F425" s="2200" t="str">
        <f t="shared" si="20"/>
        <v>069</v>
      </c>
      <c r="G425" s="2200">
        <f>--SUBTOTAL(3,C$2:C425)</f>
        <v>67</v>
      </c>
    </row>
    <row r="426" spans="1:7" hidden="1" x14ac:dyDescent="0.15">
      <c r="A426" s="2200" t="s">
        <v>4280</v>
      </c>
      <c r="B426" s="2200" t="s">
        <v>5129</v>
      </c>
      <c r="C426" s="2200" t="s">
        <v>5130</v>
      </c>
      <c r="D426" s="2200" t="str">
        <f t="shared" si="18"/>
        <v>GA</v>
      </c>
      <c r="E426" s="2200" t="str">
        <f t="shared" si="19"/>
        <v>13</v>
      </c>
      <c r="F426" s="2200" t="str">
        <f t="shared" si="20"/>
        <v>071</v>
      </c>
      <c r="G426" s="2200">
        <f>--SUBTOTAL(3,C$2:C426)</f>
        <v>67</v>
      </c>
    </row>
    <row r="427" spans="1:7" hidden="1" x14ac:dyDescent="0.15">
      <c r="A427" s="2200" t="s">
        <v>4280</v>
      </c>
      <c r="B427" s="2200" t="s">
        <v>5131</v>
      </c>
      <c r="C427" s="2200" t="s">
        <v>5132</v>
      </c>
      <c r="D427" s="2200" t="str">
        <f t="shared" si="18"/>
        <v>GA</v>
      </c>
      <c r="E427" s="2200" t="str">
        <f t="shared" si="19"/>
        <v>13</v>
      </c>
      <c r="F427" s="2200" t="str">
        <f t="shared" si="20"/>
        <v>073</v>
      </c>
      <c r="G427" s="2200">
        <f>--SUBTOTAL(3,C$2:C427)</f>
        <v>67</v>
      </c>
    </row>
    <row r="428" spans="1:7" hidden="1" x14ac:dyDescent="0.15">
      <c r="A428" s="2200" t="s">
        <v>4280</v>
      </c>
      <c r="B428" s="2200" t="s">
        <v>5133</v>
      </c>
      <c r="C428" s="2200" t="s">
        <v>5134</v>
      </c>
      <c r="D428" s="2200" t="str">
        <f t="shared" si="18"/>
        <v>GA</v>
      </c>
      <c r="E428" s="2200" t="str">
        <f t="shared" si="19"/>
        <v>13</v>
      </c>
      <c r="F428" s="2200" t="str">
        <f t="shared" si="20"/>
        <v>075</v>
      </c>
      <c r="G428" s="2200">
        <f>--SUBTOTAL(3,C$2:C428)</f>
        <v>67</v>
      </c>
    </row>
    <row r="429" spans="1:7" hidden="1" x14ac:dyDescent="0.15">
      <c r="A429" s="2200" t="s">
        <v>4280</v>
      </c>
      <c r="B429" s="2200" t="s">
        <v>5135</v>
      </c>
      <c r="C429" s="2200" t="s">
        <v>5136</v>
      </c>
      <c r="D429" s="2200" t="str">
        <f t="shared" si="18"/>
        <v>GA</v>
      </c>
      <c r="E429" s="2200" t="str">
        <f t="shared" si="19"/>
        <v>13</v>
      </c>
      <c r="F429" s="2200" t="str">
        <f t="shared" si="20"/>
        <v>077</v>
      </c>
      <c r="G429" s="2200">
        <f>--SUBTOTAL(3,C$2:C429)</f>
        <v>67</v>
      </c>
    </row>
    <row r="430" spans="1:7" hidden="1" x14ac:dyDescent="0.15">
      <c r="A430" s="2200" t="s">
        <v>4280</v>
      </c>
      <c r="B430" s="2200" t="s">
        <v>5137</v>
      </c>
      <c r="C430" s="2200" t="s">
        <v>5138</v>
      </c>
      <c r="D430" s="2200" t="str">
        <f t="shared" si="18"/>
        <v>GA</v>
      </c>
      <c r="E430" s="2200" t="str">
        <f t="shared" si="19"/>
        <v>13</v>
      </c>
      <c r="F430" s="2200" t="str">
        <f t="shared" si="20"/>
        <v>079</v>
      </c>
      <c r="G430" s="2200">
        <f>--SUBTOTAL(3,C$2:C430)</f>
        <v>67</v>
      </c>
    </row>
    <row r="431" spans="1:7" hidden="1" x14ac:dyDescent="0.15">
      <c r="A431" s="2200" t="s">
        <v>4280</v>
      </c>
      <c r="B431" s="2200" t="s">
        <v>5139</v>
      </c>
      <c r="C431" s="2200" t="s">
        <v>5140</v>
      </c>
      <c r="D431" s="2200" t="str">
        <f t="shared" si="18"/>
        <v>GA</v>
      </c>
      <c r="E431" s="2200" t="str">
        <f t="shared" si="19"/>
        <v>13</v>
      </c>
      <c r="F431" s="2200" t="str">
        <f t="shared" si="20"/>
        <v>081</v>
      </c>
      <c r="G431" s="2200">
        <f>--SUBTOTAL(3,C$2:C431)</f>
        <v>67</v>
      </c>
    </row>
    <row r="432" spans="1:7" hidden="1" x14ac:dyDescent="0.15">
      <c r="A432" s="2200" t="s">
        <v>4280</v>
      </c>
      <c r="B432" s="2200" t="s">
        <v>5141</v>
      </c>
      <c r="C432" s="2200" t="s">
        <v>5142</v>
      </c>
      <c r="D432" s="2200" t="str">
        <f t="shared" si="18"/>
        <v>GA</v>
      </c>
      <c r="E432" s="2200" t="str">
        <f t="shared" si="19"/>
        <v>13</v>
      </c>
      <c r="F432" s="2200" t="str">
        <f t="shared" si="20"/>
        <v>083</v>
      </c>
      <c r="G432" s="2200">
        <f>--SUBTOTAL(3,C$2:C432)</f>
        <v>67</v>
      </c>
    </row>
    <row r="433" spans="1:7" hidden="1" x14ac:dyDescent="0.15">
      <c r="A433" s="2200" t="s">
        <v>4280</v>
      </c>
      <c r="B433" s="2200" t="s">
        <v>5143</v>
      </c>
      <c r="C433" s="2200" t="s">
        <v>5144</v>
      </c>
      <c r="D433" s="2200" t="str">
        <f t="shared" si="18"/>
        <v>GA</v>
      </c>
      <c r="E433" s="2200" t="str">
        <f t="shared" si="19"/>
        <v>13</v>
      </c>
      <c r="F433" s="2200" t="str">
        <f t="shared" si="20"/>
        <v>085</v>
      </c>
      <c r="G433" s="2200">
        <f>--SUBTOTAL(3,C$2:C433)</f>
        <v>67</v>
      </c>
    </row>
    <row r="434" spans="1:7" hidden="1" x14ac:dyDescent="0.15">
      <c r="A434" s="2200" t="s">
        <v>4280</v>
      </c>
      <c r="B434" s="2200" t="s">
        <v>5145</v>
      </c>
      <c r="C434" s="2200" t="s">
        <v>5146</v>
      </c>
      <c r="D434" s="2200" t="str">
        <f t="shared" si="18"/>
        <v>GA</v>
      </c>
      <c r="E434" s="2200" t="str">
        <f t="shared" si="19"/>
        <v>13</v>
      </c>
      <c r="F434" s="2200" t="str">
        <f t="shared" si="20"/>
        <v>087</v>
      </c>
      <c r="G434" s="2200">
        <f>--SUBTOTAL(3,C$2:C434)</f>
        <v>67</v>
      </c>
    </row>
    <row r="435" spans="1:7" hidden="1" x14ac:dyDescent="0.15">
      <c r="A435" s="2200" t="s">
        <v>4280</v>
      </c>
      <c r="B435" s="2200" t="s">
        <v>5147</v>
      </c>
      <c r="C435" s="2200" t="s">
        <v>5148</v>
      </c>
      <c r="D435" s="2200" t="str">
        <f t="shared" si="18"/>
        <v>GA</v>
      </c>
      <c r="E435" s="2200" t="str">
        <f t="shared" si="19"/>
        <v>13</v>
      </c>
      <c r="F435" s="2200" t="str">
        <f t="shared" si="20"/>
        <v>089</v>
      </c>
      <c r="G435" s="2200">
        <f>--SUBTOTAL(3,C$2:C435)</f>
        <v>67</v>
      </c>
    </row>
    <row r="436" spans="1:7" hidden="1" x14ac:dyDescent="0.15">
      <c r="A436" s="2200" t="s">
        <v>4280</v>
      </c>
      <c r="B436" s="2200" t="s">
        <v>5149</v>
      </c>
      <c r="C436" s="2200" t="s">
        <v>5150</v>
      </c>
      <c r="D436" s="2200" t="str">
        <f t="shared" si="18"/>
        <v>GA</v>
      </c>
      <c r="E436" s="2200" t="str">
        <f t="shared" si="19"/>
        <v>13</v>
      </c>
      <c r="F436" s="2200" t="str">
        <f t="shared" si="20"/>
        <v>091</v>
      </c>
      <c r="G436" s="2200">
        <f>--SUBTOTAL(3,C$2:C436)</f>
        <v>67</v>
      </c>
    </row>
    <row r="437" spans="1:7" hidden="1" x14ac:dyDescent="0.15">
      <c r="A437" s="2200" t="s">
        <v>4280</v>
      </c>
      <c r="B437" s="2200" t="s">
        <v>5151</v>
      </c>
      <c r="C437" s="2200" t="s">
        <v>5152</v>
      </c>
      <c r="D437" s="2200" t="str">
        <f t="shared" si="18"/>
        <v>GA</v>
      </c>
      <c r="E437" s="2200" t="str">
        <f t="shared" si="19"/>
        <v>13</v>
      </c>
      <c r="F437" s="2200" t="str">
        <f t="shared" si="20"/>
        <v>093</v>
      </c>
      <c r="G437" s="2200">
        <f>--SUBTOTAL(3,C$2:C437)</f>
        <v>67</v>
      </c>
    </row>
    <row r="438" spans="1:7" hidden="1" x14ac:dyDescent="0.15">
      <c r="A438" s="2200" t="s">
        <v>4280</v>
      </c>
      <c r="B438" s="2200" t="s">
        <v>5153</v>
      </c>
      <c r="C438" s="2200" t="s">
        <v>5154</v>
      </c>
      <c r="D438" s="2200" t="str">
        <f t="shared" si="18"/>
        <v>GA</v>
      </c>
      <c r="E438" s="2200" t="str">
        <f t="shared" si="19"/>
        <v>13</v>
      </c>
      <c r="F438" s="2200" t="str">
        <f t="shared" si="20"/>
        <v>095</v>
      </c>
      <c r="G438" s="2200">
        <f>--SUBTOTAL(3,C$2:C438)</f>
        <v>67</v>
      </c>
    </row>
    <row r="439" spans="1:7" hidden="1" x14ac:dyDescent="0.15">
      <c r="A439" s="2200" t="s">
        <v>4280</v>
      </c>
      <c r="B439" s="2200" t="s">
        <v>5155</v>
      </c>
      <c r="C439" s="2200" t="s">
        <v>5156</v>
      </c>
      <c r="D439" s="2200" t="str">
        <f t="shared" si="18"/>
        <v>GA</v>
      </c>
      <c r="E439" s="2200" t="str">
        <f t="shared" si="19"/>
        <v>13</v>
      </c>
      <c r="F439" s="2200" t="str">
        <f t="shared" si="20"/>
        <v>097</v>
      </c>
      <c r="G439" s="2200">
        <f>--SUBTOTAL(3,C$2:C439)</f>
        <v>67</v>
      </c>
    </row>
    <row r="440" spans="1:7" hidden="1" x14ac:dyDescent="0.15">
      <c r="A440" s="2200" t="s">
        <v>4280</v>
      </c>
      <c r="B440" s="2200" t="s">
        <v>5157</v>
      </c>
      <c r="C440" s="2200" t="s">
        <v>5158</v>
      </c>
      <c r="D440" s="2200" t="str">
        <f t="shared" si="18"/>
        <v>GA</v>
      </c>
      <c r="E440" s="2200" t="str">
        <f t="shared" si="19"/>
        <v>13</v>
      </c>
      <c r="F440" s="2200" t="str">
        <f t="shared" si="20"/>
        <v>099</v>
      </c>
      <c r="G440" s="2200">
        <f>--SUBTOTAL(3,C$2:C440)</f>
        <v>67</v>
      </c>
    </row>
    <row r="441" spans="1:7" hidden="1" x14ac:dyDescent="0.15">
      <c r="A441" s="2200" t="s">
        <v>4280</v>
      </c>
      <c r="B441" s="2200" t="s">
        <v>5159</v>
      </c>
      <c r="C441" s="2200" t="s">
        <v>5160</v>
      </c>
      <c r="D441" s="2200" t="str">
        <f t="shared" si="18"/>
        <v>GA</v>
      </c>
      <c r="E441" s="2200" t="str">
        <f t="shared" si="19"/>
        <v>13</v>
      </c>
      <c r="F441" s="2200" t="str">
        <f t="shared" si="20"/>
        <v>101</v>
      </c>
      <c r="G441" s="2200">
        <f>--SUBTOTAL(3,C$2:C441)</f>
        <v>67</v>
      </c>
    </row>
    <row r="442" spans="1:7" hidden="1" x14ac:dyDescent="0.15">
      <c r="A442" s="2200" t="s">
        <v>4280</v>
      </c>
      <c r="B442" s="2200" t="s">
        <v>5161</v>
      </c>
      <c r="C442" s="2200" t="s">
        <v>5162</v>
      </c>
      <c r="D442" s="2200" t="str">
        <f t="shared" si="18"/>
        <v>GA</v>
      </c>
      <c r="E442" s="2200" t="str">
        <f t="shared" si="19"/>
        <v>13</v>
      </c>
      <c r="F442" s="2200" t="str">
        <f t="shared" si="20"/>
        <v>103</v>
      </c>
      <c r="G442" s="2200">
        <f>--SUBTOTAL(3,C$2:C442)</f>
        <v>67</v>
      </c>
    </row>
    <row r="443" spans="1:7" hidden="1" x14ac:dyDescent="0.15">
      <c r="A443" s="2200" t="s">
        <v>4280</v>
      </c>
      <c r="B443" s="2200" t="s">
        <v>5163</v>
      </c>
      <c r="C443" s="2200" t="s">
        <v>5164</v>
      </c>
      <c r="D443" s="2200" t="str">
        <f t="shared" si="18"/>
        <v>GA</v>
      </c>
      <c r="E443" s="2200" t="str">
        <f t="shared" si="19"/>
        <v>13</v>
      </c>
      <c r="F443" s="2200" t="str">
        <f t="shared" si="20"/>
        <v>105</v>
      </c>
      <c r="G443" s="2200">
        <f>--SUBTOTAL(3,C$2:C443)</f>
        <v>67</v>
      </c>
    </row>
    <row r="444" spans="1:7" hidden="1" x14ac:dyDescent="0.15">
      <c r="A444" s="2200" t="s">
        <v>4280</v>
      </c>
      <c r="B444" s="2200" t="s">
        <v>5165</v>
      </c>
      <c r="C444" s="2200" t="s">
        <v>5166</v>
      </c>
      <c r="D444" s="2200" t="str">
        <f t="shared" si="18"/>
        <v>GA</v>
      </c>
      <c r="E444" s="2200" t="str">
        <f t="shared" si="19"/>
        <v>13</v>
      </c>
      <c r="F444" s="2200" t="str">
        <f t="shared" si="20"/>
        <v>107</v>
      </c>
      <c r="G444" s="2200">
        <f>--SUBTOTAL(3,C$2:C444)</f>
        <v>67</v>
      </c>
    </row>
    <row r="445" spans="1:7" hidden="1" x14ac:dyDescent="0.15">
      <c r="A445" s="2200" t="s">
        <v>4280</v>
      </c>
      <c r="B445" s="2200" t="s">
        <v>5167</v>
      </c>
      <c r="C445" s="2200" t="s">
        <v>5168</v>
      </c>
      <c r="D445" s="2200" t="str">
        <f t="shared" si="18"/>
        <v>GA</v>
      </c>
      <c r="E445" s="2200" t="str">
        <f t="shared" si="19"/>
        <v>13</v>
      </c>
      <c r="F445" s="2200" t="str">
        <f t="shared" si="20"/>
        <v>109</v>
      </c>
      <c r="G445" s="2200">
        <f>--SUBTOTAL(3,C$2:C445)</f>
        <v>67</v>
      </c>
    </row>
    <row r="446" spans="1:7" hidden="1" x14ac:dyDescent="0.15">
      <c r="A446" s="2200" t="s">
        <v>4280</v>
      </c>
      <c r="B446" s="2200" t="s">
        <v>5169</v>
      </c>
      <c r="C446" s="2200" t="s">
        <v>5170</v>
      </c>
      <c r="D446" s="2200" t="str">
        <f t="shared" si="18"/>
        <v>GA</v>
      </c>
      <c r="E446" s="2200" t="str">
        <f t="shared" si="19"/>
        <v>13</v>
      </c>
      <c r="F446" s="2200" t="str">
        <f t="shared" si="20"/>
        <v>111</v>
      </c>
      <c r="G446" s="2200">
        <f>--SUBTOTAL(3,C$2:C446)</f>
        <v>67</v>
      </c>
    </row>
    <row r="447" spans="1:7" hidden="1" x14ac:dyDescent="0.15">
      <c r="A447" s="2200" t="s">
        <v>4280</v>
      </c>
      <c r="B447" s="2200" t="s">
        <v>5171</v>
      </c>
      <c r="C447" s="2200" t="s">
        <v>5172</v>
      </c>
      <c r="D447" s="2200" t="str">
        <f t="shared" si="18"/>
        <v>GA</v>
      </c>
      <c r="E447" s="2200" t="str">
        <f t="shared" si="19"/>
        <v>13</v>
      </c>
      <c r="F447" s="2200" t="str">
        <f t="shared" si="20"/>
        <v>113</v>
      </c>
      <c r="G447" s="2200">
        <f>--SUBTOTAL(3,C$2:C447)</f>
        <v>67</v>
      </c>
    </row>
    <row r="448" spans="1:7" hidden="1" x14ac:dyDescent="0.15">
      <c r="A448" s="2200" t="s">
        <v>4280</v>
      </c>
      <c r="B448" s="2200" t="s">
        <v>5173</v>
      </c>
      <c r="C448" s="2200" t="s">
        <v>5174</v>
      </c>
      <c r="D448" s="2200" t="str">
        <f t="shared" si="18"/>
        <v>GA</v>
      </c>
      <c r="E448" s="2200" t="str">
        <f t="shared" si="19"/>
        <v>13</v>
      </c>
      <c r="F448" s="2200" t="str">
        <f t="shared" si="20"/>
        <v>115</v>
      </c>
      <c r="G448" s="2200">
        <f>--SUBTOTAL(3,C$2:C448)</f>
        <v>67</v>
      </c>
    </row>
    <row r="449" spans="1:7" hidden="1" x14ac:dyDescent="0.15">
      <c r="A449" s="2200" t="s">
        <v>4280</v>
      </c>
      <c r="B449" s="2200" t="s">
        <v>5175</v>
      </c>
      <c r="C449" s="2200" t="s">
        <v>5176</v>
      </c>
      <c r="D449" s="2200" t="str">
        <f t="shared" si="18"/>
        <v>GA</v>
      </c>
      <c r="E449" s="2200" t="str">
        <f t="shared" si="19"/>
        <v>13</v>
      </c>
      <c r="F449" s="2200" t="str">
        <f t="shared" si="20"/>
        <v>117</v>
      </c>
      <c r="G449" s="2200">
        <f>--SUBTOTAL(3,C$2:C449)</f>
        <v>67</v>
      </c>
    </row>
    <row r="450" spans="1:7" hidden="1" x14ac:dyDescent="0.15">
      <c r="A450" s="2200" t="s">
        <v>4280</v>
      </c>
      <c r="B450" s="2200" t="s">
        <v>5177</v>
      </c>
      <c r="C450" s="2200" t="s">
        <v>5178</v>
      </c>
      <c r="D450" s="2200" t="str">
        <f t="shared" si="18"/>
        <v>GA</v>
      </c>
      <c r="E450" s="2200" t="str">
        <f t="shared" si="19"/>
        <v>13</v>
      </c>
      <c r="F450" s="2200" t="str">
        <f t="shared" si="20"/>
        <v>119</v>
      </c>
      <c r="G450" s="2200">
        <f>--SUBTOTAL(3,C$2:C450)</f>
        <v>67</v>
      </c>
    </row>
    <row r="451" spans="1:7" hidden="1" x14ac:dyDescent="0.15">
      <c r="A451" s="2200" t="s">
        <v>4280</v>
      </c>
      <c r="B451" s="2200" t="s">
        <v>5179</v>
      </c>
      <c r="C451" s="2200" t="s">
        <v>5180</v>
      </c>
      <c r="D451" s="2200" t="str">
        <f t="shared" ref="D451:D514" si="21">RIGHT(C451,2)</f>
        <v>GA</v>
      </c>
      <c r="E451" s="2200" t="str">
        <f t="shared" ref="E451:E514" si="22">MID(B451,3,2)</f>
        <v>13</v>
      </c>
      <c r="F451" s="2200" t="str">
        <f t="shared" ref="F451:F514" si="23">MID(B451,5,3)</f>
        <v>121</v>
      </c>
      <c r="G451" s="2200">
        <f>--SUBTOTAL(3,C$2:C451)</f>
        <v>67</v>
      </c>
    </row>
    <row r="452" spans="1:7" hidden="1" x14ac:dyDescent="0.15">
      <c r="A452" s="2200" t="s">
        <v>4280</v>
      </c>
      <c r="B452" s="2200" t="s">
        <v>5181</v>
      </c>
      <c r="C452" s="2200" t="s">
        <v>5182</v>
      </c>
      <c r="D452" s="2200" t="str">
        <f t="shared" si="21"/>
        <v>GA</v>
      </c>
      <c r="E452" s="2200" t="str">
        <f t="shared" si="22"/>
        <v>13</v>
      </c>
      <c r="F452" s="2200" t="str">
        <f t="shared" si="23"/>
        <v>123</v>
      </c>
      <c r="G452" s="2200">
        <f>--SUBTOTAL(3,C$2:C452)</f>
        <v>67</v>
      </c>
    </row>
    <row r="453" spans="1:7" hidden="1" x14ac:dyDescent="0.15">
      <c r="A453" s="2200" t="s">
        <v>4280</v>
      </c>
      <c r="B453" s="2200" t="s">
        <v>5183</v>
      </c>
      <c r="C453" s="2200" t="s">
        <v>5184</v>
      </c>
      <c r="D453" s="2200" t="str">
        <f t="shared" si="21"/>
        <v>GA</v>
      </c>
      <c r="E453" s="2200" t="str">
        <f t="shared" si="22"/>
        <v>13</v>
      </c>
      <c r="F453" s="2200" t="str">
        <f t="shared" si="23"/>
        <v>125</v>
      </c>
      <c r="G453" s="2200">
        <f>--SUBTOTAL(3,C$2:C453)</f>
        <v>67</v>
      </c>
    </row>
    <row r="454" spans="1:7" hidden="1" x14ac:dyDescent="0.15">
      <c r="A454" s="2200" t="s">
        <v>4280</v>
      </c>
      <c r="B454" s="2200" t="s">
        <v>5185</v>
      </c>
      <c r="C454" s="2200" t="s">
        <v>5186</v>
      </c>
      <c r="D454" s="2200" t="str">
        <f t="shared" si="21"/>
        <v>GA</v>
      </c>
      <c r="E454" s="2200" t="str">
        <f t="shared" si="22"/>
        <v>13</v>
      </c>
      <c r="F454" s="2200" t="str">
        <f t="shared" si="23"/>
        <v>127</v>
      </c>
      <c r="G454" s="2200">
        <f>--SUBTOTAL(3,C$2:C454)</f>
        <v>67</v>
      </c>
    </row>
    <row r="455" spans="1:7" hidden="1" x14ac:dyDescent="0.15">
      <c r="A455" s="2200" t="s">
        <v>4280</v>
      </c>
      <c r="B455" s="2200" t="s">
        <v>5187</v>
      </c>
      <c r="C455" s="2200" t="s">
        <v>5188</v>
      </c>
      <c r="D455" s="2200" t="str">
        <f t="shared" si="21"/>
        <v>GA</v>
      </c>
      <c r="E455" s="2200" t="str">
        <f t="shared" si="22"/>
        <v>13</v>
      </c>
      <c r="F455" s="2200" t="str">
        <f t="shared" si="23"/>
        <v>129</v>
      </c>
      <c r="G455" s="2200">
        <f>--SUBTOTAL(3,C$2:C455)</f>
        <v>67</v>
      </c>
    </row>
    <row r="456" spans="1:7" hidden="1" x14ac:dyDescent="0.15">
      <c r="A456" s="2200" t="s">
        <v>4280</v>
      </c>
      <c r="B456" s="2200" t="s">
        <v>5189</v>
      </c>
      <c r="C456" s="2200" t="s">
        <v>5190</v>
      </c>
      <c r="D456" s="2200" t="str">
        <f t="shared" si="21"/>
        <v>GA</v>
      </c>
      <c r="E456" s="2200" t="str">
        <f t="shared" si="22"/>
        <v>13</v>
      </c>
      <c r="F456" s="2200" t="str">
        <f t="shared" si="23"/>
        <v>131</v>
      </c>
      <c r="G456" s="2200">
        <f>--SUBTOTAL(3,C$2:C456)</f>
        <v>67</v>
      </c>
    </row>
    <row r="457" spans="1:7" hidden="1" x14ac:dyDescent="0.15">
      <c r="A457" s="2200" t="s">
        <v>4280</v>
      </c>
      <c r="B457" s="2200" t="s">
        <v>5191</v>
      </c>
      <c r="C457" s="2200" t="s">
        <v>5192</v>
      </c>
      <c r="D457" s="2200" t="str">
        <f t="shared" si="21"/>
        <v>GA</v>
      </c>
      <c r="E457" s="2200" t="str">
        <f t="shared" si="22"/>
        <v>13</v>
      </c>
      <c r="F457" s="2200" t="str">
        <f t="shared" si="23"/>
        <v>133</v>
      </c>
      <c r="G457" s="2200">
        <f>--SUBTOTAL(3,C$2:C457)</f>
        <v>67</v>
      </c>
    </row>
    <row r="458" spans="1:7" hidden="1" x14ac:dyDescent="0.15">
      <c r="A458" s="2200" t="s">
        <v>4280</v>
      </c>
      <c r="B458" s="2200" t="s">
        <v>5193</v>
      </c>
      <c r="C458" s="2200" t="s">
        <v>5194</v>
      </c>
      <c r="D458" s="2200" t="str">
        <f t="shared" si="21"/>
        <v>GA</v>
      </c>
      <c r="E458" s="2200" t="str">
        <f t="shared" si="22"/>
        <v>13</v>
      </c>
      <c r="F458" s="2200" t="str">
        <f t="shared" si="23"/>
        <v>135</v>
      </c>
      <c r="G458" s="2200">
        <f>--SUBTOTAL(3,C$2:C458)</f>
        <v>67</v>
      </c>
    </row>
    <row r="459" spans="1:7" hidden="1" x14ac:dyDescent="0.15">
      <c r="A459" s="2200" t="s">
        <v>4280</v>
      </c>
      <c r="B459" s="2200" t="s">
        <v>5195</v>
      </c>
      <c r="C459" s="2200" t="s">
        <v>5196</v>
      </c>
      <c r="D459" s="2200" t="str">
        <f t="shared" si="21"/>
        <v>GA</v>
      </c>
      <c r="E459" s="2200" t="str">
        <f t="shared" si="22"/>
        <v>13</v>
      </c>
      <c r="F459" s="2200" t="str">
        <f t="shared" si="23"/>
        <v>137</v>
      </c>
      <c r="G459" s="2200">
        <f>--SUBTOTAL(3,C$2:C459)</f>
        <v>67</v>
      </c>
    </row>
    <row r="460" spans="1:7" hidden="1" x14ac:dyDescent="0.15">
      <c r="A460" s="2200" t="s">
        <v>4280</v>
      </c>
      <c r="B460" s="2200" t="s">
        <v>5197</v>
      </c>
      <c r="C460" s="2200" t="s">
        <v>5198</v>
      </c>
      <c r="D460" s="2200" t="str">
        <f t="shared" si="21"/>
        <v>GA</v>
      </c>
      <c r="E460" s="2200" t="str">
        <f t="shared" si="22"/>
        <v>13</v>
      </c>
      <c r="F460" s="2200" t="str">
        <f t="shared" si="23"/>
        <v>139</v>
      </c>
      <c r="G460" s="2200">
        <f>--SUBTOTAL(3,C$2:C460)</f>
        <v>67</v>
      </c>
    </row>
    <row r="461" spans="1:7" hidden="1" x14ac:dyDescent="0.15">
      <c r="A461" s="2200" t="s">
        <v>4280</v>
      </c>
      <c r="B461" s="2200" t="s">
        <v>5199</v>
      </c>
      <c r="C461" s="2200" t="s">
        <v>5200</v>
      </c>
      <c r="D461" s="2200" t="str">
        <f t="shared" si="21"/>
        <v>GA</v>
      </c>
      <c r="E461" s="2200" t="str">
        <f t="shared" si="22"/>
        <v>13</v>
      </c>
      <c r="F461" s="2200" t="str">
        <f t="shared" si="23"/>
        <v>141</v>
      </c>
      <c r="G461" s="2200">
        <f>--SUBTOTAL(3,C$2:C461)</f>
        <v>67</v>
      </c>
    </row>
    <row r="462" spans="1:7" hidden="1" x14ac:dyDescent="0.15">
      <c r="A462" s="2200" t="s">
        <v>4280</v>
      </c>
      <c r="B462" s="2200" t="s">
        <v>5201</v>
      </c>
      <c r="C462" s="2200" t="s">
        <v>5202</v>
      </c>
      <c r="D462" s="2200" t="str">
        <f t="shared" si="21"/>
        <v>GA</v>
      </c>
      <c r="E462" s="2200" t="str">
        <f t="shared" si="22"/>
        <v>13</v>
      </c>
      <c r="F462" s="2200" t="str">
        <f t="shared" si="23"/>
        <v>143</v>
      </c>
      <c r="G462" s="2200">
        <f>--SUBTOTAL(3,C$2:C462)</f>
        <v>67</v>
      </c>
    </row>
    <row r="463" spans="1:7" hidden="1" x14ac:dyDescent="0.15">
      <c r="A463" s="2200" t="s">
        <v>4280</v>
      </c>
      <c r="B463" s="2200" t="s">
        <v>5203</v>
      </c>
      <c r="C463" s="2200" t="s">
        <v>5204</v>
      </c>
      <c r="D463" s="2200" t="str">
        <f t="shared" si="21"/>
        <v>GA</v>
      </c>
      <c r="E463" s="2200" t="str">
        <f t="shared" si="22"/>
        <v>13</v>
      </c>
      <c r="F463" s="2200" t="str">
        <f t="shared" si="23"/>
        <v>145</v>
      </c>
      <c r="G463" s="2200">
        <f>--SUBTOTAL(3,C$2:C463)</f>
        <v>67</v>
      </c>
    </row>
    <row r="464" spans="1:7" hidden="1" x14ac:dyDescent="0.15">
      <c r="A464" s="2200" t="s">
        <v>4280</v>
      </c>
      <c r="B464" s="2200" t="s">
        <v>5205</v>
      </c>
      <c r="C464" s="2200" t="s">
        <v>5206</v>
      </c>
      <c r="D464" s="2200" t="str">
        <f t="shared" si="21"/>
        <v>GA</v>
      </c>
      <c r="E464" s="2200" t="str">
        <f t="shared" si="22"/>
        <v>13</v>
      </c>
      <c r="F464" s="2200" t="str">
        <f t="shared" si="23"/>
        <v>147</v>
      </c>
      <c r="G464" s="2200">
        <f>--SUBTOTAL(3,C$2:C464)</f>
        <v>67</v>
      </c>
    </row>
    <row r="465" spans="1:7" hidden="1" x14ac:dyDescent="0.15">
      <c r="A465" s="2200" t="s">
        <v>4280</v>
      </c>
      <c r="B465" s="2200" t="s">
        <v>5207</v>
      </c>
      <c r="C465" s="2200" t="s">
        <v>5208</v>
      </c>
      <c r="D465" s="2200" t="str">
        <f t="shared" si="21"/>
        <v>GA</v>
      </c>
      <c r="E465" s="2200" t="str">
        <f t="shared" si="22"/>
        <v>13</v>
      </c>
      <c r="F465" s="2200" t="str">
        <f t="shared" si="23"/>
        <v>149</v>
      </c>
      <c r="G465" s="2200">
        <f>--SUBTOTAL(3,C$2:C465)</f>
        <v>67</v>
      </c>
    </row>
    <row r="466" spans="1:7" hidden="1" x14ac:dyDescent="0.15">
      <c r="A466" s="2200" t="s">
        <v>4280</v>
      </c>
      <c r="B466" s="2200" t="s">
        <v>5209</v>
      </c>
      <c r="C466" s="2200" t="s">
        <v>5210</v>
      </c>
      <c r="D466" s="2200" t="str">
        <f t="shared" si="21"/>
        <v>GA</v>
      </c>
      <c r="E466" s="2200" t="str">
        <f t="shared" si="22"/>
        <v>13</v>
      </c>
      <c r="F466" s="2200" t="str">
        <f t="shared" si="23"/>
        <v>151</v>
      </c>
      <c r="G466" s="2200">
        <f>--SUBTOTAL(3,C$2:C466)</f>
        <v>67</v>
      </c>
    </row>
    <row r="467" spans="1:7" hidden="1" x14ac:dyDescent="0.15">
      <c r="A467" s="2200" t="s">
        <v>4280</v>
      </c>
      <c r="B467" s="2200" t="s">
        <v>5211</v>
      </c>
      <c r="C467" s="2200" t="s">
        <v>5212</v>
      </c>
      <c r="D467" s="2200" t="str">
        <f t="shared" si="21"/>
        <v>GA</v>
      </c>
      <c r="E467" s="2200" t="str">
        <f t="shared" si="22"/>
        <v>13</v>
      </c>
      <c r="F467" s="2200" t="str">
        <f t="shared" si="23"/>
        <v>153</v>
      </c>
      <c r="G467" s="2200">
        <f>--SUBTOTAL(3,C$2:C467)</f>
        <v>67</v>
      </c>
    </row>
    <row r="468" spans="1:7" hidden="1" x14ac:dyDescent="0.15">
      <c r="A468" s="2200" t="s">
        <v>4280</v>
      </c>
      <c r="B468" s="2200" t="s">
        <v>5213</v>
      </c>
      <c r="C468" s="2200" t="s">
        <v>5214</v>
      </c>
      <c r="D468" s="2200" t="str">
        <f t="shared" si="21"/>
        <v>GA</v>
      </c>
      <c r="E468" s="2200" t="str">
        <f t="shared" si="22"/>
        <v>13</v>
      </c>
      <c r="F468" s="2200" t="str">
        <f t="shared" si="23"/>
        <v>155</v>
      </c>
      <c r="G468" s="2200">
        <f>--SUBTOTAL(3,C$2:C468)</f>
        <v>67</v>
      </c>
    </row>
    <row r="469" spans="1:7" hidden="1" x14ac:dyDescent="0.15">
      <c r="A469" s="2200" t="s">
        <v>4280</v>
      </c>
      <c r="B469" s="2200" t="s">
        <v>5215</v>
      </c>
      <c r="C469" s="2200" t="s">
        <v>5216</v>
      </c>
      <c r="D469" s="2200" t="str">
        <f t="shared" si="21"/>
        <v>GA</v>
      </c>
      <c r="E469" s="2200" t="str">
        <f t="shared" si="22"/>
        <v>13</v>
      </c>
      <c r="F469" s="2200" t="str">
        <f t="shared" si="23"/>
        <v>157</v>
      </c>
      <c r="G469" s="2200">
        <f>--SUBTOTAL(3,C$2:C469)</f>
        <v>67</v>
      </c>
    </row>
    <row r="470" spans="1:7" hidden="1" x14ac:dyDescent="0.15">
      <c r="A470" s="2200" t="s">
        <v>4280</v>
      </c>
      <c r="B470" s="2200" t="s">
        <v>5217</v>
      </c>
      <c r="C470" s="2200" t="s">
        <v>5218</v>
      </c>
      <c r="D470" s="2200" t="str">
        <f t="shared" si="21"/>
        <v>GA</v>
      </c>
      <c r="E470" s="2200" t="str">
        <f t="shared" si="22"/>
        <v>13</v>
      </c>
      <c r="F470" s="2200" t="str">
        <f t="shared" si="23"/>
        <v>159</v>
      </c>
      <c r="G470" s="2200">
        <f>--SUBTOTAL(3,C$2:C470)</f>
        <v>67</v>
      </c>
    </row>
    <row r="471" spans="1:7" hidden="1" x14ac:dyDescent="0.15">
      <c r="A471" s="2200" t="s">
        <v>4280</v>
      </c>
      <c r="B471" s="2200" t="s">
        <v>5219</v>
      </c>
      <c r="C471" s="2200" t="s">
        <v>5220</v>
      </c>
      <c r="D471" s="2200" t="str">
        <f t="shared" si="21"/>
        <v>GA</v>
      </c>
      <c r="E471" s="2200" t="str">
        <f t="shared" si="22"/>
        <v>13</v>
      </c>
      <c r="F471" s="2200" t="str">
        <f t="shared" si="23"/>
        <v>161</v>
      </c>
      <c r="G471" s="2200">
        <f>--SUBTOTAL(3,C$2:C471)</f>
        <v>67</v>
      </c>
    </row>
    <row r="472" spans="1:7" hidden="1" x14ac:dyDescent="0.15">
      <c r="A472" s="2200" t="s">
        <v>4280</v>
      </c>
      <c r="B472" s="2200" t="s">
        <v>5221</v>
      </c>
      <c r="C472" s="2200" t="s">
        <v>5222</v>
      </c>
      <c r="D472" s="2200" t="str">
        <f t="shared" si="21"/>
        <v>GA</v>
      </c>
      <c r="E472" s="2200" t="str">
        <f t="shared" si="22"/>
        <v>13</v>
      </c>
      <c r="F472" s="2200" t="str">
        <f t="shared" si="23"/>
        <v>163</v>
      </c>
      <c r="G472" s="2200">
        <f>--SUBTOTAL(3,C$2:C472)</f>
        <v>67</v>
      </c>
    </row>
    <row r="473" spans="1:7" hidden="1" x14ac:dyDescent="0.15">
      <c r="A473" s="2200" t="s">
        <v>4280</v>
      </c>
      <c r="B473" s="2200" t="s">
        <v>5223</v>
      </c>
      <c r="C473" s="2200" t="s">
        <v>5224</v>
      </c>
      <c r="D473" s="2200" t="str">
        <f t="shared" si="21"/>
        <v>GA</v>
      </c>
      <c r="E473" s="2200" t="str">
        <f t="shared" si="22"/>
        <v>13</v>
      </c>
      <c r="F473" s="2200" t="str">
        <f t="shared" si="23"/>
        <v>165</v>
      </c>
      <c r="G473" s="2200">
        <f>--SUBTOTAL(3,C$2:C473)</f>
        <v>67</v>
      </c>
    </row>
    <row r="474" spans="1:7" hidden="1" x14ac:dyDescent="0.15">
      <c r="A474" s="2200" t="s">
        <v>4280</v>
      </c>
      <c r="B474" s="2200" t="s">
        <v>5225</v>
      </c>
      <c r="C474" s="2200" t="s">
        <v>5226</v>
      </c>
      <c r="D474" s="2200" t="str">
        <f t="shared" si="21"/>
        <v>GA</v>
      </c>
      <c r="E474" s="2200" t="str">
        <f t="shared" si="22"/>
        <v>13</v>
      </c>
      <c r="F474" s="2200" t="str">
        <f t="shared" si="23"/>
        <v>167</v>
      </c>
      <c r="G474" s="2200">
        <f>--SUBTOTAL(3,C$2:C474)</f>
        <v>67</v>
      </c>
    </row>
    <row r="475" spans="1:7" hidden="1" x14ac:dyDescent="0.15">
      <c r="A475" s="2200" t="s">
        <v>4280</v>
      </c>
      <c r="B475" s="2200" t="s">
        <v>5227</v>
      </c>
      <c r="C475" s="2200" t="s">
        <v>5228</v>
      </c>
      <c r="D475" s="2200" t="str">
        <f t="shared" si="21"/>
        <v>GA</v>
      </c>
      <c r="E475" s="2200" t="str">
        <f t="shared" si="22"/>
        <v>13</v>
      </c>
      <c r="F475" s="2200" t="str">
        <f t="shared" si="23"/>
        <v>169</v>
      </c>
      <c r="G475" s="2200">
        <f>--SUBTOTAL(3,C$2:C475)</f>
        <v>67</v>
      </c>
    </row>
    <row r="476" spans="1:7" hidden="1" x14ac:dyDescent="0.15">
      <c r="A476" s="2200" t="s">
        <v>4280</v>
      </c>
      <c r="B476" s="2200" t="s">
        <v>5229</v>
      </c>
      <c r="C476" s="2200" t="s">
        <v>5230</v>
      </c>
      <c r="D476" s="2200" t="str">
        <f t="shared" si="21"/>
        <v>GA</v>
      </c>
      <c r="E476" s="2200" t="str">
        <f t="shared" si="22"/>
        <v>13</v>
      </c>
      <c r="F476" s="2200" t="str">
        <f t="shared" si="23"/>
        <v>171</v>
      </c>
      <c r="G476" s="2200">
        <f>--SUBTOTAL(3,C$2:C476)</f>
        <v>67</v>
      </c>
    </row>
    <row r="477" spans="1:7" hidden="1" x14ac:dyDescent="0.15">
      <c r="A477" s="2200" t="s">
        <v>4280</v>
      </c>
      <c r="B477" s="2200" t="s">
        <v>5231</v>
      </c>
      <c r="C477" s="2200" t="s">
        <v>5232</v>
      </c>
      <c r="D477" s="2200" t="str">
        <f t="shared" si="21"/>
        <v>GA</v>
      </c>
      <c r="E477" s="2200" t="str">
        <f t="shared" si="22"/>
        <v>13</v>
      </c>
      <c r="F477" s="2200" t="str">
        <f t="shared" si="23"/>
        <v>173</v>
      </c>
      <c r="G477" s="2200">
        <f>--SUBTOTAL(3,C$2:C477)</f>
        <v>67</v>
      </c>
    </row>
    <row r="478" spans="1:7" hidden="1" x14ac:dyDescent="0.15">
      <c r="A478" s="2200" t="s">
        <v>4280</v>
      </c>
      <c r="B478" s="2200" t="s">
        <v>5233</v>
      </c>
      <c r="C478" s="2200" t="s">
        <v>5234</v>
      </c>
      <c r="D478" s="2200" t="str">
        <f t="shared" si="21"/>
        <v>GA</v>
      </c>
      <c r="E478" s="2200" t="str">
        <f t="shared" si="22"/>
        <v>13</v>
      </c>
      <c r="F478" s="2200" t="str">
        <f t="shared" si="23"/>
        <v>175</v>
      </c>
      <c r="G478" s="2200">
        <f>--SUBTOTAL(3,C$2:C478)</f>
        <v>67</v>
      </c>
    </row>
    <row r="479" spans="1:7" hidden="1" x14ac:dyDescent="0.15">
      <c r="A479" s="2200" t="s">
        <v>4280</v>
      </c>
      <c r="B479" s="2200" t="s">
        <v>5235</v>
      </c>
      <c r="C479" s="2200" t="s">
        <v>5236</v>
      </c>
      <c r="D479" s="2200" t="str">
        <f t="shared" si="21"/>
        <v>GA</v>
      </c>
      <c r="E479" s="2200" t="str">
        <f t="shared" si="22"/>
        <v>13</v>
      </c>
      <c r="F479" s="2200" t="str">
        <f t="shared" si="23"/>
        <v>177</v>
      </c>
      <c r="G479" s="2200">
        <f>--SUBTOTAL(3,C$2:C479)</f>
        <v>67</v>
      </c>
    </row>
    <row r="480" spans="1:7" hidden="1" x14ac:dyDescent="0.15">
      <c r="A480" s="2200" t="s">
        <v>4280</v>
      </c>
      <c r="B480" s="2200" t="s">
        <v>5237</v>
      </c>
      <c r="C480" s="2200" t="s">
        <v>5238</v>
      </c>
      <c r="D480" s="2200" t="str">
        <f t="shared" si="21"/>
        <v>GA</v>
      </c>
      <c r="E480" s="2200" t="str">
        <f t="shared" si="22"/>
        <v>13</v>
      </c>
      <c r="F480" s="2200" t="str">
        <f t="shared" si="23"/>
        <v>179</v>
      </c>
      <c r="G480" s="2200">
        <f>--SUBTOTAL(3,C$2:C480)</f>
        <v>67</v>
      </c>
    </row>
    <row r="481" spans="1:7" hidden="1" x14ac:dyDescent="0.15">
      <c r="A481" s="2200" t="s">
        <v>4280</v>
      </c>
      <c r="B481" s="2200" t="s">
        <v>5239</v>
      </c>
      <c r="C481" s="2200" t="s">
        <v>5240</v>
      </c>
      <c r="D481" s="2200" t="str">
        <f t="shared" si="21"/>
        <v>GA</v>
      </c>
      <c r="E481" s="2200" t="str">
        <f t="shared" si="22"/>
        <v>13</v>
      </c>
      <c r="F481" s="2200" t="str">
        <f t="shared" si="23"/>
        <v>181</v>
      </c>
      <c r="G481" s="2200">
        <f>--SUBTOTAL(3,C$2:C481)</f>
        <v>67</v>
      </c>
    </row>
    <row r="482" spans="1:7" hidden="1" x14ac:dyDescent="0.15">
      <c r="A482" s="2200" t="s">
        <v>4280</v>
      </c>
      <c r="B482" s="2200" t="s">
        <v>5241</v>
      </c>
      <c r="C482" s="2200" t="s">
        <v>5242</v>
      </c>
      <c r="D482" s="2200" t="str">
        <f t="shared" si="21"/>
        <v>GA</v>
      </c>
      <c r="E482" s="2200" t="str">
        <f t="shared" si="22"/>
        <v>13</v>
      </c>
      <c r="F482" s="2200" t="str">
        <f t="shared" si="23"/>
        <v>183</v>
      </c>
      <c r="G482" s="2200">
        <f>--SUBTOTAL(3,C$2:C482)</f>
        <v>67</v>
      </c>
    </row>
    <row r="483" spans="1:7" hidden="1" x14ac:dyDescent="0.15">
      <c r="A483" s="2200" t="s">
        <v>4280</v>
      </c>
      <c r="B483" s="2200" t="s">
        <v>5243</v>
      </c>
      <c r="C483" s="2200" t="s">
        <v>5244</v>
      </c>
      <c r="D483" s="2200" t="str">
        <f t="shared" si="21"/>
        <v>GA</v>
      </c>
      <c r="E483" s="2200" t="str">
        <f t="shared" si="22"/>
        <v>13</v>
      </c>
      <c r="F483" s="2200" t="str">
        <f t="shared" si="23"/>
        <v>185</v>
      </c>
      <c r="G483" s="2200">
        <f>--SUBTOTAL(3,C$2:C483)</f>
        <v>67</v>
      </c>
    </row>
    <row r="484" spans="1:7" hidden="1" x14ac:dyDescent="0.15">
      <c r="A484" s="2200" t="s">
        <v>4280</v>
      </c>
      <c r="B484" s="2200" t="s">
        <v>5245</v>
      </c>
      <c r="C484" s="2200" t="s">
        <v>5246</v>
      </c>
      <c r="D484" s="2200" t="str">
        <f t="shared" si="21"/>
        <v>GA</v>
      </c>
      <c r="E484" s="2200" t="str">
        <f t="shared" si="22"/>
        <v>13</v>
      </c>
      <c r="F484" s="2200" t="str">
        <f t="shared" si="23"/>
        <v>187</v>
      </c>
      <c r="G484" s="2200">
        <f>--SUBTOTAL(3,C$2:C484)</f>
        <v>67</v>
      </c>
    </row>
    <row r="485" spans="1:7" hidden="1" x14ac:dyDescent="0.15">
      <c r="A485" s="2200" t="s">
        <v>4280</v>
      </c>
      <c r="B485" s="2200" t="s">
        <v>5247</v>
      </c>
      <c r="C485" s="2200" t="s">
        <v>5248</v>
      </c>
      <c r="D485" s="2200" t="str">
        <f t="shared" si="21"/>
        <v>GA</v>
      </c>
      <c r="E485" s="2200" t="str">
        <f t="shared" si="22"/>
        <v>13</v>
      </c>
      <c r="F485" s="2200" t="str">
        <f t="shared" si="23"/>
        <v>189</v>
      </c>
      <c r="G485" s="2200">
        <f>--SUBTOTAL(3,C$2:C485)</f>
        <v>67</v>
      </c>
    </row>
    <row r="486" spans="1:7" hidden="1" x14ac:dyDescent="0.15">
      <c r="A486" s="2200" t="s">
        <v>4280</v>
      </c>
      <c r="B486" s="2200" t="s">
        <v>5249</v>
      </c>
      <c r="C486" s="2200" t="s">
        <v>5250</v>
      </c>
      <c r="D486" s="2200" t="str">
        <f t="shared" si="21"/>
        <v>GA</v>
      </c>
      <c r="E486" s="2200" t="str">
        <f t="shared" si="22"/>
        <v>13</v>
      </c>
      <c r="F486" s="2200" t="str">
        <f t="shared" si="23"/>
        <v>191</v>
      </c>
      <c r="G486" s="2200">
        <f>--SUBTOTAL(3,C$2:C486)</f>
        <v>67</v>
      </c>
    </row>
    <row r="487" spans="1:7" hidden="1" x14ac:dyDescent="0.15">
      <c r="A487" s="2200" t="s">
        <v>4280</v>
      </c>
      <c r="B487" s="2200" t="s">
        <v>5251</v>
      </c>
      <c r="C487" s="2200" t="s">
        <v>5252</v>
      </c>
      <c r="D487" s="2200" t="str">
        <f t="shared" si="21"/>
        <v>GA</v>
      </c>
      <c r="E487" s="2200" t="str">
        <f t="shared" si="22"/>
        <v>13</v>
      </c>
      <c r="F487" s="2200" t="str">
        <f t="shared" si="23"/>
        <v>193</v>
      </c>
      <c r="G487" s="2200">
        <f>--SUBTOTAL(3,C$2:C487)</f>
        <v>67</v>
      </c>
    </row>
    <row r="488" spans="1:7" hidden="1" x14ac:dyDescent="0.15">
      <c r="A488" s="2200" t="s">
        <v>4280</v>
      </c>
      <c r="B488" s="2200" t="s">
        <v>5253</v>
      </c>
      <c r="C488" s="2200" t="s">
        <v>5254</v>
      </c>
      <c r="D488" s="2200" t="str">
        <f t="shared" si="21"/>
        <v>GA</v>
      </c>
      <c r="E488" s="2200" t="str">
        <f t="shared" si="22"/>
        <v>13</v>
      </c>
      <c r="F488" s="2200" t="str">
        <f t="shared" si="23"/>
        <v>195</v>
      </c>
      <c r="G488" s="2200">
        <f>--SUBTOTAL(3,C$2:C488)</f>
        <v>67</v>
      </c>
    </row>
    <row r="489" spans="1:7" hidden="1" x14ac:dyDescent="0.15">
      <c r="A489" s="2200" t="s">
        <v>4280</v>
      </c>
      <c r="B489" s="2200" t="s">
        <v>5255</v>
      </c>
      <c r="C489" s="2200" t="s">
        <v>5256</v>
      </c>
      <c r="D489" s="2200" t="str">
        <f t="shared" si="21"/>
        <v>GA</v>
      </c>
      <c r="E489" s="2200" t="str">
        <f t="shared" si="22"/>
        <v>13</v>
      </c>
      <c r="F489" s="2200" t="str">
        <f t="shared" si="23"/>
        <v>197</v>
      </c>
      <c r="G489" s="2200">
        <f>--SUBTOTAL(3,C$2:C489)</f>
        <v>67</v>
      </c>
    </row>
    <row r="490" spans="1:7" hidden="1" x14ac:dyDescent="0.15">
      <c r="A490" s="2200" t="s">
        <v>4280</v>
      </c>
      <c r="B490" s="2200" t="s">
        <v>5257</v>
      </c>
      <c r="C490" s="2200" t="s">
        <v>5258</v>
      </c>
      <c r="D490" s="2200" t="str">
        <f t="shared" si="21"/>
        <v>GA</v>
      </c>
      <c r="E490" s="2200" t="str">
        <f t="shared" si="22"/>
        <v>13</v>
      </c>
      <c r="F490" s="2200" t="str">
        <f t="shared" si="23"/>
        <v>199</v>
      </c>
      <c r="G490" s="2200">
        <f>--SUBTOTAL(3,C$2:C490)</f>
        <v>67</v>
      </c>
    </row>
    <row r="491" spans="1:7" hidden="1" x14ac:dyDescent="0.15">
      <c r="A491" s="2200" t="s">
        <v>4280</v>
      </c>
      <c r="B491" s="2200" t="s">
        <v>5259</v>
      </c>
      <c r="C491" s="2200" t="s">
        <v>5260</v>
      </c>
      <c r="D491" s="2200" t="str">
        <f t="shared" si="21"/>
        <v>GA</v>
      </c>
      <c r="E491" s="2200" t="str">
        <f t="shared" si="22"/>
        <v>13</v>
      </c>
      <c r="F491" s="2200" t="str">
        <f t="shared" si="23"/>
        <v>201</v>
      </c>
      <c r="G491" s="2200">
        <f>--SUBTOTAL(3,C$2:C491)</f>
        <v>67</v>
      </c>
    </row>
    <row r="492" spans="1:7" hidden="1" x14ac:dyDescent="0.15">
      <c r="A492" s="2200" t="s">
        <v>4280</v>
      </c>
      <c r="B492" s="2200" t="s">
        <v>5261</v>
      </c>
      <c r="C492" s="2200" t="s">
        <v>5262</v>
      </c>
      <c r="D492" s="2200" t="str">
        <f t="shared" si="21"/>
        <v>GA</v>
      </c>
      <c r="E492" s="2200" t="str">
        <f t="shared" si="22"/>
        <v>13</v>
      </c>
      <c r="F492" s="2200" t="str">
        <f t="shared" si="23"/>
        <v>205</v>
      </c>
      <c r="G492" s="2200">
        <f>--SUBTOTAL(3,C$2:C492)</f>
        <v>67</v>
      </c>
    </row>
    <row r="493" spans="1:7" hidden="1" x14ac:dyDescent="0.15">
      <c r="A493" s="2200" t="s">
        <v>4280</v>
      </c>
      <c r="B493" s="2200" t="s">
        <v>5263</v>
      </c>
      <c r="C493" s="2200" t="s">
        <v>5264</v>
      </c>
      <c r="D493" s="2200" t="str">
        <f t="shared" si="21"/>
        <v>GA</v>
      </c>
      <c r="E493" s="2200" t="str">
        <f t="shared" si="22"/>
        <v>13</v>
      </c>
      <c r="F493" s="2200" t="str">
        <f t="shared" si="23"/>
        <v>207</v>
      </c>
      <c r="G493" s="2200">
        <f>--SUBTOTAL(3,C$2:C493)</f>
        <v>67</v>
      </c>
    </row>
    <row r="494" spans="1:7" hidden="1" x14ac:dyDescent="0.15">
      <c r="A494" s="2200" t="s">
        <v>4280</v>
      </c>
      <c r="B494" s="2200" t="s">
        <v>5265</v>
      </c>
      <c r="C494" s="2200" t="s">
        <v>5266</v>
      </c>
      <c r="D494" s="2200" t="str">
        <f t="shared" si="21"/>
        <v>GA</v>
      </c>
      <c r="E494" s="2200" t="str">
        <f t="shared" si="22"/>
        <v>13</v>
      </c>
      <c r="F494" s="2200" t="str">
        <f t="shared" si="23"/>
        <v>209</v>
      </c>
      <c r="G494" s="2200">
        <f>--SUBTOTAL(3,C$2:C494)</f>
        <v>67</v>
      </c>
    </row>
    <row r="495" spans="1:7" hidden="1" x14ac:dyDescent="0.15">
      <c r="A495" s="2200" t="s">
        <v>4280</v>
      </c>
      <c r="B495" s="2200" t="s">
        <v>5267</v>
      </c>
      <c r="C495" s="2200" t="s">
        <v>5268</v>
      </c>
      <c r="D495" s="2200" t="str">
        <f t="shared" si="21"/>
        <v>GA</v>
      </c>
      <c r="E495" s="2200" t="str">
        <f t="shared" si="22"/>
        <v>13</v>
      </c>
      <c r="F495" s="2200" t="str">
        <f t="shared" si="23"/>
        <v>211</v>
      </c>
      <c r="G495" s="2200">
        <f>--SUBTOTAL(3,C$2:C495)</f>
        <v>67</v>
      </c>
    </row>
    <row r="496" spans="1:7" hidden="1" x14ac:dyDescent="0.15">
      <c r="A496" s="2200" t="s">
        <v>4280</v>
      </c>
      <c r="B496" s="2200" t="s">
        <v>5269</v>
      </c>
      <c r="C496" s="2200" t="s">
        <v>5270</v>
      </c>
      <c r="D496" s="2200" t="str">
        <f t="shared" si="21"/>
        <v>GA</v>
      </c>
      <c r="E496" s="2200" t="str">
        <f t="shared" si="22"/>
        <v>13</v>
      </c>
      <c r="F496" s="2200" t="str">
        <f t="shared" si="23"/>
        <v>213</v>
      </c>
      <c r="G496" s="2200">
        <f>--SUBTOTAL(3,C$2:C496)</f>
        <v>67</v>
      </c>
    </row>
    <row r="497" spans="1:7" hidden="1" x14ac:dyDescent="0.15">
      <c r="A497" s="2200" t="s">
        <v>4280</v>
      </c>
      <c r="B497" s="2200" t="s">
        <v>5271</v>
      </c>
      <c r="C497" s="2200" t="s">
        <v>5272</v>
      </c>
      <c r="D497" s="2200" t="str">
        <f t="shared" si="21"/>
        <v>GA</v>
      </c>
      <c r="E497" s="2200" t="str">
        <f t="shared" si="22"/>
        <v>13</v>
      </c>
      <c r="F497" s="2200" t="str">
        <f t="shared" si="23"/>
        <v>215</v>
      </c>
      <c r="G497" s="2200">
        <f>--SUBTOTAL(3,C$2:C497)</f>
        <v>67</v>
      </c>
    </row>
    <row r="498" spans="1:7" hidden="1" x14ac:dyDescent="0.15">
      <c r="A498" s="2200" t="s">
        <v>4280</v>
      </c>
      <c r="B498" s="2200" t="s">
        <v>5273</v>
      </c>
      <c r="C498" s="2200" t="s">
        <v>5274</v>
      </c>
      <c r="D498" s="2200" t="str">
        <f t="shared" si="21"/>
        <v>GA</v>
      </c>
      <c r="E498" s="2200" t="str">
        <f t="shared" si="22"/>
        <v>13</v>
      </c>
      <c r="F498" s="2200" t="str">
        <f t="shared" si="23"/>
        <v>217</v>
      </c>
      <c r="G498" s="2200">
        <f>--SUBTOTAL(3,C$2:C498)</f>
        <v>67</v>
      </c>
    </row>
    <row r="499" spans="1:7" hidden="1" x14ac:dyDescent="0.15">
      <c r="A499" s="2200" t="s">
        <v>4280</v>
      </c>
      <c r="B499" s="2200" t="s">
        <v>5275</v>
      </c>
      <c r="C499" s="2200" t="s">
        <v>5276</v>
      </c>
      <c r="D499" s="2200" t="str">
        <f t="shared" si="21"/>
        <v>GA</v>
      </c>
      <c r="E499" s="2200" t="str">
        <f t="shared" si="22"/>
        <v>13</v>
      </c>
      <c r="F499" s="2200" t="str">
        <f t="shared" si="23"/>
        <v>219</v>
      </c>
      <c r="G499" s="2200">
        <f>--SUBTOTAL(3,C$2:C499)</f>
        <v>67</v>
      </c>
    </row>
    <row r="500" spans="1:7" hidden="1" x14ac:dyDescent="0.15">
      <c r="A500" s="2200" t="s">
        <v>4280</v>
      </c>
      <c r="B500" s="2200" t="s">
        <v>5277</v>
      </c>
      <c r="C500" s="2200" t="s">
        <v>5278</v>
      </c>
      <c r="D500" s="2200" t="str">
        <f t="shared" si="21"/>
        <v>GA</v>
      </c>
      <c r="E500" s="2200" t="str">
        <f t="shared" si="22"/>
        <v>13</v>
      </c>
      <c r="F500" s="2200" t="str">
        <f t="shared" si="23"/>
        <v>221</v>
      </c>
      <c r="G500" s="2200">
        <f>--SUBTOTAL(3,C$2:C500)</f>
        <v>67</v>
      </c>
    </row>
    <row r="501" spans="1:7" hidden="1" x14ac:dyDescent="0.15">
      <c r="A501" s="2200" t="s">
        <v>4280</v>
      </c>
      <c r="B501" s="2200" t="s">
        <v>5279</v>
      </c>
      <c r="C501" s="2200" t="s">
        <v>5280</v>
      </c>
      <c r="D501" s="2200" t="str">
        <f t="shared" si="21"/>
        <v>GA</v>
      </c>
      <c r="E501" s="2200" t="str">
        <f t="shared" si="22"/>
        <v>13</v>
      </c>
      <c r="F501" s="2200" t="str">
        <f t="shared" si="23"/>
        <v>223</v>
      </c>
      <c r="G501" s="2200">
        <f>--SUBTOTAL(3,C$2:C501)</f>
        <v>67</v>
      </c>
    </row>
    <row r="502" spans="1:7" hidden="1" x14ac:dyDescent="0.15">
      <c r="A502" s="2200" t="s">
        <v>4280</v>
      </c>
      <c r="B502" s="2200" t="s">
        <v>5281</v>
      </c>
      <c r="C502" s="2200" t="s">
        <v>5282</v>
      </c>
      <c r="D502" s="2200" t="str">
        <f t="shared" si="21"/>
        <v>GA</v>
      </c>
      <c r="E502" s="2200" t="str">
        <f t="shared" si="22"/>
        <v>13</v>
      </c>
      <c r="F502" s="2200" t="str">
        <f t="shared" si="23"/>
        <v>225</v>
      </c>
      <c r="G502" s="2200">
        <f>--SUBTOTAL(3,C$2:C502)</f>
        <v>67</v>
      </c>
    </row>
    <row r="503" spans="1:7" hidden="1" x14ac:dyDescent="0.15">
      <c r="A503" s="2200" t="s">
        <v>4280</v>
      </c>
      <c r="B503" s="2200" t="s">
        <v>5283</v>
      </c>
      <c r="C503" s="2200" t="s">
        <v>5284</v>
      </c>
      <c r="D503" s="2200" t="str">
        <f t="shared" si="21"/>
        <v>GA</v>
      </c>
      <c r="E503" s="2200" t="str">
        <f t="shared" si="22"/>
        <v>13</v>
      </c>
      <c r="F503" s="2200" t="str">
        <f t="shared" si="23"/>
        <v>227</v>
      </c>
      <c r="G503" s="2200">
        <f>--SUBTOTAL(3,C$2:C503)</f>
        <v>67</v>
      </c>
    </row>
    <row r="504" spans="1:7" hidden="1" x14ac:dyDescent="0.15">
      <c r="A504" s="2200" t="s">
        <v>4280</v>
      </c>
      <c r="B504" s="2200" t="s">
        <v>5285</v>
      </c>
      <c r="C504" s="2200" t="s">
        <v>5286</v>
      </c>
      <c r="D504" s="2200" t="str">
        <f t="shared" si="21"/>
        <v>GA</v>
      </c>
      <c r="E504" s="2200" t="str">
        <f t="shared" si="22"/>
        <v>13</v>
      </c>
      <c r="F504" s="2200" t="str">
        <f t="shared" si="23"/>
        <v>229</v>
      </c>
      <c r="G504" s="2200">
        <f>--SUBTOTAL(3,C$2:C504)</f>
        <v>67</v>
      </c>
    </row>
    <row r="505" spans="1:7" hidden="1" x14ac:dyDescent="0.15">
      <c r="A505" s="2200" t="s">
        <v>4280</v>
      </c>
      <c r="B505" s="2200" t="s">
        <v>5287</v>
      </c>
      <c r="C505" s="2200" t="s">
        <v>5288</v>
      </c>
      <c r="D505" s="2200" t="str">
        <f t="shared" si="21"/>
        <v>GA</v>
      </c>
      <c r="E505" s="2200" t="str">
        <f t="shared" si="22"/>
        <v>13</v>
      </c>
      <c r="F505" s="2200" t="str">
        <f t="shared" si="23"/>
        <v>231</v>
      </c>
      <c r="G505" s="2200">
        <f>--SUBTOTAL(3,C$2:C505)</f>
        <v>67</v>
      </c>
    </row>
    <row r="506" spans="1:7" hidden="1" x14ac:dyDescent="0.15">
      <c r="A506" s="2200" t="s">
        <v>4280</v>
      </c>
      <c r="B506" s="2200" t="s">
        <v>5289</v>
      </c>
      <c r="C506" s="2200" t="s">
        <v>5290</v>
      </c>
      <c r="D506" s="2200" t="str">
        <f t="shared" si="21"/>
        <v>GA</v>
      </c>
      <c r="E506" s="2200" t="str">
        <f t="shared" si="22"/>
        <v>13</v>
      </c>
      <c r="F506" s="2200" t="str">
        <f t="shared" si="23"/>
        <v>233</v>
      </c>
      <c r="G506" s="2200">
        <f>--SUBTOTAL(3,C$2:C506)</f>
        <v>67</v>
      </c>
    </row>
    <row r="507" spans="1:7" hidden="1" x14ac:dyDescent="0.15">
      <c r="A507" s="2200" t="s">
        <v>4280</v>
      </c>
      <c r="B507" s="2200" t="s">
        <v>5291</v>
      </c>
      <c r="C507" s="2200" t="s">
        <v>5292</v>
      </c>
      <c r="D507" s="2200" t="str">
        <f t="shared" si="21"/>
        <v>GA</v>
      </c>
      <c r="E507" s="2200" t="str">
        <f t="shared" si="22"/>
        <v>13</v>
      </c>
      <c r="F507" s="2200" t="str">
        <f t="shared" si="23"/>
        <v>235</v>
      </c>
      <c r="G507" s="2200">
        <f>--SUBTOTAL(3,C$2:C507)</f>
        <v>67</v>
      </c>
    </row>
    <row r="508" spans="1:7" hidden="1" x14ac:dyDescent="0.15">
      <c r="A508" s="2200" t="s">
        <v>4280</v>
      </c>
      <c r="B508" s="2200" t="s">
        <v>5293</v>
      </c>
      <c r="C508" s="2200" t="s">
        <v>5294</v>
      </c>
      <c r="D508" s="2200" t="str">
        <f t="shared" si="21"/>
        <v>GA</v>
      </c>
      <c r="E508" s="2200" t="str">
        <f t="shared" si="22"/>
        <v>13</v>
      </c>
      <c r="F508" s="2200" t="str">
        <f t="shared" si="23"/>
        <v>237</v>
      </c>
      <c r="G508" s="2200">
        <f>--SUBTOTAL(3,C$2:C508)</f>
        <v>67</v>
      </c>
    </row>
    <row r="509" spans="1:7" hidden="1" x14ac:dyDescent="0.15">
      <c r="A509" s="2200" t="s">
        <v>4280</v>
      </c>
      <c r="B509" s="2200" t="s">
        <v>5295</v>
      </c>
      <c r="C509" s="2200" t="s">
        <v>5296</v>
      </c>
      <c r="D509" s="2200" t="str">
        <f t="shared" si="21"/>
        <v>GA</v>
      </c>
      <c r="E509" s="2200" t="str">
        <f t="shared" si="22"/>
        <v>13</v>
      </c>
      <c r="F509" s="2200" t="str">
        <f t="shared" si="23"/>
        <v>239</v>
      </c>
      <c r="G509" s="2200">
        <f>--SUBTOTAL(3,C$2:C509)</f>
        <v>67</v>
      </c>
    </row>
    <row r="510" spans="1:7" hidden="1" x14ac:dyDescent="0.15">
      <c r="A510" s="2200" t="s">
        <v>4280</v>
      </c>
      <c r="B510" s="2200" t="s">
        <v>5297</v>
      </c>
      <c r="C510" s="2200" t="s">
        <v>5298</v>
      </c>
      <c r="D510" s="2200" t="str">
        <f t="shared" si="21"/>
        <v>GA</v>
      </c>
      <c r="E510" s="2200" t="str">
        <f t="shared" si="22"/>
        <v>13</v>
      </c>
      <c r="F510" s="2200" t="str">
        <f t="shared" si="23"/>
        <v>241</v>
      </c>
      <c r="G510" s="2200">
        <f>--SUBTOTAL(3,C$2:C510)</f>
        <v>67</v>
      </c>
    </row>
    <row r="511" spans="1:7" hidden="1" x14ac:dyDescent="0.15">
      <c r="A511" s="2200" t="s">
        <v>4280</v>
      </c>
      <c r="B511" s="2200" t="s">
        <v>5299</v>
      </c>
      <c r="C511" s="2200" t="s">
        <v>5300</v>
      </c>
      <c r="D511" s="2200" t="str">
        <f t="shared" si="21"/>
        <v>GA</v>
      </c>
      <c r="E511" s="2200" t="str">
        <f t="shared" si="22"/>
        <v>13</v>
      </c>
      <c r="F511" s="2200" t="str">
        <f t="shared" si="23"/>
        <v>243</v>
      </c>
      <c r="G511" s="2200">
        <f>--SUBTOTAL(3,C$2:C511)</f>
        <v>67</v>
      </c>
    </row>
    <row r="512" spans="1:7" hidden="1" x14ac:dyDescent="0.15">
      <c r="A512" s="2200" t="s">
        <v>4280</v>
      </c>
      <c r="B512" s="2200" t="s">
        <v>5301</v>
      </c>
      <c r="C512" s="2200" t="s">
        <v>5302</v>
      </c>
      <c r="D512" s="2200" t="str">
        <f t="shared" si="21"/>
        <v>GA</v>
      </c>
      <c r="E512" s="2200" t="str">
        <f t="shared" si="22"/>
        <v>13</v>
      </c>
      <c r="F512" s="2200" t="str">
        <f t="shared" si="23"/>
        <v>245</v>
      </c>
      <c r="G512" s="2200">
        <f>--SUBTOTAL(3,C$2:C512)</f>
        <v>67</v>
      </c>
    </row>
    <row r="513" spans="1:7" hidden="1" x14ac:dyDescent="0.15">
      <c r="A513" s="2200" t="s">
        <v>4280</v>
      </c>
      <c r="B513" s="2200" t="s">
        <v>5303</v>
      </c>
      <c r="C513" s="2200" t="s">
        <v>5304</v>
      </c>
      <c r="D513" s="2200" t="str">
        <f t="shared" si="21"/>
        <v>GA</v>
      </c>
      <c r="E513" s="2200" t="str">
        <f t="shared" si="22"/>
        <v>13</v>
      </c>
      <c r="F513" s="2200" t="str">
        <f t="shared" si="23"/>
        <v>247</v>
      </c>
      <c r="G513" s="2200">
        <f>--SUBTOTAL(3,C$2:C513)</f>
        <v>67</v>
      </c>
    </row>
    <row r="514" spans="1:7" hidden="1" x14ac:dyDescent="0.15">
      <c r="A514" s="2200" t="s">
        <v>4280</v>
      </c>
      <c r="B514" s="2200" t="s">
        <v>5305</v>
      </c>
      <c r="C514" s="2200" t="s">
        <v>5306</v>
      </c>
      <c r="D514" s="2200" t="str">
        <f t="shared" si="21"/>
        <v>GA</v>
      </c>
      <c r="E514" s="2200" t="str">
        <f t="shared" si="22"/>
        <v>13</v>
      </c>
      <c r="F514" s="2200" t="str">
        <f t="shared" si="23"/>
        <v>249</v>
      </c>
      <c r="G514" s="2200">
        <f>--SUBTOTAL(3,C$2:C514)</f>
        <v>67</v>
      </c>
    </row>
    <row r="515" spans="1:7" hidden="1" x14ac:dyDescent="0.15">
      <c r="A515" s="2200" t="s">
        <v>4280</v>
      </c>
      <c r="B515" s="2200" t="s">
        <v>5307</v>
      </c>
      <c r="C515" s="2200" t="s">
        <v>5308</v>
      </c>
      <c r="D515" s="2200" t="str">
        <f t="shared" ref="D515:D578" si="24">RIGHT(C515,2)</f>
        <v>GA</v>
      </c>
      <c r="E515" s="2200" t="str">
        <f t="shared" ref="E515:E578" si="25">MID(B515,3,2)</f>
        <v>13</v>
      </c>
      <c r="F515" s="2200" t="str">
        <f t="shared" ref="F515:F578" si="26">MID(B515,5,3)</f>
        <v>251</v>
      </c>
      <c r="G515" s="2200">
        <f>--SUBTOTAL(3,C$2:C515)</f>
        <v>67</v>
      </c>
    </row>
    <row r="516" spans="1:7" hidden="1" x14ac:dyDescent="0.15">
      <c r="A516" s="2200" t="s">
        <v>4280</v>
      </c>
      <c r="B516" s="2200" t="s">
        <v>5309</v>
      </c>
      <c r="C516" s="2200" t="s">
        <v>5310</v>
      </c>
      <c r="D516" s="2200" t="str">
        <f t="shared" si="24"/>
        <v>GA</v>
      </c>
      <c r="E516" s="2200" t="str">
        <f t="shared" si="25"/>
        <v>13</v>
      </c>
      <c r="F516" s="2200" t="str">
        <f t="shared" si="26"/>
        <v>253</v>
      </c>
      <c r="G516" s="2200">
        <f>--SUBTOTAL(3,C$2:C516)</f>
        <v>67</v>
      </c>
    </row>
    <row r="517" spans="1:7" hidden="1" x14ac:dyDescent="0.15">
      <c r="A517" s="2200" t="s">
        <v>4280</v>
      </c>
      <c r="B517" s="2200" t="s">
        <v>5311</v>
      </c>
      <c r="C517" s="2200" t="s">
        <v>5312</v>
      </c>
      <c r="D517" s="2200" t="str">
        <f t="shared" si="24"/>
        <v>GA</v>
      </c>
      <c r="E517" s="2200" t="str">
        <f t="shared" si="25"/>
        <v>13</v>
      </c>
      <c r="F517" s="2200" t="str">
        <f t="shared" si="26"/>
        <v>255</v>
      </c>
      <c r="G517" s="2200">
        <f>--SUBTOTAL(3,C$2:C517)</f>
        <v>67</v>
      </c>
    </row>
    <row r="518" spans="1:7" hidden="1" x14ac:dyDescent="0.15">
      <c r="A518" s="2200" t="s">
        <v>4280</v>
      </c>
      <c r="B518" s="2200" t="s">
        <v>5313</v>
      </c>
      <c r="C518" s="2200" t="s">
        <v>5314</v>
      </c>
      <c r="D518" s="2200" t="str">
        <f t="shared" si="24"/>
        <v>GA</v>
      </c>
      <c r="E518" s="2200" t="str">
        <f t="shared" si="25"/>
        <v>13</v>
      </c>
      <c r="F518" s="2200" t="str">
        <f t="shared" si="26"/>
        <v>257</v>
      </c>
      <c r="G518" s="2200">
        <f>--SUBTOTAL(3,C$2:C518)</f>
        <v>67</v>
      </c>
    </row>
    <row r="519" spans="1:7" hidden="1" x14ac:dyDescent="0.15">
      <c r="A519" s="2200" t="s">
        <v>4280</v>
      </c>
      <c r="B519" s="2200" t="s">
        <v>5315</v>
      </c>
      <c r="C519" s="2200" t="s">
        <v>5316</v>
      </c>
      <c r="D519" s="2200" t="str">
        <f t="shared" si="24"/>
        <v>GA</v>
      </c>
      <c r="E519" s="2200" t="str">
        <f t="shared" si="25"/>
        <v>13</v>
      </c>
      <c r="F519" s="2200" t="str">
        <f t="shared" si="26"/>
        <v>259</v>
      </c>
      <c r="G519" s="2200">
        <f>--SUBTOTAL(3,C$2:C519)</f>
        <v>67</v>
      </c>
    </row>
    <row r="520" spans="1:7" hidden="1" x14ac:dyDescent="0.15">
      <c r="A520" s="2200" t="s">
        <v>4280</v>
      </c>
      <c r="B520" s="2200" t="s">
        <v>5317</v>
      </c>
      <c r="C520" s="2200" t="s">
        <v>5318</v>
      </c>
      <c r="D520" s="2200" t="str">
        <f t="shared" si="24"/>
        <v>GA</v>
      </c>
      <c r="E520" s="2200" t="str">
        <f t="shared" si="25"/>
        <v>13</v>
      </c>
      <c r="F520" s="2200" t="str">
        <f t="shared" si="26"/>
        <v>261</v>
      </c>
      <c r="G520" s="2200">
        <f>--SUBTOTAL(3,C$2:C520)</f>
        <v>67</v>
      </c>
    </row>
    <row r="521" spans="1:7" hidden="1" x14ac:dyDescent="0.15">
      <c r="A521" s="2200" t="s">
        <v>4280</v>
      </c>
      <c r="B521" s="2200" t="s">
        <v>5319</v>
      </c>
      <c r="C521" s="2200" t="s">
        <v>5320</v>
      </c>
      <c r="D521" s="2200" t="str">
        <f t="shared" si="24"/>
        <v>GA</v>
      </c>
      <c r="E521" s="2200" t="str">
        <f t="shared" si="25"/>
        <v>13</v>
      </c>
      <c r="F521" s="2200" t="str">
        <f t="shared" si="26"/>
        <v>263</v>
      </c>
      <c r="G521" s="2200">
        <f>--SUBTOTAL(3,C$2:C521)</f>
        <v>67</v>
      </c>
    </row>
    <row r="522" spans="1:7" hidden="1" x14ac:dyDescent="0.15">
      <c r="A522" s="2200" t="s">
        <v>4280</v>
      </c>
      <c r="B522" s="2200" t="s">
        <v>5321</v>
      </c>
      <c r="C522" s="2200" t="s">
        <v>5322</v>
      </c>
      <c r="D522" s="2200" t="str">
        <f t="shared" si="24"/>
        <v>GA</v>
      </c>
      <c r="E522" s="2200" t="str">
        <f t="shared" si="25"/>
        <v>13</v>
      </c>
      <c r="F522" s="2200" t="str">
        <f t="shared" si="26"/>
        <v>265</v>
      </c>
      <c r="G522" s="2200">
        <f>--SUBTOTAL(3,C$2:C522)</f>
        <v>67</v>
      </c>
    </row>
    <row r="523" spans="1:7" hidden="1" x14ac:dyDescent="0.15">
      <c r="A523" s="2200" t="s">
        <v>4280</v>
      </c>
      <c r="B523" s="2200" t="s">
        <v>5323</v>
      </c>
      <c r="C523" s="2200" t="s">
        <v>5324</v>
      </c>
      <c r="D523" s="2200" t="str">
        <f t="shared" si="24"/>
        <v>GA</v>
      </c>
      <c r="E523" s="2200" t="str">
        <f t="shared" si="25"/>
        <v>13</v>
      </c>
      <c r="F523" s="2200" t="str">
        <f t="shared" si="26"/>
        <v>267</v>
      </c>
      <c r="G523" s="2200">
        <f>--SUBTOTAL(3,C$2:C523)</f>
        <v>67</v>
      </c>
    </row>
    <row r="524" spans="1:7" hidden="1" x14ac:dyDescent="0.15">
      <c r="A524" s="2200" t="s">
        <v>4280</v>
      </c>
      <c r="B524" s="2200" t="s">
        <v>5325</v>
      </c>
      <c r="C524" s="2200" t="s">
        <v>5326</v>
      </c>
      <c r="D524" s="2200" t="str">
        <f t="shared" si="24"/>
        <v>GA</v>
      </c>
      <c r="E524" s="2200" t="str">
        <f t="shared" si="25"/>
        <v>13</v>
      </c>
      <c r="F524" s="2200" t="str">
        <f t="shared" si="26"/>
        <v>269</v>
      </c>
      <c r="G524" s="2200">
        <f>--SUBTOTAL(3,C$2:C524)</f>
        <v>67</v>
      </c>
    </row>
    <row r="525" spans="1:7" hidden="1" x14ac:dyDescent="0.15">
      <c r="A525" s="2200" t="s">
        <v>4280</v>
      </c>
      <c r="B525" s="2200" t="s">
        <v>5327</v>
      </c>
      <c r="C525" s="2200" t="s">
        <v>5328</v>
      </c>
      <c r="D525" s="2200" t="str">
        <f t="shared" si="24"/>
        <v>GA</v>
      </c>
      <c r="E525" s="2200" t="str">
        <f t="shared" si="25"/>
        <v>13</v>
      </c>
      <c r="F525" s="2200" t="str">
        <f t="shared" si="26"/>
        <v>271</v>
      </c>
      <c r="G525" s="2200">
        <f>--SUBTOTAL(3,C$2:C525)</f>
        <v>67</v>
      </c>
    </row>
    <row r="526" spans="1:7" hidden="1" x14ac:dyDescent="0.15">
      <c r="A526" s="2200" t="s">
        <v>4280</v>
      </c>
      <c r="B526" s="2200" t="s">
        <v>5329</v>
      </c>
      <c r="C526" s="2200" t="s">
        <v>5330</v>
      </c>
      <c r="D526" s="2200" t="str">
        <f t="shared" si="24"/>
        <v>GA</v>
      </c>
      <c r="E526" s="2200" t="str">
        <f t="shared" si="25"/>
        <v>13</v>
      </c>
      <c r="F526" s="2200" t="str">
        <f t="shared" si="26"/>
        <v>273</v>
      </c>
      <c r="G526" s="2200">
        <f>--SUBTOTAL(3,C$2:C526)</f>
        <v>67</v>
      </c>
    </row>
    <row r="527" spans="1:7" hidden="1" x14ac:dyDescent="0.15">
      <c r="A527" s="2200" t="s">
        <v>4280</v>
      </c>
      <c r="B527" s="2200" t="s">
        <v>5331</v>
      </c>
      <c r="C527" s="2200" t="s">
        <v>5332</v>
      </c>
      <c r="D527" s="2200" t="str">
        <f t="shared" si="24"/>
        <v>GA</v>
      </c>
      <c r="E527" s="2200" t="str">
        <f t="shared" si="25"/>
        <v>13</v>
      </c>
      <c r="F527" s="2200" t="str">
        <f t="shared" si="26"/>
        <v>275</v>
      </c>
      <c r="G527" s="2200">
        <f>--SUBTOTAL(3,C$2:C527)</f>
        <v>67</v>
      </c>
    </row>
    <row r="528" spans="1:7" hidden="1" x14ac:dyDescent="0.15">
      <c r="A528" s="2200" t="s">
        <v>4280</v>
      </c>
      <c r="B528" s="2200" t="s">
        <v>5333</v>
      </c>
      <c r="C528" s="2200" t="s">
        <v>5334</v>
      </c>
      <c r="D528" s="2200" t="str">
        <f t="shared" si="24"/>
        <v>GA</v>
      </c>
      <c r="E528" s="2200" t="str">
        <f t="shared" si="25"/>
        <v>13</v>
      </c>
      <c r="F528" s="2200" t="str">
        <f t="shared" si="26"/>
        <v>277</v>
      </c>
      <c r="G528" s="2200">
        <f>--SUBTOTAL(3,C$2:C528)</f>
        <v>67</v>
      </c>
    </row>
    <row r="529" spans="1:7" hidden="1" x14ac:dyDescent="0.15">
      <c r="A529" s="2200" t="s">
        <v>4280</v>
      </c>
      <c r="B529" s="2200" t="s">
        <v>5335</v>
      </c>
      <c r="C529" s="2200" t="s">
        <v>5336</v>
      </c>
      <c r="D529" s="2200" t="str">
        <f t="shared" si="24"/>
        <v>GA</v>
      </c>
      <c r="E529" s="2200" t="str">
        <f t="shared" si="25"/>
        <v>13</v>
      </c>
      <c r="F529" s="2200" t="str">
        <f t="shared" si="26"/>
        <v>279</v>
      </c>
      <c r="G529" s="2200">
        <f>--SUBTOTAL(3,C$2:C529)</f>
        <v>67</v>
      </c>
    </row>
    <row r="530" spans="1:7" hidden="1" x14ac:dyDescent="0.15">
      <c r="A530" s="2200" t="s">
        <v>4280</v>
      </c>
      <c r="B530" s="2200" t="s">
        <v>5337</v>
      </c>
      <c r="C530" s="2200" t="s">
        <v>5338</v>
      </c>
      <c r="D530" s="2200" t="str">
        <f t="shared" si="24"/>
        <v>GA</v>
      </c>
      <c r="E530" s="2200" t="str">
        <f t="shared" si="25"/>
        <v>13</v>
      </c>
      <c r="F530" s="2200" t="str">
        <f t="shared" si="26"/>
        <v>281</v>
      </c>
      <c r="G530" s="2200">
        <f>--SUBTOTAL(3,C$2:C530)</f>
        <v>67</v>
      </c>
    </row>
    <row r="531" spans="1:7" hidden="1" x14ac:dyDescent="0.15">
      <c r="A531" s="2200" t="s">
        <v>4280</v>
      </c>
      <c r="B531" s="2200" t="s">
        <v>5339</v>
      </c>
      <c r="C531" s="2200" t="s">
        <v>5340</v>
      </c>
      <c r="D531" s="2200" t="str">
        <f t="shared" si="24"/>
        <v>GA</v>
      </c>
      <c r="E531" s="2200" t="str">
        <f t="shared" si="25"/>
        <v>13</v>
      </c>
      <c r="F531" s="2200" t="str">
        <f t="shared" si="26"/>
        <v>283</v>
      </c>
      <c r="G531" s="2200">
        <f>--SUBTOTAL(3,C$2:C531)</f>
        <v>67</v>
      </c>
    </row>
    <row r="532" spans="1:7" hidden="1" x14ac:dyDescent="0.15">
      <c r="A532" s="2200" t="s">
        <v>4280</v>
      </c>
      <c r="B532" s="2200" t="s">
        <v>5341</v>
      </c>
      <c r="C532" s="2200" t="s">
        <v>5342</v>
      </c>
      <c r="D532" s="2200" t="str">
        <f t="shared" si="24"/>
        <v>GA</v>
      </c>
      <c r="E532" s="2200" t="str">
        <f t="shared" si="25"/>
        <v>13</v>
      </c>
      <c r="F532" s="2200" t="str">
        <f t="shared" si="26"/>
        <v>285</v>
      </c>
      <c r="G532" s="2200">
        <f>--SUBTOTAL(3,C$2:C532)</f>
        <v>67</v>
      </c>
    </row>
    <row r="533" spans="1:7" hidden="1" x14ac:dyDescent="0.15">
      <c r="A533" s="2200" t="s">
        <v>4280</v>
      </c>
      <c r="B533" s="2200" t="s">
        <v>5343</v>
      </c>
      <c r="C533" s="2200" t="s">
        <v>5344</v>
      </c>
      <c r="D533" s="2200" t="str">
        <f t="shared" si="24"/>
        <v>GA</v>
      </c>
      <c r="E533" s="2200" t="str">
        <f t="shared" si="25"/>
        <v>13</v>
      </c>
      <c r="F533" s="2200" t="str">
        <f t="shared" si="26"/>
        <v>287</v>
      </c>
      <c r="G533" s="2200">
        <f>--SUBTOTAL(3,C$2:C533)</f>
        <v>67</v>
      </c>
    </row>
    <row r="534" spans="1:7" hidden="1" x14ac:dyDescent="0.15">
      <c r="A534" s="2200" t="s">
        <v>4280</v>
      </c>
      <c r="B534" s="2200" t="s">
        <v>5345</v>
      </c>
      <c r="C534" s="2200" t="s">
        <v>5346</v>
      </c>
      <c r="D534" s="2200" t="str">
        <f t="shared" si="24"/>
        <v>GA</v>
      </c>
      <c r="E534" s="2200" t="str">
        <f t="shared" si="25"/>
        <v>13</v>
      </c>
      <c r="F534" s="2200" t="str">
        <f t="shared" si="26"/>
        <v>289</v>
      </c>
      <c r="G534" s="2200">
        <f>--SUBTOTAL(3,C$2:C534)</f>
        <v>67</v>
      </c>
    </row>
    <row r="535" spans="1:7" hidden="1" x14ac:dyDescent="0.15">
      <c r="A535" s="2200" t="s">
        <v>4280</v>
      </c>
      <c r="B535" s="2200" t="s">
        <v>5347</v>
      </c>
      <c r="C535" s="2200" t="s">
        <v>5348</v>
      </c>
      <c r="D535" s="2200" t="str">
        <f t="shared" si="24"/>
        <v>GA</v>
      </c>
      <c r="E535" s="2200" t="str">
        <f t="shared" si="25"/>
        <v>13</v>
      </c>
      <c r="F535" s="2200" t="str">
        <f t="shared" si="26"/>
        <v>291</v>
      </c>
      <c r="G535" s="2200">
        <f>--SUBTOTAL(3,C$2:C535)</f>
        <v>67</v>
      </c>
    </row>
    <row r="536" spans="1:7" hidden="1" x14ac:dyDescent="0.15">
      <c r="A536" s="2200" t="s">
        <v>4280</v>
      </c>
      <c r="B536" s="2200" t="s">
        <v>5349</v>
      </c>
      <c r="C536" s="2200" t="s">
        <v>5350</v>
      </c>
      <c r="D536" s="2200" t="str">
        <f t="shared" si="24"/>
        <v>GA</v>
      </c>
      <c r="E536" s="2200" t="str">
        <f t="shared" si="25"/>
        <v>13</v>
      </c>
      <c r="F536" s="2200" t="str">
        <f t="shared" si="26"/>
        <v>293</v>
      </c>
      <c r="G536" s="2200">
        <f>--SUBTOTAL(3,C$2:C536)</f>
        <v>67</v>
      </c>
    </row>
    <row r="537" spans="1:7" hidden="1" x14ac:dyDescent="0.15">
      <c r="A537" s="2200" t="s">
        <v>4280</v>
      </c>
      <c r="B537" s="2200" t="s">
        <v>5351</v>
      </c>
      <c r="C537" s="2200" t="s">
        <v>5352</v>
      </c>
      <c r="D537" s="2200" t="str">
        <f t="shared" si="24"/>
        <v>GA</v>
      </c>
      <c r="E537" s="2200" t="str">
        <f t="shared" si="25"/>
        <v>13</v>
      </c>
      <c r="F537" s="2200" t="str">
        <f t="shared" si="26"/>
        <v>295</v>
      </c>
      <c r="G537" s="2200">
        <f>--SUBTOTAL(3,C$2:C537)</f>
        <v>67</v>
      </c>
    </row>
    <row r="538" spans="1:7" hidden="1" x14ac:dyDescent="0.15">
      <c r="A538" s="2200" t="s">
        <v>4280</v>
      </c>
      <c r="B538" s="2200" t="s">
        <v>5353</v>
      </c>
      <c r="C538" s="2200" t="s">
        <v>5354</v>
      </c>
      <c r="D538" s="2200" t="str">
        <f t="shared" si="24"/>
        <v>GA</v>
      </c>
      <c r="E538" s="2200" t="str">
        <f t="shared" si="25"/>
        <v>13</v>
      </c>
      <c r="F538" s="2200" t="str">
        <f t="shared" si="26"/>
        <v>297</v>
      </c>
      <c r="G538" s="2200">
        <f>--SUBTOTAL(3,C$2:C538)</f>
        <v>67</v>
      </c>
    </row>
    <row r="539" spans="1:7" hidden="1" x14ac:dyDescent="0.15">
      <c r="A539" s="2200" t="s">
        <v>4280</v>
      </c>
      <c r="B539" s="2200" t="s">
        <v>5355</v>
      </c>
      <c r="C539" s="2200" t="s">
        <v>5356</v>
      </c>
      <c r="D539" s="2200" t="str">
        <f t="shared" si="24"/>
        <v>GA</v>
      </c>
      <c r="E539" s="2200" t="str">
        <f t="shared" si="25"/>
        <v>13</v>
      </c>
      <c r="F539" s="2200" t="str">
        <f t="shared" si="26"/>
        <v>299</v>
      </c>
      <c r="G539" s="2200">
        <f>--SUBTOTAL(3,C$2:C539)</f>
        <v>67</v>
      </c>
    </row>
    <row r="540" spans="1:7" hidden="1" x14ac:dyDescent="0.15">
      <c r="A540" s="2200" t="s">
        <v>4280</v>
      </c>
      <c r="B540" s="2200" t="s">
        <v>5357</v>
      </c>
      <c r="C540" s="2200" t="s">
        <v>5358</v>
      </c>
      <c r="D540" s="2200" t="str">
        <f t="shared" si="24"/>
        <v>GA</v>
      </c>
      <c r="E540" s="2200" t="str">
        <f t="shared" si="25"/>
        <v>13</v>
      </c>
      <c r="F540" s="2200" t="str">
        <f t="shared" si="26"/>
        <v>301</v>
      </c>
      <c r="G540" s="2200">
        <f>--SUBTOTAL(3,C$2:C540)</f>
        <v>67</v>
      </c>
    </row>
    <row r="541" spans="1:7" hidden="1" x14ac:dyDescent="0.15">
      <c r="A541" s="2200" t="s">
        <v>4280</v>
      </c>
      <c r="B541" s="2200" t="s">
        <v>5359</v>
      </c>
      <c r="C541" s="2200" t="s">
        <v>5360</v>
      </c>
      <c r="D541" s="2200" t="str">
        <f t="shared" si="24"/>
        <v>GA</v>
      </c>
      <c r="E541" s="2200" t="str">
        <f t="shared" si="25"/>
        <v>13</v>
      </c>
      <c r="F541" s="2200" t="str">
        <f t="shared" si="26"/>
        <v>303</v>
      </c>
      <c r="G541" s="2200">
        <f>--SUBTOTAL(3,C$2:C541)</f>
        <v>67</v>
      </c>
    </row>
    <row r="542" spans="1:7" hidden="1" x14ac:dyDescent="0.15">
      <c r="A542" s="2200" t="s">
        <v>4280</v>
      </c>
      <c r="B542" s="2200" t="s">
        <v>5361</v>
      </c>
      <c r="C542" s="2200" t="s">
        <v>5362</v>
      </c>
      <c r="D542" s="2200" t="str">
        <f t="shared" si="24"/>
        <v>GA</v>
      </c>
      <c r="E542" s="2200" t="str">
        <f t="shared" si="25"/>
        <v>13</v>
      </c>
      <c r="F542" s="2200" t="str">
        <f t="shared" si="26"/>
        <v>305</v>
      </c>
      <c r="G542" s="2200">
        <f>--SUBTOTAL(3,C$2:C542)</f>
        <v>67</v>
      </c>
    </row>
    <row r="543" spans="1:7" hidden="1" x14ac:dyDescent="0.15">
      <c r="A543" s="2200" t="s">
        <v>4280</v>
      </c>
      <c r="B543" s="2200" t="s">
        <v>5363</v>
      </c>
      <c r="C543" s="2200" t="s">
        <v>5364</v>
      </c>
      <c r="D543" s="2200" t="str">
        <f t="shared" si="24"/>
        <v>GA</v>
      </c>
      <c r="E543" s="2200" t="str">
        <f t="shared" si="25"/>
        <v>13</v>
      </c>
      <c r="F543" s="2200" t="str">
        <f t="shared" si="26"/>
        <v>307</v>
      </c>
      <c r="G543" s="2200">
        <f>--SUBTOTAL(3,C$2:C543)</f>
        <v>67</v>
      </c>
    </row>
    <row r="544" spans="1:7" hidden="1" x14ac:dyDescent="0.15">
      <c r="A544" s="2200" t="s">
        <v>4280</v>
      </c>
      <c r="B544" s="2200" t="s">
        <v>5365</v>
      </c>
      <c r="C544" s="2200" t="s">
        <v>5366</v>
      </c>
      <c r="D544" s="2200" t="str">
        <f t="shared" si="24"/>
        <v>GA</v>
      </c>
      <c r="E544" s="2200" t="str">
        <f t="shared" si="25"/>
        <v>13</v>
      </c>
      <c r="F544" s="2200" t="str">
        <f t="shared" si="26"/>
        <v>309</v>
      </c>
      <c r="G544" s="2200">
        <f>--SUBTOTAL(3,C$2:C544)</f>
        <v>67</v>
      </c>
    </row>
    <row r="545" spans="1:7" hidden="1" x14ac:dyDescent="0.15">
      <c r="A545" s="2200" t="s">
        <v>4280</v>
      </c>
      <c r="B545" s="2200" t="s">
        <v>5367</v>
      </c>
      <c r="C545" s="2200" t="s">
        <v>5368</v>
      </c>
      <c r="D545" s="2200" t="str">
        <f t="shared" si="24"/>
        <v>GA</v>
      </c>
      <c r="E545" s="2200" t="str">
        <f t="shared" si="25"/>
        <v>13</v>
      </c>
      <c r="F545" s="2200" t="str">
        <f t="shared" si="26"/>
        <v>311</v>
      </c>
      <c r="G545" s="2200">
        <f>--SUBTOTAL(3,C$2:C545)</f>
        <v>67</v>
      </c>
    </row>
    <row r="546" spans="1:7" hidden="1" x14ac:dyDescent="0.15">
      <c r="A546" s="2200" t="s">
        <v>4280</v>
      </c>
      <c r="B546" s="2200" t="s">
        <v>5369</v>
      </c>
      <c r="C546" s="2200" t="s">
        <v>5370</v>
      </c>
      <c r="D546" s="2200" t="str">
        <f t="shared" si="24"/>
        <v>GA</v>
      </c>
      <c r="E546" s="2200" t="str">
        <f t="shared" si="25"/>
        <v>13</v>
      </c>
      <c r="F546" s="2200" t="str">
        <f t="shared" si="26"/>
        <v>313</v>
      </c>
      <c r="G546" s="2200">
        <f>--SUBTOTAL(3,C$2:C546)</f>
        <v>67</v>
      </c>
    </row>
    <row r="547" spans="1:7" hidden="1" x14ac:dyDescent="0.15">
      <c r="A547" s="2200" t="s">
        <v>4280</v>
      </c>
      <c r="B547" s="2200" t="s">
        <v>5371</v>
      </c>
      <c r="C547" s="2200" t="s">
        <v>5372</v>
      </c>
      <c r="D547" s="2200" t="str">
        <f t="shared" si="24"/>
        <v>GA</v>
      </c>
      <c r="E547" s="2200" t="str">
        <f t="shared" si="25"/>
        <v>13</v>
      </c>
      <c r="F547" s="2200" t="str">
        <f t="shared" si="26"/>
        <v>315</v>
      </c>
      <c r="G547" s="2200">
        <f>--SUBTOTAL(3,C$2:C547)</f>
        <v>67</v>
      </c>
    </row>
    <row r="548" spans="1:7" hidden="1" x14ac:dyDescent="0.15">
      <c r="A548" s="2200" t="s">
        <v>4280</v>
      </c>
      <c r="B548" s="2200" t="s">
        <v>5373</v>
      </c>
      <c r="C548" s="2200" t="s">
        <v>5374</v>
      </c>
      <c r="D548" s="2200" t="str">
        <f t="shared" si="24"/>
        <v>GA</v>
      </c>
      <c r="E548" s="2200" t="str">
        <f t="shared" si="25"/>
        <v>13</v>
      </c>
      <c r="F548" s="2200" t="str">
        <f t="shared" si="26"/>
        <v>317</v>
      </c>
      <c r="G548" s="2200">
        <f>--SUBTOTAL(3,C$2:C548)</f>
        <v>67</v>
      </c>
    </row>
    <row r="549" spans="1:7" hidden="1" x14ac:dyDescent="0.15">
      <c r="A549" s="2200" t="s">
        <v>4280</v>
      </c>
      <c r="B549" s="2200" t="s">
        <v>5375</v>
      </c>
      <c r="C549" s="2200" t="s">
        <v>5376</v>
      </c>
      <c r="D549" s="2200" t="str">
        <f t="shared" si="24"/>
        <v>GA</v>
      </c>
      <c r="E549" s="2200" t="str">
        <f t="shared" si="25"/>
        <v>13</v>
      </c>
      <c r="F549" s="2200" t="str">
        <f t="shared" si="26"/>
        <v>319</v>
      </c>
      <c r="G549" s="2200">
        <f>--SUBTOTAL(3,C$2:C549)</f>
        <v>67</v>
      </c>
    </row>
    <row r="550" spans="1:7" hidden="1" x14ac:dyDescent="0.15">
      <c r="A550" s="2200" t="s">
        <v>4280</v>
      </c>
      <c r="B550" s="2200" t="s">
        <v>5377</v>
      </c>
      <c r="C550" s="2200" t="s">
        <v>5378</v>
      </c>
      <c r="D550" s="2200" t="str">
        <f t="shared" si="24"/>
        <v>GA</v>
      </c>
      <c r="E550" s="2200" t="str">
        <f t="shared" si="25"/>
        <v>13</v>
      </c>
      <c r="F550" s="2200" t="str">
        <f t="shared" si="26"/>
        <v>321</v>
      </c>
      <c r="G550" s="2200">
        <f>--SUBTOTAL(3,C$2:C550)</f>
        <v>67</v>
      </c>
    </row>
    <row r="551" spans="1:7" hidden="1" x14ac:dyDescent="0.15">
      <c r="A551" s="2200" t="s">
        <v>4280</v>
      </c>
      <c r="B551" s="2200" t="s">
        <v>5379</v>
      </c>
      <c r="C551" s="2200" t="s">
        <v>5380</v>
      </c>
      <c r="D551" s="2200" t="str">
        <f t="shared" si="24"/>
        <v>HI</v>
      </c>
      <c r="E551" s="2200" t="str">
        <f t="shared" si="25"/>
        <v>15</v>
      </c>
      <c r="F551" s="2200" t="str">
        <f t="shared" si="26"/>
        <v>001</v>
      </c>
      <c r="G551" s="2200">
        <f>--SUBTOTAL(3,C$2:C551)</f>
        <v>67</v>
      </c>
    </row>
    <row r="552" spans="1:7" hidden="1" x14ac:dyDescent="0.15">
      <c r="A552" s="2200" t="s">
        <v>4280</v>
      </c>
      <c r="B552" s="2200" t="s">
        <v>5381</v>
      </c>
      <c r="C552" s="2200" t="s">
        <v>5382</v>
      </c>
      <c r="D552" s="2200" t="str">
        <f t="shared" si="24"/>
        <v>HI</v>
      </c>
      <c r="E552" s="2200" t="str">
        <f t="shared" si="25"/>
        <v>15</v>
      </c>
      <c r="F552" s="2200" t="str">
        <f t="shared" si="26"/>
        <v>003</v>
      </c>
      <c r="G552" s="2200">
        <f>--SUBTOTAL(3,C$2:C552)</f>
        <v>67</v>
      </c>
    </row>
    <row r="553" spans="1:7" hidden="1" x14ac:dyDescent="0.15">
      <c r="A553" s="2200" t="s">
        <v>4280</v>
      </c>
      <c r="B553" s="2200" t="s">
        <v>5383</v>
      </c>
      <c r="C553" s="2200" t="s">
        <v>5384</v>
      </c>
      <c r="D553" s="2200" t="str">
        <f t="shared" si="24"/>
        <v>HI</v>
      </c>
      <c r="E553" s="2200" t="str">
        <f t="shared" si="25"/>
        <v>15</v>
      </c>
      <c r="F553" s="2200" t="str">
        <f t="shared" si="26"/>
        <v>007</v>
      </c>
      <c r="G553" s="2200">
        <f>--SUBTOTAL(3,C$2:C553)</f>
        <v>67</v>
      </c>
    </row>
    <row r="554" spans="1:7" hidden="1" x14ac:dyDescent="0.15">
      <c r="A554" s="2200" t="s">
        <v>4280</v>
      </c>
      <c r="B554" s="2200" t="s">
        <v>5385</v>
      </c>
      <c r="C554" s="2200" t="s">
        <v>5386</v>
      </c>
      <c r="D554" s="2200" t="str">
        <f t="shared" si="24"/>
        <v>HI</v>
      </c>
      <c r="E554" s="2200" t="str">
        <f t="shared" si="25"/>
        <v>15</v>
      </c>
      <c r="F554" s="2200" t="str">
        <f t="shared" si="26"/>
        <v>009</v>
      </c>
      <c r="G554" s="2200">
        <f>--SUBTOTAL(3,C$2:C554)</f>
        <v>67</v>
      </c>
    </row>
    <row r="555" spans="1:7" hidden="1" x14ac:dyDescent="0.15">
      <c r="A555" s="2200" t="s">
        <v>4280</v>
      </c>
      <c r="B555" s="2200" t="s">
        <v>5387</v>
      </c>
      <c r="C555" s="2200" t="s">
        <v>5388</v>
      </c>
      <c r="D555" s="2200" t="str">
        <f t="shared" si="24"/>
        <v>ID</v>
      </c>
      <c r="E555" s="2200" t="str">
        <f t="shared" si="25"/>
        <v>16</v>
      </c>
      <c r="F555" s="2200" t="str">
        <f t="shared" si="26"/>
        <v>001</v>
      </c>
      <c r="G555" s="2200">
        <f>--SUBTOTAL(3,C$2:C555)</f>
        <v>67</v>
      </c>
    </row>
    <row r="556" spans="1:7" hidden="1" x14ac:dyDescent="0.15">
      <c r="A556" s="2200" t="s">
        <v>4280</v>
      </c>
      <c r="B556" s="2200" t="s">
        <v>5389</v>
      </c>
      <c r="C556" s="2200" t="s">
        <v>5390</v>
      </c>
      <c r="D556" s="2200" t="str">
        <f t="shared" si="24"/>
        <v>ID</v>
      </c>
      <c r="E556" s="2200" t="str">
        <f t="shared" si="25"/>
        <v>16</v>
      </c>
      <c r="F556" s="2200" t="str">
        <f t="shared" si="26"/>
        <v>003</v>
      </c>
      <c r="G556" s="2200">
        <f>--SUBTOTAL(3,C$2:C556)</f>
        <v>67</v>
      </c>
    </row>
    <row r="557" spans="1:7" hidden="1" x14ac:dyDescent="0.15">
      <c r="A557" s="2200" t="s">
        <v>4280</v>
      </c>
      <c r="B557" s="2200" t="s">
        <v>5391</v>
      </c>
      <c r="C557" s="2200" t="s">
        <v>5392</v>
      </c>
      <c r="D557" s="2200" t="str">
        <f t="shared" si="24"/>
        <v>ID</v>
      </c>
      <c r="E557" s="2200" t="str">
        <f t="shared" si="25"/>
        <v>16</v>
      </c>
      <c r="F557" s="2200" t="str">
        <f t="shared" si="26"/>
        <v>005</v>
      </c>
      <c r="G557" s="2200">
        <f>--SUBTOTAL(3,C$2:C557)</f>
        <v>67</v>
      </c>
    </row>
    <row r="558" spans="1:7" hidden="1" x14ac:dyDescent="0.15">
      <c r="A558" s="2200" t="s">
        <v>4280</v>
      </c>
      <c r="B558" s="2200" t="s">
        <v>5393</v>
      </c>
      <c r="C558" s="2200" t="s">
        <v>5394</v>
      </c>
      <c r="D558" s="2200" t="str">
        <f t="shared" si="24"/>
        <v>ID</v>
      </c>
      <c r="E558" s="2200" t="str">
        <f t="shared" si="25"/>
        <v>16</v>
      </c>
      <c r="F558" s="2200" t="str">
        <f t="shared" si="26"/>
        <v>007</v>
      </c>
      <c r="G558" s="2200">
        <f>--SUBTOTAL(3,C$2:C558)</f>
        <v>67</v>
      </c>
    </row>
    <row r="559" spans="1:7" hidden="1" x14ac:dyDescent="0.15">
      <c r="A559" s="2200" t="s">
        <v>4280</v>
      </c>
      <c r="B559" s="2200" t="s">
        <v>5395</v>
      </c>
      <c r="C559" s="2200" t="s">
        <v>5396</v>
      </c>
      <c r="D559" s="2200" t="str">
        <f t="shared" si="24"/>
        <v>ID</v>
      </c>
      <c r="E559" s="2200" t="str">
        <f t="shared" si="25"/>
        <v>16</v>
      </c>
      <c r="F559" s="2200" t="str">
        <f t="shared" si="26"/>
        <v>009</v>
      </c>
      <c r="G559" s="2200">
        <f>--SUBTOTAL(3,C$2:C559)</f>
        <v>67</v>
      </c>
    </row>
    <row r="560" spans="1:7" hidden="1" x14ac:dyDescent="0.15">
      <c r="A560" s="2200" t="s">
        <v>4280</v>
      </c>
      <c r="B560" s="2200" t="s">
        <v>5397</v>
      </c>
      <c r="C560" s="2200" t="s">
        <v>5398</v>
      </c>
      <c r="D560" s="2200" t="str">
        <f t="shared" si="24"/>
        <v>ID</v>
      </c>
      <c r="E560" s="2200" t="str">
        <f t="shared" si="25"/>
        <v>16</v>
      </c>
      <c r="F560" s="2200" t="str">
        <f t="shared" si="26"/>
        <v>011</v>
      </c>
      <c r="G560" s="2200">
        <f>--SUBTOTAL(3,C$2:C560)</f>
        <v>67</v>
      </c>
    </row>
    <row r="561" spans="1:7" hidden="1" x14ac:dyDescent="0.15">
      <c r="A561" s="2200" t="s">
        <v>4280</v>
      </c>
      <c r="B561" s="2200" t="s">
        <v>5399</v>
      </c>
      <c r="C561" s="2200" t="s">
        <v>5400</v>
      </c>
      <c r="D561" s="2200" t="str">
        <f t="shared" si="24"/>
        <v>ID</v>
      </c>
      <c r="E561" s="2200" t="str">
        <f t="shared" si="25"/>
        <v>16</v>
      </c>
      <c r="F561" s="2200" t="str">
        <f t="shared" si="26"/>
        <v>013</v>
      </c>
      <c r="G561" s="2200">
        <f>--SUBTOTAL(3,C$2:C561)</f>
        <v>67</v>
      </c>
    </row>
    <row r="562" spans="1:7" hidden="1" x14ac:dyDescent="0.15">
      <c r="A562" s="2200" t="s">
        <v>4280</v>
      </c>
      <c r="B562" s="2200" t="s">
        <v>5401</v>
      </c>
      <c r="C562" s="2200" t="s">
        <v>5402</v>
      </c>
      <c r="D562" s="2200" t="str">
        <f t="shared" si="24"/>
        <v>ID</v>
      </c>
      <c r="E562" s="2200" t="str">
        <f t="shared" si="25"/>
        <v>16</v>
      </c>
      <c r="F562" s="2200" t="str">
        <f t="shared" si="26"/>
        <v>015</v>
      </c>
      <c r="G562" s="2200">
        <f>--SUBTOTAL(3,C$2:C562)</f>
        <v>67</v>
      </c>
    </row>
    <row r="563" spans="1:7" hidden="1" x14ac:dyDescent="0.15">
      <c r="A563" s="2200" t="s">
        <v>4280</v>
      </c>
      <c r="B563" s="2200" t="s">
        <v>5403</v>
      </c>
      <c r="C563" s="2200" t="s">
        <v>5404</v>
      </c>
      <c r="D563" s="2200" t="str">
        <f t="shared" si="24"/>
        <v>ID</v>
      </c>
      <c r="E563" s="2200" t="str">
        <f t="shared" si="25"/>
        <v>16</v>
      </c>
      <c r="F563" s="2200" t="str">
        <f t="shared" si="26"/>
        <v>017</v>
      </c>
      <c r="G563" s="2200">
        <f>--SUBTOTAL(3,C$2:C563)</f>
        <v>67</v>
      </c>
    </row>
    <row r="564" spans="1:7" hidden="1" x14ac:dyDescent="0.15">
      <c r="A564" s="2200" t="s">
        <v>4280</v>
      </c>
      <c r="B564" s="2200" t="s">
        <v>5405</v>
      </c>
      <c r="C564" s="2200" t="s">
        <v>5406</v>
      </c>
      <c r="D564" s="2200" t="str">
        <f t="shared" si="24"/>
        <v>ID</v>
      </c>
      <c r="E564" s="2200" t="str">
        <f t="shared" si="25"/>
        <v>16</v>
      </c>
      <c r="F564" s="2200" t="str">
        <f t="shared" si="26"/>
        <v>019</v>
      </c>
      <c r="G564" s="2200">
        <f>--SUBTOTAL(3,C$2:C564)</f>
        <v>67</v>
      </c>
    </row>
    <row r="565" spans="1:7" hidden="1" x14ac:dyDescent="0.15">
      <c r="A565" s="2200" t="s">
        <v>4280</v>
      </c>
      <c r="B565" s="2200" t="s">
        <v>5407</v>
      </c>
      <c r="C565" s="2200" t="s">
        <v>5408</v>
      </c>
      <c r="D565" s="2200" t="str">
        <f t="shared" si="24"/>
        <v>ID</v>
      </c>
      <c r="E565" s="2200" t="str">
        <f t="shared" si="25"/>
        <v>16</v>
      </c>
      <c r="F565" s="2200" t="str">
        <f t="shared" si="26"/>
        <v>021</v>
      </c>
      <c r="G565" s="2200">
        <f>--SUBTOTAL(3,C$2:C565)</f>
        <v>67</v>
      </c>
    </row>
    <row r="566" spans="1:7" hidden="1" x14ac:dyDescent="0.15">
      <c r="A566" s="2200" t="s">
        <v>4280</v>
      </c>
      <c r="B566" s="2200" t="s">
        <v>5409</v>
      </c>
      <c r="C566" s="2200" t="s">
        <v>5410</v>
      </c>
      <c r="D566" s="2200" t="str">
        <f t="shared" si="24"/>
        <v>ID</v>
      </c>
      <c r="E566" s="2200" t="str">
        <f t="shared" si="25"/>
        <v>16</v>
      </c>
      <c r="F566" s="2200" t="str">
        <f t="shared" si="26"/>
        <v>023</v>
      </c>
      <c r="G566" s="2200">
        <f>--SUBTOTAL(3,C$2:C566)</f>
        <v>67</v>
      </c>
    </row>
    <row r="567" spans="1:7" hidden="1" x14ac:dyDescent="0.15">
      <c r="A567" s="2200" t="s">
        <v>4280</v>
      </c>
      <c r="B567" s="2200" t="s">
        <v>5411</v>
      </c>
      <c r="C567" s="2200" t="s">
        <v>5412</v>
      </c>
      <c r="D567" s="2200" t="str">
        <f t="shared" si="24"/>
        <v>ID</v>
      </c>
      <c r="E567" s="2200" t="str">
        <f t="shared" si="25"/>
        <v>16</v>
      </c>
      <c r="F567" s="2200" t="str">
        <f t="shared" si="26"/>
        <v>025</v>
      </c>
      <c r="G567" s="2200">
        <f>--SUBTOTAL(3,C$2:C567)</f>
        <v>67</v>
      </c>
    </row>
    <row r="568" spans="1:7" hidden="1" x14ac:dyDescent="0.15">
      <c r="A568" s="2200" t="s">
        <v>4280</v>
      </c>
      <c r="B568" s="2200" t="s">
        <v>5413</v>
      </c>
      <c r="C568" s="2200" t="s">
        <v>5414</v>
      </c>
      <c r="D568" s="2200" t="str">
        <f t="shared" si="24"/>
        <v>ID</v>
      </c>
      <c r="E568" s="2200" t="str">
        <f t="shared" si="25"/>
        <v>16</v>
      </c>
      <c r="F568" s="2200" t="str">
        <f t="shared" si="26"/>
        <v>027</v>
      </c>
      <c r="G568" s="2200">
        <f>--SUBTOTAL(3,C$2:C568)</f>
        <v>67</v>
      </c>
    </row>
    <row r="569" spans="1:7" hidden="1" x14ac:dyDescent="0.15">
      <c r="A569" s="2200" t="s">
        <v>4280</v>
      </c>
      <c r="B569" s="2200" t="s">
        <v>5415</v>
      </c>
      <c r="C569" s="2200" t="s">
        <v>5416</v>
      </c>
      <c r="D569" s="2200" t="str">
        <f t="shared" si="24"/>
        <v>ID</v>
      </c>
      <c r="E569" s="2200" t="str">
        <f t="shared" si="25"/>
        <v>16</v>
      </c>
      <c r="F569" s="2200" t="str">
        <f t="shared" si="26"/>
        <v>029</v>
      </c>
      <c r="G569" s="2200">
        <f>--SUBTOTAL(3,C$2:C569)</f>
        <v>67</v>
      </c>
    </row>
    <row r="570" spans="1:7" hidden="1" x14ac:dyDescent="0.15">
      <c r="A570" s="2200" t="s">
        <v>4280</v>
      </c>
      <c r="B570" s="2200" t="s">
        <v>5417</v>
      </c>
      <c r="C570" s="2200" t="s">
        <v>5418</v>
      </c>
      <c r="D570" s="2200" t="str">
        <f t="shared" si="24"/>
        <v>ID</v>
      </c>
      <c r="E570" s="2200" t="str">
        <f t="shared" si="25"/>
        <v>16</v>
      </c>
      <c r="F570" s="2200" t="str">
        <f t="shared" si="26"/>
        <v>031</v>
      </c>
      <c r="G570" s="2200">
        <f>--SUBTOTAL(3,C$2:C570)</f>
        <v>67</v>
      </c>
    </row>
    <row r="571" spans="1:7" hidden="1" x14ac:dyDescent="0.15">
      <c r="A571" s="2200" t="s">
        <v>4280</v>
      </c>
      <c r="B571" s="2200" t="s">
        <v>5419</v>
      </c>
      <c r="C571" s="2200" t="s">
        <v>5420</v>
      </c>
      <c r="D571" s="2200" t="str">
        <f t="shared" si="24"/>
        <v>ID</v>
      </c>
      <c r="E571" s="2200" t="str">
        <f t="shared" si="25"/>
        <v>16</v>
      </c>
      <c r="F571" s="2200" t="str">
        <f t="shared" si="26"/>
        <v>033</v>
      </c>
      <c r="G571" s="2200">
        <f>--SUBTOTAL(3,C$2:C571)</f>
        <v>67</v>
      </c>
    </row>
    <row r="572" spans="1:7" hidden="1" x14ac:dyDescent="0.15">
      <c r="A572" s="2200" t="s">
        <v>4280</v>
      </c>
      <c r="B572" s="2200" t="s">
        <v>5421</v>
      </c>
      <c r="C572" s="2200" t="s">
        <v>5422</v>
      </c>
      <c r="D572" s="2200" t="str">
        <f t="shared" si="24"/>
        <v>ID</v>
      </c>
      <c r="E572" s="2200" t="str">
        <f t="shared" si="25"/>
        <v>16</v>
      </c>
      <c r="F572" s="2200" t="str">
        <f t="shared" si="26"/>
        <v>035</v>
      </c>
      <c r="G572" s="2200">
        <f>--SUBTOTAL(3,C$2:C572)</f>
        <v>67</v>
      </c>
    </row>
    <row r="573" spans="1:7" hidden="1" x14ac:dyDescent="0.15">
      <c r="A573" s="2200" t="s">
        <v>4280</v>
      </c>
      <c r="B573" s="2200" t="s">
        <v>5423</v>
      </c>
      <c r="C573" s="2200" t="s">
        <v>5424</v>
      </c>
      <c r="D573" s="2200" t="str">
        <f t="shared" si="24"/>
        <v>ID</v>
      </c>
      <c r="E573" s="2200" t="str">
        <f t="shared" si="25"/>
        <v>16</v>
      </c>
      <c r="F573" s="2200" t="str">
        <f t="shared" si="26"/>
        <v>037</v>
      </c>
      <c r="G573" s="2200">
        <f>--SUBTOTAL(3,C$2:C573)</f>
        <v>67</v>
      </c>
    </row>
    <row r="574" spans="1:7" hidden="1" x14ac:dyDescent="0.15">
      <c r="A574" s="2200" t="s">
        <v>4280</v>
      </c>
      <c r="B574" s="2200" t="s">
        <v>5425</v>
      </c>
      <c r="C574" s="2200" t="s">
        <v>5426</v>
      </c>
      <c r="D574" s="2200" t="str">
        <f t="shared" si="24"/>
        <v>ID</v>
      </c>
      <c r="E574" s="2200" t="str">
        <f t="shared" si="25"/>
        <v>16</v>
      </c>
      <c r="F574" s="2200" t="str">
        <f t="shared" si="26"/>
        <v>039</v>
      </c>
      <c r="G574" s="2200">
        <f>--SUBTOTAL(3,C$2:C574)</f>
        <v>67</v>
      </c>
    </row>
    <row r="575" spans="1:7" hidden="1" x14ac:dyDescent="0.15">
      <c r="A575" s="2200" t="s">
        <v>4280</v>
      </c>
      <c r="B575" s="2200" t="s">
        <v>5427</v>
      </c>
      <c r="C575" s="2200" t="s">
        <v>5428</v>
      </c>
      <c r="D575" s="2200" t="str">
        <f t="shared" si="24"/>
        <v>ID</v>
      </c>
      <c r="E575" s="2200" t="str">
        <f t="shared" si="25"/>
        <v>16</v>
      </c>
      <c r="F575" s="2200" t="str">
        <f t="shared" si="26"/>
        <v>041</v>
      </c>
      <c r="G575" s="2200">
        <f>--SUBTOTAL(3,C$2:C575)</f>
        <v>67</v>
      </c>
    </row>
    <row r="576" spans="1:7" hidden="1" x14ac:dyDescent="0.15">
      <c r="A576" s="2200" t="s">
        <v>4280</v>
      </c>
      <c r="B576" s="2200" t="s">
        <v>5429</v>
      </c>
      <c r="C576" s="2200" t="s">
        <v>5430</v>
      </c>
      <c r="D576" s="2200" t="str">
        <f t="shared" si="24"/>
        <v>ID</v>
      </c>
      <c r="E576" s="2200" t="str">
        <f t="shared" si="25"/>
        <v>16</v>
      </c>
      <c r="F576" s="2200" t="str">
        <f t="shared" si="26"/>
        <v>043</v>
      </c>
      <c r="G576" s="2200">
        <f>--SUBTOTAL(3,C$2:C576)</f>
        <v>67</v>
      </c>
    </row>
    <row r="577" spans="1:7" hidden="1" x14ac:dyDescent="0.15">
      <c r="A577" s="2200" t="s">
        <v>4280</v>
      </c>
      <c r="B577" s="2200" t="s">
        <v>5431</v>
      </c>
      <c r="C577" s="2200" t="s">
        <v>5432</v>
      </c>
      <c r="D577" s="2200" t="str">
        <f t="shared" si="24"/>
        <v>ID</v>
      </c>
      <c r="E577" s="2200" t="str">
        <f t="shared" si="25"/>
        <v>16</v>
      </c>
      <c r="F577" s="2200" t="str">
        <f t="shared" si="26"/>
        <v>045</v>
      </c>
      <c r="G577" s="2200">
        <f>--SUBTOTAL(3,C$2:C577)</f>
        <v>67</v>
      </c>
    </row>
    <row r="578" spans="1:7" hidden="1" x14ac:dyDescent="0.15">
      <c r="A578" s="2200" t="s">
        <v>4280</v>
      </c>
      <c r="B578" s="2200" t="s">
        <v>5433</v>
      </c>
      <c r="C578" s="2200" t="s">
        <v>5434</v>
      </c>
      <c r="D578" s="2200" t="str">
        <f t="shared" si="24"/>
        <v>ID</v>
      </c>
      <c r="E578" s="2200" t="str">
        <f t="shared" si="25"/>
        <v>16</v>
      </c>
      <c r="F578" s="2200" t="str">
        <f t="shared" si="26"/>
        <v>047</v>
      </c>
      <c r="G578" s="2200">
        <f>--SUBTOTAL(3,C$2:C578)</f>
        <v>67</v>
      </c>
    </row>
    <row r="579" spans="1:7" hidden="1" x14ac:dyDescent="0.15">
      <c r="A579" s="2200" t="s">
        <v>4280</v>
      </c>
      <c r="B579" s="2200" t="s">
        <v>5435</v>
      </c>
      <c r="C579" s="2200" t="s">
        <v>5436</v>
      </c>
      <c r="D579" s="2200" t="str">
        <f t="shared" ref="D579:D642" si="27">RIGHT(C579,2)</f>
        <v>ID</v>
      </c>
      <c r="E579" s="2200" t="str">
        <f t="shared" ref="E579:E642" si="28">MID(B579,3,2)</f>
        <v>16</v>
      </c>
      <c r="F579" s="2200" t="str">
        <f t="shared" ref="F579:F642" si="29">MID(B579,5,3)</f>
        <v>049</v>
      </c>
      <c r="G579" s="2200">
        <f>--SUBTOTAL(3,C$2:C579)</f>
        <v>67</v>
      </c>
    </row>
    <row r="580" spans="1:7" hidden="1" x14ac:dyDescent="0.15">
      <c r="A580" s="2200" t="s">
        <v>4280</v>
      </c>
      <c r="B580" s="2200" t="s">
        <v>5437</v>
      </c>
      <c r="C580" s="2200" t="s">
        <v>5438</v>
      </c>
      <c r="D580" s="2200" t="str">
        <f t="shared" si="27"/>
        <v>ID</v>
      </c>
      <c r="E580" s="2200" t="str">
        <f t="shared" si="28"/>
        <v>16</v>
      </c>
      <c r="F580" s="2200" t="str">
        <f t="shared" si="29"/>
        <v>051</v>
      </c>
      <c r="G580" s="2200">
        <f>--SUBTOTAL(3,C$2:C580)</f>
        <v>67</v>
      </c>
    </row>
    <row r="581" spans="1:7" hidden="1" x14ac:dyDescent="0.15">
      <c r="A581" s="2200" t="s">
        <v>4280</v>
      </c>
      <c r="B581" s="2200" t="s">
        <v>5439</v>
      </c>
      <c r="C581" s="2200" t="s">
        <v>5440</v>
      </c>
      <c r="D581" s="2200" t="str">
        <f t="shared" si="27"/>
        <v>ID</v>
      </c>
      <c r="E581" s="2200" t="str">
        <f t="shared" si="28"/>
        <v>16</v>
      </c>
      <c r="F581" s="2200" t="str">
        <f t="shared" si="29"/>
        <v>053</v>
      </c>
      <c r="G581" s="2200">
        <f>--SUBTOTAL(3,C$2:C581)</f>
        <v>67</v>
      </c>
    </row>
    <row r="582" spans="1:7" hidden="1" x14ac:dyDescent="0.15">
      <c r="A582" s="2200" t="s">
        <v>4280</v>
      </c>
      <c r="B582" s="2200" t="s">
        <v>5441</v>
      </c>
      <c r="C582" s="2200" t="s">
        <v>5442</v>
      </c>
      <c r="D582" s="2200" t="str">
        <f t="shared" si="27"/>
        <v>ID</v>
      </c>
      <c r="E582" s="2200" t="str">
        <f t="shared" si="28"/>
        <v>16</v>
      </c>
      <c r="F582" s="2200" t="str">
        <f t="shared" si="29"/>
        <v>055</v>
      </c>
      <c r="G582" s="2200">
        <f>--SUBTOTAL(3,C$2:C582)</f>
        <v>67</v>
      </c>
    </row>
    <row r="583" spans="1:7" hidden="1" x14ac:dyDescent="0.15">
      <c r="A583" s="2200" t="s">
        <v>4280</v>
      </c>
      <c r="B583" s="2200" t="s">
        <v>5443</v>
      </c>
      <c r="C583" s="2200" t="s">
        <v>5444</v>
      </c>
      <c r="D583" s="2200" t="str">
        <f t="shared" si="27"/>
        <v>ID</v>
      </c>
      <c r="E583" s="2200" t="str">
        <f t="shared" si="28"/>
        <v>16</v>
      </c>
      <c r="F583" s="2200" t="str">
        <f t="shared" si="29"/>
        <v>057</v>
      </c>
      <c r="G583" s="2200">
        <f>--SUBTOTAL(3,C$2:C583)</f>
        <v>67</v>
      </c>
    </row>
    <row r="584" spans="1:7" hidden="1" x14ac:dyDescent="0.15">
      <c r="A584" s="2200" t="s">
        <v>4280</v>
      </c>
      <c r="B584" s="2200" t="s">
        <v>5445</v>
      </c>
      <c r="C584" s="2200" t="s">
        <v>5446</v>
      </c>
      <c r="D584" s="2200" t="str">
        <f t="shared" si="27"/>
        <v>ID</v>
      </c>
      <c r="E584" s="2200" t="str">
        <f t="shared" si="28"/>
        <v>16</v>
      </c>
      <c r="F584" s="2200" t="str">
        <f t="shared" si="29"/>
        <v>059</v>
      </c>
      <c r="G584" s="2200">
        <f>--SUBTOTAL(3,C$2:C584)</f>
        <v>67</v>
      </c>
    </row>
    <row r="585" spans="1:7" hidden="1" x14ac:dyDescent="0.15">
      <c r="A585" s="2200" t="s">
        <v>4280</v>
      </c>
      <c r="B585" s="2200" t="s">
        <v>5447</v>
      </c>
      <c r="C585" s="2200" t="s">
        <v>5448</v>
      </c>
      <c r="D585" s="2200" t="str">
        <f t="shared" si="27"/>
        <v>ID</v>
      </c>
      <c r="E585" s="2200" t="str">
        <f t="shared" si="28"/>
        <v>16</v>
      </c>
      <c r="F585" s="2200" t="str">
        <f t="shared" si="29"/>
        <v>061</v>
      </c>
      <c r="G585" s="2200">
        <f>--SUBTOTAL(3,C$2:C585)</f>
        <v>67</v>
      </c>
    </row>
    <row r="586" spans="1:7" hidden="1" x14ac:dyDescent="0.15">
      <c r="A586" s="2200" t="s">
        <v>4280</v>
      </c>
      <c r="B586" s="2200" t="s">
        <v>5449</v>
      </c>
      <c r="C586" s="2200" t="s">
        <v>5450</v>
      </c>
      <c r="D586" s="2200" t="str">
        <f t="shared" si="27"/>
        <v>ID</v>
      </c>
      <c r="E586" s="2200" t="str">
        <f t="shared" si="28"/>
        <v>16</v>
      </c>
      <c r="F586" s="2200" t="str">
        <f t="shared" si="29"/>
        <v>063</v>
      </c>
      <c r="G586" s="2200">
        <f>--SUBTOTAL(3,C$2:C586)</f>
        <v>67</v>
      </c>
    </row>
    <row r="587" spans="1:7" hidden="1" x14ac:dyDescent="0.15">
      <c r="A587" s="2200" t="s">
        <v>4280</v>
      </c>
      <c r="B587" s="2200" t="s">
        <v>5451</v>
      </c>
      <c r="C587" s="2200" t="s">
        <v>5452</v>
      </c>
      <c r="D587" s="2200" t="str">
        <f t="shared" si="27"/>
        <v>ID</v>
      </c>
      <c r="E587" s="2200" t="str">
        <f t="shared" si="28"/>
        <v>16</v>
      </c>
      <c r="F587" s="2200" t="str">
        <f t="shared" si="29"/>
        <v>065</v>
      </c>
      <c r="G587" s="2200">
        <f>--SUBTOTAL(3,C$2:C587)</f>
        <v>67</v>
      </c>
    </row>
    <row r="588" spans="1:7" hidden="1" x14ac:dyDescent="0.15">
      <c r="A588" s="2200" t="s">
        <v>4280</v>
      </c>
      <c r="B588" s="2200" t="s">
        <v>5453</v>
      </c>
      <c r="C588" s="2200" t="s">
        <v>5454</v>
      </c>
      <c r="D588" s="2200" t="str">
        <f t="shared" si="27"/>
        <v>ID</v>
      </c>
      <c r="E588" s="2200" t="str">
        <f t="shared" si="28"/>
        <v>16</v>
      </c>
      <c r="F588" s="2200" t="str">
        <f t="shared" si="29"/>
        <v>067</v>
      </c>
      <c r="G588" s="2200">
        <f>--SUBTOTAL(3,C$2:C588)</f>
        <v>67</v>
      </c>
    </row>
    <row r="589" spans="1:7" hidden="1" x14ac:dyDescent="0.15">
      <c r="A589" s="2200" t="s">
        <v>4280</v>
      </c>
      <c r="B589" s="2200" t="s">
        <v>5455</v>
      </c>
      <c r="C589" s="2200" t="s">
        <v>5456</v>
      </c>
      <c r="D589" s="2200" t="str">
        <f t="shared" si="27"/>
        <v>ID</v>
      </c>
      <c r="E589" s="2200" t="str">
        <f t="shared" si="28"/>
        <v>16</v>
      </c>
      <c r="F589" s="2200" t="str">
        <f t="shared" si="29"/>
        <v>069</v>
      </c>
      <c r="G589" s="2200">
        <f>--SUBTOTAL(3,C$2:C589)</f>
        <v>67</v>
      </c>
    </row>
    <row r="590" spans="1:7" hidden="1" x14ac:dyDescent="0.15">
      <c r="A590" s="2200" t="s">
        <v>4280</v>
      </c>
      <c r="B590" s="2200" t="s">
        <v>5457</v>
      </c>
      <c r="C590" s="2200" t="s">
        <v>5458</v>
      </c>
      <c r="D590" s="2200" t="str">
        <f t="shared" si="27"/>
        <v>ID</v>
      </c>
      <c r="E590" s="2200" t="str">
        <f t="shared" si="28"/>
        <v>16</v>
      </c>
      <c r="F590" s="2200" t="str">
        <f t="shared" si="29"/>
        <v>071</v>
      </c>
      <c r="G590" s="2200">
        <f>--SUBTOTAL(3,C$2:C590)</f>
        <v>67</v>
      </c>
    </row>
    <row r="591" spans="1:7" hidden="1" x14ac:dyDescent="0.15">
      <c r="A591" s="2200" t="s">
        <v>4280</v>
      </c>
      <c r="B591" s="2200" t="s">
        <v>5459</v>
      </c>
      <c r="C591" s="2200" t="s">
        <v>5460</v>
      </c>
      <c r="D591" s="2200" t="str">
        <f t="shared" si="27"/>
        <v>ID</v>
      </c>
      <c r="E591" s="2200" t="str">
        <f t="shared" si="28"/>
        <v>16</v>
      </c>
      <c r="F591" s="2200" t="str">
        <f t="shared" si="29"/>
        <v>073</v>
      </c>
      <c r="G591" s="2200">
        <f>--SUBTOTAL(3,C$2:C591)</f>
        <v>67</v>
      </c>
    </row>
    <row r="592" spans="1:7" hidden="1" x14ac:dyDescent="0.15">
      <c r="A592" s="2200" t="s">
        <v>4280</v>
      </c>
      <c r="B592" s="2200" t="s">
        <v>5461</v>
      </c>
      <c r="C592" s="2200" t="s">
        <v>5462</v>
      </c>
      <c r="D592" s="2200" t="str">
        <f t="shared" si="27"/>
        <v>ID</v>
      </c>
      <c r="E592" s="2200" t="str">
        <f t="shared" si="28"/>
        <v>16</v>
      </c>
      <c r="F592" s="2200" t="str">
        <f t="shared" si="29"/>
        <v>075</v>
      </c>
      <c r="G592" s="2200">
        <f>--SUBTOTAL(3,C$2:C592)</f>
        <v>67</v>
      </c>
    </row>
    <row r="593" spans="1:7" hidden="1" x14ac:dyDescent="0.15">
      <c r="A593" s="2200" t="s">
        <v>4280</v>
      </c>
      <c r="B593" s="2200" t="s">
        <v>5463</v>
      </c>
      <c r="C593" s="2200" t="s">
        <v>5464</v>
      </c>
      <c r="D593" s="2200" t="str">
        <f t="shared" si="27"/>
        <v>ID</v>
      </c>
      <c r="E593" s="2200" t="str">
        <f t="shared" si="28"/>
        <v>16</v>
      </c>
      <c r="F593" s="2200" t="str">
        <f t="shared" si="29"/>
        <v>077</v>
      </c>
      <c r="G593" s="2200">
        <f>--SUBTOTAL(3,C$2:C593)</f>
        <v>67</v>
      </c>
    </row>
    <row r="594" spans="1:7" hidden="1" x14ac:dyDescent="0.15">
      <c r="A594" s="2200" t="s">
        <v>4280</v>
      </c>
      <c r="B594" s="2200" t="s">
        <v>5465</v>
      </c>
      <c r="C594" s="2200" t="s">
        <v>5466</v>
      </c>
      <c r="D594" s="2200" t="str">
        <f t="shared" si="27"/>
        <v>ID</v>
      </c>
      <c r="E594" s="2200" t="str">
        <f t="shared" si="28"/>
        <v>16</v>
      </c>
      <c r="F594" s="2200" t="str">
        <f t="shared" si="29"/>
        <v>079</v>
      </c>
      <c r="G594" s="2200">
        <f>--SUBTOTAL(3,C$2:C594)</f>
        <v>67</v>
      </c>
    </row>
    <row r="595" spans="1:7" hidden="1" x14ac:dyDescent="0.15">
      <c r="A595" s="2200" t="s">
        <v>4280</v>
      </c>
      <c r="B595" s="2200" t="s">
        <v>5467</v>
      </c>
      <c r="C595" s="2200" t="s">
        <v>5468</v>
      </c>
      <c r="D595" s="2200" t="str">
        <f t="shared" si="27"/>
        <v>ID</v>
      </c>
      <c r="E595" s="2200" t="str">
        <f t="shared" si="28"/>
        <v>16</v>
      </c>
      <c r="F595" s="2200" t="str">
        <f t="shared" si="29"/>
        <v>081</v>
      </c>
      <c r="G595" s="2200">
        <f>--SUBTOTAL(3,C$2:C595)</f>
        <v>67</v>
      </c>
    </row>
    <row r="596" spans="1:7" hidden="1" x14ac:dyDescent="0.15">
      <c r="A596" s="2200" t="s">
        <v>4280</v>
      </c>
      <c r="B596" s="2200" t="s">
        <v>5469</v>
      </c>
      <c r="C596" s="2200" t="s">
        <v>5470</v>
      </c>
      <c r="D596" s="2200" t="str">
        <f t="shared" si="27"/>
        <v>ID</v>
      </c>
      <c r="E596" s="2200" t="str">
        <f t="shared" si="28"/>
        <v>16</v>
      </c>
      <c r="F596" s="2200" t="str">
        <f t="shared" si="29"/>
        <v>083</v>
      </c>
      <c r="G596" s="2200">
        <f>--SUBTOTAL(3,C$2:C596)</f>
        <v>67</v>
      </c>
    </row>
    <row r="597" spans="1:7" hidden="1" x14ac:dyDescent="0.15">
      <c r="A597" s="2200" t="s">
        <v>4280</v>
      </c>
      <c r="B597" s="2200" t="s">
        <v>5471</v>
      </c>
      <c r="C597" s="2200" t="s">
        <v>5472</v>
      </c>
      <c r="D597" s="2200" t="str">
        <f t="shared" si="27"/>
        <v>ID</v>
      </c>
      <c r="E597" s="2200" t="str">
        <f t="shared" si="28"/>
        <v>16</v>
      </c>
      <c r="F597" s="2200" t="str">
        <f t="shared" si="29"/>
        <v>085</v>
      </c>
      <c r="G597" s="2200">
        <f>--SUBTOTAL(3,C$2:C597)</f>
        <v>67</v>
      </c>
    </row>
    <row r="598" spans="1:7" hidden="1" x14ac:dyDescent="0.15">
      <c r="A598" s="2200" t="s">
        <v>4280</v>
      </c>
      <c r="B598" s="2200" t="s">
        <v>5473</v>
      </c>
      <c r="C598" s="2200" t="s">
        <v>5474</v>
      </c>
      <c r="D598" s="2200" t="str">
        <f t="shared" si="27"/>
        <v>ID</v>
      </c>
      <c r="E598" s="2200" t="str">
        <f t="shared" si="28"/>
        <v>16</v>
      </c>
      <c r="F598" s="2200" t="str">
        <f t="shared" si="29"/>
        <v>087</v>
      </c>
      <c r="G598" s="2200">
        <f>--SUBTOTAL(3,C$2:C598)</f>
        <v>67</v>
      </c>
    </row>
    <row r="599" spans="1:7" hidden="1" x14ac:dyDescent="0.15">
      <c r="A599" s="2200" t="s">
        <v>4280</v>
      </c>
      <c r="B599" s="2200" t="s">
        <v>5475</v>
      </c>
      <c r="C599" s="2200" t="s">
        <v>5476</v>
      </c>
      <c r="D599" s="2200" t="str">
        <f t="shared" si="27"/>
        <v>IL</v>
      </c>
      <c r="E599" s="2200" t="str">
        <f t="shared" si="28"/>
        <v>17</v>
      </c>
      <c r="F599" s="2200" t="str">
        <f t="shared" si="29"/>
        <v>001</v>
      </c>
      <c r="G599" s="2200">
        <f>--SUBTOTAL(3,C$2:C599)</f>
        <v>67</v>
      </c>
    </row>
    <row r="600" spans="1:7" hidden="1" x14ac:dyDescent="0.15">
      <c r="A600" s="2200" t="s">
        <v>4280</v>
      </c>
      <c r="B600" s="2200" t="s">
        <v>5477</v>
      </c>
      <c r="C600" s="2200" t="s">
        <v>5478</v>
      </c>
      <c r="D600" s="2200" t="str">
        <f t="shared" si="27"/>
        <v>IL</v>
      </c>
      <c r="E600" s="2200" t="str">
        <f t="shared" si="28"/>
        <v>17</v>
      </c>
      <c r="F600" s="2200" t="str">
        <f t="shared" si="29"/>
        <v>003</v>
      </c>
      <c r="G600" s="2200">
        <f>--SUBTOTAL(3,C$2:C600)</f>
        <v>67</v>
      </c>
    </row>
    <row r="601" spans="1:7" hidden="1" x14ac:dyDescent="0.15">
      <c r="A601" s="2200" t="s">
        <v>4280</v>
      </c>
      <c r="B601" s="2200" t="s">
        <v>5479</v>
      </c>
      <c r="C601" s="2200" t="s">
        <v>5480</v>
      </c>
      <c r="D601" s="2200" t="str">
        <f t="shared" si="27"/>
        <v>IL</v>
      </c>
      <c r="E601" s="2200" t="str">
        <f t="shared" si="28"/>
        <v>17</v>
      </c>
      <c r="F601" s="2200" t="str">
        <f t="shared" si="29"/>
        <v>005</v>
      </c>
      <c r="G601" s="2200">
        <f>--SUBTOTAL(3,C$2:C601)</f>
        <v>67</v>
      </c>
    </row>
    <row r="602" spans="1:7" hidden="1" x14ac:dyDescent="0.15">
      <c r="A602" s="2200" t="s">
        <v>4280</v>
      </c>
      <c r="B602" s="2200" t="s">
        <v>5481</v>
      </c>
      <c r="C602" s="2200" t="s">
        <v>5482</v>
      </c>
      <c r="D602" s="2200" t="str">
        <f t="shared" si="27"/>
        <v>IL</v>
      </c>
      <c r="E602" s="2200" t="str">
        <f t="shared" si="28"/>
        <v>17</v>
      </c>
      <c r="F602" s="2200" t="str">
        <f t="shared" si="29"/>
        <v>007</v>
      </c>
      <c r="G602" s="2200">
        <f>--SUBTOTAL(3,C$2:C602)</f>
        <v>67</v>
      </c>
    </row>
    <row r="603" spans="1:7" hidden="1" x14ac:dyDescent="0.15">
      <c r="A603" s="2200" t="s">
        <v>4280</v>
      </c>
      <c r="B603" s="2200" t="s">
        <v>5483</v>
      </c>
      <c r="C603" s="2200" t="s">
        <v>5484</v>
      </c>
      <c r="D603" s="2200" t="str">
        <f t="shared" si="27"/>
        <v>IL</v>
      </c>
      <c r="E603" s="2200" t="str">
        <f t="shared" si="28"/>
        <v>17</v>
      </c>
      <c r="F603" s="2200" t="str">
        <f t="shared" si="29"/>
        <v>009</v>
      </c>
      <c r="G603" s="2200">
        <f>--SUBTOTAL(3,C$2:C603)</f>
        <v>67</v>
      </c>
    </row>
    <row r="604" spans="1:7" hidden="1" x14ac:dyDescent="0.15">
      <c r="A604" s="2200" t="s">
        <v>4280</v>
      </c>
      <c r="B604" s="2200" t="s">
        <v>5485</v>
      </c>
      <c r="C604" s="2200" t="s">
        <v>5486</v>
      </c>
      <c r="D604" s="2200" t="str">
        <f t="shared" si="27"/>
        <v>IL</v>
      </c>
      <c r="E604" s="2200" t="str">
        <f t="shared" si="28"/>
        <v>17</v>
      </c>
      <c r="F604" s="2200" t="str">
        <f t="shared" si="29"/>
        <v>011</v>
      </c>
      <c r="G604" s="2200">
        <f>--SUBTOTAL(3,C$2:C604)</f>
        <v>67</v>
      </c>
    </row>
    <row r="605" spans="1:7" hidden="1" x14ac:dyDescent="0.15">
      <c r="A605" s="2200" t="s">
        <v>4280</v>
      </c>
      <c r="B605" s="2200" t="s">
        <v>5487</v>
      </c>
      <c r="C605" s="2200" t="s">
        <v>5488</v>
      </c>
      <c r="D605" s="2200" t="str">
        <f t="shared" si="27"/>
        <v>IL</v>
      </c>
      <c r="E605" s="2200" t="str">
        <f t="shared" si="28"/>
        <v>17</v>
      </c>
      <c r="F605" s="2200" t="str">
        <f t="shared" si="29"/>
        <v>013</v>
      </c>
      <c r="G605" s="2200">
        <f>--SUBTOTAL(3,C$2:C605)</f>
        <v>67</v>
      </c>
    </row>
    <row r="606" spans="1:7" hidden="1" x14ac:dyDescent="0.15">
      <c r="A606" s="2200" t="s">
        <v>4280</v>
      </c>
      <c r="B606" s="2200" t="s">
        <v>5489</v>
      </c>
      <c r="C606" s="2200" t="s">
        <v>5490</v>
      </c>
      <c r="D606" s="2200" t="str">
        <f t="shared" si="27"/>
        <v>IL</v>
      </c>
      <c r="E606" s="2200" t="str">
        <f t="shared" si="28"/>
        <v>17</v>
      </c>
      <c r="F606" s="2200" t="str">
        <f t="shared" si="29"/>
        <v>015</v>
      </c>
      <c r="G606" s="2200">
        <f>--SUBTOTAL(3,C$2:C606)</f>
        <v>67</v>
      </c>
    </row>
    <row r="607" spans="1:7" hidden="1" x14ac:dyDescent="0.15">
      <c r="A607" s="2200" t="s">
        <v>4280</v>
      </c>
      <c r="B607" s="2200" t="s">
        <v>5491</v>
      </c>
      <c r="C607" s="2200" t="s">
        <v>5492</v>
      </c>
      <c r="D607" s="2200" t="str">
        <f t="shared" si="27"/>
        <v>IL</v>
      </c>
      <c r="E607" s="2200" t="str">
        <f t="shared" si="28"/>
        <v>17</v>
      </c>
      <c r="F607" s="2200" t="str">
        <f t="shared" si="29"/>
        <v>017</v>
      </c>
      <c r="G607" s="2200">
        <f>--SUBTOTAL(3,C$2:C607)</f>
        <v>67</v>
      </c>
    </row>
    <row r="608" spans="1:7" hidden="1" x14ac:dyDescent="0.15">
      <c r="A608" s="2200" t="s">
        <v>4280</v>
      </c>
      <c r="B608" s="2200" t="s">
        <v>5493</v>
      </c>
      <c r="C608" s="2200" t="s">
        <v>5494</v>
      </c>
      <c r="D608" s="2200" t="str">
        <f t="shared" si="27"/>
        <v>IL</v>
      </c>
      <c r="E608" s="2200" t="str">
        <f t="shared" si="28"/>
        <v>17</v>
      </c>
      <c r="F608" s="2200" t="str">
        <f t="shared" si="29"/>
        <v>019</v>
      </c>
      <c r="G608" s="2200">
        <f>--SUBTOTAL(3,C$2:C608)</f>
        <v>67</v>
      </c>
    </row>
    <row r="609" spans="1:7" hidden="1" x14ac:dyDescent="0.15">
      <c r="A609" s="2200" t="s">
        <v>4280</v>
      </c>
      <c r="B609" s="2200" t="s">
        <v>5495</v>
      </c>
      <c r="C609" s="2200" t="s">
        <v>5496</v>
      </c>
      <c r="D609" s="2200" t="str">
        <f t="shared" si="27"/>
        <v>IL</v>
      </c>
      <c r="E609" s="2200" t="str">
        <f t="shared" si="28"/>
        <v>17</v>
      </c>
      <c r="F609" s="2200" t="str">
        <f t="shared" si="29"/>
        <v>021</v>
      </c>
      <c r="G609" s="2200">
        <f>--SUBTOTAL(3,C$2:C609)</f>
        <v>67</v>
      </c>
    </row>
    <row r="610" spans="1:7" hidden="1" x14ac:dyDescent="0.15">
      <c r="A610" s="2200" t="s">
        <v>4280</v>
      </c>
      <c r="B610" s="2200" t="s">
        <v>5497</v>
      </c>
      <c r="C610" s="2200" t="s">
        <v>5498</v>
      </c>
      <c r="D610" s="2200" t="str">
        <f t="shared" si="27"/>
        <v>IL</v>
      </c>
      <c r="E610" s="2200" t="str">
        <f t="shared" si="28"/>
        <v>17</v>
      </c>
      <c r="F610" s="2200" t="str">
        <f t="shared" si="29"/>
        <v>023</v>
      </c>
      <c r="G610" s="2200">
        <f>--SUBTOTAL(3,C$2:C610)</f>
        <v>67</v>
      </c>
    </row>
    <row r="611" spans="1:7" hidden="1" x14ac:dyDescent="0.15">
      <c r="A611" s="2200" t="s">
        <v>4280</v>
      </c>
      <c r="B611" s="2200" t="s">
        <v>5499</v>
      </c>
      <c r="C611" s="2200" t="s">
        <v>5500</v>
      </c>
      <c r="D611" s="2200" t="str">
        <f t="shared" si="27"/>
        <v>IL</v>
      </c>
      <c r="E611" s="2200" t="str">
        <f t="shared" si="28"/>
        <v>17</v>
      </c>
      <c r="F611" s="2200" t="str">
        <f t="shared" si="29"/>
        <v>025</v>
      </c>
      <c r="G611" s="2200">
        <f>--SUBTOTAL(3,C$2:C611)</f>
        <v>67</v>
      </c>
    </row>
    <row r="612" spans="1:7" hidden="1" x14ac:dyDescent="0.15">
      <c r="A612" s="2200" t="s">
        <v>4280</v>
      </c>
      <c r="B612" s="2200" t="s">
        <v>5501</v>
      </c>
      <c r="C612" s="2200" t="s">
        <v>5502</v>
      </c>
      <c r="D612" s="2200" t="str">
        <f t="shared" si="27"/>
        <v>IL</v>
      </c>
      <c r="E612" s="2200" t="str">
        <f t="shared" si="28"/>
        <v>17</v>
      </c>
      <c r="F612" s="2200" t="str">
        <f t="shared" si="29"/>
        <v>027</v>
      </c>
      <c r="G612" s="2200">
        <f>--SUBTOTAL(3,C$2:C612)</f>
        <v>67</v>
      </c>
    </row>
    <row r="613" spans="1:7" hidden="1" x14ac:dyDescent="0.15">
      <c r="A613" s="2200" t="s">
        <v>4280</v>
      </c>
      <c r="B613" s="2200" t="s">
        <v>5503</v>
      </c>
      <c r="C613" s="2200" t="s">
        <v>5504</v>
      </c>
      <c r="D613" s="2200" t="str">
        <f t="shared" si="27"/>
        <v>IL</v>
      </c>
      <c r="E613" s="2200" t="str">
        <f t="shared" si="28"/>
        <v>17</v>
      </c>
      <c r="F613" s="2200" t="str">
        <f t="shared" si="29"/>
        <v>029</v>
      </c>
      <c r="G613" s="2200">
        <f>--SUBTOTAL(3,C$2:C613)</f>
        <v>67</v>
      </c>
    </row>
    <row r="614" spans="1:7" hidden="1" x14ac:dyDescent="0.15">
      <c r="A614" s="2200" t="s">
        <v>4280</v>
      </c>
      <c r="B614" s="2200" t="s">
        <v>5505</v>
      </c>
      <c r="C614" s="2200" t="s">
        <v>5506</v>
      </c>
      <c r="D614" s="2200" t="str">
        <f t="shared" si="27"/>
        <v>IL</v>
      </c>
      <c r="E614" s="2200" t="str">
        <f t="shared" si="28"/>
        <v>17</v>
      </c>
      <c r="F614" s="2200" t="str">
        <f t="shared" si="29"/>
        <v>031</v>
      </c>
      <c r="G614" s="2200">
        <f>--SUBTOTAL(3,C$2:C614)</f>
        <v>67</v>
      </c>
    </row>
    <row r="615" spans="1:7" hidden="1" x14ac:dyDescent="0.15">
      <c r="A615" s="2200" t="s">
        <v>4280</v>
      </c>
      <c r="B615" s="2200" t="s">
        <v>5507</v>
      </c>
      <c r="C615" s="2200" t="s">
        <v>5508</v>
      </c>
      <c r="D615" s="2200" t="str">
        <f t="shared" si="27"/>
        <v>IL</v>
      </c>
      <c r="E615" s="2200" t="str">
        <f t="shared" si="28"/>
        <v>17</v>
      </c>
      <c r="F615" s="2200" t="str">
        <f t="shared" si="29"/>
        <v>033</v>
      </c>
      <c r="G615" s="2200">
        <f>--SUBTOTAL(3,C$2:C615)</f>
        <v>67</v>
      </c>
    </row>
    <row r="616" spans="1:7" hidden="1" x14ac:dyDescent="0.15">
      <c r="A616" s="2200" t="s">
        <v>4280</v>
      </c>
      <c r="B616" s="2200" t="s">
        <v>5509</v>
      </c>
      <c r="C616" s="2200" t="s">
        <v>5510</v>
      </c>
      <c r="D616" s="2200" t="str">
        <f t="shared" si="27"/>
        <v>IL</v>
      </c>
      <c r="E616" s="2200" t="str">
        <f t="shared" si="28"/>
        <v>17</v>
      </c>
      <c r="F616" s="2200" t="str">
        <f t="shared" si="29"/>
        <v>035</v>
      </c>
      <c r="G616" s="2200">
        <f>--SUBTOTAL(3,C$2:C616)</f>
        <v>67</v>
      </c>
    </row>
    <row r="617" spans="1:7" hidden="1" x14ac:dyDescent="0.15">
      <c r="A617" s="2200" t="s">
        <v>4280</v>
      </c>
      <c r="B617" s="2200" t="s">
        <v>5511</v>
      </c>
      <c r="C617" s="2200" t="s">
        <v>5512</v>
      </c>
      <c r="D617" s="2200" t="str">
        <f t="shared" si="27"/>
        <v>IL</v>
      </c>
      <c r="E617" s="2200" t="str">
        <f t="shared" si="28"/>
        <v>17</v>
      </c>
      <c r="F617" s="2200" t="str">
        <f t="shared" si="29"/>
        <v>037</v>
      </c>
      <c r="G617" s="2200">
        <f>--SUBTOTAL(3,C$2:C617)</f>
        <v>67</v>
      </c>
    </row>
    <row r="618" spans="1:7" hidden="1" x14ac:dyDescent="0.15">
      <c r="A618" s="2200" t="s">
        <v>4280</v>
      </c>
      <c r="B618" s="2200" t="s">
        <v>5513</v>
      </c>
      <c r="C618" s="2200" t="s">
        <v>5514</v>
      </c>
      <c r="D618" s="2200" t="str">
        <f t="shared" si="27"/>
        <v>IL</v>
      </c>
      <c r="E618" s="2200" t="str">
        <f t="shared" si="28"/>
        <v>17</v>
      </c>
      <c r="F618" s="2200" t="str">
        <f t="shared" si="29"/>
        <v>039</v>
      </c>
      <c r="G618" s="2200">
        <f>--SUBTOTAL(3,C$2:C618)</f>
        <v>67</v>
      </c>
    </row>
    <row r="619" spans="1:7" hidden="1" x14ac:dyDescent="0.15">
      <c r="A619" s="2200" t="s">
        <v>4280</v>
      </c>
      <c r="B619" s="2200" t="s">
        <v>5515</v>
      </c>
      <c r="C619" s="2200" t="s">
        <v>5516</v>
      </c>
      <c r="D619" s="2200" t="str">
        <f t="shared" si="27"/>
        <v>IL</v>
      </c>
      <c r="E619" s="2200" t="str">
        <f t="shared" si="28"/>
        <v>17</v>
      </c>
      <c r="F619" s="2200" t="str">
        <f t="shared" si="29"/>
        <v>041</v>
      </c>
      <c r="G619" s="2200">
        <f>--SUBTOTAL(3,C$2:C619)</f>
        <v>67</v>
      </c>
    </row>
    <row r="620" spans="1:7" hidden="1" x14ac:dyDescent="0.15">
      <c r="A620" s="2200" t="s">
        <v>4280</v>
      </c>
      <c r="B620" s="2200" t="s">
        <v>5517</v>
      </c>
      <c r="C620" s="2200" t="s">
        <v>5518</v>
      </c>
      <c r="D620" s="2200" t="str">
        <f t="shared" si="27"/>
        <v>IL</v>
      </c>
      <c r="E620" s="2200" t="str">
        <f t="shared" si="28"/>
        <v>17</v>
      </c>
      <c r="F620" s="2200" t="str">
        <f t="shared" si="29"/>
        <v>043</v>
      </c>
      <c r="G620" s="2200">
        <f>--SUBTOTAL(3,C$2:C620)</f>
        <v>67</v>
      </c>
    </row>
    <row r="621" spans="1:7" hidden="1" x14ac:dyDescent="0.15">
      <c r="A621" s="2200" t="s">
        <v>4280</v>
      </c>
      <c r="B621" s="2200" t="s">
        <v>5519</v>
      </c>
      <c r="C621" s="2200" t="s">
        <v>5520</v>
      </c>
      <c r="D621" s="2200" t="str">
        <f t="shared" si="27"/>
        <v>IL</v>
      </c>
      <c r="E621" s="2200" t="str">
        <f t="shared" si="28"/>
        <v>17</v>
      </c>
      <c r="F621" s="2200" t="str">
        <f t="shared" si="29"/>
        <v>045</v>
      </c>
      <c r="G621" s="2200">
        <f>--SUBTOTAL(3,C$2:C621)</f>
        <v>67</v>
      </c>
    </row>
    <row r="622" spans="1:7" hidden="1" x14ac:dyDescent="0.15">
      <c r="A622" s="2200" t="s">
        <v>4280</v>
      </c>
      <c r="B622" s="2200" t="s">
        <v>5521</v>
      </c>
      <c r="C622" s="2200" t="s">
        <v>5522</v>
      </c>
      <c r="D622" s="2200" t="str">
        <f t="shared" si="27"/>
        <v>IL</v>
      </c>
      <c r="E622" s="2200" t="str">
        <f t="shared" si="28"/>
        <v>17</v>
      </c>
      <c r="F622" s="2200" t="str">
        <f t="shared" si="29"/>
        <v>047</v>
      </c>
      <c r="G622" s="2200">
        <f>--SUBTOTAL(3,C$2:C622)</f>
        <v>67</v>
      </c>
    </row>
    <row r="623" spans="1:7" hidden="1" x14ac:dyDescent="0.15">
      <c r="A623" s="2200" t="s">
        <v>4280</v>
      </c>
      <c r="B623" s="2200" t="s">
        <v>5523</v>
      </c>
      <c r="C623" s="2200" t="s">
        <v>5524</v>
      </c>
      <c r="D623" s="2200" t="str">
        <f t="shared" si="27"/>
        <v>IL</v>
      </c>
      <c r="E623" s="2200" t="str">
        <f t="shared" si="28"/>
        <v>17</v>
      </c>
      <c r="F623" s="2200" t="str">
        <f t="shared" si="29"/>
        <v>049</v>
      </c>
      <c r="G623" s="2200">
        <f>--SUBTOTAL(3,C$2:C623)</f>
        <v>67</v>
      </c>
    </row>
    <row r="624" spans="1:7" hidden="1" x14ac:dyDescent="0.15">
      <c r="A624" s="2200" t="s">
        <v>4280</v>
      </c>
      <c r="B624" s="2200" t="s">
        <v>5525</v>
      </c>
      <c r="C624" s="2200" t="s">
        <v>5526</v>
      </c>
      <c r="D624" s="2200" t="str">
        <f t="shared" si="27"/>
        <v>IL</v>
      </c>
      <c r="E624" s="2200" t="str">
        <f t="shared" si="28"/>
        <v>17</v>
      </c>
      <c r="F624" s="2200" t="str">
        <f t="shared" si="29"/>
        <v>051</v>
      </c>
      <c r="G624" s="2200">
        <f>--SUBTOTAL(3,C$2:C624)</f>
        <v>67</v>
      </c>
    </row>
    <row r="625" spans="1:7" hidden="1" x14ac:dyDescent="0.15">
      <c r="A625" s="2200" t="s">
        <v>4280</v>
      </c>
      <c r="B625" s="2200" t="s">
        <v>5527</v>
      </c>
      <c r="C625" s="2200" t="s">
        <v>5528</v>
      </c>
      <c r="D625" s="2200" t="str">
        <f t="shared" si="27"/>
        <v>IL</v>
      </c>
      <c r="E625" s="2200" t="str">
        <f t="shared" si="28"/>
        <v>17</v>
      </c>
      <c r="F625" s="2200" t="str">
        <f t="shared" si="29"/>
        <v>053</v>
      </c>
      <c r="G625" s="2200">
        <f>--SUBTOTAL(3,C$2:C625)</f>
        <v>67</v>
      </c>
    </row>
    <row r="626" spans="1:7" hidden="1" x14ac:dyDescent="0.15">
      <c r="A626" s="2200" t="s">
        <v>4280</v>
      </c>
      <c r="B626" s="2200" t="s">
        <v>5529</v>
      </c>
      <c r="C626" s="2200" t="s">
        <v>5530</v>
      </c>
      <c r="D626" s="2200" t="str">
        <f t="shared" si="27"/>
        <v>IL</v>
      </c>
      <c r="E626" s="2200" t="str">
        <f t="shared" si="28"/>
        <v>17</v>
      </c>
      <c r="F626" s="2200" t="str">
        <f t="shared" si="29"/>
        <v>055</v>
      </c>
      <c r="G626" s="2200">
        <f>--SUBTOTAL(3,C$2:C626)</f>
        <v>67</v>
      </c>
    </row>
    <row r="627" spans="1:7" hidden="1" x14ac:dyDescent="0.15">
      <c r="A627" s="2200" t="s">
        <v>4280</v>
      </c>
      <c r="B627" s="2200" t="s">
        <v>5531</v>
      </c>
      <c r="C627" s="2200" t="s">
        <v>5532</v>
      </c>
      <c r="D627" s="2200" t="str">
        <f t="shared" si="27"/>
        <v>IL</v>
      </c>
      <c r="E627" s="2200" t="str">
        <f t="shared" si="28"/>
        <v>17</v>
      </c>
      <c r="F627" s="2200" t="str">
        <f t="shared" si="29"/>
        <v>057</v>
      </c>
      <c r="G627" s="2200">
        <f>--SUBTOTAL(3,C$2:C627)</f>
        <v>67</v>
      </c>
    </row>
    <row r="628" spans="1:7" hidden="1" x14ac:dyDescent="0.15">
      <c r="A628" s="2200" t="s">
        <v>4280</v>
      </c>
      <c r="B628" s="2200" t="s">
        <v>5533</v>
      </c>
      <c r="C628" s="2200" t="s">
        <v>5534</v>
      </c>
      <c r="D628" s="2200" t="str">
        <f t="shared" si="27"/>
        <v>IL</v>
      </c>
      <c r="E628" s="2200" t="str">
        <f t="shared" si="28"/>
        <v>17</v>
      </c>
      <c r="F628" s="2200" t="str">
        <f t="shared" si="29"/>
        <v>059</v>
      </c>
      <c r="G628" s="2200">
        <f>--SUBTOTAL(3,C$2:C628)</f>
        <v>67</v>
      </c>
    </row>
    <row r="629" spans="1:7" hidden="1" x14ac:dyDescent="0.15">
      <c r="A629" s="2200" t="s">
        <v>4280</v>
      </c>
      <c r="B629" s="2200" t="s">
        <v>5535</v>
      </c>
      <c r="C629" s="2200" t="s">
        <v>5536</v>
      </c>
      <c r="D629" s="2200" t="str">
        <f t="shared" si="27"/>
        <v>IL</v>
      </c>
      <c r="E629" s="2200" t="str">
        <f t="shared" si="28"/>
        <v>17</v>
      </c>
      <c r="F629" s="2200" t="str">
        <f t="shared" si="29"/>
        <v>061</v>
      </c>
      <c r="G629" s="2200">
        <f>--SUBTOTAL(3,C$2:C629)</f>
        <v>67</v>
      </c>
    </row>
    <row r="630" spans="1:7" hidden="1" x14ac:dyDescent="0.15">
      <c r="A630" s="2200" t="s">
        <v>4280</v>
      </c>
      <c r="B630" s="2200" t="s">
        <v>5537</v>
      </c>
      <c r="C630" s="2200" t="s">
        <v>5538</v>
      </c>
      <c r="D630" s="2200" t="str">
        <f t="shared" si="27"/>
        <v>IL</v>
      </c>
      <c r="E630" s="2200" t="str">
        <f t="shared" si="28"/>
        <v>17</v>
      </c>
      <c r="F630" s="2200" t="str">
        <f t="shared" si="29"/>
        <v>063</v>
      </c>
      <c r="G630" s="2200">
        <f>--SUBTOTAL(3,C$2:C630)</f>
        <v>67</v>
      </c>
    </row>
    <row r="631" spans="1:7" hidden="1" x14ac:dyDescent="0.15">
      <c r="A631" s="2200" t="s">
        <v>4280</v>
      </c>
      <c r="B631" s="2200" t="s">
        <v>5539</v>
      </c>
      <c r="C631" s="2200" t="s">
        <v>5540</v>
      </c>
      <c r="D631" s="2200" t="str">
        <f t="shared" si="27"/>
        <v>IL</v>
      </c>
      <c r="E631" s="2200" t="str">
        <f t="shared" si="28"/>
        <v>17</v>
      </c>
      <c r="F631" s="2200" t="str">
        <f t="shared" si="29"/>
        <v>065</v>
      </c>
      <c r="G631" s="2200">
        <f>--SUBTOTAL(3,C$2:C631)</f>
        <v>67</v>
      </c>
    </row>
    <row r="632" spans="1:7" hidden="1" x14ac:dyDescent="0.15">
      <c r="A632" s="2200" t="s">
        <v>4280</v>
      </c>
      <c r="B632" s="2200" t="s">
        <v>5541</v>
      </c>
      <c r="C632" s="2200" t="s">
        <v>5542</v>
      </c>
      <c r="D632" s="2200" t="str">
        <f t="shared" si="27"/>
        <v>IL</v>
      </c>
      <c r="E632" s="2200" t="str">
        <f t="shared" si="28"/>
        <v>17</v>
      </c>
      <c r="F632" s="2200" t="str">
        <f t="shared" si="29"/>
        <v>067</v>
      </c>
      <c r="G632" s="2200">
        <f>--SUBTOTAL(3,C$2:C632)</f>
        <v>67</v>
      </c>
    </row>
    <row r="633" spans="1:7" hidden="1" x14ac:dyDescent="0.15">
      <c r="A633" s="2200" t="s">
        <v>4280</v>
      </c>
      <c r="B633" s="2200" t="s">
        <v>5543</v>
      </c>
      <c r="C633" s="2200" t="s">
        <v>5544</v>
      </c>
      <c r="D633" s="2200" t="str">
        <f t="shared" si="27"/>
        <v>IL</v>
      </c>
      <c r="E633" s="2200" t="str">
        <f t="shared" si="28"/>
        <v>17</v>
      </c>
      <c r="F633" s="2200" t="str">
        <f t="shared" si="29"/>
        <v>069</v>
      </c>
      <c r="G633" s="2200">
        <f>--SUBTOTAL(3,C$2:C633)</f>
        <v>67</v>
      </c>
    </row>
    <row r="634" spans="1:7" hidden="1" x14ac:dyDescent="0.15">
      <c r="A634" s="2200" t="s">
        <v>4280</v>
      </c>
      <c r="B634" s="2200" t="s">
        <v>5545</v>
      </c>
      <c r="C634" s="2200" t="s">
        <v>5546</v>
      </c>
      <c r="D634" s="2200" t="str">
        <f t="shared" si="27"/>
        <v>IL</v>
      </c>
      <c r="E634" s="2200" t="str">
        <f t="shared" si="28"/>
        <v>17</v>
      </c>
      <c r="F634" s="2200" t="str">
        <f t="shared" si="29"/>
        <v>071</v>
      </c>
      <c r="G634" s="2200">
        <f>--SUBTOTAL(3,C$2:C634)</f>
        <v>67</v>
      </c>
    </row>
    <row r="635" spans="1:7" hidden="1" x14ac:dyDescent="0.15">
      <c r="A635" s="2200" t="s">
        <v>4280</v>
      </c>
      <c r="B635" s="2200" t="s">
        <v>5547</v>
      </c>
      <c r="C635" s="2200" t="s">
        <v>5548</v>
      </c>
      <c r="D635" s="2200" t="str">
        <f t="shared" si="27"/>
        <v>IL</v>
      </c>
      <c r="E635" s="2200" t="str">
        <f t="shared" si="28"/>
        <v>17</v>
      </c>
      <c r="F635" s="2200" t="str">
        <f t="shared" si="29"/>
        <v>073</v>
      </c>
      <c r="G635" s="2200">
        <f>--SUBTOTAL(3,C$2:C635)</f>
        <v>67</v>
      </c>
    </row>
    <row r="636" spans="1:7" hidden="1" x14ac:dyDescent="0.15">
      <c r="A636" s="2200" t="s">
        <v>4280</v>
      </c>
      <c r="B636" s="2200" t="s">
        <v>5549</v>
      </c>
      <c r="C636" s="2200" t="s">
        <v>5550</v>
      </c>
      <c r="D636" s="2200" t="str">
        <f t="shared" si="27"/>
        <v>IL</v>
      </c>
      <c r="E636" s="2200" t="str">
        <f t="shared" si="28"/>
        <v>17</v>
      </c>
      <c r="F636" s="2200" t="str">
        <f t="shared" si="29"/>
        <v>075</v>
      </c>
      <c r="G636" s="2200">
        <f>--SUBTOTAL(3,C$2:C636)</f>
        <v>67</v>
      </c>
    </row>
    <row r="637" spans="1:7" hidden="1" x14ac:dyDescent="0.15">
      <c r="A637" s="2200" t="s">
        <v>4280</v>
      </c>
      <c r="B637" s="2200" t="s">
        <v>5551</v>
      </c>
      <c r="C637" s="2200" t="s">
        <v>5552</v>
      </c>
      <c r="D637" s="2200" t="str">
        <f t="shared" si="27"/>
        <v>IL</v>
      </c>
      <c r="E637" s="2200" t="str">
        <f t="shared" si="28"/>
        <v>17</v>
      </c>
      <c r="F637" s="2200" t="str">
        <f t="shared" si="29"/>
        <v>077</v>
      </c>
      <c r="G637" s="2200">
        <f>--SUBTOTAL(3,C$2:C637)</f>
        <v>67</v>
      </c>
    </row>
    <row r="638" spans="1:7" hidden="1" x14ac:dyDescent="0.15">
      <c r="A638" s="2200" t="s">
        <v>4280</v>
      </c>
      <c r="B638" s="2200" t="s">
        <v>5553</v>
      </c>
      <c r="C638" s="2200" t="s">
        <v>5554</v>
      </c>
      <c r="D638" s="2200" t="str">
        <f t="shared" si="27"/>
        <v>IL</v>
      </c>
      <c r="E638" s="2200" t="str">
        <f t="shared" si="28"/>
        <v>17</v>
      </c>
      <c r="F638" s="2200" t="str">
        <f t="shared" si="29"/>
        <v>079</v>
      </c>
      <c r="G638" s="2200">
        <f>--SUBTOTAL(3,C$2:C638)</f>
        <v>67</v>
      </c>
    </row>
    <row r="639" spans="1:7" hidden="1" x14ac:dyDescent="0.15">
      <c r="A639" s="2200" t="s">
        <v>4280</v>
      </c>
      <c r="B639" s="2200" t="s">
        <v>5555</v>
      </c>
      <c r="C639" s="2200" t="s">
        <v>5556</v>
      </c>
      <c r="D639" s="2200" t="str">
        <f t="shared" si="27"/>
        <v>IL</v>
      </c>
      <c r="E639" s="2200" t="str">
        <f t="shared" si="28"/>
        <v>17</v>
      </c>
      <c r="F639" s="2200" t="str">
        <f t="shared" si="29"/>
        <v>081</v>
      </c>
      <c r="G639" s="2200">
        <f>--SUBTOTAL(3,C$2:C639)</f>
        <v>67</v>
      </c>
    </row>
    <row r="640" spans="1:7" hidden="1" x14ac:dyDescent="0.15">
      <c r="A640" s="2200" t="s">
        <v>4280</v>
      </c>
      <c r="B640" s="2200" t="s">
        <v>5557</v>
      </c>
      <c r="C640" s="2200" t="s">
        <v>5558</v>
      </c>
      <c r="D640" s="2200" t="str">
        <f t="shared" si="27"/>
        <v>IL</v>
      </c>
      <c r="E640" s="2200" t="str">
        <f t="shared" si="28"/>
        <v>17</v>
      </c>
      <c r="F640" s="2200" t="str">
        <f t="shared" si="29"/>
        <v>083</v>
      </c>
      <c r="G640" s="2200">
        <f>--SUBTOTAL(3,C$2:C640)</f>
        <v>67</v>
      </c>
    </row>
    <row r="641" spans="1:7" hidden="1" x14ac:dyDescent="0.15">
      <c r="A641" s="2200" t="s">
        <v>4280</v>
      </c>
      <c r="B641" s="2200" t="s">
        <v>5559</v>
      </c>
      <c r="C641" s="2200" t="s">
        <v>5560</v>
      </c>
      <c r="D641" s="2200" t="str">
        <f t="shared" si="27"/>
        <v>IL</v>
      </c>
      <c r="E641" s="2200" t="str">
        <f t="shared" si="28"/>
        <v>17</v>
      </c>
      <c r="F641" s="2200" t="str">
        <f t="shared" si="29"/>
        <v>085</v>
      </c>
      <c r="G641" s="2200">
        <f>--SUBTOTAL(3,C$2:C641)</f>
        <v>67</v>
      </c>
    </row>
    <row r="642" spans="1:7" hidden="1" x14ac:dyDescent="0.15">
      <c r="A642" s="2200" t="s">
        <v>4280</v>
      </c>
      <c r="B642" s="2200" t="s">
        <v>5561</v>
      </c>
      <c r="C642" s="2200" t="s">
        <v>5562</v>
      </c>
      <c r="D642" s="2200" t="str">
        <f t="shared" si="27"/>
        <v>IL</v>
      </c>
      <c r="E642" s="2200" t="str">
        <f t="shared" si="28"/>
        <v>17</v>
      </c>
      <c r="F642" s="2200" t="str">
        <f t="shared" si="29"/>
        <v>087</v>
      </c>
      <c r="G642" s="2200">
        <f>--SUBTOTAL(3,C$2:C642)</f>
        <v>67</v>
      </c>
    </row>
    <row r="643" spans="1:7" hidden="1" x14ac:dyDescent="0.15">
      <c r="A643" s="2200" t="s">
        <v>4280</v>
      </c>
      <c r="B643" s="2200" t="s">
        <v>5563</v>
      </c>
      <c r="C643" s="2200" t="s">
        <v>5564</v>
      </c>
      <c r="D643" s="2200" t="str">
        <f t="shared" ref="D643:D706" si="30">RIGHT(C643,2)</f>
        <v>IL</v>
      </c>
      <c r="E643" s="2200" t="str">
        <f t="shared" ref="E643:E706" si="31">MID(B643,3,2)</f>
        <v>17</v>
      </c>
      <c r="F643" s="2200" t="str">
        <f t="shared" ref="F643:F706" si="32">MID(B643,5,3)</f>
        <v>089</v>
      </c>
      <c r="G643" s="2200">
        <f>--SUBTOTAL(3,C$2:C643)</f>
        <v>67</v>
      </c>
    </row>
    <row r="644" spans="1:7" hidden="1" x14ac:dyDescent="0.15">
      <c r="A644" s="2200" t="s">
        <v>4280</v>
      </c>
      <c r="B644" s="2200" t="s">
        <v>5565</v>
      </c>
      <c r="C644" s="2200" t="s">
        <v>5566</v>
      </c>
      <c r="D644" s="2200" t="str">
        <f t="shared" si="30"/>
        <v>IL</v>
      </c>
      <c r="E644" s="2200" t="str">
        <f t="shared" si="31"/>
        <v>17</v>
      </c>
      <c r="F644" s="2200" t="str">
        <f t="shared" si="32"/>
        <v>091</v>
      </c>
      <c r="G644" s="2200">
        <f>--SUBTOTAL(3,C$2:C644)</f>
        <v>67</v>
      </c>
    </row>
    <row r="645" spans="1:7" hidden="1" x14ac:dyDescent="0.15">
      <c r="A645" s="2200" t="s">
        <v>4280</v>
      </c>
      <c r="B645" s="2200" t="s">
        <v>5567</v>
      </c>
      <c r="C645" s="2200" t="s">
        <v>5568</v>
      </c>
      <c r="D645" s="2200" t="str">
        <f t="shared" si="30"/>
        <v>IL</v>
      </c>
      <c r="E645" s="2200" t="str">
        <f t="shared" si="31"/>
        <v>17</v>
      </c>
      <c r="F645" s="2200" t="str">
        <f t="shared" si="32"/>
        <v>093</v>
      </c>
      <c r="G645" s="2200">
        <f>--SUBTOTAL(3,C$2:C645)</f>
        <v>67</v>
      </c>
    </row>
    <row r="646" spans="1:7" hidden="1" x14ac:dyDescent="0.15">
      <c r="A646" s="2200" t="s">
        <v>4280</v>
      </c>
      <c r="B646" s="2200" t="s">
        <v>5569</v>
      </c>
      <c r="C646" s="2200" t="s">
        <v>5570</v>
      </c>
      <c r="D646" s="2200" t="str">
        <f t="shared" si="30"/>
        <v>IL</v>
      </c>
      <c r="E646" s="2200" t="str">
        <f t="shared" si="31"/>
        <v>17</v>
      </c>
      <c r="F646" s="2200" t="str">
        <f t="shared" si="32"/>
        <v>095</v>
      </c>
      <c r="G646" s="2200">
        <f>--SUBTOTAL(3,C$2:C646)</f>
        <v>67</v>
      </c>
    </row>
    <row r="647" spans="1:7" hidden="1" x14ac:dyDescent="0.15">
      <c r="A647" s="2200" t="s">
        <v>4280</v>
      </c>
      <c r="B647" s="2200" t="s">
        <v>5571</v>
      </c>
      <c r="C647" s="2200" t="s">
        <v>5572</v>
      </c>
      <c r="D647" s="2200" t="str">
        <f t="shared" si="30"/>
        <v>IL</v>
      </c>
      <c r="E647" s="2200" t="str">
        <f t="shared" si="31"/>
        <v>17</v>
      </c>
      <c r="F647" s="2200" t="str">
        <f t="shared" si="32"/>
        <v>097</v>
      </c>
      <c r="G647" s="2200">
        <f>--SUBTOTAL(3,C$2:C647)</f>
        <v>67</v>
      </c>
    </row>
    <row r="648" spans="1:7" hidden="1" x14ac:dyDescent="0.15">
      <c r="A648" s="2200" t="s">
        <v>4280</v>
      </c>
      <c r="B648" s="2200" t="s">
        <v>5573</v>
      </c>
      <c r="C648" s="2200" t="s">
        <v>5574</v>
      </c>
      <c r="D648" s="2200" t="str">
        <f t="shared" si="30"/>
        <v>IL</v>
      </c>
      <c r="E648" s="2200" t="str">
        <f t="shared" si="31"/>
        <v>17</v>
      </c>
      <c r="F648" s="2200" t="str">
        <f t="shared" si="32"/>
        <v>099</v>
      </c>
      <c r="G648" s="2200">
        <f>--SUBTOTAL(3,C$2:C648)</f>
        <v>67</v>
      </c>
    </row>
    <row r="649" spans="1:7" hidden="1" x14ac:dyDescent="0.15">
      <c r="A649" s="2200" t="s">
        <v>4280</v>
      </c>
      <c r="B649" s="2200" t="s">
        <v>5575</v>
      </c>
      <c r="C649" s="2200" t="s">
        <v>5576</v>
      </c>
      <c r="D649" s="2200" t="str">
        <f t="shared" si="30"/>
        <v>IL</v>
      </c>
      <c r="E649" s="2200" t="str">
        <f t="shared" si="31"/>
        <v>17</v>
      </c>
      <c r="F649" s="2200" t="str">
        <f t="shared" si="32"/>
        <v>101</v>
      </c>
      <c r="G649" s="2200">
        <f>--SUBTOTAL(3,C$2:C649)</f>
        <v>67</v>
      </c>
    </row>
    <row r="650" spans="1:7" hidden="1" x14ac:dyDescent="0.15">
      <c r="A650" s="2200" t="s">
        <v>4280</v>
      </c>
      <c r="B650" s="2200" t="s">
        <v>5577</v>
      </c>
      <c r="C650" s="2200" t="s">
        <v>5578</v>
      </c>
      <c r="D650" s="2200" t="str">
        <f t="shared" si="30"/>
        <v>IL</v>
      </c>
      <c r="E650" s="2200" t="str">
        <f t="shared" si="31"/>
        <v>17</v>
      </c>
      <c r="F650" s="2200" t="str">
        <f t="shared" si="32"/>
        <v>103</v>
      </c>
      <c r="G650" s="2200">
        <f>--SUBTOTAL(3,C$2:C650)</f>
        <v>67</v>
      </c>
    </row>
    <row r="651" spans="1:7" hidden="1" x14ac:dyDescent="0.15">
      <c r="A651" s="2200" t="s">
        <v>4280</v>
      </c>
      <c r="B651" s="2200" t="s">
        <v>5579</v>
      </c>
      <c r="C651" s="2200" t="s">
        <v>5580</v>
      </c>
      <c r="D651" s="2200" t="str">
        <f t="shared" si="30"/>
        <v>IL</v>
      </c>
      <c r="E651" s="2200" t="str">
        <f t="shared" si="31"/>
        <v>17</v>
      </c>
      <c r="F651" s="2200" t="str">
        <f t="shared" si="32"/>
        <v>105</v>
      </c>
      <c r="G651" s="2200">
        <f>--SUBTOTAL(3,C$2:C651)</f>
        <v>67</v>
      </c>
    </row>
    <row r="652" spans="1:7" hidden="1" x14ac:dyDescent="0.15">
      <c r="A652" s="2200" t="s">
        <v>4280</v>
      </c>
      <c r="B652" s="2200" t="s">
        <v>5581</v>
      </c>
      <c r="C652" s="2200" t="s">
        <v>5582</v>
      </c>
      <c r="D652" s="2200" t="str">
        <f t="shared" si="30"/>
        <v>IL</v>
      </c>
      <c r="E652" s="2200" t="str">
        <f t="shared" si="31"/>
        <v>17</v>
      </c>
      <c r="F652" s="2200" t="str">
        <f t="shared" si="32"/>
        <v>107</v>
      </c>
      <c r="G652" s="2200">
        <f>--SUBTOTAL(3,C$2:C652)</f>
        <v>67</v>
      </c>
    </row>
    <row r="653" spans="1:7" hidden="1" x14ac:dyDescent="0.15">
      <c r="A653" s="2200" t="s">
        <v>4280</v>
      </c>
      <c r="B653" s="2200" t="s">
        <v>5583</v>
      </c>
      <c r="C653" s="2200" t="s">
        <v>5584</v>
      </c>
      <c r="D653" s="2200" t="str">
        <f t="shared" si="30"/>
        <v>IL</v>
      </c>
      <c r="E653" s="2200" t="str">
        <f t="shared" si="31"/>
        <v>17</v>
      </c>
      <c r="F653" s="2200" t="str">
        <f t="shared" si="32"/>
        <v>109</v>
      </c>
      <c r="G653" s="2200">
        <f>--SUBTOTAL(3,C$2:C653)</f>
        <v>67</v>
      </c>
    </row>
    <row r="654" spans="1:7" hidden="1" x14ac:dyDescent="0.15">
      <c r="A654" s="2200" t="s">
        <v>4280</v>
      </c>
      <c r="B654" s="2200" t="s">
        <v>5585</v>
      </c>
      <c r="C654" s="2200" t="s">
        <v>5586</v>
      </c>
      <c r="D654" s="2200" t="str">
        <f t="shared" si="30"/>
        <v>IL</v>
      </c>
      <c r="E654" s="2200" t="str">
        <f t="shared" si="31"/>
        <v>17</v>
      </c>
      <c r="F654" s="2200" t="str">
        <f t="shared" si="32"/>
        <v>111</v>
      </c>
      <c r="G654" s="2200">
        <f>--SUBTOTAL(3,C$2:C654)</f>
        <v>67</v>
      </c>
    </row>
    <row r="655" spans="1:7" hidden="1" x14ac:dyDescent="0.15">
      <c r="A655" s="2200" t="s">
        <v>4280</v>
      </c>
      <c r="B655" s="2200" t="s">
        <v>5587</v>
      </c>
      <c r="C655" s="2200" t="s">
        <v>5588</v>
      </c>
      <c r="D655" s="2200" t="str">
        <f t="shared" si="30"/>
        <v>IL</v>
      </c>
      <c r="E655" s="2200" t="str">
        <f t="shared" si="31"/>
        <v>17</v>
      </c>
      <c r="F655" s="2200" t="str">
        <f t="shared" si="32"/>
        <v>113</v>
      </c>
      <c r="G655" s="2200">
        <f>--SUBTOTAL(3,C$2:C655)</f>
        <v>67</v>
      </c>
    </row>
    <row r="656" spans="1:7" hidden="1" x14ac:dyDescent="0.15">
      <c r="A656" s="2200" t="s">
        <v>4280</v>
      </c>
      <c r="B656" s="2200" t="s">
        <v>5589</v>
      </c>
      <c r="C656" s="2200" t="s">
        <v>5590</v>
      </c>
      <c r="D656" s="2200" t="str">
        <f t="shared" si="30"/>
        <v>IL</v>
      </c>
      <c r="E656" s="2200" t="str">
        <f t="shared" si="31"/>
        <v>17</v>
      </c>
      <c r="F656" s="2200" t="str">
        <f t="shared" si="32"/>
        <v>115</v>
      </c>
      <c r="G656" s="2200">
        <f>--SUBTOTAL(3,C$2:C656)</f>
        <v>67</v>
      </c>
    </row>
    <row r="657" spans="1:7" hidden="1" x14ac:dyDescent="0.15">
      <c r="A657" s="2200" t="s">
        <v>4280</v>
      </c>
      <c r="B657" s="2200" t="s">
        <v>5591</v>
      </c>
      <c r="C657" s="2200" t="s">
        <v>5592</v>
      </c>
      <c r="D657" s="2200" t="str">
        <f t="shared" si="30"/>
        <v>IL</v>
      </c>
      <c r="E657" s="2200" t="str">
        <f t="shared" si="31"/>
        <v>17</v>
      </c>
      <c r="F657" s="2200" t="str">
        <f t="shared" si="32"/>
        <v>117</v>
      </c>
      <c r="G657" s="2200">
        <f>--SUBTOTAL(3,C$2:C657)</f>
        <v>67</v>
      </c>
    </row>
    <row r="658" spans="1:7" hidden="1" x14ac:dyDescent="0.15">
      <c r="A658" s="2200" t="s">
        <v>4280</v>
      </c>
      <c r="B658" s="2200" t="s">
        <v>5593</v>
      </c>
      <c r="C658" s="2200" t="s">
        <v>5594</v>
      </c>
      <c r="D658" s="2200" t="str">
        <f t="shared" si="30"/>
        <v>IL</v>
      </c>
      <c r="E658" s="2200" t="str">
        <f t="shared" si="31"/>
        <v>17</v>
      </c>
      <c r="F658" s="2200" t="str">
        <f t="shared" si="32"/>
        <v>119</v>
      </c>
      <c r="G658" s="2200">
        <f>--SUBTOTAL(3,C$2:C658)</f>
        <v>67</v>
      </c>
    </row>
    <row r="659" spans="1:7" hidden="1" x14ac:dyDescent="0.15">
      <c r="A659" s="2200" t="s">
        <v>4280</v>
      </c>
      <c r="B659" s="2200" t="s">
        <v>5595</v>
      </c>
      <c r="C659" s="2200" t="s">
        <v>5596</v>
      </c>
      <c r="D659" s="2200" t="str">
        <f t="shared" si="30"/>
        <v>IL</v>
      </c>
      <c r="E659" s="2200" t="str">
        <f t="shared" si="31"/>
        <v>17</v>
      </c>
      <c r="F659" s="2200" t="str">
        <f t="shared" si="32"/>
        <v>121</v>
      </c>
      <c r="G659" s="2200">
        <f>--SUBTOTAL(3,C$2:C659)</f>
        <v>67</v>
      </c>
    </row>
    <row r="660" spans="1:7" hidden="1" x14ac:dyDescent="0.15">
      <c r="A660" s="2200" t="s">
        <v>4280</v>
      </c>
      <c r="B660" s="2200" t="s">
        <v>5597</v>
      </c>
      <c r="C660" s="2200" t="s">
        <v>5598</v>
      </c>
      <c r="D660" s="2200" t="str">
        <f t="shared" si="30"/>
        <v>IL</v>
      </c>
      <c r="E660" s="2200" t="str">
        <f t="shared" si="31"/>
        <v>17</v>
      </c>
      <c r="F660" s="2200" t="str">
        <f t="shared" si="32"/>
        <v>123</v>
      </c>
      <c r="G660" s="2200">
        <f>--SUBTOTAL(3,C$2:C660)</f>
        <v>67</v>
      </c>
    </row>
    <row r="661" spans="1:7" hidden="1" x14ac:dyDescent="0.15">
      <c r="A661" s="2200" t="s">
        <v>4280</v>
      </c>
      <c r="B661" s="2200" t="s">
        <v>5599</v>
      </c>
      <c r="C661" s="2200" t="s">
        <v>5600</v>
      </c>
      <c r="D661" s="2200" t="str">
        <f t="shared" si="30"/>
        <v>IL</v>
      </c>
      <c r="E661" s="2200" t="str">
        <f t="shared" si="31"/>
        <v>17</v>
      </c>
      <c r="F661" s="2200" t="str">
        <f t="shared" si="32"/>
        <v>125</v>
      </c>
      <c r="G661" s="2200">
        <f>--SUBTOTAL(3,C$2:C661)</f>
        <v>67</v>
      </c>
    </row>
    <row r="662" spans="1:7" hidden="1" x14ac:dyDescent="0.15">
      <c r="A662" s="2200" t="s">
        <v>4280</v>
      </c>
      <c r="B662" s="2200" t="s">
        <v>5601</v>
      </c>
      <c r="C662" s="2200" t="s">
        <v>5602</v>
      </c>
      <c r="D662" s="2200" t="str">
        <f t="shared" si="30"/>
        <v>IL</v>
      </c>
      <c r="E662" s="2200" t="str">
        <f t="shared" si="31"/>
        <v>17</v>
      </c>
      <c r="F662" s="2200" t="str">
        <f t="shared" si="32"/>
        <v>127</v>
      </c>
      <c r="G662" s="2200">
        <f>--SUBTOTAL(3,C$2:C662)</f>
        <v>67</v>
      </c>
    </row>
    <row r="663" spans="1:7" hidden="1" x14ac:dyDescent="0.15">
      <c r="A663" s="2200" t="s">
        <v>4280</v>
      </c>
      <c r="B663" s="2200" t="s">
        <v>5603</v>
      </c>
      <c r="C663" s="2200" t="s">
        <v>5604</v>
      </c>
      <c r="D663" s="2200" t="str">
        <f t="shared" si="30"/>
        <v>IL</v>
      </c>
      <c r="E663" s="2200" t="str">
        <f t="shared" si="31"/>
        <v>17</v>
      </c>
      <c r="F663" s="2200" t="str">
        <f t="shared" si="32"/>
        <v>129</v>
      </c>
      <c r="G663" s="2200">
        <f>--SUBTOTAL(3,C$2:C663)</f>
        <v>67</v>
      </c>
    </row>
    <row r="664" spans="1:7" hidden="1" x14ac:dyDescent="0.15">
      <c r="A664" s="2200" t="s">
        <v>4280</v>
      </c>
      <c r="B664" s="2200" t="s">
        <v>5605</v>
      </c>
      <c r="C664" s="2200" t="s">
        <v>5606</v>
      </c>
      <c r="D664" s="2200" t="str">
        <f t="shared" si="30"/>
        <v>IL</v>
      </c>
      <c r="E664" s="2200" t="str">
        <f t="shared" si="31"/>
        <v>17</v>
      </c>
      <c r="F664" s="2200" t="str">
        <f t="shared" si="32"/>
        <v>131</v>
      </c>
      <c r="G664" s="2200">
        <f>--SUBTOTAL(3,C$2:C664)</f>
        <v>67</v>
      </c>
    </row>
    <row r="665" spans="1:7" hidden="1" x14ac:dyDescent="0.15">
      <c r="A665" s="2200" t="s">
        <v>4280</v>
      </c>
      <c r="B665" s="2200" t="s">
        <v>5607</v>
      </c>
      <c r="C665" s="2200" t="s">
        <v>5608</v>
      </c>
      <c r="D665" s="2200" t="str">
        <f t="shared" si="30"/>
        <v>IL</v>
      </c>
      <c r="E665" s="2200" t="str">
        <f t="shared" si="31"/>
        <v>17</v>
      </c>
      <c r="F665" s="2200" t="str">
        <f t="shared" si="32"/>
        <v>133</v>
      </c>
      <c r="G665" s="2200">
        <f>--SUBTOTAL(3,C$2:C665)</f>
        <v>67</v>
      </c>
    </row>
    <row r="666" spans="1:7" hidden="1" x14ac:dyDescent="0.15">
      <c r="A666" s="2200" t="s">
        <v>4280</v>
      </c>
      <c r="B666" s="2200" t="s">
        <v>5609</v>
      </c>
      <c r="C666" s="2200" t="s">
        <v>5610</v>
      </c>
      <c r="D666" s="2200" t="str">
        <f t="shared" si="30"/>
        <v>IL</v>
      </c>
      <c r="E666" s="2200" t="str">
        <f t="shared" si="31"/>
        <v>17</v>
      </c>
      <c r="F666" s="2200" t="str">
        <f t="shared" si="32"/>
        <v>135</v>
      </c>
      <c r="G666" s="2200">
        <f>--SUBTOTAL(3,C$2:C666)</f>
        <v>67</v>
      </c>
    </row>
    <row r="667" spans="1:7" hidden="1" x14ac:dyDescent="0.15">
      <c r="A667" s="2200" t="s">
        <v>4280</v>
      </c>
      <c r="B667" s="2200" t="s">
        <v>5611</v>
      </c>
      <c r="C667" s="2200" t="s">
        <v>5612</v>
      </c>
      <c r="D667" s="2200" t="str">
        <f t="shared" si="30"/>
        <v>IL</v>
      </c>
      <c r="E667" s="2200" t="str">
        <f t="shared" si="31"/>
        <v>17</v>
      </c>
      <c r="F667" s="2200" t="str">
        <f t="shared" si="32"/>
        <v>137</v>
      </c>
      <c r="G667" s="2200">
        <f>--SUBTOTAL(3,C$2:C667)</f>
        <v>67</v>
      </c>
    </row>
    <row r="668" spans="1:7" hidden="1" x14ac:dyDescent="0.15">
      <c r="A668" s="2200" t="s">
        <v>4280</v>
      </c>
      <c r="B668" s="2200" t="s">
        <v>5613</v>
      </c>
      <c r="C668" s="2200" t="s">
        <v>5614</v>
      </c>
      <c r="D668" s="2200" t="str">
        <f t="shared" si="30"/>
        <v>IL</v>
      </c>
      <c r="E668" s="2200" t="str">
        <f t="shared" si="31"/>
        <v>17</v>
      </c>
      <c r="F668" s="2200" t="str">
        <f t="shared" si="32"/>
        <v>139</v>
      </c>
      <c r="G668" s="2200">
        <f>--SUBTOTAL(3,C$2:C668)</f>
        <v>67</v>
      </c>
    </row>
    <row r="669" spans="1:7" hidden="1" x14ac:dyDescent="0.15">
      <c r="A669" s="2200" t="s">
        <v>4280</v>
      </c>
      <c r="B669" s="2200" t="s">
        <v>5615</v>
      </c>
      <c r="C669" s="2200" t="s">
        <v>5616</v>
      </c>
      <c r="D669" s="2200" t="str">
        <f t="shared" si="30"/>
        <v>IL</v>
      </c>
      <c r="E669" s="2200" t="str">
        <f t="shared" si="31"/>
        <v>17</v>
      </c>
      <c r="F669" s="2200" t="str">
        <f t="shared" si="32"/>
        <v>141</v>
      </c>
      <c r="G669" s="2200">
        <f>--SUBTOTAL(3,C$2:C669)</f>
        <v>67</v>
      </c>
    </row>
    <row r="670" spans="1:7" hidden="1" x14ac:dyDescent="0.15">
      <c r="A670" s="2200" t="s">
        <v>4280</v>
      </c>
      <c r="B670" s="2200" t="s">
        <v>5617</v>
      </c>
      <c r="C670" s="2200" t="s">
        <v>5618</v>
      </c>
      <c r="D670" s="2200" t="str">
        <f t="shared" si="30"/>
        <v>IL</v>
      </c>
      <c r="E670" s="2200" t="str">
        <f t="shared" si="31"/>
        <v>17</v>
      </c>
      <c r="F670" s="2200" t="str">
        <f t="shared" si="32"/>
        <v>143</v>
      </c>
      <c r="G670" s="2200">
        <f>--SUBTOTAL(3,C$2:C670)</f>
        <v>67</v>
      </c>
    </row>
    <row r="671" spans="1:7" hidden="1" x14ac:dyDescent="0.15">
      <c r="A671" s="2200" t="s">
        <v>4280</v>
      </c>
      <c r="B671" s="2200" t="s">
        <v>5619</v>
      </c>
      <c r="C671" s="2200" t="s">
        <v>5620</v>
      </c>
      <c r="D671" s="2200" t="str">
        <f t="shared" si="30"/>
        <v>IL</v>
      </c>
      <c r="E671" s="2200" t="str">
        <f t="shared" si="31"/>
        <v>17</v>
      </c>
      <c r="F671" s="2200" t="str">
        <f t="shared" si="32"/>
        <v>145</v>
      </c>
      <c r="G671" s="2200">
        <f>--SUBTOTAL(3,C$2:C671)</f>
        <v>67</v>
      </c>
    </row>
    <row r="672" spans="1:7" hidden="1" x14ac:dyDescent="0.15">
      <c r="A672" s="2200" t="s">
        <v>4280</v>
      </c>
      <c r="B672" s="2200" t="s">
        <v>5621</v>
      </c>
      <c r="C672" s="2200" t="s">
        <v>5622</v>
      </c>
      <c r="D672" s="2200" t="str">
        <f t="shared" si="30"/>
        <v>IL</v>
      </c>
      <c r="E672" s="2200" t="str">
        <f t="shared" si="31"/>
        <v>17</v>
      </c>
      <c r="F672" s="2200" t="str">
        <f t="shared" si="32"/>
        <v>147</v>
      </c>
      <c r="G672" s="2200">
        <f>--SUBTOTAL(3,C$2:C672)</f>
        <v>67</v>
      </c>
    </row>
    <row r="673" spans="1:7" hidden="1" x14ac:dyDescent="0.15">
      <c r="A673" s="2200" t="s">
        <v>4280</v>
      </c>
      <c r="B673" s="2200" t="s">
        <v>5623</v>
      </c>
      <c r="C673" s="2200" t="s">
        <v>5624</v>
      </c>
      <c r="D673" s="2200" t="str">
        <f t="shared" si="30"/>
        <v>IL</v>
      </c>
      <c r="E673" s="2200" t="str">
        <f t="shared" si="31"/>
        <v>17</v>
      </c>
      <c r="F673" s="2200" t="str">
        <f t="shared" si="32"/>
        <v>149</v>
      </c>
      <c r="G673" s="2200">
        <f>--SUBTOTAL(3,C$2:C673)</f>
        <v>67</v>
      </c>
    </row>
    <row r="674" spans="1:7" hidden="1" x14ac:dyDescent="0.15">
      <c r="A674" s="2200" t="s">
        <v>4280</v>
      </c>
      <c r="B674" s="2200" t="s">
        <v>5625</v>
      </c>
      <c r="C674" s="2200" t="s">
        <v>5626</v>
      </c>
      <c r="D674" s="2200" t="str">
        <f t="shared" si="30"/>
        <v>IL</v>
      </c>
      <c r="E674" s="2200" t="str">
        <f t="shared" si="31"/>
        <v>17</v>
      </c>
      <c r="F674" s="2200" t="str">
        <f t="shared" si="32"/>
        <v>151</v>
      </c>
      <c r="G674" s="2200">
        <f>--SUBTOTAL(3,C$2:C674)</f>
        <v>67</v>
      </c>
    </row>
    <row r="675" spans="1:7" hidden="1" x14ac:dyDescent="0.15">
      <c r="A675" s="2200" t="s">
        <v>4280</v>
      </c>
      <c r="B675" s="2200" t="s">
        <v>5627</v>
      </c>
      <c r="C675" s="2200" t="s">
        <v>5628</v>
      </c>
      <c r="D675" s="2200" t="str">
        <f t="shared" si="30"/>
        <v>IL</v>
      </c>
      <c r="E675" s="2200" t="str">
        <f t="shared" si="31"/>
        <v>17</v>
      </c>
      <c r="F675" s="2200" t="str">
        <f t="shared" si="32"/>
        <v>153</v>
      </c>
      <c r="G675" s="2200">
        <f>--SUBTOTAL(3,C$2:C675)</f>
        <v>67</v>
      </c>
    </row>
    <row r="676" spans="1:7" hidden="1" x14ac:dyDescent="0.15">
      <c r="A676" s="2200" t="s">
        <v>4280</v>
      </c>
      <c r="B676" s="2200" t="s">
        <v>5629</v>
      </c>
      <c r="C676" s="2200" t="s">
        <v>5630</v>
      </c>
      <c r="D676" s="2200" t="str">
        <f t="shared" si="30"/>
        <v>IL</v>
      </c>
      <c r="E676" s="2200" t="str">
        <f t="shared" si="31"/>
        <v>17</v>
      </c>
      <c r="F676" s="2200" t="str">
        <f t="shared" si="32"/>
        <v>155</v>
      </c>
      <c r="G676" s="2200">
        <f>--SUBTOTAL(3,C$2:C676)</f>
        <v>67</v>
      </c>
    </row>
    <row r="677" spans="1:7" hidden="1" x14ac:dyDescent="0.15">
      <c r="A677" s="2200" t="s">
        <v>4280</v>
      </c>
      <c r="B677" s="2200" t="s">
        <v>5631</v>
      </c>
      <c r="C677" s="2200" t="s">
        <v>5632</v>
      </c>
      <c r="D677" s="2200" t="str">
        <f t="shared" si="30"/>
        <v>IL</v>
      </c>
      <c r="E677" s="2200" t="str">
        <f t="shared" si="31"/>
        <v>17</v>
      </c>
      <c r="F677" s="2200" t="str">
        <f t="shared" si="32"/>
        <v>157</v>
      </c>
      <c r="G677" s="2200">
        <f>--SUBTOTAL(3,C$2:C677)</f>
        <v>67</v>
      </c>
    </row>
    <row r="678" spans="1:7" hidden="1" x14ac:dyDescent="0.15">
      <c r="A678" s="2200" t="s">
        <v>4280</v>
      </c>
      <c r="B678" s="2200" t="s">
        <v>5633</v>
      </c>
      <c r="C678" s="2200" t="s">
        <v>5634</v>
      </c>
      <c r="D678" s="2200" t="str">
        <f t="shared" si="30"/>
        <v>IL</v>
      </c>
      <c r="E678" s="2200" t="str">
        <f t="shared" si="31"/>
        <v>17</v>
      </c>
      <c r="F678" s="2200" t="str">
        <f t="shared" si="32"/>
        <v>159</v>
      </c>
      <c r="G678" s="2200">
        <f>--SUBTOTAL(3,C$2:C678)</f>
        <v>67</v>
      </c>
    </row>
    <row r="679" spans="1:7" hidden="1" x14ac:dyDescent="0.15">
      <c r="A679" s="2200" t="s">
        <v>4280</v>
      </c>
      <c r="B679" s="2200" t="s">
        <v>5635</v>
      </c>
      <c r="C679" s="2200" t="s">
        <v>5636</v>
      </c>
      <c r="D679" s="2200" t="str">
        <f t="shared" si="30"/>
        <v>IL</v>
      </c>
      <c r="E679" s="2200" t="str">
        <f t="shared" si="31"/>
        <v>17</v>
      </c>
      <c r="F679" s="2200" t="str">
        <f t="shared" si="32"/>
        <v>161</v>
      </c>
      <c r="G679" s="2200">
        <f>--SUBTOTAL(3,C$2:C679)</f>
        <v>67</v>
      </c>
    </row>
    <row r="680" spans="1:7" hidden="1" x14ac:dyDescent="0.15">
      <c r="A680" s="2200" t="s">
        <v>4280</v>
      </c>
      <c r="B680" s="2200" t="s">
        <v>5637</v>
      </c>
      <c r="C680" s="2200" t="s">
        <v>5638</v>
      </c>
      <c r="D680" s="2200" t="str">
        <f t="shared" si="30"/>
        <v>IL</v>
      </c>
      <c r="E680" s="2200" t="str">
        <f t="shared" si="31"/>
        <v>17</v>
      </c>
      <c r="F680" s="2200" t="str">
        <f t="shared" si="32"/>
        <v>163</v>
      </c>
      <c r="G680" s="2200">
        <f>--SUBTOTAL(3,C$2:C680)</f>
        <v>67</v>
      </c>
    </row>
    <row r="681" spans="1:7" hidden="1" x14ac:dyDescent="0.15">
      <c r="A681" s="2200" t="s">
        <v>4280</v>
      </c>
      <c r="B681" s="2200" t="s">
        <v>5639</v>
      </c>
      <c r="C681" s="2200" t="s">
        <v>5640</v>
      </c>
      <c r="D681" s="2200" t="str">
        <f t="shared" si="30"/>
        <v>IL</v>
      </c>
      <c r="E681" s="2200" t="str">
        <f t="shared" si="31"/>
        <v>17</v>
      </c>
      <c r="F681" s="2200" t="str">
        <f t="shared" si="32"/>
        <v>165</v>
      </c>
      <c r="G681" s="2200">
        <f>--SUBTOTAL(3,C$2:C681)</f>
        <v>67</v>
      </c>
    </row>
    <row r="682" spans="1:7" hidden="1" x14ac:dyDescent="0.15">
      <c r="A682" s="2200" t="s">
        <v>4280</v>
      </c>
      <c r="B682" s="2200" t="s">
        <v>5641</v>
      </c>
      <c r="C682" s="2200" t="s">
        <v>5642</v>
      </c>
      <c r="D682" s="2200" t="str">
        <f t="shared" si="30"/>
        <v>IL</v>
      </c>
      <c r="E682" s="2200" t="str">
        <f t="shared" si="31"/>
        <v>17</v>
      </c>
      <c r="F682" s="2200" t="str">
        <f t="shared" si="32"/>
        <v>167</v>
      </c>
      <c r="G682" s="2200">
        <f>--SUBTOTAL(3,C$2:C682)</f>
        <v>67</v>
      </c>
    </row>
    <row r="683" spans="1:7" hidden="1" x14ac:dyDescent="0.15">
      <c r="A683" s="2200" t="s">
        <v>4280</v>
      </c>
      <c r="B683" s="2200" t="s">
        <v>5643</v>
      </c>
      <c r="C683" s="2200" t="s">
        <v>5644</v>
      </c>
      <c r="D683" s="2200" t="str">
        <f t="shared" si="30"/>
        <v>IL</v>
      </c>
      <c r="E683" s="2200" t="str">
        <f t="shared" si="31"/>
        <v>17</v>
      </c>
      <c r="F683" s="2200" t="str">
        <f t="shared" si="32"/>
        <v>169</v>
      </c>
      <c r="G683" s="2200">
        <f>--SUBTOTAL(3,C$2:C683)</f>
        <v>67</v>
      </c>
    </row>
    <row r="684" spans="1:7" hidden="1" x14ac:dyDescent="0.15">
      <c r="A684" s="2200" t="s">
        <v>4280</v>
      </c>
      <c r="B684" s="2200" t="s">
        <v>5645</v>
      </c>
      <c r="C684" s="2200" t="s">
        <v>5646</v>
      </c>
      <c r="D684" s="2200" t="str">
        <f t="shared" si="30"/>
        <v>IL</v>
      </c>
      <c r="E684" s="2200" t="str">
        <f t="shared" si="31"/>
        <v>17</v>
      </c>
      <c r="F684" s="2200" t="str">
        <f t="shared" si="32"/>
        <v>171</v>
      </c>
      <c r="G684" s="2200">
        <f>--SUBTOTAL(3,C$2:C684)</f>
        <v>67</v>
      </c>
    </row>
    <row r="685" spans="1:7" hidden="1" x14ac:dyDescent="0.15">
      <c r="A685" s="2200" t="s">
        <v>4280</v>
      </c>
      <c r="B685" s="2200" t="s">
        <v>5647</v>
      </c>
      <c r="C685" s="2200" t="s">
        <v>5648</v>
      </c>
      <c r="D685" s="2200" t="str">
        <f t="shared" si="30"/>
        <v>IL</v>
      </c>
      <c r="E685" s="2200" t="str">
        <f t="shared" si="31"/>
        <v>17</v>
      </c>
      <c r="F685" s="2200" t="str">
        <f t="shared" si="32"/>
        <v>173</v>
      </c>
      <c r="G685" s="2200">
        <f>--SUBTOTAL(3,C$2:C685)</f>
        <v>67</v>
      </c>
    </row>
    <row r="686" spans="1:7" hidden="1" x14ac:dyDescent="0.15">
      <c r="A686" s="2200" t="s">
        <v>4280</v>
      </c>
      <c r="B686" s="2200" t="s">
        <v>5649</v>
      </c>
      <c r="C686" s="2200" t="s">
        <v>5650</v>
      </c>
      <c r="D686" s="2200" t="str">
        <f t="shared" si="30"/>
        <v>IL</v>
      </c>
      <c r="E686" s="2200" t="str">
        <f t="shared" si="31"/>
        <v>17</v>
      </c>
      <c r="F686" s="2200" t="str">
        <f t="shared" si="32"/>
        <v>175</v>
      </c>
      <c r="G686" s="2200">
        <f>--SUBTOTAL(3,C$2:C686)</f>
        <v>67</v>
      </c>
    </row>
    <row r="687" spans="1:7" hidden="1" x14ac:dyDescent="0.15">
      <c r="A687" s="2200" t="s">
        <v>4280</v>
      </c>
      <c r="B687" s="2200" t="s">
        <v>5651</v>
      </c>
      <c r="C687" s="2200" t="s">
        <v>5652</v>
      </c>
      <c r="D687" s="2200" t="str">
        <f t="shared" si="30"/>
        <v>IL</v>
      </c>
      <c r="E687" s="2200" t="str">
        <f t="shared" si="31"/>
        <v>17</v>
      </c>
      <c r="F687" s="2200" t="str">
        <f t="shared" si="32"/>
        <v>177</v>
      </c>
      <c r="G687" s="2200">
        <f>--SUBTOTAL(3,C$2:C687)</f>
        <v>67</v>
      </c>
    </row>
    <row r="688" spans="1:7" hidden="1" x14ac:dyDescent="0.15">
      <c r="A688" s="2200" t="s">
        <v>4280</v>
      </c>
      <c r="B688" s="2200" t="s">
        <v>5653</v>
      </c>
      <c r="C688" s="2200" t="s">
        <v>5654</v>
      </c>
      <c r="D688" s="2200" t="str">
        <f t="shared" si="30"/>
        <v>IL</v>
      </c>
      <c r="E688" s="2200" t="str">
        <f t="shared" si="31"/>
        <v>17</v>
      </c>
      <c r="F688" s="2200" t="str">
        <f t="shared" si="32"/>
        <v>179</v>
      </c>
      <c r="G688" s="2200">
        <f>--SUBTOTAL(3,C$2:C688)</f>
        <v>67</v>
      </c>
    </row>
    <row r="689" spans="1:7" hidden="1" x14ac:dyDescent="0.15">
      <c r="A689" s="2200" t="s">
        <v>4280</v>
      </c>
      <c r="B689" s="2200" t="s">
        <v>5655</v>
      </c>
      <c r="C689" s="2200" t="s">
        <v>5656</v>
      </c>
      <c r="D689" s="2200" t="str">
        <f t="shared" si="30"/>
        <v>IL</v>
      </c>
      <c r="E689" s="2200" t="str">
        <f t="shared" si="31"/>
        <v>17</v>
      </c>
      <c r="F689" s="2200" t="str">
        <f t="shared" si="32"/>
        <v>181</v>
      </c>
      <c r="G689" s="2200">
        <f>--SUBTOTAL(3,C$2:C689)</f>
        <v>67</v>
      </c>
    </row>
    <row r="690" spans="1:7" hidden="1" x14ac:dyDescent="0.15">
      <c r="A690" s="2200" t="s">
        <v>4280</v>
      </c>
      <c r="B690" s="2200" t="s">
        <v>5657</v>
      </c>
      <c r="C690" s="2200" t="s">
        <v>5658</v>
      </c>
      <c r="D690" s="2200" t="str">
        <f t="shared" si="30"/>
        <v>IL</v>
      </c>
      <c r="E690" s="2200" t="str">
        <f t="shared" si="31"/>
        <v>17</v>
      </c>
      <c r="F690" s="2200" t="str">
        <f t="shared" si="32"/>
        <v>183</v>
      </c>
      <c r="G690" s="2200">
        <f>--SUBTOTAL(3,C$2:C690)</f>
        <v>67</v>
      </c>
    </row>
    <row r="691" spans="1:7" hidden="1" x14ac:dyDescent="0.15">
      <c r="A691" s="2200" t="s">
        <v>4280</v>
      </c>
      <c r="B691" s="2200" t="s">
        <v>5659</v>
      </c>
      <c r="C691" s="2200" t="s">
        <v>5660</v>
      </c>
      <c r="D691" s="2200" t="str">
        <f t="shared" si="30"/>
        <v>IL</v>
      </c>
      <c r="E691" s="2200" t="str">
        <f t="shared" si="31"/>
        <v>17</v>
      </c>
      <c r="F691" s="2200" t="str">
        <f t="shared" si="32"/>
        <v>185</v>
      </c>
      <c r="G691" s="2200">
        <f>--SUBTOTAL(3,C$2:C691)</f>
        <v>67</v>
      </c>
    </row>
    <row r="692" spans="1:7" hidden="1" x14ac:dyDescent="0.15">
      <c r="A692" s="2200" t="s">
        <v>4280</v>
      </c>
      <c r="B692" s="2200" t="s">
        <v>5661</v>
      </c>
      <c r="C692" s="2200" t="s">
        <v>5662</v>
      </c>
      <c r="D692" s="2200" t="str">
        <f t="shared" si="30"/>
        <v>IL</v>
      </c>
      <c r="E692" s="2200" t="str">
        <f t="shared" si="31"/>
        <v>17</v>
      </c>
      <c r="F692" s="2200" t="str">
        <f t="shared" si="32"/>
        <v>187</v>
      </c>
      <c r="G692" s="2200">
        <f>--SUBTOTAL(3,C$2:C692)</f>
        <v>67</v>
      </c>
    </row>
    <row r="693" spans="1:7" hidden="1" x14ac:dyDescent="0.15">
      <c r="A693" s="2200" t="s">
        <v>4280</v>
      </c>
      <c r="B693" s="2200" t="s">
        <v>5663</v>
      </c>
      <c r="C693" s="2200" t="s">
        <v>5664</v>
      </c>
      <c r="D693" s="2200" t="str">
        <f t="shared" si="30"/>
        <v>IL</v>
      </c>
      <c r="E693" s="2200" t="str">
        <f t="shared" si="31"/>
        <v>17</v>
      </c>
      <c r="F693" s="2200" t="str">
        <f t="shared" si="32"/>
        <v>189</v>
      </c>
      <c r="G693" s="2200">
        <f>--SUBTOTAL(3,C$2:C693)</f>
        <v>67</v>
      </c>
    </row>
    <row r="694" spans="1:7" hidden="1" x14ac:dyDescent="0.15">
      <c r="A694" s="2200" t="s">
        <v>4280</v>
      </c>
      <c r="B694" s="2200" t="s">
        <v>5665</v>
      </c>
      <c r="C694" s="2200" t="s">
        <v>5666</v>
      </c>
      <c r="D694" s="2200" t="str">
        <f t="shared" si="30"/>
        <v>IL</v>
      </c>
      <c r="E694" s="2200" t="str">
        <f t="shared" si="31"/>
        <v>17</v>
      </c>
      <c r="F694" s="2200" t="str">
        <f t="shared" si="32"/>
        <v>191</v>
      </c>
      <c r="G694" s="2200">
        <f>--SUBTOTAL(3,C$2:C694)</f>
        <v>67</v>
      </c>
    </row>
    <row r="695" spans="1:7" hidden="1" x14ac:dyDescent="0.15">
      <c r="A695" s="2200" t="s">
        <v>4280</v>
      </c>
      <c r="B695" s="2200" t="s">
        <v>5667</v>
      </c>
      <c r="C695" s="2200" t="s">
        <v>5668</v>
      </c>
      <c r="D695" s="2200" t="str">
        <f t="shared" si="30"/>
        <v>IL</v>
      </c>
      <c r="E695" s="2200" t="str">
        <f t="shared" si="31"/>
        <v>17</v>
      </c>
      <c r="F695" s="2200" t="str">
        <f t="shared" si="32"/>
        <v>193</v>
      </c>
      <c r="G695" s="2200">
        <f>--SUBTOTAL(3,C$2:C695)</f>
        <v>67</v>
      </c>
    </row>
    <row r="696" spans="1:7" hidden="1" x14ac:dyDescent="0.15">
      <c r="A696" s="2200" t="s">
        <v>4280</v>
      </c>
      <c r="B696" s="2200" t="s">
        <v>5669</v>
      </c>
      <c r="C696" s="2200" t="s">
        <v>5670</v>
      </c>
      <c r="D696" s="2200" t="str">
        <f t="shared" si="30"/>
        <v>IL</v>
      </c>
      <c r="E696" s="2200" t="str">
        <f t="shared" si="31"/>
        <v>17</v>
      </c>
      <c r="F696" s="2200" t="str">
        <f t="shared" si="32"/>
        <v>195</v>
      </c>
      <c r="G696" s="2200">
        <f>--SUBTOTAL(3,C$2:C696)</f>
        <v>67</v>
      </c>
    </row>
    <row r="697" spans="1:7" hidden="1" x14ac:dyDescent="0.15">
      <c r="A697" s="2200" t="s">
        <v>4280</v>
      </c>
      <c r="B697" s="2200" t="s">
        <v>5671</v>
      </c>
      <c r="C697" s="2200" t="s">
        <v>5672</v>
      </c>
      <c r="D697" s="2200" t="str">
        <f t="shared" si="30"/>
        <v>IL</v>
      </c>
      <c r="E697" s="2200" t="str">
        <f t="shared" si="31"/>
        <v>17</v>
      </c>
      <c r="F697" s="2200" t="str">
        <f t="shared" si="32"/>
        <v>197</v>
      </c>
      <c r="G697" s="2200">
        <f>--SUBTOTAL(3,C$2:C697)</f>
        <v>67</v>
      </c>
    </row>
    <row r="698" spans="1:7" hidden="1" x14ac:dyDescent="0.15">
      <c r="A698" s="2200" t="s">
        <v>4280</v>
      </c>
      <c r="B698" s="2200" t="s">
        <v>5673</v>
      </c>
      <c r="C698" s="2200" t="s">
        <v>5674</v>
      </c>
      <c r="D698" s="2200" t="str">
        <f t="shared" si="30"/>
        <v>IL</v>
      </c>
      <c r="E698" s="2200" t="str">
        <f t="shared" si="31"/>
        <v>17</v>
      </c>
      <c r="F698" s="2200" t="str">
        <f t="shared" si="32"/>
        <v>199</v>
      </c>
      <c r="G698" s="2200">
        <f>--SUBTOTAL(3,C$2:C698)</f>
        <v>67</v>
      </c>
    </row>
    <row r="699" spans="1:7" hidden="1" x14ac:dyDescent="0.15">
      <c r="A699" s="2200" t="s">
        <v>4280</v>
      </c>
      <c r="B699" s="2200" t="s">
        <v>5675</v>
      </c>
      <c r="C699" s="2200" t="s">
        <v>5676</v>
      </c>
      <c r="D699" s="2200" t="str">
        <f t="shared" si="30"/>
        <v>IL</v>
      </c>
      <c r="E699" s="2200" t="str">
        <f t="shared" si="31"/>
        <v>17</v>
      </c>
      <c r="F699" s="2200" t="str">
        <f t="shared" si="32"/>
        <v>201</v>
      </c>
      <c r="G699" s="2200">
        <f>--SUBTOTAL(3,C$2:C699)</f>
        <v>67</v>
      </c>
    </row>
    <row r="700" spans="1:7" hidden="1" x14ac:dyDescent="0.15">
      <c r="A700" s="2200" t="s">
        <v>4280</v>
      </c>
      <c r="B700" s="2200" t="s">
        <v>5677</v>
      </c>
      <c r="C700" s="2200" t="s">
        <v>5678</v>
      </c>
      <c r="D700" s="2200" t="str">
        <f t="shared" si="30"/>
        <v>IL</v>
      </c>
      <c r="E700" s="2200" t="str">
        <f t="shared" si="31"/>
        <v>17</v>
      </c>
      <c r="F700" s="2200" t="str">
        <f t="shared" si="32"/>
        <v>203</v>
      </c>
      <c r="G700" s="2200">
        <f>--SUBTOTAL(3,C$2:C700)</f>
        <v>67</v>
      </c>
    </row>
    <row r="701" spans="1:7" hidden="1" x14ac:dyDescent="0.15">
      <c r="A701" s="2200" t="s">
        <v>4280</v>
      </c>
      <c r="B701" s="2200" t="s">
        <v>5679</v>
      </c>
      <c r="C701" s="2200" t="s">
        <v>5680</v>
      </c>
      <c r="D701" s="2200" t="str">
        <f t="shared" si="30"/>
        <v>IN</v>
      </c>
      <c r="E701" s="2200" t="str">
        <f t="shared" si="31"/>
        <v>18</v>
      </c>
      <c r="F701" s="2200" t="str">
        <f t="shared" si="32"/>
        <v>001</v>
      </c>
      <c r="G701" s="2200">
        <f>--SUBTOTAL(3,C$2:C701)</f>
        <v>67</v>
      </c>
    </row>
    <row r="702" spans="1:7" hidden="1" x14ac:dyDescent="0.15">
      <c r="A702" s="2200" t="s">
        <v>4280</v>
      </c>
      <c r="B702" s="2200" t="s">
        <v>5681</v>
      </c>
      <c r="C702" s="2200" t="s">
        <v>5682</v>
      </c>
      <c r="D702" s="2200" t="str">
        <f t="shared" si="30"/>
        <v>IN</v>
      </c>
      <c r="E702" s="2200" t="str">
        <f t="shared" si="31"/>
        <v>18</v>
      </c>
      <c r="F702" s="2200" t="str">
        <f t="shared" si="32"/>
        <v>003</v>
      </c>
      <c r="G702" s="2200">
        <f>--SUBTOTAL(3,C$2:C702)</f>
        <v>67</v>
      </c>
    </row>
    <row r="703" spans="1:7" hidden="1" x14ac:dyDescent="0.15">
      <c r="A703" s="2200" t="s">
        <v>4280</v>
      </c>
      <c r="B703" s="2200" t="s">
        <v>5683</v>
      </c>
      <c r="C703" s="2200" t="s">
        <v>5684</v>
      </c>
      <c r="D703" s="2200" t="str">
        <f t="shared" si="30"/>
        <v>IN</v>
      </c>
      <c r="E703" s="2200" t="str">
        <f t="shared" si="31"/>
        <v>18</v>
      </c>
      <c r="F703" s="2200" t="str">
        <f t="shared" si="32"/>
        <v>005</v>
      </c>
      <c r="G703" s="2200">
        <f>--SUBTOTAL(3,C$2:C703)</f>
        <v>67</v>
      </c>
    </row>
    <row r="704" spans="1:7" hidden="1" x14ac:dyDescent="0.15">
      <c r="A704" s="2200" t="s">
        <v>4280</v>
      </c>
      <c r="B704" s="2200" t="s">
        <v>5685</v>
      </c>
      <c r="C704" s="2200" t="s">
        <v>5686</v>
      </c>
      <c r="D704" s="2200" t="str">
        <f t="shared" si="30"/>
        <v>IN</v>
      </c>
      <c r="E704" s="2200" t="str">
        <f t="shared" si="31"/>
        <v>18</v>
      </c>
      <c r="F704" s="2200" t="str">
        <f t="shared" si="32"/>
        <v>007</v>
      </c>
      <c r="G704" s="2200">
        <f>--SUBTOTAL(3,C$2:C704)</f>
        <v>67</v>
      </c>
    </row>
    <row r="705" spans="1:7" hidden="1" x14ac:dyDescent="0.15">
      <c r="A705" s="2200" t="s">
        <v>4280</v>
      </c>
      <c r="B705" s="2200" t="s">
        <v>5687</v>
      </c>
      <c r="C705" s="2200" t="s">
        <v>5688</v>
      </c>
      <c r="D705" s="2200" t="str">
        <f t="shared" si="30"/>
        <v>IN</v>
      </c>
      <c r="E705" s="2200" t="str">
        <f t="shared" si="31"/>
        <v>18</v>
      </c>
      <c r="F705" s="2200" t="str">
        <f t="shared" si="32"/>
        <v>009</v>
      </c>
      <c r="G705" s="2200">
        <f>--SUBTOTAL(3,C$2:C705)</f>
        <v>67</v>
      </c>
    </row>
    <row r="706" spans="1:7" hidden="1" x14ac:dyDescent="0.15">
      <c r="A706" s="2200" t="s">
        <v>4280</v>
      </c>
      <c r="B706" s="2200" t="s">
        <v>5689</v>
      </c>
      <c r="C706" s="2200" t="s">
        <v>5690</v>
      </c>
      <c r="D706" s="2200" t="str">
        <f t="shared" si="30"/>
        <v>IN</v>
      </c>
      <c r="E706" s="2200" t="str">
        <f t="shared" si="31"/>
        <v>18</v>
      </c>
      <c r="F706" s="2200" t="str">
        <f t="shared" si="32"/>
        <v>011</v>
      </c>
      <c r="G706" s="2200">
        <f>--SUBTOTAL(3,C$2:C706)</f>
        <v>67</v>
      </c>
    </row>
    <row r="707" spans="1:7" hidden="1" x14ac:dyDescent="0.15">
      <c r="A707" s="2200" t="s">
        <v>4280</v>
      </c>
      <c r="B707" s="2200" t="s">
        <v>5691</v>
      </c>
      <c r="C707" s="2200" t="s">
        <v>5692</v>
      </c>
      <c r="D707" s="2200" t="str">
        <f t="shared" ref="D707:D770" si="33">RIGHT(C707,2)</f>
        <v>IN</v>
      </c>
      <c r="E707" s="2200" t="str">
        <f t="shared" ref="E707:E770" si="34">MID(B707,3,2)</f>
        <v>18</v>
      </c>
      <c r="F707" s="2200" t="str">
        <f t="shared" ref="F707:F770" si="35">MID(B707,5,3)</f>
        <v>013</v>
      </c>
      <c r="G707" s="2200">
        <f>--SUBTOTAL(3,C$2:C707)</f>
        <v>67</v>
      </c>
    </row>
    <row r="708" spans="1:7" hidden="1" x14ac:dyDescent="0.15">
      <c r="A708" s="2200" t="s">
        <v>4280</v>
      </c>
      <c r="B708" s="2200" t="s">
        <v>5693</v>
      </c>
      <c r="C708" s="2200" t="s">
        <v>5694</v>
      </c>
      <c r="D708" s="2200" t="str">
        <f t="shared" si="33"/>
        <v>IN</v>
      </c>
      <c r="E708" s="2200" t="str">
        <f t="shared" si="34"/>
        <v>18</v>
      </c>
      <c r="F708" s="2200" t="str">
        <f t="shared" si="35"/>
        <v>015</v>
      </c>
      <c r="G708" s="2200">
        <f>--SUBTOTAL(3,C$2:C708)</f>
        <v>67</v>
      </c>
    </row>
    <row r="709" spans="1:7" hidden="1" x14ac:dyDescent="0.15">
      <c r="A709" s="2200" t="s">
        <v>4280</v>
      </c>
      <c r="B709" s="2200" t="s">
        <v>5695</v>
      </c>
      <c r="C709" s="2200" t="s">
        <v>5696</v>
      </c>
      <c r="D709" s="2200" t="str">
        <f t="shared" si="33"/>
        <v>IN</v>
      </c>
      <c r="E709" s="2200" t="str">
        <f t="shared" si="34"/>
        <v>18</v>
      </c>
      <c r="F709" s="2200" t="str">
        <f t="shared" si="35"/>
        <v>017</v>
      </c>
      <c r="G709" s="2200">
        <f>--SUBTOTAL(3,C$2:C709)</f>
        <v>67</v>
      </c>
    </row>
    <row r="710" spans="1:7" hidden="1" x14ac:dyDescent="0.15">
      <c r="A710" s="2200" t="s">
        <v>4280</v>
      </c>
      <c r="B710" s="2200" t="s">
        <v>5697</v>
      </c>
      <c r="C710" s="2200" t="s">
        <v>5698</v>
      </c>
      <c r="D710" s="2200" t="str">
        <f t="shared" si="33"/>
        <v>IN</v>
      </c>
      <c r="E710" s="2200" t="str">
        <f t="shared" si="34"/>
        <v>18</v>
      </c>
      <c r="F710" s="2200" t="str">
        <f t="shared" si="35"/>
        <v>019</v>
      </c>
      <c r="G710" s="2200">
        <f>--SUBTOTAL(3,C$2:C710)</f>
        <v>67</v>
      </c>
    </row>
    <row r="711" spans="1:7" hidden="1" x14ac:dyDescent="0.15">
      <c r="A711" s="2200" t="s">
        <v>4280</v>
      </c>
      <c r="B711" s="2200" t="s">
        <v>5699</v>
      </c>
      <c r="C711" s="2200" t="s">
        <v>5700</v>
      </c>
      <c r="D711" s="2200" t="str">
        <f t="shared" si="33"/>
        <v>IN</v>
      </c>
      <c r="E711" s="2200" t="str">
        <f t="shared" si="34"/>
        <v>18</v>
      </c>
      <c r="F711" s="2200" t="str">
        <f t="shared" si="35"/>
        <v>021</v>
      </c>
      <c r="G711" s="2200">
        <f>--SUBTOTAL(3,C$2:C711)</f>
        <v>67</v>
      </c>
    </row>
    <row r="712" spans="1:7" hidden="1" x14ac:dyDescent="0.15">
      <c r="A712" s="2200" t="s">
        <v>4280</v>
      </c>
      <c r="B712" s="2200" t="s">
        <v>5701</v>
      </c>
      <c r="C712" s="2200" t="s">
        <v>5702</v>
      </c>
      <c r="D712" s="2200" t="str">
        <f t="shared" si="33"/>
        <v>IN</v>
      </c>
      <c r="E712" s="2200" t="str">
        <f t="shared" si="34"/>
        <v>18</v>
      </c>
      <c r="F712" s="2200" t="str">
        <f t="shared" si="35"/>
        <v>023</v>
      </c>
      <c r="G712" s="2200">
        <f>--SUBTOTAL(3,C$2:C712)</f>
        <v>67</v>
      </c>
    </row>
    <row r="713" spans="1:7" hidden="1" x14ac:dyDescent="0.15">
      <c r="A713" s="2200" t="s">
        <v>4280</v>
      </c>
      <c r="B713" s="2200" t="s">
        <v>5703</v>
      </c>
      <c r="C713" s="2200" t="s">
        <v>5704</v>
      </c>
      <c r="D713" s="2200" t="str">
        <f t="shared" si="33"/>
        <v>IN</v>
      </c>
      <c r="E713" s="2200" t="str">
        <f t="shared" si="34"/>
        <v>18</v>
      </c>
      <c r="F713" s="2200" t="str">
        <f t="shared" si="35"/>
        <v>025</v>
      </c>
      <c r="G713" s="2200">
        <f>--SUBTOTAL(3,C$2:C713)</f>
        <v>67</v>
      </c>
    </row>
    <row r="714" spans="1:7" hidden="1" x14ac:dyDescent="0.15">
      <c r="A714" s="2200" t="s">
        <v>4280</v>
      </c>
      <c r="B714" s="2200" t="s">
        <v>5705</v>
      </c>
      <c r="C714" s="2200" t="s">
        <v>5706</v>
      </c>
      <c r="D714" s="2200" t="str">
        <f t="shared" si="33"/>
        <v>IN</v>
      </c>
      <c r="E714" s="2200" t="str">
        <f t="shared" si="34"/>
        <v>18</v>
      </c>
      <c r="F714" s="2200" t="str">
        <f t="shared" si="35"/>
        <v>027</v>
      </c>
      <c r="G714" s="2200">
        <f>--SUBTOTAL(3,C$2:C714)</f>
        <v>67</v>
      </c>
    </row>
    <row r="715" spans="1:7" hidden="1" x14ac:dyDescent="0.15">
      <c r="A715" s="2200" t="s">
        <v>4280</v>
      </c>
      <c r="B715" s="2200" t="s">
        <v>5707</v>
      </c>
      <c r="C715" s="2200" t="s">
        <v>5708</v>
      </c>
      <c r="D715" s="2200" t="str">
        <f t="shared" si="33"/>
        <v>IN</v>
      </c>
      <c r="E715" s="2200" t="str">
        <f t="shared" si="34"/>
        <v>18</v>
      </c>
      <c r="F715" s="2200" t="str">
        <f t="shared" si="35"/>
        <v>029</v>
      </c>
      <c r="G715" s="2200">
        <f>--SUBTOTAL(3,C$2:C715)</f>
        <v>67</v>
      </c>
    </row>
    <row r="716" spans="1:7" hidden="1" x14ac:dyDescent="0.15">
      <c r="A716" s="2200" t="s">
        <v>4280</v>
      </c>
      <c r="B716" s="2200" t="s">
        <v>5709</v>
      </c>
      <c r="C716" s="2200" t="s">
        <v>5710</v>
      </c>
      <c r="D716" s="2200" t="str">
        <f t="shared" si="33"/>
        <v>IN</v>
      </c>
      <c r="E716" s="2200" t="str">
        <f t="shared" si="34"/>
        <v>18</v>
      </c>
      <c r="F716" s="2200" t="str">
        <f t="shared" si="35"/>
        <v>031</v>
      </c>
      <c r="G716" s="2200">
        <f>--SUBTOTAL(3,C$2:C716)</f>
        <v>67</v>
      </c>
    </row>
    <row r="717" spans="1:7" hidden="1" x14ac:dyDescent="0.15">
      <c r="A717" s="2200" t="s">
        <v>4280</v>
      </c>
      <c r="B717" s="2200" t="s">
        <v>5711</v>
      </c>
      <c r="C717" s="2200" t="s">
        <v>5712</v>
      </c>
      <c r="D717" s="2200" t="str">
        <f t="shared" si="33"/>
        <v>IN</v>
      </c>
      <c r="E717" s="2200" t="str">
        <f t="shared" si="34"/>
        <v>18</v>
      </c>
      <c r="F717" s="2200" t="str">
        <f t="shared" si="35"/>
        <v>033</v>
      </c>
      <c r="G717" s="2200">
        <f>--SUBTOTAL(3,C$2:C717)</f>
        <v>67</v>
      </c>
    </row>
    <row r="718" spans="1:7" hidden="1" x14ac:dyDescent="0.15">
      <c r="A718" s="2200" t="s">
        <v>4280</v>
      </c>
      <c r="B718" s="2200" t="s">
        <v>5713</v>
      </c>
      <c r="C718" s="2200" t="s">
        <v>5714</v>
      </c>
      <c r="D718" s="2200" t="str">
        <f t="shared" si="33"/>
        <v>IN</v>
      </c>
      <c r="E718" s="2200" t="str">
        <f t="shared" si="34"/>
        <v>18</v>
      </c>
      <c r="F718" s="2200" t="str">
        <f t="shared" si="35"/>
        <v>035</v>
      </c>
      <c r="G718" s="2200">
        <f>--SUBTOTAL(3,C$2:C718)</f>
        <v>67</v>
      </c>
    </row>
    <row r="719" spans="1:7" hidden="1" x14ac:dyDescent="0.15">
      <c r="A719" s="2200" t="s">
        <v>4280</v>
      </c>
      <c r="B719" s="2200" t="s">
        <v>5715</v>
      </c>
      <c r="C719" s="2200" t="s">
        <v>5716</v>
      </c>
      <c r="D719" s="2200" t="str">
        <f t="shared" si="33"/>
        <v>IN</v>
      </c>
      <c r="E719" s="2200" t="str">
        <f t="shared" si="34"/>
        <v>18</v>
      </c>
      <c r="F719" s="2200" t="str">
        <f t="shared" si="35"/>
        <v>037</v>
      </c>
      <c r="G719" s="2200">
        <f>--SUBTOTAL(3,C$2:C719)</f>
        <v>67</v>
      </c>
    </row>
    <row r="720" spans="1:7" hidden="1" x14ac:dyDescent="0.15">
      <c r="A720" s="2200" t="s">
        <v>4280</v>
      </c>
      <c r="B720" s="2200" t="s">
        <v>5717</v>
      </c>
      <c r="C720" s="2200" t="s">
        <v>5718</v>
      </c>
      <c r="D720" s="2200" t="str">
        <f t="shared" si="33"/>
        <v>IN</v>
      </c>
      <c r="E720" s="2200" t="str">
        <f t="shared" si="34"/>
        <v>18</v>
      </c>
      <c r="F720" s="2200" t="str">
        <f t="shared" si="35"/>
        <v>039</v>
      </c>
      <c r="G720" s="2200">
        <f>--SUBTOTAL(3,C$2:C720)</f>
        <v>67</v>
      </c>
    </row>
    <row r="721" spans="1:7" hidden="1" x14ac:dyDescent="0.15">
      <c r="A721" s="2200" t="s">
        <v>4280</v>
      </c>
      <c r="B721" s="2200" t="s">
        <v>5719</v>
      </c>
      <c r="C721" s="2200" t="s">
        <v>5720</v>
      </c>
      <c r="D721" s="2200" t="str">
        <f t="shared" si="33"/>
        <v>IN</v>
      </c>
      <c r="E721" s="2200" t="str">
        <f t="shared" si="34"/>
        <v>18</v>
      </c>
      <c r="F721" s="2200" t="str">
        <f t="shared" si="35"/>
        <v>041</v>
      </c>
      <c r="G721" s="2200">
        <f>--SUBTOTAL(3,C$2:C721)</f>
        <v>67</v>
      </c>
    </row>
    <row r="722" spans="1:7" hidden="1" x14ac:dyDescent="0.15">
      <c r="A722" s="2200" t="s">
        <v>4280</v>
      </c>
      <c r="B722" s="2200" t="s">
        <v>5721</v>
      </c>
      <c r="C722" s="2200" t="s">
        <v>5722</v>
      </c>
      <c r="D722" s="2200" t="str">
        <f t="shared" si="33"/>
        <v>IN</v>
      </c>
      <c r="E722" s="2200" t="str">
        <f t="shared" si="34"/>
        <v>18</v>
      </c>
      <c r="F722" s="2200" t="str">
        <f t="shared" si="35"/>
        <v>043</v>
      </c>
      <c r="G722" s="2200">
        <f>--SUBTOTAL(3,C$2:C722)</f>
        <v>67</v>
      </c>
    </row>
    <row r="723" spans="1:7" hidden="1" x14ac:dyDescent="0.15">
      <c r="A723" s="2200" t="s">
        <v>4280</v>
      </c>
      <c r="B723" s="2200" t="s">
        <v>5723</v>
      </c>
      <c r="C723" s="2200" t="s">
        <v>5724</v>
      </c>
      <c r="D723" s="2200" t="str">
        <f t="shared" si="33"/>
        <v>IN</v>
      </c>
      <c r="E723" s="2200" t="str">
        <f t="shared" si="34"/>
        <v>18</v>
      </c>
      <c r="F723" s="2200" t="str">
        <f t="shared" si="35"/>
        <v>045</v>
      </c>
      <c r="G723" s="2200">
        <f>--SUBTOTAL(3,C$2:C723)</f>
        <v>67</v>
      </c>
    </row>
    <row r="724" spans="1:7" hidden="1" x14ac:dyDescent="0.15">
      <c r="A724" s="2200" t="s">
        <v>4280</v>
      </c>
      <c r="B724" s="2200" t="s">
        <v>5725</v>
      </c>
      <c r="C724" s="2200" t="s">
        <v>5726</v>
      </c>
      <c r="D724" s="2200" t="str">
        <f t="shared" si="33"/>
        <v>IN</v>
      </c>
      <c r="E724" s="2200" t="str">
        <f t="shared" si="34"/>
        <v>18</v>
      </c>
      <c r="F724" s="2200" t="str">
        <f t="shared" si="35"/>
        <v>047</v>
      </c>
      <c r="G724" s="2200">
        <f>--SUBTOTAL(3,C$2:C724)</f>
        <v>67</v>
      </c>
    </row>
    <row r="725" spans="1:7" hidden="1" x14ac:dyDescent="0.15">
      <c r="A725" s="2200" t="s">
        <v>4280</v>
      </c>
      <c r="B725" s="2200" t="s">
        <v>5727</v>
      </c>
      <c r="C725" s="2200" t="s">
        <v>5728</v>
      </c>
      <c r="D725" s="2200" t="str">
        <f t="shared" si="33"/>
        <v>IN</v>
      </c>
      <c r="E725" s="2200" t="str">
        <f t="shared" si="34"/>
        <v>18</v>
      </c>
      <c r="F725" s="2200" t="str">
        <f t="shared" si="35"/>
        <v>049</v>
      </c>
      <c r="G725" s="2200">
        <f>--SUBTOTAL(3,C$2:C725)</f>
        <v>67</v>
      </c>
    </row>
    <row r="726" spans="1:7" hidden="1" x14ac:dyDescent="0.15">
      <c r="A726" s="2200" t="s">
        <v>4280</v>
      </c>
      <c r="B726" s="2200" t="s">
        <v>5729</v>
      </c>
      <c r="C726" s="2200" t="s">
        <v>5730</v>
      </c>
      <c r="D726" s="2200" t="str">
        <f t="shared" si="33"/>
        <v>IN</v>
      </c>
      <c r="E726" s="2200" t="str">
        <f t="shared" si="34"/>
        <v>18</v>
      </c>
      <c r="F726" s="2200" t="str">
        <f t="shared" si="35"/>
        <v>051</v>
      </c>
      <c r="G726" s="2200">
        <f>--SUBTOTAL(3,C$2:C726)</f>
        <v>67</v>
      </c>
    </row>
    <row r="727" spans="1:7" hidden="1" x14ac:dyDescent="0.15">
      <c r="A727" s="2200" t="s">
        <v>4280</v>
      </c>
      <c r="B727" s="2200" t="s">
        <v>5731</v>
      </c>
      <c r="C727" s="2200" t="s">
        <v>5732</v>
      </c>
      <c r="D727" s="2200" t="str">
        <f t="shared" si="33"/>
        <v>IN</v>
      </c>
      <c r="E727" s="2200" t="str">
        <f t="shared" si="34"/>
        <v>18</v>
      </c>
      <c r="F727" s="2200" t="str">
        <f t="shared" si="35"/>
        <v>053</v>
      </c>
      <c r="G727" s="2200">
        <f>--SUBTOTAL(3,C$2:C727)</f>
        <v>67</v>
      </c>
    </row>
    <row r="728" spans="1:7" hidden="1" x14ac:dyDescent="0.15">
      <c r="A728" s="2200" t="s">
        <v>4280</v>
      </c>
      <c r="B728" s="2200" t="s">
        <v>5733</v>
      </c>
      <c r="C728" s="2200" t="s">
        <v>5734</v>
      </c>
      <c r="D728" s="2200" t="str">
        <f t="shared" si="33"/>
        <v>IN</v>
      </c>
      <c r="E728" s="2200" t="str">
        <f t="shared" si="34"/>
        <v>18</v>
      </c>
      <c r="F728" s="2200" t="str">
        <f t="shared" si="35"/>
        <v>055</v>
      </c>
      <c r="G728" s="2200">
        <f>--SUBTOTAL(3,C$2:C728)</f>
        <v>67</v>
      </c>
    </row>
    <row r="729" spans="1:7" hidden="1" x14ac:dyDescent="0.15">
      <c r="A729" s="2200" t="s">
        <v>4280</v>
      </c>
      <c r="B729" s="2200" t="s">
        <v>5735</v>
      </c>
      <c r="C729" s="2200" t="s">
        <v>5736</v>
      </c>
      <c r="D729" s="2200" t="str">
        <f t="shared" si="33"/>
        <v>IN</v>
      </c>
      <c r="E729" s="2200" t="str">
        <f t="shared" si="34"/>
        <v>18</v>
      </c>
      <c r="F729" s="2200" t="str">
        <f t="shared" si="35"/>
        <v>057</v>
      </c>
      <c r="G729" s="2200">
        <f>--SUBTOTAL(3,C$2:C729)</f>
        <v>67</v>
      </c>
    </row>
    <row r="730" spans="1:7" hidden="1" x14ac:dyDescent="0.15">
      <c r="A730" s="2200" t="s">
        <v>4280</v>
      </c>
      <c r="B730" s="2200" t="s">
        <v>5737</v>
      </c>
      <c r="C730" s="2200" t="s">
        <v>5738</v>
      </c>
      <c r="D730" s="2200" t="str">
        <f t="shared" si="33"/>
        <v>IN</v>
      </c>
      <c r="E730" s="2200" t="str">
        <f t="shared" si="34"/>
        <v>18</v>
      </c>
      <c r="F730" s="2200" t="str">
        <f t="shared" si="35"/>
        <v>059</v>
      </c>
      <c r="G730" s="2200">
        <f>--SUBTOTAL(3,C$2:C730)</f>
        <v>67</v>
      </c>
    </row>
    <row r="731" spans="1:7" hidden="1" x14ac:dyDescent="0.15">
      <c r="A731" s="2200" t="s">
        <v>4280</v>
      </c>
      <c r="B731" s="2200" t="s">
        <v>5739</v>
      </c>
      <c r="C731" s="2200" t="s">
        <v>5740</v>
      </c>
      <c r="D731" s="2200" t="str">
        <f t="shared" si="33"/>
        <v>IN</v>
      </c>
      <c r="E731" s="2200" t="str">
        <f t="shared" si="34"/>
        <v>18</v>
      </c>
      <c r="F731" s="2200" t="str">
        <f t="shared" si="35"/>
        <v>061</v>
      </c>
      <c r="G731" s="2200">
        <f>--SUBTOTAL(3,C$2:C731)</f>
        <v>67</v>
      </c>
    </row>
    <row r="732" spans="1:7" hidden="1" x14ac:dyDescent="0.15">
      <c r="A732" s="2200" t="s">
        <v>4280</v>
      </c>
      <c r="B732" s="2200" t="s">
        <v>5741</v>
      </c>
      <c r="C732" s="2200" t="s">
        <v>5742</v>
      </c>
      <c r="D732" s="2200" t="str">
        <f t="shared" si="33"/>
        <v>IN</v>
      </c>
      <c r="E732" s="2200" t="str">
        <f t="shared" si="34"/>
        <v>18</v>
      </c>
      <c r="F732" s="2200" t="str">
        <f t="shared" si="35"/>
        <v>063</v>
      </c>
      <c r="G732" s="2200">
        <f>--SUBTOTAL(3,C$2:C732)</f>
        <v>67</v>
      </c>
    </row>
    <row r="733" spans="1:7" hidden="1" x14ac:dyDescent="0.15">
      <c r="A733" s="2200" t="s">
        <v>4280</v>
      </c>
      <c r="B733" s="2200" t="s">
        <v>5743</v>
      </c>
      <c r="C733" s="2200" t="s">
        <v>5744</v>
      </c>
      <c r="D733" s="2200" t="str">
        <f t="shared" si="33"/>
        <v>IN</v>
      </c>
      <c r="E733" s="2200" t="str">
        <f t="shared" si="34"/>
        <v>18</v>
      </c>
      <c r="F733" s="2200" t="str">
        <f t="shared" si="35"/>
        <v>065</v>
      </c>
      <c r="G733" s="2200">
        <f>--SUBTOTAL(3,C$2:C733)</f>
        <v>67</v>
      </c>
    </row>
    <row r="734" spans="1:7" hidden="1" x14ac:dyDescent="0.15">
      <c r="A734" s="2200" t="s">
        <v>4280</v>
      </c>
      <c r="B734" s="2200" t="s">
        <v>5745</v>
      </c>
      <c r="C734" s="2200" t="s">
        <v>5746</v>
      </c>
      <c r="D734" s="2200" t="str">
        <f t="shared" si="33"/>
        <v>IN</v>
      </c>
      <c r="E734" s="2200" t="str">
        <f t="shared" si="34"/>
        <v>18</v>
      </c>
      <c r="F734" s="2200" t="str">
        <f t="shared" si="35"/>
        <v>067</v>
      </c>
      <c r="G734" s="2200">
        <f>--SUBTOTAL(3,C$2:C734)</f>
        <v>67</v>
      </c>
    </row>
    <row r="735" spans="1:7" hidden="1" x14ac:dyDescent="0.15">
      <c r="A735" s="2200" t="s">
        <v>4280</v>
      </c>
      <c r="B735" s="2200" t="s">
        <v>5747</v>
      </c>
      <c r="C735" s="2200" t="s">
        <v>5748</v>
      </c>
      <c r="D735" s="2200" t="str">
        <f t="shared" si="33"/>
        <v>IN</v>
      </c>
      <c r="E735" s="2200" t="str">
        <f t="shared" si="34"/>
        <v>18</v>
      </c>
      <c r="F735" s="2200" t="str">
        <f t="shared" si="35"/>
        <v>069</v>
      </c>
      <c r="G735" s="2200">
        <f>--SUBTOTAL(3,C$2:C735)</f>
        <v>67</v>
      </c>
    </row>
    <row r="736" spans="1:7" hidden="1" x14ac:dyDescent="0.15">
      <c r="A736" s="2200" t="s">
        <v>4280</v>
      </c>
      <c r="B736" s="2200" t="s">
        <v>5749</v>
      </c>
      <c r="C736" s="2200" t="s">
        <v>5750</v>
      </c>
      <c r="D736" s="2200" t="str">
        <f t="shared" si="33"/>
        <v>IN</v>
      </c>
      <c r="E736" s="2200" t="str">
        <f t="shared" si="34"/>
        <v>18</v>
      </c>
      <c r="F736" s="2200" t="str">
        <f t="shared" si="35"/>
        <v>071</v>
      </c>
      <c r="G736" s="2200">
        <f>--SUBTOTAL(3,C$2:C736)</f>
        <v>67</v>
      </c>
    </row>
    <row r="737" spans="1:7" hidden="1" x14ac:dyDescent="0.15">
      <c r="A737" s="2200" t="s">
        <v>4280</v>
      </c>
      <c r="B737" s="2200" t="s">
        <v>5751</v>
      </c>
      <c r="C737" s="2200" t="s">
        <v>5752</v>
      </c>
      <c r="D737" s="2200" t="str">
        <f t="shared" si="33"/>
        <v>IN</v>
      </c>
      <c r="E737" s="2200" t="str">
        <f t="shared" si="34"/>
        <v>18</v>
      </c>
      <c r="F737" s="2200" t="str">
        <f t="shared" si="35"/>
        <v>073</v>
      </c>
      <c r="G737" s="2200">
        <f>--SUBTOTAL(3,C$2:C737)</f>
        <v>67</v>
      </c>
    </row>
    <row r="738" spans="1:7" hidden="1" x14ac:dyDescent="0.15">
      <c r="A738" s="2200" t="s">
        <v>4280</v>
      </c>
      <c r="B738" s="2200" t="s">
        <v>5753</v>
      </c>
      <c r="C738" s="2200" t="s">
        <v>5754</v>
      </c>
      <c r="D738" s="2200" t="str">
        <f t="shared" si="33"/>
        <v>IN</v>
      </c>
      <c r="E738" s="2200" t="str">
        <f t="shared" si="34"/>
        <v>18</v>
      </c>
      <c r="F738" s="2200" t="str">
        <f t="shared" si="35"/>
        <v>075</v>
      </c>
      <c r="G738" s="2200">
        <f>--SUBTOTAL(3,C$2:C738)</f>
        <v>67</v>
      </c>
    </row>
    <row r="739" spans="1:7" hidden="1" x14ac:dyDescent="0.15">
      <c r="A739" s="2200" t="s">
        <v>4280</v>
      </c>
      <c r="B739" s="2200" t="s">
        <v>5755</v>
      </c>
      <c r="C739" s="2200" t="s">
        <v>5756</v>
      </c>
      <c r="D739" s="2200" t="str">
        <f t="shared" si="33"/>
        <v>IN</v>
      </c>
      <c r="E739" s="2200" t="str">
        <f t="shared" si="34"/>
        <v>18</v>
      </c>
      <c r="F739" s="2200" t="str">
        <f t="shared" si="35"/>
        <v>077</v>
      </c>
      <c r="G739" s="2200">
        <f>--SUBTOTAL(3,C$2:C739)</f>
        <v>67</v>
      </c>
    </row>
    <row r="740" spans="1:7" hidden="1" x14ac:dyDescent="0.15">
      <c r="A740" s="2200" t="s">
        <v>4280</v>
      </c>
      <c r="B740" s="2200" t="s">
        <v>5757</v>
      </c>
      <c r="C740" s="2200" t="s">
        <v>5758</v>
      </c>
      <c r="D740" s="2200" t="str">
        <f t="shared" si="33"/>
        <v>IN</v>
      </c>
      <c r="E740" s="2200" t="str">
        <f t="shared" si="34"/>
        <v>18</v>
      </c>
      <c r="F740" s="2200" t="str">
        <f t="shared" si="35"/>
        <v>079</v>
      </c>
      <c r="G740" s="2200">
        <f>--SUBTOTAL(3,C$2:C740)</f>
        <v>67</v>
      </c>
    </row>
    <row r="741" spans="1:7" hidden="1" x14ac:dyDescent="0.15">
      <c r="A741" s="2200" t="s">
        <v>4280</v>
      </c>
      <c r="B741" s="2200" t="s">
        <v>5759</v>
      </c>
      <c r="C741" s="2200" t="s">
        <v>5760</v>
      </c>
      <c r="D741" s="2200" t="str">
        <f t="shared" si="33"/>
        <v>IN</v>
      </c>
      <c r="E741" s="2200" t="str">
        <f t="shared" si="34"/>
        <v>18</v>
      </c>
      <c r="F741" s="2200" t="str">
        <f t="shared" si="35"/>
        <v>081</v>
      </c>
      <c r="G741" s="2200">
        <f>--SUBTOTAL(3,C$2:C741)</f>
        <v>67</v>
      </c>
    </row>
    <row r="742" spans="1:7" hidden="1" x14ac:dyDescent="0.15">
      <c r="A742" s="2200" t="s">
        <v>4280</v>
      </c>
      <c r="B742" s="2200" t="s">
        <v>5761</v>
      </c>
      <c r="C742" s="2200" t="s">
        <v>5762</v>
      </c>
      <c r="D742" s="2200" t="str">
        <f t="shared" si="33"/>
        <v>IN</v>
      </c>
      <c r="E742" s="2200" t="str">
        <f t="shared" si="34"/>
        <v>18</v>
      </c>
      <c r="F742" s="2200" t="str">
        <f t="shared" si="35"/>
        <v>083</v>
      </c>
      <c r="G742" s="2200">
        <f>--SUBTOTAL(3,C$2:C742)</f>
        <v>67</v>
      </c>
    </row>
    <row r="743" spans="1:7" hidden="1" x14ac:dyDescent="0.15">
      <c r="A743" s="2200" t="s">
        <v>4280</v>
      </c>
      <c r="B743" s="2200" t="s">
        <v>5763</v>
      </c>
      <c r="C743" s="2200" t="s">
        <v>5764</v>
      </c>
      <c r="D743" s="2200" t="str">
        <f t="shared" si="33"/>
        <v>IN</v>
      </c>
      <c r="E743" s="2200" t="str">
        <f t="shared" si="34"/>
        <v>18</v>
      </c>
      <c r="F743" s="2200" t="str">
        <f t="shared" si="35"/>
        <v>085</v>
      </c>
      <c r="G743" s="2200">
        <f>--SUBTOTAL(3,C$2:C743)</f>
        <v>67</v>
      </c>
    </row>
    <row r="744" spans="1:7" hidden="1" x14ac:dyDescent="0.15">
      <c r="A744" s="2200" t="s">
        <v>4280</v>
      </c>
      <c r="B744" s="2200" t="s">
        <v>5765</v>
      </c>
      <c r="C744" s="2200" t="s">
        <v>5766</v>
      </c>
      <c r="D744" s="2200" t="str">
        <f t="shared" si="33"/>
        <v>IN</v>
      </c>
      <c r="E744" s="2200" t="str">
        <f t="shared" si="34"/>
        <v>18</v>
      </c>
      <c r="F744" s="2200" t="str">
        <f t="shared" si="35"/>
        <v>087</v>
      </c>
      <c r="G744" s="2200">
        <f>--SUBTOTAL(3,C$2:C744)</f>
        <v>67</v>
      </c>
    </row>
    <row r="745" spans="1:7" hidden="1" x14ac:dyDescent="0.15">
      <c r="A745" s="2200" t="s">
        <v>4280</v>
      </c>
      <c r="B745" s="2200" t="s">
        <v>5767</v>
      </c>
      <c r="C745" s="2200" t="s">
        <v>5768</v>
      </c>
      <c r="D745" s="2200" t="str">
        <f t="shared" si="33"/>
        <v>IN</v>
      </c>
      <c r="E745" s="2200" t="str">
        <f t="shared" si="34"/>
        <v>18</v>
      </c>
      <c r="F745" s="2200" t="str">
        <f t="shared" si="35"/>
        <v>089</v>
      </c>
      <c r="G745" s="2200">
        <f>--SUBTOTAL(3,C$2:C745)</f>
        <v>67</v>
      </c>
    </row>
    <row r="746" spans="1:7" hidden="1" x14ac:dyDescent="0.15">
      <c r="A746" s="2200" t="s">
        <v>4280</v>
      </c>
      <c r="B746" s="2200" t="s">
        <v>5769</v>
      </c>
      <c r="C746" s="2200" t="s">
        <v>5770</v>
      </c>
      <c r="D746" s="2200" t="str">
        <f t="shared" si="33"/>
        <v>IN</v>
      </c>
      <c r="E746" s="2200" t="str">
        <f t="shared" si="34"/>
        <v>18</v>
      </c>
      <c r="F746" s="2200" t="str">
        <f t="shared" si="35"/>
        <v>091</v>
      </c>
      <c r="G746" s="2200">
        <f>--SUBTOTAL(3,C$2:C746)</f>
        <v>67</v>
      </c>
    </row>
    <row r="747" spans="1:7" hidden="1" x14ac:dyDescent="0.15">
      <c r="A747" s="2200" t="s">
        <v>4280</v>
      </c>
      <c r="B747" s="2200" t="s">
        <v>5771</v>
      </c>
      <c r="C747" s="2200" t="s">
        <v>5772</v>
      </c>
      <c r="D747" s="2200" t="str">
        <f t="shared" si="33"/>
        <v>IN</v>
      </c>
      <c r="E747" s="2200" t="str">
        <f t="shared" si="34"/>
        <v>18</v>
      </c>
      <c r="F747" s="2200" t="str">
        <f t="shared" si="35"/>
        <v>093</v>
      </c>
      <c r="G747" s="2200">
        <f>--SUBTOTAL(3,C$2:C747)</f>
        <v>67</v>
      </c>
    </row>
    <row r="748" spans="1:7" hidden="1" x14ac:dyDescent="0.15">
      <c r="A748" s="2200" t="s">
        <v>4280</v>
      </c>
      <c r="B748" s="2200" t="s">
        <v>5773</v>
      </c>
      <c r="C748" s="2200" t="s">
        <v>5774</v>
      </c>
      <c r="D748" s="2200" t="str">
        <f t="shared" si="33"/>
        <v>IN</v>
      </c>
      <c r="E748" s="2200" t="str">
        <f t="shared" si="34"/>
        <v>18</v>
      </c>
      <c r="F748" s="2200" t="str">
        <f t="shared" si="35"/>
        <v>095</v>
      </c>
      <c r="G748" s="2200">
        <f>--SUBTOTAL(3,C$2:C748)</f>
        <v>67</v>
      </c>
    </row>
    <row r="749" spans="1:7" hidden="1" x14ac:dyDescent="0.15">
      <c r="A749" s="2200" t="s">
        <v>4280</v>
      </c>
      <c r="B749" s="2200" t="s">
        <v>5775</v>
      </c>
      <c r="C749" s="2200" t="s">
        <v>5776</v>
      </c>
      <c r="D749" s="2200" t="str">
        <f t="shared" si="33"/>
        <v>IN</v>
      </c>
      <c r="E749" s="2200" t="str">
        <f t="shared" si="34"/>
        <v>18</v>
      </c>
      <c r="F749" s="2200" t="str">
        <f t="shared" si="35"/>
        <v>097</v>
      </c>
      <c r="G749" s="2200">
        <f>--SUBTOTAL(3,C$2:C749)</f>
        <v>67</v>
      </c>
    </row>
    <row r="750" spans="1:7" hidden="1" x14ac:dyDescent="0.15">
      <c r="A750" s="2200" t="s">
        <v>4280</v>
      </c>
      <c r="B750" s="2200" t="s">
        <v>5777</v>
      </c>
      <c r="C750" s="2200" t="s">
        <v>5778</v>
      </c>
      <c r="D750" s="2200" t="str">
        <f t="shared" si="33"/>
        <v>IN</v>
      </c>
      <c r="E750" s="2200" t="str">
        <f t="shared" si="34"/>
        <v>18</v>
      </c>
      <c r="F750" s="2200" t="str">
        <f t="shared" si="35"/>
        <v>099</v>
      </c>
      <c r="G750" s="2200">
        <f>--SUBTOTAL(3,C$2:C750)</f>
        <v>67</v>
      </c>
    </row>
    <row r="751" spans="1:7" hidden="1" x14ac:dyDescent="0.15">
      <c r="A751" s="2200" t="s">
        <v>4280</v>
      </c>
      <c r="B751" s="2200" t="s">
        <v>5779</v>
      </c>
      <c r="C751" s="2200" t="s">
        <v>5780</v>
      </c>
      <c r="D751" s="2200" t="str">
        <f t="shared" si="33"/>
        <v>IN</v>
      </c>
      <c r="E751" s="2200" t="str">
        <f t="shared" si="34"/>
        <v>18</v>
      </c>
      <c r="F751" s="2200" t="str">
        <f t="shared" si="35"/>
        <v>101</v>
      </c>
      <c r="G751" s="2200">
        <f>--SUBTOTAL(3,C$2:C751)</f>
        <v>67</v>
      </c>
    </row>
    <row r="752" spans="1:7" hidden="1" x14ac:dyDescent="0.15">
      <c r="A752" s="2200" t="s">
        <v>4280</v>
      </c>
      <c r="B752" s="2200" t="s">
        <v>5781</v>
      </c>
      <c r="C752" s="2200" t="s">
        <v>5782</v>
      </c>
      <c r="D752" s="2200" t="str">
        <f t="shared" si="33"/>
        <v>IN</v>
      </c>
      <c r="E752" s="2200" t="str">
        <f t="shared" si="34"/>
        <v>18</v>
      </c>
      <c r="F752" s="2200" t="str">
        <f t="shared" si="35"/>
        <v>103</v>
      </c>
      <c r="G752" s="2200">
        <f>--SUBTOTAL(3,C$2:C752)</f>
        <v>67</v>
      </c>
    </row>
    <row r="753" spans="1:7" hidden="1" x14ac:dyDescent="0.15">
      <c r="A753" s="2200" t="s">
        <v>4280</v>
      </c>
      <c r="B753" s="2200" t="s">
        <v>5783</v>
      </c>
      <c r="C753" s="2200" t="s">
        <v>5784</v>
      </c>
      <c r="D753" s="2200" t="str">
        <f t="shared" si="33"/>
        <v>IN</v>
      </c>
      <c r="E753" s="2200" t="str">
        <f t="shared" si="34"/>
        <v>18</v>
      </c>
      <c r="F753" s="2200" t="str">
        <f t="shared" si="35"/>
        <v>105</v>
      </c>
      <c r="G753" s="2200">
        <f>--SUBTOTAL(3,C$2:C753)</f>
        <v>67</v>
      </c>
    </row>
    <row r="754" spans="1:7" hidden="1" x14ac:dyDescent="0.15">
      <c r="A754" s="2200" t="s">
        <v>4280</v>
      </c>
      <c r="B754" s="2200" t="s">
        <v>5785</v>
      </c>
      <c r="C754" s="2200" t="s">
        <v>5786</v>
      </c>
      <c r="D754" s="2200" t="str">
        <f t="shared" si="33"/>
        <v>IN</v>
      </c>
      <c r="E754" s="2200" t="str">
        <f t="shared" si="34"/>
        <v>18</v>
      </c>
      <c r="F754" s="2200" t="str">
        <f t="shared" si="35"/>
        <v>107</v>
      </c>
      <c r="G754" s="2200">
        <f>--SUBTOTAL(3,C$2:C754)</f>
        <v>67</v>
      </c>
    </row>
    <row r="755" spans="1:7" hidden="1" x14ac:dyDescent="0.15">
      <c r="A755" s="2200" t="s">
        <v>4280</v>
      </c>
      <c r="B755" s="2200" t="s">
        <v>5787</v>
      </c>
      <c r="C755" s="2200" t="s">
        <v>5788</v>
      </c>
      <c r="D755" s="2200" t="str">
        <f t="shared" si="33"/>
        <v>IN</v>
      </c>
      <c r="E755" s="2200" t="str">
        <f t="shared" si="34"/>
        <v>18</v>
      </c>
      <c r="F755" s="2200" t="str">
        <f t="shared" si="35"/>
        <v>109</v>
      </c>
      <c r="G755" s="2200">
        <f>--SUBTOTAL(3,C$2:C755)</f>
        <v>67</v>
      </c>
    </row>
    <row r="756" spans="1:7" hidden="1" x14ac:dyDescent="0.15">
      <c r="A756" s="2200" t="s">
        <v>4280</v>
      </c>
      <c r="B756" s="2200" t="s">
        <v>5789</v>
      </c>
      <c r="C756" s="2200" t="s">
        <v>5790</v>
      </c>
      <c r="D756" s="2200" t="str">
        <f t="shared" si="33"/>
        <v>IN</v>
      </c>
      <c r="E756" s="2200" t="str">
        <f t="shared" si="34"/>
        <v>18</v>
      </c>
      <c r="F756" s="2200" t="str">
        <f t="shared" si="35"/>
        <v>111</v>
      </c>
      <c r="G756" s="2200">
        <f>--SUBTOTAL(3,C$2:C756)</f>
        <v>67</v>
      </c>
    </row>
    <row r="757" spans="1:7" hidden="1" x14ac:dyDescent="0.15">
      <c r="A757" s="2200" t="s">
        <v>4280</v>
      </c>
      <c r="B757" s="2200" t="s">
        <v>5791</v>
      </c>
      <c r="C757" s="2200" t="s">
        <v>5792</v>
      </c>
      <c r="D757" s="2200" t="str">
        <f t="shared" si="33"/>
        <v>IN</v>
      </c>
      <c r="E757" s="2200" t="str">
        <f t="shared" si="34"/>
        <v>18</v>
      </c>
      <c r="F757" s="2200" t="str">
        <f t="shared" si="35"/>
        <v>113</v>
      </c>
      <c r="G757" s="2200">
        <f>--SUBTOTAL(3,C$2:C757)</f>
        <v>67</v>
      </c>
    </row>
    <row r="758" spans="1:7" hidden="1" x14ac:dyDescent="0.15">
      <c r="A758" s="2200" t="s">
        <v>4280</v>
      </c>
      <c r="B758" s="2200" t="s">
        <v>5793</v>
      </c>
      <c r="C758" s="2200" t="s">
        <v>5794</v>
      </c>
      <c r="D758" s="2200" t="str">
        <f t="shared" si="33"/>
        <v>IN</v>
      </c>
      <c r="E758" s="2200" t="str">
        <f t="shared" si="34"/>
        <v>18</v>
      </c>
      <c r="F758" s="2200" t="str">
        <f t="shared" si="35"/>
        <v>115</v>
      </c>
      <c r="G758" s="2200">
        <f>--SUBTOTAL(3,C$2:C758)</f>
        <v>67</v>
      </c>
    </row>
    <row r="759" spans="1:7" hidden="1" x14ac:dyDescent="0.15">
      <c r="A759" s="2200" t="s">
        <v>4280</v>
      </c>
      <c r="B759" s="2200" t="s">
        <v>5795</v>
      </c>
      <c r="C759" s="2200" t="s">
        <v>5796</v>
      </c>
      <c r="D759" s="2200" t="str">
        <f t="shared" si="33"/>
        <v>IN</v>
      </c>
      <c r="E759" s="2200" t="str">
        <f t="shared" si="34"/>
        <v>18</v>
      </c>
      <c r="F759" s="2200" t="str">
        <f t="shared" si="35"/>
        <v>117</v>
      </c>
      <c r="G759" s="2200">
        <f>--SUBTOTAL(3,C$2:C759)</f>
        <v>67</v>
      </c>
    </row>
    <row r="760" spans="1:7" hidden="1" x14ac:dyDescent="0.15">
      <c r="A760" s="2200" t="s">
        <v>4280</v>
      </c>
      <c r="B760" s="2200" t="s">
        <v>5797</v>
      </c>
      <c r="C760" s="2200" t="s">
        <v>5798</v>
      </c>
      <c r="D760" s="2200" t="str">
        <f t="shared" si="33"/>
        <v>IN</v>
      </c>
      <c r="E760" s="2200" t="str">
        <f t="shared" si="34"/>
        <v>18</v>
      </c>
      <c r="F760" s="2200" t="str">
        <f t="shared" si="35"/>
        <v>119</v>
      </c>
      <c r="G760" s="2200">
        <f>--SUBTOTAL(3,C$2:C760)</f>
        <v>67</v>
      </c>
    </row>
    <row r="761" spans="1:7" hidden="1" x14ac:dyDescent="0.15">
      <c r="A761" s="2200" t="s">
        <v>4280</v>
      </c>
      <c r="B761" s="2200" t="s">
        <v>5799</v>
      </c>
      <c r="C761" s="2200" t="s">
        <v>5800</v>
      </c>
      <c r="D761" s="2200" t="str">
        <f t="shared" si="33"/>
        <v>IN</v>
      </c>
      <c r="E761" s="2200" t="str">
        <f t="shared" si="34"/>
        <v>18</v>
      </c>
      <c r="F761" s="2200" t="str">
        <f t="shared" si="35"/>
        <v>121</v>
      </c>
      <c r="G761" s="2200">
        <f>--SUBTOTAL(3,C$2:C761)</f>
        <v>67</v>
      </c>
    </row>
    <row r="762" spans="1:7" hidden="1" x14ac:dyDescent="0.15">
      <c r="A762" s="2200" t="s">
        <v>4280</v>
      </c>
      <c r="B762" s="2200" t="s">
        <v>5801</v>
      </c>
      <c r="C762" s="2200" t="s">
        <v>5802</v>
      </c>
      <c r="D762" s="2200" t="str">
        <f t="shared" si="33"/>
        <v>IN</v>
      </c>
      <c r="E762" s="2200" t="str">
        <f t="shared" si="34"/>
        <v>18</v>
      </c>
      <c r="F762" s="2200" t="str">
        <f t="shared" si="35"/>
        <v>123</v>
      </c>
      <c r="G762" s="2200">
        <f>--SUBTOTAL(3,C$2:C762)</f>
        <v>67</v>
      </c>
    </row>
    <row r="763" spans="1:7" hidden="1" x14ac:dyDescent="0.15">
      <c r="A763" s="2200" t="s">
        <v>4280</v>
      </c>
      <c r="B763" s="2200" t="s">
        <v>5803</v>
      </c>
      <c r="C763" s="2200" t="s">
        <v>5804</v>
      </c>
      <c r="D763" s="2200" t="str">
        <f t="shared" si="33"/>
        <v>IN</v>
      </c>
      <c r="E763" s="2200" t="str">
        <f t="shared" si="34"/>
        <v>18</v>
      </c>
      <c r="F763" s="2200" t="str">
        <f t="shared" si="35"/>
        <v>125</v>
      </c>
      <c r="G763" s="2200">
        <f>--SUBTOTAL(3,C$2:C763)</f>
        <v>67</v>
      </c>
    </row>
    <row r="764" spans="1:7" hidden="1" x14ac:dyDescent="0.15">
      <c r="A764" s="2200" t="s">
        <v>4280</v>
      </c>
      <c r="B764" s="2200" t="s">
        <v>5805</v>
      </c>
      <c r="C764" s="2200" t="s">
        <v>5806</v>
      </c>
      <c r="D764" s="2200" t="str">
        <f t="shared" si="33"/>
        <v>IN</v>
      </c>
      <c r="E764" s="2200" t="str">
        <f t="shared" si="34"/>
        <v>18</v>
      </c>
      <c r="F764" s="2200" t="str">
        <f t="shared" si="35"/>
        <v>127</v>
      </c>
      <c r="G764" s="2200">
        <f>--SUBTOTAL(3,C$2:C764)</f>
        <v>67</v>
      </c>
    </row>
    <row r="765" spans="1:7" hidden="1" x14ac:dyDescent="0.15">
      <c r="A765" s="2200" t="s">
        <v>4280</v>
      </c>
      <c r="B765" s="2200" t="s">
        <v>5807</v>
      </c>
      <c r="C765" s="2200" t="s">
        <v>5808</v>
      </c>
      <c r="D765" s="2200" t="str">
        <f t="shared" si="33"/>
        <v>IN</v>
      </c>
      <c r="E765" s="2200" t="str">
        <f t="shared" si="34"/>
        <v>18</v>
      </c>
      <c r="F765" s="2200" t="str">
        <f t="shared" si="35"/>
        <v>129</v>
      </c>
      <c r="G765" s="2200">
        <f>--SUBTOTAL(3,C$2:C765)</f>
        <v>67</v>
      </c>
    </row>
    <row r="766" spans="1:7" hidden="1" x14ac:dyDescent="0.15">
      <c r="A766" s="2200" t="s">
        <v>4280</v>
      </c>
      <c r="B766" s="2200" t="s">
        <v>5809</v>
      </c>
      <c r="C766" s="2200" t="s">
        <v>5810</v>
      </c>
      <c r="D766" s="2200" t="str">
        <f t="shared" si="33"/>
        <v>IN</v>
      </c>
      <c r="E766" s="2200" t="str">
        <f t="shared" si="34"/>
        <v>18</v>
      </c>
      <c r="F766" s="2200" t="str">
        <f t="shared" si="35"/>
        <v>131</v>
      </c>
      <c r="G766" s="2200">
        <f>--SUBTOTAL(3,C$2:C766)</f>
        <v>67</v>
      </c>
    </row>
    <row r="767" spans="1:7" hidden="1" x14ac:dyDescent="0.15">
      <c r="A767" s="2200" t="s">
        <v>4280</v>
      </c>
      <c r="B767" s="2200" t="s">
        <v>5811</v>
      </c>
      <c r="C767" s="2200" t="s">
        <v>5812</v>
      </c>
      <c r="D767" s="2200" t="str">
        <f t="shared" si="33"/>
        <v>IN</v>
      </c>
      <c r="E767" s="2200" t="str">
        <f t="shared" si="34"/>
        <v>18</v>
      </c>
      <c r="F767" s="2200" t="str">
        <f t="shared" si="35"/>
        <v>133</v>
      </c>
      <c r="G767" s="2200">
        <f>--SUBTOTAL(3,C$2:C767)</f>
        <v>67</v>
      </c>
    </row>
    <row r="768" spans="1:7" hidden="1" x14ac:dyDescent="0.15">
      <c r="A768" s="2200" t="s">
        <v>4280</v>
      </c>
      <c r="B768" s="2200" t="s">
        <v>5813</v>
      </c>
      <c r="C768" s="2200" t="s">
        <v>5814</v>
      </c>
      <c r="D768" s="2200" t="str">
        <f t="shared" si="33"/>
        <v>IN</v>
      </c>
      <c r="E768" s="2200" t="str">
        <f t="shared" si="34"/>
        <v>18</v>
      </c>
      <c r="F768" s="2200" t="str">
        <f t="shared" si="35"/>
        <v>135</v>
      </c>
      <c r="G768" s="2200">
        <f>--SUBTOTAL(3,C$2:C768)</f>
        <v>67</v>
      </c>
    </row>
    <row r="769" spans="1:7" hidden="1" x14ac:dyDescent="0.15">
      <c r="A769" s="2200" t="s">
        <v>4280</v>
      </c>
      <c r="B769" s="2200" t="s">
        <v>5815</v>
      </c>
      <c r="C769" s="2200" t="s">
        <v>5816</v>
      </c>
      <c r="D769" s="2200" t="str">
        <f t="shared" si="33"/>
        <v>IN</v>
      </c>
      <c r="E769" s="2200" t="str">
        <f t="shared" si="34"/>
        <v>18</v>
      </c>
      <c r="F769" s="2200" t="str">
        <f t="shared" si="35"/>
        <v>137</v>
      </c>
      <c r="G769" s="2200">
        <f>--SUBTOTAL(3,C$2:C769)</f>
        <v>67</v>
      </c>
    </row>
    <row r="770" spans="1:7" hidden="1" x14ac:dyDescent="0.15">
      <c r="A770" s="2200" t="s">
        <v>4280</v>
      </c>
      <c r="B770" s="2200" t="s">
        <v>5817</v>
      </c>
      <c r="C770" s="2200" t="s">
        <v>5818</v>
      </c>
      <c r="D770" s="2200" t="str">
        <f t="shared" si="33"/>
        <v>IN</v>
      </c>
      <c r="E770" s="2200" t="str">
        <f t="shared" si="34"/>
        <v>18</v>
      </c>
      <c r="F770" s="2200" t="str">
        <f t="shared" si="35"/>
        <v>139</v>
      </c>
      <c r="G770" s="2200">
        <f>--SUBTOTAL(3,C$2:C770)</f>
        <v>67</v>
      </c>
    </row>
    <row r="771" spans="1:7" hidden="1" x14ac:dyDescent="0.15">
      <c r="A771" s="2200" t="s">
        <v>4280</v>
      </c>
      <c r="B771" s="2200" t="s">
        <v>5819</v>
      </c>
      <c r="C771" s="2200" t="s">
        <v>5820</v>
      </c>
      <c r="D771" s="2200" t="str">
        <f t="shared" ref="D771:D834" si="36">RIGHT(C771,2)</f>
        <v>IN</v>
      </c>
      <c r="E771" s="2200" t="str">
        <f t="shared" ref="E771:E834" si="37">MID(B771,3,2)</f>
        <v>18</v>
      </c>
      <c r="F771" s="2200" t="str">
        <f t="shared" ref="F771:F834" si="38">MID(B771,5,3)</f>
        <v>141</v>
      </c>
      <c r="G771" s="2200">
        <f>--SUBTOTAL(3,C$2:C771)</f>
        <v>67</v>
      </c>
    </row>
    <row r="772" spans="1:7" hidden="1" x14ac:dyDescent="0.15">
      <c r="A772" s="2200" t="s">
        <v>4280</v>
      </c>
      <c r="B772" s="2200" t="s">
        <v>5821</v>
      </c>
      <c r="C772" s="2200" t="s">
        <v>5822</v>
      </c>
      <c r="D772" s="2200" t="str">
        <f t="shared" si="36"/>
        <v>IN</v>
      </c>
      <c r="E772" s="2200" t="str">
        <f t="shared" si="37"/>
        <v>18</v>
      </c>
      <c r="F772" s="2200" t="str">
        <f t="shared" si="38"/>
        <v>143</v>
      </c>
      <c r="G772" s="2200">
        <f>--SUBTOTAL(3,C$2:C772)</f>
        <v>67</v>
      </c>
    </row>
    <row r="773" spans="1:7" hidden="1" x14ac:dyDescent="0.15">
      <c r="A773" s="2200" t="s">
        <v>4280</v>
      </c>
      <c r="B773" s="2200" t="s">
        <v>5823</v>
      </c>
      <c r="C773" s="2200" t="s">
        <v>5824</v>
      </c>
      <c r="D773" s="2200" t="str">
        <f t="shared" si="36"/>
        <v>IN</v>
      </c>
      <c r="E773" s="2200" t="str">
        <f t="shared" si="37"/>
        <v>18</v>
      </c>
      <c r="F773" s="2200" t="str">
        <f t="shared" si="38"/>
        <v>145</v>
      </c>
      <c r="G773" s="2200">
        <f>--SUBTOTAL(3,C$2:C773)</f>
        <v>67</v>
      </c>
    </row>
    <row r="774" spans="1:7" hidden="1" x14ac:dyDescent="0.15">
      <c r="A774" s="2200" t="s">
        <v>4280</v>
      </c>
      <c r="B774" s="2200" t="s">
        <v>5825</v>
      </c>
      <c r="C774" s="2200" t="s">
        <v>5826</v>
      </c>
      <c r="D774" s="2200" t="str">
        <f t="shared" si="36"/>
        <v>IN</v>
      </c>
      <c r="E774" s="2200" t="str">
        <f t="shared" si="37"/>
        <v>18</v>
      </c>
      <c r="F774" s="2200" t="str">
        <f t="shared" si="38"/>
        <v>147</v>
      </c>
      <c r="G774" s="2200">
        <f>--SUBTOTAL(3,C$2:C774)</f>
        <v>67</v>
      </c>
    </row>
    <row r="775" spans="1:7" hidden="1" x14ac:dyDescent="0.15">
      <c r="A775" s="2200" t="s">
        <v>4280</v>
      </c>
      <c r="B775" s="2200" t="s">
        <v>5827</v>
      </c>
      <c r="C775" s="2200" t="s">
        <v>5828</v>
      </c>
      <c r="D775" s="2200" t="str">
        <f t="shared" si="36"/>
        <v>IN</v>
      </c>
      <c r="E775" s="2200" t="str">
        <f t="shared" si="37"/>
        <v>18</v>
      </c>
      <c r="F775" s="2200" t="str">
        <f t="shared" si="38"/>
        <v>149</v>
      </c>
      <c r="G775" s="2200">
        <f>--SUBTOTAL(3,C$2:C775)</f>
        <v>67</v>
      </c>
    </row>
    <row r="776" spans="1:7" hidden="1" x14ac:dyDescent="0.15">
      <c r="A776" s="2200" t="s">
        <v>4280</v>
      </c>
      <c r="B776" s="2200" t="s">
        <v>5829</v>
      </c>
      <c r="C776" s="2200" t="s">
        <v>5830</v>
      </c>
      <c r="D776" s="2200" t="str">
        <f t="shared" si="36"/>
        <v>IN</v>
      </c>
      <c r="E776" s="2200" t="str">
        <f t="shared" si="37"/>
        <v>18</v>
      </c>
      <c r="F776" s="2200" t="str">
        <f t="shared" si="38"/>
        <v>151</v>
      </c>
      <c r="G776" s="2200">
        <f>--SUBTOTAL(3,C$2:C776)</f>
        <v>67</v>
      </c>
    </row>
    <row r="777" spans="1:7" hidden="1" x14ac:dyDescent="0.15">
      <c r="A777" s="2200" t="s">
        <v>4280</v>
      </c>
      <c r="B777" s="2200" t="s">
        <v>5831</v>
      </c>
      <c r="C777" s="2200" t="s">
        <v>5832</v>
      </c>
      <c r="D777" s="2200" t="str">
        <f t="shared" si="36"/>
        <v>IN</v>
      </c>
      <c r="E777" s="2200" t="str">
        <f t="shared" si="37"/>
        <v>18</v>
      </c>
      <c r="F777" s="2200" t="str">
        <f t="shared" si="38"/>
        <v>153</v>
      </c>
      <c r="G777" s="2200">
        <f>--SUBTOTAL(3,C$2:C777)</f>
        <v>67</v>
      </c>
    </row>
    <row r="778" spans="1:7" hidden="1" x14ac:dyDescent="0.15">
      <c r="A778" s="2200" t="s">
        <v>4280</v>
      </c>
      <c r="B778" s="2200" t="s">
        <v>5833</v>
      </c>
      <c r="C778" s="2200" t="s">
        <v>5834</v>
      </c>
      <c r="D778" s="2200" t="str">
        <f t="shared" si="36"/>
        <v>IN</v>
      </c>
      <c r="E778" s="2200" t="str">
        <f t="shared" si="37"/>
        <v>18</v>
      </c>
      <c r="F778" s="2200" t="str">
        <f t="shared" si="38"/>
        <v>155</v>
      </c>
      <c r="G778" s="2200">
        <f>--SUBTOTAL(3,C$2:C778)</f>
        <v>67</v>
      </c>
    </row>
    <row r="779" spans="1:7" hidden="1" x14ac:dyDescent="0.15">
      <c r="A779" s="2200" t="s">
        <v>4280</v>
      </c>
      <c r="B779" s="2200" t="s">
        <v>5835</v>
      </c>
      <c r="C779" s="2200" t="s">
        <v>5836</v>
      </c>
      <c r="D779" s="2200" t="str">
        <f t="shared" si="36"/>
        <v>IN</v>
      </c>
      <c r="E779" s="2200" t="str">
        <f t="shared" si="37"/>
        <v>18</v>
      </c>
      <c r="F779" s="2200" t="str">
        <f t="shared" si="38"/>
        <v>157</v>
      </c>
      <c r="G779" s="2200">
        <f>--SUBTOTAL(3,C$2:C779)</f>
        <v>67</v>
      </c>
    </row>
    <row r="780" spans="1:7" hidden="1" x14ac:dyDescent="0.15">
      <c r="A780" s="2200" t="s">
        <v>4280</v>
      </c>
      <c r="B780" s="2200" t="s">
        <v>5837</v>
      </c>
      <c r="C780" s="2200" t="s">
        <v>5838</v>
      </c>
      <c r="D780" s="2200" t="str">
        <f t="shared" si="36"/>
        <v>IN</v>
      </c>
      <c r="E780" s="2200" t="str">
        <f t="shared" si="37"/>
        <v>18</v>
      </c>
      <c r="F780" s="2200" t="str">
        <f t="shared" si="38"/>
        <v>159</v>
      </c>
      <c r="G780" s="2200">
        <f>--SUBTOTAL(3,C$2:C780)</f>
        <v>67</v>
      </c>
    </row>
    <row r="781" spans="1:7" hidden="1" x14ac:dyDescent="0.15">
      <c r="A781" s="2200" t="s">
        <v>4280</v>
      </c>
      <c r="B781" s="2200" t="s">
        <v>5839</v>
      </c>
      <c r="C781" s="2200" t="s">
        <v>5840</v>
      </c>
      <c r="D781" s="2200" t="str">
        <f t="shared" si="36"/>
        <v>IN</v>
      </c>
      <c r="E781" s="2200" t="str">
        <f t="shared" si="37"/>
        <v>18</v>
      </c>
      <c r="F781" s="2200" t="str">
        <f t="shared" si="38"/>
        <v>161</v>
      </c>
      <c r="G781" s="2200">
        <f>--SUBTOTAL(3,C$2:C781)</f>
        <v>67</v>
      </c>
    </row>
    <row r="782" spans="1:7" hidden="1" x14ac:dyDescent="0.15">
      <c r="A782" s="2200" t="s">
        <v>4280</v>
      </c>
      <c r="B782" s="2200" t="s">
        <v>5841</v>
      </c>
      <c r="C782" s="2200" t="s">
        <v>5842</v>
      </c>
      <c r="D782" s="2200" t="str">
        <f t="shared" si="36"/>
        <v>IN</v>
      </c>
      <c r="E782" s="2200" t="str">
        <f t="shared" si="37"/>
        <v>18</v>
      </c>
      <c r="F782" s="2200" t="str">
        <f t="shared" si="38"/>
        <v>163</v>
      </c>
      <c r="G782" s="2200">
        <f>--SUBTOTAL(3,C$2:C782)</f>
        <v>67</v>
      </c>
    </row>
    <row r="783" spans="1:7" hidden="1" x14ac:dyDescent="0.15">
      <c r="A783" s="2200" t="s">
        <v>4280</v>
      </c>
      <c r="B783" s="2200" t="s">
        <v>5843</v>
      </c>
      <c r="C783" s="2200" t="s">
        <v>5844</v>
      </c>
      <c r="D783" s="2200" t="str">
        <f t="shared" si="36"/>
        <v>IN</v>
      </c>
      <c r="E783" s="2200" t="str">
        <f t="shared" si="37"/>
        <v>18</v>
      </c>
      <c r="F783" s="2200" t="str">
        <f t="shared" si="38"/>
        <v>165</v>
      </c>
      <c r="G783" s="2200">
        <f>--SUBTOTAL(3,C$2:C783)</f>
        <v>67</v>
      </c>
    </row>
    <row r="784" spans="1:7" hidden="1" x14ac:dyDescent="0.15">
      <c r="A784" s="2200" t="s">
        <v>4280</v>
      </c>
      <c r="B784" s="2200" t="s">
        <v>5845</v>
      </c>
      <c r="C784" s="2200" t="s">
        <v>5846</v>
      </c>
      <c r="D784" s="2200" t="str">
        <f t="shared" si="36"/>
        <v>IN</v>
      </c>
      <c r="E784" s="2200" t="str">
        <f t="shared" si="37"/>
        <v>18</v>
      </c>
      <c r="F784" s="2200" t="str">
        <f t="shared" si="38"/>
        <v>167</v>
      </c>
      <c r="G784" s="2200">
        <f>--SUBTOTAL(3,C$2:C784)</f>
        <v>67</v>
      </c>
    </row>
    <row r="785" spans="1:7" hidden="1" x14ac:dyDescent="0.15">
      <c r="A785" s="2200" t="s">
        <v>4280</v>
      </c>
      <c r="B785" s="2200" t="s">
        <v>5847</v>
      </c>
      <c r="C785" s="2200" t="s">
        <v>5848</v>
      </c>
      <c r="D785" s="2200" t="str">
        <f t="shared" si="36"/>
        <v>IN</v>
      </c>
      <c r="E785" s="2200" t="str">
        <f t="shared" si="37"/>
        <v>18</v>
      </c>
      <c r="F785" s="2200" t="str">
        <f t="shared" si="38"/>
        <v>169</v>
      </c>
      <c r="G785" s="2200">
        <f>--SUBTOTAL(3,C$2:C785)</f>
        <v>67</v>
      </c>
    </row>
    <row r="786" spans="1:7" hidden="1" x14ac:dyDescent="0.15">
      <c r="A786" s="2200" t="s">
        <v>4280</v>
      </c>
      <c r="B786" s="2200" t="s">
        <v>5849</v>
      </c>
      <c r="C786" s="2200" t="s">
        <v>5850</v>
      </c>
      <c r="D786" s="2200" t="str">
        <f t="shared" si="36"/>
        <v>IN</v>
      </c>
      <c r="E786" s="2200" t="str">
        <f t="shared" si="37"/>
        <v>18</v>
      </c>
      <c r="F786" s="2200" t="str">
        <f t="shared" si="38"/>
        <v>171</v>
      </c>
      <c r="G786" s="2200">
        <f>--SUBTOTAL(3,C$2:C786)</f>
        <v>67</v>
      </c>
    </row>
    <row r="787" spans="1:7" hidden="1" x14ac:dyDescent="0.15">
      <c r="A787" s="2200" t="s">
        <v>4280</v>
      </c>
      <c r="B787" s="2200" t="s">
        <v>5851</v>
      </c>
      <c r="C787" s="2200" t="s">
        <v>5852</v>
      </c>
      <c r="D787" s="2200" t="str">
        <f t="shared" si="36"/>
        <v>IN</v>
      </c>
      <c r="E787" s="2200" t="str">
        <f t="shared" si="37"/>
        <v>18</v>
      </c>
      <c r="F787" s="2200" t="str">
        <f t="shared" si="38"/>
        <v>173</v>
      </c>
      <c r="G787" s="2200">
        <f>--SUBTOTAL(3,C$2:C787)</f>
        <v>67</v>
      </c>
    </row>
    <row r="788" spans="1:7" hidden="1" x14ac:dyDescent="0.15">
      <c r="A788" s="2200" t="s">
        <v>4280</v>
      </c>
      <c r="B788" s="2200" t="s">
        <v>5853</v>
      </c>
      <c r="C788" s="2200" t="s">
        <v>5854</v>
      </c>
      <c r="D788" s="2200" t="str">
        <f t="shared" si="36"/>
        <v>IN</v>
      </c>
      <c r="E788" s="2200" t="str">
        <f t="shared" si="37"/>
        <v>18</v>
      </c>
      <c r="F788" s="2200" t="str">
        <f t="shared" si="38"/>
        <v>175</v>
      </c>
      <c r="G788" s="2200">
        <f>--SUBTOTAL(3,C$2:C788)</f>
        <v>67</v>
      </c>
    </row>
    <row r="789" spans="1:7" hidden="1" x14ac:dyDescent="0.15">
      <c r="A789" s="2200" t="s">
        <v>4280</v>
      </c>
      <c r="B789" s="2200" t="s">
        <v>5855</v>
      </c>
      <c r="C789" s="2200" t="s">
        <v>5856</v>
      </c>
      <c r="D789" s="2200" t="str">
        <f t="shared" si="36"/>
        <v>IN</v>
      </c>
      <c r="E789" s="2200" t="str">
        <f t="shared" si="37"/>
        <v>18</v>
      </c>
      <c r="F789" s="2200" t="str">
        <f t="shared" si="38"/>
        <v>177</v>
      </c>
      <c r="G789" s="2200">
        <f>--SUBTOTAL(3,C$2:C789)</f>
        <v>67</v>
      </c>
    </row>
    <row r="790" spans="1:7" hidden="1" x14ac:dyDescent="0.15">
      <c r="A790" s="2200" t="s">
        <v>4280</v>
      </c>
      <c r="B790" s="2200" t="s">
        <v>5857</v>
      </c>
      <c r="C790" s="2200" t="s">
        <v>5858</v>
      </c>
      <c r="D790" s="2200" t="str">
        <f t="shared" si="36"/>
        <v>IN</v>
      </c>
      <c r="E790" s="2200" t="str">
        <f t="shared" si="37"/>
        <v>18</v>
      </c>
      <c r="F790" s="2200" t="str">
        <f t="shared" si="38"/>
        <v>179</v>
      </c>
      <c r="G790" s="2200">
        <f>--SUBTOTAL(3,C$2:C790)</f>
        <v>67</v>
      </c>
    </row>
    <row r="791" spans="1:7" hidden="1" x14ac:dyDescent="0.15">
      <c r="A791" s="2200" t="s">
        <v>4280</v>
      </c>
      <c r="B791" s="2200" t="s">
        <v>5859</v>
      </c>
      <c r="C791" s="2200" t="s">
        <v>5860</v>
      </c>
      <c r="D791" s="2200" t="str">
        <f t="shared" si="36"/>
        <v>IN</v>
      </c>
      <c r="E791" s="2200" t="str">
        <f t="shared" si="37"/>
        <v>18</v>
      </c>
      <c r="F791" s="2200" t="str">
        <f t="shared" si="38"/>
        <v>181</v>
      </c>
      <c r="G791" s="2200">
        <f>--SUBTOTAL(3,C$2:C791)</f>
        <v>67</v>
      </c>
    </row>
    <row r="792" spans="1:7" hidden="1" x14ac:dyDescent="0.15">
      <c r="A792" s="2200" t="s">
        <v>4280</v>
      </c>
      <c r="B792" s="2200" t="s">
        <v>5861</v>
      </c>
      <c r="C792" s="2200" t="s">
        <v>5862</v>
      </c>
      <c r="D792" s="2200" t="str">
        <f t="shared" si="36"/>
        <v>IN</v>
      </c>
      <c r="E792" s="2200" t="str">
        <f t="shared" si="37"/>
        <v>18</v>
      </c>
      <c r="F792" s="2200" t="str">
        <f t="shared" si="38"/>
        <v>183</v>
      </c>
      <c r="G792" s="2200">
        <f>--SUBTOTAL(3,C$2:C792)</f>
        <v>67</v>
      </c>
    </row>
    <row r="793" spans="1:7" hidden="1" x14ac:dyDescent="0.15">
      <c r="A793" s="2200" t="s">
        <v>4280</v>
      </c>
      <c r="B793" s="2200" t="s">
        <v>5863</v>
      </c>
      <c r="C793" s="2200" t="s">
        <v>5864</v>
      </c>
      <c r="D793" s="2200" t="str">
        <f t="shared" si="36"/>
        <v>IA</v>
      </c>
      <c r="E793" s="2200" t="str">
        <f t="shared" si="37"/>
        <v>19</v>
      </c>
      <c r="F793" s="2200" t="str">
        <f t="shared" si="38"/>
        <v>001</v>
      </c>
      <c r="G793" s="2200">
        <f>--SUBTOTAL(3,C$2:C793)</f>
        <v>67</v>
      </c>
    </row>
    <row r="794" spans="1:7" hidden="1" x14ac:dyDescent="0.15">
      <c r="A794" s="2200" t="s">
        <v>4280</v>
      </c>
      <c r="B794" s="2200" t="s">
        <v>5865</v>
      </c>
      <c r="C794" s="2200" t="s">
        <v>5866</v>
      </c>
      <c r="D794" s="2200" t="str">
        <f t="shared" si="36"/>
        <v>IA</v>
      </c>
      <c r="E794" s="2200" t="str">
        <f t="shared" si="37"/>
        <v>19</v>
      </c>
      <c r="F794" s="2200" t="str">
        <f t="shared" si="38"/>
        <v>003</v>
      </c>
      <c r="G794" s="2200">
        <f>--SUBTOTAL(3,C$2:C794)</f>
        <v>67</v>
      </c>
    </row>
    <row r="795" spans="1:7" hidden="1" x14ac:dyDescent="0.15">
      <c r="A795" s="2200" t="s">
        <v>4280</v>
      </c>
      <c r="B795" s="2200" t="s">
        <v>5867</v>
      </c>
      <c r="C795" s="2200" t="s">
        <v>5868</v>
      </c>
      <c r="D795" s="2200" t="str">
        <f t="shared" si="36"/>
        <v>IA</v>
      </c>
      <c r="E795" s="2200" t="str">
        <f t="shared" si="37"/>
        <v>19</v>
      </c>
      <c r="F795" s="2200" t="str">
        <f t="shared" si="38"/>
        <v>005</v>
      </c>
      <c r="G795" s="2200">
        <f>--SUBTOTAL(3,C$2:C795)</f>
        <v>67</v>
      </c>
    </row>
    <row r="796" spans="1:7" hidden="1" x14ac:dyDescent="0.15">
      <c r="A796" s="2200" t="s">
        <v>4280</v>
      </c>
      <c r="B796" s="2200" t="s">
        <v>5869</v>
      </c>
      <c r="C796" s="2200" t="s">
        <v>5870</v>
      </c>
      <c r="D796" s="2200" t="str">
        <f t="shared" si="36"/>
        <v>IA</v>
      </c>
      <c r="E796" s="2200" t="str">
        <f t="shared" si="37"/>
        <v>19</v>
      </c>
      <c r="F796" s="2200" t="str">
        <f t="shared" si="38"/>
        <v>007</v>
      </c>
      <c r="G796" s="2200">
        <f>--SUBTOTAL(3,C$2:C796)</f>
        <v>67</v>
      </c>
    </row>
    <row r="797" spans="1:7" hidden="1" x14ac:dyDescent="0.15">
      <c r="A797" s="2200" t="s">
        <v>4280</v>
      </c>
      <c r="B797" s="2200" t="s">
        <v>5871</v>
      </c>
      <c r="C797" s="2200" t="s">
        <v>5872</v>
      </c>
      <c r="D797" s="2200" t="str">
        <f t="shared" si="36"/>
        <v>IA</v>
      </c>
      <c r="E797" s="2200" t="str">
        <f t="shared" si="37"/>
        <v>19</v>
      </c>
      <c r="F797" s="2200" t="str">
        <f t="shared" si="38"/>
        <v>009</v>
      </c>
      <c r="G797" s="2200">
        <f>--SUBTOTAL(3,C$2:C797)</f>
        <v>67</v>
      </c>
    </row>
    <row r="798" spans="1:7" hidden="1" x14ac:dyDescent="0.15">
      <c r="A798" s="2200" t="s">
        <v>4280</v>
      </c>
      <c r="B798" s="2200" t="s">
        <v>5873</v>
      </c>
      <c r="C798" s="2200" t="s">
        <v>5874</v>
      </c>
      <c r="D798" s="2200" t="str">
        <f t="shared" si="36"/>
        <v>IA</v>
      </c>
      <c r="E798" s="2200" t="str">
        <f t="shared" si="37"/>
        <v>19</v>
      </c>
      <c r="F798" s="2200" t="str">
        <f t="shared" si="38"/>
        <v>011</v>
      </c>
      <c r="G798" s="2200">
        <f>--SUBTOTAL(3,C$2:C798)</f>
        <v>67</v>
      </c>
    </row>
    <row r="799" spans="1:7" hidden="1" x14ac:dyDescent="0.15">
      <c r="A799" s="2200" t="s">
        <v>4280</v>
      </c>
      <c r="B799" s="2200" t="s">
        <v>5875</v>
      </c>
      <c r="C799" s="2200" t="s">
        <v>5876</v>
      </c>
      <c r="D799" s="2200" t="str">
        <f t="shared" si="36"/>
        <v>IA</v>
      </c>
      <c r="E799" s="2200" t="str">
        <f t="shared" si="37"/>
        <v>19</v>
      </c>
      <c r="F799" s="2200" t="str">
        <f t="shared" si="38"/>
        <v>013</v>
      </c>
      <c r="G799" s="2200">
        <f>--SUBTOTAL(3,C$2:C799)</f>
        <v>67</v>
      </c>
    </row>
    <row r="800" spans="1:7" hidden="1" x14ac:dyDescent="0.15">
      <c r="A800" s="2200" t="s">
        <v>4280</v>
      </c>
      <c r="B800" s="2200" t="s">
        <v>5877</v>
      </c>
      <c r="C800" s="2200" t="s">
        <v>5878</v>
      </c>
      <c r="D800" s="2200" t="str">
        <f t="shared" si="36"/>
        <v>IA</v>
      </c>
      <c r="E800" s="2200" t="str">
        <f t="shared" si="37"/>
        <v>19</v>
      </c>
      <c r="F800" s="2200" t="str">
        <f t="shared" si="38"/>
        <v>015</v>
      </c>
      <c r="G800" s="2200">
        <f>--SUBTOTAL(3,C$2:C800)</f>
        <v>67</v>
      </c>
    </row>
    <row r="801" spans="1:7" hidden="1" x14ac:dyDescent="0.15">
      <c r="A801" s="2200" t="s">
        <v>4280</v>
      </c>
      <c r="B801" s="2200" t="s">
        <v>5879</v>
      </c>
      <c r="C801" s="2200" t="s">
        <v>5880</v>
      </c>
      <c r="D801" s="2200" t="str">
        <f t="shared" si="36"/>
        <v>IA</v>
      </c>
      <c r="E801" s="2200" t="str">
        <f t="shared" si="37"/>
        <v>19</v>
      </c>
      <c r="F801" s="2200" t="str">
        <f t="shared" si="38"/>
        <v>017</v>
      </c>
      <c r="G801" s="2200">
        <f>--SUBTOTAL(3,C$2:C801)</f>
        <v>67</v>
      </c>
    </row>
    <row r="802" spans="1:7" hidden="1" x14ac:dyDescent="0.15">
      <c r="A802" s="2200" t="s">
        <v>4280</v>
      </c>
      <c r="B802" s="2200" t="s">
        <v>5881</v>
      </c>
      <c r="C802" s="2200" t="s">
        <v>5882</v>
      </c>
      <c r="D802" s="2200" t="str">
        <f t="shared" si="36"/>
        <v>IA</v>
      </c>
      <c r="E802" s="2200" t="str">
        <f t="shared" si="37"/>
        <v>19</v>
      </c>
      <c r="F802" s="2200" t="str">
        <f t="shared" si="38"/>
        <v>019</v>
      </c>
      <c r="G802" s="2200">
        <f>--SUBTOTAL(3,C$2:C802)</f>
        <v>67</v>
      </c>
    </row>
    <row r="803" spans="1:7" hidden="1" x14ac:dyDescent="0.15">
      <c r="A803" s="2200" t="s">
        <v>4280</v>
      </c>
      <c r="B803" s="2200" t="s">
        <v>5883</v>
      </c>
      <c r="C803" s="2200" t="s">
        <v>5884</v>
      </c>
      <c r="D803" s="2200" t="str">
        <f t="shared" si="36"/>
        <v>IA</v>
      </c>
      <c r="E803" s="2200" t="str">
        <f t="shared" si="37"/>
        <v>19</v>
      </c>
      <c r="F803" s="2200" t="str">
        <f t="shared" si="38"/>
        <v>021</v>
      </c>
      <c r="G803" s="2200">
        <f>--SUBTOTAL(3,C$2:C803)</f>
        <v>67</v>
      </c>
    </row>
    <row r="804" spans="1:7" hidden="1" x14ac:dyDescent="0.15">
      <c r="A804" s="2200" t="s">
        <v>4280</v>
      </c>
      <c r="B804" s="2200" t="s">
        <v>5885</v>
      </c>
      <c r="C804" s="2200" t="s">
        <v>5886</v>
      </c>
      <c r="D804" s="2200" t="str">
        <f t="shared" si="36"/>
        <v>IA</v>
      </c>
      <c r="E804" s="2200" t="str">
        <f t="shared" si="37"/>
        <v>19</v>
      </c>
      <c r="F804" s="2200" t="str">
        <f t="shared" si="38"/>
        <v>023</v>
      </c>
      <c r="G804" s="2200">
        <f>--SUBTOTAL(3,C$2:C804)</f>
        <v>67</v>
      </c>
    </row>
    <row r="805" spans="1:7" hidden="1" x14ac:dyDescent="0.15">
      <c r="A805" s="2200" t="s">
        <v>4280</v>
      </c>
      <c r="B805" s="2200" t="s">
        <v>5887</v>
      </c>
      <c r="C805" s="2200" t="s">
        <v>5888</v>
      </c>
      <c r="D805" s="2200" t="str">
        <f t="shared" si="36"/>
        <v>IA</v>
      </c>
      <c r="E805" s="2200" t="str">
        <f t="shared" si="37"/>
        <v>19</v>
      </c>
      <c r="F805" s="2200" t="str">
        <f t="shared" si="38"/>
        <v>025</v>
      </c>
      <c r="G805" s="2200">
        <f>--SUBTOTAL(3,C$2:C805)</f>
        <v>67</v>
      </c>
    </row>
    <row r="806" spans="1:7" hidden="1" x14ac:dyDescent="0.15">
      <c r="A806" s="2200" t="s">
        <v>4280</v>
      </c>
      <c r="B806" s="2200" t="s">
        <v>5889</v>
      </c>
      <c r="C806" s="2200" t="s">
        <v>5890</v>
      </c>
      <c r="D806" s="2200" t="str">
        <f t="shared" si="36"/>
        <v>IA</v>
      </c>
      <c r="E806" s="2200" t="str">
        <f t="shared" si="37"/>
        <v>19</v>
      </c>
      <c r="F806" s="2200" t="str">
        <f t="shared" si="38"/>
        <v>027</v>
      </c>
      <c r="G806" s="2200">
        <f>--SUBTOTAL(3,C$2:C806)</f>
        <v>67</v>
      </c>
    </row>
    <row r="807" spans="1:7" hidden="1" x14ac:dyDescent="0.15">
      <c r="A807" s="2200" t="s">
        <v>4280</v>
      </c>
      <c r="B807" s="2200" t="s">
        <v>5891</v>
      </c>
      <c r="C807" s="2200" t="s">
        <v>5892</v>
      </c>
      <c r="D807" s="2200" t="str">
        <f t="shared" si="36"/>
        <v>IA</v>
      </c>
      <c r="E807" s="2200" t="str">
        <f t="shared" si="37"/>
        <v>19</v>
      </c>
      <c r="F807" s="2200" t="str">
        <f t="shared" si="38"/>
        <v>029</v>
      </c>
      <c r="G807" s="2200">
        <f>--SUBTOTAL(3,C$2:C807)</f>
        <v>67</v>
      </c>
    </row>
    <row r="808" spans="1:7" hidden="1" x14ac:dyDescent="0.15">
      <c r="A808" s="2200" t="s">
        <v>4280</v>
      </c>
      <c r="B808" s="2200" t="s">
        <v>5893</v>
      </c>
      <c r="C808" s="2200" t="s">
        <v>5894</v>
      </c>
      <c r="D808" s="2200" t="str">
        <f t="shared" si="36"/>
        <v>IA</v>
      </c>
      <c r="E808" s="2200" t="str">
        <f t="shared" si="37"/>
        <v>19</v>
      </c>
      <c r="F808" s="2200" t="str">
        <f t="shared" si="38"/>
        <v>031</v>
      </c>
      <c r="G808" s="2200">
        <f>--SUBTOTAL(3,C$2:C808)</f>
        <v>67</v>
      </c>
    </row>
    <row r="809" spans="1:7" hidden="1" x14ac:dyDescent="0.15">
      <c r="A809" s="2200" t="s">
        <v>4280</v>
      </c>
      <c r="B809" s="2200" t="s">
        <v>5895</v>
      </c>
      <c r="C809" s="2200" t="s">
        <v>5896</v>
      </c>
      <c r="D809" s="2200" t="str">
        <f t="shared" si="36"/>
        <v>IA</v>
      </c>
      <c r="E809" s="2200" t="str">
        <f t="shared" si="37"/>
        <v>19</v>
      </c>
      <c r="F809" s="2200" t="str">
        <f t="shared" si="38"/>
        <v>033</v>
      </c>
      <c r="G809" s="2200">
        <f>--SUBTOTAL(3,C$2:C809)</f>
        <v>67</v>
      </c>
    </row>
    <row r="810" spans="1:7" hidden="1" x14ac:dyDescent="0.15">
      <c r="A810" s="2200" t="s">
        <v>4280</v>
      </c>
      <c r="B810" s="2200" t="s">
        <v>5897</v>
      </c>
      <c r="C810" s="2200" t="s">
        <v>5898</v>
      </c>
      <c r="D810" s="2200" t="str">
        <f t="shared" si="36"/>
        <v>IA</v>
      </c>
      <c r="E810" s="2200" t="str">
        <f t="shared" si="37"/>
        <v>19</v>
      </c>
      <c r="F810" s="2200" t="str">
        <f t="shared" si="38"/>
        <v>035</v>
      </c>
      <c r="G810" s="2200">
        <f>--SUBTOTAL(3,C$2:C810)</f>
        <v>67</v>
      </c>
    </row>
    <row r="811" spans="1:7" hidden="1" x14ac:dyDescent="0.15">
      <c r="A811" s="2200" t="s">
        <v>4280</v>
      </c>
      <c r="B811" s="2200" t="s">
        <v>5899</v>
      </c>
      <c r="C811" s="2200" t="s">
        <v>5900</v>
      </c>
      <c r="D811" s="2200" t="str">
        <f t="shared" si="36"/>
        <v>IA</v>
      </c>
      <c r="E811" s="2200" t="str">
        <f t="shared" si="37"/>
        <v>19</v>
      </c>
      <c r="F811" s="2200" t="str">
        <f t="shared" si="38"/>
        <v>037</v>
      </c>
      <c r="G811" s="2200">
        <f>--SUBTOTAL(3,C$2:C811)</f>
        <v>67</v>
      </c>
    </row>
    <row r="812" spans="1:7" hidden="1" x14ac:dyDescent="0.15">
      <c r="A812" s="2200" t="s">
        <v>4280</v>
      </c>
      <c r="B812" s="2200" t="s">
        <v>5901</v>
      </c>
      <c r="C812" s="2200" t="s">
        <v>5902</v>
      </c>
      <c r="D812" s="2200" t="str">
        <f t="shared" si="36"/>
        <v>IA</v>
      </c>
      <c r="E812" s="2200" t="str">
        <f t="shared" si="37"/>
        <v>19</v>
      </c>
      <c r="F812" s="2200" t="str">
        <f t="shared" si="38"/>
        <v>039</v>
      </c>
      <c r="G812" s="2200">
        <f>--SUBTOTAL(3,C$2:C812)</f>
        <v>67</v>
      </c>
    </row>
    <row r="813" spans="1:7" hidden="1" x14ac:dyDescent="0.15">
      <c r="A813" s="2200" t="s">
        <v>4280</v>
      </c>
      <c r="B813" s="2200" t="s">
        <v>5903</v>
      </c>
      <c r="C813" s="2200" t="s">
        <v>5904</v>
      </c>
      <c r="D813" s="2200" t="str">
        <f t="shared" si="36"/>
        <v>IA</v>
      </c>
      <c r="E813" s="2200" t="str">
        <f t="shared" si="37"/>
        <v>19</v>
      </c>
      <c r="F813" s="2200" t="str">
        <f t="shared" si="38"/>
        <v>041</v>
      </c>
      <c r="G813" s="2200">
        <f>--SUBTOTAL(3,C$2:C813)</f>
        <v>67</v>
      </c>
    </row>
    <row r="814" spans="1:7" hidden="1" x14ac:dyDescent="0.15">
      <c r="A814" s="2200" t="s">
        <v>4280</v>
      </c>
      <c r="B814" s="2200" t="s">
        <v>5905</v>
      </c>
      <c r="C814" s="2200" t="s">
        <v>5906</v>
      </c>
      <c r="D814" s="2200" t="str">
        <f t="shared" si="36"/>
        <v>IA</v>
      </c>
      <c r="E814" s="2200" t="str">
        <f t="shared" si="37"/>
        <v>19</v>
      </c>
      <c r="F814" s="2200" t="str">
        <f t="shared" si="38"/>
        <v>043</v>
      </c>
      <c r="G814" s="2200">
        <f>--SUBTOTAL(3,C$2:C814)</f>
        <v>67</v>
      </c>
    </row>
    <row r="815" spans="1:7" hidden="1" x14ac:dyDescent="0.15">
      <c r="A815" s="2200" t="s">
        <v>4280</v>
      </c>
      <c r="B815" s="2200" t="s">
        <v>5907</v>
      </c>
      <c r="C815" s="2200" t="s">
        <v>5908</v>
      </c>
      <c r="D815" s="2200" t="str">
        <f t="shared" si="36"/>
        <v>IA</v>
      </c>
      <c r="E815" s="2200" t="str">
        <f t="shared" si="37"/>
        <v>19</v>
      </c>
      <c r="F815" s="2200" t="str">
        <f t="shared" si="38"/>
        <v>045</v>
      </c>
      <c r="G815" s="2200">
        <f>--SUBTOTAL(3,C$2:C815)</f>
        <v>67</v>
      </c>
    </row>
    <row r="816" spans="1:7" hidden="1" x14ac:dyDescent="0.15">
      <c r="A816" s="2200" t="s">
        <v>4280</v>
      </c>
      <c r="B816" s="2200" t="s">
        <v>5909</v>
      </c>
      <c r="C816" s="2200" t="s">
        <v>5910</v>
      </c>
      <c r="D816" s="2200" t="str">
        <f t="shared" si="36"/>
        <v>IA</v>
      </c>
      <c r="E816" s="2200" t="str">
        <f t="shared" si="37"/>
        <v>19</v>
      </c>
      <c r="F816" s="2200" t="str">
        <f t="shared" si="38"/>
        <v>047</v>
      </c>
      <c r="G816" s="2200">
        <f>--SUBTOTAL(3,C$2:C816)</f>
        <v>67</v>
      </c>
    </row>
    <row r="817" spans="1:7" hidden="1" x14ac:dyDescent="0.15">
      <c r="A817" s="2200" t="s">
        <v>4280</v>
      </c>
      <c r="B817" s="2200" t="s">
        <v>5911</v>
      </c>
      <c r="C817" s="2200" t="s">
        <v>5912</v>
      </c>
      <c r="D817" s="2200" t="str">
        <f t="shared" si="36"/>
        <v>IA</v>
      </c>
      <c r="E817" s="2200" t="str">
        <f t="shared" si="37"/>
        <v>19</v>
      </c>
      <c r="F817" s="2200" t="str">
        <f t="shared" si="38"/>
        <v>049</v>
      </c>
      <c r="G817" s="2200">
        <f>--SUBTOTAL(3,C$2:C817)</f>
        <v>67</v>
      </c>
    </row>
    <row r="818" spans="1:7" hidden="1" x14ac:dyDescent="0.15">
      <c r="A818" s="2200" t="s">
        <v>4280</v>
      </c>
      <c r="B818" s="2200" t="s">
        <v>5913</v>
      </c>
      <c r="C818" s="2200" t="s">
        <v>5914</v>
      </c>
      <c r="D818" s="2200" t="str">
        <f t="shared" si="36"/>
        <v>IA</v>
      </c>
      <c r="E818" s="2200" t="str">
        <f t="shared" si="37"/>
        <v>19</v>
      </c>
      <c r="F818" s="2200" t="str">
        <f t="shared" si="38"/>
        <v>051</v>
      </c>
      <c r="G818" s="2200">
        <f>--SUBTOTAL(3,C$2:C818)</f>
        <v>67</v>
      </c>
    </row>
    <row r="819" spans="1:7" hidden="1" x14ac:dyDescent="0.15">
      <c r="A819" s="2200" t="s">
        <v>4280</v>
      </c>
      <c r="B819" s="2200" t="s">
        <v>5915</v>
      </c>
      <c r="C819" s="2200" t="s">
        <v>5916</v>
      </c>
      <c r="D819" s="2200" t="str">
        <f t="shared" si="36"/>
        <v>IA</v>
      </c>
      <c r="E819" s="2200" t="str">
        <f t="shared" si="37"/>
        <v>19</v>
      </c>
      <c r="F819" s="2200" t="str">
        <f t="shared" si="38"/>
        <v>053</v>
      </c>
      <c r="G819" s="2200">
        <f>--SUBTOTAL(3,C$2:C819)</f>
        <v>67</v>
      </c>
    </row>
    <row r="820" spans="1:7" hidden="1" x14ac:dyDescent="0.15">
      <c r="A820" s="2200" t="s">
        <v>4280</v>
      </c>
      <c r="B820" s="2200" t="s">
        <v>5917</v>
      </c>
      <c r="C820" s="2200" t="s">
        <v>5918</v>
      </c>
      <c r="D820" s="2200" t="str">
        <f t="shared" si="36"/>
        <v>IA</v>
      </c>
      <c r="E820" s="2200" t="str">
        <f t="shared" si="37"/>
        <v>19</v>
      </c>
      <c r="F820" s="2200" t="str">
        <f t="shared" si="38"/>
        <v>055</v>
      </c>
      <c r="G820" s="2200">
        <f>--SUBTOTAL(3,C$2:C820)</f>
        <v>67</v>
      </c>
    </row>
    <row r="821" spans="1:7" hidden="1" x14ac:dyDescent="0.15">
      <c r="A821" s="2200" t="s">
        <v>4280</v>
      </c>
      <c r="B821" s="2200" t="s">
        <v>5919</v>
      </c>
      <c r="C821" s="2200" t="s">
        <v>5920</v>
      </c>
      <c r="D821" s="2200" t="str">
        <f t="shared" si="36"/>
        <v>IA</v>
      </c>
      <c r="E821" s="2200" t="str">
        <f t="shared" si="37"/>
        <v>19</v>
      </c>
      <c r="F821" s="2200" t="str">
        <f t="shared" si="38"/>
        <v>057</v>
      </c>
      <c r="G821" s="2200">
        <f>--SUBTOTAL(3,C$2:C821)</f>
        <v>67</v>
      </c>
    </row>
    <row r="822" spans="1:7" hidden="1" x14ac:dyDescent="0.15">
      <c r="A822" s="2200" t="s">
        <v>4280</v>
      </c>
      <c r="B822" s="2200" t="s">
        <v>5921</v>
      </c>
      <c r="C822" s="2200" t="s">
        <v>5922</v>
      </c>
      <c r="D822" s="2200" t="str">
        <f t="shared" si="36"/>
        <v>IA</v>
      </c>
      <c r="E822" s="2200" t="str">
        <f t="shared" si="37"/>
        <v>19</v>
      </c>
      <c r="F822" s="2200" t="str">
        <f t="shared" si="38"/>
        <v>059</v>
      </c>
      <c r="G822" s="2200">
        <f>--SUBTOTAL(3,C$2:C822)</f>
        <v>67</v>
      </c>
    </row>
    <row r="823" spans="1:7" hidden="1" x14ac:dyDescent="0.15">
      <c r="A823" s="2200" t="s">
        <v>4280</v>
      </c>
      <c r="B823" s="2200" t="s">
        <v>5923</v>
      </c>
      <c r="C823" s="2200" t="s">
        <v>5924</v>
      </c>
      <c r="D823" s="2200" t="str">
        <f t="shared" si="36"/>
        <v>IA</v>
      </c>
      <c r="E823" s="2200" t="str">
        <f t="shared" si="37"/>
        <v>19</v>
      </c>
      <c r="F823" s="2200" t="str">
        <f t="shared" si="38"/>
        <v>061</v>
      </c>
      <c r="G823" s="2200">
        <f>--SUBTOTAL(3,C$2:C823)</f>
        <v>67</v>
      </c>
    </row>
    <row r="824" spans="1:7" hidden="1" x14ac:dyDescent="0.15">
      <c r="A824" s="2200" t="s">
        <v>4280</v>
      </c>
      <c r="B824" s="2200" t="s">
        <v>5925</v>
      </c>
      <c r="C824" s="2200" t="s">
        <v>5926</v>
      </c>
      <c r="D824" s="2200" t="str">
        <f t="shared" si="36"/>
        <v>IA</v>
      </c>
      <c r="E824" s="2200" t="str">
        <f t="shared" si="37"/>
        <v>19</v>
      </c>
      <c r="F824" s="2200" t="str">
        <f t="shared" si="38"/>
        <v>063</v>
      </c>
      <c r="G824" s="2200">
        <f>--SUBTOTAL(3,C$2:C824)</f>
        <v>67</v>
      </c>
    </row>
    <row r="825" spans="1:7" hidden="1" x14ac:dyDescent="0.15">
      <c r="A825" s="2200" t="s">
        <v>4280</v>
      </c>
      <c r="B825" s="2200" t="s">
        <v>5927</v>
      </c>
      <c r="C825" s="2200" t="s">
        <v>5928</v>
      </c>
      <c r="D825" s="2200" t="str">
        <f t="shared" si="36"/>
        <v>IA</v>
      </c>
      <c r="E825" s="2200" t="str">
        <f t="shared" si="37"/>
        <v>19</v>
      </c>
      <c r="F825" s="2200" t="str">
        <f t="shared" si="38"/>
        <v>065</v>
      </c>
      <c r="G825" s="2200">
        <f>--SUBTOTAL(3,C$2:C825)</f>
        <v>67</v>
      </c>
    </row>
    <row r="826" spans="1:7" hidden="1" x14ac:dyDescent="0.15">
      <c r="A826" s="2200" t="s">
        <v>4280</v>
      </c>
      <c r="B826" s="2200" t="s">
        <v>5929</v>
      </c>
      <c r="C826" s="2200" t="s">
        <v>5930</v>
      </c>
      <c r="D826" s="2200" t="str">
        <f t="shared" si="36"/>
        <v>IA</v>
      </c>
      <c r="E826" s="2200" t="str">
        <f t="shared" si="37"/>
        <v>19</v>
      </c>
      <c r="F826" s="2200" t="str">
        <f t="shared" si="38"/>
        <v>067</v>
      </c>
      <c r="G826" s="2200">
        <f>--SUBTOTAL(3,C$2:C826)</f>
        <v>67</v>
      </c>
    </row>
    <row r="827" spans="1:7" hidden="1" x14ac:dyDescent="0.15">
      <c r="A827" s="2200" t="s">
        <v>4280</v>
      </c>
      <c r="B827" s="2200" t="s">
        <v>5931</v>
      </c>
      <c r="C827" s="2200" t="s">
        <v>5932</v>
      </c>
      <c r="D827" s="2200" t="str">
        <f t="shared" si="36"/>
        <v>IA</v>
      </c>
      <c r="E827" s="2200" t="str">
        <f t="shared" si="37"/>
        <v>19</v>
      </c>
      <c r="F827" s="2200" t="str">
        <f t="shared" si="38"/>
        <v>069</v>
      </c>
      <c r="G827" s="2200">
        <f>--SUBTOTAL(3,C$2:C827)</f>
        <v>67</v>
      </c>
    </row>
    <row r="828" spans="1:7" hidden="1" x14ac:dyDescent="0.15">
      <c r="A828" s="2200" t="s">
        <v>4280</v>
      </c>
      <c r="B828" s="2200" t="s">
        <v>5933</v>
      </c>
      <c r="C828" s="2200" t="s">
        <v>5934</v>
      </c>
      <c r="D828" s="2200" t="str">
        <f t="shared" si="36"/>
        <v>IA</v>
      </c>
      <c r="E828" s="2200" t="str">
        <f t="shared" si="37"/>
        <v>19</v>
      </c>
      <c r="F828" s="2200" t="str">
        <f t="shared" si="38"/>
        <v>071</v>
      </c>
      <c r="G828" s="2200">
        <f>--SUBTOTAL(3,C$2:C828)</f>
        <v>67</v>
      </c>
    </row>
    <row r="829" spans="1:7" hidden="1" x14ac:dyDescent="0.15">
      <c r="A829" s="2200" t="s">
        <v>4280</v>
      </c>
      <c r="B829" s="2200" t="s">
        <v>5935</v>
      </c>
      <c r="C829" s="2200" t="s">
        <v>5936</v>
      </c>
      <c r="D829" s="2200" t="str">
        <f t="shared" si="36"/>
        <v>IA</v>
      </c>
      <c r="E829" s="2200" t="str">
        <f t="shared" si="37"/>
        <v>19</v>
      </c>
      <c r="F829" s="2200" t="str">
        <f t="shared" si="38"/>
        <v>073</v>
      </c>
      <c r="G829" s="2200">
        <f>--SUBTOTAL(3,C$2:C829)</f>
        <v>67</v>
      </c>
    </row>
    <row r="830" spans="1:7" hidden="1" x14ac:dyDescent="0.15">
      <c r="A830" s="2200" t="s">
        <v>4280</v>
      </c>
      <c r="B830" s="2200" t="s">
        <v>5937</v>
      </c>
      <c r="C830" s="2200" t="s">
        <v>5938</v>
      </c>
      <c r="D830" s="2200" t="str">
        <f t="shared" si="36"/>
        <v>IA</v>
      </c>
      <c r="E830" s="2200" t="str">
        <f t="shared" si="37"/>
        <v>19</v>
      </c>
      <c r="F830" s="2200" t="str">
        <f t="shared" si="38"/>
        <v>075</v>
      </c>
      <c r="G830" s="2200">
        <f>--SUBTOTAL(3,C$2:C830)</f>
        <v>67</v>
      </c>
    </row>
    <row r="831" spans="1:7" hidden="1" x14ac:dyDescent="0.15">
      <c r="A831" s="2200" t="s">
        <v>4280</v>
      </c>
      <c r="B831" s="2200" t="s">
        <v>5939</v>
      </c>
      <c r="C831" s="2200" t="s">
        <v>5940</v>
      </c>
      <c r="D831" s="2200" t="str">
        <f t="shared" si="36"/>
        <v>IA</v>
      </c>
      <c r="E831" s="2200" t="str">
        <f t="shared" si="37"/>
        <v>19</v>
      </c>
      <c r="F831" s="2200" t="str">
        <f t="shared" si="38"/>
        <v>077</v>
      </c>
      <c r="G831" s="2200">
        <f>--SUBTOTAL(3,C$2:C831)</f>
        <v>67</v>
      </c>
    </row>
    <row r="832" spans="1:7" hidden="1" x14ac:dyDescent="0.15">
      <c r="A832" s="2200" t="s">
        <v>4280</v>
      </c>
      <c r="B832" s="2200" t="s">
        <v>5941</v>
      </c>
      <c r="C832" s="2200" t="s">
        <v>5942</v>
      </c>
      <c r="D832" s="2200" t="str">
        <f t="shared" si="36"/>
        <v>IA</v>
      </c>
      <c r="E832" s="2200" t="str">
        <f t="shared" si="37"/>
        <v>19</v>
      </c>
      <c r="F832" s="2200" t="str">
        <f t="shared" si="38"/>
        <v>079</v>
      </c>
      <c r="G832" s="2200">
        <f>--SUBTOTAL(3,C$2:C832)</f>
        <v>67</v>
      </c>
    </row>
    <row r="833" spans="1:7" hidden="1" x14ac:dyDescent="0.15">
      <c r="A833" s="2200" t="s">
        <v>4280</v>
      </c>
      <c r="B833" s="2200" t="s">
        <v>5943</v>
      </c>
      <c r="C833" s="2200" t="s">
        <v>5944</v>
      </c>
      <c r="D833" s="2200" t="str">
        <f t="shared" si="36"/>
        <v>IA</v>
      </c>
      <c r="E833" s="2200" t="str">
        <f t="shared" si="37"/>
        <v>19</v>
      </c>
      <c r="F833" s="2200" t="str">
        <f t="shared" si="38"/>
        <v>081</v>
      </c>
      <c r="G833" s="2200">
        <f>--SUBTOTAL(3,C$2:C833)</f>
        <v>67</v>
      </c>
    </row>
    <row r="834" spans="1:7" hidden="1" x14ac:dyDescent="0.15">
      <c r="A834" s="2200" t="s">
        <v>4280</v>
      </c>
      <c r="B834" s="2200" t="s">
        <v>5945</v>
      </c>
      <c r="C834" s="2200" t="s">
        <v>5946</v>
      </c>
      <c r="D834" s="2200" t="str">
        <f t="shared" si="36"/>
        <v>IA</v>
      </c>
      <c r="E834" s="2200" t="str">
        <f t="shared" si="37"/>
        <v>19</v>
      </c>
      <c r="F834" s="2200" t="str">
        <f t="shared" si="38"/>
        <v>083</v>
      </c>
      <c r="G834" s="2200">
        <f>--SUBTOTAL(3,C$2:C834)</f>
        <v>67</v>
      </c>
    </row>
    <row r="835" spans="1:7" hidden="1" x14ac:dyDescent="0.15">
      <c r="A835" s="2200" t="s">
        <v>4280</v>
      </c>
      <c r="B835" s="2200" t="s">
        <v>5947</v>
      </c>
      <c r="C835" s="2200" t="s">
        <v>5948</v>
      </c>
      <c r="D835" s="2200" t="str">
        <f t="shared" ref="D835:D898" si="39">RIGHT(C835,2)</f>
        <v>IA</v>
      </c>
      <c r="E835" s="2200" t="str">
        <f t="shared" ref="E835:E898" si="40">MID(B835,3,2)</f>
        <v>19</v>
      </c>
      <c r="F835" s="2200" t="str">
        <f t="shared" ref="F835:F898" si="41">MID(B835,5,3)</f>
        <v>085</v>
      </c>
      <c r="G835" s="2200">
        <f>--SUBTOTAL(3,C$2:C835)</f>
        <v>67</v>
      </c>
    </row>
    <row r="836" spans="1:7" hidden="1" x14ac:dyDescent="0.15">
      <c r="A836" s="2200" t="s">
        <v>4280</v>
      </c>
      <c r="B836" s="2200" t="s">
        <v>5949</v>
      </c>
      <c r="C836" s="2200" t="s">
        <v>5950</v>
      </c>
      <c r="D836" s="2200" t="str">
        <f t="shared" si="39"/>
        <v>IA</v>
      </c>
      <c r="E836" s="2200" t="str">
        <f t="shared" si="40"/>
        <v>19</v>
      </c>
      <c r="F836" s="2200" t="str">
        <f t="shared" si="41"/>
        <v>087</v>
      </c>
      <c r="G836" s="2200">
        <f>--SUBTOTAL(3,C$2:C836)</f>
        <v>67</v>
      </c>
    </row>
    <row r="837" spans="1:7" hidden="1" x14ac:dyDescent="0.15">
      <c r="A837" s="2200" t="s">
        <v>4280</v>
      </c>
      <c r="B837" s="2200" t="s">
        <v>5951</v>
      </c>
      <c r="C837" s="2200" t="s">
        <v>5952</v>
      </c>
      <c r="D837" s="2200" t="str">
        <f t="shared" si="39"/>
        <v>IA</v>
      </c>
      <c r="E837" s="2200" t="str">
        <f t="shared" si="40"/>
        <v>19</v>
      </c>
      <c r="F837" s="2200" t="str">
        <f t="shared" si="41"/>
        <v>089</v>
      </c>
      <c r="G837" s="2200">
        <f>--SUBTOTAL(3,C$2:C837)</f>
        <v>67</v>
      </c>
    </row>
    <row r="838" spans="1:7" hidden="1" x14ac:dyDescent="0.15">
      <c r="A838" s="2200" t="s">
        <v>4280</v>
      </c>
      <c r="B838" s="2200" t="s">
        <v>5953</v>
      </c>
      <c r="C838" s="2200" t="s">
        <v>5954</v>
      </c>
      <c r="D838" s="2200" t="str">
        <f t="shared" si="39"/>
        <v>IA</v>
      </c>
      <c r="E838" s="2200" t="str">
        <f t="shared" si="40"/>
        <v>19</v>
      </c>
      <c r="F838" s="2200" t="str">
        <f t="shared" si="41"/>
        <v>091</v>
      </c>
      <c r="G838" s="2200">
        <f>--SUBTOTAL(3,C$2:C838)</f>
        <v>67</v>
      </c>
    </row>
    <row r="839" spans="1:7" hidden="1" x14ac:dyDescent="0.15">
      <c r="A839" s="2200" t="s">
        <v>4280</v>
      </c>
      <c r="B839" s="2200" t="s">
        <v>5955</v>
      </c>
      <c r="C839" s="2200" t="s">
        <v>5956</v>
      </c>
      <c r="D839" s="2200" t="str">
        <f t="shared" si="39"/>
        <v>IA</v>
      </c>
      <c r="E839" s="2200" t="str">
        <f t="shared" si="40"/>
        <v>19</v>
      </c>
      <c r="F839" s="2200" t="str">
        <f t="shared" si="41"/>
        <v>093</v>
      </c>
      <c r="G839" s="2200">
        <f>--SUBTOTAL(3,C$2:C839)</f>
        <v>67</v>
      </c>
    </row>
    <row r="840" spans="1:7" hidden="1" x14ac:dyDescent="0.15">
      <c r="A840" s="2200" t="s">
        <v>4280</v>
      </c>
      <c r="B840" s="2200" t="s">
        <v>5957</v>
      </c>
      <c r="C840" s="2200" t="s">
        <v>5958</v>
      </c>
      <c r="D840" s="2200" t="str">
        <f t="shared" si="39"/>
        <v>IA</v>
      </c>
      <c r="E840" s="2200" t="str">
        <f t="shared" si="40"/>
        <v>19</v>
      </c>
      <c r="F840" s="2200" t="str">
        <f t="shared" si="41"/>
        <v>095</v>
      </c>
      <c r="G840" s="2200">
        <f>--SUBTOTAL(3,C$2:C840)</f>
        <v>67</v>
      </c>
    </row>
    <row r="841" spans="1:7" hidden="1" x14ac:dyDescent="0.15">
      <c r="A841" s="2200" t="s">
        <v>4280</v>
      </c>
      <c r="B841" s="2200" t="s">
        <v>5959</v>
      </c>
      <c r="C841" s="2200" t="s">
        <v>5960</v>
      </c>
      <c r="D841" s="2200" t="str">
        <f t="shared" si="39"/>
        <v>IA</v>
      </c>
      <c r="E841" s="2200" t="str">
        <f t="shared" si="40"/>
        <v>19</v>
      </c>
      <c r="F841" s="2200" t="str">
        <f t="shared" si="41"/>
        <v>097</v>
      </c>
      <c r="G841" s="2200">
        <f>--SUBTOTAL(3,C$2:C841)</f>
        <v>67</v>
      </c>
    </row>
    <row r="842" spans="1:7" hidden="1" x14ac:dyDescent="0.15">
      <c r="A842" s="2200" t="s">
        <v>4280</v>
      </c>
      <c r="B842" s="2200" t="s">
        <v>5961</v>
      </c>
      <c r="C842" s="2200" t="s">
        <v>5962</v>
      </c>
      <c r="D842" s="2200" t="str">
        <f t="shared" si="39"/>
        <v>IA</v>
      </c>
      <c r="E842" s="2200" t="str">
        <f t="shared" si="40"/>
        <v>19</v>
      </c>
      <c r="F842" s="2200" t="str">
        <f t="shared" si="41"/>
        <v>099</v>
      </c>
      <c r="G842" s="2200">
        <f>--SUBTOTAL(3,C$2:C842)</f>
        <v>67</v>
      </c>
    </row>
    <row r="843" spans="1:7" hidden="1" x14ac:dyDescent="0.15">
      <c r="A843" s="2200" t="s">
        <v>4280</v>
      </c>
      <c r="B843" s="2200" t="s">
        <v>5963</v>
      </c>
      <c r="C843" s="2200" t="s">
        <v>5964</v>
      </c>
      <c r="D843" s="2200" t="str">
        <f t="shared" si="39"/>
        <v>IA</v>
      </c>
      <c r="E843" s="2200" t="str">
        <f t="shared" si="40"/>
        <v>19</v>
      </c>
      <c r="F843" s="2200" t="str">
        <f t="shared" si="41"/>
        <v>101</v>
      </c>
      <c r="G843" s="2200">
        <f>--SUBTOTAL(3,C$2:C843)</f>
        <v>67</v>
      </c>
    </row>
    <row r="844" spans="1:7" hidden="1" x14ac:dyDescent="0.15">
      <c r="A844" s="2200" t="s">
        <v>4280</v>
      </c>
      <c r="B844" s="2200" t="s">
        <v>5965</v>
      </c>
      <c r="C844" s="2200" t="s">
        <v>5966</v>
      </c>
      <c r="D844" s="2200" t="str">
        <f t="shared" si="39"/>
        <v>IA</v>
      </c>
      <c r="E844" s="2200" t="str">
        <f t="shared" si="40"/>
        <v>19</v>
      </c>
      <c r="F844" s="2200" t="str">
        <f t="shared" si="41"/>
        <v>103</v>
      </c>
      <c r="G844" s="2200">
        <f>--SUBTOTAL(3,C$2:C844)</f>
        <v>67</v>
      </c>
    </row>
    <row r="845" spans="1:7" hidden="1" x14ac:dyDescent="0.15">
      <c r="A845" s="2200" t="s">
        <v>4280</v>
      </c>
      <c r="B845" s="2200" t="s">
        <v>5967</v>
      </c>
      <c r="C845" s="2200" t="s">
        <v>5968</v>
      </c>
      <c r="D845" s="2200" t="str">
        <f t="shared" si="39"/>
        <v>IA</v>
      </c>
      <c r="E845" s="2200" t="str">
        <f t="shared" si="40"/>
        <v>19</v>
      </c>
      <c r="F845" s="2200" t="str">
        <f t="shared" si="41"/>
        <v>105</v>
      </c>
      <c r="G845" s="2200">
        <f>--SUBTOTAL(3,C$2:C845)</f>
        <v>67</v>
      </c>
    </row>
    <row r="846" spans="1:7" hidden="1" x14ac:dyDescent="0.15">
      <c r="A846" s="2200" t="s">
        <v>4280</v>
      </c>
      <c r="B846" s="2200" t="s">
        <v>5969</v>
      </c>
      <c r="C846" s="2200" t="s">
        <v>5970</v>
      </c>
      <c r="D846" s="2200" t="str">
        <f t="shared" si="39"/>
        <v>IA</v>
      </c>
      <c r="E846" s="2200" t="str">
        <f t="shared" si="40"/>
        <v>19</v>
      </c>
      <c r="F846" s="2200" t="str">
        <f t="shared" si="41"/>
        <v>107</v>
      </c>
      <c r="G846" s="2200">
        <f>--SUBTOTAL(3,C$2:C846)</f>
        <v>67</v>
      </c>
    </row>
    <row r="847" spans="1:7" hidden="1" x14ac:dyDescent="0.15">
      <c r="A847" s="2200" t="s">
        <v>4280</v>
      </c>
      <c r="B847" s="2200" t="s">
        <v>5971</v>
      </c>
      <c r="C847" s="2200" t="s">
        <v>5972</v>
      </c>
      <c r="D847" s="2200" t="str">
        <f t="shared" si="39"/>
        <v>IA</v>
      </c>
      <c r="E847" s="2200" t="str">
        <f t="shared" si="40"/>
        <v>19</v>
      </c>
      <c r="F847" s="2200" t="str">
        <f t="shared" si="41"/>
        <v>109</v>
      </c>
      <c r="G847" s="2200">
        <f>--SUBTOTAL(3,C$2:C847)</f>
        <v>67</v>
      </c>
    </row>
    <row r="848" spans="1:7" hidden="1" x14ac:dyDescent="0.15">
      <c r="A848" s="2200" t="s">
        <v>4280</v>
      </c>
      <c r="B848" s="2200" t="s">
        <v>5973</v>
      </c>
      <c r="C848" s="2200" t="s">
        <v>5974</v>
      </c>
      <c r="D848" s="2200" t="str">
        <f t="shared" si="39"/>
        <v>IA</v>
      </c>
      <c r="E848" s="2200" t="str">
        <f t="shared" si="40"/>
        <v>19</v>
      </c>
      <c r="F848" s="2200" t="str">
        <f t="shared" si="41"/>
        <v>111</v>
      </c>
      <c r="G848" s="2200">
        <f>--SUBTOTAL(3,C$2:C848)</f>
        <v>67</v>
      </c>
    </row>
    <row r="849" spans="1:7" hidden="1" x14ac:dyDescent="0.15">
      <c r="A849" s="2200" t="s">
        <v>4280</v>
      </c>
      <c r="B849" s="2200" t="s">
        <v>5975</v>
      </c>
      <c r="C849" s="2200" t="s">
        <v>5976</v>
      </c>
      <c r="D849" s="2200" t="str">
        <f t="shared" si="39"/>
        <v>IA</v>
      </c>
      <c r="E849" s="2200" t="str">
        <f t="shared" si="40"/>
        <v>19</v>
      </c>
      <c r="F849" s="2200" t="str">
        <f t="shared" si="41"/>
        <v>113</v>
      </c>
      <c r="G849" s="2200">
        <f>--SUBTOTAL(3,C$2:C849)</f>
        <v>67</v>
      </c>
    </row>
    <row r="850" spans="1:7" hidden="1" x14ac:dyDescent="0.15">
      <c r="A850" s="2200" t="s">
        <v>4280</v>
      </c>
      <c r="B850" s="2200" t="s">
        <v>5977</v>
      </c>
      <c r="C850" s="2200" t="s">
        <v>5978</v>
      </c>
      <c r="D850" s="2200" t="str">
        <f t="shared" si="39"/>
        <v>IA</v>
      </c>
      <c r="E850" s="2200" t="str">
        <f t="shared" si="40"/>
        <v>19</v>
      </c>
      <c r="F850" s="2200" t="str">
        <f t="shared" si="41"/>
        <v>115</v>
      </c>
      <c r="G850" s="2200">
        <f>--SUBTOTAL(3,C$2:C850)</f>
        <v>67</v>
      </c>
    </row>
    <row r="851" spans="1:7" hidden="1" x14ac:dyDescent="0.15">
      <c r="A851" s="2200" t="s">
        <v>4280</v>
      </c>
      <c r="B851" s="2200" t="s">
        <v>5979</v>
      </c>
      <c r="C851" s="2200" t="s">
        <v>5980</v>
      </c>
      <c r="D851" s="2200" t="str">
        <f t="shared" si="39"/>
        <v>IA</v>
      </c>
      <c r="E851" s="2200" t="str">
        <f t="shared" si="40"/>
        <v>19</v>
      </c>
      <c r="F851" s="2200" t="str">
        <f t="shared" si="41"/>
        <v>117</v>
      </c>
      <c r="G851" s="2200">
        <f>--SUBTOTAL(3,C$2:C851)</f>
        <v>67</v>
      </c>
    </row>
    <row r="852" spans="1:7" hidden="1" x14ac:dyDescent="0.15">
      <c r="A852" s="2200" t="s">
        <v>4280</v>
      </c>
      <c r="B852" s="2200" t="s">
        <v>5981</v>
      </c>
      <c r="C852" s="2200" t="s">
        <v>5982</v>
      </c>
      <c r="D852" s="2200" t="str">
        <f t="shared" si="39"/>
        <v>IA</v>
      </c>
      <c r="E852" s="2200" t="str">
        <f t="shared" si="40"/>
        <v>19</v>
      </c>
      <c r="F852" s="2200" t="str">
        <f t="shared" si="41"/>
        <v>119</v>
      </c>
      <c r="G852" s="2200">
        <f>--SUBTOTAL(3,C$2:C852)</f>
        <v>67</v>
      </c>
    </row>
    <row r="853" spans="1:7" hidden="1" x14ac:dyDescent="0.15">
      <c r="A853" s="2200" t="s">
        <v>4280</v>
      </c>
      <c r="B853" s="2200" t="s">
        <v>5983</v>
      </c>
      <c r="C853" s="2200" t="s">
        <v>5984</v>
      </c>
      <c r="D853" s="2200" t="str">
        <f t="shared" si="39"/>
        <v>IA</v>
      </c>
      <c r="E853" s="2200" t="str">
        <f t="shared" si="40"/>
        <v>19</v>
      </c>
      <c r="F853" s="2200" t="str">
        <f t="shared" si="41"/>
        <v>121</v>
      </c>
      <c r="G853" s="2200">
        <f>--SUBTOTAL(3,C$2:C853)</f>
        <v>67</v>
      </c>
    </row>
    <row r="854" spans="1:7" hidden="1" x14ac:dyDescent="0.15">
      <c r="A854" s="2200" t="s">
        <v>4280</v>
      </c>
      <c r="B854" s="2200" t="s">
        <v>5985</v>
      </c>
      <c r="C854" s="2200" t="s">
        <v>5986</v>
      </c>
      <c r="D854" s="2200" t="str">
        <f t="shared" si="39"/>
        <v>IA</v>
      </c>
      <c r="E854" s="2200" t="str">
        <f t="shared" si="40"/>
        <v>19</v>
      </c>
      <c r="F854" s="2200" t="str">
        <f t="shared" si="41"/>
        <v>123</v>
      </c>
      <c r="G854" s="2200">
        <f>--SUBTOTAL(3,C$2:C854)</f>
        <v>67</v>
      </c>
    </row>
    <row r="855" spans="1:7" hidden="1" x14ac:dyDescent="0.15">
      <c r="A855" s="2200" t="s">
        <v>4280</v>
      </c>
      <c r="B855" s="2200" t="s">
        <v>5987</v>
      </c>
      <c r="C855" s="2200" t="s">
        <v>5988</v>
      </c>
      <c r="D855" s="2200" t="str">
        <f t="shared" si="39"/>
        <v>IA</v>
      </c>
      <c r="E855" s="2200" t="str">
        <f t="shared" si="40"/>
        <v>19</v>
      </c>
      <c r="F855" s="2200" t="str">
        <f t="shared" si="41"/>
        <v>125</v>
      </c>
      <c r="G855" s="2200">
        <f>--SUBTOTAL(3,C$2:C855)</f>
        <v>67</v>
      </c>
    </row>
    <row r="856" spans="1:7" hidden="1" x14ac:dyDescent="0.15">
      <c r="A856" s="2200" t="s">
        <v>4280</v>
      </c>
      <c r="B856" s="2200" t="s">
        <v>5989</v>
      </c>
      <c r="C856" s="2200" t="s">
        <v>5990</v>
      </c>
      <c r="D856" s="2200" t="str">
        <f t="shared" si="39"/>
        <v>IA</v>
      </c>
      <c r="E856" s="2200" t="str">
        <f t="shared" si="40"/>
        <v>19</v>
      </c>
      <c r="F856" s="2200" t="str">
        <f t="shared" si="41"/>
        <v>127</v>
      </c>
      <c r="G856" s="2200">
        <f>--SUBTOTAL(3,C$2:C856)</f>
        <v>67</v>
      </c>
    </row>
    <row r="857" spans="1:7" hidden="1" x14ac:dyDescent="0.15">
      <c r="A857" s="2200" t="s">
        <v>4280</v>
      </c>
      <c r="B857" s="2200" t="s">
        <v>5991</v>
      </c>
      <c r="C857" s="2200" t="s">
        <v>5992</v>
      </c>
      <c r="D857" s="2200" t="str">
        <f t="shared" si="39"/>
        <v>IA</v>
      </c>
      <c r="E857" s="2200" t="str">
        <f t="shared" si="40"/>
        <v>19</v>
      </c>
      <c r="F857" s="2200" t="str">
        <f t="shared" si="41"/>
        <v>129</v>
      </c>
      <c r="G857" s="2200">
        <f>--SUBTOTAL(3,C$2:C857)</f>
        <v>67</v>
      </c>
    </row>
    <row r="858" spans="1:7" hidden="1" x14ac:dyDescent="0.15">
      <c r="A858" s="2200" t="s">
        <v>4280</v>
      </c>
      <c r="B858" s="2200" t="s">
        <v>5993</v>
      </c>
      <c r="C858" s="2200" t="s">
        <v>5994</v>
      </c>
      <c r="D858" s="2200" t="str">
        <f t="shared" si="39"/>
        <v>IA</v>
      </c>
      <c r="E858" s="2200" t="str">
        <f t="shared" si="40"/>
        <v>19</v>
      </c>
      <c r="F858" s="2200" t="str">
        <f t="shared" si="41"/>
        <v>131</v>
      </c>
      <c r="G858" s="2200">
        <f>--SUBTOTAL(3,C$2:C858)</f>
        <v>67</v>
      </c>
    </row>
    <row r="859" spans="1:7" hidden="1" x14ac:dyDescent="0.15">
      <c r="A859" s="2200" t="s">
        <v>4280</v>
      </c>
      <c r="B859" s="2200" t="s">
        <v>5995</v>
      </c>
      <c r="C859" s="2200" t="s">
        <v>5996</v>
      </c>
      <c r="D859" s="2200" t="str">
        <f t="shared" si="39"/>
        <v>IA</v>
      </c>
      <c r="E859" s="2200" t="str">
        <f t="shared" si="40"/>
        <v>19</v>
      </c>
      <c r="F859" s="2200" t="str">
        <f t="shared" si="41"/>
        <v>133</v>
      </c>
      <c r="G859" s="2200">
        <f>--SUBTOTAL(3,C$2:C859)</f>
        <v>67</v>
      </c>
    </row>
    <row r="860" spans="1:7" hidden="1" x14ac:dyDescent="0.15">
      <c r="A860" s="2200" t="s">
        <v>4280</v>
      </c>
      <c r="B860" s="2200" t="s">
        <v>5997</v>
      </c>
      <c r="C860" s="2200" t="s">
        <v>5998</v>
      </c>
      <c r="D860" s="2200" t="str">
        <f t="shared" si="39"/>
        <v>IA</v>
      </c>
      <c r="E860" s="2200" t="str">
        <f t="shared" si="40"/>
        <v>19</v>
      </c>
      <c r="F860" s="2200" t="str">
        <f t="shared" si="41"/>
        <v>135</v>
      </c>
      <c r="G860" s="2200">
        <f>--SUBTOTAL(3,C$2:C860)</f>
        <v>67</v>
      </c>
    </row>
    <row r="861" spans="1:7" hidden="1" x14ac:dyDescent="0.15">
      <c r="A861" s="2200" t="s">
        <v>4280</v>
      </c>
      <c r="B861" s="2200" t="s">
        <v>5999</v>
      </c>
      <c r="C861" s="2200" t="s">
        <v>6000</v>
      </c>
      <c r="D861" s="2200" t="str">
        <f t="shared" si="39"/>
        <v>IA</v>
      </c>
      <c r="E861" s="2200" t="str">
        <f t="shared" si="40"/>
        <v>19</v>
      </c>
      <c r="F861" s="2200" t="str">
        <f t="shared" si="41"/>
        <v>137</v>
      </c>
      <c r="G861" s="2200">
        <f>--SUBTOTAL(3,C$2:C861)</f>
        <v>67</v>
      </c>
    </row>
    <row r="862" spans="1:7" hidden="1" x14ac:dyDescent="0.15">
      <c r="A862" s="2200" t="s">
        <v>4280</v>
      </c>
      <c r="B862" s="2200" t="s">
        <v>6001</v>
      </c>
      <c r="C862" s="2200" t="s">
        <v>6002</v>
      </c>
      <c r="D862" s="2200" t="str">
        <f t="shared" si="39"/>
        <v>IA</v>
      </c>
      <c r="E862" s="2200" t="str">
        <f t="shared" si="40"/>
        <v>19</v>
      </c>
      <c r="F862" s="2200" t="str">
        <f t="shared" si="41"/>
        <v>139</v>
      </c>
      <c r="G862" s="2200">
        <f>--SUBTOTAL(3,C$2:C862)</f>
        <v>67</v>
      </c>
    </row>
    <row r="863" spans="1:7" hidden="1" x14ac:dyDescent="0.15">
      <c r="A863" s="2200" t="s">
        <v>4280</v>
      </c>
      <c r="B863" s="2200" t="s">
        <v>6003</v>
      </c>
      <c r="C863" s="2200" t="s">
        <v>6004</v>
      </c>
      <c r="D863" s="2200" t="str">
        <f t="shared" si="39"/>
        <v>IA</v>
      </c>
      <c r="E863" s="2200" t="str">
        <f t="shared" si="40"/>
        <v>19</v>
      </c>
      <c r="F863" s="2200" t="str">
        <f t="shared" si="41"/>
        <v>141</v>
      </c>
      <c r="G863" s="2200">
        <f>--SUBTOTAL(3,C$2:C863)</f>
        <v>67</v>
      </c>
    </row>
    <row r="864" spans="1:7" hidden="1" x14ac:dyDescent="0.15">
      <c r="A864" s="2200" t="s">
        <v>4280</v>
      </c>
      <c r="B864" s="2200" t="s">
        <v>6005</v>
      </c>
      <c r="C864" s="2200" t="s">
        <v>6006</v>
      </c>
      <c r="D864" s="2200" t="str">
        <f t="shared" si="39"/>
        <v>IA</v>
      </c>
      <c r="E864" s="2200" t="str">
        <f t="shared" si="40"/>
        <v>19</v>
      </c>
      <c r="F864" s="2200" t="str">
        <f t="shared" si="41"/>
        <v>143</v>
      </c>
      <c r="G864" s="2200">
        <f>--SUBTOTAL(3,C$2:C864)</f>
        <v>67</v>
      </c>
    </row>
    <row r="865" spans="1:7" hidden="1" x14ac:dyDescent="0.15">
      <c r="A865" s="2200" t="s">
        <v>4280</v>
      </c>
      <c r="B865" s="2200" t="s">
        <v>6007</v>
      </c>
      <c r="C865" s="2200" t="s">
        <v>6008</v>
      </c>
      <c r="D865" s="2200" t="str">
        <f t="shared" si="39"/>
        <v>IA</v>
      </c>
      <c r="E865" s="2200" t="str">
        <f t="shared" si="40"/>
        <v>19</v>
      </c>
      <c r="F865" s="2200" t="str">
        <f t="shared" si="41"/>
        <v>145</v>
      </c>
      <c r="G865" s="2200">
        <f>--SUBTOTAL(3,C$2:C865)</f>
        <v>67</v>
      </c>
    </row>
    <row r="866" spans="1:7" hidden="1" x14ac:dyDescent="0.15">
      <c r="A866" s="2200" t="s">
        <v>4280</v>
      </c>
      <c r="B866" s="2200" t="s">
        <v>6009</v>
      </c>
      <c r="C866" s="2200" t="s">
        <v>6010</v>
      </c>
      <c r="D866" s="2200" t="str">
        <f t="shared" si="39"/>
        <v>IA</v>
      </c>
      <c r="E866" s="2200" t="str">
        <f t="shared" si="40"/>
        <v>19</v>
      </c>
      <c r="F866" s="2200" t="str">
        <f t="shared" si="41"/>
        <v>147</v>
      </c>
      <c r="G866" s="2200">
        <f>--SUBTOTAL(3,C$2:C866)</f>
        <v>67</v>
      </c>
    </row>
    <row r="867" spans="1:7" hidden="1" x14ac:dyDescent="0.15">
      <c r="A867" s="2200" t="s">
        <v>4280</v>
      </c>
      <c r="B867" s="2200" t="s">
        <v>6011</v>
      </c>
      <c r="C867" s="2200" t="s">
        <v>6012</v>
      </c>
      <c r="D867" s="2200" t="str">
        <f t="shared" si="39"/>
        <v>IA</v>
      </c>
      <c r="E867" s="2200" t="str">
        <f t="shared" si="40"/>
        <v>19</v>
      </c>
      <c r="F867" s="2200" t="str">
        <f t="shared" si="41"/>
        <v>149</v>
      </c>
      <c r="G867" s="2200">
        <f>--SUBTOTAL(3,C$2:C867)</f>
        <v>67</v>
      </c>
    </row>
    <row r="868" spans="1:7" hidden="1" x14ac:dyDescent="0.15">
      <c r="A868" s="2200" t="s">
        <v>4280</v>
      </c>
      <c r="B868" s="2200" t="s">
        <v>6013</v>
      </c>
      <c r="C868" s="2200" t="s">
        <v>6014</v>
      </c>
      <c r="D868" s="2200" t="str">
        <f t="shared" si="39"/>
        <v>IA</v>
      </c>
      <c r="E868" s="2200" t="str">
        <f t="shared" si="40"/>
        <v>19</v>
      </c>
      <c r="F868" s="2200" t="str">
        <f t="shared" si="41"/>
        <v>151</v>
      </c>
      <c r="G868" s="2200">
        <f>--SUBTOTAL(3,C$2:C868)</f>
        <v>67</v>
      </c>
    </row>
    <row r="869" spans="1:7" hidden="1" x14ac:dyDescent="0.15">
      <c r="A869" s="2200" t="s">
        <v>4280</v>
      </c>
      <c r="B869" s="2200" t="s">
        <v>6015</v>
      </c>
      <c r="C869" s="2200" t="s">
        <v>6016</v>
      </c>
      <c r="D869" s="2200" t="str">
        <f t="shared" si="39"/>
        <v>IA</v>
      </c>
      <c r="E869" s="2200" t="str">
        <f t="shared" si="40"/>
        <v>19</v>
      </c>
      <c r="F869" s="2200" t="str">
        <f t="shared" si="41"/>
        <v>153</v>
      </c>
      <c r="G869" s="2200">
        <f>--SUBTOTAL(3,C$2:C869)</f>
        <v>67</v>
      </c>
    </row>
    <row r="870" spans="1:7" hidden="1" x14ac:dyDescent="0.15">
      <c r="A870" s="2200" t="s">
        <v>4280</v>
      </c>
      <c r="B870" s="2200" t="s">
        <v>6017</v>
      </c>
      <c r="C870" s="2200" t="s">
        <v>6018</v>
      </c>
      <c r="D870" s="2200" t="str">
        <f t="shared" si="39"/>
        <v>IA</v>
      </c>
      <c r="E870" s="2200" t="str">
        <f t="shared" si="40"/>
        <v>19</v>
      </c>
      <c r="F870" s="2200" t="str">
        <f t="shared" si="41"/>
        <v>155</v>
      </c>
      <c r="G870" s="2200">
        <f>--SUBTOTAL(3,C$2:C870)</f>
        <v>67</v>
      </c>
    </row>
    <row r="871" spans="1:7" hidden="1" x14ac:dyDescent="0.15">
      <c r="A871" s="2200" t="s">
        <v>4280</v>
      </c>
      <c r="B871" s="2200" t="s">
        <v>6019</v>
      </c>
      <c r="C871" s="2200" t="s">
        <v>6020</v>
      </c>
      <c r="D871" s="2200" t="str">
        <f t="shared" si="39"/>
        <v>IA</v>
      </c>
      <c r="E871" s="2200" t="str">
        <f t="shared" si="40"/>
        <v>19</v>
      </c>
      <c r="F871" s="2200" t="str">
        <f t="shared" si="41"/>
        <v>157</v>
      </c>
      <c r="G871" s="2200">
        <f>--SUBTOTAL(3,C$2:C871)</f>
        <v>67</v>
      </c>
    </row>
    <row r="872" spans="1:7" hidden="1" x14ac:dyDescent="0.15">
      <c r="A872" s="2200" t="s">
        <v>4280</v>
      </c>
      <c r="B872" s="2200" t="s">
        <v>6021</v>
      </c>
      <c r="C872" s="2200" t="s">
        <v>6022</v>
      </c>
      <c r="D872" s="2200" t="str">
        <f t="shared" si="39"/>
        <v>IA</v>
      </c>
      <c r="E872" s="2200" t="str">
        <f t="shared" si="40"/>
        <v>19</v>
      </c>
      <c r="F872" s="2200" t="str">
        <f t="shared" si="41"/>
        <v>159</v>
      </c>
      <c r="G872" s="2200">
        <f>--SUBTOTAL(3,C$2:C872)</f>
        <v>67</v>
      </c>
    </row>
    <row r="873" spans="1:7" hidden="1" x14ac:dyDescent="0.15">
      <c r="A873" s="2200" t="s">
        <v>4280</v>
      </c>
      <c r="B873" s="2200" t="s">
        <v>6023</v>
      </c>
      <c r="C873" s="2200" t="s">
        <v>6024</v>
      </c>
      <c r="D873" s="2200" t="str">
        <f t="shared" si="39"/>
        <v>IA</v>
      </c>
      <c r="E873" s="2200" t="str">
        <f t="shared" si="40"/>
        <v>19</v>
      </c>
      <c r="F873" s="2200" t="str">
        <f t="shared" si="41"/>
        <v>161</v>
      </c>
      <c r="G873" s="2200">
        <f>--SUBTOTAL(3,C$2:C873)</f>
        <v>67</v>
      </c>
    </row>
    <row r="874" spans="1:7" hidden="1" x14ac:dyDescent="0.15">
      <c r="A874" s="2200" t="s">
        <v>4280</v>
      </c>
      <c r="B874" s="2200" t="s">
        <v>6025</v>
      </c>
      <c r="C874" s="2200" t="s">
        <v>6026</v>
      </c>
      <c r="D874" s="2200" t="str">
        <f t="shared" si="39"/>
        <v>IA</v>
      </c>
      <c r="E874" s="2200" t="str">
        <f t="shared" si="40"/>
        <v>19</v>
      </c>
      <c r="F874" s="2200" t="str">
        <f t="shared" si="41"/>
        <v>163</v>
      </c>
      <c r="G874" s="2200">
        <f>--SUBTOTAL(3,C$2:C874)</f>
        <v>67</v>
      </c>
    </row>
    <row r="875" spans="1:7" hidden="1" x14ac:dyDescent="0.15">
      <c r="A875" s="2200" t="s">
        <v>4280</v>
      </c>
      <c r="B875" s="2200" t="s">
        <v>6027</v>
      </c>
      <c r="C875" s="2200" t="s">
        <v>6028</v>
      </c>
      <c r="D875" s="2200" t="str">
        <f t="shared" si="39"/>
        <v>IA</v>
      </c>
      <c r="E875" s="2200" t="str">
        <f t="shared" si="40"/>
        <v>19</v>
      </c>
      <c r="F875" s="2200" t="str">
        <f t="shared" si="41"/>
        <v>165</v>
      </c>
      <c r="G875" s="2200">
        <f>--SUBTOTAL(3,C$2:C875)</f>
        <v>67</v>
      </c>
    </row>
    <row r="876" spans="1:7" hidden="1" x14ac:dyDescent="0.15">
      <c r="A876" s="2200" t="s">
        <v>4280</v>
      </c>
      <c r="B876" s="2200" t="s">
        <v>6029</v>
      </c>
      <c r="C876" s="2200" t="s">
        <v>6030</v>
      </c>
      <c r="D876" s="2200" t="str">
        <f t="shared" si="39"/>
        <v>IA</v>
      </c>
      <c r="E876" s="2200" t="str">
        <f t="shared" si="40"/>
        <v>19</v>
      </c>
      <c r="F876" s="2200" t="str">
        <f t="shared" si="41"/>
        <v>167</v>
      </c>
      <c r="G876" s="2200">
        <f>--SUBTOTAL(3,C$2:C876)</f>
        <v>67</v>
      </c>
    </row>
    <row r="877" spans="1:7" hidden="1" x14ac:dyDescent="0.15">
      <c r="A877" s="2200" t="s">
        <v>4280</v>
      </c>
      <c r="B877" s="2200" t="s">
        <v>6031</v>
      </c>
      <c r="C877" s="2200" t="s">
        <v>6032</v>
      </c>
      <c r="D877" s="2200" t="str">
        <f t="shared" si="39"/>
        <v>IA</v>
      </c>
      <c r="E877" s="2200" t="str">
        <f t="shared" si="40"/>
        <v>19</v>
      </c>
      <c r="F877" s="2200" t="str">
        <f t="shared" si="41"/>
        <v>169</v>
      </c>
      <c r="G877" s="2200">
        <f>--SUBTOTAL(3,C$2:C877)</f>
        <v>67</v>
      </c>
    </row>
    <row r="878" spans="1:7" hidden="1" x14ac:dyDescent="0.15">
      <c r="A878" s="2200" t="s">
        <v>4280</v>
      </c>
      <c r="B878" s="2200" t="s">
        <v>6033</v>
      </c>
      <c r="C878" s="2200" t="s">
        <v>6034</v>
      </c>
      <c r="D878" s="2200" t="str">
        <f t="shared" si="39"/>
        <v>IA</v>
      </c>
      <c r="E878" s="2200" t="str">
        <f t="shared" si="40"/>
        <v>19</v>
      </c>
      <c r="F878" s="2200" t="str">
        <f t="shared" si="41"/>
        <v>171</v>
      </c>
      <c r="G878" s="2200">
        <f>--SUBTOTAL(3,C$2:C878)</f>
        <v>67</v>
      </c>
    </row>
    <row r="879" spans="1:7" hidden="1" x14ac:dyDescent="0.15">
      <c r="A879" s="2200" t="s">
        <v>4280</v>
      </c>
      <c r="B879" s="2200" t="s">
        <v>6035</v>
      </c>
      <c r="C879" s="2200" t="s">
        <v>6036</v>
      </c>
      <c r="D879" s="2200" t="str">
        <f t="shared" si="39"/>
        <v>IA</v>
      </c>
      <c r="E879" s="2200" t="str">
        <f t="shared" si="40"/>
        <v>19</v>
      </c>
      <c r="F879" s="2200" t="str">
        <f t="shared" si="41"/>
        <v>173</v>
      </c>
      <c r="G879" s="2200">
        <f>--SUBTOTAL(3,C$2:C879)</f>
        <v>67</v>
      </c>
    </row>
    <row r="880" spans="1:7" hidden="1" x14ac:dyDescent="0.15">
      <c r="A880" s="2200" t="s">
        <v>4280</v>
      </c>
      <c r="B880" s="2200" t="s">
        <v>6037</v>
      </c>
      <c r="C880" s="2200" t="s">
        <v>6038</v>
      </c>
      <c r="D880" s="2200" t="str">
        <f t="shared" si="39"/>
        <v>IA</v>
      </c>
      <c r="E880" s="2200" t="str">
        <f t="shared" si="40"/>
        <v>19</v>
      </c>
      <c r="F880" s="2200" t="str">
        <f t="shared" si="41"/>
        <v>175</v>
      </c>
      <c r="G880" s="2200">
        <f>--SUBTOTAL(3,C$2:C880)</f>
        <v>67</v>
      </c>
    </row>
    <row r="881" spans="1:7" hidden="1" x14ac:dyDescent="0.15">
      <c r="A881" s="2200" t="s">
        <v>4280</v>
      </c>
      <c r="B881" s="2200" t="s">
        <v>6039</v>
      </c>
      <c r="C881" s="2200" t="s">
        <v>6040</v>
      </c>
      <c r="D881" s="2200" t="str">
        <f t="shared" si="39"/>
        <v>IA</v>
      </c>
      <c r="E881" s="2200" t="str">
        <f t="shared" si="40"/>
        <v>19</v>
      </c>
      <c r="F881" s="2200" t="str">
        <f t="shared" si="41"/>
        <v>177</v>
      </c>
      <c r="G881" s="2200">
        <f>--SUBTOTAL(3,C$2:C881)</f>
        <v>67</v>
      </c>
    </row>
    <row r="882" spans="1:7" hidden="1" x14ac:dyDescent="0.15">
      <c r="A882" s="2200" t="s">
        <v>4280</v>
      </c>
      <c r="B882" s="2200" t="s">
        <v>6041</v>
      </c>
      <c r="C882" s="2200" t="s">
        <v>6042</v>
      </c>
      <c r="D882" s="2200" t="str">
        <f t="shared" si="39"/>
        <v>IA</v>
      </c>
      <c r="E882" s="2200" t="str">
        <f t="shared" si="40"/>
        <v>19</v>
      </c>
      <c r="F882" s="2200" t="str">
        <f t="shared" si="41"/>
        <v>179</v>
      </c>
      <c r="G882" s="2200">
        <f>--SUBTOTAL(3,C$2:C882)</f>
        <v>67</v>
      </c>
    </row>
    <row r="883" spans="1:7" hidden="1" x14ac:dyDescent="0.15">
      <c r="A883" s="2200" t="s">
        <v>4280</v>
      </c>
      <c r="B883" s="2200" t="s">
        <v>6043</v>
      </c>
      <c r="C883" s="2200" t="s">
        <v>6044</v>
      </c>
      <c r="D883" s="2200" t="str">
        <f t="shared" si="39"/>
        <v>IA</v>
      </c>
      <c r="E883" s="2200" t="str">
        <f t="shared" si="40"/>
        <v>19</v>
      </c>
      <c r="F883" s="2200" t="str">
        <f t="shared" si="41"/>
        <v>181</v>
      </c>
      <c r="G883" s="2200">
        <f>--SUBTOTAL(3,C$2:C883)</f>
        <v>67</v>
      </c>
    </row>
    <row r="884" spans="1:7" hidden="1" x14ac:dyDescent="0.15">
      <c r="A884" s="2200" t="s">
        <v>4280</v>
      </c>
      <c r="B884" s="2200" t="s">
        <v>6045</v>
      </c>
      <c r="C884" s="2200" t="s">
        <v>6046</v>
      </c>
      <c r="D884" s="2200" t="str">
        <f t="shared" si="39"/>
        <v>IA</v>
      </c>
      <c r="E884" s="2200" t="str">
        <f t="shared" si="40"/>
        <v>19</v>
      </c>
      <c r="F884" s="2200" t="str">
        <f t="shared" si="41"/>
        <v>183</v>
      </c>
      <c r="G884" s="2200">
        <f>--SUBTOTAL(3,C$2:C884)</f>
        <v>67</v>
      </c>
    </row>
    <row r="885" spans="1:7" hidden="1" x14ac:dyDescent="0.15">
      <c r="A885" s="2200" t="s">
        <v>4280</v>
      </c>
      <c r="B885" s="2200" t="s">
        <v>6047</v>
      </c>
      <c r="C885" s="2200" t="s">
        <v>6048</v>
      </c>
      <c r="D885" s="2200" t="str">
        <f t="shared" si="39"/>
        <v>IA</v>
      </c>
      <c r="E885" s="2200" t="str">
        <f t="shared" si="40"/>
        <v>19</v>
      </c>
      <c r="F885" s="2200" t="str">
        <f t="shared" si="41"/>
        <v>185</v>
      </c>
      <c r="G885" s="2200">
        <f>--SUBTOTAL(3,C$2:C885)</f>
        <v>67</v>
      </c>
    </row>
    <row r="886" spans="1:7" hidden="1" x14ac:dyDescent="0.15">
      <c r="A886" s="2200" t="s">
        <v>4280</v>
      </c>
      <c r="B886" s="2200" t="s">
        <v>6049</v>
      </c>
      <c r="C886" s="2200" t="s">
        <v>6050</v>
      </c>
      <c r="D886" s="2200" t="str">
        <f t="shared" si="39"/>
        <v>IA</v>
      </c>
      <c r="E886" s="2200" t="str">
        <f t="shared" si="40"/>
        <v>19</v>
      </c>
      <c r="F886" s="2200" t="str">
        <f t="shared" si="41"/>
        <v>187</v>
      </c>
      <c r="G886" s="2200">
        <f>--SUBTOTAL(3,C$2:C886)</f>
        <v>67</v>
      </c>
    </row>
    <row r="887" spans="1:7" hidden="1" x14ac:dyDescent="0.15">
      <c r="A887" s="2200" t="s">
        <v>4280</v>
      </c>
      <c r="B887" s="2200" t="s">
        <v>6051</v>
      </c>
      <c r="C887" s="2200" t="s">
        <v>6052</v>
      </c>
      <c r="D887" s="2200" t="str">
        <f t="shared" si="39"/>
        <v>IA</v>
      </c>
      <c r="E887" s="2200" t="str">
        <f t="shared" si="40"/>
        <v>19</v>
      </c>
      <c r="F887" s="2200" t="str">
        <f t="shared" si="41"/>
        <v>189</v>
      </c>
      <c r="G887" s="2200">
        <f>--SUBTOTAL(3,C$2:C887)</f>
        <v>67</v>
      </c>
    </row>
    <row r="888" spans="1:7" hidden="1" x14ac:dyDescent="0.15">
      <c r="A888" s="2200" t="s">
        <v>4280</v>
      </c>
      <c r="B888" s="2200" t="s">
        <v>6053</v>
      </c>
      <c r="C888" s="2200" t="s">
        <v>6054</v>
      </c>
      <c r="D888" s="2200" t="str">
        <f t="shared" si="39"/>
        <v>IA</v>
      </c>
      <c r="E888" s="2200" t="str">
        <f t="shared" si="40"/>
        <v>19</v>
      </c>
      <c r="F888" s="2200" t="str">
        <f t="shared" si="41"/>
        <v>191</v>
      </c>
      <c r="G888" s="2200">
        <f>--SUBTOTAL(3,C$2:C888)</f>
        <v>67</v>
      </c>
    </row>
    <row r="889" spans="1:7" hidden="1" x14ac:dyDescent="0.15">
      <c r="A889" s="2200" t="s">
        <v>4280</v>
      </c>
      <c r="B889" s="2200" t="s">
        <v>6055</v>
      </c>
      <c r="C889" s="2200" t="s">
        <v>6056</v>
      </c>
      <c r="D889" s="2200" t="str">
        <f t="shared" si="39"/>
        <v>IA</v>
      </c>
      <c r="E889" s="2200" t="str">
        <f t="shared" si="40"/>
        <v>19</v>
      </c>
      <c r="F889" s="2200" t="str">
        <f t="shared" si="41"/>
        <v>193</v>
      </c>
      <c r="G889" s="2200">
        <f>--SUBTOTAL(3,C$2:C889)</f>
        <v>67</v>
      </c>
    </row>
    <row r="890" spans="1:7" hidden="1" x14ac:dyDescent="0.15">
      <c r="A890" s="2200" t="s">
        <v>4280</v>
      </c>
      <c r="B890" s="2200" t="s">
        <v>6057</v>
      </c>
      <c r="C890" s="2200" t="s">
        <v>6058</v>
      </c>
      <c r="D890" s="2200" t="str">
        <f t="shared" si="39"/>
        <v>IA</v>
      </c>
      <c r="E890" s="2200" t="str">
        <f t="shared" si="40"/>
        <v>19</v>
      </c>
      <c r="F890" s="2200" t="str">
        <f t="shared" si="41"/>
        <v>195</v>
      </c>
      <c r="G890" s="2200">
        <f>--SUBTOTAL(3,C$2:C890)</f>
        <v>67</v>
      </c>
    </row>
    <row r="891" spans="1:7" hidden="1" x14ac:dyDescent="0.15">
      <c r="A891" s="2200" t="s">
        <v>4280</v>
      </c>
      <c r="B891" s="2200" t="s">
        <v>6059</v>
      </c>
      <c r="C891" s="2200" t="s">
        <v>6060</v>
      </c>
      <c r="D891" s="2200" t="str">
        <f t="shared" si="39"/>
        <v>IA</v>
      </c>
      <c r="E891" s="2200" t="str">
        <f t="shared" si="40"/>
        <v>19</v>
      </c>
      <c r="F891" s="2200" t="str">
        <f t="shared" si="41"/>
        <v>197</v>
      </c>
      <c r="G891" s="2200">
        <f>--SUBTOTAL(3,C$2:C891)</f>
        <v>67</v>
      </c>
    </row>
    <row r="892" spans="1:7" hidden="1" x14ac:dyDescent="0.15">
      <c r="A892" s="2200" t="s">
        <v>4280</v>
      </c>
      <c r="B892" s="2200" t="s">
        <v>6061</v>
      </c>
      <c r="C892" s="2200" t="s">
        <v>6062</v>
      </c>
      <c r="D892" s="2200" t="str">
        <f t="shared" si="39"/>
        <v>KS</v>
      </c>
      <c r="E892" s="2200" t="str">
        <f t="shared" si="40"/>
        <v>20</v>
      </c>
      <c r="F892" s="2200" t="str">
        <f t="shared" si="41"/>
        <v>001</v>
      </c>
      <c r="G892" s="2200">
        <f>--SUBTOTAL(3,C$2:C892)</f>
        <v>67</v>
      </c>
    </row>
    <row r="893" spans="1:7" hidden="1" x14ac:dyDescent="0.15">
      <c r="A893" s="2200" t="s">
        <v>4280</v>
      </c>
      <c r="B893" s="2200" t="s">
        <v>6063</v>
      </c>
      <c r="C893" s="2200" t="s">
        <v>6064</v>
      </c>
      <c r="D893" s="2200" t="str">
        <f t="shared" si="39"/>
        <v>KS</v>
      </c>
      <c r="E893" s="2200" t="str">
        <f t="shared" si="40"/>
        <v>20</v>
      </c>
      <c r="F893" s="2200" t="str">
        <f t="shared" si="41"/>
        <v>003</v>
      </c>
      <c r="G893" s="2200">
        <f>--SUBTOTAL(3,C$2:C893)</f>
        <v>67</v>
      </c>
    </row>
    <row r="894" spans="1:7" hidden="1" x14ac:dyDescent="0.15">
      <c r="A894" s="2200" t="s">
        <v>4280</v>
      </c>
      <c r="B894" s="2200" t="s">
        <v>6065</v>
      </c>
      <c r="C894" s="2200" t="s">
        <v>6066</v>
      </c>
      <c r="D894" s="2200" t="str">
        <f t="shared" si="39"/>
        <v>KS</v>
      </c>
      <c r="E894" s="2200" t="str">
        <f t="shared" si="40"/>
        <v>20</v>
      </c>
      <c r="F894" s="2200" t="str">
        <f t="shared" si="41"/>
        <v>005</v>
      </c>
      <c r="G894" s="2200">
        <f>--SUBTOTAL(3,C$2:C894)</f>
        <v>67</v>
      </c>
    </row>
    <row r="895" spans="1:7" hidden="1" x14ac:dyDescent="0.15">
      <c r="A895" s="2200" t="s">
        <v>4280</v>
      </c>
      <c r="B895" s="2200" t="s">
        <v>6067</v>
      </c>
      <c r="C895" s="2200" t="s">
        <v>6068</v>
      </c>
      <c r="D895" s="2200" t="str">
        <f t="shared" si="39"/>
        <v>KS</v>
      </c>
      <c r="E895" s="2200" t="str">
        <f t="shared" si="40"/>
        <v>20</v>
      </c>
      <c r="F895" s="2200" t="str">
        <f t="shared" si="41"/>
        <v>007</v>
      </c>
      <c r="G895" s="2200">
        <f>--SUBTOTAL(3,C$2:C895)</f>
        <v>67</v>
      </c>
    </row>
    <row r="896" spans="1:7" hidden="1" x14ac:dyDescent="0.15">
      <c r="A896" s="2200" t="s">
        <v>4280</v>
      </c>
      <c r="B896" s="2200" t="s">
        <v>6069</v>
      </c>
      <c r="C896" s="2200" t="s">
        <v>6070</v>
      </c>
      <c r="D896" s="2200" t="str">
        <f t="shared" si="39"/>
        <v>KS</v>
      </c>
      <c r="E896" s="2200" t="str">
        <f t="shared" si="40"/>
        <v>20</v>
      </c>
      <c r="F896" s="2200" t="str">
        <f t="shared" si="41"/>
        <v>009</v>
      </c>
      <c r="G896" s="2200">
        <f>--SUBTOTAL(3,C$2:C896)</f>
        <v>67</v>
      </c>
    </row>
    <row r="897" spans="1:7" hidden="1" x14ac:dyDescent="0.15">
      <c r="A897" s="2200" t="s">
        <v>4280</v>
      </c>
      <c r="B897" s="2200" t="s">
        <v>6071</v>
      </c>
      <c r="C897" s="2200" t="s">
        <v>6072</v>
      </c>
      <c r="D897" s="2200" t="str">
        <f t="shared" si="39"/>
        <v>KS</v>
      </c>
      <c r="E897" s="2200" t="str">
        <f t="shared" si="40"/>
        <v>20</v>
      </c>
      <c r="F897" s="2200" t="str">
        <f t="shared" si="41"/>
        <v>011</v>
      </c>
      <c r="G897" s="2200">
        <f>--SUBTOTAL(3,C$2:C897)</f>
        <v>67</v>
      </c>
    </row>
    <row r="898" spans="1:7" hidden="1" x14ac:dyDescent="0.15">
      <c r="A898" s="2200" t="s">
        <v>4280</v>
      </c>
      <c r="B898" s="2200" t="s">
        <v>6073</v>
      </c>
      <c r="C898" s="2200" t="s">
        <v>6074</v>
      </c>
      <c r="D898" s="2200" t="str">
        <f t="shared" si="39"/>
        <v>KS</v>
      </c>
      <c r="E898" s="2200" t="str">
        <f t="shared" si="40"/>
        <v>20</v>
      </c>
      <c r="F898" s="2200" t="str">
        <f t="shared" si="41"/>
        <v>013</v>
      </c>
      <c r="G898" s="2200">
        <f>--SUBTOTAL(3,C$2:C898)</f>
        <v>67</v>
      </c>
    </row>
    <row r="899" spans="1:7" hidden="1" x14ac:dyDescent="0.15">
      <c r="A899" s="2200" t="s">
        <v>4280</v>
      </c>
      <c r="B899" s="2200" t="s">
        <v>6075</v>
      </c>
      <c r="C899" s="2200" t="s">
        <v>6076</v>
      </c>
      <c r="D899" s="2200" t="str">
        <f t="shared" ref="D899:D962" si="42">RIGHT(C899,2)</f>
        <v>KS</v>
      </c>
      <c r="E899" s="2200" t="str">
        <f t="shared" ref="E899:E962" si="43">MID(B899,3,2)</f>
        <v>20</v>
      </c>
      <c r="F899" s="2200" t="str">
        <f t="shared" ref="F899:F962" si="44">MID(B899,5,3)</f>
        <v>015</v>
      </c>
      <c r="G899" s="2200">
        <f>--SUBTOTAL(3,C$2:C899)</f>
        <v>67</v>
      </c>
    </row>
    <row r="900" spans="1:7" hidden="1" x14ac:dyDescent="0.15">
      <c r="A900" s="2200" t="s">
        <v>4280</v>
      </c>
      <c r="B900" s="2200" t="s">
        <v>6077</v>
      </c>
      <c r="C900" s="2200" t="s">
        <v>6078</v>
      </c>
      <c r="D900" s="2200" t="str">
        <f t="shared" si="42"/>
        <v>KS</v>
      </c>
      <c r="E900" s="2200" t="str">
        <f t="shared" si="43"/>
        <v>20</v>
      </c>
      <c r="F900" s="2200" t="str">
        <f t="shared" si="44"/>
        <v>017</v>
      </c>
      <c r="G900" s="2200">
        <f>--SUBTOTAL(3,C$2:C900)</f>
        <v>67</v>
      </c>
    </row>
    <row r="901" spans="1:7" hidden="1" x14ac:dyDescent="0.15">
      <c r="A901" s="2200" t="s">
        <v>4280</v>
      </c>
      <c r="B901" s="2200" t="s">
        <v>6079</v>
      </c>
      <c r="C901" s="2200" t="s">
        <v>6080</v>
      </c>
      <c r="D901" s="2200" t="str">
        <f t="shared" si="42"/>
        <v>KS</v>
      </c>
      <c r="E901" s="2200" t="str">
        <f t="shared" si="43"/>
        <v>20</v>
      </c>
      <c r="F901" s="2200" t="str">
        <f t="shared" si="44"/>
        <v>019</v>
      </c>
      <c r="G901" s="2200">
        <f>--SUBTOTAL(3,C$2:C901)</f>
        <v>67</v>
      </c>
    </row>
    <row r="902" spans="1:7" hidden="1" x14ac:dyDescent="0.15">
      <c r="A902" s="2200" t="s">
        <v>4280</v>
      </c>
      <c r="B902" s="2200" t="s">
        <v>6081</v>
      </c>
      <c r="C902" s="2200" t="s">
        <v>6082</v>
      </c>
      <c r="D902" s="2200" t="str">
        <f t="shared" si="42"/>
        <v>KS</v>
      </c>
      <c r="E902" s="2200" t="str">
        <f t="shared" si="43"/>
        <v>20</v>
      </c>
      <c r="F902" s="2200" t="str">
        <f t="shared" si="44"/>
        <v>021</v>
      </c>
      <c r="G902" s="2200">
        <f>--SUBTOTAL(3,C$2:C902)</f>
        <v>67</v>
      </c>
    </row>
    <row r="903" spans="1:7" hidden="1" x14ac:dyDescent="0.15">
      <c r="A903" s="2200" t="s">
        <v>4280</v>
      </c>
      <c r="B903" s="2200" t="s">
        <v>6083</v>
      </c>
      <c r="C903" s="2200" t="s">
        <v>6084</v>
      </c>
      <c r="D903" s="2200" t="str">
        <f t="shared" si="42"/>
        <v>KS</v>
      </c>
      <c r="E903" s="2200" t="str">
        <f t="shared" si="43"/>
        <v>20</v>
      </c>
      <c r="F903" s="2200" t="str">
        <f t="shared" si="44"/>
        <v>023</v>
      </c>
      <c r="G903" s="2200">
        <f>--SUBTOTAL(3,C$2:C903)</f>
        <v>67</v>
      </c>
    </row>
    <row r="904" spans="1:7" hidden="1" x14ac:dyDescent="0.15">
      <c r="A904" s="2200" t="s">
        <v>4280</v>
      </c>
      <c r="B904" s="2200" t="s">
        <v>6085</v>
      </c>
      <c r="C904" s="2200" t="s">
        <v>6086</v>
      </c>
      <c r="D904" s="2200" t="str">
        <f t="shared" si="42"/>
        <v>KS</v>
      </c>
      <c r="E904" s="2200" t="str">
        <f t="shared" si="43"/>
        <v>20</v>
      </c>
      <c r="F904" s="2200" t="str">
        <f t="shared" si="44"/>
        <v>025</v>
      </c>
      <c r="G904" s="2200">
        <f>--SUBTOTAL(3,C$2:C904)</f>
        <v>67</v>
      </c>
    </row>
    <row r="905" spans="1:7" hidden="1" x14ac:dyDescent="0.15">
      <c r="A905" s="2200" t="s">
        <v>4280</v>
      </c>
      <c r="B905" s="2200" t="s">
        <v>6087</v>
      </c>
      <c r="C905" s="2200" t="s">
        <v>6088</v>
      </c>
      <c r="D905" s="2200" t="str">
        <f t="shared" si="42"/>
        <v>KS</v>
      </c>
      <c r="E905" s="2200" t="str">
        <f t="shared" si="43"/>
        <v>20</v>
      </c>
      <c r="F905" s="2200" t="str">
        <f t="shared" si="44"/>
        <v>027</v>
      </c>
      <c r="G905" s="2200">
        <f>--SUBTOTAL(3,C$2:C905)</f>
        <v>67</v>
      </c>
    </row>
    <row r="906" spans="1:7" hidden="1" x14ac:dyDescent="0.15">
      <c r="A906" s="2200" t="s">
        <v>4280</v>
      </c>
      <c r="B906" s="2200" t="s">
        <v>6089</v>
      </c>
      <c r="C906" s="2200" t="s">
        <v>6090</v>
      </c>
      <c r="D906" s="2200" t="str">
        <f t="shared" si="42"/>
        <v>KS</v>
      </c>
      <c r="E906" s="2200" t="str">
        <f t="shared" si="43"/>
        <v>20</v>
      </c>
      <c r="F906" s="2200" t="str">
        <f t="shared" si="44"/>
        <v>029</v>
      </c>
      <c r="G906" s="2200">
        <f>--SUBTOTAL(3,C$2:C906)</f>
        <v>67</v>
      </c>
    </row>
    <row r="907" spans="1:7" hidden="1" x14ac:dyDescent="0.15">
      <c r="A907" s="2200" t="s">
        <v>4280</v>
      </c>
      <c r="B907" s="2200" t="s">
        <v>6091</v>
      </c>
      <c r="C907" s="2200" t="s">
        <v>6092</v>
      </c>
      <c r="D907" s="2200" t="str">
        <f t="shared" si="42"/>
        <v>KS</v>
      </c>
      <c r="E907" s="2200" t="str">
        <f t="shared" si="43"/>
        <v>20</v>
      </c>
      <c r="F907" s="2200" t="str">
        <f t="shared" si="44"/>
        <v>031</v>
      </c>
      <c r="G907" s="2200">
        <f>--SUBTOTAL(3,C$2:C907)</f>
        <v>67</v>
      </c>
    </row>
    <row r="908" spans="1:7" hidden="1" x14ac:dyDescent="0.15">
      <c r="A908" s="2200" t="s">
        <v>4280</v>
      </c>
      <c r="B908" s="2200" t="s">
        <v>6093</v>
      </c>
      <c r="C908" s="2200" t="s">
        <v>6094</v>
      </c>
      <c r="D908" s="2200" t="str">
        <f t="shared" si="42"/>
        <v>KS</v>
      </c>
      <c r="E908" s="2200" t="str">
        <f t="shared" si="43"/>
        <v>20</v>
      </c>
      <c r="F908" s="2200" t="str">
        <f t="shared" si="44"/>
        <v>033</v>
      </c>
      <c r="G908" s="2200">
        <f>--SUBTOTAL(3,C$2:C908)</f>
        <v>67</v>
      </c>
    </row>
    <row r="909" spans="1:7" hidden="1" x14ac:dyDescent="0.15">
      <c r="A909" s="2200" t="s">
        <v>4280</v>
      </c>
      <c r="B909" s="2200" t="s">
        <v>6095</v>
      </c>
      <c r="C909" s="2200" t="s">
        <v>6096</v>
      </c>
      <c r="D909" s="2200" t="str">
        <f t="shared" si="42"/>
        <v>KS</v>
      </c>
      <c r="E909" s="2200" t="str">
        <f t="shared" si="43"/>
        <v>20</v>
      </c>
      <c r="F909" s="2200" t="str">
        <f t="shared" si="44"/>
        <v>035</v>
      </c>
      <c r="G909" s="2200">
        <f>--SUBTOTAL(3,C$2:C909)</f>
        <v>67</v>
      </c>
    </row>
    <row r="910" spans="1:7" hidden="1" x14ac:dyDescent="0.15">
      <c r="A910" s="2200" t="s">
        <v>4280</v>
      </c>
      <c r="B910" s="2200" t="s">
        <v>6097</v>
      </c>
      <c r="C910" s="2200" t="s">
        <v>6098</v>
      </c>
      <c r="D910" s="2200" t="str">
        <f t="shared" si="42"/>
        <v>KS</v>
      </c>
      <c r="E910" s="2200" t="str">
        <f t="shared" si="43"/>
        <v>20</v>
      </c>
      <c r="F910" s="2200" t="str">
        <f t="shared" si="44"/>
        <v>037</v>
      </c>
      <c r="G910" s="2200">
        <f>--SUBTOTAL(3,C$2:C910)</f>
        <v>67</v>
      </c>
    </row>
    <row r="911" spans="1:7" hidden="1" x14ac:dyDescent="0.15">
      <c r="A911" s="2200" t="s">
        <v>4280</v>
      </c>
      <c r="B911" s="2200" t="s">
        <v>6099</v>
      </c>
      <c r="C911" s="2200" t="s">
        <v>6100</v>
      </c>
      <c r="D911" s="2200" t="str">
        <f t="shared" si="42"/>
        <v>KS</v>
      </c>
      <c r="E911" s="2200" t="str">
        <f t="shared" si="43"/>
        <v>20</v>
      </c>
      <c r="F911" s="2200" t="str">
        <f t="shared" si="44"/>
        <v>039</v>
      </c>
      <c r="G911" s="2200">
        <f>--SUBTOTAL(3,C$2:C911)</f>
        <v>67</v>
      </c>
    </row>
    <row r="912" spans="1:7" hidden="1" x14ac:dyDescent="0.15">
      <c r="A912" s="2200" t="s">
        <v>4280</v>
      </c>
      <c r="B912" s="2200" t="s">
        <v>6101</v>
      </c>
      <c r="C912" s="2200" t="s">
        <v>6102</v>
      </c>
      <c r="D912" s="2200" t="str">
        <f t="shared" si="42"/>
        <v>KS</v>
      </c>
      <c r="E912" s="2200" t="str">
        <f t="shared" si="43"/>
        <v>20</v>
      </c>
      <c r="F912" s="2200" t="str">
        <f t="shared" si="44"/>
        <v>041</v>
      </c>
      <c r="G912" s="2200">
        <f>--SUBTOTAL(3,C$2:C912)</f>
        <v>67</v>
      </c>
    </row>
    <row r="913" spans="1:7" hidden="1" x14ac:dyDescent="0.15">
      <c r="A913" s="2200" t="s">
        <v>4280</v>
      </c>
      <c r="B913" s="2200" t="s">
        <v>6103</v>
      </c>
      <c r="C913" s="2200" t="s">
        <v>6104</v>
      </c>
      <c r="D913" s="2200" t="str">
        <f t="shared" si="42"/>
        <v>KS</v>
      </c>
      <c r="E913" s="2200" t="str">
        <f t="shared" si="43"/>
        <v>20</v>
      </c>
      <c r="F913" s="2200" t="str">
        <f t="shared" si="44"/>
        <v>043</v>
      </c>
      <c r="G913" s="2200">
        <f>--SUBTOTAL(3,C$2:C913)</f>
        <v>67</v>
      </c>
    </row>
    <row r="914" spans="1:7" hidden="1" x14ac:dyDescent="0.15">
      <c r="A914" s="2200" t="s">
        <v>4280</v>
      </c>
      <c r="B914" s="2200" t="s">
        <v>6105</v>
      </c>
      <c r="C914" s="2200" t="s">
        <v>6106</v>
      </c>
      <c r="D914" s="2200" t="str">
        <f t="shared" si="42"/>
        <v>KS</v>
      </c>
      <c r="E914" s="2200" t="str">
        <f t="shared" si="43"/>
        <v>20</v>
      </c>
      <c r="F914" s="2200" t="str">
        <f t="shared" si="44"/>
        <v>045</v>
      </c>
      <c r="G914" s="2200">
        <f>--SUBTOTAL(3,C$2:C914)</f>
        <v>67</v>
      </c>
    </row>
    <row r="915" spans="1:7" hidden="1" x14ac:dyDescent="0.15">
      <c r="A915" s="2200" t="s">
        <v>4280</v>
      </c>
      <c r="B915" s="2200" t="s">
        <v>6107</v>
      </c>
      <c r="C915" s="2200" t="s">
        <v>6108</v>
      </c>
      <c r="D915" s="2200" t="str">
        <f t="shared" si="42"/>
        <v>KS</v>
      </c>
      <c r="E915" s="2200" t="str">
        <f t="shared" si="43"/>
        <v>20</v>
      </c>
      <c r="F915" s="2200" t="str">
        <f t="shared" si="44"/>
        <v>047</v>
      </c>
      <c r="G915" s="2200">
        <f>--SUBTOTAL(3,C$2:C915)</f>
        <v>67</v>
      </c>
    </row>
    <row r="916" spans="1:7" hidden="1" x14ac:dyDescent="0.15">
      <c r="A916" s="2200" t="s">
        <v>4280</v>
      </c>
      <c r="B916" s="2200" t="s">
        <v>6109</v>
      </c>
      <c r="C916" s="2200" t="s">
        <v>6110</v>
      </c>
      <c r="D916" s="2200" t="str">
        <f t="shared" si="42"/>
        <v>KS</v>
      </c>
      <c r="E916" s="2200" t="str">
        <f t="shared" si="43"/>
        <v>20</v>
      </c>
      <c r="F916" s="2200" t="str">
        <f t="shared" si="44"/>
        <v>049</v>
      </c>
      <c r="G916" s="2200">
        <f>--SUBTOTAL(3,C$2:C916)</f>
        <v>67</v>
      </c>
    </row>
    <row r="917" spans="1:7" hidden="1" x14ac:dyDescent="0.15">
      <c r="A917" s="2200" t="s">
        <v>4280</v>
      </c>
      <c r="B917" s="2200" t="s">
        <v>6111</v>
      </c>
      <c r="C917" s="2200" t="s">
        <v>6112</v>
      </c>
      <c r="D917" s="2200" t="str">
        <f t="shared" si="42"/>
        <v>KS</v>
      </c>
      <c r="E917" s="2200" t="str">
        <f t="shared" si="43"/>
        <v>20</v>
      </c>
      <c r="F917" s="2200" t="str">
        <f t="shared" si="44"/>
        <v>051</v>
      </c>
      <c r="G917" s="2200">
        <f>--SUBTOTAL(3,C$2:C917)</f>
        <v>67</v>
      </c>
    </row>
    <row r="918" spans="1:7" hidden="1" x14ac:dyDescent="0.15">
      <c r="A918" s="2200" t="s">
        <v>4280</v>
      </c>
      <c r="B918" s="2200" t="s">
        <v>6113</v>
      </c>
      <c r="C918" s="2200" t="s">
        <v>6114</v>
      </c>
      <c r="D918" s="2200" t="str">
        <f t="shared" si="42"/>
        <v>KS</v>
      </c>
      <c r="E918" s="2200" t="str">
        <f t="shared" si="43"/>
        <v>20</v>
      </c>
      <c r="F918" s="2200" t="str">
        <f t="shared" si="44"/>
        <v>053</v>
      </c>
      <c r="G918" s="2200">
        <f>--SUBTOTAL(3,C$2:C918)</f>
        <v>67</v>
      </c>
    </row>
    <row r="919" spans="1:7" hidden="1" x14ac:dyDescent="0.15">
      <c r="A919" s="2200" t="s">
        <v>4280</v>
      </c>
      <c r="B919" s="2200" t="s">
        <v>6115</v>
      </c>
      <c r="C919" s="2200" t="s">
        <v>6116</v>
      </c>
      <c r="D919" s="2200" t="str">
        <f t="shared" si="42"/>
        <v>KS</v>
      </c>
      <c r="E919" s="2200" t="str">
        <f t="shared" si="43"/>
        <v>20</v>
      </c>
      <c r="F919" s="2200" t="str">
        <f t="shared" si="44"/>
        <v>055</v>
      </c>
      <c r="G919" s="2200">
        <f>--SUBTOTAL(3,C$2:C919)</f>
        <v>67</v>
      </c>
    </row>
    <row r="920" spans="1:7" hidden="1" x14ac:dyDescent="0.15">
      <c r="A920" s="2200" t="s">
        <v>4280</v>
      </c>
      <c r="B920" s="2200" t="s">
        <v>6117</v>
      </c>
      <c r="C920" s="2200" t="s">
        <v>6118</v>
      </c>
      <c r="D920" s="2200" t="str">
        <f t="shared" si="42"/>
        <v>KS</v>
      </c>
      <c r="E920" s="2200" t="str">
        <f t="shared" si="43"/>
        <v>20</v>
      </c>
      <c r="F920" s="2200" t="str">
        <f t="shared" si="44"/>
        <v>057</v>
      </c>
      <c r="G920" s="2200">
        <f>--SUBTOTAL(3,C$2:C920)</f>
        <v>67</v>
      </c>
    </row>
    <row r="921" spans="1:7" hidden="1" x14ac:dyDescent="0.15">
      <c r="A921" s="2200" t="s">
        <v>4280</v>
      </c>
      <c r="B921" s="2200" t="s">
        <v>6119</v>
      </c>
      <c r="C921" s="2200" t="s">
        <v>6120</v>
      </c>
      <c r="D921" s="2200" t="str">
        <f t="shared" si="42"/>
        <v>KS</v>
      </c>
      <c r="E921" s="2200" t="str">
        <f t="shared" si="43"/>
        <v>20</v>
      </c>
      <c r="F921" s="2200" t="str">
        <f t="shared" si="44"/>
        <v>059</v>
      </c>
      <c r="G921" s="2200">
        <f>--SUBTOTAL(3,C$2:C921)</f>
        <v>67</v>
      </c>
    </row>
    <row r="922" spans="1:7" hidden="1" x14ac:dyDescent="0.15">
      <c r="A922" s="2200" t="s">
        <v>4280</v>
      </c>
      <c r="B922" s="2200" t="s">
        <v>6121</v>
      </c>
      <c r="C922" s="2200" t="s">
        <v>6122</v>
      </c>
      <c r="D922" s="2200" t="str">
        <f t="shared" si="42"/>
        <v>KS</v>
      </c>
      <c r="E922" s="2200" t="str">
        <f t="shared" si="43"/>
        <v>20</v>
      </c>
      <c r="F922" s="2200" t="str">
        <f t="shared" si="44"/>
        <v>061</v>
      </c>
      <c r="G922" s="2200">
        <f>--SUBTOTAL(3,C$2:C922)</f>
        <v>67</v>
      </c>
    </row>
    <row r="923" spans="1:7" hidden="1" x14ac:dyDescent="0.15">
      <c r="A923" s="2200" t="s">
        <v>4280</v>
      </c>
      <c r="B923" s="2200" t="s">
        <v>6123</v>
      </c>
      <c r="C923" s="2200" t="s">
        <v>6124</v>
      </c>
      <c r="D923" s="2200" t="str">
        <f t="shared" si="42"/>
        <v>KS</v>
      </c>
      <c r="E923" s="2200" t="str">
        <f t="shared" si="43"/>
        <v>20</v>
      </c>
      <c r="F923" s="2200" t="str">
        <f t="shared" si="44"/>
        <v>063</v>
      </c>
      <c r="G923" s="2200">
        <f>--SUBTOTAL(3,C$2:C923)</f>
        <v>67</v>
      </c>
    </row>
    <row r="924" spans="1:7" hidden="1" x14ac:dyDescent="0.15">
      <c r="A924" s="2200" t="s">
        <v>4280</v>
      </c>
      <c r="B924" s="2200" t="s">
        <v>6125</v>
      </c>
      <c r="C924" s="2200" t="s">
        <v>6126</v>
      </c>
      <c r="D924" s="2200" t="str">
        <f t="shared" si="42"/>
        <v>KS</v>
      </c>
      <c r="E924" s="2200" t="str">
        <f t="shared" si="43"/>
        <v>20</v>
      </c>
      <c r="F924" s="2200" t="str">
        <f t="shared" si="44"/>
        <v>065</v>
      </c>
      <c r="G924" s="2200">
        <f>--SUBTOTAL(3,C$2:C924)</f>
        <v>67</v>
      </c>
    </row>
    <row r="925" spans="1:7" hidden="1" x14ac:dyDescent="0.15">
      <c r="A925" s="2200" t="s">
        <v>4280</v>
      </c>
      <c r="B925" s="2200" t="s">
        <v>6127</v>
      </c>
      <c r="C925" s="2200" t="s">
        <v>6128</v>
      </c>
      <c r="D925" s="2200" t="str">
        <f t="shared" si="42"/>
        <v>KS</v>
      </c>
      <c r="E925" s="2200" t="str">
        <f t="shared" si="43"/>
        <v>20</v>
      </c>
      <c r="F925" s="2200" t="str">
        <f t="shared" si="44"/>
        <v>067</v>
      </c>
      <c r="G925" s="2200">
        <f>--SUBTOTAL(3,C$2:C925)</f>
        <v>67</v>
      </c>
    </row>
    <row r="926" spans="1:7" hidden="1" x14ac:dyDescent="0.15">
      <c r="A926" s="2200" t="s">
        <v>4280</v>
      </c>
      <c r="B926" s="2200" t="s">
        <v>6129</v>
      </c>
      <c r="C926" s="2200" t="s">
        <v>6130</v>
      </c>
      <c r="D926" s="2200" t="str">
        <f t="shared" si="42"/>
        <v>KS</v>
      </c>
      <c r="E926" s="2200" t="str">
        <f t="shared" si="43"/>
        <v>20</v>
      </c>
      <c r="F926" s="2200" t="str">
        <f t="shared" si="44"/>
        <v>069</v>
      </c>
      <c r="G926" s="2200">
        <f>--SUBTOTAL(3,C$2:C926)</f>
        <v>67</v>
      </c>
    </row>
    <row r="927" spans="1:7" hidden="1" x14ac:dyDescent="0.15">
      <c r="A927" s="2200" t="s">
        <v>4280</v>
      </c>
      <c r="B927" s="2200" t="s">
        <v>6131</v>
      </c>
      <c r="C927" s="2200" t="s">
        <v>6132</v>
      </c>
      <c r="D927" s="2200" t="str">
        <f t="shared" si="42"/>
        <v>KS</v>
      </c>
      <c r="E927" s="2200" t="str">
        <f t="shared" si="43"/>
        <v>20</v>
      </c>
      <c r="F927" s="2200" t="str">
        <f t="shared" si="44"/>
        <v>071</v>
      </c>
      <c r="G927" s="2200">
        <f>--SUBTOTAL(3,C$2:C927)</f>
        <v>67</v>
      </c>
    </row>
    <row r="928" spans="1:7" hidden="1" x14ac:dyDescent="0.15">
      <c r="A928" s="2200" t="s">
        <v>4280</v>
      </c>
      <c r="B928" s="2200" t="s">
        <v>6133</v>
      </c>
      <c r="C928" s="2200" t="s">
        <v>6134</v>
      </c>
      <c r="D928" s="2200" t="str">
        <f t="shared" si="42"/>
        <v>KS</v>
      </c>
      <c r="E928" s="2200" t="str">
        <f t="shared" si="43"/>
        <v>20</v>
      </c>
      <c r="F928" s="2200" t="str">
        <f t="shared" si="44"/>
        <v>073</v>
      </c>
      <c r="G928" s="2200">
        <f>--SUBTOTAL(3,C$2:C928)</f>
        <v>67</v>
      </c>
    </row>
    <row r="929" spans="1:7" hidden="1" x14ac:dyDescent="0.15">
      <c r="A929" s="2200" t="s">
        <v>4280</v>
      </c>
      <c r="B929" s="2200" t="s">
        <v>6135</v>
      </c>
      <c r="C929" s="2200" t="s">
        <v>6136</v>
      </c>
      <c r="D929" s="2200" t="str">
        <f t="shared" si="42"/>
        <v>KS</v>
      </c>
      <c r="E929" s="2200" t="str">
        <f t="shared" si="43"/>
        <v>20</v>
      </c>
      <c r="F929" s="2200" t="str">
        <f t="shared" si="44"/>
        <v>075</v>
      </c>
      <c r="G929" s="2200">
        <f>--SUBTOTAL(3,C$2:C929)</f>
        <v>67</v>
      </c>
    </row>
    <row r="930" spans="1:7" hidden="1" x14ac:dyDescent="0.15">
      <c r="A930" s="2200" t="s">
        <v>4280</v>
      </c>
      <c r="B930" s="2200" t="s">
        <v>6137</v>
      </c>
      <c r="C930" s="2200" t="s">
        <v>6138</v>
      </c>
      <c r="D930" s="2200" t="str">
        <f t="shared" si="42"/>
        <v>KS</v>
      </c>
      <c r="E930" s="2200" t="str">
        <f t="shared" si="43"/>
        <v>20</v>
      </c>
      <c r="F930" s="2200" t="str">
        <f t="shared" si="44"/>
        <v>077</v>
      </c>
      <c r="G930" s="2200">
        <f>--SUBTOTAL(3,C$2:C930)</f>
        <v>67</v>
      </c>
    </row>
    <row r="931" spans="1:7" hidden="1" x14ac:dyDescent="0.15">
      <c r="A931" s="2200" t="s">
        <v>4280</v>
      </c>
      <c r="B931" s="2200" t="s">
        <v>6139</v>
      </c>
      <c r="C931" s="2200" t="s">
        <v>6140</v>
      </c>
      <c r="D931" s="2200" t="str">
        <f t="shared" si="42"/>
        <v>KS</v>
      </c>
      <c r="E931" s="2200" t="str">
        <f t="shared" si="43"/>
        <v>20</v>
      </c>
      <c r="F931" s="2200" t="str">
        <f t="shared" si="44"/>
        <v>079</v>
      </c>
      <c r="G931" s="2200">
        <f>--SUBTOTAL(3,C$2:C931)</f>
        <v>67</v>
      </c>
    </row>
    <row r="932" spans="1:7" hidden="1" x14ac:dyDescent="0.15">
      <c r="A932" s="2200" t="s">
        <v>4280</v>
      </c>
      <c r="B932" s="2200" t="s">
        <v>6141</v>
      </c>
      <c r="C932" s="2200" t="s">
        <v>6142</v>
      </c>
      <c r="D932" s="2200" t="str">
        <f t="shared" si="42"/>
        <v>KS</v>
      </c>
      <c r="E932" s="2200" t="str">
        <f t="shared" si="43"/>
        <v>20</v>
      </c>
      <c r="F932" s="2200" t="str">
        <f t="shared" si="44"/>
        <v>081</v>
      </c>
      <c r="G932" s="2200">
        <f>--SUBTOTAL(3,C$2:C932)</f>
        <v>67</v>
      </c>
    </row>
    <row r="933" spans="1:7" hidden="1" x14ac:dyDescent="0.15">
      <c r="A933" s="2200" t="s">
        <v>4280</v>
      </c>
      <c r="B933" s="2200" t="s">
        <v>6143</v>
      </c>
      <c r="C933" s="2200" t="s">
        <v>6144</v>
      </c>
      <c r="D933" s="2200" t="str">
        <f t="shared" si="42"/>
        <v>KS</v>
      </c>
      <c r="E933" s="2200" t="str">
        <f t="shared" si="43"/>
        <v>20</v>
      </c>
      <c r="F933" s="2200" t="str">
        <f t="shared" si="44"/>
        <v>083</v>
      </c>
      <c r="G933" s="2200">
        <f>--SUBTOTAL(3,C$2:C933)</f>
        <v>67</v>
      </c>
    </row>
    <row r="934" spans="1:7" hidden="1" x14ac:dyDescent="0.15">
      <c r="A934" s="2200" t="s">
        <v>4280</v>
      </c>
      <c r="B934" s="2200" t="s">
        <v>6145</v>
      </c>
      <c r="C934" s="2200" t="s">
        <v>6146</v>
      </c>
      <c r="D934" s="2200" t="str">
        <f t="shared" si="42"/>
        <v>KS</v>
      </c>
      <c r="E934" s="2200" t="str">
        <f t="shared" si="43"/>
        <v>20</v>
      </c>
      <c r="F934" s="2200" t="str">
        <f t="shared" si="44"/>
        <v>085</v>
      </c>
      <c r="G934" s="2200">
        <f>--SUBTOTAL(3,C$2:C934)</f>
        <v>67</v>
      </c>
    </row>
    <row r="935" spans="1:7" hidden="1" x14ac:dyDescent="0.15">
      <c r="A935" s="2200" t="s">
        <v>4280</v>
      </c>
      <c r="B935" s="2200" t="s">
        <v>6147</v>
      </c>
      <c r="C935" s="2200" t="s">
        <v>6148</v>
      </c>
      <c r="D935" s="2200" t="str">
        <f t="shared" si="42"/>
        <v>KS</v>
      </c>
      <c r="E935" s="2200" t="str">
        <f t="shared" si="43"/>
        <v>20</v>
      </c>
      <c r="F935" s="2200" t="str">
        <f t="shared" si="44"/>
        <v>087</v>
      </c>
      <c r="G935" s="2200">
        <f>--SUBTOTAL(3,C$2:C935)</f>
        <v>67</v>
      </c>
    </row>
    <row r="936" spans="1:7" hidden="1" x14ac:dyDescent="0.15">
      <c r="A936" s="2200" t="s">
        <v>4280</v>
      </c>
      <c r="B936" s="2200" t="s">
        <v>6149</v>
      </c>
      <c r="C936" s="2200" t="s">
        <v>6150</v>
      </c>
      <c r="D936" s="2200" t="str">
        <f t="shared" si="42"/>
        <v>KS</v>
      </c>
      <c r="E936" s="2200" t="str">
        <f t="shared" si="43"/>
        <v>20</v>
      </c>
      <c r="F936" s="2200" t="str">
        <f t="shared" si="44"/>
        <v>089</v>
      </c>
      <c r="G936" s="2200">
        <f>--SUBTOTAL(3,C$2:C936)</f>
        <v>67</v>
      </c>
    </row>
    <row r="937" spans="1:7" hidden="1" x14ac:dyDescent="0.15">
      <c r="A937" s="2200" t="s">
        <v>4280</v>
      </c>
      <c r="B937" s="2200" t="s">
        <v>6151</v>
      </c>
      <c r="C937" s="2200" t="s">
        <v>6152</v>
      </c>
      <c r="D937" s="2200" t="str">
        <f t="shared" si="42"/>
        <v>KS</v>
      </c>
      <c r="E937" s="2200" t="str">
        <f t="shared" si="43"/>
        <v>20</v>
      </c>
      <c r="F937" s="2200" t="str">
        <f t="shared" si="44"/>
        <v>091</v>
      </c>
      <c r="G937" s="2200">
        <f>--SUBTOTAL(3,C$2:C937)</f>
        <v>67</v>
      </c>
    </row>
    <row r="938" spans="1:7" hidden="1" x14ac:dyDescent="0.15">
      <c r="A938" s="2200" t="s">
        <v>4280</v>
      </c>
      <c r="B938" s="2200" t="s">
        <v>6153</v>
      </c>
      <c r="C938" s="2200" t="s">
        <v>6154</v>
      </c>
      <c r="D938" s="2200" t="str">
        <f t="shared" si="42"/>
        <v>KS</v>
      </c>
      <c r="E938" s="2200" t="str">
        <f t="shared" si="43"/>
        <v>20</v>
      </c>
      <c r="F938" s="2200" t="str">
        <f t="shared" si="44"/>
        <v>093</v>
      </c>
      <c r="G938" s="2200">
        <f>--SUBTOTAL(3,C$2:C938)</f>
        <v>67</v>
      </c>
    </row>
    <row r="939" spans="1:7" hidden="1" x14ac:dyDescent="0.15">
      <c r="A939" s="2200" t="s">
        <v>4280</v>
      </c>
      <c r="B939" s="2200" t="s">
        <v>6155</v>
      </c>
      <c r="C939" s="2200" t="s">
        <v>6156</v>
      </c>
      <c r="D939" s="2200" t="str">
        <f t="shared" si="42"/>
        <v>KS</v>
      </c>
      <c r="E939" s="2200" t="str">
        <f t="shared" si="43"/>
        <v>20</v>
      </c>
      <c r="F939" s="2200" t="str">
        <f t="shared" si="44"/>
        <v>095</v>
      </c>
      <c r="G939" s="2200">
        <f>--SUBTOTAL(3,C$2:C939)</f>
        <v>67</v>
      </c>
    </row>
    <row r="940" spans="1:7" hidden="1" x14ac:dyDescent="0.15">
      <c r="A940" s="2200" t="s">
        <v>4280</v>
      </c>
      <c r="B940" s="2200" t="s">
        <v>6157</v>
      </c>
      <c r="C940" s="2200" t="s">
        <v>6158</v>
      </c>
      <c r="D940" s="2200" t="str">
        <f t="shared" si="42"/>
        <v>KS</v>
      </c>
      <c r="E940" s="2200" t="str">
        <f t="shared" si="43"/>
        <v>20</v>
      </c>
      <c r="F940" s="2200" t="str">
        <f t="shared" si="44"/>
        <v>097</v>
      </c>
      <c r="G940" s="2200">
        <f>--SUBTOTAL(3,C$2:C940)</f>
        <v>67</v>
      </c>
    </row>
    <row r="941" spans="1:7" hidden="1" x14ac:dyDescent="0.15">
      <c r="A941" s="2200" t="s">
        <v>4280</v>
      </c>
      <c r="B941" s="2200" t="s">
        <v>6159</v>
      </c>
      <c r="C941" s="2200" t="s">
        <v>6160</v>
      </c>
      <c r="D941" s="2200" t="str">
        <f t="shared" si="42"/>
        <v>KS</v>
      </c>
      <c r="E941" s="2200" t="str">
        <f t="shared" si="43"/>
        <v>20</v>
      </c>
      <c r="F941" s="2200" t="str">
        <f t="shared" si="44"/>
        <v>099</v>
      </c>
      <c r="G941" s="2200">
        <f>--SUBTOTAL(3,C$2:C941)</f>
        <v>67</v>
      </c>
    </row>
    <row r="942" spans="1:7" hidden="1" x14ac:dyDescent="0.15">
      <c r="A942" s="2200" t="s">
        <v>4280</v>
      </c>
      <c r="B942" s="2200" t="s">
        <v>6161</v>
      </c>
      <c r="C942" s="2200" t="s">
        <v>6162</v>
      </c>
      <c r="D942" s="2200" t="str">
        <f t="shared" si="42"/>
        <v>KS</v>
      </c>
      <c r="E942" s="2200" t="str">
        <f t="shared" si="43"/>
        <v>20</v>
      </c>
      <c r="F942" s="2200" t="str">
        <f t="shared" si="44"/>
        <v>101</v>
      </c>
      <c r="G942" s="2200">
        <f>--SUBTOTAL(3,C$2:C942)</f>
        <v>67</v>
      </c>
    </row>
    <row r="943" spans="1:7" hidden="1" x14ac:dyDescent="0.15">
      <c r="A943" s="2200" t="s">
        <v>4280</v>
      </c>
      <c r="B943" s="2200" t="s">
        <v>6163</v>
      </c>
      <c r="C943" s="2200" t="s">
        <v>6164</v>
      </c>
      <c r="D943" s="2200" t="str">
        <f t="shared" si="42"/>
        <v>KS</v>
      </c>
      <c r="E943" s="2200" t="str">
        <f t="shared" si="43"/>
        <v>20</v>
      </c>
      <c r="F943" s="2200" t="str">
        <f t="shared" si="44"/>
        <v>103</v>
      </c>
      <c r="G943" s="2200">
        <f>--SUBTOTAL(3,C$2:C943)</f>
        <v>67</v>
      </c>
    </row>
    <row r="944" spans="1:7" hidden="1" x14ac:dyDescent="0.15">
      <c r="A944" s="2200" t="s">
        <v>4280</v>
      </c>
      <c r="B944" s="2200" t="s">
        <v>6165</v>
      </c>
      <c r="C944" s="2200" t="s">
        <v>6166</v>
      </c>
      <c r="D944" s="2200" t="str">
        <f t="shared" si="42"/>
        <v>KS</v>
      </c>
      <c r="E944" s="2200" t="str">
        <f t="shared" si="43"/>
        <v>20</v>
      </c>
      <c r="F944" s="2200" t="str">
        <f t="shared" si="44"/>
        <v>105</v>
      </c>
      <c r="G944" s="2200">
        <f>--SUBTOTAL(3,C$2:C944)</f>
        <v>67</v>
      </c>
    </row>
    <row r="945" spans="1:7" hidden="1" x14ac:dyDescent="0.15">
      <c r="A945" s="2200" t="s">
        <v>4280</v>
      </c>
      <c r="B945" s="2200" t="s">
        <v>6167</v>
      </c>
      <c r="C945" s="2200" t="s">
        <v>6168</v>
      </c>
      <c r="D945" s="2200" t="str">
        <f t="shared" si="42"/>
        <v>KS</v>
      </c>
      <c r="E945" s="2200" t="str">
        <f t="shared" si="43"/>
        <v>20</v>
      </c>
      <c r="F945" s="2200" t="str">
        <f t="shared" si="44"/>
        <v>107</v>
      </c>
      <c r="G945" s="2200">
        <f>--SUBTOTAL(3,C$2:C945)</f>
        <v>67</v>
      </c>
    </row>
    <row r="946" spans="1:7" hidden="1" x14ac:dyDescent="0.15">
      <c r="A946" s="2200" t="s">
        <v>4280</v>
      </c>
      <c r="B946" s="2200" t="s">
        <v>6169</v>
      </c>
      <c r="C946" s="2200" t="s">
        <v>6170</v>
      </c>
      <c r="D946" s="2200" t="str">
        <f t="shared" si="42"/>
        <v>KS</v>
      </c>
      <c r="E946" s="2200" t="str">
        <f t="shared" si="43"/>
        <v>20</v>
      </c>
      <c r="F946" s="2200" t="str">
        <f t="shared" si="44"/>
        <v>109</v>
      </c>
      <c r="G946" s="2200">
        <f>--SUBTOTAL(3,C$2:C946)</f>
        <v>67</v>
      </c>
    </row>
    <row r="947" spans="1:7" hidden="1" x14ac:dyDescent="0.15">
      <c r="A947" s="2200" t="s">
        <v>4280</v>
      </c>
      <c r="B947" s="2200" t="s">
        <v>6171</v>
      </c>
      <c r="C947" s="2200" t="s">
        <v>6172</v>
      </c>
      <c r="D947" s="2200" t="str">
        <f t="shared" si="42"/>
        <v>KS</v>
      </c>
      <c r="E947" s="2200" t="str">
        <f t="shared" si="43"/>
        <v>20</v>
      </c>
      <c r="F947" s="2200" t="str">
        <f t="shared" si="44"/>
        <v>111</v>
      </c>
      <c r="G947" s="2200">
        <f>--SUBTOTAL(3,C$2:C947)</f>
        <v>67</v>
      </c>
    </row>
    <row r="948" spans="1:7" hidden="1" x14ac:dyDescent="0.15">
      <c r="A948" s="2200" t="s">
        <v>4280</v>
      </c>
      <c r="B948" s="2200" t="s">
        <v>6173</v>
      </c>
      <c r="C948" s="2200" t="s">
        <v>6174</v>
      </c>
      <c r="D948" s="2200" t="str">
        <f t="shared" si="42"/>
        <v>KS</v>
      </c>
      <c r="E948" s="2200" t="str">
        <f t="shared" si="43"/>
        <v>20</v>
      </c>
      <c r="F948" s="2200" t="str">
        <f t="shared" si="44"/>
        <v>113</v>
      </c>
      <c r="G948" s="2200">
        <f>--SUBTOTAL(3,C$2:C948)</f>
        <v>67</v>
      </c>
    </row>
    <row r="949" spans="1:7" hidden="1" x14ac:dyDescent="0.15">
      <c r="A949" s="2200" t="s">
        <v>4280</v>
      </c>
      <c r="B949" s="2200" t="s">
        <v>6175</v>
      </c>
      <c r="C949" s="2200" t="s">
        <v>6176</v>
      </c>
      <c r="D949" s="2200" t="str">
        <f t="shared" si="42"/>
        <v>KS</v>
      </c>
      <c r="E949" s="2200" t="str">
        <f t="shared" si="43"/>
        <v>20</v>
      </c>
      <c r="F949" s="2200" t="str">
        <f t="shared" si="44"/>
        <v>115</v>
      </c>
      <c r="G949" s="2200">
        <f>--SUBTOTAL(3,C$2:C949)</f>
        <v>67</v>
      </c>
    </row>
    <row r="950" spans="1:7" hidden="1" x14ac:dyDescent="0.15">
      <c r="A950" s="2200" t="s">
        <v>4280</v>
      </c>
      <c r="B950" s="2200" t="s">
        <v>6177</v>
      </c>
      <c r="C950" s="2200" t="s">
        <v>6178</v>
      </c>
      <c r="D950" s="2200" t="str">
        <f t="shared" si="42"/>
        <v>KS</v>
      </c>
      <c r="E950" s="2200" t="str">
        <f t="shared" si="43"/>
        <v>20</v>
      </c>
      <c r="F950" s="2200" t="str">
        <f t="shared" si="44"/>
        <v>117</v>
      </c>
      <c r="G950" s="2200">
        <f>--SUBTOTAL(3,C$2:C950)</f>
        <v>67</v>
      </c>
    </row>
    <row r="951" spans="1:7" hidden="1" x14ac:dyDescent="0.15">
      <c r="A951" s="2200" t="s">
        <v>4280</v>
      </c>
      <c r="B951" s="2200" t="s">
        <v>6179</v>
      </c>
      <c r="C951" s="2200" t="s">
        <v>6180</v>
      </c>
      <c r="D951" s="2200" t="str">
        <f t="shared" si="42"/>
        <v>KS</v>
      </c>
      <c r="E951" s="2200" t="str">
        <f t="shared" si="43"/>
        <v>20</v>
      </c>
      <c r="F951" s="2200" t="str">
        <f t="shared" si="44"/>
        <v>119</v>
      </c>
      <c r="G951" s="2200">
        <f>--SUBTOTAL(3,C$2:C951)</f>
        <v>67</v>
      </c>
    </row>
    <row r="952" spans="1:7" hidden="1" x14ac:dyDescent="0.15">
      <c r="A952" s="2200" t="s">
        <v>4280</v>
      </c>
      <c r="B952" s="2200" t="s">
        <v>6181</v>
      </c>
      <c r="C952" s="2200" t="s">
        <v>6182</v>
      </c>
      <c r="D952" s="2200" t="str">
        <f t="shared" si="42"/>
        <v>KS</v>
      </c>
      <c r="E952" s="2200" t="str">
        <f t="shared" si="43"/>
        <v>20</v>
      </c>
      <c r="F952" s="2200" t="str">
        <f t="shared" si="44"/>
        <v>121</v>
      </c>
      <c r="G952" s="2200">
        <f>--SUBTOTAL(3,C$2:C952)</f>
        <v>67</v>
      </c>
    </row>
    <row r="953" spans="1:7" hidden="1" x14ac:dyDescent="0.15">
      <c r="A953" s="2200" t="s">
        <v>4280</v>
      </c>
      <c r="B953" s="2200" t="s">
        <v>6183</v>
      </c>
      <c r="C953" s="2200" t="s">
        <v>6184</v>
      </c>
      <c r="D953" s="2200" t="str">
        <f t="shared" si="42"/>
        <v>KS</v>
      </c>
      <c r="E953" s="2200" t="str">
        <f t="shared" si="43"/>
        <v>20</v>
      </c>
      <c r="F953" s="2200" t="str">
        <f t="shared" si="44"/>
        <v>123</v>
      </c>
      <c r="G953" s="2200">
        <f>--SUBTOTAL(3,C$2:C953)</f>
        <v>67</v>
      </c>
    </row>
    <row r="954" spans="1:7" hidden="1" x14ac:dyDescent="0.15">
      <c r="A954" s="2200" t="s">
        <v>4280</v>
      </c>
      <c r="B954" s="2200" t="s">
        <v>6185</v>
      </c>
      <c r="C954" s="2200" t="s">
        <v>6186</v>
      </c>
      <c r="D954" s="2200" t="str">
        <f t="shared" si="42"/>
        <v>KS</v>
      </c>
      <c r="E954" s="2200" t="str">
        <f t="shared" si="43"/>
        <v>20</v>
      </c>
      <c r="F954" s="2200" t="str">
        <f t="shared" si="44"/>
        <v>125</v>
      </c>
      <c r="G954" s="2200">
        <f>--SUBTOTAL(3,C$2:C954)</f>
        <v>67</v>
      </c>
    </row>
    <row r="955" spans="1:7" hidden="1" x14ac:dyDescent="0.15">
      <c r="A955" s="2200" t="s">
        <v>4280</v>
      </c>
      <c r="B955" s="2200" t="s">
        <v>6187</v>
      </c>
      <c r="C955" s="2200" t="s">
        <v>6188</v>
      </c>
      <c r="D955" s="2200" t="str">
        <f t="shared" si="42"/>
        <v>KS</v>
      </c>
      <c r="E955" s="2200" t="str">
        <f t="shared" si="43"/>
        <v>20</v>
      </c>
      <c r="F955" s="2200" t="str">
        <f t="shared" si="44"/>
        <v>127</v>
      </c>
      <c r="G955" s="2200">
        <f>--SUBTOTAL(3,C$2:C955)</f>
        <v>67</v>
      </c>
    </row>
    <row r="956" spans="1:7" hidden="1" x14ac:dyDescent="0.15">
      <c r="A956" s="2200" t="s">
        <v>4280</v>
      </c>
      <c r="B956" s="2200" t="s">
        <v>6189</v>
      </c>
      <c r="C956" s="2200" t="s">
        <v>6190</v>
      </c>
      <c r="D956" s="2200" t="str">
        <f t="shared" si="42"/>
        <v>KS</v>
      </c>
      <c r="E956" s="2200" t="str">
        <f t="shared" si="43"/>
        <v>20</v>
      </c>
      <c r="F956" s="2200" t="str">
        <f t="shared" si="44"/>
        <v>129</v>
      </c>
      <c r="G956" s="2200">
        <f>--SUBTOTAL(3,C$2:C956)</f>
        <v>67</v>
      </c>
    </row>
    <row r="957" spans="1:7" hidden="1" x14ac:dyDescent="0.15">
      <c r="A957" s="2200" t="s">
        <v>4280</v>
      </c>
      <c r="B957" s="2200" t="s">
        <v>6191</v>
      </c>
      <c r="C957" s="2200" t="s">
        <v>6192</v>
      </c>
      <c r="D957" s="2200" t="str">
        <f t="shared" si="42"/>
        <v>KS</v>
      </c>
      <c r="E957" s="2200" t="str">
        <f t="shared" si="43"/>
        <v>20</v>
      </c>
      <c r="F957" s="2200" t="str">
        <f t="shared" si="44"/>
        <v>131</v>
      </c>
      <c r="G957" s="2200">
        <f>--SUBTOTAL(3,C$2:C957)</f>
        <v>67</v>
      </c>
    </row>
    <row r="958" spans="1:7" hidden="1" x14ac:dyDescent="0.15">
      <c r="A958" s="2200" t="s">
        <v>4280</v>
      </c>
      <c r="B958" s="2200" t="s">
        <v>6193</v>
      </c>
      <c r="C958" s="2200" t="s">
        <v>6194</v>
      </c>
      <c r="D958" s="2200" t="str">
        <f t="shared" si="42"/>
        <v>KS</v>
      </c>
      <c r="E958" s="2200" t="str">
        <f t="shared" si="43"/>
        <v>20</v>
      </c>
      <c r="F958" s="2200" t="str">
        <f t="shared" si="44"/>
        <v>133</v>
      </c>
      <c r="G958" s="2200">
        <f>--SUBTOTAL(3,C$2:C958)</f>
        <v>67</v>
      </c>
    </row>
    <row r="959" spans="1:7" hidden="1" x14ac:dyDescent="0.15">
      <c r="A959" s="2200" t="s">
        <v>4280</v>
      </c>
      <c r="B959" s="2200" t="s">
        <v>6195</v>
      </c>
      <c r="C959" s="2200" t="s">
        <v>6196</v>
      </c>
      <c r="D959" s="2200" t="str">
        <f t="shared" si="42"/>
        <v>KS</v>
      </c>
      <c r="E959" s="2200" t="str">
        <f t="shared" si="43"/>
        <v>20</v>
      </c>
      <c r="F959" s="2200" t="str">
        <f t="shared" si="44"/>
        <v>135</v>
      </c>
      <c r="G959" s="2200">
        <f>--SUBTOTAL(3,C$2:C959)</f>
        <v>67</v>
      </c>
    </row>
    <row r="960" spans="1:7" hidden="1" x14ac:dyDescent="0.15">
      <c r="A960" s="2200" t="s">
        <v>4280</v>
      </c>
      <c r="B960" s="2200" t="s">
        <v>6197</v>
      </c>
      <c r="C960" s="2200" t="s">
        <v>6198</v>
      </c>
      <c r="D960" s="2200" t="str">
        <f t="shared" si="42"/>
        <v>KS</v>
      </c>
      <c r="E960" s="2200" t="str">
        <f t="shared" si="43"/>
        <v>20</v>
      </c>
      <c r="F960" s="2200" t="str">
        <f t="shared" si="44"/>
        <v>137</v>
      </c>
      <c r="G960" s="2200">
        <f>--SUBTOTAL(3,C$2:C960)</f>
        <v>67</v>
      </c>
    </row>
    <row r="961" spans="1:7" hidden="1" x14ac:dyDescent="0.15">
      <c r="A961" s="2200" t="s">
        <v>4280</v>
      </c>
      <c r="B961" s="2200" t="s">
        <v>6199</v>
      </c>
      <c r="C961" s="2200" t="s">
        <v>6200</v>
      </c>
      <c r="D961" s="2200" t="str">
        <f t="shared" si="42"/>
        <v>KS</v>
      </c>
      <c r="E961" s="2200" t="str">
        <f t="shared" si="43"/>
        <v>20</v>
      </c>
      <c r="F961" s="2200" t="str">
        <f t="shared" si="44"/>
        <v>139</v>
      </c>
      <c r="G961" s="2200">
        <f>--SUBTOTAL(3,C$2:C961)</f>
        <v>67</v>
      </c>
    </row>
    <row r="962" spans="1:7" hidden="1" x14ac:dyDescent="0.15">
      <c r="A962" s="2200" t="s">
        <v>4280</v>
      </c>
      <c r="B962" s="2200" t="s">
        <v>6201</v>
      </c>
      <c r="C962" s="2200" t="s">
        <v>6202</v>
      </c>
      <c r="D962" s="2200" t="str">
        <f t="shared" si="42"/>
        <v>KS</v>
      </c>
      <c r="E962" s="2200" t="str">
        <f t="shared" si="43"/>
        <v>20</v>
      </c>
      <c r="F962" s="2200" t="str">
        <f t="shared" si="44"/>
        <v>141</v>
      </c>
      <c r="G962" s="2200">
        <f>--SUBTOTAL(3,C$2:C962)</f>
        <v>67</v>
      </c>
    </row>
    <row r="963" spans="1:7" hidden="1" x14ac:dyDescent="0.15">
      <c r="A963" s="2200" t="s">
        <v>4280</v>
      </c>
      <c r="B963" s="2200" t="s">
        <v>6203</v>
      </c>
      <c r="C963" s="2200" t="s">
        <v>6204</v>
      </c>
      <c r="D963" s="2200" t="str">
        <f t="shared" ref="D963:D1026" si="45">RIGHT(C963,2)</f>
        <v>KS</v>
      </c>
      <c r="E963" s="2200" t="str">
        <f t="shared" ref="E963:E1026" si="46">MID(B963,3,2)</f>
        <v>20</v>
      </c>
      <c r="F963" s="2200" t="str">
        <f t="shared" ref="F963:F1026" si="47">MID(B963,5,3)</f>
        <v>143</v>
      </c>
      <c r="G963" s="2200">
        <f>--SUBTOTAL(3,C$2:C963)</f>
        <v>67</v>
      </c>
    </row>
    <row r="964" spans="1:7" hidden="1" x14ac:dyDescent="0.15">
      <c r="A964" s="2200" t="s">
        <v>4280</v>
      </c>
      <c r="B964" s="2200" t="s">
        <v>6205</v>
      </c>
      <c r="C964" s="2200" t="s">
        <v>6206</v>
      </c>
      <c r="D964" s="2200" t="str">
        <f t="shared" si="45"/>
        <v>KS</v>
      </c>
      <c r="E964" s="2200" t="str">
        <f t="shared" si="46"/>
        <v>20</v>
      </c>
      <c r="F964" s="2200" t="str">
        <f t="shared" si="47"/>
        <v>145</v>
      </c>
      <c r="G964" s="2200">
        <f>--SUBTOTAL(3,C$2:C964)</f>
        <v>67</v>
      </c>
    </row>
    <row r="965" spans="1:7" hidden="1" x14ac:dyDescent="0.15">
      <c r="A965" s="2200" t="s">
        <v>4280</v>
      </c>
      <c r="B965" s="2200" t="s">
        <v>6207</v>
      </c>
      <c r="C965" s="2200" t="s">
        <v>6208</v>
      </c>
      <c r="D965" s="2200" t="str">
        <f t="shared" si="45"/>
        <v>KS</v>
      </c>
      <c r="E965" s="2200" t="str">
        <f t="shared" si="46"/>
        <v>20</v>
      </c>
      <c r="F965" s="2200" t="str">
        <f t="shared" si="47"/>
        <v>147</v>
      </c>
      <c r="G965" s="2200">
        <f>--SUBTOTAL(3,C$2:C965)</f>
        <v>67</v>
      </c>
    </row>
    <row r="966" spans="1:7" hidden="1" x14ac:dyDescent="0.15">
      <c r="A966" s="2200" t="s">
        <v>4280</v>
      </c>
      <c r="B966" s="2200" t="s">
        <v>6209</v>
      </c>
      <c r="C966" s="2200" t="s">
        <v>6210</v>
      </c>
      <c r="D966" s="2200" t="str">
        <f t="shared" si="45"/>
        <v>KS</v>
      </c>
      <c r="E966" s="2200" t="str">
        <f t="shared" si="46"/>
        <v>20</v>
      </c>
      <c r="F966" s="2200" t="str">
        <f t="shared" si="47"/>
        <v>149</v>
      </c>
      <c r="G966" s="2200">
        <f>--SUBTOTAL(3,C$2:C966)</f>
        <v>67</v>
      </c>
    </row>
    <row r="967" spans="1:7" hidden="1" x14ac:dyDescent="0.15">
      <c r="A967" s="2200" t="s">
        <v>4280</v>
      </c>
      <c r="B967" s="2200" t="s">
        <v>6211</v>
      </c>
      <c r="C967" s="2200" t="s">
        <v>6212</v>
      </c>
      <c r="D967" s="2200" t="str">
        <f t="shared" si="45"/>
        <v>KS</v>
      </c>
      <c r="E967" s="2200" t="str">
        <f t="shared" si="46"/>
        <v>20</v>
      </c>
      <c r="F967" s="2200" t="str">
        <f t="shared" si="47"/>
        <v>151</v>
      </c>
      <c r="G967" s="2200">
        <f>--SUBTOTAL(3,C$2:C967)</f>
        <v>67</v>
      </c>
    </row>
    <row r="968" spans="1:7" hidden="1" x14ac:dyDescent="0.15">
      <c r="A968" s="2200" t="s">
        <v>4280</v>
      </c>
      <c r="B968" s="2200" t="s">
        <v>6213</v>
      </c>
      <c r="C968" s="2200" t="s">
        <v>6214</v>
      </c>
      <c r="D968" s="2200" t="str">
        <f t="shared" si="45"/>
        <v>KS</v>
      </c>
      <c r="E968" s="2200" t="str">
        <f t="shared" si="46"/>
        <v>20</v>
      </c>
      <c r="F968" s="2200" t="str">
        <f t="shared" si="47"/>
        <v>153</v>
      </c>
      <c r="G968" s="2200">
        <f>--SUBTOTAL(3,C$2:C968)</f>
        <v>67</v>
      </c>
    </row>
    <row r="969" spans="1:7" hidden="1" x14ac:dyDescent="0.15">
      <c r="A969" s="2200" t="s">
        <v>4280</v>
      </c>
      <c r="B969" s="2200" t="s">
        <v>6215</v>
      </c>
      <c r="C969" s="2200" t="s">
        <v>6216</v>
      </c>
      <c r="D969" s="2200" t="str">
        <f t="shared" si="45"/>
        <v>KS</v>
      </c>
      <c r="E969" s="2200" t="str">
        <f t="shared" si="46"/>
        <v>20</v>
      </c>
      <c r="F969" s="2200" t="str">
        <f t="shared" si="47"/>
        <v>155</v>
      </c>
      <c r="G969" s="2200">
        <f>--SUBTOTAL(3,C$2:C969)</f>
        <v>67</v>
      </c>
    </row>
    <row r="970" spans="1:7" hidden="1" x14ac:dyDescent="0.15">
      <c r="A970" s="2200" t="s">
        <v>4280</v>
      </c>
      <c r="B970" s="2200" t="s">
        <v>6217</v>
      </c>
      <c r="C970" s="2200" t="s">
        <v>6218</v>
      </c>
      <c r="D970" s="2200" t="str">
        <f t="shared" si="45"/>
        <v>KS</v>
      </c>
      <c r="E970" s="2200" t="str">
        <f t="shared" si="46"/>
        <v>20</v>
      </c>
      <c r="F970" s="2200" t="str">
        <f t="shared" si="47"/>
        <v>157</v>
      </c>
      <c r="G970" s="2200">
        <f>--SUBTOTAL(3,C$2:C970)</f>
        <v>67</v>
      </c>
    </row>
    <row r="971" spans="1:7" hidden="1" x14ac:dyDescent="0.15">
      <c r="A971" s="2200" t="s">
        <v>4280</v>
      </c>
      <c r="B971" s="2200" t="s">
        <v>6219</v>
      </c>
      <c r="C971" s="2200" t="s">
        <v>6220</v>
      </c>
      <c r="D971" s="2200" t="str">
        <f t="shared" si="45"/>
        <v>KS</v>
      </c>
      <c r="E971" s="2200" t="str">
        <f t="shared" si="46"/>
        <v>20</v>
      </c>
      <c r="F971" s="2200" t="str">
        <f t="shared" si="47"/>
        <v>159</v>
      </c>
      <c r="G971" s="2200">
        <f>--SUBTOTAL(3,C$2:C971)</f>
        <v>67</v>
      </c>
    </row>
    <row r="972" spans="1:7" hidden="1" x14ac:dyDescent="0.15">
      <c r="A972" s="2200" t="s">
        <v>4280</v>
      </c>
      <c r="B972" s="2200" t="s">
        <v>6221</v>
      </c>
      <c r="C972" s="2200" t="s">
        <v>6222</v>
      </c>
      <c r="D972" s="2200" t="str">
        <f t="shared" si="45"/>
        <v>KS</v>
      </c>
      <c r="E972" s="2200" t="str">
        <f t="shared" si="46"/>
        <v>20</v>
      </c>
      <c r="F972" s="2200" t="str">
        <f t="shared" si="47"/>
        <v>161</v>
      </c>
      <c r="G972" s="2200">
        <f>--SUBTOTAL(3,C$2:C972)</f>
        <v>67</v>
      </c>
    </row>
    <row r="973" spans="1:7" hidden="1" x14ac:dyDescent="0.15">
      <c r="A973" s="2200" t="s">
        <v>4280</v>
      </c>
      <c r="B973" s="2200" t="s">
        <v>6223</v>
      </c>
      <c r="C973" s="2200" t="s">
        <v>6224</v>
      </c>
      <c r="D973" s="2200" t="str">
        <f t="shared" si="45"/>
        <v>KS</v>
      </c>
      <c r="E973" s="2200" t="str">
        <f t="shared" si="46"/>
        <v>20</v>
      </c>
      <c r="F973" s="2200" t="str">
        <f t="shared" si="47"/>
        <v>163</v>
      </c>
      <c r="G973" s="2200">
        <f>--SUBTOTAL(3,C$2:C973)</f>
        <v>67</v>
      </c>
    </row>
    <row r="974" spans="1:7" hidden="1" x14ac:dyDescent="0.15">
      <c r="A974" s="2200" t="s">
        <v>4280</v>
      </c>
      <c r="B974" s="2200" t="s">
        <v>6225</v>
      </c>
      <c r="C974" s="2200" t="s">
        <v>6226</v>
      </c>
      <c r="D974" s="2200" t="str">
        <f t="shared" si="45"/>
        <v>KS</v>
      </c>
      <c r="E974" s="2200" t="str">
        <f t="shared" si="46"/>
        <v>20</v>
      </c>
      <c r="F974" s="2200" t="str">
        <f t="shared" si="47"/>
        <v>165</v>
      </c>
      <c r="G974" s="2200">
        <f>--SUBTOTAL(3,C$2:C974)</f>
        <v>67</v>
      </c>
    </row>
    <row r="975" spans="1:7" hidden="1" x14ac:dyDescent="0.15">
      <c r="A975" s="2200" t="s">
        <v>4280</v>
      </c>
      <c r="B975" s="2200" t="s">
        <v>6227</v>
      </c>
      <c r="C975" s="2200" t="s">
        <v>6228</v>
      </c>
      <c r="D975" s="2200" t="str">
        <f t="shared" si="45"/>
        <v>KS</v>
      </c>
      <c r="E975" s="2200" t="str">
        <f t="shared" si="46"/>
        <v>20</v>
      </c>
      <c r="F975" s="2200" t="str">
        <f t="shared" si="47"/>
        <v>167</v>
      </c>
      <c r="G975" s="2200">
        <f>--SUBTOTAL(3,C$2:C975)</f>
        <v>67</v>
      </c>
    </row>
    <row r="976" spans="1:7" hidden="1" x14ac:dyDescent="0.15">
      <c r="A976" s="2200" t="s">
        <v>4280</v>
      </c>
      <c r="B976" s="2200" t="s">
        <v>6229</v>
      </c>
      <c r="C976" s="2200" t="s">
        <v>6230</v>
      </c>
      <c r="D976" s="2200" t="str">
        <f t="shared" si="45"/>
        <v>KS</v>
      </c>
      <c r="E976" s="2200" t="str">
        <f t="shared" si="46"/>
        <v>20</v>
      </c>
      <c r="F976" s="2200" t="str">
        <f t="shared" si="47"/>
        <v>169</v>
      </c>
      <c r="G976" s="2200">
        <f>--SUBTOTAL(3,C$2:C976)</f>
        <v>67</v>
      </c>
    </row>
    <row r="977" spans="1:7" hidden="1" x14ac:dyDescent="0.15">
      <c r="A977" s="2200" t="s">
        <v>4280</v>
      </c>
      <c r="B977" s="2200" t="s">
        <v>6231</v>
      </c>
      <c r="C977" s="2200" t="s">
        <v>6232</v>
      </c>
      <c r="D977" s="2200" t="str">
        <f t="shared" si="45"/>
        <v>KS</v>
      </c>
      <c r="E977" s="2200" t="str">
        <f t="shared" si="46"/>
        <v>20</v>
      </c>
      <c r="F977" s="2200" t="str">
        <f t="shared" si="47"/>
        <v>171</v>
      </c>
      <c r="G977" s="2200">
        <f>--SUBTOTAL(3,C$2:C977)</f>
        <v>67</v>
      </c>
    </row>
    <row r="978" spans="1:7" hidden="1" x14ac:dyDescent="0.15">
      <c r="A978" s="2200" t="s">
        <v>4280</v>
      </c>
      <c r="B978" s="2200" t="s">
        <v>6233</v>
      </c>
      <c r="C978" s="2200" t="s">
        <v>6234</v>
      </c>
      <c r="D978" s="2200" t="str">
        <f t="shared" si="45"/>
        <v>KS</v>
      </c>
      <c r="E978" s="2200" t="str">
        <f t="shared" si="46"/>
        <v>20</v>
      </c>
      <c r="F978" s="2200" t="str">
        <f t="shared" si="47"/>
        <v>173</v>
      </c>
      <c r="G978" s="2200">
        <f>--SUBTOTAL(3,C$2:C978)</f>
        <v>67</v>
      </c>
    </row>
    <row r="979" spans="1:7" hidden="1" x14ac:dyDescent="0.15">
      <c r="A979" s="2200" t="s">
        <v>4280</v>
      </c>
      <c r="B979" s="2200" t="s">
        <v>6235</v>
      </c>
      <c r="C979" s="2200" t="s">
        <v>6236</v>
      </c>
      <c r="D979" s="2200" t="str">
        <f t="shared" si="45"/>
        <v>KS</v>
      </c>
      <c r="E979" s="2200" t="str">
        <f t="shared" si="46"/>
        <v>20</v>
      </c>
      <c r="F979" s="2200" t="str">
        <f t="shared" si="47"/>
        <v>175</v>
      </c>
      <c r="G979" s="2200">
        <f>--SUBTOTAL(3,C$2:C979)</f>
        <v>67</v>
      </c>
    </row>
    <row r="980" spans="1:7" hidden="1" x14ac:dyDescent="0.15">
      <c r="A980" s="2200" t="s">
        <v>4280</v>
      </c>
      <c r="B980" s="2200" t="s">
        <v>6237</v>
      </c>
      <c r="C980" s="2200" t="s">
        <v>6238</v>
      </c>
      <c r="D980" s="2200" t="str">
        <f t="shared" si="45"/>
        <v>KS</v>
      </c>
      <c r="E980" s="2200" t="str">
        <f t="shared" si="46"/>
        <v>20</v>
      </c>
      <c r="F980" s="2200" t="str">
        <f t="shared" si="47"/>
        <v>177</v>
      </c>
      <c r="G980" s="2200">
        <f>--SUBTOTAL(3,C$2:C980)</f>
        <v>67</v>
      </c>
    </row>
    <row r="981" spans="1:7" hidden="1" x14ac:dyDescent="0.15">
      <c r="A981" s="2200" t="s">
        <v>4280</v>
      </c>
      <c r="B981" s="2200" t="s">
        <v>6239</v>
      </c>
      <c r="C981" s="2200" t="s">
        <v>6240</v>
      </c>
      <c r="D981" s="2200" t="str">
        <f t="shared" si="45"/>
        <v>KS</v>
      </c>
      <c r="E981" s="2200" t="str">
        <f t="shared" si="46"/>
        <v>20</v>
      </c>
      <c r="F981" s="2200" t="str">
        <f t="shared" si="47"/>
        <v>179</v>
      </c>
      <c r="G981" s="2200">
        <f>--SUBTOTAL(3,C$2:C981)</f>
        <v>67</v>
      </c>
    </row>
    <row r="982" spans="1:7" hidden="1" x14ac:dyDescent="0.15">
      <c r="A982" s="2200" t="s">
        <v>4280</v>
      </c>
      <c r="B982" s="2200" t="s">
        <v>6241</v>
      </c>
      <c r="C982" s="2200" t="s">
        <v>6242</v>
      </c>
      <c r="D982" s="2200" t="str">
        <f t="shared" si="45"/>
        <v>KS</v>
      </c>
      <c r="E982" s="2200" t="str">
        <f t="shared" si="46"/>
        <v>20</v>
      </c>
      <c r="F982" s="2200" t="str">
        <f t="shared" si="47"/>
        <v>181</v>
      </c>
      <c r="G982" s="2200">
        <f>--SUBTOTAL(3,C$2:C982)</f>
        <v>67</v>
      </c>
    </row>
    <row r="983" spans="1:7" hidden="1" x14ac:dyDescent="0.15">
      <c r="A983" s="2200" t="s">
        <v>4280</v>
      </c>
      <c r="B983" s="2200" t="s">
        <v>6243</v>
      </c>
      <c r="C983" s="2200" t="s">
        <v>6244</v>
      </c>
      <c r="D983" s="2200" t="str">
        <f t="shared" si="45"/>
        <v>KS</v>
      </c>
      <c r="E983" s="2200" t="str">
        <f t="shared" si="46"/>
        <v>20</v>
      </c>
      <c r="F983" s="2200" t="str">
        <f t="shared" si="47"/>
        <v>183</v>
      </c>
      <c r="G983" s="2200">
        <f>--SUBTOTAL(3,C$2:C983)</f>
        <v>67</v>
      </c>
    </row>
    <row r="984" spans="1:7" hidden="1" x14ac:dyDescent="0.15">
      <c r="A984" s="2200" t="s">
        <v>4280</v>
      </c>
      <c r="B984" s="2200" t="s">
        <v>6245</v>
      </c>
      <c r="C984" s="2200" t="s">
        <v>6246</v>
      </c>
      <c r="D984" s="2200" t="str">
        <f t="shared" si="45"/>
        <v>KS</v>
      </c>
      <c r="E984" s="2200" t="str">
        <f t="shared" si="46"/>
        <v>20</v>
      </c>
      <c r="F984" s="2200" t="str">
        <f t="shared" si="47"/>
        <v>185</v>
      </c>
      <c r="G984" s="2200">
        <f>--SUBTOTAL(3,C$2:C984)</f>
        <v>67</v>
      </c>
    </row>
    <row r="985" spans="1:7" hidden="1" x14ac:dyDescent="0.15">
      <c r="A985" s="2200" t="s">
        <v>4280</v>
      </c>
      <c r="B985" s="2200" t="s">
        <v>6247</v>
      </c>
      <c r="C985" s="2200" t="s">
        <v>6248</v>
      </c>
      <c r="D985" s="2200" t="str">
        <f t="shared" si="45"/>
        <v>KS</v>
      </c>
      <c r="E985" s="2200" t="str">
        <f t="shared" si="46"/>
        <v>20</v>
      </c>
      <c r="F985" s="2200" t="str">
        <f t="shared" si="47"/>
        <v>187</v>
      </c>
      <c r="G985" s="2200">
        <f>--SUBTOTAL(3,C$2:C985)</f>
        <v>67</v>
      </c>
    </row>
    <row r="986" spans="1:7" hidden="1" x14ac:dyDescent="0.15">
      <c r="A986" s="2200" t="s">
        <v>4280</v>
      </c>
      <c r="B986" s="2200" t="s">
        <v>6249</v>
      </c>
      <c r="C986" s="2200" t="s">
        <v>6250</v>
      </c>
      <c r="D986" s="2200" t="str">
        <f t="shared" si="45"/>
        <v>KS</v>
      </c>
      <c r="E986" s="2200" t="str">
        <f t="shared" si="46"/>
        <v>20</v>
      </c>
      <c r="F986" s="2200" t="str">
        <f t="shared" si="47"/>
        <v>189</v>
      </c>
      <c r="G986" s="2200">
        <f>--SUBTOTAL(3,C$2:C986)</f>
        <v>67</v>
      </c>
    </row>
    <row r="987" spans="1:7" hidden="1" x14ac:dyDescent="0.15">
      <c r="A987" s="2200" t="s">
        <v>4280</v>
      </c>
      <c r="B987" s="2200" t="s">
        <v>6251</v>
      </c>
      <c r="C987" s="2200" t="s">
        <v>6252</v>
      </c>
      <c r="D987" s="2200" t="str">
        <f t="shared" si="45"/>
        <v>KS</v>
      </c>
      <c r="E987" s="2200" t="str">
        <f t="shared" si="46"/>
        <v>20</v>
      </c>
      <c r="F987" s="2200" t="str">
        <f t="shared" si="47"/>
        <v>191</v>
      </c>
      <c r="G987" s="2200">
        <f>--SUBTOTAL(3,C$2:C987)</f>
        <v>67</v>
      </c>
    </row>
    <row r="988" spans="1:7" hidden="1" x14ac:dyDescent="0.15">
      <c r="A988" s="2200" t="s">
        <v>4280</v>
      </c>
      <c r="B988" s="2200" t="s">
        <v>6253</v>
      </c>
      <c r="C988" s="2200" t="s">
        <v>6254</v>
      </c>
      <c r="D988" s="2200" t="str">
        <f t="shared" si="45"/>
        <v>KS</v>
      </c>
      <c r="E988" s="2200" t="str">
        <f t="shared" si="46"/>
        <v>20</v>
      </c>
      <c r="F988" s="2200" t="str">
        <f t="shared" si="47"/>
        <v>193</v>
      </c>
      <c r="G988" s="2200">
        <f>--SUBTOTAL(3,C$2:C988)</f>
        <v>67</v>
      </c>
    </row>
    <row r="989" spans="1:7" hidden="1" x14ac:dyDescent="0.15">
      <c r="A989" s="2200" t="s">
        <v>4280</v>
      </c>
      <c r="B989" s="2200" t="s">
        <v>6255</v>
      </c>
      <c r="C989" s="2200" t="s">
        <v>6256</v>
      </c>
      <c r="D989" s="2200" t="str">
        <f t="shared" si="45"/>
        <v>KS</v>
      </c>
      <c r="E989" s="2200" t="str">
        <f t="shared" si="46"/>
        <v>20</v>
      </c>
      <c r="F989" s="2200" t="str">
        <f t="shared" si="47"/>
        <v>195</v>
      </c>
      <c r="G989" s="2200">
        <f>--SUBTOTAL(3,C$2:C989)</f>
        <v>67</v>
      </c>
    </row>
    <row r="990" spans="1:7" hidden="1" x14ac:dyDescent="0.15">
      <c r="A990" s="2200" t="s">
        <v>4280</v>
      </c>
      <c r="B990" s="2200" t="s">
        <v>6257</v>
      </c>
      <c r="C990" s="2200" t="s">
        <v>6258</v>
      </c>
      <c r="D990" s="2200" t="str">
        <f t="shared" si="45"/>
        <v>KS</v>
      </c>
      <c r="E990" s="2200" t="str">
        <f t="shared" si="46"/>
        <v>20</v>
      </c>
      <c r="F990" s="2200" t="str">
        <f t="shared" si="47"/>
        <v>197</v>
      </c>
      <c r="G990" s="2200">
        <f>--SUBTOTAL(3,C$2:C990)</f>
        <v>67</v>
      </c>
    </row>
    <row r="991" spans="1:7" hidden="1" x14ac:dyDescent="0.15">
      <c r="A991" s="2200" t="s">
        <v>4280</v>
      </c>
      <c r="B991" s="2200" t="s">
        <v>6259</v>
      </c>
      <c r="C991" s="2200" t="s">
        <v>6260</v>
      </c>
      <c r="D991" s="2200" t="str">
        <f t="shared" si="45"/>
        <v>KS</v>
      </c>
      <c r="E991" s="2200" t="str">
        <f t="shared" si="46"/>
        <v>20</v>
      </c>
      <c r="F991" s="2200" t="str">
        <f t="shared" si="47"/>
        <v>199</v>
      </c>
      <c r="G991" s="2200">
        <f>--SUBTOTAL(3,C$2:C991)</f>
        <v>67</v>
      </c>
    </row>
    <row r="992" spans="1:7" hidden="1" x14ac:dyDescent="0.15">
      <c r="A992" s="2200" t="s">
        <v>4280</v>
      </c>
      <c r="B992" s="2200" t="s">
        <v>6261</v>
      </c>
      <c r="C992" s="2200" t="s">
        <v>6262</v>
      </c>
      <c r="D992" s="2200" t="str">
        <f t="shared" si="45"/>
        <v>KS</v>
      </c>
      <c r="E992" s="2200" t="str">
        <f t="shared" si="46"/>
        <v>20</v>
      </c>
      <c r="F992" s="2200" t="str">
        <f t="shared" si="47"/>
        <v>201</v>
      </c>
      <c r="G992" s="2200">
        <f>--SUBTOTAL(3,C$2:C992)</f>
        <v>67</v>
      </c>
    </row>
    <row r="993" spans="1:7" hidden="1" x14ac:dyDescent="0.15">
      <c r="A993" s="2200" t="s">
        <v>4280</v>
      </c>
      <c r="B993" s="2200" t="s">
        <v>6263</v>
      </c>
      <c r="C993" s="2200" t="s">
        <v>6264</v>
      </c>
      <c r="D993" s="2200" t="str">
        <f t="shared" si="45"/>
        <v>KS</v>
      </c>
      <c r="E993" s="2200" t="str">
        <f t="shared" si="46"/>
        <v>20</v>
      </c>
      <c r="F993" s="2200" t="str">
        <f t="shared" si="47"/>
        <v>203</v>
      </c>
      <c r="G993" s="2200">
        <f>--SUBTOTAL(3,C$2:C993)</f>
        <v>67</v>
      </c>
    </row>
    <row r="994" spans="1:7" hidden="1" x14ac:dyDescent="0.15">
      <c r="A994" s="2200" t="s">
        <v>4280</v>
      </c>
      <c r="B994" s="2200" t="s">
        <v>6265</v>
      </c>
      <c r="C994" s="2200" t="s">
        <v>6266</v>
      </c>
      <c r="D994" s="2200" t="str">
        <f t="shared" si="45"/>
        <v>KS</v>
      </c>
      <c r="E994" s="2200" t="str">
        <f t="shared" si="46"/>
        <v>20</v>
      </c>
      <c r="F994" s="2200" t="str">
        <f t="shared" si="47"/>
        <v>205</v>
      </c>
      <c r="G994" s="2200">
        <f>--SUBTOTAL(3,C$2:C994)</f>
        <v>67</v>
      </c>
    </row>
    <row r="995" spans="1:7" hidden="1" x14ac:dyDescent="0.15">
      <c r="A995" s="2200" t="s">
        <v>4280</v>
      </c>
      <c r="B995" s="2200" t="s">
        <v>6267</v>
      </c>
      <c r="C995" s="2200" t="s">
        <v>6268</v>
      </c>
      <c r="D995" s="2200" t="str">
        <f t="shared" si="45"/>
        <v>KS</v>
      </c>
      <c r="E995" s="2200" t="str">
        <f t="shared" si="46"/>
        <v>20</v>
      </c>
      <c r="F995" s="2200" t="str">
        <f t="shared" si="47"/>
        <v>207</v>
      </c>
      <c r="G995" s="2200">
        <f>--SUBTOTAL(3,C$2:C995)</f>
        <v>67</v>
      </c>
    </row>
    <row r="996" spans="1:7" hidden="1" x14ac:dyDescent="0.15">
      <c r="A996" s="2200" t="s">
        <v>4280</v>
      </c>
      <c r="B996" s="2200" t="s">
        <v>6269</v>
      </c>
      <c r="C996" s="2200" t="s">
        <v>6270</v>
      </c>
      <c r="D996" s="2200" t="str">
        <f t="shared" si="45"/>
        <v>KS</v>
      </c>
      <c r="E996" s="2200" t="str">
        <f t="shared" si="46"/>
        <v>20</v>
      </c>
      <c r="F996" s="2200" t="str">
        <f t="shared" si="47"/>
        <v>209</v>
      </c>
      <c r="G996" s="2200">
        <f>--SUBTOTAL(3,C$2:C996)</f>
        <v>67</v>
      </c>
    </row>
    <row r="997" spans="1:7" hidden="1" x14ac:dyDescent="0.15">
      <c r="A997" s="2200" t="s">
        <v>4280</v>
      </c>
      <c r="B997" s="2200" t="s">
        <v>6271</v>
      </c>
      <c r="C997" s="2200" t="s">
        <v>6272</v>
      </c>
      <c r="D997" s="2200" t="str">
        <f t="shared" si="45"/>
        <v>KY</v>
      </c>
      <c r="E997" s="2200" t="str">
        <f t="shared" si="46"/>
        <v>21</v>
      </c>
      <c r="F997" s="2200" t="str">
        <f t="shared" si="47"/>
        <v>001</v>
      </c>
      <c r="G997" s="2200">
        <f>--SUBTOTAL(3,C$2:C997)</f>
        <v>67</v>
      </c>
    </row>
    <row r="998" spans="1:7" hidden="1" x14ac:dyDescent="0.15">
      <c r="A998" s="2200" t="s">
        <v>4280</v>
      </c>
      <c r="B998" s="2200" t="s">
        <v>6273</v>
      </c>
      <c r="C998" s="2200" t="s">
        <v>6274</v>
      </c>
      <c r="D998" s="2200" t="str">
        <f t="shared" si="45"/>
        <v>KY</v>
      </c>
      <c r="E998" s="2200" t="str">
        <f t="shared" si="46"/>
        <v>21</v>
      </c>
      <c r="F998" s="2200" t="str">
        <f t="shared" si="47"/>
        <v>003</v>
      </c>
      <c r="G998" s="2200">
        <f>--SUBTOTAL(3,C$2:C998)</f>
        <v>67</v>
      </c>
    </row>
    <row r="999" spans="1:7" hidden="1" x14ac:dyDescent="0.15">
      <c r="A999" s="2200" t="s">
        <v>4280</v>
      </c>
      <c r="B999" s="2200" t="s">
        <v>6275</v>
      </c>
      <c r="C999" s="2200" t="s">
        <v>6276</v>
      </c>
      <c r="D999" s="2200" t="str">
        <f t="shared" si="45"/>
        <v>KY</v>
      </c>
      <c r="E999" s="2200" t="str">
        <f t="shared" si="46"/>
        <v>21</v>
      </c>
      <c r="F999" s="2200" t="str">
        <f t="shared" si="47"/>
        <v>005</v>
      </c>
      <c r="G999" s="2200">
        <f>--SUBTOTAL(3,C$2:C999)</f>
        <v>67</v>
      </c>
    </row>
    <row r="1000" spans="1:7" hidden="1" x14ac:dyDescent="0.15">
      <c r="A1000" s="2200" t="s">
        <v>4280</v>
      </c>
      <c r="B1000" s="2200" t="s">
        <v>6277</v>
      </c>
      <c r="C1000" s="2200" t="s">
        <v>6278</v>
      </c>
      <c r="D1000" s="2200" t="str">
        <f t="shared" si="45"/>
        <v>KY</v>
      </c>
      <c r="E1000" s="2200" t="str">
        <f t="shared" si="46"/>
        <v>21</v>
      </c>
      <c r="F1000" s="2200" t="str">
        <f t="shared" si="47"/>
        <v>007</v>
      </c>
      <c r="G1000" s="2200">
        <f>--SUBTOTAL(3,C$2:C1000)</f>
        <v>67</v>
      </c>
    </row>
    <row r="1001" spans="1:7" hidden="1" x14ac:dyDescent="0.15">
      <c r="A1001" s="2200" t="s">
        <v>4280</v>
      </c>
      <c r="B1001" s="2200" t="s">
        <v>6279</v>
      </c>
      <c r="C1001" s="2200" t="s">
        <v>6280</v>
      </c>
      <c r="D1001" s="2200" t="str">
        <f t="shared" si="45"/>
        <v>KY</v>
      </c>
      <c r="E1001" s="2200" t="str">
        <f t="shared" si="46"/>
        <v>21</v>
      </c>
      <c r="F1001" s="2200" t="str">
        <f t="shared" si="47"/>
        <v>009</v>
      </c>
      <c r="G1001" s="2200">
        <f>--SUBTOTAL(3,C$2:C1001)</f>
        <v>67</v>
      </c>
    </row>
    <row r="1002" spans="1:7" hidden="1" x14ac:dyDescent="0.15">
      <c r="A1002" s="2200" t="s">
        <v>4280</v>
      </c>
      <c r="B1002" s="2200" t="s">
        <v>6281</v>
      </c>
      <c r="C1002" s="2200" t="s">
        <v>6282</v>
      </c>
      <c r="D1002" s="2200" t="str">
        <f t="shared" si="45"/>
        <v>KY</v>
      </c>
      <c r="E1002" s="2200" t="str">
        <f t="shared" si="46"/>
        <v>21</v>
      </c>
      <c r="F1002" s="2200" t="str">
        <f t="shared" si="47"/>
        <v>011</v>
      </c>
      <c r="G1002" s="2200">
        <f>--SUBTOTAL(3,C$2:C1002)</f>
        <v>67</v>
      </c>
    </row>
    <row r="1003" spans="1:7" hidden="1" x14ac:dyDescent="0.15">
      <c r="A1003" s="2200" t="s">
        <v>4280</v>
      </c>
      <c r="B1003" s="2200" t="s">
        <v>6283</v>
      </c>
      <c r="C1003" s="2200" t="s">
        <v>6284</v>
      </c>
      <c r="D1003" s="2200" t="str">
        <f t="shared" si="45"/>
        <v>KY</v>
      </c>
      <c r="E1003" s="2200" t="str">
        <f t="shared" si="46"/>
        <v>21</v>
      </c>
      <c r="F1003" s="2200" t="str">
        <f t="shared" si="47"/>
        <v>013</v>
      </c>
      <c r="G1003" s="2200">
        <f>--SUBTOTAL(3,C$2:C1003)</f>
        <v>67</v>
      </c>
    </row>
    <row r="1004" spans="1:7" hidden="1" x14ac:dyDescent="0.15">
      <c r="A1004" s="2200" t="s">
        <v>4280</v>
      </c>
      <c r="B1004" s="2200" t="s">
        <v>6285</v>
      </c>
      <c r="C1004" s="2200" t="s">
        <v>6286</v>
      </c>
      <c r="D1004" s="2200" t="str">
        <f t="shared" si="45"/>
        <v>KY</v>
      </c>
      <c r="E1004" s="2200" t="str">
        <f t="shared" si="46"/>
        <v>21</v>
      </c>
      <c r="F1004" s="2200" t="str">
        <f t="shared" si="47"/>
        <v>015</v>
      </c>
      <c r="G1004" s="2200">
        <f>--SUBTOTAL(3,C$2:C1004)</f>
        <v>67</v>
      </c>
    </row>
    <row r="1005" spans="1:7" hidden="1" x14ac:dyDescent="0.15">
      <c r="A1005" s="2200" t="s">
        <v>4280</v>
      </c>
      <c r="B1005" s="2200" t="s">
        <v>6287</v>
      </c>
      <c r="C1005" s="2200" t="s">
        <v>6288</v>
      </c>
      <c r="D1005" s="2200" t="str">
        <f t="shared" si="45"/>
        <v>KY</v>
      </c>
      <c r="E1005" s="2200" t="str">
        <f t="shared" si="46"/>
        <v>21</v>
      </c>
      <c r="F1005" s="2200" t="str">
        <f t="shared" si="47"/>
        <v>017</v>
      </c>
      <c r="G1005" s="2200">
        <f>--SUBTOTAL(3,C$2:C1005)</f>
        <v>67</v>
      </c>
    </row>
    <row r="1006" spans="1:7" hidden="1" x14ac:dyDescent="0.15">
      <c r="A1006" s="2200" t="s">
        <v>4280</v>
      </c>
      <c r="B1006" s="2200" t="s">
        <v>6289</v>
      </c>
      <c r="C1006" s="2200" t="s">
        <v>6290</v>
      </c>
      <c r="D1006" s="2200" t="str">
        <f t="shared" si="45"/>
        <v>KY</v>
      </c>
      <c r="E1006" s="2200" t="str">
        <f t="shared" si="46"/>
        <v>21</v>
      </c>
      <c r="F1006" s="2200" t="str">
        <f t="shared" si="47"/>
        <v>019</v>
      </c>
      <c r="G1006" s="2200">
        <f>--SUBTOTAL(3,C$2:C1006)</f>
        <v>67</v>
      </c>
    </row>
    <row r="1007" spans="1:7" hidden="1" x14ac:dyDescent="0.15">
      <c r="A1007" s="2200" t="s">
        <v>4280</v>
      </c>
      <c r="B1007" s="2200" t="s">
        <v>6291</v>
      </c>
      <c r="C1007" s="2200" t="s">
        <v>6292</v>
      </c>
      <c r="D1007" s="2200" t="str">
        <f t="shared" si="45"/>
        <v>KY</v>
      </c>
      <c r="E1007" s="2200" t="str">
        <f t="shared" si="46"/>
        <v>21</v>
      </c>
      <c r="F1007" s="2200" t="str">
        <f t="shared" si="47"/>
        <v>021</v>
      </c>
      <c r="G1007" s="2200">
        <f>--SUBTOTAL(3,C$2:C1007)</f>
        <v>67</v>
      </c>
    </row>
    <row r="1008" spans="1:7" hidden="1" x14ac:dyDescent="0.15">
      <c r="A1008" s="2200" t="s">
        <v>4280</v>
      </c>
      <c r="B1008" s="2200" t="s">
        <v>6293</v>
      </c>
      <c r="C1008" s="2200" t="s">
        <v>6294</v>
      </c>
      <c r="D1008" s="2200" t="str">
        <f t="shared" si="45"/>
        <v>KY</v>
      </c>
      <c r="E1008" s="2200" t="str">
        <f t="shared" si="46"/>
        <v>21</v>
      </c>
      <c r="F1008" s="2200" t="str">
        <f t="shared" si="47"/>
        <v>023</v>
      </c>
      <c r="G1008" s="2200">
        <f>--SUBTOTAL(3,C$2:C1008)</f>
        <v>67</v>
      </c>
    </row>
    <row r="1009" spans="1:7" hidden="1" x14ac:dyDescent="0.15">
      <c r="A1009" s="2200" t="s">
        <v>4280</v>
      </c>
      <c r="B1009" s="2200" t="s">
        <v>6295</v>
      </c>
      <c r="C1009" s="2200" t="s">
        <v>6296</v>
      </c>
      <c r="D1009" s="2200" t="str">
        <f t="shared" si="45"/>
        <v>KY</v>
      </c>
      <c r="E1009" s="2200" t="str">
        <f t="shared" si="46"/>
        <v>21</v>
      </c>
      <c r="F1009" s="2200" t="str">
        <f t="shared" si="47"/>
        <v>025</v>
      </c>
      <c r="G1009" s="2200">
        <f>--SUBTOTAL(3,C$2:C1009)</f>
        <v>67</v>
      </c>
    </row>
    <row r="1010" spans="1:7" hidden="1" x14ac:dyDescent="0.15">
      <c r="A1010" s="2200" t="s">
        <v>4280</v>
      </c>
      <c r="B1010" s="2200" t="s">
        <v>6297</v>
      </c>
      <c r="C1010" s="2200" t="s">
        <v>6298</v>
      </c>
      <c r="D1010" s="2200" t="str">
        <f t="shared" si="45"/>
        <v>KY</v>
      </c>
      <c r="E1010" s="2200" t="str">
        <f t="shared" si="46"/>
        <v>21</v>
      </c>
      <c r="F1010" s="2200" t="str">
        <f t="shared" si="47"/>
        <v>027</v>
      </c>
      <c r="G1010" s="2200">
        <f>--SUBTOTAL(3,C$2:C1010)</f>
        <v>67</v>
      </c>
    </row>
    <row r="1011" spans="1:7" hidden="1" x14ac:dyDescent="0.15">
      <c r="A1011" s="2200" t="s">
        <v>4280</v>
      </c>
      <c r="B1011" s="2200" t="s">
        <v>6299</v>
      </c>
      <c r="C1011" s="2200" t="s">
        <v>6300</v>
      </c>
      <c r="D1011" s="2200" t="str">
        <f t="shared" si="45"/>
        <v>KY</v>
      </c>
      <c r="E1011" s="2200" t="str">
        <f t="shared" si="46"/>
        <v>21</v>
      </c>
      <c r="F1011" s="2200" t="str">
        <f t="shared" si="47"/>
        <v>029</v>
      </c>
      <c r="G1011" s="2200">
        <f>--SUBTOTAL(3,C$2:C1011)</f>
        <v>67</v>
      </c>
    </row>
    <row r="1012" spans="1:7" hidden="1" x14ac:dyDescent="0.15">
      <c r="A1012" s="2200" t="s">
        <v>4280</v>
      </c>
      <c r="B1012" s="2200" t="s">
        <v>6301</v>
      </c>
      <c r="C1012" s="2200" t="s">
        <v>6302</v>
      </c>
      <c r="D1012" s="2200" t="str">
        <f t="shared" si="45"/>
        <v>KY</v>
      </c>
      <c r="E1012" s="2200" t="str">
        <f t="shared" si="46"/>
        <v>21</v>
      </c>
      <c r="F1012" s="2200" t="str">
        <f t="shared" si="47"/>
        <v>031</v>
      </c>
      <c r="G1012" s="2200">
        <f>--SUBTOTAL(3,C$2:C1012)</f>
        <v>67</v>
      </c>
    </row>
    <row r="1013" spans="1:7" hidden="1" x14ac:dyDescent="0.15">
      <c r="A1013" s="2200" t="s">
        <v>4280</v>
      </c>
      <c r="B1013" s="2200" t="s">
        <v>6303</v>
      </c>
      <c r="C1013" s="2200" t="s">
        <v>6304</v>
      </c>
      <c r="D1013" s="2200" t="str">
        <f t="shared" si="45"/>
        <v>KY</v>
      </c>
      <c r="E1013" s="2200" t="str">
        <f t="shared" si="46"/>
        <v>21</v>
      </c>
      <c r="F1013" s="2200" t="str">
        <f t="shared" si="47"/>
        <v>033</v>
      </c>
      <c r="G1013" s="2200">
        <f>--SUBTOTAL(3,C$2:C1013)</f>
        <v>67</v>
      </c>
    </row>
    <row r="1014" spans="1:7" hidden="1" x14ac:dyDescent="0.15">
      <c r="A1014" s="2200" t="s">
        <v>4280</v>
      </c>
      <c r="B1014" s="2200" t="s">
        <v>6305</v>
      </c>
      <c r="C1014" s="2200" t="s">
        <v>6306</v>
      </c>
      <c r="D1014" s="2200" t="str">
        <f t="shared" si="45"/>
        <v>KY</v>
      </c>
      <c r="E1014" s="2200" t="str">
        <f t="shared" si="46"/>
        <v>21</v>
      </c>
      <c r="F1014" s="2200" t="str">
        <f t="shared" si="47"/>
        <v>035</v>
      </c>
      <c r="G1014" s="2200">
        <f>--SUBTOTAL(3,C$2:C1014)</f>
        <v>67</v>
      </c>
    </row>
    <row r="1015" spans="1:7" hidden="1" x14ac:dyDescent="0.15">
      <c r="A1015" s="2200" t="s">
        <v>4280</v>
      </c>
      <c r="B1015" s="2200" t="s">
        <v>6307</v>
      </c>
      <c r="C1015" s="2200" t="s">
        <v>6308</v>
      </c>
      <c r="D1015" s="2200" t="str">
        <f t="shared" si="45"/>
        <v>KY</v>
      </c>
      <c r="E1015" s="2200" t="str">
        <f t="shared" si="46"/>
        <v>21</v>
      </c>
      <c r="F1015" s="2200" t="str">
        <f t="shared" si="47"/>
        <v>037</v>
      </c>
      <c r="G1015" s="2200">
        <f>--SUBTOTAL(3,C$2:C1015)</f>
        <v>67</v>
      </c>
    </row>
    <row r="1016" spans="1:7" hidden="1" x14ac:dyDescent="0.15">
      <c r="A1016" s="2200" t="s">
        <v>4280</v>
      </c>
      <c r="B1016" s="2200" t="s">
        <v>6309</v>
      </c>
      <c r="C1016" s="2200" t="s">
        <v>6310</v>
      </c>
      <c r="D1016" s="2200" t="str">
        <f t="shared" si="45"/>
        <v>KY</v>
      </c>
      <c r="E1016" s="2200" t="str">
        <f t="shared" si="46"/>
        <v>21</v>
      </c>
      <c r="F1016" s="2200" t="str">
        <f t="shared" si="47"/>
        <v>039</v>
      </c>
      <c r="G1016" s="2200">
        <f>--SUBTOTAL(3,C$2:C1016)</f>
        <v>67</v>
      </c>
    </row>
    <row r="1017" spans="1:7" hidden="1" x14ac:dyDescent="0.15">
      <c r="A1017" s="2200" t="s">
        <v>4280</v>
      </c>
      <c r="B1017" s="2200" t="s">
        <v>6311</v>
      </c>
      <c r="C1017" s="2200" t="s">
        <v>6312</v>
      </c>
      <c r="D1017" s="2200" t="str">
        <f t="shared" si="45"/>
        <v>KY</v>
      </c>
      <c r="E1017" s="2200" t="str">
        <f t="shared" si="46"/>
        <v>21</v>
      </c>
      <c r="F1017" s="2200" t="str">
        <f t="shared" si="47"/>
        <v>041</v>
      </c>
      <c r="G1017" s="2200">
        <f>--SUBTOTAL(3,C$2:C1017)</f>
        <v>67</v>
      </c>
    </row>
    <row r="1018" spans="1:7" hidden="1" x14ac:dyDescent="0.15">
      <c r="A1018" s="2200" t="s">
        <v>4280</v>
      </c>
      <c r="B1018" s="2200" t="s">
        <v>6313</v>
      </c>
      <c r="C1018" s="2200" t="s">
        <v>6314</v>
      </c>
      <c r="D1018" s="2200" t="str">
        <f t="shared" si="45"/>
        <v>KY</v>
      </c>
      <c r="E1018" s="2200" t="str">
        <f t="shared" si="46"/>
        <v>21</v>
      </c>
      <c r="F1018" s="2200" t="str">
        <f t="shared" si="47"/>
        <v>043</v>
      </c>
      <c r="G1018" s="2200">
        <f>--SUBTOTAL(3,C$2:C1018)</f>
        <v>67</v>
      </c>
    </row>
    <row r="1019" spans="1:7" hidden="1" x14ac:dyDescent="0.15">
      <c r="A1019" s="2200" t="s">
        <v>4280</v>
      </c>
      <c r="B1019" s="2200" t="s">
        <v>6315</v>
      </c>
      <c r="C1019" s="2200" t="s">
        <v>6316</v>
      </c>
      <c r="D1019" s="2200" t="str">
        <f t="shared" si="45"/>
        <v>KY</v>
      </c>
      <c r="E1019" s="2200" t="str">
        <f t="shared" si="46"/>
        <v>21</v>
      </c>
      <c r="F1019" s="2200" t="str">
        <f t="shared" si="47"/>
        <v>045</v>
      </c>
      <c r="G1019" s="2200">
        <f>--SUBTOTAL(3,C$2:C1019)</f>
        <v>67</v>
      </c>
    </row>
    <row r="1020" spans="1:7" hidden="1" x14ac:dyDescent="0.15">
      <c r="A1020" s="2200" t="s">
        <v>4280</v>
      </c>
      <c r="B1020" s="2200" t="s">
        <v>6317</v>
      </c>
      <c r="C1020" s="2200" t="s">
        <v>6318</v>
      </c>
      <c r="D1020" s="2200" t="str">
        <f t="shared" si="45"/>
        <v>KY</v>
      </c>
      <c r="E1020" s="2200" t="str">
        <f t="shared" si="46"/>
        <v>21</v>
      </c>
      <c r="F1020" s="2200" t="str">
        <f t="shared" si="47"/>
        <v>047</v>
      </c>
      <c r="G1020" s="2200">
        <f>--SUBTOTAL(3,C$2:C1020)</f>
        <v>67</v>
      </c>
    </row>
    <row r="1021" spans="1:7" hidden="1" x14ac:dyDescent="0.15">
      <c r="A1021" s="2200" t="s">
        <v>4280</v>
      </c>
      <c r="B1021" s="2200" t="s">
        <v>6319</v>
      </c>
      <c r="C1021" s="2200" t="s">
        <v>6320</v>
      </c>
      <c r="D1021" s="2200" t="str">
        <f t="shared" si="45"/>
        <v>KY</v>
      </c>
      <c r="E1021" s="2200" t="str">
        <f t="shared" si="46"/>
        <v>21</v>
      </c>
      <c r="F1021" s="2200" t="str">
        <f t="shared" si="47"/>
        <v>049</v>
      </c>
      <c r="G1021" s="2200">
        <f>--SUBTOTAL(3,C$2:C1021)</f>
        <v>67</v>
      </c>
    </row>
    <row r="1022" spans="1:7" hidden="1" x14ac:dyDescent="0.15">
      <c r="A1022" s="2200" t="s">
        <v>4280</v>
      </c>
      <c r="B1022" s="2200" t="s">
        <v>6321</v>
      </c>
      <c r="C1022" s="2200" t="s">
        <v>6322</v>
      </c>
      <c r="D1022" s="2200" t="str">
        <f t="shared" si="45"/>
        <v>KY</v>
      </c>
      <c r="E1022" s="2200" t="str">
        <f t="shared" si="46"/>
        <v>21</v>
      </c>
      <c r="F1022" s="2200" t="str">
        <f t="shared" si="47"/>
        <v>051</v>
      </c>
      <c r="G1022" s="2200">
        <f>--SUBTOTAL(3,C$2:C1022)</f>
        <v>67</v>
      </c>
    </row>
    <row r="1023" spans="1:7" hidden="1" x14ac:dyDescent="0.15">
      <c r="A1023" s="2200" t="s">
        <v>4280</v>
      </c>
      <c r="B1023" s="2200" t="s">
        <v>6323</v>
      </c>
      <c r="C1023" s="2200" t="s">
        <v>6324</v>
      </c>
      <c r="D1023" s="2200" t="str">
        <f t="shared" si="45"/>
        <v>KY</v>
      </c>
      <c r="E1023" s="2200" t="str">
        <f t="shared" si="46"/>
        <v>21</v>
      </c>
      <c r="F1023" s="2200" t="str">
        <f t="shared" si="47"/>
        <v>053</v>
      </c>
      <c r="G1023" s="2200">
        <f>--SUBTOTAL(3,C$2:C1023)</f>
        <v>67</v>
      </c>
    </row>
    <row r="1024" spans="1:7" hidden="1" x14ac:dyDescent="0.15">
      <c r="A1024" s="2200" t="s">
        <v>4280</v>
      </c>
      <c r="B1024" s="2200" t="s">
        <v>6325</v>
      </c>
      <c r="C1024" s="2200" t="s">
        <v>6326</v>
      </c>
      <c r="D1024" s="2200" t="str">
        <f t="shared" si="45"/>
        <v>KY</v>
      </c>
      <c r="E1024" s="2200" t="str">
        <f t="shared" si="46"/>
        <v>21</v>
      </c>
      <c r="F1024" s="2200" t="str">
        <f t="shared" si="47"/>
        <v>055</v>
      </c>
      <c r="G1024" s="2200">
        <f>--SUBTOTAL(3,C$2:C1024)</f>
        <v>67</v>
      </c>
    </row>
    <row r="1025" spans="1:7" hidden="1" x14ac:dyDescent="0.15">
      <c r="A1025" s="2200" t="s">
        <v>4280</v>
      </c>
      <c r="B1025" s="2200" t="s">
        <v>6327</v>
      </c>
      <c r="C1025" s="2200" t="s">
        <v>6328</v>
      </c>
      <c r="D1025" s="2200" t="str">
        <f t="shared" si="45"/>
        <v>KY</v>
      </c>
      <c r="E1025" s="2200" t="str">
        <f t="shared" si="46"/>
        <v>21</v>
      </c>
      <c r="F1025" s="2200" t="str">
        <f t="shared" si="47"/>
        <v>057</v>
      </c>
      <c r="G1025" s="2200">
        <f>--SUBTOTAL(3,C$2:C1025)</f>
        <v>67</v>
      </c>
    </row>
    <row r="1026" spans="1:7" hidden="1" x14ac:dyDescent="0.15">
      <c r="A1026" s="2200" t="s">
        <v>4280</v>
      </c>
      <c r="B1026" s="2200" t="s">
        <v>6329</v>
      </c>
      <c r="C1026" s="2200" t="s">
        <v>6330</v>
      </c>
      <c r="D1026" s="2200" t="str">
        <f t="shared" si="45"/>
        <v>KY</v>
      </c>
      <c r="E1026" s="2200" t="str">
        <f t="shared" si="46"/>
        <v>21</v>
      </c>
      <c r="F1026" s="2200" t="str">
        <f t="shared" si="47"/>
        <v>059</v>
      </c>
      <c r="G1026" s="2200">
        <f>--SUBTOTAL(3,C$2:C1026)</f>
        <v>67</v>
      </c>
    </row>
    <row r="1027" spans="1:7" hidden="1" x14ac:dyDescent="0.15">
      <c r="A1027" s="2200" t="s">
        <v>4280</v>
      </c>
      <c r="B1027" s="2200" t="s">
        <v>6331</v>
      </c>
      <c r="C1027" s="2200" t="s">
        <v>6332</v>
      </c>
      <c r="D1027" s="2200" t="str">
        <f t="shared" ref="D1027:D1090" si="48">RIGHT(C1027,2)</f>
        <v>KY</v>
      </c>
      <c r="E1027" s="2200" t="str">
        <f t="shared" ref="E1027:E1090" si="49">MID(B1027,3,2)</f>
        <v>21</v>
      </c>
      <c r="F1027" s="2200" t="str">
        <f t="shared" ref="F1027:F1090" si="50">MID(B1027,5,3)</f>
        <v>061</v>
      </c>
      <c r="G1027" s="2200">
        <f>--SUBTOTAL(3,C$2:C1027)</f>
        <v>67</v>
      </c>
    </row>
    <row r="1028" spans="1:7" hidden="1" x14ac:dyDescent="0.15">
      <c r="A1028" s="2200" t="s">
        <v>4280</v>
      </c>
      <c r="B1028" s="2200" t="s">
        <v>6333</v>
      </c>
      <c r="C1028" s="2200" t="s">
        <v>6334</v>
      </c>
      <c r="D1028" s="2200" t="str">
        <f t="shared" si="48"/>
        <v>KY</v>
      </c>
      <c r="E1028" s="2200" t="str">
        <f t="shared" si="49"/>
        <v>21</v>
      </c>
      <c r="F1028" s="2200" t="str">
        <f t="shared" si="50"/>
        <v>063</v>
      </c>
      <c r="G1028" s="2200">
        <f>--SUBTOTAL(3,C$2:C1028)</f>
        <v>67</v>
      </c>
    </row>
    <row r="1029" spans="1:7" hidden="1" x14ac:dyDescent="0.15">
      <c r="A1029" s="2200" t="s">
        <v>4280</v>
      </c>
      <c r="B1029" s="2200" t="s">
        <v>6335</v>
      </c>
      <c r="C1029" s="2200" t="s">
        <v>6336</v>
      </c>
      <c r="D1029" s="2200" t="str">
        <f t="shared" si="48"/>
        <v>KY</v>
      </c>
      <c r="E1029" s="2200" t="str">
        <f t="shared" si="49"/>
        <v>21</v>
      </c>
      <c r="F1029" s="2200" t="str">
        <f t="shared" si="50"/>
        <v>065</v>
      </c>
      <c r="G1029" s="2200">
        <f>--SUBTOTAL(3,C$2:C1029)</f>
        <v>67</v>
      </c>
    </row>
    <row r="1030" spans="1:7" hidden="1" x14ac:dyDescent="0.15">
      <c r="A1030" s="2200" t="s">
        <v>4280</v>
      </c>
      <c r="B1030" s="2200" t="s">
        <v>6337</v>
      </c>
      <c r="C1030" s="2200" t="s">
        <v>6338</v>
      </c>
      <c r="D1030" s="2200" t="str">
        <f t="shared" si="48"/>
        <v>KY</v>
      </c>
      <c r="E1030" s="2200" t="str">
        <f t="shared" si="49"/>
        <v>21</v>
      </c>
      <c r="F1030" s="2200" t="str">
        <f t="shared" si="50"/>
        <v>067</v>
      </c>
      <c r="G1030" s="2200">
        <f>--SUBTOTAL(3,C$2:C1030)</f>
        <v>67</v>
      </c>
    </row>
    <row r="1031" spans="1:7" hidden="1" x14ac:dyDescent="0.15">
      <c r="A1031" s="2200" t="s">
        <v>4280</v>
      </c>
      <c r="B1031" s="2200" t="s">
        <v>6339</v>
      </c>
      <c r="C1031" s="2200" t="s">
        <v>6340</v>
      </c>
      <c r="D1031" s="2200" t="str">
        <f t="shared" si="48"/>
        <v>KY</v>
      </c>
      <c r="E1031" s="2200" t="str">
        <f t="shared" si="49"/>
        <v>21</v>
      </c>
      <c r="F1031" s="2200" t="str">
        <f t="shared" si="50"/>
        <v>069</v>
      </c>
      <c r="G1031" s="2200">
        <f>--SUBTOTAL(3,C$2:C1031)</f>
        <v>67</v>
      </c>
    </row>
    <row r="1032" spans="1:7" hidden="1" x14ac:dyDescent="0.15">
      <c r="A1032" s="2200" t="s">
        <v>4280</v>
      </c>
      <c r="B1032" s="2200" t="s">
        <v>6341</v>
      </c>
      <c r="C1032" s="2200" t="s">
        <v>6342</v>
      </c>
      <c r="D1032" s="2200" t="str">
        <f t="shared" si="48"/>
        <v>KY</v>
      </c>
      <c r="E1032" s="2200" t="str">
        <f t="shared" si="49"/>
        <v>21</v>
      </c>
      <c r="F1032" s="2200" t="str">
        <f t="shared" si="50"/>
        <v>071</v>
      </c>
      <c r="G1032" s="2200">
        <f>--SUBTOTAL(3,C$2:C1032)</f>
        <v>67</v>
      </c>
    </row>
    <row r="1033" spans="1:7" hidden="1" x14ac:dyDescent="0.15">
      <c r="A1033" s="2200" t="s">
        <v>4280</v>
      </c>
      <c r="B1033" s="2200" t="s">
        <v>6343</v>
      </c>
      <c r="C1033" s="2200" t="s">
        <v>6344</v>
      </c>
      <c r="D1033" s="2200" t="str">
        <f t="shared" si="48"/>
        <v>KY</v>
      </c>
      <c r="E1033" s="2200" t="str">
        <f t="shared" si="49"/>
        <v>21</v>
      </c>
      <c r="F1033" s="2200" t="str">
        <f t="shared" si="50"/>
        <v>073</v>
      </c>
      <c r="G1033" s="2200">
        <f>--SUBTOTAL(3,C$2:C1033)</f>
        <v>67</v>
      </c>
    </row>
    <row r="1034" spans="1:7" hidden="1" x14ac:dyDescent="0.15">
      <c r="A1034" s="2200" t="s">
        <v>4280</v>
      </c>
      <c r="B1034" s="2200" t="s">
        <v>6345</v>
      </c>
      <c r="C1034" s="2200" t="s">
        <v>6346</v>
      </c>
      <c r="D1034" s="2200" t="str">
        <f t="shared" si="48"/>
        <v>KY</v>
      </c>
      <c r="E1034" s="2200" t="str">
        <f t="shared" si="49"/>
        <v>21</v>
      </c>
      <c r="F1034" s="2200" t="str">
        <f t="shared" si="50"/>
        <v>075</v>
      </c>
      <c r="G1034" s="2200">
        <f>--SUBTOTAL(3,C$2:C1034)</f>
        <v>67</v>
      </c>
    </row>
    <row r="1035" spans="1:7" hidden="1" x14ac:dyDescent="0.15">
      <c r="A1035" s="2200" t="s">
        <v>4280</v>
      </c>
      <c r="B1035" s="2200" t="s">
        <v>6347</v>
      </c>
      <c r="C1035" s="2200" t="s">
        <v>6348</v>
      </c>
      <c r="D1035" s="2200" t="str">
        <f t="shared" si="48"/>
        <v>KY</v>
      </c>
      <c r="E1035" s="2200" t="str">
        <f t="shared" si="49"/>
        <v>21</v>
      </c>
      <c r="F1035" s="2200" t="str">
        <f t="shared" si="50"/>
        <v>077</v>
      </c>
      <c r="G1035" s="2200">
        <f>--SUBTOTAL(3,C$2:C1035)</f>
        <v>67</v>
      </c>
    </row>
    <row r="1036" spans="1:7" hidden="1" x14ac:dyDescent="0.15">
      <c r="A1036" s="2200" t="s">
        <v>4280</v>
      </c>
      <c r="B1036" s="2200" t="s">
        <v>6349</v>
      </c>
      <c r="C1036" s="2200" t="s">
        <v>6350</v>
      </c>
      <c r="D1036" s="2200" t="str">
        <f t="shared" si="48"/>
        <v>KY</v>
      </c>
      <c r="E1036" s="2200" t="str">
        <f t="shared" si="49"/>
        <v>21</v>
      </c>
      <c r="F1036" s="2200" t="str">
        <f t="shared" si="50"/>
        <v>079</v>
      </c>
      <c r="G1036" s="2200">
        <f>--SUBTOTAL(3,C$2:C1036)</f>
        <v>67</v>
      </c>
    </row>
    <row r="1037" spans="1:7" hidden="1" x14ac:dyDescent="0.15">
      <c r="A1037" s="2200" t="s">
        <v>4280</v>
      </c>
      <c r="B1037" s="2200" t="s">
        <v>6351</v>
      </c>
      <c r="C1037" s="2200" t="s">
        <v>6352</v>
      </c>
      <c r="D1037" s="2200" t="str">
        <f t="shared" si="48"/>
        <v>KY</v>
      </c>
      <c r="E1037" s="2200" t="str">
        <f t="shared" si="49"/>
        <v>21</v>
      </c>
      <c r="F1037" s="2200" t="str">
        <f t="shared" si="50"/>
        <v>081</v>
      </c>
      <c r="G1037" s="2200">
        <f>--SUBTOTAL(3,C$2:C1037)</f>
        <v>67</v>
      </c>
    </row>
    <row r="1038" spans="1:7" hidden="1" x14ac:dyDescent="0.15">
      <c r="A1038" s="2200" t="s">
        <v>4280</v>
      </c>
      <c r="B1038" s="2200" t="s">
        <v>6353</v>
      </c>
      <c r="C1038" s="2200" t="s">
        <v>6354</v>
      </c>
      <c r="D1038" s="2200" t="str">
        <f t="shared" si="48"/>
        <v>KY</v>
      </c>
      <c r="E1038" s="2200" t="str">
        <f t="shared" si="49"/>
        <v>21</v>
      </c>
      <c r="F1038" s="2200" t="str">
        <f t="shared" si="50"/>
        <v>083</v>
      </c>
      <c r="G1038" s="2200">
        <f>--SUBTOTAL(3,C$2:C1038)</f>
        <v>67</v>
      </c>
    </row>
    <row r="1039" spans="1:7" hidden="1" x14ac:dyDescent="0.15">
      <c r="A1039" s="2200" t="s">
        <v>4280</v>
      </c>
      <c r="B1039" s="2200" t="s">
        <v>6355</v>
      </c>
      <c r="C1039" s="2200" t="s">
        <v>6356</v>
      </c>
      <c r="D1039" s="2200" t="str">
        <f t="shared" si="48"/>
        <v>KY</v>
      </c>
      <c r="E1039" s="2200" t="str">
        <f t="shared" si="49"/>
        <v>21</v>
      </c>
      <c r="F1039" s="2200" t="str">
        <f t="shared" si="50"/>
        <v>085</v>
      </c>
      <c r="G1039" s="2200">
        <f>--SUBTOTAL(3,C$2:C1039)</f>
        <v>67</v>
      </c>
    </row>
    <row r="1040" spans="1:7" hidden="1" x14ac:dyDescent="0.15">
      <c r="A1040" s="2200" t="s">
        <v>4280</v>
      </c>
      <c r="B1040" s="2200" t="s">
        <v>6357</v>
      </c>
      <c r="C1040" s="2200" t="s">
        <v>6358</v>
      </c>
      <c r="D1040" s="2200" t="str">
        <f t="shared" si="48"/>
        <v>KY</v>
      </c>
      <c r="E1040" s="2200" t="str">
        <f t="shared" si="49"/>
        <v>21</v>
      </c>
      <c r="F1040" s="2200" t="str">
        <f t="shared" si="50"/>
        <v>087</v>
      </c>
      <c r="G1040" s="2200">
        <f>--SUBTOTAL(3,C$2:C1040)</f>
        <v>67</v>
      </c>
    </row>
    <row r="1041" spans="1:7" hidden="1" x14ac:dyDescent="0.15">
      <c r="A1041" s="2200" t="s">
        <v>4280</v>
      </c>
      <c r="B1041" s="2200" t="s">
        <v>6359</v>
      </c>
      <c r="C1041" s="2200" t="s">
        <v>6360</v>
      </c>
      <c r="D1041" s="2200" t="str">
        <f t="shared" si="48"/>
        <v>KY</v>
      </c>
      <c r="E1041" s="2200" t="str">
        <f t="shared" si="49"/>
        <v>21</v>
      </c>
      <c r="F1041" s="2200" t="str">
        <f t="shared" si="50"/>
        <v>089</v>
      </c>
      <c r="G1041" s="2200">
        <f>--SUBTOTAL(3,C$2:C1041)</f>
        <v>67</v>
      </c>
    </row>
    <row r="1042" spans="1:7" hidden="1" x14ac:dyDescent="0.15">
      <c r="A1042" s="2200" t="s">
        <v>4280</v>
      </c>
      <c r="B1042" s="2200" t="s">
        <v>6361</v>
      </c>
      <c r="C1042" s="2200" t="s">
        <v>6362</v>
      </c>
      <c r="D1042" s="2200" t="str">
        <f t="shared" si="48"/>
        <v>KY</v>
      </c>
      <c r="E1042" s="2200" t="str">
        <f t="shared" si="49"/>
        <v>21</v>
      </c>
      <c r="F1042" s="2200" t="str">
        <f t="shared" si="50"/>
        <v>091</v>
      </c>
      <c r="G1042" s="2200">
        <f>--SUBTOTAL(3,C$2:C1042)</f>
        <v>67</v>
      </c>
    </row>
    <row r="1043" spans="1:7" hidden="1" x14ac:dyDescent="0.15">
      <c r="A1043" s="2200" t="s">
        <v>4280</v>
      </c>
      <c r="B1043" s="2200" t="s">
        <v>6363</v>
      </c>
      <c r="C1043" s="2200" t="s">
        <v>6364</v>
      </c>
      <c r="D1043" s="2200" t="str">
        <f t="shared" si="48"/>
        <v>KY</v>
      </c>
      <c r="E1043" s="2200" t="str">
        <f t="shared" si="49"/>
        <v>21</v>
      </c>
      <c r="F1043" s="2200" t="str">
        <f t="shared" si="50"/>
        <v>093</v>
      </c>
      <c r="G1043" s="2200">
        <f>--SUBTOTAL(3,C$2:C1043)</f>
        <v>67</v>
      </c>
    </row>
    <row r="1044" spans="1:7" hidden="1" x14ac:dyDescent="0.15">
      <c r="A1044" s="2200" t="s">
        <v>4280</v>
      </c>
      <c r="B1044" s="2200" t="s">
        <v>6365</v>
      </c>
      <c r="C1044" s="2200" t="s">
        <v>6366</v>
      </c>
      <c r="D1044" s="2200" t="str">
        <f t="shared" si="48"/>
        <v>KY</v>
      </c>
      <c r="E1044" s="2200" t="str">
        <f t="shared" si="49"/>
        <v>21</v>
      </c>
      <c r="F1044" s="2200" t="str">
        <f t="shared" si="50"/>
        <v>095</v>
      </c>
      <c r="G1044" s="2200">
        <f>--SUBTOTAL(3,C$2:C1044)</f>
        <v>67</v>
      </c>
    </row>
    <row r="1045" spans="1:7" hidden="1" x14ac:dyDescent="0.15">
      <c r="A1045" s="2200" t="s">
        <v>4280</v>
      </c>
      <c r="B1045" s="2200" t="s">
        <v>6367</v>
      </c>
      <c r="C1045" s="2200" t="s">
        <v>6368</v>
      </c>
      <c r="D1045" s="2200" t="str">
        <f t="shared" si="48"/>
        <v>KY</v>
      </c>
      <c r="E1045" s="2200" t="str">
        <f t="shared" si="49"/>
        <v>21</v>
      </c>
      <c r="F1045" s="2200" t="str">
        <f t="shared" si="50"/>
        <v>097</v>
      </c>
      <c r="G1045" s="2200">
        <f>--SUBTOTAL(3,C$2:C1045)</f>
        <v>67</v>
      </c>
    </row>
    <row r="1046" spans="1:7" hidden="1" x14ac:dyDescent="0.15">
      <c r="A1046" s="2200" t="s">
        <v>4280</v>
      </c>
      <c r="B1046" s="2200" t="s">
        <v>6369</v>
      </c>
      <c r="C1046" s="2200" t="s">
        <v>6370</v>
      </c>
      <c r="D1046" s="2200" t="str">
        <f t="shared" si="48"/>
        <v>KY</v>
      </c>
      <c r="E1046" s="2200" t="str">
        <f t="shared" si="49"/>
        <v>21</v>
      </c>
      <c r="F1046" s="2200" t="str">
        <f t="shared" si="50"/>
        <v>099</v>
      </c>
      <c r="G1046" s="2200">
        <f>--SUBTOTAL(3,C$2:C1046)</f>
        <v>67</v>
      </c>
    </row>
    <row r="1047" spans="1:7" hidden="1" x14ac:dyDescent="0.15">
      <c r="A1047" s="2200" t="s">
        <v>4280</v>
      </c>
      <c r="B1047" s="2200" t="s">
        <v>6371</v>
      </c>
      <c r="C1047" s="2200" t="s">
        <v>6372</v>
      </c>
      <c r="D1047" s="2200" t="str">
        <f t="shared" si="48"/>
        <v>KY</v>
      </c>
      <c r="E1047" s="2200" t="str">
        <f t="shared" si="49"/>
        <v>21</v>
      </c>
      <c r="F1047" s="2200" t="str">
        <f t="shared" si="50"/>
        <v>101</v>
      </c>
      <c r="G1047" s="2200">
        <f>--SUBTOTAL(3,C$2:C1047)</f>
        <v>67</v>
      </c>
    </row>
    <row r="1048" spans="1:7" hidden="1" x14ac:dyDescent="0.15">
      <c r="A1048" s="2200" t="s">
        <v>4280</v>
      </c>
      <c r="B1048" s="2200" t="s">
        <v>6373</v>
      </c>
      <c r="C1048" s="2200" t="s">
        <v>6374</v>
      </c>
      <c r="D1048" s="2200" t="str">
        <f t="shared" si="48"/>
        <v>KY</v>
      </c>
      <c r="E1048" s="2200" t="str">
        <f t="shared" si="49"/>
        <v>21</v>
      </c>
      <c r="F1048" s="2200" t="str">
        <f t="shared" si="50"/>
        <v>103</v>
      </c>
      <c r="G1048" s="2200">
        <f>--SUBTOTAL(3,C$2:C1048)</f>
        <v>67</v>
      </c>
    </row>
    <row r="1049" spans="1:7" hidden="1" x14ac:dyDescent="0.15">
      <c r="A1049" s="2200" t="s">
        <v>4280</v>
      </c>
      <c r="B1049" s="2200" t="s">
        <v>6375</v>
      </c>
      <c r="C1049" s="2200" t="s">
        <v>6376</v>
      </c>
      <c r="D1049" s="2200" t="str">
        <f t="shared" si="48"/>
        <v>KY</v>
      </c>
      <c r="E1049" s="2200" t="str">
        <f t="shared" si="49"/>
        <v>21</v>
      </c>
      <c r="F1049" s="2200" t="str">
        <f t="shared" si="50"/>
        <v>105</v>
      </c>
      <c r="G1049" s="2200">
        <f>--SUBTOTAL(3,C$2:C1049)</f>
        <v>67</v>
      </c>
    </row>
    <row r="1050" spans="1:7" hidden="1" x14ac:dyDescent="0.15">
      <c r="A1050" s="2200" t="s">
        <v>4280</v>
      </c>
      <c r="B1050" s="2200" t="s">
        <v>6377</v>
      </c>
      <c r="C1050" s="2200" t="s">
        <v>6378</v>
      </c>
      <c r="D1050" s="2200" t="str">
        <f t="shared" si="48"/>
        <v>KY</v>
      </c>
      <c r="E1050" s="2200" t="str">
        <f t="shared" si="49"/>
        <v>21</v>
      </c>
      <c r="F1050" s="2200" t="str">
        <f t="shared" si="50"/>
        <v>107</v>
      </c>
      <c r="G1050" s="2200">
        <f>--SUBTOTAL(3,C$2:C1050)</f>
        <v>67</v>
      </c>
    </row>
    <row r="1051" spans="1:7" hidden="1" x14ac:dyDescent="0.15">
      <c r="A1051" s="2200" t="s">
        <v>4280</v>
      </c>
      <c r="B1051" s="2200" t="s">
        <v>6379</v>
      </c>
      <c r="C1051" s="2200" t="s">
        <v>6380</v>
      </c>
      <c r="D1051" s="2200" t="str">
        <f t="shared" si="48"/>
        <v>KY</v>
      </c>
      <c r="E1051" s="2200" t="str">
        <f t="shared" si="49"/>
        <v>21</v>
      </c>
      <c r="F1051" s="2200" t="str">
        <f t="shared" si="50"/>
        <v>109</v>
      </c>
      <c r="G1051" s="2200">
        <f>--SUBTOTAL(3,C$2:C1051)</f>
        <v>67</v>
      </c>
    </row>
    <row r="1052" spans="1:7" hidden="1" x14ac:dyDescent="0.15">
      <c r="A1052" s="2200" t="s">
        <v>4280</v>
      </c>
      <c r="B1052" s="2200" t="s">
        <v>6381</v>
      </c>
      <c r="C1052" s="2200" t="s">
        <v>6382</v>
      </c>
      <c r="D1052" s="2200" t="str">
        <f t="shared" si="48"/>
        <v>KY</v>
      </c>
      <c r="E1052" s="2200" t="str">
        <f t="shared" si="49"/>
        <v>21</v>
      </c>
      <c r="F1052" s="2200" t="str">
        <f t="shared" si="50"/>
        <v>111</v>
      </c>
      <c r="G1052" s="2200">
        <f>--SUBTOTAL(3,C$2:C1052)</f>
        <v>67</v>
      </c>
    </row>
    <row r="1053" spans="1:7" hidden="1" x14ac:dyDescent="0.15">
      <c r="A1053" s="2200" t="s">
        <v>4280</v>
      </c>
      <c r="B1053" s="2200" t="s">
        <v>6383</v>
      </c>
      <c r="C1053" s="2200" t="s">
        <v>6384</v>
      </c>
      <c r="D1053" s="2200" t="str">
        <f t="shared" si="48"/>
        <v>KY</v>
      </c>
      <c r="E1053" s="2200" t="str">
        <f t="shared" si="49"/>
        <v>21</v>
      </c>
      <c r="F1053" s="2200" t="str">
        <f t="shared" si="50"/>
        <v>113</v>
      </c>
      <c r="G1053" s="2200">
        <f>--SUBTOTAL(3,C$2:C1053)</f>
        <v>67</v>
      </c>
    </row>
    <row r="1054" spans="1:7" hidden="1" x14ac:dyDescent="0.15">
      <c r="A1054" s="2200" t="s">
        <v>4280</v>
      </c>
      <c r="B1054" s="2200" t="s">
        <v>6385</v>
      </c>
      <c r="C1054" s="2200" t="s">
        <v>6386</v>
      </c>
      <c r="D1054" s="2200" t="str">
        <f t="shared" si="48"/>
        <v>KY</v>
      </c>
      <c r="E1054" s="2200" t="str">
        <f t="shared" si="49"/>
        <v>21</v>
      </c>
      <c r="F1054" s="2200" t="str">
        <f t="shared" si="50"/>
        <v>115</v>
      </c>
      <c r="G1054" s="2200">
        <f>--SUBTOTAL(3,C$2:C1054)</f>
        <v>67</v>
      </c>
    </row>
    <row r="1055" spans="1:7" hidden="1" x14ac:dyDescent="0.15">
      <c r="A1055" s="2200" t="s">
        <v>4280</v>
      </c>
      <c r="B1055" s="2200" t="s">
        <v>6387</v>
      </c>
      <c r="C1055" s="2200" t="s">
        <v>6388</v>
      </c>
      <c r="D1055" s="2200" t="str">
        <f t="shared" si="48"/>
        <v>KY</v>
      </c>
      <c r="E1055" s="2200" t="str">
        <f t="shared" si="49"/>
        <v>21</v>
      </c>
      <c r="F1055" s="2200" t="str">
        <f t="shared" si="50"/>
        <v>117</v>
      </c>
      <c r="G1055" s="2200">
        <f>--SUBTOTAL(3,C$2:C1055)</f>
        <v>67</v>
      </c>
    </row>
    <row r="1056" spans="1:7" hidden="1" x14ac:dyDescent="0.15">
      <c r="A1056" s="2200" t="s">
        <v>4280</v>
      </c>
      <c r="B1056" s="2200" t="s">
        <v>6389</v>
      </c>
      <c r="C1056" s="2200" t="s">
        <v>6390</v>
      </c>
      <c r="D1056" s="2200" t="str">
        <f t="shared" si="48"/>
        <v>KY</v>
      </c>
      <c r="E1056" s="2200" t="str">
        <f t="shared" si="49"/>
        <v>21</v>
      </c>
      <c r="F1056" s="2200" t="str">
        <f t="shared" si="50"/>
        <v>119</v>
      </c>
      <c r="G1056" s="2200">
        <f>--SUBTOTAL(3,C$2:C1056)</f>
        <v>67</v>
      </c>
    </row>
    <row r="1057" spans="1:7" hidden="1" x14ac:dyDescent="0.15">
      <c r="A1057" s="2200" t="s">
        <v>4280</v>
      </c>
      <c r="B1057" s="2200" t="s">
        <v>6391</v>
      </c>
      <c r="C1057" s="2200" t="s">
        <v>6392</v>
      </c>
      <c r="D1057" s="2200" t="str">
        <f t="shared" si="48"/>
        <v>KY</v>
      </c>
      <c r="E1057" s="2200" t="str">
        <f t="shared" si="49"/>
        <v>21</v>
      </c>
      <c r="F1057" s="2200" t="str">
        <f t="shared" si="50"/>
        <v>121</v>
      </c>
      <c r="G1057" s="2200">
        <f>--SUBTOTAL(3,C$2:C1057)</f>
        <v>67</v>
      </c>
    </row>
    <row r="1058" spans="1:7" hidden="1" x14ac:dyDescent="0.15">
      <c r="A1058" s="2200" t="s">
        <v>4280</v>
      </c>
      <c r="B1058" s="2200" t="s">
        <v>6393</v>
      </c>
      <c r="C1058" s="2200" t="s">
        <v>6394</v>
      </c>
      <c r="D1058" s="2200" t="str">
        <f t="shared" si="48"/>
        <v>KY</v>
      </c>
      <c r="E1058" s="2200" t="str">
        <f t="shared" si="49"/>
        <v>21</v>
      </c>
      <c r="F1058" s="2200" t="str">
        <f t="shared" si="50"/>
        <v>123</v>
      </c>
      <c r="G1058" s="2200">
        <f>--SUBTOTAL(3,C$2:C1058)</f>
        <v>67</v>
      </c>
    </row>
    <row r="1059" spans="1:7" hidden="1" x14ac:dyDescent="0.15">
      <c r="A1059" s="2200" t="s">
        <v>4280</v>
      </c>
      <c r="B1059" s="2200" t="s">
        <v>6395</v>
      </c>
      <c r="C1059" s="2200" t="s">
        <v>6396</v>
      </c>
      <c r="D1059" s="2200" t="str">
        <f t="shared" si="48"/>
        <v>KY</v>
      </c>
      <c r="E1059" s="2200" t="str">
        <f t="shared" si="49"/>
        <v>21</v>
      </c>
      <c r="F1059" s="2200" t="str">
        <f t="shared" si="50"/>
        <v>125</v>
      </c>
      <c r="G1059" s="2200">
        <f>--SUBTOTAL(3,C$2:C1059)</f>
        <v>67</v>
      </c>
    </row>
    <row r="1060" spans="1:7" hidden="1" x14ac:dyDescent="0.15">
      <c r="A1060" s="2200" t="s">
        <v>4280</v>
      </c>
      <c r="B1060" s="2200" t="s">
        <v>6397</v>
      </c>
      <c r="C1060" s="2200" t="s">
        <v>6398</v>
      </c>
      <c r="D1060" s="2200" t="str">
        <f t="shared" si="48"/>
        <v>KY</v>
      </c>
      <c r="E1060" s="2200" t="str">
        <f t="shared" si="49"/>
        <v>21</v>
      </c>
      <c r="F1060" s="2200" t="str">
        <f t="shared" si="50"/>
        <v>127</v>
      </c>
      <c r="G1060" s="2200">
        <f>--SUBTOTAL(3,C$2:C1060)</f>
        <v>67</v>
      </c>
    </row>
    <row r="1061" spans="1:7" hidden="1" x14ac:dyDescent="0.15">
      <c r="A1061" s="2200" t="s">
        <v>4280</v>
      </c>
      <c r="B1061" s="2200" t="s">
        <v>6399</v>
      </c>
      <c r="C1061" s="2200" t="s">
        <v>6400</v>
      </c>
      <c r="D1061" s="2200" t="str">
        <f t="shared" si="48"/>
        <v>KY</v>
      </c>
      <c r="E1061" s="2200" t="str">
        <f t="shared" si="49"/>
        <v>21</v>
      </c>
      <c r="F1061" s="2200" t="str">
        <f t="shared" si="50"/>
        <v>129</v>
      </c>
      <c r="G1061" s="2200">
        <f>--SUBTOTAL(3,C$2:C1061)</f>
        <v>67</v>
      </c>
    </row>
    <row r="1062" spans="1:7" hidden="1" x14ac:dyDescent="0.15">
      <c r="A1062" s="2200" t="s">
        <v>4280</v>
      </c>
      <c r="B1062" s="2200" t="s">
        <v>6401</v>
      </c>
      <c r="C1062" s="2200" t="s">
        <v>6402</v>
      </c>
      <c r="D1062" s="2200" t="str">
        <f t="shared" si="48"/>
        <v>KY</v>
      </c>
      <c r="E1062" s="2200" t="str">
        <f t="shared" si="49"/>
        <v>21</v>
      </c>
      <c r="F1062" s="2200" t="str">
        <f t="shared" si="50"/>
        <v>131</v>
      </c>
      <c r="G1062" s="2200">
        <f>--SUBTOTAL(3,C$2:C1062)</f>
        <v>67</v>
      </c>
    </row>
    <row r="1063" spans="1:7" hidden="1" x14ac:dyDescent="0.15">
      <c r="A1063" s="2200" t="s">
        <v>4280</v>
      </c>
      <c r="B1063" s="2200" t="s">
        <v>6403</v>
      </c>
      <c r="C1063" s="2200" t="s">
        <v>6404</v>
      </c>
      <c r="D1063" s="2200" t="str">
        <f t="shared" si="48"/>
        <v>KY</v>
      </c>
      <c r="E1063" s="2200" t="str">
        <f t="shared" si="49"/>
        <v>21</v>
      </c>
      <c r="F1063" s="2200" t="str">
        <f t="shared" si="50"/>
        <v>133</v>
      </c>
      <c r="G1063" s="2200">
        <f>--SUBTOTAL(3,C$2:C1063)</f>
        <v>67</v>
      </c>
    </row>
    <row r="1064" spans="1:7" hidden="1" x14ac:dyDescent="0.15">
      <c r="A1064" s="2200" t="s">
        <v>4280</v>
      </c>
      <c r="B1064" s="2200" t="s">
        <v>6405</v>
      </c>
      <c r="C1064" s="2200" t="s">
        <v>6406</v>
      </c>
      <c r="D1064" s="2200" t="str">
        <f t="shared" si="48"/>
        <v>KY</v>
      </c>
      <c r="E1064" s="2200" t="str">
        <f t="shared" si="49"/>
        <v>21</v>
      </c>
      <c r="F1064" s="2200" t="str">
        <f t="shared" si="50"/>
        <v>135</v>
      </c>
      <c r="G1064" s="2200">
        <f>--SUBTOTAL(3,C$2:C1064)</f>
        <v>67</v>
      </c>
    </row>
    <row r="1065" spans="1:7" hidden="1" x14ac:dyDescent="0.15">
      <c r="A1065" s="2200" t="s">
        <v>4280</v>
      </c>
      <c r="B1065" s="2200" t="s">
        <v>6407</v>
      </c>
      <c r="C1065" s="2200" t="s">
        <v>6408</v>
      </c>
      <c r="D1065" s="2200" t="str">
        <f t="shared" si="48"/>
        <v>KY</v>
      </c>
      <c r="E1065" s="2200" t="str">
        <f t="shared" si="49"/>
        <v>21</v>
      </c>
      <c r="F1065" s="2200" t="str">
        <f t="shared" si="50"/>
        <v>137</v>
      </c>
      <c r="G1065" s="2200">
        <f>--SUBTOTAL(3,C$2:C1065)</f>
        <v>67</v>
      </c>
    </row>
    <row r="1066" spans="1:7" hidden="1" x14ac:dyDescent="0.15">
      <c r="A1066" s="2200" t="s">
        <v>4280</v>
      </c>
      <c r="B1066" s="2200" t="s">
        <v>6409</v>
      </c>
      <c r="C1066" s="2200" t="s">
        <v>6410</v>
      </c>
      <c r="D1066" s="2200" t="str">
        <f t="shared" si="48"/>
        <v>KY</v>
      </c>
      <c r="E1066" s="2200" t="str">
        <f t="shared" si="49"/>
        <v>21</v>
      </c>
      <c r="F1066" s="2200" t="str">
        <f t="shared" si="50"/>
        <v>139</v>
      </c>
      <c r="G1066" s="2200">
        <f>--SUBTOTAL(3,C$2:C1066)</f>
        <v>67</v>
      </c>
    </row>
    <row r="1067" spans="1:7" hidden="1" x14ac:dyDescent="0.15">
      <c r="A1067" s="2200" t="s">
        <v>4280</v>
      </c>
      <c r="B1067" s="2200" t="s">
        <v>6411</v>
      </c>
      <c r="C1067" s="2200" t="s">
        <v>6412</v>
      </c>
      <c r="D1067" s="2200" t="str">
        <f t="shared" si="48"/>
        <v>KY</v>
      </c>
      <c r="E1067" s="2200" t="str">
        <f t="shared" si="49"/>
        <v>21</v>
      </c>
      <c r="F1067" s="2200" t="str">
        <f t="shared" si="50"/>
        <v>141</v>
      </c>
      <c r="G1067" s="2200">
        <f>--SUBTOTAL(3,C$2:C1067)</f>
        <v>67</v>
      </c>
    </row>
    <row r="1068" spans="1:7" hidden="1" x14ac:dyDescent="0.15">
      <c r="A1068" s="2200" t="s">
        <v>4280</v>
      </c>
      <c r="B1068" s="2200" t="s">
        <v>6413</v>
      </c>
      <c r="C1068" s="2200" t="s">
        <v>6414</v>
      </c>
      <c r="D1068" s="2200" t="str">
        <f t="shared" si="48"/>
        <v>KY</v>
      </c>
      <c r="E1068" s="2200" t="str">
        <f t="shared" si="49"/>
        <v>21</v>
      </c>
      <c r="F1068" s="2200" t="str">
        <f t="shared" si="50"/>
        <v>143</v>
      </c>
      <c r="G1068" s="2200">
        <f>--SUBTOTAL(3,C$2:C1068)</f>
        <v>67</v>
      </c>
    </row>
    <row r="1069" spans="1:7" hidden="1" x14ac:dyDescent="0.15">
      <c r="A1069" s="2200" t="s">
        <v>4280</v>
      </c>
      <c r="B1069" s="2200" t="s">
        <v>6415</v>
      </c>
      <c r="C1069" s="2200" t="s">
        <v>6416</v>
      </c>
      <c r="D1069" s="2200" t="str">
        <f t="shared" si="48"/>
        <v>KY</v>
      </c>
      <c r="E1069" s="2200" t="str">
        <f t="shared" si="49"/>
        <v>21</v>
      </c>
      <c r="F1069" s="2200" t="str">
        <f t="shared" si="50"/>
        <v>145</v>
      </c>
      <c r="G1069" s="2200">
        <f>--SUBTOTAL(3,C$2:C1069)</f>
        <v>67</v>
      </c>
    </row>
    <row r="1070" spans="1:7" hidden="1" x14ac:dyDescent="0.15">
      <c r="A1070" s="2200" t="s">
        <v>4280</v>
      </c>
      <c r="B1070" s="2200" t="s">
        <v>6417</v>
      </c>
      <c r="C1070" s="2200" t="s">
        <v>6418</v>
      </c>
      <c r="D1070" s="2200" t="str">
        <f t="shared" si="48"/>
        <v>KY</v>
      </c>
      <c r="E1070" s="2200" t="str">
        <f t="shared" si="49"/>
        <v>21</v>
      </c>
      <c r="F1070" s="2200" t="str">
        <f t="shared" si="50"/>
        <v>147</v>
      </c>
      <c r="G1070" s="2200">
        <f>--SUBTOTAL(3,C$2:C1070)</f>
        <v>67</v>
      </c>
    </row>
    <row r="1071" spans="1:7" hidden="1" x14ac:dyDescent="0.15">
      <c r="A1071" s="2200" t="s">
        <v>4280</v>
      </c>
      <c r="B1071" s="2200" t="s">
        <v>6419</v>
      </c>
      <c r="C1071" s="2200" t="s">
        <v>6420</v>
      </c>
      <c r="D1071" s="2200" t="str">
        <f t="shared" si="48"/>
        <v>KY</v>
      </c>
      <c r="E1071" s="2200" t="str">
        <f t="shared" si="49"/>
        <v>21</v>
      </c>
      <c r="F1071" s="2200" t="str">
        <f t="shared" si="50"/>
        <v>149</v>
      </c>
      <c r="G1071" s="2200">
        <f>--SUBTOTAL(3,C$2:C1071)</f>
        <v>67</v>
      </c>
    </row>
    <row r="1072" spans="1:7" hidden="1" x14ac:dyDescent="0.15">
      <c r="A1072" s="2200" t="s">
        <v>4280</v>
      </c>
      <c r="B1072" s="2200" t="s">
        <v>6421</v>
      </c>
      <c r="C1072" s="2200" t="s">
        <v>6422</v>
      </c>
      <c r="D1072" s="2200" t="str">
        <f t="shared" si="48"/>
        <v>KY</v>
      </c>
      <c r="E1072" s="2200" t="str">
        <f t="shared" si="49"/>
        <v>21</v>
      </c>
      <c r="F1072" s="2200" t="str">
        <f t="shared" si="50"/>
        <v>151</v>
      </c>
      <c r="G1072" s="2200">
        <f>--SUBTOTAL(3,C$2:C1072)</f>
        <v>67</v>
      </c>
    </row>
    <row r="1073" spans="1:7" hidden="1" x14ac:dyDescent="0.15">
      <c r="A1073" s="2200" t="s">
        <v>4280</v>
      </c>
      <c r="B1073" s="2200" t="s">
        <v>6423</v>
      </c>
      <c r="C1073" s="2200" t="s">
        <v>6424</v>
      </c>
      <c r="D1073" s="2200" t="str">
        <f t="shared" si="48"/>
        <v>KY</v>
      </c>
      <c r="E1073" s="2200" t="str">
        <f t="shared" si="49"/>
        <v>21</v>
      </c>
      <c r="F1073" s="2200" t="str">
        <f t="shared" si="50"/>
        <v>153</v>
      </c>
      <c r="G1073" s="2200">
        <f>--SUBTOTAL(3,C$2:C1073)</f>
        <v>67</v>
      </c>
    </row>
    <row r="1074" spans="1:7" hidden="1" x14ac:dyDescent="0.15">
      <c r="A1074" s="2200" t="s">
        <v>4280</v>
      </c>
      <c r="B1074" s="2200" t="s">
        <v>6425</v>
      </c>
      <c r="C1074" s="2200" t="s">
        <v>6426</v>
      </c>
      <c r="D1074" s="2200" t="str">
        <f t="shared" si="48"/>
        <v>KY</v>
      </c>
      <c r="E1074" s="2200" t="str">
        <f t="shared" si="49"/>
        <v>21</v>
      </c>
      <c r="F1074" s="2200" t="str">
        <f t="shared" si="50"/>
        <v>155</v>
      </c>
      <c r="G1074" s="2200">
        <f>--SUBTOTAL(3,C$2:C1074)</f>
        <v>67</v>
      </c>
    </row>
    <row r="1075" spans="1:7" hidden="1" x14ac:dyDescent="0.15">
      <c r="A1075" s="2200" t="s">
        <v>4280</v>
      </c>
      <c r="B1075" s="2200" t="s">
        <v>6427</v>
      </c>
      <c r="C1075" s="2200" t="s">
        <v>6428</v>
      </c>
      <c r="D1075" s="2200" t="str">
        <f t="shared" si="48"/>
        <v>KY</v>
      </c>
      <c r="E1075" s="2200" t="str">
        <f t="shared" si="49"/>
        <v>21</v>
      </c>
      <c r="F1075" s="2200" t="str">
        <f t="shared" si="50"/>
        <v>157</v>
      </c>
      <c r="G1075" s="2200">
        <f>--SUBTOTAL(3,C$2:C1075)</f>
        <v>67</v>
      </c>
    </row>
    <row r="1076" spans="1:7" hidden="1" x14ac:dyDescent="0.15">
      <c r="A1076" s="2200" t="s">
        <v>4280</v>
      </c>
      <c r="B1076" s="2200" t="s">
        <v>6429</v>
      </c>
      <c r="C1076" s="2200" t="s">
        <v>6430</v>
      </c>
      <c r="D1076" s="2200" t="str">
        <f t="shared" si="48"/>
        <v>KY</v>
      </c>
      <c r="E1076" s="2200" t="str">
        <f t="shared" si="49"/>
        <v>21</v>
      </c>
      <c r="F1076" s="2200" t="str">
        <f t="shared" si="50"/>
        <v>159</v>
      </c>
      <c r="G1076" s="2200">
        <f>--SUBTOTAL(3,C$2:C1076)</f>
        <v>67</v>
      </c>
    </row>
    <row r="1077" spans="1:7" hidden="1" x14ac:dyDescent="0.15">
      <c r="A1077" s="2200" t="s">
        <v>4280</v>
      </c>
      <c r="B1077" s="2200" t="s">
        <v>6431</v>
      </c>
      <c r="C1077" s="2200" t="s">
        <v>6432</v>
      </c>
      <c r="D1077" s="2200" t="str">
        <f t="shared" si="48"/>
        <v>KY</v>
      </c>
      <c r="E1077" s="2200" t="str">
        <f t="shared" si="49"/>
        <v>21</v>
      </c>
      <c r="F1077" s="2200" t="str">
        <f t="shared" si="50"/>
        <v>161</v>
      </c>
      <c r="G1077" s="2200">
        <f>--SUBTOTAL(3,C$2:C1077)</f>
        <v>67</v>
      </c>
    </row>
    <row r="1078" spans="1:7" hidden="1" x14ac:dyDescent="0.15">
      <c r="A1078" s="2200" t="s">
        <v>4280</v>
      </c>
      <c r="B1078" s="2200" t="s">
        <v>6433</v>
      </c>
      <c r="C1078" s="2200" t="s">
        <v>6434</v>
      </c>
      <c r="D1078" s="2200" t="str">
        <f t="shared" si="48"/>
        <v>KY</v>
      </c>
      <c r="E1078" s="2200" t="str">
        <f t="shared" si="49"/>
        <v>21</v>
      </c>
      <c r="F1078" s="2200" t="str">
        <f t="shared" si="50"/>
        <v>163</v>
      </c>
      <c r="G1078" s="2200">
        <f>--SUBTOTAL(3,C$2:C1078)</f>
        <v>67</v>
      </c>
    </row>
    <row r="1079" spans="1:7" hidden="1" x14ac:dyDescent="0.15">
      <c r="A1079" s="2200" t="s">
        <v>4280</v>
      </c>
      <c r="B1079" s="2200" t="s">
        <v>6435</v>
      </c>
      <c r="C1079" s="2200" t="s">
        <v>6436</v>
      </c>
      <c r="D1079" s="2200" t="str">
        <f t="shared" si="48"/>
        <v>KY</v>
      </c>
      <c r="E1079" s="2200" t="str">
        <f t="shared" si="49"/>
        <v>21</v>
      </c>
      <c r="F1079" s="2200" t="str">
        <f t="shared" si="50"/>
        <v>165</v>
      </c>
      <c r="G1079" s="2200">
        <f>--SUBTOTAL(3,C$2:C1079)</f>
        <v>67</v>
      </c>
    </row>
    <row r="1080" spans="1:7" hidden="1" x14ac:dyDescent="0.15">
      <c r="A1080" s="2200" t="s">
        <v>4280</v>
      </c>
      <c r="B1080" s="2200" t="s">
        <v>6437</v>
      </c>
      <c r="C1080" s="2200" t="s">
        <v>6438</v>
      </c>
      <c r="D1080" s="2200" t="str">
        <f t="shared" si="48"/>
        <v>KY</v>
      </c>
      <c r="E1080" s="2200" t="str">
        <f t="shared" si="49"/>
        <v>21</v>
      </c>
      <c r="F1080" s="2200" t="str">
        <f t="shared" si="50"/>
        <v>167</v>
      </c>
      <c r="G1080" s="2200">
        <f>--SUBTOTAL(3,C$2:C1080)</f>
        <v>67</v>
      </c>
    </row>
    <row r="1081" spans="1:7" hidden="1" x14ac:dyDescent="0.15">
      <c r="A1081" s="2200" t="s">
        <v>4280</v>
      </c>
      <c r="B1081" s="2200" t="s">
        <v>6439</v>
      </c>
      <c r="C1081" s="2200" t="s">
        <v>6440</v>
      </c>
      <c r="D1081" s="2200" t="str">
        <f t="shared" si="48"/>
        <v>KY</v>
      </c>
      <c r="E1081" s="2200" t="str">
        <f t="shared" si="49"/>
        <v>21</v>
      </c>
      <c r="F1081" s="2200" t="str">
        <f t="shared" si="50"/>
        <v>169</v>
      </c>
      <c r="G1081" s="2200">
        <f>--SUBTOTAL(3,C$2:C1081)</f>
        <v>67</v>
      </c>
    </row>
    <row r="1082" spans="1:7" hidden="1" x14ac:dyDescent="0.15">
      <c r="A1082" s="2200" t="s">
        <v>4280</v>
      </c>
      <c r="B1082" s="2200" t="s">
        <v>6441</v>
      </c>
      <c r="C1082" s="2200" t="s">
        <v>6442</v>
      </c>
      <c r="D1082" s="2200" t="str">
        <f t="shared" si="48"/>
        <v>KY</v>
      </c>
      <c r="E1082" s="2200" t="str">
        <f t="shared" si="49"/>
        <v>21</v>
      </c>
      <c r="F1082" s="2200" t="str">
        <f t="shared" si="50"/>
        <v>171</v>
      </c>
      <c r="G1082" s="2200">
        <f>--SUBTOTAL(3,C$2:C1082)</f>
        <v>67</v>
      </c>
    </row>
    <row r="1083" spans="1:7" hidden="1" x14ac:dyDescent="0.15">
      <c r="A1083" s="2200" t="s">
        <v>4280</v>
      </c>
      <c r="B1083" s="2200" t="s">
        <v>6443</v>
      </c>
      <c r="C1083" s="2200" t="s">
        <v>6444</v>
      </c>
      <c r="D1083" s="2200" t="str">
        <f t="shared" si="48"/>
        <v>KY</v>
      </c>
      <c r="E1083" s="2200" t="str">
        <f t="shared" si="49"/>
        <v>21</v>
      </c>
      <c r="F1083" s="2200" t="str">
        <f t="shared" si="50"/>
        <v>173</v>
      </c>
      <c r="G1083" s="2200">
        <f>--SUBTOTAL(3,C$2:C1083)</f>
        <v>67</v>
      </c>
    </row>
    <row r="1084" spans="1:7" hidden="1" x14ac:dyDescent="0.15">
      <c r="A1084" s="2200" t="s">
        <v>4280</v>
      </c>
      <c r="B1084" s="2200" t="s">
        <v>6445</v>
      </c>
      <c r="C1084" s="2200" t="s">
        <v>6446</v>
      </c>
      <c r="D1084" s="2200" t="str">
        <f t="shared" si="48"/>
        <v>KY</v>
      </c>
      <c r="E1084" s="2200" t="str">
        <f t="shared" si="49"/>
        <v>21</v>
      </c>
      <c r="F1084" s="2200" t="str">
        <f t="shared" si="50"/>
        <v>175</v>
      </c>
      <c r="G1084" s="2200">
        <f>--SUBTOTAL(3,C$2:C1084)</f>
        <v>67</v>
      </c>
    </row>
    <row r="1085" spans="1:7" hidden="1" x14ac:dyDescent="0.15">
      <c r="A1085" s="2200" t="s">
        <v>4280</v>
      </c>
      <c r="B1085" s="2200" t="s">
        <v>6447</v>
      </c>
      <c r="C1085" s="2200" t="s">
        <v>6448</v>
      </c>
      <c r="D1085" s="2200" t="str">
        <f t="shared" si="48"/>
        <v>KY</v>
      </c>
      <c r="E1085" s="2200" t="str">
        <f t="shared" si="49"/>
        <v>21</v>
      </c>
      <c r="F1085" s="2200" t="str">
        <f t="shared" si="50"/>
        <v>177</v>
      </c>
      <c r="G1085" s="2200">
        <f>--SUBTOTAL(3,C$2:C1085)</f>
        <v>67</v>
      </c>
    </row>
    <row r="1086" spans="1:7" hidden="1" x14ac:dyDescent="0.15">
      <c r="A1086" s="2200" t="s">
        <v>4280</v>
      </c>
      <c r="B1086" s="2200" t="s">
        <v>6449</v>
      </c>
      <c r="C1086" s="2200" t="s">
        <v>6450</v>
      </c>
      <c r="D1086" s="2200" t="str">
        <f t="shared" si="48"/>
        <v>KY</v>
      </c>
      <c r="E1086" s="2200" t="str">
        <f t="shared" si="49"/>
        <v>21</v>
      </c>
      <c r="F1086" s="2200" t="str">
        <f t="shared" si="50"/>
        <v>179</v>
      </c>
      <c r="G1086" s="2200">
        <f>--SUBTOTAL(3,C$2:C1086)</f>
        <v>67</v>
      </c>
    </row>
    <row r="1087" spans="1:7" hidden="1" x14ac:dyDescent="0.15">
      <c r="A1087" s="2200" t="s">
        <v>4280</v>
      </c>
      <c r="B1087" s="2200" t="s">
        <v>6451</v>
      </c>
      <c r="C1087" s="2200" t="s">
        <v>6452</v>
      </c>
      <c r="D1087" s="2200" t="str">
        <f t="shared" si="48"/>
        <v>KY</v>
      </c>
      <c r="E1087" s="2200" t="str">
        <f t="shared" si="49"/>
        <v>21</v>
      </c>
      <c r="F1087" s="2200" t="str">
        <f t="shared" si="50"/>
        <v>181</v>
      </c>
      <c r="G1087" s="2200">
        <f>--SUBTOTAL(3,C$2:C1087)</f>
        <v>67</v>
      </c>
    </row>
    <row r="1088" spans="1:7" hidden="1" x14ac:dyDescent="0.15">
      <c r="A1088" s="2200" t="s">
        <v>4280</v>
      </c>
      <c r="B1088" s="2200" t="s">
        <v>6453</v>
      </c>
      <c r="C1088" s="2200" t="s">
        <v>6454</v>
      </c>
      <c r="D1088" s="2200" t="str">
        <f t="shared" si="48"/>
        <v>KY</v>
      </c>
      <c r="E1088" s="2200" t="str">
        <f t="shared" si="49"/>
        <v>21</v>
      </c>
      <c r="F1088" s="2200" t="str">
        <f t="shared" si="50"/>
        <v>183</v>
      </c>
      <c r="G1088" s="2200">
        <f>--SUBTOTAL(3,C$2:C1088)</f>
        <v>67</v>
      </c>
    </row>
    <row r="1089" spans="1:7" hidden="1" x14ac:dyDescent="0.15">
      <c r="A1089" s="2200" t="s">
        <v>4280</v>
      </c>
      <c r="B1089" s="2200" t="s">
        <v>6455</v>
      </c>
      <c r="C1089" s="2200" t="s">
        <v>6456</v>
      </c>
      <c r="D1089" s="2200" t="str">
        <f t="shared" si="48"/>
        <v>KY</v>
      </c>
      <c r="E1089" s="2200" t="str">
        <f t="shared" si="49"/>
        <v>21</v>
      </c>
      <c r="F1089" s="2200" t="str">
        <f t="shared" si="50"/>
        <v>185</v>
      </c>
      <c r="G1089" s="2200">
        <f>--SUBTOTAL(3,C$2:C1089)</f>
        <v>67</v>
      </c>
    </row>
    <row r="1090" spans="1:7" hidden="1" x14ac:dyDescent="0.15">
      <c r="A1090" s="2200" t="s">
        <v>4280</v>
      </c>
      <c r="B1090" s="2200" t="s">
        <v>6457</v>
      </c>
      <c r="C1090" s="2200" t="s">
        <v>6458</v>
      </c>
      <c r="D1090" s="2200" t="str">
        <f t="shared" si="48"/>
        <v>KY</v>
      </c>
      <c r="E1090" s="2200" t="str">
        <f t="shared" si="49"/>
        <v>21</v>
      </c>
      <c r="F1090" s="2200" t="str">
        <f t="shared" si="50"/>
        <v>187</v>
      </c>
      <c r="G1090" s="2200">
        <f>--SUBTOTAL(3,C$2:C1090)</f>
        <v>67</v>
      </c>
    </row>
    <row r="1091" spans="1:7" hidden="1" x14ac:dyDescent="0.15">
      <c r="A1091" s="2200" t="s">
        <v>4280</v>
      </c>
      <c r="B1091" s="2200" t="s">
        <v>6459</v>
      </c>
      <c r="C1091" s="2200" t="s">
        <v>6460</v>
      </c>
      <c r="D1091" s="2200" t="str">
        <f t="shared" ref="D1091:D1154" si="51">RIGHT(C1091,2)</f>
        <v>KY</v>
      </c>
      <c r="E1091" s="2200" t="str">
        <f t="shared" ref="E1091:E1154" si="52">MID(B1091,3,2)</f>
        <v>21</v>
      </c>
      <c r="F1091" s="2200" t="str">
        <f t="shared" ref="F1091:F1154" si="53">MID(B1091,5,3)</f>
        <v>189</v>
      </c>
      <c r="G1091" s="2200">
        <f>--SUBTOTAL(3,C$2:C1091)</f>
        <v>67</v>
      </c>
    </row>
    <row r="1092" spans="1:7" hidden="1" x14ac:dyDescent="0.15">
      <c r="A1092" s="2200" t="s">
        <v>4280</v>
      </c>
      <c r="B1092" s="2200" t="s">
        <v>6461</v>
      </c>
      <c r="C1092" s="2200" t="s">
        <v>6462</v>
      </c>
      <c r="D1092" s="2200" t="str">
        <f t="shared" si="51"/>
        <v>KY</v>
      </c>
      <c r="E1092" s="2200" t="str">
        <f t="shared" si="52"/>
        <v>21</v>
      </c>
      <c r="F1092" s="2200" t="str">
        <f t="shared" si="53"/>
        <v>191</v>
      </c>
      <c r="G1092" s="2200">
        <f>--SUBTOTAL(3,C$2:C1092)</f>
        <v>67</v>
      </c>
    </row>
    <row r="1093" spans="1:7" hidden="1" x14ac:dyDescent="0.15">
      <c r="A1093" s="2200" t="s">
        <v>4280</v>
      </c>
      <c r="B1093" s="2200" t="s">
        <v>6463</v>
      </c>
      <c r="C1093" s="2200" t="s">
        <v>6464</v>
      </c>
      <c r="D1093" s="2200" t="str">
        <f t="shared" si="51"/>
        <v>KY</v>
      </c>
      <c r="E1093" s="2200" t="str">
        <f t="shared" si="52"/>
        <v>21</v>
      </c>
      <c r="F1093" s="2200" t="str">
        <f t="shared" si="53"/>
        <v>193</v>
      </c>
      <c r="G1093" s="2200">
        <f>--SUBTOTAL(3,C$2:C1093)</f>
        <v>67</v>
      </c>
    </row>
    <row r="1094" spans="1:7" hidden="1" x14ac:dyDescent="0.15">
      <c r="A1094" s="2200" t="s">
        <v>4280</v>
      </c>
      <c r="B1094" s="2200" t="s">
        <v>6465</v>
      </c>
      <c r="C1094" s="2200" t="s">
        <v>6466</v>
      </c>
      <c r="D1094" s="2200" t="str">
        <f t="shared" si="51"/>
        <v>KY</v>
      </c>
      <c r="E1094" s="2200" t="str">
        <f t="shared" si="52"/>
        <v>21</v>
      </c>
      <c r="F1094" s="2200" t="str">
        <f t="shared" si="53"/>
        <v>195</v>
      </c>
      <c r="G1094" s="2200">
        <f>--SUBTOTAL(3,C$2:C1094)</f>
        <v>67</v>
      </c>
    </row>
    <row r="1095" spans="1:7" hidden="1" x14ac:dyDescent="0.15">
      <c r="A1095" s="2200" t="s">
        <v>4280</v>
      </c>
      <c r="B1095" s="2200" t="s">
        <v>6467</v>
      </c>
      <c r="C1095" s="2200" t="s">
        <v>6468</v>
      </c>
      <c r="D1095" s="2200" t="str">
        <f t="shared" si="51"/>
        <v>KY</v>
      </c>
      <c r="E1095" s="2200" t="str">
        <f t="shared" si="52"/>
        <v>21</v>
      </c>
      <c r="F1095" s="2200" t="str">
        <f t="shared" si="53"/>
        <v>197</v>
      </c>
      <c r="G1095" s="2200">
        <f>--SUBTOTAL(3,C$2:C1095)</f>
        <v>67</v>
      </c>
    </row>
    <row r="1096" spans="1:7" hidden="1" x14ac:dyDescent="0.15">
      <c r="A1096" s="2200" t="s">
        <v>4280</v>
      </c>
      <c r="B1096" s="2200" t="s">
        <v>6469</v>
      </c>
      <c r="C1096" s="2200" t="s">
        <v>6470</v>
      </c>
      <c r="D1096" s="2200" t="str">
        <f t="shared" si="51"/>
        <v>KY</v>
      </c>
      <c r="E1096" s="2200" t="str">
        <f t="shared" si="52"/>
        <v>21</v>
      </c>
      <c r="F1096" s="2200" t="str">
        <f t="shared" si="53"/>
        <v>199</v>
      </c>
      <c r="G1096" s="2200">
        <f>--SUBTOTAL(3,C$2:C1096)</f>
        <v>67</v>
      </c>
    </row>
    <row r="1097" spans="1:7" hidden="1" x14ac:dyDescent="0.15">
      <c r="A1097" s="2200" t="s">
        <v>4280</v>
      </c>
      <c r="B1097" s="2200" t="s">
        <v>6471</v>
      </c>
      <c r="C1097" s="2200" t="s">
        <v>6472</v>
      </c>
      <c r="D1097" s="2200" t="str">
        <f t="shared" si="51"/>
        <v>KY</v>
      </c>
      <c r="E1097" s="2200" t="str">
        <f t="shared" si="52"/>
        <v>21</v>
      </c>
      <c r="F1097" s="2200" t="str">
        <f t="shared" si="53"/>
        <v>201</v>
      </c>
      <c r="G1097" s="2200">
        <f>--SUBTOTAL(3,C$2:C1097)</f>
        <v>67</v>
      </c>
    </row>
    <row r="1098" spans="1:7" hidden="1" x14ac:dyDescent="0.15">
      <c r="A1098" s="2200" t="s">
        <v>4280</v>
      </c>
      <c r="B1098" s="2200" t="s">
        <v>6473</v>
      </c>
      <c r="C1098" s="2200" t="s">
        <v>6474</v>
      </c>
      <c r="D1098" s="2200" t="str">
        <f t="shared" si="51"/>
        <v>KY</v>
      </c>
      <c r="E1098" s="2200" t="str">
        <f t="shared" si="52"/>
        <v>21</v>
      </c>
      <c r="F1098" s="2200" t="str">
        <f t="shared" si="53"/>
        <v>203</v>
      </c>
      <c r="G1098" s="2200">
        <f>--SUBTOTAL(3,C$2:C1098)</f>
        <v>67</v>
      </c>
    </row>
    <row r="1099" spans="1:7" hidden="1" x14ac:dyDescent="0.15">
      <c r="A1099" s="2200" t="s">
        <v>4280</v>
      </c>
      <c r="B1099" s="2200" t="s">
        <v>6475</v>
      </c>
      <c r="C1099" s="2200" t="s">
        <v>6476</v>
      </c>
      <c r="D1099" s="2200" t="str">
        <f t="shared" si="51"/>
        <v>KY</v>
      </c>
      <c r="E1099" s="2200" t="str">
        <f t="shared" si="52"/>
        <v>21</v>
      </c>
      <c r="F1099" s="2200" t="str">
        <f t="shared" si="53"/>
        <v>205</v>
      </c>
      <c r="G1099" s="2200">
        <f>--SUBTOTAL(3,C$2:C1099)</f>
        <v>67</v>
      </c>
    </row>
    <row r="1100" spans="1:7" hidden="1" x14ac:dyDescent="0.15">
      <c r="A1100" s="2200" t="s">
        <v>4280</v>
      </c>
      <c r="B1100" s="2200" t="s">
        <v>6477</v>
      </c>
      <c r="C1100" s="2200" t="s">
        <v>6478</v>
      </c>
      <c r="D1100" s="2200" t="str">
        <f t="shared" si="51"/>
        <v>KY</v>
      </c>
      <c r="E1100" s="2200" t="str">
        <f t="shared" si="52"/>
        <v>21</v>
      </c>
      <c r="F1100" s="2200" t="str">
        <f t="shared" si="53"/>
        <v>207</v>
      </c>
      <c r="G1100" s="2200">
        <f>--SUBTOTAL(3,C$2:C1100)</f>
        <v>67</v>
      </c>
    </row>
    <row r="1101" spans="1:7" hidden="1" x14ac:dyDescent="0.15">
      <c r="A1101" s="2200" t="s">
        <v>4280</v>
      </c>
      <c r="B1101" s="2200" t="s">
        <v>6479</v>
      </c>
      <c r="C1101" s="2200" t="s">
        <v>6480</v>
      </c>
      <c r="D1101" s="2200" t="str">
        <f t="shared" si="51"/>
        <v>KY</v>
      </c>
      <c r="E1101" s="2200" t="str">
        <f t="shared" si="52"/>
        <v>21</v>
      </c>
      <c r="F1101" s="2200" t="str">
        <f t="shared" si="53"/>
        <v>209</v>
      </c>
      <c r="G1101" s="2200">
        <f>--SUBTOTAL(3,C$2:C1101)</f>
        <v>67</v>
      </c>
    </row>
    <row r="1102" spans="1:7" hidden="1" x14ac:dyDescent="0.15">
      <c r="A1102" s="2200" t="s">
        <v>4280</v>
      </c>
      <c r="B1102" s="2200" t="s">
        <v>6481</v>
      </c>
      <c r="C1102" s="2200" t="s">
        <v>6482</v>
      </c>
      <c r="D1102" s="2200" t="str">
        <f t="shared" si="51"/>
        <v>KY</v>
      </c>
      <c r="E1102" s="2200" t="str">
        <f t="shared" si="52"/>
        <v>21</v>
      </c>
      <c r="F1102" s="2200" t="str">
        <f t="shared" si="53"/>
        <v>211</v>
      </c>
      <c r="G1102" s="2200">
        <f>--SUBTOTAL(3,C$2:C1102)</f>
        <v>67</v>
      </c>
    </row>
    <row r="1103" spans="1:7" hidden="1" x14ac:dyDescent="0.15">
      <c r="A1103" s="2200" t="s">
        <v>4280</v>
      </c>
      <c r="B1103" s="2200" t="s">
        <v>6483</v>
      </c>
      <c r="C1103" s="2200" t="s">
        <v>6484</v>
      </c>
      <c r="D1103" s="2200" t="str">
        <f t="shared" si="51"/>
        <v>KY</v>
      </c>
      <c r="E1103" s="2200" t="str">
        <f t="shared" si="52"/>
        <v>21</v>
      </c>
      <c r="F1103" s="2200" t="str">
        <f t="shared" si="53"/>
        <v>213</v>
      </c>
      <c r="G1103" s="2200">
        <f>--SUBTOTAL(3,C$2:C1103)</f>
        <v>67</v>
      </c>
    </row>
    <row r="1104" spans="1:7" hidden="1" x14ac:dyDescent="0.15">
      <c r="A1104" s="2200" t="s">
        <v>4280</v>
      </c>
      <c r="B1104" s="2200" t="s">
        <v>6485</v>
      </c>
      <c r="C1104" s="2200" t="s">
        <v>6486</v>
      </c>
      <c r="D1104" s="2200" t="str">
        <f t="shared" si="51"/>
        <v>KY</v>
      </c>
      <c r="E1104" s="2200" t="str">
        <f t="shared" si="52"/>
        <v>21</v>
      </c>
      <c r="F1104" s="2200" t="str">
        <f t="shared" si="53"/>
        <v>215</v>
      </c>
      <c r="G1104" s="2200">
        <f>--SUBTOTAL(3,C$2:C1104)</f>
        <v>67</v>
      </c>
    </row>
    <row r="1105" spans="1:7" hidden="1" x14ac:dyDescent="0.15">
      <c r="A1105" s="2200" t="s">
        <v>4280</v>
      </c>
      <c r="B1105" s="2200" t="s">
        <v>6487</v>
      </c>
      <c r="C1105" s="2200" t="s">
        <v>6488</v>
      </c>
      <c r="D1105" s="2200" t="str">
        <f t="shared" si="51"/>
        <v>KY</v>
      </c>
      <c r="E1105" s="2200" t="str">
        <f t="shared" si="52"/>
        <v>21</v>
      </c>
      <c r="F1105" s="2200" t="str">
        <f t="shared" si="53"/>
        <v>217</v>
      </c>
      <c r="G1105" s="2200">
        <f>--SUBTOTAL(3,C$2:C1105)</f>
        <v>67</v>
      </c>
    </row>
    <row r="1106" spans="1:7" hidden="1" x14ac:dyDescent="0.15">
      <c r="A1106" s="2200" t="s">
        <v>4280</v>
      </c>
      <c r="B1106" s="2200" t="s">
        <v>6489</v>
      </c>
      <c r="C1106" s="2200" t="s">
        <v>6490</v>
      </c>
      <c r="D1106" s="2200" t="str">
        <f t="shared" si="51"/>
        <v>KY</v>
      </c>
      <c r="E1106" s="2200" t="str">
        <f t="shared" si="52"/>
        <v>21</v>
      </c>
      <c r="F1106" s="2200" t="str">
        <f t="shared" si="53"/>
        <v>219</v>
      </c>
      <c r="G1106" s="2200">
        <f>--SUBTOTAL(3,C$2:C1106)</f>
        <v>67</v>
      </c>
    </row>
    <row r="1107" spans="1:7" hidden="1" x14ac:dyDescent="0.15">
      <c r="A1107" s="2200" t="s">
        <v>4280</v>
      </c>
      <c r="B1107" s="2200" t="s">
        <v>6491</v>
      </c>
      <c r="C1107" s="2200" t="s">
        <v>6492</v>
      </c>
      <c r="D1107" s="2200" t="str">
        <f t="shared" si="51"/>
        <v>KY</v>
      </c>
      <c r="E1107" s="2200" t="str">
        <f t="shared" si="52"/>
        <v>21</v>
      </c>
      <c r="F1107" s="2200" t="str">
        <f t="shared" si="53"/>
        <v>221</v>
      </c>
      <c r="G1107" s="2200">
        <f>--SUBTOTAL(3,C$2:C1107)</f>
        <v>67</v>
      </c>
    </row>
    <row r="1108" spans="1:7" hidden="1" x14ac:dyDescent="0.15">
      <c r="A1108" s="2200" t="s">
        <v>4280</v>
      </c>
      <c r="B1108" s="2200" t="s">
        <v>6493</v>
      </c>
      <c r="C1108" s="2200" t="s">
        <v>6494</v>
      </c>
      <c r="D1108" s="2200" t="str">
        <f t="shared" si="51"/>
        <v>KY</v>
      </c>
      <c r="E1108" s="2200" t="str">
        <f t="shared" si="52"/>
        <v>21</v>
      </c>
      <c r="F1108" s="2200" t="str">
        <f t="shared" si="53"/>
        <v>223</v>
      </c>
      <c r="G1108" s="2200">
        <f>--SUBTOTAL(3,C$2:C1108)</f>
        <v>67</v>
      </c>
    </row>
    <row r="1109" spans="1:7" hidden="1" x14ac:dyDescent="0.15">
      <c r="A1109" s="2200" t="s">
        <v>4280</v>
      </c>
      <c r="B1109" s="2200" t="s">
        <v>6495</v>
      </c>
      <c r="C1109" s="2200" t="s">
        <v>6496</v>
      </c>
      <c r="D1109" s="2200" t="str">
        <f t="shared" si="51"/>
        <v>KY</v>
      </c>
      <c r="E1109" s="2200" t="str">
        <f t="shared" si="52"/>
        <v>21</v>
      </c>
      <c r="F1109" s="2200" t="str">
        <f t="shared" si="53"/>
        <v>225</v>
      </c>
      <c r="G1109" s="2200">
        <f>--SUBTOTAL(3,C$2:C1109)</f>
        <v>67</v>
      </c>
    </row>
    <row r="1110" spans="1:7" hidden="1" x14ac:dyDescent="0.15">
      <c r="A1110" s="2200" t="s">
        <v>4280</v>
      </c>
      <c r="B1110" s="2200" t="s">
        <v>6497</v>
      </c>
      <c r="C1110" s="2200" t="s">
        <v>6498</v>
      </c>
      <c r="D1110" s="2200" t="str">
        <f t="shared" si="51"/>
        <v>KY</v>
      </c>
      <c r="E1110" s="2200" t="str">
        <f t="shared" si="52"/>
        <v>21</v>
      </c>
      <c r="F1110" s="2200" t="str">
        <f t="shared" si="53"/>
        <v>227</v>
      </c>
      <c r="G1110" s="2200">
        <f>--SUBTOTAL(3,C$2:C1110)</f>
        <v>67</v>
      </c>
    </row>
    <row r="1111" spans="1:7" hidden="1" x14ac:dyDescent="0.15">
      <c r="A1111" s="2200" t="s">
        <v>4280</v>
      </c>
      <c r="B1111" s="2200" t="s">
        <v>6499</v>
      </c>
      <c r="C1111" s="2200" t="s">
        <v>6500</v>
      </c>
      <c r="D1111" s="2200" t="str">
        <f t="shared" si="51"/>
        <v>KY</v>
      </c>
      <c r="E1111" s="2200" t="str">
        <f t="shared" si="52"/>
        <v>21</v>
      </c>
      <c r="F1111" s="2200" t="str">
        <f t="shared" si="53"/>
        <v>229</v>
      </c>
      <c r="G1111" s="2200">
        <f>--SUBTOTAL(3,C$2:C1111)</f>
        <v>67</v>
      </c>
    </row>
    <row r="1112" spans="1:7" hidden="1" x14ac:dyDescent="0.15">
      <c r="A1112" s="2200" t="s">
        <v>4280</v>
      </c>
      <c r="B1112" s="2200" t="s">
        <v>6501</v>
      </c>
      <c r="C1112" s="2200" t="s">
        <v>6502</v>
      </c>
      <c r="D1112" s="2200" t="str">
        <f t="shared" si="51"/>
        <v>KY</v>
      </c>
      <c r="E1112" s="2200" t="str">
        <f t="shared" si="52"/>
        <v>21</v>
      </c>
      <c r="F1112" s="2200" t="str">
        <f t="shared" si="53"/>
        <v>231</v>
      </c>
      <c r="G1112" s="2200">
        <f>--SUBTOTAL(3,C$2:C1112)</f>
        <v>67</v>
      </c>
    </row>
    <row r="1113" spans="1:7" hidden="1" x14ac:dyDescent="0.15">
      <c r="A1113" s="2200" t="s">
        <v>4280</v>
      </c>
      <c r="B1113" s="2200" t="s">
        <v>6503</v>
      </c>
      <c r="C1113" s="2200" t="s">
        <v>6504</v>
      </c>
      <c r="D1113" s="2200" t="str">
        <f t="shared" si="51"/>
        <v>KY</v>
      </c>
      <c r="E1113" s="2200" t="str">
        <f t="shared" si="52"/>
        <v>21</v>
      </c>
      <c r="F1113" s="2200" t="str">
        <f t="shared" si="53"/>
        <v>233</v>
      </c>
      <c r="G1113" s="2200">
        <f>--SUBTOTAL(3,C$2:C1113)</f>
        <v>67</v>
      </c>
    </row>
    <row r="1114" spans="1:7" hidden="1" x14ac:dyDescent="0.15">
      <c r="A1114" s="2200" t="s">
        <v>4280</v>
      </c>
      <c r="B1114" s="2200" t="s">
        <v>6505</v>
      </c>
      <c r="C1114" s="2200" t="s">
        <v>6506</v>
      </c>
      <c r="D1114" s="2200" t="str">
        <f t="shared" si="51"/>
        <v>KY</v>
      </c>
      <c r="E1114" s="2200" t="str">
        <f t="shared" si="52"/>
        <v>21</v>
      </c>
      <c r="F1114" s="2200" t="str">
        <f t="shared" si="53"/>
        <v>235</v>
      </c>
      <c r="G1114" s="2200">
        <f>--SUBTOTAL(3,C$2:C1114)</f>
        <v>67</v>
      </c>
    </row>
    <row r="1115" spans="1:7" hidden="1" x14ac:dyDescent="0.15">
      <c r="A1115" s="2200" t="s">
        <v>4280</v>
      </c>
      <c r="B1115" s="2200" t="s">
        <v>6507</v>
      </c>
      <c r="C1115" s="2200" t="s">
        <v>6508</v>
      </c>
      <c r="D1115" s="2200" t="str">
        <f t="shared" si="51"/>
        <v>KY</v>
      </c>
      <c r="E1115" s="2200" t="str">
        <f t="shared" si="52"/>
        <v>21</v>
      </c>
      <c r="F1115" s="2200" t="str">
        <f t="shared" si="53"/>
        <v>237</v>
      </c>
      <c r="G1115" s="2200">
        <f>--SUBTOTAL(3,C$2:C1115)</f>
        <v>67</v>
      </c>
    </row>
    <row r="1116" spans="1:7" hidden="1" x14ac:dyDescent="0.15">
      <c r="A1116" s="2200" t="s">
        <v>4280</v>
      </c>
      <c r="B1116" s="2200" t="s">
        <v>6509</v>
      </c>
      <c r="C1116" s="2200" t="s">
        <v>6510</v>
      </c>
      <c r="D1116" s="2200" t="str">
        <f t="shared" si="51"/>
        <v>KY</v>
      </c>
      <c r="E1116" s="2200" t="str">
        <f t="shared" si="52"/>
        <v>21</v>
      </c>
      <c r="F1116" s="2200" t="str">
        <f t="shared" si="53"/>
        <v>239</v>
      </c>
      <c r="G1116" s="2200">
        <f>--SUBTOTAL(3,C$2:C1116)</f>
        <v>67</v>
      </c>
    </row>
    <row r="1117" spans="1:7" hidden="1" x14ac:dyDescent="0.15">
      <c r="A1117" s="2200" t="s">
        <v>4280</v>
      </c>
      <c r="B1117" s="2200" t="s">
        <v>6511</v>
      </c>
      <c r="C1117" s="2200" t="s">
        <v>6512</v>
      </c>
      <c r="D1117" s="2200" t="str">
        <f t="shared" si="51"/>
        <v>LA</v>
      </c>
      <c r="E1117" s="2200" t="str">
        <f t="shared" si="52"/>
        <v>22</v>
      </c>
      <c r="F1117" s="2200" t="str">
        <f t="shared" si="53"/>
        <v>001</v>
      </c>
      <c r="G1117" s="2200">
        <f>--SUBTOTAL(3,C$2:C1117)</f>
        <v>67</v>
      </c>
    </row>
    <row r="1118" spans="1:7" hidden="1" x14ac:dyDescent="0.15">
      <c r="A1118" s="2200" t="s">
        <v>4280</v>
      </c>
      <c r="B1118" s="2200" t="s">
        <v>6513</v>
      </c>
      <c r="C1118" s="2200" t="s">
        <v>6514</v>
      </c>
      <c r="D1118" s="2200" t="str">
        <f t="shared" si="51"/>
        <v>LA</v>
      </c>
      <c r="E1118" s="2200" t="str">
        <f t="shared" si="52"/>
        <v>22</v>
      </c>
      <c r="F1118" s="2200" t="str">
        <f t="shared" si="53"/>
        <v>003</v>
      </c>
      <c r="G1118" s="2200">
        <f>--SUBTOTAL(3,C$2:C1118)</f>
        <v>67</v>
      </c>
    </row>
    <row r="1119" spans="1:7" hidden="1" x14ac:dyDescent="0.15">
      <c r="A1119" s="2200" t="s">
        <v>4280</v>
      </c>
      <c r="B1119" s="2200" t="s">
        <v>6515</v>
      </c>
      <c r="C1119" s="2200" t="s">
        <v>6516</v>
      </c>
      <c r="D1119" s="2200" t="str">
        <f t="shared" si="51"/>
        <v>LA</v>
      </c>
      <c r="E1119" s="2200" t="str">
        <f t="shared" si="52"/>
        <v>22</v>
      </c>
      <c r="F1119" s="2200" t="str">
        <f t="shared" si="53"/>
        <v>005</v>
      </c>
      <c r="G1119" s="2200">
        <f>--SUBTOTAL(3,C$2:C1119)</f>
        <v>67</v>
      </c>
    </row>
    <row r="1120" spans="1:7" hidden="1" x14ac:dyDescent="0.15">
      <c r="A1120" s="2200" t="s">
        <v>4280</v>
      </c>
      <c r="B1120" s="2200" t="s">
        <v>6517</v>
      </c>
      <c r="C1120" s="2200" t="s">
        <v>6518</v>
      </c>
      <c r="D1120" s="2200" t="str">
        <f t="shared" si="51"/>
        <v>LA</v>
      </c>
      <c r="E1120" s="2200" t="str">
        <f t="shared" si="52"/>
        <v>22</v>
      </c>
      <c r="F1120" s="2200" t="str">
        <f t="shared" si="53"/>
        <v>007</v>
      </c>
      <c r="G1120" s="2200">
        <f>--SUBTOTAL(3,C$2:C1120)</f>
        <v>67</v>
      </c>
    </row>
    <row r="1121" spans="1:7" hidden="1" x14ac:dyDescent="0.15">
      <c r="A1121" s="2200" t="s">
        <v>4280</v>
      </c>
      <c r="B1121" s="2200" t="s">
        <v>6519</v>
      </c>
      <c r="C1121" s="2200" t="s">
        <v>6520</v>
      </c>
      <c r="D1121" s="2200" t="str">
        <f t="shared" si="51"/>
        <v>LA</v>
      </c>
      <c r="E1121" s="2200" t="str">
        <f t="shared" si="52"/>
        <v>22</v>
      </c>
      <c r="F1121" s="2200" t="str">
        <f t="shared" si="53"/>
        <v>009</v>
      </c>
      <c r="G1121" s="2200">
        <f>--SUBTOTAL(3,C$2:C1121)</f>
        <v>67</v>
      </c>
    </row>
    <row r="1122" spans="1:7" hidden="1" x14ac:dyDescent="0.15">
      <c r="A1122" s="2200" t="s">
        <v>4280</v>
      </c>
      <c r="B1122" s="2200" t="s">
        <v>6521</v>
      </c>
      <c r="C1122" s="2200" t="s">
        <v>6522</v>
      </c>
      <c r="D1122" s="2200" t="str">
        <f t="shared" si="51"/>
        <v>LA</v>
      </c>
      <c r="E1122" s="2200" t="str">
        <f t="shared" si="52"/>
        <v>22</v>
      </c>
      <c r="F1122" s="2200" t="str">
        <f t="shared" si="53"/>
        <v>011</v>
      </c>
      <c r="G1122" s="2200">
        <f>--SUBTOTAL(3,C$2:C1122)</f>
        <v>67</v>
      </c>
    </row>
    <row r="1123" spans="1:7" hidden="1" x14ac:dyDescent="0.15">
      <c r="A1123" s="2200" t="s">
        <v>4280</v>
      </c>
      <c r="B1123" s="2200" t="s">
        <v>6523</v>
      </c>
      <c r="C1123" s="2200" t="s">
        <v>6524</v>
      </c>
      <c r="D1123" s="2200" t="str">
        <f t="shared" si="51"/>
        <v>LA</v>
      </c>
      <c r="E1123" s="2200" t="str">
        <f t="shared" si="52"/>
        <v>22</v>
      </c>
      <c r="F1123" s="2200" t="str">
        <f t="shared" si="53"/>
        <v>013</v>
      </c>
      <c r="G1123" s="2200">
        <f>--SUBTOTAL(3,C$2:C1123)</f>
        <v>67</v>
      </c>
    </row>
    <row r="1124" spans="1:7" hidden="1" x14ac:dyDescent="0.15">
      <c r="A1124" s="2200" t="s">
        <v>4280</v>
      </c>
      <c r="B1124" s="2200" t="s">
        <v>6525</v>
      </c>
      <c r="C1124" s="2200" t="s">
        <v>6526</v>
      </c>
      <c r="D1124" s="2200" t="str">
        <f t="shared" si="51"/>
        <v>LA</v>
      </c>
      <c r="E1124" s="2200" t="str">
        <f t="shared" si="52"/>
        <v>22</v>
      </c>
      <c r="F1124" s="2200" t="str">
        <f t="shared" si="53"/>
        <v>015</v>
      </c>
      <c r="G1124" s="2200">
        <f>--SUBTOTAL(3,C$2:C1124)</f>
        <v>67</v>
      </c>
    </row>
    <row r="1125" spans="1:7" hidden="1" x14ac:dyDescent="0.15">
      <c r="A1125" s="2200" t="s">
        <v>4280</v>
      </c>
      <c r="B1125" s="2200" t="s">
        <v>6527</v>
      </c>
      <c r="C1125" s="2200" t="s">
        <v>6528</v>
      </c>
      <c r="D1125" s="2200" t="str">
        <f t="shared" si="51"/>
        <v>LA</v>
      </c>
      <c r="E1125" s="2200" t="str">
        <f t="shared" si="52"/>
        <v>22</v>
      </c>
      <c r="F1125" s="2200" t="str">
        <f t="shared" si="53"/>
        <v>017</v>
      </c>
      <c r="G1125" s="2200">
        <f>--SUBTOTAL(3,C$2:C1125)</f>
        <v>67</v>
      </c>
    </row>
    <row r="1126" spans="1:7" hidden="1" x14ac:dyDescent="0.15">
      <c r="A1126" s="2200" t="s">
        <v>4280</v>
      </c>
      <c r="B1126" s="2200" t="s">
        <v>6529</v>
      </c>
      <c r="C1126" s="2200" t="s">
        <v>6530</v>
      </c>
      <c r="D1126" s="2200" t="str">
        <f t="shared" si="51"/>
        <v>LA</v>
      </c>
      <c r="E1126" s="2200" t="str">
        <f t="shared" si="52"/>
        <v>22</v>
      </c>
      <c r="F1126" s="2200" t="str">
        <f t="shared" si="53"/>
        <v>019</v>
      </c>
      <c r="G1126" s="2200">
        <f>--SUBTOTAL(3,C$2:C1126)</f>
        <v>67</v>
      </c>
    </row>
    <row r="1127" spans="1:7" hidden="1" x14ac:dyDescent="0.15">
      <c r="A1127" s="2200" t="s">
        <v>4280</v>
      </c>
      <c r="B1127" s="2200" t="s">
        <v>6531</v>
      </c>
      <c r="C1127" s="2200" t="s">
        <v>6532</v>
      </c>
      <c r="D1127" s="2200" t="str">
        <f t="shared" si="51"/>
        <v>LA</v>
      </c>
      <c r="E1127" s="2200" t="str">
        <f t="shared" si="52"/>
        <v>22</v>
      </c>
      <c r="F1127" s="2200" t="str">
        <f t="shared" si="53"/>
        <v>021</v>
      </c>
      <c r="G1127" s="2200">
        <f>--SUBTOTAL(3,C$2:C1127)</f>
        <v>67</v>
      </c>
    </row>
    <row r="1128" spans="1:7" hidden="1" x14ac:dyDescent="0.15">
      <c r="A1128" s="2200" t="s">
        <v>4280</v>
      </c>
      <c r="B1128" s="2200" t="s">
        <v>6533</v>
      </c>
      <c r="C1128" s="2200" t="s">
        <v>6534</v>
      </c>
      <c r="D1128" s="2200" t="str">
        <f t="shared" si="51"/>
        <v>LA</v>
      </c>
      <c r="E1128" s="2200" t="str">
        <f t="shared" si="52"/>
        <v>22</v>
      </c>
      <c r="F1128" s="2200" t="str">
        <f t="shared" si="53"/>
        <v>023</v>
      </c>
      <c r="G1128" s="2200">
        <f>--SUBTOTAL(3,C$2:C1128)</f>
        <v>67</v>
      </c>
    </row>
    <row r="1129" spans="1:7" hidden="1" x14ac:dyDescent="0.15">
      <c r="A1129" s="2200" t="s">
        <v>4280</v>
      </c>
      <c r="B1129" s="2200" t="s">
        <v>6535</v>
      </c>
      <c r="C1129" s="2200" t="s">
        <v>6536</v>
      </c>
      <c r="D1129" s="2200" t="str">
        <f t="shared" si="51"/>
        <v>LA</v>
      </c>
      <c r="E1129" s="2200" t="str">
        <f t="shared" si="52"/>
        <v>22</v>
      </c>
      <c r="F1129" s="2200" t="str">
        <f t="shared" si="53"/>
        <v>025</v>
      </c>
      <c r="G1129" s="2200">
        <f>--SUBTOTAL(3,C$2:C1129)</f>
        <v>67</v>
      </c>
    </row>
    <row r="1130" spans="1:7" hidden="1" x14ac:dyDescent="0.15">
      <c r="A1130" s="2200" t="s">
        <v>4280</v>
      </c>
      <c r="B1130" s="2200" t="s">
        <v>6537</v>
      </c>
      <c r="C1130" s="2200" t="s">
        <v>6538</v>
      </c>
      <c r="D1130" s="2200" t="str">
        <f t="shared" si="51"/>
        <v>LA</v>
      </c>
      <c r="E1130" s="2200" t="str">
        <f t="shared" si="52"/>
        <v>22</v>
      </c>
      <c r="F1130" s="2200" t="str">
        <f t="shared" si="53"/>
        <v>027</v>
      </c>
      <c r="G1130" s="2200">
        <f>--SUBTOTAL(3,C$2:C1130)</f>
        <v>67</v>
      </c>
    </row>
    <row r="1131" spans="1:7" hidden="1" x14ac:dyDescent="0.15">
      <c r="A1131" s="2200" t="s">
        <v>4280</v>
      </c>
      <c r="B1131" s="2200" t="s">
        <v>6539</v>
      </c>
      <c r="C1131" s="2200" t="s">
        <v>6540</v>
      </c>
      <c r="D1131" s="2200" t="str">
        <f t="shared" si="51"/>
        <v>LA</v>
      </c>
      <c r="E1131" s="2200" t="str">
        <f t="shared" si="52"/>
        <v>22</v>
      </c>
      <c r="F1131" s="2200" t="str">
        <f t="shared" si="53"/>
        <v>029</v>
      </c>
      <c r="G1131" s="2200">
        <f>--SUBTOTAL(3,C$2:C1131)</f>
        <v>67</v>
      </c>
    </row>
    <row r="1132" spans="1:7" hidden="1" x14ac:dyDescent="0.15">
      <c r="A1132" s="2200" t="s">
        <v>4280</v>
      </c>
      <c r="B1132" s="2200" t="s">
        <v>6541</v>
      </c>
      <c r="C1132" s="2200" t="s">
        <v>6542</v>
      </c>
      <c r="D1132" s="2200" t="str">
        <f t="shared" si="51"/>
        <v>LA</v>
      </c>
      <c r="E1132" s="2200" t="str">
        <f t="shared" si="52"/>
        <v>22</v>
      </c>
      <c r="F1132" s="2200" t="str">
        <f t="shared" si="53"/>
        <v>031</v>
      </c>
      <c r="G1132" s="2200">
        <f>--SUBTOTAL(3,C$2:C1132)</f>
        <v>67</v>
      </c>
    </row>
    <row r="1133" spans="1:7" hidden="1" x14ac:dyDescent="0.15">
      <c r="A1133" s="2200" t="s">
        <v>4280</v>
      </c>
      <c r="B1133" s="2200" t="s">
        <v>6543</v>
      </c>
      <c r="C1133" s="2200" t="s">
        <v>6544</v>
      </c>
      <c r="D1133" s="2200" t="str">
        <f t="shared" si="51"/>
        <v>LA</v>
      </c>
      <c r="E1133" s="2200" t="str">
        <f t="shared" si="52"/>
        <v>22</v>
      </c>
      <c r="F1133" s="2200" t="str">
        <f t="shared" si="53"/>
        <v>033</v>
      </c>
      <c r="G1133" s="2200">
        <f>--SUBTOTAL(3,C$2:C1133)</f>
        <v>67</v>
      </c>
    </row>
    <row r="1134" spans="1:7" hidden="1" x14ac:dyDescent="0.15">
      <c r="A1134" s="2200" t="s">
        <v>4280</v>
      </c>
      <c r="B1134" s="2200" t="s">
        <v>6545</v>
      </c>
      <c r="C1134" s="2200" t="s">
        <v>6546</v>
      </c>
      <c r="D1134" s="2200" t="str">
        <f t="shared" si="51"/>
        <v>LA</v>
      </c>
      <c r="E1134" s="2200" t="str">
        <f t="shared" si="52"/>
        <v>22</v>
      </c>
      <c r="F1134" s="2200" t="str">
        <f t="shared" si="53"/>
        <v>035</v>
      </c>
      <c r="G1134" s="2200">
        <f>--SUBTOTAL(3,C$2:C1134)</f>
        <v>67</v>
      </c>
    </row>
    <row r="1135" spans="1:7" hidden="1" x14ac:dyDescent="0.15">
      <c r="A1135" s="2200" t="s">
        <v>4280</v>
      </c>
      <c r="B1135" s="2200" t="s">
        <v>6547</v>
      </c>
      <c r="C1135" s="2200" t="s">
        <v>6548</v>
      </c>
      <c r="D1135" s="2200" t="str">
        <f t="shared" si="51"/>
        <v>LA</v>
      </c>
      <c r="E1135" s="2200" t="str">
        <f t="shared" si="52"/>
        <v>22</v>
      </c>
      <c r="F1135" s="2200" t="str">
        <f t="shared" si="53"/>
        <v>037</v>
      </c>
      <c r="G1135" s="2200">
        <f>--SUBTOTAL(3,C$2:C1135)</f>
        <v>67</v>
      </c>
    </row>
    <row r="1136" spans="1:7" hidden="1" x14ac:dyDescent="0.15">
      <c r="A1136" s="2200" t="s">
        <v>4280</v>
      </c>
      <c r="B1136" s="2200" t="s">
        <v>6549</v>
      </c>
      <c r="C1136" s="2200" t="s">
        <v>6550</v>
      </c>
      <c r="D1136" s="2200" t="str">
        <f t="shared" si="51"/>
        <v>LA</v>
      </c>
      <c r="E1136" s="2200" t="str">
        <f t="shared" si="52"/>
        <v>22</v>
      </c>
      <c r="F1136" s="2200" t="str">
        <f t="shared" si="53"/>
        <v>039</v>
      </c>
      <c r="G1136" s="2200">
        <f>--SUBTOTAL(3,C$2:C1136)</f>
        <v>67</v>
      </c>
    </row>
    <row r="1137" spans="1:7" hidden="1" x14ac:dyDescent="0.15">
      <c r="A1137" s="2200" t="s">
        <v>4280</v>
      </c>
      <c r="B1137" s="2200" t="s">
        <v>6551</v>
      </c>
      <c r="C1137" s="2200" t="s">
        <v>6552</v>
      </c>
      <c r="D1137" s="2200" t="str">
        <f t="shared" si="51"/>
        <v>LA</v>
      </c>
      <c r="E1137" s="2200" t="str">
        <f t="shared" si="52"/>
        <v>22</v>
      </c>
      <c r="F1137" s="2200" t="str">
        <f t="shared" si="53"/>
        <v>041</v>
      </c>
      <c r="G1137" s="2200">
        <f>--SUBTOTAL(3,C$2:C1137)</f>
        <v>67</v>
      </c>
    </row>
    <row r="1138" spans="1:7" hidden="1" x14ac:dyDescent="0.15">
      <c r="A1138" s="2200" t="s">
        <v>4280</v>
      </c>
      <c r="B1138" s="2200" t="s">
        <v>6553</v>
      </c>
      <c r="C1138" s="2200" t="s">
        <v>6554</v>
      </c>
      <c r="D1138" s="2200" t="str">
        <f t="shared" si="51"/>
        <v>LA</v>
      </c>
      <c r="E1138" s="2200" t="str">
        <f t="shared" si="52"/>
        <v>22</v>
      </c>
      <c r="F1138" s="2200" t="str">
        <f t="shared" si="53"/>
        <v>043</v>
      </c>
      <c r="G1138" s="2200">
        <f>--SUBTOTAL(3,C$2:C1138)</f>
        <v>67</v>
      </c>
    </row>
    <row r="1139" spans="1:7" hidden="1" x14ac:dyDescent="0.15">
      <c r="A1139" s="2200" t="s">
        <v>4280</v>
      </c>
      <c r="B1139" s="2200" t="s">
        <v>6555</v>
      </c>
      <c r="C1139" s="2200" t="s">
        <v>6556</v>
      </c>
      <c r="D1139" s="2200" t="str">
        <f t="shared" si="51"/>
        <v>LA</v>
      </c>
      <c r="E1139" s="2200" t="str">
        <f t="shared" si="52"/>
        <v>22</v>
      </c>
      <c r="F1139" s="2200" t="str">
        <f t="shared" si="53"/>
        <v>045</v>
      </c>
      <c r="G1139" s="2200">
        <f>--SUBTOTAL(3,C$2:C1139)</f>
        <v>67</v>
      </c>
    </row>
    <row r="1140" spans="1:7" hidden="1" x14ac:dyDescent="0.15">
      <c r="A1140" s="2200" t="s">
        <v>4280</v>
      </c>
      <c r="B1140" s="2200" t="s">
        <v>6557</v>
      </c>
      <c r="C1140" s="2200" t="s">
        <v>6558</v>
      </c>
      <c r="D1140" s="2200" t="str">
        <f t="shared" si="51"/>
        <v>LA</v>
      </c>
      <c r="E1140" s="2200" t="str">
        <f t="shared" si="52"/>
        <v>22</v>
      </c>
      <c r="F1140" s="2200" t="str">
        <f t="shared" si="53"/>
        <v>047</v>
      </c>
      <c r="G1140" s="2200">
        <f>--SUBTOTAL(3,C$2:C1140)</f>
        <v>67</v>
      </c>
    </row>
    <row r="1141" spans="1:7" hidden="1" x14ac:dyDescent="0.15">
      <c r="A1141" s="2200" t="s">
        <v>4280</v>
      </c>
      <c r="B1141" s="2200" t="s">
        <v>6559</v>
      </c>
      <c r="C1141" s="2200" t="s">
        <v>6560</v>
      </c>
      <c r="D1141" s="2200" t="str">
        <f t="shared" si="51"/>
        <v>LA</v>
      </c>
      <c r="E1141" s="2200" t="str">
        <f t="shared" si="52"/>
        <v>22</v>
      </c>
      <c r="F1141" s="2200" t="str">
        <f t="shared" si="53"/>
        <v>049</v>
      </c>
      <c r="G1141" s="2200">
        <f>--SUBTOTAL(3,C$2:C1141)</f>
        <v>67</v>
      </c>
    </row>
    <row r="1142" spans="1:7" hidden="1" x14ac:dyDescent="0.15">
      <c r="A1142" s="2200" t="s">
        <v>4280</v>
      </c>
      <c r="B1142" s="2200" t="s">
        <v>6561</v>
      </c>
      <c r="C1142" s="2200" t="s">
        <v>6562</v>
      </c>
      <c r="D1142" s="2200" t="str">
        <f t="shared" si="51"/>
        <v>LA</v>
      </c>
      <c r="E1142" s="2200" t="str">
        <f t="shared" si="52"/>
        <v>22</v>
      </c>
      <c r="F1142" s="2200" t="str">
        <f t="shared" si="53"/>
        <v>051</v>
      </c>
      <c r="G1142" s="2200">
        <f>--SUBTOTAL(3,C$2:C1142)</f>
        <v>67</v>
      </c>
    </row>
    <row r="1143" spans="1:7" hidden="1" x14ac:dyDescent="0.15">
      <c r="A1143" s="2200" t="s">
        <v>4280</v>
      </c>
      <c r="B1143" s="2200" t="s">
        <v>6563</v>
      </c>
      <c r="C1143" s="2200" t="s">
        <v>6564</v>
      </c>
      <c r="D1143" s="2200" t="str">
        <f t="shared" si="51"/>
        <v>LA</v>
      </c>
      <c r="E1143" s="2200" t="str">
        <f t="shared" si="52"/>
        <v>22</v>
      </c>
      <c r="F1143" s="2200" t="str">
        <f t="shared" si="53"/>
        <v>053</v>
      </c>
      <c r="G1143" s="2200">
        <f>--SUBTOTAL(3,C$2:C1143)</f>
        <v>67</v>
      </c>
    </row>
    <row r="1144" spans="1:7" hidden="1" x14ac:dyDescent="0.15">
      <c r="A1144" s="2200" t="s">
        <v>4280</v>
      </c>
      <c r="B1144" s="2200" t="s">
        <v>6565</v>
      </c>
      <c r="C1144" s="2200" t="s">
        <v>6566</v>
      </c>
      <c r="D1144" s="2200" t="str">
        <f t="shared" si="51"/>
        <v>LA</v>
      </c>
      <c r="E1144" s="2200" t="str">
        <f t="shared" si="52"/>
        <v>22</v>
      </c>
      <c r="F1144" s="2200" t="str">
        <f t="shared" si="53"/>
        <v>055</v>
      </c>
      <c r="G1144" s="2200">
        <f>--SUBTOTAL(3,C$2:C1144)</f>
        <v>67</v>
      </c>
    </row>
    <row r="1145" spans="1:7" hidden="1" x14ac:dyDescent="0.15">
      <c r="A1145" s="2200" t="s">
        <v>4280</v>
      </c>
      <c r="B1145" s="2200" t="s">
        <v>6567</v>
      </c>
      <c r="C1145" s="2200" t="s">
        <v>6568</v>
      </c>
      <c r="D1145" s="2200" t="str">
        <f t="shared" si="51"/>
        <v>LA</v>
      </c>
      <c r="E1145" s="2200" t="str">
        <f t="shared" si="52"/>
        <v>22</v>
      </c>
      <c r="F1145" s="2200" t="str">
        <f t="shared" si="53"/>
        <v>057</v>
      </c>
      <c r="G1145" s="2200">
        <f>--SUBTOTAL(3,C$2:C1145)</f>
        <v>67</v>
      </c>
    </row>
    <row r="1146" spans="1:7" hidden="1" x14ac:dyDescent="0.15">
      <c r="A1146" s="2200" t="s">
        <v>4280</v>
      </c>
      <c r="B1146" s="2200" t="s">
        <v>6569</v>
      </c>
      <c r="C1146" s="2200" t="s">
        <v>6570</v>
      </c>
      <c r="D1146" s="2200" t="str">
        <f t="shared" si="51"/>
        <v>LA</v>
      </c>
      <c r="E1146" s="2200" t="str">
        <f t="shared" si="52"/>
        <v>22</v>
      </c>
      <c r="F1146" s="2200" t="str">
        <f t="shared" si="53"/>
        <v>059</v>
      </c>
      <c r="G1146" s="2200">
        <f>--SUBTOTAL(3,C$2:C1146)</f>
        <v>67</v>
      </c>
    </row>
    <row r="1147" spans="1:7" hidden="1" x14ac:dyDescent="0.15">
      <c r="A1147" s="2200" t="s">
        <v>4280</v>
      </c>
      <c r="B1147" s="2200" t="s">
        <v>6571</v>
      </c>
      <c r="C1147" s="2200" t="s">
        <v>6572</v>
      </c>
      <c r="D1147" s="2200" t="str">
        <f t="shared" si="51"/>
        <v>LA</v>
      </c>
      <c r="E1147" s="2200" t="str">
        <f t="shared" si="52"/>
        <v>22</v>
      </c>
      <c r="F1147" s="2200" t="str">
        <f t="shared" si="53"/>
        <v>061</v>
      </c>
      <c r="G1147" s="2200">
        <f>--SUBTOTAL(3,C$2:C1147)</f>
        <v>67</v>
      </c>
    </row>
    <row r="1148" spans="1:7" hidden="1" x14ac:dyDescent="0.15">
      <c r="A1148" s="2200" t="s">
        <v>4280</v>
      </c>
      <c r="B1148" s="2200" t="s">
        <v>6573</v>
      </c>
      <c r="C1148" s="2200" t="s">
        <v>6574</v>
      </c>
      <c r="D1148" s="2200" t="str">
        <f t="shared" si="51"/>
        <v>LA</v>
      </c>
      <c r="E1148" s="2200" t="str">
        <f t="shared" si="52"/>
        <v>22</v>
      </c>
      <c r="F1148" s="2200" t="str">
        <f t="shared" si="53"/>
        <v>063</v>
      </c>
      <c r="G1148" s="2200">
        <f>--SUBTOTAL(3,C$2:C1148)</f>
        <v>67</v>
      </c>
    </row>
    <row r="1149" spans="1:7" hidden="1" x14ac:dyDescent="0.15">
      <c r="A1149" s="2200" t="s">
        <v>4280</v>
      </c>
      <c r="B1149" s="2200" t="s">
        <v>6575</v>
      </c>
      <c r="C1149" s="2200" t="s">
        <v>6576</v>
      </c>
      <c r="D1149" s="2200" t="str">
        <f t="shared" si="51"/>
        <v>LA</v>
      </c>
      <c r="E1149" s="2200" t="str">
        <f t="shared" si="52"/>
        <v>22</v>
      </c>
      <c r="F1149" s="2200" t="str">
        <f t="shared" si="53"/>
        <v>065</v>
      </c>
      <c r="G1149" s="2200">
        <f>--SUBTOTAL(3,C$2:C1149)</f>
        <v>67</v>
      </c>
    </row>
    <row r="1150" spans="1:7" hidden="1" x14ac:dyDescent="0.15">
      <c r="A1150" s="2200" t="s">
        <v>4280</v>
      </c>
      <c r="B1150" s="2200" t="s">
        <v>6577</v>
      </c>
      <c r="C1150" s="2200" t="s">
        <v>6578</v>
      </c>
      <c r="D1150" s="2200" t="str">
        <f t="shared" si="51"/>
        <v>LA</v>
      </c>
      <c r="E1150" s="2200" t="str">
        <f t="shared" si="52"/>
        <v>22</v>
      </c>
      <c r="F1150" s="2200" t="str">
        <f t="shared" si="53"/>
        <v>067</v>
      </c>
      <c r="G1150" s="2200">
        <f>--SUBTOTAL(3,C$2:C1150)</f>
        <v>67</v>
      </c>
    </row>
    <row r="1151" spans="1:7" hidden="1" x14ac:dyDescent="0.15">
      <c r="A1151" s="2200" t="s">
        <v>4280</v>
      </c>
      <c r="B1151" s="2200" t="s">
        <v>6579</v>
      </c>
      <c r="C1151" s="2200" t="s">
        <v>6580</v>
      </c>
      <c r="D1151" s="2200" t="str">
        <f t="shared" si="51"/>
        <v>LA</v>
      </c>
      <c r="E1151" s="2200" t="str">
        <f t="shared" si="52"/>
        <v>22</v>
      </c>
      <c r="F1151" s="2200" t="str">
        <f t="shared" si="53"/>
        <v>069</v>
      </c>
      <c r="G1151" s="2200">
        <f>--SUBTOTAL(3,C$2:C1151)</f>
        <v>67</v>
      </c>
    </row>
    <row r="1152" spans="1:7" hidden="1" x14ac:dyDescent="0.15">
      <c r="A1152" s="2200" t="s">
        <v>4280</v>
      </c>
      <c r="B1152" s="2200" t="s">
        <v>6581</v>
      </c>
      <c r="C1152" s="2200" t="s">
        <v>6582</v>
      </c>
      <c r="D1152" s="2200" t="str">
        <f t="shared" si="51"/>
        <v>LA</v>
      </c>
      <c r="E1152" s="2200" t="str">
        <f t="shared" si="52"/>
        <v>22</v>
      </c>
      <c r="F1152" s="2200" t="str">
        <f t="shared" si="53"/>
        <v>071</v>
      </c>
      <c r="G1152" s="2200">
        <f>--SUBTOTAL(3,C$2:C1152)</f>
        <v>67</v>
      </c>
    </row>
    <row r="1153" spans="1:7" hidden="1" x14ac:dyDescent="0.15">
      <c r="A1153" s="2200" t="s">
        <v>4280</v>
      </c>
      <c r="B1153" s="2200" t="s">
        <v>6583</v>
      </c>
      <c r="C1153" s="2200" t="s">
        <v>6584</v>
      </c>
      <c r="D1153" s="2200" t="str">
        <f t="shared" si="51"/>
        <v>LA</v>
      </c>
      <c r="E1153" s="2200" t="str">
        <f t="shared" si="52"/>
        <v>22</v>
      </c>
      <c r="F1153" s="2200" t="str">
        <f t="shared" si="53"/>
        <v>073</v>
      </c>
      <c r="G1153" s="2200">
        <f>--SUBTOTAL(3,C$2:C1153)</f>
        <v>67</v>
      </c>
    </row>
    <row r="1154" spans="1:7" hidden="1" x14ac:dyDescent="0.15">
      <c r="A1154" s="2200" t="s">
        <v>4280</v>
      </c>
      <c r="B1154" s="2200" t="s">
        <v>6585</v>
      </c>
      <c r="C1154" s="2200" t="s">
        <v>6586</v>
      </c>
      <c r="D1154" s="2200" t="str">
        <f t="shared" si="51"/>
        <v>LA</v>
      </c>
      <c r="E1154" s="2200" t="str">
        <f t="shared" si="52"/>
        <v>22</v>
      </c>
      <c r="F1154" s="2200" t="str">
        <f t="shared" si="53"/>
        <v>075</v>
      </c>
      <c r="G1154" s="2200">
        <f>--SUBTOTAL(3,C$2:C1154)</f>
        <v>67</v>
      </c>
    </row>
    <row r="1155" spans="1:7" hidden="1" x14ac:dyDescent="0.15">
      <c r="A1155" s="2200" t="s">
        <v>4280</v>
      </c>
      <c r="B1155" s="2200" t="s">
        <v>6587</v>
      </c>
      <c r="C1155" s="2200" t="s">
        <v>6588</v>
      </c>
      <c r="D1155" s="2200" t="str">
        <f t="shared" ref="D1155:D1218" si="54">RIGHT(C1155,2)</f>
        <v>LA</v>
      </c>
      <c r="E1155" s="2200" t="str">
        <f t="shared" ref="E1155:E1218" si="55">MID(B1155,3,2)</f>
        <v>22</v>
      </c>
      <c r="F1155" s="2200" t="str">
        <f t="shared" ref="F1155:F1218" si="56">MID(B1155,5,3)</f>
        <v>077</v>
      </c>
      <c r="G1155" s="2200">
        <f>--SUBTOTAL(3,C$2:C1155)</f>
        <v>67</v>
      </c>
    </row>
    <row r="1156" spans="1:7" hidden="1" x14ac:dyDescent="0.15">
      <c r="A1156" s="2200" t="s">
        <v>4280</v>
      </c>
      <c r="B1156" s="2200" t="s">
        <v>6589</v>
      </c>
      <c r="C1156" s="2200" t="s">
        <v>6590</v>
      </c>
      <c r="D1156" s="2200" t="str">
        <f t="shared" si="54"/>
        <v>LA</v>
      </c>
      <c r="E1156" s="2200" t="str">
        <f t="shared" si="55"/>
        <v>22</v>
      </c>
      <c r="F1156" s="2200" t="str">
        <f t="shared" si="56"/>
        <v>079</v>
      </c>
      <c r="G1156" s="2200">
        <f>--SUBTOTAL(3,C$2:C1156)</f>
        <v>67</v>
      </c>
    </row>
    <row r="1157" spans="1:7" hidden="1" x14ac:dyDescent="0.15">
      <c r="A1157" s="2200" t="s">
        <v>4280</v>
      </c>
      <c r="B1157" s="2200" t="s">
        <v>6591</v>
      </c>
      <c r="C1157" s="2200" t="s">
        <v>6592</v>
      </c>
      <c r="D1157" s="2200" t="str">
        <f t="shared" si="54"/>
        <v>LA</v>
      </c>
      <c r="E1157" s="2200" t="str">
        <f t="shared" si="55"/>
        <v>22</v>
      </c>
      <c r="F1157" s="2200" t="str">
        <f t="shared" si="56"/>
        <v>081</v>
      </c>
      <c r="G1157" s="2200">
        <f>--SUBTOTAL(3,C$2:C1157)</f>
        <v>67</v>
      </c>
    </row>
    <row r="1158" spans="1:7" hidden="1" x14ac:dyDescent="0.15">
      <c r="A1158" s="2200" t="s">
        <v>4280</v>
      </c>
      <c r="B1158" s="2200" t="s">
        <v>6593</v>
      </c>
      <c r="C1158" s="2200" t="s">
        <v>6594</v>
      </c>
      <c r="D1158" s="2200" t="str">
        <f t="shared" si="54"/>
        <v>LA</v>
      </c>
      <c r="E1158" s="2200" t="str">
        <f t="shared" si="55"/>
        <v>22</v>
      </c>
      <c r="F1158" s="2200" t="str">
        <f t="shared" si="56"/>
        <v>083</v>
      </c>
      <c r="G1158" s="2200">
        <f>--SUBTOTAL(3,C$2:C1158)</f>
        <v>67</v>
      </c>
    </row>
    <row r="1159" spans="1:7" hidden="1" x14ac:dyDescent="0.15">
      <c r="A1159" s="2200" t="s">
        <v>4280</v>
      </c>
      <c r="B1159" s="2200" t="s">
        <v>6595</v>
      </c>
      <c r="C1159" s="2200" t="s">
        <v>6596</v>
      </c>
      <c r="D1159" s="2200" t="str">
        <f t="shared" si="54"/>
        <v>LA</v>
      </c>
      <c r="E1159" s="2200" t="str">
        <f t="shared" si="55"/>
        <v>22</v>
      </c>
      <c r="F1159" s="2200" t="str">
        <f t="shared" si="56"/>
        <v>085</v>
      </c>
      <c r="G1159" s="2200">
        <f>--SUBTOTAL(3,C$2:C1159)</f>
        <v>67</v>
      </c>
    </row>
    <row r="1160" spans="1:7" hidden="1" x14ac:dyDescent="0.15">
      <c r="A1160" s="2200" t="s">
        <v>4280</v>
      </c>
      <c r="B1160" s="2200" t="s">
        <v>6597</v>
      </c>
      <c r="C1160" s="2200" t="s">
        <v>6598</v>
      </c>
      <c r="D1160" s="2200" t="str">
        <f t="shared" si="54"/>
        <v>LA</v>
      </c>
      <c r="E1160" s="2200" t="str">
        <f t="shared" si="55"/>
        <v>22</v>
      </c>
      <c r="F1160" s="2200" t="str">
        <f t="shared" si="56"/>
        <v>087</v>
      </c>
      <c r="G1160" s="2200">
        <f>--SUBTOTAL(3,C$2:C1160)</f>
        <v>67</v>
      </c>
    </row>
    <row r="1161" spans="1:7" hidden="1" x14ac:dyDescent="0.15">
      <c r="A1161" s="2200" t="s">
        <v>4280</v>
      </c>
      <c r="B1161" s="2200" t="s">
        <v>6599</v>
      </c>
      <c r="C1161" s="2200" t="s">
        <v>6600</v>
      </c>
      <c r="D1161" s="2200" t="str">
        <f t="shared" si="54"/>
        <v>LA</v>
      </c>
      <c r="E1161" s="2200" t="str">
        <f t="shared" si="55"/>
        <v>22</v>
      </c>
      <c r="F1161" s="2200" t="str">
        <f t="shared" si="56"/>
        <v>089</v>
      </c>
      <c r="G1161" s="2200">
        <f>--SUBTOTAL(3,C$2:C1161)</f>
        <v>67</v>
      </c>
    </row>
    <row r="1162" spans="1:7" hidden="1" x14ac:dyDescent="0.15">
      <c r="A1162" s="2200" t="s">
        <v>4280</v>
      </c>
      <c r="B1162" s="2200" t="s">
        <v>6601</v>
      </c>
      <c r="C1162" s="2200" t="s">
        <v>6602</v>
      </c>
      <c r="D1162" s="2200" t="str">
        <f t="shared" si="54"/>
        <v>LA</v>
      </c>
      <c r="E1162" s="2200" t="str">
        <f t="shared" si="55"/>
        <v>22</v>
      </c>
      <c r="F1162" s="2200" t="str">
        <f t="shared" si="56"/>
        <v>091</v>
      </c>
      <c r="G1162" s="2200">
        <f>--SUBTOTAL(3,C$2:C1162)</f>
        <v>67</v>
      </c>
    </row>
    <row r="1163" spans="1:7" hidden="1" x14ac:dyDescent="0.15">
      <c r="A1163" s="2200" t="s">
        <v>4280</v>
      </c>
      <c r="B1163" s="2200" t="s">
        <v>6603</v>
      </c>
      <c r="C1163" s="2200" t="s">
        <v>6604</v>
      </c>
      <c r="D1163" s="2200" t="str">
        <f t="shared" si="54"/>
        <v>LA</v>
      </c>
      <c r="E1163" s="2200" t="str">
        <f t="shared" si="55"/>
        <v>22</v>
      </c>
      <c r="F1163" s="2200" t="str">
        <f t="shared" si="56"/>
        <v>093</v>
      </c>
      <c r="G1163" s="2200">
        <f>--SUBTOTAL(3,C$2:C1163)</f>
        <v>67</v>
      </c>
    </row>
    <row r="1164" spans="1:7" hidden="1" x14ac:dyDescent="0.15">
      <c r="A1164" s="2200" t="s">
        <v>4280</v>
      </c>
      <c r="B1164" s="2200" t="s">
        <v>6605</v>
      </c>
      <c r="C1164" s="2200" t="s">
        <v>6606</v>
      </c>
      <c r="D1164" s="2200" t="str">
        <f t="shared" si="54"/>
        <v>LA</v>
      </c>
      <c r="E1164" s="2200" t="str">
        <f t="shared" si="55"/>
        <v>22</v>
      </c>
      <c r="F1164" s="2200" t="str">
        <f t="shared" si="56"/>
        <v>095</v>
      </c>
      <c r="G1164" s="2200">
        <f>--SUBTOTAL(3,C$2:C1164)</f>
        <v>67</v>
      </c>
    </row>
    <row r="1165" spans="1:7" hidden="1" x14ac:dyDescent="0.15">
      <c r="A1165" s="2200" t="s">
        <v>4280</v>
      </c>
      <c r="B1165" s="2200" t="s">
        <v>6607</v>
      </c>
      <c r="C1165" s="2200" t="s">
        <v>6608</v>
      </c>
      <c r="D1165" s="2200" t="str">
        <f t="shared" si="54"/>
        <v>LA</v>
      </c>
      <c r="E1165" s="2200" t="str">
        <f t="shared" si="55"/>
        <v>22</v>
      </c>
      <c r="F1165" s="2200" t="str">
        <f t="shared" si="56"/>
        <v>097</v>
      </c>
      <c r="G1165" s="2200">
        <f>--SUBTOTAL(3,C$2:C1165)</f>
        <v>67</v>
      </c>
    </row>
    <row r="1166" spans="1:7" hidden="1" x14ac:dyDescent="0.15">
      <c r="A1166" s="2200" t="s">
        <v>4280</v>
      </c>
      <c r="B1166" s="2200" t="s">
        <v>6609</v>
      </c>
      <c r="C1166" s="2200" t="s">
        <v>6610</v>
      </c>
      <c r="D1166" s="2200" t="str">
        <f t="shared" si="54"/>
        <v>LA</v>
      </c>
      <c r="E1166" s="2200" t="str">
        <f t="shared" si="55"/>
        <v>22</v>
      </c>
      <c r="F1166" s="2200" t="str">
        <f t="shared" si="56"/>
        <v>099</v>
      </c>
      <c r="G1166" s="2200">
        <f>--SUBTOTAL(3,C$2:C1166)</f>
        <v>67</v>
      </c>
    </row>
    <row r="1167" spans="1:7" hidden="1" x14ac:dyDescent="0.15">
      <c r="A1167" s="2200" t="s">
        <v>4280</v>
      </c>
      <c r="B1167" s="2200" t="s">
        <v>6611</v>
      </c>
      <c r="C1167" s="2200" t="s">
        <v>6612</v>
      </c>
      <c r="D1167" s="2200" t="str">
        <f t="shared" si="54"/>
        <v>LA</v>
      </c>
      <c r="E1167" s="2200" t="str">
        <f t="shared" si="55"/>
        <v>22</v>
      </c>
      <c r="F1167" s="2200" t="str">
        <f t="shared" si="56"/>
        <v>101</v>
      </c>
      <c r="G1167" s="2200">
        <f>--SUBTOTAL(3,C$2:C1167)</f>
        <v>67</v>
      </c>
    </row>
    <row r="1168" spans="1:7" hidden="1" x14ac:dyDescent="0.15">
      <c r="A1168" s="2200" t="s">
        <v>4280</v>
      </c>
      <c r="B1168" s="2200" t="s">
        <v>6613</v>
      </c>
      <c r="C1168" s="2200" t="s">
        <v>6614</v>
      </c>
      <c r="D1168" s="2200" t="str">
        <f t="shared" si="54"/>
        <v>LA</v>
      </c>
      <c r="E1168" s="2200" t="str">
        <f t="shared" si="55"/>
        <v>22</v>
      </c>
      <c r="F1168" s="2200" t="str">
        <f t="shared" si="56"/>
        <v>103</v>
      </c>
      <c r="G1168" s="2200">
        <f>--SUBTOTAL(3,C$2:C1168)</f>
        <v>67</v>
      </c>
    </row>
    <row r="1169" spans="1:7" hidden="1" x14ac:dyDescent="0.15">
      <c r="A1169" s="2200" t="s">
        <v>4280</v>
      </c>
      <c r="B1169" s="2200" t="s">
        <v>6615</v>
      </c>
      <c r="C1169" s="2200" t="s">
        <v>6616</v>
      </c>
      <c r="D1169" s="2200" t="str">
        <f t="shared" si="54"/>
        <v>LA</v>
      </c>
      <c r="E1169" s="2200" t="str">
        <f t="shared" si="55"/>
        <v>22</v>
      </c>
      <c r="F1169" s="2200" t="str">
        <f t="shared" si="56"/>
        <v>105</v>
      </c>
      <c r="G1169" s="2200">
        <f>--SUBTOTAL(3,C$2:C1169)</f>
        <v>67</v>
      </c>
    </row>
    <row r="1170" spans="1:7" hidden="1" x14ac:dyDescent="0.15">
      <c r="A1170" s="2200" t="s">
        <v>4280</v>
      </c>
      <c r="B1170" s="2200" t="s">
        <v>6617</v>
      </c>
      <c r="C1170" s="2200" t="s">
        <v>6618</v>
      </c>
      <c r="D1170" s="2200" t="str">
        <f t="shared" si="54"/>
        <v>LA</v>
      </c>
      <c r="E1170" s="2200" t="str">
        <f t="shared" si="55"/>
        <v>22</v>
      </c>
      <c r="F1170" s="2200" t="str">
        <f t="shared" si="56"/>
        <v>107</v>
      </c>
      <c r="G1170" s="2200">
        <f>--SUBTOTAL(3,C$2:C1170)</f>
        <v>67</v>
      </c>
    </row>
    <row r="1171" spans="1:7" hidden="1" x14ac:dyDescent="0.15">
      <c r="A1171" s="2200" t="s">
        <v>4280</v>
      </c>
      <c r="B1171" s="2200" t="s">
        <v>6619</v>
      </c>
      <c r="C1171" s="2200" t="s">
        <v>6620</v>
      </c>
      <c r="D1171" s="2200" t="str">
        <f t="shared" si="54"/>
        <v>LA</v>
      </c>
      <c r="E1171" s="2200" t="str">
        <f t="shared" si="55"/>
        <v>22</v>
      </c>
      <c r="F1171" s="2200" t="str">
        <f t="shared" si="56"/>
        <v>109</v>
      </c>
      <c r="G1171" s="2200">
        <f>--SUBTOTAL(3,C$2:C1171)</f>
        <v>67</v>
      </c>
    </row>
    <row r="1172" spans="1:7" hidden="1" x14ac:dyDescent="0.15">
      <c r="A1172" s="2200" t="s">
        <v>4280</v>
      </c>
      <c r="B1172" s="2200" t="s">
        <v>6621</v>
      </c>
      <c r="C1172" s="2200" t="s">
        <v>6622</v>
      </c>
      <c r="D1172" s="2200" t="str">
        <f t="shared" si="54"/>
        <v>LA</v>
      </c>
      <c r="E1172" s="2200" t="str">
        <f t="shared" si="55"/>
        <v>22</v>
      </c>
      <c r="F1172" s="2200" t="str">
        <f t="shared" si="56"/>
        <v>111</v>
      </c>
      <c r="G1172" s="2200">
        <f>--SUBTOTAL(3,C$2:C1172)</f>
        <v>67</v>
      </c>
    </row>
    <row r="1173" spans="1:7" hidden="1" x14ac:dyDescent="0.15">
      <c r="A1173" s="2200" t="s">
        <v>4280</v>
      </c>
      <c r="B1173" s="2200" t="s">
        <v>6623</v>
      </c>
      <c r="C1173" s="2200" t="s">
        <v>6624</v>
      </c>
      <c r="D1173" s="2200" t="str">
        <f t="shared" si="54"/>
        <v>LA</v>
      </c>
      <c r="E1173" s="2200" t="str">
        <f t="shared" si="55"/>
        <v>22</v>
      </c>
      <c r="F1173" s="2200" t="str">
        <f t="shared" si="56"/>
        <v>113</v>
      </c>
      <c r="G1173" s="2200">
        <f>--SUBTOTAL(3,C$2:C1173)</f>
        <v>67</v>
      </c>
    </row>
    <row r="1174" spans="1:7" hidden="1" x14ac:dyDescent="0.15">
      <c r="A1174" s="2200" t="s">
        <v>4280</v>
      </c>
      <c r="B1174" s="2200" t="s">
        <v>6625</v>
      </c>
      <c r="C1174" s="2200" t="s">
        <v>6626</v>
      </c>
      <c r="D1174" s="2200" t="str">
        <f t="shared" si="54"/>
        <v>LA</v>
      </c>
      <c r="E1174" s="2200" t="str">
        <f t="shared" si="55"/>
        <v>22</v>
      </c>
      <c r="F1174" s="2200" t="str">
        <f t="shared" si="56"/>
        <v>115</v>
      </c>
      <c r="G1174" s="2200">
        <f>--SUBTOTAL(3,C$2:C1174)</f>
        <v>67</v>
      </c>
    </row>
    <row r="1175" spans="1:7" hidden="1" x14ac:dyDescent="0.15">
      <c r="A1175" s="2200" t="s">
        <v>4280</v>
      </c>
      <c r="B1175" s="2200" t="s">
        <v>6627</v>
      </c>
      <c r="C1175" s="2200" t="s">
        <v>6628</v>
      </c>
      <c r="D1175" s="2200" t="str">
        <f t="shared" si="54"/>
        <v>LA</v>
      </c>
      <c r="E1175" s="2200" t="str">
        <f t="shared" si="55"/>
        <v>22</v>
      </c>
      <c r="F1175" s="2200" t="str">
        <f t="shared" si="56"/>
        <v>117</v>
      </c>
      <c r="G1175" s="2200">
        <f>--SUBTOTAL(3,C$2:C1175)</f>
        <v>67</v>
      </c>
    </row>
    <row r="1176" spans="1:7" hidden="1" x14ac:dyDescent="0.15">
      <c r="A1176" s="2200" t="s">
        <v>4280</v>
      </c>
      <c r="B1176" s="2200" t="s">
        <v>6629</v>
      </c>
      <c r="C1176" s="2200" t="s">
        <v>6630</v>
      </c>
      <c r="D1176" s="2200" t="str">
        <f t="shared" si="54"/>
        <v>LA</v>
      </c>
      <c r="E1176" s="2200" t="str">
        <f t="shared" si="55"/>
        <v>22</v>
      </c>
      <c r="F1176" s="2200" t="str">
        <f t="shared" si="56"/>
        <v>119</v>
      </c>
      <c r="G1176" s="2200">
        <f>--SUBTOTAL(3,C$2:C1176)</f>
        <v>67</v>
      </c>
    </row>
    <row r="1177" spans="1:7" hidden="1" x14ac:dyDescent="0.15">
      <c r="A1177" s="2200" t="s">
        <v>4280</v>
      </c>
      <c r="B1177" s="2200" t="s">
        <v>6631</v>
      </c>
      <c r="C1177" s="2200" t="s">
        <v>6632</v>
      </c>
      <c r="D1177" s="2200" t="str">
        <f t="shared" si="54"/>
        <v>LA</v>
      </c>
      <c r="E1177" s="2200" t="str">
        <f t="shared" si="55"/>
        <v>22</v>
      </c>
      <c r="F1177" s="2200" t="str">
        <f t="shared" si="56"/>
        <v>121</v>
      </c>
      <c r="G1177" s="2200">
        <f>--SUBTOTAL(3,C$2:C1177)</f>
        <v>67</v>
      </c>
    </row>
    <row r="1178" spans="1:7" hidden="1" x14ac:dyDescent="0.15">
      <c r="A1178" s="2200" t="s">
        <v>4280</v>
      </c>
      <c r="B1178" s="2200" t="s">
        <v>6633</v>
      </c>
      <c r="C1178" s="2200" t="s">
        <v>6634</v>
      </c>
      <c r="D1178" s="2200" t="str">
        <f t="shared" si="54"/>
        <v>LA</v>
      </c>
      <c r="E1178" s="2200" t="str">
        <f t="shared" si="55"/>
        <v>22</v>
      </c>
      <c r="F1178" s="2200" t="str">
        <f t="shared" si="56"/>
        <v>123</v>
      </c>
      <c r="G1178" s="2200">
        <f>--SUBTOTAL(3,C$2:C1178)</f>
        <v>67</v>
      </c>
    </row>
    <row r="1179" spans="1:7" hidden="1" x14ac:dyDescent="0.15">
      <c r="A1179" s="2200" t="s">
        <v>4280</v>
      </c>
      <c r="B1179" s="2200" t="s">
        <v>6635</v>
      </c>
      <c r="C1179" s="2200" t="s">
        <v>6636</v>
      </c>
      <c r="D1179" s="2200" t="str">
        <f t="shared" si="54"/>
        <v>LA</v>
      </c>
      <c r="E1179" s="2200" t="str">
        <f t="shared" si="55"/>
        <v>22</v>
      </c>
      <c r="F1179" s="2200" t="str">
        <f t="shared" si="56"/>
        <v>125</v>
      </c>
      <c r="G1179" s="2200">
        <f>--SUBTOTAL(3,C$2:C1179)</f>
        <v>67</v>
      </c>
    </row>
    <row r="1180" spans="1:7" hidden="1" x14ac:dyDescent="0.15">
      <c r="A1180" s="2200" t="s">
        <v>4280</v>
      </c>
      <c r="B1180" s="2200" t="s">
        <v>6637</v>
      </c>
      <c r="C1180" s="2200" t="s">
        <v>6638</v>
      </c>
      <c r="D1180" s="2200" t="str">
        <f t="shared" si="54"/>
        <v>LA</v>
      </c>
      <c r="E1180" s="2200" t="str">
        <f t="shared" si="55"/>
        <v>22</v>
      </c>
      <c r="F1180" s="2200" t="str">
        <f t="shared" si="56"/>
        <v>127</v>
      </c>
      <c r="G1180" s="2200">
        <f>--SUBTOTAL(3,C$2:C1180)</f>
        <v>67</v>
      </c>
    </row>
    <row r="1181" spans="1:7" hidden="1" x14ac:dyDescent="0.15">
      <c r="A1181" s="2200" t="s">
        <v>4280</v>
      </c>
      <c r="B1181" s="2200" t="s">
        <v>6639</v>
      </c>
      <c r="C1181" s="2200" t="s">
        <v>6640</v>
      </c>
      <c r="D1181" s="2200" t="str">
        <f t="shared" si="54"/>
        <v>ME</v>
      </c>
      <c r="E1181" s="2200" t="str">
        <f t="shared" si="55"/>
        <v>23</v>
      </c>
      <c r="F1181" s="2200" t="str">
        <f t="shared" si="56"/>
        <v>001</v>
      </c>
      <c r="G1181" s="2200">
        <f>--SUBTOTAL(3,C$2:C1181)</f>
        <v>67</v>
      </c>
    </row>
    <row r="1182" spans="1:7" hidden="1" x14ac:dyDescent="0.15">
      <c r="A1182" s="2200" t="s">
        <v>4280</v>
      </c>
      <c r="B1182" s="2200" t="s">
        <v>6641</v>
      </c>
      <c r="C1182" s="2200" t="s">
        <v>6642</v>
      </c>
      <c r="D1182" s="2200" t="str">
        <f t="shared" si="54"/>
        <v>ME</v>
      </c>
      <c r="E1182" s="2200" t="str">
        <f t="shared" si="55"/>
        <v>23</v>
      </c>
      <c r="F1182" s="2200" t="str">
        <f t="shared" si="56"/>
        <v>003</v>
      </c>
      <c r="G1182" s="2200">
        <f>--SUBTOTAL(3,C$2:C1182)</f>
        <v>67</v>
      </c>
    </row>
    <row r="1183" spans="1:7" hidden="1" x14ac:dyDescent="0.15">
      <c r="A1183" s="2200" t="s">
        <v>4280</v>
      </c>
      <c r="B1183" s="2200" t="s">
        <v>6643</v>
      </c>
      <c r="C1183" s="2200" t="s">
        <v>6644</v>
      </c>
      <c r="D1183" s="2200" t="str">
        <f t="shared" si="54"/>
        <v>ME</v>
      </c>
      <c r="E1183" s="2200" t="str">
        <f t="shared" si="55"/>
        <v>23</v>
      </c>
      <c r="F1183" s="2200" t="str">
        <f t="shared" si="56"/>
        <v>005</v>
      </c>
      <c r="G1183" s="2200">
        <f>--SUBTOTAL(3,C$2:C1183)</f>
        <v>67</v>
      </c>
    </row>
    <row r="1184" spans="1:7" hidden="1" x14ac:dyDescent="0.15">
      <c r="A1184" s="2200" t="s">
        <v>4280</v>
      </c>
      <c r="B1184" s="2200" t="s">
        <v>6645</v>
      </c>
      <c r="C1184" s="2200" t="s">
        <v>6646</v>
      </c>
      <c r="D1184" s="2200" t="str">
        <f t="shared" si="54"/>
        <v>ME</v>
      </c>
      <c r="E1184" s="2200" t="str">
        <f t="shared" si="55"/>
        <v>23</v>
      </c>
      <c r="F1184" s="2200" t="str">
        <f t="shared" si="56"/>
        <v>007</v>
      </c>
      <c r="G1184" s="2200">
        <f>--SUBTOTAL(3,C$2:C1184)</f>
        <v>67</v>
      </c>
    </row>
    <row r="1185" spans="1:7" hidden="1" x14ac:dyDescent="0.15">
      <c r="A1185" s="2200" t="s">
        <v>4280</v>
      </c>
      <c r="B1185" s="2200" t="s">
        <v>6647</v>
      </c>
      <c r="C1185" s="2200" t="s">
        <v>6648</v>
      </c>
      <c r="D1185" s="2200" t="str">
        <f t="shared" si="54"/>
        <v>ME</v>
      </c>
      <c r="E1185" s="2200" t="str">
        <f t="shared" si="55"/>
        <v>23</v>
      </c>
      <c r="F1185" s="2200" t="str">
        <f t="shared" si="56"/>
        <v>009</v>
      </c>
      <c r="G1185" s="2200">
        <f>--SUBTOTAL(3,C$2:C1185)</f>
        <v>67</v>
      </c>
    </row>
    <row r="1186" spans="1:7" hidden="1" x14ac:dyDescent="0.15">
      <c r="A1186" s="2200" t="s">
        <v>4280</v>
      </c>
      <c r="B1186" s="2200" t="s">
        <v>6649</v>
      </c>
      <c r="C1186" s="2200" t="s">
        <v>6650</v>
      </c>
      <c r="D1186" s="2200" t="str">
        <f t="shared" si="54"/>
        <v>ME</v>
      </c>
      <c r="E1186" s="2200" t="str">
        <f t="shared" si="55"/>
        <v>23</v>
      </c>
      <c r="F1186" s="2200" t="str">
        <f t="shared" si="56"/>
        <v>011</v>
      </c>
      <c r="G1186" s="2200">
        <f>--SUBTOTAL(3,C$2:C1186)</f>
        <v>67</v>
      </c>
    </row>
    <row r="1187" spans="1:7" hidden="1" x14ac:dyDescent="0.15">
      <c r="A1187" s="2200" t="s">
        <v>4280</v>
      </c>
      <c r="B1187" s="2200" t="s">
        <v>6651</v>
      </c>
      <c r="C1187" s="2200" t="s">
        <v>6652</v>
      </c>
      <c r="D1187" s="2200" t="str">
        <f t="shared" si="54"/>
        <v>ME</v>
      </c>
      <c r="E1187" s="2200" t="str">
        <f t="shared" si="55"/>
        <v>23</v>
      </c>
      <c r="F1187" s="2200" t="str">
        <f t="shared" si="56"/>
        <v>013</v>
      </c>
      <c r="G1187" s="2200">
        <f>--SUBTOTAL(3,C$2:C1187)</f>
        <v>67</v>
      </c>
    </row>
    <row r="1188" spans="1:7" hidden="1" x14ac:dyDescent="0.15">
      <c r="A1188" s="2200" t="s">
        <v>4280</v>
      </c>
      <c r="B1188" s="2200" t="s">
        <v>6653</v>
      </c>
      <c r="C1188" s="2200" t="s">
        <v>6654</v>
      </c>
      <c r="D1188" s="2200" t="str">
        <f t="shared" si="54"/>
        <v>ME</v>
      </c>
      <c r="E1188" s="2200" t="str">
        <f t="shared" si="55"/>
        <v>23</v>
      </c>
      <c r="F1188" s="2200" t="str">
        <f t="shared" si="56"/>
        <v>015</v>
      </c>
      <c r="G1188" s="2200">
        <f>--SUBTOTAL(3,C$2:C1188)</f>
        <v>67</v>
      </c>
    </row>
    <row r="1189" spans="1:7" hidden="1" x14ac:dyDescent="0.15">
      <c r="A1189" s="2200" t="s">
        <v>4280</v>
      </c>
      <c r="B1189" s="2200" t="s">
        <v>6655</v>
      </c>
      <c r="C1189" s="2200" t="s">
        <v>6656</v>
      </c>
      <c r="D1189" s="2200" t="str">
        <f t="shared" si="54"/>
        <v>ME</v>
      </c>
      <c r="E1189" s="2200" t="str">
        <f t="shared" si="55"/>
        <v>23</v>
      </c>
      <c r="F1189" s="2200" t="str">
        <f t="shared" si="56"/>
        <v>017</v>
      </c>
      <c r="G1189" s="2200">
        <f>--SUBTOTAL(3,C$2:C1189)</f>
        <v>67</v>
      </c>
    </row>
    <row r="1190" spans="1:7" hidden="1" x14ac:dyDescent="0.15">
      <c r="A1190" s="2200" t="s">
        <v>4280</v>
      </c>
      <c r="B1190" s="2200" t="s">
        <v>6657</v>
      </c>
      <c r="C1190" s="2200" t="s">
        <v>6658</v>
      </c>
      <c r="D1190" s="2200" t="str">
        <f t="shared" si="54"/>
        <v>ME</v>
      </c>
      <c r="E1190" s="2200" t="str">
        <f t="shared" si="55"/>
        <v>23</v>
      </c>
      <c r="F1190" s="2200" t="str">
        <f t="shared" si="56"/>
        <v>019</v>
      </c>
      <c r="G1190" s="2200">
        <f>--SUBTOTAL(3,C$2:C1190)</f>
        <v>67</v>
      </c>
    </row>
    <row r="1191" spans="1:7" hidden="1" x14ac:dyDescent="0.15">
      <c r="A1191" s="2200" t="s">
        <v>4280</v>
      </c>
      <c r="B1191" s="2200" t="s">
        <v>6659</v>
      </c>
      <c r="C1191" s="2200" t="s">
        <v>6660</v>
      </c>
      <c r="D1191" s="2200" t="str">
        <f t="shared" si="54"/>
        <v>ME</v>
      </c>
      <c r="E1191" s="2200" t="str">
        <f t="shared" si="55"/>
        <v>23</v>
      </c>
      <c r="F1191" s="2200" t="str">
        <f t="shared" si="56"/>
        <v>021</v>
      </c>
      <c r="G1191" s="2200">
        <f>--SUBTOTAL(3,C$2:C1191)</f>
        <v>67</v>
      </c>
    </row>
    <row r="1192" spans="1:7" hidden="1" x14ac:dyDescent="0.15">
      <c r="A1192" s="2200" t="s">
        <v>4280</v>
      </c>
      <c r="B1192" s="2200" t="s">
        <v>6661</v>
      </c>
      <c r="C1192" s="2200" t="s">
        <v>6662</v>
      </c>
      <c r="D1192" s="2200" t="str">
        <f t="shared" si="54"/>
        <v>ME</v>
      </c>
      <c r="E1192" s="2200" t="str">
        <f t="shared" si="55"/>
        <v>23</v>
      </c>
      <c r="F1192" s="2200" t="str">
        <f t="shared" si="56"/>
        <v>023</v>
      </c>
      <c r="G1192" s="2200">
        <f>--SUBTOTAL(3,C$2:C1192)</f>
        <v>67</v>
      </c>
    </row>
    <row r="1193" spans="1:7" hidden="1" x14ac:dyDescent="0.15">
      <c r="A1193" s="2200" t="s">
        <v>4280</v>
      </c>
      <c r="B1193" s="2200" t="s">
        <v>6663</v>
      </c>
      <c r="C1193" s="2200" t="s">
        <v>6664</v>
      </c>
      <c r="D1193" s="2200" t="str">
        <f t="shared" si="54"/>
        <v>ME</v>
      </c>
      <c r="E1193" s="2200" t="str">
        <f t="shared" si="55"/>
        <v>23</v>
      </c>
      <c r="F1193" s="2200" t="str">
        <f t="shared" si="56"/>
        <v>025</v>
      </c>
      <c r="G1193" s="2200">
        <f>--SUBTOTAL(3,C$2:C1193)</f>
        <v>67</v>
      </c>
    </row>
    <row r="1194" spans="1:7" hidden="1" x14ac:dyDescent="0.15">
      <c r="A1194" s="2200" t="s">
        <v>4280</v>
      </c>
      <c r="B1194" s="2200" t="s">
        <v>6665</v>
      </c>
      <c r="C1194" s="2200" t="s">
        <v>6666</v>
      </c>
      <c r="D1194" s="2200" t="str">
        <f t="shared" si="54"/>
        <v>ME</v>
      </c>
      <c r="E1194" s="2200" t="str">
        <f t="shared" si="55"/>
        <v>23</v>
      </c>
      <c r="F1194" s="2200" t="str">
        <f t="shared" si="56"/>
        <v>027</v>
      </c>
      <c r="G1194" s="2200">
        <f>--SUBTOTAL(3,C$2:C1194)</f>
        <v>67</v>
      </c>
    </row>
    <row r="1195" spans="1:7" hidden="1" x14ac:dyDescent="0.15">
      <c r="A1195" s="2200" t="s">
        <v>4280</v>
      </c>
      <c r="B1195" s="2200" t="s">
        <v>6667</v>
      </c>
      <c r="C1195" s="2200" t="s">
        <v>6668</v>
      </c>
      <c r="D1195" s="2200" t="str">
        <f t="shared" si="54"/>
        <v>ME</v>
      </c>
      <c r="E1195" s="2200" t="str">
        <f t="shared" si="55"/>
        <v>23</v>
      </c>
      <c r="F1195" s="2200" t="str">
        <f t="shared" si="56"/>
        <v>029</v>
      </c>
      <c r="G1195" s="2200">
        <f>--SUBTOTAL(3,C$2:C1195)</f>
        <v>67</v>
      </c>
    </row>
    <row r="1196" spans="1:7" hidden="1" x14ac:dyDescent="0.15">
      <c r="A1196" s="2200" t="s">
        <v>4280</v>
      </c>
      <c r="B1196" s="2200" t="s">
        <v>6669</v>
      </c>
      <c r="C1196" s="2200" t="s">
        <v>6670</v>
      </c>
      <c r="D1196" s="2200" t="str">
        <f t="shared" si="54"/>
        <v>ME</v>
      </c>
      <c r="E1196" s="2200" t="str">
        <f t="shared" si="55"/>
        <v>23</v>
      </c>
      <c r="F1196" s="2200" t="str">
        <f t="shared" si="56"/>
        <v>031</v>
      </c>
      <c r="G1196" s="2200">
        <f>--SUBTOTAL(3,C$2:C1196)</f>
        <v>67</v>
      </c>
    </row>
    <row r="1197" spans="1:7" hidden="1" x14ac:dyDescent="0.15">
      <c r="A1197" s="2200" t="s">
        <v>4280</v>
      </c>
      <c r="B1197" s="2200" t="s">
        <v>6671</v>
      </c>
      <c r="C1197" s="2200" t="s">
        <v>6672</v>
      </c>
      <c r="D1197" s="2200" t="str">
        <f t="shared" si="54"/>
        <v>MD</v>
      </c>
      <c r="E1197" s="2200" t="str">
        <f t="shared" si="55"/>
        <v>24</v>
      </c>
      <c r="F1197" s="2200" t="str">
        <f t="shared" si="56"/>
        <v>001</v>
      </c>
      <c r="G1197" s="2200">
        <f>--SUBTOTAL(3,C$2:C1197)</f>
        <v>67</v>
      </c>
    </row>
    <row r="1198" spans="1:7" hidden="1" x14ac:dyDescent="0.15">
      <c r="A1198" s="2200" t="s">
        <v>4280</v>
      </c>
      <c r="B1198" s="2200" t="s">
        <v>6673</v>
      </c>
      <c r="C1198" s="2200" t="s">
        <v>6674</v>
      </c>
      <c r="D1198" s="2200" t="str">
        <f t="shared" si="54"/>
        <v>MD</v>
      </c>
      <c r="E1198" s="2200" t="str">
        <f t="shared" si="55"/>
        <v>24</v>
      </c>
      <c r="F1198" s="2200" t="str">
        <f t="shared" si="56"/>
        <v>003</v>
      </c>
      <c r="G1198" s="2200">
        <f>--SUBTOTAL(3,C$2:C1198)</f>
        <v>67</v>
      </c>
    </row>
    <row r="1199" spans="1:7" hidden="1" x14ac:dyDescent="0.15">
      <c r="A1199" s="2200" t="s">
        <v>4280</v>
      </c>
      <c r="B1199" s="2200" t="s">
        <v>6675</v>
      </c>
      <c r="C1199" s="2200" t="s">
        <v>6676</v>
      </c>
      <c r="D1199" s="2200" t="str">
        <f t="shared" si="54"/>
        <v>MD</v>
      </c>
      <c r="E1199" s="2200" t="str">
        <f t="shared" si="55"/>
        <v>24</v>
      </c>
      <c r="F1199" s="2200" t="str">
        <f t="shared" si="56"/>
        <v>005</v>
      </c>
      <c r="G1199" s="2200">
        <f>--SUBTOTAL(3,C$2:C1199)</f>
        <v>67</v>
      </c>
    </row>
    <row r="1200" spans="1:7" hidden="1" x14ac:dyDescent="0.15">
      <c r="A1200" s="2200" t="s">
        <v>4280</v>
      </c>
      <c r="B1200" s="2200" t="s">
        <v>6677</v>
      </c>
      <c r="C1200" s="2200" t="s">
        <v>6678</v>
      </c>
      <c r="D1200" s="2200" t="str">
        <f t="shared" si="54"/>
        <v>MD</v>
      </c>
      <c r="E1200" s="2200" t="str">
        <f t="shared" si="55"/>
        <v>24</v>
      </c>
      <c r="F1200" s="2200" t="str">
        <f t="shared" si="56"/>
        <v>009</v>
      </c>
      <c r="G1200" s="2200">
        <f>--SUBTOTAL(3,C$2:C1200)</f>
        <v>67</v>
      </c>
    </row>
    <row r="1201" spans="1:7" hidden="1" x14ac:dyDescent="0.15">
      <c r="A1201" s="2200" t="s">
        <v>4280</v>
      </c>
      <c r="B1201" s="2200" t="s">
        <v>6679</v>
      </c>
      <c r="C1201" s="2200" t="s">
        <v>6680</v>
      </c>
      <c r="D1201" s="2200" t="str">
        <f t="shared" si="54"/>
        <v>MD</v>
      </c>
      <c r="E1201" s="2200" t="str">
        <f t="shared" si="55"/>
        <v>24</v>
      </c>
      <c r="F1201" s="2200" t="str">
        <f t="shared" si="56"/>
        <v>011</v>
      </c>
      <c r="G1201" s="2200">
        <f>--SUBTOTAL(3,C$2:C1201)</f>
        <v>67</v>
      </c>
    </row>
    <row r="1202" spans="1:7" hidden="1" x14ac:dyDescent="0.15">
      <c r="A1202" s="2200" t="s">
        <v>4280</v>
      </c>
      <c r="B1202" s="2200" t="s">
        <v>6681</v>
      </c>
      <c r="C1202" s="2200" t="s">
        <v>6682</v>
      </c>
      <c r="D1202" s="2200" t="str">
        <f t="shared" si="54"/>
        <v>MD</v>
      </c>
      <c r="E1202" s="2200" t="str">
        <f t="shared" si="55"/>
        <v>24</v>
      </c>
      <c r="F1202" s="2200" t="str">
        <f t="shared" si="56"/>
        <v>013</v>
      </c>
      <c r="G1202" s="2200">
        <f>--SUBTOTAL(3,C$2:C1202)</f>
        <v>67</v>
      </c>
    </row>
    <row r="1203" spans="1:7" hidden="1" x14ac:dyDescent="0.15">
      <c r="A1203" s="2200" t="s">
        <v>4280</v>
      </c>
      <c r="B1203" s="2200" t="s">
        <v>6683</v>
      </c>
      <c r="C1203" s="2200" t="s">
        <v>6684</v>
      </c>
      <c r="D1203" s="2200" t="str">
        <f t="shared" si="54"/>
        <v>MD</v>
      </c>
      <c r="E1203" s="2200" t="str">
        <f t="shared" si="55"/>
        <v>24</v>
      </c>
      <c r="F1203" s="2200" t="str">
        <f t="shared" si="56"/>
        <v>015</v>
      </c>
      <c r="G1203" s="2200">
        <f>--SUBTOTAL(3,C$2:C1203)</f>
        <v>67</v>
      </c>
    </row>
    <row r="1204" spans="1:7" hidden="1" x14ac:dyDescent="0.15">
      <c r="A1204" s="2200" t="s">
        <v>4280</v>
      </c>
      <c r="B1204" s="2200" t="s">
        <v>6685</v>
      </c>
      <c r="C1204" s="2200" t="s">
        <v>6686</v>
      </c>
      <c r="D1204" s="2200" t="str">
        <f t="shared" si="54"/>
        <v>MD</v>
      </c>
      <c r="E1204" s="2200" t="str">
        <f t="shared" si="55"/>
        <v>24</v>
      </c>
      <c r="F1204" s="2200" t="str">
        <f t="shared" si="56"/>
        <v>017</v>
      </c>
      <c r="G1204" s="2200">
        <f>--SUBTOTAL(3,C$2:C1204)</f>
        <v>67</v>
      </c>
    </row>
    <row r="1205" spans="1:7" hidden="1" x14ac:dyDescent="0.15">
      <c r="A1205" s="2200" t="s">
        <v>4280</v>
      </c>
      <c r="B1205" s="2200" t="s">
        <v>6687</v>
      </c>
      <c r="C1205" s="2200" t="s">
        <v>6688</v>
      </c>
      <c r="D1205" s="2200" t="str">
        <f t="shared" si="54"/>
        <v>MD</v>
      </c>
      <c r="E1205" s="2200" t="str">
        <f t="shared" si="55"/>
        <v>24</v>
      </c>
      <c r="F1205" s="2200" t="str">
        <f t="shared" si="56"/>
        <v>019</v>
      </c>
      <c r="G1205" s="2200">
        <f>--SUBTOTAL(3,C$2:C1205)</f>
        <v>67</v>
      </c>
    </row>
    <row r="1206" spans="1:7" hidden="1" x14ac:dyDescent="0.15">
      <c r="A1206" s="2200" t="s">
        <v>4280</v>
      </c>
      <c r="B1206" s="2200" t="s">
        <v>6689</v>
      </c>
      <c r="C1206" s="2200" t="s">
        <v>6690</v>
      </c>
      <c r="D1206" s="2200" t="str">
        <f t="shared" si="54"/>
        <v>MD</v>
      </c>
      <c r="E1206" s="2200" t="str">
        <f t="shared" si="55"/>
        <v>24</v>
      </c>
      <c r="F1206" s="2200" t="str">
        <f t="shared" si="56"/>
        <v>021</v>
      </c>
      <c r="G1206" s="2200">
        <f>--SUBTOTAL(3,C$2:C1206)</f>
        <v>67</v>
      </c>
    </row>
    <row r="1207" spans="1:7" hidden="1" x14ac:dyDescent="0.15">
      <c r="A1207" s="2200" t="s">
        <v>4280</v>
      </c>
      <c r="B1207" s="2200" t="s">
        <v>6691</v>
      </c>
      <c r="C1207" s="2200" t="s">
        <v>6692</v>
      </c>
      <c r="D1207" s="2200" t="str">
        <f t="shared" si="54"/>
        <v>MD</v>
      </c>
      <c r="E1207" s="2200" t="str">
        <f t="shared" si="55"/>
        <v>24</v>
      </c>
      <c r="F1207" s="2200" t="str">
        <f t="shared" si="56"/>
        <v>023</v>
      </c>
      <c r="G1207" s="2200">
        <f>--SUBTOTAL(3,C$2:C1207)</f>
        <v>67</v>
      </c>
    </row>
    <row r="1208" spans="1:7" hidden="1" x14ac:dyDescent="0.15">
      <c r="A1208" s="2200" t="s">
        <v>4280</v>
      </c>
      <c r="B1208" s="2200" t="s">
        <v>6693</v>
      </c>
      <c r="C1208" s="2200" t="s">
        <v>6694</v>
      </c>
      <c r="D1208" s="2200" t="str">
        <f t="shared" si="54"/>
        <v>MD</v>
      </c>
      <c r="E1208" s="2200" t="str">
        <f t="shared" si="55"/>
        <v>24</v>
      </c>
      <c r="F1208" s="2200" t="str">
        <f t="shared" si="56"/>
        <v>025</v>
      </c>
      <c r="G1208" s="2200">
        <f>--SUBTOTAL(3,C$2:C1208)</f>
        <v>67</v>
      </c>
    </row>
    <row r="1209" spans="1:7" hidden="1" x14ac:dyDescent="0.15">
      <c r="A1209" s="2200" t="s">
        <v>4280</v>
      </c>
      <c r="B1209" s="2200" t="s">
        <v>6695</v>
      </c>
      <c r="C1209" s="2200" t="s">
        <v>6696</v>
      </c>
      <c r="D1209" s="2200" t="str">
        <f t="shared" si="54"/>
        <v>MD</v>
      </c>
      <c r="E1209" s="2200" t="str">
        <f t="shared" si="55"/>
        <v>24</v>
      </c>
      <c r="F1209" s="2200" t="str">
        <f t="shared" si="56"/>
        <v>027</v>
      </c>
      <c r="G1209" s="2200">
        <f>--SUBTOTAL(3,C$2:C1209)</f>
        <v>67</v>
      </c>
    </row>
    <row r="1210" spans="1:7" hidden="1" x14ac:dyDescent="0.15">
      <c r="A1210" s="2200" t="s">
        <v>4280</v>
      </c>
      <c r="B1210" s="2200" t="s">
        <v>6697</v>
      </c>
      <c r="C1210" s="2200" t="s">
        <v>6698</v>
      </c>
      <c r="D1210" s="2200" t="str">
        <f t="shared" si="54"/>
        <v>MD</v>
      </c>
      <c r="E1210" s="2200" t="str">
        <f t="shared" si="55"/>
        <v>24</v>
      </c>
      <c r="F1210" s="2200" t="str">
        <f t="shared" si="56"/>
        <v>029</v>
      </c>
      <c r="G1210" s="2200">
        <f>--SUBTOTAL(3,C$2:C1210)</f>
        <v>67</v>
      </c>
    </row>
    <row r="1211" spans="1:7" hidden="1" x14ac:dyDescent="0.15">
      <c r="A1211" s="2200" t="s">
        <v>4280</v>
      </c>
      <c r="B1211" s="2200" t="s">
        <v>6699</v>
      </c>
      <c r="C1211" s="2200" t="s">
        <v>6700</v>
      </c>
      <c r="D1211" s="2200" t="str">
        <f t="shared" si="54"/>
        <v>MD</v>
      </c>
      <c r="E1211" s="2200" t="str">
        <f t="shared" si="55"/>
        <v>24</v>
      </c>
      <c r="F1211" s="2200" t="str">
        <f t="shared" si="56"/>
        <v>031</v>
      </c>
      <c r="G1211" s="2200">
        <f>--SUBTOTAL(3,C$2:C1211)</f>
        <v>67</v>
      </c>
    </row>
    <row r="1212" spans="1:7" hidden="1" x14ac:dyDescent="0.15">
      <c r="A1212" s="2200" t="s">
        <v>4280</v>
      </c>
      <c r="B1212" s="2200" t="s">
        <v>6701</v>
      </c>
      <c r="C1212" s="2200" t="s">
        <v>6702</v>
      </c>
      <c r="D1212" s="2200" t="str">
        <f t="shared" si="54"/>
        <v>MD</v>
      </c>
      <c r="E1212" s="2200" t="str">
        <f t="shared" si="55"/>
        <v>24</v>
      </c>
      <c r="F1212" s="2200" t="str">
        <f t="shared" si="56"/>
        <v>033</v>
      </c>
      <c r="G1212" s="2200">
        <f>--SUBTOTAL(3,C$2:C1212)</f>
        <v>67</v>
      </c>
    </row>
    <row r="1213" spans="1:7" hidden="1" x14ac:dyDescent="0.15">
      <c r="A1213" s="2200" t="s">
        <v>4280</v>
      </c>
      <c r="B1213" s="2200" t="s">
        <v>6703</v>
      </c>
      <c r="C1213" s="2200" t="s">
        <v>6704</v>
      </c>
      <c r="D1213" s="2200" t="str">
        <f t="shared" si="54"/>
        <v>MD</v>
      </c>
      <c r="E1213" s="2200" t="str">
        <f t="shared" si="55"/>
        <v>24</v>
      </c>
      <c r="F1213" s="2200" t="str">
        <f t="shared" si="56"/>
        <v>035</v>
      </c>
      <c r="G1213" s="2200">
        <f>--SUBTOTAL(3,C$2:C1213)</f>
        <v>67</v>
      </c>
    </row>
    <row r="1214" spans="1:7" hidden="1" x14ac:dyDescent="0.15">
      <c r="A1214" s="2200" t="s">
        <v>4280</v>
      </c>
      <c r="B1214" s="2200" t="s">
        <v>6705</v>
      </c>
      <c r="C1214" s="2200" t="s">
        <v>6706</v>
      </c>
      <c r="D1214" s="2200" t="str">
        <f t="shared" si="54"/>
        <v>MD</v>
      </c>
      <c r="E1214" s="2200" t="str">
        <f t="shared" si="55"/>
        <v>24</v>
      </c>
      <c r="F1214" s="2200" t="str">
        <f t="shared" si="56"/>
        <v>037</v>
      </c>
      <c r="G1214" s="2200">
        <f>--SUBTOTAL(3,C$2:C1214)</f>
        <v>67</v>
      </c>
    </row>
    <row r="1215" spans="1:7" hidden="1" x14ac:dyDescent="0.15">
      <c r="A1215" s="2200" t="s">
        <v>4280</v>
      </c>
      <c r="B1215" s="2200" t="s">
        <v>6707</v>
      </c>
      <c r="C1215" s="2200" t="s">
        <v>6708</v>
      </c>
      <c r="D1215" s="2200" t="str">
        <f t="shared" si="54"/>
        <v>MD</v>
      </c>
      <c r="E1215" s="2200" t="str">
        <f t="shared" si="55"/>
        <v>24</v>
      </c>
      <c r="F1215" s="2200" t="str">
        <f t="shared" si="56"/>
        <v>039</v>
      </c>
      <c r="G1215" s="2200">
        <f>--SUBTOTAL(3,C$2:C1215)</f>
        <v>67</v>
      </c>
    </row>
    <row r="1216" spans="1:7" hidden="1" x14ac:dyDescent="0.15">
      <c r="A1216" s="2200" t="s">
        <v>4280</v>
      </c>
      <c r="B1216" s="2200" t="s">
        <v>6709</v>
      </c>
      <c r="C1216" s="2200" t="s">
        <v>6710</v>
      </c>
      <c r="D1216" s="2200" t="str">
        <f t="shared" si="54"/>
        <v>MD</v>
      </c>
      <c r="E1216" s="2200" t="str">
        <f t="shared" si="55"/>
        <v>24</v>
      </c>
      <c r="F1216" s="2200" t="str">
        <f t="shared" si="56"/>
        <v>041</v>
      </c>
      <c r="G1216" s="2200">
        <f>--SUBTOTAL(3,C$2:C1216)</f>
        <v>67</v>
      </c>
    </row>
    <row r="1217" spans="1:7" hidden="1" x14ac:dyDescent="0.15">
      <c r="A1217" s="2200" t="s">
        <v>4280</v>
      </c>
      <c r="B1217" s="2200" t="s">
        <v>6711</v>
      </c>
      <c r="C1217" s="2200" t="s">
        <v>6712</v>
      </c>
      <c r="D1217" s="2200" t="str">
        <f t="shared" si="54"/>
        <v>MD</v>
      </c>
      <c r="E1217" s="2200" t="str">
        <f t="shared" si="55"/>
        <v>24</v>
      </c>
      <c r="F1217" s="2200" t="str">
        <f t="shared" si="56"/>
        <v>043</v>
      </c>
      <c r="G1217" s="2200">
        <f>--SUBTOTAL(3,C$2:C1217)</f>
        <v>67</v>
      </c>
    </row>
    <row r="1218" spans="1:7" hidden="1" x14ac:dyDescent="0.15">
      <c r="A1218" s="2200" t="s">
        <v>4280</v>
      </c>
      <c r="B1218" s="2200" t="s">
        <v>6713</v>
      </c>
      <c r="C1218" s="2200" t="s">
        <v>6714</v>
      </c>
      <c r="D1218" s="2200" t="str">
        <f t="shared" si="54"/>
        <v>MD</v>
      </c>
      <c r="E1218" s="2200" t="str">
        <f t="shared" si="55"/>
        <v>24</v>
      </c>
      <c r="F1218" s="2200" t="str">
        <f t="shared" si="56"/>
        <v>045</v>
      </c>
      <c r="G1218" s="2200">
        <f>--SUBTOTAL(3,C$2:C1218)</f>
        <v>67</v>
      </c>
    </row>
    <row r="1219" spans="1:7" hidden="1" x14ac:dyDescent="0.15">
      <c r="A1219" s="2200" t="s">
        <v>4280</v>
      </c>
      <c r="B1219" s="2200" t="s">
        <v>6715</v>
      </c>
      <c r="C1219" s="2200" t="s">
        <v>6716</v>
      </c>
      <c r="D1219" s="2200" t="str">
        <f t="shared" ref="D1219:D1282" si="57">RIGHT(C1219,2)</f>
        <v>MD</v>
      </c>
      <c r="E1219" s="2200" t="str">
        <f t="shared" ref="E1219:E1282" si="58">MID(B1219,3,2)</f>
        <v>24</v>
      </c>
      <c r="F1219" s="2200" t="str">
        <f t="shared" ref="F1219:F1282" si="59">MID(B1219,5,3)</f>
        <v>047</v>
      </c>
      <c r="G1219" s="2200">
        <f>--SUBTOTAL(3,C$2:C1219)</f>
        <v>67</v>
      </c>
    </row>
    <row r="1220" spans="1:7" hidden="1" x14ac:dyDescent="0.15">
      <c r="A1220" s="2200" t="s">
        <v>4280</v>
      </c>
      <c r="B1220" s="2200" t="s">
        <v>6717</v>
      </c>
      <c r="C1220" s="2200" t="s">
        <v>6718</v>
      </c>
      <c r="D1220" s="2200" t="str">
        <f t="shared" si="57"/>
        <v>MD</v>
      </c>
      <c r="E1220" s="2200" t="str">
        <f t="shared" si="58"/>
        <v>24</v>
      </c>
      <c r="F1220" s="2200" t="str">
        <f t="shared" si="59"/>
        <v>510</v>
      </c>
      <c r="G1220" s="2200">
        <f>--SUBTOTAL(3,C$2:C1220)</f>
        <v>67</v>
      </c>
    </row>
    <row r="1221" spans="1:7" hidden="1" x14ac:dyDescent="0.15">
      <c r="A1221" s="2200" t="s">
        <v>4280</v>
      </c>
      <c r="B1221" s="2200" t="s">
        <v>6719</v>
      </c>
      <c r="C1221" s="2200" t="s">
        <v>6720</v>
      </c>
      <c r="D1221" s="2200" t="str">
        <f t="shared" si="57"/>
        <v>MA</v>
      </c>
      <c r="E1221" s="2200" t="str">
        <f t="shared" si="58"/>
        <v>25</v>
      </c>
      <c r="F1221" s="2200" t="str">
        <f t="shared" si="59"/>
        <v>001</v>
      </c>
      <c r="G1221" s="2200">
        <f>--SUBTOTAL(3,C$2:C1221)</f>
        <v>67</v>
      </c>
    </row>
    <row r="1222" spans="1:7" hidden="1" x14ac:dyDescent="0.15">
      <c r="A1222" s="2200" t="s">
        <v>4280</v>
      </c>
      <c r="B1222" s="2200" t="s">
        <v>6721</v>
      </c>
      <c r="C1222" s="2200" t="s">
        <v>6722</v>
      </c>
      <c r="D1222" s="2200" t="str">
        <f t="shared" si="57"/>
        <v>MA</v>
      </c>
      <c r="E1222" s="2200" t="str">
        <f t="shared" si="58"/>
        <v>25</v>
      </c>
      <c r="F1222" s="2200" t="str">
        <f t="shared" si="59"/>
        <v>003</v>
      </c>
      <c r="G1222" s="2200">
        <f>--SUBTOTAL(3,C$2:C1222)</f>
        <v>67</v>
      </c>
    </row>
    <row r="1223" spans="1:7" hidden="1" x14ac:dyDescent="0.15">
      <c r="A1223" s="2200" t="s">
        <v>4280</v>
      </c>
      <c r="B1223" s="2200" t="s">
        <v>6723</v>
      </c>
      <c r="C1223" s="2200" t="s">
        <v>6724</v>
      </c>
      <c r="D1223" s="2200" t="str">
        <f t="shared" si="57"/>
        <v>MA</v>
      </c>
      <c r="E1223" s="2200" t="str">
        <f t="shared" si="58"/>
        <v>25</v>
      </c>
      <c r="F1223" s="2200" t="str">
        <f t="shared" si="59"/>
        <v>005</v>
      </c>
      <c r="G1223" s="2200">
        <f>--SUBTOTAL(3,C$2:C1223)</f>
        <v>67</v>
      </c>
    </row>
    <row r="1224" spans="1:7" hidden="1" x14ac:dyDescent="0.15">
      <c r="A1224" s="2200" t="s">
        <v>4280</v>
      </c>
      <c r="B1224" s="2200" t="s">
        <v>6725</v>
      </c>
      <c r="C1224" s="2200" t="s">
        <v>6726</v>
      </c>
      <c r="D1224" s="2200" t="str">
        <f t="shared" si="57"/>
        <v>MA</v>
      </c>
      <c r="E1224" s="2200" t="str">
        <f t="shared" si="58"/>
        <v>25</v>
      </c>
      <c r="F1224" s="2200" t="str">
        <f t="shared" si="59"/>
        <v>007</v>
      </c>
      <c r="G1224" s="2200">
        <f>--SUBTOTAL(3,C$2:C1224)</f>
        <v>67</v>
      </c>
    </row>
    <row r="1225" spans="1:7" hidden="1" x14ac:dyDescent="0.15">
      <c r="A1225" s="2200" t="s">
        <v>4280</v>
      </c>
      <c r="B1225" s="2200" t="s">
        <v>6727</v>
      </c>
      <c r="C1225" s="2200" t="s">
        <v>6728</v>
      </c>
      <c r="D1225" s="2200" t="str">
        <f t="shared" si="57"/>
        <v>MA</v>
      </c>
      <c r="E1225" s="2200" t="str">
        <f t="shared" si="58"/>
        <v>25</v>
      </c>
      <c r="F1225" s="2200" t="str">
        <f t="shared" si="59"/>
        <v>009</v>
      </c>
      <c r="G1225" s="2200">
        <f>--SUBTOTAL(3,C$2:C1225)</f>
        <v>67</v>
      </c>
    </row>
    <row r="1226" spans="1:7" hidden="1" x14ac:dyDescent="0.15">
      <c r="A1226" s="2200" t="s">
        <v>4280</v>
      </c>
      <c r="B1226" s="2200" t="s">
        <v>6729</v>
      </c>
      <c r="C1226" s="2200" t="s">
        <v>6730</v>
      </c>
      <c r="D1226" s="2200" t="str">
        <f t="shared" si="57"/>
        <v>MA</v>
      </c>
      <c r="E1226" s="2200" t="str">
        <f t="shared" si="58"/>
        <v>25</v>
      </c>
      <c r="F1226" s="2200" t="str">
        <f t="shared" si="59"/>
        <v>011</v>
      </c>
      <c r="G1226" s="2200">
        <f>--SUBTOTAL(3,C$2:C1226)</f>
        <v>67</v>
      </c>
    </row>
    <row r="1227" spans="1:7" hidden="1" x14ac:dyDescent="0.15">
      <c r="A1227" s="2200" t="s">
        <v>4280</v>
      </c>
      <c r="B1227" s="2200" t="s">
        <v>6731</v>
      </c>
      <c r="C1227" s="2200" t="s">
        <v>6732</v>
      </c>
      <c r="D1227" s="2200" t="str">
        <f t="shared" si="57"/>
        <v>MA</v>
      </c>
      <c r="E1227" s="2200" t="str">
        <f t="shared" si="58"/>
        <v>25</v>
      </c>
      <c r="F1227" s="2200" t="str">
        <f t="shared" si="59"/>
        <v>013</v>
      </c>
      <c r="G1227" s="2200">
        <f>--SUBTOTAL(3,C$2:C1227)</f>
        <v>67</v>
      </c>
    </row>
    <row r="1228" spans="1:7" hidden="1" x14ac:dyDescent="0.15">
      <c r="A1228" s="2200" t="s">
        <v>4280</v>
      </c>
      <c r="B1228" s="2200" t="s">
        <v>6733</v>
      </c>
      <c r="C1228" s="2200" t="s">
        <v>6734</v>
      </c>
      <c r="D1228" s="2200" t="str">
        <f t="shared" si="57"/>
        <v>MA</v>
      </c>
      <c r="E1228" s="2200" t="str">
        <f t="shared" si="58"/>
        <v>25</v>
      </c>
      <c r="F1228" s="2200" t="str">
        <f t="shared" si="59"/>
        <v>015</v>
      </c>
      <c r="G1228" s="2200">
        <f>--SUBTOTAL(3,C$2:C1228)</f>
        <v>67</v>
      </c>
    </row>
    <row r="1229" spans="1:7" hidden="1" x14ac:dyDescent="0.15">
      <c r="A1229" s="2200" t="s">
        <v>4280</v>
      </c>
      <c r="B1229" s="2200" t="s">
        <v>6735</v>
      </c>
      <c r="C1229" s="2200" t="s">
        <v>6736</v>
      </c>
      <c r="D1229" s="2200" t="str">
        <f t="shared" si="57"/>
        <v>MA</v>
      </c>
      <c r="E1229" s="2200" t="str">
        <f t="shared" si="58"/>
        <v>25</v>
      </c>
      <c r="F1229" s="2200" t="str">
        <f t="shared" si="59"/>
        <v>017</v>
      </c>
      <c r="G1229" s="2200">
        <f>--SUBTOTAL(3,C$2:C1229)</f>
        <v>67</v>
      </c>
    </row>
    <row r="1230" spans="1:7" hidden="1" x14ac:dyDescent="0.15">
      <c r="A1230" s="2200" t="s">
        <v>4280</v>
      </c>
      <c r="B1230" s="2200" t="s">
        <v>6737</v>
      </c>
      <c r="C1230" s="2200" t="s">
        <v>6738</v>
      </c>
      <c r="D1230" s="2200" t="str">
        <f t="shared" si="57"/>
        <v>MA</v>
      </c>
      <c r="E1230" s="2200" t="str">
        <f t="shared" si="58"/>
        <v>25</v>
      </c>
      <c r="F1230" s="2200" t="str">
        <f t="shared" si="59"/>
        <v>019</v>
      </c>
      <c r="G1230" s="2200">
        <f>--SUBTOTAL(3,C$2:C1230)</f>
        <v>67</v>
      </c>
    </row>
    <row r="1231" spans="1:7" hidden="1" x14ac:dyDescent="0.15">
      <c r="A1231" s="2200" t="s">
        <v>4280</v>
      </c>
      <c r="B1231" s="2200" t="s">
        <v>6739</v>
      </c>
      <c r="C1231" s="2200" t="s">
        <v>6740</v>
      </c>
      <c r="D1231" s="2200" t="str">
        <f t="shared" si="57"/>
        <v>MA</v>
      </c>
      <c r="E1231" s="2200" t="str">
        <f t="shared" si="58"/>
        <v>25</v>
      </c>
      <c r="F1231" s="2200" t="str">
        <f t="shared" si="59"/>
        <v>021</v>
      </c>
      <c r="G1231" s="2200">
        <f>--SUBTOTAL(3,C$2:C1231)</f>
        <v>67</v>
      </c>
    </row>
    <row r="1232" spans="1:7" hidden="1" x14ac:dyDescent="0.15">
      <c r="A1232" s="2200" t="s">
        <v>4280</v>
      </c>
      <c r="B1232" s="2200" t="s">
        <v>6741</v>
      </c>
      <c r="C1232" s="2200" t="s">
        <v>6742</v>
      </c>
      <c r="D1232" s="2200" t="str">
        <f t="shared" si="57"/>
        <v>MA</v>
      </c>
      <c r="E1232" s="2200" t="str">
        <f t="shared" si="58"/>
        <v>25</v>
      </c>
      <c r="F1232" s="2200" t="str">
        <f t="shared" si="59"/>
        <v>023</v>
      </c>
      <c r="G1232" s="2200">
        <f>--SUBTOTAL(3,C$2:C1232)</f>
        <v>67</v>
      </c>
    </row>
    <row r="1233" spans="1:7" hidden="1" x14ac:dyDescent="0.15">
      <c r="A1233" s="2200" t="s">
        <v>4280</v>
      </c>
      <c r="B1233" s="2200" t="s">
        <v>6743</v>
      </c>
      <c r="C1233" s="2200" t="s">
        <v>6744</v>
      </c>
      <c r="D1233" s="2200" t="str">
        <f t="shared" si="57"/>
        <v>MA</v>
      </c>
      <c r="E1233" s="2200" t="str">
        <f t="shared" si="58"/>
        <v>25</v>
      </c>
      <c r="F1233" s="2200" t="str">
        <f t="shared" si="59"/>
        <v>025</v>
      </c>
      <c r="G1233" s="2200">
        <f>--SUBTOTAL(3,C$2:C1233)</f>
        <v>67</v>
      </c>
    </row>
    <row r="1234" spans="1:7" hidden="1" x14ac:dyDescent="0.15">
      <c r="A1234" s="2200" t="s">
        <v>4280</v>
      </c>
      <c r="B1234" s="2200" t="s">
        <v>6745</v>
      </c>
      <c r="C1234" s="2200" t="s">
        <v>6746</v>
      </c>
      <c r="D1234" s="2200" t="str">
        <f t="shared" si="57"/>
        <v>MA</v>
      </c>
      <c r="E1234" s="2200" t="str">
        <f t="shared" si="58"/>
        <v>25</v>
      </c>
      <c r="F1234" s="2200" t="str">
        <f t="shared" si="59"/>
        <v>027</v>
      </c>
      <c r="G1234" s="2200">
        <f>--SUBTOTAL(3,C$2:C1234)</f>
        <v>67</v>
      </c>
    </row>
    <row r="1235" spans="1:7" hidden="1" x14ac:dyDescent="0.15">
      <c r="A1235" s="2200" t="s">
        <v>4280</v>
      </c>
      <c r="B1235" s="2200" t="s">
        <v>6747</v>
      </c>
      <c r="C1235" s="2200" t="s">
        <v>6748</v>
      </c>
      <c r="D1235" s="2200" t="str">
        <f t="shared" si="57"/>
        <v>MI</v>
      </c>
      <c r="E1235" s="2200" t="str">
        <f t="shared" si="58"/>
        <v>26</v>
      </c>
      <c r="F1235" s="2200" t="str">
        <f t="shared" si="59"/>
        <v>001</v>
      </c>
      <c r="G1235" s="2200">
        <f>--SUBTOTAL(3,C$2:C1235)</f>
        <v>67</v>
      </c>
    </row>
    <row r="1236" spans="1:7" hidden="1" x14ac:dyDescent="0.15">
      <c r="A1236" s="2200" t="s">
        <v>4280</v>
      </c>
      <c r="B1236" s="2200" t="s">
        <v>6749</v>
      </c>
      <c r="C1236" s="2200" t="s">
        <v>6750</v>
      </c>
      <c r="D1236" s="2200" t="str">
        <f t="shared" si="57"/>
        <v>MI</v>
      </c>
      <c r="E1236" s="2200" t="str">
        <f t="shared" si="58"/>
        <v>26</v>
      </c>
      <c r="F1236" s="2200" t="str">
        <f t="shared" si="59"/>
        <v>003</v>
      </c>
      <c r="G1236" s="2200">
        <f>--SUBTOTAL(3,C$2:C1236)</f>
        <v>67</v>
      </c>
    </row>
    <row r="1237" spans="1:7" hidden="1" x14ac:dyDescent="0.15">
      <c r="A1237" s="2200" t="s">
        <v>4280</v>
      </c>
      <c r="B1237" s="2200" t="s">
        <v>6751</v>
      </c>
      <c r="C1237" s="2200" t="s">
        <v>6752</v>
      </c>
      <c r="D1237" s="2200" t="str">
        <f t="shared" si="57"/>
        <v>MI</v>
      </c>
      <c r="E1237" s="2200" t="str">
        <f t="shared" si="58"/>
        <v>26</v>
      </c>
      <c r="F1237" s="2200" t="str">
        <f t="shared" si="59"/>
        <v>005</v>
      </c>
      <c r="G1237" s="2200">
        <f>--SUBTOTAL(3,C$2:C1237)</f>
        <v>67</v>
      </c>
    </row>
    <row r="1238" spans="1:7" hidden="1" x14ac:dyDescent="0.15">
      <c r="A1238" s="2200" t="s">
        <v>4280</v>
      </c>
      <c r="B1238" s="2200" t="s">
        <v>6753</v>
      </c>
      <c r="C1238" s="2200" t="s">
        <v>6754</v>
      </c>
      <c r="D1238" s="2200" t="str">
        <f t="shared" si="57"/>
        <v>MI</v>
      </c>
      <c r="E1238" s="2200" t="str">
        <f t="shared" si="58"/>
        <v>26</v>
      </c>
      <c r="F1238" s="2200" t="str">
        <f t="shared" si="59"/>
        <v>007</v>
      </c>
      <c r="G1238" s="2200">
        <f>--SUBTOTAL(3,C$2:C1238)</f>
        <v>67</v>
      </c>
    </row>
    <row r="1239" spans="1:7" hidden="1" x14ac:dyDescent="0.15">
      <c r="A1239" s="2200" t="s">
        <v>4280</v>
      </c>
      <c r="B1239" s="2200" t="s">
        <v>6755</v>
      </c>
      <c r="C1239" s="2200" t="s">
        <v>6756</v>
      </c>
      <c r="D1239" s="2200" t="str">
        <f t="shared" si="57"/>
        <v>MI</v>
      </c>
      <c r="E1239" s="2200" t="str">
        <f t="shared" si="58"/>
        <v>26</v>
      </c>
      <c r="F1239" s="2200" t="str">
        <f t="shared" si="59"/>
        <v>009</v>
      </c>
      <c r="G1239" s="2200">
        <f>--SUBTOTAL(3,C$2:C1239)</f>
        <v>67</v>
      </c>
    </row>
    <row r="1240" spans="1:7" hidden="1" x14ac:dyDescent="0.15">
      <c r="A1240" s="2200" t="s">
        <v>4280</v>
      </c>
      <c r="B1240" s="2200" t="s">
        <v>6757</v>
      </c>
      <c r="C1240" s="2200" t="s">
        <v>6758</v>
      </c>
      <c r="D1240" s="2200" t="str">
        <f t="shared" si="57"/>
        <v>MI</v>
      </c>
      <c r="E1240" s="2200" t="str">
        <f t="shared" si="58"/>
        <v>26</v>
      </c>
      <c r="F1240" s="2200" t="str">
        <f t="shared" si="59"/>
        <v>011</v>
      </c>
      <c r="G1240" s="2200">
        <f>--SUBTOTAL(3,C$2:C1240)</f>
        <v>67</v>
      </c>
    </row>
    <row r="1241" spans="1:7" hidden="1" x14ac:dyDescent="0.15">
      <c r="A1241" s="2200" t="s">
        <v>4280</v>
      </c>
      <c r="B1241" s="2200" t="s">
        <v>6759</v>
      </c>
      <c r="C1241" s="2200" t="s">
        <v>6760</v>
      </c>
      <c r="D1241" s="2200" t="str">
        <f t="shared" si="57"/>
        <v>MI</v>
      </c>
      <c r="E1241" s="2200" t="str">
        <f t="shared" si="58"/>
        <v>26</v>
      </c>
      <c r="F1241" s="2200" t="str">
        <f t="shared" si="59"/>
        <v>013</v>
      </c>
      <c r="G1241" s="2200">
        <f>--SUBTOTAL(3,C$2:C1241)</f>
        <v>67</v>
      </c>
    </row>
    <row r="1242" spans="1:7" hidden="1" x14ac:dyDescent="0.15">
      <c r="A1242" s="2200" t="s">
        <v>4280</v>
      </c>
      <c r="B1242" s="2200" t="s">
        <v>6761</v>
      </c>
      <c r="C1242" s="2200" t="s">
        <v>6762</v>
      </c>
      <c r="D1242" s="2200" t="str">
        <f t="shared" si="57"/>
        <v>MI</v>
      </c>
      <c r="E1242" s="2200" t="str">
        <f t="shared" si="58"/>
        <v>26</v>
      </c>
      <c r="F1242" s="2200" t="str">
        <f t="shared" si="59"/>
        <v>015</v>
      </c>
      <c r="G1242" s="2200">
        <f>--SUBTOTAL(3,C$2:C1242)</f>
        <v>67</v>
      </c>
    </row>
    <row r="1243" spans="1:7" hidden="1" x14ac:dyDescent="0.15">
      <c r="A1243" s="2200" t="s">
        <v>4280</v>
      </c>
      <c r="B1243" s="2200" t="s">
        <v>6763</v>
      </c>
      <c r="C1243" s="2200" t="s">
        <v>6764</v>
      </c>
      <c r="D1243" s="2200" t="str">
        <f t="shared" si="57"/>
        <v>MI</v>
      </c>
      <c r="E1243" s="2200" t="str">
        <f t="shared" si="58"/>
        <v>26</v>
      </c>
      <c r="F1243" s="2200" t="str">
        <f t="shared" si="59"/>
        <v>017</v>
      </c>
      <c r="G1243" s="2200">
        <f>--SUBTOTAL(3,C$2:C1243)</f>
        <v>67</v>
      </c>
    </row>
    <row r="1244" spans="1:7" hidden="1" x14ac:dyDescent="0.15">
      <c r="A1244" s="2200" t="s">
        <v>4280</v>
      </c>
      <c r="B1244" s="2200" t="s">
        <v>6765</v>
      </c>
      <c r="C1244" s="2200" t="s">
        <v>6766</v>
      </c>
      <c r="D1244" s="2200" t="str">
        <f t="shared" si="57"/>
        <v>MI</v>
      </c>
      <c r="E1244" s="2200" t="str">
        <f t="shared" si="58"/>
        <v>26</v>
      </c>
      <c r="F1244" s="2200" t="str">
        <f t="shared" si="59"/>
        <v>019</v>
      </c>
      <c r="G1244" s="2200">
        <f>--SUBTOTAL(3,C$2:C1244)</f>
        <v>67</v>
      </c>
    </row>
    <row r="1245" spans="1:7" hidden="1" x14ac:dyDescent="0.15">
      <c r="A1245" s="2200" t="s">
        <v>4280</v>
      </c>
      <c r="B1245" s="2200" t="s">
        <v>6767</v>
      </c>
      <c r="C1245" s="2200" t="s">
        <v>6768</v>
      </c>
      <c r="D1245" s="2200" t="str">
        <f t="shared" si="57"/>
        <v>MI</v>
      </c>
      <c r="E1245" s="2200" t="str">
        <f t="shared" si="58"/>
        <v>26</v>
      </c>
      <c r="F1245" s="2200" t="str">
        <f t="shared" si="59"/>
        <v>021</v>
      </c>
      <c r="G1245" s="2200">
        <f>--SUBTOTAL(3,C$2:C1245)</f>
        <v>67</v>
      </c>
    </row>
    <row r="1246" spans="1:7" hidden="1" x14ac:dyDescent="0.15">
      <c r="A1246" s="2200" t="s">
        <v>4280</v>
      </c>
      <c r="B1246" s="2200" t="s">
        <v>6769</v>
      </c>
      <c r="C1246" s="2200" t="s">
        <v>6770</v>
      </c>
      <c r="D1246" s="2200" t="str">
        <f t="shared" si="57"/>
        <v>MI</v>
      </c>
      <c r="E1246" s="2200" t="str">
        <f t="shared" si="58"/>
        <v>26</v>
      </c>
      <c r="F1246" s="2200" t="str">
        <f t="shared" si="59"/>
        <v>023</v>
      </c>
      <c r="G1246" s="2200">
        <f>--SUBTOTAL(3,C$2:C1246)</f>
        <v>67</v>
      </c>
    </row>
    <row r="1247" spans="1:7" hidden="1" x14ac:dyDescent="0.15">
      <c r="A1247" s="2200" t="s">
        <v>4280</v>
      </c>
      <c r="B1247" s="2200" t="s">
        <v>6771</v>
      </c>
      <c r="C1247" s="2200" t="s">
        <v>6772</v>
      </c>
      <c r="D1247" s="2200" t="str">
        <f t="shared" si="57"/>
        <v>MI</v>
      </c>
      <c r="E1247" s="2200" t="str">
        <f t="shared" si="58"/>
        <v>26</v>
      </c>
      <c r="F1247" s="2200" t="str">
        <f t="shared" si="59"/>
        <v>025</v>
      </c>
      <c r="G1247" s="2200">
        <f>--SUBTOTAL(3,C$2:C1247)</f>
        <v>67</v>
      </c>
    </row>
    <row r="1248" spans="1:7" hidden="1" x14ac:dyDescent="0.15">
      <c r="A1248" s="2200" t="s">
        <v>4280</v>
      </c>
      <c r="B1248" s="2200" t="s">
        <v>6773</v>
      </c>
      <c r="C1248" s="2200" t="s">
        <v>6774</v>
      </c>
      <c r="D1248" s="2200" t="str">
        <f t="shared" si="57"/>
        <v>MI</v>
      </c>
      <c r="E1248" s="2200" t="str">
        <f t="shared" si="58"/>
        <v>26</v>
      </c>
      <c r="F1248" s="2200" t="str">
        <f t="shared" si="59"/>
        <v>027</v>
      </c>
      <c r="G1248" s="2200">
        <f>--SUBTOTAL(3,C$2:C1248)</f>
        <v>67</v>
      </c>
    </row>
    <row r="1249" spans="1:7" hidden="1" x14ac:dyDescent="0.15">
      <c r="A1249" s="2200" t="s">
        <v>4280</v>
      </c>
      <c r="B1249" s="2200" t="s">
        <v>6775</v>
      </c>
      <c r="C1249" s="2200" t="s">
        <v>6776</v>
      </c>
      <c r="D1249" s="2200" t="str">
        <f t="shared" si="57"/>
        <v>MI</v>
      </c>
      <c r="E1249" s="2200" t="str">
        <f t="shared" si="58"/>
        <v>26</v>
      </c>
      <c r="F1249" s="2200" t="str">
        <f t="shared" si="59"/>
        <v>029</v>
      </c>
      <c r="G1249" s="2200">
        <f>--SUBTOTAL(3,C$2:C1249)</f>
        <v>67</v>
      </c>
    </row>
    <row r="1250" spans="1:7" hidden="1" x14ac:dyDescent="0.15">
      <c r="A1250" s="2200" t="s">
        <v>4280</v>
      </c>
      <c r="B1250" s="2200" t="s">
        <v>6777</v>
      </c>
      <c r="C1250" s="2200" t="s">
        <v>6778</v>
      </c>
      <c r="D1250" s="2200" t="str">
        <f t="shared" si="57"/>
        <v>MI</v>
      </c>
      <c r="E1250" s="2200" t="str">
        <f t="shared" si="58"/>
        <v>26</v>
      </c>
      <c r="F1250" s="2200" t="str">
        <f t="shared" si="59"/>
        <v>031</v>
      </c>
      <c r="G1250" s="2200">
        <f>--SUBTOTAL(3,C$2:C1250)</f>
        <v>67</v>
      </c>
    </row>
    <row r="1251" spans="1:7" hidden="1" x14ac:dyDescent="0.15">
      <c r="A1251" s="2200" t="s">
        <v>4280</v>
      </c>
      <c r="B1251" s="2200" t="s">
        <v>6779</v>
      </c>
      <c r="C1251" s="2200" t="s">
        <v>6780</v>
      </c>
      <c r="D1251" s="2200" t="str">
        <f t="shared" si="57"/>
        <v>MI</v>
      </c>
      <c r="E1251" s="2200" t="str">
        <f t="shared" si="58"/>
        <v>26</v>
      </c>
      <c r="F1251" s="2200" t="str">
        <f t="shared" si="59"/>
        <v>033</v>
      </c>
      <c r="G1251" s="2200">
        <f>--SUBTOTAL(3,C$2:C1251)</f>
        <v>67</v>
      </c>
    </row>
    <row r="1252" spans="1:7" hidden="1" x14ac:dyDescent="0.15">
      <c r="A1252" s="2200" t="s">
        <v>4280</v>
      </c>
      <c r="B1252" s="2200" t="s">
        <v>6781</v>
      </c>
      <c r="C1252" s="2200" t="s">
        <v>6782</v>
      </c>
      <c r="D1252" s="2200" t="str">
        <f t="shared" si="57"/>
        <v>MI</v>
      </c>
      <c r="E1252" s="2200" t="str">
        <f t="shared" si="58"/>
        <v>26</v>
      </c>
      <c r="F1252" s="2200" t="str">
        <f t="shared" si="59"/>
        <v>035</v>
      </c>
      <c r="G1252" s="2200">
        <f>--SUBTOTAL(3,C$2:C1252)</f>
        <v>67</v>
      </c>
    </row>
    <row r="1253" spans="1:7" hidden="1" x14ac:dyDescent="0.15">
      <c r="A1253" s="2200" t="s">
        <v>4280</v>
      </c>
      <c r="B1253" s="2200" t="s">
        <v>6783</v>
      </c>
      <c r="C1253" s="2200" t="s">
        <v>6784</v>
      </c>
      <c r="D1253" s="2200" t="str">
        <f t="shared" si="57"/>
        <v>MI</v>
      </c>
      <c r="E1253" s="2200" t="str">
        <f t="shared" si="58"/>
        <v>26</v>
      </c>
      <c r="F1253" s="2200" t="str">
        <f t="shared" si="59"/>
        <v>037</v>
      </c>
      <c r="G1253" s="2200">
        <f>--SUBTOTAL(3,C$2:C1253)</f>
        <v>67</v>
      </c>
    </row>
    <row r="1254" spans="1:7" hidden="1" x14ac:dyDescent="0.15">
      <c r="A1254" s="2200" t="s">
        <v>4280</v>
      </c>
      <c r="B1254" s="2200" t="s">
        <v>6785</v>
      </c>
      <c r="C1254" s="2200" t="s">
        <v>6786</v>
      </c>
      <c r="D1254" s="2200" t="str">
        <f t="shared" si="57"/>
        <v>MI</v>
      </c>
      <c r="E1254" s="2200" t="str">
        <f t="shared" si="58"/>
        <v>26</v>
      </c>
      <c r="F1254" s="2200" t="str">
        <f t="shared" si="59"/>
        <v>039</v>
      </c>
      <c r="G1254" s="2200">
        <f>--SUBTOTAL(3,C$2:C1254)</f>
        <v>67</v>
      </c>
    </row>
    <row r="1255" spans="1:7" hidden="1" x14ac:dyDescent="0.15">
      <c r="A1255" s="2200" t="s">
        <v>4280</v>
      </c>
      <c r="B1255" s="2200" t="s">
        <v>6787</v>
      </c>
      <c r="C1255" s="2200" t="s">
        <v>6788</v>
      </c>
      <c r="D1255" s="2200" t="str">
        <f t="shared" si="57"/>
        <v>MI</v>
      </c>
      <c r="E1255" s="2200" t="str">
        <f t="shared" si="58"/>
        <v>26</v>
      </c>
      <c r="F1255" s="2200" t="str">
        <f t="shared" si="59"/>
        <v>041</v>
      </c>
      <c r="G1255" s="2200">
        <f>--SUBTOTAL(3,C$2:C1255)</f>
        <v>67</v>
      </c>
    </row>
    <row r="1256" spans="1:7" hidden="1" x14ac:dyDescent="0.15">
      <c r="A1256" s="2200" t="s">
        <v>4280</v>
      </c>
      <c r="B1256" s="2200" t="s">
        <v>6789</v>
      </c>
      <c r="C1256" s="2200" t="s">
        <v>6790</v>
      </c>
      <c r="D1256" s="2200" t="str">
        <f t="shared" si="57"/>
        <v>MI</v>
      </c>
      <c r="E1256" s="2200" t="str">
        <f t="shared" si="58"/>
        <v>26</v>
      </c>
      <c r="F1256" s="2200" t="str">
        <f t="shared" si="59"/>
        <v>043</v>
      </c>
      <c r="G1256" s="2200">
        <f>--SUBTOTAL(3,C$2:C1256)</f>
        <v>67</v>
      </c>
    </row>
    <row r="1257" spans="1:7" hidden="1" x14ac:dyDescent="0.15">
      <c r="A1257" s="2200" t="s">
        <v>4280</v>
      </c>
      <c r="B1257" s="2200" t="s">
        <v>6791</v>
      </c>
      <c r="C1257" s="2200" t="s">
        <v>6792</v>
      </c>
      <c r="D1257" s="2200" t="str">
        <f t="shared" si="57"/>
        <v>MI</v>
      </c>
      <c r="E1257" s="2200" t="str">
        <f t="shared" si="58"/>
        <v>26</v>
      </c>
      <c r="F1257" s="2200" t="str">
        <f t="shared" si="59"/>
        <v>045</v>
      </c>
      <c r="G1257" s="2200">
        <f>--SUBTOTAL(3,C$2:C1257)</f>
        <v>67</v>
      </c>
    </row>
    <row r="1258" spans="1:7" hidden="1" x14ac:dyDescent="0.15">
      <c r="A1258" s="2200" t="s">
        <v>4280</v>
      </c>
      <c r="B1258" s="2200" t="s">
        <v>6793</v>
      </c>
      <c r="C1258" s="2200" t="s">
        <v>6794</v>
      </c>
      <c r="D1258" s="2200" t="str">
        <f t="shared" si="57"/>
        <v>MI</v>
      </c>
      <c r="E1258" s="2200" t="str">
        <f t="shared" si="58"/>
        <v>26</v>
      </c>
      <c r="F1258" s="2200" t="str">
        <f t="shared" si="59"/>
        <v>047</v>
      </c>
      <c r="G1258" s="2200">
        <f>--SUBTOTAL(3,C$2:C1258)</f>
        <v>67</v>
      </c>
    </row>
    <row r="1259" spans="1:7" hidden="1" x14ac:dyDescent="0.15">
      <c r="A1259" s="2200" t="s">
        <v>4280</v>
      </c>
      <c r="B1259" s="2200" t="s">
        <v>6795</v>
      </c>
      <c r="C1259" s="2200" t="s">
        <v>6796</v>
      </c>
      <c r="D1259" s="2200" t="str">
        <f t="shared" si="57"/>
        <v>MI</v>
      </c>
      <c r="E1259" s="2200" t="str">
        <f t="shared" si="58"/>
        <v>26</v>
      </c>
      <c r="F1259" s="2200" t="str">
        <f t="shared" si="59"/>
        <v>049</v>
      </c>
      <c r="G1259" s="2200">
        <f>--SUBTOTAL(3,C$2:C1259)</f>
        <v>67</v>
      </c>
    </row>
    <row r="1260" spans="1:7" hidden="1" x14ac:dyDescent="0.15">
      <c r="A1260" s="2200" t="s">
        <v>4280</v>
      </c>
      <c r="B1260" s="2200" t="s">
        <v>6797</v>
      </c>
      <c r="C1260" s="2200" t="s">
        <v>6798</v>
      </c>
      <c r="D1260" s="2200" t="str">
        <f t="shared" si="57"/>
        <v>MI</v>
      </c>
      <c r="E1260" s="2200" t="str">
        <f t="shared" si="58"/>
        <v>26</v>
      </c>
      <c r="F1260" s="2200" t="str">
        <f t="shared" si="59"/>
        <v>051</v>
      </c>
      <c r="G1260" s="2200">
        <f>--SUBTOTAL(3,C$2:C1260)</f>
        <v>67</v>
      </c>
    </row>
    <row r="1261" spans="1:7" hidden="1" x14ac:dyDescent="0.15">
      <c r="A1261" s="2200" t="s">
        <v>4280</v>
      </c>
      <c r="B1261" s="2200" t="s">
        <v>6799</v>
      </c>
      <c r="C1261" s="2200" t="s">
        <v>6800</v>
      </c>
      <c r="D1261" s="2200" t="str">
        <f t="shared" si="57"/>
        <v>MI</v>
      </c>
      <c r="E1261" s="2200" t="str">
        <f t="shared" si="58"/>
        <v>26</v>
      </c>
      <c r="F1261" s="2200" t="str">
        <f t="shared" si="59"/>
        <v>053</v>
      </c>
      <c r="G1261" s="2200">
        <f>--SUBTOTAL(3,C$2:C1261)</f>
        <v>67</v>
      </c>
    </row>
    <row r="1262" spans="1:7" hidden="1" x14ac:dyDescent="0.15">
      <c r="A1262" s="2200" t="s">
        <v>4280</v>
      </c>
      <c r="B1262" s="2200" t="s">
        <v>6801</v>
      </c>
      <c r="C1262" s="2200" t="s">
        <v>6802</v>
      </c>
      <c r="D1262" s="2200" t="str">
        <f t="shared" si="57"/>
        <v>MI</v>
      </c>
      <c r="E1262" s="2200" t="str">
        <f t="shared" si="58"/>
        <v>26</v>
      </c>
      <c r="F1262" s="2200" t="str">
        <f t="shared" si="59"/>
        <v>055</v>
      </c>
      <c r="G1262" s="2200">
        <f>--SUBTOTAL(3,C$2:C1262)</f>
        <v>67</v>
      </c>
    </row>
    <row r="1263" spans="1:7" hidden="1" x14ac:dyDescent="0.15">
      <c r="A1263" s="2200" t="s">
        <v>4280</v>
      </c>
      <c r="B1263" s="2200" t="s">
        <v>6803</v>
      </c>
      <c r="C1263" s="2200" t="s">
        <v>6804</v>
      </c>
      <c r="D1263" s="2200" t="str">
        <f t="shared" si="57"/>
        <v>MI</v>
      </c>
      <c r="E1263" s="2200" t="str">
        <f t="shared" si="58"/>
        <v>26</v>
      </c>
      <c r="F1263" s="2200" t="str">
        <f t="shared" si="59"/>
        <v>057</v>
      </c>
      <c r="G1263" s="2200">
        <f>--SUBTOTAL(3,C$2:C1263)</f>
        <v>67</v>
      </c>
    </row>
    <row r="1264" spans="1:7" hidden="1" x14ac:dyDescent="0.15">
      <c r="A1264" s="2200" t="s">
        <v>4280</v>
      </c>
      <c r="B1264" s="2200" t="s">
        <v>6805</v>
      </c>
      <c r="C1264" s="2200" t="s">
        <v>6806</v>
      </c>
      <c r="D1264" s="2200" t="str">
        <f t="shared" si="57"/>
        <v>MI</v>
      </c>
      <c r="E1264" s="2200" t="str">
        <f t="shared" si="58"/>
        <v>26</v>
      </c>
      <c r="F1264" s="2200" t="str">
        <f t="shared" si="59"/>
        <v>059</v>
      </c>
      <c r="G1264" s="2200">
        <f>--SUBTOTAL(3,C$2:C1264)</f>
        <v>67</v>
      </c>
    </row>
    <row r="1265" spans="1:7" hidden="1" x14ac:dyDescent="0.15">
      <c r="A1265" s="2200" t="s">
        <v>4280</v>
      </c>
      <c r="B1265" s="2200" t="s">
        <v>6807</v>
      </c>
      <c r="C1265" s="2200" t="s">
        <v>6808</v>
      </c>
      <c r="D1265" s="2200" t="str">
        <f t="shared" si="57"/>
        <v>MI</v>
      </c>
      <c r="E1265" s="2200" t="str">
        <f t="shared" si="58"/>
        <v>26</v>
      </c>
      <c r="F1265" s="2200" t="str">
        <f t="shared" si="59"/>
        <v>061</v>
      </c>
      <c r="G1265" s="2200">
        <f>--SUBTOTAL(3,C$2:C1265)</f>
        <v>67</v>
      </c>
    </row>
    <row r="1266" spans="1:7" hidden="1" x14ac:dyDescent="0.15">
      <c r="A1266" s="2200" t="s">
        <v>4280</v>
      </c>
      <c r="B1266" s="2200" t="s">
        <v>6809</v>
      </c>
      <c r="C1266" s="2200" t="s">
        <v>6810</v>
      </c>
      <c r="D1266" s="2200" t="str">
        <f t="shared" si="57"/>
        <v>MI</v>
      </c>
      <c r="E1266" s="2200" t="str">
        <f t="shared" si="58"/>
        <v>26</v>
      </c>
      <c r="F1266" s="2200" t="str">
        <f t="shared" si="59"/>
        <v>063</v>
      </c>
      <c r="G1266" s="2200">
        <f>--SUBTOTAL(3,C$2:C1266)</f>
        <v>67</v>
      </c>
    </row>
    <row r="1267" spans="1:7" hidden="1" x14ac:dyDescent="0.15">
      <c r="A1267" s="2200" t="s">
        <v>4280</v>
      </c>
      <c r="B1267" s="2200" t="s">
        <v>6811</v>
      </c>
      <c r="C1267" s="2200" t="s">
        <v>6812</v>
      </c>
      <c r="D1267" s="2200" t="str">
        <f t="shared" si="57"/>
        <v>MI</v>
      </c>
      <c r="E1267" s="2200" t="str">
        <f t="shared" si="58"/>
        <v>26</v>
      </c>
      <c r="F1267" s="2200" t="str">
        <f t="shared" si="59"/>
        <v>065</v>
      </c>
      <c r="G1267" s="2200">
        <f>--SUBTOTAL(3,C$2:C1267)</f>
        <v>67</v>
      </c>
    </row>
    <row r="1268" spans="1:7" hidden="1" x14ac:dyDescent="0.15">
      <c r="A1268" s="2200" t="s">
        <v>4280</v>
      </c>
      <c r="B1268" s="2200" t="s">
        <v>6813</v>
      </c>
      <c r="C1268" s="2200" t="s">
        <v>6814</v>
      </c>
      <c r="D1268" s="2200" t="str">
        <f t="shared" si="57"/>
        <v>MI</v>
      </c>
      <c r="E1268" s="2200" t="str">
        <f t="shared" si="58"/>
        <v>26</v>
      </c>
      <c r="F1268" s="2200" t="str">
        <f t="shared" si="59"/>
        <v>067</v>
      </c>
      <c r="G1268" s="2200">
        <f>--SUBTOTAL(3,C$2:C1268)</f>
        <v>67</v>
      </c>
    </row>
    <row r="1269" spans="1:7" hidden="1" x14ac:dyDescent="0.15">
      <c r="A1269" s="2200" t="s">
        <v>4280</v>
      </c>
      <c r="B1269" s="2200" t="s">
        <v>6815</v>
      </c>
      <c r="C1269" s="2200" t="s">
        <v>6816</v>
      </c>
      <c r="D1269" s="2200" t="str">
        <f t="shared" si="57"/>
        <v>MI</v>
      </c>
      <c r="E1269" s="2200" t="str">
        <f t="shared" si="58"/>
        <v>26</v>
      </c>
      <c r="F1269" s="2200" t="str">
        <f t="shared" si="59"/>
        <v>069</v>
      </c>
      <c r="G1269" s="2200">
        <f>--SUBTOTAL(3,C$2:C1269)</f>
        <v>67</v>
      </c>
    </row>
    <row r="1270" spans="1:7" hidden="1" x14ac:dyDescent="0.15">
      <c r="A1270" s="2200" t="s">
        <v>4280</v>
      </c>
      <c r="B1270" s="2200" t="s">
        <v>6817</v>
      </c>
      <c r="C1270" s="2200" t="s">
        <v>6818</v>
      </c>
      <c r="D1270" s="2200" t="str">
        <f t="shared" si="57"/>
        <v>MI</v>
      </c>
      <c r="E1270" s="2200" t="str">
        <f t="shared" si="58"/>
        <v>26</v>
      </c>
      <c r="F1270" s="2200" t="str">
        <f t="shared" si="59"/>
        <v>071</v>
      </c>
      <c r="G1270" s="2200">
        <f>--SUBTOTAL(3,C$2:C1270)</f>
        <v>67</v>
      </c>
    </row>
    <row r="1271" spans="1:7" hidden="1" x14ac:dyDescent="0.15">
      <c r="A1271" s="2200" t="s">
        <v>4280</v>
      </c>
      <c r="B1271" s="2200" t="s">
        <v>6819</v>
      </c>
      <c r="C1271" s="2200" t="s">
        <v>6820</v>
      </c>
      <c r="D1271" s="2200" t="str">
        <f t="shared" si="57"/>
        <v>MI</v>
      </c>
      <c r="E1271" s="2200" t="str">
        <f t="shared" si="58"/>
        <v>26</v>
      </c>
      <c r="F1271" s="2200" t="str">
        <f t="shared" si="59"/>
        <v>073</v>
      </c>
      <c r="G1271" s="2200">
        <f>--SUBTOTAL(3,C$2:C1271)</f>
        <v>67</v>
      </c>
    </row>
    <row r="1272" spans="1:7" hidden="1" x14ac:dyDescent="0.15">
      <c r="A1272" s="2200" t="s">
        <v>4280</v>
      </c>
      <c r="B1272" s="2200" t="s">
        <v>6821</v>
      </c>
      <c r="C1272" s="2200" t="s">
        <v>6822</v>
      </c>
      <c r="D1272" s="2200" t="str">
        <f t="shared" si="57"/>
        <v>MI</v>
      </c>
      <c r="E1272" s="2200" t="str">
        <f t="shared" si="58"/>
        <v>26</v>
      </c>
      <c r="F1272" s="2200" t="str">
        <f t="shared" si="59"/>
        <v>075</v>
      </c>
      <c r="G1272" s="2200">
        <f>--SUBTOTAL(3,C$2:C1272)</f>
        <v>67</v>
      </c>
    </row>
    <row r="1273" spans="1:7" hidden="1" x14ac:dyDescent="0.15">
      <c r="A1273" s="2200" t="s">
        <v>4280</v>
      </c>
      <c r="B1273" s="2200" t="s">
        <v>6823</v>
      </c>
      <c r="C1273" s="2200" t="s">
        <v>6824</v>
      </c>
      <c r="D1273" s="2200" t="str">
        <f t="shared" si="57"/>
        <v>MI</v>
      </c>
      <c r="E1273" s="2200" t="str">
        <f t="shared" si="58"/>
        <v>26</v>
      </c>
      <c r="F1273" s="2200" t="str">
        <f t="shared" si="59"/>
        <v>077</v>
      </c>
      <c r="G1273" s="2200">
        <f>--SUBTOTAL(3,C$2:C1273)</f>
        <v>67</v>
      </c>
    </row>
    <row r="1274" spans="1:7" hidden="1" x14ac:dyDescent="0.15">
      <c r="A1274" s="2200" t="s">
        <v>4280</v>
      </c>
      <c r="B1274" s="2200" t="s">
        <v>6825</v>
      </c>
      <c r="C1274" s="2200" t="s">
        <v>6826</v>
      </c>
      <c r="D1274" s="2200" t="str">
        <f t="shared" si="57"/>
        <v>MI</v>
      </c>
      <c r="E1274" s="2200" t="str">
        <f t="shared" si="58"/>
        <v>26</v>
      </c>
      <c r="F1274" s="2200" t="str">
        <f t="shared" si="59"/>
        <v>079</v>
      </c>
      <c r="G1274" s="2200">
        <f>--SUBTOTAL(3,C$2:C1274)</f>
        <v>67</v>
      </c>
    </row>
    <row r="1275" spans="1:7" hidden="1" x14ac:dyDescent="0.15">
      <c r="A1275" s="2200" t="s">
        <v>4280</v>
      </c>
      <c r="B1275" s="2200" t="s">
        <v>6827</v>
      </c>
      <c r="C1275" s="2200" t="s">
        <v>6828</v>
      </c>
      <c r="D1275" s="2200" t="str">
        <f t="shared" si="57"/>
        <v>MI</v>
      </c>
      <c r="E1275" s="2200" t="str">
        <f t="shared" si="58"/>
        <v>26</v>
      </c>
      <c r="F1275" s="2200" t="str">
        <f t="shared" si="59"/>
        <v>081</v>
      </c>
      <c r="G1275" s="2200">
        <f>--SUBTOTAL(3,C$2:C1275)</f>
        <v>67</v>
      </c>
    </row>
    <row r="1276" spans="1:7" hidden="1" x14ac:dyDescent="0.15">
      <c r="A1276" s="2200" t="s">
        <v>4280</v>
      </c>
      <c r="B1276" s="2200" t="s">
        <v>6829</v>
      </c>
      <c r="C1276" s="2200" t="s">
        <v>6830</v>
      </c>
      <c r="D1276" s="2200" t="str">
        <f t="shared" si="57"/>
        <v>MI</v>
      </c>
      <c r="E1276" s="2200" t="str">
        <f t="shared" si="58"/>
        <v>26</v>
      </c>
      <c r="F1276" s="2200" t="str">
        <f t="shared" si="59"/>
        <v>083</v>
      </c>
      <c r="G1276" s="2200">
        <f>--SUBTOTAL(3,C$2:C1276)</f>
        <v>67</v>
      </c>
    </row>
    <row r="1277" spans="1:7" hidden="1" x14ac:dyDescent="0.15">
      <c r="A1277" s="2200" t="s">
        <v>4280</v>
      </c>
      <c r="B1277" s="2200" t="s">
        <v>6831</v>
      </c>
      <c r="C1277" s="2200" t="s">
        <v>6832</v>
      </c>
      <c r="D1277" s="2200" t="str">
        <f t="shared" si="57"/>
        <v>MI</v>
      </c>
      <c r="E1277" s="2200" t="str">
        <f t="shared" si="58"/>
        <v>26</v>
      </c>
      <c r="F1277" s="2200" t="str">
        <f t="shared" si="59"/>
        <v>085</v>
      </c>
      <c r="G1277" s="2200">
        <f>--SUBTOTAL(3,C$2:C1277)</f>
        <v>67</v>
      </c>
    </row>
    <row r="1278" spans="1:7" hidden="1" x14ac:dyDescent="0.15">
      <c r="A1278" s="2200" t="s">
        <v>4280</v>
      </c>
      <c r="B1278" s="2200" t="s">
        <v>6833</v>
      </c>
      <c r="C1278" s="2200" t="s">
        <v>6834</v>
      </c>
      <c r="D1278" s="2200" t="str">
        <f t="shared" si="57"/>
        <v>MI</v>
      </c>
      <c r="E1278" s="2200" t="str">
        <f t="shared" si="58"/>
        <v>26</v>
      </c>
      <c r="F1278" s="2200" t="str">
        <f t="shared" si="59"/>
        <v>087</v>
      </c>
      <c r="G1278" s="2200">
        <f>--SUBTOTAL(3,C$2:C1278)</f>
        <v>67</v>
      </c>
    </row>
    <row r="1279" spans="1:7" hidden="1" x14ac:dyDescent="0.15">
      <c r="A1279" s="2200" t="s">
        <v>4280</v>
      </c>
      <c r="B1279" s="2200" t="s">
        <v>6835</v>
      </c>
      <c r="C1279" s="2200" t="s">
        <v>6836</v>
      </c>
      <c r="D1279" s="2200" t="str">
        <f t="shared" si="57"/>
        <v>MI</v>
      </c>
      <c r="E1279" s="2200" t="str">
        <f t="shared" si="58"/>
        <v>26</v>
      </c>
      <c r="F1279" s="2200" t="str">
        <f t="shared" si="59"/>
        <v>089</v>
      </c>
      <c r="G1279" s="2200">
        <f>--SUBTOTAL(3,C$2:C1279)</f>
        <v>67</v>
      </c>
    </row>
    <row r="1280" spans="1:7" hidden="1" x14ac:dyDescent="0.15">
      <c r="A1280" s="2200" t="s">
        <v>4280</v>
      </c>
      <c r="B1280" s="2200" t="s">
        <v>6837</v>
      </c>
      <c r="C1280" s="2200" t="s">
        <v>6838</v>
      </c>
      <c r="D1280" s="2200" t="str">
        <f t="shared" si="57"/>
        <v>MI</v>
      </c>
      <c r="E1280" s="2200" t="str">
        <f t="shared" si="58"/>
        <v>26</v>
      </c>
      <c r="F1280" s="2200" t="str">
        <f t="shared" si="59"/>
        <v>091</v>
      </c>
      <c r="G1280" s="2200">
        <f>--SUBTOTAL(3,C$2:C1280)</f>
        <v>67</v>
      </c>
    </row>
    <row r="1281" spans="1:7" hidden="1" x14ac:dyDescent="0.15">
      <c r="A1281" s="2200" t="s">
        <v>4280</v>
      </c>
      <c r="B1281" s="2200" t="s">
        <v>6839</v>
      </c>
      <c r="C1281" s="2200" t="s">
        <v>6840</v>
      </c>
      <c r="D1281" s="2200" t="str">
        <f t="shared" si="57"/>
        <v>MI</v>
      </c>
      <c r="E1281" s="2200" t="str">
        <f t="shared" si="58"/>
        <v>26</v>
      </c>
      <c r="F1281" s="2200" t="str">
        <f t="shared" si="59"/>
        <v>093</v>
      </c>
      <c r="G1281" s="2200">
        <f>--SUBTOTAL(3,C$2:C1281)</f>
        <v>67</v>
      </c>
    </row>
    <row r="1282" spans="1:7" hidden="1" x14ac:dyDescent="0.15">
      <c r="A1282" s="2200" t="s">
        <v>4280</v>
      </c>
      <c r="B1282" s="2200" t="s">
        <v>6841</v>
      </c>
      <c r="C1282" s="2200" t="s">
        <v>6842</v>
      </c>
      <c r="D1282" s="2200" t="str">
        <f t="shared" si="57"/>
        <v>MI</v>
      </c>
      <c r="E1282" s="2200" t="str">
        <f t="shared" si="58"/>
        <v>26</v>
      </c>
      <c r="F1282" s="2200" t="str">
        <f t="shared" si="59"/>
        <v>095</v>
      </c>
      <c r="G1282" s="2200">
        <f>--SUBTOTAL(3,C$2:C1282)</f>
        <v>67</v>
      </c>
    </row>
    <row r="1283" spans="1:7" hidden="1" x14ac:dyDescent="0.15">
      <c r="A1283" s="2200" t="s">
        <v>4280</v>
      </c>
      <c r="B1283" s="2200" t="s">
        <v>6843</v>
      </c>
      <c r="C1283" s="2200" t="s">
        <v>6844</v>
      </c>
      <c r="D1283" s="2200" t="str">
        <f t="shared" ref="D1283:D1346" si="60">RIGHT(C1283,2)</f>
        <v>MI</v>
      </c>
      <c r="E1283" s="2200" t="str">
        <f t="shared" ref="E1283:E1346" si="61">MID(B1283,3,2)</f>
        <v>26</v>
      </c>
      <c r="F1283" s="2200" t="str">
        <f t="shared" ref="F1283:F1346" si="62">MID(B1283,5,3)</f>
        <v>097</v>
      </c>
      <c r="G1283" s="2200">
        <f>--SUBTOTAL(3,C$2:C1283)</f>
        <v>67</v>
      </c>
    </row>
    <row r="1284" spans="1:7" hidden="1" x14ac:dyDescent="0.15">
      <c r="A1284" s="2200" t="s">
        <v>4280</v>
      </c>
      <c r="B1284" s="2200" t="s">
        <v>6845</v>
      </c>
      <c r="C1284" s="2200" t="s">
        <v>6846</v>
      </c>
      <c r="D1284" s="2200" t="str">
        <f t="shared" si="60"/>
        <v>MI</v>
      </c>
      <c r="E1284" s="2200" t="str">
        <f t="shared" si="61"/>
        <v>26</v>
      </c>
      <c r="F1284" s="2200" t="str">
        <f t="shared" si="62"/>
        <v>099</v>
      </c>
      <c r="G1284" s="2200">
        <f>--SUBTOTAL(3,C$2:C1284)</f>
        <v>67</v>
      </c>
    </row>
    <row r="1285" spans="1:7" hidden="1" x14ac:dyDescent="0.15">
      <c r="A1285" s="2200" t="s">
        <v>4280</v>
      </c>
      <c r="B1285" s="2200" t="s">
        <v>6847</v>
      </c>
      <c r="C1285" s="2200" t="s">
        <v>6848</v>
      </c>
      <c r="D1285" s="2200" t="str">
        <f t="shared" si="60"/>
        <v>MI</v>
      </c>
      <c r="E1285" s="2200" t="str">
        <f t="shared" si="61"/>
        <v>26</v>
      </c>
      <c r="F1285" s="2200" t="str">
        <f t="shared" si="62"/>
        <v>101</v>
      </c>
      <c r="G1285" s="2200">
        <f>--SUBTOTAL(3,C$2:C1285)</f>
        <v>67</v>
      </c>
    </row>
    <row r="1286" spans="1:7" hidden="1" x14ac:dyDescent="0.15">
      <c r="A1286" s="2200" t="s">
        <v>4280</v>
      </c>
      <c r="B1286" s="2200" t="s">
        <v>6849</v>
      </c>
      <c r="C1286" s="2200" t="s">
        <v>6850</v>
      </c>
      <c r="D1286" s="2200" t="str">
        <f t="shared" si="60"/>
        <v>MI</v>
      </c>
      <c r="E1286" s="2200" t="str">
        <f t="shared" si="61"/>
        <v>26</v>
      </c>
      <c r="F1286" s="2200" t="str">
        <f t="shared" si="62"/>
        <v>103</v>
      </c>
      <c r="G1286" s="2200">
        <f>--SUBTOTAL(3,C$2:C1286)</f>
        <v>67</v>
      </c>
    </row>
    <row r="1287" spans="1:7" hidden="1" x14ac:dyDescent="0.15">
      <c r="A1287" s="2200" t="s">
        <v>4280</v>
      </c>
      <c r="B1287" s="2200" t="s">
        <v>6851</v>
      </c>
      <c r="C1287" s="2200" t="s">
        <v>6852</v>
      </c>
      <c r="D1287" s="2200" t="str">
        <f t="shared" si="60"/>
        <v>MI</v>
      </c>
      <c r="E1287" s="2200" t="str">
        <f t="shared" si="61"/>
        <v>26</v>
      </c>
      <c r="F1287" s="2200" t="str">
        <f t="shared" si="62"/>
        <v>105</v>
      </c>
      <c r="G1287" s="2200">
        <f>--SUBTOTAL(3,C$2:C1287)</f>
        <v>67</v>
      </c>
    </row>
    <row r="1288" spans="1:7" hidden="1" x14ac:dyDescent="0.15">
      <c r="A1288" s="2200" t="s">
        <v>4280</v>
      </c>
      <c r="B1288" s="2200" t="s">
        <v>6853</v>
      </c>
      <c r="C1288" s="2200" t="s">
        <v>6854</v>
      </c>
      <c r="D1288" s="2200" t="str">
        <f t="shared" si="60"/>
        <v>MI</v>
      </c>
      <c r="E1288" s="2200" t="str">
        <f t="shared" si="61"/>
        <v>26</v>
      </c>
      <c r="F1288" s="2200" t="str">
        <f t="shared" si="62"/>
        <v>107</v>
      </c>
      <c r="G1288" s="2200">
        <f>--SUBTOTAL(3,C$2:C1288)</f>
        <v>67</v>
      </c>
    </row>
    <row r="1289" spans="1:7" hidden="1" x14ac:dyDescent="0.15">
      <c r="A1289" s="2200" t="s">
        <v>4280</v>
      </c>
      <c r="B1289" s="2200" t="s">
        <v>6855</v>
      </c>
      <c r="C1289" s="2200" t="s">
        <v>6856</v>
      </c>
      <c r="D1289" s="2200" t="str">
        <f t="shared" si="60"/>
        <v>MI</v>
      </c>
      <c r="E1289" s="2200" t="str">
        <f t="shared" si="61"/>
        <v>26</v>
      </c>
      <c r="F1289" s="2200" t="str">
        <f t="shared" si="62"/>
        <v>109</v>
      </c>
      <c r="G1289" s="2200">
        <f>--SUBTOTAL(3,C$2:C1289)</f>
        <v>67</v>
      </c>
    </row>
    <row r="1290" spans="1:7" hidden="1" x14ac:dyDescent="0.15">
      <c r="A1290" s="2200" t="s">
        <v>4280</v>
      </c>
      <c r="B1290" s="2200" t="s">
        <v>6857</v>
      </c>
      <c r="C1290" s="2200" t="s">
        <v>6858</v>
      </c>
      <c r="D1290" s="2200" t="str">
        <f t="shared" si="60"/>
        <v>MI</v>
      </c>
      <c r="E1290" s="2200" t="str">
        <f t="shared" si="61"/>
        <v>26</v>
      </c>
      <c r="F1290" s="2200" t="str">
        <f t="shared" si="62"/>
        <v>111</v>
      </c>
      <c r="G1290" s="2200">
        <f>--SUBTOTAL(3,C$2:C1290)</f>
        <v>67</v>
      </c>
    </row>
    <row r="1291" spans="1:7" hidden="1" x14ac:dyDescent="0.15">
      <c r="A1291" s="2200" t="s">
        <v>4280</v>
      </c>
      <c r="B1291" s="2200" t="s">
        <v>6859</v>
      </c>
      <c r="C1291" s="2200" t="s">
        <v>6860</v>
      </c>
      <c r="D1291" s="2200" t="str">
        <f t="shared" si="60"/>
        <v>MI</v>
      </c>
      <c r="E1291" s="2200" t="str">
        <f t="shared" si="61"/>
        <v>26</v>
      </c>
      <c r="F1291" s="2200" t="str">
        <f t="shared" si="62"/>
        <v>113</v>
      </c>
      <c r="G1291" s="2200">
        <f>--SUBTOTAL(3,C$2:C1291)</f>
        <v>67</v>
      </c>
    </row>
    <row r="1292" spans="1:7" hidden="1" x14ac:dyDescent="0.15">
      <c r="A1292" s="2200" t="s">
        <v>4280</v>
      </c>
      <c r="B1292" s="2200" t="s">
        <v>6861</v>
      </c>
      <c r="C1292" s="2200" t="s">
        <v>6862</v>
      </c>
      <c r="D1292" s="2200" t="str">
        <f t="shared" si="60"/>
        <v>MI</v>
      </c>
      <c r="E1292" s="2200" t="str">
        <f t="shared" si="61"/>
        <v>26</v>
      </c>
      <c r="F1292" s="2200" t="str">
        <f t="shared" si="62"/>
        <v>115</v>
      </c>
      <c r="G1292" s="2200">
        <f>--SUBTOTAL(3,C$2:C1292)</f>
        <v>67</v>
      </c>
    </row>
    <row r="1293" spans="1:7" hidden="1" x14ac:dyDescent="0.15">
      <c r="A1293" s="2200" t="s">
        <v>4280</v>
      </c>
      <c r="B1293" s="2200" t="s">
        <v>6863</v>
      </c>
      <c r="C1293" s="2200" t="s">
        <v>6864</v>
      </c>
      <c r="D1293" s="2200" t="str">
        <f t="shared" si="60"/>
        <v>MI</v>
      </c>
      <c r="E1293" s="2200" t="str">
        <f t="shared" si="61"/>
        <v>26</v>
      </c>
      <c r="F1293" s="2200" t="str">
        <f t="shared" si="62"/>
        <v>117</v>
      </c>
      <c r="G1293" s="2200">
        <f>--SUBTOTAL(3,C$2:C1293)</f>
        <v>67</v>
      </c>
    </row>
    <row r="1294" spans="1:7" hidden="1" x14ac:dyDescent="0.15">
      <c r="A1294" s="2200" t="s">
        <v>4280</v>
      </c>
      <c r="B1294" s="2200" t="s">
        <v>6865</v>
      </c>
      <c r="C1294" s="2200" t="s">
        <v>6866</v>
      </c>
      <c r="D1294" s="2200" t="str">
        <f t="shared" si="60"/>
        <v>MI</v>
      </c>
      <c r="E1294" s="2200" t="str">
        <f t="shared" si="61"/>
        <v>26</v>
      </c>
      <c r="F1294" s="2200" t="str">
        <f t="shared" si="62"/>
        <v>119</v>
      </c>
      <c r="G1294" s="2200">
        <f>--SUBTOTAL(3,C$2:C1294)</f>
        <v>67</v>
      </c>
    </row>
    <row r="1295" spans="1:7" hidden="1" x14ac:dyDescent="0.15">
      <c r="A1295" s="2200" t="s">
        <v>4280</v>
      </c>
      <c r="B1295" s="2200" t="s">
        <v>6867</v>
      </c>
      <c r="C1295" s="2200" t="s">
        <v>6868</v>
      </c>
      <c r="D1295" s="2200" t="str">
        <f t="shared" si="60"/>
        <v>MI</v>
      </c>
      <c r="E1295" s="2200" t="str">
        <f t="shared" si="61"/>
        <v>26</v>
      </c>
      <c r="F1295" s="2200" t="str">
        <f t="shared" si="62"/>
        <v>121</v>
      </c>
      <c r="G1295" s="2200">
        <f>--SUBTOTAL(3,C$2:C1295)</f>
        <v>67</v>
      </c>
    </row>
    <row r="1296" spans="1:7" hidden="1" x14ac:dyDescent="0.15">
      <c r="A1296" s="2200" t="s">
        <v>4280</v>
      </c>
      <c r="B1296" s="2200" t="s">
        <v>6869</v>
      </c>
      <c r="C1296" s="2200" t="s">
        <v>6870</v>
      </c>
      <c r="D1296" s="2200" t="str">
        <f t="shared" si="60"/>
        <v>MI</v>
      </c>
      <c r="E1296" s="2200" t="str">
        <f t="shared" si="61"/>
        <v>26</v>
      </c>
      <c r="F1296" s="2200" t="str">
        <f t="shared" si="62"/>
        <v>123</v>
      </c>
      <c r="G1296" s="2200">
        <f>--SUBTOTAL(3,C$2:C1296)</f>
        <v>67</v>
      </c>
    </row>
    <row r="1297" spans="1:7" hidden="1" x14ac:dyDescent="0.15">
      <c r="A1297" s="2200" t="s">
        <v>4280</v>
      </c>
      <c r="B1297" s="2200" t="s">
        <v>6871</v>
      </c>
      <c r="C1297" s="2200" t="s">
        <v>6872</v>
      </c>
      <c r="D1297" s="2200" t="str">
        <f t="shared" si="60"/>
        <v>MI</v>
      </c>
      <c r="E1297" s="2200" t="str">
        <f t="shared" si="61"/>
        <v>26</v>
      </c>
      <c r="F1297" s="2200" t="str">
        <f t="shared" si="62"/>
        <v>125</v>
      </c>
      <c r="G1297" s="2200">
        <f>--SUBTOTAL(3,C$2:C1297)</f>
        <v>67</v>
      </c>
    </row>
    <row r="1298" spans="1:7" hidden="1" x14ac:dyDescent="0.15">
      <c r="A1298" s="2200" t="s">
        <v>4280</v>
      </c>
      <c r="B1298" s="2200" t="s">
        <v>6873</v>
      </c>
      <c r="C1298" s="2200" t="s">
        <v>6874</v>
      </c>
      <c r="D1298" s="2200" t="str">
        <f t="shared" si="60"/>
        <v>MI</v>
      </c>
      <c r="E1298" s="2200" t="str">
        <f t="shared" si="61"/>
        <v>26</v>
      </c>
      <c r="F1298" s="2200" t="str">
        <f t="shared" si="62"/>
        <v>127</v>
      </c>
      <c r="G1298" s="2200">
        <f>--SUBTOTAL(3,C$2:C1298)</f>
        <v>67</v>
      </c>
    </row>
    <row r="1299" spans="1:7" hidden="1" x14ac:dyDescent="0.15">
      <c r="A1299" s="2200" t="s">
        <v>4280</v>
      </c>
      <c r="B1299" s="2200" t="s">
        <v>6875</v>
      </c>
      <c r="C1299" s="2200" t="s">
        <v>6876</v>
      </c>
      <c r="D1299" s="2200" t="str">
        <f t="shared" si="60"/>
        <v>MI</v>
      </c>
      <c r="E1299" s="2200" t="str">
        <f t="shared" si="61"/>
        <v>26</v>
      </c>
      <c r="F1299" s="2200" t="str">
        <f t="shared" si="62"/>
        <v>129</v>
      </c>
      <c r="G1299" s="2200">
        <f>--SUBTOTAL(3,C$2:C1299)</f>
        <v>67</v>
      </c>
    </row>
    <row r="1300" spans="1:7" hidden="1" x14ac:dyDescent="0.15">
      <c r="A1300" s="2200" t="s">
        <v>4280</v>
      </c>
      <c r="B1300" s="2200" t="s">
        <v>6877</v>
      </c>
      <c r="C1300" s="2200" t="s">
        <v>6878</v>
      </c>
      <c r="D1300" s="2200" t="str">
        <f t="shared" si="60"/>
        <v>MI</v>
      </c>
      <c r="E1300" s="2200" t="str">
        <f t="shared" si="61"/>
        <v>26</v>
      </c>
      <c r="F1300" s="2200" t="str">
        <f t="shared" si="62"/>
        <v>131</v>
      </c>
      <c r="G1300" s="2200">
        <f>--SUBTOTAL(3,C$2:C1300)</f>
        <v>67</v>
      </c>
    </row>
    <row r="1301" spans="1:7" hidden="1" x14ac:dyDescent="0.15">
      <c r="A1301" s="2200" t="s">
        <v>4280</v>
      </c>
      <c r="B1301" s="2200" t="s">
        <v>6879</v>
      </c>
      <c r="C1301" s="2200" t="s">
        <v>6880</v>
      </c>
      <c r="D1301" s="2200" t="str">
        <f t="shared" si="60"/>
        <v>MI</v>
      </c>
      <c r="E1301" s="2200" t="str">
        <f t="shared" si="61"/>
        <v>26</v>
      </c>
      <c r="F1301" s="2200" t="str">
        <f t="shared" si="62"/>
        <v>133</v>
      </c>
      <c r="G1301" s="2200">
        <f>--SUBTOTAL(3,C$2:C1301)</f>
        <v>67</v>
      </c>
    </row>
    <row r="1302" spans="1:7" hidden="1" x14ac:dyDescent="0.15">
      <c r="A1302" s="2200" t="s">
        <v>4280</v>
      </c>
      <c r="B1302" s="2200" t="s">
        <v>6881</v>
      </c>
      <c r="C1302" s="2200" t="s">
        <v>6882</v>
      </c>
      <c r="D1302" s="2200" t="str">
        <f t="shared" si="60"/>
        <v>MI</v>
      </c>
      <c r="E1302" s="2200" t="str">
        <f t="shared" si="61"/>
        <v>26</v>
      </c>
      <c r="F1302" s="2200" t="str">
        <f t="shared" si="62"/>
        <v>135</v>
      </c>
      <c r="G1302" s="2200">
        <f>--SUBTOTAL(3,C$2:C1302)</f>
        <v>67</v>
      </c>
    </row>
    <row r="1303" spans="1:7" hidden="1" x14ac:dyDescent="0.15">
      <c r="A1303" s="2200" t="s">
        <v>4280</v>
      </c>
      <c r="B1303" s="2200" t="s">
        <v>6883</v>
      </c>
      <c r="C1303" s="2200" t="s">
        <v>6884</v>
      </c>
      <c r="D1303" s="2200" t="str">
        <f t="shared" si="60"/>
        <v>MI</v>
      </c>
      <c r="E1303" s="2200" t="str">
        <f t="shared" si="61"/>
        <v>26</v>
      </c>
      <c r="F1303" s="2200" t="str">
        <f t="shared" si="62"/>
        <v>137</v>
      </c>
      <c r="G1303" s="2200">
        <f>--SUBTOTAL(3,C$2:C1303)</f>
        <v>67</v>
      </c>
    </row>
    <row r="1304" spans="1:7" hidden="1" x14ac:dyDescent="0.15">
      <c r="A1304" s="2200" t="s">
        <v>4280</v>
      </c>
      <c r="B1304" s="2200" t="s">
        <v>6885</v>
      </c>
      <c r="C1304" s="2200" t="s">
        <v>6886</v>
      </c>
      <c r="D1304" s="2200" t="str">
        <f t="shared" si="60"/>
        <v>MI</v>
      </c>
      <c r="E1304" s="2200" t="str">
        <f t="shared" si="61"/>
        <v>26</v>
      </c>
      <c r="F1304" s="2200" t="str">
        <f t="shared" si="62"/>
        <v>139</v>
      </c>
      <c r="G1304" s="2200">
        <f>--SUBTOTAL(3,C$2:C1304)</f>
        <v>67</v>
      </c>
    </row>
    <row r="1305" spans="1:7" hidden="1" x14ac:dyDescent="0.15">
      <c r="A1305" s="2200" t="s">
        <v>4280</v>
      </c>
      <c r="B1305" s="2200" t="s">
        <v>6887</v>
      </c>
      <c r="C1305" s="2200" t="s">
        <v>6888</v>
      </c>
      <c r="D1305" s="2200" t="str">
        <f t="shared" si="60"/>
        <v>MI</v>
      </c>
      <c r="E1305" s="2200" t="str">
        <f t="shared" si="61"/>
        <v>26</v>
      </c>
      <c r="F1305" s="2200" t="str">
        <f t="shared" si="62"/>
        <v>141</v>
      </c>
      <c r="G1305" s="2200">
        <f>--SUBTOTAL(3,C$2:C1305)</f>
        <v>67</v>
      </c>
    </row>
    <row r="1306" spans="1:7" hidden="1" x14ac:dyDescent="0.15">
      <c r="A1306" s="2200" t="s">
        <v>4280</v>
      </c>
      <c r="B1306" s="2200" t="s">
        <v>6889</v>
      </c>
      <c r="C1306" s="2200" t="s">
        <v>6890</v>
      </c>
      <c r="D1306" s="2200" t="str">
        <f t="shared" si="60"/>
        <v>MI</v>
      </c>
      <c r="E1306" s="2200" t="str">
        <f t="shared" si="61"/>
        <v>26</v>
      </c>
      <c r="F1306" s="2200" t="str">
        <f t="shared" si="62"/>
        <v>143</v>
      </c>
      <c r="G1306" s="2200">
        <f>--SUBTOTAL(3,C$2:C1306)</f>
        <v>67</v>
      </c>
    </row>
    <row r="1307" spans="1:7" hidden="1" x14ac:dyDescent="0.15">
      <c r="A1307" s="2200" t="s">
        <v>4280</v>
      </c>
      <c r="B1307" s="2200" t="s">
        <v>6891</v>
      </c>
      <c r="C1307" s="2200" t="s">
        <v>6892</v>
      </c>
      <c r="D1307" s="2200" t="str">
        <f t="shared" si="60"/>
        <v>MI</v>
      </c>
      <c r="E1307" s="2200" t="str">
        <f t="shared" si="61"/>
        <v>26</v>
      </c>
      <c r="F1307" s="2200" t="str">
        <f t="shared" si="62"/>
        <v>145</v>
      </c>
      <c r="G1307" s="2200">
        <f>--SUBTOTAL(3,C$2:C1307)</f>
        <v>67</v>
      </c>
    </row>
    <row r="1308" spans="1:7" hidden="1" x14ac:dyDescent="0.15">
      <c r="A1308" s="2200" t="s">
        <v>4280</v>
      </c>
      <c r="B1308" s="2200" t="s">
        <v>6893</v>
      </c>
      <c r="C1308" s="2200" t="s">
        <v>6894</v>
      </c>
      <c r="D1308" s="2200" t="str">
        <f t="shared" si="60"/>
        <v>MI</v>
      </c>
      <c r="E1308" s="2200" t="str">
        <f t="shared" si="61"/>
        <v>26</v>
      </c>
      <c r="F1308" s="2200" t="str">
        <f t="shared" si="62"/>
        <v>147</v>
      </c>
      <c r="G1308" s="2200">
        <f>--SUBTOTAL(3,C$2:C1308)</f>
        <v>67</v>
      </c>
    </row>
    <row r="1309" spans="1:7" hidden="1" x14ac:dyDescent="0.15">
      <c r="A1309" s="2200" t="s">
        <v>4280</v>
      </c>
      <c r="B1309" s="2200" t="s">
        <v>6895</v>
      </c>
      <c r="C1309" s="2200" t="s">
        <v>6896</v>
      </c>
      <c r="D1309" s="2200" t="str">
        <f t="shared" si="60"/>
        <v>MI</v>
      </c>
      <c r="E1309" s="2200" t="str">
        <f t="shared" si="61"/>
        <v>26</v>
      </c>
      <c r="F1309" s="2200" t="str">
        <f t="shared" si="62"/>
        <v>149</v>
      </c>
      <c r="G1309" s="2200">
        <f>--SUBTOTAL(3,C$2:C1309)</f>
        <v>67</v>
      </c>
    </row>
    <row r="1310" spans="1:7" hidden="1" x14ac:dyDescent="0.15">
      <c r="A1310" s="2200" t="s">
        <v>4280</v>
      </c>
      <c r="B1310" s="2200" t="s">
        <v>6897</v>
      </c>
      <c r="C1310" s="2200" t="s">
        <v>6898</v>
      </c>
      <c r="D1310" s="2200" t="str">
        <f t="shared" si="60"/>
        <v>MI</v>
      </c>
      <c r="E1310" s="2200" t="str">
        <f t="shared" si="61"/>
        <v>26</v>
      </c>
      <c r="F1310" s="2200" t="str">
        <f t="shared" si="62"/>
        <v>151</v>
      </c>
      <c r="G1310" s="2200">
        <f>--SUBTOTAL(3,C$2:C1310)</f>
        <v>67</v>
      </c>
    </row>
    <row r="1311" spans="1:7" hidden="1" x14ac:dyDescent="0.15">
      <c r="A1311" s="2200" t="s">
        <v>4280</v>
      </c>
      <c r="B1311" s="2200" t="s">
        <v>6899</v>
      </c>
      <c r="C1311" s="2200" t="s">
        <v>6900</v>
      </c>
      <c r="D1311" s="2200" t="str">
        <f t="shared" si="60"/>
        <v>MI</v>
      </c>
      <c r="E1311" s="2200" t="str">
        <f t="shared" si="61"/>
        <v>26</v>
      </c>
      <c r="F1311" s="2200" t="str">
        <f t="shared" si="62"/>
        <v>153</v>
      </c>
      <c r="G1311" s="2200">
        <f>--SUBTOTAL(3,C$2:C1311)</f>
        <v>67</v>
      </c>
    </row>
    <row r="1312" spans="1:7" hidden="1" x14ac:dyDescent="0.15">
      <c r="A1312" s="2200" t="s">
        <v>4280</v>
      </c>
      <c r="B1312" s="2200" t="s">
        <v>6901</v>
      </c>
      <c r="C1312" s="2200" t="s">
        <v>6902</v>
      </c>
      <c r="D1312" s="2200" t="str">
        <f t="shared" si="60"/>
        <v>MI</v>
      </c>
      <c r="E1312" s="2200" t="str">
        <f t="shared" si="61"/>
        <v>26</v>
      </c>
      <c r="F1312" s="2200" t="str">
        <f t="shared" si="62"/>
        <v>155</v>
      </c>
      <c r="G1312" s="2200">
        <f>--SUBTOTAL(3,C$2:C1312)</f>
        <v>67</v>
      </c>
    </row>
    <row r="1313" spans="1:7" hidden="1" x14ac:dyDescent="0.15">
      <c r="A1313" s="2200" t="s">
        <v>4280</v>
      </c>
      <c r="B1313" s="2200" t="s">
        <v>6903</v>
      </c>
      <c r="C1313" s="2200" t="s">
        <v>6904</v>
      </c>
      <c r="D1313" s="2200" t="str">
        <f t="shared" si="60"/>
        <v>MI</v>
      </c>
      <c r="E1313" s="2200" t="str">
        <f t="shared" si="61"/>
        <v>26</v>
      </c>
      <c r="F1313" s="2200" t="str">
        <f t="shared" si="62"/>
        <v>157</v>
      </c>
      <c r="G1313" s="2200">
        <f>--SUBTOTAL(3,C$2:C1313)</f>
        <v>67</v>
      </c>
    </row>
    <row r="1314" spans="1:7" hidden="1" x14ac:dyDescent="0.15">
      <c r="A1314" s="2200" t="s">
        <v>4280</v>
      </c>
      <c r="B1314" s="2200" t="s">
        <v>6905</v>
      </c>
      <c r="C1314" s="2200" t="s">
        <v>6906</v>
      </c>
      <c r="D1314" s="2200" t="str">
        <f t="shared" si="60"/>
        <v>MI</v>
      </c>
      <c r="E1314" s="2200" t="str">
        <f t="shared" si="61"/>
        <v>26</v>
      </c>
      <c r="F1314" s="2200" t="str">
        <f t="shared" si="62"/>
        <v>159</v>
      </c>
      <c r="G1314" s="2200">
        <f>--SUBTOTAL(3,C$2:C1314)</f>
        <v>67</v>
      </c>
    </row>
    <row r="1315" spans="1:7" hidden="1" x14ac:dyDescent="0.15">
      <c r="A1315" s="2200" t="s">
        <v>4280</v>
      </c>
      <c r="B1315" s="2200" t="s">
        <v>6907</v>
      </c>
      <c r="C1315" s="2200" t="s">
        <v>6908</v>
      </c>
      <c r="D1315" s="2200" t="str">
        <f t="shared" si="60"/>
        <v>MI</v>
      </c>
      <c r="E1315" s="2200" t="str">
        <f t="shared" si="61"/>
        <v>26</v>
      </c>
      <c r="F1315" s="2200" t="str">
        <f t="shared" si="62"/>
        <v>161</v>
      </c>
      <c r="G1315" s="2200">
        <f>--SUBTOTAL(3,C$2:C1315)</f>
        <v>67</v>
      </c>
    </row>
    <row r="1316" spans="1:7" hidden="1" x14ac:dyDescent="0.15">
      <c r="A1316" s="2200" t="s">
        <v>4280</v>
      </c>
      <c r="B1316" s="2200" t="s">
        <v>6909</v>
      </c>
      <c r="C1316" s="2200" t="s">
        <v>6910</v>
      </c>
      <c r="D1316" s="2200" t="str">
        <f t="shared" si="60"/>
        <v>MI</v>
      </c>
      <c r="E1316" s="2200" t="str">
        <f t="shared" si="61"/>
        <v>26</v>
      </c>
      <c r="F1316" s="2200" t="str">
        <f t="shared" si="62"/>
        <v>163</v>
      </c>
      <c r="G1316" s="2200">
        <f>--SUBTOTAL(3,C$2:C1316)</f>
        <v>67</v>
      </c>
    </row>
    <row r="1317" spans="1:7" hidden="1" x14ac:dyDescent="0.15">
      <c r="A1317" s="2200" t="s">
        <v>4280</v>
      </c>
      <c r="B1317" s="2200" t="s">
        <v>6911</v>
      </c>
      <c r="C1317" s="2200" t="s">
        <v>6912</v>
      </c>
      <c r="D1317" s="2200" t="str">
        <f t="shared" si="60"/>
        <v>MI</v>
      </c>
      <c r="E1317" s="2200" t="str">
        <f t="shared" si="61"/>
        <v>26</v>
      </c>
      <c r="F1317" s="2200" t="str">
        <f t="shared" si="62"/>
        <v>165</v>
      </c>
      <c r="G1317" s="2200">
        <f>--SUBTOTAL(3,C$2:C1317)</f>
        <v>67</v>
      </c>
    </row>
    <row r="1318" spans="1:7" hidden="1" x14ac:dyDescent="0.15">
      <c r="A1318" s="2200" t="s">
        <v>4280</v>
      </c>
      <c r="B1318" s="2200" t="s">
        <v>6913</v>
      </c>
      <c r="C1318" s="2200" t="s">
        <v>6914</v>
      </c>
      <c r="D1318" s="2200" t="str">
        <f t="shared" si="60"/>
        <v>MN</v>
      </c>
      <c r="E1318" s="2200" t="str">
        <f t="shared" si="61"/>
        <v>27</v>
      </c>
      <c r="F1318" s="2200" t="str">
        <f t="shared" si="62"/>
        <v>001</v>
      </c>
      <c r="G1318" s="2200">
        <f>--SUBTOTAL(3,C$2:C1318)</f>
        <v>67</v>
      </c>
    </row>
    <row r="1319" spans="1:7" hidden="1" x14ac:dyDescent="0.15">
      <c r="A1319" s="2200" t="s">
        <v>4280</v>
      </c>
      <c r="B1319" s="2200" t="s">
        <v>6915</v>
      </c>
      <c r="C1319" s="2200" t="s">
        <v>6916</v>
      </c>
      <c r="D1319" s="2200" t="str">
        <f t="shared" si="60"/>
        <v>MN</v>
      </c>
      <c r="E1319" s="2200" t="str">
        <f t="shared" si="61"/>
        <v>27</v>
      </c>
      <c r="F1319" s="2200" t="str">
        <f t="shared" si="62"/>
        <v>003</v>
      </c>
      <c r="G1319" s="2200">
        <f>--SUBTOTAL(3,C$2:C1319)</f>
        <v>67</v>
      </c>
    </row>
    <row r="1320" spans="1:7" hidden="1" x14ac:dyDescent="0.15">
      <c r="A1320" s="2200" t="s">
        <v>4280</v>
      </c>
      <c r="B1320" s="2200" t="s">
        <v>6917</v>
      </c>
      <c r="C1320" s="2200" t="s">
        <v>6918</v>
      </c>
      <c r="D1320" s="2200" t="str">
        <f t="shared" si="60"/>
        <v>MN</v>
      </c>
      <c r="E1320" s="2200" t="str">
        <f t="shared" si="61"/>
        <v>27</v>
      </c>
      <c r="F1320" s="2200" t="str">
        <f t="shared" si="62"/>
        <v>005</v>
      </c>
      <c r="G1320" s="2200">
        <f>--SUBTOTAL(3,C$2:C1320)</f>
        <v>67</v>
      </c>
    </row>
    <row r="1321" spans="1:7" hidden="1" x14ac:dyDescent="0.15">
      <c r="A1321" s="2200" t="s">
        <v>4280</v>
      </c>
      <c r="B1321" s="2200" t="s">
        <v>6919</v>
      </c>
      <c r="C1321" s="2200" t="s">
        <v>6920</v>
      </c>
      <c r="D1321" s="2200" t="str">
        <f t="shared" si="60"/>
        <v>MN</v>
      </c>
      <c r="E1321" s="2200" t="str">
        <f t="shared" si="61"/>
        <v>27</v>
      </c>
      <c r="F1321" s="2200" t="str">
        <f t="shared" si="62"/>
        <v>007</v>
      </c>
      <c r="G1321" s="2200">
        <f>--SUBTOTAL(3,C$2:C1321)</f>
        <v>67</v>
      </c>
    </row>
    <row r="1322" spans="1:7" hidden="1" x14ac:dyDescent="0.15">
      <c r="A1322" s="2200" t="s">
        <v>4280</v>
      </c>
      <c r="B1322" s="2200" t="s">
        <v>6921</v>
      </c>
      <c r="C1322" s="2200" t="s">
        <v>6922</v>
      </c>
      <c r="D1322" s="2200" t="str">
        <f t="shared" si="60"/>
        <v>MN</v>
      </c>
      <c r="E1322" s="2200" t="str">
        <f t="shared" si="61"/>
        <v>27</v>
      </c>
      <c r="F1322" s="2200" t="str">
        <f t="shared" si="62"/>
        <v>009</v>
      </c>
      <c r="G1322" s="2200">
        <f>--SUBTOTAL(3,C$2:C1322)</f>
        <v>67</v>
      </c>
    </row>
    <row r="1323" spans="1:7" hidden="1" x14ac:dyDescent="0.15">
      <c r="A1323" s="2200" t="s">
        <v>4280</v>
      </c>
      <c r="B1323" s="2200" t="s">
        <v>6923</v>
      </c>
      <c r="C1323" s="2200" t="s">
        <v>6924</v>
      </c>
      <c r="D1323" s="2200" t="str">
        <f t="shared" si="60"/>
        <v>MN</v>
      </c>
      <c r="E1323" s="2200" t="str">
        <f t="shared" si="61"/>
        <v>27</v>
      </c>
      <c r="F1323" s="2200" t="str">
        <f t="shared" si="62"/>
        <v>011</v>
      </c>
      <c r="G1323" s="2200">
        <f>--SUBTOTAL(3,C$2:C1323)</f>
        <v>67</v>
      </c>
    </row>
    <row r="1324" spans="1:7" hidden="1" x14ac:dyDescent="0.15">
      <c r="A1324" s="2200" t="s">
        <v>4280</v>
      </c>
      <c r="B1324" s="2200" t="s">
        <v>6925</v>
      </c>
      <c r="C1324" s="2200" t="s">
        <v>6926</v>
      </c>
      <c r="D1324" s="2200" t="str">
        <f t="shared" si="60"/>
        <v>MN</v>
      </c>
      <c r="E1324" s="2200" t="str">
        <f t="shared" si="61"/>
        <v>27</v>
      </c>
      <c r="F1324" s="2200" t="str">
        <f t="shared" si="62"/>
        <v>013</v>
      </c>
      <c r="G1324" s="2200">
        <f>--SUBTOTAL(3,C$2:C1324)</f>
        <v>67</v>
      </c>
    </row>
    <row r="1325" spans="1:7" hidden="1" x14ac:dyDescent="0.15">
      <c r="A1325" s="2200" t="s">
        <v>4280</v>
      </c>
      <c r="B1325" s="2200" t="s">
        <v>6927</v>
      </c>
      <c r="C1325" s="2200" t="s">
        <v>6928</v>
      </c>
      <c r="D1325" s="2200" t="str">
        <f t="shared" si="60"/>
        <v>MN</v>
      </c>
      <c r="E1325" s="2200" t="str">
        <f t="shared" si="61"/>
        <v>27</v>
      </c>
      <c r="F1325" s="2200" t="str">
        <f t="shared" si="62"/>
        <v>015</v>
      </c>
      <c r="G1325" s="2200">
        <f>--SUBTOTAL(3,C$2:C1325)</f>
        <v>67</v>
      </c>
    </row>
    <row r="1326" spans="1:7" hidden="1" x14ac:dyDescent="0.15">
      <c r="A1326" s="2200" t="s">
        <v>4280</v>
      </c>
      <c r="B1326" s="2200" t="s">
        <v>6929</v>
      </c>
      <c r="C1326" s="2200" t="s">
        <v>6930</v>
      </c>
      <c r="D1326" s="2200" t="str">
        <f t="shared" si="60"/>
        <v>MN</v>
      </c>
      <c r="E1326" s="2200" t="str">
        <f t="shared" si="61"/>
        <v>27</v>
      </c>
      <c r="F1326" s="2200" t="str">
        <f t="shared" si="62"/>
        <v>017</v>
      </c>
      <c r="G1326" s="2200">
        <f>--SUBTOTAL(3,C$2:C1326)</f>
        <v>67</v>
      </c>
    </row>
    <row r="1327" spans="1:7" hidden="1" x14ac:dyDescent="0.15">
      <c r="A1327" s="2200" t="s">
        <v>4280</v>
      </c>
      <c r="B1327" s="2200" t="s">
        <v>6931</v>
      </c>
      <c r="C1327" s="2200" t="s">
        <v>6932</v>
      </c>
      <c r="D1327" s="2200" t="str">
        <f t="shared" si="60"/>
        <v>MN</v>
      </c>
      <c r="E1327" s="2200" t="str">
        <f t="shared" si="61"/>
        <v>27</v>
      </c>
      <c r="F1327" s="2200" t="str">
        <f t="shared" si="62"/>
        <v>019</v>
      </c>
      <c r="G1327" s="2200">
        <f>--SUBTOTAL(3,C$2:C1327)</f>
        <v>67</v>
      </c>
    </row>
    <row r="1328" spans="1:7" hidden="1" x14ac:dyDescent="0.15">
      <c r="A1328" s="2200" t="s">
        <v>4280</v>
      </c>
      <c r="B1328" s="2200" t="s">
        <v>6933</v>
      </c>
      <c r="C1328" s="2200" t="s">
        <v>6934</v>
      </c>
      <c r="D1328" s="2200" t="str">
        <f t="shared" si="60"/>
        <v>MN</v>
      </c>
      <c r="E1328" s="2200" t="str">
        <f t="shared" si="61"/>
        <v>27</v>
      </c>
      <c r="F1328" s="2200" t="str">
        <f t="shared" si="62"/>
        <v>021</v>
      </c>
      <c r="G1328" s="2200">
        <f>--SUBTOTAL(3,C$2:C1328)</f>
        <v>67</v>
      </c>
    </row>
    <row r="1329" spans="1:7" hidden="1" x14ac:dyDescent="0.15">
      <c r="A1329" s="2200" t="s">
        <v>4280</v>
      </c>
      <c r="B1329" s="2200" t="s">
        <v>6935</v>
      </c>
      <c r="C1329" s="2200" t="s">
        <v>6936</v>
      </c>
      <c r="D1329" s="2200" t="str">
        <f t="shared" si="60"/>
        <v>MN</v>
      </c>
      <c r="E1329" s="2200" t="str">
        <f t="shared" si="61"/>
        <v>27</v>
      </c>
      <c r="F1329" s="2200" t="str">
        <f t="shared" si="62"/>
        <v>023</v>
      </c>
      <c r="G1329" s="2200">
        <f>--SUBTOTAL(3,C$2:C1329)</f>
        <v>67</v>
      </c>
    </row>
    <row r="1330" spans="1:7" hidden="1" x14ac:dyDescent="0.15">
      <c r="A1330" s="2200" t="s">
        <v>4280</v>
      </c>
      <c r="B1330" s="2200" t="s">
        <v>6937</v>
      </c>
      <c r="C1330" s="2200" t="s">
        <v>6938</v>
      </c>
      <c r="D1330" s="2200" t="str">
        <f t="shared" si="60"/>
        <v>MN</v>
      </c>
      <c r="E1330" s="2200" t="str">
        <f t="shared" si="61"/>
        <v>27</v>
      </c>
      <c r="F1330" s="2200" t="str">
        <f t="shared" si="62"/>
        <v>025</v>
      </c>
      <c r="G1330" s="2200">
        <f>--SUBTOTAL(3,C$2:C1330)</f>
        <v>67</v>
      </c>
    </row>
    <row r="1331" spans="1:7" hidden="1" x14ac:dyDescent="0.15">
      <c r="A1331" s="2200" t="s">
        <v>4280</v>
      </c>
      <c r="B1331" s="2200" t="s">
        <v>6939</v>
      </c>
      <c r="C1331" s="2200" t="s">
        <v>6940</v>
      </c>
      <c r="D1331" s="2200" t="str">
        <f t="shared" si="60"/>
        <v>MN</v>
      </c>
      <c r="E1331" s="2200" t="str">
        <f t="shared" si="61"/>
        <v>27</v>
      </c>
      <c r="F1331" s="2200" t="str">
        <f t="shared" si="62"/>
        <v>027</v>
      </c>
      <c r="G1331" s="2200">
        <f>--SUBTOTAL(3,C$2:C1331)</f>
        <v>67</v>
      </c>
    </row>
    <row r="1332" spans="1:7" hidden="1" x14ac:dyDescent="0.15">
      <c r="A1332" s="2200" t="s">
        <v>4280</v>
      </c>
      <c r="B1332" s="2200" t="s">
        <v>6941</v>
      </c>
      <c r="C1332" s="2200" t="s">
        <v>6942</v>
      </c>
      <c r="D1332" s="2200" t="str">
        <f t="shared" si="60"/>
        <v>MN</v>
      </c>
      <c r="E1332" s="2200" t="str">
        <f t="shared" si="61"/>
        <v>27</v>
      </c>
      <c r="F1332" s="2200" t="str">
        <f t="shared" si="62"/>
        <v>029</v>
      </c>
      <c r="G1332" s="2200">
        <f>--SUBTOTAL(3,C$2:C1332)</f>
        <v>67</v>
      </c>
    </row>
    <row r="1333" spans="1:7" hidden="1" x14ac:dyDescent="0.15">
      <c r="A1333" s="2200" t="s">
        <v>4280</v>
      </c>
      <c r="B1333" s="2200" t="s">
        <v>6943</v>
      </c>
      <c r="C1333" s="2200" t="s">
        <v>6944</v>
      </c>
      <c r="D1333" s="2200" t="str">
        <f t="shared" si="60"/>
        <v>MN</v>
      </c>
      <c r="E1333" s="2200" t="str">
        <f t="shared" si="61"/>
        <v>27</v>
      </c>
      <c r="F1333" s="2200" t="str">
        <f t="shared" si="62"/>
        <v>031</v>
      </c>
      <c r="G1333" s="2200">
        <f>--SUBTOTAL(3,C$2:C1333)</f>
        <v>67</v>
      </c>
    </row>
    <row r="1334" spans="1:7" hidden="1" x14ac:dyDescent="0.15">
      <c r="A1334" s="2200" t="s">
        <v>4280</v>
      </c>
      <c r="B1334" s="2200" t="s">
        <v>6945</v>
      </c>
      <c r="C1334" s="2200" t="s">
        <v>6946</v>
      </c>
      <c r="D1334" s="2200" t="str">
        <f t="shared" si="60"/>
        <v>MN</v>
      </c>
      <c r="E1334" s="2200" t="str">
        <f t="shared" si="61"/>
        <v>27</v>
      </c>
      <c r="F1334" s="2200" t="str">
        <f t="shared" si="62"/>
        <v>033</v>
      </c>
      <c r="G1334" s="2200">
        <f>--SUBTOTAL(3,C$2:C1334)</f>
        <v>67</v>
      </c>
    </row>
    <row r="1335" spans="1:7" hidden="1" x14ac:dyDescent="0.15">
      <c r="A1335" s="2200" t="s">
        <v>4280</v>
      </c>
      <c r="B1335" s="2200" t="s">
        <v>6947</v>
      </c>
      <c r="C1335" s="2200" t="s">
        <v>6948</v>
      </c>
      <c r="D1335" s="2200" t="str">
        <f t="shared" si="60"/>
        <v>MN</v>
      </c>
      <c r="E1335" s="2200" t="str">
        <f t="shared" si="61"/>
        <v>27</v>
      </c>
      <c r="F1335" s="2200" t="str">
        <f t="shared" si="62"/>
        <v>035</v>
      </c>
      <c r="G1335" s="2200">
        <f>--SUBTOTAL(3,C$2:C1335)</f>
        <v>67</v>
      </c>
    </row>
    <row r="1336" spans="1:7" hidden="1" x14ac:dyDescent="0.15">
      <c r="A1336" s="2200" t="s">
        <v>4280</v>
      </c>
      <c r="B1336" s="2200" t="s">
        <v>6949</v>
      </c>
      <c r="C1336" s="2200" t="s">
        <v>6950</v>
      </c>
      <c r="D1336" s="2200" t="str">
        <f t="shared" si="60"/>
        <v>MN</v>
      </c>
      <c r="E1336" s="2200" t="str">
        <f t="shared" si="61"/>
        <v>27</v>
      </c>
      <c r="F1336" s="2200" t="str">
        <f t="shared" si="62"/>
        <v>037</v>
      </c>
      <c r="G1336" s="2200">
        <f>--SUBTOTAL(3,C$2:C1336)</f>
        <v>67</v>
      </c>
    </row>
    <row r="1337" spans="1:7" hidden="1" x14ac:dyDescent="0.15">
      <c r="A1337" s="2200" t="s">
        <v>4280</v>
      </c>
      <c r="B1337" s="2200" t="s">
        <v>6951</v>
      </c>
      <c r="C1337" s="2200" t="s">
        <v>6952</v>
      </c>
      <c r="D1337" s="2200" t="str">
        <f t="shared" si="60"/>
        <v>MN</v>
      </c>
      <c r="E1337" s="2200" t="str">
        <f t="shared" si="61"/>
        <v>27</v>
      </c>
      <c r="F1337" s="2200" t="str">
        <f t="shared" si="62"/>
        <v>039</v>
      </c>
      <c r="G1337" s="2200">
        <f>--SUBTOTAL(3,C$2:C1337)</f>
        <v>67</v>
      </c>
    </row>
    <row r="1338" spans="1:7" hidden="1" x14ac:dyDescent="0.15">
      <c r="A1338" s="2200" t="s">
        <v>4280</v>
      </c>
      <c r="B1338" s="2200" t="s">
        <v>6953</v>
      </c>
      <c r="C1338" s="2200" t="s">
        <v>6954</v>
      </c>
      <c r="D1338" s="2200" t="str">
        <f t="shared" si="60"/>
        <v>MN</v>
      </c>
      <c r="E1338" s="2200" t="str">
        <f t="shared" si="61"/>
        <v>27</v>
      </c>
      <c r="F1338" s="2200" t="str">
        <f t="shared" si="62"/>
        <v>041</v>
      </c>
      <c r="G1338" s="2200">
        <f>--SUBTOTAL(3,C$2:C1338)</f>
        <v>67</v>
      </c>
    </row>
    <row r="1339" spans="1:7" hidden="1" x14ac:dyDescent="0.15">
      <c r="A1339" s="2200" t="s">
        <v>4280</v>
      </c>
      <c r="B1339" s="2200" t="s">
        <v>6955</v>
      </c>
      <c r="C1339" s="2200" t="s">
        <v>6956</v>
      </c>
      <c r="D1339" s="2200" t="str">
        <f t="shared" si="60"/>
        <v>MN</v>
      </c>
      <c r="E1339" s="2200" t="str">
        <f t="shared" si="61"/>
        <v>27</v>
      </c>
      <c r="F1339" s="2200" t="str">
        <f t="shared" si="62"/>
        <v>043</v>
      </c>
      <c r="G1339" s="2200">
        <f>--SUBTOTAL(3,C$2:C1339)</f>
        <v>67</v>
      </c>
    </row>
    <row r="1340" spans="1:7" hidden="1" x14ac:dyDescent="0.15">
      <c r="A1340" s="2200" t="s">
        <v>4280</v>
      </c>
      <c r="B1340" s="2200" t="s">
        <v>6957</v>
      </c>
      <c r="C1340" s="2200" t="s">
        <v>6958</v>
      </c>
      <c r="D1340" s="2200" t="str">
        <f t="shared" si="60"/>
        <v>MN</v>
      </c>
      <c r="E1340" s="2200" t="str">
        <f t="shared" si="61"/>
        <v>27</v>
      </c>
      <c r="F1340" s="2200" t="str">
        <f t="shared" si="62"/>
        <v>045</v>
      </c>
      <c r="G1340" s="2200">
        <f>--SUBTOTAL(3,C$2:C1340)</f>
        <v>67</v>
      </c>
    </row>
    <row r="1341" spans="1:7" hidden="1" x14ac:dyDescent="0.15">
      <c r="A1341" s="2200" t="s">
        <v>4280</v>
      </c>
      <c r="B1341" s="2200" t="s">
        <v>6959</v>
      </c>
      <c r="C1341" s="2200" t="s">
        <v>6960</v>
      </c>
      <c r="D1341" s="2200" t="str">
        <f t="shared" si="60"/>
        <v>MN</v>
      </c>
      <c r="E1341" s="2200" t="str">
        <f t="shared" si="61"/>
        <v>27</v>
      </c>
      <c r="F1341" s="2200" t="str">
        <f t="shared" si="62"/>
        <v>047</v>
      </c>
      <c r="G1341" s="2200">
        <f>--SUBTOTAL(3,C$2:C1341)</f>
        <v>67</v>
      </c>
    </row>
    <row r="1342" spans="1:7" hidden="1" x14ac:dyDescent="0.15">
      <c r="A1342" s="2200" t="s">
        <v>4280</v>
      </c>
      <c r="B1342" s="2200" t="s">
        <v>6961</v>
      </c>
      <c r="C1342" s="2200" t="s">
        <v>6962</v>
      </c>
      <c r="D1342" s="2200" t="str">
        <f t="shared" si="60"/>
        <v>MN</v>
      </c>
      <c r="E1342" s="2200" t="str">
        <f t="shared" si="61"/>
        <v>27</v>
      </c>
      <c r="F1342" s="2200" t="str">
        <f t="shared" si="62"/>
        <v>049</v>
      </c>
      <c r="G1342" s="2200">
        <f>--SUBTOTAL(3,C$2:C1342)</f>
        <v>67</v>
      </c>
    </row>
    <row r="1343" spans="1:7" hidden="1" x14ac:dyDescent="0.15">
      <c r="A1343" s="2200" t="s">
        <v>4280</v>
      </c>
      <c r="B1343" s="2200" t="s">
        <v>6963</v>
      </c>
      <c r="C1343" s="2200" t="s">
        <v>6964</v>
      </c>
      <c r="D1343" s="2200" t="str">
        <f t="shared" si="60"/>
        <v>MN</v>
      </c>
      <c r="E1343" s="2200" t="str">
        <f t="shared" si="61"/>
        <v>27</v>
      </c>
      <c r="F1343" s="2200" t="str">
        <f t="shared" si="62"/>
        <v>051</v>
      </c>
      <c r="G1343" s="2200">
        <f>--SUBTOTAL(3,C$2:C1343)</f>
        <v>67</v>
      </c>
    </row>
    <row r="1344" spans="1:7" hidden="1" x14ac:dyDescent="0.15">
      <c r="A1344" s="2200" t="s">
        <v>4280</v>
      </c>
      <c r="B1344" s="2200" t="s">
        <v>6965</v>
      </c>
      <c r="C1344" s="2200" t="s">
        <v>6966</v>
      </c>
      <c r="D1344" s="2200" t="str">
        <f t="shared" si="60"/>
        <v>MN</v>
      </c>
      <c r="E1344" s="2200" t="str">
        <f t="shared" si="61"/>
        <v>27</v>
      </c>
      <c r="F1344" s="2200" t="str">
        <f t="shared" si="62"/>
        <v>053</v>
      </c>
      <c r="G1344" s="2200">
        <f>--SUBTOTAL(3,C$2:C1344)</f>
        <v>67</v>
      </c>
    </row>
    <row r="1345" spans="1:7" hidden="1" x14ac:dyDescent="0.15">
      <c r="A1345" s="2200" t="s">
        <v>4280</v>
      </c>
      <c r="B1345" s="2200" t="s">
        <v>6967</v>
      </c>
      <c r="C1345" s="2200" t="s">
        <v>6968</v>
      </c>
      <c r="D1345" s="2200" t="str">
        <f t="shared" si="60"/>
        <v>MN</v>
      </c>
      <c r="E1345" s="2200" t="str">
        <f t="shared" si="61"/>
        <v>27</v>
      </c>
      <c r="F1345" s="2200" t="str">
        <f t="shared" si="62"/>
        <v>055</v>
      </c>
      <c r="G1345" s="2200">
        <f>--SUBTOTAL(3,C$2:C1345)</f>
        <v>67</v>
      </c>
    </row>
    <row r="1346" spans="1:7" hidden="1" x14ac:dyDescent="0.15">
      <c r="A1346" s="2200" t="s">
        <v>4280</v>
      </c>
      <c r="B1346" s="2200" t="s">
        <v>6969</v>
      </c>
      <c r="C1346" s="2200" t="s">
        <v>6970</v>
      </c>
      <c r="D1346" s="2200" t="str">
        <f t="shared" si="60"/>
        <v>MN</v>
      </c>
      <c r="E1346" s="2200" t="str">
        <f t="shared" si="61"/>
        <v>27</v>
      </c>
      <c r="F1346" s="2200" t="str">
        <f t="shared" si="62"/>
        <v>057</v>
      </c>
      <c r="G1346" s="2200">
        <f>--SUBTOTAL(3,C$2:C1346)</f>
        <v>67</v>
      </c>
    </row>
    <row r="1347" spans="1:7" hidden="1" x14ac:dyDescent="0.15">
      <c r="A1347" s="2200" t="s">
        <v>4280</v>
      </c>
      <c r="B1347" s="2200" t="s">
        <v>6971</v>
      </c>
      <c r="C1347" s="2200" t="s">
        <v>6972</v>
      </c>
      <c r="D1347" s="2200" t="str">
        <f t="shared" ref="D1347:D1410" si="63">RIGHT(C1347,2)</f>
        <v>MN</v>
      </c>
      <c r="E1347" s="2200" t="str">
        <f t="shared" ref="E1347:E1410" si="64">MID(B1347,3,2)</f>
        <v>27</v>
      </c>
      <c r="F1347" s="2200" t="str">
        <f t="shared" ref="F1347:F1410" si="65">MID(B1347,5,3)</f>
        <v>059</v>
      </c>
      <c r="G1347" s="2200">
        <f>--SUBTOTAL(3,C$2:C1347)</f>
        <v>67</v>
      </c>
    </row>
    <row r="1348" spans="1:7" hidden="1" x14ac:dyDescent="0.15">
      <c r="A1348" s="2200" t="s">
        <v>4280</v>
      </c>
      <c r="B1348" s="2200" t="s">
        <v>6973</v>
      </c>
      <c r="C1348" s="2200" t="s">
        <v>6974</v>
      </c>
      <c r="D1348" s="2200" t="str">
        <f t="shared" si="63"/>
        <v>MN</v>
      </c>
      <c r="E1348" s="2200" t="str">
        <f t="shared" si="64"/>
        <v>27</v>
      </c>
      <c r="F1348" s="2200" t="str">
        <f t="shared" si="65"/>
        <v>061</v>
      </c>
      <c r="G1348" s="2200">
        <f>--SUBTOTAL(3,C$2:C1348)</f>
        <v>67</v>
      </c>
    </row>
    <row r="1349" spans="1:7" hidden="1" x14ac:dyDescent="0.15">
      <c r="A1349" s="2200" t="s">
        <v>4280</v>
      </c>
      <c r="B1349" s="2200" t="s">
        <v>6975</v>
      </c>
      <c r="C1349" s="2200" t="s">
        <v>6976</v>
      </c>
      <c r="D1349" s="2200" t="str">
        <f t="shared" si="63"/>
        <v>MN</v>
      </c>
      <c r="E1349" s="2200" t="str">
        <f t="shared" si="64"/>
        <v>27</v>
      </c>
      <c r="F1349" s="2200" t="str">
        <f t="shared" si="65"/>
        <v>063</v>
      </c>
      <c r="G1349" s="2200">
        <f>--SUBTOTAL(3,C$2:C1349)</f>
        <v>67</v>
      </c>
    </row>
    <row r="1350" spans="1:7" hidden="1" x14ac:dyDescent="0.15">
      <c r="A1350" s="2200" t="s">
        <v>4280</v>
      </c>
      <c r="B1350" s="2200" t="s">
        <v>6977</v>
      </c>
      <c r="C1350" s="2200" t="s">
        <v>6978</v>
      </c>
      <c r="D1350" s="2200" t="str">
        <f t="shared" si="63"/>
        <v>MN</v>
      </c>
      <c r="E1350" s="2200" t="str">
        <f t="shared" si="64"/>
        <v>27</v>
      </c>
      <c r="F1350" s="2200" t="str">
        <f t="shared" si="65"/>
        <v>065</v>
      </c>
      <c r="G1350" s="2200">
        <f>--SUBTOTAL(3,C$2:C1350)</f>
        <v>67</v>
      </c>
    </row>
    <row r="1351" spans="1:7" hidden="1" x14ac:dyDescent="0.15">
      <c r="A1351" s="2200" t="s">
        <v>4280</v>
      </c>
      <c r="B1351" s="2200" t="s">
        <v>6979</v>
      </c>
      <c r="C1351" s="2200" t="s">
        <v>6980</v>
      </c>
      <c r="D1351" s="2200" t="str">
        <f t="shared" si="63"/>
        <v>MN</v>
      </c>
      <c r="E1351" s="2200" t="str">
        <f t="shared" si="64"/>
        <v>27</v>
      </c>
      <c r="F1351" s="2200" t="str">
        <f t="shared" si="65"/>
        <v>067</v>
      </c>
      <c r="G1351" s="2200">
        <f>--SUBTOTAL(3,C$2:C1351)</f>
        <v>67</v>
      </c>
    </row>
    <row r="1352" spans="1:7" hidden="1" x14ac:dyDescent="0.15">
      <c r="A1352" s="2200" t="s">
        <v>4280</v>
      </c>
      <c r="B1352" s="2200" t="s">
        <v>6981</v>
      </c>
      <c r="C1352" s="2200" t="s">
        <v>6982</v>
      </c>
      <c r="D1352" s="2200" t="str">
        <f t="shared" si="63"/>
        <v>MN</v>
      </c>
      <c r="E1352" s="2200" t="str">
        <f t="shared" si="64"/>
        <v>27</v>
      </c>
      <c r="F1352" s="2200" t="str">
        <f t="shared" si="65"/>
        <v>069</v>
      </c>
      <c r="G1352" s="2200">
        <f>--SUBTOTAL(3,C$2:C1352)</f>
        <v>67</v>
      </c>
    </row>
    <row r="1353" spans="1:7" hidden="1" x14ac:dyDescent="0.15">
      <c r="A1353" s="2200" t="s">
        <v>4280</v>
      </c>
      <c r="B1353" s="2200" t="s">
        <v>6983</v>
      </c>
      <c r="C1353" s="2200" t="s">
        <v>6984</v>
      </c>
      <c r="D1353" s="2200" t="str">
        <f t="shared" si="63"/>
        <v>MN</v>
      </c>
      <c r="E1353" s="2200" t="str">
        <f t="shared" si="64"/>
        <v>27</v>
      </c>
      <c r="F1353" s="2200" t="str">
        <f t="shared" si="65"/>
        <v>071</v>
      </c>
      <c r="G1353" s="2200">
        <f>--SUBTOTAL(3,C$2:C1353)</f>
        <v>67</v>
      </c>
    </row>
    <row r="1354" spans="1:7" hidden="1" x14ac:dyDescent="0.15">
      <c r="A1354" s="2200" t="s">
        <v>4280</v>
      </c>
      <c r="B1354" s="2200" t="s">
        <v>6985</v>
      </c>
      <c r="C1354" s="2200" t="s">
        <v>6986</v>
      </c>
      <c r="D1354" s="2200" t="str">
        <f t="shared" si="63"/>
        <v>MN</v>
      </c>
      <c r="E1354" s="2200" t="str">
        <f t="shared" si="64"/>
        <v>27</v>
      </c>
      <c r="F1354" s="2200" t="str">
        <f t="shared" si="65"/>
        <v>073</v>
      </c>
      <c r="G1354" s="2200">
        <f>--SUBTOTAL(3,C$2:C1354)</f>
        <v>67</v>
      </c>
    </row>
    <row r="1355" spans="1:7" hidden="1" x14ac:dyDescent="0.15">
      <c r="A1355" s="2200" t="s">
        <v>4280</v>
      </c>
      <c r="B1355" s="2200" t="s">
        <v>6987</v>
      </c>
      <c r="C1355" s="2200" t="s">
        <v>6988</v>
      </c>
      <c r="D1355" s="2200" t="str">
        <f t="shared" si="63"/>
        <v>MN</v>
      </c>
      <c r="E1355" s="2200" t="str">
        <f t="shared" si="64"/>
        <v>27</v>
      </c>
      <c r="F1355" s="2200" t="str">
        <f t="shared" si="65"/>
        <v>075</v>
      </c>
      <c r="G1355" s="2200">
        <f>--SUBTOTAL(3,C$2:C1355)</f>
        <v>67</v>
      </c>
    </row>
    <row r="1356" spans="1:7" hidden="1" x14ac:dyDescent="0.15">
      <c r="A1356" s="2200" t="s">
        <v>4280</v>
      </c>
      <c r="B1356" s="2200" t="s">
        <v>6989</v>
      </c>
      <c r="C1356" s="2200" t="s">
        <v>6990</v>
      </c>
      <c r="D1356" s="2200" t="str">
        <f t="shared" si="63"/>
        <v>MN</v>
      </c>
      <c r="E1356" s="2200" t="str">
        <f t="shared" si="64"/>
        <v>27</v>
      </c>
      <c r="F1356" s="2200" t="str">
        <f t="shared" si="65"/>
        <v>077</v>
      </c>
      <c r="G1356" s="2200">
        <f>--SUBTOTAL(3,C$2:C1356)</f>
        <v>67</v>
      </c>
    </row>
    <row r="1357" spans="1:7" hidden="1" x14ac:dyDescent="0.15">
      <c r="A1357" s="2200" t="s">
        <v>4280</v>
      </c>
      <c r="B1357" s="2200" t="s">
        <v>6991</v>
      </c>
      <c r="C1357" s="2200" t="s">
        <v>6992</v>
      </c>
      <c r="D1357" s="2200" t="str">
        <f t="shared" si="63"/>
        <v>MN</v>
      </c>
      <c r="E1357" s="2200" t="str">
        <f t="shared" si="64"/>
        <v>27</v>
      </c>
      <c r="F1357" s="2200" t="str">
        <f t="shared" si="65"/>
        <v>079</v>
      </c>
      <c r="G1357" s="2200">
        <f>--SUBTOTAL(3,C$2:C1357)</f>
        <v>67</v>
      </c>
    </row>
    <row r="1358" spans="1:7" hidden="1" x14ac:dyDescent="0.15">
      <c r="A1358" s="2200" t="s">
        <v>4280</v>
      </c>
      <c r="B1358" s="2200" t="s">
        <v>6993</v>
      </c>
      <c r="C1358" s="2200" t="s">
        <v>6994</v>
      </c>
      <c r="D1358" s="2200" t="str">
        <f t="shared" si="63"/>
        <v>MN</v>
      </c>
      <c r="E1358" s="2200" t="str">
        <f t="shared" si="64"/>
        <v>27</v>
      </c>
      <c r="F1358" s="2200" t="str">
        <f t="shared" si="65"/>
        <v>081</v>
      </c>
      <c r="G1358" s="2200">
        <f>--SUBTOTAL(3,C$2:C1358)</f>
        <v>67</v>
      </c>
    </row>
    <row r="1359" spans="1:7" hidden="1" x14ac:dyDescent="0.15">
      <c r="A1359" s="2200" t="s">
        <v>4280</v>
      </c>
      <c r="B1359" s="2200" t="s">
        <v>6995</v>
      </c>
      <c r="C1359" s="2200" t="s">
        <v>6996</v>
      </c>
      <c r="D1359" s="2200" t="str">
        <f t="shared" si="63"/>
        <v>MN</v>
      </c>
      <c r="E1359" s="2200" t="str">
        <f t="shared" si="64"/>
        <v>27</v>
      </c>
      <c r="F1359" s="2200" t="str">
        <f t="shared" si="65"/>
        <v>083</v>
      </c>
      <c r="G1359" s="2200">
        <f>--SUBTOTAL(3,C$2:C1359)</f>
        <v>67</v>
      </c>
    </row>
    <row r="1360" spans="1:7" hidden="1" x14ac:dyDescent="0.15">
      <c r="A1360" s="2200" t="s">
        <v>4280</v>
      </c>
      <c r="B1360" s="2200" t="s">
        <v>6997</v>
      </c>
      <c r="C1360" s="2200" t="s">
        <v>6998</v>
      </c>
      <c r="D1360" s="2200" t="str">
        <f t="shared" si="63"/>
        <v>MN</v>
      </c>
      <c r="E1360" s="2200" t="str">
        <f t="shared" si="64"/>
        <v>27</v>
      </c>
      <c r="F1360" s="2200" t="str">
        <f t="shared" si="65"/>
        <v>085</v>
      </c>
      <c r="G1360" s="2200">
        <f>--SUBTOTAL(3,C$2:C1360)</f>
        <v>67</v>
      </c>
    </row>
    <row r="1361" spans="1:7" hidden="1" x14ac:dyDescent="0.15">
      <c r="A1361" s="2200" t="s">
        <v>4280</v>
      </c>
      <c r="B1361" s="2200" t="s">
        <v>6999</v>
      </c>
      <c r="C1361" s="2200" t="s">
        <v>7000</v>
      </c>
      <c r="D1361" s="2200" t="str">
        <f t="shared" si="63"/>
        <v>MN</v>
      </c>
      <c r="E1361" s="2200" t="str">
        <f t="shared" si="64"/>
        <v>27</v>
      </c>
      <c r="F1361" s="2200" t="str">
        <f t="shared" si="65"/>
        <v>087</v>
      </c>
      <c r="G1361" s="2200">
        <f>--SUBTOTAL(3,C$2:C1361)</f>
        <v>67</v>
      </c>
    </row>
    <row r="1362" spans="1:7" hidden="1" x14ac:dyDescent="0.15">
      <c r="A1362" s="2200" t="s">
        <v>4280</v>
      </c>
      <c r="B1362" s="2200" t="s">
        <v>7001</v>
      </c>
      <c r="C1362" s="2200" t="s">
        <v>7002</v>
      </c>
      <c r="D1362" s="2200" t="str">
        <f t="shared" si="63"/>
        <v>MN</v>
      </c>
      <c r="E1362" s="2200" t="str">
        <f t="shared" si="64"/>
        <v>27</v>
      </c>
      <c r="F1362" s="2200" t="str">
        <f t="shared" si="65"/>
        <v>089</v>
      </c>
      <c r="G1362" s="2200">
        <f>--SUBTOTAL(3,C$2:C1362)</f>
        <v>67</v>
      </c>
    </row>
    <row r="1363" spans="1:7" hidden="1" x14ac:dyDescent="0.15">
      <c r="A1363" s="2200" t="s">
        <v>4280</v>
      </c>
      <c r="B1363" s="2200" t="s">
        <v>7003</v>
      </c>
      <c r="C1363" s="2200" t="s">
        <v>7004</v>
      </c>
      <c r="D1363" s="2200" t="str">
        <f t="shared" si="63"/>
        <v>MN</v>
      </c>
      <c r="E1363" s="2200" t="str">
        <f t="shared" si="64"/>
        <v>27</v>
      </c>
      <c r="F1363" s="2200" t="str">
        <f t="shared" si="65"/>
        <v>091</v>
      </c>
      <c r="G1363" s="2200">
        <f>--SUBTOTAL(3,C$2:C1363)</f>
        <v>67</v>
      </c>
    </row>
    <row r="1364" spans="1:7" hidden="1" x14ac:dyDescent="0.15">
      <c r="A1364" s="2200" t="s">
        <v>4280</v>
      </c>
      <c r="B1364" s="2200" t="s">
        <v>7005</v>
      </c>
      <c r="C1364" s="2200" t="s">
        <v>7006</v>
      </c>
      <c r="D1364" s="2200" t="str">
        <f t="shared" si="63"/>
        <v>MN</v>
      </c>
      <c r="E1364" s="2200" t="str">
        <f t="shared" si="64"/>
        <v>27</v>
      </c>
      <c r="F1364" s="2200" t="str">
        <f t="shared" si="65"/>
        <v>093</v>
      </c>
      <c r="G1364" s="2200">
        <f>--SUBTOTAL(3,C$2:C1364)</f>
        <v>67</v>
      </c>
    </row>
    <row r="1365" spans="1:7" hidden="1" x14ac:dyDescent="0.15">
      <c r="A1365" s="2200" t="s">
        <v>4280</v>
      </c>
      <c r="B1365" s="2200" t="s">
        <v>7007</v>
      </c>
      <c r="C1365" s="2200" t="s">
        <v>7008</v>
      </c>
      <c r="D1365" s="2200" t="str">
        <f t="shared" si="63"/>
        <v>MN</v>
      </c>
      <c r="E1365" s="2200" t="str">
        <f t="shared" si="64"/>
        <v>27</v>
      </c>
      <c r="F1365" s="2200" t="str">
        <f t="shared" si="65"/>
        <v>095</v>
      </c>
      <c r="G1365" s="2200">
        <f>--SUBTOTAL(3,C$2:C1365)</f>
        <v>67</v>
      </c>
    </row>
    <row r="1366" spans="1:7" hidden="1" x14ac:dyDescent="0.15">
      <c r="A1366" s="2200" t="s">
        <v>4280</v>
      </c>
      <c r="B1366" s="2200" t="s">
        <v>7009</v>
      </c>
      <c r="C1366" s="2200" t="s">
        <v>7010</v>
      </c>
      <c r="D1366" s="2200" t="str">
        <f t="shared" si="63"/>
        <v>MN</v>
      </c>
      <c r="E1366" s="2200" t="str">
        <f t="shared" si="64"/>
        <v>27</v>
      </c>
      <c r="F1366" s="2200" t="str">
        <f t="shared" si="65"/>
        <v>097</v>
      </c>
      <c r="G1366" s="2200">
        <f>--SUBTOTAL(3,C$2:C1366)</f>
        <v>67</v>
      </c>
    </row>
    <row r="1367" spans="1:7" hidden="1" x14ac:dyDescent="0.15">
      <c r="A1367" s="2200" t="s">
        <v>4280</v>
      </c>
      <c r="B1367" s="2200" t="s">
        <v>7011</v>
      </c>
      <c r="C1367" s="2200" t="s">
        <v>7012</v>
      </c>
      <c r="D1367" s="2200" t="str">
        <f t="shared" si="63"/>
        <v>MN</v>
      </c>
      <c r="E1367" s="2200" t="str">
        <f t="shared" si="64"/>
        <v>27</v>
      </c>
      <c r="F1367" s="2200" t="str">
        <f t="shared" si="65"/>
        <v>099</v>
      </c>
      <c r="G1367" s="2200">
        <f>--SUBTOTAL(3,C$2:C1367)</f>
        <v>67</v>
      </c>
    </row>
    <row r="1368" spans="1:7" hidden="1" x14ac:dyDescent="0.15">
      <c r="A1368" s="2200" t="s">
        <v>4280</v>
      </c>
      <c r="B1368" s="2200" t="s">
        <v>7013</v>
      </c>
      <c r="C1368" s="2200" t="s">
        <v>7014</v>
      </c>
      <c r="D1368" s="2200" t="str">
        <f t="shared" si="63"/>
        <v>MN</v>
      </c>
      <c r="E1368" s="2200" t="str">
        <f t="shared" si="64"/>
        <v>27</v>
      </c>
      <c r="F1368" s="2200" t="str">
        <f t="shared" si="65"/>
        <v>101</v>
      </c>
      <c r="G1368" s="2200">
        <f>--SUBTOTAL(3,C$2:C1368)</f>
        <v>67</v>
      </c>
    </row>
    <row r="1369" spans="1:7" hidden="1" x14ac:dyDescent="0.15">
      <c r="A1369" s="2200" t="s">
        <v>4280</v>
      </c>
      <c r="B1369" s="2200" t="s">
        <v>7015</v>
      </c>
      <c r="C1369" s="2200" t="s">
        <v>7016</v>
      </c>
      <c r="D1369" s="2200" t="str">
        <f t="shared" si="63"/>
        <v>MN</v>
      </c>
      <c r="E1369" s="2200" t="str">
        <f t="shared" si="64"/>
        <v>27</v>
      </c>
      <c r="F1369" s="2200" t="str">
        <f t="shared" si="65"/>
        <v>103</v>
      </c>
      <c r="G1369" s="2200">
        <f>--SUBTOTAL(3,C$2:C1369)</f>
        <v>67</v>
      </c>
    </row>
    <row r="1370" spans="1:7" hidden="1" x14ac:dyDescent="0.15">
      <c r="A1370" s="2200" t="s">
        <v>4280</v>
      </c>
      <c r="B1370" s="2200" t="s">
        <v>7017</v>
      </c>
      <c r="C1370" s="2200" t="s">
        <v>7018</v>
      </c>
      <c r="D1370" s="2200" t="str">
        <f t="shared" si="63"/>
        <v>MN</v>
      </c>
      <c r="E1370" s="2200" t="str">
        <f t="shared" si="64"/>
        <v>27</v>
      </c>
      <c r="F1370" s="2200" t="str">
        <f t="shared" si="65"/>
        <v>105</v>
      </c>
      <c r="G1370" s="2200">
        <f>--SUBTOTAL(3,C$2:C1370)</f>
        <v>67</v>
      </c>
    </row>
    <row r="1371" spans="1:7" hidden="1" x14ac:dyDescent="0.15">
      <c r="A1371" s="2200" t="s">
        <v>4280</v>
      </c>
      <c r="B1371" s="2200" t="s">
        <v>7019</v>
      </c>
      <c r="C1371" s="2200" t="s">
        <v>7020</v>
      </c>
      <c r="D1371" s="2200" t="str">
        <f t="shared" si="63"/>
        <v>MN</v>
      </c>
      <c r="E1371" s="2200" t="str">
        <f t="shared" si="64"/>
        <v>27</v>
      </c>
      <c r="F1371" s="2200" t="str">
        <f t="shared" si="65"/>
        <v>107</v>
      </c>
      <c r="G1371" s="2200">
        <f>--SUBTOTAL(3,C$2:C1371)</f>
        <v>67</v>
      </c>
    </row>
    <row r="1372" spans="1:7" hidden="1" x14ac:dyDescent="0.15">
      <c r="A1372" s="2200" t="s">
        <v>4280</v>
      </c>
      <c r="B1372" s="2200" t="s">
        <v>7021</v>
      </c>
      <c r="C1372" s="2200" t="s">
        <v>7022</v>
      </c>
      <c r="D1372" s="2200" t="str">
        <f t="shared" si="63"/>
        <v>MN</v>
      </c>
      <c r="E1372" s="2200" t="str">
        <f t="shared" si="64"/>
        <v>27</v>
      </c>
      <c r="F1372" s="2200" t="str">
        <f t="shared" si="65"/>
        <v>109</v>
      </c>
      <c r="G1372" s="2200">
        <f>--SUBTOTAL(3,C$2:C1372)</f>
        <v>67</v>
      </c>
    </row>
    <row r="1373" spans="1:7" hidden="1" x14ac:dyDescent="0.15">
      <c r="A1373" s="2200" t="s">
        <v>4280</v>
      </c>
      <c r="B1373" s="2200" t="s">
        <v>7023</v>
      </c>
      <c r="C1373" s="2200" t="s">
        <v>7024</v>
      </c>
      <c r="D1373" s="2200" t="str">
        <f t="shared" si="63"/>
        <v>MN</v>
      </c>
      <c r="E1373" s="2200" t="str">
        <f t="shared" si="64"/>
        <v>27</v>
      </c>
      <c r="F1373" s="2200" t="str">
        <f t="shared" si="65"/>
        <v>111</v>
      </c>
      <c r="G1373" s="2200">
        <f>--SUBTOTAL(3,C$2:C1373)</f>
        <v>67</v>
      </c>
    </row>
    <row r="1374" spans="1:7" hidden="1" x14ac:dyDescent="0.15">
      <c r="A1374" s="2200" t="s">
        <v>4280</v>
      </c>
      <c r="B1374" s="2200" t="s">
        <v>7025</v>
      </c>
      <c r="C1374" s="2200" t="s">
        <v>7026</v>
      </c>
      <c r="D1374" s="2200" t="str">
        <f t="shared" si="63"/>
        <v>MN</v>
      </c>
      <c r="E1374" s="2200" t="str">
        <f t="shared" si="64"/>
        <v>27</v>
      </c>
      <c r="F1374" s="2200" t="str">
        <f t="shared" si="65"/>
        <v>113</v>
      </c>
      <c r="G1374" s="2200">
        <f>--SUBTOTAL(3,C$2:C1374)</f>
        <v>67</v>
      </c>
    </row>
    <row r="1375" spans="1:7" hidden="1" x14ac:dyDescent="0.15">
      <c r="A1375" s="2200" t="s">
        <v>4280</v>
      </c>
      <c r="B1375" s="2200" t="s">
        <v>7027</v>
      </c>
      <c r="C1375" s="2200" t="s">
        <v>7028</v>
      </c>
      <c r="D1375" s="2200" t="str">
        <f t="shared" si="63"/>
        <v>MN</v>
      </c>
      <c r="E1375" s="2200" t="str">
        <f t="shared" si="64"/>
        <v>27</v>
      </c>
      <c r="F1375" s="2200" t="str">
        <f t="shared" si="65"/>
        <v>115</v>
      </c>
      <c r="G1375" s="2200">
        <f>--SUBTOTAL(3,C$2:C1375)</f>
        <v>67</v>
      </c>
    </row>
    <row r="1376" spans="1:7" hidden="1" x14ac:dyDescent="0.15">
      <c r="A1376" s="2200" t="s">
        <v>4280</v>
      </c>
      <c r="B1376" s="2200" t="s">
        <v>7029</v>
      </c>
      <c r="C1376" s="2200" t="s">
        <v>7030</v>
      </c>
      <c r="D1376" s="2200" t="str">
        <f t="shared" si="63"/>
        <v>MN</v>
      </c>
      <c r="E1376" s="2200" t="str">
        <f t="shared" si="64"/>
        <v>27</v>
      </c>
      <c r="F1376" s="2200" t="str">
        <f t="shared" si="65"/>
        <v>117</v>
      </c>
      <c r="G1376" s="2200">
        <f>--SUBTOTAL(3,C$2:C1376)</f>
        <v>67</v>
      </c>
    </row>
    <row r="1377" spans="1:7" hidden="1" x14ac:dyDescent="0.15">
      <c r="A1377" s="2200" t="s">
        <v>4280</v>
      </c>
      <c r="B1377" s="2200" t="s">
        <v>7031</v>
      </c>
      <c r="C1377" s="2200" t="s">
        <v>7032</v>
      </c>
      <c r="D1377" s="2200" t="str">
        <f t="shared" si="63"/>
        <v>MN</v>
      </c>
      <c r="E1377" s="2200" t="str">
        <f t="shared" si="64"/>
        <v>27</v>
      </c>
      <c r="F1377" s="2200" t="str">
        <f t="shared" si="65"/>
        <v>119</v>
      </c>
      <c r="G1377" s="2200">
        <f>--SUBTOTAL(3,C$2:C1377)</f>
        <v>67</v>
      </c>
    </row>
    <row r="1378" spans="1:7" hidden="1" x14ac:dyDescent="0.15">
      <c r="A1378" s="2200" t="s">
        <v>4280</v>
      </c>
      <c r="B1378" s="2200" t="s">
        <v>7033</v>
      </c>
      <c r="C1378" s="2200" t="s">
        <v>7034</v>
      </c>
      <c r="D1378" s="2200" t="str">
        <f t="shared" si="63"/>
        <v>MN</v>
      </c>
      <c r="E1378" s="2200" t="str">
        <f t="shared" si="64"/>
        <v>27</v>
      </c>
      <c r="F1378" s="2200" t="str">
        <f t="shared" si="65"/>
        <v>121</v>
      </c>
      <c r="G1378" s="2200">
        <f>--SUBTOTAL(3,C$2:C1378)</f>
        <v>67</v>
      </c>
    </row>
    <row r="1379" spans="1:7" hidden="1" x14ac:dyDescent="0.15">
      <c r="A1379" s="2200" t="s">
        <v>4280</v>
      </c>
      <c r="B1379" s="2200" t="s">
        <v>7035</v>
      </c>
      <c r="C1379" s="2200" t="s">
        <v>7036</v>
      </c>
      <c r="D1379" s="2200" t="str">
        <f t="shared" si="63"/>
        <v>MN</v>
      </c>
      <c r="E1379" s="2200" t="str">
        <f t="shared" si="64"/>
        <v>27</v>
      </c>
      <c r="F1379" s="2200" t="str">
        <f t="shared" si="65"/>
        <v>123</v>
      </c>
      <c r="G1379" s="2200">
        <f>--SUBTOTAL(3,C$2:C1379)</f>
        <v>67</v>
      </c>
    </row>
    <row r="1380" spans="1:7" hidden="1" x14ac:dyDescent="0.15">
      <c r="A1380" s="2200" t="s">
        <v>4280</v>
      </c>
      <c r="B1380" s="2200" t="s">
        <v>7037</v>
      </c>
      <c r="C1380" s="2200" t="s">
        <v>7038</v>
      </c>
      <c r="D1380" s="2200" t="str">
        <f t="shared" si="63"/>
        <v>MN</v>
      </c>
      <c r="E1380" s="2200" t="str">
        <f t="shared" si="64"/>
        <v>27</v>
      </c>
      <c r="F1380" s="2200" t="str">
        <f t="shared" si="65"/>
        <v>125</v>
      </c>
      <c r="G1380" s="2200">
        <f>--SUBTOTAL(3,C$2:C1380)</f>
        <v>67</v>
      </c>
    </row>
    <row r="1381" spans="1:7" hidden="1" x14ac:dyDescent="0.15">
      <c r="A1381" s="2200" t="s">
        <v>4280</v>
      </c>
      <c r="B1381" s="2200" t="s">
        <v>7039</v>
      </c>
      <c r="C1381" s="2200" t="s">
        <v>7040</v>
      </c>
      <c r="D1381" s="2200" t="str">
        <f t="shared" si="63"/>
        <v>MN</v>
      </c>
      <c r="E1381" s="2200" t="str">
        <f t="shared" si="64"/>
        <v>27</v>
      </c>
      <c r="F1381" s="2200" t="str">
        <f t="shared" si="65"/>
        <v>127</v>
      </c>
      <c r="G1381" s="2200">
        <f>--SUBTOTAL(3,C$2:C1381)</f>
        <v>67</v>
      </c>
    </row>
    <row r="1382" spans="1:7" hidden="1" x14ac:dyDescent="0.15">
      <c r="A1382" s="2200" t="s">
        <v>4280</v>
      </c>
      <c r="B1382" s="2200" t="s">
        <v>7041</v>
      </c>
      <c r="C1382" s="2200" t="s">
        <v>7042</v>
      </c>
      <c r="D1382" s="2200" t="str">
        <f t="shared" si="63"/>
        <v>MN</v>
      </c>
      <c r="E1382" s="2200" t="str">
        <f t="shared" si="64"/>
        <v>27</v>
      </c>
      <c r="F1382" s="2200" t="str">
        <f t="shared" si="65"/>
        <v>129</v>
      </c>
      <c r="G1382" s="2200">
        <f>--SUBTOTAL(3,C$2:C1382)</f>
        <v>67</v>
      </c>
    </row>
    <row r="1383" spans="1:7" hidden="1" x14ac:dyDescent="0.15">
      <c r="A1383" s="2200" t="s">
        <v>4280</v>
      </c>
      <c r="B1383" s="2200" t="s">
        <v>7043</v>
      </c>
      <c r="C1383" s="2200" t="s">
        <v>7044</v>
      </c>
      <c r="D1383" s="2200" t="str">
        <f t="shared" si="63"/>
        <v>MN</v>
      </c>
      <c r="E1383" s="2200" t="str">
        <f t="shared" si="64"/>
        <v>27</v>
      </c>
      <c r="F1383" s="2200" t="str">
        <f t="shared" si="65"/>
        <v>131</v>
      </c>
      <c r="G1383" s="2200">
        <f>--SUBTOTAL(3,C$2:C1383)</f>
        <v>67</v>
      </c>
    </row>
    <row r="1384" spans="1:7" hidden="1" x14ac:dyDescent="0.15">
      <c r="A1384" s="2200" t="s">
        <v>4280</v>
      </c>
      <c r="B1384" s="2200" t="s">
        <v>7045</v>
      </c>
      <c r="C1384" s="2200" t="s">
        <v>7046</v>
      </c>
      <c r="D1384" s="2200" t="str">
        <f t="shared" si="63"/>
        <v>MN</v>
      </c>
      <c r="E1384" s="2200" t="str">
        <f t="shared" si="64"/>
        <v>27</v>
      </c>
      <c r="F1384" s="2200" t="str">
        <f t="shared" si="65"/>
        <v>133</v>
      </c>
      <c r="G1384" s="2200">
        <f>--SUBTOTAL(3,C$2:C1384)</f>
        <v>67</v>
      </c>
    </row>
    <row r="1385" spans="1:7" hidden="1" x14ac:dyDescent="0.15">
      <c r="A1385" s="2200" t="s">
        <v>4280</v>
      </c>
      <c r="B1385" s="2200" t="s">
        <v>7047</v>
      </c>
      <c r="C1385" s="2200" t="s">
        <v>7048</v>
      </c>
      <c r="D1385" s="2200" t="str">
        <f t="shared" si="63"/>
        <v>MN</v>
      </c>
      <c r="E1385" s="2200" t="str">
        <f t="shared" si="64"/>
        <v>27</v>
      </c>
      <c r="F1385" s="2200" t="str">
        <f t="shared" si="65"/>
        <v>135</v>
      </c>
      <c r="G1385" s="2200">
        <f>--SUBTOTAL(3,C$2:C1385)</f>
        <v>67</v>
      </c>
    </row>
    <row r="1386" spans="1:7" hidden="1" x14ac:dyDescent="0.15">
      <c r="A1386" s="2200" t="s">
        <v>4280</v>
      </c>
      <c r="B1386" s="2200" t="s">
        <v>7049</v>
      </c>
      <c r="C1386" s="2200" t="s">
        <v>7050</v>
      </c>
      <c r="D1386" s="2200" t="str">
        <f t="shared" si="63"/>
        <v>MN</v>
      </c>
      <c r="E1386" s="2200" t="str">
        <f t="shared" si="64"/>
        <v>27</v>
      </c>
      <c r="F1386" s="2200" t="str">
        <f t="shared" si="65"/>
        <v>137</v>
      </c>
      <c r="G1386" s="2200">
        <f>--SUBTOTAL(3,C$2:C1386)</f>
        <v>67</v>
      </c>
    </row>
    <row r="1387" spans="1:7" hidden="1" x14ac:dyDescent="0.15">
      <c r="A1387" s="2200" t="s">
        <v>4280</v>
      </c>
      <c r="B1387" s="2200" t="s">
        <v>7051</v>
      </c>
      <c r="C1387" s="2200" t="s">
        <v>7052</v>
      </c>
      <c r="D1387" s="2200" t="str">
        <f t="shared" si="63"/>
        <v>MN</v>
      </c>
      <c r="E1387" s="2200" t="str">
        <f t="shared" si="64"/>
        <v>27</v>
      </c>
      <c r="F1387" s="2200" t="str">
        <f t="shared" si="65"/>
        <v>139</v>
      </c>
      <c r="G1387" s="2200">
        <f>--SUBTOTAL(3,C$2:C1387)</f>
        <v>67</v>
      </c>
    </row>
    <row r="1388" spans="1:7" hidden="1" x14ac:dyDescent="0.15">
      <c r="A1388" s="2200" t="s">
        <v>4280</v>
      </c>
      <c r="B1388" s="2200" t="s">
        <v>7053</v>
      </c>
      <c r="C1388" s="2200" t="s">
        <v>7054</v>
      </c>
      <c r="D1388" s="2200" t="str">
        <f t="shared" si="63"/>
        <v>MN</v>
      </c>
      <c r="E1388" s="2200" t="str">
        <f t="shared" si="64"/>
        <v>27</v>
      </c>
      <c r="F1388" s="2200" t="str">
        <f t="shared" si="65"/>
        <v>141</v>
      </c>
      <c r="G1388" s="2200">
        <f>--SUBTOTAL(3,C$2:C1388)</f>
        <v>67</v>
      </c>
    </row>
    <row r="1389" spans="1:7" hidden="1" x14ac:dyDescent="0.15">
      <c r="A1389" s="2200" t="s">
        <v>4280</v>
      </c>
      <c r="B1389" s="2200" t="s">
        <v>7055</v>
      </c>
      <c r="C1389" s="2200" t="s">
        <v>7056</v>
      </c>
      <c r="D1389" s="2200" t="str">
        <f t="shared" si="63"/>
        <v>MN</v>
      </c>
      <c r="E1389" s="2200" t="str">
        <f t="shared" si="64"/>
        <v>27</v>
      </c>
      <c r="F1389" s="2200" t="str">
        <f t="shared" si="65"/>
        <v>143</v>
      </c>
      <c r="G1389" s="2200">
        <f>--SUBTOTAL(3,C$2:C1389)</f>
        <v>67</v>
      </c>
    </row>
    <row r="1390" spans="1:7" hidden="1" x14ac:dyDescent="0.15">
      <c r="A1390" s="2200" t="s">
        <v>4280</v>
      </c>
      <c r="B1390" s="2200" t="s">
        <v>7057</v>
      </c>
      <c r="C1390" s="2200" t="s">
        <v>7058</v>
      </c>
      <c r="D1390" s="2200" t="str">
        <f t="shared" si="63"/>
        <v>MN</v>
      </c>
      <c r="E1390" s="2200" t="str">
        <f t="shared" si="64"/>
        <v>27</v>
      </c>
      <c r="F1390" s="2200" t="str">
        <f t="shared" si="65"/>
        <v>145</v>
      </c>
      <c r="G1390" s="2200">
        <f>--SUBTOTAL(3,C$2:C1390)</f>
        <v>67</v>
      </c>
    </row>
    <row r="1391" spans="1:7" hidden="1" x14ac:dyDescent="0.15">
      <c r="A1391" s="2200" t="s">
        <v>4280</v>
      </c>
      <c r="B1391" s="2200" t="s">
        <v>7059</v>
      </c>
      <c r="C1391" s="2200" t="s">
        <v>7060</v>
      </c>
      <c r="D1391" s="2200" t="str">
        <f t="shared" si="63"/>
        <v>MN</v>
      </c>
      <c r="E1391" s="2200" t="str">
        <f t="shared" si="64"/>
        <v>27</v>
      </c>
      <c r="F1391" s="2200" t="str">
        <f t="shared" si="65"/>
        <v>147</v>
      </c>
      <c r="G1391" s="2200">
        <f>--SUBTOTAL(3,C$2:C1391)</f>
        <v>67</v>
      </c>
    </row>
    <row r="1392" spans="1:7" hidden="1" x14ac:dyDescent="0.15">
      <c r="A1392" s="2200" t="s">
        <v>4280</v>
      </c>
      <c r="B1392" s="2200" t="s">
        <v>7061</v>
      </c>
      <c r="C1392" s="2200" t="s">
        <v>7062</v>
      </c>
      <c r="D1392" s="2200" t="str">
        <f t="shared" si="63"/>
        <v>MN</v>
      </c>
      <c r="E1392" s="2200" t="str">
        <f t="shared" si="64"/>
        <v>27</v>
      </c>
      <c r="F1392" s="2200" t="str">
        <f t="shared" si="65"/>
        <v>149</v>
      </c>
      <c r="G1392" s="2200">
        <f>--SUBTOTAL(3,C$2:C1392)</f>
        <v>67</v>
      </c>
    </row>
    <row r="1393" spans="1:7" hidden="1" x14ac:dyDescent="0.15">
      <c r="A1393" s="2200" t="s">
        <v>4280</v>
      </c>
      <c r="B1393" s="2200" t="s">
        <v>7063</v>
      </c>
      <c r="C1393" s="2200" t="s">
        <v>7064</v>
      </c>
      <c r="D1393" s="2200" t="str">
        <f t="shared" si="63"/>
        <v>MN</v>
      </c>
      <c r="E1393" s="2200" t="str">
        <f t="shared" si="64"/>
        <v>27</v>
      </c>
      <c r="F1393" s="2200" t="str">
        <f t="shared" si="65"/>
        <v>151</v>
      </c>
      <c r="G1393" s="2200">
        <f>--SUBTOTAL(3,C$2:C1393)</f>
        <v>67</v>
      </c>
    </row>
    <row r="1394" spans="1:7" hidden="1" x14ac:dyDescent="0.15">
      <c r="A1394" s="2200" t="s">
        <v>4280</v>
      </c>
      <c r="B1394" s="2200" t="s">
        <v>7065</v>
      </c>
      <c r="C1394" s="2200" t="s">
        <v>7066</v>
      </c>
      <c r="D1394" s="2200" t="str">
        <f t="shared" si="63"/>
        <v>MN</v>
      </c>
      <c r="E1394" s="2200" t="str">
        <f t="shared" si="64"/>
        <v>27</v>
      </c>
      <c r="F1394" s="2200" t="str">
        <f t="shared" si="65"/>
        <v>153</v>
      </c>
      <c r="G1394" s="2200">
        <f>--SUBTOTAL(3,C$2:C1394)</f>
        <v>67</v>
      </c>
    </row>
    <row r="1395" spans="1:7" hidden="1" x14ac:dyDescent="0.15">
      <c r="A1395" s="2200" t="s">
        <v>4280</v>
      </c>
      <c r="B1395" s="2200" t="s">
        <v>7067</v>
      </c>
      <c r="C1395" s="2200" t="s">
        <v>7068</v>
      </c>
      <c r="D1395" s="2200" t="str">
        <f t="shared" si="63"/>
        <v>MN</v>
      </c>
      <c r="E1395" s="2200" t="str">
        <f t="shared" si="64"/>
        <v>27</v>
      </c>
      <c r="F1395" s="2200" t="str">
        <f t="shared" si="65"/>
        <v>155</v>
      </c>
      <c r="G1395" s="2200">
        <f>--SUBTOTAL(3,C$2:C1395)</f>
        <v>67</v>
      </c>
    </row>
    <row r="1396" spans="1:7" hidden="1" x14ac:dyDescent="0.15">
      <c r="A1396" s="2200" t="s">
        <v>4280</v>
      </c>
      <c r="B1396" s="2200" t="s">
        <v>7069</v>
      </c>
      <c r="C1396" s="2200" t="s">
        <v>7070</v>
      </c>
      <c r="D1396" s="2200" t="str">
        <f t="shared" si="63"/>
        <v>MN</v>
      </c>
      <c r="E1396" s="2200" t="str">
        <f t="shared" si="64"/>
        <v>27</v>
      </c>
      <c r="F1396" s="2200" t="str">
        <f t="shared" si="65"/>
        <v>157</v>
      </c>
      <c r="G1396" s="2200">
        <f>--SUBTOTAL(3,C$2:C1396)</f>
        <v>67</v>
      </c>
    </row>
    <row r="1397" spans="1:7" hidden="1" x14ac:dyDescent="0.15">
      <c r="A1397" s="2200" t="s">
        <v>4280</v>
      </c>
      <c r="B1397" s="2200" t="s">
        <v>7071</v>
      </c>
      <c r="C1397" s="2200" t="s">
        <v>7072</v>
      </c>
      <c r="D1397" s="2200" t="str">
        <f t="shared" si="63"/>
        <v>MN</v>
      </c>
      <c r="E1397" s="2200" t="str">
        <f t="shared" si="64"/>
        <v>27</v>
      </c>
      <c r="F1397" s="2200" t="str">
        <f t="shared" si="65"/>
        <v>159</v>
      </c>
      <c r="G1397" s="2200">
        <f>--SUBTOTAL(3,C$2:C1397)</f>
        <v>67</v>
      </c>
    </row>
    <row r="1398" spans="1:7" hidden="1" x14ac:dyDescent="0.15">
      <c r="A1398" s="2200" t="s">
        <v>4280</v>
      </c>
      <c r="B1398" s="2200" t="s">
        <v>7073</v>
      </c>
      <c r="C1398" s="2200" t="s">
        <v>7074</v>
      </c>
      <c r="D1398" s="2200" t="str">
        <f t="shared" si="63"/>
        <v>MN</v>
      </c>
      <c r="E1398" s="2200" t="str">
        <f t="shared" si="64"/>
        <v>27</v>
      </c>
      <c r="F1398" s="2200" t="str">
        <f t="shared" si="65"/>
        <v>161</v>
      </c>
      <c r="G1398" s="2200">
        <f>--SUBTOTAL(3,C$2:C1398)</f>
        <v>67</v>
      </c>
    </row>
    <row r="1399" spans="1:7" hidden="1" x14ac:dyDescent="0.15">
      <c r="A1399" s="2200" t="s">
        <v>4280</v>
      </c>
      <c r="B1399" s="2200" t="s">
        <v>7075</v>
      </c>
      <c r="C1399" s="2200" t="s">
        <v>7076</v>
      </c>
      <c r="D1399" s="2200" t="str">
        <f t="shared" si="63"/>
        <v>MN</v>
      </c>
      <c r="E1399" s="2200" t="str">
        <f t="shared" si="64"/>
        <v>27</v>
      </c>
      <c r="F1399" s="2200" t="str">
        <f t="shared" si="65"/>
        <v>163</v>
      </c>
      <c r="G1399" s="2200">
        <f>--SUBTOTAL(3,C$2:C1399)</f>
        <v>67</v>
      </c>
    </row>
    <row r="1400" spans="1:7" hidden="1" x14ac:dyDescent="0.15">
      <c r="A1400" s="2200" t="s">
        <v>4280</v>
      </c>
      <c r="B1400" s="2200" t="s">
        <v>7077</v>
      </c>
      <c r="C1400" s="2200" t="s">
        <v>7078</v>
      </c>
      <c r="D1400" s="2200" t="str">
        <f t="shared" si="63"/>
        <v>MN</v>
      </c>
      <c r="E1400" s="2200" t="str">
        <f t="shared" si="64"/>
        <v>27</v>
      </c>
      <c r="F1400" s="2200" t="str">
        <f t="shared" si="65"/>
        <v>165</v>
      </c>
      <c r="G1400" s="2200">
        <f>--SUBTOTAL(3,C$2:C1400)</f>
        <v>67</v>
      </c>
    </row>
    <row r="1401" spans="1:7" hidden="1" x14ac:dyDescent="0.15">
      <c r="A1401" s="2200" t="s">
        <v>4280</v>
      </c>
      <c r="B1401" s="2200" t="s">
        <v>7079</v>
      </c>
      <c r="C1401" s="2200" t="s">
        <v>7080</v>
      </c>
      <c r="D1401" s="2200" t="str">
        <f t="shared" si="63"/>
        <v>MN</v>
      </c>
      <c r="E1401" s="2200" t="str">
        <f t="shared" si="64"/>
        <v>27</v>
      </c>
      <c r="F1401" s="2200" t="str">
        <f t="shared" si="65"/>
        <v>167</v>
      </c>
      <c r="G1401" s="2200">
        <f>--SUBTOTAL(3,C$2:C1401)</f>
        <v>67</v>
      </c>
    </row>
    <row r="1402" spans="1:7" hidden="1" x14ac:dyDescent="0.15">
      <c r="A1402" s="2200" t="s">
        <v>4280</v>
      </c>
      <c r="B1402" s="2200" t="s">
        <v>7081</v>
      </c>
      <c r="C1402" s="2200" t="s">
        <v>7082</v>
      </c>
      <c r="D1402" s="2200" t="str">
        <f t="shared" si="63"/>
        <v>MN</v>
      </c>
      <c r="E1402" s="2200" t="str">
        <f t="shared" si="64"/>
        <v>27</v>
      </c>
      <c r="F1402" s="2200" t="str">
        <f t="shared" si="65"/>
        <v>169</v>
      </c>
      <c r="G1402" s="2200">
        <f>--SUBTOTAL(3,C$2:C1402)</f>
        <v>67</v>
      </c>
    </row>
    <row r="1403" spans="1:7" hidden="1" x14ac:dyDescent="0.15">
      <c r="A1403" s="2200" t="s">
        <v>4280</v>
      </c>
      <c r="B1403" s="2200" t="s">
        <v>7083</v>
      </c>
      <c r="C1403" s="2200" t="s">
        <v>7084</v>
      </c>
      <c r="D1403" s="2200" t="str">
        <f t="shared" si="63"/>
        <v>MN</v>
      </c>
      <c r="E1403" s="2200" t="str">
        <f t="shared" si="64"/>
        <v>27</v>
      </c>
      <c r="F1403" s="2200" t="str">
        <f t="shared" si="65"/>
        <v>171</v>
      </c>
      <c r="G1403" s="2200">
        <f>--SUBTOTAL(3,C$2:C1403)</f>
        <v>67</v>
      </c>
    </row>
    <row r="1404" spans="1:7" hidden="1" x14ac:dyDescent="0.15">
      <c r="A1404" s="2200" t="s">
        <v>4280</v>
      </c>
      <c r="B1404" s="2200" t="s">
        <v>7085</v>
      </c>
      <c r="C1404" s="2200" t="s">
        <v>7086</v>
      </c>
      <c r="D1404" s="2200" t="str">
        <f t="shared" si="63"/>
        <v>MN</v>
      </c>
      <c r="E1404" s="2200" t="str">
        <f t="shared" si="64"/>
        <v>27</v>
      </c>
      <c r="F1404" s="2200" t="str">
        <f t="shared" si="65"/>
        <v>173</v>
      </c>
      <c r="G1404" s="2200">
        <f>--SUBTOTAL(3,C$2:C1404)</f>
        <v>67</v>
      </c>
    </row>
    <row r="1405" spans="1:7" hidden="1" x14ac:dyDescent="0.15">
      <c r="A1405" s="2200" t="s">
        <v>4280</v>
      </c>
      <c r="B1405" s="2200" t="s">
        <v>7087</v>
      </c>
      <c r="C1405" s="2200" t="s">
        <v>7088</v>
      </c>
      <c r="D1405" s="2200" t="str">
        <f t="shared" si="63"/>
        <v>MS</v>
      </c>
      <c r="E1405" s="2200" t="str">
        <f t="shared" si="64"/>
        <v>28</v>
      </c>
      <c r="F1405" s="2200" t="str">
        <f t="shared" si="65"/>
        <v>001</v>
      </c>
      <c r="G1405" s="2200">
        <f>--SUBTOTAL(3,C$2:C1405)</f>
        <v>67</v>
      </c>
    </row>
    <row r="1406" spans="1:7" hidden="1" x14ac:dyDescent="0.15">
      <c r="A1406" s="2200" t="s">
        <v>4280</v>
      </c>
      <c r="B1406" s="2200" t="s">
        <v>7089</v>
      </c>
      <c r="C1406" s="2200" t="s">
        <v>7090</v>
      </c>
      <c r="D1406" s="2200" t="str">
        <f t="shared" si="63"/>
        <v>MS</v>
      </c>
      <c r="E1406" s="2200" t="str">
        <f t="shared" si="64"/>
        <v>28</v>
      </c>
      <c r="F1406" s="2200" t="str">
        <f t="shared" si="65"/>
        <v>003</v>
      </c>
      <c r="G1406" s="2200">
        <f>--SUBTOTAL(3,C$2:C1406)</f>
        <v>67</v>
      </c>
    </row>
    <row r="1407" spans="1:7" hidden="1" x14ac:dyDescent="0.15">
      <c r="A1407" s="2200" t="s">
        <v>4280</v>
      </c>
      <c r="B1407" s="2200" t="s">
        <v>7091</v>
      </c>
      <c r="C1407" s="2200" t="s">
        <v>7092</v>
      </c>
      <c r="D1407" s="2200" t="str">
        <f t="shared" si="63"/>
        <v>MS</v>
      </c>
      <c r="E1407" s="2200" t="str">
        <f t="shared" si="64"/>
        <v>28</v>
      </c>
      <c r="F1407" s="2200" t="str">
        <f t="shared" si="65"/>
        <v>005</v>
      </c>
      <c r="G1407" s="2200">
        <f>--SUBTOTAL(3,C$2:C1407)</f>
        <v>67</v>
      </c>
    </row>
    <row r="1408" spans="1:7" hidden="1" x14ac:dyDescent="0.15">
      <c r="A1408" s="2200" t="s">
        <v>4280</v>
      </c>
      <c r="B1408" s="2200" t="s">
        <v>7093</v>
      </c>
      <c r="C1408" s="2200" t="s">
        <v>7094</v>
      </c>
      <c r="D1408" s="2200" t="str">
        <f t="shared" si="63"/>
        <v>MS</v>
      </c>
      <c r="E1408" s="2200" t="str">
        <f t="shared" si="64"/>
        <v>28</v>
      </c>
      <c r="F1408" s="2200" t="str">
        <f t="shared" si="65"/>
        <v>007</v>
      </c>
      <c r="G1408" s="2200">
        <f>--SUBTOTAL(3,C$2:C1408)</f>
        <v>67</v>
      </c>
    </row>
    <row r="1409" spans="1:7" hidden="1" x14ac:dyDescent="0.15">
      <c r="A1409" s="2200" t="s">
        <v>4280</v>
      </c>
      <c r="B1409" s="2200" t="s">
        <v>7095</v>
      </c>
      <c r="C1409" s="2200" t="s">
        <v>7096</v>
      </c>
      <c r="D1409" s="2200" t="str">
        <f t="shared" si="63"/>
        <v>MS</v>
      </c>
      <c r="E1409" s="2200" t="str">
        <f t="shared" si="64"/>
        <v>28</v>
      </c>
      <c r="F1409" s="2200" t="str">
        <f t="shared" si="65"/>
        <v>009</v>
      </c>
      <c r="G1409" s="2200">
        <f>--SUBTOTAL(3,C$2:C1409)</f>
        <v>67</v>
      </c>
    </row>
    <row r="1410" spans="1:7" hidden="1" x14ac:dyDescent="0.15">
      <c r="A1410" s="2200" t="s">
        <v>4280</v>
      </c>
      <c r="B1410" s="2200" t="s">
        <v>7097</v>
      </c>
      <c r="C1410" s="2200" t="s">
        <v>7098</v>
      </c>
      <c r="D1410" s="2200" t="str">
        <f t="shared" si="63"/>
        <v>MS</v>
      </c>
      <c r="E1410" s="2200" t="str">
        <f t="shared" si="64"/>
        <v>28</v>
      </c>
      <c r="F1410" s="2200" t="str">
        <f t="shared" si="65"/>
        <v>011</v>
      </c>
      <c r="G1410" s="2200">
        <f>--SUBTOTAL(3,C$2:C1410)</f>
        <v>67</v>
      </c>
    </row>
    <row r="1411" spans="1:7" hidden="1" x14ac:dyDescent="0.15">
      <c r="A1411" s="2200" t="s">
        <v>4280</v>
      </c>
      <c r="B1411" s="2200" t="s">
        <v>7099</v>
      </c>
      <c r="C1411" s="2200" t="s">
        <v>7100</v>
      </c>
      <c r="D1411" s="2200" t="str">
        <f t="shared" ref="D1411:D1474" si="66">RIGHT(C1411,2)</f>
        <v>MS</v>
      </c>
      <c r="E1411" s="2200" t="str">
        <f t="shared" ref="E1411:E1474" si="67">MID(B1411,3,2)</f>
        <v>28</v>
      </c>
      <c r="F1411" s="2200" t="str">
        <f t="shared" ref="F1411:F1474" si="68">MID(B1411,5,3)</f>
        <v>013</v>
      </c>
      <c r="G1411" s="2200">
        <f>--SUBTOTAL(3,C$2:C1411)</f>
        <v>67</v>
      </c>
    </row>
    <row r="1412" spans="1:7" hidden="1" x14ac:dyDescent="0.15">
      <c r="A1412" s="2200" t="s">
        <v>4280</v>
      </c>
      <c r="B1412" s="2200" t="s">
        <v>7101</v>
      </c>
      <c r="C1412" s="2200" t="s">
        <v>7102</v>
      </c>
      <c r="D1412" s="2200" t="str">
        <f t="shared" si="66"/>
        <v>MS</v>
      </c>
      <c r="E1412" s="2200" t="str">
        <f t="shared" si="67"/>
        <v>28</v>
      </c>
      <c r="F1412" s="2200" t="str">
        <f t="shared" si="68"/>
        <v>015</v>
      </c>
      <c r="G1412" s="2200">
        <f>--SUBTOTAL(3,C$2:C1412)</f>
        <v>67</v>
      </c>
    </row>
    <row r="1413" spans="1:7" hidden="1" x14ac:dyDescent="0.15">
      <c r="A1413" s="2200" t="s">
        <v>4280</v>
      </c>
      <c r="B1413" s="2200" t="s">
        <v>7103</v>
      </c>
      <c r="C1413" s="2200" t="s">
        <v>7104</v>
      </c>
      <c r="D1413" s="2200" t="str">
        <f t="shared" si="66"/>
        <v>MS</v>
      </c>
      <c r="E1413" s="2200" t="str">
        <f t="shared" si="67"/>
        <v>28</v>
      </c>
      <c r="F1413" s="2200" t="str">
        <f t="shared" si="68"/>
        <v>017</v>
      </c>
      <c r="G1413" s="2200">
        <f>--SUBTOTAL(3,C$2:C1413)</f>
        <v>67</v>
      </c>
    </row>
    <row r="1414" spans="1:7" hidden="1" x14ac:dyDescent="0.15">
      <c r="A1414" s="2200" t="s">
        <v>4280</v>
      </c>
      <c r="B1414" s="2200" t="s">
        <v>7105</v>
      </c>
      <c r="C1414" s="2200" t="s">
        <v>7106</v>
      </c>
      <c r="D1414" s="2200" t="str">
        <f t="shared" si="66"/>
        <v>MS</v>
      </c>
      <c r="E1414" s="2200" t="str">
        <f t="shared" si="67"/>
        <v>28</v>
      </c>
      <c r="F1414" s="2200" t="str">
        <f t="shared" si="68"/>
        <v>019</v>
      </c>
      <c r="G1414" s="2200">
        <f>--SUBTOTAL(3,C$2:C1414)</f>
        <v>67</v>
      </c>
    </row>
    <row r="1415" spans="1:7" hidden="1" x14ac:dyDescent="0.15">
      <c r="A1415" s="2200" t="s">
        <v>4280</v>
      </c>
      <c r="B1415" s="2200" t="s">
        <v>7107</v>
      </c>
      <c r="C1415" s="2200" t="s">
        <v>7108</v>
      </c>
      <c r="D1415" s="2200" t="str">
        <f t="shared" si="66"/>
        <v>MS</v>
      </c>
      <c r="E1415" s="2200" t="str">
        <f t="shared" si="67"/>
        <v>28</v>
      </c>
      <c r="F1415" s="2200" t="str">
        <f t="shared" si="68"/>
        <v>021</v>
      </c>
      <c r="G1415" s="2200">
        <f>--SUBTOTAL(3,C$2:C1415)</f>
        <v>67</v>
      </c>
    </row>
    <row r="1416" spans="1:7" hidden="1" x14ac:dyDescent="0.15">
      <c r="A1416" s="2200" t="s">
        <v>4280</v>
      </c>
      <c r="B1416" s="2200" t="s">
        <v>7109</v>
      </c>
      <c r="C1416" s="2200" t="s">
        <v>7110</v>
      </c>
      <c r="D1416" s="2200" t="str">
        <f t="shared" si="66"/>
        <v>MS</v>
      </c>
      <c r="E1416" s="2200" t="str">
        <f t="shared" si="67"/>
        <v>28</v>
      </c>
      <c r="F1416" s="2200" t="str">
        <f t="shared" si="68"/>
        <v>023</v>
      </c>
      <c r="G1416" s="2200">
        <f>--SUBTOTAL(3,C$2:C1416)</f>
        <v>67</v>
      </c>
    </row>
    <row r="1417" spans="1:7" hidden="1" x14ac:dyDescent="0.15">
      <c r="A1417" s="2200" t="s">
        <v>4280</v>
      </c>
      <c r="B1417" s="2200" t="s">
        <v>7111</v>
      </c>
      <c r="C1417" s="2200" t="s">
        <v>7112</v>
      </c>
      <c r="D1417" s="2200" t="str">
        <f t="shared" si="66"/>
        <v>MS</v>
      </c>
      <c r="E1417" s="2200" t="str">
        <f t="shared" si="67"/>
        <v>28</v>
      </c>
      <c r="F1417" s="2200" t="str">
        <f t="shared" si="68"/>
        <v>025</v>
      </c>
      <c r="G1417" s="2200">
        <f>--SUBTOTAL(3,C$2:C1417)</f>
        <v>67</v>
      </c>
    </row>
    <row r="1418" spans="1:7" hidden="1" x14ac:dyDescent="0.15">
      <c r="A1418" s="2200" t="s">
        <v>4280</v>
      </c>
      <c r="B1418" s="2200" t="s">
        <v>7113</v>
      </c>
      <c r="C1418" s="2200" t="s">
        <v>7114</v>
      </c>
      <c r="D1418" s="2200" t="str">
        <f t="shared" si="66"/>
        <v>MS</v>
      </c>
      <c r="E1418" s="2200" t="str">
        <f t="shared" si="67"/>
        <v>28</v>
      </c>
      <c r="F1418" s="2200" t="str">
        <f t="shared" si="68"/>
        <v>027</v>
      </c>
      <c r="G1418" s="2200">
        <f>--SUBTOTAL(3,C$2:C1418)</f>
        <v>67</v>
      </c>
    </row>
    <row r="1419" spans="1:7" hidden="1" x14ac:dyDescent="0.15">
      <c r="A1419" s="2200" t="s">
        <v>4280</v>
      </c>
      <c r="B1419" s="2200" t="s">
        <v>7115</v>
      </c>
      <c r="C1419" s="2200" t="s">
        <v>7116</v>
      </c>
      <c r="D1419" s="2200" t="str">
        <f t="shared" si="66"/>
        <v>MS</v>
      </c>
      <c r="E1419" s="2200" t="str">
        <f t="shared" si="67"/>
        <v>28</v>
      </c>
      <c r="F1419" s="2200" t="str">
        <f t="shared" si="68"/>
        <v>029</v>
      </c>
      <c r="G1419" s="2200">
        <f>--SUBTOTAL(3,C$2:C1419)</f>
        <v>67</v>
      </c>
    </row>
    <row r="1420" spans="1:7" hidden="1" x14ac:dyDescent="0.15">
      <c r="A1420" s="2200" t="s">
        <v>4280</v>
      </c>
      <c r="B1420" s="2200" t="s">
        <v>7117</v>
      </c>
      <c r="C1420" s="2200" t="s">
        <v>7118</v>
      </c>
      <c r="D1420" s="2200" t="str">
        <f t="shared" si="66"/>
        <v>MS</v>
      </c>
      <c r="E1420" s="2200" t="str">
        <f t="shared" si="67"/>
        <v>28</v>
      </c>
      <c r="F1420" s="2200" t="str">
        <f t="shared" si="68"/>
        <v>031</v>
      </c>
      <c r="G1420" s="2200">
        <f>--SUBTOTAL(3,C$2:C1420)</f>
        <v>67</v>
      </c>
    </row>
    <row r="1421" spans="1:7" hidden="1" x14ac:dyDescent="0.15">
      <c r="A1421" s="2200" t="s">
        <v>4280</v>
      </c>
      <c r="B1421" s="2200" t="s">
        <v>7119</v>
      </c>
      <c r="C1421" s="2200" t="s">
        <v>7120</v>
      </c>
      <c r="D1421" s="2200" t="str">
        <f t="shared" si="66"/>
        <v>MS</v>
      </c>
      <c r="E1421" s="2200" t="str">
        <f t="shared" si="67"/>
        <v>28</v>
      </c>
      <c r="F1421" s="2200" t="str">
        <f t="shared" si="68"/>
        <v>033</v>
      </c>
      <c r="G1421" s="2200">
        <f>--SUBTOTAL(3,C$2:C1421)</f>
        <v>67</v>
      </c>
    </row>
    <row r="1422" spans="1:7" hidden="1" x14ac:dyDescent="0.15">
      <c r="A1422" s="2200" t="s">
        <v>4280</v>
      </c>
      <c r="B1422" s="2200" t="s">
        <v>7121</v>
      </c>
      <c r="C1422" s="2200" t="s">
        <v>7122</v>
      </c>
      <c r="D1422" s="2200" t="str">
        <f t="shared" si="66"/>
        <v>MS</v>
      </c>
      <c r="E1422" s="2200" t="str">
        <f t="shared" si="67"/>
        <v>28</v>
      </c>
      <c r="F1422" s="2200" t="str">
        <f t="shared" si="68"/>
        <v>035</v>
      </c>
      <c r="G1422" s="2200">
        <f>--SUBTOTAL(3,C$2:C1422)</f>
        <v>67</v>
      </c>
    </row>
    <row r="1423" spans="1:7" hidden="1" x14ac:dyDescent="0.15">
      <c r="A1423" s="2200" t="s">
        <v>4280</v>
      </c>
      <c r="B1423" s="2200" t="s">
        <v>7123</v>
      </c>
      <c r="C1423" s="2200" t="s">
        <v>7124</v>
      </c>
      <c r="D1423" s="2200" t="str">
        <f t="shared" si="66"/>
        <v>MS</v>
      </c>
      <c r="E1423" s="2200" t="str">
        <f t="shared" si="67"/>
        <v>28</v>
      </c>
      <c r="F1423" s="2200" t="str">
        <f t="shared" si="68"/>
        <v>037</v>
      </c>
      <c r="G1423" s="2200">
        <f>--SUBTOTAL(3,C$2:C1423)</f>
        <v>67</v>
      </c>
    </row>
    <row r="1424" spans="1:7" hidden="1" x14ac:dyDescent="0.15">
      <c r="A1424" s="2200" t="s">
        <v>4280</v>
      </c>
      <c r="B1424" s="2200" t="s">
        <v>7125</v>
      </c>
      <c r="C1424" s="2200" t="s">
        <v>7126</v>
      </c>
      <c r="D1424" s="2200" t="str">
        <f t="shared" si="66"/>
        <v>MS</v>
      </c>
      <c r="E1424" s="2200" t="str">
        <f t="shared" si="67"/>
        <v>28</v>
      </c>
      <c r="F1424" s="2200" t="str">
        <f t="shared" si="68"/>
        <v>039</v>
      </c>
      <c r="G1424" s="2200">
        <f>--SUBTOTAL(3,C$2:C1424)</f>
        <v>67</v>
      </c>
    </row>
    <row r="1425" spans="1:7" hidden="1" x14ac:dyDescent="0.15">
      <c r="A1425" s="2200" t="s">
        <v>4280</v>
      </c>
      <c r="B1425" s="2200" t="s">
        <v>7127</v>
      </c>
      <c r="C1425" s="2200" t="s">
        <v>7128</v>
      </c>
      <c r="D1425" s="2200" t="str">
        <f t="shared" si="66"/>
        <v>MS</v>
      </c>
      <c r="E1425" s="2200" t="str">
        <f t="shared" si="67"/>
        <v>28</v>
      </c>
      <c r="F1425" s="2200" t="str">
        <f t="shared" si="68"/>
        <v>041</v>
      </c>
      <c r="G1425" s="2200">
        <f>--SUBTOTAL(3,C$2:C1425)</f>
        <v>67</v>
      </c>
    </row>
    <row r="1426" spans="1:7" hidden="1" x14ac:dyDescent="0.15">
      <c r="A1426" s="2200" t="s">
        <v>4280</v>
      </c>
      <c r="B1426" s="2200" t="s">
        <v>7129</v>
      </c>
      <c r="C1426" s="2200" t="s">
        <v>7130</v>
      </c>
      <c r="D1426" s="2200" t="str">
        <f t="shared" si="66"/>
        <v>MS</v>
      </c>
      <c r="E1426" s="2200" t="str">
        <f t="shared" si="67"/>
        <v>28</v>
      </c>
      <c r="F1426" s="2200" t="str">
        <f t="shared" si="68"/>
        <v>043</v>
      </c>
      <c r="G1426" s="2200">
        <f>--SUBTOTAL(3,C$2:C1426)</f>
        <v>67</v>
      </c>
    </row>
    <row r="1427" spans="1:7" hidden="1" x14ac:dyDescent="0.15">
      <c r="A1427" s="2200" t="s">
        <v>4280</v>
      </c>
      <c r="B1427" s="2200" t="s">
        <v>7131</v>
      </c>
      <c r="C1427" s="2200" t="s">
        <v>7132</v>
      </c>
      <c r="D1427" s="2200" t="str">
        <f t="shared" si="66"/>
        <v>MS</v>
      </c>
      <c r="E1427" s="2200" t="str">
        <f t="shared" si="67"/>
        <v>28</v>
      </c>
      <c r="F1427" s="2200" t="str">
        <f t="shared" si="68"/>
        <v>045</v>
      </c>
      <c r="G1427" s="2200">
        <f>--SUBTOTAL(3,C$2:C1427)</f>
        <v>67</v>
      </c>
    </row>
    <row r="1428" spans="1:7" hidden="1" x14ac:dyDescent="0.15">
      <c r="A1428" s="2200" t="s">
        <v>4280</v>
      </c>
      <c r="B1428" s="2200" t="s">
        <v>7133</v>
      </c>
      <c r="C1428" s="2200" t="s">
        <v>7134</v>
      </c>
      <c r="D1428" s="2200" t="str">
        <f t="shared" si="66"/>
        <v>MS</v>
      </c>
      <c r="E1428" s="2200" t="str">
        <f t="shared" si="67"/>
        <v>28</v>
      </c>
      <c r="F1428" s="2200" t="str">
        <f t="shared" si="68"/>
        <v>047</v>
      </c>
      <c r="G1428" s="2200">
        <f>--SUBTOTAL(3,C$2:C1428)</f>
        <v>67</v>
      </c>
    </row>
    <row r="1429" spans="1:7" hidden="1" x14ac:dyDescent="0.15">
      <c r="A1429" s="2200" t="s">
        <v>4280</v>
      </c>
      <c r="B1429" s="2200" t="s">
        <v>7135</v>
      </c>
      <c r="C1429" s="2200" t="s">
        <v>7136</v>
      </c>
      <c r="D1429" s="2200" t="str">
        <f t="shared" si="66"/>
        <v>MS</v>
      </c>
      <c r="E1429" s="2200" t="str">
        <f t="shared" si="67"/>
        <v>28</v>
      </c>
      <c r="F1429" s="2200" t="str">
        <f t="shared" si="68"/>
        <v>049</v>
      </c>
      <c r="G1429" s="2200">
        <f>--SUBTOTAL(3,C$2:C1429)</f>
        <v>67</v>
      </c>
    </row>
    <row r="1430" spans="1:7" hidden="1" x14ac:dyDescent="0.15">
      <c r="A1430" s="2200" t="s">
        <v>4280</v>
      </c>
      <c r="B1430" s="2200" t="s">
        <v>7137</v>
      </c>
      <c r="C1430" s="2200" t="s">
        <v>7138</v>
      </c>
      <c r="D1430" s="2200" t="str">
        <f t="shared" si="66"/>
        <v>MS</v>
      </c>
      <c r="E1430" s="2200" t="str">
        <f t="shared" si="67"/>
        <v>28</v>
      </c>
      <c r="F1430" s="2200" t="str">
        <f t="shared" si="68"/>
        <v>051</v>
      </c>
      <c r="G1430" s="2200">
        <f>--SUBTOTAL(3,C$2:C1430)</f>
        <v>67</v>
      </c>
    </row>
    <row r="1431" spans="1:7" hidden="1" x14ac:dyDescent="0.15">
      <c r="A1431" s="2200" t="s">
        <v>4280</v>
      </c>
      <c r="B1431" s="2200" t="s">
        <v>7139</v>
      </c>
      <c r="C1431" s="2200" t="s">
        <v>7140</v>
      </c>
      <c r="D1431" s="2200" t="str">
        <f t="shared" si="66"/>
        <v>MS</v>
      </c>
      <c r="E1431" s="2200" t="str">
        <f t="shared" si="67"/>
        <v>28</v>
      </c>
      <c r="F1431" s="2200" t="str">
        <f t="shared" si="68"/>
        <v>053</v>
      </c>
      <c r="G1431" s="2200">
        <f>--SUBTOTAL(3,C$2:C1431)</f>
        <v>67</v>
      </c>
    </row>
    <row r="1432" spans="1:7" hidden="1" x14ac:dyDescent="0.15">
      <c r="A1432" s="2200" t="s">
        <v>4280</v>
      </c>
      <c r="B1432" s="2200" t="s">
        <v>7141</v>
      </c>
      <c r="C1432" s="2200" t="s">
        <v>7142</v>
      </c>
      <c r="D1432" s="2200" t="str">
        <f t="shared" si="66"/>
        <v>MS</v>
      </c>
      <c r="E1432" s="2200" t="str">
        <f t="shared" si="67"/>
        <v>28</v>
      </c>
      <c r="F1432" s="2200" t="str">
        <f t="shared" si="68"/>
        <v>055</v>
      </c>
      <c r="G1432" s="2200">
        <f>--SUBTOTAL(3,C$2:C1432)</f>
        <v>67</v>
      </c>
    </row>
    <row r="1433" spans="1:7" hidden="1" x14ac:dyDescent="0.15">
      <c r="A1433" s="2200" t="s">
        <v>4280</v>
      </c>
      <c r="B1433" s="2200" t="s">
        <v>7143</v>
      </c>
      <c r="C1433" s="2200" t="s">
        <v>7144</v>
      </c>
      <c r="D1433" s="2200" t="str">
        <f t="shared" si="66"/>
        <v>MS</v>
      </c>
      <c r="E1433" s="2200" t="str">
        <f t="shared" si="67"/>
        <v>28</v>
      </c>
      <c r="F1433" s="2200" t="str">
        <f t="shared" si="68"/>
        <v>057</v>
      </c>
      <c r="G1433" s="2200">
        <f>--SUBTOTAL(3,C$2:C1433)</f>
        <v>67</v>
      </c>
    </row>
    <row r="1434" spans="1:7" hidden="1" x14ac:dyDescent="0.15">
      <c r="A1434" s="2200" t="s">
        <v>4280</v>
      </c>
      <c r="B1434" s="2200" t="s">
        <v>7145</v>
      </c>
      <c r="C1434" s="2200" t="s">
        <v>7146</v>
      </c>
      <c r="D1434" s="2200" t="str">
        <f t="shared" si="66"/>
        <v>MS</v>
      </c>
      <c r="E1434" s="2200" t="str">
        <f t="shared" si="67"/>
        <v>28</v>
      </c>
      <c r="F1434" s="2200" t="str">
        <f t="shared" si="68"/>
        <v>059</v>
      </c>
      <c r="G1434" s="2200">
        <f>--SUBTOTAL(3,C$2:C1434)</f>
        <v>67</v>
      </c>
    </row>
    <row r="1435" spans="1:7" hidden="1" x14ac:dyDescent="0.15">
      <c r="A1435" s="2200" t="s">
        <v>4280</v>
      </c>
      <c r="B1435" s="2200" t="s">
        <v>7147</v>
      </c>
      <c r="C1435" s="2200" t="s">
        <v>7148</v>
      </c>
      <c r="D1435" s="2200" t="str">
        <f t="shared" si="66"/>
        <v>MS</v>
      </c>
      <c r="E1435" s="2200" t="str">
        <f t="shared" si="67"/>
        <v>28</v>
      </c>
      <c r="F1435" s="2200" t="str">
        <f t="shared" si="68"/>
        <v>061</v>
      </c>
      <c r="G1435" s="2200">
        <f>--SUBTOTAL(3,C$2:C1435)</f>
        <v>67</v>
      </c>
    </row>
    <row r="1436" spans="1:7" hidden="1" x14ac:dyDescent="0.15">
      <c r="A1436" s="2200" t="s">
        <v>4280</v>
      </c>
      <c r="B1436" s="2200" t="s">
        <v>7149</v>
      </c>
      <c r="C1436" s="2200" t="s">
        <v>7150</v>
      </c>
      <c r="D1436" s="2200" t="str">
        <f t="shared" si="66"/>
        <v>MS</v>
      </c>
      <c r="E1436" s="2200" t="str">
        <f t="shared" si="67"/>
        <v>28</v>
      </c>
      <c r="F1436" s="2200" t="str">
        <f t="shared" si="68"/>
        <v>063</v>
      </c>
      <c r="G1436" s="2200">
        <f>--SUBTOTAL(3,C$2:C1436)</f>
        <v>67</v>
      </c>
    </row>
    <row r="1437" spans="1:7" hidden="1" x14ac:dyDescent="0.15">
      <c r="A1437" s="2200" t="s">
        <v>4280</v>
      </c>
      <c r="B1437" s="2200" t="s">
        <v>7151</v>
      </c>
      <c r="C1437" s="2200" t="s">
        <v>7152</v>
      </c>
      <c r="D1437" s="2200" t="str">
        <f t="shared" si="66"/>
        <v>MS</v>
      </c>
      <c r="E1437" s="2200" t="str">
        <f t="shared" si="67"/>
        <v>28</v>
      </c>
      <c r="F1437" s="2200" t="str">
        <f t="shared" si="68"/>
        <v>065</v>
      </c>
      <c r="G1437" s="2200">
        <f>--SUBTOTAL(3,C$2:C1437)</f>
        <v>67</v>
      </c>
    </row>
    <row r="1438" spans="1:7" hidden="1" x14ac:dyDescent="0.15">
      <c r="A1438" s="2200" t="s">
        <v>4280</v>
      </c>
      <c r="B1438" s="2200" t="s">
        <v>7153</v>
      </c>
      <c r="C1438" s="2200" t="s">
        <v>7154</v>
      </c>
      <c r="D1438" s="2200" t="str">
        <f t="shared" si="66"/>
        <v>MS</v>
      </c>
      <c r="E1438" s="2200" t="str">
        <f t="shared" si="67"/>
        <v>28</v>
      </c>
      <c r="F1438" s="2200" t="str">
        <f t="shared" si="68"/>
        <v>067</v>
      </c>
      <c r="G1438" s="2200">
        <f>--SUBTOTAL(3,C$2:C1438)</f>
        <v>67</v>
      </c>
    </row>
    <row r="1439" spans="1:7" hidden="1" x14ac:dyDescent="0.15">
      <c r="A1439" s="2200" t="s">
        <v>4280</v>
      </c>
      <c r="B1439" s="2200" t="s">
        <v>7155</v>
      </c>
      <c r="C1439" s="2200" t="s">
        <v>7156</v>
      </c>
      <c r="D1439" s="2200" t="str">
        <f t="shared" si="66"/>
        <v>MS</v>
      </c>
      <c r="E1439" s="2200" t="str">
        <f t="shared" si="67"/>
        <v>28</v>
      </c>
      <c r="F1439" s="2200" t="str">
        <f t="shared" si="68"/>
        <v>069</v>
      </c>
      <c r="G1439" s="2200">
        <f>--SUBTOTAL(3,C$2:C1439)</f>
        <v>67</v>
      </c>
    </row>
    <row r="1440" spans="1:7" hidden="1" x14ac:dyDescent="0.15">
      <c r="A1440" s="2200" t="s">
        <v>4280</v>
      </c>
      <c r="B1440" s="2200" t="s">
        <v>7157</v>
      </c>
      <c r="C1440" s="2200" t="s">
        <v>7158</v>
      </c>
      <c r="D1440" s="2200" t="str">
        <f t="shared" si="66"/>
        <v>MS</v>
      </c>
      <c r="E1440" s="2200" t="str">
        <f t="shared" si="67"/>
        <v>28</v>
      </c>
      <c r="F1440" s="2200" t="str">
        <f t="shared" si="68"/>
        <v>071</v>
      </c>
      <c r="G1440" s="2200">
        <f>--SUBTOTAL(3,C$2:C1440)</f>
        <v>67</v>
      </c>
    </row>
    <row r="1441" spans="1:7" hidden="1" x14ac:dyDescent="0.15">
      <c r="A1441" s="2200" t="s">
        <v>4280</v>
      </c>
      <c r="B1441" s="2200" t="s">
        <v>7159</v>
      </c>
      <c r="C1441" s="2200" t="s">
        <v>7160</v>
      </c>
      <c r="D1441" s="2200" t="str">
        <f t="shared" si="66"/>
        <v>MS</v>
      </c>
      <c r="E1441" s="2200" t="str">
        <f t="shared" si="67"/>
        <v>28</v>
      </c>
      <c r="F1441" s="2200" t="str">
        <f t="shared" si="68"/>
        <v>073</v>
      </c>
      <c r="G1441" s="2200">
        <f>--SUBTOTAL(3,C$2:C1441)</f>
        <v>67</v>
      </c>
    </row>
    <row r="1442" spans="1:7" hidden="1" x14ac:dyDescent="0.15">
      <c r="A1442" s="2200" t="s">
        <v>4280</v>
      </c>
      <c r="B1442" s="2200" t="s">
        <v>7161</v>
      </c>
      <c r="C1442" s="2200" t="s">
        <v>7162</v>
      </c>
      <c r="D1442" s="2200" t="str">
        <f t="shared" si="66"/>
        <v>MS</v>
      </c>
      <c r="E1442" s="2200" t="str">
        <f t="shared" si="67"/>
        <v>28</v>
      </c>
      <c r="F1442" s="2200" t="str">
        <f t="shared" si="68"/>
        <v>075</v>
      </c>
      <c r="G1442" s="2200">
        <f>--SUBTOTAL(3,C$2:C1442)</f>
        <v>67</v>
      </c>
    </row>
    <row r="1443" spans="1:7" hidden="1" x14ac:dyDescent="0.15">
      <c r="A1443" s="2200" t="s">
        <v>4280</v>
      </c>
      <c r="B1443" s="2200" t="s">
        <v>7163</v>
      </c>
      <c r="C1443" s="2200" t="s">
        <v>7164</v>
      </c>
      <c r="D1443" s="2200" t="str">
        <f t="shared" si="66"/>
        <v>MS</v>
      </c>
      <c r="E1443" s="2200" t="str">
        <f t="shared" si="67"/>
        <v>28</v>
      </c>
      <c r="F1443" s="2200" t="str">
        <f t="shared" si="68"/>
        <v>077</v>
      </c>
      <c r="G1443" s="2200">
        <f>--SUBTOTAL(3,C$2:C1443)</f>
        <v>67</v>
      </c>
    </row>
    <row r="1444" spans="1:7" hidden="1" x14ac:dyDescent="0.15">
      <c r="A1444" s="2200" t="s">
        <v>4280</v>
      </c>
      <c r="B1444" s="2200" t="s">
        <v>7165</v>
      </c>
      <c r="C1444" s="2200" t="s">
        <v>7166</v>
      </c>
      <c r="D1444" s="2200" t="str">
        <f t="shared" si="66"/>
        <v>MS</v>
      </c>
      <c r="E1444" s="2200" t="str">
        <f t="shared" si="67"/>
        <v>28</v>
      </c>
      <c r="F1444" s="2200" t="str">
        <f t="shared" si="68"/>
        <v>079</v>
      </c>
      <c r="G1444" s="2200">
        <f>--SUBTOTAL(3,C$2:C1444)</f>
        <v>67</v>
      </c>
    </row>
    <row r="1445" spans="1:7" hidden="1" x14ac:dyDescent="0.15">
      <c r="A1445" s="2200" t="s">
        <v>4280</v>
      </c>
      <c r="B1445" s="2200" t="s">
        <v>7167</v>
      </c>
      <c r="C1445" s="2200" t="s">
        <v>7168</v>
      </c>
      <c r="D1445" s="2200" t="str">
        <f t="shared" si="66"/>
        <v>MS</v>
      </c>
      <c r="E1445" s="2200" t="str">
        <f t="shared" si="67"/>
        <v>28</v>
      </c>
      <c r="F1445" s="2200" t="str">
        <f t="shared" si="68"/>
        <v>081</v>
      </c>
      <c r="G1445" s="2200">
        <f>--SUBTOTAL(3,C$2:C1445)</f>
        <v>67</v>
      </c>
    </row>
    <row r="1446" spans="1:7" hidden="1" x14ac:dyDescent="0.15">
      <c r="A1446" s="2200" t="s">
        <v>4280</v>
      </c>
      <c r="B1446" s="2200" t="s">
        <v>7169</v>
      </c>
      <c r="C1446" s="2200" t="s">
        <v>7170</v>
      </c>
      <c r="D1446" s="2200" t="str">
        <f t="shared" si="66"/>
        <v>MS</v>
      </c>
      <c r="E1446" s="2200" t="str">
        <f t="shared" si="67"/>
        <v>28</v>
      </c>
      <c r="F1446" s="2200" t="str">
        <f t="shared" si="68"/>
        <v>083</v>
      </c>
      <c r="G1446" s="2200">
        <f>--SUBTOTAL(3,C$2:C1446)</f>
        <v>67</v>
      </c>
    </row>
    <row r="1447" spans="1:7" hidden="1" x14ac:dyDescent="0.15">
      <c r="A1447" s="2200" t="s">
        <v>4280</v>
      </c>
      <c r="B1447" s="2200" t="s">
        <v>7171</v>
      </c>
      <c r="C1447" s="2200" t="s">
        <v>7172</v>
      </c>
      <c r="D1447" s="2200" t="str">
        <f t="shared" si="66"/>
        <v>MS</v>
      </c>
      <c r="E1447" s="2200" t="str">
        <f t="shared" si="67"/>
        <v>28</v>
      </c>
      <c r="F1447" s="2200" t="str">
        <f t="shared" si="68"/>
        <v>085</v>
      </c>
      <c r="G1447" s="2200">
        <f>--SUBTOTAL(3,C$2:C1447)</f>
        <v>67</v>
      </c>
    </row>
    <row r="1448" spans="1:7" hidden="1" x14ac:dyDescent="0.15">
      <c r="A1448" s="2200" t="s">
        <v>4280</v>
      </c>
      <c r="B1448" s="2200" t="s">
        <v>7173</v>
      </c>
      <c r="C1448" s="2200" t="s">
        <v>7174</v>
      </c>
      <c r="D1448" s="2200" t="str">
        <f t="shared" si="66"/>
        <v>MS</v>
      </c>
      <c r="E1448" s="2200" t="str">
        <f t="shared" si="67"/>
        <v>28</v>
      </c>
      <c r="F1448" s="2200" t="str">
        <f t="shared" si="68"/>
        <v>087</v>
      </c>
      <c r="G1448" s="2200">
        <f>--SUBTOTAL(3,C$2:C1448)</f>
        <v>67</v>
      </c>
    </row>
    <row r="1449" spans="1:7" hidden="1" x14ac:dyDescent="0.15">
      <c r="A1449" s="2200" t="s">
        <v>4280</v>
      </c>
      <c r="B1449" s="2200" t="s">
        <v>7175</v>
      </c>
      <c r="C1449" s="2200" t="s">
        <v>7176</v>
      </c>
      <c r="D1449" s="2200" t="str">
        <f t="shared" si="66"/>
        <v>MS</v>
      </c>
      <c r="E1449" s="2200" t="str">
        <f t="shared" si="67"/>
        <v>28</v>
      </c>
      <c r="F1449" s="2200" t="str">
        <f t="shared" si="68"/>
        <v>089</v>
      </c>
      <c r="G1449" s="2200">
        <f>--SUBTOTAL(3,C$2:C1449)</f>
        <v>67</v>
      </c>
    </row>
    <row r="1450" spans="1:7" hidden="1" x14ac:dyDescent="0.15">
      <c r="A1450" s="2200" t="s">
        <v>4280</v>
      </c>
      <c r="B1450" s="2200" t="s">
        <v>7177</v>
      </c>
      <c r="C1450" s="2200" t="s">
        <v>7178</v>
      </c>
      <c r="D1450" s="2200" t="str">
        <f t="shared" si="66"/>
        <v>MS</v>
      </c>
      <c r="E1450" s="2200" t="str">
        <f t="shared" si="67"/>
        <v>28</v>
      </c>
      <c r="F1450" s="2200" t="str">
        <f t="shared" si="68"/>
        <v>091</v>
      </c>
      <c r="G1450" s="2200">
        <f>--SUBTOTAL(3,C$2:C1450)</f>
        <v>67</v>
      </c>
    </row>
    <row r="1451" spans="1:7" hidden="1" x14ac:dyDescent="0.15">
      <c r="A1451" s="2200" t="s">
        <v>4280</v>
      </c>
      <c r="B1451" s="2200" t="s">
        <v>7179</v>
      </c>
      <c r="C1451" s="2200" t="s">
        <v>7180</v>
      </c>
      <c r="D1451" s="2200" t="str">
        <f t="shared" si="66"/>
        <v>MS</v>
      </c>
      <c r="E1451" s="2200" t="str">
        <f t="shared" si="67"/>
        <v>28</v>
      </c>
      <c r="F1451" s="2200" t="str">
        <f t="shared" si="68"/>
        <v>093</v>
      </c>
      <c r="G1451" s="2200">
        <f>--SUBTOTAL(3,C$2:C1451)</f>
        <v>67</v>
      </c>
    </row>
    <row r="1452" spans="1:7" hidden="1" x14ac:dyDescent="0.15">
      <c r="A1452" s="2200" t="s">
        <v>4280</v>
      </c>
      <c r="B1452" s="2200" t="s">
        <v>7181</v>
      </c>
      <c r="C1452" s="2200" t="s">
        <v>7182</v>
      </c>
      <c r="D1452" s="2200" t="str">
        <f t="shared" si="66"/>
        <v>MS</v>
      </c>
      <c r="E1452" s="2200" t="str">
        <f t="shared" si="67"/>
        <v>28</v>
      </c>
      <c r="F1452" s="2200" t="str">
        <f t="shared" si="68"/>
        <v>095</v>
      </c>
      <c r="G1452" s="2200">
        <f>--SUBTOTAL(3,C$2:C1452)</f>
        <v>67</v>
      </c>
    </row>
    <row r="1453" spans="1:7" hidden="1" x14ac:dyDescent="0.15">
      <c r="A1453" s="2200" t="s">
        <v>4280</v>
      </c>
      <c r="B1453" s="2200" t="s">
        <v>7183</v>
      </c>
      <c r="C1453" s="2200" t="s">
        <v>7184</v>
      </c>
      <c r="D1453" s="2200" t="str">
        <f t="shared" si="66"/>
        <v>MS</v>
      </c>
      <c r="E1453" s="2200" t="str">
        <f t="shared" si="67"/>
        <v>28</v>
      </c>
      <c r="F1453" s="2200" t="str">
        <f t="shared" si="68"/>
        <v>097</v>
      </c>
      <c r="G1453" s="2200">
        <f>--SUBTOTAL(3,C$2:C1453)</f>
        <v>67</v>
      </c>
    </row>
    <row r="1454" spans="1:7" hidden="1" x14ac:dyDescent="0.15">
      <c r="A1454" s="2200" t="s">
        <v>4280</v>
      </c>
      <c r="B1454" s="2200" t="s">
        <v>7185</v>
      </c>
      <c r="C1454" s="2200" t="s">
        <v>7186</v>
      </c>
      <c r="D1454" s="2200" t="str">
        <f t="shared" si="66"/>
        <v>MS</v>
      </c>
      <c r="E1454" s="2200" t="str">
        <f t="shared" si="67"/>
        <v>28</v>
      </c>
      <c r="F1454" s="2200" t="str">
        <f t="shared" si="68"/>
        <v>099</v>
      </c>
      <c r="G1454" s="2200">
        <f>--SUBTOTAL(3,C$2:C1454)</f>
        <v>67</v>
      </c>
    </row>
    <row r="1455" spans="1:7" hidden="1" x14ac:dyDescent="0.15">
      <c r="A1455" s="2200" t="s">
        <v>4280</v>
      </c>
      <c r="B1455" s="2200" t="s">
        <v>7187</v>
      </c>
      <c r="C1455" s="2200" t="s">
        <v>7188</v>
      </c>
      <c r="D1455" s="2200" t="str">
        <f t="shared" si="66"/>
        <v>MS</v>
      </c>
      <c r="E1455" s="2200" t="str">
        <f t="shared" si="67"/>
        <v>28</v>
      </c>
      <c r="F1455" s="2200" t="str">
        <f t="shared" si="68"/>
        <v>101</v>
      </c>
      <c r="G1455" s="2200">
        <f>--SUBTOTAL(3,C$2:C1455)</f>
        <v>67</v>
      </c>
    </row>
    <row r="1456" spans="1:7" hidden="1" x14ac:dyDescent="0.15">
      <c r="A1456" s="2200" t="s">
        <v>4280</v>
      </c>
      <c r="B1456" s="2200" t="s">
        <v>7189</v>
      </c>
      <c r="C1456" s="2200" t="s">
        <v>7190</v>
      </c>
      <c r="D1456" s="2200" t="str">
        <f t="shared" si="66"/>
        <v>MS</v>
      </c>
      <c r="E1456" s="2200" t="str">
        <f t="shared" si="67"/>
        <v>28</v>
      </c>
      <c r="F1456" s="2200" t="str">
        <f t="shared" si="68"/>
        <v>103</v>
      </c>
      <c r="G1456" s="2200">
        <f>--SUBTOTAL(3,C$2:C1456)</f>
        <v>67</v>
      </c>
    </row>
    <row r="1457" spans="1:7" hidden="1" x14ac:dyDescent="0.15">
      <c r="A1457" s="2200" t="s">
        <v>4280</v>
      </c>
      <c r="B1457" s="2200" t="s">
        <v>7191</v>
      </c>
      <c r="C1457" s="2200" t="s">
        <v>7192</v>
      </c>
      <c r="D1457" s="2200" t="str">
        <f t="shared" si="66"/>
        <v>MS</v>
      </c>
      <c r="E1457" s="2200" t="str">
        <f t="shared" si="67"/>
        <v>28</v>
      </c>
      <c r="F1457" s="2200" t="str">
        <f t="shared" si="68"/>
        <v>105</v>
      </c>
      <c r="G1457" s="2200">
        <f>--SUBTOTAL(3,C$2:C1457)</f>
        <v>67</v>
      </c>
    </row>
    <row r="1458" spans="1:7" hidden="1" x14ac:dyDescent="0.15">
      <c r="A1458" s="2200" t="s">
        <v>4280</v>
      </c>
      <c r="B1458" s="2200" t="s">
        <v>7193</v>
      </c>
      <c r="C1458" s="2200" t="s">
        <v>7194</v>
      </c>
      <c r="D1458" s="2200" t="str">
        <f t="shared" si="66"/>
        <v>MS</v>
      </c>
      <c r="E1458" s="2200" t="str">
        <f t="shared" si="67"/>
        <v>28</v>
      </c>
      <c r="F1458" s="2200" t="str">
        <f t="shared" si="68"/>
        <v>107</v>
      </c>
      <c r="G1458" s="2200">
        <f>--SUBTOTAL(3,C$2:C1458)</f>
        <v>67</v>
      </c>
    </row>
    <row r="1459" spans="1:7" hidden="1" x14ac:dyDescent="0.15">
      <c r="A1459" s="2200" t="s">
        <v>4280</v>
      </c>
      <c r="B1459" s="2200" t="s">
        <v>7195</v>
      </c>
      <c r="C1459" s="2200" t="s">
        <v>7196</v>
      </c>
      <c r="D1459" s="2200" t="str">
        <f t="shared" si="66"/>
        <v>MS</v>
      </c>
      <c r="E1459" s="2200" t="str">
        <f t="shared" si="67"/>
        <v>28</v>
      </c>
      <c r="F1459" s="2200" t="str">
        <f t="shared" si="68"/>
        <v>109</v>
      </c>
      <c r="G1459" s="2200">
        <f>--SUBTOTAL(3,C$2:C1459)</f>
        <v>67</v>
      </c>
    </row>
    <row r="1460" spans="1:7" hidden="1" x14ac:dyDescent="0.15">
      <c r="A1460" s="2200" t="s">
        <v>4280</v>
      </c>
      <c r="B1460" s="2200" t="s">
        <v>7197</v>
      </c>
      <c r="C1460" s="2200" t="s">
        <v>7198</v>
      </c>
      <c r="D1460" s="2200" t="str">
        <f t="shared" si="66"/>
        <v>MS</v>
      </c>
      <c r="E1460" s="2200" t="str">
        <f t="shared" si="67"/>
        <v>28</v>
      </c>
      <c r="F1460" s="2200" t="str">
        <f t="shared" si="68"/>
        <v>111</v>
      </c>
      <c r="G1460" s="2200">
        <f>--SUBTOTAL(3,C$2:C1460)</f>
        <v>67</v>
      </c>
    </row>
    <row r="1461" spans="1:7" hidden="1" x14ac:dyDescent="0.15">
      <c r="A1461" s="2200" t="s">
        <v>4280</v>
      </c>
      <c r="B1461" s="2200" t="s">
        <v>7199</v>
      </c>
      <c r="C1461" s="2200" t="s">
        <v>7200</v>
      </c>
      <c r="D1461" s="2200" t="str">
        <f t="shared" si="66"/>
        <v>MS</v>
      </c>
      <c r="E1461" s="2200" t="str">
        <f t="shared" si="67"/>
        <v>28</v>
      </c>
      <c r="F1461" s="2200" t="str">
        <f t="shared" si="68"/>
        <v>113</v>
      </c>
      <c r="G1461" s="2200">
        <f>--SUBTOTAL(3,C$2:C1461)</f>
        <v>67</v>
      </c>
    </row>
    <row r="1462" spans="1:7" hidden="1" x14ac:dyDescent="0.15">
      <c r="A1462" s="2200" t="s">
        <v>4280</v>
      </c>
      <c r="B1462" s="2200" t="s">
        <v>7201</v>
      </c>
      <c r="C1462" s="2200" t="s">
        <v>7202</v>
      </c>
      <c r="D1462" s="2200" t="str">
        <f t="shared" si="66"/>
        <v>MS</v>
      </c>
      <c r="E1462" s="2200" t="str">
        <f t="shared" si="67"/>
        <v>28</v>
      </c>
      <c r="F1462" s="2200" t="str">
        <f t="shared" si="68"/>
        <v>115</v>
      </c>
      <c r="G1462" s="2200">
        <f>--SUBTOTAL(3,C$2:C1462)</f>
        <v>67</v>
      </c>
    </row>
    <row r="1463" spans="1:7" hidden="1" x14ac:dyDescent="0.15">
      <c r="A1463" s="2200" t="s">
        <v>4280</v>
      </c>
      <c r="B1463" s="2200" t="s">
        <v>7203</v>
      </c>
      <c r="C1463" s="2200" t="s">
        <v>7204</v>
      </c>
      <c r="D1463" s="2200" t="str">
        <f t="shared" si="66"/>
        <v>MS</v>
      </c>
      <c r="E1463" s="2200" t="str">
        <f t="shared" si="67"/>
        <v>28</v>
      </c>
      <c r="F1463" s="2200" t="str">
        <f t="shared" si="68"/>
        <v>117</v>
      </c>
      <c r="G1463" s="2200">
        <f>--SUBTOTAL(3,C$2:C1463)</f>
        <v>67</v>
      </c>
    </row>
    <row r="1464" spans="1:7" hidden="1" x14ac:dyDescent="0.15">
      <c r="A1464" s="2200" t="s">
        <v>4280</v>
      </c>
      <c r="B1464" s="2200" t="s">
        <v>7205</v>
      </c>
      <c r="C1464" s="2200" t="s">
        <v>7206</v>
      </c>
      <c r="D1464" s="2200" t="str">
        <f t="shared" si="66"/>
        <v>MS</v>
      </c>
      <c r="E1464" s="2200" t="str">
        <f t="shared" si="67"/>
        <v>28</v>
      </c>
      <c r="F1464" s="2200" t="str">
        <f t="shared" si="68"/>
        <v>119</v>
      </c>
      <c r="G1464" s="2200">
        <f>--SUBTOTAL(3,C$2:C1464)</f>
        <v>67</v>
      </c>
    </row>
    <row r="1465" spans="1:7" hidden="1" x14ac:dyDescent="0.15">
      <c r="A1465" s="2200" t="s">
        <v>4280</v>
      </c>
      <c r="B1465" s="2200" t="s">
        <v>7207</v>
      </c>
      <c r="C1465" s="2200" t="s">
        <v>7208</v>
      </c>
      <c r="D1465" s="2200" t="str">
        <f t="shared" si="66"/>
        <v>MS</v>
      </c>
      <c r="E1465" s="2200" t="str">
        <f t="shared" si="67"/>
        <v>28</v>
      </c>
      <c r="F1465" s="2200" t="str">
        <f t="shared" si="68"/>
        <v>121</v>
      </c>
      <c r="G1465" s="2200">
        <f>--SUBTOTAL(3,C$2:C1465)</f>
        <v>67</v>
      </c>
    </row>
    <row r="1466" spans="1:7" hidden="1" x14ac:dyDescent="0.15">
      <c r="A1466" s="2200" t="s">
        <v>4280</v>
      </c>
      <c r="B1466" s="2200" t="s">
        <v>7209</v>
      </c>
      <c r="C1466" s="2200" t="s">
        <v>7210</v>
      </c>
      <c r="D1466" s="2200" t="str">
        <f t="shared" si="66"/>
        <v>MS</v>
      </c>
      <c r="E1466" s="2200" t="str">
        <f t="shared" si="67"/>
        <v>28</v>
      </c>
      <c r="F1466" s="2200" t="str">
        <f t="shared" si="68"/>
        <v>123</v>
      </c>
      <c r="G1466" s="2200">
        <f>--SUBTOTAL(3,C$2:C1466)</f>
        <v>67</v>
      </c>
    </row>
    <row r="1467" spans="1:7" hidden="1" x14ac:dyDescent="0.15">
      <c r="A1467" s="2200" t="s">
        <v>4280</v>
      </c>
      <c r="B1467" s="2200" t="s">
        <v>7211</v>
      </c>
      <c r="C1467" s="2200" t="s">
        <v>7212</v>
      </c>
      <c r="D1467" s="2200" t="str">
        <f t="shared" si="66"/>
        <v>MS</v>
      </c>
      <c r="E1467" s="2200" t="str">
        <f t="shared" si="67"/>
        <v>28</v>
      </c>
      <c r="F1467" s="2200" t="str">
        <f t="shared" si="68"/>
        <v>125</v>
      </c>
      <c r="G1467" s="2200">
        <f>--SUBTOTAL(3,C$2:C1467)</f>
        <v>67</v>
      </c>
    </row>
    <row r="1468" spans="1:7" hidden="1" x14ac:dyDescent="0.15">
      <c r="A1468" s="2200" t="s">
        <v>4280</v>
      </c>
      <c r="B1468" s="2200" t="s">
        <v>7213</v>
      </c>
      <c r="C1468" s="2200" t="s">
        <v>7214</v>
      </c>
      <c r="D1468" s="2200" t="str">
        <f t="shared" si="66"/>
        <v>MS</v>
      </c>
      <c r="E1468" s="2200" t="str">
        <f t="shared" si="67"/>
        <v>28</v>
      </c>
      <c r="F1468" s="2200" t="str">
        <f t="shared" si="68"/>
        <v>127</v>
      </c>
      <c r="G1468" s="2200">
        <f>--SUBTOTAL(3,C$2:C1468)</f>
        <v>67</v>
      </c>
    </row>
    <row r="1469" spans="1:7" hidden="1" x14ac:dyDescent="0.15">
      <c r="A1469" s="2200" t="s">
        <v>4280</v>
      </c>
      <c r="B1469" s="2200" t="s">
        <v>7215</v>
      </c>
      <c r="C1469" s="2200" t="s">
        <v>7216</v>
      </c>
      <c r="D1469" s="2200" t="str">
        <f t="shared" si="66"/>
        <v>MS</v>
      </c>
      <c r="E1469" s="2200" t="str">
        <f t="shared" si="67"/>
        <v>28</v>
      </c>
      <c r="F1469" s="2200" t="str">
        <f t="shared" si="68"/>
        <v>129</v>
      </c>
      <c r="G1469" s="2200">
        <f>--SUBTOTAL(3,C$2:C1469)</f>
        <v>67</v>
      </c>
    </row>
    <row r="1470" spans="1:7" hidden="1" x14ac:dyDescent="0.15">
      <c r="A1470" s="2200" t="s">
        <v>4280</v>
      </c>
      <c r="B1470" s="2200" t="s">
        <v>7217</v>
      </c>
      <c r="C1470" s="2200" t="s">
        <v>7218</v>
      </c>
      <c r="D1470" s="2200" t="str">
        <f t="shared" si="66"/>
        <v>MS</v>
      </c>
      <c r="E1470" s="2200" t="str">
        <f t="shared" si="67"/>
        <v>28</v>
      </c>
      <c r="F1470" s="2200" t="str">
        <f t="shared" si="68"/>
        <v>131</v>
      </c>
      <c r="G1470" s="2200">
        <f>--SUBTOTAL(3,C$2:C1470)</f>
        <v>67</v>
      </c>
    </row>
    <row r="1471" spans="1:7" hidden="1" x14ac:dyDescent="0.15">
      <c r="A1471" s="2200" t="s">
        <v>4280</v>
      </c>
      <c r="B1471" s="2200" t="s">
        <v>7219</v>
      </c>
      <c r="C1471" s="2200" t="s">
        <v>7220</v>
      </c>
      <c r="D1471" s="2200" t="str">
        <f t="shared" si="66"/>
        <v>MS</v>
      </c>
      <c r="E1471" s="2200" t="str">
        <f t="shared" si="67"/>
        <v>28</v>
      </c>
      <c r="F1471" s="2200" t="str">
        <f t="shared" si="68"/>
        <v>133</v>
      </c>
      <c r="G1471" s="2200">
        <f>--SUBTOTAL(3,C$2:C1471)</f>
        <v>67</v>
      </c>
    </row>
    <row r="1472" spans="1:7" hidden="1" x14ac:dyDescent="0.15">
      <c r="A1472" s="2200" t="s">
        <v>4280</v>
      </c>
      <c r="B1472" s="2200" t="s">
        <v>7221</v>
      </c>
      <c r="C1472" s="2200" t="s">
        <v>7222</v>
      </c>
      <c r="D1472" s="2200" t="str">
        <f t="shared" si="66"/>
        <v>MS</v>
      </c>
      <c r="E1472" s="2200" t="str">
        <f t="shared" si="67"/>
        <v>28</v>
      </c>
      <c r="F1472" s="2200" t="str">
        <f t="shared" si="68"/>
        <v>135</v>
      </c>
      <c r="G1472" s="2200">
        <f>--SUBTOTAL(3,C$2:C1472)</f>
        <v>67</v>
      </c>
    </row>
    <row r="1473" spans="1:7" hidden="1" x14ac:dyDescent="0.15">
      <c r="A1473" s="2200" t="s">
        <v>4280</v>
      </c>
      <c r="B1473" s="2200" t="s">
        <v>7223</v>
      </c>
      <c r="C1473" s="2200" t="s">
        <v>7224</v>
      </c>
      <c r="D1473" s="2200" t="str">
        <f t="shared" si="66"/>
        <v>MS</v>
      </c>
      <c r="E1473" s="2200" t="str">
        <f t="shared" si="67"/>
        <v>28</v>
      </c>
      <c r="F1473" s="2200" t="str">
        <f t="shared" si="68"/>
        <v>137</v>
      </c>
      <c r="G1473" s="2200">
        <f>--SUBTOTAL(3,C$2:C1473)</f>
        <v>67</v>
      </c>
    </row>
    <row r="1474" spans="1:7" hidden="1" x14ac:dyDescent="0.15">
      <c r="A1474" s="2200" t="s">
        <v>4280</v>
      </c>
      <c r="B1474" s="2200" t="s">
        <v>7225</v>
      </c>
      <c r="C1474" s="2200" t="s">
        <v>7226</v>
      </c>
      <c r="D1474" s="2200" t="str">
        <f t="shared" si="66"/>
        <v>MS</v>
      </c>
      <c r="E1474" s="2200" t="str">
        <f t="shared" si="67"/>
        <v>28</v>
      </c>
      <c r="F1474" s="2200" t="str">
        <f t="shared" si="68"/>
        <v>139</v>
      </c>
      <c r="G1474" s="2200">
        <f>--SUBTOTAL(3,C$2:C1474)</f>
        <v>67</v>
      </c>
    </row>
    <row r="1475" spans="1:7" hidden="1" x14ac:dyDescent="0.15">
      <c r="A1475" s="2200" t="s">
        <v>4280</v>
      </c>
      <c r="B1475" s="2200" t="s">
        <v>7227</v>
      </c>
      <c r="C1475" s="2200" t="s">
        <v>7228</v>
      </c>
      <c r="D1475" s="2200" t="str">
        <f t="shared" ref="D1475:D1538" si="69">RIGHT(C1475,2)</f>
        <v>MS</v>
      </c>
      <c r="E1475" s="2200" t="str">
        <f t="shared" ref="E1475:E1538" si="70">MID(B1475,3,2)</f>
        <v>28</v>
      </c>
      <c r="F1475" s="2200" t="str">
        <f t="shared" ref="F1475:F1538" si="71">MID(B1475,5,3)</f>
        <v>141</v>
      </c>
      <c r="G1475" s="2200">
        <f>--SUBTOTAL(3,C$2:C1475)</f>
        <v>67</v>
      </c>
    </row>
    <row r="1476" spans="1:7" hidden="1" x14ac:dyDescent="0.15">
      <c r="A1476" s="2200" t="s">
        <v>4280</v>
      </c>
      <c r="B1476" s="2200" t="s">
        <v>7229</v>
      </c>
      <c r="C1476" s="2200" t="s">
        <v>7230</v>
      </c>
      <c r="D1476" s="2200" t="str">
        <f t="shared" si="69"/>
        <v>MS</v>
      </c>
      <c r="E1476" s="2200" t="str">
        <f t="shared" si="70"/>
        <v>28</v>
      </c>
      <c r="F1476" s="2200" t="str">
        <f t="shared" si="71"/>
        <v>143</v>
      </c>
      <c r="G1476" s="2200">
        <f>--SUBTOTAL(3,C$2:C1476)</f>
        <v>67</v>
      </c>
    </row>
    <row r="1477" spans="1:7" hidden="1" x14ac:dyDescent="0.15">
      <c r="A1477" s="2200" t="s">
        <v>4280</v>
      </c>
      <c r="B1477" s="2200" t="s">
        <v>7231</v>
      </c>
      <c r="C1477" s="2200" t="s">
        <v>7232</v>
      </c>
      <c r="D1477" s="2200" t="str">
        <f t="shared" si="69"/>
        <v>MS</v>
      </c>
      <c r="E1477" s="2200" t="str">
        <f t="shared" si="70"/>
        <v>28</v>
      </c>
      <c r="F1477" s="2200" t="str">
        <f t="shared" si="71"/>
        <v>145</v>
      </c>
      <c r="G1477" s="2200">
        <f>--SUBTOTAL(3,C$2:C1477)</f>
        <v>67</v>
      </c>
    </row>
    <row r="1478" spans="1:7" hidden="1" x14ac:dyDescent="0.15">
      <c r="A1478" s="2200" t="s">
        <v>4280</v>
      </c>
      <c r="B1478" s="2200" t="s">
        <v>7233</v>
      </c>
      <c r="C1478" s="2200" t="s">
        <v>7234</v>
      </c>
      <c r="D1478" s="2200" t="str">
        <f t="shared" si="69"/>
        <v>MS</v>
      </c>
      <c r="E1478" s="2200" t="str">
        <f t="shared" si="70"/>
        <v>28</v>
      </c>
      <c r="F1478" s="2200" t="str">
        <f t="shared" si="71"/>
        <v>147</v>
      </c>
      <c r="G1478" s="2200">
        <f>--SUBTOTAL(3,C$2:C1478)</f>
        <v>67</v>
      </c>
    </row>
    <row r="1479" spans="1:7" hidden="1" x14ac:dyDescent="0.15">
      <c r="A1479" s="2200" t="s">
        <v>4280</v>
      </c>
      <c r="B1479" s="2200" t="s">
        <v>7235</v>
      </c>
      <c r="C1479" s="2200" t="s">
        <v>7236</v>
      </c>
      <c r="D1479" s="2200" t="str">
        <f t="shared" si="69"/>
        <v>MS</v>
      </c>
      <c r="E1479" s="2200" t="str">
        <f t="shared" si="70"/>
        <v>28</v>
      </c>
      <c r="F1479" s="2200" t="str">
        <f t="shared" si="71"/>
        <v>149</v>
      </c>
      <c r="G1479" s="2200">
        <f>--SUBTOTAL(3,C$2:C1479)</f>
        <v>67</v>
      </c>
    </row>
    <row r="1480" spans="1:7" hidden="1" x14ac:dyDescent="0.15">
      <c r="A1480" s="2200" t="s">
        <v>4280</v>
      </c>
      <c r="B1480" s="2200" t="s">
        <v>7237</v>
      </c>
      <c r="C1480" s="2200" t="s">
        <v>7238</v>
      </c>
      <c r="D1480" s="2200" t="str">
        <f t="shared" si="69"/>
        <v>MS</v>
      </c>
      <c r="E1480" s="2200" t="str">
        <f t="shared" si="70"/>
        <v>28</v>
      </c>
      <c r="F1480" s="2200" t="str">
        <f t="shared" si="71"/>
        <v>151</v>
      </c>
      <c r="G1480" s="2200">
        <f>--SUBTOTAL(3,C$2:C1480)</f>
        <v>67</v>
      </c>
    </row>
    <row r="1481" spans="1:7" hidden="1" x14ac:dyDescent="0.15">
      <c r="A1481" s="2200" t="s">
        <v>4280</v>
      </c>
      <c r="B1481" s="2200" t="s">
        <v>7239</v>
      </c>
      <c r="C1481" s="2200" t="s">
        <v>7240</v>
      </c>
      <c r="D1481" s="2200" t="str">
        <f t="shared" si="69"/>
        <v>MS</v>
      </c>
      <c r="E1481" s="2200" t="str">
        <f t="shared" si="70"/>
        <v>28</v>
      </c>
      <c r="F1481" s="2200" t="str">
        <f t="shared" si="71"/>
        <v>153</v>
      </c>
      <c r="G1481" s="2200">
        <f>--SUBTOTAL(3,C$2:C1481)</f>
        <v>67</v>
      </c>
    </row>
    <row r="1482" spans="1:7" hidden="1" x14ac:dyDescent="0.15">
      <c r="A1482" s="2200" t="s">
        <v>4280</v>
      </c>
      <c r="B1482" s="2200" t="s">
        <v>7241</v>
      </c>
      <c r="C1482" s="2200" t="s">
        <v>7242</v>
      </c>
      <c r="D1482" s="2200" t="str">
        <f t="shared" si="69"/>
        <v>MS</v>
      </c>
      <c r="E1482" s="2200" t="str">
        <f t="shared" si="70"/>
        <v>28</v>
      </c>
      <c r="F1482" s="2200" t="str">
        <f t="shared" si="71"/>
        <v>155</v>
      </c>
      <c r="G1482" s="2200">
        <f>--SUBTOTAL(3,C$2:C1482)</f>
        <v>67</v>
      </c>
    </row>
    <row r="1483" spans="1:7" hidden="1" x14ac:dyDescent="0.15">
      <c r="A1483" s="2200" t="s">
        <v>4280</v>
      </c>
      <c r="B1483" s="2200" t="s">
        <v>7243</v>
      </c>
      <c r="C1483" s="2200" t="s">
        <v>7244</v>
      </c>
      <c r="D1483" s="2200" t="str">
        <f t="shared" si="69"/>
        <v>MS</v>
      </c>
      <c r="E1483" s="2200" t="str">
        <f t="shared" si="70"/>
        <v>28</v>
      </c>
      <c r="F1483" s="2200" t="str">
        <f t="shared" si="71"/>
        <v>157</v>
      </c>
      <c r="G1483" s="2200">
        <f>--SUBTOTAL(3,C$2:C1483)</f>
        <v>67</v>
      </c>
    </row>
    <row r="1484" spans="1:7" hidden="1" x14ac:dyDescent="0.15">
      <c r="A1484" s="2200" t="s">
        <v>4280</v>
      </c>
      <c r="B1484" s="2200" t="s">
        <v>7245</v>
      </c>
      <c r="C1484" s="2200" t="s">
        <v>7246</v>
      </c>
      <c r="D1484" s="2200" t="str">
        <f t="shared" si="69"/>
        <v>MS</v>
      </c>
      <c r="E1484" s="2200" t="str">
        <f t="shared" si="70"/>
        <v>28</v>
      </c>
      <c r="F1484" s="2200" t="str">
        <f t="shared" si="71"/>
        <v>159</v>
      </c>
      <c r="G1484" s="2200">
        <f>--SUBTOTAL(3,C$2:C1484)</f>
        <v>67</v>
      </c>
    </row>
    <row r="1485" spans="1:7" hidden="1" x14ac:dyDescent="0.15">
      <c r="A1485" s="2200" t="s">
        <v>4280</v>
      </c>
      <c r="B1485" s="2200" t="s">
        <v>7247</v>
      </c>
      <c r="C1485" s="2200" t="s">
        <v>7248</v>
      </c>
      <c r="D1485" s="2200" t="str">
        <f t="shared" si="69"/>
        <v>MS</v>
      </c>
      <c r="E1485" s="2200" t="str">
        <f t="shared" si="70"/>
        <v>28</v>
      </c>
      <c r="F1485" s="2200" t="str">
        <f t="shared" si="71"/>
        <v>161</v>
      </c>
      <c r="G1485" s="2200">
        <f>--SUBTOTAL(3,C$2:C1485)</f>
        <v>67</v>
      </c>
    </row>
    <row r="1486" spans="1:7" hidden="1" x14ac:dyDescent="0.15">
      <c r="A1486" s="2200" t="s">
        <v>4280</v>
      </c>
      <c r="B1486" s="2200" t="s">
        <v>7249</v>
      </c>
      <c r="C1486" s="2200" t="s">
        <v>7250</v>
      </c>
      <c r="D1486" s="2200" t="str">
        <f t="shared" si="69"/>
        <v>MS</v>
      </c>
      <c r="E1486" s="2200" t="str">
        <f t="shared" si="70"/>
        <v>28</v>
      </c>
      <c r="F1486" s="2200" t="str">
        <f t="shared" si="71"/>
        <v>163</v>
      </c>
      <c r="G1486" s="2200">
        <f>--SUBTOTAL(3,C$2:C1486)</f>
        <v>67</v>
      </c>
    </row>
    <row r="1487" spans="1:7" hidden="1" x14ac:dyDescent="0.15">
      <c r="A1487" s="2200" t="s">
        <v>4280</v>
      </c>
      <c r="B1487" s="2200" t="s">
        <v>7251</v>
      </c>
      <c r="C1487" s="2200" t="s">
        <v>7252</v>
      </c>
      <c r="D1487" s="2200" t="str">
        <f t="shared" si="69"/>
        <v>MO</v>
      </c>
      <c r="E1487" s="2200" t="str">
        <f t="shared" si="70"/>
        <v>29</v>
      </c>
      <c r="F1487" s="2200" t="str">
        <f t="shared" si="71"/>
        <v>001</v>
      </c>
      <c r="G1487" s="2200">
        <f>--SUBTOTAL(3,C$2:C1487)</f>
        <v>67</v>
      </c>
    </row>
    <row r="1488" spans="1:7" hidden="1" x14ac:dyDescent="0.15">
      <c r="A1488" s="2200" t="s">
        <v>4280</v>
      </c>
      <c r="B1488" s="2200" t="s">
        <v>7253</v>
      </c>
      <c r="C1488" s="2200" t="s">
        <v>7254</v>
      </c>
      <c r="D1488" s="2200" t="str">
        <f t="shared" si="69"/>
        <v>MO</v>
      </c>
      <c r="E1488" s="2200" t="str">
        <f t="shared" si="70"/>
        <v>29</v>
      </c>
      <c r="F1488" s="2200" t="str">
        <f t="shared" si="71"/>
        <v>003</v>
      </c>
      <c r="G1488" s="2200">
        <f>--SUBTOTAL(3,C$2:C1488)</f>
        <v>67</v>
      </c>
    </row>
    <row r="1489" spans="1:7" hidden="1" x14ac:dyDescent="0.15">
      <c r="A1489" s="2200" t="s">
        <v>4280</v>
      </c>
      <c r="B1489" s="2200" t="s">
        <v>7255</v>
      </c>
      <c r="C1489" s="2200" t="s">
        <v>7256</v>
      </c>
      <c r="D1489" s="2200" t="str">
        <f t="shared" si="69"/>
        <v>MO</v>
      </c>
      <c r="E1489" s="2200" t="str">
        <f t="shared" si="70"/>
        <v>29</v>
      </c>
      <c r="F1489" s="2200" t="str">
        <f t="shared" si="71"/>
        <v>005</v>
      </c>
      <c r="G1489" s="2200">
        <f>--SUBTOTAL(3,C$2:C1489)</f>
        <v>67</v>
      </c>
    </row>
    <row r="1490" spans="1:7" hidden="1" x14ac:dyDescent="0.15">
      <c r="A1490" s="2200" t="s">
        <v>4280</v>
      </c>
      <c r="B1490" s="2200" t="s">
        <v>7257</v>
      </c>
      <c r="C1490" s="2200" t="s">
        <v>7258</v>
      </c>
      <c r="D1490" s="2200" t="str">
        <f t="shared" si="69"/>
        <v>MO</v>
      </c>
      <c r="E1490" s="2200" t="str">
        <f t="shared" si="70"/>
        <v>29</v>
      </c>
      <c r="F1490" s="2200" t="str">
        <f t="shared" si="71"/>
        <v>007</v>
      </c>
      <c r="G1490" s="2200">
        <f>--SUBTOTAL(3,C$2:C1490)</f>
        <v>67</v>
      </c>
    </row>
    <row r="1491" spans="1:7" hidden="1" x14ac:dyDescent="0.15">
      <c r="A1491" s="2200" t="s">
        <v>4280</v>
      </c>
      <c r="B1491" s="2200" t="s">
        <v>7259</v>
      </c>
      <c r="C1491" s="2200" t="s">
        <v>7260</v>
      </c>
      <c r="D1491" s="2200" t="str">
        <f t="shared" si="69"/>
        <v>MO</v>
      </c>
      <c r="E1491" s="2200" t="str">
        <f t="shared" si="70"/>
        <v>29</v>
      </c>
      <c r="F1491" s="2200" t="str">
        <f t="shared" si="71"/>
        <v>009</v>
      </c>
      <c r="G1491" s="2200">
        <f>--SUBTOTAL(3,C$2:C1491)</f>
        <v>67</v>
      </c>
    </row>
    <row r="1492" spans="1:7" hidden="1" x14ac:dyDescent="0.15">
      <c r="A1492" s="2200" t="s">
        <v>4280</v>
      </c>
      <c r="B1492" s="2200" t="s">
        <v>7261</v>
      </c>
      <c r="C1492" s="2200" t="s">
        <v>7262</v>
      </c>
      <c r="D1492" s="2200" t="str">
        <f t="shared" si="69"/>
        <v>MO</v>
      </c>
      <c r="E1492" s="2200" t="str">
        <f t="shared" si="70"/>
        <v>29</v>
      </c>
      <c r="F1492" s="2200" t="str">
        <f t="shared" si="71"/>
        <v>011</v>
      </c>
      <c r="G1492" s="2200">
        <f>--SUBTOTAL(3,C$2:C1492)</f>
        <v>67</v>
      </c>
    </row>
    <row r="1493" spans="1:7" hidden="1" x14ac:dyDescent="0.15">
      <c r="A1493" s="2200" t="s">
        <v>4280</v>
      </c>
      <c r="B1493" s="2200" t="s">
        <v>7263</v>
      </c>
      <c r="C1493" s="2200" t="s">
        <v>7264</v>
      </c>
      <c r="D1493" s="2200" t="str">
        <f t="shared" si="69"/>
        <v>MO</v>
      </c>
      <c r="E1493" s="2200" t="str">
        <f t="shared" si="70"/>
        <v>29</v>
      </c>
      <c r="F1493" s="2200" t="str">
        <f t="shared" si="71"/>
        <v>013</v>
      </c>
      <c r="G1493" s="2200">
        <f>--SUBTOTAL(3,C$2:C1493)</f>
        <v>67</v>
      </c>
    </row>
    <row r="1494" spans="1:7" hidden="1" x14ac:dyDescent="0.15">
      <c r="A1494" s="2200" t="s">
        <v>4280</v>
      </c>
      <c r="B1494" s="2200" t="s">
        <v>7265</v>
      </c>
      <c r="C1494" s="2200" t="s">
        <v>7266</v>
      </c>
      <c r="D1494" s="2200" t="str">
        <f t="shared" si="69"/>
        <v>MO</v>
      </c>
      <c r="E1494" s="2200" t="str">
        <f t="shared" si="70"/>
        <v>29</v>
      </c>
      <c r="F1494" s="2200" t="str">
        <f t="shared" si="71"/>
        <v>015</v>
      </c>
      <c r="G1494" s="2200">
        <f>--SUBTOTAL(3,C$2:C1494)</f>
        <v>67</v>
      </c>
    </row>
    <row r="1495" spans="1:7" hidden="1" x14ac:dyDescent="0.15">
      <c r="A1495" s="2200" t="s">
        <v>4280</v>
      </c>
      <c r="B1495" s="2200" t="s">
        <v>7267</v>
      </c>
      <c r="C1495" s="2200" t="s">
        <v>7268</v>
      </c>
      <c r="D1495" s="2200" t="str">
        <f t="shared" si="69"/>
        <v>MO</v>
      </c>
      <c r="E1495" s="2200" t="str">
        <f t="shared" si="70"/>
        <v>29</v>
      </c>
      <c r="F1495" s="2200" t="str">
        <f t="shared" si="71"/>
        <v>017</v>
      </c>
      <c r="G1495" s="2200">
        <f>--SUBTOTAL(3,C$2:C1495)</f>
        <v>67</v>
      </c>
    </row>
    <row r="1496" spans="1:7" hidden="1" x14ac:dyDescent="0.15">
      <c r="A1496" s="2200" t="s">
        <v>4280</v>
      </c>
      <c r="B1496" s="2200" t="s">
        <v>7269</v>
      </c>
      <c r="C1496" s="2200" t="s">
        <v>7270</v>
      </c>
      <c r="D1496" s="2200" t="str">
        <f t="shared" si="69"/>
        <v>MO</v>
      </c>
      <c r="E1496" s="2200" t="str">
        <f t="shared" si="70"/>
        <v>29</v>
      </c>
      <c r="F1496" s="2200" t="str">
        <f t="shared" si="71"/>
        <v>019</v>
      </c>
      <c r="G1496" s="2200">
        <f>--SUBTOTAL(3,C$2:C1496)</f>
        <v>67</v>
      </c>
    </row>
    <row r="1497" spans="1:7" hidden="1" x14ac:dyDescent="0.15">
      <c r="A1497" s="2200" t="s">
        <v>4280</v>
      </c>
      <c r="B1497" s="2200" t="s">
        <v>7271</v>
      </c>
      <c r="C1497" s="2200" t="s">
        <v>7272</v>
      </c>
      <c r="D1497" s="2200" t="str">
        <f t="shared" si="69"/>
        <v>MO</v>
      </c>
      <c r="E1497" s="2200" t="str">
        <f t="shared" si="70"/>
        <v>29</v>
      </c>
      <c r="F1497" s="2200" t="str">
        <f t="shared" si="71"/>
        <v>021</v>
      </c>
      <c r="G1497" s="2200">
        <f>--SUBTOTAL(3,C$2:C1497)</f>
        <v>67</v>
      </c>
    </row>
    <row r="1498" spans="1:7" hidden="1" x14ac:dyDescent="0.15">
      <c r="A1498" s="2200" t="s">
        <v>4280</v>
      </c>
      <c r="B1498" s="2200" t="s">
        <v>7273</v>
      </c>
      <c r="C1498" s="2200" t="s">
        <v>7274</v>
      </c>
      <c r="D1498" s="2200" t="str">
        <f t="shared" si="69"/>
        <v>MO</v>
      </c>
      <c r="E1498" s="2200" t="str">
        <f t="shared" si="70"/>
        <v>29</v>
      </c>
      <c r="F1498" s="2200" t="str">
        <f t="shared" si="71"/>
        <v>023</v>
      </c>
      <c r="G1498" s="2200">
        <f>--SUBTOTAL(3,C$2:C1498)</f>
        <v>67</v>
      </c>
    </row>
    <row r="1499" spans="1:7" hidden="1" x14ac:dyDescent="0.15">
      <c r="A1499" s="2200" t="s">
        <v>4280</v>
      </c>
      <c r="B1499" s="2200" t="s">
        <v>7275</v>
      </c>
      <c r="C1499" s="2200" t="s">
        <v>7276</v>
      </c>
      <c r="D1499" s="2200" t="str">
        <f t="shared" si="69"/>
        <v>MO</v>
      </c>
      <c r="E1499" s="2200" t="str">
        <f t="shared" si="70"/>
        <v>29</v>
      </c>
      <c r="F1499" s="2200" t="str">
        <f t="shared" si="71"/>
        <v>025</v>
      </c>
      <c r="G1499" s="2200">
        <f>--SUBTOTAL(3,C$2:C1499)</f>
        <v>67</v>
      </c>
    </row>
    <row r="1500" spans="1:7" hidden="1" x14ac:dyDescent="0.15">
      <c r="A1500" s="2200" t="s">
        <v>4280</v>
      </c>
      <c r="B1500" s="2200" t="s">
        <v>7277</v>
      </c>
      <c r="C1500" s="2200" t="s">
        <v>7278</v>
      </c>
      <c r="D1500" s="2200" t="str">
        <f t="shared" si="69"/>
        <v>MO</v>
      </c>
      <c r="E1500" s="2200" t="str">
        <f t="shared" si="70"/>
        <v>29</v>
      </c>
      <c r="F1500" s="2200" t="str">
        <f t="shared" si="71"/>
        <v>027</v>
      </c>
      <c r="G1500" s="2200">
        <f>--SUBTOTAL(3,C$2:C1500)</f>
        <v>67</v>
      </c>
    </row>
    <row r="1501" spans="1:7" hidden="1" x14ac:dyDescent="0.15">
      <c r="A1501" s="2200" t="s">
        <v>4280</v>
      </c>
      <c r="B1501" s="2200" t="s">
        <v>7279</v>
      </c>
      <c r="C1501" s="2200" t="s">
        <v>7280</v>
      </c>
      <c r="D1501" s="2200" t="str">
        <f t="shared" si="69"/>
        <v>MO</v>
      </c>
      <c r="E1501" s="2200" t="str">
        <f t="shared" si="70"/>
        <v>29</v>
      </c>
      <c r="F1501" s="2200" t="str">
        <f t="shared" si="71"/>
        <v>029</v>
      </c>
      <c r="G1501" s="2200">
        <f>--SUBTOTAL(3,C$2:C1501)</f>
        <v>67</v>
      </c>
    </row>
    <row r="1502" spans="1:7" hidden="1" x14ac:dyDescent="0.15">
      <c r="A1502" s="2200" t="s">
        <v>4280</v>
      </c>
      <c r="B1502" s="2200" t="s">
        <v>7281</v>
      </c>
      <c r="C1502" s="2200" t="s">
        <v>7282</v>
      </c>
      <c r="D1502" s="2200" t="str">
        <f t="shared" si="69"/>
        <v>MO</v>
      </c>
      <c r="E1502" s="2200" t="str">
        <f t="shared" si="70"/>
        <v>29</v>
      </c>
      <c r="F1502" s="2200" t="str">
        <f t="shared" si="71"/>
        <v>031</v>
      </c>
      <c r="G1502" s="2200">
        <f>--SUBTOTAL(3,C$2:C1502)</f>
        <v>67</v>
      </c>
    </row>
    <row r="1503" spans="1:7" hidden="1" x14ac:dyDescent="0.15">
      <c r="A1503" s="2200" t="s">
        <v>4280</v>
      </c>
      <c r="B1503" s="2200" t="s">
        <v>7283</v>
      </c>
      <c r="C1503" s="2200" t="s">
        <v>7284</v>
      </c>
      <c r="D1503" s="2200" t="str">
        <f t="shared" si="69"/>
        <v>MO</v>
      </c>
      <c r="E1503" s="2200" t="str">
        <f t="shared" si="70"/>
        <v>29</v>
      </c>
      <c r="F1503" s="2200" t="str">
        <f t="shared" si="71"/>
        <v>033</v>
      </c>
      <c r="G1503" s="2200">
        <f>--SUBTOTAL(3,C$2:C1503)</f>
        <v>67</v>
      </c>
    </row>
    <row r="1504" spans="1:7" hidden="1" x14ac:dyDescent="0.15">
      <c r="A1504" s="2200" t="s">
        <v>4280</v>
      </c>
      <c r="B1504" s="2200" t="s">
        <v>7285</v>
      </c>
      <c r="C1504" s="2200" t="s">
        <v>7286</v>
      </c>
      <c r="D1504" s="2200" t="str">
        <f t="shared" si="69"/>
        <v>MO</v>
      </c>
      <c r="E1504" s="2200" t="str">
        <f t="shared" si="70"/>
        <v>29</v>
      </c>
      <c r="F1504" s="2200" t="str">
        <f t="shared" si="71"/>
        <v>035</v>
      </c>
      <c r="G1504" s="2200">
        <f>--SUBTOTAL(3,C$2:C1504)</f>
        <v>67</v>
      </c>
    </row>
    <row r="1505" spans="1:7" hidden="1" x14ac:dyDescent="0.15">
      <c r="A1505" s="2200" t="s">
        <v>4280</v>
      </c>
      <c r="B1505" s="2200" t="s">
        <v>7287</v>
      </c>
      <c r="C1505" s="2200" t="s">
        <v>7288</v>
      </c>
      <c r="D1505" s="2200" t="str">
        <f t="shared" si="69"/>
        <v>MO</v>
      </c>
      <c r="E1505" s="2200" t="str">
        <f t="shared" si="70"/>
        <v>29</v>
      </c>
      <c r="F1505" s="2200" t="str">
        <f t="shared" si="71"/>
        <v>037</v>
      </c>
      <c r="G1505" s="2200">
        <f>--SUBTOTAL(3,C$2:C1505)</f>
        <v>67</v>
      </c>
    </row>
    <row r="1506" spans="1:7" hidden="1" x14ac:dyDescent="0.15">
      <c r="A1506" s="2200" t="s">
        <v>4280</v>
      </c>
      <c r="B1506" s="2200" t="s">
        <v>7289</v>
      </c>
      <c r="C1506" s="2200" t="s">
        <v>7290</v>
      </c>
      <c r="D1506" s="2200" t="str">
        <f t="shared" si="69"/>
        <v>MO</v>
      </c>
      <c r="E1506" s="2200" t="str">
        <f t="shared" si="70"/>
        <v>29</v>
      </c>
      <c r="F1506" s="2200" t="str">
        <f t="shared" si="71"/>
        <v>039</v>
      </c>
      <c r="G1506" s="2200">
        <f>--SUBTOTAL(3,C$2:C1506)</f>
        <v>67</v>
      </c>
    </row>
    <row r="1507" spans="1:7" hidden="1" x14ac:dyDescent="0.15">
      <c r="A1507" s="2200" t="s">
        <v>4280</v>
      </c>
      <c r="B1507" s="2200" t="s">
        <v>7291</v>
      </c>
      <c r="C1507" s="2200" t="s">
        <v>7292</v>
      </c>
      <c r="D1507" s="2200" t="str">
        <f t="shared" si="69"/>
        <v>MO</v>
      </c>
      <c r="E1507" s="2200" t="str">
        <f t="shared" si="70"/>
        <v>29</v>
      </c>
      <c r="F1507" s="2200" t="str">
        <f t="shared" si="71"/>
        <v>041</v>
      </c>
      <c r="G1507" s="2200">
        <f>--SUBTOTAL(3,C$2:C1507)</f>
        <v>67</v>
      </c>
    </row>
    <row r="1508" spans="1:7" hidden="1" x14ac:dyDescent="0.15">
      <c r="A1508" s="2200" t="s">
        <v>4280</v>
      </c>
      <c r="B1508" s="2200" t="s">
        <v>7293</v>
      </c>
      <c r="C1508" s="2200" t="s">
        <v>7294</v>
      </c>
      <c r="D1508" s="2200" t="str">
        <f t="shared" si="69"/>
        <v>MO</v>
      </c>
      <c r="E1508" s="2200" t="str">
        <f t="shared" si="70"/>
        <v>29</v>
      </c>
      <c r="F1508" s="2200" t="str">
        <f t="shared" si="71"/>
        <v>043</v>
      </c>
      <c r="G1508" s="2200">
        <f>--SUBTOTAL(3,C$2:C1508)</f>
        <v>67</v>
      </c>
    </row>
    <row r="1509" spans="1:7" hidden="1" x14ac:dyDescent="0.15">
      <c r="A1509" s="2200" t="s">
        <v>4280</v>
      </c>
      <c r="B1509" s="2200" t="s">
        <v>7295</v>
      </c>
      <c r="C1509" s="2200" t="s">
        <v>7296</v>
      </c>
      <c r="D1509" s="2200" t="str">
        <f t="shared" si="69"/>
        <v>MO</v>
      </c>
      <c r="E1509" s="2200" t="str">
        <f t="shared" si="70"/>
        <v>29</v>
      </c>
      <c r="F1509" s="2200" t="str">
        <f t="shared" si="71"/>
        <v>045</v>
      </c>
      <c r="G1509" s="2200">
        <f>--SUBTOTAL(3,C$2:C1509)</f>
        <v>67</v>
      </c>
    </row>
    <row r="1510" spans="1:7" hidden="1" x14ac:dyDescent="0.15">
      <c r="A1510" s="2200" t="s">
        <v>4280</v>
      </c>
      <c r="B1510" s="2200" t="s">
        <v>7297</v>
      </c>
      <c r="C1510" s="2200" t="s">
        <v>7298</v>
      </c>
      <c r="D1510" s="2200" t="str">
        <f t="shared" si="69"/>
        <v>MO</v>
      </c>
      <c r="E1510" s="2200" t="str">
        <f t="shared" si="70"/>
        <v>29</v>
      </c>
      <c r="F1510" s="2200" t="str">
        <f t="shared" si="71"/>
        <v>047</v>
      </c>
      <c r="G1510" s="2200">
        <f>--SUBTOTAL(3,C$2:C1510)</f>
        <v>67</v>
      </c>
    </row>
    <row r="1511" spans="1:7" hidden="1" x14ac:dyDescent="0.15">
      <c r="A1511" s="2200" t="s">
        <v>4280</v>
      </c>
      <c r="B1511" s="2200" t="s">
        <v>7299</v>
      </c>
      <c r="C1511" s="2200" t="s">
        <v>7300</v>
      </c>
      <c r="D1511" s="2200" t="str">
        <f t="shared" si="69"/>
        <v>MO</v>
      </c>
      <c r="E1511" s="2200" t="str">
        <f t="shared" si="70"/>
        <v>29</v>
      </c>
      <c r="F1511" s="2200" t="str">
        <f t="shared" si="71"/>
        <v>049</v>
      </c>
      <c r="G1511" s="2200">
        <f>--SUBTOTAL(3,C$2:C1511)</f>
        <v>67</v>
      </c>
    </row>
    <row r="1512" spans="1:7" hidden="1" x14ac:dyDescent="0.15">
      <c r="A1512" s="2200" t="s">
        <v>4280</v>
      </c>
      <c r="B1512" s="2200" t="s">
        <v>7301</v>
      </c>
      <c r="C1512" s="2200" t="s">
        <v>7302</v>
      </c>
      <c r="D1512" s="2200" t="str">
        <f t="shared" si="69"/>
        <v>MO</v>
      </c>
      <c r="E1512" s="2200" t="str">
        <f t="shared" si="70"/>
        <v>29</v>
      </c>
      <c r="F1512" s="2200" t="str">
        <f t="shared" si="71"/>
        <v>051</v>
      </c>
      <c r="G1512" s="2200">
        <f>--SUBTOTAL(3,C$2:C1512)</f>
        <v>67</v>
      </c>
    </row>
    <row r="1513" spans="1:7" hidden="1" x14ac:dyDescent="0.15">
      <c r="A1513" s="2200" t="s">
        <v>4280</v>
      </c>
      <c r="B1513" s="2200" t="s">
        <v>7303</v>
      </c>
      <c r="C1513" s="2200" t="s">
        <v>7304</v>
      </c>
      <c r="D1513" s="2200" t="str">
        <f t="shared" si="69"/>
        <v>MO</v>
      </c>
      <c r="E1513" s="2200" t="str">
        <f t="shared" si="70"/>
        <v>29</v>
      </c>
      <c r="F1513" s="2200" t="str">
        <f t="shared" si="71"/>
        <v>053</v>
      </c>
      <c r="G1513" s="2200">
        <f>--SUBTOTAL(3,C$2:C1513)</f>
        <v>67</v>
      </c>
    </row>
    <row r="1514" spans="1:7" hidden="1" x14ac:dyDescent="0.15">
      <c r="A1514" s="2200" t="s">
        <v>4280</v>
      </c>
      <c r="B1514" s="2200" t="s">
        <v>7305</v>
      </c>
      <c r="C1514" s="2200" t="s">
        <v>7306</v>
      </c>
      <c r="D1514" s="2200" t="str">
        <f t="shared" si="69"/>
        <v>MO</v>
      </c>
      <c r="E1514" s="2200" t="str">
        <f t="shared" si="70"/>
        <v>29</v>
      </c>
      <c r="F1514" s="2200" t="str">
        <f t="shared" si="71"/>
        <v>055</v>
      </c>
      <c r="G1514" s="2200">
        <f>--SUBTOTAL(3,C$2:C1514)</f>
        <v>67</v>
      </c>
    </row>
    <row r="1515" spans="1:7" hidden="1" x14ac:dyDescent="0.15">
      <c r="A1515" s="2200" t="s">
        <v>4280</v>
      </c>
      <c r="B1515" s="2200" t="s">
        <v>7307</v>
      </c>
      <c r="C1515" s="2200" t="s">
        <v>7308</v>
      </c>
      <c r="D1515" s="2200" t="str">
        <f t="shared" si="69"/>
        <v>MO</v>
      </c>
      <c r="E1515" s="2200" t="str">
        <f t="shared" si="70"/>
        <v>29</v>
      </c>
      <c r="F1515" s="2200" t="str">
        <f t="shared" si="71"/>
        <v>057</v>
      </c>
      <c r="G1515" s="2200">
        <f>--SUBTOTAL(3,C$2:C1515)</f>
        <v>67</v>
      </c>
    </row>
    <row r="1516" spans="1:7" hidden="1" x14ac:dyDescent="0.15">
      <c r="A1516" s="2200" t="s">
        <v>4280</v>
      </c>
      <c r="B1516" s="2200" t="s">
        <v>7309</v>
      </c>
      <c r="C1516" s="2200" t="s">
        <v>7310</v>
      </c>
      <c r="D1516" s="2200" t="str">
        <f t="shared" si="69"/>
        <v>MO</v>
      </c>
      <c r="E1516" s="2200" t="str">
        <f t="shared" si="70"/>
        <v>29</v>
      </c>
      <c r="F1516" s="2200" t="str">
        <f t="shared" si="71"/>
        <v>059</v>
      </c>
      <c r="G1516" s="2200">
        <f>--SUBTOTAL(3,C$2:C1516)</f>
        <v>67</v>
      </c>
    </row>
    <row r="1517" spans="1:7" hidden="1" x14ac:dyDescent="0.15">
      <c r="A1517" s="2200" t="s">
        <v>4280</v>
      </c>
      <c r="B1517" s="2200" t="s">
        <v>7311</v>
      </c>
      <c r="C1517" s="2200" t="s">
        <v>7312</v>
      </c>
      <c r="D1517" s="2200" t="str">
        <f t="shared" si="69"/>
        <v>MO</v>
      </c>
      <c r="E1517" s="2200" t="str">
        <f t="shared" si="70"/>
        <v>29</v>
      </c>
      <c r="F1517" s="2200" t="str">
        <f t="shared" si="71"/>
        <v>061</v>
      </c>
      <c r="G1517" s="2200">
        <f>--SUBTOTAL(3,C$2:C1517)</f>
        <v>67</v>
      </c>
    </row>
    <row r="1518" spans="1:7" hidden="1" x14ac:dyDescent="0.15">
      <c r="A1518" s="2200" t="s">
        <v>4280</v>
      </c>
      <c r="B1518" s="2200" t="s">
        <v>7313</v>
      </c>
      <c r="C1518" s="2200" t="s">
        <v>7314</v>
      </c>
      <c r="D1518" s="2200" t="str">
        <f t="shared" si="69"/>
        <v>MO</v>
      </c>
      <c r="E1518" s="2200" t="str">
        <f t="shared" si="70"/>
        <v>29</v>
      </c>
      <c r="F1518" s="2200" t="str">
        <f t="shared" si="71"/>
        <v>063</v>
      </c>
      <c r="G1518" s="2200">
        <f>--SUBTOTAL(3,C$2:C1518)</f>
        <v>67</v>
      </c>
    </row>
    <row r="1519" spans="1:7" hidden="1" x14ac:dyDescent="0.15">
      <c r="A1519" s="2200" t="s">
        <v>4280</v>
      </c>
      <c r="B1519" s="2200" t="s">
        <v>7315</v>
      </c>
      <c r="C1519" s="2200" t="s">
        <v>7316</v>
      </c>
      <c r="D1519" s="2200" t="str">
        <f t="shared" si="69"/>
        <v>MO</v>
      </c>
      <c r="E1519" s="2200" t="str">
        <f t="shared" si="70"/>
        <v>29</v>
      </c>
      <c r="F1519" s="2200" t="str">
        <f t="shared" si="71"/>
        <v>065</v>
      </c>
      <c r="G1519" s="2200">
        <f>--SUBTOTAL(3,C$2:C1519)</f>
        <v>67</v>
      </c>
    </row>
    <row r="1520" spans="1:7" hidden="1" x14ac:dyDescent="0.15">
      <c r="A1520" s="2200" t="s">
        <v>4280</v>
      </c>
      <c r="B1520" s="2200" t="s">
        <v>7317</v>
      </c>
      <c r="C1520" s="2200" t="s">
        <v>7318</v>
      </c>
      <c r="D1520" s="2200" t="str">
        <f t="shared" si="69"/>
        <v>MO</v>
      </c>
      <c r="E1520" s="2200" t="str">
        <f t="shared" si="70"/>
        <v>29</v>
      </c>
      <c r="F1520" s="2200" t="str">
        <f t="shared" si="71"/>
        <v>067</v>
      </c>
      <c r="G1520" s="2200">
        <f>--SUBTOTAL(3,C$2:C1520)</f>
        <v>67</v>
      </c>
    </row>
    <row r="1521" spans="1:7" hidden="1" x14ac:dyDescent="0.15">
      <c r="A1521" s="2200" t="s">
        <v>4280</v>
      </c>
      <c r="B1521" s="2200" t="s">
        <v>7319</v>
      </c>
      <c r="C1521" s="2200" t="s">
        <v>7320</v>
      </c>
      <c r="D1521" s="2200" t="str">
        <f t="shared" si="69"/>
        <v>MO</v>
      </c>
      <c r="E1521" s="2200" t="str">
        <f t="shared" si="70"/>
        <v>29</v>
      </c>
      <c r="F1521" s="2200" t="str">
        <f t="shared" si="71"/>
        <v>069</v>
      </c>
      <c r="G1521" s="2200">
        <f>--SUBTOTAL(3,C$2:C1521)</f>
        <v>67</v>
      </c>
    </row>
    <row r="1522" spans="1:7" hidden="1" x14ac:dyDescent="0.15">
      <c r="A1522" s="2200" t="s">
        <v>4280</v>
      </c>
      <c r="B1522" s="2200" t="s">
        <v>7321</v>
      </c>
      <c r="C1522" s="2200" t="s">
        <v>7322</v>
      </c>
      <c r="D1522" s="2200" t="str">
        <f t="shared" si="69"/>
        <v>MO</v>
      </c>
      <c r="E1522" s="2200" t="str">
        <f t="shared" si="70"/>
        <v>29</v>
      </c>
      <c r="F1522" s="2200" t="str">
        <f t="shared" si="71"/>
        <v>071</v>
      </c>
      <c r="G1522" s="2200">
        <f>--SUBTOTAL(3,C$2:C1522)</f>
        <v>67</v>
      </c>
    </row>
    <row r="1523" spans="1:7" hidden="1" x14ac:dyDescent="0.15">
      <c r="A1523" s="2200" t="s">
        <v>4280</v>
      </c>
      <c r="B1523" s="2200" t="s">
        <v>7323</v>
      </c>
      <c r="C1523" s="2200" t="s">
        <v>7324</v>
      </c>
      <c r="D1523" s="2200" t="str">
        <f t="shared" si="69"/>
        <v>MO</v>
      </c>
      <c r="E1523" s="2200" t="str">
        <f t="shared" si="70"/>
        <v>29</v>
      </c>
      <c r="F1523" s="2200" t="str">
        <f t="shared" si="71"/>
        <v>073</v>
      </c>
      <c r="G1523" s="2200">
        <f>--SUBTOTAL(3,C$2:C1523)</f>
        <v>67</v>
      </c>
    </row>
    <row r="1524" spans="1:7" hidden="1" x14ac:dyDescent="0.15">
      <c r="A1524" s="2200" t="s">
        <v>4280</v>
      </c>
      <c r="B1524" s="2200" t="s">
        <v>7325</v>
      </c>
      <c r="C1524" s="2200" t="s">
        <v>7326</v>
      </c>
      <c r="D1524" s="2200" t="str">
        <f t="shared" si="69"/>
        <v>MO</v>
      </c>
      <c r="E1524" s="2200" t="str">
        <f t="shared" si="70"/>
        <v>29</v>
      </c>
      <c r="F1524" s="2200" t="str">
        <f t="shared" si="71"/>
        <v>075</v>
      </c>
      <c r="G1524" s="2200">
        <f>--SUBTOTAL(3,C$2:C1524)</f>
        <v>67</v>
      </c>
    </row>
    <row r="1525" spans="1:7" hidden="1" x14ac:dyDescent="0.15">
      <c r="A1525" s="2200" t="s">
        <v>4280</v>
      </c>
      <c r="B1525" s="2200" t="s">
        <v>7327</v>
      </c>
      <c r="C1525" s="2200" t="s">
        <v>7328</v>
      </c>
      <c r="D1525" s="2200" t="str">
        <f t="shared" si="69"/>
        <v>MO</v>
      </c>
      <c r="E1525" s="2200" t="str">
        <f t="shared" si="70"/>
        <v>29</v>
      </c>
      <c r="F1525" s="2200" t="str">
        <f t="shared" si="71"/>
        <v>077</v>
      </c>
      <c r="G1525" s="2200">
        <f>--SUBTOTAL(3,C$2:C1525)</f>
        <v>67</v>
      </c>
    </row>
    <row r="1526" spans="1:7" hidden="1" x14ac:dyDescent="0.15">
      <c r="A1526" s="2200" t="s">
        <v>4280</v>
      </c>
      <c r="B1526" s="2200" t="s">
        <v>7329</v>
      </c>
      <c r="C1526" s="2200" t="s">
        <v>7330</v>
      </c>
      <c r="D1526" s="2200" t="str">
        <f t="shared" si="69"/>
        <v>MO</v>
      </c>
      <c r="E1526" s="2200" t="str">
        <f t="shared" si="70"/>
        <v>29</v>
      </c>
      <c r="F1526" s="2200" t="str">
        <f t="shared" si="71"/>
        <v>079</v>
      </c>
      <c r="G1526" s="2200">
        <f>--SUBTOTAL(3,C$2:C1526)</f>
        <v>67</v>
      </c>
    </row>
    <row r="1527" spans="1:7" hidden="1" x14ac:dyDescent="0.15">
      <c r="A1527" s="2200" t="s">
        <v>4280</v>
      </c>
      <c r="B1527" s="2200" t="s">
        <v>7331</v>
      </c>
      <c r="C1527" s="2200" t="s">
        <v>7332</v>
      </c>
      <c r="D1527" s="2200" t="str">
        <f t="shared" si="69"/>
        <v>MO</v>
      </c>
      <c r="E1527" s="2200" t="str">
        <f t="shared" si="70"/>
        <v>29</v>
      </c>
      <c r="F1527" s="2200" t="str">
        <f t="shared" si="71"/>
        <v>081</v>
      </c>
      <c r="G1527" s="2200">
        <f>--SUBTOTAL(3,C$2:C1527)</f>
        <v>67</v>
      </c>
    </row>
    <row r="1528" spans="1:7" hidden="1" x14ac:dyDescent="0.15">
      <c r="A1528" s="2200" t="s">
        <v>4280</v>
      </c>
      <c r="B1528" s="2200" t="s">
        <v>7333</v>
      </c>
      <c r="C1528" s="2200" t="s">
        <v>7334</v>
      </c>
      <c r="D1528" s="2200" t="str">
        <f t="shared" si="69"/>
        <v>MO</v>
      </c>
      <c r="E1528" s="2200" t="str">
        <f t="shared" si="70"/>
        <v>29</v>
      </c>
      <c r="F1528" s="2200" t="str">
        <f t="shared" si="71"/>
        <v>083</v>
      </c>
      <c r="G1528" s="2200">
        <f>--SUBTOTAL(3,C$2:C1528)</f>
        <v>67</v>
      </c>
    </row>
    <row r="1529" spans="1:7" hidden="1" x14ac:dyDescent="0.15">
      <c r="A1529" s="2200" t="s">
        <v>4280</v>
      </c>
      <c r="B1529" s="2200" t="s">
        <v>7335</v>
      </c>
      <c r="C1529" s="2200" t="s">
        <v>7336</v>
      </c>
      <c r="D1529" s="2200" t="str">
        <f t="shared" si="69"/>
        <v>MO</v>
      </c>
      <c r="E1529" s="2200" t="str">
        <f t="shared" si="70"/>
        <v>29</v>
      </c>
      <c r="F1529" s="2200" t="str">
        <f t="shared" si="71"/>
        <v>085</v>
      </c>
      <c r="G1529" s="2200">
        <f>--SUBTOTAL(3,C$2:C1529)</f>
        <v>67</v>
      </c>
    </row>
    <row r="1530" spans="1:7" hidden="1" x14ac:dyDescent="0.15">
      <c r="A1530" s="2200" t="s">
        <v>4280</v>
      </c>
      <c r="B1530" s="2200" t="s">
        <v>7337</v>
      </c>
      <c r="C1530" s="2200" t="s">
        <v>7338</v>
      </c>
      <c r="D1530" s="2200" t="str">
        <f t="shared" si="69"/>
        <v>MO</v>
      </c>
      <c r="E1530" s="2200" t="str">
        <f t="shared" si="70"/>
        <v>29</v>
      </c>
      <c r="F1530" s="2200" t="str">
        <f t="shared" si="71"/>
        <v>087</v>
      </c>
      <c r="G1530" s="2200">
        <f>--SUBTOTAL(3,C$2:C1530)</f>
        <v>67</v>
      </c>
    </row>
    <row r="1531" spans="1:7" hidden="1" x14ac:dyDescent="0.15">
      <c r="A1531" s="2200" t="s">
        <v>4280</v>
      </c>
      <c r="B1531" s="2200" t="s">
        <v>7339</v>
      </c>
      <c r="C1531" s="2200" t="s">
        <v>7340</v>
      </c>
      <c r="D1531" s="2200" t="str">
        <f t="shared" si="69"/>
        <v>MO</v>
      </c>
      <c r="E1531" s="2200" t="str">
        <f t="shared" si="70"/>
        <v>29</v>
      </c>
      <c r="F1531" s="2200" t="str">
        <f t="shared" si="71"/>
        <v>089</v>
      </c>
      <c r="G1531" s="2200">
        <f>--SUBTOTAL(3,C$2:C1531)</f>
        <v>67</v>
      </c>
    </row>
    <row r="1532" spans="1:7" hidden="1" x14ac:dyDescent="0.15">
      <c r="A1532" s="2200" t="s">
        <v>4280</v>
      </c>
      <c r="B1532" s="2200" t="s">
        <v>7341</v>
      </c>
      <c r="C1532" s="2200" t="s">
        <v>7342</v>
      </c>
      <c r="D1532" s="2200" t="str">
        <f t="shared" si="69"/>
        <v>MO</v>
      </c>
      <c r="E1532" s="2200" t="str">
        <f t="shared" si="70"/>
        <v>29</v>
      </c>
      <c r="F1532" s="2200" t="str">
        <f t="shared" si="71"/>
        <v>091</v>
      </c>
      <c r="G1532" s="2200">
        <f>--SUBTOTAL(3,C$2:C1532)</f>
        <v>67</v>
      </c>
    </row>
    <row r="1533" spans="1:7" hidden="1" x14ac:dyDescent="0.15">
      <c r="A1533" s="2200" t="s">
        <v>4280</v>
      </c>
      <c r="B1533" s="2200" t="s">
        <v>7343</v>
      </c>
      <c r="C1533" s="2200" t="s">
        <v>7344</v>
      </c>
      <c r="D1533" s="2200" t="str">
        <f t="shared" si="69"/>
        <v>MO</v>
      </c>
      <c r="E1533" s="2200" t="str">
        <f t="shared" si="70"/>
        <v>29</v>
      </c>
      <c r="F1533" s="2200" t="str">
        <f t="shared" si="71"/>
        <v>093</v>
      </c>
      <c r="G1533" s="2200">
        <f>--SUBTOTAL(3,C$2:C1533)</f>
        <v>67</v>
      </c>
    </row>
    <row r="1534" spans="1:7" hidden="1" x14ac:dyDescent="0.15">
      <c r="A1534" s="2200" t="s">
        <v>4280</v>
      </c>
      <c r="B1534" s="2200" t="s">
        <v>7345</v>
      </c>
      <c r="C1534" s="2200" t="s">
        <v>7346</v>
      </c>
      <c r="D1534" s="2200" t="str">
        <f t="shared" si="69"/>
        <v>MO</v>
      </c>
      <c r="E1534" s="2200" t="str">
        <f t="shared" si="70"/>
        <v>29</v>
      </c>
      <c r="F1534" s="2200" t="str">
        <f t="shared" si="71"/>
        <v>095</v>
      </c>
      <c r="G1534" s="2200">
        <f>--SUBTOTAL(3,C$2:C1534)</f>
        <v>67</v>
      </c>
    </row>
    <row r="1535" spans="1:7" hidden="1" x14ac:dyDescent="0.15">
      <c r="A1535" s="2200" t="s">
        <v>4280</v>
      </c>
      <c r="B1535" s="2200" t="s">
        <v>7347</v>
      </c>
      <c r="C1535" s="2200" t="s">
        <v>7348</v>
      </c>
      <c r="D1535" s="2200" t="str">
        <f t="shared" si="69"/>
        <v>MO</v>
      </c>
      <c r="E1535" s="2200" t="str">
        <f t="shared" si="70"/>
        <v>29</v>
      </c>
      <c r="F1535" s="2200" t="str">
        <f t="shared" si="71"/>
        <v>097</v>
      </c>
      <c r="G1535" s="2200">
        <f>--SUBTOTAL(3,C$2:C1535)</f>
        <v>67</v>
      </c>
    </row>
    <row r="1536" spans="1:7" hidden="1" x14ac:dyDescent="0.15">
      <c r="A1536" s="2200" t="s">
        <v>4280</v>
      </c>
      <c r="B1536" s="2200" t="s">
        <v>7349</v>
      </c>
      <c r="C1536" s="2200" t="s">
        <v>7350</v>
      </c>
      <c r="D1536" s="2200" t="str">
        <f t="shared" si="69"/>
        <v>MO</v>
      </c>
      <c r="E1536" s="2200" t="str">
        <f t="shared" si="70"/>
        <v>29</v>
      </c>
      <c r="F1536" s="2200" t="str">
        <f t="shared" si="71"/>
        <v>099</v>
      </c>
      <c r="G1536" s="2200">
        <f>--SUBTOTAL(3,C$2:C1536)</f>
        <v>67</v>
      </c>
    </row>
    <row r="1537" spans="1:7" hidden="1" x14ac:dyDescent="0.15">
      <c r="A1537" s="2200" t="s">
        <v>4280</v>
      </c>
      <c r="B1537" s="2200" t="s">
        <v>7351</v>
      </c>
      <c r="C1537" s="2200" t="s">
        <v>7352</v>
      </c>
      <c r="D1537" s="2200" t="str">
        <f t="shared" si="69"/>
        <v>MO</v>
      </c>
      <c r="E1537" s="2200" t="str">
        <f t="shared" si="70"/>
        <v>29</v>
      </c>
      <c r="F1537" s="2200" t="str">
        <f t="shared" si="71"/>
        <v>101</v>
      </c>
      <c r="G1537" s="2200">
        <f>--SUBTOTAL(3,C$2:C1537)</f>
        <v>67</v>
      </c>
    </row>
    <row r="1538" spans="1:7" hidden="1" x14ac:dyDescent="0.15">
      <c r="A1538" s="2200" t="s">
        <v>4280</v>
      </c>
      <c r="B1538" s="2200" t="s">
        <v>7353</v>
      </c>
      <c r="C1538" s="2200" t="s">
        <v>7354</v>
      </c>
      <c r="D1538" s="2200" t="str">
        <f t="shared" si="69"/>
        <v>MO</v>
      </c>
      <c r="E1538" s="2200" t="str">
        <f t="shared" si="70"/>
        <v>29</v>
      </c>
      <c r="F1538" s="2200" t="str">
        <f t="shared" si="71"/>
        <v>103</v>
      </c>
      <c r="G1538" s="2200">
        <f>--SUBTOTAL(3,C$2:C1538)</f>
        <v>67</v>
      </c>
    </row>
    <row r="1539" spans="1:7" hidden="1" x14ac:dyDescent="0.15">
      <c r="A1539" s="2200" t="s">
        <v>4280</v>
      </c>
      <c r="B1539" s="2200" t="s">
        <v>7355</v>
      </c>
      <c r="C1539" s="2200" t="s">
        <v>7356</v>
      </c>
      <c r="D1539" s="2200" t="str">
        <f t="shared" ref="D1539:D1602" si="72">RIGHT(C1539,2)</f>
        <v>MO</v>
      </c>
      <c r="E1539" s="2200" t="str">
        <f t="shared" ref="E1539:E1602" si="73">MID(B1539,3,2)</f>
        <v>29</v>
      </c>
      <c r="F1539" s="2200" t="str">
        <f t="shared" ref="F1539:F1602" si="74">MID(B1539,5,3)</f>
        <v>105</v>
      </c>
      <c r="G1539" s="2200">
        <f>--SUBTOTAL(3,C$2:C1539)</f>
        <v>67</v>
      </c>
    </row>
    <row r="1540" spans="1:7" hidden="1" x14ac:dyDescent="0.15">
      <c r="A1540" s="2200" t="s">
        <v>4280</v>
      </c>
      <c r="B1540" s="2200" t="s">
        <v>7357</v>
      </c>
      <c r="C1540" s="2200" t="s">
        <v>7358</v>
      </c>
      <c r="D1540" s="2200" t="str">
        <f t="shared" si="72"/>
        <v>MO</v>
      </c>
      <c r="E1540" s="2200" t="str">
        <f t="shared" si="73"/>
        <v>29</v>
      </c>
      <c r="F1540" s="2200" t="str">
        <f t="shared" si="74"/>
        <v>107</v>
      </c>
      <c r="G1540" s="2200">
        <f>--SUBTOTAL(3,C$2:C1540)</f>
        <v>67</v>
      </c>
    </row>
    <row r="1541" spans="1:7" hidden="1" x14ac:dyDescent="0.15">
      <c r="A1541" s="2200" t="s">
        <v>4280</v>
      </c>
      <c r="B1541" s="2200" t="s">
        <v>7359</v>
      </c>
      <c r="C1541" s="2200" t="s">
        <v>7360</v>
      </c>
      <c r="D1541" s="2200" t="str">
        <f t="shared" si="72"/>
        <v>MO</v>
      </c>
      <c r="E1541" s="2200" t="str">
        <f t="shared" si="73"/>
        <v>29</v>
      </c>
      <c r="F1541" s="2200" t="str">
        <f t="shared" si="74"/>
        <v>109</v>
      </c>
      <c r="G1541" s="2200">
        <f>--SUBTOTAL(3,C$2:C1541)</f>
        <v>67</v>
      </c>
    </row>
    <row r="1542" spans="1:7" hidden="1" x14ac:dyDescent="0.15">
      <c r="A1542" s="2200" t="s">
        <v>4280</v>
      </c>
      <c r="B1542" s="2200" t="s">
        <v>7361</v>
      </c>
      <c r="C1542" s="2200" t="s">
        <v>7362</v>
      </c>
      <c r="D1542" s="2200" t="str">
        <f t="shared" si="72"/>
        <v>MO</v>
      </c>
      <c r="E1542" s="2200" t="str">
        <f t="shared" si="73"/>
        <v>29</v>
      </c>
      <c r="F1542" s="2200" t="str">
        <f t="shared" si="74"/>
        <v>111</v>
      </c>
      <c r="G1542" s="2200">
        <f>--SUBTOTAL(3,C$2:C1542)</f>
        <v>67</v>
      </c>
    </row>
    <row r="1543" spans="1:7" hidden="1" x14ac:dyDescent="0.15">
      <c r="A1543" s="2200" t="s">
        <v>4280</v>
      </c>
      <c r="B1543" s="2200" t="s">
        <v>7363</v>
      </c>
      <c r="C1543" s="2200" t="s">
        <v>7364</v>
      </c>
      <c r="D1543" s="2200" t="str">
        <f t="shared" si="72"/>
        <v>MO</v>
      </c>
      <c r="E1543" s="2200" t="str">
        <f t="shared" si="73"/>
        <v>29</v>
      </c>
      <c r="F1543" s="2200" t="str">
        <f t="shared" si="74"/>
        <v>113</v>
      </c>
      <c r="G1543" s="2200">
        <f>--SUBTOTAL(3,C$2:C1543)</f>
        <v>67</v>
      </c>
    </row>
    <row r="1544" spans="1:7" hidden="1" x14ac:dyDescent="0.15">
      <c r="A1544" s="2200" t="s">
        <v>4280</v>
      </c>
      <c r="B1544" s="2200" t="s">
        <v>7365</v>
      </c>
      <c r="C1544" s="2200" t="s">
        <v>7366</v>
      </c>
      <c r="D1544" s="2200" t="str">
        <f t="shared" si="72"/>
        <v>MO</v>
      </c>
      <c r="E1544" s="2200" t="str">
        <f t="shared" si="73"/>
        <v>29</v>
      </c>
      <c r="F1544" s="2200" t="str">
        <f t="shared" si="74"/>
        <v>115</v>
      </c>
      <c r="G1544" s="2200">
        <f>--SUBTOTAL(3,C$2:C1544)</f>
        <v>67</v>
      </c>
    </row>
    <row r="1545" spans="1:7" hidden="1" x14ac:dyDescent="0.15">
      <c r="A1545" s="2200" t="s">
        <v>4280</v>
      </c>
      <c r="B1545" s="2200" t="s">
        <v>7367</v>
      </c>
      <c r="C1545" s="2200" t="s">
        <v>7368</v>
      </c>
      <c r="D1545" s="2200" t="str">
        <f t="shared" si="72"/>
        <v>MO</v>
      </c>
      <c r="E1545" s="2200" t="str">
        <f t="shared" si="73"/>
        <v>29</v>
      </c>
      <c r="F1545" s="2200" t="str">
        <f t="shared" si="74"/>
        <v>117</v>
      </c>
      <c r="G1545" s="2200">
        <f>--SUBTOTAL(3,C$2:C1545)</f>
        <v>67</v>
      </c>
    </row>
    <row r="1546" spans="1:7" hidden="1" x14ac:dyDescent="0.15">
      <c r="A1546" s="2200" t="s">
        <v>4280</v>
      </c>
      <c r="B1546" s="2200" t="s">
        <v>7369</v>
      </c>
      <c r="C1546" s="2200" t="s">
        <v>7370</v>
      </c>
      <c r="D1546" s="2200" t="str">
        <f t="shared" si="72"/>
        <v>MO</v>
      </c>
      <c r="E1546" s="2200" t="str">
        <f t="shared" si="73"/>
        <v>29</v>
      </c>
      <c r="F1546" s="2200" t="str">
        <f t="shared" si="74"/>
        <v>119</v>
      </c>
      <c r="G1546" s="2200">
        <f>--SUBTOTAL(3,C$2:C1546)</f>
        <v>67</v>
      </c>
    </row>
    <row r="1547" spans="1:7" hidden="1" x14ac:dyDescent="0.15">
      <c r="A1547" s="2200" t="s">
        <v>4280</v>
      </c>
      <c r="B1547" s="2200" t="s">
        <v>7371</v>
      </c>
      <c r="C1547" s="2200" t="s">
        <v>7372</v>
      </c>
      <c r="D1547" s="2200" t="str">
        <f t="shared" si="72"/>
        <v>MO</v>
      </c>
      <c r="E1547" s="2200" t="str">
        <f t="shared" si="73"/>
        <v>29</v>
      </c>
      <c r="F1547" s="2200" t="str">
        <f t="shared" si="74"/>
        <v>121</v>
      </c>
      <c r="G1547" s="2200">
        <f>--SUBTOTAL(3,C$2:C1547)</f>
        <v>67</v>
      </c>
    </row>
    <row r="1548" spans="1:7" hidden="1" x14ac:dyDescent="0.15">
      <c r="A1548" s="2200" t="s">
        <v>4280</v>
      </c>
      <c r="B1548" s="2200" t="s">
        <v>7373</v>
      </c>
      <c r="C1548" s="2200" t="s">
        <v>7374</v>
      </c>
      <c r="D1548" s="2200" t="str">
        <f t="shared" si="72"/>
        <v>MO</v>
      </c>
      <c r="E1548" s="2200" t="str">
        <f t="shared" si="73"/>
        <v>29</v>
      </c>
      <c r="F1548" s="2200" t="str">
        <f t="shared" si="74"/>
        <v>123</v>
      </c>
      <c r="G1548" s="2200">
        <f>--SUBTOTAL(3,C$2:C1548)</f>
        <v>67</v>
      </c>
    </row>
    <row r="1549" spans="1:7" hidden="1" x14ac:dyDescent="0.15">
      <c r="A1549" s="2200" t="s">
        <v>4280</v>
      </c>
      <c r="B1549" s="2200" t="s">
        <v>7375</v>
      </c>
      <c r="C1549" s="2200" t="s">
        <v>7376</v>
      </c>
      <c r="D1549" s="2200" t="str">
        <f t="shared" si="72"/>
        <v>MO</v>
      </c>
      <c r="E1549" s="2200" t="str">
        <f t="shared" si="73"/>
        <v>29</v>
      </c>
      <c r="F1549" s="2200" t="str">
        <f t="shared" si="74"/>
        <v>125</v>
      </c>
      <c r="G1549" s="2200">
        <f>--SUBTOTAL(3,C$2:C1549)</f>
        <v>67</v>
      </c>
    </row>
    <row r="1550" spans="1:7" hidden="1" x14ac:dyDescent="0.15">
      <c r="A1550" s="2200" t="s">
        <v>4280</v>
      </c>
      <c r="B1550" s="2200" t="s">
        <v>7377</v>
      </c>
      <c r="C1550" s="2200" t="s">
        <v>7378</v>
      </c>
      <c r="D1550" s="2200" t="str">
        <f t="shared" si="72"/>
        <v>MO</v>
      </c>
      <c r="E1550" s="2200" t="str">
        <f t="shared" si="73"/>
        <v>29</v>
      </c>
      <c r="F1550" s="2200" t="str">
        <f t="shared" si="74"/>
        <v>127</v>
      </c>
      <c r="G1550" s="2200">
        <f>--SUBTOTAL(3,C$2:C1550)</f>
        <v>67</v>
      </c>
    </row>
    <row r="1551" spans="1:7" hidden="1" x14ac:dyDescent="0.15">
      <c r="A1551" s="2200" t="s">
        <v>4280</v>
      </c>
      <c r="B1551" s="2200" t="s">
        <v>7379</v>
      </c>
      <c r="C1551" s="2200" t="s">
        <v>7380</v>
      </c>
      <c r="D1551" s="2200" t="str">
        <f t="shared" si="72"/>
        <v>MO</v>
      </c>
      <c r="E1551" s="2200" t="str">
        <f t="shared" si="73"/>
        <v>29</v>
      </c>
      <c r="F1551" s="2200" t="str">
        <f t="shared" si="74"/>
        <v>129</v>
      </c>
      <c r="G1551" s="2200">
        <f>--SUBTOTAL(3,C$2:C1551)</f>
        <v>67</v>
      </c>
    </row>
    <row r="1552" spans="1:7" hidden="1" x14ac:dyDescent="0.15">
      <c r="A1552" s="2200" t="s">
        <v>4280</v>
      </c>
      <c r="B1552" s="2200" t="s">
        <v>7381</v>
      </c>
      <c r="C1552" s="2200" t="s">
        <v>7382</v>
      </c>
      <c r="D1552" s="2200" t="str">
        <f t="shared" si="72"/>
        <v>MO</v>
      </c>
      <c r="E1552" s="2200" t="str">
        <f t="shared" si="73"/>
        <v>29</v>
      </c>
      <c r="F1552" s="2200" t="str">
        <f t="shared" si="74"/>
        <v>131</v>
      </c>
      <c r="G1552" s="2200">
        <f>--SUBTOTAL(3,C$2:C1552)</f>
        <v>67</v>
      </c>
    </row>
    <row r="1553" spans="1:7" hidden="1" x14ac:dyDescent="0.15">
      <c r="A1553" s="2200" t="s">
        <v>4280</v>
      </c>
      <c r="B1553" s="2200" t="s">
        <v>7383</v>
      </c>
      <c r="C1553" s="2200" t="s">
        <v>7384</v>
      </c>
      <c r="D1553" s="2200" t="str">
        <f t="shared" si="72"/>
        <v>MO</v>
      </c>
      <c r="E1553" s="2200" t="str">
        <f t="shared" si="73"/>
        <v>29</v>
      </c>
      <c r="F1553" s="2200" t="str">
        <f t="shared" si="74"/>
        <v>133</v>
      </c>
      <c r="G1553" s="2200">
        <f>--SUBTOTAL(3,C$2:C1553)</f>
        <v>67</v>
      </c>
    </row>
    <row r="1554" spans="1:7" hidden="1" x14ac:dyDescent="0.15">
      <c r="A1554" s="2200" t="s">
        <v>4280</v>
      </c>
      <c r="B1554" s="2200" t="s">
        <v>7385</v>
      </c>
      <c r="C1554" s="2200" t="s">
        <v>7386</v>
      </c>
      <c r="D1554" s="2200" t="str">
        <f t="shared" si="72"/>
        <v>MO</v>
      </c>
      <c r="E1554" s="2200" t="str">
        <f t="shared" si="73"/>
        <v>29</v>
      </c>
      <c r="F1554" s="2200" t="str">
        <f t="shared" si="74"/>
        <v>135</v>
      </c>
      <c r="G1554" s="2200">
        <f>--SUBTOTAL(3,C$2:C1554)</f>
        <v>67</v>
      </c>
    </row>
    <row r="1555" spans="1:7" hidden="1" x14ac:dyDescent="0.15">
      <c r="A1555" s="2200" t="s">
        <v>4280</v>
      </c>
      <c r="B1555" s="2200" t="s">
        <v>7387</v>
      </c>
      <c r="C1555" s="2200" t="s">
        <v>7388</v>
      </c>
      <c r="D1555" s="2200" t="str">
        <f t="shared" si="72"/>
        <v>MO</v>
      </c>
      <c r="E1555" s="2200" t="str">
        <f t="shared" si="73"/>
        <v>29</v>
      </c>
      <c r="F1555" s="2200" t="str">
        <f t="shared" si="74"/>
        <v>137</v>
      </c>
      <c r="G1555" s="2200">
        <f>--SUBTOTAL(3,C$2:C1555)</f>
        <v>67</v>
      </c>
    </row>
    <row r="1556" spans="1:7" hidden="1" x14ac:dyDescent="0.15">
      <c r="A1556" s="2200" t="s">
        <v>4280</v>
      </c>
      <c r="B1556" s="2200" t="s">
        <v>7389</v>
      </c>
      <c r="C1556" s="2200" t="s">
        <v>7390</v>
      </c>
      <c r="D1556" s="2200" t="str">
        <f t="shared" si="72"/>
        <v>MO</v>
      </c>
      <c r="E1556" s="2200" t="str">
        <f t="shared" si="73"/>
        <v>29</v>
      </c>
      <c r="F1556" s="2200" t="str">
        <f t="shared" si="74"/>
        <v>139</v>
      </c>
      <c r="G1556" s="2200">
        <f>--SUBTOTAL(3,C$2:C1556)</f>
        <v>67</v>
      </c>
    </row>
    <row r="1557" spans="1:7" hidden="1" x14ac:dyDescent="0.15">
      <c r="A1557" s="2200" t="s">
        <v>4280</v>
      </c>
      <c r="B1557" s="2200" t="s">
        <v>7391</v>
      </c>
      <c r="C1557" s="2200" t="s">
        <v>7392</v>
      </c>
      <c r="D1557" s="2200" t="str">
        <f t="shared" si="72"/>
        <v>MO</v>
      </c>
      <c r="E1557" s="2200" t="str">
        <f t="shared" si="73"/>
        <v>29</v>
      </c>
      <c r="F1557" s="2200" t="str">
        <f t="shared" si="74"/>
        <v>141</v>
      </c>
      <c r="G1557" s="2200">
        <f>--SUBTOTAL(3,C$2:C1557)</f>
        <v>67</v>
      </c>
    </row>
    <row r="1558" spans="1:7" hidden="1" x14ac:dyDescent="0.15">
      <c r="A1558" s="2200" t="s">
        <v>4280</v>
      </c>
      <c r="B1558" s="2200" t="s">
        <v>7393</v>
      </c>
      <c r="C1558" s="2200" t="s">
        <v>7394</v>
      </c>
      <c r="D1558" s="2200" t="str">
        <f t="shared" si="72"/>
        <v>MO</v>
      </c>
      <c r="E1558" s="2200" t="str">
        <f t="shared" si="73"/>
        <v>29</v>
      </c>
      <c r="F1558" s="2200" t="str">
        <f t="shared" si="74"/>
        <v>143</v>
      </c>
      <c r="G1558" s="2200">
        <f>--SUBTOTAL(3,C$2:C1558)</f>
        <v>67</v>
      </c>
    </row>
    <row r="1559" spans="1:7" hidden="1" x14ac:dyDescent="0.15">
      <c r="A1559" s="2200" t="s">
        <v>4280</v>
      </c>
      <c r="B1559" s="2200" t="s">
        <v>7395</v>
      </c>
      <c r="C1559" s="2200" t="s">
        <v>7396</v>
      </c>
      <c r="D1559" s="2200" t="str">
        <f t="shared" si="72"/>
        <v>MO</v>
      </c>
      <c r="E1559" s="2200" t="str">
        <f t="shared" si="73"/>
        <v>29</v>
      </c>
      <c r="F1559" s="2200" t="str">
        <f t="shared" si="74"/>
        <v>145</v>
      </c>
      <c r="G1559" s="2200">
        <f>--SUBTOTAL(3,C$2:C1559)</f>
        <v>67</v>
      </c>
    </row>
    <row r="1560" spans="1:7" hidden="1" x14ac:dyDescent="0.15">
      <c r="A1560" s="2200" t="s">
        <v>4280</v>
      </c>
      <c r="B1560" s="2200" t="s">
        <v>7397</v>
      </c>
      <c r="C1560" s="2200" t="s">
        <v>7398</v>
      </c>
      <c r="D1560" s="2200" t="str">
        <f t="shared" si="72"/>
        <v>MO</v>
      </c>
      <c r="E1560" s="2200" t="str">
        <f t="shared" si="73"/>
        <v>29</v>
      </c>
      <c r="F1560" s="2200" t="str">
        <f t="shared" si="74"/>
        <v>147</v>
      </c>
      <c r="G1560" s="2200">
        <f>--SUBTOTAL(3,C$2:C1560)</f>
        <v>67</v>
      </c>
    </row>
    <row r="1561" spans="1:7" hidden="1" x14ac:dyDescent="0.15">
      <c r="A1561" s="2200" t="s">
        <v>4280</v>
      </c>
      <c r="B1561" s="2200" t="s">
        <v>7399</v>
      </c>
      <c r="C1561" s="2200" t="s">
        <v>7400</v>
      </c>
      <c r="D1561" s="2200" t="str">
        <f t="shared" si="72"/>
        <v>MO</v>
      </c>
      <c r="E1561" s="2200" t="str">
        <f t="shared" si="73"/>
        <v>29</v>
      </c>
      <c r="F1561" s="2200" t="str">
        <f t="shared" si="74"/>
        <v>149</v>
      </c>
      <c r="G1561" s="2200">
        <f>--SUBTOTAL(3,C$2:C1561)</f>
        <v>67</v>
      </c>
    </row>
    <row r="1562" spans="1:7" hidden="1" x14ac:dyDescent="0.15">
      <c r="A1562" s="2200" t="s">
        <v>4280</v>
      </c>
      <c r="B1562" s="2200" t="s">
        <v>7401</v>
      </c>
      <c r="C1562" s="2200" t="s">
        <v>7402</v>
      </c>
      <c r="D1562" s="2200" t="str">
        <f t="shared" si="72"/>
        <v>MO</v>
      </c>
      <c r="E1562" s="2200" t="str">
        <f t="shared" si="73"/>
        <v>29</v>
      </c>
      <c r="F1562" s="2200" t="str">
        <f t="shared" si="74"/>
        <v>151</v>
      </c>
      <c r="G1562" s="2200">
        <f>--SUBTOTAL(3,C$2:C1562)</f>
        <v>67</v>
      </c>
    </row>
    <row r="1563" spans="1:7" hidden="1" x14ac:dyDescent="0.15">
      <c r="A1563" s="2200" t="s">
        <v>4280</v>
      </c>
      <c r="B1563" s="2200" t="s">
        <v>7403</v>
      </c>
      <c r="C1563" s="2200" t="s">
        <v>7404</v>
      </c>
      <c r="D1563" s="2200" t="str">
        <f t="shared" si="72"/>
        <v>MO</v>
      </c>
      <c r="E1563" s="2200" t="str">
        <f t="shared" si="73"/>
        <v>29</v>
      </c>
      <c r="F1563" s="2200" t="str">
        <f t="shared" si="74"/>
        <v>153</v>
      </c>
      <c r="G1563" s="2200">
        <f>--SUBTOTAL(3,C$2:C1563)</f>
        <v>67</v>
      </c>
    </row>
    <row r="1564" spans="1:7" hidden="1" x14ac:dyDescent="0.15">
      <c r="A1564" s="2200" t="s">
        <v>4280</v>
      </c>
      <c r="B1564" s="2200" t="s">
        <v>7405</v>
      </c>
      <c r="C1564" s="2200" t="s">
        <v>7406</v>
      </c>
      <c r="D1564" s="2200" t="str">
        <f t="shared" si="72"/>
        <v>MO</v>
      </c>
      <c r="E1564" s="2200" t="str">
        <f t="shared" si="73"/>
        <v>29</v>
      </c>
      <c r="F1564" s="2200" t="str">
        <f t="shared" si="74"/>
        <v>155</v>
      </c>
      <c r="G1564" s="2200">
        <f>--SUBTOTAL(3,C$2:C1564)</f>
        <v>67</v>
      </c>
    </row>
    <row r="1565" spans="1:7" hidden="1" x14ac:dyDescent="0.15">
      <c r="A1565" s="2200" t="s">
        <v>4280</v>
      </c>
      <c r="B1565" s="2200" t="s">
        <v>7407</v>
      </c>
      <c r="C1565" s="2200" t="s">
        <v>7408</v>
      </c>
      <c r="D1565" s="2200" t="str">
        <f t="shared" si="72"/>
        <v>MO</v>
      </c>
      <c r="E1565" s="2200" t="str">
        <f t="shared" si="73"/>
        <v>29</v>
      </c>
      <c r="F1565" s="2200" t="str">
        <f t="shared" si="74"/>
        <v>157</v>
      </c>
      <c r="G1565" s="2200">
        <f>--SUBTOTAL(3,C$2:C1565)</f>
        <v>67</v>
      </c>
    </row>
    <row r="1566" spans="1:7" hidden="1" x14ac:dyDescent="0.15">
      <c r="A1566" s="2200" t="s">
        <v>4280</v>
      </c>
      <c r="B1566" s="2200" t="s">
        <v>7409</v>
      </c>
      <c r="C1566" s="2200" t="s">
        <v>7410</v>
      </c>
      <c r="D1566" s="2200" t="str">
        <f t="shared" si="72"/>
        <v>MO</v>
      </c>
      <c r="E1566" s="2200" t="str">
        <f t="shared" si="73"/>
        <v>29</v>
      </c>
      <c r="F1566" s="2200" t="str">
        <f t="shared" si="74"/>
        <v>159</v>
      </c>
      <c r="G1566" s="2200">
        <f>--SUBTOTAL(3,C$2:C1566)</f>
        <v>67</v>
      </c>
    </row>
    <row r="1567" spans="1:7" hidden="1" x14ac:dyDescent="0.15">
      <c r="A1567" s="2200" t="s">
        <v>4280</v>
      </c>
      <c r="B1567" s="2200" t="s">
        <v>7411</v>
      </c>
      <c r="C1567" s="2200" t="s">
        <v>7412</v>
      </c>
      <c r="D1567" s="2200" t="str">
        <f t="shared" si="72"/>
        <v>MO</v>
      </c>
      <c r="E1567" s="2200" t="str">
        <f t="shared" si="73"/>
        <v>29</v>
      </c>
      <c r="F1567" s="2200" t="str">
        <f t="shared" si="74"/>
        <v>161</v>
      </c>
      <c r="G1567" s="2200">
        <f>--SUBTOTAL(3,C$2:C1567)</f>
        <v>67</v>
      </c>
    </row>
    <row r="1568" spans="1:7" hidden="1" x14ac:dyDescent="0.15">
      <c r="A1568" s="2200" t="s">
        <v>4280</v>
      </c>
      <c r="B1568" s="2200" t="s">
        <v>7413</v>
      </c>
      <c r="C1568" s="2200" t="s">
        <v>7414</v>
      </c>
      <c r="D1568" s="2200" t="str">
        <f t="shared" si="72"/>
        <v>MO</v>
      </c>
      <c r="E1568" s="2200" t="str">
        <f t="shared" si="73"/>
        <v>29</v>
      </c>
      <c r="F1568" s="2200" t="str">
        <f t="shared" si="74"/>
        <v>163</v>
      </c>
      <c r="G1568" s="2200">
        <f>--SUBTOTAL(3,C$2:C1568)</f>
        <v>67</v>
      </c>
    </row>
    <row r="1569" spans="1:7" hidden="1" x14ac:dyDescent="0.15">
      <c r="A1569" s="2200" t="s">
        <v>4280</v>
      </c>
      <c r="B1569" s="2200" t="s">
        <v>7415</v>
      </c>
      <c r="C1569" s="2200" t="s">
        <v>7416</v>
      </c>
      <c r="D1569" s="2200" t="str">
        <f t="shared" si="72"/>
        <v>MO</v>
      </c>
      <c r="E1569" s="2200" t="str">
        <f t="shared" si="73"/>
        <v>29</v>
      </c>
      <c r="F1569" s="2200" t="str">
        <f t="shared" si="74"/>
        <v>165</v>
      </c>
      <c r="G1569" s="2200">
        <f>--SUBTOTAL(3,C$2:C1569)</f>
        <v>67</v>
      </c>
    </row>
    <row r="1570" spans="1:7" hidden="1" x14ac:dyDescent="0.15">
      <c r="A1570" s="2200" t="s">
        <v>4280</v>
      </c>
      <c r="B1570" s="2200" t="s">
        <v>7417</v>
      </c>
      <c r="C1570" s="2200" t="s">
        <v>7418</v>
      </c>
      <c r="D1570" s="2200" t="str">
        <f t="shared" si="72"/>
        <v>MO</v>
      </c>
      <c r="E1570" s="2200" t="str">
        <f t="shared" si="73"/>
        <v>29</v>
      </c>
      <c r="F1570" s="2200" t="str">
        <f t="shared" si="74"/>
        <v>167</v>
      </c>
      <c r="G1570" s="2200">
        <f>--SUBTOTAL(3,C$2:C1570)</f>
        <v>67</v>
      </c>
    </row>
    <row r="1571" spans="1:7" hidden="1" x14ac:dyDescent="0.15">
      <c r="A1571" s="2200" t="s">
        <v>4280</v>
      </c>
      <c r="B1571" s="2200" t="s">
        <v>7419</v>
      </c>
      <c r="C1571" s="2200" t="s">
        <v>7420</v>
      </c>
      <c r="D1571" s="2200" t="str">
        <f t="shared" si="72"/>
        <v>MO</v>
      </c>
      <c r="E1571" s="2200" t="str">
        <f t="shared" si="73"/>
        <v>29</v>
      </c>
      <c r="F1571" s="2200" t="str">
        <f t="shared" si="74"/>
        <v>169</v>
      </c>
      <c r="G1571" s="2200">
        <f>--SUBTOTAL(3,C$2:C1571)</f>
        <v>67</v>
      </c>
    </row>
    <row r="1572" spans="1:7" hidden="1" x14ac:dyDescent="0.15">
      <c r="A1572" s="2200" t="s">
        <v>4280</v>
      </c>
      <c r="B1572" s="2200" t="s">
        <v>7421</v>
      </c>
      <c r="C1572" s="2200" t="s">
        <v>7422</v>
      </c>
      <c r="D1572" s="2200" t="str">
        <f t="shared" si="72"/>
        <v>MO</v>
      </c>
      <c r="E1572" s="2200" t="str">
        <f t="shared" si="73"/>
        <v>29</v>
      </c>
      <c r="F1572" s="2200" t="str">
        <f t="shared" si="74"/>
        <v>171</v>
      </c>
      <c r="G1572" s="2200">
        <f>--SUBTOTAL(3,C$2:C1572)</f>
        <v>67</v>
      </c>
    </row>
    <row r="1573" spans="1:7" hidden="1" x14ac:dyDescent="0.15">
      <c r="A1573" s="2200" t="s">
        <v>4280</v>
      </c>
      <c r="B1573" s="2200" t="s">
        <v>7423</v>
      </c>
      <c r="C1573" s="2200" t="s">
        <v>7424</v>
      </c>
      <c r="D1573" s="2200" t="str">
        <f t="shared" si="72"/>
        <v>MO</v>
      </c>
      <c r="E1573" s="2200" t="str">
        <f t="shared" si="73"/>
        <v>29</v>
      </c>
      <c r="F1573" s="2200" t="str">
        <f t="shared" si="74"/>
        <v>173</v>
      </c>
      <c r="G1573" s="2200">
        <f>--SUBTOTAL(3,C$2:C1573)</f>
        <v>67</v>
      </c>
    </row>
    <row r="1574" spans="1:7" hidden="1" x14ac:dyDescent="0.15">
      <c r="A1574" s="2200" t="s">
        <v>4280</v>
      </c>
      <c r="B1574" s="2200" t="s">
        <v>7425</v>
      </c>
      <c r="C1574" s="2200" t="s">
        <v>7426</v>
      </c>
      <c r="D1574" s="2200" t="str">
        <f t="shared" si="72"/>
        <v>MO</v>
      </c>
      <c r="E1574" s="2200" t="str">
        <f t="shared" si="73"/>
        <v>29</v>
      </c>
      <c r="F1574" s="2200" t="str">
        <f t="shared" si="74"/>
        <v>175</v>
      </c>
      <c r="G1574" s="2200">
        <f>--SUBTOTAL(3,C$2:C1574)</f>
        <v>67</v>
      </c>
    </row>
    <row r="1575" spans="1:7" hidden="1" x14ac:dyDescent="0.15">
      <c r="A1575" s="2200" t="s">
        <v>4280</v>
      </c>
      <c r="B1575" s="2200" t="s">
        <v>7427</v>
      </c>
      <c r="C1575" s="2200" t="s">
        <v>7428</v>
      </c>
      <c r="D1575" s="2200" t="str">
        <f t="shared" si="72"/>
        <v>MO</v>
      </c>
      <c r="E1575" s="2200" t="str">
        <f t="shared" si="73"/>
        <v>29</v>
      </c>
      <c r="F1575" s="2200" t="str">
        <f t="shared" si="74"/>
        <v>177</v>
      </c>
      <c r="G1575" s="2200">
        <f>--SUBTOTAL(3,C$2:C1575)</f>
        <v>67</v>
      </c>
    </row>
    <row r="1576" spans="1:7" hidden="1" x14ac:dyDescent="0.15">
      <c r="A1576" s="2200" t="s">
        <v>4280</v>
      </c>
      <c r="B1576" s="2200" t="s">
        <v>7429</v>
      </c>
      <c r="C1576" s="2200" t="s">
        <v>7430</v>
      </c>
      <c r="D1576" s="2200" t="str">
        <f t="shared" si="72"/>
        <v>MO</v>
      </c>
      <c r="E1576" s="2200" t="str">
        <f t="shared" si="73"/>
        <v>29</v>
      </c>
      <c r="F1576" s="2200" t="str">
        <f t="shared" si="74"/>
        <v>179</v>
      </c>
      <c r="G1576" s="2200">
        <f>--SUBTOTAL(3,C$2:C1576)</f>
        <v>67</v>
      </c>
    </row>
    <row r="1577" spans="1:7" hidden="1" x14ac:dyDescent="0.15">
      <c r="A1577" s="2200" t="s">
        <v>4280</v>
      </c>
      <c r="B1577" s="2200" t="s">
        <v>7431</v>
      </c>
      <c r="C1577" s="2200" t="s">
        <v>7432</v>
      </c>
      <c r="D1577" s="2200" t="str">
        <f t="shared" si="72"/>
        <v>MO</v>
      </c>
      <c r="E1577" s="2200" t="str">
        <f t="shared" si="73"/>
        <v>29</v>
      </c>
      <c r="F1577" s="2200" t="str">
        <f t="shared" si="74"/>
        <v>181</v>
      </c>
      <c r="G1577" s="2200">
        <f>--SUBTOTAL(3,C$2:C1577)</f>
        <v>67</v>
      </c>
    </row>
    <row r="1578" spans="1:7" hidden="1" x14ac:dyDescent="0.15">
      <c r="A1578" s="2200" t="s">
        <v>4280</v>
      </c>
      <c r="B1578" s="2200" t="s">
        <v>7433</v>
      </c>
      <c r="C1578" s="2200" t="s">
        <v>7434</v>
      </c>
      <c r="D1578" s="2200" t="str">
        <f t="shared" si="72"/>
        <v>MO</v>
      </c>
      <c r="E1578" s="2200" t="str">
        <f t="shared" si="73"/>
        <v>29</v>
      </c>
      <c r="F1578" s="2200" t="str">
        <f t="shared" si="74"/>
        <v>183</v>
      </c>
      <c r="G1578" s="2200">
        <f>--SUBTOTAL(3,C$2:C1578)</f>
        <v>67</v>
      </c>
    </row>
    <row r="1579" spans="1:7" hidden="1" x14ac:dyDescent="0.15">
      <c r="A1579" s="2200" t="s">
        <v>4280</v>
      </c>
      <c r="B1579" s="2200" t="s">
        <v>7435</v>
      </c>
      <c r="C1579" s="2200" t="s">
        <v>7436</v>
      </c>
      <c r="D1579" s="2200" t="str">
        <f t="shared" si="72"/>
        <v>MO</v>
      </c>
      <c r="E1579" s="2200" t="str">
        <f t="shared" si="73"/>
        <v>29</v>
      </c>
      <c r="F1579" s="2200" t="str">
        <f t="shared" si="74"/>
        <v>185</v>
      </c>
      <c r="G1579" s="2200">
        <f>--SUBTOTAL(3,C$2:C1579)</f>
        <v>67</v>
      </c>
    </row>
    <row r="1580" spans="1:7" hidden="1" x14ac:dyDescent="0.15">
      <c r="A1580" s="2200" t="s">
        <v>4280</v>
      </c>
      <c r="B1580" s="2200" t="s">
        <v>7437</v>
      </c>
      <c r="C1580" s="2200" t="s">
        <v>7438</v>
      </c>
      <c r="D1580" s="2200" t="str">
        <f t="shared" si="72"/>
        <v>MO</v>
      </c>
      <c r="E1580" s="2200" t="str">
        <f t="shared" si="73"/>
        <v>29</v>
      </c>
      <c r="F1580" s="2200" t="str">
        <f t="shared" si="74"/>
        <v>186</v>
      </c>
      <c r="G1580" s="2200">
        <f>--SUBTOTAL(3,C$2:C1580)</f>
        <v>67</v>
      </c>
    </row>
    <row r="1581" spans="1:7" hidden="1" x14ac:dyDescent="0.15">
      <c r="A1581" s="2200" t="s">
        <v>4280</v>
      </c>
      <c r="B1581" s="2200" t="s">
        <v>7439</v>
      </c>
      <c r="C1581" s="2200" t="s">
        <v>7440</v>
      </c>
      <c r="D1581" s="2200" t="str">
        <f t="shared" si="72"/>
        <v>MO</v>
      </c>
      <c r="E1581" s="2200" t="str">
        <f t="shared" si="73"/>
        <v>29</v>
      </c>
      <c r="F1581" s="2200" t="str">
        <f t="shared" si="74"/>
        <v>187</v>
      </c>
      <c r="G1581" s="2200">
        <f>--SUBTOTAL(3,C$2:C1581)</f>
        <v>67</v>
      </c>
    </row>
    <row r="1582" spans="1:7" hidden="1" x14ac:dyDescent="0.15">
      <c r="A1582" s="2200" t="s">
        <v>4280</v>
      </c>
      <c r="B1582" s="2200" t="s">
        <v>7441</v>
      </c>
      <c r="C1582" s="2200" t="s">
        <v>7442</v>
      </c>
      <c r="D1582" s="2200" t="str">
        <f t="shared" si="72"/>
        <v>MO</v>
      </c>
      <c r="E1582" s="2200" t="str">
        <f t="shared" si="73"/>
        <v>29</v>
      </c>
      <c r="F1582" s="2200" t="str">
        <f t="shared" si="74"/>
        <v>189</v>
      </c>
      <c r="G1582" s="2200">
        <f>--SUBTOTAL(3,C$2:C1582)</f>
        <v>67</v>
      </c>
    </row>
    <row r="1583" spans="1:7" hidden="1" x14ac:dyDescent="0.15">
      <c r="A1583" s="2200" t="s">
        <v>4280</v>
      </c>
      <c r="B1583" s="2200" t="s">
        <v>7443</v>
      </c>
      <c r="C1583" s="2200" t="s">
        <v>7444</v>
      </c>
      <c r="D1583" s="2200" t="str">
        <f t="shared" si="72"/>
        <v>MO</v>
      </c>
      <c r="E1583" s="2200" t="str">
        <f t="shared" si="73"/>
        <v>29</v>
      </c>
      <c r="F1583" s="2200" t="str">
        <f t="shared" si="74"/>
        <v>195</v>
      </c>
      <c r="G1583" s="2200">
        <f>--SUBTOTAL(3,C$2:C1583)</f>
        <v>67</v>
      </c>
    </row>
    <row r="1584" spans="1:7" hidden="1" x14ac:dyDescent="0.15">
      <c r="A1584" s="2200" t="s">
        <v>4280</v>
      </c>
      <c r="B1584" s="2200" t="s">
        <v>7445</v>
      </c>
      <c r="C1584" s="2200" t="s">
        <v>7446</v>
      </c>
      <c r="D1584" s="2200" t="str">
        <f t="shared" si="72"/>
        <v>MO</v>
      </c>
      <c r="E1584" s="2200" t="str">
        <f t="shared" si="73"/>
        <v>29</v>
      </c>
      <c r="F1584" s="2200" t="str">
        <f t="shared" si="74"/>
        <v>197</v>
      </c>
      <c r="G1584" s="2200">
        <f>--SUBTOTAL(3,C$2:C1584)</f>
        <v>67</v>
      </c>
    </row>
    <row r="1585" spans="1:7" hidden="1" x14ac:dyDescent="0.15">
      <c r="A1585" s="2200" t="s">
        <v>4280</v>
      </c>
      <c r="B1585" s="2200" t="s">
        <v>7447</v>
      </c>
      <c r="C1585" s="2200" t="s">
        <v>7448</v>
      </c>
      <c r="D1585" s="2200" t="str">
        <f t="shared" si="72"/>
        <v>MO</v>
      </c>
      <c r="E1585" s="2200" t="str">
        <f t="shared" si="73"/>
        <v>29</v>
      </c>
      <c r="F1585" s="2200" t="str">
        <f t="shared" si="74"/>
        <v>199</v>
      </c>
      <c r="G1585" s="2200">
        <f>--SUBTOTAL(3,C$2:C1585)</f>
        <v>67</v>
      </c>
    </row>
    <row r="1586" spans="1:7" hidden="1" x14ac:dyDescent="0.15">
      <c r="A1586" s="2200" t="s">
        <v>4280</v>
      </c>
      <c r="B1586" s="2200" t="s">
        <v>7449</v>
      </c>
      <c r="C1586" s="2200" t="s">
        <v>7450</v>
      </c>
      <c r="D1586" s="2200" t="str">
        <f t="shared" si="72"/>
        <v>MO</v>
      </c>
      <c r="E1586" s="2200" t="str">
        <f t="shared" si="73"/>
        <v>29</v>
      </c>
      <c r="F1586" s="2200" t="str">
        <f t="shared" si="74"/>
        <v>201</v>
      </c>
      <c r="G1586" s="2200">
        <f>--SUBTOTAL(3,C$2:C1586)</f>
        <v>67</v>
      </c>
    </row>
    <row r="1587" spans="1:7" hidden="1" x14ac:dyDescent="0.15">
      <c r="A1587" s="2200" t="s">
        <v>4280</v>
      </c>
      <c r="B1587" s="2200" t="s">
        <v>7451</v>
      </c>
      <c r="C1587" s="2200" t="s">
        <v>7452</v>
      </c>
      <c r="D1587" s="2200" t="str">
        <f t="shared" si="72"/>
        <v>MO</v>
      </c>
      <c r="E1587" s="2200" t="str">
        <f t="shared" si="73"/>
        <v>29</v>
      </c>
      <c r="F1587" s="2200" t="str">
        <f t="shared" si="74"/>
        <v>203</v>
      </c>
      <c r="G1587" s="2200">
        <f>--SUBTOTAL(3,C$2:C1587)</f>
        <v>67</v>
      </c>
    </row>
    <row r="1588" spans="1:7" hidden="1" x14ac:dyDescent="0.15">
      <c r="A1588" s="2200" t="s">
        <v>4280</v>
      </c>
      <c r="B1588" s="2200" t="s">
        <v>7453</v>
      </c>
      <c r="C1588" s="2200" t="s">
        <v>7454</v>
      </c>
      <c r="D1588" s="2200" t="str">
        <f t="shared" si="72"/>
        <v>MO</v>
      </c>
      <c r="E1588" s="2200" t="str">
        <f t="shared" si="73"/>
        <v>29</v>
      </c>
      <c r="F1588" s="2200" t="str">
        <f t="shared" si="74"/>
        <v>205</v>
      </c>
      <c r="G1588" s="2200">
        <f>--SUBTOTAL(3,C$2:C1588)</f>
        <v>67</v>
      </c>
    </row>
    <row r="1589" spans="1:7" hidden="1" x14ac:dyDescent="0.15">
      <c r="A1589" s="2200" t="s">
        <v>4280</v>
      </c>
      <c r="B1589" s="2200" t="s">
        <v>7455</v>
      </c>
      <c r="C1589" s="2200" t="s">
        <v>7456</v>
      </c>
      <c r="D1589" s="2200" t="str">
        <f t="shared" si="72"/>
        <v>MO</v>
      </c>
      <c r="E1589" s="2200" t="str">
        <f t="shared" si="73"/>
        <v>29</v>
      </c>
      <c r="F1589" s="2200" t="str">
        <f t="shared" si="74"/>
        <v>207</v>
      </c>
      <c r="G1589" s="2200">
        <f>--SUBTOTAL(3,C$2:C1589)</f>
        <v>67</v>
      </c>
    </row>
    <row r="1590" spans="1:7" hidden="1" x14ac:dyDescent="0.15">
      <c r="A1590" s="2200" t="s">
        <v>4280</v>
      </c>
      <c r="B1590" s="2200" t="s">
        <v>7457</v>
      </c>
      <c r="C1590" s="2200" t="s">
        <v>7458</v>
      </c>
      <c r="D1590" s="2200" t="str">
        <f t="shared" si="72"/>
        <v>MO</v>
      </c>
      <c r="E1590" s="2200" t="str">
        <f t="shared" si="73"/>
        <v>29</v>
      </c>
      <c r="F1590" s="2200" t="str">
        <f t="shared" si="74"/>
        <v>209</v>
      </c>
      <c r="G1590" s="2200">
        <f>--SUBTOTAL(3,C$2:C1590)</f>
        <v>67</v>
      </c>
    </row>
    <row r="1591" spans="1:7" hidden="1" x14ac:dyDescent="0.15">
      <c r="A1591" s="2200" t="s">
        <v>4280</v>
      </c>
      <c r="B1591" s="2200" t="s">
        <v>7459</v>
      </c>
      <c r="C1591" s="2200" t="s">
        <v>7460</v>
      </c>
      <c r="D1591" s="2200" t="str">
        <f t="shared" si="72"/>
        <v>MO</v>
      </c>
      <c r="E1591" s="2200" t="str">
        <f t="shared" si="73"/>
        <v>29</v>
      </c>
      <c r="F1591" s="2200" t="str">
        <f t="shared" si="74"/>
        <v>211</v>
      </c>
      <c r="G1591" s="2200">
        <f>--SUBTOTAL(3,C$2:C1591)</f>
        <v>67</v>
      </c>
    </row>
    <row r="1592" spans="1:7" hidden="1" x14ac:dyDescent="0.15">
      <c r="A1592" s="2200" t="s">
        <v>4280</v>
      </c>
      <c r="B1592" s="2200" t="s">
        <v>7461</v>
      </c>
      <c r="C1592" s="2200" t="s">
        <v>7462</v>
      </c>
      <c r="D1592" s="2200" t="str">
        <f t="shared" si="72"/>
        <v>MO</v>
      </c>
      <c r="E1592" s="2200" t="str">
        <f t="shared" si="73"/>
        <v>29</v>
      </c>
      <c r="F1592" s="2200" t="str">
        <f t="shared" si="74"/>
        <v>213</v>
      </c>
      <c r="G1592" s="2200">
        <f>--SUBTOTAL(3,C$2:C1592)</f>
        <v>67</v>
      </c>
    </row>
    <row r="1593" spans="1:7" hidden="1" x14ac:dyDescent="0.15">
      <c r="A1593" s="2200" t="s">
        <v>4280</v>
      </c>
      <c r="B1593" s="2200" t="s">
        <v>7463</v>
      </c>
      <c r="C1593" s="2200" t="s">
        <v>7464</v>
      </c>
      <c r="D1593" s="2200" t="str">
        <f t="shared" si="72"/>
        <v>MO</v>
      </c>
      <c r="E1593" s="2200" t="str">
        <f t="shared" si="73"/>
        <v>29</v>
      </c>
      <c r="F1593" s="2200" t="str">
        <f t="shared" si="74"/>
        <v>215</v>
      </c>
      <c r="G1593" s="2200">
        <f>--SUBTOTAL(3,C$2:C1593)</f>
        <v>67</v>
      </c>
    </row>
    <row r="1594" spans="1:7" hidden="1" x14ac:dyDescent="0.15">
      <c r="A1594" s="2200" t="s">
        <v>4280</v>
      </c>
      <c r="B1594" s="2200" t="s">
        <v>7465</v>
      </c>
      <c r="C1594" s="2200" t="s">
        <v>7466</v>
      </c>
      <c r="D1594" s="2200" t="str">
        <f t="shared" si="72"/>
        <v>MO</v>
      </c>
      <c r="E1594" s="2200" t="str">
        <f t="shared" si="73"/>
        <v>29</v>
      </c>
      <c r="F1594" s="2200" t="str">
        <f t="shared" si="74"/>
        <v>217</v>
      </c>
      <c r="G1594" s="2200">
        <f>--SUBTOTAL(3,C$2:C1594)</f>
        <v>67</v>
      </c>
    </row>
    <row r="1595" spans="1:7" hidden="1" x14ac:dyDescent="0.15">
      <c r="A1595" s="2200" t="s">
        <v>4280</v>
      </c>
      <c r="B1595" s="2200" t="s">
        <v>7467</v>
      </c>
      <c r="C1595" s="2200" t="s">
        <v>7468</v>
      </c>
      <c r="D1595" s="2200" t="str">
        <f t="shared" si="72"/>
        <v>MO</v>
      </c>
      <c r="E1595" s="2200" t="str">
        <f t="shared" si="73"/>
        <v>29</v>
      </c>
      <c r="F1595" s="2200" t="str">
        <f t="shared" si="74"/>
        <v>219</v>
      </c>
      <c r="G1595" s="2200">
        <f>--SUBTOTAL(3,C$2:C1595)</f>
        <v>67</v>
      </c>
    </row>
    <row r="1596" spans="1:7" hidden="1" x14ac:dyDescent="0.15">
      <c r="A1596" s="2200" t="s">
        <v>4280</v>
      </c>
      <c r="B1596" s="2200" t="s">
        <v>7469</v>
      </c>
      <c r="C1596" s="2200" t="s">
        <v>7470</v>
      </c>
      <c r="D1596" s="2200" t="str">
        <f t="shared" si="72"/>
        <v>MO</v>
      </c>
      <c r="E1596" s="2200" t="str">
        <f t="shared" si="73"/>
        <v>29</v>
      </c>
      <c r="F1596" s="2200" t="str">
        <f t="shared" si="74"/>
        <v>221</v>
      </c>
      <c r="G1596" s="2200">
        <f>--SUBTOTAL(3,C$2:C1596)</f>
        <v>67</v>
      </c>
    </row>
    <row r="1597" spans="1:7" hidden="1" x14ac:dyDescent="0.15">
      <c r="A1597" s="2200" t="s">
        <v>4280</v>
      </c>
      <c r="B1597" s="2200" t="s">
        <v>7471</v>
      </c>
      <c r="C1597" s="2200" t="s">
        <v>7472</v>
      </c>
      <c r="D1597" s="2200" t="str">
        <f t="shared" si="72"/>
        <v>MO</v>
      </c>
      <c r="E1597" s="2200" t="str">
        <f t="shared" si="73"/>
        <v>29</v>
      </c>
      <c r="F1597" s="2200" t="str">
        <f t="shared" si="74"/>
        <v>223</v>
      </c>
      <c r="G1597" s="2200">
        <f>--SUBTOTAL(3,C$2:C1597)</f>
        <v>67</v>
      </c>
    </row>
    <row r="1598" spans="1:7" hidden="1" x14ac:dyDescent="0.15">
      <c r="A1598" s="2200" t="s">
        <v>4280</v>
      </c>
      <c r="B1598" s="2200" t="s">
        <v>7473</v>
      </c>
      <c r="C1598" s="2200" t="s">
        <v>7474</v>
      </c>
      <c r="D1598" s="2200" t="str">
        <f t="shared" si="72"/>
        <v>MO</v>
      </c>
      <c r="E1598" s="2200" t="str">
        <f t="shared" si="73"/>
        <v>29</v>
      </c>
      <c r="F1598" s="2200" t="str">
        <f t="shared" si="74"/>
        <v>225</v>
      </c>
      <c r="G1598" s="2200">
        <f>--SUBTOTAL(3,C$2:C1598)</f>
        <v>67</v>
      </c>
    </row>
    <row r="1599" spans="1:7" hidden="1" x14ac:dyDescent="0.15">
      <c r="A1599" s="2200" t="s">
        <v>4280</v>
      </c>
      <c r="B1599" s="2200" t="s">
        <v>7475</v>
      </c>
      <c r="C1599" s="2200" t="s">
        <v>7476</v>
      </c>
      <c r="D1599" s="2200" t="str">
        <f t="shared" si="72"/>
        <v>MO</v>
      </c>
      <c r="E1599" s="2200" t="str">
        <f t="shared" si="73"/>
        <v>29</v>
      </c>
      <c r="F1599" s="2200" t="str">
        <f t="shared" si="74"/>
        <v>227</v>
      </c>
      <c r="G1599" s="2200">
        <f>--SUBTOTAL(3,C$2:C1599)</f>
        <v>67</v>
      </c>
    </row>
    <row r="1600" spans="1:7" hidden="1" x14ac:dyDescent="0.15">
      <c r="A1600" s="2200" t="s">
        <v>4280</v>
      </c>
      <c r="B1600" s="2200" t="s">
        <v>7477</v>
      </c>
      <c r="C1600" s="2200" t="s">
        <v>7478</v>
      </c>
      <c r="D1600" s="2200" t="str">
        <f t="shared" si="72"/>
        <v>MO</v>
      </c>
      <c r="E1600" s="2200" t="str">
        <f t="shared" si="73"/>
        <v>29</v>
      </c>
      <c r="F1600" s="2200" t="str">
        <f t="shared" si="74"/>
        <v>229</v>
      </c>
      <c r="G1600" s="2200">
        <f>--SUBTOTAL(3,C$2:C1600)</f>
        <v>67</v>
      </c>
    </row>
    <row r="1601" spans="1:7" hidden="1" x14ac:dyDescent="0.15">
      <c r="A1601" s="2200" t="s">
        <v>4280</v>
      </c>
      <c r="B1601" s="2200" t="s">
        <v>7479</v>
      </c>
      <c r="C1601" s="2200" t="s">
        <v>7480</v>
      </c>
      <c r="D1601" s="2200" t="str">
        <f t="shared" si="72"/>
        <v>MO</v>
      </c>
      <c r="E1601" s="2200" t="str">
        <f t="shared" si="73"/>
        <v>29</v>
      </c>
      <c r="F1601" s="2200" t="str">
        <f t="shared" si="74"/>
        <v>510</v>
      </c>
      <c r="G1601" s="2200">
        <f>--SUBTOTAL(3,C$2:C1601)</f>
        <v>67</v>
      </c>
    </row>
    <row r="1602" spans="1:7" hidden="1" x14ac:dyDescent="0.15">
      <c r="A1602" s="2200" t="s">
        <v>4280</v>
      </c>
      <c r="B1602" s="2200" t="s">
        <v>7481</v>
      </c>
      <c r="C1602" s="2200" t="s">
        <v>7482</v>
      </c>
      <c r="D1602" s="2200" t="str">
        <f t="shared" si="72"/>
        <v>MT</v>
      </c>
      <c r="E1602" s="2200" t="str">
        <f t="shared" si="73"/>
        <v>30</v>
      </c>
      <c r="F1602" s="2200" t="str">
        <f t="shared" si="74"/>
        <v>001</v>
      </c>
      <c r="G1602" s="2200">
        <f>--SUBTOTAL(3,C$2:C1602)</f>
        <v>67</v>
      </c>
    </row>
    <row r="1603" spans="1:7" hidden="1" x14ac:dyDescent="0.15">
      <c r="A1603" s="2200" t="s">
        <v>4280</v>
      </c>
      <c r="B1603" s="2200" t="s">
        <v>7483</v>
      </c>
      <c r="C1603" s="2200" t="s">
        <v>7484</v>
      </c>
      <c r="D1603" s="2200" t="str">
        <f t="shared" ref="D1603:D1666" si="75">RIGHT(C1603,2)</f>
        <v>MT</v>
      </c>
      <c r="E1603" s="2200" t="str">
        <f t="shared" ref="E1603:E1666" si="76">MID(B1603,3,2)</f>
        <v>30</v>
      </c>
      <c r="F1603" s="2200" t="str">
        <f t="shared" ref="F1603:F1666" si="77">MID(B1603,5,3)</f>
        <v>003</v>
      </c>
      <c r="G1603" s="2200">
        <f>--SUBTOTAL(3,C$2:C1603)</f>
        <v>67</v>
      </c>
    </row>
    <row r="1604" spans="1:7" hidden="1" x14ac:dyDescent="0.15">
      <c r="A1604" s="2200" t="s">
        <v>4280</v>
      </c>
      <c r="B1604" s="2200" t="s">
        <v>7485</v>
      </c>
      <c r="C1604" s="2200" t="s">
        <v>7486</v>
      </c>
      <c r="D1604" s="2200" t="str">
        <f t="shared" si="75"/>
        <v>MT</v>
      </c>
      <c r="E1604" s="2200" t="str">
        <f t="shared" si="76"/>
        <v>30</v>
      </c>
      <c r="F1604" s="2200" t="str">
        <f t="shared" si="77"/>
        <v>005</v>
      </c>
      <c r="G1604" s="2200">
        <f>--SUBTOTAL(3,C$2:C1604)</f>
        <v>67</v>
      </c>
    </row>
    <row r="1605" spans="1:7" hidden="1" x14ac:dyDescent="0.15">
      <c r="A1605" s="2200" t="s">
        <v>4280</v>
      </c>
      <c r="B1605" s="2200" t="s">
        <v>7487</v>
      </c>
      <c r="C1605" s="2200" t="s">
        <v>7488</v>
      </c>
      <c r="D1605" s="2200" t="str">
        <f t="shared" si="75"/>
        <v>MT</v>
      </c>
      <c r="E1605" s="2200" t="str">
        <f t="shared" si="76"/>
        <v>30</v>
      </c>
      <c r="F1605" s="2200" t="str">
        <f t="shared" si="77"/>
        <v>007</v>
      </c>
      <c r="G1605" s="2200">
        <f>--SUBTOTAL(3,C$2:C1605)</f>
        <v>67</v>
      </c>
    </row>
    <row r="1606" spans="1:7" hidden="1" x14ac:dyDescent="0.15">
      <c r="A1606" s="2200" t="s">
        <v>4280</v>
      </c>
      <c r="B1606" s="2200" t="s">
        <v>7489</v>
      </c>
      <c r="C1606" s="2200" t="s">
        <v>7490</v>
      </c>
      <c r="D1606" s="2200" t="str">
        <f t="shared" si="75"/>
        <v>MT</v>
      </c>
      <c r="E1606" s="2200" t="str">
        <f t="shared" si="76"/>
        <v>30</v>
      </c>
      <c r="F1606" s="2200" t="str">
        <f t="shared" si="77"/>
        <v>009</v>
      </c>
      <c r="G1606" s="2200">
        <f>--SUBTOTAL(3,C$2:C1606)</f>
        <v>67</v>
      </c>
    </row>
    <row r="1607" spans="1:7" hidden="1" x14ac:dyDescent="0.15">
      <c r="A1607" s="2200" t="s">
        <v>4280</v>
      </c>
      <c r="B1607" s="2200" t="s">
        <v>7491</v>
      </c>
      <c r="C1607" s="2200" t="s">
        <v>7492</v>
      </c>
      <c r="D1607" s="2200" t="str">
        <f t="shared" si="75"/>
        <v>MT</v>
      </c>
      <c r="E1607" s="2200" t="str">
        <f t="shared" si="76"/>
        <v>30</v>
      </c>
      <c r="F1607" s="2200" t="str">
        <f t="shared" si="77"/>
        <v>011</v>
      </c>
      <c r="G1607" s="2200">
        <f>--SUBTOTAL(3,C$2:C1607)</f>
        <v>67</v>
      </c>
    </row>
    <row r="1608" spans="1:7" hidden="1" x14ac:dyDescent="0.15">
      <c r="A1608" s="2200" t="s">
        <v>4280</v>
      </c>
      <c r="B1608" s="2200" t="s">
        <v>7493</v>
      </c>
      <c r="C1608" s="2200" t="s">
        <v>7494</v>
      </c>
      <c r="D1608" s="2200" t="str">
        <f t="shared" si="75"/>
        <v>MT</v>
      </c>
      <c r="E1608" s="2200" t="str">
        <f t="shared" si="76"/>
        <v>30</v>
      </c>
      <c r="F1608" s="2200" t="str">
        <f t="shared" si="77"/>
        <v>013</v>
      </c>
      <c r="G1608" s="2200">
        <f>--SUBTOTAL(3,C$2:C1608)</f>
        <v>67</v>
      </c>
    </row>
    <row r="1609" spans="1:7" hidden="1" x14ac:dyDescent="0.15">
      <c r="A1609" s="2200" t="s">
        <v>4280</v>
      </c>
      <c r="B1609" s="2200" t="s">
        <v>7495</v>
      </c>
      <c r="C1609" s="2200" t="s">
        <v>7496</v>
      </c>
      <c r="D1609" s="2200" t="str">
        <f t="shared" si="75"/>
        <v>MT</v>
      </c>
      <c r="E1609" s="2200" t="str">
        <f t="shared" si="76"/>
        <v>30</v>
      </c>
      <c r="F1609" s="2200" t="str">
        <f t="shared" si="77"/>
        <v>015</v>
      </c>
      <c r="G1609" s="2200">
        <f>--SUBTOTAL(3,C$2:C1609)</f>
        <v>67</v>
      </c>
    </row>
    <row r="1610" spans="1:7" hidden="1" x14ac:dyDescent="0.15">
      <c r="A1610" s="2200" t="s">
        <v>4280</v>
      </c>
      <c r="B1610" s="2200" t="s">
        <v>7497</v>
      </c>
      <c r="C1610" s="2200" t="s">
        <v>7498</v>
      </c>
      <c r="D1610" s="2200" t="str">
        <f t="shared" si="75"/>
        <v>MT</v>
      </c>
      <c r="E1610" s="2200" t="str">
        <f t="shared" si="76"/>
        <v>30</v>
      </c>
      <c r="F1610" s="2200" t="str">
        <f t="shared" si="77"/>
        <v>017</v>
      </c>
      <c r="G1610" s="2200">
        <f>--SUBTOTAL(3,C$2:C1610)</f>
        <v>67</v>
      </c>
    </row>
    <row r="1611" spans="1:7" hidden="1" x14ac:dyDescent="0.15">
      <c r="A1611" s="2200" t="s">
        <v>4280</v>
      </c>
      <c r="B1611" s="2200" t="s">
        <v>7499</v>
      </c>
      <c r="C1611" s="2200" t="s">
        <v>7500</v>
      </c>
      <c r="D1611" s="2200" t="str">
        <f t="shared" si="75"/>
        <v>MT</v>
      </c>
      <c r="E1611" s="2200" t="str">
        <f t="shared" si="76"/>
        <v>30</v>
      </c>
      <c r="F1611" s="2200" t="str">
        <f t="shared" si="77"/>
        <v>019</v>
      </c>
      <c r="G1611" s="2200">
        <f>--SUBTOTAL(3,C$2:C1611)</f>
        <v>67</v>
      </c>
    </row>
    <row r="1612" spans="1:7" hidden="1" x14ac:dyDescent="0.15">
      <c r="A1612" s="2200" t="s">
        <v>4280</v>
      </c>
      <c r="B1612" s="2200" t="s">
        <v>7501</v>
      </c>
      <c r="C1612" s="2200" t="s">
        <v>7502</v>
      </c>
      <c r="D1612" s="2200" t="str">
        <f t="shared" si="75"/>
        <v>MT</v>
      </c>
      <c r="E1612" s="2200" t="str">
        <f t="shared" si="76"/>
        <v>30</v>
      </c>
      <c r="F1612" s="2200" t="str">
        <f t="shared" si="77"/>
        <v>021</v>
      </c>
      <c r="G1612" s="2200">
        <f>--SUBTOTAL(3,C$2:C1612)</f>
        <v>67</v>
      </c>
    </row>
    <row r="1613" spans="1:7" hidden="1" x14ac:dyDescent="0.15">
      <c r="A1613" s="2200" t="s">
        <v>4280</v>
      </c>
      <c r="B1613" s="2200" t="s">
        <v>7503</v>
      </c>
      <c r="C1613" s="2200" t="s">
        <v>7504</v>
      </c>
      <c r="D1613" s="2200" t="str">
        <f t="shared" si="75"/>
        <v>MT</v>
      </c>
      <c r="E1613" s="2200" t="str">
        <f t="shared" si="76"/>
        <v>30</v>
      </c>
      <c r="F1613" s="2200" t="str">
        <f t="shared" si="77"/>
        <v>023</v>
      </c>
      <c r="G1613" s="2200">
        <f>--SUBTOTAL(3,C$2:C1613)</f>
        <v>67</v>
      </c>
    </row>
    <row r="1614" spans="1:7" hidden="1" x14ac:dyDescent="0.15">
      <c r="A1614" s="2200" t="s">
        <v>4280</v>
      </c>
      <c r="B1614" s="2200" t="s">
        <v>7505</v>
      </c>
      <c r="C1614" s="2200" t="s">
        <v>7506</v>
      </c>
      <c r="D1614" s="2200" t="str">
        <f t="shared" si="75"/>
        <v>MT</v>
      </c>
      <c r="E1614" s="2200" t="str">
        <f t="shared" si="76"/>
        <v>30</v>
      </c>
      <c r="F1614" s="2200" t="str">
        <f t="shared" si="77"/>
        <v>025</v>
      </c>
      <c r="G1614" s="2200">
        <f>--SUBTOTAL(3,C$2:C1614)</f>
        <v>67</v>
      </c>
    </row>
    <row r="1615" spans="1:7" hidden="1" x14ac:dyDescent="0.15">
      <c r="A1615" s="2200" t="s">
        <v>4280</v>
      </c>
      <c r="B1615" s="2200" t="s">
        <v>7507</v>
      </c>
      <c r="C1615" s="2200" t="s">
        <v>7508</v>
      </c>
      <c r="D1615" s="2200" t="str">
        <f t="shared" si="75"/>
        <v>MT</v>
      </c>
      <c r="E1615" s="2200" t="str">
        <f t="shared" si="76"/>
        <v>30</v>
      </c>
      <c r="F1615" s="2200" t="str">
        <f t="shared" si="77"/>
        <v>027</v>
      </c>
      <c r="G1615" s="2200">
        <f>--SUBTOTAL(3,C$2:C1615)</f>
        <v>67</v>
      </c>
    </row>
    <row r="1616" spans="1:7" hidden="1" x14ac:dyDescent="0.15">
      <c r="A1616" s="2200" t="s">
        <v>4280</v>
      </c>
      <c r="B1616" s="2200" t="s">
        <v>7509</v>
      </c>
      <c r="C1616" s="2200" t="s">
        <v>7510</v>
      </c>
      <c r="D1616" s="2200" t="str">
        <f t="shared" si="75"/>
        <v>MT</v>
      </c>
      <c r="E1616" s="2200" t="str">
        <f t="shared" si="76"/>
        <v>30</v>
      </c>
      <c r="F1616" s="2200" t="str">
        <f t="shared" si="77"/>
        <v>029</v>
      </c>
      <c r="G1616" s="2200">
        <f>--SUBTOTAL(3,C$2:C1616)</f>
        <v>67</v>
      </c>
    </row>
    <row r="1617" spans="1:7" hidden="1" x14ac:dyDescent="0.15">
      <c r="A1617" s="2200" t="s">
        <v>4280</v>
      </c>
      <c r="B1617" s="2200" t="s">
        <v>7511</v>
      </c>
      <c r="C1617" s="2200" t="s">
        <v>7512</v>
      </c>
      <c r="D1617" s="2200" t="str">
        <f t="shared" si="75"/>
        <v>MT</v>
      </c>
      <c r="E1617" s="2200" t="str">
        <f t="shared" si="76"/>
        <v>30</v>
      </c>
      <c r="F1617" s="2200" t="str">
        <f t="shared" si="77"/>
        <v>031</v>
      </c>
      <c r="G1617" s="2200">
        <f>--SUBTOTAL(3,C$2:C1617)</f>
        <v>67</v>
      </c>
    </row>
    <row r="1618" spans="1:7" hidden="1" x14ac:dyDescent="0.15">
      <c r="A1618" s="2200" t="s">
        <v>4280</v>
      </c>
      <c r="B1618" s="2200" t="s">
        <v>7513</v>
      </c>
      <c r="C1618" s="2200" t="s">
        <v>7514</v>
      </c>
      <c r="D1618" s="2200" t="str">
        <f t="shared" si="75"/>
        <v>MT</v>
      </c>
      <c r="E1618" s="2200" t="str">
        <f t="shared" si="76"/>
        <v>30</v>
      </c>
      <c r="F1618" s="2200" t="str">
        <f t="shared" si="77"/>
        <v>033</v>
      </c>
      <c r="G1618" s="2200">
        <f>--SUBTOTAL(3,C$2:C1618)</f>
        <v>67</v>
      </c>
    </row>
    <row r="1619" spans="1:7" hidden="1" x14ac:dyDescent="0.15">
      <c r="A1619" s="2200" t="s">
        <v>4280</v>
      </c>
      <c r="B1619" s="2200" t="s">
        <v>7515</v>
      </c>
      <c r="C1619" s="2200" t="s">
        <v>7516</v>
      </c>
      <c r="D1619" s="2200" t="str">
        <f t="shared" si="75"/>
        <v>MT</v>
      </c>
      <c r="E1619" s="2200" t="str">
        <f t="shared" si="76"/>
        <v>30</v>
      </c>
      <c r="F1619" s="2200" t="str">
        <f t="shared" si="77"/>
        <v>035</v>
      </c>
      <c r="G1619" s="2200">
        <f>--SUBTOTAL(3,C$2:C1619)</f>
        <v>67</v>
      </c>
    </row>
    <row r="1620" spans="1:7" hidden="1" x14ac:dyDescent="0.15">
      <c r="A1620" s="2200" t="s">
        <v>4280</v>
      </c>
      <c r="B1620" s="2200" t="s">
        <v>7517</v>
      </c>
      <c r="C1620" s="2200" t="s">
        <v>7518</v>
      </c>
      <c r="D1620" s="2200" t="str">
        <f t="shared" si="75"/>
        <v>MT</v>
      </c>
      <c r="E1620" s="2200" t="str">
        <f t="shared" si="76"/>
        <v>30</v>
      </c>
      <c r="F1620" s="2200" t="str">
        <f t="shared" si="77"/>
        <v>037</v>
      </c>
      <c r="G1620" s="2200">
        <f>--SUBTOTAL(3,C$2:C1620)</f>
        <v>67</v>
      </c>
    </row>
    <row r="1621" spans="1:7" hidden="1" x14ac:dyDescent="0.15">
      <c r="A1621" s="2200" t="s">
        <v>4280</v>
      </c>
      <c r="B1621" s="2200" t="s">
        <v>7519</v>
      </c>
      <c r="C1621" s="2200" t="s">
        <v>7520</v>
      </c>
      <c r="D1621" s="2200" t="str">
        <f t="shared" si="75"/>
        <v>MT</v>
      </c>
      <c r="E1621" s="2200" t="str">
        <f t="shared" si="76"/>
        <v>30</v>
      </c>
      <c r="F1621" s="2200" t="str">
        <f t="shared" si="77"/>
        <v>039</v>
      </c>
      <c r="G1621" s="2200">
        <f>--SUBTOTAL(3,C$2:C1621)</f>
        <v>67</v>
      </c>
    </row>
    <row r="1622" spans="1:7" hidden="1" x14ac:dyDescent="0.15">
      <c r="A1622" s="2200" t="s">
        <v>4280</v>
      </c>
      <c r="B1622" s="2200" t="s">
        <v>7521</v>
      </c>
      <c r="C1622" s="2200" t="s">
        <v>7522</v>
      </c>
      <c r="D1622" s="2200" t="str">
        <f t="shared" si="75"/>
        <v>MT</v>
      </c>
      <c r="E1622" s="2200" t="str">
        <f t="shared" si="76"/>
        <v>30</v>
      </c>
      <c r="F1622" s="2200" t="str">
        <f t="shared" si="77"/>
        <v>041</v>
      </c>
      <c r="G1622" s="2200">
        <f>--SUBTOTAL(3,C$2:C1622)</f>
        <v>67</v>
      </c>
    </row>
    <row r="1623" spans="1:7" hidden="1" x14ac:dyDescent="0.15">
      <c r="A1623" s="2200" t="s">
        <v>4280</v>
      </c>
      <c r="B1623" s="2200" t="s">
        <v>7523</v>
      </c>
      <c r="C1623" s="2200" t="s">
        <v>7524</v>
      </c>
      <c r="D1623" s="2200" t="str">
        <f t="shared" si="75"/>
        <v>MT</v>
      </c>
      <c r="E1623" s="2200" t="str">
        <f t="shared" si="76"/>
        <v>30</v>
      </c>
      <c r="F1623" s="2200" t="str">
        <f t="shared" si="77"/>
        <v>043</v>
      </c>
      <c r="G1623" s="2200">
        <f>--SUBTOTAL(3,C$2:C1623)</f>
        <v>67</v>
      </c>
    </row>
    <row r="1624" spans="1:7" hidden="1" x14ac:dyDescent="0.15">
      <c r="A1624" s="2200" t="s">
        <v>4280</v>
      </c>
      <c r="B1624" s="2200" t="s">
        <v>7525</v>
      </c>
      <c r="C1624" s="2200" t="s">
        <v>7526</v>
      </c>
      <c r="D1624" s="2200" t="str">
        <f t="shared" si="75"/>
        <v>MT</v>
      </c>
      <c r="E1624" s="2200" t="str">
        <f t="shared" si="76"/>
        <v>30</v>
      </c>
      <c r="F1624" s="2200" t="str">
        <f t="shared" si="77"/>
        <v>045</v>
      </c>
      <c r="G1624" s="2200">
        <f>--SUBTOTAL(3,C$2:C1624)</f>
        <v>67</v>
      </c>
    </row>
    <row r="1625" spans="1:7" hidden="1" x14ac:dyDescent="0.15">
      <c r="A1625" s="2200" t="s">
        <v>4280</v>
      </c>
      <c r="B1625" s="2200" t="s">
        <v>7527</v>
      </c>
      <c r="C1625" s="2200" t="s">
        <v>7528</v>
      </c>
      <c r="D1625" s="2200" t="str">
        <f t="shared" si="75"/>
        <v>MT</v>
      </c>
      <c r="E1625" s="2200" t="str">
        <f t="shared" si="76"/>
        <v>30</v>
      </c>
      <c r="F1625" s="2200" t="str">
        <f t="shared" si="77"/>
        <v>047</v>
      </c>
      <c r="G1625" s="2200">
        <f>--SUBTOTAL(3,C$2:C1625)</f>
        <v>67</v>
      </c>
    </row>
    <row r="1626" spans="1:7" hidden="1" x14ac:dyDescent="0.15">
      <c r="A1626" s="2200" t="s">
        <v>4280</v>
      </c>
      <c r="B1626" s="2200" t="s">
        <v>7529</v>
      </c>
      <c r="C1626" s="2200" t="s">
        <v>7530</v>
      </c>
      <c r="D1626" s="2200" t="str">
        <f t="shared" si="75"/>
        <v>MT</v>
      </c>
      <c r="E1626" s="2200" t="str">
        <f t="shared" si="76"/>
        <v>30</v>
      </c>
      <c r="F1626" s="2200" t="str">
        <f t="shared" si="77"/>
        <v>049</v>
      </c>
      <c r="G1626" s="2200">
        <f>--SUBTOTAL(3,C$2:C1626)</f>
        <v>67</v>
      </c>
    </row>
    <row r="1627" spans="1:7" hidden="1" x14ac:dyDescent="0.15">
      <c r="A1627" s="2200" t="s">
        <v>4280</v>
      </c>
      <c r="B1627" s="2200" t="s">
        <v>7531</v>
      </c>
      <c r="C1627" s="2200" t="s">
        <v>7532</v>
      </c>
      <c r="D1627" s="2200" t="str">
        <f t="shared" si="75"/>
        <v>MT</v>
      </c>
      <c r="E1627" s="2200" t="str">
        <f t="shared" si="76"/>
        <v>30</v>
      </c>
      <c r="F1627" s="2200" t="str">
        <f t="shared" si="77"/>
        <v>051</v>
      </c>
      <c r="G1627" s="2200">
        <f>--SUBTOTAL(3,C$2:C1627)</f>
        <v>67</v>
      </c>
    </row>
    <row r="1628" spans="1:7" hidden="1" x14ac:dyDescent="0.15">
      <c r="A1628" s="2200" t="s">
        <v>4280</v>
      </c>
      <c r="B1628" s="2200" t="s">
        <v>7533</v>
      </c>
      <c r="C1628" s="2200" t="s">
        <v>7534</v>
      </c>
      <c r="D1628" s="2200" t="str">
        <f t="shared" si="75"/>
        <v>MT</v>
      </c>
      <c r="E1628" s="2200" t="str">
        <f t="shared" si="76"/>
        <v>30</v>
      </c>
      <c r="F1628" s="2200" t="str">
        <f t="shared" si="77"/>
        <v>053</v>
      </c>
      <c r="G1628" s="2200">
        <f>--SUBTOTAL(3,C$2:C1628)</f>
        <v>67</v>
      </c>
    </row>
    <row r="1629" spans="1:7" hidden="1" x14ac:dyDescent="0.15">
      <c r="A1629" s="2200" t="s">
        <v>4280</v>
      </c>
      <c r="B1629" s="2200" t="s">
        <v>7535</v>
      </c>
      <c r="C1629" s="2200" t="s">
        <v>7536</v>
      </c>
      <c r="D1629" s="2200" t="str">
        <f t="shared" si="75"/>
        <v>MT</v>
      </c>
      <c r="E1629" s="2200" t="str">
        <f t="shared" si="76"/>
        <v>30</v>
      </c>
      <c r="F1629" s="2200" t="str">
        <f t="shared" si="77"/>
        <v>055</v>
      </c>
      <c r="G1629" s="2200">
        <f>--SUBTOTAL(3,C$2:C1629)</f>
        <v>67</v>
      </c>
    </row>
    <row r="1630" spans="1:7" hidden="1" x14ac:dyDescent="0.15">
      <c r="A1630" s="2200" t="s">
        <v>4280</v>
      </c>
      <c r="B1630" s="2200" t="s">
        <v>7537</v>
      </c>
      <c r="C1630" s="2200" t="s">
        <v>7538</v>
      </c>
      <c r="D1630" s="2200" t="str">
        <f t="shared" si="75"/>
        <v>MT</v>
      </c>
      <c r="E1630" s="2200" t="str">
        <f t="shared" si="76"/>
        <v>30</v>
      </c>
      <c r="F1630" s="2200" t="str">
        <f t="shared" si="77"/>
        <v>057</v>
      </c>
      <c r="G1630" s="2200">
        <f>--SUBTOTAL(3,C$2:C1630)</f>
        <v>67</v>
      </c>
    </row>
    <row r="1631" spans="1:7" hidden="1" x14ac:dyDescent="0.15">
      <c r="A1631" s="2200" t="s">
        <v>4280</v>
      </c>
      <c r="B1631" s="2200" t="s">
        <v>7539</v>
      </c>
      <c r="C1631" s="2200" t="s">
        <v>7540</v>
      </c>
      <c r="D1631" s="2200" t="str">
        <f t="shared" si="75"/>
        <v>MT</v>
      </c>
      <c r="E1631" s="2200" t="str">
        <f t="shared" si="76"/>
        <v>30</v>
      </c>
      <c r="F1631" s="2200" t="str">
        <f t="shared" si="77"/>
        <v>059</v>
      </c>
      <c r="G1631" s="2200">
        <f>--SUBTOTAL(3,C$2:C1631)</f>
        <v>67</v>
      </c>
    </row>
    <row r="1632" spans="1:7" hidden="1" x14ac:dyDescent="0.15">
      <c r="A1632" s="2200" t="s">
        <v>4280</v>
      </c>
      <c r="B1632" s="2200" t="s">
        <v>7541</v>
      </c>
      <c r="C1632" s="2200" t="s">
        <v>7542</v>
      </c>
      <c r="D1632" s="2200" t="str">
        <f t="shared" si="75"/>
        <v>MT</v>
      </c>
      <c r="E1632" s="2200" t="str">
        <f t="shared" si="76"/>
        <v>30</v>
      </c>
      <c r="F1632" s="2200" t="str">
        <f t="shared" si="77"/>
        <v>061</v>
      </c>
      <c r="G1632" s="2200">
        <f>--SUBTOTAL(3,C$2:C1632)</f>
        <v>67</v>
      </c>
    </row>
    <row r="1633" spans="1:7" hidden="1" x14ac:dyDescent="0.15">
      <c r="A1633" s="2200" t="s">
        <v>4280</v>
      </c>
      <c r="B1633" s="2200" t="s">
        <v>7543</v>
      </c>
      <c r="C1633" s="2200" t="s">
        <v>7544</v>
      </c>
      <c r="D1633" s="2200" t="str">
        <f t="shared" si="75"/>
        <v>MT</v>
      </c>
      <c r="E1633" s="2200" t="str">
        <f t="shared" si="76"/>
        <v>30</v>
      </c>
      <c r="F1633" s="2200" t="str">
        <f t="shared" si="77"/>
        <v>063</v>
      </c>
      <c r="G1633" s="2200">
        <f>--SUBTOTAL(3,C$2:C1633)</f>
        <v>67</v>
      </c>
    </row>
    <row r="1634" spans="1:7" hidden="1" x14ac:dyDescent="0.15">
      <c r="A1634" s="2200" t="s">
        <v>4280</v>
      </c>
      <c r="B1634" s="2200" t="s">
        <v>7545</v>
      </c>
      <c r="C1634" s="2200" t="s">
        <v>7546</v>
      </c>
      <c r="D1634" s="2200" t="str">
        <f t="shared" si="75"/>
        <v>MT</v>
      </c>
      <c r="E1634" s="2200" t="str">
        <f t="shared" si="76"/>
        <v>30</v>
      </c>
      <c r="F1634" s="2200" t="str">
        <f t="shared" si="77"/>
        <v>065</v>
      </c>
      <c r="G1634" s="2200">
        <f>--SUBTOTAL(3,C$2:C1634)</f>
        <v>67</v>
      </c>
    </row>
    <row r="1635" spans="1:7" hidden="1" x14ac:dyDescent="0.15">
      <c r="A1635" s="2200" t="s">
        <v>4280</v>
      </c>
      <c r="B1635" s="2200" t="s">
        <v>7547</v>
      </c>
      <c r="C1635" s="2200" t="s">
        <v>7548</v>
      </c>
      <c r="D1635" s="2200" t="str">
        <f t="shared" si="75"/>
        <v>MT</v>
      </c>
      <c r="E1635" s="2200" t="str">
        <f t="shared" si="76"/>
        <v>30</v>
      </c>
      <c r="F1635" s="2200" t="str">
        <f t="shared" si="77"/>
        <v>067</v>
      </c>
      <c r="G1635" s="2200">
        <f>--SUBTOTAL(3,C$2:C1635)</f>
        <v>67</v>
      </c>
    </row>
    <row r="1636" spans="1:7" hidden="1" x14ac:dyDescent="0.15">
      <c r="A1636" s="2200" t="s">
        <v>4280</v>
      </c>
      <c r="B1636" s="2200" t="s">
        <v>7549</v>
      </c>
      <c r="C1636" s="2200" t="s">
        <v>7550</v>
      </c>
      <c r="D1636" s="2200" t="str">
        <f t="shared" si="75"/>
        <v>MT</v>
      </c>
      <c r="E1636" s="2200" t="str">
        <f t="shared" si="76"/>
        <v>30</v>
      </c>
      <c r="F1636" s="2200" t="str">
        <f t="shared" si="77"/>
        <v>069</v>
      </c>
      <c r="G1636" s="2200">
        <f>--SUBTOTAL(3,C$2:C1636)</f>
        <v>67</v>
      </c>
    </row>
    <row r="1637" spans="1:7" hidden="1" x14ac:dyDescent="0.15">
      <c r="A1637" s="2200" t="s">
        <v>4280</v>
      </c>
      <c r="B1637" s="2200" t="s">
        <v>7551</v>
      </c>
      <c r="C1637" s="2200" t="s">
        <v>7552</v>
      </c>
      <c r="D1637" s="2200" t="str">
        <f t="shared" si="75"/>
        <v>MT</v>
      </c>
      <c r="E1637" s="2200" t="str">
        <f t="shared" si="76"/>
        <v>30</v>
      </c>
      <c r="F1637" s="2200" t="str">
        <f t="shared" si="77"/>
        <v>071</v>
      </c>
      <c r="G1637" s="2200">
        <f>--SUBTOTAL(3,C$2:C1637)</f>
        <v>67</v>
      </c>
    </row>
    <row r="1638" spans="1:7" hidden="1" x14ac:dyDescent="0.15">
      <c r="A1638" s="2200" t="s">
        <v>4280</v>
      </c>
      <c r="B1638" s="2200" t="s">
        <v>7553</v>
      </c>
      <c r="C1638" s="2200" t="s">
        <v>7554</v>
      </c>
      <c r="D1638" s="2200" t="str">
        <f t="shared" si="75"/>
        <v>MT</v>
      </c>
      <c r="E1638" s="2200" t="str">
        <f t="shared" si="76"/>
        <v>30</v>
      </c>
      <c r="F1638" s="2200" t="str">
        <f t="shared" si="77"/>
        <v>073</v>
      </c>
      <c r="G1638" s="2200">
        <f>--SUBTOTAL(3,C$2:C1638)</f>
        <v>67</v>
      </c>
    </row>
    <row r="1639" spans="1:7" hidden="1" x14ac:dyDescent="0.15">
      <c r="A1639" s="2200" t="s">
        <v>4280</v>
      </c>
      <c r="B1639" s="2200" t="s">
        <v>7555</v>
      </c>
      <c r="C1639" s="2200" t="s">
        <v>7556</v>
      </c>
      <c r="D1639" s="2200" t="str">
        <f t="shared" si="75"/>
        <v>MT</v>
      </c>
      <c r="E1639" s="2200" t="str">
        <f t="shared" si="76"/>
        <v>30</v>
      </c>
      <c r="F1639" s="2200" t="str">
        <f t="shared" si="77"/>
        <v>075</v>
      </c>
      <c r="G1639" s="2200">
        <f>--SUBTOTAL(3,C$2:C1639)</f>
        <v>67</v>
      </c>
    </row>
    <row r="1640" spans="1:7" hidden="1" x14ac:dyDescent="0.15">
      <c r="A1640" s="2200" t="s">
        <v>4280</v>
      </c>
      <c r="B1640" s="2200" t="s">
        <v>7557</v>
      </c>
      <c r="C1640" s="2200" t="s">
        <v>7558</v>
      </c>
      <c r="D1640" s="2200" t="str">
        <f t="shared" si="75"/>
        <v>MT</v>
      </c>
      <c r="E1640" s="2200" t="str">
        <f t="shared" si="76"/>
        <v>30</v>
      </c>
      <c r="F1640" s="2200" t="str">
        <f t="shared" si="77"/>
        <v>077</v>
      </c>
      <c r="G1640" s="2200">
        <f>--SUBTOTAL(3,C$2:C1640)</f>
        <v>67</v>
      </c>
    </row>
    <row r="1641" spans="1:7" hidden="1" x14ac:dyDescent="0.15">
      <c r="A1641" s="2200" t="s">
        <v>4280</v>
      </c>
      <c r="B1641" s="2200" t="s">
        <v>7559</v>
      </c>
      <c r="C1641" s="2200" t="s">
        <v>7560</v>
      </c>
      <c r="D1641" s="2200" t="str">
        <f t="shared" si="75"/>
        <v>MT</v>
      </c>
      <c r="E1641" s="2200" t="str">
        <f t="shared" si="76"/>
        <v>30</v>
      </c>
      <c r="F1641" s="2200" t="str">
        <f t="shared" si="77"/>
        <v>079</v>
      </c>
      <c r="G1641" s="2200">
        <f>--SUBTOTAL(3,C$2:C1641)</f>
        <v>67</v>
      </c>
    </row>
    <row r="1642" spans="1:7" hidden="1" x14ac:dyDescent="0.15">
      <c r="A1642" s="2200" t="s">
        <v>4280</v>
      </c>
      <c r="B1642" s="2200" t="s">
        <v>7561</v>
      </c>
      <c r="C1642" s="2200" t="s">
        <v>7562</v>
      </c>
      <c r="D1642" s="2200" t="str">
        <f t="shared" si="75"/>
        <v>MT</v>
      </c>
      <c r="E1642" s="2200" t="str">
        <f t="shared" si="76"/>
        <v>30</v>
      </c>
      <c r="F1642" s="2200" t="str">
        <f t="shared" si="77"/>
        <v>081</v>
      </c>
      <c r="G1642" s="2200">
        <f>--SUBTOTAL(3,C$2:C1642)</f>
        <v>67</v>
      </c>
    </row>
    <row r="1643" spans="1:7" hidden="1" x14ac:dyDescent="0.15">
      <c r="A1643" s="2200" t="s">
        <v>4280</v>
      </c>
      <c r="B1643" s="2200" t="s">
        <v>7563</v>
      </c>
      <c r="C1643" s="2200" t="s">
        <v>7564</v>
      </c>
      <c r="D1643" s="2200" t="str">
        <f t="shared" si="75"/>
        <v>MT</v>
      </c>
      <c r="E1643" s="2200" t="str">
        <f t="shared" si="76"/>
        <v>30</v>
      </c>
      <c r="F1643" s="2200" t="str">
        <f t="shared" si="77"/>
        <v>083</v>
      </c>
      <c r="G1643" s="2200">
        <f>--SUBTOTAL(3,C$2:C1643)</f>
        <v>67</v>
      </c>
    </row>
    <row r="1644" spans="1:7" hidden="1" x14ac:dyDescent="0.15">
      <c r="A1644" s="2200" t="s">
        <v>4280</v>
      </c>
      <c r="B1644" s="2200" t="s">
        <v>7565</v>
      </c>
      <c r="C1644" s="2200" t="s">
        <v>7566</v>
      </c>
      <c r="D1644" s="2200" t="str">
        <f t="shared" si="75"/>
        <v>MT</v>
      </c>
      <c r="E1644" s="2200" t="str">
        <f t="shared" si="76"/>
        <v>30</v>
      </c>
      <c r="F1644" s="2200" t="str">
        <f t="shared" si="77"/>
        <v>085</v>
      </c>
      <c r="G1644" s="2200">
        <f>--SUBTOTAL(3,C$2:C1644)</f>
        <v>67</v>
      </c>
    </row>
    <row r="1645" spans="1:7" hidden="1" x14ac:dyDescent="0.15">
      <c r="A1645" s="2200" t="s">
        <v>4280</v>
      </c>
      <c r="B1645" s="2200" t="s">
        <v>7567</v>
      </c>
      <c r="C1645" s="2200" t="s">
        <v>7568</v>
      </c>
      <c r="D1645" s="2200" t="str">
        <f t="shared" si="75"/>
        <v>MT</v>
      </c>
      <c r="E1645" s="2200" t="str">
        <f t="shared" si="76"/>
        <v>30</v>
      </c>
      <c r="F1645" s="2200" t="str">
        <f t="shared" si="77"/>
        <v>087</v>
      </c>
      <c r="G1645" s="2200">
        <f>--SUBTOTAL(3,C$2:C1645)</f>
        <v>67</v>
      </c>
    </row>
    <row r="1646" spans="1:7" hidden="1" x14ac:dyDescent="0.15">
      <c r="A1646" s="2200" t="s">
        <v>4280</v>
      </c>
      <c r="B1646" s="2200" t="s">
        <v>7569</v>
      </c>
      <c r="C1646" s="2200" t="s">
        <v>7570</v>
      </c>
      <c r="D1646" s="2200" t="str">
        <f t="shared" si="75"/>
        <v>MT</v>
      </c>
      <c r="E1646" s="2200" t="str">
        <f t="shared" si="76"/>
        <v>30</v>
      </c>
      <c r="F1646" s="2200" t="str">
        <f t="shared" si="77"/>
        <v>089</v>
      </c>
      <c r="G1646" s="2200">
        <f>--SUBTOTAL(3,C$2:C1646)</f>
        <v>67</v>
      </c>
    </row>
    <row r="1647" spans="1:7" hidden="1" x14ac:dyDescent="0.15">
      <c r="A1647" s="2200" t="s">
        <v>4280</v>
      </c>
      <c r="B1647" s="2200" t="s">
        <v>7571</v>
      </c>
      <c r="C1647" s="2200" t="s">
        <v>7572</v>
      </c>
      <c r="D1647" s="2200" t="str">
        <f t="shared" si="75"/>
        <v>MT</v>
      </c>
      <c r="E1647" s="2200" t="str">
        <f t="shared" si="76"/>
        <v>30</v>
      </c>
      <c r="F1647" s="2200" t="str">
        <f t="shared" si="77"/>
        <v>091</v>
      </c>
      <c r="G1647" s="2200">
        <f>--SUBTOTAL(3,C$2:C1647)</f>
        <v>67</v>
      </c>
    </row>
    <row r="1648" spans="1:7" hidden="1" x14ac:dyDescent="0.15">
      <c r="A1648" s="2200" t="s">
        <v>4280</v>
      </c>
      <c r="B1648" s="2200" t="s">
        <v>7573</v>
      </c>
      <c r="C1648" s="2200" t="s">
        <v>7574</v>
      </c>
      <c r="D1648" s="2200" t="str">
        <f t="shared" si="75"/>
        <v>MT</v>
      </c>
      <c r="E1648" s="2200" t="str">
        <f t="shared" si="76"/>
        <v>30</v>
      </c>
      <c r="F1648" s="2200" t="str">
        <f t="shared" si="77"/>
        <v>093</v>
      </c>
      <c r="G1648" s="2200">
        <f>--SUBTOTAL(3,C$2:C1648)</f>
        <v>67</v>
      </c>
    </row>
    <row r="1649" spans="1:7" hidden="1" x14ac:dyDescent="0.15">
      <c r="A1649" s="2200" t="s">
        <v>4280</v>
      </c>
      <c r="B1649" s="2200" t="s">
        <v>7575</v>
      </c>
      <c r="C1649" s="2200" t="s">
        <v>7576</v>
      </c>
      <c r="D1649" s="2200" t="str">
        <f t="shared" si="75"/>
        <v>MT</v>
      </c>
      <c r="E1649" s="2200" t="str">
        <f t="shared" si="76"/>
        <v>30</v>
      </c>
      <c r="F1649" s="2200" t="str">
        <f t="shared" si="77"/>
        <v>095</v>
      </c>
      <c r="G1649" s="2200">
        <f>--SUBTOTAL(3,C$2:C1649)</f>
        <v>67</v>
      </c>
    </row>
    <row r="1650" spans="1:7" hidden="1" x14ac:dyDescent="0.15">
      <c r="A1650" s="2200" t="s">
        <v>4280</v>
      </c>
      <c r="B1650" s="2200" t="s">
        <v>7577</v>
      </c>
      <c r="C1650" s="2200" t="s">
        <v>7578</v>
      </c>
      <c r="D1650" s="2200" t="str">
        <f t="shared" si="75"/>
        <v>MT</v>
      </c>
      <c r="E1650" s="2200" t="str">
        <f t="shared" si="76"/>
        <v>30</v>
      </c>
      <c r="F1650" s="2200" t="str">
        <f t="shared" si="77"/>
        <v>097</v>
      </c>
      <c r="G1650" s="2200">
        <f>--SUBTOTAL(3,C$2:C1650)</f>
        <v>67</v>
      </c>
    </row>
    <row r="1651" spans="1:7" hidden="1" x14ac:dyDescent="0.15">
      <c r="A1651" s="2200" t="s">
        <v>4280</v>
      </c>
      <c r="B1651" s="2200" t="s">
        <v>7579</v>
      </c>
      <c r="C1651" s="2200" t="s">
        <v>7580</v>
      </c>
      <c r="D1651" s="2200" t="str">
        <f t="shared" si="75"/>
        <v>MT</v>
      </c>
      <c r="E1651" s="2200" t="str">
        <f t="shared" si="76"/>
        <v>30</v>
      </c>
      <c r="F1651" s="2200" t="str">
        <f t="shared" si="77"/>
        <v>099</v>
      </c>
      <c r="G1651" s="2200">
        <f>--SUBTOTAL(3,C$2:C1651)</f>
        <v>67</v>
      </c>
    </row>
    <row r="1652" spans="1:7" hidden="1" x14ac:dyDescent="0.15">
      <c r="A1652" s="2200" t="s">
        <v>4280</v>
      </c>
      <c r="B1652" s="2200" t="s">
        <v>7581</v>
      </c>
      <c r="C1652" s="2200" t="s">
        <v>7582</v>
      </c>
      <c r="D1652" s="2200" t="str">
        <f t="shared" si="75"/>
        <v>MT</v>
      </c>
      <c r="E1652" s="2200" t="str">
        <f t="shared" si="76"/>
        <v>30</v>
      </c>
      <c r="F1652" s="2200" t="str">
        <f t="shared" si="77"/>
        <v>101</v>
      </c>
      <c r="G1652" s="2200">
        <f>--SUBTOTAL(3,C$2:C1652)</f>
        <v>67</v>
      </c>
    </row>
    <row r="1653" spans="1:7" hidden="1" x14ac:dyDescent="0.15">
      <c r="A1653" s="2200" t="s">
        <v>4280</v>
      </c>
      <c r="B1653" s="2200" t="s">
        <v>7583</v>
      </c>
      <c r="C1653" s="2200" t="s">
        <v>7584</v>
      </c>
      <c r="D1653" s="2200" t="str">
        <f t="shared" si="75"/>
        <v>MT</v>
      </c>
      <c r="E1653" s="2200" t="str">
        <f t="shared" si="76"/>
        <v>30</v>
      </c>
      <c r="F1653" s="2200" t="str">
        <f t="shared" si="77"/>
        <v>103</v>
      </c>
      <c r="G1653" s="2200">
        <f>--SUBTOTAL(3,C$2:C1653)</f>
        <v>67</v>
      </c>
    </row>
    <row r="1654" spans="1:7" hidden="1" x14ac:dyDescent="0.15">
      <c r="A1654" s="2200" t="s">
        <v>4280</v>
      </c>
      <c r="B1654" s="2200" t="s">
        <v>7585</v>
      </c>
      <c r="C1654" s="2200" t="s">
        <v>7586</v>
      </c>
      <c r="D1654" s="2200" t="str">
        <f t="shared" si="75"/>
        <v>MT</v>
      </c>
      <c r="E1654" s="2200" t="str">
        <f t="shared" si="76"/>
        <v>30</v>
      </c>
      <c r="F1654" s="2200" t="str">
        <f t="shared" si="77"/>
        <v>105</v>
      </c>
      <c r="G1654" s="2200">
        <f>--SUBTOTAL(3,C$2:C1654)</f>
        <v>67</v>
      </c>
    </row>
    <row r="1655" spans="1:7" hidden="1" x14ac:dyDescent="0.15">
      <c r="A1655" s="2200" t="s">
        <v>4280</v>
      </c>
      <c r="B1655" s="2200" t="s">
        <v>7587</v>
      </c>
      <c r="C1655" s="2200" t="s">
        <v>7588</v>
      </c>
      <c r="D1655" s="2200" t="str">
        <f t="shared" si="75"/>
        <v>MT</v>
      </c>
      <c r="E1655" s="2200" t="str">
        <f t="shared" si="76"/>
        <v>30</v>
      </c>
      <c r="F1655" s="2200" t="str">
        <f t="shared" si="77"/>
        <v>107</v>
      </c>
      <c r="G1655" s="2200">
        <f>--SUBTOTAL(3,C$2:C1655)</f>
        <v>67</v>
      </c>
    </row>
    <row r="1656" spans="1:7" hidden="1" x14ac:dyDescent="0.15">
      <c r="A1656" s="2200" t="s">
        <v>4280</v>
      </c>
      <c r="B1656" s="2200" t="s">
        <v>7589</v>
      </c>
      <c r="C1656" s="2200" t="s">
        <v>7590</v>
      </c>
      <c r="D1656" s="2200" t="str">
        <f t="shared" si="75"/>
        <v>MT</v>
      </c>
      <c r="E1656" s="2200" t="str">
        <f t="shared" si="76"/>
        <v>30</v>
      </c>
      <c r="F1656" s="2200" t="str">
        <f t="shared" si="77"/>
        <v>109</v>
      </c>
      <c r="G1656" s="2200">
        <f>--SUBTOTAL(3,C$2:C1656)</f>
        <v>67</v>
      </c>
    </row>
    <row r="1657" spans="1:7" hidden="1" x14ac:dyDescent="0.15">
      <c r="A1657" s="2200" t="s">
        <v>4280</v>
      </c>
      <c r="B1657" s="2200" t="s">
        <v>7591</v>
      </c>
      <c r="C1657" s="2200" t="s">
        <v>7592</v>
      </c>
      <c r="D1657" s="2200" t="str">
        <f t="shared" si="75"/>
        <v>MT</v>
      </c>
      <c r="E1657" s="2200" t="str">
        <f t="shared" si="76"/>
        <v>30</v>
      </c>
      <c r="F1657" s="2200" t="str">
        <f t="shared" si="77"/>
        <v>111</v>
      </c>
      <c r="G1657" s="2200">
        <f>--SUBTOTAL(3,C$2:C1657)</f>
        <v>67</v>
      </c>
    </row>
    <row r="1658" spans="1:7" hidden="1" x14ac:dyDescent="0.15">
      <c r="A1658" s="2200" t="s">
        <v>4280</v>
      </c>
      <c r="B1658" s="2200" t="s">
        <v>7593</v>
      </c>
      <c r="C1658" s="2200" t="s">
        <v>7594</v>
      </c>
      <c r="D1658" s="2200" t="str">
        <f t="shared" si="75"/>
        <v>NE</v>
      </c>
      <c r="E1658" s="2200" t="str">
        <f t="shared" si="76"/>
        <v>31</v>
      </c>
      <c r="F1658" s="2200" t="str">
        <f t="shared" si="77"/>
        <v>001</v>
      </c>
      <c r="G1658" s="2200">
        <f>--SUBTOTAL(3,C$2:C1658)</f>
        <v>67</v>
      </c>
    </row>
    <row r="1659" spans="1:7" hidden="1" x14ac:dyDescent="0.15">
      <c r="A1659" s="2200" t="s">
        <v>4280</v>
      </c>
      <c r="B1659" s="2200" t="s">
        <v>7595</v>
      </c>
      <c r="C1659" s="2200" t="s">
        <v>7596</v>
      </c>
      <c r="D1659" s="2200" t="str">
        <f t="shared" si="75"/>
        <v>NE</v>
      </c>
      <c r="E1659" s="2200" t="str">
        <f t="shared" si="76"/>
        <v>31</v>
      </c>
      <c r="F1659" s="2200" t="str">
        <f t="shared" si="77"/>
        <v>003</v>
      </c>
      <c r="G1659" s="2200">
        <f>--SUBTOTAL(3,C$2:C1659)</f>
        <v>67</v>
      </c>
    </row>
    <row r="1660" spans="1:7" hidden="1" x14ac:dyDescent="0.15">
      <c r="A1660" s="2200" t="s">
        <v>4280</v>
      </c>
      <c r="B1660" s="2200" t="s">
        <v>7597</v>
      </c>
      <c r="C1660" s="2200" t="s">
        <v>7598</v>
      </c>
      <c r="D1660" s="2200" t="str">
        <f t="shared" si="75"/>
        <v>NE</v>
      </c>
      <c r="E1660" s="2200" t="str">
        <f t="shared" si="76"/>
        <v>31</v>
      </c>
      <c r="F1660" s="2200" t="str">
        <f t="shared" si="77"/>
        <v>005</v>
      </c>
      <c r="G1660" s="2200">
        <f>--SUBTOTAL(3,C$2:C1660)</f>
        <v>67</v>
      </c>
    </row>
    <row r="1661" spans="1:7" hidden="1" x14ac:dyDescent="0.15">
      <c r="A1661" s="2200" t="s">
        <v>4280</v>
      </c>
      <c r="B1661" s="2200" t="s">
        <v>7599</v>
      </c>
      <c r="C1661" s="2200" t="s">
        <v>7600</v>
      </c>
      <c r="D1661" s="2200" t="str">
        <f t="shared" si="75"/>
        <v>NE</v>
      </c>
      <c r="E1661" s="2200" t="str">
        <f t="shared" si="76"/>
        <v>31</v>
      </c>
      <c r="F1661" s="2200" t="str">
        <f t="shared" si="77"/>
        <v>007</v>
      </c>
      <c r="G1661" s="2200">
        <f>--SUBTOTAL(3,C$2:C1661)</f>
        <v>67</v>
      </c>
    </row>
    <row r="1662" spans="1:7" hidden="1" x14ac:dyDescent="0.15">
      <c r="A1662" s="2200" t="s">
        <v>4280</v>
      </c>
      <c r="B1662" s="2200" t="s">
        <v>7601</v>
      </c>
      <c r="C1662" s="2200" t="s">
        <v>7602</v>
      </c>
      <c r="D1662" s="2200" t="str">
        <f t="shared" si="75"/>
        <v>NE</v>
      </c>
      <c r="E1662" s="2200" t="str">
        <f t="shared" si="76"/>
        <v>31</v>
      </c>
      <c r="F1662" s="2200" t="str">
        <f t="shared" si="77"/>
        <v>009</v>
      </c>
      <c r="G1662" s="2200">
        <f>--SUBTOTAL(3,C$2:C1662)</f>
        <v>67</v>
      </c>
    </row>
    <row r="1663" spans="1:7" hidden="1" x14ac:dyDescent="0.15">
      <c r="A1663" s="2200" t="s">
        <v>4280</v>
      </c>
      <c r="B1663" s="2200" t="s">
        <v>7603</v>
      </c>
      <c r="C1663" s="2200" t="s">
        <v>7604</v>
      </c>
      <c r="D1663" s="2200" t="str">
        <f t="shared" si="75"/>
        <v>NE</v>
      </c>
      <c r="E1663" s="2200" t="str">
        <f t="shared" si="76"/>
        <v>31</v>
      </c>
      <c r="F1663" s="2200" t="str">
        <f t="shared" si="77"/>
        <v>011</v>
      </c>
      <c r="G1663" s="2200">
        <f>--SUBTOTAL(3,C$2:C1663)</f>
        <v>67</v>
      </c>
    </row>
    <row r="1664" spans="1:7" hidden="1" x14ac:dyDescent="0.15">
      <c r="A1664" s="2200" t="s">
        <v>4280</v>
      </c>
      <c r="B1664" s="2200" t="s">
        <v>7605</v>
      </c>
      <c r="C1664" s="2200" t="s">
        <v>7606</v>
      </c>
      <c r="D1664" s="2200" t="str">
        <f t="shared" si="75"/>
        <v>NE</v>
      </c>
      <c r="E1664" s="2200" t="str">
        <f t="shared" si="76"/>
        <v>31</v>
      </c>
      <c r="F1664" s="2200" t="str">
        <f t="shared" si="77"/>
        <v>013</v>
      </c>
      <c r="G1664" s="2200">
        <f>--SUBTOTAL(3,C$2:C1664)</f>
        <v>67</v>
      </c>
    </row>
    <row r="1665" spans="1:7" hidden="1" x14ac:dyDescent="0.15">
      <c r="A1665" s="2200" t="s">
        <v>4280</v>
      </c>
      <c r="B1665" s="2200" t="s">
        <v>7607</v>
      </c>
      <c r="C1665" s="2200" t="s">
        <v>7608</v>
      </c>
      <c r="D1665" s="2200" t="str">
        <f t="shared" si="75"/>
        <v>NE</v>
      </c>
      <c r="E1665" s="2200" t="str">
        <f t="shared" si="76"/>
        <v>31</v>
      </c>
      <c r="F1665" s="2200" t="str">
        <f t="shared" si="77"/>
        <v>015</v>
      </c>
      <c r="G1665" s="2200">
        <f>--SUBTOTAL(3,C$2:C1665)</f>
        <v>67</v>
      </c>
    </row>
    <row r="1666" spans="1:7" hidden="1" x14ac:dyDescent="0.15">
      <c r="A1666" s="2200" t="s">
        <v>4280</v>
      </c>
      <c r="B1666" s="2200" t="s">
        <v>7609</v>
      </c>
      <c r="C1666" s="2200" t="s">
        <v>7610</v>
      </c>
      <c r="D1666" s="2200" t="str">
        <f t="shared" si="75"/>
        <v>NE</v>
      </c>
      <c r="E1666" s="2200" t="str">
        <f t="shared" si="76"/>
        <v>31</v>
      </c>
      <c r="F1666" s="2200" t="str">
        <f t="shared" si="77"/>
        <v>017</v>
      </c>
      <c r="G1666" s="2200">
        <f>--SUBTOTAL(3,C$2:C1666)</f>
        <v>67</v>
      </c>
    </row>
    <row r="1667" spans="1:7" hidden="1" x14ac:dyDescent="0.15">
      <c r="A1667" s="2200" t="s">
        <v>4280</v>
      </c>
      <c r="B1667" s="2200" t="s">
        <v>7611</v>
      </c>
      <c r="C1667" s="2200" t="s">
        <v>7612</v>
      </c>
      <c r="D1667" s="2200" t="str">
        <f t="shared" ref="D1667:D1730" si="78">RIGHT(C1667,2)</f>
        <v>NE</v>
      </c>
      <c r="E1667" s="2200" t="str">
        <f t="shared" ref="E1667:E1730" si="79">MID(B1667,3,2)</f>
        <v>31</v>
      </c>
      <c r="F1667" s="2200" t="str">
        <f t="shared" ref="F1667:F1730" si="80">MID(B1667,5,3)</f>
        <v>019</v>
      </c>
      <c r="G1667" s="2200">
        <f>--SUBTOTAL(3,C$2:C1667)</f>
        <v>67</v>
      </c>
    </row>
    <row r="1668" spans="1:7" hidden="1" x14ac:dyDescent="0.15">
      <c r="A1668" s="2200" t="s">
        <v>4280</v>
      </c>
      <c r="B1668" s="2200" t="s">
        <v>7613</v>
      </c>
      <c r="C1668" s="2200" t="s">
        <v>7614</v>
      </c>
      <c r="D1668" s="2200" t="str">
        <f t="shared" si="78"/>
        <v>NE</v>
      </c>
      <c r="E1668" s="2200" t="str">
        <f t="shared" si="79"/>
        <v>31</v>
      </c>
      <c r="F1668" s="2200" t="str">
        <f t="shared" si="80"/>
        <v>021</v>
      </c>
      <c r="G1668" s="2200">
        <f>--SUBTOTAL(3,C$2:C1668)</f>
        <v>67</v>
      </c>
    </row>
    <row r="1669" spans="1:7" hidden="1" x14ac:dyDescent="0.15">
      <c r="A1669" s="2200" t="s">
        <v>4280</v>
      </c>
      <c r="B1669" s="2200" t="s">
        <v>7615</v>
      </c>
      <c r="C1669" s="2200" t="s">
        <v>7616</v>
      </c>
      <c r="D1669" s="2200" t="str">
        <f t="shared" si="78"/>
        <v>NE</v>
      </c>
      <c r="E1669" s="2200" t="str">
        <f t="shared" si="79"/>
        <v>31</v>
      </c>
      <c r="F1669" s="2200" t="str">
        <f t="shared" si="80"/>
        <v>023</v>
      </c>
      <c r="G1669" s="2200">
        <f>--SUBTOTAL(3,C$2:C1669)</f>
        <v>67</v>
      </c>
    </row>
    <row r="1670" spans="1:7" hidden="1" x14ac:dyDescent="0.15">
      <c r="A1670" s="2200" t="s">
        <v>4280</v>
      </c>
      <c r="B1670" s="2200" t="s">
        <v>7617</v>
      </c>
      <c r="C1670" s="2200" t="s">
        <v>7618</v>
      </c>
      <c r="D1670" s="2200" t="str">
        <f t="shared" si="78"/>
        <v>NE</v>
      </c>
      <c r="E1670" s="2200" t="str">
        <f t="shared" si="79"/>
        <v>31</v>
      </c>
      <c r="F1670" s="2200" t="str">
        <f t="shared" si="80"/>
        <v>025</v>
      </c>
      <c r="G1670" s="2200">
        <f>--SUBTOTAL(3,C$2:C1670)</f>
        <v>67</v>
      </c>
    </row>
    <row r="1671" spans="1:7" hidden="1" x14ac:dyDescent="0.15">
      <c r="A1671" s="2200" t="s">
        <v>4280</v>
      </c>
      <c r="B1671" s="2200" t="s">
        <v>7619</v>
      </c>
      <c r="C1671" s="2200" t="s">
        <v>7620</v>
      </c>
      <c r="D1671" s="2200" t="str">
        <f t="shared" si="78"/>
        <v>NE</v>
      </c>
      <c r="E1671" s="2200" t="str">
        <f t="shared" si="79"/>
        <v>31</v>
      </c>
      <c r="F1671" s="2200" t="str">
        <f t="shared" si="80"/>
        <v>027</v>
      </c>
      <c r="G1671" s="2200">
        <f>--SUBTOTAL(3,C$2:C1671)</f>
        <v>67</v>
      </c>
    </row>
    <row r="1672" spans="1:7" hidden="1" x14ac:dyDescent="0.15">
      <c r="A1672" s="2200" t="s">
        <v>4280</v>
      </c>
      <c r="B1672" s="2200" t="s">
        <v>7621</v>
      </c>
      <c r="C1672" s="2200" t="s">
        <v>7622</v>
      </c>
      <c r="D1672" s="2200" t="str">
        <f t="shared" si="78"/>
        <v>NE</v>
      </c>
      <c r="E1672" s="2200" t="str">
        <f t="shared" si="79"/>
        <v>31</v>
      </c>
      <c r="F1672" s="2200" t="str">
        <f t="shared" si="80"/>
        <v>029</v>
      </c>
      <c r="G1672" s="2200">
        <f>--SUBTOTAL(3,C$2:C1672)</f>
        <v>67</v>
      </c>
    </row>
    <row r="1673" spans="1:7" hidden="1" x14ac:dyDescent="0.15">
      <c r="A1673" s="2200" t="s">
        <v>4280</v>
      </c>
      <c r="B1673" s="2200" t="s">
        <v>7623</v>
      </c>
      <c r="C1673" s="2200" t="s">
        <v>7624</v>
      </c>
      <c r="D1673" s="2200" t="str">
        <f t="shared" si="78"/>
        <v>NE</v>
      </c>
      <c r="E1673" s="2200" t="str">
        <f t="shared" si="79"/>
        <v>31</v>
      </c>
      <c r="F1673" s="2200" t="str">
        <f t="shared" si="80"/>
        <v>031</v>
      </c>
      <c r="G1673" s="2200">
        <f>--SUBTOTAL(3,C$2:C1673)</f>
        <v>67</v>
      </c>
    </row>
    <row r="1674" spans="1:7" hidden="1" x14ac:dyDescent="0.15">
      <c r="A1674" s="2200" t="s">
        <v>4280</v>
      </c>
      <c r="B1674" s="2200" t="s">
        <v>7625</v>
      </c>
      <c r="C1674" s="2200" t="s">
        <v>7626</v>
      </c>
      <c r="D1674" s="2200" t="str">
        <f t="shared" si="78"/>
        <v>NE</v>
      </c>
      <c r="E1674" s="2200" t="str">
        <f t="shared" si="79"/>
        <v>31</v>
      </c>
      <c r="F1674" s="2200" t="str">
        <f t="shared" si="80"/>
        <v>033</v>
      </c>
      <c r="G1674" s="2200">
        <f>--SUBTOTAL(3,C$2:C1674)</f>
        <v>67</v>
      </c>
    </row>
    <row r="1675" spans="1:7" hidden="1" x14ac:dyDescent="0.15">
      <c r="A1675" s="2200" t="s">
        <v>4280</v>
      </c>
      <c r="B1675" s="2200" t="s">
        <v>7627</v>
      </c>
      <c r="C1675" s="2200" t="s">
        <v>7628</v>
      </c>
      <c r="D1675" s="2200" t="str">
        <f t="shared" si="78"/>
        <v>NE</v>
      </c>
      <c r="E1675" s="2200" t="str">
        <f t="shared" si="79"/>
        <v>31</v>
      </c>
      <c r="F1675" s="2200" t="str">
        <f t="shared" si="80"/>
        <v>035</v>
      </c>
      <c r="G1675" s="2200">
        <f>--SUBTOTAL(3,C$2:C1675)</f>
        <v>67</v>
      </c>
    </row>
    <row r="1676" spans="1:7" hidden="1" x14ac:dyDescent="0.15">
      <c r="A1676" s="2200" t="s">
        <v>4280</v>
      </c>
      <c r="B1676" s="2200" t="s">
        <v>7629</v>
      </c>
      <c r="C1676" s="2200" t="s">
        <v>7630</v>
      </c>
      <c r="D1676" s="2200" t="str">
        <f t="shared" si="78"/>
        <v>NE</v>
      </c>
      <c r="E1676" s="2200" t="str">
        <f t="shared" si="79"/>
        <v>31</v>
      </c>
      <c r="F1676" s="2200" t="str">
        <f t="shared" si="80"/>
        <v>037</v>
      </c>
      <c r="G1676" s="2200">
        <f>--SUBTOTAL(3,C$2:C1676)</f>
        <v>67</v>
      </c>
    </row>
    <row r="1677" spans="1:7" hidden="1" x14ac:dyDescent="0.15">
      <c r="A1677" s="2200" t="s">
        <v>4280</v>
      </c>
      <c r="B1677" s="2200" t="s">
        <v>7631</v>
      </c>
      <c r="C1677" s="2200" t="s">
        <v>7632</v>
      </c>
      <c r="D1677" s="2200" t="str">
        <f t="shared" si="78"/>
        <v>NE</v>
      </c>
      <c r="E1677" s="2200" t="str">
        <f t="shared" si="79"/>
        <v>31</v>
      </c>
      <c r="F1677" s="2200" t="str">
        <f t="shared" si="80"/>
        <v>039</v>
      </c>
      <c r="G1677" s="2200">
        <f>--SUBTOTAL(3,C$2:C1677)</f>
        <v>67</v>
      </c>
    </row>
    <row r="1678" spans="1:7" hidden="1" x14ac:dyDescent="0.15">
      <c r="A1678" s="2200" t="s">
        <v>4280</v>
      </c>
      <c r="B1678" s="2200" t="s">
        <v>7633</v>
      </c>
      <c r="C1678" s="2200" t="s">
        <v>7634</v>
      </c>
      <c r="D1678" s="2200" t="str">
        <f t="shared" si="78"/>
        <v>NE</v>
      </c>
      <c r="E1678" s="2200" t="str">
        <f t="shared" si="79"/>
        <v>31</v>
      </c>
      <c r="F1678" s="2200" t="str">
        <f t="shared" si="80"/>
        <v>041</v>
      </c>
      <c r="G1678" s="2200">
        <f>--SUBTOTAL(3,C$2:C1678)</f>
        <v>67</v>
      </c>
    </row>
    <row r="1679" spans="1:7" hidden="1" x14ac:dyDescent="0.15">
      <c r="A1679" s="2200" t="s">
        <v>4280</v>
      </c>
      <c r="B1679" s="2200" t="s">
        <v>7635</v>
      </c>
      <c r="C1679" s="2200" t="s">
        <v>7636</v>
      </c>
      <c r="D1679" s="2200" t="str">
        <f t="shared" si="78"/>
        <v>NE</v>
      </c>
      <c r="E1679" s="2200" t="str">
        <f t="shared" si="79"/>
        <v>31</v>
      </c>
      <c r="F1679" s="2200" t="str">
        <f t="shared" si="80"/>
        <v>043</v>
      </c>
      <c r="G1679" s="2200">
        <f>--SUBTOTAL(3,C$2:C1679)</f>
        <v>67</v>
      </c>
    </row>
    <row r="1680" spans="1:7" hidden="1" x14ac:dyDescent="0.15">
      <c r="A1680" s="2200" t="s">
        <v>4280</v>
      </c>
      <c r="B1680" s="2200" t="s">
        <v>7637</v>
      </c>
      <c r="C1680" s="2200" t="s">
        <v>7638</v>
      </c>
      <c r="D1680" s="2200" t="str">
        <f t="shared" si="78"/>
        <v>NE</v>
      </c>
      <c r="E1680" s="2200" t="str">
        <f t="shared" si="79"/>
        <v>31</v>
      </c>
      <c r="F1680" s="2200" t="str">
        <f t="shared" si="80"/>
        <v>045</v>
      </c>
      <c r="G1680" s="2200">
        <f>--SUBTOTAL(3,C$2:C1680)</f>
        <v>67</v>
      </c>
    </row>
    <row r="1681" spans="1:7" hidden="1" x14ac:dyDescent="0.15">
      <c r="A1681" s="2200" t="s">
        <v>4280</v>
      </c>
      <c r="B1681" s="2200" t="s">
        <v>7639</v>
      </c>
      <c r="C1681" s="2200" t="s">
        <v>7640</v>
      </c>
      <c r="D1681" s="2200" t="str">
        <f t="shared" si="78"/>
        <v>NE</v>
      </c>
      <c r="E1681" s="2200" t="str">
        <f t="shared" si="79"/>
        <v>31</v>
      </c>
      <c r="F1681" s="2200" t="str">
        <f t="shared" si="80"/>
        <v>047</v>
      </c>
      <c r="G1681" s="2200">
        <f>--SUBTOTAL(3,C$2:C1681)</f>
        <v>67</v>
      </c>
    </row>
    <row r="1682" spans="1:7" hidden="1" x14ac:dyDescent="0.15">
      <c r="A1682" s="2200" t="s">
        <v>4280</v>
      </c>
      <c r="B1682" s="2200" t="s">
        <v>7641</v>
      </c>
      <c r="C1682" s="2200" t="s">
        <v>7642</v>
      </c>
      <c r="D1682" s="2200" t="str">
        <f t="shared" si="78"/>
        <v>NE</v>
      </c>
      <c r="E1682" s="2200" t="str">
        <f t="shared" si="79"/>
        <v>31</v>
      </c>
      <c r="F1682" s="2200" t="str">
        <f t="shared" si="80"/>
        <v>049</v>
      </c>
      <c r="G1682" s="2200">
        <f>--SUBTOTAL(3,C$2:C1682)</f>
        <v>67</v>
      </c>
    </row>
    <row r="1683" spans="1:7" hidden="1" x14ac:dyDescent="0.15">
      <c r="A1683" s="2200" t="s">
        <v>4280</v>
      </c>
      <c r="B1683" s="2200" t="s">
        <v>7643</v>
      </c>
      <c r="C1683" s="2200" t="s">
        <v>7644</v>
      </c>
      <c r="D1683" s="2200" t="str">
        <f t="shared" si="78"/>
        <v>NE</v>
      </c>
      <c r="E1683" s="2200" t="str">
        <f t="shared" si="79"/>
        <v>31</v>
      </c>
      <c r="F1683" s="2200" t="str">
        <f t="shared" si="80"/>
        <v>051</v>
      </c>
      <c r="G1683" s="2200">
        <f>--SUBTOTAL(3,C$2:C1683)</f>
        <v>67</v>
      </c>
    </row>
    <row r="1684" spans="1:7" hidden="1" x14ac:dyDescent="0.15">
      <c r="A1684" s="2200" t="s">
        <v>4280</v>
      </c>
      <c r="B1684" s="2200" t="s">
        <v>7645</v>
      </c>
      <c r="C1684" s="2200" t="s">
        <v>7646</v>
      </c>
      <c r="D1684" s="2200" t="str">
        <f t="shared" si="78"/>
        <v>NE</v>
      </c>
      <c r="E1684" s="2200" t="str">
        <f t="shared" si="79"/>
        <v>31</v>
      </c>
      <c r="F1684" s="2200" t="str">
        <f t="shared" si="80"/>
        <v>053</v>
      </c>
      <c r="G1684" s="2200">
        <f>--SUBTOTAL(3,C$2:C1684)</f>
        <v>67</v>
      </c>
    </row>
    <row r="1685" spans="1:7" hidden="1" x14ac:dyDescent="0.15">
      <c r="A1685" s="2200" t="s">
        <v>4280</v>
      </c>
      <c r="B1685" s="2200" t="s">
        <v>7647</v>
      </c>
      <c r="C1685" s="2200" t="s">
        <v>7648</v>
      </c>
      <c r="D1685" s="2200" t="str">
        <f t="shared" si="78"/>
        <v>NE</v>
      </c>
      <c r="E1685" s="2200" t="str">
        <f t="shared" si="79"/>
        <v>31</v>
      </c>
      <c r="F1685" s="2200" t="str">
        <f t="shared" si="80"/>
        <v>055</v>
      </c>
      <c r="G1685" s="2200">
        <f>--SUBTOTAL(3,C$2:C1685)</f>
        <v>67</v>
      </c>
    </row>
    <row r="1686" spans="1:7" hidden="1" x14ac:dyDescent="0.15">
      <c r="A1686" s="2200" t="s">
        <v>4280</v>
      </c>
      <c r="B1686" s="2200" t="s">
        <v>7649</v>
      </c>
      <c r="C1686" s="2200" t="s">
        <v>7650</v>
      </c>
      <c r="D1686" s="2200" t="str">
        <f t="shared" si="78"/>
        <v>NE</v>
      </c>
      <c r="E1686" s="2200" t="str">
        <f t="shared" si="79"/>
        <v>31</v>
      </c>
      <c r="F1686" s="2200" t="str">
        <f t="shared" si="80"/>
        <v>057</v>
      </c>
      <c r="G1686" s="2200">
        <f>--SUBTOTAL(3,C$2:C1686)</f>
        <v>67</v>
      </c>
    </row>
    <row r="1687" spans="1:7" hidden="1" x14ac:dyDescent="0.15">
      <c r="A1687" s="2200" t="s">
        <v>4280</v>
      </c>
      <c r="B1687" s="2200" t="s">
        <v>7651</v>
      </c>
      <c r="C1687" s="2200" t="s">
        <v>7652</v>
      </c>
      <c r="D1687" s="2200" t="str">
        <f t="shared" si="78"/>
        <v>NE</v>
      </c>
      <c r="E1687" s="2200" t="str">
        <f t="shared" si="79"/>
        <v>31</v>
      </c>
      <c r="F1687" s="2200" t="str">
        <f t="shared" si="80"/>
        <v>059</v>
      </c>
      <c r="G1687" s="2200">
        <f>--SUBTOTAL(3,C$2:C1687)</f>
        <v>67</v>
      </c>
    </row>
    <row r="1688" spans="1:7" hidden="1" x14ac:dyDescent="0.15">
      <c r="A1688" s="2200" t="s">
        <v>4280</v>
      </c>
      <c r="B1688" s="2200" t="s">
        <v>7653</v>
      </c>
      <c r="C1688" s="2200" t="s">
        <v>7654</v>
      </c>
      <c r="D1688" s="2200" t="str">
        <f t="shared" si="78"/>
        <v>NE</v>
      </c>
      <c r="E1688" s="2200" t="str">
        <f t="shared" si="79"/>
        <v>31</v>
      </c>
      <c r="F1688" s="2200" t="str">
        <f t="shared" si="80"/>
        <v>061</v>
      </c>
      <c r="G1688" s="2200">
        <f>--SUBTOTAL(3,C$2:C1688)</f>
        <v>67</v>
      </c>
    </row>
    <row r="1689" spans="1:7" hidden="1" x14ac:dyDescent="0.15">
      <c r="A1689" s="2200" t="s">
        <v>4280</v>
      </c>
      <c r="B1689" s="2200" t="s">
        <v>7655</v>
      </c>
      <c r="C1689" s="2200" t="s">
        <v>7656</v>
      </c>
      <c r="D1689" s="2200" t="str">
        <f t="shared" si="78"/>
        <v>NE</v>
      </c>
      <c r="E1689" s="2200" t="str">
        <f t="shared" si="79"/>
        <v>31</v>
      </c>
      <c r="F1689" s="2200" t="str">
        <f t="shared" si="80"/>
        <v>063</v>
      </c>
      <c r="G1689" s="2200">
        <f>--SUBTOTAL(3,C$2:C1689)</f>
        <v>67</v>
      </c>
    </row>
    <row r="1690" spans="1:7" hidden="1" x14ac:dyDescent="0.15">
      <c r="A1690" s="2200" t="s">
        <v>4280</v>
      </c>
      <c r="B1690" s="2200" t="s">
        <v>7657</v>
      </c>
      <c r="C1690" s="2200" t="s">
        <v>7658</v>
      </c>
      <c r="D1690" s="2200" t="str">
        <f t="shared" si="78"/>
        <v>NE</v>
      </c>
      <c r="E1690" s="2200" t="str">
        <f t="shared" si="79"/>
        <v>31</v>
      </c>
      <c r="F1690" s="2200" t="str">
        <f t="shared" si="80"/>
        <v>065</v>
      </c>
      <c r="G1690" s="2200">
        <f>--SUBTOTAL(3,C$2:C1690)</f>
        <v>67</v>
      </c>
    </row>
    <row r="1691" spans="1:7" hidden="1" x14ac:dyDescent="0.15">
      <c r="A1691" s="2200" t="s">
        <v>4280</v>
      </c>
      <c r="B1691" s="2200" t="s">
        <v>7659</v>
      </c>
      <c r="C1691" s="2200" t="s">
        <v>7660</v>
      </c>
      <c r="D1691" s="2200" t="str">
        <f t="shared" si="78"/>
        <v>NE</v>
      </c>
      <c r="E1691" s="2200" t="str">
        <f t="shared" si="79"/>
        <v>31</v>
      </c>
      <c r="F1691" s="2200" t="str">
        <f t="shared" si="80"/>
        <v>067</v>
      </c>
      <c r="G1691" s="2200">
        <f>--SUBTOTAL(3,C$2:C1691)</f>
        <v>67</v>
      </c>
    </row>
    <row r="1692" spans="1:7" hidden="1" x14ac:dyDescent="0.15">
      <c r="A1692" s="2200" t="s">
        <v>4280</v>
      </c>
      <c r="B1692" s="2200" t="s">
        <v>7661</v>
      </c>
      <c r="C1692" s="2200" t="s">
        <v>7662</v>
      </c>
      <c r="D1692" s="2200" t="str">
        <f t="shared" si="78"/>
        <v>NE</v>
      </c>
      <c r="E1692" s="2200" t="str">
        <f t="shared" si="79"/>
        <v>31</v>
      </c>
      <c r="F1692" s="2200" t="str">
        <f t="shared" si="80"/>
        <v>069</v>
      </c>
      <c r="G1692" s="2200">
        <f>--SUBTOTAL(3,C$2:C1692)</f>
        <v>67</v>
      </c>
    </row>
    <row r="1693" spans="1:7" hidden="1" x14ac:dyDescent="0.15">
      <c r="A1693" s="2200" t="s">
        <v>4280</v>
      </c>
      <c r="B1693" s="2200" t="s">
        <v>7663</v>
      </c>
      <c r="C1693" s="2200" t="s">
        <v>7664</v>
      </c>
      <c r="D1693" s="2200" t="str">
        <f t="shared" si="78"/>
        <v>NE</v>
      </c>
      <c r="E1693" s="2200" t="str">
        <f t="shared" si="79"/>
        <v>31</v>
      </c>
      <c r="F1693" s="2200" t="str">
        <f t="shared" si="80"/>
        <v>071</v>
      </c>
      <c r="G1693" s="2200">
        <f>--SUBTOTAL(3,C$2:C1693)</f>
        <v>67</v>
      </c>
    </row>
    <row r="1694" spans="1:7" hidden="1" x14ac:dyDescent="0.15">
      <c r="A1694" s="2200" t="s">
        <v>4280</v>
      </c>
      <c r="B1694" s="2200" t="s">
        <v>7665</v>
      </c>
      <c r="C1694" s="2200" t="s">
        <v>7666</v>
      </c>
      <c r="D1694" s="2200" t="str">
        <f t="shared" si="78"/>
        <v>NE</v>
      </c>
      <c r="E1694" s="2200" t="str">
        <f t="shared" si="79"/>
        <v>31</v>
      </c>
      <c r="F1694" s="2200" t="str">
        <f t="shared" si="80"/>
        <v>073</v>
      </c>
      <c r="G1694" s="2200">
        <f>--SUBTOTAL(3,C$2:C1694)</f>
        <v>67</v>
      </c>
    </row>
    <row r="1695" spans="1:7" hidden="1" x14ac:dyDescent="0.15">
      <c r="A1695" s="2200" t="s">
        <v>4280</v>
      </c>
      <c r="B1695" s="2200" t="s">
        <v>7667</v>
      </c>
      <c r="C1695" s="2200" t="s">
        <v>7668</v>
      </c>
      <c r="D1695" s="2200" t="str">
        <f t="shared" si="78"/>
        <v>NE</v>
      </c>
      <c r="E1695" s="2200" t="str">
        <f t="shared" si="79"/>
        <v>31</v>
      </c>
      <c r="F1695" s="2200" t="str">
        <f t="shared" si="80"/>
        <v>075</v>
      </c>
      <c r="G1695" s="2200">
        <f>--SUBTOTAL(3,C$2:C1695)</f>
        <v>67</v>
      </c>
    </row>
    <row r="1696" spans="1:7" hidden="1" x14ac:dyDescent="0.15">
      <c r="A1696" s="2200" t="s">
        <v>4280</v>
      </c>
      <c r="B1696" s="2200" t="s">
        <v>7669</v>
      </c>
      <c r="C1696" s="2200" t="s">
        <v>7670</v>
      </c>
      <c r="D1696" s="2200" t="str">
        <f t="shared" si="78"/>
        <v>NE</v>
      </c>
      <c r="E1696" s="2200" t="str">
        <f t="shared" si="79"/>
        <v>31</v>
      </c>
      <c r="F1696" s="2200" t="str">
        <f t="shared" si="80"/>
        <v>077</v>
      </c>
      <c r="G1696" s="2200">
        <f>--SUBTOTAL(3,C$2:C1696)</f>
        <v>67</v>
      </c>
    </row>
    <row r="1697" spans="1:7" hidden="1" x14ac:dyDescent="0.15">
      <c r="A1697" s="2200" t="s">
        <v>4280</v>
      </c>
      <c r="B1697" s="2200" t="s">
        <v>7671</v>
      </c>
      <c r="C1697" s="2200" t="s">
        <v>7672</v>
      </c>
      <c r="D1697" s="2200" t="str">
        <f t="shared" si="78"/>
        <v>NE</v>
      </c>
      <c r="E1697" s="2200" t="str">
        <f t="shared" si="79"/>
        <v>31</v>
      </c>
      <c r="F1697" s="2200" t="str">
        <f t="shared" si="80"/>
        <v>079</v>
      </c>
      <c r="G1697" s="2200">
        <f>--SUBTOTAL(3,C$2:C1697)</f>
        <v>67</v>
      </c>
    </row>
    <row r="1698" spans="1:7" hidden="1" x14ac:dyDescent="0.15">
      <c r="A1698" s="2200" t="s">
        <v>4280</v>
      </c>
      <c r="B1698" s="2200" t="s">
        <v>7673</v>
      </c>
      <c r="C1698" s="2200" t="s">
        <v>7674</v>
      </c>
      <c r="D1698" s="2200" t="str">
        <f t="shared" si="78"/>
        <v>NE</v>
      </c>
      <c r="E1698" s="2200" t="str">
        <f t="shared" si="79"/>
        <v>31</v>
      </c>
      <c r="F1698" s="2200" t="str">
        <f t="shared" si="80"/>
        <v>081</v>
      </c>
      <c r="G1698" s="2200">
        <f>--SUBTOTAL(3,C$2:C1698)</f>
        <v>67</v>
      </c>
    </row>
    <row r="1699" spans="1:7" hidden="1" x14ac:dyDescent="0.15">
      <c r="A1699" s="2200" t="s">
        <v>4280</v>
      </c>
      <c r="B1699" s="2200" t="s">
        <v>7675</v>
      </c>
      <c r="C1699" s="2200" t="s">
        <v>7676</v>
      </c>
      <c r="D1699" s="2200" t="str">
        <f t="shared" si="78"/>
        <v>NE</v>
      </c>
      <c r="E1699" s="2200" t="str">
        <f t="shared" si="79"/>
        <v>31</v>
      </c>
      <c r="F1699" s="2200" t="str">
        <f t="shared" si="80"/>
        <v>083</v>
      </c>
      <c r="G1699" s="2200">
        <f>--SUBTOTAL(3,C$2:C1699)</f>
        <v>67</v>
      </c>
    </row>
    <row r="1700" spans="1:7" hidden="1" x14ac:dyDescent="0.15">
      <c r="A1700" s="2200" t="s">
        <v>4280</v>
      </c>
      <c r="B1700" s="2200" t="s">
        <v>7677</v>
      </c>
      <c r="C1700" s="2200" t="s">
        <v>7678</v>
      </c>
      <c r="D1700" s="2200" t="str">
        <f t="shared" si="78"/>
        <v>NE</v>
      </c>
      <c r="E1700" s="2200" t="str">
        <f t="shared" si="79"/>
        <v>31</v>
      </c>
      <c r="F1700" s="2200" t="str">
        <f t="shared" si="80"/>
        <v>085</v>
      </c>
      <c r="G1700" s="2200">
        <f>--SUBTOTAL(3,C$2:C1700)</f>
        <v>67</v>
      </c>
    </row>
    <row r="1701" spans="1:7" hidden="1" x14ac:dyDescent="0.15">
      <c r="A1701" s="2200" t="s">
        <v>4280</v>
      </c>
      <c r="B1701" s="2200" t="s">
        <v>7679</v>
      </c>
      <c r="C1701" s="2200" t="s">
        <v>7680</v>
      </c>
      <c r="D1701" s="2200" t="str">
        <f t="shared" si="78"/>
        <v>NE</v>
      </c>
      <c r="E1701" s="2200" t="str">
        <f t="shared" si="79"/>
        <v>31</v>
      </c>
      <c r="F1701" s="2200" t="str">
        <f t="shared" si="80"/>
        <v>087</v>
      </c>
      <c r="G1701" s="2200">
        <f>--SUBTOTAL(3,C$2:C1701)</f>
        <v>67</v>
      </c>
    </row>
    <row r="1702" spans="1:7" hidden="1" x14ac:dyDescent="0.15">
      <c r="A1702" s="2200" t="s">
        <v>4280</v>
      </c>
      <c r="B1702" s="2200" t="s">
        <v>7681</v>
      </c>
      <c r="C1702" s="2200" t="s">
        <v>7682</v>
      </c>
      <c r="D1702" s="2200" t="str">
        <f t="shared" si="78"/>
        <v>NE</v>
      </c>
      <c r="E1702" s="2200" t="str">
        <f t="shared" si="79"/>
        <v>31</v>
      </c>
      <c r="F1702" s="2200" t="str">
        <f t="shared" si="80"/>
        <v>089</v>
      </c>
      <c r="G1702" s="2200">
        <f>--SUBTOTAL(3,C$2:C1702)</f>
        <v>67</v>
      </c>
    </row>
    <row r="1703" spans="1:7" hidden="1" x14ac:dyDescent="0.15">
      <c r="A1703" s="2200" t="s">
        <v>4280</v>
      </c>
      <c r="B1703" s="2200" t="s">
        <v>7683</v>
      </c>
      <c r="C1703" s="2200" t="s">
        <v>7684</v>
      </c>
      <c r="D1703" s="2200" t="str">
        <f t="shared" si="78"/>
        <v>NE</v>
      </c>
      <c r="E1703" s="2200" t="str">
        <f t="shared" si="79"/>
        <v>31</v>
      </c>
      <c r="F1703" s="2200" t="str">
        <f t="shared" si="80"/>
        <v>091</v>
      </c>
      <c r="G1703" s="2200">
        <f>--SUBTOTAL(3,C$2:C1703)</f>
        <v>67</v>
      </c>
    </row>
    <row r="1704" spans="1:7" hidden="1" x14ac:dyDescent="0.15">
      <c r="A1704" s="2200" t="s">
        <v>4280</v>
      </c>
      <c r="B1704" s="2200" t="s">
        <v>7685</v>
      </c>
      <c r="C1704" s="2200" t="s">
        <v>7686</v>
      </c>
      <c r="D1704" s="2200" t="str">
        <f t="shared" si="78"/>
        <v>NE</v>
      </c>
      <c r="E1704" s="2200" t="str">
        <f t="shared" si="79"/>
        <v>31</v>
      </c>
      <c r="F1704" s="2200" t="str">
        <f t="shared" si="80"/>
        <v>093</v>
      </c>
      <c r="G1704" s="2200">
        <f>--SUBTOTAL(3,C$2:C1704)</f>
        <v>67</v>
      </c>
    </row>
    <row r="1705" spans="1:7" hidden="1" x14ac:dyDescent="0.15">
      <c r="A1705" s="2200" t="s">
        <v>4280</v>
      </c>
      <c r="B1705" s="2200" t="s">
        <v>7687</v>
      </c>
      <c r="C1705" s="2200" t="s">
        <v>7688</v>
      </c>
      <c r="D1705" s="2200" t="str">
        <f t="shared" si="78"/>
        <v>NE</v>
      </c>
      <c r="E1705" s="2200" t="str">
        <f t="shared" si="79"/>
        <v>31</v>
      </c>
      <c r="F1705" s="2200" t="str">
        <f t="shared" si="80"/>
        <v>095</v>
      </c>
      <c r="G1705" s="2200">
        <f>--SUBTOTAL(3,C$2:C1705)</f>
        <v>67</v>
      </c>
    </row>
    <row r="1706" spans="1:7" hidden="1" x14ac:dyDescent="0.15">
      <c r="A1706" s="2200" t="s">
        <v>4280</v>
      </c>
      <c r="B1706" s="2200" t="s">
        <v>7689</v>
      </c>
      <c r="C1706" s="2200" t="s">
        <v>7690</v>
      </c>
      <c r="D1706" s="2200" t="str">
        <f t="shared" si="78"/>
        <v>NE</v>
      </c>
      <c r="E1706" s="2200" t="str">
        <f t="shared" si="79"/>
        <v>31</v>
      </c>
      <c r="F1706" s="2200" t="str">
        <f t="shared" si="80"/>
        <v>097</v>
      </c>
      <c r="G1706" s="2200">
        <f>--SUBTOTAL(3,C$2:C1706)</f>
        <v>67</v>
      </c>
    </row>
    <row r="1707" spans="1:7" hidden="1" x14ac:dyDescent="0.15">
      <c r="A1707" s="2200" t="s">
        <v>4280</v>
      </c>
      <c r="B1707" s="2200" t="s">
        <v>7691</v>
      </c>
      <c r="C1707" s="2200" t="s">
        <v>7692</v>
      </c>
      <c r="D1707" s="2200" t="str">
        <f t="shared" si="78"/>
        <v>NE</v>
      </c>
      <c r="E1707" s="2200" t="str">
        <f t="shared" si="79"/>
        <v>31</v>
      </c>
      <c r="F1707" s="2200" t="str">
        <f t="shared" si="80"/>
        <v>099</v>
      </c>
      <c r="G1707" s="2200">
        <f>--SUBTOTAL(3,C$2:C1707)</f>
        <v>67</v>
      </c>
    </row>
    <row r="1708" spans="1:7" hidden="1" x14ac:dyDescent="0.15">
      <c r="A1708" s="2200" t="s">
        <v>4280</v>
      </c>
      <c r="B1708" s="2200" t="s">
        <v>7693</v>
      </c>
      <c r="C1708" s="2200" t="s">
        <v>7694</v>
      </c>
      <c r="D1708" s="2200" t="str">
        <f t="shared" si="78"/>
        <v>NE</v>
      </c>
      <c r="E1708" s="2200" t="str">
        <f t="shared" si="79"/>
        <v>31</v>
      </c>
      <c r="F1708" s="2200" t="str">
        <f t="shared" si="80"/>
        <v>101</v>
      </c>
      <c r="G1708" s="2200">
        <f>--SUBTOTAL(3,C$2:C1708)</f>
        <v>67</v>
      </c>
    </row>
    <row r="1709" spans="1:7" hidden="1" x14ac:dyDescent="0.15">
      <c r="A1709" s="2200" t="s">
        <v>4280</v>
      </c>
      <c r="B1709" s="2200" t="s">
        <v>7695</v>
      </c>
      <c r="C1709" s="2200" t="s">
        <v>7696</v>
      </c>
      <c r="D1709" s="2200" t="str">
        <f t="shared" si="78"/>
        <v>NE</v>
      </c>
      <c r="E1709" s="2200" t="str">
        <f t="shared" si="79"/>
        <v>31</v>
      </c>
      <c r="F1709" s="2200" t="str">
        <f t="shared" si="80"/>
        <v>103</v>
      </c>
      <c r="G1709" s="2200">
        <f>--SUBTOTAL(3,C$2:C1709)</f>
        <v>67</v>
      </c>
    </row>
    <row r="1710" spans="1:7" hidden="1" x14ac:dyDescent="0.15">
      <c r="A1710" s="2200" t="s">
        <v>4280</v>
      </c>
      <c r="B1710" s="2200" t="s">
        <v>7697</v>
      </c>
      <c r="C1710" s="2200" t="s">
        <v>7698</v>
      </c>
      <c r="D1710" s="2200" t="str">
        <f t="shared" si="78"/>
        <v>NE</v>
      </c>
      <c r="E1710" s="2200" t="str">
        <f t="shared" si="79"/>
        <v>31</v>
      </c>
      <c r="F1710" s="2200" t="str">
        <f t="shared" si="80"/>
        <v>105</v>
      </c>
      <c r="G1710" s="2200">
        <f>--SUBTOTAL(3,C$2:C1710)</f>
        <v>67</v>
      </c>
    </row>
    <row r="1711" spans="1:7" hidden="1" x14ac:dyDescent="0.15">
      <c r="A1711" s="2200" t="s">
        <v>4280</v>
      </c>
      <c r="B1711" s="2200" t="s">
        <v>7699</v>
      </c>
      <c r="C1711" s="2200" t="s">
        <v>7700</v>
      </c>
      <c r="D1711" s="2200" t="str">
        <f t="shared" si="78"/>
        <v>NE</v>
      </c>
      <c r="E1711" s="2200" t="str">
        <f t="shared" si="79"/>
        <v>31</v>
      </c>
      <c r="F1711" s="2200" t="str">
        <f t="shared" si="80"/>
        <v>107</v>
      </c>
      <c r="G1711" s="2200">
        <f>--SUBTOTAL(3,C$2:C1711)</f>
        <v>67</v>
      </c>
    </row>
    <row r="1712" spans="1:7" hidden="1" x14ac:dyDescent="0.15">
      <c r="A1712" s="2200" t="s">
        <v>4280</v>
      </c>
      <c r="B1712" s="2200" t="s">
        <v>7701</v>
      </c>
      <c r="C1712" s="2200" t="s">
        <v>7702</v>
      </c>
      <c r="D1712" s="2200" t="str">
        <f t="shared" si="78"/>
        <v>NE</v>
      </c>
      <c r="E1712" s="2200" t="str">
        <f t="shared" si="79"/>
        <v>31</v>
      </c>
      <c r="F1712" s="2200" t="str">
        <f t="shared" si="80"/>
        <v>109</v>
      </c>
      <c r="G1712" s="2200">
        <f>--SUBTOTAL(3,C$2:C1712)</f>
        <v>67</v>
      </c>
    </row>
    <row r="1713" spans="1:7" hidden="1" x14ac:dyDescent="0.15">
      <c r="A1713" s="2200" t="s">
        <v>4280</v>
      </c>
      <c r="B1713" s="2200" t="s">
        <v>7703</v>
      </c>
      <c r="C1713" s="2200" t="s">
        <v>7704</v>
      </c>
      <c r="D1713" s="2200" t="str">
        <f t="shared" si="78"/>
        <v>NE</v>
      </c>
      <c r="E1713" s="2200" t="str">
        <f t="shared" si="79"/>
        <v>31</v>
      </c>
      <c r="F1713" s="2200" t="str">
        <f t="shared" si="80"/>
        <v>111</v>
      </c>
      <c r="G1713" s="2200">
        <f>--SUBTOTAL(3,C$2:C1713)</f>
        <v>67</v>
      </c>
    </row>
    <row r="1714" spans="1:7" hidden="1" x14ac:dyDescent="0.15">
      <c r="A1714" s="2200" t="s">
        <v>4280</v>
      </c>
      <c r="B1714" s="2200" t="s">
        <v>7705</v>
      </c>
      <c r="C1714" s="2200" t="s">
        <v>7706</v>
      </c>
      <c r="D1714" s="2200" t="str">
        <f t="shared" si="78"/>
        <v>NE</v>
      </c>
      <c r="E1714" s="2200" t="str">
        <f t="shared" si="79"/>
        <v>31</v>
      </c>
      <c r="F1714" s="2200" t="str">
        <f t="shared" si="80"/>
        <v>113</v>
      </c>
      <c r="G1714" s="2200">
        <f>--SUBTOTAL(3,C$2:C1714)</f>
        <v>67</v>
      </c>
    </row>
    <row r="1715" spans="1:7" hidden="1" x14ac:dyDescent="0.15">
      <c r="A1715" s="2200" t="s">
        <v>4280</v>
      </c>
      <c r="B1715" s="2200" t="s">
        <v>7707</v>
      </c>
      <c r="C1715" s="2200" t="s">
        <v>7708</v>
      </c>
      <c r="D1715" s="2200" t="str">
        <f t="shared" si="78"/>
        <v>NE</v>
      </c>
      <c r="E1715" s="2200" t="str">
        <f t="shared" si="79"/>
        <v>31</v>
      </c>
      <c r="F1715" s="2200" t="str">
        <f t="shared" si="80"/>
        <v>115</v>
      </c>
      <c r="G1715" s="2200">
        <f>--SUBTOTAL(3,C$2:C1715)</f>
        <v>67</v>
      </c>
    </row>
    <row r="1716" spans="1:7" hidden="1" x14ac:dyDescent="0.15">
      <c r="A1716" s="2200" t="s">
        <v>4280</v>
      </c>
      <c r="B1716" s="2200" t="s">
        <v>7709</v>
      </c>
      <c r="C1716" s="2200" t="s">
        <v>7710</v>
      </c>
      <c r="D1716" s="2200" t="str">
        <f t="shared" si="78"/>
        <v>NE</v>
      </c>
      <c r="E1716" s="2200" t="str">
        <f t="shared" si="79"/>
        <v>31</v>
      </c>
      <c r="F1716" s="2200" t="str">
        <f t="shared" si="80"/>
        <v>117</v>
      </c>
      <c r="G1716" s="2200">
        <f>--SUBTOTAL(3,C$2:C1716)</f>
        <v>67</v>
      </c>
    </row>
    <row r="1717" spans="1:7" hidden="1" x14ac:dyDescent="0.15">
      <c r="A1717" s="2200" t="s">
        <v>4280</v>
      </c>
      <c r="B1717" s="2200" t="s">
        <v>7711</v>
      </c>
      <c r="C1717" s="2200" t="s">
        <v>7712</v>
      </c>
      <c r="D1717" s="2200" t="str">
        <f t="shared" si="78"/>
        <v>NE</v>
      </c>
      <c r="E1717" s="2200" t="str">
        <f t="shared" si="79"/>
        <v>31</v>
      </c>
      <c r="F1717" s="2200" t="str">
        <f t="shared" si="80"/>
        <v>119</v>
      </c>
      <c r="G1717" s="2200">
        <f>--SUBTOTAL(3,C$2:C1717)</f>
        <v>67</v>
      </c>
    </row>
    <row r="1718" spans="1:7" hidden="1" x14ac:dyDescent="0.15">
      <c r="A1718" s="2200" t="s">
        <v>4280</v>
      </c>
      <c r="B1718" s="2200" t="s">
        <v>7713</v>
      </c>
      <c r="C1718" s="2200" t="s">
        <v>7714</v>
      </c>
      <c r="D1718" s="2200" t="str">
        <f t="shared" si="78"/>
        <v>NE</v>
      </c>
      <c r="E1718" s="2200" t="str">
        <f t="shared" si="79"/>
        <v>31</v>
      </c>
      <c r="F1718" s="2200" t="str">
        <f t="shared" si="80"/>
        <v>121</v>
      </c>
      <c r="G1718" s="2200">
        <f>--SUBTOTAL(3,C$2:C1718)</f>
        <v>67</v>
      </c>
    </row>
    <row r="1719" spans="1:7" hidden="1" x14ac:dyDescent="0.15">
      <c r="A1719" s="2200" t="s">
        <v>4280</v>
      </c>
      <c r="B1719" s="2200" t="s">
        <v>7715</v>
      </c>
      <c r="C1719" s="2200" t="s">
        <v>7716</v>
      </c>
      <c r="D1719" s="2200" t="str">
        <f t="shared" si="78"/>
        <v>NE</v>
      </c>
      <c r="E1719" s="2200" t="str">
        <f t="shared" si="79"/>
        <v>31</v>
      </c>
      <c r="F1719" s="2200" t="str">
        <f t="shared" si="80"/>
        <v>123</v>
      </c>
      <c r="G1719" s="2200">
        <f>--SUBTOTAL(3,C$2:C1719)</f>
        <v>67</v>
      </c>
    </row>
    <row r="1720" spans="1:7" hidden="1" x14ac:dyDescent="0.15">
      <c r="A1720" s="2200" t="s">
        <v>4280</v>
      </c>
      <c r="B1720" s="2200" t="s">
        <v>7717</v>
      </c>
      <c r="C1720" s="2200" t="s">
        <v>7718</v>
      </c>
      <c r="D1720" s="2200" t="str">
        <f t="shared" si="78"/>
        <v>NE</v>
      </c>
      <c r="E1720" s="2200" t="str">
        <f t="shared" si="79"/>
        <v>31</v>
      </c>
      <c r="F1720" s="2200" t="str">
        <f t="shared" si="80"/>
        <v>125</v>
      </c>
      <c r="G1720" s="2200">
        <f>--SUBTOTAL(3,C$2:C1720)</f>
        <v>67</v>
      </c>
    </row>
    <row r="1721" spans="1:7" hidden="1" x14ac:dyDescent="0.15">
      <c r="A1721" s="2200" t="s">
        <v>4280</v>
      </c>
      <c r="B1721" s="2200" t="s">
        <v>7719</v>
      </c>
      <c r="C1721" s="2200" t="s">
        <v>7720</v>
      </c>
      <c r="D1721" s="2200" t="str">
        <f t="shared" si="78"/>
        <v>NE</v>
      </c>
      <c r="E1721" s="2200" t="str">
        <f t="shared" si="79"/>
        <v>31</v>
      </c>
      <c r="F1721" s="2200" t="str">
        <f t="shared" si="80"/>
        <v>127</v>
      </c>
      <c r="G1721" s="2200">
        <f>--SUBTOTAL(3,C$2:C1721)</f>
        <v>67</v>
      </c>
    </row>
    <row r="1722" spans="1:7" hidden="1" x14ac:dyDescent="0.15">
      <c r="A1722" s="2200" t="s">
        <v>4280</v>
      </c>
      <c r="B1722" s="2200" t="s">
        <v>7721</v>
      </c>
      <c r="C1722" s="2200" t="s">
        <v>7722</v>
      </c>
      <c r="D1722" s="2200" t="str">
        <f t="shared" si="78"/>
        <v>NE</v>
      </c>
      <c r="E1722" s="2200" t="str">
        <f t="shared" si="79"/>
        <v>31</v>
      </c>
      <c r="F1722" s="2200" t="str">
        <f t="shared" si="80"/>
        <v>129</v>
      </c>
      <c r="G1722" s="2200">
        <f>--SUBTOTAL(3,C$2:C1722)</f>
        <v>67</v>
      </c>
    </row>
    <row r="1723" spans="1:7" hidden="1" x14ac:dyDescent="0.15">
      <c r="A1723" s="2200" t="s">
        <v>4280</v>
      </c>
      <c r="B1723" s="2200" t="s">
        <v>7723</v>
      </c>
      <c r="C1723" s="2200" t="s">
        <v>7724</v>
      </c>
      <c r="D1723" s="2200" t="str">
        <f t="shared" si="78"/>
        <v>NE</v>
      </c>
      <c r="E1723" s="2200" t="str">
        <f t="shared" si="79"/>
        <v>31</v>
      </c>
      <c r="F1723" s="2200" t="str">
        <f t="shared" si="80"/>
        <v>131</v>
      </c>
      <c r="G1723" s="2200">
        <f>--SUBTOTAL(3,C$2:C1723)</f>
        <v>67</v>
      </c>
    </row>
    <row r="1724" spans="1:7" hidden="1" x14ac:dyDescent="0.15">
      <c r="A1724" s="2200" t="s">
        <v>4280</v>
      </c>
      <c r="B1724" s="2200" t="s">
        <v>7725</v>
      </c>
      <c r="C1724" s="2200" t="s">
        <v>7726</v>
      </c>
      <c r="D1724" s="2200" t="str">
        <f t="shared" si="78"/>
        <v>NE</v>
      </c>
      <c r="E1724" s="2200" t="str">
        <f t="shared" si="79"/>
        <v>31</v>
      </c>
      <c r="F1724" s="2200" t="str">
        <f t="shared" si="80"/>
        <v>133</v>
      </c>
      <c r="G1724" s="2200">
        <f>--SUBTOTAL(3,C$2:C1724)</f>
        <v>67</v>
      </c>
    </row>
    <row r="1725" spans="1:7" hidden="1" x14ac:dyDescent="0.15">
      <c r="A1725" s="2200" t="s">
        <v>4280</v>
      </c>
      <c r="B1725" s="2200" t="s">
        <v>7727</v>
      </c>
      <c r="C1725" s="2200" t="s">
        <v>7728</v>
      </c>
      <c r="D1725" s="2200" t="str">
        <f t="shared" si="78"/>
        <v>NE</v>
      </c>
      <c r="E1725" s="2200" t="str">
        <f t="shared" si="79"/>
        <v>31</v>
      </c>
      <c r="F1725" s="2200" t="str">
        <f t="shared" si="80"/>
        <v>135</v>
      </c>
      <c r="G1725" s="2200">
        <f>--SUBTOTAL(3,C$2:C1725)</f>
        <v>67</v>
      </c>
    </row>
    <row r="1726" spans="1:7" hidden="1" x14ac:dyDescent="0.15">
      <c r="A1726" s="2200" t="s">
        <v>4280</v>
      </c>
      <c r="B1726" s="2200" t="s">
        <v>7729</v>
      </c>
      <c r="C1726" s="2200" t="s">
        <v>7730</v>
      </c>
      <c r="D1726" s="2200" t="str">
        <f t="shared" si="78"/>
        <v>NE</v>
      </c>
      <c r="E1726" s="2200" t="str">
        <f t="shared" si="79"/>
        <v>31</v>
      </c>
      <c r="F1726" s="2200" t="str">
        <f t="shared" si="80"/>
        <v>137</v>
      </c>
      <c r="G1726" s="2200">
        <f>--SUBTOTAL(3,C$2:C1726)</f>
        <v>67</v>
      </c>
    </row>
    <row r="1727" spans="1:7" hidden="1" x14ac:dyDescent="0.15">
      <c r="A1727" s="2200" t="s">
        <v>4280</v>
      </c>
      <c r="B1727" s="2200" t="s">
        <v>7731</v>
      </c>
      <c r="C1727" s="2200" t="s">
        <v>7732</v>
      </c>
      <c r="D1727" s="2200" t="str">
        <f t="shared" si="78"/>
        <v>NE</v>
      </c>
      <c r="E1727" s="2200" t="str">
        <f t="shared" si="79"/>
        <v>31</v>
      </c>
      <c r="F1727" s="2200" t="str">
        <f t="shared" si="80"/>
        <v>139</v>
      </c>
      <c r="G1727" s="2200">
        <f>--SUBTOTAL(3,C$2:C1727)</f>
        <v>67</v>
      </c>
    </row>
    <row r="1728" spans="1:7" hidden="1" x14ac:dyDescent="0.15">
      <c r="A1728" s="2200" t="s">
        <v>4280</v>
      </c>
      <c r="B1728" s="2200" t="s">
        <v>7733</v>
      </c>
      <c r="C1728" s="2200" t="s">
        <v>7734</v>
      </c>
      <c r="D1728" s="2200" t="str">
        <f t="shared" si="78"/>
        <v>NE</v>
      </c>
      <c r="E1728" s="2200" t="str">
        <f t="shared" si="79"/>
        <v>31</v>
      </c>
      <c r="F1728" s="2200" t="str">
        <f t="shared" si="80"/>
        <v>141</v>
      </c>
      <c r="G1728" s="2200">
        <f>--SUBTOTAL(3,C$2:C1728)</f>
        <v>67</v>
      </c>
    </row>
    <row r="1729" spans="1:7" hidden="1" x14ac:dyDescent="0.15">
      <c r="A1729" s="2200" t="s">
        <v>4280</v>
      </c>
      <c r="B1729" s="2200" t="s">
        <v>7735</v>
      </c>
      <c r="C1729" s="2200" t="s">
        <v>7736</v>
      </c>
      <c r="D1729" s="2200" t="str">
        <f t="shared" si="78"/>
        <v>NE</v>
      </c>
      <c r="E1729" s="2200" t="str">
        <f t="shared" si="79"/>
        <v>31</v>
      </c>
      <c r="F1729" s="2200" t="str">
        <f t="shared" si="80"/>
        <v>143</v>
      </c>
      <c r="G1729" s="2200">
        <f>--SUBTOTAL(3,C$2:C1729)</f>
        <v>67</v>
      </c>
    </row>
    <row r="1730" spans="1:7" hidden="1" x14ac:dyDescent="0.15">
      <c r="A1730" s="2200" t="s">
        <v>4280</v>
      </c>
      <c r="B1730" s="2200" t="s">
        <v>7737</v>
      </c>
      <c r="C1730" s="2200" t="s">
        <v>7738</v>
      </c>
      <c r="D1730" s="2200" t="str">
        <f t="shared" si="78"/>
        <v>NE</v>
      </c>
      <c r="E1730" s="2200" t="str">
        <f t="shared" si="79"/>
        <v>31</v>
      </c>
      <c r="F1730" s="2200" t="str">
        <f t="shared" si="80"/>
        <v>145</v>
      </c>
      <c r="G1730" s="2200">
        <f>--SUBTOTAL(3,C$2:C1730)</f>
        <v>67</v>
      </c>
    </row>
    <row r="1731" spans="1:7" hidden="1" x14ac:dyDescent="0.15">
      <c r="A1731" s="2200" t="s">
        <v>4280</v>
      </c>
      <c r="B1731" s="2200" t="s">
        <v>7739</v>
      </c>
      <c r="C1731" s="2200" t="s">
        <v>7740</v>
      </c>
      <c r="D1731" s="2200" t="str">
        <f t="shared" ref="D1731:D1794" si="81">RIGHT(C1731,2)</f>
        <v>NE</v>
      </c>
      <c r="E1731" s="2200" t="str">
        <f t="shared" ref="E1731:E1794" si="82">MID(B1731,3,2)</f>
        <v>31</v>
      </c>
      <c r="F1731" s="2200" t="str">
        <f t="shared" ref="F1731:F1794" si="83">MID(B1731,5,3)</f>
        <v>147</v>
      </c>
      <c r="G1731" s="2200">
        <f>--SUBTOTAL(3,C$2:C1731)</f>
        <v>67</v>
      </c>
    </row>
    <row r="1732" spans="1:7" hidden="1" x14ac:dyDescent="0.15">
      <c r="A1732" s="2200" t="s">
        <v>4280</v>
      </c>
      <c r="B1732" s="2200" t="s">
        <v>7741</v>
      </c>
      <c r="C1732" s="2200" t="s">
        <v>7742</v>
      </c>
      <c r="D1732" s="2200" t="str">
        <f t="shared" si="81"/>
        <v>NE</v>
      </c>
      <c r="E1732" s="2200" t="str">
        <f t="shared" si="82"/>
        <v>31</v>
      </c>
      <c r="F1732" s="2200" t="str">
        <f t="shared" si="83"/>
        <v>149</v>
      </c>
      <c r="G1732" s="2200">
        <f>--SUBTOTAL(3,C$2:C1732)</f>
        <v>67</v>
      </c>
    </row>
    <row r="1733" spans="1:7" hidden="1" x14ac:dyDescent="0.15">
      <c r="A1733" s="2200" t="s">
        <v>4280</v>
      </c>
      <c r="B1733" s="2200" t="s">
        <v>7743</v>
      </c>
      <c r="C1733" s="2200" t="s">
        <v>7744</v>
      </c>
      <c r="D1733" s="2200" t="str">
        <f t="shared" si="81"/>
        <v>NE</v>
      </c>
      <c r="E1733" s="2200" t="str">
        <f t="shared" si="82"/>
        <v>31</v>
      </c>
      <c r="F1733" s="2200" t="str">
        <f t="shared" si="83"/>
        <v>151</v>
      </c>
      <c r="G1733" s="2200">
        <f>--SUBTOTAL(3,C$2:C1733)</f>
        <v>67</v>
      </c>
    </row>
    <row r="1734" spans="1:7" hidden="1" x14ac:dyDescent="0.15">
      <c r="A1734" s="2200" t="s">
        <v>4280</v>
      </c>
      <c r="B1734" s="2200" t="s">
        <v>7745</v>
      </c>
      <c r="C1734" s="2200" t="s">
        <v>7746</v>
      </c>
      <c r="D1734" s="2200" t="str">
        <f t="shared" si="81"/>
        <v>NE</v>
      </c>
      <c r="E1734" s="2200" t="str">
        <f t="shared" si="82"/>
        <v>31</v>
      </c>
      <c r="F1734" s="2200" t="str">
        <f t="shared" si="83"/>
        <v>153</v>
      </c>
      <c r="G1734" s="2200">
        <f>--SUBTOTAL(3,C$2:C1734)</f>
        <v>67</v>
      </c>
    </row>
    <row r="1735" spans="1:7" hidden="1" x14ac:dyDescent="0.15">
      <c r="A1735" s="2200" t="s">
        <v>4280</v>
      </c>
      <c r="B1735" s="2200" t="s">
        <v>7747</v>
      </c>
      <c r="C1735" s="2200" t="s">
        <v>7748</v>
      </c>
      <c r="D1735" s="2200" t="str">
        <f t="shared" si="81"/>
        <v>NE</v>
      </c>
      <c r="E1735" s="2200" t="str">
        <f t="shared" si="82"/>
        <v>31</v>
      </c>
      <c r="F1735" s="2200" t="str">
        <f t="shared" si="83"/>
        <v>155</v>
      </c>
      <c r="G1735" s="2200">
        <f>--SUBTOTAL(3,C$2:C1735)</f>
        <v>67</v>
      </c>
    </row>
    <row r="1736" spans="1:7" hidden="1" x14ac:dyDescent="0.15">
      <c r="A1736" s="2200" t="s">
        <v>4280</v>
      </c>
      <c r="B1736" s="2200" t="s">
        <v>7749</v>
      </c>
      <c r="C1736" s="2200" t="s">
        <v>7750</v>
      </c>
      <c r="D1736" s="2200" t="str">
        <f t="shared" si="81"/>
        <v>NE</v>
      </c>
      <c r="E1736" s="2200" t="str">
        <f t="shared" si="82"/>
        <v>31</v>
      </c>
      <c r="F1736" s="2200" t="str">
        <f t="shared" si="83"/>
        <v>157</v>
      </c>
      <c r="G1736" s="2200">
        <f>--SUBTOTAL(3,C$2:C1736)</f>
        <v>67</v>
      </c>
    </row>
    <row r="1737" spans="1:7" hidden="1" x14ac:dyDescent="0.15">
      <c r="A1737" s="2200" t="s">
        <v>4280</v>
      </c>
      <c r="B1737" s="2200" t="s">
        <v>7751</v>
      </c>
      <c r="C1737" s="2200" t="s">
        <v>7752</v>
      </c>
      <c r="D1737" s="2200" t="str">
        <f t="shared" si="81"/>
        <v>NE</v>
      </c>
      <c r="E1737" s="2200" t="str">
        <f t="shared" si="82"/>
        <v>31</v>
      </c>
      <c r="F1737" s="2200" t="str">
        <f t="shared" si="83"/>
        <v>159</v>
      </c>
      <c r="G1737" s="2200">
        <f>--SUBTOTAL(3,C$2:C1737)</f>
        <v>67</v>
      </c>
    </row>
    <row r="1738" spans="1:7" hidden="1" x14ac:dyDescent="0.15">
      <c r="A1738" s="2200" t="s">
        <v>4280</v>
      </c>
      <c r="B1738" s="2200" t="s">
        <v>7753</v>
      </c>
      <c r="C1738" s="2200" t="s">
        <v>7754</v>
      </c>
      <c r="D1738" s="2200" t="str">
        <f t="shared" si="81"/>
        <v>NE</v>
      </c>
      <c r="E1738" s="2200" t="str">
        <f t="shared" si="82"/>
        <v>31</v>
      </c>
      <c r="F1738" s="2200" t="str">
        <f t="shared" si="83"/>
        <v>161</v>
      </c>
      <c r="G1738" s="2200">
        <f>--SUBTOTAL(3,C$2:C1738)</f>
        <v>67</v>
      </c>
    </row>
    <row r="1739" spans="1:7" hidden="1" x14ac:dyDescent="0.15">
      <c r="A1739" s="2200" t="s">
        <v>4280</v>
      </c>
      <c r="B1739" s="2200" t="s">
        <v>7755</v>
      </c>
      <c r="C1739" s="2200" t="s">
        <v>7756</v>
      </c>
      <c r="D1739" s="2200" t="str">
        <f t="shared" si="81"/>
        <v>NE</v>
      </c>
      <c r="E1739" s="2200" t="str">
        <f t="shared" si="82"/>
        <v>31</v>
      </c>
      <c r="F1739" s="2200" t="str">
        <f t="shared" si="83"/>
        <v>163</v>
      </c>
      <c r="G1739" s="2200">
        <f>--SUBTOTAL(3,C$2:C1739)</f>
        <v>67</v>
      </c>
    </row>
    <row r="1740" spans="1:7" hidden="1" x14ac:dyDescent="0.15">
      <c r="A1740" s="2200" t="s">
        <v>4280</v>
      </c>
      <c r="B1740" s="2200" t="s">
        <v>7757</v>
      </c>
      <c r="C1740" s="2200" t="s">
        <v>7758</v>
      </c>
      <c r="D1740" s="2200" t="str">
        <f t="shared" si="81"/>
        <v>NE</v>
      </c>
      <c r="E1740" s="2200" t="str">
        <f t="shared" si="82"/>
        <v>31</v>
      </c>
      <c r="F1740" s="2200" t="str">
        <f t="shared" si="83"/>
        <v>165</v>
      </c>
      <c r="G1740" s="2200">
        <f>--SUBTOTAL(3,C$2:C1740)</f>
        <v>67</v>
      </c>
    </row>
    <row r="1741" spans="1:7" hidden="1" x14ac:dyDescent="0.15">
      <c r="A1741" s="2200" t="s">
        <v>4280</v>
      </c>
      <c r="B1741" s="2200" t="s">
        <v>7759</v>
      </c>
      <c r="C1741" s="2200" t="s">
        <v>7760</v>
      </c>
      <c r="D1741" s="2200" t="str">
        <f t="shared" si="81"/>
        <v>NE</v>
      </c>
      <c r="E1741" s="2200" t="str">
        <f t="shared" si="82"/>
        <v>31</v>
      </c>
      <c r="F1741" s="2200" t="str">
        <f t="shared" si="83"/>
        <v>167</v>
      </c>
      <c r="G1741" s="2200">
        <f>--SUBTOTAL(3,C$2:C1741)</f>
        <v>67</v>
      </c>
    </row>
    <row r="1742" spans="1:7" hidden="1" x14ac:dyDescent="0.15">
      <c r="A1742" s="2200" t="s">
        <v>4280</v>
      </c>
      <c r="B1742" s="2200" t="s">
        <v>7761</v>
      </c>
      <c r="C1742" s="2200" t="s">
        <v>7762</v>
      </c>
      <c r="D1742" s="2200" t="str">
        <f t="shared" si="81"/>
        <v>NE</v>
      </c>
      <c r="E1742" s="2200" t="str">
        <f t="shared" si="82"/>
        <v>31</v>
      </c>
      <c r="F1742" s="2200" t="str">
        <f t="shared" si="83"/>
        <v>169</v>
      </c>
      <c r="G1742" s="2200">
        <f>--SUBTOTAL(3,C$2:C1742)</f>
        <v>67</v>
      </c>
    </row>
    <row r="1743" spans="1:7" hidden="1" x14ac:dyDescent="0.15">
      <c r="A1743" s="2200" t="s">
        <v>4280</v>
      </c>
      <c r="B1743" s="2200" t="s">
        <v>7763</v>
      </c>
      <c r="C1743" s="2200" t="s">
        <v>7764</v>
      </c>
      <c r="D1743" s="2200" t="str">
        <f t="shared" si="81"/>
        <v>NE</v>
      </c>
      <c r="E1743" s="2200" t="str">
        <f t="shared" si="82"/>
        <v>31</v>
      </c>
      <c r="F1743" s="2200" t="str">
        <f t="shared" si="83"/>
        <v>171</v>
      </c>
      <c r="G1743" s="2200">
        <f>--SUBTOTAL(3,C$2:C1743)</f>
        <v>67</v>
      </c>
    </row>
    <row r="1744" spans="1:7" hidden="1" x14ac:dyDescent="0.15">
      <c r="A1744" s="2200" t="s">
        <v>4280</v>
      </c>
      <c r="B1744" s="2200" t="s">
        <v>7765</v>
      </c>
      <c r="C1744" s="2200" t="s">
        <v>7766</v>
      </c>
      <c r="D1744" s="2200" t="str">
        <f t="shared" si="81"/>
        <v>NE</v>
      </c>
      <c r="E1744" s="2200" t="str">
        <f t="shared" si="82"/>
        <v>31</v>
      </c>
      <c r="F1744" s="2200" t="str">
        <f t="shared" si="83"/>
        <v>173</v>
      </c>
      <c r="G1744" s="2200">
        <f>--SUBTOTAL(3,C$2:C1744)</f>
        <v>67</v>
      </c>
    </row>
    <row r="1745" spans="1:7" hidden="1" x14ac:dyDescent="0.15">
      <c r="A1745" s="2200" t="s">
        <v>4280</v>
      </c>
      <c r="B1745" s="2200" t="s">
        <v>7767</v>
      </c>
      <c r="C1745" s="2200" t="s">
        <v>7768</v>
      </c>
      <c r="D1745" s="2200" t="str">
        <f t="shared" si="81"/>
        <v>NE</v>
      </c>
      <c r="E1745" s="2200" t="str">
        <f t="shared" si="82"/>
        <v>31</v>
      </c>
      <c r="F1745" s="2200" t="str">
        <f t="shared" si="83"/>
        <v>175</v>
      </c>
      <c r="G1745" s="2200">
        <f>--SUBTOTAL(3,C$2:C1745)</f>
        <v>67</v>
      </c>
    </row>
    <row r="1746" spans="1:7" hidden="1" x14ac:dyDescent="0.15">
      <c r="A1746" s="2200" t="s">
        <v>4280</v>
      </c>
      <c r="B1746" s="2200" t="s">
        <v>7769</v>
      </c>
      <c r="C1746" s="2200" t="s">
        <v>7770</v>
      </c>
      <c r="D1746" s="2200" t="str">
        <f t="shared" si="81"/>
        <v>NE</v>
      </c>
      <c r="E1746" s="2200" t="str">
        <f t="shared" si="82"/>
        <v>31</v>
      </c>
      <c r="F1746" s="2200" t="str">
        <f t="shared" si="83"/>
        <v>177</v>
      </c>
      <c r="G1746" s="2200">
        <f>--SUBTOTAL(3,C$2:C1746)</f>
        <v>67</v>
      </c>
    </row>
    <row r="1747" spans="1:7" hidden="1" x14ac:dyDescent="0.15">
      <c r="A1747" s="2200" t="s">
        <v>4280</v>
      </c>
      <c r="B1747" s="2200" t="s">
        <v>7771</v>
      </c>
      <c r="C1747" s="2200" t="s">
        <v>7772</v>
      </c>
      <c r="D1747" s="2200" t="str">
        <f t="shared" si="81"/>
        <v>NE</v>
      </c>
      <c r="E1747" s="2200" t="str">
        <f t="shared" si="82"/>
        <v>31</v>
      </c>
      <c r="F1747" s="2200" t="str">
        <f t="shared" si="83"/>
        <v>179</v>
      </c>
      <c r="G1747" s="2200">
        <f>--SUBTOTAL(3,C$2:C1747)</f>
        <v>67</v>
      </c>
    </row>
    <row r="1748" spans="1:7" hidden="1" x14ac:dyDescent="0.15">
      <c r="A1748" s="2200" t="s">
        <v>4280</v>
      </c>
      <c r="B1748" s="2200" t="s">
        <v>7773</v>
      </c>
      <c r="C1748" s="2200" t="s">
        <v>7774</v>
      </c>
      <c r="D1748" s="2200" t="str">
        <f t="shared" si="81"/>
        <v>NE</v>
      </c>
      <c r="E1748" s="2200" t="str">
        <f t="shared" si="82"/>
        <v>31</v>
      </c>
      <c r="F1748" s="2200" t="str">
        <f t="shared" si="83"/>
        <v>181</v>
      </c>
      <c r="G1748" s="2200">
        <f>--SUBTOTAL(3,C$2:C1748)</f>
        <v>67</v>
      </c>
    </row>
    <row r="1749" spans="1:7" hidden="1" x14ac:dyDescent="0.15">
      <c r="A1749" s="2200" t="s">
        <v>4280</v>
      </c>
      <c r="B1749" s="2200" t="s">
        <v>7775</v>
      </c>
      <c r="C1749" s="2200" t="s">
        <v>7776</v>
      </c>
      <c r="D1749" s="2200" t="str">
        <f t="shared" si="81"/>
        <v>NE</v>
      </c>
      <c r="E1749" s="2200" t="str">
        <f t="shared" si="82"/>
        <v>31</v>
      </c>
      <c r="F1749" s="2200" t="str">
        <f t="shared" si="83"/>
        <v>183</v>
      </c>
      <c r="G1749" s="2200">
        <f>--SUBTOTAL(3,C$2:C1749)</f>
        <v>67</v>
      </c>
    </row>
    <row r="1750" spans="1:7" hidden="1" x14ac:dyDescent="0.15">
      <c r="A1750" s="2200" t="s">
        <v>4280</v>
      </c>
      <c r="B1750" s="2200" t="s">
        <v>7777</v>
      </c>
      <c r="C1750" s="2200" t="s">
        <v>7778</v>
      </c>
      <c r="D1750" s="2200" t="str">
        <f t="shared" si="81"/>
        <v>NE</v>
      </c>
      <c r="E1750" s="2200" t="str">
        <f t="shared" si="82"/>
        <v>31</v>
      </c>
      <c r="F1750" s="2200" t="str">
        <f t="shared" si="83"/>
        <v>185</v>
      </c>
      <c r="G1750" s="2200">
        <f>--SUBTOTAL(3,C$2:C1750)</f>
        <v>67</v>
      </c>
    </row>
    <row r="1751" spans="1:7" hidden="1" x14ac:dyDescent="0.15">
      <c r="A1751" s="2200" t="s">
        <v>4280</v>
      </c>
      <c r="B1751" s="2200" t="s">
        <v>7779</v>
      </c>
      <c r="C1751" s="2200" t="s">
        <v>7780</v>
      </c>
      <c r="D1751" s="2200" t="str">
        <f t="shared" si="81"/>
        <v>NV</v>
      </c>
      <c r="E1751" s="2200" t="str">
        <f t="shared" si="82"/>
        <v>32</v>
      </c>
      <c r="F1751" s="2200" t="str">
        <f t="shared" si="83"/>
        <v>001</v>
      </c>
      <c r="G1751" s="2200">
        <f>--SUBTOTAL(3,C$2:C1751)</f>
        <v>67</v>
      </c>
    </row>
    <row r="1752" spans="1:7" hidden="1" x14ac:dyDescent="0.15">
      <c r="A1752" s="2200" t="s">
        <v>4280</v>
      </c>
      <c r="B1752" s="2200" t="s">
        <v>7781</v>
      </c>
      <c r="C1752" s="2200" t="s">
        <v>7782</v>
      </c>
      <c r="D1752" s="2200" t="str">
        <f t="shared" si="81"/>
        <v>NV</v>
      </c>
      <c r="E1752" s="2200" t="str">
        <f t="shared" si="82"/>
        <v>32</v>
      </c>
      <c r="F1752" s="2200" t="str">
        <f t="shared" si="83"/>
        <v>003</v>
      </c>
      <c r="G1752" s="2200">
        <f>--SUBTOTAL(3,C$2:C1752)</f>
        <v>67</v>
      </c>
    </row>
    <row r="1753" spans="1:7" hidden="1" x14ac:dyDescent="0.15">
      <c r="A1753" s="2200" t="s">
        <v>4280</v>
      </c>
      <c r="B1753" s="2200" t="s">
        <v>7783</v>
      </c>
      <c r="C1753" s="2200" t="s">
        <v>7784</v>
      </c>
      <c r="D1753" s="2200" t="str">
        <f t="shared" si="81"/>
        <v>NV</v>
      </c>
      <c r="E1753" s="2200" t="str">
        <f t="shared" si="82"/>
        <v>32</v>
      </c>
      <c r="F1753" s="2200" t="str">
        <f t="shared" si="83"/>
        <v>005</v>
      </c>
      <c r="G1753" s="2200">
        <f>--SUBTOTAL(3,C$2:C1753)</f>
        <v>67</v>
      </c>
    </row>
    <row r="1754" spans="1:7" hidden="1" x14ac:dyDescent="0.15">
      <c r="A1754" s="2200" t="s">
        <v>4280</v>
      </c>
      <c r="B1754" s="2200" t="s">
        <v>7785</v>
      </c>
      <c r="C1754" s="2200" t="s">
        <v>7786</v>
      </c>
      <c r="D1754" s="2200" t="str">
        <f t="shared" si="81"/>
        <v>NV</v>
      </c>
      <c r="E1754" s="2200" t="str">
        <f t="shared" si="82"/>
        <v>32</v>
      </c>
      <c r="F1754" s="2200" t="str">
        <f t="shared" si="83"/>
        <v>007</v>
      </c>
      <c r="G1754" s="2200">
        <f>--SUBTOTAL(3,C$2:C1754)</f>
        <v>67</v>
      </c>
    </row>
    <row r="1755" spans="1:7" hidden="1" x14ac:dyDescent="0.15">
      <c r="A1755" s="2200" t="s">
        <v>4280</v>
      </c>
      <c r="B1755" s="2200" t="s">
        <v>7787</v>
      </c>
      <c r="C1755" s="2200" t="s">
        <v>7788</v>
      </c>
      <c r="D1755" s="2200" t="str">
        <f t="shared" si="81"/>
        <v>NV</v>
      </c>
      <c r="E1755" s="2200" t="str">
        <f t="shared" si="82"/>
        <v>32</v>
      </c>
      <c r="F1755" s="2200" t="str">
        <f t="shared" si="83"/>
        <v>009</v>
      </c>
      <c r="G1755" s="2200">
        <f>--SUBTOTAL(3,C$2:C1755)</f>
        <v>67</v>
      </c>
    </row>
    <row r="1756" spans="1:7" hidden="1" x14ac:dyDescent="0.15">
      <c r="A1756" s="2200" t="s">
        <v>4280</v>
      </c>
      <c r="B1756" s="2200" t="s">
        <v>7789</v>
      </c>
      <c r="C1756" s="2200" t="s">
        <v>7790</v>
      </c>
      <c r="D1756" s="2200" t="str">
        <f t="shared" si="81"/>
        <v>NV</v>
      </c>
      <c r="E1756" s="2200" t="str">
        <f t="shared" si="82"/>
        <v>32</v>
      </c>
      <c r="F1756" s="2200" t="str">
        <f t="shared" si="83"/>
        <v>011</v>
      </c>
      <c r="G1756" s="2200">
        <f>--SUBTOTAL(3,C$2:C1756)</f>
        <v>67</v>
      </c>
    </row>
    <row r="1757" spans="1:7" hidden="1" x14ac:dyDescent="0.15">
      <c r="A1757" s="2200" t="s">
        <v>4280</v>
      </c>
      <c r="B1757" s="2200" t="s">
        <v>7791</v>
      </c>
      <c r="C1757" s="2200" t="s">
        <v>7792</v>
      </c>
      <c r="D1757" s="2200" t="str">
        <f t="shared" si="81"/>
        <v>NV</v>
      </c>
      <c r="E1757" s="2200" t="str">
        <f t="shared" si="82"/>
        <v>32</v>
      </c>
      <c r="F1757" s="2200" t="str">
        <f t="shared" si="83"/>
        <v>013</v>
      </c>
      <c r="G1757" s="2200">
        <f>--SUBTOTAL(3,C$2:C1757)</f>
        <v>67</v>
      </c>
    </row>
    <row r="1758" spans="1:7" hidden="1" x14ac:dyDescent="0.15">
      <c r="A1758" s="2200" t="s">
        <v>4280</v>
      </c>
      <c r="B1758" s="2200" t="s">
        <v>7793</v>
      </c>
      <c r="C1758" s="2200" t="s">
        <v>7794</v>
      </c>
      <c r="D1758" s="2200" t="str">
        <f t="shared" si="81"/>
        <v>NV</v>
      </c>
      <c r="E1758" s="2200" t="str">
        <f t="shared" si="82"/>
        <v>32</v>
      </c>
      <c r="F1758" s="2200" t="str">
        <f t="shared" si="83"/>
        <v>015</v>
      </c>
      <c r="G1758" s="2200">
        <f>--SUBTOTAL(3,C$2:C1758)</f>
        <v>67</v>
      </c>
    </row>
    <row r="1759" spans="1:7" hidden="1" x14ac:dyDescent="0.15">
      <c r="A1759" s="2200" t="s">
        <v>4280</v>
      </c>
      <c r="B1759" s="2200" t="s">
        <v>7795</v>
      </c>
      <c r="C1759" s="2200" t="s">
        <v>7796</v>
      </c>
      <c r="D1759" s="2200" t="str">
        <f t="shared" si="81"/>
        <v>NV</v>
      </c>
      <c r="E1759" s="2200" t="str">
        <f t="shared" si="82"/>
        <v>32</v>
      </c>
      <c r="F1759" s="2200" t="str">
        <f t="shared" si="83"/>
        <v>017</v>
      </c>
      <c r="G1759" s="2200">
        <f>--SUBTOTAL(3,C$2:C1759)</f>
        <v>67</v>
      </c>
    </row>
    <row r="1760" spans="1:7" hidden="1" x14ac:dyDescent="0.15">
      <c r="A1760" s="2200" t="s">
        <v>4280</v>
      </c>
      <c r="B1760" s="2200" t="s">
        <v>7797</v>
      </c>
      <c r="C1760" s="2200" t="s">
        <v>7798</v>
      </c>
      <c r="D1760" s="2200" t="str">
        <f t="shared" si="81"/>
        <v>NV</v>
      </c>
      <c r="E1760" s="2200" t="str">
        <f t="shared" si="82"/>
        <v>32</v>
      </c>
      <c r="F1760" s="2200" t="str">
        <f t="shared" si="83"/>
        <v>019</v>
      </c>
      <c r="G1760" s="2200">
        <f>--SUBTOTAL(3,C$2:C1760)</f>
        <v>67</v>
      </c>
    </row>
    <row r="1761" spans="1:7" hidden="1" x14ac:dyDescent="0.15">
      <c r="A1761" s="2200" t="s">
        <v>4280</v>
      </c>
      <c r="B1761" s="2200" t="s">
        <v>7799</v>
      </c>
      <c r="C1761" s="2200" t="s">
        <v>7800</v>
      </c>
      <c r="D1761" s="2200" t="str">
        <f t="shared" si="81"/>
        <v>NV</v>
      </c>
      <c r="E1761" s="2200" t="str">
        <f t="shared" si="82"/>
        <v>32</v>
      </c>
      <c r="F1761" s="2200" t="str">
        <f t="shared" si="83"/>
        <v>021</v>
      </c>
      <c r="G1761" s="2200">
        <f>--SUBTOTAL(3,C$2:C1761)</f>
        <v>67</v>
      </c>
    </row>
    <row r="1762" spans="1:7" hidden="1" x14ac:dyDescent="0.15">
      <c r="A1762" s="2200" t="s">
        <v>4280</v>
      </c>
      <c r="B1762" s="2200" t="s">
        <v>7801</v>
      </c>
      <c r="C1762" s="2200" t="s">
        <v>7802</v>
      </c>
      <c r="D1762" s="2200" t="str">
        <f t="shared" si="81"/>
        <v>NV</v>
      </c>
      <c r="E1762" s="2200" t="str">
        <f t="shared" si="82"/>
        <v>32</v>
      </c>
      <c r="F1762" s="2200" t="str">
        <f t="shared" si="83"/>
        <v>023</v>
      </c>
      <c r="G1762" s="2200">
        <f>--SUBTOTAL(3,C$2:C1762)</f>
        <v>67</v>
      </c>
    </row>
    <row r="1763" spans="1:7" hidden="1" x14ac:dyDescent="0.15">
      <c r="A1763" s="2200" t="s">
        <v>4280</v>
      </c>
      <c r="B1763" s="2200" t="s">
        <v>7803</v>
      </c>
      <c r="C1763" s="2200" t="s">
        <v>7804</v>
      </c>
      <c r="D1763" s="2200" t="str">
        <f t="shared" si="81"/>
        <v>NV</v>
      </c>
      <c r="E1763" s="2200" t="str">
        <f t="shared" si="82"/>
        <v>32</v>
      </c>
      <c r="F1763" s="2200" t="str">
        <f t="shared" si="83"/>
        <v>027</v>
      </c>
      <c r="G1763" s="2200">
        <f>--SUBTOTAL(3,C$2:C1763)</f>
        <v>67</v>
      </c>
    </row>
    <row r="1764" spans="1:7" hidden="1" x14ac:dyDescent="0.15">
      <c r="A1764" s="2200" t="s">
        <v>4280</v>
      </c>
      <c r="B1764" s="2200" t="s">
        <v>7805</v>
      </c>
      <c r="C1764" s="2200" t="s">
        <v>7806</v>
      </c>
      <c r="D1764" s="2200" t="str">
        <f t="shared" si="81"/>
        <v>NV</v>
      </c>
      <c r="E1764" s="2200" t="str">
        <f t="shared" si="82"/>
        <v>32</v>
      </c>
      <c r="F1764" s="2200" t="str">
        <f t="shared" si="83"/>
        <v>029</v>
      </c>
      <c r="G1764" s="2200">
        <f>--SUBTOTAL(3,C$2:C1764)</f>
        <v>67</v>
      </c>
    </row>
    <row r="1765" spans="1:7" hidden="1" x14ac:dyDescent="0.15">
      <c r="A1765" s="2200" t="s">
        <v>4280</v>
      </c>
      <c r="B1765" s="2200" t="s">
        <v>7807</v>
      </c>
      <c r="C1765" s="2200" t="s">
        <v>7808</v>
      </c>
      <c r="D1765" s="2200" t="str">
        <f t="shared" si="81"/>
        <v>NV</v>
      </c>
      <c r="E1765" s="2200" t="str">
        <f t="shared" si="82"/>
        <v>32</v>
      </c>
      <c r="F1765" s="2200" t="str">
        <f t="shared" si="83"/>
        <v>031</v>
      </c>
      <c r="G1765" s="2200">
        <f>--SUBTOTAL(3,C$2:C1765)</f>
        <v>67</v>
      </c>
    </row>
    <row r="1766" spans="1:7" hidden="1" x14ac:dyDescent="0.15">
      <c r="A1766" s="2200" t="s">
        <v>4280</v>
      </c>
      <c r="B1766" s="2200" t="s">
        <v>7809</v>
      </c>
      <c r="C1766" s="2200" t="s">
        <v>7810</v>
      </c>
      <c r="D1766" s="2200" t="str">
        <f t="shared" si="81"/>
        <v>NV</v>
      </c>
      <c r="E1766" s="2200" t="str">
        <f t="shared" si="82"/>
        <v>32</v>
      </c>
      <c r="F1766" s="2200" t="str">
        <f t="shared" si="83"/>
        <v>033</v>
      </c>
      <c r="G1766" s="2200">
        <f>--SUBTOTAL(3,C$2:C1766)</f>
        <v>67</v>
      </c>
    </row>
    <row r="1767" spans="1:7" hidden="1" x14ac:dyDescent="0.15">
      <c r="A1767" s="2200" t="s">
        <v>4280</v>
      </c>
      <c r="B1767" s="2200" t="s">
        <v>7811</v>
      </c>
      <c r="C1767" s="2200" t="s">
        <v>7812</v>
      </c>
      <c r="D1767" s="2200" t="str">
        <f t="shared" si="81"/>
        <v>NV</v>
      </c>
      <c r="E1767" s="2200" t="str">
        <f t="shared" si="82"/>
        <v>32</v>
      </c>
      <c r="F1767" s="2200" t="str">
        <f t="shared" si="83"/>
        <v>510</v>
      </c>
      <c r="G1767" s="2200">
        <f>--SUBTOTAL(3,C$2:C1767)</f>
        <v>67</v>
      </c>
    </row>
    <row r="1768" spans="1:7" hidden="1" x14ac:dyDescent="0.15">
      <c r="A1768" s="2200" t="s">
        <v>4280</v>
      </c>
      <c r="B1768" s="2200" t="s">
        <v>7813</v>
      </c>
      <c r="C1768" s="2200" t="s">
        <v>7814</v>
      </c>
      <c r="D1768" s="2200" t="str">
        <f t="shared" si="81"/>
        <v>NH</v>
      </c>
      <c r="E1768" s="2200" t="str">
        <f t="shared" si="82"/>
        <v>33</v>
      </c>
      <c r="F1768" s="2200" t="str">
        <f t="shared" si="83"/>
        <v>001</v>
      </c>
      <c r="G1768" s="2200">
        <f>--SUBTOTAL(3,C$2:C1768)</f>
        <v>67</v>
      </c>
    </row>
    <row r="1769" spans="1:7" hidden="1" x14ac:dyDescent="0.15">
      <c r="A1769" s="2200" t="s">
        <v>4280</v>
      </c>
      <c r="B1769" s="2200" t="s">
        <v>7815</v>
      </c>
      <c r="C1769" s="2200" t="s">
        <v>7816</v>
      </c>
      <c r="D1769" s="2200" t="str">
        <f t="shared" si="81"/>
        <v>NH</v>
      </c>
      <c r="E1769" s="2200" t="str">
        <f t="shared" si="82"/>
        <v>33</v>
      </c>
      <c r="F1769" s="2200" t="str">
        <f t="shared" si="83"/>
        <v>003</v>
      </c>
      <c r="G1769" s="2200">
        <f>--SUBTOTAL(3,C$2:C1769)</f>
        <v>67</v>
      </c>
    </row>
    <row r="1770" spans="1:7" hidden="1" x14ac:dyDescent="0.15">
      <c r="A1770" s="2200" t="s">
        <v>4280</v>
      </c>
      <c r="B1770" s="2200" t="s">
        <v>7817</v>
      </c>
      <c r="C1770" s="2200" t="s">
        <v>7818</v>
      </c>
      <c r="D1770" s="2200" t="str">
        <f t="shared" si="81"/>
        <v>NH</v>
      </c>
      <c r="E1770" s="2200" t="str">
        <f t="shared" si="82"/>
        <v>33</v>
      </c>
      <c r="F1770" s="2200" t="str">
        <f t="shared" si="83"/>
        <v>005</v>
      </c>
      <c r="G1770" s="2200">
        <f>--SUBTOTAL(3,C$2:C1770)</f>
        <v>67</v>
      </c>
    </row>
    <row r="1771" spans="1:7" hidden="1" x14ac:dyDescent="0.15">
      <c r="A1771" s="2200" t="s">
        <v>4280</v>
      </c>
      <c r="B1771" s="2200" t="s">
        <v>7819</v>
      </c>
      <c r="C1771" s="2200" t="s">
        <v>7820</v>
      </c>
      <c r="D1771" s="2200" t="str">
        <f t="shared" si="81"/>
        <v>NH</v>
      </c>
      <c r="E1771" s="2200" t="str">
        <f t="shared" si="82"/>
        <v>33</v>
      </c>
      <c r="F1771" s="2200" t="str">
        <f t="shared" si="83"/>
        <v>007</v>
      </c>
      <c r="G1771" s="2200">
        <f>--SUBTOTAL(3,C$2:C1771)</f>
        <v>67</v>
      </c>
    </row>
    <row r="1772" spans="1:7" hidden="1" x14ac:dyDescent="0.15">
      <c r="A1772" s="2200" t="s">
        <v>4280</v>
      </c>
      <c r="B1772" s="2200" t="s">
        <v>7821</v>
      </c>
      <c r="C1772" s="2200" t="s">
        <v>7822</v>
      </c>
      <c r="D1772" s="2200" t="str">
        <f t="shared" si="81"/>
        <v>NH</v>
      </c>
      <c r="E1772" s="2200" t="str">
        <f t="shared" si="82"/>
        <v>33</v>
      </c>
      <c r="F1772" s="2200" t="str">
        <f t="shared" si="83"/>
        <v>009</v>
      </c>
      <c r="G1772" s="2200">
        <f>--SUBTOTAL(3,C$2:C1772)</f>
        <v>67</v>
      </c>
    </row>
    <row r="1773" spans="1:7" hidden="1" x14ac:dyDescent="0.15">
      <c r="A1773" s="2200" t="s">
        <v>4280</v>
      </c>
      <c r="B1773" s="2200" t="s">
        <v>7823</v>
      </c>
      <c r="C1773" s="2200" t="s">
        <v>7824</v>
      </c>
      <c r="D1773" s="2200" t="str">
        <f t="shared" si="81"/>
        <v>NH</v>
      </c>
      <c r="E1773" s="2200" t="str">
        <f t="shared" si="82"/>
        <v>33</v>
      </c>
      <c r="F1773" s="2200" t="str">
        <f t="shared" si="83"/>
        <v>011</v>
      </c>
      <c r="G1773" s="2200">
        <f>--SUBTOTAL(3,C$2:C1773)</f>
        <v>67</v>
      </c>
    </row>
    <row r="1774" spans="1:7" hidden="1" x14ac:dyDescent="0.15">
      <c r="A1774" s="2200" t="s">
        <v>4280</v>
      </c>
      <c r="B1774" s="2200" t="s">
        <v>7825</v>
      </c>
      <c r="C1774" s="2200" t="s">
        <v>7826</v>
      </c>
      <c r="D1774" s="2200" t="str">
        <f t="shared" si="81"/>
        <v>NH</v>
      </c>
      <c r="E1774" s="2200" t="str">
        <f t="shared" si="82"/>
        <v>33</v>
      </c>
      <c r="F1774" s="2200" t="str">
        <f t="shared" si="83"/>
        <v>013</v>
      </c>
      <c r="G1774" s="2200">
        <f>--SUBTOTAL(3,C$2:C1774)</f>
        <v>67</v>
      </c>
    </row>
    <row r="1775" spans="1:7" hidden="1" x14ac:dyDescent="0.15">
      <c r="A1775" s="2200" t="s">
        <v>4280</v>
      </c>
      <c r="B1775" s="2200" t="s">
        <v>7827</v>
      </c>
      <c r="C1775" s="2200" t="s">
        <v>7828</v>
      </c>
      <c r="D1775" s="2200" t="str">
        <f t="shared" si="81"/>
        <v>NH</v>
      </c>
      <c r="E1775" s="2200" t="str">
        <f t="shared" si="82"/>
        <v>33</v>
      </c>
      <c r="F1775" s="2200" t="str">
        <f t="shared" si="83"/>
        <v>015</v>
      </c>
      <c r="G1775" s="2200">
        <f>--SUBTOTAL(3,C$2:C1775)</f>
        <v>67</v>
      </c>
    </row>
    <row r="1776" spans="1:7" hidden="1" x14ac:dyDescent="0.15">
      <c r="A1776" s="2200" t="s">
        <v>4280</v>
      </c>
      <c r="B1776" s="2200" t="s">
        <v>7829</v>
      </c>
      <c r="C1776" s="2200" t="s">
        <v>7830</v>
      </c>
      <c r="D1776" s="2200" t="str">
        <f t="shared" si="81"/>
        <v>NH</v>
      </c>
      <c r="E1776" s="2200" t="str">
        <f t="shared" si="82"/>
        <v>33</v>
      </c>
      <c r="F1776" s="2200" t="str">
        <f t="shared" si="83"/>
        <v>017</v>
      </c>
      <c r="G1776" s="2200">
        <f>--SUBTOTAL(3,C$2:C1776)</f>
        <v>67</v>
      </c>
    </row>
    <row r="1777" spans="1:7" hidden="1" x14ac:dyDescent="0.15">
      <c r="A1777" s="2200" t="s">
        <v>4280</v>
      </c>
      <c r="B1777" s="2200" t="s">
        <v>7831</v>
      </c>
      <c r="C1777" s="2200" t="s">
        <v>7832</v>
      </c>
      <c r="D1777" s="2200" t="str">
        <f t="shared" si="81"/>
        <v>NH</v>
      </c>
      <c r="E1777" s="2200" t="str">
        <f t="shared" si="82"/>
        <v>33</v>
      </c>
      <c r="F1777" s="2200" t="str">
        <f t="shared" si="83"/>
        <v>019</v>
      </c>
      <c r="G1777" s="2200">
        <f>--SUBTOTAL(3,C$2:C1777)</f>
        <v>67</v>
      </c>
    </row>
    <row r="1778" spans="1:7" hidden="1" x14ac:dyDescent="0.15">
      <c r="A1778" s="2200" t="s">
        <v>4280</v>
      </c>
      <c r="B1778" s="2200" t="s">
        <v>7833</v>
      </c>
      <c r="C1778" s="2200" t="s">
        <v>7834</v>
      </c>
      <c r="D1778" s="2200" t="str">
        <f t="shared" si="81"/>
        <v>NJ</v>
      </c>
      <c r="E1778" s="2200" t="str">
        <f t="shared" si="82"/>
        <v>34</v>
      </c>
      <c r="F1778" s="2200" t="str">
        <f t="shared" si="83"/>
        <v>001</v>
      </c>
      <c r="G1778" s="2200">
        <f>--SUBTOTAL(3,C$2:C1778)</f>
        <v>67</v>
      </c>
    </row>
    <row r="1779" spans="1:7" hidden="1" x14ac:dyDescent="0.15">
      <c r="A1779" s="2200" t="s">
        <v>4280</v>
      </c>
      <c r="B1779" s="2200" t="s">
        <v>7835</v>
      </c>
      <c r="C1779" s="2200" t="s">
        <v>7836</v>
      </c>
      <c r="D1779" s="2200" t="str">
        <f t="shared" si="81"/>
        <v>NJ</v>
      </c>
      <c r="E1779" s="2200" t="str">
        <f t="shared" si="82"/>
        <v>34</v>
      </c>
      <c r="F1779" s="2200" t="str">
        <f t="shared" si="83"/>
        <v>003</v>
      </c>
      <c r="G1779" s="2200">
        <f>--SUBTOTAL(3,C$2:C1779)</f>
        <v>67</v>
      </c>
    </row>
    <row r="1780" spans="1:7" hidden="1" x14ac:dyDescent="0.15">
      <c r="A1780" s="2200" t="s">
        <v>4280</v>
      </c>
      <c r="B1780" s="2200" t="s">
        <v>7837</v>
      </c>
      <c r="C1780" s="2200" t="s">
        <v>7838</v>
      </c>
      <c r="D1780" s="2200" t="str">
        <f t="shared" si="81"/>
        <v>NJ</v>
      </c>
      <c r="E1780" s="2200" t="str">
        <f t="shared" si="82"/>
        <v>34</v>
      </c>
      <c r="F1780" s="2200" t="str">
        <f t="shared" si="83"/>
        <v>005</v>
      </c>
      <c r="G1780" s="2200">
        <f>--SUBTOTAL(3,C$2:C1780)</f>
        <v>67</v>
      </c>
    </row>
    <row r="1781" spans="1:7" hidden="1" x14ac:dyDescent="0.15">
      <c r="A1781" s="2200" t="s">
        <v>4280</v>
      </c>
      <c r="B1781" s="2200" t="s">
        <v>7839</v>
      </c>
      <c r="C1781" s="2200" t="s">
        <v>7840</v>
      </c>
      <c r="D1781" s="2200" t="str">
        <f t="shared" si="81"/>
        <v>NJ</v>
      </c>
      <c r="E1781" s="2200" t="str">
        <f t="shared" si="82"/>
        <v>34</v>
      </c>
      <c r="F1781" s="2200" t="str">
        <f t="shared" si="83"/>
        <v>007</v>
      </c>
      <c r="G1781" s="2200">
        <f>--SUBTOTAL(3,C$2:C1781)</f>
        <v>67</v>
      </c>
    </row>
    <row r="1782" spans="1:7" hidden="1" x14ac:dyDescent="0.15">
      <c r="A1782" s="2200" t="s">
        <v>4280</v>
      </c>
      <c r="B1782" s="2200" t="s">
        <v>7841</v>
      </c>
      <c r="C1782" s="2200" t="s">
        <v>7842</v>
      </c>
      <c r="D1782" s="2200" t="str">
        <f t="shared" si="81"/>
        <v>NJ</v>
      </c>
      <c r="E1782" s="2200" t="str">
        <f t="shared" si="82"/>
        <v>34</v>
      </c>
      <c r="F1782" s="2200" t="str">
        <f t="shared" si="83"/>
        <v>009</v>
      </c>
      <c r="G1782" s="2200">
        <f>--SUBTOTAL(3,C$2:C1782)</f>
        <v>67</v>
      </c>
    </row>
    <row r="1783" spans="1:7" hidden="1" x14ac:dyDescent="0.15">
      <c r="A1783" s="2200" t="s">
        <v>4280</v>
      </c>
      <c r="B1783" s="2200" t="s">
        <v>7843</v>
      </c>
      <c r="C1783" s="2200" t="s">
        <v>7844</v>
      </c>
      <c r="D1783" s="2200" t="str">
        <f t="shared" si="81"/>
        <v>NJ</v>
      </c>
      <c r="E1783" s="2200" t="str">
        <f t="shared" si="82"/>
        <v>34</v>
      </c>
      <c r="F1783" s="2200" t="str">
        <f t="shared" si="83"/>
        <v>011</v>
      </c>
      <c r="G1783" s="2200">
        <f>--SUBTOTAL(3,C$2:C1783)</f>
        <v>67</v>
      </c>
    </row>
    <row r="1784" spans="1:7" hidden="1" x14ac:dyDescent="0.15">
      <c r="A1784" s="2200" t="s">
        <v>4280</v>
      </c>
      <c r="B1784" s="2200" t="s">
        <v>7845</v>
      </c>
      <c r="C1784" s="2200" t="s">
        <v>7846</v>
      </c>
      <c r="D1784" s="2200" t="str">
        <f t="shared" si="81"/>
        <v>NJ</v>
      </c>
      <c r="E1784" s="2200" t="str">
        <f t="shared" si="82"/>
        <v>34</v>
      </c>
      <c r="F1784" s="2200" t="str">
        <f t="shared" si="83"/>
        <v>013</v>
      </c>
      <c r="G1784" s="2200">
        <f>--SUBTOTAL(3,C$2:C1784)</f>
        <v>67</v>
      </c>
    </row>
    <row r="1785" spans="1:7" hidden="1" x14ac:dyDescent="0.15">
      <c r="A1785" s="2200" t="s">
        <v>4280</v>
      </c>
      <c r="B1785" s="2200" t="s">
        <v>7847</v>
      </c>
      <c r="C1785" s="2200" t="s">
        <v>7848</v>
      </c>
      <c r="D1785" s="2200" t="str">
        <f t="shared" si="81"/>
        <v>NJ</v>
      </c>
      <c r="E1785" s="2200" t="str">
        <f t="shared" si="82"/>
        <v>34</v>
      </c>
      <c r="F1785" s="2200" t="str">
        <f t="shared" si="83"/>
        <v>015</v>
      </c>
      <c r="G1785" s="2200">
        <f>--SUBTOTAL(3,C$2:C1785)</f>
        <v>67</v>
      </c>
    </row>
    <row r="1786" spans="1:7" hidden="1" x14ac:dyDescent="0.15">
      <c r="A1786" s="2200" t="s">
        <v>4280</v>
      </c>
      <c r="B1786" s="2200" t="s">
        <v>7849</v>
      </c>
      <c r="C1786" s="2200" t="s">
        <v>7850</v>
      </c>
      <c r="D1786" s="2200" t="str">
        <f t="shared" si="81"/>
        <v>NJ</v>
      </c>
      <c r="E1786" s="2200" t="str">
        <f t="shared" si="82"/>
        <v>34</v>
      </c>
      <c r="F1786" s="2200" t="str">
        <f t="shared" si="83"/>
        <v>017</v>
      </c>
      <c r="G1786" s="2200">
        <f>--SUBTOTAL(3,C$2:C1786)</f>
        <v>67</v>
      </c>
    </row>
    <row r="1787" spans="1:7" hidden="1" x14ac:dyDescent="0.15">
      <c r="A1787" s="2200" t="s">
        <v>4280</v>
      </c>
      <c r="B1787" s="2200" t="s">
        <v>7851</v>
      </c>
      <c r="C1787" s="2200" t="s">
        <v>7852</v>
      </c>
      <c r="D1787" s="2200" t="str">
        <f t="shared" si="81"/>
        <v>NJ</v>
      </c>
      <c r="E1787" s="2200" t="str">
        <f t="shared" si="82"/>
        <v>34</v>
      </c>
      <c r="F1787" s="2200" t="str">
        <f t="shared" si="83"/>
        <v>019</v>
      </c>
      <c r="G1787" s="2200">
        <f>--SUBTOTAL(3,C$2:C1787)</f>
        <v>67</v>
      </c>
    </row>
    <row r="1788" spans="1:7" hidden="1" x14ac:dyDescent="0.15">
      <c r="A1788" s="2200" t="s">
        <v>4280</v>
      </c>
      <c r="B1788" s="2200" t="s">
        <v>7853</v>
      </c>
      <c r="C1788" s="2200" t="s">
        <v>7854</v>
      </c>
      <c r="D1788" s="2200" t="str">
        <f t="shared" si="81"/>
        <v>NJ</v>
      </c>
      <c r="E1788" s="2200" t="str">
        <f t="shared" si="82"/>
        <v>34</v>
      </c>
      <c r="F1788" s="2200" t="str">
        <f t="shared" si="83"/>
        <v>021</v>
      </c>
      <c r="G1788" s="2200">
        <f>--SUBTOTAL(3,C$2:C1788)</f>
        <v>67</v>
      </c>
    </row>
    <row r="1789" spans="1:7" hidden="1" x14ac:dyDescent="0.15">
      <c r="A1789" s="2200" t="s">
        <v>4280</v>
      </c>
      <c r="B1789" s="2200" t="s">
        <v>7855</v>
      </c>
      <c r="C1789" s="2200" t="s">
        <v>7856</v>
      </c>
      <c r="D1789" s="2200" t="str">
        <f t="shared" si="81"/>
        <v>NJ</v>
      </c>
      <c r="E1789" s="2200" t="str">
        <f t="shared" si="82"/>
        <v>34</v>
      </c>
      <c r="F1789" s="2200" t="str">
        <f t="shared" si="83"/>
        <v>023</v>
      </c>
      <c r="G1789" s="2200">
        <f>--SUBTOTAL(3,C$2:C1789)</f>
        <v>67</v>
      </c>
    </row>
    <row r="1790" spans="1:7" hidden="1" x14ac:dyDescent="0.15">
      <c r="A1790" s="2200" t="s">
        <v>4280</v>
      </c>
      <c r="B1790" s="2200" t="s">
        <v>7857</v>
      </c>
      <c r="C1790" s="2200" t="s">
        <v>7858</v>
      </c>
      <c r="D1790" s="2200" t="str">
        <f t="shared" si="81"/>
        <v>NJ</v>
      </c>
      <c r="E1790" s="2200" t="str">
        <f t="shared" si="82"/>
        <v>34</v>
      </c>
      <c r="F1790" s="2200" t="str">
        <f t="shared" si="83"/>
        <v>025</v>
      </c>
      <c r="G1790" s="2200">
        <f>--SUBTOTAL(3,C$2:C1790)</f>
        <v>67</v>
      </c>
    </row>
    <row r="1791" spans="1:7" hidden="1" x14ac:dyDescent="0.15">
      <c r="A1791" s="2200" t="s">
        <v>4280</v>
      </c>
      <c r="B1791" s="2200" t="s">
        <v>7859</v>
      </c>
      <c r="C1791" s="2200" t="s">
        <v>7860</v>
      </c>
      <c r="D1791" s="2200" t="str">
        <f t="shared" si="81"/>
        <v>NJ</v>
      </c>
      <c r="E1791" s="2200" t="str">
        <f t="shared" si="82"/>
        <v>34</v>
      </c>
      <c r="F1791" s="2200" t="str">
        <f t="shared" si="83"/>
        <v>027</v>
      </c>
      <c r="G1791" s="2200">
        <f>--SUBTOTAL(3,C$2:C1791)</f>
        <v>67</v>
      </c>
    </row>
    <row r="1792" spans="1:7" hidden="1" x14ac:dyDescent="0.15">
      <c r="A1792" s="2200" t="s">
        <v>4280</v>
      </c>
      <c r="B1792" s="2200" t="s">
        <v>7861</v>
      </c>
      <c r="C1792" s="2200" t="s">
        <v>7862</v>
      </c>
      <c r="D1792" s="2200" t="str">
        <f t="shared" si="81"/>
        <v>NJ</v>
      </c>
      <c r="E1792" s="2200" t="str">
        <f t="shared" si="82"/>
        <v>34</v>
      </c>
      <c r="F1792" s="2200" t="str">
        <f t="shared" si="83"/>
        <v>029</v>
      </c>
      <c r="G1792" s="2200">
        <f>--SUBTOTAL(3,C$2:C1792)</f>
        <v>67</v>
      </c>
    </row>
    <row r="1793" spans="1:7" hidden="1" x14ac:dyDescent="0.15">
      <c r="A1793" s="2200" t="s">
        <v>4280</v>
      </c>
      <c r="B1793" s="2200" t="s">
        <v>7863</v>
      </c>
      <c r="C1793" s="2200" t="s">
        <v>7864</v>
      </c>
      <c r="D1793" s="2200" t="str">
        <f t="shared" si="81"/>
        <v>NJ</v>
      </c>
      <c r="E1793" s="2200" t="str">
        <f t="shared" si="82"/>
        <v>34</v>
      </c>
      <c r="F1793" s="2200" t="str">
        <f t="shared" si="83"/>
        <v>031</v>
      </c>
      <c r="G1793" s="2200">
        <f>--SUBTOTAL(3,C$2:C1793)</f>
        <v>67</v>
      </c>
    </row>
    <row r="1794" spans="1:7" hidden="1" x14ac:dyDescent="0.15">
      <c r="A1794" s="2200" t="s">
        <v>4280</v>
      </c>
      <c r="B1794" s="2200" t="s">
        <v>7865</v>
      </c>
      <c r="C1794" s="2200" t="s">
        <v>7866</v>
      </c>
      <c r="D1794" s="2200" t="str">
        <f t="shared" si="81"/>
        <v>NJ</v>
      </c>
      <c r="E1794" s="2200" t="str">
        <f t="shared" si="82"/>
        <v>34</v>
      </c>
      <c r="F1794" s="2200" t="str">
        <f t="shared" si="83"/>
        <v>033</v>
      </c>
      <c r="G1794" s="2200">
        <f>--SUBTOTAL(3,C$2:C1794)</f>
        <v>67</v>
      </c>
    </row>
    <row r="1795" spans="1:7" hidden="1" x14ac:dyDescent="0.15">
      <c r="A1795" s="2200" t="s">
        <v>4280</v>
      </c>
      <c r="B1795" s="2200" t="s">
        <v>7867</v>
      </c>
      <c r="C1795" s="2200" t="s">
        <v>7868</v>
      </c>
      <c r="D1795" s="2200" t="str">
        <f t="shared" ref="D1795:D1858" si="84">RIGHT(C1795,2)</f>
        <v>NJ</v>
      </c>
      <c r="E1795" s="2200" t="str">
        <f t="shared" ref="E1795:E1858" si="85">MID(B1795,3,2)</f>
        <v>34</v>
      </c>
      <c r="F1795" s="2200" t="str">
        <f t="shared" ref="F1795:F1858" si="86">MID(B1795,5,3)</f>
        <v>035</v>
      </c>
      <c r="G1795" s="2200">
        <f>--SUBTOTAL(3,C$2:C1795)</f>
        <v>67</v>
      </c>
    </row>
    <row r="1796" spans="1:7" hidden="1" x14ac:dyDescent="0.15">
      <c r="A1796" s="2200" t="s">
        <v>4280</v>
      </c>
      <c r="B1796" s="2200" t="s">
        <v>7869</v>
      </c>
      <c r="C1796" s="2200" t="s">
        <v>7870</v>
      </c>
      <c r="D1796" s="2200" t="str">
        <f t="shared" si="84"/>
        <v>NJ</v>
      </c>
      <c r="E1796" s="2200" t="str">
        <f t="shared" si="85"/>
        <v>34</v>
      </c>
      <c r="F1796" s="2200" t="str">
        <f t="shared" si="86"/>
        <v>037</v>
      </c>
      <c r="G1796" s="2200">
        <f>--SUBTOTAL(3,C$2:C1796)</f>
        <v>67</v>
      </c>
    </row>
    <row r="1797" spans="1:7" hidden="1" x14ac:dyDescent="0.15">
      <c r="A1797" s="2200" t="s">
        <v>4280</v>
      </c>
      <c r="B1797" s="2200" t="s">
        <v>7871</v>
      </c>
      <c r="C1797" s="2200" t="s">
        <v>7872</v>
      </c>
      <c r="D1797" s="2200" t="str">
        <f t="shared" si="84"/>
        <v>NJ</v>
      </c>
      <c r="E1797" s="2200" t="str">
        <f t="shared" si="85"/>
        <v>34</v>
      </c>
      <c r="F1797" s="2200" t="str">
        <f t="shared" si="86"/>
        <v>039</v>
      </c>
      <c r="G1797" s="2200">
        <f>--SUBTOTAL(3,C$2:C1797)</f>
        <v>67</v>
      </c>
    </row>
    <row r="1798" spans="1:7" hidden="1" x14ac:dyDescent="0.15">
      <c r="A1798" s="2200" t="s">
        <v>4280</v>
      </c>
      <c r="B1798" s="2200" t="s">
        <v>7873</v>
      </c>
      <c r="C1798" s="2200" t="s">
        <v>7874</v>
      </c>
      <c r="D1798" s="2200" t="str">
        <f t="shared" si="84"/>
        <v>NJ</v>
      </c>
      <c r="E1798" s="2200" t="str">
        <f t="shared" si="85"/>
        <v>34</v>
      </c>
      <c r="F1798" s="2200" t="str">
        <f t="shared" si="86"/>
        <v>041</v>
      </c>
      <c r="G1798" s="2200">
        <f>--SUBTOTAL(3,C$2:C1798)</f>
        <v>67</v>
      </c>
    </row>
    <row r="1799" spans="1:7" hidden="1" x14ac:dyDescent="0.15">
      <c r="A1799" s="2200" t="s">
        <v>4280</v>
      </c>
      <c r="B1799" s="2200" t="s">
        <v>7875</v>
      </c>
      <c r="C1799" s="2200" t="s">
        <v>7876</v>
      </c>
      <c r="D1799" s="2200" t="str">
        <f t="shared" si="84"/>
        <v>NM</v>
      </c>
      <c r="E1799" s="2200" t="str">
        <f t="shared" si="85"/>
        <v>35</v>
      </c>
      <c r="F1799" s="2200" t="str">
        <f t="shared" si="86"/>
        <v>001</v>
      </c>
      <c r="G1799" s="2200">
        <f>--SUBTOTAL(3,C$2:C1799)</f>
        <v>67</v>
      </c>
    </row>
    <row r="1800" spans="1:7" hidden="1" x14ac:dyDescent="0.15">
      <c r="A1800" s="2200" t="s">
        <v>4280</v>
      </c>
      <c r="B1800" s="2200" t="s">
        <v>7877</v>
      </c>
      <c r="C1800" s="2200" t="s">
        <v>7878</v>
      </c>
      <c r="D1800" s="2200" t="str">
        <f t="shared" si="84"/>
        <v>NM</v>
      </c>
      <c r="E1800" s="2200" t="str">
        <f t="shared" si="85"/>
        <v>35</v>
      </c>
      <c r="F1800" s="2200" t="str">
        <f t="shared" si="86"/>
        <v>003</v>
      </c>
      <c r="G1800" s="2200">
        <f>--SUBTOTAL(3,C$2:C1800)</f>
        <v>67</v>
      </c>
    </row>
    <row r="1801" spans="1:7" hidden="1" x14ac:dyDescent="0.15">
      <c r="A1801" s="2200" t="s">
        <v>4280</v>
      </c>
      <c r="B1801" s="2200" t="s">
        <v>7879</v>
      </c>
      <c r="C1801" s="2200" t="s">
        <v>7880</v>
      </c>
      <c r="D1801" s="2200" t="str">
        <f t="shared" si="84"/>
        <v>NM</v>
      </c>
      <c r="E1801" s="2200" t="str">
        <f t="shared" si="85"/>
        <v>35</v>
      </c>
      <c r="F1801" s="2200" t="str">
        <f t="shared" si="86"/>
        <v>005</v>
      </c>
      <c r="G1801" s="2200">
        <f>--SUBTOTAL(3,C$2:C1801)</f>
        <v>67</v>
      </c>
    </row>
    <row r="1802" spans="1:7" hidden="1" x14ac:dyDescent="0.15">
      <c r="A1802" s="2200" t="s">
        <v>4280</v>
      </c>
      <c r="B1802" s="2200" t="s">
        <v>7881</v>
      </c>
      <c r="C1802" s="2200" t="s">
        <v>7882</v>
      </c>
      <c r="D1802" s="2200" t="str">
        <f t="shared" si="84"/>
        <v>NM</v>
      </c>
      <c r="E1802" s="2200" t="str">
        <f t="shared" si="85"/>
        <v>35</v>
      </c>
      <c r="F1802" s="2200" t="str">
        <f t="shared" si="86"/>
        <v>006</v>
      </c>
      <c r="G1802" s="2200">
        <f>--SUBTOTAL(3,C$2:C1802)</f>
        <v>67</v>
      </c>
    </row>
    <row r="1803" spans="1:7" hidden="1" x14ac:dyDescent="0.15">
      <c r="A1803" s="2200" t="s">
        <v>4280</v>
      </c>
      <c r="B1803" s="2200" t="s">
        <v>7883</v>
      </c>
      <c r="C1803" s="2200" t="s">
        <v>7884</v>
      </c>
      <c r="D1803" s="2200" t="str">
        <f t="shared" si="84"/>
        <v>NM</v>
      </c>
      <c r="E1803" s="2200" t="str">
        <f t="shared" si="85"/>
        <v>35</v>
      </c>
      <c r="F1803" s="2200" t="str">
        <f t="shared" si="86"/>
        <v>007</v>
      </c>
      <c r="G1803" s="2200">
        <f>--SUBTOTAL(3,C$2:C1803)</f>
        <v>67</v>
      </c>
    </row>
    <row r="1804" spans="1:7" hidden="1" x14ac:dyDescent="0.15">
      <c r="A1804" s="2200" t="s">
        <v>4280</v>
      </c>
      <c r="B1804" s="2200" t="s">
        <v>7885</v>
      </c>
      <c r="C1804" s="2200" t="s">
        <v>7886</v>
      </c>
      <c r="D1804" s="2200" t="str">
        <f t="shared" si="84"/>
        <v>NM</v>
      </c>
      <c r="E1804" s="2200" t="str">
        <f t="shared" si="85"/>
        <v>35</v>
      </c>
      <c r="F1804" s="2200" t="str">
        <f t="shared" si="86"/>
        <v>009</v>
      </c>
      <c r="G1804" s="2200">
        <f>--SUBTOTAL(3,C$2:C1804)</f>
        <v>67</v>
      </c>
    </row>
    <row r="1805" spans="1:7" hidden="1" x14ac:dyDescent="0.15">
      <c r="A1805" s="2200" t="s">
        <v>4280</v>
      </c>
      <c r="B1805" s="2200" t="s">
        <v>7887</v>
      </c>
      <c r="C1805" s="2200" t="s">
        <v>7888</v>
      </c>
      <c r="D1805" s="2200" t="str">
        <f t="shared" si="84"/>
        <v>NM</v>
      </c>
      <c r="E1805" s="2200" t="str">
        <f t="shared" si="85"/>
        <v>35</v>
      </c>
      <c r="F1805" s="2200" t="str">
        <f t="shared" si="86"/>
        <v>011</v>
      </c>
      <c r="G1805" s="2200">
        <f>--SUBTOTAL(3,C$2:C1805)</f>
        <v>67</v>
      </c>
    </row>
    <row r="1806" spans="1:7" hidden="1" x14ac:dyDescent="0.15">
      <c r="A1806" s="2200" t="s">
        <v>4280</v>
      </c>
      <c r="B1806" s="2200" t="s">
        <v>7889</v>
      </c>
      <c r="C1806" s="2200" t="s">
        <v>7890</v>
      </c>
      <c r="D1806" s="2200" t="str">
        <f t="shared" si="84"/>
        <v>NM</v>
      </c>
      <c r="E1806" s="2200" t="str">
        <f t="shared" si="85"/>
        <v>35</v>
      </c>
      <c r="F1806" s="2200" t="str">
        <f t="shared" si="86"/>
        <v>013</v>
      </c>
      <c r="G1806" s="2200">
        <f>--SUBTOTAL(3,C$2:C1806)</f>
        <v>67</v>
      </c>
    </row>
    <row r="1807" spans="1:7" hidden="1" x14ac:dyDescent="0.15">
      <c r="A1807" s="2200" t="s">
        <v>4280</v>
      </c>
      <c r="B1807" s="2200" t="s">
        <v>7891</v>
      </c>
      <c r="C1807" s="2200" t="s">
        <v>7892</v>
      </c>
      <c r="D1807" s="2200" t="str">
        <f t="shared" si="84"/>
        <v>NM</v>
      </c>
      <c r="E1807" s="2200" t="str">
        <f t="shared" si="85"/>
        <v>35</v>
      </c>
      <c r="F1807" s="2200" t="str">
        <f t="shared" si="86"/>
        <v>015</v>
      </c>
      <c r="G1807" s="2200">
        <f>--SUBTOTAL(3,C$2:C1807)</f>
        <v>67</v>
      </c>
    </row>
    <row r="1808" spans="1:7" hidden="1" x14ac:dyDescent="0.15">
      <c r="A1808" s="2200" t="s">
        <v>4280</v>
      </c>
      <c r="B1808" s="2200" t="s">
        <v>7893</v>
      </c>
      <c r="C1808" s="2200" t="s">
        <v>7894</v>
      </c>
      <c r="D1808" s="2200" t="str">
        <f t="shared" si="84"/>
        <v>NM</v>
      </c>
      <c r="E1808" s="2200" t="str">
        <f t="shared" si="85"/>
        <v>35</v>
      </c>
      <c r="F1808" s="2200" t="str">
        <f t="shared" si="86"/>
        <v>017</v>
      </c>
      <c r="G1808" s="2200">
        <f>--SUBTOTAL(3,C$2:C1808)</f>
        <v>67</v>
      </c>
    </row>
    <row r="1809" spans="1:7" hidden="1" x14ac:dyDescent="0.15">
      <c r="A1809" s="2200" t="s">
        <v>4280</v>
      </c>
      <c r="B1809" s="2200" t="s">
        <v>7895</v>
      </c>
      <c r="C1809" s="2200" t="s">
        <v>7896</v>
      </c>
      <c r="D1809" s="2200" t="str">
        <f t="shared" si="84"/>
        <v>NM</v>
      </c>
      <c r="E1809" s="2200" t="str">
        <f t="shared" si="85"/>
        <v>35</v>
      </c>
      <c r="F1809" s="2200" t="str">
        <f t="shared" si="86"/>
        <v>019</v>
      </c>
      <c r="G1809" s="2200">
        <f>--SUBTOTAL(3,C$2:C1809)</f>
        <v>67</v>
      </c>
    </row>
    <row r="1810" spans="1:7" hidden="1" x14ac:dyDescent="0.15">
      <c r="A1810" s="2200" t="s">
        <v>4280</v>
      </c>
      <c r="B1810" s="2200" t="s">
        <v>7897</v>
      </c>
      <c r="C1810" s="2200" t="s">
        <v>7898</v>
      </c>
      <c r="D1810" s="2200" t="str">
        <f t="shared" si="84"/>
        <v>NM</v>
      </c>
      <c r="E1810" s="2200" t="str">
        <f t="shared" si="85"/>
        <v>35</v>
      </c>
      <c r="F1810" s="2200" t="str">
        <f t="shared" si="86"/>
        <v>021</v>
      </c>
      <c r="G1810" s="2200">
        <f>--SUBTOTAL(3,C$2:C1810)</f>
        <v>67</v>
      </c>
    </row>
    <row r="1811" spans="1:7" hidden="1" x14ac:dyDescent="0.15">
      <c r="A1811" s="2200" t="s">
        <v>4280</v>
      </c>
      <c r="B1811" s="2200" t="s">
        <v>7899</v>
      </c>
      <c r="C1811" s="2200" t="s">
        <v>7900</v>
      </c>
      <c r="D1811" s="2200" t="str">
        <f t="shared" si="84"/>
        <v>NM</v>
      </c>
      <c r="E1811" s="2200" t="str">
        <f t="shared" si="85"/>
        <v>35</v>
      </c>
      <c r="F1811" s="2200" t="str">
        <f t="shared" si="86"/>
        <v>023</v>
      </c>
      <c r="G1811" s="2200">
        <f>--SUBTOTAL(3,C$2:C1811)</f>
        <v>67</v>
      </c>
    </row>
    <row r="1812" spans="1:7" hidden="1" x14ac:dyDescent="0.15">
      <c r="A1812" s="2200" t="s">
        <v>4280</v>
      </c>
      <c r="B1812" s="2200" t="s">
        <v>7901</v>
      </c>
      <c r="C1812" s="2200" t="s">
        <v>7902</v>
      </c>
      <c r="D1812" s="2200" t="str">
        <f t="shared" si="84"/>
        <v>NM</v>
      </c>
      <c r="E1812" s="2200" t="str">
        <f t="shared" si="85"/>
        <v>35</v>
      </c>
      <c r="F1812" s="2200" t="str">
        <f t="shared" si="86"/>
        <v>025</v>
      </c>
      <c r="G1812" s="2200">
        <f>--SUBTOTAL(3,C$2:C1812)</f>
        <v>67</v>
      </c>
    </row>
    <row r="1813" spans="1:7" hidden="1" x14ac:dyDescent="0.15">
      <c r="A1813" s="2200" t="s">
        <v>4280</v>
      </c>
      <c r="B1813" s="2200" t="s">
        <v>7903</v>
      </c>
      <c r="C1813" s="2200" t="s">
        <v>7904</v>
      </c>
      <c r="D1813" s="2200" t="str">
        <f t="shared" si="84"/>
        <v>NM</v>
      </c>
      <c r="E1813" s="2200" t="str">
        <f t="shared" si="85"/>
        <v>35</v>
      </c>
      <c r="F1813" s="2200" t="str">
        <f t="shared" si="86"/>
        <v>027</v>
      </c>
      <c r="G1813" s="2200">
        <f>--SUBTOTAL(3,C$2:C1813)</f>
        <v>67</v>
      </c>
    </row>
    <row r="1814" spans="1:7" hidden="1" x14ac:dyDescent="0.15">
      <c r="A1814" s="2200" t="s">
        <v>4280</v>
      </c>
      <c r="B1814" s="2200" t="s">
        <v>7905</v>
      </c>
      <c r="C1814" s="2200" t="s">
        <v>7906</v>
      </c>
      <c r="D1814" s="2200" t="str">
        <f t="shared" si="84"/>
        <v>NM</v>
      </c>
      <c r="E1814" s="2200" t="str">
        <f t="shared" si="85"/>
        <v>35</v>
      </c>
      <c r="F1814" s="2200" t="str">
        <f t="shared" si="86"/>
        <v>028</v>
      </c>
      <c r="G1814" s="2200">
        <f>--SUBTOTAL(3,C$2:C1814)</f>
        <v>67</v>
      </c>
    </row>
    <row r="1815" spans="1:7" hidden="1" x14ac:dyDescent="0.15">
      <c r="A1815" s="2200" t="s">
        <v>4280</v>
      </c>
      <c r="B1815" s="2200" t="s">
        <v>7907</v>
      </c>
      <c r="C1815" s="2200" t="s">
        <v>7908</v>
      </c>
      <c r="D1815" s="2200" t="str">
        <f t="shared" si="84"/>
        <v>NM</v>
      </c>
      <c r="E1815" s="2200" t="str">
        <f t="shared" si="85"/>
        <v>35</v>
      </c>
      <c r="F1815" s="2200" t="str">
        <f t="shared" si="86"/>
        <v>029</v>
      </c>
      <c r="G1815" s="2200">
        <f>--SUBTOTAL(3,C$2:C1815)</f>
        <v>67</v>
      </c>
    </row>
    <row r="1816" spans="1:7" hidden="1" x14ac:dyDescent="0.15">
      <c r="A1816" s="2200" t="s">
        <v>4280</v>
      </c>
      <c r="B1816" s="2200" t="s">
        <v>7909</v>
      </c>
      <c r="C1816" s="2200" t="s">
        <v>7910</v>
      </c>
      <c r="D1816" s="2200" t="str">
        <f t="shared" si="84"/>
        <v>NM</v>
      </c>
      <c r="E1816" s="2200" t="str">
        <f t="shared" si="85"/>
        <v>35</v>
      </c>
      <c r="F1816" s="2200" t="str">
        <f t="shared" si="86"/>
        <v>031</v>
      </c>
      <c r="G1816" s="2200">
        <f>--SUBTOTAL(3,C$2:C1816)</f>
        <v>67</v>
      </c>
    </row>
    <row r="1817" spans="1:7" hidden="1" x14ac:dyDescent="0.15">
      <c r="A1817" s="2200" t="s">
        <v>4280</v>
      </c>
      <c r="B1817" s="2200" t="s">
        <v>7911</v>
      </c>
      <c r="C1817" s="2200" t="s">
        <v>7912</v>
      </c>
      <c r="D1817" s="2200" t="str">
        <f t="shared" si="84"/>
        <v>NM</v>
      </c>
      <c r="E1817" s="2200" t="str">
        <f t="shared" si="85"/>
        <v>35</v>
      </c>
      <c r="F1817" s="2200" t="str">
        <f t="shared" si="86"/>
        <v>033</v>
      </c>
      <c r="G1817" s="2200">
        <f>--SUBTOTAL(3,C$2:C1817)</f>
        <v>67</v>
      </c>
    </row>
    <row r="1818" spans="1:7" hidden="1" x14ac:dyDescent="0.15">
      <c r="A1818" s="2200" t="s">
        <v>4280</v>
      </c>
      <c r="B1818" s="2200" t="s">
        <v>7913</v>
      </c>
      <c r="C1818" s="2200" t="s">
        <v>7914</v>
      </c>
      <c r="D1818" s="2200" t="str">
        <f t="shared" si="84"/>
        <v>NM</v>
      </c>
      <c r="E1818" s="2200" t="str">
        <f t="shared" si="85"/>
        <v>35</v>
      </c>
      <c r="F1818" s="2200" t="str">
        <f t="shared" si="86"/>
        <v>035</v>
      </c>
      <c r="G1818" s="2200">
        <f>--SUBTOTAL(3,C$2:C1818)</f>
        <v>67</v>
      </c>
    </row>
    <row r="1819" spans="1:7" hidden="1" x14ac:dyDescent="0.15">
      <c r="A1819" s="2200" t="s">
        <v>4280</v>
      </c>
      <c r="B1819" s="2200" t="s">
        <v>7915</v>
      </c>
      <c r="C1819" s="2200" t="s">
        <v>7916</v>
      </c>
      <c r="D1819" s="2200" t="str">
        <f t="shared" si="84"/>
        <v>NM</v>
      </c>
      <c r="E1819" s="2200" t="str">
        <f t="shared" si="85"/>
        <v>35</v>
      </c>
      <c r="F1819" s="2200" t="str">
        <f t="shared" si="86"/>
        <v>037</v>
      </c>
      <c r="G1819" s="2200">
        <f>--SUBTOTAL(3,C$2:C1819)</f>
        <v>67</v>
      </c>
    </row>
    <row r="1820" spans="1:7" hidden="1" x14ac:dyDescent="0.15">
      <c r="A1820" s="2200" t="s">
        <v>4280</v>
      </c>
      <c r="B1820" s="2200" t="s">
        <v>7917</v>
      </c>
      <c r="C1820" s="2200" t="s">
        <v>7918</v>
      </c>
      <c r="D1820" s="2200" t="str">
        <f t="shared" si="84"/>
        <v>NM</v>
      </c>
      <c r="E1820" s="2200" t="str">
        <f t="shared" si="85"/>
        <v>35</v>
      </c>
      <c r="F1820" s="2200" t="str">
        <f t="shared" si="86"/>
        <v>039</v>
      </c>
      <c r="G1820" s="2200">
        <f>--SUBTOTAL(3,C$2:C1820)</f>
        <v>67</v>
      </c>
    </row>
    <row r="1821" spans="1:7" hidden="1" x14ac:dyDescent="0.15">
      <c r="A1821" s="2200" t="s">
        <v>4280</v>
      </c>
      <c r="B1821" s="2200" t="s">
        <v>7919</v>
      </c>
      <c r="C1821" s="2200" t="s">
        <v>7920</v>
      </c>
      <c r="D1821" s="2200" t="str">
        <f t="shared" si="84"/>
        <v>NM</v>
      </c>
      <c r="E1821" s="2200" t="str">
        <f t="shared" si="85"/>
        <v>35</v>
      </c>
      <c r="F1821" s="2200" t="str">
        <f t="shared" si="86"/>
        <v>041</v>
      </c>
      <c r="G1821" s="2200">
        <f>--SUBTOTAL(3,C$2:C1821)</f>
        <v>67</v>
      </c>
    </row>
    <row r="1822" spans="1:7" hidden="1" x14ac:dyDescent="0.15">
      <c r="A1822" s="2200" t="s">
        <v>4280</v>
      </c>
      <c r="B1822" s="2200" t="s">
        <v>7921</v>
      </c>
      <c r="C1822" s="2200" t="s">
        <v>7922</v>
      </c>
      <c r="D1822" s="2200" t="str">
        <f t="shared" si="84"/>
        <v>NM</v>
      </c>
      <c r="E1822" s="2200" t="str">
        <f t="shared" si="85"/>
        <v>35</v>
      </c>
      <c r="F1822" s="2200" t="str">
        <f t="shared" si="86"/>
        <v>043</v>
      </c>
      <c r="G1822" s="2200">
        <f>--SUBTOTAL(3,C$2:C1822)</f>
        <v>67</v>
      </c>
    </row>
    <row r="1823" spans="1:7" hidden="1" x14ac:dyDescent="0.15">
      <c r="A1823" s="2200" t="s">
        <v>4280</v>
      </c>
      <c r="B1823" s="2200" t="s">
        <v>7923</v>
      </c>
      <c r="C1823" s="2200" t="s">
        <v>7924</v>
      </c>
      <c r="D1823" s="2200" t="str">
        <f t="shared" si="84"/>
        <v>NM</v>
      </c>
      <c r="E1823" s="2200" t="str">
        <f t="shared" si="85"/>
        <v>35</v>
      </c>
      <c r="F1823" s="2200" t="str">
        <f t="shared" si="86"/>
        <v>045</v>
      </c>
      <c r="G1823" s="2200">
        <f>--SUBTOTAL(3,C$2:C1823)</f>
        <v>67</v>
      </c>
    </row>
    <row r="1824" spans="1:7" hidden="1" x14ac:dyDescent="0.15">
      <c r="A1824" s="2200" t="s">
        <v>4280</v>
      </c>
      <c r="B1824" s="2200" t="s">
        <v>7925</v>
      </c>
      <c r="C1824" s="2200" t="s">
        <v>7926</v>
      </c>
      <c r="D1824" s="2200" t="str">
        <f t="shared" si="84"/>
        <v>NM</v>
      </c>
      <c r="E1824" s="2200" t="str">
        <f t="shared" si="85"/>
        <v>35</v>
      </c>
      <c r="F1824" s="2200" t="str">
        <f t="shared" si="86"/>
        <v>047</v>
      </c>
      <c r="G1824" s="2200">
        <f>--SUBTOTAL(3,C$2:C1824)</f>
        <v>67</v>
      </c>
    </row>
    <row r="1825" spans="1:7" hidden="1" x14ac:dyDescent="0.15">
      <c r="A1825" s="2200" t="s">
        <v>4280</v>
      </c>
      <c r="B1825" s="2200" t="s">
        <v>7927</v>
      </c>
      <c r="C1825" s="2200" t="s">
        <v>7928</v>
      </c>
      <c r="D1825" s="2200" t="str">
        <f t="shared" si="84"/>
        <v>NM</v>
      </c>
      <c r="E1825" s="2200" t="str">
        <f t="shared" si="85"/>
        <v>35</v>
      </c>
      <c r="F1825" s="2200" t="str">
        <f t="shared" si="86"/>
        <v>049</v>
      </c>
      <c r="G1825" s="2200">
        <f>--SUBTOTAL(3,C$2:C1825)</f>
        <v>67</v>
      </c>
    </row>
    <row r="1826" spans="1:7" hidden="1" x14ac:dyDescent="0.15">
      <c r="A1826" s="2200" t="s">
        <v>4280</v>
      </c>
      <c r="B1826" s="2200" t="s">
        <v>7929</v>
      </c>
      <c r="C1826" s="2200" t="s">
        <v>7930</v>
      </c>
      <c r="D1826" s="2200" t="str">
        <f t="shared" si="84"/>
        <v>NM</v>
      </c>
      <c r="E1826" s="2200" t="str">
        <f t="shared" si="85"/>
        <v>35</v>
      </c>
      <c r="F1826" s="2200" t="str">
        <f t="shared" si="86"/>
        <v>051</v>
      </c>
      <c r="G1826" s="2200">
        <f>--SUBTOTAL(3,C$2:C1826)</f>
        <v>67</v>
      </c>
    </row>
    <row r="1827" spans="1:7" hidden="1" x14ac:dyDescent="0.15">
      <c r="A1827" s="2200" t="s">
        <v>4280</v>
      </c>
      <c r="B1827" s="2200" t="s">
        <v>7931</v>
      </c>
      <c r="C1827" s="2200" t="s">
        <v>7932</v>
      </c>
      <c r="D1827" s="2200" t="str">
        <f t="shared" si="84"/>
        <v>NM</v>
      </c>
      <c r="E1827" s="2200" t="str">
        <f t="shared" si="85"/>
        <v>35</v>
      </c>
      <c r="F1827" s="2200" t="str">
        <f t="shared" si="86"/>
        <v>053</v>
      </c>
      <c r="G1827" s="2200">
        <f>--SUBTOTAL(3,C$2:C1827)</f>
        <v>67</v>
      </c>
    </row>
    <row r="1828" spans="1:7" hidden="1" x14ac:dyDescent="0.15">
      <c r="A1828" s="2200" t="s">
        <v>4280</v>
      </c>
      <c r="B1828" s="2200" t="s">
        <v>7933</v>
      </c>
      <c r="C1828" s="2200" t="s">
        <v>7934</v>
      </c>
      <c r="D1828" s="2200" t="str">
        <f t="shared" si="84"/>
        <v>NM</v>
      </c>
      <c r="E1828" s="2200" t="str">
        <f t="shared" si="85"/>
        <v>35</v>
      </c>
      <c r="F1828" s="2200" t="str">
        <f t="shared" si="86"/>
        <v>055</v>
      </c>
      <c r="G1828" s="2200">
        <f>--SUBTOTAL(3,C$2:C1828)</f>
        <v>67</v>
      </c>
    </row>
    <row r="1829" spans="1:7" hidden="1" x14ac:dyDescent="0.15">
      <c r="A1829" s="2200" t="s">
        <v>4280</v>
      </c>
      <c r="B1829" s="2200" t="s">
        <v>7935</v>
      </c>
      <c r="C1829" s="2200" t="s">
        <v>7936</v>
      </c>
      <c r="D1829" s="2200" t="str">
        <f t="shared" si="84"/>
        <v>NM</v>
      </c>
      <c r="E1829" s="2200" t="str">
        <f t="shared" si="85"/>
        <v>35</v>
      </c>
      <c r="F1829" s="2200" t="str">
        <f t="shared" si="86"/>
        <v>057</v>
      </c>
      <c r="G1829" s="2200">
        <f>--SUBTOTAL(3,C$2:C1829)</f>
        <v>67</v>
      </c>
    </row>
    <row r="1830" spans="1:7" hidden="1" x14ac:dyDescent="0.15">
      <c r="A1830" s="2200" t="s">
        <v>4280</v>
      </c>
      <c r="B1830" s="2200" t="s">
        <v>7937</v>
      </c>
      <c r="C1830" s="2200" t="s">
        <v>7938</v>
      </c>
      <c r="D1830" s="2200" t="str">
        <f t="shared" si="84"/>
        <v>NM</v>
      </c>
      <c r="E1830" s="2200" t="str">
        <f t="shared" si="85"/>
        <v>35</v>
      </c>
      <c r="F1830" s="2200" t="str">
        <f t="shared" si="86"/>
        <v>059</v>
      </c>
      <c r="G1830" s="2200">
        <f>--SUBTOTAL(3,C$2:C1830)</f>
        <v>67</v>
      </c>
    </row>
    <row r="1831" spans="1:7" hidden="1" x14ac:dyDescent="0.15">
      <c r="A1831" s="2200" t="s">
        <v>4280</v>
      </c>
      <c r="B1831" s="2200" t="s">
        <v>7939</v>
      </c>
      <c r="C1831" s="2200" t="s">
        <v>7940</v>
      </c>
      <c r="D1831" s="2200" t="str">
        <f t="shared" si="84"/>
        <v>NM</v>
      </c>
      <c r="E1831" s="2200" t="str">
        <f t="shared" si="85"/>
        <v>35</v>
      </c>
      <c r="F1831" s="2200" t="str">
        <f t="shared" si="86"/>
        <v>061</v>
      </c>
      <c r="G1831" s="2200">
        <f>--SUBTOTAL(3,C$2:C1831)</f>
        <v>67</v>
      </c>
    </row>
    <row r="1832" spans="1:7" hidden="1" x14ac:dyDescent="0.15">
      <c r="A1832" s="2200" t="s">
        <v>4280</v>
      </c>
      <c r="B1832" s="2200" t="s">
        <v>7941</v>
      </c>
      <c r="C1832" s="2200" t="s">
        <v>7942</v>
      </c>
      <c r="D1832" s="2200" t="str">
        <f t="shared" si="84"/>
        <v>NY</v>
      </c>
      <c r="E1832" s="2200" t="str">
        <f t="shared" si="85"/>
        <v>36</v>
      </c>
      <c r="F1832" s="2200" t="str">
        <f t="shared" si="86"/>
        <v>001</v>
      </c>
      <c r="G1832" s="2200">
        <f>--SUBTOTAL(3,C$2:C1832)</f>
        <v>67</v>
      </c>
    </row>
    <row r="1833" spans="1:7" hidden="1" x14ac:dyDescent="0.15">
      <c r="A1833" s="2200" t="s">
        <v>4280</v>
      </c>
      <c r="B1833" s="2200" t="s">
        <v>7943</v>
      </c>
      <c r="C1833" s="2200" t="s">
        <v>7944</v>
      </c>
      <c r="D1833" s="2200" t="str">
        <f t="shared" si="84"/>
        <v>NY</v>
      </c>
      <c r="E1833" s="2200" t="str">
        <f t="shared" si="85"/>
        <v>36</v>
      </c>
      <c r="F1833" s="2200" t="str">
        <f t="shared" si="86"/>
        <v>003</v>
      </c>
      <c r="G1833" s="2200">
        <f>--SUBTOTAL(3,C$2:C1833)</f>
        <v>67</v>
      </c>
    </row>
    <row r="1834" spans="1:7" hidden="1" x14ac:dyDescent="0.15">
      <c r="A1834" s="2200" t="s">
        <v>4280</v>
      </c>
      <c r="B1834" s="2200" t="s">
        <v>7945</v>
      </c>
      <c r="C1834" s="2200" t="s">
        <v>7946</v>
      </c>
      <c r="D1834" s="2200" t="str">
        <f t="shared" si="84"/>
        <v>NY</v>
      </c>
      <c r="E1834" s="2200" t="str">
        <f t="shared" si="85"/>
        <v>36</v>
      </c>
      <c r="F1834" s="2200" t="str">
        <f t="shared" si="86"/>
        <v>005</v>
      </c>
      <c r="G1834" s="2200">
        <f>--SUBTOTAL(3,C$2:C1834)</f>
        <v>67</v>
      </c>
    </row>
    <row r="1835" spans="1:7" hidden="1" x14ac:dyDescent="0.15">
      <c r="A1835" s="2200" t="s">
        <v>4280</v>
      </c>
      <c r="B1835" s="2200" t="s">
        <v>7947</v>
      </c>
      <c r="C1835" s="2200" t="s">
        <v>7948</v>
      </c>
      <c r="D1835" s="2200" t="str">
        <f t="shared" si="84"/>
        <v>NY</v>
      </c>
      <c r="E1835" s="2200" t="str">
        <f t="shared" si="85"/>
        <v>36</v>
      </c>
      <c r="F1835" s="2200" t="str">
        <f t="shared" si="86"/>
        <v>007</v>
      </c>
      <c r="G1835" s="2200">
        <f>--SUBTOTAL(3,C$2:C1835)</f>
        <v>67</v>
      </c>
    </row>
    <row r="1836" spans="1:7" hidden="1" x14ac:dyDescent="0.15">
      <c r="A1836" s="2200" t="s">
        <v>4280</v>
      </c>
      <c r="B1836" s="2200" t="s">
        <v>7949</v>
      </c>
      <c r="C1836" s="2200" t="s">
        <v>7950</v>
      </c>
      <c r="D1836" s="2200" t="str">
        <f t="shared" si="84"/>
        <v>NY</v>
      </c>
      <c r="E1836" s="2200" t="str">
        <f t="shared" si="85"/>
        <v>36</v>
      </c>
      <c r="F1836" s="2200" t="str">
        <f t="shared" si="86"/>
        <v>009</v>
      </c>
      <c r="G1836" s="2200">
        <f>--SUBTOTAL(3,C$2:C1836)</f>
        <v>67</v>
      </c>
    </row>
    <row r="1837" spans="1:7" hidden="1" x14ac:dyDescent="0.15">
      <c r="A1837" s="2200" t="s">
        <v>4280</v>
      </c>
      <c r="B1837" s="2200" t="s">
        <v>7951</v>
      </c>
      <c r="C1837" s="2200" t="s">
        <v>7952</v>
      </c>
      <c r="D1837" s="2200" t="str">
        <f t="shared" si="84"/>
        <v>NY</v>
      </c>
      <c r="E1837" s="2200" t="str">
        <f t="shared" si="85"/>
        <v>36</v>
      </c>
      <c r="F1837" s="2200" t="str">
        <f t="shared" si="86"/>
        <v>011</v>
      </c>
      <c r="G1837" s="2200">
        <f>--SUBTOTAL(3,C$2:C1837)</f>
        <v>67</v>
      </c>
    </row>
    <row r="1838" spans="1:7" hidden="1" x14ac:dyDescent="0.15">
      <c r="A1838" s="2200" t="s">
        <v>4280</v>
      </c>
      <c r="B1838" s="2200" t="s">
        <v>7953</v>
      </c>
      <c r="C1838" s="2200" t="s">
        <v>7954</v>
      </c>
      <c r="D1838" s="2200" t="str">
        <f t="shared" si="84"/>
        <v>NY</v>
      </c>
      <c r="E1838" s="2200" t="str">
        <f t="shared" si="85"/>
        <v>36</v>
      </c>
      <c r="F1838" s="2200" t="str">
        <f t="shared" si="86"/>
        <v>013</v>
      </c>
      <c r="G1838" s="2200">
        <f>--SUBTOTAL(3,C$2:C1838)</f>
        <v>67</v>
      </c>
    </row>
    <row r="1839" spans="1:7" hidden="1" x14ac:dyDescent="0.15">
      <c r="A1839" s="2200" t="s">
        <v>4280</v>
      </c>
      <c r="B1839" s="2200" t="s">
        <v>7955</v>
      </c>
      <c r="C1839" s="2200" t="s">
        <v>7956</v>
      </c>
      <c r="D1839" s="2200" t="str">
        <f t="shared" si="84"/>
        <v>NY</v>
      </c>
      <c r="E1839" s="2200" t="str">
        <f t="shared" si="85"/>
        <v>36</v>
      </c>
      <c r="F1839" s="2200" t="str">
        <f t="shared" si="86"/>
        <v>015</v>
      </c>
      <c r="G1839" s="2200">
        <f>--SUBTOTAL(3,C$2:C1839)</f>
        <v>67</v>
      </c>
    </row>
    <row r="1840" spans="1:7" hidden="1" x14ac:dyDescent="0.15">
      <c r="A1840" s="2200" t="s">
        <v>4280</v>
      </c>
      <c r="B1840" s="2200" t="s">
        <v>7957</v>
      </c>
      <c r="C1840" s="2200" t="s">
        <v>7958</v>
      </c>
      <c r="D1840" s="2200" t="str">
        <f t="shared" si="84"/>
        <v>NY</v>
      </c>
      <c r="E1840" s="2200" t="str">
        <f t="shared" si="85"/>
        <v>36</v>
      </c>
      <c r="F1840" s="2200" t="str">
        <f t="shared" si="86"/>
        <v>017</v>
      </c>
      <c r="G1840" s="2200">
        <f>--SUBTOTAL(3,C$2:C1840)</f>
        <v>67</v>
      </c>
    </row>
    <row r="1841" spans="1:7" hidden="1" x14ac:dyDescent="0.15">
      <c r="A1841" s="2200" t="s">
        <v>4280</v>
      </c>
      <c r="B1841" s="2200" t="s">
        <v>7959</v>
      </c>
      <c r="C1841" s="2200" t="s">
        <v>7960</v>
      </c>
      <c r="D1841" s="2200" t="str">
        <f t="shared" si="84"/>
        <v>NY</v>
      </c>
      <c r="E1841" s="2200" t="str">
        <f t="shared" si="85"/>
        <v>36</v>
      </c>
      <c r="F1841" s="2200" t="str">
        <f t="shared" si="86"/>
        <v>019</v>
      </c>
      <c r="G1841" s="2200">
        <f>--SUBTOTAL(3,C$2:C1841)</f>
        <v>67</v>
      </c>
    </row>
    <row r="1842" spans="1:7" hidden="1" x14ac:dyDescent="0.15">
      <c r="A1842" s="2200" t="s">
        <v>4280</v>
      </c>
      <c r="B1842" s="2200" t="s">
        <v>7961</v>
      </c>
      <c r="C1842" s="2200" t="s">
        <v>7962</v>
      </c>
      <c r="D1842" s="2200" t="str">
        <f t="shared" si="84"/>
        <v>NY</v>
      </c>
      <c r="E1842" s="2200" t="str">
        <f t="shared" si="85"/>
        <v>36</v>
      </c>
      <c r="F1842" s="2200" t="str">
        <f t="shared" si="86"/>
        <v>021</v>
      </c>
      <c r="G1842" s="2200">
        <f>--SUBTOTAL(3,C$2:C1842)</f>
        <v>67</v>
      </c>
    </row>
    <row r="1843" spans="1:7" hidden="1" x14ac:dyDescent="0.15">
      <c r="A1843" s="2200" t="s">
        <v>4280</v>
      </c>
      <c r="B1843" s="2200" t="s">
        <v>7963</v>
      </c>
      <c r="C1843" s="2200" t="s">
        <v>7964</v>
      </c>
      <c r="D1843" s="2200" t="str">
        <f t="shared" si="84"/>
        <v>NY</v>
      </c>
      <c r="E1843" s="2200" t="str">
        <f t="shared" si="85"/>
        <v>36</v>
      </c>
      <c r="F1843" s="2200" t="str">
        <f t="shared" si="86"/>
        <v>023</v>
      </c>
      <c r="G1843" s="2200">
        <f>--SUBTOTAL(3,C$2:C1843)</f>
        <v>67</v>
      </c>
    </row>
    <row r="1844" spans="1:7" hidden="1" x14ac:dyDescent="0.15">
      <c r="A1844" s="2200" t="s">
        <v>4280</v>
      </c>
      <c r="B1844" s="2200" t="s">
        <v>7965</v>
      </c>
      <c r="C1844" s="2200" t="s">
        <v>7966</v>
      </c>
      <c r="D1844" s="2200" t="str">
        <f t="shared" si="84"/>
        <v>NY</v>
      </c>
      <c r="E1844" s="2200" t="str">
        <f t="shared" si="85"/>
        <v>36</v>
      </c>
      <c r="F1844" s="2200" t="str">
        <f t="shared" si="86"/>
        <v>025</v>
      </c>
      <c r="G1844" s="2200">
        <f>--SUBTOTAL(3,C$2:C1844)</f>
        <v>67</v>
      </c>
    </row>
    <row r="1845" spans="1:7" hidden="1" x14ac:dyDescent="0.15">
      <c r="A1845" s="2200" t="s">
        <v>4280</v>
      </c>
      <c r="B1845" s="2200" t="s">
        <v>7967</v>
      </c>
      <c r="C1845" s="2200" t="s">
        <v>7968</v>
      </c>
      <c r="D1845" s="2200" t="str">
        <f t="shared" si="84"/>
        <v>NY</v>
      </c>
      <c r="E1845" s="2200" t="str">
        <f t="shared" si="85"/>
        <v>36</v>
      </c>
      <c r="F1845" s="2200" t="str">
        <f t="shared" si="86"/>
        <v>027</v>
      </c>
      <c r="G1845" s="2200">
        <f>--SUBTOTAL(3,C$2:C1845)</f>
        <v>67</v>
      </c>
    </row>
    <row r="1846" spans="1:7" hidden="1" x14ac:dyDescent="0.15">
      <c r="A1846" s="2200" t="s">
        <v>4280</v>
      </c>
      <c r="B1846" s="2200" t="s">
        <v>7969</v>
      </c>
      <c r="C1846" s="2200" t="s">
        <v>7970</v>
      </c>
      <c r="D1846" s="2200" t="str">
        <f t="shared" si="84"/>
        <v>NY</v>
      </c>
      <c r="E1846" s="2200" t="str">
        <f t="shared" si="85"/>
        <v>36</v>
      </c>
      <c r="F1846" s="2200" t="str">
        <f t="shared" si="86"/>
        <v>029</v>
      </c>
      <c r="G1846" s="2200">
        <f>--SUBTOTAL(3,C$2:C1846)</f>
        <v>67</v>
      </c>
    </row>
    <row r="1847" spans="1:7" hidden="1" x14ac:dyDescent="0.15">
      <c r="A1847" s="2200" t="s">
        <v>4280</v>
      </c>
      <c r="B1847" s="2200" t="s">
        <v>7971</v>
      </c>
      <c r="C1847" s="2200" t="s">
        <v>7972</v>
      </c>
      <c r="D1847" s="2200" t="str">
        <f t="shared" si="84"/>
        <v>NY</v>
      </c>
      <c r="E1847" s="2200" t="str">
        <f t="shared" si="85"/>
        <v>36</v>
      </c>
      <c r="F1847" s="2200" t="str">
        <f t="shared" si="86"/>
        <v>031</v>
      </c>
      <c r="G1847" s="2200">
        <f>--SUBTOTAL(3,C$2:C1847)</f>
        <v>67</v>
      </c>
    </row>
    <row r="1848" spans="1:7" hidden="1" x14ac:dyDescent="0.15">
      <c r="A1848" s="2200" t="s">
        <v>4280</v>
      </c>
      <c r="B1848" s="2200" t="s">
        <v>7973</v>
      </c>
      <c r="C1848" s="2200" t="s">
        <v>7974</v>
      </c>
      <c r="D1848" s="2200" t="str">
        <f t="shared" si="84"/>
        <v>NY</v>
      </c>
      <c r="E1848" s="2200" t="str">
        <f t="shared" si="85"/>
        <v>36</v>
      </c>
      <c r="F1848" s="2200" t="str">
        <f t="shared" si="86"/>
        <v>033</v>
      </c>
      <c r="G1848" s="2200">
        <f>--SUBTOTAL(3,C$2:C1848)</f>
        <v>67</v>
      </c>
    </row>
    <row r="1849" spans="1:7" hidden="1" x14ac:dyDescent="0.15">
      <c r="A1849" s="2200" t="s">
        <v>4280</v>
      </c>
      <c r="B1849" s="2200" t="s">
        <v>7975</v>
      </c>
      <c r="C1849" s="2200" t="s">
        <v>7976</v>
      </c>
      <c r="D1849" s="2200" t="str">
        <f t="shared" si="84"/>
        <v>NY</v>
      </c>
      <c r="E1849" s="2200" t="str">
        <f t="shared" si="85"/>
        <v>36</v>
      </c>
      <c r="F1849" s="2200" t="str">
        <f t="shared" si="86"/>
        <v>035</v>
      </c>
      <c r="G1849" s="2200">
        <f>--SUBTOTAL(3,C$2:C1849)</f>
        <v>67</v>
      </c>
    </row>
    <row r="1850" spans="1:7" hidden="1" x14ac:dyDescent="0.15">
      <c r="A1850" s="2200" t="s">
        <v>4280</v>
      </c>
      <c r="B1850" s="2200" t="s">
        <v>7977</v>
      </c>
      <c r="C1850" s="2200" t="s">
        <v>7978</v>
      </c>
      <c r="D1850" s="2200" t="str">
        <f t="shared" si="84"/>
        <v>NY</v>
      </c>
      <c r="E1850" s="2200" t="str">
        <f t="shared" si="85"/>
        <v>36</v>
      </c>
      <c r="F1850" s="2200" t="str">
        <f t="shared" si="86"/>
        <v>037</v>
      </c>
      <c r="G1850" s="2200">
        <f>--SUBTOTAL(3,C$2:C1850)</f>
        <v>67</v>
      </c>
    </row>
    <row r="1851" spans="1:7" hidden="1" x14ac:dyDescent="0.15">
      <c r="A1851" s="2200" t="s">
        <v>4280</v>
      </c>
      <c r="B1851" s="2200" t="s">
        <v>7979</v>
      </c>
      <c r="C1851" s="2200" t="s">
        <v>7980</v>
      </c>
      <c r="D1851" s="2200" t="str">
        <f t="shared" si="84"/>
        <v>NY</v>
      </c>
      <c r="E1851" s="2200" t="str">
        <f t="shared" si="85"/>
        <v>36</v>
      </c>
      <c r="F1851" s="2200" t="str">
        <f t="shared" si="86"/>
        <v>039</v>
      </c>
      <c r="G1851" s="2200">
        <f>--SUBTOTAL(3,C$2:C1851)</f>
        <v>67</v>
      </c>
    </row>
    <row r="1852" spans="1:7" hidden="1" x14ac:dyDescent="0.15">
      <c r="A1852" s="2200" t="s">
        <v>4280</v>
      </c>
      <c r="B1852" s="2200" t="s">
        <v>7981</v>
      </c>
      <c r="C1852" s="2200" t="s">
        <v>7982</v>
      </c>
      <c r="D1852" s="2200" t="str">
        <f t="shared" si="84"/>
        <v>NY</v>
      </c>
      <c r="E1852" s="2200" t="str">
        <f t="shared" si="85"/>
        <v>36</v>
      </c>
      <c r="F1852" s="2200" t="str">
        <f t="shared" si="86"/>
        <v>041</v>
      </c>
      <c r="G1852" s="2200">
        <f>--SUBTOTAL(3,C$2:C1852)</f>
        <v>67</v>
      </c>
    </row>
    <row r="1853" spans="1:7" hidden="1" x14ac:dyDescent="0.15">
      <c r="A1853" s="2200" t="s">
        <v>4280</v>
      </c>
      <c r="B1853" s="2200" t="s">
        <v>7983</v>
      </c>
      <c r="C1853" s="2200" t="s">
        <v>7984</v>
      </c>
      <c r="D1853" s="2200" t="str">
        <f t="shared" si="84"/>
        <v>NY</v>
      </c>
      <c r="E1853" s="2200" t="str">
        <f t="shared" si="85"/>
        <v>36</v>
      </c>
      <c r="F1853" s="2200" t="str">
        <f t="shared" si="86"/>
        <v>043</v>
      </c>
      <c r="G1853" s="2200">
        <f>--SUBTOTAL(3,C$2:C1853)</f>
        <v>67</v>
      </c>
    </row>
    <row r="1854" spans="1:7" hidden="1" x14ac:dyDescent="0.15">
      <c r="A1854" s="2200" t="s">
        <v>4280</v>
      </c>
      <c r="B1854" s="2200" t="s">
        <v>7985</v>
      </c>
      <c r="C1854" s="2200" t="s">
        <v>7986</v>
      </c>
      <c r="D1854" s="2200" t="str">
        <f t="shared" si="84"/>
        <v>NY</v>
      </c>
      <c r="E1854" s="2200" t="str">
        <f t="shared" si="85"/>
        <v>36</v>
      </c>
      <c r="F1854" s="2200" t="str">
        <f t="shared" si="86"/>
        <v>045</v>
      </c>
      <c r="G1854" s="2200">
        <f>--SUBTOTAL(3,C$2:C1854)</f>
        <v>67</v>
      </c>
    </row>
    <row r="1855" spans="1:7" hidden="1" x14ac:dyDescent="0.15">
      <c r="A1855" s="2200" t="s">
        <v>4280</v>
      </c>
      <c r="B1855" s="2200" t="s">
        <v>7987</v>
      </c>
      <c r="C1855" s="2200" t="s">
        <v>7988</v>
      </c>
      <c r="D1855" s="2200" t="str">
        <f t="shared" si="84"/>
        <v>NY</v>
      </c>
      <c r="E1855" s="2200" t="str">
        <f t="shared" si="85"/>
        <v>36</v>
      </c>
      <c r="F1855" s="2200" t="str">
        <f t="shared" si="86"/>
        <v>047</v>
      </c>
      <c r="G1855" s="2200">
        <f>--SUBTOTAL(3,C$2:C1855)</f>
        <v>67</v>
      </c>
    </row>
    <row r="1856" spans="1:7" hidden="1" x14ac:dyDescent="0.15">
      <c r="A1856" s="2200" t="s">
        <v>4280</v>
      </c>
      <c r="B1856" s="2200" t="s">
        <v>7989</v>
      </c>
      <c r="C1856" s="2200" t="s">
        <v>7990</v>
      </c>
      <c r="D1856" s="2200" t="str">
        <f t="shared" si="84"/>
        <v>NY</v>
      </c>
      <c r="E1856" s="2200" t="str">
        <f t="shared" si="85"/>
        <v>36</v>
      </c>
      <c r="F1856" s="2200" t="str">
        <f t="shared" si="86"/>
        <v>049</v>
      </c>
      <c r="G1856" s="2200">
        <f>--SUBTOTAL(3,C$2:C1856)</f>
        <v>67</v>
      </c>
    </row>
    <row r="1857" spans="1:7" hidden="1" x14ac:dyDescent="0.15">
      <c r="A1857" s="2200" t="s">
        <v>4280</v>
      </c>
      <c r="B1857" s="2200" t="s">
        <v>7991</v>
      </c>
      <c r="C1857" s="2200" t="s">
        <v>7992</v>
      </c>
      <c r="D1857" s="2200" t="str">
        <f t="shared" si="84"/>
        <v>NY</v>
      </c>
      <c r="E1857" s="2200" t="str">
        <f t="shared" si="85"/>
        <v>36</v>
      </c>
      <c r="F1857" s="2200" t="str">
        <f t="shared" si="86"/>
        <v>051</v>
      </c>
      <c r="G1857" s="2200">
        <f>--SUBTOTAL(3,C$2:C1857)</f>
        <v>67</v>
      </c>
    </row>
    <row r="1858" spans="1:7" hidden="1" x14ac:dyDescent="0.15">
      <c r="A1858" s="2200" t="s">
        <v>4280</v>
      </c>
      <c r="B1858" s="2200" t="s">
        <v>7993</v>
      </c>
      <c r="C1858" s="2200" t="s">
        <v>7994</v>
      </c>
      <c r="D1858" s="2200" t="str">
        <f t="shared" si="84"/>
        <v>NY</v>
      </c>
      <c r="E1858" s="2200" t="str">
        <f t="shared" si="85"/>
        <v>36</v>
      </c>
      <c r="F1858" s="2200" t="str">
        <f t="shared" si="86"/>
        <v>053</v>
      </c>
      <c r="G1858" s="2200">
        <f>--SUBTOTAL(3,C$2:C1858)</f>
        <v>67</v>
      </c>
    </row>
    <row r="1859" spans="1:7" hidden="1" x14ac:dyDescent="0.15">
      <c r="A1859" s="2200" t="s">
        <v>4280</v>
      </c>
      <c r="B1859" s="2200" t="s">
        <v>7995</v>
      </c>
      <c r="C1859" s="2200" t="s">
        <v>7996</v>
      </c>
      <c r="D1859" s="2200" t="str">
        <f t="shared" ref="D1859:D1922" si="87">RIGHT(C1859,2)</f>
        <v>NY</v>
      </c>
      <c r="E1859" s="2200" t="str">
        <f t="shared" ref="E1859:E1922" si="88">MID(B1859,3,2)</f>
        <v>36</v>
      </c>
      <c r="F1859" s="2200" t="str">
        <f t="shared" ref="F1859:F1922" si="89">MID(B1859,5,3)</f>
        <v>055</v>
      </c>
      <c r="G1859" s="2200">
        <f>--SUBTOTAL(3,C$2:C1859)</f>
        <v>67</v>
      </c>
    </row>
    <row r="1860" spans="1:7" hidden="1" x14ac:dyDescent="0.15">
      <c r="A1860" s="2200" t="s">
        <v>4280</v>
      </c>
      <c r="B1860" s="2200" t="s">
        <v>7997</v>
      </c>
      <c r="C1860" s="2200" t="s">
        <v>7998</v>
      </c>
      <c r="D1860" s="2200" t="str">
        <f t="shared" si="87"/>
        <v>NY</v>
      </c>
      <c r="E1860" s="2200" t="str">
        <f t="shared" si="88"/>
        <v>36</v>
      </c>
      <c r="F1860" s="2200" t="str">
        <f t="shared" si="89"/>
        <v>057</v>
      </c>
      <c r="G1860" s="2200">
        <f>--SUBTOTAL(3,C$2:C1860)</f>
        <v>67</v>
      </c>
    </row>
    <row r="1861" spans="1:7" hidden="1" x14ac:dyDescent="0.15">
      <c r="A1861" s="2200" t="s">
        <v>4280</v>
      </c>
      <c r="B1861" s="2200" t="s">
        <v>7999</v>
      </c>
      <c r="C1861" s="2200" t="s">
        <v>8000</v>
      </c>
      <c r="D1861" s="2200" t="str">
        <f t="shared" si="87"/>
        <v>NY</v>
      </c>
      <c r="E1861" s="2200" t="str">
        <f t="shared" si="88"/>
        <v>36</v>
      </c>
      <c r="F1861" s="2200" t="str">
        <f t="shared" si="89"/>
        <v>059</v>
      </c>
      <c r="G1861" s="2200">
        <f>--SUBTOTAL(3,C$2:C1861)</f>
        <v>67</v>
      </c>
    </row>
    <row r="1862" spans="1:7" hidden="1" x14ac:dyDescent="0.15">
      <c r="A1862" s="2200" t="s">
        <v>4280</v>
      </c>
      <c r="B1862" s="2200" t="s">
        <v>8001</v>
      </c>
      <c r="C1862" s="2200" t="s">
        <v>8002</v>
      </c>
      <c r="D1862" s="2200" t="str">
        <f t="shared" si="87"/>
        <v>NY</v>
      </c>
      <c r="E1862" s="2200" t="str">
        <f t="shared" si="88"/>
        <v>36</v>
      </c>
      <c r="F1862" s="2200" t="str">
        <f t="shared" si="89"/>
        <v>061</v>
      </c>
      <c r="G1862" s="2200">
        <f>--SUBTOTAL(3,C$2:C1862)</f>
        <v>67</v>
      </c>
    </row>
    <row r="1863" spans="1:7" hidden="1" x14ac:dyDescent="0.15">
      <c r="A1863" s="2200" t="s">
        <v>4280</v>
      </c>
      <c r="B1863" s="2200" t="s">
        <v>8003</v>
      </c>
      <c r="C1863" s="2200" t="s">
        <v>8004</v>
      </c>
      <c r="D1863" s="2200" t="str">
        <f t="shared" si="87"/>
        <v>NY</v>
      </c>
      <c r="E1863" s="2200" t="str">
        <f t="shared" si="88"/>
        <v>36</v>
      </c>
      <c r="F1863" s="2200" t="str">
        <f t="shared" si="89"/>
        <v>063</v>
      </c>
      <c r="G1863" s="2200">
        <f>--SUBTOTAL(3,C$2:C1863)</f>
        <v>67</v>
      </c>
    </row>
    <row r="1864" spans="1:7" hidden="1" x14ac:dyDescent="0.15">
      <c r="A1864" s="2200" t="s">
        <v>4280</v>
      </c>
      <c r="B1864" s="2200" t="s">
        <v>8005</v>
      </c>
      <c r="C1864" s="2200" t="s">
        <v>8006</v>
      </c>
      <c r="D1864" s="2200" t="str">
        <f t="shared" si="87"/>
        <v>NY</v>
      </c>
      <c r="E1864" s="2200" t="str">
        <f t="shared" si="88"/>
        <v>36</v>
      </c>
      <c r="F1864" s="2200" t="str">
        <f t="shared" si="89"/>
        <v>065</v>
      </c>
      <c r="G1864" s="2200">
        <f>--SUBTOTAL(3,C$2:C1864)</f>
        <v>67</v>
      </c>
    </row>
    <row r="1865" spans="1:7" hidden="1" x14ac:dyDescent="0.15">
      <c r="A1865" s="2200" t="s">
        <v>4280</v>
      </c>
      <c r="B1865" s="2200" t="s">
        <v>8007</v>
      </c>
      <c r="C1865" s="2200" t="s">
        <v>8008</v>
      </c>
      <c r="D1865" s="2200" t="str">
        <f t="shared" si="87"/>
        <v>NY</v>
      </c>
      <c r="E1865" s="2200" t="str">
        <f t="shared" si="88"/>
        <v>36</v>
      </c>
      <c r="F1865" s="2200" t="str">
        <f t="shared" si="89"/>
        <v>067</v>
      </c>
      <c r="G1865" s="2200">
        <f>--SUBTOTAL(3,C$2:C1865)</f>
        <v>67</v>
      </c>
    </row>
    <row r="1866" spans="1:7" hidden="1" x14ac:dyDescent="0.15">
      <c r="A1866" s="2200" t="s">
        <v>4280</v>
      </c>
      <c r="B1866" s="2200" t="s">
        <v>8009</v>
      </c>
      <c r="C1866" s="2200" t="s">
        <v>8010</v>
      </c>
      <c r="D1866" s="2200" t="str">
        <f t="shared" si="87"/>
        <v>NY</v>
      </c>
      <c r="E1866" s="2200" t="str">
        <f t="shared" si="88"/>
        <v>36</v>
      </c>
      <c r="F1866" s="2200" t="str">
        <f t="shared" si="89"/>
        <v>069</v>
      </c>
      <c r="G1866" s="2200">
        <f>--SUBTOTAL(3,C$2:C1866)</f>
        <v>67</v>
      </c>
    </row>
    <row r="1867" spans="1:7" hidden="1" x14ac:dyDescent="0.15">
      <c r="A1867" s="2200" t="s">
        <v>4280</v>
      </c>
      <c r="B1867" s="2200" t="s">
        <v>8011</v>
      </c>
      <c r="C1867" s="2200" t="s">
        <v>8012</v>
      </c>
      <c r="D1867" s="2200" t="str">
        <f t="shared" si="87"/>
        <v>NY</v>
      </c>
      <c r="E1867" s="2200" t="str">
        <f t="shared" si="88"/>
        <v>36</v>
      </c>
      <c r="F1867" s="2200" t="str">
        <f t="shared" si="89"/>
        <v>071</v>
      </c>
      <c r="G1867" s="2200">
        <f>--SUBTOTAL(3,C$2:C1867)</f>
        <v>67</v>
      </c>
    </row>
    <row r="1868" spans="1:7" hidden="1" x14ac:dyDescent="0.15">
      <c r="A1868" s="2200" t="s">
        <v>4280</v>
      </c>
      <c r="B1868" s="2200" t="s">
        <v>8013</v>
      </c>
      <c r="C1868" s="2200" t="s">
        <v>8014</v>
      </c>
      <c r="D1868" s="2200" t="str">
        <f t="shared" si="87"/>
        <v>NY</v>
      </c>
      <c r="E1868" s="2200" t="str">
        <f t="shared" si="88"/>
        <v>36</v>
      </c>
      <c r="F1868" s="2200" t="str">
        <f t="shared" si="89"/>
        <v>073</v>
      </c>
      <c r="G1868" s="2200">
        <f>--SUBTOTAL(3,C$2:C1868)</f>
        <v>67</v>
      </c>
    </row>
    <row r="1869" spans="1:7" hidden="1" x14ac:dyDescent="0.15">
      <c r="A1869" s="2200" t="s">
        <v>4280</v>
      </c>
      <c r="B1869" s="2200" t="s">
        <v>8015</v>
      </c>
      <c r="C1869" s="2200" t="s">
        <v>8016</v>
      </c>
      <c r="D1869" s="2200" t="str">
        <f t="shared" si="87"/>
        <v>NY</v>
      </c>
      <c r="E1869" s="2200" t="str">
        <f t="shared" si="88"/>
        <v>36</v>
      </c>
      <c r="F1869" s="2200" t="str">
        <f t="shared" si="89"/>
        <v>075</v>
      </c>
      <c r="G1869" s="2200">
        <f>--SUBTOTAL(3,C$2:C1869)</f>
        <v>67</v>
      </c>
    </row>
    <row r="1870" spans="1:7" hidden="1" x14ac:dyDescent="0.15">
      <c r="A1870" s="2200" t="s">
        <v>4280</v>
      </c>
      <c r="B1870" s="2200" t="s">
        <v>8017</v>
      </c>
      <c r="C1870" s="2200" t="s">
        <v>8018</v>
      </c>
      <c r="D1870" s="2200" t="str">
        <f t="shared" si="87"/>
        <v>NY</v>
      </c>
      <c r="E1870" s="2200" t="str">
        <f t="shared" si="88"/>
        <v>36</v>
      </c>
      <c r="F1870" s="2200" t="str">
        <f t="shared" si="89"/>
        <v>077</v>
      </c>
      <c r="G1870" s="2200">
        <f>--SUBTOTAL(3,C$2:C1870)</f>
        <v>67</v>
      </c>
    </row>
    <row r="1871" spans="1:7" hidden="1" x14ac:dyDescent="0.15">
      <c r="A1871" s="2200" t="s">
        <v>4280</v>
      </c>
      <c r="B1871" s="2200" t="s">
        <v>8019</v>
      </c>
      <c r="C1871" s="2200" t="s">
        <v>8020</v>
      </c>
      <c r="D1871" s="2200" t="str">
        <f t="shared" si="87"/>
        <v>NY</v>
      </c>
      <c r="E1871" s="2200" t="str">
        <f t="shared" si="88"/>
        <v>36</v>
      </c>
      <c r="F1871" s="2200" t="str">
        <f t="shared" si="89"/>
        <v>079</v>
      </c>
      <c r="G1871" s="2200">
        <f>--SUBTOTAL(3,C$2:C1871)</f>
        <v>67</v>
      </c>
    </row>
    <row r="1872" spans="1:7" hidden="1" x14ac:dyDescent="0.15">
      <c r="A1872" s="2200" t="s">
        <v>4280</v>
      </c>
      <c r="B1872" s="2200" t="s">
        <v>8021</v>
      </c>
      <c r="C1872" s="2200" t="s">
        <v>8022</v>
      </c>
      <c r="D1872" s="2200" t="str">
        <f t="shared" si="87"/>
        <v>NY</v>
      </c>
      <c r="E1872" s="2200" t="str">
        <f t="shared" si="88"/>
        <v>36</v>
      </c>
      <c r="F1872" s="2200" t="str">
        <f t="shared" si="89"/>
        <v>081</v>
      </c>
      <c r="G1872" s="2200">
        <f>--SUBTOTAL(3,C$2:C1872)</f>
        <v>67</v>
      </c>
    </row>
    <row r="1873" spans="1:7" hidden="1" x14ac:dyDescent="0.15">
      <c r="A1873" s="2200" t="s">
        <v>4280</v>
      </c>
      <c r="B1873" s="2200" t="s">
        <v>8023</v>
      </c>
      <c r="C1873" s="2200" t="s">
        <v>8024</v>
      </c>
      <c r="D1873" s="2200" t="str">
        <f t="shared" si="87"/>
        <v>NY</v>
      </c>
      <c r="E1873" s="2200" t="str">
        <f t="shared" si="88"/>
        <v>36</v>
      </c>
      <c r="F1873" s="2200" t="str">
        <f t="shared" si="89"/>
        <v>083</v>
      </c>
      <c r="G1873" s="2200">
        <f>--SUBTOTAL(3,C$2:C1873)</f>
        <v>67</v>
      </c>
    </row>
    <row r="1874" spans="1:7" hidden="1" x14ac:dyDescent="0.15">
      <c r="A1874" s="2200" t="s">
        <v>4280</v>
      </c>
      <c r="B1874" s="2200" t="s">
        <v>8025</v>
      </c>
      <c r="C1874" s="2200" t="s">
        <v>8026</v>
      </c>
      <c r="D1874" s="2200" t="str">
        <f t="shared" si="87"/>
        <v>NY</v>
      </c>
      <c r="E1874" s="2200" t="str">
        <f t="shared" si="88"/>
        <v>36</v>
      </c>
      <c r="F1874" s="2200" t="str">
        <f t="shared" si="89"/>
        <v>085</v>
      </c>
      <c r="G1874" s="2200">
        <f>--SUBTOTAL(3,C$2:C1874)</f>
        <v>67</v>
      </c>
    </row>
    <row r="1875" spans="1:7" hidden="1" x14ac:dyDescent="0.15">
      <c r="A1875" s="2200" t="s">
        <v>4280</v>
      </c>
      <c r="B1875" s="2200" t="s">
        <v>8027</v>
      </c>
      <c r="C1875" s="2200" t="s">
        <v>8028</v>
      </c>
      <c r="D1875" s="2200" t="str">
        <f t="shared" si="87"/>
        <v>NY</v>
      </c>
      <c r="E1875" s="2200" t="str">
        <f t="shared" si="88"/>
        <v>36</v>
      </c>
      <c r="F1875" s="2200" t="str">
        <f t="shared" si="89"/>
        <v>087</v>
      </c>
      <c r="G1875" s="2200">
        <f>--SUBTOTAL(3,C$2:C1875)</f>
        <v>67</v>
      </c>
    </row>
    <row r="1876" spans="1:7" hidden="1" x14ac:dyDescent="0.15">
      <c r="A1876" s="2200" t="s">
        <v>4280</v>
      </c>
      <c r="B1876" s="2200" t="s">
        <v>8029</v>
      </c>
      <c r="C1876" s="2200" t="s">
        <v>8030</v>
      </c>
      <c r="D1876" s="2200" t="str">
        <f t="shared" si="87"/>
        <v>NY</v>
      </c>
      <c r="E1876" s="2200" t="str">
        <f t="shared" si="88"/>
        <v>36</v>
      </c>
      <c r="F1876" s="2200" t="str">
        <f t="shared" si="89"/>
        <v>089</v>
      </c>
      <c r="G1876" s="2200">
        <f>--SUBTOTAL(3,C$2:C1876)</f>
        <v>67</v>
      </c>
    </row>
    <row r="1877" spans="1:7" hidden="1" x14ac:dyDescent="0.15">
      <c r="A1877" s="2200" t="s">
        <v>4280</v>
      </c>
      <c r="B1877" s="2200" t="s">
        <v>8031</v>
      </c>
      <c r="C1877" s="2200" t="s">
        <v>8032</v>
      </c>
      <c r="D1877" s="2200" t="str">
        <f t="shared" si="87"/>
        <v>NY</v>
      </c>
      <c r="E1877" s="2200" t="str">
        <f t="shared" si="88"/>
        <v>36</v>
      </c>
      <c r="F1877" s="2200" t="str">
        <f t="shared" si="89"/>
        <v>091</v>
      </c>
      <c r="G1877" s="2200">
        <f>--SUBTOTAL(3,C$2:C1877)</f>
        <v>67</v>
      </c>
    </row>
    <row r="1878" spans="1:7" hidden="1" x14ac:dyDescent="0.15">
      <c r="A1878" s="2200" t="s">
        <v>4280</v>
      </c>
      <c r="B1878" s="2200" t="s">
        <v>8033</v>
      </c>
      <c r="C1878" s="2200" t="s">
        <v>8034</v>
      </c>
      <c r="D1878" s="2200" t="str">
        <f t="shared" si="87"/>
        <v>NY</v>
      </c>
      <c r="E1878" s="2200" t="str">
        <f t="shared" si="88"/>
        <v>36</v>
      </c>
      <c r="F1878" s="2200" t="str">
        <f t="shared" si="89"/>
        <v>093</v>
      </c>
      <c r="G1878" s="2200">
        <f>--SUBTOTAL(3,C$2:C1878)</f>
        <v>67</v>
      </c>
    </row>
    <row r="1879" spans="1:7" hidden="1" x14ac:dyDescent="0.15">
      <c r="A1879" s="2200" t="s">
        <v>4280</v>
      </c>
      <c r="B1879" s="2200" t="s">
        <v>8035</v>
      </c>
      <c r="C1879" s="2200" t="s">
        <v>8036</v>
      </c>
      <c r="D1879" s="2200" t="str">
        <f t="shared" si="87"/>
        <v>NY</v>
      </c>
      <c r="E1879" s="2200" t="str">
        <f t="shared" si="88"/>
        <v>36</v>
      </c>
      <c r="F1879" s="2200" t="str">
        <f t="shared" si="89"/>
        <v>095</v>
      </c>
      <c r="G1879" s="2200">
        <f>--SUBTOTAL(3,C$2:C1879)</f>
        <v>67</v>
      </c>
    </row>
    <row r="1880" spans="1:7" hidden="1" x14ac:dyDescent="0.15">
      <c r="A1880" s="2200" t="s">
        <v>4280</v>
      </c>
      <c r="B1880" s="2200" t="s">
        <v>8037</v>
      </c>
      <c r="C1880" s="2200" t="s">
        <v>8038</v>
      </c>
      <c r="D1880" s="2200" t="str">
        <f t="shared" si="87"/>
        <v>NY</v>
      </c>
      <c r="E1880" s="2200" t="str">
        <f t="shared" si="88"/>
        <v>36</v>
      </c>
      <c r="F1880" s="2200" t="str">
        <f t="shared" si="89"/>
        <v>097</v>
      </c>
      <c r="G1880" s="2200">
        <f>--SUBTOTAL(3,C$2:C1880)</f>
        <v>67</v>
      </c>
    </row>
    <row r="1881" spans="1:7" hidden="1" x14ac:dyDescent="0.15">
      <c r="A1881" s="2200" t="s">
        <v>4280</v>
      </c>
      <c r="B1881" s="2200" t="s">
        <v>8039</v>
      </c>
      <c r="C1881" s="2200" t="s">
        <v>8040</v>
      </c>
      <c r="D1881" s="2200" t="str">
        <f t="shared" si="87"/>
        <v>NY</v>
      </c>
      <c r="E1881" s="2200" t="str">
        <f t="shared" si="88"/>
        <v>36</v>
      </c>
      <c r="F1881" s="2200" t="str">
        <f t="shared" si="89"/>
        <v>099</v>
      </c>
      <c r="G1881" s="2200">
        <f>--SUBTOTAL(3,C$2:C1881)</f>
        <v>67</v>
      </c>
    </row>
    <row r="1882" spans="1:7" hidden="1" x14ac:dyDescent="0.15">
      <c r="A1882" s="2200" t="s">
        <v>4280</v>
      </c>
      <c r="B1882" s="2200" t="s">
        <v>8041</v>
      </c>
      <c r="C1882" s="2200" t="s">
        <v>8042</v>
      </c>
      <c r="D1882" s="2200" t="str">
        <f t="shared" si="87"/>
        <v>NY</v>
      </c>
      <c r="E1882" s="2200" t="str">
        <f t="shared" si="88"/>
        <v>36</v>
      </c>
      <c r="F1882" s="2200" t="str">
        <f t="shared" si="89"/>
        <v>101</v>
      </c>
      <c r="G1882" s="2200">
        <f>--SUBTOTAL(3,C$2:C1882)</f>
        <v>67</v>
      </c>
    </row>
    <row r="1883" spans="1:7" hidden="1" x14ac:dyDescent="0.15">
      <c r="A1883" s="2200" t="s">
        <v>4280</v>
      </c>
      <c r="B1883" s="2200" t="s">
        <v>8043</v>
      </c>
      <c r="C1883" s="2200" t="s">
        <v>8044</v>
      </c>
      <c r="D1883" s="2200" t="str">
        <f t="shared" si="87"/>
        <v>NY</v>
      </c>
      <c r="E1883" s="2200" t="str">
        <f t="shared" si="88"/>
        <v>36</v>
      </c>
      <c r="F1883" s="2200" t="str">
        <f t="shared" si="89"/>
        <v>103</v>
      </c>
      <c r="G1883" s="2200">
        <f>--SUBTOTAL(3,C$2:C1883)</f>
        <v>67</v>
      </c>
    </row>
    <row r="1884" spans="1:7" hidden="1" x14ac:dyDescent="0.15">
      <c r="A1884" s="2200" t="s">
        <v>4280</v>
      </c>
      <c r="B1884" s="2200" t="s">
        <v>8045</v>
      </c>
      <c r="C1884" s="2200" t="s">
        <v>8046</v>
      </c>
      <c r="D1884" s="2200" t="str">
        <f t="shared" si="87"/>
        <v>NY</v>
      </c>
      <c r="E1884" s="2200" t="str">
        <f t="shared" si="88"/>
        <v>36</v>
      </c>
      <c r="F1884" s="2200" t="str">
        <f t="shared" si="89"/>
        <v>105</v>
      </c>
      <c r="G1884" s="2200">
        <f>--SUBTOTAL(3,C$2:C1884)</f>
        <v>67</v>
      </c>
    </row>
    <row r="1885" spans="1:7" hidden="1" x14ac:dyDescent="0.15">
      <c r="A1885" s="2200" t="s">
        <v>4280</v>
      </c>
      <c r="B1885" s="2200" t="s">
        <v>8047</v>
      </c>
      <c r="C1885" s="2200" t="s">
        <v>8048</v>
      </c>
      <c r="D1885" s="2200" t="str">
        <f t="shared" si="87"/>
        <v>NY</v>
      </c>
      <c r="E1885" s="2200" t="str">
        <f t="shared" si="88"/>
        <v>36</v>
      </c>
      <c r="F1885" s="2200" t="str">
        <f t="shared" si="89"/>
        <v>107</v>
      </c>
      <c r="G1885" s="2200">
        <f>--SUBTOTAL(3,C$2:C1885)</f>
        <v>67</v>
      </c>
    </row>
    <row r="1886" spans="1:7" hidden="1" x14ac:dyDescent="0.15">
      <c r="A1886" s="2200" t="s">
        <v>4280</v>
      </c>
      <c r="B1886" s="2200" t="s">
        <v>8049</v>
      </c>
      <c r="C1886" s="2200" t="s">
        <v>8050</v>
      </c>
      <c r="D1886" s="2200" t="str">
        <f t="shared" si="87"/>
        <v>NY</v>
      </c>
      <c r="E1886" s="2200" t="str">
        <f t="shared" si="88"/>
        <v>36</v>
      </c>
      <c r="F1886" s="2200" t="str">
        <f t="shared" si="89"/>
        <v>109</v>
      </c>
      <c r="G1886" s="2200">
        <f>--SUBTOTAL(3,C$2:C1886)</f>
        <v>67</v>
      </c>
    </row>
    <row r="1887" spans="1:7" hidden="1" x14ac:dyDescent="0.15">
      <c r="A1887" s="2200" t="s">
        <v>4280</v>
      </c>
      <c r="B1887" s="2200" t="s">
        <v>8051</v>
      </c>
      <c r="C1887" s="2200" t="s">
        <v>8052</v>
      </c>
      <c r="D1887" s="2200" t="str">
        <f t="shared" si="87"/>
        <v>NY</v>
      </c>
      <c r="E1887" s="2200" t="str">
        <f t="shared" si="88"/>
        <v>36</v>
      </c>
      <c r="F1887" s="2200" t="str">
        <f t="shared" si="89"/>
        <v>111</v>
      </c>
      <c r="G1887" s="2200">
        <f>--SUBTOTAL(3,C$2:C1887)</f>
        <v>67</v>
      </c>
    </row>
    <row r="1888" spans="1:7" hidden="1" x14ac:dyDescent="0.15">
      <c r="A1888" s="2200" t="s">
        <v>4280</v>
      </c>
      <c r="B1888" s="2200" t="s">
        <v>8053</v>
      </c>
      <c r="C1888" s="2200" t="s">
        <v>8054</v>
      </c>
      <c r="D1888" s="2200" t="str">
        <f t="shared" si="87"/>
        <v>NY</v>
      </c>
      <c r="E1888" s="2200" t="str">
        <f t="shared" si="88"/>
        <v>36</v>
      </c>
      <c r="F1888" s="2200" t="str">
        <f t="shared" si="89"/>
        <v>113</v>
      </c>
      <c r="G1888" s="2200">
        <f>--SUBTOTAL(3,C$2:C1888)</f>
        <v>67</v>
      </c>
    </row>
    <row r="1889" spans="1:7" hidden="1" x14ac:dyDescent="0.15">
      <c r="A1889" s="2200" t="s">
        <v>4280</v>
      </c>
      <c r="B1889" s="2200" t="s">
        <v>8055</v>
      </c>
      <c r="C1889" s="2200" t="s">
        <v>8056</v>
      </c>
      <c r="D1889" s="2200" t="str">
        <f t="shared" si="87"/>
        <v>NY</v>
      </c>
      <c r="E1889" s="2200" t="str">
        <f t="shared" si="88"/>
        <v>36</v>
      </c>
      <c r="F1889" s="2200" t="str">
        <f t="shared" si="89"/>
        <v>115</v>
      </c>
      <c r="G1889" s="2200">
        <f>--SUBTOTAL(3,C$2:C1889)</f>
        <v>67</v>
      </c>
    </row>
    <row r="1890" spans="1:7" hidden="1" x14ac:dyDescent="0.15">
      <c r="A1890" s="2200" t="s">
        <v>4280</v>
      </c>
      <c r="B1890" s="2200" t="s">
        <v>8057</v>
      </c>
      <c r="C1890" s="2200" t="s">
        <v>8058</v>
      </c>
      <c r="D1890" s="2200" t="str">
        <f t="shared" si="87"/>
        <v>NY</v>
      </c>
      <c r="E1890" s="2200" t="str">
        <f t="shared" si="88"/>
        <v>36</v>
      </c>
      <c r="F1890" s="2200" t="str">
        <f t="shared" si="89"/>
        <v>117</v>
      </c>
      <c r="G1890" s="2200">
        <f>--SUBTOTAL(3,C$2:C1890)</f>
        <v>67</v>
      </c>
    </row>
    <row r="1891" spans="1:7" hidden="1" x14ac:dyDescent="0.15">
      <c r="A1891" s="2200" t="s">
        <v>4280</v>
      </c>
      <c r="B1891" s="2200" t="s">
        <v>8059</v>
      </c>
      <c r="C1891" s="2200" t="s">
        <v>8060</v>
      </c>
      <c r="D1891" s="2200" t="str">
        <f t="shared" si="87"/>
        <v>NY</v>
      </c>
      <c r="E1891" s="2200" t="str">
        <f t="shared" si="88"/>
        <v>36</v>
      </c>
      <c r="F1891" s="2200" t="str">
        <f t="shared" si="89"/>
        <v>119</v>
      </c>
      <c r="G1891" s="2200">
        <f>--SUBTOTAL(3,C$2:C1891)</f>
        <v>67</v>
      </c>
    </row>
    <row r="1892" spans="1:7" hidden="1" x14ac:dyDescent="0.15">
      <c r="A1892" s="2200" t="s">
        <v>4280</v>
      </c>
      <c r="B1892" s="2200" t="s">
        <v>8061</v>
      </c>
      <c r="C1892" s="2200" t="s">
        <v>8062</v>
      </c>
      <c r="D1892" s="2200" t="str">
        <f t="shared" si="87"/>
        <v>NY</v>
      </c>
      <c r="E1892" s="2200" t="str">
        <f t="shared" si="88"/>
        <v>36</v>
      </c>
      <c r="F1892" s="2200" t="str">
        <f t="shared" si="89"/>
        <v>121</v>
      </c>
      <c r="G1892" s="2200">
        <f>--SUBTOTAL(3,C$2:C1892)</f>
        <v>67</v>
      </c>
    </row>
    <row r="1893" spans="1:7" hidden="1" x14ac:dyDescent="0.15">
      <c r="A1893" s="2200" t="s">
        <v>4280</v>
      </c>
      <c r="B1893" s="2200" t="s">
        <v>8063</v>
      </c>
      <c r="C1893" s="2200" t="s">
        <v>8064</v>
      </c>
      <c r="D1893" s="2200" t="str">
        <f t="shared" si="87"/>
        <v>NY</v>
      </c>
      <c r="E1893" s="2200" t="str">
        <f t="shared" si="88"/>
        <v>36</v>
      </c>
      <c r="F1893" s="2200" t="str">
        <f t="shared" si="89"/>
        <v>123</v>
      </c>
      <c r="G1893" s="2200">
        <f>--SUBTOTAL(3,C$2:C1893)</f>
        <v>67</v>
      </c>
    </row>
    <row r="1894" spans="1:7" hidden="1" x14ac:dyDescent="0.15">
      <c r="A1894" s="2200" t="s">
        <v>4280</v>
      </c>
      <c r="B1894" s="2200" t="s">
        <v>8065</v>
      </c>
      <c r="C1894" s="2200" t="s">
        <v>8066</v>
      </c>
      <c r="D1894" s="2200" t="str">
        <f t="shared" si="87"/>
        <v>NC</v>
      </c>
      <c r="E1894" s="2200" t="str">
        <f t="shared" si="88"/>
        <v>37</v>
      </c>
      <c r="F1894" s="2200" t="str">
        <f t="shared" si="89"/>
        <v>001</v>
      </c>
      <c r="G1894" s="2200">
        <f>--SUBTOTAL(3,C$2:C1894)</f>
        <v>67</v>
      </c>
    </row>
    <row r="1895" spans="1:7" hidden="1" x14ac:dyDescent="0.15">
      <c r="A1895" s="2200" t="s">
        <v>4280</v>
      </c>
      <c r="B1895" s="2200" t="s">
        <v>8067</v>
      </c>
      <c r="C1895" s="2200" t="s">
        <v>8068</v>
      </c>
      <c r="D1895" s="2200" t="str">
        <f t="shared" si="87"/>
        <v>NC</v>
      </c>
      <c r="E1895" s="2200" t="str">
        <f t="shared" si="88"/>
        <v>37</v>
      </c>
      <c r="F1895" s="2200" t="str">
        <f t="shared" si="89"/>
        <v>003</v>
      </c>
      <c r="G1895" s="2200">
        <f>--SUBTOTAL(3,C$2:C1895)</f>
        <v>67</v>
      </c>
    </row>
    <row r="1896" spans="1:7" hidden="1" x14ac:dyDescent="0.15">
      <c r="A1896" s="2200" t="s">
        <v>4280</v>
      </c>
      <c r="B1896" s="2200" t="s">
        <v>8069</v>
      </c>
      <c r="C1896" s="2200" t="s">
        <v>8070</v>
      </c>
      <c r="D1896" s="2200" t="str">
        <f t="shared" si="87"/>
        <v>NC</v>
      </c>
      <c r="E1896" s="2200" t="str">
        <f t="shared" si="88"/>
        <v>37</v>
      </c>
      <c r="F1896" s="2200" t="str">
        <f t="shared" si="89"/>
        <v>005</v>
      </c>
      <c r="G1896" s="2200">
        <f>--SUBTOTAL(3,C$2:C1896)</f>
        <v>67</v>
      </c>
    </row>
    <row r="1897" spans="1:7" hidden="1" x14ac:dyDescent="0.15">
      <c r="A1897" s="2200" t="s">
        <v>4280</v>
      </c>
      <c r="B1897" s="2200" t="s">
        <v>8071</v>
      </c>
      <c r="C1897" s="2200" t="s">
        <v>8072</v>
      </c>
      <c r="D1897" s="2200" t="str">
        <f t="shared" si="87"/>
        <v>NC</v>
      </c>
      <c r="E1897" s="2200" t="str">
        <f t="shared" si="88"/>
        <v>37</v>
      </c>
      <c r="F1897" s="2200" t="str">
        <f t="shared" si="89"/>
        <v>007</v>
      </c>
      <c r="G1897" s="2200">
        <f>--SUBTOTAL(3,C$2:C1897)</f>
        <v>67</v>
      </c>
    </row>
    <row r="1898" spans="1:7" hidden="1" x14ac:dyDescent="0.15">
      <c r="A1898" s="2200" t="s">
        <v>4280</v>
      </c>
      <c r="B1898" s="2200" t="s">
        <v>8073</v>
      </c>
      <c r="C1898" s="2200" t="s">
        <v>8074</v>
      </c>
      <c r="D1898" s="2200" t="str">
        <f t="shared" si="87"/>
        <v>NC</v>
      </c>
      <c r="E1898" s="2200" t="str">
        <f t="shared" si="88"/>
        <v>37</v>
      </c>
      <c r="F1898" s="2200" t="str">
        <f t="shared" si="89"/>
        <v>009</v>
      </c>
      <c r="G1898" s="2200">
        <f>--SUBTOTAL(3,C$2:C1898)</f>
        <v>67</v>
      </c>
    </row>
    <row r="1899" spans="1:7" hidden="1" x14ac:dyDescent="0.15">
      <c r="A1899" s="2200" t="s">
        <v>4280</v>
      </c>
      <c r="B1899" s="2200" t="s">
        <v>8075</v>
      </c>
      <c r="C1899" s="2200" t="s">
        <v>8076</v>
      </c>
      <c r="D1899" s="2200" t="str">
        <f t="shared" si="87"/>
        <v>NC</v>
      </c>
      <c r="E1899" s="2200" t="str">
        <f t="shared" si="88"/>
        <v>37</v>
      </c>
      <c r="F1899" s="2200" t="str">
        <f t="shared" si="89"/>
        <v>011</v>
      </c>
      <c r="G1899" s="2200">
        <f>--SUBTOTAL(3,C$2:C1899)</f>
        <v>67</v>
      </c>
    </row>
    <row r="1900" spans="1:7" hidden="1" x14ac:dyDescent="0.15">
      <c r="A1900" s="2200" t="s">
        <v>4280</v>
      </c>
      <c r="B1900" s="2200" t="s">
        <v>8077</v>
      </c>
      <c r="C1900" s="2200" t="s">
        <v>8078</v>
      </c>
      <c r="D1900" s="2200" t="str">
        <f t="shared" si="87"/>
        <v>NC</v>
      </c>
      <c r="E1900" s="2200" t="str">
        <f t="shared" si="88"/>
        <v>37</v>
      </c>
      <c r="F1900" s="2200" t="str">
        <f t="shared" si="89"/>
        <v>013</v>
      </c>
      <c r="G1900" s="2200">
        <f>--SUBTOTAL(3,C$2:C1900)</f>
        <v>67</v>
      </c>
    </row>
    <row r="1901" spans="1:7" hidden="1" x14ac:dyDescent="0.15">
      <c r="A1901" s="2200" t="s">
        <v>4280</v>
      </c>
      <c r="B1901" s="2200" t="s">
        <v>8079</v>
      </c>
      <c r="C1901" s="2200" t="s">
        <v>8080</v>
      </c>
      <c r="D1901" s="2200" t="str">
        <f t="shared" si="87"/>
        <v>NC</v>
      </c>
      <c r="E1901" s="2200" t="str">
        <f t="shared" si="88"/>
        <v>37</v>
      </c>
      <c r="F1901" s="2200" t="str">
        <f t="shared" si="89"/>
        <v>015</v>
      </c>
      <c r="G1901" s="2200">
        <f>--SUBTOTAL(3,C$2:C1901)</f>
        <v>67</v>
      </c>
    </row>
    <row r="1902" spans="1:7" hidden="1" x14ac:dyDescent="0.15">
      <c r="A1902" s="2200" t="s">
        <v>4280</v>
      </c>
      <c r="B1902" s="2200" t="s">
        <v>8081</v>
      </c>
      <c r="C1902" s="2200" t="s">
        <v>8082</v>
      </c>
      <c r="D1902" s="2200" t="str">
        <f t="shared" si="87"/>
        <v>NC</v>
      </c>
      <c r="E1902" s="2200" t="str">
        <f t="shared" si="88"/>
        <v>37</v>
      </c>
      <c r="F1902" s="2200" t="str">
        <f t="shared" si="89"/>
        <v>017</v>
      </c>
      <c r="G1902" s="2200">
        <f>--SUBTOTAL(3,C$2:C1902)</f>
        <v>67</v>
      </c>
    </row>
    <row r="1903" spans="1:7" hidden="1" x14ac:dyDescent="0.15">
      <c r="A1903" s="2200" t="s">
        <v>4280</v>
      </c>
      <c r="B1903" s="2200" t="s">
        <v>8083</v>
      </c>
      <c r="C1903" s="2200" t="s">
        <v>8084</v>
      </c>
      <c r="D1903" s="2200" t="str">
        <f t="shared" si="87"/>
        <v>NC</v>
      </c>
      <c r="E1903" s="2200" t="str">
        <f t="shared" si="88"/>
        <v>37</v>
      </c>
      <c r="F1903" s="2200" t="str">
        <f t="shared" si="89"/>
        <v>019</v>
      </c>
      <c r="G1903" s="2200">
        <f>--SUBTOTAL(3,C$2:C1903)</f>
        <v>67</v>
      </c>
    </row>
    <row r="1904" spans="1:7" hidden="1" x14ac:dyDescent="0.15">
      <c r="A1904" s="2200" t="s">
        <v>4280</v>
      </c>
      <c r="B1904" s="2200" t="s">
        <v>8085</v>
      </c>
      <c r="C1904" s="2200" t="s">
        <v>8086</v>
      </c>
      <c r="D1904" s="2200" t="str">
        <f t="shared" si="87"/>
        <v>NC</v>
      </c>
      <c r="E1904" s="2200" t="str">
        <f t="shared" si="88"/>
        <v>37</v>
      </c>
      <c r="F1904" s="2200" t="str">
        <f t="shared" si="89"/>
        <v>021</v>
      </c>
      <c r="G1904" s="2200">
        <f>--SUBTOTAL(3,C$2:C1904)</f>
        <v>67</v>
      </c>
    </row>
    <row r="1905" spans="1:7" hidden="1" x14ac:dyDescent="0.15">
      <c r="A1905" s="2200" t="s">
        <v>4280</v>
      </c>
      <c r="B1905" s="2200" t="s">
        <v>8087</v>
      </c>
      <c r="C1905" s="2200" t="s">
        <v>8088</v>
      </c>
      <c r="D1905" s="2200" t="str">
        <f t="shared" si="87"/>
        <v>NC</v>
      </c>
      <c r="E1905" s="2200" t="str">
        <f t="shared" si="88"/>
        <v>37</v>
      </c>
      <c r="F1905" s="2200" t="str">
        <f t="shared" si="89"/>
        <v>023</v>
      </c>
      <c r="G1905" s="2200">
        <f>--SUBTOTAL(3,C$2:C1905)</f>
        <v>67</v>
      </c>
    </row>
    <row r="1906" spans="1:7" hidden="1" x14ac:dyDescent="0.15">
      <c r="A1906" s="2200" t="s">
        <v>4280</v>
      </c>
      <c r="B1906" s="2200" t="s">
        <v>8089</v>
      </c>
      <c r="C1906" s="2200" t="s">
        <v>8090</v>
      </c>
      <c r="D1906" s="2200" t="str">
        <f t="shared" si="87"/>
        <v>NC</v>
      </c>
      <c r="E1906" s="2200" t="str">
        <f t="shared" si="88"/>
        <v>37</v>
      </c>
      <c r="F1906" s="2200" t="str">
        <f t="shared" si="89"/>
        <v>025</v>
      </c>
      <c r="G1906" s="2200">
        <f>--SUBTOTAL(3,C$2:C1906)</f>
        <v>67</v>
      </c>
    </row>
    <row r="1907" spans="1:7" hidden="1" x14ac:dyDescent="0.15">
      <c r="A1907" s="2200" t="s">
        <v>4280</v>
      </c>
      <c r="B1907" s="2200" t="s">
        <v>8091</v>
      </c>
      <c r="C1907" s="2200" t="s">
        <v>8092</v>
      </c>
      <c r="D1907" s="2200" t="str">
        <f t="shared" si="87"/>
        <v>NC</v>
      </c>
      <c r="E1907" s="2200" t="str">
        <f t="shared" si="88"/>
        <v>37</v>
      </c>
      <c r="F1907" s="2200" t="str">
        <f t="shared" si="89"/>
        <v>027</v>
      </c>
      <c r="G1907" s="2200">
        <f>--SUBTOTAL(3,C$2:C1907)</f>
        <v>67</v>
      </c>
    </row>
    <row r="1908" spans="1:7" hidden="1" x14ac:dyDescent="0.15">
      <c r="A1908" s="2200" t="s">
        <v>4280</v>
      </c>
      <c r="B1908" s="2200" t="s">
        <v>8093</v>
      </c>
      <c r="C1908" s="2200" t="s">
        <v>8094</v>
      </c>
      <c r="D1908" s="2200" t="str">
        <f t="shared" si="87"/>
        <v>NC</v>
      </c>
      <c r="E1908" s="2200" t="str">
        <f t="shared" si="88"/>
        <v>37</v>
      </c>
      <c r="F1908" s="2200" t="str">
        <f t="shared" si="89"/>
        <v>029</v>
      </c>
      <c r="G1908" s="2200">
        <f>--SUBTOTAL(3,C$2:C1908)</f>
        <v>67</v>
      </c>
    </row>
    <row r="1909" spans="1:7" hidden="1" x14ac:dyDescent="0.15">
      <c r="A1909" s="2200" t="s">
        <v>4280</v>
      </c>
      <c r="B1909" s="2200" t="s">
        <v>8095</v>
      </c>
      <c r="C1909" s="2200" t="s">
        <v>8096</v>
      </c>
      <c r="D1909" s="2200" t="str">
        <f t="shared" si="87"/>
        <v>NC</v>
      </c>
      <c r="E1909" s="2200" t="str">
        <f t="shared" si="88"/>
        <v>37</v>
      </c>
      <c r="F1909" s="2200" t="str">
        <f t="shared" si="89"/>
        <v>031</v>
      </c>
      <c r="G1909" s="2200">
        <f>--SUBTOTAL(3,C$2:C1909)</f>
        <v>67</v>
      </c>
    </row>
    <row r="1910" spans="1:7" hidden="1" x14ac:dyDescent="0.15">
      <c r="A1910" s="2200" t="s">
        <v>4280</v>
      </c>
      <c r="B1910" s="2200" t="s">
        <v>8097</v>
      </c>
      <c r="C1910" s="2200" t="s">
        <v>8098</v>
      </c>
      <c r="D1910" s="2200" t="str">
        <f t="shared" si="87"/>
        <v>NC</v>
      </c>
      <c r="E1910" s="2200" t="str">
        <f t="shared" si="88"/>
        <v>37</v>
      </c>
      <c r="F1910" s="2200" t="str">
        <f t="shared" si="89"/>
        <v>033</v>
      </c>
      <c r="G1910" s="2200">
        <f>--SUBTOTAL(3,C$2:C1910)</f>
        <v>67</v>
      </c>
    </row>
    <row r="1911" spans="1:7" hidden="1" x14ac:dyDescent="0.15">
      <c r="A1911" s="2200" t="s">
        <v>4280</v>
      </c>
      <c r="B1911" s="2200" t="s">
        <v>8099</v>
      </c>
      <c r="C1911" s="2200" t="s">
        <v>8100</v>
      </c>
      <c r="D1911" s="2200" t="str">
        <f t="shared" si="87"/>
        <v>NC</v>
      </c>
      <c r="E1911" s="2200" t="str">
        <f t="shared" si="88"/>
        <v>37</v>
      </c>
      <c r="F1911" s="2200" t="str">
        <f t="shared" si="89"/>
        <v>035</v>
      </c>
      <c r="G1911" s="2200">
        <f>--SUBTOTAL(3,C$2:C1911)</f>
        <v>67</v>
      </c>
    </row>
    <row r="1912" spans="1:7" hidden="1" x14ac:dyDescent="0.15">
      <c r="A1912" s="2200" t="s">
        <v>4280</v>
      </c>
      <c r="B1912" s="2200" t="s">
        <v>8101</v>
      </c>
      <c r="C1912" s="2200" t="s">
        <v>8102</v>
      </c>
      <c r="D1912" s="2200" t="str">
        <f t="shared" si="87"/>
        <v>NC</v>
      </c>
      <c r="E1912" s="2200" t="str">
        <f t="shared" si="88"/>
        <v>37</v>
      </c>
      <c r="F1912" s="2200" t="str">
        <f t="shared" si="89"/>
        <v>037</v>
      </c>
      <c r="G1912" s="2200">
        <f>--SUBTOTAL(3,C$2:C1912)</f>
        <v>67</v>
      </c>
    </row>
    <row r="1913" spans="1:7" hidden="1" x14ac:dyDescent="0.15">
      <c r="A1913" s="2200" t="s">
        <v>4280</v>
      </c>
      <c r="B1913" s="2200" t="s">
        <v>8103</v>
      </c>
      <c r="C1913" s="2200" t="s">
        <v>8104</v>
      </c>
      <c r="D1913" s="2200" t="str">
        <f t="shared" si="87"/>
        <v>NC</v>
      </c>
      <c r="E1913" s="2200" t="str">
        <f t="shared" si="88"/>
        <v>37</v>
      </c>
      <c r="F1913" s="2200" t="str">
        <f t="shared" si="89"/>
        <v>039</v>
      </c>
      <c r="G1913" s="2200">
        <f>--SUBTOTAL(3,C$2:C1913)</f>
        <v>67</v>
      </c>
    </row>
    <row r="1914" spans="1:7" hidden="1" x14ac:dyDescent="0.15">
      <c r="A1914" s="2200" t="s">
        <v>4280</v>
      </c>
      <c r="B1914" s="2200" t="s">
        <v>8105</v>
      </c>
      <c r="C1914" s="2200" t="s">
        <v>8106</v>
      </c>
      <c r="D1914" s="2200" t="str">
        <f t="shared" si="87"/>
        <v>NC</v>
      </c>
      <c r="E1914" s="2200" t="str">
        <f t="shared" si="88"/>
        <v>37</v>
      </c>
      <c r="F1914" s="2200" t="str">
        <f t="shared" si="89"/>
        <v>041</v>
      </c>
      <c r="G1914" s="2200">
        <f>--SUBTOTAL(3,C$2:C1914)</f>
        <v>67</v>
      </c>
    </row>
    <row r="1915" spans="1:7" hidden="1" x14ac:dyDescent="0.15">
      <c r="A1915" s="2200" t="s">
        <v>4280</v>
      </c>
      <c r="B1915" s="2200" t="s">
        <v>8107</v>
      </c>
      <c r="C1915" s="2200" t="s">
        <v>8108</v>
      </c>
      <c r="D1915" s="2200" t="str">
        <f t="shared" si="87"/>
        <v>NC</v>
      </c>
      <c r="E1915" s="2200" t="str">
        <f t="shared" si="88"/>
        <v>37</v>
      </c>
      <c r="F1915" s="2200" t="str">
        <f t="shared" si="89"/>
        <v>043</v>
      </c>
      <c r="G1915" s="2200">
        <f>--SUBTOTAL(3,C$2:C1915)</f>
        <v>67</v>
      </c>
    </row>
    <row r="1916" spans="1:7" hidden="1" x14ac:dyDescent="0.15">
      <c r="A1916" s="2200" t="s">
        <v>4280</v>
      </c>
      <c r="B1916" s="2200" t="s">
        <v>8109</v>
      </c>
      <c r="C1916" s="2200" t="s">
        <v>8110</v>
      </c>
      <c r="D1916" s="2200" t="str">
        <f t="shared" si="87"/>
        <v>NC</v>
      </c>
      <c r="E1916" s="2200" t="str">
        <f t="shared" si="88"/>
        <v>37</v>
      </c>
      <c r="F1916" s="2200" t="str">
        <f t="shared" si="89"/>
        <v>045</v>
      </c>
      <c r="G1916" s="2200">
        <f>--SUBTOTAL(3,C$2:C1916)</f>
        <v>67</v>
      </c>
    </row>
    <row r="1917" spans="1:7" hidden="1" x14ac:dyDescent="0.15">
      <c r="A1917" s="2200" t="s">
        <v>4280</v>
      </c>
      <c r="B1917" s="2200" t="s">
        <v>8111</v>
      </c>
      <c r="C1917" s="2200" t="s">
        <v>8112</v>
      </c>
      <c r="D1917" s="2200" t="str">
        <f t="shared" si="87"/>
        <v>NC</v>
      </c>
      <c r="E1917" s="2200" t="str">
        <f t="shared" si="88"/>
        <v>37</v>
      </c>
      <c r="F1917" s="2200" t="str">
        <f t="shared" si="89"/>
        <v>047</v>
      </c>
      <c r="G1917" s="2200">
        <f>--SUBTOTAL(3,C$2:C1917)</f>
        <v>67</v>
      </c>
    </row>
    <row r="1918" spans="1:7" hidden="1" x14ac:dyDescent="0.15">
      <c r="A1918" s="2200" t="s">
        <v>4280</v>
      </c>
      <c r="B1918" s="2200" t="s">
        <v>8113</v>
      </c>
      <c r="C1918" s="2200" t="s">
        <v>8114</v>
      </c>
      <c r="D1918" s="2200" t="str">
        <f t="shared" si="87"/>
        <v>NC</v>
      </c>
      <c r="E1918" s="2200" t="str">
        <f t="shared" si="88"/>
        <v>37</v>
      </c>
      <c r="F1918" s="2200" t="str">
        <f t="shared" si="89"/>
        <v>049</v>
      </c>
      <c r="G1918" s="2200">
        <f>--SUBTOTAL(3,C$2:C1918)</f>
        <v>67</v>
      </c>
    </row>
    <row r="1919" spans="1:7" hidden="1" x14ac:dyDescent="0.15">
      <c r="A1919" s="2200" t="s">
        <v>4280</v>
      </c>
      <c r="B1919" s="2200" t="s">
        <v>8115</v>
      </c>
      <c r="C1919" s="2200" t="s">
        <v>8116</v>
      </c>
      <c r="D1919" s="2200" t="str">
        <f t="shared" si="87"/>
        <v>NC</v>
      </c>
      <c r="E1919" s="2200" t="str">
        <f t="shared" si="88"/>
        <v>37</v>
      </c>
      <c r="F1919" s="2200" t="str">
        <f t="shared" si="89"/>
        <v>051</v>
      </c>
      <c r="G1919" s="2200">
        <f>--SUBTOTAL(3,C$2:C1919)</f>
        <v>67</v>
      </c>
    </row>
    <row r="1920" spans="1:7" hidden="1" x14ac:dyDescent="0.15">
      <c r="A1920" s="2200" t="s">
        <v>4280</v>
      </c>
      <c r="B1920" s="2200" t="s">
        <v>8117</v>
      </c>
      <c r="C1920" s="2200" t="s">
        <v>8118</v>
      </c>
      <c r="D1920" s="2200" t="str">
        <f t="shared" si="87"/>
        <v>NC</v>
      </c>
      <c r="E1920" s="2200" t="str">
        <f t="shared" si="88"/>
        <v>37</v>
      </c>
      <c r="F1920" s="2200" t="str">
        <f t="shared" si="89"/>
        <v>053</v>
      </c>
      <c r="G1920" s="2200">
        <f>--SUBTOTAL(3,C$2:C1920)</f>
        <v>67</v>
      </c>
    </row>
    <row r="1921" spans="1:7" hidden="1" x14ac:dyDescent="0.15">
      <c r="A1921" s="2200" t="s">
        <v>4280</v>
      </c>
      <c r="B1921" s="2200" t="s">
        <v>8119</v>
      </c>
      <c r="C1921" s="2200" t="s">
        <v>8120</v>
      </c>
      <c r="D1921" s="2200" t="str">
        <f t="shared" si="87"/>
        <v>NC</v>
      </c>
      <c r="E1921" s="2200" t="str">
        <f t="shared" si="88"/>
        <v>37</v>
      </c>
      <c r="F1921" s="2200" t="str">
        <f t="shared" si="89"/>
        <v>055</v>
      </c>
      <c r="G1921" s="2200">
        <f>--SUBTOTAL(3,C$2:C1921)</f>
        <v>67</v>
      </c>
    </row>
    <row r="1922" spans="1:7" hidden="1" x14ac:dyDescent="0.15">
      <c r="A1922" s="2200" t="s">
        <v>4280</v>
      </c>
      <c r="B1922" s="2200" t="s">
        <v>8121</v>
      </c>
      <c r="C1922" s="2200" t="s">
        <v>8122</v>
      </c>
      <c r="D1922" s="2200" t="str">
        <f t="shared" si="87"/>
        <v>NC</v>
      </c>
      <c r="E1922" s="2200" t="str">
        <f t="shared" si="88"/>
        <v>37</v>
      </c>
      <c r="F1922" s="2200" t="str">
        <f t="shared" si="89"/>
        <v>057</v>
      </c>
      <c r="G1922" s="2200">
        <f>--SUBTOTAL(3,C$2:C1922)</f>
        <v>67</v>
      </c>
    </row>
    <row r="1923" spans="1:7" hidden="1" x14ac:dyDescent="0.15">
      <c r="A1923" s="2200" t="s">
        <v>4280</v>
      </c>
      <c r="B1923" s="2200" t="s">
        <v>8123</v>
      </c>
      <c r="C1923" s="2200" t="s">
        <v>8124</v>
      </c>
      <c r="D1923" s="2200" t="str">
        <f t="shared" ref="D1923:D1986" si="90">RIGHT(C1923,2)</f>
        <v>NC</v>
      </c>
      <c r="E1923" s="2200" t="str">
        <f t="shared" ref="E1923:E1986" si="91">MID(B1923,3,2)</f>
        <v>37</v>
      </c>
      <c r="F1923" s="2200" t="str">
        <f t="shared" ref="F1923:F1986" si="92">MID(B1923,5,3)</f>
        <v>059</v>
      </c>
      <c r="G1923" s="2200">
        <f>--SUBTOTAL(3,C$2:C1923)</f>
        <v>67</v>
      </c>
    </row>
    <row r="1924" spans="1:7" hidden="1" x14ac:dyDescent="0.15">
      <c r="A1924" s="2200" t="s">
        <v>4280</v>
      </c>
      <c r="B1924" s="2200" t="s">
        <v>8125</v>
      </c>
      <c r="C1924" s="2200" t="s">
        <v>8126</v>
      </c>
      <c r="D1924" s="2200" t="str">
        <f t="shared" si="90"/>
        <v>NC</v>
      </c>
      <c r="E1924" s="2200" t="str">
        <f t="shared" si="91"/>
        <v>37</v>
      </c>
      <c r="F1924" s="2200" t="str">
        <f t="shared" si="92"/>
        <v>061</v>
      </c>
      <c r="G1924" s="2200">
        <f>--SUBTOTAL(3,C$2:C1924)</f>
        <v>67</v>
      </c>
    </row>
    <row r="1925" spans="1:7" hidden="1" x14ac:dyDescent="0.15">
      <c r="A1925" s="2200" t="s">
        <v>4280</v>
      </c>
      <c r="B1925" s="2200" t="s">
        <v>8127</v>
      </c>
      <c r="C1925" s="2200" t="s">
        <v>8128</v>
      </c>
      <c r="D1925" s="2200" t="str">
        <f t="shared" si="90"/>
        <v>NC</v>
      </c>
      <c r="E1925" s="2200" t="str">
        <f t="shared" si="91"/>
        <v>37</v>
      </c>
      <c r="F1925" s="2200" t="str">
        <f t="shared" si="92"/>
        <v>063</v>
      </c>
      <c r="G1925" s="2200">
        <f>--SUBTOTAL(3,C$2:C1925)</f>
        <v>67</v>
      </c>
    </row>
    <row r="1926" spans="1:7" hidden="1" x14ac:dyDescent="0.15">
      <c r="A1926" s="2200" t="s">
        <v>4280</v>
      </c>
      <c r="B1926" s="2200" t="s">
        <v>8129</v>
      </c>
      <c r="C1926" s="2200" t="s">
        <v>8130</v>
      </c>
      <c r="D1926" s="2200" t="str">
        <f t="shared" si="90"/>
        <v>NC</v>
      </c>
      <c r="E1926" s="2200" t="str">
        <f t="shared" si="91"/>
        <v>37</v>
      </c>
      <c r="F1926" s="2200" t="str">
        <f t="shared" si="92"/>
        <v>065</v>
      </c>
      <c r="G1926" s="2200">
        <f>--SUBTOTAL(3,C$2:C1926)</f>
        <v>67</v>
      </c>
    </row>
    <row r="1927" spans="1:7" hidden="1" x14ac:dyDescent="0.15">
      <c r="A1927" s="2200" t="s">
        <v>4280</v>
      </c>
      <c r="B1927" s="2200" t="s">
        <v>8131</v>
      </c>
      <c r="C1927" s="2200" t="s">
        <v>8132</v>
      </c>
      <c r="D1927" s="2200" t="str">
        <f t="shared" si="90"/>
        <v>NC</v>
      </c>
      <c r="E1927" s="2200" t="str">
        <f t="shared" si="91"/>
        <v>37</v>
      </c>
      <c r="F1927" s="2200" t="str">
        <f t="shared" si="92"/>
        <v>067</v>
      </c>
      <c r="G1927" s="2200">
        <f>--SUBTOTAL(3,C$2:C1927)</f>
        <v>67</v>
      </c>
    </row>
    <row r="1928" spans="1:7" hidden="1" x14ac:dyDescent="0.15">
      <c r="A1928" s="2200" t="s">
        <v>4280</v>
      </c>
      <c r="B1928" s="2200" t="s">
        <v>8133</v>
      </c>
      <c r="C1928" s="2200" t="s">
        <v>8134</v>
      </c>
      <c r="D1928" s="2200" t="str">
        <f t="shared" si="90"/>
        <v>NC</v>
      </c>
      <c r="E1928" s="2200" t="str">
        <f t="shared" si="91"/>
        <v>37</v>
      </c>
      <c r="F1928" s="2200" t="str">
        <f t="shared" si="92"/>
        <v>069</v>
      </c>
      <c r="G1928" s="2200">
        <f>--SUBTOTAL(3,C$2:C1928)</f>
        <v>67</v>
      </c>
    </row>
    <row r="1929" spans="1:7" hidden="1" x14ac:dyDescent="0.15">
      <c r="A1929" s="2200" t="s">
        <v>4280</v>
      </c>
      <c r="B1929" s="2200" t="s">
        <v>8135</v>
      </c>
      <c r="C1929" s="2200" t="s">
        <v>8136</v>
      </c>
      <c r="D1929" s="2200" t="str">
        <f t="shared" si="90"/>
        <v>NC</v>
      </c>
      <c r="E1929" s="2200" t="str">
        <f t="shared" si="91"/>
        <v>37</v>
      </c>
      <c r="F1929" s="2200" t="str">
        <f t="shared" si="92"/>
        <v>071</v>
      </c>
      <c r="G1929" s="2200">
        <f>--SUBTOTAL(3,C$2:C1929)</f>
        <v>67</v>
      </c>
    </row>
    <row r="1930" spans="1:7" hidden="1" x14ac:dyDescent="0.15">
      <c r="A1930" s="2200" t="s">
        <v>4280</v>
      </c>
      <c r="B1930" s="2200" t="s">
        <v>8137</v>
      </c>
      <c r="C1930" s="2200" t="s">
        <v>8138</v>
      </c>
      <c r="D1930" s="2200" t="str">
        <f t="shared" si="90"/>
        <v>NC</v>
      </c>
      <c r="E1930" s="2200" t="str">
        <f t="shared" si="91"/>
        <v>37</v>
      </c>
      <c r="F1930" s="2200" t="str">
        <f t="shared" si="92"/>
        <v>073</v>
      </c>
      <c r="G1930" s="2200">
        <f>--SUBTOTAL(3,C$2:C1930)</f>
        <v>67</v>
      </c>
    </row>
    <row r="1931" spans="1:7" hidden="1" x14ac:dyDescent="0.15">
      <c r="A1931" s="2200" t="s">
        <v>4280</v>
      </c>
      <c r="B1931" s="2200" t="s">
        <v>8139</v>
      </c>
      <c r="C1931" s="2200" t="s">
        <v>8140</v>
      </c>
      <c r="D1931" s="2200" t="str">
        <f t="shared" si="90"/>
        <v>NC</v>
      </c>
      <c r="E1931" s="2200" t="str">
        <f t="shared" si="91"/>
        <v>37</v>
      </c>
      <c r="F1931" s="2200" t="str">
        <f t="shared" si="92"/>
        <v>075</v>
      </c>
      <c r="G1931" s="2200">
        <f>--SUBTOTAL(3,C$2:C1931)</f>
        <v>67</v>
      </c>
    </row>
    <row r="1932" spans="1:7" hidden="1" x14ac:dyDescent="0.15">
      <c r="A1932" s="2200" t="s">
        <v>4280</v>
      </c>
      <c r="B1932" s="2200" t="s">
        <v>8141</v>
      </c>
      <c r="C1932" s="2200" t="s">
        <v>8142</v>
      </c>
      <c r="D1932" s="2200" t="str">
        <f t="shared" si="90"/>
        <v>NC</v>
      </c>
      <c r="E1932" s="2200" t="str">
        <f t="shared" si="91"/>
        <v>37</v>
      </c>
      <c r="F1932" s="2200" t="str">
        <f t="shared" si="92"/>
        <v>077</v>
      </c>
      <c r="G1932" s="2200">
        <f>--SUBTOTAL(3,C$2:C1932)</f>
        <v>67</v>
      </c>
    </row>
    <row r="1933" spans="1:7" hidden="1" x14ac:dyDescent="0.15">
      <c r="A1933" s="2200" t="s">
        <v>4280</v>
      </c>
      <c r="B1933" s="2200" t="s">
        <v>8143</v>
      </c>
      <c r="C1933" s="2200" t="s">
        <v>8144</v>
      </c>
      <c r="D1933" s="2200" t="str">
        <f t="shared" si="90"/>
        <v>NC</v>
      </c>
      <c r="E1933" s="2200" t="str">
        <f t="shared" si="91"/>
        <v>37</v>
      </c>
      <c r="F1933" s="2200" t="str">
        <f t="shared" si="92"/>
        <v>079</v>
      </c>
      <c r="G1933" s="2200">
        <f>--SUBTOTAL(3,C$2:C1933)</f>
        <v>67</v>
      </c>
    </row>
    <row r="1934" spans="1:7" hidden="1" x14ac:dyDescent="0.15">
      <c r="A1934" s="2200" t="s">
        <v>4280</v>
      </c>
      <c r="B1934" s="2200" t="s">
        <v>8145</v>
      </c>
      <c r="C1934" s="2200" t="s">
        <v>8146</v>
      </c>
      <c r="D1934" s="2200" t="str">
        <f t="shared" si="90"/>
        <v>NC</v>
      </c>
      <c r="E1934" s="2200" t="str">
        <f t="shared" si="91"/>
        <v>37</v>
      </c>
      <c r="F1934" s="2200" t="str">
        <f t="shared" si="92"/>
        <v>081</v>
      </c>
      <c r="G1934" s="2200">
        <f>--SUBTOTAL(3,C$2:C1934)</f>
        <v>67</v>
      </c>
    </row>
    <row r="1935" spans="1:7" hidden="1" x14ac:dyDescent="0.15">
      <c r="A1935" s="2200" t="s">
        <v>4280</v>
      </c>
      <c r="B1935" s="2200" t="s">
        <v>8147</v>
      </c>
      <c r="C1935" s="2200" t="s">
        <v>8148</v>
      </c>
      <c r="D1935" s="2200" t="str">
        <f t="shared" si="90"/>
        <v>NC</v>
      </c>
      <c r="E1935" s="2200" t="str">
        <f t="shared" si="91"/>
        <v>37</v>
      </c>
      <c r="F1935" s="2200" t="str">
        <f t="shared" si="92"/>
        <v>083</v>
      </c>
      <c r="G1935" s="2200">
        <f>--SUBTOTAL(3,C$2:C1935)</f>
        <v>67</v>
      </c>
    </row>
    <row r="1936" spans="1:7" hidden="1" x14ac:dyDescent="0.15">
      <c r="A1936" s="2200" t="s">
        <v>4280</v>
      </c>
      <c r="B1936" s="2200" t="s">
        <v>8149</v>
      </c>
      <c r="C1936" s="2200" t="s">
        <v>8150</v>
      </c>
      <c r="D1936" s="2200" t="str">
        <f t="shared" si="90"/>
        <v>NC</v>
      </c>
      <c r="E1936" s="2200" t="str">
        <f t="shared" si="91"/>
        <v>37</v>
      </c>
      <c r="F1936" s="2200" t="str">
        <f t="shared" si="92"/>
        <v>085</v>
      </c>
      <c r="G1936" s="2200">
        <f>--SUBTOTAL(3,C$2:C1936)</f>
        <v>67</v>
      </c>
    </row>
    <row r="1937" spans="1:7" hidden="1" x14ac:dyDescent="0.15">
      <c r="A1937" s="2200" t="s">
        <v>4280</v>
      </c>
      <c r="B1937" s="2200" t="s">
        <v>8151</v>
      </c>
      <c r="C1937" s="2200" t="s">
        <v>8152</v>
      </c>
      <c r="D1937" s="2200" t="str">
        <f t="shared" si="90"/>
        <v>NC</v>
      </c>
      <c r="E1937" s="2200" t="str">
        <f t="shared" si="91"/>
        <v>37</v>
      </c>
      <c r="F1937" s="2200" t="str">
        <f t="shared" si="92"/>
        <v>087</v>
      </c>
      <c r="G1937" s="2200">
        <f>--SUBTOTAL(3,C$2:C1937)</f>
        <v>67</v>
      </c>
    </row>
    <row r="1938" spans="1:7" hidden="1" x14ac:dyDescent="0.15">
      <c r="A1938" s="2200" t="s">
        <v>4280</v>
      </c>
      <c r="B1938" s="2200" t="s">
        <v>8153</v>
      </c>
      <c r="C1938" s="2200" t="s">
        <v>8154</v>
      </c>
      <c r="D1938" s="2200" t="str">
        <f t="shared" si="90"/>
        <v>NC</v>
      </c>
      <c r="E1938" s="2200" t="str">
        <f t="shared" si="91"/>
        <v>37</v>
      </c>
      <c r="F1938" s="2200" t="str">
        <f t="shared" si="92"/>
        <v>089</v>
      </c>
      <c r="G1938" s="2200">
        <f>--SUBTOTAL(3,C$2:C1938)</f>
        <v>67</v>
      </c>
    </row>
    <row r="1939" spans="1:7" hidden="1" x14ac:dyDescent="0.15">
      <c r="A1939" s="2200" t="s">
        <v>4280</v>
      </c>
      <c r="B1939" s="2200" t="s">
        <v>8155</v>
      </c>
      <c r="C1939" s="2200" t="s">
        <v>8156</v>
      </c>
      <c r="D1939" s="2200" t="str">
        <f t="shared" si="90"/>
        <v>NC</v>
      </c>
      <c r="E1939" s="2200" t="str">
        <f t="shared" si="91"/>
        <v>37</v>
      </c>
      <c r="F1939" s="2200" t="str">
        <f t="shared" si="92"/>
        <v>091</v>
      </c>
      <c r="G1939" s="2200">
        <f>--SUBTOTAL(3,C$2:C1939)</f>
        <v>67</v>
      </c>
    </row>
    <row r="1940" spans="1:7" hidden="1" x14ac:dyDescent="0.15">
      <c r="A1940" s="2200" t="s">
        <v>4280</v>
      </c>
      <c r="B1940" s="2200" t="s">
        <v>8157</v>
      </c>
      <c r="C1940" s="2200" t="s">
        <v>8158</v>
      </c>
      <c r="D1940" s="2200" t="str">
        <f t="shared" si="90"/>
        <v>NC</v>
      </c>
      <c r="E1940" s="2200" t="str">
        <f t="shared" si="91"/>
        <v>37</v>
      </c>
      <c r="F1940" s="2200" t="str">
        <f t="shared" si="92"/>
        <v>093</v>
      </c>
      <c r="G1940" s="2200">
        <f>--SUBTOTAL(3,C$2:C1940)</f>
        <v>67</v>
      </c>
    </row>
    <row r="1941" spans="1:7" hidden="1" x14ac:dyDescent="0.15">
      <c r="A1941" s="2200" t="s">
        <v>4280</v>
      </c>
      <c r="B1941" s="2200" t="s">
        <v>8159</v>
      </c>
      <c r="C1941" s="2200" t="s">
        <v>8160</v>
      </c>
      <c r="D1941" s="2200" t="str">
        <f t="shared" si="90"/>
        <v>NC</v>
      </c>
      <c r="E1941" s="2200" t="str">
        <f t="shared" si="91"/>
        <v>37</v>
      </c>
      <c r="F1941" s="2200" t="str">
        <f t="shared" si="92"/>
        <v>095</v>
      </c>
      <c r="G1941" s="2200">
        <f>--SUBTOTAL(3,C$2:C1941)</f>
        <v>67</v>
      </c>
    </row>
    <row r="1942" spans="1:7" hidden="1" x14ac:dyDescent="0.15">
      <c r="A1942" s="2200" t="s">
        <v>4280</v>
      </c>
      <c r="B1942" s="2200" t="s">
        <v>8161</v>
      </c>
      <c r="C1942" s="2200" t="s">
        <v>8162</v>
      </c>
      <c r="D1942" s="2200" t="str">
        <f t="shared" si="90"/>
        <v>NC</v>
      </c>
      <c r="E1942" s="2200" t="str">
        <f t="shared" si="91"/>
        <v>37</v>
      </c>
      <c r="F1942" s="2200" t="str">
        <f t="shared" si="92"/>
        <v>097</v>
      </c>
      <c r="G1942" s="2200">
        <f>--SUBTOTAL(3,C$2:C1942)</f>
        <v>67</v>
      </c>
    </row>
    <row r="1943" spans="1:7" hidden="1" x14ac:dyDescent="0.15">
      <c r="A1943" s="2200" t="s">
        <v>4280</v>
      </c>
      <c r="B1943" s="2200" t="s">
        <v>8163</v>
      </c>
      <c r="C1943" s="2200" t="s">
        <v>8164</v>
      </c>
      <c r="D1943" s="2200" t="str">
        <f t="shared" si="90"/>
        <v>NC</v>
      </c>
      <c r="E1943" s="2200" t="str">
        <f t="shared" si="91"/>
        <v>37</v>
      </c>
      <c r="F1943" s="2200" t="str">
        <f t="shared" si="92"/>
        <v>099</v>
      </c>
      <c r="G1943" s="2200">
        <f>--SUBTOTAL(3,C$2:C1943)</f>
        <v>67</v>
      </c>
    </row>
    <row r="1944" spans="1:7" hidden="1" x14ac:dyDescent="0.15">
      <c r="A1944" s="2200" t="s">
        <v>4280</v>
      </c>
      <c r="B1944" s="2200" t="s">
        <v>8165</v>
      </c>
      <c r="C1944" s="2200" t="s">
        <v>8166</v>
      </c>
      <c r="D1944" s="2200" t="str">
        <f t="shared" si="90"/>
        <v>NC</v>
      </c>
      <c r="E1944" s="2200" t="str">
        <f t="shared" si="91"/>
        <v>37</v>
      </c>
      <c r="F1944" s="2200" t="str">
        <f t="shared" si="92"/>
        <v>101</v>
      </c>
      <c r="G1944" s="2200">
        <f>--SUBTOTAL(3,C$2:C1944)</f>
        <v>67</v>
      </c>
    </row>
    <row r="1945" spans="1:7" hidden="1" x14ac:dyDescent="0.15">
      <c r="A1945" s="2200" t="s">
        <v>4280</v>
      </c>
      <c r="B1945" s="2200" t="s">
        <v>8167</v>
      </c>
      <c r="C1945" s="2200" t="s">
        <v>8168</v>
      </c>
      <c r="D1945" s="2200" t="str">
        <f t="shared" si="90"/>
        <v>NC</v>
      </c>
      <c r="E1945" s="2200" t="str">
        <f t="shared" si="91"/>
        <v>37</v>
      </c>
      <c r="F1945" s="2200" t="str">
        <f t="shared" si="92"/>
        <v>103</v>
      </c>
      <c r="G1945" s="2200">
        <f>--SUBTOTAL(3,C$2:C1945)</f>
        <v>67</v>
      </c>
    </row>
    <row r="1946" spans="1:7" hidden="1" x14ac:dyDescent="0.15">
      <c r="A1946" s="2200" t="s">
        <v>4280</v>
      </c>
      <c r="B1946" s="2200" t="s">
        <v>8169</v>
      </c>
      <c r="C1946" s="2200" t="s">
        <v>8170</v>
      </c>
      <c r="D1946" s="2200" t="str">
        <f t="shared" si="90"/>
        <v>NC</v>
      </c>
      <c r="E1946" s="2200" t="str">
        <f t="shared" si="91"/>
        <v>37</v>
      </c>
      <c r="F1946" s="2200" t="str">
        <f t="shared" si="92"/>
        <v>105</v>
      </c>
      <c r="G1946" s="2200">
        <f>--SUBTOTAL(3,C$2:C1946)</f>
        <v>67</v>
      </c>
    </row>
    <row r="1947" spans="1:7" hidden="1" x14ac:dyDescent="0.15">
      <c r="A1947" s="2200" t="s">
        <v>4280</v>
      </c>
      <c r="B1947" s="2200" t="s">
        <v>8171</v>
      </c>
      <c r="C1947" s="2200" t="s">
        <v>8172</v>
      </c>
      <c r="D1947" s="2200" t="str">
        <f t="shared" si="90"/>
        <v>NC</v>
      </c>
      <c r="E1947" s="2200" t="str">
        <f t="shared" si="91"/>
        <v>37</v>
      </c>
      <c r="F1947" s="2200" t="str">
        <f t="shared" si="92"/>
        <v>107</v>
      </c>
      <c r="G1947" s="2200">
        <f>--SUBTOTAL(3,C$2:C1947)</f>
        <v>67</v>
      </c>
    </row>
    <row r="1948" spans="1:7" hidden="1" x14ac:dyDescent="0.15">
      <c r="A1948" s="2200" t="s">
        <v>4280</v>
      </c>
      <c r="B1948" s="2200" t="s">
        <v>8173</v>
      </c>
      <c r="C1948" s="2200" t="s">
        <v>8174</v>
      </c>
      <c r="D1948" s="2200" t="str">
        <f t="shared" si="90"/>
        <v>NC</v>
      </c>
      <c r="E1948" s="2200" t="str">
        <f t="shared" si="91"/>
        <v>37</v>
      </c>
      <c r="F1948" s="2200" t="str">
        <f t="shared" si="92"/>
        <v>109</v>
      </c>
      <c r="G1948" s="2200">
        <f>--SUBTOTAL(3,C$2:C1948)</f>
        <v>67</v>
      </c>
    </row>
    <row r="1949" spans="1:7" hidden="1" x14ac:dyDescent="0.15">
      <c r="A1949" s="2200" t="s">
        <v>4280</v>
      </c>
      <c r="B1949" s="2200" t="s">
        <v>8175</v>
      </c>
      <c r="C1949" s="2200" t="s">
        <v>8176</v>
      </c>
      <c r="D1949" s="2200" t="str">
        <f t="shared" si="90"/>
        <v>NC</v>
      </c>
      <c r="E1949" s="2200" t="str">
        <f t="shared" si="91"/>
        <v>37</v>
      </c>
      <c r="F1949" s="2200" t="str">
        <f t="shared" si="92"/>
        <v>111</v>
      </c>
      <c r="G1949" s="2200">
        <f>--SUBTOTAL(3,C$2:C1949)</f>
        <v>67</v>
      </c>
    </row>
    <row r="1950" spans="1:7" hidden="1" x14ac:dyDescent="0.15">
      <c r="A1950" s="2200" t="s">
        <v>4280</v>
      </c>
      <c r="B1950" s="2200" t="s">
        <v>8177</v>
      </c>
      <c r="C1950" s="2200" t="s">
        <v>8178</v>
      </c>
      <c r="D1950" s="2200" t="str">
        <f t="shared" si="90"/>
        <v>NC</v>
      </c>
      <c r="E1950" s="2200" t="str">
        <f t="shared" si="91"/>
        <v>37</v>
      </c>
      <c r="F1950" s="2200" t="str">
        <f t="shared" si="92"/>
        <v>113</v>
      </c>
      <c r="G1950" s="2200">
        <f>--SUBTOTAL(3,C$2:C1950)</f>
        <v>67</v>
      </c>
    </row>
    <row r="1951" spans="1:7" hidden="1" x14ac:dyDescent="0.15">
      <c r="A1951" s="2200" t="s">
        <v>4280</v>
      </c>
      <c r="B1951" s="2200" t="s">
        <v>8179</v>
      </c>
      <c r="C1951" s="2200" t="s">
        <v>8180</v>
      </c>
      <c r="D1951" s="2200" t="str">
        <f t="shared" si="90"/>
        <v>NC</v>
      </c>
      <c r="E1951" s="2200" t="str">
        <f t="shared" si="91"/>
        <v>37</v>
      </c>
      <c r="F1951" s="2200" t="str">
        <f t="shared" si="92"/>
        <v>115</v>
      </c>
      <c r="G1951" s="2200">
        <f>--SUBTOTAL(3,C$2:C1951)</f>
        <v>67</v>
      </c>
    </row>
    <row r="1952" spans="1:7" hidden="1" x14ac:dyDescent="0.15">
      <c r="A1952" s="2200" t="s">
        <v>4280</v>
      </c>
      <c r="B1952" s="2200" t="s">
        <v>8181</v>
      </c>
      <c r="C1952" s="2200" t="s">
        <v>8182</v>
      </c>
      <c r="D1952" s="2200" t="str">
        <f t="shared" si="90"/>
        <v>NC</v>
      </c>
      <c r="E1952" s="2200" t="str">
        <f t="shared" si="91"/>
        <v>37</v>
      </c>
      <c r="F1952" s="2200" t="str">
        <f t="shared" si="92"/>
        <v>117</v>
      </c>
      <c r="G1952" s="2200">
        <f>--SUBTOTAL(3,C$2:C1952)</f>
        <v>67</v>
      </c>
    </row>
    <row r="1953" spans="1:7" hidden="1" x14ac:dyDescent="0.15">
      <c r="A1953" s="2200" t="s">
        <v>4280</v>
      </c>
      <c r="B1953" s="2200" t="s">
        <v>8183</v>
      </c>
      <c r="C1953" s="2200" t="s">
        <v>8184</v>
      </c>
      <c r="D1953" s="2200" t="str">
        <f t="shared" si="90"/>
        <v>NC</v>
      </c>
      <c r="E1953" s="2200" t="str">
        <f t="shared" si="91"/>
        <v>37</v>
      </c>
      <c r="F1953" s="2200" t="str">
        <f t="shared" si="92"/>
        <v>119</v>
      </c>
      <c r="G1953" s="2200">
        <f>--SUBTOTAL(3,C$2:C1953)</f>
        <v>67</v>
      </c>
    </row>
    <row r="1954" spans="1:7" hidden="1" x14ac:dyDescent="0.15">
      <c r="A1954" s="2200" t="s">
        <v>4280</v>
      </c>
      <c r="B1954" s="2200" t="s">
        <v>8185</v>
      </c>
      <c r="C1954" s="2200" t="s">
        <v>8186</v>
      </c>
      <c r="D1954" s="2200" t="str">
        <f t="shared" si="90"/>
        <v>NC</v>
      </c>
      <c r="E1954" s="2200" t="str">
        <f t="shared" si="91"/>
        <v>37</v>
      </c>
      <c r="F1954" s="2200" t="str">
        <f t="shared" si="92"/>
        <v>121</v>
      </c>
      <c r="G1954" s="2200">
        <f>--SUBTOTAL(3,C$2:C1954)</f>
        <v>67</v>
      </c>
    </row>
    <row r="1955" spans="1:7" hidden="1" x14ac:dyDescent="0.15">
      <c r="A1955" s="2200" t="s">
        <v>4280</v>
      </c>
      <c r="B1955" s="2200" t="s">
        <v>8187</v>
      </c>
      <c r="C1955" s="2200" t="s">
        <v>8188</v>
      </c>
      <c r="D1955" s="2200" t="str">
        <f t="shared" si="90"/>
        <v>NC</v>
      </c>
      <c r="E1955" s="2200" t="str">
        <f t="shared" si="91"/>
        <v>37</v>
      </c>
      <c r="F1955" s="2200" t="str">
        <f t="shared" si="92"/>
        <v>123</v>
      </c>
      <c r="G1955" s="2200">
        <f>--SUBTOTAL(3,C$2:C1955)</f>
        <v>67</v>
      </c>
    </row>
    <row r="1956" spans="1:7" hidden="1" x14ac:dyDescent="0.15">
      <c r="A1956" s="2200" t="s">
        <v>4280</v>
      </c>
      <c r="B1956" s="2200" t="s">
        <v>8189</v>
      </c>
      <c r="C1956" s="2200" t="s">
        <v>8190</v>
      </c>
      <c r="D1956" s="2200" t="str">
        <f t="shared" si="90"/>
        <v>NC</v>
      </c>
      <c r="E1956" s="2200" t="str">
        <f t="shared" si="91"/>
        <v>37</v>
      </c>
      <c r="F1956" s="2200" t="str">
        <f t="shared" si="92"/>
        <v>125</v>
      </c>
      <c r="G1956" s="2200">
        <f>--SUBTOTAL(3,C$2:C1956)</f>
        <v>67</v>
      </c>
    </row>
    <row r="1957" spans="1:7" hidden="1" x14ac:dyDescent="0.15">
      <c r="A1957" s="2200" t="s">
        <v>4280</v>
      </c>
      <c r="B1957" s="2200" t="s">
        <v>8191</v>
      </c>
      <c r="C1957" s="2200" t="s">
        <v>8192</v>
      </c>
      <c r="D1957" s="2200" t="str">
        <f t="shared" si="90"/>
        <v>NC</v>
      </c>
      <c r="E1957" s="2200" t="str">
        <f t="shared" si="91"/>
        <v>37</v>
      </c>
      <c r="F1957" s="2200" t="str">
        <f t="shared" si="92"/>
        <v>127</v>
      </c>
      <c r="G1957" s="2200">
        <f>--SUBTOTAL(3,C$2:C1957)</f>
        <v>67</v>
      </c>
    </row>
    <row r="1958" spans="1:7" hidden="1" x14ac:dyDescent="0.15">
      <c r="A1958" s="2200" t="s">
        <v>4280</v>
      </c>
      <c r="B1958" s="2200" t="s">
        <v>8193</v>
      </c>
      <c r="C1958" s="2200" t="s">
        <v>8194</v>
      </c>
      <c r="D1958" s="2200" t="str">
        <f t="shared" si="90"/>
        <v>NC</v>
      </c>
      <c r="E1958" s="2200" t="str">
        <f t="shared" si="91"/>
        <v>37</v>
      </c>
      <c r="F1958" s="2200" t="str">
        <f t="shared" si="92"/>
        <v>129</v>
      </c>
      <c r="G1958" s="2200">
        <f>--SUBTOTAL(3,C$2:C1958)</f>
        <v>67</v>
      </c>
    </row>
    <row r="1959" spans="1:7" hidden="1" x14ac:dyDescent="0.15">
      <c r="A1959" s="2200" t="s">
        <v>4280</v>
      </c>
      <c r="B1959" s="2200" t="s">
        <v>8195</v>
      </c>
      <c r="C1959" s="2200" t="s">
        <v>8196</v>
      </c>
      <c r="D1959" s="2200" t="str">
        <f t="shared" si="90"/>
        <v>NC</v>
      </c>
      <c r="E1959" s="2200" t="str">
        <f t="shared" si="91"/>
        <v>37</v>
      </c>
      <c r="F1959" s="2200" t="str">
        <f t="shared" si="92"/>
        <v>131</v>
      </c>
      <c r="G1959" s="2200">
        <f>--SUBTOTAL(3,C$2:C1959)</f>
        <v>67</v>
      </c>
    </row>
    <row r="1960" spans="1:7" hidden="1" x14ac:dyDescent="0.15">
      <c r="A1960" s="2200" t="s">
        <v>4280</v>
      </c>
      <c r="B1960" s="2200" t="s">
        <v>8197</v>
      </c>
      <c r="C1960" s="2200" t="s">
        <v>8198</v>
      </c>
      <c r="D1960" s="2200" t="str">
        <f t="shared" si="90"/>
        <v>NC</v>
      </c>
      <c r="E1960" s="2200" t="str">
        <f t="shared" si="91"/>
        <v>37</v>
      </c>
      <c r="F1960" s="2200" t="str">
        <f t="shared" si="92"/>
        <v>133</v>
      </c>
      <c r="G1960" s="2200">
        <f>--SUBTOTAL(3,C$2:C1960)</f>
        <v>67</v>
      </c>
    </row>
    <row r="1961" spans="1:7" hidden="1" x14ac:dyDescent="0.15">
      <c r="A1961" s="2200" t="s">
        <v>4280</v>
      </c>
      <c r="B1961" s="2200" t="s">
        <v>8199</v>
      </c>
      <c r="C1961" s="2200" t="s">
        <v>8200</v>
      </c>
      <c r="D1961" s="2200" t="str">
        <f t="shared" si="90"/>
        <v>NC</v>
      </c>
      <c r="E1961" s="2200" t="str">
        <f t="shared" si="91"/>
        <v>37</v>
      </c>
      <c r="F1961" s="2200" t="str">
        <f t="shared" si="92"/>
        <v>135</v>
      </c>
      <c r="G1961" s="2200">
        <f>--SUBTOTAL(3,C$2:C1961)</f>
        <v>67</v>
      </c>
    </row>
    <row r="1962" spans="1:7" hidden="1" x14ac:dyDescent="0.15">
      <c r="A1962" s="2200" t="s">
        <v>4280</v>
      </c>
      <c r="B1962" s="2200" t="s">
        <v>8201</v>
      </c>
      <c r="C1962" s="2200" t="s">
        <v>8202</v>
      </c>
      <c r="D1962" s="2200" t="str">
        <f t="shared" si="90"/>
        <v>NC</v>
      </c>
      <c r="E1962" s="2200" t="str">
        <f t="shared" si="91"/>
        <v>37</v>
      </c>
      <c r="F1962" s="2200" t="str">
        <f t="shared" si="92"/>
        <v>137</v>
      </c>
      <c r="G1962" s="2200">
        <f>--SUBTOTAL(3,C$2:C1962)</f>
        <v>67</v>
      </c>
    </row>
    <row r="1963" spans="1:7" hidden="1" x14ac:dyDescent="0.15">
      <c r="A1963" s="2200" t="s">
        <v>4280</v>
      </c>
      <c r="B1963" s="2200" t="s">
        <v>8203</v>
      </c>
      <c r="C1963" s="2200" t="s">
        <v>8204</v>
      </c>
      <c r="D1963" s="2200" t="str">
        <f t="shared" si="90"/>
        <v>NC</v>
      </c>
      <c r="E1963" s="2200" t="str">
        <f t="shared" si="91"/>
        <v>37</v>
      </c>
      <c r="F1963" s="2200" t="str">
        <f t="shared" si="92"/>
        <v>139</v>
      </c>
      <c r="G1963" s="2200">
        <f>--SUBTOTAL(3,C$2:C1963)</f>
        <v>67</v>
      </c>
    </row>
    <row r="1964" spans="1:7" hidden="1" x14ac:dyDescent="0.15">
      <c r="A1964" s="2200" t="s">
        <v>4280</v>
      </c>
      <c r="B1964" s="2200" t="s">
        <v>8205</v>
      </c>
      <c r="C1964" s="2200" t="s">
        <v>8206</v>
      </c>
      <c r="D1964" s="2200" t="str">
        <f t="shared" si="90"/>
        <v>NC</v>
      </c>
      <c r="E1964" s="2200" t="str">
        <f t="shared" si="91"/>
        <v>37</v>
      </c>
      <c r="F1964" s="2200" t="str">
        <f t="shared" si="92"/>
        <v>141</v>
      </c>
      <c r="G1964" s="2200">
        <f>--SUBTOTAL(3,C$2:C1964)</f>
        <v>67</v>
      </c>
    </row>
    <row r="1965" spans="1:7" hidden="1" x14ac:dyDescent="0.15">
      <c r="A1965" s="2200" t="s">
        <v>4280</v>
      </c>
      <c r="B1965" s="2200" t="s">
        <v>8207</v>
      </c>
      <c r="C1965" s="2200" t="s">
        <v>8208</v>
      </c>
      <c r="D1965" s="2200" t="str">
        <f t="shared" si="90"/>
        <v>NC</v>
      </c>
      <c r="E1965" s="2200" t="str">
        <f t="shared" si="91"/>
        <v>37</v>
      </c>
      <c r="F1965" s="2200" t="str">
        <f t="shared" si="92"/>
        <v>143</v>
      </c>
      <c r="G1965" s="2200">
        <f>--SUBTOTAL(3,C$2:C1965)</f>
        <v>67</v>
      </c>
    </row>
    <row r="1966" spans="1:7" hidden="1" x14ac:dyDescent="0.15">
      <c r="A1966" s="2200" t="s">
        <v>4280</v>
      </c>
      <c r="B1966" s="2200" t="s">
        <v>8209</v>
      </c>
      <c r="C1966" s="2200" t="s">
        <v>8210</v>
      </c>
      <c r="D1966" s="2200" t="str">
        <f t="shared" si="90"/>
        <v>NC</v>
      </c>
      <c r="E1966" s="2200" t="str">
        <f t="shared" si="91"/>
        <v>37</v>
      </c>
      <c r="F1966" s="2200" t="str">
        <f t="shared" si="92"/>
        <v>145</v>
      </c>
      <c r="G1966" s="2200">
        <f>--SUBTOTAL(3,C$2:C1966)</f>
        <v>67</v>
      </c>
    </row>
    <row r="1967" spans="1:7" hidden="1" x14ac:dyDescent="0.15">
      <c r="A1967" s="2200" t="s">
        <v>4280</v>
      </c>
      <c r="B1967" s="2200" t="s">
        <v>8211</v>
      </c>
      <c r="C1967" s="2200" t="s">
        <v>8212</v>
      </c>
      <c r="D1967" s="2200" t="str">
        <f t="shared" si="90"/>
        <v>NC</v>
      </c>
      <c r="E1967" s="2200" t="str">
        <f t="shared" si="91"/>
        <v>37</v>
      </c>
      <c r="F1967" s="2200" t="str">
        <f t="shared" si="92"/>
        <v>147</v>
      </c>
      <c r="G1967" s="2200">
        <f>--SUBTOTAL(3,C$2:C1967)</f>
        <v>67</v>
      </c>
    </row>
    <row r="1968" spans="1:7" hidden="1" x14ac:dyDescent="0.15">
      <c r="A1968" s="2200" t="s">
        <v>4280</v>
      </c>
      <c r="B1968" s="2200" t="s">
        <v>8213</v>
      </c>
      <c r="C1968" s="2200" t="s">
        <v>8214</v>
      </c>
      <c r="D1968" s="2200" t="str">
        <f t="shared" si="90"/>
        <v>NC</v>
      </c>
      <c r="E1968" s="2200" t="str">
        <f t="shared" si="91"/>
        <v>37</v>
      </c>
      <c r="F1968" s="2200" t="str">
        <f t="shared" si="92"/>
        <v>149</v>
      </c>
      <c r="G1968" s="2200">
        <f>--SUBTOTAL(3,C$2:C1968)</f>
        <v>67</v>
      </c>
    </row>
    <row r="1969" spans="1:7" hidden="1" x14ac:dyDescent="0.15">
      <c r="A1969" s="2200" t="s">
        <v>4280</v>
      </c>
      <c r="B1969" s="2200" t="s">
        <v>8215</v>
      </c>
      <c r="C1969" s="2200" t="s">
        <v>8216</v>
      </c>
      <c r="D1969" s="2200" t="str">
        <f t="shared" si="90"/>
        <v>NC</v>
      </c>
      <c r="E1969" s="2200" t="str">
        <f t="shared" si="91"/>
        <v>37</v>
      </c>
      <c r="F1969" s="2200" t="str">
        <f t="shared" si="92"/>
        <v>151</v>
      </c>
      <c r="G1969" s="2200">
        <f>--SUBTOTAL(3,C$2:C1969)</f>
        <v>67</v>
      </c>
    </row>
    <row r="1970" spans="1:7" hidden="1" x14ac:dyDescent="0.15">
      <c r="A1970" s="2200" t="s">
        <v>4280</v>
      </c>
      <c r="B1970" s="2200" t="s">
        <v>8217</v>
      </c>
      <c r="C1970" s="2200" t="s">
        <v>8218</v>
      </c>
      <c r="D1970" s="2200" t="str">
        <f t="shared" si="90"/>
        <v>NC</v>
      </c>
      <c r="E1970" s="2200" t="str">
        <f t="shared" si="91"/>
        <v>37</v>
      </c>
      <c r="F1970" s="2200" t="str">
        <f t="shared" si="92"/>
        <v>153</v>
      </c>
      <c r="G1970" s="2200">
        <f>--SUBTOTAL(3,C$2:C1970)</f>
        <v>67</v>
      </c>
    </row>
    <row r="1971" spans="1:7" hidden="1" x14ac:dyDescent="0.15">
      <c r="A1971" s="2200" t="s">
        <v>4280</v>
      </c>
      <c r="B1971" s="2200" t="s">
        <v>8219</v>
      </c>
      <c r="C1971" s="2200" t="s">
        <v>8220</v>
      </c>
      <c r="D1971" s="2200" t="str">
        <f t="shared" si="90"/>
        <v>NC</v>
      </c>
      <c r="E1971" s="2200" t="str">
        <f t="shared" si="91"/>
        <v>37</v>
      </c>
      <c r="F1971" s="2200" t="str">
        <f t="shared" si="92"/>
        <v>155</v>
      </c>
      <c r="G1971" s="2200">
        <f>--SUBTOTAL(3,C$2:C1971)</f>
        <v>67</v>
      </c>
    </row>
    <row r="1972" spans="1:7" hidden="1" x14ac:dyDescent="0.15">
      <c r="A1972" s="2200" t="s">
        <v>4280</v>
      </c>
      <c r="B1972" s="2200" t="s">
        <v>8221</v>
      </c>
      <c r="C1972" s="2200" t="s">
        <v>8222</v>
      </c>
      <c r="D1972" s="2200" t="str">
        <f t="shared" si="90"/>
        <v>NC</v>
      </c>
      <c r="E1972" s="2200" t="str">
        <f t="shared" si="91"/>
        <v>37</v>
      </c>
      <c r="F1972" s="2200" t="str">
        <f t="shared" si="92"/>
        <v>157</v>
      </c>
      <c r="G1972" s="2200">
        <f>--SUBTOTAL(3,C$2:C1972)</f>
        <v>67</v>
      </c>
    </row>
    <row r="1973" spans="1:7" hidden="1" x14ac:dyDescent="0.15">
      <c r="A1973" s="2200" t="s">
        <v>4280</v>
      </c>
      <c r="B1973" s="2200" t="s">
        <v>8223</v>
      </c>
      <c r="C1973" s="2200" t="s">
        <v>8224</v>
      </c>
      <c r="D1973" s="2200" t="str">
        <f t="shared" si="90"/>
        <v>NC</v>
      </c>
      <c r="E1973" s="2200" t="str">
        <f t="shared" si="91"/>
        <v>37</v>
      </c>
      <c r="F1973" s="2200" t="str">
        <f t="shared" si="92"/>
        <v>159</v>
      </c>
      <c r="G1973" s="2200">
        <f>--SUBTOTAL(3,C$2:C1973)</f>
        <v>67</v>
      </c>
    </row>
    <row r="1974" spans="1:7" hidden="1" x14ac:dyDescent="0.15">
      <c r="A1974" s="2200" t="s">
        <v>4280</v>
      </c>
      <c r="B1974" s="2200" t="s">
        <v>8225</v>
      </c>
      <c r="C1974" s="2200" t="s">
        <v>8226</v>
      </c>
      <c r="D1974" s="2200" t="str">
        <f t="shared" si="90"/>
        <v>NC</v>
      </c>
      <c r="E1974" s="2200" t="str">
        <f t="shared" si="91"/>
        <v>37</v>
      </c>
      <c r="F1974" s="2200" t="str">
        <f t="shared" si="92"/>
        <v>161</v>
      </c>
      <c r="G1974" s="2200">
        <f>--SUBTOTAL(3,C$2:C1974)</f>
        <v>67</v>
      </c>
    </row>
    <row r="1975" spans="1:7" hidden="1" x14ac:dyDescent="0.15">
      <c r="A1975" s="2200" t="s">
        <v>4280</v>
      </c>
      <c r="B1975" s="2200" t="s">
        <v>8227</v>
      </c>
      <c r="C1975" s="2200" t="s">
        <v>8228</v>
      </c>
      <c r="D1975" s="2200" t="str">
        <f t="shared" si="90"/>
        <v>NC</v>
      </c>
      <c r="E1975" s="2200" t="str">
        <f t="shared" si="91"/>
        <v>37</v>
      </c>
      <c r="F1975" s="2200" t="str">
        <f t="shared" si="92"/>
        <v>163</v>
      </c>
      <c r="G1975" s="2200">
        <f>--SUBTOTAL(3,C$2:C1975)</f>
        <v>67</v>
      </c>
    </row>
    <row r="1976" spans="1:7" hidden="1" x14ac:dyDescent="0.15">
      <c r="A1976" s="2200" t="s">
        <v>4280</v>
      </c>
      <c r="B1976" s="2200" t="s">
        <v>8229</v>
      </c>
      <c r="C1976" s="2200" t="s">
        <v>8230</v>
      </c>
      <c r="D1976" s="2200" t="str">
        <f t="shared" si="90"/>
        <v>NC</v>
      </c>
      <c r="E1976" s="2200" t="str">
        <f t="shared" si="91"/>
        <v>37</v>
      </c>
      <c r="F1976" s="2200" t="str">
        <f t="shared" si="92"/>
        <v>165</v>
      </c>
      <c r="G1976" s="2200">
        <f>--SUBTOTAL(3,C$2:C1976)</f>
        <v>67</v>
      </c>
    </row>
    <row r="1977" spans="1:7" hidden="1" x14ac:dyDescent="0.15">
      <c r="A1977" s="2200" t="s">
        <v>4280</v>
      </c>
      <c r="B1977" s="2200" t="s">
        <v>8231</v>
      </c>
      <c r="C1977" s="2200" t="s">
        <v>8232</v>
      </c>
      <c r="D1977" s="2200" t="str">
        <f t="shared" si="90"/>
        <v>NC</v>
      </c>
      <c r="E1977" s="2200" t="str">
        <f t="shared" si="91"/>
        <v>37</v>
      </c>
      <c r="F1977" s="2200" t="str">
        <f t="shared" si="92"/>
        <v>167</v>
      </c>
      <c r="G1977" s="2200">
        <f>--SUBTOTAL(3,C$2:C1977)</f>
        <v>67</v>
      </c>
    </row>
    <row r="1978" spans="1:7" hidden="1" x14ac:dyDescent="0.15">
      <c r="A1978" s="2200" t="s">
        <v>4280</v>
      </c>
      <c r="B1978" s="2200" t="s">
        <v>8233</v>
      </c>
      <c r="C1978" s="2200" t="s">
        <v>8234</v>
      </c>
      <c r="D1978" s="2200" t="str">
        <f t="shared" si="90"/>
        <v>NC</v>
      </c>
      <c r="E1978" s="2200" t="str">
        <f t="shared" si="91"/>
        <v>37</v>
      </c>
      <c r="F1978" s="2200" t="str">
        <f t="shared" si="92"/>
        <v>169</v>
      </c>
      <c r="G1978" s="2200">
        <f>--SUBTOTAL(3,C$2:C1978)</f>
        <v>67</v>
      </c>
    </row>
    <row r="1979" spans="1:7" hidden="1" x14ac:dyDescent="0.15">
      <c r="A1979" s="2200" t="s">
        <v>4280</v>
      </c>
      <c r="B1979" s="2200" t="s">
        <v>8235</v>
      </c>
      <c r="C1979" s="2200" t="s">
        <v>8236</v>
      </c>
      <c r="D1979" s="2200" t="str">
        <f t="shared" si="90"/>
        <v>NC</v>
      </c>
      <c r="E1979" s="2200" t="str">
        <f t="shared" si="91"/>
        <v>37</v>
      </c>
      <c r="F1979" s="2200" t="str">
        <f t="shared" si="92"/>
        <v>171</v>
      </c>
      <c r="G1979" s="2200">
        <f>--SUBTOTAL(3,C$2:C1979)</f>
        <v>67</v>
      </c>
    </row>
    <row r="1980" spans="1:7" hidden="1" x14ac:dyDescent="0.15">
      <c r="A1980" s="2200" t="s">
        <v>4280</v>
      </c>
      <c r="B1980" s="2200" t="s">
        <v>8237</v>
      </c>
      <c r="C1980" s="2200" t="s">
        <v>8238</v>
      </c>
      <c r="D1980" s="2200" t="str">
        <f t="shared" si="90"/>
        <v>NC</v>
      </c>
      <c r="E1980" s="2200" t="str">
        <f t="shared" si="91"/>
        <v>37</v>
      </c>
      <c r="F1980" s="2200" t="str">
        <f t="shared" si="92"/>
        <v>173</v>
      </c>
      <c r="G1980" s="2200">
        <f>--SUBTOTAL(3,C$2:C1980)</f>
        <v>67</v>
      </c>
    </row>
    <row r="1981" spans="1:7" hidden="1" x14ac:dyDescent="0.15">
      <c r="A1981" s="2200" t="s">
        <v>4280</v>
      </c>
      <c r="B1981" s="2200" t="s">
        <v>8239</v>
      </c>
      <c r="C1981" s="2200" t="s">
        <v>8240</v>
      </c>
      <c r="D1981" s="2200" t="str">
        <f t="shared" si="90"/>
        <v>NC</v>
      </c>
      <c r="E1981" s="2200" t="str">
        <f t="shared" si="91"/>
        <v>37</v>
      </c>
      <c r="F1981" s="2200" t="str">
        <f t="shared" si="92"/>
        <v>175</v>
      </c>
      <c r="G1981" s="2200">
        <f>--SUBTOTAL(3,C$2:C1981)</f>
        <v>67</v>
      </c>
    </row>
    <row r="1982" spans="1:7" hidden="1" x14ac:dyDescent="0.15">
      <c r="A1982" s="2200" t="s">
        <v>4280</v>
      </c>
      <c r="B1982" s="2200" t="s">
        <v>8241</v>
      </c>
      <c r="C1982" s="2200" t="s">
        <v>8242</v>
      </c>
      <c r="D1982" s="2200" t="str">
        <f t="shared" si="90"/>
        <v>NC</v>
      </c>
      <c r="E1982" s="2200" t="str">
        <f t="shared" si="91"/>
        <v>37</v>
      </c>
      <c r="F1982" s="2200" t="str">
        <f t="shared" si="92"/>
        <v>177</v>
      </c>
      <c r="G1982" s="2200">
        <f>--SUBTOTAL(3,C$2:C1982)</f>
        <v>67</v>
      </c>
    </row>
    <row r="1983" spans="1:7" hidden="1" x14ac:dyDescent="0.15">
      <c r="A1983" s="2200" t="s">
        <v>4280</v>
      </c>
      <c r="B1983" s="2200" t="s">
        <v>8243</v>
      </c>
      <c r="C1983" s="2200" t="s">
        <v>8244</v>
      </c>
      <c r="D1983" s="2200" t="str">
        <f t="shared" si="90"/>
        <v>NC</v>
      </c>
      <c r="E1983" s="2200" t="str">
        <f t="shared" si="91"/>
        <v>37</v>
      </c>
      <c r="F1983" s="2200" t="str">
        <f t="shared" si="92"/>
        <v>179</v>
      </c>
      <c r="G1983" s="2200">
        <f>--SUBTOTAL(3,C$2:C1983)</f>
        <v>67</v>
      </c>
    </row>
    <row r="1984" spans="1:7" hidden="1" x14ac:dyDescent="0.15">
      <c r="A1984" s="2200" t="s">
        <v>4280</v>
      </c>
      <c r="B1984" s="2200" t="s">
        <v>8245</v>
      </c>
      <c r="C1984" s="2200" t="s">
        <v>8246</v>
      </c>
      <c r="D1984" s="2200" t="str">
        <f t="shared" si="90"/>
        <v>NC</v>
      </c>
      <c r="E1984" s="2200" t="str">
        <f t="shared" si="91"/>
        <v>37</v>
      </c>
      <c r="F1984" s="2200" t="str">
        <f t="shared" si="92"/>
        <v>181</v>
      </c>
      <c r="G1984" s="2200">
        <f>--SUBTOTAL(3,C$2:C1984)</f>
        <v>67</v>
      </c>
    </row>
    <row r="1985" spans="1:7" hidden="1" x14ac:dyDescent="0.15">
      <c r="A1985" s="2200" t="s">
        <v>4280</v>
      </c>
      <c r="B1985" s="2200" t="s">
        <v>8247</v>
      </c>
      <c r="C1985" s="2200" t="s">
        <v>8248</v>
      </c>
      <c r="D1985" s="2200" t="str">
        <f t="shared" si="90"/>
        <v>NC</v>
      </c>
      <c r="E1985" s="2200" t="str">
        <f t="shared" si="91"/>
        <v>37</v>
      </c>
      <c r="F1985" s="2200" t="str">
        <f t="shared" si="92"/>
        <v>183</v>
      </c>
      <c r="G1985" s="2200">
        <f>--SUBTOTAL(3,C$2:C1985)</f>
        <v>67</v>
      </c>
    </row>
    <row r="1986" spans="1:7" hidden="1" x14ac:dyDescent="0.15">
      <c r="A1986" s="2200" t="s">
        <v>4280</v>
      </c>
      <c r="B1986" s="2200" t="s">
        <v>8249</v>
      </c>
      <c r="C1986" s="2200" t="s">
        <v>8250</v>
      </c>
      <c r="D1986" s="2200" t="str">
        <f t="shared" si="90"/>
        <v>NC</v>
      </c>
      <c r="E1986" s="2200" t="str">
        <f t="shared" si="91"/>
        <v>37</v>
      </c>
      <c r="F1986" s="2200" t="str">
        <f t="shared" si="92"/>
        <v>185</v>
      </c>
      <c r="G1986" s="2200">
        <f>--SUBTOTAL(3,C$2:C1986)</f>
        <v>67</v>
      </c>
    </row>
    <row r="1987" spans="1:7" hidden="1" x14ac:dyDescent="0.15">
      <c r="A1987" s="2200" t="s">
        <v>4280</v>
      </c>
      <c r="B1987" s="2200" t="s">
        <v>8251</v>
      </c>
      <c r="C1987" s="2200" t="s">
        <v>8252</v>
      </c>
      <c r="D1987" s="2200" t="str">
        <f t="shared" ref="D1987:D2050" si="93">RIGHT(C1987,2)</f>
        <v>NC</v>
      </c>
      <c r="E1987" s="2200" t="str">
        <f t="shared" ref="E1987:E2050" si="94">MID(B1987,3,2)</f>
        <v>37</v>
      </c>
      <c r="F1987" s="2200" t="str">
        <f t="shared" ref="F1987:F2050" si="95">MID(B1987,5,3)</f>
        <v>187</v>
      </c>
      <c r="G1987" s="2200">
        <f>--SUBTOTAL(3,C$2:C1987)</f>
        <v>67</v>
      </c>
    </row>
    <row r="1988" spans="1:7" hidden="1" x14ac:dyDescent="0.15">
      <c r="A1988" s="2200" t="s">
        <v>4280</v>
      </c>
      <c r="B1988" s="2200" t="s">
        <v>8253</v>
      </c>
      <c r="C1988" s="2200" t="s">
        <v>8254</v>
      </c>
      <c r="D1988" s="2200" t="str">
        <f t="shared" si="93"/>
        <v>NC</v>
      </c>
      <c r="E1988" s="2200" t="str">
        <f t="shared" si="94"/>
        <v>37</v>
      </c>
      <c r="F1988" s="2200" t="str">
        <f t="shared" si="95"/>
        <v>189</v>
      </c>
      <c r="G1988" s="2200">
        <f>--SUBTOTAL(3,C$2:C1988)</f>
        <v>67</v>
      </c>
    </row>
    <row r="1989" spans="1:7" hidden="1" x14ac:dyDescent="0.15">
      <c r="A1989" s="2200" t="s">
        <v>4280</v>
      </c>
      <c r="B1989" s="2200" t="s">
        <v>8255</v>
      </c>
      <c r="C1989" s="2200" t="s">
        <v>8256</v>
      </c>
      <c r="D1989" s="2200" t="str">
        <f t="shared" si="93"/>
        <v>NC</v>
      </c>
      <c r="E1989" s="2200" t="str">
        <f t="shared" si="94"/>
        <v>37</v>
      </c>
      <c r="F1989" s="2200" t="str">
        <f t="shared" si="95"/>
        <v>191</v>
      </c>
      <c r="G1989" s="2200">
        <f>--SUBTOTAL(3,C$2:C1989)</f>
        <v>67</v>
      </c>
    </row>
    <row r="1990" spans="1:7" hidden="1" x14ac:dyDescent="0.15">
      <c r="A1990" s="2200" t="s">
        <v>4280</v>
      </c>
      <c r="B1990" s="2200" t="s">
        <v>8257</v>
      </c>
      <c r="C1990" s="2200" t="s">
        <v>8258</v>
      </c>
      <c r="D1990" s="2200" t="str">
        <f t="shared" si="93"/>
        <v>NC</v>
      </c>
      <c r="E1990" s="2200" t="str">
        <f t="shared" si="94"/>
        <v>37</v>
      </c>
      <c r="F1990" s="2200" t="str">
        <f t="shared" si="95"/>
        <v>193</v>
      </c>
      <c r="G1990" s="2200">
        <f>--SUBTOTAL(3,C$2:C1990)</f>
        <v>67</v>
      </c>
    </row>
    <row r="1991" spans="1:7" hidden="1" x14ac:dyDescent="0.15">
      <c r="A1991" s="2200" t="s">
        <v>4280</v>
      </c>
      <c r="B1991" s="2200" t="s">
        <v>8259</v>
      </c>
      <c r="C1991" s="2200" t="s">
        <v>8260</v>
      </c>
      <c r="D1991" s="2200" t="str">
        <f t="shared" si="93"/>
        <v>NC</v>
      </c>
      <c r="E1991" s="2200" t="str">
        <f t="shared" si="94"/>
        <v>37</v>
      </c>
      <c r="F1991" s="2200" t="str">
        <f t="shared" si="95"/>
        <v>195</v>
      </c>
      <c r="G1991" s="2200">
        <f>--SUBTOTAL(3,C$2:C1991)</f>
        <v>67</v>
      </c>
    </row>
    <row r="1992" spans="1:7" hidden="1" x14ac:dyDescent="0.15">
      <c r="A1992" s="2200" t="s">
        <v>4280</v>
      </c>
      <c r="B1992" s="2200" t="s">
        <v>8261</v>
      </c>
      <c r="C1992" s="2200" t="s">
        <v>8262</v>
      </c>
      <c r="D1992" s="2200" t="str">
        <f t="shared" si="93"/>
        <v>NC</v>
      </c>
      <c r="E1992" s="2200" t="str">
        <f t="shared" si="94"/>
        <v>37</v>
      </c>
      <c r="F1992" s="2200" t="str">
        <f t="shared" si="95"/>
        <v>197</v>
      </c>
      <c r="G1992" s="2200">
        <f>--SUBTOTAL(3,C$2:C1992)</f>
        <v>67</v>
      </c>
    </row>
    <row r="1993" spans="1:7" hidden="1" x14ac:dyDescent="0.15">
      <c r="A1993" s="2200" t="s">
        <v>4280</v>
      </c>
      <c r="B1993" s="2200" t="s">
        <v>8263</v>
      </c>
      <c r="C1993" s="2200" t="s">
        <v>8264</v>
      </c>
      <c r="D1993" s="2200" t="str">
        <f t="shared" si="93"/>
        <v>NC</v>
      </c>
      <c r="E1993" s="2200" t="str">
        <f t="shared" si="94"/>
        <v>37</v>
      </c>
      <c r="F1993" s="2200" t="str">
        <f t="shared" si="95"/>
        <v>199</v>
      </c>
      <c r="G1993" s="2200">
        <f>--SUBTOTAL(3,C$2:C1993)</f>
        <v>67</v>
      </c>
    </row>
    <row r="1994" spans="1:7" hidden="1" x14ac:dyDescent="0.15">
      <c r="A1994" s="2200" t="s">
        <v>4280</v>
      </c>
      <c r="B1994" s="2200" t="s">
        <v>8265</v>
      </c>
      <c r="C1994" s="2200" t="s">
        <v>8266</v>
      </c>
      <c r="D1994" s="2200" t="str">
        <f t="shared" si="93"/>
        <v>ND</v>
      </c>
      <c r="E1994" s="2200" t="str">
        <f t="shared" si="94"/>
        <v>38</v>
      </c>
      <c r="F1994" s="2200" t="str">
        <f t="shared" si="95"/>
        <v>001</v>
      </c>
      <c r="G1994" s="2200">
        <f>--SUBTOTAL(3,C$2:C1994)</f>
        <v>67</v>
      </c>
    </row>
    <row r="1995" spans="1:7" hidden="1" x14ac:dyDescent="0.15">
      <c r="A1995" s="2200" t="s">
        <v>4280</v>
      </c>
      <c r="B1995" s="2200" t="s">
        <v>8267</v>
      </c>
      <c r="C1995" s="2200" t="s">
        <v>8268</v>
      </c>
      <c r="D1995" s="2200" t="str">
        <f t="shared" si="93"/>
        <v>ND</v>
      </c>
      <c r="E1995" s="2200" t="str">
        <f t="shared" si="94"/>
        <v>38</v>
      </c>
      <c r="F1995" s="2200" t="str">
        <f t="shared" si="95"/>
        <v>003</v>
      </c>
      <c r="G1995" s="2200">
        <f>--SUBTOTAL(3,C$2:C1995)</f>
        <v>67</v>
      </c>
    </row>
    <row r="1996" spans="1:7" hidden="1" x14ac:dyDescent="0.15">
      <c r="A1996" s="2200" t="s">
        <v>4280</v>
      </c>
      <c r="B1996" s="2200" t="s">
        <v>8269</v>
      </c>
      <c r="C1996" s="2200" t="s">
        <v>8270</v>
      </c>
      <c r="D1996" s="2200" t="str">
        <f t="shared" si="93"/>
        <v>ND</v>
      </c>
      <c r="E1996" s="2200" t="str">
        <f t="shared" si="94"/>
        <v>38</v>
      </c>
      <c r="F1996" s="2200" t="str">
        <f t="shared" si="95"/>
        <v>005</v>
      </c>
      <c r="G1996" s="2200">
        <f>--SUBTOTAL(3,C$2:C1996)</f>
        <v>67</v>
      </c>
    </row>
    <row r="1997" spans="1:7" hidden="1" x14ac:dyDescent="0.15">
      <c r="A1997" s="2200" t="s">
        <v>4280</v>
      </c>
      <c r="B1997" s="2200" t="s">
        <v>8271</v>
      </c>
      <c r="C1997" s="2200" t="s">
        <v>8272</v>
      </c>
      <c r="D1997" s="2200" t="str">
        <f t="shared" si="93"/>
        <v>ND</v>
      </c>
      <c r="E1997" s="2200" t="str">
        <f t="shared" si="94"/>
        <v>38</v>
      </c>
      <c r="F1997" s="2200" t="str">
        <f t="shared" si="95"/>
        <v>007</v>
      </c>
      <c r="G1997" s="2200">
        <f>--SUBTOTAL(3,C$2:C1997)</f>
        <v>67</v>
      </c>
    </row>
    <row r="1998" spans="1:7" hidden="1" x14ac:dyDescent="0.15">
      <c r="A1998" s="2200" t="s">
        <v>4280</v>
      </c>
      <c r="B1998" s="2200" t="s">
        <v>8273</v>
      </c>
      <c r="C1998" s="2200" t="s">
        <v>8274</v>
      </c>
      <c r="D1998" s="2200" t="str">
        <f t="shared" si="93"/>
        <v>ND</v>
      </c>
      <c r="E1998" s="2200" t="str">
        <f t="shared" si="94"/>
        <v>38</v>
      </c>
      <c r="F1998" s="2200" t="str">
        <f t="shared" si="95"/>
        <v>009</v>
      </c>
      <c r="G1998" s="2200">
        <f>--SUBTOTAL(3,C$2:C1998)</f>
        <v>67</v>
      </c>
    </row>
    <row r="1999" spans="1:7" hidden="1" x14ac:dyDescent="0.15">
      <c r="A1999" s="2200" t="s">
        <v>4280</v>
      </c>
      <c r="B1999" s="2200" t="s">
        <v>8275</v>
      </c>
      <c r="C1999" s="2200" t="s">
        <v>8276</v>
      </c>
      <c r="D1999" s="2200" t="str">
        <f t="shared" si="93"/>
        <v>ND</v>
      </c>
      <c r="E1999" s="2200" t="str">
        <f t="shared" si="94"/>
        <v>38</v>
      </c>
      <c r="F1999" s="2200" t="str">
        <f t="shared" si="95"/>
        <v>011</v>
      </c>
      <c r="G1999" s="2200">
        <f>--SUBTOTAL(3,C$2:C1999)</f>
        <v>67</v>
      </c>
    </row>
    <row r="2000" spans="1:7" hidden="1" x14ac:dyDescent="0.15">
      <c r="A2000" s="2200" t="s">
        <v>4280</v>
      </c>
      <c r="B2000" s="2200" t="s">
        <v>8277</v>
      </c>
      <c r="C2000" s="2200" t="s">
        <v>8278</v>
      </c>
      <c r="D2000" s="2200" t="str">
        <f t="shared" si="93"/>
        <v>ND</v>
      </c>
      <c r="E2000" s="2200" t="str">
        <f t="shared" si="94"/>
        <v>38</v>
      </c>
      <c r="F2000" s="2200" t="str">
        <f t="shared" si="95"/>
        <v>013</v>
      </c>
      <c r="G2000" s="2200">
        <f>--SUBTOTAL(3,C$2:C2000)</f>
        <v>67</v>
      </c>
    </row>
    <row r="2001" spans="1:7" hidden="1" x14ac:dyDescent="0.15">
      <c r="A2001" s="2200" t="s">
        <v>4280</v>
      </c>
      <c r="B2001" s="2200" t="s">
        <v>8279</v>
      </c>
      <c r="C2001" s="2200" t="s">
        <v>8280</v>
      </c>
      <c r="D2001" s="2200" t="str">
        <f t="shared" si="93"/>
        <v>ND</v>
      </c>
      <c r="E2001" s="2200" t="str">
        <f t="shared" si="94"/>
        <v>38</v>
      </c>
      <c r="F2001" s="2200" t="str">
        <f t="shared" si="95"/>
        <v>015</v>
      </c>
      <c r="G2001" s="2200">
        <f>--SUBTOTAL(3,C$2:C2001)</f>
        <v>67</v>
      </c>
    </row>
    <row r="2002" spans="1:7" hidden="1" x14ac:dyDescent="0.15">
      <c r="A2002" s="2200" t="s">
        <v>4280</v>
      </c>
      <c r="B2002" s="2200" t="s">
        <v>8281</v>
      </c>
      <c r="C2002" s="2200" t="s">
        <v>8282</v>
      </c>
      <c r="D2002" s="2200" t="str">
        <f t="shared" si="93"/>
        <v>ND</v>
      </c>
      <c r="E2002" s="2200" t="str">
        <f t="shared" si="94"/>
        <v>38</v>
      </c>
      <c r="F2002" s="2200" t="str">
        <f t="shared" si="95"/>
        <v>017</v>
      </c>
      <c r="G2002" s="2200">
        <f>--SUBTOTAL(3,C$2:C2002)</f>
        <v>67</v>
      </c>
    </row>
    <row r="2003" spans="1:7" hidden="1" x14ac:dyDescent="0.15">
      <c r="A2003" s="2200" t="s">
        <v>4280</v>
      </c>
      <c r="B2003" s="2200" t="s">
        <v>8283</v>
      </c>
      <c r="C2003" s="2200" t="s">
        <v>8284</v>
      </c>
      <c r="D2003" s="2200" t="str">
        <f t="shared" si="93"/>
        <v>ND</v>
      </c>
      <c r="E2003" s="2200" t="str">
        <f t="shared" si="94"/>
        <v>38</v>
      </c>
      <c r="F2003" s="2200" t="str">
        <f t="shared" si="95"/>
        <v>019</v>
      </c>
      <c r="G2003" s="2200">
        <f>--SUBTOTAL(3,C$2:C2003)</f>
        <v>67</v>
      </c>
    </row>
    <row r="2004" spans="1:7" hidden="1" x14ac:dyDescent="0.15">
      <c r="A2004" s="2200" t="s">
        <v>4280</v>
      </c>
      <c r="B2004" s="2200" t="s">
        <v>8285</v>
      </c>
      <c r="C2004" s="2200" t="s">
        <v>8286</v>
      </c>
      <c r="D2004" s="2200" t="str">
        <f t="shared" si="93"/>
        <v>ND</v>
      </c>
      <c r="E2004" s="2200" t="str">
        <f t="shared" si="94"/>
        <v>38</v>
      </c>
      <c r="F2004" s="2200" t="str">
        <f t="shared" si="95"/>
        <v>021</v>
      </c>
      <c r="G2004" s="2200">
        <f>--SUBTOTAL(3,C$2:C2004)</f>
        <v>67</v>
      </c>
    </row>
    <row r="2005" spans="1:7" hidden="1" x14ac:dyDescent="0.15">
      <c r="A2005" s="2200" t="s">
        <v>4280</v>
      </c>
      <c r="B2005" s="2200" t="s">
        <v>8287</v>
      </c>
      <c r="C2005" s="2200" t="s">
        <v>8288</v>
      </c>
      <c r="D2005" s="2200" t="str">
        <f t="shared" si="93"/>
        <v>ND</v>
      </c>
      <c r="E2005" s="2200" t="str">
        <f t="shared" si="94"/>
        <v>38</v>
      </c>
      <c r="F2005" s="2200" t="str">
        <f t="shared" si="95"/>
        <v>023</v>
      </c>
      <c r="G2005" s="2200">
        <f>--SUBTOTAL(3,C$2:C2005)</f>
        <v>67</v>
      </c>
    </row>
    <row r="2006" spans="1:7" hidden="1" x14ac:dyDescent="0.15">
      <c r="A2006" s="2200" t="s">
        <v>4280</v>
      </c>
      <c r="B2006" s="2200" t="s">
        <v>8289</v>
      </c>
      <c r="C2006" s="2200" t="s">
        <v>8290</v>
      </c>
      <c r="D2006" s="2200" t="str">
        <f t="shared" si="93"/>
        <v>ND</v>
      </c>
      <c r="E2006" s="2200" t="str">
        <f t="shared" si="94"/>
        <v>38</v>
      </c>
      <c r="F2006" s="2200" t="str">
        <f t="shared" si="95"/>
        <v>025</v>
      </c>
      <c r="G2006" s="2200">
        <f>--SUBTOTAL(3,C$2:C2006)</f>
        <v>67</v>
      </c>
    </row>
    <row r="2007" spans="1:7" hidden="1" x14ac:dyDescent="0.15">
      <c r="A2007" s="2200" t="s">
        <v>4280</v>
      </c>
      <c r="B2007" s="2200" t="s">
        <v>8291</v>
      </c>
      <c r="C2007" s="2200" t="s">
        <v>8292</v>
      </c>
      <c r="D2007" s="2200" t="str">
        <f t="shared" si="93"/>
        <v>ND</v>
      </c>
      <c r="E2007" s="2200" t="str">
        <f t="shared" si="94"/>
        <v>38</v>
      </c>
      <c r="F2007" s="2200" t="str">
        <f t="shared" si="95"/>
        <v>027</v>
      </c>
      <c r="G2007" s="2200">
        <f>--SUBTOTAL(3,C$2:C2007)</f>
        <v>67</v>
      </c>
    </row>
    <row r="2008" spans="1:7" hidden="1" x14ac:dyDescent="0.15">
      <c r="A2008" s="2200" t="s">
        <v>4280</v>
      </c>
      <c r="B2008" s="2200" t="s">
        <v>8293</v>
      </c>
      <c r="C2008" s="2200" t="s">
        <v>8294</v>
      </c>
      <c r="D2008" s="2200" t="str">
        <f t="shared" si="93"/>
        <v>ND</v>
      </c>
      <c r="E2008" s="2200" t="str">
        <f t="shared" si="94"/>
        <v>38</v>
      </c>
      <c r="F2008" s="2200" t="str">
        <f t="shared" si="95"/>
        <v>029</v>
      </c>
      <c r="G2008" s="2200">
        <f>--SUBTOTAL(3,C$2:C2008)</f>
        <v>67</v>
      </c>
    </row>
    <row r="2009" spans="1:7" hidden="1" x14ac:dyDescent="0.15">
      <c r="A2009" s="2200" t="s">
        <v>4280</v>
      </c>
      <c r="B2009" s="2200" t="s">
        <v>8295</v>
      </c>
      <c r="C2009" s="2200" t="s">
        <v>8296</v>
      </c>
      <c r="D2009" s="2200" t="str">
        <f t="shared" si="93"/>
        <v>ND</v>
      </c>
      <c r="E2009" s="2200" t="str">
        <f t="shared" si="94"/>
        <v>38</v>
      </c>
      <c r="F2009" s="2200" t="str">
        <f t="shared" si="95"/>
        <v>031</v>
      </c>
      <c r="G2009" s="2200">
        <f>--SUBTOTAL(3,C$2:C2009)</f>
        <v>67</v>
      </c>
    </row>
    <row r="2010" spans="1:7" hidden="1" x14ac:dyDescent="0.15">
      <c r="A2010" s="2200" t="s">
        <v>4280</v>
      </c>
      <c r="B2010" s="2200" t="s">
        <v>8297</v>
      </c>
      <c r="C2010" s="2200" t="s">
        <v>8298</v>
      </c>
      <c r="D2010" s="2200" t="str">
        <f t="shared" si="93"/>
        <v>ND</v>
      </c>
      <c r="E2010" s="2200" t="str">
        <f t="shared" si="94"/>
        <v>38</v>
      </c>
      <c r="F2010" s="2200" t="str">
        <f t="shared" si="95"/>
        <v>033</v>
      </c>
      <c r="G2010" s="2200">
        <f>--SUBTOTAL(3,C$2:C2010)</f>
        <v>67</v>
      </c>
    </row>
    <row r="2011" spans="1:7" hidden="1" x14ac:dyDescent="0.15">
      <c r="A2011" s="2200" t="s">
        <v>4280</v>
      </c>
      <c r="B2011" s="2200" t="s">
        <v>8299</v>
      </c>
      <c r="C2011" s="2200" t="s">
        <v>8300</v>
      </c>
      <c r="D2011" s="2200" t="str">
        <f t="shared" si="93"/>
        <v>ND</v>
      </c>
      <c r="E2011" s="2200" t="str">
        <f t="shared" si="94"/>
        <v>38</v>
      </c>
      <c r="F2011" s="2200" t="str">
        <f t="shared" si="95"/>
        <v>035</v>
      </c>
      <c r="G2011" s="2200">
        <f>--SUBTOTAL(3,C$2:C2011)</f>
        <v>67</v>
      </c>
    </row>
    <row r="2012" spans="1:7" hidden="1" x14ac:dyDescent="0.15">
      <c r="A2012" s="2200" t="s">
        <v>4280</v>
      </c>
      <c r="B2012" s="2200" t="s">
        <v>8301</v>
      </c>
      <c r="C2012" s="2200" t="s">
        <v>8302</v>
      </c>
      <c r="D2012" s="2200" t="str">
        <f t="shared" si="93"/>
        <v>ND</v>
      </c>
      <c r="E2012" s="2200" t="str">
        <f t="shared" si="94"/>
        <v>38</v>
      </c>
      <c r="F2012" s="2200" t="str">
        <f t="shared" si="95"/>
        <v>037</v>
      </c>
      <c r="G2012" s="2200">
        <f>--SUBTOTAL(3,C$2:C2012)</f>
        <v>67</v>
      </c>
    </row>
    <row r="2013" spans="1:7" hidden="1" x14ac:dyDescent="0.15">
      <c r="A2013" s="2200" t="s">
        <v>4280</v>
      </c>
      <c r="B2013" s="2200" t="s">
        <v>8303</v>
      </c>
      <c r="C2013" s="2200" t="s">
        <v>8304</v>
      </c>
      <c r="D2013" s="2200" t="str">
        <f t="shared" si="93"/>
        <v>ND</v>
      </c>
      <c r="E2013" s="2200" t="str">
        <f t="shared" si="94"/>
        <v>38</v>
      </c>
      <c r="F2013" s="2200" t="str">
        <f t="shared" si="95"/>
        <v>039</v>
      </c>
      <c r="G2013" s="2200">
        <f>--SUBTOTAL(3,C$2:C2013)</f>
        <v>67</v>
      </c>
    </row>
    <row r="2014" spans="1:7" hidden="1" x14ac:dyDescent="0.15">
      <c r="A2014" s="2200" t="s">
        <v>4280</v>
      </c>
      <c r="B2014" s="2200" t="s">
        <v>8305</v>
      </c>
      <c r="C2014" s="2200" t="s">
        <v>8306</v>
      </c>
      <c r="D2014" s="2200" t="str">
        <f t="shared" si="93"/>
        <v>ND</v>
      </c>
      <c r="E2014" s="2200" t="str">
        <f t="shared" si="94"/>
        <v>38</v>
      </c>
      <c r="F2014" s="2200" t="str">
        <f t="shared" si="95"/>
        <v>041</v>
      </c>
      <c r="G2014" s="2200">
        <f>--SUBTOTAL(3,C$2:C2014)</f>
        <v>67</v>
      </c>
    </row>
    <row r="2015" spans="1:7" hidden="1" x14ac:dyDescent="0.15">
      <c r="A2015" s="2200" t="s">
        <v>4280</v>
      </c>
      <c r="B2015" s="2200" t="s">
        <v>8307</v>
      </c>
      <c r="C2015" s="2200" t="s">
        <v>8308</v>
      </c>
      <c r="D2015" s="2200" t="str">
        <f t="shared" si="93"/>
        <v>ND</v>
      </c>
      <c r="E2015" s="2200" t="str">
        <f t="shared" si="94"/>
        <v>38</v>
      </c>
      <c r="F2015" s="2200" t="str">
        <f t="shared" si="95"/>
        <v>043</v>
      </c>
      <c r="G2015" s="2200">
        <f>--SUBTOTAL(3,C$2:C2015)</f>
        <v>67</v>
      </c>
    </row>
    <row r="2016" spans="1:7" hidden="1" x14ac:dyDescent="0.15">
      <c r="A2016" s="2200" t="s">
        <v>4280</v>
      </c>
      <c r="B2016" s="2200" t="s">
        <v>8309</v>
      </c>
      <c r="C2016" s="2200" t="s">
        <v>8310</v>
      </c>
      <c r="D2016" s="2200" t="str">
        <f t="shared" si="93"/>
        <v>ND</v>
      </c>
      <c r="E2016" s="2200" t="str">
        <f t="shared" si="94"/>
        <v>38</v>
      </c>
      <c r="F2016" s="2200" t="str">
        <f t="shared" si="95"/>
        <v>045</v>
      </c>
      <c r="G2016" s="2200">
        <f>--SUBTOTAL(3,C$2:C2016)</f>
        <v>67</v>
      </c>
    </row>
    <row r="2017" spans="1:7" hidden="1" x14ac:dyDescent="0.15">
      <c r="A2017" s="2200" t="s">
        <v>4280</v>
      </c>
      <c r="B2017" s="2200" t="s">
        <v>8311</v>
      </c>
      <c r="C2017" s="2200" t="s">
        <v>8312</v>
      </c>
      <c r="D2017" s="2200" t="str">
        <f t="shared" si="93"/>
        <v>ND</v>
      </c>
      <c r="E2017" s="2200" t="str">
        <f t="shared" si="94"/>
        <v>38</v>
      </c>
      <c r="F2017" s="2200" t="str">
        <f t="shared" si="95"/>
        <v>047</v>
      </c>
      <c r="G2017" s="2200">
        <f>--SUBTOTAL(3,C$2:C2017)</f>
        <v>67</v>
      </c>
    </row>
    <row r="2018" spans="1:7" hidden="1" x14ac:dyDescent="0.15">
      <c r="A2018" s="2200" t="s">
        <v>4280</v>
      </c>
      <c r="B2018" s="2200" t="s">
        <v>8313</v>
      </c>
      <c r="C2018" s="2200" t="s">
        <v>8314</v>
      </c>
      <c r="D2018" s="2200" t="str">
        <f t="shared" si="93"/>
        <v>ND</v>
      </c>
      <c r="E2018" s="2200" t="str">
        <f t="shared" si="94"/>
        <v>38</v>
      </c>
      <c r="F2018" s="2200" t="str">
        <f t="shared" si="95"/>
        <v>049</v>
      </c>
      <c r="G2018" s="2200">
        <f>--SUBTOTAL(3,C$2:C2018)</f>
        <v>67</v>
      </c>
    </row>
    <row r="2019" spans="1:7" hidden="1" x14ac:dyDescent="0.15">
      <c r="A2019" s="2200" t="s">
        <v>4280</v>
      </c>
      <c r="B2019" s="2200" t="s">
        <v>8315</v>
      </c>
      <c r="C2019" s="2200" t="s">
        <v>8316</v>
      </c>
      <c r="D2019" s="2200" t="str">
        <f t="shared" si="93"/>
        <v>ND</v>
      </c>
      <c r="E2019" s="2200" t="str">
        <f t="shared" si="94"/>
        <v>38</v>
      </c>
      <c r="F2019" s="2200" t="str">
        <f t="shared" si="95"/>
        <v>051</v>
      </c>
      <c r="G2019" s="2200">
        <f>--SUBTOTAL(3,C$2:C2019)</f>
        <v>67</v>
      </c>
    </row>
    <row r="2020" spans="1:7" hidden="1" x14ac:dyDescent="0.15">
      <c r="A2020" s="2200" t="s">
        <v>4280</v>
      </c>
      <c r="B2020" s="2200" t="s">
        <v>8317</v>
      </c>
      <c r="C2020" s="2200" t="s">
        <v>8318</v>
      </c>
      <c r="D2020" s="2200" t="str">
        <f t="shared" si="93"/>
        <v>ND</v>
      </c>
      <c r="E2020" s="2200" t="str">
        <f t="shared" si="94"/>
        <v>38</v>
      </c>
      <c r="F2020" s="2200" t="str">
        <f t="shared" si="95"/>
        <v>053</v>
      </c>
      <c r="G2020" s="2200">
        <f>--SUBTOTAL(3,C$2:C2020)</f>
        <v>67</v>
      </c>
    </row>
    <row r="2021" spans="1:7" hidden="1" x14ac:dyDescent="0.15">
      <c r="A2021" s="2200" t="s">
        <v>4280</v>
      </c>
      <c r="B2021" s="2200" t="s">
        <v>8319</v>
      </c>
      <c r="C2021" s="2200" t="s">
        <v>8320</v>
      </c>
      <c r="D2021" s="2200" t="str">
        <f t="shared" si="93"/>
        <v>ND</v>
      </c>
      <c r="E2021" s="2200" t="str">
        <f t="shared" si="94"/>
        <v>38</v>
      </c>
      <c r="F2021" s="2200" t="str">
        <f t="shared" si="95"/>
        <v>055</v>
      </c>
      <c r="G2021" s="2200">
        <f>--SUBTOTAL(3,C$2:C2021)</f>
        <v>67</v>
      </c>
    </row>
    <row r="2022" spans="1:7" hidden="1" x14ac:dyDescent="0.15">
      <c r="A2022" s="2200" t="s">
        <v>4280</v>
      </c>
      <c r="B2022" s="2200" t="s">
        <v>8321</v>
      </c>
      <c r="C2022" s="2200" t="s">
        <v>8322</v>
      </c>
      <c r="D2022" s="2200" t="str">
        <f t="shared" si="93"/>
        <v>ND</v>
      </c>
      <c r="E2022" s="2200" t="str">
        <f t="shared" si="94"/>
        <v>38</v>
      </c>
      <c r="F2022" s="2200" t="str">
        <f t="shared" si="95"/>
        <v>057</v>
      </c>
      <c r="G2022" s="2200">
        <f>--SUBTOTAL(3,C$2:C2022)</f>
        <v>67</v>
      </c>
    </row>
    <row r="2023" spans="1:7" hidden="1" x14ac:dyDescent="0.15">
      <c r="A2023" s="2200" t="s">
        <v>4280</v>
      </c>
      <c r="B2023" s="2200" t="s">
        <v>8323</v>
      </c>
      <c r="C2023" s="2200" t="s">
        <v>8324</v>
      </c>
      <c r="D2023" s="2200" t="str">
        <f t="shared" si="93"/>
        <v>ND</v>
      </c>
      <c r="E2023" s="2200" t="str">
        <f t="shared" si="94"/>
        <v>38</v>
      </c>
      <c r="F2023" s="2200" t="str">
        <f t="shared" si="95"/>
        <v>059</v>
      </c>
      <c r="G2023" s="2200">
        <f>--SUBTOTAL(3,C$2:C2023)</f>
        <v>67</v>
      </c>
    </row>
    <row r="2024" spans="1:7" hidden="1" x14ac:dyDescent="0.15">
      <c r="A2024" s="2200" t="s">
        <v>4280</v>
      </c>
      <c r="B2024" s="2200" t="s">
        <v>8325</v>
      </c>
      <c r="C2024" s="2200" t="s">
        <v>8326</v>
      </c>
      <c r="D2024" s="2200" t="str">
        <f t="shared" si="93"/>
        <v>ND</v>
      </c>
      <c r="E2024" s="2200" t="str">
        <f t="shared" si="94"/>
        <v>38</v>
      </c>
      <c r="F2024" s="2200" t="str">
        <f t="shared" si="95"/>
        <v>061</v>
      </c>
      <c r="G2024" s="2200">
        <f>--SUBTOTAL(3,C$2:C2024)</f>
        <v>67</v>
      </c>
    </row>
    <row r="2025" spans="1:7" hidden="1" x14ac:dyDescent="0.15">
      <c r="A2025" s="2200" t="s">
        <v>4280</v>
      </c>
      <c r="B2025" s="2200" t="s">
        <v>8327</v>
      </c>
      <c r="C2025" s="2200" t="s">
        <v>8328</v>
      </c>
      <c r="D2025" s="2200" t="str">
        <f t="shared" si="93"/>
        <v>ND</v>
      </c>
      <c r="E2025" s="2200" t="str">
        <f t="shared" si="94"/>
        <v>38</v>
      </c>
      <c r="F2025" s="2200" t="str">
        <f t="shared" si="95"/>
        <v>063</v>
      </c>
      <c r="G2025" s="2200">
        <f>--SUBTOTAL(3,C$2:C2025)</f>
        <v>67</v>
      </c>
    </row>
    <row r="2026" spans="1:7" hidden="1" x14ac:dyDescent="0.15">
      <c r="A2026" s="2200" t="s">
        <v>4280</v>
      </c>
      <c r="B2026" s="2200" t="s">
        <v>8329</v>
      </c>
      <c r="C2026" s="2200" t="s">
        <v>8330</v>
      </c>
      <c r="D2026" s="2200" t="str">
        <f t="shared" si="93"/>
        <v>ND</v>
      </c>
      <c r="E2026" s="2200" t="str">
        <f t="shared" si="94"/>
        <v>38</v>
      </c>
      <c r="F2026" s="2200" t="str">
        <f t="shared" si="95"/>
        <v>065</v>
      </c>
      <c r="G2026" s="2200">
        <f>--SUBTOTAL(3,C$2:C2026)</f>
        <v>67</v>
      </c>
    </row>
    <row r="2027" spans="1:7" hidden="1" x14ac:dyDescent="0.15">
      <c r="A2027" s="2200" t="s">
        <v>4280</v>
      </c>
      <c r="B2027" s="2200" t="s">
        <v>8331</v>
      </c>
      <c r="C2027" s="2200" t="s">
        <v>8332</v>
      </c>
      <c r="D2027" s="2200" t="str">
        <f t="shared" si="93"/>
        <v>ND</v>
      </c>
      <c r="E2027" s="2200" t="str">
        <f t="shared" si="94"/>
        <v>38</v>
      </c>
      <c r="F2027" s="2200" t="str">
        <f t="shared" si="95"/>
        <v>067</v>
      </c>
      <c r="G2027" s="2200">
        <f>--SUBTOTAL(3,C$2:C2027)</f>
        <v>67</v>
      </c>
    </row>
    <row r="2028" spans="1:7" hidden="1" x14ac:dyDescent="0.15">
      <c r="A2028" s="2200" t="s">
        <v>4280</v>
      </c>
      <c r="B2028" s="2200" t="s">
        <v>8333</v>
      </c>
      <c r="C2028" s="2200" t="s">
        <v>8334</v>
      </c>
      <c r="D2028" s="2200" t="str">
        <f t="shared" si="93"/>
        <v>ND</v>
      </c>
      <c r="E2028" s="2200" t="str">
        <f t="shared" si="94"/>
        <v>38</v>
      </c>
      <c r="F2028" s="2200" t="str">
        <f t="shared" si="95"/>
        <v>069</v>
      </c>
      <c r="G2028" s="2200">
        <f>--SUBTOTAL(3,C$2:C2028)</f>
        <v>67</v>
      </c>
    </row>
    <row r="2029" spans="1:7" hidden="1" x14ac:dyDescent="0.15">
      <c r="A2029" s="2200" t="s">
        <v>4280</v>
      </c>
      <c r="B2029" s="2200" t="s">
        <v>8335</v>
      </c>
      <c r="C2029" s="2200" t="s">
        <v>8336</v>
      </c>
      <c r="D2029" s="2200" t="str">
        <f t="shared" si="93"/>
        <v>ND</v>
      </c>
      <c r="E2029" s="2200" t="str">
        <f t="shared" si="94"/>
        <v>38</v>
      </c>
      <c r="F2029" s="2200" t="str">
        <f t="shared" si="95"/>
        <v>071</v>
      </c>
      <c r="G2029" s="2200">
        <f>--SUBTOTAL(3,C$2:C2029)</f>
        <v>67</v>
      </c>
    </row>
    <row r="2030" spans="1:7" hidden="1" x14ac:dyDescent="0.15">
      <c r="A2030" s="2200" t="s">
        <v>4280</v>
      </c>
      <c r="B2030" s="2200" t="s">
        <v>8337</v>
      </c>
      <c r="C2030" s="2200" t="s">
        <v>8338</v>
      </c>
      <c r="D2030" s="2200" t="str">
        <f t="shared" si="93"/>
        <v>ND</v>
      </c>
      <c r="E2030" s="2200" t="str">
        <f t="shared" si="94"/>
        <v>38</v>
      </c>
      <c r="F2030" s="2200" t="str">
        <f t="shared" si="95"/>
        <v>073</v>
      </c>
      <c r="G2030" s="2200">
        <f>--SUBTOTAL(3,C$2:C2030)</f>
        <v>67</v>
      </c>
    </row>
    <row r="2031" spans="1:7" hidden="1" x14ac:dyDescent="0.15">
      <c r="A2031" s="2200" t="s">
        <v>4280</v>
      </c>
      <c r="B2031" s="2200" t="s">
        <v>8339</v>
      </c>
      <c r="C2031" s="2200" t="s">
        <v>8340</v>
      </c>
      <c r="D2031" s="2200" t="str">
        <f t="shared" si="93"/>
        <v>ND</v>
      </c>
      <c r="E2031" s="2200" t="str">
        <f t="shared" si="94"/>
        <v>38</v>
      </c>
      <c r="F2031" s="2200" t="str">
        <f t="shared" si="95"/>
        <v>075</v>
      </c>
      <c r="G2031" s="2200">
        <f>--SUBTOTAL(3,C$2:C2031)</f>
        <v>67</v>
      </c>
    </row>
    <row r="2032" spans="1:7" hidden="1" x14ac:dyDescent="0.15">
      <c r="A2032" s="2200" t="s">
        <v>4280</v>
      </c>
      <c r="B2032" s="2200" t="s">
        <v>8341</v>
      </c>
      <c r="C2032" s="2200" t="s">
        <v>8342</v>
      </c>
      <c r="D2032" s="2200" t="str">
        <f t="shared" si="93"/>
        <v>ND</v>
      </c>
      <c r="E2032" s="2200" t="str">
        <f t="shared" si="94"/>
        <v>38</v>
      </c>
      <c r="F2032" s="2200" t="str">
        <f t="shared" si="95"/>
        <v>077</v>
      </c>
      <c r="G2032" s="2200">
        <f>--SUBTOTAL(3,C$2:C2032)</f>
        <v>67</v>
      </c>
    </row>
    <row r="2033" spans="1:7" hidden="1" x14ac:dyDescent="0.15">
      <c r="A2033" s="2200" t="s">
        <v>4280</v>
      </c>
      <c r="B2033" s="2200" t="s">
        <v>8343</v>
      </c>
      <c r="C2033" s="2200" t="s">
        <v>8344</v>
      </c>
      <c r="D2033" s="2200" t="str">
        <f t="shared" si="93"/>
        <v>ND</v>
      </c>
      <c r="E2033" s="2200" t="str">
        <f t="shared" si="94"/>
        <v>38</v>
      </c>
      <c r="F2033" s="2200" t="str">
        <f t="shared" si="95"/>
        <v>079</v>
      </c>
      <c r="G2033" s="2200">
        <f>--SUBTOTAL(3,C$2:C2033)</f>
        <v>67</v>
      </c>
    </row>
    <row r="2034" spans="1:7" hidden="1" x14ac:dyDescent="0.15">
      <c r="A2034" s="2200" t="s">
        <v>4280</v>
      </c>
      <c r="B2034" s="2200" t="s">
        <v>8345</v>
      </c>
      <c r="C2034" s="2200" t="s">
        <v>8346</v>
      </c>
      <c r="D2034" s="2200" t="str">
        <f t="shared" si="93"/>
        <v>ND</v>
      </c>
      <c r="E2034" s="2200" t="str">
        <f t="shared" si="94"/>
        <v>38</v>
      </c>
      <c r="F2034" s="2200" t="str">
        <f t="shared" si="95"/>
        <v>081</v>
      </c>
      <c r="G2034" s="2200">
        <f>--SUBTOTAL(3,C$2:C2034)</f>
        <v>67</v>
      </c>
    </row>
    <row r="2035" spans="1:7" hidden="1" x14ac:dyDescent="0.15">
      <c r="A2035" s="2200" t="s">
        <v>4280</v>
      </c>
      <c r="B2035" s="2200" t="s">
        <v>8347</v>
      </c>
      <c r="C2035" s="2200" t="s">
        <v>8348</v>
      </c>
      <c r="D2035" s="2200" t="str">
        <f t="shared" si="93"/>
        <v>ND</v>
      </c>
      <c r="E2035" s="2200" t="str">
        <f t="shared" si="94"/>
        <v>38</v>
      </c>
      <c r="F2035" s="2200" t="str">
        <f t="shared" si="95"/>
        <v>083</v>
      </c>
      <c r="G2035" s="2200">
        <f>--SUBTOTAL(3,C$2:C2035)</f>
        <v>67</v>
      </c>
    </row>
    <row r="2036" spans="1:7" hidden="1" x14ac:dyDescent="0.15">
      <c r="A2036" s="2200" t="s">
        <v>4280</v>
      </c>
      <c r="B2036" s="2200" t="s">
        <v>8349</v>
      </c>
      <c r="C2036" s="2200" t="s">
        <v>8350</v>
      </c>
      <c r="D2036" s="2200" t="str">
        <f t="shared" si="93"/>
        <v>ND</v>
      </c>
      <c r="E2036" s="2200" t="str">
        <f t="shared" si="94"/>
        <v>38</v>
      </c>
      <c r="F2036" s="2200" t="str">
        <f t="shared" si="95"/>
        <v>085</v>
      </c>
      <c r="G2036" s="2200">
        <f>--SUBTOTAL(3,C$2:C2036)</f>
        <v>67</v>
      </c>
    </row>
    <row r="2037" spans="1:7" hidden="1" x14ac:dyDescent="0.15">
      <c r="A2037" s="2200" t="s">
        <v>4280</v>
      </c>
      <c r="B2037" s="2200" t="s">
        <v>8351</v>
      </c>
      <c r="C2037" s="2200" t="s">
        <v>8352</v>
      </c>
      <c r="D2037" s="2200" t="str">
        <f t="shared" si="93"/>
        <v>ND</v>
      </c>
      <c r="E2037" s="2200" t="str">
        <f t="shared" si="94"/>
        <v>38</v>
      </c>
      <c r="F2037" s="2200" t="str">
        <f t="shared" si="95"/>
        <v>087</v>
      </c>
      <c r="G2037" s="2200">
        <f>--SUBTOTAL(3,C$2:C2037)</f>
        <v>67</v>
      </c>
    </row>
    <row r="2038" spans="1:7" hidden="1" x14ac:dyDescent="0.15">
      <c r="A2038" s="2200" t="s">
        <v>4280</v>
      </c>
      <c r="B2038" s="2200" t="s">
        <v>8353</v>
      </c>
      <c r="C2038" s="2200" t="s">
        <v>8354</v>
      </c>
      <c r="D2038" s="2200" t="str">
        <f t="shared" si="93"/>
        <v>ND</v>
      </c>
      <c r="E2038" s="2200" t="str">
        <f t="shared" si="94"/>
        <v>38</v>
      </c>
      <c r="F2038" s="2200" t="str">
        <f t="shared" si="95"/>
        <v>089</v>
      </c>
      <c r="G2038" s="2200">
        <f>--SUBTOTAL(3,C$2:C2038)</f>
        <v>67</v>
      </c>
    </row>
    <row r="2039" spans="1:7" hidden="1" x14ac:dyDescent="0.15">
      <c r="A2039" s="2200" t="s">
        <v>4280</v>
      </c>
      <c r="B2039" s="2200" t="s">
        <v>8355</v>
      </c>
      <c r="C2039" s="2200" t="s">
        <v>8356</v>
      </c>
      <c r="D2039" s="2200" t="str">
        <f t="shared" si="93"/>
        <v>ND</v>
      </c>
      <c r="E2039" s="2200" t="str">
        <f t="shared" si="94"/>
        <v>38</v>
      </c>
      <c r="F2039" s="2200" t="str">
        <f t="shared" si="95"/>
        <v>091</v>
      </c>
      <c r="G2039" s="2200">
        <f>--SUBTOTAL(3,C$2:C2039)</f>
        <v>67</v>
      </c>
    </row>
    <row r="2040" spans="1:7" hidden="1" x14ac:dyDescent="0.15">
      <c r="A2040" s="2200" t="s">
        <v>4280</v>
      </c>
      <c r="B2040" s="2200" t="s">
        <v>8357</v>
      </c>
      <c r="C2040" s="2200" t="s">
        <v>8358</v>
      </c>
      <c r="D2040" s="2200" t="str">
        <f t="shared" si="93"/>
        <v>ND</v>
      </c>
      <c r="E2040" s="2200" t="str">
        <f t="shared" si="94"/>
        <v>38</v>
      </c>
      <c r="F2040" s="2200" t="str">
        <f t="shared" si="95"/>
        <v>093</v>
      </c>
      <c r="G2040" s="2200">
        <f>--SUBTOTAL(3,C$2:C2040)</f>
        <v>67</v>
      </c>
    </row>
    <row r="2041" spans="1:7" hidden="1" x14ac:dyDescent="0.15">
      <c r="A2041" s="2200" t="s">
        <v>4280</v>
      </c>
      <c r="B2041" s="2200" t="s">
        <v>8359</v>
      </c>
      <c r="C2041" s="2200" t="s">
        <v>8360</v>
      </c>
      <c r="D2041" s="2200" t="str">
        <f t="shared" si="93"/>
        <v>ND</v>
      </c>
      <c r="E2041" s="2200" t="str">
        <f t="shared" si="94"/>
        <v>38</v>
      </c>
      <c r="F2041" s="2200" t="str">
        <f t="shared" si="95"/>
        <v>095</v>
      </c>
      <c r="G2041" s="2200">
        <f>--SUBTOTAL(3,C$2:C2041)</f>
        <v>67</v>
      </c>
    </row>
    <row r="2042" spans="1:7" hidden="1" x14ac:dyDescent="0.15">
      <c r="A2042" s="2200" t="s">
        <v>4280</v>
      </c>
      <c r="B2042" s="2200" t="s">
        <v>8361</v>
      </c>
      <c r="C2042" s="2200" t="s">
        <v>8362</v>
      </c>
      <c r="D2042" s="2200" t="str">
        <f t="shared" si="93"/>
        <v>ND</v>
      </c>
      <c r="E2042" s="2200" t="str">
        <f t="shared" si="94"/>
        <v>38</v>
      </c>
      <c r="F2042" s="2200" t="str">
        <f t="shared" si="95"/>
        <v>097</v>
      </c>
      <c r="G2042" s="2200">
        <f>--SUBTOTAL(3,C$2:C2042)</f>
        <v>67</v>
      </c>
    </row>
    <row r="2043" spans="1:7" hidden="1" x14ac:dyDescent="0.15">
      <c r="A2043" s="2200" t="s">
        <v>4280</v>
      </c>
      <c r="B2043" s="2200" t="s">
        <v>8363</v>
      </c>
      <c r="C2043" s="2200" t="s">
        <v>8364</v>
      </c>
      <c r="D2043" s="2200" t="str">
        <f t="shared" si="93"/>
        <v>ND</v>
      </c>
      <c r="E2043" s="2200" t="str">
        <f t="shared" si="94"/>
        <v>38</v>
      </c>
      <c r="F2043" s="2200" t="str">
        <f t="shared" si="95"/>
        <v>099</v>
      </c>
      <c r="G2043" s="2200">
        <f>--SUBTOTAL(3,C$2:C2043)</f>
        <v>67</v>
      </c>
    </row>
    <row r="2044" spans="1:7" hidden="1" x14ac:dyDescent="0.15">
      <c r="A2044" s="2200" t="s">
        <v>4280</v>
      </c>
      <c r="B2044" s="2200" t="s">
        <v>8365</v>
      </c>
      <c r="C2044" s="2200" t="s">
        <v>8366</v>
      </c>
      <c r="D2044" s="2200" t="str">
        <f t="shared" si="93"/>
        <v>ND</v>
      </c>
      <c r="E2044" s="2200" t="str">
        <f t="shared" si="94"/>
        <v>38</v>
      </c>
      <c r="F2044" s="2200" t="str">
        <f t="shared" si="95"/>
        <v>101</v>
      </c>
      <c r="G2044" s="2200">
        <f>--SUBTOTAL(3,C$2:C2044)</f>
        <v>67</v>
      </c>
    </row>
    <row r="2045" spans="1:7" hidden="1" x14ac:dyDescent="0.15">
      <c r="A2045" s="2200" t="s">
        <v>4280</v>
      </c>
      <c r="B2045" s="2200" t="s">
        <v>8367</v>
      </c>
      <c r="C2045" s="2200" t="s">
        <v>8368</v>
      </c>
      <c r="D2045" s="2200" t="str">
        <f t="shared" si="93"/>
        <v>ND</v>
      </c>
      <c r="E2045" s="2200" t="str">
        <f t="shared" si="94"/>
        <v>38</v>
      </c>
      <c r="F2045" s="2200" t="str">
        <f t="shared" si="95"/>
        <v>103</v>
      </c>
      <c r="G2045" s="2200">
        <f>--SUBTOTAL(3,C$2:C2045)</f>
        <v>67</v>
      </c>
    </row>
    <row r="2046" spans="1:7" hidden="1" x14ac:dyDescent="0.15">
      <c r="A2046" s="2200" t="s">
        <v>4280</v>
      </c>
      <c r="B2046" s="2200" t="s">
        <v>8369</v>
      </c>
      <c r="C2046" s="2200" t="s">
        <v>8370</v>
      </c>
      <c r="D2046" s="2200" t="str">
        <f t="shared" si="93"/>
        <v>ND</v>
      </c>
      <c r="E2046" s="2200" t="str">
        <f t="shared" si="94"/>
        <v>38</v>
      </c>
      <c r="F2046" s="2200" t="str">
        <f t="shared" si="95"/>
        <v>105</v>
      </c>
      <c r="G2046" s="2200">
        <f>--SUBTOTAL(3,C$2:C2046)</f>
        <v>67</v>
      </c>
    </row>
    <row r="2047" spans="1:7" hidden="1" x14ac:dyDescent="0.15">
      <c r="A2047" s="2200" t="s">
        <v>4280</v>
      </c>
      <c r="B2047" s="2200" t="s">
        <v>8371</v>
      </c>
      <c r="C2047" s="2200" t="s">
        <v>8372</v>
      </c>
      <c r="D2047" s="2200" t="str">
        <f t="shared" si="93"/>
        <v>OH</v>
      </c>
      <c r="E2047" s="2200" t="str">
        <f t="shared" si="94"/>
        <v>39</v>
      </c>
      <c r="F2047" s="2200" t="str">
        <f t="shared" si="95"/>
        <v>001</v>
      </c>
      <c r="G2047" s="2200">
        <f>--SUBTOTAL(3,C$2:C2047)</f>
        <v>67</v>
      </c>
    </row>
    <row r="2048" spans="1:7" hidden="1" x14ac:dyDescent="0.15">
      <c r="A2048" s="2200" t="s">
        <v>4280</v>
      </c>
      <c r="B2048" s="2200" t="s">
        <v>8373</v>
      </c>
      <c r="C2048" s="2200" t="s">
        <v>8374</v>
      </c>
      <c r="D2048" s="2200" t="str">
        <f t="shared" si="93"/>
        <v>OH</v>
      </c>
      <c r="E2048" s="2200" t="str">
        <f t="shared" si="94"/>
        <v>39</v>
      </c>
      <c r="F2048" s="2200" t="str">
        <f t="shared" si="95"/>
        <v>003</v>
      </c>
      <c r="G2048" s="2200">
        <f>--SUBTOTAL(3,C$2:C2048)</f>
        <v>67</v>
      </c>
    </row>
    <row r="2049" spans="1:7" hidden="1" x14ac:dyDescent="0.15">
      <c r="A2049" s="2200" t="s">
        <v>4280</v>
      </c>
      <c r="B2049" s="2200" t="s">
        <v>8375</v>
      </c>
      <c r="C2049" s="2200" t="s">
        <v>8376</v>
      </c>
      <c r="D2049" s="2200" t="str">
        <f t="shared" si="93"/>
        <v>OH</v>
      </c>
      <c r="E2049" s="2200" t="str">
        <f t="shared" si="94"/>
        <v>39</v>
      </c>
      <c r="F2049" s="2200" t="str">
        <f t="shared" si="95"/>
        <v>005</v>
      </c>
      <c r="G2049" s="2200">
        <f>--SUBTOTAL(3,C$2:C2049)</f>
        <v>67</v>
      </c>
    </row>
    <row r="2050" spans="1:7" hidden="1" x14ac:dyDescent="0.15">
      <c r="A2050" s="2200" t="s">
        <v>4280</v>
      </c>
      <c r="B2050" s="2200" t="s">
        <v>8377</v>
      </c>
      <c r="C2050" s="2200" t="s">
        <v>8378</v>
      </c>
      <c r="D2050" s="2200" t="str">
        <f t="shared" si="93"/>
        <v>OH</v>
      </c>
      <c r="E2050" s="2200" t="str">
        <f t="shared" si="94"/>
        <v>39</v>
      </c>
      <c r="F2050" s="2200" t="str">
        <f t="shared" si="95"/>
        <v>007</v>
      </c>
      <c r="G2050" s="2200">
        <f>--SUBTOTAL(3,C$2:C2050)</f>
        <v>67</v>
      </c>
    </row>
    <row r="2051" spans="1:7" hidden="1" x14ac:dyDescent="0.15">
      <c r="A2051" s="2200" t="s">
        <v>4280</v>
      </c>
      <c r="B2051" s="2200" t="s">
        <v>8379</v>
      </c>
      <c r="C2051" s="2200" t="s">
        <v>8380</v>
      </c>
      <c r="D2051" s="2200" t="str">
        <f t="shared" ref="D2051:D2114" si="96">RIGHT(C2051,2)</f>
        <v>OH</v>
      </c>
      <c r="E2051" s="2200" t="str">
        <f t="shared" ref="E2051:E2114" si="97">MID(B2051,3,2)</f>
        <v>39</v>
      </c>
      <c r="F2051" s="2200" t="str">
        <f t="shared" ref="F2051:F2114" si="98">MID(B2051,5,3)</f>
        <v>009</v>
      </c>
      <c r="G2051" s="2200">
        <f>--SUBTOTAL(3,C$2:C2051)</f>
        <v>67</v>
      </c>
    </row>
    <row r="2052" spans="1:7" hidden="1" x14ac:dyDescent="0.15">
      <c r="A2052" s="2200" t="s">
        <v>4280</v>
      </c>
      <c r="B2052" s="2200" t="s">
        <v>8381</v>
      </c>
      <c r="C2052" s="2200" t="s">
        <v>8382</v>
      </c>
      <c r="D2052" s="2200" t="str">
        <f t="shared" si="96"/>
        <v>OH</v>
      </c>
      <c r="E2052" s="2200" t="str">
        <f t="shared" si="97"/>
        <v>39</v>
      </c>
      <c r="F2052" s="2200" t="str">
        <f t="shared" si="98"/>
        <v>011</v>
      </c>
      <c r="G2052" s="2200">
        <f>--SUBTOTAL(3,C$2:C2052)</f>
        <v>67</v>
      </c>
    </row>
    <row r="2053" spans="1:7" hidden="1" x14ac:dyDescent="0.15">
      <c r="A2053" s="2200" t="s">
        <v>4280</v>
      </c>
      <c r="B2053" s="2200" t="s">
        <v>8383</v>
      </c>
      <c r="C2053" s="2200" t="s">
        <v>8384</v>
      </c>
      <c r="D2053" s="2200" t="str">
        <f t="shared" si="96"/>
        <v>OH</v>
      </c>
      <c r="E2053" s="2200" t="str">
        <f t="shared" si="97"/>
        <v>39</v>
      </c>
      <c r="F2053" s="2200" t="str">
        <f t="shared" si="98"/>
        <v>013</v>
      </c>
      <c r="G2053" s="2200">
        <f>--SUBTOTAL(3,C$2:C2053)</f>
        <v>67</v>
      </c>
    </row>
    <row r="2054" spans="1:7" hidden="1" x14ac:dyDescent="0.15">
      <c r="A2054" s="2200" t="s">
        <v>4280</v>
      </c>
      <c r="B2054" s="2200" t="s">
        <v>8385</v>
      </c>
      <c r="C2054" s="2200" t="s">
        <v>8386</v>
      </c>
      <c r="D2054" s="2200" t="str">
        <f t="shared" si="96"/>
        <v>OH</v>
      </c>
      <c r="E2054" s="2200" t="str">
        <f t="shared" si="97"/>
        <v>39</v>
      </c>
      <c r="F2054" s="2200" t="str">
        <f t="shared" si="98"/>
        <v>015</v>
      </c>
      <c r="G2054" s="2200">
        <f>--SUBTOTAL(3,C$2:C2054)</f>
        <v>67</v>
      </c>
    </row>
    <row r="2055" spans="1:7" hidden="1" x14ac:dyDescent="0.15">
      <c r="A2055" s="2200" t="s">
        <v>4280</v>
      </c>
      <c r="B2055" s="2200" t="s">
        <v>8387</v>
      </c>
      <c r="C2055" s="2200" t="s">
        <v>8388</v>
      </c>
      <c r="D2055" s="2200" t="str">
        <f t="shared" si="96"/>
        <v>OH</v>
      </c>
      <c r="E2055" s="2200" t="str">
        <f t="shared" si="97"/>
        <v>39</v>
      </c>
      <c r="F2055" s="2200" t="str">
        <f t="shared" si="98"/>
        <v>017</v>
      </c>
      <c r="G2055" s="2200">
        <f>--SUBTOTAL(3,C$2:C2055)</f>
        <v>67</v>
      </c>
    </row>
    <row r="2056" spans="1:7" hidden="1" x14ac:dyDescent="0.15">
      <c r="A2056" s="2200" t="s">
        <v>4280</v>
      </c>
      <c r="B2056" s="2200" t="s">
        <v>8389</v>
      </c>
      <c r="C2056" s="2200" t="s">
        <v>8390</v>
      </c>
      <c r="D2056" s="2200" t="str">
        <f t="shared" si="96"/>
        <v>OH</v>
      </c>
      <c r="E2056" s="2200" t="str">
        <f t="shared" si="97"/>
        <v>39</v>
      </c>
      <c r="F2056" s="2200" t="str">
        <f t="shared" si="98"/>
        <v>019</v>
      </c>
      <c r="G2056" s="2200">
        <f>--SUBTOTAL(3,C$2:C2056)</f>
        <v>67</v>
      </c>
    </row>
    <row r="2057" spans="1:7" hidden="1" x14ac:dyDescent="0.15">
      <c r="A2057" s="2200" t="s">
        <v>4280</v>
      </c>
      <c r="B2057" s="2200" t="s">
        <v>8391</v>
      </c>
      <c r="C2057" s="2200" t="s">
        <v>8392</v>
      </c>
      <c r="D2057" s="2200" t="str">
        <f t="shared" si="96"/>
        <v>OH</v>
      </c>
      <c r="E2057" s="2200" t="str">
        <f t="shared" si="97"/>
        <v>39</v>
      </c>
      <c r="F2057" s="2200" t="str">
        <f t="shared" si="98"/>
        <v>021</v>
      </c>
      <c r="G2057" s="2200">
        <f>--SUBTOTAL(3,C$2:C2057)</f>
        <v>67</v>
      </c>
    </row>
    <row r="2058" spans="1:7" hidden="1" x14ac:dyDescent="0.15">
      <c r="A2058" s="2200" t="s">
        <v>4280</v>
      </c>
      <c r="B2058" s="2200" t="s">
        <v>8393</v>
      </c>
      <c r="C2058" s="2200" t="s">
        <v>8394</v>
      </c>
      <c r="D2058" s="2200" t="str">
        <f t="shared" si="96"/>
        <v>OH</v>
      </c>
      <c r="E2058" s="2200" t="str">
        <f t="shared" si="97"/>
        <v>39</v>
      </c>
      <c r="F2058" s="2200" t="str">
        <f t="shared" si="98"/>
        <v>023</v>
      </c>
      <c r="G2058" s="2200">
        <f>--SUBTOTAL(3,C$2:C2058)</f>
        <v>67</v>
      </c>
    </row>
    <row r="2059" spans="1:7" hidden="1" x14ac:dyDescent="0.15">
      <c r="A2059" s="2200" t="s">
        <v>4280</v>
      </c>
      <c r="B2059" s="2200" t="s">
        <v>8395</v>
      </c>
      <c r="C2059" s="2200" t="s">
        <v>8396</v>
      </c>
      <c r="D2059" s="2200" t="str">
        <f t="shared" si="96"/>
        <v>OH</v>
      </c>
      <c r="E2059" s="2200" t="str">
        <f t="shared" si="97"/>
        <v>39</v>
      </c>
      <c r="F2059" s="2200" t="str">
        <f t="shared" si="98"/>
        <v>025</v>
      </c>
      <c r="G2059" s="2200">
        <f>--SUBTOTAL(3,C$2:C2059)</f>
        <v>67</v>
      </c>
    </row>
    <row r="2060" spans="1:7" hidden="1" x14ac:dyDescent="0.15">
      <c r="A2060" s="2200" t="s">
        <v>4280</v>
      </c>
      <c r="B2060" s="2200" t="s">
        <v>8397</v>
      </c>
      <c r="C2060" s="2200" t="s">
        <v>8398</v>
      </c>
      <c r="D2060" s="2200" t="str">
        <f t="shared" si="96"/>
        <v>OH</v>
      </c>
      <c r="E2060" s="2200" t="str">
        <f t="shared" si="97"/>
        <v>39</v>
      </c>
      <c r="F2060" s="2200" t="str">
        <f t="shared" si="98"/>
        <v>027</v>
      </c>
      <c r="G2060" s="2200">
        <f>--SUBTOTAL(3,C$2:C2060)</f>
        <v>67</v>
      </c>
    </row>
    <row r="2061" spans="1:7" hidden="1" x14ac:dyDescent="0.15">
      <c r="A2061" s="2200" t="s">
        <v>4280</v>
      </c>
      <c r="B2061" s="2200" t="s">
        <v>8399</v>
      </c>
      <c r="C2061" s="2200" t="s">
        <v>8400</v>
      </c>
      <c r="D2061" s="2200" t="str">
        <f t="shared" si="96"/>
        <v>OH</v>
      </c>
      <c r="E2061" s="2200" t="str">
        <f t="shared" si="97"/>
        <v>39</v>
      </c>
      <c r="F2061" s="2200" t="str">
        <f t="shared" si="98"/>
        <v>029</v>
      </c>
      <c r="G2061" s="2200">
        <f>--SUBTOTAL(3,C$2:C2061)</f>
        <v>67</v>
      </c>
    </row>
    <row r="2062" spans="1:7" hidden="1" x14ac:dyDescent="0.15">
      <c r="A2062" s="2200" t="s">
        <v>4280</v>
      </c>
      <c r="B2062" s="2200" t="s">
        <v>8401</v>
      </c>
      <c r="C2062" s="2200" t="s">
        <v>8402</v>
      </c>
      <c r="D2062" s="2200" t="str">
        <f t="shared" si="96"/>
        <v>OH</v>
      </c>
      <c r="E2062" s="2200" t="str">
        <f t="shared" si="97"/>
        <v>39</v>
      </c>
      <c r="F2062" s="2200" t="str">
        <f t="shared" si="98"/>
        <v>031</v>
      </c>
      <c r="G2062" s="2200">
        <f>--SUBTOTAL(3,C$2:C2062)</f>
        <v>67</v>
      </c>
    </row>
    <row r="2063" spans="1:7" hidden="1" x14ac:dyDescent="0.15">
      <c r="A2063" s="2200" t="s">
        <v>4280</v>
      </c>
      <c r="B2063" s="2200" t="s">
        <v>8403</v>
      </c>
      <c r="C2063" s="2200" t="s">
        <v>8404</v>
      </c>
      <c r="D2063" s="2200" t="str">
        <f t="shared" si="96"/>
        <v>OH</v>
      </c>
      <c r="E2063" s="2200" t="str">
        <f t="shared" si="97"/>
        <v>39</v>
      </c>
      <c r="F2063" s="2200" t="str">
        <f t="shared" si="98"/>
        <v>033</v>
      </c>
      <c r="G2063" s="2200">
        <f>--SUBTOTAL(3,C$2:C2063)</f>
        <v>67</v>
      </c>
    </row>
    <row r="2064" spans="1:7" hidden="1" x14ac:dyDescent="0.15">
      <c r="A2064" s="2200" t="s">
        <v>4280</v>
      </c>
      <c r="B2064" s="2200" t="s">
        <v>8405</v>
      </c>
      <c r="C2064" s="2200" t="s">
        <v>8406</v>
      </c>
      <c r="D2064" s="2200" t="str">
        <f t="shared" si="96"/>
        <v>OH</v>
      </c>
      <c r="E2064" s="2200" t="str">
        <f t="shared" si="97"/>
        <v>39</v>
      </c>
      <c r="F2064" s="2200" t="str">
        <f t="shared" si="98"/>
        <v>035</v>
      </c>
      <c r="G2064" s="2200">
        <f>--SUBTOTAL(3,C$2:C2064)</f>
        <v>67</v>
      </c>
    </row>
    <row r="2065" spans="1:7" hidden="1" x14ac:dyDescent="0.15">
      <c r="A2065" s="2200" t="s">
        <v>4280</v>
      </c>
      <c r="B2065" s="2200" t="s">
        <v>8407</v>
      </c>
      <c r="C2065" s="2200" t="s">
        <v>8408</v>
      </c>
      <c r="D2065" s="2200" t="str">
        <f t="shared" si="96"/>
        <v>OH</v>
      </c>
      <c r="E2065" s="2200" t="str">
        <f t="shared" si="97"/>
        <v>39</v>
      </c>
      <c r="F2065" s="2200" t="str">
        <f t="shared" si="98"/>
        <v>037</v>
      </c>
      <c r="G2065" s="2200">
        <f>--SUBTOTAL(3,C$2:C2065)</f>
        <v>67</v>
      </c>
    </row>
    <row r="2066" spans="1:7" hidden="1" x14ac:dyDescent="0.15">
      <c r="A2066" s="2200" t="s">
        <v>4280</v>
      </c>
      <c r="B2066" s="2200" t="s">
        <v>8409</v>
      </c>
      <c r="C2066" s="2200" t="s">
        <v>8410</v>
      </c>
      <c r="D2066" s="2200" t="str">
        <f t="shared" si="96"/>
        <v>OH</v>
      </c>
      <c r="E2066" s="2200" t="str">
        <f t="shared" si="97"/>
        <v>39</v>
      </c>
      <c r="F2066" s="2200" t="str">
        <f t="shared" si="98"/>
        <v>039</v>
      </c>
      <c r="G2066" s="2200">
        <f>--SUBTOTAL(3,C$2:C2066)</f>
        <v>67</v>
      </c>
    </row>
    <row r="2067" spans="1:7" hidden="1" x14ac:dyDescent="0.15">
      <c r="A2067" s="2200" t="s">
        <v>4280</v>
      </c>
      <c r="B2067" s="2200" t="s">
        <v>8411</v>
      </c>
      <c r="C2067" s="2200" t="s">
        <v>8412</v>
      </c>
      <c r="D2067" s="2200" t="str">
        <f t="shared" si="96"/>
        <v>OH</v>
      </c>
      <c r="E2067" s="2200" t="str">
        <f t="shared" si="97"/>
        <v>39</v>
      </c>
      <c r="F2067" s="2200" t="str">
        <f t="shared" si="98"/>
        <v>041</v>
      </c>
      <c r="G2067" s="2200">
        <f>--SUBTOTAL(3,C$2:C2067)</f>
        <v>67</v>
      </c>
    </row>
    <row r="2068" spans="1:7" hidden="1" x14ac:dyDescent="0.15">
      <c r="A2068" s="2200" t="s">
        <v>4280</v>
      </c>
      <c r="B2068" s="2200" t="s">
        <v>8413</v>
      </c>
      <c r="C2068" s="2200" t="s">
        <v>8414</v>
      </c>
      <c r="D2068" s="2200" t="str">
        <f t="shared" si="96"/>
        <v>OH</v>
      </c>
      <c r="E2068" s="2200" t="str">
        <f t="shared" si="97"/>
        <v>39</v>
      </c>
      <c r="F2068" s="2200" t="str">
        <f t="shared" si="98"/>
        <v>043</v>
      </c>
      <c r="G2068" s="2200">
        <f>--SUBTOTAL(3,C$2:C2068)</f>
        <v>67</v>
      </c>
    </row>
    <row r="2069" spans="1:7" hidden="1" x14ac:dyDescent="0.15">
      <c r="A2069" s="2200" t="s">
        <v>4280</v>
      </c>
      <c r="B2069" s="2200" t="s">
        <v>8415</v>
      </c>
      <c r="C2069" s="2200" t="s">
        <v>8416</v>
      </c>
      <c r="D2069" s="2200" t="str">
        <f t="shared" si="96"/>
        <v>OH</v>
      </c>
      <c r="E2069" s="2200" t="str">
        <f t="shared" si="97"/>
        <v>39</v>
      </c>
      <c r="F2069" s="2200" t="str">
        <f t="shared" si="98"/>
        <v>045</v>
      </c>
      <c r="G2069" s="2200">
        <f>--SUBTOTAL(3,C$2:C2069)</f>
        <v>67</v>
      </c>
    </row>
    <row r="2070" spans="1:7" hidden="1" x14ac:dyDescent="0.15">
      <c r="A2070" s="2200" t="s">
        <v>4280</v>
      </c>
      <c r="B2070" s="2200" t="s">
        <v>8417</v>
      </c>
      <c r="C2070" s="2200" t="s">
        <v>8418</v>
      </c>
      <c r="D2070" s="2200" t="str">
        <f t="shared" si="96"/>
        <v>OH</v>
      </c>
      <c r="E2070" s="2200" t="str">
        <f t="shared" si="97"/>
        <v>39</v>
      </c>
      <c r="F2070" s="2200" t="str">
        <f t="shared" si="98"/>
        <v>047</v>
      </c>
      <c r="G2070" s="2200">
        <f>--SUBTOTAL(3,C$2:C2070)</f>
        <v>67</v>
      </c>
    </row>
    <row r="2071" spans="1:7" hidden="1" x14ac:dyDescent="0.15">
      <c r="A2071" s="2200" t="s">
        <v>4280</v>
      </c>
      <c r="B2071" s="2200" t="s">
        <v>8419</v>
      </c>
      <c r="C2071" s="2200" t="s">
        <v>8420</v>
      </c>
      <c r="D2071" s="2200" t="str">
        <f t="shared" si="96"/>
        <v>OH</v>
      </c>
      <c r="E2071" s="2200" t="str">
        <f t="shared" si="97"/>
        <v>39</v>
      </c>
      <c r="F2071" s="2200" t="str">
        <f t="shared" si="98"/>
        <v>049</v>
      </c>
      <c r="G2071" s="2200">
        <f>--SUBTOTAL(3,C$2:C2071)</f>
        <v>67</v>
      </c>
    </row>
    <row r="2072" spans="1:7" hidden="1" x14ac:dyDescent="0.15">
      <c r="A2072" s="2200" t="s">
        <v>4280</v>
      </c>
      <c r="B2072" s="2200" t="s">
        <v>8421</v>
      </c>
      <c r="C2072" s="2200" t="s">
        <v>8422</v>
      </c>
      <c r="D2072" s="2200" t="str">
        <f t="shared" si="96"/>
        <v>OH</v>
      </c>
      <c r="E2072" s="2200" t="str">
        <f t="shared" si="97"/>
        <v>39</v>
      </c>
      <c r="F2072" s="2200" t="str">
        <f t="shared" si="98"/>
        <v>051</v>
      </c>
      <c r="G2072" s="2200">
        <f>--SUBTOTAL(3,C$2:C2072)</f>
        <v>67</v>
      </c>
    </row>
    <row r="2073" spans="1:7" hidden="1" x14ac:dyDescent="0.15">
      <c r="A2073" s="2200" t="s">
        <v>4280</v>
      </c>
      <c r="B2073" s="2200" t="s">
        <v>8423</v>
      </c>
      <c r="C2073" s="2200" t="s">
        <v>8424</v>
      </c>
      <c r="D2073" s="2200" t="str">
        <f t="shared" si="96"/>
        <v>OH</v>
      </c>
      <c r="E2073" s="2200" t="str">
        <f t="shared" si="97"/>
        <v>39</v>
      </c>
      <c r="F2073" s="2200" t="str">
        <f t="shared" si="98"/>
        <v>053</v>
      </c>
      <c r="G2073" s="2200">
        <f>--SUBTOTAL(3,C$2:C2073)</f>
        <v>67</v>
      </c>
    </row>
    <row r="2074" spans="1:7" hidden="1" x14ac:dyDescent="0.15">
      <c r="A2074" s="2200" t="s">
        <v>4280</v>
      </c>
      <c r="B2074" s="2200" t="s">
        <v>8425</v>
      </c>
      <c r="C2074" s="2200" t="s">
        <v>8426</v>
      </c>
      <c r="D2074" s="2200" t="str">
        <f t="shared" si="96"/>
        <v>OH</v>
      </c>
      <c r="E2074" s="2200" t="str">
        <f t="shared" si="97"/>
        <v>39</v>
      </c>
      <c r="F2074" s="2200" t="str">
        <f t="shared" si="98"/>
        <v>055</v>
      </c>
      <c r="G2074" s="2200">
        <f>--SUBTOTAL(3,C$2:C2074)</f>
        <v>67</v>
      </c>
    </row>
    <row r="2075" spans="1:7" hidden="1" x14ac:dyDescent="0.15">
      <c r="A2075" s="2200" t="s">
        <v>4280</v>
      </c>
      <c r="B2075" s="2200" t="s">
        <v>8427</v>
      </c>
      <c r="C2075" s="2200" t="s">
        <v>8428</v>
      </c>
      <c r="D2075" s="2200" t="str">
        <f t="shared" si="96"/>
        <v>OH</v>
      </c>
      <c r="E2075" s="2200" t="str">
        <f t="shared" si="97"/>
        <v>39</v>
      </c>
      <c r="F2075" s="2200" t="str">
        <f t="shared" si="98"/>
        <v>057</v>
      </c>
      <c r="G2075" s="2200">
        <f>--SUBTOTAL(3,C$2:C2075)</f>
        <v>67</v>
      </c>
    </row>
    <row r="2076" spans="1:7" hidden="1" x14ac:dyDescent="0.15">
      <c r="A2076" s="2200" t="s">
        <v>4280</v>
      </c>
      <c r="B2076" s="2200" t="s">
        <v>8429</v>
      </c>
      <c r="C2076" s="2200" t="s">
        <v>8430</v>
      </c>
      <c r="D2076" s="2200" t="str">
        <f t="shared" si="96"/>
        <v>OH</v>
      </c>
      <c r="E2076" s="2200" t="str">
        <f t="shared" si="97"/>
        <v>39</v>
      </c>
      <c r="F2076" s="2200" t="str">
        <f t="shared" si="98"/>
        <v>059</v>
      </c>
      <c r="G2076" s="2200">
        <f>--SUBTOTAL(3,C$2:C2076)</f>
        <v>67</v>
      </c>
    </row>
    <row r="2077" spans="1:7" hidden="1" x14ac:dyDescent="0.15">
      <c r="A2077" s="2200" t="s">
        <v>4280</v>
      </c>
      <c r="B2077" s="2200" t="s">
        <v>8431</v>
      </c>
      <c r="C2077" s="2200" t="s">
        <v>8432</v>
      </c>
      <c r="D2077" s="2200" t="str">
        <f t="shared" si="96"/>
        <v>OH</v>
      </c>
      <c r="E2077" s="2200" t="str">
        <f t="shared" si="97"/>
        <v>39</v>
      </c>
      <c r="F2077" s="2200" t="str">
        <f t="shared" si="98"/>
        <v>061</v>
      </c>
      <c r="G2077" s="2200">
        <f>--SUBTOTAL(3,C$2:C2077)</f>
        <v>67</v>
      </c>
    </row>
    <row r="2078" spans="1:7" hidden="1" x14ac:dyDescent="0.15">
      <c r="A2078" s="2200" t="s">
        <v>4280</v>
      </c>
      <c r="B2078" s="2200" t="s">
        <v>8433</v>
      </c>
      <c r="C2078" s="2200" t="s">
        <v>8434</v>
      </c>
      <c r="D2078" s="2200" t="str">
        <f t="shared" si="96"/>
        <v>OH</v>
      </c>
      <c r="E2078" s="2200" t="str">
        <f t="shared" si="97"/>
        <v>39</v>
      </c>
      <c r="F2078" s="2200" t="str">
        <f t="shared" si="98"/>
        <v>063</v>
      </c>
      <c r="G2078" s="2200">
        <f>--SUBTOTAL(3,C$2:C2078)</f>
        <v>67</v>
      </c>
    </row>
    <row r="2079" spans="1:7" hidden="1" x14ac:dyDescent="0.15">
      <c r="A2079" s="2200" t="s">
        <v>4280</v>
      </c>
      <c r="B2079" s="2200" t="s">
        <v>8435</v>
      </c>
      <c r="C2079" s="2200" t="s">
        <v>8436</v>
      </c>
      <c r="D2079" s="2200" t="str">
        <f t="shared" si="96"/>
        <v>OH</v>
      </c>
      <c r="E2079" s="2200" t="str">
        <f t="shared" si="97"/>
        <v>39</v>
      </c>
      <c r="F2079" s="2200" t="str">
        <f t="shared" si="98"/>
        <v>065</v>
      </c>
      <c r="G2079" s="2200">
        <f>--SUBTOTAL(3,C$2:C2079)</f>
        <v>67</v>
      </c>
    </row>
    <row r="2080" spans="1:7" hidden="1" x14ac:dyDescent="0.15">
      <c r="A2080" s="2200" t="s">
        <v>4280</v>
      </c>
      <c r="B2080" s="2200" t="s">
        <v>8437</v>
      </c>
      <c r="C2080" s="2200" t="s">
        <v>8438</v>
      </c>
      <c r="D2080" s="2200" t="str">
        <f t="shared" si="96"/>
        <v>OH</v>
      </c>
      <c r="E2080" s="2200" t="str">
        <f t="shared" si="97"/>
        <v>39</v>
      </c>
      <c r="F2080" s="2200" t="str">
        <f t="shared" si="98"/>
        <v>067</v>
      </c>
      <c r="G2080" s="2200">
        <f>--SUBTOTAL(3,C$2:C2080)</f>
        <v>67</v>
      </c>
    </row>
    <row r="2081" spans="1:7" hidden="1" x14ac:dyDescent="0.15">
      <c r="A2081" s="2200" t="s">
        <v>4280</v>
      </c>
      <c r="B2081" s="2200" t="s">
        <v>8439</v>
      </c>
      <c r="C2081" s="2200" t="s">
        <v>8440</v>
      </c>
      <c r="D2081" s="2200" t="str">
        <f t="shared" si="96"/>
        <v>OH</v>
      </c>
      <c r="E2081" s="2200" t="str">
        <f t="shared" si="97"/>
        <v>39</v>
      </c>
      <c r="F2081" s="2200" t="str">
        <f t="shared" si="98"/>
        <v>069</v>
      </c>
      <c r="G2081" s="2200">
        <f>--SUBTOTAL(3,C$2:C2081)</f>
        <v>67</v>
      </c>
    </row>
    <row r="2082" spans="1:7" hidden="1" x14ac:dyDescent="0.15">
      <c r="A2082" s="2200" t="s">
        <v>4280</v>
      </c>
      <c r="B2082" s="2200" t="s">
        <v>8441</v>
      </c>
      <c r="C2082" s="2200" t="s">
        <v>8442</v>
      </c>
      <c r="D2082" s="2200" t="str">
        <f t="shared" si="96"/>
        <v>OH</v>
      </c>
      <c r="E2082" s="2200" t="str">
        <f t="shared" si="97"/>
        <v>39</v>
      </c>
      <c r="F2082" s="2200" t="str">
        <f t="shared" si="98"/>
        <v>071</v>
      </c>
      <c r="G2082" s="2200">
        <f>--SUBTOTAL(3,C$2:C2082)</f>
        <v>67</v>
      </c>
    </row>
    <row r="2083" spans="1:7" hidden="1" x14ac:dyDescent="0.15">
      <c r="A2083" s="2200" t="s">
        <v>4280</v>
      </c>
      <c r="B2083" s="2200" t="s">
        <v>8443</v>
      </c>
      <c r="C2083" s="2200" t="s">
        <v>8444</v>
      </c>
      <c r="D2083" s="2200" t="str">
        <f t="shared" si="96"/>
        <v>OH</v>
      </c>
      <c r="E2083" s="2200" t="str">
        <f t="shared" si="97"/>
        <v>39</v>
      </c>
      <c r="F2083" s="2200" t="str">
        <f t="shared" si="98"/>
        <v>073</v>
      </c>
      <c r="G2083" s="2200">
        <f>--SUBTOTAL(3,C$2:C2083)</f>
        <v>67</v>
      </c>
    </row>
    <row r="2084" spans="1:7" hidden="1" x14ac:dyDescent="0.15">
      <c r="A2084" s="2200" t="s">
        <v>4280</v>
      </c>
      <c r="B2084" s="2200" t="s">
        <v>8445</v>
      </c>
      <c r="C2084" s="2200" t="s">
        <v>8446</v>
      </c>
      <c r="D2084" s="2200" t="str">
        <f t="shared" si="96"/>
        <v>OH</v>
      </c>
      <c r="E2084" s="2200" t="str">
        <f t="shared" si="97"/>
        <v>39</v>
      </c>
      <c r="F2084" s="2200" t="str">
        <f t="shared" si="98"/>
        <v>075</v>
      </c>
      <c r="G2084" s="2200">
        <f>--SUBTOTAL(3,C$2:C2084)</f>
        <v>67</v>
      </c>
    </row>
    <row r="2085" spans="1:7" hidden="1" x14ac:dyDescent="0.15">
      <c r="A2085" s="2200" t="s">
        <v>4280</v>
      </c>
      <c r="B2085" s="2200" t="s">
        <v>8447</v>
      </c>
      <c r="C2085" s="2200" t="s">
        <v>8448</v>
      </c>
      <c r="D2085" s="2200" t="str">
        <f t="shared" si="96"/>
        <v>OH</v>
      </c>
      <c r="E2085" s="2200" t="str">
        <f t="shared" si="97"/>
        <v>39</v>
      </c>
      <c r="F2085" s="2200" t="str">
        <f t="shared" si="98"/>
        <v>077</v>
      </c>
      <c r="G2085" s="2200">
        <f>--SUBTOTAL(3,C$2:C2085)</f>
        <v>67</v>
      </c>
    </row>
    <row r="2086" spans="1:7" hidden="1" x14ac:dyDescent="0.15">
      <c r="A2086" s="2200" t="s">
        <v>4280</v>
      </c>
      <c r="B2086" s="2200" t="s">
        <v>8449</v>
      </c>
      <c r="C2086" s="2200" t="s">
        <v>8450</v>
      </c>
      <c r="D2086" s="2200" t="str">
        <f t="shared" si="96"/>
        <v>OH</v>
      </c>
      <c r="E2086" s="2200" t="str">
        <f t="shared" si="97"/>
        <v>39</v>
      </c>
      <c r="F2086" s="2200" t="str">
        <f t="shared" si="98"/>
        <v>079</v>
      </c>
      <c r="G2086" s="2200">
        <f>--SUBTOTAL(3,C$2:C2086)</f>
        <v>67</v>
      </c>
    </row>
    <row r="2087" spans="1:7" hidden="1" x14ac:dyDescent="0.15">
      <c r="A2087" s="2200" t="s">
        <v>4280</v>
      </c>
      <c r="B2087" s="2200" t="s">
        <v>8451</v>
      </c>
      <c r="C2087" s="2200" t="s">
        <v>8452</v>
      </c>
      <c r="D2087" s="2200" t="str">
        <f t="shared" si="96"/>
        <v>OH</v>
      </c>
      <c r="E2087" s="2200" t="str">
        <f t="shared" si="97"/>
        <v>39</v>
      </c>
      <c r="F2087" s="2200" t="str">
        <f t="shared" si="98"/>
        <v>081</v>
      </c>
      <c r="G2087" s="2200">
        <f>--SUBTOTAL(3,C$2:C2087)</f>
        <v>67</v>
      </c>
    </row>
    <row r="2088" spans="1:7" hidden="1" x14ac:dyDescent="0.15">
      <c r="A2088" s="2200" t="s">
        <v>4280</v>
      </c>
      <c r="B2088" s="2200" t="s">
        <v>8453</v>
      </c>
      <c r="C2088" s="2200" t="s">
        <v>8454</v>
      </c>
      <c r="D2088" s="2200" t="str">
        <f t="shared" si="96"/>
        <v>OH</v>
      </c>
      <c r="E2088" s="2200" t="str">
        <f t="shared" si="97"/>
        <v>39</v>
      </c>
      <c r="F2088" s="2200" t="str">
        <f t="shared" si="98"/>
        <v>083</v>
      </c>
      <c r="G2088" s="2200">
        <f>--SUBTOTAL(3,C$2:C2088)</f>
        <v>67</v>
      </c>
    </row>
    <row r="2089" spans="1:7" hidden="1" x14ac:dyDescent="0.15">
      <c r="A2089" s="2200" t="s">
        <v>4280</v>
      </c>
      <c r="B2089" s="2200" t="s">
        <v>8455</v>
      </c>
      <c r="C2089" s="2200" t="s">
        <v>8456</v>
      </c>
      <c r="D2089" s="2200" t="str">
        <f t="shared" si="96"/>
        <v>OH</v>
      </c>
      <c r="E2089" s="2200" t="str">
        <f t="shared" si="97"/>
        <v>39</v>
      </c>
      <c r="F2089" s="2200" t="str">
        <f t="shared" si="98"/>
        <v>085</v>
      </c>
      <c r="G2089" s="2200">
        <f>--SUBTOTAL(3,C$2:C2089)</f>
        <v>67</v>
      </c>
    </row>
    <row r="2090" spans="1:7" hidden="1" x14ac:dyDescent="0.15">
      <c r="A2090" s="2200" t="s">
        <v>4280</v>
      </c>
      <c r="B2090" s="2200" t="s">
        <v>8457</v>
      </c>
      <c r="C2090" s="2200" t="s">
        <v>8458</v>
      </c>
      <c r="D2090" s="2200" t="str">
        <f t="shared" si="96"/>
        <v>OH</v>
      </c>
      <c r="E2090" s="2200" t="str">
        <f t="shared" si="97"/>
        <v>39</v>
      </c>
      <c r="F2090" s="2200" t="str">
        <f t="shared" si="98"/>
        <v>087</v>
      </c>
      <c r="G2090" s="2200">
        <f>--SUBTOTAL(3,C$2:C2090)</f>
        <v>67</v>
      </c>
    </row>
    <row r="2091" spans="1:7" hidden="1" x14ac:dyDescent="0.15">
      <c r="A2091" s="2200" t="s">
        <v>4280</v>
      </c>
      <c r="B2091" s="2200" t="s">
        <v>8459</v>
      </c>
      <c r="C2091" s="2200" t="s">
        <v>8460</v>
      </c>
      <c r="D2091" s="2200" t="str">
        <f t="shared" si="96"/>
        <v>OH</v>
      </c>
      <c r="E2091" s="2200" t="str">
        <f t="shared" si="97"/>
        <v>39</v>
      </c>
      <c r="F2091" s="2200" t="str">
        <f t="shared" si="98"/>
        <v>089</v>
      </c>
      <c r="G2091" s="2200">
        <f>--SUBTOTAL(3,C$2:C2091)</f>
        <v>67</v>
      </c>
    </row>
    <row r="2092" spans="1:7" hidden="1" x14ac:dyDescent="0.15">
      <c r="A2092" s="2200" t="s">
        <v>4280</v>
      </c>
      <c r="B2092" s="2200" t="s">
        <v>8461</v>
      </c>
      <c r="C2092" s="2200" t="s">
        <v>8462</v>
      </c>
      <c r="D2092" s="2200" t="str">
        <f t="shared" si="96"/>
        <v>OH</v>
      </c>
      <c r="E2092" s="2200" t="str">
        <f t="shared" si="97"/>
        <v>39</v>
      </c>
      <c r="F2092" s="2200" t="str">
        <f t="shared" si="98"/>
        <v>091</v>
      </c>
      <c r="G2092" s="2200">
        <f>--SUBTOTAL(3,C$2:C2092)</f>
        <v>67</v>
      </c>
    </row>
    <row r="2093" spans="1:7" hidden="1" x14ac:dyDescent="0.15">
      <c r="A2093" s="2200" t="s">
        <v>4280</v>
      </c>
      <c r="B2093" s="2200" t="s">
        <v>8463</v>
      </c>
      <c r="C2093" s="2200" t="s">
        <v>8464</v>
      </c>
      <c r="D2093" s="2200" t="str">
        <f t="shared" si="96"/>
        <v>OH</v>
      </c>
      <c r="E2093" s="2200" t="str">
        <f t="shared" si="97"/>
        <v>39</v>
      </c>
      <c r="F2093" s="2200" t="str">
        <f t="shared" si="98"/>
        <v>093</v>
      </c>
      <c r="G2093" s="2200">
        <f>--SUBTOTAL(3,C$2:C2093)</f>
        <v>67</v>
      </c>
    </row>
    <row r="2094" spans="1:7" hidden="1" x14ac:dyDescent="0.15">
      <c r="A2094" s="2200" t="s">
        <v>4280</v>
      </c>
      <c r="B2094" s="2200" t="s">
        <v>8465</v>
      </c>
      <c r="C2094" s="2200" t="s">
        <v>8466</v>
      </c>
      <c r="D2094" s="2200" t="str">
        <f t="shared" si="96"/>
        <v>OH</v>
      </c>
      <c r="E2094" s="2200" t="str">
        <f t="shared" si="97"/>
        <v>39</v>
      </c>
      <c r="F2094" s="2200" t="str">
        <f t="shared" si="98"/>
        <v>095</v>
      </c>
      <c r="G2094" s="2200">
        <f>--SUBTOTAL(3,C$2:C2094)</f>
        <v>67</v>
      </c>
    </row>
    <row r="2095" spans="1:7" hidden="1" x14ac:dyDescent="0.15">
      <c r="A2095" s="2200" t="s">
        <v>4280</v>
      </c>
      <c r="B2095" s="2200" t="s">
        <v>8467</v>
      </c>
      <c r="C2095" s="2200" t="s">
        <v>8468</v>
      </c>
      <c r="D2095" s="2200" t="str">
        <f t="shared" si="96"/>
        <v>OH</v>
      </c>
      <c r="E2095" s="2200" t="str">
        <f t="shared" si="97"/>
        <v>39</v>
      </c>
      <c r="F2095" s="2200" t="str">
        <f t="shared" si="98"/>
        <v>097</v>
      </c>
      <c r="G2095" s="2200">
        <f>--SUBTOTAL(3,C$2:C2095)</f>
        <v>67</v>
      </c>
    </row>
    <row r="2096" spans="1:7" hidden="1" x14ac:dyDescent="0.15">
      <c r="A2096" s="2200" t="s">
        <v>4280</v>
      </c>
      <c r="B2096" s="2200" t="s">
        <v>8469</v>
      </c>
      <c r="C2096" s="2200" t="s">
        <v>8470</v>
      </c>
      <c r="D2096" s="2200" t="str">
        <f t="shared" si="96"/>
        <v>OH</v>
      </c>
      <c r="E2096" s="2200" t="str">
        <f t="shared" si="97"/>
        <v>39</v>
      </c>
      <c r="F2096" s="2200" t="str">
        <f t="shared" si="98"/>
        <v>099</v>
      </c>
      <c r="G2096" s="2200">
        <f>--SUBTOTAL(3,C$2:C2096)</f>
        <v>67</v>
      </c>
    </row>
    <row r="2097" spans="1:7" hidden="1" x14ac:dyDescent="0.15">
      <c r="A2097" s="2200" t="s">
        <v>4280</v>
      </c>
      <c r="B2097" s="2200" t="s">
        <v>8471</v>
      </c>
      <c r="C2097" s="2200" t="s">
        <v>8472</v>
      </c>
      <c r="D2097" s="2200" t="str">
        <f t="shared" si="96"/>
        <v>OH</v>
      </c>
      <c r="E2097" s="2200" t="str">
        <f t="shared" si="97"/>
        <v>39</v>
      </c>
      <c r="F2097" s="2200" t="str">
        <f t="shared" si="98"/>
        <v>101</v>
      </c>
      <c r="G2097" s="2200">
        <f>--SUBTOTAL(3,C$2:C2097)</f>
        <v>67</v>
      </c>
    </row>
    <row r="2098" spans="1:7" hidden="1" x14ac:dyDescent="0.15">
      <c r="A2098" s="2200" t="s">
        <v>4280</v>
      </c>
      <c r="B2098" s="2200" t="s">
        <v>8473</v>
      </c>
      <c r="C2098" s="2200" t="s">
        <v>8474</v>
      </c>
      <c r="D2098" s="2200" t="str">
        <f t="shared" si="96"/>
        <v>OH</v>
      </c>
      <c r="E2098" s="2200" t="str">
        <f t="shared" si="97"/>
        <v>39</v>
      </c>
      <c r="F2098" s="2200" t="str">
        <f t="shared" si="98"/>
        <v>103</v>
      </c>
      <c r="G2098" s="2200">
        <f>--SUBTOTAL(3,C$2:C2098)</f>
        <v>67</v>
      </c>
    </row>
    <row r="2099" spans="1:7" hidden="1" x14ac:dyDescent="0.15">
      <c r="A2099" s="2200" t="s">
        <v>4280</v>
      </c>
      <c r="B2099" s="2200" t="s">
        <v>8475</v>
      </c>
      <c r="C2099" s="2200" t="s">
        <v>8476</v>
      </c>
      <c r="D2099" s="2200" t="str">
        <f t="shared" si="96"/>
        <v>OH</v>
      </c>
      <c r="E2099" s="2200" t="str">
        <f t="shared" si="97"/>
        <v>39</v>
      </c>
      <c r="F2099" s="2200" t="str">
        <f t="shared" si="98"/>
        <v>105</v>
      </c>
      <c r="G2099" s="2200">
        <f>--SUBTOTAL(3,C$2:C2099)</f>
        <v>67</v>
      </c>
    </row>
    <row r="2100" spans="1:7" hidden="1" x14ac:dyDescent="0.15">
      <c r="A2100" s="2200" t="s">
        <v>4280</v>
      </c>
      <c r="B2100" s="2200" t="s">
        <v>8477</v>
      </c>
      <c r="C2100" s="2200" t="s">
        <v>8478</v>
      </c>
      <c r="D2100" s="2200" t="str">
        <f t="shared" si="96"/>
        <v>OH</v>
      </c>
      <c r="E2100" s="2200" t="str">
        <f t="shared" si="97"/>
        <v>39</v>
      </c>
      <c r="F2100" s="2200" t="str">
        <f t="shared" si="98"/>
        <v>107</v>
      </c>
      <c r="G2100" s="2200">
        <f>--SUBTOTAL(3,C$2:C2100)</f>
        <v>67</v>
      </c>
    </row>
    <row r="2101" spans="1:7" hidden="1" x14ac:dyDescent="0.15">
      <c r="A2101" s="2200" t="s">
        <v>4280</v>
      </c>
      <c r="B2101" s="2200" t="s">
        <v>8479</v>
      </c>
      <c r="C2101" s="2200" t="s">
        <v>8480</v>
      </c>
      <c r="D2101" s="2200" t="str">
        <f t="shared" si="96"/>
        <v>OH</v>
      </c>
      <c r="E2101" s="2200" t="str">
        <f t="shared" si="97"/>
        <v>39</v>
      </c>
      <c r="F2101" s="2200" t="str">
        <f t="shared" si="98"/>
        <v>109</v>
      </c>
      <c r="G2101" s="2200">
        <f>--SUBTOTAL(3,C$2:C2101)</f>
        <v>67</v>
      </c>
    </row>
    <row r="2102" spans="1:7" hidden="1" x14ac:dyDescent="0.15">
      <c r="A2102" s="2200" t="s">
        <v>4280</v>
      </c>
      <c r="B2102" s="2200" t="s">
        <v>8481</v>
      </c>
      <c r="C2102" s="2200" t="s">
        <v>8482</v>
      </c>
      <c r="D2102" s="2200" t="str">
        <f t="shared" si="96"/>
        <v>OH</v>
      </c>
      <c r="E2102" s="2200" t="str">
        <f t="shared" si="97"/>
        <v>39</v>
      </c>
      <c r="F2102" s="2200" t="str">
        <f t="shared" si="98"/>
        <v>111</v>
      </c>
      <c r="G2102" s="2200">
        <f>--SUBTOTAL(3,C$2:C2102)</f>
        <v>67</v>
      </c>
    </row>
    <row r="2103" spans="1:7" hidden="1" x14ac:dyDescent="0.15">
      <c r="A2103" s="2200" t="s">
        <v>4280</v>
      </c>
      <c r="B2103" s="2200" t="s">
        <v>8483</v>
      </c>
      <c r="C2103" s="2200" t="s">
        <v>8484</v>
      </c>
      <c r="D2103" s="2200" t="str">
        <f t="shared" si="96"/>
        <v>OH</v>
      </c>
      <c r="E2103" s="2200" t="str">
        <f t="shared" si="97"/>
        <v>39</v>
      </c>
      <c r="F2103" s="2200" t="str">
        <f t="shared" si="98"/>
        <v>113</v>
      </c>
      <c r="G2103" s="2200">
        <f>--SUBTOTAL(3,C$2:C2103)</f>
        <v>67</v>
      </c>
    </row>
    <row r="2104" spans="1:7" hidden="1" x14ac:dyDescent="0.15">
      <c r="A2104" s="2200" t="s">
        <v>4280</v>
      </c>
      <c r="B2104" s="2200" t="s">
        <v>8485</v>
      </c>
      <c r="C2104" s="2200" t="s">
        <v>8486</v>
      </c>
      <c r="D2104" s="2200" t="str">
        <f t="shared" si="96"/>
        <v>OH</v>
      </c>
      <c r="E2104" s="2200" t="str">
        <f t="shared" si="97"/>
        <v>39</v>
      </c>
      <c r="F2104" s="2200" t="str">
        <f t="shared" si="98"/>
        <v>115</v>
      </c>
      <c r="G2104" s="2200">
        <f>--SUBTOTAL(3,C$2:C2104)</f>
        <v>67</v>
      </c>
    </row>
    <row r="2105" spans="1:7" hidden="1" x14ac:dyDescent="0.15">
      <c r="A2105" s="2200" t="s">
        <v>4280</v>
      </c>
      <c r="B2105" s="2200" t="s">
        <v>8487</v>
      </c>
      <c r="C2105" s="2200" t="s">
        <v>8488</v>
      </c>
      <c r="D2105" s="2200" t="str">
        <f t="shared" si="96"/>
        <v>OH</v>
      </c>
      <c r="E2105" s="2200" t="str">
        <f t="shared" si="97"/>
        <v>39</v>
      </c>
      <c r="F2105" s="2200" t="str">
        <f t="shared" si="98"/>
        <v>117</v>
      </c>
      <c r="G2105" s="2200">
        <f>--SUBTOTAL(3,C$2:C2105)</f>
        <v>67</v>
      </c>
    </row>
    <row r="2106" spans="1:7" hidden="1" x14ac:dyDescent="0.15">
      <c r="A2106" s="2200" t="s">
        <v>4280</v>
      </c>
      <c r="B2106" s="2200" t="s">
        <v>8489</v>
      </c>
      <c r="C2106" s="2200" t="s">
        <v>8490</v>
      </c>
      <c r="D2106" s="2200" t="str">
        <f t="shared" si="96"/>
        <v>OH</v>
      </c>
      <c r="E2106" s="2200" t="str">
        <f t="shared" si="97"/>
        <v>39</v>
      </c>
      <c r="F2106" s="2200" t="str">
        <f t="shared" si="98"/>
        <v>119</v>
      </c>
      <c r="G2106" s="2200">
        <f>--SUBTOTAL(3,C$2:C2106)</f>
        <v>67</v>
      </c>
    </row>
    <row r="2107" spans="1:7" hidden="1" x14ac:dyDescent="0.15">
      <c r="A2107" s="2200" t="s">
        <v>4280</v>
      </c>
      <c r="B2107" s="2200" t="s">
        <v>8491</v>
      </c>
      <c r="C2107" s="2200" t="s">
        <v>8492</v>
      </c>
      <c r="D2107" s="2200" t="str">
        <f t="shared" si="96"/>
        <v>OH</v>
      </c>
      <c r="E2107" s="2200" t="str">
        <f t="shared" si="97"/>
        <v>39</v>
      </c>
      <c r="F2107" s="2200" t="str">
        <f t="shared" si="98"/>
        <v>121</v>
      </c>
      <c r="G2107" s="2200">
        <f>--SUBTOTAL(3,C$2:C2107)</f>
        <v>67</v>
      </c>
    </row>
    <row r="2108" spans="1:7" hidden="1" x14ac:dyDescent="0.15">
      <c r="A2108" s="2200" t="s">
        <v>4280</v>
      </c>
      <c r="B2108" s="2200" t="s">
        <v>8493</v>
      </c>
      <c r="C2108" s="2200" t="s">
        <v>8494</v>
      </c>
      <c r="D2108" s="2200" t="str">
        <f t="shared" si="96"/>
        <v>OH</v>
      </c>
      <c r="E2108" s="2200" t="str">
        <f t="shared" si="97"/>
        <v>39</v>
      </c>
      <c r="F2108" s="2200" t="str">
        <f t="shared" si="98"/>
        <v>123</v>
      </c>
      <c r="G2108" s="2200">
        <f>--SUBTOTAL(3,C$2:C2108)</f>
        <v>67</v>
      </c>
    </row>
    <row r="2109" spans="1:7" hidden="1" x14ac:dyDescent="0.15">
      <c r="A2109" s="2200" t="s">
        <v>4280</v>
      </c>
      <c r="B2109" s="2200" t="s">
        <v>8495</v>
      </c>
      <c r="C2109" s="2200" t="s">
        <v>8496</v>
      </c>
      <c r="D2109" s="2200" t="str">
        <f t="shared" si="96"/>
        <v>OH</v>
      </c>
      <c r="E2109" s="2200" t="str">
        <f t="shared" si="97"/>
        <v>39</v>
      </c>
      <c r="F2109" s="2200" t="str">
        <f t="shared" si="98"/>
        <v>125</v>
      </c>
      <c r="G2109" s="2200">
        <f>--SUBTOTAL(3,C$2:C2109)</f>
        <v>67</v>
      </c>
    </row>
    <row r="2110" spans="1:7" hidden="1" x14ac:dyDescent="0.15">
      <c r="A2110" s="2200" t="s">
        <v>4280</v>
      </c>
      <c r="B2110" s="2200" t="s">
        <v>8497</v>
      </c>
      <c r="C2110" s="2200" t="s">
        <v>8498</v>
      </c>
      <c r="D2110" s="2200" t="str">
        <f t="shared" si="96"/>
        <v>OH</v>
      </c>
      <c r="E2110" s="2200" t="str">
        <f t="shared" si="97"/>
        <v>39</v>
      </c>
      <c r="F2110" s="2200" t="str">
        <f t="shared" si="98"/>
        <v>127</v>
      </c>
      <c r="G2110" s="2200">
        <f>--SUBTOTAL(3,C$2:C2110)</f>
        <v>67</v>
      </c>
    </row>
    <row r="2111" spans="1:7" hidden="1" x14ac:dyDescent="0.15">
      <c r="A2111" s="2200" t="s">
        <v>4280</v>
      </c>
      <c r="B2111" s="2200" t="s">
        <v>8499</v>
      </c>
      <c r="C2111" s="2200" t="s">
        <v>8500</v>
      </c>
      <c r="D2111" s="2200" t="str">
        <f t="shared" si="96"/>
        <v>OH</v>
      </c>
      <c r="E2111" s="2200" t="str">
        <f t="shared" si="97"/>
        <v>39</v>
      </c>
      <c r="F2111" s="2200" t="str">
        <f t="shared" si="98"/>
        <v>129</v>
      </c>
      <c r="G2111" s="2200">
        <f>--SUBTOTAL(3,C$2:C2111)</f>
        <v>67</v>
      </c>
    </row>
    <row r="2112" spans="1:7" hidden="1" x14ac:dyDescent="0.15">
      <c r="A2112" s="2200" t="s">
        <v>4280</v>
      </c>
      <c r="B2112" s="2200" t="s">
        <v>8501</v>
      </c>
      <c r="C2112" s="2200" t="s">
        <v>8502</v>
      </c>
      <c r="D2112" s="2200" t="str">
        <f t="shared" si="96"/>
        <v>OH</v>
      </c>
      <c r="E2112" s="2200" t="str">
        <f t="shared" si="97"/>
        <v>39</v>
      </c>
      <c r="F2112" s="2200" t="str">
        <f t="shared" si="98"/>
        <v>131</v>
      </c>
      <c r="G2112" s="2200">
        <f>--SUBTOTAL(3,C$2:C2112)</f>
        <v>67</v>
      </c>
    </row>
    <row r="2113" spans="1:7" hidden="1" x14ac:dyDescent="0.15">
      <c r="A2113" s="2200" t="s">
        <v>4280</v>
      </c>
      <c r="B2113" s="2200" t="s">
        <v>8503</v>
      </c>
      <c r="C2113" s="2200" t="s">
        <v>8504</v>
      </c>
      <c r="D2113" s="2200" t="str">
        <f t="shared" si="96"/>
        <v>OH</v>
      </c>
      <c r="E2113" s="2200" t="str">
        <f t="shared" si="97"/>
        <v>39</v>
      </c>
      <c r="F2113" s="2200" t="str">
        <f t="shared" si="98"/>
        <v>133</v>
      </c>
      <c r="G2113" s="2200">
        <f>--SUBTOTAL(3,C$2:C2113)</f>
        <v>67</v>
      </c>
    </row>
    <row r="2114" spans="1:7" hidden="1" x14ac:dyDescent="0.15">
      <c r="A2114" s="2200" t="s">
        <v>4280</v>
      </c>
      <c r="B2114" s="2200" t="s">
        <v>8505</v>
      </c>
      <c r="C2114" s="2200" t="s">
        <v>8506</v>
      </c>
      <c r="D2114" s="2200" t="str">
        <f t="shared" si="96"/>
        <v>OH</v>
      </c>
      <c r="E2114" s="2200" t="str">
        <f t="shared" si="97"/>
        <v>39</v>
      </c>
      <c r="F2114" s="2200" t="str">
        <f t="shared" si="98"/>
        <v>135</v>
      </c>
      <c r="G2114" s="2200">
        <f>--SUBTOTAL(3,C$2:C2114)</f>
        <v>67</v>
      </c>
    </row>
    <row r="2115" spans="1:7" hidden="1" x14ac:dyDescent="0.15">
      <c r="A2115" s="2200" t="s">
        <v>4280</v>
      </c>
      <c r="B2115" s="2200" t="s">
        <v>8507</v>
      </c>
      <c r="C2115" s="2200" t="s">
        <v>8508</v>
      </c>
      <c r="D2115" s="2200" t="str">
        <f t="shared" ref="D2115:D2178" si="99">RIGHT(C2115,2)</f>
        <v>OH</v>
      </c>
      <c r="E2115" s="2200" t="str">
        <f t="shared" ref="E2115:E2178" si="100">MID(B2115,3,2)</f>
        <v>39</v>
      </c>
      <c r="F2115" s="2200" t="str">
        <f t="shared" ref="F2115:F2178" si="101">MID(B2115,5,3)</f>
        <v>137</v>
      </c>
      <c r="G2115" s="2200">
        <f>--SUBTOTAL(3,C$2:C2115)</f>
        <v>67</v>
      </c>
    </row>
    <row r="2116" spans="1:7" hidden="1" x14ac:dyDescent="0.15">
      <c r="A2116" s="2200" t="s">
        <v>4280</v>
      </c>
      <c r="B2116" s="2200" t="s">
        <v>8509</v>
      </c>
      <c r="C2116" s="2200" t="s">
        <v>8510</v>
      </c>
      <c r="D2116" s="2200" t="str">
        <f t="shared" si="99"/>
        <v>OH</v>
      </c>
      <c r="E2116" s="2200" t="str">
        <f t="shared" si="100"/>
        <v>39</v>
      </c>
      <c r="F2116" s="2200" t="str">
        <f t="shared" si="101"/>
        <v>139</v>
      </c>
      <c r="G2116" s="2200">
        <f>--SUBTOTAL(3,C$2:C2116)</f>
        <v>67</v>
      </c>
    </row>
    <row r="2117" spans="1:7" hidden="1" x14ac:dyDescent="0.15">
      <c r="A2117" s="2200" t="s">
        <v>4280</v>
      </c>
      <c r="B2117" s="2200" t="s">
        <v>8511</v>
      </c>
      <c r="C2117" s="2200" t="s">
        <v>8512</v>
      </c>
      <c r="D2117" s="2200" t="str">
        <f t="shared" si="99"/>
        <v>OH</v>
      </c>
      <c r="E2117" s="2200" t="str">
        <f t="shared" si="100"/>
        <v>39</v>
      </c>
      <c r="F2117" s="2200" t="str">
        <f t="shared" si="101"/>
        <v>141</v>
      </c>
      <c r="G2117" s="2200">
        <f>--SUBTOTAL(3,C$2:C2117)</f>
        <v>67</v>
      </c>
    </row>
    <row r="2118" spans="1:7" hidden="1" x14ac:dyDescent="0.15">
      <c r="A2118" s="2200" t="s">
        <v>4280</v>
      </c>
      <c r="B2118" s="2200" t="s">
        <v>8513</v>
      </c>
      <c r="C2118" s="2200" t="s">
        <v>8514</v>
      </c>
      <c r="D2118" s="2200" t="str">
        <f t="shared" si="99"/>
        <v>OH</v>
      </c>
      <c r="E2118" s="2200" t="str">
        <f t="shared" si="100"/>
        <v>39</v>
      </c>
      <c r="F2118" s="2200" t="str">
        <f t="shared" si="101"/>
        <v>143</v>
      </c>
      <c r="G2118" s="2200">
        <f>--SUBTOTAL(3,C$2:C2118)</f>
        <v>67</v>
      </c>
    </row>
    <row r="2119" spans="1:7" hidden="1" x14ac:dyDescent="0.15">
      <c r="A2119" s="2200" t="s">
        <v>4280</v>
      </c>
      <c r="B2119" s="2200" t="s">
        <v>8515</v>
      </c>
      <c r="C2119" s="2200" t="s">
        <v>8516</v>
      </c>
      <c r="D2119" s="2200" t="str">
        <f t="shared" si="99"/>
        <v>OH</v>
      </c>
      <c r="E2119" s="2200" t="str">
        <f t="shared" si="100"/>
        <v>39</v>
      </c>
      <c r="F2119" s="2200" t="str">
        <f t="shared" si="101"/>
        <v>145</v>
      </c>
      <c r="G2119" s="2200">
        <f>--SUBTOTAL(3,C$2:C2119)</f>
        <v>67</v>
      </c>
    </row>
    <row r="2120" spans="1:7" hidden="1" x14ac:dyDescent="0.15">
      <c r="A2120" s="2200" t="s">
        <v>4280</v>
      </c>
      <c r="B2120" s="2200" t="s">
        <v>8517</v>
      </c>
      <c r="C2120" s="2200" t="s">
        <v>8518</v>
      </c>
      <c r="D2120" s="2200" t="str">
        <f t="shared" si="99"/>
        <v>OH</v>
      </c>
      <c r="E2120" s="2200" t="str">
        <f t="shared" si="100"/>
        <v>39</v>
      </c>
      <c r="F2120" s="2200" t="str">
        <f t="shared" si="101"/>
        <v>147</v>
      </c>
      <c r="G2120" s="2200">
        <f>--SUBTOTAL(3,C$2:C2120)</f>
        <v>67</v>
      </c>
    </row>
    <row r="2121" spans="1:7" hidden="1" x14ac:dyDescent="0.15">
      <c r="A2121" s="2200" t="s">
        <v>4280</v>
      </c>
      <c r="B2121" s="2200" t="s">
        <v>8519</v>
      </c>
      <c r="C2121" s="2200" t="s">
        <v>8520</v>
      </c>
      <c r="D2121" s="2200" t="str">
        <f t="shared" si="99"/>
        <v>OH</v>
      </c>
      <c r="E2121" s="2200" t="str">
        <f t="shared" si="100"/>
        <v>39</v>
      </c>
      <c r="F2121" s="2200" t="str">
        <f t="shared" si="101"/>
        <v>149</v>
      </c>
      <c r="G2121" s="2200">
        <f>--SUBTOTAL(3,C$2:C2121)</f>
        <v>67</v>
      </c>
    </row>
    <row r="2122" spans="1:7" hidden="1" x14ac:dyDescent="0.15">
      <c r="A2122" s="2200" t="s">
        <v>4280</v>
      </c>
      <c r="B2122" s="2200" t="s">
        <v>8521</v>
      </c>
      <c r="C2122" s="2200" t="s">
        <v>8522</v>
      </c>
      <c r="D2122" s="2200" t="str">
        <f t="shared" si="99"/>
        <v>OH</v>
      </c>
      <c r="E2122" s="2200" t="str">
        <f t="shared" si="100"/>
        <v>39</v>
      </c>
      <c r="F2122" s="2200" t="str">
        <f t="shared" si="101"/>
        <v>151</v>
      </c>
      <c r="G2122" s="2200">
        <f>--SUBTOTAL(3,C$2:C2122)</f>
        <v>67</v>
      </c>
    </row>
    <row r="2123" spans="1:7" hidden="1" x14ac:dyDescent="0.15">
      <c r="A2123" s="2200" t="s">
        <v>4280</v>
      </c>
      <c r="B2123" s="2200" t="s">
        <v>8523</v>
      </c>
      <c r="C2123" s="2200" t="s">
        <v>8524</v>
      </c>
      <c r="D2123" s="2200" t="str">
        <f t="shared" si="99"/>
        <v>OH</v>
      </c>
      <c r="E2123" s="2200" t="str">
        <f t="shared" si="100"/>
        <v>39</v>
      </c>
      <c r="F2123" s="2200" t="str">
        <f t="shared" si="101"/>
        <v>153</v>
      </c>
      <c r="G2123" s="2200">
        <f>--SUBTOTAL(3,C$2:C2123)</f>
        <v>67</v>
      </c>
    </row>
    <row r="2124" spans="1:7" hidden="1" x14ac:dyDescent="0.15">
      <c r="A2124" s="2200" t="s">
        <v>4280</v>
      </c>
      <c r="B2124" s="2200" t="s">
        <v>8525</v>
      </c>
      <c r="C2124" s="2200" t="s">
        <v>8526</v>
      </c>
      <c r="D2124" s="2200" t="str">
        <f t="shared" si="99"/>
        <v>OH</v>
      </c>
      <c r="E2124" s="2200" t="str">
        <f t="shared" si="100"/>
        <v>39</v>
      </c>
      <c r="F2124" s="2200" t="str">
        <f t="shared" si="101"/>
        <v>155</v>
      </c>
      <c r="G2124" s="2200">
        <f>--SUBTOTAL(3,C$2:C2124)</f>
        <v>67</v>
      </c>
    </row>
    <row r="2125" spans="1:7" hidden="1" x14ac:dyDescent="0.15">
      <c r="A2125" s="2200" t="s">
        <v>4280</v>
      </c>
      <c r="B2125" s="2200" t="s">
        <v>8527</v>
      </c>
      <c r="C2125" s="2200" t="s">
        <v>8528</v>
      </c>
      <c r="D2125" s="2200" t="str">
        <f t="shared" si="99"/>
        <v>OH</v>
      </c>
      <c r="E2125" s="2200" t="str">
        <f t="shared" si="100"/>
        <v>39</v>
      </c>
      <c r="F2125" s="2200" t="str">
        <f t="shared" si="101"/>
        <v>157</v>
      </c>
      <c r="G2125" s="2200">
        <f>--SUBTOTAL(3,C$2:C2125)</f>
        <v>67</v>
      </c>
    </row>
    <row r="2126" spans="1:7" hidden="1" x14ac:dyDescent="0.15">
      <c r="A2126" s="2200" t="s">
        <v>4280</v>
      </c>
      <c r="B2126" s="2200" t="s">
        <v>8529</v>
      </c>
      <c r="C2126" s="2200" t="s">
        <v>8530</v>
      </c>
      <c r="D2126" s="2200" t="str">
        <f t="shared" si="99"/>
        <v>OH</v>
      </c>
      <c r="E2126" s="2200" t="str">
        <f t="shared" si="100"/>
        <v>39</v>
      </c>
      <c r="F2126" s="2200" t="str">
        <f t="shared" si="101"/>
        <v>159</v>
      </c>
      <c r="G2126" s="2200">
        <f>--SUBTOTAL(3,C$2:C2126)</f>
        <v>67</v>
      </c>
    </row>
    <row r="2127" spans="1:7" hidden="1" x14ac:dyDescent="0.15">
      <c r="A2127" s="2200" t="s">
        <v>4280</v>
      </c>
      <c r="B2127" s="2200" t="s">
        <v>8531</v>
      </c>
      <c r="C2127" s="2200" t="s">
        <v>8532</v>
      </c>
      <c r="D2127" s="2200" t="str">
        <f t="shared" si="99"/>
        <v>OH</v>
      </c>
      <c r="E2127" s="2200" t="str">
        <f t="shared" si="100"/>
        <v>39</v>
      </c>
      <c r="F2127" s="2200" t="str">
        <f t="shared" si="101"/>
        <v>161</v>
      </c>
      <c r="G2127" s="2200">
        <f>--SUBTOTAL(3,C$2:C2127)</f>
        <v>67</v>
      </c>
    </row>
    <row r="2128" spans="1:7" hidden="1" x14ac:dyDescent="0.15">
      <c r="A2128" s="2200" t="s">
        <v>4280</v>
      </c>
      <c r="B2128" s="2200" t="s">
        <v>8533</v>
      </c>
      <c r="C2128" s="2200" t="s">
        <v>8534</v>
      </c>
      <c r="D2128" s="2200" t="str">
        <f t="shared" si="99"/>
        <v>OH</v>
      </c>
      <c r="E2128" s="2200" t="str">
        <f t="shared" si="100"/>
        <v>39</v>
      </c>
      <c r="F2128" s="2200" t="str">
        <f t="shared" si="101"/>
        <v>163</v>
      </c>
      <c r="G2128" s="2200">
        <f>--SUBTOTAL(3,C$2:C2128)</f>
        <v>67</v>
      </c>
    </row>
    <row r="2129" spans="1:7" hidden="1" x14ac:dyDescent="0.15">
      <c r="A2129" s="2200" t="s">
        <v>4280</v>
      </c>
      <c r="B2129" s="2200" t="s">
        <v>8535</v>
      </c>
      <c r="C2129" s="2200" t="s">
        <v>8536</v>
      </c>
      <c r="D2129" s="2200" t="str">
        <f t="shared" si="99"/>
        <v>OH</v>
      </c>
      <c r="E2129" s="2200" t="str">
        <f t="shared" si="100"/>
        <v>39</v>
      </c>
      <c r="F2129" s="2200" t="str">
        <f t="shared" si="101"/>
        <v>165</v>
      </c>
      <c r="G2129" s="2200">
        <f>--SUBTOTAL(3,C$2:C2129)</f>
        <v>67</v>
      </c>
    </row>
    <row r="2130" spans="1:7" hidden="1" x14ac:dyDescent="0.15">
      <c r="A2130" s="2200" t="s">
        <v>4280</v>
      </c>
      <c r="B2130" s="2200" t="s">
        <v>8537</v>
      </c>
      <c r="C2130" s="2200" t="s">
        <v>8538</v>
      </c>
      <c r="D2130" s="2200" t="str">
        <f t="shared" si="99"/>
        <v>OH</v>
      </c>
      <c r="E2130" s="2200" t="str">
        <f t="shared" si="100"/>
        <v>39</v>
      </c>
      <c r="F2130" s="2200" t="str">
        <f t="shared" si="101"/>
        <v>167</v>
      </c>
      <c r="G2130" s="2200">
        <f>--SUBTOTAL(3,C$2:C2130)</f>
        <v>67</v>
      </c>
    </row>
    <row r="2131" spans="1:7" hidden="1" x14ac:dyDescent="0.15">
      <c r="A2131" s="2200" t="s">
        <v>4280</v>
      </c>
      <c r="B2131" s="2200" t="s">
        <v>8539</v>
      </c>
      <c r="C2131" s="2200" t="s">
        <v>8540</v>
      </c>
      <c r="D2131" s="2200" t="str">
        <f t="shared" si="99"/>
        <v>OH</v>
      </c>
      <c r="E2131" s="2200" t="str">
        <f t="shared" si="100"/>
        <v>39</v>
      </c>
      <c r="F2131" s="2200" t="str">
        <f t="shared" si="101"/>
        <v>169</v>
      </c>
      <c r="G2131" s="2200">
        <f>--SUBTOTAL(3,C$2:C2131)</f>
        <v>67</v>
      </c>
    </row>
    <row r="2132" spans="1:7" hidden="1" x14ac:dyDescent="0.15">
      <c r="A2132" s="2200" t="s">
        <v>4280</v>
      </c>
      <c r="B2132" s="2200" t="s">
        <v>8541</v>
      </c>
      <c r="C2132" s="2200" t="s">
        <v>8542</v>
      </c>
      <c r="D2132" s="2200" t="str">
        <f t="shared" si="99"/>
        <v>OH</v>
      </c>
      <c r="E2132" s="2200" t="str">
        <f t="shared" si="100"/>
        <v>39</v>
      </c>
      <c r="F2132" s="2200" t="str">
        <f t="shared" si="101"/>
        <v>171</v>
      </c>
      <c r="G2132" s="2200">
        <f>--SUBTOTAL(3,C$2:C2132)</f>
        <v>67</v>
      </c>
    </row>
    <row r="2133" spans="1:7" hidden="1" x14ac:dyDescent="0.15">
      <c r="A2133" s="2200" t="s">
        <v>4280</v>
      </c>
      <c r="B2133" s="2200" t="s">
        <v>8543</v>
      </c>
      <c r="C2133" s="2200" t="s">
        <v>8544</v>
      </c>
      <c r="D2133" s="2200" t="str">
        <f t="shared" si="99"/>
        <v>OH</v>
      </c>
      <c r="E2133" s="2200" t="str">
        <f t="shared" si="100"/>
        <v>39</v>
      </c>
      <c r="F2133" s="2200" t="str">
        <f t="shared" si="101"/>
        <v>173</v>
      </c>
      <c r="G2133" s="2200">
        <f>--SUBTOTAL(3,C$2:C2133)</f>
        <v>67</v>
      </c>
    </row>
    <row r="2134" spans="1:7" hidden="1" x14ac:dyDescent="0.15">
      <c r="A2134" s="2200" t="s">
        <v>4280</v>
      </c>
      <c r="B2134" s="2200" t="s">
        <v>8545</v>
      </c>
      <c r="C2134" s="2200" t="s">
        <v>8546</v>
      </c>
      <c r="D2134" s="2200" t="str">
        <f t="shared" si="99"/>
        <v>OH</v>
      </c>
      <c r="E2134" s="2200" t="str">
        <f t="shared" si="100"/>
        <v>39</v>
      </c>
      <c r="F2134" s="2200" t="str">
        <f t="shared" si="101"/>
        <v>175</v>
      </c>
      <c r="G2134" s="2200">
        <f>--SUBTOTAL(3,C$2:C2134)</f>
        <v>67</v>
      </c>
    </row>
    <row r="2135" spans="1:7" hidden="1" x14ac:dyDescent="0.15">
      <c r="A2135" s="2200" t="s">
        <v>4280</v>
      </c>
      <c r="B2135" s="2200" t="s">
        <v>8547</v>
      </c>
      <c r="C2135" s="2200" t="s">
        <v>8548</v>
      </c>
      <c r="D2135" s="2200" t="str">
        <f t="shared" si="99"/>
        <v>OK</v>
      </c>
      <c r="E2135" s="2200" t="str">
        <f t="shared" si="100"/>
        <v>40</v>
      </c>
      <c r="F2135" s="2200" t="str">
        <f t="shared" si="101"/>
        <v>001</v>
      </c>
      <c r="G2135" s="2200">
        <f>--SUBTOTAL(3,C$2:C2135)</f>
        <v>67</v>
      </c>
    </row>
    <row r="2136" spans="1:7" hidden="1" x14ac:dyDescent="0.15">
      <c r="A2136" s="2200" t="s">
        <v>4280</v>
      </c>
      <c r="B2136" s="2200" t="s">
        <v>8549</v>
      </c>
      <c r="C2136" s="2200" t="s">
        <v>8550</v>
      </c>
      <c r="D2136" s="2200" t="str">
        <f t="shared" si="99"/>
        <v>OK</v>
      </c>
      <c r="E2136" s="2200" t="str">
        <f t="shared" si="100"/>
        <v>40</v>
      </c>
      <c r="F2136" s="2200" t="str">
        <f t="shared" si="101"/>
        <v>003</v>
      </c>
      <c r="G2136" s="2200">
        <f>--SUBTOTAL(3,C$2:C2136)</f>
        <v>67</v>
      </c>
    </row>
    <row r="2137" spans="1:7" hidden="1" x14ac:dyDescent="0.15">
      <c r="A2137" s="2200" t="s">
        <v>4280</v>
      </c>
      <c r="B2137" s="2200" t="s">
        <v>8551</v>
      </c>
      <c r="C2137" s="2200" t="s">
        <v>8552</v>
      </c>
      <c r="D2137" s="2200" t="str">
        <f t="shared" si="99"/>
        <v>OK</v>
      </c>
      <c r="E2137" s="2200" t="str">
        <f t="shared" si="100"/>
        <v>40</v>
      </c>
      <c r="F2137" s="2200" t="str">
        <f t="shared" si="101"/>
        <v>005</v>
      </c>
      <c r="G2137" s="2200">
        <f>--SUBTOTAL(3,C$2:C2137)</f>
        <v>67</v>
      </c>
    </row>
    <row r="2138" spans="1:7" hidden="1" x14ac:dyDescent="0.15">
      <c r="A2138" s="2200" t="s">
        <v>4280</v>
      </c>
      <c r="B2138" s="2200" t="s">
        <v>8553</v>
      </c>
      <c r="C2138" s="2200" t="s">
        <v>8554</v>
      </c>
      <c r="D2138" s="2200" t="str">
        <f t="shared" si="99"/>
        <v>OK</v>
      </c>
      <c r="E2138" s="2200" t="str">
        <f t="shared" si="100"/>
        <v>40</v>
      </c>
      <c r="F2138" s="2200" t="str">
        <f t="shared" si="101"/>
        <v>007</v>
      </c>
      <c r="G2138" s="2200">
        <f>--SUBTOTAL(3,C$2:C2138)</f>
        <v>67</v>
      </c>
    </row>
    <row r="2139" spans="1:7" hidden="1" x14ac:dyDescent="0.15">
      <c r="A2139" s="2200" t="s">
        <v>4280</v>
      </c>
      <c r="B2139" s="2200" t="s">
        <v>8555</v>
      </c>
      <c r="C2139" s="2200" t="s">
        <v>8556</v>
      </c>
      <c r="D2139" s="2200" t="str">
        <f t="shared" si="99"/>
        <v>OK</v>
      </c>
      <c r="E2139" s="2200" t="str">
        <f t="shared" si="100"/>
        <v>40</v>
      </c>
      <c r="F2139" s="2200" t="str">
        <f t="shared" si="101"/>
        <v>009</v>
      </c>
      <c r="G2139" s="2200">
        <f>--SUBTOTAL(3,C$2:C2139)</f>
        <v>67</v>
      </c>
    </row>
    <row r="2140" spans="1:7" hidden="1" x14ac:dyDescent="0.15">
      <c r="A2140" s="2200" t="s">
        <v>4280</v>
      </c>
      <c r="B2140" s="2200" t="s">
        <v>8557</v>
      </c>
      <c r="C2140" s="2200" t="s">
        <v>8558</v>
      </c>
      <c r="D2140" s="2200" t="str">
        <f t="shared" si="99"/>
        <v>OK</v>
      </c>
      <c r="E2140" s="2200" t="str">
        <f t="shared" si="100"/>
        <v>40</v>
      </c>
      <c r="F2140" s="2200" t="str">
        <f t="shared" si="101"/>
        <v>011</v>
      </c>
      <c r="G2140" s="2200">
        <f>--SUBTOTAL(3,C$2:C2140)</f>
        <v>67</v>
      </c>
    </row>
    <row r="2141" spans="1:7" hidden="1" x14ac:dyDescent="0.15">
      <c r="A2141" s="2200" t="s">
        <v>4280</v>
      </c>
      <c r="B2141" s="2200" t="s">
        <v>8559</v>
      </c>
      <c r="C2141" s="2200" t="s">
        <v>8560</v>
      </c>
      <c r="D2141" s="2200" t="str">
        <f t="shared" si="99"/>
        <v>OK</v>
      </c>
      <c r="E2141" s="2200" t="str">
        <f t="shared" si="100"/>
        <v>40</v>
      </c>
      <c r="F2141" s="2200" t="str">
        <f t="shared" si="101"/>
        <v>013</v>
      </c>
      <c r="G2141" s="2200">
        <f>--SUBTOTAL(3,C$2:C2141)</f>
        <v>67</v>
      </c>
    </row>
    <row r="2142" spans="1:7" hidden="1" x14ac:dyDescent="0.15">
      <c r="A2142" s="2200" t="s">
        <v>4280</v>
      </c>
      <c r="B2142" s="2200" t="s">
        <v>8561</v>
      </c>
      <c r="C2142" s="2200" t="s">
        <v>8562</v>
      </c>
      <c r="D2142" s="2200" t="str">
        <f t="shared" si="99"/>
        <v>OK</v>
      </c>
      <c r="E2142" s="2200" t="str">
        <f t="shared" si="100"/>
        <v>40</v>
      </c>
      <c r="F2142" s="2200" t="str">
        <f t="shared" si="101"/>
        <v>015</v>
      </c>
      <c r="G2142" s="2200">
        <f>--SUBTOTAL(3,C$2:C2142)</f>
        <v>67</v>
      </c>
    </row>
    <row r="2143" spans="1:7" hidden="1" x14ac:dyDescent="0.15">
      <c r="A2143" s="2200" t="s">
        <v>4280</v>
      </c>
      <c r="B2143" s="2200" t="s">
        <v>8563</v>
      </c>
      <c r="C2143" s="2200" t="s">
        <v>8564</v>
      </c>
      <c r="D2143" s="2200" t="str">
        <f t="shared" si="99"/>
        <v>OK</v>
      </c>
      <c r="E2143" s="2200" t="str">
        <f t="shared" si="100"/>
        <v>40</v>
      </c>
      <c r="F2143" s="2200" t="str">
        <f t="shared" si="101"/>
        <v>017</v>
      </c>
      <c r="G2143" s="2200">
        <f>--SUBTOTAL(3,C$2:C2143)</f>
        <v>67</v>
      </c>
    </row>
    <row r="2144" spans="1:7" hidden="1" x14ac:dyDescent="0.15">
      <c r="A2144" s="2200" t="s">
        <v>4280</v>
      </c>
      <c r="B2144" s="2200" t="s">
        <v>8565</v>
      </c>
      <c r="C2144" s="2200" t="s">
        <v>8566</v>
      </c>
      <c r="D2144" s="2200" t="str">
        <f t="shared" si="99"/>
        <v>OK</v>
      </c>
      <c r="E2144" s="2200" t="str">
        <f t="shared" si="100"/>
        <v>40</v>
      </c>
      <c r="F2144" s="2200" t="str">
        <f t="shared" si="101"/>
        <v>019</v>
      </c>
      <c r="G2144" s="2200">
        <f>--SUBTOTAL(3,C$2:C2144)</f>
        <v>67</v>
      </c>
    </row>
    <row r="2145" spans="1:7" hidden="1" x14ac:dyDescent="0.15">
      <c r="A2145" s="2200" t="s">
        <v>4280</v>
      </c>
      <c r="B2145" s="2200" t="s">
        <v>8567</v>
      </c>
      <c r="C2145" s="2200" t="s">
        <v>8568</v>
      </c>
      <c r="D2145" s="2200" t="str">
        <f t="shared" si="99"/>
        <v>OK</v>
      </c>
      <c r="E2145" s="2200" t="str">
        <f t="shared" si="100"/>
        <v>40</v>
      </c>
      <c r="F2145" s="2200" t="str">
        <f t="shared" si="101"/>
        <v>021</v>
      </c>
      <c r="G2145" s="2200">
        <f>--SUBTOTAL(3,C$2:C2145)</f>
        <v>67</v>
      </c>
    </row>
    <row r="2146" spans="1:7" hidden="1" x14ac:dyDescent="0.15">
      <c r="A2146" s="2200" t="s">
        <v>4280</v>
      </c>
      <c r="B2146" s="2200" t="s">
        <v>8569</v>
      </c>
      <c r="C2146" s="2200" t="s">
        <v>8570</v>
      </c>
      <c r="D2146" s="2200" t="str">
        <f t="shared" si="99"/>
        <v>OK</v>
      </c>
      <c r="E2146" s="2200" t="str">
        <f t="shared" si="100"/>
        <v>40</v>
      </c>
      <c r="F2146" s="2200" t="str">
        <f t="shared" si="101"/>
        <v>023</v>
      </c>
      <c r="G2146" s="2200">
        <f>--SUBTOTAL(3,C$2:C2146)</f>
        <v>67</v>
      </c>
    </row>
    <row r="2147" spans="1:7" hidden="1" x14ac:dyDescent="0.15">
      <c r="A2147" s="2200" t="s">
        <v>4280</v>
      </c>
      <c r="B2147" s="2200" t="s">
        <v>8571</v>
      </c>
      <c r="C2147" s="2200" t="s">
        <v>8572</v>
      </c>
      <c r="D2147" s="2200" t="str">
        <f t="shared" si="99"/>
        <v>OK</v>
      </c>
      <c r="E2147" s="2200" t="str">
        <f t="shared" si="100"/>
        <v>40</v>
      </c>
      <c r="F2147" s="2200" t="str">
        <f t="shared" si="101"/>
        <v>025</v>
      </c>
      <c r="G2147" s="2200">
        <f>--SUBTOTAL(3,C$2:C2147)</f>
        <v>67</v>
      </c>
    </row>
    <row r="2148" spans="1:7" hidden="1" x14ac:dyDescent="0.15">
      <c r="A2148" s="2200" t="s">
        <v>4280</v>
      </c>
      <c r="B2148" s="2200" t="s">
        <v>8573</v>
      </c>
      <c r="C2148" s="2200" t="s">
        <v>8574</v>
      </c>
      <c r="D2148" s="2200" t="str">
        <f t="shared" si="99"/>
        <v>OK</v>
      </c>
      <c r="E2148" s="2200" t="str">
        <f t="shared" si="100"/>
        <v>40</v>
      </c>
      <c r="F2148" s="2200" t="str">
        <f t="shared" si="101"/>
        <v>027</v>
      </c>
      <c r="G2148" s="2200">
        <f>--SUBTOTAL(3,C$2:C2148)</f>
        <v>67</v>
      </c>
    </row>
    <row r="2149" spans="1:7" hidden="1" x14ac:dyDescent="0.15">
      <c r="A2149" s="2200" t="s">
        <v>4280</v>
      </c>
      <c r="B2149" s="2200" t="s">
        <v>8575</v>
      </c>
      <c r="C2149" s="2200" t="s">
        <v>8576</v>
      </c>
      <c r="D2149" s="2200" t="str">
        <f t="shared" si="99"/>
        <v>OK</v>
      </c>
      <c r="E2149" s="2200" t="str">
        <f t="shared" si="100"/>
        <v>40</v>
      </c>
      <c r="F2149" s="2200" t="str">
        <f t="shared" si="101"/>
        <v>029</v>
      </c>
      <c r="G2149" s="2200">
        <f>--SUBTOTAL(3,C$2:C2149)</f>
        <v>67</v>
      </c>
    </row>
    <row r="2150" spans="1:7" hidden="1" x14ac:dyDescent="0.15">
      <c r="A2150" s="2200" t="s">
        <v>4280</v>
      </c>
      <c r="B2150" s="2200" t="s">
        <v>8577</v>
      </c>
      <c r="C2150" s="2200" t="s">
        <v>8578</v>
      </c>
      <c r="D2150" s="2200" t="str">
        <f t="shared" si="99"/>
        <v>OK</v>
      </c>
      <c r="E2150" s="2200" t="str">
        <f t="shared" si="100"/>
        <v>40</v>
      </c>
      <c r="F2150" s="2200" t="str">
        <f t="shared" si="101"/>
        <v>031</v>
      </c>
      <c r="G2150" s="2200">
        <f>--SUBTOTAL(3,C$2:C2150)</f>
        <v>67</v>
      </c>
    </row>
    <row r="2151" spans="1:7" hidden="1" x14ac:dyDescent="0.15">
      <c r="A2151" s="2200" t="s">
        <v>4280</v>
      </c>
      <c r="B2151" s="2200" t="s">
        <v>8579</v>
      </c>
      <c r="C2151" s="2200" t="s">
        <v>8580</v>
      </c>
      <c r="D2151" s="2200" t="str">
        <f t="shared" si="99"/>
        <v>OK</v>
      </c>
      <c r="E2151" s="2200" t="str">
        <f t="shared" si="100"/>
        <v>40</v>
      </c>
      <c r="F2151" s="2200" t="str">
        <f t="shared" si="101"/>
        <v>033</v>
      </c>
      <c r="G2151" s="2200">
        <f>--SUBTOTAL(3,C$2:C2151)</f>
        <v>67</v>
      </c>
    </row>
    <row r="2152" spans="1:7" hidden="1" x14ac:dyDescent="0.15">
      <c r="A2152" s="2200" t="s">
        <v>4280</v>
      </c>
      <c r="B2152" s="2200" t="s">
        <v>8581</v>
      </c>
      <c r="C2152" s="2200" t="s">
        <v>8582</v>
      </c>
      <c r="D2152" s="2200" t="str">
        <f t="shared" si="99"/>
        <v>OK</v>
      </c>
      <c r="E2152" s="2200" t="str">
        <f t="shared" si="100"/>
        <v>40</v>
      </c>
      <c r="F2152" s="2200" t="str">
        <f t="shared" si="101"/>
        <v>035</v>
      </c>
      <c r="G2152" s="2200">
        <f>--SUBTOTAL(3,C$2:C2152)</f>
        <v>67</v>
      </c>
    </row>
    <row r="2153" spans="1:7" hidden="1" x14ac:dyDescent="0.15">
      <c r="A2153" s="2200" t="s">
        <v>4280</v>
      </c>
      <c r="B2153" s="2200" t="s">
        <v>8583</v>
      </c>
      <c r="C2153" s="2200" t="s">
        <v>8584</v>
      </c>
      <c r="D2153" s="2200" t="str">
        <f t="shared" si="99"/>
        <v>OK</v>
      </c>
      <c r="E2153" s="2200" t="str">
        <f t="shared" si="100"/>
        <v>40</v>
      </c>
      <c r="F2153" s="2200" t="str">
        <f t="shared" si="101"/>
        <v>037</v>
      </c>
      <c r="G2153" s="2200">
        <f>--SUBTOTAL(3,C$2:C2153)</f>
        <v>67</v>
      </c>
    </row>
    <row r="2154" spans="1:7" hidden="1" x14ac:dyDescent="0.15">
      <c r="A2154" s="2200" t="s">
        <v>4280</v>
      </c>
      <c r="B2154" s="2200" t="s">
        <v>8585</v>
      </c>
      <c r="C2154" s="2200" t="s">
        <v>8586</v>
      </c>
      <c r="D2154" s="2200" t="str">
        <f t="shared" si="99"/>
        <v>OK</v>
      </c>
      <c r="E2154" s="2200" t="str">
        <f t="shared" si="100"/>
        <v>40</v>
      </c>
      <c r="F2154" s="2200" t="str">
        <f t="shared" si="101"/>
        <v>039</v>
      </c>
      <c r="G2154" s="2200">
        <f>--SUBTOTAL(3,C$2:C2154)</f>
        <v>67</v>
      </c>
    </row>
    <row r="2155" spans="1:7" hidden="1" x14ac:dyDescent="0.15">
      <c r="A2155" s="2200" t="s">
        <v>4280</v>
      </c>
      <c r="B2155" s="2200" t="s">
        <v>8587</v>
      </c>
      <c r="C2155" s="2200" t="s">
        <v>8588</v>
      </c>
      <c r="D2155" s="2200" t="str">
        <f t="shared" si="99"/>
        <v>OK</v>
      </c>
      <c r="E2155" s="2200" t="str">
        <f t="shared" si="100"/>
        <v>40</v>
      </c>
      <c r="F2155" s="2200" t="str">
        <f t="shared" si="101"/>
        <v>041</v>
      </c>
      <c r="G2155" s="2200">
        <f>--SUBTOTAL(3,C$2:C2155)</f>
        <v>67</v>
      </c>
    </row>
    <row r="2156" spans="1:7" hidden="1" x14ac:dyDescent="0.15">
      <c r="A2156" s="2200" t="s">
        <v>4280</v>
      </c>
      <c r="B2156" s="2200" t="s">
        <v>8589</v>
      </c>
      <c r="C2156" s="2200" t="s">
        <v>8590</v>
      </c>
      <c r="D2156" s="2200" t="str">
        <f t="shared" si="99"/>
        <v>OK</v>
      </c>
      <c r="E2156" s="2200" t="str">
        <f t="shared" si="100"/>
        <v>40</v>
      </c>
      <c r="F2156" s="2200" t="str">
        <f t="shared" si="101"/>
        <v>043</v>
      </c>
      <c r="G2156" s="2200">
        <f>--SUBTOTAL(3,C$2:C2156)</f>
        <v>67</v>
      </c>
    </row>
    <row r="2157" spans="1:7" hidden="1" x14ac:dyDescent="0.15">
      <c r="A2157" s="2200" t="s">
        <v>4280</v>
      </c>
      <c r="B2157" s="2200" t="s">
        <v>8591</v>
      </c>
      <c r="C2157" s="2200" t="s">
        <v>8592</v>
      </c>
      <c r="D2157" s="2200" t="str">
        <f t="shared" si="99"/>
        <v>OK</v>
      </c>
      <c r="E2157" s="2200" t="str">
        <f t="shared" si="100"/>
        <v>40</v>
      </c>
      <c r="F2157" s="2200" t="str">
        <f t="shared" si="101"/>
        <v>045</v>
      </c>
      <c r="G2157" s="2200">
        <f>--SUBTOTAL(3,C$2:C2157)</f>
        <v>67</v>
      </c>
    </row>
    <row r="2158" spans="1:7" hidden="1" x14ac:dyDescent="0.15">
      <c r="A2158" s="2200" t="s">
        <v>4280</v>
      </c>
      <c r="B2158" s="2200" t="s">
        <v>8593</v>
      </c>
      <c r="C2158" s="2200" t="s">
        <v>8594</v>
      </c>
      <c r="D2158" s="2200" t="str">
        <f t="shared" si="99"/>
        <v>OK</v>
      </c>
      <c r="E2158" s="2200" t="str">
        <f t="shared" si="100"/>
        <v>40</v>
      </c>
      <c r="F2158" s="2200" t="str">
        <f t="shared" si="101"/>
        <v>047</v>
      </c>
      <c r="G2158" s="2200">
        <f>--SUBTOTAL(3,C$2:C2158)</f>
        <v>67</v>
      </c>
    </row>
    <row r="2159" spans="1:7" hidden="1" x14ac:dyDescent="0.15">
      <c r="A2159" s="2200" t="s">
        <v>4280</v>
      </c>
      <c r="B2159" s="2200" t="s">
        <v>8595</v>
      </c>
      <c r="C2159" s="2200" t="s">
        <v>8596</v>
      </c>
      <c r="D2159" s="2200" t="str">
        <f t="shared" si="99"/>
        <v>OK</v>
      </c>
      <c r="E2159" s="2200" t="str">
        <f t="shared" si="100"/>
        <v>40</v>
      </c>
      <c r="F2159" s="2200" t="str">
        <f t="shared" si="101"/>
        <v>049</v>
      </c>
      <c r="G2159" s="2200">
        <f>--SUBTOTAL(3,C$2:C2159)</f>
        <v>67</v>
      </c>
    </row>
    <row r="2160" spans="1:7" hidden="1" x14ac:dyDescent="0.15">
      <c r="A2160" s="2200" t="s">
        <v>4280</v>
      </c>
      <c r="B2160" s="2200" t="s">
        <v>8597</v>
      </c>
      <c r="C2160" s="2200" t="s">
        <v>8598</v>
      </c>
      <c r="D2160" s="2200" t="str">
        <f t="shared" si="99"/>
        <v>OK</v>
      </c>
      <c r="E2160" s="2200" t="str">
        <f t="shared" si="100"/>
        <v>40</v>
      </c>
      <c r="F2160" s="2200" t="str">
        <f t="shared" si="101"/>
        <v>051</v>
      </c>
      <c r="G2160" s="2200">
        <f>--SUBTOTAL(3,C$2:C2160)</f>
        <v>67</v>
      </c>
    </row>
    <row r="2161" spans="1:7" hidden="1" x14ac:dyDescent="0.15">
      <c r="A2161" s="2200" t="s">
        <v>4280</v>
      </c>
      <c r="B2161" s="2200" t="s">
        <v>8599</v>
      </c>
      <c r="C2161" s="2200" t="s">
        <v>8600</v>
      </c>
      <c r="D2161" s="2200" t="str">
        <f t="shared" si="99"/>
        <v>OK</v>
      </c>
      <c r="E2161" s="2200" t="str">
        <f t="shared" si="100"/>
        <v>40</v>
      </c>
      <c r="F2161" s="2200" t="str">
        <f t="shared" si="101"/>
        <v>053</v>
      </c>
      <c r="G2161" s="2200">
        <f>--SUBTOTAL(3,C$2:C2161)</f>
        <v>67</v>
      </c>
    </row>
    <row r="2162" spans="1:7" hidden="1" x14ac:dyDescent="0.15">
      <c r="A2162" s="2200" t="s">
        <v>4280</v>
      </c>
      <c r="B2162" s="2200" t="s">
        <v>8601</v>
      </c>
      <c r="C2162" s="2200" t="s">
        <v>8602</v>
      </c>
      <c r="D2162" s="2200" t="str">
        <f t="shared" si="99"/>
        <v>OK</v>
      </c>
      <c r="E2162" s="2200" t="str">
        <f t="shared" si="100"/>
        <v>40</v>
      </c>
      <c r="F2162" s="2200" t="str">
        <f t="shared" si="101"/>
        <v>055</v>
      </c>
      <c r="G2162" s="2200">
        <f>--SUBTOTAL(3,C$2:C2162)</f>
        <v>67</v>
      </c>
    </row>
    <row r="2163" spans="1:7" hidden="1" x14ac:dyDescent="0.15">
      <c r="A2163" s="2200" t="s">
        <v>4280</v>
      </c>
      <c r="B2163" s="2200" t="s">
        <v>8603</v>
      </c>
      <c r="C2163" s="2200" t="s">
        <v>8604</v>
      </c>
      <c r="D2163" s="2200" t="str">
        <f t="shared" si="99"/>
        <v>OK</v>
      </c>
      <c r="E2163" s="2200" t="str">
        <f t="shared" si="100"/>
        <v>40</v>
      </c>
      <c r="F2163" s="2200" t="str">
        <f t="shared" si="101"/>
        <v>057</v>
      </c>
      <c r="G2163" s="2200">
        <f>--SUBTOTAL(3,C$2:C2163)</f>
        <v>67</v>
      </c>
    </row>
    <row r="2164" spans="1:7" hidden="1" x14ac:dyDescent="0.15">
      <c r="A2164" s="2200" t="s">
        <v>4280</v>
      </c>
      <c r="B2164" s="2200" t="s">
        <v>8605</v>
      </c>
      <c r="C2164" s="2200" t="s">
        <v>8606</v>
      </c>
      <c r="D2164" s="2200" t="str">
        <f t="shared" si="99"/>
        <v>OK</v>
      </c>
      <c r="E2164" s="2200" t="str">
        <f t="shared" si="100"/>
        <v>40</v>
      </c>
      <c r="F2164" s="2200" t="str">
        <f t="shared" si="101"/>
        <v>059</v>
      </c>
      <c r="G2164" s="2200">
        <f>--SUBTOTAL(3,C$2:C2164)</f>
        <v>67</v>
      </c>
    </row>
    <row r="2165" spans="1:7" hidden="1" x14ac:dyDescent="0.15">
      <c r="A2165" s="2200" t="s">
        <v>4280</v>
      </c>
      <c r="B2165" s="2200" t="s">
        <v>8607</v>
      </c>
      <c r="C2165" s="2200" t="s">
        <v>8608</v>
      </c>
      <c r="D2165" s="2200" t="str">
        <f t="shared" si="99"/>
        <v>OK</v>
      </c>
      <c r="E2165" s="2200" t="str">
        <f t="shared" si="100"/>
        <v>40</v>
      </c>
      <c r="F2165" s="2200" t="str">
        <f t="shared" si="101"/>
        <v>061</v>
      </c>
      <c r="G2165" s="2200">
        <f>--SUBTOTAL(3,C$2:C2165)</f>
        <v>67</v>
      </c>
    </row>
    <row r="2166" spans="1:7" hidden="1" x14ac:dyDescent="0.15">
      <c r="A2166" s="2200" t="s">
        <v>4280</v>
      </c>
      <c r="B2166" s="2200" t="s">
        <v>8609</v>
      </c>
      <c r="C2166" s="2200" t="s">
        <v>8610</v>
      </c>
      <c r="D2166" s="2200" t="str">
        <f t="shared" si="99"/>
        <v>OK</v>
      </c>
      <c r="E2166" s="2200" t="str">
        <f t="shared" si="100"/>
        <v>40</v>
      </c>
      <c r="F2166" s="2200" t="str">
        <f t="shared" si="101"/>
        <v>063</v>
      </c>
      <c r="G2166" s="2200">
        <f>--SUBTOTAL(3,C$2:C2166)</f>
        <v>67</v>
      </c>
    </row>
    <row r="2167" spans="1:7" hidden="1" x14ac:dyDescent="0.15">
      <c r="A2167" s="2200" t="s">
        <v>4280</v>
      </c>
      <c r="B2167" s="2200" t="s">
        <v>8611</v>
      </c>
      <c r="C2167" s="2200" t="s">
        <v>8612</v>
      </c>
      <c r="D2167" s="2200" t="str">
        <f t="shared" si="99"/>
        <v>OK</v>
      </c>
      <c r="E2167" s="2200" t="str">
        <f t="shared" si="100"/>
        <v>40</v>
      </c>
      <c r="F2167" s="2200" t="str">
        <f t="shared" si="101"/>
        <v>065</v>
      </c>
      <c r="G2167" s="2200">
        <f>--SUBTOTAL(3,C$2:C2167)</f>
        <v>67</v>
      </c>
    </row>
    <row r="2168" spans="1:7" hidden="1" x14ac:dyDescent="0.15">
      <c r="A2168" s="2200" t="s">
        <v>4280</v>
      </c>
      <c r="B2168" s="2200" t="s">
        <v>8613</v>
      </c>
      <c r="C2168" s="2200" t="s">
        <v>8614</v>
      </c>
      <c r="D2168" s="2200" t="str">
        <f t="shared" si="99"/>
        <v>OK</v>
      </c>
      <c r="E2168" s="2200" t="str">
        <f t="shared" si="100"/>
        <v>40</v>
      </c>
      <c r="F2168" s="2200" t="str">
        <f t="shared" si="101"/>
        <v>067</v>
      </c>
      <c r="G2168" s="2200">
        <f>--SUBTOTAL(3,C$2:C2168)</f>
        <v>67</v>
      </c>
    </row>
    <row r="2169" spans="1:7" hidden="1" x14ac:dyDescent="0.15">
      <c r="A2169" s="2200" t="s">
        <v>4280</v>
      </c>
      <c r="B2169" s="2200" t="s">
        <v>8615</v>
      </c>
      <c r="C2169" s="2200" t="s">
        <v>8616</v>
      </c>
      <c r="D2169" s="2200" t="str">
        <f t="shared" si="99"/>
        <v>OK</v>
      </c>
      <c r="E2169" s="2200" t="str">
        <f t="shared" si="100"/>
        <v>40</v>
      </c>
      <c r="F2169" s="2200" t="str">
        <f t="shared" si="101"/>
        <v>069</v>
      </c>
      <c r="G2169" s="2200">
        <f>--SUBTOTAL(3,C$2:C2169)</f>
        <v>67</v>
      </c>
    </row>
    <row r="2170" spans="1:7" hidden="1" x14ac:dyDescent="0.15">
      <c r="A2170" s="2200" t="s">
        <v>4280</v>
      </c>
      <c r="B2170" s="2200" t="s">
        <v>8617</v>
      </c>
      <c r="C2170" s="2200" t="s">
        <v>8618</v>
      </c>
      <c r="D2170" s="2200" t="str">
        <f t="shared" si="99"/>
        <v>OK</v>
      </c>
      <c r="E2170" s="2200" t="str">
        <f t="shared" si="100"/>
        <v>40</v>
      </c>
      <c r="F2170" s="2200" t="str">
        <f t="shared" si="101"/>
        <v>071</v>
      </c>
      <c r="G2170" s="2200">
        <f>--SUBTOTAL(3,C$2:C2170)</f>
        <v>67</v>
      </c>
    </row>
    <row r="2171" spans="1:7" hidden="1" x14ac:dyDescent="0.15">
      <c r="A2171" s="2200" t="s">
        <v>4280</v>
      </c>
      <c r="B2171" s="2200" t="s">
        <v>8619</v>
      </c>
      <c r="C2171" s="2200" t="s">
        <v>8620</v>
      </c>
      <c r="D2171" s="2200" t="str">
        <f t="shared" si="99"/>
        <v>OK</v>
      </c>
      <c r="E2171" s="2200" t="str">
        <f t="shared" si="100"/>
        <v>40</v>
      </c>
      <c r="F2171" s="2200" t="str">
        <f t="shared" si="101"/>
        <v>073</v>
      </c>
      <c r="G2171" s="2200">
        <f>--SUBTOTAL(3,C$2:C2171)</f>
        <v>67</v>
      </c>
    </row>
    <row r="2172" spans="1:7" hidden="1" x14ac:dyDescent="0.15">
      <c r="A2172" s="2200" t="s">
        <v>4280</v>
      </c>
      <c r="B2172" s="2200" t="s">
        <v>8621</v>
      </c>
      <c r="C2172" s="2200" t="s">
        <v>8622</v>
      </c>
      <c r="D2172" s="2200" t="str">
        <f t="shared" si="99"/>
        <v>OK</v>
      </c>
      <c r="E2172" s="2200" t="str">
        <f t="shared" si="100"/>
        <v>40</v>
      </c>
      <c r="F2172" s="2200" t="str">
        <f t="shared" si="101"/>
        <v>075</v>
      </c>
      <c r="G2172" s="2200">
        <f>--SUBTOTAL(3,C$2:C2172)</f>
        <v>67</v>
      </c>
    </row>
    <row r="2173" spans="1:7" hidden="1" x14ac:dyDescent="0.15">
      <c r="A2173" s="2200" t="s">
        <v>4280</v>
      </c>
      <c r="B2173" s="2200" t="s">
        <v>8623</v>
      </c>
      <c r="C2173" s="2200" t="s">
        <v>8624</v>
      </c>
      <c r="D2173" s="2200" t="str">
        <f t="shared" si="99"/>
        <v>OK</v>
      </c>
      <c r="E2173" s="2200" t="str">
        <f t="shared" si="100"/>
        <v>40</v>
      </c>
      <c r="F2173" s="2200" t="str">
        <f t="shared" si="101"/>
        <v>077</v>
      </c>
      <c r="G2173" s="2200">
        <f>--SUBTOTAL(3,C$2:C2173)</f>
        <v>67</v>
      </c>
    </row>
    <row r="2174" spans="1:7" hidden="1" x14ac:dyDescent="0.15">
      <c r="A2174" s="2200" t="s">
        <v>4280</v>
      </c>
      <c r="B2174" s="2200" t="s">
        <v>8625</v>
      </c>
      <c r="C2174" s="2200" t="s">
        <v>8626</v>
      </c>
      <c r="D2174" s="2200" t="str">
        <f t="shared" si="99"/>
        <v>OK</v>
      </c>
      <c r="E2174" s="2200" t="str">
        <f t="shared" si="100"/>
        <v>40</v>
      </c>
      <c r="F2174" s="2200" t="str">
        <f t="shared" si="101"/>
        <v>079</v>
      </c>
      <c r="G2174" s="2200">
        <f>--SUBTOTAL(3,C$2:C2174)</f>
        <v>67</v>
      </c>
    </row>
    <row r="2175" spans="1:7" hidden="1" x14ac:dyDescent="0.15">
      <c r="A2175" s="2200" t="s">
        <v>4280</v>
      </c>
      <c r="B2175" s="2200" t="s">
        <v>8627</v>
      </c>
      <c r="C2175" s="2200" t="s">
        <v>8628</v>
      </c>
      <c r="D2175" s="2200" t="str">
        <f t="shared" si="99"/>
        <v>OK</v>
      </c>
      <c r="E2175" s="2200" t="str">
        <f t="shared" si="100"/>
        <v>40</v>
      </c>
      <c r="F2175" s="2200" t="str">
        <f t="shared" si="101"/>
        <v>081</v>
      </c>
      <c r="G2175" s="2200">
        <f>--SUBTOTAL(3,C$2:C2175)</f>
        <v>67</v>
      </c>
    </row>
    <row r="2176" spans="1:7" hidden="1" x14ac:dyDescent="0.15">
      <c r="A2176" s="2200" t="s">
        <v>4280</v>
      </c>
      <c r="B2176" s="2200" t="s">
        <v>8629</v>
      </c>
      <c r="C2176" s="2200" t="s">
        <v>8630</v>
      </c>
      <c r="D2176" s="2200" t="str">
        <f t="shared" si="99"/>
        <v>OK</v>
      </c>
      <c r="E2176" s="2200" t="str">
        <f t="shared" si="100"/>
        <v>40</v>
      </c>
      <c r="F2176" s="2200" t="str">
        <f t="shared" si="101"/>
        <v>083</v>
      </c>
      <c r="G2176" s="2200">
        <f>--SUBTOTAL(3,C$2:C2176)</f>
        <v>67</v>
      </c>
    </row>
    <row r="2177" spans="1:7" hidden="1" x14ac:dyDescent="0.15">
      <c r="A2177" s="2200" t="s">
        <v>4280</v>
      </c>
      <c r="B2177" s="2200" t="s">
        <v>8631</v>
      </c>
      <c r="C2177" s="2200" t="s">
        <v>8632</v>
      </c>
      <c r="D2177" s="2200" t="str">
        <f t="shared" si="99"/>
        <v>OK</v>
      </c>
      <c r="E2177" s="2200" t="str">
        <f t="shared" si="100"/>
        <v>40</v>
      </c>
      <c r="F2177" s="2200" t="str">
        <f t="shared" si="101"/>
        <v>085</v>
      </c>
      <c r="G2177" s="2200">
        <f>--SUBTOTAL(3,C$2:C2177)</f>
        <v>67</v>
      </c>
    </row>
    <row r="2178" spans="1:7" hidden="1" x14ac:dyDescent="0.15">
      <c r="A2178" s="2200" t="s">
        <v>4280</v>
      </c>
      <c r="B2178" s="2200" t="s">
        <v>8633</v>
      </c>
      <c r="C2178" s="2200" t="s">
        <v>8634</v>
      </c>
      <c r="D2178" s="2200" t="str">
        <f t="shared" si="99"/>
        <v>OK</v>
      </c>
      <c r="E2178" s="2200" t="str">
        <f t="shared" si="100"/>
        <v>40</v>
      </c>
      <c r="F2178" s="2200" t="str">
        <f t="shared" si="101"/>
        <v>087</v>
      </c>
      <c r="G2178" s="2200">
        <f>--SUBTOTAL(3,C$2:C2178)</f>
        <v>67</v>
      </c>
    </row>
    <row r="2179" spans="1:7" hidden="1" x14ac:dyDescent="0.15">
      <c r="A2179" s="2200" t="s">
        <v>4280</v>
      </c>
      <c r="B2179" s="2200" t="s">
        <v>8635</v>
      </c>
      <c r="C2179" s="2200" t="s">
        <v>8636</v>
      </c>
      <c r="D2179" s="2200" t="str">
        <f t="shared" ref="D2179:D2242" si="102">RIGHT(C2179,2)</f>
        <v>OK</v>
      </c>
      <c r="E2179" s="2200" t="str">
        <f t="shared" ref="E2179:E2242" si="103">MID(B2179,3,2)</f>
        <v>40</v>
      </c>
      <c r="F2179" s="2200" t="str">
        <f t="shared" ref="F2179:F2242" si="104">MID(B2179,5,3)</f>
        <v>089</v>
      </c>
      <c r="G2179" s="2200">
        <f>--SUBTOTAL(3,C$2:C2179)</f>
        <v>67</v>
      </c>
    </row>
    <row r="2180" spans="1:7" hidden="1" x14ac:dyDescent="0.15">
      <c r="A2180" s="2200" t="s">
        <v>4280</v>
      </c>
      <c r="B2180" s="2200" t="s">
        <v>8637</v>
      </c>
      <c r="C2180" s="2200" t="s">
        <v>8638</v>
      </c>
      <c r="D2180" s="2200" t="str">
        <f t="shared" si="102"/>
        <v>OK</v>
      </c>
      <c r="E2180" s="2200" t="str">
        <f t="shared" si="103"/>
        <v>40</v>
      </c>
      <c r="F2180" s="2200" t="str">
        <f t="shared" si="104"/>
        <v>091</v>
      </c>
      <c r="G2180" s="2200">
        <f>--SUBTOTAL(3,C$2:C2180)</f>
        <v>67</v>
      </c>
    </row>
    <row r="2181" spans="1:7" hidden="1" x14ac:dyDescent="0.15">
      <c r="A2181" s="2200" t="s">
        <v>4280</v>
      </c>
      <c r="B2181" s="2200" t="s">
        <v>8639</v>
      </c>
      <c r="C2181" s="2200" t="s">
        <v>8640</v>
      </c>
      <c r="D2181" s="2200" t="str">
        <f t="shared" si="102"/>
        <v>OK</v>
      </c>
      <c r="E2181" s="2200" t="str">
        <f t="shared" si="103"/>
        <v>40</v>
      </c>
      <c r="F2181" s="2200" t="str">
        <f t="shared" si="104"/>
        <v>093</v>
      </c>
      <c r="G2181" s="2200">
        <f>--SUBTOTAL(3,C$2:C2181)</f>
        <v>67</v>
      </c>
    </row>
    <row r="2182" spans="1:7" hidden="1" x14ac:dyDescent="0.15">
      <c r="A2182" s="2200" t="s">
        <v>4280</v>
      </c>
      <c r="B2182" s="2200" t="s">
        <v>8641</v>
      </c>
      <c r="C2182" s="2200" t="s">
        <v>8642</v>
      </c>
      <c r="D2182" s="2200" t="str">
        <f t="shared" si="102"/>
        <v>OK</v>
      </c>
      <c r="E2182" s="2200" t="str">
        <f t="shared" si="103"/>
        <v>40</v>
      </c>
      <c r="F2182" s="2200" t="str">
        <f t="shared" si="104"/>
        <v>095</v>
      </c>
      <c r="G2182" s="2200">
        <f>--SUBTOTAL(3,C$2:C2182)</f>
        <v>67</v>
      </c>
    </row>
    <row r="2183" spans="1:7" hidden="1" x14ac:dyDescent="0.15">
      <c r="A2183" s="2200" t="s">
        <v>4280</v>
      </c>
      <c r="B2183" s="2200" t="s">
        <v>8643</v>
      </c>
      <c r="C2183" s="2200" t="s">
        <v>8644</v>
      </c>
      <c r="D2183" s="2200" t="str">
        <f t="shared" si="102"/>
        <v>OK</v>
      </c>
      <c r="E2183" s="2200" t="str">
        <f t="shared" si="103"/>
        <v>40</v>
      </c>
      <c r="F2183" s="2200" t="str">
        <f t="shared" si="104"/>
        <v>097</v>
      </c>
      <c r="G2183" s="2200">
        <f>--SUBTOTAL(3,C$2:C2183)</f>
        <v>67</v>
      </c>
    </row>
    <row r="2184" spans="1:7" hidden="1" x14ac:dyDescent="0.15">
      <c r="A2184" s="2200" t="s">
        <v>4280</v>
      </c>
      <c r="B2184" s="2200" t="s">
        <v>8645</v>
      </c>
      <c r="C2184" s="2200" t="s">
        <v>8646</v>
      </c>
      <c r="D2184" s="2200" t="str">
        <f t="shared" si="102"/>
        <v>OK</v>
      </c>
      <c r="E2184" s="2200" t="str">
        <f t="shared" si="103"/>
        <v>40</v>
      </c>
      <c r="F2184" s="2200" t="str">
        <f t="shared" si="104"/>
        <v>099</v>
      </c>
      <c r="G2184" s="2200">
        <f>--SUBTOTAL(3,C$2:C2184)</f>
        <v>67</v>
      </c>
    </row>
    <row r="2185" spans="1:7" hidden="1" x14ac:dyDescent="0.15">
      <c r="A2185" s="2200" t="s">
        <v>4280</v>
      </c>
      <c r="B2185" s="2200" t="s">
        <v>8647</v>
      </c>
      <c r="C2185" s="2200" t="s">
        <v>8648</v>
      </c>
      <c r="D2185" s="2200" t="str">
        <f t="shared" si="102"/>
        <v>OK</v>
      </c>
      <c r="E2185" s="2200" t="str">
        <f t="shared" si="103"/>
        <v>40</v>
      </c>
      <c r="F2185" s="2200" t="str">
        <f t="shared" si="104"/>
        <v>101</v>
      </c>
      <c r="G2185" s="2200">
        <f>--SUBTOTAL(3,C$2:C2185)</f>
        <v>67</v>
      </c>
    </row>
    <row r="2186" spans="1:7" hidden="1" x14ac:dyDescent="0.15">
      <c r="A2186" s="2200" t="s">
        <v>4280</v>
      </c>
      <c r="B2186" s="2200" t="s">
        <v>8649</v>
      </c>
      <c r="C2186" s="2200" t="s">
        <v>8650</v>
      </c>
      <c r="D2186" s="2200" t="str">
        <f t="shared" si="102"/>
        <v>OK</v>
      </c>
      <c r="E2186" s="2200" t="str">
        <f t="shared" si="103"/>
        <v>40</v>
      </c>
      <c r="F2186" s="2200" t="str">
        <f t="shared" si="104"/>
        <v>103</v>
      </c>
      <c r="G2186" s="2200">
        <f>--SUBTOTAL(3,C$2:C2186)</f>
        <v>67</v>
      </c>
    </row>
    <row r="2187" spans="1:7" hidden="1" x14ac:dyDescent="0.15">
      <c r="A2187" s="2200" t="s">
        <v>4280</v>
      </c>
      <c r="B2187" s="2200" t="s">
        <v>8651</v>
      </c>
      <c r="C2187" s="2200" t="s">
        <v>8652</v>
      </c>
      <c r="D2187" s="2200" t="str">
        <f t="shared" si="102"/>
        <v>OK</v>
      </c>
      <c r="E2187" s="2200" t="str">
        <f t="shared" si="103"/>
        <v>40</v>
      </c>
      <c r="F2187" s="2200" t="str">
        <f t="shared" si="104"/>
        <v>105</v>
      </c>
      <c r="G2187" s="2200">
        <f>--SUBTOTAL(3,C$2:C2187)</f>
        <v>67</v>
      </c>
    </row>
    <row r="2188" spans="1:7" hidden="1" x14ac:dyDescent="0.15">
      <c r="A2188" s="2200" t="s">
        <v>4280</v>
      </c>
      <c r="B2188" s="2200" t="s">
        <v>8653</v>
      </c>
      <c r="C2188" s="2200" t="s">
        <v>8654</v>
      </c>
      <c r="D2188" s="2200" t="str">
        <f t="shared" si="102"/>
        <v>OK</v>
      </c>
      <c r="E2188" s="2200" t="str">
        <f t="shared" si="103"/>
        <v>40</v>
      </c>
      <c r="F2188" s="2200" t="str">
        <f t="shared" si="104"/>
        <v>107</v>
      </c>
      <c r="G2188" s="2200">
        <f>--SUBTOTAL(3,C$2:C2188)</f>
        <v>67</v>
      </c>
    </row>
    <row r="2189" spans="1:7" hidden="1" x14ac:dyDescent="0.15">
      <c r="A2189" s="2200" t="s">
        <v>4280</v>
      </c>
      <c r="B2189" s="2200" t="s">
        <v>8655</v>
      </c>
      <c r="C2189" s="2200" t="s">
        <v>8656</v>
      </c>
      <c r="D2189" s="2200" t="str">
        <f t="shared" si="102"/>
        <v>OK</v>
      </c>
      <c r="E2189" s="2200" t="str">
        <f t="shared" si="103"/>
        <v>40</v>
      </c>
      <c r="F2189" s="2200" t="str">
        <f t="shared" si="104"/>
        <v>109</v>
      </c>
      <c r="G2189" s="2200">
        <f>--SUBTOTAL(3,C$2:C2189)</f>
        <v>67</v>
      </c>
    </row>
    <row r="2190" spans="1:7" hidden="1" x14ac:dyDescent="0.15">
      <c r="A2190" s="2200" t="s">
        <v>4280</v>
      </c>
      <c r="B2190" s="2200" t="s">
        <v>8657</v>
      </c>
      <c r="C2190" s="2200" t="s">
        <v>8658</v>
      </c>
      <c r="D2190" s="2200" t="str">
        <f t="shared" si="102"/>
        <v>OK</v>
      </c>
      <c r="E2190" s="2200" t="str">
        <f t="shared" si="103"/>
        <v>40</v>
      </c>
      <c r="F2190" s="2200" t="str">
        <f t="shared" si="104"/>
        <v>111</v>
      </c>
      <c r="G2190" s="2200">
        <f>--SUBTOTAL(3,C$2:C2190)</f>
        <v>67</v>
      </c>
    </row>
    <row r="2191" spans="1:7" hidden="1" x14ac:dyDescent="0.15">
      <c r="A2191" s="2200" t="s">
        <v>4280</v>
      </c>
      <c r="B2191" s="2200" t="s">
        <v>8659</v>
      </c>
      <c r="C2191" s="2200" t="s">
        <v>8660</v>
      </c>
      <c r="D2191" s="2200" t="str">
        <f t="shared" si="102"/>
        <v>OK</v>
      </c>
      <c r="E2191" s="2200" t="str">
        <f t="shared" si="103"/>
        <v>40</v>
      </c>
      <c r="F2191" s="2200" t="str">
        <f t="shared" si="104"/>
        <v>113</v>
      </c>
      <c r="G2191" s="2200">
        <f>--SUBTOTAL(3,C$2:C2191)</f>
        <v>67</v>
      </c>
    </row>
    <row r="2192" spans="1:7" hidden="1" x14ac:dyDescent="0.15">
      <c r="A2192" s="2200" t="s">
        <v>4280</v>
      </c>
      <c r="B2192" s="2200" t="s">
        <v>8661</v>
      </c>
      <c r="C2192" s="2200" t="s">
        <v>8662</v>
      </c>
      <c r="D2192" s="2200" t="str">
        <f t="shared" si="102"/>
        <v>OK</v>
      </c>
      <c r="E2192" s="2200" t="str">
        <f t="shared" si="103"/>
        <v>40</v>
      </c>
      <c r="F2192" s="2200" t="str">
        <f t="shared" si="104"/>
        <v>115</v>
      </c>
      <c r="G2192" s="2200">
        <f>--SUBTOTAL(3,C$2:C2192)</f>
        <v>67</v>
      </c>
    </row>
    <row r="2193" spans="1:7" hidden="1" x14ac:dyDescent="0.15">
      <c r="A2193" s="2200" t="s">
        <v>4280</v>
      </c>
      <c r="B2193" s="2200" t="s">
        <v>8663</v>
      </c>
      <c r="C2193" s="2200" t="s">
        <v>8664</v>
      </c>
      <c r="D2193" s="2200" t="str">
        <f t="shared" si="102"/>
        <v>OK</v>
      </c>
      <c r="E2193" s="2200" t="str">
        <f t="shared" si="103"/>
        <v>40</v>
      </c>
      <c r="F2193" s="2200" t="str">
        <f t="shared" si="104"/>
        <v>117</v>
      </c>
      <c r="G2193" s="2200">
        <f>--SUBTOTAL(3,C$2:C2193)</f>
        <v>67</v>
      </c>
    </row>
    <row r="2194" spans="1:7" hidden="1" x14ac:dyDescent="0.15">
      <c r="A2194" s="2200" t="s">
        <v>4280</v>
      </c>
      <c r="B2194" s="2200" t="s">
        <v>8665</v>
      </c>
      <c r="C2194" s="2200" t="s">
        <v>8666</v>
      </c>
      <c r="D2194" s="2200" t="str">
        <f t="shared" si="102"/>
        <v>OK</v>
      </c>
      <c r="E2194" s="2200" t="str">
        <f t="shared" si="103"/>
        <v>40</v>
      </c>
      <c r="F2194" s="2200" t="str">
        <f t="shared" si="104"/>
        <v>119</v>
      </c>
      <c r="G2194" s="2200">
        <f>--SUBTOTAL(3,C$2:C2194)</f>
        <v>67</v>
      </c>
    </row>
    <row r="2195" spans="1:7" hidden="1" x14ac:dyDescent="0.15">
      <c r="A2195" s="2200" t="s">
        <v>4280</v>
      </c>
      <c r="B2195" s="2200" t="s">
        <v>8667</v>
      </c>
      <c r="C2195" s="2200" t="s">
        <v>8668</v>
      </c>
      <c r="D2195" s="2200" t="str">
        <f t="shared" si="102"/>
        <v>OK</v>
      </c>
      <c r="E2195" s="2200" t="str">
        <f t="shared" si="103"/>
        <v>40</v>
      </c>
      <c r="F2195" s="2200" t="str">
        <f t="shared" si="104"/>
        <v>121</v>
      </c>
      <c r="G2195" s="2200">
        <f>--SUBTOTAL(3,C$2:C2195)</f>
        <v>67</v>
      </c>
    </row>
    <row r="2196" spans="1:7" hidden="1" x14ac:dyDescent="0.15">
      <c r="A2196" s="2200" t="s">
        <v>4280</v>
      </c>
      <c r="B2196" s="2200" t="s">
        <v>8669</v>
      </c>
      <c r="C2196" s="2200" t="s">
        <v>8670</v>
      </c>
      <c r="D2196" s="2200" t="str">
        <f t="shared" si="102"/>
        <v>OK</v>
      </c>
      <c r="E2196" s="2200" t="str">
        <f t="shared" si="103"/>
        <v>40</v>
      </c>
      <c r="F2196" s="2200" t="str">
        <f t="shared" si="104"/>
        <v>123</v>
      </c>
      <c r="G2196" s="2200">
        <f>--SUBTOTAL(3,C$2:C2196)</f>
        <v>67</v>
      </c>
    </row>
    <row r="2197" spans="1:7" hidden="1" x14ac:dyDescent="0.15">
      <c r="A2197" s="2200" t="s">
        <v>4280</v>
      </c>
      <c r="B2197" s="2200" t="s">
        <v>8671</v>
      </c>
      <c r="C2197" s="2200" t="s">
        <v>8672</v>
      </c>
      <c r="D2197" s="2200" t="str">
        <f t="shared" si="102"/>
        <v>OK</v>
      </c>
      <c r="E2197" s="2200" t="str">
        <f t="shared" si="103"/>
        <v>40</v>
      </c>
      <c r="F2197" s="2200" t="str">
        <f t="shared" si="104"/>
        <v>125</v>
      </c>
      <c r="G2197" s="2200">
        <f>--SUBTOTAL(3,C$2:C2197)</f>
        <v>67</v>
      </c>
    </row>
    <row r="2198" spans="1:7" hidden="1" x14ac:dyDescent="0.15">
      <c r="A2198" s="2200" t="s">
        <v>4280</v>
      </c>
      <c r="B2198" s="2200" t="s">
        <v>8673</v>
      </c>
      <c r="C2198" s="2200" t="s">
        <v>8674</v>
      </c>
      <c r="D2198" s="2200" t="str">
        <f t="shared" si="102"/>
        <v>OK</v>
      </c>
      <c r="E2198" s="2200" t="str">
        <f t="shared" si="103"/>
        <v>40</v>
      </c>
      <c r="F2198" s="2200" t="str">
        <f t="shared" si="104"/>
        <v>127</v>
      </c>
      <c r="G2198" s="2200">
        <f>--SUBTOTAL(3,C$2:C2198)</f>
        <v>67</v>
      </c>
    </row>
    <row r="2199" spans="1:7" hidden="1" x14ac:dyDescent="0.15">
      <c r="A2199" s="2200" t="s">
        <v>4280</v>
      </c>
      <c r="B2199" s="2200" t="s">
        <v>8675</v>
      </c>
      <c r="C2199" s="2200" t="s">
        <v>8676</v>
      </c>
      <c r="D2199" s="2200" t="str">
        <f t="shared" si="102"/>
        <v>OK</v>
      </c>
      <c r="E2199" s="2200" t="str">
        <f t="shared" si="103"/>
        <v>40</v>
      </c>
      <c r="F2199" s="2200" t="str">
        <f t="shared" si="104"/>
        <v>129</v>
      </c>
      <c r="G2199" s="2200">
        <f>--SUBTOTAL(3,C$2:C2199)</f>
        <v>67</v>
      </c>
    </row>
    <row r="2200" spans="1:7" hidden="1" x14ac:dyDescent="0.15">
      <c r="A2200" s="2200" t="s">
        <v>4280</v>
      </c>
      <c r="B2200" s="2200" t="s">
        <v>8677</v>
      </c>
      <c r="C2200" s="2200" t="s">
        <v>8678</v>
      </c>
      <c r="D2200" s="2200" t="str">
        <f t="shared" si="102"/>
        <v>OK</v>
      </c>
      <c r="E2200" s="2200" t="str">
        <f t="shared" si="103"/>
        <v>40</v>
      </c>
      <c r="F2200" s="2200" t="str">
        <f t="shared" si="104"/>
        <v>131</v>
      </c>
      <c r="G2200" s="2200">
        <f>--SUBTOTAL(3,C$2:C2200)</f>
        <v>67</v>
      </c>
    </row>
    <row r="2201" spans="1:7" hidden="1" x14ac:dyDescent="0.15">
      <c r="A2201" s="2200" t="s">
        <v>4280</v>
      </c>
      <c r="B2201" s="2200" t="s">
        <v>8679</v>
      </c>
      <c r="C2201" s="2200" t="s">
        <v>8680</v>
      </c>
      <c r="D2201" s="2200" t="str">
        <f t="shared" si="102"/>
        <v>OK</v>
      </c>
      <c r="E2201" s="2200" t="str">
        <f t="shared" si="103"/>
        <v>40</v>
      </c>
      <c r="F2201" s="2200" t="str">
        <f t="shared" si="104"/>
        <v>133</v>
      </c>
      <c r="G2201" s="2200">
        <f>--SUBTOTAL(3,C$2:C2201)</f>
        <v>67</v>
      </c>
    </row>
    <row r="2202" spans="1:7" hidden="1" x14ac:dyDescent="0.15">
      <c r="A2202" s="2200" t="s">
        <v>4280</v>
      </c>
      <c r="B2202" s="2200" t="s">
        <v>8681</v>
      </c>
      <c r="C2202" s="2200" t="s">
        <v>8682</v>
      </c>
      <c r="D2202" s="2200" t="str">
        <f t="shared" si="102"/>
        <v>OK</v>
      </c>
      <c r="E2202" s="2200" t="str">
        <f t="shared" si="103"/>
        <v>40</v>
      </c>
      <c r="F2202" s="2200" t="str">
        <f t="shared" si="104"/>
        <v>135</v>
      </c>
      <c r="G2202" s="2200">
        <f>--SUBTOTAL(3,C$2:C2202)</f>
        <v>67</v>
      </c>
    </row>
    <row r="2203" spans="1:7" hidden="1" x14ac:dyDescent="0.15">
      <c r="A2203" s="2200" t="s">
        <v>4280</v>
      </c>
      <c r="B2203" s="2200" t="s">
        <v>8683</v>
      </c>
      <c r="C2203" s="2200" t="s">
        <v>8684</v>
      </c>
      <c r="D2203" s="2200" t="str">
        <f t="shared" si="102"/>
        <v>OK</v>
      </c>
      <c r="E2203" s="2200" t="str">
        <f t="shared" si="103"/>
        <v>40</v>
      </c>
      <c r="F2203" s="2200" t="str">
        <f t="shared" si="104"/>
        <v>137</v>
      </c>
      <c r="G2203" s="2200">
        <f>--SUBTOTAL(3,C$2:C2203)</f>
        <v>67</v>
      </c>
    </row>
    <row r="2204" spans="1:7" hidden="1" x14ac:dyDescent="0.15">
      <c r="A2204" s="2200" t="s">
        <v>4280</v>
      </c>
      <c r="B2204" s="2200" t="s">
        <v>8685</v>
      </c>
      <c r="C2204" s="2200" t="s">
        <v>8686</v>
      </c>
      <c r="D2204" s="2200" t="str">
        <f t="shared" si="102"/>
        <v>OK</v>
      </c>
      <c r="E2204" s="2200" t="str">
        <f t="shared" si="103"/>
        <v>40</v>
      </c>
      <c r="F2204" s="2200" t="str">
        <f t="shared" si="104"/>
        <v>139</v>
      </c>
      <c r="G2204" s="2200">
        <f>--SUBTOTAL(3,C$2:C2204)</f>
        <v>67</v>
      </c>
    </row>
    <row r="2205" spans="1:7" hidden="1" x14ac:dyDescent="0.15">
      <c r="A2205" s="2200" t="s">
        <v>4280</v>
      </c>
      <c r="B2205" s="2200" t="s">
        <v>8687</v>
      </c>
      <c r="C2205" s="2200" t="s">
        <v>8688</v>
      </c>
      <c r="D2205" s="2200" t="str">
        <f t="shared" si="102"/>
        <v>OK</v>
      </c>
      <c r="E2205" s="2200" t="str">
        <f t="shared" si="103"/>
        <v>40</v>
      </c>
      <c r="F2205" s="2200" t="str">
        <f t="shared" si="104"/>
        <v>141</v>
      </c>
      <c r="G2205" s="2200">
        <f>--SUBTOTAL(3,C$2:C2205)</f>
        <v>67</v>
      </c>
    </row>
    <row r="2206" spans="1:7" hidden="1" x14ac:dyDescent="0.15">
      <c r="A2206" s="2200" t="s">
        <v>4280</v>
      </c>
      <c r="B2206" s="2200" t="s">
        <v>8689</v>
      </c>
      <c r="C2206" s="2200" t="s">
        <v>8690</v>
      </c>
      <c r="D2206" s="2200" t="str">
        <f t="shared" si="102"/>
        <v>OK</v>
      </c>
      <c r="E2206" s="2200" t="str">
        <f t="shared" si="103"/>
        <v>40</v>
      </c>
      <c r="F2206" s="2200" t="str">
        <f t="shared" si="104"/>
        <v>143</v>
      </c>
      <c r="G2206" s="2200">
        <f>--SUBTOTAL(3,C$2:C2206)</f>
        <v>67</v>
      </c>
    </row>
    <row r="2207" spans="1:7" hidden="1" x14ac:dyDescent="0.15">
      <c r="A2207" s="2200" t="s">
        <v>4280</v>
      </c>
      <c r="B2207" s="2200" t="s">
        <v>8691</v>
      </c>
      <c r="C2207" s="2200" t="s">
        <v>8692</v>
      </c>
      <c r="D2207" s="2200" t="str">
        <f t="shared" si="102"/>
        <v>OK</v>
      </c>
      <c r="E2207" s="2200" t="str">
        <f t="shared" si="103"/>
        <v>40</v>
      </c>
      <c r="F2207" s="2200" t="str">
        <f t="shared" si="104"/>
        <v>145</v>
      </c>
      <c r="G2207" s="2200">
        <f>--SUBTOTAL(3,C$2:C2207)</f>
        <v>67</v>
      </c>
    </row>
    <row r="2208" spans="1:7" hidden="1" x14ac:dyDescent="0.15">
      <c r="A2208" s="2200" t="s">
        <v>4280</v>
      </c>
      <c r="B2208" s="2200" t="s">
        <v>8693</v>
      </c>
      <c r="C2208" s="2200" t="s">
        <v>8694</v>
      </c>
      <c r="D2208" s="2200" t="str">
        <f t="shared" si="102"/>
        <v>OK</v>
      </c>
      <c r="E2208" s="2200" t="str">
        <f t="shared" si="103"/>
        <v>40</v>
      </c>
      <c r="F2208" s="2200" t="str">
        <f t="shared" si="104"/>
        <v>147</v>
      </c>
      <c r="G2208" s="2200">
        <f>--SUBTOTAL(3,C$2:C2208)</f>
        <v>67</v>
      </c>
    </row>
    <row r="2209" spans="1:7" hidden="1" x14ac:dyDescent="0.15">
      <c r="A2209" s="2200" t="s">
        <v>4280</v>
      </c>
      <c r="B2209" s="2200" t="s">
        <v>8695</v>
      </c>
      <c r="C2209" s="2200" t="s">
        <v>8696</v>
      </c>
      <c r="D2209" s="2200" t="str">
        <f t="shared" si="102"/>
        <v>OK</v>
      </c>
      <c r="E2209" s="2200" t="str">
        <f t="shared" si="103"/>
        <v>40</v>
      </c>
      <c r="F2209" s="2200" t="str">
        <f t="shared" si="104"/>
        <v>149</v>
      </c>
      <c r="G2209" s="2200">
        <f>--SUBTOTAL(3,C$2:C2209)</f>
        <v>67</v>
      </c>
    </row>
    <row r="2210" spans="1:7" hidden="1" x14ac:dyDescent="0.15">
      <c r="A2210" s="2200" t="s">
        <v>4280</v>
      </c>
      <c r="B2210" s="2200" t="s">
        <v>8697</v>
      </c>
      <c r="C2210" s="2200" t="s">
        <v>8698</v>
      </c>
      <c r="D2210" s="2200" t="str">
        <f t="shared" si="102"/>
        <v>OK</v>
      </c>
      <c r="E2210" s="2200" t="str">
        <f t="shared" si="103"/>
        <v>40</v>
      </c>
      <c r="F2210" s="2200" t="str">
        <f t="shared" si="104"/>
        <v>151</v>
      </c>
      <c r="G2210" s="2200">
        <f>--SUBTOTAL(3,C$2:C2210)</f>
        <v>67</v>
      </c>
    </row>
    <row r="2211" spans="1:7" hidden="1" x14ac:dyDescent="0.15">
      <c r="A2211" s="2200" t="s">
        <v>4280</v>
      </c>
      <c r="B2211" s="2200" t="s">
        <v>8699</v>
      </c>
      <c r="C2211" s="2200" t="s">
        <v>8700</v>
      </c>
      <c r="D2211" s="2200" t="str">
        <f t="shared" si="102"/>
        <v>OK</v>
      </c>
      <c r="E2211" s="2200" t="str">
        <f t="shared" si="103"/>
        <v>40</v>
      </c>
      <c r="F2211" s="2200" t="str">
        <f t="shared" si="104"/>
        <v>153</v>
      </c>
      <c r="G2211" s="2200">
        <f>--SUBTOTAL(3,C$2:C2211)</f>
        <v>67</v>
      </c>
    </row>
    <row r="2212" spans="1:7" hidden="1" x14ac:dyDescent="0.15">
      <c r="A2212" s="2200" t="s">
        <v>4280</v>
      </c>
      <c r="B2212" s="2200" t="s">
        <v>8701</v>
      </c>
      <c r="C2212" s="2200" t="s">
        <v>8702</v>
      </c>
      <c r="D2212" s="2200" t="str">
        <f t="shared" si="102"/>
        <v>OR</v>
      </c>
      <c r="E2212" s="2200" t="str">
        <f t="shared" si="103"/>
        <v>41</v>
      </c>
      <c r="F2212" s="2200" t="str">
        <f t="shared" si="104"/>
        <v>001</v>
      </c>
      <c r="G2212" s="2200">
        <f>--SUBTOTAL(3,C$2:C2212)</f>
        <v>67</v>
      </c>
    </row>
    <row r="2213" spans="1:7" hidden="1" x14ac:dyDescent="0.15">
      <c r="A2213" s="2200" t="s">
        <v>4280</v>
      </c>
      <c r="B2213" s="2200" t="s">
        <v>8703</v>
      </c>
      <c r="C2213" s="2200" t="s">
        <v>8704</v>
      </c>
      <c r="D2213" s="2200" t="str">
        <f t="shared" si="102"/>
        <v>OR</v>
      </c>
      <c r="E2213" s="2200" t="str">
        <f t="shared" si="103"/>
        <v>41</v>
      </c>
      <c r="F2213" s="2200" t="str">
        <f t="shared" si="104"/>
        <v>003</v>
      </c>
      <c r="G2213" s="2200">
        <f>--SUBTOTAL(3,C$2:C2213)</f>
        <v>67</v>
      </c>
    </row>
    <row r="2214" spans="1:7" hidden="1" x14ac:dyDescent="0.15">
      <c r="A2214" s="2200" t="s">
        <v>4280</v>
      </c>
      <c r="B2214" s="2200" t="s">
        <v>8705</v>
      </c>
      <c r="C2214" s="2200" t="s">
        <v>8706</v>
      </c>
      <c r="D2214" s="2200" t="str">
        <f t="shared" si="102"/>
        <v>OR</v>
      </c>
      <c r="E2214" s="2200" t="str">
        <f t="shared" si="103"/>
        <v>41</v>
      </c>
      <c r="F2214" s="2200" t="str">
        <f t="shared" si="104"/>
        <v>005</v>
      </c>
      <c r="G2214" s="2200">
        <f>--SUBTOTAL(3,C$2:C2214)</f>
        <v>67</v>
      </c>
    </row>
    <row r="2215" spans="1:7" hidden="1" x14ac:dyDescent="0.15">
      <c r="A2215" s="2200" t="s">
        <v>4280</v>
      </c>
      <c r="B2215" s="2200" t="s">
        <v>8707</v>
      </c>
      <c r="C2215" s="2200" t="s">
        <v>8708</v>
      </c>
      <c r="D2215" s="2200" t="str">
        <f t="shared" si="102"/>
        <v>OR</v>
      </c>
      <c r="E2215" s="2200" t="str">
        <f t="shared" si="103"/>
        <v>41</v>
      </c>
      <c r="F2215" s="2200" t="str">
        <f t="shared" si="104"/>
        <v>007</v>
      </c>
      <c r="G2215" s="2200">
        <f>--SUBTOTAL(3,C$2:C2215)</f>
        <v>67</v>
      </c>
    </row>
    <row r="2216" spans="1:7" hidden="1" x14ac:dyDescent="0.15">
      <c r="A2216" s="2200" t="s">
        <v>4280</v>
      </c>
      <c r="B2216" s="2200" t="s">
        <v>8709</v>
      </c>
      <c r="C2216" s="2200" t="s">
        <v>8710</v>
      </c>
      <c r="D2216" s="2200" t="str">
        <f t="shared" si="102"/>
        <v>OR</v>
      </c>
      <c r="E2216" s="2200" t="str">
        <f t="shared" si="103"/>
        <v>41</v>
      </c>
      <c r="F2216" s="2200" t="str">
        <f t="shared" si="104"/>
        <v>009</v>
      </c>
      <c r="G2216" s="2200">
        <f>--SUBTOTAL(3,C$2:C2216)</f>
        <v>67</v>
      </c>
    </row>
    <row r="2217" spans="1:7" hidden="1" x14ac:dyDescent="0.15">
      <c r="A2217" s="2200" t="s">
        <v>4280</v>
      </c>
      <c r="B2217" s="2200" t="s">
        <v>8711</v>
      </c>
      <c r="C2217" s="2200" t="s">
        <v>8712</v>
      </c>
      <c r="D2217" s="2200" t="str">
        <f t="shared" si="102"/>
        <v>OR</v>
      </c>
      <c r="E2217" s="2200" t="str">
        <f t="shared" si="103"/>
        <v>41</v>
      </c>
      <c r="F2217" s="2200" t="str">
        <f t="shared" si="104"/>
        <v>011</v>
      </c>
      <c r="G2217" s="2200">
        <f>--SUBTOTAL(3,C$2:C2217)</f>
        <v>67</v>
      </c>
    </row>
    <row r="2218" spans="1:7" hidden="1" x14ac:dyDescent="0.15">
      <c r="A2218" s="2200" t="s">
        <v>4280</v>
      </c>
      <c r="B2218" s="2200" t="s">
        <v>8713</v>
      </c>
      <c r="C2218" s="2200" t="s">
        <v>8714</v>
      </c>
      <c r="D2218" s="2200" t="str">
        <f t="shared" si="102"/>
        <v>OR</v>
      </c>
      <c r="E2218" s="2200" t="str">
        <f t="shared" si="103"/>
        <v>41</v>
      </c>
      <c r="F2218" s="2200" t="str">
        <f t="shared" si="104"/>
        <v>013</v>
      </c>
      <c r="G2218" s="2200">
        <f>--SUBTOTAL(3,C$2:C2218)</f>
        <v>67</v>
      </c>
    </row>
    <row r="2219" spans="1:7" hidden="1" x14ac:dyDescent="0.15">
      <c r="A2219" s="2200" t="s">
        <v>4280</v>
      </c>
      <c r="B2219" s="2200" t="s">
        <v>8715</v>
      </c>
      <c r="C2219" s="2200" t="s">
        <v>8716</v>
      </c>
      <c r="D2219" s="2200" t="str">
        <f t="shared" si="102"/>
        <v>OR</v>
      </c>
      <c r="E2219" s="2200" t="str">
        <f t="shared" si="103"/>
        <v>41</v>
      </c>
      <c r="F2219" s="2200" t="str">
        <f t="shared" si="104"/>
        <v>015</v>
      </c>
      <c r="G2219" s="2200">
        <f>--SUBTOTAL(3,C$2:C2219)</f>
        <v>67</v>
      </c>
    </row>
    <row r="2220" spans="1:7" hidden="1" x14ac:dyDescent="0.15">
      <c r="A2220" s="2200" t="s">
        <v>4280</v>
      </c>
      <c r="B2220" s="2200" t="s">
        <v>8717</v>
      </c>
      <c r="C2220" s="2200" t="s">
        <v>8718</v>
      </c>
      <c r="D2220" s="2200" t="str">
        <f t="shared" si="102"/>
        <v>OR</v>
      </c>
      <c r="E2220" s="2200" t="str">
        <f t="shared" si="103"/>
        <v>41</v>
      </c>
      <c r="F2220" s="2200" t="str">
        <f t="shared" si="104"/>
        <v>017</v>
      </c>
      <c r="G2220" s="2200">
        <f>--SUBTOTAL(3,C$2:C2220)</f>
        <v>67</v>
      </c>
    </row>
    <row r="2221" spans="1:7" hidden="1" x14ac:dyDescent="0.15">
      <c r="A2221" s="2200" t="s">
        <v>4280</v>
      </c>
      <c r="B2221" s="2200" t="s">
        <v>8719</v>
      </c>
      <c r="C2221" s="2200" t="s">
        <v>8720</v>
      </c>
      <c r="D2221" s="2200" t="str">
        <f t="shared" si="102"/>
        <v>OR</v>
      </c>
      <c r="E2221" s="2200" t="str">
        <f t="shared" si="103"/>
        <v>41</v>
      </c>
      <c r="F2221" s="2200" t="str">
        <f t="shared" si="104"/>
        <v>019</v>
      </c>
      <c r="G2221" s="2200">
        <f>--SUBTOTAL(3,C$2:C2221)</f>
        <v>67</v>
      </c>
    </row>
    <row r="2222" spans="1:7" hidden="1" x14ac:dyDescent="0.15">
      <c r="A2222" s="2200" t="s">
        <v>4280</v>
      </c>
      <c r="B2222" s="2200" t="s">
        <v>8721</v>
      </c>
      <c r="C2222" s="2200" t="s">
        <v>8722</v>
      </c>
      <c r="D2222" s="2200" t="str">
        <f t="shared" si="102"/>
        <v>OR</v>
      </c>
      <c r="E2222" s="2200" t="str">
        <f t="shared" si="103"/>
        <v>41</v>
      </c>
      <c r="F2222" s="2200" t="str">
        <f t="shared" si="104"/>
        <v>021</v>
      </c>
      <c r="G2222" s="2200">
        <f>--SUBTOTAL(3,C$2:C2222)</f>
        <v>67</v>
      </c>
    </row>
    <row r="2223" spans="1:7" hidden="1" x14ac:dyDescent="0.15">
      <c r="A2223" s="2200" t="s">
        <v>4280</v>
      </c>
      <c r="B2223" s="2200" t="s">
        <v>8723</v>
      </c>
      <c r="C2223" s="2200" t="s">
        <v>8724</v>
      </c>
      <c r="D2223" s="2200" t="str">
        <f t="shared" si="102"/>
        <v>OR</v>
      </c>
      <c r="E2223" s="2200" t="str">
        <f t="shared" si="103"/>
        <v>41</v>
      </c>
      <c r="F2223" s="2200" t="str">
        <f t="shared" si="104"/>
        <v>023</v>
      </c>
      <c r="G2223" s="2200">
        <f>--SUBTOTAL(3,C$2:C2223)</f>
        <v>67</v>
      </c>
    </row>
    <row r="2224" spans="1:7" hidden="1" x14ac:dyDescent="0.15">
      <c r="A2224" s="2200" t="s">
        <v>4280</v>
      </c>
      <c r="B2224" s="2200" t="s">
        <v>8725</v>
      </c>
      <c r="C2224" s="2200" t="s">
        <v>8726</v>
      </c>
      <c r="D2224" s="2200" t="str">
        <f t="shared" si="102"/>
        <v>OR</v>
      </c>
      <c r="E2224" s="2200" t="str">
        <f t="shared" si="103"/>
        <v>41</v>
      </c>
      <c r="F2224" s="2200" t="str">
        <f t="shared" si="104"/>
        <v>025</v>
      </c>
      <c r="G2224" s="2200">
        <f>--SUBTOTAL(3,C$2:C2224)</f>
        <v>67</v>
      </c>
    </row>
    <row r="2225" spans="1:7" hidden="1" x14ac:dyDescent="0.15">
      <c r="A2225" s="2200" t="s">
        <v>4280</v>
      </c>
      <c r="B2225" s="2200" t="s">
        <v>8727</v>
      </c>
      <c r="C2225" s="2200" t="s">
        <v>8728</v>
      </c>
      <c r="D2225" s="2200" t="str">
        <f t="shared" si="102"/>
        <v>OR</v>
      </c>
      <c r="E2225" s="2200" t="str">
        <f t="shared" si="103"/>
        <v>41</v>
      </c>
      <c r="F2225" s="2200" t="str">
        <f t="shared" si="104"/>
        <v>027</v>
      </c>
      <c r="G2225" s="2200">
        <f>--SUBTOTAL(3,C$2:C2225)</f>
        <v>67</v>
      </c>
    </row>
    <row r="2226" spans="1:7" hidden="1" x14ac:dyDescent="0.15">
      <c r="A2226" s="2200" t="s">
        <v>4280</v>
      </c>
      <c r="B2226" s="2200" t="s">
        <v>8729</v>
      </c>
      <c r="C2226" s="2200" t="s">
        <v>8730</v>
      </c>
      <c r="D2226" s="2200" t="str">
        <f t="shared" si="102"/>
        <v>OR</v>
      </c>
      <c r="E2226" s="2200" t="str">
        <f t="shared" si="103"/>
        <v>41</v>
      </c>
      <c r="F2226" s="2200" t="str">
        <f t="shared" si="104"/>
        <v>029</v>
      </c>
      <c r="G2226" s="2200">
        <f>--SUBTOTAL(3,C$2:C2226)</f>
        <v>67</v>
      </c>
    </row>
    <row r="2227" spans="1:7" hidden="1" x14ac:dyDescent="0.15">
      <c r="A2227" s="2200" t="s">
        <v>4280</v>
      </c>
      <c r="B2227" s="2200" t="s">
        <v>8731</v>
      </c>
      <c r="C2227" s="2200" t="s">
        <v>8732</v>
      </c>
      <c r="D2227" s="2200" t="str">
        <f t="shared" si="102"/>
        <v>OR</v>
      </c>
      <c r="E2227" s="2200" t="str">
        <f t="shared" si="103"/>
        <v>41</v>
      </c>
      <c r="F2227" s="2200" t="str">
        <f t="shared" si="104"/>
        <v>031</v>
      </c>
      <c r="G2227" s="2200">
        <f>--SUBTOTAL(3,C$2:C2227)</f>
        <v>67</v>
      </c>
    </row>
    <row r="2228" spans="1:7" hidden="1" x14ac:dyDescent="0.15">
      <c r="A2228" s="2200" t="s">
        <v>4280</v>
      </c>
      <c r="B2228" s="2200" t="s">
        <v>8733</v>
      </c>
      <c r="C2228" s="2200" t="s">
        <v>8734</v>
      </c>
      <c r="D2228" s="2200" t="str">
        <f t="shared" si="102"/>
        <v>OR</v>
      </c>
      <c r="E2228" s="2200" t="str">
        <f t="shared" si="103"/>
        <v>41</v>
      </c>
      <c r="F2228" s="2200" t="str">
        <f t="shared" si="104"/>
        <v>033</v>
      </c>
      <c r="G2228" s="2200">
        <f>--SUBTOTAL(3,C$2:C2228)</f>
        <v>67</v>
      </c>
    </row>
    <row r="2229" spans="1:7" hidden="1" x14ac:dyDescent="0.15">
      <c r="A2229" s="2200" t="s">
        <v>4280</v>
      </c>
      <c r="B2229" s="2200" t="s">
        <v>8735</v>
      </c>
      <c r="C2229" s="2200" t="s">
        <v>8736</v>
      </c>
      <c r="D2229" s="2200" t="str">
        <f t="shared" si="102"/>
        <v>OR</v>
      </c>
      <c r="E2229" s="2200" t="str">
        <f t="shared" si="103"/>
        <v>41</v>
      </c>
      <c r="F2229" s="2200" t="str">
        <f t="shared" si="104"/>
        <v>035</v>
      </c>
      <c r="G2229" s="2200">
        <f>--SUBTOTAL(3,C$2:C2229)</f>
        <v>67</v>
      </c>
    </row>
    <row r="2230" spans="1:7" hidden="1" x14ac:dyDescent="0.15">
      <c r="A2230" s="2200" t="s">
        <v>4280</v>
      </c>
      <c r="B2230" s="2200" t="s">
        <v>8737</v>
      </c>
      <c r="C2230" s="2200" t="s">
        <v>8738</v>
      </c>
      <c r="D2230" s="2200" t="str">
        <f t="shared" si="102"/>
        <v>OR</v>
      </c>
      <c r="E2230" s="2200" t="str">
        <f t="shared" si="103"/>
        <v>41</v>
      </c>
      <c r="F2230" s="2200" t="str">
        <f t="shared" si="104"/>
        <v>037</v>
      </c>
      <c r="G2230" s="2200">
        <f>--SUBTOTAL(3,C$2:C2230)</f>
        <v>67</v>
      </c>
    </row>
    <row r="2231" spans="1:7" hidden="1" x14ac:dyDescent="0.15">
      <c r="A2231" s="2200" t="s">
        <v>4280</v>
      </c>
      <c r="B2231" s="2200" t="s">
        <v>8739</v>
      </c>
      <c r="C2231" s="2200" t="s">
        <v>8740</v>
      </c>
      <c r="D2231" s="2200" t="str">
        <f t="shared" si="102"/>
        <v>OR</v>
      </c>
      <c r="E2231" s="2200" t="str">
        <f t="shared" si="103"/>
        <v>41</v>
      </c>
      <c r="F2231" s="2200" t="str">
        <f t="shared" si="104"/>
        <v>039</v>
      </c>
      <c r="G2231" s="2200">
        <f>--SUBTOTAL(3,C$2:C2231)</f>
        <v>67</v>
      </c>
    </row>
    <row r="2232" spans="1:7" hidden="1" x14ac:dyDescent="0.15">
      <c r="A2232" s="2200" t="s">
        <v>4280</v>
      </c>
      <c r="B2232" s="2200" t="s">
        <v>8741</v>
      </c>
      <c r="C2232" s="2200" t="s">
        <v>8742</v>
      </c>
      <c r="D2232" s="2200" t="str">
        <f t="shared" si="102"/>
        <v>OR</v>
      </c>
      <c r="E2232" s="2200" t="str">
        <f t="shared" si="103"/>
        <v>41</v>
      </c>
      <c r="F2232" s="2200" t="str">
        <f t="shared" si="104"/>
        <v>041</v>
      </c>
      <c r="G2232" s="2200">
        <f>--SUBTOTAL(3,C$2:C2232)</f>
        <v>67</v>
      </c>
    </row>
    <row r="2233" spans="1:7" hidden="1" x14ac:dyDescent="0.15">
      <c r="A2233" s="2200" t="s">
        <v>4280</v>
      </c>
      <c r="B2233" s="2200" t="s">
        <v>8743</v>
      </c>
      <c r="C2233" s="2200" t="s">
        <v>8744</v>
      </c>
      <c r="D2233" s="2200" t="str">
        <f t="shared" si="102"/>
        <v>OR</v>
      </c>
      <c r="E2233" s="2200" t="str">
        <f t="shared" si="103"/>
        <v>41</v>
      </c>
      <c r="F2233" s="2200" t="str">
        <f t="shared" si="104"/>
        <v>043</v>
      </c>
      <c r="G2233" s="2200">
        <f>--SUBTOTAL(3,C$2:C2233)</f>
        <v>67</v>
      </c>
    </row>
    <row r="2234" spans="1:7" hidden="1" x14ac:dyDescent="0.15">
      <c r="A2234" s="2200" t="s">
        <v>4280</v>
      </c>
      <c r="B2234" s="2200" t="s">
        <v>8745</v>
      </c>
      <c r="C2234" s="2200" t="s">
        <v>8746</v>
      </c>
      <c r="D2234" s="2200" t="str">
        <f t="shared" si="102"/>
        <v>OR</v>
      </c>
      <c r="E2234" s="2200" t="str">
        <f t="shared" si="103"/>
        <v>41</v>
      </c>
      <c r="F2234" s="2200" t="str">
        <f t="shared" si="104"/>
        <v>045</v>
      </c>
      <c r="G2234" s="2200">
        <f>--SUBTOTAL(3,C$2:C2234)</f>
        <v>67</v>
      </c>
    </row>
    <row r="2235" spans="1:7" hidden="1" x14ac:dyDescent="0.15">
      <c r="A2235" s="2200" t="s">
        <v>4280</v>
      </c>
      <c r="B2235" s="2200" t="s">
        <v>8747</v>
      </c>
      <c r="C2235" s="2200" t="s">
        <v>8748</v>
      </c>
      <c r="D2235" s="2200" t="str">
        <f t="shared" si="102"/>
        <v>OR</v>
      </c>
      <c r="E2235" s="2200" t="str">
        <f t="shared" si="103"/>
        <v>41</v>
      </c>
      <c r="F2235" s="2200" t="str">
        <f t="shared" si="104"/>
        <v>047</v>
      </c>
      <c r="G2235" s="2200">
        <f>--SUBTOTAL(3,C$2:C2235)</f>
        <v>67</v>
      </c>
    </row>
    <row r="2236" spans="1:7" hidden="1" x14ac:dyDescent="0.15">
      <c r="A2236" s="2200" t="s">
        <v>4280</v>
      </c>
      <c r="B2236" s="2200" t="s">
        <v>8749</v>
      </c>
      <c r="C2236" s="2200" t="s">
        <v>8750</v>
      </c>
      <c r="D2236" s="2200" t="str">
        <f t="shared" si="102"/>
        <v>OR</v>
      </c>
      <c r="E2236" s="2200" t="str">
        <f t="shared" si="103"/>
        <v>41</v>
      </c>
      <c r="F2236" s="2200" t="str">
        <f t="shared" si="104"/>
        <v>049</v>
      </c>
      <c r="G2236" s="2200">
        <f>--SUBTOTAL(3,C$2:C2236)</f>
        <v>67</v>
      </c>
    </row>
    <row r="2237" spans="1:7" hidden="1" x14ac:dyDescent="0.15">
      <c r="A2237" s="2200" t="s">
        <v>4280</v>
      </c>
      <c r="B2237" s="2200" t="s">
        <v>8751</v>
      </c>
      <c r="C2237" s="2200" t="s">
        <v>8752</v>
      </c>
      <c r="D2237" s="2200" t="str">
        <f t="shared" si="102"/>
        <v>OR</v>
      </c>
      <c r="E2237" s="2200" t="str">
        <f t="shared" si="103"/>
        <v>41</v>
      </c>
      <c r="F2237" s="2200" t="str">
        <f t="shared" si="104"/>
        <v>051</v>
      </c>
      <c r="G2237" s="2200">
        <f>--SUBTOTAL(3,C$2:C2237)</f>
        <v>67</v>
      </c>
    </row>
    <row r="2238" spans="1:7" hidden="1" x14ac:dyDescent="0.15">
      <c r="A2238" s="2200" t="s">
        <v>4280</v>
      </c>
      <c r="B2238" s="2200" t="s">
        <v>8753</v>
      </c>
      <c r="C2238" s="2200" t="s">
        <v>8754</v>
      </c>
      <c r="D2238" s="2200" t="str">
        <f t="shared" si="102"/>
        <v>OR</v>
      </c>
      <c r="E2238" s="2200" t="str">
        <f t="shared" si="103"/>
        <v>41</v>
      </c>
      <c r="F2238" s="2200" t="str">
        <f t="shared" si="104"/>
        <v>053</v>
      </c>
      <c r="G2238" s="2200">
        <f>--SUBTOTAL(3,C$2:C2238)</f>
        <v>67</v>
      </c>
    </row>
    <row r="2239" spans="1:7" hidden="1" x14ac:dyDescent="0.15">
      <c r="A2239" s="2200" t="s">
        <v>4280</v>
      </c>
      <c r="B2239" s="2200" t="s">
        <v>8755</v>
      </c>
      <c r="C2239" s="2200" t="s">
        <v>8756</v>
      </c>
      <c r="D2239" s="2200" t="str">
        <f t="shared" si="102"/>
        <v>OR</v>
      </c>
      <c r="E2239" s="2200" t="str">
        <f t="shared" si="103"/>
        <v>41</v>
      </c>
      <c r="F2239" s="2200" t="str">
        <f t="shared" si="104"/>
        <v>055</v>
      </c>
      <c r="G2239" s="2200">
        <f>--SUBTOTAL(3,C$2:C2239)</f>
        <v>67</v>
      </c>
    </row>
    <row r="2240" spans="1:7" hidden="1" x14ac:dyDescent="0.15">
      <c r="A2240" s="2200" t="s">
        <v>4280</v>
      </c>
      <c r="B2240" s="2200" t="s">
        <v>8757</v>
      </c>
      <c r="C2240" s="2200" t="s">
        <v>8758</v>
      </c>
      <c r="D2240" s="2200" t="str">
        <f t="shared" si="102"/>
        <v>OR</v>
      </c>
      <c r="E2240" s="2200" t="str">
        <f t="shared" si="103"/>
        <v>41</v>
      </c>
      <c r="F2240" s="2200" t="str">
        <f t="shared" si="104"/>
        <v>057</v>
      </c>
      <c r="G2240" s="2200">
        <f>--SUBTOTAL(3,C$2:C2240)</f>
        <v>67</v>
      </c>
    </row>
    <row r="2241" spans="1:7" hidden="1" x14ac:dyDescent="0.15">
      <c r="A2241" s="2200" t="s">
        <v>4280</v>
      </c>
      <c r="B2241" s="2200" t="s">
        <v>8759</v>
      </c>
      <c r="C2241" s="2200" t="s">
        <v>8760</v>
      </c>
      <c r="D2241" s="2200" t="str">
        <f t="shared" si="102"/>
        <v>OR</v>
      </c>
      <c r="E2241" s="2200" t="str">
        <f t="shared" si="103"/>
        <v>41</v>
      </c>
      <c r="F2241" s="2200" t="str">
        <f t="shared" si="104"/>
        <v>059</v>
      </c>
      <c r="G2241" s="2200">
        <f>--SUBTOTAL(3,C$2:C2241)</f>
        <v>67</v>
      </c>
    </row>
    <row r="2242" spans="1:7" hidden="1" x14ac:dyDescent="0.15">
      <c r="A2242" s="2200" t="s">
        <v>4280</v>
      </c>
      <c r="B2242" s="2200" t="s">
        <v>8761</v>
      </c>
      <c r="C2242" s="2200" t="s">
        <v>8762</v>
      </c>
      <c r="D2242" s="2200" t="str">
        <f t="shared" si="102"/>
        <v>OR</v>
      </c>
      <c r="E2242" s="2200" t="str">
        <f t="shared" si="103"/>
        <v>41</v>
      </c>
      <c r="F2242" s="2200" t="str">
        <f t="shared" si="104"/>
        <v>061</v>
      </c>
      <c r="G2242" s="2200">
        <f>--SUBTOTAL(3,C$2:C2242)</f>
        <v>67</v>
      </c>
    </row>
    <row r="2243" spans="1:7" hidden="1" x14ac:dyDescent="0.15">
      <c r="A2243" s="2200" t="s">
        <v>4280</v>
      </c>
      <c r="B2243" s="2200" t="s">
        <v>8763</v>
      </c>
      <c r="C2243" s="2200" t="s">
        <v>8764</v>
      </c>
      <c r="D2243" s="2200" t="str">
        <f t="shared" ref="D2243:D2306" si="105">RIGHT(C2243,2)</f>
        <v>OR</v>
      </c>
      <c r="E2243" s="2200" t="str">
        <f t="shared" ref="E2243:E2306" si="106">MID(B2243,3,2)</f>
        <v>41</v>
      </c>
      <c r="F2243" s="2200" t="str">
        <f t="shared" ref="F2243:F2306" si="107">MID(B2243,5,3)</f>
        <v>063</v>
      </c>
      <c r="G2243" s="2200">
        <f>--SUBTOTAL(3,C$2:C2243)</f>
        <v>67</v>
      </c>
    </row>
    <row r="2244" spans="1:7" hidden="1" x14ac:dyDescent="0.15">
      <c r="A2244" s="2200" t="s">
        <v>4280</v>
      </c>
      <c r="B2244" s="2200" t="s">
        <v>8765</v>
      </c>
      <c r="C2244" s="2200" t="s">
        <v>8766</v>
      </c>
      <c r="D2244" s="2200" t="str">
        <f t="shared" si="105"/>
        <v>OR</v>
      </c>
      <c r="E2244" s="2200" t="str">
        <f t="shared" si="106"/>
        <v>41</v>
      </c>
      <c r="F2244" s="2200" t="str">
        <f t="shared" si="107"/>
        <v>065</v>
      </c>
      <c r="G2244" s="2200">
        <f>--SUBTOTAL(3,C$2:C2244)</f>
        <v>67</v>
      </c>
    </row>
    <row r="2245" spans="1:7" hidden="1" x14ac:dyDescent="0.15">
      <c r="A2245" s="2200" t="s">
        <v>4280</v>
      </c>
      <c r="B2245" s="2200" t="s">
        <v>8767</v>
      </c>
      <c r="C2245" s="2200" t="s">
        <v>8768</v>
      </c>
      <c r="D2245" s="2200" t="str">
        <f t="shared" si="105"/>
        <v>OR</v>
      </c>
      <c r="E2245" s="2200" t="str">
        <f t="shared" si="106"/>
        <v>41</v>
      </c>
      <c r="F2245" s="2200" t="str">
        <f t="shared" si="107"/>
        <v>067</v>
      </c>
      <c r="G2245" s="2200">
        <f>--SUBTOTAL(3,C$2:C2245)</f>
        <v>67</v>
      </c>
    </row>
    <row r="2246" spans="1:7" hidden="1" x14ac:dyDescent="0.15">
      <c r="A2246" s="2200" t="s">
        <v>4280</v>
      </c>
      <c r="B2246" s="2200" t="s">
        <v>8769</v>
      </c>
      <c r="C2246" s="2200" t="s">
        <v>8770</v>
      </c>
      <c r="D2246" s="2200" t="str">
        <f t="shared" si="105"/>
        <v>OR</v>
      </c>
      <c r="E2246" s="2200" t="str">
        <f t="shared" si="106"/>
        <v>41</v>
      </c>
      <c r="F2246" s="2200" t="str">
        <f t="shared" si="107"/>
        <v>069</v>
      </c>
      <c r="G2246" s="2200">
        <f>--SUBTOTAL(3,C$2:C2246)</f>
        <v>67</v>
      </c>
    </row>
    <row r="2247" spans="1:7" hidden="1" x14ac:dyDescent="0.15">
      <c r="A2247" s="2200" t="s">
        <v>4280</v>
      </c>
      <c r="B2247" s="2200" t="s">
        <v>8771</v>
      </c>
      <c r="C2247" s="2200" t="s">
        <v>8772</v>
      </c>
      <c r="D2247" s="2200" t="str">
        <f t="shared" si="105"/>
        <v>OR</v>
      </c>
      <c r="E2247" s="2200" t="str">
        <f t="shared" si="106"/>
        <v>41</v>
      </c>
      <c r="F2247" s="2200" t="str">
        <f t="shared" si="107"/>
        <v>071</v>
      </c>
      <c r="G2247" s="2200">
        <f>--SUBTOTAL(3,C$2:C2247)</f>
        <v>67</v>
      </c>
    </row>
    <row r="2248" spans="1:7" hidden="1" x14ac:dyDescent="0.15">
      <c r="A2248" s="2200" t="s">
        <v>4280</v>
      </c>
      <c r="B2248" s="2200" t="s">
        <v>8773</v>
      </c>
      <c r="C2248" s="2200" t="s">
        <v>8774</v>
      </c>
      <c r="D2248" s="2200" t="str">
        <f t="shared" si="105"/>
        <v>PA</v>
      </c>
      <c r="E2248" s="2200" t="str">
        <f t="shared" si="106"/>
        <v>42</v>
      </c>
      <c r="F2248" s="2200" t="str">
        <f t="shared" si="107"/>
        <v>001</v>
      </c>
      <c r="G2248" s="2200">
        <f>--SUBTOTAL(3,C$2:C2248)</f>
        <v>67</v>
      </c>
    </row>
    <row r="2249" spans="1:7" hidden="1" x14ac:dyDescent="0.15">
      <c r="A2249" s="2200" t="s">
        <v>4280</v>
      </c>
      <c r="B2249" s="2200" t="s">
        <v>8775</v>
      </c>
      <c r="C2249" s="2200" t="s">
        <v>8776</v>
      </c>
      <c r="D2249" s="2200" t="str">
        <f t="shared" si="105"/>
        <v>PA</v>
      </c>
      <c r="E2249" s="2200" t="str">
        <f t="shared" si="106"/>
        <v>42</v>
      </c>
      <c r="F2249" s="2200" t="str">
        <f t="shared" si="107"/>
        <v>003</v>
      </c>
      <c r="G2249" s="2200">
        <f>--SUBTOTAL(3,C$2:C2249)</f>
        <v>67</v>
      </c>
    </row>
    <row r="2250" spans="1:7" hidden="1" x14ac:dyDescent="0.15">
      <c r="A2250" s="2200" t="s">
        <v>4280</v>
      </c>
      <c r="B2250" s="2200" t="s">
        <v>8777</v>
      </c>
      <c r="C2250" s="2200" t="s">
        <v>8778</v>
      </c>
      <c r="D2250" s="2200" t="str">
        <f t="shared" si="105"/>
        <v>PA</v>
      </c>
      <c r="E2250" s="2200" t="str">
        <f t="shared" si="106"/>
        <v>42</v>
      </c>
      <c r="F2250" s="2200" t="str">
        <f t="shared" si="107"/>
        <v>005</v>
      </c>
      <c r="G2250" s="2200">
        <f>--SUBTOTAL(3,C$2:C2250)</f>
        <v>67</v>
      </c>
    </row>
    <row r="2251" spans="1:7" hidden="1" x14ac:dyDescent="0.15">
      <c r="A2251" s="2200" t="s">
        <v>4280</v>
      </c>
      <c r="B2251" s="2200" t="s">
        <v>8779</v>
      </c>
      <c r="C2251" s="2200" t="s">
        <v>8780</v>
      </c>
      <c r="D2251" s="2200" t="str">
        <f t="shared" si="105"/>
        <v>PA</v>
      </c>
      <c r="E2251" s="2200" t="str">
        <f t="shared" si="106"/>
        <v>42</v>
      </c>
      <c r="F2251" s="2200" t="str">
        <f t="shared" si="107"/>
        <v>007</v>
      </c>
      <c r="G2251" s="2200">
        <f>--SUBTOTAL(3,C$2:C2251)</f>
        <v>67</v>
      </c>
    </row>
    <row r="2252" spans="1:7" hidden="1" x14ac:dyDescent="0.15">
      <c r="A2252" s="2200" t="s">
        <v>4280</v>
      </c>
      <c r="B2252" s="2200" t="s">
        <v>8781</v>
      </c>
      <c r="C2252" s="2200" t="s">
        <v>8782</v>
      </c>
      <c r="D2252" s="2200" t="str">
        <f t="shared" si="105"/>
        <v>PA</v>
      </c>
      <c r="E2252" s="2200" t="str">
        <f t="shared" si="106"/>
        <v>42</v>
      </c>
      <c r="F2252" s="2200" t="str">
        <f t="shared" si="107"/>
        <v>009</v>
      </c>
      <c r="G2252" s="2200">
        <f>--SUBTOTAL(3,C$2:C2252)</f>
        <v>67</v>
      </c>
    </row>
    <row r="2253" spans="1:7" hidden="1" x14ac:dyDescent="0.15">
      <c r="A2253" s="2200" t="s">
        <v>4280</v>
      </c>
      <c r="B2253" s="2200" t="s">
        <v>8783</v>
      </c>
      <c r="C2253" s="2200" t="s">
        <v>8784</v>
      </c>
      <c r="D2253" s="2200" t="str">
        <f t="shared" si="105"/>
        <v>PA</v>
      </c>
      <c r="E2253" s="2200" t="str">
        <f t="shared" si="106"/>
        <v>42</v>
      </c>
      <c r="F2253" s="2200" t="str">
        <f t="shared" si="107"/>
        <v>011</v>
      </c>
      <c r="G2253" s="2200">
        <f>--SUBTOTAL(3,C$2:C2253)</f>
        <v>67</v>
      </c>
    </row>
    <row r="2254" spans="1:7" hidden="1" x14ac:dyDescent="0.15">
      <c r="A2254" s="2200" t="s">
        <v>4280</v>
      </c>
      <c r="B2254" s="2200" t="s">
        <v>8785</v>
      </c>
      <c r="C2254" s="2200" t="s">
        <v>8786</v>
      </c>
      <c r="D2254" s="2200" t="str">
        <f t="shared" si="105"/>
        <v>PA</v>
      </c>
      <c r="E2254" s="2200" t="str">
        <f t="shared" si="106"/>
        <v>42</v>
      </c>
      <c r="F2254" s="2200" t="str">
        <f t="shared" si="107"/>
        <v>013</v>
      </c>
      <c r="G2254" s="2200">
        <f>--SUBTOTAL(3,C$2:C2254)</f>
        <v>67</v>
      </c>
    </row>
    <row r="2255" spans="1:7" hidden="1" x14ac:dyDescent="0.15">
      <c r="A2255" s="2200" t="s">
        <v>4280</v>
      </c>
      <c r="B2255" s="2200" t="s">
        <v>8787</v>
      </c>
      <c r="C2255" s="2200" t="s">
        <v>8788</v>
      </c>
      <c r="D2255" s="2200" t="str">
        <f t="shared" si="105"/>
        <v>PA</v>
      </c>
      <c r="E2255" s="2200" t="str">
        <f t="shared" si="106"/>
        <v>42</v>
      </c>
      <c r="F2255" s="2200" t="str">
        <f t="shared" si="107"/>
        <v>015</v>
      </c>
      <c r="G2255" s="2200">
        <f>--SUBTOTAL(3,C$2:C2255)</f>
        <v>67</v>
      </c>
    </row>
    <row r="2256" spans="1:7" hidden="1" x14ac:dyDescent="0.15">
      <c r="A2256" s="2200" t="s">
        <v>4280</v>
      </c>
      <c r="B2256" s="2200" t="s">
        <v>8789</v>
      </c>
      <c r="C2256" s="2200" t="s">
        <v>8790</v>
      </c>
      <c r="D2256" s="2200" t="str">
        <f t="shared" si="105"/>
        <v>PA</v>
      </c>
      <c r="E2256" s="2200" t="str">
        <f t="shared" si="106"/>
        <v>42</v>
      </c>
      <c r="F2256" s="2200" t="str">
        <f t="shared" si="107"/>
        <v>017</v>
      </c>
      <c r="G2256" s="2200">
        <f>--SUBTOTAL(3,C$2:C2256)</f>
        <v>67</v>
      </c>
    </row>
    <row r="2257" spans="1:7" hidden="1" x14ac:dyDescent="0.15">
      <c r="A2257" s="2200" t="s">
        <v>4280</v>
      </c>
      <c r="B2257" s="2200" t="s">
        <v>8791</v>
      </c>
      <c r="C2257" s="2200" t="s">
        <v>8792</v>
      </c>
      <c r="D2257" s="2200" t="str">
        <f t="shared" si="105"/>
        <v>PA</v>
      </c>
      <c r="E2257" s="2200" t="str">
        <f t="shared" si="106"/>
        <v>42</v>
      </c>
      <c r="F2257" s="2200" t="str">
        <f t="shared" si="107"/>
        <v>019</v>
      </c>
      <c r="G2257" s="2200">
        <f>--SUBTOTAL(3,C$2:C2257)</f>
        <v>67</v>
      </c>
    </row>
    <row r="2258" spans="1:7" hidden="1" x14ac:dyDescent="0.15">
      <c r="A2258" s="2200" t="s">
        <v>4280</v>
      </c>
      <c r="B2258" s="2200" t="s">
        <v>8793</v>
      </c>
      <c r="C2258" s="2200" t="s">
        <v>8794</v>
      </c>
      <c r="D2258" s="2200" t="str">
        <f t="shared" si="105"/>
        <v>PA</v>
      </c>
      <c r="E2258" s="2200" t="str">
        <f t="shared" si="106"/>
        <v>42</v>
      </c>
      <c r="F2258" s="2200" t="str">
        <f t="shared" si="107"/>
        <v>021</v>
      </c>
      <c r="G2258" s="2200">
        <f>--SUBTOTAL(3,C$2:C2258)</f>
        <v>67</v>
      </c>
    </row>
    <row r="2259" spans="1:7" hidden="1" x14ac:dyDescent="0.15">
      <c r="A2259" s="2200" t="s">
        <v>4280</v>
      </c>
      <c r="B2259" s="2200" t="s">
        <v>8795</v>
      </c>
      <c r="C2259" s="2200" t="s">
        <v>8796</v>
      </c>
      <c r="D2259" s="2200" t="str">
        <f t="shared" si="105"/>
        <v>PA</v>
      </c>
      <c r="E2259" s="2200" t="str">
        <f t="shared" si="106"/>
        <v>42</v>
      </c>
      <c r="F2259" s="2200" t="str">
        <f t="shared" si="107"/>
        <v>023</v>
      </c>
      <c r="G2259" s="2200">
        <f>--SUBTOTAL(3,C$2:C2259)</f>
        <v>67</v>
      </c>
    </row>
    <row r="2260" spans="1:7" hidden="1" x14ac:dyDescent="0.15">
      <c r="A2260" s="2200" t="s">
        <v>4280</v>
      </c>
      <c r="B2260" s="2200" t="s">
        <v>8797</v>
      </c>
      <c r="C2260" s="2200" t="s">
        <v>8798</v>
      </c>
      <c r="D2260" s="2200" t="str">
        <f t="shared" si="105"/>
        <v>PA</v>
      </c>
      <c r="E2260" s="2200" t="str">
        <f t="shared" si="106"/>
        <v>42</v>
      </c>
      <c r="F2260" s="2200" t="str">
        <f t="shared" si="107"/>
        <v>025</v>
      </c>
      <c r="G2260" s="2200">
        <f>--SUBTOTAL(3,C$2:C2260)</f>
        <v>67</v>
      </c>
    </row>
    <row r="2261" spans="1:7" hidden="1" x14ac:dyDescent="0.15">
      <c r="A2261" s="2200" t="s">
        <v>4280</v>
      </c>
      <c r="B2261" s="2200" t="s">
        <v>8799</v>
      </c>
      <c r="C2261" s="2200" t="s">
        <v>8800</v>
      </c>
      <c r="D2261" s="2200" t="str">
        <f t="shared" si="105"/>
        <v>PA</v>
      </c>
      <c r="E2261" s="2200" t="str">
        <f t="shared" si="106"/>
        <v>42</v>
      </c>
      <c r="F2261" s="2200" t="str">
        <f t="shared" si="107"/>
        <v>027</v>
      </c>
      <c r="G2261" s="2200">
        <f>--SUBTOTAL(3,C$2:C2261)</f>
        <v>67</v>
      </c>
    </row>
    <row r="2262" spans="1:7" hidden="1" x14ac:dyDescent="0.15">
      <c r="A2262" s="2200" t="s">
        <v>4280</v>
      </c>
      <c r="B2262" s="2200" t="s">
        <v>8801</v>
      </c>
      <c r="C2262" s="2200" t="s">
        <v>8802</v>
      </c>
      <c r="D2262" s="2200" t="str">
        <f t="shared" si="105"/>
        <v>PA</v>
      </c>
      <c r="E2262" s="2200" t="str">
        <f t="shared" si="106"/>
        <v>42</v>
      </c>
      <c r="F2262" s="2200" t="str">
        <f t="shared" si="107"/>
        <v>029</v>
      </c>
      <c r="G2262" s="2200">
        <f>--SUBTOTAL(3,C$2:C2262)</f>
        <v>67</v>
      </c>
    </row>
    <row r="2263" spans="1:7" hidden="1" x14ac:dyDescent="0.15">
      <c r="A2263" s="2200" t="s">
        <v>4280</v>
      </c>
      <c r="B2263" s="2200" t="s">
        <v>8803</v>
      </c>
      <c r="C2263" s="2200" t="s">
        <v>8804</v>
      </c>
      <c r="D2263" s="2200" t="str">
        <f t="shared" si="105"/>
        <v>PA</v>
      </c>
      <c r="E2263" s="2200" t="str">
        <f t="shared" si="106"/>
        <v>42</v>
      </c>
      <c r="F2263" s="2200" t="str">
        <f t="shared" si="107"/>
        <v>031</v>
      </c>
      <c r="G2263" s="2200">
        <f>--SUBTOTAL(3,C$2:C2263)</f>
        <v>67</v>
      </c>
    </row>
    <row r="2264" spans="1:7" hidden="1" x14ac:dyDescent="0.15">
      <c r="A2264" s="2200" t="s">
        <v>4280</v>
      </c>
      <c r="B2264" s="2200" t="s">
        <v>8805</v>
      </c>
      <c r="C2264" s="2200" t="s">
        <v>8806</v>
      </c>
      <c r="D2264" s="2200" t="str">
        <f t="shared" si="105"/>
        <v>PA</v>
      </c>
      <c r="E2264" s="2200" t="str">
        <f t="shared" si="106"/>
        <v>42</v>
      </c>
      <c r="F2264" s="2200" t="str">
        <f t="shared" si="107"/>
        <v>033</v>
      </c>
      <c r="G2264" s="2200">
        <f>--SUBTOTAL(3,C$2:C2264)</f>
        <v>67</v>
      </c>
    </row>
    <row r="2265" spans="1:7" hidden="1" x14ac:dyDescent="0.15">
      <c r="A2265" s="2200" t="s">
        <v>4280</v>
      </c>
      <c r="B2265" s="2200" t="s">
        <v>8807</v>
      </c>
      <c r="C2265" s="2200" t="s">
        <v>8808</v>
      </c>
      <c r="D2265" s="2200" t="str">
        <f t="shared" si="105"/>
        <v>PA</v>
      </c>
      <c r="E2265" s="2200" t="str">
        <f t="shared" si="106"/>
        <v>42</v>
      </c>
      <c r="F2265" s="2200" t="str">
        <f t="shared" si="107"/>
        <v>035</v>
      </c>
      <c r="G2265" s="2200">
        <f>--SUBTOTAL(3,C$2:C2265)</f>
        <v>67</v>
      </c>
    </row>
    <row r="2266" spans="1:7" hidden="1" x14ac:dyDescent="0.15">
      <c r="A2266" s="2200" t="s">
        <v>4280</v>
      </c>
      <c r="B2266" s="2200" t="s">
        <v>8809</v>
      </c>
      <c r="C2266" s="2200" t="s">
        <v>8810</v>
      </c>
      <c r="D2266" s="2200" t="str">
        <f t="shared" si="105"/>
        <v>PA</v>
      </c>
      <c r="E2266" s="2200" t="str">
        <f t="shared" si="106"/>
        <v>42</v>
      </c>
      <c r="F2266" s="2200" t="str">
        <f t="shared" si="107"/>
        <v>037</v>
      </c>
      <c r="G2266" s="2200">
        <f>--SUBTOTAL(3,C$2:C2266)</f>
        <v>67</v>
      </c>
    </row>
    <row r="2267" spans="1:7" hidden="1" x14ac:dyDescent="0.15">
      <c r="A2267" s="2200" t="s">
        <v>4280</v>
      </c>
      <c r="B2267" s="2200" t="s">
        <v>8811</v>
      </c>
      <c r="C2267" s="2200" t="s">
        <v>8812</v>
      </c>
      <c r="D2267" s="2200" t="str">
        <f t="shared" si="105"/>
        <v>PA</v>
      </c>
      <c r="E2267" s="2200" t="str">
        <f t="shared" si="106"/>
        <v>42</v>
      </c>
      <c r="F2267" s="2200" t="str">
        <f t="shared" si="107"/>
        <v>039</v>
      </c>
      <c r="G2267" s="2200">
        <f>--SUBTOTAL(3,C$2:C2267)</f>
        <v>67</v>
      </c>
    </row>
    <row r="2268" spans="1:7" hidden="1" x14ac:dyDescent="0.15">
      <c r="A2268" s="2200" t="s">
        <v>4280</v>
      </c>
      <c r="B2268" s="2200" t="s">
        <v>8813</v>
      </c>
      <c r="C2268" s="2200" t="s">
        <v>8814</v>
      </c>
      <c r="D2268" s="2200" t="str">
        <f t="shared" si="105"/>
        <v>PA</v>
      </c>
      <c r="E2268" s="2200" t="str">
        <f t="shared" si="106"/>
        <v>42</v>
      </c>
      <c r="F2268" s="2200" t="str">
        <f t="shared" si="107"/>
        <v>041</v>
      </c>
      <c r="G2268" s="2200">
        <f>--SUBTOTAL(3,C$2:C2268)</f>
        <v>67</v>
      </c>
    </row>
    <row r="2269" spans="1:7" hidden="1" x14ac:dyDescent="0.15">
      <c r="A2269" s="2200" t="s">
        <v>4280</v>
      </c>
      <c r="B2269" s="2200" t="s">
        <v>8815</v>
      </c>
      <c r="C2269" s="2200" t="s">
        <v>8816</v>
      </c>
      <c r="D2269" s="2200" t="str">
        <f t="shared" si="105"/>
        <v>PA</v>
      </c>
      <c r="E2269" s="2200" t="str">
        <f t="shared" si="106"/>
        <v>42</v>
      </c>
      <c r="F2269" s="2200" t="str">
        <f t="shared" si="107"/>
        <v>043</v>
      </c>
      <c r="G2269" s="2200">
        <f>--SUBTOTAL(3,C$2:C2269)</f>
        <v>67</v>
      </c>
    </row>
    <row r="2270" spans="1:7" hidden="1" x14ac:dyDescent="0.15">
      <c r="A2270" s="2200" t="s">
        <v>4280</v>
      </c>
      <c r="B2270" s="2200" t="s">
        <v>8817</v>
      </c>
      <c r="C2270" s="2200" t="s">
        <v>8818</v>
      </c>
      <c r="D2270" s="2200" t="str">
        <f t="shared" si="105"/>
        <v>PA</v>
      </c>
      <c r="E2270" s="2200" t="str">
        <f t="shared" si="106"/>
        <v>42</v>
      </c>
      <c r="F2270" s="2200" t="str">
        <f t="shared" si="107"/>
        <v>045</v>
      </c>
      <c r="G2270" s="2200">
        <f>--SUBTOTAL(3,C$2:C2270)</f>
        <v>67</v>
      </c>
    </row>
    <row r="2271" spans="1:7" hidden="1" x14ac:dyDescent="0.15">
      <c r="A2271" s="2200" t="s">
        <v>4280</v>
      </c>
      <c r="B2271" s="2200" t="s">
        <v>8819</v>
      </c>
      <c r="C2271" s="2200" t="s">
        <v>8820</v>
      </c>
      <c r="D2271" s="2200" t="str">
        <f t="shared" si="105"/>
        <v>PA</v>
      </c>
      <c r="E2271" s="2200" t="str">
        <f t="shared" si="106"/>
        <v>42</v>
      </c>
      <c r="F2271" s="2200" t="str">
        <f t="shared" si="107"/>
        <v>047</v>
      </c>
      <c r="G2271" s="2200">
        <f>--SUBTOTAL(3,C$2:C2271)</f>
        <v>67</v>
      </c>
    </row>
    <row r="2272" spans="1:7" hidden="1" x14ac:dyDescent="0.15">
      <c r="A2272" s="2200" t="s">
        <v>4280</v>
      </c>
      <c r="B2272" s="2200" t="s">
        <v>8821</v>
      </c>
      <c r="C2272" s="2200" t="s">
        <v>8822</v>
      </c>
      <c r="D2272" s="2200" t="str">
        <f t="shared" si="105"/>
        <v>PA</v>
      </c>
      <c r="E2272" s="2200" t="str">
        <f t="shared" si="106"/>
        <v>42</v>
      </c>
      <c r="F2272" s="2200" t="str">
        <f t="shared" si="107"/>
        <v>049</v>
      </c>
      <c r="G2272" s="2200">
        <f>--SUBTOTAL(3,C$2:C2272)</f>
        <v>67</v>
      </c>
    </row>
    <row r="2273" spans="1:7" hidden="1" x14ac:dyDescent="0.15">
      <c r="A2273" s="2200" t="s">
        <v>4280</v>
      </c>
      <c r="B2273" s="2200" t="s">
        <v>8823</v>
      </c>
      <c r="C2273" s="2200" t="s">
        <v>8824</v>
      </c>
      <c r="D2273" s="2200" t="str">
        <f t="shared" si="105"/>
        <v>PA</v>
      </c>
      <c r="E2273" s="2200" t="str">
        <f t="shared" si="106"/>
        <v>42</v>
      </c>
      <c r="F2273" s="2200" t="str">
        <f t="shared" si="107"/>
        <v>051</v>
      </c>
      <c r="G2273" s="2200">
        <f>--SUBTOTAL(3,C$2:C2273)</f>
        <v>67</v>
      </c>
    </row>
    <row r="2274" spans="1:7" hidden="1" x14ac:dyDescent="0.15">
      <c r="A2274" s="2200" t="s">
        <v>4280</v>
      </c>
      <c r="B2274" s="2200" t="s">
        <v>8825</v>
      </c>
      <c r="C2274" s="2200" t="s">
        <v>8826</v>
      </c>
      <c r="D2274" s="2200" t="str">
        <f t="shared" si="105"/>
        <v>PA</v>
      </c>
      <c r="E2274" s="2200" t="str">
        <f t="shared" si="106"/>
        <v>42</v>
      </c>
      <c r="F2274" s="2200" t="str">
        <f t="shared" si="107"/>
        <v>053</v>
      </c>
      <c r="G2274" s="2200">
        <f>--SUBTOTAL(3,C$2:C2274)</f>
        <v>67</v>
      </c>
    </row>
    <row r="2275" spans="1:7" hidden="1" x14ac:dyDescent="0.15">
      <c r="A2275" s="2200" t="s">
        <v>4280</v>
      </c>
      <c r="B2275" s="2200" t="s">
        <v>8827</v>
      </c>
      <c r="C2275" s="2200" t="s">
        <v>8828</v>
      </c>
      <c r="D2275" s="2200" t="str">
        <f t="shared" si="105"/>
        <v>PA</v>
      </c>
      <c r="E2275" s="2200" t="str">
        <f t="shared" si="106"/>
        <v>42</v>
      </c>
      <c r="F2275" s="2200" t="str">
        <f t="shared" si="107"/>
        <v>055</v>
      </c>
      <c r="G2275" s="2200">
        <f>--SUBTOTAL(3,C$2:C2275)</f>
        <v>67</v>
      </c>
    </row>
    <row r="2276" spans="1:7" hidden="1" x14ac:dyDescent="0.15">
      <c r="A2276" s="2200" t="s">
        <v>4280</v>
      </c>
      <c r="B2276" s="2200" t="s">
        <v>8829</v>
      </c>
      <c r="C2276" s="2200" t="s">
        <v>8830</v>
      </c>
      <c r="D2276" s="2200" t="str">
        <f t="shared" si="105"/>
        <v>PA</v>
      </c>
      <c r="E2276" s="2200" t="str">
        <f t="shared" si="106"/>
        <v>42</v>
      </c>
      <c r="F2276" s="2200" t="str">
        <f t="shared" si="107"/>
        <v>057</v>
      </c>
      <c r="G2276" s="2200">
        <f>--SUBTOTAL(3,C$2:C2276)</f>
        <v>67</v>
      </c>
    </row>
    <row r="2277" spans="1:7" hidden="1" x14ac:dyDescent="0.15">
      <c r="A2277" s="2200" t="s">
        <v>4280</v>
      </c>
      <c r="B2277" s="2200" t="s">
        <v>8831</v>
      </c>
      <c r="C2277" s="2200" t="s">
        <v>8832</v>
      </c>
      <c r="D2277" s="2200" t="str">
        <f t="shared" si="105"/>
        <v>PA</v>
      </c>
      <c r="E2277" s="2200" t="str">
        <f t="shared" si="106"/>
        <v>42</v>
      </c>
      <c r="F2277" s="2200" t="str">
        <f t="shared" si="107"/>
        <v>059</v>
      </c>
      <c r="G2277" s="2200">
        <f>--SUBTOTAL(3,C$2:C2277)</f>
        <v>67</v>
      </c>
    </row>
    <row r="2278" spans="1:7" hidden="1" x14ac:dyDescent="0.15">
      <c r="A2278" s="2200" t="s">
        <v>4280</v>
      </c>
      <c r="B2278" s="2200" t="s">
        <v>8833</v>
      </c>
      <c r="C2278" s="2200" t="s">
        <v>8834</v>
      </c>
      <c r="D2278" s="2200" t="str">
        <f t="shared" si="105"/>
        <v>PA</v>
      </c>
      <c r="E2278" s="2200" t="str">
        <f t="shared" si="106"/>
        <v>42</v>
      </c>
      <c r="F2278" s="2200" t="str">
        <f t="shared" si="107"/>
        <v>061</v>
      </c>
      <c r="G2278" s="2200">
        <f>--SUBTOTAL(3,C$2:C2278)</f>
        <v>67</v>
      </c>
    </row>
    <row r="2279" spans="1:7" hidden="1" x14ac:dyDescent="0.15">
      <c r="A2279" s="2200" t="s">
        <v>4280</v>
      </c>
      <c r="B2279" s="2200" t="s">
        <v>8835</v>
      </c>
      <c r="C2279" s="2200" t="s">
        <v>8836</v>
      </c>
      <c r="D2279" s="2200" t="str">
        <f t="shared" si="105"/>
        <v>PA</v>
      </c>
      <c r="E2279" s="2200" t="str">
        <f t="shared" si="106"/>
        <v>42</v>
      </c>
      <c r="F2279" s="2200" t="str">
        <f t="shared" si="107"/>
        <v>063</v>
      </c>
      <c r="G2279" s="2200">
        <f>--SUBTOTAL(3,C$2:C2279)</f>
        <v>67</v>
      </c>
    </row>
    <row r="2280" spans="1:7" hidden="1" x14ac:dyDescent="0.15">
      <c r="A2280" s="2200" t="s">
        <v>4280</v>
      </c>
      <c r="B2280" s="2200" t="s">
        <v>8837</v>
      </c>
      <c r="C2280" s="2200" t="s">
        <v>8838</v>
      </c>
      <c r="D2280" s="2200" t="str">
        <f t="shared" si="105"/>
        <v>PA</v>
      </c>
      <c r="E2280" s="2200" t="str">
        <f t="shared" si="106"/>
        <v>42</v>
      </c>
      <c r="F2280" s="2200" t="str">
        <f t="shared" si="107"/>
        <v>065</v>
      </c>
      <c r="G2280" s="2200">
        <f>--SUBTOTAL(3,C$2:C2280)</f>
        <v>67</v>
      </c>
    </row>
    <row r="2281" spans="1:7" hidden="1" x14ac:dyDescent="0.15">
      <c r="A2281" s="2200" t="s">
        <v>4280</v>
      </c>
      <c r="B2281" s="2200" t="s">
        <v>8839</v>
      </c>
      <c r="C2281" s="2200" t="s">
        <v>8840</v>
      </c>
      <c r="D2281" s="2200" t="str">
        <f t="shared" si="105"/>
        <v>PA</v>
      </c>
      <c r="E2281" s="2200" t="str">
        <f t="shared" si="106"/>
        <v>42</v>
      </c>
      <c r="F2281" s="2200" t="str">
        <f t="shared" si="107"/>
        <v>067</v>
      </c>
      <c r="G2281" s="2200">
        <f>--SUBTOTAL(3,C$2:C2281)</f>
        <v>67</v>
      </c>
    </row>
    <row r="2282" spans="1:7" hidden="1" x14ac:dyDescent="0.15">
      <c r="A2282" s="2200" t="s">
        <v>4280</v>
      </c>
      <c r="B2282" s="2200" t="s">
        <v>8841</v>
      </c>
      <c r="C2282" s="2200" t="s">
        <v>8842</v>
      </c>
      <c r="D2282" s="2200" t="str">
        <f t="shared" si="105"/>
        <v>PA</v>
      </c>
      <c r="E2282" s="2200" t="str">
        <f t="shared" si="106"/>
        <v>42</v>
      </c>
      <c r="F2282" s="2200" t="str">
        <f t="shared" si="107"/>
        <v>069</v>
      </c>
      <c r="G2282" s="2200">
        <f>--SUBTOTAL(3,C$2:C2282)</f>
        <v>67</v>
      </c>
    </row>
    <row r="2283" spans="1:7" hidden="1" x14ac:dyDescent="0.15">
      <c r="A2283" s="2200" t="s">
        <v>4280</v>
      </c>
      <c r="B2283" s="2200" t="s">
        <v>8843</v>
      </c>
      <c r="C2283" s="2200" t="s">
        <v>8844</v>
      </c>
      <c r="D2283" s="2200" t="str">
        <f t="shared" si="105"/>
        <v>PA</v>
      </c>
      <c r="E2283" s="2200" t="str">
        <f t="shared" si="106"/>
        <v>42</v>
      </c>
      <c r="F2283" s="2200" t="str">
        <f t="shared" si="107"/>
        <v>071</v>
      </c>
      <c r="G2283" s="2200">
        <f>--SUBTOTAL(3,C$2:C2283)</f>
        <v>67</v>
      </c>
    </row>
    <row r="2284" spans="1:7" hidden="1" x14ac:dyDescent="0.15">
      <c r="A2284" s="2200" t="s">
        <v>4280</v>
      </c>
      <c r="B2284" s="2200" t="s">
        <v>8845</v>
      </c>
      <c r="C2284" s="2200" t="s">
        <v>8846</v>
      </c>
      <c r="D2284" s="2200" t="str">
        <f t="shared" si="105"/>
        <v>PA</v>
      </c>
      <c r="E2284" s="2200" t="str">
        <f t="shared" si="106"/>
        <v>42</v>
      </c>
      <c r="F2284" s="2200" t="str">
        <f t="shared" si="107"/>
        <v>073</v>
      </c>
      <c r="G2284" s="2200">
        <f>--SUBTOTAL(3,C$2:C2284)</f>
        <v>67</v>
      </c>
    </row>
    <row r="2285" spans="1:7" hidden="1" x14ac:dyDescent="0.15">
      <c r="A2285" s="2200" t="s">
        <v>4280</v>
      </c>
      <c r="B2285" s="2200" t="s">
        <v>8847</v>
      </c>
      <c r="C2285" s="2200" t="s">
        <v>8848</v>
      </c>
      <c r="D2285" s="2200" t="str">
        <f t="shared" si="105"/>
        <v>PA</v>
      </c>
      <c r="E2285" s="2200" t="str">
        <f t="shared" si="106"/>
        <v>42</v>
      </c>
      <c r="F2285" s="2200" t="str">
        <f t="shared" si="107"/>
        <v>075</v>
      </c>
      <c r="G2285" s="2200">
        <f>--SUBTOTAL(3,C$2:C2285)</f>
        <v>67</v>
      </c>
    </row>
    <row r="2286" spans="1:7" hidden="1" x14ac:dyDescent="0.15">
      <c r="A2286" s="2200" t="s">
        <v>4280</v>
      </c>
      <c r="B2286" s="2200" t="s">
        <v>8849</v>
      </c>
      <c r="C2286" s="2200" t="s">
        <v>8850</v>
      </c>
      <c r="D2286" s="2200" t="str">
        <f t="shared" si="105"/>
        <v>PA</v>
      </c>
      <c r="E2286" s="2200" t="str">
        <f t="shared" si="106"/>
        <v>42</v>
      </c>
      <c r="F2286" s="2200" t="str">
        <f t="shared" si="107"/>
        <v>077</v>
      </c>
      <c r="G2286" s="2200">
        <f>--SUBTOTAL(3,C$2:C2286)</f>
        <v>67</v>
      </c>
    </row>
    <row r="2287" spans="1:7" hidden="1" x14ac:dyDescent="0.15">
      <c r="A2287" s="2200" t="s">
        <v>4280</v>
      </c>
      <c r="B2287" s="2200" t="s">
        <v>8851</v>
      </c>
      <c r="C2287" s="2200" t="s">
        <v>8852</v>
      </c>
      <c r="D2287" s="2200" t="str">
        <f t="shared" si="105"/>
        <v>PA</v>
      </c>
      <c r="E2287" s="2200" t="str">
        <f t="shared" si="106"/>
        <v>42</v>
      </c>
      <c r="F2287" s="2200" t="str">
        <f t="shared" si="107"/>
        <v>079</v>
      </c>
      <c r="G2287" s="2200">
        <f>--SUBTOTAL(3,C$2:C2287)</f>
        <v>67</v>
      </c>
    </row>
    <row r="2288" spans="1:7" hidden="1" x14ac:dyDescent="0.15">
      <c r="A2288" s="2200" t="s">
        <v>4280</v>
      </c>
      <c r="B2288" s="2200" t="s">
        <v>8853</v>
      </c>
      <c r="C2288" s="2200" t="s">
        <v>8854</v>
      </c>
      <c r="D2288" s="2200" t="str">
        <f t="shared" si="105"/>
        <v>PA</v>
      </c>
      <c r="E2288" s="2200" t="str">
        <f t="shared" si="106"/>
        <v>42</v>
      </c>
      <c r="F2288" s="2200" t="str">
        <f t="shared" si="107"/>
        <v>081</v>
      </c>
      <c r="G2288" s="2200">
        <f>--SUBTOTAL(3,C$2:C2288)</f>
        <v>67</v>
      </c>
    </row>
    <row r="2289" spans="1:7" hidden="1" x14ac:dyDescent="0.15">
      <c r="A2289" s="2200" t="s">
        <v>4280</v>
      </c>
      <c r="B2289" s="2200" t="s">
        <v>8855</v>
      </c>
      <c r="C2289" s="2200" t="s">
        <v>8856</v>
      </c>
      <c r="D2289" s="2200" t="str">
        <f t="shared" si="105"/>
        <v>PA</v>
      </c>
      <c r="E2289" s="2200" t="str">
        <f t="shared" si="106"/>
        <v>42</v>
      </c>
      <c r="F2289" s="2200" t="str">
        <f t="shared" si="107"/>
        <v>083</v>
      </c>
      <c r="G2289" s="2200">
        <f>--SUBTOTAL(3,C$2:C2289)</f>
        <v>67</v>
      </c>
    </row>
    <row r="2290" spans="1:7" hidden="1" x14ac:dyDescent="0.15">
      <c r="A2290" s="2200" t="s">
        <v>4280</v>
      </c>
      <c r="B2290" s="2200" t="s">
        <v>8857</v>
      </c>
      <c r="C2290" s="2200" t="s">
        <v>8858</v>
      </c>
      <c r="D2290" s="2200" t="str">
        <f t="shared" si="105"/>
        <v>PA</v>
      </c>
      <c r="E2290" s="2200" t="str">
        <f t="shared" si="106"/>
        <v>42</v>
      </c>
      <c r="F2290" s="2200" t="str">
        <f t="shared" si="107"/>
        <v>085</v>
      </c>
      <c r="G2290" s="2200">
        <f>--SUBTOTAL(3,C$2:C2290)</f>
        <v>67</v>
      </c>
    </row>
    <row r="2291" spans="1:7" hidden="1" x14ac:dyDescent="0.15">
      <c r="A2291" s="2200" t="s">
        <v>4280</v>
      </c>
      <c r="B2291" s="2200" t="s">
        <v>8859</v>
      </c>
      <c r="C2291" s="2200" t="s">
        <v>8860</v>
      </c>
      <c r="D2291" s="2200" t="str">
        <f t="shared" si="105"/>
        <v>PA</v>
      </c>
      <c r="E2291" s="2200" t="str">
        <f t="shared" si="106"/>
        <v>42</v>
      </c>
      <c r="F2291" s="2200" t="str">
        <f t="shared" si="107"/>
        <v>087</v>
      </c>
      <c r="G2291" s="2200">
        <f>--SUBTOTAL(3,C$2:C2291)</f>
        <v>67</v>
      </c>
    </row>
    <row r="2292" spans="1:7" hidden="1" x14ac:dyDescent="0.15">
      <c r="A2292" s="2200" t="s">
        <v>4280</v>
      </c>
      <c r="B2292" s="2200" t="s">
        <v>8861</v>
      </c>
      <c r="C2292" s="2200" t="s">
        <v>8862</v>
      </c>
      <c r="D2292" s="2200" t="str">
        <f t="shared" si="105"/>
        <v>PA</v>
      </c>
      <c r="E2292" s="2200" t="str">
        <f t="shared" si="106"/>
        <v>42</v>
      </c>
      <c r="F2292" s="2200" t="str">
        <f t="shared" si="107"/>
        <v>089</v>
      </c>
      <c r="G2292" s="2200">
        <f>--SUBTOTAL(3,C$2:C2292)</f>
        <v>67</v>
      </c>
    </row>
    <row r="2293" spans="1:7" hidden="1" x14ac:dyDescent="0.15">
      <c r="A2293" s="2200" t="s">
        <v>4280</v>
      </c>
      <c r="B2293" s="2200" t="s">
        <v>8863</v>
      </c>
      <c r="C2293" s="2200" t="s">
        <v>8864</v>
      </c>
      <c r="D2293" s="2200" t="str">
        <f t="shared" si="105"/>
        <v>PA</v>
      </c>
      <c r="E2293" s="2200" t="str">
        <f t="shared" si="106"/>
        <v>42</v>
      </c>
      <c r="F2293" s="2200" t="str">
        <f t="shared" si="107"/>
        <v>091</v>
      </c>
      <c r="G2293" s="2200">
        <f>--SUBTOTAL(3,C$2:C2293)</f>
        <v>67</v>
      </c>
    </row>
    <row r="2294" spans="1:7" hidden="1" x14ac:dyDescent="0.15">
      <c r="A2294" s="2200" t="s">
        <v>4280</v>
      </c>
      <c r="B2294" s="2200" t="s">
        <v>8865</v>
      </c>
      <c r="C2294" s="2200" t="s">
        <v>8866</v>
      </c>
      <c r="D2294" s="2200" t="str">
        <f t="shared" si="105"/>
        <v>PA</v>
      </c>
      <c r="E2294" s="2200" t="str">
        <f t="shared" si="106"/>
        <v>42</v>
      </c>
      <c r="F2294" s="2200" t="str">
        <f t="shared" si="107"/>
        <v>093</v>
      </c>
      <c r="G2294" s="2200">
        <f>--SUBTOTAL(3,C$2:C2294)</f>
        <v>67</v>
      </c>
    </row>
    <row r="2295" spans="1:7" hidden="1" x14ac:dyDescent="0.15">
      <c r="A2295" s="2200" t="s">
        <v>4280</v>
      </c>
      <c r="B2295" s="2200" t="s">
        <v>8867</v>
      </c>
      <c r="C2295" s="2200" t="s">
        <v>8868</v>
      </c>
      <c r="D2295" s="2200" t="str">
        <f t="shared" si="105"/>
        <v>PA</v>
      </c>
      <c r="E2295" s="2200" t="str">
        <f t="shared" si="106"/>
        <v>42</v>
      </c>
      <c r="F2295" s="2200" t="str">
        <f t="shared" si="107"/>
        <v>095</v>
      </c>
      <c r="G2295" s="2200">
        <f>--SUBTOTAL(3,C$2:C2295)</f>
        <v>67</v>
      </c>
    </row>
    <row r="2296" spans="1:7" hidden="1" x14ac:dyDescent="0.15">
      <c r="A2296" s="2200" t="s">
        <v>4280</v>
      </c>
      <c r="B2296" s="2200" t="s">
        <v>8869</v>
      </c>
      <c r="C2296" s="2200" t="s">
        <v>8870</v>
      </c>
      <c r="D2296" s="2200" t="str">
        <f t="shared" si="105"/>
        <v>PA</v>
      </c>
      <c r="E2296" s="2200" t="str">
        <f t="shared" si="106"/>
        <v>42</v>
      </c>
      <c r="F2296" s="2200" t="str">
        <f t="shared" si="107"/>
        <v>097</v>
      </c>
      <c r="G2296" s="2200">
        <f>--SUBTOTAL(3,C$2:C2296)</f>
        <v>67</v>
      </c>
    </row>
    <row r="2297" spans="1:7" hidden="1" x14ac:dyDescent="0.15">
      <c r="A2297" s="2200" t="s">
        <v>4280</v>
      </c>
      <c r="B2297" s="2200" t="s">
        <v>8871</v>
      </c>
      <c r="C2297" s="2200" t="s">
        <v>8872</v>
      </c>
      <c r="D2297" s="2200" t="str">
        <f t="shared" si="105"/>
        <v>PA</v>
      </c>
      <c r="E2297" s="2200" t="str">
        <f t="shared" si="106"/>
        <v>42</v>
      </c>
      <c r="F2297" s="2200" t="str">
        <f t="shared" si="107"/>
        <v>099</v>
      </c>
      <c r="G2297" s="2200">
        <f>--SUBTOTAL(3,C$2:C2297)</f>
        <v>67</v>
      </c>
    </row>
    <row r="2298" spans="1:7" hidden="1" x14ac:dyDescent="0.15">
      <c r="A2298" s="2200" t="s">
        <v>4280</v>
      </c>
      <c r="B2298" s="2200" t="s">
        <v>8873</v>
      </c>
      <c r="C2298" s="2200" t="s">
        <v>8874</v>
      </c>
      <c r="D2298" s="2200" t="str">
        <f t="shared" si="105"/>
        <v>PA</v>
      </c>
      <c r="E2298" s="2200" t="str">
        <f t="shared" si="106"/>
        <v>42</v>
      </c>
      <c r="F2298" s="2200" t="str">
        <f t="shared" si="107"/>
        <v>101</v>
      </c>
      <c r="G2298" s="2200">
        <f>--SUBTOTAL(3,C$2:C2298)</f>
        <v>67</v>
      </c>
    </row>
    <row r="2299" spans="1:7" hidden="1" x14ac:dyDescent="0.15">
      <c r="A2299" s="2200" t="s">
        <v>4280</v>
      </c>
      <c r="B2299" s="2200" t="s">
        <v>8875</v>
      </c>
      <c r="C2299" s="2200" t="s">
        <v>8876</v>
      </c>
      <c r="D2299" s="2200" t="str">
        <f t="shared" si="105"/>
        <v>PA</v>
      </c>
      <c r="E2299" s="2200" t="str">
        <f t="shared" si="106"/>
        <v>42</v>
      </c>
      <c r="F2299" s="2200" t="str">
        <f t="shared" si="107"/>
        <v>103</v>
      </c>
      <c r="G2299" s="2200">
        <f>--SUBTOTAL(3,C$2:C2299)</f>
        <v>67</v>
      </c>
    </row>
    <row r="2300" spans="1:7" hidden="1" x14ac:dyDescent="0.15">
      <c r="A2300" s="2200" t="s">
        <v>4280</v>
      </c>
      <c r="B2300" s="2200" t="s">
        <v>8877</v>
      </c>
      <c r="C2300" s="2200" t="s">
        <v>8878</v>
      </c>
      <c r="D2300" s="2200" t="str">
        <f t="shared" si="105"/>
        <v>PA</v>
      </c>
      <c r="E2300" s="2200" t="str">
        <f t="shared" si="106"/>
        <v>42</v>
      </c>
      <c r="F2300" s="2200" t="str">
        <f t="shared" si="107"/>
        <v>105</v>
      </c>
      <c r="G2300" s="2200">
        <f>--SUBTOTAL(3,C$2:C2300)</f>
        <v>67</v>
      </c>
    </row>
    <row r="2301" spans="1:7" hidden="1" x14ac:dyDescent="0.15">
      <c r="A2301" s="2200" t="s">
        <v>4280</v>
      </c>
      <c r="B2301" s="2200" t="s">
        <v>8879</v>
      </c>
      <c r="C2301" s="2200" t="s">
        <v>8880</v>
      </c>
      <c r="D2301" s="2200" t="str">
        <f t="shared" si="105"/>
        <v>PA</v>
      </c>
      <c r="E2301" s="2200" t="str">
        <f t="shared" si="106"/>
        <v>42</v>
      </c>
      <c r="F2301" s="2200" t="str">
        <f t="shared" si="107"/>
        <v>107</v>
      </c>
      <c r="G2301" s="2200">
        <f>--SUBTOTAL(3,C$2:C2301)</f>
        <v>67</v>
      </c>
    </row>
    <row r="2302" spans="1:7" hidden="1" x14ac:dyDescent="0.15">
      <c r="A2302" s="2200" t="s">
        <v>4280</v>
      </c>
      <c r="B2302" s="2200" t="s">
        <v>8881</v>
      </c>
      <c r="C2302" s="2200" t="s">
        <v>8882</v>
      </c>
      <c r="D2302" s="2200" t="str">
        <f t="shared" si="105"/>
        <v>PA</v>
      </c>
      <c r="E2302" s="2200" t="str">
        <f t="shared" si="106"/>
        <v>42</v>
      </c>
      <c r="F2302" s="2200" t="str">
        <f t="shared" si="107"/>
        <v>109</v>
      </c>
      <c r="G2302" s="2200">
        <f>--SUBTOTAL(3,C$2:C2302)</f>
        <v>67</v>
      </c>
    </row>
    <row r="2303" spans="1:7" hidden="1" x14ac:dyDescent="0.15">
      <c r="A2303" s="2200" t="s">
        <v>4280</v>
      </c>
      <c r="B2303" s="2200" t="s">
        <v>8883</v>
      </c>
      <c r="C2303" s="2200" t="s">
        <v>8884</v>
      </c>
      <c r="D2303" s="2200" t="str">
        <f t="shared" si="105"/>
        <v>PA</v>
      </c>
      <c r="E2303" s="2200" t="str">
        <f t="shared" si="106"/>
        <v>42</v>
      </c>
      <c r="F2303" s="2200" t="str">
        <f t="shared" si="107"/>
        <v>111</v>
      </c>
      <c r="G2303" s="2200">
        <f>--SUBTOTAL(3,C$2:C2303)</f>
        <v>67</v>
      </c>
    </row>
    <row r="2304" spans="1:7" hidden="1" x14ac:dyDescent="0.15">
      <c r="A2304" s="2200" t="s">
        <v>4280</v>
      </c>
      <c r="B2304" s="2200" t="s">
        <v>8885</v>
      </c>
      <c r="C2304" s="2200" t="s">
        <v>8886</v>
      </c>
      <c r="D2304" s="2200" t="str">
        <f t="shared" si="105"/>
        <v>PA</v>
      </c>
      <c r="E2304" s="2200" t="str">
        <f t="shared" si="106"/>
        <v>42</v>
      </c>
      <c r="F2304" s="2200" t="str">
        <f t="shared" si="107"/>
        <v>113</v>
      </c>
      <c r="G2304" s="2200">
        <f>--SUBTOTAL(3,C$2:C2304)</f>
        <v>67</v>
      </c>
    </row>
    <row r="2305" spans="1:7" hidden="1" x14ac:dyDescent="0.15">
      <c r="A2305" s="2200" t="s">
        <v>4280</v>
      </c>
      <c r="B2305" s="2200" t="s">
        <v>8887</v>
      </c>
      <c r="C2305" s="2200" t="s">
        <v>8888</v>
      </c>
      <c r="D2305" s="2200" t="str">
        <f t="shared" si="105"/>
        <v>PA</v>
      </c>
      <c r="E2305" s="2200" t="str">
        <f t="shared" si="106"/>
        <v>42</v>
      </c>
      <c r="F2305" s="2200" t="str">
        <f t="shared" si="107"/>
        <v>115</v>
      </c>
      <c r="G2305" s="2200">
        <f>--SUBTOTAL(3,C$2:C2305)</f>
        <v>67</v>
      </c>
    </row>
    <row r="2306" spans="1:7" hidden="1" x14ac:dyDescent="0.15">
      <c r="A2306" s="2200" t="s">
        <v>4280</v>
      </c>
      <c r="B2306" s="2200" t="s">
        <v>8889</v>
      </c>
      <c r="C2306" s="2200" t="s">
        <v>8890</v>
      </c>
      <c r="D2306" s="2200" t="str">
        <f t="shared" si="105"/>
        <v>PA</v>
      </c>
      <c r="E2306" s="2200" t="str">
        <f t="shared" si="106"/>
        <v>42</v>
      </c>
      <c r="F2306" s="2200" t="str">
        <f t="shared" si="107"/>
        <v>117</v>
      </c>
      <c r="G2306" s="2200">
        <f>--SUBTOTAL(3,C$2:C2306)</f>
        <v>67</v>
      </c>
    </row>
    <row r="2307" spans="1:7" hidden="1" x14ac:dyDescent="0.15">
      <c r="A2307" s="2200" t="s">
        <v>4280</v>
      </c>
      <c r="B2307" s="2200" t="s">
        <v>8891</v>
      </c>
      <c r="C2307" s="2200" t="s">
        <v>8892</v>
      </c>
      <c r="D2307" s="2200" t="str">
        <f t="shared" ref="D2307:D2370" si="108">RIGHT(C2307,2)</f>
        <v>PA</v>
      </c>
      <c r="E2307" s="2200" t="str">
        <f t="shared" ref="E2307:E2370" si="109">MID(B2307,3,2)</f>
        <v>42</v>
      </c>
      <c r="F2307" s="2200" t="str">
        <f t="shared" ref="F2307:F2370" si="110">MID(B2307,5,3)</f>
        <v>119</v>
      </c>
      <c r="G2307" s="2200">
        <f>--SUBTOTAL(3,C$2:C2307)</f>
        <v>67</v>
      </c>
    </row>
    <row r="2308" spans="1:7" hidden="1" x14ac:dyDescent="0.15">
      <c r="A2308" s="2200" t="s">
        <v>4280</v>
      </c>
      <c r="B2308" s="2200" t="s">
        <v>8893</v>
      </c>
      <c r="C2308" s="2200" t="s">
        <v>8894</v>
      </c>
      <c r="D2308" s="2200" t="str">
        <f t="shared" si="108"/>
        <v>PA</v>
      </c>
      <c r="E2308" s="2200" t="str">
        <f t="shared" si="109"/>
        <v>42</v>
      </c>
      <c r="F2308" s="2200" t="str">
        <f t="shared" si="110"/>
        <v>121</v>
      </c>
      <c r="G2308" s="2200">
        <f>--SUBTOTAL(3,C$2:C2308)</f>
        <v>67</v>
      </c>
    </row>
    <row r="2309" spans="1:7" hidden="1" x14ac:dyDescent="0.15">
      <c r="A2309" s="2200" t="s">
        <v>4280</v>
      </c>
      <c r="B2309" s="2200" t="s">
        <v>8895</v>
      </c>
      <c r="C2309" s="2200" t="s">
        <v>8896</v>
      </c>
      <c r="D2309" s="2200" t="str">
        <f t="shared" si="108"/>
        <v>PA</v>
      </c>
      <c r="E2309" s="2200" t="str">
        <f t="shared" si="109"/>
        <v>42</v>
      </c>
      <c r="F2309" s="2200" t="str">
        <f t="shared" si="110"/>
        <v>123</v>
      </c>
      <c r="G2309" s="2200">
        <f>--SUBTOTAL(3,C$2:C2309)</f>
        <v>67</v>
      </c>
    </row>
    <row r="2310" spans="1:7" hidden="1" x14ac:dyDescent="0.15">
      <c r="A2310" s="2200" t="s">
        <v>4280</v>
      </c>
      <c r="B2310" s="2200" t="s">
        <v>8897</v>
      </c>
      <c r="C2310" s="2200" t="s">
        <v>8898</v>
      </c>
      <c r="D2310" s="2200" t="str">
        <f t="shared" si="108"/>
        <v>PA</v>
      </c>
      <c r="E2310" s="2200" t="str">
        <f t="shared" si="109"/>
        <v>42</v>
      </c>
      <c r="F2310" s="2200" t="str">
        <f t="shared" si="110"/>
        <v>125</v>
      </c>
      <c r="G2310" s="2200">
        <f>--SUBTOTAL(3,C$2:C2310)</f>
        <v>67</v>
      </c>
    </row>
    <row r="2311" spans="1:7" hidden="1" x14ac:dyDescent="0.15">
      <c r="A2311" s="2200" t="s">
        <v>4280</v>
      </c>
      <c r="B2311" s="2200" t="s">
        <v>8899</v>
      </c>
      <c r="C2311" s="2200" t="s">
        <v>8900</v>
      </c>
      <c r="D2311" s="2200" t="str">
        <f t="shared" si="108"/>
        <v>PA</v>
      </c>
      <c r="E2311" s="2200" t="str">
        <f t="shared" si="109"/>
        <v>42</v>
      </c>
      <c r="F2311" s="2200" t="str">
        <f t="shared" si="110"/>
        <v>127</v>
      </c>
      <c r="G2311" s="2200">
        <f>--SUBTOTAL(3,C$2:C2311)</f>
        <v>67</v>
      </c>
    </row>
    <row r="2312" spans="1:7" hidden="1" x14ac:dyDescent="0.15">
      <c r="A2312" s="2200" t="s">
        <v>4280</v>
      </c>
      <c r="B2312" s="2200" t="s">
        <v>8901</v>
      </c>
      <c r="C2312" s="2200" t="s">
        <v>8902</v>
      </c>
      <c r="D2312" s="2200" t="str">
        <f t="shared" si="108"/>
        <v>PA</v>
      </c>
      <c r="E2312" s="2200" t="str">
        <f t="shared" si="109"/>
        <v>42</v>
      </c>
      <c r="F2312" s="2200" t="str">
        <f t="shared" si="110"/>
        <v>129</v>
      </c>
      <c r="G2312" s="2200">
        <f>--SUBTOTAL(3,C$2:C2312)</f>
        <v>67</v>
      </c>
    </row>
    <row r="2313" spans="1:7" hidden="1" x14ac:dyDescent="0.15">
      <c r="A2313" s="2200" t="s">
        <v>4280</v>
      </c>
      <c r="B2313" s="2200" t="s">
        <v>8903</v>
      </c>
      <c r="C2313" s="2200" t="s">
        <v>8904</v>
      </c>
      <c r="D2313" s="2200" t="str">
        <f t="shared" si="108"/>
        <v>PA</v>
      </c>
      <c r="E2313" s="2200" t="str">
        <f t="shared" si="109"/>
        <v>42</v>
      </c>
      <c r="F2313" s="2200" t="str">
        <f t="shared" si="110"/>
        <v>131</v>
      </c>
      <c r="G2313" s="2200">
        <f>--SUBTOTAL(3,C$2:C2313)</f>
        <v>67</v>
      </c>
    </row>
    <row r="2314" spans="1:7" hidden="1" x14ac:dyDescent="0.15">
      <c r="A2314" s="2200" t="s">
        <v>4280</v>
      </c>
      <c r="B2314" s="2200" t="s">
        <v>8905</v>
      </c>
      <c r="C2314" s="2200" t="s">
        <v>8906</v>
      </c>
      <c r="D2314" s="2200" t="str">
        <f t="shared" si="108"/>
        <v>PA</v>
      </c>
      <c r="E2314" s="2200" t="str">
        <f t="shared" si="109"/>
        <v>42</v>
      </c>
      <c r="F2314" s="2200" t="str">
        <f t="shared" si="110"/>
        <v>133</v>
      </c>
      <c r="G2314" s="2200">
        <f>--SUBTOTAL(3,C$2:C2314)</f>
        <v>67</v>
      </c>
    </row>
    <row r="2315" spans="1:7" hidden="1" x14ac:dyDescent="0.15">
      <c r="A2315" s="2200" t="s">
        <v>4280</v>
      </c>
      <c r="B2315" s="2200" t="s">
        <v>8907</v>
      </c>
      <c r="C2315" s="2200" t="s">
        <v>8908</v>
      </c>
      <c r="D2315" s="2200" t="str">
        <f t="shared" si="108"/>
        <v>RI</v>
      </c>
      <c r="E2315" s="2200" t="str">
        <f t="shared" si="109"/>
        <v>44</v>
      </c>
      <c r="F2315" s="2200" t="str">
        <f t="shared" si="110"/>
        <v>001</v>
      </c>
      <c r="G2315" s="2200">
        <f>--SUBTOTAL(3,C$2:C2315)</f>
        <v>67</v>
      </c>
    </row>
    <row r="2316" spans="1:7" hidden="1" x14ac:dyDescent="0.15">
      <c r="A2316" s="2200" t="s">
        <v>4280</v>
      </c>
      <c r="B2316" s="2200" t="s">
        <v>8909</v>
      </c>
      <c r="C2316" s="2200" t="s">
        <v>8910</v>
      </c>
      <c r="D2316" s="2200" t="str">
        <f t="shared" si="108"/>
        <v>RI</v>
      </c>
      <c r="E2316" s="2200" t="str">
        <f t="shared" si="109"/>
        <v>44</v>
      </c>
      <c r="F2316" s="2200" t="str">
        <f t="shared" si="110"/>
        <v>003</v>
      </c>
      <c r="G2316" s="2200">
        <f>--SUBTOTAL(3,C$2:C2316)</f>
        <v>67</v>
      </c>
    </row>
    <row r="2317" spans="1:7" hidden="1" x14ac:dyDescent="0.15">
      <c r="A2317" s="2200" t="s">
        <v>4280</v>
      </c>
      <c r="B2317" s="2200" t="s">
        <v>8911</v>
      </c>
      <c r="C2317" s="2200" t="s">
        <v>8912</v>
      </c>
      <c r="D2317" s="2200" t="str">
        <f t="shared" si="108"/>
        <v>RI</v>
      </c>
      <c r="E2317" s="2200" t="str">
        <f t="shared" si="109"/>
        <v>44</v>
      </c>
      <c r="F2317" s="2200" t="str">
        <f t="shared" si="110"/>
        <v>005</v>
      </c>
      <c r="G2317" s="2200">
        <f>--SUBTOTAL(3,C$2:C2317)</f>
        <v>67</v>
      </c>
    </row>
    <row r="2318" spans="1:7" hidden="1" x14ac:dyDescent="0.15">
      <c r="A2318" s="2200" t="s">
        <v>4280</v>
      </c>
      <c r="B2318" s="2200" t="s">
        <v>8913</v>
      </c>
      <c r="C2318" s="2200" t="s">
        <v>8914</v>
      </c>
      <c r="D2318" s="2200" t="str">
        <f t="shared" si="108"/>
        <v>RI</v>
      </c>
      <c r="E2318" s="2200" t="str">
        <f t="shared" si="109"/>
        <v>44</v>
      </c>
      <c r="F2318" s="2200" t="str">
        <f t="shared" si="110"/>
        <v>007</v>
      </c>
      <c r="G2318" s="2200">
        <f>--SUBTOTAL(3,C$2:C2318)</f>
        <v>67</v>
      </c>
    </row>
    <row r="2319" spans="1:7" hidden="1" x14ac:dyDescent="0.15">
      <c r="A2319" s="2200" t="s">
        <v>4280</v>
      </c>
      <c r="B2319" s="2200" t="s">
        <v>8915</v>
      </c>
      <c r="C2319" s="2200" t="s">
        <v>8916</v>
      </c>
      <c r="D2319" s="2200" t="str">
        <f t="shared" si="108"/>
        <v>RI</v>
      </c>
      <c r="E2319" s="2200" t="str">
        <f t="shared" si="109"/>
        <v>44</v>
      </c>
      <c r="F2319" s="2200" t="str">
        <f t="shared" si="110"/>
        <v>009</v>
      </c>
      <c r="G2319" s="2200">
        <f>--SUBTOTAL(3,C$2:C2319)</f>
        <v>67</v>
      </c>
    </row>
    <row r="2320" spans="1:7" hidden="1" x14ac:dyDescent="0.15">
      <c r="A2320" s="2200" t="s">
        <v>4280</v>
      </c>
      <c r="B2320" s="2200" t="s">
        <v>8917</v>
      </c>
      <c r="C2320" s="2200" t="s">
        <v>8918</v>
      </c>
      <c r="D2320" s="2200" t="str">
        <f t="shared" si="108"/>
        <v>SC</v>
      </c>
      <c r="E2320" s="2200" t="str">
        <f t="shared" si="109"/>
        <v>45</v>
      </c>
      <c r="F2320" s="2200" t="str">
        <f t="shared" si="110"/>
        <v>001</v>
      </c>
      <c r="G2320" s="2200">
        <f>--SUBTOTAL(3,C$2:C2320)</f>
        <v>67</v>
      </c>
    </row>
    <row r="2321" spans="1:7" hidden="1" x14ac:dyDescent="0.15">
      <c r="A2321" s="2200" t="s">
        <v>4280</v>
      </c>
      <c r="B2321" s="2200" t="s">
        <v>8919</v>
      </c>
      <c r="C2321" s="2200" t="s">
        <v>8920</v>
      </c>
      <c r="D2321" s="2200" t="str">
        <f t="shared" si="108"/>
        <v>SC</v>
      </c>
      <c r="E2321" s="2200" t="str">
        <f t="shared" si="109"/>
        <v>45</v>
      </c>
      <c r="F2321" s="2200" t="str">
        <f t="shared" si="110"/>
        <v>003</v>
      </c>
      <c r="G2321" s="2200">
        <f>--SUBTOTAL(3,C$2:C2321)</f>
        <v>67</v>
      </c>
    </row>
    <row r="2322" spans="1:7" hidden="1" x14ac:dyDescent="0.15">
      <c r="A2322" s="2200" t="s">
        <v>4280</v>
      </c>
      <c r="B2322" s="2200" t="s">
        <v>8921</v>
      </c>
      <c r="C2322" s="2200" t="s">
        <v>8922</v>
      </c>
      <c r="D2322" s="2200" t="str">
        <f t="shared" si="108"/>
        <v>SC</v>
      </c>
      <c r="E2322" s="2200" t="str">
        <f t="shared" si="109"/>
        <v>45</v>
      </c>
      <c r="F2322" s="2200" t="str">
        <f t="shared" si="110"/>
        <v>005</v>
      </c>
      <c r="G2322" s="2200">
        <f>--SUBTOTAL(3,C$2:C2322)</f>
        <v>67</v>
      </c>
    </row>
    <row r="2323" spans="1:7" hidden="1" x14ac:dyDescent="0.15">
      <c r="A2323" s="2200" t="s">
        <v>4280</v>
      </c>
      <c r="B2323" s="2200" t="s">
        <v>8923</v>
      </c>
      <c r="C2323" s="2200" t="s">
        <v>8924</v>
      </c>
      <c r="D2323" s="2200" t="str">
        <f t="shared" si="108"/>
        <v>SC</v>
      </c>
      <c r="E2323" s="2200" t="str">
        <f t="shared" si="109"/>
        <v>45</v>
      </c>
      <c r="F2323" s="2200" t="str">
        <f t="shared" si="110"/>
        <v>007</v>
      </c>
      <c r="G2323" s="2200">
        <f>--SUBTOTAL(3,C$2:C2323)</f>
        <v>67</v>
      </c>
    </row>
    <row r="2324" spans="1:7" hidden="1" x14ac:dyDescent="0.15">
      <c r="A2324" s="2200" t="s">
        <v>4280</v>
      </c>
      <c r="B2324" s="2200" t="s">
        <v>8925</v>
      </c>
      <c r="C2324" s="2200" t="s">
        <v>8926</v>
      </c>
      <c r="D2324" s="2200" t="str">
        <f t="shared" si="108"/>
        <v>SC</v>
      </c>
      <c r="E2324" s="2200" t="str">
        <f t="shared" si="109"/>
        <v>45</v>
      </c>
      <c r="F2324" s="2200" t="str">
        <f t="shared" si="110"/>
        <v>009</v>
      </c>
      <c r="G2324" s="2200">
        <f>--SUBTOTAL(3,C$2:C2324)</f>
        <v>67</v>
      </c>
    </row>
    <row r="2325" spans="1:7" hidden="1" x14ac:dyDescent="0.15">
      <c r="A2325" s="2200" t="s">
        <v>4280</v>
      </c>
      <c r="B2325" s="2200" t="s">
        <v>8927</v>
      </c>
      <c r="C2325" s="2200" t="s">
        <v>8928</v>
      </c>
      <c r="D2325" s="2200" t="str">
        <f t="shared" si="108"/>
        <v>SC</v>
      </c>
      <c r="E2325" s="2200" t="str">
        <f t="shared" si="109"/>
        <v>45</v>
      </c>
      <c r="F2325" s="2200" t="str">
        <f t="shared" si="110"/>
        <v>011</v>
      </c>
      <c r="G2325" s="2200">
        <f>--SUBTOTAL(3,C$2:C2325)</f>
        <v>67</v>
      </c>
    </row>
    <row r="2326" spans="1:7" hidden="1" x14ac:dyDescent="0.15">
      <c r="A2326" s="2200" t="s">
        <v>4280</v>
      </c>
      <c r="B2326" s="2200" t="s">
        <v>8929</v>
      </c>
      <c r="C2326" s="2200" t="s">
        <v>8930</v>
      </c>
      <c r="D2326" s="2200" t="str">
        <f t="shared" si="108"/>
        <v>SC</v>
      </c>
      <c r="E2326" s="2200" t="str">
        <f t="shared" si="109"/>
        <v>45</v>
      </c>
      <c r="F2326" s="2200" t="str">
        <f t="shared" si="110"/>
        <v>013</v>
      </c>
      <c r="G2326" s="2200">
        <f>--SUBTOTAL(3,C$2:C2326)</f>
        <v>67</v>
      </c>
    </row>
    <row r="2327" spans="1:7" hidden="1" x14ac:dyDescent="0.15">
      <c r="A2327" s="2200" t="s">
        <v>4280</v>
      </c>
      <c r="B2327" s="2200" t="s">
        <v>8931</v>
      </c>
      <c r="C2327" s="2200" t="s">
        <v>8932</v>
      </c>
      <c r="D2327" s="2200" t="str">
        <f t="shared" si="108"/>
        <v>SC</v>
      </c>
      <c r="E2327" s="2200" t="str">
        <f t="shared" si="109"/>
        <v>45</v>
      </c>
      <c r="F2327" s="2200" t="str">
        <f t="shared" si="110"/>
        <v>015</v>
      </c>
      <c r="G2327" s="2200">
        <f>--SUBTOTAL(3,C$2:C2327)</f>
        <v>67</v>
      </c>
    </row>
    <row r="2328" spans="1:7" hidden="1" x14ac:dyDescent="0.15">
      <c r="A2328" s="2200" t="s">
        <v>4280</v>
      </c>
      <c r="B2328" s="2200" t="s">
        <v>8933</v>
      </c>
      <c r="C2328" s="2200" t="s">
        <v>8934</v>
      </c>
      <c r="D2328" s="2200" t="str">
        <f t="shared" si="108"/>
        <v>SC</v>
      </c>
      <c r="E2328" s="2200" t="str">
        <f t="shared" si="109"/>
        <v>45</v>
      </c>
      <c r="F2328" s="2200" t="str">
        <f t="shared" si="110"/>
        <v>017</v>
      </c>
      <c r="G2328" s="2200">
        <f>--SUBTOTAL(3,C$2:C2328)</f>
        <v>67</v>
      </c>
    </row>
    <row r="2329" spans="1:7" hidden="1" x14ac:dyDescent="0.15">
      <c r="A2329" s="2200" t="s">
        <v>4280</v>
      </c>
      <c r="B2329" s="2200" t="s">
        <v>8935</v>
      </c>
      <c r="C2329" s="2200" t="s">
        <v>8936</v>
      </c>
      <c r="D2329" s="2200" t="str">
        <f t="shared" si="108"/>
        <v>SC</v>
      </c>
      <c r="E2329" s="2200" t="str">
        <f t="shared" si="109"/>
        <v>45</v>
      </c>
      <c r="F2329" s="2200" t="str">
        <f t="shared" si="110"/>
        <v>019</v>
      </c>
      <c r="G2329" s="2200">
        <f>--SUBTOTAL(3,C$2:C2329)</f>
        <v>67</v>
      </c>
    </row>
    <row r="2330" spans="1:7" hidden="1" x14ac:dyDescent="0.15">
      <c r="A2330" s="2200" t="s">
        <v>4280</v>
      </c>
      <c r="B2330" s="2200" t="s">
        <v>8937</v>
      </c>
      <c r="C2330" s="2200" t="s">
        <v>8938</v>
      </c>
      <c r="D2330" s="2200" t="str">
        <f t="shared" si="108"/>
        <v>SC</v>
      </c>
      <c r="E2330" s="2200" t="str">
        <f t="shared" si="109"/>
        <v>45</v>
      </c>
      <c r="F2330" s="2200" t="str">
        <f t="shared" si="110"/>
        <v>021</v>
      </c>
      <c r="G2330" s="2200">
        <f>--SUBTOTAL(3,C$2:C2330)</f>
        <v>67</v>
      </c>
    </row>
    <row r="2331" spans="1:7" hidden="1" x14ac:dyDescent="0.15">
      <c r="A2331" s="2200" t="s">
        <v>4280</v>
      </c>
      <c r="B2331" s="2200" t="s">
        <v>8939</v>
      </c>
      <c r="C2331" s="2200" t="s">
        <v>8940</v>
      </c>
      <c r="D2331" s="2200" t="str">
        <f t="shared" si="108"/>
        <v>SC</v>
      </c>
      <c r="E2331" s="2200" t="str">
        <f t="shared" si="109"/>
        <v>45</v>
      </c>
      <c r="F2331" s="2200" t="str">
        <f t="shared" si="110"/>
        <v>023</v>
      </c>
      <c r="G2331" s="2200">
        <f>--SUBTOTAL(3,C$2:C2331)</f>
        <v>67</v>
      </c>
    </row>
    <row r="2332" spans="1:7" hidden="1" x14ac:dyDescent="0.15">
      <c r="A2332" s="2200" t="s">
        <v>4280</v>
      </c>
      <c r="B2332" s="2200" t="s">
        <v>8941</v>
      </c>
      <c r="C2332" s="2200" t="s">
        <v>8942</v>
      </c>
      <c r="D2332" s="2200" t="str">
        <f t="shared" si="108"/>
        <v>SC</v>
      </c>
      <c r="E2332" s="2200" t="str">
        <f t="shared" si="109"/>
        <v>45</v>
      </c>
      <c r="F2332" s="2200" t="str">
        <f t="shared" si="110"/>
        <v>025</v>
      </c>
      <c r="G2332" s="2200">
        <f>--SUBTOTAL(3,C$2:C2332)</f>
        <v>67</v>
      </c>
    </row>
    <row r="2333" spans="1:7" hidden="1" x14ac:dyDescent="0.15">
      <c r="A2333" s="2200" t="s">
        <v>4280</v>
      </c>
      <c r="B2333" s="2200" t="s">
        <v>8943</v>
      </c>
      <c r="C2333" s="2200" t="s">
        <v>8944</v>
      </c>
      <c r="D2333" s="2200" t="str">
        <f t="shared" si="108"/>
        <v>SC</v>
      </c>
      <c r="E2333" s="2200" t="str">
        <f t="shared" si="109"/>
        <v>45</v>
      </c>
      <c r="F2333" s="2200" t="str">
        <f t="shared" si="110"/>
        <v>027</v>
      </c>
      <c r="G2333" s="2200">
        <f>--SUBTOTAL(3,C$2:C2333)</f>
        <v>67</v>
      </c>
    </row>
    <row r="2334" spans="1:7" hidden="1" x14ac:dyDescent="0.15">
      <c r="A2334" s="2200" t="s">
        <v>4280</v>
      </c>
      <c r="B2334" s="2200" t="s">
        <v>8945</v>
      </c>
      <c r="C2334" s="2200" t="s">
        <v>8946</v>
      </c>
      <c r="D2334" s="2200" t="str">
        <f t="shared" si="108"/>
        <v>SC</v>
      </c>
      <c r="E2334" s="2200" t="str">
        <f t="shared" si="109"/>
        <v>45</v>
      </c>
      <c r="F2334" s="2200" t="str">
        <f t="shared" si="110"/>
        <v>029</v>
      </c>
      <c r="G2334" s="2200">
        <f>--SUBTOTAL(3,C$2:C2334)</f>
        <v>67</v>
      </c>
    </row>
    <row r="2335" spans="1:7" hidden="1" x14ac:dyDescent="0.15">
      <c r="A2335" s="2200" t="s">
        <v>4280</v>
      </c>
      <c r="B2335" s="2200" t="s">
        <v>8947</v>
      </c>
      <c r="C2335" s="2200" t="s">
        <v>8948</v>
      </c>
      <c r="D2335" s="2200" t="str">
        <f t="shared" si="108"/>
        <v>SC</v>
      </c>
      <c r="E2335" s="2200" t="str">
        <f t="shared" si="109"/>
        <v>45</v>
      </c>
      <c r="F2335" s="2200" t="str">
        <f t="shared" si="110"/>
        <v>031</v>
      </c>
      <c r="G2335" s="2200">
        <f>--SUBTOTAL(3,C$2:C2335)</f>
        <v>67</v>
      </c>
    </row>
    <row r="2336" spans="1:7" hidden="1" x14ac:dyDescent="0.15">
      <c r="A2336" s="2200" t="s">
        <v>4280</v>
      </c>
      <c r="B2336" s="2200" t="s">
        <v>8949</v>
      </c>
      <c r="C2336" s="2200" t="s">
        <v>8950</v>
      </c>
      <c r="D2336" s="2200" t="str">
        <f t="shared" si="108"/>
        <v>SC</v>
      </c>
      <c r="E2336" s="2200" t="str">
        <f t="shared" si="109"/>
        <v>45</v>
      </c>
      <c r="F2336" s="2200" t="str">
        <f t="shared" si="110"/>
        <v>033</v>
      </c>
      <c r="G2336" s="2200">
        <f>--SUBTOTAL(3,C$2:C2336)</f>
        <v>67</v>
      </c>
    </row>
    <row r="2337" spans="1:7" hidden="1" x14ac:dyDescent="0.15">
      <c r="A2337" s="2200" t="s">
        <v>4280</v>
      </c>
      <c r="B2337" s="2200" t="s">
        <v>8951</v>
      </c>
      <c r="C2337" s="2200" t="s">
        <v>8952</v>
      </c>
      <c r="D2337" s="2200" t="str">
        <f t="shared" si="108"/>
        <v>SC</v>
      </c>
      <c r="E2337" s="2200" t="str">
        <f t="shared" si="109"/>
        <v>45</v>
      </c>
      <c r="F2337" s="2200" t="str">
        <f t="shared" si="110"/>
        <v>035</v>
      </c>
      <c r="G2337" s="2200">
        <f>--SUBTOTAL(3,C$2:C2337)</f>
        <v>67</v>
      </c>
    </row>
    <row r="2338" spans="1:7" hidden="1" x14ac:dyDescent="0.15">
      <c r="A2338" s="2200" t="s">
        <v>4280</v>
      </c>
      <c r="B2338" s="2200" t="s">
        <v>8953</v>
      </c>
      <c r="C2338" s="2200" t="s">
        <v>8954</v>
      </c>
      <c r="D2338" s="2200" t="str">
        <f t="shared" si="108"/>
        <v>SC</v>
      </c>
      <c r="E2338" s="2200" t="str">
        <f t="shared" si="109"/>
        <v>45</v>
      </c>
      <c r="F2338" s="2200" t="str">
        <f t="shared" si="110"/>
        <v>037</v>
      </c>
      <c r="G2338" s="2200">
        <f>--SUBTOTAL(3,C$2:C2338)</f>
        <v>67</v>
      </c>
    </row>
    <row r="2339" spans="1:7" hidden="1" x14ac:dyDescent="0.15">
      <c r="A2339" s="2200" t="s">
        <v>4280</v>
      </c>
      <c r="B2339" s="2200" t="s">
        <v>8955</v>
      </c>
      <c r="C2339" s="2200" t="s">
        <v>8956</v>
      </c>
      <c r="D2339" s="2200" t="str">
        <f t="shared" si="108"/>
        <v>SC</v>
      </c>
      <c r="E2339" s="2200" t="str">
        <f t="shared" si="109"/>
        <v>45</v>
      </c>
      <c r="F2339" s="2200" t="str">
        <f t="shared" si="110"/>
        <v>039</v>
      </c>
      <c r="G2339" s="2200">
        <f>--SUBTOTAL(3,C$2:C2339)</f>
        <v>67</v>
      </c>
    </row>
    <row r="2340" spans="1:7" hidden="1" x14ac:dyDescent="0.15">
      <c r="A2340" s="2200" t="s">
        <v>4280</v>
      </c>
      <c r="B2340" s="2200" t="s">
        <v>8957</v>
      </c>
      <c r="C2340" s="2200" t="s">
        <v>8958</v>
      </c>
      <c r="D2340" s="2200" t="str">
        <f t="shared" si="108"/>
        <v>SC</v>
      </c>
      <c r="E2340" s="2200" t="str">
        <f t="shared" si="109"/>
        <v>45</v>
      </c>
      <c r="F2340" s="2200" t="str">
        <f t="shared" si="110"/>
        <v>041</v>
      </c>
      <c r="G2340" s="2200">
        <f>--SUBTOTAL(3,C$2:C2340)</f>
        <v>67</v>
      </c>
    </row>
    <row r="2341" spans="1:7" hidden="1" x14ac:dyDescent="0.15">
      <c r="A2341" s="2200" t="s">
        <v>4280</v>
      </c>
      <c r="B2341" s="2200" t="s">
        <v>8959</v>
      </c>
      <c r="C2341" s="2200" t="s">
        <v>8960</v>
      </c>
      <c r="D2341" s="2200" t="str">
        <f t="shared" si="108"/>
        <v>SC</v>
      </c>
      <c r="E2341" s="2200" t="str">
        <f t="shared" si="109"/>
        <v>45</v>
      </c>
      <c r="F2341" s="2200" t="str">
        <f t="shared" si="110"/>
        <v>043</v>
      </c>
      <c r="G2341" s="2200">
        <f>--SUBTOTAL(3,C$2:C2341)</f>
        <v>67</v>
      </c>
    </row>
    <row r="2342" spans="1:7" hidden="1" x14ac:dyDescent="0.15">
      <c r="A2342" s="2200" t="s">
        <v>4280</v>
      </c>
      <c r="B2342" s="2200" t="s">
        <v>8961</v>
      </c>
      <c r="C2342" s="2200" t="s">
        <v>8962</v>
      </c>
      <c r="D2342" s="2200" t="str">
        <f t="shared" si="108"/>
        <v>SC</v>
      </c>
      <c r="E2342" s="2200" t="str">
        <f t="shared" si="109"/>
        <v>45</v>
      </c>
      <c r="F2342" s="2200" t="str">
        <f t="shared" si="110"/>
        <v>045</v>
      </c>
      <c r="G2342" s="2200">
        <f>--SUBTOTAL(3,C$2:C2342)</f>
        <v>67</v>
      </c>
    </row>
    <row r="2343" spans="1:7" hidden="1" x14ac:dyDescent="0.15">
      <c r="A2343" s="2200" t="s">
        <v>4280</v>
      </c>
      <c r="B2343" s="2200" t="s">
        <v>8963</v>
      </c>
      <c r="C2343" s="2200" t="s">
        <v>8964</v>
      </c>
      <c r="D2343" s="2200" t="str">
        <f t="shared" si="108"/>
        <v>SC</v>
      </c>
      <c r="E2343" s="2200" t="str">
        <f t="shared" si="109"/>
        <v>45</v>
      </c>
      <c r="F2343" s="2200" t="str">
        <f t="shared" si="110"/>
        <v>047</v>
      </c>
      <c r="G2343" s="2200">
        <f>--SUBTOTAL(3,C$2:C2343)</f>
        <v>67</v>
      </c>
    </row>
    <row r="2344" spans="1:7" hidden="1" x14ac:dyDescent="0.15">
      <c r="A2344" s="2200" t="s">
        <v>4280</v>
      </c>
      <c r="B2344" s="2200" t="s">
        <v>8965</v>
      </c>
      <c r="C2344" s="2200" t="s">
        <v>8966</v>
      </c>
      <c r="D2344" s="2200" t="str">
        <f t="shared" si="108"/>
        <v>SC</v>
      </c>
      <c r="E2344" s="2200" t="str">
        <f t="shared" si="109"/>
        <v>45</v>
      </c>
      <c r="F2344" s="2200" t="str">
        <f t="shared" si="110"/>
        <v>049</v>
      </c>
      <c r="G2344" s="2200">
        <f>--SUBTOTAL(3,C$2:C2344)</f>
        <v>67</v>
      </c>
    </row>
    <row r="2345" spans="1:7" hidden="1" x14ac:dyDescent="0.15">
      <c r="A2345" s="2200" t="s">
        <v>4280</v>
      </c>
      <c r="B2345" s="2200" t="s">
        <v>8967</v>
      </c>
      <c r="C2345" s="2200" t="s">
        <v>8968</v>
      </c>
      <c r="D2345" s="2200" t="str">
        <f t="shared" si="108"/>
        <v>SC</v>
      </c>
      <c r="E2345" s="2200" t="str">
        <f t="shared" si="109"/>
        <v>45</v>
      </c>
      <c r="F2345" s="2200" t="str">
        <f t="shared" si="110"/>
        <v>051</v>
      </c>
      <c r="G2345" s="2200">
        <f>--SUBTOTAL(3,C$2:C2345)</f>
        <v>67</v>
      </c>
    </row>
    <row r="2346" spans="1:7" hidden="1" x14ac:dyDescent="0.15">
      <c r="A2346" s="2200" t="s">
        <v>4280</v>
      </c>
      <c r="B2346" s="2200" t="s">
        <v>8969</v>
      </c>
      <c r="C2346" s="2200" t="s">
        <v>8970</v>
      </c>
      <c r="D2346" s="2200" t="str">
        <f t="shared" si="108"/>
        <v>SC</v>
      </c>
      <c r="E2346" s="2200" t="str">
        <f t="shared" si="109"/>
        <v>45</v>
      </c>
      <c r="F2346" s="2200" t="str">
        <f t="shared" si="110"/>
        <v>053</v>
      </c>
      <c r="G2346" s="2200">
        <f>--SUBTOTAL(3,C$2:C2346)</f>
        <v>67</v>
      </c>
    </row>
    <row r="2347" spans="1:7" hidden="1" x14ac:dyDescent="0.15">
      <c r="A2347" s="2200" t="s">
        <v>4280</v>
      </c>
      <c r="B2347" s="2200" t="s">
        <v>8971</v>
      </c>
      <c r="C2347" s="2200" t="s">
        <v>8972</v>
      </c>
      <c r="D2347" s="2200" t="str">
        <f t="shared" si="108"/>
        <v>SC</v>
      </c>
      <c r="E2347" s="2200" t="str">
        <f t="shared" si="109"/>
        <v>45</v>
      </c>
      <c r="F2347" s="2200" t="str">
        <f t="shared" si="110"/>
        <v>055</v>
      </c>
      <c r="G2347" s="2200">
        <f>--SUBTOTAL(3,C$2:C2347)</f>
        <v>67</v>
      </c>
    </row>
    <row r="2348" spans="1:7" hidden="1" x14ac:dyDescent="0.15">
      <c r="A2348" s="2200" t="s">
        <v>4280</v>
      </c>
      <c r="B2348" s="2200" t="s">
        <v>8973</v>
      </c>
      <c r="C2348" s="2200" t="s">
        <v>8974</v>
      </c>
      <c r="D2348" s="2200" t="str">
        <f t="shared" si="108"/>
        <v>SC</v>
      </c>
      <c r="E2348" s="2200" t="str">
        <f t="shared" si="109"/>
        <v>45</v>
      </c>
      <c r="F2348" s="2200" t="str">
        <f t="shared" si="110"/>
        <v>057</v>
      </c>
      <c r="G2348" s="2200">
        <f>--SUBTOTAL(3,C$2:C2348)</f>
        <v>67</v>
      </c>
    </row>
    <row r="2349" spans="1:7" hidden="1" x14ac:dyDescent="0.15">
      <c r="A2349" s="2200" t="s">
        <v>4280</v>
      </c>
      <c r="B2349" s="2200" t="s">
        <v>8975</v>
      </c>
      <c r="C2349" s="2200" t="s">
        <v>8976</v>
      </c>
      <c r="D2349" s="2200" t="str">
        <f t="shared" si="108"/>
        <v>SC</v>
      </c>
      <c r="E2349" s="2200" t="str">
        <f t="shared" si="109"/>
        <v>45</v>
      </c>
      <c r="F2349" s="2200" t="str">
        <f t="shared" si="110"/>
        <v>059</v>
      </c>
      <c r="G2349" s="2200">
        <f>--SUBTOTAL(3,C$2:C2349)</f>
        <v>67</v>
      </c>
    </row>
    <row r="2350" spans="1:7" hidden="1" x14ac:dyDescent="0.15">
      <c r="A2350" s="2200" t="s">
        <v>4280</v>
      </c>
      <c r="B2350" s="2200" t="s">
        <v>8977</v>
      </c>
      <c r="C2350" s="2200" t="s">
        <v>8978</v>
      </c>
      <c r="D2350" s="2200" t="str">
        <f t="shared" si="108"/>
        <v>SC</v>
      </c>
      <c r="E2350" s="2200" t="str">
        <f t="shared" si="109"/>
        <v>45</v>
      </c>
      <c r="F2350" s="2200" t="str">
        <f t="shared" si="110"/>
        <v>061</v>
      </c>
      <c r="G2350" s="2200">
        <f>--SUBTOTAL(3,C$2:C2350)</f>
        <v>67</v>
      </c>
    </row>
    <row r="2351" spans="1:7" hidden="1" x14ac:dyDescent="0.15">
      <c r="A2351" s="2200" t="s">
        <v>4280</v>
      </c>
      <c r="B2351" s="2200" t="s">
        <v>8979</v>
      </c>
      <c r="C2351" s="2200" t="s">
        <v>8980</v>
      </c>
      <c r="D2351" s="2200" t="str">
        <f t="shared" si="108"/>
        <v>SC</v>
      </c>
      <c r="E2351" s="2200" t="str">
        <f t="shared" si="109"/>
        <v>45</v>
      </c>
      <c r="F2351" s="2200" t="str">
        <f t="shared" si="110"/>
        <v>063</v>
      </c>
      <c r="G2351" s="2200">
        <f>--SUBTOTAL(3,C$2:C2351)</f>
        <v>67</v>
      </c>
    </row>
    <row r="2352" spans="1:7" hidden="1" x14ac:dyDescent="0.15">
      <c r="A2352" s="2200" t="s">
        <v>4280</v>
      </c>
      <c r="B2352" s="2200" t="s">
        <v>8981</v>
      </c>
      <c r="C2352" s="2200" t="s">
        <v>8982</v>
      </c>
      <c r="D2352" s="2200" t="str">
        <f t="shared" si="108"/>
        <v>SC</v>
      </c>
      <c r="E2352" s="2200" t="str">
        <f t="shared" si="109"/>
        <v>45</v>
      </c>
      <c r="F2352" s="2200" t="str">
        <f t="shared" si="110"/>
        <v>065</v>
      </c>
      <c r="G2352" s="2200">
        <f>--SUBTOTAL(3,C$2:C2352)</f>
        <v>67</v>
      </c>
    </row>
    <row r="2353" spans="1:7" hidden="1" x14ac:dyDescent="0.15">
      <c r="A2353" s="2200" t="s">
        <v>4280</v>
      </c>
      <c r="B2353" s="2200" t="s">
        <v>8983</v>
      </c>
      <c r="C2353" s="2200" t="s">
        <v>8984</v>
      </c>
      <c r="D2353" s="2200" t="str">
        <f t="shared" si="108"/>
        <v>SC</v>
      </c>
      <c r="E2353" s="2200" t="str">
        <f t="shared" si="109"/>
        <v>45</v>
      </c>
      <c r="F2353" s="2200" t="str">
        <f t="shared" si="110"/>
        <v>067</v>
      </c>
      <c r="G2353" s="2200">
        <f>--SUBTOTAL(3,C$2:C2353)</f>
        <v>67</v>
      </c>
    </row>
    <row r="2354" spans="1:7" hidden="1" x14ac:dyDescent="0.15">
      <c r="A2354" s="2200" t="s">
        <v>4280</v>
      </c>
      <c r="B2354" s="2200" t="s">
        <v>8985</v>
      </c>
      <c r="C2354" s="2200" t="s">
        <v>8986</v>
      </c>
      <c r="D2354" s="2200" t="str">
        <f t="shared" si="108"/>
        <v>SC</v>
      </c>
      <c r="E2354" s="2200" t="str">
        <f t="shared" si="109"/>
        <v>45</v>
      </c>
      <c r="F2354" s="2200" t="str">
        <f t="shared" si="110"/>
        <v>069</v>
      </c>
      <c r="G2354" s="2200">
        <f>--SUBTOTAL(3,C$2:C2354)</f>
        <v>67</v>
      </c>
    </row>
    <row r="2355" spans="1:7" hidden="1" x14ac:dyDescent="0.15">
      <c r="A2355" s="2200" t="s">
        <v>4280</v>
      </c>
      <c r="B2355" s="2200" t="s">
        <v>8987</v>
      </c>
      <c r="C2355" s="2200" t="s">
        <v>8988</v>
      </c>
      <c r="D2355" s="2200" t="str">
        <f t="shared" si="108"/>
        <v>SC</v>
      </c>
      <c r="E2355" s="2200" t="str">
        <f t="shared" si="109"/>
        <v>45</v>
      </c>
      <c r="F2355" s="2200" t="str">
        <f t="shared" si="110"/>
        <v>071</v>
      </c>
      <c r="G2355" s="2200">
        <f>--SUBTOTAL(3,C$2:C2355)</f>
        <v>67</v>
      </c>
    </row>
    <row r="2356" spans="1:7" hidden="1" x14ac:dyDescent="0.15">
      <c r="A2356" s="2200" t="s">
        <v>4280</v>
      </c>
      <c r="B2356" s="2200" t="s">
        <v>8989</v>
      </c>
      <c r="C2356" s="2200" t="s">
        <v>8990</v>
      </c>
      <c r="D2356" s="2200" t="str">
        <f t="shared" si="108"/>
        <v>SC</v>
      </c>
      <c r="E2356" s="2200" t="str">
        <f t="shared" si="109"/>
        <v>45</v>
      </c>
      <c r="F2356" s="2200" t="str">
        <f t="shared" si="110"/>
        <v>073</v>
      </c>
      <c r="G2356" s="2200">
        <f>--SUBTOTAL(3,C$2:C2356)</f>
        <v>67</v>
      </c>
    </row>
    <row r="2357" spans="1:7" hidden="1" x14ac:dyDescent="0.15">
      <c r="A2357" s="2200" t="s">
        <v>4280</v>
      </c>
      <c r="B2357" s="2200" t="s">
        <v>8991</v>
      </c>
      <c r="C2357" s="2200" t="s">
        <v>8992</v>
      </c>
      <c r="D2357" s="2200" t="str">
        <f t="shared" si="108"/>
        <v>SC</v>
      </c>
      <c r="E2357" s="2200" t="str">
        <f t="shared" si="109"/>
        <v>45</v>
      </c>
      <c r="F2357" s="2200" t="str">
        <f t="shared" si="110"/>
        <v>075</v>
      </c>
      <c r="G2357" s="2200">
        <f>--SUBTOTAL(3,C$2:C2357)</f>
        <v>67</v>
      </c>
    </row>
    <row r="2358" spans="1:7" hidden="1" x14ac:dyDescent="0.15">
      <c r="A2358" s="2200" t="s">
        <v>4280</v>
      </c>
      <c r="B2358" s="2200" t="s">
        <v>8993</v>
      </c>
      <c r="C2358" s="2200" t="s">
        <v>8994</v>
      </c>
      <c r="D2358" s="2200" t="str">
        <f t="shared" si="108"/>
        <v>SC</v>
      </c>
      <c r="E2358" s="2200" t="str">
        <f t="shared" si="109"/>
        <v>45</v>
      </c>
      <c r="F2358" s="2200" t="str">
        <f t="shared" si="110"/>
        <v>077</v>
      </c>
      <c r="G2358" s="2200">
        <f>--SUBTOTAL(3,C$2:C2358)</f>
        <v>67</v>
      </c>
    </row>
    <row r="2359" spans="1:7" hidden="1" x14ac:dyDescent="0.15">
      <c r="A2359" s="2200" t="s">
        <v>4280</v>
      </c>
      <c r="B2359" s="2200" t="s">
        <v>8995</v>
      </c>
      <c r="C2359" s="2200" t="s">
        <v>8996</v>
      </c>
      <c r="D2359" s="2200" t="str">
        <f t="shared" si="108"/>
        <v>SC</v>
      </c>
      <c r="E2359" s="2200" t="str">
        <f t="shared" si="109"/>
        <v>45</v>
      </c>
      <c r="F2359" s="2200" t="str">
        <f t="shared" si="110"/>
        <v>079</v>
      </c>
      <c r="G2359" s="2200">
        <f>--SUBTOTAL(3,C$2:C2359)</f>
        <v>67</v>
      </c>
    </row>
    <row r="2360" spans="1:7" hidden="1" x14ac:dyDescent="0.15">
      <c r="A2360" s="2200" t="s">
        <v>4280</v>
      </c>
      <c r="B2360" s="2200" t="s">
        <v>8997</v>
      </c>
      <c r="C2360" s="2200" t="s">
        <v>8998</v>
      </c>
      <c r="D2360" s="2200" t="str">
        <f t="shared" si="108"/>
        <v>SC</v>
      </c>
      <c r="E2360" s="2200" t="str">
        <f t="shared" si="109"/>
        <v>45</v>
      </c>
      <c r="F2360" s="2200" t="str">
        <f t="shared" si="110"/>
        <v>081</v>
      </c>
      <c r="G2360" s="2200">
        <f>--SUBTOTAL(3,C$2:C2360)</f>
        <v>67</v>
      </c>
    </row>
    <row r="2361" spans="1:7" hidden="1" x14ac:dyDescent="0.15">
      <c r="A2361" s="2200" t="s">
        <v>4280</v>
      </c>
      <c r="B2361" s="2200" t="s">
        <v>8999</v>
      </c>
      <c r="C2361" s="2200" t="s">
        <v>9000</v>
      </c>
      <c r="D2361" s="2200" t="str">
        <f t="shared" si="108"/>
        <v>SC</v>
      </c>
      <c r="E2361" s="2200" t="str">
        <f t="shared" si="109"/>
        <v>45</v>
      </c>
      <c r="F2361" s="2200" t="str">
        <f t="shared" si="110"/>
        <v>083</v>
      </c>
      <c r="G2361" s="2200">
        <f>--SUBTOTAL(3,C$2:C2361)</f>
        <v>67</v>
      </c>
    </row>
    <row r="2362" spans="1:7" hidden="1" x14ac:dyDescent="0.15">
      <c r="A2362" s="2200" t="s">
        <v>4280</v>
      </c>
      <c r="B2362" s="2200" t="s">
        <v>9001</v>
      </c>
      <c r="C2362" s="2200" t="s">
        <v>9002</v>
      </c>
      <c r="D2362" s="2200" t="str">
        <f t="shared" si="108"/>
        <v>SC</v>
      </c>
      <c r="E2362" s="2200" t="str">
        <f t="shared" si="109"/>
        <v>45</v>
      </c>
      <c r="F2362" s="2200" t="str">
        <f t="shared" si="110"/>
        <v>085</v>
      </c>
      <c r="G2362" s="2200">
        <f>--SUBTOTAL(3,C$2:C2362)</f>
        <v>67</v>
      </c>
    </row>
    <row r="2363" spans="1:7" hidden="1" x14ac:dyDescent="0.15">
      <c r="A2363" s="2200" t="s">
        <v>4280</v>
      </c>
      <c r="B2363" s="2200" t="s">
        <v>9003</v>
      </c>
      <c r="C2363" s="2200" t="s">
        <v>9004</v>
      </c>
      <c r="D2363" s="2200" t="str">
        <f t="shared" si="108"/>
        <v>SC</v>
      </c>
      <c r="E2363" s="2200" t="str">
        <f t="shared" si="109"/>
        <v>45</v>
      </c>
      <c r="F2363" s="2200" t="str">
        <f t="shared" si="110"/>
        <v>087</v>
      </c>
      <c r="G2363" s="2200">
        <f>--SUBTOTAL(3,C$2:C2363)</f>
        <v>67</v>
      </c>
    </row>
    <row r="2364" spans="1:7" hidden="1" x14ac:dyDescent="0.15">
      <c r="A2364" s="2200" t="s">
        <v>4280</v>
      </c>
      <c r="B2364" s="2200" t="s">
        <v>9005</v>
      </c>
      <c r="C2364" s="2200" t="s">
        <v>9006</v>
      </c>
      <c r="D2364" s="2200" t="str">
        <f t="shared" si="108"/>
        <v>SC</v>
      </c>
      <c r="E2364" s="2200" t="str">
        <f t="shared" si="109"/>
        <v>45</v>
      </c>
      <c r="F2364" s="2200" t="str">
        <f t="shared" si="110"/>
        <v>089</v>
      </c>
      <c r="G2364" s="2200">
        <f>--SUBTOTAL(3,C$2:C2364)</f>
        <v>67</v>
      </c>
    </row>
    <row r="2365" spans="1:7" hidden="1" x14ac:dyDescent="0.15">
      <c r="A2365" s="2200" t="s">
        <v>4280</v>
      </c>
      <c r="B2365" s="2200" t="s">
        <v>9007</v>
      </c>
      <c r="C2365" s="2200" t="s">
        <v>9008</v>
      </c>
      <c r="D2365" s="2200" t="str">
        <f t="shared" si="108"/>
        <v>SC</v>
      </c>
      <c r="E2365" s="2200" t="str">
        <f t="shared" si="109"/>
        <v>45</v>
      </c>
      <c r="F2365" s="2200" t="str">
        <f t="shared" si="110"/>
        <v>091</v>
      </c>
      <c r="G2365" s="2200">
        <f>--SUBTOTAL(3,C$2:C2365)</f>
        <v>67</v>
      </c>
    </row>
    <row r="2366" spans="1:7" hidden="1" x14ac:dyDescent="0.15">
      <c r="A2366" s="2200" t="s">
        <v>4280</v>
      </c>
      <c r="B2366" s="2200" t="s">
        <v>9009</v>
      </c>
      <c r="C2366" s="2200" t="s">
        <v>9010</v>
      </c>
      <c r="D2366" s="2200" t="str">
        <f t="shared" si="108"/>
        <v>SD</v>
      </c>
      <c r="E2366" s="2200" t="str">
        <f t="shared" si="109"/>
        <v>46</v>
      </c>
      <c r="F2366" s="2200" t="str">
        <f t="shared" si="110"/>
        <v>003</v>
      </c>
      <c r="G2366" s="2200">
        <f>--SUBTOTAL(3,C$2:C2366)</f>
        <v>67</v>
      </c>
    </row>
    <row r="2367" spans="1:7" hidden="1" x14ac:dyDescent="0.15">
      <c r="A2367" s="2200" t="s">
        <v>4280</v>
      </c>
      <c r="B2367" s="2200" t="s">
        <v>9011</v>
      </c>
      <c r="C2367" s="2200" t="s">
        <v>9012</v>
      </c>
      <c r="D2367" s="2200" t="str">
        <f t="shared" si="108"/>
        <v>SD</v>
      </c>
      <c r="E2367" s="2200" t="str">
        <f t="shared" si="109"/>
        <v>46</v>
      </c>
      <c r="F2367" s="2200" t="str">
        <f t="shared" si="110"/>
        <v>005</v>
      </c>
      <c r="G2367" s="2200">
        <f>--SUBTOTAL(3,C$2:C2367)</f>
        <v>67</v>
      </c>
    </row>
    <row r="2368" spans="1:7" hidden="1" x14ac:dyDescent="0.15">
      <c r="A2368" s="2200" t="s">
        <v>4280</v>
      </c>
      <c r="B2368" s="2200" t="s">
        <v>9013</v>
      </c>
      <c r="C2368" s="2200" t="s">
        <v>9014</v>
      </c>
      <c r="D2368" s="2200" t="str">
        <f t="shared" si="108"/>
        <v>SD</v>
      </c>
      <c r="E2368" s="2200" t="str">
        <f t="shared" si="109"/>
        <v>46</v>
      </c>
      <c r="F2368" s="2200" t="str">
        <f t="shared" si="110"/>
        <v>007</v>
      </c>
      <c r="G2368" s="2200">
        <f>--SUBTOTAL(3,C$2:C2368)</f>
        <v>67</v>
      </c>
    </row>
    <row r="2369" spans="1:7" hidden="1" x14ac:dyDescent="0.15">
      <c r="A2369" s="2200" t="s">
        <v>4280</v>
      </c>
      <c r="B2369" s="2200" t="s">
        <v>9015</v>
      </c>
      <c r="C2369" s="2200" t="s">
        <v>9016</v>
      </c>
      <c r="D2369" s="2200" t="str">
        <f t="shared" si="108"/>
        <v>SD</v>
      </c>
      <c r="E2369" s="2200" t="str">
        <f t="shared" si="109"/>
        <v>46</v>
      </c>
      <c r="F2369" s="2200" t="str">
        <f t="shared" si="110"/>
        <v>009</v>
      </c>
      <c r="G2369" s="2200">
        <f>--SUBTOTAL(3,C$2:C2369)</f>
        <v>67</v>
      </c>
    </row>
    <row r="2370" spans="1:7" hidden="1" x14ac:dyDescent="0.15">
      <c r="A2370" s="2200" t="s">
        <v>4280</v>
      </c>
      <c r="B2370" s="2200" t="s">
        <v>9017</v>
      </c>
      <c r="C2370" s="2200" t="s">
        <v>9018</v>
      </c>
      <c r="D2370" s="2200" t="str">
        <f t="shared" si="108"/>
        <v>SD</v>
      </c>
      <c r="E2370" s="2200" t="str">
        <f t="shared" si="109"/>
        <v>46</v>
      </c>
      <c r="F2370" s="2200" t="str">
        <f t="shared" si="110"/>
        <v>011</v>
      </c>
      <c r="G2370" s="2200">
        <f>--SUBTOTAL(3,C$2:C2370)</f>
        <v>67</v>
      </c>
    </row>
    <row r="2371" spans="1:7" hidden="1" x14ac:dyDescent="0.15">
      <c r="A2371" s="2200" t="s">
        <v>4280</v>
      </c>
      <c r="B2371" s="2200" t="s">
        <v>9019</v>
      </c>
      <c r="C2371" s="2200" t="s">
        <v>9020</v>
      </c>
      <c r="D2371" s="2200" t="str">
        <f t="shared" ref="D2371:D2434" si="111">RIGHT(C2371,2)</f>
        <v>SD</v>
      </c>
      <c r="E2371" s="2200" t="str">
        <f t="shared" ref="E2371:E2434" si="112">MID(B2371,3,2)</f>
        <v>46</v>
      </c>
      <c r="F2371" s="2200" t="str">
        <f t="shared" ref="F2371:F2434" si="113">MID(B2371,5,3)</f>
        <v>013</v>
      </c>
      <c r="G2371" s="2200">
        <f>--SUBTOTAL(3,C$2:C2371)</f>
        <v>67</v>
      </c>
    </row>
    <row r="2372" spans="1:7" hidden="1" x14ac:dyDescent="0.15">
      <c r="A2372" s="2200" t="s">
        <v>4280</v>
      </c>
      <c r="B2372" s="2200" t="s">
        <v>9021</v>
      </c>
      <c r="C2372" s="2200" t="s">
        <v>9022</v>
      </c>
      <c r="D2372" s="2200" t="str">
        <f t="shared" si="111"/>
        <v>SD</v>
      </c>
      <c r="E2372" s="2200" t="str">
        <f t="shared" si="112"/>
        <v>46</v>
      </c>
      <c r="F2372" s="2200" t="str">
        <f t="shared" si="113"/>
        <v>015</v>
      </c>
      <c r="G2372" s="2200">
        <f>--SUBTOTAL(3,C$2:C2372)</f>
        <v>67</v>
      </c>
    </row>
    <row r="2373" spans="1:7" hidden="1" x14ac:dyDescent="0.15">
      <c r="A2373" s="2200" t="s">
        <v>4280</v>
      </c>
      <c r="B2373" s="2200" t="s">
        <v>9023</v>
      </c>
      <c r="C2373" s="2200" t="s">
        <v>9024</v>
      </c>
      <c r="D2373" s="2200" t="str">
        <f t="shared" si="111"/>
        <v>SD</v>
      </c>
      <c r="E2373" s="2200" t="str">
        <f t="shared" si="112"/>
        <v>46</v>
      </c>
      <c r="F2373" s="2200" t="str">
        <f t="shared" si="113"/>
        <v>017</v>
      </c>
      <c r="G2373" s="2200">
        <f>--SUBTOTAL(3,C$2:C2373)</f>
        <v>67</v>
      </c>
    </row>
    <row r="2374" spans="1:7" hidden="1" x14ac:dyDescent="0.15">
      <c r="A2374" s="2200" t="s">
        <v>4280</v>
      </c>
      <c r="B2374" s="2200" t="s">
        <v>9025</v>
      </c>
      <c r="C2374" s="2200" t="s">
        <v>9026</v>
      </c>
      <c r="D2374" s="2200" t="str">
        <f t="shared" si="111"/>
        <v>SD</v>
      </c>
      <c r="E2374" s="2200" t="str">
        <f t="shared" si="112"/>
        <v>46</v>
      </c>
      <c r="F2374" s="2200" t="str">
        <f t="shared" si="113"/>
        <v>019</v>
      </c>
      <c r="G2374" s="2200">
        <f>--SUBTOTAL(3,C$2:C2374)</f>
        <v>67</v>
      </c>
    </row>
    <row r="2375" spans="1:7" hidden="1" x14ac:dyDescent="0.15">
      <c r="A2375" s="2200" t="s">
        <v>4280</v>
      </c>
      <c r="B2375" s="2200" t="s">
        <v>9027</v>
      </c>
      <c r="C2375" s="2200" t="s">
        <v>9028</v>
      </c>
      <c r="D2375" s="2200" t="str">
        <f t="shared" si="111"/>
        <v>SD</v>
      </c>
      <c r="E2375" s="2200" t="str">
        <f t="shared" si="112"/>
        <v>46</v>
      </c>
      <c r="F2375" s="2200" t="str">
        <f t="shared" si="113"/>
        <v>021</v>
      </c>
      <c r="G2375" s="2200">
        <f>--SUBTOTAL(3,C$2:C2375)</f>
        <v>67</v>
      </c>
    </row>
    <row r="2376" spans="1:7" hidden="1" x14ac:dyDescent="0.15">
      <c r="A2376" s="2200" t="s">
        <v>4280</v>
      </c>
      <c r="B2376" s="2200" t="s">
        <v>9029</v>
      </c>
      <c r="C2376" s="2200" t="s">
        <v>9030</v>
      </c>
      <c r="D2376" s="2200" t="str">
        <f t="shared" si="111"/>
        <v>SD</v>
      </c>
      <c r="E2376" s="2200" t="str">
        <f t="shared" si="112"/>
        <v>46</v>
      </c>
      <c r="F2376" s="2200" t="str">
        <f t="shared" si="113"/>
        <v>023</v>
      </c>
      <c r="G2376" s="2200">
        <f>--SUBTOTAL(3,C$2:C2376)</f>
        <v>67</v>
      </c>
    </row>
    <row r="2377" spans="1:7" hidden="1" x14ac:dyDescent="0.15">
      <c r="A2377" s="2200" t="s">
        <v>4280</v>
      </c>
      <c r="B2377" s="2200" t="s">
        <v>9031</v>
      </c>
      <c r="C2377" s="2200" t="s">
        <v>9032</v>
      </c>
      <c r="D2377" s="2200" t="str">
        <f t="shared" si="111"/>
        <v>SD</v>
      </c>
      <c r="E2377" s="2200" t="str">
        <f t="shared" si="112"/>
        <v>46</v>
      </c>
      <c r="F2377" s="2200" t="str">
        <f t="shared" si="113"/>
        <v>025</v>
      </c>
      <c r="G2377" s="2200">
        <f>--SUBTOTAL(3,C$2:C2377)</f>
        <v>67</v>
      </c>
    </row>
    <row r="2378" spans="1:7" hidden="1" x14ac:dyDescent="0.15">
      <c r="A2378" s="2200" t="s">
        <v>4280</v>
      </c>
      <c r="B2378" s="2200" t="s">
        <v>9033</v>
      </c>
      <c r="C2378" s="2200" t="s">
        <v>9034</v>
      </c>
      <c r="D2378" s="2200" t="str">
        <f t="shared" si="111"/>
        <v>SD</v>
      </c>
      <c r="E2378" s="2200" t="str">
        <f t="shared" si="112"/>
        <v>46</v>
      </c>
      <c r="F2378" s="2200" t="str">
        <f t="shared" si="113"/>
        <v>027</v>
      </c>
      <c r="G2378" s="2200">
        <f>--SUBTOTAL(3,C$2:C2378)</f>
        <v>67</v>
      </c>
    </row>
    <row r="2379" spans="1:7" hidden="1" x14ac:dyDescent="0.15">
      <c r="A2379" s="2200" t="s">
        <v>4280</v>
      </c>
      <c r="B2379" s="2200" t="s">
        <v>9035</v>
      </c>
      <c r="C2379" s="2200" t="s">
        <v>9036</v>
      </c>
      <c r="D2379" s="2200" t="str">
        <f t="shared" si="111"/>
        <v>SD</v>
      </c>
      <c r="E2379" s="2200" t="str">
        <f t="shared" si="112"/>
        <v>46</v>
      </c>
      <c r="F2379" s="2200" t="str">
        <f t="shared" si="113"/>
        <v>029</v>
      </c>
      <c r="G2379" s="2200">
        <f>--SUBTOTAL(3,C$2:C2379)</f>
        <v>67</v>
      </c>
    </row>
    <row r="2380" spans="1:7" hidden="1" x14ac:dyDescent="0.15">
      <c r="A2380" s="2200" t="s">
        <v>4280</v>
      </c>
      <c r="B2380" s="2200" t="s">
        <v>9037</v>
      </c>
      <c r="C2380" s="2200" t="s">
        <v>9038</v>
      </c>
      <c r="D2380" s="2200" t="str">
        <f t="shared" si="111"/>
        <v>SD</v>
      </c>
      <c r="E2380" s="2200" t="str">
        <f t="shared" si="112"/>
        <v>46</v>
      </c>
      <c r="F2380" s="2200" t="str">
        <f t="shared" si="113"/>
        <v>031</v>
      </c>
      <c r="G2380" s="2200">
        <f>--SUBTOTAL(3,C$2:C2380)</f>
        <v>67</v>
      </c>
    </row>
    <row r="2381" spans="1:7" hidden="1" x14ac:dyDescent="0.15">
      <c r="A2381" s="2200" t="s">
        <v>4280</v>
      </c>
      <c r="B2381" s="2200" t="s">
        <v>9039</v>
      </c>
      <c r="C2381" s="2200" t="s">
        <v>9040</v>
      </c>
      <c r="D2381" s="2200" t="str">
        <f t="shared" si="111"/>
        <v>SD</v>
      </c>
      <c r="E2381" s="2200" t="str">
        <f t="shared" si="112"/>
        <v>46</v>
      </c>
      <c r="F2381" s="2200" t="str">
        <f t="shared" si="113"/>
        <v>033</v>
      </c>
      <c r="G2381" s="2200">
        <f>--SUBTOTAL(3,C$2:C2381)</f>
        <v>67</v>
      </c>
    </row>
    <row r="2382" spans="1:7" hidden="1" x14ac:dyDescent="0.15">
      <c r="A2382" s="2200" t="s">
        <v>4280</v>
      </c>
      <c r="B2382" s="2200" t="s">
        <v>9041</v>
      </c>
      <c r="C2382" s="2200" t="s">
        <v>9042</v>
      </c>
      <c r="D2382" s="2200" t="str">
        <f t="shared" si="111"/>
        <v>SD</v>
      </c>
      <c r="E2382" s="2200" t="str">
        <f t="shared" si="112"/>
        <v>46</v>
      </c>
      <c r="F2382" s="2200" t="str">
        <f t="shared" si="113"/>
        <v>035</v>
      </c>
      <c r="G2382" s="2200">
        <f>--SUBTOTAL(3,C$2:C2382)</f>
        <v>67</v>
      </c>
    </row>
    <row r="2383" spans="1:7" hidden="1" x14ac:dyDescent="0.15">
      <c r="A2383" s="2200" t="s">
        <v>4280</v>
      </c>
      <c r="B2383" s="2200" t="s">
        <v>9043</v>
      </c>
      <c r="C2383" s="2200" t="s">
        <v>9044</v>
      </c>
      <c r="D2383" s="2200" t="str">
        <f t="shared" si="111"/>
        <v>SD</v>
      </c>
      <c r="E2383" s="2200" t="str">
        <f t="shared" si="112"/>
        <v>46</v>
      </c>
      <c r="F2383" s="2200" t="str">
        <f t="shared" si="113"/>
        <v>037</v>
      </c>
      <c r="G2383" s="2200">
        <f>--SUBTOTAL(3,C$2:C2383)</f>
        <v>67</v>
      </c>
    </row>
    <row r="2384" spans="1:7" hidden="1" x14ac:dyDescent="0.15">
      <c r="A2384" s="2200" t="s">
        <v>4280</v>
      </c>
      <c r="B2384" s="2200" t="s">
        <v>9045</v>
      </c>
      <c r="C2384" s="2200" t="s">
        <v>9046</v>
      </c>
      <c r="D2384" s="2200" t="str">
        <f t="shared" si="111"/>
        <v>SD</v>
      </c>
      <c r="E2384" s="2200" t="str">
        <f t="shared" si="112"/>
        <v>46</v>
      </c>
      <c r="F2384" s="2200" t="str">
        <f t="shared" si="113"/>
        <v>039</v>
      </c>
      <c r="G2384" s="2200">
        <f>--SUBTOTAL(3,C$2:C2384)</f>
        <v>67</v>
      </c>
    </row>
    <row r="2385" spans="1:7" hidden="1" x14ac:dyDescent="0.15">
      <c r="A2385" s="2200" t="s">
        <v>4280</v>
      </c>
      <c r="B2385" s="2200" t="s">
        <v>9047</v>
      </c>
      <c r="C2385" s="2200" t="s">
        <v>9048</v>
      </c>
      <c r="D2385" s="2200" t="str">
        <f t="shared" si="111"/>
        <v>SD</v>
      </c>
      <c r="E2385" s="2200" t="str">
        <f t="shared" si="112"/>
        <v>46</v>
      </c>
      <c r="F2385" s="2200" t="str">
        <f t="shared" si="113"/>
        <v>041</v>
      </c>
      <c r="G2385" s="2200">
        <f>--SUBTOTAL(3,C$2:C2385)</f>
        <v>67</v>
      </c>
    </row>
    <row r="2386" spans="1:7" hidden="1" x14ac:dyDescent="0.15">
      <c r="A2386" s="2200" t="s">
        <v>4280</v>
      </c>
      <c r="B2386" s="2200" t="s">
        <v>9049</v>
      </c>
      <c r="C2386" s="2200" t="s">
        <v>9050</v>
      </c>
      <c r="D2386" s="2200" t="str">
        <f t="shared" si="111"/>
        <v>SD</v>
      </c>
      <c r="E2386" s="2200" t="str">
        <f t="shared" si="112"/>
        <v>46</v>
      </c>
      <c r="F2386" s="2200" t="str">
        <f t="shared" si="113"/>
        <v>043</v>
      </c>
      <c r="G2386" s="2200">
        <f>--SUBTOTAL(3,C$2:C2386)</f>
        <v>67</v>
      </c>
    </row>
    <row r="2387" spans="1:7" hidden="1" x14ac:dyDescent="0.15">
      <c r="A2387" s="2200" t="s">
        <v>4280</v>
      </c>
      <c r="B2387" s="2200" t="s">
        <v>9051</v>
      </c>
      <c r="C2387" s="2200" t="s">
        <v>9052</v>
      </c>
      <c r="D2387" s="2200" t="str">
        <f t="shared" si="111"/>
        <v>SD</v>
      </c>
      <c r="E2387" s="2200" t="str">
        <f t="shared" si="112"/>
        <v>46</v>
      </c>
      <c r="F2387" s="2200" t="str">
        <f t="shared" si="113"/>
        <v>045</v>
      </c>
      <c r="G2387" s="2200">
        <f>--SUBTOTAL(3,C$2:C2387)</f>
        <v>67</v>
      </c>
    </row>
    <row r="2388" spans="1:7" hidden="1" x14ac:dyDescent="0.15">
      <c r="A2388" s="2200" t="s">
        <v>4280</v>
      </c>
      <c r="B2388" s="2200" t="s">
        <v>9053</v>
      </c>
      <c r="C2388" s="2200" t="s">
        <v>9054</v>
      </c>
      <c r="D2388" s="2200" t="str">
        <f t="shared" si="111"/>
        <v>SD</v>
      </c>
      <c r="E2388" s="2200" t="str">
        <f t="shared" si="112"/>
        <v>46</v>
      </c>
      <c r="F2388" s="2200" t="str">
        <f t="shared" si="113"/>
        <v>047</v>
      </c>
      <c r="G2388" s="2200">
        <f>--SUBTOTAL(3,C$2:C2388)</f>
        <v>67</v>
      </c>
    </row>
    <row r="2389" spans="1:7" hidden="1" x14ac:dyDescent="0.15">
      <c r="A2389" s="2200" t="s">
        <v>4280</v>
      </c>
      <c r="B2389" s="2200" t="s">
        <v>9055</v>
      </c>
      <c r="C2389" s="2200" t="s">
        <v>9056</v>
      </c>
      <c r="D2389" s="2200" t="str">
        <f t="shared" si="111"/>
        <v>SD</v>
      </c>
      <c r="E2389" s="2200" t="str">
        <f t="shared" si="112"/>
        <v>46</v>
      </c>
      <c r="F2389" s="2200" t="str">
        <f t="shared" si="113"/>
        <v>049</v>
      </c>
      <c r="G2389" s="2200">
        <f>--SUBTOTAL(3,C$2:C2389)</f>
        <v>67</v>
      </c>
    </row>
    <row r="2390" spans="1:7" hidden="1" x14ac:dyDescent="0.15">
      <c r="A2390" s="2200" t="s">
        <v>4280</v>
      </c>
      <c r="B2390" s="2200" t="s">
        <v>9057</v>
      </c>
      <c r="C2390" s="2200" t="s">
        <v>9058</v>
      </c>
      <c r="D2390" s="2200" t="str">
        <f t="shared" si="111"/>
        <v>SD</v>
      </c>
      <c r="E2390" s="2200" t="str">
        <f t="shared" si="112"/>
        <v>46</v>
      </c>
      <c r="F2390" s="2200" t="str">
        <f t="shared" si="113"/>
        <v>051</v>
      </c>
      <c r="G2390" s="2200">
        <f>--SUBTOTAL(3,C$2:C2390)</f>
        <v>67</v>
      </c>
    </row>
    <row r="2391" spans="1:7" hidden="1" x14ac:dyDescent="0.15">
      <c r="A2391" s="2200" t="s">
        <v>4280</v>
      </c>
      <c r="B2391" s="2200" t="s">
        <v>9059</v>
      </c>
      <c r="C2391" s="2200" t="s">
        <v>9060</v>
      </c>
      <c r="D2391" s="2200" t="str">
        <f t="shared" si="111"/>
        <v>SD</v>
      </c>
      <c r="E2391" s="2200" t="str">
        <f t="shared" si="112"/>
        <v>46</v>
      </c>
      <c r="F2391" s="2200" t="str">
        <f t="shared" si="113"/>
        <v>053</v>
      </c>
      <c r="G2391" s="2200">
        <f>--SUBTOTAL(3,C$2:C2391)</f>
        <v>67</v>
      </c>
    </row>
    <row r="2392" spans="1:7" hidden="1" x14ac:dyDescent="0.15">
      <c r="A2392" s="2200" t="s">
        <v>4280</v>
      </c>
      <c r="B2392" s="2200" t="s">
        <v>9061</v>
      </c>
      <c r="C2392" s="2200" t="s">
        <v>9062</v>
      </c>
      <c r="D2392" s="2200" t="str">
        <f t="shared" si="111"/>
        <v>SD</v>
      </c>
      <c r="E2392" s="2200" t="str">
        <f t="shared" si="112"/>
        <v>46</v>
      </c>
      <c r="F2392" s="2200" t="str">
        <f t="shared" si="113"/>
        <v>055</v>
      </c>
      <c r="G2392" s="2200">
        <f>--SUBTOTAL(3,C$2:C2392)</f>
        <v>67</v>
      </c>
    </row>
    <row r="2393" spans="1:7" hidden="1" x14ac:dyDescent="0.15">
      <c r="A2393" s="2200" t="s">
        <v>4280</v>
      </c>
      <c r="B2393" s="2200" t="s">
        <v>9063</v>
      </c>
      <c r="C2393" s="2200" t="s">
        <v>9064</v>
      </c>
      <c r="D2393" s="2200" t="str">
        <f t="shared" si="111"/>
        <v>SD</v>
      </c>
      <c r="E2393" s="2200" t="str">
        <f t="shared" si="112"/>
        <v>46</v>
      </c>
      <c r="F2393" s="2200" t="str">
        <f t="shared" si="113"/>
        <v>057</v>
      </c>
      <c r="G2393" s="2200">
        <f>--SUBTOTAL(3,C$2:C2393)</f>
        <v>67</v>
      </c>
    </row>
    <row r="2394" spans="1:7" hidden="1" x14ac:dyDescent="0.15">
      <c r="A2394" s="2200" t="s">
        <v>4280</v>
      </c>
      <c r="B2394" s="2200" t="s">
        <v>9065</v>
      </c>
      <c r="C2394" s="2200" t="s">
        <v>9066</v>
      </c>
      <c r="D2394" s="2200" t="str">
        <f t="shared" si="111"/>
        <v>SD</v>
      </c>
      <c r="E2394" s="2200" t="str">
        <f t="shared" si="112"/>
        <v>46</v>
      </c>
      <c r="F2394" s="2200" t="str">
        <f t="shared" si="113"/>
        <v>059</v>
      </c>
      <c r="G2394" s="2200">
        <f>--SUBTOTAL(3,C$2:C2394)</f>
        <v>67</v>
      </c>
    </row>
    <row r="2395" spans="1:7" hidden="1" x14ac:dyDescent="0.15">
      <c r="A2395" s="2200" t="s">
        <v>4280</v>
      </c>
      <c r="B2395" s="2200" t="s">
        <v>9067</v>
      </c>
      <c r="C2395" s="2200" t="s">
        <v>9068</v>
      </c>
      <c r="D2395" s="2200" t="str">
        <f t="shared" si="111"/>
        <v>SD</v>
      </c>
      <c r="E2395" s="2200" t="str">
        <f t="shared" si="112"/>
        <v>46</v>
      </c>
      <c r="F2395" s="2200" t="str">
        <f t="shared" si="113"/>
        <v>061</v>
      </c>
      <c r="G2395" s="2200">
        <f>--SUBTOTAL(3,C$2:C2395)</f>
        <v>67</v>
      </c>
    </row>
    <row r="2396" spans="1:7" hidden="1" x14ac:dyDescent="0.15">
      <c r="A2396" s="2200" t="s">
        <v>4280</v>
      </c>
      <c r="B2396" s="2200" t="s">
        <v>9069</v>
      </c>
      <c r="C2396" s="2200" t="s">
        <v>9070</v>
      </c>
      <c r="D2396" s="2200" t="str">
        <f t="shared" si="111"/>
        <v>SD</v>
      </c>
      <c r="E2396" s="2200" t="str">
        <f t="shared" si="112"/>
        <v>46</v>
      </c>
      <c r="F2396" s="2200" t="str">
        <f t="shared" si="113"/>
        <v>063</v>
      </c>
      <c r="G2396" s="2200">
        <f>--SUBTOTAL(3,C$2:C2396)</f>
        <v>67</v>
      </c>
    </row>
    <row r="2397" spans="1:7" hidden="1" x14ac:dyDescent="0.15">
      <c r="A2397" s="2200" t="s">
        <v>4280</v>
      </c>
      <c r="B2397" s="2200" t="s">
        <v>9071</v>
      </c>
      <c r="C2397" s="2200" t="s">
        <v>9072</v>
      </c>
      <c r="D2397" s="2200" t="str">
        <f t="shared" si="111"/>
        <v>SD</v>
      </c>
      <c r="E2397" s="2200" t="str">
        <f t="shared" si="112"/>
        <v>46</v>
      </c>
      <c r="F2397" s="2200" t="str">
        <f t="shared" si="113"/>
        <v>065</v>
      </c>
      <c r="G2397" s="2200">
        <f>--SUBTOTAL(3,C$2:C2397)</f>
        <v>67</v>
      </c>
    </row>
    <row r="2398" spans="1:7" hidden="1" x14ac:dyDescent="0.15">
      <c r="A2398" s="2200" t="s">
        <v>4280</v>
      </c>
      <c r="B2398" s="2200" t="s">
        <v>9073</v>
      </c>
      <c r="C2398" s="2200" t="s">
        <v>9074</v>
      </c>
      <c r="D2398" s="2200" t="str">
        <f t="shared" si="111"/>
        <v>SD</v>
      </c>
      <c r="E2398" s="2200" t="str">
        <f t="shared" si="112"/>
        <v>46</v>
      </c>
      <c r="F2398" s="2200" t="str">
        <f t="shared" si="113"/>
        <v>067</v>
      </c>
      <c r="G2398" s="2200">
        <f>--SUBTOTAL(3,C$2:C2398)</f>
        <v>67</v>
      </c>
    </row>
    <row r="2399" spans="1:7" hidden="1" x14ac:dyDescent="0.15">
      <c r="A2399" s="2200" t="s">
        <v>4280</v>
      </c>
      <c r="B2399" s="2200" t="s">
        <v>9075</v>
      </c>
      <c r="C2399" s="2200" t="s">
        <v>9076</v>
      </c>
      <c r="D2399" s="2200" t="str">
        <f t="shared" si="111"/>
        <v>SD</v>
      </c>
      <c r="E2399" s="2200" t="str">
        <f t="shared" si="112"/>
        <v>46</v>
      </c>
      <c r="F2399" s="2200" t="str">
        <f t="shared" si="113"/>
        <v>069</v>
      </c>
      <c r="G2399" s="2200">
        <f>--SUBTOTAL(3,C$2:C2399)</f>
        <v>67</v>
      </c>
    </row>
    <row r="2400" spans="1:7" hidden="1" x14ac:dyDescent="0.15">
      <c r="A2400" s="2200" t="s">
        <v>4280</v>
      </c>
      <c r="B2400" s="2200" t="s">
        <v>9077</v>
      </c>
      <c r="C2400" s="2200" t="s">
        <v>9078</v>
      </c>
      <c r="D2400" s="2200" t="str">
        <f t="shared" si="111"/>
        <v>SD</v>
      </c>
      <c r="E2400" s="2200" t="str">
        <f t="shared" si="112"/>
        <v>46</v>
      </c>
      <c r="F2400" s="2200" t="str">
        <f t="shared" si="113"/>
        <v>071</v>
      </c>
      <c r="G2400" s="2200">
        <f>--SUBTOTAL(3,C$2:C2400)</f>
        <v>67</v>
      </c>
    </row>
    <row r="2401" spans="1:7" hidden="1" x14ac:dyDescent="0.15">
      <c r="A2401" s="2200" t="s">
        <v>4280</v>
      </c>
      <c r="B2401" s="2200" t="s">
        <v>9079</v>
      </c>
      <c r="C2401" s="2200" t="s">
        <v>9080</v>
      </c>
      <c r="D2401" s="2200" t="str">
        <f t="shared" si="111"/>
        <v>SD</v>
      </c>
      <c r="E2401" s="2200" t="str">
        <f t="shared" si="112"/>
        <v>46</v>
      </c>
      <c r="F2401" s="2200" t="str">
        <f t="shared" si="113"/>
        <v>073</v>
      </c>
      <c r="G2401" s="2200">
        <f>--SUBTOTAL(3,C$2:C2401)</f>
        <v>67</v>
      </c>
    </row>
    <row r="2402" spans="1:7" hidden="1" x14ac:dyDescent="0.15">
      <c r="A2402" s="2200" t="s">
        <v>4280</v>
      </c>
      <c r="B2402" s="2200" t="s">
        <v>9081</v>
      </c>
      <c r="C2402" s="2200" t="s">
        <v>9082</v>
      </c>
      <c r="D2402" s="2200" t="str">
        <f t="shared" si="111"/>
        <v>SD</v>
      </c>
      <c r="E2402" s="2200" t="str">
        <f t="shared" si="112"/>
        <v>46</v>
      </c>
      <c r="F2402" s="2200" t="str">
        <f t="shared" si="113"/>
        <v>075</v>
      </c>
      <c r="G2402" s="2200">
        <f>--SUBTOTAL(3,C$2:C2402)</f>
        <v>67</v>
      </c>
    </row>
    <row r="2403" spans="1:7" hidden="1" x14ac:dyDescent="0.15">
      <c r="A2403" s="2200" t="s">
        <v>4280</v>
      </c>
      <c r="B2403" s="2200" t="s">
        <v>9083</v>
      </c>
      <c r="C2403" s="2200" t="s">
        <v>9084</v>
      </c>
      <c r="D2403" s="2200" t="str">
        <f t="shared" si="111"/>
        <v>SD</v>
      </c>
      <c r="E2403" s="2200" t="str">
        <f t="shared" si="112"/>
        <v>46</v>
      </c>
      <c r="F2403" s="2200" t="str">
        <f t="shared" si="113"/>
        <v>077</v>
      </c>
      <c r="G2403" s="2200">
        <f>--SUBTOTAL(3,C$2:C2403)</f>
        <v>67</v>
      </c>
    </row>
    <row r="2404" spans="1:7" hidden="1" x14ac:dyDescent="0.15">
      <c r="A2404" s="2200" t="s">
        <v>4280</v>
      </c>
      <c r="B2404" s="2200" t="s">
        <v>9085</v>
      </c>
      <c r="C2404" s="2200" t="s">
        <v>9086</v>
      </c>
      <c r="D2404" s="2200" t="str">
        <f t="shared" si="111"/>
        <v>SD</v>
      </c>
      <c r="E2404" s="2200" t="str">
        <f t="shared" si="112"/>
        <v>46</v>
      </c>
      <c r="F2404" s="2200" t="str">
        <f t="shared" si="113"/>
        <v>079</v>
      </c>
      <c r="G2404" s="2200">
        <f>--SUBTOTAL(3,C$2:C2404)</f>
        <v>67</v>
      </c>
    </row>
    <row r="2405" spans="1:7" hidden="1" x14ac:dyDescent="0.15">
      <c r="A2405" s="2200" t="s">
        <v>4280</v>
      </c>
      <c r="B2405" s="2200" t="s">
        <v>9087</v>
      </c>
      <c r="C2405" s="2200" t="s">
        <v>9088</v>
      </c>
      <c r="D2405" s="2200" t="str">
        <f t="shared" si="111"/>
        <v>SD</v>
      </c>
      <c r="E2405" s="2200" t="str">
        <f t="shared" si="112"/>
        <v>46</v>
      </c>
      <c r="F2405" s="2200" t="str">
        <f t="shared" si="113"/>
        <v>081</v>
      </c>
      <c r="G2405" s="2200">
        <f>--SUBTOTAL(3,C$2:C2405)</f>
        <v>67</v>
      </c>
    </row>
    <row r="2406" spans="1:7" hidden="1" x14ac:dyDescent="0.15">
      <c r="A2406" s="2200" t="s">
        <v>4280</v>
      </c>
      <c r="B2406" s="2200" t="s">
        <v>9089</v>
      </c>
      <c r="C2406" s="2200" t="s">
        <v>9090</v>
      </c>
      <c r="D2406" s="2200" t="str">
        <f t="shared" si="111"/>
        <v>SD</v>
      </c>
      <c r="E2406" s="2200" t="str">
        <f t="shared" si="112"/>
        <v>46</v>
      </c>
      <c r="F2406" s="2200" t="str">
        <f t="shared" si="113"/>
        <v>083</v>
      </c>
      <c r="G2406" s="2200">
        <f>--SUBTOTAL(3,C$2:C2406)</f>
        <v>67</v>
      </c>
    </row>
    <row r="2407" spans="1:7" hidden="1" x14ac:dyDescent="0.15">
      <c r="A2407" s="2200" t="s">
        <v>4280</v>
      </c>
      <c r="B2407" s="2200" t="s">
        <v>9091</v>
      </c>
      <c r="C2407" s="2200" t="s">
        <v>9092</v>
      </c>
      <c r="D2407" s="2200" t="str">
        <f t="shared" si="111"/>
        <v>SD</v>
      </c>
      <c r="E2407" s="2200" t="str">
        <f t="shared" si="112"/>
        <v>46</v>
      </c>
      <c r="F2407" s="2200" t="str">
        <f t="shared" si="113"/>
        <v>085</v>
      </c>
      <c r="G2407" s="2200">
        <f>--SUBTOTAL(3,C$2:C2407)</f>
        <v>67</v>
      </c>
    </row>
    <row r="2408" spans="1:7" hidden="1" x14ac:dyDescent="0.15">
      <c r="A2408" s="2200" t="s">
        <v>4280</v>
      </c>
      <c r="B2408" s="2200" t="s">
        <v>9093</v>
      </c>
      <c r="C2408" s="2200" t="s">
        <v>9094</v>
      </c>
      <c r="D2408" s="2200" t="str">
        <f t="shared" si="111"/>
        <v>SD</v>
      </c>
      <c r="E2408" s="2200" t="str">
        <f t="shared" si="112"/>
        <v>46</v>
      </c>
      <c r="F2408" s="2200" t="str">
        <f t="shared" si="113"/>
        <v>087</v>
      </c>
      <c r="G2408" s="2200">
        <f>--SUBTOTAL(3,C$2:C2408)</f>
        <v>67</v>
      </c>
    </row>
    <row r="2409" spans="1:7" hidden="1" x14ac:dyDescent="0.15">
      <c r="A2409" s="2200" t="s">
        <v>4280</v>
      </c>
      <c r="B2409" s="2200" t="s">
        <v>9095</v>
      </c>
      <c r="C2409" s="2200" t="s">
        <v>9096</v>
      </c>
      <c r="D2409" s="2200" t="str">
        <f t="shared" si="111"/>
        <v>SD</v>
      </c>
      <c r="E2409" s="2200" t="str">
        <f t="shared" si="112"/>
        <v>46</v>
      </c>
      <c r="F2409" s="2200" t="str">
        <f t="shared" si="113"/>
        <v>089</v>
      </c>
      <c r="G2409" s="2200">
        <f>--SUBTOTAL(3,C$2:C2409)</f>
        <v>67</v>
      </c>
    </row>
    <row r="2410" spans="1:7" hidden="1" x14ac:dyDescent="0.15">
      <c r="A2410" s="2200" t="s">
        <v>4280</v>
      </c>
      <c r="B2410" s="2200" t="s">
        <v>9097</v>
      </c>
      <c r="C2410" s="2200" t="s">
        <v>9098</v>
      </c>
      <c r="D2410" s="2200" t="str">
        <f t="shared" si="111"/>
        <v>SD</v>
      </c>
      <c r="E2410" s="2200" t="str">
        <f t="shared" si="112"/>
        <v>46</v>
      </c>
      <c r="F2410" s="2200" t="str">
        <f t="shared" si="113"/>
        <v>091</v>
      </c>
      <c r="G2410" s="2200">
        <f>--SUBTOTAL(3,C$2:C2410)</f>
        <v>67</v>
      </c>
    </row>
    <row r="2411" spans="1:7" hidden="1" x14ac:dyDescent="0.15">
      <c r="A2411" s="2200" t="s">
        <v>4280</v>
      </c>
      <c r="B2411" s="2200" t="s">
        <v>9099</v>
      </c>
      <c r="C2411" s="2200" t="s">
        <v>9100</v>
      </c>
      <c r="D2411" s="2200" t="str">
        <f t="shared" si="111"/>
        <v>SD</v>
      </c>
      <c r="E2411" s="2200" t="str">
        <f t="shared" si="112"/>
        <v>46</v>
      </c>
      <c r="F2411" s="2200" t="str">
        <f t="shared" si="113"/>
        <v>093</v>
      </c>
      <c r="G2411" s="2200">
        <f>--SUBTOTAL(3,C$2:C2411)</f>
        <v>67</v>
      </c>
    </row>
    <row r="2412" spans="1:7" hidden="1" x14ac:dyDescent="0.15">
      <c r="A2412" s="2200" t="s">
        <v>4280</v>
      </c>
      <c r="B2412" s="2200" t="s">
        <v>9101</v>
      </c>
      <c r="C2412" s="2200" t="s">
        <v>9102</v>
      </c>
      <c r="D2412" s="2200" t="str">
        <f t="shared" si="111"/>
        <v>SD</v>
      </c>
      <c r="E2412" s="2200" t="str">
        <f t="shared" si="112"/>
        <v>46</v>
      </c>
      <c r="F2412" s="2200" t="str">
        <f t="shared" si="113"/>
        <v>095</v>
      </c>
      <c r="G2412" s="2200">
        <f>--SUBTOTAL(3,C$2:C2412)</f>
        <v>67</v>
      </c>
    </row>
    <row r="2413" spans="1:7" hidden="1" x14ac:dyDescent="0.15">
      <c r="A2413" s="2200" t="s">
        <v>4280</v>
      </c>
      <c r="B2413" s="2200" t="s">
        <v>9103</v>
      </c>
      <c r="C2413" s="2200" t="s">
        <v>9104</v>
      </c>
      <c r="D2413" s="2200" t="str">
        <f t="shared" si="111"/>
        <v>SD</v>
      </c>
      <c r="E2413" s="2200" t="str">
        <f t="shared" si="112"/>
        <v>46</v>
      </c>
      <c r="F2413" s="2200" t="str">
        <f t="shared" si="113"/>
        <v>097</v>
      </c>
      <c r="G2413" s="2200">
        <f>--SUBTOTAL(3,C$2:C2413)</f>
        <v>67</v>
      </c>
    </row>
    <row r="2414" spans="1:7" hidden="1" x14ac:dyDescent="0.15">
      <c r="A2414" s="2200" t="s">
        <v>4280</v>
      </c>
      <c r="B2414" s="2200" t="s">
        <v>9105</v>
      </c>
      <c r="C2414" s="2200" t="s">
        <v>9106</v>
      </c>
      <c r="D2414" s="2200" t="str">
        <f t="shared" si="111"/>
        <v>SD</v>
      </c>
      <c r="E2414" s="2200" t="str">
        <f t="shared" si="112"/>
        <v>46</v>
      </c>
      <c r="F2414" s="2200" t="str">
        <f t="shared" si="113"/>
        <v>099</v>
      </c>
      <c r="G2414" s="2200">
        <f>--SUBTOTAL(3,C$2:C2414)</f>
        <v>67</v>
      </c>
    </row>
    <row r="2415" spans="1:7" hidden="1" x14ac:dyDescent="0.15">
      <c r="A2415" s="2200" t="s">
        <v>4280</v>
      </c>
      <c r="B2415" s="2200" t="s">
        <v>9107</v>
      </c>
      <c r="C2415" s="2200" t="s">
        <v>9108</v>
      </c>
      <c r="D2415" s="2200" t="str">
        <f t="shared" si="111"/>
        <v>SD</v>
      </c>
      <c r="E2415" s="2200" t="str">
        <f t="shared" si="112"/>
        <v>46</v>
      </c>
      <c r="F2415" s="2200" t="str">
        <f t="shared" si="113"/>
        <v>101</v>
      </c>
      <c r="G2415" s="2200">
        <f>--SUBTOTAL(3,C$2:C2415)</f>
        <v>67</v>
      </c>
    </row>
    <row r="2416" spans="1:7" hidden="1" x14ac:dyDescent="0.15">
      <c r="A2416" s="2200" t="s">
        <v>4280</v>
      </c>
      <c r="B2416" s="2200" t="s">
        <v>9109</v>
      </c>
      <c r="C2416" s="2200" t="s">
        <v>9110</v>
      </c>
      <c r="D2416" s="2200" t="str">
        <f t="shared" si="111"/>
        <v>SD</v>
      </c>
      <c r="E2416" s="2200" t="str">
        <f t="shared" si="112"/>
        <v>46</v>
      </c>
      <c r="F2416" s="2200" t="str">
        <f t="shared" si="113"/>
        <v>102</v>
      </c>
      <c r="G2416" s="2200">
        <f>--SUBTOTAL(3,C$2:C2416)</f>
        <v>67</v>
      </c>
    </row>
    <row r="2417" spans="1:7" hidden="1" x14ac:dyDescent="0.15">
      <c r="A2417" s="2200" t="s">
        <v>4280</v>
      </c>
      <c r="B2417" s="2200" t="s">
        <v>9111</v>
      </c>
      <c r="C2417" s="2200" t="s">
        <v>9112</v>
      </c>
      <c r="D2417" s="2200" t="str">
        <f t="shared" si="111"/>
        <v>SD</v>
      </c>
      <c r="E2417" s="2200" t="str">
        <f t="shared" si="112"/>
        <v>46</v>
      </c>
      <c r="F2417" s="2200" t="str">
        <f t="shared" si="113"/>
        <v>103</v>
      </c>
      <c r="G2417" s="2200">
        <f>--SUBTOTAL(3,C$2:C2417)</f>
        <v>67</v>
      </c>
    </row>
    <row r="2418" spans="1:7" hidden="1" x14ac:dyDescent="0.15">
      <c r="A2418" s="2200" t="s">
        <v>4280</v>
      </c>
      <c r="B2418" s="2200" t="s">
        <v>9113</v>
      </c>
      <c r="C2418" s="2200" t="s">
        <v>9114</v>
      </c>
      <c r="D2418" s="2200" t="str">
        <f t="shared" si="111"/>
        <v>SD</v>
      </c>
      <c r="E2418" s="2200" t="str">
        <f t="shared" si="112"/>
        <v>46</v>
      </c>
      <c r="F2418" s="2200" t="str">
        <f t="shared" si="113"/>
        <v>105</v>
      </c>
      <c r="G2418" s="2200">
        <f>--SUBTOTAL(3,C$2:C2418)</f>
        <v>67</v>
      </c>
    </row>
    <row r="2419" spans="1:7" hidden="1" x14ac:dyDescent="0.15">
      <c r="A2419" s="2200" t="s">
        <v>4280</v>
      </c>
      <c r="B2419" s="2200" t="s">
        <v>9115</v>
      </c>
      <c r="C2419" s="2200" t="s">
        <v>9116</v>
      </c>
      <c r="D2419" s="2200" t="str">
        <f t="shared" si="111"/>
        <v>SD</v>
      </c>
      <c r="E2419" s="2200" t="str">
        <f t="shared" si="112"/>
        <v>46</v>
      </c>
      <c r="F2419" s="2200" t="str">
        <f t="shared" si="113"/>
        <v>107</v>
      </c>
      <c r="G2419" s="2200">
        <f>--SUBTOTAL(3,C$2:C2419)</f>
        <v>67</v>
      </c>
    </row>
    <row r="2420" spans="1:7" hidden="1" x14ac:dyDescent="0.15">
      <c r="A2420" s="2200" t="s">
        <v>4280</v>
      </c>
      <c r="B2420" s="2200" t="s">
        <v>9117</v>
      </c>
      <c r="C2420" s="2200" t="s">
        <v>9118</v>
      </c>
      <c r="D2420" s="2200" t="str">
        <f t="shared" si="111"/>
        <v>SD</v>
      </c>
      <c r="E2420" s="2200" t="str">
        <f t="shared" si="112"/>
        <v>46</v>
      </c>
      <c r="F2420" s="2200" t="str">
        <f t="shared" si="113"/>
        <v>109</v>
      </c>
      <c r="G2420" s="2200">
        <f>--SUBTOTAL(3,C$2:C2420)</f>
        <v>67</v>
      </c>
    </row>
    <row r="2421" spans="1:7" hidden="1" x14ac:dyDescent="0.15">
      <c r="A2421" s="2200" t="s">
        <v>4280</v>
      </c>
      <c r="B2421" s="2200" t="s">
        <v>9119</v>
      </c>
      <c r="C2421" s="2200" t="s">
        <v>9120</v>
      </c>
      <c r="D2421" s="2200" t="str">
        <f t="shared" si="111"/>
        <v>SD</v>
      </c>
      <c r="E2421" s="2200" t="str">
        <f t="shared" si="112"/>
        <v>46</v>
      </c>
      <c r="F2421" s="2200" t="str">
        <f t="shared" si="113"/>
        <v>111</v>
      </c>
      <c r="G2421" s="2200">
        <f>--SUBTOTAL(3,C$2:C2421)</f>
        <v>67</v>
      </c>
    </row>
    <row r="2422" spans="1:7" hidden="1" x14ac:dyDescent="0.15">
      <c r="A2422" s="2200" t="s">
        <v>4280</v>
      </c>
      <c r="B2422" s="2200" t="s">
        <v>9121</v>
      </c>
      <c r="C2422" s="2200" t="s">
        <v>9122</v>
      </c>
      <c r="D2422" s="2200" t="str">
        <f t="shared" si="111"/>
        <v>SD</v>
      </c>
      <c r="E2422" s="2200" t="str">
        <f t="shared" si="112"/>
        <v>46</v>
      </c>
      <c r="F2422" s="2200" t="str">
        <f t="shared" si="113"/>
        <v>115</v>
      </c>
      <c r="G2422" s="2200">
        <f>--SUBTOTAL(3,C$2:C2422)</f>
        <v>67</v>
      </c>
    </row>
    <row r="2423" spans="1:7" hidden="1" x14ac:dyDescent="0.15">
      <c r="A2423" s="2200" t="s">
        <v>4280</v>
      </c>
      <c r="B2423" s="2200" t="s">
        <v>9123</v>
      </c>
      <c r="C2423" s="2200" t="s">
        <v>9124</v>
      </c>
      <c r="D2423" s="2200" t="str">
        <f t="shared" si="111"/>
        <v>SD</v>
      </c>
      <c r="E2423" s="2200" t="str">
        <f t="shared" si="112"/>
        <v>46</v>
      </c>
      <c r="F2423" s="2200" t="str">
        <f t="shared" si="113"/>
        <v>117</v>
      </c>
      <c r="G2423" s="2200">
        <f>--SUBTOTAL(3,C$2:C2423)</f>
        <v>67</v>
      </c>
    </row>
    <row r="2424" spans="1:7" hidden="1" x14ac:dyDescent="0.15">
      <c r="A2424" s="2200" t="s">
        <v>4280</v>
      </c>
      <c r="B2424" s="2200" t="s">
        <v>9125</v>
      </c>
      <c r="C2424" s="2200" t="s">
        <v>9126</v>
      </c>
      <c r="D2424" s="2200" t="str">
        <f t="shared" si="111"/>
        <v>SD</v>
      </c>
      <c r="E2424" s="2200" t="str">
        <f t="shared" si="112"/>
        <v>46</v>
      </c>
      <c r="F2424" s="2200" t="str">
        <f t="shared" si="113"/>
        <v>119</v>
      </c>
      <c r="G2424" s="2200">
        <f>--SUBTOTAL(3,C$2:C2424)</f>
        <v>67</v>
      </c>
    </row>
    <row r="2425" spans="1:7" hidden="1" x14ac:dyDescent="0.15">
      <c r="A2425" s="2200" t="s">
        <v>4280</v>
      </c>
      <c r="B2425" s="2200" t="s">
        <v>9127</v>
      </c>
      <c r="C2425" s="2200" t="s">
        <v>9128</v>
      </c>
      <c r="D2425" s="2200" t="str">
        <f t="shared" si="111"/>
        <v>SD</v>
      </c>
      <c r="E2425" s="2200" t="str">
        <f t="shared" si="112"/>
        <v>46</v>
      </c>
      <c r="F2425" s="2200" t="str">
        <f t="shared" si="113"/>
        <v>121</v>
      </c>
      <c r="G2425" s="2200">
        <f>--SUBTOTAL(3,C$2:C2425)</f>
        <v>67</v>
      </c>
    </row>
    <row r="2426" spans="1:7" hidden="1" x14ac:dyDescent="0.15">
      <c r="A2426" s="2200" t="s">
        <v>4280</v>
      </c>
      <c r="B2426" s="2200" t="s">
        <v>9129</v>
      </c>
      <c r="C2426" s="2200" t="s">
        <v>9130</v>
      </c>
      <c r="D2426" s="2200" t="str">
        <f t="shared" si="111"/>
        <v>SD</v>
      </c>
      <c r="E2426" s="2200" t="str">
        <f t="shared" si="112"/>
        <v>46</v>
      </c>
      <c r="F2426" s="2200" t="str">
        <f t="shared" si="113"/>
        <v>123</v>
      </c>
      <c r="G2426" s="2200">
        <f>--SUBTOTAL(3,C$2:C2426)</f>
        <v>67</v>
      </c>
    </row>
    <row r="2427" spans="1:7" hidden="1" x14ac:dyDescent="0.15">
      <c r="A2427" s="2200" t="s">
        <v>4280</v>
      </c>
      <c r="B2427" s="2200" t="s">
        <v>9131</v>
      </c>
      <c r="C2427" s="2200" t="s">
        <v>9132</v>
      </c>
      <c r="D2427" s="2200" t="str">
        <f t="shared" si="111"/>
        <v>SD</v>
      </c>
      <c r="E2427" s="2200" t="str">
        <f t="shared" si="112"/>
        <v>46</v>
      </c>
      <c r="F2427" s="2200" t="str">
        <f t="shared" si="113"/>
        <v>125</v>
      </c>
      <c r="G2427" s="2200">
        <f>--SUBTOTAL(3,C$2:C2427)</f>
        <v>67</v>
      </c>
    </row>
    <row r="2428" spans="1:7" hidden="1" x14ac:dyDescent="0.15">
      <c r="A2428" s="2200" t="s">
        <v>4280</v>
      </c>
      <c r="B2428" s="2200" t="s">
        <v>9133</v>
      </c>
      <c r="C2428" s="2200" t="s">
        <v>9134</v>
      </c>
      <c r="D2428" s="2200" t="str">
        <f t="shared" si="111"/>
        <v>SD</v>
      </c>
      <c r="E2428" s="2200" t="str">
        <f t="shared" si="112"/>
        <v>46</v>
      </c>
      <c r="F2428" s="2200" t="str">
        <f t="shared" si="113"/>
        <v>127</v>
      </c>
      <c r="G2428" s="2200">
        <f>--SUBTOTAL(3,C$2:C2428)</f>
        <v>67</v>
      </c>
    </row>
    <row r="2429" spans="1:7" hidden="1" x14ac:dyDescent="0.15">
      <c r="A2429" s="2200" t="s">
        <v>4280</v>
      </c>
      <c r="B2429" s="2200" t="s">
        <v>9135</v>
      </c>
      <c r="C2429" s="2200" t="s">
        <v>9136</v>
      </c>
      <c r="D2429" s="2200" t="str">
        <f t="shared" si="111"/>
        <v>SD</v>
      </c>
      <c r="E2429" s="2200" t="str">
        <f t="shared" si="112"/>
        <v>46</v>
      </c>
      <c r="F2429" s="2200" t="str">
        <f t="shared" si="113"/>
        <v>129</v>
      </c>
      <c r="G2429" s="2200">
        <f>--SUBTOTAL(3,C$2:C2429)</f>
        <v>67</v>
      </c>
    </row>
    <row r="2430" spans="1:7" hidden="1" x14ac:dyDescent="0.15">
      <c r="A2430" s="2200" t="s">
        <v>4280</v>
      </c>
      <c r="B2430" s="2200" t="s">
        <v>9137</v>
      </c>
      <c r="C2430" s="2200" t="s">
        <v>9138</v>
      </c>
      <c r="D2430" s="2200" t="str">
        <f t="shared" si="111"/>
        <v>SD</v>
      </c>
      <c r="E2430" s="2200" t="str">
        <f t="shared" si="112"/>
        <v>46</v>
      </c>
      <c r="F2430" s="2200" t="str">
        <f t="shared" si="113"/>
        <v>135</v>
      </c>
      <c r="G2430" s="2200">
        <f>--SUBTOTAL(3,C$2:C2430)</f>
        <v>67</v>
      </c>
    </row>
    <row r="2431" spans="1:7" hidden="1" x14ac:dyDescent="0.15">
      <c r="A2431" s="2200" t="s">
        <v>4280</v>
      </c>
      <c r="B2431" s="2200" t="s">
        <v>9139</v>
      </c>
      <c r="C2431" s="2200" t="s">
        <v>9140</v>
      </c>
      <c r="D2431" s="2200" t="str">
        <f t="shared" si="111"/>
        <v>SD</v>
      </c>
      <c r="E2431" s="2200" t="str">
        <f t="shared" si="112"/>
        <v>46</v>
      </c>
      <c r="F2431" s="2200" t="str">
        <f t="shared" si="113"/>
        <v>137</v>
      </c>
      <c r="G2431" s="2200">
        <f>--SUBTOTAL(3,C$2:C2431)</f>
        <v>67</v>
      </c>
    </row>
    <row r="2432" spans="1:7" hidden="1" x14ac:dyDescent="0.15">
      <c r="A2432" s="2200" t="s">
        <v>4280</v>
      </c>
      <c r="B2432" s="2200" t="s">
        <v>9141</v>
      </c>
      <c r="C2432" s="2200" t="s">
        <v>9142</v>
      </c>
      <c r="D2432" s="2200" t="str">
        <f t="shared" si="111"/>
        <v>TN</v>
      </c>
      <c r="E2432" s="2200" t="str">
        <f t="shared" si="112"/>
        <v>47</v>
      </c>
      <c r="F2432" s="2200" t="str">
        <f t="shared" si="113"/>
        <v>001</v>
      </c>
      <c r="G2432" s="2200">
        <f>--SUBTOTAL(3,C$2:C2432)</f>
        <v>67</v>
      </c>
    </row>
    <row r="2433" spans="1:7" hidden="1" x14ac:dyDescent="0.15">
      <c r="A2433" s="2200" t="s">
        <v>4280</v>
      </c>
      <c r="B2433" s="2200" t="s">
        <v>9143</v>
      </c>
      <c r="C2433" s="2200" t="s">
        <v>9144</v>
      </c>
      <c r="D2433" s="2200" t="str">
        <f t="shared" si="111"/>
        <v>TN</v>
      </c>
      <c r="E2433" s="2200" t="str">
        <f t="shared" si="112"/>
        <v>47</v>
      </c>
      <c r="F2433" s="2200" t="str">
        <f t="shared" si="113"/>
        <v>003</v>
      </c>
      <c r="G2433" s="2200">
        <f>--SUBTOTAL(3,C$2:C2433)</f>
        <v>67</v>
      </c>
    </row>
    <row r="2434" spans="1:7" hidden="1" x14ac:dyDescent="0.15">
      <c r="A2434" s="2200" t="s">
        <v>4280</v>
      </c>
      <c r="B2434" s="2200" t="s">
        <v>9145</v>
      </c>
      <c r="C2434" s="2200" t="s">
        <v>9146</v>
      </c>
      <c r="D2434" s="2200" t="str">
        <f t="shared" si="111"/>
        <v>TN</v>
      </c>
      <c r="E2434" s="2200" t="str">
        <f t="shared" si="112"/>
        <v>47</v>
      </c>
      <c r="F2434" s="2200" t="str">
        <f t="shared" si="113"/>
        <v>005</v>
      </c>
      <c r="G2434" s="2200">
        <f>--SUBTOTAL(3,C$2:C2434)</f>
        <v>67</v>
      </c>
    </row>
    <row r="2435" spans="1:7" hidden="1" x14ac:dyDescent="0.15">
      <c r="A2435" s="2200" t="s">
        <v>4280</v>
      </c>
      <c r="B2435" s="2200" t="s">
        <v>9147</v>
      </c>
      <c r="C2435" s="2200" t="s">
        <v>9148</v>
      </c>
      <c r="D2435" s="2200" t="str">
        <f t="shared" ref="D2435:D2498" si="114">RIGHT(C2435,2)</f>
        <v>TN</v>
      </c>
      <c r="E2435" s="2200" t="str">
        <f t="shared" ref="E2435:E2498" si="115">MID(B2435,3,2)</f>
        <v>47</v>
      </c>
      <c r="F2435" s="2200" t="str">
        <f t="shared" ref="F2435:F2498" si="116">MID(B2435,5,3)</f>
        <v>007</v>
      </c>
      <c r="G2435" s="2200">
        <f>--SUBTOTAL(3,C$2:C2435)</f>
        <v>67</v>
      </c>
    </row>
    <row r="2436" spans="1:7" hidden="1" x14ac:dyDescent="0.15">
      <c r="A2436" s="2200" t="s">
        <v>4280</v>
      </c>
      <c r="B2436" s="2200" t="s">
        <v>9149</v>
      </c>
      <c r="C2436" s="2200" t="s">
        <v>9150</v>
      </c>
      <c r="D2436" s="2200" t="str">
        <f t="shared" si="114"/>
        <v>TN</v>
      </c>
      <c r="E2436" s="2200" t="str">
        <f t="shared" si="115"/>
        <v>47</v>
      </c>
      <c r="F2436" s="2200" t="str">
        <f t="shared" si="116"/>
        <v>009</v>
      </c>
      <c r="G2436" s="2200">
        <f>--SUBTOTAL(3,C$2:C2436)</f>
        <v>67</v>
      </c>
    </row>
    <row r="2437" spans="1:7" hidden="1" x14ac:dyDescent="0.15">
      <c r="A2437" s="2200" t="s">
        <v>4280</v>
      </c>
      <c r="B2437" s="2200" t="s">
        <v>9151</v>
      </c>
      <c r="C2437" s="2200" t="s">
        <v>9152</v>
      </c>
      <c r="D2437" s="2200" t="str">
        <f t="shared" si="114"/>
        <v>TN</v>
      </c>
      <c r="E2437" s="2200" t="str">
        <f t="shared" si="115"/>
        <v>47</v>
      </c>
      <c r="F2437" s="2200" t="str">
        <f t="shared" si="116"/>
        <v>011</v>
      </c>
      <c r="G2437" s="2200">
        <f>--SUBTOTAL(3,C$2:C2437)</f>
        <v>67</v>
      </c>
    </row>
    <row r="2438" spans="1:7" hidden="1" x14ac:dyDescent="0.15">
      <c r="A2438" s="2200" t="s">
        <v>4280</v>
      </c>
      <c r="B2438" s="2200" t="s">
        <v>9153</v>
      </c>
      <c r="C2438" s="2200" t="s">
        <v>9154</v>
      </c>
      <c r="D2438" s="2200" t="str">
        <f t="shared" si="114"/>
        <v>TN</v>
      </c>
      <c r="E2438" s="2200" t="str">
        <f t="shared" si="115"/>
        <v>47</v>
      </c>
      <c r="F2438" s="2200" t="str">
        <f t="shared" si="116"/>
        <v>013</v>
      </c>
      <c r="G2438" s="2200">
        <f>--SUBTOTAL(3,C$2:C2438)</f>
        <v>67</v>
      </c>
    </row>
    <row r="2439" spans="1:7" hidden="1" x14ac:dyDescent="0.15">
      <c r="A2439" s="2200" t="s">
        <v>4280</v>
      </c>
      <c r="B2439" s="2200" t="s">
        <v>9155</v>
      </c>
      <c r="C2439" s="2200" t="s">
        <v>9156</v>
      </c>
      <c r="D2439" s="2200" t="str">
        <f t="shared" si="114"/>
        <v>TN</v>
      </c>
      <c r="E2439" s="2200" t="str">
        <f t="shared" si="115"/>
        <v>47</v>
      </c>
      <c r="F2439" s="2200" t="str">
        <f t="shared" si="116"/>
        <v>015</v>
      </c>
      <c r="G2439" s="2200">
        <f>--SUBTOTAL(3,C$2:C2439)</f>
        <v>67</v>
      </c>
    </row>
    <row r="2440" spans="1:7" hidden="1" x14ac:dyDescent="0.15">
      <c r="A2440" s="2200" t="s">
        <v>4280</v>
      </c>
      <c r="B2440" s="2200" t="s">
        <v>9157</v>
      </c>
      <c r="C2440" s="2200" t="s">
        <v>9158</v>
      </c>
      <c r="D2440" s="2200" t="str">
        <f t="shared" si="114"/>
        <v>TN</v>
      </c>
      <c r="E2440" s="2200" t="str">
        <f t="shared" si="115"/>
        <v>47</v>
      </c>
      <c r="F2440" s="2200" t="str">
        <f t="shared" si="116"/>
        <v>017</v>
      </c>
      <c r="G2440" s="2200">
        <f>--SUBTOTAL(3,C$2:C2440)</f>
        <v>67</v>
      </c>
    </row>
    <row r="2441" spans="1:7" hidden="1" x14ac:dyDescent="0.15">
      <c r="A2441" s="2200" t="s">
        <v>4280</v>
      </c>
      <c r="B2441" s="2200" t="s">
        <v>9159</v>
      </c>
      <c r="C2441" s="2200" t="s">
        <v>9160</v>
      </c>
      <c r="D2441" s="2200" t="str">
        <f t="shared" si="114"/>
        <v>TN</v>
      </c>
      <c r="E2441" s="2200" t="str">
        <f t="shared" si="115"/>
        <v>47</v>
      </c>
      <c r="F2441" s="2200" t="str">
        <f t="shared" si="116"/>
        <v>019</v>
      </c>
      <c r="G2441" s="2200">
        <f>--SUBTOTAL(3,C$2:C2441)</f>
        <v>67</v>
      </c>
    </row>
    <row r="2442" spans="1:7" hidden="1" x14ac:dyDescent="0.15">
      <c r="A2442" s="2200" t="s">
        <v>4280</v>
      </c>
      <c r="B2442" s="2200" t="s">
        <v>9161</v>
      </c>
      <c r="C2442" s="2200" t="s">
        <v>9162</v>
      </c>
      <c r="D2442" s="2200" t="str">
        <f t="shared" si="114"/>
        <v>TN</v>
      </c>
      <c r="E2442" s="2200" t="str">
        <f t="shared" si="115"/>
        <v>47</v>
      </c>
      <c r="F2442" s="2200" t="str">
        <f t="shared" si="116"/>
        <v>021</v>
      </c>
      <c r="G2442" s="2200">
        <f>--SUBTOTAL(3,C$2:C2442)</f>
        <v>67</v>
      </c>
    </row>
    <row r="2443" spans="1:7" hidden="1" x14ac:dyDescent="0.15">
      <c r="A2443" s="2200" t="s">
        <v>4280</v>
      </c>
      <c r="B2443" s="2200" t="s">
        <v>9163</v>
      </c>
      <c r="C2443" s="2200" t="s">
        <v>9164</v>
      </c>
      <c r="D2443" s="2200" t="str">
        <f t="shared" si="114"/>
        <v>TN</v>
      </c>
      <c r="E2443" s="2200" t="str">
        <f t="shared" si="115"/>
        <v>47</v>
      </c>
      <c r="F2443" s="2200" t="str">
        <f t="shared" si="116"/>
        <v>023</v>
      </c>
      <c r="G2443" s="2200">
        <f>--SUBTOTAL(3,C$2:C2443)</f>
        <v>67</v>
      </c>
    </row>
    <row r="2444" spans="1:7" hidden="1" x14ac:dyDescent="0.15">
      <c r="A2444" s="2200" t="s">
        <v>4280</v>
      </c>
      <c r="B2444" s="2200" t="s">
        <v>9165</v>
      </c>
      <c r="C2444" s="2200" t="s">
        <v>9166</v>
      </c>
      <c r="D2444" s="2200" t="str">
        <f t="shared" si="114"/>
        <v>TN</v>
      </c>
      <c r="E2444" s="2200" t="str">
        <f t="shared" si="115"/>
        <v>47</v>
      </c>
      <c r="F2444" s="2200" t="str">
        <f t="shared" si="116"/>
        <v>025</v>
      </c>
      <c r="G2444" s="2200">
        <f>--SUBTOTAL(3,C$2:C2444)</f>
        <v>67</v>
      </c>
    </row>
    <row r="2445" spans="1:7" hidden="1" x14ac:dyDescent="0.15">
      <c r="A2445" s="2200" t="s">
        <v>4280</v>
      </c>
      <c r="B2445" s="2200" t="s">
        <v>9167</v>
      </c>
      <c r="C2445" s="2200" t="s">
        <v>9168</v>
      </c>
      <c r="D2445" s="2200" t="str">
        <f t="shared" si="114"/>
        <v>TN</v>
      </c>
      <c r="E2445" s="2200" t="str">
        <f t="shared" si="115"/>
        <v>47</v>
      </c>
      <c r="F2445" s="2200" t="str">
        <f t="shared" si="116"/>
        <v>027</v>
      </c>
      <c r="G2445" s="2200">
        <f>--SUBTOTAL(3,C$2:C2445)</f>
        <v>67</v>
      </c>
    </row>
    <row r="2446" spans="1:7" hidden="1" x14ac:dyDescent="0.15">
      <c r="A2446" s="2200" t="s">
        <v>4280</v>
      </c>
      <c r="B2446" s="2200" t="s">
        <v>9169</v>
      </c>
      <c r="C2446" s="2200" t="s">
        <v>9170</v>
      </c>
      <c r="D2446" s="2200" t="str">
        <f t="shared" si="114"/>
        <v>TN</v>
      </c>
      <c r="E2446" s="2200" t="str">
        <f t="shared" si="115"/>
        <v>47</v>
      </c>
      <c r="F2446" s="2200" t="str">
        <f t="shared" si="116"/>
        <v>029</v>
      </c>
      <c r="G2446" s="2200">
        <f>--SUBTOTAL(3,C$2:C2446)</f>
        <v>67</v>
      </c>
    </row>
    <row r="2447" spans="1:7" hidden="1" x14ac:dyDescent="0.15">
      <c r="A2447" s="2200" t="s">
        <v>4280</v>
      </c>
      <c r="B2447" s="2200" t="s">
        <v>9171</v>
      </c>
      <c r="C2447" s="2200" t="s">
        <v>9172</v>
      </c>
      <c r="D2447" s="2200" t="str">
        <f t="shared" si="114"/>
        <v>TN</v>
      </c>
      <c r="E2447" s="2200" t="str">
        <f t="shared" si="115"/>
        <v>47</v>
      </c>
      <c r="F2447" s="2200" t="str">
        <f t="shared" si="116"/>
        <v>031</v>
      </c>
      <c r="G2447" s="2200">
        <f>--SUBTOTAL(3,C$2:C2447)</f>
        <v>67</v>
      </c>
    </row>
    <row r="2448" spans="1:7" hidden="1" x14ac:dyDescent="0.15">
      <c r="A2448" s="2200" t="s">
        <v>4280</v>
      </c>
      <c r="B2448" s="2200" t="s">
        <v>9173</v>
      </c>
      <c r="C2448" s="2200" t="s">
        <v>9174</v>
      </c>
      <c r="D2448" s="2200" t="str">
        <f t="shared" si="114"/>
        <v>TN</v>
      </c>
      <c r="E2448" s="2200" t="str">
        <f t="shared" si="115"/>
        <v>47</v>
      </c>
      <c r="F2448" s="2200" t="str">
        <f t="shared" si="116"/>
        <v>033</v>
      </c>
      <c r="G2448" s="2200">
        <f>--SUBTOTAL(3,C$2:C2448)</f>
        <v>67</v>
      </c>
    </row>
    <row r="2449" spans="1:7" hidden="1" x14ac:dyDescent="0.15">
      <c r="A2449" s="2200" t="s">
        <v>4280</v>
      </c>
      <c r="B2449" s="2200" t="s">
        <v>9175</v>
      </c>
      <c r="C2449" s="2200" t="s">
        <v>9176</v>
      </c>
      <c r="D2449" s="2200" t="str">
        <f t="shared" si="114"/>
        <v>TN</v>
      </c>
      <c r="E2449" s="2200" t="str">
        <f t="shared" si="115"/>
        <v>47</v>
      </c>
      <c r="F2449" s="2200" t="str">
        <f t="shared" si="116"/>
        <v>035</v>
      </c>
      <c r="G2449" s="2200">
        <f>--SUBTOTAL(3,C$2:C2449)</f>
        <v>67</v>
      </c>
    </row>
    <row r="2450" spans="1:7" hidden="1" x14ac:dyDescent="0.15">
      <c r="A2450" s="2200" t="s">
        <v>4280</v>
      </c>
      <c r="B2450" s="2200" t="s">
        <v>9177</v>
      </c>
      <c r="C2450" s="2200" t="s">
        <v>9178</v>
      </c>
      <c r="D2450" s="2200" t="str">
        <f t="shared" si="114"/>
        <v>TN</v>
      </c>
      <c r="E2450" s="2200" t="str">
        <f t="shared" si="115"/>
        <v>47</v>
      </c>
      <c r="F2450" s="2200" t="str">
        <f t="shared" si="116"/>
        <v>037</v>
      </c>
      <c r="G2450" s="2200">
        <f>--SUBTOTAL(3,C$2:C2450)</f>
        <v>67</v>
      </c>
    </row>
    <row r="2451" spans="1:7" hidden="1" x14ac:dyDescent="0.15">
      <c r="A2451" s="2200" t="s">
        <v>4280</v>
      </c>
      <c r="B2451" s="2200" t="s">
        <v>9179</v>
      </c>
      <c r="C2451" s="2200" t="s">
        <v>9180</v>
      </c>
      <c r="D2451" s="2200" t="str">
        <f t="shared" si="114"/>
        <v>TN</v>
      </c>
      <c r="E2451" s="2200" t="str">
        <f t="shared" si="115"/>
        <v>47</v>
      </c>
      <c r="F2451" s="2200" t="str">
        <f t="shared" si="116"/>
        <v>039</v>
      </c>
      <c r="G2451" s="2200">
        <f>--SUBTOTAL(3,C$2:C2451)</f>
        <v>67</v>
      </c>
    </row>
    <row r="2452" spans="1:7" hidden="1" x14ac:dyDescent="0.15">
      <c r="A2452" s="2200" t="s">
        <v>4280</v>
      </c>
      <c r="B2452" s="2200" t="s">
        <v>9181</v>
      </c>
      <c r="C2452" s="2200" t="s">
        <v>9182</v>
      </c>
      <c r="D2452" s="2200" t="str">
        <f t="shared" si="114"/>
        <v>TN</v>
      </c>
      <c r="E2452" s="2200" t="str">
        <f t="shared" si="115"/>
        <v>47</v>
      </c>
      <c r="F2452" s="2200" t="str">
        <f t="shared" si="116"/>
        <v>041</v>
      </c>
      <c r="G2452" s="2200">
        <f>--SUBTOTAL(3,C$2:C2452)</f>
        <v>67</v>
      </c>
    </row>
    <row r="2453" spans="1:7" hidden="1" x14ac:dyDescent="0.15">
      <c r="A2453" s="2200" t="s">
        <v>4280</v>
      </c>
      <c r="B2453" s="2200" t="s">
        <v>9183</v>
      </c>
      <c r="C2453" s="2200" t="s">
        <v>9184</v>
      </c>
      <c r="D2453" s="2200" t="str">
        <f t="shared" si="114"/>
        <v>TN</v>
      </c>
      <c r="E2453" s="2200" t="str">
        <f t="shared" si="115"/>
        <v>47</v>
      </c>
      <c r="F2453" s="2200" t="str">
        <f t="shared" si="116"/>
        <v>043</v>
      </c>
      <c r="G2453" s="2200">
        <f>--SUBTOTAL(3,C$2:C2453)</f>
        <v>67</v>
      </c>
    </row>
    <row r="2454" spans="1:7" hidden="1" x14ac:dyDescent="0.15">
      <c r="A2454" s="2200" t="s">
        <v>4280</v>
      </c>
      <c r="B2454" s="2200" t="s">
        <v>9185</v>
      </c>
      <c r="C2454" s="2200" t="s">
        <v>9186</v>
      </c>
      <c r="D2454" s="2200" t="str">
        <f t="shared" si="114"/>
        <v>TN</v>
      </c>
      <c r="E2454" s="2200" t="str">
        <f t="shared" si="115"/>
        <v>47</v>
      </c>
      <c r="F2454" s="2200" t="str">
        <f t="shared" si="116"/>
        <v>045</v>
      </c>
      <c r="G2454" s="2200">
        <f>--SUBTOTAL(3,C$2:C2454)</f>
        <v>67</v>
      </c>
    </row>
    <row r="2455" spans="1:7" hidden="1" x14ac:dyDescent="0.15">
      <c r="A2455" s="2200" t="s">
        <v>4280</v>
      </c>
      <c r="B2455" s="2200" t="s">
        <v>9187</v>
      </c>
      <c r="C2455" s="2200" t="s">
        <v>9188</v>
      </c>
      <c r="D2455" s="2200" t="str">
        <f t="shared" si="114"/>
        <v>TN</v>
      </c>
      <c r="E2455" s="2200" t="str">
        <f t="shared" si="115"/>
        <v>47</v>
      </c>
      <c r="F2455" s="2200" t="str">
        <f t="shared" si="116"/>
        <v>047</v>
      </c>
      <c r="G2455" s="2200">
        <f>--SUBTOTAL(3,C$2:C2455)</f>
        <v>67</v>
      </c>
    </row>
    <row r="2456" spans="1:7" hidden="1" x14ac:dyDescent="0.15">
      <c r="A2456" s="2200" t="s">
        <v>4280</v>
      </c>
      <c r="B2456" s="2200" t="s">
        <v>9189</v>
      </c>
      <c r="C2456" s="2200" t="s">
        <v>9190</v>
      </c>
      <c r="D2456" s="2200" t="str">
        <f t="shared" si="114"/>
        <v>TN</v>
      </c>
      <c r="E2456" s="2200" t="str">
        <f t="shared" si="115"/>
        <v>47</v>
      </c>
      <c r="F2456" s="2200" t="str">
        <f t="shared" si="116"/>
        <v>049</v>
      </c>
      <c r="G2456" s="2200">
        <f>--SUBTOTAL(3,C$2:C2456)</f>
        <v>67</v>
      </c>
    </row>
    <row r="2457" spans="1:7" hidden="1" x14ac:dyDescent="0.15">
      <c r="A2457" s="2200" t="s">
        <v>4280</v>
      </c>
      <c r="B2457" s="2200" t="s">
        <v>9191</v>
      </c>
      <c r="C2457" s="2200" t="s">
        <v>9192</v>
      </c>
      <c r="D2457" s="2200" t="str">
        <f t="shared" si="114"/>
        <v>TN</v>
      </c>
      <c r="E2457" s="2200" t="str">
        <f t="shared" si="115"/>
        <v>47</v>
      </c>
      <c r="F2457" s="2200" t="str">
        <f t="shared" si="116"/>
        <v>051</v>
      </c>
      <c r="G2457" s="2200">
        <f>--SUBTOTAL(3,C$2:C2457)</f>
        <v>67</v>
      </c>
    </row>
    <row r="2458" spans="1:7" hidden="1" x14ac:dyDescent="0.15">
      <c r="A2458" s="2200" t="s">
        <v>4280</v>
      </c>
      <c r="B2458" s="2200" t="s">
        <v>9193</v>
      </c>
      <c r="C2458" s="2200" t="s">
        <v>9194</v>
      </c>
      <c r="D2458" s="2200" t="str">
        <f t="shared" si="114"/>
        <v>TN</v>
      </c>
      <c r="E2458" s="2200" t="str">
        <f t="shared" si="115"/>
        <v>47</v>
      </c>
      <c r="F2458" s="2200" t="str">
        <f t="shared" si="116"/>
        <v>053</v>
      </c>
      <c r="G2458" s="2200">
        <f>--SUBTOTAL(3,C$2:C2458)</f>
        <v>67</v>
      </c>
    </row>
    <row r="2459" spans="1:7" hidden="1" x14ac:dyDescent="0.15">
      <c r="A2459" s="2200" t="s">
        <v>4280</v>
      </c>
      <c r="B2459" s="2200" t="s">
        <v>9195</v>
      </c>
      <c r="C2459" s="2200" t="s">
        <v>9196</v>
      </c>
      <c r="D2459" s="2200" t="str">
        <f t="shared" si="114"/>
        <v>TN</v>
      </c>
      <c r="E2459" s="2200" t="str">
        <f t="shared" si="115"/>
        <v>47</v>
      </c>
      <c r="F2459" s="2200" t="str">
        <f t="shared" si="116"/>
        <v>055</v>
      </c>
      <c r="G2459" s="2200">
        <f>--SUBTOTAL(3,C$2:C2459)</f>
        <v>67</v>
      </c>
    </row>
    <row r="2460" spans="1:7" hidden="1" x14ac:dyDescent="0.15">
      <c r="A2460" s="2200" t="s">
        <v>4280</v>
      </c>
      <c r="B2460" s="2200" t="s">
        <v>9197</v>
      </c>
      <c r="C2460" s="2200" t="s">
        <v>9198</v>
      </c>
      <c r="D2460" s="2200" t="str">
        <f t="shared" si="114"/>
        <v>TN</v>
      </c>
      <c r="E2460" s="2200" t="str">
        <f t="shared" si="115"/>
        <v>47</v>
      </c>
      <c r="F2460" s="2200" t="str">
        <f t="shared" si="116"/>
        <v>057</v>
      </c>
      <c r="G2460" s="2200">
        <f>--SUBTOTAL(3,C$2:C2460)</f>
        <v>67</v>
      </c>
    </row>
    <row r="2461" spans="1:7" hidden="1" x14ac:dyDescent="0.15">
      <c r="A2461" s="2200" t="s">
        <v>4280</v>
      </c>
      <c r="B2461" s="2200" t="s">
        <v>9199</v>
      </c>
      <c r="C2461" s="2200" t="s">
        <v>9200</v>
      </c>
      <c r="D2461" s="2200" t="str">
        <f t="shared" si="114"/>
        <v>TN</v>
      </c>
      <c r="E2461" s="2200" t="str">
        <f t="shared" si="115"/>
        <v>47</v>
      </c>
      <c r="F2461" s="2200" t="str">
        <f t="shared" si="116"/>
        <v>059</v>
      </c>
      <c r="G2461" s="2200">
        <f>--SUBTOTAL(3,C$2:C2461)</f>
        <v>67</v>
      </c>
    </row>
    <row r="2462" spans="1:7" hidden="1" x14ac:dyDescent="0.15">
      <c r="A2462" s="2200" t="s">
        <v>4280</v>
      </c>
      <c r="B2462" s="2200" t="s">
        <v>9201</v>
      </c>
      <c r="C2462" s="2200" t="s">
        <v>9202</v>
      </c>
      <c r="D2462" s="2200" t="str">
        <f t="shared" si="114"/>
        <v>TN</v>
      </c>
      <c r="E2462" s="2200" t="str">
        <f t="shared" si="115"/>
        <v>47</v>
      </c>
      <c r="F2462" s="2200" t="str">
        <f t="shared" si="116"/>
        <v>061</v>
      </c>
      <c r="G2462" s="2200">
        <f>--SUBTOTAL(3,C$2:C2462)</f>
        <v>67</v>
      </c>
    </row>
    <row r="2463" spans="1:7" hidden="1" x14ac:dyDescent="0.15">
      <c r="A2463" s="2200" t="s">
        <v>4280</v>
      </c>
      <c r="B2463" s="2200" t="s">
        <v>9203</v>
      </c>
      <c r="C2463" s="2200" t="s">
        <v>9204</v>
      </c>
      <c r="D2463" s="2200" t="str">
        <f t="shared" si="114"/>
        <v>TN</v>
      </c>
      <c r="E2463" s="2200" t="str">
        <f t="shared" si="115"/>
        <v>47</v>
      </c>
      <c r="F2463" s="2200" t="str">
        <f t="shared" si="116"/>
        <v>063</v>
      </c>
      <c r="G2463" s="2200">
        <f>--SUBTOTAL(3,C$2:C2463)</f>
        <v>67</v>
      </c>
    </row>
    <row r="2464" spans="1:7" hidden="1" x14ac:dyDescent="0.15">
      <c r="A2464" s="2200" t="s">
        <v>4280</v>
      </c>
      <c r="B2464" s="2200" t="s">
        <v>9205</v>
      </c>
      <c r="C2464" s="2200" t="s">
        <v>9206</v>
      </c>
      <c r="D2464" s="2200" t="str">
        <f t="shared" si="114"/>
        <v>TN</v>
      </c>
      <c r="E2464" s="2200" t="str">
        <f t="shared" si="115"/>
        <v>47</v>
      </c>
      <c r="F2464" s="2200" t="str">
        <f t="shared" si="116"/>
        <v>065</v>
      </c>
      <c r="G2464" s="2200">
        <f>--SUBTOTAL(3,C$2:C2464)</f>
        <v>67</v>
      </c>
    </row>
    <row r="2465" spans="1:7" hidden="1" x14ac:dyDescent="0.15">
      <c r="A2465" s="2200" t="s">
        <v>4280</v>
      </c>
      <c r="B2465" s="2200" t="s">
        <v>9207</v>
      </c>
      <c r="C2465" s="2200" t="s">
        <v>9208</v>
      </c>
      <c r="D2465" s="2200" t="str">
        <f t="shared" si="114"/>
        <v>TN</v>
      </c>
      <c r="E2465" s="2200" t="str">
        <f t="shared" si="115"/>
        <v>47</v>
      </c>
      <c r="F2465" s="2200" t="str">
        <f t="shared" si="116"/>
        <v>067</v>
      </c>
      <c r="G2465" s="2200">
        <f>--SUBTOTAL(3,C$2:C2465)</f>
        <v>67</v>
      </c>
    </row>
    <row r="2466" spans="1:7" hidden="1" x14ac:dyDescent="0.15">
      <c r="A2466" s="2200" t="s">
        <v>4280</v>
      </c>
      <c r="B2466" s="2200" t="s">
        <v>9209</v>
      </c>
      <c r="C2466" s="2200" t="s">
        <v>9210</v>
      </c>
      <c r="D2466" s="2200" t="str">
        <f t="shared" si="114"/>
        <v>TN</v>
      </c>
      <c r="E2466" s="2200" t="str">
        <f t="shared" si="115"/>
        <v>47</v>
      </c>
      <c r="F2466" s="2200" t="str">
        <f t="shared" si="116"/>
        <v>069</v>
      </c>
      <c r="G2466" s="2200">
        <f>--SUBTOTAL(3,C$2:C2466)</f>
        <v>67</v>
      </c>
    </row>
    <row r="2467" spans="1:7" hidden="1" x14ac:dyDescent="0.15">
      <c r="A2467" s="2200" t="s">
        <v>4280</v>
      </c>
      <c r="B2467" s="2200" t="s">
        <v>9211</v>
      </c>
      <c r="C2467" s="2200" t="s">
        <v>9212</v>
      </c>
      <c r="D2467" s="2200" t="str">
        <f t="shared" si="114"/>
        <v>TN</v>
      </c>
      <c r="E2467" s="2200" t="str">
        <f t="shared" si="115"/>
        <v>47</v>
      </c>
      <c r="F2467" s="2200" t="str">
        <f t="shared" si="116"/>
        <v>071</v>
      </c>
      <c r="G2467" s="2200">
        <f>--SUBTOTAL(3,C$2:C2467)</f>
        <v>67</v>
      </c>
    </row>
    <row r="2468" spans="1:7" hidden="1" x14ac:dyDescent="0.15">
      <c r="A2468" s="2200" t="s">
        <v>4280</v>
      </c>
      <c r="B2468" s="2200" t="s">
        <v>9213</v>
      </c>
      <c r="C2468" s="2200" t="s">
        <v>9214</v>
      </c>
      <c r="D2468" s="2200" t="str">
        <f t="shared" si="114"/>
        <v>TN</v>
      </c>
      <c r="E2468" s="2200" t="str">
        <f t="shared" si="115"/>
        <v>47</v>
      </c>
      <c r="F2468" s="2200" t="str">
        <f t="shared" si="116"/>
        <v>073</v>
      </c>
      <c r="G2468" s="2200">
        <f>--SUBTOTAL(3,C$2:C2468)</f>
        <v>67</v>
      </c>
    </row>
    <row r="2469" spans="1:7" hidden="1" x14ac:dyDescent="0.15">
      <c r="A2469" s="2200" t="s">
        <v>4280</v>
      </c>
      <c r="B2469" s="2200" t="s">
        <v>9215</v>
      </c>
      <c r="C2469" s="2200" t="s">
        <v>9216</v>
      </c>
      <c r="D2469" s="2200" t="str">
        <f t="shared" si="114"/>
        <v>TN</v>
      </c>
      <c r="E2469" s="2200" t="str">
        <f t="shared" si="115"/>
        <v>47</v>
      </c>
      <c r="F2469" s="2200" t="str">
        <f t="shared" si="116"/>
        <v>075</v>
      </c>
      <c r="G2469" s="2200">
        <f>--SUBTOTAL(3,C$2:C2469)</f>
        <v>67</v>
      </c>
    </row>
    <row r="2470" spans="1:7" hidden="1" x14ac:dyDescent="0.15">
      <c r="A2470" s="2200" t="s">
        <v>4280</v>
      </c>
      <c r="B2470" s="2200" t="s">
        <v>9217</v>
      </c>
      <c r="C2470" s="2200" t="s">
        <v>9218</v>
      </c>
      <c r="D2470" s="2200" t="str">
        <f t="shared" si="114"/>
        <v>TN</v>
      </c>
      <c r="E2470" s="2200" t="str">
        <f t="shared" si="115"/>
        <v>47</v>
      </c>
      <c r="F2470" s="2200" t="str">
        <f t="shared" si="116"/>
        <v>077</v>
      </c>
      <c r="G2470" s="2200">
        <f>--SUBTOTAL(3,C$2:C2470)</f>
        <v>67</v>
      </c>
    </row>
    <row r="2471" spans="1:7" hidden="1" x14ac:dyDescent="0.15">
      <c r="A2471" s="2200" t="s">
        <v>4280</v>
      </c>
      <c r="B2471" s="2200" t="s">
        <v>9219</v>
      </c>
      <c r="C2471" s="2200" t="s">
        <v>9220</v>
      </c>
      <c r="D2471" s="2200" t="str">
        <f t="shared" si="114"/>
        <v>TN</v>
      </c>
      <c r="E2471" s="2200" t="str">
        <f t="shared" si="115"/>
        <v>47</v>
      </c>
      <c r="F2471" s="2200" t="str">
        <f t="shared" si="116"/>
        <v>079</v>
      </c>
      <c r="G2471" s="2200">
        <f>--SUBTOTAL(3,C$2:C2471)</f>
        <v>67</v>
      </c>
    </row>
    <row r="2472" spans="1:7" hidden="1" x14ac:dyDescent="0.15">
      <c r="A2472" s="2200" t="s">
        <v>4280</v>
      </c>
      <c r="B2472" s="2200" t="s">
        <v>9221</v>
      </c>
      <c r="C2472" s="2200" t="s">
        <v>9222</v>
      </c>
      <c r="D2472" s="2200" t="str">
        <f t="shared" si="114"/>
        <v>TN</v>
      </c>
      <c r="E2472" s="2200" t="str">
        <f t="shared" si="115"/>
        <v>47</v>
      </c>
      <c r="F2472" s="2200" t="str">
        <f t="shared" si="116"/>
        <v>081</v>
      </c>
      <c r="G2472" s="2200">
        <f>--SUBTOTAL(3,C$2:C2472)</f>
        <v>67</v>
      </c>
    </row>
    <row r="2473" spans="1:7" hidden="1" x14ac:dyDescent="0.15">
      <c r="A2473" s="2200" t="s">
        <v>4280</v>
      </c>
      <c r="B2473" s="2200" t="s">
        <v>9223</v>
      </c>
      <c r="C2473" s="2200" t="s">
        <v>9224</v>
      </c>
      <c r="D2473" s="2200" t="str">
        <f t="shared" si="114"/>
        <v>TN</v>
      </c>
      <c r="E2473" s="2200" t="str">
        <f t="shared" si="115"/>
        <v>47</v>
      </c>
      <c r="F2473" s="2200" t="str">
        <f t="shared" si="116"/>
        <v>083</v>
      </c>
      <c r="G2473" s="2200">
        <f>--SUBTOTAL(3,C$2:C2473)</f>
        <v>67</v>
      </c>
    </row>
    <row r="2474" spans="1:7" hidden="1" x14ac:dyDescent="0.15">
      <c r="A2474" s="2200" t="s">
        <v>4280</v>
      </c>
      <c r="B2474" s="2200" t="s">
        <v>9225</v>
      </c>
      <c r="C2474" s="2200" t="s">
        <v>9226</v>
      </c>
      <c r="D2474" s="2200" t="str">
        <f t="shared" si="114"/>
        <v>TN</v>
      </c>
      <c r="E2474" s="2200" t="str">
        <f t="shared" si="115"/>
        <v>47</v>
      </c>
      <c r="F2474" s="2200" t="str">
        <f t="shared" si="116"/>
        <v>085</v>
      </c>
      <c r="G2474" s="2200">
        <f>--SUBTOTAL(3,C$2:C2474)</f>
        <v>67</v>
      </c>
    </row>
    <row r="2475" spans="1:7" hidden="1" x14ac:dyDescent="0.15">
      <c r="A2475" s="2200" t="s">
        <v>4280</v>
      </c>
      <c r="B2475" s="2200" t="s">
        <v>9227</v>
      </c>
      <c r="C2475" s="2200" t="s">
        <v>9228</v>
      </c>
      <c r="D2475" s="2200" t="str">
        <f t="shared" si="114"/>
        <v>TN</v>
      </c>
      <c r="E2475" s="2200" t="str">
        <f t="shared" si="115"/>
        <v>47</v>
      </c>
      <c r="F2475" s="2200" t="str">
        <f t="shared" si="116"/>
        <v>087</v>
      </c>
      <c r="G2475" s="2200">
        <f>--SUBTOTAL(3,C$2:C2475)</f>
        <v>67</v>
      </c>
    </row>
    <row r="2476" spans="1:7" hidden="1" x14ac:dyDescent="0.15">
      <c r="A2476" s="2200" t="s">
        <v>4280</v>
      </c>
      <c r="B2476" s="2200" t="s">
        <v>9229</v>
      </c>
      <c r="C2476" s="2200" t="s">
        <v>9230</v>
      </c>
      <c r="D2476" s="2200" t="str">
        <f t="shared" si="114"/>
        <v>TN</v>
      </c>
      <c r="E2476" s="2200" t="str">
        <f t="shared" si="115"/>
        <v>47</v>
      </c>
      <c r="F2476" s="2200" t="str">
        <f t="shared" si="116"/>
        <v>089</v>
      </c>
      <c r="G2476" s="2200">
        <f>--SUBTOTAL(3,C$2:C2476)</f>
        <v>67</v>
      </c>
    </row>
    <row r="2477" spans="1:7" hidden="1" x14ac:dyDescent="0.15">
      <c r="A2477" s="2200" t="s">
        <v>4280</v>
      </c>
      <c r="B2477" s="2200" t="s">
        <v>9231</v>
      </c>
      <c r="C2477" s="2200" t="s">
        <v>9232</v>
      </c>
      <c r="D2477" s="2200" t="str">
        <f t="shared" si="114"/>
        <v>TN</v>
      </c>
      <c r="E2477" s="2200" t="str">
        <f t="shared" si="115"/>
        <v>47</v>
      </c>
      <c r="F2477" s="2200" t="str">
        <f t="shared" si="116"/>
        <v>091</v>
      </c>
      <c r="G2477" s="2200">
        <f>--SUBTOTAL(3,C$2:C2477)</f>
        <v>67</v>
      </c>
    </row>
    <row r="2478" spans="1:7" hidden="1" x14ac:dyDescent="0.15">
      <c r="A2478" s="2200" t="s">
        <v>4280</v>
      </c>
      <c r="B2478" s="2200" t="s">
        <v>9233</v>
      </c>
      <c r="C2478" s="2200" t="s">
        <v>9234</v>
      </c>
      <c r="D2478" s="2200" t="str">
        <f t="shared" si="114"/>
        <v>TN</v>
      </c>
      <c r="E2478" s="2200" t="str">
        <f t="shared" si="115"/>
        <v>47</v>
      </c>
      <c r="F2478" s="2200" t="str">
        <f t="shared" si="116"/>
        <v>093</v>
      </c>
      <c r="G2478" s="2200">
        <f>--SUBTOTAL(3,C$2:C2478)</f>
        <v>67</v>
      </c>
    </row>
    <row r="2479" spans="1:7" hidden="1" x14ac:dyDescent="0.15">
      <c r="A2479" s="2200" t="s">
        <v>4280</v>
      </c>
      <c r="B2479" s="2200" t="s">
        <v>9235</v>
      </c>
      <c r="C2479" s="2200" t="s">
        <v>9236</v>
      </c>
      <c r="D2479" s="2200" t="str">
        <f t="shared" si="114"/>
        <v>TN</v>
      </c>
      <c r="E2479" s="2200" t="str">
        <f t="shared" si="115"/>
        <v>47</v>
      </c>
      <c r="F2479" s="2200" t="str">
        <f t="shared" si="116"/>
        <v>095</v>
      </c>
      <c r="G2479" s="2200">
        <f>--SUBTOTAL(3,C$2:C2479)</f>
        <v>67</v>
      </c>
    </row>
    <row r="2480" spans="1:7" hidden="1" x14ac:dyDescent="0.15">
      <c r="A2480" s="2200" t="s">
        <v>4280</v>
      </c>
      <c r="B2480" s="2200" t="s">
        <v>9237</v>
      </c>
      <c r="C2480" s="2200" t="s">
        <v>9238</v>
      </c>
      <c r="D2480" s="2200" t="str">
        <f t="shared" si="114"/>
        <v>TN</v>
      </c>
      <c r="E2480" s="2200" t="str">
        <f t="shared" si="115"/>
        <v>47</v>
      </c>
      <c r="F2480" s="2200" t="str">
        <f t="shared" si="116"/>
        <v>097</v>
      </c>
      <c r="G2480" s="2200">
        <f>--SUBTOTAL(3,C$2:C2480)</f>
        <v>67</v>
      </c>
    </row>
    <row r="2481" spans="1:7" hidden="1" x14ac:dyDescent="0.15">
      <c r="A2481" s="2200" t="s">
        <v>4280</v>
      </c>
      <c r="B2481" s="2200" t="s">
        <v>9239</v>
      </c>
      <c r="C2481" s="2200" t="s">
        <v>9240</v>
      </c>
      <c r="D2481" s="2200" t="str">
        <f t="shared" si="114"/>
        <v>TN</v>
      </c>
      <c r="E2481" s="2200" t="str">
        <f t="shared" si="115"/>
        <v>47</v>
      </c>
      <c r="F2481" s="2200" t="str">
        <f t="shared" si="116"/>
        <v>099</v>
      </c>
      <c r="G2481" s="2200">
        <f>--SUBTOTAL(3,C$2:C2481)</f>
        <v>67</v>
      </c>
    </row>
    <row r="2482" spans="1:7" hidden="1" x14ac:dyDescent="0.15">
      <c r="A2482" s="2200" t="s">
        <v>4280</v>
      </c>
      <c r="B2482" s="2200" t="s">
        <v>9241</v>
      </c>
      <c r="C2482" s="2200" t="s">
        <v>9242</v>
      </c>
      <c r="D2482" s="2200" t="str">
        <f t="shared" si="114"/>
        <v>TN</v>
      </c>
      <c r="E2482" s="2200" t="str">
        <f t="shared" si="115"/>
        <v>47</v>
      </c>
      <c r="F2482" s="2200" t="str">
        <f t="shared" si="116"/>
        <v>101</v>
      </c>
      <c r="G2482" s="2200">
        <f>--SUBTOTAL(3,C$2:C2482)</f>
        <v>67</v>
      </c>
    </row>
    <row r="2483" spans="1:7" hidden="1" x14ac:dyDescent="0.15">
      <c r="A2483" s="2200" t="s">
        <v>4280</v>
      </c>
      <c r="B2483" s="2200" t="s">
        <v>9243</v>
      </c>
      <c r="C2483" s="2200" t="s">
        <v>9244</v>
      </c>
      <c r="D2483" s="2200" t="str">
        <f t="shared" si="114"/>
        <v>TN</v>
      </c>
      <c r="E2483" s="2200" t="str">
        <f t="shared" si="115"/>
        <v>47</v>
      </c>
      <c r="F2483" s="2200" t="str">
        <f t="shared" si="116"/>
        <v>103</v>
      </c>
      <c r="G2483" s="2200">
        <f>--SUBTOTAL(3,C$2:C2483)</f>
        <v>67</v>
      </c>
    </row>
    <row r="2484" spans="1:7" hidden="1" x14ac:dyDescent="0.15">
      <c r="A2484" s="2200" t="s">
        <v>4280</v>
      </c>
      <c r="B2484" s="2200" t="s">
        <v>9245</v>
      </c>
      <c r="C2484" s="2200" t="s">
        <v>9246</v>
      </c>
      <c r="D2484" s="2200" t="str">
        <f t="shared" si="114"/>
        <v>TN</v>
      </c>
      <c r="E2484" s="2200" t="str">
        <f t="shared" si="115"/>
        <v>47</v>
      </c>
      <c r="F2484" s="2200" t="str">
        <f t="shared" si="116"/>
        <v>105</v>
      </c>
      <c r="G2484" s="2200">
        <f>--SUBTOTAL(3,C$2:C2484)</f>
        <v>67</v>
      </c>
    </row>
    <row r="2485" spans="1:7" hidden="1" x14ac:dyDescent="0.15">
      <c r="A2485" s="2200" t="s">
        <v>4280</v>
      </c>
      <c r="B2485" s="2200" t="s">
        <v>9247</v>
      </c>
      <c r="C2485" s="2200" t="s">
        <v>9248</v>
      </c>
      <c r="D2485" s="2200" t="str">
        <f t="shared" si="114"/>
        <v>TN</v>
      </c>
      <c r="E2485" s="2200" t="str">
        <f t="shared" si="115"/>
        <v>47</v>
      </c>
      <c r="F2485" s="2200" t="str">
        <f t="shared" si="116"/>
        <v>107</v>
      </c>
      <c r="G2485" s="2200">
        <f>--SUBTOTAL(3,C$2:C2485)</f>
        <v>67</v>
      </c>
    </row>
    <row r="2486" spans="1:7" hidden="1" x14ac:dyDescent="0.15">
      <c r="A2486" s="2200" t="s">
        <v>4280</v>
      </c>
      <c r="B2486" s="2200" t="s">
        <v>9249</v>
      </c>
      <c r="C2486" s="2200" t="s">
        <v>9250</v>
      </c>
      <c r="D2486" s="2200" t="str">
        <f t="shared" si="114"/>
        <v>TN</v>
      </c>
      <c r="E2486" s="2200" t="str">
        <f t="shared" si="115"/>
        <v>47</v>
      </c>
      <c r="F2486" s="2200" t="str">
        <f t="shared" si="116"/>
        <v>109</v>
      </c>
      <c r="G2486" s="2200">
        <f>--SUBTOTAL(3,C$2:C2486)</f>
        <v>67</v>
      </c>
    </row>
    <row r="2487" spans="1:7" hidden="1" x14ac:dyDescent="0.15">
      <c r="A2487" s="2200" t="s">
        <v>4280</v>
      </c>
      <c r="B2487" s="2200" t="s">
        <v>9251</v>
      </c>
      <c r="C2487" s="2200" t="s">
        <v>9252</v>
      </c>
      <c r="D2487" s="2200" t="str">
        <f t="shared" si="114"/>
        <v>TN</v>
      </c>
      <c r="E2487" s="2200" t="str">
        <f t="shared" si="115"/>
        <v>47</v>
      </c>
      <c r="F2487" s="2200" t="str">
        <f t="shared" si="116"/>
        <v>111</v>
      </c>
      <c r="G2487" s="2200">
        <f>--SUBTOTAL(3,C$2:C2487)</f>
        <v>67</v>
      </c>
    </row>
    <row r="2488" spans="1:7" hidden="1" x14ac:dyDescent="0.15">
      <c r="A2488" s="2200" t="s">
        <v>4280</v>
      </c>
      <c r="B2488" s="2200" t="s">
        <v>9253</v>
      </c>
      <c r="C2488" s="2200" t="s">
        <v>9254</v>
      </c>
      <c r="D2488" s="2200" t="str">
        <f t="shared" si="114"/>
        <v>TN</v>
      </c>
      <c r="E2488" s="2200" t="str">
        <f t="shared" si="115"/>
        <v>47</v>
      </c>
      <c r="F2488" s="2200" t="str">
        <f t="shared" si="116"/>
        <v>113</v>
      </c>
      <c r="G2488" s="2200">
        <f>--SUBTOTAL(3,C$2:C2488)</f>
        <v>67</v>
      </c>
    </row>
    <row r="2489" spans="1:7" hidden="1" x14ac:dyDescent="0.15">
      <c r="A2489" s="2200" t="s">
        <v>4280</v>
      </c>
      <c r="B2489" s="2200" t="s">
        <v>9255</v>
      </c>
      <c r="C2489" s="2200" t="s">
        <v>9256</v>
      </c>
      <c r="D2489" s="2200" t="str">
        <f t="shared" si="114"/>
        <v>TN</v>
      </c>
      <c r="E2489" s="2200" t="str">
        <f t="shared" si="115"/>
        <v>47</v>
      </c>
      <c r="F2489" s="2200" t="str">
        <f t="shared" si="116"/>
        <v>115</v>
      </c>
      <c r="G2489" s="2200">
        <f>--SUBTOTAL(3,C$2:C2489)</f>
        <v>67</v>
      </c>
    </row>
    <row r="2490" spans="1:7" hidden="1" x14ac:dyDescent="0.15">
      <c r="A2490" s="2200" t="s">
        <v>4280</v>
      </c>
      <c r="B2490" s="2200" t="s">
        <v>9257</v>
      </c>
      <c r="C2490" s="2200" t="s">
        <v>9258</v>
      </c>
      <c r="D2490" s="2200" t="str">
        <f t="shared" si="114"/>
        <v>TN</v>
      </c>
      <c r="E2490" s="2200" t="str">
        <f t="shared" si="115"/>
        <v>47</v>
      </c>
      <c r="F2490" s="2200" t="str">
        <f t="shared" si="116"/>
        <v>117</v>
      </c>
      <c r="G2490" s="2200">
        <f>--SUBTOTAL(3,C$2:C2490)</f>
        <v>67</v>
      </c>
    </row>
    <row r="2491" spans="1:7" hidden="1" x14ac:dyDescent="0.15">
      <c r="A2491" s="2200" t="s">
        <v>4280</v>
      </c>
      <c r="B2491" s="2200" t="s">
        <v>9259</v>
      </c>
      <c r="C2491" s="2200" t="s">
        <v>9260</v>
      </c>
      <c r="D2491" s="2200" t="str">
        <f t="shared" si="114"/>
        <v>TN</v>
      </c>
      <c r="E2491" s="2200" t="str">
        <f t="shared" si="115"/>
        <v>47</v>
      </c>
      <c r="F2491" s="2200" t="str">
        <f t="shared" si="116"/>
        <v>119</v>
      </c>
      <c r="G2491" s="2200">
        <f>--SUBTOTAL(3,C$2:C2491)</f>
        <v>67</v>
      </c>
    </row>
    <row r="2492" spans="1:7" hidden="1" x14ac:dyDescent="0.15">
      <c r="A2492" s="2200" t="s">
        <v>4280</v>
      </c>
      <c r="B2492" s="2200" t="s">
        <v>9261</v>
      </c>
      <c r="C2492" s="2200" t="s">
        <v>9262</v>
      </c>
      <c r="D2492" s="2200" t="str">
        <f t="shared" si="114"/>
        <v>TN</v>
      </c>
      <c r="E2492" s="2200" t="str">
        <f t="shared" si="115"/>
        <v>47</v>
      </c>
      <c r="F2492" s="2200" t="str">
        <f t="shared" si="116"/>
        <v>121</v>
      </c>
      <c r="G2492" s="2200">
        <f>--SUBTOTAL(3,C$2:C2492)</f>
        <v>67</v>
      </c>
    </row>
    <row r="2493" spans="1:7" hidden="1" x14ac:dyDescent="0.15">
      <c r="A2493" s="2200" t="s">
        <v>4280</v>
      </c>
      <c r="B2493" s="2200" t="s">
        <v>9263</v>
      </c>
      <c r="C2493" s="2200" t="s">
        <v>9264</v>
      </c>
      <c r="D2493" s="2200" t="str">
        <f t="shared" si="114"/>
        <v>TN</v>
      </c>
      <c r="E2493" s="2200" t="str">
        <f t="shared" si="115"/>
        <v>47</v>
      </c>
      <c r="F2493" s="2200" t="str">
        <f t="shared" si="116"/>
        <v>123</v>
      </c>
      <c r="G2493" s="2200">
        <f>--SUBTOTAL(3,C$2:C2493)</f>
        <v>67</v>
      </c>
    </row>
    <row r="2494" spans="1:7" hidden="1" x14ac:dyDescent="0.15">
      <c r="A2494" s="2200" t="s">
        <v>4280</v>
      </c>
      <c r="B2494" s="2200" t="s">
        <v>9265</v>
      </c>
      <c r="C2494" s="2200" t="s">
        <v>9266</v>
      </c>
      <c r="D2494" s="2200" t="str">
        <f t="shared" si="114"/>
        <v>TN</v>
      </c>
      <c r="E2494" s="2200" t="str">
        <f t="shared" si="115"/>
        <v>47</v>
      </c>
      <c r="F2494" s="2200" t="str">
        <f t="shared" si="116"/>
        <v>125</v>
      </c>
      <c r="G2494" s="2200">
        <f>--SUBTOTAL(3,C$2:C2494)</f>
        <v>67</v>
      </c>
    </row>
    <row r="2495" spans="1:7" hidden="1" x14ac:dyDescent="0.15">
      <c r="A2495" s="2200" t="s">
        <v>4280</v>
      </c>
      <c r="B2495" s="2200" t="s">
        <v>9267</v>
      </c>
      <c r="C2495" s="2200" t="s">
        <v>9268</v>
      </c>
      <c r="D2495" s="2200" t="str">
        <f t="shared" si="114"/>
        <v>TN</v>
      </c>
      <c r="E2495" s="2200" t="str">
        <f t="shared" si="115"/>
        <v>47</v>
      </c>
      <c r="F2495" s="2200" t="str">
        <f t="shared" si="116"/>
        <v>127</v>
      </c>
      <c r="G2495" s="2200">
        <f>--SUBTOTAL(3,C$2:C2495)</f>
        <v>67</v>
      </c>
    </row>
    <row r="2496" spans="1:7" hidden="1" x14ac:dyDescent="0.15">
      <c r="A2496" s="2200" t="s">
        <v>4280</v>
      </c>
      <c r="B2496" s="2200" t="s">
        <v>9269</v>
      </c>
      <c r="C2496" s="2200" t="s">
        <v>9270</v>
      </c>
      <c r="D2496" s="2200" t="str">
        <f t="shared" si="114"/>
        <v>TN</v>
      </c>
      <c r="E2496" s="2200" t="str">
        <f t="shared" si="115"/>
        <v>47</v>
      </c>
      <c r="F2496" s="2200" t="str">
        <f t="shared" si="116"/>
        <v>129</v>
      </c>
      <c r="G2496" s="2200">
        <f>--SUBTOTAL(3,C$2:C2496)</f>
        <v>67</v>
      </c>
    </row>
    <row r="2497" spans="1:7" hidden="1" x14ac:dyDescent="0.15">
      <c r="A2497" s="2200" t="s">
        <v>4280</v>
      </c>
      <c r="B2497" s="2200" t="s">
        <v>9271</v>
      </c>
      <c r="C2497" s="2200" t="s">
        <v>9272</v>
      </c>
      <c r="D2497" s="2200" t="str">
        <f t="shared" si="114"/>
        <v>TN</v>
      </c>
      <c r="E2497" s="2200" t="str">
        <f t="shared" si="115"/>
        <v>47</v>
      </c>
      <c r="F2497" s="2200" t="str">
        <f t="shared" si="116"/>
        <v>131</v>
      </c>
      <c r="G2497" s="2200">
        <f>--SUBTOTAL(3,C$2:C2497)</f>
        <v>67</v>
      </c>
    </row>
    <row r="2498" spans="1:7" hidden="1" x14ac:dyDescent="0.15">
      <c r="A2498" s="2200" t="s">
        <v>4280</v>
      </c>
      <c r="B2498" s="2200" t="s">
        <v>9273</v>
      </c>
      <c r="C2498" s="2200" t="s">
        <v>9274</v>
      </c>
      <c r="D2498" s="2200" t="str">
        <f t="shared" si="114"/>
        <v>TN</v>
      </c>
      <c r="E2498" s="2200" t="str">
        <f t="shared" si="115"/>
        <v>47</v>
      </c>
      <c r="F2498" s="2200" t="str">
        <f t="shared" si="116"/>
        <v>133</v>
      </c>
      <c r="G2498" s="2200">
        <f>--SUBTOTAL(3,C$2:C2498)</f>
        <v>67</v>
      </c>
    </row>
    <row r="2499" spans="1:7" hidden="1" x14ac:dyDescent="0.15">
      <c r="A2499" s="2200" t="s">
        <v>4280</v>
      </c>
      <c r="B2499" s="2200" t="s">
        <v>9275</v>
      </c>
      <c r="C2499" s="2200" t="s">
        <v>9276</v>
      </c>
      <c r="D2499" s="2200" t="str">
        <f t="shared" ref="D2499:D2562" si="117">RIGHT(C2499,2)</f>
        <v>TN</v>
      </c>
      <c r="E2499" s="2200" t="str">
        <f t="shared" ref="E2499:E2562" si="118">MID(B2499,3,2)</f>
        <v>47</v>
      </c>
      <c r="F2499" s="2200" t="str">
        <f t="shared" ref="F2499:F2562" si="119">MID(B2499,5,3)</f>
        <v>135</v>
      </c>
      <c r="G2499" s="2200">
        <f>--SUBTOTAL(3,C$2:C2499)</f>
        <v>67</v>
      </c>
    </row>
    <row r="2500" spans="1:7" hidden="1" x14ac:dyDescent="0.15">
      <c r="A2500" s="2200" t="s">
        <v>4280</v>
      </c>
      <c r="B2500" s="2200" t="s">
        <v>9277</v>
      </c>
      <c r="C2500" s="2200" t="s">
        <v>9278</v>
      </c>
      <c r="D2500" s="2200" t="str">
        <f t="shared" si="117"/>
        <v>TN</v>
      </c>
      <c r="E2500" s="2200" t="str">
        <f t="shared" si="118"/>
        <v>47</v>
      </c>
      <c r="F2500" s="2200" t="str">
        <f t="shared" si="119"/>
        <v>137</v>
      </c>
      <c r="G2500" s="2200">
        <f>--SUBTOTAL(3,C$2:C2500)</f>
        <v>67</v>
      </c>
    </row>
    <row r="2501" spans="1:7" hidden="1" x14ac:dyDescent="0.15">
      <c r="A2501" s="2200" t="s">
        <v>4280</v>
      </c>
      <c r="B2501" s="2200" t="s">
        <v>9279</v>
      </c>
      <c r="C2501" s="2200" t="s">
        <v>9280</v>
      </c>
      <c r="D2501" s="2200" t="str">
        <f t="shared" si="117"/>
        <v>TN</v>
      </c>
      <c r="E2501" s="2200" t="str">
        <f t="shared" si="118"/>
        <v>47</v>
      </c>
      <c r="F2501" s="2200" t="str">
        <f t="shared" si="119"/>
        <v>139</v>
      </c>
      <c r="G2501" s="2200">
        <f>--SUBTOTAL(3,C$2:C2501)</f>
        <v>67</v>
      </c>
    </row>
    <row r="2502" spans="1:7" hidden="1" x14ac:dyDescent="0.15">
      <c r="A2502" s="2200" t="s">
        <v>4280</v>
      </c>
      <c r="B2502" s="2200" t="s">
        <v>9281</v>
      </c>
      <c r="C2502" s="2200" t="s">
        <v>9282</v>
      </c>
      <c r="D2502" s="2200" t="str">
        <f t="shared" si="117"/>
        <v>TN</v>
      </c>
      <c r="E2502" s="2200" t="str">
        <f t="shared" si="118"/>
        <v>47</v>
      </c>
      <c r="F2502" s="2200" t="str">
        <f t="shared" si="119"/>
        <v>141</v>
      </c>
      <c r="G2502" s="2200">
        <f>--SUBTOTAL(3,C$2:C2502)</f>
        <v>67</v>
      </c>
    </row>
    <row r="2503" spans="1:7" hidden="1" x14ac:dyDescent="0.15">
      <c r="A2503" s="2200" t="s">
        <v>4280</v>
      </c>
      <c r="B2503" s="2200" t="s">
        <v>9283</v>
      </c>
      <c r="C2503" s="2200" t="s">
        <v>9284</v>
      </c>
      <c r="D2503" s="2200" t="str">
        <f t="shared" si="117"/>
        <v>TN</v>
      </c>
      <c r="E2503" s="2200" t="str">
        <f t="shared" si="118"/>
        <v>47</v>
      </c>
      <c r="F2503" s="2200" t="str">
        <f t="shared" si="119"/>
        <v>143</v>
      </c>
      <c r="G2503" s="2200">
        <f>--SUBTOTAL(3,C$2:C2503)</f>
        <v>67</v>
      </c>
    </row>
    <row r="2504" spans="1:7" hidden="1" x14ac:dyDescent="0.15">
      <c r="A2504" s="2200" t="s">
        <v>4280</v>
      </c>
      <c r="B2504" s="2200" t="s">
        <v>9285</v>
      </c>
      <c r="C2504" s="2200" t="s">
        <v>9286</v>
      </c>
      <c r="D2504" s="2200" t="str">
        <f t="shared" si="117"/>
        <v>TN</v>
      </c>
      <c r="E2504" s="2200" t="str">
        <f t="shared" si="118"/>
        <v>47</v>
      </c>
      <c r="F2504" s="2200" t="str">
        <f t="shared" si="119"/>
        <v>145</v>
      </c>
      <c r="G2504" s="2200">
        <f>--SUBTOTAL(3,C$2:C2504)</f>
        <v>67</v>
      </c>
    </row>
    <row r="2505" spans="1:7" hidden="1" x14ac:dyDescent="0.15">
      <c r="A2505" s="2200" t="s">
        <v>4280</v>
      </c>
      <c r="B2505" s="2200" t="s">
        <v>9287</v>
      </c>
      <c r="C2505" s="2200" t="s">
        <v>9288</v>
      </c>
      <c r="D2505" s="2200" t="str">
        <f t="shared" si="117"/>
        <v>TN</v>
      </c>
      <c r="E2505" s="2200" t="str">
        <f t="shared" si="118"/>
        <v>47</v>
      </c>
      <c r="F2505" s="2200" t="str">
        <f t="shared" si="119"/>
        <v>147</v>
      </c>
      <c r="G2505" s="2200">
        <f>--SUBTOTAL(3,C$2:C2505)</f>
        <v>67</v>
      </c>
    </row>
    <row r="2506" spans="1:7" hidden="1" x14ac:dyDescent="0.15">
      <c r="A2506" s="2200" t="s">
        <v>4280</v>
      </c>
      <c r="B2506" s="2200" t="s">
        <v>9289</v>
      </c>
      <c r="C2506" s="2200" t="s">
        <v>9290</v>
      </c>
      <c r="D2506" s="2200" t="str">
        <f t="shared" si="117"/>
        <v>TN</v>
      </c>
      <c r="E2506" s="2200" t="str">
        <f t="shared" si="118"/>
        <v>47</v>
      </c>
      <c r="F2506" s="2200" t="str">
        <f t="shared" si="119"/>
        <v>149</v>
      </c>
      <c r="G2506" s="2200">
        <f>--SUBTOTAL(3,C$2:C2506)</f>
        <v>67</v>
      </c>
    </row>
    <row r="2507" spans="1:7" hidden="1" x14ac:dyDescent="0.15">
      <c r="A2507" s="2200" t="s">
        <v>4280</v>
      </c>
      <c r="B2507" s="2200" t="s">
        <v>9291</v>
      </c>
      <c r="C2507" s="2200" t="s">
        <v>9292</v>
      </c>
      <c r="D2507" s="2200" t="str">
        <f t="shared" si="117"/>
        <v>TN</v>
      </c>
      <c r="E2507" s="2200" t="str">
        <f t="shared" si="118"/>
        <v>47</v>
      </c>
      <c r="F2507" s="2200" t="str">
        <f t="shared" si="119"/>
        <v>151</v>
      </c>
      <c r="G2507" s="2200">
        <f>--SUBTOTAL(3,C$2:C2507)</f>
        <v>67</v>
      </c>
    </row>
    <row r="2508" spans="1:7" hidden="1" x14ac:dyDescent="0.15">
      <c r="A2508" s="2200" t="s">
        <v>4280</v>
      </c>
      <c r="B2508" s="2200" t="s">
        <v>9293</v>
      </c>
      <c r="C2508" s="2200" t="s">
        <v>9294</v>
      </c>
      <c r="D2508" s="2200" t="str">
        <f t="shared" si="117"/>
        <v>TN</v>
      </c>
      <c r="E2508" s="2200" t="str">
        <f t="shared" si="118"/>
        <v>47</v>
      </c>
      <c r="F2508" s="2200" t="str">
        <f t="shared" si="119"/>
        <v>153</v>
      </c>
      <c r="G2508" s="2200">
        <f>--SUBTOTAL(3,C$2:C2508)</f>
        <v>67</v>
      </c>
    </row>
    <row r="2509" spans="1:7" hidden="1" x14ac:dyDescent="0.15">
      <c r="A2509" s="2200" t="s">
        <v>4280</v>
      </c>
      <c r="B2509" s="2200" t="s">
        <v>9295</v>
      </c>
      <c r="C2509" s="2200" t="s">
        <v>9296</v>
      </c>
      <c r="D2509" s="2200" t="str">
        <f t="shared" si="117"/>
        <v>TN</v>
      </c>
      <c r="E2509" s="2200" t="str">
        <f t="shared" si="118"/>
        <v>47</v>
      </c>
      <c r="F2509" s="2200" t="str">
        <f t="shared" si="119"/>
        <v>155</v>
      </c>
      <c r="G2509" s="2200">
        <f>--SUBTOTAL(3,C$2:C2509)</f>
        <v>67</v>
      </c>
    </row>
    <row r="2510" spans="1:7" hidden="1" x14ac:dyDescent="0.15">
      <c r="A2510" s="2200" t="s">
        <v>4280</v>
      </c>
      <c r="B2510" s="2200" t="s">
        <v>9297</v>
      </c>
      <c r="C2510" s="2200" t="s">
        <v>9298</v>
      </c>
      <c r="D2510" s="2200" t="str">
        <f t="shared" si="117"/>
        <v>TN</v>
      </c>
      <c r="E2510" s="2200" t="str">
        <f t="shared" si="118"/>
        <v>47</v>
      </c>
      <c r="F2510" s="2200" t="str">
        <f t="shared" si="119"/>
        <v>157</v>
      </c>
      <c r="G2510" s="2200">
        <f>--SUBTOTAL(3,C$2:C2510)</f>
        <v>67</v>
      </c>
    </row>
    <row r="2511" spans="1:7" hidden="1" x14ac:dyDescent="0.15">
      <c r="A2511" s="2200" t="s">
        <v>4280</v>
      </c>
      <c r="B2511" s="2200" t="s">
        <v>9299</v>
      </c>
      <c r="C2511" s="2200" t="s">
        <v>9300</v>
      </c>
      <c r="D2511" s="2200" t="str">
        <f t="shared" si="117"/>
        <v>TN</v>
      </c>
      <c r="E2511" s="2200" t="str">
        <f t="shared" si="118"/>
        <v>47</v>
      </c>
      <c r="F2511" s="2200" t="str">
        <f t="shared" si="119"/>
        <v>159</v>
      </c>
      <c r="G2511" s="2200">
        <f>--SUBTOTAL(3,C$2:C2511)</f>
        <v>67</v>
      </c>
    </row>
    <row r="2512" spans="1:7" hidden="1" x14ac:dyDescent="0.15">
      <c r="A2512" s="2200" t="s">
        <v>4280</v>
      </c>
      <c r="B2512" s="2200" t="s">
        <v>9301</v>
      </c>
      <c r="C2512" s="2200" t="s">
        <v>9302</v>
      </c>
      <c r="D2512" s="2200" t="str">
        <f t="shared" si="117"/>
        <v>TN</v>
      </c>
      <c r="E2512" s="2200" t="str">
        <f t="shared" si="118"/>
        <v>47</v>
      </c>
      <c r="F2512" s="2200" t="str">
        <f t="shared" si="119"/>
        <v>161</v>
      </c>
      <c r="G2512" s="2200">
        <f>--SUBTOTAL(3,C$2:C2512)</f>
        <v>67</v>
      </c>
    </row>
    <row r="2513" spans="1:7" hidden="1" x14ac:dyDescent="0.15">
      <c r="A2513" s="2200" t="s">
        <v>4280</v>
      </c>
      <c r="B2513" s="2200" t="s">
        <v>9303</v>
      </c>
      <c r="C2513" s="2200" t="s">
        <v>9304</v>
      </c>
      <c r="D2513" s="2200" t="str">
        <f t="shared" si="117"/>
        <v>TN</v>
      </c>
      <c r="E2513" s="2200" t="str">
        <f t="shared" si="118"/>
        <v>47</v>
      </c>
      <c r="F2513" s="2200" t="str">
        <f t="shared" si="119"/>
        <v>163</v>
      </c>
      <c r="G2513" s="2200">
        <f>--SUBTOTAL(3,C$2:C2513)</f>
        <v>67</v>
      </c>
    </row>
    <row r="2514" spans="1:7" hidden="1" x14ac:dyDescent="0.15">
      <c r="A2514" s="2200" t="s">
        <v>4280</v>
      </c>
      <c r="B2514" s="2200" t="s">
        <v>9305</v>
      </c>
      <c r="C2514" s="2200" t="s">
        <v>9306</v>
      </c>
      <c r="D2514" s="2200" t="str">
        <f t="shared" si="117"/>
        <v>TN</v>
      </c>
      <c r="E2514" s="2200" t="str">
        <f t="shared" si="118"/>
        <v>47</v>
      </c>
      <c r="F2514" s="2200" t="str">
        <f t="shared" si="119"/>
        <v>165</v>
      </c>
      <c r="G2514" s="2200">
        <f>--SUBTOTAL(3,C$2:C2514)</f>
        <v>67</v>
      </c>
    </row>
    <row r="2515" spans="1:7" hidden="1" x14ac:dyDescent="0.15">
      <c r="A2515" s="2200" t="s">
        <v>4280</v>
      </c>
      <c r="B2515" s="2200" t="s">
        <v>9307</v>
      </c>
      <c r="C2515" s="2200" t="s">
        <v>9308</v>
      </c>
      <c r="D2515" s="2200" t="str">
        <f t="shared" si="117"/>
        <v>TN</v>
      </c>
      <c r="E2515" s="2200" t="str">
        <f t="shared" si="118"/>
        <v>47</v>
      </c>
      <c r="F2515" s="2200" t="str">
        <f t="shared" si="119"/>
        <v>167</v>
      </c>
      <c r="G2515" s="2200">
        <f>--SUBTOTAL(3,C$2:C2515)</f>
        <v>67</v>
      </c>
    </row>
    <row r="2516" spans="1:7" hidden="1" x14ac:dyDescent="0.15">
      <c r="A2516" s="2200" t="s">
        <v>4280</v>
      </c>
      <c r="B2516" s="2200" t="s">
        <v>9309</v>
      </c>
      <c r="C2516" s="2200" t="s">
        <v>9310</v>
      </c>
      <c r="D2516" s="2200" t="str">
        <f t="shared" si="117"/>
        <v>TN</v>
      </c>
      <c r="E2516" s="2200" t="str">
        <f t="shared" si="118"/>
        <v>47</v>
      </c>
      <c r="F2516" s="2200" t="str">
        <f t="shared" si="119"/>
        <v>169</v>
      </c>
      <c r="G2516" s="2200">
        <f>--SUBTOTAL(3,C$2:C2516)</f>
        <v>67</v>
      </c>
    </row>
    <row r="2517" spans="1:7" hidden="1" x14ac:dyDescent="0.15">
      <c r="A2517" s="2200" t="s">
        <v>4280</v>
      </c>
      <c r="B2517" s="2200" t="s">
        <v>9311</v>
      </c>
      <c r="C2517" s="2200" t="s">
        <v>9312</v>
      </c>
      <c r="D2517" s="2200" t="str">
        <f t="shared" si="117"/>
        <v>TN</v>
      </c>
      <c r="E2517" s="2200" t="str">
        <f t="shared" si="118"/>
        <v>47</v>
      </c>
      <c r="F2517" s="2200" t="str">
        <f t="shared" si="119"/>
        <v>171</v>
      </c>
      <c r="G2517" s="2200">
        <f>--SUBTOTAL(3,C$2:C2517)</f>
        <v>67</v>
      </c>
    </row>
    <row r="2518" spans="1:7" hidden="1" x14ac:dyDescent="0.15">
      <c r="A2518" s="2200" t="s">
        <v>4280</v>
      </c>
      <c r="B2518" s="2200" t="s">
        <v>9313</v>
      </c>
      <c r="C2518" s="2200" t="s">
        <v>9314</v>
      </c>
      <c r="D2518" s="2200" t="str">
        <f t="shared" si="117"/>
        <v>TN</v>
      </c>
      <c r="E2518" s="2200" t="str">
        <f t="shared" si="118"/>
        <v>47</v>
      </c>
      <c r="F2518" s="2200" t="str">
        <f t="shared" si="119"/>
        <v>173</v>
      </c>
      <c r="G2518" s="2200">
        <f>--SUBTOTAL(3,C$2:C2518)</f>
        <v>67</v>
      </c>
    </row>
    <row r="2519" spans="1:7" hidden="1" x14ac:dyDescent="0.15">
      <c r="A2519" s="2200" t="s">
        <v>4280</v>
      </c>
      <c r="B2519" s="2200" t="s">
        <v>9315</v>
      </c>
      <c r="C2519" s="2200" t="s">
        <v>9316</v>
      </c>
      <c r="D2519" s="2200" t="str">
        <f t="shared" si="117"/>
        <v>TN</v>
      </c>
      <c r="E2519" s="2200" t="str">
        <f t="shared" si="118"/>
        <v>47</v>
      </c>
      <c r="F2519" s="2200" t="str">
        <f t="shared" si="119"/>
        <v>175</v>
      </c>
      <c r="G2519" s="2200">
        <f>--SUBTOTAL(3,C$2:C2519)</f>
        <v>67</v>
      </c>
    </row>
    <row r="2520" spans="1:7" hidden="1" x14ac:dyDescent="0.15">
      <c r="A2520" s="2200" t="s">
        <v>4280</v>
      </c>
      <c r="B2520" s="2200" t="s">
        <v>9317</v>
      </c>
      <c r="C2520" s="2200" t="s">
        <v>9318</v>
      </c>
      <c r="D2520" s="2200" t="str">
        <f t="shared" si="117"/>
        <v>TN</v>
      </c>
      <c r="E2520" s="2200" t="str">
        <f t="shared" si="118"/>
        <v>47</v>
      </c>
      <c r="F2520" s="2200" t="str">
        <f t="shared" si="119"/>
        <v>177</v>
      </c>
      <c r="G2520" s="2200">
        <f>--SUBTOTAL(3,C$2:C2520)</f>
        <v>67</v>
      </c>
    </row>
    <row r="2521" spans="1:7" hidden="1" x14ac:dyDescent="0.15">
      <c r="A2521" s="2200" t="s">
        <v>4280</v>
      </c>
      <c r="B2521" s="2200" t="s">
        <v>9319</v>
      </c>
      <c r="C2521" s="2200" t="s">
        <v>9320</v>
      </c>
      <c r="D2521" s="2200" t="str">
        <f t="shared" si="117"/>
        <v>TN</v>
      </c>
      <c r="E2521" s="2200" t="str">
        <f t="shared" si="118"/>
        <v>47</v>
      </c>
      <c r="F2521" s="2200" t="str">
        <f t="shared" si="119"/>
        <v>179</v>
      </c>
      <c r="G2521" s="2200">
        <f>--SUBTOTAL(3,C$2:C2521)</f>
        <v>67</v>
      </c>
    </row>
    <row r="2522" spans="1:7" hidden="1" x14ac:dyDescent="0.15">
      <c r="A2522" s="2200" t="s">
        <v>4280</v>
      </c>
      <c r="B2522" s="2200" t="s">
        <v>9321</v>
      </c>
      <c r="C2522" s="2200" t="s">
        <v>9322</v>
      </c>
      <c r="D2522" s="2200" t="str">
        <f t="shared" si="117"/>
        <v>TN</v>
      </c>
      <c r="E2522" s="2200" t="str">
        <f t="shared" si="118"/>
        <v>47</v>
      </c>
      <c r="F2522" s="2200" t="str">
        <f t="shared" si="119"/>
        <v>181</v>
      </c>
      <c r="G2522" s="2200">
        <f>--SUBTOTAL(3,C$2:C2522)</f>
        <v>67</v>
      </c>
    </row>
    <row r="2523" spans="1:7" hidden="1" x14ac:dyDescent="0.15">
      <c r="A2523" s="2200" t="s">
        <v>4280</v>
      </c>
      <c r="B2523" s="2200" t="s">
        <v>9323</v>
      </c>
      <c r="C2523" s="2200" t="s">
        <v>9324</v>
      </c>
      <c r="D2523" s="2200" t="str">
        <f t="shared" si="117"/>
        <v>TN</v>
      </c>
      <c r="E2523" s="2200" t="str">
        <f t="shared" si="118"/>
        <v>47</v>
      </c>
      <c r="F2523" s="2200" t="str">
        <f t="shared" si="119"/>
        <v>183</v>
      </c>
      <c r="G2523" s="2200">
        <f>--SUBTOTAL(3,C$2:C2523)</f>
        <v>67</v>
      </c>
    </row>
    <row r="2524" spans="1:7" hidden="1" x14ac:dyDescent="0.15">
      <c r="A2524" s="2200" t="s">
        <v>4280</v>
      </c>
      <c r="B2524" s="2200" t="s">
        <v>9325</v>
      </c>
      <c r="C2524" s="2200" t="s">
        <v>9326</v>
      </c>
      <c r="D2524" s="2200" t="str">
        <f t="shared" si="117"/>
        <v>TN</v>
      </c>
      <c r="E2524" s="2200" t="str">
        <f t="shared" si="118"/>
        <v>47</v>
      </c>
      <c r="F2524" s="2200" t="str">
        <f t="shared" si="119"/>
        <v>185</v>
      </c>
      <c r="G2524" s="2200">
        <f>--SUBTOTAL(3,C$2:C2524)</f>
        <v>67</v>
      </c>
    </row>
    <row r="2525" spans="1:7" hidden="1" x14ac:dyDescent="0.15">
      <c r="A2525" s="2200" t="s">
        <v>4280</v>
      </c>
      <c r="B2525" s="2200" t="s">
        <v>9327</v>
      </c>
      <c r="C2525" s="2200" t="s">
        <v>9328</v>
      </c>
      <c r="D2525" s="2200" t="str">
        <f t="shared" si="117"/>
        <v>TN</v>
      </c>
      <c r="E2525" s="2200" t="str">
        <f t="shared" si="118"/>
        <v>47</v>
      </c>
      <c r="F2525" s="2200" t="str">
        <f t="shared" si="119"/>
        <v>187</v>
      </c>
      <c r="G2525" s="2200">
        <f>--SUBTOTAL(3,C$2:C2525)</f>
        <v>67</v>
      </c>
    </row>
    <row r="2526" spans="1:7" hidden="1" x14ac:dyDescent="0.15">
      <c r="A2526" s="2200" t="s">
        <v>4280</v>
      </c>
      <c r="B2526" s="2200" t="s">
        <v>9329</v>
      </c>
      <c r="C2526" s="2200" t="s">
        <v>9330</v>
      </c>
      <c r="D2526" s="2200" t="str">
        <f t="shared" si="117"/>
        <v>TN</v>
      </c>
      <c r="E2526" s="2200" t="str">
        <f t="shared" si="118"/>
        <v>47</v>
      </c>
      <c r="F2526" s="2200" t="str">
        <f t="shared" si="119"/>
        <v>189</v>
      </c>
      <c r="G2526" s="2200">
        <f>--SUBTOTAL(3,C$2:C2526)</f>
        <v>67</v>
      </c>
    </row>
    <row r="2527" spans="1:7" hidden="1" x14ac:dyDescent="0.15">
      <c r="A2527" s="2200" t="s">
        <v>4280</v>
      </c>
      <c r="B2527" s="2200" t="s">
        <v>9331</v>
      </c>
      <c r="C2527" s="2200" t="s">
        <v>9332</v>
      </c>
      <c r="D2527" s="2200" t="str">
        <f t="shared" si="117"/>
        <v>TX</v>
      </c>
      <c r="E2527" s="2200" t="str">
        <f t="shared" si="118"/>
        <v>48</v>
      </c>
      <c r="F2527" s="2200" t="str">
        <f t="shared" si="119"/>
        <v>001</v>
      </c>
      <c r="G2527" s="2200">
        <f>--SUBTOTAL(3,C$2:C2527)</f>
        <v>67</v>
      </c>
    </row>
    <row r="2528" spans="1:7" hidden="1" x14ac:dyDescent="0.15">
      <c r="A2528" s="2200" t="s">
        <v>4280</v>
      </c>
      <c r="B2528" s="2200" t="s">
        <v>9333</v>
      </c>
      <c r="C2528" s="2200" t="s">
        <v>9334</v>
      </c>
      <c r="D2528" s="2200" t="str">
        <f t="shared" si="117"/>
        <v>TX</v>
      </c>
      <c r="E2528" s="2200" t="str">
        <f t="shared" si="118"/>
        <v>48</v>
      </c>
      <c r="F2528" s="2200" t="str">
        <f t="shared" si="119"/>
        <v>003</v>
      </c>
      <c r="G2528" s="2200">
        <f>--SUBTOTAL(3,C$2:C2528)</f>
        <v>67</v>
      </c>
    </row>
    <row r="2529" spans="1:7" hidden="1" x14ac:dyDescent="0.15">
      <c r="A2529" s="2200" t="s">
        <v>4280</v>
      </c>
      <c r="B2529" s="2200" t="s">
        <v>9335</v>
      </c>
      <c r="C2529" s="2200" t="s">
        <v>9336</v>
      </c>
      <c r="D2529" s="2200" t="str">
        <f t="shared" si="117"/>
        <v>TX</v>
      </c>
      <c r="E2529" s="2200" t="str">
        <f t="shared" si="118"/>
        <v>48</v>
      </c>
      <c r="F2529" s="2200" t="str">
        <f t="shared" si="119"/>
        <v>005</v>
      </c>
      <c r="G2529" s="2200">
        <f>--SUBTOTAL(3,C$2:C2529)</f>
        <v>67</v>
      </c>
    </row>
    <row r="2530" spans="1:7" hidden="1" x14ac:dyDescent="0.15">
      <c r="A2530" s="2200" t="s">
        <v>4280</v>
      </c>
      <c r="B2530" s="2200" t="s">
        <v>9337</v>
      </c>
      <c r="C2530" s="2200" t="s">
        <v>9338</v>
      </c>
      <c r="D2530" s="2200" t="str">
        <f t="shared" si="117"/>
        <v>TX</v>
      </c>
      <c r="E2530" s="2200" t="str">
        <f t="shared" si="118"/>
        <v>48</v>
      </c>
      <c r="F2530" s="2200" t="str">
        <f t="shared" si="119"/>
        <v>007</v>
      </c>
      <c r="G2530" s="2200">
        <f>--SUBTOTAL(3,C$2:C2530)</f>
        <v>67</v>
      </c>
    </row>
    <row r="2531" spans="1:7" hidden="1" x14ac:dyDescent="0.15">
      <c r="A2531" s="2200" t="s">
        <v>4280</v>
      </c>
      <c r="B2531" s="2200" t="s">
        <v>9339</v>
      </c>
      <c r="C2531" s="2200" t="s">
        <v>9340</v>
      </c>
      <c r="D2531" s="2200" t="str">
        <f t="shared" si="117"/>
        <v>TX</v>
      </c>
      <c r="E2531" s="2200" t="str">
        <f t="shared" si="118"/>
        <v>48</v>
      </c>
      <c r="F2531" s="2200" t="str">
        <f t="shared" si="119"/>
        <v>009</v>
      </c>
      <c r="G2531" s="2200">
        <f>--SUBTOTAL(3,C$2:C2531)</f>
        <v>67</v>
      </c>
    </row>
    <row r="2532" spans="1:7" hidden="1" x14ac:dyDescent="0.15">
      <c r="A2532" s="2200" t="s">
        <v>4280</v>
      </c>
      <c r="B2532" s="2200" t="s">
        <v>9341</v>
      </c>
      <c r="C2532" s="2200" t="s">
        <v>9342</v>
      </c>
      <c r="D2532" s="2200" t="str">
        <f t="shared" si="117"/>
        <v>TX</v>
      </c>
      <c r="E2532" s="2200" t="str">
        <f t="shared" si="118"/>
        <v>48</v>
      </c>
      <c r="F2532" s="2200" t="str">
        <f t="shared" si="119"/>
        <v>011</v>
      </c>
      <c r="G2532" s="2200">
        <f>--SUBTOTAL(3,C$2:C2532)</f>
        <v>67</v>
      </c>
    </row>
    <row r="2533" spans="1:7" hidden="1" x14ac:dyDescent="0.15">
      <c r="A2533" s="2200" t="s">
        <v>4280</v>
      </c>
      <c r="B2533" s="2200" t="s">
        <v>9343</v>
      </c>
      <c r="C2533" s="2200" t="s">
        <v>9344</v>
      </c>
      <c r="D2533" s="2200" t="str">
        <f t="shared" si="117"/>
        <v>TX</v>
      </c>
      <c r="E2533" s="2200" t="str">
        <f t="shared" si="118"/>
        <v>48</v>
      </c>
      <c r="F2533" s="2200" t="str">
        <f t="shared" si="119"/>
        <v>013</v>
      </c>
      <c r="G2533" s="2200">
        <f>--SUBTOTAL(3,C$2:C2533)</f>
        <v>67</v>
      </c>
    </row>
    <row r="2534" spans="1:7" hidden="1" x14ac:dyDescent="0.15">
      <c r="A2534" s="2200" t="s">
        <v>4280</v>
      </c>
      <c r="B2534" s="2200" t="s">
        <v>9345</v>
      </c>
      <c r="C2534" s="2200" t="s">
        <v>9346</v>
      </c>
      <c r="D2534" s="2200" t="str">
        <f t="shared" si="117"/>
        <v>TX</v>
      </c>
      <c r="E2534" s="2200" t="str">
        <f t="shared" si="118"/>
        <v>48</v>
      </c>
      <c r="F2534" s="2200" t="str">
        <f t="shared" si="119"/>
        <v>015</v>
      </c>
      <c r="G2534" s="2200">
        <f>--SUBTOTAL(3,C$2:C2534)</f>
        <v>67</v>
      </c>
    </row>
    <row r="2535" spans="1:7" hidden="1" x14ac:dyDescent="0.15">
      <c r="A2535" s="2200" t="s">
        <v>4280</v>
      </c>
      <c r="B2535" s="2200" t="s">
        <v>9347</v>
      </c>
      <c r="C2535" s="2200" t="s">
        <v>9348</v>
      </c>
      <c r="D2535" s="2200" t="str">
        <f t="shared" si="117"/>
        <v>TX</v>
      </c>
      <c r="E2535" s="2200" t="str">
        <f t="shared" si="118"/>
        <v>48</v>
      </c>
      <c r="F2535" s="2200" t="str">
        <f t="shared" si="119"/>
        <v>017</v>
      </c>
      <c r="G2535" s="2200">
        <f>--SUBTOTAL(3,C$2:C2535)</f>
        <v>67</v>
      </c>
    </row>
    <row r="2536" spans="1:7" hidden="1" x14ac:dyDescent="0.15">
      <c r="A2536" s="2200" t="s">
        <v>4280</v>
      </c>
      <c r="B2536" s="2200" t="s">
        <v>9349</v>
      </c>
      <c r="C2536" s="2200" t="s">
        <v>9350</v>
      </c>
      <c r="D2536" s="2200" t="str">
        <f t="shared" si="117"/>
        <v>TX</v>
      </c>
      <c r="E2536" s="2200" t="str">
        <f t="shared" si="118"/>
        <v>48</v>
      </c>
      <c r="F2536" s="2200" t="str">
        <f t="shared" si="119"/>
        <v>019</v>
      </c>
      <c r="G2536" s="2200">
        <f>--SUBTOTAL(3,C$2:C2536)</f>
        <v>67</v>
      </c>
    </row>
    <row r="2537" spans="1:7" hidden="1" x14ac:dyDescent="0.15">
      <c r="A2537" s="2200" t="s">
        <v>4280</v>
      </c>
      <c r="B2537" s="2200" t="s">
        <v>9351</v>
      </c>
      <c r="C2537" s="2200" t="s">
        <v>9352</v>
      </c>
      <c r="D2537" s="2200" t="str">
        <f t="shared" si="117"/>
        <v>TX</v>
      </c>
      <c r="E2537" s="2200" t="str">
        <f t="shared" si="118"/>
        <v>48</v>
      </c>
      <c r="F2537" s="2200" t="str">
        <f t="shared" si="119"/>
        <v>021</v>
      </c>
      <c r="G2537" s="2200">
        <f>--SUBTOTAL(3,C$2:C2537)</f>
        <v>67</v>
      </c>
    </row>
    <row r="2538" spans="1:7" hidden="1" x14ac:dyDescent="0.15">
      <c r="A2538" s="2200" t="s">
        <v>4280</v>
      </c>
      <c r="B2538" s="2200" t="s">
        <v>9353</v>
      </c>
      <c r="C2538" s="2200" t="s">
        <v>9354</v>
      </c>
      <c r="D2538" s="2200" t="str">
        <f t="shared" si="117"/>
        <v>TX</v>
      </c>
      <c r="E2538" s="2200" t="str">
        <f t="shared" si="118"/>
        <v>48</v>
      </c>
      <c r="F2538" s="2200" t="str">
        <f t="shared" si="119"/>
        <v>023</v>
      </c>
      <c r="G2538" s="2200">
        <f>--SUBTOTAL(3,C$2:C2538)</f>
        <v>67</v>
      </c>
    </row>
    <row r="2539" spans="1:7" hidden="1" x14ac:dyDescent="0.15">
      <c r="A2539" s="2200" t="s">
        <v>4280</v>
      </c>
      <c r="B2539" s="2200" t="s">
        <v>9355</v>
      </c>
      <c r="C2539" s="2200" t="s">
        <v>9356</v>
      </c>
      <c r="D2539" s="2200" t="str">
        <f t="shared" si="117"/>
        <v>TX</v>
      </c>
      <c r="E2539" s="2200" t="str">
        <f t="shared" si="118"/>
        <v>48</v>
      </c>
      <c r="F2539" s="2200" t="str">
        <f t="shared" si="119"/>
        <v>025</v>
      </c>
      <c r="G2539" s="2200">
        <f>--SUBTOTAL(3,C$2:C2539)</f>
        <v>67</v>
      </c>
    </row>
    <row r="2540" spans="1:7" hidden="1" x14ac:dyDescent="0.15">
      <c r="A2540" s="2200" t="s">
        <v>4280</v>
      </c>
      <c r="B2540" s="2200" t="s">
        <v>9357</v>
      </c>
      <c r="C2540" s="2200" t="s">
        <v>9358</v>
      </c>
      <c r="D2540" s="2200" t="str">
        <f t="shared" si="117"/>
        <v>TX</v>
      </c>
      <c r="E2540" s="2200" t="str">
        <f t="shared" si="118"/>
        <v>48</v>
      </c>
      <c r="F2540" s="2200" t="str">
        <f t="shared" si="119"/>
        <v>027</v>
      </c>
      <c r="G2540" s="2200">
        <f>--SUBTOTAL(3,C$2:C2540)</f>
        <v>67</v>
      </c>
    </row>
    <row r="2541" spans="1:7" hidden="1" x14ac:dyDescent="0.15">
      <c r="A2541" s="2200" t="s">
        <v>4280</v>
      </c>
      <c r="B2541" s="2200" t="s">
        <v>9359</v>
      </c>
      <c r="C2541" s="2200" t="s">
        <v>9360</v>
      </c>
      <c r="D2541" s="2200" t="str">
        <f t="shared" si="117"/>
        <v>TX</v>
      </c>
      <c r="E2541" s="2200" t="str">
        <f t="shared" si="118"/>
        <v>48</v>
      </c>
      <c r="F2541" s="2200" t="str">
        <f t="shared" si="119"/>
        <v>029</v>
      </c>
      <c r="G2541" s="2200">
        <f>--SUBTOTAL(3,C$2:C2541)</f>
        <v>67</v>
      </c>
    </row>
    <row r="2542" spans="1:7" hidden="1" x14ac:dyDescent="0.15">
      <c r="A2542" s="2200" t="s">
        <v>4280</v>
      </c>
      <c r="B2542" s="2200" t="s">
        <v>9361</v>
      </c>
      <c r="C2542" s="2200" t="s">
        <v>9362</v>
      </c>
      <c r="D2542" s="2200" t="str">
        <f t="shared" si="117"/>
        <v>TX</v>
      </c>
      <c r="E2542" s="2200" t="str">
        <f t="shared" si="118"/>
        <v>48</v>
      </c>
      <c r="F2542" s="2200" t="str">
        <f t="shared" si="119"/>
        <v>031</v>
      </c>
      <c r="G2542" s="2200">
        <f>--SUBTOTAL(3,C$2:C2542)</f>
        <v>67</v>
      </c>
    </row>
    <row r="2543" spans="1:7" hidden="1" x14ac:dyDescent="0.15">
      <c r="A2543" s="2200" t="s">
        <v>4280</v>
      </c>
      <c r="B2543" s="2200" t="s">
        <v>9363</v>
      </c>
      <c r="C2543" s="2200" t="s">
        <v>9364</v>
      </c>
      <c r="D2543" s="2200" t="str">
        <f t="shared" si="117"/>
        <v>TX</v>
      </c>
      <c r="E2543" s="2200" t="str">
        <f t="shared" si="118"/>
        <v>48</v>
      </c>
      <c r="F2543" s="2200" t="str">
        <f t="shared" si="119"/>
        <v>033</v>
      </c>
      <c r="G2543" s="2200">
        <f>--SUBTOTAL(3,C$2:C2543)</f>
        <v>67</v>
      </c>
    </row>
    <row r="2544" spans="1:7" hidden="1" x14ac:dyDescent="0.15">
      <c r="A2544" s="2200" t="s">
        <v>4280</v>
      </c>
      <c r="B2544" s="2200" t="s">
        <v>9365</v>
      </c>
      <c r="C2544" s="2200" t="s">
        <v>9366</v>
      </c>
      <c r="D2544" s="2200" t="str">
        <f t="shared" si="117"/>
        <v>TX</v>
      </c>
      <c r="E2544" s="2200" t="str">
        <f t="shared" si="118"/>
        <v>48</v>
      </c>
      <c r="F2544" s="2200" t="str">
        <f t="shared" si="119"/>
        <v>035</v>
      </c>
      <c r="G2544" s="2200">
        <f>--SUBTOTAL(3,C$2:C2544)</f>
        <v>67</v>
      </c>
    </row>
    <row r="2545" spans="1:7" hidden="1" x14ac:dyDescent="0.15">
      <c r="A2545" s="2200" t="s">
        <v>4280</v>
      </c>
      <c r="B2545" s="2200" t="s">
        <v>9367</v>
      </c>
      <c r="C2545" s="2200" t="s">
        <v>9368</v>
      </c>
      <c r="D2545" s="2200" t="str">
        <f t="shared" si="117"/>
        <v>TX</v>
      </c>
      <c r="E2545" s="2200" t="str">
        <f t="shared" si="118"/>
        <v>48</v>
      </c>
      <c r="F2545" s="2200" t="str">
        <f t="shared" si="119"/>
        <v>037</v>
      </c>
      <c r="G2545" s="2200">
        <f>--SUBTOTAL(3,C$2:C2545)</f>
        <v>67</v>
      </c>
    </row>
    <row r="2546" spans="1:7" hidden="1" x14ac:dyDescent="0.15">
      <c r="A2546" s="2200" t="s">
        <v>4280</v>
      </c>
      <c r="B2546" s="2200" t="s">
        <v>9369</v>
      </c>
      <c r="C2546" s="2200" t="s">
        <v>9370</v>
      </c>
      <c r="D2546" s="2200" t="str">
        <f t="shared" si="117"/>
        <v>TX</v>
      </c>
      <c r="E2546" s="2200" t="str">
        <f t="shared" si="118"/>
        <v>48</v>
      </c>
      <c r="F2546" s="2200" t="str">
        <f t="shared" si="119"/>
        <v>039</v>
      </c>
      <c r="G2546" s="2200">
        <f>--SUBTOTAL(3,C$2:C2546)</f>
        <v>67</v>
      </c>
    </row>
    <row r="2547" spans="1:7" hidden="1" x14ac:dyDescent="0.15">
      <c r="A2547" s="2200" t="s">
        <v>4280</v>
      </c>
      <c r="B2547" s="2200" t="s">
        <v>9371</v>
      </c>
      <c r="C2547" s="2200" t="s">
        <v>9372</v>
      </c>
      <c r="D2547" s="2200" t="str">
        <f t="shared" si="117"/>
        <v>TX</v>
      </c>
      <c r="E2547" s="2200" t="str">
        <f t="shared" si="118"/>
        <v>48</v>
      </c>
      <c r="F2547" s="2200" t="str">
        <f t="shared" si="119"/>
        <v>041</v>
      </c>
      <c r="G2547" s="2200">
        <f>--SUBTOTAL(3,C$2:C2547)</f>
        <v>67</v>
      </c>
    </row>
    <row r="2548" spans="1:7" hidden="1" x14ac:dyDescent="0.15">
      <c r="A2548" s="2200" t="s">
        <v>4280</v>
      </c>
      <c r="B2548" s="2200" t="s">
        <v>9373</v>
      </c>
      <c r="C2548" s="2200" t="s">
        <v>9374</v>
      </c>
      <c r="D2548" s="2200" t="str">
        <f t="shared" si="117"/>
        <v>TX</v>
      </c>
      <c r="E2548" s="2200" t="str">
        <f t="shared" si="118"/>
        <v>48</v>
      </c>
      <c r="F2548" s="2200" t="str">
        <f t="shared" si="119"/>
        <v>043</v>
      </c>
      <c r="G2548" s="2200">
        <f>--SUBTOTAL(3,C$2:C2548)</f>
        <v>67</v>
      </c>
    </row>
    <row r="2549" spans="1:7" hidden="1" x14ac:dyDescent="0.15">
      <c r="A2549" s="2200" t="s">
        <v>4280</v>
      </c>
      <c r="B2549" s="2200" t="s">
        <v>9375</v>
      </c>
      <c r="C2549" s="2200" t="s">
        <v>9376</v>
      </c>
      <c r="D2549" s="2200" t="str">
        <f t="shared" si="117"/>
        <v>TX</v>
      </c>
      <c r="E2549" s="2200" t="str">
        <f t="shared" si="118"/>
        <v>48</v>
      </c>
      <c r="F2549" s="2200" t="str">
        <f t="shared" si="119"/>
        <v>045</v>
      </c>
      <c r="G2549" s="2200">
        <f>--SUBTOTAL(3,C$2:C2549)</f>
        <v>67</v>
      </c>
    </row>
    <row r="2550" spans="1:7" hidden="1" x14ac:dyDescent="0.15">
      <c r="A2550" s="2200" t="s">
        <v>4280</v>
      </c>
      <c r="B2550" s="2200" t="s">
        <v>9377</v>
      </c>
      <c r="C2550" s="2200" t="s">
        <v>9378</v>
      </c>
      <c r="D2550" s="2200" t="str">
        <f t="shared" si="117"/>
        <v>TX</v>
      </c>
      <c r="E2550" s="2200" t="str">
        <f t="shared" si="118"/>
        <v>48</v>
      </c>
      <c r="F2550" s="2200" t="str">
        <f t="shared" si="119"/>
        <v>047</v>
      </c>
      <c r="G2550" s="2200">
        <f>--SUBTOTAL(3,C$2:C2550)</f>
        <v>67</v>
      </c>
    </row>
    <row r="2551" spans="1:7" hidden="1" x14ac:dyDescent="0.15">
      <c r="A2551" s="2200" t="s">
        <v>4280</v>
      </c>
      <c r="B2551" s="2200" t="s">
        <v>9379</v>
      </c>
      <c r="C2551" s="2200" t="s">
        <v>9380</v>
      </c>
      <c r="D2551" s="2200" t="str">
        <f t="shared" si="117"/>
        <v>TX</v>
      </c>
      <c r="E2551" s="2200" t="str">
        <f t="shared" si="118"/>
        <v>48</v>
      </c>
      <c r="F2551" s="2200" t="str">
        <f t="shared" si="119"/>
        <v>049</v>
      </c>
      <c r="G2551" s="2200">
        <f>--SUBTOTAL(3,C$2:C2551)</f>
        <v>67</v>
      </c>
    </row>
    <row r="2552" spans="1:7" hidden="1" x14ac:dyDescent="0.15">
      <c r="A2552" s="2200" t="s">
        <v>4280</v>
      </c>
      <c r="B2552" s="2200" t="s">
        <v>9381</v>
      </c>
      <c r="C2552" s="2200" t="s">
        <v>9382</v>
      </c>
      <c r="D2552" s="2200" t="str">
        <f t="shared" si="117"/>
        <v>TX</v>
      </c>
      <c r="E2552" s="2200" t="str">
        <f t="shared" si="118"/>
        <v>48</v>
      </c>
      <c r="F2552" s="2200" t="str">
        <f t="shared" si="119"/>
        <v>051</v>
      </c>
      <c r="G2552" s="2200">
        <f>--SUBTOTAL(3,C$2:C2552)</f>
        <v>67</v>
      </c>
    </row>
    <row r="2553" spans="1:7" hidden="1" x14ac:dyDescent="0.15">
      <c r="A2553" s="2200" t="s">
        <v>4280</v>
      </c>
      <c r="B2553" s="2200" t="s">
        <v>9383</v>
      </c>
      <c r="C2553" s="2200" t="s">
        <v>9384</v>
      </c>
      <c r="D2553" s="2200" t="str">
        <f t="shared" si="117"/>
        <v>TX</v>
      </c>
      <c r="E2553" s="2200" t="str">
        <f t="shared" si="118"/>
        <v>48</v>
      </c>
      <c r="F2553" s="2200" t="str">
        <f t="shared" si="119"/>
        <v>053</v>
      </c>
      <c r="G2553" s="2200">
        <f>--SUBTOTAL(3,C$2:C2553)</f>
        <v>67</v>
      </c>
    </row>
    <row r="2554" spans="1:7" hidden="1" x14ac:dyDescent="0.15">
      <c r="A2554" s="2200" t="s">
        <v>4280</v>
      </c>
      <c r="B2554" s="2200" t="s">
        <v>9385</v>
      </c>
      <c r="C2554" s="2200" t="s">
        <v>9386</v>
      </c>
      <c r="D2554" s="2200" t="str">
        <f t="shared" si="117"/>
        <v>TX</v>
      </c>
      <c r="E2554" s="2200" t="str">
        <f t="shared" si="118"/>
        <v>48</v>
      </c>
      <c r="F2554" s="2200" t="str">
        <f t="shared" si="119"/>
        <v>055</v>
      </c>
      <c r="G2554" s="2200">
        <f>--SUBTOTAL(3,C$2:C2554)</f>
        <v>67</v>
      </c>
    </row>
    <row r="2555" spans="1:7" hidden="1" x14ac:dyDescent="0.15">
      <c r="A2555" s="2200" t="s">
        <v>4280</v>
      </c>
      <c r="B2555" s="2200" t="s">
        <v>9387</v>
      </c>
      <c r="C2555" s="2200" t="s">
        <v>9388</v>
      </c>
      <c r="D2555" s="2200" t="str">
        <f t="shared" si="117"/>
        <v>TX</v>
      </c>
      <c r="E2555" s="2200" t="str">
        <f t="shared" si="118"/>
        <v>48</v>
      </c>
      <c r="F2555" s="2200" t="str">
        <f t="shared" si="119"/>
        <v>057</v>
      </c>
      <c r="G2555" s="2200">
        <f>--SUBTOTAL(3,C$2:C2555)</f>
        <v>67</v>
      </c>
    </row>
    <row r="2556" spans="1:7" hidden="1" x14ac:dyDescent="0.15">
      <c r="A2556" s="2200" t="s">
        <v>4280</v>
      </c>
      <c r="B2556" s="2200" t="s">
        <v>9389</v>
      </c>
      <c r="C2556" s="2200" t="s">
        <v>9390</v>
      </c>
      <c r="D2556" s="2200" t="str">
        <f t="shared" si="117"/>
        <v>TX</v>
      </c>
      <c r="E2556" s="2200" t="str">
        <f t="shared" si="118"/>
        <v>48</v>
      </c>
      <c r="F2556" s="2200" t="str">
        <f t="shared" si="119"/>
        <v>059</v>
      </c>
      <c r="G2556" s="2200">
        <f>--SUBTOTAL(3,C$2:C2556)</f>
        <v>67</v>
      </c>
    </row>
    <row r="2557" spans="1:7" hidden="1" x14ac:dyDescent="0.15">
      <c r="A2557" s="2200" t="s">
        <v>4280</v>
      </c>
      <c r="B2557" s="2200" t="s">
        <v>9391</v>
      </c>
      <c r="C2557" s="2200" t="s">
        <v>9392</v>
      </c>
      <c r="D2557" s="2200" t="str">
        <f t="shared" si="117"/>
        <v>TX</v>
      </c>
      <c r="E2557" s="2200" t="str">
        <f t="shared" si="118"/>
        <v>48</v>
      </c>
      <c r="F2557" s="2200" t="str">
        <f t="shared" si="119"/>
        <v>061</v>
      </c>
      <c r="G2557" s="2200">
        <f>--SUBTOTAL(3,C$2:C2557)</f>
        <v>67</v>
      </c>
    </row>
    <row r="2558" spans="1:7" hidden="1" x14ac:dyDescent="0.15">
      <c r="A2558" s="2200" t="s">
        <v>4280</v>
      </c>
      <c r="B2558" s="2200" t="s">
        <v>9393</v>
      </c>
      <c r="C2558" s="2200" t="s">
        <v>9394</v>
      </c>
      <c r="D2558" s="2200" t="str">
        <f t="shared" si="117"/>
        <v>TX</v>
      </c>
      <c r="E2558" s="2200" t="str">
        <f t="shared" si="118"/>
        <v>48</v>
      </c>
      <c r="F2558" s="2200" t="str">
        <f t="shared" si="119"/>
        <v>063</v>
      </c>
      <c r="G2558" s="2200">
        <f>--SUBTOTAL(3,C$2:C2558)</f>
        <v>67</v>
      </c>
    </row>
    <row r="2559" spans="1:7" hidden="1" x14ac:dyDescent="0.15">
      <c r="A2559" s="2200" t="s">
        <v>4280</v>
      </c>
      <c r="B2559" s="2200" t="s">
        <v>9395</v>
      </c>
      <c r="C2559" s="2200" t="s">
        <v>9396</v>
      </c>
      <c r="D2559" s="2200" t="str">
        <f t="shared" si="117"/>
        <v>TX</v>
      </c>
      <c r="E2559" s="2200" t="str">
        <f t="shared" si="118"/>
        <v>48</v>
      </c>
      <c r="F2559" s="2200" t="str">
        <f t="shared" si="119"/>
        <v>065</v>
      </c>
      <c r="G2559" s="2200">
        <f>--SUBTOTAL(3,C$2:C2559)</f>
        <v>67</v>
      </c>
    </row>
    <row r="2560" spans="1:7" hidden="1" x14ac:dyDescent="0.15">
      <c r="A2560" s="2200" t="s">
        <v>4280</v>
      </c>
      <c r="B2560" s="2200" t="s">
        <v>9397</v>
      </c>
      <c r="C2560" s="2200" t="s">
        <v>9398</v>
      </c>
      <c r="D2560" s="2200" t="str">
        <f t="shared" si="117"/>
        <v>TX</v>
      </c>
      <c r="E2560" s="2200" t="str">
        <f t="shared" si="118"/>
        <v>48</v>
      </c>
      <c r="F2560" s="2200" t="str">
        <f t="shared" si="119"/>
        <v>067</v>
      </c>
      <c r="G2560" s="2200">
        <f>--SUBTOTAL(3,C$2:C2560)</f>
        <v>67</v>
      </c>
    </row>
    <row r="2561" spans="1:7" hidden="1" x14ac:dyDescent="0.15">
      <c r="A2561" s="2200" t="s">
        <v>4280</v>
      </c>
      <c r="B2561" s="2200" t="s">
        <v>9399</v>
      </c>
      <c r="C2561" s="2200" t="s">
        <v>9400</v>
      </c>
      <c r="D2561" s="2200" t="str">
        <f t="shared" si="117"/>
        <v>TX</v>
      </c>
      <c r="E2561" s="2200" t="str">
        <f t="shared" si="118"/>
        <v>48</v>
      </c>
      <c r="F2561" s="2200" t="str">
        <f t="shared" si="119"/>
        <v>069</v>
      </c>
      <c r="G2561" s="2200">
        <f>--SUBTOTAL(3,C$2:C2561)</f>
        <v>67</v>
      </c>
    </row>
    <row r="2562" spans="1:7" hidden="1" x14ac:dyDescent="0.15">
      <c r="A2562" s="2200" t="s">
        <v>4280</v>
      </c>
      <c r="B2562" s="2200" t="s">
        <v>9401</v>
      </c>
      <c r="C2562" s="2200" t="s">
        <v>9402</v>
      </c>
      <c r="D2562" s="2200" t="str">
        <f t="shared" si="117"/>
        <v>TX</v>
      </c>
      <c r="E2562" s="2200" t="str">
        <f t="shared" si="118"/>
        <v>48</v>
      </c>
      <c r="F2562" s="2200" t="str">
        <f t="shared" si="119"/>
        <v>071</v>
      </c>
      <c r="G2562" s="2200">
        <f>--SUBTOTAL(3,C$2:C2562)</f>
        <v>67</v>
      </c>
    </row>
    <row r="2563" spans="1:7" hidden="1" x14ac:dyDescent="0.15">
      <c r="A2563" s="2200" t="s">
        <v>4280</v>
      </c>
      <c r="B2563" s="2200" t="s">
        <v>9403</v>
      </c>
      <c r="C2563" s="2200" t="s">
        <v>9404</v>
      </c>
      <c r="D2563" s="2200" t="str">
        <f t="shared" ref="D2563:D2626" si="120">RIGHT(C2563,2)</f>
        <v>TX</v>
      </c>
      <c r="E2563" s="2200" t="str">
        <f t="shared" ref="E2563:E2626" si="121">MID(B2563,3,2)</f>
        <v>48</v>
      </c>
      <c r="F2563" s="2200" t="str">
        <f t="shared" ref="F2563:F2626" si="122">MID(B2563,5,3)</f>
        <v>073</v>
      </c>
      <c r="G2563" s="2200">
        <f>--SUBTOTAL(3,C$2:C2563)</f>
        <v>67</v>
      </c>
    </row>
    <row r="2564" spans="1:7" hidden="1" x14ac:dyDescent="0.15">
      <c r="A2564" s="2200" t="s">
        <v>4280</v>
      </c>
      <c r="B2564" s="2200" t="s">
        <v>9405</v>
      </c>
      <c r="C2564" s="2200" t="s">
        <v>9406</v>
      </c>
      <c r="D2564" s="2200" t="str">
        <f t="shared" si="120"/>
        <v>TX</v>
      </c>
      <c r="E2564" s="2200" t="str">
        <f t="shared" si="121"/>
        <v>48</v>
      </c>
      <c r="F2564" s="2200" t="str">
        <f t="shared" si="122"/>
        <v>075</v>
      </c>
      <c r="G2564" s="2200">
        <f>--SUBTOTAL(3,C$2:C2564)</f>
        <v>67</v>
      </c>
    </row>
    <row r="2565" spans="1:7" hidden="1" x14ac:dyDescent="0.15">
      <c r="A2565" s="2200" t="s">
        <v>4280</v>
      </c>
      <c r="B2565" s="2200" t="s">
        <v>9407</v>
      </c>
      <c r="C2565" s="2200" t="s">
        <v>9408</v>
      </c>
      <c r="D2565" s="2200" t="str">
        <f t="shared" si="120"/>
        <v>TX</v>
      </c>
      <c r="E2565" s="2200" t="str">
        <f t="shared" si="121"/>
        <v>48</v>
      </c>
      <c r="F2565" s="2200" t="str">
        <f t="shared" si="122"/>
        <v>077</v>
      </c>
      <c r="G2565" s="2200">
        <f>--SUBTOTAL(3,C$2:C2565)</f>
        <v>67</v>
      </c>
    </row>
    <row r="2566" spans="1:7" hidden="1" x14ac:dyDescent="0.15">
      <c r="A2566" s="2200" t="s">
        <v>4280</v>
      </c>
      <c r="B2566" s="2200" t="s">
        <v>9409</v>
      </c>
      <c r="C2566" s="2200" t="s">
        <v>9410</v>
      </c>
      <c r="D2566" s="2200" t="str">
        <f t="shared" si="120"/>
        <v>TX</v>
      </c>
      <c r="E2566" s="2200" t="str">
        <f t="shared" si="121"/>
        <v>48</v>
      </c>
      <c r="F2566" s="2200" t="str">
        <f t="shared" si="122"/>
        <v>079</v>
      </c>
      <c r="G2566" s="2200">
        <f>--SUBTOTAL(3,C$2:C2566)</f>
        <v>67</v>
      </c>
    </row>
    <row r="2567" spans="1:7" hidden="1" x14ac:dyDescent="0.15">
      <c r="A2567" s="2200" t="s">
        <v>4280</v>
      </c>
      <c r="B2567" s="2200" t="s">
        <v>9411</v>
      </c>
      <c r="C2567" s="2200" t="s">
        <v>9412</v>
      </c>
      <c r="D2567" s="2200" t="str">
        <f t="shared" si="120"/>
        <v>TX</v>
      </c>
      <c r="E2567" s="2200" t="str">
        <f t="shared" si="121"/>
        <v>48</v>
      </c>
      <c r="F2567" s="2200" t="str">
        <f t="shared" si="122"/>
        <v>081</v>
      </c>
      <c r="G2567" s="2200">
        <f>--SUBTOTAL(3,C$2:C2567)</f>
        <v>67</v>
      </c>
    </row>
    <row r="2568" spans="1:7" hidden="1" x14ac:dyDescent="0.15">
      <c r="A2568" s="2200" t="s">
        <v>4280</v>
      </c>
      <c r="B2568" s="2200" t="s">
        <v>9413</v>
      </c>
      <c r="C2568" s="2200" t="s">
        <v>9414</v>
      </c>
      <c r="D2568" s="2200" t="str">
        <f t="shared" si="120"/>
        <v>TX</v>
      </c>
      <c r="E2568" s="2200" t="str">
        <f t="shared" si="121"/>
        <v>48</v>
      </c>
      <c r="F2568" s="2200" t="str">
        <f t="shared" si="122"/>
        <v>083</v>
      </c>
      <c r="G2568" s="2200">
        <f>--SUBTOTAL(3,C$2:C2568)</f>
        <v>67</v>
      </c>
    </row>
    <row r="2569" spans="1:7" hidden="1" x14ac:dyDescent="0.15">
      <c r="A2569" s="2200" t="s">
        <v>4280</v>
      </c>
      <c r="B2569" s="2200" t="s">
        <v>9415</v>
      </c>
      <c r="C2569" s="2200" t="s">
        <v>9416</v>
      </c>
      <c r="D2569" s="2200" t="str">
        <f t="shared" si="120"/>
        <v>TX</v>
      </c>
      <c r="E2569" s="2200" t="str">
        <f t="shared" si="121"/>
        <v>48</v>
      </c>
      <c r="F2569" s="2200" t="str">
        <f t="shared" si="122"/>
        <v>085</v>
      </c>
      <c r="G2569" s="2200">
        <f>--SUBTOTAL(3,C$2:C2569)</f>
        <v>67</v>
      </c>
    </row>
    <row r="2570" spans="1:7" hidden="1" x14ac:dyDescent="0.15">
      <c r="A2570" s="2200" t="s">
        <v>4280</v>
      </c>
      <c r="B2570" s="2200" t="s">
        <v>9417</v>
      </c>
      <c r="C2570" s="2200" t="s">
        <v>9418</v>
      </c>
      <c r="D2570" s="2200" t="str">
        <f t="shared" si="120"/>
        <v>TX</v>
      </c>
      <c r="E2570" s="2200" t="str">
        <f t="shared" si="121"/>
        <v>48</v>
      </c>
      <c r="F2570" s="2200" t="str">
        <f t="shared" si="122"/>
        <v>087</v>
      </c>
      <c r="G2570" s="2200">
        <f>--SUBTOTAL(3,C$2:C2570)</f>
        <v>67</v>
      </c>
    </row>
    <row r="2571" spans="1:7" hidden="1" x14ac:dyDescent="0.15">
      <c r="A2571" s="2200" t="s">
        <v>4280</v>
      </c>
      <c r="B2571" s="2200" t="s">
        <v>9419</v>
      </c>
      <c r="C2571" s="2200" t="s">
        <v>9420</v>
      </c>
      <c r="D2571" s="2200" t="str">
        <f t="shared" si="120"/>
        <v>TX</v>
      </c>
      <c r="E2571" s="2200" t="str">
        <f t="shared" si="121"/>
        <v>48</v>
      </c>
      <c r="F2571" s="2200" t="str">
        <f t="shared" si="122"/>
        <v>089</v>
      </c>
      <c r="G2571" s="2200">
        <f>--SUBTOTAL(3,C$2:C2571)</f>
        <v>67</v>
      </c>
    </row>
    <row r="2572" spans="1:7" hidden="1" x14ac:dyDescent="0.15">
      <c r="A2572" s="2200" t="s">
        <v>4280</v>
      </c>
      <c r="B2572" s="2200" t="s">
        <v>9421</v>
      </c>
      <c r="C2572" s="2200" t="s">
        <v>9422</v>
      </c>
      <c r="D2572" s="2200" t="str">
        <f t="shared" si="120"/>
        <v>TX</v>
      </c>
      <c r="E2572" s="2200" t="str">
        <f t="shared" si="121"/>
        <v>48</v>
      </c>
      <c r="F2572" s="2200" t="str">
        <f t="shared" si="122"/>
        <v>091</v>
      </c>
      <c r="G2572" s="2200">
        <f>--SUBTOTAL(3,C$2:C2572)</f>
        <v>67</v>
      </c>
    </row>
    <row r="2573" spans="1:7" hidden="1" x14ac:dyDescent="0.15">
      <c r="A2573" s="2200" t="s">
        <v>4280</v>
      </c>
      <c r="B2573" s="2200" t="s">
        <v>9423</v>
      </c>
      <c r="C2573" s="2200" t="s">
        <v>9424</v>
      </c>
      <c r="D2573" s="2200" t="str">
        <f t="shared" si="120"/>
        <v>TX</v>
      </c>
      <c r="E2573" s="2200" t="str">
        <f t="shared" si="121"/>
        <v>48</v>
      </c>
      <c r="F2573" s="2200" t="str">
        <f t="shared" si="122"/>
        <v>093</v>
      </c>
      <c r="G2573" s="2200">
        <f>--SUBTOTAL(3,C$2:C2573)</f>
        <v>67</v>
      </c>
    </row>
    <row r="2574" spans="1:7" hidden="1" x14ac:dyDescent="0.15">
      <c r="A2574" s="2200" t="s">
        <v>4280</v>
      </c>
      <c r="B2574" s="2200" t="s">
        <v>9425</v>
      </c>
      <c r="C2574" s="2200" t="s">
        <v>9426</v>
      </c>
      <c r="D2574" s="2200" t="str">
        <f t="shared" si="120"/>
        <v>TX</v>
      </c>
      <c r="E2574" s="2200" t="str">
        <f t="shared" si="121"/>
        <v>48</v>
      </c>
      <c r="F2574" s="2200" t="str">
        <f t="shared" si="122"/>
        <v>095</v>
      </c>
      <c r="G2574" s="2200">
        <f>--SUBTOTAL(3,C$2:C2574)</f>
        <v>67</v>
      </c>
    </row>
    <row r="2575" spans="1:7" hidden="1" x14ac:dyDescent="0.15">
      <c r="A2575" s="2200" t="s">
        <v>4280</v>
      </c>
      <c r="B2575" s="2200" t="s">
        <v>9427</v>
      </c>
      <c r="C2575" s="2200" t="s">
        <v>9428</v>
      </c>
      <c r="D2575" s="2200" t="str">
        <f t="shared" si="120"/>
        <v>TX</v>
      </c>
      <c r="E2575" s="2200" t="str">
        <f t="shared" si="121"/>
        <v>48</v>
      </c>
      <c r="F2575" s="2200" t="str">
        <f t="shared" si="122"/>
        <v>097</v>
      </c>
      <c r="G2575" s="2200">
        <f>--SUBTOTAL(3,C$2:C2575)</f>
        <v>67</v>
      </c>
    </row>
    <row r="2576" spans="1:7" hidden="1" x14ac:dyDescent="0.15">
      <c r="A2576" s="2200" t="s">
        <v>4280</v>
      </c>
      <c r="B2576" s="2200" t="s">
        <v>9429</v>
      </c>
      <c r="C2576" s="2200" t="s">
        <v>9430</v>
      </c>
      <c r="D2576" s="2200" t="str">
        <f t="shared" si="120"/>
        <v>TX</v>
      </c>
      <c r="E2576" s="2200" t="str">
        <f t="shared" si="121"/>
        <v>48</v>
      </c>
      <c r="F2576" s="2200" t="str">
        <f t="shared" si="122"/>
        <v>099</v>
      </c>
      <c r="G2576" s="2200">
        <f>--SUBTOTAL(3,C$2:C2576)</f>
        <v>67</v>
      </c>
    </row>
    <row r="2577" spans="1:7" hidden="1" x14ac:dyDescent="0.15">
      <c r="A2577" s="2200" t="s">
        <v>4280</v>
      </c>
      <c r="B2577" s="2200" t="s">
        <v>9431</v>
      </c>
      <c r="C2577" s="2200" t="s">
        <v>9432</v>
      </c>
      <c r="D2577" s="2200" t="str">
        <f t="shared" si="120"/>
        <v>TX</v>
      </c>
      <c r="E2577" s="2200" t="str">
        <f t="shared" si="121"/>
        <v>48</v>
      </c>
      <c r="F2577" s="2200" t="str">
        <f t="shared" si="122"/>
        <v>101</v>
      </c>
      <c r="G2577" s="2200">
        <f>--SUBTOTAL(3,C$2:C2577)</f>
        <v>67</v>
      </c>
    </row>
    <row r="2578" spans="1:7" hidden="1" x14ac:dyDescent="0.15">
      <c r="A2578" s="2200" t="s">
        <v>4280</v>
      </c>
      <c r="B2578" s="2200" t="s">
        <v>9433</v>
      </c>
      <c r="C2578" s="2200" t="s">
        <v>9434</v>
      </c>
      <c r="D2578" s="2200" t="str">
        <f t="shared" si="120"/>
        <v>TX</v>
      </c>
      <c r="E2578" s="2200" t="str">
        <f t="shared" si="121"/>
        <v>48</v>
      </c>
      <c r="F2578" s="2200" t="str">
        <f t="shared" si="122"/>
        <v>103</v>
      </c>
      <c r="G2578" s="2200">
        <f>--SUBTOTAL(3,C$2:C2578)</f>
        <v>67</v>
      </c>
    </row>
    <row r="2579" spans="1:7" hidden="1" x14ac:dyDescent="0.15">
      <c r="A2579" s="2200" t="s">
        <v>4280</v>
      </c>
      <c r="B2579" s="2200" t="s">
        <v>9435</v>
      </c>
      <c r="C2579" s="2200" t="s">
        <v>9436</v>
      </c>
      <c r="D2579" s="2200" t="str">
        <f t="shared" si="120"/>
        <v>TX</v>
      </c>
      <c r="E2579" s="2200" t="str">
        <f t="shared" si="121"/>
        <v>48</v>
      </c>
      <c r="F2579" s="2200" t="str">
        <f t="shared" si="122"/>
        <v>105</v>
      </c>
      <c r="G2579" s="2200">
        <f>--SUBTOTAL(3,C$2:C2579)</f>
        <v>67</v>
      </c>
    </row>
    <row r="2580" spans="1:7" hidden="1" x14ac:dyDescent="0.15">
      <c r="A2580" s="2200" t="s">
        <v>4280</v>
      </c>
      <c r="B2580" s="2200" t="s">
        <v>9437</v>
      </c>
      <c r="C2580" s="2200" t="s">
        <v>9438</v>
      </c>
      <c r="D2580" s="2200" t="str">
        <f t="shared" si="120"/>
        <v>TX</v>
      </c>
      <c r="E2580" s="2200" t="str">
        <f t="shared" si="121"/>
        <v>48</v>
      </c>
      <c r="F2580" s="2200" t="str">
        <f t="shared" si="122"/>
        <v>107</v>
      </c>
      <c r="G2580" s="2200">
        <f>--SUBTOTAL(3,C$2:C2580)</f>
        <v>67</v>
      </c>
    </row>
    <row r="2581" spans="1:7" hidden="1" x14ac:dyDescent="0.15">
      <c r="A2581" s="2200" t="s">
        <v>4280</v>
      </c>
      <c r="B2581" s="2200" t="s">
        <v>9439</v>
      </c>
      <c r="C2581" s="2200" t="s">
        <v>9440</v>
      </c>
      <c r="D2581" s="2200" t="str">
        <f t="shared" si="120"/>
        <v>TX</v>
      </c>
      <c r="E2581" s="2200" t="str">
        <f t="shared" si="121"/>
        <v>48</v>
      </c>
      <c r="F2581" s="2200" t="str">
        <f t="shared" si="122"/>
        <v>109</v>
      </c>
      <c r="G2581" s="2200">
        <f>--SUBTOTAL(3,C$2:C2581)</f>
        <v>67</v>
      </c>
    </row>
    <row r="2582" spans="1:7" hidden="1" x14ac:dyDescent="0.15">
      <c r="A2582" s="2200" t="s">
        <v>4280</v>
      </c>
      <c r="B2582" s="2200" t="s">
        <v>9441</v>
      </c>
      <c r="C2582" s="2200" t="s">
        <v>9442</v>
      </c>
      <c r="D2582" s="2200" t="str">
        <f t="shared" si="120"/>
        <v>TX</v>
      </c>
      <c r="E2582" s="2200" t="str">
        <f t="shared" si="121"/>
        <v>48</v>
      </c>
      <c r="F2582" s="2200" t="str">
        <f t="shared" si="122"/>
        <v>111</v>
      </c>
      <c r="G2582" s="2200">
        <f>--SUBTOTAL(3,C$2:C2582)</f>
        <v>67</v>
      </c>
    </row>
    <row r="2583" spans="1:7" hidden="1" x14ac:dyDescent="0.15">
      <c r="A2583" s="2200" t="s">
        <v>4280</v>
      </c>
      <c r="B2583" s="2200" t="s">
        <v>9443</v>
      </c>
      <c r="C2583" s="2200" t="s">
        <v>9444</v>
      </c>
      <c r="D2583" s="2200" t="str">
        <f t="shared" si="120"/>
        <v>TX</v>
      </c>
      <c r="E2583" s="2200" t="str">
        <f t="shared" si="121"/>
        <v>48</v>
      </c>
      <c r="F2583" s="2200" t="str">
        <f t="shared" si="122"/>
        <v>113</v>
      </c>
      <c r="G2583" s="2200">
        <f>--SUBTOTAL(3,C$2:C2583)</f>
        <v>67</v>
      </c>
    </row>
    <row r="2584" spans="1:7" hidden="1" x14ac:dyDescent="0.15">
      <c r="A2584" s="2200" t="s">
        <v>4280</v>
      </c>
      <c r="B2584" s="2200" t="s">
        <v>9445</v>
      </c>
      <c r="C2584" s="2200" t="s">
        <v>9446</v>
      </c>
      <c r="D2584" s="2200" t="str">
        <f t="shared" si="120"/>
        <v>TX</v>
      </c>
      <c r="E2584" s="2200" t="str">
        <f t="shared" si="121"/>
        <v>48</v>
      </c>
      <c r="F2584" s="2200" t="str">
        <f t="shared" si="122"/>
        <v>115</v>
      </c>
      <c r="G2584" s="2200">
        <f>--SUBTOTAL(3,C$2:C2584)</f>
        <v>67</v>
      </c>
    </row>
    <row r="2585" spans="1:7" hidden="1" x14ac:dyDescent="0.15">
      <c r="A2585" s="2200" t="s">
        <v>4280</v>
      </c>
      <c r="B2585" s="2200" t="s">
        <v>9447</v>
      </c>
      <c r="C2585" s="2200" t="s">
        <v>9448</v>
      </c>
      <c r="D2585" s="2200" t="str">
        <f t="shared" si="120"/>
        <v>TX</v>
      </c>
      <c r="E2585" s="2200" t="str">
        <f t="shared" si="121"/>
        <v>48</v>
      </c>
      <c r="F2585" s="2200" t="str">
        <f t="shared" si="122"/>
        <v>117</v>
      </c>
      <c r="G2585" s="2200">
        <f>--SUBTOTAL(3,C$2:C2585)</f>
        <v>67</v>
      </c>
    </row>
    <row r="2586" spans="1:7" hidden="1" x14ac:dyDescent="0.15">
      <c r="A2586" s="2200" t="s">
        <v>4280</v>
      </c>
      <c r="B2586" s="2200" t="s">
        <v>9449</v>
      </c>
      <c r="C2586" s="2200" t="s">
        <v>9450</v>
      </c>
      <c r="D2586" s="2200" t="str">
        <f t="shared" si="120"/>
        <v>TX</v>
      </c>
      <c r="E2586" s="2200" t="str">
        <f t="shared" si="121"/>
        <v>48</v>
      </c>
      <c r="F2586" s="2200" t="str">
        <f t="shared" si="122"/>
        <v>119</v>
      </c>
      <c r="G2586" s="2200">
        <f>--SUBTOTAL(3,C$2:C2586)</f>
        <v>67</v>
      </c>
    </row>
    <row r="2587" spans="1:7" hidden="1" x14ac:dyDescent="0.15">
      <c r="A2587" s="2200" t="s">
        <v>4280</v>
      </c>
      <c r="B2587" s="2200" t="s">
        <v>9451</v>
      </c>
      <c r="C2587" s="2200" t="s">
        <v>9452</v>
      </c>
      <c r="D2587" s="2200" t="str">
        <f t="shared" si="120"/>
        <v>TX</v>
      </c>
      <c r="E2587" s="2200" t="str">
        <f t="shared" si="121"/>
        <v>48</v>
      </c>
      <c r="F2587" s="2200" t="str">
        <f t="shared" si="122"/>
        <v>121</v>
      </c>
      <c r="G2587" s="2200">
        <f>--SUBTOTAL(3,C$2:C2587)</f>
        <v>67</v>
      </c>
    </row>
    <row r="2588" spans="1:7" hidden="1" x14ac:dyDescent="0.15">
      <c r="A2588" s="2200" t="s">
        <v>4280</v>
      </c>
      <c r="B2588" s="2200" t="s">
        <v>9453</v>
      </c>
      <c r="C2588" s="2200" t="s">
        <v>9454</v>
      </c>
      <c r="D2588" s="2200" t="str">
        <f t="shared" si="120"/>
        <v>TX</v>
      </c>
      <c r="E2588" s="2200" t="str">
        <f t="shared" si="121"/>
        <v>48</v>
      </c>
      <c r="F2588" s="2200" t="str">
        <f t="shared" si="122"/>
        <v>123</v>
      </c>
      <c r="G2588" s="2200">
        <f>--SUBTOTAL(3,C$2:C2588)</f>
        <v>67</v>
      </c>
    </row>
    <row r="2589" spans="1:7" hidden="1" x14ac:dyDescent="0.15">
      <c r="A2589" s="2200" t="s">
        <v>4280</v>
      </c>
      <c r="B2589" s="2200" t="s">
        <v>9455</v>
      </c>
      <c r="C2589" s="2200" t="s">
        <v>9456</v>
      </c>
      <c r="D2589" s="2200" t="str">
        <f t="shared" si="120"/>
        <v>TX</v>
      </c>
      <c r="E2589" s="2200" t="str">
        <f t="shared" si="121"/>
        <v>48</v>
      </c>
      <c r="F2589" s="2200" t="str">
        <f t="shared" si="122"/>
        <v>125</v>
      </c>
      <c r="G2589" s="2200">
        <f>--SUBTOTAL(3,C$2:C2589)</f>
        <v>67</v>
      </c>
    </row>
    <row r="2590" spans="1:7" hidden="1" x14ac:dyDescent="0.15">
      <c r="A2590" s="2200" t="s">
        <v>4280</v>
      </c>
      <c r="B2590" s="2200" t="s">
        <v>9457</v>
      </c>
      <c r="C2590" s="2200" t="s">
        <v>9458</v>
      </c>
      <c r="D2590" s="2200" t="str">
        <f t="shared" si="120"/>
        <v>TX</v>
      </c>
      <c r="E2590" s="2200" t="str">
        <f t="shared" si="121"/>
        <v>48</v>
      </c>
      <c r="F2590" s="2200" t="str">
        <f t="shared" si="122"/>
        <v>127</v>
      </c>
      <c r="G2590" s="2200">
        <f>--SUBTOTAL(3,C$2:C2590)</f>
        <v>67</v>
      </c>
    </row>
    <row r="2591" spans="1:7" hidden="1" x14ac:dyDescent="0.15">
      <c r="A2591" s="2200" t="s">
        <v>4280</v>
      </c>
      <c r="B2591" s="2200" t="s">
        <v>9459</v>
      </c>
      <c r="C2591" s="2200" t="s">
        <v>9460</v>
      </c>
      <c r="D2591" s="2200" t="str">
        <f t="shared" si="120"/>
        <v>TX</v>
      </c>
      <c r="E2591" s="2200" t="str">
        <f t="shared" si="121"/>
        <v>48</v>
      </c>
      <c r="F2591" s="2200" t="str">
        <f t="shared" si="122"/>
        <v>129</v>
      </c>
      <c r="G2591" s="2200">
        <f>--SUBTOTAL(3,C$2:C2591)</f>
        <v>67</v>
      </c>
    </row>
    <row r="2592" spans="1:7" hidden="1" x14ac:dyDescent="0.15">
      <c r="A2592" s="2200" t="s">
        <v>4280</v>
      </c>
      <c r="B2592" s="2200" t="s">
        <v>9461</v>
      </c>
      <c r="C2592" s="2200" t="s">
        <v>9462</v>
      </c>
      <c r="D2592" s="2200" t="str">
        <f t="shared" si="120"/>
        <v>TX</v>
      </c>
      <c r="E2592" s="2200" t="str">
        <f t="shared" si="121"/>
        <v>48</v>
      </c>
      <c r="F2592" s="2200" t="str">
        <f t="shared" si="122"/>
        <v>131</v>
      </c>
      <c r="G2592" s="2200">
        <f>--SUBTOTAL(3,C$2:C2592)</f>
        <v>67</v>
      </c>
    </row>
    <row r="2593" spans="1:7" hidden="1" x14ac:dyDescent="0.15">
      <c r="A2593" s="2200" t="s">
        <v>4280</v>
      </c>
      <c r="B2593" s="2200" t="s">
        <v>9463</v>
      </c>
      <c r="C2593" s="2200" t="s">
        <v>9464</v>
      </c>
      <c r="D2593" s="2200" t="str">
        <f t="shared" si="120"/>
        <v>TX</v>
      </c>
      <c r="E2593" s="2200" t="str">
        <f t="shared" si="121"/>
        <v>48</v>
      </c>
      <c r="F2593" s="2200" t="str">
        <f t="shared" si="122"/>
        <v>133</v>
      </c>
      <c r="G2593" s="2200">
        <f>--SUBTOTAL(3,C$2:C2593)</f>
        <v>67</v>
      </c>
    </row>
    <row r="2594" spans="1:7" hidden="1" x14ac:dyDescent="0.15">
      <c r="A2594" s="2200" t="s">
        <v>4280</v>
      </c>
      <c r="B2594" s="2200" t="s">
        <v>9465</v>
      </c>
      <c r="C2594" s="2200" t="s">
        <v>9466</v>
      </c>
      <c r="D2594" s="2200" t="str">
        <f t="shared" si="120"/>
        <v>TX</v>
      </c>
      <c r="E2594" s="2200" t="str">
        <f t="shared" si="121"/>
        <v>48</v>
      </c>
      <c r="F2594" s="2200" t="str">
        <f t="shared" si="122"/>
        <v>135</v>
      </c>
      <c r="G2594" s="2200">
        <f>--SUBTOTAL(3,C$2:C2594)</f>
        <v>67</v>
      </c>
    </row>
    <row r="2595" spans="1:7" hidden="1" x14ac:dyDescent="0.15">
      <c r="A2595" s="2200" t="s">
        <v>4280</v>
      </c>
      <c r="B2595" s="2200" t="s">
        <v>9467</v>
      </c>
      <c r="C2595" s="2200" t="s">
        <v>9468</v>
      </c>
      <c r="D2595" s="2200" t="str">
        <f t="shared" si="120"/>
        <v>TX</v>
      </c>
      <c r="E2595" s="2200" t="str">
        <f t="shared" si="121"/>
        <v>48</v>
      </c>
      <c r="F2595" s="2200" t="str">
        <f t="shared" si="122"/>
        <v>137</v>
      </c>
      <c r="G2595" s="2200">
        <f>--SUBTOTAL(3,C$2:C2595)</f>
        <v>67</v>
      </c>
    </row>
    <row r="2596" spans="1:7" hidden="1" x14ac:dyDescent="0.15">
      <c r="A2596" s="2200" t="s">
        <v>4280</v>
      </c>
      <c r="B2596" s="2200" t="s">
        <v>9469</v>
      </c>
      <c r="C2596" s="2200" t="s">
        <v>9470</v>
      </c>
      <c r="D2596" s="2200" t="str">
        <f t="shared" si="120"/>
        <v>TX</v>
      </c>
      <c r="E2596" s="2200" t="str">
        <f t="shared" si="121"/>
        <v>48</v>
      </c>
      <c r="F2596" s="2200" t="str">
        <f t="shared" si="122"/>
        <v>139</v>
      </c>
      <c r="G2596" s="2200">
        <f>--SUBTOTAL(3,C$2:C2596)</f>
        <v>67</v>
      </c>
    </row>
    <row r="2597" spans="1:7" hidden="1" x14ac:dyDescent="0.15">
      <c r="A2597" s="2200" t="s">
        <v>4280</v>
      </c>
      <c r="B2597" s="2200" t="s">
        <v>9471</v>
      </c>
      <c r="C2597" s="2200" t="s">
        <v>9472</v>
      </c>
      <c r="D2597" s="2200" t="str">
        <f t="shared" si="120"/>
        <v>TX</v>
      </c>
      <c r="E2597" s="2200" t="str">
        <f t="shared" si="121"/>
        <v>48</v>
      </c>
      <c r="F2597" s="2200" t="str">
        <f t="shared" si="122"/>
        <v>141</v>
      </c>
      <c r="G2597" s="2200">
        <f>--SUBTOTAL(3,C$2:C2597)</f>
        <v>67</v>
      </c>
    </row>
    <row r="2598" spans="1:7" hidden="1" x14ac:dyDescent="0.15">
      <c r="A2598" s="2200" t="s">
        <v>4280</v>
      </c>
      <c r="B2598" s="2200" t="s">
        <v>9473</v>
      </c>
      <c r="C2598" s="2200" t="s">
        <v>9474</v>
      </c>
      <c r="D2598" s="2200" t="str">
        <f t="shared" si="120"/>
        <v>TX</v>
      </c>
      <c r="E2598" s="2200" t="str">
        <f t="shared" si="121"/>
        <v>48</v>
      </c>
      <c r="F2598" s="2200" t="str">
        <f t="shared" si="122"/>
        <v>143</v>
      </c>
      <c r="G2598" s="2200">
        <f>--SUBTOTAL(3,C$2:C2598)</f>
        <v>67</v>
      </c>
    </row>
    <row r="2599" spans="1:7" hidden="1" x14ac:dyDescent="0.15">
      <c r="A2599" s="2200" t="s">
        <v>4280</v>
      </c>
      <c r="B2599" s="2200" t="s">
        <v>9475</v>
      </c>
      <c r="C2599" s="2200" t="s">
        <v>9476</v>
      </c>
      <c r="D2599" s="2200" t="str">
        <f t="shared" si="120"/>
        <v>TX</v>
      </c>
      <c r="E2599" s="2200" t="str">
        <f t="shared" si="121"/>
        <v>48</v>
      </c>
      <c r="F2599" s="2200" t="str">
        <f t="shared" si="122"/>
        <v>145</v>
      </c>
      <c r="G2599" s="2200">
        <f>--SUBTOTAL(3,C$2:C2599)</f>
        <v>67</v>
      </c>
    </row>
    <row r="2600" spans="1:7" hidden="1" x14ac:dyDescent="0.15">
      <c r="A2600" s="2200" t="s">
        <v>4280</v>
      </c>
      <c r="B2600" s="2200" t="s">
        <v>9477</v>
      </c>
      <c r="C2600" s="2200" t="s">
        <v>9478</v>
      </c>
      <c r="D2600" s="2200" t="str">
        <f t="shared" si="120"/>
        <v>TX</v>
      </c>
      <c r="E2600" s="2200" t="str">
        <f t="shared" si="121"/>
        <v>48</v>
      </c>
      <c r="F2600" s="2200" t="str">
        <f t="shared" si="122"/>
        <v>147</v>
      </c>
      <c r="G2600" s="2200">
        <f>--SUBTOTAL(3,C$2:C2600)</f>
        <v>67</v>
      </c>
    </row>
    <row r="2601" spans="1:7" hidden="1" x14ac:dyDescent="0.15">
      <c r="A2601" s="2200" t="s">
        <v>4280</v>
      </c>
      <c r="B2601" s="2200" t="s">
        <v>9479</v>
      </c>
      <c r="C2601" s="2200" t="s">
        <v>9480</v>
      </c>
      <c r="D2601" s="2200" t="str">
        <f t="shared" si="120"/>
        <v>TX</v>
      </c>
      <c r="E2601" s="2200" t="str">
        <f t="shared" si="121"/>
        <v>48</v>
      </c>
      <c r="F2601" s="2200" t="str">
        <f t="shared" si="122"/>
        <v>149</v>
      </c>
      <c r="G2601" s="2200">
        <f>--SUBTOTAL(3,C$2:C2601)</f>
        <v>67</v>
      </c>
    </row>
    <row r="2602" spans="1:7" hidden="1" x14ac:dyDescent="0.15">
      <c r="A2602" s="2200" t="s">
        <v>4280</v>
      </c>
      <c r="B2602" s="2200" t="s">
        <v>9481</v>
      </c>
      <c r="C2602" s="2200" t="s">
        <v>9482</v>
      </c>
      <c r="D2602" s="2200" t="str">
        <f t="shared" si="120"/>
        <v>TX</v>
      </c>
      <c r="E2602" s="2200" t="str">
        <f t="shared" si="121"/>
        <v>48</v>
      </c>
      <c r="F2602" s="2200" t="str">
        <f t="shared" si="122"/>
        <v>151</v>
      </c>
      <c r="G2602" s="2200">
        <f>--SUBTOTAL(3,C$2:C2602)</f>
        <v>67</v>
      </c>
    </row>
    <row r="2603" spans="1:7" hidden="1" x14ac:dyDescent="0.15">
      <c r="A2603" s="2200" t="s">
        <v>4280</v>
      </c>
      <c r="B2603" s="2200" t="s">
        <v>9483</v>
      </c>
      <c r="C2603" s="2200" t="s">
        <v>9484</v>
      </c>
      <c r="D2603" s="2200" t="str">
        <f t="shared" si="120"/>
        <v>TX</v>
      </c>
      <c r="E2603" s="2200" t="str">
        <f t="shared" si="121"/>
        <v>48</v>
      </c>
      <c r="F2603" s="2200" t="str">
        <f t="shared" si="122"/>
        <v>153</v>
      </c>
      <c r="G2603" s="2200">
        <f>--SUBTOTAL(3,C$2:C2603)</f>
        <v>67</v>
      </c>
    </row>
    <row r="2604" spans="1:7" hidden="1" x14ac:dyDescent="0.15">
      <c r="A2604" s="2200" t="s">
        <v>4280</v>
      </c>
      <c r="B2604" s="2200" t="s">
        <v>9485</v>
      </c>
      <c r="C2604" s="2200" t="s">
        <v>9486</v>
      </c>
      <c r="D2604" s="2200" t="str">
        <f t="shared" si="120"/>
        <v>TX</v>
      </c>
      <c r="E2604" s="2200" t="str">
        <f t="shared" si="121"/>
        <v>48</v>
      </c>
      <c r="F2604" s="2200" t="str">
        <f t="shared" si="122"/>
        <v>155</v>
      </c>
      <c r="G2604" s="2200">
        <f>--SUBTOTAL(3,C$2:C2604)</f>
        <v>67</v>
      </c>
    </row>
    <row r="2605" spans="1:7" hidden="1" x14ac:dyDescent="0.15">
      <c r="A2605" s="2200" t="s">
        <v>4280</v>
      </c>
      <c r="B2605" s="2200" t="s">
        <v>9487</v>
      </c>
      <c r="C2605" s="2200" t="s">
        <v>9488</v>
      </c>
      <c r="D2605" s="2200" t="str">
        <f t="shared" si="120"/>
        <v>TX</v>
      </c>
      <c r="E2605" s="2200" t="str">
        <f t="shared" si="121"/>
        <v>48</v>
      </c>
      <c r="F2605" s="2200" t="str">
        <f t="shared" si="122"/>
        <v>157</v>
      </c>
      <c r="G2605" s="2200">
        <f>--SUBTOTAL(3,C$2:C2605)</f>
        <v>67</v>
      </c>
    </row>
    <row r="2606" spans="1:7" hidden="1" x14ac:dyDescent="0.15">
      <c r="A2606" s="2200" t="s">
        <v>4280</v>
      </c>
      <c r="B2606" s="2200" t="s">
        <v>9489</v>
      </c>
      <c r="C2606" s="2200" t="s">
        <v>9490</v>
      </c>
      <c r="D2606" s="2200" t="str">
        <f t="shared" si="120"/>
        <v>TX</v>
      </c>
      <c r="E2606" s="2200" t="str">
        <f t="shared" si="121"/>
        <v>48</v>
      </c>
      <c r="F2606" s="2200" t="str">
        <f t="shared" si="122"/>
        <v>159</v>
      </c>
      <c r="G2606" s="2200">
        <f>--SUBTOTAL(3,C$2:C2606)</f>
        <v>67</v>
      </c>
    </row>
    <row r="2607" spans="1:7" hidden="1" x14ac:dyDescent="0.15">
      <c r="A2607" s="2200" t="s">
        <v>4280</v>
      </c>
      <c r="B2607" s="2200" t="s">
        <v>9491</v>
      </c>
      <c r="C2607" s="2200" t="s">
        <v>9492</v>
      </c>
      <c r="D2607" s="2200" t="str">
        <f t="shared" si="120"/>
        <v>TX</v>
      </c>
      <c r="E2607" s="2200" t="str">
        <f t="shared" si="121"/>
        <v>48</v>
      </c>
      <c r="F2607" s="2200" t="str">
        <f t="shared" si="122"/>
        <v>161</v>
      </c>
      <c r="G2607" s="2200">
        <f>--SUBTOTAL(3,C$2:C2607)</f>
        <v>67</v>
      </c>
    </row>
    <row r="2608" spans="1:7" hidden="1" x14ac:dyDescent="0.15">
      <c r="A2608" s="2200" t="s">
        <v>4280</v>
      </c>
      <c r="B2608" s="2200" t="s">
        <v>9493</v>
      </c>
      <c r="C2608" s="2200" t="s">
        <v>9494</v>
      </c>
      <c r="D2608" s="2200" t="str">
        <f t="shared" si="120"/>
        <v>TX</v>
      </c>
      <c r="E2608" s="2200" t="str">
        <f t="shared" si="121"/>
        <v>48</v>
      </c>
      <c r="F2608" s="2200" t="str">
        <f t="shared" si="122"/>
        <v>163</v>
      </c>
      <c r="G2608" s="2200">
        <f>--SUBTOTAL(3,C$2:C2608)</f>
        <v>67</v>
      </c>
    </row>
    <row r="2609" spans="1:7" hidden="1" x14ac:dyDescent="0.15">
      <c r="A2609" s="2200" t="s">
        <v>4280</v>
      </c>
      <c r="B2609" s="2200" t="s">
        <v>9495</v>
      </c>
      <c r="C2609" s="2200" t="s">
        <v>9496</v>
      </c>
      <c r="D2609" s="2200" t="str">
        <f t="shared" si="120"/>
        <v>TX</v>
      </c>
      <c r="E2609" s="2200" t="str">
        <f t="shared" si="121"/>
        <v>48</v>
      </c>
      <c r="F2609" s="2200" t="str">
        <f t="shared" si="122"/>
        <v>165</v>
      </c>
      <c r="G2609" s="2200">
        <f>--SUBTOTAL(3,C$2:C2609)</f>
        <v>67</v>
      </c>
    </row>
    <row r="2610" spans="1:7" hidden="1" x14ac:dyDescent="0.15">
      <c r="A2610" s="2200" t="s">
        <v>4280</v>
      </c>
      <c r="B2610" s="2200" t="s">
        <v>9497</v>
      </c>
      <c r="C2610" s="2200" t="s">
        <v>9498</v>
      </c>
      <c r="D2610" s="2200" t="str">
        <f t="shared" si="120"/>
        <v>TX</v>
      </c>
      <c r="E2610" s="2200" t="str">
        <f t="shared" si="121"/>
        <v>48</v>
      </c>
      <c r="F2610" s="2200" t="str">
        <f t="shared" si="122"/>
        <v>167</v>
      </c>
      <c r="G2610" s="2200">
        <f>--SUBTOTAL(3,C$2:C2610)</f>
        <v>67</v>
      </c>
    </row>
    <row r="2611" spans="1:7" hidden="1" x14ac:dyDescent="0.15">
      <c r="A2611" s="2200" t="s">
        <v>4280</v>
      </c>
      <c r="B2611" s="2200" t="s">
        <v>9499</v>
      </c>
      <c r="C2611" s="2200" t="s">
        <v>9500</v>
      </c>
      <c r="D2611" s="2200" t="str">
        <f t="shared" si="120"/>
        <v>TX</v>
      </c>
      <c r="E2611" s="2200" t="str">
        <f t="shared" si="121"/>
        <v>48</v>
      </c>
      <c r="F2611" s="2200" t="str">
        <f t="shared" si="122"/>
        <v>169</v>
      </c>
      <c r="G2611" s="2200">
        <f>--SUBTOTAL(3,C$2:C2611)</f>
        <v>67</v>
      </c>
    </row>
    <row r="2612" spans="1:7" hidden="1" x14ac:dyDescent="0.15">
      <c r="A2612" s="2200" t="s">
        <v>4280</v>
      </c>
      <c r="B2612" s="2200" t="s">
        <v>9501</v>
      </c>
      <c r="C2612" s="2200" t="s">
        <v>9502</v>
      </c>
      <c r="D2612" s="2200" t="str">
        <f t="shared" si="120"/>
        <v>TX</v>
      </c>
      <c r="E2612" s="2200" t="str">
        <f t="shared" si="121"/>
        <v>48</v>
      </c>
      <c r="F2612" s="2200" t="str">
        <f t="shared" si="122"/>
        <v>171</v>
      </c>
      <c r="G2612" s="2200">
        <f>--SUBTOTAL(3,C$2:C2612)</f>
        <v>67</v>
      </c>
    </row>
    <row r="2613" spans="1:7" hidden="1" x14ac:dyDescent="0.15">
      <c r="A2613" s="2200" t="s">
        <v>4280</v>
      </c>
      <c r="B2613" s="2200" t="s">
        <v>9503</v>
      </c>
      <c r="C2613" s="2200" t="s">
        <v>9504</v>
      </c>
      <c r="D2613" s="2200" t="str">
        <f t="shared" si="120"/>
        <v>TX</v>
      </c>
      <c r="E2613" s="2200" t="str">
        <f t="shared" si="121"/>
        <v>48</v>
      </c>
      <c r="F2613" s="2200" t="str">
        <f t="shared" si="122"/>
        <v>173</v>
      </c>
      <c r="G2613" s="2200">
        <f>--SUBTOTAL(3,C$2:C2613)</f>
        <v>67</v>
      </c>
    </row>
    <row r="2614" spans="1:7" hidden="1" x14ac:dyDescent="0.15">
      <c r="A2614" s="2200" t="s">
        <v>4280</v>
      </c>
      <c r="B2614" s="2200" t="s">
        <v>9505</v>
      </c>
      <c r="C2614" s="2200" t="s">
        <v>9506</v>
      </c>
      <c r="D2614" s="2200" t="str">
        <f t="shared" si="120"/>
        <v>TX</v>
      </c>
      <c r="E2614" s="2200" t="str">
        <f t="shared" si="121"/>
        <v>48</v>
      </c>
      <c r="F2614" s="2200" t="str">
        <f t="shared" si="122"/>
        <v>175</v>
      </c>
      <c r="G2614" s="2200">
        <f>--SUBTOTAL(3,C$2:C2614)</f>
        <v>67</v>
      </c>
    </row>
    <row r="2615" spans="1:7" hidden="1" x14ac:dyDescent="0.15">
      <c r="A2615" s="2200" t="s">
        <v>4280</v>
      </c>
      <c r="B2615" s="2200" t="s">
        <v>9507</v>
      </c>
      <c r="C2615" s="2200" t="s">
        <v>9508</v>
      </c>
      <c r="D2615" s="2200" t="str">
        <f t="shared" si="120"/>
        <v>TX</v>
      </c>
      <c r="E2615" s="2200" t="str">
        <f t="shared" si="121"/>
        <v>48</v>
      </c>
      <c r="F2615" s="2200" t="str">
        <f t="shared" si="122"/>
        <v>177</v>
      </c>
      <c r="G2615" s="2200">
        <f>--SUBTOTAL(3,C$2:C2615)</f>
        <v>67</v>
      </c>
    </row>
    <row r="2616" spans="1:7" hidden="1" x14ac:dyDescent="0.15">
      <c r="A2616" s="2200" t="s">
        <v>4280</v>
      </c>
      <c r="B2616" s="2200" t="s">
        <v>9509</v>
      </c>
      <c r="C2616" s="2200" t="s">
        <v>9510</v>
      </c>
      <c r="D2616" s="2200" t="str">
        <f t="shared" si="120"/>
        <v>TX</v>
      </c>
      <c r="E2616" s="2200" t="str">
        <f t="shared" si="121"/>
        <v>48</v>
      </c>
      <c r="F2616" s="2200" t="str">
        <f t="shared" si="122"/>
        <v>179</v>
      </c>
      <c r="G2616" s="2200">
        <f>--SUBTOTAL(3,C$2:C2616)</f>
        <v>67</v>
      </c>
    </row>
    <row r="2617" spans="1:7" hidden="1" x14ac:dyDescent="0.15">
      <c r="A2617" s="2200" t="s">
        <v>4280</v>
      </c>
      <c r="B2617" s="2200" t="s">
        <v>9511</v>
      </c>
      <c r="C2617" s="2200" t="s">
        <v>9512</v>
      </c>
      <c r="D2617" s="2200" t="str">
        <f t="shared" si="120"/>
        <v>TX</v>
      </c>
      <c r="E2617" s="2200" t="str">
        <f t="shared" si="121"/>
        <v>48</v>
      </c>
      <c r="F2617" s="2200" t="str">
        <f t="shared" si="122"/>
        <v>181</v>
      </c>
      <c r="G2617" s="2200">
        <f>--SUBTOTAL(3,C$2:C2617)</f>
        <v>67</v>
      </c>
    </row>
    <row r="2618" spans="1:7" hidden="1" x14ac:dyDescent="0.15">
      <c r="A2618" s="2200" t="s">
        <v>4280</v>
      </c>
      <c r="B2618" s="2200" t="s">
        <v>9513</v>
      </c>
      <c r="C2618" s="2200" t="s">
        <v>9514</v>
      </c>
      <c r="D2618" s="2200" t="str">
        <f t="shared" si="120"/>
        <v>TX</v>
      </c>
      <c r="E2618" s="2200" t="str">
        <f t="shared" si="121"/>
        <v>48</v>
      </c>
      <c r="F2618" s="2200" t="str">
        <f t="shared" si="122"/>
        <v>183</v>
      </c>
      <c r="G2618" s="2200">
        <f>--SUBTOTAL(3,C$2:C2618)</f>
        <v>67</v>
      </c>
    </row>
    <row r="2619" spans="1:7" hidden="1" x14ac:dyDescent="0.15">
      <c r="A2619" s="2200" t="s">
        <v>4280</v>
      </c>
      <c r="B2619" s="2200" t="s">
        <v>9515</v>
      </c>
      <c r="C2619" s="2200" t="s">
        <v>9516</v>
      </c>
      <c r="D2619" s="2200" t="str">
        <f t="shared" si="120"/>
        <v>TX</v>
      </c>
      <c r="E2619" s="2200" t="str">
        <f t="shared" si="121"/>
        <v>48</v>
      </c>
      <c r="F2619" s="2200" t="str">
        <f t="shared" si="122"/>
        <v>185</v>
      </c>
      <c r="G2619" s="2200">
        <f>--SUBTOTAL(3,C$2:C2619)</f>
        <v>67</v>
      </c>
    </row>
    <row r="2620" spans="1:7" hidden="1" x14ac:dyDescent="0.15">
      <c r="A2620" s="2200" t="s">
        <v>4280</v>
      </c>
      <c r="B2620" s="2200" t="s">
        <v>9517</v>
      </c>
      <c r="C2620" s="2200" t="s">
        <v>9518</v>
      </c>
      <c r="D2620" s="2200" t="str">
        <f t="shared" si="120"/>
        <v>TX</v>
      </c>
      <c r="E2620" s="2200" t="str">
        <f t="shared" si="121"/>
        <v>48</v>
      </c>
      <c r="F2620" s="2200" t="str">
        <f t="shared" si="122"/>
        <v>187</v>
      </c>
      <c r="G2620" s="2200">
        <f>--SUBTOTAL(3,C$2:C2620)</f>
        <v>67</v>
      </c>
    </row>
    <row r="2621" spans="1:7" hidden="1" x14ac:dyDescent="0.15">
      <c r="A2621" s="2200" t="s">
        <v>4280</v>
      </c>
      <c r="B2621" s="2200" t="s">
        <v>9519</v>
      </c>
      <c r="C2621" s="2200" t="s">
        <v>9520</v>
      </c>
      <c r="D2621" s="2200" t="str">
        <f t="shared" si="120"/>
        <v>TX</v>
      </c>
      <c r="E2621" s="2200" t="str">
        <f t="shared" si="121"/>
        <v>48</v>
      </c>
      <c r="F2621" s="2200" t="str">
        <f t="shared" si="122"/>
        <v>189</v>
      </c>
      <c r="G2621" s="2200">
        <f>--SUBTOTAL(3,C$2:C2621)</f>
        <v>67</v>
      </c>
    </row>
    <row r="2622" spans="1:7" hidden="1" x14ac:dyDescent="0.15">
      <c r="A2622" s="2200" t="s">
        <v>4280</v>
      </c>
      <c r="B2622" s="2200" t="s">
        <v>9521</v>
      </c>
      <c r="C2622" s="2200" t="s">
        <v>9522</v>
      </c>
      <c r="D2622" s="2200" t="str">
        <f t="shared" si="120"/>
        <v>TX</v>
      </c>
      <c r="E2622" s="2200" t="str">
        <f t="shared" si="121"/>
        <v>48</v>
      </c>
      <c r="F2622" s="2200" t="str">
        <f t="shared" si="122"/>
        <v>191</v>
      </c>
      <c r="G2622" s="2200">
        <f>--SUBTOTAL(3,C$2:C2622)</f>
        <v>67</v>
      </c>
    </row>
    <row r="2623" spans="1:7" hidden="1" x14ac:dyDescent="0.15">
      <c r="A2623" s="2200" t="s">
        <v>4280</v>
      </c>
      <c r="B2623" s="2200" t="s">
        <v>9523</v>
      </c>
      <c r="C2623" s="2200" t="s">
        <v>9524</v>
      </c>
      <c r="D2623" s="2200" t="str">
        <f t="shared" si="120"/>
        <v>TX</v>
      </c>
      <c r="E2623" s="2200" t="str">
        <f t="shared" si="121"/>
        <v>48</v>
      </c>
      <c r="F2623" s="2200" t="str">
        <f t="shared" si="122"/>
        <v>193</v>
      </c>
      <c r="G2623" s="2200">
        <f>--SUBTOTAL(3,C$2:C2623)</f>
        <v>67</v>
      </c>
    </row>
    <row r="2624" spans="1:7" hidden="1" x14ac:dyDescent="0.15">
      <c r="A2624" s="2200" t="s">
        <v>4280</v>
      </c>
      <c r="B2624" s="2200" t="s">
        <v>9525</v>
      </c>
      <c r="C2624" s="2200" t="s">
        <v>9526</v>
      </c>
      <c r="D2624" s="2200" t="str">
        <f t="shared" si="120"/>
        <v>TX</v>
      </c>
      <c r="E2624" s="2200" t="str">
        <f t="shared" si="121"/>
        <v>48</v>
      </c>
      <c r="F2624" s="2200" t="str">
        <f t="shared" si="122"/>
        <v>195</v>
      </c>
      <c r="G2624" s="2200">
        <f>--SUBTOTAL(3,C$2:C2624)</f>
        <v>67</v>
      </c>
    </row>
    <row r="2625" spans="1:7" hidden="1" x14ac:dyDescent="0.15">
      <c r="A2625" s="2200" t="s">
        <v>4280</v>
      </c>
      <c r="B2625" s="2200" t="s">
        <v>9527</v>
      </c>
      <c r="C2625" s="2200" t="s">
        <v>9528</v>
      </c>
      <c r="D2625" s="2200" t="str">
        <f t="shared" si="120"/>
        <v>TX</v>
      </c>
      <c r="E2625" s="2200" t="str">
        <f t="shared" si="121"/>
        <v>48</v>
      </c>
      <c r="F2625" s="2200" t="str">
        <f t="shared" si="122"/>
        <v>197</v>
      </c>
      <c r="G2625" s="2200">
        <f>--SUBTOTAL(3,C$2:C2625)</f>
        <v>67</v>
      </c>
    </row>
    <row r="2626" spans="1:7" hidden="1" x14ac:dyDescent="0.15">
      <c r="A2626" s="2200" t="s">
        <v>4280</v>
      </c>
      <c r="B2626" s="2200" t="s">
        <v>9529</v>
      </c>
      <c r="C2626" s="2200" t="s">
        <v>9530</v>
      </c>
      <c r="D2626" s="2200" t="str">
        <f t="shared" si="120"/>
        <v>TX</v>
      </c>
      <c r="E2626" s="2200" t="str">
        <f t="shared" si="121"/>
        <v>48</v>
      </c>
      <c r="F2626" s="2200" t="str">
        <f t="shared" si="122"/>
        <v>199</v>
      </c>
      <c r="G2626" s="2200">
        <f>--SUBTOTAL(3,C$2:C2626)</f>
        <v>67</v>
      </c>
    </row>
    <row r="2627" spans="1:7" hidden="1" x14ac:dyDescent="0.15">
      <c r="A2627" s="2200" t="s">
        <v>4280</v>
      </c>
      <c r="B2627" s="2200" t="s">
        <v>9531</v>
      </c>
      <c r="C2627" s="2200" t="s">
        <v>9532</v>
      </c>
      <c r="D2627" s="2200" t="str">
        <f t="shared" ref="D2627:D2690" si="123">RIGHT(C2627,2)</f>
        <v>TX</v>
      </c>
      <c r="E2627" s="2200" t="str">
        <f t="shared" ref="E2627:E2690" si="124">MID(B2627,3,2)</f>
        <v>48</v>
      </c>
      <c r="F2627" s="2200" t="str">
        <f t="shared" ref="F2627:F2690" si="125">MID(B2627,5,3)</f>
        <v>201</v>
      </c>
      <c r="G2627" s="2200">
        <f>--SUBTOTAL(3,C$2:C2627)</f>
        <v>67</v>
      </c>
    </row>
    <row r="2628" spans="1:7" hidden="1" x14ac:dyDescent="0.15">
      <c r="A2628" s="2200" t="s">
        <v>4280</v>
      </c>
      <c r="B2628" s="2200" t="s">
        <v>9533</v>
      </c>
      <c r="C2628" s="2200" t="s">
        <v>9534</v>
      </c>
      <c r="D2628" s="2200" t="str">
        <f t="shared" si="123"/>
        <v>TX</v>
      </c>
      <c r="E2628" s="2200" t="str">
        <f t="shared" si="124"/>
        <v>48</v>
      </c>
      <c r="F2628" s="2200" t="str">
        <f t="shared" si="125"/>
        <v>203</v>
      </c>
      <c r="G2628" s="2200">
        <f>--SUBTOTAL(3,C$2:C2628)</f>
        <v>67</v>
      </c>
    </row>
    <row r="2629" spans="1:7" hidden="1" x14ac:dyDescent="0.15">
      <c r="A2629" s="2200" t="s">
        <v>4280</v>
      </c>
      <c r="B2629" s="2200" t="s">
        <v>9535</v>
      </c>
      <c r="C2629" s="2200" t="s">
        <v>9536</v>
      </c>
      <c r="D2629" s="2200" t="str">
        <f t="shared" si="123"/>
        <v>TX</v>
      </c>
      <c r="E2629" s="2200" t="str">
        <f t="shared" si="124"/>
        <v>48</v>
      </c>
      <c r="F2629" s="2200" t="str">
        <f t="shared" si="125"/>
        <v>205</v>
      </c>
      <c r="G2629" s="2200">
        <f>--SUBTOTAL(3,C$2:C2629)</f>
        <v>67</v>
      </c>
    </row>
    <row r="2630" spans="1:7" hidden="1" x14ac:dyDescent="0.15">
      <c r="A2630" s="2200" t="s">
        <v>4280</v>
      </c>
      <c r="B2630" s="2200" t="s">
        <v>9537</v>
      </c>
      <c r="C2630" s="2200" t="s">
        <v>9538</v>
      </c>
      <c r="D2630" s="2200" t="str">
        <f t="shared" si="123"/>
        <v>TX</v>
      </c>
      <c r="E2630" s="2200" t="str">
        <f t="shared" si="124"/>
        <v>48</v>
      </c>
      <c r="F2630" s="2200" t="str">
        <f t="shared" si="125"/>
        <v>207</v>
      </c>
      <c r="G2630" s="2200">
        <f>--SUBTOTAL(3,C$2:C2630)</f>
        <v>67</v>
      </c>
    </row>
    <row r="2631" spans="1:7" hidden="1" x14ac:dyDescent="0.15">
      <c r="A2631" s="2200" t="s">
        <v>4280</v>
      </c>
      <c r="B2631" s="2200" t="s">
        <v>9539</v>
      </c>
      <c r="C2631" s="2200" t="s">
        <v>9540</v>
      </c>
      <c r="D2631" s="2200" t="str">
        <f t="shared" si="123"/>
        <v>TX</v>
      </c>
      <c r="E2631" s="2200" t="str">
        <f t="shared" si="124"/>
        <v>48</v>
      </c>
      <c r="F2631" s="2200" t="str">
        <f t="shared" si="125"/>
        <v>209</v>
      </c>
      <c r="G2631" s="2200">
        <f>--SUBTOTAL(3,C$2:C2631)</f>
        <v>67</v>
      </c>
    </row>
    <row r="2632" spans="1:7" hidden="1" x14ac:dyDescent="0.15">
      <c r="A2632" s="2200" t="s">
        <v>4280</v>
      </c>
      <c r="B2632" s="2200" t="s">
        <v>9541</v>
      </c>
      <c r="C2632" s="2200" t="s">
        <v>9542</v>
      </c>
      <c r="D2632" s="2200" t="str">
        <f t="shared" si="123"/>
        <v>TX</v>
      </c>
      <c r="E2632" s="2200" t="str">
        <f t="shared" si="124"/>
        <v>48</v>
      </c>
      <c r="F2632" s="2200" t="str">
        <f t="shared" si="125"/>
        <v>211</v>
      </c>
      <c r="G2632" s="2200">
        <f>--SUBTOTAL(3,C$2:C2632)</f>
        <v>67</v>
      </c>
    </row>
    <row r="2633" spans="1:7" hidden="1" x14ac:dyDescent="0.15">
      <c r="A2633" s="2200" t="s">
        <v>4280</v>
      </c>
      <c r="B2633" s="2200" t="s">
        <v>9543</v>
      </c>
      <c r="C2633" s="2200" t="s">
        <v>9544</v>
      </c>
      <c r="D2633" s="2200" t="str">
        <f t="shared" si="123"/>
        <v>TX</v>
      </c>
      <c r="E2633" s="2200" t="str">
        <f t="shared" si="124"/>
        <v>48</v>
      </c>
      <c r="F2633" s="2200" t="str">
        <f t="shared" si="125"/>
        <v>213</v>
      </c>
      <c r="G2633" s="2200">
        <f>--SUBTOTAL(3,C$2:C2633)</f>
        <v>67</v>
      </c>
    </row>
    <row r="2634" spans="1:7" hidden="1" x14ac:dyDescent="0.15">
      <c r="A2634" s="2200" t="s">
        <v>4280</v>
      </c>
      <c r="B2634" s="2200" t="s">
        <v>9545</v>
      </c>
      <c r="C2634" s="2200" t="s">
        <v>9546</v>
      </c>
      <c r="D2634" s="2200" t="str">
        <f t="shared" si="123"/>
        <v>TX</v>
      </c>
      <c r="E2634" s="2200" t="str">
        <f t="shared" si="124"/>
        <v>48</v>
      </c>
      <c r="F2634" s="2200" t="str">
        <f t="shared" si="125"/>
        <v>215</v>
      </c>
      <c r="G2634" s="2200">
        <f>--SUBTOTAL(3,C$2:C2634)</f>
        <v>67</v>
      </c>
    </row>
    <row r="2635" spans="1:7" hidden="1" x14ac:dyDescent="0.15">
      <c r="A2635" s="2200" t="s">
        <v>4280</v>
      </c>
      <c r="B2635" s="2200" t="s">
        <v>9547</v>
      </c>
      <c r="C2635" s="2200" t="s">
        <v>9548</v>
      </c>
      <c r="D2635" s="2200" t="str">
        <f t="shared" si="123"/>
        <v>TX</v>
      </c>
      <c r="E2635" s="2200" t="str">
        <f t="shared" si="124"/>
        <v>48</v>
      </c>
      <c r="F2635" s="2200" t="str">
        <f t="shared" si="125"/>
        <v>217</v>
      </c>
      <c r="G2635" s="2200">
        <f>--SUBTOTAL(3,C$2:C2635)</f>
        <v>67</v>
      </c>
    </row>
    <row r="2636" spans="1:7" hidden="1" x14ac:dyDescent="0.15">
      <c r="A2636" s="2200" t="s">
        <v>4280</v>
      </c>
      <c r="B2636" s="2200" t="s">
        <v>9549</v>
      </c>
      <c r="C2636" s="2200" t="s">
        <v>9550</v>
      </c>
      <c r="D2636" s="2200" t="str">
        <f t="shared" si="123"/>
        <v>TX</v>
      </c>
      <c r="E2636" s="2200" t="str">
        <f t="shared" si="124"/>
        <v>48</v>
      </c>
      <c r="F2636" s="2200" t="str">
        <f t="shared" si="125"/>
        <v>219</v>
      </c>
      <c r="G2636" s="2200">
        <f>--SUBTOTAL(3,C$2:C2636)</f>
        <v>67</v>
      </c>
    </row>
    <row r="2637" spans="1:7" hidden="1" x14ac:dyDescent="0.15">
      <c r="A2637" s="2200" t="s">
        <v>4280</v>
      </c>
      <c r="B2637" s="2200" t="s">
        <v>9551</v>
      </c>
      <c r="C2637" s="2200" t="s">
        <v>9552</v>
      </c>
      <c r="D2637" s="2200" t="str">
        <f t="shared" si="123"/>
        <v>TX</v>
      </c>
      <c r="E2637" s="2200" t="str">
        <f t="shared" si="124"/>
        <v>48</v>
      </c>
      <c r="F2637" s="2200" t="str">
        <f t="shared" si="125"/>
        <v>221</v>
      </c>
      <c r="G2637" s="2200">
        <f>--SUBTOTAL(3,C$2:C2637)</f>
        <v>67</v>
      </c>
    </row>
    <row r="2638" spans="1:7" hidden="1" x14ac:dyDescent="0.15">
      <c r="A2638" s="2200" t="s">
        <v>4280</v>
      </c>
      <c r="B2638" s="2200" t="s">
        <v>9553</v>
      </c>
      <c r="C2638" s="2200" t="s">
        <v>9554</v>
      </c>
      <c r="D2638" s="2200" t="str">
        <f t="shared" si="123"/>
        <v>TX</v>
      </c>
      <c r="E2638" s="2200" t="str">
        <f t="shared" si="124"/>
        <v>48</v>
      </c>
      <c r="F2638" s="2200" t="str">
        <f t="shared" si="125"/>
        <v>223</v>
      </c>
      <c r="G2638" s="2200">
        <f>--SUBTOTAL(3,C$2:C2638)</f>
        <v>67</v>
      </c>
    </row>
    <row r="2639" spans="1:7" hidden="1" x14ac:dyDescent="0.15">
      <c r="A2639" s="2200" t="s">
        <v>4280</v>
      </c>
      <c r="B2639" s="2200" t="s">
        <v>9555</v>
      </c>
      <c r="C2639" s="2200" t="s">
        <v>9556</v>
      </c>
      <c r="D2639" s="2200" t="str">
        <f t="shared" si="123"/>
        <v>TX</v>
      </c>
      <c r="E2639" s="2200" t="str">
        <f t="shared" si="124"/>
        <v>48</v>
      </c>
      <c r="F2639" s="2200" t="str">
        <f t="shared" si="125"/>
        <v>225</v>
      </c>
      <c r="G2639" s="2200">
        <f>--SUBTOTAL(3,C$2:C2639)</f>
        <v>67</v>
      </c>
    </row>
    <row r="2640" spans="1:7" hidden="1" x14ac:dyDescent="0.15">
      <c r="A2640" s="2200" t="s">
        <v>4280</v>
      </c>
      <c r="B2640" s="2200" t="s">
        <v>9557</v>
      </c>
      <c r="C2640" s="2200" t="s">
        <v>9558</v>
      </c>
      <c r="D2640" s="2200" t="str">
        <f t="shared" si="123"/>
        <v>TX</v>
      </c>
      <c r="E2640" s="2200" t="str">
        <f t="shared" si="124"/>
        <v>48</v>
      </c>
      <c r="F2640" s="2200" t="str">
        <f t="shared" si="125"/>
        <v>227</v>
      </c>
      <c r="G2640" s="2200">
        <f>--SUBTOTAL(3,C$2:C2640)</f>
        <v>67</v>
      </c>
    </row>
    <row r="2641" spans="1:7" hidden="1" x14ac:dyDescent="0.15">
      <c r="A2641" s="2200" t="s">
        <v>4280</v>
      </c>
      <c r="B2641" s="2200" t="s">
        <v>9559</v>
      </c>
      <c r="C2641" s="2200" t="s">
        <v>9560</v>
      </c>
      <c r="D2641" s="2200" t="str">
        <f t="shared" si="123"/>
        <v>TX</v>
      </c>
      <c r="E2641" s="2200" t="str">
        <f t="shared" si="124"/>
        <v>48</v>
      </c>
      <c r="F2641" s="2200" t="str">
        <f t="shared" si="125"/>
        <v>229</v>
      </c>
      <c r="G2641" s="2200">
        <f>--SUBTOTAL(3,C$2:C2641)</f>
        <v>67</v>
      </c>
    </row>
    <row r="2642" spans="1:7" hidden="1" x14ac:dyDescent="0.15">
      <c r="A2642" s="2200" t="s">
        <v>4280</v>
      </c>
      <c r="B2642" s="2200" t="s">
        <v>9561</v>
      </c>
      <c r="C2642" s="2200" t="s">
        <v>9562</v>
      </c>
      <c r="D2642" s="2200" t="str">
        <f t="shared" si="123"/>
        <v>TX</v>
      </c>
      <c r="E2642" s="2200" t="str">
        <f t="shared" si="124"/>
        <v>48</v>
      </c>
      <c r="F2642" s="2200" t="str">
        <f t="shared" si="125"/>
        <v>231</v>
      </c>
      <c r="G2642" s="2200">
        <f>--SUBTOTAL(3,C$2:C2642)</f>
        <v>67</v>
      </c>
    </row>
    <row r="2643" spans="1:7" hidden="1" x14ac:dyDescent="0.15">
      <c r="A2643" s="2200" t="s">
        <v>4280</v>
      </c>
      <c r="B2643" s="2200" t="s">
        <v>9563</v>
      </c>
      <c r="C2643" s="2200" t="s">
        <v>9564</v>
      </c>
      <c r="D2643" s="2200" t="str">
        <f t="shared" si="123"/>
        <v>TX</v>
      </c>
      <c r="E2643" s="2200" t="str">
        <f t="shared" si="124"/>
        <v>48</v>
      </c>
      <c r="F2643" s="2200" t="str">
        <f t="shared" si="125"/>
        <v>233</v>
      </c>
      <c r="G2643" s="2200">
        <f>--SUBTOTAL(3,C$2:C2643)</f>
        <v>67</v>
      </c>
    </row>
    <row r="2644" spans="1:7" hidden="1" x14ac:dyDescent="0.15">
      <c r="A2644" s="2200" t="s">
        <v>4280</v>
      </c>
      <c r="B2644" s="2200" t="s">
        <v>9565</v>
      </c>
      <c r="C2644" s="2200" t="s">
        <v>9566</v>
      </c>
      <c r="D2644" s="2200" t="str">
        <f t="shared" si="123"/>
        <v>TX</v>
      </c>
      <c r="E2644" s="2200" t="str">
        <f t="shared" si="124"/>
        <v>48</v>
      </c>
      <c r="F2644" s="2200" t="str">
        <f t="shared" si="125"/>
        <v>235</v>
      </c>
      <c r="G2644" s="2200">
        <f>--SUBTOTAL(3,C$2:C2644)</f>
        <v>67</v>
      </c>
    </row>
    <row r="2645" spans="1:7" hidden="1" x14ac:dyDescent="0.15">
      <c r="A2645" s="2200" t="s">
        <v>4280</v>
      </c>
      <c r="B2645" s="2200" t="s">
        <v>9567</v>
      </c>
      <c r="C2645" s="2200" t="s">
        <v>9568</v>
      </c>
      <c r="D2645" s="2200" t="str">
        <f t="shared" si="123"/>
        <v>TX</v>
      </c>
      <c r="E2645" s="2200" t="str">
        <f t="shared" si="124"/>
        <v>48</v>
      </c>
      <c r="F2645" s="2200" t="str">
        <f t="shared" si="125"/>
        <v>237</v>
      </c>
      <c r="G2645" s="2200">
        <f>--SUBTOTAL(3,C$2:C2645)</f>
        <v>67</v>
      </c>
    </row>
    <row r="2646" spans="1:7" hidden="1" x14ac:dyDescent="0.15">
      <c r="A2646" s="2200" t="s">
        <v>4280</v>
      </c>
      <c r="B2646" s="2200" t="s">
        <v>9569</v>
      </c>
      <c r="C2646" s="2200" t="s">
        <v>9570</v>
      </c>
      <c r="D2646" s="2200" t="str">
        <f t="shared" si="123"/>
        <v>TX</v>
      </c>
      <c r="E2646" s="2200" t="str">
        <f t="shared" si="124"/>
        <v>48</v>
      </c>
      <c r="F2646" s="2200" t="str">
        <f t="shared" si="125"/>
        <v>239</v>
      </c>
      <c r="G2646" s="2200">
        <f>--SUBTOTAL(3,C$2:C2646)</f>
        <v>67</v>
      </c>
    </row>
    <row r="2647" spans="1:7" hidden="1" x14ac:dyDescent="0.15">
      <c r="A2647" s="2200" t="s">
        <v>4280</v>
      </c>
      <c r="B2647" s="2200" t="s">
        <v>9571</v>
      </c>
      <c r="C2647" s="2200" t="s">
        <v>9572</v>
      </c>
      <c r="D2647" s="2200" t="str">
        <f t="shared" si="123"/>
        <v>TX</v>
      </c>
      <c r="E2647" s="2200" t="str">
        <f t="shared" si="124"/>
        <v>48</v>
      </c>
      <c r="F2647" s="2200" t="str">
        <f t="shared" si="125"/>
        <v>241</v>
      </c>
      <c r="G2647" s="2200">
        <f>--SUBTOTAL(3,C$2:C2647)</f>
        <v>67</v>
      </c>
    </row>
    <row r="2648" spans="1:7" hidden="1" x14ac:dyDescent="0.15">
      <c r="A2648" s="2200" t="s">
        <v>4280</v>
      </c>
      <c r="B2648" s="2200" t="s">
        <v>9573</v>
      </c>
      <c r="C2648" s="2200" t="s">
        <v>9574</v>
      </c>
      <c r="D2648" s="2200" t="str">
        <f t="shared" si="123"/>
        <v>TX</v>
      </c>
      <c r="E2648" s="2200" t="str">
        <f t="shared" si="124"/>
        <v>48</v>
      </c>
      <c r="F2648" s="2200" t="str">
        <f t="shared" si="125"/>
        <v>243</v>
      </c>
      <c r="G2648" s="2200">
        <f>--SUBTOTAL(3,C$2:C2648)</f>
        <v>67</v>
      </c>
    </row>
    <row r="2649" spans="1:7" hidden="1" x14ac:dyDescent="0.15">
      <c r="A2649" s="2200" t="s">
        <v>4280</v>
      </c>
      <c r="B2649" s="2200" t="s">
        <v>9575</v>
      </c>
      <c r="C2649" s="2200" t="s">
        <v>9576</v>
      </c>
      <c r="D2649" s="2200" t="str">
        <f t="shared" si="123"/>
        <v>TX</v>
      </c>
      <c r="E2649" s="2200" t="str">
        <f t="shared" si="124"/>
        <v>48</v>
      </c>
      <c r="F2649" s="2200" t="str">
        <f t="shared" si="125"/>
        <v>245</v>
      </c>
      <c r="G2649" s="2200">
        <f>--SUBTOTAL(3,C$2:C2649)</f>
        <v>67</v>
      </c>
    </row>
    <row r="2650" spans="1:7" hidden="1" x14ac:dyDescent="0.15">
      <c r="A2650" s="2200" t="s">
        <v>4280</v>
      </c>
      <c r="B2650" s="2200" t="s">
        <v>9577</v>
      </c>
      <c r="C2650" s="2200" t="s">
        <v>9578</v>
      </c>
      <c r="D2650" s="2200" t="str">
        <f t="shared" si="123"/>
        <v>TX</v>
      </c>
      <c r="E2650" s="2200" t="str">
        <f t="shared" si="124"/>
        <v>48</v>
      </c>
      <c r="F2650" s="2200" t="str">
        <f t="shared" si="125"/>
        <v>247</v>
      </c>
      <c r="G2650" s="2200">
        <f>--SUBTOTAL(3,C$2:C2650)</f>
        <v>67</v>
      </c>
    </row>
    <row r="2651" spans="1:7" hidden="1" x14ac:dyDescent="0.15">
      <c r="A2651" s="2200" t="s">
        <v>4280</v>
      </c>
      <c r="B2651" s="2200" t="s">
        <v>9579</v>
      </c>
      <c r="C2651" s="2200" t="s">
        <v>9580</v>
      </c>
      <c r="D2651" s="2200" t="str">
        <f t="shared" si="123"/>
        <v>TX</v>
      </c>
      <c r="E2651" s="2200" t="str">
        <f t="shared" si="124"/>
        <v>48</v>
      </c>
      <c r="F2651" s="2200" t="str">
        <f t="shared" si="125"/>
        <v>249</v>
      </c>
      <c r="G2651" s="2200">
        <f>--SUBTOTAL(3,C$2:C2651)</f>
        <v>67</v>
      </c>
    </row>
    <row r="2652" spans="1:7" hidden="1" x14ac:dyDescent="0.15">
      <c r="A2652" s="2200" t="s">
        <v>4280</v>
      </c>
      <c r="B2652" s="2200" t="s">
        <v>9581</v>
      </c>
      <c r="C2652" s="2200" t="s">
        <v>9582</v>
      </c>
      <c r="D2652" s="2200" t="str">
        <f t="shared" si="123"/>
        <v>TX</v>
      </c>
      <c r="E2652" s="2200" t="str">
        <f t="shared" si="124"/>
        <v>48</v>
      </c>
      <c r="F2652" s="2200" t="str">
        <f t="shared" si="125"/>
        <v>251</v>
      </c>
      <c r="G2652" s="2200">
        <f>--SUBTOTAL(3,C$2:C2652)</f>
        <v>67</v>
      </c>
    </row>
    <row r="2653" spans="1:7" hidden="1" x14ac:dyDescent="0.15">
      <c r="A2653" s="2200" t="s">
        <v>4280</v>
      </c>
      <c r="B2653" s="2200" t="s">
        <v>9583</v>
      </c>
      <c r="C2653" s="2200" t="s">
        <v>9584</v>
      </c>
      <c r="D2653" s="2200" t="str">
        <f t="shared" si="123"/>
        <v>TX</v>
      </c>
      <c r="E2653" s="2200" t="str">
        <f t="shared" si="124"/>
        <v>48</v>
      </c>
      <c r="F2653" s="2200" t="str">
        <f t="shared" si="125"/>
        <v>253</v>
      </c>
      <c r="G2653" s="2200">
        <f>--SUBTOTAL(3,C$2:C2653)</f>
        <v>67</v>
      </c>
    </row>
    <row r="2654" spans="1:7" hidden="1" x14ac:dyDescent="0.15">
      <c r="A2654" s="2200" t="s">
        <v>4280</v>
      </c>
      <c r="B2654" s="2200" t="s">
        <v>9585</v>
      </c>
      <c r="C2654" s="2200" t="s">
        <v>9586</v>
      </c>
      <c r="D2654" s="2200" t="str">
        <f t="shared" si="123"/>
        <v>TX</v>
      </c>
      <c r="E2654" s="2200" t="str">
        <f t="shared" si="124"/>
        <v>48</v>
      </c>
      <c r="F2654" s="2200" t="str">
        <f t="shared" si="125"/>
        <v>255</v>
      </c>
      <c r="G2654" s="2200">
        <f>--SUBTOTAL(3,C$2:C2654)</f>
        <v>67</v>
      </c>
    </row>
    <row r="2655" spans="1:7" hidden="1" x14ac:dyDescent="0.15">
      <c r="A2655" s="2200" t="s">
        <v>4280</v>
      </c>
      <c r="B2655" s="2200" t="s">
        <v>9587</v>
      </c>
      <c r="C2655" s="2200" t="s">
        <v>9588</v>
      </c>
      <c r="D2655" s="2200" t="str">
        <f t="shared" si="123"/>
        <v>TX</v>
      </c>
      <c r="E2655" s="2200" t="str">
        <f t="shared" si="124"/>
        <v>48</v>
      </c>
      <c r="F2655" s="2200" t="str">
        <f t="shared" si="125"/>
        <v>257</v>
      </c>
      <c r="G2655" s="2200">
        <f>--SUBTOTAL(3,C$2:C2655)</f>
        <v>67</v>
      </c>
    </row>
    <row r="2656" spans="1:7" hidden="1" x14ac:dyDescent="0.15">
      <c r="A2656" s="2200" t="s">
        <v>4280</v>
      </c>
      <c r="B2656" s="2200" t="s">
        <v>9589</v>
      </c>
      <c r="C2656" s="2200" t="s">
        <v>9590</v>
      </c>
      <c r="D2656" s="2200" t="str">
        <f t="shared" si="123"/>
        <v>TX</v>
      </c>
      <c r="E2656" s="2200" t="str">
        <f t="shared" si="124"/>
        <v>48</v>
      </c>
      <c r="F2656" s="2200" t="str">
        <f t="shared" si="125"/>
        <v>259</v>
      </c>
      <c r="G2656" s="2200">
        <f>--SUBTOTAL(3,C$2:C2656)</f>
        <v>67</v>
      </c>
    </row>
    <row r="2657" spans="1:7" hidden="1" x14ac:dyDescent="0.15">
      <c r="A2657" s="2200" t="s">
        <v>4280</v>
      </c>
      <c r="B2657" s="2200" t="s">
        <v>9591</v>
      </c>
      <c r="C2657" s="2200" t="s">
        <v>9592</v>
      </c>
      <c r="D2657" s="2200" t="str">
        <f t="shared" si="123"/>
        <v>TX</v>
      </c>
      <c r="E2657" s="2200" t="str">
        <f t="shared" si="124"/>
        <v>48</v>
      </c>
      <c r="F2657" s="2200" t="str">
        <f t="shared" si="125"/>
        <v>261</v>
      </c>
      <c r="G2657" s="2200">
        <f>--SUBTOTAL(3,C$2:C2657)</f>
        <v>67</v>
      </c>
    </row>
    <row r="2658" spans="1:7" hidden="1" x14ac:dyDescent="0.15">
      <c r="A2658" s="2200" t="s">
        <v>4280</v>
      </c>
      <c r="B2658" s="2200" t="s">
        <v>9593</v>
      </c>
      <c r="C2658" s="2200" t="s">
        <v>9594</v>
      </c>
      <c r="D2658" s="2200" t="str">
        <f t="shared" si="123"/>
        <v>TX</v>
      </c>
      <c r="E2658" s="2200" t="str">
        <f t="shared" si="124"/>
        <v>48</v>
      </c>
      <c r="F2658" s="2200" t="str">
        <f t="shared" si="125"/>
        <v>263</v>
      </c>
      <c r="G2658" s="2200">
        <f>--SUBTOTAL(3,C$2:C2658)</f>
        <v>67</v>
      </c>
    </row>
    <row r="2659" spans="1:7" hidden="1" x14ac:dyDescent="0.15">
      <c r="A2659" s="2200" t="s">
        <v>4280</v>
      </c>
      <c r="B2659" s="2200" t="s">
        <v>9595</v>
      </c>
      <c r="C2659" s="2200" t="s">
        <v>9596</v>
      </c>
      <c r="D2659" s="2200" t="str">
        <f t="shared" si="123"/>
        <v>TX</v>
      </c>
      <c r="E2659" s="2200" t="str">
        <f t="shared" si="124"/>
        <v>48</v>
      </c>
      <c r="F2659" s="2200" t="str">
        <f t="shared" si="125"/>
        <v>265</v>
      </c>
      <c r="G2659" s="2200">
        <f>--SUBTOTAL(3,C$2:C2659)</f>
        <v>67</v>
      </c>
    </row>
    <row r="2660" spans="1:7" hidden="1" x14ac:dyDescent="0.15">
      <c r="A2660" s="2200" t="s">
        <v>4280</v>
      </c>
      <c r="B2660" s="2200" t="s">
        <v>9597</v>
      </c>
      <c r="C2660" s="2200" t="s">
        <v>9598</v>
      </c>
      <c r="D2660" s="2200" t="str">
        <f t="shared" si="123"/>
        <v>TX</v>
      </c>
      <c r="E2660" s="2200" t="str">
        <f t="shared" si="124"/>
        <v>48</v>
      </c>
      <c r="F2660" s="2200" t="str">
        <f t="shared" si="125"/>
        <v>267</v>
      </c>
      <c r="G2660" s="2200">
        <f>--SUBTOTAL(3,C$2:C2660)</f>
        <v>67</v>
      </c>
    </row>
    <row r="2661" spans="1:7" hidden="1" x14ac:dyDescent="0.15">
      <c r="A2661" s="2200" t="s">
        <v>4280</v>
      </c>
      <c r="B2661" s="2200" t="s">
        <v>9599</v>
      </c>
      <c r="C2661" s="2200" t="s">
        <v>9600</v>
      </c>
      <c r="D2661" s="2200" t="str">
        <f t="shared" si="123"/>
        <v>TX</v>
      </c>
      <c r="E2661" s="2200" t="str">
        <f t="shared" si="124"/>
        <v>48</v>
      </c>
      <c r="F2661" s="2200" t="str">
        <f t="shared" si="125"/>
        <v>269</v>
      </c>
      <c r="G2661" s="2200">
        <f>--SUBTOTAL(3,C$2:C2661)</f>
        <v>67</v>
      </c>
    </row>
    <row r="2662" spans="1:7" hidden="1" x14ac:dyDescent="0.15">
      <c r="A2662" s="2200" t="s">
        <v>4280</v>
      </c>
      <c r="B2662" s="2200" t="s">
        <v>9601</v>
      </c>
      <c r="C2662" s="2200" t="s">
        <v>9602</v>
      </c>
      <c r="D2662" s="2200" t="str">
        <f t="shared" si="123"/>
        <v>TX</v>
      </c>
      <c r="E2662" s="2200" t="str">
        <f t="shared" si="124"/>
        <v>48</v>
      </c>
      <c r="F2662" s="2200" t="str">
        <f t="shared" si="125"/>
        <v>271</v>
      </c>
      <c r="G2662" s="2200">
        <f>--SUBTOTAL(3,C$2:C2662)</f>
        <v>67</v>
      </c>
    </row>
    <row r="2663" spans="1:7" hidden="1" x14ac:dyDescent="0.15">
      <c r="A2663" s="2200" t="s">
        <v>4280</v>
      </c>
      <c r="B2663" s="2200" t="s">
        <v>9603</v>
      </c>
      <c r="C2663" s="2200" t="s">
        <v>9604</v>
      </c>
      <c r="D2663" s="2200" t="str">
        <f t="shared" si="123"/>
        <v>TX</v>
      </c>
      <c r="E2663" s="2200" t="str">
        <f t="shared" si="124"/>
        <v>48</v>
      </c>
      <c r="F2663" s="2200" t="str">
        <f t="shared" si="125"/>
        <v>273</v>
      </c>
      <c r="G2663" s="2200">
        <f>--SUBTOTAL(3,C$2:C2663)</f>
        <v>67</v>
      </c>
    </row>
    <row r="2664" spans="1:7" hidden="1" x14ac:dyDescent="0.15">
      <c r="A2664" s="2200" t="s">
        <v>4280</v>
      </c>
      <c r="B2664" s="2200" t="s">
        <v>9605</v>
      </c>
      <c r="C2664" s="2200" t="s">
        <v>9606</v>
      </c>
      <c r="D2664" s="2200" t="str">
        <f t="shared" si="123"/>
        <v>TX</v>
      </c>
      <c r="E2664" s="2200" t="str">
        <f t="shared" si="124"/>
        <v>48</v>
      </c>
      <c r="F2664" s="2200" t="str">
        <f t="shared" si="125"/>
        <v>275</v>
      </c>
      <c r="G2664" s="2200">
        <f>--SUBTOTAL(3,C$2:C2664)</f>
        <v>67</v>
      </c>
    </row>
    <row r="2665" spans="1:7" hidden="1" x14ac:dyDescent="0.15">
      <c r="A2665" s="2200" t="s">
        <v>4280</v>
      </c>
      <c r="B2665" s="2200" t="s">
        <v>9607</v>
      </c>
      <c r="C2665" s="2200" t="s">
        <v>9608</v>
      </c>
      <c r="D2665" s="2200" t="str">
        <f t="shared" si="123"/>
        <v>TX</v>
      </c>
      <c r="E2665" s="2200" t="str">
        <f t="shared" si="124"/>
        <v>48</v>
      </c>
      <c r="F2665" s="2200" t="str">
        <f t="shared" si="125"/>
        <v>277</v>
      </c>
      <c r="G2665" s="2200">
        <f>--SUBTOTAL(3,C$2:C2665)</f>
        <v>67</v>
      </c>
    </row>
    <row r="2666" spans="1:7" hidden="1" x14ac:dyDescent="0.15">
      <c r="A2666" s="2200" t="s">
        <v>4280</v>
      </c>
      <c r="B2666" s="2200" t="s">
        <v>9609</v>
      </c>
      <c r="C2666" s="2200" t="s">
        <v>9610</v>
      </c>
      <c r="D2666" s="2200" t="str">
        <f t="shared" si="123"/>
        <v>TX</v>
      </c>
      <c r="E2666" s="2200" t="str">
        <f t="shared" si="124"/>
        <v>48</v>
      </c>
      <c r="F2666" s="2200" t="str">
        <f t="shared" si="125"/>
        <v>279</v>
      </c>
      <c r="G2666" s="2200">
        <f>--SUBTOTAL(3,C$2:C2666)</f>
        <v>67</v>
      </c>
    </row>
    <row r="2667" spans="1:7" hidden="1" x14ac:dyDescent="0.15">
      <c r="A2667" s="2200" t="s">
        <v>4280</v>
      </c>
      <c r="B2667" s="2200" t="s">
        <v>9611</v>
      </c>
      <c r="C2667" s="2200" t="s">
        <v>9612</v>
      </c>
      <c r="D2667" s="2200" t="str">
        <f t="shared" si="123"/>
        <v>TX</v>
      </c>
      <c r="E2667" s="2200" t="str">
        <f t="shared" si="124"/>
        <v>48</v>
      </c>
      <c r="F2667" s="2200" t="str">
        <f t="shared" si="125"/>
        <v>281</v>
      </c>
      <c r="G2667" s="2200">
        <f>--SUBTOTAL(3,C$2:C2667)</f>
        <v>67</v>
      </c>
    </row>
    <row r="2668" spans="1:7" hidden="1" x14ac:dyDescent="0.15">
      <c r="A2668" s="2200" t="s">
        <v>4280</v>
      </c>
      <c r="B2668" s="2200" t="s">
        <v>9613</v>
      </c>
      <c r="C2668" s="2200" t="s">
        <v>9614</v>
      </c>
      <c r="D2668" s="2200" t="str">
        <f t="shared" si="123"/>
        <v>TX</v>
      </c>
      <c r="E2668" s="2200" t="str">
        <f t="shared" si="124"/>
        <v>48</v>
      </c>
      <c r="F2668" s="2200" t="str">
        <f t="shared" si="125"/>
        <v>283</v>
      </c>
      <c r="G2668" s="2200">
        <f>--SUBTOTAL(3,C$2:C2668)</f>
        <v>67</v>
      </c>
    </row>
    <row r="2669" spans="1:7" hidden="1" x14ac:dyDescent="0.15">
      <c r="A2669" s="2200" t="s">
        <v>4280</v>
      </c>
      <c r="B2669" s="2200" t="s">
        <v>9615</v>
      </c>
      <c r="C2669" s="2200" t="s">
        <v>9616</v>
      </c>
      <c r="D2669" s="2200" t="str">
        <f t="shared" si="123"/>
        <v>TX</v>
      </c>
      <c r="E2669" s="2200" t="str">
        <f t="shared" si="124"/>
        <v>48</v>
      </c>
      <c r="F2669" s="2200" t="str">
        <f t="shared" si="125"/>
        <v>285</v>
      </c>
      <c r="G2669" s="2200">
        <f>--SUBTOTAL(3,C$2:C2669)</f>
        <v>67</v>
      </c>
    </row>
    <row r="2670" spans="1:7" hidden="1" x14ac:dyDescent="0.15">
      <c r="A2670" s="2200" t="s">
        <v>4280</v>
      </c>
      <c r="B2670" s="2200" t="s">
        <v>9617</v>
      </c>
      <c r="C2670" s="2200" t="s">
        <v>9618</v>
      </c>
      <c r="D2670" s="2200" t="str">
        <f t="shared" si="123"/>
        <v>TX</v>
      </c>
      <c r="E2670" s="2200" t="str">
        <f t="shared" si="124"/>
        <v>48</v>
      </c>
      <c r="F2670" s="2200" t="str">
        <f t="shared" si="125"/>
        <v>287</v>
      </c>
      <c r="G2670" s="2200">
        <f>--SUBTOTAL(3,C$2:C2670)</f>
        <v>67</v>
      </c>
    </row>
    <row r="2671" spans="1:7" hidden="1" x14ac:dyDescent="0.15">
      <c r="A2671" s="2200" t="s">
        <v>4280</v>
      </c>
      <c r="B2671" s="2200" t="s">
        <v>9619</v>
      </c>
      <c r="C2671" s="2200" t="s">
        <v>9620</v>
      </c>
      <c r="D2671" s="2200" t="str">
        <f t="shared" si="123"/>
        <v>TX</v>
      </c>
      <c r="E2671" s="2200" t="str">
        <f t="shared" si="124"/>
        <v>48</v>
      </c>
      <c r="F2671" s="2200" t="str">
        <f t="shared" si="125"/>
        <v>289</v>
      </c>
      <c r="G2671" s="2200">
        <f>--SUBTOTAL(3,C$2:C2671)</f>
        <v>67</v>
      </c>
    </row>
    <row r="2672" spans="1:7" hidden="1" x14ac:dyDescent="0.15">
      <c r="A2672" s="2200" t="s">
        <v>4280</v>
      </c>
      <c r="B2672" s="2200" t="s">
        <v>9621</v>
      </c>
      <c r="C2672" s="2200" t="s">
        <v>9622</v>
      </c>
      <c r="D2672" s="2200" t="str">
        <f t="shared" si="123"/>
        <v>TX</v>
      </c>
      <c r="E2672" s="2200" t="str">
        <f t="shared" si="124"/>
        <v>48</v>
      </c>
      <c r="F2672" s="2200" t="str">
        <f t="shared" si="125"/>
        <v>291</v>
      </c>
      <c r="G2672" s="2200">
        <f>--SUBTOTAL(3,C$2:C2672)</f>
        <v>67</v>
      </c>
    </row>
    <row r="2673" spans="1:7" hidden="1" x14ac:dyDescent="0.15">
      <c r="A2673" s="2200" t="s">
        <v>4280</v>
      </c>
      <c r="B2673" s="2200" t="s">
        <v>9623</v>
      </c>
      <c r="C2673" s="2200" t="s">
        <v>9624</v>
      </c>
      <c r="D2673" s="2200" t="str">
        <f t="shared" si="123"/>
        <v>TX</v>
      </c>
      <c r="E2673" s="2200" t="str">
        <f t="shared" si="124"/>
        <v>48</v>
      </c>
      <c r="F2673" s="2200" t="str">
        <f t="shared" si="125"/>
        <v>293</v>
      </c>
      <c r="G2673" s="2200">
        <f>--SUBTOTAL(3,C$2:C2673)</f>
        <v>67</v>
      </c>
    </row>
    <row r="2674" spans="1:7" hidden="1" x14ac:dyDescent="0.15">
      <c r="A2674" s="2200" t="s">
        <v>4280</v>
      </c>
      <c r="B2674" s="2200" t="s">
        <v>9625</v>
      </c>
      <c r="C2674" s="2200" t="s">
        <v>9626</v>
      </c>
      <c r="D2674" s="2200" t="str">
        <f t="shared" si="123"/>
        <v>TX</v>
      </c>
      <c r="E2674" s="2200" t="str">
        <f t="shared" si="124"/>
        <v>48</v>
      </c>
      <c r="F2674" s="2200" t="str">
        <f t="shared" si="125"/>
        <v>295</v>
      </c>
      <c r="G2674" s="2200">
        <f>--SUBTOTAL(3,C$2:C2674)</f>
        <v>67</v>
      </c>
    </row>
    <row r="2675" spans="1:7" hidden="1" x14ac:dyDescent="0.15">
      <c r="A2675" s="2200" t="s">
        <v>4280</v>
      </c>
      <c r="B2675" s="2200" t="s">
        <v>9627</v>
      </c>
      <c r="C2675" s="2200" t="s">
        <v>9628</v>
      </c>
      <c r="D2675" s="2200" t="str">
        <f t="shared" si="123"/>
        <v>TX</v>
      </c>
      <c r="E2675" s="2200" t="str">
        <f t="shared" si="124"/>
        <v>48</v>
      </c>
      <c r="F2675" s="2200" t="str">
        <f t="shared" si="125"/>
        <v>297</v>
      </c>
      <c r="G2675" s="2200">
        <f>--SUBTOTAL(3,C$2:C2675)</f>
        <v>67</v>
      </c>
    </row>
    <row r="2676" spans="1:7" hidden="1" x14ac:dyDescent="0.15">
      <c r="A2676" s="2200" t="s">
        <v>4280</v>
      </c>
      <c r="B2676" s="2200" t="s">
        <v>9629</v>
      </c>
      <c r="C2676" s="2200" t="s">
        <v>9630</v>
      </c>
      <c r="D2676" s="2200" t="str">
        <f t="shared" si="123"/>
        <v>TX</v>
      </c>
      <c r="E2676" s="2200" t="str">
        <f t="shared" si="124"/>
        <v>48</v>
      </c>
      <c r="F2676" s="2200" t="str">
        <f t="shared" si="125"/>
        <v>299</v>
      </c>
      <c r="G2676" s="2200">
        <f>--SUBTOTAL(3,C$2:C2676)</f>
        <v>67</v>
      </c>
    </row>
    <row r="2677" spans="1:7" hidden="1" x14ac:dyDescent="0.15">
      <c r="A2677" s="2200" t="s">
        <v>4280</v>
      </c>
      <c r="B2677" s="2200" t="s">
        <v>9631</v>
      </c>
      <c r="C2677" s="2200" t="s">
        <v>9632</v>
      </c>
      <c r="D2677" s="2200" t="str">
        <f t="shared" si="123"/>
        <v>TX</v>
      </c>
      <c r="E2677" s="2200" t="str">
        <f t="shared" si="124"/>
        <v>48</v>
      </c>
      <c r="F2677" s="2200" t="str">
        <f t="shared" si="125"/>
        <v>301</v>
      </c>
      <c r="G2677" s="2200">
        <f>--SUBTOTAL(3,C$2:C2677)</f>
        <v>67</v>
      </c>
    </row>
    <row r="2678" spans="1:7" hidden="1" x14ac:dyDescent="0.15">
      <c r="A2678" s="2200" t="s">
        <v>4280</v>
      </c>
      <c r="B2678" s="2200" t="s">
        <v>9633</v>
      </c>
      <c r="C2678" s="2200" t="s">
        <v>9634</v>
      </c>
      <c r="D2678" s="2200" t="str">
        <f t="shared" si="123"/>
        <v>TX</v>
      </c>
      <c r="E2678" s="2200" t="str">
        <f t="shared" si="124"/>
        <v>48</v>
      </c>
      <c r="F2678" s="2200" t="str">
        <f t="shared" si="125"/>
        <v>303</v>
      </c>
      <c r="G2678" s="2200">
        <f>--SUBTOTAL(3,C$2:C2678)</f>
        <v>67</v>
      </c>
    </row>
    <row r="2679" spans="1:7" hidden="1" x14ac:dyDescent="0.15">
      <c r="A2679" s="2200" t="s">
        <v>4280</v>
      </c>
      <c r="B2679" s="2200" t="s">
        <v>9635</v>
      </c>
      <c r="C2679" s="2200" t="s">
        <v>9636</v>
      </c>
      <c r="D2679" s="2200" t="str">
        <f t="shared" si="123"/>
        <v>TX</v>
      </c>
      <c r="E2679" s="2200" t="str">
        <f t="shared" si="124"/>
        <v>48</v>
      </c>
      <c r="F2679" s="2200" t="str">
        <f t="shared" si="125"/>
        <v>305</v>
      </c>
      <c r="G2679" s="2200">
        <f>--SUBTOTAL(3,C$2:C2679)</f>
        <v>67</v>
      </c>
    </row>
    <row r="2680" spans="1:7" hidden="1" x14ac:dyDescent="0.15">
      <c r="A2680" s="2200" t="s">
        <v>4280</v>
      </c>
      <c r="B2680" s="2200" t="s">
        <v>9637</v>
      </c>
      <c r="C2680" s="2200" t="s">
        <v>9638</v>
      </c>
      <c r="D2680" s="2200" t="str">
        <f t="shared" si="123"/>
        <v>TX</v>
      </c>
      <c r="E2680" s="2200" t="str">
        <f t="shared" si="124"/>
        <v>48</v>
      </c>
      <c r="F2680" s="2200" t="str">
        <f t="shared" si="125"/>
        <v>307</v>
      </c>
      <c r="G2680" s="2200">
        <f>--SUBTOTAL(3,C$2:C2680)</f>
        <v>67</v>
      </c>
    </row>
    <row r="2681" spans="1:7" hidden="1" x14ac:dyDescent="0.15">
      <c r="A2681" s="2200" t="s">
        <v>4280</v>
      </c>
      <c r="B2681" s="2200" t="s">
        <v>9639</v>
      </c>
      <c r="C2681" s="2200" t="s">
        <v>9640</v>
      </c>
      <c r="D2681" s="2200" t="str">
        <f t="shared" si="123"/>
        <v>TX</v>
      </c>
      <c r="E2681" s="2200" t="str">
        <f t="shared" si="124"/>
        <v>48</v>
      </c>
      <c r="F2681" s="2200" t="str">
        <f t="shared" si="125"/>
        <v>309</v>
      </c>
      <c r="G2681" s="2200">
        <f>--SUBTOTAL(3,C$2:C2681)</f>
        <v>67</v>
      </c>
    </row>
    <row r="2682" spans="1:7" hidden="1" x14ac:dyDescent="0.15">
      <c r="A2682" s="2200" t="s">
        <v>4280</v>
      </c>
      <c r="B2682" s="2200" t="s">
        <v>9641</v>
      </c>
      <c r="C2682" s="2200" t="s">
        <v>9642</v>
      </c>
      <c r="D2682" s="2200" t="str">
        <f t="shared" si="123"/>
        <v>TX</v>
      </c>
      <c r="E2682" s="2200" t="str">
        <f t="shared" si="124"/>
        <v>48</v>
      </c>
      <c r="F2682" s="2200" t="str">
        <f t="shared" si="125"/>
        <v>311</v>
      </c>
      <c r="G2682" s="2200">
        <f>--SUBTOTAL(3,C$2:C2682)</f>
        <v>67</v>
      </c>
    </row>
    <row r="2683" spans="1:7" hidden="1" x14ac:dyDescent="0.15">
      <c r="A2683" s="2200" t="s">
        <v>4280</v>
      </c>
      <c r="B2683" s="2200" t="s">
        <v>9643</v>
      </c>
      <c r="C2683" s="2200" t="s">
        <v>9644</v>
      </c>
      <c r="D2683" s="2200" t="str">
        <f t="shared" si="123"/>
        <v>TX</v>
      </c>
      <c r="E2683" s="2200" t="str">
        <f t="shared" si="124"/>
        <v>48</v>
      </c>
      <c r="F2683" s="2200" t="str">
        <f t="shared" si="125"/>
        <v>313</v>
      </c>
      <c r="G2683" s="2200">
        <f>--SUBTOTAL(3,C$2:C2683)</f>
        <v>67</v>
      </c>
    </row>
    <row r="2684" spans="1:7" hidden="1" x14ac:dyDescent="0.15">
      <c r="A2684" s="2200" t="s">
        <v>4280</v>
      </c>
      <c r="B2684" s="2200" t="s">
        <v>9645</v>
      </c>
      <c r="C2684" s="2200" t="s">
        <v>9646</v>
      </c>
      <c r="D2684" s="2200" t="str">
        <f t="shared" si="123"/>
        <v>TX</v>
      </c>
      <c r="E2684" s="2200" t="str">
        <f t="shared" si="124"/>
        <v>48</v>
      </c>
      <c r="F2684" s="2200" t="str">
        <f t="shared" si="125"/>
        <v>315</v>
      </c>
      <c r="G2684" s="2200">
        <f>--SUBTOTAL(3,C$2:C2684)</f>
        <v>67</v>
      </c>
    </row>
    <row r="2685" spans="1:7" hidden="1" x14ac:dyDescent="0.15">
      <c r="A2685" s="2200" t="s">
        <v>4280</v>
      </c>
      <c r="B2685" s="2200" t="s">
        <v>9647</v>
      </c>
      <c r="C2685" s="2200" t="s">
        <v>9648</v>
      </c>
      <c r="D2685" s="2200" t="str">
        <f t="shared" si="123"/>
        <v>TX</v>
      </c>
      <c r="E2685" s="2200" t="str">
        <f t="shared" si="124"/>
        <v>48</v>
      </c>
      <c r="F2685" s="2200" t="str">
        <f t="shared" si="125"/>
        <v>317</v>
      </c>
      <c r="G2685" s="2200">
        <f>--SUBTOTAL(3,C$2:C2685)</f>
        <v>67</v>
      </c>
    </row>
    <row r="2686" spans="1:7" hidden="1" x14ac:dyDescent="0.15">
      <c r="A2686" s="2200" t="s">
        <v>4280</v>
      </c>
      <c r="B2686" s="2200" t="s">
        <v>9649</v>
      </c>
      <c r="C2686" s="2200" t="s">
        <v>9650</v>
      </c>
      <c r="D2686" s="2200" t="str">
        <f t="shared" si="123"/>
        <v>TX</v>
      </c>
      <c r="E2686" s="2200" t="str">
        <f t="shared" si="124"/>
        <v>48</v>
      </c>
      <c r="F2686" s="2200" t="str">
        <f t="shared" si="125"/>
        <v>319</v>
      </c>
      <c r="G2686" s="2200">
        <f>--SUBTOTAL(3,C$2:C2686)</f>
        <v>67</v>
      </c>
    </row>
    <row r="2687" spans="1:7" hidden="1" x14ac:dyDescent="0.15">
      <c r="A2687" s="2200" t="s">
        <v>4280</v>
      </c>
      <c r="B2687" s="2200" t="s">
        <v>9651</v>
      </c>
      <c r="C2687" s="2200" t="s">
        <v>9652</v>
      </c>
      <c r="D2687" s="2200" t="str">
        <f t="shared" si="123"/>
        <v>TX</v>
      </c>
      <c r="E2687" s="2200" t="str">
        <f t="shared" si="124"/>
        <v>48</v>
      </c>
      <c r="F2687" s="2200" t="str">
        <f t="shared" si="125"/>
        <v>321</v>
      </c>
      <c r="G2687" s="2200">
        <f>--SUBTOTAL(3,C$2:C2687)</f>
        <v>67</v>
      </c>
    </row>
    <row r="2688" spans="1:7" hidden="1" x14ac:dyDescent="0.15">
      <c r="A2688" s="2200" t="s">
        <v>4280</v>
      </c>
      <c r="B2688" s="2200" t="s">
        <v>9653</v>
      </c>
      <c r="C2688" s="2200" t="s">
        <v>9654</v>
      </c>
      <c r="D2688" s="2200" t="str">
        <f t="shared" si="123"/>
        <v>TX</v>
      </c>
      <c r="E2688" s="2200" t="str">
        <f t="shared" si="124"/>
        <v>48</v>
      </c>
      <c r="F2688" s="2200" t="str">
        <f t="shared" si="125"/>
        <v>323</v>
      </c>
      <c r="G2688" s="2200">
        <f>--SUBTOTAL(3,C$2:C2688)</f>
        <v>67</v>
      </c>
    </row>
    <row r="2689" spans="1:7" hidden="1" x14ac:dyDescent="0.15">
      <c r="A2689" s="2200" t="s">
        <v>4280</v>
      </c>
      <c r="B2689" s="2200" t="s">
        <v>9655</v>
      </c>
      <c r="C2689" s="2200" t="s">
        <v>9656</v>
      </c>
      <c r="D2689" s="2200" t="str">
        <f t="shared" si="123"/>
        <v>TX</v>
      </c>
      <c r="E2689" s="2200" t="str">
        <f t="shared" si="124"/>
        <v>48</v>
      </c>
      <c r="F2689" s="2200" t="str">
        <f t="shared" si="125"/>
        <v>325</v>
      </c>
      <c r="G2689" s="2200">
        <f>--SUBTOTAL(3,C$2:C2689)</f>
        <v>67</v>
      </c>
    </row>
    <row r="2690" spans="1:7" hidden="1" x14ac:dyDescent="0.15">
      <c r="A2690" s="2200" t="s">
        <v>4280</v>
      </c>
      <c r="B2690" s="2200" t="s">
        <v>9657</v>
      </c>
      <c r="C2690" s="2200" t="s">
        <v>9658</v>
      </c>
      <c r="D2690" s="2200" t="str">
        <f t="shared" si="123"/>
        <v>TX</v>
      </c>
      <c r="E2690" s="2200" t="str">
        <f t="shared" si="124"/>
        <v>48</v>
      </c>
      <c r="F2690" s="2200" t="str">
        <f t="shared" si="125"/>
        <v>327</v>
      </c>
      <c r="G2690" s="2200">
        <f>--SUBTOTAL(3,C$2:C2690)</f>
        <v>67</v>
      </c>
    </row>
    <row r="2691" spans="1:7" hidden="1" x14ac:dyDescent="0.15">
      <c r="A2691" s="2200" t="s">
        <v>4280</v>
      </c>
      <c r="B2691" s="2200" t="s">
        <v>9659</v>
      </c>
      <c r="C2691" s="2200" t="s">
        <v>9660</v>
      </c>
      <c r="D2691" s="2200" t="str">
        <f t="shared" ref="D2691:D2754" si="126">RIGHT(C2691,2)</f>
        <v>TX</v>
      </c>
      <c r="E2691" s="2200" t="str">
        <f t="shared" ref="E2691:E2754" si="127">MID(B2691,3,2)</f>
        <v>48</v>
      </c>
      <c r="F2691" s="2200" t="str">
        <f t="shared" ref="F2691:F2754" si="128">MID(B2691,5,3)</f>
        <v>329</v>
      </c>
      <c r="G2691" s="2200">
        <f>--SUBTOTAL(3,C$2:C2691)</f>
        <v>67</v>
      </c>
    </row>
    <row r="2692" spans="1:7" hidden="1" x14ac:dyDescent="0.15">
      <c r="A2692" s="2200" t="s">
        <v>4280</v>
      </c>
      <c r="B2692" s="2200" t="s">
        <v>9661</v>
      </c>
      <c r="C2692" s="2200" t="s">
        <v>9662</v>
      </c>
      <c r="D2692" s="2200" t="str">
        <f t="shared" si="126"/>
        <v>TX</v>
      </c>
      <c r="E2692" s="2200" t="str">
        <f t="shared" si="127"/>
        <v>48</v>
      </c>
      <c r="F2692" s="2200" t="str">
        <f t="shared" si="128"/>
        <v>331</v>
      </c>
      <c r="G2692" s="2200">
        <f>--SUBTOTAL(3,C$2:C2692)</f>
        <v>67</v>
      </c>
    </row>
    <row r="2693" spans="1:7" hidden="1" x14ac:dyDescent="0.15">
      <c r="A2693" s="2200" t="s">
        <v>4280</v>
      </c>
      <c r="B2693" s="2200" t="s">
        <v>9663</v>
      </c>
      <c r="C2693" s="2200" t="s">
        <v>9664</v>
      </c>
      <c r="D2693" s="2200" t="str">
        <f t="shared" si="126"/>
        <v>TX</v>
      </c>
      <c r="E2693" s="2200" t="str">
        <f t="shared" si="127"/>
        <v>48</v>
      </c>
      <c r="F2693" s="2200" t="str">
        <f t="shared" si="128"/>
        <v>333</v>
      </c>
      <c r="G2693" s="2200">
        <f>--SUBTOTAL(3,C$2:C2693)</f>
        <v>67</v>
      </c>
    </row>
    <row r="2694" spans="1:7" hidden="1" x14ac:dyDescent="0.15">
      <c r="A2694" s="2200" t="s">
        <v>4280</v>
      </c>
      <c r="B2694" s="2200" t="s">
        <v>9665</v>
      </c>
      <c r="C2694" s="2200" t="s">
        <v>9666</v>
      </c>
      <c r="D2694" s="2200" t="str">
        <f t="shared" si="126"/>
        <v>TX</v>
      </c>
      <c r="E2694" s="2200" t="str">
        <f t="shared" si="127"/>
        <v>48</v>
      </c>
      <c r="F2694" s="2200" t="str">
        <f t="shared" si="128"/>
        <v>335</v>
      </c>
      <c r="G2694" s="2200">
        <f>--SUBTOTAL(3,C$2:C2694)</f>
        <v>67</v>
      </c>
    </row>
    <row r="2695" spans="1:7" hidden="1" x14ac:dyDescent="0.15">
      <c r="A2695" s="2200" t="s">
        <v>4280</v>
      </c>
      <c r="B2695" s="2200" t="s">
        <v>9667</v>
      </c>
      <c r="C2695" s="2200" t="s">
        <v>9668</v>
      </c>
      <c r="D2695" s="2200" t="str">
        <f t="shared" si="126"/>
        <v>TX</v>
      </c>
      <c r="E2695" s="2200" t="str">
        <f t="shared" si="127"/>
        <v>48</v>
      </c>
      <c r="F2695" s="2200" t="str">
        <f t="shared" si="128"/>
        <v>337</v>
      </c>
      <c r="G2695" s="2200">
        <f>--SUBTOTAL(3,C$2:C2695)</f>
        <v>67</v>
      </c>
    </row>
    <row r="2696" spans="1:7" hidden="1" x14ac:dyDescent="0.15">
      <c r="A2696" s="2200" t="s">
        <v>4280</v>
      </c>
      <c r="B2696" s="2200" t="s">
        <v>1868</v>
      </c>
      <c r="C2696" s="2200" t="s">
        <v>1863</v>
      </c>
      <c r="D2696" s="2200" t="str">
        <f t="shared" si="126"/>
        <v>TX</v>
      </c>
      <c r="E2696" s="2200" t="str">
        <f t="shared" si="127"/>
        <v>48</v>
      </c>
      <c r="F2696" s="2200" t="str">
        <f t="shared" si="128"/>
        <v>339</v>
      </c>
      <c r="G2696" s="2200">
        <f>--SUBTOTAL(3,C$2:C2696)</f>
        <v>67</v>
      </c>
    </row>
    <row r="2697" spans="1:7" hidden="1" x14ac:dyDescent="0.15">
      <c r="A2697" s="2200" t="s">
        <v>4280</v>
      </c>
      <c r="B2697" s="2200" t="s">
        <v>9669</v>
      </c>
      <c r="C2697" s="2200" t="s">
        <v>9670</v>
      </c>
      <c r="D2697" s="2200" t="str">
        <f t="shared" si="126"/>
        <v>TX</v>
      </c>
      <c r="E2697" s="2200" t="str">
        <f t="shared" si="127"/>
        <v>48</v>
      </c>
      <c r="F2697" s="2200" t="str">
        <f t="shared" si="128"/>
        <v>341</v>
      </c>
      <c r="G2697" s="2200">
        <f>--SUBTOTAL(3,C$2:C2697)</f>
        <v>67</v>
      </c>
    </row>
    <row r="2698" spans="1:7" hidden="1" x14ac:dyDescent="0.15">
      <c r="A2698" s="2200" t="s">
        <v>4280</v>
      </c>
      <c r="B2698" s="2200" t="s">
        <v>9671</v>
      </c>
      <c r="C2698" s="2200" t="s">
        <v>9672</v>
      </c>
      <c r="D2698" s="2200" t="str">
        <f t="shared" si="126"/>
        <v>TX</v>
      </c>
      <c r="E2698" s="2200" t="str">
        <f t="shared" si="127"/>
        <v>48</v>
      </c>
      <c r="F2698" s="2200" t="str">
        <f t="shared" si="128"/>
        <v>343</v>
      </c>
      <c r="G2698" s="2200">
        <f>--SUBTOTAL(3,C$2:C2698)</f>
        <v>67</v>
      </c>
    </row>
    <row r="2699" spans="1:7" hidden="1" x14ac:dyDescent="0.15">
      <c r="A2699" s="2200" t="s">
        <v>4280</v>
      </c>
      <c r="B2699" s="2200" t="s">
        <v>9673</v>
      </c>
      <c r="C2699" s="2200" t="s">
        <v>9674</v>
      </c>
      <c r="D2699" s="2200" t="str">
        <f t="shared" si="126"/>
        <v>TX</v>
      </c>
      <c r="E2699" s="2200" t="str">
        <f t="shared" si="127"/>
        <v>48</v>
      </c>
      <c r="F2699" s="2200" t="str">
        <f t="shared" si="128"/>
        <v>345</v>
      </c>
      <c r="G2699" s="2200">
        <f>--SUBTOTAL(3,C$2:C2699)</f>
        <v>67</v>
      </c>
    </row>
    <row r="2700" spans="1:7" hidden="1" x14ac:dyDescent="0.15">
      <c r="A2700" s="2200" t="s">
        <v>4280</v>
      </c>
      <c r="B2700" s="2200" t="s">
        <v>9675</v>
      </c>
      <c r="C2700" s="2200" t="s">
        <v>9676</v>
      </c>
      <c r="D2700" s="2200" t="str">
        <f t="shared" si="126"/>
        <v>TX</v>
      </c>
      <c r="E2700" s="2200" t="str">
        <f t="shared" si="127"/>
        <v>48</v>
      </c>
      <c r="F2700" s="2200" t="str">
        <f t="shared" si="128"/>
        <v>347</v>
      </c>
      <c r="G2700" s="2200">
        <f>--SUBTOTAL(3,C$2:C2700)</f>
        <v>67</v>
      </c>
    </row>
    <row r="2701" spans="1:7" hidden="1" x14ac:dyDescent="0.15">
      <c r="A2701" s="2200" t="s">
        <v>4280</v>
      </c>
      <c r="B2701" s="2200" t="s">
        <v>9677</v>
      </c>
      <c r="C2701" s="2200" t="s">
        <v>9678</v>
      </c>
      <c r="D2701" s="2200" t="str">
        <f t="shared" si="126"/>
        <v>TX</v>
      </c>
      <c r="E2701" s="2200" t="str">
        <f t="shared" si="127"/>
        <v>48</v>
      </c>
      <c r="F2701" s="2200" t="str">
        <f t="shared" si="128"/>
        <v>349</v>
      </c>
      <c r="G2701" s="2200">
        <f>--SUBTOTAL(3,C$2:C2701)</f>
        <v>67</v>
      </c>
    </row>
    <row r="2702" spans="1:7" hidden="1" x14ac:dyDescent="0.15">
      <c r="A2702" s="2200" t="s">
        <v>4280</v>
      </c>
      <c r="B2702" s="2200" t="s">
        <v>9679</v>
      </c>
      <c r="C2702" s="2200" t="s">
        <v>9680</v>
      </c>
      <c r="D2702" s="2200" t="str">
        <f t="shared" si="126"/>
        <v>TX</v>
      </c>
      <c r="E2702" s="2200" t="str">
        <f t="shared" si="127"/>
        <v>48</v>
      </c>
      <c r="F2702" s="2200" t="str">
        <f t="shared" si="128"/>
        <v>351</v>
      </c>
      <c r="G2702" s="2200">
        <f>--SUBTOTAL(3,C$2:C2702)</f>
        <v>67</v>
      </c>
    </row>
    <row r="2703" spans="1:7" hidden="1" x14ac:dyDescent="0.15">
      <c r="A2703" s="2200" t="s">
        <v>4280</v>
      </c>
      <c r="B2703" s="2200" t="s">
        <v>9681</v>
      </c>
      <c r="C2703" s="2200" t="s">
        <v>9682</v>
      </c>
      <c r="D2703" s="2200" t="str">
        <f t="shared" si="126"/>
        <v>TX</v>
      </c>
      <c r="E2703" s="2200" t="str">
        <f t="shared" si="127"/>
        <v>48</v>
      </c>
      <c r="F2703" s="2200" t="str">
        <f t="shared" si="128"/>
        <v>353</v>
      </c>
      <c r="G2703" s="2200">
        <f>--SUBTOTAL(3,C$2:C2703)</f>
        <v>67</v>
      </c>
    </row>
    <row r="2704" spans="1:7" hidden="1" x14ac:dyDescent="0.15">
      <c r="A2704" s="2200" t="s">
        <v>4280</v>
      </c>
      <c r="B2704" s="2200" t="s">
        <v>9683</v>
      </c>
      <c r="C2704" s="2200" t="s">
        <v>9684</v>
      </c>
      <c r="D2704" s="2200" t="str">
        <f t="shared" si="126"/>
        <v>TX</v>
      </c>
      <c r="E2704" s="2200" t="str">
        <f t="shared" si="127"/>
        <v>48</v>
      </c>
      <c r="F2704" s="2200" t="str">
        <f t="shared" si="128"/>
        <v>355</v>
      </c>
      <c r="G2704" s="2200">
        <f>--SUBTOTAL(3,C$2:C2704)</f>
        <v>67</v>
      </c>
    </row>
    <row r="2705" spans="1:7" hidden="1" x14ac:dyDescent="0.15">
      <c r="A2705" s="2200" t="s">
        <v>4280</v>
      </c>
      <c r="B2705" s="2200" t="s">
        <v>9685</v>
      </c>
      <c r="C2705" s="2200" t="s">
        <v>9686</v>
      </c>
      <c r="D2705" s="2200" t="str">
        <f t="shared" si="126"/>
        <v>TX</v>
      </c>
      <c r="E2705" s="2200" t="str">
        <f t="shared" si="127"/>
        <v>48</v>
      </c>
      <c r="F2705" s="2200" t="str">
        <f t="shared" si="128"/>
        <v>357</v>
      </c>
      <c r="G2705" s="2200">
        <f>--SUBTOTAL(3,C$2:C2705)</f>
        <v>67</v>
      </c>
    </row>
    <row r="2706" spans="1:7" hidden="1" x14ac:dyDescent="0.15">
      <c r="A2706" s="2200" t="s">
        <v>4280</v>
      </c>
      <c r="B2706" s="2200" t="s">
        <v>9687</v>
      </c>
      <c r="C2706" s="2200" t="s">
        <v>9688</v>
      </c>
      <c r="D2706" s="2200" t="str">
        <f t="shared" si="126"/>
        <v>TX</v>
      </c>
      <c r="E2706" s="2200" t="str">
        <f t="shared" si="127"/>
        <v>48</v>
      </c>
      <c r="F2706" s="2200" t="str">
        <f t="shared" si="128"/>
        <v>359</v>
      </c>
      <c r="G2706" s="2200">
        <f>--SUBTOTAL(3,C$2:C2706)</f>
        <v>67</v>
      </c>
    </row>
    <row r="2707" spans="1:7" hidden="1" x14ac:dyDescent="0.15">
      <c r="A2707" s="2200" t="s">
        <v>4280</v>
      </c>
      <c r="B2707" s="2200" t="s">
        <v>9689</v>
      </c>
      <c r="C2707" s="2200" t="s">
        <v>9690</v>
      </c>
      <c r="D2707" s="2200" t="str">
        <f t="shared" si="126"/>
        <v>TX</v>
      </c>
      <c r="E2707" s="2200" t="str">
        <f t="shared" si="127"/>
        <v>48</v>
      </c>
      <c r="F2707" s="2200" t="str">
        <f t="shared" si="128"/>
        <v>361</v>
      </c>
      <c r="G2707" s="2200">
        <f>--SUBTOTAL(3,C$2:C2707)</f>
        <v>67</v>
      </c>
    </row>
    <row r="2708" spans="1:7" hidden="1" x14ac:dyDescent="0.15">
      <c r="A2708" s="2200" t="s">
        <v>4280</v>
      </c>
      <c r="B2708" s="2200" t="s">
        <v>9691</v>
      </c>
      <c r="C2708" s="2200" t="s">
        <v>9692</v>
      </c>
      <c r="D2708" s="2200" t="str">
        <f t="shared" si="126"/>
        <v>TX</v>
      </c>
      <c r="E2708" s="2200" t="str">
        <f t="shared" si="127"/>
        <v>48</v>
      </c>
      <c r="F2708" s="2200" t="str">
        <f t="shared" si="128"/>
        <v>363</v>
      </c>
      <c r="G2708" s="2200">
        <f>--SUBTOTAL(3,C$2:C2708)</f>
        <v>67</v>
      </c>
    </row>
    <row r="2709" spans="1:7" hidden="1" x14ac:dyDescent="0.15">
      <c r="A2709" s="2200" t="s">
        <v>4280</v>
      </c>
      <c r="B2709" s="2200" t="s">
        <v>9693</v>
      </c>
      <c r="C2709" s="2200" t="s">
        <v>9694</v>
      </c>
      <c r="D2709" s="2200" t="str">
        <f t="shared" si="126"/>
        <v>TX</v>
      </c>
      <c r="E2709" s="2200" t="str">
        <f t="shared" si="127"/>
        <v>48</v>
      </c>
      <c r="F2709" s="2200" t="str">
        <f t="shared" si="128"/>
        <v>365</v>
      </c>
      <c r="G2709" s="2200">
        <f>--SUBTOTAL(3,C$2:C2709)</f>
        <v>67</v>
      </c>
    </row>
    <row r="2710" spans="1:7" hidden="1" x14ac:dyDescent="0.15">
      <c r="A2710" s="2200" t="s">
        <v>4280</v>
      </c>
      <c r="B2710" s="2200" t="s">
        <v>9695</v>
      </c>
      <c r="C2710" s="2200" t="s">
        <v>9696</v>
      </c>
      <c r="D2710" s="2200" t="str">
        <f t="shared" si="126"/>
        <v>TX</v>
      </c>
      <c r="E2710" s="2200" t="str">
        <f t="shared" si="127"/>
        <v>48</v>
      </c>
      <c r="F2710" s="2200" t="str">
        <f t="shared" si="128"/>
        <v>367</v>
      </c>
      <c r="G2710" s="2200">
        <f>--SUBTOTAL(3,C$2:C2710)</f>
        <v>67</v>
      </c>
    </row>
    <row r="2711" spans="1:7" hidden="1" x14ac:dyDescent="0.15">
      <c r="A2711" s="2200" t="s">
        <v>4280</v>
      </c>
      <c r="B2711" s="2200" t="s">
        <v>9697</v>
      </c>
      <c r="C2711" s="2200" t="s">
        <v>9698</v>
      </c>
      <c r="D2711" s="2200" t="str">
        <f t="shared" si="126"/>
        <v>TX</v>
      </c>
      <c r="E2711" s="2200" t="str">
        <f t="shared" si="127"/>
        <v>48</v>
      </c>
      <c r="F2711" s="2200" t="str">
        <f t="shared" si="128"/>
        <v>369</v>
      </c>
      <c r="G2711" s="2200">
        <f>--SUBTOTAL(3,C$2:C2711)</f>
        <v>67</v>
      </c>
    </row>
    <row r="2712" spans="1:7" hidden="1" x14ac:dyDescent="0.15">
      <c r="A2712" s="2200" t="s">
        <v>4280</v>
      </c>
      <c r="B2712" s="2200" t="s">
        <v>9699</v>
      </c>
      <c r="C2712" s="2200" t="s">
        <v>9700</v>
      </c>
      <c r="D2712" s="2200" t="str">
        <f t="shared" si="126"/>
        <v>TX</v>
      </c>
      <c r="E2712" s="2200" t="str">
        <f t="shared" si="127"/>
        <v>48</v>
      </c>
      <c r="F2712" s="2200" t="str">
        <f t="shared" si="128"/>
        <v>371</v>
      </c>
      <c r="G2712" s="2200">
        <f>--SUBTOTAL(3,C$2:C2712)</f>
        <v>67</v>
      </c>
    </row>
    <row r="2713" spans="1:7" hidden="1" x14ac:dyDescent="0.15">
      <c r="A2713" s="2200" t="s">
        <v>4280</v>
      </c>
      <c r="B2713" s="2200" t="s">
        <v>9701</v>
      </c>
      <c r="C2713" s="2200" t="s">
        <v>9702</v>
      </c>
      <c r="D2713" s="2200" t="str">
        <f t="shared" si="126"/>
        <v>TX</v>
      </c>
      <c r="E2713" s="2200" t="str">
        <f t="shared" si="127"/>
        <v>48</v>
      </c>
      <c r="F2713" s="2200" t="str">
        <f t="shared" si="128"/>
        <v>373</v>
      </c>
      <c r="G2713" s="2200">
        <f>--SUBTOTAL(3,C$2:C2713)</f>
        <v>67</v>
      </c>
    </row>
    <row r="2714" spans="1:7" hidden="1" x14ac:dyDescent="0.15">
      <c r="A2714" s="2200" t="s">
        <v>4280</v>
      </c>
      <c r="B2714" s="2200" t="s">
        <v>9703</v>
      </c>
      <c r="C2714" s="2200" t="s">
        <v>9704</v>
      </c>
      <c r="D2714" s="2200" t="str">
        <f t="shared" si="126"/>
        <v>TX</v>
      </c>
      <c r="E2714" s="2200" t="str">
        <f t="shared" si="127"/>
        <v>48</v>
      </c>
      <c r="F2714" s="2200" t="str">
        <f t="shared" si="128"/>
        <v>375</v>
      </c>
      <c r="G2714" s="2200">
        <f>--SUBTOTAL(3,C$2:C2714)</f>
        <v>67</v>
      </c>
    </row>
    <row r="2715" spans="1:7" hidden="1" x14ac:dyDescent="0.15">
      <c r="A2715" s="2200" t="s">
        <v>4280</v>
      </c>
      <c r="B2715" s="2200" t="s">
        <v>9705</v>
      </c>
      <c r="C2715" s="2200" t="s">
        <v>9706</v>
      </c>
      <c r="D2715" s="2200" t="str">
        <f t="shared" si="126"/>
        <v>TX</v>
      </c>
      <c r="E2715" s="2200" t="str">
        <f t="shared" si="127"/>
        <v>48</v>
      </c>
      <c r="F2715" s="2200" t="str">
        <f t="shared" si="128"/>
        <v>377</v>
      </c>
      <c r="G2715" s="2200">
        <f>--SUBTOTAL(3,C$2:C2715)</f>
        <v>67</v>
      </c>
    </row>
    <row r="2716" spans="1:7" hidden="1" x14ac:dyDescent="0.15">
      <c r="A2716" s="2200" t="s">
        <v>4280</v>
      </c>
      <c r="B2716" s="2200" t="s">
        <v>9707</v>
      </c>
      <c r="C2716" s="2200" t="s">
        <v>9708</v>
      </c>
      <c r="D2716" s="2200" t="str">
        <f t="shared" si="126"/>
        <v>TX</v>
      </c>
      <c r="E2716" s="2200" t="str">
        <f t="shared" si="127"/>
        <v>48</v>
      </c>
      <c r="F2716" s="2200" t="str">
        <f t="shared" si="128"/>
        <v>379</v>
      </c>
      <c r="G2716" s="2200">
        <f>--SUBTOTAL(3,C$2:C2716)</f>
        <v>67</v>
      </c>
    </row>
    <row r="2717" spans="1:7" hidden="1" x14ac:dyDescent="0.15">
      <c r="A2717" s="2200" t="s">
        <v>4280</v>
      </c>
      <c r="B2717" s="2200" t="s">
        <v>9709</v>
      </c>
      <c r="C2717" s="2200" t="s">
        <v>9710</v>
      </c>
      <c r="D2717" s="2200" t="str">
        <f t="shared" si="126"/>
        <v>TX</v>
      </c>
      <c r="E2717" s="2200" t="str">
        <f t="shared" si="127"/>
        <v>48</v>
      </c>
      <c r="F2717" s="2200" t="str">
        <f t="shared" si="128"/>
        <v>381</v>
      </c>
      <c r="G2717" s="2200">
        <f>--SUBTOTAL(3,C$2:C2717)</f>
        <v>67</v>
      </c>
    </row>
    <row r="2718" spans="1:7" hidden="1" x14ac:dyDescent="0.15">
      <c r="A2718" s="2200" t="s">
        <v>4280</v>
      </c>
      <c r="B2718" s="2200" t="s">
        <v>9711</v>
      </c>
      <c r="C2718" s="2200" t="s">
        <v>9712</v>
      </c>
      <c r="D2718" s="2200" t="str">
        <f t="shared" si="126"/>
        <v>TX</v>
      </c>
      <c r="E2718" s="2200" t="str">
        <f t="shared" si="127"/>
        <v>48</v>
      </c>
      <c r="F2718" s="2200" t="str">
        <f t="shared" si="128"/>
        <v>383</v>
      </c>
      <c r="G2718" s="2200">
        <f>--SUBTOTAL(3,C$2:C2718)</f>
        <v>67</v>
      </c>
    </row>
    <row r="2719" spans="1:7" hidden="1" x14ac:dyDescent="0.15">
      <c r="A2719" s="2200" t="s">
        <v>4280</v>
      </c>
      <c r="B2719" s="2200" t="s">
        <v>9713</v>
      </c>
      <c r="C2719" s="2200" t="s">
        <v>9714</v>
      </c>
      <c r="D2719" s="2200" t="str">
        <f t="shared" si="126"/>
        <v>TX</v>
      </c>
      <c r="E2719" s="2200" t="str">
        <f t="shared" si="127"/>
        <v>48</v>
      </c>
      <c r="F2719" s="2200" t="str">
        <f t="shared" si="128"/>
        <v>385</v>
      </c>
      <c r="G2719" s="2200">
        <f>--SUBTOTAL(3,C$2:C2719)</f>
        <v>67</v>
      </c>
    </row>
    <row r="2720" spans="1:7" hidden="1" x14ac:dyDescent="0.15">
      <c r="A2720" s="2200" t="s">
        <v>4280</v>
      </c>
      <c r="B2720" s="2200" t="s">
        <v>9715</v>
      </c>
      <c r="C2720" s="2200" t="s">
        <v>9716</v>
      </c>
      <c r="D2720" s="2200" t="str">
        <f t="shared" si="126"/>
        <v>TX</v>
      </c>
      <c r="E2720" s="2200" t="str">
        <f t="shared" si="127"/>
        <v>48</v>
      </c>
      <c r="F2720" s="2200" t="str">
        <f t="shared" si="128"/>
        <v>387</v>
      </c>
      <c r="G2720" s="2200">
        <f>--SUBTOTAL(3,C$2:C2720)</f>
        <v>67</v>
      </c>
    </row>
    <row r="2721" spans="1:7" hidden="1" x14ac:dyDescent="0.15">
      <c r="A2721" s="2200" t="s">
        <v>4280</v>
      </c>
      <c r="B2721" s="2200" t="s">
        <v>9717</v>
      </c>
      <c r="C2721" s="2200" t="s">
        <v>9718</v>
      </c>
      <c r="D2721" s="2200" t="str">
        <f t="shared" si="126"/>
        <v>TX</v>
      </c>
      <c r="E2721" s="2200" t="str">
        <f t="shared" si="127"/>
        <v>48</v>
      </c>
      <c r="F2721" s="2200" t="str">
        <f t="shared" si="128"/>
        <v>389</v>
      </c>
      <c r="G2721" s="2200">
        <f>--SUBTOTAL(3,C$2:C2721)</f>
        <v>67</v>
      </c>
    </row>
    <row r="2722" spans="1:7" hidden="1" x14ac:dyDescent="0.15">
      <c r="A2722" s="2200" t="s">
        <v>4280</v>
      </c>
      <c r="B2722" s="2200" t="s">
        <v>9719</v>
      </c>
      <c r="C2722" s="2200" t="s">
        <v>9720</v>
      </c>
      <c r="D2722" s="2200" t="str">
        <f t="shared" si="126"/>
        <v>TX</v>
      </c>
      <c r="E2722" s="2200" t="str">
        <f t="shared" si="127"/>
        <v>48</v>
      </c>
      <c r="F2722" s="2200" t="str">
        <f t="shared" si="128"/>
        <v>391</v>
      </c>
      <c r="G2722" s="2200">
        <f>--SUBTOTAL(3,C$2:C2722)</f>
        <v>67</v>
      </c>
    </row>
    <row r="2723" spans="1:7" hidden="1" x14ac:dyDescent="0.15">
      <c r="A2723" s="2200" t="s">
        <v>4280</v>
      </c>
      <c r="B2723" s="2200" t="s">
        <v>9721</v>
      </c>
      <c r="C2723" s="2200" t="s">
        <v>9722</v>
      </c>
      <c r="D2723" s="2200" t="str">
        <f t="shared" si="126"/>
        <v>TX</v>
      </c>
      <c r="E2723" s="2200" t="str">
        <f t="shared" si="127"/>
        <v>48</v>
      </c>
      <c r="F2723" s="2200" t="str">
        <f t="shared" si="128"/>
        <v>393</v>
      </c>
      <c r="G2723" s="2200">
        <f>--SUBTOTAL(3,C$2:C2723)</f>
        <v>67</v>
      </c>
    </row>
    <row r="2724" spans="1:7" hidden="1" x14ac:dyDescent="0.15">
      <c r="A2724" s="2200" t="s">
        <v>4280</v>
      </c>
      <c r="B2724" s="2200" t="s">
        <v>9723</v>
      </c>
      <c r="C2724" s="2200" t="s">
        <v>9724</v>
      </c>
      <c r="D2724" s="2200" t="str">
        <f t="shared" si="126"/>
        <v>TX</v>
      </c>
      <c r="E2724" s="2200" t="str">
        <f t="shared" si="127"/>
        <v>48</v>
      </c>
      <c r="F2724" s="2200" t="str">
        <f t="shared" si="128"/>
        <v>395</v>
      </c>
      <c r="G2724" s="2200">
        <f>--SUBTOTAL(3,C$2:C2724)</f>
        <v>67</v>
      </c>
    </row>
    <row r="2725" spans="1:7" hidden="1" x14ac:dyDescent="0.15">
      <c r="A2725" s="2200" t="s">
        <v>4280</v>
      </c>
      <c r="B2725" s="2200" t="s">
        <v>9725</v>
      </c>
      <c r="C2725" s="2200" t="s">
        <v>9726</v>
      </c>
      <c r="D2725" s="2200" t="str">
        <f t="shared" si="126"/>
        <v>TX</v>
      </c>
      <c r="E2725" s="2200" t="str">
        <f t="shared" si="127"/>
        <v>48</v>
      </c>
      <c r="F2725" s="2200" t="str">
        <f t="shared" si="128"/>
        <v>397</v>
      </c>
      <c r="G2725" s="2200">
        <f>--SUBTOTAL(3,C$2:C2725)</f>
        <v>67</v>
      </c>
    </row>
    <row r="2726" spans="1:7" hidden="1" x14ac:dyDescent="0.15">
      <c r="A2726" s="2200" t="s">
        <v>4280</v>
      </c>
      <c r="B2726" s="2200" t="s">
        <v>9727</v>
      </c>
      <c r="C2726" s="2200" t="s">
        <v>9728</v>
      </c>
      <c r="D2726" s="2200" t="str">
        <f t="shared" si="126"/>
        <v>TX</v>
      </c>
      <c r="E2726" s="2200" t="str">
        <f t="shared" si="127"/>
        <v>48</v>
      </c>
      <c r="F2726" s="2200" t="str">
        <f t="shared" si="128"/>
        <v>399</v>
      </c>
      <c r="G2726" s="2200">
        <f>--SUBTOTAL(3,C$2:C2726)</f>
        <v>67</v>
      </c>
    </row>
    <row r="2727" spans="1:7" hidden="1" x14ac:dyDescent="0.15">
      <c r="A2727" s="2200" t="s">
        <v>4280</v>
      </c>
      <c r="B2727" s="2200" t="s">
        <v>9729</v>
      </c>
      <c r="C2727" s="2200" t="s">
        <v>9730</v>
      </c>
      <c r="D2727" s="2200" t="str">
        <f t="shared" si="126"/>
        <v>TX</v>
      </c>
      <c r="E2727" s="2200" t="str">
        <f t="shared" si="127"/>
        <v>48</v>
      </c>
      <c r="F2727" s="2200" t="str">
        <f t="shared" si="128"/>
        <v>401</v>
      </c>
      <c r="G2727" s="2200">
        <f>--SUBTOTAL(3,C$2:C2727)</f>
        <v>67</v>
      </c>
    </row>
    <row r="2728" spans="1:7" hidden="1" x14ac:dyDescent="0.15">
      <c r="A2728" s="2200" t="s">
        <v>4280</v>
      </c>
      <c r="B2728" s="2200" t="s">
        <v>9731</v>
      </c>
      <c r="C2728" s="2200" t="s">
        <v>9732</v>
      </c>
      <c r="D2728" s="2200" t="str">
        <f t="shared" si="126"/>
        <v>TX</v>
      </c>
      <c r="E2728" s="2200" t="str">
        <f t="shared" si="127"/>
        <v>48</v>
      </c>
      <c r="F2728" s="2200" t="str">
        <f t="shared" si="128"/>
        <v>403</v>
      </c>
      <c r="G2728" s="2200">
        <f>--SUBTOTAL(3,C$2:C2728)</f>
        <v>67</v>
      </c>
    </row>
    <row r="2729" spans="1:7" hidden="1" x14ac:dyDescent="0.15">
      <c r="A2729" s="2200" t="s">
        <v>4280</v>
      </c>
      <c r="B2729" s="2200" t="s">
        <v>9733</v>
      </c>
      <c r="C2729" s="2200" t="s">
        <v>9734</v>
      </c>
      <c r="D2729" s="2200" t="str">
        <f t="shared" si="126"/>
        <v>TX</v>
      </c>
      <c r="E2729" s="2200" t="str">
        <f t="shared" si="127"/>
        <v>48</v>
      </c>
      <c r="F2729" s="2200" t="str">
        <f t="shared" si="128"/>
        <v>405</v>
      </c>
      <c r="G2729" s="2200">
        <f>--SUBTOTAL(3,C$2:C2729)</f>
        <v>67</v>
      </c>
    </row>
    <row r="2730" spans="1:7" hidden="1" x14ac:dyDescent="0.15">
      <c r="A2730" s="2200" t="s">
        <v>4280</v>
      </c>
      <c r="B2730" s="2200" t="s">
        <v>9735</v>
      </c>
      <c r="C2730" s="2200" t="s">
        <v>9736</v>
      </c>
      <c r="D2730" s="2200" t="str">
        <f t="shared" si="126"/>
        <v>TX</v>
      </c>
      <c r="E2730" s="2200" t="str">
        <f t="shared" si="127"/>
        <v>48</v>
      </c>
      <c r="F2730" s="2200" t="str">
        <f t="shared" si="128"/>
        <v>407</v>
      </c>
      <c r="G2730" s="2200">
        <f>--SUBTOTAL(3,C$2:C2730)</f>
        <v>67</v>
      </c>
    </row>
    <row r="2731" spans="1:7" hidden="1" x14ac:dyDescent="0.15">
      <c r="A2731" s="2200" t="s">
        <v>4280</v>
      </c>
      <c r="B2731" s="2200" t="s">
        <v>9737</v>
      </c>
      <c r="C2731" s="2200" t="s">
        <v>9738</v>
      </c>
      <c r="D2731" s="2200" t="str">
        <f t="shared" si="126"/>
        <v>TX</v>
      </c>
      <c r="E2731" s="2200" t="str">
        <f t="shared" si="127"/>
        <v>48</v>
      </c>
      <c r="F2731" s="2200" t="str">
        <f t="shared" si="128"/>
        <v>409</v>
      </c>
      <c r="G2731" s="2200">
        <f>--SUBTOTAL(3,C$2:C2731)</f>
        <v>67</v>
      </c>
    </row>
    <row r="2732" spans="1:7" hidden="1" x14ac:dyDescent="0.15">
      <c r="A2732" s="2200" t="s">
        <v>4280</v>
      </c>
      <c r="B2732" s="2200" t="s">
        <v>9739</v>
      </c>
      <c r="C2732" s="2200" t="s">
        <v>9740</v>
      </c>
      <c r="D2732" s="2200" t="str">
        <f t="shared" si="126"/>
        <v>TX</v>
      </c>
      <c r="E2732" s="2200" t="str">
        <f t="shared" si="127"/>
        <v>48</v>
      </c>
      <c r="F2732" s="2200" t="str">
        <f t="shared" si="128"/>
        <v>411</v>
      </c>
      <c r="G2732" s="2200">
        <f>--SUBTOTAL(3,C$2:C2732)</f>
        <v>67</v>
      </c>
    </row>
    <row r="2733" spans="1:7" hidden="1" x14ac:dyDescent="0.15">
      <c r="A2733" s="2200" t="s">
        <v>4280</v>
      </c>
      <c r="B2733" s="2200" t="s">
        <v>9741</v>
      </c>
      <c r="C2733" s="2200" t="s">
        <v>9742</v>
      </c>
      <c r="D2733" s="2200" t="str">
        <f t="shared" si="126"/>
        <v>TX</v>
      </c>
      <c r="E2733" s="2200" t="str">
        <f t="shared" si="127"/>
        <v>48</v>
      </c>
      <c r="F2733" s="2200" t="str">
        <f t="shared" si="128"/>
        <v>413</v>
      </c>
      <c r="G2733" s="2200">
        <f>--SUBTOTAL(3,C$2:C2733)</f>
        <v>67</v>
      </c>
    </row>
    <row r="2734" spans="1:7" hidden="1" x14ac:dyDescent="0.15">
      <c r="A2734" s="2200" t="s">
        <v>4280</v>
      </c>
      <c r="B2734" s="2200" t="s">
        <v>9743</v>
      </c>
      <c r="C2734" s="2200" t="s">
        <v>9744</v>
      </c>
      <c r="D2734" s="2200" t="str">
        <f t="shared" si="126"/>
        <v>TX</v>
      </c>
      <c r="E2734" s="2200" t="str">
        <f t="shared" si="127"/>
        <v>48</v>
      </c>
      <c r="F2734" s="2200" t="str">
        <f t="shared" si="128"/>
        <v>415</v>
      </c>
      <c r="G2734" s="2200">
        <f>--SUBTOTAL(3,C$2:C2734)</f>
        <v>67</v>
      </c>
    </row>
    <row r="2735" spans="1:7" hidden="1" x14ac:dyDescent="0.15">
      <c r="A2735" s="2200" t="s">
        <v>4280</v>
      </c>
      <c r="B2735" s="2200" t="s">
        <v>9745</v>
      </c>
      <c r="C2735" s="2200" t="s">
        <v>9746</v>
      </c>
      <c r="D2735" s="2200" t="str">
        <f t="shared" si="126"/>
        <v>TX</v>
      </c>
      <c r="E2735" s="2200" t="str">
        <f t="shared" si="127"/>
        <v>48</v>
      </c>
      <c r="F2735" s="2200" t="str">
        <f t="shared" si="128"/>
        <v>417</v>
      </c>
      <c r="G2735" s="2200">
        <f>--SUBTOTAL(3,C$2:C2735)</f>
        <v>67</v>
      </c>
    </row>
    <row r="2736" spans="1:7" hidden="1" x14ac:dyDescent="0.15">
      <c r="A2736" s="2200" t="s">
        <v>4280</v>
      </c>
      <c r="B2736" s="2200" t="s">
        <v>9747</v>
      </c>
      <c r="C2736" s="2200" t="s">
        <v>9748</v>
      </c>
      <c r="D2736" s="2200" t="str">
        <f t="shared" si="126"/>
        <v>TX</v>
      </c>
      <c r="E2736" s="2200" t="str">
        <f t="shared" si="127"/>
        <v>48</v>
      </c>
      <c r="F2736" s="2200" t="str">
        <f t="shared" si="128"/>
        <v>419</v>
      </c>
      <c r="G2736" s="2200">
        <f>--SUBTOTAL(3,C$2:C2736)</f>
        <v>67</v>
      </c>
    </row>
    <row r="2737" spans="1:7" hidden="1" x14ac:dyDescent="0.15">
      <c r="A2737" s="2200" t="s">
        <v>4280</v>
      </c>
      <c r="B2737" s="2200" t="s">
        <v>9749</v>
      </c>
      <c r="C2737" s="2200" t="s">
        <v>9750</v>
      </c>
      <c r="D2737" s="2200" t="str">
        <f t="shared" si="126"/>
        <v>TX</v>
      </c>
      <c r="E2737" s="2200" t="str">
        <f t="shared" si="127"/>
        <v>48</v>
      </c>
      <c r="F2737" s="2200" t="str">
        <f t="shared" si="128"/>
        <v>421</v>
      </c>
      <c r="G2737" s="2200">
        <f>--SUBTOTAL(3,C$2:C2737)</f>
        <v>67</v>
      </c>
    </row>
    <row r="2738" spans="1:7" hidden="1" x14ac:dyDescent="0.15">
      <c r="A2738" s="2200" t="s">
        <v>4280</v>
      </c>
      <c r="B2738" s="2200" t="s">
        <v>9751</v>
      </c>
      <c r="C2738" s="2200" t="s">
        <v>9752</v>
      </c>
      <c r="D2738" s="2200" t="str">
        <f t="shared" si="126"/>
        <v>TX</v>
      </c>
      <c r="E2738" s="2200" t="str">
        <f t="shared" si="127"/>
        <v>48</v>
      </c>
      <c r="F2738" s="2200" t="str">
        <f t="shared" si="128"/>
        <v>423</v>
      </c>
      <c r="G2738" s="2200">
        <f>--SUBTOTAL(3,C$2:C2738)</f>
        <v>67</v>
      </c>
    </row>
    <row r="2739" spans="1:7" hidden="1" x14ac:dyDescent="0.15">
      <c r="A2739" s="2200" t="s">
        <v>4280</v>
      </c>
      <c r="B2739" s="2200" t="s">
        <v>9753</v>
      </c>
      <c r="C2739" s="2200" t="s">
        <v>9754</v>
      </c>
      <c r="D2739" s="2200" t="str">
        <f t="shared" si="126"/>
        <v>TX</v>
      </c>
      <c r="E2739" s="2200" t="str">
        <f t="shared" si="127"/>
        <v>48</v>
      </c>
      <c r="F2739" s="2200" t="str">
        <f t="shared" si="128"/>
        <v>425</v>
      </c>
      <c r="G2739" s="2200">
        <f>--SUBTOTAL(3,C$2:C2739)</f>
        <v>67</v>
      </c>
    </row>
    <row r="2740" spans="1:7" hidden="1" x14ac:dyDescent="0.15">
      <c r="A2740" s="2200" t="s">
        <v>4280</v>
      </c>
      <c r="B2740" s="2200" t="s">
        <v>9755</v>
      </c>
      <c r="C2740" s="2200" t="s">
        <v>9756</v>
      </c>
      <c r="D2740" s="2200" t="str">
        <f t="shared" si="126"/>
        <v>TX</v>
      </c>
      <c r="E2740" s="2200" t="str">
        <f t="shared" si="127"/>
        <v>48</v>
      </c>
      <c r="F2740" s="2200" t="str">
        <f t="shared" si="128"/>
        <v>427</v>
      </c>
      <c r="G2740" s="2200">
        <f>--SUBTOTAL(3,C$2:C2740)</f>
        <v>67</v>
      </c>
    </row>
    <row r="2741" spans="1:7" hidden="1" x14ac:dyDescent="0.15">
      <c r="A2741" s="2200" t="s">
        <v>4280</v>
      </c>
      <c r="B2741" s="2200" t="s">
        <v>9757</v>
      </c>
      <c r="C2741" s="2200" t="s">
        <v>9758</v>
      </c>
      <c r="D2741" s="2200" t="str">
        <f t="shared" si="126"/>
        <v>TX</v>
      </c>
      <c r="E2741" s="2200" t="str">
        <f t="shared" si="127"/>
        <v>48</v>
      </c>
      <c r="F2741" s="2200" t="str">
        <f t="shared" si="128"/>
        <v>429</v>
      </c>
      <c r="G2741" s="2200">
        <f>--SUBTOTAL(3,C$2:C2741)</f>
        <v>67</v>
      </c>
    </row>
    <row r="2742" spans="1:7" hidden="1" x14ac:dyDescent="0.15">
      <c r="A2742" s="2200" t="s">
        <v>4280</v>
      </c>
      <c r="B2742" s="2200" t="s">
        <v>9759</v>
      </c>
      <c r="C2742" s="2200" t="s">
        <v>9760</v>
      </c>
      <c r="D2742" s="2200" t="str">
        <f t="shared" si="126"/>
        <v>TX</v>
      </c>
      <c r="E2742" s="2200" t="str">
        <f t="shared" si="127"/>
        <v>48</v>
      </c>
      <c r="F2742" s="2200" t="str">
        <f t="shared" si="128"/>
        <v>431</v>
      </c>
      <c r="G2742" s="2200">
        <f>--SUBTOTAL(3,C$2:C2742)</f>
        <v>67</v>
      </c>
    </row>
    <row r="2743" spans="1:7" hidden="1" x14ac:dyDescent="0.15">
      <c r="A2743" s="2200" t="s">
        <v>4280</v>
      </c>
      <c r="B2743" s="2200" t="s">
        <v>9761</v>
      </c>
      <c r="C2743" s="2200" t="s">
        <v>9762</v>
      </c>
      <c r="D2743" s="2200" t="str">
        <f t="shared" si="126"/>
        <v>TX</v>
      </c>
      <c r="E2743" s="2200" t="str">
        <f t="shared" si="127"/>
        <v>48</v>
      </c>
      <c r="F2743" s="2200" t="str">
        <f t="shared" si="128"/>
        <v>433</v>
      </c>
      <c r="G2743" s="2200">
        <f>--SUBTOTAL(3,C$2:C2743)</f>
        <v>67</v>
      </c>
    </row>
    <row r="2744" spans="1:7" hidden="1" x14ac:dyDescent="0.15">
      <c r="A2744" s="2200" t="s">
        <v>4280</v>
      </c>
      <c r="B2744" s="2200" t="s">
        <v>9763</v>
      </c>
      <c r="C2744" s="2200" t="s">
        <v>9764</v>
      </c>
      <c r="D2744" s="2200" t="str">
        <f t="shared" si="126"/>
        <v>TX</v>
      </c>
      <c r="E2744" s="2200" t="str">
        <f t="shared" si="127"/>
        <v>48</v>
      </c>
      <c r="F2744" s="2200" t="str">
        <f t="shared" si="128"/>
        <v>435</v>
      </c>
      <c r="G2744" s="2200">
        <f>--SUBTOTAL(3,C$2:C2744)</f>
        <v>67</v>
      </c>
    </row>
    <row r="2745" spans="1:7" hidden="1" x14ac:dyDescent="0.15">
      <c r="A2745" s="2200" t="s">
        <v>4280</v>
      </c>
      <c r="B2745" s="2200" t="s">
        <v>9765</v>
      </c>
      <c r="C2745" s="2200" t="s">
        <v>9766</v>
      </c>
      <c r="D2745" s="2200" t="str">
        <f t="shared" si="126"/>
        <v>TX</v>
      </c>
      <c r="E2745" s="2200" t="str">
        <f t="shared" si="127"/>
        <v>48</v>
      </c>
      <c r="F2745" s="2200" t="str">
        <f t="shared" si="128"/>
        <v>437</v>
      </c>
      <c r="G2745" s="2200">
        <f>--SUBTOTAL(3,C$2:C2745)</f>
        <v>67</v>
      </c>
    </row>
    <row r="2746" spans="1:7" hidden="1" x14ac:dyDescent="0.15">
      <c r="A2746" s="2200" t="s">
        <v>4280</v>
      </c>
      <c r="B2746" s="2200" t="s">
        <v>9767</v>
      </c>
      <c r="C2746" s="2200" t="s">
        <v>9768</v>
      </c>
      <c r="D2746" s="2200" t="str">
        <f t="shared" si="126"/>
        <v>TX</v>
      </c>
      <c r="E2746" s="2200" t="str">
        <f t="shared" si="127"/>
        <v>48</v>
      </c>
      <c r="F2746" s="2200" t="str">
        <f t="shared" si="128"/>
        <v>439</v>
      </c>
      <c r="G2746" s="2200">
        <f>--SUBTOTAL(3,C$2:C2746)</f>
        <v>67</v>
      </c>
    </row>
    <row r="2747" spans="1:7" hidden="1" x14ac:dyDescent="0.15">
      <c r="A2747" s="2200" t="s">
        <v>4280</v>
      </c>
      <c r="B2747" s="2200" t="s">
        <v>9769</v>
      </c>
      <c r="C2747" s="2200" t="s">
        <v>9770</v>
      </c>
      <c r="D2747" s="2200" t="str">
        <f t="shared" si="126"/>
        <v>TX</v>
      </c>
      <c r="E2747" s="2200" t="str">
        <f t="shared" si="127"/>
        <v>48</v>
      </c>
      <c r="F2747" s="2200" t="str">
        <f t="shared" si="128"/>
        <v>441</v>
      </c>
      <c r="G2747" s="2200">
        <f>--SUBTOTAL(3,C$2:C2747)</f>
        <v>67</v>
      </c>
    </row>
    <row r="2748" spans="1:7" hidden="1" x14ac:dyDescent="0.15">
      <c r="A2748" s="2200" t="s">
        <v>4280</v>
      </c>
      <c r="B2748" s="2200" t="s">
        <v>9771</v>
      </c>
      <c r="C2748" s="2200" t="s">
        <v>9772</v>
      </c>
      <c r="D2748" s="2200" t="str">
        <f t="shared" si="126"/>
        <v>TX</v>
      </c>
      <c r="E2748" s="2200" t="str">
        <f t="shared" si="127"/>
        <v>48</v>
      </c>
      <c r="F2748" s="2200" t="str">
        <f t="shared" si="128"/>
        <v>443</v>
      </c>
      <c r="G2748" s="2200">
        <f>--SUBTOTAL(3,C$2:C2748)</f>
        <v>67</v>
      </c>
    </row>
    <row r="2749" spans="1:7" hidden="1" x14ac:dyDescent="0.15">
      <c r="A2749" s="2200" t="s">
        <v>4280</v>
      </c>
      <c r="B2749" s="2200" t="s">
        <v>9773</v>
      </c>
      <c r="C2749" s="2200" t="s">
        <v>9774</v>
      </c>
      <c r="D2749" s="2200" t="str">
        <f t="shared" si="126"/>
        <v>TX</v>
      </c>
      <c r="E2749" s="2200" t="str">
        <f t="shared" si="127"/>
        <v>48</v>
      </c>
      <c r="F2749" s="2200" t="str">
        <f t="shared" si="128"/>
        <v>445</v>
      </c>
      <c r="G2749" s="2200">
        <f>--SUBTOTAL(3,C$2:C2749)</f>
        <v>67</v>
      </c>
    </row>
    <row r="2750" spans="1:7" hidden="1" x14ac:dyDescent="0.15">
      <c r="A2750" s="2200" t="s">
        <v>4280</v>
      </c>
      <c r="B2750" s="2200" t="s">
        <v>9775</v>
      </c>
      <c r="C2750" s="2200" t="s">
        <v>9776</v>
      </c>
      <c r="D2750" s="2200" t="str">
        <f t="shared" si="126"/>
        <v>TX</v>
      </c>
      <c r="E2750" s="2200" t="str">
        <f t="shared" si="127"/>
        <v>48</v>
      </c>
      <c r="F2750" s="2200" t="str">
        <f t="shared" si="128"/>
        <v>447</v>
      </c>
      <c r="G2750" s="2200">
        <f>--SUBTOTAL(3,C$2:C2750)</f>
        <v>67</v>
      </c>
    </row>
    <row r="2751" spans="1:7" hidden="1" x14ac:dyDescent="0.15">
      <c r="A2751" s="2200" t="s">
        <v>4280</v>
      </c>
      <c r="B2751" s="2200" t="s">
        <v>9777</v>
      </c>
      <c r="C2751" s="2200" t="s">
        <v>9778</v>
      </c>
      <c r="D2751" s="2200" t="str">
        <f t="shared" si="126"/>
        <v>TX</v>
      </c>
      <c r="E2751" s="2200" t="str">
        <f t="shared" si="127"/>
        <v>48</v>
      </c>
      <c r="F2751" s="2200" t="str">
        <f t="shared" si="128"/>
        <v>449</v>
      </c>
      <c r="G2751" s="2200">
        <f>--SUBTOTAL(3,C$2:C2751)</f>
        <v>67</v>
      </c>
    </row>
    <row r="2752" spans="1:7" hidden="1" x14ac:dyDescent="0.15">
      <c r="A2752" s="2200" t="s">
        <v>4280</v>
      </c>
      <c r="B2752" s="2200" t="s">
        <v>9779</v>
      </c>
      <c r="C2752" s="2200" t="s">
        <v>9780</v>
      </c>
      <c r="D2752" s="2200" t="str">
        <f t="shared" si="126"/>
        <v>TX</v>
      </c>
      <c r="E2752" s="2200" t="str">
        <f t="shared" si="127"/>
        <v>48</v>
      </c>
      <c r="F2752" s="2200" t="str">
        <f t="shared" si="128"/>
        <v>451</v>
      </c>
      <c r="G2752" s="2200">
        <f>--SUBTOTAL(3,C$2:C2752)</f>
        <v>67</v>
      </c>
    </row>
    <row r="2753" spans="1:7" hidden="1" x14ac:dyDescent="0.15">
      <c r="A2753" s="2200" t="s">
        <v>4280</v>
      </c>
      <c r="B2753" s="2200" t="s">
        <v>9781</v>
      </c>
      <c r="C2753" s="2200" t="s">
        <v>9782</v>
      </c>
      <c r="D2753" s="2200" t="str">
        <f t="shared" si="126"/>
        <v>TX</v>
      </c>
      <c r="E2753" s="2200" t="str">
        <f t="shared" si="127"/>
        <v>48</v>
      </c>
      <c r="F2753" s="2200" t="str">
        <f t="shared" si="128"/>
        <v>453</v>
      </c>
      <c r="G2753" s="2200">
        <f>--SUBTOTAL(3,C$2:C2753)</f>
        <v>67</v>
      </c>
    </row>
    <row r="2754" spans="1:7" hidden="1" x14ac:dyDescent="0.15">
      <c r="A2754" s="2200" t="s">
        <v>4280</v>
      </c>
      <c r="B2754" s="2200" t="s">
        <v>9783</v>
      </c>
      <c r="C2754" s="2200" t="s">
        <v>9784</v>
      </c>
      <c r="D2754" s="2200" t="str">
        <f t="shared" si="126"/>
        <v>TX</v>
      </c>
      <c r="E2754" s="2200" t="str">
        <f t="shared" si="127"/>
        <v>48</v>
      </c>
      <c r="F2754" s="2200" t="str">
        <f t="shared" si="128"/>
        <v>455</v>
      </c>
      <c r="G2754" s="2200">
        <f>--SUBTOTAL(3,C$2:C2754)</f>
        <v>67</v>
      </c>
    </row>
    <row r="2755" spans="1:7" hidden="1" x14ac:dyDescent="0.15">
      <c r="A2755" s="2200" t="s">
        <v>4280</v>
      </c>
      <c r="B2755" s="2200" t="s">
        <v>9785</v>
      </c>
      <c r="C2755" s="2200" t="s">
        <v>9786</v>
      </c>
      <c r="D2755" s="2200" t="str">
        <f t="shared" ref="D2755:D2818" si="129">RIGHT(C2755,2)</f>
        <v>TX</v>
      </c>
      <c r="E2755" s="2200" t="str">
        <f t="shared" ref="E2755:E2818" si="130">MID(B2755,3,2)</f>
        <v>48</v>
      </c>
      <c r="F2755" s="2200" t="str">
        <f t="shared" ref="F2755:F2818" si="131">MID(B2755,5,3)</f>
        <v>457</v>
      </c>
      <c r="G2755" s="2200">
        <f>--SUBTOTAL(3,C$2:C2755)</f>
        <v>67</v>
      </c>
    </row>
    <row r="2756" spans="1:7" hidden="1" x14ac:dyDescent="0.15">
      <c r="A2756" s="2200" t="s">
        <v>4280</v>
      </c>
      <c r="B2756" s="2200" t="s">
        <v>9787</v>
      </c>
      <c r="C2756" s="2200" t="s">
        <v>9788</v>
      </c>
      <c r="D2756" s="2200" t="str">
        <f t="shared" si="129"/>
        <v>TX</v>
      </c>
      <c r="E2756" s="2200" t="str">
        <f t="shared" si="130"/>
        <v>48</v>
      </c>
      <c r="F2756" s="2200" t="str">
        <f t="shared" si="131"/>
        <v>459</v>
      </c>
      <c r="G2756" s="2200">
        <f>--SUBTOTAL(3,C$2:C2756)</f>
        <v>67</v>
      </c>
    </row>
    <row r="2757" spans="1:7" hidden="1" x14ac:dyDescent="0.15">
      <c r="A2757" s="2200" t="s">
        <v>4280</v>
      </c>
      <c r="B2757" s="2200" t="s">
        <v>9789</v>
      </c>
      <c r="C2757" s="2200" t="s">
        <v>9790</v>
      </c>
      <c r="D2757" s="2200" t="str">
        <f t="shared" si="129"/>
        <v>TX</v>
      </c>
      <c r="E2757" s="2200" t="str">
        <f t="shared" si="130"/>
        <v>48</v>
      </c>
      <c r="F2757" s="2200" t="str">
        <f t="shared" si="131"/>
        <v>461</v>
      </c>
      <c r="G2757" s="2200">
        <f>--SUBTOTAL(3,C$2:C2757)</f>
        <v>67</v>
      </c>
    </row>
    <row r="2758" spans="1:7" hidden="1" x14ac:dyDescent="0.15">
      <c r="A2758" s="2200" t="s">
        <v>4280</v>
      </c>
      <c r="B2758" s="2200" t="s">
        <v>9791</v>
      </c>
      <c r="C2758" s="2200" t="s">
        <v>9792</v>
      </c>
      <c r="D2758" s="2200" t="str">
        <f t="shared" si="129"/>
        <v>TX</v>
      </c>
      <c r="E2758" s="2200" t="str">
        <f t="shared" si="130"/>
        <v>48</v>
      </c>
      <c r="F2758" s="2200" t="str">
        <f t="shared" si="131"/>
        <v>463</v>
      </c>
      <c r="G2758" s="2200">
        <f>--SUBTOTAL(3,C$2:C2758)</f>
        <v>67</v>
      </c>
    </row>
    <row r="2759" spans="1:7" hidden="1" x14ac:dyDescent="0.15">
      <c r="A2759" s="2200" t="s">
        <v>4280</v>
      </c>
      <c r="B2759" s="2200" t="s">
        <v>9793</v>
      </c>
      <c r="C2759" s="2200" t="s">
        <v>9794</v>
      </c>
      <c r="D2759" s="2200" t="str">
        <f t="shared" si="129"/>
        <v>TX</v>
      </c>
      <c r="E2759" s="2200" t="str">
        <f t="shared" si="130"/>
        <v>48</v>
      </c>
      <c r="F2759" s="2200" t="str">
        <f t="shared" si="131"/>
        <v>465</v>
      </c>
      <c r="G2759" s="2200">
        <f>--SUBTOTAL(3,C$2:C2759)</f>
        <v>67</v>
      </c>
    </row>
    <row r="2760" spans="1:7" hidden="1" x14ac:dyDescent="0.15">
      <c r="A2760" s="2200" t="s">
        <v>4280</v>
      </c>
      <c r="B2760" s="2200" t="s">
        <v>9795</v>
      </c>
      <c r="C2760" s="2200" t="s">
        <v>9796</v>
      </c>
      <c r="D2760" s="2200" t="str">
        <f t="shared" si="129"/>
        <v>TX</v>
      </c>
      <c r="E2760" s="2200" t="str">
        <f t="shared" si="130"/>
        <v>48</v>
      </c>
      <c r="F2760" s="2200" t="str">
        <f t="shared" si="131"/>
        <v>467</v>
      </c>
      <c r="G2760" s="2200">
        <f>--SUBTOTAL(3,C$2:C2760)</f>
        <v>67</v>
      </c>
    </row>
    <row r="2761" spans="1:7" hidden="1" x14ac:dyDescent="0.15">
      <c r="A2761" s="2200" t="s">
        <v>4280</v>
      </c>
      <c r="B2761" s="2200" t="s">
        <v>9797</v>
      </c>
      <c r="C2761" s="2200" t="s">
        <v>9798</v>
      </c>
      <c r="D2761" s="2200" t="str">
        <f t="shared" si="129"/>
        <v>TX</v>
      </c>
      <c r="E2761" s="2200" t="str">
        <f t="shared" si="130"/>
        <v>48</v>
      </c>
      <c r="F2761" s="2200" t="str">
        <f t="shared" si="131"/>
        <v>469</v>
      </c>
      <c r="G2761" s="2200">
        <f>--SUBTOTAL(3,C$2:C2761)</f>
        <v>67</v>
      </c>
    </row>
    <row r="2762" spans="1:7" hidden="1" x14ac:dyDescent="0.15">
      <c r="A2762" s="2200" t="s">
        <v>4280</v>
      </c>
      <c r="B2762" s="2200" t="s">
        <v>9799</v>
      </c>
      <c r="C2762" s="2200" t="s">
        <v>9800</v>
      </c>
      <c r="D2762" s="2200" t="str">
        <f t="shared" si="129"/>
        <v>TX</v>
      </c>
      <c r="E2762" s="2200" t="str">
        <f t="shared" si="130"/>
        <v>48</v>
      </c>
      <c r="F2762" s="2200" t="str">
        <f t="shared" si="131"/>
        <v>471</v>
      </c>
      <c r="G2762" s="2200">
        <f>--SUBTOTAL(3,C$2:C2762)</f>
        <v>67</v>
      </c>
    </row>
    <row r="2763" spans="1:7" hidden="1" x14ac:dyDescent="0.15">
      <c r="A2763" s="2200" t="s">
        <v>4280</v>
      </c>
      <c r="B2763" s="2200" t="s">
        <v>9801</v>
      </c>
      <c r="C2763" s="2200" t="s">
        <v>9802</v>
      </c>
      <c r="D2763" s="2200" t="str">
        <f t="shared" si="129"/>
        <v>TX</v>
      </c>
      <c r="E2763" s="2200" t="str">
        <f t="shared" si="130"/>
        <v>48</v>
      </c>
      <c r="F2763" s="2200" t="str">
        <f t="shared" si="131"/>
        <v>473</v>
      </c>
      <c r="G2763" s="2200">
        <f>--SUBTOTAL(3,C$2:C2763)</f>
        <v>67</v>
      </c>
    </row>
    <row r="2764" spans="1:7" hidden="1" x14ac:dyDescent="0.15">
      <c r="A2764" s="2200" t="s">
        <v>4280</v>
      </c>
      <c r="B2764" s="2200" t="s">
        <v>9803</v>
      </c>
      <c r="C2764" s="2200" t="s">
        <v>9804</v>
      </c>
      <c r="D2764" s="2200" t="str">
        <f t="shared" si="129"/>
        <v>TX</v>
      </c>
      <c r="E2764" s="2200" t="str">
        <f t="shared" si="130"/>
        <v>48</v>
      </c>
      <c r="F2764" s="2200" t="str">
        <f t="shared" si="131"/>
        <v>475</v>
      </c>
      <c r="G2764" s="2200">
        <f>--SUBTOTAL(3,C$2:C2764)</f>
        <v>67</v>
      </c>
    </row>
    <row r="2765" spans="1:7" hidden="1" x14ac:dyDescent="0.15">
      <c r="A2765" s="2200" t="s">
        <v>4280</v>
      </c>
      <c r="B2765" s="2200" t="s">
        <v>9805</v>
      </c>
      <c r="C2765" s="2200" t="s">
        <v>9806</v>
      </c>
      <c r="D2765" s="2200" t="str">
        <f t="shared" si="129"/>
        <v>TX</v>
      </c>
      <c r="E2765" s="2200" t="str">
        <f t="shared" si="130"/>
        <v>48</v>
      </c>
      <c r="F2765" s="2200" t="str">
        <f t="shared" si="131"/>
        <v>477</v>
      </c>
      <c r="G2765" s="2200">
        <f>--SUBTOTAL(3,C$2:C2765)</f>
        <v>67</v>
      </c>
    </row>
    <row r="2766" spans="1:7" hidden="1" x14ac:dyDescent="0.15">
      <c r="A2766" s="2200" t="s">
        <v>4280</v>
      </c>
      <c r="B2766" s="2200" t="s">
        <v>9807</v>
      </c>
      <c r="C2766" s="2200" t="s">
        <v>9808</v>
      </c>
      <c r="D2766" s="2200" t="str">
        <f t="shared" si="129"/>
        <v>TX</v>
      </c>
      <c r="E2766" s="2200" t="str">
        <f t="shared" si="130"/>
        <v>48</v>
      </c>
      <c r="F2766" s="2200" t="str">
        <f t="shared" si="131"/>
        <v>479</v>
      </c>
      <c r="G2766" s="2200">
        <f>--SUBTOTAL(3,C$2:C2766)</f>
        <v>67</v>
      </c>
    </row>
    <row r="2767" spans="1:7" hidden="1" x14ac:dyDescent="0.15">
      <c r="A2767" s="2200" t="s">
        <v>4280</v>
      </c>
      <c r="B2767" s="2200" t="s">
        <v>9809</v>
      </c>
      <c r="C2767" s="2200" t="s">
        <v>9810</v>
      </c>
      <c r="D2767" s="2200" t="str">
        <f t="shared" si="129"/>
        <v>TX</v>
      </c>
      <c r="E2767" s="2200" t="str">
        <f t="shared" si="130"/>
        <v>48</v>
      </c>
      <c r="F2767" s="2200" t="str">
        <f t="shared" si="131"/>
        <v>481</v>
      </c>
      <c r="G2767" s="2200">
        <f>--SUBTOTAL(3,C$2:C2767)</f>
        <v>67</v>
      </c>
    </row>
    <row r="2768" spans="1:7" hidden="1" x14ac:dyDescent="0.15">
      <c r="A2768" s="2200" t="s">
        <v>4280</v>
      </c>
      <c r="B2768" s="2200" t="s">
        <v>9811</v>
      </c>
      <c r="C2768" s="2200" t="s">
        <v>9812</v>
      </c>
      <c r="D2768" s="2200" t="str">
        <f t="shared" si="129"/>
        <v>TX</v>
      </c>
      <c r="E2768" s="2200" t="str">
        <f t="shared" si="130"/>
        <v>48</v>
      </c>
      <c r="F2768" s="2200" t="str">
        <f t="shared" si="131"/>
        <v>483</v>
      </c>
      <c r="G2768" s="2200">
        <f>--SUBTOTAL(3,C$2:C2768)</f>
        <v>67</v>
      </c>
    </row>
    <row r="2769" spans="1:7" hidden="1" x14ac:dyDescent="0.15">
      <c r="A2769" s="2200" t="s">
        <v>4280</v>
      </c>
      <c r="B2769" s="2200" t="s">
        <v>9813</v>
      </c>
      <c r="C2769" s="2200" t="s">
        <v>9814</v>
      </c>
      <c r="D2769" s="2200" t="str">
        <f t="shared" si="129"/>
        <v>TX</v>
      </c>
      <c r="E2769" s="2200" t="str">
        <f t="shared" si="130"/>
        <v>48</v>
      </c>
      <c r="F2769" s="2200" t="str">
        <f t="shared" si="131"/>
        <v>485</v>
      </c>
      <c r="G2769" s="2200">
        <f>--SUBTOTAL(3,C$2:C2769)</f>
        <v>67</v>
      </c>
    </row>
    <row r="2770" spans="1:7" hidden="1" x14ac:dyDescent="0.15">
      <c r="A2770" s="2200" t="s">
        <v>4280</v>
      </c>
      <c r="B2770" s="2200" t="s">
        <v>9815</v>
      </c>
      <c r="C2770" s="2200" t="s">
        <v>9816</v>
      </c>
      <c r="D2770" s="2200" t="str">
        <f t="shared" si="129"/>
        <v>TX</v>
      </c>
      <c r="E2770" s="2200" t="str">
        <f t="shared" si="130"/>
        <v>48</v>
      </c>
      <c r="F2770" s="2200" t="str">
        <f t="shared" si="131"/>
        <v>487</v>
      </c>
      <c r="G2770" s="2200">
        <f>--SUBTOTAL(3,C$2:C2770)</f>
        <v>67</v>
      </c>
    </row>
    <row r="2771" spans="1:7" hidden="1" x14ac:dyDescent="0.15">
      <c r="A2771" s="2200" t="s">
        <v>4280</v>
      </c>
      <c r="B2771" s="2200" t="s">
        <v>9817</v>
      </c>
      <c r="C2771" s="2200" t="s">
        <v>9818</v>
      </c>
      <c r="D2771" s="2200" t="str">
        <f t="shared" si="129"/>
        <v>TX</v>
      </c>
      <c r="E2771" s="2200" t="str">
        <f t="shared" si="130"/>
        <v>48</v>
      </c>
      <c r="F2771" s="2200" t="str">
        <f t="shared" si="131"/>
        <v>489</v>
      </c>
      <c r="G2771" s="2200">
        <f>--SUBTOTAL(3,C$2:C2771)</f>
        <v>67</v>
      </c>
    </row>
    <row r="2772" spans="1:7" hidden="1" x14ac:dyDescent="0.15">
      <c r="A2772" s="2200" t="s">
        <v>4280</v>
      </c>
      <c r="B2772" s="2200" t="s">
        <v>9819</v>
      </c>
      <c r="C2772" s="2200" t="s">
        <v>9820</v>
      </c>
      <c r="D2772" s="2200" t="str">
        <f t="shared" si="129"/>
        <v>TX</v>
      </c>
      <c r="E2772" s="2200" t="str">
        <f t="shared" si="130"/>
        <v>48</v>
      </c>
      <c r="F2772" s="2200" t="str">
        <f t="shared" si="131"/>
        <v>491</v>
      </c>
      <c r="G2772" s="2200">
        <f>--SUBTOTAL(3,C$2:C2772)</f>
        <v>67</v>
      </c>
    </row>
    <row r="2773" spans="1:7" hidden="1" x14ac:dyDescent="0.15">
      <c r="A2773" s="2200" t="s">
        <v>4280</v>
      </c>
      <c r="B2773" s="2200" t="s">
        <v>9821</v>
      </c>
      <c r="C2773" s="2200" t="s">
        <v>9822</v>
      </c>
      <c r="D2773" s="2200" t="str">
        <f t="shared" si="129"/>
        <v>TX</v>
      </c>
      <c r="E2773" s="2200" t="str">
        <f t="shared" si="130"/>
        <v>48</v>
      </c>
      <c r="F2773" s="2200" t="str">
        <f t="shared" si="131"/>
        <v>493</v>
      </c>
      <c r="G2773" s="2200">
        <f>--SUBTOTAL(3,C$2:C2773)</f>
        <v>67</v>
      </c>
    </row>
    <row r="2774" spans="1:7" hidden="1" x14ac:dyDescent="0.15">
      <c r="A2774" s="2200" t="s">
        <v>4280</v>
      </c>
      <c r="B2774" s="2200" t="s">
        <v>9823</v>
      </c>
      <c r="C2774" s="2200" t="s">
        <v>9824</v>
      </c>
      <c r="D2774" s="2200" t="str">
        <f t="shared" si="129"/>
        <v>TX</v>
      </c>
      <c r="E2774" s="2200" t="str">
        <f t="shared" si="130"/>
        <v>48</v>
      </c>
      <c r="F2774" s="2200" t="str">
        <f t="shared" si="131"/>
        <v>495</v>
      </c>
      <c r="G2774" s="2200">
        <f>--SUBTOTAL(3,C$2:C2774)</f>
        <v>67</v>
      </c>
    </row>
    <row r="2775" spans="1:7" hidden="1" x14ac:dyDescent="0.15">
      <c r="A2775" s="2200" t="s">
        <v>4280</v>
      </c>
      <c r="B2775" s="2200" t="s">
        <v>9825</v>
      </c>
      <c r="C2775" s="2200" t="s">
        <v>9826</v>
      </c>
      <c r="D2775" s="2200" t="str">
        <f t="shared" si="129"/>
        <v>TX</v>
      </c>
      <c r="E2775" s="2200" t="str">
        <f t="shared" si="130"/>
        <v>48</v>
      </c>
      <c r="F2775" s="2200" t="str">
        <f t="shared" si="131"/>
        <v>497</v>
      </c>
      <c r="G2775" s="2200">
        <f>--SUBTOTAL(3,C$2:C2775)</f>
        <v>67</v>
      </c>
    </row>
    <row r="2776" spans="1:7" hidden="1" x14ac:dyDescent="0.15">
      <c r="A2776" s="2200" t="s">
        <v>4280</v>
      </c>
      <c r="B2776" s="2200" t="s">
        <v>9827</v>
      </c>
      <c r="C2776" s="2200" t="s">
        <v>9828</v>
      </c>
      <c r="D2776" s="2200" t="str">
        <f t="shared" si="129"/>
        <v>TX</v>
      </c>
      <c r="E2776" s="2200" t="str">
        <f t="shared" si="130"/>
        <v>48</v>
      </c>
      <c r="F2776" s="2200" t="str">
        <f t="shared" si="131"/>
        <v>499</v>
      </c>
      <c r="G2776" s="2200">
        <f>--SUBTOTAL(3,C$2:C2776)</f>
        <v>67</v>
      </c>
    </row>
    <row r="2777" spans="1:7" hidden="1" x14ac:dyDescent="0.15">
      <c r="A2777" s="2200" t="s">
        <v>4280</v>
      </c>
      <c r="B2777" s="2200" t="s">
        <v>9829</v>
      </c>
      <c r="C2777" s="2200" t="s">
        <v>9830</v>
      </c>
      <c r="D2777" s="2200" t="str">
        <f t="shared" si="129"/>
        <v>TX</v>
      </c>
      <c r="E2777" s="2200" t="str">
        <f t="shared" si="130"/>
        <v>48</v>
      </c>
      <c r="F2777" s="2200" t="str">
        <f t="shared" si="131"/>
        <v>501</v>
      </c>
      <c r="G2777" s="2200">
        <f>--SUBTOTAL(3,C$2:C2777)</f>
        <v>67</v>
      </c>
    </row>
    <row r="2778" spans="1:7" hidden="1" x14ac:dyDescent="0.15">
      <c r="A2778" s="2200" t="s">
        <v>4280</v>
      </c>
      <c r="B2778" s="2200" t="s">
        <v>9831</v>
      </c>
      <c r="C2778" s="2200" t="s">
        <v>9832</v>
      </c>
      <c r="D2778" s="2200" t="str">
        <f t="shared" si="129"/>
        <v>TX</v>
      </c>
      <c r="E2778" s="2200" t="str">
        <f t="shared" si="130"/>
        <v>48</v>
      </c>
      <c r="F2778" s="2200" t="str">
        <f t="shared" si="131"/>
        <v>503</v>
      </c>
      <c r="G2778" s="2200">
        <f>--SUBTOTAL(3,C$2:C2778)</f>
        <v>67</v>
      </c>
    </row>
    <row r="2779" spans="1:7" hidden="1" x14ac:dyDescent="0.15">
      <c r="A2779" s="2200" t="s">
        <v>4280</v>
      </c>
      <c r="B2779" s="2200" t="s">
        <v>9833</v>
      </c>
      <c r="C2779" s="2200" t="s">
        <v>9834</v>
      </c>
      <c r="D2779" s="2200" t="str">
        <f t="shared" si="129"/>
        <v>TX</v>
      </c>
      <c r="E2779" s="2200" t="str">
        <f t="shared" si="130"/>
        <v>48</v>
      </c>
      <c r="F2779" s="2200" t="str">
        <f t="shared" si="131"/>
        <v>505</v>
      </c>
      <c r="G2779" s="2200">
        <f>--SUBTOTAL(3,C$2:C2779)</f>
        <v>67</v>
      </c>
    </row>
    <row r="2780" spans="1:7" hidden="1" x14ac:dyDescent="0.15">
      <c r="A2780" s="2200" t="s">
        <v>4280</v>
      </c>
      <c r="B2780" s="2200" t="s">
        <v>9835</v>
      </c>
      <c r="C2780" s="2200" t="s">
        <v>9836</v>
      </c>
      <c r="D2780" s="2200" t="str">
        <f t="shared" si="129"/>
        <v>TX</v>
      </c>
      <c r="E2780" s="2200" t="str">
        <f t="shared" si="130"/>
        <v>48</v>
      </c>
      <c r="F2780" s="2200" t="str">
        <f t="shared" si="131"/>
        <v>507</v>
      </c>
      <c r="G2780" s="2200">
        <f>--SUBTOTAL(3,C$2:C2780)</f>
        <v>67</v>
      </c>
    </row>
    <row r="2781" spans="1:7" hidden="1" x14ac:dyDescent="0.15">
      <c r="A2781" s="2200" t="s">
        <v>4280</v>
      </c>
      <c r="B2781" s="2200" t="s">
        <v>9837</v>
      </c>
      <c r="C2781" s="2200" t="s">
        <v>9838</v>
      </c>
      <c r="D2781" s="2200" t="str">
        <f t="shared" si="129"/>
        <v>UT</v>
      </c>
      <c r="E2781" s="2200" t="str">
        <f t="shared" si="130"/>
        <v>49</v>
      </c>
      <c r="F2781" s="2200" t="str">
        <f t="shared" si="131"/>
        <v>001</v>
      </c>
      <c r="G2781" s="2200">
        <f>--SUBTOTAL(3,C$2:C2781)</f>
        <v>67</v>
      </c>
    </row>
    <row r="2782" spans="1:7" hidden="1" x14ac:dyDescent="0.15">
      <c r="A2782" s="2200" t="s">
        <v>4280</v>
      </c>
      <c r="B2782" s="2200" t="s">
        <v>9839</v>
      </c>
      <c r="C2782" s="2200" t="s">
        <v>9840</v>
      </c>
      <c r="D2782" s="2200" t="str">
        <f t="shared" si="129"/>
        <v>UT</v>
      </c>
      <c r="E2782" s="2200" t="str">
        <f t="shared" si="130"/>
        <v>49</v>
      </c>
      <c r="F2782" s="2200" t="str">
        <f t="shared" si="131"/>
        <v>003</v>
      </c>
      <c r="G2782" s="2200">
        <f>--SUBTOTAL(3,C$2:C2782)</f>
        <v>67</v>
      </c>
    </row>
    <row r="2783" spans="1:7" hidden="1" x14ac:dyDescent="0.15">
      <c r="A2783" s="2200" t="s">
        <v>4280</v>
      </c>
      <c r="B2783" s="2200" t="s">
        <v>9841</v>
      </c>
      <c r="C2783" s="2200" t="s">
        <v>9842</v>
      </c>
      <c r="D2783" s="2200" t="str">
        <f t="shared" si="129"/>
        <v>UT</v>
      </c>
      <c r="E2783" s="2200" t="str">
        <f t="shared" si="130"/>
        <v>49</v>
      </c>
      <c r="F2783" s="2200" t="str">
        <f t="shared" si="131"/>
        <v>005</v>
      </c>
      <c r="G2783" s="2200">
        <f>--SUBTOTAL(3,C$2:C2783)</f>
        <v>67</v>
      </c>
    </row>
    <row r="2784" spans="1:7" hidden="1" x14ac:dyDescent="0.15">
      <c r="A2784" s="2200" t="s">
        <v>4280</v>
      </c>
      <c r="B2784" s="2200" t="s">
        <v>9843</v>
      </c>
      <c r="C2784" s="2200" t="s">
        <v>9844</v>
      </c>
      <c r="D2784" s="2200" t="str">
        <f t="shared" si="129"/>
        <v>UT</v>
      </c>
      <c r="E2784" s="2200" t="str">
        <f t="shared" si="130"/>
        <v>49</v>
      </c>
      <c r="F2784" s="2200" t="str">
        <f t="shared" si="131"/>
        <v>007</v>
      </c>
      <c r="G2784" s="2200">
        <f>--SUBTOTAL(3,C$2:C2784)</f>
        <v>67</v>
      </c>
    </row>
    <row r="2785" spans="1:7" hidden="1" x14ac:dyDescent="0.15">
      <c r="A2785" s="2200" t="s">
        <v>4280</v>
      </c>
      <c r="B2785" s="2200" t="s">
        <v>9845</v>
      </c>
      <c r="C2785" s="2200" t="s">
        <v>9846</v>
      </c>
      <c r="D2785" s="2200" t="str">
        <f t="shared" si="129"/>
        <v>UT</v>
      </c>
      <c r="E2785" s="2200" t="str">
        <f t="shared" si="130"/>
        <v>49</v>
      </c>
      <c r="F2785" s="2200" t="str">
        <f t="shared" si="131"/>
        <v>009</v>
      </c>
      <c r="G2785" s="2200">
        <f>--SUBTOTAL(3,C$2:C2785)</f>
        <v>67</v>
      </c>
    </row>
    <row r="2786" spans="1:7" hidden="1" x14ac:dyDescent="0.15">
      <c r="A2786" s="2200" t="s">
        <v>4280</v>
      </c>
      <c r="B2786" s="2200" t="s">
        <v>9847</v>
      </c>
      <c r="C2786" s="2200" t="s">
        <v>9848</v>
      </c>
      <c r="D2786" s="2200" t="str">
        <f t="shared" si="129"/>
        <v>UT</v>
      </c>
      <c r="E2786" s="2200" t="str">
        <f t="shared" si="130"/>
        <v>49</v>
      </c>
      <c r="F2786" s="2200" t="str">
        <f t="shared" si="131"/>
        <v>011</v>
      </c>
      <c r="G2786" s="2200">
        <f>--SUBTOTAL(3,C$2:C2786)</f>
        <v>67</v>
      </c>
    </row>
    <row r="2787" spans="1:7" hidden="1" x14ac:dyDescent="0.15">
      <c r="A2787" s="2200" t="s">
        <v>4280</v>
      </c>
      <c r="B2787" s="2200" t="s">
        <v>9849</v>
      </c>
      <c r="C2787" s="2200" t="s">
        <v>9850</v>
      </c>
      <c r="D2787" s="2200" t="str">
        <f t="shared" si="129"/>
        <v>UT</v>
      </c>
      <c r="E2787" s="2200" t="str">
        <f t="shared" si="130"/>
        <v>49</v>
      </c>
      <c r="F2787" s="2200" t="str">
        <f t="shared" si="131"/>
        <v>013</v>
      </c>
      <c r="G2787" s="2200">
        <f>--SUBTOTAL(3,C$2:C2787)</f>
        <v>67</v>
      </c>
    </row>
    <row r="2788" spans="1:7" hidden="1" x14ac:dyDescent="0.15">
      <c r="A2788" s="2200" t="s">
        <v>4280</v>
      </c>
      <c r="B2788" s="2200" t="s">
        <v>9851</v>
      </c>
      <c r="C2788" s="2200" t="s">
        <v>9852</v>
      </c>
      <c r="D2788" s="2200" t="str">
        <f t="shared" si="129"/>
        <v>UT</v>
      </c>
      <c r="E2788" s="2200" t="str">
        <f t="shared" si="130"/>
        <v>49</v>
      </c>
      <c r="F2788" s="2200" t="str">
        <f t="shared" si="131"/>
        <v>015</v>
      </c>
      <c r="G2788" s="2200">
        <f>--SUBTOTAL(3,C$2:C2788)</f>
        <v>67</v>
      </c>
    </row>
    <row r="2789" spans="1:7" hidden="1" x14ac:dyDescent="0.15">
      <c r="A2789" s="2200" t="s">
        <v>4280</v>
      </c>
      <c r="B2789" s="2200" t="s">
        <v>9853</v>
      </c>
      <c r="C2789" s="2200" t="s">
        <v>9854</v>
      </c>
      <c r="D2789" s="2200" t="str">
        <f t="shared" si="129"/>
        <v>UT</v>
      </c>
      <c r="E2789" s="2200" t="str">
        <f t="shared" si="130"/>
        <v>49</v>
      </c>
      <c r="F2789" s="2200" t="str">
        <f t="shared" si="131"/>
        <v>017</v>
      </c>
      <c r="G2789" s="2200">
        <f>--SUBTOTAL(3,C$2:C2789)</f>
        <v>67</v>
      </c>
    </row>
    <row r="2790" spans="1:7" hidden="1" x14ac:dyDescent="0.15">
      <c r="A2790" s="2200" t="s">
        <v>4280</v>
      </c>
      <c r="B2790" s="2200" t="s">
        <v>9855</v>
      </c>
      <c r="C2790" s="2200" t="s">
        <v>9856</v>
      </c>
      <c r="D2790" s="2200" t="str">
        <f t="shared" si="129"/>
        <v>UT</v>
      </c>
      <c r="E2790" s="2200" t="str">
        <f t="shared" si="130"/>
        <v>49</v>
      </c>
      <c r="F2790" s="2200" t="str">
        <f t="shared" si="131"/>
        <v>019</v>
      </c>
      <c r="G2790" s="2200">
        <f>--SUBTOTAL(3,C$2:C2790)</f>
        <v>67</v>
      </c>
    </row>
    <row r="2791" spans="1:7" hidden="1" x14ac:dyDescent="0.15">
      <c r="A2791" s="2200" t="s">
        <v>4280</v>
      </c>
      <c r="B2791" s="2200" t="s">
        <v>9857</v>
      </c>
      <c r="C2791" s="2200" t="s">
        <v>9858</v>
      </c>
      <c r="D2791" s="2200" t="str">
        <f t="shared" si="129"/>
        <v>UT</v>
      </c>
      <c r="E2791" s="2200" t="str">
        <f t="shared" si="130"/>
        <v>49</v>
      </c>
      <c r="F2791" s="2200" t="str">
        <f t="shared" si="131"/>
        <v>021</v>
      </c>
      <c r="G2791" s="2200">
        <f>--SUBTOTAL(3,C$2:C2791)</f>
        <v>67</v>
      </c>
    </row>
    <row r="2792" spans="1:7" hidden="1" x14ac:dyDescent="0.15">
      <c r="A2792" s="2200" t="s">
        <v>4280</v>
      </c>
      <c r="B2792" s="2200" t="s">
        <v>9859</v>
      </c>
      <c r="C2792" s="2200" t="s">
        <v>9860</v>
      </c>
      <c r="D2792" s="2200" t="str">
        <f t="shared" si="129"/>
        <v>UT</v>
      </c>
      <c r="E2792" s="2200" t="str">
        <f t="shared" si="130"/>
        <v>49</v>
      </c>
      <c r="F2792" s="2200" t="str">
        <f t="shared" si="131"/>
        <v>023</v>
      </c>
      <c r="G2792" s="2200">
        <f>--SUBTOTAL(3,C$2:C2792)</f>
        <v>67</v>
      </c>
    </row>
    <row r="2793" spans="1:7" hidden="1" x14ac:dyDescent="0.15">
      <c r="A2793" s="2200" t="s">
        <v>4280</v>
      </c>
      <c r="B2793" s="2200" t="s">
        <v>9861</v>
      </c>
      <c r="C2793" s="2200" t="s">
        <v>9862</v>
      </c>
      <c r="D2793" s="2200" t="str">
        <f t="shared" si="129"/>
        <v>UT</v>
      </c>
      <c r="E2793" s="2200" t="str">
        <f t="shared" si="130"/>
        <v>49</v>
      </c>
      <c r="F2793" s="2200" t="str">
        <f t="shared" si="131"/>
        <v>025</v>
      </c>
      <c r="G2793" s="2200">
        <f>--SUBTOTAL(3,C$2:C2793)</f>
        <v>67</v>
      </c>
    </row>
    <row r="2794" spans="1:7" hidden="1" x14ac:dyDescent="0.15">
      <c r="A2794" s="2200" t="s">
        <v>4280</v>
      </c>
      <c r="B2794" s="2200" t="s">
        <v>9863</v>
      </c>
      <c r="C2794" s="2200" t="s">
        <v>9864</v>
      </c>
      <c r="D2794" s="2200" t="str">
        <f t="shared" si="129"/>
        <v>UT</v>
      </c>
      <c r="E2794" s="2200" t="str">
        <f t="shared" si="130"/>
        <v>49</v>
      </c>
      <c r="F2794" s="2200" t="str">
        <f t="shared" si="131"/>
        <v>027</v>
      </c>
      <c r="G2794" s="2200">
        <f>--SUBTOTAL(3,C$2:C2794)</f>
        <v>67</v>
      </c>
    </row>
    <row r="2795" spans="1:7" hidden="1" x14ac:dyDescent="0.15">
      <c r="A2795" s="2200" t="s">
        <v>4280</v>
      </c>
      <c r="B2795" s="2200" t="s">
        <v>9865</v>
      </c>
      <c r="C2795" s="2200" t="s">
        <v>9866</v>
      </c>
      <c r="D2795" s="2200" t="str">
        <f t="shared" si="129"/>
        <v>UT</v>
      </c>
      <c r="E2795" s="2200" t="str">
        <f t="shared" si="130"/>
        <v>49</v>
      </c>
      <c r="F2795" s="2200" t="str">
        <f t="shared" si="131"/>
        <v>029</v>
      </c>
      <c r="G2795" s="2200">
        <f>--SUBTOTAL(3,C$2:C2795)</f>
        <v>67</v>
      </c>
    </row>
    <row r="2796" spans="1:7" hidden="1" x14ac:dyDescent="0.15">
      <c r="A2796" s="2200" t="s">
        <v>4280</v>
      </c>
      <c r="B2796" s="2200" t="s">
        <v>9867</v>
      </c>
      <c r="C2796" s="2200" t="s">
        <v>9868</v>
      </c>
      <c r="D2796" s="2200" t="str">
        <f t="shared" si="129"/>
        <v>UT</v>
      </c>
      <c r="E2796" s="2200" t="str">
        <f t="shared" si="130"/>
        <v>49</v>
      </c>
      <c r="F2796" s="2200" t="str">
        <f t="shared" si="131"/>
        <v>031</v>
      </c>
      <c r="G2796" s="2200">
        <f>--SUBTOTAL(3,C$2:C2796)</f>
        <v>67</v>
      </c>
    </row>
    <row r="2797" spans="1:7" hidden="1" x14ac:dyDescent="0.15">
      <c r="A2797" s="2200" t="s">
        <v>4280</v>
      </c>
      <c r="B2797" s="2200" t="s">
        <v>9869</v>
      </c>
      <c r="C2797" s="2200" t="s">
        <v>9870</v>
      </c>
      <c r="D2797" s="2200" t="str">
        <f t="shared" si="129"/>
        <v>UT</v>
      </c>
      <c r="E2797" s="2200" t="str">
        <f t="shared" si="130"/>
        <v>49</v>
      </c>
      <c r="F2797" s="2200" t="str">
        <f t="shared" si="131"/>
        <v>033</v>
      </c>
      <c r="G2797" s="2200">
        <f>--SUBTOTAL(3,C$2:C2797)</f>
        <v>67</v>
      </c>
    </row>
    <row r="2798" spans="1:7" hidden="1" x14ac:dyDescent="0.15">
      <c r="A2798" s="2200" t="s">
        <v>4280</v>
      </c>
      <c r="B2798" s="2200" t="s">
        <v>9871</v>
      </c>
      <c r="C2798" s="2200" t="s">
        <v>9872</v>
      </c>
      <c r="D2798" s="2200" t="str">
        <f t="shared" si="129"/>
        <v>UT</v>
      </c>
      <c r="E2798" s="2200" t="str">
        <f t="shared" si="130"/>
        <v>49</v>
      </c>
      <c r="F2798" s="2200" t="str">
        <f t="shared" si="131"/>
        <v>035</v>
      </c>
      <c r="G2798" s="2200">
        <f>--SUBTOTAL(3,C$2:C2798)</f>
        <v>67</v>
      </c>
    </row>
    <row r="2799" spans="1:7" hidden="1" x14ac:dyDescent="0.15">
      <c r="A2799" s="2200" t="s">
        <v>4280</v>
      </c>
      <c r="B2799" s="2200" t="s">
        <v>9873</v>
      </c>
      <c r="C2799" s="2200" t="s">
        <v>9874</v>
      </c>
      <c r="D2799" s="2200" t="str">
        <f t="shared" si="129"/>
        <v>UT</v>
      </c>
      <c r="E2799" s="2200" t="str">
        <f t="shared" si="130"/>
        <v>49</v>
      </c>
      <c r="F2799" s="2200" t="str">
        <f t="shared" si="131"/>
        <v>037</v>
      </c>
      <c r="G2799" s="2200">
        <f>--SUBTOTAL(3,C$2:C2799)</f>
        <v>67</v>
      </c>
    </row>
    <row r="2800" spans="1:7" hidden="1" x14ac:dyDescent="0.15">
      <c r="A2800" s="2200" t="s">
        <v>4280</v>
      </c>
      <c r="B2800" s="2200" t="s">
        <v>9875</v>
      </c>
      <c r="C2800" s="2200" t="s">
        <v>9876</v>
      </c>
      <c r="D2800" s="2200" t="str">
        <f t="shared" si="129"/>
        <v>UT</v>
      </c>
      <c r="E2800" s="2200" t="str">
        <f t="shared" si="130"/>
        <v>49</v>
      </c>
      <c r="F2800" s="2200" t="str">
        <f t="shared" si="131"/>
        <v>039</v>
      </c>
      <c r="G2800" s="2200">
        <f>--SUBTOTAL(3,C$2:C2800)</f>
        <v>67</v>
      </c>
    </row>
    <row r="2801" spans="1:7" hidden="1" x14ac:dyDescent="0.15">
      <c r="A2801" s="2200" t="s">
        <v>4280</v>
      </c>
      <c r="B2801" s="2200" t="s">
        <v>9877</v>
      </c>
      <c r="C2801" s="2200" t="s">
        <v>9878</v>
      </c>
      <c r="D2801" s="2200" t="str">
        <f t="shared" si="129"/>
        <v>UT</v>
      </c>
      <c r="E2801" s="2200" t="str">
        <f t="shared" si="130"/>
        <v>49</v>
      </c>
      <c r="F2801" s="2200" t="str">
        <f t="shared" si="131"/>
        <v>041</v>
      </c>
      <c r="G2801" s="2200">
        <f>--SUBTOTAL(3,C$2:C2801)</f>
        <v>67</v>
      </c>
    </row>
    <row r="2802" spans="1:7" hidden="1" x14ac:dyDescent="0.15">
      <c r="A2802" s="2200" t="s">
        <v>4280</v>
      </c>
      <c r="B2802" s="2200" t="s">
        <v>9879</v>
      </c>
      <c r="C2802" s="2200" t="s">
        <v>9880</v>
      </c>
      <c r="D2802" s="2200" t="str">
        <f t="shared" si="129"/>
        <v>UT</v>
      </c>
      <c r="E2802" s="2200" t="str">
        <f t="shared" si="130"/>
        <v>49</v>
      </c>
      <c r="F2802" s="2200" t="str">
        <f t="shared" si="131"/>
        <v>043</v>
      </c>
      <c r="G2802" s="2200">
        <f>--SUBTOTAL(3,C$2:C2802)</f>
        <v>67</v>
      </c>
    </row>
    <row r="2803" spans="1:7" hidden="1" x14ac:dyDescent="0.15">
      <c r="A2803" s="2200" t="s">
        <v>4280</v>
      </c>
      <c r="B2803" s="2200" t="s">
        <v>9881</v>
      </c>
      <c r="C2803" s="2200" t="s">
        <v>9882</v>
      </c>
      <c r="D2803" s="2200" t="str">
        <f t="shared" si="129"/>
        <v>UT</v>
      </c>
      <c r="E2803" s="2200" t="str">
        <f t="shared" si="130"/>
        <v>49</v>
      </c>
      <c r="F2803" s="2200" t="str">
        <f t="shared" si="131"/>
        <v>045</v>
      </c>
      <c r="G2803" s="2200">
        <f>--SUBTOTAL(3,C$2:C2803)</f>
        <v>67</v>
      </c>
    </row>
    <row r="2804" spans="1:7" hidden="1" x14ac:dyDescent="0.15">
      <c r="A2804" s="2200" t="s">
        <v>4280</v>
      </c>
      <c r="B2804" s="2200" t="s">
        <v>9883</v>
      </c>
      <c r="C2804" s="2200" t="s">
        <v>9884</v>
      </c>
      <c r="D2804" s="2200" t="str">
        <f t="shared" si="129"/>
        <v>UT</v>
      </c>
      <c r="E2804" s="2200" t="str">
        <f t="shared" si="130"/>
        <v>49</v>
      </c>
      <c r="F2804" s="2200" t="str">
        <f t="shared" si="131"/>
        <v>047</v>
      </c>
      <c r="G2804" s="2200">
        <f>--SUBTOTAL(3,C$2:C2804)</f>
        <v>67</v>
      </c>
    </row>
    <row r="2805" spans="1:7" hidden="1" x14ac:dyDescent="0.15">
      <c r="A2805" s="2200" t="s">
        <v>4280</v>
      </c>
      <c r="B2805" s="2200" t="s">
        <v>9885</v>
      </c>
      <c r="C2805" s="2200" t="s">
        <v>9886</v>
      </c>
      <c r="D2805" s="2200" t="str">
        <f t="shared" si="129"/>
        <v>UT</v>
      </c>
      <c r="E2805" s="2200" t="str">
        <f t="shared" si="130"/>
        <v>49</v>
      </c>
      <c r="F2805" s="2200" t="str">
        <f t="shared" si="131"/>
        <v>049</v>
      </c>
      <c r="G2805" s="2200">
        <f>--SUBTOTAL(3,C$2:C2805)</f>
        <v>67</v>
      </c>
    </row>
    <row r="2806" spans="1:7" hidden="1" x14ac:dyDescent="0.15">
      <c r="A2806" s="2200" t="s">
        <v>4280</v>
      </c>
      <c r="B2806" s="2200" t="s">
        <v>9887</v>
      </c>
      <c r="C2806" s="2200" t="s">
        <v>9888</v>
      </c>
      <c r="D2806" s="2200" t="str">
        <f t="shared" si="129"/>
        <v>UT</v>
      </c>
      <c r="E2806" s="2200" t="str">
        <f t="shared" si="130"/>
        <v>49</v>
      </c>
      <c r="F2806" s="2200" t="str">
        <f t="shared" si="131"/>
        <v>051</v>
      </c>
      <c r="G2806" s="2200">
        <f>--SUBTOTAL(3,C$2:C2806)</f>
        <v>67</v>
      </c>
    </row>
    <row r="2807" spans="1:7" hidden="1" x14ac:dyDescent="0.15">
      <c r="A2807" s="2200" t="s">
        <v>4280</v>
      </c>
      <c r="B2807" s="2200" t="s">
        <v>9889</v>
      </c>
      <c r="C2807" s="2200" t="s">
        <v>9890</v>
      </c>
      <c r="D2807" s="2200" t="str">
        <f t="shared" si="129"/>
        <v>UT</v>
      </c>
      <c r="E2807" s="2200" t="str">
        <f t="shared" si="130"/>
        <v>49</v>
      </c>
      <c r="F2807" s="2200" t="str">
        <f t="shared" si="131"/>
        <v>053</v>
      </c>
      <c r="G2807" s="2200">
        <f>--SUBTOTAL(3,C$2:C2807)</f>
        <v>67</v>
      </c>
    </row>
    <row r="2808" spans="1:7" hidden="1" x14ac:dyDescent="0.15">
      <c r="A2808" s="2200" t="s">
        <v>4280</v>
      </c>
      <c r="B2808" s="2200" t="s">
        <v>9891</v>
      </c>
      <c r="C2808" s="2200" t="s">
        <v>9892</v>
      </c>
      <c r="D2808" s="2200" t="str">
        <f t="shared" si="129"/>
        <v>UT</v>
      </c>
      <c r="E2808" s="2200" t="str">
        <f t="shared" si="130"/>
        <v>49</v>
      </c>
      <c r="F2808" s="2200" t="str">
        <f t="shared" si="131"/>
        <v>055</v>
      </c>
      <c r="G2808" s="2200">
        <f>--SUBTOTAL(3,C$2:C2808)</f>
        <v>67</v>
      </c>
    </row>
    <row r="2809" spans="1:7" hidden="1" x14ac:dyDescent="0.15">
      <c r="A2809" s="2200" t="s">
        <v>4280</v>
      </c>
      <c r="B2809" s="2200" t="s">
        <v>9893</v>
      </c>
      <c r="C2809" s="2200" t="s">
        <v>9894</v>
      </c>
      <c r="D2809" s="2200" t="str">
        <f t="shared" si="129"/>
        <v>UT</v>
      </c>
      <c r="E2809" s="2200" t="str">
        <f t="shared" si="130"/>
        <v>49</v>
      </c>
      <c r="F2809" s="2200" t="str">
        <f t="shared" si="131"/>
        <v>057</v>
      </c>
      <c r="G2809" s="2200">
        <f>--SUBTOTAL(3,C$2:C2809)</f>
        <v>67</v>
      </c>
    </row>
    <row r="2810" spans="1:7" hidden="1" x14ac:dyDescent="0.15">
      <c r="A2810" s="2200" t="s">
        <v>4280</v>
      </c>
      <c r="B2810" s="2200" t="s">
        <v>9895</v>
      </c>
      <c r="C2810" s="2200" t="s">
        <v>9896</v>
      </c>
      <c r="D2810" s="2200" t="str">
        <f t="shared" si="129"/>
        <v>VT</v>
      </c>
      <c r="E2810" s="2200" t="str">
        <f t="shared" si="130"/>
        <v>50</v>
      </c>
      <c r="F2810" s="2200" t="str">
        <f t="shared" si="131"/>
        <v>001</v>
      </c>
      <c r="G2810" s="2200">
        <f>--SUBTOTAL(3,C$2:C2810)</f>
        <v>67</v>
      </c>
    </row>
    <row r="2811" spans="1:7" hidden="1" x14ac:dyDescent="0.15">
      <c r="A2811" s="2200" t="s">
        <v>4280</v>
      </c>
      <c r="B2811" s="2200" t="s">
        <v>9897</v>
      </c>
      <c r="C2811" s="2200" t="s">
        <v>9898</v>
      </c>
      <c r="D2811" s="2200" t="str">
        <f t="shared" si="129"/>
        <v>VT</v>
      </c>
      <c r="E2811" s="2200" t="str">
        <f t="shared" si="130"/>
        <v>50</v>
      </c>
      <c r="F2811" s="2200" t="str">
        <f t="shared" si="131"/>
        <v>003</v>
      </c>
      <c r="G2811" s="2200">
        <f>--SUBTOTAL(3,C$2:C2811)</f>
        <v>67</v>
      </c>
    </row>
    <row r="2812" spans="1:7" hidden="1" x14ac:dyDescent="0.15">
      <c r="A2812" s="2200" t="s">
        <v>4280</v>
      </c>
      <c r="B2812" s="2200" t="s">
        <v>9899</v>
      </c>
      <c r="C2812" s="2200" t="s">
        <v>9900</v>
      </c>
      <c r="D2812" s="2200" t="str">
        <f t="shared" si="129"/>
        <v>VT</v>
      </c>
      <c r="E2812" s="2200" t="str">
        <f t="shared" si="130"/>
        <v>50</v>
      </c>
      <c r="F2812" s="2200" t="str">
        <f t="shared" si="131"/>
        <v>005</v>
      </c>
      <c r="G2812" s="2200">
        <f>--SUBTOTAL(3,C$2:C2812)</f>
        <v>67</v>
      </c>
    </row>
    <row r="2813" spans="1:7" hidden="1" x14ac:dyDescent="0.15">
      <c r="A2813" s="2200" t="s">
        <v>4280</v>
      </c>
      <c r="B2813" s="2200" t="s">
        <v>9901</v>
      </c>
      <c r="C2813" s="2200" t="s">
        <v>9902</v>
      </c>
      <c r="D2813" s="2200" t="str">
        <f t="shared" si="129"/>
        <v>VT</v>
      </c>
      <c r="E2813" s="2200" t="str">
        <f t="shared" si="130"/>
        <v>50</v>
      </c>
      <c r="F2813" s="2200" t="str">
        <f t="shared" si="131"/>
        <v>007</v>
      </c>
      <c r="G2813" s="2200">
        <f>--SUBTOTAL(3,C$2:C2813)</f>
        <v>67</v>
      </c>
    </row>
    <row r="2814" spans="1:7" hidden="1" x14ac:dyDescent="0.15">
      <c r="A2814" s="2200" t="s">
        <v>4280</v>
      </c>
      <c r="B2814" s="2200" t="s">
        <v>9903</v>
      </c>
      <c r="C2814" s="2200" t="s">
        <v>9904</v>
      </c>
      <c r="D2814" s="2200" t="str">
        <f t="shared" si="129"/>
        <v>VT</v>
      </c>
      <c r="E2814" s="2200" t="str">
        <f t="shared" si="130"/>
        <v>50</v>
      </c>
      <c r="F2814" s="2200" t="str">
        <f t="shared" si="131"/>
        <v>009</v>
      </c>
      <c r="G2814" s="2200">
        <f>--SUBTOTAL(3,C$2:C2814)</f>
        <v>67</v>
      </c>
    </row>
    <row r="2815" spans="1:7" hidden="1" x14ac:dyDescent="0.15">
      <c r="A2815" s="2200" t="s">
        <v>4280</v>
      </c>
      <c r="B2815" s="2200" t="s">
        <v>9905</v>
      </c>
      <c r="C2815" s="2200" t="s">
        <v>9906</v>
      </c>
      <c r="D2815" s="2200" t="str">
        <f t="shared" si="129"/>
        <v>VT</v>
      </c>
      <c r="E2815" s="2200" t="str">
        <f t="shared" si="130"/>
        <v>50</v>
      </c>
      <c r="F2815" s="2200" t="str">
        <f t="shared" si="131"/>
        <v>011</v>
      </c>
      <c r="G2815" s="2200">
        <f>--SUBTOTAL(3,C$2:C2815)</f>
        <v>67</v>
      </c>
    </row>
    <row r="2816" spans="1:7" hidden="1" x14ac:dyDescent="0.15">
      <c r="A2816" s="2200" t="s">
        <v>4280</v>
      </c>
      <c r="B2816" s="2200" t="s">
        <v>9907</v>
      </c>
      <c r="C2816" s="2200" t="s">
        <v>9908</v>
      </c>
      <c r="D2816" s="2200" t="str">
        <f t="shared" si="129"/>
        <v>VT</v>
      </c>
      <c r="E2816" s="2200" t="str">
        <f t="shared" si="130"/>
        <v>50</v>
      </c>
      <c r="F2816" s="2200" t="str">
        <f t="shared" si="131"/>
        <v>013</v>
      </c>
      <c r="G2816" s="2200">
        <f>--SUBTOTAL(3,C$2:C2816)</f>
        <v>67</v>
      </c>
    </row>
    <row r="2817" spans="1:7" hidden="1" x14ac:dyDescent="0.15">
      <c r="A2817" s="2200" t="s">
        <v>4280</v>
      </c>
      <c r="B2817" s="2200" t="s">
        <v>9909</v>
      </c>
      <c r="C2817" s="2200" t="s">
        <v>9910</v>
      </c>
      <c r="D2817" s="2200" t="str">
        <f t="shared" si="129"/>
        <v>VT</v>
      </c>
      <c r="E2817" s="2200" t="str">
        <f t="shared" si="130"/>
        <v>50</v>
      </c>
      <c r="F2817" s="2200" t="str">
        <f t="shared" si="131"/>
        <v>015</v>
      </c>
      <c r="G2817" s="2200">
        <f>--SUBTOTAL(3,C$2:C2817)</f>
        <v>67</v>
      </c>
    </row>
    <row r="2818" spans="1:7" hidden="1" x14ac:dyDescent="0.15">
      <c r="A2818" s="2200" t="s">
        <v>4280</v>
      </c>
      <c r="B2818" s="2200" t="s">
        <v>9911</v>
      </c>
      <c r="C2818" s="2200" t="s">
        <v>9912</v>
      </c>
      <c r="D2818" s="2200" t="str">
        <f t="shared" si="129"/>
        <v>VT</v>
      </c>
      <c r="E2818" s="2200" t="str">
        <f t="shared" si="130"/>
        <v>50</v>
      </c>
      <c r="F2818" s="2200" t="str">
        <f t="shared" si="131"/>
        <v>017</v>
      </c>
      <c r="G2818" s="2200">
        <f>--SUBTOTAL(3,C$2:C2818)</f>
        <v>67</v>
      </c>
    </row>
    <row r="2819" spans="1:7" hidden="1" x14ac:dyDescent="0.15">
      <c r="A2819" s="2200" t="s">
        <v>4280</v>
      </c>
      <c r="B2819" s="2200" t="s">
        <v>9913</v>
      </c>
      <c r="C2819" s="2200" t="s">
        <v>9914</v>
      </c>
      <c r="D2819" s="2200" t="str">
        <f t="shared" ref="D2819:D2882" si="132">RIGHT(C2819,2)</f>
        <v>VT</v>
      </c>
      <c r="E2819" s="2200" t="str">
        <f t="shared" ref="E2819:E2882" si="133">MID(B2819,3,2)</f>
        <v>50</v>
      </c>
      <c r="F2819" s="2200" t="str">
        <f t="shared" ref="F2819:F2882" si="134">MID(B2819,5,3)</f>
        <v>019</v>
      </c>
      <c r="G2819" s="2200">
        <f>--SUBTOTAL(3,C$2:C2819)</f>
        <v>67</v>
      </c>
    </row>
    <row r="2820" spans="1:7" hidden="1" x14ac:dyDescent="0.15">
      <c r="A2820" s="2200" t="s">
        <v>4280</v>
      </c>
      <c r="B2820" s="2200" t="s">
        <v>9915</v>
      </c>
      <c r="C2820" s="2200" t="s">
        <v>9916</v>
      </c>
      <c r="D2820" s="2200" t="str">
        <f t="shared" si="132"/>
        <v>VT</v>
      </c>
      <c r="E2820" s="2200" t="str">
        <f t="shared" si="133"/>
        <v>50</v>
      </c>
      <c r="F2820" s="2200" t="str">
        <f t="shared" si="134"/>
        <v>021</v>
      </c>
      <c r="G2820" s="2200">
        <f>--SUBTOTAL(3,C$2:C2820)</f>
        <v>67</v>
      </c>
    </row>
    <row r="2821" spans="1:7" hidden="1" x14ac:dyDescent="0.15">
      <c r="A2821" s="2200" t="s">
        <v>4280</v>
      </c>
      <c r="B2821" s="2200" t="s">
        <v>9917</v>
      </c>
      <c r="C2821" s="2200" t="s">
        <v>9918</v>
      </c>
      <c r="D2821" s="2200" t="str">
        <f t="shared" si="132"/>
        <v>VT</v>
      </c>
      <c r="E2821" s="2200" t="str">
        <f t="shared" si="133"/>
        <v>50</v>
      </c>
      <c r="F2821" s="2200" t="str">
        <f t="shared" si="134"/>
        <v>023</v>
      </c>
      <c r="G2821" s="2200">
        <f>--SUBTOTAL(3,C$2:C2821)</f>
        <v>67</v>
      </c>
    </row>
    <row r="2822" spans="1:7" hidden="1" x14ac:dyDescent="0.15">
      <c r="A2822" s="2200" t="s">
        <v>4280</v>
      </c>
      <c r="B2822" s="2200" t="s">
        <v>9919</v>
      </c>
      <c r="C2822" s="2200" t="s">
        <v>9920</v>
      </c>
      <c r="D2822" s="2200" t="str">
        <f t="shared" si="132"/>
        <v>VT</v>
      </c>
      <c r="E2822" s="2200" t="str">
        <f t="shared" si="133"/>
        <v>50</v>
      </c>
      <c r="F2822" s="2200" t="str">
        <f t="shared" si="134"/>
        <v>025</v>
      </c>
      <c r="G2822" s="2200">
        <f>--SUBTOTAL(3,C$2:C2822)</f>
        <v>67</v>
      </c>
    </row>
    <row r="2823" spans="1:7" hidden="1" x14ac:dyDescent="0.15">
      <c r="A2823" s="2200" t="s">
        <v>4280</v>
      </c>
      <c r="B2823" s="2200" t="s">
        <v>9921</v>
      </c>
      <c r="C2823" s="2200" t="s">
        <v>9922</v>
      </c>
      <c r="D2823" s="2200" t="str">
        <f t="shared" si="132"/>
        <v>VT</v>
      </c>
      <c r="E2823" s="2200" t="str">
        <f t="shared" si="133"/>
        <v>50</v>
      </c>
      <c r="F2823" s="2200" t="str">
        <f t="shared" si="134"/>
        <v>027</v>
      </c>
      <c r="G2823" s="2200">
        <f>--SUBTOTAL(3,C$2:C2823)</f>
        <v>67</v>
      </c>
    </row>
    <row r="2824" spans="1:7" hidden="1" x14ac:dyDescent="0.15">
      <c r="A2824" s="2200" t="s">
        <v>4280</v>
      </c>
      <c r="B2824" s="2200" t="s">
        <v>9923</v>
      </c>
      <c r="C2824" s="2200" t="s">
        <v>9924</v>
      </c>
      <c r="D2824" s="2200" t="str">
        <f t="shared" si="132"/>
        <v>VA</v>
      </c>
      <c r="E2824" s="2200" t="str">
        <f t="shared" si="133"/>
        <v>51</v>
      </c>
      <c r="F2824" s="2200" t="str">
        <f t="shared" si="134"/>
        <v>001</v>
      </c>
      <c r="G2824" s="2200">
        <f>--SUBTOTAL(3,C$2:C2824)</f>
        <v>67</v>
      </c>
    </row>
    <row r="2825" spans="1:7" hidden="1" x14ac:dyDescent="0.15">
      <c r="A2825" s="2200" t="s">
        <v>4280</v>
      </c>
      <c r="B2825" s="2200" t="s">
        <v>9925</v>
      </c>
      <c r="C2825" s="2200" t="s">
        <v>9926</v>
      </c>
      <c r="D2825" s="2200" t="str">
        <f t="shared" si="132"/>
        <v>VA</v>
      </c>
      <c r="E2825" s="2200" t="str">
        <f t="shared" si="133"/>
        <v>51</v>
      </c>
      <c r="F2825" s="2200" t="str">
        <f t="shared" si="134"/>
        <v>003</v>
      </c>
      <c r="G2825" s="2200">
        <f>--SUBTOTAL(3,C$2:C2825)</f>
        <v>67</v>
      </c>
    </row>
    <row r="2826" spans="1:7" hidden="1" x14ac:dyDescent="0.15">
      <c r="A2826" s="2200" t="s">
        <v>4280</v>
      </c>
      <c r="B2826" s="2200" t="s">
        <v>9927</v>
      </c>
      <c r="C2826" s="2200" t="s">
        <v>9928</v>
      </c>
      <c r="D2826" s="2200" t="str">
        <f t="shared" si="132"/>
        <v>VA</v>
      </c>
      <c r="E2826" s="2200" t="str">
        <f t="shared" si="133"/>
        <v>51</v>
      </c>
      <c r="F2826" s="2200" t="str">
        <f t="shared" si="134"/>
        <v>005</v>
      </c>
      <c r="G2826" s="2200">
        <f>--SUBTOTAL(3,C$2:C2826)</f>
        <v>67</v>
      </c>
    </row>
    <row r="2827" spans="1:7" hidden="1" x14ac:dyDescent="0.15">
      <c r="A2827" s="2200" t="s">
        <v>4280</v>
      </c>
      <c r="B2827" s="2200" t="s">
        <v>9929</v>
      </c>
      <c r="C2827" s="2200" t="s">
        <v>9930</v>
      </c>
      <c r="D2827" s="2200" t="str">
        <f t="shared" si="132"/>
        <v>VA</v>
      </c>
      <c r="E2827" s="2200" t="str">
        <f t="shared" si="133"/>
        <v>51</v>
      </c>
      <c r="F2827" s="2200" t="str">
        <f t="shared" si="134"/>
        <v>007</v>
      </c>
      <c r="G2827" s="2200">
        <f>--SUBTOTAL(3,C$2:C2827)</f>
        <v>67</v>
      </c>
    </row>
    <row r="2828" spans="1:7" hidden="1" x14ac:dyDescent="0.15">
      <c r="A2828" s="2200" t="s">
        <v>4280</v>
      </c>
      <c r="B2828" s="2200" t="s">
        <v>9931</v>
      </c>
      <c r="C2828" s="2200" t="s">
        <v>9932</v>
      </c>
      <c r="D2828" s="2200" t="str">
        <f t="shared" si="132"/>
        <v>VA</v>
      </c>
      <c r="E2828" s="2200" t="str">
        <f t="shared" si="133"/>
        <v>51</v>
      </c>
      <c r="F2828" s="2200" t="str">
        <f t="shared" si="134"/>
        <v>009</v>
      </c>
      <c r="G2828" s="2200">
        <f>--SUBTOTAL(3,C$2:C2828)</f>
        <v>67</v>
      </c>
    </row>
    <row r="2829" spans="1:7" hidden="1" x14ac:dyDescent="0.15">
      <c r="A2829" s="2200" t="s">
        <v>4280</v>
      </c>
      <c r="B2829" s="2200" t="s">
        <v>9933</v>
      </c>
      <c r="C2829" s="2200" t="s">
        <v>9934</v>
      </c>
      <c r="D2829" s="2200" t="str">
        <f t="shared" si="132"/>
        <v>VA</v>
      </c>
      <c r="E2829" s="2200" t="str">
        <f t="shared" si="133"/>
        <v>51</v>
      </c>
      <c r="F2829" s="2200" t="str">
        <f t="shared" si="134"/>
        <v>011</v>
      </c>
      <c r="G2829" s="2200">
        <f>--SUBTOTAL(3,C$2:C2829)</f>
        <v>67</v>
      </c>
    </row>
    <row r="2830" spans="1:7" hidden="1" x14ac:dyDescent="0.15">
      <c r="A2830" s="2200" t="s">
        <v>4280</v>
      </c>
      <c r="B2830" s="2200" t="s">
        <v>9935</v>
      </c>
      <c r="C2830" s="2200" t="s">
        <v>9936</v>
      </c>
      <c r="D2830" s="2200" t="str">
        <f t="shared" si="132"/>
        <v>VA</v>
      </c>
      <c r="E2830" s="2200" t="str">
        <f t="shared" si="133"/>
        <v>51</v>
      </c>
      <c r="F2830" s="2200" t="str">
        <f t="shared" si="134"/>
        <v>013</v>
      </c>
      <c r="G2830" s="2200">
        <f>--SUBTOTAL(3,C$2:C2830)</f>
        <v>67</v>
      </c>
    </row>
    <row r="2831" spans="1:7" hidden="1" x14ac:dyDescent="0.15">
      <c r="A2831" s="2200" t="s">
        <v>4280</v>
      </c>
      <c r="B2831" s="2200" t="s">
        <v>9937</v>
      </c>
      <c r="C2831" s="2200" t="s">
        <v>9938</v>
      </c>
      <c r="D2831" s="2200" t="str">
        <f t="shared" si="132"/>
        <v>VA</v>
      </c>
      <c r="E2831" s="2200" t="str">
        <f t="shared" si="133"/>
        <v>51</v>
      </c>
      <c r="F2831" s="2200" t="str">
        <f t="shared" si="134"/>
        <v>015</v>
      </c>
      <c r="G2831" s="2200">
        <f>--SUBTOTAL(3,C$2:C2831)</f>
        <v>67</v>
      </c>
    </row>
    <row r="2832" spans="1:7" hidden="1" x14ac:dyDescent="0.15">
      <c r="A2832" s="2200" t="s">
        <v>4280</v>
      </c>
      <c r="B2832" s="2200" t="s">
        <v>9939</v>
      </c>
      <c r="C2832" s="2200" t="s">
        <v>9940</v>
      </c>
      <c r="D2832" s="2200" t="str">
        <f t="shared" si="132"/>
        <v>VA</v>
      </c>
      <c r="E2832" s="2200" t="str">
        <f t="shared" si="133"/>
        <v>51</v>
      </c>
      <c r="F2832" s="2200" t="str">
        <f t="shared" si="134"/>
        <v>017</v>
      </c>
      <c r="G2832" s="2200">
        <f>--SUBTOTAL(3,C$2:C2832)</f>
        <v>67</v>
      </c>
    </row>
    <row r="2833" spans="1:7" hidden="1" x14ac:dyDescent="0.15">
      <c r="A2833" s="2200" t="s">
        <v>4280</v>
      </c>
      <c r="B2833" s="2200" t="s">
        <v>9941</v>
      </c>
      <c r="C2833" s="2200" t="s">
        <v>9942</v>
      </c>
      <c r="D2833" s="2200" t="str">
        <f t="shared" si="132"/>
        <v>VA</v>
      </c>
      <c r="E2833" s="2200" t="str">
        <f t="shared" si="133"/>
        <v>51</v>
      </c>
      <c r="F2833" s="2200" t="str">
        <f t="shared" si="134"/>
        <v>019</v>
      </c>
      <c r="G2833" s="2200">
        <f>--SUBTOTAL(3,C$2:C2833)</f>
        <v>67</v>
      </c>
    </row>
    <row r="2834" spans="1:7" hidden="1" x14ac:dyDescent="0.15">
      <c r="A2834" s="2200" t="s">
        <v>4280</v>
      </c>
      <c r="B2834" s="2200" t="s">
        <v>9943</v>
      </c>
      <c r="C2834" s="2200" t="s">
        <v>9944</v>
      </c>
      <c r="D2834" s="2200" t="str">
        <f t="shared" si="132"/>
        <v>VA</v>
      </c>
      <c r="E2834" s="2200" t="str">
        <f t="shared" si="133"/>
        <v>51</v>
      </c>
      <c r="F2834" s="2200" t="str">
        <f t="shared" si="134"/>
        <v>021</v>
      </c>
      <c r="G2834" s="2200">
        <f>--SUBTOTAL(3,C$2:C2834)</f>
        <v>67</v>
      </c>
    </row>
    <row r="2835" spans="1:7" hidden="1" x14ac:dyDescent="0.15">
      <c r="A2835" s="2200" t="s">
        <v>4280</v>
      </c>
      <c r="B2835" s="2200" t="s">
        <v>9945</v>
      </c>
      <c r="C2835" s="2200" t="s">
        <v>9946</v>
      </c>
      <c r="D2835" s="2200" t="str">
        <f t="shared" si="132"/>
        <v>VA</v>
      </c>
      <c r="E2835" s="2200" t="str">
        <f t="shared" si="133"/>
        <v>51</v>
      </c>
      <c r="F2835" s="2200" t="str">
        <f t="shared" si="134"/>
        <v>023</v>
      </c>
      <c r="G2835" s="2200">
        <f>--SUBTOTAL(3,C$2:C2835)</f>
        <v>67</v>
      </c>
    </row>
    <row r="2836" spans="1:7" hidden="1" x14ac:dyDescent="0.15">
      <c r="A2836" s="2200" t="s">
        <v>4280</v>
      </c>
      <c r="B2836" s="2200" t="s">
        <v>9947</v>
      </c>
      <c r="C2836" s="2200" t="s">
        <v>9948</v>
      </c>
      <c r="D2836" s="2200" t="str">
        <f t="shared" si="132"/>
        <v>VA</v>
      </c>
      <c r="E2836" s="2200" t="str">
        <f t="shared" si="133"/>
        <v>51</v>
      </c>
      <c r="F2836" s="2200" t="str">
        <f t="shared" si="134"/>
        <v>025</v>
      </c>
      <c r="G2836" s="2200">
        <f>--SUBTOTAL(3,C$2:C2836)</f>
        <v>67</v>
      </c>
    </row>
    <row r="2837" spans="1:7" hidden="1" x14ac:dyDescent="0.15">
      <c r="A2837" s="2200" t="s">
        <v>4280</v>
      </c>
      <c r="B2837" s="2200" t="s">
        <v>9949</v>
      </c>
      <c r="C2837" s="2200" t="s">
        <v>9950</v>
      </c>
      <c r="D2837" s="2200" t="str">
        <f t="shared" si="132"/>
        <v>VA</v>
      </c>
      <c r="E2837" s="2200" t="str">
        <f t="shared" si="133"/>
        <v>51</v>
      </c>
      <c r="F2837" s="2200" t="str">
        <f t="shared" si="134"/>
        <v>027</v>
      </c>
      <c r="G2837" s="2200">
        <f>--SUBTOTAL(3,C$2:C2837)</f>
        <v>67</v>
      </c>
    </row>
    <row r="2838" spans="1:7" hidden="1" x14ac:dyDescent="0.15">
      <c r="A2838" s="2200" t="s">
        <v>4280</v>
      </c>
      <c r="B2838" s="2200" t="s">
        <v>9951</v>
      </c>
      <c r="C2838" s="2200" t="s">
        <v>9952</v>
      </c>
      <c r="D2838" s="2200" t="str">
        <f t="shared" si="132"/>
        <v>VA</v>
      </c>
      <c r="E2838" s="2200" t="str">
        <f t="shared" si="133"/>
        <v>51</v>
      </c>
      <c r="F2838" s="2200" t="str">
        <f t="shared" si="134"/>
        <v>029</v>
      </c>
      <c r="G2838" s="2200">
        <f>--SUBTOTAL(3,C$2:C2838)</f>
        <v>67</v>
      </c>
    </row>
    <row r="2839" spans="1:7" hidden="1" x14ac:dyDescent="0.15">
      <c r="A2839" s="2200" t="s">
        <v>4280</v>
      </c>
      <c r="B2839" s="2200" t="s">
        <v>9953</v>
      </c>
      <c r="C2839" s="2200" t="s">
        <v>9954</v>
      </c>
      <c r="D2839" s="2200" t="str">
        <f t="shared" si="132"/>
        <v>VA</v>
      </c>
      <c r="E2839" s="2200" t="str">
        <f t="shared" si="133"/>
        <v>51</v>
      </c>
      <c r="F2839" s="2200" t="str">
        <f t="shared" si="134"/>
        <v>031</v>
      </c>
      <c r="G2839" s="2200">
        <f>--SUBTOTAL(3,C$2:C2839)</f>
        <v>67</v>
      </c>
    </row>
    <row r="2840" spans="1:7" hidden="1" x14ac:dyDescent="0.15">
      <c r="A2840" s="2200" t="s">
        <v>4280</v>
      </c>
      <c r="B2840" s="2200" t="s">
        <v>9955</v>
      </c>
      <c r="C2840" s="2200" t="s">
        <v>9956</v>
      </c>
      <c r="D2840" s="2200" t="str">
        <f t="shared" si="132"/>
        <v>VA</v>
      </c>
      <c r="E2840" s="2200" t="str">
        <f t="shared" si="133"/>
        <v>51</v>
      </c>
      <c r="F2840" s="2200" t="str">
        <f t="shared" si="134"/>
        <v>033</v>
      </c>
      <c r="G2840" s="2200">
        <f>--SUBTOTAL(3,C$2:C2840)</f>
        <v>67</v>
      </c>
    </row>
    <row r="2841" spans="1:7" hidden="1" x14ac:dyDescent="0.15">
      <c r="A2841" s="2200" t="s">
        <v>4280</v>
      </c>
      <c r="B2841" s="2200" t="s">
        <v>9957</v>
      </c>
      <c r="C2841" s="2200" t="s">
        <v>9958</v>
      </c>
      <c r="D2841" s="2200" t="str">
        <f t="shared" si="132"/>
        <v>VA</v>
      </c>
      <c r="E2841" s="2200" t="str">
        <f t="shared" si="133"/>
        <v>51</v>
      </c>
      <c r="F2841" s="2200" t="str">
        <f t="shared" si="134"/>
        <v>035</v>
      </c>
      <c r="G2841" s="2200">
        <f>--SUBTOTAL(3,C$2:C2841)</f>
        <v>67</v>
      </c>
    </row>
    <row r="2842" spans="1:7" hidden="1" x14ac:dyDescent="0.15">
      <c r="A2842" s="2200" t="s">
        <v>4280</v>
      </c>
      <c r="B2842" s="2200" t="s">
        <v>9959</v>
      </c>
      <c r="C2842" s="2200" t="s">
        <v>9960</v>
      </c>
      <c r="D2842" s="2200" t="str">
        <f t="shared" si="132"/>
        <v>VA</v>
      </c>
      <c r="E2842" s="2200" t="str">
        <f t="shared" si="133"/>
        <v>51</v>
      </c>
      <c r="F2842" s="2200" t="str">
        <f t="shared" si="134"/>
        <v>036</v>
      </c>
      <c r="G2842" s="2200">
        <f>--SUBTOTAL(3,C$2:C2842)</f>
        <v>67</v>
      </c>
    </row>
    <row r="2843" spans="1:7" hidden="1" x14ac:dyDescent="0.15">
      <c r="A2843" s="2200" t="s">
        <v>4280</v>
      </c>
      <c r="B2843" s="2200" t="s">
        <v>9961</v>
      </c>
      <c r="C2843" s="2200" t="s">
        <v>9962</v>
      </c>
      <c r="D2843" s="2200" t="str">
        <f t="shared" si="132"/>
        <v>VA</v>
      </c>
      <c r="E2843" s="2200" t="str">
        <f t="shared" si="133"/>
        <v>51</v>
      </c>
      <c r="F2843" s="2200" t="str">
        <f t="shared" si="134"/>
        <v>037</v>
      </c>
      <c r="G2843" s="2200">
        <f>--SUBTOTAL(3,C$2:C2843)</f>
        <v>67</v>
      </c>
    </row>
    <row r="2844" spans="1:7" hidden="1" x14ac:dyDescent="0.15">
      <c r="A2844" s="2200" t="s">
        <v>4280</v>
      </c>
      <c r="B2844" s="2200" t="s">
        <v>9963</v>
      </c>
      <c r="C2844" s="2200" t="s">
        <v>9964</v>
      </c>
      <c r="D2844" s="2200" t="str">
        <f t="shared" si="132"/>
        <v>VA</v>
      </c>
      <c r="E2844" s="2200" t="str">
        <f t="shared" si="133"/>
        <v>51</v>
      </c>
      <c r="F2844" s="2200" t="str">
        <f t="shared" si="134"/>
        <v>041</v>
      </c>
      <c r="G2844" s="2200">
        <f>--SUBTOTAL(3,C$2:C2844)</f>
        <v>67</v>
      </c>
    </row>
    <row r="2845" spans="1:7" hidden="1" x14ac:dyDescent="0.15">
      <c r="A2845" s="2200" t="s">
        <v>4280</v>
      </c>
      <c r="B2845" s="2200" t="s">
        <v>9965</v>
      </c>
      <c r="C2845" s="2200" t="s">
        <v>9966</v>
      </c>
      <c r="D2845" s="2200" t="str">
        <f t="shared" si="132"/>
        <v>VA</v>
      </c>
      <c r="E2845" s="2200" t="str">
        <f t="shared" si="133"/>
        <v>51</v>
      </c>
      <c r="F2845" s="2200" t="str">
        <f t="shared" si="134"/>
        <v>043</v>
      </c>
      <c r="G2845" s="2200">
        <f>--SUBTOTAL(3,C$2:C2845)</f>
        <v>67</v>
      </c>
    </row>
    <row r="2846" spans="1:7" hidden="1" x14ac:dyDescent="0.15">
      <c r="A2846" s="2200" t="s">
        <v>4280</v>
      </c>
      <c r="B2846" s="2200" t="s">
        <v>9967</v>
      </c>
      <c r="C2846" s="2200" t="s">
        <v>9968</v>
      </c>
      <c r="D2846" s="2200" t="str">
        <f t="shared" si="132"/>
        <v>VA</v>
      </c>
      <c r="E2846" s="2200" t="str">
        <f t="shared" si="133"/>
        <v>51</v>
      </c>
      <c r="F2846" s="2200" t="str">
        <f t="shared" si="134"/>
        <v>045</v>
      </c>
      <c r="G2846" s="2200">
        <f>--SUBTOTAL(3,C$2:C2846)</f>
        <v>67</v>
      </c>
    </row>
    <row r="2847" spans="1:7" hidden="1" x14ac:dyDescent="0.15">
      <c r="A2847" s="2200" t="s">
        <v>4280</v>
      </c>
      <c r="B2847" s="2200" t="s">
        <v>9969</v>
      </c>
      <c r="C2847" s="2200" t="s">
        <v>9970</v>
      </c>
      <c r="D2847" s="2200" t="str">
        <f t="shared" si="132"/>
        <v>VA</v>
      </c>
      <c r="E2847" s="2200" t="str">
        <f t="shared" si="133"/>
        <v>51</v>
      </c>
      <c r="F2847" s="2200" t="str">
        <f t="shared" si="134"/>
        <v>047</v>
      </c>
      <c r="G2847" s="2200">
        <f>--SUBTOTAL(3,C$2:C2847)</f>
        <v>67</v>
      </c>
    </row>
    <row r="2848" spans="1:7" hidden="1" x14ac:dyDescent="0.15">
      <c r="A2848" s="2200" t="s">
        <v>4280</v>
      </c>
      <c r="B2848" s="2200" t="s">
        <v>9971</v>
      </c>
      <c r="C2848" s="2200" t="s">
        <v>9972</v>
      </c>
      <c r="D2848" s="2200" t="str">
        <f t="shared" si="132"/>
        <v>VA</v>
      </c>
      <c r="E2848" s="2200" t="str">
        <f t="shared" si="133"/>
        <v>51</v>
      </c>
      <c r="F2848" s="2200" t="str">
        <f t="shared" si="134"/>
        <v>049</v>
      </c>
      <c r="G2848" s="2200">
        <f>--SUBTOTAL(3,C$2:C2848)</f>
        <v>67</v>
      </c>
    </row>
    <row r="2849" spans="1:7" hidden="1" x14ac:dyDescent="0.15">
      <c r="A2849" s="2200" t="s">
        <v>4280</v>
      </c>
      <c r="B2849" s="2200" t="s">
        <v>9973</v>
      </c>
      <c r="C2849" s="2200" t="s">
        <v>9974</v>
      </c>
      <c r="D2849" s="2200" t="str">
        <f t="shared" si="132"/>
        <v>VA</v>
      </c>
      <c r="E2849" s="2200" t="str">
        <f t="shared" si="133"/>
        <v>51</v>
      </c>
      <c r="F2849" s="2200" t="str">
        <f t="shared" si="134"/>
        <v>051</v>
      </c>
      <c r="G2849" s="2200">
        <f>--SUBTOTAL(3,C$2:C2849)</f>
        <v>67</v>
      </c>
    </row>
    <row r="2850" spans="1:7" hidden="1" x14ac:dyDescent="0.15">
      <c r="A2850" s="2200" t="s">
        <v>4280</v>
      </c>
      <c r="B2850" s="2200" t="s">
        <v>9975</v>
      </c>
      <c r="C2850" s="2200" t="s">
        <v>9976</v>
      </c>
      <c r="D2850" s="2200" t="str">
        <f t="shared" si="132"/>
        <v>VA</v>
      </c>
      <c r="E2850" s="2200" t="str">
        <f t="shared" si="133"/>
        <v>51</v>
      </c>
      <c r="F2850" s="2200" t="str">
        <f t="shared" si="134"/>
        <v>053</v>
      </c>
      <c r="G2850" s="2200">
        <f>--SUBTOTAL(3,C$2:C2850)</f>
        <v>67</v>
      </c>
    </row>
    <row r="2851" spans="1:7" hidden="1" x14ac:dyDescent="0.15">
      <c r="A2851" s="2200" t="s">
        <v>4280</v>
      </c>
      <c r="B2851" s="2200" t="s">
        <v>9977</v>
      </c>
      <c r="C2851" s="2200" t="s">
        <v>9978</v>
      </c>
      <c r="D2851" s="2200" t="str">
        <f t="shared" si="132"/>
        <v>VA</v>
      </c>
      <c r="E2851" s="2200" t="str">
        <f t="shared" si="133"/>
        <v>51</v>
      </c>
      <c r="F2851" s="2200" t="str">
        <f t="shared" si="134"/>
        <v>057</v>
      </c>
      <c r="G2851" s="2200">
        <f>--SUBTOTAL(3,C$2:C2851)</f>
        <v>67</v>
      </c>
    </row>
    <row r="2852" spans="1:7" hidden="1" x14ac:dyDescent="0.15">
      <c r="A2852" s="2200" t="s">
        <v>4280</v>
      </c>
      <c r="B2852" s="2200" t="s">
        <v>9979</v>
      </c>
      <c r="C2852" s="2200" t="s">
        <v>9980</v>
      </c>
      <c r="D2852" s="2200" t="str">
        <f t="shared" si="132"/>
        <v>VA</v>
      </c>
      <c r="E2852" s="2200" t="str">
        <f t="shared" si="133"/>
        <v>51</v>
      </c>
      <c r="F2852" s="2200" t="str">
        <f t="shared" si="134"/>
        <v>059</v>
      </c>
      <c r="G2852" s="2200">
        <f>--SUBTOTAL(3,C$2:C2852)</f>
        <v>67</v>
      </c>
    </row>
    <row r="2853" spans="1:7" hidden="1" x14ac:dyDescent="0.15">
      <c r="A2853" s="2200" t="s">
        <v>4280</v>
      </c>
      <c r="B2853" s="2200" t="s">
        <v>9981</v>
      </c>
      <c r="C2853" s="2200" t="s">
        <v>9982</v>
      </c>
      <c r="D2853" s="2200" t="str">
        <f t="shared" si="132"/>
        <v>VA</v>
      </c>
      <c r="E2853" s="2200" t="str">
        <f t="shared" si="133"/>
        <v>51</v>
      </c>
      <c r="F2853" s="2200" t="str">
        <f t="shared" si="134"/>
        <v>061</v>
      </c>
      <c r="G2853" s="2200">
        <f>--SUBTOTAL(3,C$2:C2853)</f>
        <v>67</v>
      </c>
    </row>
    <row r="2854" spans="1:7" hidden="1" x14ac:dyDescent="0.15">
      <c r="A2854" s="2200" t="s">
        <v>4280</v>
      </c>
      <c r="B2854" s="2200" t="s">
        <v>9983</v>
      </c>
      <c r="C2854" s="2200" t="s">
        <v>9984</v>
      </c>
      <c r="D2854" s="2200" t="str">
        <f t="shared" si="132"/>
        <v>VA</v>
      </c>
      <c r="E2854" s="2200" t="str">
        <f t="shared" si="133"/>
        <v>51</v>
      </c>
      <c r="F2854" s="2200" t="str">
        <f t="shared" si="134"/>
        <v>063</v>
      </c>
      <c r="G2854" s="2200">
        <f>--SUBTOTAL(3,C$2:C2854)</f>
        <v>67</v>
      </c>
    </row>
    <row r="2855" spans="1:7" hidden="1" x14ac:dyDescent="0.15">
      <c r="A2855" s="2200" t="s">
        <v>4280</v>
      </c>
      <c r="B2855" s="2200" t="s">
        <v>9985</v>
      </c>
      <c r="C2855" s="2200" t="s">
        <v>9986</v>
      </c>
      <c r="D2855" s="2200" t="str">
        <f t="shared" si="132"/>
        <v>VA</v>
      </c>
      <c r="E2855" s="2200" t="str">
        <f t="shared" si="133"/>
        <v>51</v>
      </c>
      <c r="F2855" s="2200" t="str">
        <f t="shared" si="134"/>
        <v>065</v>
      </c>
      <c r="G2855" s="2200">
        <f>--SUBTOTAL(3,C$2:C2855)</f>
        <v>67</v>
      </c>
    </row>
    <row r="2856" spans="1:7" hidden="1" x14ac:dyDescent="0.15">
      <c r="A2856" s="2200" t="s">
        <v>4280</v>
      </c>
      <c r="B2856" s="2200" t="s">
        <v>9987</v>
      </c>
      <c r="C2856" s="2200" t="s">
        <v>9988</v>
      </c>
      <c r="D2856" s="2200" t="str">
        <f t="shared" si="132"/>
        <v>VA</v>
      </c>
      <c r="E2856" s="2200" t="str">
        <f t="shared" si="133"/>
        <v>51</v>
      </c>
      <c r="F2856" s="2200" t="str">
        <f t="shared" si="134"/>
        <v>067</v>
      </c>
      <c r="G2856" s="2200">
        <f>--SUBTOTAL(3,C$2:C2856)</f>
        <v>67</v>
      </c>
    </row>
    <row r="2857" spans="1:7" hidden="1" x14ac:dyDescent="0.15">
      <c r="A2857" s="2200" t="s">
        <v>4280</v>
      </c>
      <c r="B2857" s="2200" t="s">
        <v>9989</v>
      </c>
      <c r="C2857" s="2200" t="s">
        <v>9990</v>
      </c>
      <c r="D2857" s="2200" t="str">
        <f t="shared" si="132"/>
        <v>VA</v>
      </c>
      <c r="E2857" s="2200" t="str">
        <f t="shared" si="133"/>
        <v>51</v>
      </c>
      <c r="F2857" s="2200" t="str">
        <f t="shared" si="134"/>
        <v>069</v>
      </c>
      <c r="G2857" s="2200">
        <f>--SUBTOTAL(3,C$2:C2857)</f>
        <v>67</v>
      </c>
    </row>
    <row r="2858" spans="1:7" hidden="1" x14ac:dyDescent="0.15">
      <c r="A2858" s="2200" t="s">
        <v>4280</v>
      </c>
      <c r="B2858" s="2200" t="s">
        <v>9991</v>
      </c>
      <c r="C2858" s="2200" t="s">
        <v>9992</v>
      </c>
      <c r="D2858" s="2200" t="str">
        <f t="shared" si="132"/>
        <v>VA</v>
      </c>
      <c r="E2858" s="2200" t="str">
        <f t="shared" si="133"/>
        <v>51</v>
      </c>
      <c r="F2858" s="2200" t="str">
        <f t="shared" si="134"/>
        <v>071</v>
      </c>
      <c r="G2858" s="2200">
        <f>--SUBTOTAL(3,C$2:C2858)</f>
        <v>67</v>
      </c>
    </row>
    <row r="2859" spans="1:7" hidden="1" x14ac:dyDescent="0.15">
      <c r="A2859" s="2200" t="s">
        <v>4280</v>
      </c>
      <c r="B2859" s="2200" t="s">
        <v>9993</v>
      </c>
      <c r="C2859" s="2200" t="s">
        <v>9994</v>
      </c>
      <c r="D2859" s="2200" t="str">
        <f t="shared" si="132"/>
        <v>VA</v>
      </c>
      <c r="E2859" s="2200" t="str">
        <f t="shared" si="133"/>
        <v>51</v>
      </c>
      <c r="F2859" s="2200" t="str">
        <f t="shared" si="134"/>
        <v>073</v>
      </c>
      <c r="G2859" s="2200">
        <f>--SUBTOTAL(3,C$2:C2859)</f>
        <v>67</v>
      </c>
    </row>
    <row r="2860" spans="1:7" hidden="1" x14ac:dyDescent="0.15">
      <c r="A2860" s="2200" t="s">
        <v>4280</v>
      </c>
      <c r="B2860" s="2200" t="s">
        <v>9995</v>
      </c>
      <c r="C2860" s="2200" t="s">
        <v>9996</v>
      </c>
      <c r="D2860" s="2200" t="str">
        <f t="shared" si="132"/>
        <v>VA</v>
      </c>
      <c r="E2860" s="2200" t="str">
        <f t="shared" si="133"/>
        <v>51</v>
      </c>
      <c r="F2860" s="2200" t="str">
        <f t="shared" si="134"/>
        <v>075</v>
      </c>
      <c r="G2860" s="2200">
        <f>--SUBTOTAL(3,C$2:C2860)</f>
        <v>67</v>
      </c>
    </row>
    <row r="2861" spans="1:7" hidden="1" x14ac:dyDescent="0.15">
      <c r="A2861" s="2200" t="s">
        <v>4280</v>
      </c>
      <c r="B2861" s="2200" t="s">
        <v>9997</v>
      </c>
      <c r="C2861" s="2200" t="s">
        <v>9998</v>
      </c>
      <c r="D2861" s="2200" t="str">
        <f t="shared" si="132"/>
        <v>VA</v>
      </c>
      <c r="E2861" s="2200" t="str">
        <f t="shared" si="133"/>
        <v>51</v>
      </c>
      <c r="F2861" s="2200" t="str">
        <f t="shared" si="134"/>
        <v>077</v>
      </c>
      <c r="G2861" s="2200">
        <f>--SUBTOTAL(3,C$2:C2861)</f>
        <v>67</v>
      </c>
    </row>
    <row r="2862" spans="1:7" hidden="1" x14ac:dyDescent="0.15">
      <c r="A2862" s="2200" t="s">
        <v>4280</v>
      </c>
      <c r="B2862" s="2200" t="s">
        <v>9999</v>
      </c>
      <c r="C2862" s="2200" t="s">
        <v>10000</v>
      </c>
      <c r="D2862" s="2200" t="str">
        <f t="shared" si="132"/>
        <v>VA</v>
      </c>
      <c r="E2862" s="2200" t="str">
        <f t="shared" si="133"/>
        <v>51</v>
      </c>
      <c r="F2862" s="2200" t="str">
        <f t="shared" si="134"/>
        <v>079</v>
      </c>
      <c r="G2862" s="2200">
        <f>--SUBTOTAL(3,C$2:C2862)</f>
        <v>67</v>
      </c>
    </row>
    <row r="2863" spans="1:7" hidden="1" x14ac:dyDescent="0.15">
      <c r="A2863" s="2200" t="s">
        <v>4280</v>
      </c>
      <c r="B2863" s="2200" t="s">
        <v>10001</v>
      </c>
      <c r="C2863" s="2200" t="s">
        <v>10002</v>
      </c>
      <c r="D2863" s="2200" t="str">
        <f t="shared" si="132"/>
        <v>VA</v>
      </c>
      <c r="E2863" s="2200" t="str">
        <f t="shared" si="133"/>
        <v>51</v>
      </c>
      <c r="F2863" s="2200" t="str">
        <f t="shared" si="134"/>
        <v>081</v>
      </c>
      <c r="G2863" s="2200">
        <f>--SUBTOTAL(3,C$2:C2863)</f>
        <v>67</v>
      </c>
    </row>
    <row r="2864" spans="1:7" hidden="1" x14ac:dyDescent="0.15">
      <c r="A2864" s="2200" t="s">
        <v>4280</v>
      </c>
      <c r="B2864" s="2200" t="s">
        <v>10003</v>
      </c>
      <c r="C2864" s="2200" t="s">
        <v>10004</v>
      </c>
      <c r="D2864" s="2200" t="str">
        <f t="shared" si="132"/>
        <v>VA</v>
      </c>
      <c r="E2864" s="2200" t="str">
        <f t="shared" si="133"/>
        <v>51</v>
      </c>
      <c r="F2864" s="2200" t="str">
        <f t="shared" si="134"/>
        <v>083</v>
      </c>
      <c r="G2864" s="2200">
        <f>--SUBTOTAL(3,C$2:C2864)</f>
        <v>67</v>
      </c>
    </row>
    <row r="2865" spans="1:7" hidden="1" x14ac:dyDescent="0.15">
      <c r="A2865" s="2200" t="s">
        <v>4280</v>
      </c>
      <c r="B2865" s="2200" t="s">
        <v>10005</v>
      </c>
      <c r="C2865" s="2200" t="s">
        <v>10006</v>
      </c>
      <c r="D2865" s="2200" t="str">
        <f t="shared" si="132"/>
        <v>VA</v>
      </c>
      <c r="E2865" s="2200" t="str">
        <f t="shared" si="133"/>
        <v>51</v>
      </c>
      <c r="F2865" s="2200" t="str">
        <f t="shared" si="134"/>
        <v>085</v>
      </c>
      <c r="G2865" s="2200">
        <f>--SUBTOTAL(3,C$2:C2865)</f>
        <v>67</v>
      </c>
    </row>
    <row r="2866" spans="1:7" hidden="1" x14ac:dyDescent="0.15">
      <c r="A2866" s="2200" t="s">
        <v>4280</v>
      </c>
      <c r="B2866" s="2200" t="s">
        <v>10007</v>
      </c>
      <c r="C2866" s="2200" t="s">
        <v>10008</v>
      </c>
      <c r="D2866" s="2200" t="str">
        <f t="shared" si="132"/>
        <v>VA</v>
      </c>
      <c r="E2866" s="2200" t="str">
        <f t="shared" si="133"/>
        <v>51</v>
      </c>
      <c r="F2866" s="2200" t="str">
        <f t="shared" si="134"/>
        <v>087</v>
      </c>
      <c r="G2866" s="2200">
        <f>--SUBTOTAL(3,C$2:C2866)</f>
        <v>67</v>
      </c>
    </row>
    <row r="2867" spans="1:7" hidden="1" x14ac:dyDescent="0.15">
      <c r="A2867" s="2200" t="s">
        <v>4280</v>
      </c>
      <c r="B2867" s="2200" t="s">
        <v>10009</v>
      </c>
      <c r="C2867" s="2200" t="s">
        <v>10010</v>
      </c>
      <c r="D2867" s="2200" t="str">
        <f t="shared" si="132"/>
        <v>VA</v>
      </c>
      <c r="E2867" s="2200" t="str">
        <f t="shared" si="133"/>
        <v>51</v>
      </c>
      <c r="F2867" s="2200" t="str">
        <f t="shared" si="134"/>
        <v>089</v>
      </c>
      <c r="G2867" s="2200">
        <f>--SUBTOTAL(3,C$2:C2867)</f>
        <v>67</v>
      </c>
    </row>
    <row r="2868" spans="1:7" hidden="1" x14ac:dyDescent="0.15">
      <c r="A2868" s="2200" t="s">
        <v>4280</v>
      </c>
      <c r="B2868" s="2200" t="s">
        <v>10011</v>
      </c>
      <c r="C2868" s="2200" t="s">
        <v>10012</v>
      </c>
      <c r="D2868" s="2200" t="str">
        <f t="shared" si="132"/>
        <v>VA</v>
      </c>
      <c r="E2868" s="2200" t="str">
        <f t="shared" si="133"/>
        <v>51</v>
      </c>
      <c r="F2868" s="2200" t="str">
        <f t="shared" si="134"/>
        <v>091</v>
      </c>
      <c r="G2868" s="2200">
        <f>--SUBTOTAL(3,C$2:C2868)</f>
        <v>67</v>
      </c>
    </row>
    <row r="2869" spans="1:7" hidden="1" x14ac:dyDescent="0.15">
      <c r="A2869" s="2200" t="s">
        <v>4280</v>
      </c>
      <c r="B2869" s="2200" t="s">
        <v>10013</v>
      </c>
      <c r="C2869" s="2200" t="s">
        <v>10014</v>
      </c>
      <c r="D2869" s="2200" t="str">
        <f t="shared" si="132"/>
        <v>VA</v>
      </c>
      <c r="E2869" s="2200" t="str">
        <f t="shared" si="133"/>
        <v>51</v>
      </c>
      <c r="F2869" s="2200" t="str">
        <f t="shared" si="134"/>
        <v>093</v>
      </c>
      <c r="G2869" s="2200">
        <f>--SUBTOTAL(3,C$2:C2869)</f>
        <v>67</v>
      </c>
    </row>
    <row r="2870" spans="1:7" hidden="1" x14ac:dyDescent="0.15">
      <c r="A2870" s="2200" t="s">
        <v>4280</v>
      </c>
      <c r="B2870" s="2200" t="s">
        <v>10015</v>
      </c>
      <c r="C2870" s="2200" t="s">
        <v>10016</v>
      </c>
      <c r="D2870" s="2200" t="str">
        <f t="shared" si="132"/>
        <v>VA</v>
      </c>
      <c r="E2870" s="2200" t="str">
        <f t="shared" si="133"/>
        <v>51</v>
      </c>
      <c r="F2870" s="2200" t="str">
        <f t="shared" si="134"/>
        <v>095</v>
      </c>
      <c r="G2870" s="2200">
        <f>--SUBTOTAL(3,C$2:C2870)</f>
        <v>67</v>
      </c>
    </row>
    <row r="2871" spans="1:7" hidden="1" x14ac:dyDescent="0.15">
      <c r="A2871" s="2200" t="s">
        <v>4280</v>
      </c>
      <c r="B2871" s="2200" t="s">
        <v>10017</v>
      </c>
      <c r="C2871" s="2200" t="s">
        <v>10018</v>
      </c>
      <c r="D2871" s="2200" t="str">
        <f t="shared" si="132"/>
        <v>VA</v>
      </c>
      <c r="E2871" s="2200" t="str">
        <f t="shared" si="133"/>
        <v>51</v>
      </c>
      <c r="F2871" s="2200" t="str">
        <f t="shared" si="134"/>
        <v>097</v>
      </c>
      <c r="G2871" s="2200">
        <f>--SUBTOTAL(3,C$2:C2871)</f>
        <v>67</v>
      </c>
    </row>
    <row r="2872" spans="1:7" hidden="1" x14ac:dyDescent="0.15">
      <c r="A2872" s="2200" t="s">
        <v>4280</v>
      </c>
      <c r="B2872" s="2200" t="s">
        <v>10019</v>
      </c>
      <c r="C2872" s="2200" t="s">
        <v>10020</v>
      </c>
      <c r="D2872" s="2200" t="str">
        <f t="shared" si="132"/>
        <v>VA</v>
      </c>
      <c r="E2872" s="2200" t="str">
        <f t="shared" si="133"/>
        <v>51</v>
      </c>
      <c r="F2872" s="2200" t="str">
        <f t="shared" si="134"/>
        <v>099</v>
      </c>
      <c r="G2872" s="2200">
        <f>--SUBTOTAL(3,C$2:C2872)</f>
        <v>67</v>
      </c>
    </row>
    <row r="2873" spans="1:7" hidden="1" x14ac:dyDescent="0.15">
      <c r="A2873" s="2200" t="s">
        <v>4280</v>
      </c>
      <c r="B2873" s="2200" t="s">
        <v>10021</v>
      </c>
      <c r="C2873" s="2200" t="s">
        <v>10022</v>
      </c>
      <c r="D2873" s="2200" t="str">
        <f t="shared" si="132"/>
        <v>VA</v>
      </c>
      <c r="E2873" s="2200" t="str">
        <f t="shared" si="133"/>
        <v>51</v>
      </c>
      <c r="F2873" s="2200" t="str">
        <f t="shared" si="134"/>
        <v>101</v>
      </c>
      <c r="G2873" s="2200">
        <f>--SUBTOTAL(3,C$2:C2873)</f>
        <v>67</v>
      </c>
    </row>
    <row r="2874" spans="1:7" hidden="1" x14ac:dyDescent="0.15">
      <c r="A2874" s="2200" t="s">
        <v>4280</v>
      </c>
      <c r="B2874" s="2200" t="s">
        <v>10023</v>
      </c>
      <c r="C2874" s="2200" t="s">
        <v>10024</v>
      </c>
      <c r="D2874" s="2200" t="str">
        <f t="shared" si="132"/>
        <v>VA</v>
      </c>
      <c r="E2874" s="2200" t="str">
        <f t="shared" si="133"/>
        <v>51</v>
      </c>
      <c r="F2874" s="2200" t="str">
        <f t="shared" si="134"/>
        <v>103</v>
      </c>
      <c r="G2874" s="2200">
        <f>--SUBTOTAL(3,C$2:C2874)</f>
        <v>67</v>
      </c>
    </row>
    <row r="2875" spans="1:7" hidden="1" x14ac:dyDescent="0.15">
      <c r="A2875" s="2200" t="s">
        <v>4280</v>
      </c>
      <c r="B2875" s="2200" t="s">
        <v>10025</v>
      </c>
      <c r="C2875" s="2200" t="s">
        <v>10026</v>
      </c>
      <c r="D2875" s="2200" t="str">
        <f t="shared" si="132"/>
        <v>VA</v>
      </c>
      <c r="E2875" s="2200" t="str">
        <f t="shared" si="133"/>
        <v>51</v>
      </c>
      <c r="F2875" s="2200" t="str">
        <f t="shared" si="134"/>
        <v>105</v>
      </c>
      <c r="G2875" s="2200">
        <f>--SUBTOTAL(3,C$2:C2875)</f>
        <v>67</v>
      </c>
    </row>
    <row r="2876" spans="1:7" hidden="1" x14ac:dyDescent="0.15">
      <c r="A2876" s="2200" t="s">
        <v>4280</v>
      </c>
      <c r="B2876" s="2200" t="s">
        <v>10027</v>
      </c>
      <c r="C2876" s="2200" t="s">
        <v>10028</v>
      </c>
      <c r="D2876" s="2200" t="str">
        <f t="shared" si="132"/>
        <v>VA</v>
      </c>
      <c r="E2876" s="2200" t="str">
        <f t="shared" si="133"/>
        <v>51</v>
      </c>
      <c r="F2876" s="2200" t="str">
        <f t="shared" si="134"/>
        <v>107</v>
      </c>
      <c r="G2876" s="2200">
        <f>--SUBTOTAL(3,C$2:C2876)</f>
        <v>67</v>
      </c>
    </row>
    <row r="2877" spans="1:7" hidden="1" x14ac:dyDescent="0.15">
      <c r="A2877" s="2200" t="s">
        <v>4280</v>
      </c>
      <c r="B2877" s="2200" t="s">
        <v>10029</v>
      </c>
      <c r="C2877" s="2200" t="s">
        <v>10030</v>
      </c>
      <c r="D2877" s="2200" t="str">
        <f t="shared" si="132"/>
        <v>VA</v>
      </c>
      <c r="E2877" s="2200" t="str">
        <f t="shared" si="133"/>
        <v>51</v>
      </c>
      <c r="F2877" s="2200" t="str">
        <f t="shared" si="134"/>
        <v>109</v>
      </c>
      <c r="G2877" s="2200">
        <f>--SUBTOTAL(3,C$2:C2877)</f>
        <v>67</v>
      </c>
    </row>
    <row r="2878" spans="1:7" hidden="1" x14ac:dyDescent="0.15">
      <c r="A2878" s="2200" t="s">
        <v>4280</v>
      </c>
      <c r="B2878" s="2200" t="s">
        <v>10031</v>
      </c>
      <c r="C2878" s="2200" t="s">
        <v>10032</v>
      </c>
      <c r="D2878" s="2200" t="str">
        <f t="shared" si="132"/>
        <v>VA</v>
      </c>
      <c r="E2878" s="2200" t="str">
        <f t="shared" si="133"/>
        <v>51</v>
      </c>
      <c r="F2878" s="2200" t="str">
        <f t="shared" si="134"/>
        <v>111</v>
      </c>
      <c r="G2878" s="2200">
        <f>--SUBTOTAL(3,C$2:C2878)</f>
        <v>67</v>
      </c>
    </row>
    <row r="2879" spans="1:7" hidden="1" x14ac:dyDescent="0.15">
      <c r="A2879" s="2200" t="s">
        <v>4280</v>
      </c>
      <c r="B2879" s="2200" t="s">
        <v>10033</v>
      </c>
      <c r="C2879" s="2200" t="s">
        <v>10034</v>
      </c>
      <c r="D2879" s="2200" t="str">
        <f t="shared" si="132"/>
        <v>VA</v>
      </c>
      <c r="E2879" s="2200" t="str">
        <f t="shared" si="133"/>
        <v>51</v>
      </c>
      <c r="F2879" s="2200" t="str">
        <f t="shared" si="134"/>
        <v>113</v>
      </c>
      <c r="G2879" s="2200">
        <f>--SUBTOTAL(3,C$2:C2879)</f>
        <v>67</v>
      </c>
    </row>
    <row r="2880" spans="1:7" hidden="1" x14ac:dyDescent="0.15">
      <c r="A2880" s="2200" t="s">
        <v>4280</v>
      </c>
      <c r="B2880" s="2200" t="s">
        <v>10035</v>
      </c>
      <c r="C2880" s="2200" t="s">
        <v>10036</v>
      </c>
      <c r="D2880" s="2200" t="str">
        <f t="shared" si="132"/>
        <v>VA</v>
      </c>
      <c r="E2880" s="2200" t="str">
        <f t="shared" si="133"/>
        <v>51</v>
      </c>
      <c r="F2880" s="2200" t="str">
        <f t="shared" si="134"/>
        <v>115</v>
      </c>
      <c r="G2880" s="2200">
        <f>--SUBTOTAL(3,C$2:C2880)</f>
        <v>67</v>
      </c>
    </row>
    <row r="2881" spans="1:7" hidden="1" x14ac:dyDescent="0.15">
      <c r="A2881" s="2200" t="s">
        <v>4280</v>
      </c>
      <c r="B2881" s="2200" t="s">
        <v>10037</v>
      </c>
      <c r="C2881" s="2200" t="s">
        <v>10038</v>
      </c>
      <c r="D2881" s="2200" t="str">
        <f t="shared" si="132"/>
        <v>VA</v>
      </c>
      <c r="E2881" s="2200" t="str">
        <f t="shared" si="133"/>
        <v>51</v>
      </c>
      <c r="F2881" s="2200" t="str">
        <f t="shared" si="134"/>
        <v>117</v>
      </c>
      <c r="G2881" s="2200">
        <f>--SUBTOTAL(3,C$2:C2881)</f>
        <v>67</v>
      </c>
    </row>
    <row r="2882" spans="1:7" hidden="1" x14ac:dyDescent="0.15">
      <c r="A2882" s="2200" t="s">
        <v>4280</v>
      </c>
      <c r="B2882" s="2200" t="s">
        <v>10039</v>
      </c>
      <c r="C2882" s="2200" t="s">
        <v>10040</v>
      </c>
      <c r="D2882" s="2200" t="str">
        <f t="shared" si="132"/>
        <v>VA</v>
      </c>
      <c r="E2882" s="2200" t="str">
        <f t="shared" si="133"/>
        <v>51</v>
      </c>
      <c r="F2882" s="2200" t="str">
        <f t="shared" si="134"/>
        <v>119</v>
      </c>
      <c r="G2882" s="2200">
        <f>--SUBTOTAL(3,C$2:C2882)</f>
        <v>67</v>
      </c>
    </row>
    <row r="2883" spans="1:7" hidden="1" x14ac:dyDescent="0.15">
      <c r="A2883" s="2200" t="s">
        <v>4280</v>
      </c>
      <c r="B2883" s="2200" t="s">
        <v>10041</v>
      </c>
      <c r="C2883" s="2200" t="s">
        <v>10042</v>
      </c>
      <c r="D2883" s="2200" t="str">
        <f t="shared" ref="D2883:D2946" si="135">RIGHT(C2883,2)</f>
        <v>VA</v>
      </c>
      <c r="E2883" s="2200" t="str">
        <f t="shared" ref="E2883:E2946" si="136">MID(B2883,3,2)</f>
        <v>51</v>
      </c>
      <c r="F2883" s="2200" t="str">
        <f t="shared" ref="F2883:F2946" si="137">MID(B2883,5,3)</f>
        <v>121</v>
      </c>
      <c r="G2883" s="2200">
        <f>--SUBTOTAL(3,C$2:C2883)</f>
        <v>67</v>
      </c>
    </row>
    <row r="2884" spans="1:7" hidden="1" x14ac:dyDescent="0.15">
      <c r="A2884" s="2200" t="s">
        <v>4280</v>
      </c>
      <c r="B2884" s="2200" t="s">
        <v>10043</v>
      </c>
      <c r="C2884" s="2200" t="s">
        <v>10044</v>
      </c>
      <c r="D2884" s="2200" t="str">
        <f t="shared" si="135"/>
        <v>VA</v>
      </c>
      <c r="E2884" s="2200" t="str">
        <f t="shared" si="136"/>
        <v>51</v>
      </c>
      <c r="F2884" s="2200" t="str">
        <f t="shared" si="137"/>
        <v>125</v>
      </c>
      <c r="G2884" s="2200">
        <f>--SUBTOTAL(3,C$2:C2884)</f>
        <v>67</v>
      </c>
    </row>
    <row r="2885" spans="1:7" hidden="1" x14ac:dyDescent="0.15">
      <c r="A2885" s="2200" t="s">
        <v>4280</v>
      </c>
      <c r="B2885" s="2200" t="s">
        <v>10045</v>
      </c>
      <c r="C2885" s="2200" t="s">
        <v>10046</v>
      </c>
      <c r="D2885" s="2200" t="str">
        <f t="shared" si="135"/>
        <v>VA</v>
      </c>
      <c r="E2885" s="2200" t="str">
        <f t="shared" si="136"/>
        <v>51</v>
      </c>
      <c r="F2885" s="2200" t="str">
        <f t="shared" si="137"/>
        <v>127</v>
      </c>
      <c r="G2885" s="2200">
        <f>--SUBTOTAL(3,C$2:C2885)</f>
        <v>67</v>
      </c>
    </row>
    <row r="2886" spans="1:7" hidden="1" x14ac:dyDescent="0.15">
      <c r="A2886" s="2200" t="s">
        <v>4280</v>
      </c>
      <c r="B2886" s="2200" t="s">
        <v>10047</v>
      </c>
      <c r="C2886" s="2200" t="s">
        <v>10048</v>
      </c>
      <c r="D2886" s="2200" t="str">
        <f t="shared" si="135"/>
        <v>VA</v>
      </c>
      <c r="E2886" s="2200" t="str">
        <f t="shared" si="136"/>
        <v>51</v>
      </c>
      <c r="F2886" s="2200" t="str">
        <f t="shared" si="137"/>
        <v>131</v>
      </c>
      <c r="G2886" s="2200">
        <f>--SUBTOTAL(3,C$2:C2886)</f>
        <v>67</v>
      </c>
    </row>
    <row r="2887" spans="1:7" hidden="1" x14ac:dyDescent="0.15">
      <c r="A2887" s="2200" t="s">
        <v>4280</v>
      </c>
      <c r="B2887" s="2200" t="s">
        <v>10049</v>
      </c>
      <c r="C2887" s="2200" t="s">
        <v>10050</v>
      </c>
      <c r="D2887" s="2200" t="str">
        <f t="shared" si="135"/>
        <v>VA</v>
      </c>
      <c r="E2887" s="2200" t="str">
        <f t="shared" si="136"/>
        <v>51</v>
      </c>
      <c r="F2887" s="2200" t="str">
        <f t="shared" si="137"/>
        <v>133</v>
      </c>
      <c r="G2887" s="2200">
        <f>--SUBTOTAL(3,C$2:C2887)</f>
        <v>67</v>
      </c>
    </row>
    <row r="2888" spans="1:7" hidden="1" x14ac:dyDescent="0.15">
      <c r="A2888" s="2200" t="s">
        <v>4280</v>
      </c>
      <c r="B2888" s="2200" t="s">
        <v>10051</v>
      </c>
      <c r="C2888" s="2200" t="s">
        <v>10052</v>
      </c>
      <c r="D2888" s="2200" t="str">
        <f t="shared" si="135"/>
        <v>VA</v>
      </c>
      <c r="E2888" s="2200" t="str">
        <f t="shared" si="136"/>
        <v>51</v>
      </c>
      <c r="F2888" s="2200" t="str">
        <f t="shared" si="137"/>
        <v>135</v>
      </c>
      <c r="G2888" s="2200">
        <f>--SUBTOTAL(3,C$2:C2888)</f>
        <v>67</v>
      </c>
    </row>
    <row r="2889" spans="1:7" hidden="1" x14ac:dyDescent="0.15">
      <c r="A2889" s="2200" t="s">
        <v>4280</v>
      </c>
      <c r="B2889" s="2200" t="s">
        <v>10053</v>
      </c>
      <c r="C2889" s="2200" t="s">
        <v>10054</v>
      </c>
      <c r="D2889" s="2200" t="str">
        <f t="shared" si="135"/>
        <v>VA</v>
      </c>
      <c r="E2889" s="2200" t="str">
        <f t="shared" si="136"/>
        <v>51</v>
      </c>
      <c r="F2889" s="2200" t="str">
        <f t="shared" si="137"/>
        <v>137</v>
      </c>
      <c r="G2889" s="2200">
        <f>--SUBTOTAL(3,C$2:C2889)</f>
        <v>67</v>
      </c>
    </row>
    <row r="2890" spans="1:7" hidden="1" x14ac:dyDescent="0.15">
      <c r="A2890" s="2200" t="s">
        <v>4280</v>
      </c>
      <c r="B2890" s="2200" t="s">
        <v>10055</v>
      </c>
      <c r="C2890" s="2200" t="s">
        <v>10056</v>
      </c>
      <c r="D2890" s="2200" t="str">
        <f t="shared" si="135"/>
        <v>VA</v>
      </c>
      <c r="E2890" s="2200" t="str">
        <f t="shared" si="136"/>
        <v>51</v>
      </c>
      <c r="F2890" s="2200" t="str">
        <f t="shared" si="137"/>
        <v>139</v>
      </c>
      <c r="G2890" s="2200">
        <f>--SUBTOTAL(3,C$2:C2890)</f>
        <v>67</v>
      </c>
    </row>
    <row r="2891" spans="1:7" hidden="1" x14ac:dyDescent="0.15">
      <c r="A2891" s="2200" t="s">
        <v>4280</v>
      </c>
      <c r="B2891" s="2200" t="s">
        <v>10057</v>
      </c>
      <c r="C2891" s="2200" t="s">
        <v>10058</v>
      </c>
      <c r="D2891" s="2200" t="str">
        <f t="shared" si="135"/>
        <v>VA</v>
      </c>
      <c r="E2891" s="2200" t="str">
        <f t="shared" si="136"/>
        <v>51</v>
      </c>
      <c r="F2891" s="2200" t="str">
        <f t="shared" si="137"/>
        <v>141</v>
      </c>
      <c r="G2891" s="2200">
        <f>--SUBTOTAL(3,C$2:C2891)</f>
        <v>67</v>
      </c>
    </row>
    <row r="2892" spans="1:7" hidden="1" x14ac:dyDescent="0.15">
      <c r="A2892" s="2200" t="s">
        <v>4280</v>
      </c>
      <c r="B2892" s="2200" t="s">
        <v>10059</v>
      </c>
      <c r="C2892" s="2200" t="s">
        <v>10060</v>
      </c>
      <c r="D2892" s="2200" t="str">
        <f t="shared" si="135"/>
        <v>VA</v>
      </c>
      <c r="E2892" s="2200" t="str">
        <f t="shared" si="136"/>
        <v>51</v>
      </c>
      <c r="F2892" s="2200" t="str">
        <f t="shared" si="137"/>
        <v>143</v>
      </c>
      <c r="G2892" s="2200">
        <f>--SUBTOTAL(3,C$2:C2892)</f>
        <v>67</v>
      </c>
    </row>
    <row r="2893" spans="1:7" hidden="1" x14ac:dyDescent="0.15">
      <c r="A2893" s="2200" t="s">
        <v>4280</v>
      </c>
      <c r="B2893" s="2200" t="s">
        <v>10061</v>
      </c>
      <c r="C2893" s="2200" t="s">
        <v>10062</v>
      </c>
      <c r="D2893" s="2200" t="str">
        <f t="shared" si="135"/>
        <v>VA</v>
      </c>
      <c r="E2893" s="2200" t="str">
        <f t="shared" si="136"/>
        <v>51</v>
      </c>
      <c r="F2893" s="2200" t="str">
        <f t="shared" si="137"/>
        <v>145</v>
      </c>
      <c r="G2893" s="2200">
        <f>--SUBTOTAL(3,C$2:C2893)</f>
        <v>67</v>
      </c>
    </row>
    <row r="2894" spans="1:7" hidden="1" x14ac:dyDescent="0.15">
      <c r="A2894" s="2200" t="s">
        <v>4280</v>
      </c>
      <c r="B2894" s="2200" t="s">
        <v>10063</v>
      </c>
      <c r="C2894" s="2200" t="s">
        <v>10064</v>
      </c>
      <c r="D2894" s="2200" t="str">
        <f t="shared" si="135"/>
        <v>VA</v>
      </c>
      <c r="E2894" s="2200" t="str">
        <f t="shared" si="136"/>
        <v>51</v>
      </c>
      <c r="F2894" s="2200" t="str">
        <f t="shared" si="137"/>
        <v>147</v>
      </c>
      <c r="G2894" s="2200">
        <f>--SUBTOTAL(3,C$2:C2894)</f>
        <v>67</v>
      </c>
    </row>
    <row r="2895" spans="1:7" hidden="1" x14ac:dyDescent="0.15">
      <c r="A2895" s="2200" t="s">
        <v>4280</v>
      </c>
      <c r="B2895" s="2200" t="s">
        <v>10065</v>
      </c>
      <c r="C2895" s="2200" t="s">
        <v>10066</v>
      </c>
      <c r="D2895" s="2200" t="str">
        <f t="shared" si="135"/>
        <v>VA</v>
      </c>
      <c r="E2895" s="2200" t="str">
        <f t="shared" si="136"/>
        <v>51</v>
      </c>
      <c r="F2895" s="2200" t="str">
        <f t="shared" si="137"/>
        <v>149</v>
      </c>
      <c r="G2895" s="2200">
        <f>--SUBTOTAL(3,C$2:C2895)</f>
        <v>67</v>
      </c>
    </row>
    <row r="2896" spans="1:7" hidden="1" x14ac:dyDescent="0.15">
      <c r="A2896" s="2200" t="s">
        <v>4280</v>
      </c>
      <c r="B2896" s="2200" t="s">
        <v>10067</v>
      </c>
      <c r="C2896" s="2200" t="s">
        <v>10068</v>
      </c>
      <c r="D2896" s="2200" t="str">
        <f t="shared" si="135"/>
        <v>VA</v>
      </c>
      <c r="E2896" s="2200" t="str">
        <f t="shared" si="136"/>
        <v>51</v>
      </c>
      <c r="F2896" s="2200" t="str">
        <f t="shared" si="137"/>
        <v>153</v>
      </c>
      <c r="G2896" s="2200">
        <f>--SUBTOTAL(3,C$2:C2896)</f>
        <v>67</v>
      </c>
    </row>
    <row r="2897" spans="1:7" hidden="1" x14ac:dyDescent="0.15">
      <c r="A2897" s="2200" t="s">
        <v>4280</v>
      </c>
      <c r="B2897" s="2200" t="s">
        <v>10069</v>
      </c>
      <c r="C2897" s="2200" t="s">
        <v>10070</v>
      </c>
      <c r="D2897" s="2200" t="str">
        <f t="shared" si="135"/>
        <v>VA</v>
      </c>
      <c r="E2897" s="2200" t="str">
        <f t="shared" si="136"/>
        <v>51</v>
      </c>
      <c r="F2897" s="2200" t="str">
        <f t="shared" si="137"/>
        <v>155</v>
      </c>
      <c r="G2897" s="2200">
        <f>--SUBTOTAL(3,C$2:C2897)</f>
        <v>67</v>
      </c>
    </row>
    <row r="2898" spans="1:7" hidden="1" x14ac:dyDescent="0.15">
      <c r="A2898" s="2200" t="s">
        <v>4280</v>
      </c>
      <c r="B2898" s="2200" t="s">
        <v>10071</v>
      </c>
      <c r="C2898" s="2200" t="s">
        <v>10072</v>
      </c>
      <c r="D2898" s="2200" t="str">
        <f t="shared" si="135"/>
        <v>VA</v>
      </c>
      <c r="E2898" s="2200" t="str">
        <f t="shared" si="136"/>
        <v>51</v>
      </c>
      <c r="F2898" s="2200" t="str">
        <f t="shared" si="137"/>
        <v>157</v>
      </c>
      <c r="G2898" s="2200">
        <f>--SUBTOTAL(3,C$2:C2898)</f>
        <v>67</v>
      </c>
    </row>
    <row r="2899" spans="1:7" hidden="1" x14ac:dyDescent="0.15">
      <c r="A2899" s="2200" t="s">
        <v>4280</v>
      </c>
      <c r="B2899" s="2200" t="s">
        <v>10073</v>
      </c>
      <c r="C2899" s="2200" t="s">
        <v>10074</v>
      </c>
      <c r="D2899" s="2200" t="str">
        <f t="shared" si="135"/>
        <v>VA</v>
      </c>
      <c r="E2899" s="2200" t="str">
        <f t="shared" si="136"/>
        <v>51</v>
      </c>
      <c r="F2899" s="2200" t="str">
        <f t="shared" si="137"/>
        <v>159</v>
      </c>
      <c r="G2899" s="2200">
        <f>--SUBTOTAL(3,C$2:C2899)</f>
        <v>67</v>
      </c>
    </row>
    <row r="2900" spans="1:7" hidden="1" x14ac:dyDescent="0.15">
      <c r="A2900" s="2200" t="s">
        <v>4280</v>
      </c>
      <c r="B2900" s="2200" t="s">
        <v>10075</v>
      </c>
      <c r="C2900" s="2200" t="s">
        <v>10076</v>
      </c>
      <c r="D2900" s="2200" t="str">
        <f t="shared" si="135"/>
        <v>VA</v>
      </c>
      <c r="E2900" s="2200" t="str">
        <f t="shared" si="136"/>
        <v>51</v>
      </c>
      <c r="F2900" s="2200" t="str">
        <f t="shared" si="137"/>
        <v>161</v>
      </c>
      <c r="G2900" s="2200">
        <f>--SUBTOTAL(3,C$2:C2900)</f>
        <v>67</v>
      </c>
    </row>
    <row r="2901" spans="1:7" hidden="1" x14ac:dyDescent="0.15">
      <c r="A2901" s="2200" t="s">
        <v>4280</v>
      </c>
      <c r="B2901" s="2200" t="s">
        <v>10077</v>
      </c>
      <c r="C2901" s="2200" t="s">
        <v>10078</v>
      </c>
      <c r="D2901" s="2200" t="str">
        <f t="shared" si="135"/>
        <v>VA</v>
      </c>
      <c r="E2901" s="2200" t="str">
        <f t="shared" si="136"/>
        <v>51</v>
      </c>
      <c r="F2901" s="2200" t="str">
        <f t="shared" si="137"/>
        <v>163</v>
      </c>
      <c r="G2901" s="2200">
        <f>--SUBTOTAL(3,C$2:C2901)</f>
        <v>67</v>
      </c>
    </row>
    <row r="2902" spans="1:7" hidden="1" x14ac:dyDescent="0.15">
      <c r="A2902" s="2200" t="s">
        <v>4280</v>
      </c>
      <c r="B2902" s="2200" t="s">
        <v>10079</v>
      </c>
      <c r="C2902" s="2200" t="s">
        <v>10080</v>
      </c>
      <c r="D2902" s="2200" t="str">
        <f t="shared" si="135"/>
        <v>VA</v>
      </c>
      <c r="E2902" s="2200" t="str">
        <f t="shared" si="136"/>
        <v>51</v>
      </c>
      <c r="F2902" s="2200" t="str">
        <f t="shared" si="137"/>
        <v>165</v>
      </c>
      <c r="G2902" s="2200">
        <f>--SUBTOTAL(3,C$2:C2902)</f>
        <v>67</v>
      </c>
    </row>
    <row r="2903" spans="1:7" hidden="1" x14ac:dyDescent="0.15">
      <c r="A2903" s="2200" t="s">
        <v>4280</v>
      </c>
      <c r="B2903" s="2200" t="s">
        <v>10081</v>
      </c>
      <c r="C2903" s="2200" t="s">
        <v>10082</v>
      </c>
      <c r="D2903" s="2200" t="str">
        <f t="shared" si="135"/>
        <v>VA</v>
      </c>
      <c r="E2903" s="2200" t="str">
        <f t="shared" si="136"/>
        <v>51</v>
      </c>
      <c r="F2903" s="2200" t="str">
        <f t="shared" si="137"/>
        <v>167</v>
      </c>
      <c r="G2903" s="2200">
        <f>--SUBTOTAL(3,C$2:C2903)</f>
        <v>67</v>
      </c>
    </row>
    <row r="2904" spans="1:7" hidden="1" x14ac:dyDescent="0.15">
      <c r="A2904" s="2200" t="s">
        <v>4280</v>
      </c>
      <c r="B2904" s="2200" t="s">
        <v>10083</v>
      </c>
      <c r="C2904" s="2200" t="s">
        <v>10084</v>
      </c>
      <c r="D2904" s="2200" t="str">
        <f t="shared" si="135"/>
        <v>VA</v>
      </c>
      <c r="E2904" s="2200" t="str">
        <f t="shared" si="136"/>
        <v>51</v>
      </c>
      <c r="F2904" s="2200" t="str">
        <f t="shared" si="137"/>
        <v>169</v>
      </c>
      <c r="G2904" s="2200">
        <f>--SUBTOTAL(3,C$2:C2904)</f>
        <v>67</v>
      </c>
    </row>
    <row r="2905" spans="1:7" hidden="1" x14ac:dyDescent="0.15">
      <c r="A2905" s="2200" t="s">
        <v>4280</v>
      </c>
      <c r="B2905" s="2200" t="s">
        <v>10085</v>
      </c>
      <c r="C2905" s="2200" t="s">
        <v>10086</v>
      </c>
      <c r="D2905" s="2200" t="str">
        <f t="shared" si="135"/>
        <v>VA</v>
      </c>
      <c r="E2905" s="2200" t="str">
        <f t="shared" si="136"/>
        <v>51</v>
      </c>
      <c r="F2905" s="2200" t="str">
        <f t="shared" si="137"/>
        <v>171</v>
      </c>
      <c r="G2905" s="2200">
        <f>--SUBTOTAL(3,C$2:C2905)</f>
        <v>67</v>
      </c>
    </row>
    <row r="2906" spans="1:7" hidden="1" x14ac:dyDescent="0.15">
      <c r="A2906" s="2200" t="s">
        <v>4280</v>
      </c>
      <c r="B2906" s="2200" t="s">
        <v>10087</v>
      </c>
      <c r="C2906" s="2200" t="s">
        <v>10088</v>
      </c>
      <c r="D2906" s="2200" t="str">
        <f t="shared" si="135"/>
        <v>VA</v>
      </c>
      <c r="E2906" s="2200" t="str">
        <f t="shared" si="136"/>
        <v>51</v>
      </c>
      <c r="F2906" s="2200" t="str">
        <f t="shared" si="137"/>
        <v>173</v>
      </c>
      <c r="G2906" s="2200">
        <f>--SUBTOTAL(3,C$2:C2906)</f>
        <v>67</v>
      </c>
    </row>
    <row r="2907" spans="1:7" hidden="1" x14ac:dyDescent="0.15">
      <c r="A2907" s="2200" t="s">
        <v>4280</v>
      </c>
      <c r="B2907" s="2200" t="s">
        <v>10089</v>
      </c>
      <c r="C2907" s="2200" t="s">
        <v>10090</v>
      </c>
      <c r="D2907" s="2200" t="str">
        <f t="shared" si="135"/>
        <v>VA</v>
      </c>
      <c r="E2907" s="2200" t="str">
        <f t="shared" si="136"/>
        <v>51</v>
      </c>
      <c r="F2907" s="2200" t="str">
        <f t="shared" si="137"/>
        <v>175</v>
      </c>
      <c r="G2907" s="2200">
        <f>--SUBTOTAL(3,C$2:C2907)</f>
        <v>67</v>
      </c>
    </row>
    <row r="2908" spans="1:7" hidden="1" x14ac:dyDescent="0.15">
      <c r="A2908" s="2200" t="s">
        <v>4280</v>
      </c>
      <c r="B2908" s="2200" t="s">
        <v>10091</v>
      </c>
      <c r="C2908" s="2200" t="s">
        <v>10092</v>
      </c>
      <c r="D2908" s="2200" t="str">
        <f t="shared" si="135"/>
        <v>VA</v>
      </c>
      <c r="E2908" s="2200" t="str">
        <f t="shared" si="136"/>
        <v>51</v>
      </c>
      <c r="F2908" s="2200" t="str">
        <f t="shared" si="137"/>
        <v>177</v>
      </c>
      <c r="G2908" s="2200">
        <f>--SUBTOTAL(3,C$2:C2908)</f>
        <v>67</v>
      </c>
    </row>
    <row r="2909" spans="1:7" hidden="1" x14ac:dyDescent="0.15">
      <c r="A2909" s="2200" t="s">
        <v>4280</v>
      </c>
      <c r="B2909" s="2200" t="s">
        <v>10093</v>
      </c>
      <c r="C2909" s="2200" t="s">
        <v>10094</v>
      </c>
      <c r="D2909" s="2200" t="str">
        <f t="shared" si="135"/>
        <v>VA</v>
      </c>
      <c r="E2909" s="2200" t="str">
        <f t="shared" si="136"/>
        <v>51</v>
      </c>
      <c r="F2909" s="2200" t="str">
        <f t="shared" si="137"/>
        <v>179</v>
      </c>
      <c r="G2909" s="2200">
        <f>--SUBTOTAL(3,C$2:C2909)</f>
        <v>67</v>
      </c>
    </row>
    <row r="2910" spans="1:7" hidden="1" x14ac:dyDescent="0.15">
      <c r="A2910" s="2200" t="s">
        <v>4280</v>
      </c>
      <c r="B2910" s="2200" t="s">
        <v>10095</v>
      </c>
      <c r="C2910" s="2200" t="s">
        <v>10096</v>
      </c>
      <c r="D2910" s="2200" t="str">
        <f t="shared" si="135"/>
        <v>VA</v>
      </c>
      <c r="E2910" s="2200" t="str">
        <f t="shared" si="136"/>
        <v>51</v>
      </c>
      <c r="F2910" s="2200" t="str">
        <f t="shared" si="137"/>
        <v>181</v>
      </c>
      <c r="G2910" s="2200">
        <f>--SUBTOTAL(3,C$2:C2910)</f>
        <v>67</v>
      </c>
    </row>
    <row r="2911" spans="1:7" hidden="1" x14ac:dyDescent="0.15">
      <c r="A2911" s="2200" t="s">
        <v>4280</v>
      </c>
      <c r="B2911" s="2200" t="s">
        <v>10097</v>
      </c>
      <c r="C2911" s="2200" t="s">
        <v>10098</v>
      </c>
      <c r="D2911" s="2200" t="str">
        <f t="shared" si="135"/>
        <v>VA</v>
      </c>
      <c r="E2911" s="2200" t="str">
        <f t="shared" si="136"/>
        <v>51</v>
      </c>
      <c r="F2911" s="2200" t="str">
        <f t="shared" si="137"/>
        <v>183</v>
      </c>
      <c r="G2911" s="2200">
        <f>--SUBTOTAL(3,C$2:C2911)</f>
        <v>67</v>
      </c>
    </row>
    <row r="2912" spans="1:7" hidden="1" x14ac:dyDescent="0.15">
      <c r="A2912" s="2200" t="s">
        <v>4280</v>
      </c>
      <c r="B2912" s="2200" t="s">
        <v>10099</v>
      </c>
      <c r="C2912" s="2200" t="s">
        <v>10100</v>
      </c>
      <c r="D2912" s="2200" t="str">
        <f t="shared" si="135"/>
        <v>VA</v>
      </c>
      <c r="E2912" s="2200" t="str">
        <f t="shared" si="136"/>
        <v>51</v>
      </c>
      <c r="F2912" s="2200" t="str">
        <f t="shared" si="137"/>
        <v>185</v>
      </c>
      <c r="G2912" s="2200">
        <f>--SUBTOTAL(3,C$2:C2912)</f>
        <v>67</v>
      </c>
    </row>
    <row r="2913" spans="1:7" hidden="1" x14ac:dyDescent="0.15">
      <c r="A2913" s="2200" t="s">
        <v>4280</v>
      </c>
      <c r="B2913" s="2200" t="s">
        <v>10101</v>
      </c>
      <c r="C2913" s="2200" t="s">
        <v>10102</v>
      </c>
      <c r="D2913" s="2200" t="str">
        <f t="shared" si="135"/>
        <v>VA</v>
      </c>
      <c r="E2913" s="2200" t="str">
        <f t="shared" si="136"/>
        <v>51</v>
      </c>
      <c r="F2913" s="2200" t="str">
        <f t="shared" si="137"/>
        <v>187</v>
      </c>
      <c r="G2913" s="2200">
        <f>--SUBTOTAL(3,C$2:C2913)</f>
        <v>67</v>
      </c>
    </row>
    <row r="2914" spans="1:7" hidden="1" x14ac:dyDescent="0.15">
      <c r="A2914" s="2200" t="s">
        <v>4280</v>
      </c>
      <c r="B2914" s="2200" t="s">
        <v>10103</v>
      </c>
      <c r="C2914" s="2200" t="s">
        <v>10104</v>
      </c>
      <c r="D2914" s="2200" t="str">
        <f t="shared" si="135"/>
        <v>VA</v>
      </c>
      <c r="E2914" s="2200" t="str">
        <f t="shared" si="136"/>
        <v>51</v>
      </c>
      <c r="F2914" s="2200" t="str">
        <f t="shared" si="137"/>
        <v>191</v>
      </c>
      <c r="G2914" s="2200">
        <f>--SUBTOTAL(3,C$2:C2914)</f>
        <v>67</v>
      </c>
    </row>
    <row r="2915" spans="1:7" hidden="1" x14ac:dyDescent="0.15">
      <c r="A2915" s="2200" t="s">
        <v>4280</v>
      </c>
      <c r="B2915" s="2200" t="s">
        <v>10105</v>
      </c>
      <c r="C2915" s="2200" t="s">
        <v>10106</v>
      </c>
      <c r="D2915" s="2200" t="str">
        <f t="shared" si="135"/>
        <v>VA</v>
      </c>
      <c r="E2915" s="2200" t="str">
        <f t="shared" si="136"/>
        <v>51</v>
      </c>
      <c r="F2915" s="2200" t="str">
        <f t="shared" si="137"/>
        <v>193</v>
      </c>
      <c r="G2915" s="2200">
        <f>--SUBTOTAL(3,C$2:C2915)</f>
        <v>67</v>
      </c>
    </row>
    <row r="2916" spans="1:7" hidden="1" x14ac:dyDescent="0.15">
      <c r="A2916" s="2200" t="s">
        <v>4280</v>
      </c>
      <c r="B2916" s="2200" t="s">
        <v>10107</v>
      </c>
      <c r="C2916" s="2200" t="s">
        <v>10108</v>
      </c>
      <c r="D2916" s="2200" t="str">
        <f t="shared" si="135"/>
        <v>VA</v>
      </c>
      <c r="E2916" s="2200" t="str">
        <f t="shared" si="136"/>
        <v>51</v>
      </c>
      <c r="F2916" s="2200" t="str">
        <f t="shared" si="137"/>
        <v>195</v>
      </c>
      <c r="G2916" s="2200">
        <f>--SUBTOTAL(3,C$2:C2916)</f>
        <v>67</v>
      </c>
    </row>
    <row r="2917" spans="1:7" hidden="1" x14ac:dyDescent="0.15">
      <c r="A2917" s="2200" t="s">
        <v>4280</v>
      </c>
      <c r="B2917" s="2200" t="s">
        <v>10109</v>
      </c>
      <c r="C2917" s="2200" t="s">
        <v>10110</v>
      </c>
      <c r="D2917" s="2200" t="str">
        <f t="shared" si="135"/>
        <v>VA</v>
      </c>
      <c r="E2917" s="2200" t="str">
        <f t="shared" si="136"/>
        <v>51</v>
      </c>
      <c r="F2917" s="2200" t="str">
        <f t="shared" si="137"/>
        <v>197</v>
      </c>
      <c r="G2917" s="2200">
        <f>--SUBTOTAL(3,C$2:C2917)</f>
        <v>67</v>
      </c>
    </row>
    <row r="2918" spans="1:7" hidden="1" x14ac:dyDescent="0.15">
      <c r="A2918" s="2200" t="s">
        <v>4280</v>
      </c>
      <c r="B2918" s="2200" t="s">
        <v>10111</v>
      </c>
      <c r="C2918" s="2200" t="s">
        <v>10112</v>
      </c>
      <c r="D2918" s="2200" t="str">
        <f t="shared" si="135"/>
        <v>VA</v>
      </c>
      <c r="E2918" s="2200" t="str">
        <f t="shared" si="136"/>
        <v>51</v>
      </c>
      <c r="F2918" s="2200" t="str">
        <f t="shared" si="137"/>
        <v>199</v>
      </c>
      <c r="G2918" s="2200">
        <f>--SUBTOTAL(3,C$2:C2918)</f>
        <v>67</v>
      </c>
    </row>
    <row r="2919" spans="1:7" hidden="1" x14ac:dyDescent="0.15">
      <c r="A2919" s="2200" t="s">
        <v>4280</v>
      </c>
      <c r="B2919" s="2200" t="s">
        <v>10113</v>
      </c>
      <c r="C2919" s="2200" t="s">
        <v>10114</v>
      </c>
      <c r="D2919" s="2200" t="str">
        <f t="shared" si="135"/>
        <v>VA</v>
      </c>
      <c r="E2919" s="2200" t="str">
        <f t="shared" si="136"/>
        <v>51</v>
      </c>
      <c r="F2919" s="2200" t="str">
        <f t="shared" si="137"/>
        <v>510</v>
      </c>
      <c r="G2919" s="2200">
        <f>--SUBTOTAL(3,C$2:C2919)</f>
        <v>67</v>
      </c>
    </row>
    <row r="2920" spans="1:7" hidden="1" x14ac:dyDescent="0.15">
      <c r="A2920" s="2200" t="s">
        <v>4280</v>
      </c>
      <c r="B2920" s="2200" t="s">
        <v>10115</v>
      </c>
      <c r="C2920" s="2200" t="s">
        <v>10116</v>
      </c>
      <c r="D2920" s="2200" t="str">
        <f t="shared" si="135"/>
        <v>VA</v>
      </c>
      <c r="E2920" s="2200" t="str">
        <f t="shared" si="136"/>
        <v>51</v>
      </c>
      <c r="F2920" s="2200" t="str">
        <f t="shared" si="137"/>
        <v>520</v>
      </c>
      <c r="G2920" s="2200">
        <f>--SUBTOTAL(3,C$2:C2920)</f>
        <v>67</v>
      </c>
    </row>
    <row r="2921" spans="1:7" hidden="1" x14ac:dyDescent="0.15">
      <c r="A2921" s="2200" t="s">
        <v>4280</v>
      </c>
      <c r="B2921" s="2200" t="s">
        <v>10117</v>
      </c>
      <c r="C2921" s="2200" t="s">
        <v>10118</v>
      </c>
      <c r="D2921" s="2200" t="str">
        <f t="shared" si="135"/>
        <v>VA</v>
      </c>
      <c r="E2921" s="2200" t="str">
        <f t="shared" si="136"/>
        <v>51</v>
      </c>
      <c r="F2921" s="2200" t="str">
        <f t="shared" si="137"/>
        <v>530</v>
      </c>
      <c r="G2921" s="2200">
        <f>--SUBTOTAL(3,C$2:C2921)</f>
        <v>67</v>
      </c>
    </row>
    <row r="2922" spans="1:7" hidden="1" x14ac:dyDescent="0.15">
      <c r="A2922" s="2200" t="s">
        <v>4280</v>
      </c>
      <c r="B2922" s="2200" t="s">
        <v>10119</v>
      </c>
      <c r="C2922" s="2200" t="s">
        <v>10120</v>
      </c>
      <c r="D2922" s="2200" t="str">
        <f t="shared" si="135"/>
        <v>VA</v>
      </c>
      <c r="E2922" s="2200" t="str">
        <f t="shared" si="136"/>
        <v>51</v>
      </c>
      <c r="F2922" s="2200" t="str">
        <f t="shared" si="137"/>
        <v>540</v>
      </c>
      <c r="G2922" s="2200">
        <f>--SUBTOTAL(3,C$2:C2922)</f>
        <v>67</v>
      </c>
    </row>
    <row r="2923" spans="1:7" hidden="1" x14ac:dyDescent="0.15">
      <c r="A2923" s="2200" t="s">
        <v>4280</v>
      </c>
      <c r="B2923" s="2200" t="s">
        <v>10121</v>
      </c>
      <c r="C2923" s="2200" t="s">
        <v>10122</v>
      </c>
      <c r="D2923" s="2200" t="str">
        <f t="shared" si="135"/>
        <v>VA</v>
      </c>
      <c r="E2923" s="2200" t="str">
        <f t="shared" si="136"/>
        <v>51</v>
      </c>
      <c r="F2923" s="2200" t="str">
        <f t="shared" si="137"/>
        <v>550</v>
      </c>
      <c r="G2923" s="2200">
        <f>--SUBTOTAL(3,C$2:C2923)</f>
        <v>67</v>
      </c>
    </row>
    <row r="2924" spans="1:7" hidden="1" x14ac:dyDescent="0.15">
      <c r="A2924" s="2200" t="s">
        <v>4280</v>
      </c>
      <c r="B2924" s="2200" t="s">
        <v>10123</v>
      </c>
      <c r="C2924" s="2200" t="s">
        <v>10124</v>
      </c>
      <c r="D2924" s="2200" t="str">
        <f t="shared" si="135"/>
        <v>VA</v>
      </c>
      <c r="E2924" s="2200" t="str">
        <f t="shared" si="136"/>
        <v>51</v>
      </c>
      <c r="F2924" s="2200" t="str">
        <f t="shared" si="137"/>
        <v>570</v>
      </c>
      <c r="G2924" s="2200">
        <f>--SUBTOTAL(3,C$2:C2924)</f>
        <v>67</v>
      </c>
    </row>
    <row r="2925" spans="1:7" hidden="1" x14ac:dyDescent="0.15">
      <c r="A2925" s="2200" t="s">
        <v>4280</v>
      </c>
      <c r="B2925" s="2200" t="s">
        <v>10125</v>
      </c>
      <c r="C2925" s="2200" t="s">
        <v>10126</v>
      </c>
      <c r="D2925" s="2200" t="str">
        <f t="shared" si="135"/>
        <v>VA</v>
      </c>
      <c r="E2925" s="2200" t="str">
        <f t="shared" si="136"/>
        <v>51</v>
      </c>
      <c r="F2925" s="2200" t="str">
        <f t="shared" si="137"/>
        <v>580</v>
      </c>
      <c r="G2925" s="2200">
        <f>--SUBTOTAL(3,C$2:C2925)</f>
        <v>67</v>
      </c>
    </row>
    <row r="2926" spans="1:7" hidden="1" x14ac:dyDescent="0.15">
      <c r="A2926" s="2200" t="s">
        <v>4280</v>
      </c>
      <c r="B2926" s="2200" t="s">
        <v>10127</v>
      </c>
      <c r="C2926" s="2200" t="s">
        <v>10128</v>
      </c>
      <c r="D2926" s="2200" t="str">
        <f t="shared" si="135"/>
        <v>VA</v>
      </c>
      <c r="E2926" s="2200" t="str">
        <f t="shared" si="136"/>
        <v>51</v>
      </c>
      <c r="F2926" s="2200" t="str">
        <f t="shared" si="137"/>
        <v>590</v>
      </c>
      <c r="G2926" s="2200">
        <f>--SUBTOTAL(3,C$2:C2926)</f>
        <v>67</v>
      </c>
    </row>
    <row r="2927" spans="1:7" hidden="1" x14ac:dyDescent="0.15">
      <c r="A2927" s="2200" t="s">
        <v>4280</v>
      </c>
      <c r="B2927" s="2200" t="s">
        <v>10129</v>
      </c>
      <c r="C2927" s="2200" t="s">
        <v>10130</v>
      </c>
      <c r="D2927" s="2200" t="str">
        <f t="shared" si="135"/>
        <v>VA</v>
      </c>
      <c r="E2927" s="2200" t="str">
        <f t="shared" si="136"/>
        <v>51</v>
      </c>
      <c r="F2927" s="2200" t="str">
        <f t="shared" si="137"/>
        <v>595</v>
      </c>
      <c r="G2927" s="2200">
        <f>--SUBTOTAL(3,C$2:C2927)</f>
        <v>67</v>
      </c>
    </row>
    <row r="2928" spans="1:7" hidden="1" x14ac:dyDescent="0.15">
      <c r="A2928" s="2200" t="s">
        <v>4280</v>
      </c>
      <c r="B2928" s="2200" t="s">
        <v>10131</v>
      </c>
      <c r="C2928" s="2200" t="s">
        <v>10132</v>
      </c>
      <c r="D2928" s="2200" t="str">
        <f t="shared" si="135"/>
        <v>VA</v>
      </c>
      <c r="E2928" s="2200" t="str">
        <f t="shared" si="136"/>
        <v>51</v>
      </c>
      <c r="F2928" s="2200" t="str">
        <f t="shared" si="137"/>
        <v>600</v>
      </c>
      <c r="G2928" s="2200">
        <f>--SUBTOTAL(3,C$2:C2928)</f>
        <v>67</v>
      </c>
    </row>
    <row r="2929" spans="1:7" hidden="1" x14ac:dyDescent="0.15">
      <c r="A2929" s="2200" t="s">
        <v>4280</v>
      </c>
      <c r="B2929" s="2200" t="s">
        <v>10133</v>
      </c>
      <c r="C2929" s="2200" t="s">
        <v>10134</v>
      </c>
      <c r="D2929" s="2200" t="str">
        <f t="shared" si="135"/>
        <v>VA</v>
      </c>
      <c r="E2929" s="2200" t="str">
        <f t="shared" si="136"/>
        <v>51</v>
      </c>
      <c r="F2929" s="2200" t="str">
        <f t="shared" si="137"/>
        <v>610</v>
      </c>
      <c r="G2929" s="2200">
        <f>--SUBTOTAL(3,C$2:C2929)</f>
        <v>67</v>
      </c>
    </row>
    <row r="2930" spans="1:7" hidden="1" x14ac:dyDescent="0.15">
      <c r="A2930" s="2200" t="s">
        <v>4280</v>
      </c>
      <c r="B2930" s="2200" t="s">
        <v>10135</v>
      </c>
      <c r="C2930" s="2200" t="s">
        <v>10136</v>
      </c>
      <c r="D2930" s="2200" t="str">
        <f t="shared" si="135"/>
        <v>VA</v>
      </c>
      <c r="E2930" s="2200" t="str">
        <f t="shared" si="136"/>
        <v>51</v>
      </c>
      <c r="F2930" s="2200" t="str">
        <f t="shared" si="137"/>
        <v>620</v>
      </c>
      <c r="G2930" s="2200">
        <f>--SUBTOTAL(3,C$2:C2930)</f>
        <v>67</v>
      </c>
    </row>
    <row r="2931" spans="1:7" hidden="1" x14ac:dyDescent="0.15">
      <c r="A2931" s="2200" t="s">
        <v>4280</v>
      </c>
      <c r="B2931" s="2200" t="s">
        <v>10137</v>
      </c>
      <c r="C2931" s="2200" t="s">
        <v>10138</v>
      </c>
      <c r="D2931" s="2200" t="str">
        <f t="shared" si="135"/>
        <v>VA</v>
      </c>
      <c r="E2931" s="2200" t="str">
        <f t="shared" si="136"/>
        <v>51</v>
      </c>
      <c r="F2931" s="2200" t="str">
        <f t="shared" si="137"/>
        <v>630</v>
      </c>
      <c r="G2931" s="2200">
        <f>--SUBTOTAL(3,C$2:C2931)</f>
        <v>67</v>
      </c>
    </row>
    <row r="2932" spans="1:7" hidden="1" x14ac:dyDescent="0.15">
      <c r="A2932" s="2200" t="s">
        <v>4280</v>
      </c>
      <c r="B2932" s="2200" t="s">
        <v>10139</v>
      </c>
      <c r="C2932" s="2200" t="s">
        <v>10140</v>
      </c>
      <c r="D2932" s="2200" t="str">
        <f t="shared" si="135"/>
        <v>VA</v>
      </c>
      <c r="E2932" s="2200" t="str">
        <f t="shared" si="136"/>
        <v>51</v>
      </c>
      <c r="F2932" s="2200" t="str">
        <f t="shared" si="137"/>
        <v>640</v>
      </c>
      <c r="G2932" s="2200">
        <f>--SUBTOTAL(3,C$2:C2932)</f>
        <v>67</v>
      </c>
    </row>
    <row r="2933" spans="1:7" hidden="1" x14ac:dyDescent="0.15">
      <c r="A2933" s="2200" t="s">
        <v>4280</v>
      </c>
      <c r="B2933" s="2200" t="s">
        <v>10141</v>
      </c>
      <c r="C2933" s="2200" t="s">
        <v>10142</v>
      </c>
      <c r="D2933" s="2200" t="str">
        <f t="shared" si="135"/>
        <v>VA</v>
      </c>
      <c r="E2933" s="2200" t="str">
        <f t="shared" si="136"/>
        <v>51</v>
      </c>
      <c r="F2933" s="2200" t="str">
        <f t="shared" si="137"/>
        <v>650</v>
      </c>
      <c r="G2933" s="2200">
        <f>--SUBTOTAL(3,C$2:C2933)</f>
        <v>67</v>
      </c>
    </row>
    <row r="2934" spans="1:7" hidden="1" x14ac:dyDescent="0.15">
      <c r="A2934" s="2200" t="s">
        <v>4280</v>
      </c>
      <c r="B2934" s="2200" t="s">
        <v>10143</v>
      </c>
      <c r="C2934" s="2200" t="s">
        <v>10144</v>
      </c>
      <c r="D2934" s="2200" t="str">
        <f t="shared" si="135"/>
        <v>VA</v>
      </c>
      <c r="E2934" s="2200" t="str">
        <f t="shared" si="136"/>
        <v>51</v>
      </c>
      <c r="F2934" s="2200" t="str">
        <f t="shared" si="137"/>
        <v>660</v>
      </c>
      <c r="G2934" s="2200">
        <f>--SUBTOTAL(3,C$2:C2934)</f>
        <v>67</v>
      </c>
    </row>
    <row r="2935" spans="1:7" hidden="1" x14ac:dyDescent="0.15">
      <c r="A2935" s="2200" t="s">
        <v>4280</v>
      </c>
      <c r="B2935" s="2200" t="s">
        <v>10145</v>
      </c>
      <c r="C2935" s="2200" t="s">
        <v>10146</v>
      </c>
      <c r="D2935" s="2200" t="str">
        <f t="shared" si="135"/>
        <v>VA</v>
      </c>
      <c r="E2935" s="2200" t="str">
        <f t="shared" si="136"/>
        <v>51</v>
      </c>
      <c r="F2935" s="2200" t="str">
        <f t="shared" si="137"/>
        <v>670</v>
      </c>
      <c r="G2935" s="2200">
        <f>--SUBTOTAL(3,C$2:C2935)</f>
        <v>67</v>
      </c>
    </row>
    <row r="2936" spans="1:7" hidden="1" x14ac:dyDescent="0.15">
      <c r="A2936" s="2200" t="s">
        <v>4280</v>
      </c>
      <c r="B2936" s="2200" t="s">
        <v>10147</v>
      </c>
      <c r="C2936" s="2200" t="s">
        <v>10148</v>
      </c>
      <c r="D2936" s="2200" t="str">
        <f t="shared" si="135"/>
        <v>VA</v>
      </c>
      <c r="E2936" s="2200" t="str">
        <f t="shared" si="136"/>
        <v>51</v>
      </c>
      <c r="F2936" s="2200" t="str">
        <f t="shared" si="137"/>
        <v>678</v>
      </c>
      <c r="G2936" s="2200">
        <f>--SUBTOTAL(3,C$2:C2936)</f>
        <v>67</v>
      </c>
    </row>
    <row r="2937" spans="1:7" hidden="1" x14ac:dyDescent="0.15">
      <c r="A2937" s="2200" t="s">
        <v>4280</v>
      </c>
      <c r="B2937" s="2200" t="s">
        <v>10149</v>
      </c>
      <c r="C2937" s="2200" t="s">
        <v>10150</v>
      </c>
      <c r="D2937" s="2200" t="str">
        <f t="shared" si="135"/>
        <v>VA</v>
      </c>
      <c r="E2937" s="2200" t="str">
        <f t="shared" si="136"/>
        <v>51</v>
      </c>
      <c r="F2937" s="2200" t="str">
        <f t="shared" si="137"/>
        <v>680</v>
      </c>
      <c r="G2937" s="2200">
        <f>--SUBTOTAL(3,C$2:C2937)</f>
        <v>67</v>
      </c>
    </row>
    <row r="2938" spans="1:7" hidden="1" x14ac:dyDescent="0.15">
      <c r="A2938" s="2200" t="s">
        <v>4280</v>
      </c>
      <c r="B2938" s="2200" t="s">
        <v>10151</v>
      </c>
      <c r="C2938" s="2200" t="s">
        <v>10152</v>
      </c>
      <c r="D2938" s="2200" t="str">
        <f t="shared" si="135"/>
        <v>VA</v>
      </c>
      <c r="E2938" s="2200" t="str">
        <f t="shared" si="136"/>
        <v>51</v>
      </c>
      <c r="F2938" s="2200" t="str">
        <f t="shared" si="137"/>
        <v>683</v>
      </c>
      <c r="G2938" s="2200">
        <f>--SUBTOTAL(3,C$2:C2938)</f>
        <v>67</v>
      </c>
    </row>
    <row r="2939" spans="1:7" hidden="1" x14ac:dyDescent="0.15">
      <c r="A2939" s="2200" t="s">
        <v>4280</v>
      </c>
      <c r="B2939" s="2200" t="s">
        <v>10153</v>
      </c>
      <c r="C2939" s="2200" t="s">
        <v>10154</v>
      </c>
      <c r="D2939" s="2200" t="str">
        <f t="shared" si="135"/>
        <v>VA</v>
      </c>
      <c r="E2939" s="2200" t="str">
        <f t="shared" si="136"/>
        <v>51</v>
      </c>
      <c r="F2939" s="2200" t="str">
        <f t="shared" si="137"/>
        <v>685</v>
      </c>
      <c r="G2939" s="2200">
        <f>--SUBTOTAL(3,C$2:C2939)</f>
        <v>67</v>
      </c>
    </row>
    <row r="2940" spans="1:7" hidden="1" x14ac:dyDescent="0.15">
      <c r="A2940" s="2200" t="s">
        <v>4280</v>
      </c>
      <c r="B2940" s="2200" t="s">
        <v>10155</v>
      </c>
      <c r="C2940" s="2200" t="s">
        <v>10156</v>
      </c>
      <c r="D2940" s="2200" t="str">
        <f t="shared" si="135"/>
        <v>VA</v>
      </c>
      <c r="E2940" s="2200" t="str">
        <f t="shared" si="136"/>
        <v>51</v>
      </c>
      <c r="F2940" s="2200" t="str">
        <f t="shared" si="137"/>
        <v>690</v>
      </c>
      <c r="G2940" s="2200">
        <f>--SUBTOTAL(3,C$2:C2940)</f>
        <v>67</v>
      </c>
    </row>
    <row r="2941" spans="1:7" hidden="1" x14ac:dyDescent="0.15">
      <c r="A2941" s="2200" t="s">
        <v>4280</v>
      </c>
      <c r="B2941" s="2200" t="s">
        <v>10157</v>
      </c>
      <c r="C2941" s="2200" t="s">
        <v>10158</v>
      </c>
      <c r="D2941" s="2200" t="str">
        <f t="shared" si="135"/>
        <v>VA</v>
      </c>
      <c r="E2941" s="2200" t="str">
        <f t="shared" si="136"/>
        <v>51</v>
      </c>
      <c r="F2941" s="2200" t="str">
        <f t="shared" si="137"/>
        <v>700</v>
      </c>
      <c r="G2941" s="2200">
        <f>--SUBTOTAL(3,C$2:C2941)</f>
        <v>67</v>
      </c>
    </row>
    <row r="2942" spans="1:7" hidden="1" x14ac:dyDescent="0.15">
      <c r="A2942" s="2200" t="s">
        <v>4280</v>
      </c>
      <c r="B2942" s="2200" t="s">
        <v>10159</v>
      </c>
      <c r="C2942" s="2200" t="s">
        <v>10160</v>
      </c>
      <c r="D2942" s="2200" t="str">
        <f t="shared" si="135"/>
        <v>VA</v>
      </c>
      <c r="E2942" s="2200" t="str">
        <f t="shared" si="136"/>
        <v>51</v>
      </c>
      <c r="F2942" s="2200" t="str">
        <f t="shared" si="137"/>
        <v>710</v>
      </c>
      <c r="G2942" s="2200">
        <f>--SUBTOTAL(3,C$2:C2942)</f>
        <v>67</v>
      </c>
    </row>
    <row r="2943" spans="1:7" hidden="1" x14ac:dyDescent="0.15">
      <c r="A2943" s="2200" t="s">
        <v>4280</v>
      </c>
      <c r="B2943" s="2200" t="s">
        <v>10161</v>
      </c>
      <c r="C2943" s="2200" t="s">
        <v>10162</v>
      </c>
      <c r="D2943" s="2200" t="str">
        <f t="shared" si="135"/>
        <v>VA</v>
      </c>
      <c r="E2943" s="2200" t="str">
        <f t="shared" si="136"/>
        <v>51</v>
      </c>
      <c r="F2943" s="2200" t="str">
        <f t="shared" si="137"/>
        <v>720</v>
      </c>
      <c r="G2943" s="2200">
        <f>--SUBTOTAL(3,C$2:C2943)</f>
        <v>67</v>
      </c>
    </row>
    <row r="2944" spans="1:7" hidden="1" x14ac:dyDescent="0.15">
      <c r="A2944" s="2200" t="s">
        <v>4280</v>
      </c>
      <c r="B2944" s="2200" t="s">
        <v>10163</v>
      </c>
      <c r="C2944" s="2200" t="s">
        <v>10164</v>
      </c>
      <c r="D2944" s="2200" t="str">
        <f t="shared" si="135"/>
        <v>VA</v>
      </c>
      <c r="E2944" s="2200" t="str">
        <f t="shared" si="136"/>
        <v>51</v>
      </c>
      <c r="F2944" s="2200" t="str">
        <f t="shared" si="137"/>
        <v>730</v>
      </c>
      <c r="G2944" s="2200">
        <f>--SUBTOTAL(3,C$2:C2944)</f>
        <v>67</v>
      </c>
    </row>
    <row r="2945" spans="1:7" hidden="1" x14ac:dyDescent="0.15">
      <c r="A2945" s="2200" t="s">
        <v>4280</v>
      </c>
      <c r="B2945" s="2200" t="s">
        <v>10165</v>
      </c>
      <c r="C2945" s="2200" t="s">
        <v>10166</v>
      </c>
      <c r="D2945" s="2200" t="str">
        <f t="shared" si="135"/>
        <v>VA</v>
      </c>
      <c r="E2945" s="2200" t="str">
        <f t="shared" si="136"/>
        <v>51</v>
      </c>
      <c r="F2945" s="2200" t="str">
        <f t="shared" si="137"/>
        <v>735</v>
      </c>
      <c r="G2945" s="2200">
        <f>--SUBTOTAL(3,C$2:C2945)</f>
        <v>67</v>
      </c>
    </row>
    <row r="2946" spans="1:7" hidden="1" x14ac:dyDescent="0.15">
      <c r="A2946" s="2200" t="s">
        <v>4280</v>
      </c>
      <c r="B2946" s="2200" t="s">
        <v>10167</v>
      </c>
      <c r="C2946" s="2200" t="s">
        <v>10168</v>
      </c>
      <c r="D2946" s="2200" t="str">
        <f t="shared" si="135"/>
        <v>VA</v>
      </c>
      <c r="E2946" s="2200" t="str">
        <f t="shared" si="136"/>
        <v>51</v>
      </c>
      <c r="F2946" s="2200" t="str">
        <f t="shared" si="137"/>
        <v>740</v>
      </c>
      <c r="G2946" s="2200">
        <f>--SUBTOTAL(3,C$2:C2946)</f>
        <v>67</v>
      </c>
    </row>
    <row r="2947" spans="1:7" hidden="1" x14ac:dyDescent="0.15">
      <c r="A2947" s="2200" t="s">
        <v>4280</v>
      </c>
      <c r="B2947" s="2200" t="s">
        <v>10169</v>
      </c>
      <c r="C2947" s="2200" t="s">
        <v>10170</v>
      </c>
      <c r="D2947" s="2200" t="str">
        <f t="shared" ref="D2947:D3010" si="138">RIGHT(C2947,2)</f>
        <v>VA</v>
      </c>
      <c r="E2947" s="2200" t="str">
        <f t="shared" ref="E2947:E3010" si="139">MID(B2947,3,2)</f>
        <v>51</v>
      </c>
      <c r="F2947" s="2200" t="str">
        <f t="shared" ref="F2947:F3010" si="140">MID(B2947,5,3)</f>
        <v>750</v>
      </c>
      <c r="G2947" s="2200">
        <f>--SUBTOTAL(3,C$2:C2947)</f>
        <v>67</v>
      </c>
    </row>
    <row r="2948" spans="1:7" hidden="1" x14ac:dyDescent="0.15">
      <c r="A2948" s="2200" t="s">
        <v>4280</v>
      </c>
      <c r="B2948" s="2200" t="s">
        <v>10171</v>
      </c>
      <c r="C2948" s="2200" t="s">
        <v>10172</v>
      </c>
      <c r="D2948" s="2200" t="str">
        <f t="shared" si="138"/>
        <v>VA</v>
      </c>
      <c r="E2948" s="2200" t="str">
        <f t="shared" si="139"/>
        <v>51</v>
      </c>
      <c r="F2948" s="2200" t="str">
        <f t="shared" si="140"/>
        <v>760</v>
      </c>
      <c r="G2948" s="2200">
        <f>--SUBTOTAL(3,C$2:C2948)</f>
        <v>67</v>
      </c>
    </row>
    <row r="2949" spans="1:7" hidden="1" x14ac:dyDescent="0.15">
      <c r="A2949" s="2200" t="s">
        <v>4280</v>
      </c>
      <c r="B2949" s="2200" t="s">
        <v>10173</v>
      </c>
      <c r="C2949" s="2200" t="s">
        <v>10174</v>
      </c>
      <c r="D2949" s="2200" t="str">
        <f t="shared" si="138"/>
        <v>VA</v>
      </c>
      <c r="E2949" s="2200" t="str">
        <f t="shared" si="139"/>
        <v>51</v>
      </c>
      <c r="F2949" s="2200" t="str">
        <f t="shared" si="140"/>
        <v>770</v>
      </c>
      <c r="G2949" s="2200">
        <f>--SUBTOTAL(3,C$2:C2949)</f>
        <v>67</v>
      </c>
    </row>
    <row r="2950" spans="1:7" hidden="1" x14ac:dyDescent="0.15">
      <c r="A2950" s="2200" t="s">
        <v>4280</v>
      </c>
      <c r="B2950" s="2200" t="s">
        <v>10175</v>
      </c>
      <c r="C2950" s="2200" t="s">
        <v>10176</v>
      </c>
      <c r="D2950" s="2200" t="str">
        <f t="shared" si="138"/>
        <v>VA</v>
      </c>
      <c r="E2950" s="2200" t="str">
        <f t="shared" si="139"/>
        <v>51</v>
      </c>
      <c r="F2950" s="2200" t="str">
        <f t="shared" si="140"/>
        <v>775</v>
      </c>
      <c r="G2950" s="2200">
        <f>--SUBTOTAL(3,C$2:C2950)</f>
        <v>67</v>
      </c>
    </row>
    <row r="2951" spans="1:7" hidden="1" x14ac:dyDescent="0.15">
      <c r="A2951" s="2200" t="s">
        <v>4280</v>
      </c>
      <c r="B2951" s="2200" t="s">
        <v>10177</v>
      </c>
      <c r="C2951" s="2200" t="s">
        <v>10178</v>
      </c>
      <c r="D2951" s="2200" t="str">
        <f t="shared" si="138"/>
        <v>VA</v>
      </c>
      <c r="E2951" s="2200" t="str">
        <f t="shared" si="139"/>
        <v>51</v>
      </c>
      <c r="F2951" s="2200" t="str">
        <f t="shared" si="140"/>
        <v>790</v>
      </c>
      <c r="G2951" s="2200">
        <f>--SUBTOTAL(3,C$2:C2951)</f>
        <v>67</v>
      </c>
    </row>
    <row r="2952" spans="1:7" hidden="1" x14ac:dyDescent="0.15">
      <c r="A2952" s="2200" t="s">
        <v>4280</v>
      </c>
      <c r="B2952" s="2200" t="s">
        <v>10179</v>
      </c>
      <c r="C2952" s="2200" t="s">
        <v>10180</v>
      </c>
      <c r="D2952" s="2200" t="str">
        <f t="shared" si="138"/>
        <v>VA</v>
      </c>
      <c r="E2952" s="2200" t="str">
        <f t="shared" si="139"/>
        <v>51</v>
      </c>
      <c r="F2952" s="2200" t="str">
        <f t="shared" si="140"/>
        <v>800</v>
      </c>
      <c r="G2952" s="2200">
        <f>--SUBTOTAL(3,C$2:C2952)</f>
        <v>67</v>
      </c>
    </row>
    <row r="2953" spans="1:7" hidden="1" x14ac:dyDescent="0.15">
      <c r="A2953" s="2200" t="s">
        <v>4280</v>
      </c>
      <c r="B2953" s="2200" t="s">
        <v>10181</v>
      </c>
      <c r="C2953" s="2200" t="s">
        <v>10182</v>
      </c>
      <c r="D2953" s="2200" t="str">
        <f t="shared" si="138"/>
        <v>VA</v>
      </c>
      <c r="E2953" s="2200" t="str">
        <f t="shared" si="139"/>
        <v>51</v>
      </c>
      <c r="F2953" s="2200" t="str">
        <f t="shared" si="140"/>
        <v>810</v>
      </c>
      <c r="G2953" s="2200">
        <f>--SUBTOTAL(3,C$2:C2953)</f>
        <v>67</v>
      </c>
    </row>
    <row r="2954" spans="1:7" hidden="1" x14ac:dyDescent="0.15">
      <c r="A2954" s="2200" t="s">
        <v>4280</v>
      </c>
      <c r="B2954" s="2200" t="s">
        <v>10183</v>
      </c>
      <c r="C2954" s="2200" t="s">
        <v>10184</v>
      </c>
      <c r="D2954" s="2200" t="str">
        <f t="shared" si="138"/>
        <v>VA</v>
      </c>
      <c r="E2954" s="2200" t="str">
        <f t="shared" si="139"/>
        <v>51</v>
      </c>
      <c r="F2954" s="2200" t="str">
        <f t="shared" si="140"/>
        <v>820</v>
      </c>
      <c r="G2954" s="2200">
        <f>--SUBTOTAL(3,C$2:C2954)</f>
        <v>67</v>
      </c>
    </row>
    <row r="2955" spans="1:7" hidden="1" x14ac:dyDescent="0.15">
      <c r="A2955" s="2200" t="s">
        <v>4280</v>
      </c>
      <c r="B2955" s="2200" t="s">
        <v>10185</v>
      </c>
      <c r="C2955" s="2200" t="s">
        <v>10186</v>
      </c>
      <c r="D2955" s="2200" t="str">
        <f t="shared" si="138"/>
        <v>VA</v>
      </c>
      <c r="E2955" s="2200" t="str">
        <f t="shared" si="139"/>
        <v>51</v>
      </c>
      <c r="F2955" s="2200" t="str">
        <f t="shared" si="140"/>
        <v>830</v>
      </c>
      <c r="G2955" s="2200">
        <f>--SUBTOTAL(3,C$2:C2955)</f>
        <v>67</v>
      </c>
    </row>
    <row r="2956" spans="1:7" hidden="1" x14ac:dyDescent="0.15">
      <c r="A2956" s="2200" t="s">
        <v>4280</v>
      </c>
      <c r="B2956" s="2200" t="s">
        <v>10187</v>
      </c>
      <c r="C2956" s="2200" t="s">
        <v>10188</v>
      </c>
      <c r="D2956" s="2200" t="str">
        <f t="shared" si="138"/>
        <v>VA</v>
      </c>
      <c r="E2956" s="2200" t="str">
        <f t="shared" si="139"/>
        <v>51</v>
      </c>
      <c r="F2956" s="2200" t="str">
        <f t="shared" si="140"/>
        <v>840</v>
      </c>
      <c r="G2956" s="2200">
        <f>--SUBTOTAL(3,C$2:C2956)</f>
        <v>67</v>
      </c>
    </row>
    <row r="2957" spans="1:7" hidden="1" x14ac:dyDescent="0.15">
      <c r="A2957" s="2200" t="s">
        <v>4280</v>
      </c>
      <c r="B2957" s="2200" t="s">
        <v>10189</v>
      </c>
      <c r="C2957" s="2200" t="s">
        <v>10190</v>
      </c>
      <c r="D2957" s="2200" t="str">
        <f t="shared" si="138"/>
        <v>WA</v>
      </c>
      <c r="E2957" s="2200" t="str">
        <f t="shared" si="139"/>
        <v>53</v>
      </c>
      <c r="F2957" s="2200" t="str">
        <f t="shared" si="140"/>
        <v>001</v>
      </c>
      <c r="G2957" s="2200">
        <f>--SUBTOTAL(3,C$2:C2957)</f>
        <v>67</v>
      </c>
    </row>
    <row r="2958" spans="1:7" hidden="1" x14ac:dyDescent="0.15">
      <c r="A2958" s="2200" t="s">
        <v>4280</v>
      </c>
      <c r="B2958" s="2200" t="s">
        <v>10191</v>
      </c>
      <c r="C2958" s="2200" t="s">
        <v>10192</v>
      </c>
      <c r="D2958" s="2200" t="str">
        <f t="shared" si="138"/>
        <v>WA</v>
      </c>
      <c r="E2958" s="2200" t="str">
        <f t="shared" si="139"/>
        <v>53</v>
      </c>
      <c r="F2958" s="2200" t="str">
        <f t="shared" si="140"/>
        <v>003</v>
      </c>
      <c r="G2958" s="2200">
        <f>--SUBTOTAL(3,C$2:C2958)</f>
        <v>67</v>
      </c>
    </row>
    <row r="2959" spans="1:7" hidden="1" x14ac:dyDescent="0.15">
      <c r="A2959" s="2200" t="s">
        <v>4280</v>
      </c>
      <c r="B2959" s="2200" t="s">
        <v>10193</v>
      </c>
      <c r="C2959" s="2200" t="s">
        <v>10194</v>
      </c>
      <c r="D2959" s="2200" t="str">
        <f t="shared" si="138"/>
        <v>WA</v>
      </c>
      <c r="E2959" s="2200" t="str">
        <f t="shared" si="139"/>
        <v>53</v>
      </c>
      <c r="F2959" s="2200" t="str">
        <f t="shared" si="140"/>
        <v>005</v>
      </c>
      <c r="G2959" s="2200">
        <f>--SUBTOTAL(3,C$2:C2959)</f>
        <v>67</v>
      </c>
    </row>
    <row r="2960" spans="1:7" hidden="1" x14ac:dyDescent="0.15">
      <c r="A2960" s="2200" t="s">
        <v>4280</v>
      </c>
      <c r="B2960" s="2200" t="s">
        <v>10195</v>
      </c>
      <c r="C2960" s="2200" t="s">
        <v>10196</v>
      </c>
      <c r="D2960" s="2200" t="str">
        <f t="shared" si="138"/>
        <v>WA</v>
      </c>
      <c r="E2960" s="2200" t="str">
        <f t="shared" si="139"/>
        <v>53</v>
      </c>
      <c r="F2960" s="2200" t="str">
        <f t="shared" si="140"/>
        <v>007</v>
      </c>
      <c r="G2960" s="2200">
        <f>--SUBTOTAL(3,C$2:C2960)</f>
        <v>67</v>
      </c>
    </row>
    <row r="2961" spans="1:7" hidden="1" x14ac:dyDescent="0.15">
      <c r="A2961" s="2200" t="s">
        <v>4280</v>
      </c>
      <c r="B2961" s="2200" t="s">
        <v>10197</v>
      </c>
      <c r="C2961" s="2200" t="s">
        <v>10198</v>
      </c>
      <c r="D2961" s="2200" t="str">
        <f t="shared" si="138"/>
        <v>WA</v>
      </c>
      <c r="E2961" s="2200" t="str">
        <f t="shared" si="139"/>
        <v>53</v>
      </c>
      <c r="F2961" s="2200" t="str">
        <f t="shared" si="140"/>
        <v>009</v>
      </c>
      <c r="G2961" s="2200">
        <f>--SUBTOTAL(3,C$2:C2961)</f>
        <v>67</v>
      </c>
    </row>
    <row r="2962" spans="1:7" hidden="1" x14ac:dyDescent="0.15">
      <c r="A2962" s="2200" t="s">
        <v>4280</v>
      </c>
      <c r="B2962" s="2200" t="s">
        <v>10199</v>
      </c>
      <c r="C2962" s="2200" t="s">
        <v>10200</v>
      </c>
      <c r="D2962" s="2200" t="str">
        <f t="shared" si="138"/>
        <v>WA</v>
      </c>
      <c r="E2962" s="2200" t="str">
        <f t="shared" si="139"/>
        <v>53</v>
      </c>
      <c r="F2962" s="2200" t="str">
        <f t="shared" si="140"/>
        <v>011</v>
      </c>
      <c r="G2962" s="2200">
        <f>--SUBTOTAL(3,C$2:C2962)</f>
        <v>67</v>
      </c>
    </row>
    <row r="2963" spans="1:7" hidden="1" x14ac:dyDescent="0.15">
      <c r="A2963" s="2200" t="s">
        <v>4280</v>
      </c>
      <c r="B2963" s="2200" t="s">
        <v>10201</v>
      </c>
      <c r="C2963" s="2200" t="s">
        <v>10202</v>
      </c>
      <c r="D2963" s="2200" t="str">
        <f t="shared" si="138"/>
        <v>WA</v>
      </c>
      <c r="E2963" s="2200" t="str">
        <f t="shared" si="139"/>
        <v>53</v>
      </c>
      <c r="F2963" s="2200" t="str">
        <f t="shared" si="140"/>
        <v>013</v>
      </c>
      <c r="G2963" s="2200">
        <f>--SUBTOTAL(3,C$2:C2963)</f>
        <v>67</v>
      </c>
    </row>
    <row r="2964" spans="1:7" hidden="1" x14ac:dyDescent="0.15">
      <c r="A2964" s="2200" t="s">
        <v>4280</v>
      </c>
      <c r="B2964" s="2200" t="s">
        <v>10203</v>
      </c>
      <c r="C2964" s="2200" t="s">
        <v>10204</v>
      </c>
      <c r="D2964" s="2200" t="str">
        <f t="shared" si="138"/>
        <v>WA</v>
      </c>
      <c r="E2964" s="2200" t="str">
        <f t="shared" si="139"/>
        <v>53</v>
      </c>
      <c r="F2964" s="2200" t="str">
        <f t="shared" si="140"/>
        <v>015</v>
      </c>
      <c r="G2964" s="2200">
        <f>--SUBTOTAL(3,C$2:C2964)</f>
        <v>67</v>
      </c>
    </row>
    <row r="2965" spans="1:7" hidden="1" x14ac:dyDescent="0.15">
      <c r="A2965" s="2200" t="s">
        <v>4280</v>
      </c>
      <c r="B2965" s="2200" t="s">
        <v>10205</v>
      </c>
      <c r="C2965" s="2200" t="s">
        <v>10206</v>
      </c>
      <c r="D2965" s="2200" t="str">
        <f t="shared" si="138"/>
        <v>WA</v>
      </c>
      <c r="E2965" s="2200" t="str">
        <f t="shared" si="139"/>
        <v>53</v>
      </c>
      <c r="F2965" s="2200" t="str">
        <f t="shared" si="140"/>
        <v>017</v>
      </c>
      <c r="G2965" s="2200">
        <f>--SUBTOTAL(3,C$2:C2965)</f>
        <v>67</v>
      </c>
    </row>
    <row r="2966" spans="1:7" hidden="1" x14ac:dyDescent="0.15">
      <c r="A2966" s="2200" t="s">
        <v>4280</v>
      </c>
      <c r="B2966" s="2200" t="s">
        <v>10207</v>
      </c>
      <c r="C2966" s="2200" t="s">
        <v>10208</v>
      </c>
      <c r="D2966" s="2200" t="str">
        <f t="shared" si="138"/>
        <v>WA</v>
      </c>
      <c r="E2966" s="2200" t="str">
        <f t="shared" si="139"/>
        <v>53</v>
      </c>
      <c r="F2966" s="2200" t="str">
        <f t="shared" si="140"/>
        <v>019</v>
      </c>
      <c r="G2966" s="2200">
        <f>--SUBTOTAL(3,C$2:C2966)</f>
        <v>67</v>
      </c>
    </row>
    <row r="2967" spans="1:7" hidden="1" x14ac:dyDescent="0.15">
      <c r="A2967" s="2200" t="s">
        <v>4280</v>
      </c>
      <c r="B2967" s="2200" t="s">
        <v>10209</v>
      </c>
      <c r="C2967" s="2200" t="s">
        <v>10210</v>
      </c>
      <c r="D2967" s="2200" t="str">
        <f t="shared" si="138"/>
        <v>WA</v>
      </c>
      <c r="E2967" s="2200" t="str">
        <f t="shared" si="139"/>
        <v>53</v>
      </c>
      <c r="F2967" s="2200" t="str">
        <f t="shared" si="140"/>
        <v>021</v>
      </c>
      <c r="G2967" s="2200">
        <f>--SUBTOTAL(3,C$2:C2967)</f>
        <v>67</v>
      </c>
    </row>
    <row r="2968" spans="1:7" hidden="1" x14ac:dyDescent="0.15">
      <c r="A2968" s="2200" t="s">
        <v>4280</v>
      </c>
      <c r="B2968" s="2200" t="s">
        <v>10211</v>
      </c>
      <c r="C2968" s="2200" t="s">
        <v>10212</v>
      </c>
      <c r="D2968" s="2200" t="str">
        <f t="shared" si="138"/>
        <v>WA</v>
      </c>
      <c r="E2968" s="2200" t="str">
        <f t="shared" si="139"/>
        <v>53</v>
      </c>
      <c r="F2968" s="2200" t="str">
        <f t="shared" si="140"/>
        <v>023</v>
      </c>
      <c r="G2968" s="2200">
        <f>--SUBTOTAL(3,C$2:C2968)</f>
        <v>67</v>
      </c>
    </row>
    <row r="2969" spans="1:7" hidden="1" x14ac:dyDescent="0.15">
      <c r="A2969" s="2200" t="s">
        <v>4280</v>
      </c>
      <c r="B2969" s="2200" t="s">
        <v>10213</v>
      </c>
      <c r="C2969" s="2200" t="s">
        <v>10214</v>
      </c>
      <c r="D2969" s="2200" t="str">
        <f t="shared" si="138"/>
        <v>WA</v>
      </c>
      <c r="E2969" s="2200" t="str">
        <f t="shared" si="139"/>
        <v>53</v>
      </c>
      <c r="F2969" s="2200" t="str">
        <f t="shared" si="140"/>
        <v>025</v>
      </c>
      <c r="G2969" s="2200">
        <f>--SUBTOTAL(3,C$2:C2969)</f>
        <v>67</v>
      </c>
    </row>
    <row r="2970" spans="1:7" hidden="1" x14ac:dyDescent="0.15">
      <c r="A2970" s="2200" t="s">
        <v>4280</v>
      </c>
      <c r="B2970" s="2200" t="s">
        <v>10215</v>
      </c>
      <c r="C2970" s="2200" t="s">
        <v>10216</v>
      </c>
      <c r="D2970" s="2200" t="str">
        <f t="shared" si="138"/>
        <v>WA</v>
      </c>
      <c r="E2970" s="2200" t="str">
        <f t="shared" si="139"/>
        <v>53</v>
      </c>
      <c r="F2970" s="2200" t="str">
        <f t="shared" si="140"/>
        <v>027</v>
      </c>
      <c r="G2970" s="2200">
        <f>--SUBTOTAL(3,C$2:C2970)</f>
        <v>67</v>
      </c>
    </row>
    <row r="2971" spans="1:7" hidden="1" x14ac:dyDescent="0.15">
      <c r="A2971" s="2200" t="s">
        <v>4280</v>
      </c>
      <c r="B2971" s="2200" t="s">
        <v>10217</v>
      </c>
      <c r="C2971" s="2200" t="s">
        <v>10218</v>
      </c>
      <c r="D2971" s="2200" t="str">
        <f t="shared" si="138"/>
        <v>WA</v>
      </c>
      <c r="E2971" s="2200" t="str">
        <f t="shared" si="139"/>
        <v>53</v>
      </c>
      <c r="F2971" s="2200" t="str">
        <f t="shared" si="140"/>
        <v>029</v>
      </c>
      <c r="G2971" s="2200">
        <f>--SUBTOTAL(3,C$2:C2971)</f>
        <v>67</v>
      </c>
    </row>
    <row r="2972" spans="1:7" hidden="1" x14ac:dyDescent="0.15">
      <c r="A2972" s="2200" t="s">
        <v>4280</v>
      </c>
      <c r="B2972" s="2200" t="s">
        <v>10219</v>
      </c>
      <c r="C2972" s="2200" t="s">
        <v>10220</v>
      </c>
      <c r="D2972" s="2200" t="str">
        <f t="shared" si="138"/>
        <v>WA</v>
      </c>
      <c r="E2972" s="2200" t="str">
        <f t="shared" si="139"/>
        <v>53</v>
      </c>
      <c r="F2972" s="2200" t="str">
        <f t="shared" si="140"/>
        <v>031</v>
      </c>
      <c r="G2972" s="2200">
        <f>--SUBTOTAL(3,C$2:C2972)</f>
        <v>67</v>
      </c>
    </row>
    <row r="2973" spans="1:7" hidden="1" x14ac:dyDescent="0.15">
      <c r="A2973" s="2200" t="s">
        <v>4280</v>
      </c>
      <c r="B2973" s="2200" t="s">
        <v>10221</v>
      </c>
      <c r="C2973" s="2200" t="s">
        <v>10222</v>
      </c>
      <c r="D2973" s="2200" t="str">
        <f t="shared" si="138"/>
        <v>WA</v>
      </c>
      <c r="E2973" s="2200" t="str">
        <f t="shared" si="139"/>
        <v>53</v>
      </c>
      <c r="F2973" s="2200" t="str">
        <f t="shared" si="140"/>
        <v>033</v>
      </c>
      <c r="G2973" s="2200">
        <f>--SUBTOTAL(3,C$2:C2973)</f>
        <v>67</v>
      </c>
    </row>
    <row r="2974" spans="1:7" hidden="1" x14ac:dyDescent="0.15">
      <c r="A2974" s="2200" t="s">
        <v>4280</v>
      </c>
      <c r="B2974" s="2200" t="s">
        <v>10223</v>
      </c>
      <c r="C2974" s="2200" t="s">
        <v>10224</v>
      </c>
      <c r="D2974" s="2200" t="str">
        <f t="shared" si="138"/>
        <v>WA</v>
      </c>
      <c r="E2974" s="2200" t="str">
        <f t="shared" si="139"/>
        <v>53</v>
      </c>
      <c r="F2974" s="2200" t="str">
        <f t="shared" si="140"/>
        <v>035</v>
      </c>
      <c r="G2974" s="2200">
        <f>--SUBTOTAL(3,C$2:C2974)</f>
        <v>67</v>
      </c>
    </row>
    <row r="2975" spans="1:7" hidden="1" x14ac:dyDescent="0.15">
      <c r="A2975" s="2200" t="s">
        <v>4280</v>
      </c>
      <c r="B2975" s="2200" t="s">
        <v>10225</v>
      </c>
      <c r="C2975" s="2200" t="s">
        <v>10226</v>
      </c>
      <c r="D2975" s="2200" t="str">
        <f t="shared" si="138"/>
        <v>WA</v>
      </c>
      <c r="E2975" s="2200" t="str">
        <f t="shared" si="139"/>
        <v>53</v>
      </c>
      <c r="F2975" s="2200" t="str">
        <f t="shared" si="140"/>
        <v>037</v>
      </c>
      <c r="G2975" s="2200">
        <f>--SUBTOTAL(3,C$2:C2975)</f>
        <v>67</v>
      </c>
    </row>
    <row r="2976" spans="1:7" hidden="1" x14ac:dyDescent="0.15">
      <c r="A2976" s="2200" t="s">
        <v>4280</v>
      </c>
      <c r="B2976" s="2200" t="s">
        <v>10227</v>
      </c>
      <c r="C2976" s="2200" t="s">
        <v>10228</v>
      </c>
      <c r="D2976" s="2200" t="str">
        <f t="shared" si="138"/>
        <v>WA</v>
      </c>
      <c r="E2976" s="2200" t="str">
        <f t="shared" si="139"/>
        <v>53</v>
      </c>
      <c r="F2976" s="2200" t="str">
        <f t="shared" si="140"/>
        <v>039</v>
      </c>
      <c r="G2976" s="2200">
        <f>--SUBTOTAL(3,C$2:C2976)</f>
        <v>67</v>
      </c>
    </row>
    <row r="2977" spans="1:7" hidden="1" x14ac:dyDescent="0.15">
      <c r="A2977" s="2200" t="s">
        <v>4280</v>
      </c>
      <c r="B2977" s="2200" t="s">
        <v>10229</v>
      </c>
      <c r="C2977" s="2200" t="s">
        <v>10230</v>
      </c>
      <c r="D2977" s="2200" t="str">
        <f t="shared" si="138"/>
        <v>WA</v>
      </c>
      <c r="E2977" s="2200" t="str">
        <f t="shared" si="139"/>
        <v>53</v>
      </c>
      <c r="F2977" s="2200" t="str">
        <f t="shared" si="140"/>
        <v>041</v>
      </c>
      <c r="G2977" s="2200">
        <f>--SUBTOTAL(3,C$2:C2977)</f>
        <v>67</v>
      </c>
    </row>
    <row r="2978" spans="1:7" hidden="1" x14ac:dyDescent="0.15">
      <c r="A2978" s="2200" t="s">
        <v>4280</v>
      </c>
      <c r="B2978" s="2200" t="s">
        <v>10231</v>
      </c>
      <c r="C2978" s="2200" t="s">
        <v>10232</v>
      </c>
      <c r="D2978" s="2200" t="str">
        <f t="shared" si="138"/>
        <v>WA</v>
      </c>
      <c r="E2978" s="2200" t="str">
        <f t="shared" si="139"/>
        <v>53</v>
      </c>
      <c r="F2978" s="2200" t="str">
        <f t="shared" si="140"/>
        <v>043</v>
      </c>
      <c r="G2978" s="2200">
        <f>--SUBTOTAL(3,C$2:C2978)</f>
        <v>67</v>
      </c>
    </row>
    <row r="2979" spans="1:7" hidden="1" x14ac:dyDescent="0.15">
      <c r="A2979" s="2200" t="s">
        <v>4280</v>
      </c>
      <c r="B2979" s="2200" t="s">
        <v>10233</v>
      </c>
      <c r="C2979" s="2200" t="s">
        <v>10234</v>
      </c>
      <c r="D2979" s="2200" t="str">
        <f t="shared" si="138"/>
        <v>WA</v>
      </c>
      <c r="E2979" s="2200" t="str">
        <f t="shared" si="139"/>
        <v>53</v>
      </c>
      <c r="F2979" s="2200" t="str">
        <f t="shared" si="140"/>
        <v>045</v>
      </c>
      <c r="G2979" s="2200">
        <f>--SUBTOTAL(3,C$2:C2979)</f>
        <v>67</v>
      </c>
    </row>
    <row r="2980" spans="1:7" hidden="1" x14ac:dyDescent="0.15">
      <c r="A2980" s="2200" t="s">
        <v>4280</v>
      </c>
      <c r="B2980" s="2200" t="s">
        <v>10235</v>
      </c>
      <c r="C2980" s="2200" t="s">
        <v>10236</v>
      </c>
      <c r="D2980" s="2200" t="str">
        <f t="shared" si="138"/>
        <v>WA</v>
      </c>
      <c r="E2980" s="2200" t="str">
        <f t="shared" si="139"/>
        <v>53</v>
      </c>
      <c r="F2980" s="2200" t="str">
        <f t="shared" si="140"/>
        <v>047</v>
      </c>
      <c r="G2980" s="2200">
        <f>--SUBTOTAL(3,C$2:C2980)</f>
        <v>67</v>
      </c>
    </row>
    <row r="2981" spans="1:7" hidden="1" x14ac:dyDescent="0.15">
      <c r="A2981" s="2200" t="s">
        <v>4280</v>
      </c>
      <c r="B2981" s="2200" t="s">
        <v>10237</v>
      </c>
      <c r="C2981" s="2200" t="s">
        <v>10238</v>
      </c>
      <c r="D2981" s="2200" t="str">
        <f t="shared" si="138"/>
        <v>WA</v>
      </c>
      <c r="E2981" s="2200" t="str">
        <f t="shared" si="139"/>
        <v>53</v>
      </c>
      <c r="F2981" s="2200" t="str">
        <f t="shared" si="140"/>
        <v>049</v>
      </c>
      <c r="G2981" s="2200">
        <f>--SUBTOTAL(3,C$2:C2981)</f>
        <v>67</v>
      </c>
    </row>
    <row r="2982" spans="1:7" hidden="1" x14ac:dyDescent="0.15">
      <c r="A2982" s="2200" t="s">
        <v>4280</v>
      </c>
      <c r="B2982" s="2200" t="s">
        <v>10239</v>
      </c>
      <c r="C2982" s="2200" t="s">
        <v>10240</v>
      </c>
      <c r="D2982" s="2200" t="str">
        <f t="shared" si="138"/>
        <v>WA</v>
      </c>
      <c r="E2982" s="2200" t="str">
        <f t="shared" si="139"/>
        <v>53</v>
      </c>
      <c r="F2982" s="2200" t="str">
        <f t="shared" si="140"/>
        <v>051</v>
      </c>
      <c r="G2982" s="2200">
        <f>--SUBTOTAL(3,C$2:C2982)</f>
        <v>67</v>
      </c>
    </row>
    <row r="2983" spans="1:7" hidden="1" x14ac:dyDescent="0.15">
      <c r="A2983" s="2200" t="s">
        <v>4280</v>
      </c>
      <c r="B2983" s="2200" t="s">
        <v>10241</v>
      </c>
      <c r="C2983" s="2200" t="s">
        <v>10242</v>
      </c>
      <c r="D2983" s="2200" t="str">
        <f t="shared" si="138"/>
        <v>WA</v>
      </c>
      <c r="E2983" s="2200" t="str">
        <f t="shared" si="139"/>
        <v>53</v>
      </c>
      <c r="F2983" s="2200" t="str">
        <f t="shared" si="140"/>
        <v>053</v>
      </c>
      <c r="G2983" s="2200">
        <f>--SUBTOTAL(3,C$2:C2983)</f>
        <v>67</v>
      </c>
    </row>
    <row r="2984" spans="1:7" hidden="1" x14ac:dyDescent="0.15">
      <c r="A2984" s="2200" t="s">
        <v>4280</v>
      </c>
      <c r="B2984" s="2200" t="s">
        <v>10243</v>
      </c>
      <c r="C2984" s="2200" t="s">
        <v>10244</v>
      </c>
      <c r="D2984" s="2200" t="str">
        <f t="shared" si="138"/>
        <v>WA</v>
      </c>
      <c r="E2984" s="2200" t="str">
        <f t="shared" si="139"/>
        <v>53</v>
      </c>
      <c r="F2984" s="2200" t="str">
        <f t="shared" si="140"/>
        <v>055</v>
      </c>
      <c r="G2984" s="2200">
        <f>--SUBTOTAL(3,C$2:C2984)</f>
        <v>67</v>
      </c>
    </row>
    <row r="2985" spans="1:7" hidden="1" x14ac:dyDescent="0.15">
      <c r="A2985" s="2200" t="s">
        <v>4280</v>
      </c>
      <c r="B2985" s="2200" t="s">
        <v>10245</v>
      </c>
      <c r="C2985" s="2200" t="s">
        <v>10246</v>
      </c>
      <c r="D2985" s="2200" t="str">
        <f t="shared" si="138"/>
        <v>WA</v>
      </c>
      <c r="E2985" s="2200" t="str">
        <f t="shared" si="139"/>
        <v>53</v>
      </c>
      <c r="F2985" s="2200" t="str">
        <f t="shared" si="140"/>
        <v>057</v>
      </c>
      <c r="G2985" s="2200">
        <f>--SUBTOTAL(3,C$2:C2985)</f>
        <v>67</v>
      </c>
    </row>
    <row r="2986" spans="1:7" hidden="1" x14ac:dyDescent="0.15">
      <c r="A2986" s="2200" t="s">
        <v>4280</v>
      </c>
      <c r="B2986" s="2200" t="s">
        <v>10247</v>
      </c>
      <c r="C2986" s="2200" t="s">
        <v>10248</v>
      </c>
      <c r="D2986" s="2200" t="str">
        <f t="shared" si="138"/>
        <v>WA</v>
      </c>
      <c r="E2986" s="2200" t="str">
        <f t="shared" si="139"/>
        <v>53</v>
      </c>
      <c r="F2986" s="2200" t="str">
        <f t="shared" si="140"/>
        <v>059</v>
      </c>
      <c r="G2986" s="2200">
        <f>--SUBTOTAL(3,C$2:C2986)</f>
        <v>67</v>
      </c>
    </row>
    <row r="2987" spans="1:7" hidden="1" x14ac:dyDescent="0.15">
      <c r="A2987" s="2200" t="s">
        <v>4280</v>
      </c>
      <c r="B2987" s="2200" t="s">
        <v>10249</v>
      </c>
      <c r="C2987" s="2200" t="s">
        <v>10250</v>
      </c>
      <c r="D2987" s="2200" t="str">
        <f t="shared" si="138"/>
        <v>WA</v>
      </c>
      <c r="E2987" s="2200" t="str">
        <f t="shared" si="139"/>
        <v>53</v>
      </c>
      <c r="F2987" s="2200" t="str">
        <f t="shared" si="140"/>
        <v>061</v>
      </c>
      <c r="G2987" s="2200">
        <f>--SUBTOTAL(3,C$2:C2987)</f>
        <v>67</v>
      </c>
    </row>
    <row r="2988" spans="1:7" hidden="1" x14ac:dyDescent="0.15">
      <c r="A2988" s="2200" t="s">
        <v>4280</v>
      </c>
      <c r="B2988" s="2200" t="s">
        <v>10251</v>
      </c>
      <c r="C2988" s="2200" t="s">
        <v>10252</v>
      </c>
      <c r="D2988" s="2200" t="str">
        <f t="shared" si="138"/>
        <v>WA</v>
      </c>
      <c r="E2988" s="2200" t="str">
        <f t="shared" si="139"/>
        <v>53</v>
      </c>
      <c r="F2988" s="2200" t="str">
        <f t="shared" si="140"/>
        <v>063</v>
      </c>
      <c r="G2988" s="2200">
        <f>--SUBTOTAL(3,C$2:C2988)</f>
        <v>67</v>
      </c>
    </row>
    <row r="2989" spans="1:7" hidden="1" x14ac:dyDescent="0.15">
      <c r="A2989" s="2200" t="s">
        <v>4280</v>
      </c>
      <c r="B2989" s="2200" t="s">
        <v>10253</v>
      </c>
      <c r="C2989" s="2200" t="s">
        <v>10254</v>
      </c>
      <c r="D2989" s="2200" t="str">
        <f t="shared" si="138"/>
        <v>WA</v>
      </c>
      <c r="E2989" s="2200" t="str">
        <f t="shared" si="139"/>
        <v>53</v>
      </c>
      <c r="F2989" s="2200" t="str">
        <f t="shared" si="140"/>
        <v>065</v>
      </c>
      <c r="G2989" s="2200">
        <f>--SUBTOTAL(3,C$2:C2989)</f>
        <v>67</v>
      </c>
    </row>
    <row r="2990" spans="1:7" hidden="1" x14ac:dyDescent="0.15">
      <c r="A2990" s="2200" t="s">
        <v>4280</v>
      </c>
      <c r="B2990" s="2200" t="s">
        <v>10255</v>
      </c>
      <c r="C2990" s="2200" t="s">
        <v>10256</v>
      </c>
      <c r="D2990" s="2200" t="str">
        <f t="shared" si="138"/>
        <v>WA</v>
      </c>
      <c r="E2990" s="2200" t="str">
        <f t="shared" si="139"/>
        <v>53</v>
      </c>
      <c r="F2990" s="2200" t="str">
        <f t="shared" si="140"/>
        <v>067</v>
      </c>
      <c r="G2990" s="2200">
        <f>--SUBTOTAL(3,C$2:C2990)</f>
        <v>67</v>
      </c>
    </row>
    <row r="2991" spans="1:7" hidden="1" x14ac:dyDescent="0.15">
      <c r="A2991" s="2200" t="s">
        <v>4280</v>
      </c>
      <c r="B2991" s="2200" t="s">
        <v>10257</v>
      </c>
      <c r="C2991" s="2200" t="s">
        <v>10258</v>
      </c>
      <c r="D2991" s="2200" t="str">
        <f t="shared" si="138"/>
        <v>WA</v>
      </c>
      <c r="E2991" s="2200" t="str">
        <f t="shared" si="139"/>
        <v>53</v>
      </c>
      <c r="F2991" s="2200" t="str">
        <f t="shared" si="140"/>
        <v>069</v>
      </c>
      <c r="G2991" s="2200">
        <f>--SUBTOTAL(3,C$2:C2991)</f>
        <v>67</v>
      </c>
    </row>
    <row r="2992" spans="1:7" hidden="1" x14ac:dyDescent="0.15">
      <c r="A2992" s="2200" t="s">
        <v>4280</v>
      </c>
      <c r="B2992" s="2200" t="s">
        <v>10259</v>
      </c>
      <c r="C2992" s="2200" t="s">
        <v>10260</v>
      </c>
      <c r="D2992" s="2200" t="str">
        <f t="shared" si="138"/>
        <v>WA</v>
      </c>
      <c r="E2992" s="2200" t="str">
        <f t="shared" si="139"/>
        <v>53</v>
      </c>
      <c r="F2992" s="2200" t="str">
        <f t="shared" si="140"/>
        <v>071</v>
      </c>
      <c r="G2992" s="2200">
        <f>--SUBTOTAL(3,C$2:C2992)</f>
        <v>67</v>
      </c>
    </row>
    <row r="2993" spans="1:7" hidden="1" x14ac:dyDescent="0.15">
      <c r="A2993" s="2200" t="s">
        <v>4280</v>
      </c>
      <c r="B2993" s="2200" t="s">
        <v>10261</v>
      </c>
      <c r="C2993" s="2200" t="s">
        <v>10262</v>
      </c>
      <c r="D2993" s="2200" t="str">
        <f t="shared" si="138"/>
        <v>WA</v>
      </c>
      <c r="E2993" s="2200" t="str">
        <f t="shared" si="139"/>
        <v>53</v>
      </c>
      <c r="F2993" s="2200" t="str">
        <f t="shared" si="140"/>
        <v>073</v>
      </c>
      <c r="G2993" s="2200">
        <f>--SUBTOTAL(3,C$2:C2993)</f>
        <v>67</v>
      </c>
    </row>
    <row r="2994" spans="1:7" hidden="1" x14ac:dyDescent="0.15">
      <c r="A2994" s="2200" t="s">
        <v>4280</v>
      </c>
      <c r="B2994" s="2200" t="s">
        <v>10263</v>
      </c>
      <c r="C2994" s="2200" t="s">
        <v>10264</v>
      </c>
      <c r="D2994" s="2200" t="str">
        <f t="shared" si="138"/>
        <v>WA</v>
      </c>
      <c r="E2994" s="2200" t="str">
        <f t="shared" si="139"/>
        <v>53</v>
      </c>
      <c r="F2994" s="2200" t="str">
        <f t="shared" si="140"/>
        <v>075</v>
      </c>
      <c r="G2994" s="2200">
        <f>--SUBTOTAL(3,C$2:C2994)</f>
        <v>67</v>
      </c>
    </row>
    <row r="2995" spans="1:7" hidden="1" x14ac:dyDescent="0.15">
      <c r="A2995" s="2200" t="s">
        <v>4280</v>
      </c>
      <c r="B2995" s="2200" t="s">
        <v>10265</v>
      </c>
      <c r="C2995" s="2200" t="s">
        <v>10266</v>
      </c>
      <c r="D2995" s="2200" t="str">
        <f t="shared" si="138"/>
        <v>WA</v>
      </c>
      <c r="E2995" s="2200" t="str">
        <f t="shared" si="139"/>
        <v>53</v>
      </c>
      <c r="F2995" s="2200" t="str">
        <f t="shared" si="140"/>
        <v>077</v>
      </c>
      <c r="G2995" s="2200">
        <f>--SUBTOTAL(3,C$2:C2995)</f>
        <v>67</v>
      </c>
    </row>
    <row r="2996" spans="1:7" hidden="1" x14ac:dyDescent="0.15">
      <c r="A2996" s="2200" t="s">
        <v>4280</v>
      </c>
      <c r="B2996" s="2200" t="s">
        <v>10267</v>
      </c>
      <c r="C2996" s="2200" t="s">
        <v>10268</v>
      </c>
      <c r="D2996" s="2200" t="str">
        <f t="shared" si="138"/>
        <v>WV</v>
      </c>
      <c r="E2996" s="2200" t="str">
        <f t="shared" si="139"/>
        <v>54</v>
      </c>
      <c r="F2996" s="2200" t="str">
        <f t="shared" si="140"/>
        <v>001</v>
      </c>
      <c r="G2996" s="2200">
        <f>--SUBTOTAL(3,C$2:C2996)</f>
        <v>67</v>
      </c>
    </row>
    <row r="2997" spans="1:7" hidden="1" x14ac:dyDescent="0.15">
      <c r="A2997" s="2200" t="s">
        <v>4280</v>
      </c>
      <c r="B2997" s="2200" t="s">
        <v>10269</v>
      </c>
      <c r="C2997" s="2200" t="s">
        <v>10270</v>
      </c>
      <c r="D2997" s="2200" t="str">
        <f t="shared" si="138"/>
        <v>WV</v>
      </c>
      <c r="E2997" s="2200" t="str">
        <f t="shared" si="139"/>
        <v>54</v>
      </c>
      <c r="F2997" s="2200" t="str">
        <f t="shared" si="140"/>
        <v>003</v>
      </c>
      <c r="G2997" s="2200">
        <f>--SUBTOTAL(3,C$2:C2997)</f>
        <v>67</v>
      </c>
    </row>
    <row r="2998" spans="1:7" hidden="1" x14ac:dyDescent="0.15">
      <c r="A2998" s="2200" t="s">
        <v>4280</v>
      </c>
      <c r="B2998" s="2200" t="s">
        <v>10271</v>
      </c>
      <c r="C2998" s="2200" t="s">
        <v>10272</v>
      </c>
      <c r="D2998" s="2200" t="str">
        <f t="shared" si="138"/>
        <v>WV</v>
      </c>
      <c r="E2998" s="2200" t="str">
        <f t="shared" si="139"/>
        <v>54</v>
      </c>
      <c r="F2998" s="2200" t="str">
        <f t="shared" si="140"/>
        <v>005</v>
      </c>
      <c r="G2998" s="2200">
        <f>--SUBTOTAL(3,C$2:C2998)</f>
        <v>67</v>
      </c>
    </row>
    <row r="2999" spans="1:7" hidden="1" x14ac:dyDescent="0.15">
      <c r="A2999" s="2200" t="s">
        <v>4280</v>
      </c>
      <c r="B2999" s="2200" t="s">
        <v>10273</v>
      </c>
      <c r="C2999" s="2200" t="s">
        <v>10274</v>
      </c>
      <c r="D2999" s="2200" t="str">
        <f t="shared" si="138"/>
        <v>WV</v>
      </c>
      <c r="E2999" s="2200" t="str">
        <f t="shared" si="139"/>
        <v>54</v>
      </c>
      <c r="F2999" s="2200" t="str">
        <f t="shared" si="140"/>
        <v>007</v>
      </c>
      <c r="G2999" s="2200">
        <f>--SUBTOTAL(3,C$2:C2999)</f>
        <v>67</v>
      </c>
    </row>
    <row r="3000" spans="1:7" hidden="1" x14ac:dyDescent="0.15">
      <c r="A3000" s="2200" t="s">
        <v>4280</v>
      </c>
      <c r="B3000" s="2200" t="s">
        <v>10275</v>
      </c>
      <c r="C3000" s="2200" t="s">
        <v>10276</v>
      </c>
      <c r="D3000" s="2200" t="str">
        <f t="shared" si="138"/>
        <v>WV</v>
      </c>
      <c r="E3000" s="2200" t="str">
        <f t="shared" si="139"/>
        <v>54</v>
      </c>
      <c r="F3000" s="2200" t="str">
        <f t="shared" si="140"/>
        <v>009</v>
      </c>
      <c r="G3000" s="2200">
        <f>--SUBTOTAL(3,C$2:C3000)</f>
        <v>67</v>
      </c>
    </row>
    <row r="3001" spans="1:7" hidden="1" x14ac:dyDescent="0.15">
      <c r="A3001" s="2200" t="s">
        <v>4280</v>
      </c>
      <c r="B3001" s="2200" t="s">
        <v>10277</v>
      </c>
      <c r="C3001" s="2200" t="s">
        <v>10278</v>
      </c>
      <c r="D3001" s="2200" t="str">
        <f t="shared" si="138"/>
        <v>WV</v>
      </c>
      <c r="E3001" s="2200" t="str">
        <f t="shared" si="139"/>
        <v>54</v>
      </c>
      <c r="F3001" s="2200" t="str">
        <f t="shared" si="140"/>
        <v>011</v>
      </c>
      <c r="G3001" s="2200">
        <f>--SUBTOTAL(3,C$2:C3001)</f>
        <v>67</v>
      </c>
    </row>
    <row r="3002" spans="1:7" hidden="1" x14ac:dyDescent="0.15">
      <c r="A3002" s="2200" t="s">
        <v>4280</v>
      </c>
      <c r="B3002" s="2200" t="s">
        <v>10279</v>
      </c>
      <c r="C3002" s="2200" t="s">
        <v>10280</v>
      </c>
      <c r="D3002" s="2200" t="str">
        <f t="shared" si="138"/>
        <v>WV</v>
      </c>
      <c r="E3002" s="2200" t="str">
        <f t="shared" si="139"/>
        <v>54</v>
      </c>
      <c r="F3002" s="2200" t="str">
        <f t="shared" si="140"/>
        <v>013</v>
      </c>
      <c r="G3002" s="2200">
        <f>--SUBTOTAL(3,C$2:C3002)</f>
        <v>67</v>
      </c>
    </row>
    <row r="3003" spans="1:7" hidden="1" x14ac:dyDescent="0.15">
      <c r="A3003" s="2200" t="s">
        <v>4280</v>
      </c>
      <c r="B3003" s="2200" t="s">
        <v>10281</v>
      </c>
      <c r="C3003" s="2200" t="s">
        <v>10282</v>
      </c>
      <c r="D3003" s="2200" t="str">
        <f t="shared" si="138"/>
        <v>WV</v>
      </c>
      <c r="E3003" s="2200" t="str">
        <f t="shared" si="139"/>
        <v>54</v>
      </c>
      <c r="F3003" s="2200" t="str">
        <f t="shared" si="140"/>
        <v>015</v>
      </c>
      <c r="G3003" s="2200">
        <f>--SUBTOTAL(3,C$2:C3003)</f>
        <v>67</v>
      </c>
    </row>
    <row r="3004" spans="1:7" hidden="1" x14ac:dyDescent="0.15">
      <c r="A3004" s="2200" t="s">
        <v>4280</v>
      </c>
      <c r="B3004" s="2200" t="s">
        <v>10283</v>
      </c>
      <c r="C3004" s="2200" t="s">
        <v>10284</v>
      </c>
      <c r="D3004" s="2200" t="str">
        <f t="shared" si="138"/>
        <v>WV</v>
      </c>
      <c r="E3004" s="2200" t="str">
        <f t="shared" si="139"/>
        <v>54</v>
      </c>
      <c r="F3004" s="2200" t="str">
        <f t="shared" si="140"/>
        <v>017</v>
      </c>
      <c r="G3004" s="2200">
        <f>--SUBTOTAL(3,C$2:C3004)</f>
        <v>67</v>
      </c>
    </row>
    <row r="3005" spans="1:7" hidden="1" x14ac:dyDescent="0.15">
      <c r="A3005" s="2200" t="s">
        <v>4280</v>
      </c>
      <c r="B3005" s="2200" t="s">
        <v>10285</v>
      </c>
      <c r="C3005" s="2200" t="s">
        <v>10286</v>
      </c>
      <c r="D3005" s="2200" t="str">
        <f t="shared" si="138"/>
        <v>WV</v>
      </c>
      <c r="E3005" s="2200" t="str">
        <f t="shared" si="139"/>
        <v>54</v>
      </c>
      <c r="F3005" s="2200" t="str">
        <f t="shared" si="140"/>
        <v>019</v>
      </c>
      <c r="G3005" s="2200">
        <f>--SUBTOTAL(3,C$2:C3005)</f>
        <v>67</v>
      </c>
    </row>
    <row r="3006" spans="1:7" hidden="1" x14ac:dyDescent="0.15">
      <c r="A3006" s="2200" t="s">
        <v>4280</v>
      </c>
      <c r="B3006" s="2200" t="s">
        <v>10287</v>
      </c>
      <c r="C3006" s="2200" t="s">
        <v>10288</v>
      </c>
      <c r="D3006" s="2200" t="str">
        <f t="shared" si="138"/>
        <v>WV</v>
      </c>
      <c r="E3006" s="2200" t="str">
        <f t="shared" si="139"/>
        <v>54</v>
      </c>
      <c r="F3006" s="2200" t="str">
        <f t="shared" si="140"/>
        <v>021</v>
      </c>
      <c r="G3006" s="2200">
        <f>--SUBTOTAL(3,C$2:C3006)</f>
        <v>67</v>
      </c>
    </row>
    <row r="3007" spans="1:7" hidden="1" x14ac:dyDescent="0.15">
      <c r="A3007" s="2200" t="s">
        <v>4280</v>
      </c>
      <c r="B3007" s="2200" t="s">
        <v>10289</v>
      </c>
      <c r="C3007" s="2200" t="s">
        <v>10290</v>
      </c>
      <c r="D3007" s="2200" t="str">
        <f t="shared" si="138"/>
        <v>WV</v>
      </c>
      <c r="E3007" s="2200" t="str">
        <f t="shared" si="139"/>
        <v>54</v>
      </c>
      <c r="F3007" s="2200" t="str">
        <f t="shared" si="140"/>
        <v>023</v>
      </c>
      <c r="G3007" s="2200">
        <f>--SUBTOTAL(3,C$2:C3007)</f>
        <v>67</v>
      </c>
    </row>
    <row r="3008" spans="1:7" hidden="1" x14ac:dyDescent="0.15">
      <c r="A3008" s="2200" t="s">
        <v>4280</v>
      </c>
      <c r="B3008" s="2200" t="s">
        <v>10291</v>
      </c>
      <c r="C3008" s="2200" t="s">
        <v>10292</v>
      </c>
      <c r="D3008" s="2200" t="str">
        <f t="shared" si="138"/>
        <v>WV</v>
      </c>
      <c r="E3008" s="2200" t="str">
        <f t="shared" si="139"/>
        <v>54</v>
      </c>
      <c r="F3008" s="2200" t="str">
        <f t="shared" si="140"/>
        <v>025</v>
      </c>
      <c r="G3008" s="2200">
        <f>--SUBTOTAL(3,C$2:C3008)</f>
        <v>67</v>
      </c>
    </row>
    <row r="3009" spans="1:7" hidden="1" x14ac:dyDescent="0.15">
      <c r="A3009" s="2200" t="s">
        <v>4280</v>
      </c>
      <c r="B3009" s="2200" t="s">
        <v>10293</v>
      </c>
      <c r="C3009" s="2200" t="s">
        <v>10294</v>
      </c>
      <c r="D3009" s="2200" t="str">
        <f t="shared" si="138"/>
        <v>WV</v>
      </c>
      <c r="E3009" s="2200" t="str">
        <f t="shared" si="139"/>
        <v>54</v>
      </c>
      <c r="F3009" s="2200" t="str">
        <f t="shared" si="140"/>
        <v>027</v>
      </c>
      <c r="G3009" s="2200">
        <f>--SUBTOTAL(3,C$2:C3009)</f>
        <v>67</v>
      </c>
    </row>
    <row r="3010" spans="1:7" hidden="1" x14ac:dyDescent="0.15">
      <c r="A3010" s="2200" t="s">
        <v>4280</v>
      </c>
      <c r="B3010" s="2200" t="s">
        <v>10295</v>
      </c>
      <c r="C3010" s="2200" t="s">
        <v>10296</v>
      </c>
      <c r="D3010" s="2200" t="str">
        <f t="shared" si="138"/>
        <v>WV</v>
      </c>
      <c r="E3010" s="2200" t="str">
        <f t="shared" si="139"/>
        <v>54</v>
      </c>
      <c r="F3010" s="2200" t="str">
        <f t="shared" si="140"/>
        <v>029</v>
      </c>
      <c r="G3010" s="2200">
        <f>--SUBTOTAL(3,C$2:C3010)</f>
        <v>67</v>
      </c>
    </row>
    <row r="3011" spans="1:7" hidden="1" x14ac:dyDescent="0.15">
      <c r="A3011" s="2200" t="s">
        <v>4280</v>
      </c>
      <c r="B3011" s="2200" t="s">
        <v>10297</v>
      </c>
      <c r="C3011" s="2200" t="s">
        <v>10298</v>
      </c>
      <c r="D3011" s="2200" t="str">
        <f t="shared" ref="D3011:D3074" si="141">RIGHT(C3011,2)</f>
        <v>WV</v>
      </c>
      <c r="E3011" s="2200" t="str">
        <f t="shared" ref="E3011:E3074" si="142">MID(B3011,3,2)</f>
        <v>54</v>
      </c>
      <c r="F3011" s="2200" t="str">
        <f t="shared" ref="F3011:F3074" si="143">MID(B3011,5,3)</f>
        <v>031</v>
      </c>
      <c r="G3011" s="2200">
        <f>--SUBTOTAL(3,C$2:C3011)</f>
        <v>67</v>
      </c>
    </row>
    <row r="3012" spans="1:7" hidden="1" x14ac:dyDescent="0.15">
      <c r="A3012" s="2200" t="s">
        <v>4280</v>
      </c>
      <c r="B3012" s="2200" t="s">
        <v>10299</v>
      </c>
      <c r="C3012" s="2200" t="s">
        <v>10300</v>
      </c>
      <c r="D3012" s="2200" t="str">
        <f t="shared" si="141"/>
        <v>WV</v>
      </c>
      <c r="E3012" s="2200" t="str">
        <f t="shared" si="142"/>
        <v>54</v>
      </c>
      <c r="F3012" s="2200" t="str">
        <f t="shared" si="143"/>
        <v>033</v>
      </c>
      <c r="G3012" s="2200">
        <f>--SUBTOTAL(3,C$2:C3012)</f>
        <v>67</v>
      </c>
    </row>
    <row r="3013" spans="1:7" hidden="1" x14ac:dyDescent="0.15">
      <c r="A3013" s="2200" t="s">
        <v>4280</v>
      </c>
      <c r="B3013" s="2200" t="s">
        <v>10301</v>
      </c>
      <c r="C3013" s="2200" t="s">
        <v>10302</v>
      </c>
      <c r="D3013" s="2200" t="str">
        <f t="shared" si="141"/>
        <v>WV</v>
      </c>
      <c r="E3013" s="2200" t="str">
        <f t="shared" si="142"/>
        <v>54</v>
      </c>
      <c r="F3013" s="2200" t="str">
        <f t="shared" si="143"/>
        <v>035</v>
      </c>
      <c r="G3013" s="2200">
        <f>--SUBTOTAL(3,C$2:C3013)</f>
        <v>67</v>
      </c>
    </row>
    <row r="3014" spans="1:7" hidden="1" x14ac:dyDescent="0.15">
      <c r="A3014" s="2200" t="s">
        <v>4280</v>
      </c>
      <c r="B3014" s="2200" t="s">
        <v>10303</v>
      </c>
      <c r="C3014" s="2200" t="s">
        <v>10304</v>
      </c>
      <c r="D3014" s="2200" t="str">
        <f t="shared" si="141"/>
        <v>WV</v>
      </c>
      <c r="E3014" s="2200" t="str">
        <f t="shared" si="142"/>
        <v>54</v>
      </c>
      <c r="F3014" s="2200" t="str">
        <f t="shared" si="143"/>
        <v>037</v>
      </c>
      <c r="G3014" s="2200">
        <f>--SUBTOTAL(3,C$2:C3014)</f>
        <v>67</v>
      </c>
    </row>
    <row r="3015" spans="1:7" hidden="1" x14ac:dyDescent="0.15">
      <c r="A3015" s="2200" t="s">
        <v>4280</v>
      </c>
      <c r="B3015" s="2200" t="s">
        <v>10305</v>
      </c>
      <c r="C3015" s="2200" t="s">
        <v>10306</v>
      </c>
      <c r="D3015" s="2200" t="str">
        <f t="shared" si="141"/>
        <v>WV</v>
      </c>
      <c r="E3015" s="2200" t="str">
        <f t="shared" si="142"/>
        <v>54</v>
      </c>
      <c r="F3015" s="2200" t="str">
        <f t="shared" si="143"/>
        <v>039</v>
      </c>
      <c r="G3015" s="2200">
        <f>--SUBTOTAL(3,C$2:C3015)</f>
        <v>67</v>
      </c>
    </row>
    <row r="3016" spans="1:7" hidden="1" x14ac:dyDescent="0.15">
      <c r="A3016" s="2200" t="s">
        <v>4280</v>
      </c>
      <c r="B3016" s="2200" t="s">
        <v>10307</v>
      </c>
      <c r="C3016" s="2200" t="s">
        <v>10308</v>
      </c>
      <c r="D3016" s="2200" t="str">
        <f t="shared" si="141"/>
        <v>WV</v>
      </c>
      <c r="E3016" s="2200" t="str">
        <f t="shared" si="142"/>
        <v>54</v>
      </c>
      <c r="F3016" s="2200" t="str">
        <f t="shared" si="143"/>
        <v>041</v>
      </c>
      <c r="G3016" s="2200">
        <f>--SUBTOTAL(3,C$2:C3016)</f>
        <v>67</v>
      </c>
    </row>
    <row r="3017" spans="1:7" hidden="1" x14ac:dyDescent="0.15">
      <c r="A3017" s="2200" t="s">
        <v>4280</v>
      </c>
      <c r="B3017" s="2200" t="s">
        <v>10309</v>
      </c>
      <c r="C3017" s="2200" t="s">
        <v>10310</v>
      </c>
      <c r="D3017" s="2200" t="str">
        <f t="shared" si="141"/>
        <v>WV</v>
      </c>
      <c r="E3017" s="2200" t="str">
        <f t="shared" si="142"/>
        <v>54</v>
      </c>
      <c r="F3017" s="2200" t="str">
        <f t="shared" si="143"/>
        <v>043</v>
      </c>
      <c r="G3017" s="2200">
        <f>--SUBTOTAL(3,C$2:C3017)</f>
        <v>67</v>
      </c>
    </row>
    <row r="3018" spans="1:7" hidden="1" x14ac:dyDescent="0.15">
      <c r="A3018" s="2200" t="s">
        <v>4280</v>
      </c>
      <c r="B3018" s="2200" t="s">
        <v>10311</v>
      </c>
      <c r="C3018" s="2200" t="s">
        <v>10312</v>
      </c>
      <c r="D3018" s="2200" t="str">
        <f t="shared" si="141"/>
        <v>WV</v>
      </c>
      <c r="E3018" s="2200" t="str">
        <f t="shared" si="142"/>
        <v>54</v>
      </c>
      <c r="F3018" s="2200" t="str">
        <f t="shared" si="143"/>
        <v>045</v>
      </c>
      <c r="G3018" s="2200">
        <f>--SUBTOTAL(3,C$2:C3018)</f>
        <v>67</v>
      </c>
    </row>
    <row r="3019" spans="1:7" hidden="1" x14ac:dyDescent="0.15">
      <c r="A3019" s="2200" t="s">
        <v>4280</v>
      </c>
      <c r="B3019" s="2200" t="s">
        <v>10313</v>
      </c>
      <c r="C3019" s="2200" t="s">
        <v>10314</v>
      </c>
      <c r="D3019" s="2200" t="str">
        <f t="shared" si="141"/>
        <v>WV</v>
      </c>
      <c r="E3019" s="2200" t="str">
        <f t="shared" si="142"/>
        <v>54</v>
      </c>
      <c r="F3019" s="2200" t="str">
        <f t="shared" si="143"/>
        <v>047</v>
      </c>
      <c r="G3019" s="2200">
        <f>--SUBTOTAL(3,C$2:C3019)</f>
        <v>67</v>
      </c>
    </row>
    <row r="3020" spans="1:7" hidden="1" x14ac:dyDescent="0.15">
      <c r="A3020" s="2200" t="s">
        <v>4280</v>
      </c>
      <c r="B3020" s="2200" t="s">
        <v>10315</v>
      </c>
      <c r="C3020" s="2200" t="s">
        <v>10316</v>
      </c>
      <c r="D3020" s="2200" t="str">
        <f t="shared" si="141"/>
        <v>WV</v>
      </c>
      <c r="E3020" s="2200" t="str">
        <f t="shared" si="142"/>
        <v>54</v>
      </c>
      <c r="F3020" s="2200" t="str">
        <f t="shared" si="143"/>
        <v>049</v>
      </c>
      <c r="G3020" s="2200">
        <f>--SUBTOTAL(3,C$2:C3020)</f>
        <v>67</v>
      </c>
    </row>
    <row r="3021" spans="1:7" hidden="1" x14ac:dyDescent="0.15">
      <c r="A3021" s="2200" t="s">
        <v>4280</v>
      </c>
      <c r="B3021" s="2200" t="s">
        <v>10317</v>
      </c>
      <c r="C3021" s="2200" t="s">
        <v>10318</v>
      </c>
      <c r="D3021" s="2200" t="str">
        <f t="shared" si="141"/>
        <v>WV</v>
      </c>
      <c r="E3021" s="2200" t="str">
        <f t="shared" si="142"/>
        <v>54</v>
      </c>
      <c r="F3021" s="2200" t="str">
        <f t="shared" si="143"/>
        <v>051</v>
      </c>
      <c r="G3021" s="2200">
        <f>--SUBTOTAL(3,C$2:C3021)</f>
        <v>67</v>
      </c>
    </row>
    <row r="3022" spans="1:7" hidden="1" x14ac:dyDescent="0.15">
      <c r="A3022" s="2200" t="s">
        <v>4280</v>
      </c>
      <c r="B3022" s="2200" t="s">
        <v>10319</v>
      </c>
      <c r="C3022" s="2200" t="s">
        <v>10320</v>
      </c>
      <c r="D3022" s="2200" t="str">
        <f t="shared" si="141"/>
        <v>WV</v>
      </c>
      <c r="E3022" s="2200" t="str">
        <f t="shared" si="142"/>
        <v>54</v>
      </c>
      <c r="F3022" s="2200" t="str">
        <f t="shared" si="143"/>
        <v>053</v>
      </c>
      <c r="G3022" s="2200">
        <f>--SUBTOTAL(3,C$2:C3022)</f>
        <v>67</v>
      </c>
    </row>
    <row r="3023" spans="1:7" hidden="1" x14ac:dyDescent="0.15">
      <c r="A3023" s="2200" t="s">
        <v>4280</v>
      </c>
      <c r="B3023" s="2200" t="s">
        <v>10321</v>
      </c>
      <c r="C3023" s="2200" t="s">
        <v>10322</v>
      </c>
      <c r="D3023" s="2200" t="str">
        <f t="shared" si="141"/>
        <v>WV</v>
      </c>
      <c r="E3023" s="2200" t="str">
        <f t="shared" si="142"/>
        <v>54</v>
      </c>
      <c r="F3023" s="2200" t="str">
        <f t="shared" si="143"/>
        <v>055</v>
      </c>
      <c r="G3023" s="2200">
        <f>--SUBTOTAL(3,C$2:C3023)</f>
        <v>67</v>
      </c>
    </row>
    <row r="3024" spans="1:7" hidden="1" x14ac:dyDescent="0.15">
      <c r="A3024" s="2200" t="s">
        <v>4280</v>
      </c>
      <c r="B3024" s="2200" t="s">
        <v>10323</v>
      </c>
      <c r="C3024" s="2200" t="s">
        <v>10324</v>
      </c>
      <c r="D3024" s="2200" t="str">
        <f t="shared" si="141"/>
        <v>WV</v>
      </c>
      <c r="E3024" s="2200" t="str">
        <f t="shared" si="142"/>
        <v>54</v>
      </c>
      <c r="F3024" s="2200" t="str">
        <f t="shared" si="143"/>
        <v>057</v>
      </c>
      <c r="G3024" s="2200">
        <f>--SUBTOTAL(3,C$2:C3024)</f>
        <v>67</v>
      </c>
    </row>
    <row r="3025" spans="1:7" hidden="1" x14ac:dyDescent="0.15">
      <c r="A3025" s="2200" t="s">
        <v>4280</v>
      </c>
      <c r="B3025" s="2200" t="s">
        <v>10325</v>
      </c>
      <c r="C3025" s="2200" t="s">
        <v>10326</v>
      </c>
      <c r="D3025" s="2200" t="str">
        <f t="shared" si="141"/>
        <v>WV</v>
      </c>
      <c r="E3025" s="2200" t="str">
        <f t="shared" si="142"/>
        <v>54</v>
      </c>
      <c r="F3025" s="2200" t="str">
        <f t="shared" si="143"/>
        <v>059</v>
      </c>
      <c r="G3025" s="2200">
        <f>--SUBTOTAL(3,C$2:C3025)</f>
        <v>67</v>
      </c>
    </row>
    <row r="3026" spans="1:7" hidden="1" x14ac:dyDescent="0.15">
      <c r="A3026" s="2200" t="s">
        <v>4280</v>
      </c>
      <c r="B3026" s="2200" t="s">
        <v>10327</v>
      </c>
      <c r="C3026" s="2200" t="s">
        <v>10328</v>
      </c>
      <c r="D3026" s="2200" t="str">
        <f t="shared" si="141"/>
        <v>WV</v>
      </c>
      <c r="E3026" s="2200" t="str">
        <f t="shared" si="142"/>
        <v>54</v>
      </c>
      <c r="F3026" s="2200" t="str">
        <f t="shared" si="143"/>
        <v>061</v>
      </c>
      <c r="G3026" s="2200">
        <f>--SUBTOTAL(3,C$2:C3026)</f>
        <v>67</v>
      </c>
    </row>
    <row r="3027" spans="1:7" hidden="1" x14ac:dyDescent="0.15">
      <c r="A3027" s="2200" t="s">
        <v>4280</v>
      </c>
      <c r="B3027" s="2200" t="s">
        <v>10329</v>
      </c>
      <c r="C3027" s="2200" t="s">
        <v>10330</v>
      </c>
      <c r="D3027" s="2200" t="str">
        <f t="shared" si="141"/>
        <v>WV</v>
      </c>
      <c r="E3027" s="2200" t="str">
        <f t="shared" si="142"/>
        <v>54</v>
      </c>
      <c r="F3027" s="2200" t="str">
        <f t="shared" si="143"/>
        <v>063</v>
      </c>
      <c r="G3027" s="2200">
        <f>--SUBTOTAL(3,C$2:C3027)</f>
        <v>67</v>
      </c>
    </row>
    <row r="3028" spans="1:7" hidden="1" x14ac:dyDescent="0.15">
      <c r="A3028" s="2200" t="s">
        <v>4280</v>
      </c>
      <c r="B3028" s="2200" t="s">
        <v>10331</v>
      </c>
      <c r="C3028" s="2200" t="s">
        <v>10332</v>
      </c>
      <c r="D3028" s="2200" t="str">
        <f t="shared" si="141"/>
        <v>WV</v>
      </c>
      <c r="E3028" s="2200" t="str">
        <f t="shared" si="142"/>
        <v>54</v>
      </c>
      <c r="F3028" s="2200" t="str">
        <f t="shared" si="143"/>
        <v>065</v>
      </c>
      <c r="G3028" s="2200">
        <f>--SUBTOTAL(3,C$2:C3028)</f>
        <v>67</v>
      </c>
    </row>
    <row r="3029" spans="1:7" hidden="1" x14ac:dyDescent="0.15">
      <c r="A3029" s="2200" t="s">
        <v>4280</v>
      </c>
      <c r="B3029" s="2200" t="s">
        <v>10333</v>
      </c>
      <c r="C3029" s="2200" t="s">
        <v>10334</v>
      </c>
      <c r="D3029" s="2200" t="str">
        <f t="shared" si="141"/>
        <v>WV</v>
      </c>
      <c r="E3029" s="2200" t="str">
        <f t="shared" si="142"/>
        <v>54</v>
      </c>
      <c r="F3029" s="2200" t="str">
        <f t="shared" si="143"/>
        <v>067</v>
      </c>
      <c r="G3029" s="2200">
        <f>--SUBTOTAL(3,C$2:C3029)</f>
        <v>67</v>
      </c>
    </row>
    <row r="3030" spans="1:7" hidden="1" x14ac:dyDescent="0.15">
      <c r="A3030" s="2200" t="s">
        <v>4280</v>
      </c>
      <c r="B3030" s="2200" t="s">
        <v>10335</v>
      </c>
      <c r="C3030" s="2200" t="s">
        <v>10336</v>
      </c>
      <c r="D3030" s="2200" t="str">
        <f t="shared" si="141"/>
        <v>WV</v>
      </c>
      <c r="E3030" s="2200" t="str">
        <f t="shared" si="142"/>
        <v>54</v>
      </c>
      <c r="F3030" s="2200" t="str">
        <f t="shared" si="143"/>
        <v>069</v>
      </c>
      <c r="G3030" s="2200">
        <f>--SUBTOTAL(3,C$2:C3030)</f>
        <v>67</v>
      </c>
    </row>
    <row r="3031" spans="1:7" hidden="1" x14ac:dyDescent="0.15">
      <c r="A3031" s="2200" t="s">
        <v>4280</v>
      </c>
      <c r="B3031" s="2200" t="s">
        <v>10337</v>
      </c>
      <c r="C3031" s="2200" t="s">
        <v>10338</v>
      </c>
      <c r="D3031" s="2200" t="str">
        <f t="shared" si="141"/>
        <v>WV</v>
      </c>
      <c r="E3031" s="2200" t="str">
        <f t="shared" si="142"/>
        <v>54</v>
      </c>
      <c r="F3031" s="2200" t="str">
        <f t="shared" si="143"/>
        <v>071</v>
      </c>
      <c r="G3031" s="2200">
        <f>--SUBTOTAL(3,C$2:C3031)</f>
        <v>67</v>
      </c>
    </row>
    <row r="3032" spans="1:7" hidden="1" x14ac:dyDescent="0.15">
      <c r="A3032" s="2200" t="s">
        <v>4280</v>
      </c>
      <c r="B3032" s="2200" t="s">
        <v>10339</v>
      </c>
      <c r="C3032" s="2200" t="s">
        <v>10340</v>
      </c>
      <c r="D3032" s="2200" t="str">
        <f t="shared" si="141"/>
        <v>WV</v>
      </c>
      <c r="E3032" s="2200" t="str">
        <f t="shared" si="142"/>
        <v>54</v>
      </c>
      <c r="F3032" s="2200" t="str">
        <f t="shared" si="143"/>
        <v>073</v>
      </c>
      <c r="G3032" s="2200">
        <f>--SUBTOTAL(3,C$2:C3032)</f>
        <v>67</v>
      </c>
    </row>
    <row r="3033" spans="1:7" hidden="1" x14ac:dyDescent="0.15">
      <c r="A3033" s="2200" t="s">
        <v>4280</v>
      </c>
      <c r="B3033" s="2200" t="s">
        <v>10341</v>
      </c>
      <c r="C3033" s="2200" t="s">
        <v>10342</v>
      </c>
      <c r="D3033" s="2200" t="str">
        <f t="shared" si="141"/>
        <v>WV</v>
      </c>
      <c r="E3033" s="2200" t="str">
        <f t="shared" si="142"/>
        <v>54</v>
      </c>
      <c r="F3033" s="2200" t="str">
        <f t="shared" si="143"/>
        <v>075</v>
      </c>
      <c r="G3033" s="2200">
        <f>--SUBTOTAL(3,C$2:C3033)</f>
        <v>67</v>
      </c>
    </row>
    <row r="3034" spans="1:7" hidden="1" x14ac:dyDescent="0.15">
      <c r="A3034" s="2200" t="s">
        <v>4280</v>
      </c>
      <c r="B3034" s="2200" t="s">
        <v>10343</v>
      </c>
      <c r="C3034" s="2200" t="s">
        <v>10344</v>
      </c>
      <c r="D3034" s="2200" t="str">
        <f t="shared" si="141"/>
        <v>WV</v>
      </c>
      <c r="E3034" s="2200" t="str">
        <f t="shared" si="142"/>
        <v>54</v>
      </c>
      <c r="F3034" s="2200" t="str">
        <f t="shared" si="143"/>
        <v>077</v>
      </c>
      <c r="G3034" s="2200">
        <f>--SUBTOTAL(3,C$2:C3034)</f>
        <v>67</v>
      </c>
    </row>
    <row r="3035" spans="1:7" hidden="1" x14ac:dyDescent="0.15">
      <c r="A3035" s="2200" t="s">
        <v>4280</v>
      </c>
      <c r="B3035" s="2200" t="s">
        <v>10345</v>
      </c>
      <c r="C3035" s="2200" t="s">
        <v>10346</v>
      </c>
      <c r="D3035" s="2200" t="str">
        <f t="shared" si="141"/>
        <v>WV</v>
      </c>
      <c r="E3035" s="2200" t="str">
        <f t="shared" si="142"/>
        <v>54</v>
      </c>
      <c r="F3035" s="2200" t="str">
        <f t="shared" si="143"/>
        <v>079</v>
      </c>
      <c r="G3035" s="2200">
        <f>--SUBTOTAL(3,C$2:C3035)</f>
        <v>67</v>
      </c>
    </row>
    <row r="3036" spans="1:7" hidden="1" x14ac:dyDescent="0.15">
      <c r="A3036" s="2200" t="s">
        <v>4280</v>
      </c>
      <c r="B3036" s="2200" t="s">
        <v>10347</v>
      </c>
      <c r="C3036" s="2200" t="s">
        <v>10348</v>
      </c>
      <c r="D3036" s="2200" t="str">
        <f t="shared" si="141"/>
        <v>WV</v>
      </c>
      <c r="E3036" s="2200" t="str">
        <f t="shared" si="142"/>
        <v>54</v>
      </c>
      <c r="F3036" s="2200" t="str">
        <f t="shared" si="143"/>
        <v>081</v>
      </c>
      <c r="G3036" s="2200">
        <f>--SUBTOTAL(3,C$2:C3036)</f>
        <v>67</v>
      </c>
    </row>
    <row r="3037" spans="1:7" hidden="1" x14ac:dyDescent="0.15">
      <c r="A3037" s="2200" t="s">
        <v>4280</v>
      </c>
      <c r="B3037" s="2200" t="s">
        <v>10349</v>
      </c>
      <c r="C3037" s="2200" t="s">
        <v>10350</v>
      </c>
      <c r="D3037" s="2200" t="str">
        <f t="shared" si="141"/>
        <v>WV</v>
      </c>
      <c r="E3037" s="2200" t="str">
        <f t="shared" si="142"/>
        <v>54</v>
      </c>
      <c r="F3037" s="2200" t="str">
        <f t="shared" si="143"/>
        <v>083</v>
      </c>
      <c r="G3037" s="2200">
        <f>--SUBTOTAL(3,C$2:C3037)</f>
        <v>67</v>
      </c>
    </row>
    <row r="3038" spans="1:7" hidden="1" x14ac:dyDescent="0.15">
      <c r="A3038" s="2200" t="s">
        <v>4280</v>
      </c>
      <c r="B3038" s="2200" t="s">
        <v>10351</v>
      </c>
      <c r="C3038" s="2200" t="s">
        <v>10352</v>
      </c>
      <c r="D3038" s="2200" t="str">
        <f t="shared" si="141"/>
        <v>WV</v>
      </c>
      <c r="E3038" s="2200" t="str">
        <f t="shared" si="142"/>
        <v>54</v>
      </c>
      <c r="F3038" s="2200" t="str">
        <f t="shared" si="143"/>
        <v>085</v>
      </c>
      <c r="G3038" s="2200">
        <f>--SUBTOTAL(3,C$2:C3038)</f>
        <v>67</v>
      </c>
    </row>
    <row r="3039" spans="1:7" hidden="1" x14ac:dyDescent="0.15">
      <c r="A3039" s="2200" t="s">
        <v>4280</v>
      </c>
      <c r="B3039" s="2200" t="s">
        <v>10353</v>
      </c>
      <c r="C3039" s="2200" t="s">
        <v>10354</v>
      </c>
      <c r="D3039" s="2200" t="str">
        <f t="shared" si="141"/>
        <v>WV</v>
      </c>
      <c r="E3039" s="2200" t="str">
        <f t="shared" si="142"/>
        <v>54</v>
      </c>
      <c r="F3039" s="2200" t="str">
        <f t="shared" si="143"/>
        <v>087</v>
      </c>
      <c r="G3039" s="2200">
        <f>--SUBTOTAL(3,C$2:C3039)</f>
        <v>67</v>
      </c>
    </row>
    <row r="3040" spans="1:7" hidden="1" x14ac:dyDescent="0.15">
      <c r="A3040" s="2200" t="s">
        <v>4280</v>
      </c>
      <c r="B3040" s="2200" t="s">
        <v>10355</v>
      </c>
      <c r="C3040" s="2200" t="s">
        <v>10356</v>
      </c>
      <c r="D3040" s="2200" t="str">
        <f t="shared" si="141"/>
        <v>WV</v>
      </c>
      <c r="E3040" s="2200" t="str">
        <f t="shared" si="142"/>
        <v>54</v>
      </c>
      <c r="F3040" s="2200" t="str">
        <f t="shared" si="143"/>
        <v>089</v>
      </c>
      <c r="G3040" s="2200">
        <f>--SUBTOTAL(3,C$2:C3040)</f>
        <v>67</v>
      </c>
    </row>
    <row r="3041" spans="1:7" hidden="1" x14ac:dyDescent="0.15">
      <c r="A3041" s="2200" t="s">
        <v>4280</v>
      </c>
      <c r="B3041" s="2200" t="s">
        <v>10357</v>
      </c>
      <c r="C3041" s="2200" t="s">
        <v>10358</v>
      </c>
      <c r="D3041" s="2200" t="str">
        <f t="shared" si="141"/>
        <v>WV</v>
      </c>
      <c r="E3041" s="2200" t="str">
        <f t="shared" si="142"/>
        <v>54</v>
      </c>
      <c r="F3041" s="2200" t="str">
        <f t="shared" si="143"/>
        <v>091</v>
      </c>
      <c r="G3041" s="2200">
        <f>--SUBTOTAL(3,C$2:C3041)</f>
        <v>67</v>
      </c>
    </row>
    <row r="3042" spans="1:7" hidden="1" x14ac:dyDescent="0.15">
      <c r="A3042" s="2200" t="s">
        <v>4280</v>
      </c>
      <c r="B3042" s="2200" t="s">
        <v>10359</v>
      </c>
      <c r="C3042" s="2200" t="s">
        <v>10360</v>
      </c>
      <c r="D3042" s="2200" t="str">
        <f t="shared" si="141"/>
        <v>WV</v>
      </c>
      <c r="E3042" s="2200" t="str">
        <f t="shared" si="142"/>
        <v>54</v>
      </c>
      <c r="F3042" s="2200" t="str">
        <f t="shared" si="143"/>
        <v>093</v>
      </c>
      <c r="G3042" s="2200">
        <f>--SUBTOTAL(3,C$2:C3042)</f>
        <v>67</v>
      </c>
    </row>
    <row r="3043" spans="1:7" hidden="1" x14ac:dyDescent="0.15">
      <c r="A3043" s="2200" t="s">
        <v>4280</v>
      </c>
      <c r="B3043" s="2200" t="s">
        <v>10361</v>
      </c>
      <c r="C3043" s="2200" t="s">
        <v>10362</v>
      </c>
      <c r="D3043" s="2200" t="str">
        <f t="shared" si="141"/>
        <v>WV</v>
      </c>
      <c r="E3043" s="2200" t="str">
        <f t="shared" si="142"/>
        <v>54</v>
      </c>
      <c r="F3043" s="2200" t="str">
        <f t="shared" si="143"/>
        <v>095</v>
      </c>
      <c r="G3043" s="2200">
        <f>--SUBTOTAL(3,C$2:C3043)</f>
        <v>67</v>
      </c>
    </row>
    <row r="3044" spans="1:7" hidden="1" x14ac:dyDescent="0.15">
      <c r="A3044" s="2200" t="s">
        <v>4280</v>
      </c>
      <c r="B3044" s="2200" t="s">
        <v>10363</v>
      </c>
      <c r="C3044" s="2200" t="s">
        <v>10364</v>
      </c>
      <c r="D3044" s="2200" t="str">
        <f t="shared" si="141"/>
        <v>WV</v>
      </c>
      <c r="E3044" s="2200" t="str">
        <f t="shared" si="142"/>
        <v>54</v>
      </c>
      <c r="F3044" s="2200" t="str">
        <f t="shared" si="143"/>
        <v>097</v>
      </c>
      <c r="G3044" s="2200">
        <f>--SUBTOTAL(3,C$2:C3044)</f>
        <v>67</v>
      </c>
    </row>
    <row r="3045" spans="1:7" hidden="1" x14ac:dyDescent="0.15">
      <c r="A3045" s="2200" t="s">
        <v>4280</v>
      </c>
      <c r="B3045" s="2200" t="s">
        <v>10365</v>
      </c>
      <c r="C3045" s="2200" t="s">
        <v>10366</v>
      </c>
      <c r="D3045" s="2200" t="str">
        <f t="shared" si="141"/>
        <v>WV</v>
      </c>
      <c r="E3045" s="2200" t="str">
        <f t="shared" si="142"/>
        <v>54</v>
      </c>
      <c r="F3045" s="2200" t="str">
        <f t="shared" si="143"/>
        <v>099</v>
      </c>
      <c r="G3045" s="2200">
        <f>--SUBTOTAL(3,C$2:C3045)</f>
        <v>67</v>
      </c>
    </row>
    <row r="3046" spans="1:7" hidden="1" x14ac:dyDescent="0.15">
      <c r="A3046" s="2200" t="s">
        <v>4280</v>
      </c>
      <c r="B3046" s="2200" t="s">
        <v>10367</v>
      </c>
      <c r="C3046" s="2200" t="s">
        <v>10368</v>
      </c>
      <c r="D3046" s="2200" t="str">
        <f t="shared" si="141"/>
        <v>WV</v>
      </c>
      <c r="E3046" s="2200" t="str">
        <f t="shared" si="142"/>
        <v>54</v>
      </c>
      <c r="F3046" s="2200" t="str">
        <f t="shared" si="143"/>
        <v>101</v>
      </c>
      <c r="G3046" s="2200">
        <f>--SUBTOTAL(3,C$2:C3046)</f>
        <v>67</v>
      </c>
    </row>
    <row r="3047" spans="1:7" hidden="1" x14ac:dyDescent="0.15">
      <c r="A3047" s="2200" t="s">
        <v>4280</v>
      </c>
      <c r="B3047" s="2200" t="s">
        <v>10369</v>
      </c>
      <c r="C3047" s="2200" t="s">
        <v>10370</v>
      </c>
      <c r="D3047" s="2200" t="str">
        <f t="shared" si="141"/>
        <v>WV</v>
      </c>
      <c r="E3047" s="2200" t="str">
        <f t="shared" si="142"/>
        <v>54</v>
      </c>
      <c r="F3047" s="2200" t="str">
        <f t="shared" si="143"/>
        <v>103</v>
      </c>
      <c r="G3047" s="2200">
        <f>--SUBTOTAL(3,C$2:C3047)</f>
        <v>67</v>
      </c>
    </row>
    <row r="3048" spans="1:7" hidden="1" x14ac:dyDescent="0.15">
      <c r="A3048" s="2200" t="s">
        <v>4280</v>
      </c>
      <c r="B3048" s="2200" t="s">
        <v>10371</v>
      </c>
      <c r="C3048" s="2200" t="s">
        <v>10372</v>
      </c>
      <c r="D3048" s="2200" t="str">
        <f t="shared" si="141"/>
        <v>WV</v>
      </c>
      <c r="E3048" s="2200" t="str">
        <f t="shared" si="142"/>
        <v>54</v>
      </c>
      <c r="F3048" s="2200" t="str">
        <f t="shared" si="143"/>
        <v>105</v>
      </c>
      <c r="G3048" s="2200">
        <f>--SUBTOTAL(3,C$2:C3048)</f>
        <v>67</v>
      </c>
    </row>
    <row r="3049" spans="1:7" hidden="1" x14ac:dyDescent="0.15">
      <c r="A3049" s="2200" t="s">
        <v>4280</v>
      </c>
      <c r="B3049" s="2200" t="s">
        <v>10373</v>
      </c>
      <c r="C3049" s="2200" t="s">
        <v>10374</v>
      </c>
      <c r="D3049" s="2200" t="str">
        <f t="shared" si="141"/>
        <v>WV</v>
      </c>
      <c r="E3049" s="2200" t="str">
        <f t="shared" si="142"/>
        <v>54</v>
      </c>
      <c r="F3049" s="2200" t="str">
        <f t="shared" si="143"/>
        <v>107</v>
      </c>
      <c r="G3049" s="2200">
        <f>--SUBTOTAL(3,C$2:C3049)</f>
        <v>67</v>
      </c>
    </row>
    <row r="3050" spans="1:7" hidden="1" x14ac:dyDescent="0.15">
      <c r="A3050" s="2200" t="s">
        <v>4280</v>
      </c>
      <c r="B3050" s="2200" t="s">
        <v>10375</v>
      </c>
      <c r="C3050" s="2200" t="s">
        <v>10376</v>
      </c>
      <c r="D3050" s="2200" t="str">
        <f t="shared" si="141"/>
        <v>WV</v>
      </c>
      <c r="E3050" s="2200" t="str">
        <f t="shared" si="142"/>
        <v>54</v>
      </c>
      <c r="F3050" s="2200" t="str">
        <f t="shared" si="143"/>
        <v>109</v>
      </c>
      <c r="G3050" s="2200">
        <f>--SUBTOTAL(3,C$2:C3050)</f>
        <v>67</v>
      </c>
    </row>
    <row r="3051" spans="1:7" hidden="1" x14ac:dyDescent="0.15">
      <c r="A3051" s="2200" t="s">
        <v>4280</v>
      </c>
      <c r="B3051" s="2200" t="s">
        <v>10377</v>
      </c>
      <c r="C3051" s="2200" t="s">
        <v>10378</v>
      </c>
      <c r="D3051" s="2200" t="str">
        <f t="shared" si="141"/>
        <v>WI</v>
      </c>
      <c r="E3051" s="2200" t="str">
        <f t="shared" si="142"/>
        <v>55</v>
      </c>
      <c r="F3051" s="2200" t="str">
        <f t="shared" si="143"/>
        <v>001</v>
      </c>
      <c r="G3051" s="2200">
        <f>--SUBTOTAL(3,C$2:C3051)</f>
        <v>67</v>
      </c>
    </row>
    <row r="3052" spans="1:7" hidden="1" x14ac:dyDescent="0.15">
      <c r="A3052" s="2200" t="s">
        <v>4280</v>
      </c>
      <c r="B3052" s="2200" t="s">
        <v>10379</v>
      </c>
      <c r="C3052" s="2200" t="s">
        <v>10380</v>
      </c>
      <c r="D3052" s="2200" t="str">
        <f t="shared" si="141"/>
        <v>WI</v>
      </c>
      <c r="E3052" s="2200" t="str">
        <f t="shared" si="142"/>
        <v>55</v>
      </c>
      <c r="F3052" s="2200" t="str">
        <f t="shared" si="143"/>
        <v>003</v>
      </c>
      <c r="G3052" s="2200">
        <f>--SUBTOTAL(3,C$2:C3052)</f>
        <v>67</v>
      </c>
    </row>
    <row r="3053" spans="1:7" hidden="1" x14ac:dyDescent="0.15">
      <c r="A3053" s="2200" t="s">
        <v>4280</v>
      </c>
      <c r="B3053" s="2200" t="s">
        <v>10381</v>
      </c>
      <c r="C3053" s="2200" t="s">
        <v>10382</v>
      </c>
      <c r="D3053" s="2200" t="str">
        <f t="shared" si="141"/>
        <v>WI</v>
      </c>
      <c r="E3053" s="2200" t="str">
        <f t="shared" si="142"/>
        <v>55</v>
      </c>
      <c r="F3053" s="2200" t="str">
        <f t="shared" si="143"/>
        <v>005</v>
      </c>
      <c r="G3053" s="2200">
        <f>--SUBTOTAL(3,C$2:C3053)</f>
        <v>67</v>
      </c>
    </row>
    <row r="3054" spans="1:7" hidden="1" x14ac:dyDescent="0.15">
      <c r="A3054" s="2200" t="s">
        <v>4280</v>
      </c>
      <c r="B3054" s="2200" t="s">
        <v>10383</v>
      </c>
      <c r="C3054" s="2200" t="s">
        <v>10384</v>
      </c>
      <c r="D3054" s="2200" t="str">
        <f t="shared" si="141"/>
        <v>WI</v>
      </c>
      <c r="E3054" s="2200" t="str">
        <f t="shared" si="142"/>
        <v>55</v>
      </c>
      <c r="F3054" s="2200" t="str">
        <f t="shared" si="143"/>
        <v>007</v>
      </c>
      <c r="G3054" s="2200">
        <f>--SUBTOTAL(3,C$2:C3054)</f>
        <v>67</v>
      </c>
    </row>
    <row r="3055" spans="1:7" hidden="1" x14ac:dyDescent="0.15">
      <c r="A3055" s="2200" t="s">
        <v>4280</v>
      </c>
      <c r="B3055" s="2200" t="s">
        <v>10385</v>
      </c>
      <c r="C3055" s="2200" t="s">
        <v>10386</v>
      </c>
      <c r="D3055" s="2200" t="str">
        <f t="shared" si="141"/>
        <v>WI</v>
      </c>
      <c r="E3055" s="2200" t="str">
        <f t="shared" si="142"/>
        <v>55</v>
      </c>
      <c r="F3055" s="2200" t="str">
        <f t="shared" si="143"/>
        <v>009</v>
      </c>
      <c r="G3055" s="2200">
        <f>--SUBTOTAL(3,C$2:C3055)</f>
        <v>67</v>
      </c>
    </row>
    <row r="3056" spans="1:7" hidden="1" x14ac:dyDescent="0.15">
      <c r="A3056" s="2200" t="s">
        <v>4280</v>
      </c>
      <c r="B3056" s="2200" t="s">
        <v>10387</v>
      </c>
      <c r="C3056" s="2200" t="s">
        <v>10388</v>
      </c>
      <c r="D3056" s="2200" t="str">
        <f t="shared" si="141"/>
        <v>WI</v>
      </c>
      <c r="E3056" s="2200" t="str">
        <f t="shared" si="142"/>
        <v>55</v>
      </c>
      <c r="F3056" s="2200" t="str">
        <f t="shared" si="143"/>
        <v>011</v>
      </c>
      <c r="G3056" s="2200">
        <f>--SUBTOTAL(3,C$2:C3056)</f>
        <v>67</v>
      </c>
    </row>
    <row r="3057" spans="1:7" hidden="1" x14ac:dyDescent="0.15">
      <c r="A3057" s="2200" t="s">
        <v>4280</v>
      </c>
      <c r="B3057" s="2200" t="s">
        <v>10389</v>
      </c>
      <c r="C3057" s="2200" t="s">
        <v>10390</v>
      </c>
      <c r="D3057" s="2200" t="str">
        <f t="shared" si="141"/>
        <v>WI</v>
      </c>
      <c r="E3057" s="2200" t="str">
        <f t="shared" si="142"/>
        <v>55</v>
      </c>
      <c r="F3057" s="2200" t="str">
        <f t="shared" si="143"/>
        <v>013</v>
      </c>
      <c r="G3057" s="2200">
        <f>--SUBTOTAL(3,C$2:C3057)</f>
        <v>67</v>
      </c>
    </row>
    <row r="3058" spans="1:7" hidden="1" x14ac:dyDescent="0.15">
      <c r="A3058" s="2200" t="s">
        <v>4280</v>
      </c>
      <c r="B3058" s="2200" t="s">
        <v>10391</v>
      </c>
      <c r="C3058" s="2200" t="s">
        <v>10392</v>
      </c>
      <c r="D3058" s="2200" t="str">
        <f t="shared" si="141"/>
        <v>WI</v>
      </c>
      <c r="E3058" s="2200" t="str">
        <f t="shared" si="142"/>
        <v>55</v>
      </c>
      <c r="F3058" s="2200" t="str">
        <f t="shared" si="143"/>
        <v>015</v>
      </c>
      <c r="G3058" s="2200">
        <f>--SUBTOTAL(3,C$2:C3058)</f>
        <v>67</v>
      </c>
    </row>
    <row r="3059" spans="1:7" hidden="1" x14ac:dyDescent="0.15">
      <c r="A3059" s="2200" t="s">
        <v>4280</v>
      </c>
      <c r="B3059" s="2200" t="s">
        <v>10393</v>
      </c>
      <c r="C3059" s="2200" t="s">
        <v>10394</v>
      </c>
      <c r="D3059" s="2200" t="str">
        <f t="shared" si="141"/>
        <v>WI</v>
      </c>
      <c r="E3059" s="2200" t="str">
        <f t="shared" si="142"/>
        <v>55</v>
      </c>
      <c r="F3059" s="2200" t="str">
        <f t="shared" si="143"/>
        <v>017</v>
      </c>
      <c r="G3059" s="2200">
        <f>--SUBTOTAL(3,C$2:C3059)</f>
        <v>67</v>
      </c>
    </row>
    <row r="3060" spans="1:7" hidden="1" x14ac:dyDescent="0.15">
      <c r="A3060" s="2200" t="s">
        <v>4280</v>
      </c>
      <c r="B3060" s="2200" t="s">
        <v>10395</v>
      </c>
      <c r="C3060" s="2200" t="s">
        <v>10396</v>
      </c>
      <c r="D3060" s="2200" t="str">
        <f t="shared" si="141"/>
        <v>WI</v>
      </c>
      <c r="E3060" s="2200" t="str">
        <f t="shared" si="142"/>
        <v>55</v>
      </c>
      <c r="F3060" s="2200" t="str">
        <f t="shared" si="143"/>
        <v>019</v>
      </c>
      <c r="G3060" s="2200">
        <f>--SUBTOTAL(3,C$2:C3060)</f>
        <v>67</v>
      </c>
    </row>
    <row r="3061" spans="1:7" hidden="1" x14ac:dyDescent="0.15">
      <c r="A3061" s="2200" t="s">
        <v>4280</v>
      </c>
      <c r="B3061" s="2200" t="s">
        <v>10397</v>
      </c>
      <c r="C3061" s="2200" t="s">
        <v>10398</v>
      </c>
      <c r="D3061" s="2200" t="str">
        <f t="shared" si="141"/>
        <v>WI</v>
      </c>
      <c r="E3061" s="2200" t="str">
        <f t="shared" si="142"/>
        <v>55</v>
      </c>
      <c r="F3061" s="2200" t="str">
        <f t="shared" si="143"/>
        <v>021</v>
      </c>
      <c r="G3061" s="2200">
        <f>--SUBTOTAL(3,C$2:C3061)</f>
        <v>67</v>
      </c>
    </row>
    <row r="3062" spans="1:7" hidden="1" x14ac:dyDescent="0.15">
      <c r="A3062" s="2200" t="s">
        <v>4280</v>
      </c>
      <c r="B3062" s="2200" t="s">
        <v>10399</v>
      </c>
      <c r="C3062" s="2200" t="s">
        <v>10400</v>
      </c>
      <c r="D3062" s="2200" t="str">
        <f t="shared" si="141"/>
        <v>WI</v>
      </c>
      <c r="E3062" s="2200" t="str">
        <f t="shared" si="142"/>
        <v>55</v>
      </c>
      <c r="F3062" s="2200" t="str">
        <f t="shared" si="143"/>
        <v>023</v>
      </c>
      <c r="G3062" s="2200">
        <f>--SUBTOTAL(3,C$2:C3062)</f>
        <v>67</v>
      </c>
    </row>
    <row r="3063" spans="1:7" hidden="1" x14ac:dyDescent="0.15">
      <c r="A3063" s="2200" t="s">
        <v>4280</v>
      </c>
      <c r="B3063" s="2200" t="s">
        <v>10401</v>
      </c>
      <c r="C3063" s="2200" t="s">
        <v>10402</v>
      </c>
      <c r="D3063" s="2200" t="str">
        <f t="shared" si="141"/>
        <v>WI</v>
      </c>
      <c r="E3063" s="2200" t="str">
        <f t="shared" si="142"/>
        <v>55</v>
      </c>
      <c r="F3063" s="2200" t="str">
        <f t="shared" si="143"/>
        <v>025</v>
      </c>
      <c r="G3063" s="2200">
        <f>--SUBTOTAL(3,C$2:C3063)</f>
        <v>67</v>
      </c>
    </row>
    <row r="3064" spans="1:7" hidden="1" x14ac:dyDescent="0.15">
      <c r="A3064" s="2200" t="s">
        <v>4280</v>
      </c>
      <c r="B3064" s="2200" t="s">
        <v>10403</v>
      </c>
      <c r="C3064" s="2200" t="s">
        <v>10404</v>
      </c>
      <c r="D3064" s="2200" t="str">
        <f t="shared" si="141"/>
        <v>WI</v>
      </c>
      <c r="E3064" s="2200" t="str">
        <f t="shared" si="142"/>
        <v>55</v>
      </c>
      <c r="F3064" s="2200" t="str">
        <f t="shared" si="143"/>
        <v>027</v>
      </c>
      <c r="G3064" s="2200">
        <f>--SUBTOTAL(3,C$2:C3064)</f>
        <v>67</v>
      </c>
    </row>
    <row r="3065" spans="1:7" hidden="1" x14ac:dyDescent="0.15">
      <c r="A3065" s="2200" t="s">
        <v>4280</v>
      </c>
      <c r="B3065" s="2200" t="s">
        <v>10405</v>
      </c>
      <c r="C3065" s="2200" t="s">
        <v>10406</v>
      </c>
      <c r="D3065" s="2200" t="str">
        <f t="shared" si="141"/>
        <v>WI</v>
      </c>
      <c r="E3065" s="2200" t="str">
        <f t="shared" si="142"/>
        <v>55</v>
      </c>
      <c r="F3065" s="2200" t="str">
        <f t="shared" si="143"/>
        <v>029</v>
      </c>
      <c r="G3065" s="2200">
        <f>--SUBTOTAL(3,C$2:C3065)</f>
        <v>67</v>
      </c>
    </row>
    <row r="3066" spans="1:7" hidden="1" x14ac:dyDescent="0.15">
      <c r="A3066" s="2200" t="s">
        <v>4280</v>
      </c>
      <c r="B3066" s="2200" t="s">
        <v>10407</v>
      </c>
      <c r="C3066" s="2200" t="s">
        <v>10408</v>
      </c>
      <c r="D3066" s="2200" t="str">
        <f t="shared" si="141"/>
        <v>WI</v>
      </c>
      <c r="E3066" s="2200" t="str">
        <f t="shared" si="142"/>
        <v>55</v>
      </c>
      <c r="F3066" s="2200" t="str">
        <f t="shared" si="143"/>
        <v>031</v>
      </c>
      <c r="G3066" s="2200">
        <f>--SUBTOTAL(3,C$2:C3066)</f>
        <v>67</v>
      </c>
    </row>
    <row r="3067" spans="1:7" hidden="1" x14ac:dyDescent="0.15">
      <c r="A3067" s="2200" t="s">
        <v>4280</v>
      </c>
      <c r="B3067" s="2200" t="s">
        <v>10409</v>
      </c>
      <c r="C3067" s="2200" t="s">
        <v>10410</v>
      </c>
      <c r="D3067" s="2200" t="str">
        <f t="shared" si="141"/>
        <v>WI</v>
      </c>
      <c r="E3067" s="2200" t="str">
        <f t="shared" si="142"/>
        <v>55</v>
      </c>
      <c r="F3067" s="2200" t="str">
        <f t="shared" si="143"/>
        <v>033</v>
      </c>
      <c r="G3067" s="2200">
        <f>--SUBTOTAL(3,C$2:C3067)</f>
        <v>67</v>
      </c>
    </row>
    <row r="3068" spans="1:7" hidden="1" x14ac:dyDescent="0.15">
      <c r="A3068" s="2200" t="s">
        <v>4280</v>
      </c>
      <c r="B3068" s="2200" t="s">
        <v>10411</v>
      </c>
      <c r="C3068" s="2200" t="s">
        <v>10412</v>
      </c>
      <c r="D3068" s="2200" t="str">
        <f t="shared" si="141"/>
        <v>WI</v>
      </c>
      <c r="E3068" s="2200" t="str">
        <f t="shared" si="142"/>
        <v>55</v>
      </c>
      <c r="F3068" s="2200" t="str">
        <f t="shared" si="143"/>
        <v>035</v>
      </c>
      <c r="G3068" s="2200">
        <f>--SUBTOTAL(3,C$2:C3068)</f>
        <v>67</v>
      </c>
    </row>
    <row r="3069" spans="1:7" hidden="1" x14ac:dyDescent="0.15">
      <c r="A3069" s="2200" t="s">
        <v>4280</v>
      </c>
      <c r="B3069" s="2200" t="s">
        <v>10413</v>
      </c>
      <c r="C3069" s="2200" t="s">
        <v>10414</v>
      </c>
      <c r="D3069" s="2200" t="str">
        <f t="shared" si="141"/>
        <v>WI</v>
      </c>
      <c r="E3069" s="2200" t="str">
        <f t="shared" si="142"/>
        <v>55</v>
      </c>
      <c r="F3069" s="2200" t="str">
        <f t="shared" si="143"/>
        <v>037</v>
      </c>
      <c r="G3069" s="2200">
        <f>--SUBTOTAL(3,C$2:C3069)</f>
        <v>67</v>
      </c>
    </row>
    <row r="3070" spans="1:7" hidden="1" x14ac:dyDescent="0.15">
      <c r="A3070" s="2200" t="s">
        <v>4280</v>
      </c>
      <c r="B3070" s="2200" t="s">
        <v>10415</v>
      </c>
      <c r="C3070" s="2200" t="s">
        <v>10416</v>
      </c>
      <c r="D3070" s="2200" t="str">
        <f t="shared" si="141"/>
        <v>WI</v>
      </c>
      <c r="E3070" s="2200" t="str">
        <f t="shared" si="142"/>
        <v>55</v>
      </c>
      <c r="F3070" s="2200" t="str">
        <f t="shared" si="143"/>
        <v>039</v>
      </c>
      <c r="G3070" s="2200">
        <f>--SUBTOTAL(3,C$2:C3070)</f>
        <v>67</v>
      </c>
    </row>
    <row r="3071" spans="1:7" hidden="1" x14ac:dyDescent="0.15">
      <c r="A3071" s="2200" t="s">
        <v>4280</v>
      </c>
      <c r="B3071" s="2200" t="s">
        <v>10417</v>
      </c>
      <c r="C3071" s="2200" t="s">
        <v>10418</v>
      </c>
      <c r="D3071" s="2200" t="str">
        <f t="shared" si="141"/>
        <v>WI</v>
      </c>
      <c r="E3071" s="2200" t="str">
        <f t="shared" si="142"/>
        <v>55</v>
      </c>
      <c r="F3071" s="2200" t="str">
        <f t="shared" si="143"/>
        <v>041</v>
      </c>
      <c r="G3071" s="2200">
        <f>--SUBTOTAL(3,C$2:C3071)</f>
        <v>67</v>
      </c>
    </row>
    <row r="3072" spans="1:7" hidden="1" x14ac:dyDescent="0.15">
      <c r="A3072" s="2200" t="s">
        <v>4280</v>
      </c>
      <c r="B3072" s="2200" t="s">
        <v>10419</v>
      </c>
      <c r="C3072" s="2200" t="s">
        <v>10420</v>
      </c>
      <c r="D3072" s="2200" t="str">
        <f t="shared" si="141"/>
        <v>WI</v>
      </c>
      <c r="E3072" s="2200" t="str">
        <f t="shared" si="142"/>
        <v>55</v>
      </c>
      <c r="F3072" s="2200" t="str">
        <f t="shared" si="143"/>
        <v>043</v>
      </c>
      <c r="G3072" s="2200">
        <f>--SUBTOTAL(3,C$2:C3072)</f>
        <v>67</v>
      </c>
    </row>
    <row r="3073" spans="1:7" hidden="1" x14ac:dyDescent="0.15">
      <c r="A3073" s="2200" t="s">
        <v>4280</v>
      </c>
      <c r="B3073" s="2200" t="s">
        <v>10421</v>
      </c>
      <c r="C3073" s="2200" t="s">
        <v>10422</v>
      </c>
      <c r="D3073" s="2200" t="str">
        <f t="shared" si="141"/>
        <v>WI</v>
      </c>
      <c r="E3073" s="2200" t="str">
        <f t="shared" si="142"/>
        <v>55</v>
      </c>
      <c r="F3073" s="2200" t="str">
        <f t="shared" si="143"/>
        <v>045</v>
      </c>
      <c r="G3073" s="2200">
        <f>--SUBTOTAL(3,C$2:C3073)</f>
        <v>67</v>
      </c>
    </row>
    <row r="3074" spans="1:7" hidden="1" x14ac:dyDescent="0.15">
      <c r="A3074" s="2200" t="s">
        <v>4280</v>
      </c>
      <c r="B3074" s="2200" t="s">
        <v>10423</v>
      </c>
      <c r="C3074" s="2200" t="s">
        <v>10424</v>
      </c>
      <c r="D3074" s="2200" t="str">
        <f t="shared" si="141"/>
        <v>WI</v>
      </c>
      <c r="E3074" s="2200" t="str">
        <f t="shared" si="142"/>
        <v>55</v>
      </c>
      <c r="F3074" s="2200" t="str">
        <f t="shared" si="143"/>
        <v>047</v>
      </c>
      <c r="G3074" s="2200">
        <f>--SUBTOTAL(3,C$2:C3074)</f>
        <v>67</v>
      </c>
    </row>
    <row r="3075" spans="1:7" hidden="1" x14ac:dyDescent="0.15">
      <c r="A3075" s="2200" t="s">
        <v>4280</v>
      </c>
      <c r="B3075" s="2200" t="s">
        <v>10425</v>
      </c>
      <c r="C3075" s="2200" t="s">
        <v>10426</v>
      </c>
      <c r="D3075" s="2200" t="str">
        <f t="shared" ref="D3075:D3138" si="144">RIGHT(C3075,2)</f>
        <v>WI</v>
      </c>
      <c r="E3075" s="2200" t="str">
        <f t="shared" ref="E3075:E3138" si="145">MID(B3075,3,2)</f>
        <v>55</v>
      </c>
      <c r="F3075" s="2200" t="str">
        <f t="shared" ref="F3075:F3138" si="146">MID(B3075,5,3)</f>
        <v>049</v>
      </c>
      <c r="G3075" s="2200">
        <f>--SUBTOTAL(3,C$2:C3075)</f>
        <v>67</v>
      </c>
    </row>
    <row r="3076" spans="1:7" hidden="1" x14ac:dyDescent="0.15">
      <c r="A3076" s="2200" t="s">
        <v>4280</v>
      </c>
      <c r="B3076" s="2200" t="s">
        <v>10427</v>
      </c>
      <c r="C3076" s="2200" t="s">
        <v>10428</v>
      </c>
      <c r="D3076" s="2200" t="str">
        <f t="shared" si="144"/>
        <v>WI</v>
      </c>
      <c r="E3076" s="2200" t="str">
        <f t="shared" si="145"/>
        <v>55</v>
      </c>
      <c r="F3076" s="2200" t="str">
        <f t="shared" si="146"/>
        <v>051</v>
      </c>
      <c r="G3076" s="2200">
        <f>--SUBTOTAL(3,C$2:C3076)</f>
        <v>67</v>
      </c>
    </row>
    <row r="3077" spans="1:7" hidden="1" x14ac:dyDescent="0.15">
      <c r="A3077" s="2200" t="s">
        <v>4280</v>
      </c>
      <c r="B3077" s="2200" t="s">
        <v>10429</v>
      </c>
      <c r="C3077" s="2200" t="s">
        <v>10430</v>
      </c>
      <c r="D3077" s="2200" t="str">
        <f t="shared" si="144"/>
        <v>WI</v>
      </c>
      <c r="E3077" s="2200" t="str">
        <f t="shared" si="145"/>
        <v>55</v>
      </c>
      <c r="F3077" s="2200" t="str">
        <f t="shared" si="146"/>
        <v>053</v>
      </c>
      <c r="G3077" s="2200">
        <f>--SUBTOTAL(3,C$2:C3077)</f>
        <v>67</v>
      </c>
    </row>
    <row r="3078" spans="1:7" hidden="1" x14ac:dyDescent="0.15">
      <c r="A3078" s="2200" t="s">
        <v>4280</v>
      </c>
      <c r="B3078" s="2200" t="s">
        <v>10431</v>
      </c>
      <c r="C3078" s="2200" t="s">
        <v>10432</v>
      </c>
      <c r="D3078" s="2200" t="str">
        <f t="shared" si="144"/>
        <v>WI</v>
      </c>
      <c r="E3078" s="2200" t="str">
        <f t="shared" si="145"/>
        <v>55</v>
      </c>
      <c r="F3078" s="2200" t="str">
        <f t="shared" si="146"/>
        <v>055</v>
      </c>
      <c r="G3078" s="2200">
        <f>--SUBTOTAL(3,C$2:C3078)</f>
        <v>67</v>
      </c>
    </row>
    <row r="3079" spans="1:7" hidden="1" x14ac:dyDescent="0.15">
      <c r="A3079" s="2200" t="s">
        <v>4280</v>
      </c>
      <c r="B3079" s="2200" t="s">
        <v>10433</v>
      </c>
      <c r="C3079" s="2200" t="s">
        <v>10434</v>
      </c>
      <c r="D3079" s="2200" t="str">
        <f t="shared" si="144"/>
        <v>WI</v>
      </c>
      <c r="E3079" s="2200" t="str">
        <f t="shared" si="145"/>
        <v>55</v>
      </c>
      <c r="F3079" s="2200" t="str">
        <f t="shared" si="146"/>
        <v>057</v>
      </c>
      <c r="G3079" s="2200">
        <f>--SUBTOTAL(3,C$2:C3079)</f>
        <v>67</v>
      </c>
    </row>
    <row r="3080" spans="1:7" hidden="1" x14ac:dyDescent="0.15">
      <c r="A3080" s="2200" t="s">
        <v>4280</v>
      </c>
      <c r="B3080" s="2200" t="s">
        <v>10435</v>
      </c>
      <c r="C3080" s="2200" t="s">
        <v>10436</v>
      </c>
      <c r="D3080" s="2200" t="str">
        <f t="shared" si="144"/>
        <v>WI</v>
      </c>
      <c r="E3080" s="2200" t="str">
        <f t="shared" si="145"/>
        <v>55</v>
      </c>
      <c r="F3080" s="2200" t="str">
        <f t="shared" si="146"/>
        <v>059</v>
      </c>
      <c r="G3080" s="2200">
        <f>--SUBTOTAL(3,C$2:C3080)</f>
        <v>67</v>
      </c>
    </row>
    <row r="3081" spans="1:7" hidden="1" x14ac:dyDescent="0.15">
      <c r="A3081" s="2200" t="s">
        <v>4280</v>
      </c>
      <c r="B3081" s="2200" t="s">
        <v>10437</v>
      </c>
      <c r="C3081" s="2200" t="s">
        <v>10438</v>
      </c>
      <c r="D3081" s="2200" t="str">
        <f t="shared" si="144"/>
        <v>WI</v>
      </c>
      <c r="E3081" s="2200" t="str">
        <f t="shared" si="145"/>
        <v>55</v>
      </c>
      <c r="F3081" s="2200" t="str">
        <f t="shared" si="146"/>
        <v>061</v>
      </c>
      <c r="G3081" s="2200">
        <f>--SUBTOTAL(3,C$2:C3081)</f>
        <v>67</v>
      </c>
    </row>
    <row r="3082" spans="1:7" hidden="1" x14ac:dyDescent="0.15">
      <c r="A3082" s="2200" t="s">
        <v>4280</v>
      </c>
      <c r="B3082" s="2200" t="s">
        <v>10439</v>
      </c>
      <c r="C3082" s="2200" t="s">
        <v>10440</v>
      </c>
      <c r="D3082" s="2200" t="str">
        <f t="shared" si="144"/>
        <v>WI</v>
      </c>
      <c r="E3082" s="2200" t="str">
        <f t="shared" si="145"/>
        <v>55</v>
      </c>
      <c r="F3082" s="2200" t="str">
        <f t="shared" si="146"/>
        <v>063</v>
      </c>
      <c r="G3082" s="2200">
        <f>--SUBTOTAL(3,C$2:C3082)</f>
        <v>67</v>
      </c>
    </row>
    <row r="3083" spans="1:7" hidden="1" x14ac:dyDescent="0.15">
      <c r="A3083" s="2200" t="s">
        <v>4280</v>
      </c>
      <c r="B3083" s="2200" t="s">
        <v>10441</v>
      </c>
      <c r="C3083" s="2200" t="s">
        <v>10442</v>
      </c>
      <c r="D3083" s="2200" t="str">
        <f t="shared" si="144"/>
        <v>WI</v>
      </c>
      <c r="E3083" s="2200" t="str">
        <f t="shared" si="145"/>
        <v>55</v>
      </c>
      <c r="F3083" s="2200" t="str">
        <f t="shared" si="146"/>
        <v>065</v>
      </c>
      <c r="G3083" s="2200">
        <f>--SUBTOTAL(3,C$2:C3083)</f>
        <v>67</v>
      </c>
    </row>
    <row r="3084" spans="1:7" hidden="1" x14ac:dyDescent="0.15">
      <c r="A3084" s="2200" t="s">
        <v>4280</v>
      </c>
      <c r="B3084" s="2200" t="s">
        <v>10443</v>
      </c>
      <c r="C3084" s="2200" t="s">
        <v>10444</v>
      </c>
      <c r="D3084" s="2200" t="str">
        <f t="shared" si="144"/>
        <v>WI</v>
      </c>
      <c r="E3084" s="2200" t="str">
        <f t="shared" si="145"/>
        <v>55</v>
      </c>
      <c r="F3084" s="2200" t="str">
        <f t="shared" si="146"/>
        <v>067</v>
      </c>
      <c r="G3084" s="2200">
        <f>--SUBTOTAL(3,C$2:C3084)</f>
        <v>67</v>
      </c>
    </row>
    <row r="3085" spans="1:7" hidden="1" x14ac:dyDescent="0.15">
      <c r="A3085" s="2200" t="s">
        <v>4280</v>
      </c>
      <c r="B3085" s="2200" t="s">
        <v>10445</v>
      </c>
      <c r="C3085" s="2200" t="s">
        <v>10446</v>
      </c>
      <c r="D3085" s="2200" t="str">
        <f t="shared" si="144"/>
        <v>WI</v>
      </c>
      <c r="E3085" s="2200" t="str">
        <f t="shared" si="145"/>
        <v>55</v>
      </c>
      <c r="F3085" s="2200" t="str">
        <f t="shared" si="146"/>
        <v>069</v>
      </c>
      <c r="G3085" s="2200">
        <f>--SUBTOTAL(3,C$2:C3085)</f>
        <v>67</v>
      </c>
    </row>
    <row r="3086" spans="1:7" hidden="1" x14ac:dyDescent="0.15">
      <c r="A3086" s="2200" t="s">
        <v>4280</v>
      </c>
      <c r="B3086" s="2200" t="s">
        <v>10447</v>
      </c>
      <c r="C3086" s="2200" t="s">
        <v>10448</v>
      </c>
      <c r="D3086" s="2200" t="str">
        <f t="shared" si="144"/>
        <v>WI</v>
      </c>
      <c r="E3086" s="2200" t="str">
        <f t="shared" si="145"/>
        <v>55</v>
      </c>
      <c r="F3086" s="2200" t="str">
        <f t="shared" si="146"/>
        <v>071</v>
      </c>
      <c r="G3086" s="2200">
        <f>--SUBTOTAL(3,C$2:C3086)</f>
        <v>67</v>
      </c>
    </row>
    <row r="3087" spans="1:7" hidden="1" x14ac:dyDescent="0.15">
      <c r="A3087" s="2200" t="s">
        <v>4280</v>
      </c>
      <c r="B3087" s="2200" t="s">
        <v>10449</v>
      </c>
      <c r="C3087" s="2200" t="s">
        <v>10450</v>
      </c>
      <c r="D3087" s="2200" t="str">
        <f t="shared" si="144"/>
        <v>WI</v>
      </c>
      <c r="E3087" s="2200" t="str">
        <f t="shared" si="145"/>
        <v>55</v>
      </c>
      <c r="F3087" s="2200" t="str">
        <f t="shared" si="146"/>
        <v>073</v>
      </c>
      <c r="G3087" s="2200">
        <f>--SUBTOTAL(3,C$2:C3087)</f>
        <v>67</v>
      </c>
    </row>
    <row r="3088" spans="1:7" hidden="1" x14ac:dyDescent="0.15">
      <c r="A3088" s="2200" t="s">
        <v>4280</v>
      </c>
      <c r="B3088" s="2200" t="s">
        <v>10451</v>
      </c>
      <c r="C3088" s="2200" t="s">
        <v>10452</v>
      </c>
      <c r="D3088" s="2200" t="str">
        <f t="shared" si="144"/>
        <v>WI</v>
      </c>
      <c r="E3088" s="2200" t="str">
        <f t="shared" si="145"/>
        <v>55</v>
      </c>
      <c r="F3088" s="2200" t="str">
        <f t="shared" si="146"/>
        <v>075</v>
      </c>
      <c r="G3088" s="2200">
        <f>--SUBTOTAL(3,C$2:C3088)</f>
        <v>67</v>
      </c>
    </row>
    <row r="3089" spans="1:7" hidden="1" x14ac:dyDescent="0.15">
      <c r="A3089" s="2200" t="s">
        <v>4280</v>
      </c>
      <c r="B3089" s="2200" t="s">
        <v>10453</v>
      </c>
      <c r="C3089" s="2200" t="s">
        <v>10454</v>
      </c>
      <c r="D3089" s="2200" t="str">
        <f t="shared" si="144"/>
        <v>WI</v>
      </c>
      <c r="E3089" s="2200" t="str">
        <f t="shared" si="145"/>
        <v>55</v>
      </c>
      <c r="F3089" s="2200" t="str">
        <f t="shared" si="146"/>
        <v>077</v>
      </c>
      <c r="G3089" s="2200">
        <f>--SUBTOTAL(3,C$2:C3089)</f>
        <v>67</v>
      </c>
    </row>
    <row r="3090" spans="1:7" hidden="1" x14ac:dyDescent="0.15">
      <c r="A3090" s="2200" t="s">
        <v>4280</v>
      </c>
      <c r="B3090" s="2200" t="s">
        <v>10455</v>
      </c>
      <c r="C3090" s="2200" t="s">
        <v>10456</v>
      </c>
      <c r="D3090" s="2200" t="str">
        <f t="shared" si="144"/>
        <v>WI</v>
      </c>
      <c r="E3090" s="2200" t="str">
        <f t="shared" si="145"/>
        <v>55</v>
      </c>
      <c r="F3090" s="2200" t="str">
        <f t="shared" si="146"/>
        <v>078</v>
      </c>
      <c r="G3090" s="2200">
        <f>--SUBTOTAL(3,C$2:C3090)</f>
        <v>67</v>
      </c>
    </row>
    <row r="3091" spans="1:7" hidden="1" x14ac:dyDescent="0.15">
      <c r="A3091" s="2200" t="s">
        <v>4280</v>
      </c>
      <c r="B3091" s="2200" t="s">
        <v>10457</v>
      </c>
      <c r="C3091" s="2200" t="s">
        <v>10458</v>
      </c>
      <c r="D3091" s="2200" t="str">
        <f t="shared" si="144"/>
        <v>WI</v>
      </c>
      <c r="E3091" s="2200" t="str">
        <f t="shared" si="145"/>
        <v>55</v>
      </c>
      <c r="F3091" s="2200" t="str">
        <f t="shared" si="146"/>
        <v>079</v>
      </c>
      <c r="G3091" s="2200">
        <f>--SUBTOTAL(3,C$2:C3091)</f>
        <v>67</v>
      </c>
    </row>
    <row r="3092" spans="1:7" hidden="1" x14ac:dyDescent="0.15">
      <c r="A3092" s="2200" t="s">
        <v>4280</v>
      </c>
      <c r="B3092" s="2200" t="s">
        <v>10459</v>
      </c>
      <c r="C3092" s="2200" t="s">
        <v>10460</v>
      </c>
      <c r="D3092" s="2200" t="str">
        <f t="shared" si="144"/>
        <v>WI</v>
      </c>
      <c r="E3092" s="2200" t="str">
        <f t="shared" si="145"/>
        <v>55</v>
      </c>
      <c r="F3092" s="2200" t="str">
        <f t="shared" si="146"/>
        <v>081</v>
      </c>
      <c r="G3092" s="2200">
        <f>--SUBTOTAL(3,C$2:C3092)</f>
        <v>67</v>
      </c>
    </row>
    <row r="3093" spans="1:7" hidden="1" x14ac:dyDescent="0.15">
      <c r="A3093" s="2200" t="s">
        <v>4280</v>
      </c>
      <c r="B3093" s="2200" t="s">
        <v>10461</v>
      </c>
      <c r="C3093" s="2200" t="s">
        <v>10462</v>
      </c>
      <c r="D3093" s="2200" t="str">
        <f t="shared" si="144"/>
        <v>WI</v>
      </c>
      <c r="E3093" s="2200" t="str">
        <f t="shared" si="145"/>
        <v>55</v>
      </c>
      <c r="F3093" s="2200" t="str">
        <f t="shared" si="146"/>
        <v>083</v>
      </c>
      <c r="G3093" s="2200">
        <f>--SUBTOTAL(3,C$2:C3093)</f>
        <v>67</v>
      </c>
    </row>
    <row r="3094" spans="1:7" hidden="1" x14ac:dyDescent="0.15">
      <c r="A3094" s="2200" t="s">
        <v>4280</v>
      </c>
      <c r="B3094" s="2200" t="s">
        <v>10463</v>
      </c>
      <c r="C3094" s="2200" t="s">
        <v>10464</v>
      </c>
      <c r="D3094" s="2200" t="str">
        <f t="shared" si="144"/>
        <v>WI</v>
      </c>
      <c r="E3094" s="2200" t="str">
        <f t="shared" si="145"/>
        <v>55</v>
      </c>
      <c r="F3094" s="2200" t="str">
        <f t="shared" si="146"/>
        <v>085</v>
      </c>
      <c r="G3094" s="2200">
        <f>--SUBTOTAL(3,C$2:C3094)</f>
        <v>67</v>
      </c>
    </row>
    <row r="3095" spans="1:7" hidden="1" x14ac:dyDescent="0.15">
      <c r="A3095" s="2200" t="s">
        <v>4280</v>
      </c>
      <c r="B3095" s="2200" t="s">
        <v>10465</v>
      </c>
      <c r="C3095" s="2200" t="s">
        <v>10466</v>
      </c>
      <c r="D3095" s="2200" t="str">
        <f t="shared" si="144"/>
        <v>WI</v>
      </c>
      <c r="E3095" s="2200" t="str">
        <f t="shared" si="145"/>
        <v>55</v>
      </c>
      <c r="F3095" s="2200" t="str">
        <f t="shared" si="146"/>
        <v>087</v>
      </c>
      <c r="G3095" s="2200">
        <f>--SUBTOTAL(3,C$2:C3095)</f>
        <v>67</v>
      </c>
    </row>
    <row r="3096" spans="1:7" hidden="1" x14ac:dyDescent="0.15">
      <c r="A3096" s="2200" t="s">
        <v>4280</v>
      </c>
      <c r="B3096" s="2200" t="s">
        <v>10467</v>
      </c>
      <c r="C3096" s="2200" t="s">
        <v>10468</v>
      </c>
      <c r="D3096" s="2200" t="str">
        <f t="shared" si="144"/>
        <v>WI</v>
      </c>
      <c r="E3096" s="2200" t="str">
        <f t="shared" si="145"/>
        <v>55</v>
      </c>
      <c r="F3096" s="2200" t="str">
        <f t="shared" si="146"/>
        <v>089</v>
      </c>
      <c r="G3096" s="2200">
        <f>--SUBTOTAL(3,C$2:C3096)</f>
        <v>67</v>
      </c>
    </row>
    <row r="3097" spans="1:7" hidden="1" x14ac:dyDescent="0.15">
      <c r="A3097" s="2200" t="s">
        <v>4280</v>
      </c>
      <c r="B3097" s="2200" t="s">
        <v>10469</v>
      </c>
      <c r="C3097" s="2200" t="s">
        <v>10470</v>
      </c>
      <c r="D3097" s="2200" t="str">
        <f t="shared" si="144"/>
        <v>WI</v>
      </c>
      <c r="E3097" s="2200" t="str">
        <f t="shared" si="145"/>
        <v>55</v>
      </c>
      <c r="F3097" s="2200" t="str">
        <f t="shared" si="146"/>
        <v>091</v>
      </c>
      <c r="G3097" s="2200">
        <f>--SUBTOTAL(3,C$2:C3097)</f>
        <v>67</v>
      </c>
    </row>
    <row r="3098" spans="1:7" hidden="1" x14ac:dyDescent="0.15">
      <c r="A3098" s="2200" t="s">
        <v>4280</v>
      </c>
      <c r="B3098" s="2200" t="s">
        <v>10471</v>
      </c>
      <c r="C3098" s="2200" t="s">
        <v>10472</v>
      </c>
      <c r="D3098" s="2200" t="str">
        <f t="shared" si="144"/>
        <v>WI</v>
      </c>
      <c r="E3098" s="2200" t="str">
        <f t="shared" si="145"/>
        <v>55</v>
      </c>
      <c r="F3098" s="2200" t="str">
        <f t="shared" si="146"/>
        <v>093</v>
      </c>
      <c r="G3098" s="2200">
        <f>--SUBTOTAL(3,C$2:C3098)</f>
        <v>67</v>
      </c>
    </row>
    <row r="3099" spans="1:7" hidden="1" x14ac:dyDescent="0.15">
      <c r="A3099" s="2200" t="s">
        <v>4280</v>
      </c>
      <c r="B3099" s="2200" t="s">
        <v>10473</v>
      </c>
      <c r="C3099" s="2200" t="s">
        <v>10474</v>
      </c>
      <c r="D3099" s="2200" t="str">
        <f t="shared" si="144"/>
        <v>WI</v>
      </c>
      <c r="E3099" s="2200" t="str">
        <f t="shared" si="145"/>
        <v>55</v>
      </c>
      <c r="F3099" s="2200" t="str">
        <f t="shared" si="146"/>
        <v>095</v>
      </c>
      <c r="G3099" s="2200">
        <f>--SUBTOTAL(3,C$2:C3099)</f>
        <v>67</v>
      </c>
    </row>
    <row r="3100" spans="1:7" hidden="1" x14ac:dyDescent="0.15">
      <c r="A3100" s="2200" t="s">
        <v>4280</v>
      </c>
      <c r="B3100" s="2200" t="s">
        <v>10475</v>
      </c>
      <c r="C3100" s="2200" t="s">
        <v>10476</v>
      </c>
      <c r="D3100" s="2200" t="str">
        <f t="shared" si="144"/>
        <v>WI</v>
      </c>
      <c r="E3100" s="2200" t="str">
        <f t="shared" si="145"/>
        <v>55</v>
      </c>
      <c r="F3100" s="2200" t="str">
        <f t="shared" si="146"/>
        <v>097</v>
      </c>
      <c r="G3100" s="2200">
        <f>--SUBTOTAL(3,C$2:C3100)</f>
        <v>67</v>
      </c>
    </row>
    <row r="3101" spans="1:7" hidden="1" x14ac:dyDescent="0.15">
      <c r="A3101" s="2200" t="s">
        <v>4280</v>
      </c>
      <c r="B3101" s="2200" t="s">
        <v>10477</v>
      </c>
      <c r="C3101" s="2200" t="s">
        <v>10478</v>
      </c>
      <c r="D3101" s="2200" t="str">
        <f t="shared" si="144"/>
        <v>WI</v>
      </c>
      <c r="E3101" s="2200" t="str">
        <f t="shared" si="145"/>
        <v>55</v>
      </c>
      <c r="F3101" s="2200" t="str">
        <f t="shared" si="146"/>
        <v>099</v>
      </c>
      <c r="G3101" s="2200">
        <f>--SUBTOTAL(3,C$2:C3101)</f>
        <v>67</v>
      </c>
    </row>
    <row r="3102" spans="1:7" hidden="1" x14ac:dyDescent="0.15">
      <c r="A3102" s="2200" t="s">
        <v>4280</v>
      </c>
      <c r="B3102" s="2200" t="s">
        <v>10479</v>
      </c>
      <c r="C3102" s="2200" t="s">
        <v>10480</v>
      </c>
      <c r="D3102" s="2200" t="str">
        <f t="shared" si="144"/>
        <v>WI</v>
      </c>
      <c r="E3102" s="2200" t="str">
        <f t="shared" si="145"/>
        <v>55</v>
      </c>
      <c r="F3102" s="2200" t="str">
        <f t="shared" si="146"/>
        <v>101</v>
      </c>
      <c r="G3102" s="2200">
        <f>--SUBTOTAL(3,C$2:C3102)</f>
        <v>67</v>
      </c>
    </row>
    <row r="3103" spans="1:7" hidden="1" x14ac:dyDescent="0.15">
      <c r="A3103" s="2200" t="s">
        <v>4280</v>
      </c>
      <c r="B3103" s="2200" t="s">
        <v>10481</v>
      </c>
      <c r="C3103" s="2200" t="s">
        <v>10482</v>
      </c>
      <c r="D3103" s="2200" t="str">
        <f t="shared" si="144"/>
        <v>WI</v>
      </c>
      <c r="E3103" s="2200" t="str">
        <f t="shared" si="145"/>
        <v>55</v>
      </c>
      <c r="F3103" s="2200" t="str">
        <f t="shared" si="146"/>
        <v>103</v>
      </c>
      <c r="G3103" s="2200">
        <f>--SUBTOTAL(3,C$2:C3103)</f>
        <v>67</v>
      </c>
    </row>
    <row r="3104" spans="1:7" hidden="1" x14ac:dyDescent="0.15">
      <c r="A3104" s="2200" t="s">
        <v>4280</v>
      </c>
      <c r="B3104" s="2200" t="s">
        <v>10483</v>
      </c>
      <c r="C3104" s="2200" t="s">
        <v>10484</v>
      </c>
      <c r="D3104" s="2200" t="str">
        <f t="shared" si="144"/>
        <v>WI</v>
      </c>
      <c r="E3104" s="2200" t="str">
        <f t="shared" si="145"/>
        <v>55</v>
      </c>
      <c r="F3104" s="2200" t="str">
        <f t="shared" si="146"/>
        <v>105</v>
      </c>
      <c r="G3104" s="2200">
        <f>--SUBTOTAL(3,C$2:C3104)</f>
        <v>67</v>
      </c>
    </row>
    <row r="3105" spans="1:7" hidden="1" x14ac:dyDescent="0.15">
      <c r="A3105" s="2200" t="s">
        <v>4280</v>
      </c>
      <c r="B3105" s="2200" t="s">
        <v>10485</v>
      </c>
      <c r="C3105" s="2200" t="s">
        <v>10486</v>
      </c>
      <c r="D3105" s="2200" t="str">
        <f t="shared" si="144"/>
        <v>WI</v>
      </c>
      <c r="E3105" s="2200" t="str">
        <f t="shared" si="145"/>
        <v>55</v>
      </c>
      <c r="F3105" s="2200" t="str">
        <f t="shared" si="146"/>
        <v>107</v>
      </c>
      <c r="G3105" s="2200">
        <f>--SUBTOTAL(3,C$2:C3105)</f>
        <v>67</v>
      </c>
    </row>
    <row r="3106" spans="1:7" hidden="1" x14ac:dyDescent="0.15">
      <c r="A3106" s="2200" t="s">
        <v>4280</v>
      </c>
      <c r="B3106" s="2200" t="s">
        <v>10487</v>
      </c>
      <c r="C3106" s="2200" t="s">
        <v>10488</v>
      </c>
      <c r="D3106" s="2200" t="str">
        <f t="shared" si="144"/>
        <v>WI</v>
      </c>
      <c r="E3106" s="2200" t="str">
        <f t="shared" si="145"/>
        <v>55</v>
      </c>
      <c r="F3106" s="2200" t="str">
        <f t="shared" si="146"/>
        <v>109</v>
      </c>
      <c r="G3106" s="2200">
        <f>--SUBTOTAL(3,C$2:C3106)</f>
        <v>67</v>
      </c>
    </row>
    <row r="3107" spans="1:7" hidden="1" x14ac:dyDescent="0.15">
      <c r="A3107" s="2200" t="s">
        <v>4280</v>
      </c>
      <c r="B3107" s="2200" t="s">
        <v>10489</v>
      </c>
      <c r="C3107" s="2200" t="s">
        <v>10490</v>
      </c>
      <c r="D3107" s="2200" t="str">
        <f t="shared" si="144"/>
        <v>WI</v>
      </c>
      <c r="E3107" s="2200" t="str">
        <f t="shared" si="145"/>
        <v>55</v>
      </c>
      <c r="F3107" s="2200" t="str">
        <f t="shared" si="146"/>
        <v>111</v>
      </c>
      <c r="G3107" s="2200">
        <f>--SUBTOTAL(3,C$2:C3107)</f>
        <v>67</v>
      </c>
    </row>
    <row r="3108" spans="1:7" hidden="1" x14ac:dyDescent="0.15">
      <c r="A3108" s="2200" t="s">
        <v>4280</v>
      </c>
      <c r="B3108" s="2200" t="s">
        <v>10491</v>
      </c>
      <c r="C3108" s="2200" t="s">
        <v>10492</v>
      </c>
      <c r="D3108" s="2200" t="str">
        <f t="shared" si="144"/>
        <v>WI</v>
      </c>
      <c r="E3108" s="2200" t="str">
        <f t="shared" si="145"/>
        <v>55</v>
      </c>
      <c r="F3108" s="2200" t="str">
        <f t="shared" si="146"/>
        <v>113</v>
      </c>
      <c r="G3108" s="2200">
        <f>--SUBTOTAL(3,C$2:C3108)</f>
        <v>67</v>
      </c>
    </row>
    <row r="3109" spans="1:7" hidden="1" x14ac:dyDescent="0.15">
      <c r="A3109" s="2200" t="s">
        <v>4280</v>
      </c>
      <c r="B3109" s="2200" t="s">
        <v>10493</v>
      </c>
      <c r="C3109" s="2200" t="s">
        <v>10494</v>
      </c>
      <c r="D3109" s="2200" t="str">
        <f t="shared" si="144"/>
        <v>WI</v>
      </c>
      <c r="E3109" s="2200" t="str">
        <f t="shared" si="145"/>
        <v>55</v>
      </c>
      <c r="F3109" s="2200" t="str">
        <f t="shared" si="146"/>
        <v>115</v>
      </c>
      <c r="G3109" s="2200">
        <f>--SUBTOTAL(3,C$2:C3109)</f>
        <v>67</v>
      </c>
    </row>
    <row r="3110" spans="1:7" hidden="1" x14ac:dyDescent="0.15">
      <c r="A3110" s="2200" t="s">
        <v>4280</v>
      </c>
      <c r="B3110" s="2200" t="s">
        <v>10495</v>
      </c>
      <c r="C3110" s="2200" t="s">
        <v>10496</v>
      </c>
      <c r="D3110" s="2200" t="str">
        <f t="shared" si="144"/>
        <v>WI</v>
      </c>
      <c r="E3110" s="2200" t="str">
        <f t="shared" si="145"/>
        <v>55</v>
      </c>
      <c r="F3110" s="2200" t="str">
        <f t="shared" si="146"/>
        <v>117</v>
      </c>
      <c r="G3110" s="2200">
        <f>--SUBTOTAL(3,C$2:C3110)</f>
        <v>67</v>
      </c>
    </row>
    <row r="3111" spans="1:7" hidden="1" x14ac:dyDescent="0.15">
      <c r="A3111" s="2200" t="s">
        <v>4280</v>
      </c>
      <c r="B3111" s="2200" t="s">
        <v>10497</v>
      </c>
      <c r="C3111" s="2200" t="s">
        <v>10498</v>
      </c>
      <c r="D3111" s="2200" t="str">
        <f t="shared" si="144"/>
        <v>WI</v>
      </c>
      <c r="E3111" s="2200" t="str">
        <f t="shared" si="145"/>
        <v>55</v>
      </c>
      <c r="F3111" s="2200" t="str">
        <f t="shared" si="146"/>
        <v>119</v>
      </c>
      <c r="G3111" s="2200">
        <f>--SUBTOTAL(3,C$2:C3111)</f>
        <v>67</v>
      </c>
    </row>
    <row r="3112" spans="1:7" hidden="1" x14ac:dyDescent="0.15">
      <c r="A3112" s="2200" t="s">
        <v>4280</v>
      </c>
      <c r="B3112" s="2200" t="s">
        <v>10499</v>
      </c>
      <c r="C3112" s="2200" t="s">
        <v>10500</v>
      </c>
      <c r="D3112" s="2200" t="str">
        <f t="shared" si="144"/>
        <v>WI</v>
      </c>
      <c r="E3112" s="2200" t="str">
        <f t="shared" si="145"/>
        <v>55</v>
      </c>
      <c r="F3112" s="2200" t="str">
        <f t="shared" si="146"/>
        <v>121</v>
      </c>
      <c r="G3112" s="2200">
        <f>--SUBTOTAL(3,C$2:C3112)</f>
        <v>67</v>
      </c>
    </row>
    <row r="3113" spans="1:7" hidden="1" x14ac:dyDescent="0.15">
      <c r="A3113" s="2200" t="s">
        <v>4280</v>
      </c>
      <c r="B3113" s="2200" t="s">
        <v>10501</v>
      </c>
      <c r="C3113" s="2200" t="s">
        <v>10502</v>
      </c>
      <c r="D3113" s="2200" t="str">
        <f t="shared" si="144"/>
        <v>WI</v>
      </c>
      <c r="E3113" s="2200" t="str">
        <f t="shared" si="145"/>
        <v>55</v>
      </c>
      <c r="F3113" s="2200" t="str">
        <f t="shared" si="146"/>
        <v>123</v>
      </c>
      <c r="G3113" s="2200">
        <f>--SUBTOTAL(3,C$2:C3113)</f>
        <v>67</v>
      </c>
    </row>
    <row r="3114" spans="1:7" hidden="1" x14ac:dyDescent="0.15">
      <c r="A3114" s="2200" t="s">
        <v>4280</v>
      </c>
      <c r="B3114" s="2200" t="s">
        <v>10503</v>
      </c>
      <c r="C3114" s="2200" t="s">
        <v>10504</v>
      </c>
      <c r="D3114" s="2200" t="str">
        <f t="shared" si="144"/>
        <v>WI</v>
      </c>
      <c r="E3114" s="2200" t="str">
        <f t="shared" si="145"/>
        <v>55</v>
      </c>
      <c r="F3114" s="2200" t="str">
        <f t="shared" si="146"/>
        <v>125</v>
      </c>
      <c r="G3114" s="2200">
        <f>--SUBTOTAL(3,C$2:C3114)</f>
        <v>67</v>
      </c>
    </row>
    <row r="3115" spans="1:7" hidden="1" x14ac:dyDescent="0.15">
      <c r="A3115" s="2200" t="s">
        <v>4280</v>
      </c>
      <c r="B3115" s="2200" t="s">
        <v>10505</v>
      </c>
      <c r="C3115" s="2200" t="s">
        <v>10506</v>
      </c>
      <c r="D3115" s="2200" t="str">
        <f t="shared" si="144"/>
        <v>WI</v>
      </c>
      <c r="E3115" s="2200" t="str">
        <f t="shared" si="145"/>
        <v>55</v>
      </c>
      <c r="F3115" s="2200" t="str">
        <f t="shared" si="146"/>
        <v>127</v>
      </c>
      <c r="G3115" s="2200">
        <f>--SUBTOTAL(3,C$2:C3115)</f>
        <v>67</v>
      </c>
    </row>
    <row r="3116" spans="1:7" hidden="1" x14ac:dyDescent="0.15">
      <c r="A3116" s="2200" t="s">
        <v>4280</v>
      </c>
      <c r="B3116" s="2200" t="s">
        <v>10507</v>
      </c>
      <c r="C3116" s="2200" t="s">
        <v>10508</v>
      </c>
      <c r="D3116" s="2200" t="str">
        <f t="shared" si="144"/>
        <v>WI</v>
      </c>
      <c r="E3116" s="2200" t="str">
        <f t="shared" si="145"/>
        <v>55</v>
      </c>
      <c r="F3116" s="2200" t="str">
        <f t="shared" si="146"/>
        <v>129</v>
      </c>
      <c r="G3116" s="2200">
        <f>--SUBTOTAL(3,C$2:C3116)</f>
        <v>67</v>
      </c>
    </row>
    <row r="3117" spans="1:7" hidden="1" x14ac:dyDescent="0.15">
      <c r="A3117" s="2200" t="s">
        <v>4280</v>
      </c>
      <c r="B3117" s="2200" t="s">
        <v>10509</v>
      </c>
      <c r="C3117" s="2200" t="s">
        <v>10510</v>
      </c>
      <c r="D3117" s="2200" t="str">
        <f t="shared" si="144"/>
        <v>WI</v>
      </c>
      <c r="E3117" s="2200" t="str">
        <f t="shared" si="145"/>
        <v>55</v>
      </c>
      <c r="F3117" s="2200" t="str">
        <f t="shared" si="146"/>
        <v>131</v>
      </c>
      <c r="G3117" s="2200">
        <f>--SUBTOTAL(3,C$2:C3117)</f>
        <v>67</v>
      </c>
    </row>
    <row r="3118" spans="1:7" hidden="1" x14ac:dyDescent="0.15">
      <c r="A3118" s="2200" t="s">
        <v>4280</v>
      </c>
      <c r="B3118" s="2200" t="s">
        <v>10511</v>
      </c>
      <c r="C3118" s="2200" t="s">
        <v>10512</v>
      </c>
      <c r="D3118" s="2200" t="str">
        <f t="shared" si="144"/>
        <v>WI</v>
      </c>
      <c r="E3118" s="2200" t="str">
        <f t="shared" si="145"/>
        <v>55</v>
      </c>
      <c r="F3118" s="2200" t="str">
        <f t="shared" si="146"/>
        <v>133</v>
      </c>
      <c r="G3118" s="2200">
        <f>--SUBTOTAL(3,C$2:C3118)</f>
        <v>67</v>
      </c>
    </row>
    <row r="3119" spans="1:7" hidden="1" x14ac:dyDescent="0.15">
      <c r="A3119" s="2200" t="s">
        <v>4280</v>
      </c>
      <c r="B3119" s="2200" t="s">
        <v>10513</v>
      </c>
      <c r="C3119" s="2200" t="s">
        <v>10514</v>
      </c>
      <c r="D3119" s="2200" t="str">
        <f t="shared" si="144"/>
        <v>WI</v>
      </c>
      <c r="E3119" s="2200" t="str">
        <f t="shared" si="145"/>
        <v>55</v>
      </c>
      <c r="F3119" s="2200" t="str">
        <f t="shared" si="146"/>
        <v>135</v>
      </c>
      <c r="G3119" s="2200">
        <f>--SUBTOTAL(3,C$2:C3119)</f>
        <v>67</v>
      </c>
    </row>
    <row r="3120" spans="1:7" hidden="1" x14ac:dyDescent="0.15">
      <c r="A3120" s="2200" t="s">
        <v>4280</v>
      </c>
      <c r="B3120" s="2200" t="s">
        <v>10515</v>
      </c>
      <c r="C3120" s="2200" t="s">
        <v>10516</v>
      </c>
      <c r="D3120" s="2200" t="str">
        <f t="shared" si="144"/>
        <v>WI</v>
      </c>
      <c r="E3120" s="2200" t="str">
        <f t="shared" si="145"/>
        <v>55</v>
      </c>
      <c r="F3120" s="2200" t="str">
        <f t="shared" si="146"/>
        <v>137</v>
      </c>
      <c r="G3120" s="2200">
        <f>--SUBTOTAL(3,C$2:C3120)</f>
        <v>67</v>
      </c>
    </row>
    <row r="3121" spans="1:7" hidden="1" x14ac:dyDescent="0.15">
      <c r="A3121" s="2200" t="s">
        <v>4280</v>
      </c>
      <c r="B3121" s="2200" t="s">
        <v>10517</v>
      </c>
      <c r="C3121" s="2200" t="s">
        <v>10518</v>
      </c>
      <c r="D3121" s="2200" t="str">
        <f t="shared" si="144"/>
        <v>WI</v>
      </c>
      <c r="E3121" s="2200" t="str">
        <f t="shared" si="145"/>
        <v>55</v>
      </c>
      <c r="F3121" s="2200" t="str">
        <f t="shared" si="146"/>
        <v>139</v>
      </c>
      <c r="G3121" s="2200">
        <f>--SUBTOTAL(3,C$2:C3121)</f>
        <v>67</v>
      </c>
    </row>
    <row r="3122" spans="1:7" hidden="1" x14ac:dyDescent="0.15">
      <c r="A3122" s="2200" t="s">
        <v>4280</v>
      </c>
      <c r="B3122" s="2200" t="s">
        <v>10519</v>
      </c>
      <c r="C3122" s="2200" t="s">
        <v>10520</v>
      </c>
      <c r="D3122" s="2200" t="str">
        <f t="shared" si="144"/>
        <v>WI</v>
      </c>
      <c r="E3122" s="2200" t="str">
        <f t="shared" si="145"/>
        <v>55</v>
      </c>
      <c r="F3122" s="2200" t="str">
        <f t="shared" si="146"/>
        <v>141</v>
      </c>
      <c r="G3122" s="2200">
        <f>--SUBTOTAL(3,C$2:C3122)</f>
        <v>67</v>
      </c>
    </row>
    <row r="3123" spans="1:7" hidden="1" x14ac:dyDescent="0.15">
      <c r="A3123" s="2200" t="s">
        <v>4280</v>
      </c>
      <c r="B3123" s="2200" t="s">
        <v>10521</v>
      </c>
      <c r="C3123" s="2200" t="s">
        <v>10522</v>
      </c>
      <c r="D3123" s="2200" t="str">
        <f t="shared" si="144"/>
        <v>WY</v>
      </c>
      <c r="E3123" s="2200" t="str">
        <f t="shared" si="145"/>
        <v>56</v>
      </c>
      <c r="F3123" s="2200" t="str">
        <f t="shared" si="146"/>
        <v>001</v>
      </c>
      <c r="G3123" s="2200">
        <f>--SUBTOTAL(3,C$2:C3123)</f>
        <v>67</v>
      </c>
    </row>
    <row r="3124" spans="1:7" hidden="1" x14ac:dyDescent="0.15">
      <c r="A3124" s="2200" t="s">
        <v>4280</v>
      </c>
      <c r="B3124" s="2200" t="s">
        <v>10523</v>
      </c>
      <c r="C3124" s="2200" t="s">
        <v>10524</v>
      </c>
      <c r="D3124" s="2200" t="str">
        <f t="shared" si="144"/>
        <v>WY</v>
      </c>
      <c r="E3124" s="2200" t="str">
        <f t="shared" si="145"/>
        <v>56</v>
      </c>
      <c r="F3124" s="2200" t="str">
        <f t="shared" si="146"/>
        <v>003</v>
      </c>
      <c r="G3124" s="2200">
        <f>--SUBTOTAL(3,C$2:C3124)</f>
        <v>67</v>
      </c>
    </row>
    <row r="3125" spans="1:7" hidden="1" x14ac:dyDescent="0.15">
      <c r="A3125" s="2200" t="s">
        <v>4280</v>
      </c>
      <c r="B3125" s="2200" t="s">
        <v>10525</v>
      </c>
      <c r="C3125" s="2200" t="s">
        <v>10526</v>
      </c>
      <c r="D3125" s="2200" t="str">
        <f t="shared" si="144"/>
        <v>WY</v>
      </c>
      <c r="E3125" s="2200" t="str">
        <f t="shared" si="145"/>
        <v>56</v>
      </c>
      <c r="F3125" s="2200" t="str">
        <f t="shared" si="146"/>
        <v>005</v>
      </c>
      <c r="G3125" s="2200">
        <f>--SUBTOTAL(3,C$2:C3125)</f>
        <v>67</v>
      </c>
    </row>
    <row r="3126" spans="1:7" hidden="1" x14ac:dyDescent="0.15">
      <c r="A3126" s="2200" t="s">
        <v>4280</v>
      </c>
      <c r="B3126" s="2200" t="s">
        <v>10527</v>
      </c>
      <c r="C3126" s="2200" t="s">
        <v>10528</v>
      </c>
      <c r="D3126" s="2200" t="str">
        <f t="shared" si="144"/>
        <v>WY</v>
      </c>
      <c r="E3126" s="2200" t="str">
        <f t="shared" si="145"/>
        <v>56</v>
      </c>
      <c r="F3126" s="2200" t="str">
        <f t="shared" si="146"/>
        <v>007</v>
      </c>
      <c r="G3126" s="2200">
        <f>--SUBTOTAL(3,C$2:C3126)</f>
        <v>67</v>
      </c>
    </row>
    <row r="3127" spans="1:7" hidden="1" x14ac:dyDescent="0.15">
      <c r="A3127" s="2200" t="s">
        <v>4280</v>
      </c>
      <c r="B3127" s="2200" t="s">
        <v>10529</v>
      </c>
      <c r="C3127" s="2200" t="s">
        <v>10530</v>
      </c>
      <c r="D3127" s="2200" t="str">
        <f t="shared" si="144"/>
        <v>WY</v>
      </c>
      <c r="E3127" s="2200" t="str">
        <f t="shared" si="145"/>
        <v>56</v>
      </c>
      <c r="F3127" s="2200" t="str">
        <f t="shared" si="146"/>
        <v>009</v>
      </c>
      <c r="G3127" s="2200">
        <f>--SUBTOTAL(3,C$2:C3127)</f>
        <v>67</v>
      </c>
    </row>
    <row r="3128" spans="1:7" hidden="1" x14ac:dyDescent="0.15">
      <c r="A3128" s="2200" t="s">
        <v>4280</v>
      </c>
      <c r="B3128" s="2200" t="s">
        <v>10531</v>
      </c>
      <c r="C3128" s="2200" t="s">
        <v>10532</v>
      </c>
      <c r="D3128" s="2200" t="str">
        <f t="shared" si="144"/>
        <v>WY</v>
      </c>
      <c r="E3128" s="2200" t="str">
        <f t="shared" si="145"/>
        <v>56</v>
      </c>
      <c r="F3128" s="2200" t="str">
        <f t="shared" si="146"/>
        <v>011</v>
      </c>
      <c r="G3128" s="2200">
        <f>--SUBTOTAL(3,C$2:C3128)</f>
        <v>67</v>
      </c>
    </row>
    <row r="3129" spans="1:7" hidden="1" x14ac:dyDescent="0.15">
      <c r="A3129" s="2200" t="s">
        <v>4280</v>
      </c>
      <c r="B3129" s="2200" t="s">
        <v>10533</v>
      </c>
      <c r="C3129" s="2200" t="s">
        <v>10534</v>
      </c>
      <c r="D3129" s="2200" t="str">
        <f t="shared" si="144"/>
        <v>WY</v>
      </c>
      <c r="E3129" s="2200" t="str">
        <f t="shared" si="145"/>
        <v>56</v>
      </c>
      <c r="F3129" s="2200" t="str">
        <f t="shared" si="146"/>
        <v>013</v>
      </c>
      <c r="G3129" s="2200">
        <f>--SUBTOTAL(3,C$2:C3129)</f>
        <v>67</v>
      </c>
    </row>
    <row r="3130" spans="1:7" hidden="1" x14ac:dyDescent="0.15">
      <c r="A3130" s="2200" t="s">
        <v>4280</v>
      </c>
      <c r="B3130" s="2200" t="s">
        <v>10535</v>
      </c>
      <c r="C3130" s="2200" t="s">
        <v>10536</v>
      </c>
      <c r="D3130" s="2200" t="str">
        <f t="shared" si="144"/>
        <v>WY</v>
      </c>
      <c r="E3130" s="2200" t="str">
        <f t="shared" si="145"/>
        <v>56</v>
      </c>
      <c r="F3130" s="2200" t="str">
        <f t="shared" si="146"/>
        <v>015</v>
      </c>
      <c r="G3130" s="2200">
        <f>--SUBTOTAL(3,C$2:C3130)</f>
        <v>67</v>
      </c>
    </row>
    <row r="3131" spans="1:7" hidden="1" x14ac:dyDescent="0.15">
      <c r="A3131" s="2200" t="s">
        <v>4280</v>
      </c>
      <c r="B3131" s="2200" t="s">
        <v>10537</v>
      </c>
      <c r="C3131" s="2200" t="s">
        <v>10538</v>
      </c>
      <c r="D3131" s="2200" t="str">
        <f t="shared" si="144"/>
        <v>WY</v>
      </c>
      <c r="E3131" s="2200" t="str">
        <f t="shared" si="145"/>
        <v>56</v>
      </c>
      <c r="F3131" s="2200" t="str">
        <f t="shared" si="146"/>
        <v>017</v>
      </c>
      <c r="G3131" s="2200">
        <f>--SUBTOTAL(3,C$2:C3131)</f>
        <v>67</v>
      </c>
    </row>
    <row r="3132" spans="1:7" hidden="1" x14ac:dyDescent="0.15">
      <c r="A3132" s="2200" t="s">
        <v>4280</v>
      </c>
      <c r="B3132" s="2200" t="s">
        <v>10539</v>
      </c>
      <c r="C3132" s="2200" t="s">
        <v>10540</v>
      </c>
      <c r="D3132" s="2200" t="str">
        <f t="shared" si="144"/>
        <v>WY</v>
      </c>
      <c r="E3132" s="2200" t="str">
        <f t="shared" si="145"/>
        <v>56</v>
      </c>
      <c r="F3132" s="2200" t="str">
        <f t="shared" si="146"/>
        <v>019</v>
      </c>
      <c r="G3132" s="2200">
        <f>--SUBTOTAL(3,C$2:C3132)</f>
        <v>67</v>
      </c>
    </row>
    <row r="3133" spans="1:7" hidden="1" x14ac:dyDescent="0.15">
      <c r="A3133" s="2200" t="s">
        <v>4280</v>
      </c>
      <c r="B3133" s="2200" t="s">
        <v>10541</v>
      </c>
      <c r="C3133" s="2200" t="s">
        <v>10542</v>
      </c>
      <c r="D3133" s="2200" t="str">
        <f t="shared" si="144"/>
        <v>WY</v>
      </c>
      <c r="E3133" s="2200" t="str">
        <f t="shared" si="145"/>
        <v>56</v>
      </c>
      <c r="F3133" s="2200" t="str">
        <f t="shared" si="146"/>
        <v>021</v>
      </c>
      <c r="G3133" s="2200">
        <f>--SUBTOTAL(3,C$2:C3133)</f>
        <v>67</v>
      </c>
    </row>
    <row r="3134" spans="1:7" hidden="1" x14ac:dyDescent="0.15">
      <c r="A3134" s="2200" t="s">
        <v>4280</v>
      </c>
      <c r="B3134" s="2200" t="s">
        <v>10543</v>
      </c>
      <c r="C3134" s="2200" t="s">
        <v>10544</v>
      </c>
      <c r="D3134" s="2200" t="str">
        <f t="shared" si="144"/>
        <v>WY</v>
      </c>
      <c r="E3134" s="2200" t="str">
        <f t="shared" si="145"/>
        <v>56</v>
      </c>
      <c r="F3134" s="2200" t="str">
        <f t="shared" si="146"/>
        <v>023</v>
      </c>
      <c r="G3134" s="2200">
        <f>--SUBTOTAL(3,C$2:C3134)</f>
        <v>67</v>
      </c>
    </row>
    <row r="3135" spans="1:7" hidden="1" x14ac:dyDescent="0.15">
      <c r="A3135" s="2200" t="s">
        <v>4280</v>
      </c>
      <c r="B3135" s="2200" t="s">
        <v>10545</v>
      </c>
      <c r="C3135" s="2200" t="s">
        <v>10546</v>
      </c>
      <c r="D3135" s="2200" t="str">
        <f t="shared" si="144"/>
        <v>WY</v>
      </c>
      <c r="E3135" s="2200" t="str">
        <f t="shared" si="145"/>
        <v>56</v>
      </c>
      <c r="F3135" s="2200" t="str">
        <f t="shared" si="146"/>
        <v>025</v>
      </c>
      <c r="G3135" s="2200">
        <f>--SUBTOTAL(3,C$2:C3135)</f>
        <v>67</v>
      </c>
    </row>
    <row r="3136" spans="1:7" hidden="1" x14ac:dyDescent="0.15">
      <c r="A3136" s="2200" t="s">
        <v>4280</v>
      </c>
      <c r="B3136" s="2200" t="s">
        <v>10547</v>
      </c>
      <c r="C3136" s="2200" t="s">
        <v>10548</v>
      </c>
      <c r="D3136" s="2200" t="str">
        <f t="shared" si="144"/>
        <v>WY</v>
      </c>
      <c r="E3136" s="2200" t="str">
        <f t="shared" si="145"/>
        <v>56</v>
      </c>
      <c r="F3136" s="2200" t="str">
        <f t="shared" si="146"/>
        <v>027</v>
      </c>
      <c r="G3136" s="2200">
        <f>--SUBTOTAL(3,C$2:C3136)</f>
        <v>67</v>
      </c>
    </row>
    <row r="3137" spans="1:7" hidden="1" x14ac:dyDescent="0.15">
      <c r="A3137" s="2200" t="s">
        <v>4280</v>
      </c>
      <c r="B3137" s="2200" t="s">
        <v>10549</v>
      </c>
      <c r="C3137" s="2200" t="s">
        <v>10550</v>
      </c>
      <c r="D3137" s="2200" t="str">
        <f t="shared" si="144"/>
        <v>WY</v>
      </c>
      <c r="E3137" s="2200" t="str">
        <f t="shared" si="145"/>
        <v>56</v>
      </c>
      <c r="F3137" s="2200" t="str">
        <f t="shared" si="146"/>
        <v>029</v>
      </c>
      <c r="G3137" s="2200">
        <f>--SUBTOTAL(3,C$2:C3137)</f>
        <v>67</v>
      </c>
    </row>
    <row r="3138" spans="1:7" hidden="1" x14ac:dyDescent="0.15">
      <c r="A3138" s="2200" t="s">
        <v>4280</v>
      </c>
      <c r="B3138" s="2200" t="s">
        <v>10551</v>
      </c>
      <c r="C3138" s="2200" t="s">
        <v>10552</v>
      </c>
      <c r="D3138" s="2200" t="str">
        <f t="shared" si="144"/>
        <v>WY</v>
      </c>
      <c r="E3138" s="2200" t="str">
        <f t="shared" si="145"/>
        <v>56</v>
      </c>
      <c r="F3138" s="2200" t="str">
        <f t="shared" si="146"/>
        <v>031</v>
      </c>
      <c r="G3138" s="2200">
        <f>--SUBTOTAL(3,C$2:C3138)</f>
        <v>67</v>
      </c>
    </row>
    <row r="3139" spans="1:7" hidden="1" x14ac:dyDescent="0.15">
      <c r="A3139" s="2200" t="s">
        <v>4280</v>
      </c>
      <c r="B3139" s="2200" t="s">
        <v>10553</v>
      </c>
      <c r="C3139" s="2200" t="s">
        <v>10554</v>
      </c>
      <c r="D3139" s="2200" t="str">
        <f t="shared" ref="D3139:D3202" si="147">RIGHT(C3139,2)</f>
        <v>WY</v>
      </c>
      <c r="E3139" s="2200" t="str">
        <f t="shared" ref="E3139:E3202" si="148">MID(B3139,3,2)</f>
        <v>56</v>
      </c>
      <c r="F3139" s="2200" t="str">
        <f t="shared" ref="F3139:F3202" si="149">MID(B3139,5,3)</f>
        <v>033</v>
      </c>
      <c r="G3139" s="2200">
        <f>--SUBTOTAL(3,C$2:C3139)</f>
        <v>67</v>
      </c>
    </row>
    <row r="3140" spans="1:7" hidden="1" x14ac:dyDescent="0.15">
      <c r="A3140" s="2200" t="s">
        <v>4280</v>
      </c>
      <c r="B3140" s="2200" t="s">
        <v>10555</v>
      </c>
      <c r="C3140" s="2200" t="s">
        <v>10556</v>
      </c>
      <c r="D3140" s="2200" t="str">
        <f t="shared" si="147"/>
        <v>WY</v>
      </c>
      <c r="E3140" s="2200" t="str">
        <f t="shared" si="148"/>
        <v>56</v>
      </c>
      <c r="F3140" s="2200" t="str">
        <f t="shared" si="149"/>
        <v>035</v>
      </c>
      <c r="G3140" s="2200">
        <f>--SUBTOTAL(3,C$2:C3140)</f>
        <v>67</v>
      </c>
    </row>
    <row r="3141" spans="1:7" hidden="1" x14ac:dyDescent="0.15">
      <c r="A3141" s="2200" t="s">
        <v>4280</v>
      </c>
      <c r="B3141" s="2200" t="s">
        <v>10557</v>
      </c>
      <c r="C3141" s="2200" t="s">
        <v>10558</v>
      </c>
      <c r="D3141" s="2200" t="str">
        <f t="shared" si="147"/>
        <v>WY</v>
      </c>
      <c r="E3141" s="2200" t="str">
        <f t="shared" si="148"/>
        <v>56</v>
      </c>
      <c r="F3141" s="2200" t="str">
        <f t="shared" si="149"/>
        <v>037</v>
      </c>
      <c r="G3141" s="2200">
        <f>--SUBTOTAL(3,C$2:C3141)</f>
        <v>67</v>
      </c>
    </row>
    <row r="3142" spans="1:7" hidden="1" x14ac:dyDescent="0.15">
      <c r="A3142" s="2200" t="s">
        <v>4280</v>
      </c>
      <c r="B3142" s="2200" t="s">
        <v>10559</v>
      </c>
      <c r="C3142" s="2200" t="s">
        <v>10560</v>
      </c>
      <c r="D3142" s="2200" t="str">
        <f t="shared" si="147"/>
        <v>WY</v>
      </c>
      <c r="E3142" s="2200" t="str">
        <f t="shared" si="148"/>
        <v>56</v>
      </c>
      <c r="F3142" s="2200" t="str">
        <f t="shared" si="149"/>
        <v>039</v>
      </c>
      <c r="G3142" s="2200">
        <f>--SUBTOTAL(3,C$2:C3142)</f>
        <v>67</v>
      </c>
    </row>
    <row r="3143" spans="1:7" hidden="1" x14ac:dyDescent="0.15">
      <c r="A3143" s="2200" t="s">
        <v>4280</v>
      </c>
      <c r="B3143" s="2200" t="s">
        <v>10561</v>
      </c>
      <c r="C3143" s="2200" t="s">
        <v>10562</v>
      </c>
      <c r="D3143" s="2200" t="str">
        <f t="shared" si="147"/>
        <v>WY</v>
      </c>
      <c r="E3143" s="2200" t="str">
        <f t="shared" si="148"/>
        <v>56</v>
      </c>
      <c r="F3143" s="2200" t="str">
        <f t="shared" si="149"/>
        <v>041</v>
      </c>
      <c r="G3143" s="2200">
        <f>--SUBTOTAL(3,C$2:C3143)</f>
        <v>67</v>
      </c>
    </row>
    <row r="3144" spans="1:7" hidden="1" x14ac:dyDescent="0.15">
      <c r="A3144" s="2200" t="s">
        <v>4280</v>
      </c>
      <c r="B3144" s="2200" t="s">
        <v>10563</v>
      </c>
      <c r="C3144" s="2200" t="s">
        <v>10564</v>
      </c>
      <c r="D3144" s="2200" t="str">
        <f t="shared" si="147"/>
        <v>WY</v>
      </c>
      <c r="E3144" s="2200" t="str">
        <f t="shared" si="148"/>
        <v>56</v>
      </c>
      <c r="F3144" s="2200" t="str">
        <f t="shared" si="149"/>
        <v>043</v>
      </c>
      <c r="G3144" s="2200">
        <f>--SUBTOTAL(3,C$2:C3144)</f>
        <v>67</v>
      </c>
    </row>
    <row r="3145" spans="1:7" hidden="1" x14ac:dyDescent="0.15">
      <c r="A3145" s="2200" t="s">
        <v>4280</v>
      </c>
      <c r="B3145" s="2200" t="s">
        <v>10565</v>
      </c>
      <c r="C3145" s="2200" t="s">
        <v>10566</v>
      </c>
      <c r="D3145" s="2200" t="str">
        <f t="shared" si="147"/>
        <v>WY</v>
      </c>
      <c r="E3145" s="2200" t="str">
        <f t="shared" si="148"/>
        <v>56</v>
      </c>
      <c r="F3145" s="2200" t="str">
        <f t="shared" si="149"/>
        <v>045</v>
      </c>
      <c r="G3145" s="2200">
        <f>--SUBTOTAL(3,C$2:C3145)</f>
        <v>67</v>
      </c>
    </row>
    <row r="3146" spans="1:7" hidden="1" x14ac:dyDescent="0.15">
      <c r="A3146" s="2200" t="s">
        <v>4280</v>
      </c>
      <c r="B3146" s="2200" t="s">
        <v>10567</v>
      </c>
      <c r="C3146" s="2200" t="s">
        <v>10568</v>
      </c>
      <c r="D3146" s="2200" t="str">
        <f t="shared" si="147"/>
        <v>PR</v>
      </c>
      <c r="E3146" s="2200" t="str">
        <f t="shared" si="148"/>
        <v>72</v>
      </c>
      <c r="F3146" s="2200" t="str">
        <f t="shared" si="149"/>
        <v>001</v>
      </c>
      <c r="G3146" s="2200">
        <f>--SUBTOTAL(3,C$2:C3146)</f>
        <v>67</v>
      </c>
    </row>
    <row r="3147" spans="1:7" hidden="1" x14ac:dyDescent="0.15">
      <c r="A3147" s="2200" t="s">
        <v>4280</v>
      </c>
      <c r="B3147" s="2200" t="s">
        <v>10569</v>
      </c>
      <c r="C3147" s="2200" t="s">
        <v>10570</v>
      </c>
      <c r="D3147" s="2200" t="str">
        <f t="shared" si="147"/>
        <v>PR</v>
      </c>
      <c r="E3147" s="2200" t="str">
        <f t="shared" si="148"/>
        <v>72</v>
      </c>
      <c r="F3147" s="2200" t="str">
        <f t="shared" si="149"/>
        <v>003</v>
      </c>
      <c r="G3147" s="2200">
        <f>--SUBTOTAL(3,C$2:C3147)</f>
        <v>67</v>
      </c>
    </row>
    <row r="3148" spans="1:7" hidden="1" x14ac:dyDescent="0.15">
      <c r="A3148" s="2200" t="s">
        <v>4280</v>
      </c>
      <c r="B3148" s="2200" t="s">
        <v>10571</v>
      </c>
      <c r="C3148" s="2200" t="s">
        <v>10572</v>
      </c>
      <c r="D3148" s="2200" t="str">
        <f t="shared" si="147"/>
        <v>PR</v>
      </c>
      <c r="E3148" s="2200" t="str">
        <f t="shared" si="148"/>
        <v>72</v>
      </c>
      <c r="F3148" s="2200" t="str">
        <f t="shared" si="149"/>
        <v>005</v>
      </c>
      <c r="G3148" s="2200">
        <f>--SUBTOTAL(3,C$2:C3148)</f>
        <v>67</v>
      </c>
    </row>
    <row r="3149" spans="1:7" hidden="1" x14ac:dyDescent="0.15">
      <c r="A3149" s="2200" t="s">
        <v>4280</v>
      </c>
      <c r="B3149" s="2200" t="s">
        <v>10573</v>
      </c>
      <c r="C3149" s="2200" t="s">
        <v>10574</v>
      </c>
      <c r="D3149" s="2200" t="str">
        <f t="shared" si="147"/>
        <v>PR</v>
      </c>
      <c r="E3149" s="2200" t="str">
        <f t="shared" si="148"/>
        <v>72</v>
      </c>
      <c r="F3149" s="2200" t="str">
        <f t="shared" si="149"/>
        <v>007</v>
      </c>
      <c r="G3149" s="2200">
        <f>--SUBTOTAL(3,C$2:C3149)</f>
        <v>67</v>
      </c>
    </row>
    <row r="3150" spans="1:7" hidden="1" x14ac:dyDescent="0.15">
      <c r="A3150" s="2200" t="s">
        <v>4280</v>
      </c>
      <c r="B3150" s="2200" t="s">
        <v>10575</v>
      </c>
      <c r="C3150" s="2200" t="s">
        <v>10576</v>
      </c>
      <c r="D3150" s="2200" t="str">
        <f t="shared" si="147"/>
        <v>PR</v>
      </c>
      <c r="E3150" s="2200" t="str">
        <f t="shared" si="148"/>
        <v>72</v>
      </c>
      <c r="F3150" s="2200" t="str">
        <f t="shared" si="149"/>
        <v>009</v>
      </c>
      <c r="G3150" s="2200">
        <f>--SUBTOTAL(3,C$2:C3150)</f>
        <v>67</v>
      </c>
    </row>
    <row r="3151" spans="1:7" hidden="1" x14ac:dyDescent="0.15">
      <c r="A3151" s="2200" t="s">
        <v>4280</v>
      </c>
      <c r="B3151" s="2200" t="s">
        <v>10577</v>
      </c>
      <c r="C3151" s="2200" t="s">
        <v>10578</v>
      </c>
      <c r="D3151" s="2200" t="str">
        <f t="shared" si="147"/>
        <v>PR</v>
      </c>
      <c r="E3151" s="2200" t="str">
        <f t="shared" si="148"/>
        <v>72</v>
      </c>
      <c r="F3151" s="2200" t="str">
        <f t="shared" si="149"/>
        <v>011</v>
      </c>
      <c r="G3151" s="2200">
        <f>--SUBTOTAL(3,C$2:C3151)</f>
        <v>67</v>
      </c>
    </row>
    <row r="3152" spans="1:7" hidden="1" x14ac:dyDescent="0.15">
      <c r="A3152" s="2200" t="s">
        <v>4280</v>
      </c>
      <c r="B3152" s="2200" t="s">
        <v>10579</v>
      </c>
      <c r="C3152" s="2200" t="s">
        <v>10580</v>
      </c>
      <c r="D3152" s="2200" t="str">
        <f t="shared" si="147"/>
        <v>PR</v>
      </c>
      <c r="E3152" s="2200" t="str">
        <f t="shared" si="148"/>
        <v>72</v>
      </c>
      <c r="F3152" s="2200" t="str">
        <f t="shared" si="149"/>
        <v>013</v>
      </c>
      <c r="G3152" s="2200">
        <f>--SUBTOTAL(3,C$2:C3152)</f>
        <v>67</v>
      </c>
    </row>
    <row r="3153" spans="1:7" hidden="1" x14ac:dyDescent="0.15">
      <c r="A3153" s="2200" t="s">
        <v>4280</v>
      </c>
      <c r="B3153" s="2200" t="s">
        <v>10581</v>
      </c>
      <c r="C3153" s="2200" t="s">
        <v>10582</v>
      </c>
      <c r="D3153" s="2200" t="str">
        <f t="shared" si="147"/>
        <v>PR</v>
      </c>
      <c r="E3153" s="2200" t="str">
        <f t="shared" si="148"/>
        <v>72</v>
      </c>
      <c r="F3153" s="2200" t="str">
        <f t="shared" si="149"/>
        <v>015</v>
      </c>
      <c r="G3153" s="2200">
        <f>--SUBTOTAL(3,C$2:C3153)</f>
        <v>67</v>
      </c>
    </row>
    <row r="3154" spans="1:7" hidden="1" x14ac:dyDescent="0.15">
      <c r="A3154" s="2200" t="s">
        <v>4280</v>
      </c>
      <c r="B3154" s="2200" t="s">
        <v>10583</v>
      </c>
      <c r="C3154" s="2200" t="s">
        <v>10584</v>
      </c>
      <c r="D3154" s="2200" t="str">
        <f t="shared" si="147"/>
        <v>PR</v>
      </c>
      <c r="E3154" s="2200" t="str">
        <f t="shared" si="148"/>
        <v>72</v>
      </c>
      <c r="F3154" s="2200" t="str">
        <f t="shared" si="149"/>
        <v>017</v>
      </c>
      <c r="G3154" s="2200">
        <f>--SUBTOTAL(3,C$2:C3154)</f>
        <v>67</v>
      </c>
    </row>
    <row r="3155" spans="1:7" hidden="1" x14ac:dyDescent="0.15">
      <c r="A3155" s="2200" t="s">
        <v>4280</v>
      </c>
      <c r="B3155" s="2200" t="s">
        <v>10585</v>
      </c>
      <c r="C3155" s="2200" t="s">
        <v>10586</v>
      </c>
      <c r="D3155" s="2200" t="str">
        <f t="shared" si="147"/>
        <v>PR</v>
      </c>
      <c r="E3155" s="2200" t="str">
        <f t="shared" si="148"/>
        <v>72</v>
      </c>
      <c r="F3155" s="2200" t="str">
        <f t="shared" si="149"/>
        <v>019</v>
      </c>
      <c r="G3155" s="2200">
        <f>--SUBTOTAL(3,C$2:C3155)</f>
        <v>67</v>
      </c>
    </row>
    <row r="3156" spans="1:7" hidden="1" x14ac:dyDescent="0.15">
      <c r="A3156" s="2200" t="s">
        <v>4280</v>
      </c>
      <c r="B3156" s="2200" t="s">
        <v>10587</v>
      </c>
      <c r="C3156" s="2200" t="s">
        <v>10588</v>
      </c>
      <c r="D3156" s="2200" t="str">
        <f t="shared" si="147"/>
        <v>PR</v>
      </c>
      <c r="E3156" s="2200" t="str">
        <f t="shared" si="148"/>
        <v>72</v>
      </c>
      <c r="F3156" s="2200" t="str">
        <f t="shared" si="149"/>
        <v>021</v>
      </c>
      <c r="G3156" s="2200">
        <f>--SUBTOTAL(3,C$2:C3156)</f>
        <v>67</v>
      </c>
    </row>
    <row r="3157" spans="1:7" hidden="1" x14ac:dyDescent="0.15">
      <c r="A3157" s="2200" t="s">
        <v>4280</v>
      </c>
      <c r="B3157" s="2200" t="s">
        <v>10589</v>
      </c>
      <c r="C3157" s="2200" t="s">
        <v>10590</v>
      </c>
      <c r="D3157" s="2200" t="str">
        <f t="shared" si="147"/>
        <v>PR</v>
      </c>
      <c r="E3157" s="2200" t="str">
        <f t="shared" si="148"/>
        <v>72</v>
      </c>
      <c r="F3157" s="2200" t="str">
        <f t="shared" si="149"/>
        <v>023</v>
      </c>
      <c r="G3157" s="2200">
        <f>--SUBTOTAL(3,C$2:C3157)</f>
        <v>67</v>
      </c>
    </row>
    <row r="3158" spans="1:7" hidden="1" x14ac:dyDescent="0.15">
      <c r="A3158" s="2200" t="s">
        <v>4280</v>
      </c>
      <c r="B3158" s="2200" t="s">
        <v>10591</v>
      </c>
      <c r="C3158" s="2200" t="s">
        <v>10592</v>
      </c>
      <c r="D3158" s="2200" t="str">
        <f t="shared" si="147"/>
        <v>PR</v>
      </c>
      <c r="E3158" s="2200" t="str">
        <f t="shared" si="148"/>
        <v>72</v>
      </c>
      <c r="F3158" s="2200" t="str">
        <f t="shared" si="149"/>
        <v>025</v>
      </c>
      <c r="G3158" s="2200">
        <f>--SUBTOTAL(3,C$2:C3158)</f>
        <v>67</v>
      </c>
    </row>
    <row r="3159" spans="1:7" hidden="1" x14ac:dyDescent="0.15">
      <c r="A3159" s="2200" t="s">
        <v>4280</v>
      </c>
      <c r="B3159" s="2200" t="s">
        <v>10593</v>
      </c>
      <c r="C3159" s="2200" t="s">
        <v>10594</v>
      </c>
      <c r="D3159" s="2200" t="str">
        <f t="shared" si="147"/>
        <v>PR</v>
      </c>
      <c r="E3159" s="2200" t="str">
        <f t="shared" si="148"/>
        <v>72</v>
      </c>
      <c r="F3159" s="2200" t="str">
        <f t="shared" si="149"/>
        <v>027</v>
      </c>
      <c r="G3159" s="2200">
        <f>--SUBTOTAL(3,C$2:C3159)</f>
        <v>67</v>
      </c>
    </row>
    <row r="3160" spans="1:7" hidden="1" x14ac:dyDescent="0.15">
      <c r="A3160" s="2200" t="s">
        <v>4280</v>
      </c>
      <c r="B3160" s="2200" t="s">
        <v>10595</v>
      </c>
      <c r="C3160" s="2200" t="s">
        <v>10596</v>
      </c>
      <c r="D3160" s="2200" t="str">
        <f t="shared" si="147"/>
        <v>PR</v>
      </c>
      <c r="E3160" s="2200" t="str">
        <f t="shared" si="148"/>
        <v>72</v>
      </c>
      <c r="F3160" s="2200" t="str">
        <f t="shared" si="149"/>
        <v>029</v>
      </c>
      <c r="G3160" s="2200">
        <f>--SUBTOTAL(3,C$2:C3160)</f>
        <v>67</v>
      </c>
    </row>
    <row r="3161" spans="1:7" hidden="1" x14ac:dyDescent="0.15">
      <c r="A3161" s="2200" t="s">
        <v>4280</v>
      </c>
      <c r="B3161" s="2200" t="s">
        <v>10597</v>
      </c>
      <c r="C3161" s="2200" t="s">
        <v>10598</v>
      </c>
      <c r="D3161" s="2200" t="str">
        <f t="shared" si="147"/>
        <v>PR</v>
      </c>
      <c r="E3161" s="2200" t="str">
        <f t="shared" si="148"/>
        <v>72</v>
      </c>
      <c r="F3161" s="2200" t="str">
        <f t="shared" si="149"/>
        <v>031</v>
      </c>
      <c r="G3161" s="2200">
        <f>--SUBTOTAL(3,C$2:C3161)</f>
        <v>67</v>
      </c>
    </row>
    <row r="3162" spans="1:7" hidden="1" x14ac:dyDescent="0.15">
      <c r="A3162" s="2200" t="s">
        <v>4280</v>
      </c>
      <c r="B3162" s="2200" t="s">
        <v>10599</v>
      </c>
      <c r="C3162" s="2200" t="s">
        <v>10600</v>
      </c>
      <c r="D3162" s="2200" t="str">
        <f t="shared" si="147"/>
        <v>PR</v>
      </c>
      <c r="E3162" s="2200" t="str">
        <f t="shared" si="148"/>
        <v>72</v>
      </c>
      <c r="F3162" s="2200" t="str">
        <f t="shared" si="149"/>
        <v>033</v>
      </c>
      <c r="G3162" s="2200">
        <f>--SUBTOTAL(3,C$2:C3162)</f>
        <v>67</v>
      </c>
    </row>
    <row r="3163" spans="1:7" hidden="1" x14ac:dyDescent="0.15">
      <c r="A3163" s="2200" t="s">
        <v>4280</v>
      </c>
      <c r="B3163" s="2200" t="s">
        <v>10601</v>
      </c>
      <c r="C3163" s="2200" t="s">
        <v>10602</v>
      </c>
      <c r="D3163" s="2200" t="str">
        <f t="shared" si="147"/>
        <v>PR</v>
      </c>
      <c r="E3163" s="2200" t="str">
        <f t="shared" si="148"/>
        <v>72</v>
      </c>
      <c r="F3163" s="2200" t="str">
        <f t="shared" si="149"/>
        <v>035</v>
      </c>
      <c r="G3163" s="2200">
        <f>--SUBTOTAL(3,C$2:C3163)</f>
        <v>67</v>
      </c>
    </row>
    <row r="3164" spans="1:7" hidden="1" x14ac:dyDescent="0.15">
      <c r="A3164" s="2200" t="s">
        <v>4280</v>
      </c>
      <c r="B3164" s="2200" t="s">
        <v>10603</v>
      </c>
      <c r="C3164" s="2200" t="s">
        <v>10604</v>
      </c>
      <c r="D3164" s="2200" t="str">
        <f t="shared" si="147"/>
        <v>PR</v>
      </c>
      <c r="E3164" s="2200" t="str">
        <f t="shared" si="148"/>
        <v>72</v>
      </c>
      <c r="F3164" s="2200" t="str">
        <f t="shared" si="149"/>
        <v>037</v>
      </c>
      <c r="G3164" s="2200">
        <f>--SUBTOTAL(3,C$2:C3164)</f>
        <v>67</v>
      </c>
    </row>
    <row r="3165" spans="1:7" hidden="1" x14ac:dyDescent="0.15">
      <c r="A3165" s="2200" t="s">
        <v>4280</v>
      </c>
      <c r="B3165" s="2200" t="s">
        <v>10605</v>
      </c>
      <c r="C3165" s="2200" t="s">
        <v>10606</v>
      </c>
      <c r="D3165" s="2200" t="str">
        <f t="shared" si="147"/>
        <v>PR</v>
      </c>
      <c r="E3165" s="2200" t="str">
        <f t="shared" si="148"/>
        <v>72</v>
      </c>
      <c r="F3165" s="2200" t="str">
        <f t="shared" si="149"/>
        <v>039</v>
      </c>
      <c r="G3165" s="2200">
        <f>--SUBTOTAL(3,C$2:C3165)</f>
        <v>67</v>
      </c>
    </row>
    <row r="3166" spans="1:7" hidden="1" x14ac:dyDescent="0.15">
      <c r="A3166" s="2200" t="s">
        <v>4280</v>
      </c>
      <c r="B3166" s="2200" t="s">
        <v>10607</v>
      </c>
      <c r="C3166" s="2200" t="s">
        <v>10608</v>
      </c>
      <c r="D3166" s="2200" t="str">
        <f t="shared" si="147"/>
        <v>PR</v>
      </c>
      <c r="E3166" s="2200" t="str">
        <f t="shared" si="148"/>
        <v>72</v>
      </c>
      <c r="F3166" s="2200" t="str">
        <f t="shared" si="149"/>
        <v>041</v>
      </c>
      <c r="G3166" s="2200">
        <f>--SUBTOTAL(3,C$2:C3166)</f>
        <v>67</v>
      </c>
    </row>
    <row r="3167" spans="1:7" hidden="1" x14ac:dyDescent="0.15">
      <c r="A3167" s="2200" t="s">
        <v>4280</v>
      </c>
      <c r="B3167" s="2200" t="s">
        <v>10609</v>
      </c>
      <c r="C3167" s="2200" t="s">
        <v>10610</v>
      </c>
      <c r="D3167" s="2200" t="str">
        <f t="shared" si="147"/>
        <v>PR</v>
      </c>
      <c r="E3167" s="2200" t="str">
        <f t="shared" si="148"/>
        <v>72</v>
      </c>
      <c r="F3167" s="2200" t="str">
        <f t="shared" si="149"/>
        <v>043</v>
      </c>
      <c r="G3167" s="2200">
        <f>--SUBTOTAL(3,C$2:C3167)</f>
        <v>67</v>
      </c>
    </row>
    <row r="3168" spans="1:7" hidden="1" x14ac:dyDescent="0.15">
      <c r="A3168" s="2200" t="s">
        <v>4280</v>
      </c>
      <c r="B3168" s="2200" t="s">
        <v>10611</v>
      </c>
      <c r="C3168" s="2200" t="s">
        <v>10612</v>
      </c>
      <c r="D3168" s="2200" t="str">
        <f t="shared" si="147"/>
        <v>PR</v>
      </c>
      <c r="E3168" s="2200" t="str">
        <f t="shared" si="148"/>
        <v>72</v>
      </c>
      <c r="F3168" s="2200" t="str">
        <f t="shared" si="149"/>
        <v>045</v>
      </c>
      <c r="G3168" s="2200">
        <f>--SUBTOTAL(3,C$2:C3168)</f>
        <v>67</v>
      </c>
    </row>
    <row r="3169" spans="1:7" hidden="1" x14ac:dyDescent="0.15">
      <c r="A3169" s="2200" t="s">
        <v>4280</v>
      </c>
      <c r="B3169" s="2200" t="s">
        <v>10613</v>
      </c>
      <c r="C3169" s="2200" t="s">
        <v>10614</v>
      </c>
      <c r="D3169" s="2200" t="str">
        <f t="shared" si="147"/>
        <v>PR</v>
      </c>
      <c r="E3169" s="2200" t="str">
        <f t="shared" si="148"/>
        <v>72</v>
      </c>
      <c r="F3169" s="2200" t="str">
        <f t="shared" si="149"/>
        <v>047</v>
      </c>
      <c r="G3169" s="2200">
        <f>--SUBTOTAL(3,C$2:C3169)</f>
        <v>67</v>
      </c>
    </row>
    <row r="3170" spans="1:7" hidden="1" x14ac:dyDescent="0.15">
      <c r="A3170" s="2200" t="s">
        <v>4280</v>
      </c>
      <c r="B3170" s="2200" t="s">
        <v>10615</v>
      </c>
      <c r="C3170" s="2200" t="s">
        <v>10616</v>
      </c>
      <c r="D3170" s="2200" t="str">
        <f t="shared" si="147"/>
        <v>PR</v>
      </c>
      <c r="E3170" s="2200" t="str">
        <f t="shared" si="148"/>
        <v>72</v>
      </c>
      <c r="F3170" s="2200" t="str">
        <f t="shared" si="149"/>
        <v>049</v>
      </c>
      <c r="G3170" s="2200">
        <f>--SUBTOTAL(3,C$2:C3170)</f>
        <v>67</v>
      </c>
    </row>
    <row r="3171" spans="1:7" hidden="1" x14ac:dyDescent="0.15">
      <c r="A3171" s="2200" t="s">
        <v>4280</v>
      </c>
      <c r="B3171" s="2200" t="s">
        <v>10617</v>
      </c>
      <c r="C3171" s="2200" t="s">
        <v>10618</v>
      </c>
      <c r="D3171" s="2200" t="str">
        <f t="shared" si="147"/>
        <v>PR</v>
      </c>
      <c r="E3171" s="2200" t="str">
        <f t="shared" si="148"/>
        <v>72</v>
      </c>
      <c r="F3171" s="2200" t="str">
        <f t="shared" si="149"/>
        <v>051</v>
      </c>
      <c r="G3171" s="2200">
        <f>--SUBTOTAL(3,C$2:C3171)</f>
        <v>67</v>
      </c>
    </row>
    <row r="3172" spans="1:7" hidden="1" x14ac:dyDescent="0.15">
      <c r="A3172" s="2200" t="s">
        <v>4280</v>
      </c>
      <c r="B3172" s="2200" t="s">
        <v>10619</v>
      </c>
      <c r="C3172" s="2200" t="s">
        <v>10620</v>
      </c>
      <c r="D3172" s="2200" t="str">
        <f t="shared" si="147"/>
        <v>PR</v>
      </c>
      <c r="E3172" s="2200" t="str">
        <f t="shared" si="148"/>
        <v>72</v>
      </c>
      <c r="F3172" s="2200" t="str">
        <f t="shared" si="149"/>
        <v>053</v>
      </c>
      <c r="G3172" s="2200">
        <f>--SUBTOTAL(3,C$2:C3172)</f>
        <v>67</v>
      </c>
    </row>
    <row r="3173" spans="1:7" hidden="1" x14ac:dyDescent="0.15">
      <c r="A3173" s="2200" t="s">
        <v>4280</v>
      </c>
      <c r="B3173" s="2200" t="s">
        <v>10621</v>
      </c>
      <c r="C3173" s="2200" t="s">
        <v>10622</v>
      </c>
      <c r="D3173" s="2200" t="str">
        <f t="shared" si="147"/>
        <v>PR</v>
      </c>
      <c r="E3173" s="2200" t="str">
        <f t="shared" si="148"/>
        <v>72</v>
      </c>
      <c r="F3173" s="2200" t="str">
        <f t="shared" si="149"/>
        <v>054</v>
      </c>
      <c r="G3173" s="2200">
        <f>--SUBTOTAL(3,C$2:C3173)</f>
        <v>67</v>
      </c>
    </row>
    <row r="3174" spans="1:7" hidden="1" x14ac:dyDescent="0.15">
      <c r="A3174" s="2200" t="s">
        <v>4280</v>
      </c>
      <c r="B3174" s="2200" t="s">
        <v>10623</v>
      </c>
      <c r="C3174" s="2200" t="s">
        <v>10624</v>
      </c>
      <c r="D3174" s="2200" t="str">
        <f t="shared" si="147"/>
        <v>PR</v>
      </c>
      <c r="E3174" s="2200" t="str">
        <f t="shared" si="148"/>
        <v>72</v>
      </c>
      <c r="F3174" s="2200" t="str">
        <f t="shared" si="149"/>
        <v>055</v>
      </c>
      <c r="G3174" s="2200">
        <f>--SUBTOTAL(3,C$2:C3174)</f>
        <v>67</v>
      </c>
    </row>
    <row r="3175" spans="1:7" hidden="1" x14ac:dyDescent="0.15">
      <c r="A3175" s="2200" t="s">
        <v>4280</v>
      </c>
      <c r="B3175" s="2200" t="s">
        <v>10625</v>
      </c>
      <c r="C3175" s="2200" t="s">
        <v>10626</v>
      </c>
      <c r="D3175" s="2200" t="str">
        <f t="shared" si="147"/>
        <v>PR</v>
      </c>
      <c r="E3175" s="2200" t="str">
        <f t="shared" si="148"/>
        <v>72</v>
      </c>
      <c r="F3175" s="2200" t="str">
        <f t="shared" si="149"/>
        <v>057</v>
      </c>
      <c r="G3175" s="2200">
        <f>--SUBTOTAL(3,C$2:C3175)</f>
        <v>67</v>
      </c>
    </row>
    <row r="3176" spans="1:7" hidden="1" x14ac:dyDescent="0.15">
      <c r="A3176" s="2200" t="s">
        <v>4280</v>
      </c>
      <c r="B3176" s="2200" t="s">
        <v>10627</v>
      </c>
      <c r="C3176" s="2200" t="s">
        <v>10628</v>
      </c>
      <c r="D3176" s="2200" t="str">
        <f t="shared" si="147"/>
        <v>PR</v>
      </c>
      <c r="E3176" s="2200" t="str">
        <f t="shared" si="148"/>
        <v>72</v>
      </c>
      <c r="F3176" s="2200" t="str">
        <f t="shared" si="149"/>
        <v>059</v>
      </c>
      <c r="G3176" s="2200">
        <f>--SUBTOTAL(3,C$2:C3176)</f>
        <v>67</v>
      </c>
    </row>
    <row r="3177" spans="1:7" hidden="1" x14ac:dyDescent="0.15">
      <c r="A3177" s="2200" t="s">
        <v>4280</v>
      </c>
      <c r="B3177" s="2200" t="s">
        <v>10629</v>
      </c>
      <c r="C3177" s="2200" t="s">
        <v>10630</v>
      </c>
      <c r="D3177" s="2200" t="str">
        <f t="shared" si="147"/>
        <v>PR</v>
      </c>
      <c r="E3177" s="2200" t="str">
        <f t="shared" si="148"/>
        <v>72</v>
      </c>
      <c r="F3177" s="2200" t="str">
        <f t="shared" si="149"/>
        <v>061</v>
      </c>
      <c r="G3177" s="2200">
        <f>--SUBTOTAL(3,C$2:C3177)</f>
        <v>67</v>
      </c>
    </row>
    <row r="3178" spans="1:7" hidden="1" x14ac:dyDescent="0.15">
      <c r="A3178" s="2200" t="s">
        <v>4280</v>
      </c>
      <c r="B3178" s="2200" t="s">
        <v>10631</v>
      </c>
      <c r="C3178" s="2200" t="s">
        <v>10632</v>
      </c>
      <c r="D3178" s="2200" t="str">
        <f t="shared" si="147"/>
        <v>PR</v>
      </c>
      <c r="E3178" s="2200" t="str">
        <f t="shared" si="148"/>
        <v>72</v>
      </c>
      <c r="F3178" s="2200" t="str">
        <f t="shared" si="149"/>
        <v>063</v>
      </c>
      <c r="G3178" s="2200">
        <f>--SUBTOTAL(3,C$2:C3178)</f>
        <v>67</v>
      </c>
    </row>
    <row r="3179" spans="1:7" hidden="1" x14ac:dyDescent="0.15">
      <c r="A3179" s="2200" t="s">
        <v>4280</v>
      </c>
      <c r="B3179" s="2200" t="s">
        <v>10633</v>
      </c>
      <c r="C3179" s="2200" t="s">
        <v>10634</v>
      </c>
      <c r="D3179" s="2200" t="str">
        <f t="shared" si="147"/>
        <v>PR</v>
      </c>
      <c r="E3179" s="2200" t="str">
        <f t="shared" si="148"/>
        <v>72</v>
      </c>
      <c r="F3179" s="2200" t="str">
        <f t="shared" si="149"/>
        <v>065</v>
      </c>
      <c r="G3179" s="2200">
        <f>--SUBTOTAL(3,C$2:C3179)</f>
        <v>67</v>
      </c>
    </row>
    <row r="3180" spans="1:7" hidden="1" x14ac:dyDescent="0.15">
      <c r="A3180" s="2200" t="s">
        <v>4280</v>
      </c>
      <c r="B3180" s="2200" t="s">
        <v>10635</v>
      </c>
      <c r="C3180" s="2200" t="s">
        <v>10636</v>
      </c>
      <c r="D3180" s="2200" t="str">
        <f t="shared" si="147"/>
        <v>PR</v>
      </c>
      <c r="E3180" s="2200" t="str">
        <f t="shared" si="148"/>
        <v>72</v>
      </c>
      <c r="F3180" s="2200" t="str">
        <f t="shared" si="149"/>
        <v>067</v>
      </c>
      <c r="G3180" s="2200">
        <f>--SUBTOTAL(3,C$2:C3180)</f>
        <v>67</v>
      </c>
    </row>
    <row r="3181" spans="1:7" hidden="1" x14ac:dyDescent="0.15">
      <c r="A3181" s="2200" t="s">
        <v>4280</v>
      </c>
      <c r="B3181" s="2200" t="s">
        <v>10637</v>
      </c>
      <c r="C3181" s="2200" t="s">
        <v>10638</v>
      </c>
      <c r="D3181" s="2200" t="str">
        <f t="shared" si="147"/>
        <v>PR</v>
      </c>
      <c r="E3181" s="2200" t="str">
        <f t="shared" si="148"/>
        <v>72</v>
      </c>
      <c r="F3181" s="2200" t="str">
        <f t="shared" si="149"/>
        <v>069</v>
      </c>
      <c r="G3181" s="2200">
        <f>--SUBTOTAL(3,C$2:C3181)</f>
        <v>67</v>
      </c>
    </row>
    <row r="3182" spans="1:7" hidden="1" x14ac:dyDescent="0.15">
      <c r="A3182" s="2200" t="s">
        <v>4280</v>
      </c>
      <c r="B3182" s="2200" t="s">
        <v>10639</v>
      </c>
      <c r="C3182" s="2200" t="s">
        <v>10640</v>
      </c>
      <c r="D3182" s="2200" t="str">
        <f t="shared" si="147"/>
        <v>PR</v>
      </c>
      <c r="E3182" s="2200" t="str">
        <f t="shared" si="148"/>
        <v>72</v>
      </c>
      <c r="F3182" s="2200" t="str">
        <f t="shared" si="149"/>
        <v>071</v>
      </c>
      <c r="G3182" s="2200">
        <f>--SUBTOTAL(3,C$2:C3182)</f>
        <v>67</v>
      </c>
    </row>
    <row r="3183" spans="1:7" hidden="1" x14ac:dyDescent="0.15">
      <c r="A3183" s="2200" t="s">
        <v>4280</v>
      </c>
      <c r="B3183" s="2200" t="s">
        <v>10641</v>
      </c>
      <c r="C3183" s="2200" t="s">
        <v>10642</v>
      </c>
      <c r="D3183" s="2200" t="str">
        <f t="shared" si="147"/>
        <v>PR</v>
      </c>
      <c r="E3183" s="2200" t="str">
        <f t="shared" si="148"/>
        <v>72</v>
      </c>
      <c r="F3183" s="2200" t="str">
        <f t="shared" si="149"/>
        <v>073</v>
      </c>
      <c r="G3183" s="2200">
        <f>--SUBTOTAL(3,C$2:C3183)</f>
        <v>67</v>
      </c>
    </row>
    <row r="3184" spans="1:7" hidden="1" x14ac:dyDescent="0.15">
      <c r="A3184" s="2200" t="s">
        <v>4280</v>
      </c>
      <c r="B3184" s="2200" t="s">
        <v>10643</v>
      </c>
      <c r="C3184" s="2200" t="s">
        <v>10644</v>
      </c>
      <c r="D3184" s="2200" t="str">
        <f t="shared" si="147"/>
        <v>PR</v>
      </c>
      <c r="E3184" s="2200" t="str">
        <f t="shared" si="148"/>
        <v>72</v>
      </c>
      <c r="F3184" s="2200" t="str">
        <f t="shared" si="149"/>
        <v>075</v>
      </c>
      <c r="G3184" s="2200">
        <f>--SUBTOTAL(3,C$2:C3184)</f>
        <v>67</v>
      </c>
    </row>
    <row r="3185" spans="1:7" hidden="1" x14ac:dyDescent="0.15">
      <c r="A3185" s="2200" t="s">
        <v>4280</v>
      </c>
      <c r="B3185" s="2200" t="s">
        <v>10645</v>
      </c>
      <c r="C3185" s="2200" t="s">
        <v>10646</v>
      </c>
      <c r="D3185" s="2200" t="str">
        <f t="shared" si="147"/>
        <v>PR</v>
      </c>
      <c r="E3185" s="2200" t="str">
        <f t="shared" si="148"/>
        <v>72</v>
      </c>
      <c r="F3185" s="2200" t="str">
        <f t="shared" si="149"/>
        <v>077</v>
      </c>
      <c r="G3185" s="2200">
        <f>--SUBTOTAL(3,C$2:C3185)</f>
        <v>67</v>
      </c>
    </row>
    <row r="3186" spans="1:7" hidden="1" x14ac:dyDescent="0.15">
      <c r="A3186" s="2200" t="s">
        <v>4280</v>
      </c>
      <c r="B3186" s="2200" t="s">
        <v>10647</v>
      </c>
      <c r="C3186" s="2200" t="s">
        <v>10648</v>
      </c>
      <c r="D3186" s="2200" t="str">
        <f t="shared" si="147"/>
        <v>PR</v>
      </c>
      <c r="E3186" s="2200" t="str">
        <f t="shared" si="148"/>
        <v>72</v>
      </c>
      <c r="F3186" s="2200" t="str">
        <f t="shared" si="149"/>
        <v>079</v>
      </c>
      <c r="G3186" s="2200">
        <f>--SUBTOTAL(3,C$2:C3186)</f>
        <v>67</v>
      </c>
    </row>
    <row r="3187" spans="1:7" hidden="1" x14ac:dyDescent="0.15">
      <c r="A3187" s="2200" t="s">
        <v>4280</v>
      </c>
      <c r="B3187" s="2200" t="s">
        <v>10649</v>
      </c>
      <c r="C3187" s="2200" t="s">
        <v>10650</v>
      </c>
      <c r="D3187" s="2200" t="str">
        <f t="shared" si="147"/>
        <v>PR</v>
      </c>
      <c r="E3187" s="2200" t="str">
        <f t="shared" si="148"/>
        <v>72</v>
      </c>
      <c r="F3187" s="2200" t="str">
        <f t="shared" si="149"/>
        <v>081</v>
      </c>
      <c r="G3187" s="2200">
        <f>--SUBTOTAL(3,C$2:C3187)</f>
        <v>67</v>
      </c>
    </row>
    <row r="3188" spans="1:7" hidden="1" x14ac:dyDescent="0.15">
      <c r="A3188" s="2200" t="s">
        <v>4280</v>
      </c>
      <c r="B3188" s="2200" t="s">
        <v>10651</v>
      </c>
      <c r="C3188" s="2200" t="s">
        <v>10652</v>
      </c>
      <c r="D3188" s="2200" t="str">
        <f t="shared" si="147"/>
        <v>PR</v>
      </c>
      <c r="E3188" s="2200" t="str">
        <f t="shared" si="148"/>
        <v>72</v>
      </c>
      <c r="F3188" s="2200" t="str">
        <f t="shared" si="149"/>
        <v>083</v>
      </c>
      <c r="G3188" s="2200">
        <f>--SUBTOTAL(3,C$2:C3188)</f>
        <v>67</v>
      </c>
    </row>
    <row r="3189" spans="1:7" hidden="1" x14ac:dyDescent="0.15">
      <c r="A3189" s="2200" t="s">
        <v>4280</v>
      </c>
      <c r="B3189" s="2200" t="s">
        <v>10653</v>
      </c>
      <c r="C3189" s="2200" t="s">
        <v>10654</v>
      </c>
      <c r="D3189" s="2200" t="str">
        <f t="shared" si="147"/>
        <v>PR</v>
      </c>
      <c r="E3189" s="2200" t="str">
        <f t="shared" si="148"/>
        <v>72</v>
      </c>
      <c r="F3189" s="2200" t="str">
        <f t="shared" si="149"/>
        <v>085</v>
      </c>
      <c r="G3189" s="2200">
        <f>--SUBTOTAL(3,C$2:C3189)</f>
        <v>67</v>
      </c>
    </row>
    <row r="3190" spans="1:7" hidden="1" x14ac:dyDescent="0.15">
      <c r="A3190" s="2200" t="s">
        <v>4280</v>
      </c>
      <c r="B3190" s="2200" t="s">
        <v>10655</v>
      </c>
      <c r="C3190" s="2200" t="s">
        <v>10656</v>
      </c>
      <c r="D3190" s="2200" t="str">
        <f t="shared" si="147"/>
        <v>PR</v>
      </c>
      <c r="E3190" s="2200" t="str">
        <f t="shared" si="148"/>
        <v>72</v>
      </c>
      <c r="F3190" s="2200" t="str">
        <f t="shared" si="149"/>
        <v>087</v>
      </c>
      <c r="G3190" s="2200">
        <f>--SUBTOTAL(3,C$2:C3190)</f>
        <v>67</v>
      </c>
    </row>
    <row r="3191" spans="1:7" hidden="1" x14ac:dyDescent="0.15">
      <c r="A3191" s="2200" t="s">
        <v>4280</v>
      </c>
      <c r="B3191" s="2200" t="s">
        <v>10657</v>
      </c>
      <c r="C3191" s="2200" t="s">
        <v>10658</v>
      </c>
      <c r="D3191" s="2200" t="str">
        <f t="shared" si="147"/>
        <v>PR</v>
      </c>
      <c r="E3191" s="2200" t="str">
        <f t="shared" si="148"/>
        <v>72</v>
      </c>
      <c r="F3191" s="2200" t="str">
        <f t="shared" si="149"/>
        <v>089</v>
      </c>
      <c r="G3191" s="2200">
        <f>--SUBTOTAL(3,C$2:C3191)</f>
        <v>67</v>
      </c>
    </row>
    <row r="3192" spans="1:7" hidden="1" x14ac:dyDescent="0.15">
      <c r="A3192" s="2200" t="s">
        <v>4280</v>
      </c>
      <c r="B3192" s="2200" t="s">
        <v>10659</v>
      </c>
      <c r="C3192" s="2200" t="s">
        <v>10660</v>
      </c>
      <c r="D3192" s="2200" t="str">
        <f t="shared" si="147"/>
        <v>PR</v>
      </c>
      <c r="E3192" s="2200" t="str">
        <f t="shared" si="148"/>
        <v>72</v>
      </c>
      <c r="F3192" s="2200" t="str">
        <f t="shared" si="149"/>
        <v>091</v>
      </c>
      <c r="G3192" s="2200">
        <f>--SUBTOTAL(3,C$2:C3192)</f>
        <v>67</v>
      </c>
    </row>
    <row r="3193" spans="1:7" hidden="1" x14ac:dyDescent="0.15">
      <c r="A3193" s="2200" t="s">
        <v>4280</v>
      </c>
      <c r="B3193" s="2200" t="s">
        <v>10661</v>
      </c>
      <c r="C3193" s="2200" t="s">
        <v>10662</v>
      </c>
      <c r="D3193" s="2200" t="str">
        <f t="shared" si="147"/>
        <v>PR</v>
      </c>
      <c r="E3193" s="2200" t="str">
        <f t="shared" si="148"/>
        <v>72</v>
      </c>
      <c r="F3193" s="2200" t="str">
        <f t="shared" si="149"/>
        <v>093</v>
      </c>
      <c r="G3193" s="2200">
        <f>--SUBTOTAL(3,C$2:C3193)</f>
        <v>67</v>
      </c>
    </row>
    <row r="3194" spans="1:7" hidden="1" x14ac:dyDescent="0.15">
      <c r="A3194" s="2200" t="s">
        <v>4280</v>
      </c>
      <c r="B3194" s="2200" t="s">
        <v>10663</v>
      </c>
      <c r="C3194" s="2200" t="s">
        <v>10664</v>
      </c>
      <c r="D3194" s="2200" t="str">
        <f t="shared" si="147"/>
        <v>PR</v>
      </c>
      <c r="E3194" s="2200" t="str">
        <f t="shared" si="148"/>
        <v>72</v>
      </c>
      <c r="F3194" s="2200" t="str">
        <f t="shared" si="149"/>
        <v>095</v>
      </c>
      <c r="G3194" s="2200">
        <f>--SUBTOTAL(3,C$2:C3194)</f>
        <v>67</v>
      </c>
    </row>
    <row r="3195" spans="1:7" hidden="1" x14ac:dyDescent="0.15">
      <c r="A3195" s="2200" t="s">
        <v>4280</v>
      </c>
      <c r="B3195" s="2200" t="s">
        <v>10665</v>
      </c>
      <c r="C3195" s="2200" t="s">
        <v>10666</v>
      </c>
      <c r="D3195" s="2200" t="str">
        <f t="shared" si="147"/>
        <v>PR</v>
      </c>
      <c r="E3195" s="2200" t="str">
        <f t="shared" si="148"/>
        <v>72</v>
      </c>
      <c r="F3195" s="2200" t="str">
        <f t="shared" si="149"/>
        <v>097</v>
      </c>
      <c r="G3195" s="2200">
        <f>--SUBTOTAL(3,C$2:C3195)</f>
        <v>67</v>
      </c>
    </row>
    <row r="3196" spans="1:7" hidden="1" x14ac:dyDescent="0.15">
      <c r="A3196" s="2200" t="s">
        <v>4280</v>
      </c>
      <c r="B3196" s="2200" t="s">
        <v>10667</v>
      </c>
      <c r="C3196" s="2200" t="s">
        <v>10668</v>
      </c>
      <c r="D3196" s="2200" t="str">
        <f t="shared" si="147"/>
        <v>PR</v>
      </c>
      <c r="E3196" s="2200" t="str">
        <f t="shared" si="148"/>
        <v>72</v>
      </c>
      <c r="F3196" s="2200" t="str">
        <f t="shared" si="149"/>
        <v>099</v>
      </c>
      <c r="G3196" s="2200">
        <f>--SUBTOTAL(3,C$2:C3196)</f>
        <v>67</v>
      </c>
    </row>
    <row r="3197" spans="1:7" hidden="1" x14ac:dyDescent="0.15">
      <c r="A3197" s="2200" t="s">
        <v>4280</v>
      </c>
      <c r="B3197" s="2200" t="s">
        <v>10669</v>
      </c>
      <c r="C3197" s="2200" t="s">
        <v>10670</v>
      </c>
      <c r="D3197" s="2200" t="str">
        <f t="shared" si="147"/>
        <v>PR</v>
      </c>
      <c r="E3197" s="2200" t="str">
        <f t="shared" si="148"/>
        <v>72</v>
      </c>
      <c r="F3197" s="2200" t="str">
        <f t="shared" si="149"/>
        <v>101</v>
      </c>
      <c r="G3197" s="2200">
        <f>--SUBTOTAL(3,C$2:C3197)</f>
        <v>67</v>
      </c>
    </row>
    <row r="3198" spans="1:7" hidden="1" x14ac:dyDescent="0.15">
      <c r="A3198" s="2200" t="s">
        <v>4280</v>
      </c>
      <c r="B3198" s="2200" t="s">
        <v>10671</v>
      </c>
      <c r="C3198" s="2200" t="s">
        <v>10672</v>
      </c>
      <c r="D3198" s="2200" t="str">
        <f t="shared" si="147"/>
        <v>PR</v>
      </c>
      <c r="E3198" s="2200" t="str">
        <f t="shared" si="148"/>
        <v>72</v>
      </c>
      <c r="F3198" s="2200" t="str">
        <f t="shared" si="149"/>
        <v>103</v>
      </c>
      <c r="G3198" s="2200">
        <f>--SUBTOTAL(3,C$2:C3198)</f>
        <v>67</v>
      </c>
    </row>
    <row r="3199" spans="1:7" hidden="1" x14ac:dyDescent="0.15">
      <c r="A3199" s="2200" t="s">
        <v>4280</v>
      </c>
      <c r="B3199" s="2200" t="s">
        <v>10673</v>
      </c>
      <c r="C3199" s="2200" t="s">
        <v>10674</v>
      </c>
      <c r="D3199" s="2200" t="str">
        <f t="shared" si="147"/>
        <v>PR</v>
      </c>
      <c r="E3199" s="2200" t="str">
        <f t="shared" si="148"/>
        <v>72</v>
      </c>
      <c r="F3199" s="2200" t="str">
        <f t="shared" si="149"/>
        <v>105</v>
      </c>
      <c r="G3199" s="2200">
        <f>--SUBTOTAL(3,C$2:C3199)</f>
        <v>67</v>
      </c>
    </row>
    <row r="3200" spans="1:7" hidden="1" x14ac:dyDescent="0.15">
      <c r="A3200" s="2200" t="s">
        <v>4280</v>
      </c>
      <c r="B3200" s="2200" t="s">
        <v>10675</v>
      </c>
      <c r="C3200" s="2200" t="s">
        <v>10676</v>
      </c>
      <c r="D3200" s="2200" t="str">
        <f t="shared" si="147"/>
        <v>PR</v>
      </c>
      <c r="E3200" s="2200" t="str">
        <f t="shared" si="148"/>
        <v>72</v>
      </c>
      <c r="F3200" s="2200" t="str">
        <f t="shared" si="149"/>
        <v>107</v>
      </c>
      <c r="G3200" s="2200">
        <f>--SUBTOTAL(3,C$2:C3200)</f>
        <v>67</v>
      </c>
    </row>
    <row r="3201" spans="1:7" hidden="1" x14ac:dyDescent="0.15">
      <c r="A3201" s="2200" t="s">
        <v>4280</v>
      </c>
      <c r="B3201" s="2200" t="s">
        <v>10677</v>
      </c>
      <c r="C3201" s="2200" t="s">
        <v>10678</v>
      </c>
      <c r="D3201" s="2200" t="str">
        <f t="shared" si="147"/>
        <v>PR</v>
      </c>
      <c r="E3201" s="2200" t="str">
        <f t="shared" si="148"/>
        <v>72</v>
      </c>
      <c r="F3201" s="2200" t="str">
        <f t="shared" si="149"/>
        <v>109</v>
      </c>
      <c r="G3201" s="2200">
        <f>--SUBTOTAL(3,C$2:C3201)</f>
        <v>67</v>
      </c>
    </row>
    <row r="3202" spans="1:7" hidden="1" x14ac:dyDescent="0.15">
      <c r="A3202" s="2200" t="s">
        <v>4280</v>
      </c>
      <c r="B3202" s="2200" t="s">
        <v>10679</v>
      </c>
      <c r="C3202" s="2200" t="s">
        <v>10680</v>
      </c>
      <c r="D3202" s="2200" t="str">
        <f t="shared" si="147"/>
        <v>PR</v>
      </c>
      <c r="E3202" s="2200" t="str">
        <f t="shared" si="148"/>
        <v>72</v>
      </c>
      <c r="F3202" s="2200" t="str">
        <f t="shared" si="149"/>
        <v>111</v>
      </c>
      <c r="G3202" s="2200">
        <f>--SUBTOTAL(3,C$2:C3202)</f>
        <v>67</v>
      </c>
    </row>
    <row r="3203" spans="1:7" hidden="1" x14ac:dyDescent="0.15">
      <c r="A3203" s="2200" t="s">
        <v>4280</v>
      </c>
      <c r="B3203" s="2200" t="s">
        <v>10681</v>
      </c>
      <c r="C3203" s="2200" t="s">
        <v>10682</v>
      </c>
      <c r="D3203" s="2200" t="str">
        <f t="shared" ref="D3203:D3223" si="150">RIGHT(C3203,2)</f>
        <v>PR</v>
      </c>
      <c r="E3203" s="2200" t="str">
        <f t="shared" ref="E3203:E3223" si="151">MID(B3203,3,2)</f>
        <v>72</v>
      </c>
      <c r="F3203" s="2200" t="str">
        <f t="shared" ref="F3203:F3223" si="152">MID(B3203,5,3)</f>
        <v>113</v>
      </c>
      <c r="G3203" s="2200">
        <f>--SUBTOTAL(3,C$2:C3203)</f>
        <v>67</v>
      </c>
    </row>
    <row r="3204" spans="1:7" hidden="1" x14ac:dyDescent="0.15">
      <c r="A3204" s="2200" t="s">
        <v>4280</v>
      </c>
      <c r="B3204" s="2200" t="s">
        <v>10683</v>
      </c>
      <c r="C3204" s="2200" t="s">
        <v>10684</v>
      </c>
      <c r="D3204" s="2200" t="str">
        <f t="shared" si="150"/>
        <v>PR</v>
      </c>
      <c r="E3204" s="2200" t="str">
        <f t="shared" si="151"/>
        <v>72</v>
      </c>
      <c r="F3204" s="2200" t="str">
        <f t="shared" si="152"/>
        <v>115</v>
      </c>
      <c r="G3204" s="2200">
        <f>--SUBTOTAL(3,C$2:C3204)</f>
        <v>67</v>
      </c>
    </row>
    <row r="3205" spans="1:7" hidden="1" x14ac:dyDescent="0.15">
      <c r="A3205" s="2200" t="s">
        <v>4280</v>
      </c>
      <c r="B3205" s="2200" t="s">
        <v>10685</v>
      </c>
      <c r="C3205" s="2200" t="s">
        <v>10686</v>
      </c>
      <c r="D3205" s="2200" t="str">
        <f t="shared" si="150"/>
        <v>PR</v>
      </c>
      <c r="E3205" s="2200" t="str">
        <f t="shared" si="151"/>
        <v>72</v>
      </c>
      <c r="F3205" s="2200" t="str">
        <f t="shared" si="152"/>
        <v>117</v>
      </c>
      <c r="G3205" s="2200">
        <f>--SUBTOTAL(3,C$2:C3205)</f>
        <v>67</v>
      </c>
    </row>
    <row r="3206" spans="1:7" hidden="1" x14ac:dyDescent="0.15">
      <c r="A3206" s="2200" t="s">
        <v>4280</v>
      </c>
      <c r="B3206" s="2200" t="s">
        <v>10687</v>
      </c>
      <c r="C3206" s="2200" t="s">
        <v>10688</v>
      </c>
      <c r="D3206" s="2200" t="str">
        <f t="shared" si="150"/>
        <v>PR</v>
      </c>
      <c r="E3206" s="2200" t="str">
        <f t="shared" si="151"/>
        <v>72</v>
      </c>
      <c r="F3206" s="2200" t="str">
        <f t="shared" si="152"/>
        <v>119</v>
      </c>
      <c r="G3206" s="2200">
        <f>--SUBTOTAL(3,C$2:C3206)</f>
        <v>67</v>
      </c>
    </row>
    <row r="3207" spans="1:7" hidden="1" x14ac:dyDescent="0.15">
      <c r="A3207" s="2200" t="s">
        <v>4280</v>
      </c>
      <c r="B3207" s="2200" t="s">
        <v>10689</v>
      </c>
      <c r="C3207" s="2200" t="s">
        <v>10690</v>
      </c>
      <c r="D3207" s="2200" t="str">
        <f t="shared" si="150"/>
        <v>PR</v>
      </c>
      <c r="E3207" s="2200" t="str">
        <f t="shared" si="151"/>
        <v>72</v>
      </c>
      <c r="F3207" s="2200" t="str">
        <f t="shared" si="152"/>
        <v>121</v>
      </c>
      <c r="G3207" s="2200">
        <f>--SUBTOTAL(3,C$2:C3207)</f>
        <v>67</v>
      </c>
    </row>
    <row r="3208" spans="1:7" hidden="1" x14ac:dyDescent="0.15">
      <c r="A3208" s="2200" t="s">
        <v>4280</v>
      </c>
      <c r="B3208" s="2200" t="s">
        <v>10691</v>
      </c>
      <c r="C3208" s="2200" t="s">
        <v>10692</v>
      </c>
      <c r="D3208" s="2200" t="str">
        <f t="shared" si="150"/>
        <v>PR</v>
      </c>
      <c r="E3208" s="2200" t="str">
        <f t="shared" si="151"/>
        <v>72</v>
      </c>
      <c r="F3208" s="2200" t="str">
        <f t="shared" si="152"/>
        <v>123</v>
      </c>
      <c r="G3208" s="2200">
        <f>--SUBTOTAL(3,C$2:C3208)</f>
        <v>67</v>
      </c>
    </row>
    <row r="3209" spans="1:7" hidden="1" x14ac:dyDescent="0.15">
      <c r="A3209" s="2200" t="s">
        <v>4280</v>
      </c>
      <c r="B3209" s="2200" t="s">
        <v>10693</v>
      </c>
      <c r="C3209" s="2200" t="s">
        <v>10694</v>
      </c>
      <c r="D3209" s="2200" t="str">
        <f t="shared" si="150"/>
        <v>PR</v>
      </c>
      <c r="E3209" s="2200" t="str">
        <f t="shared" si="151"/>
        <v>72</v>
      </c>
      <c r="F3209" s="2200" t="str">
        <f t="shared" si="152"/>
        <v>125</v>
      </c>
      <c r="G3209" s="2200">
        <f>--SUBTOTAL(3,C$2:C3209)</f>
        <v>67</v>
      </c>
    </row>
    <row r="3210" spans="1:7" hidden="1" x14ac:dyDescent="0.15">
      <c r="A3210" s="2200" t="s">
        <v>4280</v>
      </c>
      <c r="B3210" s="2200" t="s">
        <v>10695</v>
      </c>
      <c r="C3210" s="2200" t="s">
        <v>10696</v>
      </c>
      <c r="D3210" s="2200" t="str">
        <f t="shared" si="150"/>
        <v>PR</v>
      </c>
      <c r="E3210" s="2200" t="str">
        <f t="shared" si="151"/>
        <v>72</v>
      </c>
      <c r="F3210" s="2200" t="str">
        <f t="shared" si="152"/>
        <v>127</v>
      </c>
      <c r="G3210" s="2200">
        <f>--SUBTOTAL(3,C$2:C3210)</f>
        <v>67</v>
      </c>
    </row>
    <row r="3211" spans="1:7" hidden="1" x14ac:dyDescent="0.15">
      <c r="A3211" s="2200" t="s">
        <v>4280</v>
      </c>
      <c r="B3211" s="2200" t="s">
        <v>10697</v>
      </c>
      <c r="C3211" s="2200" t="s">
        <v>10698</v>
      </c>
      <c r="D3211" s="2200" t="str">
        <f t="shared" si="150"/>
        <v>PR</v>
      </c>
      <c r="E3211" s="2200" t="str">
        <f t="shared" si="151"/>
        <v>72</v>
      </c>
      <c r="F3211" s="2200" t="str">
        <f t="shared" si="152"/>
        <v>129</v>
      </c>
      <c r="G3211" s="2200">
        <f>--SUBTOTAL(3,C$2:C3211)</f>
        <v>67</v>
      </c>
    </row>
    <row r="3212" spans="1:7" hidden="1" x14ac:dyDescent="0.15">
      <c r="A3212" s="2200" t="s">
        <v>4280</v>
      </c>
      <c r="B3212" s="2200" t="s">
        <v>10699</v>
      </c>
      <c r="C3212" s="2200" t="s">
        <v>10700</v>
      </c>
      <c r="D3212" s="2200" t="str">
        <f t="shared" si="150"/>
        <v>PR</v>
      </c>
      <c r="E3212" s="2200" t="str">
        <f t="shared" si="151"/>
        <v>72</v>
      </c>
      <c r="F3212" s="2200" t="str">
        <f t="shared" si="152"/>
        <v>131</v>
      </c>
      <c r="G3212" s="2200">
        <f>--SUBTOTAL(3,C$2:C3212)</f>
        <v>67</v>
      </c>
    </row>
    <row r="3213" spans="1:7" hidden="1" x14ac:dyDescent="0.15">
      <c r="A3213" s="2200" t="s">
        <v>4280</v>
      </c>
      <c r="B3213" s="2200" t="s">
        <v>10701</v>
      </c>
      <c r="C3213" s="2200" t="s">
        <v>10702</v>
      </c>
      <c r="D3213" s="2200" t="str">
        <f t="shared" si="150"/>
        <v>PR</v>
      </c>
      <c r="E3213" s="2200" t="str">
        <f t="shared" si="151"/>
        <v>72</v>
      </c>
      <c r="F3213" s="2200" t="str">
        <f t="shared" si="152"/>
        <v>133</v>
      </c>
      <c r="G3213" s="2200">
        <f>--SUBTOTAL(3,C$2:C3213)</f>
        <v>67</v>
      </c>
    </row>
    <row r="3214" spans="1:7" hidden="1" x14ac:dyDescent="0.15">
      <c r="A3214" s="2200" t="s">
        <v>4280</v>
      </c>
      <c r="B3214" s="2200" t="s">
        <v>10703</v>
      </c>
      <c r="C3214" s="2200" t="s">
        <v>10704</v>
      </c>
      <c r="D3214" s="2200" t="str">
        <f t="shared" si="150"/>
        <v>PR</v>
      </c>
      <c r="E3214" s="2200" t="str">
        <f t="shared" si="151"/>
        <v>72</v>
      </c>
      <c r="F3214" s="2200" t="str">
        <f t="shared" si="152"/>
        <v>135</v>
      </c>
      <c r="G3214" s="2200">
        <f>--SUBTOTAL(3,C$2:C3214)</f>
        <v>67</v>
      </c>
    </row>
    <row r="3215" spans="1:7" hidden="1" x14ac:dyDescent="0.15">
      <c r="A3215" s="2200" t="s">
        <v>4280</v>
      </c>
      <c r="B3215" s="2200" t="s">
        <v>10705</v>
      </c>
      <c r="C3215" s="2200" t="s">
        <v>10706</v>
      </c>
      <c r="D3215" s="2200" t="str">
        <f t="shared" si="150"/>
        <v>PR</v>
      </c>
      <c r="E3215" s="2200" t="str">
        <f t="shared" si="151"/>
        <v>72</v>
      </c>
      <c r="F3215" s="2200" t="str">
        <f t="shared" si="152"/>
        <v>137</v>
      </c>
      <c r="G3215" s="2200">
        <f>--SUBTOTAL(3,C$2:C3215)</f>
        <v>67</v>
      </c>
    </row>
    <row r="3216" spans="1:7" hidden="1" x14ac:dyDescent="0.15">
      <c r="A3216" s="2200" t="s">
        <v>4280</v>
      </c>
      <c r="B3216" s="2200" t="s">
        <v>10707</v>
      </c>
      <c r="C3216" s="2200" t="s">
        <v>10708</v>
      </c>
      <c r="D3216" s="2200" t="str">
        <f t="shared" si="150"/>
        <v>PR</v>
      </c>
      <c r="E3216" s="2200" t="str">
        <f t="shared" si="151"/>
        <v>72</v>
      </c>
      <c r="F3216" s="2200" t="str">
        <f t="shared" si="152"/>
        <v>139</v>
      </c>
      <c r="G3216" s="2200">
        <f>--SUBTOTAL(3,C$2:C3216)</f>
        <v>67</v>
      </c>
    </row>
    <row r="3217" spans="1:7" hidden="1" x14ac:dyDescent="0.15">
      <c r="A3217" s="2200" t="s">
        <v>4280</v>
      </c>
      <c r="B3217" s="2200" t="s">
        <v>10709</v>
      </c>
      <c r="C3217" s="2200" t="s">
        <v>10710</v>
      </c>
      <c r="D3217" s="2200" t="str">
        <f t="shared" si="150"/>
        <v>PR</v>
      </c>
      <c r="E3217" s="2200" t="str">
        <f t="shared" si="151"/>
        <v>72</v>
      </c>
      <c r="F3217" s="2200" t="str">
        <f t="shared" si="152"/>
        <v>141</v>
      </c>
      <c r="G3217" s="2200">
        <f>--SUBTOTAL(3,C$2:C3217)</f>
        <v>67</v>
      </c>
    </row>
    <row r="3218" spans="1:7" hidden="1" x14ac:dyDescent="0.15">
      <c r="A3218" s="2200" t="s">
        <v>4280</v>
      </c>
      <c r="B3218" s="2200" t="s">
        <v>10711</v>
      </c>
      <c r="C3218" s="2200" t="s">
        <v>10712</v>
      </c>
      <c r="D3218" s="2200" t="str">
        <f t="shared" si="150"/>
        <v>PR</v>
      </c>
      <c r="E3218" s="2200" t="str">
        <f t="shared" si="151"/>
        <v>72</v>
      </c>
      <c r="F3218" s="2200" t="str">
        <f t="shared" si="152"/>
        <v>143</v>
      </c>
      <c r="G3218" s="2200">
        <f>--SUBTOTAL(3,C$2:C3218)</f>
        <v>67</v>
      </c>
    </row>
    <row r="3219" spans="1:7" hidden="1" x14ac:dyDescent="0.15">
      <c r="A3219" s="2200" t="s">
        <v>4280</v>
      </c>
      <c r="B3219" s="2200" t="s">
        <v>10713</v>
      </c>
      <c r="C3219" s="2200" t="s">
        <v>10714</v>
      </c>
      <c r="D3219" s="2200" t="str">
        <f t="shared" si="150"/>
        <v>PR</v>
      </c>
      <c r="E3219" s="2200" t="str">
        <f t="shared" si="151"/>
        <v>72</v>
      </c>
      <c r="F3219" s="2200" t="str">
        <f t="shared" si="152"/>
        <v>145</v>
      </c>
      <c r="G3219" s="2200">
        <f>--SUBTOTAL(3,C$2:C3219)</f>
        <v>67</v>
      </c>
    </row>
    <row r="3220" spans="1:7" hidden="1" x14ac:dyDescent="0.15">
      <c r="A3220" s="2200" t="s">
        <v>4280</v>
      </c>
      <c r="B3220" s="2200" t="s">
        <v>10715</v>
      </c>
      <c r="C3220" s="2200" t="s">
        <v>10716</v>
      </c>
      <c r="D3220" s="2200" t="str">
        <f t="shared" si="150"/>
        <v>PR</v>
      </c>
      <c r="E3220" s="2200" t="str">
        <f t="shared" si="151"/>
        <v>72</v>
      </c>
      <c r="F3220" s="2200" t="str">
        <f t="shared" si="152"/>
        <v>147</v>
      </c>
      <c r="G3220" s="2200">
        <f>--SUBTOTAL(3,C$2:C3220)</f>
        <v>67</v>
      </c>
    </row>
    <row r="3221" spans="1:7" hidden="1" x14ac:dyDescent="0.15">
      <c r="A3221" s="2200" t="s">
        <v>4280</v>
      </c>
      <c r="B3221" s="2200" t="s">
        <v>10717</v>
      </c>
      <c r="C3221" s="2200" t="s">
        <v>10718</v>
      </c>
      <c r="D3221" s="2200" t="str">
        <f t="shared" si="150"/>
        <v>PR</v>
      </c>
      <c r="E3221" s="2200" t="str">
        <f t="shared" si="151"/>
        <v>72</v>
      </c>
      <c r="F3221" s="2200" t="str">
        <f t="shared" si="152"/>
        <v>149</v>
      </c>
      <c r="G3221" s="2200">
        <f>--SUBTOTAL(3,C$2:C3221)</f>
        <v>67</v>
      </c>
    </row>
    <row r="3222" spans="1:7" hidden="1" x14ac:dyDescent="0.15">
      <c r="A3222" s="2200" t="s">
        <v>4280</v>
      </c>
      <c r="B3222" s="2200" t="s">
        <v>10719</v>
      </c>
      <c r="C3222" s="2200" t="s">
        <v>10720</v>
      </c>
      <c r="D3222" s="2200" t="str">
        <f t="shared" si="150"/>
        <v>PR</v>
      </c>
      <c r="E3222" s="2200" t="str">
        <f t="shared" si="151"/>
        <v>72</v>
      </c>
      <c r="F3222" s="2200" t="str">
        <f t="shared" si="152"/>
        <v>151</v>
      </c>
      <c r="G3222" s="2200">
        <f>--SUBTOTAL(3,C$2:C3222)</f>
        <v>67</v>
      </c>
    </row>
    <row r="3223" spans="1:7" hidden="1" x14ac:dyDescent="0.15">
      <c r="A3223" s="2200" t="s">
        <v>4280</v>
      </c>
      <c r="B3223" s="2200" t="s">
        <v>10721</v>
      </c>
      <c r="C3223" s="2200" t="s">
        <v>10722</v>
      </c>
      <c r="D3223" s="2200" t="str">
        <f t="shared" si="150"/>
        <v>PR</v>
      </c>
      <c r="E3223" s="2200" t="str">
        <f t="shared" si="151"/>
        <v>72</v>
      </c>
      <c r="F3223" s="2200" t="str">
        <f t="shared" si="152"/>
        <v>153</v>
      </c>
      <c r="G3223" s="2200">
        <f>--SUBTOTAL(3,C$2:C3223)</f>
        <v>67</v>
      </c>
    </row>
    <row r="3228" spans="1:7" x14ac:dyDescent="0.15">
      <c r="B3228" s="2200">
        <f>MAX(BLS_TableCounty[List_No])</f>
        <v>67</v>
      </c>
      <c r="C3228" s="2200" t="s">
        <v>1451</v>
      </c>
    </row>
    <row r="3230" spans="1:7" x14ac:dyDescent="0.15">
      <c r="B3230" s="2200" t="s">
        <v>1877</v>
      </c>
      <c r="C3230" s="2200" t="s">
        <v>1872</v>
      </c>
    </row>
    <row r="3231" spans="1:7" x14ac:dyDescent="0.15">
      <c r="B3231" s="2200">
        <v>1</v>
      </c>
      <c r="C3231" s="2200" t="str">
        <f>IFERROR(INDEX(BLS_TableCounty[area_text], MATCH(B3231,BLS_TableCounty[List_No],0)),"")</f>
        <v>Alachua County, FL</v>
      </c>
    </row>
    <row r="3232" spans="1:7" x14ac:dyDescent="0.15">
      <c r="B3232" s="2200">
        <v>2</v>
      </c>
      <c r="C3232" s="2200" t="str">
        <f>IFERROR(INDEX(BLS_TableCounty[area_text], MATCH(B3232,BLS_TableCounty[List_No],0)),"")</f>
        <v>Baker County, FL</v>
      </c>
    </row>
    <row r="3233" spans="2:3" x14ac:dyDescent="0.15">
      <c r="B3233" s="2200">
        <v>3</v>
      </c>
      <c r="C3233" s="2200" t="str">
        <f>IFERROR(INDEX(BLS_TableCounty[area_text], MATCH(B3233,BLS_TableCounty[List_No],0)),"")</f>
        <v>Bay County, FL</v>
      </c>
    </row>
    <row r="3234" spans="2:3" x14ac:dyDescent="0.15">
      <c r="B3234" s="2200">
        <v>4</v>
      </c>
      <c r="C3234" s="2200" t="str">
        <f>IFERROR(INDEX(BLS_TableCounty[area_text], MATCH(B3234,BLS_TableCounty[List_No],0)),"")</f>
        <v>Bradford County, FL</v>
      </c>
    </row>
    <row r="3235" spans="2:3" x14ac:dyDescent="0.15">
      <c r="B3235" s="2200">
        <v>5</v>
      </c>
      <c r="C3235" s="2200" t="str">
        <f>IFERROR(INDEX(BLS_TableCounty[area_text], MATCH(B3235,BLS_TableCounty[List_No],0)),"")</f>
        <v>Brevard County, FL</v>
      </c>
    </row>
    <row r="3236" spans="2:3" x14ac:dyDescent="0.15">
      <c r="B3236" s="2200">
        <v>6</v>
      </c>
      <c r="C3236" s="2200" t="str">
        <f>IFERROR(INDEX(BLS_TableCounty[area_text], MATCH(B3236,BLS_TableCounty[List_No],0)),"")</f>
        <v>Broward County, FL</v>
      </c>
    </row>
    <row r="3237" spans="2:3" x14ac:dyDescent="0.15">
      <c r="B3237" s="2200">
        <v>7</v>
      </c>
      <c r="C3237" s="2200" t="str">
        <f>IFERROR(INDEX(BLS_TableCounty[area_text], MATCH(B3237,BLS_TableCounty[List_No],0)),"")</f>
        <v>Calhoun County, FL</v>
      </c>
    </row>
    <row r="3238" spans="2:3" x14ac:dyDescent="0.15">
      <c r="B3238" s="2200">
        <v>8</v>
      </c>
      <c r="C3238" s="2200" t="str">
        <f>IFERROR(INDEX(BLS_TableCounty[area_text], MATCH(B3238,BLS_TableCounty[List_No],0)),"")</f>
        <v>Charlotte County, FL</v>
      </c>
    </row>
    <row r="3239" spans="2:3" x14ac:dyDescent="0.15">
      <c r="B3239" s="2200">
        <v>9</v>
      </c>
      <c r="C3239" s="2200" t="str">
        <f>IFERROR(INDEX(BLS_TableCounty[area_text], MATCH(B3239,BLS_TableCounty[List_No],0)),"")</f>
        <v>Citrus County, FL</v>
      </c>
    </row>
    <row r="3240" spans="2:3" x14ac:dyDescent="0.15">
      <c r="B3240" s="2200">
        <v>10</v>
      </c>
      <c r="C3240" s="2200" t="str">
        <f>IFERROR(INDEX(BLS_TableCounty[area_text], MATCH(B3240,BLS_TableCounty[List_No],0)),"")</f>
        <v>Clay County, FL</v>
      </c>
    </row>
    <row r="3241" spans="2:3" x14ac:dyDescent="0.15">
      <c r="B3241" s="2200">
        <v>11</v>
      </c>
      <c r="C3241" s="2200" t="str">
        <f>IFERROR(INDEX(BLS_TableCounty[area_text], MATCH(B3241,BLS_TableCounty[List_No],0)),"")</f>
        <v>Collier County, FL</v>
      </c>
    </row>
    <row r="3242" spans="2:3" x14ac:dyDescent="0.15">
      <c r="B3242" s="2200">
        <v>12</v>
      </c>
      <c r="C3242" s="2200" t="str">
        <f>IFERROR(INDEX(BLS_TableCounty[area_text], MATCH(B3242,BLS_TableCounty[List_No],0)),"")</f>
        <v>Columbia County, FL</v>
      </c>
    </row>
    <row r="3243" spans="2:3" x14ac:dyDescent="0.15">
      <c r="B3243" s="2200">
        <v>13</v>
      </c>
      <c r="C3243" s="2200" t="str">
        <f>IFERROR(INDEX(BLS_TableCounty[area_text], MATCH(B3243,BLS_TableCounty[List_No],0)),"")</f>
        <v>DeSoto County, FL</v>
      </c>
    </row>
    <row r="3244" spans="2:3" x14ac:dyDescent="0.15">
      <c r="B3244" s="2200">
        <v>14</v>
      </c>
      <c r="C3244" s="2200" t="str">
        <f>IFERROR(INDEX(BLS_TableCounty[area_text], MATCH(B3244,BLS_TableCounty[List_No],0)),"")</f>
        <v>Dixie County, FL</v>
      </c>
    </row>
    <row r="3245" spans="2:3" x14ac:dyDescent="0.15">
      <c r="B3245" s="2200">
        <v>15</v>
      </c>
      <c r="C3245" s="2200" t="str">
        <f>IFERROR(INDEX(BLS_TableCounty[area_text], MATCH(B3245,BLS_TableCounty[List_No],0)),"")</f>
        <v>Duval County, FL</v>
      </c>
    </row>
    <row r="3246" spans="2:3" x14ac:dyDescent="0.15">
      <c r="B3246" s="2200">
        <v>16</v>
      </c>
      <c r="C3246" s="2200" t="str">
        <f>IFERROR(INDEX(BLS_TableCounty[area_text], MATCH(B3246,BLS_TableCounty[List_No],0)),"")</f>
        <v>Escambia County, FL</v>
      </c>
    </row>
    <row r="3247" spans="2:3" x14ac:dyDescent="0.15">
      <c r="B3247" s="2200">
        <v>17</v>
      </c>
      <c r="C3247" s="2200" t="str">
        <f>IFERROR(INDEX(BLS_TableCounty[area_text], MATCH(B3247,BLS_TableCounty[List_No],0)),"")</f>
        <v>Flagler County, FL</v>
      </c>
    </row>
    <row r="3248" spans="2:3" x14ac:dyDescent="0.15">
      <c r="B3248" s="2200">
        <v>18</v>
      </c>
      <c r="C3248" s="2200" t="str">
        <f>IFERROR(INDEX(BLS_TableCounty[area_text], MATCH(B3248,BLS_TableCounty[List_No],0)),"")</f>
        <v>Franklin County, FL</v>
      </c>
    </row>
    <row r="3249" spans="2:3" x14ac:dyDescent="0.15">
      <c r="B3249" s="2200">
        <v>19</v>
      </c>
      <c r="C3249" s="2200" t="str">
        <f>IFERROR(INDEX(BLS_TableCounty[area_text], MATCH(B3249,BLS_TableCounty[List_No],0)),"")</f>
        <v>Gadsden County, FL</v>
      </c>
    </row>
    <row r="3250" spans="2:3" x14ac:dyDescent="0.15">
      <c r="B3250" s="2200">
        <v>20</v>
      </c>
      <c r="C3250" s="2200" t="str">
        <f>IFERROR(INDEX(BLS_TableCounty[area_text], MATCH(B3250,BLS_TableCounty[List_No],0)),"")</f>
        <v>Gilchrist County, FL</v>
      </c>
    </row>
    <row r="3251" spans="2:3" x14ac:dyDescent="0.15">
      <c r="B3251" s="2200">
        <v>21</v>
      </c>
      <c r="C3251" s="2200" t="str">
        <f>IFERROR(INDEX(BLS_TableCounty[area_text], MATCH(B3251,BLS_TableCounty[List_No],0)),"")</f>
        <v>Glades County, FL</v>
      </c>
    </row>
    <row r="3252" spans="2:3" x14ac:dyDescent="0.15">
      <c r="B3252" s="2200">
        <v>22</v>
      </c>
      <c r="C3252" s="2200" t="str">
        <f>IFERROR(INDEX(BLS_TableCounty[area_text], MATCH(B3252,BLS_TableCounty[List_No],0)),"")</f>
        <v>Gulf County, FL</v>
      </c>
    </row>
    <row r="3253" spans="2:3" x14ac:dyDescent="0.15">
      <c r="B3253" s="2200">
        <v>23</v>
      </c>
      <c r="C3253" s="2200" t="str">
        <f>IFERROR(INDEX(BLS_TableCounty[area_text], MATCH(B3253,BLS_TableCounty[List_No],0)),"")</f>
        <v>Hamilton County, FL</v>
      </c>
    </row>
    <row r="3254" spans="2:3" x14ac:dyDescent="0.15">
      <c r="B3254" s="2200">
        <v>24</v>
      </c>
      <c r="C3254" s="2200" t="str">
        <f>IFERROR(INDEX(BLS_TableCounty[area_text], MATCH(B3254,BLS_TableCounty[List_No],0)),"")</f>
        <v>Hardee County, FL</v>
      </c>
    </row>
    <row r="3255" spans="2:3" x14ac:dyDescent="0.15">
      <c r="B3255" s="2200">
        <v>25</v>
      </c>
      <c r="C3255" s="2200" t="str">
        <f>IFERROR(INDEX(BLS_TableCounty[area_text], MATCH(B3255,BLS_TableCounty[List_No],0)),"")</f>
        <v>Hendry County, FL</v>
      </c>
    </row>
    <row r="3256" spans="2:3" x14ac:dyDescent="0.15">
      <c r="B3256" s="2200">
        <v>26</v>
      </c>
      <c r="C3256" s="2200" t="str">
        <f>IFERROR(INDEX(BLS_TableCounty[area_text], MATCH(B3256,BLS_TableCounty[List_No],0)),"")</f>
        <v>Hernando County, FL</v>
      </c>
    </row>
    <row r="3257" spans="2:3" x14ac:dyDescent="0.15">
      <c r="B3257" s="2200">
        <v>27</v>
      </c>
      <c r="C3257" s="2200" t="str">
        <f>IFERROR(INDEX(BLS_TableCounty[area_text], MATCH(B3257,BLS_TableCounty[List_No],0)),"")</f>
        <v>Highlands County, FL</v>
      </c>
    </row>
    <row r="3258" spans="2:3" x14ac:dyDescent="0.15">
      <c r="B3258" s="2200">
        <v>28</v>
      </c>
      <c r="C3258" s="2200" t="str">
        <f>IFERROR(INDEX(BLS_TableCounty[area_text], MATCH(B3258,BLS_TableCounty[List_No],0)),"")</f>
        <v>Hillsborough County, FL</v>
      </c>
    </row>
    <row r="3259" spans="2:3" x14ac:dyDescent="0.15">
      <c r="B3259" s="2200">
        <v>29</v>
      </c>
      <c r="C3259" s="2200" t="str">
        <f>IFERROR(INDEX(BLS_TableCounty[area_text], MATCH(B3259,BLS_TableCounty[List_No],0)),"")</f>
        <v>Holmes County, FL</v>
      </c>
    </row>
    <row r="3260" spans="2:3" x14ac:dyDescent="0.15">
      <c r="B3260" s="2200">
        <v>30</v>
      </c>
      <c r="C3260" s="2200" t="str">
        <f>IFERROR(INDEX(BLS_TableCounty[area_text], MATCH(B3260,BLS_TableCounty[List_No],0)),"")</f>
        <v>Indian River County, FL</v>
      </c>
    </row>
    <row r="3261" spans="2:3" x14ac:dyDescent="0.15">
      <c r="B3261" s="2200">
        <v>31</v>
      </c>
      <c r="C3261" s="2200" t="str">
        <f>IFERROR(INDEX(BLS_TableCounty[area_text], MATCH(B3261,BLS_TableCounty[List_No],0)),"")</f>
        <v>Jackson County, FL</v>
      </c>
    </row>
    <row r="3262" spans="2:3" x14ac:dyDescent="0.15">
      <c r="B3262" s="2200">
        <v>32</v>
      </c>
      <c r="C3262" s="2200" t="str">
        <f>IFERROR(INDEX(BLS_TableCounty[area_text], MATCH(B3262,BLS_TableCounty[List_No],0)),"")</f>
        <v>Jefferson County, FL</v>
      </c>
    </row>
    <row r="3263" spans="2:3" x14ac:dyDescent="0.15">
      <c r="B3263" s="2200">
        <v>33</v>
      </c>
      <c r="C3263" s="2200" t="str">
        <f>IFERROR(INDEX(BLS_TableCounty[area_text], MATCH(B3263,BLS_TableCounty[List_No],0)),"")</f>
        <v>Lafayette County, FL</v>
      </c>
    </row>
    <row r="3264" spans="2:3" x14ac:dyDescent="0.15">
      <c r="B3264" s="2200">
        <v>34</v>
      </c>
      <c r="C3264" s="2200" t="str">
        <f>IFERROR(INDEX(BLS_TableCounty[area_text], MATCH(B3264,BLS_TableCounty[List_No],0)),"")</f>
        <v>Lake County, FL</v>
      </c>
    </row>
    <row r="3265" spans="2:3" x14ac:dyDescent="0.15">
      <c r="B3265" s="2200">
        <v>35</v>
      </c>
      <c r="C3265" s="2200" t="str">
        <f>IFERROR(INDEX(BLS_TableCounty[area_text], MATCH(B3265,BLS_TableCounty[List_No],0)),"")</f>
        <v>Lee County, FL</v>
      </c>
    </row>
    <row r="3266" spans="2:3" x14ac:dyDescent="0.15">
      <c r="B3266" s="2200">
        <v>36</v>
      </c>
      <c r="C3266" s="2200" t="str">
        <f>IFERROR(INDEX(BLS_TableCounty[area_text], MATCH(B3266,BLS_TableCounty[List_No],0)),"")</f>
        <v>Leon County, FL</v>
      </c>
    </row>
    <row r="3267" spans="2:3" x14ac:dyDescent="0.15">
      <c r="B3267" s="2200">
        <v>37</v>
      </c>
      <c r="C3267" s="2200" t="str">
        <f>IFERROR(INDEX(BLS_TableCounty[area_text], MATCH(B3267,BLS_TableCounty[List_No],0)),"")</f>
        <v>Levy County, FL</v>
      </c>
    </row>
    <row r="3268" spans="2:3" x14ac:dyDescent="0.15">
      <c r="B3268" s="2200">
        <v>38</v>
      </c>
      <c r="C3268" s="2200" t="str">
        <f>IFERROR(INDEX(BLS_TableCounty[area_text], MATCH(B3268,BLS_TableCounty[List_No],0)),"")</f>
        <v>Liberty County, FL</v>
      </c>
    </row>
    <row r="3269" spans="2:3" x14ac:dyDescent="0.15">
      <c r="B3269" s="2200">
        <v>39</v>
      </c>
      <c r="C3269" s="2200" t="str">
        <f>IFERROR(INDEX(BLS_TableCounty[area_text], MATCH(B3269,BLS_TableCounty[List_No],0)),"")</f>
        <v>Madison County, FL</v>
      </c>
    </row>
    <row r="3270" spans="2:3" x14ac:dyDescent="0.15">
      <c r="B3270" s="2200">
        <v>40</v>
      </c>
      <c r="C3270" s="2200" t="str">
        <f>IFERROR(INDEX(BLS_TableCounty[area_text], MATCH(B3270,BLS_TableCounty[List_No],0)),"")</f>
        <v>Manatee County, FL</v>
      </c>
    </row>
    <row r="3271" spans="2:3" x14ac:dyDescent="0.15">
      <c r="B3271" s="2200">
        <v>41</v>
      </c>
      <c r="C3271" s="2200" t="str">
        <f>IFERROR(INDEX(BLS_TableCounty[area_text], MATCH(B3271,BLS_TableCounty[List_No],0)),"")</f>
        <v>Marion County, FL</v>
      </c>
    </row>
    <row r="3272" spans="2:3" x14ac:dyDescent="0.15">
      <c r="B3272" s="2200">
        <v>42</v>
      </c>
      <c r="C3272" s="2200" t="str">
        <f>IFERROR(INDEX(BLS_TableCounty[area_text], MATCH(B3272,BLS_TableCounty[List_No],0)),"")</f>
        <v>Martin County, FL</v>
      </c>
    </row>
    <row r="3273" spans="2:3" x14ac:dyDescent="0.15">
      <c r="B3273" s="2200">
        <v>43</v>
      </c>
      <c r="C3273" s="2200" t="str">
        <f>IFERROR(INDEX(BLS_TableCounty[area_text], MATCH(B3273,BLS_TableCounty[List_No],0)),"")</f>
        <v>Miami-Dade County, FL</v>
      </c>
    </row>
    <row r="3274" spans="2:3" x14ac:dyDescent="0.15">
      <c r="B3274" s="2200">
        <v>44</v>
      </c>
      <c r="C3274" s="2200" t="str">
        <f>IFERROR(INDEX(BLS_TableCounty[area_text], MATCH(B3274,BLS_TableCounty[List_No],0)),"")</f>
        <v>Monroe County, FL</v>
      </c>
    </row>
    <row r="3275" spans="2:3" x14ac:dyDescent="0.15">
      <c r="B3275" s="2200">
        <v>45</v>
      </c>
      <c r="C3275" s="2200" t="str">
        <f>IFERROR(INDEX(BLS_TableCounty[area_text], MATCH(B3275,BLS_TableCounty[List_No],0)),"")</f>
        <v>Nassau County, FL</v>
      </c>
    </row>
    <row r="3276" spans="2:3" x14ac:dyDescent="0.15">
      <c r="B3276" s="2200">
        <v>46</v>
      </c>
      <c r="C3276" s="2200" t="str">
        <f>IFERROR(INDEX(BLS_TableCounty[area_text], MATCH(B3276,BLS_TableCounty[List_No],0)),"")</f>
        <v>Okaloosa County, FL</v>
      </c>
    </row>
    <row r="3277" spans="2:3" x14ac:dyDescent="0.15">
      <c r="B3277" s="2200">
        <v>47</v>
      </c>
      <c r="C3277" s="2200" t="str">
        <f>IFERROR(INDEX(BLS_TableCounty[area_text], MATCH(B3277,BLS_TableCounty[List_No],0)),"")</f>
        <v>Okeechobee County, FL</v>
      </c>
    </row>
    <row r="3278" spans="2:3" x14ac:dyDescent="0.15">
      <c r="B3278" s="2200">
        <v>48</v>
      </c>
      <c r="C3278" s="2200" t="str">
        <f>IFERROR(INDEX(BLS_TableCounty[area_text], MATCH(B3278,BLS_TableCounty[List_No],0)),"")</f>
        <v>Orange County, FL</v>
      </c>
    </row>
    <row r="3279" spans="2:3" x14ac:dyDescent="0.15">
      <c r="B3279" s="2200">
        <v>49</v>
      </c>
      <c r="C3279" s="2200" t="str">
        <f>IFERROR(INDEX(BLS_TableCounty[area_text], MATCH(B3279,BLS_TableCounty[List_No],0)),"")</f>
        <v>Osceola County, FL</v>
      </c>
    </row>
    <row r="3280" spans="2:3" x14ac:dyDescent="0.15">
      <c r="B3280" s="2200">
        <v>50</v>
      </c>
      <c r="C3280" s="2200" t="str">
        <f>IFERROR(INDEX(BLS_TableCounty[area_text], MATCH(B3280,BLS_TableCounty[List_No],0)),"")</f>
        <v>Palm Beach County, FL</v>
      </c>
    </row>
    <row r="3281" spans="2:3" x14ac:dyDescent="0.15">
      <c r="B3281" s="2200">
        <v>51</v>
      </c>
      <c r="C3281" s="2200" t="str">
        <f>IFERROR(INDEX(BLS_TableCounty[area_text], MATCH(B3281,BLS_TableCounty[List_No],0)),"")</f>
        <v>Pasco County, FL</v>
      </c>
    </row>
    <row r="3282" spans="2:3" x14ac:dyDescent="0.15">
      <c r="B3282" s="2200">
        <v>52</v>
      </c>
      <c r="C3282" s="2200" t="str">
        <f>IFERROR(INDEX(BLS_TableCounty[area_text], MATCH(B3282,BLS_TableCounty[List_No],0)),"")</f>
        <v>Pinellas County, FL</v>
      </c>
    </row>
    <row r="3283" spans="2:3" x14ac:dyDescent="0.15">
      <c r="B3283" s="2200">
        <v>53</v>
      </c>
      <c r="C3283" s="2200" t="str">
        <f>IFERROR(INDEX(BLS_TableCounty[area_text], MATCH(B3283,BLS_TableCounty[List_No],0)),"")</f>
        <v>Polk County, FL</v>
      </c>
    </row>
    <row r="3284" spans="2:3" x14ac:dyDescent="0.15">
      <c r="B3284" s="2200">
        <v>54</v>
      </c>
      <c r="C3284" s="2200" t="str">
        <f>IFERROR(INDEX(BLS_TableCounty[area_text], MATCH(B3284,BLS_TableCounty[List_No],0)),"")</f>
        <v>Putnam County, FL</v>
      </c>
    </row>
    <row r="3285" spans="2:3" x14ac:dyDescent="0.15">
      <c r="B3285" s="2200">
        <v>55</v>
      </c>
      <c r="C3285" s="2200" t="str">
        <f>IFERROR(INDEX(BLS_TableCounty[area_text], MATCH(B3285,BLS_TableCounty[List_No],0)),"")</f>
        <v>St. Johns County, FL</v>
      </c>
    </row>
    <row r="3286" spans="2:3" x14ac:dyDescent="0.15">
      <c r="B3286" s="2200">
        <v>56</v>
      </c>
      <c r="C3286" s="2200" t="str">
        <f>IFERROR(INDEX(BLS_TableCounty[area_text], MATCH(B3286,BLS_TableCounty[List_No],0)),"")</f>
        <v>St. Lucie County, FL</v>
      </c>
    </row>
    <row r="3287" spans="2:3" x14ac:dyDescent="0.15">
      <c r="B3287" s="2200">
        <v>57</v>
      </c>
      <c r="C3287" s="2200" t="str">
        <f>IFERROR(INDEX(BLS_TableCounty[area_text], MATCH(B3287,BLS_TableCounty[List_No],0)),"")</f>
        <v>Santa Rosa County, FL</v>
      </c>
    </row>
    <row r="3288" spans="2:3" x14ac:dyDescent="0.15">
      <c r="B3288" s="2200">
        <v>58</v>
      </c>
      <c r="C3288" s="2200" t="str">
        <f>IFERROR(INDEX(BLS_TableCounty[area_text], MATCH(B3288,BLS_TableCounty[List_No],0)),"")</f>
        <v>Sarasota County, FL</v>
      </c>
    </row>
    <row r="3289" spans="2:3" x14ac:dyDescent="0.15">
      <c r="B3289" s="2200">
        <v>59</v>
      </c>
      <c r="C3289" s="2200" t="str">
        <f>IFERROR(INDEX(BLS_TableCounty[area_text], MATCH(B3289,BLS_TableCounty[List_No],0)),"")</f>
        <v>Seminole County, FL</v>
      </c>
    </row>
    <row r="3290" spans="2:3" x14ac:dyDescent="0.15">
      <c r="B3290" s="2200">
        <v>60</v>
      </c>
      <c r="C3290" s="2200" t="str">
        <f>IFERROR(INDEX(BLS_TableCounty[area_text], MATCH(B3290,BLS_TableCounty[List_No],0)),"")</f>
        <v>Sumter County, FL</v>
      </c>
    </row>
    <row r="3291" spans="2:3" x14ac:dyDescent="0.15">
      <c r="B3291" s="2200">
        <v>61</v>
      </c>
      <c r="C3291" s="2200" t="str">
        <f>IFERROR(INDEX(BLS_TableCounty[area_text], MATCH(B3291,BLS_TableCounty[List_No],0)),"")</f>
        <v>Suwannee County, FL</v>
      </c>
    </row>
    <row r="3292" spans="2:3" x14ac:dyDescent="0.15">
      <c r="B3292" s="2200">
        <v>62</v>
      </c>
      <c r="C3292" s="2200" t="str">
        <f>IFERROR(INDEX(BLS_TableCounty[area_text], MATCH(B3292,BLS_TableCounty[List_No],0)),"")</f>
        <v>Taylor County, FL</v>
      </c>
    </row>
    <row r="3293" spans="2:3" x14ac:dyDescent="0.15">
      <c r="B3293" s="2200">
        <v>63</v>
      </c>
      <c r="C3293" s="2200" t="str">
        <f>IFERROR(INDEX(BLS_TableCounty[area_text], MATCH(B3293,BLS_TableCounty[List_No],0)),"")</f>
        <v>Union County, FL</v>
      </c>
    </row>
    <row r="3294" spans="2:3" x14ac:dyDescent="0.15">
      <c r="B3294" s="2200">
        <v>64</v>
      </c>
      <c r="C3294" s="2200" t="str">
        <f>IFERROR(INDEX(BLS_TableCounty[area_text], MATCH(B3294,BLS_TableCounty[List_No],0)),"")</f>
        <v>Volusia County, FL</v>
      </c>
    </row>
    <row r="3295" spans="2:3" x14ac:dyDescent="0.15">
      <c r="B3295" s="2200">
        <v>65</v>
      </c>
      <c r="C3295" s="2200" t="str">
        <f>IFERROR(INDEX(BLS_TableCounty[area_text], MATCH(B3295,BLS_TableCounty[List_No],0)),"")</f>
        <v>Wakulla County, FL</v>
      </c>
    </row>
    <row r="3296" spans="2:3" x14ac:dyDescent="0.15">
      <c r="B3296" s="2200">
        <v>66</v>
      </c>
      <c r="C3296" s="2200" t="str">
        <f>IFERROR(INDEX(BLS_TableCounty[area_text], MATCH(B3296,BLS_TableCounty[List_No],0)),"")</f>
        <v>Walton County, FL</v>
      </c>
    </row>
    <row r="3297" spans="2:3" x14ac:dyDescent="0.15">
      <c r="B3297" s="2200">
        <v>67</v>
      </c>
      <c r="C3297" s="2200" t="str">
        <f>IFERROR(INDEX(BLS_TableCounty[area_text], MATCH(B3297,BLS_TableCounty[List_No],0)),"")</f>
        <v>Washington County, FL</v>
      </c>
    </row>
    <row r="3298" spans="2:3" x14ac:dyDescent="0.15">
      <c r="B3298" s="2200">
        <v>68</v>
      </c>
      <c r="C3298" s="2200" t="str">
        <f>IFERROR(INDEX(BLS_TableCounty[area_text], MATCH(B3298,BLS_TableCounty[List_No],0)),"")</f>
        <v/>
      </c>
    </row>
    <row r="3299" spans="2:3" x14ac:dyDescent="0.15">
      <c r="B3299" s="2200">
        <v>69</v>
      </c>
      <c r="C3299" s="2200" t="str">
        <f>IFERROR(INDEX(BLS_TableCounty[area_text], MATCH(B3299,BLS_TableCounty[List_No],0)),"")</f>
        <v/>
      </c>
    </row>
    <row r="3300" spans="2:3" x14ac:dyDescent="0.15">
      <c r="B3300" s="2200">
        <v>70</v>
      </c>
      <c r="C3300" s="2200" t="str">
        <f>IFERROR(INDEX(BLS_TableCounty[area_text], MATCH(B3300,BLS_TableCounty[List_No],0)),"")</f>
        <v/>
      </c>
    </row>
    <row r="3301" spans="2:3" x14ac:dyDescent="0.15">
      <c r="B3301" s="2200">
        <v>71</v>
      </c>
      <c r="C3301" s="2200" t="str">
        <f>IFERROR(INDEX(BLS_TableCounty[area_text], MATCH(B3301,BLS_TableCounty[List_No],0)),"")</f>
        <v/>
      </c>
    </row>
    <row r="3302" spans="2:3" x14ac:dyDescent="0.15">
      <c r="B3302" s="2200">
        <v>72</v>
      </c>
      <c r="C3302" s="2200" t="str">
        <f>IFERROR(INDEX(BLS_TableCounty[area_text], MATCH(B3302,BLS_TableCounty[List_No],0)),"")</f>
        <v/>
      </c>
    </row>
    <row r="3303" spans="2:3" x14ac:dyDescent="0.15">
      <c r="B3303" s="2200">
        <v>73</v>
      </c>
      <c r="C3303" s="2200" t="str">
        <f>IFERROR(INDEX(BLS_TableCounty[area_text], MATCH(B3303,BLS_TableCounty[List_No],0)),"")</f>
        <v/>
      </c>
    </row>
    <row r="3304" spans="2:3" x14ac:dyDescent="0.15">
      <c r="B3304" s="2200">
        <v>74</v>
      </c>
      <c r="C3304" s="2200" t="str">
        <f>IFERROR(INDEX(BLS_TableCounty[area_text], MATCH(B3304,BLS_TableCounty[List_No],0)),"")</f>
        <v/>
      </c>
    </row>
    <row r="3305" spans="2:3" x14ac:dyDescent="0.15">
      <c r="B3305" s="2200">
        <v>75</v>
      </c>
      <c r="C3305" s="2200" t="str">
        <f>IFERROR(INDEX(BLS_TableCounty[area_text], MATCH(B3305,BLS_TableCounty[List_No],0)),"")</f>
        <v/>
      </c>
    </row>
    <row r="3306" spans="2:3" x14ac:dyDescent="0.15">
      <c r="B3306" s="2200">
        <v>76</v>
      </c>
      <c r="C3306" s="2200" t="str">
        <f>IFERROR(INDEX(BLS_TableCounty[area_text], MATCH(B3306,BLS_TableCounty[List_No],0)),"")</f>
        <v/>
      </c>
    </row>
    <row r="3307" spans="2:3" x14ac:dyDescent="0.15">
      <c r="B3307" s="2200">
        <v>77</v>
      </c>
      <c r="C3307" s="2200" t="str">
        <f>IFERROR(INDEX(BLS_TableCounty[area_text], MATCH(B3307,BLS_TableCounty[List_No],0)),"")</f>
        <v/>
      </c>
    </row>
    <row r="3308" spans="2:3" x14ac:dyDescent="0.15">
      <c r="B3308" s="2200">
        <v>78</v>
      </c>
      <c r="C3308" s="2200" t="str">
        <f>IFERROR(INDEX(BLS_TableCounty[area_text], MATCH(B3308,BLS_TableCounty[List_No],0)),"")</f>
        <v/>
      </c>
    </row>
    <row r="3309" spans="2:3" x14ac:dyDescent="0.15">
      <c r="B3309" s="2200">
        <v>79</v>
      </c>
      <c r="C3309" s="2200" t="str">
        <f>IFERROR(INDEX(BLS_TableCounty[area_text], MATCH(B3309,BLS_TableCounty[List_No],0)),"")</f>
        <v/>
      </c>
    </row>
    <row r="3310" spans="2:3" x14ac:dyDescent="0.15">
      <c r="B3310" s="2200">
        <v>80</v>
      </c>
      <c r="C3310" s="2200" t="str">
        <f>IFERROR(INDEX(BLS_TableCounty[area_text], MATCH(B3310,BLS_TableCounty[List_No],0)),"")</f>
        <v/>
      </c>
    </row>
    <row r="3311" spans="2:3" x14ac:dyDescent="0.15">
      <c r="B3311" s="2200">
        <v>81</v>
      </c>
      <c r="C3311" s="2200" t="str">
        <f>IFERROR(INDEX(BLS_TableCounty[area_text], MATCH(B3311,BLS_TableCounty[List_No],0)),"")</f>
        <v/>
      </c>
    </row>
    <row r="3312" spans="2:3" x14ac:dyDescent="0.15">
      <c r="B3312" s="2200">
        <v>82</v>
      </c>
      <c r="C3312" s="2200" t="str">
        <f>IFERROR(INDEX(BLS_TableCounty[area_text], MATCH(B3312,BLS_TableCounty[List_No],0)),"")</f>
        <v/>
      </c>
    </row>
    <row r="3313" spans="2:3" x14ac:dyDescent="0.15">
      <c r="B3313" s="2200">
        <v>83</v>
      </c>
      <c r="C3313" s="2200" t="str">
        <f>IFERROR(INDEX(BLS_TableCounty[area_text], MATCH(B3313,BLS_TableCounty[List_No],0)),"")</f>
        <v/>
      </c>
    </row>
    <row r="3314" spans="2:3" x14ac:dyDescent="0.15">
      <c r="B3314" s="2200">
        <v>84</v>
      </c>
      <c r="C3314" s="2200" t="str">
        <f>IFERROR(INDEX(BLS_TableCounty[area_text], MATCH(B3314,BLS_TableCounty[List_No],0)),"")</f>
        <v/>
      </c>
    </row>
    <row r="3315" spans="2:3" x14ac:dyDescent="0.15">
      <c r="B3315" s="2200">
        <v>85</v>
      </c>
      <c r="C3315" s="2200" t="str">
        <f>IFERROR(INDEX(BLS_TableCounty[area_text], MATCH(B3315,BLS_TableCounty[List_No],0)),"")</f>
        <v/>
      </c>
    </row>
    <row r="3316" spans="2:3" x14ac:dyDescent="0.15">
      <c r="B3316" s="2200">
        <v>86</v>
      </c>
      <c r="C3316" s="2200" t="str">
        <f>IFERROR(INDEX(BLS_TableCounty[area_text], MATCH(B3316,BLS_TableCounty[List_No],0)),"")</f>
        <v/>
      </c>
    </row>
    <row r="3317" spans="2:3" x14ac:dyDescent="0.15">
      <c r="B3317" s="2200">
        <v>87</v>
      </c>
      <c r="C3317" s="2200" t="str">
        <f>IFERROR(INDEX(BLS_TableCounty[area_text], MATCH(B3317,BLS_TableCounty[List_No],0)),"")</f>
        <v/>
      </c>
    </row>
    <row r="3318" spans="2:3" x14ac:dyDescent="0.15">
      <c r="B3318" s="2200">
        <v>88</v>
      </c>
      <c r="C3318" s="2200" t="str">
        <f>IFERROR(INDEX(BLS_TableCounty[area_text], MATCH(B3318,BLS_TableCounty[List_No],0)),"")</f>
        <v/>
      </c>
    </row>
    <row r="3319" spans="2:3" x14ac:dyDescent="0.15">
      <c r="B3319" s="2200">
        <v>89</v>
      </c>
      <c r="C3319" s="2200" t="str">
        <f>IFERROR(INDEX(BLS_TableCounty[area_text], MATCH(B3319,BLS_TableCounty[List_No],0)),"")</f>
        <v/>
      </c>
    </row>
    <row r="3320" spans="2:3" x14ac:dyDescent="0.15">
      <c r="B3320" s="2200">
        <v>90</v>
      </c>
      <c r="C3320" s="2200" t="str">
        <f>IFERROR(INDEX(BLS_TableCounty[area_text], MATCH(B3320,BLS_TableCounty[List_No],0)),"")</f>
        <v/>
      </c>
    </row>
    <row r="3321" spans="2:3" x14ac:dyDescent="0.15">
      <c r="B3321" s="2200">
        <v>91</v>
      </c>
      <c r="C3321" s="2200" t="str">
        <f>IFERROR(INDEX(BLS_TableCounty[area_text], MATCH(B3321,BLS_TableCounty[List_No],0)),"")</f>
        <v/>
      </c>
    </row>
    <row r="3322" spans="2:3" x14ac:dyDescent="0.15">
      <c r="B3322" s="2200">
        <v>92</v>
      </c>
      <c r="C3322" s="2200" t="str">
        <f>IFERROR(INDEX(BLS_TableCounty[area_text], MATCH(B3322,BLS_TableCounty[List_No],0)),"")</f>
        <v/>
      </c>
    </row>
    <row r="3323" spans="2:3" x14ac:dyDescent="0.15">
      <c r="B3323" s="2200">
        <v>93</v>
      </c>
      <c r="C3323" s="2200" t="str">
        <f>IFERROR(INDEX(BLS_TableCounty[area_text], MATCH(B3323,BLS_TableCounty[List_No],0)),"")</f>
        <v/>
      </c>
    </row>
    <row r="3324" spans="2:3" x14ac:dyDescent="0.15">
      <c r="B3324" s="2200">
        <v>94</v>
      </c>
      <c r="C3324" s="2200" t="str">
        <f>IFERROR(INDEX(BLS_TableCounty[area_text], MATCH(B3324,BLS_TableCounty[List_No],0)),"")</f>
        <v/>
      </c>
    </row>
    <row r="3325" spans="2:3" x14ac:dyDescent="0.15">
      <c r="B3325" s="2200">
        <v>95</v>
      </c>
      <c r="C3325" s="2200" t="str">
        <f>IFERROR(INDEX(BLS_TableCounty[area_text], MATCH(B3325,BLS_TableCounty[List_No],0)),"")</f>
        <v/>
      </c>
    </row>
    <row r="3326" spans="2:3" x14ac:dyDescent="0.15">
      <c r="B3326" s="2200">
        <v>96</v>
      </c>
      <c r="C3326" s="2200" t="str">
        <f>IFERROR(INDEX(BLS_TableCounty[area_text], MATCH(B3326,BLS_TableCounty[List_No],0)),"")</f>
        <v/>
      </c>
    </row>
    <row r="3327" spans="2:3" x14ac:dyDescent="0.15">
      <c r="B3327" s="2200">
        <v>97</v>
      </c>
      <c r="C3327" s="2200" t="str">
        <f>IFERROR(INDEX(BLS_TableCounty[area_text], MATCH(B3327,BLS_TableCounty[List_No],0)),"")</f>
        <v/>
      </c>
    </row>
    <row r="3328" spans="2:3" x14ac:dyDescent="0.15">
      <c r="B3328" s="2200">
        <v>98</v>
      </c>
      <c r="C3328" s="2200" t="str">
        <f>IFERROR(INDEX(BLS_TableCounty[area_text], MATCH(B3328,BLS_TableCounty[List_No],0)),"")</f>
        <v/>
      </c>
    </row>
    <row r="3329" spans="2:3" x14ac:dyDescent="0.15">
      <c r="B3329" s="2200">
        <v>99</v>
      </c>
      <c r="C3329" s="2200" t="str">
        <f>IFERROR(INDEX(BLS_TableCounty[area_text], MATCH(B3329,BLS_TableCounty[List_No],0)),"")</f>
        <v/>
      </c>
    </row>
    <row r="3330" spans="2:3" x14ac:dyDescent="0.15">
      <c r="B3330" s="2200">
        <v>100</v>
      </c>
      <c r="C3330" s="2200" t="str">
        <f>IFERROR(INDEX(BLS_TableCounty[area_text], MATCH(B3330,BLS_TableCounty[List_No],0)),"")</f>
        <v/>
      </c>
    </row>
    <row r="3331" spans="2:3" x14ac:dyDescent="0.15">
      <c r="B3331" s="2200">
        <v>101</v>
      </c>
      <c r="C3331" s="2200" t="str">
        <f>IFERROR(INDEX(BLS_TableCounty[area_text], MATCH(B3331,BLS_TableCounty[List_No],0)),"")</f>
        <v/>
      </c>
    </row>
    <row r="3332" spans="2:3" x14ac:dyDescent="0.15">
      <c r="B3332" s="2200">
        <v>102</v>
      </c>
      <c r="C3332" s="2200" t="str">
        <f>IFERROR(INDEX(BLS_TableCounty[area_text], MATCH(B3332,BLS_TableCounty[List_No],0)),"")</f>
        <v/>
      </c>
    </row>
    <row r="3333" spans="2:3" x14ac:dyDescent="0.15">
      <c r="B3333" s="2200">
        <v>103</v>
      </c>
      <c r="C3333" s="2200" t="str">
        <f>IFERROR(INDEX(BLS_TableCounty[area_text], MATCH(B3333,BLS_TableCounty[List_No],0)),"")</f>
        <v/>
      </c>
    </row>
    <row r="3334" spans="2:3" x14ac:dyDescent="0.15">
      <c r="B3334" s="2200">
        <v>104</v>
      </c>
      <c r="C3334" s="2200" t="str">
        <f>IFERROR(INDEX(BLS_TableCounty[area_text], MATCH(B3334,BLS_TableCounty[List_No],0)),"")</f>
        <v/>
      </c>
    </row>
    <row r="3335" spans="2:3" x14ac:dyDescent="0.15">
      <c r="B3335" s="2200">
        <v>105</v>
      </c>
      <c r="C3335" s="2200" t="str">
        <f>IFERROR(INDEX(BLS_TableCounty[area_text], MATCH(B3335,BLS_TableCounty[List_No],0)),"")</f>
        <v/>
      </c>
    </row>
    <row r="3336" spans="2:3" x14ac:dyDescent="0.15">
      <c r="B3336" s="2200">
        <v>106</v>
      </c>
      <c r="C3336" s="2200" t="str">
        <f>IFERROR(INDEX(BLS_TableCounty[area_text], MATCH(B3336,BLS_TableCounty[List_No],0)),"")</f>
        <v/>
      </c>
    </row>
    <row r="3337" spans="2:3" x14ac:dyDescent="0.15">
      <c r="B3337" s="2200">
        <v>107</v>
      </c>
      <c r="C3337" s="2200" t="str">
        <f>IFERROR(INDEX(BLS_TableCounty[area_text], MATCH(B3337,BLS_TableCounty[List_No],0)),"")</f>
        <v/>
      </c>
    </row>
    <row r="3338" spans="2:3" x14ac:dyDescent="0.15">
      <c r="B3338" s="2200">
        <v>108</v>
      </c>
      <c r="C3338" s="2200" t="str">
        <f>IFERROR(INDEX(BLS_TableCounty[area_text], MATCH(B3338,BLS_TableCounty[List_No],0)),"")</f>
        <v/>
      </c>
    </row>
    <row r="3339" spans="2:3" x14ac:dyDescent="0.15">
      <c r="B3339" s="2200">
        <v>109</v>
      </c>
      <c r="C3339" s="2200" t="str">
        <f>IFERROR(INDEX(BLS_TableCounty[area_text], MATCH(B3339,BLS_TableCounty[List_No],0)),"")</f>
        <v/>
      </c>
    </row>
    <row r="3340" spans="2:3" x14ac:dyDescent="0.15">
      <c r="B3340" s="2200">
        <v>110</v>
      </c>
      <c r="C3340" s="2200" t="str">
        <f>IFERROR(INDEX(BLS_TableCounty[area_text], MATCH(B3340,BLS_TableCounty[List_No],0)),"")</f>
        <v/>
      </c>
    </row>
    <row r="3341" spans="2:3" x14ac:dyDescent="0.15">
      <c r="B3341" s="2200">
        <v>111</v>
      </c>
      <c r="C3341" s="2200" t="str">
        <f>IFERROR(INDEX(BLS_TableCounty[area_text], MATCH(B3341,BLS_TableCounty[List_No],0)),"")</f>
        <v/>
      </c>
    </row>
    <row r="3342" spans="2:3" x14ac:dyDescent="0.15">
      <c r="B3342" s="2200">
        <v>112</v>
      </c>
      <c r="C3342" s="2200" t="str">
        <f>IFERROR(INDEX(BLS_TableCounty[area_text], MATCH(B3342,BLS_TableCounty[List_No],0)),"")</f>
        <v/>
      </c>
    </row>
    <row r="3343" spans="2:3" x14ac:dyDescent="0.15">
      <c r="B3343" s="2200">
        <v>113</v>
      </c>
      <c r="C3343" s="2200" t="str">
        <f>IFERROR(INDEX(BLS_TableCounty[area_text], MATCH(B3343,BLS_TableCounty[List_No],0)),"")</f>
        <v/>
      </c>
    </row>
    <row r="3344" spans="2:3" x14ac:dyDescent="0.15">
      <c r="B3344" s="2200">
        <v>114</v>
      </c>
      <c r="C3344" s="2200" t="str">
        <f>IFERROR(INDEX(BLS_TableCounty[area_text], MATCH(B3344,BLS_TableCounty[List_No],0)),"")</f>
        <v/>
      </c>
    </row>
    <row r="3345" spans="2:3" x14ac:dyDescent="0.15">
      <c r="B3345" s="2200">
        <v>115</v>
      </c>
      <c r="C3345" s="2200" t="str">
        <f>IFERROR(INDEX(BLS_TableCounty[area_text], MATCH(B3345,BLS_TableCounty[List_No],0)),"")</f>
        <v/>
      </c>
    </row>
    <row r="3346" spans="2:3" x14ac:dyDescent="0.15">
      <c r="B3346" s="2200">
        <v>116</v>
      </c>
      <c r="C3346" s="2200" t="str">
        <f>IFERROR(INDEX(BLS_TableCounty[area_text], MATCH(B3346,BLS_TableCounty[List_No],0)),"")</f>
        <v/>
      </c>
    </row>
    <row r="3347" spans="2:3" x14ac:dyDescent="0.15">
      <c r="B3347" s="2200">
        <v>117</v>
      </c>
      <c r="C3347" s="2200" t="str">
        <f>IFERROR(INDEX(BLS_TableCounty[area_text], MATCH(B3347,BLS_TableCounty[List_No],0)),"")</f>
        <v/>
      </c>
    </row>
    <row r="3348" spans="2:3" x14ac:dyDescent="0.15">
      <c r="B3348" s="2200">
        <v>118</v>
      </c>
      <c r="C3348" s="2200" t="str">
        <f>IFERROR(INDEX(BLS_TableCounty[area_text], MATCH(B3348,BLS_TableCounty[List_No],0)),"")</f>
        <v/>
      </c>
    </row>
    <row r="3349" spans="2:3" x14ac:dyDescent="0.15">
      <c r="B3349" s="2200">
        <v>119</v>
      </c>
      <c r="C3349" s="2200" t="str">
        <f>IFERROR(INDEX(BLS_TableCounty[area_text], MATCH(B3349,BLS_TableCounty[List_No],0)),"")</f>
        <v/>
      </c>
    </row>
    <row r="3350" spans="2:3" x14ac:dyDescent="0.15">
      <c r="B3350" s="2200">
        <v>120</v>
      </c>
      <c r="C3350" s="2200" t="str">
        <f>IFERROR(INDEX(BLS_TableCounty[area_text], MATCH(B3350,BLS_TableCounty[List_No],0)),"")</f>
        <v/>
      </c>
    </row>
    <row r="3351" spans="2:3" x14ac:dyDescent="0.15">
      <c r="B3351" s="2200">
        <v>121</v>
      </c>
      <c r="C3351" s="2200" t="str">
        <f>IFERROR(INDEX(BLS_TableCounty[area_text], MATCH(B3351,BLS_TableCounty[List_No],0)),"")</f>
        <v/>
      </c>
    </row>
    <row r="3352" spans="2:3" x14ac:dyDescent="0.15">
      <c r="B3352" s="2200">
        <v>122</v>
      </c>
      <c r="C3352" s="2200" t="str">
        <f>IFERROR(INDEX(BLS_TableCounty[area_text], MATCH(B3352,BLS_TableCounty[List_No],0)),"")</f>
        <v/>
      </c>
    </row>
    <row r="3353" spans="2:3" x14ac:dyDescent="0.15">
      <c r="B3353" s="2200">
        <v>123</v>
      </c>
      <c r="C3353" s="2200" t="str">
        <f>IFERROR(INDEX(BLS_TableCounty[area_text], MATCH(B3353,BLS_TableCounty[List_No],0)),"")</f>
        <v/>
      </c>
    </row>
    <row r="3354" spans="2:3" x14ac:dyDescent="0.15">
      <c r="B3354" s="2200">
        <v>124</v>
      </c>
      <c r="C3354" s="2200" t="str">
        <f>IFERROR(INDEX(BLS_TableCounty[area_text], MATCH(B3354,BLS_TableCounty[List_No],0)),"")</f>
        <v/>
      </c>
    </row>
    <row r="3355" spans="2:3" x14ac:dyDescent="0.15">
      <c r="B3355" s="2200">
        <v>125</v>
      </c>
      <c r="C3355" s="2200" t="str">
        <f>IFERROR(INDEX(BLS_TableCounty[area_text], MATCH(B3355,BLS_TableCounty[List_No],0)),"")</f>
        <v/>
      </c>
    </row>
    <row r="3356" spans="2:3" x14ac:dyDescent="0.15">
      <c r="B3356" s="2200">
        <v>126</v>
      </c>
      <c r="C3356" s="2200" t="str">
        <f>IFERROR(INDEX(BLS_TableCounty[area_text], MATCH(B3356,BLS_TableCounty[List_No],0)),"")</f>
        <v/>
      </c>
    </row>
    <row r="3357" spans="2:3" x14ac:dyDescent="0.15">
      <c r="B3357" s="2200">
        <v>127</v>
      </c>
      <c r="C3357" s="2200" t="str">
        <f>IFERROR(INDEX(BLS_TableCounty[area_text], MATCH(B3357,BLS_TableCounty[List_No],0)),"")</f>
        <v/>
      </c>
    </row>
    <row r="3358" spans="2:3" x14ac:dyDescent="0.15">
      <c r="B3358" s="2200">
        <v>128</v>
      </c>
      <c r="C3358" s="2200" t="str">
        <f>IFERROR(INDEX(BLS_TableCounty[area_text], MATCH(B3358,BLS_TableCounty[List_No],0)),"")</f>
        <v/>
      </c>
    </row>
    <row r="3359" spans="2:3" x14ac:dyDescent="0.15">
      <c r="B3359" s="2200">
        <v>129</v>
      </c>
      <c r="C3359" s="2200" t="str">
        <f>IFERROR(INDEX(BLS_TableCounty[area_text], MATCH(B3359,BLS_TableCounty[List_No],0)),"")</f>
        <v/>
      </c>
    </row>
    <row r="3360" spans="2:3" x14ac:dyDescent="0.15">
      <c r="B3360" s="2200">
        <v>130</v>
      </c>
      <c r="C3360" s="2200" t="str">
        <f>IFERROR(INDEX(BLS_TableCounty[area_text], MATCH(B3360,BLS_TableCounty[List_No],0)),"")</f>
        <v/>
      </c>
    </row>
    <row r="3361" spans="2:3" x14ac:dyDescent="0.15">
      <c r="B3361" s="2200">
        <v>131</v>
      </c>
      <c r="C3361" s="2200" t="str">
        <f>IFERROR(INDEX(BLS_TableCounty[area_text], MATCH(B3361,BLS_TableCounty[List_No],0)),"")</f>
        <v/>
      </c>
    </row>
    <row r="3362" spans="2:3" x14ac:dyDescent="0.15">
      <c r="B3362" s="2200">
        <v>132</v>
      </c>
      <c r="C3362" s="2200" t="str">
        <f>IFERROR(INDEX(BLS_TableCounty[area_text], MATCH(B3362,BLS_TableCounty[List_No],0)),"")</f>
        <v/>
      </c>
    </row>
    <row r="3363" spans="2:3" x14ac:dyDescent="0.15">
      <c r="B3363" s="2200">
        <v>133</v>
      </c>
      <c r="C3363" s="2200" t="str">
        <f>IFERROR(INDEX(BLS_TableCounty[area_text], MATCH(B3363,BLS_TableCounty[List_No],0)),"")</f>
        <v/>
      </c>
    </row>
    <row r="3364" spans="2:3" x14ac:dyDescent="0.15">
      <c r="B3364" s="2200">
        <v>134</v>
      </c>
      <c r="C3364" s="2200" t="str">
        <f>IFERROR(INDEX(BLS_TableCounty[area_text], MATCH(B3364,BLS_TableCounty[List_No],0)),"")</f>
        <v/>
      </c>
    </row>
    <row r="3365" spans="2:3" x14ac:dyDescent="0.15">
      <c r="B3365" s="2200">
        <v>135</v>
      </c>
      <c r="C3365" s="2200" t="str">
        <f>IFERROR(INDEX(BLS_TableCounty[area_text], MATCH(B3365,BLS_TableCounty[List_No],0)),"")</f>
        <v/>
      </c>
    </row>
    <row r="3366" spans="2:3" x14ac:dyDescent="0.15">
      <c r="B3366" s="2200">
        <v>136</v>
      </c>
      <c r="C3366" s="2200" t="str">
        <f>IFERROR(INDEX(BLS_TableCounty[area_text], MATCH(B3366,BLS_TableCounty[List_No],0)),"")</f>
        <v/>
      </c>
    </row>
    <row r="3367" spans="2:3" x14ac:dyDescent="0.15">
      <c r="B3367" s="2200">
        <v>137</v>
      </c>
      <c r="C3367" s="2200" t="str">
        <f>IFERROR(INDEX(BLS_TableCounty[area_text], MATCH(B3367,BLS_TableCounty[List_No],0)),"")</f>
        <v/>
      </c>
    </row>
    <row r="3368" spans="2:3" x14ac:dyDescent="0.15">
      <c r="B3368" s="2200">
        <v>138</v>
      </c>
      <c r="C3368" s="2200" t="str">
        <f>IFERROR(INDEX(BLS_TableCounty[area_text], MATCH(B3368,BLS_TableCounty[List_No],0)),"")</f>
        <v/>
      </c>
    </row>
    <row r="3369" spans="2:3" x14ac:dyDescent="0.15">
      <c r="B3369" s="2200">
        <v>139</v>
      </c>
      <c r="C3369" s="2200" t="str">
        <f>IFERROR(INDEX(BLS_TableCounty[area_text], MATCH(B3369,BLS_TableCounty[List_No],0)),"")</f>
        <v/>
      </c>
    </row>
    <row r="3370" spans="2:3" x14ac:dyDescent="0.15">
      <c r="B3370" s="2200">
        <v>140</v>
      </c>
      <c r="C3370" s="2200" t="str">
        <f>IFERROR(INDEX(BLS_TableCounty[area_text], MATCH(B3370,BLS_TableCounty[List_No],0)),"")</f>
        <v/>
      </c>
    </row>
    <row r="3371" spans="2:3" x14ac:dyDescent="0.15">
      <c r="B3371" s="2200">
        <v>141</v>
      </c>
      <c r="C3371" s="2200" t="str">
        <f>IFERROR(INDEX(BLS_TableCounty[area_text], MATCH(B3371,BLS_TableCounty[List_No],0)),"")</f>
        <v/>
      </c>
    </row>
    <row r="3372" spans="2:3" x14ac:dyDescent="0.15">
      <c r="B3372" s="2200">
        <v>142</v>
      </c>
      <c r="C3372" s="2200" t="str">
        <f>IFERROR(INDEX(BLS_TableCounty[area_text], MATCH(B3372,BLS_TableCounty[List_No],0)),"")</f>
        <v/>
      </c>
    </row>
    <row r="3373" spans="2:3" x14ac:dyDescent="0.15">
      <c r="B3373" s="2200">
        <v>143</v>
      </c>
      <c r="C3373" s="2200" t="str">
        <f>IFERROR(INDEX(BLS_TableCounty[area_text], MATCH(B3373,BLS_TableCounty[List_No],0)),"")</f>
        <v/>
      </c>
    </row>
    <row r="3374" spans="2:3" x14ac:dyDescent="0.15">
      <c r="B3374" s="2200">
        <v>144</v>
      </c>
      <c r="C3374" s="2200" t="str">
        <f>IFERROR(INDEX(BLS_TableCounty[area_text], MATCH(B3374,BLS_TableCounty[List_No],0)),"")</f>
        <v/>
      </c>
    </row>
    <row r="3375" spans="2:3" x14ac:dyDescent="0.15">
      <c r="B3375" s="2200">
        <v>145</v>
      </c>
      <c r="C3375" s="2200" t="str">
        <f>IFERROR(INDEX(BLS_TableCounty[area_text], MATCH(B3375,BLS_TableCounty[List_No],0)),"")</f>
        <v/>
      </c>
    </row>
    <row r="3376" spans="2:3" x14ac:dyDescent="0.15">
      <c r="B3376" s="2200">
        <v>146</v>
      </c>
      <c r="C3376" s="2200" t="str">
        <f>IFERROR(INDEX(BLS_TableCounty[area_text], MATCH(B3376,BLS_TableCounty[List_No],0)),"")</f>
        <v/>
      </c>
    </row>
    <row r="3377" spans="2:3" x14ac:dyDescent="0.15">
      <c r="B3377" s="2200">
        <v>147</v>
      </c>
      <c r="C3377" s="2200" t="str">
        <f>IFERROR(INDEX(BLS_TableCounty[area_text], MATCH(B3377,BLS_TableCounty[List_No],0)),"")</f>
        <v/>
      </c>
    </row>
    <row r="3378" spans="2:3" x14ac:dyDescent="0.15">
      <c r="B3378" s="2200">
        <v>148</v>
      </c>
      <c r="C3378" s="2200" t="str">
        <f>IFERROR(INDEX(BLS_TableCounty[area_text], MATCH(B3378,BLS_TableCounty[List_No],0)),"")</f>
        <v/>
      </c>
    </row>
    <row r="3379" spans="2:3" x14ac:dyDescent="0.15">
      <c r="B3379" s="2200">
        <v>149</v>
      </c>
      <c r="C3379" s="2200" t="str">
        <f>IFERROR(INDEX(BLS_TableCounty[area_text], MATCH(B3379,BLS_TableCounty[List_No],0)),"")</f>
        <v/>
      </c>
    </row>
    <row r="3380" spans="2:3" x14ac:dyDescent="0.15">
      <c r="B3380" s="2200">
        <v>150</v>
      </c>
      <c r="C3380" s="2200" t="str">
        <f>IFERROR(INDEX(BLS_TableCounty[area_text], MATCH(B3380,BLS_TableCounty[List_No],0)),"")</f>
        <v/>
      </c>
    </row>
    <row r="3381" spans="2:3" x14ac:dyDescent="0.15">
      <c r="B3381" s="2200">
        <v>151</v>
      </c>
      <c r="C3381" s="2200" t="str">
        <f>IFERROR(INDEX(BLS_TableCounty[area_text], MATCH(B3381,BLS_TableCounty[List_No],0)),"")</f>
        <v/>
      </c>
    </row>
    <row r="3382" spans="2:3" x14ac:dyDescent="0.15">
      <c r="B3382" s="2200">
        <v>152</v>
      </c>
      <c r="C3382" s="2200" t="str">
        <f>IFERROR(INDEX(BLS_TableCounty[area_text], MATCH(B3382,BLS_TableCounty[List_No],0)),"")</f>
        <v/>
      </c>
    </row>
    <row r="3383" spans="2:3" x14ac:dyDescent="0.15">
      <c r="B3383" s="2200">
        <v>153</v>
      </c>
      <c r="C3383" s="2200" t="str">
        <f>IFERROR(INDEX(BLS_TableCounty[area_text], MATCH(B3383,BLS_TableCounty[List_No],0)),"")</f>
        <v/>
      </c>
    </row>
    <row r="3384" spans="2:3" x14ac:dyDescent="0.15">
      <c r="B3384" s="2200">
        <v>154</v>
      </c>
      <c r="C3384" s="2200" t="str">
        <f>IFERROR(INDEX(BLS_TableCounty[area_text], MATCH(B3384,BLS_TableCounty[List_No],0)),"")</f>
        <v/>
      </c>
    </row>
    <row r="3385" spans="2:3" x14ac:dyDescent="0.15">
      <c r="B3385" s="2200">
        <v>155</v>
      </c>
      <c r="C3385" s="2200" t="str">
        <f>IFERROR(INDEX(BLS_TableCounty[area_text], MATCH(B3385,BLS_TableCounty[List_No],0)),"")</f>
        <v/>
      </c>
    </row>
    <row r="3386" spans="2:3" x14ac:dyDescent="0.15">
      <c r="B3386" s="2200">
        <v>156</v>
      </c>
      <c r="C3386" s="2200" t="str">
        <f>IFERROR(INDEX(BLS_TableCounty[area_text], MATCH(B3386,BLS_TableCounty[List_No],0)),"")</f>
        <v/>
      </c>
    </row>
    <row r="3387" spans="2:3" x14ac:dyDescent="0.15">
      <c r="B3387" s="2200">
        <v>157</v>
      </c>
      <c r="C3387" s="2200" t="str">
        <f>IFERROR(INDEX(BLS_TableCounty[area_text], MATCH(B3387,BLS_TableCounty[List_No],0)),"")</f>
        <v/>
      </c>
    </row>
    <row r="3388" spans="2:3" x14ac:dyDescent="0.15">
      <c r="B3388" s="2200">
        <v>158</v>
      </c>
      <c r="C3388" s="2200" t="str">
        <f>IFERROR(INDEX(BLS_TableCounty[area_text], MATCH(B3388,BLS_TableCounty[List_No],0)),"")</f>
        <v/>
      </c>
    </row>
    <row r="3389" spans="2:3" x14ac:dyDescent="0.15">
      <c r="B3389" s="2200">
        <v>159</v>
      </c>
      <c r="C3389" s="2200" t="str">
        <f>IFERROR(INDEX(BLS_TableCounty[area_text], MATCH(B3389,BLS_TableCounty[List_No],0)),"")</f>
        <v/>
      </c>
    </row>
    <row r="3390" spans="2:3" x14ac:dyDescent="0.15">
      <c r="B3390" s="2200">
        <v>160</v>
      </c>
      <c r="C3390" s="2200" t="str">
        <f>IFERROR(INDEX(BLS_TableCounty[area_text], MATCH(B3390,BLS_TableCounty[List_No],0)),"")</f>
        <v/>
      </c>
    </row>
    <row r="3391" spans="2:3" x14ac:dyDescent="0.15">
      <c r="B3391" s="2200">
        <v>161</v>
      </c>
      <c r="C3391" s="2200" t="str">
        <f>IFERROR(INDEX(BLS_TableCounty[area_text], MATCH(B3391,BLS_TableCounty[List_No],0)),"")</f>
        <v/>
      </c>
    </row>
    <row r="3392" spans="2:3" x14ac:dyDescent="0.15">
      <c r="B3392" s="2200">
        <v>162</v>
      </c>
      <c r="C3392" s="2200" t="str">
        <f>IFERROR(INDEX(BLS_TableCounty[area_text], MATCH(B3392,BLS_TableCounty[List_No],0)),"")</f>
        <v/>
      </c>
    </row>
    <row r="3393" spans="2:3" x14ac:dyDescent="0.15">
      <c r="B3393" s="2200">
        <v>163</v>
      </c>
      <c r="C3393" s="2200" t="str">
        <f>IFERROR(INDEX(BLS_TableCounty[area_text], MATCH(B3393,BLS_TableCounty[List_No],0)),"")</f>
        <v/>
      </c>
    </row>
    <row r="3394" spans="2:3" x14ac:dyDescent="0.15">
      <c r="B3394" s="2200">
        <v>164</v>
      </c>
      <c r="C3394" s="2200" t="str">
        <f>IFERROR(INDEX(BLS_TableCounty[area_text], MATCH(B3394,BLS_TableCounty[List_No],0)),"")</f>
        <v/>
      </c>
    </row>
    <row r="3395" spans="2:3" x14ac:dyDescent="0.15">
      <c r="B3395" s="2200">
        <v>165</v>
      </c>
      <c r="C3395" s="2200" t="str">
        <f>IFERROR(INDEX(BLS_TableCounty[area_text], MATCH(B3395,BLS_TableCounty[List_No],0)),"")</f>
        <v/>
      </c>
    </row>
    <row r="3396" spans="2:3" x14ac:dyDescent="0.15">
      <c r="B3396" s="2200">
        <v>166</v>
      </c>
      <c r="C3396" s="2200" t="str">
        <f>IFERROR(INDEX(BLS_TableCounty[area_text], MATCH(B3396,BLS_TableCounty[List_No],0)),"")</f>
        <v/>
      </c>
    </row>
    <row r="3397" spans="2:3" x14ac:dyDescent="0.15">
      <c r="B3397" s="2200">
        <v>167</v>
      </c>
      <c r="C3397" s="2200" t="str">
        <f>IFERROR(INDEX(BLS_TableCounty[area_text], MATCH(B3397,BLS_TableCounty[List_No],0)),"")</f>
        <v/>
      </c>
    </row>
    <row r="3398" spans="2:3" x14ac:dyDescent="0.15">
      <c r="B3398" s="2200">
        <v>168</v>
      </c>
      <c r="C3398" s="2200" t="str">
        <f>IFERROR(INDEX(BLS_TableCounty[area_text], MATCH(B3398,BLS_TableCounty[List_No],0)),"")</f>
        <v/>
      </c>
    </row>
    <row r="3399" spans="2:3" x14ac:dyDescent="0.15">
      <c r="B3399" s="2200">
        <v>169</v>
      </c>
      <c r="C3399" s="2200" t="str">
        <f>IFERROR(INDEX(BLS_TableCounty[area_text], MATCH(B3399,BLS_TableCounty[List_No],0)),"")</f>
        <v/>
      </c>
    </row>
    <row r="3400" spans="2:3" x14ac:dyDescent="0.15">
      <c r="B3400" s="2200">
        <v>170</v>
      </c>
      <c r="C3400" s="2200" t="str">
        <f>IFERROR(INDEX(BLS_TableCounty[area_text], MATCH(B3400,BLS_TableCounty[List_No],0)),"")</f>
        <v/>
      </c>
    </row>
    <row r="3401" spans="2:3" x14ac:dyDescent="0.15">
      <c r="B3401" s="2200">
        <v>171</v>
      </c>
      <c r="C3401" s="2200" t="str">
        <f>IFERROR(INDEX(BLS_TableCounty[area_text], MATCH(B3401,BLS_TableCounty[List_No],0)),"")</f>
        <v/>
      </c>
    </row>
    <row r="3402" spans="2:3" x14ac:dyDescent="0.15">
      <c r="B3402" s="2200">
        <v>172</v>
      </c>
      <c r="C3402" s="2200" t="str">
        <f>IFERROR(INDEX(BLS_TableCounty[area_text], MATCH(B3402,BLS_TableCounty[List_No],0)),"")</f>
        <v/>
      </c>
    </row>
    <row r="3403" spans="2:3" x14ac:dyDescent="0.15">
      <c r="B3403" s="2200">
        <v>173</v>
      </c>
      <c r="C3403" s="2200" t="str">
        <f>IFERROR(INDEX(BLS_TableCounty[area_text], MATCH(B3403,BLS_TableCounty[List_No],0)),"")</f>
        <v/>
      </c>
    </row>
    <row r="3404" spans="2:3" x14ac:dyDescent="0.15">
      <c r="B3404" s="2200">
        <v>174</v>
      </c>
      <c r="C3404" s="2200" t="str">
        <f>IFERROR(INDEX(BLS_TableCounty[area_text], MATCH(B3404,BLS_TableCounty[List_No],0)),"")</f>
        <v/>
      </c>
    </row>
    <row r="3405" spans="2:3" x14ac:dyDescent="0.15">
      <c r="B3405" s="2200">
        <v>175</v>
      </c>
      <c r="C3405" s="2200" t="str">
        <f>IFERROR(INDEX(BLS_TableCounty[area_text], MATCH(B3405,BLS_TableCounty[List_No],0)),"")</f>
        <v/>
      </c>
    </row>
    <row r="3406" spans="2:3" x14ac:dyDescent="0.15">
      <c r="B3406" s="2200">
        <v>176</v>
      </c>
      <c r="C3406" s="2200" t="str">
        <f>IFERROR(INDEX(BLS_TableCounty[area_text], MATCH(B3406,BLS_TableCounty[List_No],0)),"")</f>
        <v/>
      </c>
    </row>
    <row r="3407" spans="2:3" x14ac:dyDescent="0.15">
      <c r="B3407" s="2200">
        <v>177</v>
      </c>
      <c r="C3407" s="2200" t="str">
        <f>IFERROR(INDEX(BLS_TableCounty[area_text], MATCH(B3407,BLS_TableCounty[List_No],0)),"")</f>
        <v/>
      </c>
    </row>
    <row r="3408" spans="2:3" x14ac:dyDescent="0.15">
      <c r="B3408" s="2200">
        <v>178</v>
      </c>
      <c r="C3408" s="2200" t="str">
        <f>IFERROR(INDEX(BLS_TableCounty[area_text], MATCH(B3408,BLS_TableCounty[List_No],0)),"")</f>
        <v/>
      </c>
    </row>
    <row r="3409" spans="2:3" x14ac:dyDescent="0.15">
      <c r="B3409" s="2200">
        <v>179</v>
      </c>
      <c r="C3409" s="2200" t="str">
        <f>IFERROR(INDEX(BLS_TableCounty[area_text], MATCH(B3409,BLS_TableCounty[List_No],0)),"")</f>
        <v/>
      </c>
    </row>
    <row r="3410" spans="2:3" x14ac:dyDescent="0.15">
      <c r="B3410" s="2200">
        <v>180</v>
      </c>
      <c r="C3410" s="2200" t="str">
        <f>IFERROR(INDEX(BLS_TableCounty[area_text], MATCH(B3410,BLS_TableCounty[List_No],0)),"")</f>
        <v/>
      </c>
    </row>
    <row r="3411" spans="2:3" x14ac:dyDescent="0.15">
      <c r="B3411" s="2200">
        <v>181</v>
      </c>
      <c r="C3411" s="2200" t="str">
        <f>IFERROR(INDEX(BLS_TableCounty[area_text], MATCH(B3411,BLS_TableCounty[List_No],0)),"")</f>
        <v/>
      </c>
    </row>
    <row r="3412" spans="2:3" x14ac:dyDescent="0.15">
      <c r="B3412" s="2200">
        <v>182</v>
      </c>
      <c r="C3412" s="2200" t="str">
        <f>IFERROR(INDEX(BLS_TableCounty[area_text], MATCH(B3412,BLS_TableCounty[List_No],0)),"")</f>
        <v/>
      </c>
    </row>
    <row r="3413" spans="2:3" x14ac:dyDescent="0.15">
      <c r="B3413" s="2200">
        <v>183</v>
      </c>
      <c r="C3413" s="2200" t="str">
        <f>IFERROR(INDEX(BLS_TableCounty[area_text], MATCH(B3413,BLS_TableCounty[List_No],0)),"")</f>
        <v/>
      </c>
    </row>
    <row r="3414" spans="2:3" x14ac:dyDescent="0.15">
      <c r="B3414" s="2200">
        <v>184</v>
      </c>
      <c r="C3414" s="2200" t="str">
        <f>IFERROR(INDEX(BLS_TableCounty[area_text], MATCH(B3414,BLS_TableCounty[List_No],0)),"")</f>
        <v/>
      </c>
    </row>
    <row r="3415" spans="2:3" x14ac:dyDescent="0.15">
      <c r="B3415" s="2200">
        <v>185</v>
      </c>
      <c r="C3415" s="2200" t="str">
        <f>IFERROR(INDEX(BLS_TableCounty[area_text], MATCH(B3415,BLS_TableCounty[List_No],0)),"")</f>
        <v/>
      </c>
    </row>
    <row r="3416" spans="2:3" x14ac:dyDescent="0.15">
      <c r="B3416" s="2200">
        <v>186</v>
      </c>
      <c r="C3416" s="2200" t="str">
        <f>IFERROR(INDEX(BLS_TableCounty[area_text], MATCH(B3416,BLS_TableCounty[List_No],0)),"")</f>
        <v/>
      </c>
    </row>
    <row r="3417" spans="2:3" x14ac:dyDescent="0.15">
      <c r="B3417" s="2200">
        <v>187</v>
      </c>
      <c r="C3417" s="2200" t="str">
        <f>IFERROR(INDEX(BLS_TableCounty[area_text], MATCH(B3417,BLS_TableCounty[List_No],0)),"")</f>
        <v/>
      </c>
    </row>
    <row r="3418" spans="2:3" x14ac:dyDescent="0.15">
      <c r="B3418" s="2200">
        <v>188</v>
      </c>
      <c r="C3418" s="2200" t="str">
        <f>IFERROR(INDEX(BLS_TableCounty[area_text], MATCH(B3418,BLS_TableCounty[List_No],0)),"")</f>
        <v/>
      </c>
    </row>
    <row r="3419" spans="2:3" x14ac:dyDescent="0.15">
      <c r="B3419" s="2200">
        <v>189</v>
      </c>
      <c r="C3419" s="2200" t="str">
        <f>IFERROR(INDEX(BLS_TableCounty[area_text], MATCH(B3419,BLS_TableCounty[List_No],0)),"")</f>
        <v/>
      </c>
    </row>
    <row r="3420" spans="2:3" x14ac:dyDescent="0.15">
      <c r="B3420" s="2200">
        <v>190</v>
      </c>
      <c r="C3420" s="2200" t="str">
        <f>IFERROR(INDEX(BLS_TableCounty[area_text], MATCH(B3420,BLS_TableCounty[List_No],0)),"")</f>
        <v/>
      </c>
    </row>
    <row r="3421" spans="2:3" x14ac:dyDescent="0.15">
      <c r="B3421" s="2200">
        <v>191</v>
      </c>
      <c r="C3421" s="2200" t="str">
        <f>IFERROR(INDEX(BLS_TableCounty[area_text], MATCH(B3421,BLS_TableCounty[List_No],0)),"")</f>
        <v/>
      </c>
    </row>
    <row r="3422" spans="2:3" x14ac:dyDescent="0.15">
      <c r="B3422" s="2200">
        <v>192</v>
      </c>
      <c r="C3422" s="2200" t="str">
        <f>IFERROR(INDEX(BLS_TableCounty[area_text], MATCH(B3422,BLS_TableCounty[List_No],0)),"")</f>
        <v/>
      </c>
    </row>
    <row r="3423" spans="2:3" x14ac:dyDescent="0.15">
      <c r="B3423" s="2200">
        <v>193</v>
      </c>
      <c r="C3423" s="2200" t="str">
        <f>IFERROR(INDEX(BLS_TableCounty[area_text], MATCH(B3423,BLS_TableCounty[List_No],0)),"")</f>
        <v/>
      </c>
    </row>
    <row r="3424" spans="2:3" x14ac:dyDescent="0.15">
      <c r="B3424" s="2200">
        <v>194</v>
      </c>
      <c r="C3424" s="2200" t="str">
        <f>IFERROR(INDEX(BLS_TableCounty[area_text], MATCH(B3424,BLS_TableCounty[List_No],0)),"")</f>
        <v/>
      </c>
    </row>
    <row r="3425" spans="2:3" x14ac:dyDescent="0.15">
      <c r="B3425" s="2200">
        <v>195</v>
      </c>
      <c r="C3425" s="2200" t="str">
        <f>IFERROR(INDEX(BLS_TableCounty[area_text], MATCH(B3425,BLS_TableCounty[List_No],0)),"")</f>
        <v/>
      </c>
    </row>
    <row r="3426" spans="2:3" x14ac:dyDescent="0.15">
      <c r="B3426" s="2200">
        <v>196</v>
      </c>
      <c r="C3426" s="2200" t="str">
        <f>IFERROR(INDEX(BLS_TableCounty[area_text], MATCH(B3426,BLS_TableCounty[List_No],0)),"")</f>
        <v/>
      </c>
    </row>
    <row r="3427" spans="2:3" x14ac:dyDescent="0.15">
      <c r="B3427" s="2200">
        <v>197</v>
      </c>
      <c r="C3427" s="2200" t="str">
        <f>IFERROR(INDEX(BLS_TableCounty[area_text], MATCH(B3427,BLS_TableCounty[List_No],0)),"")</f>
        <v/>
      </c>
    </row>
    <row r="3428" spans="2:3" x14ac:dyDescent="0.15">
      <c r="B3428" s="2200">
        <v>198</v>
      </c>
      <c r="C3428" s="2200" t="str">
        <f>IFERROR(INDEX(BLS_TableCounty[area_text], MATCH(B3428,BLS_TableCounty[List_No],0)),"")</f>
        <v/>
      </c>
    </row>
    <row r="3429" spans="2:3" x14ac:dyDescent="0.15">
      <c r="B3429" s="2200">
        <v>199</v>
      </c>
      <c r="C3429" s="2200" t="str">
        <f>IFERROR(INDEX(BLS_TableCounty[area_text], MATCH(B3429,BLS_TableCounty[List_No],0)),"")</f>
        <v/>
      </c>
    </row>
    <row r="3430" spans="2:3" x14ac:dyDescent="0.15">
      <c r="B3430" s="2200">
        <v>200</v>
      </c>
      <c r="C3430" s="2200" t="str">
        <f>IFERROR(INDEX(BLS_TableCounty[area_text], MATCH(B3430,BLS_TableCounty[List_No],0)),"")</f>
        <v/>
      </c>
    </row>
    <row r="3431" spans="2:3" x14ac:dyDescent="0.15">
      <c r="B3431" s="2200">
        <v>201</v>
      </c>
      <c r="C3431" s="2200" t="str">
        <f>IFERROR(INDEX(BLS_TableCounty[area_text], MATCH(B3431,BLS_TableCounty[List_No],0)),"")</f>
        <v/>
      </c>
    </row>
    <row r="3432" spans="2:3" x14ac:dyDescent="0.15">
      <c r="B3432" s="2200">
        <v>202</v>
      </c>
      <c r="C3432" s="2200" t="str">
        <f>IFERROR(INDEX(BLS_TableCounty[area_text], MATCH(B3432,BLS_TableCounty[List_No],0)),"")</f>
        <v/>
      </c>
    </row>
    <row r="3433" spans="2:3" x14ac:dyDescent="0.15">
      <c r="B3433" s="2200">
        <v>203</v>
      </c>
      <c r="C3433" s="2200" t="str">
        <f>IFERROR(INDEX(BLS_TableCounty[area_text], MATCH(B3433,BLS_TableCounty[List_No],0)),"")</f>
        <v/>
      </c>
    </row>
    <row r="3434" spans="2:3" x14ac:dyDescent="0.15">
      <c r="B3434" s="2200">
        <v>204</v>
      </c>
      <c r="C3434" s="2200" t="str">
        <f>IFERROR(INDEX(BLS_TableCounty[area_text], MATCH(B3434,BLS_TableCounty[List_No],0)),"")</f>
        <v/>
      </c>
    </row>
    <row r="3435" spans="2:3" x14ac:dyDescent="0.15">
      <c r="B3435" s="2200">
        <v>205</v>
      </c>
      <c r="C3435" s="2200" t="str">
        <f>IFERROR(INDEX(BLS_TableCounty[area_text], MATCH(B3435,BLS_TableCounty[List_No],0)),"")</f>
        <v/>
      </c>
    </row>
    <row r="3436" spans="2:3" x14ac:dyDescent="0.15">
      <c r="B3436" s="2200">
        <v>206</v>
      </c>
      <c r="C3436" s="2200" t="str">
        <f>IFERROR(INDEX(BLS_TableCounty[area_text], MATCH(B3436,BLS_TableCounty[List_No],0)),"")</f>
        <v/>
      </c>
    </row>
    <row r="3437" spans="2:3" x14ac:dyDescent="0.15">
      <c r="B3437" s="2200">
        <v>207</v>
      </c>
      <c r="C3437" s="2200" t="str">
        <f>IFERROR(INDEX(BLS_TableCounty[area_text], MATCH(B3437,BLS_TableCounty[List_No],0)),"")</f>
        <v/>
      </c>
    </row>
    <row r="3438" spans="2:3" x14ac:dyDescent="0.15">
      <c r="B3438" s="2200">
        <v>208</v>
      </c>
      <c r="C3438" s="2200" t="str">
        <f>IFERROR(INDEX(BLS_TableCounty[area_text], MATCH(B3438,BLS_TableCounty[List_No],0)),"")</f>
        <v/>
      </c>
    </row>
    <row r="3439" spans="2:3" x14ac:dyDescent="0.15">
      <c r="B3439" s="2200">
        <v>209</v>
      </c>
      <c r="C3439" s="2200" t="str">
        <f>IFERROR(INDEX(BLS_TableCounty[area_text], MATCH(B3439,BLS_TableCounty[List_No],0)),"")</f>
        <v/>
      </c>
    </row>
    <row r="3440" spans="2:3" x14ac:dyDescent="0.15">
      <c r="B3440" s="2200">
        <v>210</v>
      </c>
      <c r="C3440" s="2200" t="str">
        <f>IFERROR(INDEX(BLS_TableCounty[area_text], MATCH(B3440,BLS_TableCounty[List_No],0)),"")</f>
        <v/>
      </c>
    </row>
    <row r="3441" spans="2:3" x14ac:dyDescent="0.15">
      <c r="B3441" s="2200">
        <v>211</v>
      </c>
      <c r="C3441" s="2200" t="str">
        <f>IFERROR(INDEX(BLS_TableCounty[area_text], MATCH(B3441,BLS_TableCounty[List_No],0)),"")</f>
        <v/>
      </c>
    </row>
    <row r="3442" spans="2:3" x14ac:dyDescent="0.15">
      <c r="B3442" s="2200">
        <v>212</v>
      </c>
      <c r="C3442" s="2200" t="str">
        <f>IFERROR(INDEX(BLS_TableCounty[area_text], MATCH(B3442,BLS_TableCounty[List_No],0)),"")</f>
        <v/>
      </c>
    </row>
    <row r="3443" spans="2:3" x14ac:dyDescent="0.15">
      <c r="B3443" s="2200">
        <v>213</v>
      </c>
      <c r="C3443" s="2200" t="str">
        <f>IFERROR(INDEX(BLS_TableCounty[area_text], MATCH(B3443,BLS_TableCounty[List_No],0)),"")</f>
        <v/>
      </c>
    </row>
    <row r="3444" spans="2:3" x14ac:dyDescent="0.15">
      <c r="B3444" s="2200">
        <v>214</v>
      </c>
      <c r="C3444" s="2200" t="str">
        <f>IFERROR(INDEX(BLS_TableCounty[area_text], MATCH(B3444,BLS_TableCounty[List_No],0)),"")</f>
        <v/>
      </c>
    </row>
    <row r="3445" spans="2:3" x14ac:dyDescent="0.15">
      <c r="B3445" s="2200">
        <v>215</v>
      </c>
      <c r="C3445" s="2200" t="str">
        <f>IFERROR(INDEX(BLS_TableCounty[area_text], MATCH(B3445,BLS_TableCounty[List_No],0)),"")</f>
        <v/>
      </c>
    </row>
    <row r="3446" spans="2:3" x14ac:dyDescent="0.15">
      <c r="B3446" s="2200">
        <v>216</v>
      </c>
      <c r="C3446" s="2200" t="str">
        <f>IFERROR(INDEX(BLS_TableCounty[area_text], MATCH(B3446,BLS_TableCounty[List_No],0)),"")</f>
        <v/>
      </c>
    </row>
    <row r="3447" spans="2:3" x14ac:dyDescent="0.15">
      <c r="B3447" s="2200">
        <v>217</v>
      </c>
      <c r="C3447" s="2200" t="str">
        <f>IFERROR(INDEX(BLS_TableCounty[area_text], MATCH(B3447,BLS_TableCounty[List_No],0)),"")</f>
        <v/>
      </c>
    </row>
    <row r="3448" spans="2:3" x14ac:dyDescent="0.15">
      <c r="B3448" s="2200">
        <v>218</v>
      </c>
      <c r="C3448" s="2200" t="str">
        <f>IFERROR(INDEX(BLS_TableCounty[area_text], MATCH(B3448,BLS_TableCounty[List_No],0)),"")</f>
        <v/>
      </c>
    </row>
    <row r="3449" spans="2:3" x14ac:dyDescent="0.15">
      <c r="B3449" s="2200">
        <v>219</v>
      </c>
      <c r="C3449" s="2200" t="str">
        <f>IFERROR(INDEX(BLS_TableCounty[area_text], MATCH(B3449,BLS_TableCounty[List_No],0)),"")</f>
        <v/>
      </c>
    </row>
    <row r="3450" spans="2:3" x14ac:dyDescent="0.15">
      <c r="B3450" s="2200">
        <v>220</v>
      </c>
      <c r="C3450" s="2200" t="str">
        <f>IFERROR(INDEX(BLS_TableCounty[area_text], MATCH(B3450,BLS_TableCounty[List_No],0)),"")</f>
        <v/>
      </c>
    </row>
    <row r="3451" spans="2:3" x14ac:dyDescent="0.15">
      <c r="B3451" s="2200">
        <v>221</v>
      </c>
      <c r="C3451" s="2200" t="str">
        <f>IFERROR(INDEX(BLS_TableCounty[area_text], MATCH(B3451,BLS_TableCounty[List_No],0)),"")</f>
        <v/>
      </c>
    </row>
    <row r="3452" spans="2:3" x14ac:dyDescent="0.15">
      <c r="B3452" s="2200">
        <v>222</v>
      </c>
      <c r="C3452" s="2200" t="str">
        <f>IFERROR(INDEX(BLS_TableCounty[area_text], MATCH(B3452,BLS_TableCounty[List_No],0)),"")</f>
        <v/>
      </c>
    </row>
    <row r="3453" spans="2:3" x14ac:dyDescent="0.15">
      <c r="B3453" s="2200">
        <v>223</v>
      </c>
      <c r="C3453" s="2200" t="str">
        <f>IFERROR(INDEX(BLS_TableCounty[area_text], MATCH(B3453,BLS_TableCounty[List_No],0)),"")</f>
        <v/>
      </c>
    </row>
    <row r="3454" spans="2:3" x14ac:dyDescent="0.15">
      <c r="B3454" s="2200">
        <v>224</v>
      </c>
      <c r="C3454" s="2200" t="str">
        <f>IFERROR(INDEX(BLS_TableCounty[area_text], MATCH(B3454,BLS_TableCounty[List_No],0)),"")</f>
        <v/>
      </c>
    </row>
    <row r="3455" spans="2:3" x14ac:dyDescent="0.15">
      <c r="B3455" s="2200">
        <v>225</v>
      </c>
      <c r="C3455" s="2200" t="str">
        <f>IFERROR(INDEX(BLS_TableCounty[area_text], MATCH(B3455,BLS_TableCounty[List_No],0)),"")</f>
        <v/>
      </c>
    </row>
    <row r="3456" spans="2:3" x14ac:dyDescent="0.15">
      <c r="B3456" s="2200">
        <v>226</v>
      </c>
      <c r="C3456" s="2200" t="str">
        <f>IFERROR(INDEX(BLS_TableCounty[area_text], MATCH(B3456,BLS_TableCounty[List_No],0)),"")</f>
        <v/>
      </c>
    </row>
    <row r="3457" spans="2:3" x14ac:dyDescent="0.15">
      <c r="B3457" s="2200">
        <v>227</v>
      </c>
      <c r="C3457" s="2200" t="str">
        <f>IFERROR(INDEX(BLS_TableCounty[area_text], MATCH(B3457,BLS_TableCounty[List_No],0)),"")</f>
        <v/>
      </c>
    </row>
    <row r="3458" spans="2:3" x14ac:dyDescent="0.15">
      <c r="B3458" s="2200">
        <v>228</v>
      </c>
      <c r="C3458" s="2200" t="str">
        <f>IFERROR(INDEX(BLS_TableCounty[area_text], MATCH(B3458,BLS_TableCounty[List_No],0)),"")</f>
        <v/>
      </c>
    </row>
    <row r="3459" spans="2:3" x14ac:dyDescent="0.15">
      <c r="B3459" s="2200">
        <v>229</v>
      </c>
      <c r="C3459" s="2200" t="str">
        <f>IFERROR(INDEX(BLS_TableCounty[area_text], MATCH(B3459,BLS_TableCounty[List_No],0)),"")</f>
        <v/>
      </c>
    </row>
    <row r="3460" spans="2:3" x14ac:dyDescent="0.15">
      <c r="B3460" s="2200">
        <v>230</v>
      </c>
      <c r="C3460" s="2200" t="str">
        <f>IFERROR(INDEX(BLS_TableCounty[area_text], MATCH(B3460,BLS_TableCounty[List_No],0)),"")</f>
        <v/>
      </c>
    </row>
    <row r="3461" spans="2:3" x14ac:dyDescent="0.15">
      <c r="B3461" s="2200">
        <v>231</v>
      </c>
      <c r="C3461" s="2200" t="str">
        <f>IFERROR(INDEX(BLS_TableCounty[area_text], MATCH(B3461,BLS_TableCounty[List_No],0)),"")</f>
        <v/>
      </c>
    </row>
    <row r="3462" spans="2:3" x14ac:dyDescent="0.15">
      <c r="B3462" s="2200">
        <v>232</v>
      </c>
      <c r="C3462" s="2200" t="str">
        <f>IFERROR(INDEX(BLS_TableCounty[area_text], MATCH(B3462,BLS_TableCounty[List_No],0)),"")</f>
        <v/>
      </c>
    </row>
    <row r="3463" spans="2:3" x14ac:dyDescent="0.15">
      <c r="B3463" s="2200">
        <v>233</v>
      </c>
      <c r="C3463" s="2200" t="str">
        <f>IFERROR(INDEX(BLS_TableCounty[area_text], MATCH(B3463,BLS_TableCounty[List_No],0)),"")</f>
        <v/>
      </c>
    </row>
    <row r="3464" spans="2:3" x14ac:dyDescent="0.15">
      <c r="B3464" s="2200">
        <v>234</v>
      </c>
      <c r="C3464" s="2200" t="str">
        <f>IFERROR(INDEX(BLS_TableCounty[area_text], MATCH(B3464,BLS_TableCounty[List_No],0)),"")</f>
        <v/>
      </c>
    </row>
    <row r="3465" spans="2:3" x14ac:dyDescent="0.15">
      <c r="B3465" s="2200">
        <v>235</v>
      </c>
      <c r="C3465" s="2200" t="str">
        <f>IFERROR(INDEX(BLS_TableCounty[area_text], MATCH(B3465,BLS_TableCounty[List_No],0)),"")</f>
        <v/>
      </c>
    </row>
    <row r="3466" spans="2:3" x14ac:dyDescent="0.15">
      <c r="B3466" s="2200">
        <v>236</v>
      </c>
      <c r="C3466" s="2200" t="str">
        <f>IFERROR(INDEX(BLS_TableCounty[area_text], MATCH(B3466,BLS_TableCounty[List_No],0)),"")</f>
        <v/>
      </c>
    </row>
    <row r="3467" spans="2:3" x14ac:dyDescent="0.15">
      <c r="B3467" s="2200">
        <v>237</v>
      </c>
      <c r="C3467" s="2200" t="str">
        <f>IFERROR(INDEX(BLS_TableCounty[area_text], MATCH(B3467,BLS_TableCounty[List_No],0)),"")</f>
        <v/>
      </c>
    </row>
    <row r="3468" spans="2:3" x14ac:dyDescent="0.15">
      <c r="B3468" s="2200">
        <v>238</v>
      </c>
      <c r="C3468" s="2200" t="str">
        <f>IFERROR(INDEX(BLS_TableCounty[area_text], MATCH(B3468,BLS_TableCounty[List_No],0)),"")</f>
        <v/>
      </c>
    </row>
    <row r="3469" spans="2:3" x14ac:dyDescent="0.15">
      <c r="B3469" s="2200">
        <v>239</v>
      </c>
      <c r="C3469" s="2200" t="str">
        <f>IFERROR(INDEX(BLS_TableCounty[area_text], MATCH(B3469,BLS_TableCounty[List_No],0)),"")</f>
        <v/>
      </c>
    </row>
    <row r="3470" spans="2:3" x14ac:dyDescent="0.15">
      <c r="B3470" s="2200">
        <v>240</v>
      </c>
      <c r="C3470" s="2200" t="str">
        <f>IFERROR(INDEX(BLS_TableCounty[area_text], MATCH(B3470,BLS_TableCounty[List_No],0)),"")</f>
        <v/>
      </c>
    </row>
    <row r="3471" spans="2:3" x14ac:dyDescent="0.15">
      <c r="B3471" s="2200">
        <v>241</v>
      </c>
      <c r="C3471" s="2200" t="str">
        <f>IFERROR(INDEX(BLS_TableCounty[area_text], MATCH(B3471,BLS_TableCounty[List_No],0)),"")</f>
        <v/>
      </c>
    </row>
    <row r="3472" spans="2:3" x14ac:dyDescent="0.15">
      <c r="B3472" s="2200">
        <v>242</v>
      </c>
      <c r="C3472" s="2200" t="str">
        <f>IFERROR(INDEX(BLS_TableCounty[area_text], MATCH(B3472,BLS_TableCounty[List_No],0)),"")</f>
        <v/>
      </c>
    </row>
    <row r="3473" spans="2:3" x14ac:dyDescent="0.15">
      <c r="B3473" s="2200">
        <v>243</v>
      </c>
      <c r="C3473" s="2200" t="str">
        <f>IFERROR(INDEX(BLS_TableCounty[area_text], MATCH(B3473,BLS_TableCounty[List_No],0)),"")</f>
        <v/>
      </c>
    </row>
    <row r="3474" spans="2:3" x14ac:dyDescent="0.15">
      <c r="B3474" s="2200">
        <v>244</v>
      </c>
      <c r="C3474" s="2200" t="str">
        <f>IFERROR(INDEX(BLS_TableCounty[area_text], MATCH(B3474,BLS_TableCounty[List_No],0)),"")</f>
        <v/>
      </c>
    </row>
    <row r="3475" spans="2:3" x14ac:dyDescent="0.15">
      <c r="B3475" s="2200">
        <v>245</v>
      </c>
      <c r="C3475" s="2200" t="str">
        <f>IFERROR(INDEX(BLS_TableCounty[area_text], MATCH(B3475,BLS_TableCounty[List_No],0)),"")</f>
        <v/>
      </c>
    </row>
    <row r="3476" spans="2:3" x14ac:dyDescent="0.15">
      <c r="B3476" s="2200">
        <v>246</v>
      </c>
      <c r="C3476" s="2200" t="str">
        <f>IFERROR(INDEX(BLS_TableCounty[area_text], MATCH(B3476,BLS_TableCounty[List_No],0)),"")</f>
        <v/>
      </c>
    </row>
    <row r="3477" spans="2:3" x14ac:dyDescent="0.15">
      <c r="B3477" s="2200">
        <v>247</v>
      </c>
      <c r="C3477" s="2200" t="str">
        <f>IFERROR(INDEX(BLS_TableCounty[area_text], MATCH(B3477,BLS_TableCounty[List_No],0)),"")</f>
        <v/>
      </c>
    </row>
    <row r="3478" spans="2:3" x14ac:dyDescent="0.15">
      <c r="B3478" s="2200">
        <v>248</v>
      </c>
      <c r="C3478" s="2200" t="str">
        <f>IFERROR(INDEX(BLS_TableCounty[area_text], MATCH(B3478,BLS_TableCounty[List_No],0)),"")</f>
        <v/>
      </c>
    </row>
    <row r="3479" spans="2:3" x14ac:dyDescent="0.15">
      <c r="B3479" s="2200">
        <v>249</v>
      </c>
      <c r="C3479" s="2200" t="str">
        <f>IFERROR(INDEX(BLS_TableCounty[area_text], MATCH(B3479,BLS_TableCounty[List_No],0)),"")</f>
        <v/>
      </c>
    </row>
    <row r="3480" spans="2:3" x14ac:dyDescent="0.15">
      <c r="B3480" s="2200">
        <v>250</v>
      </c>
      <c r="C3480" s="2200" t="str">
        <f>IFERROR(INDEX(BLS_TableCounty[area_text], MATCH(B3480,BLS_TableCounty[List_No],0)),"")</f>
        <v/>
      </c>
    </row>
    <row r="3481" spans="2:3" x14ac:dyDescent="0.15">
      <c r="B3481" s="2200">
        <v>251</v>
      </c>
      <c r="C3481" s="2200" t="str">
        <f>IFERROR(INDEX(BLS_TableCounty[area_text], MATCH(B3481,BLS_TableCounty[List_No],0)),"")</f>
        <v/>
      </c>
    </row>
    <row r="3482" spans="2:3" x14ac:dyDescent="0.15">
      <c r="B3482" s="2200">
        <v>252</v>
      </c>
      <c r="C3482" s="2200" t="str">
        <f>IFERROR(INDEX(BLS_TableCounty[area_text], MATCH(B3482,BLS_TableCounty[List_No],0)),"")</f>
        <v/>
      </c>
    </row>
    <row r="3483" spans="2:3" x14ac:dyDescent="0.15">
      <c r="B3483" s="2200">
        <v>253</v>
      </c>
      <c r="C3483" s="2200" t="str">
        <f>IFERROR(INDEX(BLS_TableCounty[area_text], MATCH(B3483,BLS_TableCounty[List_No],0)),"")</f>
        <v/>
      </c>
    </row>
    <row r="3484" spans="2:3" x14ac:dyDescent="0.15">
      <c r="B3484" s="2200">
        <v>254</v>
      </c>
      <c r="C3484" s="2200" t="str">
        <f>IFERROR(INDEX(BLS_TableCounty[area_text], MATCH(B3484,BLS_TableCounty[List_No],0)),"")</f>
        <v/>
      </c>
    </row>
    <row r="3485" spans="2:3" x14ac:dyDescent="0.15">
      <c r="B3485" s="2200">
        <v>255</v>
      </c>
      <c r="C3485" s="2200" t="str">
        <f>IFERROR(INDEX(BLS_TableCounty[area_text], MATCH(B3485,BLS_TableCounty[List_No],0)),"")</f>
        <v/>
      </c>
    </row>
    <row r="3486" spans="2:3" x14ac:dyDescent="0.15">
      <c r="B3486" s="2200">
        <v>256</v>
      </c>
      <c r="C3486" s="2200" t="str">
        <f>IFERROR(INDEX(BLS_TableCounty[area_text], MATCH(B3486,BLS_TableCounty[List_No],0)),"")</f>
        <v/>
      </c>
    </row>
    <row r="3487" spans="2:3" x14ac:dyDescent="0.15">
      <c r="B3487" s="2200">
        <v>257</v>
      </c>
      <c r="C3487" s="2200" t="str">
        <f>IFERROR(INDEX(BLS_TableCounty[area_text], MATCH(B3487,BLS_TableCounty[List_No],0)),"")</f>
        <v/>
      </c>
    </row>
    <row r="3488" spans="2:3" x14ac:dyDescent="0.15">
      <c r="B3488" s="2200">
        <v>258</v>
      </c>
      <c r="C3488" s="2200" t="str">
        <f>IFERROR(INDEX(BLS_TableCounty[area_text], MATCH(B3488,BLS_TableCounty[List_No],0)),"")</f>
        <v/>
      </c>
    </row>
    <row r="3489" spans="2:3" x14ac:dyDescent="0.15">
      <c r="B3489" s="2200">
        <v>259</v>
      </c>
      <c r="C3489" s="2200" t="str">
        <f>IFERROR(INDEX(BLS_TableCounty[area_text], MATCH(B3489,BLS_TableCounty[List_No],0)),"")</f>
        <v/>
      </c>
    </row>
    <row r="3490" spans="2:3" x14ac:dyDescent="0.15">
      <c r="B3490" s="2200">
        <v>260</v>
      </c>
      <c r="C3490" s="2200" t="str">
        <f>IFERROR(INDEX(BLS_TableCounty[area_text], MATCH(B3490,BLS_TableCounty[List_No],0)),"")</f>
        <v/>
      </c>
    </row>
    <row r="3491" spans="2:3" x14ac:dyDescent="0.15">
      <c r="B3491" s="2200">
        <v>261</v>
      </c>
      <c r="C3491" s="2200" t="str">
        <f>IFERROR(INDEX(BLS_TableCounty[area_text], MATCH(B3491,BLS_TableCounty[List_No],0)),"")</f>
        <v/>
      </c>
    </row>
    <row r="3492" spans="2:3" x14ac:dyDescent="0.15">
      <c r="B3492" s="2200">
        <v>262</v>
      </c>
      <c r="C3492" s="2200" t="str">
        <f>IFERROR(INDEX(BLS_TableCounty[area_text], MATCH(B3492,BLS_TableCounty[List_No],0)),"")</f>
        <v/>
      </c>
    </row>
    <row r="3493" spans="2:3" x14ac:dyDescent="0.15">
      <c r="B3493" s="2200">
        <v>263</v>
      </c>
      <c r="C3493" s="2200" t="str">
        <f>IFERROR(INDEX(BLS_TableCounty[area_text], MATCH(B3493,BLS_TableCounty[List_No],0)),"")</f>
        <v/>
      </c>
    </row>
    <row r="3494" spans="2:3" x14ac:dyDescent="0.15">
      <c r="B3494" s="2200">
        <v>264</v>
      </c>
      <c r="C3494" s="2200" t="str">
        <f>IFERROR(INDEX(BLS_TableCounty[area_text], MATCH(B3494,BLS_TableCounty[List_No],0)),"")</f>
        <v/>
      </c>
    </row>
    <row r="3495" spans="2:3" x14ac:dyDescent="0.15">
      <c r="B3495" s="2200">
        <v>265</v>
      </c>
      <c r="C3495" s="2200" t="str">
        <f>IFERROR(INDEX(BLS_TableCounty[area_text], MATCH(B3495,BLS_TableCounty[List_No],0)),"")</f>
        <v/>
      </c>
    </row>
    <row r="3496" spans="2:3" x14ac:dyDescent="0.15">
      <c r="B3496" s="2200">
        <v>266</v>
      </c>
      <c r="C3496" s="2200" t="str">
        <f>IFERROR(INDEX(BLS_TableCounty[area_text], MATCH(B3496,BLS_TableCounty[List_No],0)),"")</f>
        <v/>
      </c>
    </row>
    <row r="3497" spans="2:3" x14ac:dyDescent="0.15">
      <c r="B3497" s="2200">
        <v>267</v>
      </c>
      <c r="C3497" s="2200" t="str">
        <f>IFERROR(INDEX(BLS_TableCounty[area_text], MATCH(B3497,BLS_TableCounty[List_No],0)),"")</f>
        <v/>
      </c>
    </row>
    <row r="3498" spans="2:3" x14ac:dyDescent="0.15">
      <c r="B3498" s="2200">
        <v>268</v>
      </c>
      <c r="C3498" s="2200" t="str">
        <f>IFERROR(INDEX(BLS_TableCounty[area_text], MATCH(B3498,BLS_TableCounty[List_No],0)),"")</f>
        <v/>
      </c>
    </row>
    <row r="3499" spans="2:3" x14ac:dyDescent="0.15">
      <c r="B3499" s="2200">
        <v>269</v>
      </c>
      <c r="C3499" s="2200" t="str">
        <f>IFERROR(INDEX(BLS_TableCounty[area_text], MATCH(B3499,BLS_TableCounty[List_No],0)),"")</f>
        <v/>
      </c>
    </row>
    <row r="3500" spans="2:3" x14ac:dyDescent="0.15">
      <c r="B3500" s="2200">
        <v>270</v>
      </c>
      <c r="C3500" s="2200" t="str">
        <f>IFERROR(INDEX(BLS_TableCounty[area_text], MATCH(B3500,BLS_TableCounty[List_No],0)),"")</f>
        <v/>
      </c>
    </row>
    <row r="3501" spans="2:3" x14ac:dyDescent="0.15">
      <c r="B3501" s="2200">
        <v>271</v>
      </c>
      <c r="C3501" s="2200" t="str">
        <f>IFERROR(INDEX(BLS_TableCounty[area_text], MATCH(B3501,BLS_TableCounty[List_No],0)),"")</f>
        <v/>
      </c>
    </row>
    <row r="3502" spans="2:3" x14ac:dyDescent="0.15">
      <c r="B3502" s="2200">
        <v>272</v>
      </c>
      <c r="C3502" s="2200" t="str">
        <f>IFERROR(INDEX(BLS_TableCounty[area_text], MATCH(B3502,BLS_TableCounty[List_No],0)),"")</f>
        <v/>
      </c>
    </row>
    <row r="3503" spans="2:3" x14ac:dyDescent="0.15">
      <c r="B3503" s="2200">
        <v>273</v>
      </c>
      <c r="C3503" s="2200" t="str">
        <f>IFERROR(INDEX(BLS_TableCounty[area_text], MATCH(B3503,BLS_TableCounty[List_No],0)),"")</f>
        <v/>
      </c>
    </row>
    <row r="3504" spans="2:3" x14ac:dyDescent="0.15">
      <c r="B3504" s="2200">
        <v>274</v>
      </c>
      <c r="C3504" s="2200" t="str">
        <f>IFERROR(INDEX(BLS_TableCounty[area_text], MATCH(B3504,BLS_TableCounty[List_No],0)),"")</f>
        <v/>
      </c>
    </row>
    <row r="3505" spans="2:3" x14ac:dyDescent="0.15">
      <c r="B3505" s="2200">
        <v>275</v>
      </c>
      <c r="C3505" s="2200" t="str">
        <f>IFERROR(INDEX(BLS_TableCounty[area_text], MATCH(B3505,BLS_TableCounty[List_No],0)),"")</f>
        <v/>
      </c>
    </row>
  </sheetData>
  <pageMargins left="0.7" right="0.7" top="0.75" bottom="0.75" header="0.3" footer="0.3"/>
  <tableParts count="2">
    <tablePart r:id="rId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20A8FD-963A-4B64-9019-A2548571F171}">
  <sheetPr codeName="Sheet86"/>
  <dimension ref="A1:H3920"/>
  <sheetViews>
    <sheetView workbookViewId="0"/>
  </sheetViews>
  <sheetFormatPr defaultColWidth="9.140625" defaultRowHeight="10.5" x14ac:dyDescent="0.15"/>
  <cols>
    <col min="1" max="1" width="5.7109375" style="2200" customWidth="1"/>
    <col min="2" max="2" width="10.5703125" style="2200" customWidth="1"/>
    <col min="3" max="3" width="38.85546875" style="2200" bestFit="1" customWidth="1"/>
    <col min="4" max="5" width="11.28515625" style="2200" customWidth="1"/>
    <col min="6" max="6" width="10.7109375" style="2200" customWidth="1"/>
    <col min="7" max="7" width="10.85546875" style="2200" customWidth="1"/>
    <col min="8" max="16384" width="9.140625" style="2200"/>
  </cols>
  <sheetData>
    <row r="1" spans="1:8" x14ac:dyDescent="0.15">
      <c r="A1" s="2200" t="s">
        <v>1870</v>
      </c>
      <c r="B1" s="2200" t="s">
        <v>1871</v>
      </c>
      <c r="C1" s="2200" t="s">
        <v>1872</v>
      </c>
      <c r="D1" s="2200" t="s">
        <v>1873</v>
      </c>
      <c r="E1" s="2200" t="s">
        <v>1874</v>
      </c>
      <c r="F1" s="2200" t="s">
        <v>1875</v>
      </c>
      <c r="G1" s="2200" t="s">
        <v>1876</v>
      </c>
      <c r="H1" s="2200" t="s">
        <v>1877</v>
      </c>
    </row>
    <row r="2" spans="1:8" hidden="1" x14ac:dyDescent="0.15">
      <c r="A2" s="2200" t="s">
        <v>10723</v>
      </c>
      <c r="B2" s="2200" t="s">
        <v>10724</v>
      </c>
      <c r="C2" s="2200" t="s">
        <v>4420</v>
      </c>
      <c r="D2" s="2200" t="str">
        <f t="shared" ref="D2:D65" si="0">MID(C2,E2+2,2)</f>
        <v>AK</v>
      </c>
      <c r="E2" s="2200">
        <f t="shared" ref="E2:E65" si="1">FIND(",",C2)</f>
        <v>31</v>
      </c>
      <c r="F2" s="2200" t="str">
        <f>MID(B2,3,2)</f>
        <v>02</v>
      </c>
      <c r="G2" s="2200" t="str">
        <f>MID(B2,5,5)</f>
        <v>03000</v>
      </c>
      <c r="H2" s="2200">
        <f>--SUBTOTAL(3,C$2:C2)</f>
        <v>0</v>
      </c>
    </row>
    <row r="3" spans="1:8" hidden="1" x14ac:dyDescent="0.15">
      <c r="A3" s="2200" t="s">
        <v>10723</v>
      </c>
      <c r="B3" s="2200" t="s">
        <v>10725</v>
      </c>
      <c r="C3" s="2200" t="s">
        <v>10726</v>
      </c>
      <c r="D3" s="2200" t="str">
        <f t="shared" si="0"/>
        <v>AK</v>
      </c>
      <c r="E3" s="2200">
        <f t="shared" si="1"/>
        <v>15</v>
      </c>
      <c r="F3" s="2200" t="str">
        <f t="shared" ref="F3:F66" si="2">MID(B3,3,2)</f>
        <v>02</v>
      </c>
      <c r="G3" s="2200" t="str">
        <f t="shared" ref="G3:G66" si="3">MID(B3,5,5)</f>
        <v>24230</v>
      </c>
      <c r="H3" s="2200">
        <f>--SUBTOTAL(3,C$2:C3)</f>
        <v>0</v>
      </c>
    </row>
    <row r="4" spans="1:8" hidden="1" x14ac:dyDescent="0.15">
      <c r="A4" s="2200" t="s">
        <v>10723</v>
      </c>
      <c r="B4" s="2200" t="s">
        <v>10727</v>
      </c>
      <c r="C4" s="2200" t="s">
        <v>4436</v>
      </c>
      <c r="D4" s="2200" t="str">
        <f t="shared" si="0"/>
        <v>AK</v>
      </c>
      <c r="E4" s="2200">
        <f t="shared" si="1"/>
        <v>20</v>
      </c>
      <c r="F4" s="2200" t="str">
        <f t="shared" si="2"/>
        <v>02</v>
      </c>
      <c r="G4" s="2200" t="str">
        <f t="shared" si="3"/>
        <v>36400</v>
      </c>
      <c r="H4" s="2200">
        <f>--SUBTOTAL(3,C$2:C4)</f>
        <v>0</v>
      </c>
    </row>
    <row r="5" spans="1:8" hidden="1" x14ac:dyDescent="0.15">
      <c r="A5" s="2200" t="s">
        <v>10723</v>
      </c>
      <c r="B5" s="2200" t="s">
        <v>10728</v>
      </c>
      <c r="C5" s="2200" t="s">
        <v>4462</v>
      </c>
      <c r="D5" s="2200" t="str">
        <f t="shared" si="0"/>
        <v>AK</v>
      </c>
      <c r="E5" s="2200">
        <f t="shared" si="1"/>
        <v>19</v>
      </c>
      <c r="F5" s="2200" t="str">
        <f t="shared" si="2"/>
        <v>02</v>
      </c>
      <c r="G5" s="2200" t="str">
        <f t="shared" si="3"/>
        <v>70540</v>
      </c>
      <c r="H5" s="2200">
        <f>--SUBTOTAL(3,C$2:C5)</f>
        <v>0</v>
      </c>
    </row>
    <row r="6" spans="1:8" hidden="1" x14ac:dyDescent="0.15">
      <c r="A6" s="2200" t="s">
        <v>10723</v>
      </c>
      <c r="B6" s="2200" t="s">
        <v>10729</v>
      </c>
      <c r="C6" s="2200" t="s">
        <v>4472</v>
      </c>
      <c r="D6" s="2200" t="str">
        <f t="shared" si="0"/>
        <v>AK</v>
      </c>
      <c r="E6" s="2200">
        <f t="shared" si="1"/>
        <v>22</v>
      </c>
      <c r="F6" s="2200" t="str">
        <f t="shared" si="2"/>
        <v>02</v>
      </c>
      <c r="G6" s="2200" t="str">
        <f t="shared" si="3"/>
        <v>86380</v>
      </c>
      <c r="H6" s="2200">
        <f>--SUBTOTAL(3,C$2:C6)</f>
        <v>0</v>
      </c>
    </row>
    <row r="7" spans="1:8" hidden="1" x14ac:dyDescent="0.15">
      <c r="A7" s="2200" t="s">
        <v>10723</v>
      </c>
      <c r="B7" s="2200" t="s">
        <v>10730</v>
      </c>
      <c r="C7" s="2200" t="s">
        <v>10731</v>
      </c>
      <c r="D7" s="2200" t="str">
        <f t="shared" si="0"/>
        <v>AL</v>
      </c>
      <c r="E7" s="2200">
        <f t="shared" si="1"/>
        <v>15</v>
      </c>
      <c r="F7" s="2200" t="str">
        <f t="shared" si="2"/>
        <v>01</v>
      </c>
      <c r="G7" s="2200" t="str">
        <f t="shared" si="3"/>
        <v>00820</v>
      </c>
      <c r="H7" s="2200">
        <f>--SUBTOTAL(3,C$2:C7)</f>
        <v>0</v>
      </c>
    </row>
    <row r="8" spans="1:8" hidden="1" x14ac:dyDescent="0.15">
      <c r="A8" s="2200" t="s">
        <v>10723</v>
      </c>
      <c r="B8" s="2200" t="s">
        <v>10732</v>
      </c>
      <c r="C8" s="2200" t="s">
        <v>10733</v>
      </c>
      <c r="D8" s="2200" t="str">
        <f t="shared" si="0"/>
        <v>AL</v>
      </c>
      <c r="E8" s="2200">
        <f t="shared" si="1"/>
        <v>14</v>
      </c>
      <c r="F8" s="2200" t="str">
        <f t="shared" si="2"/>
        <v>01</v>
      </c>
      <c r="G8" s="2200" t="str">
        <f t="shared" si="3"/>
        <v>01852</v>
      </c>
      <c r="H8" s="2200">
        <f>--SUBTOTAL(3,C$2:C8)</f>
        <v>0</v>
      </c>
    </row>
    <row r="9" spans="1:8" hidden="1" x14ac:dyDescent="0.15">
      <c r="A9" s="2200" t="s">
        <v>10723</v>
      </c>
      <c r="B9" s="2200" t="s">
        <v>10734</v>
      </c>
      <c r="C9" s="2200" t="s">
        <v>10735</v>
      </c>
      <c r="D9" s="2200" t="str">
        <f t="shared" si="0"/>
        <v>AL</v>
      </c>
      <c r="E9" s="2200">
        <f t="shared" si="1"/>
        <v>12</v>
      </c>
      <c r="F9" s="2200" t="str">
        <f t="shared" si="2"/>
        <v>01</v>
      </c>
      <c r="G9" s="2200" t="str">
        <f t="shared" si="3"/>
        <v>02956</v>
      </c>
      <c r="H9" s="2200">
        <f>--SUBTOTAL(3,C$2:C9)</f>
        <v>0</v>
      </c>
    </row>
    <row r="10" spans="1:8" hidden="1" x14ac:dyDescent="0.15">
      <c r="A10" s="2200" t="s">
        <v>10723</v>
      </c>
      <c r="B10" s="2200" t="s">
        <v>10736</v>
      </c>
      <c r="C10" s="2200" t="s">
        <v>10737</v>
      </c>
      <c r="D10" s="2200" t="str">
        <f t="shared" si="0"/>
        <v>AL</v>
      </c>
      <c r="E10" s="2200">
        <f t="shared" si="1"/>
        <v>12</v>
      </c>
      <c r="F10" s="2200" t="str">
        <f t="shared" si="2"/>
        <v>01</v>
      </c>
      <c r="G10" s="2200" t="str">
        <f t="shared" si="3"/>
        <v>03076</v>
      </c>
      <c r="H10" s="2200">
        <f>--SUBTOTAL(3,C$2:C10)</f>
        <v>0</v>
      </c>
    </row>
    <row r="11" spans="1:8" hidden="1" x14ac:dyDescent="0.15">
      <c r="A11" s="2200" t="s">
        <v>10723</v>
      </c>
      <c r="B11" s="2200" t="s">
        <v>10738</v>
      </c>
      <c r="C11" s="2200" t="s">
        <v>10739</v>
      </c>
      <c r="D11" s="2200" t="str">
        <f t="shared" si="0"/>
        <v>AL</v>
      </c>
      <c r="E11" s="2200">
        <f t="shared" si="1"/>
        <v>14</v>
      </c>
      <c r="F11" s="2200" t="str">
        <f t="shared" si="2"/>
        <v>01</v>
      </c>
      <c r="G11" s="2200" t="str">
        <f t="shared" si="3"/>
        <v>05980</v>
      </c>
      <c r="H11" s="2200">
        <f>--SUBTOTAL(3,C$2:C11)</f>
        <v>0</v>
      </c>
    </row>
    <row r="12" spans="1:8" hidden="1" x14ac:dyDescent="0.15">
      <c r="A12" s="2200" t="s">
        <v>10723</v>
      </c>
      <c r="B12" s="2200" t="s">
        <v>10740</v>
      </c>
      <c r="C12" s="2200" t="s">
        <v>10741</v>
      </c>
      <c r="D12" s="2200" t="str">
        <f t="shared" si="0"/>
        <v>AL</v>
      </c>
      <c r="E12" s="2200">
        <f t="shared" si="1"/>
        <v>16</v>
      </c>
      <c r="F12" s="2200" t="str">
        <f t="shared" si="2"/>
        <v>01</v>
      </c>
      <c r="G12" s="2200" t="str">
        <f t="shared" si="3"/>
        <v>07000</v>
      </c>
      <c r="H12" s="2200">
        <f>--SUBTOTAL(3,C$2:C12)</f>
        <v>0</v>
      </c>
    </row>
    <row r="13" spans="1:8" hidden="1" x14ac:dyDescent="0.15">
      <c r="A13" s="2200" t="s">
        <v>10723</v>
      </c>
      <c r="B13" s="2200" t="s">
        <v>10742</v>
      </c>
      <c r="C13" s="2200" t="s">
        <v>10743</v>
      </c>
      <c r="D13" s="2200" t="str">
        <f t="shared" si="0"/>
        <v>AL</v>
      </c>
      <c r="E13" s="2200">
        <f t="shared" si="1"/>
        <v>12</v>
      </c>
      <c r="F13" s="2200" t="str">
        <f t="shared" si="2"/>
        <v>01</v>
      </c>
      <c r="G13" s="2200" t="str">
        <f t="shared" si="3"/>
        <v>19648</v>
      </c>
      <c r="H13" s="2200">
        <f>--SUBTOTAL(3,C$2:C13)</f>
        <v>0</v>
      </c>
    </row>
    <row r="14" spans="1:8" hidden="1" x14ac:dyDescent="0.15">
      <c r="A14" s="2200" t="s">
        <v>10723</v>
      </c>
      <c r="B14" s="2200" t="s">
        <v>10744</v>
      </c>
      <c r="C14" s="2200" t="s">
        <v>10745</v>
      </c>
      <c r="D14" s="2200" t="str">
        <f t="shared" si="0"/>
        <v>AL</v>
      </c>
      <c r="E14" s="2200">
        <f t="shared" si="1"/>
        <v>13</v>
      </c>
      <c r="F14" s="2200" t="str">
        <f t="shared" si="2"/>
        <v>01</v>
      </c>
      <c r="G14" s="2200" t="str">
        <f t="shared" si="3"/>
        <v>20104</v>
      </c>
      <c r="H14" s="2200">
        <f>--SUBTOTAL(3,C$2:C14)</f>
        <v>0</v>
      </c>
    </row>
    <row r="15" spans="1:8" hidden="1" x14ac:dyDescent="0.15">
      <c r="A15" s="2200" t="s">
        <v>10723</v>
      </c>
      <c r="B15" s="2200" t="s">
        <v>10746</v>
      </c>
      <c r="C15" s="2200" t="s">
        <v>10747</v>
      </c>
      <c r="D15" s="2200" t="str">
        <f t="shared" si="0"/>
        <v>AL</v>
      </c>
      <c r="E15" s="2200">
        <f t="shared" si="1"/>
        <v>12</v>
      </c>
      <c r="F15" s="2200" t="str">
        <f t="shared" si="2"/>
        <v>01</v>
      </c>
      <c r="G15" s="2200" t="str">
        <f t="shared" si="3"/>
        <v>21184</v>
      </c>
      <c r="H15" s="2200">
        <f>--SUBTOTAL(3,C$2:C15)</f>
        <v>0</v>
      </c>
    </row>
    <row r="16" spans="1:8" hidden="1" x14ac:dyDescent="0.15">
      <c r="A16" s="2200" t="s">
        <v>10723</v>
      </c>
      <c r="B16" s="2200" t="s">
        <v>10748</v>
      </c>
      <c r="C16" s="2200" t="s">
        <v>10749</v>
      </c>
      <c r="D16" s="2200" t="str">
        <f t="shared" si="0"/>
        <v>AL</v>
      </c>
      <c r="E16" s="2200">
        <f t="shared" si="1"/>
        <v>16</v>
      </c>
      <c r="F16" s="2200" t="str">
        <f t="shared" si="2"/>
        <v>01</v>
      </c>
      <c r="G16" s="2200" t="str">
        <f t="shared" si="3"/>
        <v>24184</v>
      </c>
      <c r="H16" s="2200">
        <f>--SUBTOTAL(3,C$2:C16)</f>
        <v>0</v>
      </c>
    </row>
    <row r="17" spans="1:8" hidden="1" x14ac:dyDescent="0.15">
      <c r="A17" s="2200" t="s">
        <v>10723</v>
      </c>
      <c r="B17" s="2200" t="s">
        <v>10750</v>
      </c>
      <c r="C17" s="2200" t="s">
        <v>10751</v>
      </c>
      <c r="D17" s="2200" t="str">
        <f t="shared" si="0"/>
        <v>AL</v>
      </c>
      <c r="E17" s="2200">
        <f t="shared" si="1"/>
        <v>14</v>
      </c>
      <c r="F17" s="2200" t="str">
        <f t="shared" si="2"/>
        <v>01</v>
      </c>
      <c r="G17" s="2200" t="str">
        <f t="shared" si="3"/>
        <v>26896</v>
      </c>
      <c r="H17" s="2200">
        <f>--SUBTOTAL(3,C$2:C17)</f>
        <v>0</v>
      </c>
    </row>
    <row r="18" spans="1:8" hidden="1" x14ac:dyDescent="0.15">
      <c r="A18" s="2200" t="s">
        <v>10723</v>
      </c>
      <c r="B18" s="2200" t="s">
        <v>10752</v>
      </c>
      <c r="C18" s="2200" t="s">
        <v>10753</v>
      </c>
      <c r="D18" s="2200" t="str">
        <f t="shared" si="0"/>
        <v>AL</v>
      </c>
      <c r="E18" s="2200">
        <f t="shared" si="1"/>
        <v>13</v>
      </c>
      <c r="F18" s="2200" t="str">
        <f t="shared" si="2"/>
        <v>01</v>
      </c>
      <c r="G18" s="2200" t="str">
        <f t="shared" si="3"/>
        <v>28696</v>
      </c>
      <c r="H18" s="2200">
        <f>--SUBTOTAL(3,C$2:C18)</f>
        <v>0</v>
      </c>
    </row>
    <row r="19" spans="1:8" hidden="1" x14ac:dyDescent="0.15">
      <c r="A19" s="2200" t="s">
        <v>10723</v>
      </c>
      <c r="B19" s="2200" t="s">
        <v>10754</v>
      </c>
      <c r="C19" s="2200" t="s">
        <v>10755</v>
      </c>
      <c r="D19" s="2200" t="str">
        <f t="shared" si="0"/>
        <v>AL</v>
      </c>
      <c r="E19" s="2200">
        <f t="shared" si="1"/>
        <v>14</v>
      </c>
      <c r="F19" s="2200" t="str">
        <f t="shared" si="2"/>
        <v>01</v>
      </c>
      <c r="G19" s="2200" t="str">
        <f t="shared" si="3"/>
        <v>35800</v>
      </c>
      <c r="H19" s="2200">
        <f>--SUBTOTAL(3,C$2:C19)</f>
        <v>0</v>
      </c>
    </row>
    <row r="20" spans="1:8" hidden="1" x14ac:dyDescent="0.15">
      <c r="A20" s="2200" t="s">
        <v>10723</v>
      </c>
      <c r="B20" s="2200" t="s">
        <v>10756</v>
      </c>
      <c r="C20" s="2200" t="s">
        <v>10757</v>
      </c>
      <c r="D20" s="2200" t="str">
        <f t="shared" si="0"/>
        <v>AL</v>
      </c>
      <c r="E20" s="2200">
        <f t="shared" si="1"/>
        <v>12</v>
      </c>
      <c r="F20" s="2200" t="str">
        <f t="shared" si="2"/>
        <v>01</v>
      </c>
      <c r="G20" s="2200" t="str">
        <f t="shared" si="3"/>
        <v>35896</v>
      </c>
      <c r="H20" s="2200">
        <f>--SUBTOTAL(3,C$2:C20)</f>
        <v>0</v>
      </c>
    </row>
    <row r="21" spans="1:8" hidden="1" x14ac:dyDescent="0.15">
      <c r="A21" s="2200" t="s">
        <v>10723</v>
      </c>
      <c r="B21" s="2200" t="s">
        <v>10758</v>
      </c>
      <c r="C21" s="2200" t="s">
        <v>10759</v>
      </c>
      <c r="D21" s="2200" t="str">
        <f t="shared" si="0"/>
        <v>AL</v>
      </c>
      <c r="E21" s="2200">
        <f t="shared" si="1"/>
        <v>16</v>
      </c>
      <c r="F21" s="2200" t="str">
        <f t="shared" si="2"/>
        <v>01</v>
      </c>
      <c r="G21" s="2200" t="str">
        <f t="shared" si="3"/>
        <v>37000</v>
      </c>
      <c r="H21" s="2200">
        <f>--SUBTOTAL(3,C$2:C21)</f>
        <v>0</v>
      </c>
    </row>
    <row r="22" spans="1:8" hidden="1" x14ac:dyDescent="0.15">
      <c r="A22" s="2200" t="s">
        <v>10723</v>
      </c>
      <c r="B22" s="2200" t="s">
        <v>10760</v>
      </c>
      <c r="C22" s="2200" t="s">
        <v>10761</v>
      </c>
      <c r="D22" s="2200" t="str">
        <f t="shared" si="0"/>
        <v>AL</v>
      </c>
      <c r="E22" s="2200">
        <f t="shared" si="1"/>
        <v>13</v>
      </c>
      <c r="F22" s="2200" t="str">
        <f t="shared" si="2"/>
        <v>01</v>
      </c>
      <c r="G22" s="2200" t="str">
        <f t="shared" si="3"/>
        <v>45784</v>
      </c>
      <c r="H22" s="2200">
        <f>--SUBTOTAL(3,C$2:C22)</f>
        <v>0</v>
      </c>
    </row>
    <row r="23" spans="1:8" hidden="1" x14ac:dyDescent="0.15">
      <c r="A23" s="2200" t="s">
        <v>10723</v>
      </c>
      <c r="B23" s="2200" t="s">
        <v>10762</v>
      </c>
      <c r="C23" s="2200" t="s">
        <v>10763</v>
      </c>
      <c r="D23" s="2200" t="str">
        <f t="shared" si="0"/>
        <v>AL</v>
      </c>
      <c r="E23" s="2200">
        <f t="shared" si="1"/>
        <v>12</v>
      </c>
      <c r="F23" s="2200" t="str">
        <f t="shared" si="2"/>
        <v>01</v>
      </c>
      <c r="G23" s="2200" t="str">
        <f t="shared" si="3"/>
        <v>50000</v>
      </c>
      <c r="H23" s="2200">
        <f>--SUBTOTAL(3,C$2:C23)</f>
        <v>0</v>
      </c>
    </row>
    <row r="24" spans="1:8" hidden="1" x14ac:dyDescent="0.15">
      <c r="A24" s="2200" t="s">
        <v>10723</v>
      </c>
      <c r="B24" s="2200" t="s">
        <v>10764</v>
      </c>
      <c r="C24" s="2200" t="s">
        <v>10765</v>
      </c>
      <c r="D24" s="2200" t="str">
        <f t="shared" si="0"/>
        <v>AL</v>
      </c>
      <c r="E24" s="2200">
        <f t="shared" si="1"/>
        <v>16</v>
      </c>
      <c r="F24" s="2200" t="str">
        <f t="shared" si="2"/>
        <v>01</v>
      </c>
      <c r="G24" s="2200" t="str">
        <f t="shared" si="3"/>
        <v>51000</v>
      </c>
      <c r="H24" s="2200">
        <f>--SUBTOTAL(3,C$2:C24)</f>
        <v>0</v>
      </c>
    </row>
    <row r="25" spans="1:8" hidden="1" x14ac:dyDescent="0.15">
      <c r="A25" s="2200" t="s">
        <v>10723</v>
      </c>
      <c r="B25" s="2200" t="s">
        <v>10766</v>
      </c>
      <c r="C25" s="2200" t="s">
        <v>10767</v>
      </c>
      <c r="D25" s="2200" t="str">
        <f t="shared" si="0"/>
        <v>AL</v>
      </c>
      <c r="E25" s="2200">
        <f t="shared" si="1"/>
        <v>15</v>
      </c>
      <c r="F25" s="2200" t="str">
        <f t="shared" si="2"/>
        <v>01</v>
      </c>
      <c r="G25" s="2200" t="str">
        <f t="shared" si="3"/>
        <v>55200</v>
      </c>
      <c r="H25" s="2200">
        <f>--SUBTOTAL(3,C$2:C25)</f>
        <v>0</v>
      </c>
    </row>
    <row r="26" spans="1:8" hidden="1" x14ac:dyDescent="0.15">
      <c r="A26" s="2200" t="s">
        <v>10723</v>
      </c>
      <c r="B26" s="2200" t="s">
        <v>10768</v>
      </c>
      <c r="C26" s="2200" t="s">
        <v>10769</v>
      </c>
      <c r="D26" s="2200" t="str">
        <f t="shared" si="0"/>
        <v>AL</v>
      </c>
      <c r="E26" s="2200">
        <f t="shared" si="1"/>
        <v>13</v>
      </c>
      <c r="F26" s="2200" t="str">
        <f t="shared" si="2"/>
        <v>01</v>
      </c>
      <c r="G26" s="2200" t="str">
        <f t="shared" si="3"/>
        <v>57048</v>
      </c>
      <c r="H26" s="2200">
        <f>--SUBTOTAL(3,C$2:C26)</f>
        <v>0</v>
      </c>
    </row>
    <row r="27" spans="1:8" hidden="1" x14ac:dyDescent="0.15">
      <c r="A27" s="2200" t="s">
        <v>10723</v>
      </c>
      <c r="B27" s="2200" t="s">
        <v>10770</v>
      </c>
      <c r="C27" s="2200" t="s">
        <v>10771</v>
      </c>
      <c r="D27" s="2200" t="str">
        <f t="shared" si="0"/>
        <v>AL</v>
      </c>
      <c r="E27" s="2200">
        <f t="shared" si="1"/>
        <v>17</v>
      </c>
      <c r="F27" s="2200" t="str">
        <f t="shared" si="2"/>
        <v>01</v>
      </c>
      <c r="G27" s="2200" t="str">
        <f t="shared" si="3"/>
        <v>59472</v>
      </c>
      <c r="H27" s="2200">
        <f>--SUBTOTAL(3,C$2:C27)</f>
        <v>0</v>
      </c>
    </row>
    <row r="28" spans="1:8" hidden="1" x14ac:dyDescent="0.15">
      <c r="A28" s="2200" t="s">
        <v>10723</v>
      </c>
      <c r="B28" s="2200" t="s">
        <v>10772</v>
      </c>
      <c r="C28" s="2200" t="s">
        <v>10773</v>
      </c>
      <c r="D28" s="2200" t="str">
        <f t="shared" si="0"/>
        <v>AL</v>
      </c>
      <c r="E28" s="2200">
        <f t="shared" si="1"/>
        <v>16</v>
      </c>
      <c r="F28" s="2200" t="str">
        <f t="shared" si="2"/>
        <v>01</v>
      </c>
      <c r="G28" s="2200" t="str">
        <f t="shared" si="3"/>
        <v>62328</v>
      </c>
      <c r="H28" s="2200">
        <f>--SUBTOTAL(3,C$2:C28)</f>
        <v>0</v>
      </c>
    </row>
    <row r="29" spans="1:8" hidden="1" x14ac:dyDescent="0.15">
      <c r="A29" s="2200" t="s">
        <v>10723</v>
      </c>
      <c r="B29" s="2200" t="s">
        <v>10774</v>
      </c>
      <c r="C29" s="2200" t="s">
        <v>10775</v>
      </c>
      <c r="D29" s="2200" t="str">
        <f t="shared" si="0"/>
        <v>AL</v>
      </c>
      <c r="E29" s="2200">
        <f t="shared" si="1"/>
        <v>14</v>
      </c>
      <c r="F29" s="2200" t="str">
        <f t="shared" si="2"/>
        <v>01</v>
      </c>
      <c r="G29" s="2200" t="str">
        <f t="shared" si="3"/>
        <v>62496</v>
      </c>
      <c r="H29" s="2200">
        <f>--SUBTOTAL(3,C$2:C29)</f>
        <v>0</v>
      </c>
    </row>
    <row r="30" spans="1:8" hidden="1" x14ac:dyDescent="0.15">
      <c r="A30" s="2200" t="s">
        <v>10723</v>
      </c>
      <c r="B30" s="2200" t="s">
        <v>10776</v>
      </c>
      <c r="C30" s="2200" t="s">
        <v>10777</v>
      </c>
      <c r="D30" s="2200" t="str">
        <f t="shared" si="0"/>
        <v>AL</v>
      </c>
      <c r="E30" s="2200">
        <f t="shared" si="1"/>
        <v>11</v>
      </c>
      <c r="F30" s="2200" t="str">
        <f t="shared" si="2"/>
        <v>01</v>
      </c>
      <c r="G30" s="2200" t="str">
        <f t="shared" si="3"/>
        <v>69120</v>
      </c>
      <c r="H30" s="2200">
        <f>--SUBTOTAL(3,C$2:C30)</f>
        <v>0</v>
      </c>
    </row>
    <row r="31" spans="1:8" hidden="1" x14ac:dyDescent="0.15">
      <c r="A31" s="2200" t="s">
        <v>10723</v>
      </c>
      <c r="B31" s="2200" t="s">
        <v>10778</v>
      </c>
      <c r="C31" s="2200" t="s">
        <v>10779</v>
      </c>
      <c r="D31" s="2200" t="str">
        <f t="shared" si="0"/>
        <v>AL</v>
      </c>
      <c r="E31" s="2200">
        <f t="shared" si="1"/>
        <v>16</v>
      </c>
      <c r="F31" s="2200" t="str">
        <f t="shared" si="2"/>
        <v>01</v>
      </c>
      <c r="G31" s="2200" t="str">
        <f t="shared" si="3"/>
        <v>77256</v>
      </c>
      <c r="H31" s="2200">
        <f>--SUBTOTAL(3,C$2:C31)</f>
        <v>0</v>
      </c>
    </row>
    <row r="32" spans="1:8" hidden="1" x14ac:dyDescent="0.15">
      <c r="A32" s="2200" t="s">
        <v>10723</v>
      </c>
      <c r="B32" s="2200" t="s">
        <v>10780</v>
      </c>
      <c r="C32" s="2200" t="s">
        <v>10781</v>
      </c>
      <c r="D32" s="2200" t="str">
        <f t="shared" si="0"/>
        <v>AL</v>
      </c>
      <c r="E32" s="2200">
        <f t="shared" si="1"/>
        <v>20</v>
      </c>
      <c r="F32" s="2200" t="str">
        <f t="shared" si="2"/>
        <v>01</v>
      </c>
      <c r="G32" s="2200" t="str">
        <f t="shared" si="3"/>
        <v>78552</v>
      </c>
      <c r="H32" s="2200">
        <f>--SUBTOTAL(3,C$2:C32)</f>
        <v>0</v>
      </c>
    </row>
    <row r="33" spans="1:8" hidden="1" x14ac:dyDescent="0.15">
      <c r="A33" s="2200" t="s">
        <v>10723</v>
      </c>
      <c r="B33" s="2200" t="s">
        <v>10782</v>
      </c>
      <c r="C33" s="2200" t="s">
        <v>10783</v>
      </c>
      <c r="D33" s="2200" t="str">
        <f t="shared" si="0"/>
        <v>AR</v>
      </c>
      <c r="E33" s="2200">
        <f t="shared" si="1"/>
        <v>17</v>
      </c>
      <c r="F33" s="2200" t="str">
        <f t="shared" si="2"/>
        <v>05</v>
      </c>
      <c r="G33" s="2200" t="str">
        <f t="shared" si="3"/>
        <v>04840</v>
      </c>
      <c r="H33" s="2200">
        <f>--SUBTOTAL(3,C$2:C33)</f>
        <v>0</v>
      </c>
    </row>
    <row r="34" spans="1:8" hidden="1" x14ac:dyDescent="0.15">
      <c r="A34" s="2200" t="s">
        <v>10723</v>
      </c>
      <c r="B34" s="2200" t="s">
        <v>10784</v>
      </c>
      <c r="C34" s="2200" t="s">
        <v>10785</v>
      </c>
      <c r="D34" s="2200" t="str">
        <f t="shared" si="0"/>
        <v>AR</v>
      </c>
      <c r="E34" s="2200">
        <f t="shared" si="1"/>
        <v>12</v>
      </c>
      <c r="F34" s="2200" t="str">
        <f t="shared" si="2"/>
        <v>05</v>
      </c>
      <c r="G34" s="2200" t="str">
        <f t="shared" si="3"/>
        <v>05290</v>
      </c>
      <c r="H34" s="2200">
        <f>--SUBTOTAL(3,C$2:C34)</f>
        <v>0</v>
      </c>
    </row>
    <row r="35" spans="1:8" hidden="1" x14ac:dyDescent="0.15">
      <c r="A35" s="2200" t="s">
        <v>10723</v>
      </c>
      <c r="B35" s="2200" t="s">
        <v>10786</v>
      </c>
      <c r="C35" s="2200" t="s">
        <v>10787</v>
      </c>
      <c r="D35" s="2200" t="str">
        <f t="shared" si="0"/>
        <v>AR</v>
      </c>
      <c r="E35" s="2200">
        <f t="shared" si="1"/>
        <v>17</v>
      </c>
      <c r="F35" s="2200" t="str">
        <f t="shared" si="2"/>
        <v>05</v>
      </c>
      <c r="G35" s="2200" t="str">
        <f t="shared" si="3"/>
        <v>05320</v>
      </c>
      <c r="H35" s="2200">
        <f>--SUBTOTAL(3,C$2:C35)</f>
        <v>0</v>
      </c>
    </row>
    <row r="36" spans="1:8" hidden="1" x14ac:dyDescent="0.15">
      <c r="A36" s="2200" t="s">
        <v>10723</v>
      </c>
      <c r="B36" s="2200" t="s">
        <v>10788</v>
      </c>
      <c r="C36" s="2200" t="s">
        <v>10789</v>
      </c>
      <c r="D36" s="2200" t="str">
        <f t="shared" si="0"/>
        <v>AR</v>
      </c>
      <c r="E36" s="2200">
        <f t="shared" si="1"/>
        <v>11</v>
      </c>
      <c r="F36" s="2200" t="str">
        <f t="shared" si="2"/>
        <v>05</v>
      </c>
      <c r="G36" s="2200" t="str">
        <f t="shared" si="3"/>
        <v>10300</v>
      </c>
      <c r="H36" s="2200">
        <f>--SUBTOTAL(3,C$2:C36)</f>
        <v>0</v>
      </c>
    </row>
    <row r="37" spans="1:8" hidden="1" x14ac:dyDescent="0.15">
      <c r="A37" s="2200" t="s">
        <v>10723</v>
      </c>
      <c r="B37" s="2200" t="s">
        <v>10790</v>
      </c>
      <c r="C37" s="2200" t="s">
        <v>10791</v>
      </c>
      <c r="D37" s="2200" t="str">
        <f t="shared" si="0"/>
        <v>AR</v>
      </c>
      <c r="E37" s="2200">
        <f t="shared" si="1"/>
        <v>12</v>
      </c>
      <c r="F37" s="2200" t="str">
        <f t="shared" si="2"/>
        <v>05</v>
      </c>
      <c r="G37" s="2200" t="str">
        <f t="shared" si="3"/>
        <v>15190</v>
      </c>
      <c r="H37" s="2200">
        <f>--SUBTOTAL(3,C$2:C37)</f>
        <v>0</v>
      </c>
    </row>
    <row r="38" spans="1:8" hidden="1" x14ac:dyDescent="0.15">
      <c r="A38" s="2200" t="s">
        <v>10723</v>
      </c>
      <c r="B38" s="2200" t="s">
        <v>10792</v>
      </c>
      <c r="C38" s="2200" t="s">
        <v>10793</v>
      </c>
      <c r="D38" s="2200" t="str">
        <f t="shared" si="0"/>
        <v>AR</v>
      </c>
      <c r="E38" s="2200">
        <f t="shared" si="1"/>
        <v>18</v>
      </c>
      <c r="F38" s="2200" t="str">
        <f t="shared" si="2"/>
        <v>05</v>
      </c>
      <c r="G38" s="2200" t="str">
        <f t="shared" si="3"/>
        <v>23290</v>
      </c>
      <c r="H38" s="2200">
        <f>--SUBTOTAL(3,C$2:C38)</f>
        <v>0</v>
      </c>
    </row>
    <row r="39" spans="1:8" hidden="1" x14ac:dyDescent="0.15">
      <c r="A39" s="2200" t="s">
        <v>10723</v>
      </c>
      <c r="B39" s="2200" t="s">
        <v>10794</v>
      </c>
      <c r="C39" s="2200" t="s">
        <v>10795</v>
      </c>
      <c r="D39" s="2200" t="str">
        <f t="shared" si="0"/>
        <v>AR</v>
      </c>
      <c r="E39" s="2200">
        <f t="shared" si="1"/>
        <v>16</v>
      </c>
      <c r="F39" s="2200" t="str">
        <f t="shared" si="2"/>
        <v>05</v>
      </c>
      <c r="G39" s="2200" t="str">
        <f t="shared" si="3"/>
        <v>24550</v>
      </c>
      <c r="H39" s="2200">
        <f>--SUBTOTAL(3,C$2:C39)</f>
        <v>0</v>
      </c>
    </row>
    <row r="40" spans="1:8" hidden="1" x14ac:dyDescent="0.15">
      <c r="A40" s="2200" t="s">
        <v>10723</v>
      </c>
      <c r="B40" s="2200" t="s">
        <v>10796</v>
      </c>
      <c r="C40" s="2200" t="s">
        <v>10797</v>
      </c>
      <c r="D40" s="2200" t="str">
        <f t="shared" si="0"/>
        <v>AR</v>
      </c>
      <c r="E40" s="2200">
        <f t="shared" si="1"/>
        <v>17</v>
      </c>
      <c r="F40" s="2200" t="str">
        <f t="shared" si="2"/>
        <v>05</v>
      </c>
      <c r="G40" s="2200" t="str">
        <f t="shared" si="3"/>
        <v>33400</v>
      </c>
      <c r="H40" s="2200">
        <f>--SUBTOTAL(3,C$2:C40)</f>
        <v>0</v>
      </c>
    </row>
    <row r="41" spans="1:8" hidden="1" x14ac:dyDescent="0.15">
      <c r="A41" s="2200" t="s">
        <v>10723</v>
      </c>
      <c r="B41" s="2200" t="s">
        <v>10798</v>
      </c>
      <c r="C41" s="2200" t="s">
        <v>10799</v>
      </c>
      <c r="D41" s="2200" t="str">
        <f t="shared" si="0"/>
        <v>AR</v>
      </c>
      <c r="E41" s="2200">
        <f t="shared" si="1"/>
        <v>18</v>
      </c>
      <c r="F41" s="2200" t="str">
        <f t="shared" si="2"/>
        <v>05</v>
      </c>
      <c r="G41" s="2200" t="str">
        <f t="shared" si="3"/>
        <v>34750</v>
      </c>
      <c r="H41" s="2200">
        <f>--SUBTOTAL(3,C$2:C41)</f>
        <v>0</v>
      </c>
    </row>
    <row r="42" spans="1:8" hidden="1" x14ac:dyDescent="0.15">
      <c r="A42" s="2200" t="s">
        <v>10723</v>
      </c>
      <c r="B42" s="2200" t="s">
        <v>10800</v>
      </c>
      <c r="C42" s="2200" t="s">
        <v>10801</v>
      </c>
      <c r="D42" s="2200" t="str">
        <f t="shared" si="0"/>
        <v>AR</v>
      </c>
      <c r="E42" s="2200">
        <f t="shared" si="1"/>
        <v>15</v>
      </c>
      <c r="F42" s="2200" t="str">
        <f t="shared" si="2"/>
        <v>05</v>
      </c>
      <c r="G42" s="2200" t="str">
        <f t="shared" si="3"/>
        <v>35710</v>
      </c>
      <c r="H42" s="2200">
        <f>--SUBTOTAL(3,C$2:C42)</f>
        <v>0</v>
      </c>
    </row>
    <row r="43" spans="1:8" hidden="1" x14ac:dyDescent="0.15">
      <c r="A43" s="2200" t="s">
        <v>10723</v>
      </c>
      <c r="B43" s="2200" t="s">
        <v>10802</v>
      </c>
      <c r="C43" s="2200" t="s">
        <v>10803</v>
      </c>
      <c r="D43" s="2200" t="str">
        <f t="shared" si="0"/>
        <v>AR</v>
      </c>
      <c r="E43" s="2200">
        <f t="shared" si="1"/>
        <v>17</v>
      </c>
      <c r="F43" s="2200" t="str">
        <f t="shared" si="2"/>
        <v>05</v>
      </c>
      <c r="G43" s="2200" t="str">
        <f t="shared" si="3"/>
        <v>41000</v>
      </c>
      <c r="H43" s="2200">
        <f>--SUBTOTAL(3,C$2:C43)</f>
        <v>0</v>
      </c>
    </row>
    <row r="44" spans="1:8" hidden="1" x14ac:dyDescent="0.15">
      <c r="A44" s="2200" t="s">
        <v>10723</v>
      </c>
      <c r="B44" s="2200" t="s">
        <v>10804</v>
      </c>
      <c r="C44" s="2200" t="s">
        <v>10805</v>
      </c>
      <c r="D44" s="2200" t="str">
        <f t="shared" si="0"/>
        <v>AR</v>
      </c>
      <c r="E44" s="2200">
        <f t="shared" si="1"/>
        <v>23</v>
      </c>
      <c r="F44" s="2200" t="str">
        <f t="shared" si="2"/>
        <v>05</v>
      </c>
      <c r="G44" s="2200" t="str">
        <f t="shared" si="3"/>
        <v>50450</v>
      </c>
      <c r="H44" s="2200">
        <f>--SUBTOTAL(3,C$2:C44)</f>
        <v>0</v>
      </c>
    </row>
    <row r="45" spans="1:8" hidden="1" x14ac:dyDescent="0.15">
      <c r="A45" s="2200" t="s">
        <v>10723</v>
      </c>
      <c r="B45" s="2200" t="s">
        <v>10806</v>
      </c>
      <c r="C45" s="2200" t="s">
        <v>10807</v>
      </c>
      <c r="D45" s="2200" t="str">
        <f t="shared" si="0"/>
        <v>AR</v>
      </c>
      <c r="E45" s="2200">
        <f t="shared" si="1"/>
        <v>15</v>
      </c>
      <c r="F45" s="2200" t="str">
        <f t="shared" si="2"/>
        <v>05</v>
      </c>
      <c r="G45" s="2200" t="str">
        <f t="shared" si="3"/>
        <v>53390</v>
      </c>
      <c r="H45" s="2200">
        <f>--SUBTOTAL(3,C$2:C45)</f>
        <v>0</v>
      </c>
    </row>
    <row r="46" spans="1:8" hidden="1" x14ac:dyDescent="0.15">
      <c r="A46" s="2200" t="s">
        <v>10723</v>
      </c>
      <c r="B46" s="2200" t="s">
        <v>10808</v>
      </c>
      <c r="C46" s="2200" t="s">
        <v>10809</v>
      </c>
      <c r="D46" s="2200" t="str">
        <f t="shared" si="0"/>
        <v>AR</v>
      </c>
      <c r="E46" s="2200">
        <f t="shared" si="1"/>
        <v>16</v>
      </c>
      <c r="F46" s="2200" t="str">
        <f t="shared" si="2"/>
        <v>05</v>
      </c>
      <c r="G46" s="2200" t="str">
        <f t="shared" si="3"/>
        <v>55310</v>
      </c>
      <c r="H46" s="2200">
        <f>--SUBTOTAL(3,C$2:C46)</f>
        <v>0</v>
      </c>
    </row>
    <row r="47" spans="1:8" hidden="1" x14ac:dyDescent="0.15">
      <c r="A47" s="2200" t="s">
        <v>10723</v>
      </c>
      <c r="B47" s="2200" t="s">
        <v>10810</v>
      </c>
      <c r="C47" s="2200" t="s">
        <v>10811</v>
      </c>
      <c r="D47" s="2200" t="str">
        <f t="shared" si="0"/>
        <v>AR</v>
      </c>
      <c r="E47" s="2200">
        <f t="shared" si="1"/>
        <v>12</v>
      </c>
      <c r="F47" s="2200" t="str">
        <f t="shared" si="2"/>
        <v>05</v>
      </c>
      <c r="G47" s="2200" t="str">
        <f t="shared" si="3"/>
        <v>60410</v>
      </c>
      <c r="H47" s="2200">
        <f>--SUBTOTAL(3,C$2:C47)</f>
        <v>0</v>
      </c>
    </row>
    <row r="48" spans="1:8" hidden="1" x14ac:dyDescent="0.15">
      <c r="A48" s="2200" t="s">
        <v>10723</v>
      </c>
      <c r="B48" s="2200" t="s">
        <v>10812</v>
      </c>
      <c r="C48" s="2200" t="s">
        <v>10813</v>
      </c>
      <c r="D48" s="2200" t="str">
        <f t="shared" si="0"/>
        <v>AR</v>
      </c>
      <c r="E48" s="2200">
        <f t="shared" si="1"/>
        <v>18</v>
      </c>
      <c r="F48" s="2200" t="str">
        <f t="shared" si="2"/>
        <v>05</v>
      </c>
      <c r="G48" s="2200" t="str">
        <f t="shared" si="3"/>
        <v>61670</v>
      </c>
      <c r="H48" s="2200">
        <f>--SUBTOTAL(3,C$2:C48)</f>
        <v>0</v>
      </c>
    </row>
    <row r="49" spans="1:8" hidden="1" x14ac:dyDescent="0.15">
      <c r="A49" s="2200" t="s">
        <v>10723</v>
      </c>
      <c r="B49" s="2200" t="s">
        <v>10814</v>
      </c>
      <c r="C49" s="2200" t="s">
        <v>10815</v>
      </c>
      <c r="D49" s="2200" t="str">
        <f t="shared" si="0"/>
        <v>AR</v>
      </c>
      <c r="E49" s="2200">
        <f t="shared" si="1"/>
        <v>14</v>
      </c>
      <c r="F49" s="2200" t="str">
        <f t="shared" si="2"/>
        <v>05</v>
      </c>
      <c r="G49" s="2200" t="str">
        <f t="shared" si="3"/>
        <v>63800</v>
      </c>
      <c r="H49" s="2200">
        <f>--SUBTOTAL(3,C$2:C49)</f>
        <v>0</v>
      </c>
    </row>
    <row r="50" spans="1:8" hidden="1" x14ac:dyDescent="0.15">
      <c r="A50" s="2200" t="s">
        <v>10723</v>
      </c>
      <c r="B50" s="2200" t="s">
        <v>10816</v>
      </c>
      <c r="C50" s="2200" t="s">
        <v>10817</v>
      </c>
      <c r="D50" s="2200" t="str">
        <f t="shared" si="0"/>
        <v>AR</v>
      </c>
      <c r="E50" s="2200">
        <f t="shared" si="1"/>
        <v>16</v>
      </c>
      <c r="F50" s="2200" t="str">
        <f t="shared" si="2"/>
        <v>05</v>
      </c>
      <c r="G50" s="2200" t="str">
        <f t="shared" si="3"/>
        <v>66080</v>
      </c>
      <c r="H50" s="2200">
        <f>--SUBTOTAL(3,C$2:C50)</f>
        <v>0</v>
      </c>
    </row>
    <row r="51" spans="1:8" hidden="1" x14ac:dyDescent="0.15">
      <c r="A51" s="2200" t="s">
        <v>10723</v>
      </c>
      <c r="B51" s="2200" t="s">
        <v>10818</v>
      </c>
      <c r="C51" s="2200" t="s">
        <v>10819</v>
      </c>
      <c r="D51" s="2200" t="str">
        <f t="shared" si="0"/>
        <v>AR</v>
      </c>
      <c r="E51" s="2200">
        <f t="shared" si="1"/>
        <v>15</v>
      </c>
      <c r="F51" s="2200" t="str">
        <f t="shared" si="2"/>
        <v>05</v>
      </c>
      <c r="G51" s="2200" t="str">
        <f t="shared" si="3"/>
        <v>68810</v>
      </c>
      <c r="H51" s="2200">
        <f>--SUBTOTAL(3,C$2:C51)</f>
        <v>0</v>
      </c>
    </row>
    <row r="52" spans="1:8" hidden="1" x14ac:dyDescent="0.15">
      <c r="A52" s="2200" t="s">
        <v>10723</v>
      </c>
      <c r="B52" s="2200" t="s">
        <v>10820</v>
      </c>
      <c r="C52" s="2200" t="s">
        <v>10821</v>
      </c>
      <c r="D52" s="2200" t="str">
        <f t="shared" si="0"/>
        <v>AR</v>
      </c>
      <c r="E52" s="2200">
        <f t="shared" si="1"/>
        <v>18</v>
      </c>
      <c r="F52" s="2200" t="str">
        <f t="shared" si="2"/>
        <v>05</v>
      </c>
      <c r="G52" s="2200" t="str">
        <f t="shared" si="3"/>
        <v>74540</v>
      </c>
      <c r="H52" s="2200">
        <f>--SUBTOTAL(3,C$2:C52)</f>
        <v>0</v>
      </c>
    </row>
    <row r="53" spans="1:8" hidden="1" x14ac:dyDescent="0.15">
      <c r="A53" s="2200" t="s">
        <v>10723</v>
      </c>
      <c r="B53" s="2200" t="s">
        <v>10822</v>
      </c>
      <c r="C53" s="2200" t="s">
        <v>10823</v>
      </c>
      <c r="D53" s="2200" t="str">
        <f t="shared" si="0"/>
        <v>AZ</v>
      </c>
      <c r="E53" s="2200">
        <f t="shared" si="1"/>
        <v>21</v>
      </c>
      <c r="F53" s="2200" t="str">
        <f t="shared" si="2"/>
        <v>04</v>
      </c>
      <c r="G53" s="2200" t="str">
        <f t="shared" si="3"/>
        <v>02830</v>
      </c>
      <c r="H53" s="2200">
        <f>--SUBTOTAL(3,C$2:C53)</f>
        <v>0</v>
      </c>
    </row>
    <row r="54" spans="1:8" hidden="1" x14ac:dyDescent="0.15">
      <c r="A54" s="2200" t="s">
        <v>10723</v>
      </c>
      <c r="B54" s="2200" t="s">
        <v>10824</v>
      </c>
      <c r="C54" s="2200" t="s">
        <v>10825</v>
      </c>
      <c r="D54" s="2200" t="str">
        <f t="shared" si="0"/>
        <v>AZ</v>
      </c>
      <c r="E54" s="2200">
        <f t="shared" si="1"/>
        <v>14</v>
      </c>
      <c r="F54" s="2200" t="str">
        <f t="shared" si="2"/>
        <v>04</v>
      </c>
      <c r="G54" s="2200" t="str">
        <f t="shared" si="3"/>
        <v>04720</v>
      </c>
      <c r="H54" s="2200">
        <f>--SUBTOTAL(3,C$2:C54)</f>
        <v>0</v>
      </c>
    </row>
    <row r="55" spans="1:8" hidden="1" x14ac:dyDescent="0.15">
      <c r="A55" s="2200" t="s">
        <v>10723</v>
      </c>
      <c r="B55" s="2200" t="s">
        <v>10826</v>
      </c>
      <c r="C55" s="2200" t="s">
        <v>10827</v>
      </c>
      <c r="D55" s="2200" t="str">
        <f t="shared" si="0"/>
        <v>AZ</v>
      </c>
      <c r="E55" s="2200">
        <f t="shared" si="1"/>
        <v>13</v>
      </c>
      <c r="F55" s="2200" t="str">
        <f t="shared" si="2"/>
        <v>04</v>
      </c>
      <c r="G55" s="2200" t="str">
        <f t="shared" si="3"/>
        <v>07940</v>
      </c>
      <c r="H55" s="2200">
        <f>--SUBTOTAL(3,C$2:C55)</f>
        <v>0</v>
      </c>
    </row>
    <row r="56" spans="1:8" hidden="1" x14ac:dyDescent="0.15">
      <c r="A56" s="2200" t="s">
        <v>10723</v>
      </c>
      <c r="B56" s="2200" t="s">
        <v>10828</v>
      </c>
      <c r="C56" s="2200" t="s">
        <v>10829</v>
      </c>
      <c r="D56" s="2200" t="str">
        <f t="shared" si="0"/>
        <v>AZ</v>
      </c>
      <c r="E56" s="2200">
        <f t="shared" si="1"/>
        <v>19</v>
      </c>
      <c r="F56" s="2200" t="str">
        <f t="shared" si="2"/>
        <v>04</v>
      </c>
      <c r="G56" s="2200" t="str">
        <f t="shared" si="3"/>
        <v>08220</v>
      </c>
      <c r="H56" s="2200">
        <f>--SUBTOTAL(3,C$2:C56)</f>
        <v>0</v>
      </c>
    </row>
    <row r="57" spans="1:8" hidden="1" x14ac:dyDescent="0.15">
      <c r="A57" s="2200" t="s">
        <v>10723</v>
      </c>
      <c r="B57" s="2200" t="s">
        <v>10830</v>
      </c>
      <c r="C57" s="2200" t="s">
        <v>10831</v>
      </c>
      <c r="D57" s="2200" t="str">
        <f t="shared" si="0"/>
        <v>AZ</v>
      </c>
      <c r="E57" s="2200">
        <f t="shared" si="1"/>
        <v>17</v>
      </c>
      <c r="F57" s="2200" t="str">
        <f t="shared" si="2"/>
        <v>04</v>
      </c>
      <c r="G57" s="2200" t="str">
        <f t="shared" si="3"/>
        <v>10530</v>
      </c>
      <c r="H57" s="2200">
        <f>--SUBTOTAL(3,C$2:C57)</f>
        <v>0</v>
      </c>
    </row>
    <row r="58" spans="1:8" hidden="1" x14ac:dyDescent="0.15">
      <c r="A58" s="2200" t="s">
        <v>10723</v>
      </c>
      <c r="B58" s="2200" t="s">
        <v>10832</v>
      </c>
      <c r="C58" s="2200" t="s">
        <v>10833</v>
      </c>
      <c r="D58" s="2200" t="str">
        <f t="shared" si="0"/>
        <v>AZ</v>
      </c>
      <c r="E58" s="2200">
        <f t="shared" si="1"/>
        <v>14</v>
      </c>
      <c r="F58" s="2200" t="str">
        <f t="shared" si="2"/>
        <v>04</v>
      </c>
      <c r="G58" s="2200" t="str">
        <f t="shared" si="3"/>
        <v>12000</v>
      </c>
      <c r="H58" s="2200">
        <f>--SUBTOTAL(3,C$2:C58)</f>
        <v>0</v>
      </c>
    </row>
    <row r="59" spans="1:8" hidden="1" x14ac:dyDescent="0.15">
      <c r="A59" s="2200" t="s">
        <v>10723</v>
      </c>
      <c r="B59" s="2200" t="s">
        <v>10834</v>
      </c>
      <c r="C59" s="2200" t="s">
        <v>10835</v>
      </c>
      <c r="D59" s="2200" t="str">
        <f t="shared" si="0"/>
        <v>AZ</v>
      </c>
      <c r="E59" s="2200">
        <f t="shared" si="1"/>
        <v>15</v>
      </c>
      <c r="F59" s="2200" t="str">
        <f t="shared" si="2"/>
        <v>04</v>
      </c>
      <c r="G59" s="2200" t="str">
        <f t="shared" si="3"/>
        <v>22220</v>
      </c>
      <c r="H59" s="2200">
        <f>--SUBTOTAL(3,C$2:C59)</f>
        <v>0</v>
      </c>
    </row>
    <row r="60" spans="1:8" hidden="1" x14ac:dyDescent="0.15">
      <c r="A60" s="2200" t="s">
        <v>10723</v>
      </c>
      <c r="B60" s="2200" t="s">
        <v>10836</v>
      </c>
      <c r="C60" s="2200" t="s">
        <v>10837</v>
      </c>
      <c r="D60" s="2200" t="str">
        <f t="shared" si="0"/>
        <v>AZ</v>
      </c>
      <c r="E60" s="2200">
        <f t="shared" si="1"/>
        <v>15</v>
      </c>
      <c r="F60" s="2200" t="str">
        <f t="shared" si="2"/>
        <v>04</v>
      </c>
      <c r="G60" s="2200" t="str">
        <f t="shared" si="3"/>
        <v>23620</v>
      </c>
      <c r="H60" s="2200">
        <f>--SUBTOTAL(3,C$2:C60)</f>
        <v>0</v>
      </c>
    </row>
    <row r="61" spans="1:8" hidden="1" x14ac:dyDescent="0.15">
      <c r="A61" s="2200" t="s">
        <v>10723</v>
      </c>
      <c r="B61" s="2200" t="s">
        <v>10838</v>
      </c>
      <c r="C61" s="2200" t="s">
        <v>10839</v>
      </c>
      <c r="D61" s="2200" t="str">
        <f t="shared" si="0"/>
        <v>AZ</v>
      </c>
      <c r="E61" s="2200">
        <f t="shared" si="1"/>
        <v>14</v>
      </c>
      <c r="F61" s="2200" t="str">
        <f t="shared" si="2"/>
        <v>04</v>
      </c>
      <c r="G61" s="2200" t="str">
        <f t="shared" si="3"/>
        <v>23760</v>
      </c>
      <c r="H61" s="2200">
        <f>--SUBTOTAL(3,C$2:C61)</f>
        <v>0</v>
      </c>
    </row>
    <row r="62" spans="1:8" hidden="1" x14ac:dyDescent="0.15">
      <c r="A62" s="2200" t="s">
        <v>10723</v>
      </c>
      <c r="B62" s="2200" t="s">
        <v>10840</v>
      </c>
      <c r="C62" s="2200" t="s">
        <v>10841</v>
      </c>
      <c r="D62" s="2200" t="str">
        <f t="shared" si="0"/>
        <v>AZ</v>
      </c>
      <c r="E62" s="2200">
        <f t="shared" si="1"/>
        <v>20</v>
      </c>
      <c r="F62" s="2200" t="str">
        <f t="shared" si="2"/>
        <v>04</v>
      </c>
      <c r="G62" s="2200" t="str">
        <f t="shared" si="3"/>
        <v>25300</v>
      </c>
      <c r="H62" s="2200">
        <f>--SUBTOTAL(3,C$2:C62)</f>
        <v>0</v>
      </c>
    </row>
    <row r="63" spans="1:8" hidden="1" x14ac:dyDescent="0.15">
      <c r="A63" s="2200" t="s">
        <v>10723</v>
      </c>
      <c r="B63" s="2200" t="s">
        <v>10842</v>
      </c>
      <c r="C63" s="2200" t="s">
        <v>10843</v>
      </c>
      <c r="D63" s="2200" t="str">
        <f t="shared" si="0"/>
        <v>AZ</v>
      </c>
      <c r="E63" s="2200">
        <f t="shared" si="1"/>
        <v>13</v>
      </c>
      <c r="F63" s="2200" t="str">
        <f t="shared" si="2"/>
        <v>04</v>
      </c>
      <c r="G63" s="2200" t="str">
        <f t="shared" si="3"/>
        <v>27400</v>
      </c>
      <c r="H63" s="2200">
        <f>--SUBTOTAL(3,C$2:C63)</f>
        <v>0</v>
      </c>
    </row>
    <row r="64" spans="1:8" hidden="1" x14ac:dyDescent="0.15">
      <c r="A64" s="2200" t="s">
        <v>10723</v>
      </c>
      <c r="B64" s="2200" t="s">
        <v>10844</v>
      </c>
      <c r="C64" s="2200" t="s">
        <v>10845</v>
      </c>
      <c r="D64" s="2200" t="str">
        <f t="shared" si="0"/>
        <v>AZ</v>
      </c>
      <c r="E64" s="2200">
        <f t="shared" si="1"/>
        <v>14</v>
      </c>
      <c r="F64" s="2200" t="str">
        <f t="shared" si="2"/>
        <v>04</v>
      </c>
      <c r="G64" s="2200" t="str">
        <f t="shared" si="3"/>
        <v>27820</v>
      </c>
      <c r="H64" s="2200">
        <f>--SUBTOTAL(3,C$2:C64)</f>
        <v>0</v>
      </c>
    </row>
    <row r="65" spans="1:8" hidden="1" x14ac:dyDescent="0.15">
      <c r="A65" s="2200" t="s">
        <v>10723</v>
      </c>
      <c r="B65" s="2200" t="s">
        <v>10846</v>
      </c>
      <c r="C65" s="2200" t="s">
        <v>10847</v>
      </c>
      <c r="D65" s="2200" t="str">
        <f t="shared" si="0"/>
        <v>AZ</v>
      </c>
      <c r="E65" s="2200">
        <f t="shared" si="1"/>
        <v>14</v>
      </c>
      <c r="F65" s="2200" t="str">
        <f t="shared" si="2"/>
        <v>04</v>
      </c>
      <c r="G65" s="2200" t="str">
        <f t="shared" si="3"/>
        <v>28380</v>
      </c>
      <c r="H65" s="2200">
        <f>--SUBTOTAL(3,C$2:C65)</f>
        <v>0</v>
      </c>
    </row>
    <row r="66" spans="1:8" hidden="1" x14ac:dyDescent="0.15">
      <c r="A66" s="2200" t="s">
        <v>10723</v>
      </c>
      <c r="B66" s="2200" t="s">
        <v>10848</v>
      </c>
      <c r="C66" s="2200" t="s">
        <v>10849</v>
      </c>
      <c r="D66" s="2200" t="str">
        <f t="shared" ref="D66:D129" si="4">MID(C66,E66+2,2)</f>
        <v>AZ</v>
      </c>
      <c r="E66" s="2200">
        <f t="shared" ref="E66:E129" si="5">FIND(",",C66)</f>
        <v>13</v>
      </c>
      <c r="F66" s="2200" t="str">
        <f t="shared" si="2"/>
        <v>04</v>
      </c>
      <c r="G66" s="2200" t="str">
        <f t="shared" si="3"/>
        <v>37620</v>
      </c>
      <c r="H66" s="2200">
        <f>--SUBTOTAL(3,C$2:C66)</f>
        <v>0</v>
      </c>
    </row>
    <row r="67" spans="1:8" hidden="1" x14ac:dyDescent="0.15">
      <c r="A67" s="2200" t="s">
        <v>10723</v>
      </c>
      <c r="B67" s="2200" t="s">
        <v>10850</v>
      </c>
      <c r="C67" s="2200" t="s">
        <v>10851</v>
      </c>
      <c r="D67" s="2200" t="str">
        <f t="shared" si="4"/>
        <v>AZ</v>
      </c>
      <c r="E67" s="2200">
        <f t="shared" si="5"/>
        <v>22</v>
      </c>
      <c r="F67" s="2200" t="str">
        <f t="shared" ref="F67:F130" si="6">MID(B67,3,2)</f>
        <v>04</v>
      </c>
      <c r="G67" s="2200" t="str">
        <f t="shared" ref="G67:G130" si="7">MID(B67,5,5)</f>
        <v>39370</v>
      </c>
      <c r="H67" s="2200">
        <f>--SUBTOTAL(3,C$2:C67)</f>
        <v>0</v>
      </c>
    </row>
    <row r="68" spans="1:8" hidden="1" x14ac:dyDescent="0.15">
      <c r="A68" s="2200" t="s">
        <v>10723</v>
      </c>
      <c r="B68" s="2200" t="s">
        <v>10852</v>
      </c>
      <c r="C68" s="2200" t="s">
        <v>10853</v>
      </c>
      <c r="D68" s="2200" t="str">
        <f t="shared" si="4"/>
        <v>AZ</v>
      </c>
      <c r="E68" s="2200">
        <f t="shared" si="5"/>
        <v>12</v>
      </c>
      <c r="F68" s="2200" t="str">
        <f t="shared" si="6"/>
        <v>04</v>
      </c>
      <c r="G68" s="2200" t="str">
        <f t="shared" si="7"/>
        <v>44270</v>
      </c>
      <c r="H68" s="2200">
        <f>--SUBTOTAL(3,C$2:C68)</f>
        <v>0</v>
      </c>
    </row>
    <row r="69" spans="1:8" hidden="1" x14ac:dyDescent="0.15">
      <c r="A69" s="2200" t="s">
        <v>10723</v>
      </c>
      <c r="B69" s="2200" t="s">
        <v>10854</v>
      </c>
      <c r="C69" s="2200" t="s">
        <v>10855</v>
      </c>
      <c r="D69" s="2200" t="str">
        <f t="shared" si="4"/>
        <v>AZ</v>
      </c>
      <c r="E69" s="2200">
        <f t="shared" si="5"/>
        <v>14</v>
      </c>
      <c r="F69" s="2200" t="str">
        <f t="shared" si="6"/>
        <v>04</v>
      </c>
      <c r="G69" s="2200" t="str">
        <f t="shared" si="7"/>
        <v>44410</v>
      </c>
      <c r="H69" s="2200">
        <f>--SUBTOTAL(3,C$2:C69)</f>
        <v>0</v>
      </c>
    </row>
    <row r="70" spans="1:8" hidden="1" x14ac:dyDescent="0.15">
      <c r="A70" s="2200" t="s">
        <v>10723</v>
      </c>
      <c r="B70" s="2200" t="s">
        <v>10856</v>
      </c>
      <c r="C70" s="2200" t="s">
        <v>10857</v>
      </c>
      <c r="D70" s="2200" t="str">
        <f t="shared" si="4"/>
        <v>AZ</v>
      </c>
      <c r="E70" s="2200">
        <f t="shared" si="5"/>
        <v>10</v>
      </c>
      <c r="F70" s="2200" t="str">
        <f t="shared" si="6"/>
        <v>04</v>
      </c>
      <c r="G70" s="2200" t="str">
        <f t="shared" si="7"/>
        <v>46000</v>
      </c>
      <c r="H70" s="2200">
        <f>--SUBTOTAL(3,C$2:C70)</f>
        <v>0</v>
      </c>
    </row>
    <row r="71" spans="1:8" hidden="1" x14ac:dyDescent="0.15">
      <c r="A71" s="2200" t="s">
        <v>10723</v>
      </c>
      <c r="B71" s="2200" t="s">
        <v>10858</v>
      </c>
      <c r="C71" s="2200" t="s">
        <v>10859</v>
      </c>
      <c r="D71" s="2200" t="str">
        <f t="shared" si="4"/>
        <v>AZ</v>
      </c>
      <c r="E71" s="2200">
        <f t="shared" si="5"/>
        <v>16</v>
      </c>
      <c r="F71" s="2200" t="str">
        <f t="shared" si="6"/>
        <v>04</v>
      </c>
      <c r="G71" s="2200" t="str">
        <f t="shared" si="7"/>
        <v>51600</v>
      </c>
      <c r="H71" s="2200">
        <f>--SUBTOTAL(3,C$2:C71)</f>
        <v>0</v>
      </c>
    </row>
    <row r="72" spans="1:8" hidden="1" x14ac:dyDescent="0.15">
      <c r="A72" s="2200" t="s">
        <v>10723</v>
      </c>
      <c r="B72" s="2200" t="s">
        <v>10860</v>
      </c>
      <c r="C72" s="2200" t="s">
        <v>10861</v>
      </c>
      <c r="D72" s="2200" t="str">
        <f t="shared" si="4"/>
        <v>AZ</v>
      </c>
      <c r="E72" s="2200">
        <f t="shared" si="5"/>
        <v>12</v>
      </c>
      <c r="F72" s="2200" t="str">
        <f t="shared" si="6"/>
        <v>04</v>
      </c>
      <c r="G72" s="2200" t="str">
        <f t="shared" si="7"/>
        <v>54050</v>
      </c>
      <c r="H72" s="2200">
        <f>--SUBTOTAL(3,C$2:C72)</f>
        <v>0</v>
      </c>
    </row>
    <row r="73" spans="1:8" hidden="1" x14ac:dyDescent="0.15">
      <c r="A73" s="2200" t="s">
        <v>10723</v>
      </c>
      <c r="B73" s="2200" t="s">
        <v>10862</v>
      </c>
      <c r="C73" s="2200" t="s">
        <v>10863</v>
      </c>
      <c r="D73" s="2200" t="str">
        <f t="shared" si="4"/>
        <v>AZ</v>
      </c>
      <c r="E73" s="2200">
        <f t="shared" si="5"/>
        <v>13</v>
      </c>
      <c r="F73" s="2200" t="str">
        <f t="shared" si="6"/>
        <v>04</v>
      </c>
      <c r="G73" s="2200" t="str">
        <f t="shared" si="7"/>
        <v>55000</v>
      </c>
      <c r="H73" s="2200">
        <f>--SUBTOTAL(3,C$2:C73)</f>
        <v>0</v>
      </c>
    </row>
    <row r="74" spans="1:8" hidden="1" x14ac:dyDescent="0.15">
      <c r="A74" s="2200" t="s">
        <v>10723</v>
      </c>
      <c r="B74" s="2200" t="s">
        <v>10864</v>
      </c>
      <c r="C74" s="2200" t="s">
        <v>10865</v>
      </c>
      <c r="D74" s="2200" t="str">
        <f t="shared" si="4"/>
        <v>AZ</v>
      </c>
      <c r="E74" s="2200">
        <f t="shared" si="5"/>
        <v>14</v>
      </c>
      <c r="F74" s="2200" t="str">
        <f t="shared" si="6"/>
        <v>04</v>
      </c>
      <c r="G74" s="2200" t="str">
        <f t="shared" si="7"/>
        <v>57380</v>
      </c>
      <c r="H74" s="2200">
        <f>--SUBTOTAL(3,C$2:C74)</f>
        <v>0</v>
      </c>
    </row>
    <row r="75" spans="1:8" hidden="1" x14ac:dyDescent="0.15">
      <c r="A75" s="2200" t="s">
        <v>10723</v>
      </c>
      <c r="B75" s="2200" t="s">
        <v>10866</v>
      </c>
      <c r="C75" s="2200" t="s">
        <v>10867</v>
      </c>
      <c r="D75" s="2200" t="str">
        <f t="shared" si="4"/>
        <v>AZ</v>
      </c>
      <c r="E75" s="2200">
        <f t="shared" si="5"/>
        <v>21</v>
      </c>
      <c r="F75" s="2200" t="str">
        <f t="shared" si="6"/>
        <v>04</v>
      </c>
      <c r="G75" s="2200" t="str">
        <f t="shared" si="7"/>
        <v>57450</v>
      </c>
      <c r="H75" s="2200">
        <f>--SUBTOTAL(3,C$2:C75)</f>
        <v>0</v>
      </c>
    </row>
    <row r="76" spans="1:8" hidden="1" x14ac:dyDescent="0.15">
      <c r="A76" s="2200" t="s">
        <v>10723</v>
      </c>
      <c r="B76" s="2200" t="s">
        <v>10868</v>
      </c>
      <c r="C76" s="2200" t="s">
        <v>10869</v>
      </c>
      <c r="D76" s="2200" t="str">
        <f t="shared" si="4"/>
        <v>AZ</v>
      </c>
      <c r="E76" s="2200">
        <f t="shared" si="5"/>
        <v>17</v>
      </c>
      <c r="F76" s="2200" t="str">
        <f t="shared" si="6"/>
        <v>04</v>
      </c>
      <c r="G76" s="2200" t="str">
        <f t="shared" si="7"/>
        <v>58150</v>
      </c>
      <c r="H76" s="2200">
        <f>--SUBTOTAL(3,C$2:C76)</f>
        <v>0</v>
      </c>
    </row>
    <row r="77" spans="1:8" hidden="1" x14ac:dyDescent="0.15">
      <c r="A77" s="2200" t="s">
        <v>10723</v>
      </c>
      <c r="B77" s="2200" t="s">
        <v>10870</v>
      </c>
      <c r="C77" s="2200" t="s">
        <v>10871</v>
      </c>
      <c r="D77" s="2200" t="str">
        <f t="shared" si="4"/>
        <v>AZ</v>
      </c>
      <c r="E77" s="2200">
        <f t="shared" si="5"/>
        <v>15</v>
      </c>
      <c r="F77" s="2200" t="str">
        <f t="shared" si="6"/>
        <v>04</v>
      </c>
      <c r="G77" s="2200" t="str">
        <f t="shared" si="7"/>
        <v>62140</v>
      </c>
      <c r="H77" s="2200">
        <f>--SUBTOTAL(3,C$2:C77)</f>
        <v>0</v>
      </c>
    </row>
    <row r="78" spans="1:8" hidden="1" x14ac:dyDescent="0.15">
      <c r="A78" s="2200" t="s">
        <v>10723</v>
      </c>
      <c r="B78" s="2200" t="s">
        <v>10872</v>
      </c>
      <c r="C78" s="2200" t="s">
        <v>10873</v>
      </c>
      <c r="D78" s="2200" t="str">
        <f t="shared" si="4"/>
        <v>AZ</v>
      </c>
      <c r="E78" s="2200">
        <f t="shared" si="5"/>
        <v>14</v>
      </c>
      <c r="F78" s="2200" t="str">
        <f t="shared" si="6"/>
        <v>04</v>
      </c>
      <c r="G78" s="2200" t="str">
        <f t="shared" si="7"/>
        <v>63470</v>
      </c>
      <c r="H78" s="2200">
        <f>--SUBTOTAL(3,C$2:C78)</f>
        <v>0</v>
      </c>
    </row>
    <row r="79" spans="1:8" hidden="1" x14ac:dyDescent="0.15">
      <c r="A79" s="2200" t="s">
        <v>10723</v>
      </c>
      <c r="B79" s="2200" t="s">
        <v>10874</v>
      </c>
      <c r="C79" s="2200" t="s">
        <v>10875</v>
      </c>
      <c r="D79" s="2200" t="str">
        <f t="shared" si="4"/>
        <v>AZ</v>
      </c>
      <c r="E79" s="2200">
        <f t="shared" si="5"/>
        <v>16</v>
      </c>
      <c r="F79" s="2200" t="str">
        <f t="shared" si="6"/>
        <v>04</v>
      </c>
      <c r="G79" s="2200" t="str">
        <f t="shared" si="7"/>
        <v>65000</v>
      </c>
      <c r="H79" s="2200">
        <f>--SUBTOTAL(3,C$2:C79)</f>
        <v>0</v>
      </c>
    </row>
    <row r="80" spans="1:8" hidden="1" x14ac:dyDescent="0.15">
      <c r="A80" s="2200" t="s">
        <v>10723</v>
      </c>
      <c r="B80" s="2200" t="s">
        <v>10876</v>
      </c>
      <c r="C80" s="2200" t="s">
        <v>10877</v>
      </c>
      <c r="D80" s="2200" t="str">
        <f t="shared" si="4"/>
        <v>AZ</v>
      </c>
      <c r="E80" s="2200">
        <f t="shared" si="5"/>
        <v>18</v>
      </c>
      <c r="F80" s="2200" t="str">
        <f t="shared" si="6"/>
        <v>04</v>
      </c>
      <c r="G80" s="2200" t="str">
        <f t="shared" si="7"/>
        <v>66820</v>
      </c>
      <c r="H80" s="2200">
        <f>--SUBTOTAL(3,C$2:C80)</f>
        <v>0</v>
      </c>
    </row>
    <row r="81" spans="1:8" hidden="1" x14ac:dyDescent="0.15">
      <c r="A81" s="2200" t="s">
        <v>10723</v>
      </c>
      <c r="B81" s="2200" t="s">
        <v>10878</v>
      </c>
      <c r="C81" s="2200" t="s">
        <v>10879</v>
      </c>
      <c r="D81" s="2200" t="str">
        <f t="shared" si="4"/>
        <v>AZ</v>
      </c>
      <c r="E81" s="2200">
        <f t="shared" si="5"/>
        <v>14</v>
      </c>
      <c r="F81" s="2200" t="str">
        <f t="shared" si="6"/>
        <v>04</v>
      </c>
      <c r="G81" s="2200" t="str">
        <f t="shared" si="7"/>
        <v>71510</v>
      </c>
      <c r="H81" s="2200">
        <f>--SUBTOTAL(3,C$2:C81)</f>
        <v>0</v>
      </c>
    </row>
    <row r="82" spans="1:8" hidden="1" x14ac:dyDescent="0.15">
      <c r="A82" s="2200" t="s">
        <v>10723</v>
      </c>
      <c r="B82" s="2200" t="s">
        <v>10880</v>
      </c>
      <c r="C82" s="2200" t="s">
        <v>10881</v>
      </c>
      <c r="D82" s="2200" t="str">
        <f t="shared" si="4"/>
        <v>AZ</v>
      </c>
      <c r="E82" s="2200">
        <f t="shared" si="5"/>
        <v>11</v>
      </c>
      <c r="F82" s="2200" t="str">
        <f t="shared" si="6"/>
        <v>04</v>
      </c>
      <c r="G82" s="2200" t="str">
        <f t="shared" si="7"/>
        <v>73000</v>
      </c>
      <c r="H82" s="2200">
        <f>--SUBTOTAL(3,C$2:C82)</f>
        <v>0</v>
      </c>
    </row>
    <row r="83" spans="1:8" hidden="1" x14ac:dyDescent="0.15">
      <c r="A83" s="2200" t="s">
        <v>10723</v>
      </c>
      <c r="B83" s="2200" t="s">
        <v>10882</v>
      </c>
      <c r="C83" s="2200" t="s">
        <v>10883</v>
      </c>
      <c r="D83" s="2200" t="str">
        <f t="shared" si="4"/>
        <v>AZ</v>
      </c>
      <c r="E83" s="2200">
        <f t="shared" si="5"/>
        <v>12</v>
      </c>
      <c r="F83" s="2200" t="str">
        <f t="shared" si="6"/>
        <v>04</v>
      </c>
      <c r="G83" s="2200" t="str">
        <f t="shared" si="7"/>
        <v>77000</v>
      </c>
      <c r="H83" s="2200">
        <f>--SUBTOTAL(3,C$2:C83)</f>
        <v>0</v>
      </c>
    </row>
    <row r="84" spans="1:8" hidden="1" x14ac:dyDescent="0.15">
      <c r="A84" s="2200" t="s">
        <v>10723</v>
      </c>
      <c r="B84" s="2200" t="s">
        <v>10884</v>
      </c>
      <c r="C84" s="2200" t="s">
        <v>10885</v>
      </c>
      <c r="D84" s="2200" t="str">
        <f t="shared" si="4"/>
        <v>AZ</v>
      </c>
      <c r="E84" s="2200">
        <f t="shared" si="5"/>
        <v>10</v>
      </c>
      <c r="F84" s="2200" t="str">
        <f t="shared" si="6"/>
        <v>04</v>
      </c>
      <c r="G84" s="2200" t="str">
        <f t="shared" si="7"/>
        <v>85540</v>
      </c>
      <c r="H84" s="2200">
        <f>--SUBTOTAL(3,C$2:C84)</f>
        <v>0</v>
      </c>
    </row>
    <row r="85" spans="1:8" hidden="1" x14ac:dyDescent="0.15">
      <c r="A85" s="2200" t="s">
        <v>10723</v>
      </c>
      <c r="B85" s="2200" t="s">
        <v>10886</v>
      </c>
      <c r="C85" s="2200" t="s">
        <v>10887</v>
      </c>
      <c r="D85" s="2200" t="str">
        <f t="shared" si="4"/>
        <v>CA</v>
      </c>
      <c r="E85" s="2200">
        <f t="shared" si="5"/>
        <v>14</v>
      </c>
      <c r="F85" s="2200" t="str">
        <f t="shared" si="6"/>
        <v>06</v>
      </c>
      <c r="G85" s="2200" t="str">
        <f t="shared" si="7"/>
        <v>00296</v>
      </c>
      <c r="H85" s="2200">
        <f>--SUBTOTAL(3,C$2:C85)</f>
        <v>0</v>
      </c>
    </row>
    <row r="86" spans="1:8" hidden="1" x14ac:dyDescent="0.15">
      <c r="A86" s="2200" t="s">
        <v>10723</v>
      </c>
      <c r="B86" s="2200" t="s">
        <v>10888</v>
      </c>
      <c r="C86" s="2200" t="s">
        <v>10889</v>
      </c>
      <c r="D86" s="2200" t="str">
        <f t="shared" si="4"/>
        <v>CA</v>
      </c>
      <c r="E86" s="2200">
        <f t="shared" si="5"/>
        <v>18</v>
      </c>
      <c r="F86" s="2200" t="str">
        <f t="shared" si="6"/>
        <v>06</v>
      </c>
      <c r="G86" s="2200" t="str">
        <f t="shared" si="7"/>
        <v>00394</v>
      </c>
      <c r="H86" s="2200">
        <f>--SUBTOTAL(3,C$2:C86)</f>
        <v>0</v>
      </c>
    </row>
    <row r="87" spans="1:8" hidden="1" x14ac:dyDescent="0.15">
      <c r="A87" s="2200" t="s">
        <v>10723</v>
      </c>
      <c r="B87" s="2200" t="s">
        <v>10890</v>
      </c>
      <c r="C87" s="2200" t="s">
        <v>10891</v>
      </c>
      <c r="D87" s="2200" t="str">
        <f t="shared" si="4"/>
        <v>CA</v>
      </c>
      <c r="E87" s="2200">
        <f t="shared" si="5"/>
        <v>13</v>
      </c>
      <c r="F87" s="2200" t="str">
        <f t="shared" si="6"/>
        <v>06</v>
      </c>
      <c r="G87" s="2200" t="str">
        <f t="shared" si="7"/>
        <v>00562</v>
      </c>
      <c r="H87" s="2200">
        <f>--SUBTOTAL(3,C$2:C87)</f>
        <v>0</v>
      </c>
    </row>
    <row r="88" spans="1:8" hidden="1" x14ac:dyDescent="0.15">
      <c r="A88" s="2200" t="s">
        <v>10723</v>
      </c>
      <c r="B88" s="2200" t="s">
        <v>10892</v>
      </c>
      <c r="C88" s="2200" t="s">
        <v>10893</v>
      </c>
      <c r="D88" s="2200" t="str">
        <f t="shared" si="4"/>
        <v>CA</v>
      </c>
      <c r="E88" s="2200">
        <f t="shared" si="5"/>
        <v>14</v>
      </c>
      <c r="F88" s="2200" t="str">
        <f t="shared" si="6"/>
        <v>06</v>
      </c>
      <c r="G88" s="2200" t="str">
        <f t="shared" si="7"/>
        <v>00884</v>
      </c>
      <c r="H88" s="2200">
        <f>--SUBTOTAL(3,C$2:C88)</f>
        <v>0</v>
      </c>
    </row>
    <row r="89" spans="1:8" hidden="1" x14ac:dyDescent="0.15">
      <c r="A89" s="2200" t="s">
        <v>10723</v>
      </c>
      <c r="B89" s="2200" t="s">
        <v>10894</v>
      </c>
      <c r="C89" s="2200" t="s">
        <v>10895</v>
      </c>
      <c r="D89" s="2200" t="str">
        <f t="shared" si="4"/>
        <v>CA</v>
      </c>
      <c r="E89" s="2200">
        <f t="shared" si="5"/>
        <v>17</v>
      </c>
      <c r="F89" s="2200" t="str">
        <f t="shared" si="6"/>
        <v>06</v>
      </c>
      <c r="G89" s="2200" t="str">
        <f t="shared" si="7"/>
        <v>00947</v>
      </c>
      <c r="H89" s="2200">
        <f>--SUBTOTAL(3,C$2:C89)</f>
        <v>0</v>
      </c>
    </row>
    <row r="90" spans="1:8" hidden="1" x14ac:dyDescent="0.15">
      <c r="A90" s="2200" t="s">
        <v>10723</v>
      </c>
      <c r="B90" s="2200" t="s">
        <v>10896</v>
      </c>
      <c r="C90" s="2200" t="s">
        <v>10897</v>
      </c>
      <c r="D90" s="2200" t="str">
        <f t="shared" si="4"/>
        <v>CA</v>
      </c>
      <c r="E90" s="2200">
        <f t="shared" si="5"/>
        <v>13</v>
      </c>
      <c r="F90" s="2200" t="str">
        <f t="shared" si="6"/>
        <v>06</v>
      </c>
      <c r="G90" s="2200" t="str">
        <f t="shared" si="7"/>
        <v>02000</v>
      </c>
      <c r="H90" s="2200">
        <f>--SUBTOTAL(3,C$2:C90)</f>
        <v>0</v>
      </c>
    </row>
    <row r="91" spans="1:8" hidden="1" x14ac:dyDescent="0.15">
      <c r="A91" s="2200" t="s">
        <v>10723</v>
      </c>
      <c r="B91" s="2200" t="s">
        <v>10898</v>
      </c>
      <c r="C91" s="2200" t="s">
        <v>10899</v>
      </c>
      <c r="D91" s="2200" t="str">
        <f t="shared" si="4"/>
        <v>CA</v>
      </c>
      <c r="E91" s="2200">
        <f t="shared" si="5"/>
        <v>13</v>
      </c>
      <c r="F91" s="2200" t="str">
        <f t="shared" si="6"/>
        <v>06</v>
      </c>
      <c r="G91" s="2200" t="str">
        <f t="shared" si="7"/>
        <v>02252</v>
      </c>
      <c r="H91" s="2200">
        <f>--SUBTOTAL(3,C$2:C91)</f>
        <v>0</v>
      </c>
    </row>
    <row r="92" spans="1:8" hidden="1" x14ac:dyDescent="0.15">
      <c r="A92" s="2200" t="s">
        <v>10723</v>
      </c>
      <c r="B92" s="2200" t="s">
        <v>10900</v>
      </c>
      <c r="C92" s="2200" t="s">
        <v>10901</v>
      </c>
      <c r="D92" s="2200" t="str">
        <f t="shared" si="4"/>
        <v>CA</v>
      </c>
      <c r="E92" s="2200">
        <f t="shared" si="5"/>
        <v>18</v>
      </c>
      <c r="F92" s="2200" t="str">
        <f t="shared" si="6"/>
        <v>06</v>
      </c>
      <c r="G92" s="2200" t="str">
        <f t="shared" si="7"/>
        <v>02364</v>
      </c>
      <c r="H92" s="2200">
        <f>--SUBTOTAL(3,C$2:C92)</f>
        <v>0</v>
      </c>
    </row>
    <row r="93" spans="1:8" hidden="1" x14ac:dyDescent="0.15">
      <c r="A93" s="2200" t="s">
        <v>10723</v>
      </c>
      <c r="B93" s="2200" t="s">
        <v>10902</v>
      </c>
      <c r="C93" s="2200" t="s">
        <v>10903</v>
      </c>
      <c r="D93" s="2200" t="str">
        <f t="shared" si="4"/>
        <v>CA</v>
      </c>
      <c r="E93" s="2200">
        <f t="shared" si="5"/>
        <v>13</v>
      </c>
      <c r="F93" s="2200" t="str">
        <f t="shared" si="6"/>
        <v>06</v>
      </c>
      <c r="G93" s="2200" t="str">
        <f t="shared" si="7"/>
        <v>02462</v>
      </c>
      <c r="H93" s="2200">
        <f>--SUBTOTAL(3,C$2:C93)</f>
        <v>0</v>
      </c>
    </row>
    <row r="94" spans="1:8" hidden="1" x14ac:dyDescent="0.15">
      <c r="A94" s="2200" t="s">
        <v>10723</v>
      </c>
      <c r="B94" s="2200" t="s">
        <v>10904</v>
      </c>
      <c r="C94" s="2200" t="s">
        <v>10905</v>
      </c>
      <c r="D94" s="2200" t="str">
        <f t="shared" si="4"/>
        <v>CA</v>
      </c>
      <c r="E94" s="2200">
        <f t="shared" si="5"/>
        <v>16</v>
      </c>
      <c r="F94" s="2200" t="str">
        <f t="shared" si="6"/>
        <v>06</v>
      </c>
      <c r="G94" s="2200" t="str">
        <f t="shared" si="7"/>
        <v>03064</v>
      </c>
      <c r="H94" s="2200">
        <f>--SUBTOTAL(3,C$2:C94)</f>
        <v>0</v>
      </c>
    </row>
    <row r="95" spans="1:8" hidden="1" x14ac:dyDescent="0.15">
      <c r="A95" s="2200" t="s">
        <v>10723</v>
      </c>
      <c r="B95" s="2200" t="s">
        <v>10906</v>
      </c>
      <c r="C95" s="2200" t="s">
        <v>10907</v>
      </c>
      <c r="D95" s="2200" t="str">
        <f t="shared" si="4"/>
        <v>CA</v>
      </c>
      <c r="E95" s="2200">
        <f t="shared" si="5"/>
        <v>13</v>
      </c>
      <c r="F95" s="2200" t="str">
        <f t="shared" si="6"/>
        <v>06</v>
      </c>
      <c r="G95" s="2200" t="str">
        <f t="shared" si="7"/>
        <v>03162</v>
      </c>
      <c r="H95" s="2200">
        <f>--SUBTOTAL(3,C$2:C95)</f>
        <v>0</v>
      </c>
    </row>
    <row r="96" spans="1:8" hidden="1" x14ac:dyDescent="0.15">
      <c r="A96" s="2200" t="s">
        <v>10723</v>
      </c>
      <c r="B96" s="2200" t="s">
        <v>10908</v>
      </c>
      <c r="C96" s="2200" t="s">
        <v>10909</v>
      </c>
      <c r="D96" s="2200" t="str">
        <f t="shared" si="4"/>
        <v>CA</v>
      </c>
      <c r="E96" s="2200">
        <f t="shared" si="5"/>
        <v>11</v>
      </c>
      <c r="F96" s="2200" t="str">
        <f t="shared" si="6"/>
        <v>06</v>
      </c>
      <c r="G96" s="2200" t="str">
        <f t="shared" si="7"/>
        <v>03386</v>
      </c>
      <c r="H96" s="2200">
        <f>--SUBTOTAL(3,C$2:C96)</f>
        <v>0</v>
      </c>
    </row>
    <row r="97" spans="1:8" hidden="1" x14ac:dyDescent="0.15">
      <c r="A97" s="2200" t="s">
        <v>10723</v>
      </c>
      <c r="B97" s="2200" t="s">
        <v>10910</v>
      </c>
      <c r="C97" s="2200" t="s">
        <v>10911</v>
      </c>
      <c r="D97" s="2200" t="str">
        <f t="shared" si="4"/>
        <v>CA</v>
      </c>
      <c r="E97" s="2200">
        <f t="shared" si="5"/>
        <v>17</v>
      </c>
      <c r="F97" s="2200" t="str">
        <f t="shared" si="6"/>
        <v>06</v>
      </c>
      <c r="G97" s="2200" t="str">
        <f t="shared" si="7"/>
        <v>03526</v>
      </c>
      <c r="H97" s="2200">
        <f>--SUBTOTAL(3,C$2:C97)</f>
        <v>0</v>
      </c>
    </row>
    <row r="98" spans="1:8" hidden="1" x14ac:dyDescent="0.15">
      <c r="A98" s="2200" t="s">
        <v>10723</v>
      </c>
      <c r="B98" s="2200" t="s">
        <v>10912</v>
      </c>
      <c r="C98" s="2200" t="s">
        <v>10913</v>
      </c>
      <c r="D98" s="2200" t="str">
        <f t="shared" si="4"/>
        <v>CA</v>
      </c>
      <c r="E98" s="2200">
        <f t="shared" si="5"/>
        <v>18</v>
      </c>
      <c r="F98" s="2200" t="str">
        <f t="shared" si="6"/>
        <v>06</v>
      </c>
      <c r="G98" s="2200" t="str">
        <f t="shared" si="7"/>
        <v>03666</v>
      </c>
      <c r="H98" s="2200">
        <f>--SUBTOTAL(3,C$2:C98)</f>
        <v>0</v>
      </c>
    </row>
    <row r="99" spans="1:8" hidden="1" x14ac:dyDescent="0.15">
      <c r="A99" s="2200" t="s">
        <v>10723</v>
      </c>
      <c r="B99" s="2200" t="s">
        <v>10914</v>
      </c>
      <c r="C99" s="2200" t="s">
        <v>10915</v>
      </c>
      <c r="D99" s="2200" t="str">
        <f t="shared" si="4"/>
        <v>CA</v>
      </c>
      <c r="E99" s="2200">
        <f t="shared" si="5"/>
        <v>13</v>
      </c>
      <c r="F99" s="2200" t="str">
        <f t="shared" si="6"/>
        <v>06</v>
      </c>
      <c r="G99" s="2200" t="str">
        <f t="shared" si="7"/>
        <v>03820</v>
      </c>
      <c r="H99" s="2200">
        <f>--SUBTOTAL(3,C$2:C99)</f>
        <v>0</v>
      </c>
    </row>
    <row r="100" spans="1:8" hidden="1" x14ac:dyDescent="0.15">
      <c r="A100" s="2200" t="s">
        <v>10723</v>
      </c>
      <c r="B100" s="2200" t="s">
        <v>10916</v>
      </c>
      <c r="C100" s="2200" t="s">
        <v>10917</v>
      </c>
      <c r="D100" s="2200" t="str">
        <f t="shared" si="4"/>
        <v>CA</v>
      </c>
      <c r="E100" s="2200">
        <f t="shared" si="5"/>
        <v>14</v>
      </c>
      <c r="F100" s="2200" t="str">
        <f t="shared" si="6"/>
        <v>06</v>
      </c>
      <c r="G100" s="2200" t="str">
        <f t="shared" si="7"/>
        <v>04758</v>
      </c>
      <c r="H100" s="2200">
        <f>--SUBTOTAL(3,C$2:C100)</f>
        <v>0</v>
      </c>
    </row>
    <row r="101" spans="1:8" hidden="1" x14ac:dyDescent="0.15">
      <c r="A101" s="2200" t="s">
        <v>10723</v>
      </c>
      <c r="B101" s="2200" t="s">
        <v>10918</v>
      </c>
      <c r="C101" s="2200" t="s">
        <v>10919</v>
      </c>
      <c r="D101" s="2200" t="str">
        <f t="shared" si="4"/>
        <v>CA</v>
      </c>
      <c r="E101" s="2200">
        <f t="shared" si="5"/>
        <v>10</v>
      </c>
      <c r="F101" s="2200" t="str">
        <f t="shared" si="6"/>
        <v>06</v>
      </c>
      <c r="G101" s="2200" t="str">
        <f t="shared" si="7"/>
        <v>04870</v>
      </c>
      <c r="H101" s="2200">
        <f>--SUBTOTAL(3,C$2:C101)</f>
        <v>0</v>
      </c>
    </row>
    <row r="102" spans="1:8" hidden="1" x14ac:dyDescent="0.15">
      <c r="A102" s="2200" t="s">
        <v>10723</v>
      </c>
      <c r="B102" s="2200" t="s">
        <v>10920</v>
      </c>
      <c r="C102" s="2200" t="s">
        <v>10921</v>
      </c>
      <c r="D102" s="2200" t="str">
        <f t="shared" si="4"/>
        <v>CA</v>
      </c>
      <c r="E102" s="2200">
        <f t="shared" si="5"/>
        <v>18</v>
      </c>
      <c r="F102" s="2200" t="str">
        <f t="shared" si="6"/>
        <v>06</v>
      </c>
      <c r="G102" s="2200" t="str">
        <f t="shared" si="7"/>
        <v>04996</v>
      </c>
      <c r="H102" s="2200">
        <f>--SUBTOTAL(3,C$2:C102)</f>
        <v>0</v>
      </c>
    </row>
    <row r="103" spans="1:8" hidden="1" x14ac:dyDescent="0.15">
      <c r="A103" s="2200" t="s">
        <v>10723</v>
      </c>
      <c r="B103" s="2200" t="s">
        <v>10922</v>
      </c>
      <c r="C103" s="2200" t="s">
        <v>10923</v>
      </c>
      <c r="D103" s="2200" t="str">
        <f t="shared" si="4"/>
        <v>CA</v>
      </c>
      <c r="E103" s="2200">
        <f t="shared" si="5"/>
        <v>16</v>
      </c>
      <c r="F103" s="2200" t="str">
        <f t="shared" si="6"/>
        <v>06</v>
      </c>
      <c r="G103" s="2200" t="str">
        <f t="shared" si="7"/>
        <v>04982</v>
      </c>
      <c r="H103" s="2200">
        <f>--SUBTOTAL(3,C$2:C103)</f>
        <v>0</v>
      </c>
    </row>
    <row r="104" spans="1:8" hidden="1" x14ac:dyDescent="0.15">
      <c r="A104" s="2200" t="s">
        <v>10723</v>
      </c>
      <c r="B104" s="2200" t="s">
        <v>10924</v>
      </c>
      <c r="C104" s="2200" t="s">
        <v>10925</v>
      </c>
      <c r="D104" s="2200" t="str">
        <f t="shared" si="4"/>
        <v>CA</v>
      </c>
      <c r="E104" s="2200">
        <f t="shared" si="5"/>
        <v>13</v>
      </c>
      <c r="F104" s="2200" t="str">
        <f t="shared" si="6"/>
        <v>06</v>
      </c>
      <c r="G104" s="2200" t="str">
        <f t="shared" si="7"/>
        <v>05108</v>
      </c>
      <c r="H104" s="2200">
        <f>--SUBTOTAL(3,C$2:C104)</f>
        <v>0</v>
      </c>
    </row>
    <row r="105" spans="1:8" hidden="1" x14ac:dyDescent="0.15">
      <c r="A105" s="2200" t="s">
        <v>10723</v>
      </c>
      <c r="B105" s="2200" t="s">
        <v>10926</v>
      </c>
      <c r="C105" s="2200" t="s">
        <v>10927</v>
      </c>
      <c r="D105" s="2200" t="str">
        <f t="shared" si="4"/>
        <v>CA</v>
      </c>
      <c r="E105" s="2200">
        <f t="shared" si="5"/>
        <v>13</v>
      </c>
      <c r="F105" s="2200" t="str">
        <f t="shared" si="6"/>
        <v>06</v>
      </c>
      <c r="G105" s="2200" t="str">
        <f t="shared" si="7"/>
        <v>05290</v>
      </c>
      <c r="H105" s="2200">
        <f>--SUBTOTAL(3,C$2:C105)</f>
        <v>0</v>
      </c>
    </row>
    <row r="106" spans="1:8" hidden="1" x14ac:dyDescent="0.15">
      <c r="A106" s="2200" t="s">
        <v>10723</v>
      </c>
      <c r="B106" s="2200" t="s">
        <v>10928</v>
      </c>
      <c r="C106" s="2200" t="s">
        <v>10929</v>
      </c>
      <c r="D106" s="2200" t="str">
        <f t="shared" si="4"/>
        <v>CA</v>
      </c>
      <c r="E106" s="2200">
        <f t="shared" si="5"/>
        <v>14</v>
      </c>
      <c r="F106" s="2200" t="str">
        <f t="shared" si="6"/>
        <v>06</v>
      </c>
      <c r="G106" s="2200" t="str">
        <f t="shared" si="7"/>
        <v>06000</v>
      </c>
      <c r="H106" s="2200">
        <f>--SUBTOTAL(3,C$2:C106)</f>
        <v>0</v>
      </c>
    </row>
    <row r="107" spans="1:8" hidden="1" x14ac:dyDescent="0.15">
      <c r="A107" s="2200" t="s">
        <v>10723</v>
      </c>
      <c r="B107" s="2200" t="s">
        <v>10930</v>
      </c>
      <c r="C107" s="2200" t="s">
        <v>10931</v>
      </c>
      <c r="D107" s="2200" t="str">
        <f t="shared" si="4"/>
        <v>CA</v>
      </c>
      <c r="E107" s="2200">
        <f t="shared" si="5"/>
        <v>19</v>
      </c>
      <c r="F107" s="2200" t="str">
        <f t="shared" si="6"/>
        <v>06</v>
      </c>
      <c r="G107" s="2200" t="str">
        <f t="shared" si="7"/>
        <v>06308</v>
      </c>
      <c r="H107" s="2200">
        <f>--SUBTOTAL(3,C$2:C107)</f>
        <v>0</v>
      </c>
    </row>
    <row r="108" spans="1:8" hidden="1" x14ac:dyDescent="0.15">
      <c r="A108" s="2200" t="s">
        <v>10723</v>
      </c>
      <c r="B108" s="2200" t="s">
        <v>10932</v>
      </c>
      <c r="C108" s="2200" t="s">
        <v>10933</v>
      </c>
      <c r="D108" s="2200" t="str">
        <f t="shared" si="4"/>
        <v>CA</v>
      </c>
      <c r="E108" s="2200">
        <f t="shared" si="5"/>
        <v>13</v>
      </c>
      <c r="F108" s="2200" t="str">
        <f t="shared" si="6"/>
        <v>06</v>
      </c>
      <c r="G108" s="2200" t="str">
        <f t="shared" si="7"/>
        <v>08058</v>
      </c>
      <c r="H108" s="2200">
        <f>--SUBTOTAL(3,C$2:C108)</f>
        <v>0</v>
      </c>
    </row>
    <row r="109" spans="1:8" hidden="1" x14ac:dyDescent="0.15">
      <c r="A109" s="2200" t="s">
        <v>10723</v>
      </c>
      <c r="B109" s="2200" t="s">
        <v>10934</v>
      </c>
      <c r="C109" s="2200" t="s">
        <v>10935</v>
      </c>
      <c r="D109" s="2200" t="str">
        <f t="shared" si="4"/>
        <v>CA</v>
      </c>
      <c r="E109" s="2200">
        <f t="shared" si="5"/>
        <v>10</v>
      </c>
      <c r="F109" s="2200" t="str">
        <f t="shared" si="6"/>
        <v>06</v>
      </c>
      <c r="G109" s="2200" t="str">
        <f t="shared" si="7"/>
        <v>08100</v>
      </c>
      <c r="H109" s="2200">
        <f>--SUBTOTAL(3,C$2:C109)</f>
        <v>0</v>
      </c>
    </row>
    <row r="110" spans="1:8" hidden="1" x14ac:dyDescent="0.15">
      <c r="A110" s="2200" t="s">
        <v>10723</v>
      </c>
      <c r="B110" s="2200" t="s">
        <v>10936</v>
      </c>
      <c r="C110" s="2200" t="s">
        <v>10937</v>
      </c>
      <c r="D110" s="2200" t="str">
        <f t="shared" si="4"/>
        <v>CA</v>
      </c>
      <c r="E110" s="2200">
        <f t="shared" si="5"/>
        <v>15</v>
      </c>
      <c r="F110" s="2200" t="str">
        <f t="shared" si="6"/>
        <v>06</v>
      </c>
      <c r="G110" s="2200" t="str">
        <f t="shared" si="7"/>
        <v>08142</v>
      </c>
      <c r="H110" s="2200">
        <f>--SUBTOTAL(3,C$2:C110)</f>
        <v>0</v>
      </c>
    </row>
    <row r="111" spans="1:8" hidden="1" x14ac:dyDescent="0.15">
      <c r="A111" s="2200" t="s">
        <v>10723</v>
      </c>
      <c r="B111" s="2200" t="s">
        <v>10938</v>
      </c>
      <c r="C111" s="2200" t="s">
        <v>10939</v>
      </c>
      <c r="D111" s="2200" t="str">
        <f t="shared" si="4"/>
        <v>CA</v>
      </c>
      <c r="E111" s="2200">
        <f t="shared" si="5"/>
        <v>16</v>
      </c>
      <c r="F111" s="2200" t="str">
        <f t="shared" si="6"/>
        <v>06</v>
      </c>
      <c r="G111" s="2200" t="str">
        <f t="shared" si="7"/>
        <v>08786</v>
      </c>
      <c r="H111" s="2200">
        <f>--SUBTOTAL(3,C$2:C111)</f>
        <v>0</v>
      </c>
    </row>
    <row r="112" spans="1:8" hidden="1" x14ac:dyDescent="0.15">
      <c r="A112" s="2200" t="s">
        <v>10723</v>
      </c>
      <c r="B112" s="2200" t="s">
        <v>10940</v>
      </c>
      <c r="C112" s="2200" t="s">
        <v>10941</v>
      </c>
      <c r="D112" s="2200" t="str">
        <f t="shared" si="4"/>
        <v>CA</v>
      </c>
      <c r="E112" s="2200">
        <f t="shared" si="5"/>
        <v>13</v>
      </c>
      <c r="F112" s="2200" t="str">
        <f t="shared" si="6"/>
        <v>06</v>
      </c>
      <c r="G112" s="2200" t="str">
        <f t="shared" si="7"/>
        <v>08954</v>
      </c>
      <c r="H112" s="2200">
        <f>--SUBTOTAL(3,C$2:C112)</f>
        <v>0</v>
      </c>
    </row>
    <row r="113" spans="1:8" hidden="1" x14ac:dyDescent="0.15">
      <c r="A113" s="2200" t="s">
        <v>10723</v>
      </c>
      <c r="B113" s="2200" t="s">
        <v>10942</v>
      </c>
      <c r="C113" s="2200" t="s">
        <v>10943</v>
      </c>
      <c r="D113" s="2200" t="str">
        <f t="shared" si="4"/>
        <v>CA</v>
      </c>
      <c r="E113" s="2200">
        <f t="shared" si="5"/>
        <v>16</v>
      </c>
      <c r="F113" s="2200" t="str">
        <f t="shared" si="6"/>
        <v>06</v>
      </c>
      <c r="G113" s="2200" t="str">
        <f t="shared" si="7"/>
        <v>09066</v>
      </c>
      <c r="H113" s="2200">
        <f>--SUBTOTAL(3,C$2:C113)</f>
        <v>0</v>
      </c>
    </row>
    <row r="114" spans="1:8" hidden="1" x14ac:dyDescent="0.15">
      <c r="A114" s="2200" t="s">
        <v>10723</v>
      </c>
      <c r="B114" s="2200" t="s">
        <v>10944</v>
      </c>
      <c r="C114" s="2200" t="s">
        <v>10945</v>
      </c>
      <c r="D114" s="2200" t="str">
        <f t="shared" si="4"/>
        <v>CA</v>
      </c>
      <c r="E114" s="2200">
        <f t="shared" si="5"/>
        <v>14</v>
      </c>
      <c r="F114" s="2200" t="str">
        <f t="shared" si="6"/>
        <v>06</v>
      </c>
      <c r="G114" s="2200" t="str">
        <f t="shared" si="7"/>
        <v>09710</v>
      </c>
      <c r="H114" s="2200">
        <f>--SUBTOTAL(3,C$2:C114)</f>
        <v>0</v>
      </c>
    </row>
    <row r="115" spans="1:8" hidden="1" x14ac:dyDescent="0.15">
      <c r="A115" s="2200" t="s">
        <v>10723</v>
      </c>
      <c r="B115" s="2200" t="s">
        <v>10946</v>
      </c>
      <c r="C115" s="2200" t="s">
        <v>10947</v>
      </c>
      <c r="D115" s="2200" t="str">
        <f t="shared" si="4"/>
        <v>CA</v>
      </c>
      <c r="E115" s="2200">
        <f t="shared" si="5"/>
        <v>15</v>
      </c>
      <c r="F115" s="2200" t="str">
        <f t="shared" si="6"/>
        <v>06</v>
      </c>
      <c r="G115" s="2200" t="str">
        <f t="shared" si="7"/>
        <v>10046</v>
      </c>
      <c r="H115" s="2200">
        <f>--SUBTOTAL(3,C$2:C115)</f>
        <v>0</v>
      </c>
    </row>
    <row r="116" spans="1:8" hidden="1" x14ac:dyDescent="0.15">
      <c r="A116" s="2200" t="s">
        <v>10723</v>
      </c>
      <c r="B116" s="2200" t="s">
        <v>10948</v>
      </c>
      <c r="C116" s="2200" t="s">
        <v>10949</v>
      </c>
      <c r="D116" s="2200" t="str">
        <f t="shared" si="4"/>
        <v>CA</v>
      </c>
      <c r="E116" s="2200">
        <f t="shared" si="5"/>
        <v>14</v>
      </c>
      <c r="F116" s="2200" t="str">
        <f t="shared" si="6"/>
        <v>06</v>
      </c>
      <c r="G116" s="2200" t="str">
        <f t="shared" si="7"/>
        <v>10345</v>
      </c>
      <c r="H116" s="2200">
        <f>--SUBTOTAL(3,C$2:C116)</f>
        <v>0</v>
      </c>
    </row>
    <row r="117" spans="1:8" hidden="1" x14ac:dyDescent="0.15">
      <c r="A117" s="2200" t="s">
        <v>10723</v>
      </c>
      <c r="B117" s="2200" t="s">
        <v>10950</v>
      </c>
      <c r="C117" s="2200" t="s">
        <v>10951</v>
      </c>
      <c r="D117" s="2200" t="str">
        <f t="shared" si="4"/>
        <v>CA</v>
      </c>
      <c r="E117" s="2200">
        <f t="shared" si="5"/>
        <v>14</v>
      </c>
      <c r="F117" s="2200" t="str">
        <f t="shared" si="6"/>
        <v>06</v>
      </c>
      <c r="G117" s="2200" t="str">
        <f t="shared" si="7"/>
        <v>11194</v>
      </c>
      <c r="H117" s="2200">
        <f>--SUBTOTAL(3,C$2:C117)</f>
        <v>0</v>
      </c>
    </row>
    <row r="118" spans="1:8" hidden="1" x14ac:dyDescent="0.15">
      <c r="A118" s="2200" t="s">
        <v>10723</v>
      </c>
      <c r="B118" s="2200" t="s">
        <v>10952</v>
      </c>
      <c r="C118" s="2200" t="s">
        <v>10953</v>
      </c>
      <c r="D118" s="2200" t="str">
        <f t="shared" si="4"/>
        <v>CA</v>
      </c>
      <c r="E118" s="2200">
        <f t="shared" si="5"/>
        <v>12</v>
      </c>
      <c r="F118" s="2200" t="str">
        <f t="shared" si="6"/>
        <v>06</v>
      </c>
      <c r="G118" s="2200" t="str">
        <f t="shared" si="7"/>
        <v>11530</v>
      </c>
      <c r="H118" s="2200">
        <f>--SUBTOTAL(3,C$2:C118)</f>
        <v>0</v>
      </c>
    </row>
    <row r="119" spans="1:8" hidden="1" x14ac:dyDescent="0.15">
      <c r="A119" s="2200" t="s">
        <v>10723</v>
      </c>
      <c r="B119" s="2200" t="s">
        <v>10954</v>
      </c>
      <c r="C119" s="2200" t="s">
        <v>10955</v>
      </c>
      <c r="D119" s="2200" t="str">
        <f t="shared" si="4"/>
        <v>CA</v>
      </c>
      <c r="E119" s="2200">
        <f t="shared" si="5"/>
        <v>20</v>
      </c>
      <c r="F119" s="2200" t="str">
        <f t="shared" si="6"/>
        <v>06</v>
      </c>
      <c r="G119" s="2200" t="str">
        <f t="shared" si="7"/>
        <v>12048</v>
      </c>
      <c r="H119" s="2200">
        <f>--SUBTOTAL(3,C$2:C119)</f>
        <v>0</v>
      </c>
    </row>
    <row r="120" spans="1:8" hidden="1" x14ac:dyDescent="0.15">
      <c r="A120" s="2200" t="s">
        <v>10723</v>
      </c>
      <c r="B120" s="2200" t="s">
        <v>10956</v>
      </c>
      <c r="C120" s="2200" t="s">
        <v>10957</v>
      </c>
      <c r="D120" s="2200" t="str">
        <f t="shared" si="4"/>
        <v>CA</v>
      </c>
      <c r="E120" s="2200">
        <f t="shared" si="5"/>
        <v>11</v>
      </c>
      <c r="F120" s="2200" t="str">
        <f t="shared" si="6"/>
        <v>06</v>
      </c>
      <c r="G120" s="2200" t="str">
        <f t="shared" si="7"/>
        <v>12524</v>
      </c>
      <c r="H120" s="2200">
        <f>--SUBTOTAL(3,C$2:C120)</f>
        <v>0</v>
      </c>
    </row>
    <row r="121" spans="1:8" hidden="1" x14ac:dyDescent="0.15">
      <c r="A121" s="2200" t="s">
        <v>10723</v>
      </c>
      <c r="B121" s="2200" t="s">
        <v>10958</v>
      </c>
      <c r="C121" s="2200" t="s">
        <v>10959</v>
      </c>
      <c r="D121" s="2200" t="str">
        <f t="shared" si="4"/>
        <v>CA</v>
      </c>
      <c r="E121" s="2200">
        <f t="shared" si="5"/>
        <v>14</v>
      </c>
      <c r="F121" s="2200" t="str">
        <f t="shared" si="6"/>
        <v>06</v>
      </c>
      <c r="G121" s="2200" t="str">
        <f t="shared" si="7"/>
        <v>12552</v>
      </c>
      <c r="H121" s="2200">
        <f>--SUBTOTAL(3,C$2:C121)</f>
        <v>0</v>
      </c>
    </row>
    <row r="122" spans="1:8" hidden="1" x14ac:dyDescent="0.15">
      <c r="A122" s="2200" t="s">
        <v>10723</v>
      </c>
      <c r="B122" s="2200" t="s">
        <v>10960</v>
      </c>
      <c r="C122" s="2200" t="s">
        <v>10961</v>
      </c>
      <c r="D122" s="2200" t="str">
        <f t="shared" si="4"/>
        <v>CA</v>
      </c>
      <c r="E122" s="2200">
        <f t="shared" si="5"/>
        <v>11</v>
      </c>
      <c r="F122" s="2200" t="str">
        <f t="shared" si="6"/>
        <v>06</v>
      </c>
      <c r="G122" s="2200" t="str">
        <f t="shared" si="7"/>
        <v>13014</v>
      </c>
      <c r="H122" s="2200">
        <f>--SUBTOTAL(3,C$2:C122)</f>
        <v>0</v>
      </c>
    </row>
    <row r="123" spans="1:8" hidden="1" x14ac:dyDescent="0.15">
      <c r="A123" s="2200" t="s">
        <v>10723</v>
      </c>
      <c r="B123" s="2200" t="s">
        <v>10962</v>
      </c>
      <c r="C123" s="2200" t="s">
        <v>10963</v>
      </c>
      <c r="D123" s="2200" t="str">
        <f t="shared" si="4"/>
        <v>CA</v>
      </c>
      <c r="E123" s="2200">
        <f t="shared" si="5"/>
        <v>11</v>
      </c>
      <c r="F123" s="2200" t="str">
        <f t="shared" si="6"/>
        <v>06</v>
      </c>
      <c r="G123" s="2200" t="str">
        <f t="shared" si="7"/>
        <v>13210</v>
      </c>
      <c r="H123" s="2200">
        <f>--SUBTOTAL(3,C$2:C123)</f>
        <v>0</v>
      </c>
    </row>
    <row r="124" spans="1:8" hidden="1" x14ac:dyDescent="0.15">
      <c r="A124" s="2200" t="s">
        <v>10723</v>
      </c>
      <c r="B124" s="2200" t="s">
        <v>10964</v>
      </c>
      <c r="C124" s="2200" t="s">
        <v>10965</v>
      </c>
      <c r="D124" s="2200" t="str">
        <f t="shared" si="4"/>
        <v>CA</v>
      </c>
      <c r="E124" s="2200">
        <f t="shared" si="5"/>
        <v>17</v>
      </c>
      <c r="F124" s="2200" t="str">
        <f t="shared" si="6"/>
        <v>06</v>
      </c>
      <c r="G124" s="2200" t="str">
        <f t="shared" si="7"/>
        <v>13214</v>
      </c>
      <c r="H124" s="2200">
        <f>--SUBTOTAL(3,C$2:C124)</f>
        <v>0</v>
      </c>
    </row>
    <row r="125" spans="1:8" hidden="1" x14ac:dyDescent="0.15">
      <c r="A125" s="2200" t="s">
        <v>10723</v>
      </c>
      <c r="B125" s="2200" t="s">
        <v>10966</v>
      </c>
      <c r="C125" s="2200" t="s">
        <v>10967</v>
      </c>
      <c r="D125" s="2200" t="str">
        <f t="shared" si="4"/>
        <v>CA</v>
      </c>
      <c r="E125" s="2200">
        <f t="shared" si="5"/>
        <v>17</v>
      </c>
      <c r="F125" s="2200" t="str">
        <f t="shared" si="6"/>
        <v>06</v>
      </c>
      <c r="G125" s="2200" t="str">
        <f t="shared" si="7"/>
        <v>13392</v>
      </c>
      <c r="H125" s="2200">
        <f>--SUBTOTAL(3,C$2:C125)</f>
        <v>0</v>
      </c>
    </row>
    <row r="126" spans="1:8" hidden="1" x14ac:dyDescent="0.15">
      <c r="A126" s="2200" t="s">
        <v>10723</v>
      </c>
      <c r="B126" s="2200" t="s">
        <v>10968</v>
      </c>
      <c r="C126" s="2200" t="s">
        <v>10969</v>
      </c>
      <c r="D126" s="2200" t="str">
        <f t="shared" si="4"/>
        <v>CA</v>
      </c>
      <c r="E126" s="2200">
        <f t="shared" si="5"/>
        <v>20</v>
      </c>
      <c r="F126" s="2200" t="str">
        <f t="shared" si="6"/>
        <v>06</v>
      </c>
      <c r="G126" s="2200" t="str">
        <f t="shared" si="7"/>
        <v>13588</v>
      </c>
      <c r="H126" s="2200">
        <f>--SUBTOTAL(3,C$2:C126)</f>
        <v>0</v>
      </c>
    </row>
    <row r="127" spans="1:8" hidden="1" x14ac:dyDescent="0.15">
      <c r="A127" s="2200" t="s">
        <v>10723</v>
      </c>
      <c r="B127" s="2200" t="s">
        <v>10970</v>
      </c>
      <c r="C127" s="2200" t="s">
        <v>10971</v>
      </c>
      <c r="D127" s="2200" t="str">
        <f t="shared" si="4"/>
        <v>CA</v>
      </c>
      <c r="E127" s="2200">
        <f t="shared" si="5"/>
        <v>15</v>
      </c>
      <c r="F127" s="2200" t="str">
        <f t="shared" si="6"/>
        <v>06</v>
      </c>
      <c r="G127" s="2200" t="str">
        <f t="shared" si="7"/>
        <v>13756</v>
      </c>
      <c r="H127" s="2200">
        <f>--SUBTOTAL(3,C$2:C127)</f>
        <v>0</v>
      </c>
    </row>
    <row r="128" spans="1:8" hidden="1" x14ac:dyDescent="0.15">
      <c r="A128" s="2200" t="s">
        <v>10723</v>
      </c>
      <c r="B128" s="2200" t="s">
        <v>10972</v>
      </c>
      <c r="C128" s="2200" t="s">
        <v>10973</v>
      </c>
      <c r="D128" s="2200" t="str">
        <f t="shared" si="4"/>
        <v>CA</v>
      </c>
      <c r="E128" s="2200">
        <f t="shared" si="5"/>
        <v>12</v>
      </c>
      <c r="F128" s="2200" t="str">
        <f t="shared" si="6"/>
        <v>06</v>
      </c>
      <c r="G128" s="2200" t="str">
        <f t="shared" si="7"/>
        <v>14218</v>
      </c>
      <c r="H128" s="2200">
        <f>--SUBTOTAL(3,C$2:C128)</f>
        <v>0</v>
      </c>
    </row>
    <row r="129" spans="1:8" hidden="1" x14ac:dyDescent="0.15">
      <c r="A129" s="2200" t="s">
        <v>10723</v>
      </c>
      <c r="B129" s="2200" t="s">
        <v>10974</v>
      </c>
      <c r="C129" s="2200" t="s">
        <v>10975</v>
      </c>
      <c r="D129" s="2200" t="str">
        <f t="shared" si="4"/>
        <v>CA</v>
      </c>
      <c r="E129" s="2200">
        <f t="shared" si="5"/>
        <v>15</v>
      </c>
      <c r="F129" s="2200" t="str">
        <f t="shared" si="6"/>
        <v>06</v>
      </c>
      <c r="G129" s="2200" t="str">
        <f t="shared" si="7"/>
        <v>14260</v>
      </c>
      <c r="H129" s="2200">
        <f>--SUBTOTAL(3,C$2:C129)</f>
        <v>0</v>
      </c>
    </row>
    <row r="130" spans="1:8" hidden="1" x14ac:dyDescent="0.15">
      <c r="A130" s="2200" t="s">
        <v>10723</v>
      </c>
      <c r="B130" s="2200" t="s">
        <v>10976</v>
      </c>
      <c r="C130" s="2200" t="s">
        <v>10977</v>
      </c>
      <c r="D130" s="2200" t="str">
        <f t="shared" ref="D130:D193" si="8">MID(C130,E130+2,2)</f>
        <v>CA</v>
      </c>
      <c r="E130" s="2200">
        <f t="shared" ref="E130:E193" si="9">FIND(",",C130)</f>
        <v>12</v>
      </c>
      <c r="F130" s="2200" t="str">
        <f t="shared" si="6"/>
        <v>06</v>
      </c>
      <c r="G130" s="2200" t="str">
        <f t="shared" si="7"/>
        <v>14890</v>
      </c>
      <c r="H130" s="2200">
        <f>--SUBTOTAL(3,C$2:C130)</f>
        <v>0</v>
      </c>
    </row>
    <row r="131" spans="1:8" hidden="1" x14ac:dyDescent="0.15">
      <c r="A131" s="2200" t="s">
        <v>10723</v>
      </c>
      <c r="B131" s="2200" t="s">
        <v>10978</v>
      </c>
      <c r="C131" s="2200" t="s">
        <v>10979</v>
      </c>
      <c r="D131" s="2200" t="str">
        <f t="shared" si="8"/>
        <v>CA</v>
      </c>
      <c r="E131" s="2200">
        <f t="shared" si="9"/>
        <v>13</v>
      </c>
      <c r="F131" s="2200" t="str">
        <f t="shared" ref="F131:F194" si="10">MID(B131,3,2)</f>
        <v>06</v>
      </c>
      <c r="G131" s="2200" t="str">
        <f t="shared" ref="G131:G194" si="11">MID(B131,5,5)</f>
        <v>15044</v>
      </c>
      <c r="H131" s="2200">
        <f>--SUBTOTAL(3,C$2:C131)</f>
        <v>0</v>
      </c>
    </row>
    <row r="132" spans="1:8" hidden="1" x14ac:dyDescent="0.15">
      <c r="A132" s="2200" t="s">
        <v>10723</v>
      </c>
      <c r="B132" s="2200" t="s">
        <v>10980</v>
      </c>
      <c r="C132" s="2200" t="s">
        <v>10981</v>
      </c>
      <c r="D132" s="2200" t="str">
        <f t="shared" si="8"/>
        <v>CA</v>
      </c>
      <c r="E132" s="2200">
        <f t="shared" si="9"/>
        <v>13</v>
      </c>
      <c r="F132" s="2200" t="str">
        <f t="shared" si="10"/>
        <v>06</v>
      </c>
      <c r="G132" s="2200" t="str">
        <f t="shared" si="11"/>
        <v>16000</v>
      </c>
      <c r="H132" s="2200">
        <f>--SUBTOTAL(3,C$2:C132)</f>
        <v>0</v>
      </c>
    </row>
    <row r="133" spans="1:8" hidden="1" x14ac:dyDescent="0.15">
      <c r="A133" s="2200" t="s">
        <v>10723</v>
      </c>
      <c r="B133" s="2200" t="s">
        <v>10982</v>
      </c>
      <c r="C133" s="2200" t="s">
        <v>10983</v>
      </c>
      <c r="D133" s="2200" t="str">
        <f t="shared" si="8"/>
        <v>CA</v>
      </c>
      <c r="E133" s="2200">
        <f t="shared" si="9"/>
        <v>14</v>
      </c>
      <c r="F133" s="2200" t="str">
        <f t="shared" si="10"/>
        <v>06</v>
      </c>
      <c r="G133" s="2200" t="str">
        <f t="shared" si="11"/>
        <v>16224</v>
      </c>
      <c r="H133" s="2200">
        <f>--SUBTOTAL(3,C$2:C133)</f>
        <v>0</v>
      </c>
    </row>
    <row r="134" spans="1:8" hidden="1" x14ac:dyDescent="0.15">
      <c r="A134" s="2200" t="s">
        <v>10723</v>
      </c>
      <c r="B134" s="2200" t="s">
        <v>10984</v>
      </c>
      <c r="C134" s="2200" t="s">
        <v>10985</v>
      </c>
      <c r="D134" s="2200" t="str">
        <f t="shared" si="8"/>
        <v>CA</v>
      </c>
      <c r="E134" s="2200">
        <f t="shared" si="9"/>
        <v>12</v>
      </c>
      <c r="F134" s="2200" t="str">
        <f t="shared" si="10"/>
        <v>06</v>
      </c>
      <c r="G134" s="2200" t="str">
        <f t="shared" si="11"/>
        <v>16350</v>
      </c>
      <c r="H134" s="2200">
        <f>--SUBTOTAL(3,C$2:C134)</f>
        <v>0</v>
      </c>
    </row>
    <row r="135" spans="1:8" hidden="1" x14ac:dyDescent="0.15">
      <c r="A135" s="2200" t="s">
        <v>10723</v>
      </c>
      <c r="B135" s="2200" t="s">
        <v>10986</v>
      </c>
      <c r="C135" s="2200" t="s">
        <v>10987</v>
      </c>
      <c r="D135" s="2200" t="str">
        <f t="shared" si="8"/>
        <v>CA</v>
      </c>
      <c r="E135" s="2200">
        <f t="shared" si="9"/>
        <v>14</v>
      </c>
      <c r="F135" s="2200" t="str">
        <f t="shared" si="10"/>
        <v>06</v>
      </c>
      <c r="G135" s="2200" t="str">
        <f t="shared" si="11"/>
        <v>16378</v>
      </c>
      <c r="H135" s="2200">
        <f>--SUBTOTAL(3,C$2:C135)</f>
        <v>0</v>
      </c>
    </row>
    <row r="136" spans="1:8" hidden="1" x14ac:dyDescent="0.15">
      <c r="A136" s="2200" t="s">
        <v>10723</v>
      </c>
      <c r="B136" s="2200" t="s">
        <v>10988</v>
      </c>
      <c r="C136" s="2200" t="s">
        <v>10989</v>
      </c>
      <c r="D136" s="2200" t="str">
        <f t="shared" si="8"/>
        <v>CA</v>
      </c>
      <c r="E136" s="2200">
        <f t="shared" si="9"/>
        <v>16</v>
      </c>
      <c r="F136" s="2200" t="str">
        <f t="shared" si="10"/>
        <v>06</v>
      </c>
      <c r="G136" s="2200" t="str">
        <f t="shared" si="11"/>
        <v>16532</v>
      </c>
      <c r="H136" s="2200">
        <f>--SUBTOTAL(3,C$2:C136)</f>
        <v>0</v>
      </c>
    </row>
    <row r="137" spans="1:8" hidden="1" x14ac:dyDescent="0.15">
      <c r="A137" s="2200" t="s">
        <v>10723</v>
      </c>
      <c r="B137" s="2200" t="s">
        <v>10990</v>
      </c>
      <c r="C137" s="2200" t="s">
        <v>10991</v>
      </c>
      <c r="D137" s="2200" t="str">
        <f t="shared" si="8"/>
        <v>CA</v>
      </c>
      <c r="E137" s="2200">
        <f t="shared" si="9"/>
        <v>12</v>
      </c>
      <c r="F137" s="2200" t="str">
        <f t="shared" si="10"/>
        <v>06</v>
      </c>
      <c r="G137" s="2200" t="str">
        <f t="shared" si="11"/>
        <v>16742</v>
      </c>
      <c r="H137" s="2200">
        <f>--SUBTOTAL(3,C$2:C137)</f>
        <v>0</v>
      </c>
    </row>
    <row r="138" spans="1:8" hidden="1" x14ac:dyDescent="0.15">
      <c r="A138" s="2200" t="s">
        <v>10723</v>
      </c>
      <c r="B138" s="2200" t="s">
        <v>10992</v>
      </c>
      <c r="C138" s="2200" t="s">
        <v>10993</v>
      </c>
      <c r="D138" s="2200" t="str">
        <f t="shared" si="8"/>
        <v>CA</v>
      </c>
      <c r="E138" s="2200">
        <f t="shared" si="9"/>
        <v>12</v>
      </c>
      <c r="F138" s="2200" t="str">
        <f t="shared" si="10"/>
        <v>06</v>
      </c>
      <c r="G138" s="2200" t="str">
        <f t="shared" si="11"/>
        <v>17498</v>
      </c>
      <c r="H138" s="2200">
        <f>--SUBTOTAL(3,C$2:C138)</f>
        <v>0</v>
      </c>
    </row>
    <row r="139" spans="1:8" hidden="1" x14ac:dyDescent="0.15">
      <c r="A139" s="2200" t="s">
        <v>10723</v>
      </c>
      <c r="B139" s="2200" t="s">
        <v>10994</v>
      </c>
      <c r="C139" s="2200" t="s">
        <v>10995</v>
      </c>
      <c r="D139" s="2200" t="str">
        <f t="shared" si="8"/>
        <v>CA</v>
      </c>
      <c r="E139" s="2200">
        <f t="shared" si="9"/>
        <v>17</v>
      </c>
      <c r="F139" s="2200" t="str">
        <f t="shared" si="10"/>
        <v>06</v>
      </c>
      <c r="G139" s="2200" t="str">
        <f t="shared" si="11"/>
        <v>17568</v>
      </c>
      <c r="H139" s="2200">
        <f>--SUBTOTAL(3,C$2:C139)</f>
        <v>0</v>
      </c>
    </row>
    <row r="140" spans="1:8" hidden="1" x14ac:dyDescent="0.15">
      <c r="A140" s="2200" t="s">
        <v>10723</v>
      </c>
      <c r="B140" s="2200" t="s">
        <v>10996</v>
      </c>
      <c r="C140" s="2200" t="s">
        <v>10997</v>
      </c>
      <c r="D140" s="2200" t="str">
        <f t="shared" si="8"/>
        <v>CA</v>
      </c>
      <c r="E140" s="2200">
        <f t="shared" si="9"/>
        <v>15</v>
      </c>
      <c r="F140" s="2200" t="str">
        <f t="shared" si="10"/>
        <v>06</v>
      </c>
      <c r="G140" s="2200" t="str">
        <f t="shared" si="11"/>
        <v>17610</v>
      </c>
      <c r="H140" s="2200">
        <f>--SUBTOTAL(3,C$2:C140)</f>
        <v>0</v>
      </c>
    </row>
    <row r="141" spans="1:8" hidden="1" x14ac:dyDescent="0.15">
      <c r="A141" s="2200" t="s">
        <v>10723</v>
      </c>
      <c r="B141" s="2200" t="s">
        <v>10998</v>
      </c>
      <c r="C141" s="2200" t="s">
        <v>10999</v>
      </c>
      <c r="D141" s="2200" t="str">
        <f t="shared" si="8"/>
        <v>CA</v>
      </c>
      <c r="E141" s="2200">
        <f t="shared" si="9"/>
        <v>13</v>
      </c>
      <c r="F141" s="2200" t="str">
        <f t="shared" si="10"/>
        <v>06</v>
      </c>
      <c r="G141" s="2200" t="str">
        <f t="shared" si="11"/>
        <v>17750</v>
      </c>
      <c r="H141" s="2200">
        <f>--SUBTOTAL(3,C$2:C141)</f>
        <v>0</v>
      </c>
    </row>
    <row r="142" spans="1:8" hidden="1" x14ac:dyDescent="0.15">
      <c r="A142" s="2200" t="s">
        <v>10723</v>
      </c>
      <c r="B142" s="2200" t="s">
        <v>11000</v>
      </c>
      <c r="C142" s="2200" t="s">
        <v>11001</v>
      </c>
      <c r="D142" s="2200" t="str">
        <f t="shared" si="8"/>
        <v>CA</v>
      </c>
      <c r="E142" s="2200">
        <f t="shared" si="9"/>
        <v>15</v>
      </c>
      <c r="F142" s="2200" t="str">
        <f t="shared" si="10"/>
        <v>06</v>
      </c>
      <c r="G142" s="2200" t="str">
        <f t="shared" si="11"/>
        <v>17918</v>
      </c>
      <c r="H142" s="2200">
        <f>--SUBTOTAL(3,C$2:C142)</f>
        <v>0</v>
      </c>
    </row>
    <row r="143" spans="1:8" hidden="1" x14ac:dyDescent="0.15">
      <c r="A143" s="2200" t="s">
        <v>10723</v>
      </c>
      <c r="B143" s="2200" t="s">
        <v>11002</v>
      </c>
      <c r="C143" s="2200" t="s">
        <v>11003</v>
      </c>
      <c r="D143" s="2200" t="str">
        <f t="shared" si="8"/>
        <v>CA</v>
      </c>
      <c r="E143" s="2200">
        <f t="shared" si="9"/>
        <v>16</v>
      </c>
      <c r="F143" s="2200" t="str">
        <f t="shared" si="10"/>
        <v>06</v>
      </c>
      <c r="G143" s="2200" t="str">
        <f t="shared" si="11"/>
        <v>17946</v>
      </c>
      <c r="H143" s="2200">
        <f>--SUBTOTAL(3,C$2:C143)</f>
        <v>0</v>
      </c>
    </row>
    <row r="144" spans="1:8" hidden="1" x14ac:dyDescent="0.15">
      <c r="A144" s="2200" t="s">
        <v>10723</v>
      </c>
      <c r="B144" s="2200" t="s">
        <v>11004</v>
      </c>
      <c r="C144" s="2200" t="s">
        <v>11005</v>
      </c>
      <c r="D144" s="2200" t="str">
        <f t="shared" si="8"/>
        <v>CA</v>
      </c>
      <c r="E144" s="2200">
        <f t="shared" si="9"/>
        <v>14</v>
      </c>
      <c r="F144" s="2200" t="str">
        <f t="shared" si="10"/>
        <v>06</v>
      </c>
      <c r="G144" s="2200" t="str">
        <f t="shared" si="11"/>
        <v>17988</v>
      </c>
      <c r="H144" s="2200">
        <f>--SUBTOTAL(3,C$2:C144)</f>
        <v>0</v>
      </c>
    </row>
    <row r="145" spans="1:8" hidden="1" x14ac:dyDescent="0.15">
      <c r="A145" s="2200" t="s">
        <v>10723</v>
      </c>
      <c r="B145" s="2200" t="s">
        <v>11006</v>
      </c>
      <c r="C145" s="2200" t="s">
        <v>11007</v>
      </c>
      <c r="D145" s="2200" t="str">
        <f t="shared" si="8"/>
        <v>CA</v>
      </c>
      <c r="E145" s="2200">
        <f t="shared" si="9"/>
        <v>11</v>
      </c>
      <c r="F145" s="2200" t="str">
        <f t="shared" si="10"/>
        <v>06</v>
      </c>
      <c r="G145" s="2200" t="str">
        <f t="shared" si="11"/>
        <v>18100</v>
      </c>
      <c r="H145" s="2200">
        <f>--SUBTOTAL(3,C$2:C145)</f>
        <v>0</v>
      </c>
    </row>
    <row r="146" spans="1:8" hidden="1" x14ac:dyDescent="0.15">
      <c r="A146" s="2200" t="s">
        <v>10723</v>
      </c>
      <c r="B146" s="2200" t="s">
        <v>11008</v>
      </c>
      <c r="C146" s="2200" t="s">
        <v>11009</v>
      </c>
      <c r="D146" s="2200" t="str">
        <f t="shared" si="8"/>
        <v>CA</v>
      </c>
      <c r="E146" s="2200">
        <f t="shared" si="9"/>
        <v>12</v>
      </c>
      <c r="F146" s="2200" t="str">
        <f t="shared" si="10"/>
        <v>06</v>
      </c>
      <c r="G146" s="2200" t="str">
        <f t="shared" si="11"/>
        <v>18394</v>
      </c>
      <c r="H146" s="2200">
        <f>--SUBTOTAL(3,C$2:C146)</f>
        <v>0</v>
      </c>
    </row>
    <row r="147" spans="1:8" hidden="1" x14ac:dyDescent="0.15">
      <c r="A147" s="2200" t="s">
        <v>10723</v>
      </c>
      <c r="B147" s="2200" t="s">
        <v>11010</v>
      </c>
      <c r="C147" s="2200" t="s">
        <v>11011</v>
      </c>
      <c r="D147" s="2200" t="str">
        <f t="shared" si="8"/>
        <v>CA</v>
      </c>
      <c r="E147" s="2200">
        <f t="shared" si="9"/>
        <v>24</v>
      </c>
      <c r="F147" s="2200" t="str">
        <f t="shared" si="10"/>
        <v>06</v>
      </c>
      <c r="G147" s="2200" t="str">
        <f t="shared" si="11"/>
        <v>18996</v>
      </c>
      <c r="H147" s="2200">
        <f>--SUBTOTAL(3,C$2:C147)</f>
        <v>0</v>
      </c>
    </row>
    <row r="148" spans="1:8" hidden="1" x14ac:dyDescent="0.15">
      <c r="A148" s="2200" t="s">
        <v>10723</v>
      </c>
      <c r="B148" s="2200" t="s">
        <v>11012</v>
      </c>
      <c r="C148" s="2200" t="s">
        <v>11013</v>
      </c>
      <c r="D148" s="2200" t="str">
        <f t="shared" si="8"/>
        <v>CA</v>
      </c>
      <c r="E148" s="2200">
        <f t="shared" si="9"/>
        <v>17</v>
      </c>
      <c r="F148" s="2200" t="str">
        <f t="shared" si="10"/>
        <v>06</v>
      </c>
      <c r="G148" s="2200" t="str">
        <f t="shared" si="11"/>
        <v>19192</v>
      </c>
      <c r="H148" s="2200">
        <f>--SUBTOTAL(3,C$2:C148)</f>
        <v>0</v>
      </c>
    </row>
    <row r="149" spans="1:8" hidden="1" x14ac:dyDescent="0.15">
      <c r="A149" s="2200" t="s">
        <v>10723</v>
      </c>
      <c r="B149" s="2200" t="s">
        <v>11014</v>
      </c>
      <c r="C149" s="2200" t="s">
        <v>11015</v>
      </c>
      <c r="D149" s="2200" t="str">
        <f t="shared" si="8"/>
        <v>CA</v>
      </c>
      <c r="E149" s="2200">
        <f t="shared" si="9"/>
        <v>12</v>
      </c>
      <c r="F149" s="2200" t="str">
        <f t="shared" si="10"/>
        <v>06</v>
      </c>
      <c r="G149" s="2200" t="str">
        <f t="shared" si="11"/>
        <v>19766</v>
      </c>
      <c r="H149" s="2200">
        <f>--SUBTOTAL(3,C$2:C149)</f>
        <v>0</v>
      </c>
    </row>
    <row r="150" spans="1:8" hidden="1" x14ac:dyDescent="0.15">
      <c r="A150" s="2200" t="s">
        <v>10723</v>
      </c>
      <c r="B150" s="2200" t="s">
        <v>11016</v>
      </c>
      <c r="C150" s="2200" t="s">
        <v>11017</v>
      </c>
      <c r="D150" s="2200" t="str">
        <f t="shared" si="8"/>
        <v>CA</v>
      </c>
      <c r="E150" s="2200">
        <f t="shared" si="9"/>
        <v>12</v>
      </c>
      <c r="F150" s="2200" t="str">
        <f t="shared" si="10"/>
        <v>06</v>
      </c>
      <c r="G150" s="2200" t="str">
        <f t="shared" si="11"/>
        <v>20018</v>
      </c>
      <c r="H150" s="2200">
        <f>--SUBTOTAL(3,C$2:C150)</f>
        <v>0</v>
      </c>
    </row>
    <row r="151" spans="1:8" hidden="1" x14ac:dyDescent="0.15">
      <c r="A151" s="2200" t="s">
        <v>10723</v>
      </c>
      <c r="B151" s="2200" t="s">
        <v>11018</v>
      </c>
      <c r="C151" s="2200" t="s">
        <v>11019</v>
      </c>
      <c r="D151" s="2200" t="str">
        <f t="shared" si="8"/>
        <v>CA</v>
      </c>
      <c r="E151" s="2200">
        <f t="shared" si="9"/>
        <v>20</v>
      </c>
      <c r="F151" s="2200" t="str">
        <f t="shared" si="10"/>
        <v>06</v>
      </c>
      <c r="G151" s="2200" t="str">
        <f t="shared" si="11"/>
        <v>20956</v>
      </c>
      <c r="H151" s="2200">
        <f>--SUBTOTAL(3,C$2:C151)</f>
        <v>0</v>
      </c>
    </row>
    <row r="152" spans="1:8" hidden="1" x14ac:dyDescent="0.15">
      <c r="A152" s="2200" t="s">
        <v>10723</v>
      </c>
      <c r="B152" s="2200" t="s">
        <v>11020</v>
      </c>
      <c r="C152" s="2200" t="s">
        <v>11021</v>
      </c>
      <c r="D152" s="2200" t="str">
        <f t="shared" si="8"/>
        <v>CA</v>
      </c>
      <c r="E152" s="2200">
        <f t="shared" si="9"/>
        <v>14</v>
      </c>
      <c r="F152" s="2200" t="str">
        <f t="shared" si="10"/>
        <v>06</v>
      </c>
      <c r="G152" s="2200" t="str">
        <f t="shared" si="11"/>
        <v>21230</v>
      </c>
      <c r="H152" s="2200">
        <f>--SUBTOTAL(3,C$2:C152)</f>
        <v>0</v>
      </c>
    </row>
    <row r="153" spans="1:8" hidden="1" x14ac:dyDescent="0.15">
      <c r="A153" s="2200" t="s">
        <v>10723</v>
      </c>
      <c r="B153" s="2200" t="s">
        <v>11022</v>
      </c>
      <c r="C153" s="2200" t="s">
        <v>11023</v>
      </c>
      <c r="D153" s="2200" t="str">
        <f t="shared" si="8"/>
        <v>CA</v>
      </c>
      <c r="E153" s="2200">
        <f t="shared" si="9"/>
        <v>14</v>
      </c>
      <c r="F153" s="2200" t="str">
        <f t="shared" si="10"/>
        <v>06</v>
      </c>
      <c r="G153" s="2200" t="str">
        <f t="shared" si="11"/>
        <v>21712</v>
      </c>
      <c r="H153" s="2200">
        <f>--SUBTOTAL(3,C$2:C153)</f>
        <v>0</v>
      </c>
    </row>
    <row r="154" spans="1:8" hidden="1" x14ac:dyDescent="0.15">
      <c r="A154" s="2200" t="s">
        <v>10723</v>
      </c>
      <c r="B154" s="2200" t="s">
        <v>11024</v>
      </c>
      <c r="C154" s="2200" t="s">
        <v>11025</v>
      </c>
      <c r="D154" s="2200" t="str">
        <f t="shared" si="8"/>
        <v>CA</v>
      </c>
      <c r="E154" s="2200">
        <f t="shared" si="9"/>
        <v>15</v>
      </c>
      <c r="F154" s="2200" t="str">
        <f t="shared" si="10"/>
        <v>06</v>
      </c>
      <c r="G154" s="2200" t="str">
        <f t="shared" si="11"/>
        <v>21782</v>
      </c>
      <c r="H154" s="2200">
        <f>--SUBTOTAL(3,C$2:C154)</f>
        <v>0</v>
      </c>
    </row>
    <row r="155" spans="1:8" hidden="1" x14ac:dyDescent="0.15">
      <c r="A155" s="2200" t="s">
        <v>10723</v>
      </c>
      <c r="B155" s="2200" t="s">
        <v>11026</v>
      </c>
      <c r="C155" s="2200" t="s">
        <v>11027</v>
      </c>
      <c r="D155" s="2200" t="str">
        <f t="shared" si="8"/>
        <v>CA</v>
      </c>
      <c r="E155" s="2200">
        <f t="shared" si="9"/>
        <v>16</v>
      </c>
      <c r="F155" s="2200" t="str">
        <f t="shared" si="10"/>
        <v>06</v>
      </c>
      <c r="G155" s="2200" t="str">
        <f t="shared" si="11"/>
        <v>21796</v>
      </c>
      <c r="H155" s="2200">
        <f>--SUBTOTAL(3,C$2:C155)</f>
        <v>0</v>
      </c>
    </row>
    <row r="156" spans="1:8" hidden="1" x14ac:dyDescent="0.15">
      <c r="A156" s="2200" t="s">
        <v>10723</v>
      </c>
      <c r="B156" s="2200" t="s">
        <v>11028</v>
      </c>
      <c r="C156" s="2200" t="s">
        <v>11029</v>
      </c>
      <c r="D156" s="2200" t="str">
        <f t="shared" si="8"/>
        <v>CA</v>
      </c>
      <c r="E156" s="2200">
        <f t="shared" si="9"/>
        <v>14</v>
      </c>
      <c r="F156" s="2200" t="str">
        <f t="shared" si="10"/>
        <v>06</v>
      </c>
      <c r="G156" s="2200" t="str">
        <f t="shared" si="11"/>
        <v>22230</v>
      </c>
      <c r="H156" s="2200">
        <f>--SUBTOTAL(3,C$2:C156)</f>
        <v>0</v>
      </c>
    </row>
    <row r="157" spans="1:8" hidden="1" x14ac:dyDescent="0.15">
      <c r="A157" s="2200" t="s">
        <v>10723</v>
      </c>
      <c r="B157" s="2200" t="s">
        <v>11030</v>
      </c>
      <c r="C157" s="2200" t="s">
        <v>11031</v>
      </c>
      <c r="D157" s="2200" t="str">
        <f t="shared" si="8"/>
        <v>CA</v>
      </c>
      <c r="E157" s="2200">
        <f t="shared" si="9"/>
        <v>37</v>
      </c>
      <c r="F157" s="2200" t="str">
        <f t="shared" si="10"/>
        <v>06</v>
      </c>
      <c r="G157" s="2200" t="str">
        <f t="shared" si="11"/>
        <v>22300</v>
      </c>
      <c r="H157" s="2200">
        <f>--SUBTOTAL(3,C$2:C157)</f>
        <v>0</v>
      </c>
    </row>
    <row r="158" spans="1:8" hidden="1" x14ac:dyDescent="0.15">
      <c r="A158" s="2200" t="s">
        <v>10723</v>
      </c>
      <c r="B158" s="2200" t="s">
        <v>11032</v>
      </c>
      <c r="C158" s="2200" t="s">
        <v>11033</v>
      </c>
      <c r="D158" s="2200" t="str">
        <f t="shared" si="8"/>
        <v>CA</v>
      </c>
      <c r="E158" s="2200">
        <f t="shared" si="9"/>
        <v>15</v>
      </c>
      <c r="F158" s="2200" t="str">
        <f t="shared" si="10"/>
        <v>06</v>
      </c>
      <c r="G158" s="2200" t="str">
        <f t="shared" si="11"/>
        <v>22020</v>
      </c>
      <c r="H158" s="2200">
        <f>--SUBTOTAL(3,C$2:C158)</f>
        <v>0</v>
      </c>
    </row>
    <row r="159" spans="1:8" hidden="1" x14ac:dyDescent="0.15">
      <c r="A159" s="2200" t="s">
        <v>10723</v>
      </c>
      <c r="B159" s="2200" t="s">
        <v>11034</v>
      </c>
      <c r="C159" s="2200" t="s">
        <v>11035</v>
      </c>
      <c r="D159" s="2200" t="str">
        <f t="shared" si="8"/>
        <v>CA</v>
      </c>
      <c r="E159" s="2200">
        <f t="shared" si="9"/>
        <v>15</v>
      </c>
      <c r="F159" s="2200" t="str">
        <f t="shared" si="10"/>
        <v>06</v>
      </c>
      <c r="G159" s="2200" t="str">
        <f t="shared" si="11"/>
        <v>22678</v>
      </c>
      <c r="H159" s="2200">
        <f>--SUBTOTAL(3,C$2:C159)</f>
        <v>0</v>
      </c>
    </row>
    <row r="160" spans="1:8" hidden="1" x14ac:dyDescent="0.15">
      <c r="A160" s="2200" t="s">
        <v>10723</v>
      </c>
      <c r="B160" s="2200" t="s">
        <v>11036</v>
      </c>
      <c r="C160" s="2200" t="s">
        <v>11037</v>
      </c>
      <c r="D160" s="2200" t="str">
        <f t="shared" si="8"/>
        <v>CA</v>
      </c>
      <c r="E160" s="2200">
        <f t="shared" si="9"/>
        <v>15</v>
      </c>
      <c r="F160" s="2200" t="str">
        <f t="shared" si="10"/>
        <v>06</v>
      </c>
      <c r="G160" s="2200" t="str">
        <f t="shared" si="11"/>
        <v>22804</v>
      </c>
      <c r="H160" s="2200">
        <f>--SUBTOTAL(3,C$2:C160)</f>
        <v>0</v>
      </c>
    </row>
    <row r="161" spans="1:8" hidden="1" x14ac:dyDescent="0.15">
      <c r="A161" s="2200" t="s">
        <v>10723</v>
      </c>
      <c r="B161" s="2200" t="s">
        <v>11038</v>
      </c>
      <c r="C161" s="2200" t="s">
        <v>11039</v>
      </c>
      <c r="D161" s="2200" t="str">
        <f t="shared" si="8"/>
        <v>CA</v>
      </c>
      <c r="E161" s="2200">
        <f t="shared" si="9"/>
        <v>12</v>
      </c>
      <c r="F161" s="2200" t="str">
        <f t="shared" si="10"/>
        <v>06</v>
      </c>
      <c r="G161" s="2200" t="str">
        <f t="shared" si="11"/>
        <v>23042</v>
      </c>
      <c r="H161" s="2200">
        <f>--SUBTOTAL(3,C$2:C161)</f>
        <v>0</v>
      </c>
    </row>
    <row r="162" spans="1:8" hidden="1" x14ac:dyDescent="0.15">
      <c r="A162" s="2200" t="s">
        <v>10723</v>
      </c>
      <c r="B162" s="2200" t="s">
        <v>11040</v>
      </c>
      <c r="C162" s="2200" t="s">
        <v>11041</v>
      </c>
      <c r="D162" s="2200" t="str">
        <f t="shared" si="8"/>
        <v>CA</v>
      </c>
      <c r="E162" s="2200">
        <f t="shared" si="9"/>
        <v>15</v>
      </c>
      <c r="F162" s="2200" t="str">
        <f t="shared" si="10"/>
        <v>06</v>
      </c>
      <c r="G162" s="2200" t="str">
        <f t="shared" si="11"/>
        <v>23182</v>
      </c>
      <c r="H162" s="2200">
        <f>--SUBTOTAL(3,C$2:C162)</f>
        <v>0</v>
      </c>
    </row>
    <row r="163" spans="1:8" hidden="1" x14ac:dyDescent="0.15">
      <c r="A163" s="2200" t="s">
        <v>10723</v>
      </c>
      <c r="B163" s="2200" t="s">
        <v>11042</v>
      </c>
      <c r="C163" s="2200" t="s">
        <v>11043</v>
      </c>
      <c r="D163" s="2200" t="str">
        <f t="shared" si="8"/>
        <v>CA</v>
      </c>
      <c r="E163" s="2200">
        <f t="shared" si="9"/>
        <v>12</v>
      </c>
      <c r="F163" s="2200" t="str">
        <f t="shared" si="10"/>
        <v>06</v>
      </c>
      <c r="G163" s="2200" t="str">
        <f t="shared" si="11"/>
        <v>24638</v>
      </c>
      <c r="H163" s="2200">
        <f>--SUBTOTAL(3,C$2:C163)</f>
        <v>0</v>
      </c>
    </row>
    <row r="164" spans="1:8" hidden="1" x14ac:dyDescent="0.15">
      <c r="A164" s="2200" t="s">
        <v>10723</v>
      </c>
      <c r="B164" s="2200" t="s">
        <v>11044</v>
      </c>
      <c r="C164" s="2200" t="s">
        <v>11045</v>
      </c>
      <c r="D164" s="2200" t="str">
        <f t="shared" si="8"/>
        <v>CA</v>
      </c>
      <c r="E164" s="2200">
        <f t="shared" si="9"/>
        <v>13</v>
      </c>
      <c r="F164" s="2200" t="str">
        <f t="shared" si="10"/>
        <v>06</v>
      </c>
      <c r="G164" s="2200" t="str">
        <f t="shared" si="11"/>
        <v>24680</v>
      </c>
      <c r="H164" s="2200">
        <f>--SUBTOTAL(3,C$2:C164)</f>
        <v>0</v>
      </c>
    </row>
    <row r="165" spans="1:8" hidden="1" x14ac:dyDescent="0.15">
      <c r="A165" s="2200" t="s">
        <v>10723</v>
      </c>
      <c r="B165" s="2200" t="s">
        <v>11046</v>
      </c>
      <c r="C165" s="2200" t="s">
        <v>11047</v>
      </c>
      <c r="D165" s="2200" t="str">
        <f t="shared" si="8"/>
        <v>CA</v>
      </c>
      <c r="E165" s="2200">
        <f t="shared" si="9"/>
        <v>17</v>
      </c>
      <c r="F165" s="2200" t="str">
        <f t="shared" si="10"/>
        <v>06</v>
      </c>
      <c r="G165" s="2200" t="str">
        <f t="shared" si="11"/>
        <v>25338</v>
      </c>
      <c r="H165" s="2200">
        <f>--SUBTOTAL(3,C$2:C165)</f>
        <v>0</v>
      </c>
    </row>
    <row r="166" spans="1:8" hidden="1" x14ac:dyDescent="0.15">
      <c r="A166" s="2200" t="s">
        <v>10723</v>
      </c>
      <c r="B166" s="2200" t="s">
        <v>11048</v>
      </c>
      <c r="C166" s="2200" t="s">
        <v>11049</v>
      </c>
      <c r="D166" s="2200" t="str">
        <f t="shared" si="8"/>
        <v>CA</v>
      </c>
      <c r="E166" s="2200">
        <f t="shared" si="9"/>
        <v>21</v>
      </c>
      <c r="F166" s="2200" t="str">
        <f t="shared" si="10"/>
        <v>06</v>
      </c>
      <c r="G166" s="2200" t="str">
        <f t="shared" si="11"/>
        <v>25380</v>
      </c>
      <c r="H166" s="2200">
        <f>--SUBTOTAL(3,C$2:C166)</f>
        <v>0</v>
      </c>
    </row>
    <row r="167" spans="1:8" hidden="1" x14ac:dyDescent="0.15">
      <c r="A167" s="2200" t="s">
        <v>10723</v>
      </c>
      <c r="B167" s="2200" t="s">
        <v>11050</v>
      </c>
      <c r="C167" s="2200" t="s">
        <v>11051</v>
      </c>
      <c r="D167" s="2200" t="str">
        <f t="shared" si="8"/>
        <v>CA</v>
      </c>
      <c r="E167" s="2200">
        <f t="shared" si="9"/>
        <v>13</v>
      </c>
      <c r="F167" s="2200" t="str">
        <f t="shared" si="10"/>
        <v>06</v>
      </c>
      <c r="G167" s="2200" t="str">
        <f t="shared" si="11"/>
        <v>26000</v>
      </c>
      <c r="H167" s="2200">
        <f>--SUBTOTAL(3,C$2:C167)</f>
        <v>0</v>
      </c>
    </row>
    <row r="168" spans="1:8" hidden="1" x14ac:dyDescent="0.15">
      <c r="A168" s="2200" t="s">
        <v>10723</v>
      </c>
      <c r="B168" s="2200" t="s">
        <v>11052</v>
      </c>
      <c r="C168" s="2200" t="s">
        <v>11053</v>
      </c>
      <c r="D168" s="2200" t="str">
        <f t="shared" si="8"/>
        <v>CA</v>
      </c>
      <c r="E168" s="2200">
        <f t="shared" si="9"/>
        <v>12</v>
      </c>
      <c r="F168" s="2200" t="str">
        <f t="shared" si="10"/>
        <v>06</v>
      </c>
      <c r="G168" s="2200" t="str">
        <f t="shared" si="11"/>
        <v>27000</v>
      </c>
      <c r="H168" s="2200">
        <f>--SUBTOTAL(3,C$2:C168)</f>
        <v>0</v>
      </c>
    </row>
    <row r="169" spans="1:8" hidden="1" x14ac:dyDescent="0.15">
      <c r="A169" s="2200" t="s">
        <v>10723</v>
      </c>
      <c r="B169" s="2200" t="s">
        <v>11054</v>
      </c>
      <c r="C169" s="2200" t="s">
        <v>11055</v>
      </c>
      <c r="D169" s="2200" t="str">
        <f t="shared" si="8"/>
        <v>CA</v>
      </c>
      <c r="E169" s="2200">
        <f t="shared" si="9"/>
        <v>15</v>
      </c>
      <c r="F169" s="2200" t="str">
        <f t="shared" si="10"/>
        <v>06</v>
      </c>
      <c r="G169" s="2200" t="str">
        <f t="shared" si="11"/>
        <v>28000</v>
      </c>
      <c r="H169" s="2200">
        <f>--SUBTOTAL(3,C$2:C169)</f>
        <v>0</v>
      </c>
    </row>
    <row r="170" spans="1:8" hidden="1" x14ac:dyDescent="0.15">
      <c r="A170" s="2200" t="s">
        <v>10723</v>
      </c>
      <c r="B170" s="2200" t="s">
        <v>11056</v>
      </c>
      <c r="C170" s="2200" t="s">
        <v>11057</v>
      </c>
      <c r="D170" s="2200" t="str">
        <f t="shared" si="8"/>
        <v>CA</v>
      </c>
      <c r="E170" s="2200">
        <f t="shared" si="9"/>
        <v>10</v>
      </c>
      <c r="F170" s="2200" t="str">
        <f t="shared" si="10"/>
        <v>06</v>
      </c>
      <c r="G170" s="2200" t="str">
        <f t="shared" si="11"/>
        <v>28112</v>
      </c>
      <c r="H170" s="2200">
        <f>--SUBTOTAL(3,C$2:C170)</f>
        <v>0</v>
      </c>
    </row>
    <row r="171" spans="1:8" hidden="1" x14ac:dyDescent="0.15">
      <c r="A171" s="2200" t="s">
        <v>10723</v>
      </c>
      <c r="B171" s="2200" t="s">
        <v>11058</v>
      </c>
      <c r="C171" s="2200" t="s">
        <v>11059</v>
      </c>
      <c r="D171" s="2200" t="str">
        <f t="shared" si="8"/>
        <v>CA</v>
      </c>
      <c r="E171" s="2200">
        <f t="shared" si="9"/>
        <v>18</v>
      </c>
      <c r="F171" s="2200" t="str">
        <f t="shared" si="10"/>
        <v>06</v>
      </c>
      <c r="G171" s="2200" t="str">
        <f t="shared" si="11"/>
        <v>29000</v>
      </c>
      <c r="H171" s="2200">
        <f>--SUBTOTAL(3,C$2:C171)</f>
        <v>0</v>
      </c>
    </row>
    <row r="172" spans="1:8" hidden="1" x14ac:dyDescent="0.15">
      <c r="A172" s="2200" t="s">
        <v>10723</v>
      </c>
      <c r="B172" s="2200" t="s">
        <v>11060</v>
      </c>
      <c r="C172" s="2200" t="s">
        <v>11061</v>
      </c>
      <c r="D172" s="2200" t="str">
        <f t="shared" si="8"/>
        <v>CA</v>
      </c>
      <c r="E172" s="2200">
        <f t="shared" si="9"/>
        <v>13</v>
      </c>
      <c r="F172" s="2200" t="str">
        <f t="shared" si="10"/>
        <v>06</v>
      </c>
      <c r="G172" s="2200" t="str">
        <f t="shared" si="11"/>
        <v>28168</v>
      </c>
      <c r="H172" s="2200">
        <f>--SUBTOTAL(3,C$2:C172)</f>
        <v>0</v>
      </c>
    </row>
    <row r="173" spans="1:8" hidden="1" x14ac:dyDescent="0.15">
      <c r="A173" s="2200" t="s">
        <v>10723</v>
      </c>
      <c r="B173" s="2200" t="s">
        <v>11062</v>
      </c>
      <c r="C173" s="2200" t="s">
        <v>11063</v>
      </c>
      <c r="D173" s="2200" t="str">
        <f t="shared" si="8"/>
        <v>CA</v>
      </c>
      <c r="E173" s="2200">
        <f t="shared" si="9"/>
        <v>12</v>
      </c>
      <c r="F173" s="2200" t="str">
        <f t="shared" si="10"/>
        <v>06</v>
      </c>
      <c r="G173" s="2200" t="str">
        <f t="shared" si="11"/>
        <v>29504</v>
      </c>
      <c r="H173" s="2200">
        <f>--SUBTOTAL(3,C$2:C173)</f>
        <v>0</v>
      </c>
    </row>
    <row r="174" spans="1:8" hidden="1" x14ac:dyDescent="0.15">
      <c r="A174" s="2200" t="s">
        <v>10723</v>
      </c>
      <c r="B174" s="2200" t="s">
        <v>11064</v>
      </c>
      <c r="C174" s="2200" t="s">
        <v>11065</v>
      </c>
      <c r="D174" s="2200" t="str">
        <f t="shared" si="8"/>
        <v>CA</v>
      </c>
      <c r="E174" s="2200">
        <f t="shared" si="9"/>
        <v>14</v>
      </c>
      <c r="F174" s="2200" t="str">
        <f t="shared" si="10"/>
        <v>06</v>
      </c>
      <c r="G174" s="2200" t="str">
        <f t="shared" si="11"/>
        <v>30000</v>
      </c>
      <c r="H174" s="2200">
        <f>--SUBTOTAL(3,C$2:C174)</f>
        <v>0</v>
      </c>
    </row>
    <row r="175" spans="1:8" hidden="1" x14ac:dyDescent="0.15">
      <c r="A175" s="2200" t="s">
        <v>10723</v>
      </c>
      <c r="B175" s="2200" t="s">
        <v>11066</v>
      </c>
      <c r="C175" s="2200" t="s">
        <v>11067</v>
      </c>
      <c r="D175" s="2200" t="str">
        <f t="shared" si="8"/>
        <v>CA</v>
      </c>
      <c r="E175" s="2200">
        <f t="shared" si="9"/>
        <v>14</v>
      </c>
      <c r="F175" s="2200" t="str">
        <f t="shared" si="10"/>
        <v>06</v>
      </c>
      <c r="G175" s="2200" t="str">
        <f t="shared" si="11"/>
        <v>30014</v>
      </c>
      <c r="H175" s="2200">
        <f>--SUBTOTAL(3,C$2:C175)</f>
        <v>0</v>
      </c>
    </row>
    <row r="176" spans="1:8" hidden="1" x14ac:dyDescent="0.15">
      <c r="A176" s="2200" t="s">
        <v>10723</v>
      </c>
      <c r="B176" s="2200" t="s">
        <v>11068</v>
      </c>
      <c r="C176" s="2200" t="s">
        <v>11069</v>
      </c>
      <c r="D176" s="2200" t="str">
        <f t="shared" si="8"/>
        <v>CA</v>
      </c>
      <c r="E176" s="2200">
        <f t="shared" si="9"/>
        <v>12</v>
      </c>
      <c r="F176" s="2200" t="str">
        <f t="shared" si="10"/>
        <v>06</v>
      </c>
      <c r="G176" s="2200" t="str">
        <f t="shared" si="11"/>
        <v>30378</v>
      </c>
      <c r="H176" s="2200">
        <f>--SUBTOTAL(3,C$2:C176)</f>
        <v>0</v>
      </c>
    </row>
    <row r="177" spans="1:8" hidden="1" x14ac:dyDescent="0.15">
      <c r="A177" s="2200" t="s">
        <v>10723</v>
      </c>
      <c r="B177" s="2200" t="s">
        <v>11070</v>
      </c>
      <c r="C177" s="2200" t="s">
        <v>11071</v>
      </c>
      <c r="D177" s="2200" t="str">
        <f t="shared" si="8"/>
        <v>CA</v>
      </c>
      <c r="E177" s="2200">
        <f t="shared" si="9"/>
        <v>13</v>
      </c>
      <c r="F177" s="2200" t="str">
        <f t="shared" si="10"/>
        <v>06</v>
      </c>
      <c r="G177" s="2200" t="str">
        <f t="shared" si="11"/>
        <v>31960</v>
      </c>
      <c r="H177" s="2200">
        <f>--SUBTOTAL(3,C$2:C177)</f>
        <v>0</v>
      </c>
    </row>
    <row r="178" spans="1:8" hidden="1" x14ac:dyDescent="0.15">
      <c r="A178" s="2200" t="s">
        <v>10723</v>
      </c>
      <c r="B178" s="2200" t="s">
        <v>11072</v>
      </c>
      <c r="C178" s="2200" t="s">
        <v>11073</v>
      </c>
      <c r="D178" s="2200" t="str">
        <f t="shared" si="8"/>
        <v>CA</v>
      </c>
      <c r="E178" s="2200">
        <f t="shared" si="9"/>
        <v>15</v>
      </c>
      <c r="F178" s="2200" t="str">
        <f t="shared" si="10"/>
        <v>06</v>
      </c>
      <c r="G178" s="2200" t="str">
        <f t="shared" si="11"/>
        <v>32548</v>
      </c>
      <c r="H178" s="2200">
        <f>--SUBTOTAL(3,C$2:C178)</f>
        <v>0</v>
      </c>
    </row>
    <row r="179" spans="1:8" hidden="1" x14ac:dyDescent="0.15">
      <c r="A179" s="2200" t="s">
        <v>10723</v>
      </c>
      <c r="B179" s="2200" t="s">
        <v>11074</v>
      </c>
      <c r="C179" s="2200" t="s">
        <v>11075</v>
      </c>
      <c r="D179" s="2200" t="str">
        <f t="shared" si="8"/>
        <v>CA</v>
      </c>
      <c r="E179" s="2200">
        <f t="shared" si="9"/>
        <v>13</v>
      </c>
      <c r="F179" s="2200" t="str">
        <f t="shared" si="10"/>
        <v>06</v>
      </c>
      <c r="G179" s="2200" t="str">
        <f t="shared" si="11"/>
        <v>33000</v>
      </c>
      <c r="H179" s="2200">
        <f>--SUBTOTAL(3,C$2:C179)</f>
        <v>0</v>
      </c>
    </row>
    <row r="180" spans="1:8" hidden="1" x14ac:dyDescent="0.15">
      <c r="A180" s="2200" t="s">
        <v>10723</v>
      </c>
      <c r="B180" s="2200" t="s">
        <v>11076</v>
      </c>
      <c r="C180" s="2200" t="s">
        <v>11077</v>
      </c>
      <c r="D180" s="2200" t="str">
        <f t="shared" si="8"/>
        <v>CA</v>
      </c>
      <c r="E180" s="2200">
        <f t="shared" si="9"/>
        <v>11</v>
      </c>
      <c r="F180" s="2200" t="str">
        <f t="shared" si="10"/>
        <v>06</v>
      </c>
      <c r="G180" s="2200" t="str">
        <f t="shared" si="11"/>
        <v>33182</v>
      </c>
      <c r="H180" s="2200">
        <f>--SUBTOTAL(3,C$2:C180)</f>
        <v>0</v>
      </c>
    </row>
    <row r="181" spans="1:8" hidden="1" x14ac:dyDescent="0.15">
      <c r="A181" s="2200" t="s">
        <v>10723</v>
      </c>
      <c r="B181" s="2200" t="s">
        <v>11078</v>
      </c>
      <c r="C181" s="2200" t="s">
        <v>11079</v>
      </c>
      <c r="D181" s="2200" t="str">
        <f t="shared" si="8"/>
        <v>CA</v>
      </c>
      <c r="E181" s="2200">
        <f t="shared" si="9"/>
        <v>14</v>
      </c>
      <c r="F181" s="2200" t="str">
        <f t="shared" si="10"/>
        <v>06</v>
      </c>
      <c r="G181" s="2200" t="str">
        <f t="shared" si="11"/>
        <v>33308</v>
      </c>
      <c r="H181" s="2200">
        <f>--SUBTOTAL(3,C$2:C181)</f>
        <v>0</v>
      </c>
    </row>
    <row r="182" spans="1:8" hidden="1" x14ac:dyDescent="0.15">
      <c r="A182" s="2200" t="s">
        <v>10723</v>
      </c>
      <c r="B182" s="2200" t="s">
        <v>11080</v>
      </c>
      <c r="C182" s="2200" t="s">
        <v>11081</v>
      </c>
      <c r="D182" s="2200" t="str">
        <f t="shared" si="8"/>
        <v>CA</v>
      </c>
      <c r="E182" s="2200">
        <f t="shared" si="9"/>
        <v>14</v>
      </c>
      <c r="F182" s="2200" t="str">
        <f t="shared" si="10"/>
        <v>06</v>
      </c>
      <c r="G182" s="2200" t="str">
        <f t="shared" si="11"/>
        <v>33434</v>
      </c>
      <c r="H182" s="2200">
        <f>--SUBTOTAL(3,C$2:C182)</f>
        <v>0</v>
      </c>
    </row>
    <row r="183" spans="1:8" hidden="1" x14ac:dyDescent="0.15">
      <c r="A183" s="2200" t="s">
        <v>10723</v>
      </c>
      <c r="B183" s="2200" t="s">
        <v>11082</v>
      </c>
      <c r="C183" s="2200" t="s">
        <v>11083</v>
      </c>
      <c r="D183" s="2200" t="str">
        <f t="shared" si="8"/>
        <v>CA</v>
      </c>
      <c r="E183" s="2200">
        <f t="shared" si="9"/>
        <v>14</v>
      </c>
      <c r="F183" s="2200" t="str">
        <f t="shared" si="10"/>
        <v>06</v>
      </c>
      <c r="G183" s="2200" t="str">
        <f t="shared" si="11"/>
        <v>33588</v>
      </c>
      <c r="H183" s="2200">
        <f>--SUBTOTAL(3,C$2:C183)</f>
        <v>0</v>
      </c>
    </row>
    <row r="184" spans="1:8" hidden="1" x14ac:dyDescent="0.15">
      <c r="A184" s="2200" t="s">
        <v>10723</v>
      </c>
      <c r="B184" s="2200" t="s">
        <v>11084</v>
      </c>
      <c r="C184" s="2200" t="s">
        <v>11085</v>
      </c>
      <c r="D184" s="2200" t="str">
        <f t="shared" si="8"/>
        <v>CA</v>
      </c>
      <c r="E184" s="2200">
        <f t="shared" si="9"/>
        <v>15</v>
      </c>
      <c r="F184" s="2200" t="str">
        <f t="shared" si="10"/>
        <v>06</v>
      </c>
      <c r="G184" s="2200" t="str">
        <f t="shared" si="11"/>
        <v>34120</v>
      </c>
      <c r="H184" s="2200">
        <f>--SUBTOTAL(3,C$2:C184)</f>
        <v>0</v>
      </c>
    </row>
    <row r="185" spans="1:8" hidden="1" x14ac:dyDescent="0.15">
      <c r="A185" s="2200" t="s">
        <v>10723</v>
      </c>
      <c r="B185" s="2200" t="s">
        <v>11086</v>
      </c>
      <c r="C185" s="2200" t="s">
        <v>11087</v>
      </c>
      <c r="D185" s="2200" t="str">
        <f t="shared" si="8"/>
        <v>CA</v>
      </c>
      <c r="E185" s="2200">
        <f t="shared" si="9"/>
        <v>22</v>
      </c>
      <c r="F185" s="2200" t="str">
        <f t="shared" si="10"/>
        <v>06</v>
      </c>
      <c r="G185" s="2200" t="str">
        <f t="shared" si="11"/>
        <v>36000</v>
      </c>
      <c r="H185" s="2200">
        <f>--SUBTOTAL(3,C$2:C185)</f>
        <v>0</v>
      </c>
    </row>
    <row r="186" spans="1:8" hidden="1" x14ac:dyDescent="0.15">
      <c r="A186" s="2200" t="s">
        <v>10723</v>
      </c>
      <c r="B186" s="2200" t="s">
        <v>11088</v>
      </c>
      <c r="C186" s="2200" t="s">
        <v>11089</v>
      </c>
      <c r="D186" s="2200" t="str">
        <f t="shared" si="8"/>
        <v>CA</v>
      </c>
      <c r="E186" s="2200">
        <f t="shared" si="9"/>
        <v>21</v>
      </c>
      <c r="F186" s="2200" t="str">
        <f t="shared" si="10"/>
        <v>06</v>
      </c>
      <c r="G186" s="2200" t="str">
        <f t="shared" si="11"/>
        <v>36056</v>
      </c>
      <c r="H186" s="2200">
        <f>--SUBTOTAL(3,C$2:C186)</f>
        <v>0</v>
      </c>
    </row>
    <row r="187" spans="1:8" hidden="1" x14ac:dyDescent="0.15">
      <c r="A187" s="2200" t="s">
        <v>10723</v>
      </c>
      <c r="B187" s="2200" t="s">
        <v>11090</v>
      </c>
      <c r="C187" s="2200" t="s">
        <v>11091</v>
      </c>
      <c r="D187" s="2200" t="str">
        <f t="shared" si="8"/>
        <v>CA</v>
      </c>
      <c r="E187" s="2200">
        <f t="shared" si="9"/>
        <v>20</v>
      </c>
      <c r="F187" s="2200" t="str">
        <f t="shared" si="10"/>
        <v>06</v>
      </c>
      <c r="G187" s="2200" t="str">
        <f t="shared" si="11"/>
        <v>36294</v>
      </c>
      <c r="H187" s="2200">
        <f>--SUBTOTAL(3,C$2:C187)</f>
        <v>0</v>
      </c>
    </row>
    <row r="188" spans="1:8" hidden="1" x14ac:dyDescent="0.15">
      <c r="A188" s="2200" t="s">
        <v>10723</v>
      </c>
      <c r="B188" s="2200" t="s">
        <v>11092</v>
      </c>
      <c r="C188" s="2200" t="s">
        <v>11093</v>
      </c>
      <c r="D188" s="2200" t="str">
        <f t="shared" si="8"/>
        <v>CA</v>
      </c>
      <c r="E188" s="2200">
        <f t="shared" si="9"/>
        <v>11</v>
      </c>
      <c r="F188" s="2200" t="str">
        <f t="shared" si="10"/>
        <v>06</v>
      </c>
      <c r="G188" s="2200" t="str">
        <f t="shared" si="11"/>
        <v>36448</v>
      </c>
      <c r="H188" s="2200">
        <f>--SUBTOTAL(3,C$2:C188)</f>
        <v>0</v>
      </c>
    </row>
    <row r="189" spans="1:8" hidden="1" x14ac:dyDescent="0.15">
      <c r="A189" s="2200" t="s">
        <v>10723</v>
      </c>
      <c r="B189" s="2200" t="s">
        <v>11094</v>
      </c>
      <c r="C189" s="2200" t="s">
        <v>11095</v>
      </c>
      <c r="D189" s="2200" t="str">
        <f t="shared" si="8"/>
        <v>CA</v>
      </c>
      <c r="E189" s="2200">
        <f t="shared" si="9"/>
        <v>15</v>
      </c>
      <c r="F189" s="2200" t="str">
        <f t="shared" si="10"/>
        <v>06</v>
      </c>
      <c r="G189" s="2200" t="str">
        <f t="shared" si="11"/>
        <v>36546</v>
      </c>
      <c r="H189" s="2200">
        <f>--SUBTOTAL(3,C$2:C189)</f>
        <v>0</v>
      </c>
    </row>
    <row r="190" spans="1:8" hidden="1" x14ac:dyDescent="0.15">
      <c r="A190" s="2200" t="s">
        <v>10723</v>
      </c>
      <c r="B190" s="2200" t="s">
        <v>11096</v>
      </c>
      <c r="C190" s="2200" t="s">
        <v>11097</v>
      </c>
      <c r="D190" s="2200" t="str">
        <f t="shared" si="8"/>
        <v>CA</v>
      </c>
      <c r="E190" s="2200">
        <f t="shared" si="9"/>
        <v>12</v>
      </c>
      <c r="F190" s="2200" t="str">
        <f t="shared" si="10"/>
        <v>06</v>
      </c>
      <c r="G190" s="2200" t="str">
        <f t="shared" si="11"/>
        <v>36770</v>
      </c>
      <c r="H190" s="2200">
        <f>--SUBTOTAL(3,C$2:C190)</f>
        <v>0</v>
      </c>
    </row>
    <row r="191" spans="1:8" hidden="1" x14ac:dyDescent="0.15">
      <c r="A191" s="2200" t="s">
        <v>10723</v>
      </c>
      <c r="B191" s="2200" t="s">
        <v>11098</v>
      </c>
      <c r="C191" s="2200" t="s">
        <v>11099</v>
      </c>
      <c r="D191" s="2200" t="str">
        <f t="shared" si="8"/>
        <v>CA</v>
      </c>
      <c r="E191" s="2200">
        <f t="shared" si="9"/>
        <v>19</v>
      </c>
      <c r="F191" s="2200" t="str">
        <f t="shared" si="10"/>
        <v>06</v>
      </c>
      <c r="G191" s="2200" t="str">
        <f t="shared" si="11"/>
        <v>37692</v>
      </c>
      <c r="H191" s="2200">
        <f>--SUBTOTAL(3,C$2:C191)</f>
        <v>0</v>
      </c>
    </row>
    <row r="192" spans="1:8" hidden="1" x14ac:dyDescent="0.15">
      <c r="A192" s="2200" t="s">
        <v>10723</v>
      </c>
      <c r="B192" s="2200" t="s">
        <v>11100</v>
      </c>
      <c r="C192" s="2200" t="s">
        <v>11101</v>
      </c>
      <c r="D192" s="2200" t="str">
        <f t="shared" si="8"/>
        <v>CA</v>
      </c>
      <c r="E192" s="2200">
        <f t="shared" si="9"/>
        <v>14</v>
      </c>
      <c r="F192" s="2200" t="str">
        <f t="shared" si="10"/>
        <v>06</v>
      </c>
      <c r="G192" s="2200" t="str">
        <f t="shared" si="11"/>
        <v>39290</v>
      </c>
      <c r="H192" s="2200">
        <f>--SUBTOTAL(3,C$2:C192)</f>
        <v>0</v>
      </c>
    </row>
    <row r="193" spans="1:8" hidden="1" x14ac:dyDescent="0.15">
      <c r="A193" s="2200" t="s">
        <v>10723</v>
      </c>
      <c r="B193" s="2200" t="s">
        <v>11102</v>
      </c>
      <c r="C193" s="2200" t="s">
        <v>11103</v>
      </c>
      <c r="D193" s="2200" t="str">
        <f t="shared" si="8"/>
        <v>CA</v>
      </c>
      <c r="E193" s="2200">
        <f t="shared" si="9"/>
        <v>13</v>
      </c>
      <c r="F193" s="2200" t="str">
        <f t="shared" si="10"/>
        <v>06</v>
      </c>
      <c r="G193" s="2200" t="str">
        <f t="shared" si="11"/>
        <v>40004</v>
      </c>
      <c r="H193" s="2200">
        <f>--SUBTOTAL(3,C$2:C193)</f>
        <v>0</v>
      </c>
    </row>
    <row r="194" spans="1:8" hidden="1" x14ac:dyDescent="0.15">
      <c r="A194" s="2200" t="s">
        <v>10723</v>
      </c>
      <c r="B194" s="2200" t="s">
        <v>11104</v>
      </c>
      <c r="C194" s="2200" t="s">
        <v>11105</v>
      </c>
      <c r="D194" s="2200" t="str">
        <f t="shared" ref="D194:D257" si="12">MID(C194,E194+2,2)</f>
        <v>CA</v>
      </c>
      <c r="E194" s="2200">
        <f t="shared" ref="E194:E257" si="13">FIND(",",C194)</f>
        <v>15</v>
      </c>
      <c r="F194" s="2200" t="str">
        <f t="shared" si="10"/>
        <v>06</v>
      </c>
      <c r="G194" s="2200" t="str">
        <f t="shared" si="11"/>
        <v>40032</v>
      </c>
      <c r="H194" s="2200">
        <f>--SUBTOTAL(3,C$2:C194)</f>
        <v>0</v>
      </c>
    </row>
    <row r="195" spans="1:8" hidden="1" x14ac:dyDescent="0.15">
      <c r="A195" s="2200" t="s">
        <v>10723</v>
      </c>
      <c r="B195" s="2200" t="s">
        <v>11106</v>
      </c>
      <c r="C195" s="2200" t="s">
        <v>11107</v>
      </c>
      <c r="D195" s="2200" t="str">
        <f t="shared" si="12"/>
        <v>CA</v>
      </c>
      <c r="E195" s="2200">
        <f t="shared" si="13"/>
        <v>15</v>
      </c>
      <c r="F195" s="2200" t="str">
        <f t="shared" ref="F195:F258" si="14">MID(B195,3,2)</f>
        <v>06</v>
      </c>
      <c r="G195" s="2200" t="str">
        <f t="shared" ref="G195:G258" si="15">MID(B195,5,5)</f>
        <v>40340</v>
      </c>
      <c r="H195" s="2200">
        <f>--SUBTOTAL(3,C$2:C195)</f>
        <v>0</v>
      </c>
    </row>
    <row r="196" spans="1:8" hidden="1" x14ac:dyDescent="0.15">
      <c r="A196" s="2200" t="s">
        <v>10723</v>
      </c>
      <c r="B196" s="2200" t="s">
        <v>11108</v>
      </c>
      <c r="C196" s="2200" t="s">
        <v>11109</v>
      </c>
      <c r="D196" s="2200" t="str">
        <f t="shared" si="12"/>
        <v>CA</v>
      </c>
      <c r="E196" s="2200">
        <f t="shared" si="13"/>
        <v>15</v>
      </c>
      <c r="F196" s="2200" t="str">
        <f t="shared" si="14"/>
        <v>06</v>
      </c>
      <c r="G196" s="2200" t="str">
        <f t="shared" si="15"/>
        <v>40354</v>
      </c>
      <c r="H196" s="2200">
        <f>--SUBTOTAL(3,C$2:C196)</f>
        <v>0</v>
      </c>
    </row>
    <row r="197" spans="1:8" hidden="1" x14ac:dyDescent="0.15">
      <c r="A197" s="2200" t="s">
        <v>10723</v>
      </c>
      <c r="B197" s="2200" t="s">
        <v>11110</v>
      </c>
      <c r="C197" s="2200" t="s">
        <v>11111</v>
      </c>
      <c r="D197" s="2200" t="str">
        <f t="shared" si="12"/>
        <v>CA</v>
      </c>
      <c r="E197" s="2200">
        <f t="shared" si="13"/>
        <v>14</v>
      </c>
      <c r="F197" s="2200" t="str">
        <f t="shared" si="14"/>
        <v>06</v>
      </c>
      <c r="G197" s="2200" t="str">
        <f t="shared" si="15"/>
        <v>40830</v>
      </c>
      <c r="H197" s="2200">
        <f>--SUBTOTAL(3,C$2:C197)</f>
        <v>0</v>
      </c>
    </row>
    <row r="198" spans="1:8" hidden="1" x14ac:dyDescent="0.15">
      <c r="A198" s="2200" t="s">
        <v>10723</v>
      </c>
      <c r="B198" s="2200" t="s">
        <v>11112</v>
      </c>
      <c r="C198" s="2200" t="s">
        <v>11113</v>
      </c>
      <c r="D198" s="2200" t="str">
        <f t="shared" si="12"/>
        <v>CA</v>
      </c>
      <c r="E198" s="2200">
        <f t="shared" si="13"/>
        <v>15</v>
      </c>
      <c r="F198" s="2200" t="str">
        <f t="shared" si="14"/>
        <v>06</v>
      </c>
      <c r="G198" s="2200" t="str">
        <f t="shared" si="15"/>
        <v>39122</v>
      </c>
      <c r="H198" s="2200">
        <f>--SUBTOTAL(3,C$2:C198)</f>
        <v>0</v>
      </c>
    </row>
    <row r="199" spans="1:8" hidden="1" x14ac:dyDescent="0.15">
      <c r="A199" s="2200" t="s">
        <v>10723</v>
      </c>
      <c r="B199" s="2200" t="s">
        <v>11114</v>
      </c>
      <c r="C199" s="2200" t="s">
        <v>11115</v>
      </c>
      <c r="D199" s="2200" t="str">
        <f t="shared" si="12"/>
        <v>CA</v>
      </c>
      <c r="E199" s="2200">
        <f t="shared" si="13"/>
        <v>18</v>
      </c>
      <c r="F199" s="2200" t="str">
        <f t="shared" si="14"/>
        <v>06</v>
      </c>
      <c r="G199" s="2200" t="str">
        <f t="shared" si="15"/>
        <v>39178</v>
      </c>
      <c r="H199" s="2200">
        <f>--SUBTOTAL(3,C$2:C199)</f>
        <v>0</v>
      </c>
    </row>
    <row r="200" spans="1:8" hidden="1" x14ac:dyDescent="0.15">
      <c r="A200" s="2200" t="s">
        <v>10723</v>
      </c>
      <c r="B200" s="2200" t="s">
        <v>11116</v>
      </c>
      <c r="C200" s="2200" t="s">
        <v>11117</v>
      </c>
      <c r="D200" s="2200" t="str">
        <f t="shared" si="12"/>
        <v>CA</v>
      </c>
      <c r="E200" s="2200">
        <f t="shared" si="13"/>
        <v>18</v>
      </c>
      <c r="F200" s="2200" t="str">
        <f t="shared" si="14"/>
        <v>06</v>
      </c>
      <c r="G200" s="2200" t="str">
        <f t="shared" si="15"/>
        <v>39220</v>
      </c>
      <c r="H200" s="2200">
        <f>--SUBTOTAL(3,C$2:C200)</f>
        <v>0</v>
      </c>
    </row>
    <row r="201" spans="1:8" hidden="1" x14ac:dyDescent="0.15">
      <c r="A201" s="2200" t="s">
        <v>10723</v>
      </c>
      <c r="B201" s="2200" t="s">
        <v>11118</v>
      </c>
      <c r="C201" s="2200" t="s">
        <v>11119</v>
      </c>
      <c r="D201" s="2200" t="str">
        <f t="shared" si="12"/>
        <v>CA</v>
      </c>
      <c r="E201" s="2200">
        <f t="shared" si="13"/>
        <v>19</v>
      </c>
      <c r="F201" s="2200" t="str">
        <f t="shared" si="14"/>
        <v>06</v>
      </c>
      <c r="G201" s="2200" t="str">
        <f t="shared" si="15"/>
        <v>39248</v>
      </c>
      <c r="H201" s="2200">
        <f>--SUBTOTAL(3,C$2:C201)</f>
        <v>0</v>
      </c>
    </row>
    <row r="202" spans="1:8" hidden="1" x14ac:dyDescent="0.15">
      <c r="A202" s="2200" t="s">
        <v>10723</v>
      </c>
      <c r="B202" s="2200" t="s">
        <v>11120</v>
      </c>
      <c r="C202" s="2200" t="s">
        <v>11121</v>
      </c>
      <c r="D202" s="2200" t="str">
        <f t="shared" si="12"/>
        <v>CA</v>
      </c>
      <c r="E202" s="2200">
        <f t="shared" si="13"/>
        <v>19</v>
      </c>
      <c r="F202" s="2200" t="str">
        <f t="shared" si="14"/>
        <v>06</v>
      </c>
      <c r="G202" s="2200" t="str">
        <f t="shared" si="15"/>
        <v>39486</v>
      </c>
      <c r="H202" s="2200">
        <f>--SUBTOTAL(3,C$2:C202)</f>
        <v>0</v>
      </c>
    </row>
    <row r="203" spans="1:8" hidden="1" x14ac:dyDescent="0.15">
      <c r="A203" s="2200" t="s">
        <v>10723</v>
      </c>
      <c r="B203" s="2200" t="s">
        <v>11122</v>
      </c>
      <c r="C203" s="2200" t="s">
        <v>11123</v>
      </c>
      <c r="D203" s="2200" t="str">
        <f t="shared" si="12"/>
        <v>CA</v>
      </c>
      <c r="E203" s="2200">
        <f t="shared" si="13"/>
        <v>17</v>
      </c>
      <c r="F203" s="2200" t="str">
        <f t="shared" si="14"/>
        <v>06</v>
      </c>
      <c r="G203" s="2200" t="str">
        <f t="shared" si="15"/>
        <v>39496</v>
      </c>
      <c r="H203" s="2200">
        <f>--SUBTOTAL(3,C$2:C203)</f>
        <v>0</v>
      </c>
    </row>
    <row r="204" spans="1:8" hidden="1" x14ac:dyDescent="0.15">
      <c r="A204" s="2200" t="s">
        <v>10723</v>
      </c>
      <c r="B204" s="2200" t="s">
        <v>11124</v>
      </c>
      <c r="C204" s="2200" t="s">
        <v>11125</v>
      </c>
      <c r="D204" s="2200" t="str">
        <f t="shared" si="12"/>
        <v>CA</v>
      </c>
      <c r="E204" s="2200">
        <f t="shared" si="13"/>
        <v>14</v>
      </c>
      <c r="F204" s="2200" t="str">
        <f t="shared" si="14"/>
        <v>06</v>
      </c>
      <c r="G204" s="2200" t="str">
        <f t="shared" si="15"/>
        <v>39892</v>
      </c>
      <c r="H204" s="2200">
        <f>--SUBTOTAL(3,C$2:C204)</f>
        <v>0</v>
      </c>
    </row>
    <row r="205" spans="1:8" hidden="1" x14ac:dyDescent="0.15">
      <c r="A205" s="2200" t="s">
        <v>10723</v>
      </c>
      <c r="B205" s="2200" t="s">
        <v>11126</v>
      </c>
      <c r="C205" s="2200" t="s">
        <v>11127</v>
      </c>
      <c r="D205" s="2200" t="str">
        <f t="shared" si="12"/>
        <v>CA</v>
      </c>
      <c r="E205" s="2200">
        <f t="shared" si="13"/>
        <v>15</v>
      </c>
      <c r="F205" s="2200" t="str">
        <f t="shared" si="14"/>
        <v>06</v>
      </c>
      <c r="G205" s="2200" t="str">
        <f t="shared" si="15"/>
        <v>40130</v>
      </c>
      <c r="H205" s="2200">
        <f>--SUBTOTAL(3,C$2:C205)</f>
        <v>0</v>
      </c>
    </row>
    <row r="206" spans="1:8" hidden="1" x14ac:dyDescent="0.15">
      <c r="A206" s="2200" t="s">
        <v>10723</v>
      </c>
      <c r="B206" s="2200" t="s">
        <v>11128</v>
      </c>
      <c r="C206" s="2200" t="s">
        <v>11129</v>
      </c>
      <c r="D206" s="2200" t="str">
        <f t="shared" si="12"/>
        <v>CA</v>
      </c>
      <c r="E206" s="2200">
        <f t="shared" si="13"/>
        <v>14</v>
      </c>
      <c r="F206" s="2200" t="str">
        <f t="shared" si="14"/>
        <v>06</v>
      </c>
      <c r="G206" s="2200" t="str">
        <f t="shared" si="15"/>
        <v>40886</v>
      </c>
      <c r="H206" s="2200">
        <f>--SUBTOTAL(3,C$2:C206)</f>
        <v>0</v>
      </c>
    </row>
    <row r="207" spans="1:8" hidden="1" x14ac:dyDescent="0.15">
      <c r="A207" s="2200" t="s">
        <v>10723</v>
      </c>
      <c r="B207" s="2200" t="s">
        <v>11130</v>
      </c>
      <c r="C207" s="2200" t="s">
        <v>11131</v>
      </c>
      <c r="D207" s="2200" t="str">
        <f t="shared" si="12"/>
        <v>CA</v>
      </c>
      <c r="E207" s="2200">
        <f t="shared" si="13"/>
        <v>17</v>
      </c>
      <c r="F207" s="2200" t="str">
        <f t="shared" si="14"/>
        <v>06</v>
      </c>
      <c r="G207" s="2200" t="str">
        <f t="shared" si="15"/>
        <v>41124</v>
      </c>
      <c r="H207" s="2200">
        <f>--SUBTOTAL(3,C$2:C207)</f>
        <v>0</v>
      </c>
    </row>
    <row r="208" spans="1:8" hidden="1" x14ac:dyDescent="0.15">
      <c r="A208" s="2200" t="s">
        <v>10723</v>
      </c>
      <c r="B208" s="2200" t="s">
        <v>11132</v>
      </c>
      <c r="C208" s="2200" t="s">
        <v>11133</v>
      </c>
      <c r="D208" s="2200" t="str">
        <f t="shared" si="12"/>
        <v>CA</v>
      </c>
      <c r="E208" s="2200">
        <f t="shared" si="13"/>
        <v>13</v>
      </c>
      <c r="F208" s="2200" t="str">
        <f t="shared" si="14"/>
        <v>06</v>
      </c>
      <c r="G208" s="2200" t="str">
        <f t="shared" si="15"/>
        <v>41152</v>
      </c>
      <c r="H208" s="2200">
        <f>--SUBTOTAL(3,C$2:C208)</f>
        <v>0</v>
      </c>
    </row>
    <row r="209" spans="1:8" hidden="1" x14ac:dyDescent="0.15">
      <c r="A209" s="2200" t="s">
        <v>10723</v>
      </c>
      <c r="B209" s="2200" t="s">
        <v>11134</v>
      </c>
      <c r="C209" s="2200" t="s">
        <v>11135</v>
      </c>
      <c r="D209" s="2200" t="str">
        <f t="shared" si="12"/>
        <v>CA</v>
      </c>
      <c r="E209" s="2200">
        <f t="shared" si="13"/>
        <v>13</v>
      </c>
      <c r="F209" s="2200" t="str">
        <f t="shared" si="14"/>
        <v>06</v>
      </c>
      <c r="G209" s="2200" t="str">
        <f t="shared" si="15"/>
        <v>41474</v>
      </c>
      <c r="H209" s="2200">
        <f>--SUBTOTAL(3,C$2:C209)</f>
        <v>0</v>
      </c>
    </row>
    <row r="210" spans="1:8" hidden="1" x14ac:dyDescent="0.15">
      <c r="A210" s="2200" t="s">
        <v>10723</v>
      </c>
      <c r="B210" s="2200" t="s">
        <v>11136</v>
      </c>
      <c r="C210" s="2200" t="s">
        <v>11137</v>
      </c>
      <c r="D210" s="2200" t="str">
        <f t="shared" si="12"/>
        <v>CA</v>
      </c>
      <c r="E210" s="2200">
        <f t="shared" si="13"/>
        <v>15</v>
      </c>
      <c r="F210" s="2200" t="str">
        <f t="shared" si="14"/>
        <v>06</v>
      </c>
      <c r="G210" s="2200" t="str">
        <f t="shared" si="15"/>
        <v>41992</v>
      </c>
      <c r="H210" s="2200">
        <f>--SUBTOTAL(3,C$2:C210)</f>
        <v>0</v>
      </c>
    </row>
    <row r="211" spans="1:8" hidden="1" x14ac:dyDescent="0.15">
      <c r="A211" s="2200" t="s">
        <v>10723</v>
      </c>
      <c r="B211" s="2200" t="s">
        <v>11138</v>
      </c>
      <c r="C211" s="2200" t="s">
        <v>11139</v>
      </c>
      <c r="D211" s="2200" t="str">
        <f t="shared" si="12"/>
        <v>CA</v>
      </c>
      <c r="E211" s="2200">
        <f t="shared" si="13"/>
        <v>10</v>
      </c>
      <c r="F211" s="2200" t="str">
        <f t="shared" si="14"/>
        <v>06</v>
      </c>
      <c r="G211" s="2200" t="str">
        <f t="shared" si="15"/>
        <v>42202</v>
      </c>
      <c r="H211" s="2200">
        <f>--SUBTOTAL(3,C$2:C211)</f>
        <v>0</v>
      </c>
    </row>
    <row r="212" spans="1:8" hidden="1" x14ac:dyDescent="0.15">
      <c r="A212" s="2200" t="s">
        <v>10723</v>
      </c>
      <c r="B212" s="2200" t="s">
        <v>11140</v>
      </c>
      <c r="C212" s="2200" t="s">
        <v>11141</v>
      </c>
      <c r="D212" s="2200" t="str">
        <f t="shared" si="12"/>
        <v>CA</v>
      </c>
      <c r="E212" s="2200">
        <f t="shared" si="13"/>
        <v>12</v>
      </c>
      <c r="F212" s="2200" t="str">
        <f t="shared" si="14"/>
        <v>06</v>
      </c>
      <c r="G212" s="2200" t="str">
        <f t="shared" si="15"/>
        <v>42524</v>
      </c>
      <c r="H212" s="2200">
        <f>--SUBTOTAL(3,C$2:C212)</f>
        <v>0</v>
      </c>
    </row>
    <row r="213" spans="1:8" hidden="1" x14ac:dyDescent="0.15">
      <c r="A213" s="2200" t="s">
        <v>10723</v>
      </c>
      <c r="B213" s="2200" t="s">
        <v>11142</v>
      </c>
      <c r="C213" s="2200" t="s">
        <v>11143</v>
      </c>
      <c r="D213" s="2200" t="str">
        <f t="shared" si="12"/>
        <v>CA</v>
      </c>
      <c r="E213" s="2200">
        <f t="shared" si="13"/>
        <v>16</v>
      </c>
      <c r="F213" s="2200" t="str">
        <f t="shared" si="14"/>
        <v>06</v>
      </c>
      <c r="G213" s="2200" t="str">
        <f t="shared" si="15"/>
        <v>43000</v>
      </c>
      <c r="H213" s="2200">
        <f>--SUBTOTAL(3,C$2:C213)</f>
        <v>0</v>
      </c>
    </row>
    <row r="214" spans="1:8" hidden="1" x14ac:dyDescent="0.15">
      <c r="A214" s="2200" t="s">
        <v>10723</v>
      </c>
      <c r="B214" s="2200" t="s">
        <v>11144</v>
      </c>
      <c r="C214" s="2200" t="s">
        <v>11145</v>
      </c>
      <c r="D214" s="2200" t="str">
        <f t="shared" si="12"/>
        <v>CA</v>
      </c>
      <c r="E214" s="2200">
        <f t="shared" si="13"/>
        <v>15</v>
      </c>
      <c r="F214" s="2200" t="str">
        <f t="shared" si="14"/>
        <v>06</v>
      </c>
      <c r="G214" s="2200" t="str">
        <f t="shared" si="15"/>
        <v>43280</v>
      </c>
      <c r="H214" s="2200">
        <f>--SUBTOTAL(3,C$2:C214)</f>
        <v>0</v>
      </c>
    </row>
    <row r="215" spans="1:8" hidden="1" x14ac:dyDescent="0.15">
      <c r="A215" s="2200" t="s">
        <v>10723</v>
      </c>
      <c r="B215" s="2200" t="s">
        <v>11146</v>
      </c>
      <c r="C215" s="2200" t="s">
        <v>11147</v>
      </c>
      <c r="D215" s="2200" t="str">
        <f t="shared" si="12"/>
        <v>CA</v>
      </c>
      <c r="E215" s="2200">
        <f t="shared" si="13"/>
        <v>17</v>
      </c>
      <c r="F215" s="2200" t="str">
        <f t="shared" si="14"/>
        <v>06</v>
      </c>
      <c r="G215" s="2200" t="str">
        <f t="shared" si="15"/>
        <v>44000</v>
      </c>
      <c r="H215" s="2200">
        <f>--SUBTOTAL(3,C$2:C215)</f>
        <v>0</v>
      </c>
    </row>
    <row r="216" spans="1:8" hidden="1" x14ac:dyDescent="0.15">
      <c r="A216" s="2200" t="s">
        <v>10723</v>
      </c>
      <c r="B216" s="2200" t="s">
        <v>11148</v>
      </c>
      <c r="C216" s="2200" t="s">
        <v>11149</v>
      </c>
      <c r="D216" s="2200" t="str">
        <f t="shared" si="12"/>
        <v>CA</v>
      </c>
      <c r="E216" s="2200">
        <f t="shared" si="13"/>
        <v>15</v>
      </c>
      <c r="F216" s="2200" t="str">
        <f t="shared" si="14"/>
        <v>06</v>
      </c>
      <c r="G216" s="2200" t="str">
        <f t="shared" si="15"/>
        <v>44028</v>
      </c>
      <c r="H216" s="2200">
        <f>--SUBTOTAL(3,C$2:C216)</f>
        <v>0</v>
      </c>
    </row>
    <row r="217" spans="1:8" hidden="1" x14ac:dyDescent="0.15">
      <c r="A217" s="2200" t="s">
        <v>10723</v>
      </c>
      <c r="B217" s="2200" t="s">
        <v>11150</v>
      </c>
      <c r="C217" s="2200" t="s">
        <v>11151</v>
      </c>
      <c r="D217" s="2200" t="str">
        <f t="shared" si="12"/>
        <v>CA</v>
      </c>
      <c r="E217" s="2200">
        <f t="shared" si="13"/>
        <v>15</v>
      </c>
      <c r="F217" s="2200" t="str">
        <f t="shared" si="14"/>
        <v>06</v>
      </c>
      <c r="G217" s="2200" t="str">
        <f t="shared" si="15"/>
        <v>44112</v>
      </c>
      <c r="H217" s="2200">
        <f>--SUBTOTAL(3,C$2:C217)</f>
        <v>0</v>
      </c>
    </row>
    <row r="218" spans="1:8" hidden="1" x14ac:dyDescent="0.15">
      <c r="A218" s="2200" t="s">
        <v>10723</v>
      </c>
      <c r="B218" s="2200" t="s">
        <v>11152</v>
      </c>
      <c r="C218" s="2200" t="s">
        <v>11153</v>
      </c>
      <c r="D218" s="2200" t="str">
        <f t="shared" si="12"/>
        <v>CA</v>
      </c>
      <c r="E218" s="2200">
        <f t="shared" si="13"/>
        <v>13</v>
      </c>
      <c r="F218" s="2200" t="str">
        <f t="shared" si="14"/>
        <v>06</v>
      </c>
      <c r="G218" s="2200" t="str">
        <f t="shared" si="15"/>
        <v>44574</v>
      </c>
      <c r="H218" s="2200">
        <f>--SUBTOTAL(3,C$2:C218)</f>
        <v>0</v>
      </c>
    </row>
    <row r="219" spans="1:8" hidden="1" x14ac:dyDescent="0.15">
      <c r="A219" s="2200" t="s">
        <v>10723</v>
      </c>
      <c r="B219" s="2200" t="s">
        <v>11154</v>
      </c>
      <c r="C219" s="2200" t="s">
        <v>11155</v>
      </c>
      <c r="D219" s="2200" t="str">
        <f t="shared" si="12"/>
        <v>CA</v>
      </c>
      <c r="E219" s="2200">
        <f t="shared" si="13"/>
        <v>12</v>
      </c>
      <c r="F219" s="2200" t="str">
        <f t="shared" si="14"/>
        <v>06</v>
      </c>
      <c r="G219" s="2200" t="str">
        <f t="shared" si="15"/>
        <v>45022</v>
      </c>
      <c r="H219" s="2200">
        <f>--SUBTOTAL(3,C$2:C219)</f>
        <v>0</v>
      </c>
    </row>
    <row r="220" spans="1:8" hidden="1" x14ac:dyDescent="0.15">
      <c r="A220" s="2200" t="s">
        <v>10723</v>
      </c>
      <c r="B220" s="2200" t="s">
        <v>11156</v>
      </c>
      <c r="C220" s="2200" t="s">
        <v>11157</v>
      </c>
      <c r="D220" s="2200" t="str">
        <f t="shared" si="12"/>
        <v>CA</v>
      </c>
      <c r="E220" s="2200">
        <f t="shared" si="13"/>
        <v>21</v>
      </c>
      <c r="F220" s="2200" t="str">
        <f t="shared" si="14"/>
        <v>06</v>
      </c>
      <c r="G220" s="2200" t="str">
        <f t="shared" si="15"/>
        <v>45400</v>
      </c>
      <c r="H220" s="2200">
        <f>--SUBTOTAL(3,C$2:C220)</f>
        <v>0</v>
      </c>
    </row>
    <row r="221" spans="1:8" hidden="1" x14ac:dyDescent="0.15">
      <c r="A221" s="2200" t="s">
        <v>10723</v>
      </c>
      <c r="B221" s="2200" t="s">
        <v>11158</v>
      </c>
      <c r="C221" s="2200" t="s">
        <v>11159</v>
      </c>
      <c r="D221" s="2200" t="str">
        <f t="shared" si="12"/>
        <v>CA</v>
      </c>
      <c r="E221" s="2200">
        <f t="shared" si="13"/>
        <v>13</v>
      </c>
      <c r="F221" s="2200" t="str">
        <f t="shared" si="14"/>
        <v>06</v>
      </c>
      <c r="G221" s="2200" t="str">
        <f t="shared" si="15"/>
        <v>45484</v>
      </c>
      <c r="H221" s="2200">
        <f>--SUBTOTAL(3,C$2:C221)</f>
        <v>0</v>
      </c>
    </row>
    <row r="222" spans="1:8" hidden="1" x14ac:dyDescent="0.15">
      <c r="A222" s="2200" t="s">
        <v>10723</v>
      </c>
      <c r="B222" s="2200" t="s">
        <v>11160</v>
      </c>
      <c r="C222" s="2200" t="s">
        <v>11161</v>
      </c>
      <c r="D222" s="2200" t="str">
        <f t="shared" si="12"/>
        <v>CA</v>
      </c>
      <c r="E222" s="2200">
        <f t="shared" si="13"/>
        <v>12</v>
      </c>
      <c r="F222" s="2200" t="str">
        <f t="shared" si="14"/>
        <v>06</v>
      </c>
      <c r="G222" s="2200" t="str">
        <f t="shared" si="15"/>
        <v>45778</v>
      </c>
      <c r="H222" s="2200">
        <f>--SUBTOTAL(3,C$2:C222)</f>
        <v>0</v>
      </c>
    </row>
    <row r="223" spans="1:8" hidden="1" x14ac:dyDescent="0.15">
      <c r="A223" s="2200" t="s">
        <v>10723</v>
      </c>
      <c r="B223" s="2200" t="s">
        <v>11162</v>
      </c>
      <c r="C223" s="2200" t="s">
        <v>11163</v>
      </c>
      <c r="D223" s="2200" t="str">
        <f t="shared" si="12"/>
        <v>CA</v>
      </c>
      <c r="E223" s="2200">
        <f t="shared" si="13"/>
        <v>14</v>
      </c>
      <c r="F223" s="2200" t="str">
        <f t="shared" si="14"/>
        <v>06</v>
      </c>
      <c r="G223" s="2200" t="str">
        <f t="shared" si="15"/>
        <v>46114</v>
      </c>
      <c r="H223" s="2200">
        <f>--SUBTOTAL(3,C$2:C223)</f>
        <v>0</v>
      </c>
    </row>
    <row r="224" spans="1:8" hidden="1" x14ac:dyDescent="0.15">
      <c r="A224" s="2200" t="s">
        <v>10723</v>
      </c>
      <c r="B224" s="2200" t="s">
        <v>11164</v>
      </c>
      <c r="C224" s="2200" t="s">
        <v>11165</v>
      </c>
      <c r="D224" s="2200" t="str">
        <f t="shared" si="12"/>
        <v>CA</v>
      </c>
      <c r="E224" s="2200">
        <f t="shared" si="13"/>
        <v>13</v>
      </c>
      <c r="F224" s="2200" t="str">
        <f t="shared" si="14"/>
        <v>06</v>
      </c>
      <c r="G224" s="2200" t="str">
        <f t="shared" si="15"/>
        <v>46492</v>
      </c>
      <c r="H224" s="2200">
        <f>--SUBTOTAL(3,C$2:C224)</f>
        <v>0</v>
      </c>
    </row>
    <row r="225" spans="1:8" hidden="1" x14ac:dyDescent="0.15">
      <c r="A225" s="2200" t="s">
        <v>10723</v>
      </c>
      <c r="B225" s="2200" t="s">
        <v>11166</v>
      </c>
      <c r="C225" s="2200" t="s">
        <v>11167</v>
      </c>
      <c r="D225" s="2200" t="str">
        <f t="shared" si="12"/>
        <v>CA</v>
      </c>
      <c r="E225" s="2200">
        <f t="shared" si="13"/>
        <v>13</v>
      </c>
      <c r="F225" s="2200" t="str">
        <f t="shared" si="14"/>
        <v>06</v>
      </c>
      <c r="G225" s="2200" t="str">
        <f t="shared" si="15"/>
        <v>46842</v>
      </c>
      <c r="H225" s="2200">
        <f>--SUBTOTAL(3,C$2:C225)</f>
        <v>0</v>
      </c>
    </row>
    <row r="226" spans="1:8" hidden="1" x14ac:dyDescent="0.15">
      <c r="A226" s="2200" t="s">
        <v>10723</v>
      </c>
      <c r="B226" s="2200" t="s">
        <v>11168</v>
      </c>
      <c r="C226" s="2200" t="s">
        <v>11169</v>
      </c>
      <c r="D226" s="2200" t="str">
        <f t="shared" si="12"/>
        <v>CA</v>
      </c>
      <c r="E226" s="2200">
        <f t="shared" si="13"/>
        <v>16</v>
      </c>
      <c r="F226" s="2200" t="str">
        <f t="shared" si="14"/>
        <v>06</v>
      </c>
      <c r="G226" s="2200" t="str">
        <f t="shared" si="15"/>
        <v>46870</v>
      </c>
      <c r="H226" s="2200">
        <f>--SUBTOTAL(3,C$2:C226)</f>
        <v>0</v>
      </c>
    </row>
    <row r="227" spans="1:8" hidden="1" x14ac:dyDescent="0.15">
      <c r="A227" s="2200" t="s">
        <v>10723</v>
      </c>
      <c r="B227" s="2200" t="s">
        <v>11170</v>
      </c>
      <c r="C227" s="2200" t="s">
        <v>11171</v>
      </c>
      <c r="D227" s="2200" t="str">
        <f t="shared" si="12"/>
        <v>CA</v>
      </c>
      <c r="E227" s="2200">
        <f t="shared" si="13"/>
        <v>12</v>
      </c>
      <c r="F227" s="2200" t="str">
        <f t="shared" si="14"/>
        <v>06</v>
      </c>
      <c r="G227" s="2200" t="str">
        <f t="shared" si="15"/>
        <v>46898</v>
      </c>
      <c r="H227" s="2200">
        <f>--SUBTOTAL(3,C$2:C227)</f>
        <v>0</v>
      </c>
    </row>
    <row r="228" spans="1:8" hidden="1" x14ac:dyDescent="0.15">
      <c r="A228" s="2200" t="s">
        <v>10723</v>
      </c>
      <c r="B228" s="2200" t="s">
        <v>11172</v>
      </c>
      <c r="C228" s="2200" t="s">
        <v>11173</v>
      </c>
      <c r="D228" s="2200" t="str">
        <f t="shared" si="12"/>
        <v>CA</v>
      </c>
      <c r="E228" s="2200">
        <f t="shared" si="13"/>
        <v>14</v>
      </c>
      <c r="F228" s="2200" t="str">
        <f t="shared" si="14"/>
        <v>06</v>
      </c>
      <c r="G228" s="2200" t="str">
        <f t="shared" si="15"/>
        <v>47766</v>
      </c>
      <c r="H228" s="2200">
        <f>--SUBTOTAL(3,C$2:C228)</f>
        <v>0</v>
      </c>
    </row>
    <row r="229" spans="1:8" hidden="1" x14ac:dyDescent="0.15">
      <c r="A229" s="2200" t="s">
        <v>10723</v>
      </c>
      <c r="B229" s="2200" t="s">
        <v>11174</v>
      </c>
      <c r="C229" s="2200" t="s">
        <v>11175</v>
      </c>
      <c r="D229" s="2200" t="str">
        <f t="shared" si="12"/>
        <v>CA</v>
      </c>
      <c r="E229" s="2200">
        <f t="shared" si="13"/>
        <v>19</v>
      </c>
      <c r="F229" s="2200" t="str">
        <f t="shared" si="14"/>
        <v>06</v>
      </c>
      <c r="G229" s="2200" t="str">
        <f t="shared" si="15"/>
        <v>48256</v>
      </c>
      <c r="H229" s="2200">
        <f>--SUBTOTAL(3,C$2:C229)</f>
        <v>0</v>
      </c>
    </row>
    <row r="230" spans="1:8" hidden="1" x14ac:dyDescent="0.15">
      <c r="A230" s="2200" t="s">
        <v>10723</v>
      </c>
      <c r="B230" s="2200" t="s">
        <v>11176</v>
      </c>
      <c r="C230" s="2200" t="s">
        <v>11177</v>
      </c>
      <c r="D230" s="2200" t="str">
        <f t="shared" si="12"/>
        <v>CA</v>
      </c>
      <c r="E230" s="2200">
        <f t="shared" si="13"/>
        <v>13</v>
      </c>
      <c r="F230" s="2200" t="str">
        <f t="shared" si="14"/>
        <v>06</v>
      </c>
      <c r="G230" s="2200" t="str">
        <f t="shared" si="15"/>
        <v>48354</v>
      </c>
      <c r="H230" s="2200">
        <f>--SUBTOTAL(3,C$2:C230)</f>
        <v>0</v>
      </c>
    </row>
    <row r="231" spans="1:8" hidden="1" x14ac:dyDescent="0.15">
      <c r="A231" s="2200" t="s">
        <v>10723</v>
      </c>
      <c r="B231" s="2200" t="s">
        <v>11178</v>
      </c>
      <c r="C231" s="2200" t="s">
        <v>11179</v>
      </c>
      <c r="D231" s="2200" t="str">
        <f t="shared" si="12"/>
        <v>CA</v>
      </c>
      <c r="E231" s="2200">
        <f t="shared" si="13"/>
        <v>14</v>
      </c>
      <c r="F231" s="2200" t="str">
        <f t="shared" si="14"/>
        <v>06</v>
      </c>
      <c r="G231" s="2200" t="str">
        <f t="shared" si="15"/>
        <v>48648</v>
      </c>
      <c r="H231" s="2200">
        <f>--SUBTOTAL(3,C$2:C231)</f>
        <v>0</v>
      </c>
    </row>
    <row r="232" spans="1:8" hidden="1" x14ac:dyDescent="0.15">
      <c r="A232" s="2200" t="s">
        <v>10723</v>
      </c>
      <c r="B232" s="2200" t="s">
        <v>11180</v>
      </c>
      <c r="C232" s="2200" t="s">
        <v>11181</v>
      </c>
      <c r="D232" s="2200" t="str">
        <f t="shared" si="12"/>
        <v>CA</v>
      </c>
      <c r="E232" s="2200">
        <f t="shared" si="13"/>
        <v>15</v>
      </c>
      <c r="F232" s="2200" t="str">
        <f t="shared" si="14"/>
        <v>06</v>
      </c>
      <c r="G232" s="2200" t="str">
        <f t="shared" si="15"/>
        <v>48788</v>
      </c>
      <c r="H232" s="2200">
        <f>--SUBTOTAL(3,C$2:C232)</f>
        <v>0</v>
      </c>
    </row>
    <row r="233" spans="1:8" hidden="1" x14ac:dyDescent="0.15">
      <c r="A233" s="2200" t="s">
        <v>10723</v>
      </c>
      <c r="B233" s="2200" t="s">
        <v>11182</v>
      </c>
      <c r="C233" s="2200" t="s">
        <v>11183</v>
      </c>
      <c r="D233" s="2200" t="str">
        <f t="shared" si="12"/>
        <v>CA</v>
      </c>
      <c r="E233" s="2200">
        <f t="shared" si="13"/>
        <v>16</v>
      </c>
      <c r="F233" s="2200" t="str">
        <f t="shared" si="14"/>
        <v>06</v>
      </c>
      <c r="G233" s="2200" t="str">
        <f t="shared" si="15"/>
        <v>48816</v>
      </c>
      <c r="H233" s="2200">
        <f>--SUBTOTAL(3,C$2:C233)</f>
        <v>0</v>
      </c>
    </row>
    <row r="234" spans="1:8" hidden="1" x14ac:dyDescent="0.15">
      <c r="A234" s="2200" t="s">
        <v>10723</v>
      </c>
      <c r="B234" s="2200" t="s">
        <v>11184</v>
      </c>
      <c r="C234" s="2200" t="s">
        <v>11185</v>
      </c>
      <c r="D234" s="2200" t="str">
        <f t="shared" si="12"/>
        <v>CA</v>
      </c>
      <c r="E234" s="2200">
        <f t="shared" si="13"/>
        <v>14</v>
      </c>
      <c r="F234" s="2200" t="str">
        <f t="shared" si="14"/>
        <v>06</v>
      </c>
      <c r="G234" s="2200" t="str">
        <f t="shared" si="15"/>
        <v>48872</v>
      </c>
      <c r="H234" s="2200">
        <f>--SUBTOTAL(3,C$2:C234)</f>
        <v>0</v>
      </c>
    </row>
    <row r="235" spans="1:8" hidden="1" x14ac:dyDescent="0.15">
      <c r="A235" s="2200" t="s">
        <v>10723</v>
      </c>
      <c r="B235" s="2200" t="s">
        <v>11186</v>
      </c>
      <c r="C235" s="2200" t="s">
        <v>11187</v>
      </c>
      <c r="D235" s="2200" t="str">
        <f t="shared" si="12"/>
        <v>CA</v>
      </c>
      <c r="E235" s="2200">
        <f t="shared" si="13"/>
        <v>19</v>
      </c>
      <c r="F235" s="2200" t="str">
        <f t="shared" si="14"/>
        <v>06</v>
      </c>
      <c r="G235" s="2200" t="str">
        <f t="shared" si="15"/>
        <v>48914</v>
      </c>
      <c r="H235" s="2200">
        <f>--SUBTOTAL(3,C$2:C235)</f>
        <v>0</v>
      </c>
    </row>
    <row r="236" spans="1:8" hidden="1" x14ac:dyDescent="0.15">
      <c r="A236" s="2200" t="s">
        <v>10723</v>
      </c>
      <c r="B236" s="2200" t="s">
        <v>11188</v>
      </c>
      <c r="C236" s="2200" t="s">
        <v>11189</v>
      </c>
      <c r="D236" s="2200" t="str">
        <f t="shared" si="12"/>
        <v>CA</v>
      </c>
      <c r="E236" s="2200">
        <f t="shared" si="13"/>
        <v>14</v>
      </c>
      <c r="F236" s="2200" t="str">
        <f t="shared" si="14"/>
        <v>06</v>
      </c>
      <c r="G236" s="2200" t="str">
        <f t="shared" si="15"/>
        <v>49138</v>
      </c>
      <c r="H236" s="2200">
        <f>--SUBTOTAL(3,C$2:C236)</f>
        <v>0</v>
      </c>
    </row>
    <row r="237" spans="1:8" hidden="1" x14ac:dyDescent="0.15">
      <c r="A237" s="2200" t="s">
        <v>10723</v>
      </c>
      <c r="B237" s="2200" t="s">
        <v>11190</v>
      </c>
      <c r="C237" s="2200" t="s">
        <v>11191</v>
      </c>
      <c r="D237" s="2200" t="str">
        <f t="shared" si="12"/>
        <v>CA</v>
      </c>
      <c r="E237" s="2200">
        <f t="shared" si="13"/>
        <v>19</v>
      </c>
      <c r="F237" s="2200" t="str">
        <f t="shared" si="14"/>
        <v>06</v>
      </c>
      <c r="G237" s="2200" t="str">
        <f t="shared" si="15"/>
        <v>49270</v>
      </c>
      <c r="H237" s="2200">
        <f>--SUBTOTAL(3,C$2:C237)</f>
        <v>0</v>
      </c>
    </row>
    <row r="238" spans="1:8" hidden="1" x14ac:dyDescent="0.15">
      <c r="A238" s="2200" t="s">
        <v>10723</v>
      </c>
      <c r="B238" s="2200" t="s">
        <v>11192</v>
      </c>
      <c r="C238" s="2200" t="s">
        <v>11193</v>
      </c>
      <c r="D238" s="2200" t="str">
        <f t="shared" si="12"/>
        <v>CA</v>
      </c>
      <c r="E238" s="2200">
        <f t="shared" si="13"/>
        <v>17</v>
      </c>
      <c r="F238" s="2200" t="str">
        <f t="shared" si="14"/>
        <v>06</v>
      </c>
      <c r="G238" s="2200" t="str">
        <f t="shared" si="15"/>
        <v>49278</v>
      </c>
      <c r="H238" s="2200">
        <f>--SUBTOTAL(3,C$2:C238)</f>
        <v>0</v>
      </c>
    </row>
    <row r="239" spans="1:8" hidden="1" x14ac:dyDescent="0.15">
      <c r="A239" s="2200" t="s">
        <v>10723</v>
      </c>
      <c r="B239" s="2200" t="s">
        <v>11194</v>
      </c>
      <c r="C239" s="2200" t="s">
        <v>11195</v>
      </c>
      <c r="D239" s="2200" t="str">
        <f t="shared" si="12"/>
        <v>CA</v>
      </c>
      <c r="E239" s="2200">
        <f t="shared" si="13"/>
        <v>19</v>
      </c>
      <c r="F239" s="2200" t="str">
        <f t="shared" si="14"/>
        <v>06</v>
      </c>
      <c r="G239" s="2200" t="str">
        <f t="shared" si="15"/>
        <v>49670</v>
      </c>
      <c r="H239" s="2200">
        <f>--SUBTOTAL(3,C$2:C239)</f>
        <v>0</v>
      </c>
    </row>
    <row r="240" spans="1:8" hidden="1" x14ac:dyDescent="0.15">
      <c r="A240" s="2200" t="s">
        <v>10723</v>
      </c>
      <c r="B240" s="2200" t="s">
        <v>11196</v>
      </c>
      <c r="C240" s="2200" t="s">
        <v>11197</v>
      </c>
      <c r="D240" s="2200" t="str">
        <f t="shared" si="12"/>
        <v>CA</v>
      </c>
      <c r="E240" s="2200">
        <f t="shared" si="13"/>
        <v>14</v>
      </c>
      <c r="F240" s="2200" t="str">
        <f t="shared" si="14"/>
        <v>06</v>
      </c>
      <c r="G240" s="2200" t="str">
        <f t="shared" si="15"/>
        <v>50076</v>
      </c>
      <c r="H240" s="2200">
        <f>--SUBTOTAL(3,C$2:C240)</f>
        <v>0</v>
      </c>
    </row>
    <row r="241" spans="1:8" hidden="1" x14ac:dyDescent="0.15">
      <c r="A241" s="2200" t="s">
        <v>10723</v>
      </c>
      <c r="B241" s="2200" t="s">
        <v>11198</v>
      </c>
      <c r="C241" s="2200" t="s">
        <v>11199</v>
      </c>
      <c r="D241" s="2200" t="str">
        <f t="shared" si="12"/>
        <v>CA</v>
      </c>
      <c r="E241" s="2200">
        <f t="shared" si="13"/>
        <v>10</v>
      </c>
      <c r="F241" s="2200" t="str">
        <f t="shared" si="14"/>
        <v>06</v>
      </c>
      <c r="G241" s="2200" t="str">
        <f t="shared" si="15"/>
        <v>50258</v>
      </c>
      <c r="H241" s="2200">
        <f>--SUBTOTAL(3,C$2:C241)</f>
        <v>0</v>
      </c>
    </row>
    <row r="242" spans="1:8" hidden="1" x14ac:dyDescent="0.15">
      <c r="A242" s="2200" t="s">
        <v>10723</v>
      </c>
      <c r="B242" s="2200" t="s">
        <v>11200</v>
      </c>
      <c r="C242" s="2200" t="s">
        <v>11201</v>
      </c>
      <c r="D242" s="2200" t="str">
        <f t="shared" si="12"/>
        <v>CA</v>
      </c>
      <c r="E242" s="2200">
        <f t="shared" si="13"/>
        <v>19</v>
      </c>
      <c r="F242" s="2200" t="str">
        <f t="shared" si="14"/>
        <v>06</v>
      </c>
      <c r="G242" s="2200" t="str">
        <f t="shared" si="15"/>
        <v>50398</v>
      </c>
      <c r="H242" s="2200">
        <f>--SUBTOTAL(3,C$2:C242)</f>
        <v>0</v>
      </c>
    </row>
    <row r="243" spans="1:8" hidden="1" x14ac:dyDescent="0.15">
      <c r="A243" s="2200" t="s">
        <v>10723</v>
      </c>
      <c r="B243" s="2200" t="s">
        <v>11202</v>
      </c>
      <c r="C243" s="2200" t="s">
        <v>11203</v>
      </c>
      <c r="D243" s="2200" t="str">
        <f t="shared" si="12"/>
        <v>CA</v>
      </c>
      <c r="E243" s="2200">
        <f t="shared" si="13"/>
        <v>12</v>
      </c>
      <c r="F243" s="2200" t="str">
        <f t="shared" si="14"/>
        <v>06</v>
      </c>
      <c r="G243" s="2200" t="str">
        <f t="shared" si="15"/>
        <v>50916</v>
      </c>
      <c r="H243" s="2200">
        <f>--SUBTOTAL(3,C$2:C243)</f>
        <v>0</v>
      </c>
    </row>
    <row r="244" spans="1:8" hidden="1" x14ac:dyDescent="0.15">
      <c r="A244" s="2200" t="s">
        <v>10723</v>
      </c>
      <c r="B244" s="2200" t="s">
        <v>11204</v>
      </c>
      <c r="C244" s="2200" t="s">
        <v>11205</v>
      </c>
      <c r="D244" s="2200" t="str">
        <f t="shared" si="12"/>
        <v>CA</v>
      </c>
      <c r="E244" s="2200">
        <f t="shared" si="13"/>
        <v>19</v>
      </c>
      <c r="F244" s="2200" t="str">
        <f t="shared" si="14"/>
        <v>06</v>
      </c>
      <c r="G244" s="2200" t="str">
        <f t="shared" si="15"/>
        <v>51182</v>
      </c>
      <c r="H244" s="2200">
        <f>--SUBTOTAL(3,C$2:C244)</f>
        <v>0</v>
      </c>
    </row>
    <row r="245" spans="1:8" hidden="1" x14ac:dyDescent="0.15">
      <c r="A245" s="2200" t="s">
        <v>10723</v>
      </c>
      <c r="B245" s="2200" t="s">
        <v>11206</v>
      </c>
      <c r="C245" s="2200" t="s">
        <v>11207</v>
      </c>
      <c r="D245" s="2200" t="str">
        <f t="shared" si="12"/>
        <v>CA</v>
      </c>
      <c r="E245" s="2200">
        <f t="shared" si="13"/>
        <v>11</v>
      </c>
      <c r="F245" s="2200" t="str">
        <f t="shared" si="14"/>
        <v>06</v>
      </c>
      <c r="G245" s="2200" t="str">
        <f t="shared" si="15"/>
        <v>51560</v>
      </c>
      <c r="H245" s="2200">
        <f>--SUBTOTAL(3,C$2:C245)</f>
        <v>0</v>
      </c>
    </row>
    <row r="246" spans="1:8" hidden="1" x14ac:dyDescent="0.15">
      <c r="A246" s="2200" t="s">
        <v>10723</v>
      </c>
      <c r="B246" s="2200" t="s">
        <v>11208</v>
      </c>
      <c r="C246" s="2200" t="s">
        <v>11209</v>
      </c>
      <c r="D246" s="2200" t="str">
        <f t="shared" si="12"/>
        <v>CA</v>
      </c>
      <c r="E246" s="2200">
        <f t="shared" si="13"/>
        <v>13</v>
      </c>
      <c r="F246" s="2200" t="str">
        <f t="shared" si="14"/>
        <v>06</v>
      </c>
      <c r="G246" s="2200" t="str">
        <f t="shared" si="15"/>
        <v>52526</v>
      </c>
      <c r="H246" s="2200">
        <f>--SUBTOTAL(3,C$2:C246)</f>
        <v>0</v>
      </c>
    </row>
    <row r="247" spans="1:8" hidden="1" x14ac:dyDescent="0.15">
      <c r="A247" s="2200" t="s">
        <v>10723</v>
      </c>
      <c r="B247" s="2200" t="s">
        <v>11210</v>
      </c>
      <c r="C247" s="2200" t="s">
        <v>11211</v>
      </c>
      <c r="D247" s="2200" t="str">
        <f t="shared" si="12"/>
        <v>CA</v>
      </c>
      <c r="E247" s="2200">
        <f t="shared" si="13"/>
        <v>12</v>
      </c>
      <c r="F247" s="2200" t="str">
        <f t="shared" si="14"/>
        <v>06</v>
      </c>
      <c r="G247" s="2200" t="str">
        <f t="shared" si="15"/>
        <v>52582</v>
      </c>
      <c r="H247" s="2200">
        <f>--SUBTOTAL(3,C$2:C247)</f>
        <v>0</v>
      </c>
    </row>
    <row r="248" spans="1:8" hidden="1" x14ac:dyDescent="0.15">
      <c r="A248" s="2200" t="s">
        <v>10723</v>
      </c>
      <c r="B248" s="2200" t="s">
        <v>11212</v>
      </c>
      <c r="C248" s="2200" t="s">
        <v>11213</v>
      </c>
      <c r="D248" s="2200" t="str">
        <f t="shared" si="12"/>
        <v>CA</v>
      </c>
      <c r="E248" s="2200">
        <f t="shared" si="13"/>
        <v>13</v>
      </c>
      <c r="F248" s="2200" t="str">
        <f t="shared" si="14"/>
        <v>06</v>
      </c>
      <c r="G248" s="2200" t="str">
        <f t="shared" si="15"/>
        <v>53000</v>
      </c>
      <c r="H248" s="2200">
        <f>--SUBTOTAL(3,C$2:C248)</f>
        <v>0</v>
      </c>
    </row>
    <row r="249" spans="1:8" hidden="1" x14ac:dyDescent="0.15">
      <c r="A249" s="2200" t="s">
        <v>10723</v>
      </c>
      <c r="B249" s="2200" t="s">
        <v>11214</v>
      </c>
      <c r="C249" s="2200" t="s">
        <v>11215</v>
      </c>
      <c r="D249" s="2200" t="str">
        <f t="shared" si="12"/>
        <v>CA</v>
      </c>
      <c r="E249" s="2200">
        <f t="shared" si="13"/>
        <v>12</v>
      </c>
      <c r="F249" s="2200" t="str">
        <f t="shared" si="14"/>
        <v>06</v>
      </c>
      <c r="G249" s="2200" t="str">
        <f t="shared" si="15"/>
        <v>53070</v>
      </c>
      <c r="H249" s="2200">
        <f>--SUBTOTAL(3,C$2:C249)</f>
        <v>0</v>
      </c>
    </row>
    <row r="250" spans="1:8" hidden="1" x14ac:dyDescent="0.15">
      <c r="A250" s="2200" t="s">
        <v>10723</v>
      </c>
      <c r="B250" s="2200" t="s">
        <v>11216</v>
      </c>
      <c r="C250" s="2200" t="s">
        <v>11217</v>
      </c>
      <c r="D250" s="2200" t="str">
        <f t="shared" si="12"/>
        <v>CA</v>
      </c>
      <c r="E250" s="2200">
        <f t="shared" si="13"/>
        <v>15</v>
      </c>
      <c r="F250" s="2200" t="str">
        <f t="shared" si="14"/>
        <v>06</v>
      </c>
      <c r="G250" s="2200" t="str">
        <f t="shared" si="15"/>
        <v>53322</v>
      </c>
      <c r="H250" s="2200">
        <f>--SUBTOTAL(3,C$2:C250)</f>
        <v>0</v>
      </c>
    </row>
    <row r="251" spans="1:8" hidden="1" x14ac:dyDescent="0.15">
      <c r="A251" s="2200" t="s">
        <v>10723</v>
      </c>
      <c r="B251" s="2200" t="s">
        <v>11218</v>
      </c>
      <c r="C251" s="2200" t="s">
        <v>11219</v>
      </c>
      <c r="D251" s="2200" t="str">
        <f t="shared" si="12"/>
        <v>CA</v>
      </c>
      <c r="E251" s="2200">
        <f t="shared" si="13"/>
        <v>13</v>
      </c>
      <c r="F251" s="2200" t="str">
        <f t="shared" si="14"/>
        <v>06</v>
      </c>
      <c r="G251" s="2200" t="str">
        <f t="shared" si="15"/>
        <v>53896</v>
      </c>
      <c r="H251" s="2200">
        <f>--SUBTOTAL(3,C$2:C251)</f>
        <v>0</v>
      </c>
    </row>
    <row r="252" spans="1:8" hidden="1" x14ac:dyDescent="0.15">
      <c r="A252" s="2200" t="s">
        <v>10723</v>
      </c>
      <c r="B252" s="2200" t="s">
        <v>11220</v>
      </c>
      <c r="C252" s="2200" t="s">
        <v>11221</v>
      </c>
      <c r="D252" s="2200" t="str">
        <f t="shared" si="12"/>
        <v>CA</v>
      </c>
      <c r="E252" s="2200">
        <f t="shared" si="13"/>
        <v>12</v>
      </c>
      <c r="F252" s="2200" t="str">
        <f t="shared" si="14"/>
        <v>06</v>
      </c>
      <c r="G252" s="2200" t="str">
        <f t="shared" si="15"/>
        <v>53980</v>
      </c>
      <c r="H252" s="2200">
        <f>--SUBTOTAL(3,C$2:C252)</f>
        <v>0</v>
      </c>
    </row>
    <row r="253" spans="1:8" hidden="1" x14ac:dyDescent="0.15">
      <c r="A253" s="2200" t="s">
        <v>10723</v>
      </c>
      <c r="B253" s="2200" t="s">
        <v>11222</v>
      </c>
      <c r="C253" s="2200" t="s">
        <v>11223</v>
      </c>
      <c r="D253" s="2200" t="str">
        <f t="shared" si="12"/>
        <v>CA</v>
      </c>
      <c r="E253" s="2200">
        <f t="shared" si="13"/>
        <v>12</v>
      </c>
      <c r="F253" s="2200" t="str">
        <f t="shared" si="14"/>
        <v>06</v>
      </c>
      <c r="G253" s="2200" t="str">
        <f t="shared" si="15"/>
        <v>54652</v>
      </c>
      <c r="H253" s="2200">
        <f>--SUBTOTAL(3,C$2:C253)</f>
        <v>0</v>
      </c>
    </row>
    <row r="254" spans="1:8" hidden="1" x14ac:dyDescent="0.15">
      <c r="A254" s="2200" t="s">
        <v>10723</v>
      </c>
      <c r="B254" s="2200" t="s">
        <v>11224</v>
      </c>
      <c r="C254" s="2200" t="s">
        <v>11225</v>
      </c>
      <c r="D254" s="2200" t="str">
        <f t="shared" si="12"/>
        <v>CA</v>
      </c>
      <c r="E254" s="2200">
        <f t="shared" si="13"/>
        <v>14</v>
      </c>
      <c r="F254" s="2200" t="str">
        <f t="shared" si="14"/>
        <v>06</v>
      </c>
      <c r="G254" s="2200" t="str">
        <f t="shared" si="15"/>
        <v>54806</v>
      </c>
      <c r="H254" s="2200">
        <f>--SUBTOTAL(3,C$2:C254)</f>
        <v>0</v>
      </c>
    </row>
    <row r="255" spans="1:8" hidden="1" x14ac:dyDescent="0.15">
      <c r="A255" s="2200" t="s">
        <v>10723</v>
      </c>
      <c r="B255" s="2200" t="s">
        <v>11226</v>
      </c>
      <c r="C255" s="2200" t="s">
        <v>11227</v>
      </c>
      <c r="D255" s="2200" t="str">
        <f t="shared" si="12"/>
        <v>CA</v>
      </c>
      <c r="E255" s="2200">
        <f t="shared" si="13"/>
        <v>17</v>
      </c>
      <c r="F255" s="2200" t="str">
        <f t="shared" si="14"/>
        <v>06</v>
      </c>
      <c r="G255" s="2200" t="str">
        <f t="shared" si="15"/>
        <v>55184</v>
      </c>
      <c r="H255" s="2200">
        <f>--SUBTOTAL(3,C$2:C255)</f>
        <v>0</v>
      </c>
    </row>
    <row r="256" spans="1:8" hidden="1" x14ac:dyDescent="0.15">
      <c r="A256" s="2200" t="s">
        <v>10723</v>
      </c>
      <c r="B256" s="2200" t="s">
        <v>11228</v>
      </c>
      <c r="C256" s="2200" t="s">
        <v>11229</v>
      </c>
      <c r="D256" s="2200" t="str">
        <f t="shared" si="12"/>
        <v>CA</v>
      </c>
      <c r="E256" s="2200">
        <f t="shared" si="13"/>
        <v>18</v>
      </c>
      <c r="F256" s="2200" t="str">
        <f t="shared" si="14"/>
        <v>06</v>
      </c>
      <c r="G256" s="2200" t="str">
        <f t="shared" si="15"/>
        <v>55254</v>
      </c>
      <c r="H256" s="2200">
        <f>--SUBTOTAL(3,C$2:C256)</f>
        <v>0</v>
      </c>
    </row>
    <row r="257" spans="1:8" hidden="1" x14ac:dyDescent="0.15">
      <c r="A257" s="2200" t="s">
        <v>10723</v>
      </c>
      <c r="B257" s="2200" t="s">
        <v>11230</v>
      </c>
      <c r="C257" s="2200" t="s">
        <v>11231</v>
      </c>
      <c r="D257" s="2200" t="str">
        <f t="shared" si="12"/>
        <v>CA</v>
      </c>
      <c r="E257" s="2200">
        <f t="shared" si="13"/>
        <v>14</v>
      </c>
      <c r="F257" s="2200" t="str">
        <f t="shared" si="14"/>
        <v>06</v>
      </c>
      <c r="G257" s="2200" t="str">
        <f t="shared" si="15"/>
        <v>55156</v>
      </c>
      <c r="H257" s="2200">
        <f>--SUBTOTAL(3,C$2:C257)</f>
        <v>0</v>
      </c>
    </row>
    <row r="258" spans="1:8" hidden="1" x14ac:dyDescent="0.15">
      <c r="A258" s="2200" t="s">
        <v>10723</v>
      </c>
      <c r="B258" s="2200" t="s">
        <v>11232</v>
      </c>
      <c r="C258" s="2200" t="s">
        <v>11233</v>
      </c>
      <c r="D258" s="2200" t="str">
        <f t="shared" ref="D258:D321" si="16">MID(C258,E258+2,2)</f>
        <v>CA</v>
      </c>
      <c r="E258" s="2200">
        <f t="shared" ref="E258:E321" si="17">FIND(",",C258)</f>
        <v>15</v>
      </c>
      <c r="F258" s="2200" t="str">
        <f t="shared" si="14"/>
        <v>06</v>
      </c>
      <c r="G258" s="2200" t="str">
        <f t="shared" si="15"/>
        <v>55282</v>
      </c>
      <c r="H258" s="2200">
        <f>--SUBTOTAL(3,C$2:C258)</f>
        <v>0</v>
      </c>
    </row>
    <row r="259" spans="1:8" hidden="1" x14ac:dyDescent="0.15">
      <c r="A259" s="2200" t="s">
        <v>10723</v>
      </c>
      <c r="B259" s="2200" t="s">
        <v>11234</v>
      </c>
      <c r="C259" s="2200" t="s">
        <v>11235</v>
      </c>
      <c r="D259" s="2200" t="str">
        <f t="shared" si="16"/>
        <v>CA</v>
      </c>
      <c r="E259" s="2200">
        <f t="shared" si="17"/>
        <v>14</v>
      </c>
      <c r="F259" s="2200" t="str">
        <f t="shared" ref="F259:F322" si="18">MID(B259,3,2)</f>
        <v>06</v>
      </c>
      <c r="G259" s="2200" t="str">
        <f t="shared" ref="G259:G322" si="19">MID(B259,5,5)</f>
        <v>55520</v>
      </c>
      <c r="H259" s="2200">
        <f>--SUBTOTAL(3,C$2:C259)</f>
        <v>0</v>
      </c>
    </row>
    <row r="260" spans="1:8" hidden="1" x14ac:dyDescent="0.15">
      <c r="A260" s="2200" t="s">
        <v>10723</v>
      </c>
      <c r="B260" s="2200" t="s">
        <v>11236</v>
      </c>
      <c r="C260" s="2200" t="s">
        <v>11237</v>
      </c>
      <c r="D260" s="2200" t="str">
        <f t="shared" si="16"/>
        <v>CA</v>
      </c>
      <c r="E260" s="2200">
        <f t="shared" si="17"/>
        <v>15</v>
      </c>
      <c r="F260" s="2200" t="str">
        <f t="shared" si="18"/>
        <v>06</v>
      </c>
      <c r="G260" s="2200" t="str">
        <f t="shared" si="19"/>
        <v>55618</v>
      </c>
      <c r="H260" s="2200">
        <f>--SUBTOTAL(3,C$2:C260)</f>
        <v>0</v>
      </c>
    </row>
    <row r="261" spans="1:8" hidden="1" x14ac:dyDescent="0.15">
      <c r="A261" s="2200" t="s">
        <v>10723</v>
      </c>
      <c r="B261" s="2200" t="s">
        <v>11238</v>
      </c>
      <c r="C261" s="2200" t="s">
        <v>11239</v>
      </c>
      <c r="D261" s="2200" t="str">
        <f t="shared" si="16"/>
        <v>CA</v>
      </c>
      <c r="E261" s="2200">
        <f t="shared" si="17"/>
        <v>14</v>
      </c>
      <c r="F261" s="2200" t="str">
        <f t="shared" si="18"/>
        <v>06</v>
      </c>
      <c r="G261" s="2200" t="str">
        <f t="shared" si="19"/>
        <v>56000</v>
      </c>
      <c r="H261" s="2200">
        <f>--SUBTOTAL(3,C$2:C261)</f>
        <v>0</v>
      </c>
    </row>
    <row r="262" spans="1:8" hidden="1" x14ac:dyDescent="0.15">
      <c r="A262" s="2200" t="s">
        <v>10723</v>
      </c>
      <c r="B262" s="2200" t="s">
        <v>11240</v>
      </c>
      <c r="C262" s="2200" t="s">
        <v>11241</v>
      </c>
      <c r="D262" s="2200" t="str">
        <f t="shared" si="16"/>
        <v>CA</v>
      </c>
      <c r="E262" s="2200">
        <f t="shared" si="17"/>
        <v>12</v>
      </c>
      <c r="F262" s="2200" t="str">
        <f t="shared" si="18"/>
        <v>06</v>
      </c>
      <c r="G262" s="2200" t="str">
        <f t="shared" si="19"/>
        <v>56700</v>
      </c>
      <c r="H262" s="2200">
        <f>--SUBTOTAL(3,C$2:C262)</f>
        <v>0</v>
      </c>
    </row>
    <row r="263" spans="1:8" hidden="1" x14ac:dyDescent="0.15">
      <c r="A263" s="2200" t="s">
        <v>10723</v>
      </c>
      <c r="B263" s="2200" t="s">
        <v>11242</v>
      </c>
      <c r="C263" s="2200" t="s">
        <v>11243</v>
      </c>
      <c r="D263" s="2200" t="str">
        <f t="shared" si="16"/>
        <v>CA</v>
      </c>
      <c r="E263" s="2200">
        <f t="shared" si="17"/>
        <v>14</v>
      </c>
      <c r="F263" s="2200" t="str">
        <f t="shared" si="18"/>
        <v>06</v>
      </c>
      <c r="G263" s="2200" t="str">
        <f t="shared" si="19"/>
        <v>56784</v>
      </c>
      <c r="H263" s="2200">
        <f>--SUBTOTAL(3,C$2:C263)</f>
        <v>0</v>
      </c>
    </row>
    <row r="264" spans="1:8" hidden="1" x14ac:dyDescent="0.15">
      <c r="A264" s="2200" t="s">
        <v>10723</v>
      </c>
      <c r="B264" s="2200" t="s">
        <v>11244</v>
      </c>
      <c r="C264" s="2200" t="s">
        <v>11245</v>
      </c>
      <c r="D264" s="2200" t="str">
        <f t="shared" si="16"/>
        <v>CA</v>
      </c>
      <c r="E264" s="2200">
        <f t="shared" si="17"/>
        <v>17</v>
      </c>
      <c r="F264" s="2200" t="str">
        <f t="shared" si="18"/>
        <v>06</v>
      </c>
      <c r="G264" s="2200" t="str">
        <f t="shared" si="19"/>
        <v>56924</v>
      </c>
      <c r="H264" s="2200">
        <f>--SUBTOTAL(3,C$2:C264)</f>
        <v>0</v>
      </c>
    </row>
    <row r="265" spans="1:8" hidden="1" x14ac:dyDescent="0.15">
      <c r="A265" s="2200" t="s">
        <v>10723</v>
      </c>
      <c r="B265" s="2200" t="s">
        <v>11246</v>
      </c>
      <c r="C265" s="2200" t="s">
        <v>11247</v>
      </c>
      <c r="D265" s="2200" t="str">
        <f t="shared" si="16"/>
        <v>CA</v>
      </c>
      <c r="E265" s="2200">
        <f t="shared" si="17"/>
        <v>15</v>
      </c>
      <c r="F265" s="2200" t="str">
        <f t="shared" si="18"/>
        <v>06</v>
      </c>
      <c r="G265" s="2200" t="str">
        <f t="shared" si="19"/>
        <v>57456</v>
      </c>
      <c r="H265" s="2200">
        <f>--SUBTOTAL(3,C$2:C265)</f>
        <v>0</v>
      </c>
    </row>
    <row r="266" spans="1:8" hidden="1" x14ac:dyDescent="0.15">
      <c r="A266" s="2200" t="s">
        <v>10723</v>
      </c>
      <c r="B266" s="2200" t="s">
        <v>11248</v>
      </c>
      <c r="C266" s="2200" t="s">
        <v>11249</v>
      </c>
      <c r="D266" s="2200" t="str">
        <f t="shared" si="16"/>
        <v>CA</v>
      </c>
      <c r="E266" s="2200">
        <f t="shared" si="17"/>
        <v>15</v>
      </c>
      <c r="F266" s="2200" t="str">
        <f t="shared" si="18"/>
        <v>06</v>
      </c>
      <c r="G266" s="2200" t="str">
        <f t="shared" si="19"/>
        <v>57526</v>
      </c>
      <c r="H266" s="2200">
        <f>--SUBTOTAL(3,C$2:C266)</f>
        <v>0</v>
      </c>
    </row>
    <row r="267" spans="1:8" hidden="1" x14ac:dyDescent="0.15">
      <c r="A267" s="2200" t="s">
        <v>10723</v>
      </c>
      <c r="B267" s="2200" t="s">
        <v>11250</v>
      </c>
      <c r="C267" s="2200" t="s">
        <v>11251</v>
      </c>
      <c r="D267" s="2200" t="str">
        <f t="shared" si="16"/>
        <v>CA</v>
      </c>
      <c r="E267" s="2200">
        <f t="shared" si="17"/>
        <v>19</v>
      </c>
      <c r="F267" s="2200" t="str">
        <f t="shared" si="18"/>
        <v>06</v>
      </c>
      <c r="G267" s="2200" t="str">
        <f t="shared" si="19"/>
        <v>57764</v>
      </c>
      <c r="H267" s="2200">
        <f>--SUBTOTAL(3,C$2:C267)</f>
        <v>0</v>
      </c>
    </row>
    <row r="268" spans="1:8" hidden="1" x14ac:dyDescent="0.15">
      <c r="A268" s="2200" t="s">
        <v>10723</v>
      </c>
      <c r="B268" s="2200" t="s">
        <v>11252</v>
      </c>
      <c r="C268" s="2200" t="s">
        <v>11253</v>
      </c>
      <c r="D268" s="2200" t="str">
        <f t="shared" si="16"/>
        <v>CA</v>
      </c>
      <c r="E268" s="2200">
        <f t="shared" si="17"/>
        <v>16</v>
      </c>
      <c r="F268" s="2200" t="str">
        <f t="shared" si="18"/>
        <v>06</v>
      </c>
      <c r="G268" s="2200" t="str">
        <f t="shared" si="19"/>
        <v>57792</v>
      </c>
      <c r="H268" s="2200">
        <f>--SUBTOTAL(3,C$2:C268)</f>
        <v>0</v>
      </c>
    </row>
    <row r="269" spans="1:8" hidden="1" x14ac:dyDescent="0.15">
      <c r="A269" s="2200" t="s">
        <v>10723</v>
      </c>
      <c r="B269" s="2200" t="s">
        <v>11254</v>
      </c>
      <c r="C269" s="2200" t="s">
        <v>11255</v>
      </c>
      <c r="D269" s="2200" t="str">
        <f t="shared" si="16"/>
        <v>CA</v>
      </c>
      <c r="E269" s="2200">
        <f t="shared" si="17"/>
        <v>12</v>
      </c>
      <c r="F269" s="2200" t="str">
        <f t="shared" si="18"/>
        <v>06</v>
      </c>
      <c r="G269" s="2200" t="str">
        <f t="shared" si="19"/>
        <v>58072</v>
      </c>
      <c r="H269" s="2200">
        <f>--SUBTOTAL(3,C$2:C269)</f>
        <v>0</v>
      </c>
    </row>
    <row r="270" spans="1:8" hidden="1" x14ac:dyDescent="0.15">
      <c r="A270" s="2200" t="s">
        <v>10723</v>
      </c>
      <c r="B270" s="2200" t="s">
        <v>11256</v>
      </c>
      <c r="C270" s="2200" t="s">
        <v>11257</v>
      </c>
      <c r="D270" s="2200" t="str">
        <f t="shared" si="16"/>
        <v>CA</v>
      </c>
      <c r="E270" s="2200">
        <f t="shared" si="17"/>
        <v>17</v>
      </c>
      <c r="F270" s="2200" t="str">
        <f t="shared" si="18"/>
        <v>06</v>
      </c>
      <c r="G270" s="2200" t="str">
        <f t="shared" si="19"/>
        <v>58240</v>
      </c>
      <c r="H270" s="2200">
        <f>--SUBTOTAL(3,C$2:C270)</f>
        <v>0</v>
      </c>
    </row>
    <row r="271" spans="1:8" hidden="1" x14ac:dyDescent="0.15">
      <c r="A271" s="2200" t="s">
        <v>10723</v>
      </c>
      <c r="B271" s="2200" t="s">
        <v>11258</v>
      </c>
      <c r="C271" s="2200" t="s">
        <v>11259</v>
      </c>
      <c r="D271" s="2200" t="str">
        <f t="shared" si="16"/>
        <v>CA</v>
      </c>
      <c r="E271" s="2200">
        <f t="shared" si="17"/>
        <v>11</v>
      </c>
      <c r="F271" s="2200" t="str">
        <f t="shared" si="18"/>
        <v>06</v>
      </c>
      <c r="G271" s="2200" t="str">
        <f t="shared" si="19"/>
        <v>58520</v>
      </c>
      <c r="H271" s="2200">
        <f>--SUBTOTAL(3,C$2:C271)</f>
        <v>0</v>
      </c>
    </row>
    <row r="272" spans="1:8" hidden="1" x14ac:dyDescent="0.15">
      <c r="A272" s="2200" t="s">
        <v>10723</v>
      </c>
      <c r="B272" s="2200" t="s">
        <v>11260</v>
      </c>
      <c r="C272" s="2200" t="s">
        <v>11261</v>
      </c>
      <c r="D272" s="2200" t="str">
        <f t="shared" si="16"/>
        <v>CA</v>
      </c>
      <c r="E272" s="2200">
        <f t="shared" si="17"/>
        <v>20</v>
      </c>
      <c r="F272" s="2200" t="str">
        <f t="shared" si="18"/>
        <v>06</v>
      </c>
      <c r="G272" s="2200" t="str">
        <f t="shared" si="19"/>
        <v>59444</v>
      </c>
      <c r="H272" s="2200">
        <f>--SUBTOTAL(3,C$2:C272)</f>
        <v>0</v>
      </c>
    </row>
    <row r="273" spans="1:8" hidden="1" x14ac:dyDescent="0.15">
      <c r="A273" s="2200" t="s">
        <v>10723</v>
      </c>
      <c r="B273" s="2200" t="s">
        <v>11262</v>
      </c>
      <c r="C273" s="2200" t="s">
        <v>11263</v>
      </c>
      <c r="D273" s="2200" t="str">
        <f t="shared" si="16"/>
        <v>CA</v>
      </c>
      <c r="E273" s="2200">
        <f t="shared" si="17"/>
        <v>22</v>
      </c>
      <c r="F273" s="2200" t="str">
        <f t="shared" si="18"/>
        <v>06</v>
      </c>
      <c r="G273" s="2200" t="str">
        <f t="shared" si="19"/>
        <v>59451</v>
      </c>
      <c r="H273" s="2200">
        <f>--SUBTOTAL(3,C$2:C273)</f>
        <v>0</v>
      </c>
    </row>
    <row r="274" spans="1:8" hidden="1" x14ac:dyDescent="0.15">
      <c r="A274" s="2200" t="s">
        <v>10723</v>
      </c>
      <c r="B274" s="2200" t="s">
        <v>11264</v>
      </c>
      <c r="C274" s="2200" t="s">
        <v>11265</v>
      </c>
      <c r="D274" s="2200" t="str">
        <f t="shared" si="16"/>
        <v>CA</v>
      </c>
      <c r="E274" s="2200">
        <f t="shared" si="17"/>
        <v>25</v>
      </c>
      <c r="F274" s="2200" t="str">
        <f t="shared" si="18"/>
        <v>06</v>
      </c>
      <c r="G274" s="2200" t="str">
        <f t="shared" si="19"/>
        <v>59514</v>
      </c>
      <c r="H274" s="2200">
        <f>--SUBTOTAL(3,C$2:C274)</f>
        <v>0</v>
      </c>
    </row>
    <row r="275" spans="1:8" hidden="1" x14ac:dyDescent="0.15">
      <c r="A275" s="2200" t="s">
        <v>10723</v>
      </c>
      <c r="B275" s="2200" t="s">
        <v>11266</v>
      </c>
      <c r="C275" s="2200" t="s">
        <v>11267</v>
      </c>
      <c r="D275" s="2200" t="str">
        <f t="shared" si="16"/>
        <v>CA</v>
      </c>
      <c r="E275" s="2200">
        <f t="shared" si="17"/>
        <v>28</v>
      </c>
      <c r="F275" s="2200" t="str">
        <f t="shared" si="18"/>
        <v>06</v>
      </c>
      <c r="G275" s="2200" t="str">
        <f t="shared" si="19"/>
        <v>59587</v>
      </c>
      <c r="H275" s="2200">
        <f>--SUBTOTAL(3,C$2:C275)</f>
        <v>0</v>
      </c>
    </row>
    <row r="276" spans="1:8" hidden="1" x14ac:dyDescent="0.15">
      <c r="A276" s="2200" t="s">
        <v>10723</v>
      </c>
      <c r="B276" s="2200" t="s">
        <v>11268</v>
      </c>
      <c r="C276" s="2200" t="s">
        <v>11269</v>
      </c>
      <c r="D276" s="2200" t="str">
        <f t="shared" si="16"/>
        <v>CA</v>
      </c>
      <c r="E276" s="2200">
        <f t="shared" si="17"/>
        <v>13</v>
      </c>
      <c r="F276" s="2200" t="str">
        <f t="shared" si="18"/>
        <v>06</v>
      </c>
      <c r="G276" s="2200" t="str">
        <f t="shared" si="19"/>
        <v>59920</v>
      </c>
      <c r="H276" s="2200">
        <f>--SUBTOTAL(3,C$2:C276)</f>
        <v>0</v>
      </c>
    </row>
    <row r="277" spans="1:8" hidden="1" x14ac:dyDescent="0.15">
      <c r="A277" s="2200" t="s">
        <v>10723</v>
      </c>
      <c r="B277" s="2200" t="s">
        <v>11270</v>
      </c>
      <c r="C277" s="2200" t="s">
        <v>11271</v>
      </c>
      <c r="D277" s="2200" t="str">
        <f t="shared" si="16"/>
        <v>CA</v>
      </c>
      <c r="E277" s="2200">
        <f t="shared" si="17"/>
        <v>14</v>
      </c>
      <c r="F277" s="2200" t="str">
        <f t="shared" si="18"/>
        <v>06</v>
      </c>
      <c r="G277" s="2200" t="str">
        <f t="shared" si="19"/>
        <v>59962</v>
      </c>
      <c r="H277" s="2200">
        <f>--SUBTOTAL(3,C$2:C277)</f>
        <v>0</v>
      </c>
    </row>
    <row r="278" spans="1:8" hidden="1" x14ac:dyDescent="0.15">
      <c r="A278" s="2200" t="s">
        <v>10723</v>
      </c>
      <c r="B278" s="2200" t="s">
        <v>11272</v>
      </c>
      <c r="C278" s="2200" t="s">
        <v>11273</v>
      </c>
      <c r="D278" s="2200" t="str">
        <f t="shared" si="16"/>
        <v>CA</v>
      </c>
      <c r="E278" s="2200">
        <f t="shared" si="17"/>
        <v>19</v>
      </c>
      <c r="F278" s="2200" t="str">
        <f t="shared" si="18"/>
        <v>06</v>
      </c>
      <c r="G278" s="2200" t="str">
        <f t="shared" si="19"/>
        <v>60018</v>
      </c>
      <c r="H278" s="2200">
        <f>--SUBTOTAL(3,C$2:C278)</f>
        <v>0</v>
      </c>
    </row>
    <row r="279" spans="1:8" hidden="1" x14ac:dyDescent="0.15">
      <c r="A279" s="2200" t="s">
        <v>10723</v>
      </c>
      <c r="B279" s="2200" t="s">
        <v>11274</v>
      </c>
      <c r="C279" s="2200" t="s">
        <v>11275</v>
      </c>
      <c r="D279" s="2200" t="str">
        <f t="shared" si="16"/>
        <v>CA</v>
      </c>
      <c r="E279" s="2200">
        <f t="shared" si="17"/>
        <v>18</v>
      </c>
      <c r="F279" s="2200" t="str">
        <f t="shared" si="18"/>
        <v>06</v>
      </c>
      <c r="G279" s="2200" t="str">
        <f t="shared" si="19"/>
        <v>60102</v>
      </c>
      <c r="H279" s="2200">
        <f>--SUBTOTAL(3,C$2:C279)</f>
        <v>0</v>
      </c>
    </row>
    <row r="280" spans="1:8" hidden="1" x14ac:dyDescent="0.15">
      <c r="A280" s="2200" t="s">
        <v>10723</v>
      </c>
      <c r="B280" s="2200" t="s">
        <v>11276</v>
      </c>
      <c r="C280" s="2200" t="s">
        <v>11277</v>
      </c>
      <c r="D280" s="2200" t="str">
        <f t="shared" si="16"/>
        <v>CA</v>
      </c>
      <c r="E280" s="2200">
        <f t="shared" si="17"/>
        <v>13</v>
      </c>
      <c r="F280" s="2200" t="str">
        <f t="shared" si="18"/>
        <v>06</v>
      </c>
      <c r="G280" s="2200" t="str">
        <f t="shared" si="19"/>
        <v>60242</v>
      </c>
      <c r="H280" s="2200">
        <f>--SUBTOTAL(3,C$2:C280)</f>
        <v>0</v>
      </c>
    </row>
    <row r="281" spans="1:8" hidden="1" x14ac:dyDescent="0.15">
      <c r="A281" s="2200" t="s">
        <v>10723</v>
      </c>
      <c r="B281" s="2200" t="s">
        <v>11278</v>
      </c>
      <c r="C281" s="2200" t="s">
        <v>11279</v>
      </c>
      <c r="D281" s="2200" t="str">
        <f t="shared" si="16"/>
        <v>CA</v>
      </c>
      <c r="E281" s="2200">
        <f t="shared" si="17"/>
        <v>12</v>
      </c>
      <c r="F281" s="2200" t="str">
        <f t="shared" si="18"/>
        <v>06</v>
      </c>
      <c r="G281" s="2200" t="str">
        <f t="shared" si="19"/>
        <v>60466</v>
      </c>
      <c r="H281" s="2200">
        <f>--SUBTOTAL(3,C$2:C281)</f>
        <v>0</v>
      </c>
    </row>
    <row r="282" spans="1:8" hidden="1" x14ac:dyDescent="0.15">
      <c r="A282" s="2200" t="s">
        <v>10723</v>
      </c>
      <c r="B282" s="2200" t="s">
        <v>11280</v>
      </c>
      <c r="C282" s="2200" t="s">
        <v>11281</v>
      </c>
      <c r="D282" s="2200" t="str">
        <f t="shared" si="16"/>
        <v>CA</v>
      </c>
      <c r="E282" s="2200">
        <f t="shared" si="17"/>
        <v>14</v>
      </c>
      <c r="F282" s="2200" t="str">
        <f t="shared" si="18"/>
        <v>06</v>
      </c>
      <c r="G282" s="2200" t="str">
        <f t="shared" si="19"/>
        <v>60620</v>
      </c>
      <c r="H282" s="2200">
        <f>--SUBTOTAL(3,C$2:C282)</f>
        <v>0</v>
      </c>
    </row>
    <row r="283" spans="1:8" hidden="1" x14ac:dyDescent="0.15">
      <c r="A283" s="2200" t="s">
        <v>10723</v>
      </c>
      <c r="B283" s="2200" t="s">
        <v>11282</v>
      </c>
      <c r="C283" s="2200" t="s">
        <v>11283</v>
      </c>
      <c r="D283" s="2200" t="str">
        <f t="shared" si="16"/>
        <v>CA</v>
      </c>
      <c r="E283" s="2200">
        <f t="shared" si="17"/>
        <v>16</v>
      </c>
      <c r="F283" s="2200" t="str">
        <f t="shared" si="18"/>
        <v>06</v>
      </c>
      <c r="G283" s="2200" t="str">
        <f t="shared" si="19"/>
        <v>60704</v>
      </c>
      <c r="H283" s="2200">
        <f>--SUBTOTAL(3,C$2:C283)</f>
        <v>0</v>
      </c>
    </row>
    <row r="284" spans="1:8" hidden="1" x14ac:dyDescent="0.15">
      <c r="A284" s="2200" t="s">
        <v>10723</v>
      </c>
      <c r="B284" s="2200" t="s">
        <v>11284</v>
      </c>
      <c r="C284" s="2200" t="s">
        <v>11285</v>
      </c>
      <c r="D284" s="2200" t="str">
        <f t="shared" si="16"/>
        <v>CA</v>
      </c>
      <c r="E284" s="2200">
        <f t="shared" si="17"/>
        <v>15</v>
      </c>
      <c r="F284" s="2200" t="str">
        <f t="shared" si="18"/>
        <v>06</v>
      </c>
      <c r="G284" s="2200" t="str">
        <f t="shared" si="19"/>
        <v>62000</v>
      </c>
      <c r="H284" s="2200">
        <f>--SUBTOTAL(3,C$2:C284)</f>
        <v>0</v>
      </c>
    </row>
    <row r="285" spans="1:8" hidden="1" x14ac:dyDescent="0.15">
      <c r="A285" s="2200" t="s">
        <v>10723</v>
      </c>
      <c r="B285" s="2200" t="s">
        <v>11286</v>
      </c>
      <c r="C285" s="2200" t="s">
        <v>11287</v>
      </c>
      <c r="D285" s="2200" t="str">
        <f t="shared" si="16"/>
        <v>CA</v>
      </c>
      <c r="E285" s="2200">
        <f t="shared" si="17"/>
        <v>13</v>
      </c>
      <c r="F285" s="2200" t="str">
        <f t="shared" si="18"/>
        <v>06</v>
      </c>
      <c r="G285" s="2200" t="str">
        <f t="shared" si="19"/>
        <v>62364</v>
      </c>
      <c r="H285" s="2200">
        <f>--SUBTOTAL(3,C$2:C285)</f>
        <v>0</v>
      </c>
    </row>
    <row r="286" spans="1:8" hidden="1" x14ac:dyDescent="0.15">
      <c r="A286" s="2200" t="s">
        <v>10723</v>
      </c>
      <c r="B286" s="2200" t="s">
        <v>11288</v>
      </c>
      <c r="C286" s="2200" t="s">
        <v>11289</v>
      </c>
      <c r="D286" s="2200" t="str">
        <f t="shared" si="16"/>
        <v>CA</v>
      </c>
      <c r="E286" s="2200">
        <f t="shared" si="17"/>
        <v>18</v>
      </c>
      <c r="F286" s="2200" t="str">
        <f t="shared" si="18"/>
        <v>06</v>
      </c>
      <c r="G286" s="2200" t="str">
        <f t="shared" si="19"/>
        <v>62546</v>
      </c>
      <c r="H286" s="2200">
        <f>--SUBTOTAL(3,C$2:C286)</f>
        <v>0</v>
      </c>
    </row>
    <row r="287" spans="1:8" hidden="1" x14ac:dyDescent="0.15">
      <c r="A287" s="2200" t="s">
        <v>10723</v>
      </c>
      <c r="B287" s="2200" t="s">
        <v>11290</v>
      </c>
      <c r="C287" s="2200" t="s">
        <v>11291</v>
      </c>
      <c r="D287" s="2200" t="str">
        <f t="shared" si="16"/>
        <v>CA</v>
      </c>
      <c r="E287" s="2200">
        <f t="shared" si="17"/>
        <v>14</v>
      </c>
      <c r="F287" s="2200" t="str">
        <f t="shared" si="18"/>
        <v>06</v>
      </c>
      <c r="G287" s="2200" t="str">
        <f t="shared" si="19"/>
        <v>62896</v>
      </c>
      <c r="H287" s="2200">
        <f>--SUBTOTAL(3,C$2:C287)</f>
        <v>0</v>
      </c>
    </row>
    <row r="288" spans="1:8" hidden="1" x14ac:dyDescent="0.15">
      <c r="A288" s="2200" t="s">
        <v>10723</v>
      </c>
      <c r="B288" s="2200" t="s">
        <v>11292</v>
      </c>
      <c r="C288" s="2200" t="s">
        <v>11293</v>
      </c>
      <c r="D288" s="2200" t="str">
        <f t="shared" si="16"/>
        <v>CA</v>
      </c>
      <c r="E288" s="2200">
        <f t="shared" si="17"/>
        <v>15</v>
      </c>
      <c r="F288" s="2200" t="str">
        <f t="shared" si="18"/>
        <v>06</v>
      </c>
      <c r="G288" s="2200" t="str">
        <f t="shared" si="19"/>
        <v>62938</v>
      </c>
      <c r="H288" s="2200">
        <f>--SUBTOTAL(3,C$2:C288)</f>
        <v>0</v>
      </c>
    </row>
    <row r="289" spans="1:8" hidden="1" x14ac:dyDescent="0.15">
      <c r="A289" s="2200" t="s">
        <v>10723</v>
      </c>
      <c r="B289" s="2200" t="s">
        <v>11294</v>
      </c>
      <c r="C289" s="2200" t="s">
        <v>11295</v>
      </c>
      <c r="D289" s="2200" t="str">
        <f t="shared" si="16"/>
        <v>CA</v>
      </c>
      <c r="E289" s="2200">
        <f t="shared" si="17"/>
        <v>16</v>
      </c>
      <c r="F289" s="2200" t="str">
        <f t="shared" si="18"/>
        <v>06</v>
      </c>
      <c r="G289" s="2200" t="str">
        <f t="shared" si="19"/>
        <v>64000</v>
      </c>
      <c r="H289" s="2200">
        <f>--SUBTOTAL(3,C$2:C289)</f>
        <v>0</v>
      </c>
    </row>
    <row r="290" spans="1:8" hidden="1" x14ac:dyDescent="0.15">
      <c r="A290" s="2200" t="s">
        <v>10723</v>
      </c>
      <c r="B290" s="2200" t="s">
        <v>11296</v>
      </c>
      <c r="C290" s="2200" t="s">
        <v>11297</v>
      </c>
      <c r="D290" s="2200" t="str">
        <f t="shared" si="16"/>
        <v>CA</v>
      </c>
      <c r="E290" s="2200">
        <f t="shared" si="17"/>
        <v>13</v>
      </c>
      <c r="F290" s="2200" t="str">
        <f t="shared" si="18"/>
        <v>06</v>
      </c>
      <c r="G290" s="2200" t="str">
        <f t="shared" si="19"/>
        <v>64224</v>
      </c>
      <c r="H290" s="2200">
        <f>--SUBTOTAL(3,C$2:C290)</f>
        <v>0</v>
      </c>
    </row>
    <row r="291" spans="1:8" hidden="1" x14ac:dyDescent="0.15">
      <c r="A291" s="2200" t="s">
        <v>10723</v>
      </c>
      <c r="B291" s="2200" t="s">
        <v>11298</v>
      </c>
      <c r="C291" s="2200" t="s">
        <v>11299</v>
      </c>
      <c r="D291" s="2200" t="str">
        <f t="shared" si="16"/>
        <v>CA</v>
      </c>
      <c r="E291" s="2200">
        <f t="shared" si="17"/>
        <v>20</v>
      </c>
      <c r="F291" s="2200" t="str">
        <f t="shared" si="18"/>
        <v>06</v>
      </c>
      <c r="G291" s="2200" t="str">
        <f t="shared" si="19"/>
        <v>65000</v>
      </c>
      <c r="H291" s="2200">
        <f>--SUBTOTAL(3,C$2:C291)</f>
        <v>0</v>
      </c>
    </row>
    <row r="292" spans="1:8" hidden="1" x14ac:dyDescent="0.15">
      <c r="A292" s="2200" t="s">
        <v>10723</v>
      </c>
      <c r="B292" s="2200" t="s">
        <v>11300</v>
      </c>
      <c r="C292" s="2200" t="s">
        <v>11301</v>
      </c>
      <c r="D292" s="2200" t="str">
        <f t="shared" si="16"/>
        <v>CA</v>
      </c>
      <c r="E292" s="2200">
        <f t="shared" si="17"/>
        <v>15</v>
      </c>
      <c r="F292" s="2200" t="str">
        <f t="shared" si="18"/>
        <v>06</v>
      </c>
      <c r="G292" s="2200" t="str">
        <f t="shared" si="19"/>
        <v>65028</v>
      </c>
      <c r="H292" s="2200">
        <f>--SUBTOTAL(3,C$2:C292)</f>
        <v>0</v>
      </c>
    </row>
    <row r="293" spans="1:8" hidden="1" x14ac:dyDescent="0.15">
      <c r="A293" s="2200" t="s">
        <v>10723</v>
      </c>
      <c r="B293" s="2200" t="s">
        <v>11302</v>
      </c>
      <c r="C293" s="2200" t="s">
        <v>11303</v>
      </c>
      <c r="D293" s="2200" t="str">
        <f t="shared" si="16"/>
        <v>CA</v>
      </c>
      <c r="E293" s="2200">
        <f t="shared" si="17"/>
        <v>32</v>
      </c>
      <c r="F293" s="2200" t="str">
        <f t="shared" si="18"/>
        <v>06</v>
      </c>
      <c r="G293" s="2200" t="str">
        <f t="shared" si="19"/>
        <v>65042</v>
      </c>
      <c r="H293" s="2200">
        <f>--SUBTOTAL(3,C$2:C293)</f>
        <v>0</v>
      </c>
    </row>
    <row r="294" spans="1:8" hidden="1" x14ac:dyDescent="0.15">
      <c r="A294" s="2200" t="s">
        <v>10723</v>
      </c>
      <c r="B294" s="2200" t="s">
        <v>11304</v>
      </c>
      <c r="C294" s="2200" t="s">
        <v>11305</v>
      </c>
      <c r="D294" s="2200" t="str">
        <f t="shared" si="16"/>
        <v>CA</v>
      </c>
      <c r="E294" s="2200">
        <f t="shared" si="17"/>
        <v>16</v>
      </c>
      <c r="F294" s="2200" t="str">
        <f t="shared" si="18"/>
        <v>06</v>
      </c>
      <c r="G294" s="2200" t="str">
        <f t="shared" si="19"/>
        <v>65070</v>
      </c>
      <c r="H294" s="2200">
        <f>--SUBTOTAL(3,C$2:C294)</f>
        <v>0</v>
      </c>
    </row>
    <row r="295" spans="1:8" hidden="1" x14ac:dyDescent="0.15">
      <c r="A295" s="2200" t="s">
        <v>10723</v>
      </c>
      <c r="B295" s="2200" t="s">
        <v>11306</v>
      </c>
      <c r="C295" s="2200" t="s">
        <v>11307</v>
      </c>
      <c r="D295" s="2200" t="str">
        <f t="shared" si="16"/>
        <v>CA</v>
      </c>
      <c r="E295" s="2200">
        <f t="shared" si="17"/>
        <v>18</v>
      </c>
      <c r="F295" s="2200" t="str">
        <f t="shared" si="18"/>
        <v>06</v>
      </c>
      <c r="G295" s="2200" t="str">
        <f t="shared" si="19"/>
        <v>65084</v>
      </c>
      <c r="H295" s="2200">
        <f>--SUBTOTAL(3,C$2:C295)</f>
        <v>0</v>
      </c>
    </row>
    <row r="296" spans="1:8" hidden="1" x14ac:dyDescent="0.15">
      <c r="A296" s="2200" t="s">
        <v>10723</v>
      </c>
      <c r="B296" s="2200" t="s">
        <v>11308</v>
      </c>
      <c r="C296" s="2200" t="s">
        <v>11309</v>
      </c>
      <c r="D296" s="2200" t="str">
        <f t="shared" si="16"/>
        <v>CA</v>
      </c>
      <c r="E296" s="2200">
        <f t="shared" si="17"/>
        <v>15</v>
      </c>
      <c r="F296" s="2200" t="str">
        <f t="shared" si="18"/>
        <v>06</v>
      </c>
      <c r="G296" s="2200" t="str">
        <f t="shared" si="19"/>
        <v>66000</v>
      </c>
      <c r="H296" s="2200">
        <f>--SUBTOTAL(3,C$2:C296)</f>
        <v>0</v>
      </c>
    </row>
    <row r="297" spans="1:8" hidden="1" x14ac:dyDescent="0.15">
      <c r="A297" s="2200" t="s">
        <v>10723</v>
      </c>
      <c r="B297" s="2200" t="s">
        <v>11310</v>
      </c>
      <c r="C297" s="2200" t="s">
        <v>11311</v>
      </c>
      <c r="D297" s="2200" t="str">
        <f t="shared" si="16"/>
        <v>CA</v>
      </c>
      <c r="E297" s="2200">
        <f t="shared" si="17"/>
        <v>15</v>
      </c>
      <c r="F297" s="2200" t="str">
        <f t="shared" si="18"/>
        <v>06</v>
      </c>
      <c r="G297" s="2200" t="str">
        <f t="shared" si="19"/>
        <v>66070</v>
      </c>
      <c r="H297" s="2200">
        <f>--SUBTOTAL(3,C$2:C297)</f>
        <v>0</v>
      </c>
    </row>
    <row r="298" spans="1:8" hidden="1" x14ac:dyDescent="0.15">
      <c r="A298" s="2200" t="s">
        <v>10723</v>
      </c>
      <c r="B298" s="2200" t="s">
        <v>11312</v>
      </c>
      <c r="C298" s="2200" t="s">
        <v>4734</v>
      </c>
      <c r="D298" s="2200" t="str">
        <f t="shared" si="16"/>
        <v>CA</v>
      </c>
      <c r="E298" s="2200">
        <f t="shared" si="17"/>
        <v>26</v>
      </c>
      <c r="F298" s="2200" t="str">
        <f t="shared" si="18"/>
        <v>06</v>
      </c>
      <c r="G298" s="2200" t="str">
        <f t="shared" si="19"/>
        <v>67000</v>
      </c>
      <c r="H298" s="2200">
        <f>--SUBTOTAL(3,C$2:C298)</f>
        <v>0</v>
      </c>
    </row>
    <row r="299" spans="1:8" hidden="1" x14ac:dyDescent="0.15">
      <c r="A299" s="2200" t="s">
        <v>10723</v>
      </c>
      <c r="B299" s="2200" t="s">
        <v>11313</v>
      </c>
      <c r="C299" s="2200" t="s">
        <v>11314</v>
      </c>
      <c r="D299" s="2200" t="str">
        <f t="shared" si="16"/>
        <v>CA</v>
      </c>
      <c r="E299" s="2200">
        <f t="shared" si="17"/>
        <v>17</v>
      </c>
      <c r="F299" s="2200" t="str">
        <f t="shared" si="18"/>
        <v>06</v>
      </c>
      <c r="G299" s="2200" t="str">
        <f t="shared" si="19"/>
        <v>67042</v>
      </c>
      <c r="H299" s="2200">
        <f>--SUBTOTAL(3,C$2:C299)</f>
        <v>0</v>
      </c>
    </row>
    <row r="300" spans="1:8" hidden="1" x14ac:dyDescent="0.15">
      <c r="A300" s="2200" t="s">
        <v>10723</v>
      </c>
      <c r="B300" s="2200" t="s">
        <v>11315</v>
      </c>
      <c r="C300" s="2200" t="s">
        <v>11316</v>
      </c>
      <c r="D300" s="2200" t="str">
        <f t="shared" si="16"/>
        <v>CA</v>
      </c>
      <c r="E300" s="2200">
        <f t="shared" si="17"/>
        <v>17</v>
      </c>
      <c r="F300" s="2200" t="str">
        <f t="shared" si="18"/>
        <v>06</v>
      </c>
      <c r="G300" s="2200" t="str">
        <f t="shared" si="19"/>
        <v>67112</v>
      </c>
      <c r="H300" s="2200">
        <f>--SUBTOTAL(3,C$2:C300)</f>
        <v>0</v>
      </c>
    </row>
    <row r="301" spans="1:8" hidden="1" x14ac:dyDescent="0.15">
      <c r="A301" s="2200" t="s">
        <v>10723</v>
      </c>
      <c r="B301" s="2200" t="s">
        <v>11317</v>
      </c>
      <c r="C301" s="2200" t="s">
        <v>11318</v>
      </c>
      <c r="D301" s="2200" t="str">
        <f t="shared" si="16"/>
        <v>CA</v>
      </c>
      <c r="E301" s="2200">
        <f t="shared" si="17"/>
        <v>14</v>
      </c>
      <c r="F301" s="2200" t="str">
        <f t="shared" si="18"/>
        <v>06</v>
      </c>
      <c r="G301" s="2200" t="str">
        <f t="shared" si="19"/>
        <v>68000</v>
      </c>
      <c r="H301" s="2200">
        <f>--SUBTOTAL(3,C$2:C301)</f>
        <v>0</v>
      </c>
    </row>
    <row r="302" spans="1:8" hidden="1" x14ac:dyDescent="0.15">
      <c r="A302" s="2200" t="s">
        <v>10723</v>
      </c>
      <c r="B302" s="2200" t="s">
        <v>11319</v>
      </c>
      <c r="C302" s="2200" t="s">
        <v>11320</v>
      </c>
      <c r="D302" s="2200" t="str">
        <f t="shared" si="16"/>
        <v>CA</v>
      </c>
      <c r="E302" s="2200">
        <f t="shared" si="17"/>
        <v>25</v>
      </c>
      <c r="F302" s="2200" t="str">
        <f t="shared" si="18"/>
        <v>06</v>
      </c>
      <c r="G302" s="2200" t="str">
        <f t="shared" si="19"/>
        <v>68028</v>
      </c>
      <c r="H302" s="2200">
        <f>--SUBTOTAL(3,C$2:C302)</f>
        <v>0</v>
      </c>
    </row>
    <row r="303" spans="1:8" hidden="1" x14ac:dyDescent="0.15">
      <c r="A303" s="2200" t="s">
        <v>10723</v>
      </c>
      <c r="B303" s="2200" t="s">
        <v>11321</v>
      </c>
      <c r="C303" s="2200" t="s">
        <v>11322</v>
      </c>
      <c r="D303" s="2200" t="str">
        <f t="shared" si="16"/>
        <v>CA</v>
      </c>
      <c r="E303" s="2200">
        <f t="shared" si="17"/>
        <v>17</v>
      </c>
      <c r="F303" s="2200" t="str">
        <f t="shared" si="18"/>
        <v>06</v>
      </c>
      <c r="G303" s="2200" t="str">
        <f t="shared" si="19"/>
        <v>68084</v>
      </c>
      <c r="H303" s="2200">
        <f>--SUBTOTAL(3,C$2:C303)</f>
        <v>0</v>
      </c>
    </row>
    <row r="304" spans="1:8" hidden="1" x14ac:dyDescent="0.15">
      <c r="A304" s="2200" t="s">
        <v>10723</v>
      </c>
      <c r="B304" s="2200" t="s">
        <v>11323</v>
      </c>
      <c r="C304" s="2200" t="s">
        <v>11324</v>
      </c>
      <c r="D304" s="2200" t="str">
        <f t="shared" si="16"/>
        <v>CA</v>
      </c>
      <c r="E304" s="2200">
        <f t="shared" si="17"/>
        <v>21</v>
      </c>
      <c r="F304" s="2200" t="str">
        <f t="shared" si="18"/>
        <v>06</v>
      </c>
      <c r="G304" s="2200" t="str">
        <f t="shared" si="19"/>
        <v>68154</v>
      </c>
      <c r="H304" s="2200">
        <f>--SUBTOTAL(3,C$2:C304)</f>
        <v>0</v>
      </c>
    </row>
    <row r="305" spans="1:8" hidden="1" x14ac:dyDescent="0.15">
      <c r="A305" s="2200" t="s">
        <v>10723</v>
      </c>
      <c r="B305" s="2200" t="s">
        <v>11325</v>
      </c>
      <c r="C305" s="2200" t="s">
        <v>11326</v>
      </c>
      <c r="D305" s="2200" t="str">
        <f t="shared" si="16"/>
        <v>CA</v>
      </c>
      <c r="E305" s="2200">
        <f t="shared" si="17"/>
        <v>16</v>
      </c>
      <c r="F305" s="2200" t="str">
        <f t="shared" si="18"/>
        <v>06</v>
      </c>
      <c r="G305" s="2200" t="str">
        <f t="shared" si="19"/>
        <v>68196</v>
      </c>
      <c r="H305" s="2200">
        <f>--SUBTOTAL(3,C$2:C305)</f>
        <v>0</v>
      </c>
    </row>
    <row r="306" spans="1:8" hidden="1" x14ac:dyDescent="0.15">
      <c r="A306" s="2200" t="s">
        <v>10723</v>
      </c>
      <c r="B306" s="2200" t="s">
        <v>11327</v>
      </c>
      <c r="C306" s="2200" t="s">
        <v>11328</v>
      </c>
      <c r="D306" s="2200" t="str">
        <f t="shared" si="16"/>
        <v>CA</v>
      </c>
      <c r="E306" s="2200">
        <f t="shared" si="17"/>
        <v>15</v>
      </c>
      <c r="F306" s="2200" t="str">
        <f t="shared" si="18"/>
        <v>06</v>
      </c>
      <c r="G306" s="2200" t="str">
        <f t="shared" si="19"/>
        <v>68252</v>
      </c>
      <c r="H306" s="2200">
        <f>--SUBTOTAL(3,C$2:C306)</f>
        <v>0</v>
      </c>
    </row>
    <row r="307" spans="1:8" hidden="1" x14ac:dyDescent="0.15">
      <c r="A307" s="2200" t="s">
        <v>10723</v>
      </c>
      <c r="B307" s="2200" t="s">
        <v>11329</v>
      </c>
      <c r="C307" s="2200" t="s">
        <v>11330</v>
      </c>
      <c r="D307" s="2200" t="str">
        <f t="shared" si="16"/>
        <v>CA</v>
      </c>
      <c r="E307" s="2200">
        <f t="shared" si="17"/>
        <v>15</v>
      </c>
      <c r="F307" s="2200" t="str">
        <f t="shared" si="18"/>
        <v>06</v>
      </c>
      <c r="G307" s="2200" t="str">
        <f t="shared" si="19"/>
        <v>68294</v>
      </c>
      <c r="H307" s="2200">
        <f>--SUBTOTAL(3,C$2:C307)</f>
        <v>0</v>
      </c>
    </row>
    <row r="308" spans="1:8" hidden="1" x14ac:dyDescent="0.15">
      <c r="A308" s="2200" t="s">
        <v>10723</v>
      </c>
      <c r="B308" s="2200" t="s">
        <v>11331</v>
      </c>
      <c r="C308" s="2200" t="s">
        <v>11332</v>
      </c>
      <c r="D308" s="2200" t="str">
        <f t="shared" si="16"/>
        <v>CA</v>
      </c>
      <c r="E308" s="2200">
        <f t="shared" si="17"/>
        <v>16</v>
      </c>
      <c r="F308" s="2200" t="str">
        <f t="shared" si="18"/>
        <v>06</v>
      </c>
      <c r="G308" s="2200" t="str">
        <f t="shared" si="19"/>
        <v>68364</v>
      </c>
      <c r="H308" s="2200">
        <f>--SUBTOTAL(3,C$2:C308)</f>
        <v>0</v>
      </c>
    </row>
    <row r="309" spans="1:8" hidden="1" x14ac:dyDescent="0.15">
      <c r="A309" s="2200" t="s">
        <v>10723</v>
      </c>
      <c r="B309" s="2200" t="s">
        <v>11333</v>
      </c>
      <c r="C309" s="2200" t="s">
        <v>11334</v>
      </c>
      <c r="D309" s="2200" t="str">
        <f t="shared" si="16"/>
        <v>CA</v>
      </c>
      <c r="E309" s="2200">
        <f t="shared" si="17"/>
        <v>15</v>
      </c>
      <c r="F309" s="2200" t="str">
        <f t="shared" si="18"/>
        <v>06</v>
      </c>
      <c r="G309" s="2200" t="str">
        <f t="shared" si="19"/>
        <v>68378</v>
      </c>
      <c r="H309" s="2200">
        <f>--SUBTOTAL(3,C$2:C309)</f>
        <v>0</v>
      </c>
    </row>
    <row r="310" spans="1:8" hidden="1" x14ac:dyDescent="0.15">
      <c r="A310" s="2200" t="s">
        <v>10723</v>
      </c>
      <c r="B310" s="2200" t="s">
        <v>11335</v>
      </c>
      <c r="C310" s="2200" t="s">
        <v>11336</v>
      </c>
      <c r="D310" s="2200" t="str">
        <f t="shared" si="16"/>
        <v>CA</v>
      </c>
      <c r="E310" s="2200">
        <f t="shared" si="17"/>
        <v>12</v>
      </c>
      <c r="F310" s="2200" t="str">
        <f t="shared" si="18"/>
        <v>06</v>
      </c>
      <c r="G310" s="2200" t="str">
        <f t="shared" si="19"/>
        <v>67056</v>
      </c>
      <c r="H310" s="2200">
        <f>--SUBTOTAL(3,C$2:C310)</f>
        <v>0</v>
      </c>
    </row>
    <row r="311" spans="1:8" hidden="1" x14ac:dyDescent="0.15">
      <c r="A311" s="2200" t="s">
        <v>10723</v>
      </c>
      <c r="B311" s="2200" t="s">
        <v>11337</v>
      </c>
      <c r="C311" s="2200" t="s">
        <v>11338</v>
      </c>
      <c r="D311" s="2200" t="str">
        <f t="shared" si="16"/>
        <v>CA</v>
      </c>
      <c r="E311" s="2200">
        <f t="shared" si="17"/>
        <v>15</v>
      </c>
      <c r="F311" s="2200" t="str">
        <f t="shared" si="18"/>
        <v>06</v>
      </c>
      <c r="G311" s="2200" t="str">
        <f t="shared" si="19"/>
        <v>69000</v>
      </c>
      <c r="H311" s="2200">
        <f>--SUBTOTAL(3,C$2:C311)</f>
        <v>0</v>
      </c>
    </row>
    <row r="312" spans="1:8" hidden="1" x14ac:dyDescent="0.15">
      <c r="A312" s="2200" t="s">
        <v>10723</v>
      </c>
      <c r="B312" s="2200" t="s">
        <v>11339</v>
      </c>
      <c r="C312" s="2200" t="s">
        <v>11340</v>
      </c>
      <c r="D312" s="2200" t="str">
        <f t="shared" si="16"/>
        <v>CA</v>
      </c>
      <c r="E312" s="2200">
        <f t="shared" si="17"/>
        <v>19</v>
      </c>
      <c r="F312" s="2200" t="str">
        <f t="shared" si="18"/>
        <v>06</v>
      </c>
      <c r="G312" s="2200" t="str">
        <f t="shared" si="19"/>
        <v>69070</v>
      </c>
      <c r="H312" s="2200">
        <f>--SUBTOTAL(3,C$2:C312)</f>
        <v>0</v>
      </c>
    </row>
    <row r="313" spans="1:8" hidden="1" x14ac:dyDescent="0.15">
      <c r="A313" s="2200" t="s">
        <v>10723</v>
      </c>
      <c r="B313" s="2200" t="s">
        <v>11341</v>
      </c>
      <c r="C313" s="2200" t="s">
        <v>11342</v>
      </c>
      <c r="D313" s="2200" t="str">
        <f t="shared" si="16"/>
        <v>CA</v>
      </c>
      <c r="E313" s="2200">
        <f t="shared" si="17"/>
        <v>17</v>
      </c>
      <c r="F313" s="2200" t="str">
        <f t="shared" si="18"/>
        <v>06</v>
      </c>
      <c r="G313" s="2200" t="str">
        <f t="shared" si="19"/>
        <v>69084</v>
      </c>
      <c r="H313" s="2200">
        <f>--SUBTOTAL(3,C$2:C313)</f>
        <v>0</v>
      </c>
    </row>
    <row r="314" spans="1:8" hidden="1" x14ac:dyDescent="0.15">
      <c r="A314" s="2200" t="s">
        <v>10723</v>
      </c>
      <c r="B314" s="2200" t="s">
        <v>11343</v>
      </c>
      <c r="C314" s="2200" t="s">
        <v>11344</v>
      </c>
      <c r="D314" s="2200" t="str">
        <f t="shared" si="16"/>
        <v>CA</v>
      </c>
      <c r="E314" s="2200">
        <f t="shared" si="17"/>
        <v>19</v>
      </c>
      <c r="F314" s="2200" t="str">
        <f t="shared" si="18"/>
        <v>06</v>
      </c>
      <c r="G314" s="2200" t="str">
        <f t="shared" si="19"/>
        <v>69088</v>
      </c>
      <c r="H314" s="2200">
        <f>--SUBTOTAL(3,C$2:C314)</f>
        <v>0</v>
      </c>
    </row>
    <row r="315" spans="1:8" hidden="1" x14ac:dyDescent="0.15">
      <c r="A315" s="2200" t="s">
        <v>10723</v>
      </c>
      <c r="B315" s="2200" t="s">
        <v>11345</v>
      </c>
      <c r="C315" s="2200" t="s">
        <v>11346</v>
      </c>
      <c r="D315" s="2200" t="str">
        <f t="shared" si="16"/>
        <v>CA</v>
      </c>
      <c r="E315" s="2200">
        <f t="shared" si="17"/>
        <v>16</v>
      </c>
      <c r="F315" s="2200" t="str">
        <f t="shared" si="18"/>
        <v>06</v>
      </c>
      <c r="G315" s="2200" t="str">
        <f t="shared" si="19"/>
        <v>69112</v>
      </c>
      <c r="H315" s="2200">
        <f>--SUBTOTAL(3,C$2:C315)</f>
        <v>0</v>
      </c>
    </row>
    <row r="316" spans="1:8" hidden="1" x14ac:dyDescent="0.15">
      <c r="A316" s="2200" t="s">
        <v>10723</v>
      </c>
      <c r="B316" s="2200" t="s">
        <v>11347</v>
      </c>
      <c r="C316" s="2200" t="s">
        <v>11348</v>
      </c>
      <c r="D316" s="2200" t="str">
        <f t="shared" si="16"/>
        <v>CA</v>
      </c>
      <c r="E316" s="2200">
        <f t="shared" si="17"/>
        <v>17</v>
      </c>
      <c r="F316" s="2200" t="str">
        <f t="shared" si="18"/>
        <v>06</v>
      </c>
      <c r="G316" s="2200" t="str">
        <f t="shared" si="19"/>
        <v>69196</v>
      </c>
      <c r="H316" s="2200">
        <f>--SUBTOTAL(3,C$2:C316)</f>
        <v>0</v>
      </c>
    </row>
    <row r="317" spans="1:8" hidden="1" x14ac:dyDescent="0.15">
      <c r="A317" s="2200" t="s">
        <v>10723</v>
      </c>
      <c r="B317" s="2200" t="s">
        <v>11349</v>
      </c>
      <c r="C317" s="2200" t="s">
        <v>11350</v>
      </c>
      <c r="D317" s="2200" t="str">
        <f t="shared" si="16"/>
        <v>CA</v>
      </c>
      <c r="E317" s="2200">
        <f t="shared" si="17"/>
        <v>18</v>
      </c>
      <c r="F317" s="2200" t="str">
        <f t="shared" si="18"/>
        <v>06</v>
      </c>
      <c r="G317" s="2200" t="str">
        <f t="shared" si="19"/>
        <v>70000</v>
      </c>
      <c r="H317" s="2200">
        <f>--SUBTOTAL(3,C$2:C317)</f>
        <v>0</v>
      </c>
    </row>
    <row r="318" spans="1:8" hidden="1" x14ac:dyDescent="0.15">
      <c r="A318" s="2200" t="s">
        <v>10723</v>
      </c>
      <c r="B318" s="2200" t="s">
        <v>11351</v>
      </c>
      <c r="C318" s="2200" t="s">
        <v>11352</v>
      </c>
      <c r="D318" s="2200" t="str">
        <f t="shared" si="16"/>
        <v>CA</v>
      </c>
      <c r="E318" s="2200">
        <f t="shared" si="17"/>
        <v>17</v>
      </c>
      <c r="F318" s="2200" t="str">
        <f t="shared" si="18"/>
        <v>06</v>
      </c>
      <c r="G318" s="2200" t="str">
        <f t="shared" si="19"/>
        <v>70042</v>
      </c>
      <c r="H318" s="2200">
        <f>--SUBTOTAL(3,C$2:C318)</f>
        <v>0</v>
      </c>
    </row>
    <row r="319" spans="1:8" hidden="1" x14ac:dyDescent="0.15">
      <c r="A319" s="2200" t="s">
        <v>10723</v>
      </c>
      <c r="B319" s="2200" t="s">
        <v>11353</v>
      </c>
      <c r="C319" s="2200" t="s">
        <v>11354</v>
      </c>
      <c r="D319" s="2200" t="str">
        <f t="shared" si="16"/>
        <v>CA</v>
      </c>
      <c r="E319" s="2200">
        <f t="shared" si="17"/>
        <v>16</v>
      </c>
      <c r="F319" s="2200" t="str">
        <f t="shared" si="18"/>
        <v>06</v>
      </c>
      <c r="G319" s="2200" t="str">
        <f t="shared" si="19"/>
        <v>70098</v>
      </c>
      <c r="H319" s="2200">
        <f>--SUBTOTAL(3,C$2:C319)</f>
        <v>0</v>
      </c>
    </row>
    <row r="320" spans="1:8" hidden="1" x14ac:dyDescent="0.15">
      <c r="A320" s="2200" t="s">
        <v>10723</v>
      </c>
      <c r="B320" s="2200" t="s">
        <v>11355</v>
      </c>
      <c r="C320" s="2200" t="s">
        <v>11356</v>
      </c>
      <c r="D320" s="2200" t="str">
        <f t="shared" si="16"/>
        <v>CA</v>
      </c>
      <c r="E320" s="2200">
        <f t="shared" si="17"/>
        <v>12</v>
      </c>
      <c r="F320" s="2200" t="str">
        <f t="shared" si="18"/>
        <v>06</v>
      </c>
      <c r="G320" s="2200" t="str">
        <f t="shared" si="19"/>
        <v>70224</v>
      </c>
      <c r="H320" s="2200">
        <f>--SUBTOTAL(3,C$2:C320)</f>
        <v>0</v>
      </c>
    </row>
    <row r="321" spans="1:8" hidden="1" x14ac:dyDescent="0.15">
      <c r="A321" s="2200" t="s">
        <v>10723</v>
      </c>
      <c r="B321" s="2200" t="s">
        <v>11357</v>
      </c>
      <c r="C321" s="2200" t="s">
        <v>11358</v>
      </c>
      <c r="D321" s="2200" t="str">
        <f t="shared" si="16"/>
        <v>CA</v>
      </c>
      <c r="E321" s="2200">
        <f t="shared" si="17"/>
        <v>14</v>
      </c>
      <c r="F321" s="2200" t="str">
        <f t="shared" si="18"/>
        <v>06</v>
      </c>
      <c r="G321" s="2200" t="str">
        <f t="shared" si="19"/>
        <v>70280</v>
      </c>
      <c r="H321" s="2200">
        <f>--SUBTOTAL(3,C$2:C321)</f>
        <v>0</v>
      </c>
    </row>
    <row r="322" spans="1:8" hidden="1" x14ac:dyDescent="0.15">
      <c r="A322" s="2200" t="s">
        <v>10723</v>
      </c>
      <c r="B322" s="2200" t="s">
        <v>11359</v>
      </c>
      <c r="C322" s="2200" t="s">
        <v>11360</v>
      </c>
      <c r="D322" s="2200" t="str">
        <f t="shared" ref="D322:D385" si="20">MID(C322,E322+2,2)</f>
        <v>CA</v>
      </c>
      <c r="E322" s="2200">
        <f t="shared" ref="E322:E385" si="21">FIND(",",C322)</f>
        <v>16</v>
      </c>
      <c r="F322" s="2200" t="str">
        <f t="shared" si="18"/>
        <v>06</v>
      </c>
      <c r="G322" s="2200" t="str">
        <f t="shared" si="19"/>
        <v>70686</v>
      </c>
      <c r="H322" s="2200">
        <f>--SUBTOTAL(3,C$2:C322)</f>
        <v>0</v>
      </c>
    </row>
    <row r="323" spans="1:8" hidden="1" x14ac:dyDescent="0.15">
      <c r="A323" s="2200" t="s">
        <v>10723</v>
      </c>
      <c r="B323" s="2200" t="s">
        <v>11361</v>
      </c>
      <c r="C323" s="2200" t="s">
        <v>11362</v>
      </c>
      <c r="D323" s="2200" t="str">
        <f t="shared" si="20"/>
        <v>CA</v>
      </c>
      <c r="E323" s="2200">
        <f t="shared" si="21"/>
        <v>13</v>
      </c>
      <c r="F323" s="2200" t="str">
        <f t="shared" ref="F323:F386" si="22">MID(B323,3,2)</f>
        <v>06</v>
      </c>
      <c r="G323" s="2200" t="str">
        <f t="shared" ref="G323:G386" si="23">MID(B323,5,5)</f>
        <v>70742</v>
      </c>
      <c r="H323" s="2200">
        <f>--SUBTOTAL(3,C$2:C323)</f>
        <v>0</v>
      </c>
    </row>
    <row r="324" spans="1:8" hidden="1" x14ac:dyDescent="0.15">
      <c r="A324" s="2200" t="s">
        <v>10723</v>
      </c>
      <c r="B324" s="2200" t="s">
        <v>11363</v>
      </c>
      <c r="C324" s="2200" t="s">
        <v>11364</v>
      </c>
      <c r="D324" s="2200" t="str">
        <f t="shared" si="20"/>
        <v>CA</v>
      </c>
      <c r="E324" s="2200">
        <f t="shared" si="21"/>
        <v>17</v>
      </c>
      <c r="F324" s="2200" t="str">
        <f t="shared" si="22"/>
        <v>06</v>
      </c>
      <c r="G324" s="2200" t="str">
        <f t="shared" si="23"/>
        <v>72016</v>
      </c>
      <c r="H324" s="2200">
        <f>--SUBTOTAL(3,C$2:C324)</f>
        <v>0</v>
      </c>
    </row>
    <row r="325" spans="1:8" hidden="1" x14ac:dyDescent="0.15">
      <c r="A325" s="2200" t="s">
        <v>10723</v>
      </c>
      <c r="B325" s="2200" t="s">
        <v>11365</v>
      </c>
      <c r="C325" s="2200" t="s">
        <v>11366</v>
      </c>
      <c r="D325" s="2200" t="str">
        <f t="shared" si="20"/>
        <v>CA</v>
      </c>
      <c r="E325" s="2200">
        <f t="shared" si="21"/>
        <v>13</v>
      </c>
      <c r="F325" s="2200" t="str">
        <f t="shared" si="22"/>
        <v>06</v>
      </c>
      <c r="G325" s="2200" t="str">
        <f t="shared" si="23"/>
        <v>72520</v>
      </c>
      <c r="H325" s="2200">
        <f>--SUBTOTAL(3,C$2:C325)</f>
        <v>0</v>
      </c>
    </row>
    <row r="326" spans="1:8" hidden="1" x14ac:dyDescent="0.15">
      <c r="A326" s="2200" t="s">
        <v>10723</v>
      </c>
      <c r="B326" s="2200" t="s">
        <v>11367</v>
      </c>
      <c r="C326" s="2200" t="s">
        <v>11368</v>
      </c>
      <c r="D326" s="2200" t="str">
        <f t="shared" si="20"/>
        <v>CA</v>
      </c>
      <c r="E326" s="2200">
        <f t="shared" si="21"/>
        <v>16</v>
      </c>
      <c r="F326" s="2200" t="str">
        <f t="shared" si="22"/>
        <v>06</v>
      </c>
      <c r="G326" s="2200" t="str">
        <f t="shared" si="23"/>
        <v>73080</v>
      </c>
      <c r="H326" s="2200">
        <f>--SUBTOTAL(3,C$2:C326)</f>
        <v>0</v>
      </c>
    </row>
    <row r="327" spans="1:8" hidden="1" x14ac:dyDescent="0.15">
      <c r="A327" s="2200" t="s">
        <v>10723</v>
      </c>
      <c r="B327" s="2200" t="s">
        <v>11369</v>
      </c>
      <c r="C327" s="2200" t="s">
        <v>11370</v>
      </c>
      <c r="D327" s="2200" t="str">
        <f t="shared" si="20"/>
        <v>CA</v>
      </c>
      <c r="E327" s="2200">
        <f t="shared" si="21"/>
        <v>20</v>
      </c>
      <c r="F327" s="2200" t="str">
        <f t="shared" si="22"/>
        <v>06</v>
      </c>
      <c r="G327" s="2200" t="str">
        <f t="shared" si="23"/>
        <v>73220</v>
      </c>
      <c r="H327" s="2200">
        <f>--SUBTOTAL(3,C$2:C327)</f>
        <v>0</v>
      </c>
    </row>
    <row r="328" spans="1:8" hidden="1" x14ac:dyDescent="0.15">
      <c r="A328" s="2200" t="s">
        <v>10723</v>
      </c>
      <c r="B328" s="2200" t="s">
        <v>11371</v>
      </c>
      <c r="C328" s="2200" t="s">
        <v>11372</v>
      </c>
      <c r="D328" s="2200" t="str">
        <f t="shared" si="20"/>
        <v>CA</v>
      </c>
      <c r="E328" s="2200">
        <f t="shared" si="21"/>
        <v>25</v>
      </c>
      <c r="F328" s="2200" t="str">
        <f t="shared" si="22"/>
        <v>06</v>
      </c>
      <c r="G328" s="2200" t="str">
        <f t="shared" si="23"/>
        <v>73262</v>
      </c>
      <c r="H328" s="2200">
        <f>--SUBTOTAL(3,C$2:C328)</f>
        <v>0</v>
      </c>
    </row>
    <row r="329" spans="1:8" hidden="1" x14ac:dyDescent="0.15">
      <c r="A329" s="2200" t="s">
        <v>10723</v>
      </c>
      <c r="B329" s="2200" t="s">
        <v>11373</v>
      </c>
      <c r="C329" s="2200" t="s">
        <v>11374</v>
      </c>
      <c r="D329" s="2200" t="str">
        <f t="shared" si="20"/>
        <v>CA</v>
      </c>
      <c r="E329" s="2200">
        <f t="shared" si="21"/>
        <v>13</v>
      </c>
      <c r="F329" s="2200" t="str">
        <f t="shared" si="22"/>
        <v>06</v>
      </c>
      <c r="G329" s="2200" t="str">
        <f t="shared" si="23"/>
        <v>73962</v>
      </c>
      <c r="H329" s="2200">
        <f>--SUBTOTAL(3,C$2:C329)</f>
        <v>0</v>
      </c>
    </row>
    <row r="330" spans="1:8" hidden="1" x14ac:dyDescent="0.15">
      <c r="A330" s="2200" t="s">
        <v>10723</v>
      </c>
      <c r="B330" s="2200" t="s">
        <v>11375</v>
      </c>
      <c r="C330" s="2200" t="s">
        <v>11376</v>
      </c>
      <c r="D330" s="2200" t="str">
        <f t="shared" si="20"/>
        <v>CA</v>
      </c>
      <c r="E330" s="2200">
        <f t="shared" si="21"/>
        <v>14</v>
      </c>
      <c r="F330" s="2200" t="str">
        <f t="shared" si="22"/>
        <v>06</v>
      </c>
      <c r="G330" s="2200" t="str">
        <f t="shared" si="23"/>
        <v>75000</v>
      </c>
      <c r="H330" s="2200">
        <f>--SUBTOTAL(3,C$2:C330)</f>
        <v>0</v>
      </c>
    </row>
    <row r="331" spans="1:8" hidden="1" x14ac:dyDescent="0.15">
      <c r="A331" s="2200" t="s">
        <v>10723</v>
      </c>
      <c r="B331" s="2200" t="s">
        <v>11377</v>
      </c>
      <c r="C331" s="2200" t="s">
        <v>11378</v>
      </c>
      <c r="D331" s="2200" t="str">
        <f t="shared" si="20"/>
        <v>CA</v>
      </c>
      <c r="E331" s="2200">
        <f t="shared" si="21"/>
        <v>17</v>
      </c>
      <c r="F331" s="2200" t="str">
        <f t="shared" si="22"/>
        <v>06</v>
      </c>
      <c r="G331" s="2200" t="str">
        <f t="shared" si="23"/>
        <v>75630</v>
      </c>
      <c r="H331" s="2200">
        <f>--SUBTOTAL(3,C$2:C331)</f>
        <v>0</v>
      </c>
    </row>
    <row r="332" spans="1:8" hidden="1" x14ac:dyDescent="0.15">
      <c r="A332" s="2200" t="s">
        <v>10723</v>
      </c>
      <c r="B332" s="2200" t="s">
        <v>11379</v>
      </c>
      <c r="C332" s="2200" t="s">
        <v>11380</v>
      </c>
      <c r="D332" s="2200" t="str">
        <f t="shared" si="20"/>
        <v>CA</v>
      </c>
      <c r="E332" s="2200">
        <f t="shared" si="21"/>
        <v>15</v>
      </c>
      <c r="F332" s="2200" t="str">
        <f t="shared" si="22"/>
        <v>06</v>
      </c>
      <c r="G332" s="2200" t="str">
        <f t="shared" si="23"/>
        <v>77000</v>
      </c>
      <c r="H332" s="2200">
        <f>--SUBTOTAL(3,C$2:C332)</f>
        <v>0</v>
      </c>
    </row>
    <row r="333" spans="1:8" hidden="1" x14ac:dyDescent="0.15">
      <c r="A333" s="2200" t="s">
        <v>10723</v>
      </c>
      <c r="B333" s="2200" t="s">
        <v>11381</v>
      </c>
      <c r="C333" s="2200" t="s">
        <v>11382</v>
      </c>
      <c r="D333" s="2200" t="str">
        <f t="shared" si="20"/>
        <v>CA</v>
      </c>
      <c r="E333" s="2200">
        <f t="shared" si="21"/>
        <v>14</v>
      </c>
      <c r="F333" s="2200" t="str">
        <f t="shared" si="22"/>
        <v>06</v>
      </c>
      <c r="G333" s="2200" t="str">
        <f t="shared" si="23"/>
        <v>78120</v>
      </c>
      <c r="H333" s="2200">
        <f>--SUBTOTAL(3,C$2:C333)</f>
        <v>0</v>
      </c>
    </row>
    <row r="334" spans="1:8" hidden="1" x14ac:dyDescent="0.15">
      <c r="A334" s="2200" t="s">
        <v>10723</v>
      </c>
      <c r="B334" s="2200" t="s">
        <v>11383</v>
      </c>
      <c r="C334" s="2200" t="s">
        <v>11384</v>
      </c>
      <c r="D334" s="2200" t="str">
        <f t="shared" si="20"/>
        <v>CA</v>
      </c>
      <c r="E334" s="2200">
        <f t="shared" si="21"/>
        <v>17</v>
      </c>
      <c r="F334" s="2200" t="str">
        <f t="shared" si="22"/>
        <v>06</v>
      </c>
      <c r="G334" s="2200" t="str">
        <f t="shared" si="23"/>
        <v>78148</v>
      </c>
      <c r="H334" s="2200">
        <f>--SUBTOTAL(3,C$2:C334)</f>
        <v>0</v>
      </c>
    </row>
    <row r="335" spans="1:8" hidden="1" x14ac:dyDescent="0.15">
      <c r="A335" s="2200" t="s">
        <v>10723</v>
      </c>
      <c r="B335" s="2200" t="s">
        <v>11385</v>
      </c>
      <c r="C335" s="2200" t="s">
        <v>11386</v>
      </c>
      <c r="D335" s="2200" t="str">
        <f t="shared" si="20"/>
        <v>CA</v>
      </c>
      <c r="E335" s="2200">
        <f t="shared" si="21"/>
        <v>19</v>
      </c>
      <c r="F335" s="2200" t="str">
        <f t="shared" si="22"/>
        <v>06</v>
      </c>
      <c r="G335" s="2200" t="str">
        <f t="shared" si="23"/>
        <v>78582</v>
      </c>
      <c r="H335" s="2200">
        <f>--SUBTOTAL(3,C$2:C335)</f>
        <v>0</v>
      </c>
    </row>
    <row r="336" spans="1:8" hidden="1" x14ac:dyDescent="0.15">
      <c r="A336" s="2200" t="s">
        <v>10723</v>
      </c>
      <c r="B336" s="2200" t="s">
        <v>11387</v>
      </c>
      <c r="C336" s="2200" t="s">
        <v>11388</v>
      </c>
      <c r="D336" s="2200" t="str">
        <f t="shared" si="20"/>
        <v>CA</v>
      </c>
      <c r="E336" s="2200">
        <f t="shared" si="21"/>
        <v>14</v>
      </c>
      <c r="F336" s="2200" t="str">
        <f t="shared" si="22"/>
        <v>06</v>
      </c>
      <c r="G336" s="2200" t="str">
        <f t="shared" si="23"/>
        <v>80000</v>
      </c>
      <c r="H336" s="2200">
        <f>--SUBTOTAL(3,C$2:C336)</f>
        <v>0</v>
      </c>
    </row>
    <row r="337" spans="1:8" hidden="1" x14ac:dyDescent="0.15">
      <c r="A337" s="2200" t="s">
        <v>10723</v>
      </c>
      <c r="B337" s="2200" t="s">
        <v>11389</v>
      </c>
      <c r="C337" s="2200" t="s">
        <v>11390</v>
      </c>
      <c r="D337" s="2200" t="str">
        <f t="shared" si="20"/>
        <v>CA</v>
      </c>
      <c r="E337" s="2200">
        <f t="shared" si="21"/>
        <v>11</v>
      </c>
      <c r="F337" s="2200" t="str">
        <f t="shared" si="22"/>
        <v>06</v>
      </c>
      <c r="G337" s="2200" t="str">
        <f t="shared" si="23"/>
        <v>80238</v>
      </c>
      <c r="H337" s="2200">
        <f>--SUBTOTAL(3,C$2:C337)</f>
        <v>0</v>
      </c>
    </row>
    <row r="338" spans="1:8" hidden="1" x14ac:dyDescent="0.15">
      <c r="A338" s="2200" t="s">
        <v>10723</v>
      </c>
      <c r="B338" s="2200" t="s">
        <v>11391</v>
      </c>
      <c r="C338" s="2200" t="s">
        <v>11392</v>
      </c>
      <c r="D338" s="2200" t="str">
        <f t="shared" si="20"/>
        <v>CA</v>
      </c>
      <c r="E338" s="2200">
        <f t="shared" si="21"/>
        <v>12</v>
      </c>
      <c r="F338" s="2200" t="str">
        <f t="shared" si="22"/>
        <v>06</v>
      </c>
      <c r="G338" s="2200" t="str">
        <f t="shared" si="23"/>
        <v>80644</v>
      </c>
      <c r="H338" s="2200">
        <f>--SUBTOTAL(3,C$2:C338)</f>
        <v>0</v>
      </c>
    </row>
    <row r="339" spans="1:8" hidden="1" x14ac:dyDescent="0.15">
      <c r="A339" s="2200" t="s">
        <v>10723</v>
      </c>
      <c r="B339" s="2200" t="s">
        <v>11393</v>
      </c>
      <c r="C339" s="2200" t="s">
        <v>11394</v>
      </c>
      <c r="D339" s="2200" t="str">
        <f t="shared" si="20"/>
        <v>CA</v>
      </c>
      <c r="E339" s="2200">
        <f t="shared" si="21"/>
        <v>13</v>
      </c>
      <c r="F339" s="2200" t="str">
        <f t="shared" si="22"/>
        <v>06</v>
      </c>
      <c r="G339" s="2200" t="str">
        <f t="shared" si="23"/>
        <v>80812</v>
      </c>
      <c r="H339" s="2200">
        <f>--SUBTOTAL(3,C$2:C339)</f>
        <v>0</v>
      </c>
    </row>
    <row r="340" spans="1:8" hidden="1" x14ac:dyDescent="0.15">
      <c r="A340" s="2200" t="s">
        <v>10723</v>
      </c>
      <c r="B340" s="2200" t="s">
        <v>11395</v>
      </c>
      <c r="C340" s="2200" t="s">
        <v>11396</v>
      </c>
      <c r="D340" s="2200" t="str">
        <f t="shared" si="20"/>
        <v>CA</v>
      </c>
      <c r="E340" s="2200">
        <f t="shared" si="21"/>
        <v>12</v>
      </c>
      <c r="F340" s="2200" t="str">
        <f t="shared" si="22"/>
        <v>06</v>
      </c>
      <c r="G340" s="2200" t="str">
        <f t="shared" si="23"/>
        <v>80854</v>
      </c>
      <c r="H340" s="2200">
        <f>--SUBTOTAL(3,C$2:C340)</f>
        <v>0</v>
      </c>
    </row>
    <row r="341" spans="1:8" hidden="1" x14ac:dyDescent="0.15">
      <c r="A341" s="2200" t="s">
        <v>10723</v>
      </c>
      <c r="B341" s="2200" t="s">
        <v>11397</v>
      </c>
      <c r="C341" s="2200" t="s">
        <v>11398</v>
      </c>
      <c r="D341" s="2200" t="str">
        <f t="shared" si="20"/>
        <v>CA</v>
      </c>
      <c r="E341" s="2200">
        <f t="shared" si="21"/>
        <v>22</v>
      </c>
      <c r="F341" s="2200" t="str">
        <f t="shared" si="22"/>
        <v>06</v>
      </c>
      <c r="G341" s="2200" t="str">
        <f t="shared" si="23"/>
        <v>80994</v>
      </c>
      <c r="H341" s="2200">
        <f>--SUBTOTAL(3,C$2:C341)</f>
        <v>0</v>
      </c>
    </row>
    <row r="342" spans="1:8" hidden="1" x14ac:dyDescent="0.15">
      <c r="A342" s="2200" t="s">
        <v>10723</v>
      </c>
      <c r="B342" s="2200" t="s">
        <v>11399</v>
      </c>
      <c r="C342" s="2200" t="s">
        <v>11400</v>
      </c>
      <c r="D342" s="2200" t="str">
        <f t="shared" si="20"/>
        <v>CA</v>
      </c>
      <c r="E342" s="2200">
        <f t="shared" si="21"/>
        <v>16</v>
      </c>
      <c r="F342" s="2200" t="str">
        <f t="shared" si="22"/>
        <v>06</v>
      </c>
      <c r="G342" s="2200" t="str">
        <f t="shared" si="23"/>
        <v>81204</v>
      </c>
      <c r="H342" s="2200">
        <f>--SUBTOTAL(3,C$2:C342)</f>
        <v>0</v>
      </c>
    </row>
    <row r="343" spans="1:8" hidden="1" x14ac:dyDescent="0.15">
      <c r="A343" s="2200" t="s">
        <v>10723</v>
      </c>
      <c r="B343" s="2200" t="s">
        <v>11401</v>
      </c>
      <c r="C343" s="2200" t="s">
        <v>11402</v>
      </c>
      <c r="D343" s="2200" t="str">
        <f t="shared" si="20"/>
        <v>CA</v>
      </c>
      <c r="E343" s="2200">
        <f t="shared" si="21"/>
        <v>12</v>
      </c>
      <c r="F343" s="2200" t="str">
        <f t="shared" si="22"/>
        <v>06</v>
      </c>
      <c r="G343" s="2200" t="str">
        <f t="shared" si="23"/>
        <v>81344</v>
      </c>
      <c r="H343" s="2200">
        <f>--SUBTOTAL(3,C$2:C343)</f>
        <v>0</v>
      </c>
    </row>
    <row r="344" spans="1:8" hidden="1" x14ac:dyDescent="0.15">
      <c r="A344" s="2200" t="s">
        <v>10723</v>
      </c>
      <c r="B344" s="2200" t="s">
        <v>11403</v>
      </c>
      <c r="C344" s="2200" t="s">
        <v>11404</v>
      </c>
      <c r="D344" s="2200" t="str">
        <f t="shared" si="20"/>
        <v>CA</v>
      </c>
      <c r="E344" s="2200">
        <f t="shared" si="21"/>
        <v>15</v>
      </c>
      <c r="F344" s="2200" t="str">
        <f t="shared" si="22"/>
        <v>06</v>
      </c>
      <c r="G344" s="2200" t="str">
        <f t="shared" si="23"/>
        <v>81554</v>
      </c>
      <c r="H344" s="2200">
        <f>--SUBTOTAL(3,C$2:C344)</f>
        <v>0</v>
      </c>
    </row>
    <row r="345" spans="1:8" hidden="1" x14ac:dyDescent="0.15">
      <c r="A345" s="2200" t="s">
        <v>10723</v>
      </c>
      <c r="B345" s="2200" t="s">
        <v>11405</v>
      </c>
      <c r="C345" s="2200" t="s">
        <v>11406</v>
      </c>
      <c r="D345" s="2200" t="str">
        <f t="shared" si="20"/>
        <v>CA</v>
      </c>
      <c r="E345" s="2200">
        <f t="shared" si="21"/>
        <v>13</v>
      </c>
      <c r="F345" s="2200" t="str">
        <f t="shared" si="22"/>
        <v>06</v>
      </c>
      <c r="G345" s="2200" t="str">
        <f t="shared" si="23"/>
        <v>81666</v>
      </c>
      <c r="H345" s="2200">
        <f>--SUBTOTAL(3,C$2:C345)</f>
        <v>0</v>
      </c>
    </row>
    <row r="346" spans="1:8" hidden="1" x14ac:dyDescent="0.15">
      <c r="A346" s="2200" t="s">
        <v>10723</v>
      </c>
      <c r="B346" s="2200" t="s">
        <v>11407</v>
      </c>
      <c r="C346" s="2200" t="s">
        <v>11408</v>
      </c>
      <c r="D346" s="2200" t="str">
        <f t="shared" si="20"/>
        <v>CA</v>
      </c>
      <c r="E346" s="2200">
        <f t="shared" si="21"/>
        <v>17</v>
      </c>
      <c r="F346" s="2200" t="str">
        <f t="shared" si="22"/>
        <v>06</v>
      </c>
      <c r="G346" s="2200" t="str">
        <f t="shared" si="23"/>
        <v>82590</v>
      </c>
      <c r="H346" s="2200">
        <f>--SUBTOTAL(3,C$2:C346)</f>
        <v>0</v>
      </c>
    </row>
    <row r="347" spans="1:8" hidden="1" x14ac:dyDescent="0.15">
      <c r="A347" s="2200" t="s">
        <v>10723</v>
      </c>
      <c r="B347" s="2200" t="s">
        <v>11409</v>
      </c>
      <c r="C347" s="2200" t="s">
        <v>11410</v>
      </c>
      <c r="D347" s="2200" t="str">
        <f t="shared" si="20"/>
        <v>CA</v>
      </c>
      <c r="E347" s="2200">
        <f t="shared" si="21"/>
        <v>13</v>
      </c>
      <c r="F347" s="2200" t="str">
        <f t="shared" si="22"/>
        <v>06</v>
      </c>
      <c r="G347" s="2200" t="str">
        <f t="shared" si="23"/>
        <v>82954</v>
      </c>
      <c r="H347" s="2200">
        <f>--SUBTOTAL(3,C$2:C347)</f>
        <v>0</v>
      </c>
    </row>
    <row r="348" spans="1:8" hidden="1" x14ac:dyDescent="0.15">
      <c r="A348" s="2200" t="s">
        <v>10723</v>
      </c>
      <c r="B348" s="2200" t="s">
        <v>11411</v>
      </c>
      <c r="C348" s="2200" t="s">
        <v>11412</v>
      </c>
      <c r="D348" s="2200" t="str">
        <f t="shared" si="20"/>
        <v>CA</v>
      </c>
      <c r="E348" s="2200">
        <f t="shared" si="21"/>
        <v>11</v>
      </c>
      <c r="F348" s="2200" t="str">
        <f t="shared" si="22"/>
        <v>06</v>
      </c>
      <c r="G348" s="2200" t="str">
        <f t="shared" si="23"/>
        <v>82996</v>
      </c>
      <c r="H348" s="2200">
        <f>--SUBTOTAL(3,C$2:C348)</f>
        <v>0</v>
      </c>
    </row>
    <row r="349" spans="1:8" hidden="1" x14ac:dyDescent="0.15">
      <c r="A349" s="2200" t="s">
        <v>10723</v>
      </c>
      <c r="B349" s="2200" t="s">
        <v>11413</v>
      </c>
      <c r="C349" s="2200" t="s">
        <v>11414</v>
      </c>
      <c r="D349" s="2200" t="str">
        <f t="shared" si="20"/>
        <v>CA</v>
      </c>
      <c r="E349" s="2200">
        <f t="shared" si="21"/>
        <v>12</v>
      </c>
      <c r="F349" s="2200" t="str">
        <f t="shared" si="22"/>
        <v>06</v>
      </c>
      <c r="G349" s="2200" t="str">
        <f t="shared" si="23"/>
        <v>83332</v>
      </c>
      <c r="H349" s="2200">
        <f>--SUBTOTAL(3,C$2:C349)</f>
        <v>0</v>
      </c>
    </row>
    <row r="350" spans="1:8" hidden="1" x14ac:dyDescent="0.15">
      <c r="A350" s="2200" t="s">
        <v>10723</v>
      </c>
      <c r="B350" s="2200" t="s">
        <v>11415</v>
      </c>
      <c r="C350" s="2200" t="s">
        <v>11416</v>
      </c>
      <c r="D350" s="2200" t="str">
        <f t="shared" si="20"/>
        <v>CA</v>
      </c>
      <c r="E350" s="2200">
        <f t="shared" si="21"/>
        <v>18</v>
      </c>
      <c r="F350" s="2200" t="str">
        <f t="shared" si="22"/>
        <v>06</v>
      </c>
      <c r="G350" s="2200" t="str">
        <f t="shared" si="23"/>
        <v>83346</v>
      </c>
      <c r="H350" s="2200">
        <f>--SUBTOTAL(3,C$2:C350)</f>
        <v>0</v>
      </c>
    </row>
    <row r="351" spans="1:8" hidden="1" x14ac:dyDescent="0.15">
      <c r="A351" s="2200" t="s">
        <v>10723</v>
      </c>
      <c r="B351" s="2200" t="s">
        <v>11417</v>
      </c>
      <c r="C351" s="2200" t="s">
        <v>11418</v>
      </c>
      <c r="D351" s="2200" t="str">
        <f t="shared" si="20"/>
        <v>CA</v>
      </c>
      <c r="E351" s="2200">
        <f t="shared" si="21"/>
        <v>11</v>
      </c>
      <c r="F351" s="2200" t="str">
        <f t="shared" si="22"/>
        <v>06</v>
      </c>
      <c r="G351" s="2200" t="str">
        <f t="shared" si="23"/>
        <v>83542</v>
      </c>
      <c r="H351" s="2200">
        <f>--SUBTOTAL(3,C$2:C351)</f>
        <v>0</v>
      </c>
    </row>
    <row r="352" spans="1:8" hidden="1" x14ac:dyDescent="0.15">
      <c r="A352" s="2200" t="s">
        <v>10723</v>
      </c>
      <c r="B352" s="2200" t="s">
        <v>11419</v>
      </c>
      <c r="C352" s="2200" t="s">
        <v>11420</v>
      </c>
      <c r="D352" s="2200" t="str">
        <f t="shared" si="20"/>
        <v>CA</v>
      </c>
      <c r="E352" s="2200">
        <f t="shared" si="21"/>
        <v>17</v>
      </c>
      <c r="F352" s="2200" t="str">
        <f t="shared" si="22"/>
        <v>06</v>
      </c>
      <c r="G352" s="2200" t="str">
        <f t="shared" si="23"/>
        <v>83668</v>
      </c>
      <c r="H352" s="2200">
        <f>--SUBTOTAL(3,C$2:C352)</f>
        <v>0</v>
      </c>
    </row>
    <row r="353" spans="1:8" hidden="1" x14ac:dyDescent="0.15">
      <c r="A353" s="2200" t="s">
        <v>10723</v>
      </c>
      <c r="B353" s="2200" t="s">
        <v>11421</v>
      </c>
      <c r="C353" s="2200" t="s">
        <v>11422</v>
      </c>
      <c r="D353" s="2200" t="str">
        <f t="shared" si="20"/>
        <v>CA</v>
      </c>
      <c r="E353" s="2200">
        <f t="shared" si="21"/>
        <v>17</v>
      </c>
      <c r="F353" s="2200" t="str">
        <f t="shared" si="22"/>
        <v>06</v>
      </c>
      <c r="G353" s="2200" t="str">
        <f t="shared" si="23"/>
        <v>84200</v>
      </c>
      <c r="H353" s="2200">
        <f>--SUBTOTAL(3,C$2:C353)</f>
        <v>0</v>
      </c>
    </row>
    <row r="354" spans="1:8" hidden="1" x14ac:dyDescent="0.15">
      <c r="A354" s="2200" t="s">
        <v>10723</v>
      </c>
      <c r="B354" s="2200" t="s">
        <v>11423</v>
      </c>
      <c r="C354" s="2200" t="s">
        <v>11424</v>
      </c>
      <c r="D354" s="2200" t="str">
        <f t="shared" si="20"/>
        <v>CA</v>
      </c>
      <c r="E354" s="2200">
        <f t="shared" si="21"/>
        <v>20</v>
      </c>
      <c r="F354" s="2200" t="str">
        <f t="shared" si="22"/>
        <v>06</v>
      </c>
      <c r="G354" s="2200" t="str">
        <f t="shared" si="23"/>
        <v>84410</v>
      </c>
      <c r="H354" s="2200">
        <f>--SUBTOTAL(3,C$2:C354)</f>
        <v>0</v>
      </c>
    </row>
    <row r="355" spans="1:8" hidden="1" x14ac:dyDescent="0.15">
      <c r="A355" s="2200" t="s">
        <v>10723</v>
      </c>
      <c r="B355" s="2200" t="s">
        <v>11425</v>
      </c>
      <c r="C355" s="2200" t="s">
        <v>11426</v>
      </c>
      <c r="D355" s="2200" t="str">
        <f t="shared" si="20"/>
        <v>CA</v>
      </c>
      <c r="E355" s="2200">
        <f t="shared" si="21"/>
        <v>21</v>
      </c>
      <c r="F355" s="2200" t="str">
        <f t="shared" si="22"/>
        <v>06</v>
      </c>
      <c r="G355" s="2200" t="str">
        <f t="shared" si="23"/>
        <v>84816</v>
      </c>
      <c r="H355" s="2200">
        <f>--SUBTOTAL(3,C$2:C355)</f>
        <v>0</v>
      </c>
    </row>
    <row r="356" spans="1:8" hidden="1" x14ac:dyDescent="0.15">
      <c r="A356" s="2200" t="s">
        <v>10723</v>
      </c>
      <c r="B356" s="2200" t="s">
        <v>11427</v>
      </c>
      <c r="C356" s="2200" t="s">
        <v>11428</v>
      </c>
      <c r="D356" s="2200" t="str">
        <f t="shared" si="20"/>
        <v>CA</v>
      </c>
      <c r="E356" s="2200">
        <f t="shared" si="21"/>
        <v>17</v>
      </c>
      <c r="F356" s="2200" t="str">
        <f t="shared" si="22"/>
        <v>06</v>
      </c>
      <c r="G356" s="2200" t="str">
        <f t="shared" si="23"/>
        <v>84550</v>
      </c>
      <c r="H356" s="2200">
        <f>--SUBTOTAL(3,C$2:C356)</f>
        <v>0</v>
      </c>
    </row>
    <row r="357" spans="1:8" hidden="1" x14ac:dyDescent="0.15">
      <c r="A357" s="2200" t="s">
        <v>10723</v>
      </c>
      <c r="B357" s="2200" t="s">
        <v>11429</v>
      </c>
      <c r="C357" s="2200" t="s">
        <v>11430</v>
      </c>
      <c r="D357" s="2200" t="str">
        <f t="shared" si="20"/>
        <v>CA</v>
      </c>
      <c r="E357" s="2200">
        <f t="shared" si="21"/>
        <v>14</v>
      </c>
      <c r="F357" s="2200" t="str">
        <f t="shared" si="22"/>
        <v>06</v>
      </c>
      <c r="G357" s="2200" t="str">
        <f t="shared" si="23"/>
        <v>85292</v>
      </c>
      <c r="H357" s="2200">
        <f>--SUBTOTAL(3,C$2:C357)</f>
        <v>0</v>
      </c>
    </row>
    <row r="358" spans="1:8" hidden="1" x14ac:dyDescent="0.15">
      <c r="A358" s="2200" t="s">
        <v>10723</v>
      </c>
      <c r="B358" s="2200" t="s">
        <v>11431</v>
      </c>
      <c r="C358" s="2200" t="s">
        <v>11432</v>
      </c>
      <c r="D358" s="2200" t="str">
        <f t="shared" si="20"/>
        <v>CA</v>
      </c>
      <c r="E358" s="2200">
        <f t="shared" si="21"/>
        <v>14</v>
      </c>
      <c r="F358" s="2200" t="str">
        <f t="shared" si="22"/>
        <v>06</v>
      </c>
      <c r="G358" s="2200" t="str">
        <f t="shared" si="23"/>
        <v>85446</v>
      </c>
      <c r="H358" s="2200">
        <f>--SUBTOTAL(3,C$2:C358)</f>
        <v>0</v>
      </c>
    </row>
    <row r="359" spans="1:8" hidden="1" x14ac:dyDescent="0.15">
      <c r="A359" s="2200" t="s">
        <v>10723</v>
      </c>
      <c r="B359" s="2200" t="s">
        <v>11433</v>
      </c>
      <c r="C359" s="2200" t="s">
        <v>11434</v>
      </c>
      <c r="D359" s="2200" t="str">
        <f t="shared" si="20"/>
        <v>CA</v>
      </c>
      <c r="E359" s="2200">
        <f t="shared" si="21"/>
        <v>13</v>
      </c>
      <c r="F359" s="2200" t="str">
        <f t="shared" si="22"/>
        <v>06</v>
      </c>
      <c r="G359" s="2200" t="str">
        <f t="shared" si="23"/>
        <v>85922</v>
      </c>
      <c r="H359" s="2200">
        <f>--SUBTOTAL(3,C$2:C359)</f>
        <v>0</v>
      </c>
    </row>
    <row r="360" spans="1:8" hidden="1" x14ac:dyDescent="0.15">
      <c r="A360" s="2200" t="s">
        <v>10723</v>
      </c>
      <c r="B360" s="2200" t="s">
        <v>11435</v>
      </c>
      <c r="C360" s="2200" t="s">
        <v>11436</v>
      </c>
      <c r="D360" s="2200" t="str">
        <f t="shared" si="20"/>
        <v>CA</v>
      </c>
      <c r="E360" s="2200">
        <f t="shared" si="21"/>
        <v>14</v>
      </c>
      <c r="F360" s="2200" t="str">
        <f t="shared" si="22"/>
        <v>06</v>
      </c>
      <c r="G360" s="2200" t="str">
        <f t="shared" si="23"/>
        <v>86328</v>
      </c>
      <c r="H360" s="2200">
        <f>--SUBTOTAL(3,C$2:C360)</f>
        <v>0</v>
      </c>
    </row>
    <row r="361" spans="1:8" hidden="1" x14ac:dyDescent="0.15">
      <c r="A361" s="2200" t="s">
        <v>10723</v>
      </c>
      <c r="B361" s="2200" t="s">
        <v>11437</v>
      </c>
      <c r="C361" s="2200" t="s">
        <v>11438</v>
      </c>
      <c r="D361" s="2200" t="str">
        <f t="shared" si="20"/>
        <v>CA</v>
      </c>
      <c r="E361" s="2200">
        <f t="shared" si="21"/>
        <v>17</v>
      </c>
      <c r="F361" s="2200" t="str">
        <f t="shared" si="22"/>
        <v>06</v>
      </c>
      <c r="G361" s="2200" t="str">
        <f t="shared" si="23"/>
        <v>86832</v>
      </c>
      <c r="H361" s="2200">
        <f>--SUBTOTAL(3,C$2:C361)</f>
        <v>0</v>
      </c>
    </row>
    <row r="362" spans="1:8" hidden="1" x14ac:dyDescent="0.15">
      <c r="A362" s="2200" t="s">
        <v>10723</v>
      </c>
      <c r="B362" s="2200" t="s">
        <v>11439</v>
      </c>
      <c r="C362" s="2200" t="s">
        <v>11440</v>
      </c>
      <c r="D362" s="2200" t="str">
        <f t="shared" si="20"/>
        <v>CA</v>
      </c>
      <c r="E362" s="2200">
        <f t="shared" si="21"/>
        <v>15</v>
      </c>
      <c r="F362" s="2200" t="str">
        <f t="shared" si="22"/>
        <v>06</v>
      </c>
      <c r="G362" s="2200" t="str">
        <f t="shared" si="23"/>
        <v>86972</v>
      </c>
      <c r="H362" s="2200">
        <f>--SUBTOTAL(3,C$2:C362)</f>
        <v>0</v>
      </c>
    </row>
    <row r="363" spans="1:8" hidden="1" x14ac:dyDescent="0.15">
      <c r="A363" s="2200" t="s">
        <v>10723</v>
      </c>
      <c r="B363" s="2200" t="s">
        <v>11441</v>
      </c>
      <c r="C363" s="2200" t="s">
        <v>11442</v>
      </c>
      <c r="D363" s="2200" t="str">
        <f t="shared" si="20"/>
        <v>CA</v>
      </c>
      <c r="E363" s="2200">
        <f t="shared" si="21"/>
        <v>13</v>
      </c>
      <c r="F363" s="2200" t="str">
        <f t="shared" si="22"/>
        <v>06</v>
      </c>
      <c r="G363" s="2200" t="str">
        <f t="shared" si="23"/>
        <v>87042</v>
      </c>
      <c r="H363" s="2200">
        <f>--SUBTOTAL(3,C$2:C363)</f>
        <v>0</v>
      </c>
    </row>
    <row r="364" spans="1:8" hidden="1" x14ac:dyDescent="0.15">
      <c r="A364" s="2200" t="s">
        <v>11443</v>
      </c>
      <c r="B364" s="2200" t="s">
        <v>11444</v>
      </c>
      <c r="C364" s="2200" t="s">
        <v>11445</v>
      </c>
      <c r="D364" s="2200" t="str">
        <f t="shared" si="20"/>
        <v>CO</v>
      </c>
      <c r="E364" s="2200">
        <f t="shared" si="21"/>
        <v>16</v>
      </c>
      <c r="F364" s="2200" t="str">
        <f t="shared" si="22"/>
        <v>08</v>
      </c>
      <c r="G364" s="2200" t="str">
        <f t="shared" si="23"/>
        <v>80140</v>
      </c>
      <c r="H364" s="2200">
        <f>--SUBTOTAL(3,C$2:C364)</f>
        <v>0</v>
      </c>
    </row>
    <row r="365" spans="1:8" hidden="1" x14ac:dyDescent="0.15">
      <c r="A365" s="2200" t="s">
        <v>10723</v>
      </c>
      <c r="B365" s="2200" t="s">
        <v>11446</v>
      </c>
      <c r="C365" s="2200" t="s">
        <v>11447</v>
      </c>
      <c r="D365" s="2200" t="str">
        <f t="shared" si="20"/>
        <v>CO</v>
      </c>
      <c r="E365" s="2200">
        <f t="shared" si="21"/>
        <v>12</v>
      </c>
      <c r="F365" s="2200" t="str">
        <f t="shared" si="22"/>
        <v>08</v>
      </c>
      <c r="G365" s="2200" t="str">
        <f t="shared" si="23"/>
        <v>03455</v>
      </c>
      <c r="H365" s="2200">
        <f>--SUBTOTAL(3,C$2:C365)</f>
        <v>0</v>
      </c>
    </row>
    <row r="366" spans="1:8" hidden="1" x14ac:dyDescent="0.15">
      <c r="A366" s="2200" t="s">
        <v>10723</v>
      </c>
      <c r="B366" s="2200" t="s">
        <v>11448</v>
      </c>
      <c r="C366" s="2200" t="s">
        <v>11449</v>
      </c>
      <c r="D366" s="2200" t="str">
        <f t="shared" si="20"/>
        <v>CO</v>
      </c>
      <c r="E366" s="2200">
        <f t="shared" si="21"/>
        <v>12</v>
      </c>
      <c r="F366" s="2200" t="str">
        <f t="shared" si="22"/>
        <v>08</v>
      </c>
      <c r="G366" s="2200" t="str">
        <f t="shared" si="23"/>
        <v>04000</v>
      </c>
      <c r="H366" s="2200">
        <f>--SUBTOTAL(3,C$2:C366)</f>
        <v>0</v>
      </c>
    </row>
    <row r="367" spans="1:8" hidden="1" x14ac:dyDescent="0.15">
      <c r="A367" s="2200" t="s">
        <v>10723</v>
      </c>
      <c r="B367" s="2200" t="s">
        <v>11450</v>
      </c>
      <c r="C367" s="2200" t="s">
        <v>11451</v>
      </c>
      <c r="D367" s="2200" t="str">
        <f t="shared" si="20"/>
        <v>CO</v>
      </c>
      <c r="E367" s="2200">
        <f t="shared" si="21"/>
        <v>13</v>
      </c>
      <c r="F367" s="2200" t="str">
        <f t="shared" si="22"/>
        <v>08</v>
      </c>
      <c r="G367" s="2200" t="str">
        <f t="shared" si="23"/>
        <v>07850</v>
      </c>
      <c r="H367" s="2200">
        <f>--SUBTOTAL(3,C$2:C367)</f>
        <v>0</v>
      </c>
    </row>
    <row r="368" spans="1:8" hidden="1" x14ac:dyDescent="0.15">
      <c r="A368" s="2200" t="s">
        <v>10723</v>
      </c>
      <c r="B368" s="2200" t="s">
        <v>11452</v>
      </c>
      <c r="C368" s="2200" t="s">
        <v>11453</v>
      </c>
      <c r="D368" s="2200" t="str">
        <f t="shared" si="20"/>
        <v>CO</v>
      </c>
      <c r="E368" s="2200">
        <f t="shared" si="21"/>
        <v>14</v>
      </c>
      <c r="F368" s="2200" t="str">
        <f t="shared" si="22"/>
        <v>08</v>
      </c>
      <c r="G368" s="2200" t="str">
        <f t="shared" si="23"/>
        <v>08675</v>
      </c>
      <c r="H368" s="2200">
        <f>--SUBTOTAL(3,C$2:C368)</f>
        <v>0</v>
      </c>
    </row>
    <row r="369" spans="1:8" hidden="1" x14ac:dyDescent="0.15">
      <c r="A369" s="2200" t="s">
        <v>10723</v>
      </c>
      <c r="B369" s="2200" t="s">
        <v>11454</v>
      </c>
      <c r="C369" s="2200" t="s">
        <v>4790</v>
      </c>
      <c r="D369" s="2200" t="str">
        <f t="shared" si="20"/>
        <v>CO</v>
      </c>
      <c r="E369" s="2200">
        <f t="shared" si="21"/>
        <v>23</v>
      </c>
      <c r="F369" s="2200" t="str">
        <f t="shared" si="22"/>
        <v>08</v>
      </c>
      <c r="G369" s="2200" t="str">
        <f t="shared" si="23"/>
        <v>09280</v>
      </c>
      <c r="H369" s="2200">
        <f>--SUBTOTAL(3,C$2:C369)</f>
        <v>0</v>
      </c>
    </row>
    <row r="370" spans="1:8" hidden="1" x14ac:dyDescent="0.15">
      <c r="A370" s="2200" t="s">
        <v>10723</v>
      </c>
      <c r="B370" s="2200" t="s">
        <v>11455</v>
      </c>
      <c r="C370" s="2200" t="s">
        <v>11456</v>
      </c>
      <c r="D370" s="2200" t="str">
        <f t="shared" si="20"/>
        <v>CO</v>
      </c>
      <c r="E370" s="2200">
        <f t="shared" si="21"/>
        <v>17</v>
      </c>
      <c r="F370" s="2200" t="str">
        <f t="shared" si="22"/>
        <v>08</v>
      </c>
      <c r="G370" s="2200" t="str">
        <f t="shared" si="23"/>
        <v>12415</v>
      </c>
      <c r="H370" s="2200">
        <f>--SUBTOTAL(3,C$2:C370)</f>
        <v>0</v>
      </c>
    </row>
    <row r="371" spans="1:8" hidden="1" x14ac:dyDescent="0.15">
      <c r="A371" s="2200" t="s">
        <v>10723</v>
      </c>
      <c r="B371" s="2200" t="s">
        <v>11457</v>
      </c>
      <c r="C371" s="2200" t="s">
        <v>11458</v>
      </c>
      <c r="D371" s="2200" t="str">
        <f t="shared" si="20"/>
        <v>CO</v>
      </c>
      <c r="E371" s="2200">
        <f t="shared" si="21"/>
        <v>16</v>
      </c>
      <c r="F371" s="2200" t="str">
        <f t="shared" si="22"/>
        <v>08</v>
      </c>
      <c r="G371" s="2200" t="str">
        <f t="shared" si="23"/>
        <v>12815</v>
      </c>
      <c r="H371" s="2200">
        <f>--SUBTOTAL(3,C$2:C371)</f>
        <v>0</v>
      </c>
    </row>
    <row r="372" spans="1:8" hidden="1" x14ac:dyDescent="0.15">
      <c r="A372" s="2200" t="s">
        <v>10723</v>
      </c>
      <c r="B372" s="2200" t="s">
        <v>11459</v>
      </c>
      <c r="C372" s="2200" t="s">
        <v>11460</v>
      </c>
      <c r="D372" s="2200" t="str">
        <f t="shared" si="20"/>
        <v>CO</v>
      </c>
      <c r="E372" s="2200">
        <f t="shared" si="21"/>
        <v>22</v>
      </c>
      <c r="F372" s="2200" t="str">
        <f t="shared" si="22"/>
        <v>08</v>
      </c>
      <c r="G372" s="2200" t="str">
        <f t="shared" si="23"/>
        <v>16000</v>
      </c>
      <c r="H372" s="2200">
        <f>--SUBTOTAL(3,C$2:C372)</f>
        <v>0</v>
      </c>
    </row>
    <row r="373" spans="1:8" hidden="1" x14ac:dyDescent="0.15">
      <c r="A373" s="2200" t="s">
        <v>10723</v>
      </c>
      <c r="B373" s="2200" t="s">
        <v>11461</v>
      </c>
      <c r="C373" s="2200" t="s">
        <v>11462</v>
      </c>
      <c r="D373" s="2200" t="str">
        <f t="shared" si="20"/>
        <v>CO</v>
      </c>
      <c r="E373" s="2200">
        <f t="shared" si="21"/>
        <v>19</v>
      </c>
      <c r="F373" s="2200" t="str">
        <f t="shared" si="22"/>
        <v>08</v>
      </c>
      <c r="G373" s="2200" t="str">
        <f t="shared" si="23"/>
        <v>16495</v>
      </c>
      <c r="H373" s="2200">
        <f>--SUBTOTAL(3,C$2:C373)</f>
        <v>0</v>
      </c>
    </row>
    <row r="374" spans="1:8" hidden="1" x14ac:dyDescent="0.15">
      <c r="A374" s="2200" t="s">
        <v>10723</v>
      </c>
      <c r="B374" s="2200" t="s">
        <v>11463</v>
      </c>
      <c r="C374" s="2200" t="s">
        <v>4808</v>
      </c>
      <c r="D374" s="2200" t="str">
        <f t="shared" si="20"/>
        <v>CO</v>
      </c>
      <c r="E374" s="2200">
        <f t="shared" si="21"/>
        <v>19</v>
      </c>
      <c r="F374" s="2200" t="str">
        <f t="shared" si="22"/>
        <v>08</v>
      </c>
      <c r="G374" s="2200" t="str">
        <f t="shared" si="23"/>
        <v>20000</v>
      </c>
      <c r="H374" s="2200">
        <f>--SUBTOTAL(3,C$2:C374)</f>
        <v>0</v>
      </c>
    </row>
    <row r="375" spans="1:8" hidden="1" x14ac:dyDescent="0.15">
      <c r="A375" s="2200" t="s">
        <v>10723</v>
      </c>
      <c r="B375" s="2200" t="s">
        <v>11464</v>
      </c>
      <c r="C375" s="2200" t="s">
        <v>11465</v>
      </c>
      <c r="D375" s="2200" t="str">
        <f t="shared" si="20"/>
        <v>CO</v>
      </c>
      <c r="E375" s="2200">
        <f t="shared" si="21"/>
        <v>15</v>
      </c>
      <c r="F375" s="2200" t="str">
        <f t="shared" si="22"/>
        <v>08</v>
      </c>
      <c r="G375" s="2200" t="str">
        <f t="shared" si="23"/>
        <v>24785</v>
      </c>
      <c r="H375" s="2200">
        <f>--SUBTOTAL(3,C$2:C375)</f>
        <v>0</v>
      </c>
    </row>
    <row r="376" spans="1:8" hidden="1" x14ac:dyDescent="0.15">
      <c r="A376" s="2200" t="s">
        <v>10723</v>
      </c>
      <c r="B376" s="2200" t="s">
        <v>11466</v>
      </c>
      <c r="C376" s="2200" t="s">
        <v>11467</v>
      </c>
      <c r="D376" s="2200" t="str">
        <f t="shared" si="20"/>
        <v>CO</v>
      </c>
      <c r="E376" s="2200">
        <f t="shared" si="21"/>
        <v>10</v>
      </c>
      <c r="F376" s="2200" t="str">
        <f t="shared" si="22"/>
        <v>08</v>
      </c>
      <c r="G376" s="2200" t="str">
        <f t="shared" si="23"/>
        <v>24950</v>
      </c>
      <c r="H376" s="2200">
        <f>--SUBTOTAL(3,C$2:C376)</f>
        <v>0</v>
      </c>
    </row>
    <row r="377" spans="1:8" hidden="1" x14ac:dyDescent="0.15">
      <c r="A377" s="2200" t="s">
        <v>10723</v>
      </c>
      <c r="B377" s="2200" t="s">
        <v>11468</v>
      </c>
      <c r="C377" s="2200" t="s">
        <v>11469</v>
      </c>
      <c r="D377" s="2200" t="str">
        <f t="shared" si="20"/>
        <v>CO</v>
      </c>
      <c r="E377" s="2200">
        <f t="shared" si="21"/>
        <v>18</v>
      </c>
      <c r="F377" s="2200" t="str">
        <f t="shared" si="22"/>
        <v>08</v>
      </c>
      <c r="G377" s="2200" t="str">
        <f t="shared" si="23"/>
        <v>27425</v>
      </c>
      <c r="H377" s="2200">
        <f>--SUBTOTAL(3,C$2:C377)</f>
        <v>0</v>
      </c>
    </row>
    <row r="378" spans="1:8" hidden="1" x14ac:dyDescent="0.15">
      <c r="A378" s="2200" t="s">
        <v>10723</v>
      </c>
      <c r="B378" s="2200" t="s">
        <v>11470</v>
      </c>
      <c r="C378" s="2200" t="s">
        <v>11471</v>
      </c>
      <c r="D378" s="2200" t="str">
        <f t="shared" si="20"/>
        <v>CO</v>
      </c>
      <c r="E378" s="2200">
        <f t="shared" si="21"/>
        <v>14</v>
      </c>
      <c r="F378" s="2200" t="str">
        <f t="shared" si="22"/>
        <v>08</v>
      </c>
      <c r="G378" s="2200" t="str">
        <f t="shared" si="23"/>
        <v>27865</v>
      </c>
      <c r="H378" s="2200">
        <f>--SUBTOTAL(3,C$2:C378)</f>
        <v>0</v>
      </c>
    </row>
    <row r="379" spans="1:8" hidden="1" x14ac:dyDescent="0.15">
      <c r="A379" s="2200" t="s">
        <v>10723</v>
      </c>
      <c r="B379" s="2200" t="s">
        <v>11472</v>
      </c>
      <c r="C379" s="2200" t="s">
        <v>11473</v>
      </c>
      <c r="D379" s="2200" t="str">
        <f t="shared" si="20"/>
        <v>CO</v>
      </c>
      <c r="E379" s="2200">
        <f t="shared" si="21"/>
        <v>20</v>
      </c>
      <c r="F379" s="2200" t="str">
        <f t="shared" si="22"/>
        <v>08</v>
      </c>
      <c r="G379" s="2200" t="str">
        <f t="shared" si="23"/>
        <v>31660</v>
      </c>
      <c r="H379" s="2200">
        <f>--SUBTOTAL(3,C$2:C379)</f>
        <v>0</v>
      </c>
    </row>
    <row r="380" spans="1:8" hidden="1" x14ac:dyDescent="0.15">
      <c r="A380" s="2200" t="s">
        <v>10723</v>
      </c>
      <c r="B380" s="2200" t="s">
        <v>11474</v>
      </c>
      <c r="C380" s="2200" t="s">
        <v>11475</v>
      </c>
      <c r="D380" s="2200" t="str">
        <f t="shared" si="20"/>
        <v>CO</v>
      </c>
      <c r="E380" s="2200">
        <f t="shared" si="21"/>
        <v>13</v>
      </c>
      <c r="F380" s="2200" t="str">
        <f t="shared" si="22"/>
        <v>08</v>
      </c>
      <c r="G380" s="2200" t="str">
        <f t="shared" si="23"/>
        <v>32155</v>
      </c>
      <c r="H380" s="2200">
        <f>--SUBTOTAL(3,C$2:C380)</f>
        <v>0</v>
      </c>
    </row>
    <row r="381" spans="1:8" hidden="1" x14ac:dyDescent="0.15">
      <c r="A381" s="2200" t="s">
        <v>10723</v>
      </c>
      <c r="B381" s="2200" t="s">
        <v>11476</v>
      </c>
      <c r="C381" s="2200" t="s">
        <v>11477</v>
      </c>
      <c r="D381" s="2200" t="str">
        <f t="shared" si="20"/>
        <v>CO</v>
      </c>
      <c r="E381" s="2200">
        <f t="shared" si="21"/>
        <v>15</v>
      </c>
      <c r="F381" s="2200" t="str">
        <f t="shared" si="22"/>
        <v>08</v>
      </c>
      <c r="G381" s="2200" t="str">
        <f t="shared" si="23"/>
        <v>41835</v>
      </c>
      <c r="H381" s="2200">
        <f>--SUBTOTAL(3,C$2:C381)</f>
        <v>0</v>
      </c>
    </row>
    <row r="382" spans="1:8" hidden="1" x14ac:dyDescent="0.15">
      <c r="A382" s="2200" t="s">
        <v>10723</v>
      </c>
      <c r="B382" s="2200" t="s">
        <v>11478</v>
      </c>
      <c r="C382" s="2200" t="s">
        <v>11479</v>
      </c>
      <c r="D382" s="2200" t="str">
        <f t="shared" si="20"/>
        <v>CO</v>
      </c>
      <c r="E382" s="2200">
        <f t="shared" si="21"/>
        <v>14</v>
      </c>
      <c r="F382" s="2200" t="str">
        <f t="shared" si="22"/>
        <v>08</v>
      </c>
      <c r="G382" s="2200" t="str">
        <f t="shared" si="23"/>
        <v>43000</v>
      </c>
      <c r="H382" s="2200">
        <f>--SUBTOTAL(3,C$2:C382)</f>
        <v>0</v>
      </c>
    </row>
    <row r="383" spans="1:8" hidden="1" x14ac:dyDescent="0.15">
      <c r="A383" s="2200" t="s">
        <v>10723</v>
      </c>
      <c r="B383" s="2200" t="s">
        <v>11480</v>
      </c>
      <c r="C383" s="2200" t="s">
        <v>11481</v>
      </c>
      <c r="D383" s="2200" t="str">
        <f t="shared" si="20"/>
        <v>CO</v>
      </c>
      <c r="E383" s="2200">
        <f t="shared" si="21"/>
        <v>15</v>
      </c>
      <c r="F383" s="2200" t="str">
        <f t="shared" si="22"/>
        <v>08</v>
      </c>
      <c r="G383" s="2200" t="str">
        <f t="shared" si="23"/>
        <v>45255</v>
      </c>
      <c r="H383" s="2200">
        <f>--SUBTOTAL(3,C$2:C383)</f>
        <v>0</v>
      </c>
    </row>
    <row r="384" spans="1:8" hidden="1" x14ac:dyDescent="0.15">
      <c r="A384" s="2200" t="s">
        <v>10723</v>
      </c>
      <c r="B384" s="2200" t="s">
        <v>11482</v>
      </c>
      <c r="C384" s="2200" t="s">
        <v>11483</v>
      </c>
      <c r="D384" s="2200" t="str">
        <f t="shared" si="20"/>
        <v>CO</v>
      </c>
      <c r="E384" s="2200">
        <f t="shared" si="21"/>
        <v>14</v>
      </c>
      <c r="F384" s="2200" t="str">
        <f t="shared" si="22"/>
        <v>08</v>
      </c>
      <c r="G384" s="2200" t="str">
        <f t="shared" si="23"/>
        <v>45970</v>
      </c>
      <c r="H384" s="2200">
        <f>--SUBTOTAL(3,C$2:C384)</f>
        <v>0</v>
      </c>
    </row>
    <row r="385" spans="1:8" hidden="1" x14ac:dyDescent="0.15">
      <c r="A385" s="2200" t="s">
        <v>10723</v>
      </c>
      <c r="B385" s="2200" t="s">
        <v>11484</v>
      </c>
      <c r="C385" s="2200" t="s">
        <v>11485</v>
      </c>
      <c r="D385" s="2200" t="str">
        <f t="shared" si="20"/>
        <v>CO</v>
      </c>
      <c r="E385" s="2200">
        <f t="shared" si="21"/>
        <v>14</v>
      </c>
      <c r="F385" s="2200" t="str">
        <f t="shared" si="22"/>
        <v>08</v>
      </c>
      <c r="G385" s="2200" t="str">
        <f t="shared" si="23"/>
        <v>46465</v>
      </c>
      <c r="H385" s="2200">
        <f>--SUBTOTAL(3,C$2:C385)</f>
        <v>0</v>
      </c>
    </row>
    <row r="386" spans="1:8" hidden="1" x14ac:dyDescent="0.15">
      <c r="A386" s="2200" t="s">
        <v>10723</v>
      </c>
      <c r="B386" s="2200" t="s">
        <v>11486</v>
      </c>
      <c r="C386" s="2200" t="s">
        <v>11487</v>
      </c>
      <c r="D386" s="2200" t="str">
        <f t="shared" ref="D386:D449" si="24">MID(C386,E386+2,2)</f>
        <v>CO</v>
      </c>
      <c r="E386" s="2200">
        <f t="shared" ref="E386:E449" si="25">FIND(",",C386)</f>
        <v>16</v>
      </c>
      <c r="F386" s="2200" t="str">
        <f t="shared" si="22"/>
        <v>08</v>
      </c>
      <c r="G386" s="2200" t="str">
        <f t="shared" si="23"/>
        <v>54330</v>
      </c>
      <c r="H386" s="2200">
        <f>--SUBTOTAL(3,C$2:C386)</f>
        <v>0</v>
      </c>
    </row>
    <row r="387" spans="1:8" hidden="1" x14ac:dyDescent="0.15">
      <c r="A387" s="2200" t="s">
        <v>11443</v>
      </c>
      <c r="B387" s="2200" t="s">
        <v>11488</v>
      </c>
      <c r="C387" s="2200" t="s">
        <v>11489</v>
      </c>
      <c r="D387" s="2200" t="str">
        <f t="shared" si="24"/>
        <v>CO</v>
      </c>
      <c r="E387" s="2200">
        <f t="shared" si="25"/>
        <v>14</v>
      </c>
      <c r="F387" s="2200" t="str">
        <f t="shared" ref="F387:F450" si="26">MID(B387,3,2)</f>
        <v>08</v>
      </c>
      <c r="G387" s="2200" t="str">
        <f t="shared" ref="G387:G450" si="27">MID(B387,5,5)</f>
        <v>82100</v>
      </c>
      <c r="H387" s="2200">
        <f>--SUBTOTAL(3,C$2:C387)</f>
        <v>0</v>
      </c>
    </row>
    <row r="388" spans="1:8" hidden="1" x14ac:dyDescent="0.15">
      <c r="A388" s="2200" t="s">
        <v>10723</v>
      </c>
      <c r="B388" s="2200" t="s">
        <v>11490</v>
      </c>
      <c r="C388" s="2200" t="s">
        <v>11491</v>
      </c>
      <c r="D388" s="2200" t="str">
        <f t="shared" si="24"/>
        <v>CO</v>
      </c>
      <c r="E388" s="2200">
        <f t="shared" si="25"/>
        <v>12</v>
      </c>
      <c r="F388" s="2200" t="str">
        <f t="shared" si="26"/>
        <v>08</v>
      </c>
      <c r="G388" s="2200" t="str">
        <f t="shared" si="27"/>
        <v>57630</v>
      </c>
      <c r="H388" s="2200">
        <f>--SUBTOTAL(3,C$2:C388)</f>
        <v>0</v>
      </c>
    </row>
    <row r="389" spans="1:8" hidden="1" x14ac:dyDescent="0.15">
      <c r="A389" s="2200" t="s">
        <v>10723</v>
      </c>
      <c r="B389" s="2200" t="s">
        <v>11492</v>
      </c>
      <c r="C389" s="2200" t="s">
        <v>11493</v>
      </c>
      <c r="D389" s="2200" t="str">
        <f t="shared" si="24"/>
        <v>CO</v>
      </c>
      <c r="E389" s="2200">
        <f t="shared" si="25"/>
        <v>12</v>
      </c>
      <c r="F389" s="2200" t="str">
        <f t="shared" si="26"/>
        <v>08</v>
      </c>
      <c r="G389" s="2200" t="str">
        <f t="shared" si="27"/>
        <v>62000</v>
      </c>
      <c r="H389" s="2200">
        <f>--SUBTOTAL(3,C$2:C389)</f>
        <v>0</v>
      </c>
    </row>
    <row r="390" spans="1:8" hidden="1" x14ac:dyDescent="0.15">
      <c r="A390" s="2200" t="s">
        <v>10723</v>
      </c>
      <c r="B390" s="2200" t="s">
        <v>11494</v>
      </c>
      <c r="C390" s="2200" t="s">
        <v>11495</v>
      </c>
      <c r="D390" s="2200" t="str">
        <f t="shared" si="24"/>
        <v>CO</v>
      </c>
      <c r="E390" s="2200">
        <f t="shared" si="25"/>
        <v>14</v>
      </c>
      <c r="F390" s="2200" t="str">
        <f t="shared" si="26"/>
        <v>08</v>
      </c>
      <c r="G390" s="2200" t="str">
        <f t="shared" si="27"/>
        <v>77290</v>
      </c>
      <c r="H390" s="2200">
        <f>--SUBTOTAL(3,C$2:C390)</f>
        <v>0</v>
      </c>
    </row>
    <row r="391" spans="1:8" hidden="1" x14ac:dyDescent="0.15">
      <c r="A391" s="2200" t="s">
        <v>10723</v>
      </c>
      <c r="B391" s="2200" t="s">
        <v>11496</v>
      </c>
      <c r="C391" s="2200" t="s">
        <v>11497</v>
      </c>
      <c r="D391" s="2200" t="str">
        <f t="shared" si="24"/>
        <v>CO</v>
      </c>
      <c r="E391" s="2200">
        <f t="shared" si="25"/>
        <v>17</v>
      </c>
      <c r="F391" s="2200" t="str">
        <f t="shared" si="26"/>
        <v>08</v>
      </c>
      <c r="G391" s="2200" t="str">
        <f t="shared" si="27"/>
        <v>83835</v>
      </c>
      <c r="H391" s="2200">
        <f>--SUBTOTAL(3,C$2:C391)</f>
        <v>0</v>
      </c>
    </row>
    <row r="392" spans="1:8" hidden="1" x14ac:dyDescent="0.15">
      <c r="A392" s="2200" t="s">
        <v>10723</v>
      </c>
      <c r="B392" s="2200" t="s">
        <v>11498</v>
      </c>
      <c r="C392" s="2200" t="s">
        <v>11499</v>
      </c>
      <c r="D392" s="2200" t="str">
        <f t="shared" si="24"/>
        <v>CO</v>
      </c>
      <c r="E392" s="2200">
        <f t="shared" si="25"/>
        <v>17</v>
      </c>
      <c r="F392" s="2200" t="str">
        <f t="shared" si="26"/>
        <v>08</v>
      </c>
      <c r="G392" s="2200" t="str">
        <f t="shared" si="27"/>
        <v>84440</v>
      </c>
      <c r="H392" s="2200">
        <f>--SUBTOTAL(3,C$2:C392)</f>
        <v>0</v>
      </c>
    </row>
    <row r="393" spans="1:8" hidden="1" x14ac:dyDescent="0.15">
      <c r="A393" s="2200" t="s">
        <v>10723</v>
      </c>
      <c r="B393" s="2200" t="s">
        <v>11500</v>
      </c>
      <c r="C393" s="2200" t="s">
        <v>11501</v>
      </c>
      <c r="D393" s="2200" t="str">
        <f t="shared" si="24"/>
        <v>CO</v>
      </c>
      <c r="E393" s="2200">
        <f t="shared" si="25"/>
        <v>13</v>
      </c>
      <c r="F393" s="2200" t="str">
        <f t="shared" si="26"/>
        <v>08</v>
      </c>
      <c r="G393" s="2200" t="str">
        <f t="shared" si="27"/>
        <v>85485</v>
      </c>
      <c r="H393" s="2200">
        <f>--SUBTOTAL(3,C$2:C393)</f>
        <v>0</v>
      </c>
    </row>
    <row r="394" spans="1:8" hidden="1" x14ac:dyDescent="0.15">
      <c r="A394" s="2200" t="s">
        <v>11502</v>
      </c>
      <c r="B394" s="2200" t="s">
        <v>11503</v>
      </c>
      <c r="C394" s="2200" t="s">
        <v>11504</v>
      </c>
      <c r="D394" s="2200" t="str">
        <f t="shared" si="24"/>
        <v>CT</v>
      </c>
      <c r="E394" s="2200">
        <f t="shared" si="25"/>
        <v>13</v>
      </c>
      <c r="F394" s="2200" t="str">
        <f t="shared" si="26"/>
        <v>09</v>
      </c>
      <c r="G394" s="2200" t="str">
        <f t="shared" si="27"/>
        <v>01080</v>
      </c>
      <c r="H394" s="2200">
        <f>--SUBTOTAL(3,C$2:C394)</f>
        <v>0</v>
      </c>
    </row>
    <row r="395" spans="1:8" hidden="1" x14ac:dyDescent="0.15">
      <c r="A395" s="2200" t="s">
        <v>11502</v>
      </c>
      <c r="B395" s="2200" t="s">
        <v>11505</v>
      </c>
      <c r="C395" s="2200" t="s">
        <v>11506</v>
      </c>
      <c r="D395" s="2200" t="str">
        <f t="shared" si="24"/>
        <v>CT</v>
      </c>
      <c r="E395" s="2200">
        <f t="shared" si="25"/>
        <v>18</v>
      </c>
      <c r="F395" s="2200" t="str">
        <f t="shared" si="26"/>
        <v>09</v>
      </c>
      <c r="G395" s="2200" t="str">
        <f t="shared" si="27"/>
        <v>01150</v>
      </c>
      <c r="H395" s="2200">
        <f>--SUBTOTAL(3,C$2:C395)</f>
        <v>0</v>
      </c>
    </row>
    <row r="396" spans="1:8" hidden="1" x14ac:dyDescent="0.15">
      <c r="A396" s="2200" t="s">
        <v>11502</v>
      </c>
      <c r="B396" s="2200" t="s">
        <v>11507</v>
      </c>
      <c r="C396" s="2200" t="s">
        <v>11508</v>
      </c>
      <c r="D396" s="2200" t="str">
        <f t="shared" si="24"/>
        <v>CT</v>
      </c>
      <c r="E396" s="2200">
        <f t="shared" si="25"/>
        <v>13</v>
      </c>
      <c r="F396" s="2200" t="str">
        <f t="shared" si="26"/>
        <v>09</v>
      </c>
      <c r="G396" s="2200" t="str">
        <f t="shared" si="27"/>
        <v>01430</v>
      </c>
      <c r="H396" s="2200">
        <f>--SUBTOTAL(3,C$2:C396)</f>
        <v>0</v>
      </c>
    </row>
    <row r="397" spans="1:8" hidden="1" x14ac:dyDescent="0.15">
      <c r="A397" s="2200" t="s">
        <v>11502</v>
      </c>
      <c r="B397" s="2200" t="s">
        <v>11509</v>
      </c>
      <c r="C397" s="2200" t="s">
        <v>11510</v>
      </c>
      <c r="D397" s="2200" t="str">
        <f t="shared" si="24"/>
        <v>CT</v>
      </c>
      <c r="E397" s="2200">
        <f t="shared" si="25"/>
        <v>10</v>
      </c>
      <c r="F397" s="2200" t="str">
        <f t="shared" si="26"/>
        <v>09</v>
      </c>
      <c r="G397" s="2200" t="str">
        <f t="shared" si="27"/>
        <v>02060</v>
      </c>
      <c r="H397" s="2200">
        <f>--SUBTOTAL(3,C$2:C397)</f>
        <v>0</v>
      </c>
    </row>
    <row r="398" spans="1:8" hidden="1" x14ac:dyDescent="0.15">
      <c r="A398" s="2200" t="s">
        <v>11502</v>
      </c>
      <c r="B398" s="2200" t="s">
        <v>11511</v>
      </c>
      <c r="C398" s="2200" t="s">
        <v>11512</v>
      </c>
      <c r="D398" s="2200" t="str">
        <f t="shared" si="24"/>
        <v>CT</v>
      </c>
      <c r="E398" s="2200">
        <f t="shared" si="25"/>
        <v>17</v>
      </c>
      <c r="F398" s="2200" t="str">
        <f t="shared" si="26"/>
        <v>09</v>
      </c>
      <c r="G398" s="2200" t="str">
        <f t="shared" si="27"/>
        <v>02760</v>
      </c>
      <c r="H398" s="2200">
        <f>--SUBTOTAL(3,C$2:C398)</f>
        <v>0</v>
      </c>
    </row>
    <row r="399" spans="1:8" hidden="1" x14ac:dyDescent="0.15">
      <c r="A399" s="2200" t="s">
        <v>11502</v>
      </c>
      <c r="B399" s="2200" t="s">
        <v>11513</v>
      </c>
      <c r="C399" s="2200" t="s">
        <v>11514</v>
      </c>
      <c r="D399" s="2200" t="str">
        <f t="shared" si="24"/>
        <v>CT</v>
      </c>
      <c r="E399" s="2200">
        <f t="shared" si="25"/>
        <v>18</v>
      </c>
      <c r="F399" s="2200" t="str">
        <f t="shared" si="26"/>
        <v>09</v>
      </c>
      <c r="G399" s="2200" t="str">
        <f t="shared" si="27"/>
        <v>03250</v>
      </c>
      <c r="H399" s="2200">
        <f>--SUBTOTAL(3,C$2:C399)</f>
        <v>0</v>
      </c>
    </row>
    <row r="400" spans="1:8" hidden="1" x14ac:dyDescent="0.15">
      <c r="A400" s="2200" t="s">
        <v>11502</v>
      </c>
      <c r="B400" s="2200" t="s">
        <v>11515</v>
      </c>
      <c r="C400" s="2200" t="s">
        <v>11516</v>
      </c>
      <c r="D400" s="2200" t="str">
        <f t="shared" si="24"/>
        <v>CT</v>
      </c>
      <c r="E400" s="2200">
        <f t="shared" si="25"/>
        <v>12</v>
      </c>
      <c r="F400" s="2200" t="str">
        <f t="shared" si="26"/>
        <v>09</v>
      </c>
      <c r="G400" s="2200" t="str">
        <f t="shared" si="27"/>
        <v>04300</v>
      </c>
      <c r="H400" s="2200">
        <f>--SUBTOTAL(3,C$2:C400)</f>
        <v>0</v>
      </c>
    </row>
    <row r="401" spans="1:8" hidden="1" x14ac:dyDescent="0.15">
      <c r="A401" s="2200" t="s">
        <v>11502</v>
      </c>
      <c r="B401" s="2200" t="s">
        <v>11517</v>
      </c>
      <c r="C401" s="2200" t="s">
        <v>11518</v>
      </c>
      <c r="D401" s="2200" t="str">
        <f t="shared" si="24"/>
        <v>CT</v>
      </c>
      <c r="E401" s="2200">
        <f t="shared" si="25"/>
        <v>13</v>
      </c>
      <c r="F401" s="2200" t="str">
        <f t="shared" si="26"/>
        <v>09</v>
      </c>
      <c r="G401" s="2200" t="str">
        <f t="shared" si="27"/>
        <v>04580</v>
      </c>
      <c r="H401" s="2200">
        <f>--SUBTOTAL(3,C$2:C401)</f>
        <v>0</v>
      </c>
    </row>
    <row r="402" spans="1:8" hidden="1" x14ac:dyDescent="0.15">
      <c r="A402" s="2200" t="s">
        <v>11502</v>
      </c>
      <c r="B402" s="2200" t="s">
        <v>11519</v>
      </c>
      <c r="C402" s="2200" t="s">
        <v>11520</v>
      </c>
      <c r="D402" s="2200" t="str">
        <f t="shared" si="24"/>
        <v>CT</v>
      </c>
      <c r="E402" s="2200">
        <f t="shared" si="25"/>
        <v>12</v>
      </c>
      <c r="F402" s="2200" t="str">
        <f t="shared" si="26"/>
        <v>09</v>
      </c>
      <c r="G402" s="2200" t="str">
        <f t="shared" si="27"/>
        <v>04720</v>
      </c>
      <c r="H402" s="2200">
        <f>--SUBTOTAL(3,C$2:C402)</f>
        <v>0</v>
      </c>
    </row>
    <row r="403" spans="1:8" hidden="1" x14ac:dyDescent="0.15">
      <c r="A403" s="2200" t="s">
        <v>11502</v>
      </c>
      <c r="B403" s="2200" t="s">
        <v>11521</v>
      </c>
      <c r="C403" s="2200" t="s">
        <v>11522</v>
      </c>
      <c r="D403" s="2200" t="str">
        <f t="shared" si="24"/>
        <v>CT</v>
      </c>
      <c r="E403" s="2200">
        <f t="shared" si="25"/>
        <v>15</v>
      </c>
      <c r="F403" s="2200" t="str">
        <f t="shared" si="26"/>
        <v>09</v>
      </c>
      <c r="G403" s="2200" t="str">
        <f t="shared" si="27"/>
        <v>04930</v>
      </c>
      <c r="H403" s="2200">
        <f>--SUBTOTAL(3,C$2:C403)</f>
        <v>0</v>
      </c>
    </row>
    <row r="404" spans="1:8" hidden="1" x14ac:dyDescent="0.15">
      <c r="A404" s="2200" t="s">
        <v>11502</v>
      </c>
      <c r="B404" s="2200" t="s">
        <v>11523</v>
      </c>
      <c r="C404" s="2200" t="s">
        <v>11524</v>
      </c>
      <c r="D404" s="2200" t="str">
        <f t="shared" si="24"/>
        <v>CT</v>
      </c>
      <c r="E404" s="2200">
        <f t="shared" si="25"/>
        <v>16</v>
      </c>
      <c r="F404" s="2200" t="str">
        <f t="shared" si="26"/>
        <v>09</v>
      </c>
      <c r="G404" s="2200" t="str">
        <f t="shared" si="27"/>
        <v>05910</v>
      </c>
      <c r="H404" s="2200">
        <f>--SUBTOTAL(3,C$2:C404)</f>
        <v>0</v>
      </c>
    </row>
    <row r="405" spans="1:8" hidden="1" x14ac:dyDescent="0.15">
      <c r="A405" s="2200" t="s">
        <v>11502</v>
      </c>
      <c r="B405" s="2200" t="s">
        <v>11525</v>
      </c>
      <c r="C405" s="2200" t="s">
        <v>11526</v>
      </c>
      <c r="D405" s="2200" t="str">
        <f t="shared" si="24"/>
        <v>CT</v>
      </c>
      <c r="E405" s="2200">
        <f t="shared" si="25"/>
        <v>12</v>
      </c>
      <c r="F405" s="2200" t="str">
        <f t="shared" si="26"/>
        <v>09</v>
      </c>
      <c r="G405" s="2200" t="str">
        <f t="shared" si="27"/>
        <v>06260</v>
      </c>
      <c r="H405" s="2200">
        <f>--SUBTOTAL(3,C$2:C405)</f>
        <v>0</v>
      </c>
    </row>
    <row r="406" spans="1:8" hidden="1" x14ac:dyDescent="0.15">
      <c r="A406" s="2200" t="s">
        <v>11502</v>
      </c>
      <c r="B406" s="2200" t="s">
        <v>11527</v>
      </c>
      <c r="C406" s="2200" t="s">
        <v>11528</v>
      </c>
      <c r="D406" s="2200" t="str">
        <f t="shared" si="24"/>
        <v>CT</v>
      </c>
      <c r="E406" s="2200">
        <f t="shared" si="25"/>
        <v>12</v>
      </c>
      <c r="F406" s="2200" t="str">
        <f t="shared" si="26"/>
        <v>09</v>
      </c>
      <c r="G406" s="2200" t="str">
        <f t="shared" si="27"/>
        <v>06820</v>
      </c>
      <c r="H406" s="2200">
        <f>--SUBTOTAL(3,C$2:C406)</f>
        <v>0</v>
      </c>
    </row>
    <row r="407" spans="1:8" hidden="1" x14ac:dyDescent="0.15">
      <c r="A407" s="2200" t="s">
        <v>10723</v>
      </c>
      <c r="B407" s="2200" t="s">
        <v>11529</v>
      </c>
      <c r="C407" s="2200" t="s">
        <v>11530</v>
      </c>
      <c r="D407" s="2200" t="str">
        <f t="shared" si="24"/>
        <v>CT</v>
      </c>
      <c r="E407" s="2200">
        <f t="shared" si="25"/>
        <v>14</v>
      </c>
      <c r="F407" s="2200" t="str">
        <f t="shared" si="26"/>
        <v>09</v>
      </c>
      <c r="G407" s="2200" t="str">
        <f t="shared" si="27"/>
        <v>07310</v>
      </c>
      <c r="H407" s="2200">
        <f>--SUBTOTAL(3,C$2:C407)</f>
        <v>0</v>
      </c>
    </row>
    <row r="408" spans="1:8" hidden="1" x14ac:dyDescent="0.15">
      <c r="A408" s="2200" t="s">
        <v>10723</v>
      </c>
      <c r="B408" s="2200" t="s">
        <v>11531</v>
      </c>
      <c r="C408" s="2200" t="s">
        <v>11532</v>
      </c>
      <c r="D408" s="2200" t="str">
        <f t="shared" si="24"/>
        <v>CT</v>
      </c>
      <c r="E408" s="2200">
        <f t="shared" si="25"/>
        <v>21</v>
      </c>
      <c r="F408" s="2200" t="str">
        <f t="shared" si="26"/>
        <v>09</v>
      </c>
      <c r="G408" s="2200" t="str">
        <f t="shared" si="27"/>
        <v>08000</v>
      </c>
      <c r="H408" s="2200">
        <f>--SUBTOTAL(3,C$2:C408)</f>
        <v>0</v>
      </c>
    </row>
    <row r="409" spans="1:8" hidden="1" x14ac:dyDescent="0.15">
      <c r="A409" s="2200" t="s">
        <v>11502</v>
      </c>
      <c r="B409" s="2200" t="s">
        <v>11533</v>
      </c>
      <c r="C409" s="2200" t="s">
        <v>11534</v>
      </c>
      <c r="D409" s="2200" t="str">
        <f t="shared" si="24"/>
        <v>CT</v>
      </c>
      <c r="E409" s="2200">
        <f t="shared" si="25"/>
        <v>17</v>
      </c>
      <c r="F409" s="2200" t="str">
        <f t="shared" si="26"/>
        <v>09</v>
      </c>
      <c r="G409" s="2200" t="str">
        <f t="shared" si="27"/>
        <v>08210</v>
      </c>
      <c r="H409" s="2200">
        <f>--SUBTOTAL(3,C$2:C409)</f>
        <v>0</v>
      </c>
    </row>
    <row r="410" spans="1:8" hidden="1" x14ac:dyDescent="0.15">
      <c r="A410" s="2200" t="s">
        <v>10723</v>
      </c>
      <c r="B410" s="2200" t="s">
        <v>11535</v>
      </c>
      <c r="C410" s="2200" t="s">
        <v>11536</v>
      </c>
      <c r="D410" s="2200" t="str">
        <f t="shared" si="24"/>
        <v>CT</v>
      </c>
      <c r="E410" s="2200">
        <f t="shared" si="25"/>
        <v>18</v>
      </c>
      <c r="F410" s="2200" t="str">
        <f t="shared" si="26"/>
        <v>09</v>
      </c>
      <c r="G410" s="2200" t="str">
        <f t="shared" si="27"/>
        <v>08420</v>
      </c>
      <c r="H410" s="2200">
        <f>--SUBTOTAL(3,C$2:C410)</f>
        <v>0</v>
      </c>
    </row>
    <row r="411" spans="1:8" hidden="1" x14ac:dyDescent="0.15">
      <c r="A411" s="2200" t="s">
        <v>11502</v>
      </c>
      <c r="B411" s="2200" t="s">
        <v>11537</v>
      </c>
      <c r="C411" s="2200" t="s">
        <v>11538</v>
      </c>
      <c r="D411" s="2200" t="str">
        <f t="shared" si="24"/>
        <v>CT</v>
      </c>
      <c r="E411" s="2200">
        <f t="shared" si="25"/>
        <v>16</v>
      </c>
      <c r="F411" s="2200" t="str">
        <f t="shared" si="26"/>
        <v>09</v>
      </c>
      <c r="G411" s="2200" t="str">
        <f t="shared" si="27"/>
        <v>08980</v>
      </c>
      <c r="H411" s="2200">
        <f>--SUBTOTAL(3,C$2:C411)</f>
        <v>0</v>
      </c>
    </row>
    <row r="412" spans="1:8" hidden="1" x14ac:dyDescent="0.15">
      <c r="A412" s="2200" t="s">
        <v>11502</v>
      </c>
      <c r="B412" s="2200" t="s">
        <v>11539</v>
      </c>
      <c r="C412" s="2200" t="s">
        <v>11540</v>
      </c>
      <c r="D412" s="2200" t="str">
        <f t="shared" si="24"/>
        <v>CT</v>
      </c>
      <c r="E412" s="2200">
        <f t="shared" si="25"/>
        <v>14</v>
      </c>
      <c r="F412" s="2200" t="str">
        <f t="shared" si="26"/>
        <v>09</v>
      </c>
      <c r="G412" s="2200" t="str">
        <f t="shared" si="27"/>
        <v>09190</v>
      </c>
      <c r="H412" s="2200">
        <f>--SUBTOTAL(3,C$2:C412)</f>
        <v>0</v>
      </c>
    </row>
    <row r="413" spans="1:8" hidden="1" x14ac:dyDescent="0.15">
      <c r="A413" s="2200" t="s">
        <v>11502</v>
      </c>
      <c r="B413" s="2200" t="s">
        <v>11541</v>
      </c>
      <c r="C413" s="2200" t="s">
        <v>11542</v>
      </c>
      <c r="D413" s="2200" t="str">
        <f t="shared" si="24"/>
        <v>CT</v>
      </c>
      <c r="E413" s="2200">
        <f t="shared" si="25"/>
        <v>16</v>
      </c>
      <c r="F413" s="2200" t="str">
        <f t="shared" si="26"/>
        <v>09</v>
      </c>
      <c r="G413" s="2200" t="str">
        <f t="shared" si="27"/>
        <v>10100</v>
      </c>
      <c r="H413" s="2200">
        <f>--SUBTOTAL(3,C$2:C413)</f>
        <v>0</v>
      </c>
    </row>
    <row r="414" spans="1:8" hidden="1" x14ac:dyDescent="0.15">
      <c r="A414" s="2200" t="s">
        <v>11502</v>
      </c>
      <c r="B414" s="2200" t="s">
        <v>11543</v>
      </c>
      <c r="C414" s="2200" t="s">
        <v>11544</v>
      </c>
      <c r="D414" s="2200" t="str">
        <f t="shared" si="24"/>
        <v>CT</v>
      </c>
      <c r="E414" s="2200">
        <f t="shared" si="25"/>
        <v>12</v>
      </c>
      <c r="F414" s="2200" t="str">
        <f t="shared" si="26"/>
        <v>09</v>
      </c>
      <c r="G414" s="2200" t="str">
        <f t="shared" si="27"/>
        <v>10940</v>
      </c>
      <c r="H414" s="2200">
        <f>--SUBTOTAL(3,C$2:C414)</f>
        <v>0</v>
      </c>
    </row>
    <row r="415" spans="1:8" hidden="1" x14ac:dyDescent="0.15">
      <c r="A415" s="2200" t="s">
        <v>11502</v>
      </c>
      <c r="B415" s="2200" t="s">
        <v>11545</v>
      </c>
      <c r="C415" s="2200" t="s">
        <v>11546</v>
      </c>
      <c r="D415" s="2200" t="str">
        <f t="shared" si="24"/>
        <v>CT</v>
      </c>
      <c r="E415" s="2200">
        <f t="shared" si="25"/>
        <v>16</v>
      </c>
      <c r="F415" s="2200" t="str">
        <f t="shared" si="26"/>
        <v>09</v>
      </c>
      <c r="G415" s="2200" t="str">
        <f t="shared" si="27"/>
        <v>12130</v>
      </c>
      <c r="H415" s="2200">
        <f>--SUBTOTAL(3,C$2:C415)</f>
        <v>0</v>
      </c>
    </row>
    <row r="416" spans="1:8" hidden="1" x14ac:dyDescent="0.15">
      <c r="A416" s="2200" t="s">
        <v>11502</v>
      </c>
      <c r="B416" s="2200" t="s">
        <v>11547</v>
      </c>
      <c r="C416" s="2200" t="s">
        <v>11548</v>
      </c>
      <c r="D416" s="2200" t="str">
        <f t="shared" si="24"/>
        <v>CT</v>
      </c>
      <c r="E416" s="2200">
        <f t="shared" si="25"/>
        <v>12</v>
      </c>
      <c r="F416" s="2200" t="str">
        <f t="shared" si="26"/>
        <v>09</v>
      </c>
      <c r="G416" s="2200" t="str">
        <f t="shared" si="27"/>
        <v>12270</v>
      </c>
      <c r="H416" s="2200">
        <f>--SUBTOTAL(3,C$2:C416)</f>
        <v>0</v>
      </c>
    </row>
    <row r="417" spans="1:8" hidden="1" x14ac:dyDescent="0.15">
      <c r="A417" s="2200" t="s">
        <v>11502</v>
      </c>
      <c r="B417" s="2200" t="s">
        <v>11549</v>
      </c>
      <c r="C417" s="2200" t="s">
        <v>11550</v>
      </c>
      <c r="D417" s="2200" t="str">
        <f t="shared" si="24"/>
        <v>CT</v>
      </c>
      <c r="E417" s="2200">
        <f t="shared" si="25"/>
        <v>13</v>
      </c>
      <c r="F417" s="2200" t="str">
        <f t="shared" si="26"/>
        <v>09</v>
      </c>
      <c r="G417" s="2200" t="str">
        <f t="shared" si="27"/>
        <v>13810</v>
      </c>
      <c r="H417" s="2200">
        <f>--SUBTOTAL(3,C$2:C417)</f>
        <v>0</v>
      </c>
    </row>
    <row r="418" spans="1:8" hidden="1" x14ac:dyDescent="0.15">
      <c r="A418" s="2200" t="s">
        <v>10723</v>
      </c>
      <c r="B418" s="2200" t="s">
        <v>11551</v>
      </c>
      <c r="C418" s="2200" t="s">
        <v>11552</v>
      </c>
      <c r="D418" s="2200" t="str">
        <f t="shared" si="24"/>
        <v>CT</v>
      </c>
      <c r="E418" s="2200">
        <f t="shared" si="25"/>
        <v>14</v>
      </c>
      <c r="F418" s="2200" t="str">
        <f t="shared" si="26"/>
        <v>09</v>
      </c>
      <c r="G418" s="2200" t="str">
        <f t="shared" si="27"/>
        <v>14160</v>
      </c>
      <c r="H418" s="2200">
        <f>--SUBTOTAL(3,C$2:C418)</f>
        <v>0</v>
      </c>
    </row>
    <row r="419" spans="1:8" hidden="1" x14ac:dyDescent="0.15">
      <c r="A419" s="2200" t="s">
        <v>11502</v>
      </c>
      <c r="B419" s="2200" t="s">
        <v>11553</v>
      </c>
      <c r="C419" s="2200" t="s">
        <v>11554</v>
      </c>
      <c r="D419" s="2200" t="str">
        <f t="shared" si="24"/>
        <v>CT</v>
      </c>
      <c r="E419" s="2200">
        <f t="shared" si="25"/>
        <v>13</v>
      </c>
      <c r="F419" s="2200" t="str">
        <f t="shared" si="26"/>
        <v>09</v>
      </c>
      <c r="G419" s="2200" t="str">
        <f t="shared" si="27"/>
        <v>14300</v>
      </c>
      <c r="H419" s="2200">
        <f>--SUBTOTAL(3,C$2:C419)</f>
        <v>0</v>
      </c>
    </row>
    <row r="420" spans="1:8" hidden="1" x14ac:dyDescent="0.15">
      <c r="A420" s="2200" t="s">
        <v>11502</v>
      </c>
      <c r="B420" s="2200" t="s">
        <v>11555</v>
      </c>
      <c r="C420" s="2200" t="s">
        <v>11556</v>
      </c>
      <c r="D420" s="2200" t="str">
        <f t="shared" si="24"/>
        <v>CT</v>
      </c>
      <c r="E420" s="2200">
        <f t="shared" si="25"/>
        <v>13</v>
      </c>
      <c r="F420" s="2200" t="str">
        <f t="shared" si="26"/>
        <v>09</v>
      </c>
      <c r="G420" s="2200" t="str">
        <f t="shared" si="27"/>
        <v>15350</v>
      </c>
      <c r="H420" s="2200">
        <f>--SUBTOTAL(3,C$2:C420)</f>
        <v>0</v>
      </c>
    </row>
    <row r="421" spans="1:8" hidden="1" x14ac:dyDescent="0.15">
      <c r="A421" s="2200" t="s">
        <v>11502</v>
      </c>
      <c r="B421" s="2200" t="s">
        <v>11557</v>
      </c>
      <c r="C421" s="2200" t="s">
        <v>11558</v>
      </c>
      <c r="D421" s="2200" t="str">
        <f t="shared" si="24"/>
        <v>CT</v>
      </c>
      <c r="E421" s="2200">
        <f t="shared" si="25"/>
        <v>16</v>
      </c>
      <c r="F421" s="2200" t="str">
        <f t="shared" si="26"/>
        <v>09</v>
      </c>
      <c r="G421" s="2200" t="str">
        <f t="shared" si="27"/>
        <v>15910</v>
      </c>
      <c r="H421" s="2200">
        <f>--SUBTOTAL(3,C$2:C421)</f>
        <v>0</v>
      </c>
    </row>
    <row r="422" spans="1:8" hidden="1" x14ac:dyDescent="0.15">
      <c r="A422" s="2200" t="s">
        <v>11502</v>
      </c>
      <c r="B422" s="2200" t="s">
        <v>11559</v>
      </c>
      <c r="C422" s="2200" t="s">
        <v>11560</v>
      </c>
      <c r="D422" s="2200" t="str">
        <f t="shared" si="24"/>
        <v>CT</v>
      </c>
      <c r="E422" s="2200">
        <f t="shared" si="25"/>
        <v>15</v>
      </c>
      <c r="F422" s="2200" t="str">
        <f t="shared" si="26"/>
        <v>09</v>
      </c>
      <c r="G422" s="2200" t="str">
        <f t="shared" si="27"/>
        <v>16050</v>
      </c>
      <c r="H422" s="2200">
        <f>--SUBTOTAL(3,C$2:C422)</f>
        <v>0</v>
      </c>
    </row>
    <row r="423" spans="1:8" hidden="1" x14ac:dyDescent="0.15">
      <c r="A423" s="2200" t="s">
        <v>11502</v>
      </c>
      <c r="B423" s="2200" t="s">
        <v>11561</v>
      </c>
      <c r="C423" s="2200" t="s">
        <v>11562</v>
      </c>
      <c r="D423" s="2200" t="str">
        <f t="shared" si="24"/>
        <v>CT</v>
      </c>
      <c r="E423" s="2200">
        <f t="shared" si="25"/>
        <v>14</v>
      </c>
      <c r="F423" s="2200" t="str">
        <f t="shared" si="26"/>
        <v>09</v>
      </c>
      <c r="G423" s="2200" t="str">
        <f t="shared" si="27"/>
        <v>16400</v>
      </c>
      <c r="H423" s="2200">
        <f>--SUBTOTAL(3,C$2:C423)</f>
        <v>0</v>
      </c>
    </row>
    <row r="424" spans="1:8" hidden="1" x14ac:dyDescent="0.15">
      <c r="A424" s="2200" t="s">
        <v>11502</v>
      </c>
      <c r="B424" s="2200" t="s">
        <v>11563</v>
      </c>
      <c r="C424" s="2200" t="s">
        <v>11564</v>
      </c>
      <c r="D424" s="2200" t="str">
        <f t="shared" si="24"/>
        <v>CT</v>
      </c>
      <c r="E424" s="2200">
        <f t="shared" si="25"/>
        <v>14</v>
      </c>
      <c r="F424" s="2200" t="str">
        <f t="shared" si="26"/>
        <v>09</v>
      </c>
      <c r="G424" s="2200" t="str">
        <f t="shared" si="27"/>
        <v>17240</v>
      </c>
      <c r="H424" s="2200">
        <f>--SUBTOTAL(3,C$2:C424)</f>
        <v>0</v>
      </c>
    </row>
    <row r="425" spans="1:8" hidden="1" x14ac:dyDescent="0.15">
      <c r="A425" s="2200" t="s">
        <v>11502</v>
      </c>
      <c r="B425" s="2200" t="s">
        <v>11565</v>
      </c>
      <c r="C425" s="2200" t="s">
        <v>11566</v>
      </c>
      <c r="D425" s="2200" t="str">
        <f t="shared" si="24"/>
        <v>CT</v>
      </c>
      <c r="E425" s="2200">
        <f t="shared" si="25"/>
        <v>14</v>
      </c>
      <c r="F425" s="2200" t="str">
        <f t="shared" si="26"/>
        <v>09</v>
      </c>
      <c r="G425" s="2200" t="str">
        <f t="shared" si="27"/>
        <v>17800</v>
      </c>
      <c r="H425" s="2200">
        <f>--SUBTOTAL(3,C$2:C425)</f>
        <v>0</v>
      </c>
    </row>
    <row r="426" spans="1:8" hidden="1" x14ac:dyDescent="0.15">
      <c r="A426" s="2200" t="s">
        <v>11502</v>
      </c>
      <c r="B426" s="2200" t="s">
        <v>11567</v>
      </c>
      <c r="C426" s="2200" t="s">
        <v>11568</v>
      </c>
      <c r="D426" s="2200" t="str">
        <f t="shared" si="24"/>
        <v>CT</v>
      </c>
      <c r="E426" s="2200">
        <f t="shared" si="25"/>
        <v>14</v>
      </c>
      <c r="F426" s="2200" t="str">
        <f t="shared" si="26"/>
        <v>09</v>
      </c>
      <c r="G426" s="2200" t="str">
        <f t="shared" si="27"/>
        <v>18080</v>
      </c>
      <c r="H426" s="2200">
        <f>--SUBTOTAL(3,C$2:C426)</f>
        <v>0</v>
      </c>
    </row>
    <row r="427" spans="1:8" hidden="1" x14ac:dyDescent="0.15">
      <c r="A427" s="2200" t="s">
        <v>10723</v>
      </c>
      <c r="B427" s="2200" t="s">
        <v>11569</v>
      </c>
      <c r="C427" s="2200" t="s">
        <v>11570</v>
      </c>
      <c r="D427" s="2200" t="str">
        <f t="shared" si="24"/>
        <v>CT</v>
      </c>
      <c r="E427" s="2200">
        <f t="shared" si="25"/>
        <v>18</v>
      </c>
      <c r="F427" s="2200" t="str">
        <f t="shared" si="26"/>
        <v>09</v>
      </c>
      <c r="G427" s="2200" t="str">
        <f t="shared" si="27"/>
        <v>18430</v>
      </c>
      <c r="H427" s="2200">
        <f>--SUBTOTAL(3,C$2:C427)</f>
        <v>0</v>
      </c>
    </row>
    <row r="428" spans="1:8" hidden="1" x14ac:dyDescent="0.15">
      <c r="A428" s="2200" t="s">
        <v>11502</v>
      </c>
      <c r="B428" s="2200" t="s">
        <v>11571</v>
      </c>
      <c r="C428" s="2200" t="s">
        <v>11572</v>
      </c>
      <c r="D428" s="2200" t="str">
        <f t="shared" si="24"/>
        <v>CT</v>
      </c>
      <c r="E428" s="2200">
        <f t="shared" si="25"/>
        <v>12</v>
      </c>
      <c r="F428" s="2200" t="str">
        <f t="shared" si="26"/>
        <v>09</v>
      </c>
      <c r="G428" s="2200" t="str">
        <f t="shared" si="27"/>
        <v>18850</v>
      </c>
      <c r="H428" s="2200">
        <f>--SUBTOTAL(3,C$2:C428)</f>
        <v>0</v>
      </c>
    </row>
    <row r="429" spans="1:8" hidden="1" x14ac:dyDescent="0.15">
      <c r="A429" s="2200" t="s">
        <v>11502</v>
      </c>
      <c r="B429" s="2200" t="s">
        <v>11573</v>
      </c>
      <c r="C429" s="2200" t="s">
        <v>11574</v>
      </c>
      <c r="D429" s="2200" t="str">
        <f t="shared" si="24"/>
        <v>CT</v>
      </c>
      <c r="E429" s="2200">
        <f t="shared" si="25"/>
        <v>16</v>
      </c>
      <c r="F429" s="2200" t="str">
        <f t="shared" si="26"/>
        <v>09</v>
      </c>
      <c r="G429" s="2200" t="str">
        <f t="shared" si="27"/>
        <v>19130</v>
      </c>
      <c r="H429" s="2200">
        <f>--SUBTOTAL(3,C$2:C429)</f>
        <v>0</v>
      </c>
    </row>
    <row r="430" spans="1:8" hidden="1" x14ac:dyDescent="0.15">
      <c r="A430" s="2200" t="s">
        <v>11502</v>
      </c>
      <c r="B430" s="2200" t="s">
        <v>11575</v>
      </c>
      <c r="C430" s="2200" t="s">
        <v>11576</v>
      </c>
      <c r="D430" s="2200" t="str">
        <f t="shared" si="24"/>
        <v>CT</v>
      </c>
      <c r="E430" s="2200">
        <f t="shared" si="25"/>
        <v>16</v>
      </c>
      <c r="F430" s="2200" t="str">
        <f t="shared" si="26"/>
        <v>09</v>
      </c>
      <c r="G430" s="2200" t="str">
        <f t="shared" si="27"/>
        <v>19480</v>
      </c>
      <c r="H430" s="2200">
        <f>--SUBTOTAL(3,C$2:C430)</f>
        <v>0</v>
      </c>
    </row>
    <row r="431" spans="1:8" hidden="1" x14ac:dyDescent="0.15">
      <c r="A431" s="2200" t="s">
        <v>11502</v>
      </c>
      <c r="B431" s="2200" t="s">
        <v>11577</v>
      </c>
      <c r="C431" s="2200" t="s">
        <v>11578</v>
      </c>
      <c r="D431" s="2200" t="str">
        <f t="shared" si="24"/>
        <v>CT</v>
      </c>
      <c r="E431" s="2200">
        <f t="shared" si="25"/>
        <v>12</v>
      </c>
      <c r="F431" s="2200" t="str">
        <f t="shared" si="26"/>
        <v>09</v>
      </c>
      <c r="G431" s="2200" t="str">
        <f t="shared" si="27"/>
        <v>20810</v>
      </c>
      <c r="H431" s="2200">
        <f>--SUBTOTAL(3,C$2:C431)</f>
        <v>0</v>
      </c>
    </row>
    <row r="432" spans="1:8" hidden="1" x14ac:dyDescent="0.15">
      <c r="A432" s="2200" t="s">
        <v>11502</v>
      </c>
      <c r="B432" s="2200" t="s">
        <v>11579</v>
      </c>
      <c r="C432" s="2200" t="s">
        <v>11580</v>
      </c>
      <c r="D432" s="2200" t="str">
        <f t="shared" si="24"/>
        <v>CT</v>
      </c>
      <c r="E432" s="2200">
        <f t="shared" si="25"/>
        <v>17</v>
      </c>
      <c r="F432" s="2200" t="str">
        <f t="shared" si="26"/>
        <v>09</v>
      </c>
      <c r="G432" s="2200" t="str">
        <f t="shared" si="27"/>
        <v>22070</v>
      </c>
      <c r="H432" s="2200">
        <f>--SUBTOTAL(3,C$2:C432)</f>
        <v>0</v>
      </c>
    </row>
    <row r="433" spans="1:8" hidden="1" x14ac:dyDescent="0.15">
      <c r="A433" s="2200" t="s">
        <v>11502</v>
      </c>
      <c r="B433" s="2200" t="s">
        <v>11581</v>
      </c>
      <c r="C433" s="2200" t="s">
        <v>11582</v>
      </c>
      <c r="D433" s="2200" t="str">
        <f t="shared" si="24"/>
        <v>CT</v>
      </c>
      <c r="E433" s="2200">
        <f t="shared" si="25"/>
        <v>17</v>
      </c>
      <c r="F433" s="2200" t="str">
        <f t="shared" si="26"/>
        <v>09</v>
      </c>
      <c r="G433" s="2200" t="str">
        <f t="shared" si="27"/>
        <v>22280</v>
      </c>
      <c r="H433" s="2200">
        <f>--SUBTOTAL(3,C$2:C433)</f>
        <v>0</v>
      </c>
    </row>
    <row r="434" spans="1:8" hidden="1" x14ac:dyDescent="0.15">
      <c r="A434" s="2200" t="s">
        <v>11502</v>
      </c>
      <c r="B434" s="2200" t="s">
        <v>11583</v>
      </c>
      <c r="C434" s="2200" t="s">
        <v>11584</v>
      </c>
      <c r="D434" s="2200" t="str">
        <f t="shared" si="24"/>
        <v>CT</v>
      </c>
      <c r="E434" s="2200">
        <f t="shared" si="25"/>
        <v>18</v>
      </c>
      <c r="F434" s="2200" t="str">
        <f t="shared" si="26"/>
        <v>09</v>
      </c>
      <c r="G434" s="2200" t="str">
        <f t="shared" si="27"/>
        <v>22490</v>
      </c>
      <c r="H434" s="2200">
        <f>--SUBTOTAL(3,C$2:C434)</f>
        <v>0</v>
      </c>
    </row>
    <row r="435" spans="1:8" hidden="1" x14ac:dyDescent="0.15">
      <c r="A435" s="2200" t="s">
        <v>10723</v>
      </c>
      <c r="B435" s="2200" t="s">
        <v>11585</v>
      </c>
      <c r="C435" s="2200" t="s">
        <v>11586</v>
      </c>
      <c r="D435" s="2200" t="str">
        <f t="shared" si="24"/>
        <v>CT</v>
      </c>
      <c r="E435" s="2200">
        <f t="shared" si="25"/>
        <v>19</v>
      </c>
      <c r="F435" s="2200" t="str">
        <f t="shared" si="26"/>
        <v>09</v>
      </c>
      <c r="G435" s="2200" t="str">
        <f t="shared" si="27"/>
        <v>22630</v>
      </c>
      <c r="H435" s="2200">
        <f>--SUBTOTAL(3,C$2:C435)</f>
        <v>0</v>
      </c>
    </row>
    <row r="436" spans="1:8" hidden="1" x14ac:dyDescent="0.15">
      <c r="A436" s="2200" t="s">
        <v>10723</v>
      </c>
      <c r="B436" s="2200" t="s">
        <v>11587</v>
      </c>
      <c r="C436" s="2200" t="s">
        <v>11588</v>
      </c>
      <c r="D436" s="2200" t="str">
        <f t="shared" si="24"/>
        <v>CT</v>
      </c>
      <c r="E436" s="2200">
        <f t="shared" si="25"/>
        <v>16</v>
      </c>
      <c r="F436" s="2200" t="str">
        <f t="shared" si="26"/>
        <v>09</v>
      </c>
      <c r="G436" s="2200" t="str">
        <f t="shared" si="27"/>
        <v>22910</v>
      </c>
      <c r="H436" s="2200">
        <f>--SUBTOTAL(3,C$2:C436)</f>
        <v>0</v>
      </c>
    </row>
    <row r="437" spans="1:8" hidden="1" x14ac:dyDescent="0.15">
      <c r="A437" s="2200" t="s">
        <v>11502</v>
      </c>
      <c r="B437" s="2200" t="s">
        <v>11589</v>
      </c>
      <c r="C437" s="2200" t="s">
        <v>11590</v>
      </c>
      <c r="D437" s="2200" t="str">
        <f t="shared" si="24"/>
        <v>CT</v>
      </c>
      <c r="E437" s="2200">
        <f t="shared" si="25"/>
        <v>15</v>
      </c>
      <c r="F437" s="2200" t="str">
        <f t="shared" si="26"/>
        <v>09</v>
      </c>
      <c r="G437" s="2200" t="str">
        <f t="shared" si="27"/>
        <v>23400</v>
      </c>
      <c r="H437" s="2200">
        <f>--SUBTOTAL(3,C$2:C437)</f>
        <v>0</v>
      </c>
    </row>
    <row r="438" spans="1:8" hidden="1" x14ac:dyDescent="0.15">
      <c r="A438" s="2200" t="s">
        <v>11502</v>
      </c>
      <c r="B438" s="2200" t="s">
        <v>11591</v>
      </c>
      <c r="C438" s="2200" t="s">
        <v>11592</v>
      </c>
      <c r="D438" s="2200" t="str">
        <f t="shared" si="24"/>
        <v>CT</v>
      </c>
      <c r="E438" s="2200">
        <f t="shared" si="25"/>
        <v>18</v>
      </c>
      <c r="F438" s="2200" t="str">
        <f t="shared" si="26"/>
        <v>09</v>
      </c>
      <c r="G438" s="2200" t="str">
        <f t="shared" si="27"/>
        <v>24800</v>
      </c>
      <c r="H438" s="2200">
        <f>--SUBTOTAL(3,C$2:C438)</f>
        <v>0</v>
      </c>
    </row>
    <row r="439" spans="1:8" hidden="1" x14ac:dyDescent="0.15">
      <c r="A439" s="2200" t="s">
        <v>11502</v>
      </c>
      <c r="B439" s="2200" t="s">
        <v>11593</v>
      </c>
      <c r="C439" s="2200" t="s">
        <v>11594</v>
      </c>
      <c r="D439" s="2200" t="str">
        <f t="shared" si="24"/>
        <v>CT</v>
      </c>
      <c r="E439" s="2200">
        <f t="shared" si="25"/>
        <v>14</v>
      </c>
      <c r="F439" s="2200" t="str">
        <f t="shared" si="26"/>
        <v>09</v>
      </c>
      <c r="G439" s="2200" t="str">
        <f t="shared" si="27"/>
        <v>21860</v>
      </c>
      <c r="H439" s="2200">
        <f>--SUBTOTAL(3,C$2:C439)</f>
        <v>0</v>
      </c>
    </row>
    <row r="440" spans="1:8" hidden="1" x14ac:dyDescent="0.15">
      <c r="A440" s="2200" t="s">
        <v>11502</v>
      </c>
      <c r="B440" s="2200" t="s">
        <v>11595</v>
      </c>
      <c r="C440" s="2200" t="s">
        <v>11596</v>
      </c>
      <c r="D440" s="2200" t="str">
        <f t="shared" si="24"/>
        <v>CT</v>
      </c>
      <c r="E440" s="2200">
        <f t="shared" si="25"/>
        <v>12</v>
      </c>
      <c r="F440" s="2200" t="str">
        <f t="shared" si="26"/>
        <v>09</v>
      </c>
      <c r="G440" s="2200" t="str">
        <f t="shared" si="27"/>
        <v>23890</v>
      </c>
      <c r="H440" s="2200">
        <f>--SUBTOTAL(3,C$2:C440)</f>
        <v>0</v>
      </c>
    </row>
    <row r="441" spans="1:8" hidden="1" x14ac:dyDescent="0.15">
      <c r="A441" s="2200" t="s">
        <v>11502</v>
      </c>
      <c r="B441" s="2200" t="s">
        <v>11597</v>
      </c>
      <c r="C441" s="2200" t="s">
        <v>11598</v>
      </c>
      <c r="D441" s="2200" t="str">
        <f t="shared" si="24"/>
        <v>CT</v>
      </c>
      <c r="E441" s="2200">
        <f t="shared" si="25"/>
        <v>15</v>
      </c>
      <c r="F441" s="2200" t="str">
        <f t="shared" si="26"/>
        <v>09</v>
      </c>
      <c r="G441" s="2200" t="str">
        <f t="shared" si="27"/>
        <v>25360</v>
      </c>
      <c r="H441" s="2200">
        <f>--SUBTOTAL(3,C$2:C441)</f>
        <v>0</v>
      </c>
    </row>
    <row r="442" spans="1:8" hidden="1" x14ac:dyDescent="0.15">
      <c r="A442" s="2200" t="s">
        <v>10723</v>
      </c>
      <c r="B442" s="2200" t="s">
        <v>11599</v>
      </c>
      <c r="C442" s="2200" t="s">
        <v>11600</v>
      </c>
      <c r="D442" s="2200" t="str">
        <f t="shared" si="24"/>
        <v>CT</v>
      </c>
      <c r="E442" s="2200">
        <f t="shared" si="25"/>
        <v>13</v>
      </c>
      <c r="F442" s="2200" t="str">
        <f t="shared" si="26"/>
        <v>09</v>
      </c>
      <c r="G442" s="2200" t="str">
        <f t="shared" si="27"/>
        <v>25990</v>
      </c>
      <c r="H442" s="2200">
        <f>--SUBTOTAL(3,C$2:C442)</f>
        <v>0</v>
      </c>
    </row>
    <row r="443" spans="1:8" hidden="1" x14ac:dyDescent="0.15">
      <c r="A443" s="2200" t="s">
        <v>11502</v>
      </c>
      <c r="B443" s="2200" t="s">
        <v>11601</v>
      </c>
      <c r="C443" s="2200" t="s">
        <v>11602</v>
      </c>
      <c r="D443" s="2200" t="str">
        <f t="shared" si="24"/>
        <v>CT</v>
      </c>
      <c r="E443" s="2200">
        <f t="shared" si="25"/>
        <v>11</v>
      </c>
      <c r="F443" s="2200" t="str">
        <f t="shared" si="26"/>
        <v>09</v>
      </c>
      <c r="G443" s="2200" t="str">
        <f t="shared" si="27"/>
        <v>26270</v>
      </c>
      <c r="H443" s="2200">
        <f>--SUBTOTAL(3,C$2:C443)</f>
        <v>0</v>
      </c>
    </row>
    <row r="444" spans="1:8" hidden="1" x14ac:dyDescent="0.15">
      <c r="A444" s="2200" t="s">
        <v>10723</v>
      </c>
      <c r="B444" s="2200" t="s">
        <v>11603</v>
      </c>
      <c r="C444" s="2200" t="s">
        <v>11604</v>
      </c>
      <c r="D444" s="2200" t="str">
        <f t="shared" si="24"/>
        <v>CT</v>
      </c>
      <c r="E444" s="2200">
        <f t="shared" si="25"/>
        <v>15</v>
      </c>
      <c r="F444" s="2200" t="str">
        <f t="shared" si="26"/>
        <v>09</v>
      </c>
      <c r="G444" s="2200" t="str">
        <f t="shared" si="27"/>
        <v>26620</v>
      </c>
      <c r="H444" s="2200">
        <f>--SUBTOTAL(3,C$2:C444)</f>
        <v>0</v>
      </c>
    </row>
    <row r="445" spans="1:8" hidden="1" x14ac:dyDescent="0.15">
      <c r="A445" s="2200" t="s">
        <v>10723</v>
      </c>
      <c r="B445" s="2200" t="s">
        <v>11605</v>
      </c>
      <c r="C445" s="2200" t="s">
        <v>11606</v>
      </c>
      <c r="D445" s="2200" t="str">
        <f t="shared" si="24"/>
        <v>CT</v>
      </c>
      <c r="E445" s="2200">
        <f t="shared" si="25"/>
        <v>16</v>
      </c>
      <c r="F445" s="2200" t="str">
        <f t="shared" si="26"/>
        <v>09</v>
      </c>
      <c r="G445" s="2200" t="str">
        <f t="shared" si="27"/>
        <v>27600</v>
      </c>
      <c r="H445" s="2200">
        <f>--SUBTOTAL(3,C$2:C445)</f>
        <v>0</v>
      </c>
    </row>
    <row r="446" spans="1:8" hidden="1" x14ac:dyDescent="0.15">
      <c r="A446" s="2200" t="s">
        <v>11502</v>
      </c>
      <c r="B446" s="2200" t="s">
        <v>11607</v>
      </c>
      <c r="C446" s="2200" t="s">
        <v>11608</v>
      </c>
      <c r="D446" s="2200" t="str">
        <f t="shared" si="24"/>
        <v>CT</v>
      </c>
      <c r="E446" s="2200">
        <f t="shared" si="25"/>
        <v>14</v>
      </c>
      <c r="F446" s="2200" t="str">
        <f t="shared" si="26"/>
        <v>09</v>
      </c>
      <c r="G446" s="2200" t="str">
        <f t="shared" si="27"/>
        <v>29910</v>
      </c>
      <c r="H446" s="2200">
        <f>--SUBTOTAL(3,C$2:C446)</f>
        <v>0</v>
      </c>
    </row>
    <row r="447" spans="1:8" hidden="1" x14ac:dyDescent="0.15">
      <c r="A447" s="2200" t="s">
        <v>10723</v>
      </c>
      <c r="B447" s="2200" t="s">
        <v>11609</v>
      </c>
      <c r="C447" s="2200" t="s">
        <v>11610</v>
      </c>
      <c r="D447" s="2200" t="str">
        <f t="shared" si="24"/>
        <v>CT</v>
      </c>
      <c r="E447" s="2200">
        <f t="shared" si="25"/>
        <v>17</v>
      </c>
      <c r="F447" s="2200" t="str">
        <f t="shared" si="26"/>
        <v>09</v>
      </c>
      <c r="G447" s="2200" t="str">
        <f t="shared" si="27"/>
        <v>31240</v>
      </c>
      <c r="H447" s="2200">
        <f>--SUBTOTAL(3,C$2:C447)</f>
        <v>0</v>
      </c>
    </row>
    <row r="448" spans="1:8" hidden="1" x14ac:dyDescent="0.15">
      <c r="A448" s="2200" t="s">
        <v>11502</v>
      </c>
      <c r="B448" s="2200" t="s">
        <v>11611</v>
      </c>
      <c r="C448" s="2200" t="s">
        <v>11612</v>
      </c>
      <c r="D448" s="2200" t="str">
        <f t="shared" si="24"/>
        <v>CT</v>
      </c>
      <c r="E448" s="2200">
        <f t="shared" si="25"/>
        <v>12</v>
      </c>
      <c r="F448" s="2200" t="str">
        <f t="shared" si="26"/>
        <v>09</v>
      </c>
      <c r="G448" s="2200" t="str">
        <f t="shared" si="27"/>
        <v>32290</v>
      </c>
      <c r="H448" s="2200">
        <f>--SUBTOTAL(3,C$2:C448)</f>
        <v>0</v>
      </c>
    </row>
    <row r="449" spans="1:8" hidden="1" x14ac:dyDescent="0.15">
      <c r="A449" s="2200" t="s">
        <v>11502</v>
      </c>
      <c r="B449" s="2200" t="s">
        <v>11613</v>
      </c>
      <c r="C449" s="2200" t="s">
        <v>11614</v>
      </c>
      <c r="D449" s="2200" t="str">
        <f t="shared" si="24"/>
        <v>CT</v>
      </c>
      <c r="E449" s="2200">
        <f t="shared" si="25"/>
        <v>12</v>
      </c>
      <c r="F449" s="2200" t="str">
        <f t="shared" si="26"/>
        <v>09</v>
      </c>
      <c r="G449" s="2200" t="str">
        <f t="shared" si="27"/>
        <v>32640</v>
      </c>
      <c r="H449" s="2200">
        <f>--SUBTOTAL(3,C$2:C449)</f>
        <v>0</v>
      </c>
    </row>
    <row r="450" spans="1:8" hidden="1" x14ac:dyDescent="0.15">
      <c r="A450" s="2200" t="s">
        <v>10723</v>
      </c>
      <c r="B450" s="2200" t="s">
        <v>11615</v>
      </c>
      <c r="C450" s="2200" t="s">
        <v>11616</v>
      </c>
      <c r="D450" s="2200" t="str">
        <f t="shared" ref="D450:D513" si="28">MID(C450,E450+2,2)</f>
        <v>CT</v>
      </c>
      <c r="E450" s="2200">
        <f t="shared" ref="E450:E513" si="29">FIND(",",C450)</f>
        <v>15</v>
      </c>
      <c r="F450" s="2200" t="str">
        <f t="shared" si="26"/>
        <v>09</v>
      </c>
      <c r="G450" s="2200" t="str">
        <f t="shared" si="27"/>
        <v>33620</v>
      </c>
      <c r="H450" s="2200">
        <f>--SUBTOTAL(3,C$2:C450)</f>
        <v>0</v>
      </c>
    </row>
    <row r="451" spans="1:8" hidden="1" x14ac:dyDescent="0.15">
      <c r="A451" s="2200" t="s">
        <v>11502</v>
      </c>
      <c r="B451" s="2200" t="s">
        <v>11617</v>
      </c>
      <c r="C451" s="2200" t="s">
        <v>11618</v>
      </c>
      <c r="D451" s="2200" t="str">
        <f t="shared" si="28"/>
        <v>CT</v>
      </c>
      <c r="E451" s="2200">
        <f t="shared" si="29"/>
        <v>14</v>
      </c>
      <c r="F451" s="2200" t="str">
        <f t="shared" ref="F451:F514" si="30">MID(B451,3,2)</f>
        <v>09</v>
      </c>
      <c r="G451" s="2200" t="str">
        <f t="shared" ref="G451:G514" si="31">MID(B451,5,5)</f>
        <v>33900</v>
      </c>
      <c r="H451" s="2200">
        <f>--SUBTOTAL(3,C$2:C451)</f>
        <v>0</v>
      </c>
    </row>
    <row r="452" spans="1:8" hidden="1" x14ac:dyDescent="0.15">
      <c r="A452" s="2200" t="s">
        <v>10723</v>
      </c>
      <c r="B452" s="2200" t="s">
        <v>11619</v>
      </c>
      <c r="C452" s="2200" t="s">
        <v>11620</v>
      </c>
      <c r="D452" s="2200" t="str">
        <f t="shared" si="28"/>
        <v>CT</v>
      </c>
      <c r="E452" s="2200">
        <f t="shared" si="29"/>
        <v>12</v>
      </c>
      <c r="F452" s="2200" t="str">
        <f t="shared" si="30"/>
        <v>09</v>
      </c>
      <c r="G452" s="2200" t="str">
        <f t="shared" si="31"/>
        <v>34250</v>
      </c>
      <c r="H452" s="2200">
        <f>--SUBTOTAL(3,C$2:C452)</f>
        <v>0</v>
      </c>
    </row>
    <row r="453" spans="1:8" hidden="1" x14ac:dyDescent="0.15">
      <c r="A453" s="2200" t="s">
        <v>11502</v>
      </c>
      <c r="B453" s="2200" t="s">
        <v>11621</v>
      </c>
      <c r="C453" s="2200" t="s">
        <v>11622</v>
      </c>
      <c r="D453" s="2200" t="str">
        <f t="shared" si="28"/>
        <v>CT</v>
      </c>
      <c r="E453" s="2200">
        <f t="shared" si="29"/>
        <v>14</v>
      </c>
      <c r="F453" s="2200" t="str">
        <f t="shared" si="30"/>
        <v>09</v>
      </c>
      <c r="G453" s="2200" t="str">
        <f t="shared" si="31"/>
        <v>34950</v>
      </c>
      <c r="H453" s="2200">
        <f>--SUBTOTAL(3,C$2:C453)</f>
        <v>0</v>
      </c>
    </row>
    <row r="454" spans="1:8" hidden="1" x14ac:dyDescent="0.15">
      <c r="A454" s="2200" t="s">
        <v>11502</v>
      </c>
      <c r="B454" s="2200" t="s">
        <v>11623</v>
      </c>
      <c r="C454" s="2200" t="s">
        <v>11624</v>
      </c>
      <c r="D454" s="2200" t="str">
        <f t="shared" si="28"/>
        <v>CT</v>
      </c>
      <c r="E454" s="2200">
        <f t="shared" si="29"/>
        <v>12</v>
      </c>
      <c r="F454" s="2200" t="str">
        <f t="shared" si="30"/>
        <v>09</v>
      </c>
      <c r="G454" s="2200" t="str">
        <f t="shared" si="31"/>
        <v>35230</v>
      </c>
      <c r="H454" s="2200">
        <f>--SUBTOTAL(3,C$2:C454)</f>
        <v>0</v>
      </c>
    </row>
    <row r="455" spans="1:8" hidden="1" x14ac:dyDescent="0.15">
      <c r="A455" s="2200" t="s">
        <v>10723</v>
      </c>
      <c r="B455" s="2200" t="s">
        <v>11625</v>
      </c>
      <c r="C455" s="2200" t="s">
        <v>11626</v>
      </c>
      <c r="D455" s="2200" t="str">
        <f t="shared" si="28"/>
        <v>CT</v>
      </c>
      <c r="E455" s="2200">
        <f t="shared" si="29"/>
        <v>12</v>
      </c>
      <c r="F455" s="2200" t="str">
        <f t="shared" si="30"/>
        <v>09</v>
      </c>
      <c r="G455" s="2200" t="str">
        <f t="shared" si="31"/>
        <v>35650</v>
      </c>
      <c r="H455" s="2200">
        <f>--SUBTOTAL(3,C$2:C455)</f>
        <v>0</v>
      </c>
    </row>
    <row r="456" spans="1:8" hidden="1" x14ac:dyDescent="0.15">
      <c r="A456" s="2200" t="s">
        <v>11502</v>
      </c>
      <c r="B456" s="2200" t="s">
        <v>11627</v>
      </c>
      <c r="C456" s="2200" t="s">
        <v>11628</v>
      </c>
      <c r="D456" s="2200" t="str">
        <f t="shared" si="28"/>
        <v>CT</v>
      </c>
      <c r="E456" s="2200">
        <f t="shared" si="29"/>
        <v>13</v>
      </c>
      <c r="F456" s="2200" t="str">
        <f t="shared" si="30"/>
        <v>09</v>
      </c>
      <c r="G456" s="2200" t="str">
        <f t="shared" si="31"/>
        <v>36000</v>
      </c>
      <c r="H456" s="2200">
        <f>--SUBTOTAL(3,C$2:C456)</f>
        <v>0</v>
      </c>
    </row>
    <row r="457" spans="1:8" hidden="1" x14ac:dyDescent="0.15">
      <c r="A457" s="2200" t="s">
        <v>11443</v>
      </c>
      <c r="B457" s="2200" t="s">
        <v>11629</v>
      </c>
      <c r="C457" s="2200" t="s">
        <v>11630</v>
      </c>
      <c r="D457" s="2200" t="str">
        <f t="shared" si="28"/>
        <v>CT</v>
      </c>
      <c r="E457" s="2200">
        <f t="shared" si="29"/>
        <v>8</v>
      </c>
      <c r="F457" s="2200" t="str">
        <f t="shared" si="30"/>
        <v>09</v>
      </c>
      <c r="G457" s="2200" t="str">
        <f t="shared" si="31"/>
        <v>81220</v>
      </c>
      <c r="H457" s="2200">
        <f>--SUBTOTAL(3,C$2:C457)</f>
        <v>0</v>
      </c>
    </row>
    <row r="458" spans="1:8" hidden="1" x14ac:dyDescent="0.15">
      <c r="A458" s="2200" t="s">
        <v>10723</v>
      </c>
      <c r="B458" s="2200" t="s">
        <v>11631</v>
      </c>
      <c r="C458" s="2200" t="s">
        <v>11632</v>
      </c>
      <c r="D458" s="2200" t="str">
        <f t="shared" si="28"/>
        <v>CT</v>
      </c>
      <c r="E458" s="2200">
        <f t="shared" si="29"/>
        <v>19</v>
      </c>
      <c r="F458" s="2200" t="str">
        <f t="shared" si="30"/>
        <v>09</v>
      </c>
      <c r="G458" s="2200" t="str">
        <f t="shared" si="31"/>
        <v>37000</v>
      </c>
      <c r="H458" s="2200">
        <f>--SUBTOTAL(3,C$2:C458)</f>
        <v>0</v>
      </c>
    </row>
    <row r="459" spans="1:8" hidden="1" x14ac:dyDescent="0.15">
      <c r="A459" s="2200" t="s">
        <v>11502</v>
      </c>
      <c r="B459" s="2200" t="s">
        <v>11633</v>
      </c>
      <c r="C459" s="2200" t="s">
        <v>11634</v>
      </c>
      <c r="D459" s="2200" t="str">
        <f t="shared" si="28"/>
        <v>CT</v>
      </c>
      <c r="E459" s="2200">
        <f t="shared" si="29"/>
        <v>14</v>
      </c>
      <c r="F459" s="2200" t="str">
        <f t="shared" si="30"/>
        <v>09</v>
      </c>
      <c r="G459" s="2200" t="str">
        <f t="shared" si="31"/>
        <v>37140</v>
      </c>
      <c r="H459" s="2200">
        <f>--SUBTOTAL(3,C$2:C459)</f>
        <v>0</v>
      </c>
    </row>
    <row r="460" spans="1:8" hidden="1" x14ac:dyDescent="0.15">
      <c r="A460" s="2200" t="s">
        <v>11502</v>
      </c>
      <c r="B460" s="2200" t="s">
        <v>11635</v>
      </c>
      <c r="C460" s="2200" t="s">
        <v>11636</v>
      </c>
      <c r="D460" s="2200" t="str">
        <f t="shared" si="28"/>
        <v>CT</v>
      </c>
      <c r="E460" s="2200">
        <f t="shared" si="29"/>
        <v>15</v>
      </c>
      <c r="F460" s="2200" t="str">
        <f t="shared" si="30"/>
        <v>09</v>
      </c>
      <c r="G460" s="2200" t="str">
        <f t="shared" si="31"/>
        <v>37280</v>
      </c>
      <c r="H460" s="2200">
        <f>--SUBTOTAL(3,C$2:C460)</f>
        <v>0</v>
      </c>
    </row>
    <row r="461" spans="1:8" hidden="1" x14ac:dyDescent="0.15">
      <c r="A461" s="2200" t="s">
        <v>11502</v>
      </c>
      <c r="B461" s="2200" t="s">
        <v>11637</v>
      </c>
      <c r="C461" s="2200" t="s">
        <v>11638</v>
      </c>
      <c r="D461" s="2200" t="str">
        <f t="shared" si="28"/>
        <v>CT</v>
      </c>
      <c r="E461" s="2200">
        <f t="shared" si="29"/>
        <v>12</v>
      </c>
      <c r="F461" s="2200" t="str">
        <f t="shared" si="30"/>
        <v>09</v>
      </c>
      <c r="G461" s="2200" t="str">
        <f t="shared" si="31"/>
        <v>37910</v>
      </c>
      <c r="H461" s="2200">
        <f>--SUBTOTAL(3,C$2:C461)</f>
        <v>0</v>
      </c>
    </row>
    <row r="462" spans="1:8" hidden="1" x14ac:dyDescent="0.15">
      <c r="A462" s="2200" t="s">
        <v>11502</v>
      </c>
      <c r="B462" s="2200" t="s">
        <v>11639</v>
      </c>
      <c r="C462" s="2200" t="s">
        <v>11640</v>
      </c>
      <c r="D462" s="2200" t="str">
        <f t="shared" si="28"/>
        <v>CT</v>
      </c>
      <c r="E462" s="2200">
        <f t="shared" si="29"/>
        <v>10</v>
      </c>
      <c r="F462" s="2200" t="str">
        <f t="shared" si="30"/>
        <v>09</v>
      </c>
      <c r="G462" s="2200" t="str">
        <f t="shared" si="31"/>
        <v>40290</v>
      </c>
      <c r="H462" s="2200">
        <f>--SUBTOTAL(3,C$2:C462)</f>
        <v>0</v>
      </c>
    </row>
    <row r="463" spans="1:8" hidden="1" x14ac:dyDescent="0.15">
      <c r="A463" s="2200" t="s">
        <v>11502</v>
      </c>
      <c r="B463" s="2200" t="s">
        <v>11641</v>
      </c>
      <c r="C463" s="2200" t="s">
        <v>11642</v>
      </c>
      <c r="D463" s="2200" t="str">
        <f t="shared" si="28"/>
        <v>CT</v>
      </c>
      <c r="E463" s="2200">
        <f t="shared" si="29"/>
        <v>15</v>
      </c>
      <c r="F463" s="2200" t="str">
        <f t="shared" si="30"/>
        <v>09</v>
      </c>
      <c r="G463" s="2200" t="str">
        <f t="shared" si="31"/>
        <v>40500</v>
      </c>
      <c r="H463" s="2200">
        <f>--SUBTOTAL(3,C$2:C463)</f>
        <v>0</v>
      </c>
    </row>
    <row r="464" spans="1:8" hidden="1" x14ac:dyDescent="0.15">
      <c r="A464" s="2200" t="s">
        <v>11502</v>
      </c>
      <c r="B464" s="2200" t="s">
        <v>11643</v>
      </c>
      <c r="C464" s="2200" t="s">
        <v>11644</v>
      </c>
      <c r="D464" s="2200" t="str">
        <f t="shared" si="28"/>
        <v>CT</v>
      </c>
      <c r="E464" s="2200">
        <f t="shared" si="29"/>
        <v>18</v>
      </c>
      <c r="F464" s="2200" t="str">
        <f t="shared" si="30"/>
        <v>09</v>
      </c>
      <c r="G464" s="2200" t="str">
        <f t="shared" si="31"/>
        <v>40710</v>
      </c>
      <c r="H464" s="2200">
        <f>--SUBTOTAL(3,C$2:C464)</f>
        <v>0</v>
      </c>
    </row>
    <row r="465" spans="1:8" hidden="1" x14ac:dyDescent="0.15">
      <c r="A465" s="2200" t="s">
        <v>11502</v>
      </c>
      <c r="B465" s="2200" t="s">
        <v>11645</v>
      </c>
      <c r="C465" s="2200" t="s">
        <v>11646</v>
      </c>
      <c r="D465" s="2200" t="str">
        <f t="shared" si="28"/>
        <v>CT</v>
      </c>
      <c r="E465" s="2200">
        <f t="shared" si="29"/>
        <v>13</v>
      </c>
      <c r="F465" s="2200" t="str">
        <f t="shared" si="30"/>
        <v>09</v>
      </c>
      <c r="G465" s="2200" t="str">
        <f t="shared" si="31"/>
        <v>42390</v>
      </c>
      <c r="H465" s="2200">
        <f>--SUBTOTAL(3,C$2:C465)</f>
        <v>0</v>
      </c>
    </row>
    <row r="466" spans="1:8" hidden="1" x14ac:dyDescent="0.15">
      <c r="A466" s="2200" t="s">
        <v>11502</v>
      </c>
      <c r="B466" s="2200" t="s">
        <v>11647</v>
      </c>
      <c r="C466" s="2200" t="s">
        <v>11648</v>
      </c>
      <c r="D466" s="2200" t="str">
        <f t="shared" si="28"/>
        <v>CT</v>
      </c>
      <c r="E466" s="2200">
        <f t="shared" si="29"/>
        <v>13</v>
      </c>
      <c r="F466" s="2200" t="str">
        <f t="shared" si="30"/>
        <v>09</v>
      </c>
      <c r="G466" s="2200" t="str">
        <f t="shared" si="31"/>
        <v>42600</v>
      </c>
      <c r="H466" s="2200">
        <f>--SUBTOTAL(3,C$2:C466)</f>
        <v>0</v>
      </c>
    </row>
    <row r="467" spans="1:8" hidden="1" x14ac:dyDescent="0.15">
      <c r="A467" s="2200" t="s">
        <v>11502</v>
      </c>
      <c r="B467" s="2200" t="s">
        <v>11649</v>
      </c>
      <c r="C467" s="2200" t="s">
        <v>11650</v>
      </c>
      <c r="D467" s="2200" t="str">
        <f t="shared" si="28"/>
        <v>CT</v>
      </c>
      <c r="E467" s="2200">
        <f t="shared" si="29"/>
        <v>12</v>
      </c>
      <c r="F467" s="2200" t="str">
        <f t="shared" si="30"/>
        <v>09</v>
      </c>
      <c r="G467" s="2200" t="str">
        <f t="shared" si="31"/>
        <v>43230</v>
      </c>
      <c r="H467" s="2200">
        <f>--SUBTOTAL(3,C$2:C467)</f>
        <v>0</v>
      </c>
    </row>
    <row r="468" spans="1:8" hidden="1" x14ac:dyDescent="0.15">
      <c r="A468" s="2200" t="s">
        <v>11502</v>
      </c>
      <c r="B468" s="2200" t="s">
        <v>11651</v>
      </c>
      <c r="C468" s="2200" t="s">
        <v>11652</v>
      </c>
      <c r="D468" s="2200" t="str">
        <f t="shared" si="28"/>
        <v>CT</v>
      </c>
      <c r="E468" s="2200">
        <f t="shared" si="29"/>
        <v>16</v>
      </c>
      <c r="F468" s="2200" t="str">
        <f t="shared" si="30"/>
        <v>09</v>
      </c>
      <c r="G468" s="2200" t="str">
        <f t="shared" si="31"/>
        <v>43370</v>
      </c>
      <c r="H468" s="2200">
        <f>--SUBTOTAL(3,C$2:C468)</f>
        <v>0</v>
      </c>
    </row>
    <row r="469" spans="1:8" hidden="1" x14ac:dyDescent="0.15">
      <c r="A469" s="2200" t="s">
        <v>11443</v>
      </c>
      <c r="B469" s="2200" t="s">
        <v>11653</v>
      </c>
      <c r="C469" s="2200" t="s">
        <v>11654</v>
      </c>
      <c r="D469" s="2200" t="str">
        <f t="shared" si="28"/>
        <v>CT</v>
      </c>
      <c r="E469" s="2200">
        <f t="shared" si="29"/>
        <v>11</v>
      </c>
      <c r="F469" s="2200" t="str">
        <f t="shared" si="30"/>
        <v>09</v>
      </c>
      <c r="G469" s="2200" t="str">
        <f t="shared" si="31"/>
        <v>81580</v>
      </c>
      <c r="H469" s="2200">
        <f>--SUBTOTAL(3,C$2:C469)</f>
        <v>0</v>
      </c>
    </row>
    <row r="470" spans="1:8" hidden="1" x14ac:dyDescent="0.15">
      <c r="A470" s="2200" t="s">
        <v>11502</v>
      </c>
      <c r="B470" s="2200" t="s">
        <v>11655</v>
      </c>
      <c r="C470" s="2200" t="s">
        <v>11656</v>
      </c>
      <c r="D470" s="2200" t="str">
        <f t="shared" si="28"/>
        <v>CT</v>
      </c>
      <c r="E470" s="2200">
        <f t="shared" si="29"/>
        <v>10</v>
      </c>
      <c r="F470" s="2200" t="str">
        <f t="shared" si="30"/>
        <v>09</v>
      </c>
      <c r="G470" s="2200" t="str">
        <f t="shared" si="31"/>
        <v>44210</v>
      </c>
      <c r="H470" s="2200">
        <f>--SUBTOTAL(3,C$2:C470)</f>
        <v>0</v>
      </c>
    </row>
    <row r="471" spans="1:8" hidden="1" x14ac:dyDescent="0.15">
      <c r="A471" s="2200" t="s">
        <v>11502</v>
      </c>
      <c r="B471" s="2200" t="s">
        <v>11657</v>
      </c>
      <c r="C471" s="2200" t="s">
        <v>11658</v>
      </c>
      <c r="D471" s="2200" t="str">
        <f t="shared" si="28"/>
        <v>CT</v>
      </c>
      <c r="E471" s="2200">
        <f t="shared" si="29"/>
        <v>13</v>
      </c>
      <c r="F471" s="2200" t="str">
        <f t="shared" si="30"/>
        <v>09</v>
      </c>
      <c r="G471" s="2200" t="str">
        <f t="shared" si="31"/>
        <v>44560</v>
      </c>
      <c r="H471" s="2200">
        <f>--SUBTOTAL(3,C$2:C471)</f>
        <v>0</v>
      </c>
    </row>
    <row r="472" spans="1:8" hidden="1" x14ac:dyDescent="0.15">
      <c r="A472" s="2200" t="s">
        <v>10723</v>
      </c>
      <c r="B472" s="2200" t="s">
        <v>11659</v>
      </c>
      <c r="C472" s="2200" t="s">
        <v>11660</v>
      </c>
      <c r="D472" s="2200" t="str">
        <f t="shared" si="28"/>
        <v>CT</v>
      </c>
      <c r="E472" s="2200">
        <f t="shared" si="29"/>
        <v>16</v>
      </c>
      <c r="F472" s="2200" t="str">
        <f t="shared" si="30"/>
        <v>09</v>
      </c>
      <c r="G472" s="2200" t="str">
        <f t="shared" si="31"/>
        <v>44700</v>
      </c>
      <c r="H472" s="2200">
        <f>--SUBTOTAL(3,C$2:C472)</f>
        <v>0</v>
      </c>
    </row>
    <row r="473" spans="1:8" hidden="1" x14ac:dyDescent="0.15">
      <c r="A473" s="2200" t="s">
        <v>10723</v>
      </c>
      <c r="B473" s="2200" t="s">
        <v>11661</v>
      </c>
      <c r="C473" s="2200" t="s">
        <v>11662</v>
      </c>
      <c r="D473" s="2200" t="str">
        <f t="shared" si="28"/>
        <v>CT</v>
      </c>
      <c r="E473" s="2200">
        <f t="shared" si="29"/>
        <v>15</v>
      </c>
      <c r="F473" s="2200" t="str">
        <f t="shared" si="30"/>
        <v>09</v>
      </c>
      <c r="G473" s="2200" t="str">
        <f t="shared" si="31"/>
        <v>44910</v>
      </c>
      <c r="H473" s="2200">
        <f>--SUBTOTAL(3,C$2:C473)</f>
        <v>0</v>
      </c>
    </row>
    <row r="474" spans="1:8" hidden="1" x14ac:dyDescent="0.15">
      <c r="A474" s="2200" t="s">
        <v>11502</v>
      </c>
      <c r="B474" s="2200" t="s">
        <v>11663</v>
      </c>
      <c r="C474" s="2200" t="s">
        <v>11664</v>
      </c>
      <c r="D474" s="2200" t="str">
        <f t="shared" si="28"/>
        <v>CT</v>
      </c>
      <c r="E474" s="2200">
        <f t="shared" si="29"/>
        <v>17</v>
      </c>
      <c r="F474" s="2200" t="str">
        <f t="shared" si="30"/>
        <v>09</v>
      </c>
      <c r="G474" s="2200" t="str">
        <f t="shared" si="31"/>
        <v>45820</v>
      </c>
      <c r="H474" s="2200">
        <f>--SUBTOTAL(3,C$2:C474)</f>
        <v>0</v>
      </c>
    </row>
    <row r="475" spans="1:8" hidden="1" x14ac:dyDescent="0.15">
      <c r="A475" s="2200" t="s">
        <v>10723</v>
      </c>
      <c r="B475" s="2200" t="s">
        <v>11665</v>
      </c>
      <c r="C475" s="2200" t="s">
        <v>11666</v>
      </c>
      <c r="D475" s="2200" t="str">
        <f t="shared" si="28"/>
        <v>CT</v>
      </c>
      <c r="E475" s="2200">
        <f t="shared" si="29"/>
        <v>18</v>
      </c>
      <c r="F475" s="2200" t="str">
        <f t="shared" si="30"/>
        <v>09</v>
      </c>
      <c r="G475" s="2200" t="str">
        <f t="shared" si="31"/>
        <v>46450</v>
      </c>
      <c r="H475" s="2200">
        <f>--SUBTOTAL(3,C$2:C475)</f>
        <v>0</v>
      </c>
    </row>
    <row r="476" spans="1:8" hidden="1" x14ac:dyDescent="0.15">
      <c r="A476" s="2200" t="s">
        <v>11502</v>
      </c>
      <c r="B476" s="2200" t="s">
        <v>11667</v>
      </c>
      <c r="C476" s="2200" t="s">
        <v>11668</v>
      </c>
      <c r="D476" s="2200" t="str">
        <f t="shared" si="28"/>
        <v>CT</v>
      </c>
      <c r="E476" s="2200">
        <f t="shared" si="29"/>
        <v>16</v>
      </c>
      <c r="F476" s="2200" t="str">
        <f t="shared" si="30"/>
        <v>09</v>
      </c>
      <c r="G476" s="2200" t="str">
        <f t="shared" si="31"/>
        <v>46940</v>
      </c>
      <c r="H476" s="2200">
        <f>--SUBTOTAL(3,C$2:C476)</f>
        <v>0</v>
      </c>
    </row>
    <row r="477" spans="1:8" hidden="1" x14ac:dyDescent="0.15">
      <c r="A477" s="2200" t="s">
        <v>11502</v>
      </c>
      <c r="B477" s="2200" t="s">
        <v>11669</v>
      </c>
      <c r="C477" s="2200" t="s">
        <v>11670</v>
      </c>
      <c r="D477" s="2200" t="str">
        <f t="shared" si="28"/>
        <v>CT</v>
      </c>
      <c r="E477" s="2200">
        <f t="shared" si="29"/>
        <v>17</v>
      </c>
      <c r="F477" s="2200" t="str">
        <f t="shared" si="30"/>
        <v>09</v>
      </c>
      <c r="G477" s="2200" t="str">
        <f t="shared" si="31"/>
        <v>47080</v>
      </c>
      <c r="H477" s="2200">
        <f>--SUBTOTAL(3,C$2:C477)</f>
        <v>0</v>
      </c>
    </row>
    <row r="478" spans="1:8" hidden="1" x14ac:dyDescent="0.15">
      <c r="A478" s="2200" t="s">
        <v>10723</v>
      </c>
      <c r="B478" s="2200" t="s">
        <v>11671</v>
      </c>
      <c r="C478" s="2200" t="s">
        <v>11672</v>
      </c>
      <c r="D478" s="2200" t="str">
        <f t="shared" si="28"/>
        <v>CT</v>
      </c>
      <c r="E478" s="2200">
        <f t="shared" si="29"/>
        <v>21</v>
      </c>
      <c r="F478" s="2200" t="str">
        <f t="shared" si="30"/>
        <v>09</v>
      </c>
      <c r="G478" s="2200" t="str">
        <f t="shared" si="31"/>
        <v>47290</v>
      </c>
      <c r="H478" s="2200">
        <f>--SUBTOTAL(3,C$2:C478)</f>
        <v>0</v>
      </c>
    </row>
    <row r="479" spans="1:8" hidden="1" x14ac:dyDescent="0.15">
      <c r="A479" s="2200" t="s">
        <v>10723</v>
      </c>
      <c r="B479" s="2200" t="s">
        <v>11673</v>
      </c>
      <c r="C479" s="2200" t="s">
        <v>11674</v>
      </c>
      <c r="D479" s="2200" t="str">
        <f t="shared" si="28"/>
        <v>CT</v>
      </c>
      <c r="E479" s="2200">
        <f t="shared" si="29"/>
        <v>33</v>
      </c>
      <c r="F479" s="2200" t="str">
        <f t="shared" si="30"/>
        <v>09</v>
      </c>
      <c r="G479" s="2200" t="str">
        <f t="shared" si="31"/>
        <v>47500</v>
      </c>
      <c r="H479" s="2200">
        <f>--SUBTOTAL(3,C$2:C479)</f>
        <v>0</v>
      </c>
    </row>
    <row r="480" spans="1:8" hidden="1" x14ac:dyDescent="0.15">
      <c r="A480" s="2200" t="s">
        <v>11502</v>
      </c>
      <c r="B480" s="2200" t="s">
        <v>11675</v>
      </c>
      <c r="C480" s="2200" t="s">
        <v>11676</v>
      </c>
      <c r="D480" s="2200" t="str">
        <f t="shared" si="28"/>
        <v>CT</v>
      </c>
      <c r="E480" s="2200">
        <f t="shared" si="29"/>
        <v>12</v>
      </c>
      <c r="F480" s="2200" t="str">
        <f t="shared" si="30"/>
        <v>09</v>
      </c>
      <c r="G480" s="2200" t="str">
        <f t="shared" si="31"/>
        <v>48620</v>
      </c>
      <c r="H480" s="2200">
        <f>--SUBTOTAL(3,C$2:C480)</f>
        <v>0</v>
      </c>
    </row>
    <row r="481" spans="1:8" hidden="1" x14ac:dyDescent="0.15">
      <c r="A481" s="2200" t="s">
        <v>11502</v>
      </c>
      <c r="B481" s="2200" t="s">
        <v>11677</v>
      </c>
      <c r="C481" s="2200" t="s">
        <v>11678</v>
      </c>
      <c r="D481" s="2200" t="str">
        <f t="shared" si="28"/>
        <v>CT</v>
      </c>
      <c r="E481" s="2200">
        <f t="shared" si="29"/>
        <v>15</v>
      </c>
      <c r="F481" s="2200" t="str">
        <f t="shared" si="30"/>
        <v>09</v>
      </c>
      <c r="G481" s="2200" t="str">
        <f t="shared" si="31"/>
        <v>48900</v>
      </c>
      <c r="H481" s="2200">
        <f>--SUBTOTAL(3,C$2:C481)</f>
        <v>0</v>
      </c>
    </row>
    <row r="482" spans="1:8" hidden="1" x14ac:dyDescent="0.15">
      <c r="A482" s="2200" t="s">
        <v>11502</v>
      </c>
      <c r="B482" s="2200" t="s">
        <v>11679</v>
      </c>
      <c r="C482" s="2200" t="s">
        <v>11680</v>
      </c>
      <c r="D482" s="2200" t="str">
        <f t="shared" si="28"/>
        <v>CT</v>
      </c>
      <c r="E482" s="2200">
        <f t="shared" si="29"/>
        <v>12</v>
      </c>
      <c r="F482" s="2200" t="str">
        <f t="shared" si="30"/>
        <v>09</v>
      </c>
      <c r="G482" s="2200" t="str">
        <f t="shared" si="31"/>
        <v>49460</v>
      </c>
      <c r="H482" s="2200">
        <f>--SUBTOTAL(3,C$2:C482)</f>
        <v>0</v>
      </c>
    </row>
    <row r="483" spans="1:8" hidden="1" x14ac:dyDescent="0.15">
      <c r="A483" s="2200" t="s">
        <v>10723</v>
      </c>
      <c r="B483" s="2200" t="s">
        <v>11681</v>
      </c>
      <c r="C483" s="2200" t="s">
        <v>11682</v>
      </c>
      <c r="D483" s="2200" t="str">
        <f t="shared" si="28"/>
        <v>CT</v>
      </c>
      <c r="E483" s="2200">
        <f t="shared" si="29"/>
        <v>23</v>
      </c>
      <c r="F483" s="2200" t="str">
        <f t="shared" si="30"/>
        <v>09</v>
      </c>
      <c r="G483" s="2200" t="str">
        <f t="shared" si="31"/>
        <v>49880</v>
      </c>
      <c r="H483" s="2200">
        <f>--SUBTOTAL(3,C$2:C483)</f>
        <v>0</v>
      </c>
    </row>
    <row r="484" spans="1:8" hidden="1" x14ac:dyDescent="0.15">
      <c r="A484" s="2200" t="s">
        <v>10723</v>
      </c>
      <c r="B484" s="2200" t="s">
        <v>11683</v>
      </c>
      <c r="C484" s="2200" t="s">
        <v>11684</v>
      </c>
      <c r="D484" s="2200" t="str">
        <f t="shared" si="28"/>
        <v>CT</v>
      </c>
      <c r="E484" s="2200">
        <f t="shared" si="29"/>
        <v>22</v>
      </c>
      <c r="F484" s="2200" t="str">
        <f t="shared" si="30"/>
        <v>09</v>
      </c>
      <c r="G484" s="2200" t="str">
        <f t="shared" si="31"/>
        <v>50370</v>
      </c>
      <c r="H484" s="2200">
        <f>--SUBTOTAL(3,C$2:C484)</f>
        <v>0</v>
      </c>
    </row>
    <row r="485" spans="1:8" hidden="1" x14ac:dyDescent="0.15">
      <c r="A485" s="2200" t="s">
        <v>11502</v>
      </c>
      <c r="B485" s="2200" t="s">
        <v>11685</v>
      </c>
      <c r="C485" s="2200" t="s">
        <v>11686</v>
      </c>
      <c r="D485" s="2200" t="str">
        <f t="shared" si="28"/>
        <v>CT</v>
      </c>
      <c r="E485" s="2200">
        <f t="shared" si="29"/>
        <v>16</v>
      </c>
      <c r="F485" s="2200" t="str">
        <f t="shared" si="30"/>
        <v>09</v>
      </c>
      <c r="G485" s="2200" t="str">
        <f t="shared" si="31"/>
        <v>50580</v>
      </c>
      <c r="H485" s="2200">
        <f>--SUBTOTAL(3,C$2:C485)</f>
        <v>0</v>
      </c>
    </row>
    <row r="486" spans="1:8" hidden="1" x14ac:dyDescent="0.15">
      <c r="A486" s="2200" t="s">
        <v>11502</v>
      </c>
      <c r="B486" s="2200" t="s">
        <v>11687</v>
      </c>
      <c r="C486" s="2200" t="s">
        <v>11688</v>
      </c>
      <c r="D486" s="2200" t="str">
        <f t="shared" si="28"/>
        <v>CT</v>
      </c>
      <c r="E486" s="2200">
        <f t="shared" si="29"/>
        <v>19</v>
      </c>
      <c r="F486" s="2200" t="str">
        <f t="shared" si="30"/>
        <v>09</v>
      </c>
      <c r="G486" s="2200" t="str">
        <f t="shared" si="31"/>
        <v>50860</v>
      </c>
      <c r="H486" s="2200">
        <f>--SUBTOTAL(3,C$2:C486)</f>
        <v>0</v>
      </c>
    </row>
    <row r="487" spans="1:8" hidden="1" x14ac:dyDescent="0.15">
      <c r="A487" s="2200" t="s">
        <v>11502</v>
      </c>
      <c r="B487" s="2200" t="s">
        <v>11689</v>
      </c>
      <c r="C487" s="2200" t="s">
        <v>11690</v>
      </c>
      <c r="D487" s="2200" t="str">
        <f t="shared" si="28"/>
        <v>CT</v>
      </c>
      <c r="E487" s="2200">
        <f t="shared" si="29"/>
        <v>18</v>
      </c>
      <c r="F487" s="2200" t="str">
        <f t="shared" si="30"/>
        <v>09</v>
      </c>
      <c r="G487" s="2200" t="str">
        <f t="shared" si="31"/>
        <v>51350</v>
      </c>
      <c r="H487" s="2200">
        <f>--SUBTOTAL(3,C$2:C487)</f>
        <v>0</v>
      </c>
    </row>
    <row r="488" spans="1:8" hidden="1" x14ac:dyDescent="0.15">
      <c r="A488" s="2200" t="s">
        <v>10723</v>
      </c>
      <c r="B488" s="2200" t="s">
        <v>11691</v>
      </c>
      <c r="C488" s="2200" t="s">
        <v>11692</v>
      </c>
      <c r="D488" s="2200" t="str">
        <f t="shared" si="28"/>
        <v>CT</v>
      </c>
      <c r="E488" s="2200">
        <f t="shared" si="29"/>
        <v>20</v>
      </c>
      <c r="F488" s="2200" t="str">
        <f t="shared" si="30"/>
        <v>09</v>
      </c>
      <c r="G488" s="2200" t="str">
        <f t="shared" si="31"/>
        <v>52000</v>
      </c>
      <c r="H488" s="2200">
        <f>--SUBTOTAL(3,C$2:C488)</f>
        <v>0</v>
      </c>
    </row>
    <row r="489" spans="1:8" hidden="1" x14ac:dyDescent="0.15">
      <c r="A489" s="2200" t="s">
        <v>10723</v>
      </c>
      <c r="B489" s="2200" t="s">
        <v>11693</v>
      </c>
      <c r="C489" s="2200" t="s">
        <v>11694</v>
      </c>
      <c r="D489" s="2200" t="str">
        <f t="shared" si="28"/>
        <v>CT</v>
      </c>
      <c r="E489" s="2200">
        <f t="shared" si="29"/>
        <v>21</v>
      </c>
      <c r="F489" s="2200" t="str">
        <f t="shared" si="30"/>
        <v>09</v>
      </c>
      <c r="G489" s="2200" t="str">
        <f t="shared" si="31"/>
        <v>52280</v>
      </c>
      <c r="H489" s="2200">
        <f>--SUBTOTAL(3,C$2:C489)</f>
        <v>0</v>
      </c>
    </row>
    <row r="490" spans="1:8" hidden="1" x14ac:dyDescent="0.15">
      <c r="A490" s="2200" t="s">
        <v>10723</v>
      </c>
      <c r="B490" s="2200" t="s">
        <v>11695</v>
      </c>
      <c r="C490" s="2200" t="s">
        <v>11696</v>
      </c>
      <c r="D490" s="2200" t="str">
        <f t="shared" si="28"/>
        <v>CT</v>
      </c>
      <c r="E490" s="2200">
        <f t="shared" si="29"/>
        <v>17</v>
      </c>
      <c r="F490" s="2200" t="str">
        <f t="shared" si="30"/>
        <v>09</v>
      </c>
      <c r="G490" s="2200" t="str">
        <f t="shared" si="31"/>
        <v>52630</v>
      </c>
      <c r="H490" s="2200">
        <f>--SUBTOTAL(3,C$2:C490)</f>
        <v>0</v>
      </c>
    </row>
    <row r="491" spans="1:8" hidden="1" x14ac:dyDescent="0.15">
      <c r="A491" s="2200" t="s">
        <v>10723</v>
      </c>
      <c r="B491" s="2200" t="s">
        <v>11697</v>
      </c>
      <c r="C491" s="2200" t="s">
        <v>11698</v>
      </c>
      <c r="D491" s="2200" t="str">
        <f t="shared" si="28"/>
        <v>CT</v>
      </c>
      <c r="E491" s="2200">
        <f t="shared" si="29"/>
        <v>15</v>
      </c>
      <c r="F491" s="2200" t="str">
        <f t="shared" si="30"/>
        <v>09</v>
      </c>
      <c r="G491" s="2200" t="str">
        <f t="shared" si="31"/>
        <v>52140</v>
      </c>
      <c r="H491" s="2200">
        <f>--SUBTOTAL(3,C$2:C491)</f>
        <v>0</v>
      </c>
    </row>
    <row r="492" spans="1:8" hidden="1" x14ac:dyDescent="0.15">
      <c r="A492" s="2200" t="s">
        <v>10723</v>
      </c>
      <c r="B492" s="2200" t="s">
        <v>11699</v>
      </c>
      <c r="C492" s="2200" t="s">
        <v>11700</v>
      </c>
      <c r="D492" s="2200" t="str">
        <f t="shared" si="28"/>
        <v>CT</v>
      </c>
      <c r="E492" s="2200">
        <f t="shared" si="29"/>
        <v>13</v>
      </c>
      <c r="F492" s="2200" t="str">
        <f t="shared" si="30"/>
        <v>09</v>
      </c>
      <c r="G492" s="2200" t="str">
        <f t="shared" si="31"/>
        <v>52980</v>
      </c>
      <c r="H492" s="2200">
        <f>--SUBTOTAL(3,C$2:C492)</f>
        <v>0</v>
      </c>
    </row>
    <row r="493" spans="1:8" hidden="1" x14ac:dyDescent="0.15">
      <c r="A493" s="2200" t="s">
        <v>11502</v>
      </c>
      <c r="B493" s="2200" t="s">
        <v>11701</v>
      </c>
      <c r="C493" s="2200" t="s">
        <v>11702</v>
      </c>
      <c r="D493" s="2200" t="str">
        <f t="shared" si="28"/>
        <v>CT</v>
      </c>
      <c r="E493" s="2200">
        <f t="shared" si="29"/>
        <v>13</v>
      </c>
      <c r="F493" s="2200" t="str">
        <f t="shared" si="30"/>
        <v>09</v>
      </c>
      <c r="G493" s="2200" t="str">
        <f t="shared" si="31"/>
        <v>53470</v>
      </c>
      <c r="H493" s="2200">
        <f>--SUBTOTAL(3,C$2:C493)</f>
        <v>0</v>
      </c>
    </row>
    <row r="494" spans="1:8" hidden="1" x14ac:dyDescent="0.15">
      <c r="A494" s="2200" t="s">
        <v>11502</v>
      </c>
      <c r="B494" s="2200" t="s">
        <v>11703</v>
      </c>
      <c r="C494" s="2200" t="s">
        <v>11704</v>
      </c>
      <c r="D494" s="2200" t="str">
        <f t="shared" si="28"/>
        <v>CT</v>
      </c>
      <c r="E494" s="2200">
        <f t="shared" si="29"/>
        <v>20</v>
      </c>
      <c r="F494" s="2200" t="str">
        <f t="shared" si="30"/>
        <v>09</v>
      </c>
      <c r="G494" s="2200" t="str">
        <f t="shared" si="31"/>
        <v>53890</v>
      </c>
      <c r="H494" s="2200">
        <f>--SUBTOTAL(3,C$2:C494)</f>
        <v>0</v>
      </c>
    </row>
    <row r="495" spans="1:8" hidden="1" x14ac:dyDescent="0.15">
      <c r="A495" s="2200" t="s">
        <v>11502</v>
      </c>
      <c r="B495" s="2200" t="s">
        <v>11705</v>
      </c>
      <c r="C495" s="2200" t="s">
        <v>11706</v>
      </c>
      <c r="D495" s="2200" t="str">
        <f t="shared" si="28"/>
        <v>CT</v>
      </c>
      <c r="E495" s="2200">
        <f t="shared" si="29"/>
        <v>18</v>
      </c>
      <c r="F495" s="2200" t="str">
        <f t="shared" si="30"/>
        <v>09</v>
      </c>
      <c r="G495" s="2200" t="str">
        <f t="shared" si="31"/>
        <v>54030</v>
      </c>
      <c r="H495" s="2200">
        <f>--SUBTOTAL(3,C$2:C495)</f>
        <v>0</v>
      </c>
    </row>
    <row r="496" spans="1:8" hidden="1" x14ac:dyDescent="0.15">
      <c r="A496" s="2200" t="s">
        <v>11502</v>
      </c>
      <c r="B496" s="2200" t="s">
        <v>11707</v>
      </c>
      <c r="C496" s="2200" t="s">
        <v>11708</v>
      </c>
      <c r="D496" s="2200" t="str">
        <f t="shared" si="28"/>
        <v>CT</v>
      </c>
      <c r="E496" s="2200">
        <f t="shared" si="29"/>
        <v>17</v>
      </c>
      <c r="F496" s="2200" t="str">
        <f t="shared" si="30"/>
        <v>09</v>
      </c>
      <c r="G496" s="2200" t="str">
        <f t="shared" si="31"/>
        <v>54870</v>
      </c>
      <c r="H496" s="2200">
        <f>--SUBTOTAL(3,C$2:C496)</f>
        <v>0</v>
      </c>
    </row>
    <row r="497" spans="1:8" hidden="1" x14ac:dyDescent="0.15">
      <c r="A497" s="2200" t="s">
        <v>11502</v>
      </c>
      <c r="B497" s="2200" t="s">
        <v>11709</v>
      </c>
      <c r="C497" s="2200" t="s">
        <v>11710</v>
      </c>
      <c r="D497" s="2200" t="str">
        <f t="shared" si="28"/>
        <v>CT</v>
      </c>
      <c r="E497" s="2200">
        <f t="shared" si="29"/>
        <v>22</v>
      </c>
      <c r="F497" s="2200" t="str">
        <f t="shared" si="30"/>
        <v>09</v>
      </c>
      <c r="G497" s="2200" t="str">
        <f t="shared" si="31"/>
        <v>55500</v>
      </c>
      <c r="H497" s="2200">
        <f>--SUBTOTAL(3,C$2:C497)</f>
        <v>0</v>
      </c>
    </row>
    <row r="498" spans="1:8" hidden="1" x14ac:dyDescent="0.15">
      <c r="A498" s="2200" t="s">
        <v>10723</v>
      </c>
      <c r="B498" s="2200" t="s">
        <v>11711</v>
      </c>
      <c r="C498" s="2200" t="s">
        <v>11712</v>
      </c>
      <c r="D498" s="2200" t="str">
        <f t="shared" si="28"/>
        <v>CT</v>
      </c>
      <c r="E498" s="2200">
        <f t="shared" si="29"/>
        <v>18</v>
      </c>
      <c r="F498" s="2200" t="str">
        <f t="shared" si="30"/>
        <v>09</v>
      </c>
      <c r="G498" s="2200" t="str">
        <f t="shared" si="31"/>
        <v>55990</v>
      </c>
      <c r="H498" s="2200">
        <f>--SUBTOTAL(3,C$2:C498)</f>
        <v>0</v>
      </c>
    </row>
    <row r="499" spans="1:8" hidden="1" x14ac:dyDescent="0.15">
      <c r="A499" s="2200" t="s">
        <v>10723</v>
      </c>
      <c r="B499" s="2200" t="s">
        <v>11713</v>
      </c>
      <c r="C499" s="2200" t="s">
        <v>11714</v>
      </c>
      <c r="D499" s="2200" t="str">
        <f t="shared" si="28"/>
        <v>CT</v>
      </c>
      <c r="E499" s="2200">
        <f t="shared" si="29"/>
        <v>18</v>
      </c>
      <c r="F499" s="2200" t="str">
        <f t="shared" si="30"/>
        <v>09</v>
      </c>
      <c r="G499" s="2200" t="str">
        <f t="shared" si="31"/>
        <v>56200</v>
      </c>
      <c r="H499" s="2200">
        <f>--SUBTOTAL(3,C$2:C499)</f>
        <v>0</v>
      </c>
    </row>
    <row r="500" spans="1:8" hidden="1" x14ac:dyDescent="0.15">
      <c r="A500" s="2200" t="s">
        <v>11502</v>
      </c>
      <c r="B500" s="2200" t="s">
        <v>11715</v>
      </c>
      <c r="C500" s="2200" t="s">
        <v>11716</v>
      </c>
      <c r="D500" s="2200" t="str">
        <f t="shared" si="28"/>
        <v>CT</v>
      </c>
      <c r="E500" s="2200">
        <f t="shared" si="29"/>
        <v>14</v>
      </c>
      <c r="F500" s="2200" t="str">
        <f t="shared" si="30"/>
        <v>09</v>
      </c>
      <c r="G500" s="2200" t="str">
        <f t="shared" si="31"/>
        <v>57040</v>
      </c>
      <c r="H500" s="2200">
        <f>--SUBTOTAL(3,C$2:C500)</f>
        <v>0</v>
      </c>
    </row>
    <row r="501" spans="1:8" hidden="1" x14ac:dyDescent="0.15">
      <c r="A501" s="2200" t="s">
        <v>11502</v>
      </c>
      <c r="B501" s="2200" t="s">
        <v>11717</v>
      </c>
      <c r="C501" s="2200" t="s">
        <v>11718</v>
      </c>
      <c r="D501" s="2200" t="str">
        <f t="shared" si="28"/>
        <v>CT</v>
      </c>
      <c r="E501" s="2200">
        <f t="shared" si="29"/>
        <v>18</v>
      </c>
      <c r="F501" s="2200" t="str">
        <f t="shared" si="30"/>
        <v>09</v>
      </c>
      <c r="G501" s="2200" t="str">
        <f t="shared" si="31"/>
        <v>57320</v>
      </c>
      <c r="H501" s="2200">
        <f>--SUBTOTAL(3,C$2:C501)</f>
        <v>0</v>
      </c>
    </row>
    <row r="502" spans="1:8" hidden="1" x14ac:dyDescent="0.15">
      <c r="A502" s="2200" t="s">
        <v>11502</v>
      </c>
      <c r="B502" s="2200" t="s">
        <v>11719</v>
      </c>
      <c r="C502" s="2200" t="s">
        <v>11720</v>
      </c>
      <c r="D502" s="2200" t="str">
        <f t="shared" si="28"/>
        <v>CT</v>
      </c>
      <c r="E502" s="2200">
        <f t="shared" si="29"/>
        <v>12</v>
      </c>
      <c r="F502" s="2200" t="str">
        <f t="shared" si="30"/>
        <v>09</v>
      </c>
      <c r="G502" s="2200" t="str">
        <f t="shared" si="31"/>
        <v>57600</v>
      </c>
      <c r="H502" s="2200">
        <f>--SUBTOTAL(3,C$2:C502)</f>
        <v>0</v>
      </c>
    </row>
    <row r="503" spans="1:8" hidden="1" x14ac:dyDescent="0.15">
      <c r="A503" s="2200" t="s">
        <v>11502</v>
      </c>
      <c r="B503" s="2200" t="s">
        <v>11721</v>
      </c>
      <c r="C503" s="2200" t="s">
        <v>11722</v>
      </c>
      <c r="D503" s="2200" t="str">
        <f t="shared" si="28"/>
        <v>CT</v>
      </c>
      <c r="E503" s="2200">
        <f t="shared" si="29"/>
        <v>12</v>
      </c>
      <c r="F503" s="2200" t="str">
        <f t="shared" si="30"/>
        <v>09</v>
      </c>
      <c r="G503" s="2200" t="str">
        <f t="shared" si="31"/>
        <v>58300</v>
      </c>
      <c r="H503" s="2200">
        <f>--SUBTOTAL(3,C$2:C503)</f>
        <v>0</v>
      </c>
    </row>
    <row r="504" spans="1:8" hidden="1" x14ac:dyDescent="0.15">
      <c r="A504" s="2200" t="s">
        <v>11502</v>
      </c>
      <c r="B504" s="2200" t="s">
        <v>11723</v>
      </c>
      <c r="C504" s="2200" t="s">
        <v>11724</v>
      </c>
      <c r="D504" s="2200" t="str">
        <f t="shared" si="28"/>
        <v>CT</v>
      </c>
      <c r="E504" s="2200">
        <f t="shared" si="29"/>
        <v>16</v>
      </c>
      <c r="F504" s="2200" t="str">
        <f t="shared" si="30"/>
        <v>09</v>
      </c>
      <c r="G504" s="2200" t="str">
        <f t="shared" si="31"/>
        <v>59980</v>
      </c>
      <c r="H504" s="2200">
        <f>--SUBTOTAL(3,C$2:C504)</f>
        <v>0</v>
      </c>
    </row>
    <row r="505" spans="1:8" hidden="1" x14ac:dyDescent="0.15">
      <c r="A505" s="2200" t="s">
        <v>11502</v>
      </c>
      <c r="B505" s="2200" t="s">
        <v>11725</v>
      </c>
      <c r="C505" s="2200" t="s">
        <v>11726</v>
      </c>
      <c r="D505" s="2200" t="str">
        <f t="shared" si="28"/>
        <v>CT</v>
      </c>
      <c r="E505" s="2200">
        <f t="shared" si="29"/>
        <v>16</v>
      </c>
      <c r="F505" s="2200" t="str">
        <f t="shared" si="30"/>
        <v>09</v>
      </c>
      <c r="G505" s="2200" t="str">
        <f t="shared" si="31"/>
        <v>60120</v>
      </c>
      <c r="H505" s="2200">
        <f>--SUBTOTAL(3,C$2:C505)</f>
        <v>0</v>
      </c>
    </row>
    <row r="506" spans="1:8" hidden="1" x14ac:dyDescent="0.15">
      <c r="A506" s="2200" t="s">
        <v>11502</v>
      </c>
      <c r="B506" s="2200" t="s">
        <v>11727</v>
      </c>
      <c r="C506" s="2200" t="s">
        <v>11728</v>
      </c>
      <c r="D506" s="2200" t="str">
        <f t="shared" si="28"/>
        <v>CT</v>
      </c>
      <c r="E506" s="2200">
        <f t="shared" si="29"/>
        <v>14</v>
      </c>
      <c r="F506" s="2200" t="str">
        <f t="shared" si="30"/>
        <v>09</v>
      </c>
      <c r="G506" s="2200" t="str">
        <f t="shared" si="31"/>
        <v>60750</v>
      </c>
      <c r="H506" s="2200">
        <f>--SUBTOTAL(3,C$2:C506)</f>
        <v>0</v>
      </c>
    </row>
    <row r="507" spans="1:8" hidden="1" x14ac:dyDescent="0.15">
      <c r="A507" s="2200" t="s">
        <v>11502</v>
      </c>
      <c r="B507" s="2200" t="s">
        <v>11729</v>
      </c>
      <c r="C507" s="2200" t="s">
        <v>11730</v>
      </c>
      <c r="D507" s="2200" t="str">
        <f t="shared" si="28"/>
        <v>CT</v>
      </c>
      <c r="E507" s="2200">
        <f t="shared" si="29"/>
        <v>13</v>
      </c>
      <c r="F507" s="2200" t="str">
        <f t="shared" si="30"/>
        <v>09</v>
      </c>
      <c r="G507" s="2200" t="str">
        <f t="shared" si="31"/>
        <v>61030</v>
      </c>
      <c r="H507" s="2200">
        <f>--SUBTOTAL(3,C$2:C507)</f>
        <v>0</v>
      </c>
    </row>
    <row r="508" spans="1:8" hidden="1" x14ac:dyDescent="0.15">
      <c r="A508" s="2200" t="s">
        <v>11502</v>
      </c>
      <c r="B508" s="2200" t="s">
        <v>11731</v>
      </c>
      <c r="C508" s="2200" t="s">
        <v>11732</v>
      </c>
      <c r="D508" s="2200" t="str">
        <f t="shared" si="28"/>
        <v>CT</v>
      </c>
      <c r="E508" s="2200">
        <f t="shared" si="29"/>
        <v>14</v>
      </c>
      <c r="F508" s="2200" t="str">
        <f t="shared" si="30"/>
        <v>09</v>
      </c>
      <c r="G508" s="2200" t="str">
        <f t="shared" si="31"/>
        <v>61800</v>
      </c>
      <c r="H508" s="2200">
        <f>--SUBTOTAL(3,C$2:C508)</f>
        <v>0</v>
      </c>
    </row>
    <row r="509" spans="1:8" hidden="1" x14ac:dyDescent="0.15">
      <c r="A509" s="2200" t="s">
        <v>11502</v>
      </c>
      <c r="B509" s="2200" t="s">
        <v>11733</v>
      </c>
      <c r="C509" s="2200" t="s">
        <v>11734</v>
      </c>
      <c r="D509" s="2200" t="str">
        <f t="shared" si="28"/>
        <v>CT</v>
      </c>
      <c r="E509" s="2200">
        <f t="shared" si="29"/>
        <v>13</v>
      </c>
      <c r="F509" s="2200" t="str">
        <f t="shared" si="30"/>
        <v>09</v>
      </c>
      <c r="G509" s="2200" t="str">
        <f t="shared" si="31"/>
        <v>62150</v>
      </c>
      <c r="H509" s="2200">
        <f>--SUBTOTAL(3,C$2:C509)</f>
        <v>0</v>
      </c>
    </row>
    <row r="510" spans="1:8" hidden="1" x14ac:dyDescent="0.15">
      <c r="A510" s="2200" t="s">
        <v>11502</v>
      </c>
      <c r="B510" s="2200" t="s">
        <v>11735</v>
      </c>
      <c r="C510" s="2200" t="s">
        <v>11736</v>
      </c>
      <c r="D510" s="2200" t="str">
        <f t="shared" si="28"/>
        <v>CT</v>
      </c>
      <c r="E510" s="2200">
        <f t="shared" si="29"/>
        <v>14</v>
      </c>
      <c r="F510" s="2200" t="str">
        <f t="shared" si="30"/>
        <v>09</v>
      </c>
      <c r="G510" s="2200" t="str">
        <f t="shared" si="31"/>
        <v>62290</v>
      </c>
      <c r="H510" s="2200">
        <f>--SUBTOTAL(3,C$2:C510)</f>
        <v>0</v>
      </c>
    </row>
    <row r="511" spans="1:8" hidden="1" x14ac:dyDescent="0.15">
      <c r="A511" s="2200" t="s">
        <v>11502</v>
      </c>
      <c r="B511" s="2200" t="s">
        <v>11737</v>
      </c>
      <c r="C511" s="2200" t="s">
        <v>11738</v>
      </c>
      <c r="D511" s="2200" t="str">
        <f t="shared" si="28"/>
        <v>CT</v>
      </c>
      <c r="E511" s="2200">
        <f t="shared" si="29"/>
        <v>12</v>
      </c>
      <c r="F511" s="2200" t="str">
        <f t="shared" si="30"/>
        <v>09</v>
      </c>
      <c r="G511" s="2200" t="str">
        <f t="shared" si="31"/>
        <v>62710</v>
      </c>
      <c r="H511" s="2200">
        <f>--SUBTOTAL(3,C$2:C511)</f>
        <v>0</v>
      </c>
    </row>
    <row r="512" spans="1:8" hidden="1" x14ac:dyDescent="0.15">
      <c r="A512" s="2200" t="s">
        <v>11502</v>
      </c>
      <c r="B512" s="2200" t="s">
        <v>11739</v>
      </c>
      <c r="C512" s="2200" t="s">
        <v>11740</v>
      </c>
      <c r="D512" s="2200" t="str">
        <f t="shared" si="28"/>
        <v>CT</v>
      </c>
      <c r="E512" s="2200">
        <f t="shared" si="29"/>
        <v>13</v>
      </c>
      <c r="F512" s="2200" t="str">
        <f t="shared" si="30"/>
        <v>09</v>
      </c>
      <c r="G512" s="2200" t="str">
        <f t="shared" si="31"/>
        <v>63480</v>
      </c>
      <c r="H512" s="2200">
        <f>--SUBTOTAL(3,C$2:C512)</f>
        <v>0</v>
      </c>
    </row>
    <row r="513" spans="1:8" hidden="1" x14ac:dyDescent="0.15">
      <c r="A513" s="2200" t="s">
        <v>11502</v>
      </c>
      <c r="B513" s="2200" t="s">
        <v>11741</v>
      </c>
      <c r="C513" s="2200" t="s">
        <v>11742</v>
      </c>
      <c r="D513" s="2200" t="str">
        <f t="shared" si="28"/>
        <v>CT</v>
      </c>
      <c r="E513" s="2200">
        <f t="shared" si="29"/>
        <v>16</v>
      </c>
      <c r="F513" s="2200" t="str">
        <f t="shared" si="30"/>
        <v>09</v>
      </c>
      <c r="G513" s="2200" t="str">
        <f t="shared" si="31"/>
        <v>63970</v>
      </c>
      <c r="H513" s="2200">
        <f>--SUBTOTAL(3,C$2:C513)</f>
        <v>0</v>
      </c>
    </row>
    <row r="514" spans="1:8" hidden="1" x14ac:dyDescent="0.15">
      <c r="A514" s="2200" t="s">
        <v>11502</v>
      </c>
      <c r="B514" s="2200" t="s">
        <v>11743</v>
      </c>
      <c r="C514" s="2200" t="s">
        <v>11744</v>
      </c>
      <c r="D514" s="2200" t="str">
        <f t="shared" ref="D514:D577" si="32">MID(C514,E514+2,2)</f>
        <v>CT</v>
      </c>
      <c r="E514" s="2200">
        <f t="shared" ref="E514:E577" si="33">FIND(",",C514)</f>
        <v>16</v>
      </c>
      <c r="F514" s="2200" t="str">
        <f t="shared" si="30"/>
        <v>09</v>
      </c>
      <c r="G514" s="2200" t="str">
        <f t="shared" si="31"/>
        <v>65370</v>
      </c>
      <c r="H514" s="2200">
        <f>--SUBTOTAL(3,C$2:C514)</f>
        <v>0</v>
      </c>
    </row>
    <row r="515" spans="1:8" hidden="1" x14ac:dyDescent="0.15">
      <c r="A515" s="2200" t="s">
        <v>11502</v>
      </c>
      <c r="B515" s="2200" t="s">
        <v>11745</v>
      </c>
      <c r="C515" s="2200" t="s">
        <v>11746</v>
      </c>
      <c r="D515" s="2200" t="str">
        <f t="shared" si="32"/>
        <v>CT</v>
      </c>
      <c r="E515" s="2200">
        <f t="shared" si="33"/>
        <v>13</v>
      </c>
      <c r="F515" s="2200" t="str">
        <f t="shared" ref="F515:F578" si="34">MID(B515,3,2)</f>
        <v>09</v>
      </c>
      <c r="G515" s="2200" t="str">
        <f t="shared" ref="G515:G578" si="35">MID(B515,5,5)</f>
        <v>65930</v>
      </c>
      <c r="H515" s="2200">
        <f>--SUBTOTAL(3,C$2:C515)</f>
        <v>0</v>
      </c>
    </row>
    <row r="516" spans="1:8" hidden="1" x14ac:dyDescent="0.15">
      <c r="A516" s="2200" t="s">
        <v>11502</v>
      </c>
      <c r="B516" s="2200" t="s">
        <v>11747</v>
      </c>
      <c r="C516" s="2200" t="s">
        <v>11748</v>
      </c>
      <c r="D516" s="2200" t="str">
        <f t="shared" si="32"/>
        <v>CT</v>
      </c>
      <c r="E516" s="2200">
        <f t="shared" si="33"/>
        <v>11</v>
      </c>
      <c r="F516" s="2200" t="str">
        <f t="shared" si="34"/>
        <v>09</v>
      </c>
      <c r="G516" s="2200" t="str">
        <f t="shared" si="35"/>
        <v>66210</v>
      </c>
      <c r="H516" s="2200">
        <f>--SUBTOTAL(3,C$2:C516)</f>
        <v>0</v>
      </c>
    </row>
    <row r="517" spans="1:8" hidden="1" x14ac:dyDescent="0.15">
      <c r="A517" s="2200" t="s">
        <v>11502</v>
      </c>
      <c r="B517" s="2200" t="s">
        <v>11749</v>
      </c>
      <c r="C517" s="2200" t="s">
        <v>11750</v>
      </c>
      <c r="D517" s="2200" t="str">
        <f t="shared" si="32"/>
        <v>CT</v>
      </c>
      <c r="E517" s="2200">
        <f t="shared" si="33"/>
        <v>15</v>
      </c>
      <c r="F517" s="2200" t="str">
        <f t="shared" si="34"/>
        <v>09</v>
      </c>
      <c r="G517" s="2200" t="str">
        <f t="shared" si="35"/>
        <v>66420</v>
      </c>
      <c r="H517" s="2200">
        <f>--SUBTOTAL(3,C$2:C517)</f>
        <v>0</v>
      </c>
    </row>
    <row r="518" spans="1:8" hidden="1" x14ac:dyDescent="0.15">
      <c r="A518" s="2200" t="s">
        <v>11502</v>
      </c>
      <c r="B518" s="2200" t="s">
        <v>11751</v>
      </c>
      <c r="C518" s="2200" t="s">
        <v>11752</v>
      </c>
      <c r="D518" s="2200" t="str">
        <f t="shared" si="32"/>
        <v>CT</v>
      </c>
      <c r="E518" s="2200">
        <f t="shared" si="33"/>
        <v>14</v>
      </c>
      <c r="F518" s="2200" t="str">
        <f t="shared" si="34"/>
        <v>09</v>
      </c>
      <c r="G518" s="2200" t="str">
        <f t="shared" si="35"/>
        <v>67400</v>
      </c>
      <c r="H518" s="2200">
        <f>--SUBTOTAL(3,C$2:C518)</f>
        <v>0</v>
      </c>
    </row>
    <row r="519" spans="1:8" hidden="1" x14ac:dyDescent="0.15">
      <c r="A519" s="2200" t="s">
        <v>11502</v>
      </c>
      <c r="B519" s="2200" t="s">
        <v>11753</v>
      </c>
      <c r="C519" s="2200" t="s">
        <v>11754</v>
      </c>
      <c r="D519" s="2200" t="str">
        <f t="shared" si="32"/>
        <v>CT</v>
      </c>
      <c r="E519" s="2200">
        <f t="shared" si="33"/>
        <v>13</v>
      </c>
      <c r="F519" s="2200" t="str">
        <f t="shared" si="34"/>
        <v>09</v>
      </c>
      <c r="G519" s="2200" t="str">
        <f t="shared" si="35"/>
        <v>67610</v>
      </c>
      <c r="H519" s="2200">
        <f>--SUBTOTAL(3,C$2:C519)</f>
        <v>0</v>
      </c>
    </row>
    <row r="520" spans="1:8" hidden="1" x14ac:dyDescent="0.15">
      <c r="A520" s="2200" t="s">
        <v>11502</v>
      </c>
      <c r="B520" s="2200" t="s">
        <v>11755</v>
      </c>
      <c r="C520" s="2200" t="s">
        <v>11756</v>
      </c>
      <c r="D520" s="2200" t="str">
        <f t="shared" si="32"/>
        <v>CT</v>
      </c>
      <c r="E520" s="2200">
        <f t="shared" si="33"/>
        <v>12</v>
      </c>
      <c r="F520" s="2200" t="str">
        <f t="shared" si="34"/>
        <v>09</v>
      </c>
      <c r="G520" s="2200" t="str">
        <f t="shared" si="35"/>
        <v>67960</v>
      </c>
      <c r="H520" s="2200">
        <f>--SUBTOTAL(3,C$2:C520)</f>
        <v>0</v>
      </c>
    </row>
    <row r="521" spans="1:8" hidden="1" x14ac:dyDescent="0.15">
      <c r="A521" s="2200" t="s">
        <v>10723</v>
      </c>
      <c r="B521" s="2200" t="s">
        <v>11757</v>
      </c>
      <c r="C521" s="2200" t="s">
        <v>11758</v>
      </c>
      <c r="D521" s="2200" t="str">
        <f t="shared" si="32"/>
        <v>CT</v>
      </c>
      <c r="E521" s="2200">
        <f t="shared" si="33"/>
        <v>18</v>
      </c>
      <c r="F521" s="2200" t="str">
        <f t="shared" si="34"/>
        <v>09</v>
      </c>
      <c r="G521" s="2200" t="str">
        <f t="shared" si="35"/>
        <v>68100</v>
      </c>
      <c r="H521" s="2200">
        <f>--SUBTOTAL(3,C$2:C521)</f>
        <v>0</v>
      </c>
    </row>
    <row r="522" spans="1:8" hidden="1" x14ac:dyDescent="0.15">
      <c r="A522" s="2200" t="s">
        <v>11502</v>
      </c>
      <c r="B522" s="2200" t="s">
        <v>11759</v>
      </c>
      <c r="C522" s="2200" t="s">
        <v>11760</v>
      </c>
      <c r="D522" s="2200" t="str">
        <f t="shared" si="32"/>
        <v>CT</v>
      </c>
      <c r="E522" s="2200">
        <f t="shared" si="33"/>
        <v>13</v>
      </c>
      <c r="F522" s="2200" t="str">
        <f t="shared" si="34"/>
        <v>09</v>
      </c>
      <c r="G522" s="2200" t="str">
        <f t="shared" si="35"/>
        <v>68310</v>
      </c>
      <c r="H522" s="2200">
        <f>--SUBTOTAL(3,C$2:C522)</f>
        <v>0</v>
      </c>
    </row>
    <row r="523" spans="1:8" hidden="1" x14ac:dyDescent="0.15">
      <c r="A523" s="2200" t="s">
        <v>11502</v>
      </c>
      <c r="B523" s="2200" t="s">
        <v>11761</v>
      </c>
      <c r="C523" s="2200" t="s">
        <v>11762</v>
      </c>
      <c r="D523" s="2200" t="str">
        <f t="shared" si="32"/>
        <v>CT</v>
      </c>
      <c r="E523" s="2200">
        <f t="shared" si="33"/>
        <v>14</v>
      </c>
      <c r="F523" s="2200" t="str">
        <f t="shared" si="34"/>
        <v>09</v>
      </c>
      <c r="G523" s="2200" t="str">
        <f t="shared" si="35"/>
        <v>68940</v>
      </c>
      <c r="H523" s="2200">
        <f>--SUBTOTAL(3,C$2:C523)</f>
        <v>0</v>
      </c>
    </row>
    <row r="524" spans="1:8" hidden="1" x14ac:dyDescent="0.15">
      <c r="A524" s="2200" t="s">
        <v>11502</v>
      </c>
      <c r="B524" s="2200" t="s">
        <v>11763</v>
      </c>
      <c r="C524" s="2200" t="s">
        <v>11764</v>
      </c>
      <c r="D524" s="2200" t="str">
        <f t="shared" si="32"/>
        <v>CT</v>
      </c>
      <c r="E524" s="2200">
        <f t="shared" si="33"/>
        <v>12</v>
      </c>
      <c r="F524" s="2200" t="str">
        <f t="shared" si="34"/>
        <v>09</v>
      </c>
      <c r="G524" s="2200" t="str">
        <f t="shared" si="35"/>
        <v>69220</v>
      </c>
      <c r="H524" s="2200">
        <f>--SUBTOTAL(3,C$2:C524)</f>
        <v>0</v>
      </c>
    </row>
    <row r="525" spans="1:8" hidden="1" x14ac:dyDescent="0.15">
      <c r="A525" s="2200" t="s">
        <v>10723</v>
      </c>
      <c r="B525" s="2200" t="s">
        <v>11765</v>
      </c>
      <c r="C525" s="2200" t="s">
        <v>11766</v>
      </c>
      <c r="D525" s="2200" t="str">
        <f t="shared" si="32"/>
        <v>CT</v>
      </c>
      <c r="E525" s="2200">
        <f t="shared" si="33"/>
        <v>19</v>
      </c>
      <c r="F525" s="2200" t="str">
        <f t="shared" si="34"/>
        <v>09</v>
      </c>
      <c r="G525" s="2200" t="str">
        <f t="shared" si="35"/>
        <v>71390</v>
      </c>
      <c r="H525" s="2200">
        <f>--SUBTOTAL(3,C$2:C525)</f>
        <v>0</v>
      </c>
    </row>
    <row r="526" spans="1:8" hidden="1" x14ac:dyDescent="0.15">
      <c r="A526" s="2200" t="s">
        <v>11502</v>
      </c>
      <c r="B526" s="2200" t="s">
        <v>11767</v>
      </c>
      <c r="C526" s="2200" t="s">
        <v>11768</v>
      </c>
      <c r="D526" s="2200" t="str">
        <f t="shared" si="32"/>
        <v>CT</v>
      </c>
      <c r="E526" s="2200">
        <f t="shared" si="33"/>
        <v>15</v>
      </c>
      <c r="F526" s="2200" t="str">
        <f t="shared" si="34"/>
        <v>09</v>
      </c>
      <c r="G526" s="2200" t="str">
        <f t="shared" si="35"/>
        <v>69640</v>
      </c>
      <c r="H526" s="2200">
        <f>--SUBTOTAL(3,C$2:C526)</f>
        <v>0</v>
      </c>
    </row>
    <row r="527" spans="1:8" hidden="1" x14ac:dyDescent="0.15">
      <c r="A527" s="2200" t="s">
        <v>10723</v>
      </c>
      <c r="B527" s="2200" t="s">
        <v>11769</v>
      </c>
      <c r="C527" s="2200" t="s">
        <v>11770</v>
      </c>
      <c r="D527" s="2200" t="str">
        <f t="shared" si="32"/>
        <v>CT</v>
      </c>
      <c r="E527" s="2200">
        <f t="shared" si="33"/>
        <v>17</v>
      </c>
      <c r="F527" s="2200" t="str">
        <f t="shared" si="34"/>
        <v>09</v>
      </c>
      <c r="G527" s="2200" t="str">
        <f t="shared" si="35"/>
        <v>70550</v>
      </c>
      <c r="H527" s="2200">
        <f>--SUBTOTAL(3,C$2:C527)</f>
        <v>0</v>
      </c>
    </row>
    <row r="528" spans="1:8" hidden="1" x14ac:dyDescent="0.15">
      <c r="A528" s="2200" t="s">
        <v>11502</v>
      </c>
      <c r="B528" s="2200" t="s">
        <v>11771</v>
      </c>
      <c r="C528" s="2200" t="s">
        <v>11772</v>
      </c>
      <c r="D528" s="2200" t="str">
        <f t="shared" si="32"/>
        <v>CT</v>
      </c>
      <c r="E528" s="2200">
        <f t="shared" si="33"/>
        <v>13</v>
      </c>
      <c r="F528" s="2200" t="str">
        <f t="shared" si="34"/>
        <v>09</v>
      </c>
      <c r="G528" s="2200" t="str">
        <f t="shared" si="35"/>
        <v>71670</v>
      </c>
      <c r="H528" s="2200">
        <f>--SUBTOTAL(3,C$2:C528)</f>
        <v>0</v>
      </c>
    </row>
    <row r="529" spans="1:8" hidden="1" x14ac:dyDescent="0.15">
      <c r="A529" s="2200" t="s">
        <v>11502</v>
      </c>
      <c r="B529" s="2200" t="s">
        <v>11773</v>
      </c>
      <c r="C529" s="2200" t="s">
        <v>11774</v>
      </c>
      <c r="D529" s="2200" t="str">
        <f t="shared" si="32"/>
        <v>CT</v>
      </c>
      <c r="E529" s="2200">
        <f t="shared" si="33"/>
        <v>14</v>
      </c>
      <c r="F529" s="2200" t="str">
        <f t="shared" si="34"/>
        <v>09</v>
      </c>
      <c r="G529" s="2200" t="str">
        <f t="shared" si="35"/>
        <v>72090</v>
      </c>
      <c r="H529" s="2200">
        <f>--SUBTOTAL(3,C$2:C529)</f>
        <v>0</v>
      </c>
    </row>
    <row r="530" spans="1:8" hidden="1" x14ac:dyDescent="0.15">
      <c r="A530" s="2200" t="s">
        <v>10723</v>
      </c>
      <c r="B530" s="2200" t="s">
        <v>11775</v>
      </c>
      <c r="C530" s="2200" t="s">
        <v>11776</v>
      </c>
      <c r="D530" s="2200" t="str">
        <f t="shared" si="32"/>
        <v>CT</v>
      </c>
      <c r="E530" s="2200">
        <f t="shared" si="33"/>
        <v>19</v>
      </c>
      <c r="F530" s="2200" t="str">
        <f t="shared" si="34"/>
        <v>09</v>
      </c>
      <c r="G530" s="2200" t="str">
        <f t="shared" si="35"/>
        <v>73000</v>
      </c>
      <c r="H530" s="2200">
        <f>--SUBTOTAL(3,C$2:C530)</f>
        <v>0</v>
      </c>
    </row>
    <row r="531" spans="1:8" hidden="1" x14ac:dyDescent="0.15">
      <c r="A531" s="2200" t="s">
        <v>11502</v>
      </c>
      <c r="B531" s="2200" t="s">
        <v>11777</v>
      </c>
      <c r="C531" s="2200" t="s">
        <v>11778</v>
      </c>
      <c r="D531" s="2200" t="str">
        <f t="shared" si="32"/>
        <v>CT</v>
      </c>
      <c r="E531" s="2200">
        <f t="shared" si="33"/>
        <v>14</v>
      </c>
      <c r="F531" s="2200" t="str">
        <f t="shared" si="34"/>
        <v>09</v>
      </c>
      <c r="G531" s="2200" t="str">
        <f t="shared" si="35"/>
        <v>73420</v>
      </c>
      <c r="H531" s="2200">
        <f>--SUBTOTAL(3,C$2:C531)</f>
        <v>0</v>
      </c>
    </row>
    <row r="532" spans="1:8" hidden="1" x14ac:dyDescent="0.15">
      <c r="A532" s="2200" t="s">
        <v>11502</v>
      </c>
      <c r="B532" s="2200" t="s">
        <v>11779</v>
      </c>
      <c r="C532" s="2200" t="s">
        <v>11780</v>
      </c>
      <c r="D532" s="2200" t="str">
        <f t="shared" si="32"/>
        <v>CT</v>
      </c>
      <c r="E532" s="2200">
        <f t="shared" si="33"/>
        <v>16</v>
      </c>
      <c r="F532" s="2200" t="str">
        <f t="shared" si="34"/>
        <v>09</v>
      </c>
      <c r="G532" s="2200" t="str">
        <f t="shared" si="35"/>
        <v>73770</v>
      </c>
      <c r="H532" s="2200">
        <f>--SUBTOTAL(3,C$2:C532)</f>
        <v>0</v>
      </c>
    </row>
    <row r="533" spans="1:8" hidden="1" x14ac:dyDescent="0.15">
      <c r="A533" s="2200" t="s">
        <v>10723</v>
      </c>
      <c r="B533" s="2200" t="s">
        <v>11781</v>
      </c>
      <c r="C533" s="2200" t="s">
        <v>11782</v>
      </c>
      <c r="D533" s="2200" t="str">
        <f t="shared" si="32"/>
        <v>CT</v>
      </c>
      <c r="E533" s="2200">
        <f t="shared" si="33"/>
        <v>15</v>
      </c>
      <c r="F533" s="2200" t="str">
        <f t="shared" si="34"/>
        <v>09</v>
      </c>
      <c r="G533" s="2200" t="str">
        <f t="shared" si="35"/>
        <v>74190</v>
      </c>
      <c r="H533" s="2200">
        <f>--SUBTOTAL(3,C$2:C533)</f>
        <v>0</v>
      </c>
    </row>
    <row r="534" spans="1:8" hidden="1" x14ac:dyDescent="0.15">
      <c r="A534" s="2200" t="s">
        <v>11502</v>
      </c>
      <c r="B534" s="2200" t="s">
        <v>11783</v>
      </c>
      <c r="C534" s="2200" t="s">
        <v>11784</v>
      </c>
      <c r="D534" s="2200" t="str">
        <f t="shared" si="32"/>
        <v>CT</v>
      </c>
      <c r="E534" s="2200">
        <f t="shared" si="33"/>
        <v>14</v>
      </c>
      <c r="F534" s="2200" t="str">
        <f t="shared" si="34"/>
        <v>09</v>
      </c>
      <c r="G534" s="2200" t="str">
        <f t="shared" si="35"/>
        <v>74540</v>
      </c>
      <c r="H534" s="2200">
        <f>--SUBTOTAL(3,C$2:C534)</f>
        <v>0</v>
      </c>
    </row>
    <row r="535" spans="1:8" hidden="1" x14ac:dyDescent="0.15">
      <c r="A535" s="2200" t="s">
        <v>11502</v>
      </c>
      <c r="B535" s="2200" t="s">
        <v>11785</v>
      </c>
      <c r="C535" s="2200" t="s">
        <v>11786</v>
      </c>
      <c r="D535" s="2200" t="str">
        <f t="shared" si="32"/>
        <v>CT</v>
      </c>
      <c r="E535" s="2200">
        <f t="shared" si="33"/>
        <v>15</v>
      </c>
      <c r="F535" s="2200" t="str">
        <f t="shared" si="34"/>
        <v>09</v>
      </c>
      <c r="G535" s="2200" t="str">
        <f t="shared" si="35"/>
        <v>75730</v>
      </c>
      <c r="H535" s="2200">
        <f>--SUBTOTAL(3,C$2:C535)</f>
        <v>0</v>
      </c>
    </row>
    <row r="536" spans="1:8" hidden="1" x14ac:dyDescent="0.15">
      <c r="A536" s="2200" t="s">
        <v>11502</v>
      </c>
      <c r="B536" s="2200" t="s">
        <v>11787</v>
      </c>
      <c r="C536" s="2200" t="s">
        <v>11788</v>
      </c>
      <c r="D536" s="2200" t="str">
        <f t="shared" si="32"/>
        <v>CT</v>
      </c>
      <c r="E536" s="2200">
        <f t="shared" si="33"/>
        <v>14</v>
      </c>
      <c r="F536" s="2200" t="str">
        <f t="shared" si="34"/>
        <v>09</v>
      </c>
      <c r="G536" s="2200" t="str">
        <f t="shared" si="35"/>
        <v>75870</v>
      </c>
      <c r="H536" s="2200">
        <f>--SUBTOTAL(3,C$2:C536)</f>
        <v>0</v>
      </c>
    </row>
    <row r="537" spans="1:8" hidden="1" x14ac:dyDescent="0.15">
      <c r="A537" s="2200" t="s">
        <v>11502</v>
      </c>
      <c r="B537" s="2200" t="s">
        <v>11789</v>
      </c>
      <c r="C537" s="2200" t="s">
        <v>11790</v>
      </c>
      <c r="D537" s="2200" t="str">
        <f t="shared" si="32"/>
        <v>CT</v>
      </c>
      <c r="E537" s="2200">
        <f t="shared" si="33"/>
        <v>13</v>
      </c>
      <c r="F537" s="2200" t="str">
        <f t="shared" si="34"/>
        <v>09</v>
      </c>
      <c r="G537" s="2200" t="str">
        <f t="shared" si="35"/>
        <v>76290</v>
      </c>
      <c r="H537" s="2200">
        <f>--SUBTOTAL(3,C$2:C537)</f>
        <v>0</v>
      </c>
    </row>
    <row r="538" spans="1:8" hidden="1" x14ac:dyDescent="0.15">
      <c r="A538" s="2200" t="s">
        <v>10723</v>
      </c>
      <c r="B538" s="2200" t="s">
        <v>11791</v>
      </c>
      <c r="C538" s="2200" t="s">
        <v>11792</v>
      </c>
      <c r="D538" s="2200" t="str">
        <f t="shared" si="32"/>
        <v>CT</v>
      </c>
      <c r="E538" s="2200">
        <f t="shared" si="33"/>
        <v>21</v>
      </c>
      <c r="F538" s="2200" t="str">
        <f t="shared" si="34"/>
        <v>09</v>
      </c>
      <c r="G538" s="2200" t="str">
        <f t="shared" si="35"/>
        <v>76500</v>
      </c>
      <c r="H538" s="2200">
        <f>--SUBTOTAL(3,C$2:C538)</f>
        <v>0</v>
      </c>
    </row>
    <row r="539" spans="1:8" hidden="1" x14ac:dyDescent="0.15">
      <c r="A539" s="2200" t="s">
        <v>10723</v>
      </c>
      <c r="B539" s="2200" t="s">
        <v>11793</v>
      </c>
      <c r="C539" s="2200" t="s">
        <v>11794</v>
      </c>
      <c r="D539" s="2200" t="str">
        <f t="shared" si="32"/>
        <v>CT</v>
      </c>
      <c r="E539" s="2200">
        <f t="shared" si="33"/>
        <v>14</v>
      </c>
      <c r="F539" s="2200" t="str">
        <f t="shared" si="34"/>
        <v>09</v>
      </c>
      <c r="G539" s="2200" t="str">
        <f t="shared" si="35"/>
        <v>77200</v>
      </c>
      <c r="H539" s="2200">
        <f>--SUBTOTAL(3,C$2:C539)</f>
        <v>0</v>
      </c>
    </row>
    <row r="540" spans="1:8" hidden="1" x14ac:dyDescent="0.15">
      <c r="A540" s="2200" t="s">
        <v>11502</v>
      </c>
      <c r="B540" s="2200" t="s">
        <v>11795</v>
      </c>
      <c r="C540" s="2200" t="s">
        <v>11796</v>
      </c>
      <c r="D540" s="2200" t="str">
        <f t="shared" si="32"/>
        <v>CT</v>
      </c>
      <c r="E540" s="2200">
        <f t="shared" si="33"/>
        <v>11</v>
      </c>
      <c r="F540" s="2200" t="str">
        <f t="shared" si="34"/>
        <v>09</v>
      </c>
      <c r="G540" s="2200" t="str">
        <f t="shared" si="35"/>
        <v>77830</v>
      </c>
      <c r="H540" s="2200">
        <f>--SUBTOTAL(3,C$2:C540)</f>
        <v>0</v>
      </c>
    </row>
    <row r="541" spans="1:8" hidden="1" x14ac:dyDescent="0.15">
      <c r="A541" s="2200" t="s">
        <v>10723</v>
      </c>
      <c r="B541" s="2200" t="s">
        <v>11797</v>
      </c>
      <c r="C541" s="2200" t="s">
        <v>11798</v>
      </c>
      <c r="D541" s="2200" t="str">
        <f t="shared" si="32"/>
        <v>CT</v>
      </c>
      <c r="E541" s="2200">
        <f t="shared" si="33"/>
        <v>12</v>
      </c>
      <c r="F541" s="2200" t="str">
        <f t="shared" si="34"/>
        <v>09</v>
      </c>
      <c r="G541" s="2200" t="str">
        <f t="shared" si="35"/>
        <v>78250</v>
      </c>
      <c r="H541" s="2200">
        <f>--SUBTOTAL(3,C$2:C541)</f>
        <v>0</v>
      </c>
    </row>
    <row r="542" spans="1:8" hidden="1" x14ac:dyDescent="0.15">
      <c r="A542" s="2200" t="s">
        <v>11502</v>
      </c>
      <c r="B542" s="2200" t="s">
        <v>11799</v>
      </c>
      <c r="C542" s="2200" t="s">
        <v>11800</v>
      </c>
      <c r="D542" s="2200" t="str">
        <f t="shared" si="32"/>
        <v>CT</v>
      </c>
      <c r="E542" s="2200">
        <f t="shared" si="33"/>
        <v>15</v>
      </c>
      <c r="F542" s="2200" t="str">
        <f t="shared" si="34"/>
        <v>09</v>
      </c>
      <c r="G542" s="2200" t="str">
        <f t="shared" si="35"/>
        <v>78600</v>
      </c>
      <c r="H542" s="2200">
        <f>--SUBTOTAL(3,C$2:C542)</f>
        <v>0</v>
      </c>
    </row>
    <row r="543" spans="1:8" hidden="1" x14ac:dyDescent="0.15">
      <c r="A543" s="2200" t="s">
        <v>10723</v>
      </c>
      <c r="B543" s="2200" t="s">
        <v>11801</v>
      </c>
      <c r="C543" s="2200" t="s">
        <v>11802</v>
      </c>
      <c r="D543" s="2200" t="str">
        <f t="shared" si="32"/>
        <v>CT</v>
      </c>
      <c r="E543" s="2200">
        <f t="shared" si="33"/>
        <v>17</v>
      </c>
      <c r="F543" s="2200" t="str">
        <f t="shared" si="34"/>
        <v>09</v>
      </c>
      <c r="G543" s="2200" t="str">
        <f t="shared" si="35"/>
        <v>78740</v>
      </c>
      <c r="H543" s="2200">
        <f>--SUBTOTAL(3,C$2:C543)</f>
        <v>0</v>
      </c>
    </row>
    <row r="544" spans="1:8" hidden="1" x14ac:dyDescent="0.15">
      <c r="A544" s="2200" t="s">
        <v>11502</v>
      </c>
      <c r="B544" s="2200" t="s">
        <v>11803</v>
      </c>
      <c r="C544" s="2200" t="s">
        <v>11804</v>
      </c>
      <c r="D544" s="2200" t="str">
        <f t="shared" si="32"/>
        <v>CT</v>
      </c>
      <c r="E544" s="2200">
        <f t="shared" si="33"/>
        <v>12</v>
      </c>
      <c r="F544" s="2200" t="str">
        <f t="shared" si="34"/>
        <v>09</v>
      </c>
      <c r="G544" s="2200" t="str">
        <f t="shared" si="35"/>
        <v>79510</v>
      </c>
      <c r="H544" s="2200">
        <f>--SUBTOTAL(3,C$2:C544)</f>
        <v>0</v>
      </c>
    </row>
    <row r="545" spans="1:8" hidden="1" x14ac:dyDescent="0.15">
      <c r="A545" s="2200" t="s">
        <v>11502</v>
      </c>
      <c r="B545" s="2200" t="s">
        <v>11805</v>
      </c>
      <c r="C545" s="2200" t="s">
        <v>11806</v>
      </c>
      <c r="D545" s="2200" t="str">
        <f t="shared" si="32"/>
        <v>CT</v>
      </c>
      <c r="E545" s="2200">
        <f t="shared" si="33"/>
        <v>16</v>
      </c>
      <c r="F545" s="2200" t="str">
        <f t="shared" si="34"/>
        <v>09</v>
      </c>
      <c r="G545" s="2200" t="str">
        <f t="shared" si="35"/>
        <v>79720</v>
      </c>
      <c r="H545" s="2200">
        <f>--SUBTOTAL(3,C$2:C545)</f>
        <v>0</v>
      </c>
    </row>
    <row r="546" spans="1:8" hidden="1" x14ac:dyDescent="0.15">
      <c r="A546" s="2200" t="s">
        <v>10723</v>
      </c>
      <c r="B546" s="2200" t="s">
        <v>11807</v>
      </c>
      <c r="C546" s="2200" t="s">
        <v>11808</v>
      </c>
      <c r="D546" s="2200" t="str">
        <f t="shared" si="32"/>
        <v>CT</v>
      </c>
      <c r="E546" s="2200">
        <f t="shared" si="33"/>
        <v>20</v>
      </c>
      <c r="F546" s="2200" t="str">
        <f t="shared" si="34"/>
        <v>09</v>
      </c>
      <c r="G546" s="2200" t="str">
        <f t="shared" si="35"/>
        <v>80000</v>
      </c>
      <c r="H546" s="2200">
        <f>--SUBTOTAL(3,C$2:C546)</f>
        <v>0</v>
      </c>
    </row>
    <row r="547" spans="1:8" hidden="1" x14ac:dyDescent="0.15">
      <c r="A547" s="2200" t="s">
        <v>11502</v>
      </c>
      <c r="B547" s="2200" t="s">
        <v>11809</v>
      </c>
      <c r="C547" s="2200" t="s">
        <v>11810</v>
      </c>
      <c r="D547" s="2200" t="str">
        <f t="shared" si="32"/>
        <v>CT</v>
      </c>
      <c r="E547" s="2200">
        <f t="shared" si="33"/>
        <v>15</v>
      </c>
      <c r="F547" s="2200" t="str">
        <f t="shared" si="34"/>
        <v>09</v>
      </c>
      <c r="G547" s="2200" t="str">
        <f t="shared" si="35"/>
        <v>80280</v>
      </c>
      <c r="H547" s="2200">
        <f>--SUBTOTAL(3,C$2:C547)</f>
        <v>0</v>
      </c>
    </row>
    <row r="548" spans="1:8" hidden="1" x14ac:dyDescent="0.15">
      <c r="A548" s="2200" t="s">
        <v>11502</v>
      </c>
      <c r="B548" s="2200" t="s">
        <v>11811</v>
      </c>
      <c r="C548" s="2200" t="s">
        <v>11812</v>
      </c>
      <c r="D548" s="2200" t="str">
        <f t="shared" si="32"/>
        <v>CT</v>
      </c>
      <c r="E548" s="2200">
        <f t="shared" si="33"/>
        <v>15</v>
      </c>
      <c r="F548" s="2200" t="str">
        <f t="shared" si="34"/>
        <v>09</v>
      </c>
      <c r="G548" s="2200" t="str">
        <f t="shared" si="35"/>
        <v>80490</v>
      </c>
      <c r="H548" s="2200">
        <f>--SUBTOTAL(3,C$2:C548)</f>
        <v>0</v>
      </c>
    </row>
    <row r="549" spans="1:8" hidden="1" x14ac:dyDescent="0.15">
      <c r="A549" s="2200" t="s">
        <v>10723</v>
      </c>
      <c r="B549" s="2200" t="s">
        <v>11813</v>
      </c>
      <c r="C549" s="2200" t="s">
        <v>11814</v>
      </c>
      <c r="D549" s="2200" t="str">
        <f t="shared" si="32"/>
        <v>CT</v>
      </c>
      <c r="E549" s="2200">
        <f t="shared" si="33"/>
        <v>19</v>
      </c>
      <c r="F549" s="2200" t="str">
        <f t="shared" si="34"/>
        <v>09</v>
      </c>
      <c r="G549" s="2200" t="str">
        <f t="shared" si="35"/>
        <v>82590</v>
      </c>
      <c r="H549" s="2200">
        <f>--SUBTOTAL(3,C$2:C549)</f>
        <v>0</v>
      </c>
    </row>
    <row r="550" spans="1:8" hidden="1" x14ac:dyDescent="0.15">
      <c r="A550" s="2200" t="s">
        <v>10723</v>
      </c>
      <c r="B550" s="2200" t="s">
        <v>11815</v>
      </c>
      <c r="C550" s="2200" t="s">
        <v>11816</v>
      </c>
      <c r="D550" s="2200" t="str">
        <f t="shared" si="32"/>
        <v>CT</v>
      </c>
      <c r="E550" s="2200">
        <f t="shared" si="33"/>
        <v>21</v>
      </c>
      <c r="F550" s="2200" t="str">
        <f t="shared" si="34"/>
        <v>09</v>
      </c>
      <c r="G550" s="2200" t="str">
        <f t="shared" si="35"/>
        <v>82800</v>
      </c>
      <c r="H550" s="2200">
        <f>--SUBTOTAL(3,C$2:C550)</f>
        <v>0</v>
      </c>
    </row>
    <row r="551" spans="1:8" hidden="1" x14ac:dyDescent="0.15">
      <c r="A551" s="2200" t="s">
        <v>11502</v>
      </c>
      <c r="B551" s="2200" t="s">
        <v>11817</v>
      </c>
      <c r="C551" s="2200" t="s">
        <v>11818</v>
      </c>
      <c r="D551" s="2200" t="str">
        <f t="shared" si="32"/>
        <v>CT</v>
      </c>
      <c r="E551" s="2200">
        <f t="shared" si="33"/>
        <v>15</v>
      </c>
      <c r="F551" s="2200" t="str">
        <f t="shared" si="34"/>
        <v>09</v>
      </c>
      <c r="G551" s="2200" t="str">
        <f t="shared" si="35"/>
        <v>81680</v>
      </c>
      <c r="H551" s="2200">
        <f>--SUBTOTAL(3,C$2:C551)</f>
        <v>0</v>
      </c>
    </row>
    <row r="552" spans="1:8" hidden="1" x14ac:dyDescent="0.15">
      <c r="A552" s="2200" t="s">
        <v>11502</v>
      </c>
      <c r="B552" s="2200" t="s">
        <v>11819</v>
      </c>
      <c r="C552" s="2200" t="s">
        <v>11820</v>
      </c>
      <c r="D552" s="2200" t="str">
        <f t="shared" si="32"/>
        <v>CT</v>
      </c>
      <c r="E552" s="2200">
        <f t="shared" si="33"/>
        <v>12</v>
      </c>
      <c r="F552" s="2200" t="str">
        <f t="shared" si="34"/>
        <v>09</v>
      </c>
      <c r="G552" s="2200" t="str">
        <f t="shared" si="35"/>
        <v>83430</v>
      </c>
      <c r="H552" s="2200">
        <f>--SUBTOTAL(3,C$2:C552)</f>
        <v>0</v>
      </c>
    </row>
    <row r="553" spans="1:8" hidden="1" x14ac:dyDescent="0.15">
      <c r="A553" s="2200" t="s">
        <v>10723</v>
      </c>
      <c r="B553" s="2200" t="s">
        <v>11821</v>
      </c>
      <c r="C553" s="2200" t="s">
        <v>11822</v>
      </c>
      <c r="D553" s="2200" t="str">
        <f t="shared" si="32"/>
        <v>CT</v>
      </c>
      <c r="E553" s="2200">
        <f t="shared" si="33"/>
        <v>14</v>
      </c>
      <c r="F553" s="2200" t="str">
        <f t="shared" si="34"/>
        <v>09</v>
      </c>
      <c r="G553" s="2200" t="str">
        <f t="shared" si="35"/>
        <v>83500</v>
      </c>
      <c r="H553" s="2200">
        <f>--SUBTOTAL(3,C$2:C553)</f>
        <v>0</v>
      </c>
    </row>
    <row r="554" spans="1:8" hidden="1" x14ac:dyDescent="0.15">
      <c r="A554" s="2200" t="s">
        <v>10723</v>
      </c>
      <c r="B554" s="2200" t="s">
        <v>11823</v>
      </c>
      <c r="C554" s="2200" t="s">
        <v>11824</v>
      </c>
      <c r="D554" s="2200" t="str">
        <f t="shared" si="32"/>
        <v>CT</v>
      </c>
      <c r="E554" s="2200">
        <f t="shared" si="33"/>
        <v>18</v>
      </c>
      <c r="F554" s="2200" t="str">
        <f t="shared" si="34"/>
        <v>09</v>
      </c>
      <c r="G554" s="2200" t="str">
        <f t="shared" si="35"/>
        <v>84900</v>
      </c>
      <c r="H554" s="2200">
        <f>--SUBTOTAL(3,C$2:C554)</f>
        <v>0</v>
      </c>
    </row>
    <row r="555" spans="1:8" hidden="1" x14ac:dyDescent="0.15">
      <c r="A555" s="2200" t="s">
        <v>11502</v>
      </c>
      <c r="B555" s="2200" t="s">
        <v>11825</v>
      </c>
      <c r="C555" s="2200" t="s">
        <v>11826</v>
      </c>
      <c r="D555" s="2200" t="str">
        <f t="shared" si="32"/>
        <v>CT</v>
      </c>
      <c r="E555" s="2200">
        <f t="shared" si="33"/>
        <v>16</v>
      </c>
      <c r="F555" s="2200" t="str">
        <f t="shared" si="34"/>
        <v>09</v>
      </c>
      <c r="G555" s="2200" t="str">
        <f t="shared" si="35"/>
        <v>85950</v>
      </c>
      <c r="H555" s="2200">
        <f>--SUBTOTAL(3,C$2:C555)</f>
        <v>0</v>
      </c>
    </row>
    <row r="556" spans="1:8" hidden="1" x14ac:dyDescent="0.15">
      <c r="A556" s="2200" t="s">
        <v>11502</v>
      </c>
      <c r="B556" s="2200" t="s">
        <v>11827</v>
      </c>
      <c r="C556" s="2200" t="s">
        <v>11828</v>
      </c>
      <c r="D556" s="2200" t="str">
        <f t="shared" si="32"/>
        <v>CT</v>
      </c>
      <c r="E556" s="2200">
        <f t="shared" si="33"/>
        <v>12</v>
      </c>
      <c r="F556" s="2200" t="str">
        <f t="shared" si="34"/>
        <v>09</v>
      </c>
      <c r="G556" s="2200" t="str">
        <f t="shared" si="35"/>
        <v>86370</v>
      </c>
      <c r="H556" s="2200">
        <f>--SUBTOTAL(3,C$2:C556)</f>
        <v>0</v>
      </c>
    </row>
    <row r="557" spans="1:8" hidden="1" x14ac:dyDescent="0.15">
      <c r="A557" s="2200" t="s">
        <v>11502</v>
      </c>
      <c r="B557" s="2200" t="s">
        <v>11829</v>
      </c>
      <c r="C557" s="2200" t="s">
        <v>11830</v>
      </c>
      <c r="D557" s="2200" t="str">
        <f t="shared" si="32"/>
        <v>CT</v>
      </c>
      <c r="E557" s="2200">
        <f t="shared" si="33"/>
        <v>16</v>
      </c>
      <c r="F557" s="2200" t="str">
        <f t="shared" si="34"/>
        <v>09</v>
      </c>
      <c r="G557" s="2200" t="str">
        <f t="shared" si="35"/>
        <v>86440</v>
      </c>
      <c r="H557" s="2200">
        <f>--SUBTOTAL(3,C$2:C557)</f>
        <v>0</v>
      </c>
    </row>
    <row r="558" spans="1:8" hidden="1" x14ac:dyDescent="0.15">
      <c r="A558" s="2200" t="s">
        <v>10723</v>
      </c>
      <c r="B558" s="2200" t="s">
        <v>11831</v>
      </c>
      <c r="C558" s="2200" t="s">
        <v>11832</v>
      </c>
      <c r="D558" s="2200" t="str">
        <f t="shared" si="32"/>
        <v>CT</v>
      </c>
      <c r="E558" s="2200">
        <f t="shared" si="33"/>
        <v>13</v>
      </c>
      <c r="F558" s="2200" t="str">
        <f t="shared" si="34"/>
        <v>09</v>
      </c>
      <c r="G558" s="2200" t="str">
        <f t="shared" si="35"/>
        <v>86790</v>
      </c>
      <c r="H558" s="2200">
        <f>--SUBTOTAL(3,C$2:C558)</f>
        <v>0</v>
      </c>
    </row>
    <row r="559" spans="1:8" hidden="1" x14ac:dyDescent="0.15">
      <c r="A559" s="2200" t="s">
        <v>11502</v>
      </c>
      <c r="B559" s="2200" t="s">
        <v>11833</v>
      </c>
      <c r="C559" s="2200" t="s">
        <v>11834</v>
      </c>
      <c r="D559" s="2200" t="str">
        <f t="shared" si="32"/>
        <v>CT</v>
      </c>
      <c r="E559" s="2200">
        <f t="shared" si="33"/>
        <v>19</v>
      </c>
      <c r="F559" s="2200" t="str">
        <f t="shared" si="34"/>
        <v>09</v>
      </c>
      <c r="G559" s="2200" t="str">
        <f t="shared" si="35"/>
        <v>87070</v>
      </c>
      <c r="H559" s="2200">
        <f>--SUBTOTAL(3,C$2:C559)</f>
        <v>0</v>
      </c>
    </row>
    <row r="560" spans="1:8" hidden="1" x14ac:dyDescent="0.15">
      <c r="A560" s="2200" t="s">
        <v>10723</v>
      </c>
      <c r="B560" s="2200" t="s">
        <v>11835</v>
      </c>
      <c r="C560" s="2200" t="s">
        <v>11836</v>
      </c>
      <c r="D560" s="2200" t="str">
        <f t="shared" si="32"/>
        <v>CT</v>
      </c>
      <c r="E560" s="2200">
        <f t="shared" si="33"/>
        <v>13</v>
      </c>
      <c r="F560" s="2200" t="str">
        <f t="shared" si="34"/>
        <v>09</v>
      </c>
      <c r="G560" s="2200" t="str">
        <f t="shared" si="35"/>
        <v>87000</v>
      </c>
      <c r="H560" s="2200">
        <f>--SUBTOTAL(3,C$2:C560)</f>
        <v>0</v>
      </c>
    </row>
    <row r="561" spans="1:8" hidden="1" x14ac:dyDescent="0.15">
      <c r="A561" s="2200" t="s">
        <v>11502</v>
      </c>
      <c r="B561" s="2200" t="s">
        <v>11837</v>
      </c>
      <c r="C561" s="2200" t="s">
        <v>11838</v>
      </c>
      <c r="D561" s="2200" t="str">
        <f t="shared" si="32"/>
        <v>CT</v>
      </c>
      <c r="E561" s="2200">
        <f t="shared" si="33"/>
        <v>13</v>
      </c>
      <c r="F561" s="2200" t="str">
        <f t="shared" si="34"/>
        <v>09</v>
      </c>
      <c r="G561" s="2200" t="str">
        <f t="shared" si="35"/>
        <v>87560</v>
      </c>
      <c r="H561" s="2200">
        <f>--SUBTOTAL(3,C$2:C561)</f>
        <v>0</v>
      </c>
    </row>
    <row r="562" spans="1:8" hidden="1" x14ac:dyDescent="0.15">
      <c r="A562" s="2200" t="s">
        <v>11502</v>
      </c>
      <c r="B562" s="2200" t="s">
        <v>11839</v>
      </c>
      <c r="C562" s="2200" t="s">
        <v>11840</v>
      </c>
      <c r="D562" s="2200" t="str">
        <f t="shared" si="32"/>
        <v>CT</v>
      </c>
      <c r="E562" s="2200">
        <f t="shared" si="33"/>
        <v>16</v>
      </c>
      <c r="F562" s="2200" t="str">
        <f t="shared" si="34"/>
        <v>09</v>
      </c>
      <c r="G562" s="2200" t="str">
        <f t="shared" si="35"/>
        <v>87700</v>
      </c>
      <c r="H562" s="2200">
        <f>--SUBTOTAL(3,C$2:C562)</f>
        <v>0</v>
      </c>
    </row>
    <row r="563" spans="1:8" hidden="1" x14ac:dyDescent="0.15">
      <c r="A563" s="2200" t="s">
        <v>11502</v>
      </c>
      <c r="B563" s="2200" t="s">
        <v>11841</v>
      </c>
      <c r="C563" s="2200" t="s">
        <v>11842</v>
      </c>
      <c r="D563" s="2200" t="str">
        <f t="shared" si="32"/>
        <v>CT</v>
      </c>
      <c r="E563" s="2200">
        <f t="shared" si="33"/>
        <v>14</v>
      </c>
      <c r="F563" s="2200" t="str">
        <f t="shared" si="34"/>
        <v>09</v>
      </c>
      <c r="G563" s="2200" t="str">
        <f t="shared" si="35"/>
        <v>87910</v>
      </c>
      <c r="H563" s="2200">
        <f>--SUBTOTAL(3,C$2:C563)</f>
        <v>0</v>
      </c>
    </row>
    <row r="564" spans="1:8" hidden="1" x14ac:dyDescent="0.15">
      <c r="A564" s="2200" t="s">
        <v>11502</v>
      </c>
      <c r="B564" s="2200" t="s">
        <v>11843</v>
      </c>
      <c r="C564" s="2200" t="s">
        <v>11844</v>
      </c>
      <c r="D564" s="2200" t="str">
        <f t="shared" si="32"/>
        <v>CT</v>
      </c>
      <c r="E564" s="2200">
        <f t="shared" si="33"/>
        <v>15</v>
      </c>
      <c r="F564" s="2200" t="str">
        <f t="shared" si="34"/>
        <v>09</v>
      </c>
      <c r="G564" s="2200" t="str">
        <f t="shared" si="35"/>
        <v>88190</v>
      </c>
      <c r="H564" s="2200">
        <f>--SUBTOTAL(3,C$2:C564)</f>
        <v>0</v>
      </c>
    </row>
    <row r="565" spans="1:8" hidden="1" x14ac:dyDescent="0.15">
      <c r="A565" s="2200" t="s">
        <v>10723</v>
      </c>
      <c r="B565" s="2200" t="s">
        <v>11845</v>
      </c>
      <c r="C565" s="2200" t="s">
        <v>11846</v>
      </c>
      <c r="D565" s="2200" t="str">
        <f t="shared" si="32"/>
        <v>DC</v>
      </c>
      <c r="E565" s="2200">
        <f t="shared" si="33"/>
        <v>16</v>
      </c>
      <c r="F565" s="2200" t="str">
        <f t="shared" si="34"/>
        <v>11</v>
      </c>
      <c r="G565" s="2200" t="str">
        <f t="shared" si="35"/>
        <v>50000</v>
      </c>
      <c r="H565" s="2200">
        <f>--SUBTOTAL(3,C$2:C565)</f>
        <v>0</v>
      </c>
    </row>
    <row r="566" spans="1:8" hidden="1" x14ac:dyDescent="0.15">
      <c r="A566" s="2200" t="s">
        <v>10723</v>
      </c>
      <c r="B566" s="2200" t="s">
        <v>11847</v>
      </c>
      <c r="C566" s="2200" t="s">
        <v>11848</v>
      </c>
      <c r="D566" s="2200" t="str">
        <f t="shared" si="32"/>
        <v>DE</v>
      </c>
      <c r="E566" s="2200">
        <f t="shared" si="33"/>
        <v>11</v>
      </c>
      <c r="F566" s="2200" t="str">
        <f t="shared" si="34"/>
        <v>10</v>
      </c>
      <c r="G566" s="2200" t="str">
        <f t="shared" si="35"/>
        <v>21200</v>
      </c>
      <c r="H566" s="2200">
        <f>--SUBTOTAL(3,C$2:C566)</f>
        <v>0</v>
      </c>
    </row>
    <row r="567" spans="1:8" hidden="1" x14ac:dyDescent="0.15">
      <c r="A567" s="2200" t="s">
        <v>10723</v>
      </c>
      <c r="B567" s="2200" t="s">
        <v>11849</v>
      </c>
      <c r="C567" s="2200" t="s">
        <v>11850</v>
      </c>
      <c r="D567" s="2200" t="str">
        <f t="shared" si="32"/>
        <v>DE</v>
      </c>
      <c r="E567" s="2200">
        <f t="shared" si="33"/>
        <v>12</v>
      </c>
      <c r="F567" s="2200" t="str">
        <f t="shared" si="34"/>
        <v>10</v>
      </c>
      <c r="G567" s="2200" t="str">
        <f t="shared" si="35"/>
        <v>50670</v>
      </c>
      <c r="H567" s="2200">
        <f>--SUBTOTAL(3,C$2:C567)</f>
        <v>0</v>
      </c>
    </row>
    <row r="568" spans="1:8" hidden="1" x14ac:dyDescent="0.15">
      <c r="A568" s="2200" t="s">
        <v>10723</v>
      </c>
      <c r="B568" s="2200" t="s">
        <v>11851</v>
      </c>
      <c r="C568" s="2200" t="s">
        <v>11852</v>
      </c>
      <c r="D568" s="2200" t="str">
        <f t="shared" si="32"/>
        <v>DE</v>
      </c>
      <c r="E568" s="2200">
        <f t="shared" si="33"/>
        <v>16</v>
      </c>
      <c r="F568" s="2200" t="str">
        <f t="shared" si="34"/>
        <v>10</v>
      </c>
      <c r="G568" s="2200" t="str">
        <f t="shared" si="35"/>
        <v>77580</v>
      </c>
      <c r="H568" s="2200">
        <f>--SUBTOTAL(3,C$2:C568)</f>
        <v>0</v>
      </c>
    </row>
    <row r="569" spans="1:8" x14ac:dyDescent="0.15">
      <c r="A569" s="2200" t="s">
        <v>10723</v>
      </c>
      <c r="B569" s="2200" t="s">
        <v>11853</v>
      </c>
      <c r="C569" s="2200" t="s">
        <v>11854</v>
      </c>
      <c r="D569" s="2200" t="str">
        <f t="shared" si="32"/>
        <v>FL</v>
      </c>
      <c r="E569" s="2200">
        <f t="shared" si="33"/>
        <v>23</v>
      </c>
      <c r="F569" s="2200" t="str">
        <f t="shared" si="34"/>
        <v>12</v>
      </c>
      <c r="G569" s="2200" t="str">
        <f t="shared" si="35"/>
        <v>00950</v>
      </c>
      <c r="H569" s="2200">
        <f>--SUBTOTAL(3,C$2:C569)</f>
        <v>1</v>
      </c>
    </row>
    <row r="570" spans="1:8" x14ac:dyDescent="0.15">
      <c r="A570" s="2200" t="s">
        <v>10723</v>
      </c>
      <c r="B570" s="2200" t="s">
        <v>11855</v>
      </c>
      <c r="C570" s="2200" t="s">
        <v>11856</v>
      </c>
      <c r="D570" s="2200" t="str">
        <f t="shared" si="32"/>
        <v>FL</v>
      </c>
      <c r="E570" s="2200">
        <f t="shared" si="33"/>
        <v>12</v>
      </c>
      <c r="F570" s="2200" t="str">
        <f t="shared" si="34"/>
        <v>12</v>
      </c>
      <c r="G570" s="2200" t="str">
        <f t="shared" si="35"/>
        <v>01700</v>
      </c>
      <c r="H570" s="2200">
        <f>--SUBTOTAL(3,C$2:C570)</f>
        <v>2</v>
      </c>
    </row>
    <row r="571" spans="1:8" x14ac:dyDescent="0.15">
      <c r="A571" s="2200" t="s">
        <v>10723</v>
      </c>
      <c r="B571" s="2200" t="s">
        <v>11857</v>
      </c>
      <c r="C571" s="2200" t="s">
        <v>11858</v>
      </c>
      <c r="D571" s="2200" t="str">
        <f t="shared" si="32"/>
        <v>FL</v>
      </c>
      <c r="E571" s="2200">
        <f t="shared" si="33"/>
        <v>14</v>
      </c>
      <c r="F571" s="2200" t="str">
        <f t="shared" si="34"/>
        <v>12</v>
      </c>
      <c r="G571" s="2200" t="str">
        <f t="shared" si="35"/>
        <v>02681</v>
      </c>
      <c r="H571" s="2200">
        <f>--SUBTOTAL(3,C$2:C571)</f>
        <v>3</v>
      </c>
    </row>
    <row r="572" spans="1:8" x14ac:dyDescent="0.15">
      <c r="A572" s="2200" t="s">
        <v>10723</v>
      </c>
      <c r="B572" s="2200" t="s">
        <v>11859</v>
      </c>
      <c r="C572" s="2200" t="s">
        <v>11860</v>
      </c>
      <c r="D572" s="2200" t="str">
        <f t="shared" si="32"/>
        <v>FL</v>
      </c>
      <c r="E572" s="2200">
        <f t="shared" si="33"/>
        <v>16</v>
      </c>
      <c r="F572" s="2200" t="str">
        <f t="shared" si="34"/>
        <v>12</v>
      </c>
      <c r="G572" s="2200" t="str">
        <f t="shared" si="35"/>
        <v>07300</v>
      </c>
      <c r="H572" s="2200">
        <f>--SUBTOTAL(3,C$2:C572)</f>
        <v>4</v>
      </c>
    </row>
    <row r="573" spans="1:8" x14ac:dyDescent="0.15">
      <c r="A573" s="2200" t="s">
        <v>10723</v>
      </c>
      <c r="B573" s="2200" t="s">
        <v>11861</v>
      </c>
      <c r="C573" s="2200" t="s">
        <v>11862</v>
      </c>
      <c r="D573" s="2200" t="str">
        <f t="shared" si="32"/>
        <v>FL</v>
      </c>
      <c r="E573" s="2200">
        <f t="shared" si="33"/>
        <v>20</v>
      </c>
      <c r="F573" s="2200" t="str">
        <f t="shared" si="34"/>
        <v>12</v>
      </c>
      <c r="G573" s="2200" t="str">
        <f t="shared" si="35"/>
        <v>07525</v>
      </c>
      <c r="H573" s="2200">
        <f>--SUBTOTAL(3,C$2:C573)</f>
        <v>5</v>
      </c>
    </row>
    <row r="574" spans="1:8" x14ac:dyDescent="0.15">
      <c r="A574" s="2200" t="s">
        <v>10723</v>
      </c>
      <c r="B574" s="2200" t="s">
        <v>11863</v>
      </c>
      <c r="C574" s="2200" t="s">
        <v>11864</v>
      </c>
      <c r="D574" s="2200" t="str">
        <f t="shared" si="32"/>
        <v>FL</v>
      </c>
      <c r="E574" s="2200">
        <f t="shared" si="33"/>
        <v>19</v>
      </c>
      <c r="F574" s="2200" t="str">
        <f t="shared" si="34"/>
        <v>12</v>
      </c>
      <c r="G574" s="2200" t="str">
        <f t="shared" si="35"/>
        <v>07875</v>
      </c>
      <c r="H574" s="2200">
        <f>--SUBTOTAL(3,C$2:C574)</f>
        <v>6</v>
      </c>
    </row>
    <row r="575" spans="1:8" x14ac:dyDescent="0.15">
      <c r="A575" s="2200" t="s">
        <v>10723</v>
      </c>
      <c r="B575" s="2200" t="s">
        <v>11865</v>
      </c>
      <c r="C575" s="2200" t="s">
        <v>11866</v>
      </c>
      <c r="D575" s="2200" t="str">
        <f t="shared" si="32"/>
        <v>FL</v>
      </c>
      <c r="E575" s="2200">
        <f t="shared" si="33"/>
        <v>15</v>
      </c>
      <c r="F575" s="2200" t="str">
        <f t="shared" si="34"/>
        <v>12</v>
      </c>
      <c r="G575" s="2200" t="str">
        <f t="shared" si="35"/>
        <v>07950</v>
      </c>
      <c r="H575" s="2200">
        <f>--SUBTOTAL(3,C$2:C575)</f>
        <v>7</v>
      </c>
    </row>
    <row r="576" spans="1:8" x14ac:dyDescent="0.15">
      <c r="A576" s="2200" t="s">
        <v>10723</v>
      </c>
      <c r="B576" s="2200" t="s">
        <v>11867</v>
      </c>
      <c r="C576" s="2200" t="s">
        <v>11868</v>
      </c>
      <c r="D576" s="2200" t="str">
        <f t="shared" si="32"/>
        <v>FL</v>
      </c>
      <c r="E576" s="2200">
        <f t="shared" si="33"/>
        <v>16</v>
      </c>
      <c r="F576" s="2200" t="str">
        <f t="shared" si="34"/>
        <v>12</v>
      </c>
      <c r="G576" s="2200" t="str">
        <f t="shared" si="35"/>
        <v>10275</v>
      </c>
      <c r="H576" s="2200">
        <f>--SUBTOTAL(3,C$2:C576)</f>
        <v>8</v>
      </c>
    </row>
    <row r="577" spans="1:8" x14ac:dyDescent="0.15">
      <c r="A577" s="2200" t="s">
        <v>10723</v>
      </c>
      <c r="B577" s="2200" t="s">
        <v>11869</v>
      </c>
      <c r="C577" s="2200" t="s">
        <v>11870</v>
      </c>
      <c r="D577" s="2200" t="str">
        <f t="shared" si="32"/>
        <v>FL</v>
      </c>
      <c r="E577" s="2200">
        <f t="shared" si="33"/>
        <v>17</v>
      </c>
      <c r="F577" s="2200" t="str">
        <f t="shared" si="34"/>
        <v>12</v>
      </c>
      <c r="G577" s="2200" t="str">
        <f t="shared" si="35"/>
        <v>11050</v>
      </c>
      <c r="H577" s="2200">
        <f>--SUBTOTAL(3,C$2:C577)</f>
        <v>9</v>
      </c>
    </row>
    <row r="578" spans="1:8" x14ac:dyDescent="0.15">
      <c r="A578" s="2200" t="s">
        <v>10723</v>
      </c>
      <c r="B578" s="2200" t="s">
        <v>11871</v>
      </c>
      <c r="C578" s="2200" t="s">
        <v>11872</v>
      </c>
      <c r="D578" s="2200" t="str">
        <f t="shared" ref="D578:D641" si="36">MID(C578,E578+2,2)</f>
        <v>FL</v>
      </c>
      <c r="E578" s="2200">
        <f t="shared" ref="E578:E641" si="37">FIND(",",C578)</f>
        <v>16</v>
      </c>
      <c r="F578" s="2200" t="str">
        <f t="shared" si="34"/>
        <v>12</v>
      </c>
      <c r="G578" s="2200" t="str">
        <f t="shared" si="35"/>
        <v>12875</v>
      </c>
      <c r="H578" s="2200">
        <f>--SUBTOTAL(3,C$2:C578)</f>
        <v>10</v>
      </c>
    </row>
    <row r="579" spans="1:8" x14ac:dyDescent="0.15">
      <c r="A579" s="2200" t="s">
        <v>10723</v>
      </c>
      <c r="B579" s="2200" t="s">
        <v>11873</v>
      </c>
      <c r="C579" s="2200" t="s">
        <v>11874</v>
      </c>
      <c r="D579" s="2200" t="str">
        <f t="shared" si="36"/>
        <v>FL</v>
      </c>
      <c r="E579" s="2200">
        <f t="shared" si="37"/>
        <v>14</v>
      </c>
      <c r="F579" s="2200" t="str">
        <f t="shared" ref="F579:F642" si="38">MID(B579,3,2)</f>
        <v>12</v>
      </c>
      <c r="G579" s="2200" t="str">
        <f t="shared" ref="G579:G642" si="39">MID(B579,5,5)</f>
        <v>12925</v>
      </c>
      <c r="H579" s="2200">
        <f>--SUBTOTAL(3,C$2:C579)</f>
        <v>11</v>
      </c>
    </row>
    <row r="580" spans="1:8" x14ac:dyDescent="0.15">
      <c r="A580" s="2200" t="s">
        <v>10723</v>
      </c>
      <c r="B580" s="2200" t="s">
        <v>11875</v>
      </c>
      <c r="C580" s="2200" t="s">
        <v>11876</v>
      </c>
      <c r="D580" s="2200" t="str">
        <f t="shared" si="36"/>
        <v>FL</v>
      </c>
      <c r="E580" s="2200">
        <f t="shared" si="37"/>
        <v>19</v>
      </c>
      <c r="F580" s="2200" t="str">
        <f t="shared" si="38"/>
        <v>12</v>
      </c>
      <c r="G580" s="2200" t="str">
        <f t="shared" si="39"/>
        <v>13275</v>
      </c>
      <c r="H580" s="2200">
        <f>--SUBTOTAL(3,C$2:C580)</f>
        <v>12</v>
      </c>
    </row>
    <row r="581" spans="1:8" x14ac:dyDescent="0.15">
      <c r="A581" s="2200" t="s">
        <v>10723</v>
      </c>
      <c r="B581" s="2200" t="s">
        <v>11877</v>
      </c>
      <c r="C581" s="2200" t="s">
        <v>11878</v>
      </c>
      <c r="D581" s="2200" t="str">
        <f t="shared" si="36"/>
        <v>FL</v>
      </c>
      <c r="E581" s="2200">
        <f t="shared" si="37"/>
        <v>17</v>
      </c>
      <c r="F581" s="2200" t="str">
        <f t="shared" si="38"/>
        <v>12</v>
      </c>
      <c r="G581" s="2200" t="str">
        <f t="shared" si="39"/>
        <v>14125</v>
      </c>
      <c r="H581" s="2200">
        <f>--SUBTOTAL(3,C$2:C581)</f>
        <v>13</v>
      </c>
    </row>
    <row r="582" spans="1:8" x14ac:dyDescent="0.15">
      <c r="A582" s="2200" t="s">
        <v>10723</v>
      </c>
      <c r="B582" s="2200" t="s">
        <v>11879</v>
      </c>
      <c r="C582" s="2200" t="s">
        <v>11880</v>
      </c>
      <c r="D582" s="2200" t="str">
        <f t="shared" si="36"/>
        <v>FL</v>
      </c>
      <c r="E582" s="2200">
        <f t="shared" si="37"/>
        <v>18</v>
      </c>
      <c r="F582" s="2200" t="str">
        <f t="shared" si="38"/>
        <v>12</v>
      </c>
      <c r="G582" s="2200" t="str">
        <f t="shared" si="39"/>
        <v>14250</v>
      </c>
      <c r="H582" s="2200">
        <f>--SUBTOTAL(3,C$2:C582)</f>
        <v>14</v>
      </c>
    </row>
    <row r="583" spans="1:8" x14ac:dyDescent="0.15">
      <c r="A583" s="2200" t="s">
        <v>10723</v>
      </c>
      <c r="B583" s="2200" t="s">
        <v>11881</v>
      </c>
      <c r="C583" s="2200" t="s">
        <v>11882</v>
      </c>
      <c r="D583" s="2200" t="str">
        <f t="shared" si="36"/>
        <v>FL</v>
      </c>
      <c r="E583" s="2200">
        <f t="shared" si="37"/>
        <v>19</v>
      </c>
      <c r="F583" s="2200" t="str">
        <f t="shared" si="38"/>
        <v>12</v>
      </c>
      <c r="G583" s="2200" t="str">
        <f t="shared" si="39"/>
        <v>14400</v>
      </c>
      <c r="H583" s="2200">
        <f>--SUBTOTAL(3,C$2:C583)</f>
        <v>15</v>
      </c>
    </row>
    <row r="584" spans="1:8" x14ac:dyDescent="0.15">
      <c r="A584" s="2200" t="s">
        <v>10723</v>
      </c>
      <c r="B584" s="2200" t="s">
        <v>11883</v>
      </c>
      <c r="C584" s="2200" t="s">
        <v>11884</v>
      </c>
      <c r="D584" s="2200" t="str">
        <f t="shared" si="36"/>
        <v>FL</v>
      </c>
      <c r="E584" s="2200">
        <f t="shared" si="37"/>
        <v>16</v>
      </c>
      <c r="F584" s="2200" t="str">
        <f t="shared" si="38"/>
        <v>12</v>
      </c>
      <c r="G584" s="2200" t="str">
        <f t="shared" si="39"/>
        <v>15968</v>
      </c>
      <c r="H584" s="2200">
        <f>--SUBTOTAL(3,C$2:C584)</f>
        <v>16</v>
      </c>
    </row>
    <row r="585" spans="1:8" x14ac:dyDescent="0.15">
      <c r="A585" s="2200" t="s">
        <v>10723</v>
      </c>
      <c r="B585" s="2200" t="s">
        <v>11885</v>
      </c>
      <c r="C585" s="2200" t="s">
        <v>11886</v>
      </c>
      <c r="D585" s="2200" t="str">
        <f t="shared" si="36"/>
        <v>FL</v>
      </c>
      <c r="E585" s="2200">
        <f t="shared" si="37"/>
        <v>17</v>
      </c>
      <c r="F585" s="2200" t="str">
        <f t="shared" si="38"/>
        <v>12</v>
      </c>
      <c r="G585" s="2200" t="str">
        <f t="shared" si="39"/>
        <v>16335</v>
      </c>
      <c r="H585" s="2200">
        <f>--SUBTOTAL(3,C$2:C585)</f>
        <v>17</v>
      </c>
    </row>
    <row r="586" spans="1:8" x14ac:dyDescent="0.15">
      <c r="A586" s="2200" t="s">
        <v>10723</v>
      </c>
      <c r="B586" s="2200" t="s">
        <v>11887</v>
      </c>
      <c r="C586" s="2200" t="s">
        <v>11888</v>
      </c>
      <c r="D586" s="2200" t="str">
        <f t="shared" si="36"/>
        <v>FL</v>
      </c>
      <c r="E586" s="2200">
        <f t="shared" si="37"/>
        <v>11</v>
      </c>
      <c r="F586" s="2200" t="str">
        <f t="shared" si="38"/>
        <v>12</v>
      </c>
      <c r="G586" s="2200" t="str">
        <f t="shared" si="39"/>
        <v>16475</v>
      </c>
      <c r="H586" s="2200">
        <f>--SUBTOTAL(3,C$2:C586)</f>
        <v>18</v>
      </c>
    </row>
    <row r="587" spans="1:8" x14ac:dyDescent="0.15">
      <c r="A587" s="2200" t="s">
        <v>10723</v>
      </c>
      <c r="B587" s="2200" t="s">
        <v>11889</v>
      </c>
      <c r="C587" s="2200" t="s">
        <v>11890</v>
      </c>
      <c r="D587" s="2200" t="str">
        <f t="shared" si="36"/>
        <v>FL</v>
      </c>
      <c r="E587" s="2200">
        <f t="shared" si="37"/>
        <v>19</v>
      </c>
      <c r="F587" s="2200" t="str">
        <f t="shared" si="38"/>
        <v>12</v>
      </c>
      <c r="G587" s="2200" t="str">
        <f t="shared" si="39"/>
        <v>16525</v>
      </c>
      <c r="H587" s="2200">
        <f>--SUBTOTAL(3,C$2:C587)</f>
        <v>19</v>
      </c>
    </row>
    <row r="588" spans="1:8" x14ac:dyDescent="0.15">
      <c r="A588" s="2200" t="s">
        <v>10723</v>
      </c>
      <c r="B588" s="2200" t="s">
        <v>11891</v>
      </c>
      <c r="C588" s="2200" t="s">
        <v>11892</v>
      </c>
      <c r="D588" s="2200" t="str">
        <f t="shared" si="36"/>
        <v>FL</v>
      </c>
      <c r="E588" s="2200">
        <f t="shared" si="37"/>
        <v>21</v>
      </c>
      <c r="F588" s="2200" t="str">
        <f t="shared" si="38"/>
        <v>12</v>
      </c>
      <c r="G588" s="2200" t="str">
        <f t="shared" si="39"/>
        <v>16725</v>
      </c>
      <c r="H588" s="2200">
        <f>--SUBTOTAL(3,C$2:C588)</f>
        <v>20</v>
      </c>
    </row>
    <row r="589" spans="1:8" x14ac:dyDescent="0.15">
      <c r="A589" s="2200" t="s">
        <v>10723</v>
      </c>
      <c r="B589" s="2200" t="s">
        <v>11893</v>
      </c>
      <c r="C589" s="2200" t="s">
        <v>11894</v>
      </c>
      <c r="D589" s="2200" t="str">
        <f t="shared" si="36"/>
        <v>FL</v>
      </c>
      <c r="E589" s="2200">
        <f t="shared" si="37"/>
        <v>12</v>
      </c>
      <c r="F589" s="2200" t="str">
        <f t="shared" si="38"/>
        <v>12</v>
      </c>
      <c r="G589" s="2200" t="str">
        <f t="shared" si="39"/>
        <v>16875</v>
      </c>
      <c r="H589" s="2200">
        <f>--SUBTOTAL(3,C$2:C589)</f>
        <v>21</v>
      </c>
    </row>
    <row r="590" spans="1:8" x14ac:dyDescent="0.15">
      <c r="A590" s="2200" t="s">
        <v>10723</v>
      </c>
      <c r="B590" s="2200" t="s">
        <v>11895</v>
      </c>
      <c r="C590" s="2200" t="s">
        <v>11896</v>
      </c>
      <c r="D590" s="2200" t="str">
        <f t="shared" si="36"/>
        <v>FL</v>
      </c>
      <c r="E590" s="2200">
        <f t="shared" si="37"/>
        <v>18</v>
      </c>
      <c r="F590" s="2200" t="str">
        <f t="shared" si="38"/>
        <v>12</v>
      </c>
      <c r="G590" s="2200" t="str">
        <f t="shared" si="39"/>
        <v>17100</v>
      </c>
      <c r="H590" s="2200">
        <f>--SUBTOTAL(3,C$2:C590)</f>
        <v>22</v>
      </c>
    </row>
    <row r="591" spans="1:8" x14ac:dyDescent="0.15">
      <c r="A591" s="2200" t="s">
        <v>10723</v>
      </c>
      <c r="B591" s="2200" t="s">
        <v>11897</v>
      </c>
      <c r="C591" s="2200" t="s">
        <v>11898</v>
      </c>
      <c r="D591" s="2200" t="str">
        <f t="shared" si="36"/>
        <v>FL</v>
      </c>
      <c r="E591" s="2200">
        <f t="shared" si="37"/>
        <v>13</v>
      </c>
      <c r="F591" s="2200" t="str">
        <f t="shared" si="38"/>
        <v>12</v>
      </c>
      <c r="G591" s="2200" t="str">
        <f t="shared" si="39"/>
        <v>17200</v>
      </c>
      <c r="H591" s="2200">
        <f>--SUBTOTAL(3,C$2:C591)</f>
        <v>23</v>
      </c>
    </row>
    <row r="592" spans="1:8" x14ac:dyDescent="0.15">
      <c r="A592" s="2200" t="s">
        <v>10723</v>
      </c>
      <c r="B592" s="2200" t="s">
        <v>11899</v>
      </c>
      <c r="C592" s="2200" t="s">
        <v>11900</v>
      </c>
      <c r="D592" s="2200" t="str">
        <f t="shared" si="36"/>
        <v>FL</v>
      </c>
      <c r="E592" s="2200">
        <f t="shared" si="37"/>
        <v>11</v>
      </c>
      <c r="F592" s="2200" t="str">
        <f t="shared" si="38"/>
        <v>12</v>
      </c>
      <c r="G592" s="2200" t="str">
        <f t="shared" si="39"/>
        <v>17935</v>
      </c>
      <c r="H592" s="2200">
        <f>--SUBTOTAL(3,C$2:C592)</f>
        <v>24</v>
      </c>
    </row>
    <row r="593" spans="1:8" x14ac:dyDescent="0.15">
      <c r="A593" s="2200" t="s">
        <v>10723</v>
      </c>
      <c r="B593" s="2200" t="s">
        <v>11901</v>
      </c>
      <c r="C593" s="2200" t="s">
        <v>11902</v>
      </c>
      <c r="D593" s="2200" t="str">
        <f t="shared" si="36"/>
        <v>FL</v>
      </c>
      <c r="E593" s="2200">
        <f t="shared" si="37"/>
        <v>13</v>
      </c>
      <c r="F593" s="2200" t="str">
        <f t="shared" si="38"/>
        <v>12</v>
      </c>
      <c r="G593" s="2200" t="str">
        <f t="shared" si="39"/>
        <v>18575</v>
      </c>
      <c r="H593" s="2200">
        <f>--SUBTOTAL(3,C$2:C593)</f>
        <v>25</v>
      </c>
    </row>
    <row r="594" spans="1:8" x14ac:dyDescent="0.15">
      <c r="A594" s="2200" t="s">
        <v>10723</v>
      </c>
      <c r="B594" s="2200" t="s">
        <v>11903</v>
      </c>
      <c r="C594" s="2200" t="s">
        <v>11904</v>
      </c>
      <c r="D594" s="2200" t="str">
        <f t="shared" si="36"/>
        <v>FL</v>
      </c>
      <c r="E594" s="2200">
        <f t="shared" si="37"/>
        <v>15</v>
      </c>
      <c r="F594" s="2200" t="str">
        <f t="shared" si="38"/>
        <v>12</v>
      </c>
      <c r="G594" s="2200" t="str">
        <f t="shared" si="39"/>
        <v>21150</v>
      </c>
      <c r="H594" s="2200">
        <f>--SUBTOTAL(3,C$2:C594)</f>
        <v>26</v>
      </c>
    </row>
    <row r="595" spans="1:8" x14ac:dyDescent="0.15">
      <c r="A595" s="2200" t="s">
        <v>10723</v>
      </c>
      <c r="B595" s="2200" t="s">
        <v>11905</v>
      </c>
      <c r="C595" s="2200" t="s">
        <v>11906</v>
      </c>
      <c r="D595" s="2200" t="str">
        <f t="shared" si="36"/>
        <v>FL</v>
      </c>
      <c r="E595" s="2200">
        <f t="shared" si="37"/>
        <v>21</v>
      </c>
      <c r="F595" s="2200" t="str">
        <f t="shared" si="38"/>
        <v>12</v>
      </c>
      <c r="G595" s="2200" t="str">
        <f t="shared" si="39"/>
        <v>24000</v>
      </c>
      <c r="H595" s="2200">
        <f>--SUBTOTAL(3,C$2:C595)</f>
        <v>27</v>
      </c>
    </row>
    <row r="596" spans="1:8" x14ac:dyDescent="0.15">
      <c r="A596" s="2200" t="s">
        <v>10723</v>
      </c>
      <c r="B596" s="2200" t="s">
        <v>11907</v>
      </c>
      <c r="C596" s="2200" t="s">
        <v>11908</v>
      </c>
      <c r="D596" s="2200" t="str">
        <f t="shared" si="36"/>
        <v>FL</v>
      </c>
      <c r="E596" s="2200">
        <f t="shared" si="37"/>
        <v>16</v>
      </c>
      <c r="F596" s="2200" t="str">
        <f t="shared" si="38"/>
        <v>12</v>
      </c>
      <c r="G596" s="2200" t="str">
        <f t="shared" si="39"/>
        <v>24125</v>
      </c>
      <c r="H596" s="2200">
        <f>--SUBTOTAL(3,C$2:C596)</f>
        <v>28</v>
      </c>
    </row>
    <row r="597" spans="1:8" x14ac:dyDescent="0.15">
      <c r="A597" s="2200" t="s">
        <v>10723</v>
      </c>
      <c r="B597" s="2200" t="s">
        <v>11909</v>
      </c>
      <c r="C597" s="2200" t="s">
        <v>11910</v>
      </c>
      <c r="D597" s="2200" t="str">
        <f t="shared" si="36"/>
        <v>FL</v>
      </c>
      <c r="E597" s="2200">
        <f t="shared" si="37"/>
        <v>17</v>
      </c>
      <c r="F597" s="2200" t="str">
        <f t="shared" si="38"/>
        <v>12</v>
      </c>
      <c r="G597" s="2200" t="str">
        <f t="shared" si="39"/>
        <v>24300</v>
      </c>
      <c r="H597" s="2200">
        <f>--SUBTOTAL(3,C$2:C597)</f>
        <v>29</v>
      </c>
    </row>
    <row r="598" spans="1:8" x14ac:dyDescent="0.15">
      <c r="A598" s="2200" t="s">
        <v>10723</v>
      </c>
      <c r="B598" s="2200" t="s">
        <v>11911</v>
      </c>
      <c r="C598" s="2200" t="s">
        <v>11912</v>
      </c>
      <c r="D598" s="2200" t="str">
        <f t="shared" si="36"/>
        <v>FL</v>
      </c>
      <c r="E598" s="2200">
        <f t="shared" si="37"/>
        <v>17</v>
      </c>
      <c r="F598" s="2200" t="str">
        <f t="shared" si="38"/>
        <v>12</v>
      </c>
      <c r="G598" s="2200" t="str">
        <f t="shared" si="39"/>
        <v>25175</v>
      </c>
      <c r="H598" s="2200">
        <f>--SUBTOTAL(3,C$2:C598)</f>
        <v>30</v>
      </c>
    </row>
    <row r="599" spans="1:8" x14ac:dyDescent="0.15">
      <c r="A599" s="2200" t="s">
        <v>10723</v>
      </c>
      <c r="B599" s="2200" t="s">
        <v>11913</v>
      </c>
      <c r="C599" s="2200" t="s">
        <v>11914</v>
      </c>
      <c r="D599" s="2200" t="str">
        <f t="shared" si="36"/>
        <v>FL</v>
      </c>
      <c r="E599" s="2200">
        <f t="shared" si="37"/>
        <v>16</v>
      </c>
      <c r="F599" s="2200" t="str">
        <f t="shared" si="38"/>
        <v>12</v>
      </c>
      <c r="G599" s="2200" t="str">
        <f t="shared" si="39"/>
        <v>27322</v>
      </c>
      <c r="H599" s="2200">
        <f>--SUBTOTAL(3,C$2:C599)</f>
        <v>31</v>
      </c>
    </row>
    <row r="600" spans="1:8" x14ac:dyDescent="0.15">
      <c r="A600" s="2200" t="s">
        <v>10723</v>
      </c>
      <c r="B600" s="2200" t="s">
        <v>11915</v>
      </c>
      <c r="C600" s="2200" t="s">
        <v>11916</v>
      </c>
      <c r="D600" s="2200" t="str">
        <f t="shared" si="36"/>
        <v>FL</v>
      </c>
      <c r="E600" s="2200">
        <f t="shared" si="37"/>
        <v>17</v>
      </c>
      <c r="F600" s="2200" t="str">
        <f t="shared" si="38"/>
        <v>12</v>
      </c>
      <c r="G600" s="2200" t="str">
        <f t="shared" si="39"/>
        <v>28400</v>
      </c>
      <c r="H600" s="2200">
        <f>--SUBTOTAL(3,C$2:C600)</f>
        <v>32</v>
      </c>
    </row>
    <row r="601" spans="1:8" x14ac:dyDescent="0.15">
      <c r="A601" s="2200" t="s">
        <v>10723</v>
      </c>
      <c r="B601" s="2200" t="s">
        <v>11917</v>
      </c>
      <c r="C601" s="2200" t="s">
        <v>11918</v>
      </c>
      <c r="D601" s="2200" t="str">
        <f t="shared" si="36"/>
        <v>FL</v>
      </c>
      <c r="E601" s="2200">
        <f t="shared" si="37"/>
        <v>22</v>
      </c>
      <c r="F601" s="2200" t="str">
        <f t="shared" si="38"/>
        <v>12</v>
      </c>
      <c r="G601" s="2200" t="str">
        <f t="shared" si="39"/>
        <v>28452</v>
      </c>
      <c r="H601" s="2200">
        <f>--SUBTOTAL(3,C$2:C601)</f>
        <v>33</v>
      </c>
    </row>
    <row r="602" spans="1:8" x14ac:dyDescent="0.15">
      <c r="A602" s="2200" t="s">
        <v>10723</v>
      </c>
      <c r="B602" s="2200" t="s">
        <v>11919</v>
      </c>
      <c r="C602" s="2200" t="s">
        <v>11920</v>
      </c>
      <c r="D602" s="2200" t="str">
        <f t="shared" si="36"/>
        <v>FL</v>
      </c>
      <c r="E602" s="2200">
        <f t="shared" si="37"/>
        <v>13</v>
      </c>
      <c r="F602" s="2200" t="str">
        <f t="shared" si="38"/>
        <v>12</v>
      </c>
      <c r="G602" s="2200" t="str">
        <f t="shared" si="39"/>
        <v>30000</v>
      </c>
      <c r="H602" s="2200">
        <f>--SUBTOTAL(3,C$2:C602)</f>
        <v>34</v>
      </c>
    </row>
    <row r="603" spans="1:8" x14ac:dyDescent="0.15">
      <c r="A603" s="2200" t="s">
        <v>10723</v>
      </c>
      <c r="B603" s="2200" t="s">
        <v>11921</v>
      </c>
      <c r="C603" s="2200" t="s">
        <v>11922</v>
      </c>
      <c r="D603" s="2200" t="str">
        <f t="shared" si="36"/>
        <v>FL</v>
      </c>
      <c r="E603" s="2200">
        <f t="shared" si="37"/>
        <v>15</v>
      </c>
      <c r="F603" s="2200" t="str">
        <f t="shared" si="38"/>
        <v>12</v>
      </c>
      <c r="G603" s="2200" t="str">
        <f t="shared" si="39"/>
        <v>32000</v>
      </c>
      <c r="H603" s="2200">
        <f>--SUBTOTAL(3,C$2:C603)</f>
        <v>35</v>
      </c>
    </row>
    <row r="604" spans="1:8" x14ac:dyDescent="0.15">
      <c r="A604" s="2200" t="s">
        <v>10723</v>
      </c>
      <c r="B604" s="2200" t="s">
        <v>11923</v>
      </c>
      <c r="C604" s="2200" t="s">
        <v>11924</v>
      </c>
      <c r="D604" s="2200" t="str">
        <f t="shared" si="36"/>
        <v>FL</v>
      </c>
      <c r="E604" s="2200">
        <f t="shared" si="37"/>
        <v>15</v>
      </c>
      <c r="F604" s="2200" t="str">
        <f t="shared" si="38"/>
        <v>12</v>
      </c>
      <c r="G604" s="2200" t="str">
        <f t="shared" si="39"/>
        <v>32275</v>
      </c>
      <c r="H604" s="2200">
        <f>--SUBTOTAL(3,C$2:C604)</f>
        <v>36</v>
      </c>
    </row>
    <row r="605" spans="1:8" x14ac:dyDescent="0.15">
      <c r="A605" s="2200" t="s">
        <v>10723</v>
      </c>
      <c r="B605" s="2200" t="s">
        <v>11925</v>
      </c>
      <c r="C605" s="2200" t="s">
        <v>11926</v>
      </c>
      <c r="D605" s="2200" t="str">
        <f t="shared" si="36"/>
        <v>FL</v>
      </c>
      <c r="E605" s="2200">
        <f t="shared" si="37"/>
        <v>18</v>
      </c>
      <c r="F605" s="2200" t="str">
        <f t="shared" si="38"/>
        <v>12</v>
      </c>
      <c r="G605" s="2200" t="str">
        <f t="shared" si="39"/>
        <v>35000</v>
      </c>
      <c r="H605" s="2200">
        <f>--SUBTOTAL(3,C$2:C605)</f>
        <v>37</v>
      </c>
    </row>
    <row r="606" spans="1:8" x14ac:dyDescent="0.15">
      <c r="A606" s="2200" t="s">
        <v>10723</v>
      </c>
      <c r="B606" s="2200" t="s">
        <v>11927</v>
      </c>
      <c r="C606" s="2200" t="s">
        <v>11928</v>
      </c>
      <c r="D606" s="2200" t="str">
        <f t="shared" si="36"/>
        <v>FL</v>
      </c>
      <c r="E606" s="2200">
        <f t="shared" si="37"/>
        <v>13</v>
      </c>
      <c r="F606" s="2200" t="str">
        <f t="shared" si="38"/>
        <v>12</v>
      </c>
      <c r="G606" s="2200" t="str">
        <f t="shared" si="39"/>
        <v>35875</v>
      </c>
      <c r="H606" s="2200">
        <f>--SUBTOTAL(3,C$2:C606)</f>
        <v>38</v>
      </c>
    </row>
    <row r="607" spans="1:8" x14ac:dyDescent="0.15">
      <c r="A607" s="2200" t="s">
        <v>10723</v>
      </c>
      <c r="B607" s="2200" t="s">
        <v>11929</v>
      </c>
      <c r="C607" s="2200" t="s">
        <v>11930</v>
      </c>
      <c r="D607" s="2200" t="str">
        <f t="shared" si="36"/>
        <v>FL</v>
      </c>
      <c r="E607" s="2200">
        <f t="shared" si="37"/>
        <v>14</v>
      </c>
      <c r="F607" s="2200" t="str">
        <f t="shared" si="38"/>
        <v>12</v>
      </c>
      <c r="G607" s="2200" t="str">
        <f t="shared" si="39"/>
        <v>36550</v>
      </c>
      <c r="H607" s="2200">
        <f>--SUBTOTAL(3,C$2:C607)</f>
        <v>39</v>
      </c>
    </row>
    <row r="608" spans="1:8" x14ac:dyDescent="0.15">
      <c r="A608" s="2200" t="s">
        <v>10723</v>
      </c>
      <c r="B608" s="2200" t="s">
        <v>11931</v>
      </c>
      <c r="C608" s="2200" t="s">
        <v>11932</v>
      </c>
      <c r="D608" s="2200" t="str">
        <f t="shared" si="36"/>
        <v>FL</v>
      </c>
      <c r="E608" s="2200">
        <f t="shared" si="37"/>
        <v>15</v>
      </c>
      <c r="F608" s="2200" t="str">
        <f t="shared" si="38"/>
        <v>12</v>
      </c>
      <c r="G608" s="2200" t="str">
        <f t="shared" si="39"/>
        <v>36950</v>
      </c>
      <c r="H608" s="2200">
        <f>--SUBTOTAL(3,C$2:C608)</f>
        <v>40</v>
      </c>
    </row>
    <row r="609" spans="1:8" x14ac:dyDescent="0.15">
      <c r="A609" s="2200" t="s">
        <v>10723</v>
      </c>
      <c r="B609" s="2200" t="s">
        <v>11933</v>
      </c>
      <c r="C609" s="2200" t="s">
        <v>11934</v>
      </c>
      <c r="D609" s="2200" t="str">
        <f t="shared" si="36"/>
        <v>FL</v>
      </c>
      <c r="E609" s="2200">
        <f t="shared" si="37"/>
        <v>16</v>
      </c>
      <c r="F609" s="2200" t="str">
        <f t="shared" si="38"/>
        <v>12</v>
      </c>
      <c r="G609" s="2200" t="str">
        <f t="shared" si="39"/>
        <v>39075</v>
      </c>
      <c r="H609" s="2200">
        <f>--SUBTOTAL(3,C$2:C609)</f>
        <v>41</v>
      </c>
    </row>
    <row r="610" spans="1:8" x14ac:dyDescent="0.15">
      <c r="A610" s="2200" t="s">
        <v>10723</v>
      </c>
      <c r="B610" s="2200" t="s">
        <v>11935</v>
      </c>
      <c r="C610" s="2200" t="s">
        <v>11936</v>
      </c>
      <c r="D610" s="2200" t="str">
        <f t="shared" si="36"/>
        <v>FL</v>
      </c>
      <c r="E610" s="2200">
        <f t="shared" si="37"/>
        <v>14</v>
      </c>
      <c r="F610" s="2200" t="str">
        <f t="shared" si="38"/>
        <v>12</v>
      </c>
      <c r="G610" s="2200" t="str">
        <f t="shared" si="39"/>
        <v>38250</v>
      </c>
      <c r="H610" s="2200">
        <f>--SUBTOTAL(3,C$2:C610)</f>
        <v>42</v>
      </c>
    </row>
    <row r="611" spans="1:8" x14ac:dyDescent="0.15">
      <c r="A611" s="2200" t="s">
        <v>10723</v>
      </c>
      <c r="B611" s="2200" t="s">
        <v>11937</v>
      </c>
      <c r="C611" s="2200" t="s">
        <v>11938</v>
      </c>
      <c r="D611" s="2200" t="str">
        <f t="shared" si="36"/>
        <v>FL</v>
      </c>
      <c r="E611" s="2200">
        <f t="shared" si="37"/>
        <v>11</v>
      </c>
      <c r="F611" s="2200" t="str">
        <f t="shared" si="38"/>
        <v>12</v>
      </c>
      <c r="G611" s="2200" t="str">
        <f t="shared" si="39"/>
        <v>39425</v>
      </c>
      <c r="H611" s="2200">
        <f>--SUBTOTAL(3,C$2:C611)</f>
        <v>43</v>
      </c>
    </row>
    <row r="612" spans="1:8" x14ac:dyDescent="0.15">
      <c r="A612" s="2200" t="s">
        <v>10723</v>
      </c>
      <c r="B612" s="2200" t="s">
        <v>11939</v>
      </c>
      <c r="C612" s="2200" t="s">
        <v>11940</v>
      </c>
      <c r="D612" s="2200" t="str">
        <f t="shared" si="36"/>
        <v>FL</v>
      </c>
      <c r="E612" s="2200">
        <f t="shared" si="37"/>
        <v>22</v>
      </c>
      <c r="F612" s="2200" t="str">
        <f t="shared" si="38"/>
        <v>12</v>
      </c>
      <c r="G612" s="2200" t="str">
        <f t="shared" si="39"/>
        <v>39525</v>
      </c>
      <c r="H612" s="2200">
        <f>--SUBTOTAL(3,C$2:C612)</f>
        <v>44</v>
      </c>
    </row>
    <row r="613" spans="1:8" x14ac:dyDescent="0.15">
      <c r="A613" s="2200" t="s">
        <v>10723</v>
      </c>
      <c r="B613" s="2200" t="s">
        <v>11941</v>
      </c>
      <c r="C613" s="2200" t="s">
        <v>11942</v>
      </c>
      <c r="D613" s="2200" t="str">
        <f t="shared" si="36"/>
        <v>FL</v>
      </c>
      <c r="E613" s="2200">
        <f t="shared" si="37"/>
        <v>16</v>
      </c>
      <c r="F613" s="2200" t="str">
        <f t="shared" si="38"/>
        <v>12</v>
      </c>
      <c r="G613" s="2200" t="str">
        <f t="shared" si="39"/>
        <v>39550</v>
      </c>
      <c r="H613" s="2200">
        <f>--SUBTOTAL(3,C$2:C613)</f>
        <v>45</v>
      </c>
    </row>
    <row r="614" spans="1:8" x14ac:dyDescent="0.15">
      <c r="A614" s="2200" t="s">
        <v>10723</v>
      </c>
      <c r="B614" s="2200" t="s">
        <v>11943</v>
      </c>
      <c r="C614" s="2200" t="s">
        <v>11944</v>
      </c>
      <c r="D614" s="2200" t="str">
        <f t="shared" si="36"/>
        <v>FL</v>
      </c>
      <c r="E614" s="2200">
        <f t="shared" si="37"/>
        <v>13</v>
      </c>
      <c r="F614" s="2200" t="str">
        <f t="shared" si="38"/>
        <v>12</v>
      </c>
      <c r="G614" s="2200" t="str">
        <f t="shared" si="39"/>
        <v>43125</v>
      </c>
      <c r="H614" s="2200">
        <f>--SUBTOTAL(3,C$2:C614)</f>
        <v>46</v>
      </c>
    </row>
    <row r="615" spans="1:8" x14ac:dyDescent="0.15">
      <c r="A615" s="2200" t="s">
        <v>10723</v>
      </c>
      <c r="B615" s="2200" t="s">
        <v>11945</v>
      </c>
      <c r="C615" s="2200" t="s">
        <v>11946</v>
      </c>
      <c r="D615" s="2200" t="str">
        <f t="shared" si="36"/>
        <v>FL</v>
      </c>
      <c r="E615" s="2200">
        <f t="shared" si="37"/>
        <v>15</v>
      </c>
      <c r="F615" s="2200" t="str">
        <f t="shared" si="38"/>
        <v>12</v>
      </c>
      <c r="G615" s="2200" t="str">
        <f t="shared" si="39"/>
        <v>43975</v>
      </c>
      <c r="H615" s="2200">
        <f>--SUBTOTAL(3,C$2:C615)</f>
        <v>47</v>
      </c>
    </row>
    <row r="616" spans="1:8" x14ac:dyDescent="0.15">
      <c r="A616" s="2200" t="s">
        <v>10723</v>
      </c>
      <c r="B616" s="2200" t="s">
        <v>11947</v>
      </c>
      <c r="C616" s="2200" t="s">
        <v>11948</v>
      </c>
      <c r="D616" s="2200" t="str">
        <f t="shared" si="36"/>
        <v>FL</v>
      </c>
      <c r="E616" s="2200">
        <f t="shared" si="37"/>
        <v>17</v>
      </c>
      <c r="F616" s="2200" t="str">
        <f t="shared" si="38"/>
        <v>12</v>
      </c>
      <c r="G616" s="2200" t="str">
        <f t="shared" si="39"/>
        <v>45025</v>
      </c>
      <c r="H616" s="2200">
        <f>--SUBTOTAL(3,C$2:C616)</f>
        <v>48</v>
      </c>
    </row>
    <row r="617" spans="1:8" x14ac:dyDescent="0.15">
      <c r="A617" s="2200" t="s">
        <v>10723</v>
      </c>
      <c r="B617" s="2200" t="s">
        <v>11949</v>
      </c>
      <c r="C617" s="2200" t="s">
        <v>11950</v>
      </c>
      <c r="D617" s="2200" t="str">
        <f t="shared" si="36"/>
        <v>FL</v>
      </c>
      <c r="E617" s="2200">
        <f t="shared" si="37"/>
        <v>11</v>
      </c>
      <c r="F617" s="2200" t="str">
        <f t="shared" si="38"/>
        <v>12</v>
      </c>
      <c r="G617" s="2200" t="str">
        <f t="shared" si="39"/>
        <v>45000</v>
      </c>
      <c r="H617" s="2200">
        <f>--SUBTOTAL(3,C$2:C617)</f>
        <v>49</v>
      </c>
    </row>
    <row r="618" spans="1:8" x14ac:dyDescent="0.15">
      <c r="A618" s="2200" t="s">
        <v>10723</v>
      </c>
      <c r="B618" s="2200" t="s">
        <v>11951</v>
      </c>
      <c r="C618" s="2200" t="s">
        <v>11952</v>
      </c>
      <c r="D618" s="2200" t="str">
        <f t="shared" si="36"/>
        <v>FL</v>
      </c>
      <c r="E618" s="2200">
        <f t="shared" si="37"/>
        <v>19</v>
      </c>
      <c r="F618" s="2200" t="str">
        <f t="shared" si="38"/>
        <v>12</v>
      </c>
      <c r="G618" s="2200" t="str">
        <f t="shared" si="39"/>
        <v>45060</v>
      </c>
      <c r="H618" s="2200">
        <f>--SUBTOTAL(3,C$2:C618)</f>
        <v>50</v>
      </c>
    </row>
    <row r="619" spans="1:8" x14ac:dyDescent="0.15">
      <c r="A619" s="2200" t="s">
        <v>10723</v>
      </c>
      <c r="B619" s="2200" t="s">
        <v>11953</v>
      </c>
      <c r="C619" s="2200" t="s">
        <v>11954</v>
      </c>
      <c r="D619" s="2200" t="str">
        <f t="shared" si="36"/>
        <v>FL</v>
      </c>
      <c r="E619" s="2200">
        <f t="shared" si="37"/>
        <v>17</v>
      </c>
      <c r="F619" s="2200" t="str">
        <f t="shared" si="38"/>
        <v>12</v>
      </c>
      <c r="G619" s="2200" t="str">
        <f t="shared" si="39"/>
        <v>45100</v>
      </c>
      <c r="H619" s="2200">
        <f>--SUBTOTAL(3,C$2:C619)</f>
        <v>51</v>
      </c>
    </row>
    <row r="620" spans="1:8" x14ac:dyDescent="0.15">
      <c r="A620" s="2200" t="s">
        <v>10723</v>
      </c>
      <c r="B620" s="2200" t="s">
        <v>11955</v>
      </c>
      <c r="C620" s="2200" t="s">
        <v>11956</v>
      </c>
      <c r="D620" s="2200" t="str">
        <f t="shared" si="36"/>
        <v>FL</v>
      </c>
      <c r="E620" s="2200">
        <f t="shared" si="37"/>
        <v>13</v>
      </c>
      <c r="F620" s="2200" t="str">
        <f t="shared" si="38"/>
        <v>12</v>
      </c>
      <c r="G620" s="2200" t="str">
        <f t="shared" si="39"/>
        <v>45975</v>
      </c>
      <c r="H620" s="2200">
        <f>--SUBTOTAL(3,C$2:C620)</f>
        <v>52</v>
      </c>
    </row>
    <row r="621" spans="1:8" x14ac:dyDescent="0.15">
      <c r="A621" s="2200" t="s">
        <v>10723</v>
      </c>
      <c r="B621" s="2200" t="s">
        <v>11957</v>
      </c>
      <c r="C621" s="2200" t="s">
        <v>11958</v>
      </c>
      <c r="D621" s="2200" t="str">
        <f t="shared" si="36"/>
        <v>FL</v>
      </c>
      <c r="E621" s="2200">
        <f t="shared" si="37"/>
        <v>22</v>
      </c>
      <c r="F621" s="2200" t="str">
        <f t="shared" si="38"/>
        <v>12</v>
      </c>
      <c r="G621" s="2200" t="str">
        <f t="shared" si="39"/>
        <v>48625</v>
      </c>
      <c r="H621" s="2200">
        <f>--SUBTOTAL(3,C$2:C621)</f>
        <v>53</v>
      </c>
    </row>
    <row r="622" spans="1:8" x14ac:dyDescent="0.15">
      <c r="A622" s="2200" t="s">
        <v>10723</v>
      </c>
      <c r="B622" s="2200" t="s">
        <v>11959</v>
      </c>
      <c r="C622" s="2200" t="s">
        <v>11960</v>
      </c>
      <c r="D622" s="2200" t="str">
        <f t="shared" si="36"/>
        <v>FL</v>
      </c>
      <c r="E622" s="2200">
        <f t="shared" si="37"/>
        <v>22</v>
      </c>
      <c r="F622" s="2200" t="str">
        <f t="shared" si="38"/>
        <v>12</v>
      </c>
      <c r="G622" s="2200" t="str">
        <f t="shared" si="39"/>
        <v>49425</v>
      </c>
      <c r="H622" s="2200">
        <f>--SUBTOTAL(3,C$2:C622)</f>
        <v>54</v>
      </c>
    </row>
    <row r="623" spans="1:8" x14ac:dyDescent="0.15">
      <c r="A623" s="2200" t="s">
        <v>10723</v>
      </c>
      <c r="B623" s="2200" t="s">
        <v>11961</v>
      </c>
      <c r="C623" s="2200" t="s">
        <v>11962</v>
      </c>
      <c r="D623" s="2200" t="str">
        <f t="shared" si="36"/>
        <v>FL</v>
      </c>
      <c r="E623" s="2200">
        <f t="shared" si="37"/>
        <v>23</v>
      </c>
      <c r="F623" s="2200" t="str">
        <f t="shared" si="38"/>
        <v>12</v>
      </c>
      <c r="G623" s="2200" t="str">
        <f t="shared" si="39"/>
        <v>49475</v>
      </c>
      <c r="H623" s="2200">
        <f>--SUBTOTAL(3,C$2:C623)</f>
        <v>55</v>
      </c>
    </row>
    <row r="624" spans="1:8" x14ac:dyDescent="0.15">
      <c r="A624" s="2200" t="s">
        <v>10723</v>
      </c>
      <c r="B624" s="2200" t="s">
        <v>11963</v>
      </c>
      <c r="C624" s="2200" t="s">
        <v>11964</v>
      </c>
      <c r="D624" s="2200" t="str">
        <f t="shared" si="36"/>
        <v>FL</v>
      </c>
      <c r="E624" s="2200">
        <f t="shared" si="37"/>
        <v>17</v>
      </c>
      <c r="F624" s="2200" t="str">
        <f t="shared" si="38"/>
        <v>12</v>
      </c>
      <c r="G624" s="2200" t="str">
        <f t="shared" si="39"/>
        <v>49450</v>
      </c>
      <c r="H624" s="2200">
        <f>--SUBTOTAL(3,C$2:C624)</f>
        <v>56</v>
      </c>
    </row>
    <row r="625" spans="1:8" x14ac:dyDescent="0.15">
      <c r="A625" s="2200" t="s">
        <v>10723</v>
      </c>
      <c r="B625" s="2200" t="s">
        <v>11965</v>
      </c>
      <c r="C625" s="2200" t="s">
        <v>11966</v>
      </c>
      <c r="D625" s="2200" t="str">
        <f t="shared" si="36"/>
        <v>FL</v>
      </c>
      <c r="E625" s="2200">
        <f t="shared" si="37"/>
        <v>16</v>
      </c>
      <c r="F625" s="2200" t="str">
        <f t="shared" si="38"/>
        <v>12</v>
      </c>
      <c r="G625" s="2200" t="str">
        <f t="shared" si="39"/>
        <v>49675</v>
      </c>
      <c r="H625" s="2200">
        <f>--SUBTOTAL(3,C$2:C625)</f>
        <v>57</v>
      </c>
    </row>
    <row r="626" spans="1:8" x14ac:dyDescent="0.15">
      <c r="A626" s="2200" t="s">
        <v>10723</v>
      </c>
      <c r="B626" s="2200" t="s">
        <v>11967</v>
      </c>
      <c r="C626" s="2200" t="s">
        <v>11968</v>
      </c>
      <c r="D626" s="2200" t="str">
        <f t="shared" si="36"/>
        <v>FL</v>
      </c>
      <c r="E626" s="2200">
        <f t="shared" si="37"/>
        <v>18</v>
      </c>
      <c r="F626" s="2200" t="str">
        <f t="shared" si="38"/>
        <v>12</v>
      </c>
      <c r="G626" s="2200" t="str">
        <f t="shared" si="39"/>
        <v>50575</v>
      </c>
      <c r="H626" s="2200">
        <f>--SUBTOTAL(3,C$2:C626)</f>
        <v>58</v>
      </c>
    </row>
    <row r="627" spans="1:8" x14ac:dyDescent="0.15">
      <c r="A627" s="2200" t="s">
        <v>10723</v>
      </c>
      <c r="B627" s="2200" t="s">
        <v>11969</v>
      </c>
      <c r="C627" s="2200" t="s">
        <v>11970</v>
      </c>
      <c r="D627" s="2200" t="str">
        <f t="shared" si="36"/>
        <v>FL</v>
      </c>
      <c r="E627" s="2200">
        <f t="shared" si="37"/>
        <v>11</v>
      </c>
      <c r="F627" s="2200" t="str">
        <f t="shared" si="38"/>
        <v>12</v>
      </c>
      <c r="G627" s="2200" t="str">
        <f t="shared" si="39"/>
        <v>50750</v>
      </c>
      <c r="H627" s="2200">
        <f>--SUBTOTAL(3,C$2:C627)</f>
        <v>59</v>
      </c>
    </row>
    <row r="628" spans="1:8" x14ac:dyDescent="0.15">
      <c r="A628" s="2200" t="s">
        <v>10723</v>
      </c>
      <c r="B628" s="2200" t="s">
        <v>11971</v>
      </c>
      <c r="C628" s="2200" t="s">
        <v>11972</v>
      </c>
      <c r="D628" s="2200" t="str">
        <f t="shared" si="36"/>
        <v>FL</v>
      </c>
      <c r="E628" s="2200">
        <f t="shared" si="37"/>
        <v>11</v>
      </c>
      <c r="F628" s="2200" t="str">
        <f t="shared" si="38"/>
        <v>12</v>
      </c>
      <c r="G628" s="2200" t="str">
        <f t="shared" si="39"/>
        <v>51075</v>
      </c>
      <c r="H628" s="2200">
        <f>--SUBTOTAL(3,C$2:C628)</f>
        <v>60</v>
      </c>
    </row>
    <row r="629" spans="1:8" x14ac:dyDescent="0.15">
      <c r="A629" s="2200" t="s">
        <v>10723</v>
      </c>
      <c r="B629" s="2200" t="s">
        <v>11973</v>
      </c>
      <c r="C629" s="2200" t="s">
        <v>11974</v>
      </c>
      <c r="D629" s="2200" t="str">
        <f t="shared" si="36"/>
        <v>FL</v>
      </c>
      <c r="E629" s="2200">
        <f t="shared" si="37"/>
        <v>13</v>
      </c>
      <c r="F629" s="2200" t="str">
        <f t="shared" si="38"/>
        <v>12</v>
      </c>
      <c r="G629" s="2200" t="str">
        <f t="shared" si="39"/>
        <v>53000</v>
      </c>
      <c r="H629" s="2200">
        <f>--SUBTOTAL(3,C$2:C629)</f>
        <v>61</v>
      </c>
    </row>
    <row r="630" spans="1:8" x14ac:dyDescent="0.15">
      <c r="A630" s="2200" t="s">
        <v>10723</v>
      </c>
      <c r="B630" s="2200" t="s">
        <v>11975</v>
      </c>
      <c r="C630" s="2200" t="s">
        <v>11976</v>
      </c>
      <c r="D630" s="2200" t="str">
        <f t="shared" si="36"/>
        <v>FL</v>
      </c>
      <c r="E630" s="2200">
        <f t="shared" si="37"/>
        <v>18</v>
      </c>
      <c r="F630" s="2200" t="str">
        <f t="shared" si="38"/>
        <v>12</v>
      </c>
      <c r="G630" s="2200" t="str">
        <f t="shared" si="39"/>
        <v>53150</v>
      </c>
      <c r="H630" s="2200">
        <f>--SUBTOTAL(3,C$2:C630)</f>
        <v>62</v>
      </c>
    </row>
    <row r="631" spans="1:8" x14ac:dyDescent="0.15">
      <c r="A631" s="2200" t="s">
        <v>10723</v>
      </c>
      <c r="B631" s="2200" t="s">
        <v>11977</v>
      </c>
      <c r="C631" s="2200" t="s">
        <v>11978</v>
      </c>
      <c r="D631" s="2200" t="str">
        <f t="shared" si="36"/>
        <v>FL</v>
      </c>
      <c r="E631" s="2200">
        <f t="shared" si="37"/>
        <v>12</v>
      </c>
      <c r="F631" s="2200" t="str">
        <f t="shared" si="38"/>
        <v>12</v>
      </c>
      <c r="G631" s="2200" t="str">
        <f t="shared" si="39"/>
        <v>53575</v>
      </c>
      <c r="H631" s="2200">
        <f>--SUBTOTAL(3,C$2:C631)</f>
        <v>63</v>
      </c>
    </row>
    <row r="632" spans="1:8" x14ac:dyDescent="0.15">
      <c r="A632" s="2200" t="s">
        <v>10723</v>
      </c>
      <c r="B632" s="2200" t="s">
        <v>11979</v>
      </c>
      <c r="C632" s="2200" t="s">
        <v>11980</v>
      </c>
      <c r="D632" s="2200" t="str">
        <f t="shared" si="36"/>
        <v>FL</v>
      </c>
      <c r="E632" s="2200">
        <f t="shared" si="37"/>
        <v>14</v>
      </c>
      <c r="F632" s="2200" t="str">
        <f t="shared" si="38"/>
        <v>12</v>
      </c>
      <c r="G632" s="2200" t="str">
        <f t="shared" si="39"/>
        <v>54000</v>
      </c>
      <c r="H632" s="2200">
        <f>--SUBTOTAL(3,C$2:C632)</f>
        <v>64</v>
      </c>
    </row>
    <row r="633" spans="1:8" x14ac:dyDescent="0.15">
      <c r="A633" s="2200" t="s">
        <v>10723</v>
      </c>
      <c r="B633" s="2200" t="s">
        <v>11981</v>
      </c>
      <c r="C633" s="2200" t="s">
        <v>11982</v>
      </c>
      <c r="D633" s="2200" t="str">
        <f t="shared" si="36"/>
        <v>FL</v>
      </c>
      <c r="E633" s="2200">
        <f t="shared" si="37"/>
        <v>24</v>
      </c>
      <c r="F633" s="2200" t="str">
        <f t="shared" si="38"/>
        <v>12</v>
      </c>
      <c r="G633" s="2200" t="str">
        <f t="shared" si="39"/>
        <v>54075</v>
      </c>
      <c r="H633" s="2200">
        <f>--SUBTOTAL(3,C$2:C633)</f>
        <v>65</v>
      </c>
    </row>
    <row r="634" spans="1:8" x14ac:dyDescent="0.15">
      <c r="A634" s="2200" t="s">
        <v>10723</v>
      </c>
      <c r="B634" s="2200" t="s">
        <v>11983</v>
      </c>
      <c r="C634" s="2200" t="s">
        <v>11984</v>
      </c>
      <c r="D634" s="2200" t="str">
        <f t="shared" si="36"/>
        <v>FL</v>
      </c>
      <c r="E634" s="2200">
        <f t="shared" si="37"/>
        <v>16</v>
      </c>
      <c r="F634" s="2200" t="str">
        <f t="shared" si="38"/>
        <v>12</v>
      </c>
      <c r="G634" s="2200" t="str">
        <f t="shared" si="39"/>
        <v>54200</v>
      </c>
      <c r="H634" s="2200">
        <f>--SUBTOTAL(3,C$2:C634)</f>
        <v>66</v>
      </c>
    </row>
    <row r="635" spans="1:8" x14ac:dyDescent="0.15">
      <c r="A635" s="2200" t="s">
        <v>10723</v>
      </c>
      <c r="B635" s="2200" t="s">
        <v>11985</v>
      </c>
      <c r="C635" s="2200" t="s">
        <v>11986</v>
      </c>
      <c r="D635" s="2200" t="str">
        <f t="shared" si="36"/>
        <v>FL</v>
      </c>
      <c r="E635" s="2200">
        <f t="shared" si="37"/>
        <v>21</v>
      </c>
      <c r="F635" s="2200" t="str">
        <f t="shared" si="38"/>
        <v>12</v>
      </c>
      <c r="G635" s="2200" t="str">
        <f t="shared" si="39"/>
        <v>54450</v>
      </c>
      <c r="H635" s="2200">
        <f>--SUBTOTAL(3,C$2:C635)</f>
        <v>67</v>
      </c>
    </row>
    <row r="636" spans="1:8" x14ac:dyDescent="0.15">
      <c r="A636" s="2200" t="s">
        <v>10723</v>
      </c>
      <c r="B636" s="2200" t="s">
        <v>11987</v>
      </c>
      <c r="C636" s="2200" t="s">
        <v>11988</v>
      </c>
      <c r="D636" s="2200" t="str">
        <f t="shared" si="36"/>
        <v>FL</v>
      </c>
      <c r="E636" s="2200">
        <f t="shared" si="37"/>
        <v>17</v>
      </c>
      <c r="F636" s="2200" t="str">
        <f t="shared" si="38"/>
        <v>12</v>
      </c>
      <c r="G636" s="2200" t="str">
        <f t="shared" si="39"/>
        <v>54700</v>
      </c>
      <c r="H636" s="2200">
        <f>--SUBTOTAL(3,C$2:C636)</f>
        <v>68</v>
      </c>
    </row>
    <row r="637" spans="1:8" x14ac:dyDescent="0.15">
      <c r="A637" s="2200" t="s">
        <v>10723</v>
      </c>
      <c r="B637" s="2200" t="s">
        <v>11989</v>
      </c>
      <c r="C637" s="2200" t="s">
        <v>11990</v>
      </c>
      <c r="D637" s="2200" t="str">
        <f t="shared" si="36"/>
        <v>FL</v>
      </c>
      <c r="E637" s="2200">
        <f t="shared" si="37"/>
        <v>14</v>
      </c>
      <c r="F637" s="2200" t="str">
        <f t="shared" si="38"/>
        <v>12</v>
      </c>
      <c r="G637" s="2200" t="str">
        <f t="shared" si="39"/>
        <v>55125</v>
      </c>
      <c r="H637" s="2200">
        <f>--SUBTOTAL(3,C$2:C637)</f>
        <v>69</v>
      </c>
    </row>
    <row r="638" spans="1:8" x14ac:dyDescent="0.15">
      <c r="A638" s="2200" t="s">
        <v>10723</v>
      </c>
      <c r="B638" s="2200" t="s">
        <v>11991</v>
      </c>
      <c r="C638" s="2200" t="s">
        <v>11992</v>
      </c>
      <c r="D638" s="2200" t="str">
        <f t="shared" si="36"/>
        <v>FL</v>
      </c>
      <c r="E638" s="2200">
        <f t="shared" si="37"/>
        <v>20</v>
      </c>
      <c r="F638" s="2200" t="str">
        <f t="shared" si="38"/>
        <v>12</v>
      </c>
      <c r="G638" s="2200" t="str">
        <f t="shared" si="39"/>
        <v>55775</v>
      </c>
      <c r="H638" s="2200">
        <f>--SUBTOTAL(3,C$2:C638)</f>
        <v>70</v>
      </c>
    </row>
    <row r="639" spans="1:8" x14ac:dyDescent="0.15">
      <c r="A639" s="2200" t="s">
        <v>10723</v>
      </c>
      <c r="B639" s="2200" t="s">
        <v>11993</v>
      </c>
      <c r="C639" s="2200" t="s">
        <v>11994</v>
      </c>
      <c r="D639" s="2200" t="str">
        <f t="shared" si="36"/>
        <v>FL</v>
      </c>
      <c r="E639" s="2200">
        <f t="shared" si="37"/>
        <v>15</v>
      </c>
      <c r="F639" s="2200" t="str">
        <f t="shared" si="38"/>
        <v>12</v>
      </c>
      <c r="G639" s="2200" t="str">
        <f t="shared" si="39"/>
        <v>55925</v>
      </c>
      <c r="H639" s="2200">
        <f>--SUBTOTAL(3,C$2:C639)</f>
        <v>71</v>
      </c>
    </row>
    <row r="640" spans="1:8" x14ac:dyDescent="0.15">
      <c r="A640" s="2200" t="s">
        <v>10723</v>
      </c>
      <c r="B640" s="2200" t="s">
        <v>11995</v>
      </c>
      <c r="C640" s="2200" t="s">
        <v>11996</v>
      </c>
      <c r="D640" s="2200" t="str">
        <f t="shared" si="36"/>
        <v>FL</v>
      </c>
      <c r="E640" s="2200">
        <f t="shared" si="37"/>
        <v>19</v>
      </c>
      <c r="F640" s="2200" t="str">
        <f t="shared" si="38"/>
        <v>12</v>
      </c>
      <c r="G640" s="2200" t="str">
        <f t="shared" si="39"/>
        <v>56975</v>
      </c>
      <c r="H640" s="2200">
        <f>--SUBTOTAL(3,C$2:C640)</f>
        <v>72</v>
      </c>
    </row>
    <row r="641" spans="1:8" x14ac:dyDescent="0.15">
      <c r="A641" s="2200" t="s">
        <v>10723</v>
      </c>
      <c r="B641" s="2200" t="s">
        <v>11997</v>
      </c>
      <c r="C641" s="2200" t="s">
        <v>11998</v>
      </c>
      <c r="D641" s="2200" t="str">
        <f t="shared" si="36"/>
        <v>FL</v>
      </c>
      <c r="E641" s="2200">
        <f t="shared" si="37"/>
        <v>16</v>
      </c>
      <c r="F641" s="2200" t="str">
        <f t="shared" si="38"/>
        <v>12</v>
      </c>
      <c r="G641" s="2200" t="str">
        <f t="shared" si="39"/>
        <v>57550</v>
      </c>
      <c r="H641" s="2200">
        <f>--SUBTOTAL(3,C$2:C641)</f>
        <v>73</v>
      </c>
    </row>
    <row r="642" spans="1:8" x14ac:dyDescent="0.15">
      <c r="A642" s="2200" t="s">
        <v>10723</v>
      </c>
      <c r="B642" s="2200" t="s">
        <v>11999</v>
      </c>
      <c r="C642" s="2200" t="s">
        <v>12000</v>
      </c>
      <c r="D642" s="2200" t="str">
        <f t="shared" ref="D642:D705" si="40">MID(C642,E642+2,2)</f>
        <v>FL</v>
      </c>
      <c r="E642" s="2200">
        <f t="shared" ref="E642:E705" si="41">FIND(",",C642)</f>
        <v>16</v>
      </c>
      <c r="F642" s="2200" t="str">
        <f t="shared" si="38"/>
        <v>12</v>
      </c>
      <c r="G642" s="2200" t="str">
        <f t="shared" si="39"/>
        <v>57425</v>
      </c>
      <c r="H642" s="2200">
        <f>--SUBTOTAL(3,C$2:C642)</f>
        <v>74</v>
      </c>
    </row>
    <row r="643" spans="1:8" x14ac:dyDescent="0.15">
      <c r="A643" s="2200" t="s">
        <v>10723</v>
      </c>
      <c r="B643" s="2200" t="s">
        <v>12001</v>
      </c>
      <c r="C643" s="2200" t="s">
        <v>12002</v>
      </c>
      <c r="D643" s="2200" t="str">
        <f t="shared" si="40"/>
        <v>FL</v>
      </c>
      <c r="E643" s="2200">
        <f t="shared" si="41"/>
        <v>19</v>
      </c>
      <c r="F643" s="2200" t="str">
        <f t="shared" ref="F643:F706" si="42">MID(B643,3,2)</f>
        <v>12</v>
      </c>
      <c r="G643" s="2200" t="str">
        <f t="shared" ref="G643:G706" si="43">MID(B643,5,5)</f>
        <v>58050</v>
      </c>
      <c r="H643" s="2200">
        <f>--SUBTOTAL(3,C$2:C643)</f>
        <v>75</v>
      </c>
    </row>
    <row r="644" spans="1:8" x14ac:dyDescent="0.15">
      <c r="A644" s="2200" t="s">
        <v>10723</v>
      </c>
      <c r="B644" s="2200" t="s">
        <v>12003</v>
      </c>
      <c r="C644" s="2200" t="s">
        <v>12004</v>
      </c>
      <c r="D644" s="2200" t="str">
        <f t="shared" si="40"/>
        <v>FL</v>
      </c>
      <c r="E644" s="2200">
        <f t="shared" si="41"/>
        <v>17</v>
      </c>
      <c r="F644" s="2200" t="str">
        <f t="shared" si="42"/>
        <v>12</v>
      </c>
      <c r="G644" s="2200" t="str">
        <f t="shared" si="43"/>
        <v>58575</v>
      </c>
      <c r="H644" s="2200">
        <f>--SUBTOTAL(3,C$2:C644)</f>
        <v>76</v>
      </c>
    </row>
    <row r="645" spans="1:8" x14ac:dyDescent="0.15">
      <c r="A645" s="2200" t="s">
        <v>10723</v>
      </c>
      <c r="B645" s="2200" t="s">
        <v>12005</v>
      </c>
      <c r="C645" s="2200" t="s">
        <v>12006</v>
      </c>
      <c r="D645" s="2200" t="str">
        <f t="shared" si="40"/>
        <v>FL</v>
      </c>
      <c r="E645" s="2200">
        <f t="shared" si="41"/>
        <v>20</v>
      </c>
      <c r="F645" s="2200" t="str">
        <f t="shared" si="42"/>
        <v>12</v>
      </c>
      <c r="G645" s="2200" t="str">
        <f t="shared" si="43"/>
        <v>58715</v>
      </c>
      <c r="H645" s="2200">
        <f>--SUBTOTAL(3,C$2:C645)</f>
        <v>77</v>
      </c>
    </row>
    <row r="646" spans="1:8" x14ac:dyDescent="0.15">
      <c r="A646" s="2200" t="s">
        <v>10723</v>
      </c>
      <c r="B646" s="2200" t="s">
        <v>12007</v>
      </c>
      <c r="C646" s="2200" t="s">
        <v>12008</v>
      </c>
      <c r="D646" s="2200" t="str">
        <f t="shared" si="40"/>
        <v>FL</v>
      </c>
      <c r="E646" s="2200">
        <f t="shared" si="41"/>
        <v>19</v>
      </c>
      <c r="F646" s="2200" t="str">
        <f t="shared" si="42"/>
        <v>12</v>
      </c>
      <c r="G646" s="2200" t="str">
        <f t="shared" si="43"/>
        <v>60975</v>
      </c>
      <c r="H646" s="2200">
        <f>--SUBTOTAL(3,C$2:C646)</f>
        <v>78</v>
      </c>
    </row>
    <row r="647" spans="1:8" x14ac:dyDescent="0.15">
      <c r="A647" s="2200" t="s">
        <v>10723</v>
      </c>
      <c r="B647" s="2200" t="s">
        <v>12009</v>
      </c>
      <c r="C647" s="2200" t="s">
        <v>12010</v>
      </c>
      <c r="D647" s="2200" t="str">
        <f t="shared" si="40"/>
        <v>FL</v>
      </c>
      <c r="E647" s="2200">
        <f t="shared" si="41"/>
        <v>15</v>
      </c>
      <c r="F647" s="2200" t="str">
        <f t="shared" si="42"/>
        <v>12</v>
      </c>
      <c r="G647" s="2200" t="str">
        <f t="shared" si="43"/>
        <v>61500</v>
      </c>
      <c r="H647" s="2200">
        <f>--SUBTOTAL(3,C$2:C647)</f>
        <v>79</v>
      </c>
    </row>
    <row r="648" spans="1:8" x14ac:dyDescent="0.15">
      <c r="A648" s="2200" t="s">
        <v>10723</v>
      </c>
      <c r="B648" s="2200" t="s">
        <v>12011</v>
      </c>
      <c r="C648" s="2200" t="s">
        <v>12012</v>
      </c>
      <c r="D648" s="2200" t="str">
        <f t="shared" si="40"/>
        <v>FL</v>
      </c>
      <c r="E648" s="2200">
        <f t="shared" si="41"/>
        <v>25</v>
      </c>
      <c r="F648" s="2200" t="str">
        <f t="shared" si="42"/>
        <v>12</v>
      </c>
      <c r="G648" s="2200" t="str">
        <f t="shared" si="43"/>
        <v>62100</v>
      </c>
      <c r="H648" s="2200">
        <f>--SUBTOTAL(3,C$2:C648)</f>
        <v>80</v>
      </c>
    </row>
    <row r="649" spans="1:8" x14ac:dyDescent="0.15">
      <c r="A649" s="2200" t="s">
        <v>10723</v>
      </c>
      <c r="B649" s="2200" t="s">
        <v>12013</v>
      </c>
      <c r="C649" s="2200" t="s">
        <v>12014</v>
      </c>
      <c r="D649" s="2200" t="str">
        <f t="shared" si="40"/>
        <v>FL</v>
      </c>
      <c r="E649" s="2200">
        <f t="shared" si="41"/>
        <v>13</v>
      </c>
      <c r="F649" s="2200" t="str">
        <f t="shared" si="42"/>
        <v>12</v>
      </c>
      <c r="G649" s="2200" t="str">
        <f t="shared" si="43"/>
        <v>63650</v>
      </c>
      <c r="H649" s="2200">
        <f>--SUBTOTAL(3,C$2:C649)</f>
        <v>81</v>
      </c>
    </row>
    <row r="650" spans="1:8" x14ac:dyDescent="0.15">
      <c r="A650" s="2200" t="s">
        <v>10723</v>
      </c>
      <c r="B650" s="2200" t="s">
        <v>12015</v>
      </c>
      <c r="C650" s="2200" t="s">
        <v>12016</v>
      </c>
      <c r="D650" s="2200" t="str">
        <f t="shared" si="40"/>
        <v>FL</v>
      </c>
      <c r="E650" s="2200">
        <f t="shared" si="41"/>
        <v>14</v>
      </c>
      <c r="F650" s="2200" t="str">
        <f t="shared" si="42"/>
        <v>12</v>
      </c>
      <c r="G650" s="2200" t="str">
        <f t="shared" si="43"/>
        <v>64175</v>
      </c>
      <c r="H650" s="2200">
        <f>--SUBTOTAL(3,C$2:C650)</f>
        <v>82</v>
      </c>
    </row>
    <row r="651" spans="1:8" x14ac:dyDescent="0.15">
      <c r="A651" s="2200" t="s">
        <v>10723</v>
      </c>
      <c r="B651" s="2200" t="s">
        <v>12017</v>
      </c>
      <c r="C651" s="2200" t="s">
        <v>12018</v>
      </c>
      <c r="D651" s="2200" t="str">
        <f t="shared" si="40"/>
        <v>FL</v>
      </c>
      <c r="E651" s="2200">
        <f t="shared" si="41"/>
        <v>15</v>
      </c>
      <c r="F651" s="2200" t="str">
        <f t="shared" si="42"/>
        <v>12</v>
      </c>
      <c r="G651" s="2200" t="str">
        <f t="shared" si="43"/>
        <v>64825</v>
      </c>
      <c r="H651" s="2200">
        <f>--SUBTOTAL(3,C$2:C651)</f>
        <v>83</v>
      </c>
    </row>
    <row r="652" spans="1:8" x14ac:dyDescent="0.15">
      <c r="A652" s="2200" t="s">
        <v>10723</v>
      </c>
      <c r="B652" s="2200" t="s">
        <v>12019</v>
      </c>
      <c r="C652" s="2200" t="s">
        <v>12020</v>
      </c>
      <c r="D652" s="2200" t="str">
        <f t="shared" si="40"/>
        <v>FL</v>
      </c>
      <c r="E652" s="2200">
        <f t="shared" si="41"/>
        <v>15</v>
      </c>
      <c r="F652" s="2200" t="str">
        <f t="shared" si="42"/>
        <v>12</v>
      </c>
      <c r="G652" s="2200" t="str">
        <f t="shared" si="43"/>
        <v>62625</v>
      </c>
      <c r="H652" s="2200">
        <f>--SUBTOTAL(3,C$2:C652)</f>
        <v>84</v>
      </c>
    </row>
    <row r="653" spans="1:8" x14ac:dyDescent="0.15">
      <c r="A653" s="2200" t="s">
        <v>10723</v>
      </c>
      <c r="B653" s="2200" t="s">
        <v>12021</v>
      </c>
      <c r="C653" s="2200" t="s">
        <v>12022</v>
      </c>
      <c r="D653" s="2200" t="str">
        <f t="shared" si="40"/>
        <v>FL</v>
      </c>
      <c r="E653" s="2200">
        <f t="shared" si="41"/>
        <v>20</v>
      </c>
      <c r="F653" s="2200" t="str">
        <f t="shared" si="42"/>
        <v>12</v>
      </c>
      <c r="G653" s="2200" t="str">
        <f t="shared" si="43"/>
        <v>63000</v>
      </c>
      <c r="H653" s="2200">
        <f>--SUBTOTAL(3,C$2:C653)</f>
        <v>85</v>
      </c>
    </row>
    <row r="654" spans="1:8" x14ac:dyDescent="0.15">
      <c r="A654" s="2200" t="s">
        <v>10723</v>
      </c>
      <c r="B654" s="2200" t="s">
        <v>12023</v>
      </c>
      <c r="C654" s="2200" t="s">
        <v>12024</v>
      </c>
      <c r="D654" s="2200" t="str">
        <f t="shared" si="40"/>
        <v>FL</v>
      </c>
      <c r="E654" s="2200">
        <f t="shared" si="41"/>
        <v>13</v>
      </c>
      <c r="F654" s="2200" t="str">
        <f t="shared" si="42"/>
        <v>12</v>
      </c>
      <c r="G654" s="2200" t="str">
        <f t="shared" si="43"/>
        <v>69700</v>
      </c>
      <c r="H654" s="2200">
        <f>--SUBTOTAL(3,C$2:C654)</f>
        <v>86</v>
      </c>
    </row>
    <row r="655" spans="1:8" x14ac:dyDescent="0.15">
      <c r="A655" s="2200" t="s">
        <v>10723</v>
      </c>
      <c r="B655" s="2200" t="s">
        <v>12025</v>
      </c>
      <c r="C655" s="2200" t="s">
        <v>12026</v>
      </c>
      <c r="D655" s="2200" t="str">
        <f t="shared" si="40"/>
        <v>FL</v>
      </c>
      <c r="E655" s="2200">
        <f t="shared" si="41"/>
        <v>17</v>
      </c>
      <c r="F655" s="2200" t="str">
        <f t="shared" si="42"/>
        <v>12</v>
      </c>
      <c r="G655" s="2200" t="str">
        <f t="shared" si="43"/>
        <v>70600</v>
      </c>
      <c r="H655" s="2200">
        <f>--SUBTOTAL(3,C$2:C655)</f>
        <v>87</v>
      </c>
    </row>
    <row r="656" spans="1:8" x14ac:dyDescent="0.15">
      <c r="A656" s="2200" t="s">
        <v>10723</v>
      </c>
      <c r="B656" s="2200" t="s">
        <v>12027</v>
      </c>
      <c r="C656" s="2200" t="s">
        <v>12028</v>
      </c>
      <c r="D656" s="2200" t="str">
        <f t="shared" si="40"/>
        <v>FL</v>
      </c>
      <c r="E656" s="2200">
        <f t="shared" si="41"/>
        <v>13</v>
      </c>
      <c r="F656" s="2200" t="str">
        <f t="shared" si="42"/>
        <v>12</v>
      </c>
      <c r="G656" s="2200" t="str">
        <f t="shared" si="43"/>
        <v>70675</v>
      </c>
      <c r="H656" s="2200">
        <f>--SUBTOTAL(3,C$2:C656)</f>
        <v>88</v>
      </c>
    </row>
    <row r="657" spans="1:8" x14ac:dyDescent="0.15">
      <c r="A657" s="2200" t="s">
        <v>10723</v>
      </c>
      <c r="B657" s="2200" t="s">
        <v>12029</v>
      </c>
      <c r="C657" s="2200" t="s">
        <v>12030</v>
      </c>
      <c r="D657" s="2200" t="str">
        <f t="shared" si="40"/>
        <v>FL</v>
      </c>
      <c r="E657" s="2200">
        <f t="shared" si="41"/>
        <v>11</v>
      </c>
      <c r="F657" s="2200" t="str">
        <f t="shared" si="42"/>
        <v>12</v>
      </c>
      <c r="G657" s="2200" t="str">
        <f t="shared" si="43"/>
        <v>71000</v>
      </c>
      <c r="H657" s="2200">
        <f>--SUBTOTAL(3,C$2:C657)</f>
        <v>89</v>
      </c>
    </row>
    <row r="658" spans="1:8" x14ac:dyDescent="0.15">
      <c r="A658" s="2200" t="s">
        <v>10723</v>
      </c>
      <c r="B658" s="2200" t="s">
        <v>12031</v>
      </c>
      <c r="C658" s="2200" t="s">
        <v>12032</v>
      </c>
      <c r="D658" s="2200" t="str">
        <f t="shared" si="40"/>
        <v>FL</v>
      </c>
      <c r="E658" s="2200">
        <f t="shared" si="41"/>
        <v>20</v>
      </c>
      <c r="F658" s="2200" t="str">
        <f t="shared" si="42"/>
        <v>12</v>
      </c>
      <c r="G658" s="2200" t="str">
        <f t="shared" si="43"/>
        <v>71150</v>
      </c>
      <c r="H658" s="2200">
        <f>--SUBTOTAL(3,C$2:C658)</f>
        <v>90</v>
      </c>
    </row>
    <row r="659" spans="1:8" x14ac:dyDescent="0.15">
      <c r="A659" s="2200" t="s">
        <v>10723</v>
      </c>
      <c r="B659" s="2200" t="s">
        <v>12033</v>
      </c>
      <c r="C659" s="2200" t="s">
        <v>12034</v>
      </c>
      <c r="D659" s="2200" t="str">
        <f t="shared" si="40"/>
        <v>FL</v>
      </c>
      <c r="E659" s="2200">
        <f t="shared" si="41"/>
        <v>20</v>
      </c>
      <c r="F659" s="2200" t="str">
        <f t="shared" si="42"/>
        <v>12</v>
      </c>
      <c r="G659" s="2200" t="str">
        <f t="shared" si="43"/>
        <v>71400</v>
      </c>
      <c r="H659" s="2200">
        <f>--SUBTOTAL(3,C$2:C659)</f>
        <v>91</v>
      </c>
    </row>
    <row r="660" spans="1:8" x14ac:dyDescent="0.15">
      <c r="A660" s="2200" t="s">
        <v>10723</v>
      </c>
      <c r="B660" s="2200" t="s">
        <v>12035</v>
      </c>
      <c r="C660" s="2200" t="s">
        <v>12036</v>
      </c>
      <c r="D660" s="2200" t="str">
        <f t="shared" si="40"/>
        <v>FL</v>
      </c>
      <c r="E660" s="2200">
        <f t="shared" si="41"/>
        <v>16</v>
      </c>
      <c r="F660" s="2200" t="str">
        <f t="shared" si="42"/>
        <v>12</v>
      </c>
      <c r="G660" s="2200" t="str">
        <f t="shared" si="43"/>
        <v>71900</v>
      </c>
      <c r="H660" s="2200">
        <f>--SUBTOTAL(3,C$2:C660)</f>
        <v>92</v>
      </c>
    </row>
    <row r="661" spans="1:8" x14ac:dyDescent="0.15">
      <c r="A661" s="2200" t="s">
        <v>10723</v>
      </c>
      <c r="B661" s="2200" t="s">
        <v>12037</v>
      </c>
      <c r="C661" s="2200" t="s">
        <v>12038</v>
      </c>
      <c r="D661" s="2200" t="str">
        <f t="shared" si="40"/>
        <v>FL</v>
      </c>
      <c r="E661" s="2200">
        <f t="shared" si="41"/>
        <v>19</v>
      </c>
      <c r="F661" s="2200" t="str">
        <f t="shared" si="42"/>
        <v>12</v>
      </c>
      <c r="G661" s="2200" t="str">
        <f t="shared" si="43"/>
        <v>75812</v>
      </c>
      <c r="H661" s="2200">
        <f>--SUBTOTAL(3,C$2:C661)</f>
        <v>93</v>
      </c>
    </row>
    <row r="662" spans="1:8" x14ac:dyDescent="0.15">
      <c r="A662" s="2200" t="s">
        <v>10723</v>
      </c>
      <c r="B662" s="2200" t="s">
        <v>12039</v>
      </c>
      <c r="C662" s="2200" t="s">
        <v>12040</v>
      </c>
      <c r="D662" s="2200" t="str">
        <f t="shared" si="40"/>
        <v>FL</v>
      </c>
      <c r="E662" s="2200">
        <f t="shared" si="41"/>
        <v>21</v>
      </c>
      <c r="F662" s="2200" t="str">
        <f t="shared" si="42"/>
        <v>12</v>
      </c>
      <c r="G662" s="2200" t="str">
        <f t="shared" si="43"/>
        <v>76600</v>
      </c>
      <c r="H662" s="2200">
        <f>--SUBTOTAL(3,C$2:C662)</f>
        <v>94</v>
      </c>
    </row>
    <row r="663" spans="1:8" x14ac:dyDescent="0.15">
      <c r="A663" s="2200" t="s">
        <v>10723</v>
      </c>
      <c r="B663" s="2200" t="s">
        <v>12041</v>
      </c>
      <c r="C663" s="2200" t="s">
        <v>12042</v>
      </c>
      <c r="D663" s="2200" t="str">
        <f t="shared" si="40"/>
        <v>FL</v>
      </c>
      <c r="E663" s="2200">
        <f t="shared" si="41"/>
        <v>12</v>
      </c>
      <c r="F663" s="2200" t="str">
        <f t="shared" si="42"/>
        <v>12</v>
      </c>
      <c r="G663" s="2200" t="str">
        <f t="shared" si="43"/>
        <v>76582</v>
      </c>
      <c r="H663" s="2200">
        <f>--SUBTOTAL(3,C$2:C663)</f>
        <v>95</v>
      </c>
    </row>
    <row r="664" spans="1:8" x14ac:dyDescent="0.15">
      <c r="A664" s="2200" t="s">
        <v>10723</v>
      </c>
      <c r="B664" s="2200" t="s">
        <v>12043</v>
      </c>
      <c r="C664" s="2200" t="s">
        <v>12044</v>
      </c>
      <c r="D664" s="2200" t="str">
        <f t="shared" si="40"/>
        <v>FL</v>
      </c>
      <c r="E664" s="2200">
        <f t="shared" si="41"/>
        <v>19</v>
      </c>
      <c r="F664" s="2200" t="str">
        <f t="shared" si="42"/>
        <v>12</v>
      </c>
      <c r="G664" s="2200" t="str">
        <f t="shared" si="43"/>
        <v>78250</v>
      </c>
      <c r="H664" s="2200">
        <f>--SUBTOTAL(3,C$2:C664)</f>
        <v>96</v>
      </c>
    </row>
    <row r="665" spans="1:8" x14ac:dyDescent="0.15">
      <c r="A665" s="2200" t="s">
        <v>10723</v>
      </c>
      <c r="B665" s="2200" t="s">
        <v>12045</v>
      </c>
      <c r="C665" s="2200" t="s">
        <v>12046</v>
      </c>
      <c r="D665" s="2200" t="str">
        <f t="shared" si="40"/>
        <v>FL</v>
      </c>
      <c r="E665" s="2200">
        <f t="shared" si="41"/>
        <v>18</v>
      </c>
      <c r="F665" s="2200" t="str">
        <f t="shared" si="42"/>
        <v>12</v>
      </c>
      <c r="G665" s="2200" t="str">
        <f t="shared" si="43"/>
        <v>78275</v>
      </c>
      <c r="H665" s="2200">
        <f>--SUBTOTAL(3,C$2:C665)</f>
        <v>97</v>
      </c>
    </row>
    <row r="666" spans="1:8" x14ac:dyDescent="0.15">
      <c r="A666" s="2200" t="s">
        <v>10723</v>
      </c>
      <c r="B666" s="2200" t="s">
        <v>12047</v>
      </c>
      <c r="C666" s="2200" t="s">
        <v>12048</v>
      </c>
      <c r="D666" s="2200" t="str">
        <f t="shared" si="40"/>
        <v>FL</v>
      </c>
      <c r="E666" s="2200">
        <f t="shared" si="41"/>
        <v>17</v>
      </c>
      <c r="F666" s="2200" t="str">
        <f t="shared" si="42"/>
        <v>12</v>
      </c>
      <c r="G666" s="2200" t="str">
        <f t="shared" si="43"/>
        <v>78300</v>
      </c>
      <c r="H666" s="2200">
        <f>--SUBTOTAL(3,C$2:C666)</f>
        <v>98</v>
      </c>
    </row>
    <row r="667" spans="1:8" x14ac:dyDescent="0.15">
      <c r="A667" s="2200" t="s">
        <v>10723</v>
      </c>
      <c r="B667" s="2200" t="s">
        <v>12049</v>
      </c>
      <c r="C667" s="2200" t="s">
        <v>12050</v>
      </c>
      <c r="D667" s="2200" t="str">
        <f t="shared" si="40"/>
        <v>FL</v>
      </c>
      <c r="E667" s="2200">
        <f t="shared" si="41"/>
        <v>20</v>
      </c>
      <c r="F667" s="2200" t="str">
        <f t="shared" si="42"/>
        <v>12</v>
      </c>
      <c r="G667" s="2200" t="str">
        <f t="shared" si="43"/>
        <v>78325</v>
      </c>
      <c r="H667" s="2200">
        <f>--SUBTOTAL(3,C$2:C667)</f>
        <v>99</v>
      </c>
    </row>
    <row r="668" spans="1:8" hidden="1" x14ac:dyDescent="0.15">
      <c r="A668" s="2200" t="s">
        <v>10723</v>
      </c>
      <c r="B668" s="2200" t="s">
        <v>12051</v>
      </c>
      <c r="C668" s="2200" t="s">
        <v>12052</v>
      </c>
      <c r="D668" s="2200" t="str">
        <f t="shared" si="40"/>
        <v>GA</v>
      </c>
      <c r="E668" s="2200">
        <f t="shared" si="41"/>
        <v>12</v>
      </c>
      <c r="F668" s="2200" t="str">
        <f t="shared" si="42"/>
        <v>13</v>
      </c>
      <c r="G668" s="2200" t="str">
        <f t="shared" si="43"/>
        <v>01052</v>
      </c>
      <c r="H668" s="2200">
        <f>--SUBTOTAL(3,C$2:C668)</f>
        <v>99</v>
      </c>
    </row>
    <row r="669" spans="1:8" hidden="1" x14ac:dyDescent="0.15">
      <c r="A669" s="2200" t="s">
        <v>10723</v>
      </c>
      <c r="B669" s="2200" t="s">
        <v>12053</v>
      </c>
      <c r="C669" s="2200" t="s">
        <v>12054</v>
      </c>
      <c r="D669" s="2200" t="str">
        <f t="shared" si="40"/>
        <v>GA</v>
      </c>
      <c r="E669" s="2200">
        <f t="shared" si="41"/>
        <v>16</v>
      </c>
      <c r="F669" s="2200" t="str">
        <f t="shared" si="42"/>
        <v>13</v>
      </c>
      <c r="G669" s="2200" t="str">
        <f t="shared" si="43"/>
        <v>01696</v>
      </c>
      <c r="H669" s="2200">
        <f>--SUBTOTAL(3,C$2:C669)</f>
        <v>99</v>
      </c>
    </row>
    <row r="670" spans="1:8" hidden="1" x14ac:dyDescent="0.15">
      <c r="A670" s="2200" t="s">
        <v>10723</v>
      </c>
      <c r="B670" s="2200" t="s">
        <v>12055</v>
      </c>
      <c r="C670" s="2200" t="s">
        <v>12056</v>
      </c>
      <c r="D670" s="2200" t="str">
        <f t="shared" si="40"/>
        <v>GA</v>
      </c>
      <c r="E670" s="2200">
        <f t="shared" si="41"/>
        <v>41</v>
      </c>
      <c r="F670" s="2200" t="str">
        <f t="shared" si="42"/>
        <v>13</v>
      </c>
      <c r="G670" s="2200" t="str">
        <f t="shared" si="43"/>
        <v>03436</v>
      </c>
      <c r="H670" s="2200">
        <f>--SUBTOTAL(3,C$2:C670)</f>
        <v>99</v>
      </c>
    </row>
    <row r="671" spans="1:8" hidden="1" x14ac:dyDescent="0.15">
      <c r="A671" s="2200" t="s">
        <v>10723</v>
      </c>
      <c r="B671" s="2200" t="s">
        <v>12057</v>
      </c>
      <c r="C671" s="2200" t="s">
        <v>12058</v>
      </c>
      <c r="D671" s="2200" t="str">
        <f t="shared" si="40"/>
        <v>GA</v>
      </c>
      <c r="E671" s="2200">
        <f t="shared" si="41"/>
        <v>13</v>
      </c>
      <c r="F671" s="2200" t="str">
        <f t="shared" si="42"/>
        <v>13</v>
      </c>
      <c r="G671" s="2200" t="str">
        <f t="shared" si="43"/>
        <v>04000</v>
      </c>
      <c r="H671" s="2200">
        <f>--SUBTOTAL(3,C$2:C671)</f>
        <v>99</v>
      </c>
    </row>
    <row r="672" spans="1:8" hidden="1" x14ac:dyDescent="0.15">
      <c r="A672" s="2200" t="s">
        <v>10723</v>
      </c>
      <c r="B672" s="2200" t="s">
        <v>12059</v>
      </c>
      <c r="C672" s="2200" t="s">
        <v>12060</v>
      </c>
      <c r="D672" s="2200" t="str">
        <f t="shared" si="40"/>
        <v>GA</v>
      </c>
      <c r="E672" s="2200">
        <f t="shared" si="41"/>
        <v>44</v>
      </c>
      <c r="F672" s="2200" t="str">
        <f t="shared" si="42"/>
        <v>13</v>
      </c>
      <c r="G672" s="2200" t="str">
        <f t="shared" si="43"/>
        <v>04200</v>
      </c>
      <c r="H672" s="2200">
        <f>--SUBTOTAL(3,C$2:C672)</f>
        <v>99</v>
      </c>
    </row>
    <row r="673" spans="1:8" hidden="1" x14ac:dyDescent="0.15">
      <c r="A673" s="2200" t="s">
        <v>10723</v>
      </c>
      <c r="B673" s="2200" t="s">
        <v>12061</v>
      </c>
      <c r="C673" s="2200" t="s">
        <v>12062</v>
      </c>
      <c r="D673" s="2200" t="str">
        <f t="shared" si="40"/>
        <v>GA</v>
      </c>
      <c r="E673" s="2200">
        <f t="shared" si="41"/>
        <v>16</v>
      </c>
      <c r="F673" s="2200" t="str">
        <f t="shared" si="42"/>
        <v>13</v>
      </c>
      <c r="G673" s="2200" t="str">
        <f t="shared" si="43"/>
        <v>10944</v>
      </c>
      <c r="H673" s="2200">
        <f>--SUBTOTAL(3,C$2:C673)</f>
        <v>99</v>
      </c>
    </row>
    <row r="674" spans="1:8" hidden="1" x14ac:dyDescent="0.15">
      <c r="A674" s="2200" t="s">
        <v>10723</v>
      </c>
      <c r="B674" s="2200" t="s">
        <v>12063</v>
      </c>
      <c r="C674" s="2200" t="s">
        <v>12064</v>
      </c>
      <c r="D674" s="2200" t="str">
        <f t="shared" si="40"/>
        <v>GA</v>
      </c>
      <c r="E674" s="2200">
        <f t="shared" si="41"/>
        <v>12</v>
      </c>
      <c r="F674" s="2200" t="str">
        <f t="shared" si="42"/>
        <v>13</v>
      </c>
      <c r="G674" s="2200" t="str">
        <f t="shared" si="43"/>
        <v>12988</v>
      </c>
      <c r="H674" s="2200">
        <f>--SUBTOTAL(3,C$2:C674)</f>
        <v>99</v>
      </c>
    </row>
    <row r="675" spans="1:8" hidden="1" x14ac:dyDescent="0.15">
      <c r="A675" s="2200" t="s">
        <v>10723</v>
      </c>
      <c r="B675" s="2200" t="s">
        <v>12065</v>
      </c>
      <c r="C675" s="2200" t="s">
        <v>12066</v>
      </c>
      <c r="D675" s="2200" t="str">
        <f t="shared" si="40"/>
        <v>GA</v>
      </c>
      <c r="E675" s="2200">
        <f t="shared" si="41"/>
        <v>16</v>
      </c>
      <c r="F675" s="2200" t="str">
        <f t="shared" si="42"/>
        <v>13</v>
      </c>
      <c r="G675" s="2200" t="str">
        <f t="shared" si="43"/>
        <v>13492</v>
      </c>
      <c r="H675" s="2200">
        <f>--SUBTOTAL(3,C$2:C675)</f>
        <v>99</v>
      </c>
    </row>
    <row r="676" spans="1:8" hidden="1" x14ac:dyDescent="0.15">
      <c r="A676" s="2200" t="s">
        <v>10723</v>
      </c>
      <c r="B676" s="2200" t="s">
        <v>12067</v>
      </c>
      <c r="C676" s="2200" t="s">
        <v>12068</v>
      </c>
      <c r="D676" s="2200" t="str">
        <f t="shared" si="40"/>
        <v>GA</v>
      </c>
      <c r="E676" s="2200">
        <f t="shared" si="41"/>
        <v>14</v>
      </c>
      <c r="F676" s="2200" t="str">
        <f t="shared" si="42"/>
        <v>13</v>
      </c>
      <c r="G676" s="2200" t="str">
        <f t="shared" si="43"/>
        <v>15172</v>
      </c>
      <c r="H676" s="2200">
        <f>--SUBTOTAL(3,C$2:C676)</f>
        <v>99</v>
      </c>
    </row>
    <row r="677" spans="1:8" hidden="1" x14ac:dyDescent="0.15">
      <c r="A677" s="2200" t="s">
        <v>10723</v>
      </c>
      <c r="B677" s="2200" t="s">
        <v>12069</v>
      </c>
      <c r="C677" s="2200" t="s">
        <v>12070</v>
      </c>
      <c r="D677" s="2200" t="str">
        <f t="shared" si="40"/>
        <v>GA</v>
      </c>
      <c r="E677" s="2200">
        <f t="shared" si="41"/>
        <v>29</v>
      </c>
      <c r="F677" s="2200" t="str">
        <f t="shared" si="42"/>
        <v>13</v>
      </c>
      <c r="G677" s="2200" t="str">
        <f t="shared" si="43"/>
        <v>19000</v>
      </c>
      <c r="H677" s="2200">
        <f>--SUBTOTAL(3,C$2:C677)</f>
        <v>99</v>
      </c>
    </row>
    <row r="678" spans="1:8" hidden="1" x14ac:dyDescent="0.15">
      <c r="A678" s="2200" t="s">
        <v>10723</v>
      </c>
      <c r="B678" s="2200" t="s">
        <v>12071</v>
      </c>
      <c r="C678" s="2200" t="s">
        <v>12072</v>
      </c>
      <c r="D678" s="2200" t="str">
        <f t="shared" si="40"/>
        <v>GA</v>
      </c>
      <c r="E678" s="2200">
        <f t="shared" si="41"/>
        <v>12</v>
      </c>
      <c r="F678" s="2200" t="str">
        <f t="shared" si="42"/>
        <v>13</v>
      </c>
      <c r="G678" s="2200" t="str">
        <f t="shared" si="43"/>
        <v>21380</v>
      </c>
      <c r="H678" s="2200">
        <f>--SUBTOTAL(3,C$2:C678)</f>
        <v>99</v>
      </c>
    </row>
    <row r="679" spans="1:8" hidden="1" x14ac:dyDescent="0.15">
      <c r="A679" s="2200" t="s">
        <v>10723</v>
      </c>
      <c r="B679" s="2200" t="s">
        <v>12073</v>
      </c>
      <c r="C679" s="2200" t="s">
        <v>12074</v>
      </c>
      <c r="D679" s="2200" t="str">
        <f t="shared" si="40"/>
        <v>GA</v>
      </c>
      <c r="E679" s="2200">
        <f t="shared" si="41"/>
        <v>13</v>
      </c>
      <c r="F679" s="2200" t="str">
        <f t="shared" si="42"/>
        <v>13</v>
      </c>
      <c r="G679" s="2200" t="str">
        <f t="shared" si="43"/>
        <v>22052</v>
      </c>
      <c r="H679" s="2200">
        <f>--SUBTOTAL(3,C$2:C679)</f>
        <v>99</v>
      </c>
    </row>
    <row r="680" spans="1:8" hidden="1" x14ac:dyDescent="0.15">
      <c r="A680" s="2200" t="s">
        <v>10723</v>
      </c>
      <c r="B680" s="2200" t="s">
        <v>12075</v>
      </c>
      <c r="C680" s="2200" t="s">
        <v>12076</v>
      </c>
      <c r="D680" s="2200" t="str">
        <f t="shared" si="40"/>
        <v>GA</v>
      </c>
      <c r="E680" s="2200">
        <f t="shared" si="41"/>
        <v>18</v>
      </c>
      <c r="F680" s="2200" t="str">
        <f t="shared" si="42"/>
        <v>13</v>
      </c>
      <c r="G680" s="2200" t="str">
        <f t="shared" si="43"/>
        <v>23900</v>
      </c>
      <c r="H680" s="2200">
        <f>--SUBTOTAL(3,C$2:C680)</f>
        <v>99</v>
      </c>
    </row>
    <row r="681" spans="1:8" hidden="1" x14ac:dyDescent="0.15">
      <c r="A681" s="2200" t="s">
        <v>10723</v>
      </c>
      <c r="B681" s="2200" t="s">
        <v>12077</v>
      </c>
      <c r="C681" s="2200" t="s">
        <v>12078</v>
      </c>
      <c r="D681" s="2200" t="str">
        <f t="shared" si="40"/>
        <v>GA</v>
      </c>
      <c r="E681" s="2200">
        <f t="shared" si="41"/>
        <v>12</v>
      </c>
      <c r="F681" s="2200" t="str">
        <f t="shared" si="42"/>
        <v>13</v>
      </c>
      <c r="G681" s="2200" t="str">
        <f t="shared" si="43"/>
        <v>24600</v>
      </c>
      <c r="H681" s="2200">
        <f>--SUBTOTAL(3,C$2:C681)</f>
        <v>99</v>
      </c>
    </row>
    <row r="682" spans="1:8" hidden="1" x14ac:dyDescent="0.15">
      <c r="A682" s="2200" t="s">
        <v>10723</v>
      </c>
      <c r="B682" s="2200" t="s">
        <v>12079</v>
      </c>
      <c r="C682" s="2200" t="s">
        <v>12080</v>
      </c>
      <c r="D682" s="2200" t="str">
        <f t="shared" si="40"/>
        <v>GA</v>
      </c>
      <c r="E682" s="2200">
        <f t="shared" si="41"/>
        <v>14</v>
      </c>
      <c r="F682" s="2200" t="str">
        <f t="shared" si="42"/>
        <v>13</v>
      </c>
      <c r="G682" s="2200" t="str">
        <f t="shared" si="43"/>
        <v>24768</v>
      </c>
      <c r="H682" s="2200">
        <f>--SUBTOTAL(3,C$2:C682)</f>
        <v>99</v>
      </c>
    </row>
    <row r="683" spans="1:8" hidden="1" x14ac:dyDescent="0.15">
      <c r="A683" s="2200" t="s">
        <v>10723</v>
      </c>
      <c r="B683" s="2200" t="s">
        <v>12081</v>
      </c>
      <c r="C683" s="2200" t="s">
        <v>12082</v>
      </c>
      <c r="D683" s="2200" t="str">
        <f t="shared" si="40"/>
        <v>GA</v>
      </c>
      <c r="E683" s="2200">
        <f t="shared" si="41"/>
        <v>16</v>
      </c>
      <c r="F683" s="2200" t="str">
        <f t="shared" si="42"/>
        <v>13</v>
      </c>
      <c r="G683" s="2200" t="str">
        <f t="shared" si="43"/>
        <v>25720</v>
      </c>
      <c r="H683" s="2200">
        <f>--SUBTOTAL(3,C$2:C683)</f>
        <v>99</v>
      </c>
    </row>
    <row r="684" spans="1:8" hidden="1" x14ac:dyDescent="0.15">
      <c r="A684" s="2200" t="s">
        <v>10723</v>
      </c>
      <c r="B684" s="2200" t="s">
        <v>12083</v>
      </c>
      <c r="C684" s="2200" t="s">
        <v>12084</v>
      </c>
      <c r="D684" s="2200" t="str">
        <f t="shared" si="40"/>
        <v>GA</v>
      </c>
      <c r="E684" s="2200">
        <f t="shared" si="41"/>
        <v>17</v>
      </c>
      <c r="F684" s="2200" t="str">
        <f t="shared" si="42"/>
        <v>13</v>
      </c>
      <c r="G684" s="2200" t="str">
        <f t="shared" si="43"/>
        <v>31908</v>
      </c>
      <c r="H684" s="2200">
        <f>--SUBTOTAL(3,C$2:C684)</f>
        <v>99</v>
      </c>
    </row>
    <row r="685" spans="1:8" hidden="1" x14ac:dyDescent="0.15">
      <c r="A685" s="2200" t="s">
        <v>11443</v>
      </c>
      <c r="B685" s="2200" t="s">
        <v>12085</v>
      </c>
      <c r="C685" s="2200" t="s">
        <v>12086</v>
      </c>
      <c r="D685" s="2200" t="str">
        <f t="shared" si="40"/>
        <v>GA</v>
      </c>
      <c r="E685" s="2200">
        <f t="shared" si="41"/>
        <v>25</v>
      </c>
      <c r="F685" s="2200" t="str">
        <f t="shared" si="42"/>
        <v>13</v>
      </c>
      <c r="G685" s="2200" t="str">
        <f t="shared" si="43"/>
        <v>81140</v>
      </c>
      <c r="H685" s="2200">
        <f>--SUBTOTAL(3,C$2:C685)</f>
        <v>99</v>
      </c>
    </row>
    <row r="686" spans="1:8" hidden="1" x14ac:dyDescent="0.15">
      <c r="A686" s="2200" t="s">
        <v>10723</v>
      </c>
      <c r="B686" s="2200" t="s">
        <v>12087</v>
      </c>
      <c r="C686" s="2200" t="s">
        <v>12088</v>
      </c>
      <c r="D686" s="2200" t="str">
        <f t="shared" si="40"/>
        <v>GA</v>
      </c>
      <c r="E686" s="2200">
        <f t="shared" si="41"/>
        <v>16</v>
      </c>
      <c r="F686" s="2200" t="str">
        <f t="shared" si="42"/>
        <v>13</v>
      </c>
      <c r="G686" s="2200" t="str">
        <f t="shared" si="43"/>
        <v>38964</v>
      </c>
      <c r="H686" s="2200">
        <f>--SUBTOTAL(3,C$2:C686)</f>
        <v>99</v>
      </c>
    </row>
    <row r="687" spans="1:8" hidden="1" x14ac:dyDescent="0.15">
      <c r="A687" s="2200" t="s">
        <v>10723</v>
      </c>
      <c r="B687" s="2200" t="s">
        <v>12089</v>
      </c>
      <c r="C687" s="2200" t="s">
        <v>12090</v>
      </c>
      <c r="D687" s="2200" t="str">
        <f t="shared" si="40"/>
        <v>GA</v>
      </c>
      <c r="E687" s="2200">
        <f t="shared" si="41"/>
        <v>17</v>
      </c>
      <c r="F687" s="2200" t="str">
        <f t="shared" si="42"/>
        <v>13</v>
      </c>
      <c r="G687" s="2200" t="str">
        <f t="shared" si="43"/>
        <v>42425</v>
      </c>
      <c r="H687" s="2200">
        <f>--SUBTOTAL(3,C$2:C687)</f>
        <v>99</v>
      </c>
    </row>
    <row r="688" spans="1:8" hidden="1" x14ac:dyDescent="0.15">
      <c r="A688" s="2200" t="s">
        <v>10723</v>
      </c>
      <c r="B688" s="2200" t="s">
        <v>12091</v>
      </c>
      <c r="C688" s="2200" t="s">
        <v>12092</v>
      </c>
      <c r="D688" s="2200" t="str">
        <f t="shared" si="40"/>
        <v>GA</v>
      </c>
      <c r="E688" s="2200">
        <f t="shared" si="41"/>
        <v>14</v>
      </c>
      <c r="F688" s="2200" t="str">
        <f t="shared" si="42"/>
        <v>13</v>
      </c>
      <c r="G688" s="2200" t="str">
        <f t="shared" si="43"/>
        <v>43192</v>
      </c>
      <c r="H688" s="2200">
        <f>--SUBTOTAL(3,C$2:C688)</f>
        <v>99</v>
      </c>
    </row>
    <row r="689" spans="1:8" hidden="1" x14ac:dyDescent="0.15">
      <c r="A689" s="2200" t="s">
        <v>10723</v>
      </c>
      <c r="B689" s="2200" t="s">
        <v>12093</v>
      </c>
      <c r="C689" s="2200" t="s">
        <v>12094</v>
      </c>
      <c r="D689" s="2200" t="str">
        <f t="shared" si="40"/>
        <v>GA</v>
      </c>
      <c r="E689" s="2200">
        <f t="shared" si="41"/>
        <v>14</v>
      </c>
      <c r="F689" s="2200" t="str">
        <f t="shared" si="42"/>
        <v>13</v>
      </c>
      <c r="G689" s="2200" t="str">
        <f t="shared" si="43"/>
        <v>44340</v>
      </c>
      <c r="H689" s="2200">
        <f>--SUBTOTAL(3,C$2:C689)</f>
        <v>99</v>
      </c>
    </row>
    <row r="690" spans="1:8" hidden="1" x14ac:dyDescent="0.15">
      <c r="A690" s="2200" t="s">
        <v>10723</v>
      </c>
      <c r="B690" s="2200" t="s">
        <v>12095</v>
      </c>
      <c r="C690" s="2200" t="s">
        <v>12096</v>
      </c>
      <c r="D690" s="2200" t="str">
        <f t="shared" si="40"/>
        <v>GA</v>
      </c>
      <c r="E690" s="2200">
        <f t="shared" si="41"/>
        <v>19</v>
      </c>
      <c r="F690" s="2200" t="str">
        <f t="shared" si="42"/>
        <v>13</v>
      </c>
      <c r="G690" s="2200" t="str">
        <f t="shared" si="43"/>
        <v>45488</v>
      </c>
      <c r="H690" s="2200">
        <f>--SUBTOTAL(3,C$2:C690)</f>
        <v>99</v>
      </c>
    </row>
    <row r="691" spans="1:8" hidden="1" x14ac:dyDescent="0.15">
      <c r="A691" s="2200" t="s">
        <v>10723</v>
      </c>
      <c r="B691" s="2200" t="s">
        <v>12097</v>
      </c>
      <c r="C691" s="2200" t="s">
        <v>12098</v>
      </c>
      <c r="D691" s="2200" t="str">
        <f t="shared" si="40"/>
        <v>GA</v>
      </c>
      <c r="E691" s="2200">
        <f t="shared" si="41"/>
        <v>18</v>
      </c>
      <c r="F691" s="2200" t="str">
        <f t="shared" si="42"/>
        <v>13</v>
      </c>
      <c r="G691" s="2200" t="str">
        <f t="shared" si="43"/>
        <v>49008</v>
      </c>
      <c r="H691" s="2200">
        <f>--SUBTOTAL(3,C$2:C691)</f>
        <v>99</v>
      </c>
    </row>
    <row r="692" spans="1:8" hidden="1" x14ac:dyDescent="0.15">
      <c r="A692" s="2200" t="s">
        <v>10723</v>
      </c>
      <c r="B692" s="2200" t="s">
        <v>12099</v>
      </c>
      <c r="C692" s="2200" t="s">
        <v>12100</v>
      </c>
      <c r="D692" s="2200" t="str">
        <f t="shared" si="40"/>
        <v>GA</v>
      </c>
      <c r="E692" s="2200">
        <f t="shared" si="41"/>
        <v>14</v>
      </c>
      <c r="F692" s="2200" t="str">
        <f t="shared" si="42"/>
        <v>13</v>
      </c>
      <c r="G692" s="2200" t="str">
        <f t="shared" si="43"/>
        <v>49756</v>
      </c>
      <c r="H692" s="2200">
        <f>--SUBTOTAL(3,C$2:C692)</f>
        <v>99</v>
      </c>
    </row>
    <row r="693" spans="1:8" hidden="1" x14ac:dyDescent="0.15">
      <c r="A693" s="2200" t="s">
        <v>10723</v>
      </c>
      <c r="B693" s="2200" t="s">
        <v>12101</v>
      </c>
      <c r="C693" s="2200" t="s">
        <v>12102</v>
      </c>
      <c r="D693" s="2200" t="str">
        <f t="shared" si="40"/>
        <v>GA</v>
      </c>
      <c r="E693" s="2200">
        <f t="shared" si="41"/>
        <v>15</v>
      </c>
      <c r="F693" s="2200" t="str">
        <f t="shared" si="42"/>
        <v>13</v>
      </c>
      <c r="G693" s="2200" t="str">
        <f t="shared" si="43"/>
        <v>48624</v>
      </c>
      <c r="H693" s="2200">
        <f>--SUBTOTAL(3,C$2:C693)</f>
        <v>99</v>
      </c>
    </row>
    <row r="694" spans="1:8" hidden="1" x14ac:dyDescent="0.15">
      <c r="A694" s="2200" t="s">
        <v>10723</v>
      </c>
      <c r="B694" s="2200" t="s">
        <v>12103</v>
      </c>
      <c r="C694" s="2200" t="s">
        <v>12104</v>
      </c>
      <c r="D694" s="2200" t="str">
        <f t="shared" si="40"/>
        <v>GA</v>
      </c>
      <c r="E694" s="2200">
        <f t="shared" si="41"/>
        <v>12</v>
      </c>
      <c r="F694" s="2200" t="str">
        <f t="shared" si="42"/>
        <v>13</v>
      </c>
      <c r="G694" s="2200" t="str">
        <f t="shared" si="43"/>
        <v>51670</v>
      </c>
      <c r="H694" s="2200">
        <f>--SUBTOTAL(3,C$2:C694)</f>
        <v>99</v>
      </c>
    </row>
    <row r="695" spans="1:8" hidden="1" x14ac:dyDescent="0.15">
      <c r="A695" s="2200" t="s">
        <v>10723</v>
      </c>
      <c r="B695" s="2200" t="s">
        <v>12105</v>
      </c>
      <c r="C695" s="2200" t="s">
        <v>12106</v>
      </c>
      <c r="D695" s="2200" t="str">
        <f t="shared" si="40"/>
        <v>GA</v>
      </c>
      <c r="E695" s="2200">
        <f t="shared" si="41"/>
        <v>12</v>
      </c>
      <c r="F695" s="2200" t="str">
        <f t="shared" si="42"/>
        <v>13</v>
      </c>
      <c r="G695" s="2200" t="str">
        <f t="shared" si="43"/>
        <v>55020</v>
      </c>
      <c r="H695" s="2200">
        <f>--SUBTOTAL(3,C$2:C695)</f>
        <v>99</v>
      </c>
    </row>
    <row r="696" spans="1:8" hidden="1" x14ac:dyDescent="0.15">
      <c r="A696" s="2200" t="s">
        <v>10723</v>
      </c>
      <c r="B696" s="2200" t="s">
        <v>12107</v>
      </c>
      <c r="C696" s="2200" t="s">
        <v>12108</v>
      </c>
      <c r="D696" s="2200" t="str">
        <f t="shared" si="40"/>
        <v>GA</v>
      </c>
      <c r="E696" s="2200">
        <f t="shared" si="41"/>
        <v>20</v>
      </c>
      <c r="F696" s="2200" t="str">
        <f t="shared" si="42"/>
        <v>13</v>
      </c>
      <c r="G696" s="2200" t="str">
        <f t="shared" si="43"/>
        <v>59724</v>
      </c>
      <c r="H696" s="2200">
        <f>--SUBTOTAL(3,C$2:C696)</f>
        <v>99</v>
      </c>
    </row>
    <row r="697" spans="1:8" hidden="1" x14ac:dyDescent="0.15">
      <c r="A697" s="2200" t="s">
        <v>10723</v>
      </c>
      <c r="B697" s="2200" t="s">
        <v>12109</v>
      </c>
      <c r="C697" s="2200" t="s">
        <v>12110</v>
      </c>
      <c r="D697" s="2200" t="str">
        <f t="shared" si="40"/>
        <v>GA</v>
      </c>
      <c r="E697" s="2200">
        <f t="shared" si="41"/>
        <v>23</v>
      </c>
      <c r="F697" s="2200" t="str">
        <f t="shared" si="42"/>
        <v>13</v>
      </c>
      <c r="G697" s="2200" t="str">
        <f t="shared" si="43"/>
        <v>59735</v>
      </c>
      <c r="H697" s="2200">
        <f>--SUBTOTAL(3,C$2:C697)</f>
        <v>99</v>
      </c>
    </row>
    <row r="698" spans="1:8" hidden="1" x14ac:dyDescent="0.15">
      <c r="A698" s="2200" t="s">
        <v>10723</v>
      </c>
      <c r="B698" s="2200" t="s">
        <v>12111</v>
      </c>
      <c r="C698" s="2200" t="s">
        <v>12112</v>
      </c>
      <c r="D698" s="2200" t="str">
        <f t="shared" si="40"/>
        <v>GA</v>
      </c>
      <c r="E698" s="2200">
        <f t="shared" si="41"/>
        <v>10</v>
      </c>
      <c r="F698" s="2200" t="str">
        <f t="shared" si="42"/>
        <v>13</v>
      </c>
      <c r="G698" s="2200" t="str">
        <f t="shared" si="43"/>
        <v>66668</v>
      </c>
      <c r="H698" s="2200">
        <f>--SUBTOTAL(3,C$2:C698)</f>
        <v>99</v>
      </c>
    </row>
    <row r="699" spans="1:8" hidden="1" x14ac:dyDescent="0.15">
      <c r="A699" s="2200" t="s">
        <v>10723</v>
      </c>
      <c r="B699" s="2200" t="s">
        <v>12113</v>
      </c>
      <c r="C699" s="2200" t="s">
        <v>12114</v>
      </c>
      <c r="D699" s="2200" t="str">
        <f t="shared" si="40"/>
        <v>GA</v>
      </c>
      <c r="E699" s="2200">
        <f t="shared" si="41"/>
        <v>13</v>
      </c>
      <c r="F699" s="2200" t="str">
        <f t="shared" si="42"/>
        <v>13</v>
      </c>
      <c r="G699" s="2200" t="str">
        <f t="shared" si="43"/>
        <v>67284</v>
      </c>
      <c r="H699" s="2200">
        <f>--SUBTOTAL(3,C$2:C699)</f>
        <v>99</v>
      </c>
    </row>
    <row r="700" spans="1:8" hidden="1" x14ac:dyDescent="0.15">
      <c r="A700" s="2200" t="s">
        <v>10723</v>
      </c>
      <c r="B700" s="2200" t="s">
        <v>12115</v>
      </c>
      <c r="C700" s="2200" t="s">
        <v>12116</v>
      </c>
      <c r="D700" s="2200" t="str">
        <f t="shared" si="40"/>
        <v>GA</v>
      </c>
      <c r="E700" s="2200">
        <f t="shared" si="41"/>
        <v>19</v>
      </c>
      <c r="F700" s="2200" t="str">
        <f t="shared" si="42"/>
        <v>13</v>
      </c>
      <c r="G700" s="2200" t="str">
        <f t="shared" si="43"/>
        <v>68516</v>
      </c>
      <c r="H700" s="2200">
        <f>--SUBTOTAL(3,C$2:C700)</f>
        <v>99</v>
      </c>
    </row>
    <row r="701" spans="1:8" hidden="1" x14ac:dyDescent="0.15">
      <c r="A701" s="2200" t="s">
        <v>10723</v>
      </c>
      <c r="B701" s="2200" t="s">
        <v>12117</v>
      </c>
      <c r="C701" s="2200" t="s">
        <v>12118</v>
      </c>
      <c r="D701" s="2200" t="str">
        <f t="shared" si="40"/>
        <v>GA</v>
      </c>
      <c r="E701" s="2200">
        <f t="shared" si="41"/>
        <v>14</v>
      </c>
      <c r="F701" s="2200" t="str">
        <f t="shared" si="42"/>
        <v>13</v>
      </c>
      <c r="G701" s="2200" t="str">
        <f t="shared" si="43"/>
        <v>69000</v>
      </c>
      <c r="H701" s="2200">
        <f>--SUBTOTAL(3,C$2:C701)</f>
        <v>99</v>
      </c>
    </row>
    <row r="702" spans="1:8" hidden="1" x14ac:dyDescent="0.15">
      <c r="A702" s="2200" t="s">
        <v>10723</v>
      </c>
      <c r="B702" s="2200" t="s">
        <v>12119</v>
      </c>
      <c r="C702" s="2200" t="s">
        <v>12120</v>
      </c>
      <c r="D702" s="2200" t="str">
        <f t="shared" si="40"/>
        <v>GA</v>
      </c>
      <c r="E702" s="2200">
        <f t="shared" si="41"/>
        <v>12</v>
      </c>
      <c r="F702" s="2200" t="str">
        <f t="shared" si="42"/>
        <v>13</v>
      </c>
      <c r="G702" s="2200" t="str">
        <f t="shared" si="43"/>
        <v>71492</v>
      </c>
      <c r="H702" s="2200">
        <f>--SUBTOTAL(3,C$2:C702)</f>
        <v>99</v>
      </c>
    </row>
    <row r="703" spans="1:8" hidden="1" x14ac:dyDescent="0.15">
      <c r="A703" s="2200" t="s">
        <v>10723</v>
      </c>
      <c r="B703" s="2200" t="s">
        <v>12121</v>
      </c>
      <c r="C703" s="2200" t="s">
        <v>12122</v>
      </c>
      <c r="D703" s="2200" t="str">
        <f t="shared" si="40"/>
        <v>GA</v>
      </c>
      <c r="E703" s="2200">
        <f t="shared" si="41"/>
        <v>16</v>
      </c>
      <c r="F703" s="2200" t="str">
        <f t="shared" si="42"/>
        <v>13</v>
      </c>
      <c r="G703" s="2200" t="str">
        <f t="shared" si="43"/>
        <v>73256</v>
      </c>
      <c r="H703" s="2200">
        <f>--SUBTOTAL(3,C$2:C703)</f>
        <v>99</v>
      </c>
    </row>
    <row r="704" spans="1:8" hidden="1" x14ac:dyDescent="0.15">
      <c r="A704" s="2200" t="s">
        <v>10723</v>
      </c>
      <c r="B704" s="2200" t="s">
        <v>12123</v>
      </c>
      <c r="C704" s="2200" t="s">
        <v>12124</v>
      </c>
      <c r="D704" s="2200" t="str">
        <f t="shared" si="40"/>
        <v>GA</v>
      </c>
      <c r="E704" s="2200">
        <f t="shared" si="41"/>
        <v>17</v>
      </c>
      <c r="F704" s="2200" t="str">
        <f t="shared" si="42"/>
        <v>13</v>
      </c>
      <c r="G704" s="2200" t="str">
        <f t="shared" si="43"/>
        <v>73704</v>
      </c>
      <c r="H704" s="2200">
        <f>--SUBTOTAL(3,C$2:C704)</f>
        <v>99</v>
      </c>
    </row>
    <row r="705" spans="1:8" hidden="1" x14ac:dyDescent="0.15">
      <c r="A705" s="2200" t="s">
        <v>10723</v>
      </c>
      <c r="B705" s="2200" t="s">
        <v>12125</v>
      </c>
      <c r="C705" s="2200" t="s">
        <v>12126</v>
      </c>
      <c r="D705" s="2200" t="str">
        <f t="shared" si="40"/>
        <v>GA</v>
      </c>
      <c r="E705" s="2200">
        <f t="shared" si="41"/>
        <v>12</v>
      </c>
      <c r="F705" s="2200" t="str">
        <f t="shared" si="42"/>
        <v>13</v>
      </c>
      <c r="G705" s="2200" t="str">
        <f t="shared" si="43"/>
        <v>77652</v>
      </c>
      <c r="H705" s="2200">
        <f>--SUBTOTAL(3,C$2:C705)</f>
        <v>99</v>
      </c>
    </row>
    <row r="706" spans="1:8" hidden="1" x14ac:dyDescent="0.15">
      <c r="A706" s="2200" t="s">
        <v>10723</v>
      </c>
      <c r="B706" s="2200" t="s">
        <v>12127</v>
      </c>
      <c r="C706" s="2200" t="s">
        <v>12128</v>
      </c>
      <c r="D706" s="2200" t="str">
        <f t="shared" ref="D706:D769" si="44">MID(C706,E706+2,2)</f>
        <v>GA</v>
      </c>
      <c r="E706" s="2200">
        <f t="shared" ref="E706:E769" si="45">FIND(",",C706)</f>
        <v>14</v>
      </c>
      <c r="F706" s="2200" t="str">
        <f t="shared" si="42"/>
        <v>13</v>
      </c>
      <c r="G706" s="2200" t="str">
        <f t="shared" si="43"/>
        <v>78800</v>
      </c>
      <c r="H706" s="2200">
        <f>--SUBTOTAL(3,C$2:C706)</f>
        <v>99</v>
      </c>
    </row>
    <row r="707" spans="1:8" hidden="1" x14ac:dyDescent="0.15">
      <c r="A707" s="2200" t="s">
        <v>10723</v>
      </c>
      <c r="B707" s="2200" t="s">
        <v>12129</v>
      </c>
      <c r="C707" s="2200" t="s">
        <v>12130</v>
      </c>
      <c r="D707" s="2200" t="str">
        <f t="shared" si="44"/>
        <v>GA</v>
      </c>
      <c r="E707" s="2200">
        <f t="shared" si="45"/>
        <v>19</v>
      </c>
      <c r="F707" s="2200" t="str">
        <f t="shared" ref="F707:F770" si="46">MID(B707,3,2)</f>
        <v>13</v>
      </c>
      <c r="G707" s="2200" t="str">
        <f t="shared" ref="G707:G770" si="47">MID(B707,5,5)</f>
        <v>80508</v>
      </c>
      <c r="H707" s="2200">
        <f>--SUBTOTAL(3,C$2:C707)</f>
        <v>99</v>
      </c>
    </row>
    <row r="708" spans="1:8" hidden="1" x14ac:dyDescent="0.15">
      <c r="A708" s="2200" t="s">
        <v>10723</v>
      </c>
      <c r="B708" s="2200" t="s">
        <v>12131</v>
      </c>
      <c r="C708" s="2200" t="s">
        <v>12132</v>
      </c>
      <c r="D708" s="2200" t="str">
        <f t="shared" si="44"/>
        <v>GA</v>
      </c>
      <c r="E708" s="2200">
        <f t="shared" si="45"/>
        <v>15</v>
      </c>
      <c r="F708" s="2200" t="str">
        <f t="shared" si="46"/>
        <v>13</v>
      </c>
      <c r="G708" s="2200" t="str">
        <f t="shared" si="47"/>
        <v>84176</v>
      </c>
      <c r="H708" s="2200">
        <f>--SUBTOTAL(3,C$2:C708)</f>
        <v>99</v>
      </c>
    </row>
    <row r="709" spans="1:8" hidden="1" x14ac:dyDescent="0.15">
      <c r="A709" s="2200" t="s">
        <v>10723</v>
      </c>
      <c r="B709" s="2200" t="s">
        <v>12133</v>
      </c>
      <c r="C709" s="2200" t="s">
        <v>5382</v>
      </c>
      <c r="D709" s="2200" t="str">
        <f t="shared" si="44"/>
        <v>HI</v>
      </c>
      <c r="E709" s="2200">
        <f t="shared" si="45"/>
        <v>21</v>
      </c>
      <c r="F709" s="2200" t="str">
        <f t="shared" si="46"/>
        <v>15</v>
      </c>
      <c r="G709" s="2200" t="str">
        <f t="shared" si="47"/>
        <v>16999</v>
      </c>
      <c r="H709" s="2200">
        <f>--SUBTOTAL(3,C$2:C709)</f>
        <v>99</v>
      </c>
    </row>
    <row r="710" spans="1:8" hidden="1" x14ac:dyDescent="0.15">
      <c r="A710" s="2200" t="s">
        <v>10723</v>
      </c>
      <c r="B710" s="2200" t="s">
        <v>12134</v>
      </c>
      <c r="C710" s="2200" t="s">
        <v>12135</v>
      </c>
      <c r="D710" s="2200" t="str">
        <f t="shared" si="44"/>
        <v>IA</v>
      </c>
      <c r="E710" s="2200">
        <f t="shared" si="45"/>
        <v>10</v>
      </c>
      <c r="F710" s="2200" t="str">
        <f t="shared" si="46"/>
        <v>19</v>
      </c>
      <c r="G710" s="2200" t="str">
        <f t="shared" si="47"/>
        <v>01855</v>
      </c>
      <c r="H710" s="2200">
        <f>--SUBTOTAL(3,C$2:C710)</f>
        <v>99</v>
      </c>
    </row>
    <row r="711" spans="1:8" hidden="1" x14ac:dyDescent="0.15">
      <c r="A711" s="2200" t="s">
        <v>10723</v>
      </c>
      <c r="B711" s="2200" t="s">
        <v>12136</v>
      </c>
      <c r="C711" s="2200" t="s">
        <v>12137</v>
      </c>
      <c r="D711" s="2200" t="str">
        <f t="shared" si="44"/>
        <v>IA</v>
      </c>
      <c r="E711" s="2200">
        <f t="shared" si="45"/>
        <v>12</v>
      </c>
      <c r="F711" s="2200" t="str">
        <f t="shared" si="46"/>
        <v>19</v>
      </c>
      <c r="G711" s="2200" t="str">
        <f t="shared" si="47"/>
        <v>02305</v>
      </c>
      <c r="H711" s="2200">
        <f>--SUBTOTAL(3,C$2:C711)</f>
        <v>99</v>
      </c>
    </row>
    <row r="712" spans="1:8" hidden="1" x14ac:dyDescent="0.15">
      <c r="A712" s="2200" t="s">
        <v>10723</v>
      </c>
      <c r="B712" s="2200" t="s">
        <v>12138</v>
      </c>
      <c r="C712" s="2200" t="s">
        <v>12139</v>
      </c>
      <c r="D712" s="2200" t="str">
        <f t="shared" si="44"/>
        <v>IA</v>
      </c>
      <c r="E712" s="2200">
        <f t="shared" si="45"/>
        <v>16</v>
      </c>
      <c r="F712" s="2200" t="str">
        <f t="shared" si="46"/>
        <v>19</v>
      </c>
      <c r="G712" s="2200" t="str">
        <f t="shared" si="47"/>
        <v>06355</v>
      </c>
      <c r="H712" s="2200">
        <f>--SUBTOTAL(3,C$2:C712)</f>
        <v>99</v>
      </c>
    </row>
    <row r="713" spans="1:8" hidden="1" x14ac:dyDescent="0.15">
      <c r="A713" s="2200" t="s">
        <v>10723</v>
      </c>
      <c r="B713" s="2200" t="s">
        <v>12140</v>
      </c>
      <c r="C713" s="2200" t="s">
        <v>12141</v>
      </c>
      <c r="D713" s="2200" t="str">
        <f t="shared" si="44"/>
        <v>IA</v>
      </c>
      <c r="E713" s="2200">
        <f t="shared" si="45"/>
        <v>16</v>
      </c>
      <c r="F713" s="2200" t="str">
        <f t="shared" si="46"/>
        <v>19</v>
      </c>
      <c r="G713" s="2200" t="str">
        <f t="shared" si="47"/>
        <v>09550</v>
      </c>
      <c r="H713" s="2200">
        <f>--SUBTOTAL(3,C$2:C713)</f>
        <v>99</v>
      </c>
    </row>
    <row r="714" spans="1:8" hidden="1" x14ac:dyDescent="0.15">
      <c r="A714" s="2200" t="s">
        <v>10723</v>
      </c>
      <c r="B714" s="2200" t="s">
        <v>12142</v>
      </c>
      <c r="C714" s="2200" t="s">
        <v>12143</v>
      </c>
      <c r="D714" s="2200" t="str">
        <f t="shared" si="44"/>
        <v>IA</v>
      </c>
      <c r="E714" s="2200">
        <f t="shared" si="45"/>
        <v>17</v>
      </c>
      <c r="F714" s="2200" t="str">
        <f t="shared" si="46"/>
        <v>19</v>
      </c>
      <c r="G714" s="2200" t="str">
        <f t="shared" si="47"/>
        <v>11755</v>
      </c>
      <c r="H714" s="2200">
        <f>--SUBTOTAL(3,C$2:C714)</f>
        <v>99</v>
      </c>
    </row>
    <row r="715" spans="1:8" hidden="1" x14ac:dyDescent="0.15">
      <c r="A715" s="2200" t="s">
        <v>10723</v>
      </c>
      <c r="B715" s="2200" t="s">
        <v>12144</v>
      </c>
      <c r="C715" s="2200" t="s">
        <v>12145</v>
      </c>
      <c r="D715" s="2200" t="str">
        <f t="shared" si="44"/>
        <v>IA</v>
      </c>
      <c r="E715" s="2200">
        <f t="shared" si="45"/>
        <v>18</v>
      </c>
      <c r="F715" s="2200" t="str">
        <f t="shared" si="46"/>
        <v>19</v>
      </c>
      <c r="G715" s="2200" t="str">
        <f t="shared" si="47"/>
        <v>12000</v>
      </c>
      <c r="H715" s="2200">
        <f>--SUBTOTAL(3,C$2:C715)</f>
        <v>99</v>
      </c>
    </row>
    <row r="716" spans="1:8" hidden="1" x14ac:dyDescent="0.15">
      <c r="A716" s="2200" t="s">
        <v>10723</v>
      </c>
      <c r="B716" s="2200" t="s">
        <v>12146</v>
      </c>
      <c r="C716" s="2200" t="s">
        <v>12147</v>
      </c>
      <c r="D716" s="2200" t="str">
        <f t="shared" si="44"/>
        <v>IA</v>
      </c>
      <c r="E716" s="2200">
        <f t="shared" si="45"/>
        <v>13</v>
      </c>
      <c r="F716" s="2200" t="str">
        <f t="shared" si="46"/>
        <v>19</v>
      </c>
      <c r="G716" s="2200" t="str">
        <f t="shared" si="47"/>
        <v>14430</v>
      </c>
      <c r="H716" s="2200">
        <f>--SUBTOTAL(3,C$2:C716)</f>
        <v>99</v>
      </c>
    </row>
    <row r="717" spans="1:8" hidden="1" x14ac:dyDescent="0.15">
      <c r="A717" s="2200" t="s">
        <v>10723</v>
      </c>
      <c r="B717" s="2200" t="s">
        <v>12148</v>
      </c>
      <c r="C717" s="2200" t="s">
        <v>12149</v>
      </c>
      <c r="D717" s="2200" t="str">
        <f t="shared" si="44"/>
        <v>IA</v>
      </c>
      <c r="E717" s="2200">
        <f t="shared" si="45"/>
        <v>20</v>
      </c>
      <c r="F717" s="2200" t="str">
        <f t="shared" si="46"/>
        <v>19</v>
      </c>
      <c r="G717" s="2200" t="str">
        <f t="shared" si="47"/>
        <v>16860</v>
      </c>
      <c r="H717" s="2200">
        <f>--SUBTOTAL(3,C$2:C717)</f>
        <v>99</v>
      </c>
    </row>
    <row r="718" spans="1:8" hidden="1" x14ac:dyDescent="0.15">
      <c r="A718" s="2200" t="s">
        <v>10723</v>
      </c>
      <c r="B718" s="2200" t="s">
        <v>12150</v>
      </c>
      <c r="C718" s="2200" t="s">
        <v>12151</v>
      </c>
      <c r="D718" s="2200" t="str">
        <f t="shared" si="44"/>
        <v>IA</v>
      </c>
      <c r="E718" s="2200">
        <f t="shared" si="45"/>
        <v>15</v>
      </c>
      <c r="F718" s="2200" t="str">
        <f t="shared" si="46"/>
        <v>19</v>
      </c>
      <c r="G718" s="2200" t="str">
        <f t="shared" si="47"/>
        <v>19000</v>
      </c>
      <c r="H718" s="2200">
        <f>--SUBTOTAL(3,C$2:C718)</f>
        <v>99</v>
      </c>
    </row>
    <row r="719" spans="1:8" hidden="1" x14ac:dyDescent="0.15">
      <c r="A719" s="2200" t="s">
        <v>10723</v>
      </c>
      <c r="B719" s="2200" t="s">
        <v>12152</v>
      </c>
      <c r="C719" s="2200" t="s">
        <v>12153</v>
      </c>
      <c r="D719" s="2200" t="str">
        <f t="shared" si="44"/>
        <v>IA</v>
      </c>
      <c r="E719" s="2200">
        <f t="shared" si="45"/>
        <v>16</v>
      </c>
      <c r="F719" s="2200" t="str">
        <f t="shared" si="46"/>
        <v>19</v>
      </c>
      <c r="G719" s="2200" t="str">
        <f t="shared" si="47"/>
        <v>21000</v>
      </c>
      <c r="H719" s="2200">
        <f>--SUBTOTAL(3,C$2:C719)</f>
        <v>99</v>
      </c>
    </row>
    <row r="720" spans="1:8" hidden="1" x14ac:dyDescent="0.15">
      <c r="A720" s="2200" t="s">
        <v>10723</v>
      </c>
      <c r="B720" s="2200" t="s">
        <v>12154</v>
      </c>
      <c r="C720" s="2200" t="s">
        <v>12155</v>
      </c>
      <c r="D720" s="2200" t="str">
        <f t="shared" si="44"/>
        <v>IA</v>
      </c>
      <c r="E720" s="2200">
        <f t="shared" si="45"/>
        <v>13</v>
      </c>
      <c r="F720" s="2200" t="str">
        <f t="shared" si="46"/>
        <v>19</v>
      </c>
      <c r="G720" s="2200" t="str">
        <f t="shared" si="47"/>
        <v>22395</v>
      </c>
      <c r="H720" s="2200">
        <f>--SUBTOTAL(3,C$2:C720)</f>
        <v>99</v>
      </c>
    </row>
    <row r="721" spans="1:8" hidden="1" x14ac:dyDescent="0.15">
      <c r="A721" s="2200" t="s">
        <v>10723</v>
      </c>
      <c r="B721" s="2200" t="s">
        <v>12156</v>
      </c>
      <c r="C721" s="2200" t="s">
        <v>12157</v>
      </c>
      <c r="D721" s="2200" t="str">
        <f t="shared" si="44"/>
        <v>IA</v>
      </c>
      <c r="E721" s="2200">
        <f t="shared" si="45"/>
        <v>16</v>
      </c>
      <c r="F721" s="2200" t="str">
        <f t="shared" si="46"/>
        <v>19</v>
      </c>
      <c r="G721" s="2200" t="str">
        <f t="shared" si="47"/>
        <v>28515</v>
      </c>
      <c r="H721" s="2200">
        <f>--SUBTOTAL(3,C$2:C721)</f>
        <v>99</v>
      </c>
    </row>
    <row r="722" spans="1:8" hidden="1" x14ac:dyDescent="0.15">
      <c r="A722" s="2200" t="s">
        <v>10723</v>
      </c>
      <c r="B722" s="2200" t="s">
        <v>12158</v>
      </c>
      <c r="C722" s="2200" t="s">
        <v>12159</v>
      </c>
      <c r="D722" s="2200" t="str">
        <f t="shared" si="44"/>
        <v>IA</v>
      </c>
      <c r="E722" s="2200">
        <f t="shared" si="45"/>
        <v>15</v>
      </c>
      <c r="F722" s="2200" t="str">
        <f t="shared" si="46"/>
        <v>19</v>
      </c>
      <c r="G722" s="2200" t="str">
        <f t="shared" si="47"/>
        <v>38595</v>
      </c>
      <c r="H722" s="2200">
        <f>--SUBTOTAL(3,C$2:C722)</f>
        <v>99</v>
      </c>
    </row>
    <row r="723" spans="1:8" hidden="1" x14ac:dyDescent="0.15">
      <c r="A723" s="2200" t="s">
        <v>10723</v>
      </c>
      <c r="B723" s="2200" t="s">
        <v>12160</v>
      </c>
      <c r="C723" s="2200" t="s">
        <v>12161</v>
      </c>
      <c r="D723" s="2200" t="str">
        <f t="shared" si="44"/>
        <v>IA</v>
      </c>
      <c r="E723" s="2200">
        <f t="shared" si="45"/>
        <v>12</v>
      </c>
      <c r="F723" s="2200" t="str">
        <f t="shared" si="46"/>
        <v>19</v>
      </c>
      <c r="G723" s="2200" t="str">
        <f t="shared" si="47"/>
        <v>49485</v>
      </c>
      <c r="H723" s="2200">
        <f>--SUBTOTAL(3,C$2:C723)</f>
        <v>99</v>
      </c>
    </row>
    <row r="724" spans="1:8" hidden="1" x14ac:dyDescent="0.15">
      <c r="A724" s="2200" t="s">
        <v>10723</v>
      </c>
      <c r="B724" s="2200" t="s">
        <v>12162</v>
      </c>
      <c r="C724" s="2200" t="s">
        <v>12163</v>
      </c>
      <c r="D724" s="2200" t="str">
        <f t="shared" si="44"/>
        <v>IA</v>
      </c>
      <c r="E724" s="2200">
        <f t="shared" si="45"/>
        <v>18</v>
      </c>
      <c r="F724" s="2200" t="str">
        <f t="shared" si="46"/>
        <v>19</v>
      </c>
      <c r="G724" s="2200" t="str">
        <f t="shared" si="47"/>
        <v>49755</v>
      </c>
      <c r="H724" s="2200">
        <f>--SUBTOTAL(3,C$2:C724)</f>
        <v>99</v>
      </c>
    </row>
    <row r="725" spans="1:8" hidden="1" x14ac:dyDescent="0.15">
      <c r="A725" s="2200" t="s">
        <v>10723</v>
      </c>
      <c r="B725" s="2200" t="s">
        <v>12164</v>
      </c>
      <c r="C725" s="2200" t="s">
        <v>12165</v>
      </c>
      <c r="D725" s="2200" t="str">
        <f t="shared" si="44"/>
        <v>IA</v>
      </c>
      <c r="E725" s="2200">
        <f t="shared" si="45"/>
        <v>16</v>
      </c>
      <c r="F725" s="2200" t="str">
        <f t="shared" si="46"/>
        <v>19</v>
      </c>
      <c r="G725" s="2200" t="str">
        <f t="shared" si="47"/>
        <v>50160</v>
      </c>
      <c r="H725" s="2200">
        <f>--SUBTOTAL(3,C$2:C725)</f>
        <v>99</v>
      </c>
    </row>
    <row r="726" spans="1:8" hidden="1" x14ac:dyDescent="0.15">
      <c r="A726" s="2200" t="s">
        <v>10723</v>
      </c>
      <c r="B726" s="2200" t="s">
        <v>12166</v>
      </c>
      <c r="C726" s="2200" t="s">
        <v>12167</v>
      </c>
      <c r="D726" s="2200" t="str">
        <f t="shared" si="44"/>
        <v>IA</v>
      </c>
      <c r="E726" s="2200">
        <f t="shared" si="45"/>
        <v>13</v>
      </c>
      <c r="F726" s="2200" t="str">
        <f t="shared" si="46"/>
        <v>19</v>
      </c>
      <c r="G726" s="2200" t="str">
        <f t="shared" si="47"/>
        <v>60465</v>
      </c>
      <c r="H726" s="2200">
        <f>--SUBTOTAL(3,C$2:C726)</f>
        <v>99</v>
      </c>
    </row>
    <row r="727" spans="1:8" hidden="1" x14ac:dyDescent="0.15">
      <c r="A727" s="2200" t="s">
        <v>10723</v>
      </c>
      <c r="B727" s="2200" t="s">
        <v>12168</v>
      </c>
      <c r="C727" s="2200" t="s">
        <v>12169</v>
      </c>
      <c r="D727" s="2200" t="str">
        <f t="shared" si="44"/>
        <v>IA</v>
      </c>
      <c r="E727" s="2200">
        <f t="shared" si="45"/>
        <v>16</v>
      </c>
      <c r="F727" s="2200" t="str">
        <f t="shared" si="46"/>
        <v>19</v>
      </c>
      <c r="G727" s="2200" t="str">
        <f t="shared" si="47"/>
        <v>73335</v>
      </c>
      <c r="H727" s="2200">
        <f>--SUBTOTAL(3,C$2:C727)</f>
        <v>99</v>
      </c>
    </row>
    <row r="728" spans="1:8" hidden="1" x14ac:dyDescent="0.15">
      <c r="A728" s="2200" t="s">
        <v>10723</v>
      </c>
      <c r="B728" s="2200" t="s">
        <v>12170</v>
      </c>
      <c r="C728" s="2200" t="s">
        <v>12171</v>
      </c>
      <c r="D728" s="2200" t="str">
        <f t="shared" si="44"/>
        <v>IA</v>
      </c>
      <c r="E728" s="2200">
        <f t="shared" si="45"/>
        <v>15</v>
      </c>
      <c r="F728" s="2200" t="str">
        <f t="shared" si="46"/>
        <v>19</v>
      </c>
      <c r="G728" s="2200" t="str">
        <f t="shared" si="47"/>
        <v>79950</v>
      </c>
      <c r="H728" s="2200">
        <f>--SUBTOTAL(3,C$2:C728)</f>
        <v>99</v>
      </c>
    </row>
    <row r="729" spans="1:8" hidden="1" x14ac:dyDescent="0.15">
      <c r="A729" s="2200" t="s">
        <v>10723</v>
      </c>
      <c r="B729" s="2200" t="s">
        <v>12172</v>
      </c>
      <c r="C729" s="2200" t="s">
        <v>12173</v>
      </c>
      <c r="D729" s="2200" t="str">
        <f t="shared" si="44"/>
        <v>IA</v>
      </c>
      <c r="E729" s="2200">
        <f t="shared" si="45"/>
        <v>14</v>
      </c>
      <c r="F729" s="2200" t="str">
        <f t="shared" si="46"/>
        <v>19</v>
      </c>
      <c r="G729" s="2200" t="str">
        <f t="shared" si="47"/>
        <v>82425</v>
      </c>
      <c r="H729" s="2200">
        <f>--SUBTOTAL(3,C$2:C729)</f>
        <v>99</v>
      </c>
    </row>
    <row r="730" spans="1:8" hidden="1" x14ac:dyDescent="0.15">
      <c r="A730" s="2200" t="s">
        <v>10723</v>
      </c>
      <c r="B730" s="2200" t="s">
        <v>12174</v>
      </c>
      <c r="C730" s="2200" t="s">
        <v>12175</v>
      </c>
      <c r="D730" s="2200" t="str">
        <f t="shared" si="44"/>
        <v>IA</v>
      </c>
      <c r="E730" s="2200">
        <f t="shared" si="45"/>
        <v>21</v>
      </c>
      <c r="F730" s="2200" t="str">
        <f t="shared" si="46"/>
        <v>19</v>
      </c>
      <c r="G730" s="2200" t="str">
        <f t="shared" si="47"/>
        <v>83910</v>
      </c>
      <c r="H730" s="2200">
        <f>--SUBTOTAL(3,C$2:C730)</f>
        <v>99</v>
      </c>
    </row>
    <row r="731" spans="1:8" hidden="1" x14ac:dyDescent="0.15">
      <c r="A731" s="2200" t="s">
        <v>10723</v>
      </c>
      <c r="B731" s="2200" t="s">
        <v>12176</v>
      </c>
      <c r="C731" s="2200" t="s">
        <v>12177</v>
      </c>
      <c r="D731" s="2200" t="str">
        <f t="shared" si="44"/>
        <v>ID</v>
      </c>
      <c r="E731" s="2200">
        <f t="shared" si="45"/>
        <v>16</v>
      </c>
      <c r="F731" s="2200" t="str">
        <f t="shared" si="46"/>
        <v>16</v>
      </c>
      <c r="G731" s="2200" t="str">
        <f t="shared" si="47"/>
        <v>08830</v>
      </c>
      <c r="H731" s="2200">
        <f>--SUBTOTAL(3,C$2:C731)</f>
        <v>99</v>
      </c>
    </row>
    <row r="732" spans="1:8" hidden="1" x14ac:dyDescent="0.15">
      <c r="A732" s="2200" t="s">
        <v>10723</v>
      </c>
      <c r="B732" s="2200" t="s">
        <v>12178</v>
      </c>
      <c r="C732" s="2200" t="s">
        <v>12179</v>
      </c>
      <c r="D732" s="2200" t="str">
        <f t="shared" si="44"/>
        <v>ID</v>
      </c>
      <c r="E732" s="2200">
        <f t="shared" si="45"/>
        <v>14</v>
      </c>
      <c r="F732" s="2200" t="str">
        <f t="shared" si="46"/>
        <v>16</v>
      </c>
      <c r="G732" s="2200" t="str">
        <f t="shared" si="47"/>
        <v>12250</v>
      </c>
      <c r="H732" s="2200">
        <f>--SUBTOTAL(3,C$2:C732)</f>
        <v>99</v>
      </c>
    </row>
    <row r="733" spans="1:8" hidden="1" x14ac:dyDescent="0.15">
      <c r="A733" s="2200" t="s">
        <v>10723</v>
      </c>
      <c r="B733" s="2200" t="s">
        <v>12180</v>
      </c>
      <c r="C733" s="2200" t="s">
        <v>12181</v>
      </c>
      <c r="D733" s="2200" t="str">
        <f t="shared" si="44"/>
        <v>ID</v>
      </c>
      <c r="E733" s="2200">
        <f t="shared" si="45"/>
        <v>19</v>
      </c>
      <c r="F733" s="2200" t="str">
        <f t="shared" si="46"/>
        <v>16</v>
      </c>
      <c r="G733" s="2200" t="str">
        <f t="shared" si="47"/>
        <v>16750</v>
      </c>
      <c r="H733" s="2200">
        <f>--SUBTOTAL(3,C$2:C733)</f>
        <v>99</v>
      </c>
    </row>
    <row r="734" spans="1:8" hidden="1" x14ac:dyDescent="0.15">
      <c r="A734" s="2200" t="s">
        <v>10723</v>
      </c>
      <c r="B734" s="2200" t="s">
        <v>12182</v>
      </c>
      <c r="C734" s="2200" t="s">
        <v>12183</v>
      </c>
      <c r="D734" s="2200" t="str">
        <f t="shared" si="44"/>
        <v>ID</v>
      </c>
      <c r="E734" s="2200">
        <f t="shared" si="45"/>
        <v>11</v>
      </c>
      <c r="F734" s="2200" t="str">
        <f t="shared" si="46"/>
        <v>16</v>
      </c>
      <c r="G734" s="2200" t="str">
        <f t="shared" si="47"/>
        <v>23410</v>
      </c>
      <c r="H734" s="2200">
        <f>--SUBTOTAL(3,C$2:C734)</f>
        <v>99</v>
      </c>
    </row>
    <row r="735" spans="1:8" hidden="1" x14ac:dyDescent="0.15">
      <c r="A735" s="2200" t="s">
        <v>10723</v>
      </c>
      <c r="B735" s="2200" t="s">
        <v>12184</v>
      </c>
      <c r="C735" s="2200" t="s">
        <v>12185</v>
      </c>
      <c r="D735" s="2200" t="str">
        <f t="shared" si="44"/>
        <v>ID</v>
      </c>
      <c r="E735" s="2200">
        <f t="shared" si="45"/>
        <v>17</v>
      </c>
      <c r="F735" s="2200" t="str">
        <f t="shared" si="46"/>
        <v>16</v>
      </c>
      <c r="G735" s="2200" t="str">
        <f t="shared" si="47"/>
        <v>39700</v>
      </c>
      <c r="H735" s="2200">
        <f>--SUBTOTAL(3,C$2:C735)</f>
        <v>99</v>
      </c>
    </row>
    <row r="736" spans="1:8" hidden="1" x14ac:dyDescent="0.15">
      <c r="A736" s="2200" t="s">
        <v>11443</v>
      </c>
      <c r="B736" s="2200" t="s">
        <v>12186</v>
      </c>
      <c r="C736" s="2200" t="s">
        <v>12187</v>
      </c>
      <c r="D736" s="2200" t="str">
        <f t="shared" si="44"/>
        <v>ID</v>
      </c>
      <c r="E736" s="2200">
        <f t="shared" si="45"/>
        <v>12</v>
      </c>
      <c r="F736" s="2200" t="str">
        <f t="shared" si="46"/>
        <v>16</v>
      </c>
      <c r="G736" s="2200" t="str">
        <f t="shared" si="47"/>
        <v>81460</v>
      </c>
      <c r="H736" s="2200">
        <f>--SUBTOTAL(3,C$2:C736)</f>
        <v>99</v>
      </c>
    </row>
    <row r="737" spans="1:8" hidden="1" x14ac:dyDescent="0.15">
      <c r="A737" s="2200" t="s">
        <v>10723</v>
      </c>
      <c r="B737" s="2200" t="s">
        <v>12188</v>
      </c>
      <c r="C737" s="2200" t="s">
        <v>12189</v>
      </c>
      <c r="D737" s="2200" t="str">
        <f t="shared" si="44"/>
        <v>ID</v>
      </c>
      <c r="E737" s="2200">
        <f t="shared" si="45"/>
        <v>14</v>
      </c>
      <c r="F737" s="2200" t="str">
        <f t="shared" si="46"/>
        <v>16</v>
      </c>
      <c r="G737" s="2200" t="str">
        <f t="shared" si="47"/>
        <v>46540</v>
      </c>
      <c r="H737" s="2200">
        <f>--SUBTOTAL(3,C$2:C737)</f>
        <v>99</v>
      </c>
    </row>
    <row r="738" spans="1:8" hidden="1" x14ac:dyDescent="0.15">
      <c r="A738" s="2200" t="s">
        <v>10723</v>
      </c>
      <c r="B738" s="2200" t="s">
        <v>12190</v>
      </c>
      <c r="C738" s="2200" t="s">
        <v>12191</v>
      </c>
      <c r="D738" s="2200" t="str">
        <f t="shared" si="44"/>
        <v>ID</v>
      </c>
      <c r="E738" s="2200">
        <f t="shared" si="45"/>
        <v>14</v>
      </c>
      <c r="F738" s="2200" t="str">
        <f t="shared" si="46"/>
        <v>16</v>
      </c>
      <c r="G738" s="2200" t="str">
        <f t="shared" si="47"/>
        <v>52120</v>
      </c>
      <c r="H738" s="2200">
        <f>--SUBTOTAL(3,C$2:C738)</f>
        <v>99</v>
      </c>
    </row>
    <row r="739" spans="1:8" hidden="1" x14ac:dyDescent="0.15">
      <c r="A739" s="2200" t="s">
        <v>10723</v>
      </c>
      <c r="B739" s="2200" t="s">
        <v>12192</v>
      </c>
      <c r="C739" s="2200" t="s">
        <v>12193</v>
      </c>
      <c r="D739" s="2200" t="str">
        <f t="shared" si="44"/>
        <v>ID</v>
      </c>
      <c r="E739" s="2200">
        <f t="shared" si="45"/>
        <v>12</v>
      </c>
      <c r="F739" s="2200" t="str">
        <f t="shared" si="46"/>
        <v>16</v>
      </c>
      <c r="G739" s="2200" t="str">
        <f t="shared" si="47"/>
        <v>54550</v>
      </c>
      <c r="H739" s="2200">
        <f>--SUBTOTAL(3,C$2:C739)</f>
        <v>99</v>
      </c>
    </row>
    <row r="740" spans="1:8" hidden="1" x14ac:dyDescent="0.15">
      <c r="A740" s="2200" t="s">
        <v>10723</v>
      </c>
      <c r="B740" s="2200" t="s">
        <v>12194</v>
      </c>
      <c r="C740" s="2200" t="s">
        <v>12195</v>
      </c>
      <c r="D740" s="2200" t="str">
        <f t="shared" si="44"/>
        <v>ID</v>
      </c>
      <c r="E740" s="2200">
        <f t="shared" si="45"/>
        <v>11</v>
      </c>
      <c r="F740" s="2200" t="str">
        <f t="shared" si="46"/>
        <v>16</v>
      </c>
      <c r="G740" s="2200" t="str">
        <f t="shared" si="47"/>
        <v>56260</v>
      </c>
      <c r="H740" s="2200">
        <f>--SUBTOTAL(3,C$2:C740)</f>
        <v>99</v>
      </c>
    </row>
    <row r="741" spans="1:8" hidden="1" x14ac:dyDescent="0.15">
      <c r="A741" s="2200" t="s">
        <v>10723</v>
      </c>
      <c r="B741" s="2200" t="s">
        <v>12196</v>
      </c>
      <c r="C741" s="2200" t="s">
        <v>12197</v>
      </c>
      <c r="D741" s="2200" t="str">
        <f t="shared" si="44"/>
        <v>ID</v>
      </c>
      <c r="E741" s="2200">
        <f t="shared" si="45"/>
        <v>15</v>
      </c>
      <c r="F741" s="2200" t="str">
        <f t="shared" si="46"/>
        <v>16</v>
      </c>
      <c r="G741" s="2200" t="str">
        <f t="shared" si="47"/>
        <v>64090</v>
      </c>
      <c r="H741" s="2200">
        <f>--SUBTOTAL(3,C$2:C741)</f>
        <v>99</v>
      </c>
    </row>
    <row r="742" spans="1:8" hidden="1" x14ac:dyDescent="0.15">
      <c r="A742" s="2200" t="s">
        <v>10723</v>
      </c>
      <c r="B742" s="2200" t="s">
        <v>12198</v>
      </c>
      <c r="C742" s="2200" t="s">
        <v>12199</v>
      </c>
      <c r="D742" s="2200" t="str">
        <f t="shared" si="44"/>
        <v>ID</v>
      </c>
      <c r="E742" s="2200">
        <f t="shared" si="45"/>
        <v>16</v>
      </c>
      <c r="F742" s="2200" t="str">
        <f t="shared" si="46"/>
        <v>16</v>
      </c>
      <c r="G742" s="2200" t="str">
        <f t="shared" si="47"/>
        <v>64810</v>
      </c>
      <c r="H742" s="2200">
        <f>--SUBTOTAL(3,C$2:C742)</f>
        <v>99</v>
      </c>
    </row>
    <row r="743" spans="1:8" hidden="1" x14ac:dyDescent="0.15">
      <c r="A743" s="2200" t="s">
        <v>10723</v>
      </c>
      <c r="B743" s="2200" t="s">
        <v>12200</v>
      </c>
      <c r="C743" s="2200" t="s">
        <v>12201</v>
      </c>
      <c r="D743" s="2200" t="str">
        <f t="shared" si="44"/>
        <v>ID</v>
      </c>
      <c r="E743" s="2200">
        <f t="shared" si="45"/>
        <v>13</v>
      </c>
      <c r="F743" s="2200" t="str">
        <f t="shared" si="46"/>
        <v>16</v>
      </c>
      <c r="G743" s="2200" t="str">
        <f t="shared" si="47"/>
        <v>67420</v>
      </c>
      <c r="H743" s="2200">
        <f>--SUBTOTAL(3,C$2:C743)</f>
        <v>99</v>
      </c>
    </row>
    <row r="744" spans="1:8" hidden="1" x14ac:dyDescent="0.15">
      <c r="A744" s="2200" t="s">
        <v>10723</v>
      </c>
      <c r="B744" s="2200" t="s">
        <v>12202</v>
      </c>
      <c r="C744" s="2200" t="s">
        <v>12203</v>
      </c>
      <c r="D744" s="2200" t="str">
        <f t="shared" si="44"/>
        <v>ID</v>
      </c>
      <c r="E744" s="2200">
        <f t="shared" si="45"/>
        <v>16</v>
      </c>
      <c r="F744" s="2200" t="str">
        <f t="shared" si="46"/>
        <v>16</v>
      </c>
      <c r="G744" s="2200" t="str">
        <f t="shared" si="47"/>
        <v>82810</v>
      </c>
      <c r="H744" s="2200">
        <f>--SUBTOTAL(3,C$2:C744)</f>
        <v>99</v>
      </c>
    </row>
    <row r="745" spans="1:8" hidden="1" x14ac:dyDescent="0.15">
      <c r="A745" s="2200" t="s">
        <v>10723</v>
      </c>
      <c r="B745" s="2200" t="s">
        <v>12204</v>
      </c>
      <c r="C745" s="2200" t="s">
        <v>12205</v>
      </c>
      <c r="D745" s="2200" t="str">
        <f t="shared" si="44"/>
        <v>IL</v>
      </c>
      <c r="E745" s="2200">
        <f t="shared" si="45"/>
        <v>16</v>
      </c>
      <c r="F745" s="2200" t="str">
        <f t="shared" si="46"/>
        <v>17</v>
      </c>
      <c r="G745" s="2200" t="str">
        <f t="shared" si="47"/>
        <v>00243</v>
      </c>
      <c r="H745" s="2200">
        <f>--SUBTOTAL(3,C$2:C745)</f>
        <v>99</v>
      </c>
    </row>
    <row r="746" spans="1:8" hidden="1" x14ac:dyDescent="0.15">
      <c r="A746" s="2200" t="s">
        <v>10723</v>
      </c>
      <c r="B746" s="2200" t="s">
        <v>12206</v>
      </c>
      <c r="C746" s="2200" t="s">
        <v>12207</v>
      </c>
      <c r="D746" s="2200" t="str">
        <f t="shared" si="44"/>
        <v>IL</v>
      </c>
      <c r="E746" s="2200">
        <f t="shared" si="45"/>
        <v>18</v>
      </c>
      <c r="F746" s="2200" t="str">
        <f t="shared" si="46"/>
        <v>17</v>
      </c>
      <c r="G746" s="2200" t="str">
        <f t="shared" si="47"/>
        <v>00685</v>
      </c>
      <c r="H746" s="2200">
        <f>--SUBTOTAL(3,C$2:C746)</f>
        <v>99</v>
      </c>
    </row>
    <row r="747" spans="1:8" hidden="1" x14ac:dyDescent="0.15">
      <c r="A747" s="2200" t="s">
        <v>10723</v>
      </c>
      <c r="B747" s="2200" t="s">
        <v>12208</v>
      </c>
      <c r="C747" s="2200" t="s">
        <v>12209</v>
      </c>
      <c r="D747" s="2200" t="str">
        <f t="shared" si="44"/>
        <v>IL</v>
      </c>
      <c r="E747" s="2200">
        <f t="shared" si="45"/>
        <v>11</v>
      </c>
      <c r="F747" s="2200" t="str">
        <f t="shared" si="46"/>
        <v>17</v>
      </c>
      <c r="G747" s="2200" t="str">
        <f t="shared" si="47"/>
        <v>01114</v>
      </c>
      <c r="H747" s="2200">
        <f>--SUBTOTAL(3,C$2:C747)</f>
        <v>99</v>
      </c>
    </row>
    <row r="748" spans="1:8" hidden="1" x14ac:dyDescent="0.15">
      <c r="A748" s="2200" t="s">
        <v>10723</v>
      </c>
      <c r="B748" s="2200" t="s">
        <v>12210</v>
      </c>
      <c r="C748" s="2200" t="s">
        <v>12211</v>
      </c>
      <c r="D748" s="2200" t="str">
        <f t="shared" si="44"/>
        <v>IL</v>
      </c>
      <c r="E748" s="2200">
        <f t="shared" si="45"/>
        <v>26</v>
      </c>
      <c r="F748" s="2200" t="str">
        <f t="shared" si="46"/>
        <v>17</v>
      </c>
      <c r="G748" s="2200" t="str">
        <f t="shared" si="47"/>
        <v>02154</v>
      </c>
      <c r="H748" s="2200">
        <f>--SUBTOTAL(3,C$2:C748)</f>
        <v>99</v>
      </c>
    </row>
    <row r="749" spans="1:8" hidden="1" x14ac:dyDescent="0.15">
      <c r="A749" s="2200" t="s">
        <v>10723</v>
      </c>
      <c r="B749" s="2200" t="s">
        <v>12212</v>
      </c>
      <c r="C749" s="2200" t="s">
        <v>12213</v>
      </c>
      <c r="D749" s="2200" t="str">
        <f t="shared" si="44"/>
        <v>IL</v>
      </c>
      <c r="E749" s="2200">
        <f t="shared" si="45"/>
        <v>12</v>
      </c>
      <c r="F749" s="2200" t="str">
        <f t="shared" si="46"/>
        <v>17</v>
      </c>
      <c r="G749" s="2200" t="str">
        <f t="shared" si="47"/>
        <v>03012</v>
      </c>
      <c r="H749" s="2200">
        <f>--SUBTOTAL(3,C$2:C749)</f>
        <v>99</v>
      </c>
    </row>
    <row r="750" spans="1:8" hidden="1" x14ac:dyDescent="0.15">
      <c r="A750" s="2200" t="s">
        <v>10723</v>
      </c>
      <c r="B750" s="2200" t="s">
        <v>12214</v>
      </c>
      <c r="C750" s="2200" t="s">
        <v>12215</v>
      </c>
      <c r="D750" s="2200" t="str">
        <f t="shared" si="44"/>
        <v>IL</v>
      </c>
      <c r="E750" s="2200">
        <f t="shared" si="45"/>
        <v>17</v>
      </c>
      <c r="F750" s="2200" t="str">
        <f t="shared" si="46"/>
        <v>17</v>
      </c>
      <c r="G750" s="2200" t="str">
        <f t="shared" si="47"/>
        <v>04013</v>
      </c>
      <c r="H750" s="2200">
        <f>--SUBTOTAL(3,C$2:C750)</f>
        <v>99</v>
      </c>
    </row>
    <row r="751" spans="1:8" hidden="1" x14ac:dyDescent="0.15">
      <c r="A751" s="2200" t="s">
        <v>10723</v>
      </c>
      <c r="B751" s="2200" t="s">
        <v>12216</v>
      </c>
      <c r="C751" s="2200" t="s">
        <v>12217</v>
      </c>
      <c r="D751" s="2200" t="str">
        <f t="shared" si="44"/>
        <v>IL</v>
      </c>
      <c r="E751" s="2200">
        <f t="shared" si="45"/>
        <v>13</v>
      </c>
      <c r="F751" s="2200" t="str">
        <f t="shared" si="46"/>
        <v>17</v>
      </c>
      <c r="G751" s="2200" t="str">
        <f t="shared" si="47"/>
        <v>04078</v>
      </c>
      <c r="H751" s="2200">
        <f>--SUBTOTAL(3,C$2:C751)</f>
        <v>99</v>
      </c>
    </row>
    <row r="752" spans="1:8" hidden="1" x14ac:dyDescent="0.15">
      <c r="A752" s="2200" t="s">
        <v>10723</v>
      </c>
      <c r="B752" s="2200" t="s">
        <v>12218</v>
      </c>
      <c r="C752" s="2200" t="s">
        <v>12219</v>
      </c>
      <c r="D752" s="2200" t="str">
        <f t="shared" si="44"/>
        <v>IL</v>
      </c>
      <c r="E752" s="2200">
        <f t="shared" si="45"/>
        <v>16</v>
      </c>
      <c r="F752" s="2200" t="str">
        <f t="shared" si="46"/>
        <v>17</v>
      </c>
      <c r="G752" s="2200" t="str">
        <f t="shared" si="47"/>
        <v>04845</v>
      </c>
      <c r="H752" s="2200">
        <f>--SUBTOTAL(3,C$2:C752)</f>
        <v>99</v>
      </c>
    </row>
    <row r="753" spans="1:8" hidden="1" x14ac:dyDescent="0.15">
      <c r="A753" s="2200" t="s">
        <v>10723</v>
      </c>
      <c r="B753" s="2200" t="s">
        <v>12220</v>
      </c>
      <c r="C753" s="2200" t="s">
        <v>12221</v>
      </c>
      <c r="D753" s="2200" t="str">
        <f t="shared" si="44"/>
        <v>IL</v>
      </c>
      <c r="E753" s="2200">
        <f t="shared" si="45"/>
        <v>15</v>
      </c>
      <c r="F753" s="2200" t="str">
        <f t="shared" si="46"/>
        <v>17</v>
      </c>
      <c r="G753" s="2200" t="str">
        <f t="shared" si="47"/>
        <v>05092</v>
      </c>
      <c r="H753" s="2200">
        <f>--SUBTOTAL(3,C$2:C753)</f>
        <v>99</v>
      </c>
    </row>
    <row r="754" spans="1:8" hidden="1" x14ac:dyDescent="0.15">
      <c r="A754" s="2200" t="s">
        <v>10723</v>
      </c>
      <c r="B754" s="2200" t="s">
        <v>12222</v>
      </c>
      <c r="C754" s="2200" t="s">
        <v>12223</v>
      </c>
      <c r="D754" s="2200" t="str">
        <f t="shared" si="44"/>
        <v>IL</v>
      </c>
      <c r="E754" s="2200">
        <f t="shared" si="45"/>
        <v>12</v>
      </c>
      <c r="F754" s="2200" t="str">
        <f t="shared" si="46"/>
        <v>17</v>
      </c>
      <c r="G754" s="2200" t="str">
        <f t="shared" si="47"/>
        <v>05573</v>
      </c>
      <c r="H754" s="2200">
        <f>--SUBTOTAL(3,C$2:C754)</f>
        <v>99</v>
      </c>
    </row>
    <row r="755" spans="1:8" hidden="1" x14ac:dyDescent="0.15">
      <c r="A755" s="2200" t="s">
        <v>10723</v>
      </c>
      <c r="B755" s="2200" t="s">
        <v>12224</v>
      </c>
      <c r="C755" s="2200" t="s">
        <v>12225</v>
      </c>
      <c r="D755" s="2200" t="str">
        <f t="shared" si="44"/>
        <v>IL</v>
      </c>
      <c r="E755" s="2200">
        <f t="shared" si="45"/>
        <v>17</v>
      </c>
      <c r="F755" s="2200" t="str">
        <f t="shared" si="46"/>
        <v>17</v>
      </c>
      <c r="G755" s="2200" t="str">
        <f t="shared" si="47"/>
        <v>06613</v>
      </c>
      <c r="H755" s="2200">
        <f>--SUBTOTAL(3,C$2:C755)</f>
        <v>99</v>
      </c>
    </row>
    <row r="756" spans="1:8" hidden="1" x14ac:dyDescent="0.15">
      <c r="A756" s="2200" t="s">
        <v>10723</v>
      </c>
      <c r="B756" s="2200" t="s">
        <v>12226</v>
      </c>
      <c r="C756" s="2200" t="s">
        <v>12227</v>
      </c>
      <c r="D756" s="2200" t="str">
        <f t="shared" si="44"/>
        <v>IL</v>
      </c>
      <c r="E756" s="2200">
        <f t="shared" si="45"/>
        <v>20</v>
      </c>
      <c r="F756" s="2200" t="str">
        <f t="shared" si="46"/>
        <v>17</v>
      </c>
      <c r="G756" s="2200" t="str">
        <f t="shared" si="47"/>
        <v>07133</v>
      </c>
      <c r="H756" s="2200">
        <f>--SUBTOTAL(3,C$2:C756)</f>
        <v>99</v>
      </c>
    </row>
    <row r="757" spans="1:8" hidden="1" x14ac:dyDescent="0.15">
      <c r="A757" s="2200" t="s">
        <v>10723</v>
      </c>
      <c r="B757" s="2200" t="s">
        <v>12228</v>
      </c>
      <c r="C757" s="2200" t="s">
        <v>12229</v>
      </c>
      <c r="D757" s="2200" t="str">
        <f t="shared" si="44"/>
        <v>IL</v>
      </c>
      <c r="E757" s="2200">
        <f t="shared" si="45"/>
        <v>22</v>
      </c>
      <c r="F757" s="2200" t="str">
        <f t="shared" si="46"/>
        <v>17</v>
      </c>
      <c r="G757" s="2200" t="str">
        <f t="shared" si="47"/>
        <v>09447</v>
      </c>
      <c r="H757" s="2200">
        <f>--SUBTOTAL(3,C$2:C757)</f>
        <v>99</v>
      </c>
    </row>
    <row r="758" spans="1:8" hidden="1" x14ac:dyDescent="0.15">
      <c r="A758" s="2200" t="s">
        <v>10723</v>
      </c>
      <c r="B758" s="2200" t="s">
        <v>12230</v>
      </c>
      <c r="C758" s="2200" t="s">
        <v>12231</v>
      </c>
      <c r="D758" s="2200" t="str">
        <f t="shared" si="44"/>
        <v>IL</v>
      </c>
      <c r="E758" s="2200">
        <f t="shared" si="45"/>
        <v>13</v>
      </c>
      <c r="F758" s="2200" t="str">
        <f t="shared" si="46"/>
        <v>17</v>
      </c>
      <c r="G758" s="2200" t="str">
        <f t="shared" si="47"/>
        <v>09642</v>
      </c>
      <c r="H758" s="2200">
        <f>--SUBTOTAL(3,C$2:C758)</f>
        <v>99</v>
      </c>
    </row>
    <row r="759" spans="1:8" hidden="1" x14ac:dyDescent="0.15">
      <c r="A759" s="2200" t="s">
        <v>10723</v>
      </c>
      <c r="B759" s="2200" t="s">
        <v>12232</v>
      </c>
      <c r="C759" s="2200" t="s">
        <v>12233</v>
      </c>
      <c r="D759" s="2200" t="str">
        <f t="shared" si="44"/>
        <v>IL</v>
      </c>
      <c r="E759" s="2200">
        <f t="shared" si="45"/>
        <v>18</v>
      </c>
      <c r="F759" s="2200" t="str">
        <f t="shared" si="46"/>
        <v>17</v>
      </c>
      <c r="G759" s="2200" t="str">
        <f t="shared" si="47"/>
        <v>10487</v>
      </c>
      <c r="H759" s="2200">
        <f>--SUBTOTAL(3,C$2:C759)</f>
        <v>99</v>
      </c>
    </row>
    <row r="760" spans="1:8" hidden="1" x14ac:dyDescent="0.15">
      <c r="A760" s="2200" t="s">
        <v>10723</v>
      </c>
      <c r="B760" s="2200" t="s">
        <v>12234</v>
      </c>
      <c r="C760" s="2200" t="s">
        <v>12235</v>
      </c>
      <c r="D760" s="2200" t="str">
        <f t="shared" si="44"/>
        <v>IL</v>
      </c>
      <c r="E760" s="2200">
        <f t="shared" si="45"/>
        <v>16</v>
      </c>
      <c r="F760" s="2200" t="str">
        <f t="shared" si="46"/>
        <v>17</v>
      </c>
      <c r="G760" s="2200" t="str">
        <f t="shared" si="47"/>
        <v>11163</v>
      </c>
      <c r="H760" s="2200">
        <f>--SUBTOTAL(3,C$2:C760)</f>
        <v>99</v>
      </c>
    </row>
    <row r="761" spans="1:8" hidden="1" x14ac:dyDescent="0.15">
      <c r="A761" s="2200" t="s">
        <v>10723</v>
      </c>
      <c r="B761" s="2200" t="s">
        <v>12236</v>
      </c>
      <c r="C761" s="2200" t="s">
        <v>12237</v>
      </c>
      <c r="D761" s="2200" t="str">
        <f t="shared" si="44"/>
        <v>IL</v>
      </c>
      <c r="E761" s="2200">
        <f t="shared" si="45"/>
        <v>21</v>
      </c>
      <c r="F761" s="2200" t="str">
        <f t="shared" si="46"/>
        <v>17</v>
      </c>
      <c r="G761" s="2200" t="str">
        <f t="shared" si="47"/>
        <v>11332</v>
      </c>
      <c r="H761" s="2200">
        <f>--SUBTOTAL(3,C$2:C761)</f>
        <v>99</v>
      </c>
    </row>
    <row r="762" spans="1:8" hidden="1" x14ac:dyDescent="0.15">
      <c r="A762" s="2200" t="s">
        <v>10723</v>
      </c>
      <c r="B762" s="2200" t="s">
        <v>12238</v>
      </c>
      <c r="C762" s="2200" t="s">
        <v>12239</v>
      </c>
      <c r="D762" s="2200" t="str">
        <f t="shared" si="44"/>
        <v>IL</v>
      </c>
      <c r="E762" s="2200">
        <f t="shared" si="45"/>
        <v>24</v>
      </c>
      <c r="F762" s="2200" t="str">
        <f t="shared" si="46"/>
        <v>17</v>
      </c>
      <c r="G762" s="2200" t="str">
        <f t="shared" si="47"/>
        <v>11358</v>
      </c>
      <c r="H762" s="2200">
        <f>--SUBTOTAL(3,C$2:C762)</f>
        <v>99</v>
      </c>
    </row>
    <row r="763" spans="1:8" hidden="1" x14ac:dyDescent="0.15">
      <c r="A763" s="2200" t="s">
        <v>10723</v>
      </c>
      <c r="B763" s="2200" t="s">
        <v>12240</v>
      </c>
      <c r="C763" s="2200" t="s">
        <v>12241</v>
      </c>
      <c r="D763" s="2200" t="str">
        <f t="shared" si="44"/>
        <v>IL</v>
      </c>
      <c r="E763" s="2200">
        <f t="shared" si="45"/>
        <v>15</v>
      </c>
      <c r="F763" s="2200" t="str">
        <f t="shared" si="46"/>
        <v>17</v>
      </c>
      <c r="G763" s="2200" t="str">
        <f t="shared" si="47"/>
        <v>12385</v>
      </c>
      <c r="H763" s="2200">
        <f>--SUBTOTAL(3,C$2:C763)</f>
        <v>99</v>
      </c>
    </row>
    <row r="764" spans="1:8" hidden="1" x14ac:dyDescent="0.15">
      <c r="A764" s="2200" t="s">
        <v>10723</v>
      </c>
      <c r="B764" s="2200" t="s">
        <v>12242</v>
      </c>
      <c r="C764" s="2200" t="s">
        <v>12243</v>
      </c>
      <c r="D764" s="2200" t="str">
        <f t="shared" si="44"/>
        <v>IL</v>
      </c>
      <c r="E764" s="2200">
        <f t="shared" si="45"/>
        <v>13</v>
      </c>
      <c r="F764" s="2200" t="str">
        <f t="shared" si="46"/>
        <v>17</v>
      </c>
      <c r="G764" s="2200" t="str">
        <f t="shared" si="47"/>
        <v>14000</v>
      </c>
      <c r="H764" s="2200">
        <f>--SUBTOTAL(3,C$2:C764)</f>
        <v>99</v>
      </c>
    </row>
    <row r="765" spans="1:8" hidden="1" x14ac:dyDescent="0.15">
      <c r="A765" s="2200" t="s">
        <v>10723</v>
      </c>
      <c r="B765" s="2200" t="s">
        <v>12244</v>
      </c>
      <c r="C765" s="2200" t="s">
        <v>12245</v>
      </c>
      <c r="D765" s="2200" t="str">
        <f t="shared" si="44"/>
        <v>IL</v>
      </c>
      <c r="E765" s="2200">
        <f t="shared" si="45"/>
        <v>21</v>
      </c>
      <c r="F765" s="2200" t="str">
        <f t="shared" si="46"/>
        <v>17</v>
      </c>
      <c r="G765" s="2200" t="str">
        <f t="shared" si="47"/>
        <v>14026</v>
      </c>
      <c r="H765" s="2200">
        <f>--SUBTOTAL(3,C$2:C765)</f>
        <v>99</v>
      </c>
    </row>
    <row r="766" spans="1:8" hidden="1" x14ac:dyDescent="0.15">
      <c r="A766" s="2200" t="s">
        <v>10723</v>
      </c>
      <c r="B766" s="2200" t="s">
        <v>12246</v>
      </c>
      <c r="C766" s="2200" t="s">
        <v>12247</v>
      </c>
      <c r="D766" s="2200" t="str">
        <f t="shared" si="44"/>
        <v>IL</v>
      </c>
      <c r="E766" s="2200">
        <f t="shared" si="45"/>
        <v>12</v>
      </c>
      <c r="F766" s="2200" t="str">
        <f t="shared" si="46"/>
        <v>17</v>
      </c>
      <c r="G766" s="2200" t="str">
        <f t="shared" si="47"/>
        <v>14351</v>
      </c>
      <c r="H766" s="2200">
        <f>--SUBTOTAL(3,C$2:C766)</f>
        <v>99</v>
      </c>
    </row>
    <row r="767" spans="1:8" hidden="1" x14ac:dyDescent="0.15">
      <c r="A767" s="2200" t="s">
        <v>10723</v>
      </c>
      <c r="B767" s="2200" t="s">
        <v>12248</v>
      </c>
      <c r="C767" s="2200" t="s">
        <v>12249</v>
      </c>
      <c r="D767" s="2200" t="str">
        <f t="shared" si="44"/>
        <v>IL</v>
      </c>
      <c r="E767" s="2200">
        <f t="shared" si="45"/>
        <v>18</v>
      </c>
      <c r="F767" s="2200" t="str">
        <f t="shared" si="46"/>
        <v>17</v>
      </c>
      <c r="G767" s="2200" t="str">
        <f t="shared" si="47"/>
        <v>15599</v>
      </c>
      <c r="H767" s="2200">
        <f>--SUBTOTAL(3,C$2:C767)</f>
        <v>99</v>
      </c>
    </row>
    <row r="768" spans="1:8" hidden="1" x14ac:dyDescent="0.15">
      <c r="A768" s="2200" t="s">
        <v>10723</v>
      </c>
      <c r="B768" s="2200" t="s">
        <v>12250</v>
      </c>
      <c r="C768" s="2200" t="s">
        <v>12251</v>
      </c>
      <c r="D768" s="2200" t="str">
        <f t="shared" si="44"/>
        <v>IL</v>
      </c>
      <c r="E768" s="2200">
        <f t="shared" si="45"/>
        <v>18</v>
      </c>
      <c r="F768" s="2200" t="str">
        <f t="shared" si="46"/>
        <v>17</v>
      </c>
      <c r="G768" s="2200" t="str">
        <f t="shared" si="47"/>
        <v>17887</v>
      </c>
      <c r="H768" s="2200">
        <f>--SUBTOTAL(3,C$2:C768)</f>
        <v>99</v>
      </c>
    </row>
    <row r="769" spans="1:8" hidden="1" x14ac:dyDescent="0.15">
      <c r="A769" s="2200" t="s">
        <v>10723</v>
      </c>
      <c r="B769" s="2200" t="s">
        <v>12252</v>
      </c>
      <c r="C769" s="2200" t="s">
        <v>12253</v>
      </c>
      <c r="D769" s="2200" t="str">
        <f t="shared" si="44"/>
        <v>IL</v>
      </c>
      <c r="E769" s="2200">
        <f t="shared" si="45"/>
        <v>14</v>
      </c>
      <c r="F769" s="2200" t="str">
        <f t="shared" si="46"/>
        <v>17</v>
      </c>
      <c r="G769" s="2200" t="str">
        <f t="shared" si="47"/>
        <v>18563</v>
      </c>
      <c r="H769" s="2200">
        <f>--SUBTOTAL(3,C$2:C769)</f>
        <v>99</v>
      </c>
    </row>
    <row r="770" spans="1:8" hidden="1" x14ac:dyDescent="0.15">
      <c r="A770" s="2200" t="s">
        <v>10723</v>
      </c>
      <c r="B770" s="2200" t="s">
        <v>12254</v>
      </c>
      <c r="C770" s="2200" t="s">
        <v>12255</v>
      </c>
      <c r="D770" s="2200" t="str">
        <f t="shared" ref="D770:D833" si="48">MID(C770,E770+2,2)</f>
        <v>IL</v>
      </c>
      <c r="E770" s="2200">
        <f t="shared" ref="E770:E833" si="49">FIND(",",C770)</f>
        <v>13</v>
      </c>
      <c r="F770" s="2200" t="str">
        <f t="shared" si="46"/>
        <v>17</v>
      </c>
      <c r="G770" s="2200" t="str">
        <f t="shared" si="47"/>
        <v>18823</v>
      </c>
      <c r="H770" s="2200">
        <f>--SUBTOTAL(3,C$2:C770)</f>
        <v>99</v>
      </c>
    </row>
    <row r="771" spans="1:8" hidden="1" x14ac:dyDescent="0.15">
      <c r="A771" s="2200" t="s">
        <v>10723</v>
      </c>
      <c r="B771" s="2200" t="s">
        <v>12256</v>
      </c>
      <c r="C771" s="2200" t="s">
        <v>12257</v>
      </c>
      <c r="D771" s="2200" t="str">
        <f t="shared" si="48"/>
        <v>IL</v>
      </c>
      <c r="E771" s="2200">
        <f t="shared" si="49"/>
        <v>12</v>
      </c>
      <c r="F771" s="2200" t="str">
        <f t="shared" ref="F771:F834" si="50">MID(B771,3,2)</f>
        <v>17</v>
      </c>
      <c r="G771" s="2200" t="str">
        <f t="shared" ref="G771:G834" si="51">MID(B771,5,5)</f>
        <v>19161</v>
      </c>
      <c r="H771" s="2200">
        <f>--SUBTOTAL(3,C$2:C771)</f>
        <v>99</v>
      </c>
    </row>
    <row r="772" spans="1:8" hidden="1" x14ac:dyDescent="0.15">
      <c r="A772" s="2200" t="s">
        <v>10723</v>
      </c>
      <c r="B772" s="2200" t="s">
        <v>12258</v>
      </c>
      <c r="C772" s="2200" t="s">
        <v>12259</v>
      </c>
      <c r="D772" s="2200" t="str">
        <f t="shared" si="48"/>
        <v>IL</v>
      </c>
      <c r="E772" s="2200">
        <f t="shared" si="49"/>
        <v>17</v>
      </c>
      <c r="F772" s="2200" t="str">
        <f t="shared" si="50"/>
        <v>17</v>
      </c>
      <c r="G772" s="2200" t="str">
        <f t="shared" si="51"/>
        <v>19642</v>
      </c>
      <c r="H772" s="2200">
        <f>--SUBTOTAL(3,C$2:C772)</f>
        <v>99</v>
      </c>
    </row>
    <row r="773" spans="1:8" hidden="1" x14ac:dyDescent="0.15">
      <c r="A773" s="2200" t="s">
        <v>10723</v>
      </c>
      <c r="B773" s="2200" t="s">
        <v>12260</v>
      </c>
      <c r="C773" s="2200" t="s">
        <v>12261</v>
      </c>
      <c r="D773" s="2200" t="str">
        <f t="shared" si="48"/>
        <v>IL</v>
      </c>
      <c r="E773" s="2200">
        <f t="shared" si="49"/>
        <v>15</v>
      </c>
      <c r="F773" s="2200" t="str">
        <f t="shared" si="50"/>
        <v>17</v>
      </c>
      <c r="G773" s="2200" t="str">
        <f t="shared" si="51"/>
        <v>20292</v>
      </c>
      <c r="H773" s="2200">
        <f>--SUBTOTAL(3,C$2:C773)</f>
        <v>99</v>
      </c>
    </row>
    <row r="774" spans="1:8" hidden="1" x14ac:dyDescent="0.15">
      <c r="A774" s="2200" t="s">
        <v>10723</v>
      </c>
      <c r="B774" s="2200" t="s">
        <v>12262</v>
      </c>
      <c r="C774" s="2200" t="s">
        <v>12263</v>
      </c>
      <c r="D774" s="2200" t="str">
        <f t="shared" si="48"/>
        <v>IL</v>
      </c>
      <c r="E774" s="2200">
        <f t="shared" si="49"/>
        <v>22</v>
      </c>
      <c r="F774" s="2200" t="str">
        <f t="shared" si="50"/>
        <v>17</v>
      </c>
      <c r="G774" s="2200" t="str">
        <f t="shared" si="51"/>
        <v>20591</v>
      </c>
      <c r="H774" s="2200">
        <f>--SUBTOTAL(3,C$2:C774)</f>
        <v>99</v>
      </c>
    </row>
    <row r="775" spans="1:8" hidden="1" x14ac:dyDescent="0.15">
      <c r="A775" s="2200" t="s">
        <v>10723</v>
      </c>
      <c r="B775" s="2200" t="s">
        <v>12264</v>
      </c>
      <c r="C775" s="2200" t="s">
        <v>12265</v>
      </c>
      <c r="D775" s="2200" t="str">
        <f t="shared" si="48"/>
        <v>IL</v>
      </c>
      <c r="E775" s="2200">
        <f t="shared" si="49"/>
        <v>20</v>
      </c>
      <c r="F775" s="2200" t="str">
        <f t="shared" si="50"/>
        <v>17</v>
      </c>
      <c r="G775" s="2200" t="str">
        <f t="shared" si="51"/>
        <v>22255</v>
      </c>
      <c r="H775" s="2200">
        <f>--SUBTOTAL(3,C$2:C775)</f>
        <v>99</v>
      </c>
    </row>
    <row r="776" spans="1:8" hidden="1" x14ac:dyDescent="0.15">
      <c r="A776" s="2200" t="s">
        <v>10723</v>
      </c>
      <c r="B776" s="2200" t="s">
        <v>12266</v>
      </c>
      <c r="C776" s="2200" t="s">
        <v>12267</v>
      </c>
      <c r="D776" s="2200" t="str">
        <f t="shared" si="48"/>
        <v>IL</v>
      </c>
      <c r="E776" s="2200">
        <f t="shared" si="49"/>
        <v>18</v>
      </c>
      <c r="F776" s="2200" t="str">
        <f t="shared" si="50"/>
        <v>17</v>
      </c>
      <c r="G776" s="2200" t="str">
        <f t="shared" si="51"/>
        <v>22697</v>
      </c>
      <c r="H776" s="2200">
        <f>--SUBTOTAL(3,C$2:C776)</f>
        <v>99</v>
      </c>
    </row>
    <row r="777" spans="1:8" hidden="1" x14ac:dyDescent="0.15">
      <c r="A777" s="2200" t="s">
        <v>10723</v>
      </c>
      <c r="B777" s="2200" t="s">
        <v>12268</v>
      </c>
      <c r="C777" s="2200" t="s">
        <v>12269</v>
      </c>
      <c r="D777" s="2200" t="str">
        <f t="shared" si="48"/>
        <v>IL</v>
      </c>
      <c r="E777" s="2200">
        <f t="shared" si="49"/>
        <v>11</v>
      </c>
      <c r="F777" s="2200" t="str">
        <f t="shared" si="50"/>
        <v>17</v>
      </c>
      <c r="G777" s="2200" t="str">
        <f t="shared" si="51"/>
        <v>23074</v>
      </c>
      <c r="H777" s="2200">
        <f>--SUBTOTAL(3,C$2:C777)</f>
        <v>99</v>
      </c>
    </row>
    <row r="778" spans="1:8" hidden="1" x14ac:dyDescent="0.15">
      <c r="A778" s="2200" t="s">
        <v>10723</v>
      </c>
      <c r="B778" s="2200" t="s">
        <v>12270</v>
      </c>
      <c r="C778" s="2200" t="s">
        <v>12271</v>
      </c>
      <c r="D778" s="2200" t="str">
        <f t="shared" si="48"/>
        <v>IL</v>
      </c>
      <c r="E778" s="2200">
        <f t="shared" si="49"/>
        <v>26</v>
      </c>
      <c r="F778" s="2200" t="str">
        <f t="shared" si="50"/>
        <v>17</v>
      </c>
      <c r="G778" s="2200" t="str">
        <f t="shared" si="51"/>
        <v>23256</v>
      </c>
      <c r="H778" s="2200">
        <f>--SUBTOTAL(3,C$2:C778)</f>
        <v>99</v>
      </c>
    </row>
    <row r="779" spans="1:8" hidden="1" x14ac:dyDescent="0.15">
      <c r="A779" s="2200" t="s">
        <v>10723</v>
      </c>
      <c r="B779" s="2200" t="s">
        <v>12272</v>
      </c>
      <c r="C779" s="2200" t="s">
        <v>12273</v>
      </c>
      <c r="D779" s="2200" t="str">
        <f t="shared" si="48"/>
        <v>IL</v>
      </c>
      <c r="E779" s="2200">
        <f t="shared" si="49"/>
        <v>14</v>
      </c>
      <c r="F779" s="2200" t="str">
        <f t="shared" si="50"/>
        <v>17</v>
      </c>
      <c r="G779" s="2200" t="str">
        <f t="shared" si="51"/>
        <v>23620</v>
      </c>
      <c r="H779" s="2200">
        <f>--SUBTOTAL(3,C$2:C779)</f>
        <v>99</v>
      </c>
    </row>
    <row r="780" spans="1:8" hidden="1" x14ac:dyDescent="0.15">
      <c r="A780" s="2200" t="s">
        <v>10723</v>
      </c>
      <c r="B780" s="2200" t="s">
        <v>12274</v>
      </c>
      <c r="C780" s="2200" t="s">
        <v>12275</v>
      </c>
      <c r="D780" s="2200" t="str">
        <f t="shared" si="48"/>
        <v>IL</v>
      </c>
      <c r="E780" s="2200">
        <f t="shared" si="49"/>
        <v>21</v>
      </c>
      <c r="F780" s="2200" t="str">
        <f t="shared" si="50"/>
        <v>17</v>
      </c>
      <c r="G780" s="2200" t="str">
        <f t="shared" si="51"/>
        <v>23724</v>
      </c>
      <c r="H780" s="2200">
        <f>--SUBTOTAL(3,C$2:C780)</f>
        <v>99</v>
      </c>
    </row>
    <row r="781" spans="1:8" hidden="1" x14ac:dyDescent="0.15">
      <c r="A781" s="2200" t="s">
        <v>10723</v>
      </c>
      <c r="B781" s="2200" t="s">
        <v>12276</v>
      </c>
      <c r="C781" s="2200" t="s">
        <v>12277</v>
      </c>
      <c r="D781" s="2200" t="str">
        <f t="shared" si="48"/>
        <v>IL</v>
      </c>
      <c r="E781" s="2200">
        <f t="shared" si="49"/>
        <v>14</v>
      </c>
      <c r="F781" s="2200" t="str">
        <f t="shared" si="50"/>
        <v>17</v>
      </c>
      <c r="G781" s="2200" t="str">
        <f t="shared" si="51"/>
        <v>24582</v>
      </c>
      <c r="H781" s="2200">
        <f>--SUBTOTAL(3,C$2:C781)</f>
        <v>99</v>
      </c>
    </row>
    <row r="782" spans="1:8" hidden="1" x14ac:dyDescent="0.15">
      <c r="A782" s="2200" t="s">
        <v>10723</v>
      </c>
      <c r="B782" s="2200" t="s">
        <v>12278</v>
      </c>
      <c r="C782" s="2200" t="s">
        <v>12279</v>
      </c>
      <c r="D782" s="2200" t="str">
        <f t="shared" si="48"/>
        <v>IL</v>
      </c>
      <c r="E782" s="2200">
        <f t="shared" si="49"/>
        <v>14</v>
      </c>
      <c r="F782" s="2200" t="str">
        <f t="shared" si="50"/>
        <v>17</v>
      </c>
      <c r="G782" s="2200" t="str">
        <f t="shared" si="51"/>
        <v>27884</v>
      </c>
      <c r="H782" s="2200">
        <f>--SUBTOTAL(3,C$2:C782)</f>
        <v>99</v>
      </c>
    </row>
    <row r="783" spans="1:8" hidden="1" x14ac:dyDescent="0.15">
      <c r="A783" s="2200" t="s">
        <v>10723</v>
      </c>
      <c r="B783" s="2200" t="s">
        <v>12280</v>
      </c>
      <c r="C783" s="2200" t="s">
        <v>12281</v>
      </c>
      <c r="D783" s="2200" t="str">
        <f t="shared" si="48"/>
        <v>IL</v>
      </c>
      <c r="E783" s="2200">
        <f t="shared" si="49"/>
        <v>15</v>
      </c>
      <c r="F783" s="2200" t="str">
        <f t="shared" si="50"/>
        <v>17</v>
      </c>
      <c r="G783" s="2200" t="str">
        <f t="shared" si="51"/>
        <v>28326</v>
      </c>
      <c r="H783" s="2200">
        <f>--SUBTOTAL(3,C$2:C783)</f>
        <v>99</v>
      </c>
    </row>
    <row r="784" spans="1:8" hidden="1" x14ac:dyDescent="0.15">
      <c r="A784" s="2200" t="s">
        <v>10723</v>
      </c>
      <c r="B784" s="2200" t="s">
        <v>12282</v>
      </c>
      <c r="C784" s="2200" t="s">
        <v>12283</v>
      </c>
      <c r="D784" s="2200" t="str">
        <f t="shared" si="48"/>
        <v>IL</v>
      </c>
      <c r="E784" s="2200">
        <f t="shared" si="49"/>
        <v>19</v>
      </c>
      <c r="F784" s="2200" t="str">
        <f t="shared" si="50"/>
        <v>17</v>
      </c>
      <c r="G784" s="2200" t="str">
        <f t="shared" si="51"/>
        <v>29756</v>
      </c>
      <c r="H784" s="2200">
        <f>--SUBTOTAL(3,C$2:C784)</f>
        <v>99</v>
      </c>
    </row>
    <row r="785" spans="1:8" hidden="1" x14ac:dyDescent="0.15">
      <c r="A785" s="2200" t="s">
        <v>10723</v>
      </c>
      <c r="B785" s="2200" t="s">
        <v>12284</v>
      </c>
      <c r="C785" s="2200" t="s">
        <v>12285</v>
      </c>
      <c r="D785" s="2200" t="str">
        <f t="shared" si="48"/>
        <v>IL</v>
      </c>
      <c r="E785" s="2200">
        <f t="shared" si="49"/>
        <v>25</v>
      </c>
      <c r="F785" s="2200" t="str">
        <f t="shared" si="50"/>
        <v>17</v>
      </c>
      <c r="G785" s="2200" t="str">
        <f t="shared" si="51"/>
        <v>29730</v>
      </c>
      <c r="H785" s="2200">
        <f>--SUBTOTAL(3,C$2:C785)</f>
        <v>99</v>
      </c>
    </row>
    <row r="786" spans="1:8" hidden="1" x14ac:dyDescent="0.15">
      <c r="A786" s="2200" t="s">
        <v>10723</v>
      </c>
      <c r="B786" s="2200" t="s">
        <v>12286</v>
      </c>
      <c r="C786" s="2200" t="s">
        <v>12287</v>
      </c>
      <c r="D786" s="2200" t="str">
        <f t="shared" si="48"/>
        <v>IL</v>
      </c>
      <c r="E786" s="2200">
        <f t="shared" si="49"/>
        <v>17</v>
      </c>
      <c r="F786" s="2200" t="str">
        <f t="shared" si="50"/>
        <v>17</v>
      </c>
      <c r="G786" s="2200" t="str">
        <f t="shared" si="51"/>
        <v>29938</v>
      </c>
      <c r="H786" s="2200">
        <f>--SUBTOTAL(3,C$2:C786)</f>
        <v>99</v>
      </c>
    </row>
    <row r="787" spans="1:8" hidden="1" x14ac:dyDescent="0.15">
      <c r="A787" s="2200" t="s">
        <v>10723</v>
      </c>
      <c r="B787" s="2200" t="s">
        <v>12288</v>
      </c>
      <c r="C787" s="2200" t="s">
        <v>12289</v>
      </c>
      <c r="D787" s="2200" t="str">
        <f t="shared" si="48"/>
        <v>IL</v>
      </c>
      <c r="E787" s="2200">
        <f t="shared" si="49"/>
        <v>18</v>
      </c>
      <c r="F787" s="2200" t="str">
        <f t="shared" si="50"/>
        <v>17</v>
      </c>
      <c r="G787" s="2200" t="str">
        <f t="shared" si="51"/>
        <v>30926</v>
      </c>
      <c r="H787" s="2200">
        <f>--SUBTOTAL(3,C$2:C787)</f>
        <v>99</v>
      </c>
    </row>
    <row r="788" spans="1:8" hidden="1" x14ac:dyDescent="0.15">
      <c r="A788" s="2200" t="s">
        <v>10723</v>
      </c>
      <c r="B788" s="2200" t="s">
        <v>12290</v>
      </c>
      <c r="C788" s="2200" t="s">
        <v>12291</v>
      </c>
      <c r="D788" s="2200" t="str">
        <f t="shared" si="48"/>
        <v>IL</v>
      </c>
      <c r="E788" s="2200">
        <f t="shared" si="49"/>
        <v>15</v>
      </c>
      <c r="F788" s="2200" t="str">
        <f t="shared" si="50"/>
        <v>17</v>
      </c>
      <c r="G788" s="2200" t="str">
        <f t="shared" si="51"/>
        <v>32018</v>
      </c>
      <c r="H788" s="2200">
        <f>--SUBTOTAL(3,C$2:C788)</f>
        <v>99</v>
      </c>
    </row>
    <row r="789" spans="1:8" hidden="1" x14ac:dyDescent="0.15">
      <c r="A789" s="2200" t="s">
        <v>10723</v>
      </c>
      <c r="B789" s="2200" t="s">
        <v>12292</v>
      </c>
      <c r="C789" s="2200" t="s">
        <v>12293</v>
      </c>
      <c r="D789" s="2200" t="str">
        <f t="shared" si="48"/>
        <v>IL</v>
      </c>
      <c r="E789" s="2200">
        <f t="shared" si="49"/>
        <v>21</v>
      </c>
      <c r="F789" s="2200" t="str">
        <f t="shared" si="50"/>
        <v>17</v>
      </c>
      <c r="G789" s="2200" t="str">
        <f t="shared" si="51"/>
        <v>32746</v>
      </c>
      <c r="H789" s="2200">
        <f>--SUBTOTAL(3,C$2:C789)</f>
        <v>99</v>
      </c>
    </row>
    <row r="790" spans="1:8" hidden="1" x14ac:dyDescent="0.15">
      <c r="A790" s="2200" t="s">
        <v>10723</v>
      </c>
      <c r="B790" s="2200" t="s">
        <v>12294</v>
      </c>
      <c r="C790" s="2200" t="s">
        <v>12295</v>
      </c>
      <c r="D790" s="2200" t="str">
        <f t="shared" si="48"/>
        <v>IL</v>
      </c>
      <c r="E790" s="2200">
        <f t="shared" si="49"/>
        <v>12</v>
      </c>
      <c r="F790" s="2200" t="str">
        <f t="shared" si="50"/>
        <v>17</v>
      </c>
      <c r="G790" s="2200" t="str">
        <f t="shared" si="51"/>
        <v>33383</v>
      </c>
      <c r="H790" s="2200">
        <f>--SUBTOTAL(3,C$2:C790)</f>
        <v>99</v>
      </c>
    </row>
    <row r="791" spans="1:8" hidden="1" x14ac:dyDescent="0.15">
      <c r="A791" s="2200" t="s">
        <v>10723</v>
      </c>
      <c r="B791" s="2200" t="s">
        <v>12296</v>
      </c>
      <c r="C791" s="2200" t="s">
        <v>12297</v>
      </c>
      <c r="D791" s="2200" t="str">
        <f t="shared" si="48"/>
        <v>IL</v>
      </c>
      <c r="E791" s="2200">
        <f t="shared" si="49"/>
        <v>19</v>
      </c>
      <c r="F791" s="2200" t="str">
        <f t="shared" si="50"/>
        <v>17</v>
      </c>
      <c r="G791" s="2200" t="str">
        <f t="shared" si="51"/>
        <v>34722</v>
      </c>
      <c r="H791" s="2200">
        <f>--SUBTOTAL(3,C$2:C791)</f>
        <v>99</v>
      </c>
    </row>
    <row r="792" spans="1:8" hidden="1" x14ac:dyDescent="0.15">
      <c r="A792" s="2200" t="s">
        <v>10723</v>
      </c>
      <c r="B792" s="2200" t="s">
        <v>12298</v>
      </c>
      <c r="C792" s="2200" t="s">
        <v>12299</v>
      </c>
      <c r="D792" s="2200" t="str">
        <f t="shared" si="48"/>
        <v>IL</v>
      </c>
      <c r="E792" s="2200">
        <f t="shared" si="49"/>
        <v>24</v>
      </c>
      <c r="F792" s="2200" t="str">
        <f t="shared" si="50"/>
        <v>17</v>
      </c>
      <c r="G792" s="2200" t="str">
        <f t="shared" si="51"/>
        <v>35411</v>
      </c>
      <c r="H792" s="2200">
        <f>--SUBTOTAL(3,C$2:C792)</f>
        <v>99</v>
      </c>
    </row>
    <row r="793" spans="1:8" hidden="1" x14ac:dyDescent="0.15">
      <c r="A793" s="2200" t="s">
        <v>10723</v>
      </c>
      <c r="B793" s="2200" t="s">
        <v>12300</v>
      </c>
      <c r="C793" s="2200" t="s">
        <v>12301</v>
      </c>
      <c r="D793" s="2200" t="str">
        <f t="shared" si="48"/>
        <v>IL</v>
      </c>
      <c r="E793" s="2200">
        <f t="shared" si="49"/>
        <v>19</v>
      </c>
      <c r="F793" s="2200" t="str">
        <f t="shared" si="50"/>
        <v>17</v>
      </c>
      <c r="G793" s="2200" t="str">
        <f t="shared" si="51"/>
        <v>35835</v>
      </c>
      <c r="H793" s="2200">
        <f>--SUBTOTAL(3,C$2:C793)</f>
        <v>99</v>
      </c>
    </row>
    <row r="794" spans="1:8" hidden="1" x14ac:dyDescent="0.15">
      <c r="A794" s="2200" t="s">
        <v>10723</v>
      </c>
      <c r="B794" s="2200" t="s">
        <v>12302</v>
      </c>
      <c r="C794" s="2200" t="s">
        <v>12303</v>
      </c>
      <c r="D794" s="2200" t="str">
        <f t="shared" si="48"/>
        <v>IL</v>
      </c>
      <c r="E794" s="2200">
        <f t="shared" si="49"/>
        <v>16</v>
      </c>
      <c r="F794" s="2200" t="str">
        <f t="shared" si="50"/>
        <v>17</v>
      </c>
      <c r="G794" s="2200" t="str">
        <f t="shared" si="51"/>
        <v>36750</v>
      </c>
      <c r="H794" s="2200">
        <f>--SUBTOTAL(3,C$2:C794)</f>
        <v>99</v>
      </c>
    </row>
    <row r="795" spans="1:8" hidden="1" x14ac:dyDescent="0.15">
      <c r="A795" s="2200" t="s">
        <v>10723</v>
      </c>
      <c r="B795" s="2200" t="s">
        <v>12304</v>
      </c>
      <c r="C795" s="2200" t="s">
        <v>12305</v>
      </c>
      <c r="D795" s="2200" t="str">
        <f t="shared" si="48"/>
        <v>IL</v>
      </c>
      <c r="E795" s="2200">
        <f t="shared" si="49"/>
        <v>12</v>
      </c>
      <c r="F795" s="2200" t="str">
        <f t="shared" si="50"/>
        <v>17</v>
      </c>
      <c r="G795" s="2200" t="str">
        <f t="shared" si="51"/>
        <v>38570</v>
      </c>
      <c r="H795" s="2200">
        <f>--SUBTOTAL(3,C$2:C795)</f>
        <v>99</v>
      </c>
    </row>
    <row r="796" spans="1:8" hidden="1" x14ac:dyDescent="0.15">
      <c r="A796" s="2200" t="s">
        <v>10723</v>
      </c>
      <c r="B796" s="2200" t="s">
        <v>12306</v>
      </c>
      <c r="C796" s="2200" t="s">
        <v>12307</v>
      </c>
      <c r="D796" s="2200" t="str">
        <f t="shared" si="48"/>
        <v>IL</v>
      </c>
      <c r="E796" s="2200">
        <f t="shared" si="49"/>
        <v>14</v>
      </c>
      <c r="F796" s="2200" t="str">
        <f t="shared" si="50"/>
        <v>17</v>
      </c>
      <c r="G796" s="2200" t="str">
        <f t="shared" si="51"/>
        <v>38934</v>
      </c>
      <c r="H796" s="2200">
        <f>--SUBTOTAL(3,C$2:C796)</f>
        <v>99</v>
      </c>
    </row>
    <row r="797" spans="1:8" hidden="1" x14ac:dyDescent="0.15">
      <c r="A797" s="2200" t="s">
        <v>10723</v>
      </c>
      <c r="B797" s="2200" t="s">
        <v>12308</v>
      </c>
      <c r="C797" s="2200" t="s">
        <v>12309</v>
      </c>
      <c r="D797" s="2200" t="str">
        <f t="shared" si="48"/>
        <v>IL</v>
      </c>
      <c r="E797" s="2200">
        <f t="shared" si="49"/>
        <v>26</v>
      </c>
      <c r="F797" s="2200" t="str">
        <f t="shared" si="50"/>
        <v>17</v>
      </c>
      <c r="G797" s="2200" t="str">
        <f t="shared" si="51"/>
        <v>41183</v>
      </c>
      <c r="H797" s="2200">
        <f>--SUBTOTAL(3,C$2:C797)</f>
        <v>99</v>
      </c>
    </row>
    <row r="798" spans="1:8" hidden="1" x14ac:dyDescent="0.15">
      <c r="A798" s="2200" t="s">
        <v>10723</v>
      </c>
      <c r="B798" s="2200" t="s">
        <v>12310</v>
      </c>
      <c r="C798" s="2200" t="s">
        <v>12311</v>
      </c>
      <c r="D798" s="2200" t="str">
        <f t="shared" si="48"/>
        <v>IL</v>
      </c>
      <c r="E798" s="2200">
        <f t="shared" si="49"/>
        <v>16</v>
      </c>
      <c r="F798" s="2200" t="str">
        <f t="shared" si="50"/>
        <v>17</v>
      </c>
      <c r="G798" s="2200" t="str">
        <f t="shared" si="51"/>
        <v>42028</v>
      </c>
      <c r="H798" s="2200">
        <f>--SUBTOTAL(3,C$2:C798)</f>
        <v>99</v>
      </c>
    </row>
    <row r="799" spans="1:8" hidden="1" x14ac:dyDescent="0.15">
      <c r="A799" s="2200" t="s">
        <v>10723</v>
      </c>
      <c r="B799" s="2200" t="s">
        <v>12312</v>
      </c>
      <c r="C799" s="2200" t="s">
        <v>12313</v>
      </c>
      <c r="D799" s="2200" t="str">
        <f t="shared" si="48"/>
        <v>IL</v>
      </c>
      <c r="E799" s="2200">
        <f t="shared" si="49"/>
        <v>14</v>
      </c>
      <c r="F799" s="2200" t="str">
        <f t="shared" si="50"/>
        <v>17</v>
      </c>
      <c r="G799" s="2200" t="str">
        <f t="shared" si="51"/>
        <v>44225</v>
      </c>
      <c r="H799" s="2200">
        <f>--SUBTOTAL(3,C$2:C799)</f>
        <v>99</v>
      </c>
    </row>
    <row r="800" spans="1:8" hidden="1" x14ac:dyDescent="0.15">
      <c r="A800" s="2200" t="s">
        <v>10723</v>
      </c>
      <c r="B800" s="2200" t="s">
        <v>12314</v>
      </c>
      <c r="C800" s="2200" t="s">
        <v>12315</v>
      </c>
      <c r="D800" s="2200" t="str">
        <f t="shared" si="48"/>
        <v>IL</v>
      </c>
      <c r="E800" s="2200">
        <f t="shared" si="49"/>
        <v>16</v>
      </c>
      <c r="F800" s="2200" t="str">
        <f t="shared" si="50"/>
        <v>17</v>
      </c>
      <c r="G800" s="2200" t="str">
        <f t="shared" si="51"/>
        <v>44407</v>
      </c>
      <c r="H800" s="2200">
        <f>--SUBTOTAL(3,C$2:C800)</f>
        <v>99</v>
      </c>
    </row>
    <row r="801" spans="1:8" hidden="1" x14ac:dyDescent="0.15">
      <c r="A801" s="2200" t="s">
        <v>10723</v>
      </c>
      <c r="B801" s="2200" t="s">
        <v>12316</v>
      </c>
      <c r="C801" s="2200" t="s">
        <v>12317</v>
      </c>
      <c r="D801" s="2200" t="str">
        <f t="shared" si="48"/>
        <v>IL</v>
      </c>
      <c r="E801" s="2200">
        <f t="shared" si="49"/>
        <v>16</v>
      </c>
      <c r="F801" s="2200" t="str">
        <f t="shared" si="50"/>
        <v>17</v>
      </c>
      <c r="G801" s="2200" t="str">
        <f t="shared" si="51"/>
        <v>47774</v>
      </c>
      <c r="H801" s="2200">
        <f>--SUBTOTAL(3,C$2:C801)</f>
        <v>99</v>
      </c>
    </row>
    <row r="802" spans="1:8" hidden="1" x14ac:dyDescent="0.15">
      <c r="A802" s="2200" t="s">
        <v>10723</v>
      </c>
      <c r="B802" s="2200" t="s">
        <v>12318</v>
      </c>
      <c r="C802" s="2200" t="s">
        <v>12319</v>
      </c>
      <c r="D802" s="2200" t="str">
        <f t="shared" si="48"/>
        <v>IL</v>
      </c>
      <c r="E802" s="2200">
        <f t="shared" si="49"/>
        <v>13</v>
      </c>
      <c r="F802" s="2200" t="str">
        <f t="shared" si="50"/>
        <v>17</v>
      </c>
      <c r="G802" s="2200" t="str">
        <f t="shared" si="51"/>
        <v>45694</v>
      </c>
      <c r="H802" s="2200">
        <f>--SUBTOTAL(3,C$2:C802)</f>
        <v>99</v>
      </c>
    </row>
    <row r="803" spans="1:8" hidden="1" x14ac:dyDescent="0.15">
      <c r="A803" s="2200" t="s">
        <v>10723</v>
      </c>
      <c r="B803" s="2200" t="s">
        <v>12320</v>
      </c>
      <c r="C803" s="2200" t="s">
        <v>12321</v>
      </c>
      <c r="D803" s="2200" t="str">
        <f t="shared" si="48"/>
        <v>IL</v>
      </c>
      <c r="E803" s="2200">
        <f t="shared" si="49"/>
        <v>21</v>
      </c>
      <c r="F803" s="2200" t="str">
        <f t="shared" si="50"/>
        <v>17</v>
      </c>
      <c r="G803" s="2200" t="str">
        <f t="shared" si="51"/>
        <v>48242</v>
      </c>
      <c r="H803" s="2200">
        <f>--SUBTOTAL(3,C$2:C803)</f>
        <v>99</v>
      </c>
    </row>
    <row r="804" spans="1:8" hidden="1" x14ac:dyDescent="0.15">
      <c r="A804" s="2200" t="s">
        <v>10723</v>
      </c>
      <c r="B804" s="2200" t="s">
        <v>12322</v>
      </c>
      <c r="C804" s="2200" t="s">
        <v>12323</v>
      </c>
      <c r="D804" s="2200" t="str">
        <f t="shared" si="48"/>
        <v>IL</v>
      </c>
      <c r="E804" s="2200">
        <f t="shared" si="49"/>
        <v>12</v>
      </c>
      <c r="F804" s="2200" t="str">
        <f t="shared" si="50"/>
        <v>17</v>
      </c>
      <c r="G804" s="2200" t="str">
        <f t="shared" si="51"/>
        <v>49867</v>
      </c>
      <c r="H804" s="2200">
        <f>--SUBTOTAL(3,C$2:C804)</f>
        <v>99</v>
      </c>
    </row>
    <row r="805" spans="1:8" hidden="1" x14ac:dyDescent="0.15">
      <c r="A805" s="2200" t="s">
        <v>10723</v>
      </c>
      <c r="B805" s="2200" t="s">
        <v>12324</v>
      </c>
      <c r="C805" s="2200" t="s">
        <v>12325</v>
      </c>
      <c r="D805" s="2200" t="str">
        <f t="shared" si="48"/>
        <v>IL</v>
      </c>
      <c r="E805" s="2200">
        <f t="shared" si="49"/>
        <v>23</v>
      </c>
      <c r="F805" s="2200" t="str">
        <f t="shared" si="50"/>
        <v>17</v>
      </c>
      <c r="G805" s="2200" t="str">
        <f t="shared" si="51"/>
        <v>51089</v>
      </c>
      <c r="H805" s="2200">
        <f>--SUBTOTAL(3,C$2:C805)</f>
        <v>99</v>
      </c>
    </row>
    <row r="806" spans="1:8" hidden="1" x14ac:dyDescent="0.15">
      <c r="A806" s="2200" t="s">
        <v>10723</v>
      </c>
      <c r="B806" s="2200" t="s">
        <v>12326</v>
      </c>
      <c r="C806" s="2200" t="s">
        <v>12327</v>
      </c>
      <c r="D806" s="2200" t="str">
        <f t="shared" si="48"/>
        <v>IL</v>
      </c>
      <c r="E806" s="2200">
        <f t="shared" si="49"/>
        <v>18</v>
      </c>
      <c r="F806" s="2200" t="str">
        <f t="shared" si="50"/>
        <v>17</v>
      </c>
      <c r="G806" s="2200" t="str">
        <f t="shared" si="51"/>
        <v>51349</v>
      </c>
      <c r="H806" s="2200">
        <f>--SUBTOTAL(3,C$2:C806)</f>
        <v>99</v>
      </c>
    </row>
    <row r="807" spans="1:8" hidden="1" x14ac:dyDescent="0.15">
      <c r="A807" s="2200" t="s">
        <v>10723</v>
      </c>
      <c r="B807" s="2200" t="s">
        <v>12328</v>
      </c>
      <c r="C807" s="2200" t="s">
        <v>12329</v>
      </c>
      <c r="D807" s="2200" t="str">
        <f t="shared" si="48"/>
        <v>IL</v>
      </c>
      <c r="E807" s="2200">
        <f t="shared" si="49"/>
        <v>16</v>
      </c>
      <c r="F807" s="2200" t="str">
        <f t="shared" si="50"/>
        <v>17</v>
      </c>
      <c r="G807" s="2200" t="str">
        <f t="shared" si="51"/>
        <v>51622</v>
      </c>
      <c r="H807" s="2200">
        <f>--SUBTOTAL(3,C$2:C807)</f>
        <v>99</v>
      </c>
    </row>
    <row r="808" spans="1:8" hidden="1" x14ac:dyDescent="0.15">
      <c r="A808" s="2200" t="s">
        <v>10723</v>
      </c>
      <c r="B808" s="2200" t="s">
        <v>12330</v>
      </c>
      <c r="C808" s="2200" t="s">
        <v>12331</v>
      </c>
      <c r="D808" s="2200" t="str">
        <f t="shared" si="48"/>
        <v>IL</v>
      </c>
      <c r="E808" s="2200">
        <f t="shared" si="49"/>
        <v>18</v>
      </c>
      <c r="F808" s="2200" t="str">
        <f t="shared" si="50"/>
        <v>17</v>
      </c>
      <c r="G808" s="2200" t="str">
        <f t="shared" si="51"/>
        <v>52584</v>
      </c>
      <c r="H808" s="2200">
        <f>--SUBTOTAL(3,C$2:C808)</f>
        <v>99</v>
      </c>
    </row>
    <row r="809" spans="1:8" hidden="1" x14ac:dyDescent="0.15">
      <c r="A809" s="2200" t="s">
        <v>10723</v>
      </c>
      <c r="B809" s="2200" t="s">
        <v>12332</v>
      </c>
      <c r="C809" s="2200" t="s">
        <v>12333</v>
      </c>
      <c r="D809" s="2200" t="str">
        <f t="shared" si="48"/>
        <v>IL</v>
      </c>
      <c r="E809" s="2200">
        <f t="shared" si="49"/>
        <v>14</v>
      </c>
      <c r="F809" s="2200" t="str">
        <f t="shared" si="50"/>
        <v>17</v>
      </c>
      <c r="G809" s="2200" t="str">
        <f t="shared" si="51"/>
        <v>53000</v>
      </c>
      <c r="H809" s="2200">
        <f>--SUBTOTAL(3,C$2:C809)</f>
        <v>99</v>
      </c>
    </row>
    <row r="810" spans="1:8" hidden="1" x14ac:dyDescent="0.15">
      <c r="A810" s="2200" t="s">
        <v>10723</v>
      </c>
      <c r="B810" s="2200" t="s">
        <v>12334</v>
      </c>
      <c r="C810" s="2200" t="s">
        <v>12335</v>
      </c>
      <c r="D810" s="2200" t="str">
        <f t="shared" si="48"/>
        <v>IL</v>
      </c>
      <c r="E810" s="2200">
        <f t="shared" si="49"/>
        <v>12</v>
      </c>
      <c r="F810" s="2200" t="str">
        <f t="shared" si="50"/>
        <v>17</v>
      </c>
      <c r="G810" s="2200" t="str">
        <f t="shared" si="51"/>
        <v>53234</v>
      </c>
      <c r="H810" s="2200">
        <f>--SUBTOTAL(3,C$2:C810)</f>
        <v>99</v>
      </c>
    </row>
    <row r="811" spans="1:8" hidden="1" x14ac:dyDescent="0.15">
      <c r="A811" s="2200" t="s">
        <v>10723</v>
      </c>
      <c r="B811" s="2200" t="s">
        <v>12336</v>
      </c>
      <c r="C811" s="2200" t="s">
        <v>12337</v>
      </c>
      <c r="D811" s="2200" t="str">
        <f t="shared" si="48"/>
        <v>IL</v>
      </c>
      <c r="E811" s="2200">
        <f t="shared" si="49"/>
        <v>19</v>
      </c>
      <c r="F811" s="2200" t="str">
        <f t="shared" si="50"/>
        <v>17</v>
      </c>
      <c r="G811" s="2200" t="str">
        <f t="shared" si="51"/>
        <v>53559</v>
      </c>
      <c r="H811" s="2200">
        <f>--SUBTOTAL(3,C$2:C811)</f>
        <v>99</v>
      </c>
    </row>
    <row r="812" spans="1:8" hidden="1" x14ac:dyDescent="0.15">
      <c r="A812" s="2200" t="s">
        <v>10723</v>
      </c>
      <c r="B812" s="2200" t="s">
        <v>12338</v>
      </c>
      <c r="C812" s="2200" t="s">
        <v>12339</v>
      </c>
      <c r="D812" s="2200" t="str">
        <f t="shared" si="48"/>
        <v>IL</v>
      </c>
      <c r="E812" s="2200">
        <f t="shared" si="49"/>
        <v>19</v>
      </c>
      <c r="F812" s="2200" t="str">
        <f t="shared" si="50"/>
        <v>17</v>
      </c>
      <c r="G812" s="2200" t="str">
        <f t="shared" si="51"/>
        <v>53481</v>
      </c>
      <c r="H812" s="2200">
        <f>--SUBTOTAL(3,C$2:C812)</f>
        <v>99</v>
      </c>
    </row>
    <row r="813" spans="1:8" hidden="1" x14ac:dyDescent="0.15">
      <c r="A813" s="2200" t="s">
        <v>10723</v>
      </c>
      <c r="B813" s="2200" t="s">
        <v>12340</v>
      </c>
      <c r="C813" s="2200" t="s">
        <v>12341</v>
      </c>
      <c r="D813" s="2200" t="str">
        <f t="shared" si="48"/>
        <v>IL</v>
      </c>
      <c r="E813" s="2200">
        <f t="shared" si="49"/>
        <v>16</v>
      </c>
      <c r="F813" s="2200" t="str">
        <f t="shared" si="50"/>
        <v>17</v>
      </c>
      <c r="G813" s="2200" t="str">
        <f t="shared" si="51"/>
        <v>54638</v>
      </c>
      <c r="H813" s="2200">
        <f>--SUBTOTAL(3,C$2:C813)</f>
        <v>99</v>
      </c>
    </row>
    <row r="814" spans="1:8" hidden="1" x14ac:dyDescent="0.15">
      <c r="A814" s="2200" t="s">
        <v>10723</v>
      </c>
      <c r="B814" s="2200" t="s">
        <v>12342</v>
      </c>
      <c r="C814" s="2200" t="s">
        <v>12343</v>
      </c>
      <c r="D814" s="2200" t="str">
        <f t="shared" si="48"/>
        <v>IL</v>
      </c>
      <c r="E814" s="2200">
        <f t="shared" si="49"/>
        <v>17</v>
      </c>
      <c r="F814" s="2200" t="str">
        <f t="shared" si="50"/>
        <v>17</v>
      </c>
      <c r="G814" s="2200" t="str">
        <f t="shared" si="51"/>
        <v>54820</v>
      </c>
      <c r="H814" s="2200">
        <f>--SUBTOTAL(3,C$2:C814)</f>
        <v>99</v>
      </c>
    </row>
    <row r="815" spans="1:8" hidden="1" x14ac:dyDescent="0.15">
      <c r="A815" s="2200" t="s">
        <v>10723</v>
      </c>
      <c r="B815" s="2200" t="s">
        <v>12344</v>
      </c>
      <c r="C815" s="2200" t="s">
        <v>12345</v>
      </c>
      <c r="D815" s="2200" t="str">
        <f t="shared" si="48"/>
        <v>IL</v>
      </c>
      <c r="E815" s="2200">
        <f t="shared" si="49"/>
        <v>17</v>
      </c>
      <c r="F815" s="2200" t="str">
        <f t="shared" si="50"/>
        <v>17</v>
      </c>
      <c r="G815" s="2200" t="str">
        <f t="shared" si="51"/>
        <v>54885</v>
      </c>
      <c r="H815" s="2200">
        <f>--SUBTOTAL(3,C$2:C815)</f>
        <v>99</v>
      </c>
    </row>
    <row r="816" spans="1:8" hidden="1" x14ac:dyDescent="0.15">
      <c r="A816" s="2200" t="s">
        <v>10723</v>
      </c>
      <c r="B816" s="2200" t="s">
        <v>12346</v>
      </c>
      <c r="C816" s="2200" t="s">
        <v>12347</v>
      </c>
      <c r="D816" s="2200" t="str">
        <f t="shared" si="48"/>
        <v>IL</v>
      </c>
      <c r="E816" s="2200">
        <f t="shared" si="49"/>
        <v>14</v>
      </c>
      <c r="F816" s="2200" t="str">
        <f t="shared" si="50"/>
        <v>17</v>
      </c>
      <c r="G816" s="2200" t="str">
        <f t="shared" si="51"/>
        <v>55249</v>
      </c>
      <c r="H816" s="2200">
        <f>--SUBTOTAL(3,C$2:C816)</f>
        <v>99</v>
      </c>
    </row>
    <row r="817" spans="1:8" hidden="1" x14ac:dyDescent="0.15">
      <c r="A817" s="2200" t="s">
        <v>10723</v>
      </c>
      <c r="B817" s="2200" t="s">
        <v>12348</v>
      </c>
      <c r="C817" s="2200" t="s">
        <v>12349</v>
      </c>
      <c r="D817" s="2200" t="str">
        <f t="shared" si="48"/>
        <v>IL</v>
      </c>
      <c r="E817" s="2200">
        <f t="shared" si="49"/>
        <v>20</v>
      </c>
      <c r="F817" s="2200" t="str">
        <f t="shared" si="50"/>
        <v>17</v>
      </c>
      <c r="G817" s="2200" t="str">
        <f t="shared" si="51"/>
        <v>56640</v>
      </c>
      <c r="H817" s="2200">
        <f>--SUBTOTAL(3,C$2:C817)</f>
        <v>99</v>
      </c>
    </row>
    <row r="818" spans="1:8" hidden="1" x14ac:dyDescent="0.15">
      <c r="A818" s="2200" t="s">
        <v>10723</v>
      </c>
      <c r="B818" s="2200" t="s">
        <v>12350</v>
      </c>
      <c r="C818" s="2200" t="s">
        <v>12351</v>
      </c>
      <c r="D818" s="2200" t="str">
        <f t="shared" si="48"/>
        <v>IL</v>
      </c>
      <c r="E818" s="2200">
        <f t="shared" si="49"/>
        <v>15</v>
      </c>
      <c r="F818" s="2200" t="str">
        <f t="shared" si="50"/>
        <v>17</v>
      </c>
      <c r="G818" s="2200" t="str">
        <f t="shared" si="51"/>
        <v>56887</v>
      </c>
      <c r="H818" s="2200">
        <f>--SUBTOTAL(3,C$2:C818)</f>
        <v>99</v>
      </c>
    </row>
    <row r="819" spans="1:8" hidden="1" x14ac:dyDescent="0.15">
      <c r="A819" s="2200" t="s">
        <v>10723</v>
      </c>
      <c r="B819" s="2200" t="s">
        <v>12352</v>
      </c>
      <c r="C819" s="2200" t="s">
        <v>12353</v>
      </c>
      <c r="D819" s="2200" t="str">
        <f t="shared" si="48"/>
        <v>IL</v>
      </c>
      <c r="E819" s="2200">
        <f t="shared" si="49"/>
        <v>17</v>
      </c>
      <c r="F819" s="2200" t="str">
        <f t="shared" si="50"/>
        <v>17</v>
      </c>
      <c r="G819" s="2200" t="str">
        <f t="shared" si="51"/>
        <v>57225</v>
      </c>
      <c r="H819" s="2200">
        <f>--SUBTOTAL(3,C$2:C819)</f>
        <v>99</v>
      </c>
    </row>
    <row r="820" spans="1:8" hidden="1" x14ac:dyDescent="0.15">
      <c r="A820" s="2200" t="s">
        <v>10723</v>
      </c>
      <c r="B820" s="2200" t="s">
        <v>12354</v>
      </c>
      <c r="C820" s="2200" t="s">
        <v>12355</v>
      </c>
      <c r="D820" s="2200" t="str">
        <f t="shared" si="48"/>
        <v>IL</v>
      </c>
      <c r="E820" s="2200">
        <f t="shared" si="49"/>
        <v>20</v>
      </c>
      <c r="F820" s="2200" t="str">
        <f t="shared" si="50"/>
        <v>17</v>
      </c>
      <c r="G820" s="2200" t="str">
        <f t="shared" si="51"/>
        <v>57732</v>
      </c>
      <c r="H820" s="2200">
        <f>--SUBTOTAL(3,C$2:C820)</f>
        <v>99</v>
      </c>
    </row>
    <row r="821" spans="1:8" hidden="1" x14ac:dyDescent="0.15">
      <c r="A821" s="2200" t="s">
        <v>10723</v>
      </c>
      <c r="B821" s="2200" t="s">
        <v>12356</v>
      </c>
      <c r="C821" s="2200" t="s">
        <v>12357</v>
      </c>
      <c r="D821" s="2200" t="str">
        <f t="shared" si="48"/>
        <v>IL</v>
      </c>
      <c r="E821" s="2200">
        <f t="shared" si="49"/>
        <v>16</v>
      </c>
      <c r="F821" s="2200" t="str">
        <f t="shared" si="50"/>
        <v>17</v>
      </c>
      <c r="G821" s="2200" t="str">
        <f t="shared" si="51"/>
        <v>57875</v>
      </c>
      <c r="H821" s="2200">
        <f>--SUBTOTAL(3,C$2:C821)</f>
        <v>99</v>
      </c>
    </row>
    <row r="822" spans="1:8" hidden="1" x14ac:dyDescent="0.15">
      <c r="A822" s="2200" t="s">
        <v>10723</v>
      </c>
      <c r="B822" s="2200" t="s">
        <v>12358</v>
      </c>
      <c r="C822" s="2200" t="s">
        <v>12359</v>
      </c>
      <c r="D822" s="2200" t="str">
        <f t="shared" si="48"/>
        <v>IL</v>
      </c>
      <c r="E822" s="2200">
        <f t="shared" si="49"/>
        <v>11</v>
      </c>
      <c r="F822" s="2200" t="str">
        <f t="shared" si="50"/>
        <v>17</v>
      </c>
      <c r="G822" s="2200" t="str">
        <f t="shared" si="51"/>
        <v>58447</v>
      </c>
      <c r="H822" s="2200">
        <f>--SUBTOTAL(3,C$2:C822)</f>
        <v>99</v>
      </c>
    </row>
    <row r="823" spans="1:8" hidden="1" x14ac:dyDescent="0.15">
      <c r="A823" s="2200" t="s">
        <v>10723</v>
      </c>
      <c r="B823" s="2200" t="s">
        <v>12360</v>
      </c>
      <c r="C823" s="2200" t="s">
        <v>12361</v>
      </c>
      <c r="D823" s="2200" t="str">
        <f t="shared" si="48"/>
        <v>IL</v>
      </c>
      <c r="E823" s="2200">
        <f t="shared" si="49"/>
        <v>12</v>
      </c>
      <c r="F823" s="2200" t="str">
        <f t="shared" si="50"/>
        <v>17</v>
      </c>
      <c r="G823" s="2200" t="str">
        <f t="shared" si="51"/>
        <v>59000</v>
      </c>
      <c r="H823" s="2200">
        <f>--SUBTOTAL(3,C$2:C823)</f>
        <v>99</v>
      </c>
    </row>
    <row r="824" spans="1:8" hidden="1" x14ac:dyDescent="0.15">
      <c r="A824" s="2200" t="s">
        <v>10723</v>
      </c>
      <c r="B824" s="2200" t="s">
        <v>12362</v>
      </c>
      <c r="C824" s="2200" t="s">
        <v>12363</v>
      </c>
      <c r="D824" s="2200" t="str">
        <f t="shared" si="48"/>
        <v>IL</v>
      </c>
      <c r="E824" s="2200">
        <f t="shared" si="49"/>
        <v>19</v>
      </c>
      <c r="F824" s="2200" t="str">
        <f t="shared" si="50"/>
        <v>17</v>
      </c>
      <c r="G824" s="2200" t="str">
        <f t="shared" si="51"/>
        <v>60287</v>
      </c>
      <c r="H824" s="2200">
        <f>--SUBTOTAL(3,C$2:C824)</f>
        <v>99</v>
      </c>
    </row>
    <row r="825" spans="1:8" hidden="1" x14ac:dyDescent="0.15">
      <c r="A825" s="2200" t="s">
        <v>10723</v>
      </c>
      <c r="B825" s="2200" t="s">
        <v>12364</v>
      </c>
      <c r="C825" s="2200" t="s">
        <v>12365</v>
      </c>
      <c r="D825" s="2200" t="str">
        <f t="shared" si="48"/>
        <v>IL</v>
      </c>
      <c r="E825" s="2200">
        <f t="shared" si="49"/>
        <v>12</v>
      </c>
      <c r="F825" s="2200" t="str">
        <f t="shared" si="50"/>
        <v>17</v>
      </c>
      <c r="G825" s="2200" t="str">
        <f t="shared" si="51"/>
        <v>62367</v>
      </c>
      <c r="H825" s="2200">
        <f>--SUBTOTAL(3,C$2:C825)</f>
        <v>99</v>
      </c>
    </row>
    <row r="826" spans="1:8" hidden="1" x14ac:dyDescent="0.15">
      <c r="A826" s="2200" t="s">
        <v>10723</v>
      </c>
      <c r="B826" s="2200" t="s">
        <v>12366</v>
      </c>
      <c r="C826" s="2200" t="s">
        <v>12367</v>
      </c>
      <c r="D826" s="2200" t="str">
        <f t="shared" si="48"/>
        <v>IL</v>
      </c>
      <c r="E826" s="2200">
        <f t="shared" si="49"/>
        <v>17</v>
      </c>
      <c r="F826" s="2200" t="str">
        <f t="shared" si="50"/>
        <v>17</v>
      </c>
      <c r="G826" s="2200" t="str">
        <f t="shared" si="51"/>
        <v>65078</v>
      </c>
      <c r="H826" s="2200">
        <f>--SUBTOTAL(3,C$2:C826)</f>
        <v>99</v>
      </c>
    </row>
    <row r="827" spans="1:8" hidden="1" x14ac:dyDescent="0.15">
      <c r="A827" s="2200" t="s">
        <v>10723</v>
      </c>
      <c r="B827" s="2200" t="s">
        <v>12368</v>
      </c>
      <c r="C827" s="2200" t="s">
        <v>12369</v>
      </c>
      <c r="D827" s="2200" t="str">
        <f t="shared" si="48"/>
        <v>IL</v>
      </c>
      <c r="E827" s="2200">
        <f t="shared" si="49"/>
        <v>14</v>
      </c>
      <c r="F827" s="2200" t="str">
        <f t="shared" si="50"/>
        <v>17</v>
      </c>
      <c r="G827" s="2200" t="str">
        <f t="shared" si="51"/>
        <v>65000</v>
      </c>
      <c r="H827" s="2200">
        <f>--SUBTOTAL(3,C$2:C827)</f>
        <v>99</v>
      </c>
    </row>
    <row r="828" spans="1:8" hidden="1" x14ac:dyDescent="0.15">
      <c r="A828" s="2200" t="s">
        <v>10723</v>
      </c>
      <c r="B828" s="2200" t="s">
        <v>12370</v>
      </c>
      <c r="C828" s="2200" t="s">
        <v>12371</v>
      </c>
      <c r="D828" s="2200" t="str">
        <f t="shared" si="48"/>
        <v>IL</v>
      </c>
      <c r="E828" s="2200">
        <f t="shared" si="49"/>
        <v>19</v>
      </c>
      <c r="F828" s="2200" t="str">
        <f t="shared" si="50"/>
        <v>17</v>
      </c>
      <c r="G828" s="2200" t="str">
        <f t="shared" si="51"/>
        <v>65442</v>
      </c>
      <c r="H828" s="2200">
        <f>--SUBTOTAL(3,C$2:C828)</f>
        <v>99</v>
      </c>
    </row>
    <row r="829" spans="1:8" hidden="1" x14ac:dyDescent="0.15">
      <c r="A829" s="2200" t="s">
        <v>10723</v>
      </c>
      <c r="B829" s="2200" t="s">
        <v>12372</v>
      </c>
      <c r="C829" s="2200" t="s">
        <v>12373</v>
      </c>
      <c r="D829" s="2200" t="str">
        <f t="shared" si="48"/>
        <v>IL</v>
      </c>
      <c r="E829" s="2200">
        <f t="shared" si="49"/>
        <v>25</v>
      </c>
      <c r="F829" s="2200" t="str">
        <f t="shared" si="50"/>
        <v>17</v>
      </c>
      <c r="G829" s="2200" t="str">
        <f t="shared" si="51"/>
        <v>66040</v>
      </c>
      <c r="H829" s="2200">
        <f>--SUBTOTAL(3,C$2:C829)</f>
        <v>99</v>
      </c>
    </row>
    <row r="830" spans="1:8" hidden="1" x14ac:dyDescent="0.15">
      <c r="A830" s="2200" t="s">
        <v>10723</v>
      </c>
      <c r="B830" s="2200" t="s">
        <v>12374</v>
      </c>
      <c r="C830" s="2200" t="s">
        <v>12375</v>
      </c>
      <c r="D830" s="2200" t="str">
        <f t="shared" si="48"/>
        <v>IL</v>
      </c>
      <c r="E830" s="2200">
        <f t="shared" si="49"/>
        <v>19</v>
      </c>
      <c r="F830" s="2200" t="str">
        <f t="shared" si="50"/>
        <v>17</v>
      </c>
      <c r="G830" s="2200" t="str">
        <f t="shared" si="51"/>
        <v>68003</v>
      </c>
      <c r="H830" s="2200">
        <f>--SUBTOTAL(3,C$2:C830)</f>
        <v>99</v>
      </c>
    </row>
    <row r="831" spans="1:8" hidden="1" x14ac:dyDescent="0.15">
      <c r="A831" s="2200" t="s">
        <v>10723</v>
      </c>
      <c r="B831" s="2200" t="s">
        <v>12376</v>
      </c>
      <c r="C831" s="2200" t="s">
        <v>12377</v>
      </c>
      <c r="D831" s="2200" t="str">
        <f t="shared" si="48"/>
        <v>IL</v>
      </c>
      <c r="E831" s="2200">
        <f t="shared" si="49"/>
        <v>15</v>
      </c>
      <c r="F831" s="2200" t="str">
        <f t="shared" si="50"/>
        <v>17</v>
      </c>
      <c r="G831" s="2200" t="str">
        <f t="shared" si="51"/>
        <v>70122</v>
      </c>
      <c r="H831" s="2200">
        <f>--SUBTOTAL(3,C$2:C831)</f>
        <v>99</v>
      </c>
    </row>
    <row r="832" spans="1:8" hidden="1" x14ac:dyDescent="0.15">
      <c r="A832" s="2200" t="s">
        <v>10723</v>
      </c>
      <c r="B832" s="2200" t="s">
        <v>12378</v>
      </c>
      <c r="C832" s="2200" t="s">
        <v>12379</v>
      </c>
      <c r="D832" s="2200" t="str">
        <f t="shared" si="48"/>
        <v>IL</v>
      </c>
      <c r="E832" s="2200">
        <f t="shared" si="49"/>
        <v>17</v>
      </c>
      <c r="F832" s="2200" t="str">
        <f t="shared" si="50"/>
        <v>17</v>
      </c>
      <c r="G832" s="2200" t="str">
        <f t="shared" si="51"/>
        <v>72000</v>
      </c>
      <c r="H832" s="2200">
        <f>--SUBTOTAL(3,C$2:C832)</f>
        <v>99</v>
      </c>
    </row>
    <row r="833" spans="1:8" hidden="1" x14ac:dyDescent="0.15">
      <c r="A833" s="2200" t="s">
        <v>10723</v>
      </c>
      <c r="B833" s="2200" t="s">
        <v>12380</v>
      </c>
      <c r="C833" s="2200" t="s">
        <v>12381</v>
      </c>
      <c r="D833" s="2200" t="str">
        <f t="shared" si="48"/>
        <v>IL</v>
      </c>
      <c r="E833" s="2200">
        <f t="shared" si="49"/>
        <v>17</v>
      </c>
      <c r="F833" s="2200" t="str">
        <f t="shared" si="50"/>
        <v>17</v>
      </c>
      <c r="G833" s="2200" t="str">
        <f t="shared" si="51"/>
        <v>66703</v>
      </c>
      <c r="H833" s="2200">
        <f>--SUBTOTAL(3,C$2:C833)</f>
        <v>99</v>
      </c>
    </row>
    <row r="834" spans="1:8" hidden="1" x14ac:dyDescent="0.15">
      <c r="A834" s="2200" t="s">
        <v>10723</v>
      </c>
      <c r="B834" s="2200" t="s">
        <v>12382</v>
      </c>
      <c r="C834" s="2200" t="s">
        <v>12383</v>
      </c>
      <c r="D834" s="2200" t="str">
        <f t="shared" ref="D834:D897" si="52">MID(C834,E834+2,2)</f>
        <v>IL</v>
      </c>
      <c r="E834" s="2200">
        <f t="shared" ref="E834:E897" si="53">FIND(",",C834)</f>
        <v>19</v>
      </c>
      <c r="F834" s="2200" t="str">
        <f t="shared" si="50"/>
        <v>17</v>
      </c>
      <c r="G834" s="2200" t="str">
        <f t="shared" si="51"/>
        <v>73157</v>
      </c>
      <c r="H834" s="2200">
        <f>--SUBTOTAL(3,C$2:C834)</f>
        <v>99</v>
      </c>
    </row>
    <row r="835" spans="1:8" hidden="1" x14ac:dyDescent="0.15">
      <c r="A835" s="2200" t="s">
        <v>10723</v>
      </c>
      <c r="B835" s="2200" t="s">
        <v>12384</v>
      </c>
      <c r="C835" s="2200" t="s">
        <v>12385</v>
      </c>
      <c r="D835" s="2200" t="str">
        <f t="shared" si="52"/>
        <v>IL</v>
      </c>
      <c r="E835" s="2200">
        <f t="shared" si="53"/>
        <v>20</v>
      </c>
      <c r="F835" s="2200" t="str">
        <f t="shared" ref="F835:F898" si="54">MID(B835,3,2)</f>
        <v>17</v>
      </c>
      <c r="G835" s="2200" t="str">
        <f t="shared" ref="G835:G898" si="55">MID(B835,5,5)</f>
        <v>75484</v>
      </c>
      <c r="H835" s="2200">
        <f>--SUBTOTAL(3,C$2:C835)</f>
        <v>99</v>
      </c>
    </row>
    <row r="836" spans="1:8" hidden="1" x14ac:dyDescent="0.15">
      <c r="A836" s="2200" t="s">
        <v>10723</v>
      </c>
      <c r="B836" s="2200" t="s">
        <v>12386</v>
      </c>
      <c r="C836" s="2200" t="s">
        <v>12387</v>
      </c>
      <c r="D836" s="2200" t="str">
        <f t="shared" si="52"/>
        <v>IL</v>
      </c>
      <c r="E836" s="2200">
        <f t="shared" si="53"/>
        <v>12</v>
      </c>
      <c r="F836" s="2200" t="str">
        <f t="shared" si="54"/>
        <v>17</v>
      </c>
      <c r="G836" s="2200" t="str">
        <f t="shared" si="55"/>
        <v>77005</v>
      </c>
      <c r="H836" s="2200">
        <f>--SUBTOTAL(3,C$2:C836)</f>
        <v>99</v>
      </c>
    </row>
    <row r="837" spans="1:8" hidden="1" x14ac:dyDescent="0.15">
      <c r="A837" s="2200" t="s">
        <v>10723</v>
      </c>
      <c r="B837" s="2200" t="s">
        <v>12388</v>
      </c>
      <c r="C837" s="2200" t="s">
        <v>12389</v>
      </c>
      <c r="D837" s="2200" t="str">
        <f t="shared" si="52"/>
        <v>IL</v>
      </c>
      <c r="E837" s="2200">
        <f t="shared" si="53"/>
        <v>21</v>
      </c>
      <c r="F837" s="2200" t="str">
        <f t="shared" si="54"/>
        <v>17</v>
      </c>
      <c r="G837" s="2200" t="str">
        <f t="shared" si="55"/>
        <v>77694</v>
      </c>
      <c r="H837" s="2200">
        <f>--SUBTOTAL(3,C$2:C837)</f>
        <v>99</v>
      </c>
    </row>
    <row r="838" spans="1:8" hidden="1" x14ac:dyDescent="0.15">
      <c r="A838" s="2200" t="s">
        <v>10723</v>
      </c>
      <c r="B838" s="2200" t="s">
        <v>12390</v>
      </c>
      <c r="C838" s="2200" t="s">
        <v>12391</v>
      </c>
      <c r="D838" s="2200" t="str">
        <f t="shared" si="52"/>
        <v>IL</v>
      </c>
      <c r="E838" s="2200">
        <f t="shared" si="53"/>
        <v>14</v>
      </c>
      <c r="F838" s="2200" t="str">
        <f t="shared" si="54"/>
        <v>17</v>
      </c>
      <c r="G838" s="2200" t="str">
        <f t="shared" si="55"/>
        <v>79293</v>
      </c>
      <c r="H838" s="2200">
        <f>--SUBTOTAL(3,C$2:C838)</f>
        <v>99</v>
      </c>
    </row>
    <row r="839" spans="1:8" hidden="1" x14ac:dyDescent="0.15">
      <c r="A839" s="2200" t="s">
        <v>10723</v>
      </c>
      <c r="B839" s="2200" t="s">
        <v>12392</v>
      </c>
      <c r="C839" s="2200" t="s">
        <v>12393</v>
      </c>
      <c r="D839" s="2200" t="str">
        <f t="shared" si="52"/>
        <v>IL</v>
      </c>
      <c r="E839" s="2200">
        <f t="shared" si="53"/>
        <v>18</v>
      </c>
      <c r="F839" s="2200" t="str">
        <f t="shared" si="54"/>
        <v>17</v>
      </c>
      <c r="G839" s="2200" t="str">
        <f t="shared" si="55"/>
        <v>80060</v>
      </c>
      <c r="H839" s="2200">
        <f>--SUBTOTAL(3,C$2:C839)</f>
        <v>99</v>
      </c>
    </row>
    <row r="840" spans="1:8" hidden="1" x14ac:dyDescent="0.15">
      <c r="A840" s="2200" t="s">
        <v>10723</v>
      </c>
      <c r="B840" s="2200" t="s">
        <v>12394</v>
      </c>
      <c r="C840" s="2200" t="s">
        <v>12395</v>
      </c>
      <c r="D840" s="2200" t="str">
        <f t="shared" si="52"/>
        <v>IL</v>
      </c>
      <c r="E840" s="2200">
        <f t="shared" si="53"/>
        <v>17</v>
      </c>
      <c r="F840" s="2200" t="str">
        <f t="shared" si="54"/>
        <v>17</v>
      </c>
      <c r="G840" s="2200" t="str">
        <f t="shared" si="55"/>
        <v>80645</v>
      </c>
      <c r="H840" s="2200">
        <f>--SUBTOTAL(3,C$2:C840)</f>
        <v>99</v>
      </c>
    </row>
    <row r="841" spans="1:8" hidden="1" x14ac:dyDescent="0.15">
      <c r="A841" s="2200" t="s">
        <v>10723</v>
      </c>
      <c r="B841" s="2200" t="s">
        <v>12396</v>
      </c>
      <c r="C841" s="2200" t="s">
        <v>12397</v>
      </c>
      <c r="D841" s="2200" t="str">
        <f t="shared" si="52"/>
        <v>IL</v>
      </c>
      <c r="E841" s="2200">
        <f t="shared" si="53"/>
        <v>13</v>
      </c>
      <c r="F841" s="2200" t="str">
        <f t="shared" si="54"/>
        <v>17</v>
      </c>
      <c r="G841" s="2200" t="str">
        <f t="shared" si="55"/>
        <v>81048</v>
      </c>
      <c r="H841" s="2200">
        <f>--SUBTOTAL(3,C$2:C841)</f>
        <v>99</v>
      </c>
    </row>
    <row r="842" spans="1:8" hidden="1" x14ac:dyDescent="0.15">
      <c r="A842" s="2200" t="s">
        <v>10723</v>
      </c>
      <c r="B842" s="2200" t="s">
        <v>12398</v>
      </c>
      <c r="C842" s="2200" t="s">
        <v>12399</v>
      </c>
      <c r="D842" s="2200" t="str">
        <f t="shared" si="52"/>
        <v>IL</v>
      </c>
      <c r="E842" s="2200">
        <f t="shared" si="53"/>
        <v>17</v>
      </c>
      <c r="F842" s="2200" t="str">
        <f t="shared" si="54"/>
        <v>17</v>
      </c>
      <c r="G842" s="2200" t="str">
        <f t="shared" si="55"/>
        <v>81087</v>
      </c>
      <c r="H842" s="2200">
        <f>--SUBTOTAL(3,C$2:C842)</f>
        <v>99</v>
      </c>
    </row>
    <row r="843" spans="1:8" hidden="1" x14ac:dyDescent="0.15">
      <c r="A843" s="2200" t="s">
        <v>10723</v>
      </c>
      <c r="B843" s="2200" t="s">
        <v>12400</v>
      </c>
      <c r="C843" s="2200" t="s">
        <v>12401</v>
      </c>
      <c r="D843" s="2200" t="str">
        <f t="shared" si="52"/>
        <v>IL</v>
      </c>
      <c r="E843" s="2200">
        <f t="shared" si="53"/>
        <v>17</v>
      </c>
      <c r="F843" s="2200" t="str">
        <f t="shared" si="54"/>
        <v>17</v>
      </c>
      <c r="G843" s="2200" t="str">
        <f t="shared" si="55"/>
        <v>82075</v>
      </c>
      <c r="H843" s="2200">
        <f>--SUBTOTAL(3,C$2:C843)</f>
        <v>99</v>
      </c>
    </row>
    <row r="844" spans="1:8" hidden="1" x14ac:dyDescent="0.15">
      <c r="A844" s="2200" t="s">
        <v>10723</v>
      </c>
      <c r="B844" s="2200" t="s">
        <v>12402</v>
      </c>
      <c r="C844" s="2200" t="s">
        <v>12403</v>
      </c>
      <c r="D844" s="2200" t="str">
        <f t="shared" si="52"/>
        <v>IL</v>
      </c>
      <c r="E844" s="2200">
        <f t="shared" si="53"/>
        <v>18</v>
      </c>
      <c r="F844" s="2200" t="str">
        <f t="shared" si="54"/>
        <v>17</v>
      </c>
      <c r="G844" s="2200" t="str">
        <f t="shared" si="55"/>
        <v>83245</v>
      </c>
      <c r="H844" s="2200">
        <f>--SUBTOTAL(3,C$2:C844)</f>
        <v>99</v>
      </c>
    </row>
    <row r="845" spans="1:8" hidden="1" x14ac:dyDescent="0.15">
      <c r="A845" s="2200" t="s">
        <v>10723</v>
      </c>
      <c r="B845" s="2200" t="s">
        <v>12404</v>
      </c>
      <c r="C845" s="2200" t="s">
        <v>12405</v>
      </c>
      <c r="D845" s="2200" t="str">
        <f t="shared" si="52"/>
        <v>IL</v>
      </c>
      <c r="E845" s="2200">
        <f t="shared" si="53"/>
        <v>15</v>
      </c>
      <c r="F845" s="2200" t="str">
        <f t="shared" si="54"/>
        <v>17</v>
      </c>
      <c r="G845" s="2200" t="str">
        <f t="shared" si="55"/>
        <v>83349</v>
      </c>
      <c r="H845" s="2200">
        <f>--SUBTOTAL(3,C$2:C845)</f>
        <v>99</v>
      </c>
    </row>
    <row r="846" spans="1:8" hidden="1" x14ac:dyDescent="0.15">
      <c r="A846" s="2200" t="s">
        <v>10723</v>
      </c>
      <c r="B846" s="2200" t="s">
        <v>12406</v>
      </c>
      <c r="C846" s="2200" t="s">
        <v>12407</v>
      </c>
      <c r="D846" s="2200" t="str">
        <f t="shared" si="52"/>
        <v>IL</v>
      </c>
      <c r="E846" s="2200">
        <f t="shared" si="53"/>
        <v>10</v>
      </c>
      <c r="F846" s="2200" t="str">
        <f t="shared" si="54"/>
        <v>17</v>
      </c>
      <c r="G846" s="2200" t="str">
        <f t="shared" si="55"/>
        <v>84220</v>
      </c>
      <c r="H846" s="2200">
        <f>--SUBTOTAL(3,C$2:C846)</f>
        <v>99</v>
      </c>
    </row>
    <row r="847" spans="1:8" hidden="1" x14ac:dyDescent="0.15">
      <c r="A847" s="2200" t="s">
        <v>10723</v>
      </c>
      <c r="B847" s="2200" t="s">
        <v>12408</v>
      </c>
      <c r="C847" s="2200" t="s">
        <v>12409</v>
      </c>
      <c r="D847" s="2200" t="str">
        <f t="shared" si="52"/>
        <v>IN</v>
      </c>
      <c r="E847" s="2200">
        <f t="shared" si="53"/>
        <v>14</v>
      </c>
      <c r="F847" s="2200" t="str">
        <f t="shared" si="54"/>
        <v>18</v>
      </c>
      <c r="G847" s="2200" t="str">
        <f t="shared" si="55"/>
        <v>01468</v>
      </c>
      <c r="H847" s="2200">
        <f>--SUBTOTAL(3,C$2:C847)</f>
        <v>99</v>
      </c>
    </row>
    <row r="848" spans="1:8" hidden="1" x14ac:dyDescent="0.15">
      <c r="A848" s="2200" t="s">
        <v>10723</v>
      </c>
      <c r="B848" s="2200" t="s">
        <v>12410</v>
      </c>
      <c r="C848" s="2200" t="s">
        <v>12411</v>
      </c>
      <c r="D848" s="2200" t="str">
        <f t="shared" si="52"/>
        <v>IN</v>
      </c>
      <c r="E848" s="2200">
        <f t="shared" si="53"/>
        <v>17</v>
      </c>
      <c r="F848" s="2200" t="str">
        <f t="shared" si="54"/>
        <v>18</v>
      </c>
      <c r="G848" s="2200" t="str">
        <f t="shared" si="55"/>
        <v>05860</v>
      </c>
      <c r="H848" s="2200">
        <f>--SUBTOTAL(3,C$2:C848)</f>
        <v>99</v>
      </c>
    </row>
    <row r="849" spans="1:8" hidden="1" x14ac:dyDescent="0.15">
      <c r="A849" s="2200" t="s">
        <v>10723</v>
      </c>
      <c r="B849" s="2200" t="s">
        <v>12412</v>
      </c>
      <c r="C849" s="2200" t="s">
        <v>12413</v>
      </c>
      <c r="D849" s="2200" t="str">
        <f t="shared" si="52"/>
        <v>IN</v>
      </c>
      <c r="E849" s="2200">
        <f t="shared" si="53"/>
        <v>16</v>
      </c>
      <c r="F849" s="2200" t="str">
        <f t="shared" si="54"/>
        <v>18</v>
      </c>
      <c r="G849" s="2200" t="str">
        <f t="shared" si="55"/>
        <v>08416</v>
      </c>
      <c r="H849" s="2200">
        <f>--SUBTOTAL(3,C$2:C849)</f>
        <v>99</v>
      </c>
    </row>
    <row r="850" spans="1:8" hidden="1" x14ac:dyDescent="0.15">
      <c r="A850" s="2200" t="s">
        <v>10723</v>
      </c>
      <c r="B850" s="2200" t="s">
        <v>12414</v>
      </c>
      <c r="C850" s="2200" t="s">
        <v>12415</v>
      </c>
      <c r="D850" s="2200" t="str">
        <f t="shared" si="52"/>
        <v>IN</v>
      </c>
      <c r="E850" s="2200">
        <f t="shared" si="53"/>
        <v>12</v>
      </c>
      <c r="F850" s="2200" t="str">
        <f t="shared" si="54"/>
        <v>18</v>
      </c>
      <c r="G850" s="2200" t="str">
        <f t="shared" si="55"/>
        <v>10342</v>
      </c>
      <c r="H850" s="2200">
        <f>--SUBTOTAL(3,C$2:C850)</f>
        <v>99</v>
      </c>
    </row>
    <row r="851" spans="1:8" hidden="1" x14ac:dyDescent="0.15">
      <c r="A851" s="2200" t="s">
        <v>10723</v>
      </c>
      <c r="B851" s="2200" t="s">
        <v>12416</v>
      </c>
      <c r="C851" s="2200" t="s">
        <v>12417</v>
      </c>
      <c r="D851" s="2200" t="str">
        <f t="shared" si="52"/>
        <v>IN</v>
      </c>
      <c r="E851" s="2200">
        <f t="shared" si="53"/>
        <v>14</v>
      </c>
      <c r="F851" s="2200" t="str">
        <f t="shared" si="54"/>
        <v>18</v>
      </c>
      <c r="G851" s="2200" t="str">
        <f t="shared" si="55"/>
        <v>14734</v>
      </c>
      <c r="H851" s="2200">
        <f>--SUBTOTAL(3,C$2:C851)</f>
        <v>99</v>
      </c>
    </row>
    <row r="852" spans="1:8" hidden="1" x14ac:dyDescent="0.15">
      <c r="A852" s="2200" t="s">
        <v>10723</v>
      </c>
      <c r="B852" s="2200" t="s">
        <v>12418</v>
      </c>
      <c r="C852" s="2200" t="s">
        <v>12419</v>
      </c>
      <c r="D852" s="2200" t="str">
        <f t="shared" si="52"/>
        <v>IN</v>
      </c>
      <c r="E852" s="2200">
        <f t="shared" si="53"/>
        <v>17</v>
      </c>
      <c r="F852" s="2200" t="str">
        <f t="shared" si="54"/>
        <v>18</v>
      </c>
      <c r="G852" s="2200" t="str">
        <f t="shared" si="55"/>
        <v>16138</v>
      </c>
      <c r="H852" s="2200">
        <f>--SUBTOTAL(3,C$2:C852)</f>
        <v>99</v>
      </c>
    </row>
    <row r="853" spans="1:8" hidden="1" x14ac:dyDescent="0.15">
      <c r="A853" s="2200" t="s">
        <v>10723</v>
      </c>
      <c r="B853" s="2200" t="s">
        <v>12420</v>
      </c>
      <c r="C853" s="2200" t="s">
        <v>12421</v>
      </c>
      <c r="D853" s="2200" t="str">
        <f t="shared" si="52"/>
        <v>IN</v>
      </c>
      <c r="E853" s="2200">
        <f t="shared" si="53"/>
        <v>18</v>
      </c>
      <c r="F853" s="2200" t="str">
        <f t="shared" si="54"/>
        <v>18</v>
      </c>
      <c r="G853" s="2200" t="str">
        <f t="shared" si="55"/>
        <v>19486</v>
      </c>
      <c r="H853" s="2200">
        <f>--SUBTOTAL(3,C$2:C853)</f>
        <v>99</v>
      </c>
    </row>
    <row r="854" spans="1:8" hidden="1" x14ac:dyDescent="0.15">
      <c r="A854" s="2200" t="s">
        <v>10723</v>
      </c>
      <c r="B854" s="2200" t="s">
        <v>12422</v>
      </c>
      <c r="C854" s="2200" t="s">
        <v>12423</v>
      </c>
      <c r="D854" s="2200" t="str">
        <f t="shared" si="52"/>
        <v>IN</v>
      </c>
      <c r="E854" s="2200">
        <f t="shared" si="53"/>
        <v>13</v>
      </c>
      <c r="F854" s="2200" t="str">
        <f t="shared" si="54"/>
        <v>18</v>
      </c>
      <c r="G854" s="2200" t="str">
        <f t="shared" si="55"/>
        <v>20728</v>
      </c>
      <c r="H854" s="2200">
        <f>--SUBTOTAL(3,C$2:C854)</f>
        <v>99</v>
      </c>
    </row>
    <row r="855" spans="1:8" hidden="1" x14ac:dyDescent="0.15">
      <c r="A855" s="2200" t="s">
        <v>10723</v>
      </c>
      <c r="B855" s="2200" t="s">
        <v>12424</v>
      </c>
      <c r="C855" s="2200" t="s">
        <v>12425</v>
      </c>
      <c r="D855" s="2200" t="str">
        <f t="shared" si="52"/>
        <v>IN</v>
      </c>
      <c r="E855" s="2200">
        <f t="shared" si="53"/>
        <v>16</v>
      </c>
      <c r="F855" s="2200" t="str">
        <f t="shared" si="54"/>
        <v>18</v>
      </c>
      <c r="G855" s="2200" t="str">
        <f t="shared" si="55"/>
        <v>22000</v>
      </c>
      <c r="H855" s="2200">
        <f>--SUBTOTAL(3,C$2:C855)</f>
        <v>99</v>
      </c>
    </row>
    <row r="856" spans="1:8" hidden="1" x14ac:dyDescent="0.15">
      <c r="A856" s="2200" t="s">
        <v>10723</v>
      </c>
      <c r="B856" s="2200" t="s">
        <v>12426</v>
      </c>
      <c r="C856" s="2200" t="s">
        <v>12427</v>
      </c>
      <c r="D856" s="2200" t="str">
        <f t="shared" si="52"/>
        <v>IN</v>
      </c>
      <c r="E856" s="2200">
        <f t="shared" si="53"/>
        <v>13</v>
      </c>
      <c r="F856" s="2200" t="str">
        <f t="shared" si="54"/>
        <v>18</v>
      </c>
      <c r="G856" s="2200" t="str">
        <f t="shared" si="55"/>
        <v>23278</v>
      </c>
      <c r="H856" s="2200">
        <f>--SUBTOTAL(3,C$2:C856)</f>
        <v>99</v>
      </c>
    </row>
    <row r="857" spans="1:8" hidden="1" x14ac:dyDescent="0.15">
      <c r="A857" s="2200" t="s">
        <v>10723</v>
      </c>
      <c r="B857" s="2200" t="s">
        <v>12428</v>
      </c>
      <c r="C857" s="2200" t="s">
        <v>12429</v>
      </c>
      <c r="D857" s="2200" t="str">
        <f t="shared" si="52"/>
        <v>IN</v>
      </c>
      <c r="E857" s="2200">
        <f t="shared" si="53"/>
        <v>16</v>
      </c>
      <c r="F857" s="2200" t="str">
        <f t="shared" si="54"/>
        <v>18</v>
      </c>
      <c r="G857" s="2200" t="str">
        <f t="shared" si="55"/>
        <v>25000</v>
      </c>
      <c r="H857" s="2200">
        <f>--SUBTOTAL(3,C$2:C857)</f>
        <v>99</v>
      </c>
    </row>
    <row r="858" spans="1:8" hidden="1" x14ac:dyDescent="0.15">
      <c r="A858" s="2200" t="s">
        <v>10723</v>
      </c>
      <c r="B858" s="2200" t="s">
        <v>12430</v>
      </c>
      <c r="C858" s="2200" t="s">
        <v>12431</v>
      </c>
      <c r="D858" s="2200" t="str">
        <f t="shared" si="52"/>
        <v>IN</v>
      </c>
      <c r="E858" s="2200">
        <f t="shared" si="53"/>
        <v>14</v>
      </c>
      <c r="F858" s="2200" t="str">
        <f t="shared" si="54"/>
        <v>18</v>
      </c>
      <c r="G858" s="2200" t="str">
        <f t="shared" si="55"/>
        <v>25450</v>
      </c>
      <c r="H858" s="2200">
        <f>--SUBTOTAL(3,C$2:C858)</f>
        <v>99</v>
      </c>
    </row>
    <row r="859" spans="1:8" hidden="1" x14ac:dyDescent="0.15">
      <c r="A859" s="2200" t="s">
        <v>10723</v>
      </c>
      <c r="B859" s="2200" t="s">
        <v>12432</v>
      </c>
      <c r="C859" s="2200" t="s">
        <v>12433</v>
      </c>
      <c r="D859" s="2200" t="str">
        <f t="shared" si="52"/>
        <v>IN</v>
      </c>
      <c r="E859" s="2200">
        <f t="shared" si="53"/>
        <v>10</v>
      </c>
      <c r="F859" s="2200" t="str">
        <f t="shared" si="54"/>
        <v>18</v>
      </c>
      <c r="G859" s="2200" t="str">
        <f t="shared" si="55"/>
        <v>27000</v>
      </c>
      <c r="H859" s="2200">
        <f>--SUBTOTAL(3,C$2:C859)</f>
        <v>99</v>
      </c>
    </row>
    <row r="860" spans="1:8" hidden="1" x14ac:dyDescent="0.15">
      <c r="A860" s="2200" t="s">
        <v>10723</v>
      </c>
      <c r="B860" s="2200" t="s">
        <v>12434</v>
      </c>
      <c r="C860" s="2200" t="s">
        <v>12435</v>
      </c>
      <c r="D860" s="2200" t="str">
        <f t="shared" si="52"/>
        <v>IN</v>
      </c>
      <c r="E860" s="2200">
        <f t="shared" si="53"/>
        <v>12</v>
      </c>
      <c r="F860" s="2200" t="str">
        <f t="shared" si="54"/>
        <v>18</v>
      </c>
      <c r="G860" s="2200" t="str">
        <f t="shared" si="55"/>
        <v>28386</v>
      </c>
      <c r="H860" s="2200">
        <f>--SUBTOTAL(3,C$2:C860)</f>
        <v>99</v>
      </c>
    </row>
    <row r="861" spans="1:8" hidden="1" x14ac:dyDescent="0.15">
      <c r="A861" s="2200" t="s">
        <v>10723</v>
      </c>
      <c r="B861" s="2200" t="s">
        <v>12436</v>
      </c>
      <c r="C861" s="2200" t="s">
        <v>12437</v>
      </c>
      <c r="D861" s="2200" t="str">
        <f t="shared" si="52"/>
        <v>IN</v>
      </c>
      <c r="E861" s="2200">
        <f t="shared" si="53"/>
        <v>15</v>
      </c>
      <c r="F861" s="2200" t="str">
        <f t="shared" si="54"/>
        <v>18</v>
      </c>
      <c r="G861" s="2200" t="str">
        <f t="shared" si="55"/>
        <v>29898</v>
      </c>
      <c r="H861" s="2200">
        <f>--SUBTOTAL(3,C$2:C861)</f>
        <v>99</v>
      </c>
    </row>
    <row r="862" spans="1:8" hidden="1" x14ac:dyDescent="0.15">
      <c r="A862" s="2200" t="s">
        <v>10723</v>
      </c>
      <c r="B862" s="2200" t="s">
        <v>12438</v>
      </c>
      <c r="C862" s="2200" t="s">
        <v>12439</v>
      </c>
      <c r="D862" s="2200" t="str">
        <f t="shared" si="52"/>
        <v>IN</v>
      </c>
      <c r="E862" s="2200">
        <f t="shared" si="53"/>
        <v>13</v>
      </c>
      <c r="F862" s="2200" t="str">
        <f t="shared" si="54"/>
        <v>18</v>
      </c>
      <c r="G862" s="2200" t="str">
        <f t="shared" si="55"/>
        <v>31000</v>
      </c>
      <c r="H862" s="2200">
        <f>--SUBTOTAL(3,C$2:C862)</f>
        <v>99</v>
      </c>
    </row>
    <row r="863" spans="1:8" hidden="1" x14ac:dyDescent="0.15">
      <c r="A863" s="2200" t="s">
        <v>10723</v>
      </c>
      <c r="B863" s="2200" t="s">
        <v>12440</v>
      </c>
      <c r="C863" s="2200" t="s">
        <v>12441</v>
      </c>
      <c r="D863" s="2200" t="str">
        <f t="shared" si="52"/>
        <v>IN</v>
      </c>
      <c r="E863" s="2200">
        <f t="shared" si="53"/>
        <v>12</v>
      </c>
      <c r="F863" s="2200" t="str">
        <f t="shared" si="54"/>
        <v>18</v>
      </c>
      <c r="G863" s="2200" t="str">
        <f t="shared" si="55"/>
        <v>34114</v>
      </c>
      <c r="H863" s="2200">
        <f>--SUBTOTAL(3,C$2:C863)</f>
        <v>99</v>
      </c>
    </row>
    <row r="864" spans="1:8" hidden="1" x14ac:dyDescent="0.15">
      <c r="A864" s="2200" t="s">
        <v>10723</v>
      </c>
      <c r="B864" s="2200" t="s">
        <v>12442</v>
      </c>
      <c r="C864" s="2200" t="s">
        <v>12443</v>
      </c>
      <c r="D864" s="2200" t="str">
        <f t="shared" si="52"/>
        <v>IN</v>
      </c>
      <c r="E864" s="2200">
        <f t="shared" si="53"/>
        <v>33</v>
      </c>
      <c r="F864" s="2200" t="str">
        <f t="shared" si="54"/>
        <v>18</v>
      </c>
      <c r="G864" s="2200" t="str">
        <f t="shared" si="55"/>
        <v>36000</v>
      </c>
      <c r="H864" s="2200">
        <f>--SUBTOTAL(3,C$2:C864)</f>
        <v>99</v>
      </c>
    </row>
    <row r="865" spans="1:8" hidden="1" x14ac:dyDescent="0.15">
      <c r="A865" s="2200" t="s">
        <v>10723</v>
      </c>
      <c r="B865" s="2200" t="s">
        <v>12444</v>
      </c>
      <c r="C865" s="2200" t="s">
        <v>12445</v>
      </c>
      <c r="D865" s="2200" t="str">
        <f t="shared" si="52"/>
        <v>IN</v>
      </c>
      <c r="E865" s="2200">
        <f t="shared" si="53"/>
        <v>33</v>
      </c>
      <c r="F865" s="2200" t="str">
        <f t="shared" si="54"/>
        <v>18</v>
      </c>
      <c r="G865" s="2200" t="str">
        <f t="shared" si="55"/>
        <v>36003</v>
      </c>
      <c r="H865" s="2200">
        <f>--SUBTOTAL(3,C$2:C865)</f>
        <v>99</v>
      </c>
    </row>
    <row r="866" spans="1:8" hidden="1" x14ac:dyDescent="0.15">
      <c r="A866" s="2200" t="s">
        <v>10723</v>
      </c>
      <c r="B866" s="2200" t="s">
        <v>12446</v>
      </c>
      <c r="C866" s="2200" t="s">
        <v>12447</v>
      </c>
      <c r="D866" s="2200" t="str">
        <f t="shared" si="52"/>
        <v>IN</v>
      </c>
      <c r="E866" s="2200">
        <f t="shared" si="53"/>
        <v>20</v>
      </c>
      <c r="F866" s="2200" t="str">
        <f t="shared" si="54"/>
        <v>18</v>
      </c>
      <c r="G866" s="2200" t="str">
        <f t="shared" si="55"/>
        <v>38358</v>
      </c>
      <c r="H866" s="2200">
        <f>--SUBTOTAL(3,C$2:C866)</f>
        <v>99</v>
      </c>
    </row>
    <row r="867" spans="1:8" hidden="1" x14ac:dyDescent="0.15">
      <c r="A867" s="2200" t="s">
        <v>10723</v>
      </c>
      <c r="B867" s="2200" t="s">
        <v>12448</v>
      </c>
      <c r="C867" s="2200" t="s">
        <v>12449</v>
      </c>
      <c r="D867" s="2200" t="str">
        <f t="shared" si="52"/>
        <v>IN</v>
      </c>
      <c r="E867" s="2200">
        <f t="shared" si="53"/>
        <v>12</v>
      </c>
      <c r="F867" s="2200" t="str">
        <f t="shared" si="54"/>
        <v>18</v>
      </c>
      <c r="G867" s="2200" t="str">
        <f t="shared" si="55"/>
        <v>40392</v>
      </c>
      <c r="H867" s="2200">
        <f>--SUBTOTAL(3,C$2:C867)</f>
        <v>99</v>
      </c>
    </row>
    <row r="868" spans="1:8" hidden="1" x14ac:dyDescent="0.15">
      <c r="A868" s="2200" t="s">
        <v>10723</v>
      </c>
      <c r="B868" s="2200" t="s">
        <v>12450</v>
      </c>
      <c r="C868" s="2200" t="s">
        <v>12451</v>
      </c>
      <c r="D868" s="2200" t="str">
        <f t="shared" si="52"/>
        <v>IN</v>
      </c>
      <c r="E868" s="2200">
        <f t="shared" si="53"/>
        <v>15</v>
      </c>
      <c r="F868" s="2200" t="str">
        <f t="shared" si="54"/>
        <v>18</v>
      </c>
      <c r="G868" s="2200" t="str">
        <f t="shared" si="55"/>
        <v>40788</v>
      </c>
      <c r="H868" s="2200">
        <f>--SUBTOTAL(3,C$2:C868)</f>
        <v>99</v>
      </c>
    </row>
    <row r="869" spans="1:8" hidden="1" x14ac:dyDescent="0.15">
      <c r="A869" s="2200" t="s">
        <v>10723</v>
      </c>
      <c r="B869" s="2200" t="s">
        <v>12452</v>
      </c>
      <c r="C869" s="2200" t="s">
        <v>12453</v>
      </c>
      <c r="D869" s="2200" t="str">
        <f t="shared" si="52"/>
        <v>IN</v>
      </c>
      <c r="E869" s="2200">
        <f t="shared" si="53"/>
        <v>14</v>
      </c>
      <c r="F869" s="2200" t="str">
        <f t="shared" si="54"/>
        <v>18</v>
      </c>
      <c r="G869" s="2200" t="str">
        <f t="shared" si="55"/>
        <v>42426</v>
      </c>
      <c r="H869" s="2200">
        <f>--SUBTOTAL(3,C$2:C869)</f>
        <v>99</v>
      </c>
    </row>
    <row r="870" spans="1:8" hidden="1" x14ac:dyDescent="0.15">
      <c r="A870" s="2200" t="s">
        <v>10723</v>
      </c>
      <c r="B870" s="2200" t="s">
        <v>12454</v>
      </c>
      <c r="C870" s="2200" t="s">
        <v>12455</v>
      </c>
      <c r="D870" s="2200" t="str">
        <f t="shared" si="52"/>
        <v>IN</v>
      </c>
      <c r="E870" s="2200">
        <f t="shared" si="53"/>
        <v>12</v>
      </c>
      <c r="F870" s="2200" t="str">
        <f t="shared" si="54"/>
        <v>18</v>
      </c>
      <c r="G870" s="2200" t="str">
        <f t="shared" si="55"/>
        <v>46908</v>
      </c>
      <c r="H870" s="2200">
        <f>--SUBTOTAL(3,C$2:C870)</f>
        <v>99</v>
      </c>
    </row>
    <row r="871" spans="1:8" hidden="1" x14ac:dyDescent="0.15">
      <c r="A871" s="2200" t="s">
        <v>10723</v>
      </c>
      <c r="B871" s="2200" t="s">
        <v>12456</v>
      </c>
      <c r="C871" s="2200" t="s">
        <v>12457</v>
      </c>
      <c r="D871" s="2200" t="str">
        <f t="shared" si="52"/>
        <v>IN</v>
      </c>
      <c r="E871" s="2200">
        <f t="shared" si="53"/>
        <v>18</v>
      </c>
      <c r="F871" s="2200" t="str">
        <f t="shared" si="54"/>
        <v>18</v>
      </c>
      <c r="G871" s="2200" t="str">
        <f t="shared" si="55"/>
        <v>48528</v>
      </c>
      <c r="H871" s="2200">
        <f>--SUBTOTAL(3,C$2:C871)</f>
        <v>99</v>
      </c>
    </row>
    <row r="872" spans="1:8" hidden="1" x14ac:dyDescent="0.15">
      <c r="A872" s="2200" t="s">
        <v>10723</v>
      </c>
      <c r="B872" s="2200" t="s">
        <v>12458</v>
      </c>
      <c r="C872" s="2200" t="s">
        <v>12459</v>
      </c>
      <c r="D872" s="2200" t="str">
        <f t="shared" si="52"/>
        <v>IN</v>
      </c>
      <c r="E872" s="2200">
        <f t="shared" si="53"/>
        <v>19</v>
      </c>
      <c r="F872" s="2200" t="str">
        <f t="shared" si="54"/>
        <v>18</v>
      </c>
      <c r="G872" s="2200" t="str">
        <f t="shared" si="55"/>
        <v>48798</v>
      </c>
      <c r="H872" s="2200">
        <f>--SUBTOTAL(3,C$2:C872)</f>
        <v>99</v>
      </c>
    </row>
    <row r="873" spans="1:8" hidden="1" x14ac:dyDescent="0.15">
      <c r="A873" s="2200" t="s">
        <v>10723</v>
      </c>
      <c r="B873" s="2200" t="s">
        <v>12460</v>
      </c>
      <c r="C873" s="2200" t="s">
        <v>12461</v>
      </c>
      <c r="D873" s="2200" t="str">
        <f t="shared" si="52"/>
        <v>IN</v>
      </c>
      <c r="E873" s="2200">
        <f t="shared" si="53"/>
        <v>15</v>
      </c>
      <c r="F873" s="2200" t="str">
        <f t="shared" si="54"/>
        <v>18</v>
      </c>
      <c r="G873" s="2200" t="str">
        <f t="shared" si="55"/>
        <v>49932</v>
      </c>
      <c r="H873" s="2200">
        <f>--SUBTOTAL(3,C$2:C873)</f>
        <v>99</v>
      </c>
    </row>
    <row r="874" spans="1:8" hidden="1" x14ac:dyDescent="0.15">
      <c r="A874" s="2200" t="s">
        <v>10723</v>
      </c>
      <c r="B874" s="2200" t="s">
        <v>12462</v>
      </c>
      <c r="C874" s="2200" t="s">
        <v>12463</v>
      </c>
      <c r="D874" s="2200" t="str">
        <f t="shared" si="52"/>
        <v>IN</v>
      </c>
      <c r="E874" s="2200">
        <f t="shared" si="53"/>
        <v>12</v>
      </c>
      <c r="F874" s="2200" t="str">
        <f t="shared" si="54"/>
        <v>18</v>
      </c>
      <c r="G874" s="2200" t="str">
        <f t="shared" si="55"/>
        <v>51876</v>
      </c>
      <c r="H874" s="2200">
        <f>--SUBTOTAL(3,C$2:C874)</f>
        <v>99</v>
      </c>
    </row>
    <row r="875" spans="1:8" hidden="1" x14ac:dyDescent="0.15">
      <c r="A875" s="2200" t="s">
        <v>10723</v>
      </c>
      <c r="B875" s="2200" t="s">
        <v>12464</v>
      </c>
      <c r="C875" s="2200" t="s">
        <v>12465</v>
      </c>
      <c r="D875" s="2200" t="str">
        <f t="shared" si="52"/>
        <v>IN</v>
      </c>
      <c r="E875" s="2200">
        <f t="shared" si="53"/>
        <v>16</v>
      </c>
      <c r="F875" s="2200" t="str">
        <f t="shared" si="54"/>
        <v>18</v>
      </c>
      <c r="G875" s="2200" t="str">
        <f t="shared" si="55"/>
        <v>52326</v>
      </c>
      <c r="H875" s="2200">
        <f>--SUBTOTAL(3,C$2:C875)</f>
        <v>99</v>
      </c>
    </row>
    <row r="876" spans="1:8" hidden="1" x14ac:dyDescent="0.15">
      <c r="A876" s="2200" t="s">
        <v>10723</v>
      </c>
      <c r="B876" s="2200" t="s">
        <v>12466</v>
      </c>
      <c r="C876" s="2200" t="s">
        <v>12467</v>
      </c>
      <c r="D876" s="2200" t="str">
        <f t="shared" si="52"/>
        <v>IN</v>
      </c>
      <c r="E876" s="2200">
        <f t="shared" si="53"/>
        <v>17</v>
      </c>
      <c r="F876" s="2200" t="str">
        <f t="shared" si="54"/>
        <v>18</v>
      </c>
      <c r="G876" s="2200" t="str">
        <f t="shared" si="55"/>
        <v>54180</v>
      </c>
      <c r="H876" s="2200">
        <f>--SUBTOTAL(3,C$2:C876)</f>
        <v>99</v>
      </c>
    </row>
    <row r="877" spans="1:8" hidden="1" x14ac:dyDescent="0.15">
      <c r="A877" s="2200" t="s">
        <v>10723</v>
      </c>
      <c r="B877" s="2200" t="s">
        <v>12468</v>
      </c>
      <c r="C877" s="2200" t="s">
        <v>12469</v>
      </c>
      <c r="D877" s="2200" t="str">
        <f t="shared" si="52"/>
        <v>IN</v>
      </c>
      <c r="E877" s="2200">
        <f t="shared" si="53"/>
        <v>16</v>
      </c>
      <c r="F877" s="2200" t="str">
        <f t="shared" si="54"/>
        <v>18</v>
      </c>
      <c r="G877" s="2200" t="str">
        <f t="shared" si="55"/>
        <v>60246</v>
      </c>
      <c r="H877" s="2200">
        <f>--SUBTOTAL(3,C$2:C877)</f>
        <v>99</v>
      </c>
    </row>
    <row r="878" spans="1:8" hidden="1" x14ac:dyDescent="0.15">
      <c r="A878" s="2200" t="s">
        <v>10723</v>
      </c>
      <c r="B878" s="2200" t="s">
        <v>12470</v>
      </c>
      <c r="C878" s="2200" t="s">
        <v>12471</v>
      </c>
      <c r="D878" s="2200" t="str">
        <f t="shared" si="52"/>
        <v>IN</v>
      </c>
      <c r="E878" s="2200">
        <f t="shared" si="53"/>
        <v>13</v>
      </c>
      <c r="F878" s="2200" t="str">
        <f t="shared" si="54"/>
        <v>18</v>
      </c>
      <c r="G878" s="2200" t="str">
        <f t="shared" si="55"/>
        <v>61092</v>
      </c>
      <c r="H878" s="2200">
        <f>--SUBTOTAL(3,C$2:C878)</f>
        <v>99</v>
      </c>
    </row>
    <row r="879" spans="1:8" hidden="1" x14ac:dyDescent="0.15">
      <c r="A879" s="2200" t="s">
        <v>10723</v>
      </c>
      <c r="B879" s="2200" t="s">
        <v>12472</v>
      </c>
      <c r="C879" s="2200" t="s">
        <v>12473</v>
      </c>
      <c r="D879" s="2200" t="str">
        <f t="shared" si="52"/>
        <v>IN</v>
      </c>
      <c r="E879" s="2200">
        <f t="shared" si="53"/>
        <v>14</v>
      </c>
      <c r="F879" s="2200" t="str">
        <f t="shared" si="54"/>
        <v>18</v>
      </c>
      <c r="G879" s="2200" t="str">
        <f t="shared" si="55"/>
        <v>64260</v>
      </c>
      <c r="H879" s="2200">
        <f>--SUBTOTAL(3,C$2:C879)</f>
        <v>99</v>
      </c>
    </row>
    <row r="880" spans="1:8" hidden="1" x14ac:dyDescent="0.15">
      <c r="A880" s="2200" t="s">
        <v>10723</v>
      </c>
      <c r="B880" s="2200" t="s">
        <v>12474</v>
      </c>
      <c r="C880" s="2200" t="s">
        <v>12475</v>
      </c>
      <c r="D880" s="2200" t="str">
        <f t="shared" si="52"/>
        <v>IN</v>
      </c>
      <c r="E880" s="2200">
        <f t="shared" si="53"/>
        <v>18</v>
      </c>
      <c r="F880" s="2200" t="str">
        <f t="shared" si="54"/>
        <v>18</v>
      </c>
      <c r="G880" s="2200" t="str">
        <f t="shared" si="55"/>
        <v>68220</v>
      </c>
      <c r="H880" s="2200">
        <f>--SUBTOTAL(3,C$2:C880)</f>
        <v>99</v>
      </c>
    </row>
    <row r="881" spans="1:8" hidden="1" x14ac:dyDescent="0.15">
      <c r="A881" s="2200" t="s">
        <v>10723</v>
      </c>
      <c r="B881" s="2200" t="s">
        <v>12476</v>
      </c>
      <c r="C881" s="2200" t="s">
        <v>12477</v>
      </c>
      <c r="D881" s="2200" t="str">
        <f t="shared" si="52"/>
        <v>IN</v>
      </c>
      <c r="E881" s="2200">
        <f t="shared" si="53"/>
        <v>16</v>
      </c>
      <c r="F881" s="2200" t="str">
        <f t="shared" si="54"/>
        <v>18</v>
      </c>
      <c r="G881" s="2200" t="str">
        <f t="shared" si="55"/>
        <v>71000</v>
      </c>
      <c r="H881" s="2200">
        <f>--SUBTOTAL(3,C$2:C881)</f>
        <v>99</v>
      </c>
    </row>
    <row r="882" spans="1:8" hidden="1" x14ac:dyDescent="0.15">
      <c r="A882" s="2200" t="s">
        <v>10723</v>
      </c>
      <c r="B882" s="2200" t="s">
        <v>12478</v>
      </c>
      <c r="C882" s="2200" t="s">
        <v>12479</v>
      </c>
      <c r="D882" s="2200" t="str">
        <f t="shared" si="52"/>
        <v>IN</v>
      </c>
      <c r="E882" s="2200">
        <f t="shared" si="53"/>
        <v>17</v>
      </c>
      <c r="F882" s="2200" t="str">
        <f t="shared" si="54"/>
        <v>18</v>
      </c>
      <c r="G882" s="2200" t="str">
        <f t="shared" si="55"/>
        <v>75428</v>
      </c>
      <c r="H882" s="2200">
        <f>--SUBTOTAL(3,C$2:C882)</f>
        <v>99</v>
      </c>
    </row>
    <row r="883" spans="1:8" hidden="1" x14ac:dyDescent="0.15">
      <c r="A883" s="2200" t="s">
        <v>10723</v>
      </c>
      <c r="B883" s="2200" t="s">
        <v>12480</v>
      </c>
      <c r="C883" s="2200" t="s">
        <v>12481</v>
      </c>
      <c r="D883" s="2200" t="str">
        <f t="shared" si="52"/>
        <v>IN</v>
      </c>
      <c r="E883" s="2200">
        <f t="shared" si="53"/>
        <v>16</v>
      </c>
      <c r="F883" s="2200" t="str">
        <f t="shared" si="54"/>
        <v>18</v>
      </c>
      <c r="G883" s="2200" t="str">
        <f t="shared" si="55"/>
        <v>78326</v>
      </c>
      <c r="H883" s="2200">
        <f>--SUBTOTAL(3,C$2:C883)</f>
        <v>99</v>
      </c>
    </row>
    <row r="884" spans="1:8" hidden="1" x14ac:dyDescent="0.15">
      <c r="A884" s="2200" t="s">
        <v>10723</v>
      </c>
      <c r="B884" s="2200" t="s">
        <v>12482</v>
      </c>
      <c r="C884" s="2200" t="s">
        <v>12483</v>
      </c>
      <c r="D884" s="2200" t="str">
        <f t="shared" si="52"/>
        <v>IN</v>
      </c>
      <c r="E884" s="2200">
        <f t="shared" si="53"/>
        <v>20</v>
      </c>
      <c r="F884" s="2200" t="str">
        <f t="shared" si="54"/>
        <v>18</v>
      </c>
      <c r="G884" s="2200" t="str">
        <f t="shared" si="55"/>
        <v>82862</v>
      </c>
      <c r="H884" s="2200">
        <f>--SUBTOTAL(3,C$2:C884)</f>
        <v>99</v>
      </c>
    </row>
    <row r="885" spans="1:8" hidden="1" x14ac:dyDescent="0.15">
      <c r="A885" s="2200" t="s">
        <v>10723</v>
      </c>
      <c r="B885" s="2200" t="s">
        <v>12484</v>
      </c>
      <c r="C885" s="2200" t="s">
        <v>12485</v>
      </c>
      <c r="D885" s="2200" t="str">
        <f t="shared" si="52"/>
        <v>IN</v>
      </c>
      <c r="E885" s="2200">
        <f t="shared" si="53"/>
        <v>15</v>
      </c>
      <c r="F885" s="2200" t="str">
        <f t="shared" si="54"/>
        <v>18</v>
      </c>
      <c r="G885" s="2200" t="str">
        <f t="shared" si="55"/>
        <v>82700</v>
      </c>
      <c r="H885" s="2200">
        <f>--SUBTOTAL(3,C$2:C885)</f>
        <v>99</v>
      </c>
    </row>
    <row r="886" spans="1:8" hidden="1" x14ac:dyDescent="0.15">
      <c r="A886" s="2200" t="s">
        <v>10723</v>
      </c>
      <c r="B886" s="2200" t="s">
        <v>12486</v>
      </c>
      <c r="C886" s="2200" t="s">
        <v>12487</v>
      </c>
      <c r="D886" s="2200" t="str">
        <f t="shared" si="52"/>
        <v>IN</v>
      </c>
      <c r="E886" s="2200">
        <f t="shared" si="53"/>
        <v>16</v>
      </c>
      <c r="F886" s="2200" t="str">
        <f t="shared" si="54"/>
        <v>18</v>
      </c>
      <c r="G886" s="2200" t="str">
        <f t="shared" si="55"/>
        <v>86372</v>
      </c>
      <c r="H886" s="2200">
        <f>--SUBTOTAL(3,C$2:C886)</f>
        <v>99</v>
      </c>
    </row>
    <row r="887" spans="1:8" hidden="1" x14ac:dyDescent="0.15">
      <c r="A887" s="2200" t="s">
        <v>10723</v>
      </c>
      <c r="B887" s="2200" t="s">
        <v>12488</v>
      </c>
      <c r="C887" s="2200" t="s">
        <v>12489</v>
      </c>
      <c r="D887" s="2200" t="str">
        <f t="shared" si="52"/>
        <v>KS</v>
      </c>
      <c r="E887" s="2200">
        <f t="shared" si="53"/>
        <v>16</v>
      </c>
      <c r="F887" s="2200" t="str">
        <f t="shared" si="54"/>
        <v>20</v>
      </c>
      <c r="G887" s="2200" t="str">
        <f t="shared" si="55"/>
        <v>18250</v>
      </c>
      <c r="H887" s="2200">
        <f>--SUBTOTAL(3,C$2:C887)</f>
        <v>99</v>
      </c>
    </row>
    <row r="888" spans="1:8" hidden="1" x14ac:dyDescent="0.15">
      <c r="A888" s="2200" t="s">
        <v>10723</v>
      </c>
      <c r="B888" s="2200" t="s">
        <v>12490</v>
      </c>
      <c r="C888" s="2200" t="s">
        <v>12491</v>
      </c>
      <c r="D888" s="2200" t="str">
        <f t="shared" si="52"/>
        <v>KS</v>
      </c>
      <c r="E888" s="2200">
        <f t="shared" si="53"/>
        <v>13</v>
      </c>
      <c r="F888" s="2200" t="str">
        <f t="shared" si="54"/>
        <v>20</v>
      </c>
      <c r="G888" s="2200" t="str">
        <f t="shared" si="55"/>
        <v>21275</v>
      </c>
      <c r="H888" s="2200">
        <f>--SUBTOTAL(3,C$2:C888)</f>
        <v>99</v>
      </c>
    </row>
    <row r="889" spans="1:8" hidden="1" x14ac:dyDescent="0.15">
      <c r="A889" s="2200" t="s">
        <v>10723</v>
      </c>
      <c r="B889" s="2200" t="s">
        <v>12492</v>
      </c>
      <c r="C889" s="2200" t="s">
        <v>12493</v>
      </c>
      <c r="D889" s="2200" t="str">
        <f t="shared" si="52"/>
        <v>KS</v>
      </c>
      <c r="E889" s="2200">
        <f t="shared" si="53"/>
        <v>17</v>
      </c>
      <c r="F889" s="2200" t="str">
        <f t="shared" si="54"/>
        <v>20</v>
      </c>
      <c r="G889" s="2200" t="str">
        <f t="shared" si="55"/>
        <v>25325</v>
      </c>
      <c r="H889" s="2200">
        <f>--SUBTOTAL(3,C$2:C889)</f>
        <v>99</v>
      </c>
    </row>
    <row r="890" spans="1:8" hidden="1" x14ac:dyDescent="0.15">
      <c r="A890" s="2200" t="s">
        <v>10723</v>
      </c>
      <c r="B890" s="2200" t="s">
        <v>12494</v>
      </c>
      <c r="C890" s="2200" t="s">
        <v>12495</v>
      </c>
      <c r="D890" s="2200" t="str">
        <f t="shared" si="52"/>
        <v>KS</v>
      </c>
      <c r="E890" s="2200">
        <f t="shared" si="53"/>
        <v>16</v>
      </c>
      <c r="F890" s="2200" t="str">
        <f t="shared" si="54"/>
        <v>20</v>
      </c>
      <c r="G890" s="2200" t="str">
        <f t="shared" si="55"/>
        <v>33625</v>
      </c>
      <c r="H890" s="2200">
        <f>--SUBTOTAL(3,C$2:C890)</f>
        <v>99</v>
      </c>
    </row>
    <row r="891" spans="1:8" hidden="1" x14ac:dyDescent="0.15">
      <c r="A891" s="2200" t="s">
        <v>10723</v>
      </c>
      <c r="B891" s="2200" t="s">
        <v>12496</v>
      </c>
      <c r="C891" s="2200" t="s">
        <v>12497</v>
      </c>
      <c r="D891" s="2200" t="str">
        <f t="shared" si="52"/>
        <v>KS</v>
      </c>
      <c r="E891" s="2200">
        <f t="shared" si="53"/>
        <v>19</v>
      </c>
      <c r="F891" s="2200" t="str">
        <f t="shared" si="54"/>
        <v>20</v>
      </c>
      <c r="G891" s="2200" t="str">
        <f t="shared" si="55"/>
        <v>35750</v>
      </c>
      <c r="H891" s="2200">
        <f>--SUBTOTAL(3,C$2:C891)</f>
        <v>99</v>
      </c>
    </row>
    <row r="892" spans="1:8" hidden="1" x14ac:dyDescent="0.15">
      <c r="A892" s="2200" t="s">
        <v>10723</v>
      </c>
      <c r="B892" s="2200" t="s">
        <v>12498</v>
      </c>
      <c r="C892" s="2200" t="s">
        <v>12499</v>
      </c>
      <c r="D892" s="2200" t="str">
        <f t="shared" si="52"/>
        <v>KS</v>
      </c>
      <c r="E892" s="2200">
        <f t="shared" si="53"/>
        <v>17</v>
      </c>
      <c r="F892" s="2200" t="str">
        <f t="shared" si="54"/>
        <v>20</v>
      </c>
      <c r="G892" s="2200" t="str">
        <f t="shared" si="55"/>
        <v>36000</v>
      </c>
      <c r="H892" s="2200">
        <f>--SUBTOTAL(3,C$2:C892)</f>
        <v>99</v>
      </c>
    </row>
    <row r="893" spans="1:8" hidden="1" x14ac:dyDescent="0.15">
      <c r="A893" s="2200" t="s">
        <v>10723</v>
      </c>
      <c r="B893" s="2200" t="s">
        <v>12500</v>
      </c>
      <c r="C893" s="2200" t="s">
        <v>12501</v>
      </c>
      <c r="D893" s="2200" t="str">
        <f t="shared" si="52"/>
        <v>KS</v>
      </c>
      <c r="E893" s="2200">
        <f t="shared" si="53"/>
        <v>14</v>
      </c>
      <c r="F893" s="2200" t="str">
        <f t="shared" si="54"/>
        <v>20</v>
      </c>
      <c r="G893" s="2200" t="str">
        <f t="shared" si="55"/>
        <v>38900</v>
      </c>
      <c r="H893" s="2200">
        <f>--SUBTOTAL(3,C$2:C893)</f>
        <v>99</v>
      </c>
    </row>
    <row r="894" spans="1:8" hidden="1" x14ac:dyDescent="0.15">
      <c r="A894" s="2200" t="s">
        <v>10723</v>
      </c>
      <c r="B894" s="2200" t="s">
        <v>12502</v>
      </c>
      <c r="C894" s="2200" t="s">
        <v>12503</v>
      </c>
      <c r="D894" s="2200" t="str">
        <f t="shared" si="52"/>
        <v>KS</v>
      </c>
      <c r="E894" s="2200">
        <f t="shared" si="53"/>
        <v>17</v>
      </c>
      <c r="F894" s="2200" t="str">
        <f t="shared" si="54"/>
        <v>20</v>
      </c>
      <c r="G894" s="2200" t="str">
        <f t="shared" si="55"/>
        <v>39000</v>
      </c>
      <c r="H894" s="2200">
        <f>--SUBTOTAL(3,C$2:C894)</f>
        <v>99</v>
      </c>
    </row>
    <row r="895" spans="1:8" hidden="1" x14ac:dyDescent="0.15">
      <c r="A895" s="2200" t="s">
        <v>10723</v>
      </c>
      <c r="B895" s="2200" t="s">
        <v>12504</v>
      </c>
      <c r="C895" s="2200" t="s">
        <v>12505</v>
      </c>
      <c r="D895" s="2200" t="str">
        <f t="shared" si="52"/>
        <v>KS</v>
      </c>
      <c r="E895" s="2200">
        <f t="shared" si="53"/>
        <v>13</v>
      </c>
      <c r="F895" s="2200" t="str">
        <f t="shared" si="54"/>
        <v>20</v>
      </c>
      <c r="G895" s="2200" t="str">
        <f t="shared" si="55"/>
        <v>39075</v>
      </c>
      <c r="H895" s="2200">
        <f>--SUBTOTAL(3,C$2:C895)</f>
        <v>99</v>
      </c>
    </row>
    <row r="896" spans="1:8" hidden="1" x14ac:dyDescent="0.15">
      <c r="A896" s="2200" t="s">
        <v>10723</v>
      </c>
      <c r="B896" s="2200" t="s">
        <v>12506</v>
      </c>
      <c r="C896" s="2200" t="s">
        <v>12507</v>
      </c>
      <c r="D896" s="2200" t="str">
        <f t="shared" si="52"/>
        <v>KS</v>
      </c>
      <c r="E896" s="2200">
        <f t="shared" si="53"/>
        <v>12</v>
      </c>
      <c r="F896" s="2200" t="str">
        <f t="shared" si="54"/>
        <v>20</v>
      </c>
      <c r="G896" s="2200" t="str">
        <f t="shared" si="55"/>
        <v>39350</v>
      </c>
      <c r="H896" s="2200">
        <f>--SUBTOTAL(3,C$2:C896)</f>
        <v>99</v>
      </c>
    </row>
    <row r="897" spans="1:8" hidden="1" x14ac:dyDescent="0.15">
      <c r="A897" s="2200" t="s">
        <v>10723</v>
      </c>
      <c r="B897" s="2200" t="s">
        <v>12508</v>
      </c>
      <c r="C897" s="2200" t="s">
        <v>12509</v>
      </c>
      <c r="D897" s="2200" t="str">
        <f t="shared" si="52"/>
        <v>KS</v>
      </c>
      <c r="E897" s="2200">
        <f t="shared" si="53"/>
        <v>15</v>
      </c>
      <c r="F897" s="2200" t="str">
        <f t="shared" si="54"/>
        <v>20</v>
      </c>
      <c r="G897" s="2200" t="str">
        <f t="shared" si="55"/>
        <v>44250</v>
      </c>
      <c r="H897" s="2200">
        <f>--SUBTOTAL(3,C$2:C897)</f>
        <v>99</v>
      </c>
    </row>
    <row r="898" spans="1:8" hidden="1" x14ac:dyDescent="0.15">
      <c r="A898" s="2200" t="s">
        <v>10723</v>
      </c>
      <c r="B898" s="2200" t="s">
        <v>12510</v>
      </c>
      <c r="C898" s="2200" t="s">
        <v>12511</v>
      </c>
      <c r="D898" s="2200" t="str">
        <f t="shared" ref="D898:D961" si="56">MID(C898,E898+2,2)</f>
        <v>KS</v>
      </c>
      <c r="E898" s="2200">
        <f t="shared" ref="E898:E961" si="57">FIND(",",C898)</f>
        <v>12</v>
      </c>
      <c r="F898" s="2200" t="str">
        <f t="shared" si="54"/>
        <v>20</v>
      </c>
      <c r="G898" s="2200" t="str">
        <f t="shared" si="55"/>
        <v>52575</v>
      </c>
      <c r="H898" s="2200">
        <f>--SUBTOTAL(3,C$2:C898)</f>
        <v>99</v>
      </c>
    </row>
    <row r="899" spans="1:8" hidden="1" x14ac:dyDescent="0.15">
      <c r="A899" s="2200" t="s">
        <v>10723</v>
      </c>
      <c r="B899" s="2200" t="s">
        <v>12512</v>
      </c>
      <c r="C899" s="2200" t="s">
        <v>12513</v>
      </c>
      <c r="D899" s="2200" t="str">
        <f t="shared" si="56"/>
        <v>KS</v>
      </c>
      <c r="E899" s="2200">
        <f t="shared" si="57"/>
        <v>19</v>
      </c>
      <c r="F899" s="2200" t="str">
        <f t="shared" ref="F899:F962" si="58">MID(B899,3,2)</f>
        <v>20</v>
      </c>
      <c r="G899" s="2200" t="str">
        <f t="shared" ref="G899:G962" si="59">MID(B899,5,5)</f>
        <v>53775</v>
      </c>
      <c r="H899" s="2200">
        <f>--SUBTOTAL(3,C$2:C899)</f>
        <v>99</v>
      </c>
    </row>
    <row r="900" spans="1:8" hidden="1" x14ac:dyDescent="0.15">
      <c r="A900" s="2200" t="s">
        <v>10723</v>
      </c>
      <c r="B900" s="2200" t="s">
        <v>12514</v>
      </c>
      <c r="C900" s="2200" t="s">
        <v>12515</v>
      </c>
      <c r="D900" s="2200" t="str">
        <f t="shared" si="56"/>
        <v>KS</v>
      </c>
      <c r="E900" s="2200">
        <f t="shared" si="57"/>
        <v>12</v>
      </c>
      <c r="F900" s="2200" t="str">
        <f t="shared" si="58"/>
        <v>20</v>
      </c>
      <c r="G900" s="2200" t="str">
        <f t="shared" si="59"/>
        <v>62700</v>
      </c>
      <c r="H900" s="2200">
        <f>--SUBTOTAL(3,C$2:C900)</f>
        <v>99</v>
      </c>
    </row>
    <row r="901" spans="1:8" hidden="1" x14ac:dyDescent="0.15">
      <c r="A901" s="2200" t="s">
        <v>10723</v>
      </c>
      <c r="B901" s="2200" t="s">
        <v>12516</v>
      </c>
      <c r="C901" s="2200" t="s">
        <v>12517</v>
      </c>
      <c r="D901" s="2200" t="str">
        <f t="shared" si="56"/>
        <v>KS</v>
      </c>
      <c r="E901" s="2200">
        <f t="shared" si="57"/>
        <v>13</v>
      </c>
      <c r="F901" s="2200" t="str">
        <f t="shared" si="58"/>
        <v>20</v>
      </c>
      <c r="G901" s="2200" t="str">
        <f t="shared" si="59"/>
        <v>64500</v>
      </c>
      <c r="H901" s="2200">
        <f>--SUBTOTAL(3,C$2:C901)</f>
        <v>99</v>
      </c>
    </row>
    <row r="902" spans="1:8" hidden="1" x14ac:dyDescent="0.15">
      <c r="A902" s="2200" t="s">
        <v>10723</v>
      </c>
      <c r="B902" s="2200" t="s">
        <v>12518</v>
      </c>
      <c r="C902" s="2200" t="s">
        <v>12519</v>
      </c>
      <c r="D902" s="2200" t="str">
        <f t="shared" si="56"/>
        <v>KS</v>
      </c>
      <c r="E902" s="2200">
        <f t="shared" si="57"/>
        <v>12</v>
      </c>
      <c r="F902" s="2200" t="str">
        <f t="shared" si="58"/>
        <v>20</v>
      </c>
      <c r="G902" s="2200" t="str">
        <f t="shared" si="59"/>
        <v>71000</v>
      </c>
      <c r="H902" s="2200">
        <f>--SUBTOTAL(3,C$2:C902)</f>
        <v>99</v>
      </c>
    </row>
    <row r="903" spans="1:8" hidden="1" x14ac:dyDescent="0.15">
      <c r="A903" s="2200" t="s">
        <v>10723</v>
      </c>
      <c r="B903" s="2200" t="s">
        <v>12520</v>
      </c>
      <c r="C903" s="2200" t="s">
        <v>12521</v>
      </c>
      <c r="D903" s="2200" t="str">
        <f t="shared" si="56"/>
        <v>KS</v>
      </c>
      <c r="E903" s="2200">
        <f t="shared" si="57"/>
        <v>13</v>
      </c>
      <c r="F903" s="2200" t="str">
        <f t="shared" si="58"/>
        <v>20</v>
      </c>
      <c r="G903" s="2200" t="str">
        <f t="shared" si="59"/>
        <v>79000</v>
      </c>
      <c r="H903" s="2200">
        <f>--SUBTOTAL(3,C$2:C903)</f>
        <v>99</v>
      </c>
    </row>
    <row r="904" spans="1:8" hidden="1" x14ac:dyDescent="0.15">
      <c r="A904" s="2200" t="s">
        <v>10723</v>
      </c>
      <c r="B904" s="2200" t="s">
        <v>12522</v>
      </c>
      <c r="C904" s="2200" t="s">
        <v>12523</v>
      </c>
      <c r="D904" s="2200" t="str">
        <f t="shared" si="56"/>
        <v>KY</v>
      </c>
      <c r="E904" s="2200">
        <f t="shared" si="57"/>
        <v>13</v>
      </c>
      <c r="F904" s="2200" t="str">
        <f t="shared" si="58"/>
        <v>21</v>
      </c>
      <c r="G904" s="2200" t="str">
        <f t="shared" si="59"/>
        <v>02368</v>
      </c>
      <c r="H904" s="2200">
        <f>--SUBTOTAL(3,C$2:C904)</f>
        <v>99</v>
      </c>
    </row>
    <row r="905" spans="1:8" hidden="1" x14ac:dyDescent="0.15">
      <c r="A905" s="2200" t="s">
        <v>10723</v>
      </c>
      <c r="B905" s="2200" t="s">
        <v>12524</v>
      </c>
      <c r="C905" s="2200" t="s">
        <v>12525</v>
      </c>
      <c r="D905" s="2200" t="str">
        <f t="shared" si="56"/>
        <v>KY</v>
      </c>
      <c r="E905" s="2200">
        <f t="shared" si="57"/>
        <v>19</v>
      </c>
      <c r="F905" s="2200" t="str">
        <f t="shared" si="58"/>
        <v>21</v>
      </c>
      <c r="G905" s="2200" t="str">
        <f t="shared" si="59"/>
        <v>08902</v>
      </c>
      <c r="H905" s="2200">
        <f>--SUBTOTAL(3,C$2:C905)</f>
        <v>99</v>
      </c>
    </row>
    <row r="906" spans="1:8" hidden="1" x14ac:dyDescent="0.15">
      <c r="A906" s="2200" t="s">
        <v>10723</v>
      </c>
      <c r="B906" s="2200" t="s">
        <v>12526</v>
      </c>
      <c r="C906" s="2200" t="s">
        <v>12527</v>
      </c>
      <c r="D906" s="2200" t="str">
        <f t="shared" si="56"/>
        <v>KY</v>
      </c>
      <c r="E906" s="2200">
        <f t="shared" si="57"/>
        <v>15</v>
      </c>
      <c r="F906" s="2200" t="str">
        <f t="shared" si="58"/>
        <v>21</v>
      </c>
      <c r="G906" s="2200" t="str">
        <f t="shared" si="59"/>
        <v>17848</v>
      </c>
      <c r="H906" s="2200">
        <f>--SUBTOTAL(3,C$2:C906)</f>
        <v>99</v>
      </c>
    </row>
    <row r="907" spans="1:8" hidden="1" x14ac:dyDescent="0.15">
      <c r="A907" s="2200" t="s">
        <v>10723</v>
      </c>
      <c r="B907" s="2200" t="s">
        <v>12528</v>
      </c>
      <c r="C907" s="2200" t="s">
        <v>12529</v>
      </c>
      <c r="D907" s="2200" t="str">
        <f t="shared" si="56"/>
        <v>KY</v>
      </c>
      <c r="E907" s="2200">
        <f t="shared" si="57"/>
        <v>19</v>
      </c>
      <c r="F907" s="2200" t="str">
        <f t="shared" si="58"/>
        <v>21</v>
      </c>
      <c r="G907" s="2200" t="str">
        <f t="shared" si="59"/>
        <v>24274</v>
      </c>
      <c r="H907" s="2200">
        <f>--SUBTOTAL(3,C$2:C907)</f>
        <v>99</v>
      </c>
    </row>
    <row r="908" spans="1:8" hidden="1" x14ac:dyDescent="0.15">
      <c r="A908" s="2200" t="s">
        <v>10723</v>
      </c>
      <c r="B908" s="2200" t="s">
        <v>12530</v>
      </c>
      <c r="C908" s="2200" t="s">
        <v>12531</v>
      </c>
      <c r="D908" s="2200" t="str">
        <f t="shared" si="56"/>
        <v>KY</v>
      </c>
      <c r="E908" s="2200">
        <f t="shared" si="57"/>
        <v>14</v>
      </c>
      <c r="F908" s="2200" t="str">
        <f t="shared" si="58"/>
        <v>21</v>
      </c>
      <c r="G908" s="2200" t="str">
        <f t="shared" si="59"/>
        <v>27982</v>
      </c>
      <c r="H908" s="2200">
        <f>--SUBTOTAL(3,C$2:C908)</f>
        <v>99</v>
      </c>
    </row>
    <row r="909" spans="1:8" hidden="1" x14ac:dyDescent="0.15">
      <c r="A909" s="2200" t="s">
        <v>10723</v>
      </c>
      <c r="B909" s="2200" t="s">
        <v>12532</v>
      </c>
      <c r="C909" s="2200" t="s">
        <v>12533</v>
      </c>
      <c r="D909" s="2200" t="str">
        <f t="shared" si="56"/>
        <v>KY</v>
      </c>
      <c r="E909" s="2200">
        <f t="shared" si="57"/>
        <v>15</v>
      </c>
      <c r="F909" s="2200" t="str">
        <f t="shared" si="58"/>
        <v>21</v>
      </c>
      <c r="G909" s="2200" t="str">
        <f t="shared" si="59"/>
        <v>28900</v>
      </c>
      <c r="H909" s="2200">
        <f>--SUBTOTAL(3,C$2:C909)</f>
        <v>99</v>
      </c>
    </row>
    <row r="910" spans="1:8" hidden="1" x14ac:dyDescent="0.15">
      <c r="A910" s="2200" t="s">
        <v>10723</v>
      </c>
      <c r="B910" s="2200" t="s">
        <v>12534</v>
      </c>
      <c r="C910" s="2200" t="s">
        <v>12535</v>
      </c>
      <c r="D910" s="2200" t="str">
        <f t="shared" si="56"/>
        <v>KY</v>
      </c>
      <c r="E910" s="2200">
        <f t="shared" si="57"/>
        <v>16</v>
      </c>
      <c r="F910" s="2200" t="str">
        <f t="shared" si="58"/>
        <v>21</v>
      </c>
      <c r="G910" s="2200" t="str">
        <f t="shared" si="59"/>
        <v>30700</v>
      </c>
      <c r="H910" s="2200">
        <f>--SUBTOTAL(3,C$2:C910)</f>
        <v>99</v>
      </c>
    </row>
    <row r="911" spans="1:8" hidden="1" x14ac:dyDescent="0.15">
      <c r="A911" s="2200" t="s">
        <v>10723</v>
      </c>
      <c r="B911" s="2200" t="s">
        <v>12536</v>
      </c>
      <c r="C911" s="2200" t="s">
        <v>12537</v>
      </c>
      <c r="D911" s="2200" t="str">
        <f t="shared" si="56"/>
        <v>KY</v>
      </c>
      <c r="E911" s="2200">
        <f t="shared" si="57"/>
        <v>15</v>
      </c>
      <c r="F911" s="2200" t="str">
        <f t="shared" si="58"/>
        <v>21</v>
      </c>
      <c r="G911" s="2200" t="str">
        <f t="shared" si="59"/>
        <v>35866</v>
      </c>
      <c r="H911" s="2200">
        <f>--SUBTOTAL(3,C$2:C911)</f>
        <v>99</v>
      </c>
    </row>
    <row r="912" spans="1:8" hidden="1" x14ac:dyDescent="0.15">
      <c r="A912" s="2200" t="s">
        <v>10723</v>
      </c>
      <c r="B912" s="2200" t="s">
        <v>12538</v>
      </c>
      <c r="C912" s="2200" t="s">
        <v>12539</v>
      </c>
      <c r="D912" s="2200" t="str">
        <f t="shared" si="56"/>
        <v>KY</v>
      </c>
      <c r="E912" s="2200">
        <f t="shared" si="57"/>
        <v>18</v>
      </c>
      <c r="F912" s="2200" t="str">
        <f t="shared" si="58"/>
        <v>21</v>
      </c>
      <c r="G912" s="2200" t="str">
        <f t="shared" si="59"/>
        <v>37918</v>
      </c>
      <c r="H912" s="2200">
        <f>--SUBTOTAL(3,C$2:C912)</f>
        <v>99</v>
      </c>
    </row>
    <row r="913" spans="1:8" hidden="1" x14ac:dyDescent="0.15">
      <c r="A913" s="2200" t="s">
        <v>10723</v>
      </c>
      <c r="B913" s="2200" t="s">
        <v>12540</v>
      </c>
      <c r="C913" s="2200" t="s">
        <v>12541</v>
      </c>
      <c r="D913" s="2200" t="str">
        <f t="shared" si="56"/>
        <v>KY</v>
      </c>
      <c r="E913" s="2200">
        <f t="shared" si="57"/>
        <v>18</v>
      </c>
      <c r="F913" s="2200" t="str">
        <f t="shared" si="58"/>
        <v>21</v>
      </c>
      <c r="G913" s="2200" t="str">
        <f t="shared" si="59"/>
        <v>39142</v>
      </c>
      <c r="H913" s="2200">
        <f>--SUBTOTAL(3,C$2:C913)</f>
        <v>99</v>
      </c>
    </row>
    <row r="914" spans="1:8" hidden="1" x14ac:dyDescent="0.15">
      <c r="A914" s="2200" t="s">
        <v>10723</v>
      </c>
      <c r="B914" s="2200" t="s">
        <v>12542</v>
      </c>
      <c r="C914" s="2200" t="s">
        <v>12543</v>
      </c>
      <c r="D914" s="2200" t="str">
        <f t="shared" si="56"/>
        <v>KY</v>
      </c>
      <c r="E914" s="2200">
        <f t="shared" si="57"/>
        <v>19</v>
      </c>
      <c r="F914" s="2200" t="str">
        <f t="shared" si="58"/>
        <v>21</v>
      </c>
      <c r="G914" s="2200" t="str">
        <f t="shared" si="59"/>
        <v>40222</v>
      </c>
      <c r="H914" s="2200">
        <f>--SUBTOTAL(3,C$2:C914)</f>
        <v>99</v>
      </c>
    </row>
    <row r="915" spans="1:8" hidden="1" x14ac:dyDescent="0.15">
      <c r="A915" s="2200" t="s">
        <v>11443</v>
      </c>
      <c r="B915" s="2200" t="s">
        <v>12544</v>
      </c>
      <c r="C915" s="2200" t="s">
        <v>12545</v>
      </c>
      <c r="D915" s="2200" t="str">
        <f t="shared" si="56"/>
        <v>KY</v>
      </c>
      <c r="E915" s="2200">
        <f t="shared" si="57"/>
        <v>11</v>
      </c>
      <c r="F915" s="2200" t="str">
        <f t="shared" si="58"/>
        <v>21</v>
      </c>
      <c r="G915" s="2200" t="str">
        <f t="shared" si="59"/>
        <v>81500</v>
      </c>
      <c r="H915" s="2200">
        <f>--SUBTOTAL(3,C$2:C915)</f>
        <v>99</v>
      </c>
    </row>
    <row r="916" spans="1:8" hidden="1" x14ac:dyDescent="0.15">
      <c r="A916" s="2200" t="s">
        <v>10723</v>
      </c>
      <c r="B916" s="2200" t="s">
        <v>12546</v>
      </c>
      <c r="C916" s="2200" t="s">
        <v>12547</v>
      </c>
      <c r="D916" s="2200" t="str">
        <f t="shared" si="56"/>
        <v>KY</v>
      </c>
      <c r="E916" s="2200">
        <f t="shared" si="57"/>
        <v>23</v>
      </c>
      <c r="F916" s="2200" t="str">
        <f t="shared" si="58"/>
        <v>21</v>
      </c>
      <c r="G916" s="2200" t="str">
        <f t="shared" si="59"/>
        <v>46027</v>
      </c>
      <c r="H916" s="2200">
        <f>--SUBTOTAL(3,C$2:C916)</f>
        <v>99</v>
      </c>
    </row>
    <row r="917" spans="1:8" hidden="1" x14ac:dyDescent="0.15">
      <c r="A917" s="2200" t="s">
        <v>10723</v>
      </c>
      <c r="B917" s="2200" t="s">
        <v>12548</v>
      </c>
      <c r="C917" s="2200" t="s">
        <v>12549</v>
      </c>
      <c r="D917" s="2200" t="str">
        <f t="shared" si="56"/>
        <v>KY</v>
      </c>
      <c r="E917" s="2200">
        <f t="shared" si="57"/>
        <v>48</v>
      </c>
      <c r="F917" s="2200" t="str">
        <f t="shared" si="58"/>
        <v>21</v>
      </c>
      <c r="G917" s="2200" t="str">
        <f t="shared" si="59"/>
        <v>48003</v>
      </c>
      <c r="H917" s="2200">
        <f>--SUBTOTAL(3,C$2:C917)</f>
        <v>99</v>
      </c>
    </row>
    <row r="918" spans="1:8" hidden="1" x14ac:dyDescent="0.15">
      <c r="A918" s="2200" t="s">
        <v>10723</v>
      </c>
      <c r="B918" s="2200" t="s">
        <v>12550</v>
      </c>
      <c r="C918" s="2200" t="s">
        <v>12551</v>
      </c>
      <c r="D918" s="2200" t="str">
        <f t="shared" si="56"/>
        <v>KY</v>
      </c>
      <c r="E918" s="2200">
        <f t="shared" si="57"/>
        <v>19</v>
      </c>
      <c r="F918" s="2200" t="str">
        <f t="shared" si="58"/>
        <v>21</v>
      </c>
      <c r="G918" s="2200" t="str">
        <f t="shared" si="59"/>
        <v>56136</v>
      </c>
      <c r="H918" s="2200">
        <f>--SUBTOTAL(3,C$2:C918)</f>
        <v>99</v>
      </c>
    </row>
    <row r="919" spans="1:8" hidden="1" x14ac:dyDescent="0.15">
      <c r="A919" s="2200" t="s">
        <v>10723</v>
      </c>
      <c r="B919" s="2200" t="s">
        <v>12552</v>
      </c>
      <c r="C919" s="2200" t="s">
        <v>12553</v>
      </c>
      <c r="D919" s="2200" t="str">
        <f t="shared" si="56"/>
        <v>KY</v>
      </c>
      <c r="E919" s="2200">
        <f t="shared" si="57"/>
        <v>15</v>
      </c>
      <c r="F919" s="2200" t="str">
        <f t="shared" si="58"/>
        <v>21</v>
      </c>
      <c r="G919" s="2200" t="str">
        <f t="shared" si="59"/>
        <v>58620</v>
      </c>
      <c r="H919" s="2200">
        <f>--SUBTOTAL(3,C$2:C919)</f>
        <v>99</v>
      </c>
    </row>
    <row r="920" spans="1:8" hidden="1" x14ac:dyDescent="0.15">
      <c r="A920" s="2200" t="s">
        <v>10723</v>
      </c>
      <c r="B920" s="2200" t="s">
        <v>12554</v>
      </c>
      <c r="C920" s="2200" t="s">
        <v>12555</v>
      </c>
      <c r="D920" s="2200" t="str">
        <f t="shared" si="56"/>
        <v>KY</v>
      </c>
      <c r="E920" s="2200">
        <f t="shared" si="57"/>
        <v>13</v>
      </c>
      <c r="F920" s="2200" t="str">
        <f t="shared" si="58"/>
        <v>21</v>
      </c>
      <c r="G920" s="2200" t="str">
        <f t="shared" si="59"/>
        <v>58836</v>
      </c>
      <c r="H920" s="2200">
        <f>--SUBTOTAL(3,C$2:C920)</f>
        <v>99</v>
      </c>
    </row>
    <row r="921" spans="1:8" hidden="1" x14ac:dyDescent="0.15">
      <c r="A921" s="2200" t="s">
        <v>11443</v>
      </c>
      <c r="B921" s="2200" t="s">
        <v>12556</v>
      </c>
      <c r="C921" s="2200" t="s">
        <v>12557</v>
      </c>
      <c r="D921" s="2200" t="str">
        <f t="shared" si="56"/>
        <v>KY</v>
      </c>
      <c r="E921" s="2200">
        <f t="shared" si="57"/>
        <v>19</v>
      </c>
      <c r="F921" s="2200" t="str">
        <f t="shared" si="58"/>
        <v>21</v>
      </c>
      <c r="G921" s="2200" t="str">
        <f t="shared" si="59"/>
        <v>82180</v>
      </c>
      <c r="H921" s="2200">
        <f>--SUBTOTAL(3,C$2:C921)</f>
        <v>99</v>
      </c>
    </row>
    <row r="922" spans="1:8" hidden="1" x14ac:dyDescent="0.15">
      <c r="A922" s="2200" t="s">
        <v>10723</v>
      </c>
      <c r="B922" s="2200" t="s">
        <v>12558</v>
      </c>
      <c r="C922" s="2200" t="s">
        <v>12559</v>
      </c>
      <c r="D922" s="2200" t="str">
        <f t="shared" si="56"/>
        <v>KY</v>
      </c>
      <c r="E922" s="2200">
        <f t="shared" si="57"/>
        <v>14</v>
      </c>
      <c r="F922" s="2200" t="str">
        <f t="shared" si="58"/>
        <v>21</v>
      </c>
      <c r="G922" s="2200" t="str">
        <f t="shared" si="59"/>
        <v>65226</v>
      </c>
      <c r="H922" s="2200">
        <f>--SUBTOTAL(3,C$2:C922)</f>
        <v>99</v>
      </c>
    </row>
    <row r="923" spans="1:8" hidden="1" x14ac:dyDescent="0.15">
      <c r="A923" s="2200" t="s">
        <v>10723</v>
      </c>
      <c r="B923" s="2200" t="s">
        <v>12560</v>
      </c>
      <c r="C923" s="2200" t="s">
        <v>12561</v>
      </c>
      <c r="D923" s="2200" t="str">
        <f t="shared" si="56"/>
        <v>LA</v>
      </c>
      <c r="E923" s="2200">
        <f t="shared" si="57"/>
        <v>16</v>
      </c>
      <c r="F923" s="2200" t="str">
        <f t="shared" si="58"/>
        <v>22</v>
      </c>
      <c r="G923" s="2200" t="str">
        <f t="shared" si="59"/>
        <v>00975</v>
      </c>
      <c r="H923" s="2200">
        <f>--SUBTOTAL(3,C$2:C923)</f>
        <v>99</v>
      </c>
    </row>
    <row r="924" spans="1:8" hidden="1" x14ac:dyDescent="0.15">
      <c r="A924" s="2200" t="s">
        <v>10723</v>
      </c>
      <c r="B924" s="2200" t="s">
        <v>12562</v>
      </c>
      <c r="C924" s="2200" t="s">
        <v>12563</v>
      </c>
      <c r="D924" s="2200" t="str">
        <f t="shared" si="56"/>
        <v>LA</v>
      </c>
      <c r="E924" s="2200">
        <f t="shared" si="57"/>
        <v>17</v>
      </c>
      <c r="F924" s="2200" t="str">
        <f t="shared" si="58"/>
        <v>22</v>
      </c>
      <c r="G924" s="2200" t="str">
        <f t="shared" si="59"/>
        <v>05000</v>
      </c>
      <c r="H924" s="2200">
        <f>--SUBTOTAL(3,C$2:C924)</f>
        <v>99</v>
      </c>
    </row>
    <row r="925" spans="1:8" hidden="1" x14ac:dyDescent="0.15">
      <c r="A925" s="2200" t="s">
        <v>10723</v>
      </c>
      <c r="B925" s="2200" t="s">
        <v>12564</v>
      </c>
      <c r="C925" s="2200" t="s">
        <v>12565</v>
      </c>
      <c r="D925" s="2200" t="str">
        <f t="shared" si="56"/>
        <v>LA</v>
      </c>
      <c r="E925" s="2200">
        <f t="shared" si="57"/>
        <v>18</v>
      </c>
      <c r="F925" s="2200" t="str">
        <f t="shared" si="58"/>
        <v>22</v>
      </c>
      <c r="G925" s="2200" t="str">
        <f t="shared" si="59"/>
        <v>08920</v>
      </c>
      <c r="H925" s="2200">
        <f>--SUBTOTAL(3,C$2:C925)</f>
        <v>99</v>
      </c>
    </row>
    <row r="926" spans="1:8" hidden="1" x14ac:dyDescent="0.15">
      <c r="A926" s="2200" t="s">
        <v>10723</v>
      </c>
      <c r="B926" s="2200" t="s">
        <v>12566</v>
      </c>
      <c r="C926" s="2200" t="s">
        <v>12567</v>
      </c>
      <c r="D926" s="2200" t="str">
        <f t="shared" si="56"/>
        <v>LA</v>
      </c>
      <c r="E926" s="2200">
        <f t="shared" si="57"/>
        <v>13</v>
      </c>
      <c r="F926" s="2200" t="str">
        <f t="shared" si="58"/>
        <v>22</v>
      </c>
      <c r="G926" s="2200" t="str">
        <f t="shared" si="59"/>
        <v>13960</v>
      </c>
      <c r="H926" s="2200">
        <f>--SUBTOTAL(3,C$2:C926)</f>
        <v>99</v>
      </c>
    </row>
    <row r="927" spans="1:8" hidden="1" x14ac:dyDescent="0.15">
      <c r="A927" s="2200" t="s">
        <v>10723</v>
      </c>
      <c r="B927" s="2200" t="s">
        <v>12568</v>
      </c>
      <c r="C927" s="2200" t="s">
        <v>12569</v>
      </c>
      <c r="D927" s="2200" t="str">
        <f t="shared" si="56"/>
        <v>LA</v>
      </c>
      <c r="E927" s="2200">
        <f t="shared" si="57"/>
        <v>11</v>
      </c>
      <c r="F927" s="2200" t="str">
        <f t="shared" si="58"/>
        <v>22</v>
      </c>
      <c r="G927" s="2200" t="str">
        <f t="shared" si="59"/>
        <v>36255</v>
      </c>
      <c r="H927" s="2200">
        <f>--SUBTOTAL(3,C$2:C927)</f>
        <v>99</v>
      </c>
    </row>
    <row r="928" spans="1:8" hidden="1" x14ac:dyDescent="0.15">
      <c r="A928" s="2200" t="s">
        <v>10723</v>
      </c>
      <c r="B928" s="2200" t="s">
        <v>12570</v>
      </c>
      <c r="C928" s="2200" t="s">
        <v>12571</v>
      </c>
      <c r="D928" s="2200" t="str">
        <f t="shared" si="56"/>
        <v>LA</v>
      </c>
      <c r="E928" s="2200">
        <f t="shared" si="57"/>
        <v>12</v>
      </c>
      <c r="F928" s="2200" t="str">
        <f t="shared" si="58"/>
        <v>22</v>
      </c>
      <c r="G928" s="2200" t="str">
        <f t="shared" si="59"/>
        <v>39475</v>
      </c>
      <c r="H928" s="2200">
        <f>--SUBTOTAL(3,C$2:C928)</f>
        <v>99</v>
      </c>
    </row>
    <row r="929" spans="1:8" hidden="1" x14ac:dyDescent="0.15">
      <c r="A929" s="2200" t="s">
        <v>10723</v>
      </c>
      <c r="B929" s="2200" t="s">
        <v>12572</v>
      </c>
      <c r="C929" s="2200" t="s">
        <v>12573</v>
      </c>
      <c r="D929" s="2200" t="str">
        <f t="shared" si="56"/>
        <v>LA</v>
      </c>
      <c r="E929" s="2200">
        <f t="shared" si="57"/>
        <v>15</v>
      </c>
      <c r="F929" s="2200" t="str">
        <f t="shared" si="58"/>
        <v>22</v>
      </c>
      <c r="G929" s="2200" t="str">
        <f t="shared" si="59"/>
        <v>40735</v>
      </c>
      <c r="H929" s="2200">
        <f>--SUBTOTAL(3,C$2:C929)</f>
        <v>99</v>
      </c>
    </row>
    <row r="930" spans="1:8" hidden="1" x14ac:dyDescent="0.15">
      <c r="A930" s="2200" t="s">
        <v>10723</v>
      </c>
      <c r="B930" s="2200" t="s">
        <v>12574</v>
      </c>
      <c r="C930" s="2200" t="s">
        <v>12575</v>
      </c>
      <c r="D930" s="2200" t="str">
        <f t="shared" si="56"/>
        <v>LA</v>
      </c>
      <c r="E930" s="2200">
        <f t="shared" si="57"/>
        <v>18</v>
      </c>
      <c r="F930" s="2200" t="str">
        <f t="shared" si="58"/>
        <v>22</v>
      </c>
      <c r="G930" s="2200" t="str">
        <f t="shared" si="59"/>
        <v>41155</v>
      </c>
      <c r="H930" s="2200">
        <f>--SUBTOTAL(3,C$2:C930)</f>
        <v>99</v>
      </c>
    </row>
    <row r="931" spans="1:8" hidden="1" x14ac:dyDescent="0.15">
      <c r="A931" s="2200" t="s">
        <v>10723</v>
      </c>
      <c r="B931" s="2200" t="s">
        <v>12576</v>
      </c>
      <c r="C931" s="2200" t="s">
        <v>12577</v>
      </c>
      <c r="D931" s="2200" t="str">
        <f t="shared" si="56"/>
        <v>LA</v>
      </c>
      <c r="E931" s="2200">
        <f t="shared" si="57"/>
        <v>12</v>
      </c>
      <c r="F931" s="2200" t="str">
        <f t="shared" si="58"/>
        <v>22</v>
      </c>
      <c r="G931" s="2200" t="str">
        <f t="shared" si="59"/>
        <v>51410</v>
      </c>
      <c r="H931" s="2200">
        <f>--SUBTOTAL(3,C$2:C931)</f>
        <v>99</v>
      </c>
    </row>
    <row r="932" spans="1:8" hidden="1" x14ac:dyDescent="0.15">
      <c r="A932" s="2200" t="s">
        <v>10723</v>
      </c>
      <c r="B932" s="2200" t="s">
        <v>12578</v>
      </c>
      <c r="C932" s="2200" t="s">
        <v>12579</v>
      </c>
      <c r="D932" s="2200" t="str">
        <f t="shared" si="56"/>
        <v>LA</v>
      </c>
      <c r="E932" s="2200">
        <f t="shared" si="57"/>
        <v>16</v>
      </c>
      <c r="F932" s="2200" t="str">
        <f t="shared" si="58"/>
        <v>22</v>
      </c>
      <c r="G932" s="2200" t="str">
        <f t="shared" si="59"/>
        <v>54035</v>
      </c>
      <c r="H932" s="2200">
        <f>--SUBTOTAL(3,C$2:C932)</f>
        <v>99</v>
      </c>
    </row>
    <row r="933" spans="1:8" hidden="1" x14ac:dyDescent="0.15">
      <c r="A933" s="2200" t="s">
        <v>10723</v>
      </c>
      <c r="B933" s="2200" t="s">
        <v>12580</v>
      </c>
      <c r="C933" s="2200" t="s">
        <v>12581</v>
      </c>
      <c r="D933" s="2200" t="str">
        <f t="shared" si="56"/>
        <v>LA</v>
      </c>
      <c r="E933" s="2200">
        <f t="shared" si="57"/>
        <v>17</v>
      </c>
      <c r="F933" s="2200" t="str">
        <f t="shared" si="58"/>
        <v>22</v>
      </c>
      <c r="G933" s="2200" t="str">
        <f t="shared" si="59"/>
        <v>55000</v>
      </c>
      <c r="H933" s="2200">
        <f>--SUBTOTAL(3,C$2:C933)</f>
        <v>99</v>
      </c>
    </row>
    <row r="934" spans="1:8" hidden="1" x14ac:dyDescent="0.15">
      <c r="A934" s="2200" t="s">
        <v>10723</v>
      </c>
      <c r="B934" s="2200" t="s">
        <v>12582</v>
      </c>
      <c r="C934" s="2200" t="s">
        <v>12583</v>
      </c>
      <c r="D934" s="2200" t="str">
        <f t="shared" si="56"/>
        <v>LA</v>
      </c>
      <c r="E934" s="2200">
        <f t="shared" si="57"/>
        <v>16</v>
      </c>
      <c r="F934" s="2200" t="str">
        <f t="shared" si="58"/>
        <v>22</v>
      </c>
      <c r="G934" s="2200" t="str">
        <f t="shared" si="59"/>
        <v>70000</v>
      </c>
      <c r="H934" s="2200">
        <f>--SUBTOTAL(3,C$2:C934)</f>
        <v>99</v>
      </c>
    </row>
    <row r="935" spans="1:8" hidden="1" x14ac:dyDescent="0.15">
      <c r="A935" s="2200" t="s">
        <v>10723</v>
      </c>
      <c r="B935" s="2200" t="s">
        <v>12584</v>
      </c>
      <c r="C935" s="2200" t="s">
        <v>12585</v>
      </c>
      <c r="D935" s="2200" t="str">
        <f t="shared" si="56"/>
        <v>LA</v>
      </c>
      <c r="E935" s="2200">
        <f t="shared" si="57"/>
        <v>13</v>
      </c>
      <c r="F935" s="2200" t="str">
        <f t="shared" si="58"/>
        <v>22</v>
      </c>
      <c r="G935" s="2200" t="str">
        <f t="shared" si="59"/>
        <v>70805</v>
      </c>
      <c r="H935" s="2200">
        <f>--SUBTOTAL(3,C$2:C935)</f>
        <v>99</v>
      </c>
    </row>
    <row r="936" spans="1:8" hidden="1" x14ac:dyDescent="0.15">
      <c r="A936" s="2200" t="s">
        <v>11502</v>
      </c>
      <c r="B936" s="2200" t="s">
        <v>12586</v>
      </c>
      <c r="C936" s="2200" t="s">
        <v>12587</v>
      </c>
      <c r="D936" s="2200" t="str">
        <f t="shared" si="56"/>
        <v>MA</v>
      </c>
      <c r="E936" s="2200">
        <f t="shared" si="57"/>
        <v>14</v>
      </c>
      <c r="F936" s="2200" t="str">
        <f t="shared" si="58"/>
        <v>25</v>
      </c>
      <c r="G936" s="2200" t="str">
        <f t="shared" si="59"/>
        <v>00170</v>
      </c>
      <c r="H936" s="2200">
        <f>--SUBTOTAL(3,C$2:C936)</f>
        <v>99</v>
      </c>
    </row>
    <row r="937" spans="1:8" hidden="1" x14ac:dyDescent="0.15">
      <c r="A937" s="2200" t="s">
        <v>11502</v>
      </c>
      <c r="B937" s="2200" t="s">
        <v>12588</v>
      </c>
      <c r="C937" s="2200" t="s">
        <v>12589</v>
      </c>
      <c r="D937" s="2200" t="str">
        <f t="shared" si="56"/>
        <v>MA</v>
      </c>
      <c r="E937" s="2200">
        <f t="shared" si="57"/>
        <v>11</v>
      </c>
      <c r="F937" s="2200" t="str">
        <f t="shared" si="58"/>
        <v>25</v>
      </c>
      <c r="G937" s="2200" t="str">
        <f t="shared" si="59"/>
        <v>00380</v>
      </c>
      <c r="H937" s="2200">
        <f>--SUBTOTAL(3,C$2:C937)</f>
        <v>99</v>
      </c>
    </row>
    <row r="938" spans="1:8" hidden="1" x14ac:dyDescent="0.15">
      <c r="A938" s="2200" t="s">
        <v>11502</v>
      </c>
      <c r="B938" s="2200" t="s">
        <v>12590</v>
      </c>
      <c r="C938" s="2200" t="s">
        <v>12591</v>
      </c>
      <c r="D938" s="2200" t="str">
        <f t="shared" si="56"/>
        <v>MA</v>
      </c>
      <c r="E938" s="2200">
        <f t="shared" si="57"/>
        <v>14</v>
      </c>
      <c r="F938" s="2200" t="str">
        <f t="shared" si="58"/>
        <v>25</v>
      </c>
      <c r="G938" s="2200" t="str">
        <f t="shared" si="59"/>
        <v>00520</v>
      </c>
      <c r="H938" s="2200">
        <f>--SUBTOTAL(3,C$2:C938)</f>
        <v>99</v>
      </c>
    </row>
    <row r="939" spans="1:8" hidden="1" x14ac:dyDescent="0.15">
      <c r="A939" s="2200" t="s">
        <v>11502</v>
      </c>
      <c r="B939" s="2200" t="s">
        <v>12592</v>
      </c>
      <c r="C939" s="2200" t="s">
        <v>12593</v>
      </c>
      <c r="D939" s="2200" t="str">
        <f t="shared" si="56"/>
        <v>MA</v>
      </c>
      <c r="E939" s="2200">
        <f t="shared" si="57"/>
        <v>11</v>
      </c>
      <c r="F939" s="2200" t="str">
        <f t="shared" si="58"/>
        <v>25</v>
      </c>
      <c r="G939" s="2200" t="str">
        <f t="shared" si="59"/>
        <v>00555</v>
      </c>
      <c r="H939" s="2200">
        <f>--SUBTOTAL(3,C$2:C939)</f>
        <v>99</v>
      </c>
    </row>
    <row r="940" spans="1:8" hidden="1" x14ac:dyDescent="0.15">
      <c r="A940" s="2200" t="s">
        <v>10723</v>
      </c>
      <c r="B940" s="2200" t="s">
        <v>12594</v>
      </c>
      <c r="C940" s="2200" t="s">
        <v>12595</v>
      </c>
      <c r="D940" s="2200" t="str">
        <f t="shared" si="56"/>
        <v>MA</v>
      </c>
      <c r="E940" s="2200">
        <f t="shared" si="57"/>
        <v>17</v>
      </c>
      <c r="F940" s="2200" t="str">
        <f t="shared" si="58"/>
        <v>25</v>
      </c>
      <c r="G940" s="2200" t="str">
        <f t="shared" si="59"/>
        <v>00840</v>
      </c>
      <c r="H940" s="2200">
        <f>--SUBTOTAL(3,C$2:C940)</f>
        <v>99</v>
      </c>
    </row>
    <row r="941" spans="1:8" hidden="1" x14ac:dyDescent="0.15">
      <c r="A941" s="2200" t="s">
        <v>11502</v>
      </c>
      <c r="B941" s="2200" t="s">
        <v>12596</v>
      </c>
      <c r="C941" s="2200" t="s">
        <v>12597</v>
      </c>
      <c r="D941" s="2200" t="str">
        <f t="shared" si="56"/>
        <v>MA</v>
      </c>
      <c r="E941" s="2200">
        <f t="shared" si="57"/>
        <v>12</v>
      </c>
      <c r="F941" s="2200" t="str">
        <f t="shared" si="58"/>
        <v>25</v>
      </c>
      <c r="G941" s="2200" t="str">
        <f t="shared" si="59"/>
        <v>00975</v>
      </c>
      <c r="H941" s="2200">
        <f>--SUBTOTAL(3,C$2:C941)</f>
        <v>99</v>
      </c>
    </row>
    <row r="942" spans="1:8" hidden="1" x14ac:dyDescent="0.15">
      <c r="A942" s="2200" t="s">
        <v>11502</v>
      </c>
      <c r="B942" s="2200" t="s">
        <v>12598</v>
      </c>
      <c r="C942" s="2200" t="s">
        <v>12599</v>
      </c>
      <c r="D942" s="2200" t="str">
        <f t="shared" si="56"/>
        <v>MA</v>
      </c>
      <c r="E942" s="2200">
        <f t="shared" si="57"/>
        <v>19</v>
      </c>
      <c r="F942" s="2200" t="str">
        <f t="shared" si="58"/>
        <v>25</v>
      </c>
      <c r="G942" s="2200" t="str">
        <f t="shared" si="59"/>
        <v>01260</v>
      </c>
      <c r="H942" s="2200">
        <f>--SUBTOTAL(3,C$2:C942)</f>
        <v>99</v>
      </c>
    </row>
    <row r="943" spans="1:8" hidden="1" x14ac:dyDescent="0.15">
      <c r="A943" s="2200" t="s">
        <v>10723</v>
      </c>
      <c r="B943" s="2200" t="s">
        <v>12600</v>
      </c>
      <c r="C943" s="2200" t="s">
        <v>12601</v>
      </c>
      <c r="D943" s="2200" t="str">
        <f t="shared" si="56"/>
        <v>MA</v>
      </c>
      <c r="E943" s="2200">
        <f t="shared" si="57"/>
        <v>13</v>
      </c>
      <c r="F943" s="2200" t="str">
        <f t="shared" si="58"/>
        <v>25</v>
      </c>
      <c r="G943" s="2200" t="str">
        <f t="shared" si="59"/>
        <v>01325</v>
      </c>
      <c r="H943" s="2200">
        <f>--SUBTOTAL(3,C$2:C943)</f>
        <v>99</v>
      </c>
    </row>
    <row r="944" spans="1:8" hidden="1" x14ac:dyDescent="0.15">
      <c r="A944" s="2200" t="s">
        <v>10723</v>
      </c>
      <c r="B944" s="2200" t="s">
        <v>12602</v>
      </c>
      <c r="C944" s="2200" t="s">
        <v>12603</v>
      </c>
      <c r="D944" s="2200" t="str">
        <f t="shared" si="56"/>
        <v>MA</v>
      </c>
      <c r="E944" s="2200">
        <f t="shared" si="57"/>
        <v>13</v>
      </c>
      <c r="F944" s="2200" t="str">
        <f t="shared" si="58"/>
        <v>25</v>
      </c>
      <c r="G944" s="2200" t="str">
        <f t="shared" si="59"/>
        <v>01465</v>
      </c>
      <c r="H944" s="2200">
        <f>--SUBTOTAL(3,C$2:C944)</f>
        <v>99</v>
      </c>
    </row>
    <row r="945" spans="1:8" hidden="1" x14ac:dyDescent="0.15">
      <c r="A945" s="2200" t="s">
        <v>11502</v>
      </c>
      <c r="B945" s="2200" t="s">
        <v>12604</v>
      </c>
      <c r="C945" s="2200" t="s">
        <v>12605</v>
      </c>
      <c r="D945" s="2200" t="str">
        <f t="shared" si="56"/>
        <v>MA</v>
      </c>
      <c r="E945" s="2200">
        <f t="shared" si="57"/>
        <v>14</v>
      </c>
      <c r="F945" s="2200" t="str">
        <f t="shared" si="58"/>
        <v>25</v>
      </c>
      <c r="G945" s="2200" t="str">
        <f t="shared" si="59"/>
        <v>01585</v>
      </c>
      <c r="H945" s="2200">
        <f>--SUBTOTAL(3,C$2:C945)</f>
        <v>99</v>
      </c>
    </row>
    <row r="946" spans="1:8" hidden="1" x14ac:dyDescent="0.15">
      <c r="A946" s="2200" t="s">
        <v>10723</v>
      </c>
      <c r="B946" s="2200" t="s">
        <v>12606</v>
      </c>
      <c r="C946" s="2200" t="s">
        <v>12607</v>
      </c>
      <c r="D946" s="2200" t="str">
        <f t="shared" si="56"/>
        <v>MA</v>
      </c>
      <c r="E946" s="2200">
        <f t="shared" si="57"/>
        <v>15</v>
      </c>
      <c r="F946" s="2200" t="str">
        <f t="shared" si="58"/>
        <v>25</v>
      </c>
      <c r="G946" s="2200" t="str">
        <f t="shared" si="59"/>
        <v>01605</v>
      </c>
      <c r="H946" s="2200">
        <f>--SUBTOTAL(3,C$2:C946)</f>
        <v>99</v>
      </c>
    </row>
    <row r="947" spans="1:8" hidden="1" x14ac:dyDescent="0.15">
      <c r="A947" s="2200" t="s">
        <v>11502</v>
      </c>
      <c r="B947" s="2200" t="s">
        <v>12608</v>
      </c>
      <c r="C947" s="2200" t="s">
        <v>12609</v>
      </c>
      <c r="D947" s="2200" t="str">
        <f t="shared" si="56"/>
        <v>MA</v>
      </c>
      <c r="E947" s="2200">
        <f t="shared" si="57"/>
        <v>16</v>
      </c>
      <c r="F947" s="2200" t="str">
        <f t="shared" si="58"/>
        <v>25</v>
      </c>
      <c r="G947" s="2200" t="str">
        <f t="shared" si="59"/>
        <v>01885</v>
      </c>
      <c r="H947" s="2200">
        <f>--SUBTOTAL(3,C$2:C947)</f>
        <v>99</v>
      </c>
    </row>
    <row r="948" spans="1:8" hidden="1" x14ac:dyDescent="0.15">
      <c r="A948" s="2200" t="s">
        <v>11502</v>
      </c>
      <c r="B948" s="2200" t="s">
        <v>12610</v>
      </c>
      <c r="C948" s="2200" t="s">
        <v>12611</v>
      </c>
      <c r="D948" s="2200" t="str">
        <f t="shared" si="56"/>
        <v>MA</v>
      </c>
      <c r="E948" s="2200">
        <f t="shared" si="57"/>
        <v>11</v>
      </c>
      <c r="F948" s="2200" t="str">
        <f t="shared" si="58"/>
        <v>25</v>
      </c>
      <c r="G948" s="2200" t="str">
        <f t="shared" si="59"/>
        <v>01955</v>
      </c>
      <c r="H948" s="2200">
        <f>--SUBTOTAL(3,C$2:C948)</f>
        <v>99</v>
      </c>
    </row>
    <row r="949" spans="1:8" hidden="1" x14ac:dyDescent="0.15">
      <c r="A949" s="2200" t="s">
        <v>11502</v>
      </c>
      <c r="B949" s="2200" t="s">
        <v>12612</v>
      </c>
      <c r="C949" s="2200" t="s">
        <v>12613</v>
      </c>
      <c r="D949" s="2200" t="str">
        <f t="shared" si="56"/>
        <v>MA</v>
      </c>
      <c r="E949" s="2200">
        <f t="shared" si="57"/>
        <v>14</v>
      </c>
      <c r="F949" s="2200" t="str">
        <f t="shared" si="58"/>
        <v>25</v>
      </c>
      <c r="G949" s="2200" t="str">
        <f t="shared" si="59"/>
        <v>02095</v>
      </c>
      <c r="H949" s="2200">
        <f>--SUBTOTAL(3,C$2:C949)</f>
        <v>99</v>
      </c>
    </row>
    <row r="950" spans="1:8" hidden="1" x14ac:dyDescent="0.15">
      <c r="A950" s="2200" t="s">
        <v>11502</v>
      </c>
      <c r="B950" s="2200" t="s">
        <v>12614</v>
      </c>
      <c r="C950" s="2200" t="s">
        <v>12615</v>
      </c>
      <c r="D950" s="2200" t="str">
        <f t="shared" si="56"/>
        <v>MA</v>
      </c>
      <c r="E950" s="2200">
        <f t="shared" si="57"/>
        <v>13</v>
      </c>
      <c r="F950" s="2200" t="str">
        <f t="shared" si="58"/>
        <v>25</v>
      </c>
      <c r="G950" s="2200" t="str">
        <f t="shared" si="59"/>
        <v>02130</v>
      </c>
      <c r="H950" s="2200">
        <f>--SUBTOTAL(3,C$2:C950)</f>
        <v>99</v>
      </c>
    </row>
    <row r="951" spans="1:8" hidden="1" x14ac:dyDescent="0.15">
      <c r="A951" s="2200" t="s">
        <v>11502</v>
      </c>
      <c r="B951" s="2200" t="s">
        <v>12616</v>
      </c>
      <c r="C951" s="2200" t="s">
        <v>12617</v>
      </c>
      <c r="D951" s="2200" t="str">
        <f t="shared" si="56"/>
        <v>MA</v>
      </c>
      <c r="E951" s="2200">
        <f t="shared" si="57"/>
        <v>11</v>
      </c>
      <c r="F951" s="2200" t="str">
        <f t="shared" si="58"/>
        <v>25</v>
      </c>
      <c r="G951" s="2200" t="str">
        <f t="shared" si="59"/>
        <v>02480</v>
      </c>
      <c r="H951" s="2200">
        <f>--SUBTOTAL(3,C$2:C951)</f>
        <v>99</v>
      </c>
    </row>
    <row r="952" spans="1:8" hidden="1" x14ac:dyDescent="0.15">
      <c r="A952" s="2200" t="s">
        <v>10723</v>
      </c>
      <c r="B952" s="2200" t="s">
        <v>12618</v>
      </c>
      <c r="C952" s="2200" t="s">
        <v>12619</v>
      </c>
      <c r="D952" s="2200" t="str">
        <f t="shared" si="56"/>
        <v>MA</v>
      </c>
      <c r="E952" s="2200">
        <f t="shared" si="57"/>
        <v>15</v>
      </c>
      <c r="F952" s="2200" t="str">
        <f t="shared" si="58"/>
        <v>25</v>
      </c>
      <c r="G952" s="2200" t="str">
        <f t="shared" si="59"/>
        <v>02690</v>
      </c>
      <c r="H952" s="2200">
        <f>--SUBTOTAL(3,C$2:C952)</f>
        <v>99</v>
      </c>
    </row>
    <row r="953" spans="1:8" hidden="1" x14ac:dyDescent="0.15">
      <c r="A953" s="2200" t="s">
        <v>11502</v>
      </c>
      <c r="B953" s="2200" t="s">
        <v>12620</v>
      </c>
      <c r="C953" s="2200" t="s">
        <v>12621</v>
      </c>
      <c r="D953" s="2200" t="str">
        <f t="shared" si="56"/>
        <v>MA</v>
      </c>
      <c r="E953" s="2200">
        <f t="shared" si="57"/>
        <v>12</v>
      </c>
      <c r="F953" s="2200" t="str">
        <f t="shared" si="58"/>
        <v>25</v>
      </c>
      <c r="G953" s="2200" t="str">
        <f t="shared" si="59"/>
        <v>02760</v>
      </c>
      <c r="H953" s="2200">
        <f>--SUBTOTAL(3,C$2:C953)</f>
        <v>99</v>
      </c>
    </row>
    <row r="954" spans="1:8" hidden="1" x14ac:dyDescent="0.15">
      <c r="A954" s="2200" t="s">
        <v>11502</v>
      </c>
      <c r="B954" s="2200" t="s">
        <v>12622</v>
      </c>
      <c r="C954" s="2200" t="s">
        <v>12623</v>
      </c>
      <c r="D954" s="2200" t="str">
        <f t="shared" si="56"/>
        <v>MA</v>
      </c>
      <c r="E954" s="2200">
        <f t="shared" si="57"/>
        <v>10</v>
      </c>
      <c r="F954" s="2200" t="str">
        <f t="shared" si="58"/>
        <v>25</v>
      </c>
      <c r="G954" s="2200" t="str">
        <f t="shared" si="59"/>
        <v>02935</v>
      </c>
      <c r="H954" s="2200">
        <f>--SUBTOTAL(3,C$2:C954)</f>
        <v>99</v>
      </c>
    </row>
    <row r="955" spans="1:8" hidden="1" x14ac:dyDescent="0.15">
      <c r="A955" s="2200" t="s">
        <v>11502</v>
      </c>
      <c r="B955" s="2200" t="s">
        <v>12624</v>
      </c>
      <c r="C955" s="2200" t="s">
        <v>12625</v>
      </c>
      <c r="D955" s="2200" t="str">
        <f t="shared" si="56"/>
        <v>MA</v>
      </c>
      <c r="E955" s="2200">
        <f t="shared" si="57"/>
        <v>10</v>
      </c>
      <c r="F955" s="2200" t="str">
        <f t="shared" si="58"/>
        <v>25</v>
      </c>
      <c r="G955" s="2200" t="str">
        <f t="shared" si="59"/>
        <v>03005</v>
      </c>
      <c r="H955" s="2200">
        <f>--SUBTOTAL(3,C$2:C955)</f>
        <v>99</v>
      </c>
    </row>
    <row r="956" spans="1:8" hidden="1" x14ac:dyDescent="0.15">
      <c r="A956" s="2200" t="s">
        <v>10723</v>
      </c>
      <c r="B956" s="2200" t="s">
        <v>12626</v>
      </c>
      <c r="C956" s="2200" t="s">
        <v>12627</v>
      </c>
      <c r="D956" s="2200" t="str">
        <f t="shared" si="56"/>
        <v>MA</v>
      </c>
      <c r="E956" s="2200">
        <f t="shared" si="57"/>
        <v>21</v>
      </c>
      <c r="F956" s="2200" t="str">
        <f t="shared" si="58"/>
        <v>25</v>
      </c>
      <c r="G956" s="2200" t="str">
        <f t="shared" si="59"/>
        <v>03690</v>
      </c>
      <c r="H956" s="2200">
        <f>--SUBTOTAL(3,C$2:C956)</f>
        <v>99</v>
      </c>
    </row>
    <row r="957" spans="1:8" hidden="1" x14ac:dyDescent="0.15">
      <c r="A957" s="2200" t="s">
        <v>11502</v>
      </c>
      <c r="B957" s="2200" t="s">
        <v>12628</v>
      </c>
      <c r="C957" s="2200" t="s">
        <v>12629</v>
      </c>
      <c r="D957" s="2200" t="str">
        <f t="shared" si="56"/>
        <v>MA</v>
      </c>
      <c r="E957" s="2200">
        <f t="shared" si="57"/>
        <v>11</v>
      </c>
      <c r="F957" s="2200" t="str">
        <f t="shared" si="58"/>
        <v>25</v>
      </c>
      <c r="G957" s="2200" t="str">
        <f t="shared" si="59"/>
        <v>03740</v>
      </c>
      <c r="H957" s="2200">
        <f>--SUBTOTAL(3,C$2:C957)</f>
        <v>99</v>
      </c>
    </row>
    <row r="958" spans="1:8" hidden="1" x14ac:dyDescent="0.15">
      <c r="A958" s="2200" t="s">
        <v>11502</v>
      </c>
      <c r="B958" s="2200" t="s">
        <v>12630</v>
      </c>
      <c r="C958" s="2200" t="s">
        <v>12631</v>
      </c>
      <c r="D958" s="2200" t="str">
        <f t="shared" si="56"/>
        <v>MA</v>
      </c>
      <c r="E958" s="2200">
        <f t="shared" si="57"/>
        <v>12</v>
      </c>
      <c r="F958" s="2200" t="str">
        <f t="shared" si="58"/>
        <v>25</v>
      </c>
      <c r="G958" s="2200" t="str">
        <f t="shared" si="59"/>
        <v>04545</v>
      </c>
      <c r="H958" s="2200">
        <f>--SUBTOTAL(3,C$2:C958)</f>
        <v>99</v>
      </c>
    </row>
    <row r="959" spans="1:8" hidden="1" x14ac:dyDescent="0.15">
      <c r="A959" s="2200" t="s">
        <v>11502</v>
      </c>
      <c r="B959" s="2200" t="s">
        <v>12632</v>
      </c>
      <c r="C959" s="2200" t="s">
        <v>12633</v>
      </c>
      <c r="D959" s="2200" t="str">
        <f t="shared" si="56"/>
        <v>MA</v>
      </c>
      <c r="E959" s="2200">
        <f t="shared" si="57"/>
        <v>13</v>
      </c>
      <c r="F959" s="2200" t="str">
        <f t="shared" si="58"/>
        <v>25</v>
      </c>
      <c r="G959" s="2200" t="str">
        <f t="shared" si="59"/>
        <v>04615</v>
      </c>
      <c r="H959" s="2200">
        <f>--SUBTOTAL(3,C$2:C959)</f>
        <v>99</v>
      </c>
    </row>
    <row r="960" spans="1:8" hidden="1" x14ac:dyDescent="0.15">
      <c r="A960" s="2200" t="s">
        <v>11502</v>
      </c>
      <c r="B960" s="2200" t="s">
        <v>12634</v>
      </c>
      <c r="C960" s="2200" t="s">
        <v>12635</v>
      </c>
      <c r="D960" s="2200" t="str">
        <f t="shared" si="56"/>
        <v>MA</v>
      </c>
      <c r="E960" s="2200">
        <f t="shared" si="57"/>
        <v>17</v>
      </c>
      <c r="F960" s="2200" t="str">
        <f t="shared" si="58"/>
        <v>25</v>
      </c>
      <c r="G960" s="2200" t="str">
        <f t="shared" si="59"/>
        <v>04825</v>
      </c>
      <c r="H960" s="2200">
        <f>--SUBTOTAL(3,C$2:C960)</f>
        <v>99</v>
      </c>
    </row>
    <row r="961" spans="1:8" hidden="1" x14ac:dyDescent="0.15">
      <c r="A961" s="2200" t="s">
        <v>11502</v>
      </c>
      <c r="B961" s="2200" t="s">
        <v>12636</v>
      </c>
      <c r="C961" s="2200" t="s">
        <v>12637</v>
      </c>
      <c r="D961" s="2200" t="str">
        <f t="shared" si="56"/>
        <v>MA</v>
      </c>
      <c r="E961" s="2200">
        <f t="shared" si="57"/>
        <v>16</v>
      </c>
      <c r="F961" s="2200" t="str">
        <f t="shared" si="58"/>
        <v>25</v>
      </c>
      <c r="G961" s="2200" t="str">
        <f t="shared" si="59"/>
        <v>04930</v>
      </c>
      <c r="H961" s="2200">
        <f>--SUBTOTAL(3,C$2:C961)</f>
        <v>99</v>
      </c>
    </row>
    <row r="962" spans="1:8" hidden="1" x14ac:dyDescent="0.15">
      <c r="A962" s="2200" t="s">
        <v>11502</v>
      </c>
      <c r="B962" s="2200" t="s">
        <v>12638</v>
      </c>
      <c r="C962" s="2200" t="s">
        <v>12639</v>
      </c>
      <c r="D962" s="2200" t="str">
        <f t="shared" ref="D962:D1025" si="60">MID(C962,E962+2,2)</f>
        <v>MA</v>
      </c>
      <c r="E962" s="2200">
        <f t="shared" ref="E962:E1025" si="61">FIND(",",C962)</f>
        <v>13</v>
      </c>
      <c r="F962" s="2200" t="str">
        <f t="shared" si="58"/>
        <v>25</v>
      </c>
      <c r="G962" s="2200" t="str">
        <f t="shared" si="59"/>
        <v>05070</v>
      </c>
      <c r="H962" s="2200">
        <f>--SUBTOTAL(3,C$2:C962)</f>
        <v>99</v>
      </c>
    </row>
    <row r="963" spans="1:8" hidden="1" x14ac:dyDescent="0.15">
      <c r="A963" s="2200" t="s">
        <v>11502</v>
      </c>
      <c r="B963" s="2200" t="s">
        <v>12640</v>
      </c>
      <c r="C963" s="2200" t="s">
        <v>12641</v>
      </c>
      <c r="D963" s="2200" t="str">
        <f t="shared" si="60"/>
        <v>MA</v>
      </c>
      <c r="E963" s="2200">
        <f t="shared" si="61"/>
        <v>13</v>
      </c>
      <c r="F963" s="2200" t="str">
        <f t="shared" ref="F963:F1026" si="62">MID(B963,3,2)</f>
        <v>25</v>
      </c>
      <c r="G963" s="2200" t="str">
        <f t="shared" ref="G963:G1026" si="63">MID(B963,5,5)</f>
        <v>05280</v>
      </c>
      <c r="H963" s="2200">
        <f>--SUBTOTAL(3,C$2:C963)</f>
        <v>99</v>
      </c>
    </row>
    <row r="964" spans="1:8" hidden="1" x14ac:dyDescent="0.15">
      <c r="A964" s="2200" t="s">
        <v>11502</v>
      </c>
      <c r="B964" s="2200" t="s">
        <v>12642</v>
      </c>
      <c r="C964" s="2200" t="s">
        <v>12643</v>
      </c>
      <c r="D964" s="2200" t="str">
        <f t="shared" si="60"/>
        <v>MA</v>
      </c>
      <c r="E964" s="2200">
        <f t="shared" si="61"/>
        <v>12</v>
      </c>
      <c r="F964" s="2200" t="str">
        <f t="shared" si="62"/>
        <v>25</v>
      </c>
      <c r="G964" s="2200" t="str">
        <f t="shared" si="63"/>
        <v>05490</v>
      </c>
      <c r="H964" s="2200">
        <f>--SUBTOTAL(3,C$2:C964)</f>
        <v>99</v>
      </c>
    </row>
    <row r="965" spans="1:8" hidden="1" x14ac:dyDescent="0.15">
      <c r="A965" s="2200" t="s">
        <v>11502</v>
      </c>
      <c r="B965" s="2200" t="s">
        <v>12644</v>
      </c>
      <c r="C965" s="2200" t="s">
        <v>12645</v>
      </c>
      <c r="D965" s="2200" t="str">
        <f t="shared" si="60"/>
        <v>MA</v>
      </c>
      <c r="E965" s="2200">
        <f t="shared" si="61"/>
        <v>17</v>
      </c>
      <c r="F965" s="2200" t="str">
        <f t="shared" si="62"/>
        <v>25</v>
      </c>
      <c r="G965" s="2200" t="str">
        <f t="shared" si="63"/>
        <v>05560</v>
      </c>
      <c r="H965" s="2200">
        <f>--SUBTOTAL(3,C$2:C965)</f>
        <v>99</v>
      </c>
    </row>
    <row r="966" spans="1:8" hidden="1" x14ac:dyDescent="0.15">
      <c r="A966" s="2200" t="s">
        <v>10723</v>
      </c>
      <c r="B966" s="2200" t="s">
        <v>12646</v>
      </c>
      <c r="C966" s="2200" t="s">
        <v>12647</v>
      </c>
      <c r="D966" s="2200" t="str">
        <f t="shared" si="60"/>
        <v>MA</v>
      </c>
      <c r="E966" s="2200">
        <f t="shared" si="61"/>
        <v>13</v>
      </c>
      <c r="F966" s="2200" t="str">
        <f t="shared" si="62"/>
        <v>25</v>
      </c>
      <c r="G966" s="2200" t="str">
        <f t="shared" si="63"/>
        <v>05595</v>
      </c>
      <c r="H966" s="2200">
        <f>--SUBTOTAL(3,C$2:C966)</f>
        <v>99</v>
      </c>
    </row>
    <row r="967" spans="1:8" hidden="1" x14ac:dyDescent="0.15">
      <c r="A967" s="2200" t="s">
        <v>10723</v>
      </c>
      <c r="B967" s="2200" t="s">
        <v>12648</v>
      </c>
      <c r="C967" s="2200" t="s">
        <v>12649</v>
      </c>
      <c r="D967" s="2200" t="str">
        <f t="shared" si="60"/>
        <v>MA</v>
      </c>
      <c r="E967" s="2200">
        <f t="shared" si="61"/>
        <v>15</v>
      </c>
      <c r="F967" s="2200" t="str">
        <f t="shared" si="62"/>
        <v>25</v>
      </c>
      <c r="G967" s="2200" t="str">
        <f t="shared" si="63"/>
        <v>05805</v>
      </c>
      <c r="H967" s="2200">
        <f>--SUBTOTAL(3,C$2:C967)</f>
        <v>99</v>
      </c>
    </row>
    <row r="968" spans="1:8" hidden="1" x14ac:dyDescent="0.15">
      <c r="A968" s="2200" t="s">
        <v>11502</v>
      </c>
      <c r="B968" s="2200" t="s">
        <v>12650</v>
      </c>
      <c r="C968" s="2200" t="s">
        <v>12651</v>
      </c>
      <c r="D968" s="2200" t="str">
        <f t="shared" si="60"/>
        <v>MA</v>
      </c>
      <c r="E968" s="2200">
        <f t="shared" si="61"/>
        <v>16</v>
      </c>
      <c r="F968" s="2200" t="str">
        <f t="shared" si="62"/>
        <v>25</v>
      </c>
      <c r="G968" s="2200" t="str">
        <f t="shared" si="63"/>
        <v>06015</v>
      </c>
      <c r="H968" s="2200">
        <f>--SUBTOTAL(3,C$2:C968)</f>
        <v>99</v>
      </c>
    </row>
    <row r="969" spans="1:8" hidden="1" x14ac:dyDescent="0.15">
      <c r="A969" s="2200" t="s">
        <v>11502</v>
      </c>
      <c r="B969" s="2200" t="s">
        <v>12652</v>
      </c>
      <c r="C969" s="2200" t="s">
        <v>12653</v>
      </c>
      <c r="D969" s="2200" t="str">
        <f t="shared" si="60"/>
        <v>MA</v>
      </c>
      <c r="E969" s="2200">
        <f t="shared" si="61"/>
        <v>15</v>
      </c>
      <c r="F969" s="2200" t="str">
        <f t="shared" si="62"/>
        <v>25</v>
      </c>
      <c r="G969" s="2200" t="str">
        <f t="shared" si="63"/>
        <v>06085</v>
      </c>
      <c r="H969" s="2200">
        <f>--SUBTOTAL(3,C$2:C969)</f>
        <v>99</v>
      </c>
    </row>
    <row r="970" spans="1:8" hidden="1" x14ac:dyDescent="0.15">
      <c r="A970" s="2200" t="s">
        <v>11502</v>
      </c>
      <c r="B970" s="2200" t="s">
        <v>12654</v>
      </c>
      <c r="C970" s="2200" t="s">
        <v>12655</v>
      </c>
      <c r="D970" s="2200" t="str">
        <f t="shared" si="60"/>
        <v>MA</v>
      </c>
      <c r="E970" s="2200">
        <f t="shared" si="61"/>
        <v>12</v>
      </c>
      <c r="F970" s="2200" t="str">
        <f t="shared" si="62"/>
        <v>25</v>
      </c>
      <c r="G970" s="2200" t="str">
        <f t="shared" si="63"/>
        <v>06365</v>
      </c>
      <c r="H970" s="2200">
        <f>--SUBTOTAL(3,C$2:C970)</f>
        <v>99</v>
      </c>
    </row>
    <row r="971" spans="1:8" hidden="1" x14ac:dyDescent="0.15">
      <c r="A971" s="2200" t="s">
        <v>10723</v>
      </c>
      <c r="B971" s="2200" t="s">
        <v>12656</v>
      </c>
      <c r="C971" s="2200" t="s">
        <v>12657</v>
      </c>
      <c r="D971" s="2200" t="str">
        <f t="shared" si="60"/>
        <v>MA</v>
      </c>
      <c r="E971" s="2200">
        <f t="shared" si="61"/>
        <v>12</v>
      </c>
      <c r="F971" s="2200" t="str">
        <f t="shared" si="62"/>
        <v>25</v>
      </c>
      <c r="G971" s="2200" t="str">
        <f t="shared" si="63"/>
        <v>07000</v>
      </c>
      <c r="H971" s="2200">
        <f>--SUBTOTAL(3,C$2:C971)</f>
        <v>99</v>
      </c>
    </row>
    <row r="972" spans="1:8" hidden="1" x14ac:dyDescent="0.15">
      <c r="A972" s="2200" t="s">
        <v>11502</v>
      </c>
      <c r="B972" s="2200" t="s">
        <v>12658</v>
      </c>
      <c r="C972" s="2200" t="s">
        <v>12659</v>
      </c>
      <c r="D972" s="2200" t="str">
        <f t="shared" si="60"/>
        <v>MA</v>
      </c>
      <c r="E972" s="2200">
        <f t="shared" si="61"/>
        <v>12</v>
      </c>
      <c r="F972" s="2200" t="str">
        <f t="shared" si="62"/>
        <v>25</v>
      </c>
      <c r="G972" s="2200" t="str">
        <f t="shared" si="63"/>
        <v>07175</v>
      </c>
      <c r="H972" s="2200">
        <f>--SUBTOTAL(3,C$2:C972)</f>
        <v>99</v>
      </c>
    </row>
    <row r="973" spans="1:8" hidden="1" x14ac:dyDescent="0.15">
      <c r="A973" s="2200" t="s">
        <v>11502</v>
      </c>
      <c r="B973" s="2200" t="s">
        <v>12660</v>
      </c>
      <c r="C973" s="2200" t="s">
        <v>12661</v>
      </c>
      <c r="D973" s="2200" t="str">
        <f t="shared" si="60"/>
        <v>MA</v>
      </c>
      <c r="E973" s="2200">
        <f t="shared" si="61"/>
        <v>16</v>
      </c>
      <c r="F973" s="2200" t="str">
        <f t="shared" si="62"/>
        <v>25</v>
      </c>
      <c r="G973" s="2200" t="str">
        <f t="shared" si="63"/>
        <v>07350</v>
      </c>
      <c r="H973" s="2200">
        <f>--SUBTOTAL(3,C$2:C973)</f>
        <v>99</v>
      </c>
    </row>
    <row r="974" spans="1:8" hidden="1" x14ac:dyDescent="0.15">
      <c r="A974" s="2200" t="s">
        <v>11502</v>
      </c>
      <c r="B974" s="2200" t="s">
        <v>12662</v>
      </c>
      <c r="C974" s="2200" t="s">
        <v>12663</v>
      </c>
      <c r="D974" s="2200" t="str">
        <f t="shared" si="60"/>
        <v>MA</v>
      </c>
      <c r="E974" s="2200">
        <f t="shared" si="61"/>
        <v>13</v>
      </c>
      <c r="F974" s="2200" t="str">
        <f t="shared" si="62"/>
        <v>25</v>
      </c>
      <c r="G974" s="2200" t="str">
        <f t="shared" si="63"/>
        <v>07420</v>
      </c>
      <c r="H974" s="2200">
        <f>--SUBTOTAL(3,C$2:C974)</f>
        <v>99</v>
      </c>
    </row>
    <row r="975" spans="1:8" hidden="1" x14ac:dyDescent="0.15">
      <c r="A975" s="2200" t="s">
        <v>11502</v>
      </c>
      <c r="B975" s="2200" t="s">
        <v>12664</v>
      </c>
      <c r="C975" s="2200" t="s">
        <v>12665</v>
      </c>
      <c r="D975" s="2200" t="str">
        <f t="shared" si="60"/>
        <v>MA</v>
      </c>
      <c r="E975" s="2200">
        <f t="shared" si="61"/>
        <v>14</v>
      </c>
      <c r="F975" s="2200" t="str">
        <f t="shared" si="62"/>
        <v>25</v>
      </c>
      <c r="G975" s="2200" t="str">
        <f t="shared" si="63"/>
        <v>07525</v>
      </c>
      <c r="H975" s="2200">
        <f>--SUBTOTAL(3,C$2:C975)</f>
        <v>99</v>
      </c>
    </row>
    <row r="976" spans="1:8" hidden="1" x14ac:dyDescent="0.15">
      <c r="A976" s="2200" t="s">
        <v>10723</v>
      </c>
      <c r="B976" s="2200" t="s">
        <v>12666</v>
      </c>
      <c r="C976" s="2200" t="s">
        <v>12667</v>
      </c>
      <c r="D976" s="2200" t="str">
        <f t="shared" si="60"/>
        <v>MA</v>
      </c>
      <c r="E976" s="2200">
        <f t="shared" si="61"/>
        <v>20</v>
      </c>
      <c r="F976" s="2200" t="str">
        <f t="shared" si="62"/>
        <v>25</v>
      </c>
      <c r="G976" s="2200" t="str">
        <f t="shared" si="63"/>
        <v>07740</v>
      </c>
      <c r="H976" s="2200">
        <f>--SUBTOTAL(3,C$2:C976)</f>
        <v>99</v>
      </c>
    </row>
    <row r="977" spans="1:8" hidden="1" x14ac:dyDescent="0.15">
      <c r="A977" s="2200" t="s">
        <v>11502</v>
      </c>
      <c r="B977" s="2200" t="s">
        <v>12668</v>
      </c>
      <c r="C977" s="2200" t="s">
        <v>12669</v>
      </c>
      <c r="D977" s="2200" t="str">
        <f t="shared" si="60"/>
        <v>MA</v>
      </c>
      <c r="E977" s="2200">
        <f t="shared" si="61"/>
        <v>14</v>
      </c>
      <c r="F977" s="2200" t="str">
        <f t="shared" si="62"/>
        <v>25</v>
      </c>
      <c r="G977" s="2200" t="str">
        <f t="shared" si="63"/>
        <v>07980</v>
      </c>
      <c r="H977" s="2200">
        <f>--SUBTOTAL(3,C$2:C977)</f>
        <v>99</v>
      </c>
    </row>
    <row r="978" spans="1:8" hidden="1" x14ac:dyDescent="0.15">
      <c r="A978" s="2200" t="s">
        <v>10723</v>
      </c>
      <c r="B978" s="2200" t="s">
        <v>12670</v>
      </c>
      <c r="C978" s="2200" t="s">
        <v>12671</v>
      </c>
      <c r="D978" s="2200" t="str">
        <f t="shared" si="60"/>
        <v>MA</v>
      </c>
      <c r="E978" s="2200">
        <f t="shared" si="61"/>
        <v>17</v>
      </c>
      <c r="F978" s="2200" t="str">
        <f t="shared" si="62"/>
        <v>25</v>
      </c>
      <c r="G978" s="2200" t="str">
        <f t="shared" si="63"/>
        <v>08085</v>
      </c>
      <c r="H978" s="2200">
        <f>--SUBTOTAL(3,C$2:C978)</f>
        <v>99</v>
      </c>
    </row>
    <row r="979" spans="1:8" hidden="1" x14ac:dyDescent="0.15">
      <c r="A979" s="2200" t="s">
        <v>11502</v>
      </c>
      <c r="B979" s="2200" t="s">
        <v>12672</v>
      </c>
      <c r="C979" s="2200" t="s">
        <v>12673</v>
      </c>
      <c r="D979" s="2200" t="str">
        <f t="shared" si="60"/>
        <v>MA</v>
      </c>
      <c r="E979" s="2200">
        <f t="shared" si="61"/>
        <v>15</v>
      </c>
      <c r="F979" s="2200" t="str">
        <f t="shared" si="62"/>
        <v>25</v>
      </c>
      <c r="G979" s="2200" t="str">
        <f t="shared" si="63"/>
        <v>08470</v>
      </c>
      <c r="H979" s="2200">
        <f>--SUBTOTAL(3,C$2:C979)</f>
        <v>99</v>
      </c>
    </row>
    <row r="980" spans="1:8" hidden="1" x14ac:dyDescent="0.15">
      <c r="A980" s="2200" t="s">
        <v>10723</v>
      </c>
      <c r="B980" s="2200" t="s">
        <v>12674</v>
      </c>
      <c r="C980" s="2200" t="s">
        <v>12675</v>
      </c>
      <c r="D980" s="2200" t="str">
        <f t="shared" si="60"/>
        <v>MA</v>
      </c>
      <c r="E980" s="2200">
        <f t="shared" si="61"/>
        <v>14</v>
      </c>
      <c r="F980" s="2200" t="str">
        <f t="shared" si="62"/>
        <v>25</v>
      </c>
      <c r="G980" s="2200" t="str">
        <f t="shared" si="63"/>
        <v>09000</v>
      </c>
      <c r="H980" s="2200">
        <f>--SUBTOTAL(3,C$2:C980)</f>
        <v>99</v>
      </c>
    </row>
    <row r="981" spans="1:8" hidden="1" x14ac:dyDescent="0.15">
      <c r="A981" s="2200" t="s">
        <v>11502</v>
      </c>
      <c r="B981" s="2200" t="s">
        <v>12676</v>
      </c>
      <c r="C981" s="2200" t="s">
        <v>12677</v>
      </c>
      <c r="D981" s="2200" t="str">
        <f t="shared" si="60"/>
        <v>MA</v>
      </c>
      <c r="E981" s="2200">
        <f t="shared" si="61"/>
        <v>16</v>
      </c>
      <c r="F981" s="2200" t="str">
        <f t="shared" si="62"/>
        <v>25</v>
      </c>
      <c r="G981" s="2200" t="str">
        <f t="shared" si="63"/>
        <v>09105</v>
      </c>
      <c r="H981" s="2200">
        <f>--SUBTOTAL(3,C$2:C981)</f>
        <v>99</v>
      </c>
    </row>
    <row r="982" spans="1:8" hidden="1" x14ac:dyDescent="0.15">
      <c r="A982" s="2200" t="s">
        <v>10723</v>
      </c>
      <c r="B982" s="2200" t="s">
        <v>12678</v>
      </c>
      <c r="C982" s="2200" t="s">
        <v>12679</v>
      </c>
      <c r="D982" s="2200" t="str">
        <f t="shared" si="60"/>
        <v>MA</v>
      </c>
      <c r="E982" s="2200">
        <f t="shared" si="61"/>
        <v>15</v>
      </c>
      <c r="F982" s="2200" t="str">
        <f t="shared" si="62"/>
        <v>25</v>
      </c>
      <c r="G982" s="2200" t="str">
        <f t="shared" si="63"/>
        <v>09175</v>
      </c>
      <c r="H982" s="2200">
        <f>--SUBTOTAL(3,C$2:C982)</f>
        <v>99</v>
      </c>
    </row>
    <row r="983" spans="1:8" hidden="1" x14ac:dyDescent="0.15">
      <c r="A983" s="2200" t="s">
        <v>11502</v>
      </c>
      <c r="B983" s="2200" t="s">
        <v>12680</v>
      </c>
      <c r="C983" s="2200" t="s">
        <v>12681</v>
      </c>
      <c r="D983" s="2200" t="str">
        <f t="shared" si="60"/>
        <v>MA</v>
      </c>
      <c r="E983" s="2200">
        <f t="shared" si="61"/>
        <v>14</v>
      </c>
      <c r="F983" s="2200" t="str">
        <f t="shared" si="62"/>
        <v>25</v>
      </c>
      <c r="G983" s="2200" t="str">
        <f t="shared" si="63"/>
        <v>09595</v>
      </c>
      <c r="H983" s="2200">
        <f>--SUBTOTAL(3,C$2:C983)</f>
        <v>99</v>
      </c>
    </row>
    <row r="984" spans="1:8" hidden="1" x14ac:dyDescent="0.15">
      <c r="A984" s="2200" t="s">
        <v>11443</v>
      </c>
      <c r="B984" s="2200" t="s">
        <v>12682</v>
      </c>
      <c r="C984" s="2200" t="s">
        <v>12683</v>
      </c>
      <c r="D984" s="2200" t="str">
        <f t="shared" si="60"/>
        <v>MA</v>
      </c>
      <c r="E984" s="2200">
        <f t="shared" si="61"/>
        <v>9</v>
      </c>
      <c r="F984" s="2200" t="str">
        <f t="shared" si="62"/>
        <v>25</v>
      </c>
      <c r="G984" s="2200" t="str">
        <f t="shared" si="63"/>
        <v>80500</v>
      </c>
      <c r="H984" s="2200">
        <f>--SUBTOTAL(3,C$2:C984)</f>
        <v>99</v>
      </c>
    </row>
    <row r="985" spans="1:8" hidden="1" x14ac:dyDescent="0.15">
      <c r="A985" s="2200" t="s">
        <v>11502</v>
      </c>
      <c r="B985" s="2200" t="s">
        <v>12684</v>
      </c>
      <c r="C985" s="2200" t="s">
        <v>12685</v>
      </c>
      <c r="D985" s="2200" t="str">
        <f t="shared" si="60"/>
        <v>MA</v>
      </c>
      <c r="E985" s="2200">
        <f t="shared" si="61"/>
        <v>16</v>
      </c>
      <c r="F985" s="2200" t="str">
        <f t="shared" si="62"/>
        <v>25</v>
      </c>
      <c r="G985" s="2200" t="str">
        <f t="shared" si="63"/>
        <v>09840</v>
      </c>
      <c r="H985" s="2200">
        <f>--SUBTOTAL(3,C$2:C985)</f>
        <v>99</v>
      </c>
    </row>
    <row r="986" spans="1:8" hidden="1" x14ac:dyDescent="0.15">
      <c r="A986" s="2200" t="s">
        <v>10723</v>
      </c>
      <c r="B986" s="2200" t="s">
        <v>12686</v>
      </c>
      <c r="C986" s="2200" t="s">
        <v>12687</v>
      </c>
      <c r="D986" s="2200" t="str">
        <f t="shared" si="60"/>
        <v>MA</v>
      </c>
      <c r="E986" s="2200">
        <f t="shared" si="61"/>
        <v>15</v>
      </c>
      <c r="F986" s="2200" t="str">
        <f t="shared" si="62"/>
        <v>25</v>
      </c>
      <c r="G986" s="2200" t="str">
        <f t="shared" si="63"/>
        <v>11000</v>
      </c>
      <c r="H986" s="2200">
        <f>--SUBTOTAL(3,C$2:C986)</f>
        <v>99</v>
      </c>
    </row>
    <row r="987" spans="1:8" hidden="1" x14ac:dyDescent="0.15">
      <c r="A987" s="2200" t="s">
        <v>11502</v>
      </c>
      <c r="B987" s="2200" t="s">
        <v>12688</v>
      </c>
      <c r="C987" s="2200" t="s">
        <v>12689</v>
      </c>
      <c r="D987" s="2200" t="str">
        <f t="shared" si="60"/>
        <v>MA</v>
      </c>
      <c r="E987" s="2200">
        <f t="shared" si="61"/>
        <v>12</v>
      </c>
      <c r="F987" s="2200" t="str">
        <f t="shared" si="62"/>
        <v>25</v>
      </c>
      <c r="G987" s="2200" t="str">
        <f t="shared" si="63"/>
        <v>11315</v>
      </c>
      <c r="H987" s="2200">
        <f>--SUBTOTAL(3,C$2:C987)</f>
        <v>99</v>
      </c>
    </row>
    <row r="988" spans="1:8" hidden="1" x14ac:dyDescent="0.15">
      <c r="A988" s="2200" t="s">
        <v>11502</v>
      </c>
      <c r="B988" s="2200" t="s">
        <v>12690</v>
      </c>
      <c r="C988" s="2200" t="s">
        <v>12691</v>
      </c>
      <c r="D988" s="2200" t="str">
        <f t="shared" si="60"/>
        <v>MA</v>
      </c>
      <c r="E988" s="2200">
        <f t="shared" si="61"/>
        <v>14</v>
      </c>
      <c r="F988" s="2200" t="str">
        <f t="shared" si="62"/>
        <v>25</v>
      </c>
      <c r="G988" s="2200" t="str">
        <f t="shared" si="63"/>
        <v>11525</v>
      </c>
      <c r="H988" s="2200">
        <f>--SUBTOTAL(3,C$2:C988)</f>
        <v>99</v>
      </c>
    </row>
    <row r="989" spans="1:8" hidden="1" x14ac:dyDescent="0.15">
      <c r="A989" s="2200" t="s">
        <v>11502</v>
      </c>
      <c r="B989" s="2200" t="s">
        <v>12692</v>
      </c>
      <c r="C989" s="2200" t="s">
        <v>12693</v>
      </c>
      <c r="D989" s="2200" t="str">
        <f t="shared" si="60"/>
        <v>MA</v>
      </c>
      <c r="E989" s="2200">
        <f t="shared" si="61"/>
        <v>12</v>
      </c>
      <c r="F989" s="2200" t="str">
        <f t="shared" si="62"/>
        <v>25</v>
      </c>
      <c r="G989" s="2200" t="str">
        <f t="shared" si="63"/>
        <v>11665</v>
      </c>
      <c r="H989" s="2200">
        <f>--SUBTOTAL(3,C$2:C989)</f>
        <v>99</v>
      </c>
    </row>
    <row r="990" spans="1:8" hidden="1" x14ac:dyDescent="0.15">
      <c r="A990" s="2200" t="s">
        <v>11502</v>
      </c>
      <c r="B990" s="2200" t="s">
        <v>12694</v>
      </c>
      <c r="C990" s="2200" t="s">
        <v>12695</v>
      </c>
      <c r="D990" s="2200" t="str">
        <f t="shared" si="60"/>
        <v>MA</v>
      </c>
      <c r="E990" s="2200">
        <f t="shared" si="61"/>
        <v>16</v>
      </c>
      <c r="F990" s="2200" t="str">
        <f t="shared" si="62"/>
        <v>25</v>
      </c>
      <c r="G990" s="2200" t="str">
        <f t="shared" si="63"/>
        <v>12505</v>
      </c>
      <c r="H990" s="2200">
        <f>--SUBTOTAL(3,C$2:C990)</f>
        <v>99</v>
      </c>
    </row>
    <row r="991" spans="1:8" hidden="1" x14ac:dyDescent="0.15">
      <c r="A991" s="2200" t="s">
        <v>11502</v>
      </c>
      <c r="B991" s="2200" t="s">
        <v>12696</v>
      </c>
      <c r="C991" s="2200" t="s">
        <v>12697</v>
      </c>
      <c r="D991" s="2200" t="str">
        <f t="shared" si="60"/>
        <v>MA</v>
      </c>
      <c r="E991" s="2200">
        <f t="shared" si="61"/>
        <v>14</v>
      </c>
      <c r="F991" s="2200" t="str">
        <f t="shared" si="62"/>
        <v>25</v>
      </c>
      <c r="G991" s="2200" t="str">
        <f t="shared" si="63"/>
        <v>12715</v>
      </c>
      <c r="H991" s="2200">
        <f>--SUBTOTAL(3,C$2:C991)</f>
        <v>99</v>
      </c>
    </row>
    <row r="992" spans="1:8" hidden="1" x14ac:dyDescent="0.15">
      <c r="A992" s="2200" t="s">
        <v>11502</v>
      </c>
      <c r="B992" s="2200" t="s">
        <v>12698</v>
      </c>
      <c r="C992" s="2200" t="s">
        <v>12699</v>
      </c>
      <c r="D992" s="2200" t="str">
        <f t="shared" si="60"/>
        <v>MA</v>
      </c>
      <c r="E992" s="2200">
        <f t="shared" si="61"/>
        <v>13</v>
      </c>
      <c r="F992" s="2200" t="str">
        <f t="shared" si="62"/>
        <v>25</v>
      </c>
      <c r="G992" s="2200" t="str">
        <f t="shared" si="63"/>
        <v>12995</v>
      </c>
      <c r="H992" s="2200">
        <f>--SUBTOTAL(3,C$2:C992)</f>
        <v>99</v>
      </c>
    </row>
    <row r="993" spans="1:8" hidden="1" x14ac:dyDescent="0.15">
      <c r="A993" s="2200" t="s">
        <v>10723</v>
      </c>
      <c r="B993" s="2200" t="s">
        <v>12700</v>
      </c>
      <c r="C993" s="2200" t="s">
        <v>12701</v>
      </c>
      <c r="D993" s="2200" t="str">
        <f t="shared" si="60"/>
        <v>MA</v>
      </c>
      <c r="E993" s="2200">
        <f t="shared" si="61"/>
        <v>16</v>
      </c>
      <c r="F993" s="2200" t="str">
        <f t="shared" si="62"/>
        <v>25</v>
      </c>
      <c r="G993" s="2200" t="str">
        <f t="shared" si="63"/>
        <v>13135</v>
      </c>
      <c r="H993" s="2200">
        <f>--SUBTOTAL(3,C$2:C993)</f>
        <v>99</v>
      </c>
    </row>
    <row r="994" spans="1:8" hidden="1" x14ac:dyDescent="0.15">
      <c r="A994" s="2200" t="s">
        <v>10723</v>
      </c>
      <c r="B994" s="2200" t="s">
        <v>12702</v>
      </c>
      <c r="C994" s="2200" t="s">
        <v>12703</v>
      </c>
      <c r="D994" s="2200" t="str">
        <f t="shared" si="60"/>
        <v>MA</v>
      </c>
      <c r="E994" s="2200">
        <f t="shared" si="61"/>
        <v>13</v>
      </c>
      <c r="F994" s="2200" t="str">
        <f t="shared" si="62"/>
        <v>25</v>
      </c>
      <c r="G994" s="2200" t="str">
        <f t="shared" si="63"/>
        <v>13205</v>
      </c>
      <c r="H994" s="2200">
        <f>--SUBTOTAL(3,C$2:C994)</f>
        <v>99</v>
      </c>
    </row>
    <row r="995" spans="1:8" hidden="1" x14ac:dyDescent="0.15">
      <c r="A995" s="2200" t="s">
        <v>11502</v>
      </c>
      <c r="B995" s="2200" t="s">
        <v>12704</v>
      </c>
      <c r="C995" s="2200" t="s">
        <v>12705</v>
      </c>
      <c r="D995" s="2200" t="str">
        <f t="shared" si="60"/>
        <v>MA</v>
      </c>
      <c r="E995" s="2200">
        <f t="shared" si="61"/>
        <v>14</v>
      </c>
      <c r="F995" s="2200" t="str">
        <f t="shared" si="62"/>
        <v>25</v>
      </c>
      <c r="G995" s="2200" t="str">
        <f t="shared" si="63"/>
        <v>13345</v>
      </c>
      <c r="H995" s="2200">
        <f>--SUBTOTAL(3,C$2:C995)</f>
        <v>99</v>
      </c>
    </row>
    <row r="996" spans="1:8" hidden="1" x14ac:dyDescent="0.15">
      <c r="A996" s="2200" t="s">
        <v>11502</v>
      </c>
      <c r="B996" s="2200" t="s">
        <v>12706</v>
      </c>
      <c r="C996" s="2200" t="s">
        <v>12707</v>
      </c>
      <c r="D996" s="2200" t="str">
        <f t="shared" si="60"/>
        <v>MA</v>
      </c>
      <c r="E996" s="2200">
        <f t="shared" si="61"/>
        <v>13</v>
      </c>
      <c r="F996" s="2200" t="str">
        <f t="shared" si="62"/>
        <v>25</v>
      </c>
      <c r="G996" s="2200" t="str">
        <f t="shared" si="63"/>
        <v>13485</v>
      </c>
      <c r="H996" s="2200">
        <f>--SUBTOTAL(3,C$2:C996)</f>
        <v>99</v>
      </c>
    </row>
    <row r="997" spans="1:8" hidden="1" x14ac:dyDescent="0.15">
      <c r="A997" s="2200" t="s">
        <v>11502</v>
      </c>
      <c r="B997" s="2200" t="s">
        <v>12708</v>
      </c>
      <c r="C997" s="2200" t="s">
        <v>12709</v>
      </c>
      <c r="D997" s="2200" t="str">
        <f t="shared" si="60"/>
        <v>MA</v>
      </c>
      <c r="E997" s="2200">
        <f t="shared" si="61"/>
        <v>18</v>
      </c>
      <c r="F997" s="2200" t="str">
        <f t="shared" si="62"/>
        <v>25</v>
      </c>
      <c r="G997" s="2200" t="str">
        <f t="shared" si="63"/>
        <v>13590</v>
      </c>
      <c r="H997" s="2200">
        <f>--SUBTOTAL(3,C$2:C997)</f>
        <v>99</v>
      </c>
    </row>
    <row r="998" spans="1:8" hidden="1" x14ac:dyDescent="0.15">
      <c r="A998" s="2200" t="s">
        <v>10723</v>
      </c>
      <c r="B998" s="2200" t="s">
        <v>12710</v>
      </c>
      <c r="C998" s="2200" t="s">
        <v>12711</v>
      </c>
      <c r="D998" s="2200" t="str">
        <f t="shared" si="60"/>
        <v>MA</v>
      </c>
      <c r="E998" s="2200">
        <f t="shared" si="61"/>
        <v>14</v>
      </c>
      <c r="F998" s="2200" t="str">
        <f t="shared" si="62"/>
        <v>25</v>
      </c>
      <c r="G998" s="2200" t="str">
        <f t="shared" si="63"/>
        <v>13660</v>
      </c>
      <c r="H998" s="2200">
        <f>--SUBTOTAL(3,C$2:C998)</f>
        <v>99</v>
      </c>
    </row>
    <row r="999" spans="1:8" hidden="1" x14ac:dyDescent="0.15">
      <c r="A999" s="2200" t="s">
        <v>11502</v>
      </c>
      <c r="B999" s="2200" t="s">
        <v>12712</v>
      </c>
      <c r="C999" s="2200" t="s">
        <v>12713</v>
      </c>
      <c r="D999" s="2200" t="str">
        <f t="shared" si="60"/>
        <v>MA</v>
      </c>
      <c r="E999" s="2200">
        <f t="shared" si="61"/>
        <v>14</v>
      </c>
      <c r="F999" s="2200" t="str">
        <f t="shared" si="62"/>
        <v>25</v>
      </c>
      <c r="G999" s="2200" t="str">
        <f t="shared" si="63"/>
        <v>13800</v>
      </c>
      <c r="H999" s="2200">
        <f>--SUBTOTAL(3,C$2:C999)</f>
        <v>99</v>
      </c>
    </row>
    <row r="1000" spans="1:8" hidden="1" x14ac:dyDescent="0.15">
      <c r="A1000" s="2200" t="s">
        <v>11502</v>
      </c>
      <c r="B1000" s="2200" t="s">
        <v>12714</v>
      </c>
      <c r="C1000" s="2200" t="s">
        <v>12715</v>
      </c>
      <c r="D1000" s="2200" t="str">
        <f t="shared" si="60"/>
        <v>MA</v>
      </c>
      <c r="E1000" s="2200">
        <f t="shared" si="61"/>
        <v>16</v>
      </c>
      <c r="F1000" s="2200" t="str">
        <f t="shared" si="62"/>
        <v>25</v>
      </c>
      <c r="G1000" s="2200" t="str">
        <f t="shared" si="63"/>
        <v>14010</v>
      </c>
      <c r="H1000" s="2200">
        <f>--SUBTOTAL(3,C$2:C1000)</f>
        <v>99</v>
      </c>
    </row>
    <row r="1001" spans="1:8" hidden="1" x14ac:dyDescent="0.15">
      <c r="A1001" s="2200" t="s">
        <v>11502</v>
      </c>
      <c r="B1001" s="2200" t="s">
        <v>12716</v>
      </c>
      <c r="C1001" s="2200" t="s">
        <v>12717</v>
      </c>
      <c r="D1001" s="2200" t="str">
        <f t="shared" si="60"/>
        <v>MA</v>
      </c>
      <c r="E1001" s="2200">
        <f t="shared" si="61"/>
        <v>13</v>
      </c>
      <c r="F1001" s="2200" t="str">
        <f t="shared" si="62"/>
        <v>25</v>
      </c>
      <c r="G1001" s="2200" t="str">
        <f t="shared" si="63"/>
        <v>14395</v>
      </c>
      <c r="H1001" s="2200">
        <f>--SUBTOTAL(3,C$2:C1001)</f>
        <v>99</v>
      </c>
    </row>
    <row r="1002" spans="1:8" hidden="1" x14ac:dyDescent="0.15">
      <c r="A1002" s="2200" t="s">
        <v>11502</v>
      </c>
      <c r="B1002" s="2200" t="s">
        <v>12718</v>
      </c>
      <c r="C1002" s="2200" t="s">
        <v>12719</v>
      </c>
      <c r="D1002" s="2200" t="str">
        <f t="shared" si="60"/>
        <v>MA</v>
      </c>
      <c r="E1002" s="2200">
        <f t="shared" si="61"/>
        <v>14</v>
      </c>
      <c r="F1002" s="2200" t="str">
        <f t="shared" si="62"/>
        <v>25</v>
      </c>
      <c r="G1002" s="2200" t="str">
        <f t="shared" si="63"/>
        <v>14640</v>
      </c>
      <c r="H1002" s="2200">
        <f>--SUBTOTAL(3,C$2:C1002)</f>
        <v>99</v>
      </c>
    </row>
    <row r="1003" spans="1:8" hidden="1" x14ac:dyDescent="0.15">
      <c r="A1003" s="2200" t="s">
        <v>11502</v>
      </c>
      <c r="B1003" s="2200" t="s">
        <v>12720</v>
      </c>
      <c r="C1003" s="2200" t="s">
        <v>12721</v>
      </c>
      <c r="D1003" s="2200" t="str">
        <f t="shared" si="60"/>
        <v>MA</v>
      </c>
      <c r="E1003" s="2200">
        <f t="shared" si="61"/>
        <v>13</v>
      </c>
      <c r="F1003" s="2200" t="str">
        <f t="shared" si="62"/>
        <v>25</v>
      </c>
      <c r="G1003" s="2200" t="str">
        <f t="shared" si="63"/>
        <v>14885</v>
      </c>
      <c r="H1003" s="2200">
        <f>--SUBTOTAL(3,C$2:C1003)</f>
        <v>99</v>
      </c>
    </row>
    <row r="1004" spans="1:8" hidden="1" x14ac:dyDescent="0.15">
      <c r="A1004" s="2200" t="s">
        <v>11502</v>
      </c>
      <c r="B1004" s="2200" t="s">
        <v>12722</v>
      </c>
      <c r="C1004" s="2200" t="s">
        <v>12723</v>
      </c>
      <c r="D1004" s="2200" t="str">
        <f t="shared" si="60"/>
        <v>MA</v>
      </c>
      <c r="E1004" s="2200">
        <f t="shared" si="61"/>
        <v>13</v>
      </c>
      <c r="F1004" s="2200" t="str">
        <f t="shared" si="62"/>
        <v>25</v>
      </c>
      <c r="G1004" s="2200" t="str">
        <f t="shared" si="63"/>
        <v>15060</v>
      </c>
      <c r="H1004" s="2200">
        <f>--SUBTOTAL(3,C$2:C1004)</f>
        <v>99</v>
      </c>
    </row>
    <row r="1005" spans="1:8" hidden="1" x14ac:dyDescent="0.15">
      <c r="A1005" s="2200" t="s">
        <v>11502</v>
      </c>
      <c r="B1005" s="2200" t="s">
        <v>12724</v>
      </c>
      <c r="C1005" s="2200" t="s">
        <v>12725</v>
      </c>
      <c r="D1005" s="2200" t="str">
        <f t="shared" si="60"/>
        <v>MA</v>
      </c>
      <c r="E1005" s="2200">
        <f t="shared" si="61"/>
        <v>12</v>
      </c>
      <c r="F1005" s="2200" t="str">
        <f t="shared" si="62"/>
        <v>25</v>
      </c>
      <c r="G1005" s="2200" t="str">
        <f t="shared" si="63"/>
        <v>15200</v>
      </c>
      <c r="H1005" s="2200">
        <f>--SUBTOTAL(3,C$2:C1005)</f>
        <v>99</v>
      </c>
    </row>
    <row r="1006" spans="1:8" hidden="1" x14ac:dyDescent="0.15">
      <c r="A1006" s="2200" t="s">
        <v>11502</v>
      </c>
      <c r="B1006" s="2200" t="s">
        <v>12726</v>
      </c>
      <c r="C1006" s="2200" t="s">
        <v>12727</v>
      </c>
      <c r="D1006" s="2200" t="str">
        <f t="shared" si="60"/>
        <v>MA</v>
      </c>
      <c r="E1006" s="2200">
        <f t="shared" si="61"/>
        <v>16</v>
      </c>
      <c r="F1006" s="2200" t="str">
        <f t="shared" si="62"/>
        <v>25</v>
      </c>
      <c r="G1006" s="2200" t="str">
        <f t="shared" si="63"/>
        <v>16040</v>
      </c>
      <c r="H1006" s="2200">
        <f>--SUBTOTAL(3,C$2:C1006)</f>
        <v>99</v>
      </c>
    </row>
    <row r="1007" spans="1:8" hidden="1" x14ac:dyDescent="0.15">
      <c r="A1007" s="2200" t="s">
        <v>11502</v>
      </c>
      <c r="B1007" s="2200" t="s">
        <v>12728</v>
      </c>
      <c r="C1007" s="2200" t="s">
        <v>12729</v>
      </c>
      <c r="D1007" s="2200" t="str">
        <f t="shared" si="60"/>
        <v>MA</v>
      </c>
      <c r="E1007" s="2200">
        <f t="shared" si="61"/>
        <v>12</v>
      </c>
      <c r="F1007" s="2200" t="str">
        <f t="shared" si="62"/>
        <v>25</v>
      </c>
      <c r="G1007" s="2200" t="str">
        <f t="shared" si="63"/>
        <v>16180</v>
      </c>
      <c r="H1007" s="2200">
        <f>--SUBTOTAL(3,C$2:C1007)</f>
        <v>99</v>
      </c>
    </row>
    <row r="1008" spans="1:8" hidden="1" x14ac:dyDescent="0.15">
      <c r="A1008" s="2200" t="s">
        <v>10723</v>
      </c>
      <c r="B1008" s="2200" t="s">
        <v>12730</v>
      </c>
      <c r="C1008" s="2200" t="s">
        <v>12731</v>
      </c>
      <c r="D1008" s="2200" t="str">
        <f t="shared" si="60"/>
        <v>MA</v>
      </c>
      <c r="E1008" s="2200">
        <f t="shared" si="61"/>
        <v>13</v>
      </c>
      <c r="F1008" s="2200" t="str">
        <f t="shared" si="62"/>
        <v>25</v>
      </c>
      <c r="G1008" s="2200" t="str">
        <f t="shared" si="63"/>
        <v>16250</v>
      </c>
      <c r="H1008" s="2200">
        <f>--SUBTOTAL(3,C$2:C1008)</f>
        <v>99</v>
      </c>
    </row>
    <row r="1009" spans="1:8" hidden="1" x14ac:dyDescent="0.15">
      <c r="A1009" s="2200" t="s">
        <v>10723</v>
      </c>
      <c r="B1009" s="2200" t="s">
        <v>12732</v>
      </c>
      <c r="C1009" s="2200" t="s">
        <v>12733</v>
      </c>
      <c r="D1009" s="2200" t="str">
        <f t="shared" si="60"/>
        <v>MA</v>
      </c>
      <c r="E1009" s="2200">
        <f t="shared" si="61"/>
        <v>15</v>
      </c>
      <c r="F1009" s="2200" t="str">
        <f t="shared" si="62"/>
        <v>25</v>
      </c>
      <c r="G1009" s="2200" t="str">
        <f t="shared" si="63"/>
        <v>16425</v>
      </c>
      <c r="H1009" s="2200">
        <f>--SUBTOTAL(3,C$2:C1009)</f>
        <v>99</v>
      </c>
    </row>
    <row r="1010" spans="1:8" hidden="1" x14ac:dyDescent="0.15">
      <c r="A1010" s="2200" t="s">
        <v>11502</v>
      </c>
      <c r="B1010" s="2200" t="s">
        <v>12734</v>
      </c>
      <c r="C1010" s="2200" t="s">
        <v>12735</v>
      </c>
      <c r="D1010" s="2200" t="str">
        <f t="shared" si="60"/>
        <v>MA</v>
      </c>
      <c r="E1010" s="2200">
        <f t="shared" si="61"/>
        <v>12</v>
      </c>
      <c r="F1010" s="2200" t="str">
        <f t="shared" si="62"/>
        <v>25</v>
      </c>
      <c r="G1010" s="2200" t="str">
        <f t="shared" si="63"/>
        <v>16495</v>
      </c>
      <c r="H1010" s="2200">
        <f>--SUBTOTAL(3,C$2:C1010)</f>
        <v>99</v>
      </c>
    </row>
    <row r="1011" spans="1:8" hidden="1" x14ac:dyDescent="0.15">
      <c r="A1011" s="2200" t="s">
        <v>11502</v>
      </c>
      <c r="B1011" s="2200" t="s">
        <v>12736</v>
      </c>
      <c r="C1011" s="2200" t="s">
        <v>12737</v>
      </c>
      <c r="D1011" s="2200" t="str">
        <f t="shared" si="60"/>
        <v>MA</v>
      </c>
      <c r="E1011" s="2200">
        <f t="shared" si="61"/>
        <v>15</v>
      </c>
      <c r="F1011" s="2200" t="str">
        <f t="shared" si="62"/>
        <v>25</v>
      </c>
      <c r="G1011" s="2200" t="str">
        <f t="shared" si="63"/>
        <v>16670</v>
      </c>
      <c r="H1011" s="2200">
        <f>--SUBTOTAL(3,C$2:C1011)</f>
        <v>99</v>
      </c>
    </row>
    <row r="1012" spans="1:8" hidden="1" x14ac:dyDescent="0.15">
      <c r="A1012" s="2200" t="s">
        <v>11502</v>
      </c>
      <c r="B1012" s="2200" t="s">
        <v>12738</v>
      </c>
      <c r="C1012" s="2200" t="s">
        <v>12739</v>
      </c>
      <c r="D1012" s="2200" t="str">
        <f t="shared" si="60"/>
        <v>MA</v>
      </c>
      <c r="E1012" s="2200">
        <f t="shared" si="61"/>
        <v>12</v>
      </c>
      <c r="F1012" s="2200" t="str">
        <f t="shared" si="62"/>
        <v>25</v>
      </c>
      <c r="G1012" s="2200" t="str">
        <f t="shared" si="63"/>
        <v>16775</v>
      </c>
      <c r="H1012" s="2200">
        <f>--SUBTOTAL(3,C$2:C1012)</f>
        <v>99</v>
      </c>
    </row>
    <row r="1013" spans="1:8" hidden="1" x14ac:dyDescent="0.15">
      <c r="A1013" s="2200" t="s">
        <v>11502</v>
      </c>
      <c r="B1013" s="2200" t="s">
        <v>12740</v>
      </c>
      <c r="C1013" s="2200" t="s">
        <v>12741</v>
      </c>
      <c r="D1013" s="2200" t="str">
        <f t="shared" si="60"/>
        <v>MA</v>
      </c>
      <c r="E1013" s="2200">
        <f t="shared" si="61"/>
        <v>13</v>
      </c>
      <c r="F1013" s="2200" t="str">
        <f t="shared" si="62"/>
        <v>25</v>
      </c>
      <c r="G1013" s="2200" t="str">
        <f t="shared" si="63"/>
        <v>16950</v>
      </c>
      <c r="H1013" s="2200">
        <f>--SUBTOTAL(3,C$2:C1013)</f>
        <v>99</v>
      </c>
    </row>
    <row r="1014" spans="1:8" hidden="1" x14ac:dyDescent="0.15">
      <c r="A1014" s="2200" t="s">
        <v>11502</v>
      </c>
      <c r="B1014" s="2200" t="s">
        <v>12742</v>
      </c>
      <c r="C1014" s="2200" t="s">
        <v>12743</v>
      </c>
      <c r="D1014" s="2200" t="str">
        <f t="shared" si="60"/>
        <v>MA</v>
      </c>
      <c r="E1014" s="2200">
        <f t="shared" si="61"/>
        <v>13</v>
      </c>
      <c r="F1014" s="2200" t="str">
        <f t="shared" si="62"/>
        <v>25</v>
      </c>
      <c r="G1014" s="2200" t="str">
        <f t="shared" si="63"/>
        <v>17300</v>
      </c>
      <c r="H1014" s="2200">
        <f>--SUBTOTAL(3,C$2:C1014)</f>
        <v>99</v>
      </c>
    </row>
    <row r="1015" spans="1:8" hidden="1" x14ac:dyDescent="0.15">
      <c r="A1015" s="2200" t="s">
        <v>11502</v>
      </c>
      <c r="B1015" s="2200" t="s">
        <v>12744</v>
      </c>
      <c r="C1015" s="2200" t="s">
        <v>12745</v>
      </c>
      <c r="D1015" s="2200" t="str">
        <f t="shared" si="60"/>
        <v>MA</v>
      </c>
      <c r="E1015" s="2200">
        <f t="shared" si="61"/>
        <v>11</v>
      </c>
      <c r="F1015" s="2200" t="str">
        <f t="shared" si="62"/>
        <v>25</v>
      </c>
      <c r="G1015" s="2200" t="str">
        <f t="shared" si="63"/>
        <v>17405</v>
      </c>
      <c r="H1015" s="2200">
        <f>--SUBTOTAL(3,C$2:C1015)</f>
        <v>99</v>
      </c>
    </row>
    <row r="1016" spans="1:8" hidden="1" x14ac:dyDescent="0.15">
      <c r="A1016" s="2200" t="s">
        <v>10723</v>
      </c>
      <c r="B1016" s="2200" t="s">
        <v>12746</v>
      </c>
      <c r="C1016" s="2200" t="s">
        <v>12747</v>
      </c>
      <c r="D1016" s="2200" t="str">
        <f t="shared" si="60"/>
        <v>MA</v>
      </c>
      <c r="E1016" s="2200">
        <f t="shared" si="61"/>
        <v>12</v>
      </c>
      <c r="F1016" s="2200" t="str">
        <f t="shared" si="62"/>
        <v>25</v>
      </c>
      <c r="G1016" s="2200" t="str">
        <f t="shared" si="63"/>
        <v>17475</v>
      </c>
      <c r="H1016" s="2200">
        <f>--SUBTOTAL(3,C$2:C1016)</f>
        <v>99</v>
      </c>
    </row>
    <row r="1017" spans="1:8" hidden="1" x14ac:dyDescent="0.15">
      <c r="A1017" s="2200" t="s">
        <v>11502</v>
      </c>
      <c r="B1017" s="2200" t="s">
        <v>12748</v>
      </c>
      <c r="C1017" s="2200" t="s">
        <v>12749</v>
      </c>
      <c r="D1017" s="2200" t="str">
        <f t="shared" si="60"/>
        <v>MA</v>
      </c>
      <c r="E1017" s="2200">
        <f t="shared" si="61"/>
        <v>12</v>
      </c>
      <c r="F1017" s="2200" t="str">
        <f t="shared" si="62"/>
        <v>25</v>
      </c>
      <c r="G1017" s="2200" t="str">
        <f t="shared" si="63"/>
        <v>17685</v>
      </c>
      <c r="H1017" s="2200">
        <f>--SUBTOTAL(3,C$2:C1017)</f>
        <v>99</v>
      </c>
    </row>
    <row r="1018" spans="1:8" hidden="1" x14ac:dyDescent="0.15">
      <c r="A1018" s="2200" t="s">
        <v>11502</v>
      </c>
      <c r="B1018" s="2200" t="s">
        <v>12750</v>
      </c>
      <c r="C1018" s="2200" t="s">
        <v>12751</v>
      </c>
      <c r="D1018" s="2200" t="str">
        <f t="shared" si="60"/>
        <v>MA</v>
      </c>
      <c r="E1018" s="2200">
        <f t="shared" si="61"/>
        <v>15</v>
      </c>
      <c r="F1018" s="2200" t="str">
        <f t="shared" si="62"/>
        <v>25</v>
      </c>
      <c r="G1018" s="2200" t="str">
        <f t="shared" si="63"/>
        <v>17825</v>
      </c>
      <c r="H1018" s="2200">
        <f>--SUBTOTAL(3,C$2:C1018)</f>
        <v>99</v>
      </c>
    </row>
    <row r="1019" spans="1:8" hidden="1" x14ac:dyDescent="0.15">
      <c r="A1019" s="2200" t="s">
        <v>11502</v>
      </c>
      <c r="B1019" s="2200" t="s">
        <v>12752</v>
      </c>
      <c r="C1019" s="2200" t="s">
        <v>12753</v>
      </c>
      <c r="D1019" s="2200" t="str">
        <f t="shared" si="60"/>
        <v>MA</v>
      </c>
      <c r="E1019" s="2200">
        <f t="shared" si="61"/>
        <v>13</v>
      </c>
      <c r="F1019" s="2200" t="str">
        <f t="shared" si="62"/>
        <v>25</v>
      </c>
      <c r="G1019" s="2200" t="str">
        <f t="shared" si="63"/>
        <v>17895</v>
      </c>
      <c r="H1019" s="2200">
        <f>--SUBTOTAL(3,C$2:C1019)</f>
        <v>99</v>
      </c>
    </row>
    <row r="1020" spans="1:8" hidden="1" x14ac:dyDescent="0.15">
      <c r="A1020" s="2200" t="s">
        <v>11502</v>
      </c>
      <c r="B1020" s="2200" t="s">
        <v>12754</v>
      </c>
      <c r="C1020" s="2200" t="s">
        <v>12755</v>
      </c>
      <c r="D1020" s="2200" t="str">
        <f t="shared" si="60"/>
        <v>MA</v>
      </c>
      <c r="E1020" s="2200">
        <f t="shared" si="61"/>
        <v>22</v>
      </c>
      <c r="F1020" s="2200" t="str">
        <f t="shared" si="62"/>
        <v>25</v>
      </c>
      <c r="G1020" s="2200" t="str">
        <f t="shared" si="63"/>
        <v>18455</v>
      </c>
      <c r="H1020" s="2200">
        <f>--SUBTOTAL(3,C$2:C1020)</f>
        <v>99</v>
      </c>
    </row>
    <row r="1021" spans="1:8" hidden="1" x14ac:dyDescent="0.15">
      <c r="A1021" s="2200" t="s">
        <v>11502</v>
      </c>
      <c r="B1021" s="2200" t="s">
        <v>12756</v>
      </c>
      <c r="C1021" s="2200" t="s">
        <v>12757</v>
      </c>
      <c r="D1021" s="2200" t="str">
        <f t="shared" si="60"/>
        <v>MA</v>
      </c>
      <c r="E1021" s="2200">
        <f t="shared" si="61"/>
        <v>21</v>
      </c>
      <c r="F1021" s="2200" t="str">
        <f t="shared" si="62"/>
        <v>25</v>
      </c>
      <c r="G1021" s="2200" t="str">
        <f t="shared" si="63"/>
        <v>18560</v>
      </c>
      <c r="H1021" s="2200">
        <f>--SUBTOTAL(3,C$2:C1021)</f>
        <v>99</v>
      </c>
    </row>
    <row r="1022" spans="1:8" hidden="1" x14ac:dyDescent="0.15">
      <c r="A1022" s="2200" t="s">
        <v>11502</v>
      </c>
      <c r="B1022" s="2200" t="s">
        <v>12758</v>
      </c>
      <c r="C1022" s="2200" t="s">
        <v>12759</v>
      </c>
      <c r="D1022" s="2200" t="str">
        <f t="shared" si="60"/>
        <v>MA</v>
      </c>
      <c r="E1022" s="2200">
        <f t="shared" si="61"/>
        <v>21</v>
      </c>
      <c r="F1022" s="2200" t="str">
        <f t="shared" si="62"/>
        <v>25</v>
      </c>
      <c r="G1022" s="2200" t="str">
        <f t="shared" si="63"/>
        <v>19645</v>
      </c>
      <c r="H1022" s="2200">
        <f>--SUBTOTAL(3,C$2:C1022)</f>
        <v>99</v>
      </c>
    </row>
    <row r="1023" spans="1:8" hidden="1" x14ac:dyDescent="0.15">
      <c r="A1023" s="2200" t="s">
        <v>11502</v>
      </c>
      <c r="B1023" s="2200" t="s">
        <v>12760</v>
      </c>
      <c r="C1023" s="2200" t="s">
        <v>12761</v>
      </c>
      <c r="D1023" s="2200" t="str">
        <f t="shared" si="60"/>
        <v>MA</v>
      </c>
      <c r="E1023" s="2200">
        <f t="shared" si="61"/>
        <v>13</v>
      </c>
      <c r="F1023" s="2200" t="str">
        <f t="shared" si="62"/>
        <v>25</v>
      </c>
      <c r="G1023" s="2200" t="str">
        <f t="shared" si="63"/>
        <v>19295</v>
      </c>
      <c r="H1023" s="2200">
        <f>--SUBTOTAL(3,C$2:C1023)</f>
        <v>99</v>
      </c>
    </row>
    <row r="1024" spans="1:8" hidden="1" x14ac:dyDescent="0.15">
      <c r="A1024" s="2200" t="s">
        <v>11502</v>
      </c>
      <c r="B1024" s="2200" t="s">
        <v>12762</v>
      </c>
      <c r="C1024" s="2200" t="s">
        <v>12763</v>
      </c>
      <c r="D1024" s="2200" t="str">
        <f t="shared" si="60"/>
        <v>MA</v>
      </c>
      <c r="E1024" s="2200">
        <f t="shared" si="61"/>
        <v>22</v>
      </c>
      <c r="F1024" s="2200" t="str">
        <f t="shared" si="62"/>
        <v>25</v>
      </c>
      <c r="G1024" s="2200" t="str">
        <f t="shared" si="63"/>
        <v>19370</v>
      </c>
      <c r="H1024" s="2200">
        <f>--SUBTOTAL(3,C$2:C1024)</f>
        <v>99</v>
      </c>
    </row>
    <row r="1025" spans="1:8" hidden="1" x14ac:dyDescent="0.15">
      <c r="A1025" s="2200" t="s">
        <v>11502</v>
      </c>
      <c r="B1025" s="2200" t="s">
        <v>12764</v>
      </c>
      <c r="C1025" s="2200" t="s">
        <v>12765</v>
      </c>
      <c r="D1025" s="2200" t="str">
        <f t="shared" si="60"/>
        <v>MA</v>
      </c>
      <c r="E1025" s="2200">
        <f t="shared" si="61"/>
        <v>12</v>
      </c>
      <c r="F1025" s="2200" t="str">
        <f t="shared" si="62"/>
        <v>25</v>
      </c>
      <c r="G1025" s="2200" t="str">
        <f t="shared" si="63"/>
        <v>20100</v>
      </c>
      <c r="H1025" s="2200">
        <f>--SUBTOTAL(3,C$2:C1025)</f>
        <v>99</v>
      </c>
    </row>
    <row r="1026" spans="1:8" hidden="1" x14ac:dyDescent="0.15">
      <c r="A1026" s="2200" t="s">
        <v>11502</v>
      </c>
      <c r="B1026" s="2200" t="s">
        <v>12766</v>
      </c>
      <c r="C1026" s="2200" t="s">
        <v>12767</v>
      </c>
      <c r="D1026" s="2200" t="str">
        <f t="shared" ref="D1026:D1089" si="64">MID(C1026,E1026+2,2)</f>
        <v>MA</v>
      </c>
      <c r="E1026" s="2200">
        <f t="shared" ref="E1026:E1089" si="65">FIND(",",C1026)</f>
        <v>15</v>
      </c>
      <c r="F1026" s="2200" t="str">
        <f t="shared" si="62"/>
        <v>25</v>
      </c>
      <c r="G1026" s="2200" t="str">
        <f t="shared" si="63"/>
        <v>21150</v>
      </c>
      <c r="H1026" s="2200">
        <f>--SUBTOTAL(3,C$2:C1026)</f>
        <v>99</v>
      </c>
    </row>
    <row r="1027" spans="1:8" hidden="1" x14ac:dyDescent="0.15">
      <c r="A1027" s="2200" t="s">
        <v>11502</v>
      </c>
      <c r="B1027" s="2200" t="s">
        <v>12768</v>
      </c>
      <c r="C1027" s="2200" t="s">
        <v>12769</v>
      </c>
      <c r="D1027" s="2200" t="str">
        <f t="shared" si="64"/>
        <v>MA</v>
      </c>
      <c r="E1027" s="2200">
        <f t="shared" si="65"/>
        <v>14</v>
      </c>
      <c r="F1027" s="2200" t="str">
        <f t="shared" ref="F1027:F1090" si="66">MID(B1027,3,2)</f>
        <v>25</v>
      </c>
      <c r="G1027" s="2200" t="str">
        <f t="shared" ref="G1027:G1090" si="67">MID(B1027,5,5)</f>
        <v>21360</v>
      </c>
      <c r="H1027" s="2200">
        <f>--SUBTOTAL(3,C$2:C1027)</f>
        <v>99</v>
      </c>
    </row>
    <row r="1028" spans="1:8" hidden="1" x14ac:dyDescent="0.15">
      <c r="A1028" s="2200" t="s">
        <v>11502</v>
      </c>
      <c r="B1028" s="2200" t="s">
        <v>12770</v>
      </c>
      <c r="C1028" s="2200" t="s">
        <v>12771</v>
      </c>
      <c r="D1028" s="2200" t="str">
        <f t="shared" si="64"/>
        <v>MA</v>
      </c>
      <c r="E1028" s="2200">
        <f t="shared" si="65"/>
        <v>12</v>
      </c>
      <c r="F1028" s="2200" t="str">
        <f t="shared" si="66"/>
        <v>25</v>
      </c>
      <c r="G1028" s="2200" t="str">
        <f t="shared" si="67"/>
        <v>21780</v>
      </c>
      <c r="H1028" s="2200">
        <f>--SUBTOTAL(3,C$2:C1028)</f>
        <v>99</v>
      </c>
    </row>
    <row r="1029" spans="1:8" hidden="1" x14ac:dyDescent="0.15">
      <c r="A1029" s="2200" t="s">
        <v>11502</v>
      </c>
      <c r="B1029" s="2200" t="s">
        <v>12772</v>
      </c>
      <c r="C1029" s="2200" t="s">
        <v>12773</v>
      </c>
      <c r="D1029" s="2200" t="str">
        <f t="shared" si="64"/>
        <v>MA</v>
      </c>
      <c r="E1029" s="2200">
        <f t="shared" si="65"/>
        <v>11</v>
      </c>
      <c r="F1029" s="2200" t="str">
        <f t="shared" si="66"/>
        <v>25</v>
      </c>
      <c r="G1029" s="2200" t="str">
        <f t="shared" si="67"/>
        <v>21850</v>
      </c>
      <c r="H1029" s="2200">
        <f>--SUBTOTAL(3,C$2:C1029)</f>
        <v>99</v>
      </c>
    </row>
    <row r="1030" spans="1:8" hidden="1" x14ac:dyDescent="0.15">
      <c r="A1030" s="2200" t="s">
        <v>10723</v>
      </c>
      <c r="B1030" s="2200" t="s">
        <v>12774</v>
      </c>
      <c r="C1030" s="2200" t="s">
        <v>12775</v>
      </c>
      <c r="D1030" s="2200" t="str">
        <f t="shared" si="64"/>
        <v>MA</v>
      </c>
      <c r="E1030" s="2200">
        <f t="shared" si="65"/>
        <v>13</v>
      </c>
      <c r="F1030" s="2200" t="str">
        <f t="shared" si="66"/>
        <v>25</v>
      </c>
      <c r="G1030" s="2200" t="str">
        <f t="shared" si="67"/>
        <v>21990</v>
      </c>
      <c r="H1030" s="2200">
        <f>--SUBTOTAL(3,C$2:C1030)</f>
        <v>99</v>
      </c>
    </row>
    <row r="1031" spans="1:8" hidden="1" x14ac:dyDescent="0.15">
      <c r="A1031" s="2200" t="s">
        <v>11502</v>
      </c>
      <c r="B1031" s="2200" t="s">
        <v>12776</v>
      </c>
      <c r="C1031" s="2200" t="s">
        <v>12777</v>
      </c>
      <c r="D1031" s="2200" t="str">
        <f t="shared" si="64"/>
        <v>MA</v>
      </c>
      <c r="E1031" s="2200">
        <f t="shared" si="65"/>
        <v>15</v>
      </c>
      <c r="F1031" s="2200" t="str">
        <f t="shared" si="66"/>
        <v>25</v>
      </c>
      <c r="G1031" s="2200" t="str">
        <f t="shared" si="67"/>
        <v>22130</v>
      </c>
      <c r="H1031" s="2200">
        <f>--SUBTOTAL(3,C$2:C1031)</f>
        <v>99</v>
      </c>
    </row>
    <row r="1032" spans="1:8" hidden="1" x14ac:dyDescent="0.15">
      <c r="A1032" s="2200" t="s">
        <v>10723</v>
      </c>
      <c r="B1032" s="2200" t="s">
        <v>12778</v>
      </c>
      <c r="C1032" s="2200" t="s">
        <v>12779</v>
      </c>
      <c r="D1032" s="2200" t="str">
        <f t="shared" si="64"/>
        <v>MA</v>
      </c>
      <c r="E1032" s="2200">
        <f t="shared" si="65"/>
        <v>16</v>
      </c>
      <c r="F1032" s="2200" t="str">
        <f t="shared" si="66"/>
        <v>25</v>
      </c>
      <c r="G1032" s="2200" t="str">
        <f t="shared" si="67"/>
        <v>23000</v>
      </c>
      <c r="H1032" s="2200">
        <f>--SUBTOTAL(3,C$2:C1032)</f>
        <v>99</v>
      </c>
    </row>
    <row r="1033" spans="1:8" hidden="1" x14ac:dyDescent="0.15">
      <c r="A1033" s="2200" t="s">
        <v>10723</v>
      </c>
      <c r="B1033" s="2200" t="s">
        <v>12780</v>
      </c>
      <c r="C1033" s="2200" t="s">
        <v>12781</v>
      </c>
      <c r="D1033" s="2200" t="str">
        <f t="shared" si="64"/>
        <v>MA</v>
      </c>
      <c r="E1033" s="2200">
        <f t="shared" si="65"/>
        <v>14</v>
      </c>
      <c r="F1033" s="2200" t="str">
        <f t="shared" si="66"/>
        <v>25</v>
      </c>
      <c r="G1033" s="2200" t="str">
        <f t="shared" si="67"/>
        <v>23105</v>
      </c>
      <c r="H1033" s="2200">
        <f>--SUBTOTAL(3,C$2:C1033)</f>
        <v>99</v>
      </c>
    </row>
    <row r="1034" spans="1:8" hidden="1" x14ac:dyDescent="0.15">
      <c r="A1034" s="2200" t="s">
        <v>10723</v>
      </c>
      <c r="B1034" s="2200" t="s">
        <v>12782</v>
      </c>
      <c r="C1034" s="2200" t="s">
        <v>12783</v>
      </c>
      <c r="D1034" s="2200" t="str">
        <f t="shared" si="64"/>
        <v>MA</v>
      </c>
      <c r="E1034" s="2200">
        <f t="shared" si="65"/>
        <v>15</v>
      </c>
      <c r="F1034" s="2200" t="str">
        <f t="shared" si="66"/>
        <v>25</v>
      </c>
      <c r="G1034" s="2200" t="str">
        <f t="shared" si="67"/>
        <v>23875</v>
      </c>
      <c r="H1034" s="2200">
        <f>--SUBTOTAL(3,C$2:C1034)</f>
        <v>99</v>
      </c>
    </row>
    <row r="1035" spans="1:8" hidden="1" x14ac:dyDescent="0.15">
      <c r="A1035" s="2200" t="s">
        <v>11502</v>
      </c>
      <c r="B1035" s="2200" t="s">
        <v>12784</v>
      </c>
      <c r="C1035" s="2200" t="s">
        <v>12785</v>
      </c>
      <c r="D1035" s="2200" t="str">
        <f t="shared" si="64"/>
        <v>MA</v>
      </c>
      <c r="E1035" s="2200">
        <f t="shared" si="65"/>
        <v>13</v>
      </c>
      <c r="F1035" s="2200" t="str">
        <f t="shared" si="66"/>
        <v>25</v>
      </c>
      <c r="G1035" s="2200" t="str">
        <f t="shared" si="67"/>
        <v>24120</v>
      </c>
      <c r="H1035" s="2200">
        <f>--SUBTOTAL(3,C$2:C1035)</f>
        <v>99</v>
      </c>
    </row>
    <row r="1036" spans="1:8" hidden="1" x14ac:dyDescent="0.15">
      <c r="A1036" s="2200" t="s">
        <v>11502</v>
      </c>
      <c r="B1036" s="2200" t="s">
        <v>12786</v>
      </c>
      <c r="C1036" s="2200" t="s">
        <v>12787</v>
      </c>
      <c r="D1036" s="2200" t="str">
        <f t="shared" si="64"/>
        <v>MA</v>
      </c>
      <c r="E1036" s="2200">
        <f t="shared" si="65"/>
        <v>16</v>
      </c>
      <c r="F1036" s="2200" t="str">
        <f t="shared" si="66"/>
        <v>25</v>
      </c>
      <c r="G1036" s="2200" t="str">
        <f t="shared" si="67"/>
        <v>24820</v>
      </c>
      <c r="H1036" s="2200">
        <f>--SUBTOTAL(3,C$2:C1036)</f>
        <v>99</v>
      </c>
    </row>
    <row r="1037" spans="1:8" hidden="1" x14ac:dyDescent="0.15">
      <c r="A1037" s="2200" t="s">
        <v>10723</v>
      </c>
      <c r="B1037" s="2200" t="s">
        <v>12788</v>
      </c>
      <c r="C1037" s="2200" t="s">
        <v>12789</v>
      </c>
      <c r="D1037" s="2200" t="str">
        <f t="shared" si="64"/>
        <v>MA</v>
      </c>
      <c r="E1037" s="2200">
        <f t="shared" si="65"/>
        <v>16</v>
      </c>
      <c r="F1037" s="2200" t="str">
        <f t="shared" si="66"/>
        <v>25</v>
      </c>
      <c r="G1037" s="2200" t="str">
        <f t="shared" si="67"/>
        <v>24960</v>
      </c>
      <c r="H1037" s="2200">
        <f>--SUBTOTAL(3,C$2:C1037)</f>
        <v>99</v>
      </c>
    </row>
    <row r="1038" spans="1:8" hidden="1" x14ac:dyDescent="0.15">
      <c r="A1038" s="2200" t="s">
        <v>10723</v>
      </c>
      <c r="B1038" s="2200" t="s">
        <v>12790</v>
      </c>
      <c r="C1038" s="2200" t="s">
        <v>12791</v>
      </c>
      <c r="D1038" s="2200" t="str">
        <f t="shared" si="64"/>
        <v>MA</v>
      </c>
      <c r="E1038" s="2200">
        <f t="shared" si="65"/>
        <v>19</v>
      </c>
      <c r="F1038" s="2200" t="str">
        <f t="shared" si="66"/>
        <v>25</v>
      </c>
      <c r="G1038" s="2200" t="str">
        <f t="shared" si="67"/>
        <v>25172</v>
      </c>
      <c r="H1038" s="2200">
        <f>--SUBTOTAL(3,C$2:C1038)</f>
        <v>99</v>
      </c>
    </row>
    <row r="1039" spans="1:8" hidden="1" x14ac:dyDescent="0.15">
      <c r="A1039" s="2200" t="s">
        <v>11502</v>
      </c>
      <c r="B1039" s="2200" t="s">
        <v>12792</v>
      </c>
      <c r="C1039" s="2200" t="s">
        <v>12793</v>
      </c>
      <c r="D1039" s="2200" t="str">
        <f t="shared" si="64"/>
        <v>MA</v>
      </c>
      <c r="E1039" s="2200">
        <f t="shared" si="65"/>
        <v>14</v>
      </c>
      <c r="F1039" s="2200" t="str">
        <f t="shared" si="66"/>
        <v>25</v>
      </c>
      <c r="G1039" s="2200" t="str">
        <f t="shared" si="67"/>
        <v>25240</v>
      </c>
      <c r="H1039" s="2200">
        <f>--SUBTOTAL(3,C$2:C1039)</f>
        <v>99</v>
      </c>
    </row>
    <row r="1040" spans="1:8" hidden="1" x14ac:dyDescent="0.15">
      <c r="A1040" s="2200" t="s">
        <v>11502</v>
      </c>
      <c r="B1040" s="2200" t="s">
        <v>12794</v>
      </c>
      <c r="C1040" s="2200" t="s">
        <v>12795</v>
      </c>
      <c r="D1040" s="2200" t="str">
        <f t="shared" si="64"/>
        <v>MA</v>
      </c>
      <c r="E1040" s="2200">
        <f t="shared" si="65"/>
        <v>13</v>
      </c>
      <c r="F1040" s="2200" t="str">
        <f t="shared" si="66"/>
        <v>25</v>
      </c>
      <c r="G1040" s="2200" t="str">
        <f t="shared" si="67"/>
        <v>25485</v>
      </c>
      <c r="H1040" s="2200">
        <f>--SUBTOTAL(3,C$2:C1040)</f>
        <v>99</v>
      </c>
    </row>
    <row r="1041" spans="1:8" hidden="1" x14ac:dyDescent="0.15">
      <c r="A1041" s="2200" t="s">
        <v>11502</v>
      </c>
      <c r="B1041" s="2200" t="s">
        <v>12796</v>
      </c>
      <c r="C1041" s="2200" t="s">
        <v>12797</v>
      </c>
      <c r="D1041" s="2200" t="str">
        <f t="shared" si="64"/>
        <v>MA</v>
      </c>
      <c r="E1041" s="2200">
        <f t="shared" si="65"/>
        <v>16</v>
      </c>
      <c r="F1041" s="2200" t="str">
        <f t="shared" si="66"/>
        <v>25</v>
      </c>
      <c r="G1041" s="2200" t="str">
        <f t="shared" si="67"/>
        <v>25625</v>
      </c>
      <c r="H1041" s="2200">
        <f>--SUBTOTAL(3,C$2:C1041)</f>
        <v>99</v>
      </c>
    </row>
    <row r="1042" spans="1:8" hidden="1" x14ac:dyDescent="0.15">
      <c r="A1042" s="2200" t="s">
        <v>11502</v>
      </c>
      <c r="B1042" s="2200" t="s">
        <v>12798</v>
      </c>
      <c r="C1042" s="2200" t="s">
        <v>12799</v>
      </c>
      <c r="D1042" s="2200" t="str">
        <f t="shared" si="64"/>
        <v>MA</v>
      </c>
      <c r="E1042" s="2200">
        <f t="shared" si="65"/>
        <v>10</v>
      </c>
      <c r="F1042" s="2200" t="str">
        <f t="shared" si="66"/>
        <v>25</v>
      </c>
      <c r="G1042" s="2200" t="str">
        <f t="shared" si="67"/>
        <v>25730</v>
      </c>
      <c r="H1042" s="2200">
        <f>--SUBTOTAL(3,C$2:C1042)</f>
        <v>99</v>
      </c>
    </row>
    <row r="1043" spans="1:8" hidden="1" x14ac:dyDescent="0.15">
      <c r="A1043" s="2200" t="s">
        <v>10723</v>
      </c>
      <c r="B1043" s="2200" t="s">
        <v>12800</v>
      </c>
      <c r="C1043" s="2200" t="s">
        <v>12801</v>
      </c>
      <c r="D1043" s="2200" t="str">
        <f t="shared" si="64"/>
        <v>MA</v>
      </c>
      <c r="E1043" s="2200">
        <f t="shared" si="65"/>
        <v>16</v>
      </c>
      <c r="F1043" s="2200" t="str">
        <f t="shared" si="66"/>
        <v>25</v>
      </c>
      <c r="G1043" s="2200" t="str">
        <f t="shared" si="67"/>
        <v>26150</v>
      </c>
      <c r="H1043" s="2200">
        <f>--SUBTOTAL(3,C$2:C1043)</f>
        <v>99</v>
      </c>
    </row>
    <row r="1044" spans="1:8" hidden="1" x14ac:dyDescent="0.15">
      <c r="A1044" s="2200" t="s">
        <v>11502</v>
      </c>
      <c r="B1044" s="2200" t="s">
        <v>12802</v>
      </c>
      <c r="C1044" s="2200" t="s">
        <v>12803</v>
      </c>
      <c r="D1044" s="2200" t="str">
        <f t="shared" si="64"/>
        <v>MA</v>
      </c>
      <c r="E1044" s="2200">
        <f t="shared" si="65"/>
        <v>12</v>
      </c>
      <c r="F1044" s="2200" t="str">
        <f t="shared" si="66"/>
        <v>25</v>
      </c>
      <c r="G1044" s="2200" t="str">
        <f t="shared" si="67"/>
        <v>26290</v>
      </c>
      <c r="H1044" s="2200">
        <f>--SUBTOTAL(3,C$2:C1044)</f>
        <v>99</v>
      </c>
    </row>
    <row r="1045" spans="1:8" hidden="1" x14ac:dyDescent="0.15">
      <c r="A1045" s="2200" t="s">
        <v>11502</v>
      </c>
      <c r="B1045" s="2200" t="s">
        <v>12804</v>
      </c>
      <c r="C1045" s="2200" t="s">
        <v>12805</v>
      </c>
      <c r="D1045" s="2200" t="str">
        <f t="shared" si="64"/>
        <v>MA</v>
      </c>
      <c r="E1045" s="2200">
        <f t="shared" si="65"/>
        <v>13</v>
      </c>
      <c r="F1045" s="2200" t="str">
        <f t="shared" si="66"/>
        <v>25</v>
      </c>
      <c r="G1045" s="2200" t="str">
        <f t="shared" si="67"/>
        <v>26325</v>
      </c>
      <c r="H1045" s="2200">
        <f>--SUBTOTAL(3,C$2:C1045)</f>
        <v>99</v>
      </c>
    </row>
    <row r="1046" spans="1:8" hidden="1" x14ac:dyDescent="0.15">
      <c r="A1046" s="2200" t="s">
        <v>11502</v>
      </c>
      <c r="B1046" s="2200" t="s">
        <v>12806</v>
      </c>
      <c r="C1046" s="2200" t="s">
        <v>12807</v>
      </c>
      <c r="D1046" s="2200" t="str">
        <f t="shared" si="64"/>
        <v>MA</v>
      </c>
      <c r="E1046" s="2200">
        <f t="shared" si="65"/>
        <v>13</v>
      </c>
      <c r="F1046" s="2200" t="str">
        <f t="shared" si="66"/>
        <v>25</v>
      </c>
      <c r="G1046" s="2200" t="str">
        <f t="shared" si="67"/>
        <v>26430</v>
      </c>
      <c r="H1046" s="2200">
        <f>--SUBTOTAL(3,C$2:C1046)</f>
        <v>99</v>
      </c>
    </row>
    <row r="1047" spans="1:8" hidden="1" x14ac:dyDescent="0.15">
      <c r="A1047" s="2200" t="s">
        <v>11502</v>
      </c>
      <c r="B1047" s="2200" t="s">
        <v>12808</v>
      </c>
      <c r="C1047" s="2200" t="s">
        <v>12809</v>
      </c>
      <c r="D1047" s="2200" t="str">
        <f t="shared" si="64"/>
        <v>MA</v>
      </c>
      <c r="E1047" s="2200">
        <f t="shared" si="65"/>
        <v>12</v>
      </c>
      <c r="F1047" s="2200" t="str">
        <f t="shared" si="66"/>
        <v>25</v>
      </c>
      <c r="G1047" s="2200" t="str">
        <f t="shared" si="67"/>
        <v>26535</v>
      </c>
      <c r="H1047" s="2200">
        <f>--SUBTOTAL(3,C$2:C1047)</f>
        <v>99</v>
      </c>
    </row>
    <row r="1048" spans="1:8" hidden="1" x14ac:dyDescent="0.15">
      <c r="A1048" s="2200" t="s">
        <v>11502</v>
      </c>
      <c r="B1048" s="2200" t="s">
        <v>12810</v>
      </c>
      <c r="C1048" s="2200" t="s">
        <v>12811</v>
      </c>
      <c r="D1048" s="2200" t="str">
        <f t="shared" si="64"/>
        <v>MA</v>
      </c>
      <c r="E1048" s="2200">
        <f t="shared" si="65"/>
        <v>15</v>
      </c>
      <c r="F1048" s="2200" t="str">
        <f t="shared" si="66"/>
        <v>25</v>
      </c>
      <c r="G1048" s="2200" t="str">
        <f t="shared" si="67"/>
        <v>26675</v>
      </c>
      <c r="H1048" s="2200">
        <f>--SUBTOTAL(3,C$2:C1048)</f>
        <v>99</v>
      </c>
    </row>
    <row r="1049" spans="1:8" hidden="1" x14ac:dyDescent="0.15">
      <c r="A1049" s="2200" t="s">
        <v>11502</v>
      </c>
      <c r="B1049" s="2200" t="s">
        <v>12812</v>
      </c>
      <c r="C1049" s="2200" t="s">
        <v>12813</v>
      </c>
      <c r="D1049" s="2200" t="str">
        <f t="shared" si="64"/>
        <v>MA</v>
      </c>
      <c r="E1049" s="2200">
        <f t="shared" si="65"/>
        <v>22</v>
      </c>
      <c r="F1049" s="2200" t="str">
        <f t="shared" si="66"/>
        <v>25</v>
      </c>
      <c r="G1049" s="2200" t="str">
        <f t="shared" si="67"/>
        <v>26815</v>
      </c>
      <c r="H1049" s="2200">
        <f>--SUBTOTAL(3,C$2:C1049)</f>
        <v>99</v>
      </c>
    </row>
    <row r="1050" spans="1:8" hidden="1" x14ac:dyDescent="0.15">
      <c r="A1050" s="2200" t="s">
        <v>11443</v>
      </c>
      <c r="B1050" s="2200" t="s">
        <v>12814</v>
      </c>
      <c r="C1050" s="2200" t="s">
        <v>12815</v>
      </c>
      <c r="D1050" s="2200" t="str">
        <f t="shared" si="64"/>
        <v>MA</v>
      </c>
      <c r="E1050" s="2200">
        <f t="shared" si="65"/>
        <v>17</v>
      </c>
      <c r="F1050" s="2200" t="str">
        <f t="shared" si="66"/>
        <v>25</v>
      </c>
      <c r="G1050" s="2200" t="str">
        <f t="shared" si="67"/>
        <v>81100</v>
      </c>
      <c r="H1050" s="2200">
        <f>--SUBTOTAL(3,C$2:C1050)</f>
        <v>99</v>
      </c>
    </row>
    <row r="1051" spans="1:8" hidden="1" x14ac:dyDescent="0.15">
      <c r="A1051" s="2200" t="s">
        <v>11502</v>
      </c>
      <c r="B1051" s="2200" t="s">
        <v>12816</v>
      </c>
      <c r="C1051" s="2200" t="s">
        <v>12817</v>
      </c>
      <c r="D1051" s="2200" t="str">
        <f t="shared" si="64"/>
        <v>MA</v>
      </c>
      <c r="E1051" s="2200">
        <f t="shared" si="65"/>
        <v>21</v>
      </c>
      <c r="F1051" s="2200" t="str">
        <f t="shared" si="66"/>
        <v>25</v>
      </c>
      <c r="G1051" s="2200" t="str">
        <f t="shared" si="67"/>
        <v>27100</v>
      </c>
      <c r="H1051" s="2200">
        <f>--SUBTOTAL(3,C$2:C1051)</f>
        <v>99</v>
      </c>
    </row>
    <row r="1052" spans="1:8" hidden="1" x14ac:dyDescent="0.15">
      <c r="A1052" s="2200" t="s">
        <v>11502</v>
      </c>
      <c r="B1052" s="2200" t="s">
        <v>12818</v>
      </c>
      <c r="C1052" s="2200" t="s">
        <v>12819</v>
      </c>
      <c r="D1052" s="2200" t="str">
        <f t="shared" si="64"/>
        <v>MA</v>
      </c>
      <c r="E1052" s="2200">
        <f t="shared" si="65"/>
        <v>12</v>
      </c>
      <c r="F1052" s="2200" t="str">
        <f t="shared" si="66"/>
        <v>25</v>
      </c>
      <c r="G1052" s="2200" t="str">
        <f t="shared" si="67"/>
        <v>27480</v>
      </c>
      <c r="H1052" s="2200">
        <f>--SUBTOTAL(3,C$2:C1052)</f>
        <v>99</v>
      </c>
    </row>
    <row r="1053" spans="1:8" hidden="1" x14ac:dyDescent="0.15">
      <c r="A1053" s="2200" t="s">
        <v>11502</v>
      </c>
      <c r="B1053" s="2200" t="s">
        <v>12820</v>
      </c>
      <c r="C1053" s="2200" t="s">
        <v>12821</v>
      </c>
      <c r="D1053" s="2200" t="str">
        <f t="shared" si="64"/>
        <v>MA</v>
      </c>
      <c r="E1053" s="2200">
        <f t="shared" si="65"/>
        <v>15</v>
      </c>
      <c r="F1053" s="2200" t="str">
        <f t="shared" si="66"/>
        <v>25</v>
      </c>
      <c r="G1053" s="2200" t="str">
        <f t="shared" si="67"/>
        <v>27620</v>
      </c>
      <c r="H1053" s="2200">
        <f>--SUBTOTAL(3,C$2:C1053)</f>
        <v>99</v>
      </c>
    </row>
    <row r="1054" spans="1:8" hidden="1" x14ac:dyDescent="0.15">
      <c r="A1054" s="2200" t="s">
        <v>11502</v>
      </c>
      <c r="B1054" s="2200" t="s">
        <v>12822</v>
      </c>
      <c r="C1054" s="2200" t="s">
        <v>12823</v>
      </c>
      <c r="D1054" s="2200" t="str">
        <f t="shared" si="64"/>
        <v>MA</v>
      </c>
      <c r="E1054" s="2200">
        <f t="shared" si="65"/>
        <v>12</v>
      </c>
      <c r="F1054" s="2200" t="str">
        <f t="shared" si="66"/>
        <v>25</v>
      </c>
      <c r="G1054" s="2200" t="str">
        <f t="shared" si="67"/>
        <v>27690</v>
      </c>
      <c r="H1054" s="2200">
        <f>--SUBTOTAL(3,C$2:C1054)</f>
        <v>99</v>
      </c>
    </row>
    <row r="1055" spans="1:8" hidden="1" x14ac:dyDescent="0.15">
      <c r="A1055" s="2200" t="s">
        <v>11502</v>
      </c>
      <c r="B1055" s="2200" t="s">
        <v>12824</v>
      </c>
      <c r="C1055" s="2200" t="s">
        <v>12825</v>
      </c>
      <c r="D1055" s="2200" t="str">
        <f t="shared" si="64"/>
        <v>MA</v>
      </c>
      <c r="E1055" s="2200">
        <f t="shared" si="65"/>
        <v>13</v>
      </c>
      <c r="F1055" s="2200" t="str">
        <f t="shared" si="66"/>
        <v>25</v>
      </c>
      <c r="G1055" s="2200" t="str">
        <f t="shared" si="67"/>
        <v>27795</v>
      </c>
      <c r="H1055" s="2200">
        <f>--SUBTOTAL(3,C$2:C1055)</f>
        <v>99</v>
      </c>
    </row>
    <row r="1056" spans="1:8" hidden="1" x14ac:dyDescent="0.15">
      <c r="A1056" s="2200" t="s">
        <v>11502</v>
      </c>
      <c r="B1056" s="2200" t="s">
        <v>12826</v>
      </c>
      <c r="C1056" s="2200" t="s">
        <v>12827</v>
      </c>
      <c r="D1056" s="2200" t="str">
        <f t="shared" si="64"/>
        <v>MA</v>
      </c>
      <c r="E1056" s="2200">
        <f t="shared" si="65"/>
        <v>14</v>
      </c>
      <c r="F1056" s="2200" t="str">
        <f t="shared" si="66"/>
        <v>25</v>
      </c>
      <c r="G1056" s="2200" t="str">
        <f t="shared" si="67"/>
        <v>27900</v>
      </c>
      <c r="H1056" s="2200">
        <f>--SUBTOTAL(3,C$2:C1056)</f>
        <v>99</v>
      </c>
    </row>
    <row r="1057" spans="1:8" hidden="1" x14ac:dyDescent="0.15">
      <c r="A1057" s="2200" t="s">
        <v>11502</v>
      </c>
      <c r="B1057" s="2200" t="s">
        <v>12828</v>
      </c>
      <c r="C1057" s="2200" t="s">
        <v>12829</v>
      </c>
      <c r="D1057" s="2200" t="str">
        <f t="shared" si="64"/>
        <v>MA</v>
      </c>
      <c r="E1057" s="2200">
        <f t="shared" si="65"/>
        <v>13</v>
      </c>
      <c r="F1057" s="2200" t="str">
        <f t="shared" si="66"/>
        <v>25</v>
      </c>
      <c r="G1057" s="2200" t="str">
        <f t="shared" si="67"/>
        <v>28075</v>
      </c>
      <c r="H1057" s="2200">
        <f>--SUBTOTAL(3,C$2:C1057)</f>
        <v>99</v>
      </c>
    </row>
    <row r="1058" spans="1:8" hidden="1" x14ac:dyDescent="0.15">
      <c r="A1058" s="2200" t="s">
        <v>11502</v>
      </c>
      <c r="B1058" s="2200" t="s">
        <v>12830</v>
      </c>
      <c r="C1058" s="2200" t="s">
        <v>12831</v>
      </c>
      <c r="D1058" s="2200" t="str">
        <f t="shared" si="64"/>
        <v>MA</v>
      </c>
      <c r="E1058" s="2200">
        <f t="shared" si="65"/>
        <v>13</v>
      </c>
      <c r="F1058" s="2200" t="str">
        <f t="shared" si="66"/>
        <v>25</v>
      </c>
      <c r="G1058" s="2200" t="str">
        <f t="shared" si="67"/>
        <v>28180</v>
      </c>
      <c r="H1058" s="2200">
        <f>--SUBTOTAL(3,C$2:C1058)</f>
        <v>99</v>
      </c>
    </row>
    <row r="1059" spans="1:8" hidden="1" x14ac:dyDescent="0.15">
      <c r="A1059" s="2200" t="s">
        <v>11502</v>
      </c>
      <c r="B1059" s="2200" t="s">
        <v>12832</v>
      </c>
      <c r="C1059" s="2200" t="s">
        <v>12833</v>
      </c>
      <c r="D1059" s="2200" t="str">
        <f t="shared" si="64"/>
        <v>MA</v>
      </c>
      <c r="E1059" s="2200">
        <f t="shared" si="65"/>
        <v>13</v>
      </c>
      <c r="F1059" s="2200" t="str">
        <f t="shared" si="66"/>
        <v>25</v>
      </c>
      <c r="G1059" s="2200" t="str">
        <f t="shared" si="67"/>
        <v>28285</v>
      </c>
      <c r="H1059" s="2200">
        <f>--SUBTOTAL(3,C$2:C1059)</f>
        <v>99</v>
      </c>
    </row>
    <row r="1060" spans="1:8" hidden="1" x14ac:dyDescent="0.15">
      <c r="A1060" s="2200" t="s">
        <v>11502</v>
      </c>
      <c r="B1060" s="2200" t="s">
        <v>12834</v>
      </c>
      <c r="C1060" s="2200" t="s">
        <v>12835</v>
      </c>
      <c r="D1060" s="2200" t="str">
        <f t="shared" si="64"/>
        <v>MA</v>
      </c>
      <c r="E1060" s="2200">
        <f t="shared" si="65"/>
        <v>12</v>
      </c>
      <c r="F1060" s="2200" t="str">
        <f t="shared" si="66"/>
        <v>25</v>
      </c>
      <c r="G1060" s="2200" t="str">
        <f t="shared" si="67"/>
        <v>28495</v>
      </c>
      <c r="H1060" s="2200">
        <f>--SUBTOTAL(3,C$2:C1060)</f>
        <v>99</v>
      </c>
    </row>
    <row r="1061" spans="1:8" hidden="1" x14ac:dyDescent="0.15">
      <c r="A1061" s="2200" t="s">
        <v>11502</v>
      </c>
      <c r="B1061" s="2200" t="s">
        <v>12836</v>
      </c>
      <c r="C1061" s="2200" t="s">
        <v>12837</v>
      </c>
      <c r="D1061" s="2200" t="str">
        <f t="shared" si="64"/>
        <v>MA</v>
      </c>
      <c r="E1061" s="2200">
        <f t="shared" si="65"/>
        <v>14</v>
      </c>
      <c r="F1061" s="2200" t="str">
        <f t="shared" si="66"/>
        <v>25</v>
      </c>
      <c r="G1061" s="2200" t="str">
        <f t="shared" si="67"/>
        <v>28740</v>
      </c>
      <c r="H1061" s="2200">
        <f>--SUBTOTAL(3,C$2:C1061)</f>
        <v>99</v>
      </c>
    </row>
    <row r="1062" spans="1:8" hidden="1" x14ac:dyDescent="0.15">
      <c r="A1062" s="2200" t="s">
        <v>11502</v>
      </c>
      <c r="B1062" s="2200" t="s">
        <v>12838</v>
      </c>
      <c r="C1062" s="2200" t="s">
        <v>12839</v>
      </c>
      <c r="D1062" s="2200" t="str">
        <f t="shared" si="64"/>
        <v>MA</v>
      </c>
      <c r="E1062" s="2200">
        <f t="shared" si="65"/>
        <v>13</v>
      </c>
      <c r="F1062" s="2200" t="str">
        <f t="shared" si="66"/>
        <v>25</v>
      </c>
      <c r="G1062" s="2200" t="str">
        <f t="shared" si="67"/>
        <v>28950</v>
      </c>
      <c r="H1062" s="2200">
        <f>--SUBTOTAL(3,C$2:C1062)</f>
        <v>99</v>
      </c>
    </row>
    <row r="1063" spans="1:8" hidden="1" x14ac:dyDescent="0.15">
      <c r="A1063" s="2200" t="s">
        <v>11502</v>
      </c>
      <c r="B1063" s="2200" t="s">
        <v>12840</v>
      </c>
      <c r="C1063" s="2200" t="s">
        <v>12841</v>
      </c>
      <c r="D1063" s="2200" t="str">
        <f t="shared" si="64"/>
        <v>MA</v>
      </c>
      <c r="E1063" s="2200">
        <f t="shared" si="65"/>
        <v>13</v>
      </c>
      <c r="F1063" s="2200" t="str">
        <f t="shared" si="66"/>
        <v>25</v>
      </c>
      <c r="G1063" s="2200" t="str">
        <f t="shared" si="67"/>
        <v>29020</v>
      </c>
      <c r="H1063" s="2200">
        <f>--SUBTOTAL(3,C$2:C1063)</f>
        <v>99</v>
      </c>
    </row>
    <row r="1064" spans="1:8" hidden="1" x14ac:dyDescent="0.15">
      <c r="A1064" s="2200" t="s">
        <v>11502</v>
      </c>
      <c r="B1064" s="2200" t="s">
        <v>12842</v>
      </c>
      <c r="C1064" s="2200" t="s">
        <v>12843</v>
      </c>
      <c r="D1064" s="2200" t="str">
        <f t="shared" si="64"/>
        <v>MA</v>
      </c>
      <c r="E1064" s="2200">
        <f t="shared" si="65"/>
        <v>14</v>
      </c>
      <c r="F1064" s="2200" t="str">
        <f t="shared" si="66"/>
        <v>25</v>
      </c>
      <c r="G1064" s="2200" t="str">
        <f t="shared" si="67"/>
        <v>29265</v>
      </c>
      <c r="H1064" s="2200">
        <f>--SUBTOTAL(3,C$2:C1064)</f>
        <v>99</v>
      </c>
    </row>
    <row r="1065" spans="1:8" hidden="1" x14ac:dyDescent="0.15">
      <c r="A1065" s="2200" t="s">
        <v>10723</v>
      </c>
      <c r="B1065" s="2200" t="s">
        <v>12844</v>
      </c>
      <c r="C1065" s="2200" t="s">
        <v>12845</v>
      </c>
      <c r="D1065" s="2200" t="str">
        <f t="shared" si="64"/>
        <v>MA</v>
      </c>
      <c r="E1065" s="2200">
        <f t="shared" si="65"/>
        <v>15</v>
      </c>
      <c r="F1065" s="2200" t="str">
        <f t="shared" si="66"/>
        <v>25</v>
      </c>
      <c r="G1065" s="2200" t="str">
        <f t="shared" si="67"/>
        <v>29405</v>
      </c>
      <c r="H1065" s="2200">
        <f>--SUBTOTAL(3,C$2:C1065)</f>
        <v>99</v>
      </c>
    </row>
    <row r="1066" spans="1:8" hidden="1" x14ac:dyDescent="0.15">
      <c r="A1066" s="2200" t="s">
        <v>11502</v>
      </c>
      <c r="B1066" s="2200" t="s">
        <v>12846</v>
      </c>
      <c r="C1066" s="2200" t="s">
        <v>12847</v>
      </c>
      <c r="D1066" s="2200" t="str">
        <f t="shared" si="64"/>
        <v>MA</v>
      </c>
      <c r="E1066" s="2200">
        <f t="shared" si="65"/>
        <v>12</v>
      </c>
      <c r="F1066" s="2200" t="str">
        <f t="shared" si="66"/>
        <v>25</v>
      </c>
      <c r="G1066" s="2200" t="str">
        <f t="shared" si="67"/>
        <v>29475</v>
      </c>
      <c r="H1066" s="2200">
        <f>--SUBTOTAL(3,C$2:C1066)</f>
        <v>99</v>
      </c>
    </row>
    <row r="1067" spans="1:8" hidden="1" x14ac:dyDescent="0.15">
      <c r="A1067" s="2200" t="s">
        <v>11502</v>
      </c>
      <c r="B1067" s="2200" t="s">
        <v>12848</v>
      </c>
      <c r="C1067" s="2200" t="s">
        <v>12849</v>
      </c>
      <c r="D1067" s="2200" t="str">
        <f t="shared" si="64"/>
        <v>MA</v>
      </c>
      <c r="E1067" s="2200">
        <f t="shared" si="65"/>
        <v>11</v>
      </c>
      <c r="F1067" s="2200" t="str">
        <f t="shared" si="66"/>
        <v>25</v>
      </c>
      <c r="G1067" s="2200" t="str">
        <f t="shared" si="67"/>
        <v>29650</v>
      </c>
      <c r="H1067" s="2200">
        <f>--SUBTOTAL(3,C$2:C1067)</f>
        <v>99</v>
      </c>
    </row>
    <row r="1068" spans="1:8" hidden="1" x14ac:dyDescent="0.15">
      <c r="A1068" s="2200" t="s">
        <v>11502</v>
      </c>
      <c r="B1068" s="2200" t="s">
        <v>12850</v>
      </c>
      <c r="C1068" s="2200" t="s">
        <v>12851</v>
      </c>
      <c r="D1068" s="2200" t="str">
        <f t="shared" si="64"/>
        <v>MA</v>
      </c>
      <c r="E1068" s="2200">
        <f t="shared" si="65"/>
        <v>13</v>
      </c>
      <c r="F1068" s="2200" t="str">
        <f t="shared" si="66"/>
        <v>25</v>
      </c>
      <c r="G1068" s="2200" t="str">
        <f t="shared" si="67"/>
        <v>30210</v>
      </c>
      <c r="H1068" s="2200">
        <f>--SUBTOTAL(3,C$2:C1068)</f>
        <v>99</v>
      </c>
    </row>
    <row r="1069" spans="1:8" hidden="1" x14ac:dyDescent="0.15">
      <c r="A1069" s="2200" t="s">
        <v>11502</v>
      </c>
      <c r="B1069" s="2200" t="s">
        <v>12852</v>
      </c>
      <c r="C1069" s="2200" t="s">
        <v>12853</v>
      </c>
      <c r="D1069" s="2200" t="str">
        <f t="shared" si="64"/>
        <v>MA</v>
      </c>
      <c r="E1069" s="2200">
        <f t="shared" si="65"/>
        <v>14</v>
      </c>
      <c r="F1069" s="2200" t="str">
        <f t="shared" si="66"/>
        <v>25</v>
      </c>
      <c r="G1069" s="2200" t="str">
        <f t="shared" si="67"/>
        <v>30315</v>
      </c>
      <c r="H1069" s="2200">
        <f>--SUBTOTAL(3,C$2:C1069)</f>
        <v>99</v>
      </c>
    </row>
    <row r="1070" spans="1:8" hidden="1" x14ac:dyDescent="0.15">
      <c r="A1070" s="2200" t="s">
        <v>11502</v>
      </c>
      <c r="B1070" s="2200" t="s">
        <v>12854</v>
      </c>
      <c r="C1070" s="2200" t="s">
        <v>12855</v>
      </c>
      <c r="D1070" s="2200" t="str">
        <f t="shared" si="64"/>
        <v>MA</v>
      </c>
      <c r="E1070" s="2200">
        <f t="shared" si="65"/>
        <v>14</v>
      </c>
      <c r="F1070" s="2200" t="str">
        <f t="shared" si="66"/>
        <v>25</v>
      </c>
      <c r="G1070" s="2200" t="str">
        <f t="shared" si="67"/>
        <v>30455</v>
      </c>
      <c r="H1070" s="2200">
        <f>--SUBTOTAL(3,C$2:C1070)</f>
        <v>99</v>
      </c>
    </row>
    <row r="1071" spans="1:8" hidden="1" x14ac:dyDescent="0.15">
      <c r="A1071" s="2200" t="s">
        <v>11502</v>
      </c>
      <c r="B1071" s="2200" t="s">
        <v>12856</v>
      </c>
      <c r="C1071" s="2200" t="s">
        <v>12857</v>
      </c>
      <c r="D1071" s="2200" t="str">
        <f t="shared" si="64"/>
        <v>MA</v>
      </c>
      <c r="E1071" s="2200">
        <f t="shared" si="65"/>
        <v>12</v>
      </c>
      <c r="F1071" s="2200" t="str">
        <f t="shared" si="66"/>
        <v>25</v>
      </c>
      <c r="G1071" s="2200" t="str">
        <f t="shared" si="67"/>
        <v>30560</v>
      </c>
      <c r="H1071" s="2200">
        <f>--SUBTOTAL(3,C$2:C1071)</f>
        <v>99</v>
      </c>
    </row>
    <row r="1072" spans="1:8" hidden="1" x14ac:dyDescent="0.15">
      <c r="A1072" s="2200" t="s">
        <v>11502</v>
      </c>
      <c r="B1072" s="2200" t="s">
        <v>12858</v>
      </c>
      <c r="C1072" s="2200" t="s">
        <v>12859</v>
      </c>
      <c r="D1072" s="2200" t="str">
        <f t="shared" si="64"/>
        <v>MA</v>
      </c>
      <c r="E1072" s="2200">
        <f t="shared" si="65"/>
        <v>13</v>
      </c>
      <c r="F1072" s="2200" t="str">
        <f t="shared" si="66"/>
        <v>25</v>
      </c>
      <c r="G1072" s="2200" t="str">
        <f t="shared" si="67"/>
        <v>30665</v>
      </c>
      <c r="H1072" s="2200">
        <f>--SUBTOTAL(3,C$2:C1072)</f>
        <v>99</v>
      </c>
    </row>
    <row r="1073" spans="1:8" hidden="1" x14ac:dyDescent="0.15">
      <c r="A1073" s="2200" t="s">
        <v>11502</v>
      </c>
      <c r="B1073" s="2200" t="s">
        <v>12860</v>
      </c>
      <c r="C1073" s="2200" t="s">
        <v>12861</v>
      </c>
      <c r="D1073" s="2200" t="str">
        <f t="shared" si="64"/>
        <v>MA</v>
      </c>
      <c r="E1073" s="2200">
        <f t="shared" si="65"/>
        <v>15</v>
      </c>
      <c r="F1073" s="2200" t="str">
        <f t="shared" si="66"/>
        <v>25</v>
      </c>
      <c r="G1073" s="2200" t="str">
        <f t="shared" si="67"/>
        <v>30700</v>
      </c>
      <c r="H1073" s="2200">
        <f>--SUBTOTAL(3,C$2:C1073)</f>
        <v>99</v>
      </c>
    </row>
    <row r="1074" spans="1:8" hidden="1" x14ac:dyDescent="0.15">
      <c r="A1074" s="2200" t="s">
        <v>10723</v>
      </c>
      <c r="B1074" s="2200" t="s">
        <v>12862</v>
      </c>
      <c r="C1074" s="2200" t="s">
        <v>12863</v>
      </c>
      <c r="D1074" s="2200" t="str">
        <f t="shared" si="64"/>
        <v>MA</v>
      </c>
      <c r="E1074" s="2200">
        <f t="shared" si="65"/>
        <v>13</v>
      </c>
      <c r="F1074" s="2200" t="str">
        <f t="shared" si="66"/>
        <v>25</v>
      </c>
      <c r="G1074" s="2200" t="str">
        <f t="shared" si="67"/>
        <v>30840</v>
      </c>
      <c r="H1074" s="2200">
        <f>--SUBTOTAL(3,C$2:C1074)</f>
        <v>99</v>
      </c>
    </row>
    <row r="1075" spans="1:8" hidden="1" x14ac:dyDescent="0.15">
      <c r="A1075" s="2200" t="s">
        <v>11502</v>
      </c>
      <c r="B1075" s="2200" t="s">
        <v>12864</v>
      </c>
      <c r="C1075" s="2200" t="s">
        <v>12865</v>
      </c>
      <c r="D1075" s="2200" t="str">
        <f t="shared" si="64"/>
        <v>MA</v>
      </c>
      <c r="E1075" s="2200">
        <f t="shared" si="65"/>
        <v>14</v>
      </c>
      <c r="F1075" s="2200" t="str">
        <f t="shared" si="66"/>
        <v>25</v>
      </c>
      <c r="G1075" s="2200" t="str">
        <f t="shared" si="67"/>
        <v>30945</v>
      </c>
      <c r="H1075" s="2200">
        <f>--SUBTOTAL(3,C$2:C1075)</f>
        <v>99</v>
      </c>
    </row>
    <row r="1076" spans="1:8" hidden="1" x14ac:dyDescent="0.15">
      <c r="A1076" s="2200" t="s">
        <v>11502</v>
      </c>
      <c r="B1076" s="2200" t="s">
        <v>12866</v>
      </c>
      <c r="C1076" s="2200" t="s">
        <v>12867</v>
      </c>
      <c r="D1076" s="2200" t="str">
        <f t="shared" si="64"/>
        <v>MA</v>
      </c>
      <c r="E1076" s="2200">
        <f t="shared" si="65"/>
        <v>15</v>
      </c>
      <c r="F1076" s="2200" t="str">
        <f t="shared" si="66"/>
        <v>25</v>
      </c>
      <c r="G1076" s="2200" t="str">
        <f t="shared" si="67"/>
        <v>31085</v>
      </c>
      <c r="H1076" s="2200">
        <f>--SUBTOTAL(3,C$2:C1076)</f>
        <v>99</v>
      </c>
    </row>
    <row r="1077" spans="1:8" hidden="1" x14ac:dyDescent="0.15">
      <c r="A1077" s="2200" t="s">
        <v>11502</v>
      </c>
      <c r="B1077" s="2200" t="s">
        <v>12868</v>
      </c>
      <c r="C1077" s="2200" t="s">
        <v>12869</v>
      </c>
      <c r="D1077" s="2200" t="str">
        <f t="shared" si="64"/>
        <v>MA</v>
      </c>
      <c r="E1077" s="2200">
        <f t="shared" si="65"/>
        <v>17</v>
      </c>
      <c r="F1077" s="2200" t="str">
        <f t="shared" si="66"/>
        <v>25</v>
      </c>
      <c r="G1077" s="2200" t="str">
        <f t="shared" si="67"/>
        <v>31435</v>
      </c>
      <c r="H1077" s="2200">
        <f>--SUBTOTAL(3,C$2:C1077)</f>
        <v>99</v>
      </c>
    </row>
    <row r="1078" spans="1:8" hidden="1" x14ac:dyDescent="0.15">
      <c r="A1078" s="2200" t="s">
        <v>11502</v>
      </c>
      <c r="B1078" s="2200" t="s">
        <v>12870</v>
      </c>
      <c r="C1078" s="2200" t="s">
        <v>12871</v>
      </c>
      <c r="D1078" s="2200" t="str">
        <f t="shared" si="64"/>
        <v>MA</v>
      </c>
      <c r="E1078" s="2200">
        <f t="shared" si="65"/>
        <v>12</v>
      </c>
      <c r="F1078" s="2200" t="str">
        <f t="shared" si="66"/>
        <v>25</v>
      </c>
      <c r="G1078" s="2200" t="str">
        <f t="shared" si="67"/>
        <v>31540</v>
      </c>
      <c r="H1078" s="2200">
        <f>--SUBTOTAL(3,C$2:C1078)</f>
        <v>99</v>
      </c>
    </row>
    <row r="1079" spans="1:8" hidden="1" x14ac:dyDescent="0.15">
      <c r="A1079" s="2200" t="s">
        <v>11502</v>
      </c>
      <c r="B1079" s="2200" t="s">
        <v>12872</v>
      </c>
      <c r="C1079" s="2200" t="s">
        <v>12873</v>
      </c>
      <c r="D1079" s="2200" t="str">
        <f t="shared" si="64"/>
        <v>MA</v>
      </c>
      <c r="E1079" s="2200">
        <f t="shared" si="65"/>
        <v>10</v>
      </c>
      <c r="F1079" s="2200" t="str">
        <f t="shared" si="66"/>
        <v>25</v>
      </c>
      <c r="G1079" s="2200" t="str">
        <f t="shared" si="67"/>
        <v>31645</v>
      </c>
      <c r="H1079" s="2200">
        <f>--SUBTOTAL(3,C$2:C1079)</f>
        <v>99</v>
      </c>
    </row>
    <row r="1080" spans="1:8" hidden="1" x14ac:dyDescent="0.15">
      <c r="A1080" s="2200" t="s">
        <v>11502</v>
      </c>
      <c r="B1080" s="2200" t="s">
        <v>12874</v>
      </c>
      <c r="C1080" s="2200" t="s">
        <v>12875</v>
      </c>
      <c r="D1080" s="2200" t="str">
        <f t="shared" si="64"/>
        <v>MA</v>
      </c>
      <c r="E1080" s="2200">
        <f t="shared" si="65"/>
        <v>16</v>
      </c>
      <c r="F1080" s="2200" t="str">
        <f t="shared" si="66"/>
        <v>25</v>
      </c>
      <c r="G1080" s="2200" t="str">
        <f t="shared" si="67"/>
        <v>31785</v>
      </c>
      <c r="H1080" s="2200">
        <f>--SUBTOTAL(3,C$2:C1080)</f>
        <v>99</v>
      </c>
    </row>
    <row r="1081" spans="1:8" hidden="1" x14ac:dyDescent="0.15">
      <c r="A1081" s="2200" t="s">
        <v>11502</v>
      </c>
      <c r="B1081" s="2200" t="s">
        <v>12876</v>
      </c>
      <c r="C1081" s="2200" t="s">
        <v>12877</v>
      </c>
      <c r="D1081" s="2200" t="str">
        <f t="shared" si="64"/>
        <v>MA</v>
      </c>
      <c r="E1081" s="2200">
        <f t="shared" si="65"/>
        <v>13</v>
      </c>
      <c r="F1081" s="2200" t="str">
        <f t="shared" si="66"/>
        <v>25</v>
      </c>
      <c r="G1081" s="2200" t="str">
        <f t="shared" si="67"/>
        <v>32310</v>
      </c>
      <c r="H1081" s="2200">
        <f>--SUBTOTAL(3,C$2:C1081)</f>
        <v>99</v>
      </c>
    </row>
    <row r="1082" spans="1:8" hidden="1" x14ac:dyDescent="0.15">
      <c r="A1082" s="2200" t="s">
        <v>11502</v>
      </c>
      <c r="B1082" s="2200" t="s">
        <v>12878</v>
      </c>
      <c r="C1082" s="2200" t="s">
        <v>12879</v>
      </c>
      <c r="D1082" s="2200" t="str">
        <f t="shared" si="64"/>
        <v>MA</v>
      </c>
      <c r="E1082" s="2200">
        <f t="shared" si="65"/>
        <v>14</v>
      </c>
      <c r="F1082" s="2200" t="str">
        <f t="shared" si="66"/>
        <v>25</v>
      </c>
      <c r="G1082" s="2200" t="str">
        <f t="shared" si="67"/>
        <v>33220</v>
      </c>
      <c r="H1082" s="2200">
        <f>--SUBTOTAL(3,C$2:C1082)</f>
        <v>99</v>
      </c>
    </row>
    <row r="1083" spans="1:8" hidden="1" x14ac:dyDescent="0.15">
      <c r="A1083" s="2200" t="s">
        <v>11502</v>
      </c>
      <c r="B1083" s="2200" t="s">
        <v>12880</v>
      </c>
      <c r="C1083" s="2200" t="s">
        <v>12881</v>
      </c>
      <c r="D1083" s="2200" t="str">
        <f t="shared" si="64"/>
        <v>MA</v>
      </c>
      <c r="E1083" s="2200">
        <f t="shared" si="65"/>
        <v>15</v>
      </c>
      <c r="F1083" s="2200" t="str">
        <f t="shared" si="66"/>
        <v>25</v>
      </c>
      <c r="G1083" s="2200" t="str">
        <f t="shared" si="67"/>
        <v>33920</v>
      </c>
      <c r="H1083" s="2200">
        <f>--SUBTOTAL(3,C$2:C1083)</f>
        <v>99</v>
      </c>
    </row>
    <row r="1084" spans="1:8" hidden="1" x14ac:dyDescent="0.15">
      <c r="A1084" s="2200" t="s">
        <v>11502</v>
      </c>
      <c r="B1084" s="2200" t="s">
        <v>12882</v>
      </c>
      <c r="C1084" s="2200" t="s">
        <v>12883</v>
      </c>
      <c r="D1084" s="2200" t="str">
        <f t="shared" si="64"/>
        <v>MA</v>
      </c>
      <c r="E1084" s="2200">
        <f t="shared" si="65"/>
        <v>15</v>
      </c>
      <c r="F1084" s="2200" t="str">
        <f t="shared" si="66"/>
        <v>25</v>
      </c>
      <c r="G1084" s="2200" t="str">
        <f t="shared" si="67"/>
        <v>34165</v>
      </c>
      <c r="H1084" s="2200">
        <f>--SUBTOTAL(3,C$2:C1084)</f>
        <v>99</v>
      </c>
    </row>
    <row r="1085" spans="1:8" hidden="1" x14ac:dyDescent="0.15">
      <c r="A1085" s="2200" t="s">
        <v>11502</v>
      </c>
      <c r="B1085" s="2200" t="s">
        <v>12884</v>
      </c>
      <c r="C1085" s="2200" t="s">
        <v>12885</v>
      </c>
      <c r="D1085" s="2200" t="str">
        <f t="shared" si="64"/>
        <v>MA</v>
      </c>
      <c r="E1085" s="2200">
        <f t="shared" si="65"/>
        <v>18</v>
      </c>
      <c r="F1085" s="2200" t="str">
        <f t="shared" si="66"/>
        <v>25</v>
      </c>
      <c r="G1085" s="2200" t="str">
        <f t="shared" si="67"/>
        <v>34340</v>
      </c>
      <c r="H1085" s="2200">
        <f>--SUBTOTAL(3,C$2:C1085)</f>
        <v>99</v>
      </c>
    </row>
    <row r="1086" spans="1:8" hidden="1" x14ac:dyDescent="0.15">
      <c r="A1086" s="2200" t="s">
        <v>10723</v>
      </c>
      <c r="B1086" s="2200" t="s">
        <v>12886</v>
      </c>
      <c r="C1086" s="2200" t="s">
        <v>12887</v>
      </c>
      <c r="D1086" s="2200" t="str">
        <f t="shared" si="64"/>
        <v>MA</v>
      </c>
      <c r="E1086" s="2200">
        <f t="shared" si="65"/>
        <v>14</v>
      </c>
      <c r="F1086" s="2200" t="str">
        <f t="shared" si="66"/>
        <v>25</v>
      </c>
      <c r="G1086" s="2200" t="str">
        <f t="shared" si="67"/>
        <v>34550</v>
      </c>
      <c r="H1086" s="2200">
        <f>--SUBTOTAL(3,C$2:C1086)</f>
        <v>99</v>
      </c>
    </row>
    <row r="1087" spans="1:8" hidden="1" x14ac:dyDescent="0.15">
      <c r="A1087" s="2200" t="s">
        <v>11502</v>
      </c>
      <c r="B1087" s="2200" t="s">
        <v>12888</v>
      </c>
      <c r="C1087" s="2200" t="s">
        <v>12889</v>
      </c>
      <c r="D1087" s="2200" t="str">
        <f t="shared" si="64"/>
        <v>MA</v>
      </c>
      <c r="E1087" s="2200">
        <f t="shared" si="65"/>
        <v>9</v>
      </c>
      <c r="F1087" s="2200" t="str">
        <f t="shared" si="66"/>
        <v>25</v>
      </c>
      <c r="G1087" s="2200" t="str">
        <f t="shared" si="67"/>
        <v>34655</v>
      </c>
      <c r="H1087" s="2200">
        <f>--SUBTOTAL(3,C$2:C1087)</f>
        <v>99</v>
      </c>
    </row>
    <row r="1088" spans="1:8" hidden="1" x14ac:dyDescent="0.15">
      <c r="A1088" s="2200" t="s">
        <v>11502</v>
      </c>
      <c r="B1088" s="2200" t="s">
        <v>12890</v>
      </c>
      <c r="C1088" s="2200" t="s">
        <v>12891</v>
      </c>
      <c r="D1088" s="2200" t="str">
        <f t="shared" si="64"/>
        <v>MA</v>
      </c>
      <c r="E1088" s="2200">
        <f t="shared" si="65"/>
        <v>15</v>
      </c>
      <c r="F1088" s="2200" t="str">
        <f t="shared" si="66"/>
        <v>25</v>
      </c>
      <c r="G1088" s="2200" t="str">
        <f t="shared" si="67"/>
        <v>34795</v>
      </c>
      <c r="H1088" s="2200">
        <f>--SUBTOTAL(3,C$2:C1088)</f>
        <v>99</v>
      </c>
    </row>
    <row r="1089" spans="1:8" hidden="1" x14ac:dyDescent="0.15">
      <c r="A1089" s="2200" t="s">
        <v>11502</v>
      </c>
      <c r="B1089" s="2200" t="s">
        <v>12892</v>
      </c>
      <c r="C1089" s="2200" t="s">
        <v>12893</v>
      </c>
      <c r="D1089" s="2200" t="str">
        <f t="shared" si="64"/>
        <v>MA</v>
      </c>
      <c r="E1089" s="2200">
        <f t="shared" si="65"/>
        <v>11</v>
      </c>
      <c r="F1089" s="2200" t="str">
        <f t="shared" si="66"/>
        <v>25</v>
      </c>
      <c r="G1089" s="2200" t="str">
        <f t="shared" si="67"/>
        <v>34970</v>
      </c>
      <c r="H1089" s="2200">
        <f>--SUBTOTAL(3,C$2:C1089)</f>
        <v>99</v>
      </c>
    </row>
    <row r="1090" spans="1:8" hidden="1" x14ac:dyDescent="0.15">
      <c r="A1090" s="2200" t="s">
        <v>10723</v>
      </c>
      <c r="B1090" s="2200" t="s">
        <v>12894</v>
      </c>
      <c r="C1090" s="2200" t="s">
        <v>12895</v>
      </c>
      <c r="D1090" s="2200" t="str">
        <f t="shared" ref="D1090:D1153" si="68">MID(C1090,E1090+2,2)</f>
        <v>MA</v>
      </c>
      <c r="E1090" s="2200">
        <f t="shared" ref="E1090:E1153" si="69">FIND(",",C1090)</f>
        <v>16</v>
      </c>
      <c r="F1090" s="2200" t="str">
        <f t="shared" si="66"/>
        <v>25</v>
      </c>
      <c r="G1090" s="2200" t="str">
        <f t="shared" si="67"/>
        <v>35075</v>
      </c>
      <c r="H1090" s="2200">
        <f>--SUBTOTAL(3,C$2:C1090)</f>
        <v>99</v>
      </c>
    </row>
    <row r="1091" spans="1:8" hidden="1" x14ac:dyDescent="0.15">
      <c r="A1091" s="2200" t="s">
        <v>11502</v>
      </c>
      <c r="B1091" s="2200" t="s">
        <v>12896</v>
      </c>
      <c r="C1091" s="2200" t="s">
        <v>12897</v>
      </c>
      <c r="D1091" s="2200" t="str">
        <f t="shared" si="68"/>
        <v>MA</v>
      </c>
      <c r="E1091" s="2200">
        <f t="shared" si="69"/>
        <v>14</v>
      </c>
      <c r="F1091" s="2200" t="str">
        <f t="shared" ref="F1091:F1154" si="70">MID(B1091,3,2)</f>
        <v>25</v>
      </c>
      <c r="G1091" s="2200" t="str">
        <f t="shared" ref="G1091:G1154" si="71">MID(B1091,5,5)</f>
        <v>35180</v>
      </c>
      <c r="H1091" s="2200">
        <f>--SUBTOTAL(3,C$2:C1091)</f>
        <v>99</v>
      </c>
    </row>
    <row r="1092" spans="1:8" hidden="1" x14ac:dyDescent="0.15">
      <c r="A1092" s="2200" t="s">
        <v>10723</v>
      </c>
      <c r="B1092" s="2200" t="s">
        <v>12898</v>
      </c>
      <c r="C1092" s="2200" t="s">
        <v>12899</v>
      </c>
      <c r="D1092" s="2200" t="str">
        <f t="shared" si="68"/>
        <v>MA</v>
      </c>
      <c r="E1092" s="2200">
        <f t="shared" si="69"/>
        <v>15</v>
      </c>
      <c r="F1092" s="2200" t="str">
        <f t="shared" si="70"/>
        <v>25</v>
      </c>
      <c r="G1092" s="2200" t="str">
        <f t="shared" si="71"/>
        <v>35215</v>
      </c>
      <c r="H1092" s="2200">
        <f>--SUBTOTAL(3,C$2:C1092)</f>
        <v>99</v>
      </c>
    </row>
    <row r="1093" spans="1:8" hidden="1" x14ac:dyDescent="0.15">
      <c r="A1093" s="2200" t="s">
        <v>11502</v>
      </c>
      <c r="B1093" s="2200" t="s">
        <v>12900</v>
      </c>
      <c r="C1093" s="2200" t="s">
        <v>12901</v>
      </c>
      <c r="D1093" s="2200" t="str">
        <f t="shared" si="68"/>
        <v>MA</v>
      </c>
      <c r="E1093" s="2200">
        <f t="shared" si="69"/>
        <v>12</v>
      </c>
      <c r="F1093" s="2200" t="str">
        <f t="shared" si="70"/>
        <v>25</v>
      </c>
      <c r="G1093" s="2200" t="str">
        <f t="shared" si="71"/>
        <v>35285</v>
      </c>
      <c r="H1093" s="2200">
        <f>--SUBTOTAL(3,C$2:C1093)</f>
        <v>99</v>
      </c>
    </row>
    <row r="1094" spans="1:8" hidden="1" x14ac:dyDescent="0.15">
      <c r="A1094" s="2200" t="s">
        <v>11502</v>
      </c>
      <c r="B1094" s="2200" t="s">
        <v>12902</v>
      </c>
      <c r="C1094" s="2200" t="s">
        <v>12903</v>
      </c>
      <c r="D1094" s="2200" t="str">
        <f t="shared" si="68"/>
        <v>MA</v>
      </c>
      <c r="E1094" s="2200">
        <f t="shared" si="69"/>
        <v>13</v>
      </c>
      <c r="F1094" s="2200" t="str">
        <f t="shared" si="70"/>
        <v>25</v>
      </c>
      <c r="G1094" s="2200" t="str">
        <f t="shared" si="71"/>
        <v>35425</v>
      </c>
      <c r="H1094" s="2200">
        <f>--SUBTOTAL(3,C$2:C1094)</f>
        <v>99</v>
      </c>
    </row>
    <row r="1095" spans="1:8" hidden="1" x14ac:dyDescent="0.15">
      <c r="A1095" s="2200" t="s">
        <v>11502</v>
      </c>
      <c r="B1095" s="2200" t="s">
        <v>12904</v>
      </c>
      <c r="C1095" s="2200" t="s">
        <v>12905</v>
      </c>
      <c r="D1095" s="2200" t="str">
        <f t="shared" si="68"/>
        <v>MA</v>
      </c>
      <c r="E1095" s="2200">
        <f t="shared" si="69"/>
        <v>15</v>
      </c>
      <c r="F1095" s="2200" t="str">
        <f t="shared" si="70"/>
        <v>25</v>
      </c>
      <c r="G1095" s="2200" t="str">
        <f t="shared" si="71"/>
        <v>35950</v>
      </c>
      <c r="H1095" s="2200">
        <f>--SUBTOTAL(3,C$2:C1095)</f>
        <v>99</v>
      </c>
    </row>
    <row r="1096" spans="1:8" hidden="1" x14ac:dyDescent="0.15">
      <c r="A1096" s="2200" t="s">
        <v>11502</v>
      </c>
      <c r="B1096" s="2200" t="s">
        <v>12906</v>
      </c>
      <c r="C1096" s="2200" t="s">
        <v>12907</v>
      </c>
      <c r="D1096" s="2200" t="str">
        <f t="shared" si="68"/>
        <v>MA</v>
      </c>
      <c r="E1096" s="2200">
        <f t="shared" si="69"/>
        <v>16</v>
      </c>
      <c r="F1096" s="2200" t="str">
        <f t="shared" si="70"/>
        <v>25</v>
      </c>
      <c r="G1096" s="2200" t="str">
        <f t="shared" si="71"/>
        <v>36300</v>
      </c>
      <c r="H1096" s="2200">
        <f>--SUBTOTAL(3,C$2:C1096)</f>
        <v>99</v>
      </c>
    </row>
    <row r="1097" spans="1:8" hidden="1" x14ac:dyDescent="0.15">
      <c r="A1097" s="2200" t="s">
        <v>10723</v>
      </c>
      <c r="B1097" s="2200" t="s">
        <v>12908</v>
      </c>
      <c r="C1097" s="2200" t="s">
        <v>12909</v>
      </c>
      <c r="D1097" s="2200" t="str">
        <f t="shared" si="68"/>
        <v>MA</v>
      </c>
      <c r="E1097" s="2200">
        <f t="shared" si="69"/>
        <v>12</v>
      </c>
      <c r="F1097" s="2200" t="str">
        <f t="shared" si="70"/>
        <v>25</v>
      </c>
      <c r="G1097" s="2200" t="str">
        <f t="shared" si="71"/>
        <v>37000</v>
      </c>
      <c r="H1097" s="2200">
        <f>--SUBTOTAL(3,C$2:C1097)</f>
        <v>99</v>
      </c>
    </row>
    <row r="1098" spans="1:8" hidden="1" x14ac:dyDescent="0.15">
      <c r="A1098" s="2200" t="s">
        <v>11502</v>
      </c>
      <c r="B1098" s="2200" t="s">
        <v>12910</v>
      </c>
      <c r="C1098" s="2200" t="s">
        <v>12911</v>
      </c>
      <c r="D1098" s="2200" t="str">
        <f t="shared" si="68"/>
        <v>MA</v>
      </c>
      <c r="E1098" s="2200">
        <f t="shared" si="69"/>
        <v>12</v>
      </c>
      <c r="F1098" s="2200" t="str">
        <f t="shared" si="70"/>
        <v>25</v>
      </c>
      <c r="G1098" s="2200" t="str">
        <f t="shared" si="71"/>
        <v>37175</v>
      </c>
      <c r="H1098" s="2200">
        <f>--SUBTOTAL(3,C$2:C1098)</f>
        <v>99</v>
      </c>
    </row>
    <row r="1099" spans="1:8" hidden="1" x14ac:dyDescent="0.15">
      <c r="A1099" s="2200" t="s">
        <v>11502</v>
      </c>
      <c r="B1099" s="2200" t="s">
        <v>12912</v>
      </c>
      <c r="C1099" s="2200" t="s">
        <v>12913</v>
      </c>
      <c r="D1099" s="2200" t="str">
        <f t="shared" si="68"/>
        <v>MA</v>
      </c>
      <c r="E1099" s="2200">
        <f t="shared" si="69"/>
        <v>15</v>
      </c>
      <c r="F1099" s="2200" t="str">
        <f t="shared" si="70"/>
        <v>25</v>
      </c>
      <c r="G1099" s="2200" t="str">
        <f t="shared" si="71"/>
        <v>37420</v>
      </c>
      <c r="H1099" s="2200">
        <f>--SUBTOTAL(3,C$2:C1099)</f>
        <v>99</v>
      </c>
    </row>
    <row r="1100" spans="1:8" hidden="1" x14ac:dyDescent="0.15">
      <c r="A1100" s="2200" t="s">
        <v>10723</v>
      </c>
      <c r="B1100" s="2200" t="s">
        <v>12914</v>
      </c>
      <c r="C1100" s="2200" t="s">
        <v>12915</v>
      </c>
      <c r="D1100" s="2200" t="str">
        <f t="shared" si="68"/>
        <v>MA</v>
      </c>
      <c r="E1100" s="2200">
        <f t="shared" si="69"/>
        <v>10</v>
      </c>
      <c r="F1100" s="2200" t="str">
        <f t="shared" si="70"/>
        <v>25</v>
      </c>
      <c r="G1100" s="2200" t="str">
        <f t="shared" si="71"/>
        <v>37490</v>
      </c>
      <c r="H1100" s="2200">
        <f>--SUBTOTAL(3,C$2:C1100)</f>
        <v>99</v>
      </c>
    </row>
    <row r="1101" spans="1:8" hidden="1" x14ac:dyDescent="0.15">
      <c r="A1101" s="2200" t="s">
        <v>11502</v>
      </c>
      <c r="B1101" s="2200" t="s">
        <v>12916</v>
      </c>
      <c r="C1101" s="2200" t="s">
        <v>12917</v>
      </c>
      <c r="D1101" s="2200" t="str">
        <f t="shared" si="68"/>
        <v>MA</v>
      </c>
      <c r="E1101" s="2200">
        <f t="shared" si="69"/>
        <v>15</v>
      </c>
      <c r="F1101" s="2200" t="str">
        <f t="shared" si="70"/>
        <v>25</v>
      </c>
      <c r="G1101" s="2200" t="str">
        <f t="shared" si="71"/>
        <v>37560</v>
      </c>
      <c r="H1101" s="2200">
        <f>--SUBTOTAL(3,C$2:C1101)</f>
        <v>99</v>
      </c>
    </row>
    <row r="1102" spans="1:8" hidden="1" x14ac:dyDescent="0.15">
      <c r="A1102" s="2200" t="s">
        <v>10723</v>
      </c>
      <c r="B1102" s="2200" t="s">
        <v>12918</v>
      </c>
      <c r="C1102" s="2200" t="s">
        <v>12919</v>
      </c>
      <c r="D1102" s="2200" t="str">
        <f t="shared" si="68"/>
        <v>MA</v>
      </c>
      <c r="E1102" s="2200">
        <f t="shared" si="69"/>
        <v>12</v>
      </c>
      <c r="F1102" s="2200" t="str">
        <f t="shared" si="70"/>
        <v>25</v>
      </c>
      <c r="G1102" s="2200" t="str">
        <f t="shared" si="71"/>
        <v>37875</v>
      </c>
      <c r="H1102" s="2200">
        <f>--SUBTOTAL(3,C$2:C1102)</f>
        <v>99</v>
      </c>
    </row>
    <row r="1103" spans="1:8" hidden="1" x14ac:dyDescent="0.15">
      <c r="A1103" s="2200" t="s">
        <v>11502</v>
      </c>
      <c r="B1103" s="2200" t="s">
        <v>12920</v>
      </c>
      <c r="C1103" s="2200" t="s">
        <v>12921</v>
      </c>
      <c r="D1103" s="2200" t="str">
        <f t="shared" si="68"/>
        <v>MA</v>
      </c>
      <c r="E1103" s="2200">
        <f t="shared" si="69"/>
        <v>27</v>
      </c>
      <c r="F1103" s="2200" t="str">
        <f t="shared" si="70"/>
        <v>25</v>
      </c>
      <c r="G1103" s="2200" t="str">
        <f t="shared" si="71"/>
        <v>37995</v>
      </c>
      <c r="H1103" s="2200">
        <f>--SUBTOTAL(3,C$2:C1103)</f>
        <v>99</v>
      </c>
    </row>
    <row r="1104" spans="1:8" hidden="1" x14ac:dyDescent="0.15">
      <c r="A1104" s="2200" t="s">
        <v>11502</v>
      </c>
      <c r="B1104" s="2200" t="s">
        <v>12922</v>
      </c>
      <c r="C1104" s="2200" t="s">
        <v>12923</v>
      </c>
      <c r="D1104" s="2200" t="str">
        <f t="shared" si="68"/>
        <v>MA</v>
      </c>
      <c r="E1104" s="2200">
        <f t="shared" si="69"/>
        <v>15</v>
      </c>
      <c r="F1104" s="2200" t="str">
        <f t="shared" si="70"/>
        <v>25</v>
      </c>
      <c r="G1104" s="2200" t="str">
        <f t="shared" si="71"/>
        <v>38225</v>
      </c>
      <c r="H1104" s="2200">
        <f>--SUBTOTAL(3,C$2:C1104)</f>
        <v>99</v>
      </c>
    </row>
    <row r="1105" spans="1:8" hidden="1" x14ac:dyDescent="0.15">
      <c r="A1105" s="2200" t="s">
        <v>11502</v>
      </c>
      <c r="B1105" s="2200" t="s">
        <v>12924</v>
      </c>
      <c r="C1105" s="2200" t="s">
        <v>12925</v>
      </c>
      <c r="D1105" s="2200" t="str">
        <f t="shared" si="68"/>
        <v>MA</v>
      </c>
      <c r="E1105" s="2200">
        <f t="shared" si="69"/>
        <v>16</v>
      </c>
      <c r="F1105" s="2200" t="str">
        <f t="shared" si="70"/>
        <v>25</v>
      </c>
      <c r="G1105" s="2200" t="str">
        <f t="shared" si="71"/>
        <v>38400</v>
      </c>
      <c r="H1105" s="2200">
        <f>--SUBTOTAL(3,C$2:C1105)</f>
        <v>99</v>
      </c>
    </row>
    <row r="1106" spans="1:8" hidden="1" x14ac:dyDescent="0.15">
      <c r="A1106" s="2200" t="s">
        <v>11502</v>
      </c>
      <c r="B1106" s="2200" t="s">
        <v>12926</v>
      </c>
      <c r="C1106" s="2200" t="s">
        <v>12927</v>
      </c>
      <c r="D1106" s="2200" t="str">
        <f t="shared" si="68"/>
        <v>MA</v>
      </c>
      <c r="E1106" s="2200">
        <f t="shared" si="69"/>
        <v>12</v>
      </c>
      <c r="F1106" s="2200" t="str">
        <f t="shared" si="70"/>
        <v>25</v>
      </c>
      <c r="G1106" s="2200" t="str">
        <f t="shared" si="71"/>
        <v>38540</v>
      </c>
      <c r="H1106" s="2200">
        <f>--SUBTOTAL(3,C$2:C1106)</f>
        <v>99</v>
      </c>
    </row>
    <row r="1107" spans="1:8" hidden="1" x14ac:dyDescent="0.15">
      <c r="A1107" s="2200" t="s">
        <v>10723</v>
      </c>
      <c r="B1107" s="2200" t="s">
        <v>12928</v>
      </c>
      <c r="C1107" s="2200" t="s">
        <v>12929</v>
      </c>
      <c r="D1107" s="2200" t="str">
        <f t="shared" si="68"/>
        <v>MA</v>
      </c>
      <c r="E1107" s="2200">
        <f t="shared" si="69"/>
        <v>17</v>
      </c>
      <c r="F1107" s="2200" t="str">
        <f t="shared" si="70"/>
        <v>25</v>
      </c>
      <c r="G1107" s="2200" t="str">
        <f t="shared" si="71"/>
        <v>38715</v>
      </c>
      <c r="H1107" s="2200">
        <f>--SUBTOTAL(3,C$2:C1107)</f>
        <v>99</v>
      </c>
    </row>
    <row r="1108" spans="1:8" hidden="1" x14ac:dyDescent="0.15">
      <c r="A1108" s="2200" t="s">
        <v>10723</v>
      </c>
      <c r="B1108" s="2200" t="s">
        <v>12930</v>
      </c>
      <c r="C1108" s="2200" t="s">
        <v>12931</v>
      </c>
      <c r="D1108" s="2200" t="str">
        <f t="shared" si="68"/>
        <v>MA</v>
      </c>
      <c r="E1108" s="2200">
        <f t="shared" si="69"/>
        <v>16</v>
      </c>
      <c r="F1108" s="2200" t="str">
        <f t="shared" si="70"/>
        <v>25</v>
      </c>
      <c r="G1108" s="2200" t="str">
        <f t="shared" si="71"/>
        <v>38855</v>
      </c>
      <c r="H1108" s="2200">
        <f>--SUBTOTAL(3,C$2:C1108)</f>
        <v>99</v>
      </c>
    </row>
    <row r="1109" spans="1:8" hidden="1" x14ac:dyDescent="0.15">
      <c r="A1109" s="2200" t="s">
        <v>11502</v>
      </c>
      <c r="B1109" s="2200" t="s">
        <v>12932</v>
      </c>
      <c r="C1109" s="2200" t="s">
        <v>12933</v>
      </c>
      <c r="D1109" s="2200" t="str">
        <f t="shared" si="68"/>
        <v>MA</v>
      </c>
      <c r="E1109" s="2200">
        <f t="shared" si="69"/>
        <v>13</v>
      </c>
      <c r="F1109" s="2200" t="str">
        <f t="shared" si="70"/>
        <v>25</v>
      </c>
      <c r="G1109" s="2200" t="str">
        <f t="shared" si="71"/>
        <v>39100</v>
      </c>
      <c r="H1109" s="2200">
        <f>--SUBTOTAL(3,C$2:C1109)</f>
        <v>99</v>
      </c>
    </row>
    <row r="1110" spans="1:8" hidden="1" x14ac:dyDescent="0.15">
      <c r="A1110" s="2200" t="s">
        <v>11502</v>
      </c>
      <c r="B1110" s="2200" t="s">
        <v>12934</v>
      </c>
      <c r="C1110" s="2200" t="s">
        <v>12935</v>
      </c>
      <c r="D1110" s="2200" t="str">
        <f t="shared" si="68"/>
        <v>MA</v>
      </c>
      <c r="E1110" s="2200">
        <f t="shared" si="69"/>
        <v>18</v>
      </c>
      <c r="F1110" s="2200" t="str">
        <f t="shared" si="70"/>
        <v>25</v>
      </c>
      <c r="G1110" s="2200" t="str">
        <f t="shared" si="71"/>
        <v>39450</v>
      </c>
      <c r="H1110" s="2200">
        <f>--SUBTOTAL(3,C$2:C1110)</f>
        <v>99</v>
      </c>
    </row>
    <row r="1111" spans="1:8" hidden="1" x14ac:dyDescent="0.15">
      <c r="A1111" s="2200" t="s">
        <v>11502</v>
      </c>
      <c r="B1111" s="2200" t="s">
        <v>12936</v>
      </c>
      <c r="C1111" s="2200" t="s">
        <v>12937</v>
      </c>
      <c r="D1111" s="2200" t="str">
        <f t="shared" si="68"/>
        <v>MA</v>
      </c>
      <c r="E1111" s="2200">
        <f t="shared" si="69"/>
        <v>13</v>
      </c>
      <c r="F1111" s="2200" t="str">
        <f t="shared" si="70"/>
        <v>25</v>
      </c>
      <c r="G1111" s="2200" t="str">
        <f t="shared" si="71"/>
        <v>39625</v>
      </c>
      <c r="H1111" s="2200">
        <f>--SUBTOTAL(3,C$2:C1111)</f>
        <v>99</v>
      </c>
    </row>
    <row r="1112" spans="1:8" hidden="1" x14ac:dyDescent="0.15">
      <c r="A1112" s="2200" t="s">
        <v>11502</v>
      </c>
      <c r="B1112" s="2200" t="s">
        <v>12938</v>
      </c>
      <c r="C1112" s="2200" t="s">
        <v>12939</v>
      </c>
      <c r="D1112" s="2200" t="str">
        <f t="shared" si="68"/>
        <v>MA</v>
      </c>
      <c r="E1112" s="2200">
        <f t="shared" si="69"/>
        <v>14</v>
      </c>
      <c r="F1112" s="2200" t="str">
        <f t="shared" si="70"/>
        <v>25</v>
      </c>
      <c r="G1112" s="2200" t="str">
        <f t="shared" si="71"/>
        <v>39765</v>
      </c>
      <c r="H1112" s="2200">
        <f>--SUBTOTAL(3,C$2:C1112)</f>
        <v>99</v>
      </c>
    </row>
    <row r="1113" spans="1:8" hidden="1" x14ac:dyDescent="0.15">
      <c r="A1113" s="2200" t="s">
        <v>10723</v>
      </c>
      <c r="B1113" s="2200" t="s">
        <v>12940</v>
      </c>
      <c r="C1113" s="2200" t="s">
        <v>12941</v>
      </c>
      <c r="D1113" s="2200" t="str">
        <f t="shared" si="68"/>
        <v>MA</v>
      </c>
      <c r="E1113" s="2200">
        <f t="shared" si="69"/>
        <v>13</v>
      </c>
      <c r="F1113" s="2200" t="str">
        <f t="shared" si="70"/>
        <v>25</v>
      </c>
      <c r="G1113" s="2200" t="str">
        <f t="shared" si="71"/>
        <v>39835</v>
      </c>
      <c r="H1113" s="2200">
        <f>--SUBTOTAL(3,C$2:C1113)</f>
        <v>99</v>
      </c>
    </row>
    <row r="1114" spans="1:8" hidden="1" x14ac:dyDescent="0.15">
      <c r="A1114" s="2200" t="s">
        <v>11502</v>
      </c>
      <c r="B1114" s="2200" t="s">
        <v>12942</v>
      </c>
      <c r="C1114" s="2200" t="s">
        <v>12943</v>
      </c>
      <c r="D1114" s="2200" t="str">
        <f t="shared" si="68"/>
        <v>MA</v>
      </c>
      <c r="E1114" s="2200">
        <f t="shared" si="69"/>
        <v>12</v>
      </c>
      <c r="F1114" s="2200" t="str">
        <f t="shared" si="70"/>
        <v>25</v>
      </c>
      <c r="G1114" s="2200" t="str">
        <f t="shared" si="71"/>
        <v>39975</v>
      </c>
      <c r="H1114" s="2200">
        <f>--SUBTOTAL(3,C$2:C1114)</f>
        <v>99</v>
      </c>
    </row>
    <row r="1115" spans="1:8" hidden="1" x14ac:dyDescent="0.15">
      <c r="A1115" s="2200" t="s">
        <v>10723</v>
      </c>
      <c r="B1115" s="2200" t="s">
        <v>12944</v>
      </c>
      <c r="C1115" s="2200" t="s">
        <v>12945</v>
      </c>
      <c r="D1115" s="2200" t="str">
        <f t="shared" si="68"/>
        <v>MA</v>
      </c>
      <c r="E1115" s="2200">
        <f t="shared" si="69"/>
        <v>13</v>
      </c>
      <c r="F1115" s="2200" t="str">
        <f t="shared" si="70"/>
        <v>25</v>
      </c>
      <c r="G1115" s="2200" t="str">
        <f t="shared" si="71"/>
        <v>40115</v>
      </c>
      <c r="H1115" s="2200">
        <f>--SUBTOTAL(3,C$2:C1115)</f>
        <v>99</v>
      </c>
    </row>
    <row r="1116" spans="1:8" hidden="1" x14ac:dyDescent="0.15">
      <c r="A1116" s="2200" t="s">
        <v>11502</v>
      </c>
      <c r="B1116" s="2200" t="s">
        <v>12946</v>
      </c>
      <c r="C1116" s="2200" t="s">
        <v>12947</v>
      </c>
      <c r="D1116" s="2200" t="str">
        <f t="shared" si="68"/>
        <v>MA</v>
      </c>
      <c r="E1116" s="2200">
        <f t="shared" si="69"/>
        <v>12</v>
      </c>
      <c r="F1116" s="2200" t="str">
        <f t="shared" si="70"/>
        <v>25</v>
      </c>
      <c r="G1116" s="2200" t="str">
        <f t="shared" si="71"/>
        <v>40255</v>
      </c>
      <c r="H1116" s="2200">
        <f>--SUBTOTAL(3,C$2:C1116)</f>
        <v>99</v>
      </c>
    </row>
    <row r="1117" spans="1:8" hidden="1" x14ac:dyDescent="0.15">
      <c r="A1117" s="2200" t="s">
        <v>11502</v>
      </c>
      <c r="B1117" s="2200" t="s">
        <v>12948</v>
      </c>
      <c r="C1117" s="2200" t="s">
        <v>12949</v>
      </c>
      <c r="D1117" s="2200" t="str">
        <f t="shared" si="68"/>
        <v>MA</v>
      </c>
      <c r="E1117" s="2200">
        <f t="shared" si="69"/>
        <v>14</v>
      </c>
      <c r="F1117" s="2200" t="str">
        <f t="shared" si="70"/>
        <v>25</v>
      </c>
      <c r="G1117" s="2200" t="str">
        <f t="shared" si="71"/>
        <v>40430</v>
      </c>
      <c r="H1117" s="2200">
        <f>--SUBTOTAL(3,C$2:C1117)</f>
        <v>99</v>
      </c>
    </row>
    <row r="1118" spans="1:8" hidden="1" x14ac:dyDescent="0.15">
      <c r="A1118" s="2200" t="s">
        <v>10723</v>
      </c>
      <c r="B1118" s="2200" t="s">
        <v>12950</v>
      </c>
      <c r="C1118" s="2200" t="s">
        <v>12951</v>
      </c>
      <c r="D1118" s="2200" t="str">
        <f t="shared" si="68"/>
        <v>MA</v>
      </c>
      <c r="E1118" s="2200">
        <f t="shared" si="69"/>
        <v>18</v>
      </c>
      <c r="F1118" s="2200" t="str">
        <f t="shared" si="70"/>
        <v>25</v>
      </c>
      <c r="G1118" s="2200" t="str">
        <f t="shared" si="71"/>
        <v>40710</v>
      </c>
      <c r="H1118" s="2200">
        <f>--SUBTOTAL(3,C$2:C1118)</f>
        <v>99</v>
      </c>
    </row>
    <row r="1119" spans="1:8" hidden="1" x14ac:dyDescent="0.15">
      <c r="A1119" s="2200" t="s">
        <v>11502</v>
      </c>
      <c r="B1119" s="2200" t="s">
        <v>12952</v>
      </c>
      <c r="C1119" s="2200" t="s">
        <v>12953</v>
      </c>
      <c r="D1119" s="2200" t="str">
        <f t="shared" si="68"/>
        <v>MA</v>
      </c>
      <c r="E1119" s="2200">
        <f t="shared" si="69"/>
        <v>19</v>
      </c>
      <c r="F1119" s="2200" t="str">
        <f t="shared" si="70"/>
        <v>25</v>
      </c>
      <c r="G1119" s="2200" t="str">
        <f t="shared" si="71"/>
        <v>40850</v>
      </c>
      <c r="H1119" s="2200">
        <f>--SUBTOTAL(3,C$2:C1119)</f>
        <v>99</v>
      </c>
    </row>
    <row r="1120" spans="1:8" hidden="1" x14ac:dyDescent="0.15">
      <c r="A1120" s="2200" t="s">
        <v>11502</v>
      </c>
      <c r="B1120" s="2200" t="s">
        <v>12954</v>
      </c>
      <c r="C1120" s="2200" t="s">
        <v>12955</v>
      </c>
      <c r="D1120" s="2200" t="str">
        <f t="shared" si="68"/>
        <v>MA</v>
      </c>
      <c r="E1120" s="2200">
        <f t="shared" si="69"/>
        <v>17</v>
      </c>
      <c r="F1120" s="2200" t="str">
        <f t="shared" si="70"/>
        <v>25</v>
      </c>
      <c r="G1120" s="2200" t="str">
        <f t="shared" si="71"/>
        <v>40990</v>
      </c>
      <c r="H1120" s="2200">
        <f>--SUBTOTAL(3,C$2:C1120)</f>
        <v>99</v>
      </c>
    </row>
    <row r="1121" spans="1:8" hidden="1" x14ac:dyDescent="0.15">
      <c r="A1121" s="2200" t="s">
        <v>11502</v>
      </c>
      <c r="B1121" s="2200" t="s">
        <v>12956</v>
      </c>
      <c r="C1121" s="2200" t="s">
        <v>12957</v>
      </c>
      <c r="D1121" s="2200" t="str">
        <f t="shared" si="68"/>
        <v>MA</v>
      </c>
      <c r="E1121" s="2200">
        <f t="shared" si="69"/>
        <v>15</v>
      </c>
      <c r="F1121" s="2200" t="str">
        <f t="shared" si="70"/>
        <v>25</v>
      </c>
      <c r="G1121" s="2200" t="str">
        <f t="shared" si="71"/>
        <v>41095</v>
      </c>
      <c r="H1121" s="2200">
        <f>--SUBTOTAL(3,C$2:C1121)</f>
        <v>99</v>
      </c>
    </row>
    <row r="1122" spans="1:8" hidden="1" x14ac:dyDescent="0.15">
      <c r="A1122" s="2200" t="s">
        <v>10723</v>
      </c>
      <c r="B1122" s="2200" t="s">
        <v>12958</v>
      </c>
      <c r="C1122" s="2200" t="s">
        <v>12959</v>
      </c>
      <c r="D1122" s="2200" t="str">
        <f t="shared" si="68"/>
        <v>MA</v>
      </c>
      <c r="E1122" s="2200">
        <f t="shared" si="69"/>
        <v>13</v>
      </c>
      <c r="F1122" s="2200" t="str">
        <f t="shared" si="70"/>
        <v>25</v>
      </c>
      <c r="G1122" s="2200" t="str">
        <f t="shared" si="71"/>
        <v>41165</v>
      </c>
      <c r="H1122" s="2200">
        <f>--SUBTOTAL(3,C$2:C1122)</f>
        <v>99</v>
      </c>
    </row>
    <row r="1123" spans="1:8" hidden="1" x14ac:dyDescent="0.15">
      <c r="A1123" s="2200" t="s">
        <v>11502</v>
      </c>
      <c r="B1123" s="2200" t="s">
        <v>12960</v>
      </c>
      <c r="C1123" s="2200" t="s">
        <v>12961</v>
      </c>
      <c r="D1123" s="2200" t="str">
        <f t="shared" si="68"/>
        <v>MA</v>
      </c>
      <c r="E1123" s="2200">
        <f t="shared" si="69"/>
        <v>14</v>
      </c>
      <c r="F1123" s="2200" t="str">
        <f t="shared" si="70"/>
        <v>25</v>
      </c>
      <c r="G1123" s="2200" t="str">
        <f t="shared" si="71"/>
        <v>41340</v>
      </c>
      <c r="H1123" s="2200">
        <f>--SUBTOTAL(3,C$2:C1123)</f>
        <v>99</v>
      </c>
    </row>
    <row r="1124" spans="1:8" hidden="1" x14ac:dyDescent="0.15">
      <c r="A1124" s="2200" t="s">
        <v>11502</v>
      </c>
      <c r="B1124" s="2200" t="s">
        <v>12962</v>
      </c>
      <c r="C1124" s="2200" t="s">
        <v>12963</v>
      </c>
      <c r="D1124" s="2200" t="str">
        <f t="shared" si="68"/>
        <v>MA</v>
      </c>
      <c r="E1124" s="2200">
        <f t="shared" si="69"/>
        <v>12</v>
      </c>
      <c r="F1124" s="2200" t="str">
        <f t="shared" si="70"/>
        <v>25</v>
      </c>
      <c r="G1124" s="2200" t="str">
        <f t="shared" si="71"/>
        <v>41515</v>
      </c>
      <c r="H1124" s="2200">
        <f>--SUBTOTAL(3,C$2:C1124)</f>
        <v>99</v>
      </c>
    </row>
    <row r="1125" spans="1:8" hidden="1" x14ac:dyDescent="0.15">
      <c r="A1125" s="2200" t="s">
        <v>11502</v>
      </c>
      <c r="B1125" s="2200" t="s">
        <v>12964</v>
      </c>
      <c r="C1125" s="2200" t="s">
        <v>12965</v>
      </c>
      <c r="D1125" s="2200" t="str">
        <f t="shared" si="68"/>
        <v>MA</v>
      </c>
      <c r="E1125" s="2200">
        <f t="shared" si="69"/>
        <v>15</v>
      </c>
      <c r="F1125" s="2200" t="str">
        <f t="shared" si="70"/>
        <v>25</v>
      </c>
      <c r="G1125" s="2200" t="str">
        <f t="shared" si="71"/>
        <v>41585</v>
      </c>
      <c r="H1125" s="2200">
        <f>--SUBTOTAL(3,C$2:C1125)</f>
        <v>99</v>
      </c>
    </row>
    <row r="1126" spans="1:8" hidden="1" x14ac:dyDescent="0.15">
      <c r="A1126" s="2200" t="s">
        <v>10723</v>
      </c>
      <c r="B1126" s="2200" t="s">
        <v>12966</v>
      </c>
      <c r="C1126" s="2200" t="s">
        <v>12967</v>
      </c>
      <c r="D1126" s="2200" t="str">
        <f t="shared" si="68"/>
        <v>MA</v>
      </c>
      <c r="E1126" s="2200">
        <f t="shared" si="69"/>
        <v>12</v>
      </c>
      <c r="F1126" s="2200" t="str">
        <f t="shared" si="70"/>
        <v>25</v>
      </c>
      <c r="G1126" s="2200" t="str">
        <f t="shared" si="71"/>
        <v>41690</v>
      </c>
      <c r="H1126" s="2200">
        <f>--SUBTOTAL(3,C$2:C1126)</f>
        <v>99</v>
      </c>
    </row>
    <row r="1127" spans="1:8" hidden="1" x14ac:dyDescent="0.15">
      <c r="A1127" s="2200" t="s">
        <v>11502</v>
      </c>
      <c r="B1127" s="2200" t="s">
        <v>12968</v>
      </c>
      <c r="C1127" s="2200" t="s">
        <v>12969</v>
      </c>
      <c r="D1127" s="2200" t="str">
        <f t="shared" si="68"/>
        <v>MA</v>
      </c>
      <c r="E1127" s="2200">
        <f t="shared" si="69"/>
        <v>12</v>
      </c>
      <c r="F1127" s="2200" t="str">
        <f t="shared" si="70"/>
        <v>25</v>
      </c>
      <c r="G1127" s="2200" t="str">
        <f t="shared" si="71"/>
        <v>42040</v>
      </c>
      <c r="H1127" s="2200">
        <f>--SUBTOTAL(3,C$2:C1127)</f>
        <v>99</v>
      </c>
    </row>
    <row r="1128" spans="1:8" hidden="1" x14ac:dyDescent="0.15">
      <c r="A1128" s="2200" t="s">
        <v>11502</v>
      </c>
      <c r="B1128" s="2200" t="s">
        <v>12970</v>
      </c>
      <c r="C1128" s="2200" t="s">
        <v>12971</v>
      </c>
      <c r="D1128" s="2200" t="str">
        <f t="shared" si="68"/>
        <v>MA</v>
      </c>
      <c r="E1128" s="2200">
        <f t="shared" si="69"/>
        <v>12</v>
      </c>
      <c r="F1128" s="2200" t="str">
        <f t="shared" si="70"/>
        <v>25</v>
      </c>
      <c r="G1128" s="2200" t="str">
        <f t="shared" si="71"/>
        <v>42145</v>
      </c>
      <c r="H1128" s="2200">
        <f>--SUBTOTAL(3,C$2:C1128)</f>
        <v>99</v>
      </c>
    </row>
    <row r="1129" spans="1:8" hidden="1" x14ac:dyDescent="0.15">
      <c r="A1129" s="2200" t="s">
        <v>11502</v>
      </c>
      <c r="B1129" s="2200" t="s">
        <v>12972</v>
      </c>
      <c r="C1129" s="2200" t="s">
        <v>12973</v>
      </c>
      <c r="D1129" s="2200" t="str">
        <f t="shared" si="68"/>
        <v>MA</v>
      </c>
      <c r="E1129" s="2200">
        <f t="shared" si="69"/>
        <v>14</v>
      </c>
      <c r="F1129" s="2200" t="str">
        <f t="shared" si="70"/>
        <v>25</v>
      </c>
      <c r="G1129" s="2200" t="str">
        <f t="shared" si="71"/>
        <v>42285</v>
      </c>
      <c r="H1129" s="2200">
        <f>--SUBTOTAL(3,C$2:C1129)</f>
        <v>99</v>
      </c>
    </row>
    <row r="1130" spans="1:8" hidden="1" x14ac:dyDescent="0.15">
      <c r="A1130" s="2200" t="s">
        <v>11502</v>
      </c>
      <c r="B1130" s="2200" t="s">
        <v>12974</v>
      </c>
      <c r="C1130" s="2200" t="s">
        <v>12975</v>
      </c>
      <c r="D1130" s="2200" t="str">
        <f t="shared" si="68"/>
        <v>MA</v>
      </c>
      <c r="E1130" s="2200">
        <f t="shared" si="69"/>
        <v>14</v>
      </c>
      <c r="F1130" s="2200" t="str">
        <f t="shared" si="70"/>
        <v>25</v>
      </c>
      <c r="G1130" s="2200" t="str">
        <f t="shared" si="71"/>
        <v>42460</v>
      </c>
      <c r="H1130" s="2200">
        <f>--SUBTOTAL(3,C$2:C1130)</f>
        <v>99</v>
      </c>
    </row>
    <row r="1131" spans="1:8" hidden="1" x14ac:dyDescent="0.15">
      <c r="A1131" s="2200" t="s">
        <v>11502</v>
      </c>
      <c r="B1131" s="2200" t="s">
        <v>12976</v>
      </c>
      <c r="C1131" s="2200" t="s">
        <v>12977</v>
      </c>
      <c r="D1131" s="2200" t="str">
        <f t="shared" si="68"/>
        <v>MA</v>
      </c>
      <c r="E1131" s="2200">
        <f t="shared" si="69"/>
        <v>16</v>
      </c>
      <c r="F1131" s="2200" t="str">
        <f t="shared" si="70"/>
        <v>25</v>
      </c>
      <c r="G1131" s="2200" t="str">
        <f t="shared" si="71"/>
        <v>42530</v>
      </c>
      <c r="H1131" s="2200">
        <f>--SUBTOTAL(3,C$2:C1131)</f>
        <v>99</v>
      </c>
    </row>
    <row r="1132" spans="1:8" hidden="1" x14ac:dyDescent="0.15">
      <c r="A1132" s="2200" t="s">
        <v>11502</v>
      </c>
      <c r="B1132" s="2200" t="s">
        <v>12978</v>
      </c>
      <c r="C1132" s="2200" t="s">
        <v>12979</v>
      </c>
      <c r="D1132" s="2200" t="str">
        <f t="shared" si="68"/>
        <v>MA</v>
      </c>
      <c r="E1132" s="2200">
        <f t="shared" si="69"/>
        <v>22</v>
      </c>
      <c r="F1132" s="2200" t="str">
        <f t="shared" si="70"/>
        <v>25</v>
      </c>
      <c r="G1132" s="2200" t="str">
        <f t="shared" si="71"/>
        <v>43300</v>
      </c>
      <c r="H1132" s="2200">
        <f>--SUBTOTAL(3,C$2:C1132)</f>
        <v>99</v>
      </c>
    </row>
    <row r="1133" spans="1:8" hidden="1" x14ac:dyDescent="0.15">
      <c r="A1133" s="2200" t="s">
        <v>11502</v>
      </c>
      <c r="B1133" s="2200" t="s">
        <v>12980</v>
      </c>
      <c r="C1133" s="2200" t="s">
        <v>12981</v>
      </c>
      <c r="D1133" s="2200" t="str">
        <f t="shared" si="68"/>
        <v>MA</v>
      </c>
      <c r="E1133" s="2200">
        <f t="shared" si="69"/>
        <v>12</v>
      </c>
      <c r="F1133" s="2200" t="str">
        <f t="shared" si="70"/>
        <v>25</v>
      </c>
      <c r="G1133" s="2200" t="str">
        <f t="shared" si="71"/>
        <v>43580</v>
      </c>
      <c r="H1133" s="2200">
        <f>--SUBTOTAL(3,C$2:C1133)</f>
        <v>99</v>
      </c>
    </row>
    <row r="1134" spans="1:8" hidden="1" x14ac:dyDescent="0.15">
      <c r="A1134" s="2200" t="s">
        <v>11502</v>
      </c>
      <c r="B1134" s="2200" t="s">
        <v>12982</v>
      </c>
      <c r="C1134" s="2200" t="s">
        <v>6738</v>
      </c>
      <c r="D1134" s="2200" t="str">
        <f t="shared" si="68"/>
        <v>MA</v>
      </c>
      <c r="E1134" s="2200">
        <f t="shared" si="69"/>
        <v>22</v>
      </c>
      <c r="F1134" s="2200" t="str">
        <f t="shared" si="70"/>
        <v>25</v>
      </c>
      <c r="G1134" s="2200" t="str">
        <f t="shared" si="71"/>
        <v>43790</v>
      </c>
      <c r="H1134" s="2200">
        <f>--SUBTOTAL(3,C$2:C1134)</f>
        <v>99</v>
      </c>
    </row>
    <row r="1135" spans="1:8" hidden="1" x14ac:dyDescent="0.15">
      <c r="A1135" s="2200" t="s">
        <v>10723</v>
      </c>
      <c r="B1135" s="2200" t="s">
        <v>12983</v>
      </c>
      <c r="C1135" s="2200" t="s">
        <v>12984</v>
      </c>
      <c r="D1135" s="2200" t="str">
        <f t="shared" si="68"/>
        <v>MA</v>
      </c>
      <c r="E1135" s="2200">
        <f t="shared" si="69"/>
        <v>12</v>
      </c>
      <c r="F1135" s="2200" t="str">
        <f t="shared" si="70"/>
        <v>25</v>
      </c>
      <c r="G1135" s="2200" t="str">
        <f t="shared" si="71"/>
        <v>43895</v>
      </c>
      <c r="H1135" s="2200">
        <f>--SUBTOTAL(3,C$2:C1135)</f>
        <v>99</v>
      </c>
    </row>
    <row r="1136" spans="1:8" hidden="1" x14ac:dyDescent="0.15">
      <c r="A1136" s="2200" t="s">
        <v>10723</v>
      </c>
      <c r="B1136" s="2200" t="s">
        <v>12985</v>
      </c>
      <c r="C1136" s="2200" t="s">
        <v>12986</v>
      </c>
      <c r="D1136" s="2200" t="str">
        <f t="shared" si="68"/>
        <v>MA</v>
      </c>
      <c r="E1136" s="2200">
        <f t="shared" si="69"/>
        <v>13</v>
      </c>
      <c r="F1136" s="2200" t="str">
        <f t="shared" si="70"/>
        <v>25</v>
      </c>
      <c r="G1136" s="2200" t="str">
        <f t="shared" si="71"/>
        <v>44105</v>
      </c>
      <c r="H1136" s="2200">
        <f>--SUBTOTAL(3,C$2:C1136)</f>
        <v>99</v>
      </c>
    </row>
    <row r="1137" spans="1:8" hidden="1" x14ac:dyDescent="0.15">
      <c r="A1137" s="2200" t="s">
        <v>11502</v>
      </c>
      <c r="B1137" s="2200" t="s">
        <v>12987</v>
      </c>
      <c r="C1137" s="2200" t="s">
        <v>12988</v>
      </c>
      <c r="D1137" s="2200" t="str">
        <f t="shared" si="68"/>
        <v>MA</v>
      </c>
      <c r="E1137" s="2200">
        <f t="shared" si="69"/>
        <v>17</v>
      </c>
      <c r="F1137" s="2200" t="str">
        <f t="shared" si="70"/>
        <v>25</v>
      </c>
      <c r="G1137" s="2200" t="str">
        <f t="shared" si="71"/>
        <v>44385</v>
      </c>
      <c r="H1137" s="2200">
        <f>--SUBTOTAL(3,C$2:C1137)</f>
        <v>99</v>
      </c>
    </row>
    <row r="1138" spans="1:8" hidden="1" x14ac:dyDescent="0.15">
      <c r="A1138" s="2200" t="s">
        <v>10723</v>
      </c>
      <c r="B1138" s="2200" t="s">
        <v>12989</v>
      </c>
      <c r="C1138" s="2200" t="s">
        <v>12990</v>
      </c>
      <c r="D1138" s="2200" t="str">
        <f t="shared" si="68"/>
        <v>MA</v>
      </c>
      <c r="E1138" s="2200">
        <f t="shared" si="69"/>
        <v>17</v>
      </c>
      <c r="F1138" s="2200" t="str">
        <f t="shared" si="70"/>
        <v>25</v>
      </c>
      <c r="G1138" s="2200" t="str">
        <f t="shared" si="71"/>
        <v>45000</v>
      </c>
      <c r="H1138" s="2200">
        <f>--SUBTOTAL(3,C$2:C1138)</f>
        <v>99</v>
      </c>
    </row>
    <row r="1139" spans="1:8" hidden="1" x14ac:dyDescent="0.15">
      <c r="A1139" s="2200" t="s">
        <v>11502</v>
      </c>
      <c r="B1139" s="2200" t="s">
        <v>12991</v>
      </c>
      <c r="C1139" s="2200" t="s">
        <v>12992</v>
      </c>
      <c r="D1139" s="2200" t="str">
        <f t="shared" si="68"/>
        <v>MA</v>
      </c>
      <c r="E1139" s="2200">
        <f t="shared" si="69"/>
        <v>19</v>
      </c>
      <c r="F1139" s="2200" t="str">
        <f t="shared" si="70"/>
        <v>25</v>
      </c>
      <c r="G1139" s="2200" t="str">
        <f t="shared" si="71"/>
        <v>45105</v>
      </c>
      <c r="H1139" s="2200">
        <f>--SUBTOTAL(3,C$2:C1139)</f>
        <v>99</v>
      </c>
    </row>
    <row r="1140" spans="1:8" hidden="1" x14ac:dyDescent="0.15">
      <c r="A1140" s="2200" t="s">
        <v>11502</v>
      </c>
      <c r="B1140" s="2200" t="s">
        <v>12993</v>
      </c>
      <c r="C1140" s="2200" t="s">
        <v>12994</v>
      </c>
      <c r="D1140" s="2200" t="str">
        <f t="shared" si="68"/>
        <v>MA</v>
      </c>
      <c r="E1140" s="2200">
        <f t="shared" si="69"/>
        <v>21</v>
      </c>
      <c r="F1140" s="2200" t="str">
        <f t="shared" si="70"/>
        <v>25</v>
      </c>
      <c r="G1140" s="2200" t="str">
        <f t="shared" si="71"/>
        <v>45420</v>
      </c>
      <c r="H1140" s="2200">
        <f>--SUBTOTAL(3,C$2:C1140)</f>
        <v>99</v>
      </c>
    </row>
    <row r="1141" spans="1:8" hidden="1" x14ac:dyDescent="0.15">
      <c r="A1141" s="2200" t="s">
        <v>11502</v>
      </c>
      <c r="B1141" s="2200" t="s">
        <v>12995</v>
      </c>
      <c r="C1141" s="2200" t="s">
        <v>12996</v>
      </c>
      <c r="D1141" s="2200" t="str">
        <f t="shared" si="68"/>
        <v>MA</v>
      </c>
      <c r="E1141" s="2200">
        <f t="shared" si="69"/>
        <v>15</v>
      </c>
      <c r="F1141" s="2200" t="str">
        <f t="shared" si="70"/>
        <v>25</v>
      </c>
      <c r="G1141" s="2200" t="str">
        <f t="shared" si="71"/>
        <v>45490</v>
      </c>
      <c r="H1141" s="2200">
        <f>--SUBTOTAL(3,C$2:C1141)</f>
        <v>99</v>
      </c>
    </row>
    <row r="1142" spans="1:8" hidden="1" x14ac:dyDescent="0.15">
      <c r="A1142" s="2200" t="s">
        <v>11502</v>
      </c>
      <c r="B1142" s="2200" t="s">
        <v>12997</v>
      </c>
      <c r="C1142" s="2200" t="s">
        <v>12998</v>
      </c>
      <c r="D1142" s="2200" t="str">
        <f t="shared" si="68"/>
        <v>MA</v>
      </c>
      <c r="E1142" s="2200">
        <f t="shared" si="69"/>
        <v>13</v>
      </c>
      <c r="F1142" s="2200" t="str">
        <f t="shared" si="70"/>
        <v>25</v>
      </c>
      <c r="G1142" s="2200" t="str">
        <f t="shared" si="71"/>
        <v>45175</v>
      </c>
      <c r="H1142" s="2200">
        <f>--SUBTOTAL(3,C$2:C1142)</f>
        <v>99</v>
      </c>
    </row>
    <row r="1143" spans="1:8" hidden="1" x14ac:dyDescent="0.15">
      <c r="A1143" s="2200" t="s">
        <v>11502</v>
      </c>
      <c r="B1143" s="2200" t="s">
        <v>12999</v>
      </c>
      <c r="C1143" s="2200" t="s">
        <v>13000</v>
      </c>
      <c r="D1143" s="2200" t="str">
        <f t="shared" si="68"/>
        <v>MA</v>
      </c>
      <c r="E1143" s="2200">
        <f t="shared" si="69"/>
        <v>17</v>
      </c>
      <c r="F1143" s="2200" t="str">
        <f t="shared" si="70"/>
        <v>25</v>
      </c>
      <c r="G1143" s="2200" t="str">
        <f t="shared" si="71"/>
        <v>45245</v>
      </c>
      <c r="H1143" s="2200">
        <f>--SUBTOTAL(3,C$2:C1143)</f>
        <v>99</v>
      </c>
    </row>
    <row r="1144" spans="1:8" hidden="1" x14ac:dyDescent="0.15">
      <c r="A1144" s="2200" t="s">
        <v>10723</v>
      </c>
      <c r="B1144" s="2200" t="s">
        <v>13001</v>
      </c>
      <c r="C1144" s="2200" t="s">
        <v>13002</v>
      </c>
      <c r="D1144" s="2200" t="str">
        <f t="shared" si="68"/>
        <v>MA</v>
      </c>
      <c r="E1144" s="2200">
        <f t="shared" si="69"/>
        <v>12</v>
      </c>
      <c r="F1144" s="2200" t="str">
        <f t="shared" si="70"/>
        <v>25</v>
      </c>
      <c r="G1144" s="2200" t="str">
        <f t="shared" si="71"/>
        <v>45560</v>
      </c>
      <c r="H1144" s="2200">
        <f>--SUBTOTAL(3,C$2:C1144)</f>
        <v>99</v>
      </c>
    </row>
    <row r="1145" spans="1:8" hidden="1" x14ac:dyDescent="0.15">
      <c r="A1145" s="2200" t="s">
        <v>11502</v>
      </c>
      <c r="B1145" s="2200" t="s">
        <v>13003</v>
      </c>
      <c r="C1145" s="2200" t="s">
        <v>13004</v>
      </c>
      <c r="D1145" s="2200" t="str">
        <f t="shared" si="68"/>
        <v>MA</v>
      </c>
      <c r="E1145" s="2200">
        <f t="shared" si="69"/>
        <v>13</v>
      </c>
      <c r="F1145" s="2200" t="str">
        <f t="shared" si="70"/>
        <v>25</v>
      </c>
      <c r="G1145" s="2200" t="str">
        <f t="shared" si="71"/>
        <v>46050</v>
      </c>
      <c r="H1145" s="2200">
        <f>--SUBTOTAL(3,C$2:C1145)</f>
        <v>99</v>
      </c>
    </row>
    <row r="1146" spans="1:8" hidden="1" x14ac:dyDescent="0.15">
      <c r="A1146" s="2200" t="s">
        <v>11502</v>
      </c>
      <c r="B1146" s="2200" t="s">
        <v>13005</v>
      </c>
      <c r="C1146" s="2200" t="s">
        <v>13006</v>
      </c>
      <c r="D1146" s="2200" t="str">
        <f t="shared" si="68"/>
        <v>MA</v>
      </c>
      <c r="E1146" s="2200">
        <f t="shared" si="69"/>
        <v>17</v>
      </c>
      <c r="F1146" s="2200" t="str">
        <f t="shared" si="70"/>
        <v>25</v>
      </c>
      <c r="G1146" s="2200" t="str">
        <f t="shared" si="71"/>
        <v>46225</v>
      </c>
      <c r="H1146" s="2200">
        <f>--SUBTOTAL(3,C$2:C1146)</f>
        <v>99</v>
      </c>
    </row>
    <row r="1147" spans="1:8" hidden="1" x14ac:dyDescent="0.15">
      <c r="A1147" s="2200" t="s">
        <v>10723</v>
      </c>
      <c r="B1147" s="2200" t="s">
        <v>13007</v>
      </c>
      <c r="C1147" s="2200" t="s">
        <v>13008</v>
      </c>
      <c r="D1147" s="2200" t="str">
        <f t="shared" si="68"/>
        <v>MA</v>
      </c>
      <c r="E1147" s="2200">
        <f t="shared" si="69"/>
        <v>19</v>
      </c>
      <c r="F1147" s="2200" t="str">
        <f t="shared" si="70"/>
        <v>25</v>
      </c>
      <c r="G1147" s="2200" t="str">
        <f t="shared" si="71"/>
        <v>46365</v>
      </c>
      <c r="H1147" s="2200">
        <f>--SUBTOTAL(3,C$2:C1147)</f>
        <v>99</v>
      </c>
    </row>
    <row r="1148" spans="1:8" hidden="1" x14ac:dyDescent="0.15">
      <c r="A1148" s="2200" t="s">
        <v>10723</v>
      </c>
      <c r="B1148" s="2200" t="s">
        <v>13009</v>
      </c>
      <c r="C1148" s="2200" t="s">
        <v>13010</v>
      </c>
      <c r="D1148" s="2200" t="str">
        <f t="shared" si="68"/>
        <v>MA</v>
      </c>
      <c r="E1148" s="2200">
        <f t="shared" si="69"/>
        <v>24</v>
      </c>
      <c r="F1148" s="2200" t="str">
        <f t="shared" si="70"/>
        <v>25</v>
      </c>
      <c r="G1148" s="2200" t="str">
        <f t="shared" si="71"/>
        <v>46575</v>
      </c>
      <c r="H1148" s="2200">
        <f>--SUBTOTAL(3,C$2:C1148)</f>
        <v>99</v>
      </c>
    </row>
    <row r="1149" spans="1:8" hidden="1" x14ac:dyDescent="0.15">
      <c r="A1149" s="2200" t="s">
        <v>11502</v>
      </c>
      <c r="B1149" s="2200" t="s">
        <v>13011</v>
      </c>
      <c r="C1149" s="2200" t="s">
        <v>13012</v>
      </c>
      <c r="D1149" s="2200" t="str">
        <f t="shared" si="68"/>
        <v>MA</v>
      </c>
      <c r="E1149" s="2200">
        <f t="shared" si="69"/>
        <v>22</v>
      </c>
      <c r="F1149" s="2200" t="str">
        <f t="shared" si="70"/>
        <v>25</v>
      </c>
      <c r="G1149" s="2200" t="str">
        <f t="shared" si="71"/>
        <v>47135</v>
      </c>
      <c r="H1149" s="2200">
        <f>--SUBTOTAL(3,C$2:C1149)</f>
        <v>99</v>
      </c>
    </row>
    <row r="1150" spans="1:8" hidden="1" x14ac:dyDescent="0.15">
      <c r="A1150" s="2200" t="s">
        <v>11502</v>
      </c>
      <c r="B1150" s="2200" t="s">
        <v>13013</v>
      </c>
      <c r="C1150" s="2200" t="s">
        <v>13014</v>
      </c>
      <c r="D1150" s="2200" t="str">
        <f t="shared" si="68"/>
        <v>MA</v>
      </c>
      <c r="E1150" s="2200">
        <f t="shared" si="69"/>
        <v>19</v>
      </c>
      <c r="F1150" s="2200" t="str">
        <f t="shared" si="70"/>
        <v>25</v>
      </c>
      <c r="G1150" s="2200" t="str">
        <f t="shared" si="71"/>
        <v>48955</v>
      </c>
      <c r="H1150" s="2200">
        <f>--SUBTOTAL(3,C$2:C1150)</f>
        <v>99</v>
      </c>
    </row>
    <row r="1151" spans="1:8" hidden="1" x14ac:dyDescent="0.15">
      <c r="A1151" s="2200" t="s">
        <v>10723</v>
      </c>
      <c r="B1151" s="2200" t="s">
        <v>13015</v>
      </c>
      <c r="C1151" s="2200" t="s">
        <v>13016</v>
      </c>
      <c r="D1151" s="2200" t="str">
        <f t="shared" si="68"/>
        <v>MA</v>
      </c>
      <c r="E1151" s="2200">
        <f t="shared" si="69"/>
        <v>17</v>
      </c>
      <c r="F1151" s="2200" t="str">
        <f t="shared" si="70"/>
        <v>25</v>
      </c>
      <c r="G1151" s="2200" t="str">
        <f t="shared" si="71"/>
        <v>46330</v>
      </c>
      <c r="H1151" s="2200">
        <f>--SUBTOTAL(3,C$2:C1151)</f>
        <v>99</v>
      </c>
    </row>
    <row r="1152" spans="1:8" hidden="1" x14ac:dyDescent="0.15">
      <c r="A1152" s="2200" t="s">
        <v>11502</v>
      </c>
      <c r="B1152" s="2200" t="s">
        <v>13017</v>
      </c>
      <c r="C1152" s="2200" t="s">
        <v>13018</v>
      </c>
      <c r="D1152" s="2200" t="str">
        <f t="shared" si="68"/>
        <v>MA</v>
      </c>
      <c r="E1152" s="2200">
        <f t="shared" si="69"/>
        <v>18</v>
      </c>
      <c r="F1152" s="2200" t="str">
        <f t="shared" si="70"/>
        <v>25</v>
      </c>
      <c r="G1152" s="2200" t="str">
        <f t="shared" si="71"/>
        <v>46820</v>
      </c>
      <c r="H1152" s="2200">
        <f>--SUBTOTAL(3,C$2:C1152)</f>
        <v>99</v>
      </c>
    </row>
    <row r="1153" spans="1:8" hidden="1" x14ac:dyDescent="0.15">
      <c r="A1153" s="2200" t="s">
        <v>11502</v>
      </c>
      <c r="B1153" s="2200" t="s">
        <v>13019</v>
      </c>
      <c r="C1153" s="2200" t="s">
        <v>13020</v>
      </c>
      <c r="D1153" s="2200" t="str">
        <f t="shared" si="68"/>
        <v>MA</v>
      </c>
      <c r="E1153" s="2200">
        <f t="shared" si="69"/>
        <v>17</v>
      </c>
      <c r="F1153" s="2200" t="str">
        <f t="shared" si="70"/>
        <v>25</v>
      </c>
      <c r="G1153" s="2200" t="str">
        <f t="shared" si="71"/>
        <v>46925</v>
      </c>
      <c r="H1153" s="2200">
        <f>--SUBTOTAL(3,C$2:C1153)</f>
        <v>99</v>
      </c>
    </row>
    <row r="1154" spans="1:8" hidden="1" x14ac:dyDescent="0.15">
      <c r="A1154" s="2200" t="s">
        <v>11502</v>
      </c>
      <c r="B1154" s="2200" t="s">
        <v>13021</v>
      </c>
      <c r="C1154" s="2200" t="s">
        <v>13022</v>
      </c>
      <c r="D1154" s="2200" t="str">
        <f t="shared" ref="D1154:D1217" si="72">MID(C1154,E1154+2,2)</f>
        <v>MA</v>
      </c>
      <c r="E1154" s="2200">
        <f t="shared" ref="E1154:E1217" si="73">FIND(",",C1154)</f>
        <v>16</v>
      </c>
      <c r="F1154" s="2200" t="str">
        <f t="shared" si="70"/>
        <v>25</v>
      </c>
      <c r="G1154" s="2200" t="str">
        <f t="shared" si="71"/>
        <v>47835</v>
      </c>
      <c r="H1154" s="2200">
        <f>--SUBTOTAL(3,C$2:C1154)</f>
        <v>99</v>
      </c>
    </row>
    <row r="1155" spans="1:8" hidden="1" x14ac:dyDescent="0.15">
      <c r="A1155" s="2200" t="s">
        <v>11502</v>
      </c>
      <c r="B1155" s="2200" t="s">
        <v>13023</v>
      </c>
      <c r="C1155" s="2200" t="s">
        <v>13024</v>
      </c>
      <c r="D1155" s="2200" t="str">
        <f t="shared" si="72"/>
        <v>MA</v>
      </c>
      <c r="E1155" s="2200">
        <f t="shared" si="73"/>
        <v>12</v>
      </c>
      <c r="F1155" s="2200" t="str">
        <f t="shared" ref="F1155:F1218" si="74">MID(B1155,3,2)</f>
        <v>25</v>
      </c>
      <c r="G1155" s="2200" t="str">
        <f t="shared" ref="G1155:G1218" si="75">MID(B1155,5,5)</f>
        <v>49970</v>
      </c>
      <c r="H1155" s="2200">
        <f>--SUBTOTAL(3,C$2:C1155)</f>
        <v>99</v>
      </c>
    </row>
    <row r="1156" spans="1:8" hidden="1" x14ac:dyDescent="0.15">
      <c r="A1156" s="2200" t="s">
        <v>11502</v>
      </c>
      <c r="B1156" s="2200" t="s">
        <v>13025</v>
      </c>
      <c r="C1156" s="2200" t="s">
        <v>13026</v>
      </c>
      <c r="D1156" s="2200" t="str">
        <f t="shared" si="72"/>
        <v>MA</v>
      </c>
      <c r="E1156" s="2200">
        <f t="shared" si="73"/>
        <v>13</v>
      </c>
      <c r="F1156" s="2200" t="str">
        <f t="shared" si="74"/>
        <v>25</v>
      </c>
      <c r="G1156" s="2200" t="str">
        <f t="shared" si="75"/>
        <v>50145</v>
      </c>
      <c r="H1156" s="2200">
        <f>--SUBTOTAL(3,C$2:C1156)</f>
        <v>99</v>
      </c>
    </row>
    <row r="1157" spans="1:8" hidden="1" x14ac:dyDescent="0.15">
      <c r="A1157" s="2200" t="s">
        <v>10723</v>
      </c>
      <c r="B1157" s="2200" t="s">
        <v>13027</v>
      </c>
      <c r="C1157" s="2200" t="s">
        <v>13028</v>
      </c>
      <c r="D1157" s="2200" t="str">
        <f t="shared" si="72"/>
        <v>MA</v>
      </c>
      <c r="E1157" s="2200">
        <f t="shared" si="73"/>
        <v>13</v>
      </c>
      <c r="F1157" s="2200" t="str">
        <f t="shared" si="74"/>
        <v>25</v>
      </c>
      <c r="G1157" s="2200" t="str">
        <f t="shared" si="75"/>
        <v>50250</v>
      </c>
      <c r="H1157" s="2200">
        <f>--SUBTOTAL(3,C$2:C1157)</f>
        <v>99</v>
      </c>
    </row>
    <row r="1158" spans="1:8" hidden="1" x14ac:dyDescent="0.15">
      <c r="A1158" s="2200" t="s">
        <v>11502</v>
      </c>
      <c r="B1158" s="2200" t="s">
        <v>13029</v>
      </c>
      <c r="C1158" s="2200" t="s">
        <v>13030</v>
      </c>
      <c r="D1158" s="2200" t="str">
        <f t="shared" si="72"/>
        <v>MA</v>
      </c>
      <c r="E1158" s="2200">
        <f t="shared" si="73"/>
        <v>16</v>
      </c>
      <c r="F1158" s="2200" t="str">
        <f t="shared" si="74"/>
        <v>25</v>
      </c>
      <c r="G1158" s="2200" t="str">
        <f t="shared" si="75"/>
        <v>50390</v>
      </c>
      <c r="H1158" s="2200">
        <f>--SUBTOTAL(3,C$2:C1158)</f>
        <v>99</v>
      </c>
    </row>
    <row r="1159" spans="1:8" hidden="1" x14ac:dyDescent="0.15">
      <c r="A1159" s="2200" t="s">
        <v>11502</v>
      </c>
      <c r="B1159" s="2200" t="s">
        <v>13031</v>
      </c>
      <c r="C1159" s="2200" t="s">
        <v>13032</v>
      </c>
      <c r="D1159" s="2200" t="str">
        <f t="shared" si="72"/>
        <v>MA</v>
      </c>
      <c r="E1159" s="2200">
        <f t="shared" si="73"/>
        <v>12</v>
      </c>
      <c r="F1159" s="2200" t="str">
        <f t="shared" si="74"/>
        <v>25</v>
      </c>
      <c r="G1159" s="2200" t="str">
        <f t="shared" si="75"/>
        <v>50670</v>
      </c>
      <c r="H1159" s="2200">
        <f>--SUBTOTAL(3,C$2:C1159)</f>
        <v>99</v>
      </c>
    </row>
    <row r="1160" spans="1:8" hidden="1" x14ac:dyDescent="0.15">
      <c r="A1160" s="2200" t="s">
        <v>11502</v>
      </c>
      <c r="B1160" s="2200" t="s">
        <v>13033</v>
      </c>
      <c r="C1160" s="2200" t="s">
        <v>13034</v>
      </c>
      <c r="D1160" s="2200" t="str">
        <f t="shared" si="72"/>
        <v>MA</v>
      </c>
      <c r="E1160" s="2200">
        <f t="shared" si="73"/>
        <v>12</v>
      </c>
      <c r="F1160" s="2200" t="str">
        <f t="shared" si="74"/>
        <v>25</v>
      </c>
      <c r="G1160" s="2200" t="str">
        <f t="shared" si="75"/>
        <v>51265</v>
      </c>
      <c r="H1160" s="2200">
        <f>--SUBTOTAL(3,C$2:C1160)</f>
        <v>99</v>
      </c>
    </row>
    <row r="1161" spans="1:8" hidden="1" x14ac:dyDescent="0.15">
      <c r="A1161" s="2200" t="s">
        <v>11502</v>
      </c>
      <c r="B1161" s="2200" t="s">
        <v>13035</v>
      </c>
      <c r="C1161" s="2200" t="s">
        <v>13036</v>
      </c>
      <c r="D1161" s="2200" t="str">
        <f t="shared" si="72"/>
        <v>MA</v>
      </c>
      <c r="E1161" s="2200">
        <f t="shared" si="73"/>
        <v>13</v>
      </c>
      <c r="F1161" s="2200" t="str">
        <f t="shared" si="74"/>
        <v>25</v>
      </c>
      <c r="G1161" s="2200" t="str">
        <f t="shared" si="75"/>
        <v>51440</v>
      </c>
      <c r="H1161" s="2200">
        <f>--SUBTOTAL(3,C$2:C1161)</f>
        <v>99</v>
      </c>
    </row>
    <row r="1162" spans="1:8" hidden="1" x14ac:dyDescent="0.15">
      <c r="A1162" s="2200" t="s">
        <v>11502</v>
      </c>
      <c r="B1162" s="2200" t="s">
        <v>13037</v>
      </c>
      <c r="C1162" s="2200" t="s">
        <v>13038</v>
      </c>
      <c r="D1162" s="2200" t="str">
        <f t="shared" si="72"/>
        <v>MA</v>
      </c>
      <c r="E1162" s="2200">
        <f t="shared" si="73"/>
        <v>10</v>
      </c>
      <c r="F1162" s="2200" t="str">
        <f t="shared" si="74"/>
        <v>25</v>
      </c>
      <c r="G1162" s="2200" t="str">
        <f t="shared" si="75"/>
        <v>51580</v>
      </c>
      <c r="H1162" s="2200">
        <f>--SUBTOTAL(3,C$2:C1162)</f>
        <v>99</v>
      </c>
    </row>
    <row r="1163" spans="1:8" hidden="1" x14ac:dyDescent="0.15">
      <c r="A1163" s="2200" t="s">
        <v>11502</v>
      </c>
      <c r="B1163" s="2200" t="s">
        <v>13039</v>
      </c>
      <c r="C1163" s="2200" t="s">
        <v>13040</v>
      </c>
      <c r="D1163" s="2200" t="str">
        <f t="shared" si="72"/>
        <v>MA</v>
      </c>
      <c r="E1163" s="2200">
        <f t="shared" si="73"/>
        <v>12</v>
      </c>
      <c r="F1163" s="2200" t="str">
        <f t="shared" si="74"/>
        <v>25</v>
      </c>
      <c r="G1163" s="2200" t="str">
        <f t="shared" si="75"/>
        <v>51825</v>
      </c>
      <c r="H1163" s="2200">
        <f>--SUBTOTAL(3,C$2:C1163)</f>
        <v>99</v>
      </c>
    </row>
    <row r="1164" spans="1:8" hidden="1" x14ac:dyDescent="0.15">
      <c r="A1164" s="2200" t="s">
        <v>11502</v>
      </c>
      <c r="B1164" s="2200" t="s">
        <v>13041</v>
      </c>
      <c r="C1164" s="2200" t="s">
        <v>13042</v>
      </c>
      <c r="D1164" s="2200" t="str">
        <f t="shared" si="72"/>
        <v>MA</v>
      </c>
      <c r="E1164" s="2200">
        <f t="shared" si="73"/>
        <v>17</v>
      </c>
      <c r="F1164" s="2200" t="str">
        <f t="shared" si="74"/>
        <v>25</v>
      </c>
      <c r="G1164" s="2200" t="str">
        <f t="shared" si="75"/>
        <v>52144</v>
      </c>
      <c r="H1164" s="2200">
        <f>--SUBTOTAL(3,C$2:C1164)</f>
        <v>99</v>
      </c>
    </row>
    <row r="1165" spans="1:8" hidden="1" x14ac:dyDescent="0.15">
      <c r="A1165" s="2200" t="s">
        <v>11502</v>
      </c>
      <c r="B1165" s="2200" t="s">
        <v>13043</v>
      </c>
      <c r="C1165" s="2200" t="s">
        <v>13044</v>
      </c>
      <c r="D1165" s="2200" t="str">
        <f t="shared" si="72"/>
        <v>MA</v>
      </c>
      <c r="E1165" s="2200">
        <f t="shared" si="73"/>
        <v>12</v>
      </c>
      <c r="F1165" s="2200" t="str">
        <f t="shared" si="74"/>
        <v>25</v>
      </c>
      <c r="G1165" s="2200" t="str">
        <f t="shared" si="75"/>
        <v>52420</v>
      </c>
      <c r="H1165" s="2200">
        <f>--SUBTOTAL(3,C$2:C1165)</f>
        <v>99</v>
      </c>
    </row>
    <row r="1166" spans="1:8" hidden="1" x14ac:dyDescent="0.15">
      <c r="A1166" s="2200" t="s">
        <v>10723</v>
      </c>
      <c r="B1166" s="2200" t="s">
        <v>13045</v>
      </c>
      <c r="C1166" s="2200" t="s">
        <v>13046</v>
      </c>
      <c r="D1166" s="2200" t="str">
        <f t="shared" si="72"/>
        <v>MA</v>
      </c>
      <c r="E1166" s="2200">
        <f t="shared" si="73"/>
        <v>13</v>
      </c>
      <c r="F1166" s="2200" t="str">
        <f t="shared" si="74"/>
        <v>25</v>
      </c>
      <c r="G1166" s="2200" t="str">
        <f t="shared" si="75"/>
        <v>52490</v>
      </c>
      <c r="H1166" s="2200">
        <f>--SUBTOTAL(3,C$2:C1166)</f>
        <v>99</v>
      </c>
    </row>
    <row r="1167" spans="1:8" hidden="1" x14ac:dyDescent="0.15">
      <c r="A1167" s="2200" t="s">
        <v>11502</v>
      </c>
      <c r="B1167" s="2200" t="s">
        <v>13047</v>
      </c>
      <c r="C1167" s="2200" t="s">
        <v>13048</v>
      </c>
      <c r="D1167" s="2200" t="str">
        <f t="shared" si="72"/>
        <v>MA</v>
      </c>
      <c r="E1167" s="2200">
        <f t="shared" si="73"/>
        <v>12</v>
      </c>
      <c r="F1167" s="2200" t="str">
        <f t="shared" si="74"/>
        <v>25</v>
      </c>
      <c r="G1167" s="2200" t="str">
        <f t="shared" si="75"/>
        <v>52560</v>
      </c>
      <c r="H1167" s="2200">
        <f>--SUBTOTAL(3,C$2:C1167)</f>
        <v>99</v>
      </c>
    </row>
    <row r="1168" spans="1:8" hidden="1" x14ac:dyDescent="0.15">
      <c r="A1168" s="2200" t="s">
        <v>11502</v>
      </c>
      <c r="B1168" s="2200" t="s">
        <v>13049</v>
      </c>
      <c r="C1168" s="2200" t="s">
        <v>13050</v>
      </c>
      <c r="D1168" s="2200" t="str">
        <f t="shared" si="72"/>
        <v>MA</v>
      </c>
      <c r="E1168" s="2200">
        <f t="shared" si="73"/>
        <v>14</v>
      </c>
      <c r="F1168" s="2200" t="str">
        <f t="shared" si="74"/>
        <v>25</v>
      </c>
      <c r="G1168" s="2200" t="str">
        <f t="shared" si="75"/>
        <v>52630</v>
      </c>
      <c r="H1168" s="2200">
        <f>--SUBTOTAL(3,C$2:C1168)</f>
        <v>99</v>
      </c>
    </row>
    <row r="1169" spans="1:8" hidden="1" x14ac:dyDescent="0.15">
      <c r="A1169" s="2200" t="s">
        <v>11502</v>
      </c>
      <c r="B1169" s="2200" t="s">
        <v>13051</v>
      </c>
      <c r="C1169" s="2200" t="s">
        <v>13052</v>
      </c>
      <c r="D1169" s="2200" t="str">
        <f t="shared" si="72"/>
        <v>MA</v>
      </c>
      <c r="E1169" s="2200">
        <f t="shared" si="73"/>
        <v>15</v>
      </c>
      <c r="F1169" s="2200" t="str">
        <f t="shared" si="74"/>
        <v>25</v>
      </c>
      <c r="G1169" s="2200" t="str">
        <f t="shared" si="75"/>
        <v>52805</v>
      </c>
      <c r="H1169" s="2200">
        <f>--SUBTOTAL(3,C$2:C1169)</f>
        <v>99</v>
      </c>
    </row>
    <row r="1170" spans="1:8" hidden="1" x14ac:dyDescent="0.15">
      <c r="A1170" s="2200" t="s">
        <v>11502</v>
      </c>
      <c r="B1170" s="2200" t="s">
        <v>13053</v>
      </c>
      <c r="C1170" s="2200" t="s">
        <v>13054</v>
      </c>
      <c r="D1170" s="2200" t="str">
        <f t="shared" si="72"/>
        <v>MA</v>
      </c>
      <c r="E1170" s="2200">
        <f t="shared" si="73"/>
        <v>10</v>
      </c>
      <c r="F1170" s="2200" t="str">
        <f t="shared" si="74"/>
        <v>25</v>
      </c>
      <c r="G1170" s="2200" t="str">
        <f t="shared" si="75"/>
        <v>53050</v>
      </c>
      <c r="H1170" s="2200">
        <f>--SUBTOTAL(3,C$2:C1170)</f>
        <v>99</v>
      </c>
    </row>
    <row r="1171" spans="1:8" hidden="1" x14ac:dyDescent="0.15">
      <c r="A1171" s="2200" t="s">
        <v>11502</v>
      </c>
      <c r="B1171" s="2200" t="s">
        <v>13055</v>
      </c>
      <c r="C1171" s="2200" t="s">
        <v>13056</v>
      </c>
      <c r="D1171" s="2200" t="str">
        <f t="shared" si="72"/>
        <v>MA</v>
      </c>
      <c r="E1171" s="2200">
        <f t="shared" si="73"/>
        <v>15</v>
      </c>
      <c r="F1171" s="2200" t="str">
        <f t="shared" si="74"/>
        <v>25</v>
      </c>
      <c r="G1171" s="2200" t="str">
        <f t="shared" si="75"/>
        <v>53120</v>
      </c>
      <c r="H1171" s="2200">
        <f>--SUBTOTAL(3,C$2:C1171)</f>
        <v>99</v>
      </c>
    </row>
    <row r="1172" spans="1:8" hidden="1" x14ac:dyDescent="0.15">
      <c r="A1172" s="2200" t="s">
        <v>11502</v>
      </c>
      <c r="B1172" s="2200" t="s">
        <v>13057</v>
      </c>
      <c r="C1172" s="2200" t="s">
        <v>13058</v>
      </c>
      <c r="D1172" s="2200" t="str">
        <f t="shared" si="72"/>
        <v>MA</v>
      </c>
      <c r="E1172" s="2200">
        <f t="shared" si="73"/>
        <v>17</v>
      </c>
      <c r="F1172" s="2200" t="str">
        <f t="shared" si="74"/>
        <v>25</v>
      </c>
      <c r="G1172" s="2200" t="str">
        <f t="shared" si="75"/>
        <v>53225</v>
      </c>
      <c r="H1172" s="2200">
        <f>--SUBTOTAL(3,C$2:C1172)</f>
        <v>99</v>
      </c>
    </row>
    <row r="1173" spans="1:8" hidden="1" x14ac:dyDescent="0.15">
      <c r="A1173" s="2200" t="s">
        <v>10723</v>
      </c>
      <c r="B1173" s="2200" t="s">
        <v>13059</v>
      </c>
      <c r="C1173" s="2200" t="s">
        <v>13060</v>
      </c>
      <c r="D1173" s="2200" t="str">
        <f t="shared" si="72"/>
        <v>MA</v>
      </c>
      <c r="E1173" s="2200">
        <f t="shared" si="73"/>
        <v>16</v>
      </c>
      <c r="F1173" s="2200" t="str">
        <f t="shared" si="74"/>
        <v>25</v>
      </c>
      <c r="G1173" s="2200" t="str">
        <f t="shared" si="75"/>
        <v>53960</v>
      </c>
      <c r="H1173" s="2200">
        <f>--SUBTOTAL(3,C$2:C1173)</f>
        <v>99</v>
      </c>
    </row>
    <row r="1174" spans="1:8" hidden="1" x14ac:dyDescent="0.15">
      <c r="A1174" s="2200" t="s">
        <v>11502</v>
      </c>
      <c r="B1174" s="2200" t="s">
        <v>13061</v>
      </c>
      <c r="C1174" s="2200" t="s">
        <v>13062</v>
      </c>
      <c r="D1174" s="2200" t="str">
        <f t="shared" si="72"/>
        <v>MA</v>
      </c>
      <c r="E1174" s="2200">
        <f t="shared" si="73"/>
        <v>16</v>
      </c>
      <c r="F1174" s="2200" t="str">
        <f t="shared" si="74"/>
        <v>25</v>
      </c>
      <c r="G1174" s="2200" t="str">
        <f t="shared" si="75"/>
        <v>54030</v>
      </c>
      <c r="H1174" s="2200">
        <f>--SUBTOTAL(3,C$2:C1174)</f>
        <v>99</v>
      </c>
    </row>
    <row r="1175" spans="1:8" hidden="1" x14ac:dyDescent="0.15">
      <c r="A1175" s="2200" t="s">
        <v>11502</v>
      </c>
      <c r="B1175" s="2200" t="s">
        <v>13063</v>
      </c>
      <c r="C1175" s="2200" t="s">
        <v>13064</v>
      </c>
      <c r="D1175" s="2200" t="str">
        <f t="shared" si="72"/>
        <v>MA</v>
      </c>
      <c r="E1175" s="2200">
        <f t="shared" si="73"/>
        <v>16</v>
      </c>
      <c r="F1175" s="2200" t="str">
        <f t="shared" si="74"/>
        <v>25</v>
      </c>
      <c r="G1175" s="2200" t="str">
        <f t="shared" si="75"/>
        <v>54100</v>
      </c>
      <c r="H1175" s="2200">
        <f>--SUBTOTAL(3,C$2:C1175)</f>
        <v>99</v>
      </c>
    </row>
    <row r="1176" spans="1:8" hidden="1" x14ac:dyDescent="0.15">
      <c r="A1176" s="2200" t="s">
        <v>10723</v>
      </c>
      <c r="B1176" s="2200" t="s">
        <v>13065</v>
      </c>
      <c r="C1176" s="2200" t="s">
        <v>13066</v>
      </c>
      <c r="D1176" s="2200" t="str">
        <f t="shared" si="72"/>
        <v>MA</v>
      </c>
      <c r="E1176" s="2200">
        <f t="shared" si="73"/>
        <v>14</v>
      </c>
      <c r="F1176" s="2200" t="str">
        <f t="shared" si="74"/>
        <v>25</v>
      </c>
      <c r="G1176" s="2200" t="str">
        <f t="shared" si="75"/>
        <v>54310</v>
      </c>
      <c r="H1176" s="2200">
        <f>--SUBTOTAL(3,C$2:C1176)</f>
        <v>99</v>
      </c>
    </row>
    <row r="1177" spans="1:8" hidden="1" x14ac:dyDescent="0.15">
      <c r="A1177" s="2200" t="s">
        <v>11502</v>
      </c>
      <c r="B1177" s="2200" t="s">
        <v>13067</v>
      </c>
      <c r="C1177" s="2200" t="s">
        <v>13068</v>
      </c>
      <c r="D1177" s="2200" t="str">
        <f t="shared" si="72"/>
        <v>MA</v>
      </c>
      <c r="E1177" s="2200">
        <f t="shared" si="73"/>
        <v>14</v>
      </c>
      <c r="F1177" s="2200" t="str">
        <f t="shared" si="74"/>
        <v>25</v>
      </c>
      <c r="G1177" s="2200" t="str">
        <f t="shared" si="75"/>
        <v>54415</v>
      </c>
      <c r="H1177" s="2200">
        <f>--SUBTOTAL(3,C$2:C1177)</f>
        <v>99</v>
      </c>
    </row>
    <row r="1178" spans="1:8" hidden="1" x14ac:dyDescent="0.15">
      <c r="A1178" s="2200" t="s">
        <v>11502</v>
      </c>
      <c r="B1178" s="2200" t="s">
        <v>13069</v>
      </c>
      <c r="C1178" s="2200" t="s">
        <v>13070</v>
      </c>
      <c r="D1178" s="2200" t="str">
        <f t="shared" si="72"/>
        <v>MA</v>
      </c>
      <c r="E1178" s="2200">
        <f t="shared" si="73"/>
        <v>15</v>
      </c>
      <c r="F1178" s="2200" t="str">
        <f t="shared" si="74"/>
        <v>25</v>
      </c>
      <c r="G1178" s="2200" t="str">
        <f t="shared" si="75"/>
        <v>55395</v>
      </c>
      <c r="H1178" s="2200">
        <f>--SUBTOTAL(3,C$2:C1178)</f>
        <v>99</v>
      </c>
    </row>
    <row r="1179" spans="1:8" hidden="1" x14ac:dyDescent="0.15">
      <c r="A1179" s="2200" t="s">
        <v>11502</v>
      </c>
      <c r="B1179" s="2200" t="s">
        <v>13071</v>
      </c>
      <c r="C1179" s="2200" t="s">
        <v>13072</v>
      </c>
      <c r="D1179" s="2200" t="str">
        <f t="shared" si="72"/>
        <v>MA</v>
      </c>
      <c r="E1179" s="2200">
        <f t="shared" si="73"/>
        <v>18</v>
      </c>
      <c r="F1179" s="2200" t="str">
        <f t="shared" si="74"/>
        <v>25</v>
      </c>
      <c r="G1179" s="2200" t="str">
        <f t="shared" si="75"/>
        <v>55500</v>
      </c>
      <c r="H1179" s="2200">
        <f>--SUBTOTAL(3,C$2:C1179)</f>
        <v>99</v>
      </c>
    </row>
    <row r="1180" spans="1:8" hidden="1" x14ac:dyDescent="0.15">
      <c r="A1180" s="2200" t="s">
        <v>10723</v>
      </c>
      <c r="B1180" s="2200" t="s">
        <v>13073</v>
      </c>
      <c r="C1180" s="2200" t="s">
        <v>13074</v>
      </c>
      <c r="D1180" s="2200" t="str">
        <f t="shared" si="72"/>
        <v>MA</v>
      </c>
      <c r="E1180" s="2200">
        <f t="shared" si="73"/>
        <v>12</v>
      </c>
      <c r="F1180" s="2200" t="str">
        <f t="shared" si="74"/>
        <v>25</v>
      </c>
      <c r="G1180" s="2200" t="str">
        <f t="shared" si="75"/>
        <v>55745</v>
      </c>
      <c r="H1180" s="2200">
        <f>--SUBTOTAL(3,C$2:C1180)</f>
        <v>99</v>
      </c>
    </row>
    <row r="1181" spans="1:8" hidden="1" x14ac:dyDescent="0.15">
      <c r="A1181" s="2200" t="s">
        <v>10723</v>
      </c>
      <c r="B1181" s="2200" t="s">
        <v>13075</v>
      </c>
      <c r="C1181" s="2200" t="s">
        <v>13076</v>
      </c>
      <c r="D1181" s="2200" t="str">
        <f t="shared" si="72"/>
        <v>MA</v>
      </c>
      <c r="E1181" s="2200">
        <f t="shared" si="73"/>
        <v>14</v>
      </c>
      <c r="F1181" s="2200" t="str">
        <f t="shared" si="74"/>
        <v>25</v>
      </c>
      <c r="G1181" s="2200" t="str">
        <f t="shared" si="75"/>
        <v>55955</v>
      </c>
      <c r="H1181" s="2200">
        <f>--SUBTOTAL(3,C$2:C1181)</f>
        <v>99</v>
      </c>
    </row>
    <row r="1182" spans="1:8" hidden="1" x14ac:dyDescent="0.15">
      <c r="A1182" s="2200" t="s">
        <v>11502</v>
      </c>
      <c r="B1182" s="2200" t="s">
        <v>13077</v>
      </c>
      <c r="C1182" s="2200" t="s">
        <v>13078</v>
      </c>
      <c r="D1182" s="2200" t="str">
        <f t="shared" si="72"/>
        <v>MA</v>
      </c>
      <c r="E1182" s="2200">
        <f t="shared" si="73"/>
        <v>13</v>
      </c>
      <c r="F1182" s="2200" t="str">
        <f t="shared" si="74"/>
        <v>25</v>
      </c>
      <c r="G1182" s="2200" t="str">
        <f t="shared" si="75"/>
        <v>56060</v>
      </c>
      <c r="H1182" s="2200">
        <f>--SUBTOTAL(3,C$2:C1182)</f>
        <v>99</v>
      </c>
    </row>
    <row r="1183" spans="1:8" hidden="1" x14ac:dyDescent="0.15">
      <c r="A1183" s="2200" t="s">
        <v>11502</v>
      </c>
      <c r="B1183" s="2200" t="s">
        <v>13079</v>
      </c>
      <c r="C1183" s="2200" t="s">
        <v>13080</v>
      </c>
      <c r="D1183" s="2200" t="str">
        <f t="shared" si="72"/>
        <v>MA</v>
      </c>
      <c r="E1183" s="2200">
        <f t="shared" si="73"/>
        <v>13</v>
      </c>
      <c r="F1183" s="2200" t="str">
        <f t="shared" si="74"/>
        <v>25</v>
      </c>
      <c r="G1183" s="2200" t="str">
        <f t="shared" si="75"/>
        <v>56130</v>
      </c>
      <c r="H1183" s="2200">
        <f>--SUBTOTAL(3,C$2:C1183)</f>
        <v>99</v>
      </c>
    </row>
    <row r="1184" spans="1:8" hidden="1" x14ac:dyDescent="0.15">
      <c r="A1184" s="2200" t="s">
        <v>11502</v>
      </c>
      <c r="B1184" s="2200" t="s">
        <v>13081</v>
      </c>
      <c r="C1184" s="2200" t="s">
        <v>13082</v>
      </c>
      <c r="D1184" s="2200" t="str">
        <f t="shared" si="72"/>
        <v>MA</v>
      </c>
      <c r="E1184" s="2200">
        <f t="shared" si="73"/>
        <v>14</v>
      </c>
      <c r="F1184" s="2200" t="str">
        <f t="shared" si="74"/>
        <v>25</v>
      </c>
      <c r="G1184" s="2200" t="str">
        <f t="shared" si="75"/>
        <v>56375</v>
      </c>
      <c r="H1184" s="2200">
        <f>--SUBTOTAL(3,C$2:C1184)</f>
        <v>99</v>
      </c>
    </row>
    <row r="1185" spans="1:8" hidden="1" x14ac:dyDescent="0.15">
      <c r="A1185" s="2200" t="s">
        <v>10723</v>
      </c>
      <c r="B1185" s="2200" t="s">
        <v>13083</v>
      </c>
      <c r="C1185" s="2200" t="s">
        <v>13084</v>
      </c>
      <c r="D1185" s="2200" t="str">
        <f t="shared" si="72"/>
        <v>MA</v>
      </c>
      <c r="E1185" s="2200">
        <f t="shared" si="73"/>
        <v>12</v>
      </c>
      <c r="F1185" s="2200" t="str">
        <f t="shared" si="74"/>
        <v>25</v>
      </c>
      <c r="G1185" s="2200" t="str">
        <f t="shared" si="75"/>
        <v>56585</v>
      </c>
      <c r="H1185" s="2200">
        <f>--SUBTOTAL(3,C$2:C1185)</f>
        <v>99</v>
      </c>
    </row>
    <row r="1186" spans="1:8" hidden="1" x14ac:dyDescent="0.15">
      <c r="A1186" s="2200" t="s">
        <v>11502</v>
      </c>
      <c r="B1186" s="2200" t="s">
        <v>13085</v>
      </c>
      <c r="C1186" s="2200" t="s">
        <v>13086</v>
      </c>
      <c r="D1186" s="2200" t="str">
        <f t="shared" si="72"/>
        <v>MA</v>
      </c>
      <c r="E1186" s="2200">
        <f t="shared" si="73"/>
        <v>14</v>
      </c>
      <c r="F1186" s="2200" t="str">
        <f t="shared" si="74"/>
        <v>25</v>
      </c>
      <c r="G1186" s="2200" t="str">
        <f t="shared" si="75"/>
        <v>56795</v>
      </c>
      <c r="H1186" s="2200">
        <f>--SUBTOTAL(3,C$2:C1186)</f>
        <v>99</v>
      </c>
    </row>
    <row r="1187" spans="1:8" hidden="1" x14ac:dyDescent="0.15">
      <c r="A1187" s="2200" t="s">
        <v>11502</v>
      </c>
      <c r="B1187" s="2200" t="s">
        <v>13087</v>
      </c>
      <c r="C1187" s="2200" t="s">
        <v>13088</v>
      </c>
      <c r="D1187" s="2200" t="str">
        <f t="shared" si="72"/>
        <v>MA</v>
      </c>
      <c r="E1187" s="2200">
        <f t="shared" si="73"/>
        <v>15</v>
      </c>
      <c r="F1187" s="2200" t="str">
        <f t="shared" si="74"/>
        <v>25</v>
      </c>
      <c r="G1187" s="2200" t="str">
        <f t="shared" si="75"/>
        <v>57600</v>
      </c>
      <c r="H1187" s="2200">
        <f>--SUBTOTAL(3,C$2:C1187)</f>
        <v>99</v>
      </c>
    </row>
    <row r="1188" spans="1:8" hidden="1" x14ac:dyDescent="0.15">
      <c r="A1188" s="2200" t="s">
        <v>11502</v>
      </c>
      <c r="B1188" s="2200" t="s">
        <v>13089</v>
      </c>
      <c r="C1188" s="2200" t="s">
        <v>13090</v>
      </c>
      <c r="D1188" s="2200" t="str">
        <f t="shared" si="72"/>
        <v>MA</v>
      </c>
      <c r="E1188" s="2200">
        <f t="shared" si="73"/>
        <v>14</v>
      </c>
      <c r="F1188" s="2200" t="str">
        <f t="shared" si="74"/>
        <v>25</v>
      </c>
      <c r="G1188" s="2200" t="str">
        <f t="shared" si="75"/>
        <v>57775</v>
      </c>
      <c r="H1188" s="2200">
        <f>--SUBTOTAL(3,C$2:C1188)</f>
        <v>99</v>
      </c>
    </row>
    <row r="1189" spans="1:8" hidden="1" x14ac:dyDescent="0.15">
      <c r="A1189" s="2200" t="s">
        <v>11502</v>
      </c>
      <c r="B1189" s="2200" t="s">
        <v>13091</v>
      </c>
      <c r="C1189" s="2200" t="s">
        <v>13092</v>
      </c>
      <c r="D1189" s="2200" t="str">
        <f t="shared" si="72"/>
        <v>MA</v>
      </c>
      <c r="E1189" s="2200">
        <f t="shared" si="73"/>
        <v>14</v>
      </c>
      <c r="F1189" s="2200" t="str">
        <f t="shared" si="74"/>
        <v>25</v>
      </c>
      <c r="G1189" s="2200" t="str">
        <f t="shared" si="75"/>
        <v>57880</v>
      </c>
      <c r="H1189" s="2200">
        <f>--SUBTOTAL(3,C$2:C1189)</f>
        <v>99</v>
      </c>
    </row>
    <row r="1190" spans="1:8" hidden="1" x14ac:dyDescent="0.15">
      <c r="A1190" s="2200" t="s">
        <v>11502</v>
      </c>
      <c r="B1190" s="2200" t="s">
        <v>13093</v>
      </c>
      <c r="C1190" s="2200" t="s">
        <v>13094</v>
      </c>
      <c r="D1190" s="2200" t="str">
        <f t="shared" si="72"/>
        <v>MA</v>
      </c>
      <c r="E1190" s="2200">
        <f t="shared" si="73"/>
        <v>10</v>
      </c>
      <c r="F1190" s="2200" t="str">
        <f t="shared" si="74"/>
        <v>25</v>
      </c>
      <c r="G1190" s="2200" t="str">
        <f t="shared" si="75"/>
        <v>58335</v>
      </c>
      <c r="H1190" s="2200">
        <f>--SUBTOTAL(3,C$2:C1190)</f>
        <v>99</v>
      </c>
    </row>
    <row r="1191" spans="1:8" hidden="1" x14ac:dyDescent="0.15">
      <c r="A1191" s="2200" t="s">
        <v>11502</v>
      </c>
      <c r="B1191" s="2200" t="s">
        <v>13095</v>
      </c>
      <c r="C1191" s="2200" t="s">
        <v>13096</v>
      </c>
      <c r="D1191" s="2200" t="str">
        <f t="shared" si="72"/>
        <v>MA</v>
      </c>
      <c r="E1191" s="2200">
        <f t="shared" si="73"/>
        <v>12</v>
      </c>
      <c r="F1191" s="2200" t="str">
        <f t="shared" si="74"/>
        <v>25</v>
      </c>
      <c r="G1191" s="2200" t="str">
        <f t="shared" si="75"/>
        <v>58405</v>
      </c>
      <c r="H1191" s="2200">
        <f>--SUBTOTAL(3,C$2:C1191)</f>
        <v>99</v>
      </c>
    </row>
    <row r="1192" spans="1:8" hidden="1" x14ac:dyDescent="0.15">
      <c r="A1192" s="2200" t="s">
        <v>11502</v>
      </c>
      <c r="B1192" s="2200" t="s">
        <v>13097</v>
      </c>
      <c r="C1192" s="2200" t="s">
        <v>13098</v>
      </c>
      <c r="D1192" s="2200" t="str">
        <f t="shared" si="72"/>
        <v>MA</v>
      </c>
      <c r="E1192" s="2200">
        <f t="shared" si="73"/>
        <v>15</v>
      </c>
      <c r="F1192" s="2200" t="str">
        <f t="shared" si="74"/>
        <v>25</v>
      </c>
      <c r="G1192" s="2200" t="str">
        <f t="shared" si="75"/>
        <v>58580</v>
      </c>
      <c r="H1192" s="2200">
        <f>--SUBTOTAL(3,C$2:C1192)</f>
        <v>99</v>
      </c>
    </row>
    <row r="1193" spans="1:8" hidden="1" x14ac:dyDescent="0.15">
      <c r="A1193" s="2200" t="s">
        <v>11502</v>
      </c>
      <c r="B1193" s="2200" t="s">
        <v>13099</v>
      </c>
      <c r="C1193" s="2200" t="s">
        <v>13100</v>
      </c>
      <c r="D1193" s="2200" t="str">
        <f t="shared" si="72"/>
        <v>MA</v>
      </c>
      <c r="E1193" s="2200">
        <f t="shared" si="73"/>
        <v>13</v>
      </c>
      <c r="F1193" s="2200" t="str">
        <f t="shared" si="74"/>
        <v>25</v>
      </c>
      <c r="G1193" s="2200" t="str">
        <f t="shared" si="75"/>
        <v>58650</v>
      </c>
      <c r="H1193" s="2200">
        <f>--SUBTOTAL(3,C$2:C1193)</f>
        <v>99</v>
      </c>
    </row>
    <row r="1194" spans="1:8" hidden="1" x14ac:dyDescent="0.15">
      <c r="A1194" s="2200" t="s">
        <v>11502</v>
      </c>
      <c r="B1194" s="2200" t="s">
        <v>13101</v>
      </c>
      <c r="C1194" s="2200" t="s">
        <v>13102</v>
      </c>
      <c r="D1194" s="2200" t="str">
        <f t="shared" si="72"/>
        <v>MA</v>
      </c>
      <c r="E1194" s="2200">
        <f t="shared" si="73"/>
        <v>13</v>
      </c>
      <c r="F1194" s="2200" t="str">
        <f t="shared" si="74"/>
        <v>25</v>
      </c>
      <c r="G1194" s="2200" t="str">
        <f t="shared" si="75"/>
        <v>58825</v>
      </c>
      <c r="H1194" s="2200">
        <f>--SUBTOTAL(3,C$2:C1194)</f>
        <v>99</v>
      </c>
    </row>
    <row r="1195" spans="1:8" hidden="1" x14ac:dyDescent="0.15">
      <c r="A1195" s="2200" t="s">
        <v>10723</v>
      </c>
      <c r="B1195" s="2200" t="s">
        <v>13103</v>
      </c>
      <c r="C1195" s="2200" t="s">
        <v>13104</v>
      </c>
      <c r="D1195" s="2200" t="str">
        <f t="shared" si="72"/>
        <v>MA</v>
      </c>
      <c r="E1195" s="2200">
        <f t="shared" si="73"/>
        <v>11</v>
      </c>
      <c r="F1195" s="2200" t="str">
        <f t="shared" si="74"/>
        <v>25</v>
      </c>
      <c r="G1195" s="2200" t="str">
        <f t="shared" si="75"/>
        <v>59105</v>
      </c>
      <c r="H1195" s="2200">
        <f>--SUBTOTAL(3,C$2:C1195)</f>
        <v>99</v>
      </c>
    </row>
    <row r="1196" spans="1:8" hidden="1" x14ac:dyDescent="0.15">
      <c r="A1196" s="2200" t="s">
        <v>11502</v>
      </c>
      <c r="B1196" s="2200" t="s">
        <v>13105</v>
      </c>
      <c r="C1196" s="2200" t="s">
        <v>13106</v>
      </c>
      <c r="D1196" s="2200" t="str">
        <f t="shared" si="72"/>
        <v>MA</v>
      </c>
      <c r="E1196" s="2200">
        <f t="shared" si="73"/>
        <v>15</v>
      </c>
      <c r="F1196" s="2200" t="str">
        <f t="shared" si="74"/>
        <v>25</v>
      </c>
      <c r="G1196" s="2200" t="str">
        <f t="shared" si="75"/>
        <v>59245</v>
      </c>
      <c r="H1196" s="2200">
        <f>--SUBTOTAL(3,C$2:C1196)</f>
        <v>99</v>
      </c>
    </row>
    <row r="1197" spans="1:8" hidden="1" x14ac:dyDescent="0.15">
      <c r="A1197" s="2200" t="s">
        <v>11502</v>
      </c>
      <c r="B1197" s="2200" t="s">
        <v>13107</v>
      </c>
      <c r="C1197" s="2200" t="s">
        <v>13108</v>
      </c>
      <c r="D1197" s="2200" t="str">
        <f t="shared" si="72"/>
        <v>MA</v>
      </c>
      <c r="E1197" s="2200">
        <f t="shared" si="73"/>
        <v>17</v>
      </c>
      <c r="F1197" s="2200" t="str">
        <f t="shared" si="74"/>
        <v>25</v>
      </c>
      <c r="G1197" s="2200" t="str">
        <f t="shared" si="75"/>
        <v>59665</v>
      </c>
      <c r="H1197" s="2200">
        <f>--SUBTOTAL(3,C$2:C1197)</f>
        <v>99</v>
      </c>
    </row>
    <row r="1198" spans="1:8" hidden="1" x14ac:dyDescent="0.15">
      <c r="A1198" s="2200" t="s">
        <v>11502</v>
      </c>
      <c r="B1198" s="2200" t="s">
        <v>13109</v>
      </c>
      <c r="C1198" s="2200" t="s">
        <v>13110</v>
      </c>
      <c r="D1198" s="2200" t="str">
        <f t="shared" si="72"/>
        <v>MA</v>
      </c>
      <c r="E1198" s="2200">
        <f t="shared" si="73"/>
        <v>14</v>
      </c>
      <c r="F1198" s="2200" t="str">
        <f t="shared" si="74"/>
        <v>25</v>
      </c>
      <c r="G1198" s="2200" t="str">
        <f t="shared" si="75"/>
        <v>59735</v>
      </c>
      <c r="H1198" s="2200">
        <f>--SUBTOTAL(3,C$2:C1198)</f>
        <v>99</v>
      </c>
    </row>
    <row r="1199" spans="1:8" hidden="1" x14ac:dyDescent="0.15">
      <c r="A1199" s="2200" t="s">
        <v>10723</v>
      </c>
      <c r="B1199" s="2200" t="s">
        <v>13111</v>
      </c>
      <c r="C1199" s="2200" t="s">
        <v>13112</v>
      </c>
      <c r="D1199" s="2200" t="str">
        <f t="shared" si="72"/>
        <v>MA</v>
      </c>
      <c r="E1199" s="2200">
        <f t="shared" si="73"/>
        <v>12</v>
      </c>
      <c r="F1199" s="2200" t="str">
        <f t="shared" si="74"/>
        <v>25</v>
      </c>
      <c r="G1199" s="2200" t="str">
        <f t="shared" si="75"/>
        <v>60015</v>
      </c>
      <c r="H1199" s="2200">
        <f>--SUBTOTAL(3,C$2:C1199)</f>
        <v>99</v>
      </c>
    </row>
    <row r="1200" spans="1:8" hidden="1" x14ac:dyDescent="0.15">
      <c r="A1200" s="2200" t="s">
        <v>11502</v>
      </c>
      <c r="B1200" s="2200" t="s">
        <v>13113</v>
      </c>
      <c r="C1200" s="2200" t="s">
        <v>13114</v>
      </c>
      <c r="D1200" s="2200" t="str">
        <f t="shared" si="72"/>
        <v>MA</v>
      </c>
      <c r="E1200" s="2200">
        <f t="shared" si="73"/>
        <v>11</v>
      </c>
      <c r="F1200" s="2200" t="str">
        <f t="shared" si="74"/>
        <v>25</v>
      </c>
      <c r="G1200" s="2200" t="str">
        <f t="shared" si="75"/>
        <v>60225</v>
      </c>
      <c r="H1200" s="2200">
        <f>--SUBTOTAL(3,C$2:C1200)</f>
        <v>99</v>
      </c>
    </row>
    <row r="1201" spans="1:8" hidden="1" x14ac:dyDescent="0.15">
      <c r="A1201" s="2200" t="s">
        <v>11502</v>
      </c>
      <c r="B1201" s="2200" t="s">
        <v>13115</v>
      </c>
      <c r="C1201" s="2200" t="s">
        <v>13116</v>
      </c>
      <c r="D1201" s="2200" t="str">
        <f t="shared" si="72"/>
        <v>MA</v>
      </c>
      <c r="E1201" s="2200">
        <f t="shared" si="73"/>
        <v>14</v>
      </c>
      <c r="F1201" s="2200" t="str">
        <f t="shared" si="74"/>
        <v>25</v>
      </c>
      <c r="G1201" s="2200" t="str">
        <f t="shared" si="75"/>
        <v>60330</v>
      </c>
      <c r="H1201" s="2200">
        <f>--SUBTOTAL(3,C$2:C1201)</f>
        <v>99</v>
      </c>
    </row>
    <row r="1202" spans="1:8" hidden="1" x14ac:dyDescent="0.15">
      <c r="A1202" s="2200" t="s">
        <v>11502</v>
      </c>
      <c r="B1202" s="2200" t="s">
        <v>13117</v>
      </c>
      <c r="C1202" s="2200" t="s">
        <v>13118</v>
      </c>
      <c r="D1202" s="2200" t="str">
        <f t="shared" si="72"/>
        <v>MA</v>
      </c>
      <c r="E1202" s="2200">
        <f t="shared" si="73"/>
        <v>13</v>
      </c>
      <c r="F1202" s="2200" t="str">
        <f t="shared" si="74"/>
        <v>25</v>
      </c>
      <c r="G1202" s="2200" t="str">
        <f t="shared" si="75"/>
        <v>60645</v>
      </c>
      <c r="H1202" s="2200">
        <f>--SUBTOTAL(3,C$2:C1202)</f>
        <v>99</v>
      </c>
    </row>
    <row r="1203" spans="1:8" hidden="1" x14ac:dyDescent="0.15">
      <c r="A1203" s="2200" t="s">
        <v>11502</v>
      </c>
      <c r="B1203" s="2200" t="s">
        <v>13119</v>
      </c>
      <c r="C1203" s="2200" t="s">
        <v>13120</v>
      </c>
      <c r="D1203" s="2200" t="str">
        <f t="shared" si="72"/>
        <v>MA</v>
      </c>
      <c r="E1203" s="2200">
        <f t="shared" si="73"/>
        <v>12</v>
      </c>
      <c r="F1203" s="2200" t="str">
        <f t="shared" si="74"/>
        <v>25</v>
      </c>
      <c r="G1203" s="2200" t="str">
        <f t="shared" si="75"/>
        <v>60785</v>
      </c>
      <c r="H1203" s="2200">
        <f>--SUBTOTAL(3,C$2:C1203)</f>
        <v>99</v>
      </c>
    </row>
    <row r="1204" spans="1:8" hidden="1" x14ac:dyDescent="0.15">
      <c r="A1204" s="2200" t="s">
        <v>11502</v>
      </c>
      <c r="B1204" s="2200" t="s">
        <v>13121</v>
      </c>
      <c r="C1204" s="2200" t="s">
        <v>13122</v>
      </c>
      <c r="D1204" s="2200" t="str">
        <f t="shared" si="72"/>
        <v>MA</v>
      </c>
      <c r="E1204" s="2200">
        <f t="shared" si="73"/>
        <v>15</v>
      </c>
      <c r="F1204" s="2200" t="str">
        <f t="shared" si="74"/>
        <v>25</v>
      </c>
      <c r="G1204" s="2200" t="str">
        <f t="shared" si="75"/>
        <v>61065</v>
      </c>
      <c r="H1204" s="2200">
        <f>--SUBTOTAL(3,C$2:C1204)</f>
        <v>99</v>
      </c>
    </row>
    <row r="1205" spans="1:8" hidden="1" x14ac:dyDescent="0.15">
      <c r="A1205" s="2200" t="s">
        <v>11502</v>
      </c>
      <c r="B1205" s="2200" t="s">
        <v>13123</v>
      </c>
      <c r="C1205" s="2200" t="s">
        <v>13124</v>
      </c>
      <c r="D1205" s="2200" t="str">
        <f t="shared" si="72"/>
        <v>MA</v>
      </c>
      <c r="E1205" s="2200">
        <f t="shared" si="73"/>
        <v>15</v>
      </c>
      <c r="F1205" s="2200" t="str">
        <f t="shared" si="74"/>
        <v>25</v>
      </c>
      <c r="G1205" s="2200" t="str">
        <f t="shared" si="75"/>
        <v>61135</v>
      </c>
      <c r="H1205" s="2200">
        <f>--SUBTOTAL(3,C$2:C1205)</f>
        <v>99</v>
      </c>
    </row>
    <row r="1206" spans="1:8" hidden="1" x14ac:dyDescent="0.15">
      <c r="A1206" s="2200" t="s">
        <v>11502</v>
      </c>
      <c r="B1206" s="2200" t="s">
        <v>13125</v>
      </c>
      <c r="C1206" s="2200" t="s">
        <v>13126</v>
      </c>
      <c r="D1206" s="2200" t="str">
        <f t="shared" si="72"/>
        <v>MA</v>
      </c>
      <c r="E1206" s="2200">
        <f t="shared" si="73"/>
        <v>14</v>
      </c>
      <c r="F1206" s="2200" t="str">
        <f t="shared" si="74"/>
        <v>25</v>
      </c>
      <c r="G1206" s="2200" t="str">
        <f t="shared" si="75"/>
        <v>61380</v>
      </c>
      <c r="H1206" s="2200">
        <f>--SUBTOTAL(3,C$2:C1206)</f>
        <v>99</v>
      </c>
    </row>
    <row r="1207" spans="1:8" hidden="1" x14ac:dyDescent="0.15">
      <c r="A1207" s="2200" t="s">
        <v>11502</v>
      </c>
      <c r="B1207" s="2200" t="s">
        <v>13127</v>
      </c>
      <c r="C1207" s="2200" t="s">
        <v>13128</v>
      </c>
      <c r="D1207" s="2200" t="str">
        <f t="shared" si="72"/>
        <v>MA</v>
      </c>
      <c r="E1207" s="2200">
        <f t="shared" si="73"/>
        <v>13</v>
      </c>
      <c r="F1207" s="2200" t="str">
        <f t="shared" si="74"/>
        <v>25</v>
      </c>
      <c r="G1207" s="2200" t="str">
        <f t="shared" si="75"/>
        <v>61590</v>
      </c>
      <c r="H1207" s="2200">
        <f>--SUBTOTAL(3,C$2:C1207)</f>
        <v>99</v>
      </c>
    </row>
    <row r="1208" spans="1:8" hidden="1" x14ac:dyDescent="0.15">
      <c r="A1208" s="2200" t="s">
        <v>10723</v>
      </c>
      <c r="B1208" s="2200" t="s">
        <v>13129</v>
      </c>
      <c r="C1208" s="2200" t="s">
        <v>13130</v>
      </c>
      <c r="D1208" s="2200" t="str">
        <f t="shared" si="72"/>
        <v>MA</v>
      </c>
      <c r="E1208" s="2200">
        <f t="shared" si="73"/>
        <v>16</v>
      </c>
      <c r="F1208" s="2200" t="str">
        <f t="shared" si="74"/>
        <v>25</v>
      </c>
      <c r="G1208" s="2200" t="str">
        <f t="shared" si="75"/>
        <v>61800</v>
      </c>
      <c r="H1208" s="2200">
        <f>--SUBTOTAL(3,C$2:C1208)</f>
        <v>99</v>
      </c>
    </row>
    <row r="1209" spans="1:8" hidden="1" x14ac:dyDescent="0.15">
      <c r="A1209" s="2200" t="s">
        <v>11502</v>
      </c>
      <c r="B1209" s="2200" t="s">
        <v>13131</v>
      </c>
      <c r="C1209" s="2200" t="s">
        <v>13132</v>
      </c>
      <c r="D1209" s="2200" t="str">
        <f t="shared" si="72"/>
        <v>MA</v>
      </c>
      <c r="E1209" s="2200">
        <f t="shared" si="73"/>
        <v>16</v>
      </c>
      <c r="F1209" s="2200" t="str">
        <f t="shared" si="74"/>
        <v>25</v>
      </c>
      <c r="G1209" s="2200" t="str">
        <f t="shared" si="75"/>
        <v>61905</v>
      </c>
      <c r="H1209" s="2200">
        <f>--SUBTOTAL(3,C$2:C1209)</f>
        <v>99</v>
      </c>
    </row>
    <row r="1210" spans="1:8" hidden="1" x14ac:dyDescent="0.15">
      <c r="A1210" s="2200" t="s">
        <v>11502</v>
      </c>
      <c r="B1210" s="2200" t="s">
        <v>13133</v>
      </c>
      <c r="C1210" s="2200" t="s">
        <v>13134</v>
      </c>
      <c r="D1210" s="2200" t="str">
        <f t="shared" si="72"/>
        <v>MA</v>
      </c>
      <c r="E1210" s="2200">
        <f t="shared" si="73"/>
        <v>14</v>
      </c>
      <c r="F1210" s="2200" t="str">
        <f t="shared" si="74"/>
        <v>25</v>
      </c>
      <c r="G1210" s="2200" t="str">
        <f t="shared" si="75"/>
        <v>62430</v>
      </c>
      <c r="H1210" s="2200">
        <f>--SUBTOTAL(3,C$2:C1210)</f>
        <v>99</v>
      </c>
    </row>
    <row r="1211" spans="1:8" hidden="1" x14ac:dyDescent="0.15">
      <c r="A1211" s="2200" t="s">
        <v>10723</v>
      </c>
      <c r="B1211" s="2200" t="s">
        <v>13135</v>
      </c>
      <c r="C1211" s="2200" t="s">
        <v>13136</v>
      </c>
      <c r="D1211" s="2200" t="str">
        <f t="shared" si="72"/>
        <v>MA</v>
      </c>
      <c r="E1211" s="2200">
        <f t="shared" si="73"/>
        <v>16</v>
      </c>
      <c r="F1211" s="2200" t="str">
        <f t="shared" si="74"/>
        <v>25</v>
      </c>
      <c r="G1211" s="2200" t="str">
        <f t="shared" si="75"/>
        <v>62535</v>
      </c>
      <c r="H1211" s="2200">
        <f>--SUBTOTAL(3,C$2:C1211)</f>
        <v>99</v>
      </c>
    </row>
    <row r="1212" spans="1:8" hidden="1" x14ac:dyDescent="0.15">
      <c r="A1212" s="2200" t="s">
        <v>11502</v>
      </c>
      <c r="B1212" s="2200" t="s">
        <v>13137</v>
      </c>
      <c r="C1212" s="2200" t="s">
        <v>13138</v>
      </c>
      <c r="D1212" s="2200" t="str">
        <f t="shared" si="72"/>
        <v>MA</v>
      </c>
      <c r="E1212" s="2200">
        <f t="shared" si="73"/>
        <v>18</v>
      </c>
      <c r="F1212" s="2200" t="str">
        <f t="shared" si="74"/>
        <v>25</v>
      </c>
      <c r="G1212" s="2200" t="str">
        <f t="shared" si="75"/>
        <v>64145</v>
      </c>
      <c r="H1212" s="2200">
        <f>--SUBTOTAL(3,C$2:C1212)</f>
        <v>99</v>
      </c>
    </row>
    <row r="1213" spans="1:8" hidden="1" x14ac:dyDescent="0.15">
      <c r="A1213" s="2200" t="s">
        <v>11502</v>
      </c>
      <c r="B1213" s="2200" t="s">
        <v>13139</v>
      </c>
      <c r="C1213" s="2200" t="s">
        <v>13140</v>
      </c>
      <c r="D1213" s="2200" t="str">
        <f t="shared" si="72"/>
        <v>MA</v>
      </c>
      <c r="E1213" s="2200">
        <f t="shared" si="73"/>
        <v>17</v>
      </c>
      <c r="F1213" s="2200" t="str">
        <f t="shared" si="74"/>
        <v>25</v>
      </c>
      <c r="G1213" s="2200" t="str">
        <f t="shared" si="75"/>
        <v>62745</v>
      </c>
      <c r="H1213" s="2200">
        <f>--SUBTOTAL(3,C$2:C1213)</f>
        <v>99</v>
      </c>
    </row>
    <row r="1214" spans="1:8" hidden="1" x14ac:dyDescent="0.15">
      <c r="A1214" s="2200" t="s">
        <v>11502</v>
      </c>
      <c r="B1214" s="2200" t="s">
        <v>13141</v>
      </c>
      <c r="C1214" s="2200" t="s">
        <v>13142</v>
      </c>
      <c r="D1214" s="2200" t="str">
        <f t="shared" si="72"/>
        <v>MA</v>
      </c>
      <c r="E1214" s="2200">
        <f t="shared" si="73"/>
        <v>18</v>
      </c>
      <c r="F1214" s="2200" t="str">
        <f t="shared" si="74"/>
        <v>25</v>
      </c>
      <c r="G1214" s="2200" t="str">
        <f t="shared" si="75"/>
        <v>63165</v>
      </c>
      <c r="H1214" s="2200">
        <f>--SUBTOTAL(3,C$2:C1214)</f>
        <v>99</v>
      </c>
    </row>
    <row r="1215" spans="1:8" hidden="1" x14ac:dyDescent="0.15">
      <c r="A1215" s="2200" t="s">
        <v>11502</v>
      </c>
      <c r="B1215" s="2200" t="s">
        <v>13143</v>
      </c>
      <c r="C1215" s="2200" t="s">
        <v>13144</v>
      </c>
      <c r="D1215" s="2200" t="str">
        <f t="shared" si="72"/>
        <v>MA</v>
      </c>
      <c r="E1215" s="2200">
        <f t="shared" si="73"/>
        <v>22</v>
      </c>
      <c r="F1215" s="2200" t="str">
        <f t="shared" si="74"/>
        <v>25</v>
      </c>
      <c r="G1215" s="2200" t="str">
        <f t="shared" si="75"/>
        <v>63345</v>
      </c>
      <c r="H1215" s="2200">
        <f>--SUBTOTAL(3,C$2:C1215)</f>
        <v>99</v>
      </c>
    </row>
    <row r="1216" spans="1:8" hidden="1" x14ac:dyDescent="0.15">
      <c r="A1216" s="2200" t="s">
        <v>11502</v>
      </c>
      <c r="B1216" s="2200" t="s">
        <v>13145</v>
      </c>
      <c r="C1216" s="2200" t="s">
        <v>13146</v>
      </c>
      <c r="D1216" s="2200" t="str">
        <f t="shared" si="72"/>
        <v>MA</v>
      </c>
      <c r="E1216" s="2200">
        <f t="shared" si="73"/>
        <v>15</v>
      </c>
      <c r="F1216" s="2200" t="str">
        <f t="shared" si="74"/>
        <v>25</v>
      </c>
      <c r="G1216" s="2200" t="str">
        <f t="shared" si="75"/>
        <v>65825</v>
      </c>
      <c r="H1216" s="2200">
        <f>--SUBTOTAL(3,C$2:C1216)</f>
        <v>99</v>
      </c>
    </row>
    <row r="1217" spans="1:8" hidden="1" x14ac:dyDescent="0.15">
      <c r="A1217" s="2200" t="s">
        <v>11502</v>
      </c>
      <c r="B1217" s="2200" t="s">
        <v>13147</v>
      </c>
      <c r="C1217" s="2200" t="s">
        <v>13148</v>
      </c>
      <c r="D1217" s="2200" t="str">
        <f t="shared" si="72"/>
        <v>MA</v>
      </c>
      <c r="E1217" s="2200">
        <f t="shared" si="73"/>
        <v>13</v>
      </c>
      <c r="F1217" s="2200" t="str">
        <f t="shared" si="74"/>
        <v>25</v>
      </c>
      <c r="G1217" s="2200" t="str">
        <f t="shared" si="75"/>
        <v>66105</v>
      </c>
      <c r="H1217" s="2200">
        <f>--SUBTOTAL(3,C$2:C1217)</f>
        <v>99</v>
      </c>
    </row>
    <row r="1218" spans="1:8" hidden="1" x14ac:dyDescent="0.15">
      <c r="A1218" s="2200" t="s">
        <v>10723</v>
      </c>
      <c r="B1218" s="2200" t="s">
        <v>13149</v>
      </c>
      <c r="C1218" s="2200" t="s">
        <v>13150</v>
      </c>
      <c r="D1218" s="2200" t="str">
        <f t="shared" ref="D1218:D1281" si="76">MID(C1218,E1218+2,2)</f>
        <v>MA</v>
      </c>
      <c r="E1218" s="2200">
        <f t="shared" ref="E1218:E1281" si="77">FIND(",",C1218)</f>
        <v>17</v>
      </c>
      <c r="F1218" s="2200" t="str">
        <f t="shared" si="74"/>
        <v>25</v>
      </c>
      <c r="G1218" s="2200" t="str">
        <f t="shared" si="75"/>
        <v>67000</v>
      </c>
      <c r="H1218" s="2200">
        <f>--SUBTOTAL(3,C$2:C1218)</f>
        <v>99</v>
      </c>
    </row>
    <row r="1219" spans="1:8" hidden="1" x14ac:dyDescent="0.15">
      <c r="A1219" s="2200" t="s">
        <v>11502</v>
      </c>
      <c r="B1219" s="2200" t="s">
        <v>13151</v>
      </c>
      <c r="C1219" s="2200" t="s">
        <v>13152</v>
      </c>
      <c r="D1219" s="2200" t="str">
        <f t="shared" si="76"/>
        <v>MA</v>
      </c>
      <c r="E1219" s="2200">
        <f t="shared" si="77"/>
        <v>14</v>
      </c>
      <c r="F1219" s="2200" t="str">
        <f t="shared" ref="F1219:F1282" si="78">MID(B1219,3,2)</f>
        <v>25</v>
      </c>
      <c r="G1219" s="2200" t="str">
        <f t="shared" ref="G1219:G1282" si="79">MID(B1219,5,5)</f>
        <v>67385</v>
      </c>
      <c r="H1219" s="2200">
        <f>--SUBTOTAL(3,C$2:C1219)</f>
        <v>99</v>
      </c>
    </row>
    <row r="1220" spans="1:8" hidden="1" x14ac:dyDescent="0.15">
      <c r="A1220" s="2200" t="s">
        <v>11502</v>
      </c>
      <c r="B1220" s="2200" t="s">
        <v>13153</v>
      </c>
      <c r="C1220" s="2200" t="s">
        <v>13154</v>
      </c>
      <c r="D1220" s="2200" t="str">
        <f t="shared" si="76"/>
        <v>MA</v>
      </c>
      <c r="E1220" s="2200">
        <f t="shared" si="77"/>
        <v>17</v>
      </c>
      <c r="F1220" s="2200" t="str">
        <f t="shared" si="78"/>
        <v>25</v>
      </c>
      <c r="G1220" s="2200" t="str">
        <f t="shared" si="79"/>
        <v>67595</v>
      </c>
      <c r="H1220" s="2200">
        <f>--SUBTOTAL(3,C$2:C1220)</f>
        <v>99</v>
      </c>
    </row>
    <row r="1221" spans="1:8" hidden="1" x14ac:dyDescent="0.15">
      <c r="A1221" s="2200" t="s">
        <v>11502</v>
      </c>
      <c r="B1221" s="2200" t="s">
        <v>13155</v>
      </c>
      <c r="C1221" s="2200" t="s">
        <v>13156</v>
      </c>
      <c r="D1221" s="2200" t="str">
        <f t="shared" si="76"/>
        <v>MA</v>
      </c>
      <c r="E1221" s="2200">
        <f t="shared" si="77"/>
        <v>14</v>
      </c>
      <c r="F1221" s="2200" t="str">
        <f t="shared" si="78"/>
        <v>25</v>
      </c>
      <c r="G1221" s="2200" t="str">
        <f t="shared" si="79"/>
        <v>67665</v>
      </c>
      <c r="H1221" s="2200">
        <f>--SUBTOTAL(3,C$2:C1221)</f>
        <v>99</v>
      </c>
    </row>
    <row r="1222" spans="1:8" hidden="1" x14ac:dyDescent="0.15">
      <c r="A1222" s="2200" t="s">
        <v>10723</v>
      </c>
      <c r="B1222" s="2200" t="s">
        <v>13157</v>
      </c>
      <c r="C1222" s="2200" t="s">
        <v>13158</v>
      </c>
      <c r="D1222" s="2200" t="str">
        <f t="shared" si="76"/>
        <v>MA</v>
      </c>
      <c r="E1222" s="2200">
        <f t="shared" si="77"/>
        <v>15</v>
      </c>
      <c r="F1222" s="2200" t="str">
        <f t="shared" si="78"/>
        <v>25</v>
      </c>
      <c r="G1222" s="2200" t="str">
        <f t="shared" si="79"/>
        <v>67945</v>
      </c>
      <c r="H1222" s="2200">
        <f>--SUBTOTAL(3,C$2:C1222)</f>
        <v>99</v>
      </c>
    </row>
    <row r="1223" spans="1:8" hidden="1" x14ac:dyDescent="0.15">
      <c r="A1223" s="2200" t="s">
        <v>11502</v>
      </c>
      <c r="B1223" s="2200" t="s">
        <v>13159</v>
      </c>
      <c r="C1223" s="2200" t="s">
        <v>13160</v>
      </c>
      <c r="D1223" s="2200" t="str">
        <f t="shared" si="76"/>
        <v>MA</v>
      </c>
      <c r="E1223" s="2200">
        <f t="shared" si="77"/>
        <v>10</v>
      </c>
      <c r="F1223" s="2200" t="str">
        <f t="shared" si="78"/>
        <v>25</v>
      </c>
      <c r="G1223" s="2200" t="str">
        <f t="shared" si="79"/>
        <v>68050</v>
      </c>
      <c r="H1223" s="2200">
        <f>--SUBTOTAL(3,C$2:C1223)</f>
        <v>99</v>
      </c>
    </row>
    <row r="1224" spans="1:8" hidden="1" x14ac:dyDescent="0.15">
      <c r="A1224" s="2200" t="s">
        <v>11502</v>
      </c>
      <c r="B1224" s="2200" t="s">
        <v>13161</v>
      </c>
      <c r="C1224" s="2200" t="s">
        <v>13162</v>
      </c>
      <c r="D1224" s="2200" t="str">
        <f t="shared" si="76"/>
        <v>MA</v>
      </c>
      <c r="E1224" s="2200">
        <f t="shared" si="77"/>
        <v>16</v>
      </c>
      <c r="F1224" s="2200" t="str">
        <f t="shared" si="78"/>
        <v>25</v>
      </c>
      <c r="G1224" s="2200" t="str">
        <f t="shared" si="79"/>
        <v>68155</v>
      </c>
      <c r="H1224" s="2200">
        <f>--SUBTOTAL(3,C$2:C1224)</f>
        <v>99</v>
      </c>
    </row>
    <row r="1225" spans="1:8" hidden="1" x14ac:dyDescent="0.15">
      <c r="A1225" s="2200" t="s">
        <v>11502</v>
      </c>
      <c r="B1225" s="2200" t="s">
        <v>13163</v>
      </c>
      <c r="C1225" s="2200" t="s">
        <v>13164</v>
      </c>
      <c r="D1225" s="2200" t="str">
        <f t="shared" si="76"/>
        <v>MA</v>
      </c>
      <c r="E1225" s="2200">
        <f t="shared" si="77"/>
        <v>13</v>
      </c>
      <c r="F1225" s="2200" t="str">
        <f t="shared" si="78"/>
        <v>25</v>
      </c>
      <c r="G1225" s="2200" t="str">
        <f t="shared" si="79"/>
        <v>68260</v>
      </c>
      <c r="H1225" s="2200">
        <f>--SUBTOTAL(3,C$2:C1225)</f>
        <v>99</v>
      </c>
    </row>
    <row r="1226" spans="1:8" hidden="1" x14ac:dyDescent="0.15">
      <c r="A1226" s="2200" t="s">
        <v>11502</v>
      </c>
      <c r="B1226" s="2200" t="s">
        <v>13165</v>
      </c>
      <c r="C1226" s="2200" t="s">
        <v>13166</v>
      </c>
      <c r="D1226" s="2200" t="str">
        <f t="shared" si="76"/>
        <v>MA</v>
      </c>
      <c r="E1226" s="2200">
        <f t="shared" si="77"/>
        <v>16</v>
      </c>
      <c r="F1226" s="2200" t="str">
        <f t="shared" si="78"/>
        <v>25</v>
      </c>
      <c r="G1226" s="2200" t="str">
        <f t="shared" si="79"/>
        <v>68400</v>
      </c>
      <c r="H1226" s="2200">
        <f>--SUBTOTAL(3,C$2:C1226)</f>
        <v>99</v>
      </c>
    </row>
    <row r="1227" spans="1:8" hidden="1" x14ac:dyDescent="0.15">
      <c r="A1227" s="2200" t="s">
        <v>11502</v>
      </c>
      <c r="B1227" s="2200" t="s">
        <v>13167</v>
      </c>
      <c r="C1227" s="2200" t="s">
        <v>13168</v>
      </c>
      <c r="D1227" s="2200" t="str">
        <f t="shared" si="76"/>
        <v>MA</v>
      </c>
      <c r="E1227" s="2200">
        <f t="shared" si="77"/>
        <v>12</v>
      </c>
      <c r="F1227" s="2200" t="str">
        <f t="shared" si="78"/>
        <v>25</v>
      </c>
      <c r="G1227" s="2200" t="str">
        <f t="shared" si="79"/>
        <v>68610</v>
      </c>
      <c r="H1227" s="2200">
        <f>--SUBTOTAL(3,C$2:C1227)</f>
        <v>99</v>
      </c>
    </row>
    <row r="1228" spans="1:8" hidden="1" x14ac:dyDescent="0.15">
      <c r="A1228" s="2200" t="s">
        <v>11502</v>
      </c>
      <c r="B1228" s="2200" t="s">
        <v>13169</v>
      </c>
      <c r="C1228" s="2200" t="s">
        <v>13170</v>
      </c>
      <c r="D1228" s="2200" t="str">
        <f t="shared" si="76"/>
        <v>MA</v>
      </c>
      <c r="E1228" s="2200">
        <f t="shared" si="77"/>
        <v>16</v>
      </c>
      <c r="F1228" s="2200" t="str">
        <f t="shared" si="78"/>
        <v>25</v>
      </c>
      <c r="G1228" s="2200" t="str">
        <f t="shared" si="79"/>
        <v>68645</v>
      </c>
      <c r="H1228" s="2200">
        <f>--SUBTOTAL(3,C$2:C1228)</f>
        <v>99</v>
      </c>
    </row>
    <row r="1229" spans="1:8" hidden="1" x14ac:dyDescent="0.15">
      <c r="A1229" s="2200" t="s">
        <v>11502</v>
      </c>
      <c r="B1229" s="2200" t="s">
        <v>13171</v>
      </c>
      <c r="C1229" s="2200" t="s">
        <v>13172</v>
      </c>
      <c r="D1229" s="2200" t="str">
        <f t="shared" si="76"/>
        <v>MA</v>
      </c>
      <c r="E1229" s="2200">
        <f t="shared" si="77"/>
        <v>13</v>
      </c>
      <c r="F1229" s="2200" t="str">
        <f t="shared" si="78"/>
        <v>25</v>
      </c>
      <c r="G1229" s="2200" t="str">
        <f t="shared" si="79"/>
        <v>68750</v>
      </c>
      <c r="H1229" s="2200">
        <f>--SUBTOTAL(3,C$2:C1229)</f>
        <v>99</v>
      </c>
    </row>
    <row r="1230" spans="1:8" hidden="1" x14ac:dyDescent="0.15">
      <c r="A1230" s="2200" t="s">
        <v>10723</v>
      </c>
      <c r="B1230" s="2200" t="s">
        <v>13173</v>
      </c>
      <c r="C1230" s="2200" t="s">
        <v>13174</v>
      </c>
      <c r="D1230" s="2200" t="str">
        <f t="shared" si="76"/>
        <v>MA</v>
      </c>
      <c r="E1230" s="2200">
        <f t="shared" si="77"/>
        <v>13</v>
      </c>
      <c r="F1230" s="2200" t="str">
        <f t="shared" si="78"/>
        <v>25</v>
      </c>
      <c r="G1230" s="2200" t="str">
        <f t="shared" si="79"/>
        <v>69170</v>
      </c>
      <c r="H1230" s="2200">
        <f>--SUBTOTAL(3,C$2:C1230)</f>
        <v>99</v>
      </c>
    </row>
    <row r="1231" spans="1:8" hidden="1" x14ac:dyDescent="0.15">
      <c r="A1231" s="2200" t="s">
        <v>11502</v>
      </c>
      <c r="B1231" s="2200" t="s">
        <v>13175</v>
      </c>
      <c r="C1231" s="2200" t="s">
        <v>13176</v>
      </c>
      <c r="D1231" s="2200" t="str">
        <f t="shared" si="76"/>
        <v>MA</v>
      </c>
      <c r="E1231" s="2200">
        <f t="shared" si="77"/>
        <v>15</v>
      </c>
      <c r="F1231" s="2200" t="str">
        <f t="shared" si="78"/>
        <v>25</v>
      </c>
      <c r="G1231" s="2200" t="str">
        <f t="shared" si="79"/>
        <v>69275</v>
      </c>
      <c r="H1231" s="2200">
        <f>--SUBTOTAL(3,C$2:C1231)</f>
        <v>99</v>
      </c>
    </row>
    <row r="1232" spans="1:8" hidden="1" x14ac:dyDescent="0.15">
      <c r="A1232" s="2200" t="s">
        <v>10723</v>
      </c>
      <c r="B1232" s="2200" t="s">
        <v>13177</v>
      </c>
      <c r="C1232" s="2200" t="s">
        <v>13178</v>
      </c>
      <c r="D1232" s="2200" t="str">
        <f t="shared" si="76"/>
        <v>MA</v>
      </c>
      <c r="E1232" s="2200">
        <f t="shared" si="77"/>
        <v>15</v>
      </c>
      <c r="F1232" s="2200" t="str">
        <f t="shared" si="78"/>
        <v>25</v>
      </c>
      <c r="G1232" s="2200" t="str">
        <f t="shared" si="79"/>
        <v>69415</v>
      </c>
      <c r="H1232" s="2200">
        <f>--SUBTOTAL(3,C$2:C1232)</f>
        <v>99</v>
      </c>
    </row>
    <row r="1233" spans="1:8" hidden="1" x14ac:dyDescent="0.15">
      <c r="A1233" s="2200" t="s">
        <v>11502</v>
      </c>
      <c r="B1233" s="2200" t="s">
        <v>13179</v>
      </c>
      <c r="C1233" s="2200" t="s">
        <v>13180</v>
      </c>
      <c r="D1233" s="2200" t="str">
        <f t="shared" si="76"/>
        <v>MA</v>
      </c>
      <c r="E1233" s="2200">
        <f t="shared" si="77"/>
        <v>13</v>
      </c>
      <c r="F1233" s="2200" t="str">
        <f t="shared" si="78"/>
        <v>25</v>
      </c>
      <c r="G1233" s="2200" t="str">
        <f t="shared" si="79"/>
        <v>69940</v>
      </c>
      <c r="H1233" s="2200">
        <f>--SUBTOTAL(3,C$2:C1233)</f>
        <v>99</v>
      </c>
    </row>
    <row r="1234" spans="1:8" hidden="1" x14ac:dyDescent="0.15">
      <c r="A1234" s="2200" t="s">
        <v>11502</v>
      </c>
      <c r="B1234" s="2200" t="s">
        <v>13181</v>
      </c>
      <c r="C1234" s="2200" t="s">
        <v>13182</v>
      </c>
      <c r="D1234" s="2200" t="str">
        <f t="shared" si="76"/>
        <v>MA</v>
      </c>
      <c r="E1234" s="2200">
        <f t="shared" si="77"/>
        <v>13</v>
      </c>
      <c r="F1234" s="2200" t="str">
        <f t="shared" si="78"/>
        <v>25</v>
      </c>
      <c r="G1234" s="2200" t="str">
        <f t="shared" si="79"/>
        <v>70045</v>
      </c>
      <c r="H1234" s="2200">
        <f>--SUBTOTAL(3,C$2:C1234)</f>
        <v>99</v>
      </c>
    </row>
    <row r="1235" spans="1:8" hidden="1" x14ac:dyDescent="0.15">
      <c r="A1235" s="2200" t="s">
        <v>11502</v>
      </c>
      <c r="B1235" s="2200" t="s">
        <v>13183</v>
      </c>
      <c r="C1235" s="2200" t="s">
        <v>13184</v>
      </c>
      <c r="D1235" s="2200" t="str">
        <f t="shared" si="76"/>
        <v>MA</v>
      </c>
      <c r="E1235" s="2200">
        <f t="shared" si="77"/>
        <v>15</v>
      </c>
      <c r="F1235" s="2200" t="str">
        <f t="shared" si="78"/>
        <v>25</v>
      </c>
      <c r="G1235" s="2200" t="str">
        <f t="shared" si="79"/>
        <v>70150</v>
      </c>
      <c r="H1235" s="2200">
        <f>--SUBTOTAL(3,C$2:C1235)</f>
        <v>99</v>
      </c>
    </row>
    <row r="1236" spans="1:8" hidden="1" x14ac:dyDescent="0.15">
      <c r="A1236" s="2200" t="s">
        <v>11502</v>
      </c>
      <c r="B1236" s="2200" t="s">
        <v>13185</v>
      </c>
      <c r="C1236" s="2200" t="s">
        <v>13186</v>
      </c>
      <c r="D1236" s="2200" t="str">
        <f t="shared" si="76"/>
        <v>MA</v>
      </c>
      <c r="E1236" s="2200">
        <f t="shared" si="77"/>
        <v>14</v>
      </c>
      <c r="F1236" s="2200" t="str">
        <f t="shared" si="78"/>
        <v>25</v>
      </c>
      <c r="G1236" s="2200" t="str">
        <f t="shared" si="79"/>
        <v>70360</v>
      </c>
      <c r="H1236" s="2200">
        <f>--SUBTOTAL(3,C$2:C1236)</f>
        <v>99</v>
      </c>
    </row>
    <row r="1237" spans="1:8" hidden="1" x14ac:dyDescent="0.15">
      <c r="A1237" s="2200" t="s">
        <v>11502</v>
      </c>
      <c r="B1237" s="2200" t="s">
        <v>13187</v>
      </c>
      <c r="C1237" s="2200" t="s">
        <v>13188</v>
      </c>
      <c r="D1237" s="2200" t="str">
        <f t="shared" si="76"/>
        <v>MA</v>
      </c>
      <c r="E1237" s="2200">
        <f t="shared" si="77"/>
        <v>11</v>
      </c>
      <c r="F1237" s="2200" t="str">
        <f t="shared" si="78"/>
        <v>25</v>
      </c>
      <c r="G1237" s="2200" t="str">
        <f t="shared" si="79"/>
        <v>70605</v>
      </c>
      <c r="H1237" s="2200">
        <f>--SUBTOTAL(3,C$2:C1237)</f>
        <v>99</v>
      </c>
    </row>
    <row r="1238" spans="1:8" hidden="1" x14ac:dyDescent="0.15">
      <c r="A1238" s="2200" t="s">
        <v>11502</v>
      </c>
      <c r="B1238" s="2200" t="s">
        <v>13189</v>
      </c>
      <c r="C1238" s="2200" t="s">
        <v>13190</v>
      </c>
      <c r="D1238" s="2200" t="str">
        <f t="shared" si="76"/>
        <v>MA</v>
      </c>
      <c r="E1238" s="2200">
        <f t="shared" si="77"/>
        <v>18</v>
      </c>
      <c r="F1238" s="2200" t="str">
        <f t="shared" si="78"/>
        <v>25</v>
      </c>
      <c r="G1238" s="2200" t="str">
        <f t="shared" si="79"/>
        <v>71025</v>
      </c>
      <c r="H1238" s="2200">
        <f>--SUBTOTAL(3,C$2:C1238)</f>
        <v>99</v>
      </c>
    </row>
    <row r="1239" spans="1:8" hidden="1" x14ac:dyDescent="0.15">
      <c r="A1239" s="2200" t="s">
        <v>11502</v>
      </c>
      <c r="B1239" s="2200" t="s">
        <v>13191</v>
      </c>
      <c r="C1239" s="2200" t="s">
        <v>13192</v>
      </c>
      <c r="D1239" s="2200" t="str">
        <f t="shared" si="76"/>
        <v>MA</v>
      </c>
      <c r="E1239" s="2200">
        <f t="shared" si="77"/>
        <v>15</v>
      </c>
      <c r="F1239" s="2200" t="str">
        <f t="shared" si="78"/>
        <v>25</v>
      </c>
      <c r="G1239" s="2200" t="str">
        <f t="shared" si="79"/>
        <v>71095</v>
      </c>
      <c r="H1239" s="2200">
        <f>--SUBTOTAL(3,C$2:C1239)</f>
        <v>99</v>
      </c>
    </row>
    <row r="1240" spans="1:8" hidden="1" x14ac:dyDescent="0.15">
      <c r="A1240" s="2200" t="s">
        <v>11502</v>
      </c>
      <c r="B1240" s="2200" t="s">
        <v>13193</v>
      </c>
      <c r="C1240" s="2200" t="s">
        <v>13194</v>
      </c>
      <c r="D1240" s="2200" t="str">
        <f t="shared" si="76"/>
        <v>MA</v>
      </c>
      <c r="E1240" s="2200">
        <f t="shared" si="77"/>
        <v>11</v>
      </c>
      <c r="F1240" s="2200" t="str">
        <f t="shared" si="78"/>
        <v>25</v>
      </c>
      <c r="G1240" s="2200" t="str">
        <f t="shared" si="79"/>
        <v>71480</v>
      </c>
      <c r="H1240" s="2200">
        <f>--SUBTOTAL(3,C$2:C1240)</f>
        <v>99</v>
      </c>
    </row>
    <row r="1241" spans="1:8" hidden="1" x14ac:dyDescent="0.15">
      <c r="A1241" s="2200" t="s">
        <v>11502</v>
      </c>
      <c r="B1241" s="2200" t="s">
        <v>13195</v>
      </c>
      <c r="C1241" s="2200" t="s">
        <v>13196</v>
      </c>
      <c r="D1241" s="2200" t="str">
        <f t="shared" si="76"/>
        <v>MA</v>
      </c>
      <c r="E1241" s="2200">
        <f t="shared" si="77"/>
        <v>14</v>
      </c>
      <c r="F1241" s="2200" t="str">
        <f t="shared" si="78"/>
        <v>25</v>
      </c>
      <c r="G1241" s="2200" t="str">
        <f t="shared" si="79"/>
        <v>71620</v>
      </c>
      <c r="H1241" s="2200">
        <f>--SUBTOTAL(3,C$2:C1241)</f>
        <v>99</v>
      </c>
    </row>
    <row r="1242" spans="1:8" hidden="1" x14ac:dyDescent="0.15">
      <c r="A1242" s="2200" t="s">
        <v>11502</v>
      </c>
      <c r="B1242" s="2200" t="s">
        <v>13197</v>
      </c>
      <c r="C1242" s="2200" t="s">
        <v>13198</v>
      </c>
      <c r="D1242" s="2200" t="str">
        <f t="shared" si="76"/>
        <v>MA</v>
      </c>
      <c r="E1242" s="2200">
        <f t="shared" si="77"/>
        <v>15</v>
      </c>
      <c r="F1242" s="2200" t="str">
        <f t="shared" si="78"/>
        <v>25</v>
      </c>
      <c r="G1242" s="2200" t="str">
        <f t="shared" si="79"/>
        <v>72215</v>
      </c>
      <c r="H1242" s="2200">
        <f>--SUBTOTAL(3,C$2:C1242)</f>
        <v>99</v>
      </c>
    </row>
    <row r="1243" spans="1:8" hidden="1" x14ac:dyDescent="0.15">
      <c r="A1243" s="2200" t="s">
        <v>11502</v>
      </c>
      <c r="B1243" s="2200" t="s">
        <v>13199</v>
      </c>
      <c r="C1243" s="2200" t="s">
        <v>13200</v>
      </c>
      <c r="D1243" s="2200" t="str">
        <f t="shared" si="76"/>
        <v>MA</v>
      </c>
      <c r="E1243" s="2200">
        <f t="shared" si="77"/>
        <v>11</v>
      </c>
      <c r="F1243" s="2200" t="str">
        <f t="shared" si="78"/>
        <v>25</v>
      </c>
      <c r="G1243" s="2200" t="str">
        <f t="shared" si="79"/>
        <v>72390</v>
      </c>
      <c r="H1243" s="2200">
        <f>--SUBTOTAL(3,C$2:C1243)</f>
        <v>99</v>
      </c>
    </row>
    <row r="1244" spans="1:8" hidden="1" x14ac:dyDescent="0.15">
      <c r="A1244" s="2200" t="s">
        <v>11502</v>
      </c>
      <c r="B1244" s="2200" t="s">
        <v>13201</v>
      </c>
      <c r="C1244" s="2200" t="s">
        <v>13202</v>
      </c>
      <c r="D1244" s="2200" t="str">
        <f t="shared" si="76"/>
        <v>MA</v>
      </c>
      <c r="E1244" s="2200">
        <f t="shared" si="77"/>
        <v>13</v>
      </c>
      <c r="F1244" s="2200" t="str">
        <f t="shared" si="78"/>
        <v>25</v>
      </c>
      <c r="G1244" s="2200" t="str">
        <f t="shared" si="79"/>
        <v>72495</v>
      </c>
      <c r="H1244" s="2200">
        <f>--SUBTOTAL(3,C$2:C1244)</f>
        <v>99</v>
      </c>
    </row>
    <row r="1245" spans="1:8" hidden="1" x14ac:dyDescent="0.15">
      <c r="A1245" s="2200" t="s">
        <v>10723</v>
      </c>
      <c r="B1245" s="2200" t="s">
        <v>13203</v>
      </c>
      <c r="C1245" s="2200" t="s">
        <v>13204</v>
      </c>
      <c r="D1245" s="2200" t="str">
        <f t="shared" si="76"/>
        <v>MA</v>
      </c>
      <c r="E1245" s="2200">
        <f t="shared" si="77"/>
        <v>13</v>
      </c>
      <c r="F1245" s="2200" t="str">
        <f t="shared" si="78"/>
        <v>25</v>
      </c>
      <c r="G1245" s="2200" t="str">
        <f t="shared" si="79"/>
        <v>72600</v>
      </c>
      <c r="H1245" s="2200">
        <f>--SUBTOTAL(3,C$2:C1245)</f>
        <v>99</v>
      </c>
    </row>
    <row r="1246" spans="1:8" hidden="1" x14ac:dyDescent="0.15">
      <c r="A1246" s="2200" t="s">
        <v>11502</v>
      </c>
      <c r="B1246" s="2200" t="s">
        <v>13205</v>
      </c>
      <c r="C1246" s="2200" t="s">
        <v>13206</v>
      </c>
      <c r="D1246" s="2200" t="str">
        <f t="shared" si="76"/>
        <v>MA</v>
      </c>
      <c r="E1246" s="2200">
        <f t="shared" si="77"/>
        <v>10</v>
      </c>
      <c r="F1246" s="2200" t="str">
        <f t="shared" si="78"/>
        <v>25</v>
      </c>
      <c r="G1246" s="2200" t="str">
        <f t="shared" si="79"/>
        <v>72880</v>
      </c>
      <c r="H1246" s="2200">
        <f>--SUBTOTAL(3,C$2:C1246)</f>
        <v>99</v>
      </c>
    </row>
    <row r="1247" spans="1:8" hidden="1" x14ac:dyDescent="0.15">
      <c r="A1247" s="2200" t="s">
        <v>11502</v>
      </c>
      <c r="B1247" s="2200" t="s">
        <v>13207</v>
      </c>
      <c r="C1247" s="2200" t="s">
        <v>13208</v>
      </c>
      <c r="D1247" s="2200" t="str">
        <f t="shared" si="76"/>
        <v>MA</v>
      </c>
      <c r="E1247" s="2200">
        <f t="shared" si="77"/>
        <v>13</v>
      </c>
      <c r="F1247" s="2200" t="str">
        <f t="shared" si="78"/>
        <v>25</v>
      </c>
      <c r="G1247" s="2200" t="str">
        <f t="shared" si="79"/>
        <v>72985</v>
      </c>
      <c r="H1247" s="2200">
        <f>--SUBTOTAL(3,C$2:C1247)</f>
        <v>99</v>
      </c>
    </row>
    <row r="1248" spans="1:8" hidden="1" x14ac:dyDescent="0.15">
      <c r="A1248" s="2200" t="s">
        <v>11502</v>
      </c>
      <c r="B1248" s="2200" t="s">
        <v>13209</v>
      </c>
      <c r="C1248" s="2200" t="s">
        <v>13210</v>
      </c>
      <c r="D1248" s="2200" t="str">
        <f t="shared" si="76"/>
        <v>MA</v>
      </c>
      <c r="E1248" s="2200">
        <f t="shared" si="77"/>
        <v>12</v>
      </c>
      <c r="F1248" s="2200" t="str">
        <f t="shared" si="78"/>
        <v>25</v>
      </c>
      <c r="G1248" s="2200" t="str">
        <f t="shared" si="79"/>
        <v>73090</v>
      </c>
      <c r="H1248" s="2200">
        <f>--SUBTOTAL(3,C$2:C1248)</f>
        <v>99</v>
      </c>
    </row>
    <row r="1249" spans="1:8" hidden="1" x14ac:dyDescent="0.15">
      <c r="A1249" s="2200" t="s">
        <v>11502</v>
      </c>
      <c r="B1249" s="2200" t="s">
        <v>13211</v>
      </c>
      <c r="C1249" s="2200" t="s">
        <v>13212</v>
      </c>
      <c r="D1249" s="2200" t="str">
        <f t="shared" si="76"/>
        <v>MA</v>
      </c>
      <c r="E1249" s="2200">
        <f t="shared" si="77"/>
        <v>13</v>
      </c>
      <c r="F1249" s="2200" t="str">
        <f t="shared" si="78"/>
        <v>25</v>
      </c>
      <c r="G1249" s="2200" t="str">
        <f t="shared" si="79"/>
        <v>73265</v>
      </c>
      <c r="H1249" s="2200">
        <f>--SUBTOTAL(3,C$2:C1249)</f>
        <v>99</v>
      </c>
    </row>
    <row r="1250" spans="1:8" hidden="1" x14ac:dyDescent="0.15">
      <c r="A1250" s="2200" t="s">
        <v>11502</v>
      </c>
      <c r="B1250" s="2200" t="s">
        <v>13213</v>
      </c>
      <c r="C1250" s="2200" t="s">
        <v>13214</v>
      </c>
      <c r="D1250" s="2200" t="str">
        <f t="shared" si="76"/>
        <v>MA</v>
      </c>
      <c r="E1250" s="2200">
        <f t="shared" si="77"/>
        <v>16</v>
      </c>
      <c r="F1250" s="2200" t="str">
        <f t="shared" si="78"/>
        <v>25</v>
      </c>
      <c r="G1250" s="2200" t="str">
        <f t="shared" si="79"/>
        <v>73335</v>
      </c>
      <c r="H1250" s="2200">
        <f>--SUBTOTAL(3,C$2:C1250)</f>
        <v>99</v>
      </c>
    </row>
    <row r="1251" spans="1:8" hidden="1" x14ac:dyDescent="0.15">
      <c r="A1251" s="2200" t="s">
        <v>10723</v>
      </c>
      <c r="B1251" s="2200" t="s">
        <v>13215</v>
      </c>
      <c r="C1251" s="2200" t="s">
        <v>13216</v>
      </c>
      <c r="D1251" s="2200" t="str">
        <f t="shared" si="76"/>
        <v>MA</v>
      </c>
      <c r="E1251" s="2200">
        <f t="shared" si="77"/>
        <v>20</v>
      </c>
      <c r="F1251" s="2200" t="str">
        <f t="shared" si="78"/>
        <v>25</v>
      </c>
      <c r="G1251" s="2200" t="str">
        <f t="shared" si="79"/>
        <v>73440</v>
      </c>
      <c r="H1251" s="2200">
        <f>--SUBTOTAL(3,C$2:C1251)</f>
        <v>99</v>
      </c>
    </row>
    <row r="1252" spans="1:8" hidden="1" x14ac:dyDescent="0.15">
      <c r="A1252" s="2200" t="s">
        <v>11502</v>
      </c>
      <c r="B1252" s="2200" t="s">
        <v>13217</v>
      </c>
      <c r="C1252" s="2200" t="s">
        <v>13218</v>
      </c>
      <c r="D1252" s="2200" t="str">
        <f t="shared" si="76"/>
        <v>MA</v>
      </c>
      <c r="E1252" s="2200">
        <f t="shared" si="77"/>
        <v>13</v>
      </c>
      <c r="F1252" s="2200" t="str">
        <f t="shared" si="78"/>
        <v>25</v>
      </c>
      <c r="G1252" s="2200" t="str">
        <f t="shared" si="79"/>
        <v>73790</v>
      </c>
      <c r="H1252" s="2200">
        <f>--SUBTOTAL(3,C$2:C1252)</f>
        <v>99</v>
      </c>
    </row>
    <row r="1253" spans="1:8" hidden="1" x14ac:dyDescent="0.15">
      <c r="A1253" s="2200" t="s">
        <v>11502</v>
      </c>
      <c r="B1253" s="2200" t="s">
        <v>13219</v>
      </c>
      <c r="C1253" s="2200" t="s">
        <v>13220</v>
      </c>
      <c r="D1253" s="2200" t="str">
        <f t="shared" si="76"/>
        <v>MA</v>
      </c>
      <c r="E1253" s="2200">
        <f t="shared" si="77"/>
        <v>13</v>
      </c>
      <c r="F1253" s="2200" t="str">
        <f t="shared" si="78"/>
        <v>25</v>
      </c>
      <c r="G1253" s="2200" t="str">
        <f t="shared" si="79"/>
        <v>73895</v>
      </c>
      <c r="H1253" s="2200">
        <f>--SUBTOTAL(3,C$2:C1253)</f>
        <v>99</v>
      </c>
    </row>
    <row r="1254" spans="1:8" hidden="1" x14ac:dyDescent="0.15">
      <c r="A1254" s="2200" t="s">
        <v>10723</v>
      </c>
      <c r="B1254" s="2200" t="s">
        <v>13221</v>
      </c>
      <c r="C1254" s="2200" t="s">
        <v>13222</v>
      </c>
      <c r="D1254" s="2200" t="str">
        <f t="shared" si="76"/>
        <v>MA</v>
      </c>
      <c r="E1254" s="2200">
        <f t="shared" si="77"/>
        <v>15</v>
      </c>
      <c r="F1254" s="2200" t="str">
        <f t="shared" si="78"/>
        <v>25</v>
      </c>
      <c r="G1254" s="2200" t="str">
        <f t="shared" si="79"/>
        <v>74175</v>
      </c>
      <c r="H1254" s="2200">
        <f>--SUBTOTAL(3,C$2:C1254)</f>
        <v>99</v>
      </c>
    </row>
    <row r="1255" spans="1:8" hidden="1" x14ac:dyDescent="0.15">
      <c r="A1255" s="2200" t="s">
        <v>11502</v>
      </c>
      <c r="B1255" s="2200" t="s">
        <v>13223</v>
      </c>
      <c r="C1255" s="2200" t="s">
        <v>13224</v>
      </c>
      <c r="D1255" s="2200" t="str">
        <f t="shared" si="76"/>
        <v>MA</v>
      </c>
      <c r="E1255" s="2200">
        <f t="shared" si="77"/>
        <v>15</v>
      </c>
      <c r="F1255" s="2200" t="str">
        <f t="shared" si="78"/>
        <v>25</v>
      </c>
      <c r="G1255" s="2200" t="str">
        <f t="shared" si="79"/>
        <v>74385</v>
      </c>
      <c r="H1255" s="2200">
        <f>--SUBTOTAL(3,C$2:C1255)</f>
        <v>99</v>
      </c>
    </row>
    <row r="1256" spans="1:8" hidden="1" x14ac:dyDescent="0.15">
      <c r="A1256" s="2200" t="s">
        <v>11502</v>
      </c>
      <c r="B1256" s="2200" t="s">
        <v>13225</v>
      </c>
      <c r="C1256" s="2200" t="s">
        <v>13226</v>
      </c>
      <c r="D1256" s="2200" t="str">
        <f t="shared" si="76"/>
        <v>MA</v>
      </c>
      <c r="E1256" s="2200">
        <f t="shared" si="77"/>
        <v>13</v>
      </c>
      <c r="F1256" s="2200" t="str">
        <f t="shared" si="78"/>
        <v>25</v>
      </c>
      <c r="G1256" s="2200" t="str">
        <f t="shared" si="79"/>
        <v>74525</v>
      </c>
      <c r="H1256" s="2200">
        <f>--SUBTOTAL(3,C$2:C1256)</f>
        <v>99</v>
      </c>
    </row>
    <row r="1257" spans="1:8" hidden="1" x14ac:dyDescent="0.15">
      <c r="A1257" s="2200" t="s">
        <v>11502</v>
      </c>
      <c r="B1257" s="2200" t="s">
        <v>13227</v>
      </c>
      <c r="C1257" s="2200" t="s">
        <v>13228</v>
      </c>
      <c r="D1257" s="2200" t="str">
        <f t="shared" si="76"/>
        <v>MA</v>
      </c>
      <c r="E1257" s="2200">
        <f t="shared" si="77"/>
        <v>12</v>
      </c>
      <c r="F1257" s="2200" t="str">
        <f t="shared" si="78"/>
        <v>25</v>
      </c>
      <c r="G1257" s="2200" t="str">
        <f t="shared" si="79"/>
        <v>74595</v>
      </c>
      <c r="H1257" s="2200">
        <f>--SUBTOTAL(3,C$2:C1257)</f>
        <v>99</v>
      </c>
    </row>
    <row r="1258" spans="1:8" hidden="1" x14ac:dyDescent="0.15">
      <c r="A1258" s="2200" t="s">
        <v>11502</v>
      </c>
      <c r="B1258" s="2200" t="s">
        <v>13229</v>
      </c>
      <c r="C1258" s="2200" t="s">
        <v>13230</v>
      </c>
      <c r="D1258" s="2200" t="str">
        <f t="shared" si="76"/>
        <v>MA</v>
      </c>
      <c r="E1258" s="2200">
        <f t="shared" si="77"/>
        <v>19</v>
      </c>
      <c r="F1258" s="2200" t="str">
        <f t="shared" si="78"/>
        <v>25</v>
      </c>
      <c r="G1258" s="2200" t="str">
        <f t="shared" si="79"/>
        <v>75155</v>
      </c>
      <c r="H1258" s="2200">
        <f>--SUBTOTAL(3,C$2:C1258)</f>
        <v>99</v>
      </c>
    </row>
    <row r="1259" spans="1:8" hidden="1" x14ac:dyDescent="0.15">
      <c r="A1259" s="2200" t="s">
        <v>11502</v>
      </c>
      <c r="B1259" s="2200" t="s">
        <v>13231</v>
      </c>
      <c r="C1259" s="2200" t="s">
        <v>13232</v>
      </c>
      <c r="D1259" s="2200" t="str">
        <f t="shared" si="76"/>
        <v>MA</v>
      </c>
      <c r="E1259" s="2200">
        <f t="shared" si="77"/>
        <v>22</v>
      </c>
      <c r="F1259" s="2200" t="str">
        <f t="shared" si="78"/>
        <v>25</v>
      </c>
      <c r="G1259" s="2200" t="str">
        <f t="shared" si="79"/>
        <v>75260</v>
      </c>
      <c r="H1259" s="2200">
        <f>--SUBTOTAL(3,C$2:C1259)</f>
        <v>99</v>
      </c>
    </row>
    <row r="1260" spans="1:8" hidden="1" x14ac:dyDescent="0.15">
      <c r="A1260" s="2200" t="s">
        <v>11502</v>
      </c>
      <c r="B1260" s="2200" t="s">
        <v>13233</v>
      </c>
      <c r="C1260" s="2200" t="s">
        <v>13234</v>
      </c>
      <c r="D1260" s="2200" t="str">
        <f t="shared" si="76"/>
        <v>MA</v>
      </c>
      <c r="E1260" s="2200">
        <f t="shared" si="77"/>
        <v>21</v>
      </c>
      <c r="F1260" s="2200" t="str">
        <f t="shared" si="78"/>
        <v>25</v>
      </c>
      <c r="G1260" s="2200" t="str">
        <f t="shared" si="79"/>
        <v>75400</v>
      </c>
      <c r="H1260" s="2200">
        <f>--SUBTOTAL(3,C$2:C1260)</f>
        <v>99</v>
      </c>
    </row>
    <row r="1261" spans="1:8" hidden="1" x14ac:dyDescent="0.15">
      <c r="A1261" s="2200" t="s">
        <v>11502</v>
      </c>
      <c r="B1261" s="2200" t="s">
        <v>13235</v>
      </c>
      <c r="C1261" s="2200" t="s">
        <v>13236</v>
      </c>
      <c r="D1261" s="2200" t="str">
        <f t="shared" si="76"/>
        <v>MA</v>
      </c>
      <c r="E1261" s="2200">
        <f t="shared" si="77"/>
        <v>18</v>
      </c>
      <c r="F1261" s="2200" t="str">
        <f t="shared" si="78"/>
        <v>25</v>
      </c>
      <c r="G1261" s="2200" t="str">
        <f t="shared" si="79"/>
        <v>77150</v>
      </c>
      <c r="H1261" s="2200">
        <f>--SUBTOTAL(3,C$2:C1261)</f>
        <v>99</v>
      </c>
    </row>
    <row r="1262" spans="1:8" hidden="1" x14ac:dyDescent="0.15">
      <c r="A1262" s="2200" t="s">
        <v>10723</v>
      </c>
      <c r="B1262" s="2200" t="s">
        <v>13237</v>
      </c>
      <c r="C1262" s="2200" t="s">
        <v>13238</v>
      </c>
      <c r="D1262" s="2200" t="str">
        <f t="shared" si="76"/>
        <v>MA</v>
      </c>
      <c r="E1262" s="2200">
        <f t="shared" si="77"/>
        <v>27</v>
      </c>
      <c r="F1262" s="2200" t="str">
        <f t="shared" si="78"/>
        <v>25</v>
      </c>
      <c r="G1262" s="2200" t="str">
        <f t="shared" si="79"/>
        <v>77890</v>
      </c>
      <c r="H1262" s="2200">
        <f>--SUBTOTAL(3,C$2:C1262)</f>
        <v>99</v>
      </c>
    </row>
    <row r="1263" spans="1:8" hidden="1" x14ac:dyDescent="0.15">
      <c r="A1263" s="2200" t="s">
        <v>11502</v>
      </c>
      <c r="B1263" s="2200" t="s">
        <v>13239</v>
      </c>
      <c r="C1263" s="2200" t="s">
        <v>13240</v>
      </c>
      <c r="D1263" s="2200" t="str">
        <f t="shared" si="76"/>
        <v>MA</v>
      </c>
      <c r="E1263" s="2200">
        <f t="shared" si="77"/>
        <v>22</v>
      </c>
      <c r="F1263" s="2200" t="str">
        <f t="shared" si="78"/>
        <v>25</v>
      </c>
      <c r="G1263" s="2200" t="str">
        <f t="shared" si="79"/>
        <v>77990</v>
      </c>
      <c r="H1263" s="2200">
        <f>--SUBTOTAL(3,C$2:C1263)</f>
        <v>99</v>
      </c>
    </row>
    <row r="1264" spans="1:8" hidden="1" x14ac:dyDescent="0.15">
      <c r="A1264" s="2200" t="s">
        <v>11502</v>
      </c>
      <c r="B1264" s="2200" t="s">
        <v>13241</v>
      </c>
      <c r="C1264" s="2200" t="s">
        <v>13242</v>
      </c>
      <c r="D1264" s="2200" t="str">
        <f t="shared" si="76"/>
        <v>MA</v>
      </c>
      <c r="E1264" s="2200">
        <f t="shared" si="77"/>
        <v>18</v>
      </c>
      <c r="F1264" s="2200" t="str">
        <f t="shared" si="78"/>
        <v>25</v>
      </c>
      <c r="G1264" s="2200" t="str">
        <f t="shared" si="79"/>
        <v>78235</v>
      </c>
      <c r="H1264" s="2200">
        <f>--SUBTOTAL(3,C$2:C1264)</f>
        <v>99</v>
      </c>
    </row>
    <row r="1265" spans="1:8" hidden="1" x14ac:dyDescent="0.15">
      <c r="A1265" s="2200" t="s">
        <v>11502</v>
      </c>
      <c r="B1265" s="2200" t="s">
        <v>13243</v>
      </c>
      <c r="C1265" s="2200" t="s">
        <v>13244</v>
      </c>
      <c r="D1265" s="2200" t="str">
        <f t="shared" si="76"/>
        <v>MA</v>
      </c>
      <c r="E1265" s="2200">
        <f t="shared" si="77"/>
        <v>17</v>
      </c>
      <c r="F1265" s="2200" t="str">
        <f t="shared" si="78"/>
        <v>25</v>
      </c>
      <c r="G1265" s="2200" t="str">
        <f t="shared" si="79"/>
        <v>75015</v>
      </c>
      <c r="H1265" s="2200">
        <f>--SUBTOTAL(3,C$2:C1265)</f>
        <v>99</v>
      </c>
    </row>
    <row r="1266" spans="1:8" hidden="1" x14ac:dyDescent="0.15">
      <c r="A1266" s="2200" t="s">
        <v>10723</v>
      </c>
      <c r="B1266" s="2200" t="s">
        <v>13245</v>
      </c>
      <c r="C1266" s="2200" t="s">
        <v>13246</v>
      </c>
      <c r="D1266" s="2200" t="str">
        <f t="shared" si="76"/>
        <v>MA</v>
      </c>
      <c r="E1266" s="2200">
        <f t="shared" si="77"/>
        <v>15</v>
      </c>
      <c r="F1266" s="2200" t="str">
        <f t="shared" si="78"/>
        <v>25</v>
      </c>
      <c r="G1266" s="2200" t="str">
        <f t="shared" si="79"/>
        <v>76030</v>
      </c>
      <c r="H1266" s="2200">
        <f>--SUBTOTAL(3,C$2:C1266)</f>
        <v>99</v>
      </c>
    </row>
    <row r="1267" spans="1:8" hidden="1" x14ac:dyDescent="0.15">
      <c r="A1267" s="2200" t="s">
        <v>11502</v>
      </c>
      <c r="B1267" s="2200" t="s">
        <v>13247</v>
      </c>
      <c r="C1267" s="2200" t="s">
        <v>13248</v>
      </c>
      <c r="D1267" s="2200" t="str">
        <f t="shared" si="76"/>
        <v>MA</v>
      </c>
      <c r="E1267" s="2200">
        <f t="shared" si="77"/>
        <v>14</v>
      </c>
      <c r="F1267" s="2200" t="str">
        <f t="shared" si="78"/>
        <v>25</v>
      </c>
      <c r="G1267" s="2200" t="str">
        <f t="shared" si="79"/>
        <v>76135</v>
      </c>
      <c r="H1267" s="2200">
        <f>--SUBTOTAL(3,C$2:C1267)</f>
        <v>99</v>
      </c>
    </row>
    <row r="1268" spans="1:8" hidden="1" x14ac:dyDescent="0.15">
      <c r="A1268" s="2200" t="s">
        <v>11502</v>
      </c>
      <c r="B1268" s="2200" t="s">
        <v>13249</v>
      </c>
      <c r="C1268" s="2200" t="s">
        <v>13250</v>
      </c>
      <c r="D1268" s="2200" t="str">
        <f t="shared" si="76"/>
        <v>MA</v>
      </c>
      <c r="E1268" s="2200">
        <f t="shared" si="77"/>
        <v>17</v>
      </c>
      <c r="F1268" s="2200" t="str">
        <f t="shared" si="78"/>
        <v>25</v>
      </c>
      <c r="G1268" s="2200" t="str">
        <f t="shared" si="79"/>
        <v>76380</v>
      </c>
      <c r="H1268" s="2200">
        <f>--SUBTOTAL(3,C$2:C1268)</f>
        <v>99</v>
      </c>
    </row>
    <row r="1269" spans="1:8" hidden="1" x14ac:dyDescent="0.15">
      <c r="A1269" s="2200" t="s">
        <v>11502</v>
      </c>
      <c r="B1269" s="2200" t="s">
        <v>13251</v>
      </c>
      <c r="C1269" s="2200" t="s">
        <v>13252</v>
      </c>
      <c r="D1269" s="2200" t="str">
        <f t="shared" si="76"/>
        <v>MA</v>
      </c>
      <c r="E1269" s="2200">
        <f t="shared" si="77"/>
        <v>17</v>
      </c>
      <c r="F1269" s="2200" t="str">
        <f t="shared" si="78"/>
        <v>25</v>
      </c>
      <c r="G1269" s="2200" t="str">
        <f t="shared" si="79"/>
        <v>77010</v>
      </c>
      <c r="H1269" s="2200">
        <f>--SUBTOTAL(3,C$2:C1269)</f>
        <v>99</v>
      </c>
    </row>
    <row r="1270" spans="1:8" hidden="1" x14ac:dyDescent="0.15">
      <c r="A1270" s="2200" t="s">
        <v>11502</v>
      </c>
      <c r="B1270" s="2200" t="s">
        <v>13253</v>
      </c>
      <c r="C1270" s="2200" t="s">
        <v>13254</v>
      </c>
      <c r="D1270" s="2200" t="str">
        <f t="shared" si="76"/>
        <v>MA</v>
      </c>
      <c r="E1270" s="2200">
        <f t="shared" si="77"/>
        <v>12</v>
      </c>
      <c r="F1270" s="2200" t="str">
        <f t="shared" si="78"/>
        <v>25</v>
      </c>
      <c r="G1270" s="2200" t="str">
        <f t="shared" si="79"/>
        <v>77255</v>
      </c>
      <c r="H1270" s="2200">
        <f>--SUBTOTAL(3,C$2:C1270)</f>
        <v>99</v>
      </c>
    </row>
    <row r="1271" spans="1:8" hidden="1" x14ac:dyDescent="0.15">
      <c r="A1271" s="2200" t="s">
        <v>11502</v>
      </c>
      <c r="B1271" s="2200" t="s">
        <v>13255</v>
      </c>
      <c r="C1271" s="2200" t="s">
        <v>13256</v>
      </c>
      <c r="D1271" s="2200" t="str">
        <f t="shared" si="76"/>
        <v>MA</v>
      </c>
      <c r="E1271" s="2200">
        <f t="shared" si="77"/>
        <v>14</v>
      </c>
      <c r="F1271" s="2200" t="str">
        <f t="shared" si="78"/>
        <v>25</v>
      </c>
      <c r="G1271" s="2200" t="str">
        <f t="shared" si="79"/>
        <v>77570</v>
      </c>
      <c r="H1271" s="2200">
        <f>--SUBTOTAL(3,C$2:C1271)</f>
        <v>99</v>
      </c>
    </row>
    <row r="1272" spans="1:8" hidden="1" x14ac:dyDescent="0.15">
      <c r="A1272" s="2200" t="s">
        <v>11502</v>
      </c>
      <c r="B1272" s="2200" t="s">
        <v>13257</v>
      </c>
      <c r="C1272" s="2200" t="s">
        <v>13258</v>
      </c>
      <c r="D1272" s="2200" t="str">
        <f t="shared" si="76"/>
        <v>MA</v>
      </c>
      <c r="E1272" s="2200">
        <f t="shared" si="77"/>
        <v>14</v>
      </c>
      <c r="F1272" s="2200" t="str">
        <f t="shared" si="78"/>
        <v>25</v>
      </c>
      <c r="G1272" s="2200" t="str">
        <f t="shared" si="79"/>
        <v>78690</v>
      </c>
      <c r="H1272" s="2200">
        <f>--SUBTOTAL(3,C$2:C1272)</f>
        <v>99</v>
      </c>
    </row>
    <row r="1273" spans="1:8" hidden="1" x14ac:dyDescent="0.15">
      <c r="A1273" s="2200" t="s">
        <v>10723</v>
      </c>
      <c r="B1273" s="2200" t="s">
        <v>13259</v>
      </c>
      <c r="C1273" s="2200" t="s">
        <v>13260</v>
      </c>
      <c r="D1273" s="2200" t="str">
        <f t="shared" si="76"/>
        <v>MA</v>
      </c>
      <c r="E1273" s="2200">
        <f t="shared" si="77"/>
        <v>19</v>
      </c>
      <c r="F1273" s="2200" t="str">
        <f t="shared" si="78"/>
        <v>25</v>
      </c>
      <c r="G1273" s="2200" t="str">
        <f t="shared" si="79"/>
        <v>78972</v>
      </c>
      <c r="H1273" s="2200">
        <f>--SUBTOTAL(3,C$2:C1273)</f>
        <v>99</v>
      </c>
    </row>
    <row r="1274" spans="1:8" hidden="1" x14ac:dyDescent="0.15">
      <c r="A1274" s="2200" t="s">
        <v>11502</v>
      </c>
      <c r="B1274" s="2200" t="s">
        <v>13261</v>
      </c>
      <c r="C1274" s="2200" t="s">
        <v>13262</v>
      </c>
      <c r="D1274" s="2200" t="str">
        <f t="shared" si="76"/>
        <v>MA</v>
      </c>
      <c r="E1274" s="2200">
        <f t="shared" si="77"/>
        <v>13</v>
      </c>
      <c r="F1274" s="2200" t="str">
        <f t="shared" si="78"/>
        <v>25</v>
      </c>
      <c r="G1274" s="2200" t="str">
        <f t="shared" si="79"/>
        <v>79110</v>
      </c>
      <c r="H1274" s="2200">
        <f>--SUBTOTAL(3,C$2:C1274)</f>
        <v>99</v>
      </c>
    </row>
    <row r="1275" spans="1:8" hidden="1" x14ac:dyDescent="0.15">
      <c r="A1275" s="2200" t="s">
        <v>11502</v>
      </c>
      <c r="B1275" s="2200" t="s">
        <v>13263</v>
      </c>
      <c r="C1275" s="2200" t="s">
        <v>13264</v>
      </c>
      <c r="D1275" s="2200" t="str">
        <f t="shared" si="76"/>
        <v>MA</v>
      </c>
      <c r="E1275" s="2200">
        <f t="shared" si="77"/>
        <v>13</v>
      </c>
      <c r="F1275" s="2200" t="str">
        <f t="shared" si="78"/>
        <v>25</v>
      </c>
      <c r="G1275" s="2200" t="str">
        <f t="shared" si="79"/>
        <v>79530</v>
      </c>
      <c r="H1275" s="2200">
        <f>--SUBTOTAL(3,C$2:C1275)</f>
        <v>99</v>
      </c>
    </row>
    <row r="1276" spans="1:8" hidden="1" x14ac:dyDescent="0.15">
      <c r="A1276" s="2200" t="s">
        <v>11502</v>
      </c>
      <c r="B1276" s="2200" t="s">
        <v>13265</v>
      </c>
      <c r="C1276" s="2200" t="s">
        <v>13266</v>
      </c>
      <c r="D1276" s="2200" t="str">
        <f t="shared" si="76"/>
        <v>MA</v>
      </c>
      <c r="E1276" s="2200">
        <f t="shared" si="77"/>
        <v>15</v>
      </c>
      <c r="F1276" s="2200" t="str">
        <f t="shared" si="78"/>
        <v>25</v>
      </c>
      <c r="G1276" s="2200" t="str">
        <f t="shared" si="79"/>
        <v>79740</v>
      </c>
      <c r="H1276" s="2200">
        <f>--SUBTOTAL(3,C$2:C1276)</f>
        <v>99</v>
      </c>
    </row>
    <row r="1277" spans="1:8" hidden="1" x14ac:dyDescent="0.15">
      <c r="A1277" s="2200" t="s">
        <v>11502</v>
      </c>
      <c r="B1277" s="2200" t="s">
        <v>13267</v>
      </c>
      <c r="C1277" s="2200" t="s">
        <v>13268</v>
      </c>
      <c r="D1277" s="2200" t="str">
        <f t="shared" si="76"/>
        <v>MA</v>
      </c>
      <c r="E1277" s="2200">
        <f t="shared" si="77"/>
        <v>18</v>
      </c>
      <c r="F1277" s="2200" t="str">
        <f t="shared" si="78"/>
        <v>25</v>
      </c>
      <c r="G1277" s="2200" t="str">
        <f t="shared" si="79"/>
        <v>79915</v>
      </c>
      <c r="H1277" s="2200">
        <f>--SUBTOTAL(3,C$2:C1277)</f>
        <v>99</v>
      </c>
    </row>
    <row r="1278" spans="1:8" hidden="1" x14ac:dyDescent="0.15">
      <c r="A1278" s="2200" t="s">
        <v>11502</v>
      </c>
      <c r="B1278" s="2200" t="s">
        <v>13269</v>
      </c>
      <c r="C1278" s="2200" t="s">
        <v>13270</v>
      </c>
      <c r="D1278" s="2200" t="str">
        <f t="shared" si="76"/>
        <v>MA</v>
      </c>
      <c r="E1278" s="2200">
        <f t="shared" si="77"/>
        <v>18</v>
      </c>
      <c r="F1278" s="2200" t="str">
        <f t="shared" si="78"/>
        <v>25</v>
      </c>
      <c r="G1278" s="2200" t="str">
        <f t="shared" si="79"/>
        <v>79985</v>
      </c>
      <c r="H1278" s="2200">
        <f>--SUBTOTAL(3,C$2:C1278)</f>
        <v>99</v>
      </c>
    </row>
    <row r="1279" spans="1:8" hidden="1" x14ac:dyDescent="0.15">
      <c r="A1279" s="2200" t="s">
        <v>11502</v>
      </c>
      <c r="B1279" s="2200" t="s">
        <v>13271</v>
      </c>
      <c r="C1279" s="2200" t="s">
        <v>13272</v>
      </c>
      <c r="D1279" s="2200" t="str">
        <f t="shared" si="76"/>
        <v>MA</v>
      </c>
      <c r="E1279" s="2200">
        <f t="shared" si="77"/>
        <v>16</v>
      </c>
      <c r="F1279" s="2200" t="str">
        <f t="shared" si="78"/>
        <v>25</v>
      </c>
      <c r="G1279" s="2200" t="str">
        <f t="shared" si="79"/>
        <v>80230</v>
      </c>
      <c r="H1279" s="2200">
        <f>--SUBTOTAL(3,C$2:C1279)</f>
        <v>99</v>
      </c>
    </row>
    <row r="1280" spans="1:8" hidden="1" x14ac:dyDescent="0.15">
      <c r="A1280" s="2200" t="s">
        <v>11502</v>
      </c>
      <c r="B1280" s="2200" t="s">
        <v>13273</v>
      </c>
      <c r="C1280" s="2200" t="s">
        <v>13274</v>
      </c>
      <c r="D1280" s="2200" t="str">
        <f t="shared" si="76"/>
        <v>MA</v>
      </c>
      <c r="E1280" s="2200">
        <f t="shared" si="77"/>
        <v>16</v>
      </c>
      <c r="F1280" s="2200" t="str">
        <f t="shared" si="78"/>
        <v>25</v>
      </c>
      <c r="G1280" s="2200" t="str">
        <f t="shared" si="79"/>
        <v>80405</v>
      </c>
      <c r="H1280" s="2200">
        <f>--SUBTOTAL(3,C$2:C1280)</f>
        <v>99</v>
      </c>
    </row>
    <row r="1281" spans="1:8" hidden="1" x14ac:dyDescent="0.15">
      <c r="A1281" s="2200" t="s">
        <v>11502</v>
      </c>
      <c r="B1281" s="2200" t="s">
        <v>13275</v>
      </c>
      <c r="C1281" s="2200" t="s">
        <v>13276</v>
      </c>
      <c r="D1281" s="2200" t="str">
        <f t="shared" si="76"/>
        <v>MA</v>
      </c>
      <c r="E1281" s="2200">
        <f t="shared" si="77"/>
        <v>16</v>
      </c>
      <c r="F1281" s="2200" t="str">
        <f t="shared" si="78"/>
        <v>25</v>
      </c>
      <c r="G1281" s="2200" t="str">
        <f t="shared" si="79"/>
        <v>80510</v>
      </c>
      <c r="H1281" s="2200">
        <f>--SUBTOTAL(3,C$2:C1281)</f>
        <v>99</v>
      </c>
    </row>
    <row r="1282" spans="1:8" hidden="1" x14ac:dyDescent="0.15">
      <c r="A1282" s="2200" t="s">
        <v>11502</v>
      </c>
      <c r="B1282" s="2200" t="s">
        <v>13277</v>
      </c>
      <c r="C1282" s="2200" t="s">
        <v>13278</v>
      </c>
      <c r="D1282" s="2200" t="str">
        <f t="shared" ref="D1282:D1345" si="80">MID(C1282,E1282+2,2)</f>
        <v>MA</v>
      </c>
      <c r="E1282" s="2200">
        <f t="shared" ref="E1282:E1345" si="81">FIND(",",C1282)</f>
        <v>13</v>
      </c>
      <c r="F1282" s="2200" t="str">
        <f t="shared" si="78"/>
        <v>25</v>
      </c>
      <c r="G1282" s="2200" t="str">
        <f t="shared" si="79"/>
        <v>80685</v>
      </c>
      <c r="H1282" s="2200">
        <f>--SUBTOTAL(3,C$2:C1282)</f>
        <v>99</v>
      </c>
    </row>
    <row r="1283" spans="1:8" hidden="1" x14ac:dyDescent="0.15">
      <c r="A1283" s="2200" t="s">
        <v>11502</v>
      </c>
      <c r="B1283" s="2200" t="s">
        <v>13279</v>
      </c>
      <c r="C1283" s="2200" t="s">
        <v>13280</v>
      </c>
      <c r="D1283" s="2200" t="str">
        <f t="shared" si="80"/>
        <v>MA</v>
      </c>
      <c r="E1283" s="2200">
        <f t="shared" si="81"/>
        <v>19</v>
      </c>
      <c r="F1283" s="2200" t="str">
        <f t="shared" ref="F1283:F1346" si="82">MID(B1283,3,2)</f>
        <v>25</v>
      </c>
      <c r="G1283" s="2200" t="str">
        <f t="shared" ref="G1283:G1346" si="83">MID(B1283,5,5)</f>
        <v>81005</v>
      </c>
      <c r="H1283" s="2200">
        <f>--SUBTOTAL(3,C$2:C1283)</f>
        <v>99</v>
      </c>
    </row>
    <row r="1284" spans="1:8" hidden="1" x14ac:dyDescent="0.15">
      <c r="A1284" s="2200" t="s">
        <v>10723</v>
      </c>
      <c r="B1284" s="2200" t="s">
        <v>13281</v>
      </c>
      <c r="C1284" s="2200" t="s">
        <v>13282</v>
      </c>
      <c r="D1284" s="2200" t="str">
        <f t="shared" si="80"/>
        <v>MA</v>
      </c>
      <c r="E1284" s="2200">
        <f t="shared" si="81"/>
        <v>12</v>
      </c>
      <c r="F1284" s="2200" t="str">
        <f t="shared" si="82"/>
        <v>25</v>
      </c>
      <c r="G1284" s="2200" t="str">
        <f t="shared" si="83"/>
        <v>81035</v>
      </c>
      <c r="H1284" s="2200">
        <f>--SUBTOTAL(3,C$2:C1284)</f>
        <v>99</v>
      </c>
    </row>
    <row r="1285" spans="1:8" hidden="1" x14ac:dyDescent="0.15">
      <c r="A1285" s="2200" t="s">
        <v>10723</v>
      </c>
      <c r="B1285" s="2200" t="s">
        <v>13283</v>
      </c>
      <c r="C1285" s="2200" t="s">
        <v>13284</v>
      </c>
      <c r="D1285" s="2200" t="str">
        <f t="shared" si="80"/>
        <v>MA</v>
      </c>
      <c r="E1285" s="2200">
        <f t="shared" si="81"/>
        <v>15</v>
      </c>
      <c r="F1285" s="2200" t="str">
        <f t="shared" si="82"/>
        <v>25</v>
      </c>
      <c r="G1285" s="2200" t="str">
        <f t="shared" si="83"/>
        <v>82000</v>
      </c>
      <c r="H1285" s="2200">
        <f>--SUBTOTAL(3,C$2:C1285)</f>
        <v>99</v>
      </c>
    </row>
    <row r="1286" spans="1:8" hidden="1" x14ac:dyDescent="0.15">
      <c r="A1286" s="2200" t="s">
        <v>11502</v>
      </c>
      <c r="B1286" s="2200" t="s">
        <v>13285</v>
      </c>
      <c r="C1286" s="2200" t="s">
        <v>13286</v>
      </c>
      <c r="D1286" s="2200" t="str">
        <f t="shared" si="80"/>
        <v>MA</v>
      </c>
      <c r="E1286" s="2200">
        <f t="shared" si="81"/>
        <v>17</v>
      </c>
      <c r="F1286" s="2200" t="str">
        <f t="shared" si="82"/>
        <v>25</v>
      </c>
      <c r="G1286" s="2200" t="str">
        <f t="shared" si="83"/>
        <v>82175</v>
      </c>
      <c r="H1286" s="2200">
        <f>--SUBTOTAL(3,C$2:C1286)</f>
        <v>99</v>
      </c>
    </row>
    <row r="1287" spans="1:8" hidden="1" x14ac:dyDescent="0.15">
      <c r="A1287" s="2200" t="s">
        <v>11502</v>
      </c>
      <c r="B1287" s="2200" t="s">
        <v>13287</v>
      </c>
      <c r="C1287" s="2200" t="s">
        <v>13288</v>
      </c>
      <c r="D1287" s="2200" t="str">
        <f t="shared" si="80"/>
        <v>MA</v>
      </c>
      <c r="E1287" s="2200">
        <f t="shared" si="81"/>
        <v>14</v>
      </c>
      <c r="F1287" s="2200" t="str">
        <f t="shared" si="82"/>
        <v>25</v>
      </c>
      <c r="G1287" s="2200" t="str">
        <f t="shared" si="83"/>
        <v>82315</v>
      </c>
      <c r="H1287" s="2200">
        <f>--SUBTOTAL(3,C$2:C1287)</f>
        <v>99</v>
      </c>
    </row>
    <row r="1288" spans="1:8" hidden="1" x14ac:dyDescent="0.15">
      <c r="A1288" s="2200" t="s">
        <v>11502</v>
      </c>
      <c r="B1288" s="2200" t="s">
        <v>13289</v>
      </c>
      <c r="C1288" s="2200" t="s">
        <v>13290</v>
      </c>
      <c r="D1288" s="2200" t="str">
        <f t="shared" si="80"/>
        <v>MA</v>
      </c>
      <c r="E1288" s="2200">
        <f t="shared" si="81"/>
        <v>14</v>
      </c>
      <c r="F1288" s="2200" t="str">
        <f t="shared" si="82"/>
        <v>25</v>
      </c>
      <c r="G1288" s="2200" t="str">
        <f t="shared" si="83"/>
        <v>82525</v>
      </c>
      <c r="H1288" s="2200">
        <f>--SUBTOTAL(3,C$2:C1288)</f>
        <v>99</v>
      </c>
    </row>
    <row r="1289" spans="1:8" hidden="1" x14ac:dyDescent="0.15">
      <c r="A1289" s="2200" t="s">
        <v>10723</v>
      </c>
      <c r="B1289" s="2200" t="s">
        <v>13291</v>
      </c>
      <c r="C1289" s="2200" t="s">
        <v>13292</v>
      </c>
      <c r="D1289" s="2200" t="str">
        <f t="shared" si="80"/>
        <v>MD</v>
      </c>
      <c r="E1289" s="2200">
        <f t="shared" si="81"/>
        <v>15</v>
      </c>
      <c r="F1289" s="2200" t="str">
        <f t="shared" si="82"/>
        <v>24</v>
      </c>
      <c r="G1289" s="2200" t="str">
        <f t="shared" si="83"/>
        <v>01600</v>
      </c>
      <c r="H1289" s="2200">
        <f>--SUBTOTAL(3,C$2:C1289)</f>
        <v>99</v>
      </c>
    </row>
    <row r="1290" spans="1:8" hidden="1" x14ac:dyDescent="0.15">
      <c r="A1290" s="2200" t="s">
        <v>10723</v>
      </c>
      <c r="B1290" s="2200" t="s">
        <v>13293</v>
      </c>
      <c r="C1290" s="2200" t="s">
        <v>6718</v>
      </c>
      <c r="D1290" s="2200" t="str">
        <f t="shared" si="80"/>
        <v>MD</v>
      </c>
      <c r="E1290" s="2200">
        <f t="shared" si="81"/>
        <v>15</v>
      </c>
      <c r="F1290" s="2200" t="str">
        <f t="shared" si="82"/>
        <v>24</v>
      </c>
      <c r="G1290" s="2200" t="str">
        <f t="shared" si="83"/>
        <v>04000</v>
      </c>
      <c r="H1290" s="2200">
        <f>--SUBTOTAL(3,C$2:C1290)</f>
        <v>99</v>
      </c>
    </row>
    <row r="1291" spans="1:8" hidden="1" x14ac:dyDescent="0.15">
      <c r="A1291" s="2200" t="s">
        <v>10723</v>
      </c>
      <c r="B1291" s="2200" t="s">
        <v>13294</v>
      </c>
      <c r="C1291" s="2200" t="s">
        <v>13295</v>
      </c>
      <c r="D1291" s="2200" t="str">
        <f t="shared" si="80"/>
        <v>MD</v>
      </c>
      <c r="E1291" s="2200">
        <f t="shared" si="81"/>
        <v>11</v>
      </c>
      <c r="F1291" s="2200" t="str">
        <f t="shared" si="82"/>
        <v>24</v>
      </c>
      <c r="G1291" s="2200" t="str">
        <f t="shared" si="83"/>
        <v>08775</v>
      </c>
      <c r="H1291" s="2200">
        <f>--SUBTOTAL(3,C$2:C1291)</f>
        <v>99</v>
      </c>
    </row>
    <row r="1292" spans="1:8" hidden="1" x14ac:dyDescent="0.15">
      <c r="A1292" s="2200" t="s">
        <v>10723</v>
      </c>
      <c r="B1292" s="2200" t="s">
        <v>13296</v>
      </c>
      <c r="C1292" s="2200" t="s">
        <v>13297</v>
      </c>
      <c r="D1292" s="2200" t="str">
        <f t="shared" si="80"/>
        <v>MD</v>
      </c>
      <c r="E1292" s="2200">
        <f t="shared" si="81"/>
        <v>18</v>
      </c>
      <c r="F1292" s="2200" t="str">
        <f t="shared" si="82"/>
        <v>24</v>
      </c>
      <c r="G1292" s="2200" t="str">
        <f t="shared" si="83"/>
        <v>18750</v>
      </c>
      <c r="H1292" s="2200">
        <f>--SUBTOTAL(3,C$2:C1292)</f>
        <v>99</v>
      </c>
    </row>
    <row r="1293" spans="1:8" hidden="1" x14ac:dyDescent="0.15">
      <c r="A1293" s="2200" t="s">
        <v>10723</v>
      </c>
      <c r="B1293" s="2200" t="s">
        <v>13298</v>
      </c>
      <c r="C1293" s="2200" t="s">
        <v>13299</v>
      </c>
      <c r="D1293" s="2200" t="str">
        <f t="shared" si="80"/>
        <v>MD</v>
      </c>
      <c r="E1293" s="2200">
        <f t="shared" si="81"/>
        <v>15</v>
      </c>
      <c r="F1293" s="2200" t="str">
        <f t="shared" si="82"/>
        <v>24</v>
      </c>
      <c r="G1293" s="2200" t="str">
        <f t="shared" si="83"/>
        <v>30325</v>
      </c>
      <c r="H1293" s="2200">
        <f>--SUBTOTAL(3,C$2:C1293)</f>
        <v>99</v>
      </c>
    </row>
    <row r="1294" spans="1:8" hidden="1" x14ac:dyDescent="0.15">
      <c r="A1294" s="2200" t="s">
        <v>10723</v>
      </c>
      <c r="B1294" s="2200" t="s">
        <v>13300</v>
      </c>
      <c r="C1294" s="2200" t="s">
        <v>13301</v>
      </c>
      <c r="D1294" s="2200" t="str">
        <f t="shared" si="80"/>
        <v>MD</v>
      </c>
      <c r="E1294" s="2200">
        <f t="shared" si="81"/>
        <v>18</v>
      </c>
      <c r="F1294" s="2200" t="str">
        <f t="shared" si="82"/>
        <v>24</v>
      </c>
      <c r="G1294" s="2200" t="str">
        <f t="shared" si="83"/>
        <v>31175</v>
      </c>
      <c r="H1294" s="2200">
        <f>--SUBTOTAL(3,C$2:C1294)</f>
        <v>99</v>
      </c>
    </row>
    <row r="1295" spans="1:8" hidden="1" x14ac:dyDescent="0.15">
      <c r="A1295" s="2200" t="s">
        <v>10723</v>
      </c>
      <c r="B1295" s="2200" t="s">
        <v>13302</v>
      </c>
      <c r="C1295" s="2200" t="s">
        <v>13303</v>
      </c>
      <c r="D1295" s="2200" t="str">
        <f t="shared" si="80"/>
        <v>MD</v>
      </c>
      <c r="E1295" s="2200">
        <f t="shared" si="81"/>
        <v>16</v>
      </c>
      <c r="F1295" s="2200" t="str">
        <f t="shared" si="82"/>
        <v>24</v>
      </c>
      <c r="G1295" s="2200" t="str">
        <f t="shared" si="83"/>
        <v>36075</v>
      </c>
      <c r="H1295" s="2200">
        <f>--SUBTOTAL(3,C$2:C1295)</f>
        <v>99</v>
      </c>
    </row>
    <row r="1296" spans="1:8" hidden="1" x14ac:dyDescent="0.15">
      <c r="A1296" s="2200" t="s">
        <v>10723</v>
      </c>
      <c r="B1296" s="2200" t="s">
        <v>13304</v>
      </c>
      <c r="C1296" s="2200" t="s">
        <v>13305</v>
      </c>
      <c r="D1296" s="2200" t="str">
        <f t="shared" si="80"/>
        <v>MD</v>
      </c>
      <c r="E1296" s="2200">
        <f t="shared" si="81"/>
        <v>12</v>
      </c>
      <c r="F1296" s="2200" t="str">
        <f t="shared" si="82"/>
        <v>24</v>
      </c>
      <c r="G1296" s="2200" t="str">
        <f t="shared" si="83"/>
        <v>45900</v>
      </c>
      <c r="H1296" s="2200">
        <f>--SUBTOTAL(3,C$2:C1296)</f>
        <v>99</v>
      </c>
    </row>
    <row r="1297" spans="1:8" hidden="1" x14ac:dyDescent="0.15">
      <c r="A1297" s="2200" t="s">
        <v>10723</v>
      </c>
      <c r="B1297" s="2200" t="s">
        <v>13306</v>
      </c>
      <c r="C1297" s="2200" t="s">
        <v>13307</v>
      </c>
      <c r="D1297" s="2200" t="str">
        <f t="shared" si="80"/>
        <v>MD</v>
      </c>
      <c r="E1297" s="2200">
        <f t="shared" si="81"/>
        <v>15</v>
      </c>
      <c r="F1297" s="2200" t="str">
        <f t="shared" si="82"/>
        <v>24</v>
      </c>
      <c r="G1297" s="2200" t="str">
        <f t="shared" si="83"/>
        <v>67675</v>
      </c>
      <c r="H1297" s="2200">
        <f>--SUBTOTAL(3,C$2:C1297)</f>
        <v>99</v>
      </c>
    </row>
    <row r="1298" spans="1:8" hidden="1" x14ac:dyDescent="0.15">
      <c r="A1298" s="2200" t="s">
        <v>10723</v>
      </c>
      <c r="B1298" s="2200" t="s">
        <v>13308</v>
      </c>
      <c r="C1298" s="2200" t="s">
        <v>13309</v>
      </c>
      <c r="D1298" s="2200" t="str">
        <f t="shared" si="80"/>
        <v>MD</v>
      </c>
      <c r="E1298" s="2200">
        <f t="shared" si="81"/>
        <v>15</v>
      </c>
      <c r="F1298" s="2200" t="str">
        <f t="shared" si="82"/>
        <v>24</v>
      </c>
      <c r="G1298" s="2200" t="str">
        <f t="shared" si="83"/>
        <v>69925</v>
      </c>
      <c r="H1298" s="2200">
        <f>--SUBTOTAL(3,C$2:C1298)</f>
        <v>99</v>
      </c>
    </row>
    <row r="1299" spans="1:8" hidden="1" x14ac:dyDescent="0.15">
      <c r="A1299" s="2200" t="s">
        <v>11502</v>
      </c>
      <c r="B1299" s="2200" t="s">
        <v>13310</v>
      </c>
      <c r="C1299" s="2200" t="s">
        <v>13311</v>
      </c>
      <c r="D1299" s="2200" t="str">
        <f t="shared" si="80"/>
        <v>ME</v>
      </c>
      <c r="E1299" s="2200">
        <f t="shared" si="81"/>
        <v>11</v>
      </c>
      <c r="F1299" s="2200" t="str">
        <f t="shared" si="82"/>
        <v>23</v>
      </c>
      <c r="G1299" s="2200" t="str">
        <f t="shared" si="83"/>
        <v>00100</v>
      </c>
      <c r="H1299" s="2200">
        <f>--SUBTOTAL(3,C$2:C1299)</f>
        <v>99</v>
      </c>
    </row>
    <row r="1300" spans="1:8" hidden="1" x14ac:dyDescent="0.15">
      <c r="A1300" s="2200" t="s">
        <v>11502</v>
      </c>
      <c r="B1300" s="2200" t="s">
        <v>13312</v>
      </c>
      <c r="C1300" s="2200" t="s">
        <v>13313</v>
      </c>
      <c r="D1300" s="2200" t="str">
        <f t="shared" si="80"/>
        <v>ME</v>
      </c>
      <c r="E1300" s="2200">
        <f t="shared" si="81"/>
        <v>11</v>
      </c>
      <c r="F1300" s="2200" t="str">
        <f t="shared" si="82"/>
        <v>23</v>
      </c>
      <c r="G1300" s="2200" t="str">
        <f t="shared" si="83"/>
        <v>00275</v>
      </c>
      <c r="H1300" s="2200">
        <f>--SUBTOTAL(3,C$2:C1300)</f>
        <v>99</v>
      </c>
    </row>
    <row r="1301" spans="1:8" hidden="1" x14ac:dyDescent="0.15">
      <c r="A1301" s="2200" t="s">
        <v>11443</v>
      </c>
      <c r="B1301" s="2200" t="s">
        <v>13314</v>
      </c>
      <c r="C1301" s="2200" t="s">
        <v>13315</v>
      </c>
      <c r="D1301" s="2200" t="str">
        <f t="shared" si="80"/>
        <v>ME</v>
      </c>
      <c r="E1301" s="2200">
        <f t="shared" si="81"/>
        <v>6</v>
      </c>
      <c r="F1301" s="2200" t="str">
        <f t="shared" si="82"/>
        <v>23</v>
      </c>
      <c r="G1301" s="2200" t="str">
        <f t="shared" si="83"/>
        <v>80100</v>
      </c>
      <c r="H1301" s="2200">
        <f>--SUBTOTAL(3,C$2:C1301)</f>
        <v>99</v>
      </c>
    </row>
    <row r="1302" spans="1:8" hidden="1" x14ac:dyDescent="0.15">
      <c r="A1302" s="2200" t="s">
        <v>11502</v>
      </c>
      <c r="B1302" s="2200" t="s">
        <v>13316</v>
      </c>
      <c r="C1302" s="2200" t="s">
        <v>13317</v>
      </c>
      <c r="D1302" s="2200" t="str">
        <f t="shared" si="80"/>
        <v>ME</v>
      </c>
      <c r="E1302" s="2200">
        <f t="shared" si="81"/>
        <v>13</v>
      </c>
      <c r="F1302" s="2200" t="str">
        <f t="shared" si="82"/>
        <v>23</v>
      </c>
      <c r="G1302" s="2200" t="str">
        <f t="shared" si="83"/>
        <v>00380</v>
      </c>
      <c r="H1302" s="2200">
        <f>--SUBTOTAL(3,C$2:C1302)</f>
        <v>99</v>
      </c>
    </row>
    <row r="1303" spans="1:8" hidden="1" x14ac:dyDescent="0.15">
      <c r="A1303" s="2200" t="s">
        <v>11502</v>
      </c>
      <c r="B1303" s="2200" t="s">
        <v>13318</v>
      </c>
      <c r="C1303" s="2200" t="s">
        <v>13319</v>
      </c>
      <c r="D1303" s="2200" t="str">
        <f t="shared" si="80"/>
        <v>ME</v>
      </c>
      <c r="E1303" s="2200">
        <f t="shared" si="81"/>
        <v>12</v>
      </c>
      <c r="F1303" s="2200" t="str">
        <f t="shared" si="82"/>
        <v>23</v>
      </c>
      <c r="G1303" s="2200" t="str">
        <f t="shared" si="83"/>
        <v>00590</v>
      </c>
      <c r="H1303" s="2200">
        <f>--SUBTOTAL(3,C$2:C1303)</f>
        <v>99</v>
      </c>
    </row>
    <row r="1304" spans="1:8" hidden="1" x14ac:dyDescent="0.15">
      <c r="A1304" s="2200" t="s">
        <v>11502</v>
      </c>
      <c r="B1304" s="2200" t="s">
        <v>13320</v>
      </c>
      <c r="C1304" s="2200" t="s">
        <v>13321</v>
      </c>
      <c r="D1304" s="2200" t="str">
        <f t="shared" si="80"/>
        <v>ME</v>
      </c>
      <c r="E1304" s="2200">
        <f t="shared" si="81"/>
        <v>15</v>
      </c>
      <c r="F1304" s="2200" t="str">
        <f t="shared" si="82"/>
        <v>23</v>
      </c>
      <c r="G1304" s="2200" t="str">
        <f t="shared" si="83"/>
        <v>00660</v>
      </c>
      <c r="H1304" s="2200">
        <f>--SUBTOTAL(3,C$2:C1304)</f>
        <v>99</v>
      </c>
    </row>
    <row r="1305" spans="1:8" hidden="1" x14ac:dyDescent="0.15">
      <c r="A1305" s="2200" t="s">
        <v>11502</v>
      </c>
      <c r="B1305" s="2200" t="s">
        <v>13322</v>
      </c>
      <c r="C1305" s="2200" t="s">
        <v>13323</v>
      </c>
      <c r="D1305" s="2200" t="str">
        <f t="shared" si="80"/>
        <v>ME</v>
      </c>
      <c r="E1305" s="2200">
        <f t="shared" si="81"/>
        <v>12</v>
      </c>
      <c r="F1305" s="2200" t="str">
        <f t="shared" si="82"/>
        <v>23</v>
      </c>
      <c r="G1305" s="2200" t="str">
        <f t="shared" si="83"/>
        <v>00730</v>
      </c>
      <c r="H1305" s="2200">
        <f>--SUBTOTAL(3,C$2:C1305)</f>
        <v>99</v>
      </c>
    </row>
    <row r="1306" spans="1:8" hidden="1" x14ac:dyDescent="0.15">
      <c r="A1306" s="2200" t="s">
        <v>11502</v>
      </c>
      <c r="B1306" s="2200" t="s">
        <v>13324</v>
      </c>
      <c r="C1306" s="2200" t="s">
        <v>13325</v>
      </c>
      <c r="D1306" s="2200" t="str">
        <f t="shared" si="80"/>
        <v>ME</v>
      </c>
      <c r="E1306" s="2200">
        <f t="shared" si="81"/>
        <v>14</v>
      </c>
      <c r="F1306" s="2200" t="str">
        <f t="shared" si="82"/>
        <v>23</v>
      </c>
      <c r="G1306" s="2200" t="str">
        <f t="shared" si="83"/>
        <v>00800</v>
      </c>
      <c r="H1306" s="2200">
        <f>--SUBTOTAL(3,C$2:C1306)</f>
        <v>99</v>
      </c>
    </row>
    <row r="1307" spans="1:8" hidden="1" x14ac:dyDescent="0.15">
      <c r="A1307" s="2200" t="s">
        <v>11502</v>
      </c>
      <c r="B1307" s="2200" t="s">
        <v>13326</v>
      </c>
      <c r="C1307" s="2200" t="s">
        <v>13327</v>
      </c>
      <c r="D1307" s="2200" t="str">
        <f t="shared" si="80"/>
        <v>ME</v>
      </c>
      <c r="E1307" s="2200">
        <f t="shared" si="81"/>
        <v>10</v>
      </c>
      <c r="F1307" s="2200" t="str">
        <f t="shared" si="82"/>
        <v>23</v>
      </c>
      <c r="G1307" s="2200" t="str">
        <f t="shared" si="83"/>
        <v>01010</v>
      </c>
      <c r="H1307" s="2200">
        <f>--SUBTOTAL(3,C$2:C1307)</f>
        <v>99</v>
      </c>
    </row>
    <row r="1308" spans="1:8" hidden="1" x14ac:dyDescent="0.15">
      <c r="A1308" s="2200" t="s">
        <v>11502</v>
      </c>
      <c r="B1308" s="2200" t="s">
        <v>13328</v>
      </c>
      <c r="C1308" s="2200" t="s">
        <v>13329</v>
      </c>
      <c r="D1308" s="2200" t="str">
        <f t="shared" si="80"/>
        <v>ME</v>
      </c>
      <c r="E1308" s="2200">
        <f t="shared" si="81"/>
        <v>11</v>
      </c>
      <c r="F1308" s="2200" t="str">
        <f t="shared" si="82"/>
        <v>23</v>
      </c>
      <c r="G1308" s="2200" t="str">
        <f t="shared" si="83"/>
        <v>01115</v>
      </c>
      <c r="H1308" s="2200">
        <f>--SUBTOTAL(3,C$2:C1308)</f>
        <v>99</v>
      </c>
    </row>
    <row r="1309" spans="1:8" hidden="1" x14ac:dyDescent="0.15">
      <c r="A1309" s="2200" t="s">
        <v>11502</v>
      </c>
      <c r="B1309" s="2200" t="s">
        <v>13330</v>
      </c>
      <c r="C1309" s="2200" t="s">
        <v>13331</v>
      </c>
      <c r="D1309" s="2200" t="str">
        <f t="shared" si="80"/>
        <v>ME</v>
      </c>
      <c r="E1309" s="2200">
        <f t="shared" si="81"/>
        <v>13</v>
      </c>
      <c r="F1309" s="2200" t="str">
        <f t="shared" si="82"/>
        <v>23</v>
      </c>
      <c r="G1309" s="2200" t="str">
        <f t="shared" si="83"/>
        <v>01185</v>
      </c>
      <c r="H1309" s="2200">
        <f>--SUBTOTAL(3,C$2:C1309)</f>
        <v>99</v>
      </c>
    </row>
    <row r="1310" spans="1:8" hidden="1" x14ac:dyDescent="0.15">
      <c r="A1310" s="2200" t="s">
        <v>11502</v>
      </c>
      <c r="B1310" s="2200" t="s">
        <v>13332</v>
      </c>
      <c r="C1310" s="2200" t="s">
        <v>13333</v>
      </c>
      <c r="D1310" s="2200" t="str">
        <f t="shared" si="80"/>
        <v>ME</v>
      </c>
      <c r="E1310" s="2200">
        <f t="shared" si="81"/>
        <v>11</v>
      </c>
      <c r="F1310" s="2200" t="str">
        <f t="shared" si="82"/>
        <v>23</v>
      </c>
      <c r="G1310" s="2200" t="str">
        <f t="shared" si="83"/>
        <v>01220</v>
      </c>
      <c r="H1310" s="2200">
        <f>--SUBTOTAL(3,C$2:C1310)</f>
        <v>99</v>
      </c>
    </row>
    <row r="1311" spans="1:8" hidden="1" x14ac:dyDescent="0.15">
      <c r="A1311" s="2200" t="s">
        <v>11502</v>
      </c>
      <c r="B1311" s="2200" t="s">
        <v>13334</v>
      </c>
      <c r="C1311" s="2200" t="s">
        <v>13335</v>
      </c>
      <c r="D1311" s="2200" t="str">
        <f t="shared" si="80"/>
        <v>ME</v>
      </c>
      <c r="E1311" s="2200">
        <f t="shared" si="81"/>
        <v>13</v>
      </c>
      <c r="F1311" s="2200" t="str">
        <f t="shared" si="82"/>
        <v>23</v>
      </c>
      <c r="G1311" s="2200" t="str">
        <f t="shared" si="83"/>
        <v>01325</v>
      </c>
      <c r="H1311" s="2200">
        <f>--SUBTOTAL(3,C$2:C1311)</f>
        <v>99</v>
      </c>
    </row>
    <row r="1312" spans="1:8" hidden="1" x14ac:dyDescent="0.15">
      <c r="A1312" s="2200" t="s">
        <v>11502</v>
      </c>
      <c r="B1312" s="2200" t="s">
        <v>13336</v>
      </c>
      <c r="C1312" s="2200" t="s">
        <v>13337</v>
      </c>
      <c r="D1312" s="2200" t="str">
        <f t="shared" si="80"/>
        <v>ME</v>
      </c>
      <c r="E1312" s="2200">
        <f t="shared" si="81"/>
        <v>11</v>
      </c>
      <c r="F1312" s="2200" t="str">
        <f t="shared" si="82"/>
        <v>23</v>
      </c>
      <c r="G1312" s="2200" t="str">
        <f t="shared" si="83"/>
        <v>01395</v>
      </c>
      <c r="H1312" s="2200">
        <f>--SUBTOTAL(3,C$2:C1312)</f>
        <v>99</v>
      </c>
    </row>
    <row r="1313" spans="1:8" hidden="1" x14ac:dyDescent="0.15">
      <c r="A1313" s="2200" t="s">
        <v>11502</v>
      </c>
      <c r="B1313" s="2200" t="s">
        <v>13338</v>
      </c>
      <c r="C1313" s="2200" t="s">
        <v>13339</v>
      </c>
      <c r="D1313" s="2200" t="str">
        <f t="shared" si="80"/>
        <v>ME</v>
      </c>
      <c r="E1313" s="2200">
        <f t="shared" si="81"/>
        <v>14</v>
      </c>
      <c r="F1313" s="2200" t="str">
        <f t="shared" si="82"/>
        <v>23</v>
      </c>
      <c r="G1313" s="2200" t="str">
        <f t="shared" si="83"/>
        <v>01465</v>
      </c>
      <c r="H1313" s="2200">
        <f>--SUBTOTAL(3,C$2:C1313)</f>
        <v>99</v>
      </c>
    </row>
    <row r="1314" spans="1:8" hidden="1" x14ac:dyDescent="0.15">
      <c r="A1314" s="2200" t="s">
        <v>11502</v>
      </c>
      <c r="B1314" s="2200" t="s">
        <v>13340</v>
      </c>
      <c r="C1314" s="2200" t="s">
        <v>13341</v>
      </c>
      <c r="D1314" s="2200" t="str">
        <f t="shared" si="80"/>
        <v>ME</v>
      </c>
      <c r="E1314" s="2200">
        <f t="shared" si="81"/>
        <v>19</v>
      </c>
      <c r="F1314" s="2200" t="str">
        <f t="shared" si="82"/>
        <v>23</v>
      </c>
      <c r="G1314" s="2200" t="str">
        <f t="shared" si="83"/>
        <v>01500</v>
      </c>
      <c r="H1314" s="2200">
        <f>--SUBTOTAL(3,C$2:C1314)</f>
        <v>99</v>
      </c>
    </row>
    <row r="1315" spans="1:8" hidden="1" x14ac:dyDescent="0.15">
      <c r="A1315" s="2200" t="s">
        <v>11502</v>
      </c>
      <c r="B1315" s="2200" t="s">
        <v>13342</v>
      </c>
      <c r="C1315" s="2200" t="s">
        <v>13343</v>
      </c>
      <c r="D1315" s="2200" t="str">
        <f t="shared" si="80"/>
        <v>ME</v>
      </c>
      <c r="E1315" s="2200">
        <f t="shared" si="81"/>
        <v>14</v>
      </c>
      <c r="F1315" s="2200" t="str">
        <f t="shared" si="82"/>
        <v>23</v>
      </c>
      <c r="G1315" s="2200" t="str">
        <f t="shared" si="83"/>
        <v>01570</v>
      </c>
      <c r="H1315" s="2200">
        <f>--SUBTOTAL(3,C$2:C1315)</f>
        <v>99</v>
      </c>
    </row>
    <row r="1316" spans="1:8" hidden="1" x14ac:dyDescent="0.15">
      <c r="A1316" s="2200" t="s">
        <v>11502</v>
      </c>
      <c r="B1316" s="2200" t="s">
        <v>13344</v>
      </c>
      <c r="C1316" s="2200" t="s">
        <v>13345</v>
      </c>
      <c r="D1316" s="2200" t="str">
        <f t="shared" si="80"/>
        <v>ME</v>
      </c>
      <c r="E1316" s="2200">
        <f t="shared" si="81"/>
        <v>13</v>
      </c>
      <c r="F1316" s="2200" t="str">
        <f t="shared" si="82"/>
        <v>23</v>
      </c>
      <c r="G1316" s="2200" t="str">
        <f t="shared" si="83"/>
        <v>01605</v>
      </c>
      <c r="H1316" s="2200">
        <f>--SUBTOTAL(3,C$2:C1316)</f>
        <v>99</v>
      </c>
    </row>
    <row r="1317" spans="1:8" hidden="1" x14ac:dyDescent="0.15">
      <c r="A1317" s="2200" t="s">
        <v>11502</v>
      </c>
      <c r="B1317" s="2200" t="s">
        <v>13346</v>
      </c>
      <c r="C1317" s="2200" t="s">
        <v>13347</v>
      </c>
      <c r="D1317" s="2200" t="str">
        <f t="shared" si="80"/>
        <v>ME</v>
      </c>
      <c r="E1317" s="2200">
        <f t="shared" si="81"/>
        <v>13</v>
      </c>
      <c r="F1317" s="2200" t="str">
        <f t="shared" si="82"/>
        <v>23</v>
      </c>
      <c r="G1317" s="2200" t="str">
        <f t="shared" si="83"/>
        <v>01710</v>
      </c>
      <c r="H1317" s="2200">
        <f>--SUBTOTAL(3,C$2:C1317)</f>
        <v>99</v>
      </c>
    </row>
    <row r="1318" spans="1:8" hidden="1" x14ac:dyDescent="0.15">
      <c r="A1318" s="2200" t="s">
        <v>11502</v>
      </c>
      <c r="B1318" s="2200" t="s">
        <v>13348</v>
      </c>
      <c r="C1318" s="2200" t="s">
        <v>13349</v>
      </c>
      <c r="D1318" s="2200" t="str">
        <f t="shared" si="80"/>
        <v>ME</v>
      </c>
      <c r="E1318" s="2200">
        <f t="shared" si="81"/>
        <v>12</v>
      </c>
      <c r="F1318" s="2200" t="str">
        <f t="shared" si="82"/>
        <v>23</v>
      </c>
      <c r="G1318" s="2200" t="str">
        <f t="shared" si="83"/>
        <v>01885</v>
      </c>
      <c r="H1318" s="2200">
        <f>--SUBTOTAL(3,C$2:C1318)</f>
        <v>99</v>
      </c>
    </row>
    <row r="1319" spans="1:8" hidden="1" x14ac:dyDescent="0.15">
      <c r="A1319" s="2200" t="s">
        <v>11502</v>
      </c>
      <c r="B1319" s="2200" t="s">
        <v>13350</v>
      </c>
      <c r="C1319" s="2200" t="s">
        <v>13351</v>
      </c>
      <c r="D1319" s="2200" t="str">
        <f t="shared" si="80"/>
        <v>ME</v>
      </c>
      <c r="E1319" s="2200">
        <f t="shared" si="81"/>
        <v>14</v>
      </c>
      <c r="F1319" s="2200" t="str">
        <f t="shared" si="82"/>
        <v>23</v>
      </c>
      <c r="G1319" s="2200" t="str">
        <f t="shared" si="83"/>
        <v>01920</v>
      </c>
      <c r="H1319" s="2200">
        <f>--SUBTOTAL(3,C$2:C1319)</f>
        <v>99</v>
      </c>
    </row>
    <row r="1320" spans="1:8" hidden="1" x14ac:dyDescent="0.15">
      <c r="A1320" s="2200" t="s">
        <v>11502</v>
      </c>
      <c r="B1320" s="2200" t="s">
        <v>13352</v>
      </c>
      <c r="C1320" s="2200" t="s">
        <v>13353</v>
      </c>
      <c r="D1320" s="2200" t="str">
        <f t="shared" si="80"/>
        <v>ME</v>
      </c>
      <c r="E1320" s="2200">
        <f t="shared" si="81"/>
        <v>12</v>
      </c>
      <c r="F1320" s="2200" t="str">
        <f t="shared" si="82"/>
        <v>23</v>
      </c>
      <c r="G1320" s="2200" t="str">
        <f t="shared" si="83"/>
        <v>02060</v>
      </c>
      <c r="H1320" s="2200">
        <f>--SUBTOTAL(3,C$2:C1320)</f>
        <v>99</v>
      </c>
    </row>
    <row r="1321" spans="1:8" hidden="1" x14ac:dyDescent="0.15">
      <c r="A1321" s="2200" t="s">
        <v>11502</v>
      </c>
      <c r="B1321" s="2200" t="s">
        <v>13354</v>
      </c>
      <c r="C1321" s="2200" t="s">
        <v>13355</v>
      </c>
      <c r="D1321" s="2200" t="str">
        <f t="shared" si="80"/>
        <v>ME</v>
      </c>
      <c r="E1321" s="2200">
        <f t="shared" si="81"/>
        <v>13</v>
      </c>
      <c r="F1321" s="2200" t="str">
        <f t="shared" si="82"/>
        <v>23</v>
      </c>
      <c r="G1321" s="2200" t="str">
        <f t="shared" si="83"/>
        <v>02100</v>
      </c>
      <c r="H1321" s="2200">
        <f>--SUBTOTAL(3,C$2:C1321)</f>
        <v>99</v>
      </c>
    </row>
    <row r="1322" spans="1:8" hidden="1" x14ac:dyDescent="0.15">
      <c r="A1322" s="2200" t="s">
        <v>11502</v>
      </c>
      <c r="B1322" s="2200" t="s">
        <v>13356</v>
      </c>
      <c r="C1322" s="2200" t="s">
        <v>13357</v>
      </c>
      <c r="D1322" s="2200" t="str">
        <f t="shared" si="80"/>
        <v>ME</v>
      </c>
      <c r="E1322" s="2200">
        <f t="shared" si="81"/>
        <v>12</v>
      </c>
      <c r="F1322" s="2200" t="str">
        <f t="shared" si="82"/>
        <v>23</v>
      </c>
      <c r="G1322" s="2200" t="str">
        <f t="shared" si="83"/>
        <v>02165</v>
      </c>
      <c r="H1322" s="2200">
        <f>--SUBTOTAL(3,C$2:C1322)</f>
        <v>99</v>
      </c>
    </row>
    <row r="1323" spans="1:8" hidden="1" x14ac:dyDescent="0.15">
      <c r="A1323" s="2200" t="s">
        <v>11502</v>
      </c>
      <c r="B1323" s="2200" t="s">
        <v>13358</v>
      </c>
      <c r="C1323" s="2200" t="s">
        <v>13359</v>
      </c>
      <c r="D1323" s="2200" t="str">
        <f t="shared" si="80"/>
        <v>ME</v>
      </c>
      <c r="E1323" s="2200">
        <f t="shared" si="81"/>
        <v>10</v>
      </c>
      <c r="F1323" s="2200" t="str">
        <f t="shared" si="82"/>
        <v>23</v>
      </c>
      <c r="G1323" s="2200" t="str">
        <f t="shared" si="83"/>
        <v>02235</v>
      </c>
      <c r="H1323" s="2200">
        <f>--SUBTOTAL(3,C$2:C1323)</f>
        <v>99</v>
      </c>
    </row>
    <row r="1324" spans="1:8" hidden="1" x14ac:dyDescent="0.15">
      <c r="A1324" s="2200" t="s">
        <v>11502</v>
      </c>
      <c r="B1324" s="2200" t="s">
        <v>13360</v>
      </c>
      <c r="C1324" s="2200" t="s">
        <v>13361</v>
      </c>
      <c r="D1324" s="2200" t="str">
        <f t="shared" si="80"/>
        <v>ME</v>
      </c>
      <c r="E1324" s="2200">
        <f t="shared" si="81"/>
        <v>17</v>
      </c>
      <c r="F1324" s="2200" t="str">
        <f t="shared" si="82"/>
        <v>23</v>
      </c>
      <c r="G1324" s="2200" t="str">
        <f t="shared" si="83"/>
        <v>02480</v>
      </c>
      <c r="H1324" s="2200">
        <f>--SUBTOTAL(3,C$2:C1324)</f>
        <v>99</v>
      </c>
    </row>
    <row r="1325" spans="1:8" hidden="1" x14ac:dyDescent="0.15">
      <c r="A1325" s="2200" t="s">
        <v>11502</v>
      </c>
      <c r="B1325" s="2200" t="s">
        <v>13362</v>
      </c>
      <c r="C1325" s="2200" t="s">
        <v>13363</v>
      </c>
      <c r="D1325" s="2200" t="str">
        <f t="shared" si="80"/>
        <v>ME</v>
      </c>
      <c r="E1325" s="2200">
        <f t="shared" si="81"/>
        <v>13</v>
      </c>
      <c r="F1325" s="2200" t="str">
        <f t="shared" si="82"/>
        <v>23</v>
      </c>
      <c r="G1325" s="2200" t="str">
        <f t="shared" si="83"/>
        <v>02655</v>
      </c>
      <c r="H1325" s="2200">
        <f>--SUBTOTAL(3,C$2:C1325)</f>
        <v>99</v>
      </c>
    </row>
    <row r="1326" spans="1:8" hidden="1" x14ac:dyDescent="0.15">
      <c r="A1326" s="2200" t="s">
        <v>11502</v>
      </c>
      <c r="B1326" s="2200" t="s">
        <v>13364</v>
      </c>
      <c r="C1326" s="2200" t="s">
        <v>13365</v>
      </c>
      <c r="D1326" s="2200" t="str">
        <f t="shared" si="80"/>
        <v>ME</v>
      </c>
      <c r="E1326" s="2200">
        <f t="shared" si="81"/>
        <v>14</v>
      </c>
      <c r="F1326" s="2200" t="str">
        <f t="shared" si="82"/>
        <v>23</v>
      </c>
      <c r="G1326" s="2200" t="str">
        <f t="shared" si="83"/>
        <v>02760</v>
      </c>
      <c r="H1326" s="2200">
        <f>--SUBTOTAL(3,C$2:C1326)</f>
        <v>99</v>
      </c>
    </row>
    <row r="1327" spans="1:8" hidden="1" x14ac:dyDescent="0.15">
      <c r="A1327" s="2200" t="s">
        <v>10723</v>
      </c>
      <c r="B1327" s="2200" t="s">
        <v>13366</v>
      </c>
      <c r="C1327" s="2200" t="s">
        <v>13367</v>
      </c>
      <c r="D1327" s="2200" t="str">
        <f t="shared" si="80"/>
        <v>ME</v>
      </c>
      <c r="E1327" s="2200">
        <f t="shared" si="81"/>
        <v>12</v>
      </c>
      <c r="F1327" s="2200" t="str">
        <f t="shared" si="82"/>
        <v>23</v>
      </c>
      <c r="G1327" s="2200" t="str">
        <f t="shared" si="83"/>
        <v>02795</v>
      </c>
      <c r="H1327" s="2200">
        <f>--SUBTOTAL(3,C$2:C1327)</f>
        <v>99</v>
      </c>
    </row>
    <row r="1328" spans="1:8" hidden="1" x14ac:dyDescent="0.15">
      <c r="A1328" s="2200" t="s">
        <v>11502</v>
      </c>
      <c r="B1328" s="2200" t="s">
        <v>13368</v>
      </c>
      <c r="C1328" s="2200" t="s">
        <v>13369</v>
      </c>
      <c r="D1328" s="2200" t="str">
        <f t="shared" si="80"/>
        <v>ME</v>
      </c>
      <c r="E1328" s="2200">
        <f t="shared" si="81"/>
        <v>16</v>
      </c>
      <c r="F1328" s="2200" t="str">
        <f t="shared" si="82"/>
        <v>23</v>
      </c>
      <c r="G1328" s="2200" t="str">
        <f t="shared" si="83"/>
        <v>02865</v>
      </c>
      <c r="H1328" s="2200">
        <f>--SUBTOTAL(3,C$2:C1328)</f>
        <v>99</v>
      </c>
    </row>
    <row r="1329" spans="1:8" hidden="1" x14ac:dyDescent="0.15">
      <c r="A1329" s="2200" t="s">
        <v>11502</v>
      </c>
      <c r="B1329" s="2200" t="s">
        <v>13370</v>
      </c>
      <c r="C1329" s="2200" t="s">
        <v>13371</v>
      </c>
      <c r="D1329" s="2200" t="str">
        <f t="shared" si="80"/>
        <v>ME</v>
      </c>
      <c r="E1329" s="2200">
        <f t="shared" si="81"/>
        <v>18</v>
      </c>
      <c r="F1329" s="2200" t="str">
        <f t="shared" si="82"/>
        <v>23</v>
      </c>
      <c r="G1329" s="2200" t="str">
        <f t="shared" si="83"/>
        <v>02970</v>
      </c>
      <c r="H1329" s="2200">
        <f>--SUBTOTAL(3,C$2:C1329)</f>
        <v>99</v>
      </c>
    </row>
    <row r="1330" spans="1:8" hidden="1" x14ac:dyDescent="0.15">
      <c r="A1330" s="2200" t="s">
        <v>11502</v>
      </c>
      <c r="B1330" s="2200" t="s">
        <v>13372</v>
      </c>
      <c r="C1330" s="2200" t="s">
        <v>13373</v>
      </c>
      <c r="D1330" s="2200" t="str">
        <f t="shared" si="80"/>
        <v>ME</v>
      </c>
      <c r="E1330" s="2200">
        <f t="shared" si="81"/>
        <v>10</v>
      </c>
      <c r="F1330" s="2200" t="str">
        <f t="shared" si="82"/>
        <v>23</v>
      </c>
      <c r="G1330" s="2200" t="str">
        <f t="shared" si="83"/>
        <v>03355</v>
      </c>
      <c r="H1330" s="2200">
        <f>--SUBTOTAL(3,C$2:C1330)</f>
        <v>99</v>
      </c>
    </row>
    <row r="1331" spans="1:8" hidden="1" x14ac:dyDescent="0.15">
      <c r="A1331" s="2200" t="s">
        <v>11502</v>
      </c>
      <c r="B1331" s="2200" t="s">
        <v>13374</v>
      </c>
      <c r="C1331" s="2200" t="s">
        <v>13375</v>
      </c>
      <c r="D1331" s="2200" t="str">
        <f t="shared" si="80"/>
        <v>ME</v>
      </c>
      <c r="E1331" s="2200">
        <f t="shared" si="81"/>
        <v>11</v>
      </c>
      <c r="F1331" s="2200" t="str">
        <f t="shared" si="82"/>
        <v>23</v>
      </c>
      <c r="G1331" s="2200" t="str">
        <f t="shared" si="83"/>
        <v>03670</v>
      </c>
      <c r="H1331" s="2200">
        <f>--SUBTOTAL(3,C$2:C1331)</f>
        <v>99</v>
      </c>
    </row>
    <row r="1332" spans="1:8" hidden="1" x14ac:dyDescent="0.15">
      <c r="A1332" s="2200" t="s">
        <v>11502</v>
      </c>
      <c r="B1332" s="2200" t="s">
        <v>13376</v>
      </c>
      <c r="C1332" s="2200" t="s">
        <v>13377</v>
      </c>
      <c r="D1332" s="2200" t="str">
        <f t="shared" si="80"/>
        <v>ME</v>
      </c>
      <c r="E1332" s="2200">
        <f t="shared" si="81"/>
        <v>17</v>
      </c>
      <c r="F1332" s="2200" t="str">
        <f t="shared" si="82"/>
        <v>23</v>
      </c>
      <c r="G1332" s="2200" t="str">
        <f t="shared" si="83"/>
        <v>03740</v>
      </c>
      <c r="H1332" s="2200">
        <f>--SUBTOTAL(3,C$2:C1332)</f>
        <v>99</v>
      </c>
    </row>
    <row r="1333" spans="1:8" hidden="1" x14ac:dyDescent="0.15">
      <c r="A1333" s="2200" t="s">
        <v>11502</v>
      </c>
      <c r="B1333" s="2200" t="s">
        <v>13378</v>
      </c>
      <c r="C1333" s="2200" t="s">
        <v>13379</v>
      </c>
      <c r="D1333" s="2200" t="str">
        <f t="shared" si="80"/>
        <v>ME</v>
      </c>
      <c r="E1333" s="2200">
        <f t="shared" si="81"/>
        <v>16</v>
      </c>
      <c r="F1333" s="2200" t="str">
        <f t="shared" si="82"/>
        <v>23</v>
      </c>
      <c r="G1333" s="2200" t="str">
        <f t="shared" si="83"/>
        <v>03810</v>
      </c>
      <c r="H1333" s="2200">
        <f>--SUBTOTAL(3,C$2:C1333)</f>
        <v>99</v>
      </c>
    </row>
    <row r="1334" spans="1:8" hidden="1" x14ac:dyDescent="0.15">
      <c r="A1334" s="2200" t="s">
        <v>11502</v>
      </c>
      <c r="B1334" s="2200" t="s">
        <v>13380</v>
      </c>
      <c r="C1334" s="2200" t="s">
        <v>13381</v>
      </c>
      <c r="D1334" s="2200" t="str">
        <f t="shared" si="80"/>
        <v>ME</v>
      </c>
      <c r="E1334" s="2200">
        <f t="shared" si="81"/>
        <v>13</v>
      </c>
      <c r="F1334" s="2200" t="str">
        <f t="shared" si="82"/>
        <v>23</v>
      </c>
      <c r="G1334" s="2200" t="str">
        <f t="shared" si="83"/>
        <v>03950</v>
      </c>
      <c r="H1334" s="2200">
        <f>--SUBTOTAL(3,C$2:C1334)</f>
        <v>99</v>
      </c>
    </row>
    <row r="1335" spans="1:8" hidden="1" x14ac:dyDescent="0.15">
      <c r="A1335" s="2200" t="s">
        <v>11443</v>
      </c>
      <c r="B1335" s="2200" t="s">
        <v>13382</v>
      </c>
      <c r="C1335" s="2200" t="s">
        <v>13383</v>
      </c>
      <c r="D1335" s="2200" t="str">
        <f t="shared" si="80"/>
        <v>ME</v>
      </c>
      <c r="E1335" s="2200">
        <f t="shared" si="81"/>
        <v>8</v>
      </c>
      <c r="F1335" s="2200" t="str">
        <f t="shared" si="82"/>
        <v>23</v>
      </c>
      <c r="G1335" s="2200" t="str">
        <f t="shared" si="83"/>
        <v>80300</v>
      </c>
      <c r="H1335" s="2200">
        <f>--SUBTOTAL(3,C$2:C1335)</f>
        <v>99</v>
      </c>
    </row>
    <row r="1336" spans="1:8" hidden="1" x14ac:dyDescent="0.15">
      <c r="A1336" s="2200" t="s">
        <v>11502</v>
      </c>
      <c r="B1336" s="2200" t="s">
        <v>13384</v>
      </c>
      <c r="C1336" s="2200" t="s">
        <v>13385</v>
      </c>
      <c r="D1336" s="2200" t="str">
        <f t="shared" si="80"/>
        <v>ME</v>
      </c>
      <c r="E1336" s="2200">
        <f t="shared" si="81"/>
        <v>14</v>
      </c>
      <c r="F1336" s="2200" t="str">
        <f t="shared" si="82"/>
        <v>23</v>
      </c>
      <c r="G1336" s="2200" t="str">
        <f t="shared" si="83"/>
        <v>04020</v>
      </c>
      <c r="H1336" s="2200">
        <f>--SUBTOTAL(3,C$2:C1336)</f>
        <v>99</v>
      </c>
    </row>
    <row r="1337" spans="1:8" hidden="1" x14ac:dyDescent="0.15">
      <c r="A1337" s="2200" t="s">
        <v>11502</v>
      </c>
      <c r="B1337" s="2200" t="s">
        <v>13386</v>
      </c>
      <c r="C1337" s="2200" t="s">
        <v>13387</v>
      </c>
      <c r="D1337" s="2200" t="str">
        <f t="shared" si="80"/>
        <v>ME</v>
      </c>
      <c r="E1337" s="2200">
        <f t="shared" si="81"/>
        <v>13</v>
      </c>
      <c r="F1337" s="2200" t="str">
        <f t="shared" si="82"/>
        <v>23</v>
      </c>
      <c r="G1337" s="2200" t="str">
        <f t="shared" si="83"/>
        <v>04125</v>
      </c>
      <c r="H1337" s="2200">
        <f>--SUBTOTAL(3,C$2:C1337)</f>
        <v>99</v>
      </c>
    </row>
    <row r="1338" spans="1:8" hidden="1" x14ac:dyDescent="0.15">
      <c r="A1338" s="2200" t="s">
        <v>11502</v>
      </c>
      <c r="B1338" s="2200" t="s">
        <v>13388</v>
      </c>
      <c r="C1338" s="2200" t="s">
        <v>13389</v>
      </c>
      <c r="D1338" s="2200" t="str">
        <f t="shared" si="80"/>
        <v>ME</v>
      </c>
      <c r="E1338" s="2200">
        <f t="shared" si="81"/>
        <v>12</v>
      </c>
      <c r="F1338" s="2200" t="str">
        <f t="shared" si="82"/>
        <v>23</v>
      </c>
      <c r="G1338" s="2200" t="str">
        <f t="shared" si="83"/>
        <v>04475</v>
      </c>
      <c r="H1338" s="2200">
        <f>--SUBTOTAL(3,C$2:C1338)</f>
        <v>99</v>
      </c>
    </row>
    <row r="1339" spans="1:8" hidden="1" x14ac:dyDescent="0.15">
      <c r="A1339" s="2200" t="s">
        <v>11502</v>
      </c>
      <c r="B1339" s="2200" t="s">
        <v>13390</v>
      </c>
      <c r="C1339" s="2200" t="s">
        <v>13391</v>
      </c>
      <c r="D1339" s="2200" t="str">
        <f t="shared" si="80"/>
        <v>ME</v>
      </c>
      <c r="E1339" s="2200">
        <f t="shared" si="81"/>
        <v>13</v>
      </c>
      <c r="F1339" s="2200" t="str">
        <f t="shared" si="82"/>
        <v>23</v>
      </c>
      <c r="G1339" s="2200" t="str">
        <f t="shared" si="83"/>
        <v>04720</v>
      </c>
      <c r="H1339" s="2200">
        <f>--SUBTOTAL(3,C$2:C1339)</f>
        <v>99</v>
      </c>
    </row>
    <row r="1340" spans="1:8" hidden="1" x14ac:dyDescent="0.15">
      <c r="A1340" s="2200" t="s">
        <v>11502</v>
      </c>
      <c r="B1340" s="2200" t="s">
        <v>13392</v>
      </c>
      <c r="C1340" s="2200" t="s">
        <v>13393</v>
      </c>
      <c r="D1340" s="2200" t="str">
        <f t="shared" si="80"/>
        <v>ME</v>
      </c>
      <c r="E1340" s="2200">
        <f t="shared" si="81"/>
        <v>12</v>
      </c>
      <c r="F1340" s="2200" t="str">
        <f t="shared" si="82"/>
        <v>23</v>
      </c>
      <c r="G1340" s="2200" t="str">
        <f t="shared" si="83"/>
        <v>04825</v>
      </c>
      <c r="H1340" s="2200">
        <f>--SUBTOTAL(3,C$2:C1340)</f>
        <v>99</v>
      </c>
    </row>
    <row r="1341" spans="1:8" hidden="1" x14ac:dyDescent="0.15">
      <c r="A1341" s="2200" t="s">
        <v>11502</v>
      </c>
      <c r="B1341" s="2200" t="s">
        <v>13394</v>
      </c>
      <c r="C1341" s="2200" t="s">
        <v>13395</v>
      </c>
      <c r="D1341" s="2200" t="str">
        <f t="shared" si="80"/>
        <v>ME</v>
      </c>
      <c r="E1341" s="2200">
        <f t="shared" si="81"/>
        <v>15</v>
      </c>
      <c r="F1341" s="2200" t="str">
        <f t="shared" si="82"/>
        <v>23</v>
      </c>
      <c r="G1341" s="2200" t="str">
        <f t="shared" si="83"/>
        <v>04860</v>
      </c>
      <c r="H1341" s="2200">
        <f>--SUBTOTAL(3,C$2:C1341)</f>
        <v>99</v>
      </c>
    </row>
    <row r="1342" spans="1:8" hidden="1" x14ac:dyDescent="0.15">
      <c r="A1342" s="2200" t="s">
        <v>11502</v>
      </c>
      <c r="B1342" s="2200" t="s">
        <v>13396</v>
      </c>
      <c r="C1342" s="2200" t="s">
        <v>13397</v>
      </c>
      <c r="D1342" s="2200" t="str">
        <f t="shared" si="80"/>
        <v>ME</v>
      </c>
      <c r="E1342" s="2200">
        <f t="shared" si="81"/>
        <v>13</v>
      </c>
      <c r="F1342" s="2200" t="str">
        <f t="shared" si="82"/>
        <v>23</v>
      </c>
      <c r="G1342" s="2200" t="str">
        <f t="shared" si="83"/>
        <v>05000</v>
      </c>
      <c r="H1342" s="2200">
        <f>--SUBTOTAL(3,C$2:C1342)</f>
        <v>99</v>
      </c>
    </row>
    <row r="1343" spans="1:8" hidden="1" x14ac:dyDescent="0.15">
      <c r="A1343" s="2200" t="s">
        <v>11502</v>
      </c>
      <c r="B1343" s="2200" t="s">
        <v>13398</v>
      </c>
      <c r="C1343" s="2200" t="s">
        <v>13399</v>
      </c>
      <c r="D1343" s="2200" t="str">
        <f t="shared" si="80"/>
        <v>ME</v>
      </c>
      <c r="E1343" s="2200">
        <f t="shared" si="81"/>
        <v>12</v>
      </c>
      <c r="F1343" s="2200" t="str">
        <f t="shared" si="82"/>
        <v>23</v>
      </c>
      <c r="G1343" s="2200" t="str">
        <f t="shared" si="83"/>
        <v>05385</v>
      </c>
      <c r="H1343" s="2200">
        <f>--SUBTOTAL(3,C$2:C1343)</f>
        <v>99</v>
      </c>
    </row>
    <row r="1344" spans="1:8" hidden="1" x14ac:dyDescent="0.15">
      <c r="A1344" s="2200" t="s">
        <v>11502</v>
      </c>
      <c r="B1344" s="2200" t="s">
        <v>13400</v>
      </c>
      <c r="C1344" s="2200" t="s">
        <v>13401</v>
      </c>
      <c r="D1344" s="2200" t="str">
        <f t="shared" si="80"/>
        <v>ME</v>
      </c>
      <c r="E1344" s="2200">
        <f t="shared" si="81"/>
        <v>22</v>
      </c>
      <c r="F1344" s="2200" t="str">
        <f t="shared" si="82"/>
        <v>23</v>
      </c>
      <c r="G1344" s="2200" t="str">
        <f t="shared" si="83"/>
        <v>05560</v>
      </c>
      <c r="H1344" s="2200">
        <f>--SUBTOTAL(3,C$2:C1344)</f>
        <v>99</v>
      </c>
    </row>
    <row r="1345" spans="1:8" hidden="1" x14ac:dyDescent="0.15">
      <c r="A1345" s="2200" t="s">
        <v>11502</v>
      </c>
      <c r="B1345" s="2200" t="s">
        <v>13402</v>
      </c>
      <c r="C1345" s="2200" t="s">
        <v>13403</v>
      </c>
      <c r="D1345" s="2200" t="str">
        <f t="shared" si="80"/>
        <v>ME</v>
      </c>
      <c r="E1345" s="2200">
        <f t="shared" si="81"/>
        <v>15</v>
      </c>
      <c r="F1345" s="2200" t="str">
        <f t="shared" si="82"/>
        <v>23</v>
      </c>
      <c r="G1345" s="2200" t="str">
        <f t="shared" si="83"/>
        <v>05700</v>
      </c>
      <c r="H1345" s="2200">
        <f>--SUBTOTAL(3,C$2:C1345)</f>
        <v>99</v>
      </c>
    </row>
    <row r="1346" spans="1:8" hidden="1" x14ac:dyDescent="0.15">
      <c r="A1346" s="2200" t="s">
        <v>11502</v>
      </c>
      <c r="B1346" s="2200" t="s">
        <v>13404</v>
      </c>
      <c r="C1346" s="2200" t="s">
        <v>13405</v>
      </c>
      <c r="D1346" s="2200" t="str">
        <f t="shared" ref="D1346:D1409" si="84">MID(C1346,E1346+2,2)</f>
        <v>ME</v>
      </c>
      <c r="E1346" s="2200">
        <f t="shared" ref="E1346:E1409" si="85">FIND(",",C1346)</f>
        <v>21</v>
      </c>
      <c r="F1346" s="2200" t="str">
        <f t="shared" si="82"/>
        <v>23</v>
      </c>
      <c r="G1346" s="2200" t="str">
        <f t="shared" si="83"/>
        <v>06120</v>
      </c>
      <c r="H1346" s="2200">
        <f>--SUBTOTAL(3,C$2:C1346)</f>
        <v>99</v>
      </c>
    </row>
    <row r="1347" spans="1:8" hidden="1" x14ac:dyDescent="0.15">
      <c r="A1347" s="2200" t="s">
        <v>11502</v>
      </c>
      <c r="B1347" s="2200" t="s">
        <v>13406</v>
      </c>
      <c r="C1347" s="2200" t="s">
        <v>13407</v>
      </c>
      <c r="D1347" s="2200" t="str">
        <f t="shared" si="84"/>
        <v>ME</v>
      </c>
      <c r="E1347" s="2200">
        <f t="shared" si="85"/>
        <v>14</v>
      </c>
      <c r="F1347" s="2200" t="str">
        <f t="shared" ref="F1347:F1410" si="86">MID(B1347,3,2)</f>
        <v>23</v>
      </c>
      <c r="G1347" s="2200" t="str">
        <f t="shared" ref="G1347:G1410" si="87">MID(B1347,5,5)</f>
        <v>06050</v>
      </c>
      <c r="H1347" s="2200">
        <f>--SUBTOTAL(3,C$2:C1347)</f>
        <v>99</v>
      </c>
    </row>
    <row r="1348" spans="1:8" hidden="1" x14ac:dyDescent="0.15">
      <c r="A1348" s="2200" t="s">
        <v>11443</v>
      </c>
      <c r="B1348" s="2200" t="s">
        <v>13408</v>
      </c>
      <c r="C1348" s="2200" t="s">
        <v>13409</v>
      </c>
      <c r="D1348" s="2200" t="str">
        <f t="shared" si="84"/>
        <v>ME</v>
      </c>
      <c r="E1348" s="2200">
        <f t="shared" si="85"/>
        <v>9</v>
      </c>
      <c r="F1348" s="2200" t="str">
        <f t="shared" si="86"/>
        <v>23</v>
      </c>
      <c r="G1348" s="2200" t="str">
        <f t="shared" si="87"/>
        <v>80380</v>
      </c>
      <c r="H1348" s="2200">
        <f>--SUBTOTAL(3,C$2:C1348)</f>
        <v>99</v>
      </c>
    </row>
    <row r="1349" spans="1:8" hidden="1" x14ac:dyDescent="0.15">
      <c r="A1349" s="2200" t="s">
        <v>11502</v>
      </c>
      <c r="B1349" s="2200" t="s">
        <v>13410</v>
      </c>
      <c r="C1349" s="2200" t="s">
        <v>13411</v>
      </c>
      <c r="D1349" s="2200" t="str">
        <f t="shared" si="84"/>
        <v>ME</v>
      </c>
      <c r="E1349" s="2200">
        <f t="shared" si="85"/>
        <v>13</v>
      </c>
      <c r="F1349" s="2200" t="str">
        <f t="shared" si="86"/>
        <v>23</v>
      </c>
      <c r="G1349" s="2200" t="str">
        <f t="shared" si="87"/>
        <v>06260</v>
      </c>
      <c r="H1349" s="2200">
        <f>--SUBTOTAL(3,C$2:C1349)</f>
        <v>99</v>
      </c>
    </row>
    <row r="1350" spans="1:8" hidden="1" x14ac:dyDescent="0.15">
      <c r="A1350" s="2200" t="s">
        <v>11502</v>
      </c>
      <c r="B1350" s="2200" t="s">
        <v>13412</v>
      </c>
      <c r="C1350" s="2200" t="s">
        <v>13413</v>
      </c>
      <c r="D1350" s="2200" t="str">
        <f t="shared" si="84"/>
        <v>ME</v>
      </c>
      <c r="E1350" s="2200">
        <f t="shared" si="85"/>
        <v>16</v>
      </c>
      <c r="F1350" s="2200" t="str">
        <f t="shared" si="86"/>
        <v>23</v>
      </c>
      <c r="G1350" s="2200" t="str">
        <f t="shared" si="87"/>
        <v>06365</v>
      </c>
      <c r="H1350" s="2200">
        <f>--SUBTOTAL(3,C$2:C1350)</f>
        <v>99</v>
      </c>
    </row>
    <row r="1351" spans="1:8" hidden="1" x14ac:dyDescent="0.15">
      <c r="A1351" s="2200" t="s">
        <v>11502</v>
      </c>
      <c r="B1351" s="2200" t="s">
        <v>13414</v>
      </c>
      <c r="C1351" s="2200" t="s">
        <v>13415</v>
      </c>
      <c r="D1351" s="2200" t="str">
        <f t="shared" si="84"/>
        <v>ME</v>
      </c>
      <c r="E1351" s="2200">
        <f t="shared" si="85"/>
        <v>15</v>
      </c>
      <c r="F1351" s="2200" t="str">
        <f t="shared" si="86"/>
        <v>23</v>
      </c>
      <c r="G1351" s="2200" t="str">
        <f t="shared" si="87"/>
        <v>06400</v>
      </c>
      <c r="H1351" s="2200">
        <f>--SUBTOTAL(3,C$2:C1351)</f>
        <v>99</v>
      </c>
    </row>
    <row r="1352" spans="1:8" hidden="1" x14ac:dyDescent="0.15">
      <c r="A1352" s="2200" t="s">
        <v>11502</v>
      </c>
      <c r="B1352" s="2200" t="s">
        <v>13416</v>
      </c>
      <c r="C1352" s="2200" t="s">
        <v>13417</v>
      </c>
      <c r="D1352" s="2200" t="str">
        <f t="shared" si="84"/>
        <v>ME</v>
      </c>
      <c r="E1352" s="2200">
        <f t="shared" si="85"/>
        <v>14</v>
      </c>
      <c r="F1352" s="2200" t="str">
        <f t="shared" si="86"/>
        <v>23</v>
      </c>
      <c r="G1352" s="2200" t="str">
        <f t="shared" si="87"/>
        <v>06575</v>
      </c>
      <c r="H1352" s="2200">
        <f>--SUBTOTAL(3,C$2:C1352)</f>
        <v>99</v>
      </c>
    </row>
    <row r="1353" spans="1:8" hidden="1" x14ac:dyDescent="0.15">
      <c r="A1353" s="2200" t="s">
        <v>11502</v>
      </c>
      <c r="B1353" s="2200" t="s">
        <v>13418</v>
      </c>
      <c r="C1353" s="2200" t="s">
        <v>13419</v>
      </c>
      <c r="D1353" s="2200" t="str">
        <f t="shared" si="84"/>
        <v>ME</v>
      </c>
      <c r="E1353" s="2200">
        <f t="shared" si="85"/>
        <v>13</v>
      </c>
      <c r="F1353" s="2200" t="str">
        <f t="shared" si="86"/>
        <v>23</v>
      </c>
      <c r="G1353" s="2200" t="str">
        <f t="shared" si="87"/>
        <v>06680</v>
      </c>
      <c r="H1353" s="2200">
        <f>--SUBTOTAL(3,C$2:C1353)</f>
        <v>99</v>
      </c>
    </row>
    <row r="1354" spans="1:8" hidden="1" x14ac:dyDescent="0.15">
      <c r="A1354" s="2200" t="s">
        <v>11502</v>
      </c>
      <c r="B1354" s="2200" t="s">
        <v>13420</v>
      </c>
      <c r="C1354" s="2200" t="s">
        <v>13421</v>
      </c>
      <c r="D1354" s="2200" t="str">
        <f t="shared" si="84"/>
        <v>ME</v>
      </c>
      <c r="E1354" s="2200">
        <f t="shared" si="85"/>
        <v>12</v>
      </c>
      <c r="F1354" s="2200" t="str">
        <f t="shared" si="86"/>
        <v>23</v>
      </c>
      <c r="G1354" s="2200" t="str">
        <f t="shared" si="87"/>
        <v>06855</v>
      </c>
      <c r="H1354" s="2200">
        <f>--SUBTOTAL(3,C$2:C1354)</f>
        <v>99</v>
      </c>
    </row>
    <row r="1355" spans="1:8" hidden="1" x14ac:dyDescent="0.15">
      <c r="A1355" s="2200" t="s">
        <v>11502</v>
      </c>
      <c r="B1355" s="2200" t="s">
        <v>13422</v>
      </c>
      <c r="C1355" s="2200" t="s">
        <v>13423</v>
      </c>
      <c r="D1355" s="2200" t="str">
        <f t="shared" si="84"/>
        <v>ME</v>
      </c>
      <c r="E1355" s="2200">
        <f t="shared" si="85"/>
        <v>12</v>
      </c>
      <c r="F1355" s="2200" t="str">
        <f t="shared" si="86"/>
        <v>23</v>
      </c>
      <c r="G1355" s="2200" t="str">
        <f t="shared" si="87"/>
        <v>06925</v>
      </c>
      <c r="H1355" s="2200">
        <f>--SUBTOTAL(3,C$2:C1355)</f>
        <v>99</v>
      </c>
    </row>
    <row r="1356" spans="1:8" hidden="1" x14ac:dyDescent="0.15">
      <c r="A1356" s="2200" t="s">
        <v>11502</v>
      </c>
      <c r="B1356" s="2200" t="s">
        <v>13424</v>
      </c>
      <c r="C1356" s="2200" t="s">
        <v>13425</v>
      </c>
      <c r="D1356" s="2200" t="str">
        <f t="shared" si="84"/>
        <v>ME</v>
      </c>
      <c r="E1356" s="2200">
        <f t="shared" si="85"/>
        <v>17</v>
      </c>
      <c r="F1356" s="2200" t="str">
        <f t="shared" si="86"/>
        <v>23</v>
      </c>
      <c r="G1356" s="2200" t="str">
        <f t="shared" si="87"/>
        <v>07065</v>
      </c>
      <c r="H1356" s="2200">
        <f>--SUBTOTAL(3,C$2:C1356)</f>
        <v>99</v>
      </c>
    </row>
    <row r="1357" spans="1:8" hidden="1" x14ac:dyDescent="0.15">
      <c r="A1357" s="2200" t="s">
        <v>11502</v>
      </c>
      <c r="B1357" s="2200" t="s">
        <v>13426</v>
      </c>
      <c r="C1357" s="2200" t="s">
        <v>13427</v>
      </c>
      <c r="D1357" s="2200" t="str">
        <f t="shared" si="84"/>
        <v>ME</v>
      </c>
      <c r="E1357" s="2200">
        <f t="shared" si="85"/>
        <v>14</v>
      </c>
      <c r="F1357" s="2200" t="str">
        <f t="shared" si="86"/>
        <v>23</v>
      </c>
      <c r="G1357" s="2200" t="str">
        <f t="shared" si="87"/>
        <v>07170</v>
      </c>
      <c r="H1357" s="2200">
        <f>--SUBTOTAL(3,C$2:C1357)</f>
        <v>99</v>
      </c>
    </row>
    <row r="1358" spans="1:8" hidden="1" x14ac:dyDescent="0.15">
      <c r="A1358" s="2200" t="s">
        <v>11443</v>
      </c>
      <c r="B1358" s="2200" t="s">
        <v>13428</v>
      </c>
      <c r="C1358" s="2200" t="s">
        <v>13429</v>
      </c>
      <c r="D1358" s="2200" t="str">
        <f t="shared" si="84"/>
        <v>ME</v>
      </c>
      <c r="E1358" s="2200">
        <f t="shared" si="85"/>
        <v>15</v>
      </c>
      <c r="F1358" s="2200" t="str">
        <f t="shared" si="86"/>
        <v>23</v>
      </c>
      <c r="G1358" s="2200" t="str">
        <f t="shared" si="87"/>
        <v>80460</v>
      </c>
      <c r="H1358" s="2200">
        <f>--SUBTOTAL(3,C$2:C1358)</f>
        <v>99</v>
      </c>
    </row>
    <row r="1359" spans="1:8" hidden="1" x14ac:dyDescent="0.15">
      <c r="A1359" s="2200" t="s">
        <v>11502</v>
      </c>
      <c r="B1359" s="2200" t="s">
        <v>13430</v>
      </c>
      <c r="C1359" s="2200" t="s">
        <v>13431</v>
      </c>
      <c r="D1359" s="2200" t="str">
        <f t="shared" si="84"/>
        <v>ME</v>
      </c>
      <c r="E1359" s="2200">
        <f t="shared" si="85"/>
        <v>20</v>
      </c>
      <c r="F1359" s="2200" t="str">
        <f t="shared" si="86"/>
        <v>23</v>
      </c>
      <c r="G1359" s="2200" t="str">
        <f t="shared" si="87"/>
        <v>07380</v>
      </c>
      <c r="H1359" s="2200">
        <f>--SUBTOTAL(3,C$2:C1359)</f>
        <v>99</v>
      </c>
    </row>
    <row r="1360" spans="1:8" hidden="1" x14ac:dyDescent="0.15">
      <c r="A1360" s="2200" t="s">
        <v>11502</v>
      </c>
      <c r="B1360" s="2200" t="s">
        <v>13432</v>
      </c>
      <c r="C1360" s="2200" t="s">
        <v>13433</v>
      </c>
      <c r="D1360" s="2200" t="str">
        <f t="shared" si="84"/>
        <v>ME</v>
      </c>
      <c r="E1360" s="2200">
        <f t="shared" si="85"/>
        <v>13</v>
      </c>
      <c r="F1360" s="2200" t="str">
        <f t="shared" si="86"/>
        <v>23</v>
      </c>
      <c r="G1360" s="2200" t="str">
        <f t="shared" si="87"/>
        <v>07485</v>
      </c>
      <c r="H1360" s="2200">
        <f>--SUBTOTAL(3,C$2:C1360)</f>
        <v>99</v>
      </c>
    </row>
    <row r="1361" spans="1:8" hidden="1" x14ac:dyDescent="0.15">
      <c r="A1361" s="2200" t="s">
        <v>11502</v>
      </c>
      <c r="B1361" s="2200" t="s">
        <v>13434</v>
      </c>
      <c r="C1361" s="2200" t="s">
        <v>13435</v>
      </c>
      <c r="D1361" s="2200" t="str">
        <f t="shared" si="84"/>
        <v>ME</v>
      </c>
      <c r="E1361" s="2200">
        <f t="shared" si="85"/>
        <v>14</v>
      </c>
      <c r="F1361" s="2200" t="str">
        <f t="shared" si="86"/>
        <v>23</v>
      </c>
      <c r="G1361" s="2200" t="str">
        <f t="shared" si="87"/>
        <v>07800</v>
      </c>
      <c r="H1361" s="2200">
        <f>--SUBTOTAL(3,C$2:C1361)</f>
        <v>99</v>
      </c>
    </row>
    <row r="1362" spans="1:8" hidden="1" x14ac:dyDescent="0.15">
      <c r="A1362" s="2200" t="s">
        <v>11502</v>
      </c>
      <c r="B1362" s="2200" t="s">
        <v>13436</v>
      </c>
      <c r="C1362" s="2200" t="s">
        <v>13437</v>
      </c>
      <c r="D1362" s="2200" t="str">
        <f t="shared" si="84"/>
        <v>ME</v>
      </c>
      <c r="E1362" s="2200">
        <f t="shared" si="85"/>
        <v>12</v>
      </c>
      <c r="F1362" s="2200" t="str">
        <f t="shared" si="86"/>
        <v>23</v>
      </c>
      <c r="G1362" s="2200" t="str">
        <f t="shared" si="87"/>
        <v>07870</v>
      </c>
      <c r="H1362" s="2200">
        <f>--SUBTOTAL(3,C$2:C1362)</f>
        <v>99</v>
      </c>
    </row>
    <row r="1363" spans="1:8" hidden="1" x14ac:dyDescent="0.15">
      <c r="A1363" s="2200" t="s">
        <v>11502</v>
      </c>
      <c r="B1363" s="2200" t="s">
        <v>13438</v>
      </c>
      <c r="C1363" s="2200" t="s">
        <v>13439</v>
      </c>
      <c r="D1363" s="2200" t="str">
        <f t="shared" si="84"/>
        <v>ME</v>
      </c>
      <c r="E1363" s="2200">
        <f t="shared" si="85"/>
        <v>17</v>
      </c>
      <c r="F1363" s="2200" t="str">
        <f t="shared" si="86"/>
        <v>23</v>
      </c>
      <c r="G1363" s="2200" t="str">
        <f t="shared" si="87"/>
        <v>07975</v>
      </c>
      <c r="H1363" s="2200">
        <f>--SUBTOTAL(3,C$2:C1363)</f>
        <v>99</v>
      </c>
    </row>
    <row r="1364" spans="1:8" hidden="1" x14ac:dyDescent="0.15">
      <c r="A1364" s="2200" t="s">
        <v>11502</v>
      </c>
      <c r="B1364" s="2200" t="s">
        <v>13440</v>
      </c>
      <c r="C1364" s="2200" t="s">
        <v>13441</v>
      </c>
      <c r="D1364" s="2200" t="str">
        <f t="shared" si="84"/>
        <v>ME</v>
      </c>
      <c r="E1364" s="2200">
        <f t="shared" si="85"/>
        <v>16</v>
      </c>
      <c r="F1364" s="2200" t="str">
        <f t="shared" si="86"/>
        <v>23</v>
      </c>
      <c r="G1364" s="2200" t="str">
        <f t="shared" si="87"/>
        <v>08150</v>
      </c>
      <c r="H1364" s="2200">
        <f>--SUBTOTAL(3,C$2:C1364)</f>
        <v>99</v>
      </c>
    </row>
    <row r="1365" spans="1:8" hidden="1" x14ac:dyDescent="0.15">
      <c r="A1365" s="2200" t="s">
        <v>11502</v>
      </c>
      <c r="B1365" s="2200" t="s">
        <v>13442</v>
      </c>
      <c r="C1365" s="2200" t="s">
        <v>13443</v>
      </c>
      <c r="D1365" s="2200" t="str">
        <f t="shared" si="84"/>
        <v>ME</v>
      </c>
      <c r="E1365" s="2200">
        <f t="shared" si="85"/>
        <v>16</v>
      </c>
      <c r="F1365" s="2200" t="str">
        <f t="shared" si="86"/>
        <v>23</v>
      </c>
      <c r="G1365" s="2200" t="str">
        <f t="shared" si="87"/>
        <v>08325</v>
      </c>
      <c r="H1365" s="2200">
        <f>--SUBTOTAL(3,C$2:C1365)</f>
        <v>99</v>
      </c>
    </row>
    <row r="1366" spans="1:8" hidden="1" x14ac:dyDescent="0.15">
      <c r="A1366" s="2200" t="s">
        <v>11502</v>
      </c>
      <c r="B1366" s="2200" t="s">
        <v>13444</v>
      </c>
      <c r="C1366" s="2200" t="s">
        <v>13445</v>
      </c>
      <c r="D1366" s="2200" t="str">
        <f t="shared" si="84"/>
        <v>ME</v>
      </c>
      <c r="E1366" s="2200">
        <f t="shared" si="85"/>
        <v>15</v>
      </c>
      <c r="F1366" s="2200" t="str">
        <f t="shared" si="86"/>
        <v>23</v>
      </c>
      <c r="G1366" s="2200" t="str">
        <f t="shared" si="87"/>
        <v>08430</v>
      </c>
      <c r="H1366" s="2200">
        <f>--SUBTOTAL(3,C$2:C1366)</f>
        <v>99</v>
      </c>
    </row>
    <row r="1367" spans="1:8" hidden="1" x14ac:dyDescent="0.15">
      <c r="A1367" s="2200" t="s">
        <v>11502</v>
      </c>
      <c r="B1367" s="2200" t="s">
        <v>13446</v>
      </c>
      <c r="C1367" s="2200" t="s">
        <v>13447</v>
      </c>
      <c r="D1367" s="2200" t="str">
        <f t="shared" si="84"/>
        <v>ME</v>
      </c>
      <c r="E1367" s="2200">
        <f t="shared" si="85"/>
        <v>15</v>
      </c>
      <c r="F1367" s="2200" t="str">
        <f t="shared" si="86"/>
        <v>23</v>
      </c>
      <c r="G1367" s="2200" t="str">
        <f t="shared" si="87"/>
        <v>08710</v>
      </c>
      <c r="H1367" s="2200">
        <f>--SUBTOTAL(3,C$2:C1367)</f>
        <v>99</v>
      </c>
    </row>
    <row r="1368" spans="1:8" hidden="1" x14ac:dyDescent="0.15">
      <c r="A1368" s="2200" t="s">
        <v>11502</v>
      </c>
      <c r="B1368" s="2200" t="s">
        <v>13448</v>
      </c>
      <c r="C1368" s="2200" t="s">
        <v>13449</v>
      </c>
      <c r="D1368" s="2200" t="str">
        <f t="shared" si="84"/>
        <v>ME</v>
      </c>
      <c r="E1368" s="2200">
        <f t="shared" si="85"/>
        <v>15</v>
      </c>
      <c r="F1368" s="2200" t="str">
        <f t="shared" si="86"/>
        <v>23</v>
      </c>
      <c r="G1368" s="2200" t="str">
        <f t="shared" si="87"/>
        <v>08815</v>
      </c>
      <c r="H1368" s="2200">
        <f>--SUBTOTAL(3,C$2:C1368)</f>
        <v>99</v>
      </c>
    </row>
    <row r="1369" spans="1:8" hidden="1" x14ac:dyDescent="0.15">
      <c r="A1369" s="2200" t="s">
        <v>11502</v>
      </c>
      <c r="B1369" s="2200" t="s">
        <v>13450</v>
      </c>
      <c r="C1369" s="2200" t="s">
        <v>13451</v>
      </c>
      <c r="D1369" s="2200" t="str">
        <f t="shared" si="84"/>
        <v>ME</v>
      </c>
      <c r="E1369" s="2200">
        <f t="shared" si="85"/>
        <v>16</v>
      </c>
      <c r="F1369" s="2200" t="str">
        <f t="shared" si="86"/>
        <v>23</v>
      </c>
      <c r="G1369" s="2200" t="str">
        <f t="shared" si="87"/>
        <v>09200</v>
      </c>
      <c r="H1369" s="2200">
        <f>--SUBTOTAL(3,C$2:C1369)</f>
        <v>99</v>
      </c>
    </row>
    <row r="1370" spans="1:8" hidden="1" x14ac:dyDescent="0.15">
      <c r="A1370" s="2200" t="s">
        <v>11502</v>
      </c>
      <c r="B1370" s="2200" t="s">
        <v>13452</v>
      </c>
      <c r="C1370" s="2200" t="s">
        <v>13453</v>
      </c>
      <c r="D1370" s="2200" t="str">
        <f t="shared" si="84"/>
        <v>ME</v>
      </c>
      <c r="E1370" s="2200">
        <f t="shared" si="85"/>
        <v>13</v>
      </c>
      <c r="F1370" s="2200" t="str">
        <f t="shared" si="86"/>
        <v>23</v>
      </c>
      <c r="G1370" s="2200" t="str">
        <f t="shared" si="87"/>
        <v>09270</v>
      </c>
      <c r="H1370" s="2200">
        <f>--SUBTOTAL(3,C$2:C1370)</f>
        <v>99</v>
      </c>
    </row>
    <row r="1371" spans="1:8" hidden="1" x14ac:dyDescent="0.15">
      <c r="A1371" s="2200" t="s">
        <v>11502</v>
      </c>
      <c r="B1371" s="2200" t="s">
        <v>13454</v>
      </c>
      <c r="C1371" s="2200" t="s">
        <v>13455</v>
      </c>
      <c r="D1371" s="2200" t="str">
        <f t="shared" si="84"/>
        <v>ME</v>
      </c>
      <c r="E1371" s="2200">
        <f t="shared" si="85"/>
        <v>12</v>
      </c>
      <c r="F1371" s="2200" t="str">
        <f t="shared" si="86"/>
        <v>23</v>
      </c>
      <c r="G1371" s="2200" t="str">
        <f t="shared" si="87"/>
        <v>09410</v>
      </c>
      <c r="H1371" s="2200">
        <f>--SUBTOTAL(3,C$2:C1371)</f>
        <v>99</v>
      </c>
    </row>
    <row r="1372" spans="1:8" hidden="1" x14ac:dyDescent="0.15">
      <c r="A1372" s="2200" t="s">
        <v>11502</v>
      </c>
      <c r="B1372" s="2200" t="s">
        <v>13456</v>
      </c>
      <c r="C1372" s="2200" t="s">
        <v>13457</v>
      </c>
      <c r="D1372" s="2200" t="str">
        <f t="shared" si="84"/>
        <v>ME</v>
      </c>
      <c r="E1372" s="2200">
        <f t="shared" si="85"/>
        <v>11</v>
      </c>
      <c r="F1372" s="2200" t="str">
        <f t="shared" si="86"/>
        <v>23</v>
      </c>
      <c r="G1372" s="2200" t="str">
        <f t="shared" si="87"/>
        <v>09550</v>
      </c>
      <c r="H1372" s="2200">
        <f>--SUBTOTAL(3,C$2:C1372)</f>
        <v>99</v>
      </c>
    </row>
    <row r="1373" spans="1:8" hidden="1" x14ac:dyDescent="0.15">
      <c r="A1373" s="2200" t="s">
        <v>11502</v>
      </c>
      <c r="B1373" s="2200" t="s">
        <v>13458</v>
      </c>
      <c r="C1373" s="2200" t="s">
        <v>13459</v>
      </c>
      <c r="D1373" s="2200" t="str">
        <f t="shared" si="84"/>
        <v>ME</v>
      </c>
      <c r="E1373" s="2200">
        <f t="shared" si="85"/>
        <v>12</v>
      </c>
      <c r="F1373" s="2200" t="str">
        <f t="shared" si="86"/>
        <v>23</v>
      </c>
      <c r="G1373" s="2200" t="str">
        <f t="shared" si="87"/>
        <v>09585</v>
      </c>
      <c r="H1373" s="2200">
        <f>--SUBTOTAL(3,C$2:C1373)</f>
        <v>99</v>
      </c>
    </row>
    <row r="1374" spans="1:8" hidden="1" x14ac:dyDescent="0.15">
      <c r="A1374" s="2200" t="s">
        <v>11443</v>
      </c>
      <c r="B1374" s="2200" t="s">
        <v>13460</v>
      </c>
      <c r="C1374" s="2200" t="s">
        <v>13461</v>
      </c>
      <c r="D1374" s="2200" t="str">
        <f t="shared" si="84"/>
        <v>ME</v>
      </c>
      <c r="E1374" s="2200">
        <f t="shared" si="85"/>
        <v>7</v>
      </c>
      <c r="F1374" s="2200" t="str">
        <f t="shared" si="86"/>
        <v>23</v>
      </c>
      <c r="G1374" s="2200" t="str">
        <f t="shared" si="87"/>
        <v>80540</v>
      </c>
      <c r="H1374" s="2200">
        <f>--SUBTOTAL(3,C$2:C1374)</f>
        <v>99</v>
      </c>
    </row>
    <row r="1375" spans="1:8" hidden="1" x14ac:dyDescent="0.15">
      <c r="A1375" s="2200" t="s">
        <v>11502</v>
      </c>
      <c r="B1375" s="2200" t="s">
        <v>13462</v>
      </c>
      <c r="C1375" s="2200" t="s">
        <v>13463</v>
      </c>
      <c r="D1375" s="2200" t="str">
        <f t="shared" si="84"/>
        <v>ME</v>
      </c>
      <c r="E1375" s="2200">
        <f t="shared" si="85"/>
        <v>15</v>
      </c>
      <c r="F1375" s="2200" t="str">
        <f t="shared" si="86"/>
        <v>23</v>
      </c>
      <c r="G1375" s="2200" t="str">
        <f t="shared" si="87"/>
        <v>09655</v>
      </c>
      <c r="H1375" s="2200">
        <f>--SUBTOTAL(3,C$2:C1375)</f>
        <v>99</v>
      </c>
    </row>
    <row r="1376" spans="1:8" hidden="1" x14ac:dyDescent="0.15">
      <c r="A1376" s="2200" t="s">
        <v>11502</v>
      </c>
      <c r="B1376" s="2200" t="s">
        <v>13464</v>
      </c>
      <c r="C1376" s="2200" t="s">
        <v>13465</v>
      </c>
      <c r="D1376" s="2200" t="str">
        <f t="shared" si="84"/>
        <v>ME</v>
      </c>
      <c r="E1376" s="2200">
        <f t="shared" si="85"/>
        <v>12</v>
      </c>
      <c r="F1376" s="2200" t="str">
        <f t="shared" si="86"/>
        <v>23</v>
      </c>
      <c r="G1376" s="2200" t="str">
        <f t="shared" si="87"/>
        <v>09725</v>
      </c>
      <c r="H1376" s="2200">
        <f>--SUBTOTAL(3,C$2:C1376)</f>
        <v>99</v>
      </c>
    </row>
    <row r="1377" spans="1:8" hidden="1" x14ac:dyDescent="0.15">
      <c r="A1377" s="2200" t="s">
        <v>11502</v>
      </c>
      <c r="B1377" s="2200" t="s">
        <v>13466</v>
      </c>
      <c r="C1377" s="2200" t="s">
        <v>13467</v>
      </c>
      <c r="D1377" s="2200" t="str">
        <f t="shared" si="84"/>
        <v>ME</v>
      </c>
      <c r="E1377" s="2200">
        <f t="shared" si="85"/>
        <v>12</v>
      </c>
      <c r="F1377" s="2200" t="str">
        <f t="shared" si="86"/>
        <v>23</v>
      </c>
      <c r="G1377" s="2200" t="str">
        <f t="shared" si="87"/>
        <v>09935</v>
      </c>
      <c r="H1377" s="2200">
        <f>--SUBTOTAL(3,C$2:C1377)</f>
        <v>99</v>
      </c>
    </row>
    <row r="1378" spans="1:8" hidden="1" x14ac:dyDescent="0.15">
      <c r="A1378" s="2200" t="s">
        <v>11502</v>
      </c>
      <c r="B1378" s="2200" t="s">
        <v>13468</v>
      </c>
      <c r="C1378" s="2200" t="s">
        <v>13469</v>
      </c>
      <c r="D1378" s="2200" t="str">
        <f t="shared" si="84"/>
        <v>ME</v>
      </c>
      <c r="E1378" s="2200">
        <f t="shared" si="85"/>
        <v>12</v>
      </c>
      <c r="F1378" s="2200" t="str">
        <f t="shared" si="86"/>
        <v>23</v>
      </c>
      <c r="G1378" s="2200" t="str">
        <f t="shared" si="87"/>
        <v>10005</v>
      </c>
      <c r="H1378" s="2200">
        <f>--SUBTOTAL(3,C$2:C1378)</f>
        <v>99</v>
      </c>
    </row>
    <row r="1379" spans="1:8" hidden="1" x14ac:dyDescent="0.15">
      <c r="A1379" s="2200" t="s">
        <v>11502</v>
      </c>
      <c r="B1379" s="2200" t="s">
        <v>13470</v>
      </c>
      <c r="C1379" s="2200" t="s">
        <v>13471</v>
      </c>
      <c r="D1379" s="2200" t="str">
        <f t="shared" si="84"/>
        <v>ME</v>
      </c>
      <c r="E1379" s="2200">
        <f t="shared" si="85"/>
        <v>20</v>
      </c>
      <c r="F1379" s="2200" t="str">
        <f t="shared" si="86"/>
        <v>23</v>
      </c>
      <c r="G1379" s="2200" t="str">
        <f t="shared" si="87"/>
        <v>10180</v>
      </c>
      <c r="H1379" s="2200">
        <f>--SUBTOTAL(3,C$2:C1379)</f>
        <v>99</v>
      </c>
    </row>
    <row r="1380" spans="1:8" hidden="1" x14ac:dyDescent="0.15">
      <c r="A1380" s="2200" t="s">
        <v>11502</v>
      </c>
      <c r="B1380" s="2200" t="s">
        <v>13472</v>
      </c>
      <c r="C1380" s="2200" t="s">
        <v>13473</v>
      </c>
      <c r="D1380" s="2200" t="str">
        <f t="shared" si="84"/>
        <v>ME</v>
      </c>
      <c r="E1380" s="2200">
        <f t="shared" si="85"/>
        <v>14</v>
      </c>
      <c r="F1380" s="2200" t="str">
        <f t="shared" si="86"/>
        <v>23</v>
      </c>
      <c r="G1380" s="2200" t="str">
        <f t="shared" si="87"/>
        <v>10495</v>
      </c>
      <c r="H1380" s="2200">
        <f>--SUBTOTAL(3,C$2:C1380)</f>
        <v>99</v>
      </c>
    </row>
    <row r="1381" spans="1:8" hidden="1" x14ac:dyDescent="0.15">
      <c r="A1381" s="2200" t="s">
        <v>11502</v>
      </c>
      <c r="B1381" s="2200" t="s">
        <v>13474</v>
      </c>
      <c r="C1381" s="2200" t="s">
        <v>13475</v>
      </c>
      <c r="D1381" s="2200" t="str">
        <f t="shared" si="84"/>
        <v>ME</v>
      </c>
      <c r="E1381" s="2200">
        <f t="shared" si="85"/>
        <v>13</v>
      </c>
      <c r="F1381" s="2200" t="str">
        <f t="shared" si="86"/>
        <v>23</v>
      </c>
      <c r="G1381" s="2200" t="str">
        <f t="shared" si="87"/>
        <v>10565</v>
      </c>
      <c r="H1381" s="2200">
        <f>--SUBTOTAL(3,C$2:C1381)</f>
        <v>99</v>
      </c>
    </row>
    <row r="1382" spans="1:8" hidden="1" x14ac:dyDescent="0.15">
      <c r="A1382" s="2200" t="s">
        <v>11502</v>
      </c>
      <c r="B1382" s="2200" t="s">
        <v>13476</v>
      </c>
      <c r="C1382" s="2200" t="s">
        <v>13477</v>
      </c>
      <c r="D1382" s="2200" t="str">
        <f t="shared" si="84"/>
        <v>ME</v>
      </c>
      <c r="E1382" s="2200">
        <f t="shared" si="85"/>
        <v>12</v>
      </c>
      <c r="F1382" s="2200" t="str">
        <f t="shared" si="86"/>
        <v>23</v>
      </c>
      <c r="G1382" s="2200" t="str">
        <f t="shared" si="87"/>
        <v>10670</v>
      </c>
      <c r="H1382" s="2200">
        <f>--SUBTOTAL(3,C$2:C1382)</f>
        <v>99</v>
      </c>
    </row>
    <row r="1383" spans="1:8" hidden="1" x14ac:dyDescent="0.15">
      <c r="A1383" s="2200" t="s">
        <v>11502</v>
      </c>
      <c r="B1383" s="2200" t="s">
        <v>13478</v>
      </c>
      <c r="C1383" s="2200" t="s">
        <v>13479</v>
      </c>
      <c r="D1383" s="2200" t="str">
        <f t="shared" si="84"/>
        <v>ME</v>
      </c>
      <c r="E1383" s="2200">
        <f t="shared" si="85"/>
        <v>25</v>
      </c>
      <c r="F1383" s="2200" t="str">
        <f t="shared" si="86"/>
        <v>23</v>
      </c>
      <c r="G1383" s="2200" t="str">
        <f t="shared" si="87"/>
        <v>10740</v>
      </c>
      <c r="H1383" s="2200">
        <f>--SUBTOTAL(3,C$2:C1383)</f>
        <v>99</v>
      </c>
    </row>
    <row r="1384" spans="1:8" hidden="1" x14ac:dyDescent="0.15">
      <c r="A1384" s="2200" t="s">
        <v>11502</v>
      </c>
      <c r="B1384" s="2200" t="s">
        <v>13480</v>
      </c>
      <c r="C1384" s="2200" t="s">
        <v>13481</v>
      </c>
      <c r="D1384" s="2200" t="str">
        <f t="shared" si="84"/>
        <v>ME</v>
      </c>
      <c r="E1384" s="2200">
        <f t="shared" si="85"/>
        <v>19</v>
      </c>
      <c r="F1384" s="2200" t="str">
        <f t="shared" si="86"/>
        <v>23</v>
      </c>
      <c r="G1384" s="2200" t="str">
        <f t="shared" si="87"/>
        <v>10810</v>
      </c>
      <c r="H1384" s="2200">
        <f>--SUBTOTAL(3,C$2:C1384)</f>
        <v>99</v>
      </c>
    </row>
    <row r="1385" spans="1:8" hidden="1" x14ac:dyDescent="0.15">
      <c r="A1385" s="2200" t="s">
        <v>11502</v>
      </c>
      <c r="B1385" s="2200" t="s">
        <v>13482</v>
      </c>
      <c r="C1385" s="2200" t="s">
        <v>13483</v>
      </c>
      <c r="D1385" s="2200" t="str">
        <f t="shared" si="84"/>
        <v>ME</v>
      </c>
      <c r="E1385" s="2200">
        <f t="shared" si="85"/>
        <v>14</v>
      </c>
      <c r="F1385" s="2200" t="str">
        <f t="shared" si="86"/>
        <v>23</v>
      </c>
      <c r="G1385" s="2200" t="str">
        <f t="shared" si="87"/>
        <v>10915</v>
      </c>
      <c r="H1385" s="2200">
        <f>--SUBTOTAL(3,C$2:C1385)</f>
        <v>99</v>
      </c>
    </row>
    <row r="1386" spans="1:8" hidden="1" x14ac:dyDescent="0.15">
      <c r="A1386" s="2200" t="s">
        <v>11502</v>
      </c>
      <c r="B1386" s="2200" t="s">
        <v>13484</v>
      </c>
      <c r="C1386" s="2200" t="s">
        <v>13485</v>
      </c>
      <c r="D1386" s="2200" t="str">
        <f t="shared" si="84"/>
        <v>ME</v>
      </c>
      <c r="E1386" s="2200">
        <f t="shared" si="85"/>
        <v>16</v>
      </c>
      <c r="F1386" s="2200" t="str">
        <f t="shared" si="86"/>
        <v>23</v>
      </c>
      <c r="G1386" s="2200" t="str">
        <f t="shared" si="87"/>
        <v>11020</v>
      </c>
      <c r="H1386" s="2200">
        <f>--SUBTOTAL(3,C$2:C1386)</f>
        <v>99</v>
      </c>
    </row>
    <row r="1387" spans="1:8" hidden="1" x14ac:dyDescent="0.15">
      <c r="A1387" s="2200" t="s">
        <v>11502</v>
      </c>
      <c r="B1387" s="2200" t="s">
        <v>13486</v>
      </c>
      <c r="C1387" s="2200" t="s">
        <v>13487</v>
      </c>
      <c r="D1387" s="2200" t="str">
        <f t="shared" si="84"/>
        <v>ME</v>
      </c>
      <c r="E1387" s="2200">
        <f t="shared" si="85"/>
        <v>11</v>
      </c>
      <c r="F1387" s="2200" t="str">
        <f t="shared" si="86"/>
        <v>23</v>
      </c>
      <c r="G1387" s="2200" t="str">
        <f t="shared" si="87"/>
        <v>11125</v>
      </c>
      <c r="H1387" s="2200">
        <f>--SUBTOTAL(3,C$2:C1387)</f>
        <v>99</v>
      </c>
    </row>
    <row r="1388" spans="1:8" hidden="1" x14ac:dyDescent="0.15">
      <c r="A1388" s="2200" t="s">
        <v>11502</v>
      </c>
      <c r="B1388" s="2200" t="s">
        <v>13488</v>
      </c>
      <c r="C1388" s="2200" t="s">
        <v>13489</v>
      </c>
      <c r="D1388" s="2200" t="str">
        <f t="shared" si="84"/>
        <v>ME</v>
      </c>
      <c r="E1388" s="2200">
        <f t="shared" si="85"/>
        <v>13</v>
      </c>
      <c r="F1388" s="2200" t="str">
        <f t="shared" si="86"/>
        <v>23</v>
      </c>
      <c r="G1388" s="2200" t="str">
        <f t="shared" si="87"/>
        <v>11265</v>
      </c>
      <c r="H1388" s="2200">
        <f>--SUBTOTAL(3,C$2:C1388)</f>
        <v>99</v>
      </c>
    </row>
    <row r="1389" spans="1:8" hidden="1" x14ac:dyDescent="0.15">
      <c r="A1389" s="2200" t="s">
        <v>11502</v>
      </c>
      <c r="B1389" s="2200" t="s">
        <v>13490</v>
      </c>
      <c r="C1389" s="2200" t="s">
        <v>13491</v>
      </c>
      <c r="D1389" s="2200" t="str">
        <f t="shared" si="84"/>
        <v>ME</v>
      </c>
      <c r="E1389" s="2200">
        <f t="shared" si="85"/>
        <v>17</v>
      </c>
      <c r="F1389" s="2200" t="str">
        <f t="shared" si="86"/>
        <v>23</v>
      </c>
      <c r="G1389" s="2200" t="str">
        <f t="shared" si="87"/>
        <v>11300</v>
      </c>
      <c r="H1389" s="2200">
        <f>--SUBTOTAL(3,C$2:C1389)</f>
        <v>99</v>
      </c>
    </row>
    <row r="1390" spans="1:8" hidden="1" x14ac:dyDescent="0.15">
      <c r="A1390" s="2200" t="s">
        <v>11502</v>
      </c>
      <c r="B1390" s="2200" t="s">
        <v>13492</v>
      </c>
      <c r="C1390" s="2200" t="s">
        <v>13493</v>
      </c>
      <c r="D1390" s="2200" t="str">
        <f t="shared" si="84"/>
        <v>ME</v>
      </c>
      <c r="E1390" s="2200">
        <f t="shared" si="85"/>
        <v>13</v>
      </c>
      <c r="F1390" s="2200" t="str">
        <f t="shared" si="86"/>
        <v>23</v>
      </c>
      <c r="G1390" s="2200" t="str">
        <f t="shared" si="87"/>
        <v>11335</v>
      </c>
      <c r="H1390" s="2200">
        <f>--SUBTOTAL(3,C$2:C1390)</f>
        <v>99</v>
      </c>
    </row>
    <row r="1391" spans="1:8" hidden="1" x14ac:dyDescent="0.15">
      <c r="A1391" s="2200" t="s">
        <v>11502</v>
      </c>
      <c r="B1391" s="2200" t="s">
        <v>13494</v>
      </c>
      <c r="C1391" s="2200" t="s">
        <v>13495</v>
      </c>
      <c r="D1391" s="2200" t="str">
        <f t="shared" si="84"/>
        <v>ME</v>
      </c>
      <c r="E1391" s="2200">
        <f t="shared" si="85"/>
        <v>30</v>
      </c>
      <c r="F1391" s="2200" t="str">
        <f t="shared" si="86"/>
        <v>23</v>
      </c>
      <c r="G1391" s="2200" t="str">
        <f t="shared" si="87"/>
        <v>11785</v>
      </c>
      <c r="H1391" s="2200">
        <f>--SUBTOTAL(3,C$2:C1391)</f>
        <v>99</v>
      </c>
    </row>
    <row r="1392" spans="1:8" hidden="1" x14ac:dyDescent="0.15">
      <c r="A1392" s="2200" t="s">
        <v>11502</v>
      </c>
      <c r="B1392" s="2200" t="s">
        <v>13496</v>
      </c>
      <c r="C1392" s="2200" t="s">
        <v>13497</v>
      </c>
      <c r="D1392" s="2200" t="str">
        <f t="shared" si="84"/>
        <v>ME</v>
      </c>
      <c r="E1392" s="2200">
        <f t="shared" si="85"/>
        <v>28</v>
      </c>
      <c r="F1392" s="2200" t="str">
        <f t="shared" si="86"/>
        <v>23</v>
      </c>
      <c r="G1392" s="2200" t="str">
        <f t="shared" si="87"/>
        <v>11800</v>
      </c>
      <c r="H1392" s="2200">
        <f>--SUBTOTAL(3,C$2:C1392)</f>
        <v>99</v>
      </c>
    </row>
    <row r="1393" spans="1:8" hidden="1" x14ac:dyDescent="0.15">
      <c r="A1393" s="2200" t="s">
        <v>11502</v>
      </c>
      <c r="B1393" s="2200" t="s">
        <v>13498</v>
      </c>
      <c r="C1393" s="2200" t="s">
        <v>13499</v>
      </c>
      <c r="D1393" s="2200" t="str">
        <f t="shared" si="84"/>
        <v>ME</v>
      </c>
      <c r="E1393" s="2200">
        <f t="shared" si="85"/>
        <v>29</v>
      </c>
      <c r="F1393" s="2200" t="str">
        <f t="shared" si="86"/>
        <v>23</v>
      </c>
      <c r="G1393" s="2200" t="str">
        <f t="shared" si="87"/>
        <v>11820</v>
      </c>
      <c r="H1393" s="2200">
        <f>--SUBTOTAL(3,C$2:C1393)</f>
        <v>99</v>
      </c>
    </row>
    <row r="1394" spans="1:8" hidden="1" x14ac:dyDescent="0.15">
      <c r="A1394" s="2200" t="s">
        <v>11502</v>
      </c>
      <c r="B1394" s="2200" t="s">
        <v>13500</v>
      </c>
      <c r="C1394" s="2200" t="s">
        <v>13501</v>
      </c>
      <c r="D1394" s="2200" t="str">
        <f t="shared" si="84"/>
        <v>ME</v>
      </c>
      <c r="E1394" s="2200">
        <f t="shared" si="85"/>
        <v>13</v>
      </c>
      <c r="F1394" s="2200" t="str">
        <f t="shared" si="86"/>
        <v>23</v>
      </c>
      <c r="G1394" s="2200" t="str">
        <f t="shared" si="87"/>
        <v>12000</v>
      </c>
      <c r="H1394" s="2200">
        <f>--SUBTOTAL(3,C$2:C1394)</f>
        <v>99</v>
      </c>
    </row>
    <row r="1395" spans="1:8" hidden="1" x14ac:dyDescent="0.15">
      <c r="A1395" s="2200" t="s">
        <v>11502</v>
      </c>
      <c r="B1395" s="2200" t="s">
        <v>13502</v>
      </c>
      <c r="C1395" s="2200" t="s">
        <v>13503</v>
      </c>
      <c r="D1395" s="2200" t="str">
        <f t="shared" si="84"/>
        <v>ME</v>
      </c>
      <c r="E1395" s="2200">
        <f t="shared" si="85"/>
        <v>16</v>
      </c>
      <c r="F1395" s="2200" t="str">
        <f t="shared" si="86"/>
        <v>23</v>
      </c>
      <c r="G1395" s="2200" t="str">
        <f t="shared" si="87"/>
        <v>12105</v>
      </c>
      <c r="H1395" s="2200">
        <f>--SUBTOTAL(3,C$2:C1395)</f>
        <v>99</v>
      </c>
    </row>
    <row r="1396" spans="1:8" hidden="1" x14ac:dyDescent="0.15">
      <c r="A1396" s="2200" t="s">
        <v>11502</v>
      </c>
      <c r="B1396" s="2200" t="s">
        <v>13504</v>
      </c>
      <c r="C1396" s="2200" t="s">
        <v>13505</v>
      </c>
      <c r="D1396" s="2200" t="str">
        <f t="shared" si="84"/>
        <v>ME</v>
      </c>
      <c r="E1396" s="2200">
        <f t="shared" si="85"/>
        <v>15</v>
      </c>
      <c r="F1396" s="2200" t="str">
        <f t="shared" si="86"/>
        <v>23</v>
      </c>
      <c r="G1396" s="2200" t="str">
        <f t="shared" si="87"/>
        <v>12175</v>
      </c>
      <c r="H1396" s="2200">
        <f>--SUBTOTAL(3,C$2:C1396)</f>
        <v>99</v>
      </c>
    </row>
    <row r="1397" spans="1:8" hidden="1" x14ac:dyDescent="0.15">
      <c r="A1397" s="2200" t="s">
        <v>11502</v>
      </c>
      <c r="B1397" s="2200" t="s">
        <v>13506</v>
      </c>
      <c r="C1397" s="2200" t="s">
        <v>13507</v>
      </c>
      <c r="D1397" s="2200" t="str">
        <f t="shared" si="84"/>
        <v>ME</v>
      </c>
      <c r="E1397" s="2200">
        <f t="shared" si="85"/>
        <v>22</v>
      </c>
      <c r="F1397" s="2200" t="str">
        <f t="shared" si="86"/>
        <v>23</v>
      </c>
      <c r="G1397" s="2200" t="str">
        <f t="shared" si="87"/>
        <v>12300</v>
      </c>
      <c r="H1397" s="2200">
        <f>--SUBTOTAL(3,C$2:C1397)</f>
        <v>99</v>
      </c>
    </row>
    <row r="1398" spans="1:8" hidden="1" x14ac:dyDescent="0.15">
      <c r="A1398" s="2200" t="s">
        <v>11502</v>
      </c>
      <c r="B1398" s="2200" t="s">
        <v>13508</v>
      </c>
      <c r="C1398" s="2200" t="s">
        <v>13509</v>
      </c>
      <c r="D1398" s="2200" t="str">
        <f t="shared" si="84"/>
        <v>ME</v>
      </c>
      <c r="E1398" s="2200">
        <f t="shared" si="85"/>
        <v>13</v>
      </c>
      <c r="F1398" s="2200" t="str">
        <f t="shared" si="86"/>
        <v>23</v>
      </c>
      <c r="G1398" s="2200" t="str">
        <f t="shared" si="87"/>
        <v>12350</v>
      </c>
      <c r="H1398" s="2200">
        <f>--SUBTOTAL(3,C$2:C1398)</f>
        <v>99</v>
      </c>
    </row>
    <row r="1399" spans="1:8" hidden="1" x14ac:dyDescent="0.15">
      <c r="A1399" s="2200" t="s">
        <v>11502</v>
      </c>
      <c r="B1399" s="2200" t="s">
        <v>13510</v>
      </c>
      <c r="C1399" s="2200" t="s">
        <v>13511</v>
      </c>
      <c r="D1399" s="2200" t="str">
        <f t="shared" si="84"/>
        <v>ME</v>
      </c>
      <c r="E1399" s="2200">
        <f t="shared" si="85"/>
        <v>17</v>
      </c>
      <c r="F1399" s="2200" t="str">
        <f t="shared" si="86"/>
        <v>23</v>
      </c>
      <c r="G1399" s="2200" t="str">
        <f t="shared" si="87"/>
        <v>12455</v>
      </c>
      <c r="H1399" s="2200">
        <f>--SUBTOTAL(3,C$2:C1399)</f>
        <v>99</v>
      </c>
    </row>
    <row r="1400" spans="1:8" hidden="1" x14ac:dyDescent="0.15">
      <c r="A1400" s="2200" t="s">
        <v>11502</v>
      </c>
      <c r="B1400" s="2200" t="s">
        <v>13512</v>
      </c>
      <c r="C1400" s="2200" t="s">
        <v>13513</v>
      </c>
      <c r="D1400" s="2200" t="str">
        <f t="shared" si="84"/>
        <v>ME</v>
      </c>
      <c r="E1400" s="2200">
        <f t="shared" si="85"/>
        <v>13</v>
      </c>
      <c r="F1400" s="2200" t="str">
        <f t="shared" si="86"/>
        <v>23</v>
      </c>
      <c r="G1400" s="2200" t="str">
        <f t="shared" si="87"/>
        <v>12525</v>
      </c>
      <c r="H1400" s="2200">
        <f>--SUBTOTAL(3,C$2:C1400)</f>
        <v>99</v>
      </c>
    </row>
    <row r="1401" spans="1:8" hidden="1" x14ac:dyDescent="0.15">
      <c r="A1401" s="2200" t="s">
        <v>11502</v>
      </c>
      <c r="B1401" s="2200" t="s">
        <v>13514</v>
      </c>
      <c r="C1401" s="2200" t="s">
        <v>13515</v>
      </c>
      <c r="D1401" s="2200" t="str">
        <f t="shared" si="84"/>
        <v>ME</v>
      </c>
      <c r="E1401" s="2200">
        <f t="shared" si="85"/>
        <v>18</v>
      </c>
      <c r="F1401" s="2200" t="str">
        <f t="shared" si="86"/>
        <v>23</v>
      </c>
      <c r="G1401" s="2200" t="str">
        <f t="shared" si="87"/>
        <v>12595</v>
      </c>
      <c r="H1401" s="2200">
        <f>--SUBTOTAL(3,C$2:C1401)</f>
        <v>99</v>
      </c>
    </row>
    <row r="1402" spans="1:8" hidden="1" x14ac:dyDescent="0.15">
      <c r="A1402" s="2200" t="s">
        <v>11502</v>
      </c>
      <c r="B1402" s="2200" t="s">
        <v>13516</v>
      </c>
      <c r="C1402" s="2200" t="s">
        <v>13517</v>
      </c>
      <c r="D1402" s="2200" t="str">
        <f t="shared" si="84"/>
        <v>ME</v>
      </c>
      <c r="E1402" s="2200">
        <f t="shared" si="85"/>
        <v>11</v>
      </c>
      <c r="F1402" s="2200" t="str">
        <f t="shared" si="86"/>
        <v>23</v>
      </c>
      <c r="G1402" s="2200" t="str">
        <f t="shared" si="87"/>
        <v>12735</v>
      </c>
      <c r="H1402" s="2200">
        <f>--SUBTOTAL(3,C$2:C1402)</f>
        <v>99</v>
      </c>
    </row>
    <row r="1403" spans="1:8" hidden="1" x14ac:dyDescent="0.15">
      <c r="A1403" s="2200" t="s">
        <v>11502</v>
      </c>
      <c r="B1403" s="2200" t="s">
        <v>13518</v>
      </c>
      <c r="C1403" s="2200" t="s">
        <v>13519</v>
      </c>
      <c r="D1403" s="2200" t="str">
        <f t="shared" si="84"/>
        <v>ME</v>
      </c>
      <c r="E1403" s="2200">
        <f t="shared" si="85"/>
        <v>13</v>
      </c>
      <c r="F1403" s="2200" t="str">
        <f t="shared" si="86"/>
        <v>23</v>
      </c>
      <c r="G1403" s="2200" t="str">
        <f t="shared" si="87"/>
        <v>13365</v>
      </c>
      <c r="H1403" s="2200">
        <f>--SUBTOTAL(3,C$2:C1403)</f>
        <v>99</v>
      </c>
    </row>
    <row r="1404" spans="1:8" hidden="1" x14ac:dyDescent="0.15">
      <c r="A1404" s="2200" t="s">
        <v>11502</v>
      </c>
      <c r="B1404" s="2200" t="s">
        <v>13520</v>
      </c>
      <c r="C1404" s="2200" t="s">
        <v>13521</v>
      </c>
      <c r="D1404" s="2200" t="str">
        <f t="shared" si="84"/>
        <v>ME</v>
      </c>
      <c r="E1404" s="2200">
        <f t="shared" si="85"/>
        <v>13</v>
      </c>
      <c r="F1404" s="2200" t="str">
        <f t="shared" si="86"/>
        <v>23</v>
      </c>
      <c r="G1404" s="2200" t="str">
        <f t="shared" si="87"/>
        <v>13470</v>
      </c>
      <c r="H1404" s="2200">
        <f>--SUBTOTAL(3,C$2:C1404)</f>
        <v>99</v>
      </c>
    </row>
    <row r="1405" spans="1:8" hidden="1" x14ac:dyDescent="0.15">
      <c r="A1405" s="2200" t="s">
        <v>11502</v>
      </c>
      <c r="B1405" s="2200" t="s">
        <v>13522</v>
      </c>
      <c r="C1405" s="2200" t="s">
        <v>13523</v>
      </c>
      <c r="D1405" s="2200" t="str">
        <f t="shared" si="84"/>
        <v>ME</v>
      </c>
      <c r="E1405" s="2200">
        <f t="shared" si="85"/>
        <v>21</v>
      </c>
      <c r="F1405" s="2200" t="str">
        <f t="shared" si="86"/>
        <v>23</v>
      </c>
      <c r="G1405" s="2200" t="str">
        <f t="shared" si="87"/>
        <v>13610</v>
      </c>
      <c r="H1405" s="2200">
        <f>--SUBTOTAL(3,C$2:C1405)</f>
        <v>99</v>
      </c>
    </row>
    <row r="1406" spans="1:8" hidden="1" x14ac:dyDescent="0.15">
      <c r="A1406" s="2200" t="s">
        <v>11502</v>
      </c>
      <c r="B1406" s="2200" t="s">
        <v>13524</v>
      </c>
      <c r="C1406" s="2200" t="s">
        <v>13525</v>
      </c>
      <c r="D1406" s="2200" t="str">
        <f t="shared" si="84"/>
        <v>ME</v>
      </c>
      <c r="E1406" s="2200">
        <f t="shared" si="85"/>
        <v>20</v>
      </c>
      <c r="F1406" s="2200" t="str">
        <f t="shared" si="86"/>
        <v>23</v>
      </c>
      <c r="G1406" s="2200" t="str">
        <f t="shared" si="87"/>
        <v>13820</v>
      </c>
      <c r="H1406" s="2200">
        <f>--SUBTOTAL(3,C$2:C1406)</f>
        <v>99</v>
      </c>
    </row>
    <row r="1407" spans="1:8" hidden="1" x14ac:dyDescent="0.15">
      <c r="A1407" s="2200" t="s">
        <v>11502</v>
      </c>
      <c r="B1407" s="2200" t="s">
        <v>13526</v>
      </c>
      <c r="C1407" s="2200" t="s">
        <v>13527</v>
      </c>
      <c r="D1407" s="2200" t="str">
        <f t="shared" si="84"/>
        <v>ME</v>
      </c>
      <c r="E1407" s="2200">
        <f t="shared" si="85"/>
        <v>14</v>
      </c>
      <c r="F1407" s="2200" t="str">
        <f t="shared" si="86"/>
        <v>23</v>
      </c>
      <c r="G1407" s="2200" t="str">
        <f t="shared" si="87"/>
        <v>13750</v>
      </c>
      <c r="H1407" s="2200">
        <f>--SUBTOTAL(3,C$2:C1407)</f>
        <v>99</v>
      </c>
    </row>
    <row r="1408" spans="1:8" hidden="1" x14ac:dyDescent="0.15">
      <c r="A1408" s="2200" t="s">
        <v>11502</v>
      </c>
      <c r="B1408" s="2200" t="s">
        <v>13528</v>
      </c>
      <c r="C1408" s="2200" t="s">
        <v>13529</v>
      </c>
      <c r="D1408" s="2200" t="str">
        <f t="shared" si="84"/>
        <v>ME</v>
      </c>
      <c r="E1408" s="2200">
        <f t="shared" si="85"/>
        <v>19</v>
      </c>
      <c r="F1408" s="2200" t="str">
        <f t="shared" si="86"/>
        <v>23</v>
      </c>
      <c r="G1408" s="2200" t="str">
        <f t="shared" si="87"/>
        <v>13900</v>
      </c>
      <c r="H1408" s="2200">
        <f>--SUBTOTAL(3,C$2:C1408)</f>
        <v>99</v>
      </c>
    </row>
    <row r="1409" spans="1:8" hidden="1" x14ac:dyDescent="0.15">
      <c r="A1409" s="2200" t="s">
        <v>11443</v>
      </c>
      <c r="B1409" s="2200" t="s">
        <v>13530</v>
      </c>
      <c r="C1409" s="2200" t="s">
        <v>13531</v>
      </c>
      <c r="D1409" s="2200" t="str">
        <f t="shared" si="84"/>
        <v>NH</v>
      </c>
      <c r="E1409" s="2200">
        <f t="shared" si="85"/>
        <v>7</v>
      </c>
      <c r="F1409" s="2200" t="str">
        <f t="shared" si="86"/>
        <v>33</v>
      </c>
      <c r="G1409" s="2200" t="str">
        <f t="shared" si="87"/>
        <v>80740</v>
      </c>
      <c r="H1409" s="2200">
        <f>--SUBTOTAL(3,C$2:C1409)</f>
        <v>99</v>
      </c>
    </row>
    <row r="1410" spans="1:8" hidden="1" x14ac:dyDescent="0.15">
      <c r="A1410" s="2200" t="s">
        <v>11502</v>
      </c>
      <c r="B1410" s="2200" t="s">
        <v>13532</v>
      </c>
      <c r="C1410" s="2200" t="s">
        <v>13533</v>
      </c>
      <c r="D1410" s="2200" t="str">
        <f t="shared" ref="D1410:D1473" si="88">MID(C1410,E1410+2,2)</f>
        <v>ME</v>
      </c>
      <c r="E1410" s="2200">
        <f t="shared" ref="E1410:E1473" si="89">FIND(",",C1410)</f>
        <v>12</v>
      </c>
      <c r="F1410" s="2200" t="str">
        <f t="shared" si="86"/>
        <v>23</v>
      </c>
      <c r="G1410" s="2200" t="str">
        <f t="shared" si="87"/>
        <v>14100</v>
      </c>
      <c r="H1410" s="2200">
        <f>--SUBTOTAL(3,C$2:C1410)</f>
        <v>99</v>
      </c>
    </row>
    <row r="1411" spans="1:8" hidden="1" x14ac:dyDescent="0.15">
      <c r="A1411" s="2200" t="s">
        <v>11502</v>
      </c>
      <c r="B1411" s="2200" t="s">
        <v>13534</v>
      </c>
      <c r="C1411" s="2200" t="s">
        <v>13535</v>
      </c>
      <c r="D1411" s="2200" t="str">
        <f t="shared" si="88"/>
        <v>ME</v>
      </c>
      <c r="E1411" s="2200">
        <f t="shared" si="89"/>
        <v>18</v>
      </c>
      <c r="F1411" s="2200" t="str">
        <f t="shared" ref="F1411:F1474" si="90">MID(B1411,3,2)</f>
        <v>23</v>
      </c>
      <c r="G1411" s="2200" t="str">
        <f t="shared" ref="G1411:G1474" si="91">MID(B1411,5,5)</f>
        <v>14205</v>
      </c>
      <c r="H1411" s="2200">
        <f>--SUBTOTAL(3,C$2:C1411)</f>
        <v>99</v>
      </c>
    </row>
    <row r="1412" spans="1:8" hidden="1" x14ac:dyDescent="0.15">
      <c r="A1412" s="2200" t="s">
        <v>11502</v>
      </c>
      <c r="B1412" s="2200" t="s">
        <v>13536</v>
      </c>
      <c r="C1412" s="2200" t="s">
        <v>13537</v>
      </c>
      <c r="D1412" s="2200" t="str">
        <f t="shared" si="88"/>
        <v>ME</v>
      </c>
      <c r="E1412" s="2200">
        <f t="shared" si="89"/>
        <v>13</v>
      </c>
      <c r="F1412" s="2200" t="str">
        <f t="shared" si="90"/>
        <v>23</v>
      </c>
      <c r="G1412" s="2200" t="str">
        <f t="shared" si="91"/>
        <v>14310</v>
      </c>
      <c r="H1412" s="2200">
        <f>--SUBTOTAL(3,C$2:C1412)</f>
        <v>99</v>
      </c>
    </row>
    <row r="1413" spans="1:8" hidden="1" x14ac:dyDescent="0.15">
      <c r="A1413" s="2200" t="s">
        <v>11502</v>
      </c>
      <c r="B1413" s="2200" t="s">
        <v>13538</v>
      </c>
      <c r="C1413" s="2200" t="s">
        <v>13539</v>
      </c>
      <c r="D1413" s="2200" t="str">
        <f t="shared" si="88"/>
        <v>ME</v>
      </c>
      <c r="E1413" s="2200">
        <f t="shared" si="89"/>
        <v>13</v>
      </c>
      <c r="F1413" s="2200" t="str">
        <f t="shared" si="90"/>
        <v>23</v>
      </c>
      <c r="G1413" s="2200" t="str">
        <f t="shared" si="91"/>
        <v>14380</v>
      </c>
      <c r="H1413" s="2200">
        <f>--SUBTOTAL(3,C$2:C1413)</f>
        <v>99</v>
      </c>
    </row>
    <row r="1414" spans="1:8" hidden="1" x14ac:dyDescent="0.15">
      <c r="A1414" s="2200" t="s">
        <v>11502</v>
      </c>
      <c r="B1414" s="2200" t="s">
        <v>13540</v>
      </c>
      <c r="C1414" s="2200" t="s">
        <v>13541</v>
      </c>
      <c r="D1414" s="2200" t="str">
        <f t="shared" si="88"/>
        <v>ME</v>
      </c>
      <c r="E1414" s="2200">
        <f t="shared" si="89"/>
        <v>13</v>
      </c>
      <c r="F1414" s="2200" t="str">
        <f t="shared" si="90"/>
        <v>23</v>
      </c>
      <c r="G1414" s="2200" t="str">
        <f t="shared" si="91"/>
        <v>14485</v>
      </c>
      <c r="H1414" s="2200">
        <f>--SUBTOTAL(3,C$2:C1414)</f>
        <v>99</v>
      </c>
    </row>
    <row r="1415" spans="1:8" hidden="1" x14ac:dyDescent="0.15">
      <c r="A1415" s="2200" t="s">
        <v>11502</v>
      </c>
      <c r="B1415" s="2200" t="s">
        <v>13542</v>
      </c>
      <c r="C1415" s="2200" t="s">
        <v>13543</v>
      </c>
      <c r="D1415" s="2200" t="str">
        <f t="shared" si="88"/>
        <v>ME</v>
      </c>
      <c r="E1415" s="2200">
        <f t="shared" si="89"/>
        <v>15</v>
      </c>
      <c r="F1415" s="2200" t="str">
        <f t="shared" si="90"/>
        <v>23</v>
      </c>
      <c r="G1415" s="2200" t="str">
        <f t="shared" si="91"/>
        <v>14555</v>
      </c>
      <c r="H1415" s="2200">
        <f>--SUBTOTAL(3,C$2:C1415)</f>
        <v>99</v>
      </c>
    </row>
    <row r="1416" spans="1:8" hidden="1" x14ac:dyDescent="0.15">
      <c r="A1416" s="2200" t="s">
        <v>11502</v>
      </c>
      <c r="B1416" s="2200" t="s">
        <v>13544</v>
      </c>
      <c r="C1416" s="2200" t="s">
        <v>13545</v>
      </c>
      <c r="D1416" s="2200" t="str">
        <f t="shared" si="88"/>
        <v>ME</v>
      </c>
      <c r="E1416" s="2200">
        <f t="shared" si="89"/>
        <v>21</v>
      </c>
      <c r="F1416" s="2200" t="str">
        <f t="shared" si="90"/>
        <v>23</v>
      </c>
      <c r="G1416" s="2200" t="str">
        <f t="shared" si="91"/>
        <v>14905</v>
      </c>
      <c r="H1416" s="2200">
        <f>--SUBTOTAL(3,C$2:C1416)</f>
        <v>99</v>
      </c>
    </row>
    <row r="1417" spans="1:8" hidden="1" x14ac:dyDescent="0.15">
      <c r="A1417" s="2200" t="s">
        <v>11502</v>
      </c>
      <c r="B1417" s="2200" t="s">
        <v>13546</v>
      </c>
      <c r="C1417" s="2200" t="s">
        <v>13547</v>
      </c>
      <c r="D1417" s="2200" t="str">
        <f t="shared" si="88"/>
        <v>ME</v>
      </c>
      <c r="E1417" s="2200">
        <f t="shared" si="89"/>
        <v>14</v>
      </c>
      <c r="F1417" s="2200" t="str">
        <f t="shared" si="90"/>
        <v>23</v>
      </c>
      <c r="G1417" s="2200" t="str">
        <f t="shared" si="91"/>
        <v>14940</v>
      </c>
      <c r="H1417" s="2200">
        <f>--SUBTOTAL(3,C$2:C1417)</f>
        <v>99</v>
      </c>
    </row>
    <row r="1418" spans="1:8" hidden="1" x14ac:dyDescent="0.15">
      <c r="A1418" s="2200" t="s">
        <v>11502</v>
      </c>
      <c r="B1418" s="2200" t="s">
        <v>13548</v>
      </c>
      <c r="C1418" s="2200" t="s">
        <v>13549</v>
      </c>
      <c r="D1418" s="2200" t="str">
        <f t="shared" si="88"/>
        <v>ME</v>
      </c>
      <c r="E1418" s="2200">
        <f t="shared" si="89"/>
        <v>13</v>
      </c>
      <c r="F1418" s="2200" t="str">
        <f t="shared" si="90"/>
        <v>23</v>
      </c>
      <c r="G1418" s="2200" t="str">
        <f t="shared" si="91"/>
        <v>15395</v>
      </c>
      <c r="H1418" s="2200">
        <f>--SUBTOTAL(3,C$2:C1418)</f>
        <v>99</v>
      </c>
    </row>
    <row r="1419" spans="1:8" hidden="1" x14ac:dyDescent="0.15">
      <c r="A1419" s="2200" t="s">
        <v>11502</v>
      </c>
      <c r="B1419" s="2200" t="s">
        <v>13550</v>
      </c>
      <c r="C1419" s="2200" t="s">
        <v>13551</v>
      </c>
      <c r="D1419" s="2200" t="str">
        <f t="shared" si="88"/>
        <v>ME</v>
      </c>
      <c r="E1419" s="2200">
        <f t="shared" si="89"/>
        <v>16</v>
      </c>
      <c r="F1419" s="2200" t="str">
        <f t="shared" si="90"/>
        <v>23</v>
      </c>
      <c r="G1419" s="2200" t="str">
        <f t="shared" si="91"/>
        <v>15430</v>
      </c>
      <c r="H1419" s="2200">
        <f>--SUBTOTAL(3,C$2:C1419)</f>
        <v>99</v>
      </c>
    </row>
    <row r="1420" spans="1:8" hidden="1" x14ac:dyDescent="0.15">
      <c r="A1420" s="2200" t="s">
        <v>11502</v>
      </c>
      <c r="B1420" s="2200" t="s">
        <v>13552</v>
      </c>
      <c r="C1420" s="2200" t="s">
        <v>13553</v>
      </c>
      <c r="D1420" s="2200" t="str">
        <f t="shared" si="88"/>
        <v>ME</v>
      </c>
      <c r="E1420" s="2200">
        <f t="shared" si="89"/>
        <v>13</v>
      </c>
      <c r="F1420" s="2200" t="str">
        <f t="shared" si="90"/>
        <v>23</v>
      </c>
      <c r="G1420" s="2200" t="str">
        <f t="shared" si="91"/>
        <v>15780</v>
      </c>
      <c r="H1420" s="2200">
        <f>--SUBTOTAL(3,C$2:C1420)</f>
        <v>99</v>
      </c>
    </row>
    <row r="1421" spans="1:8" hidden="1" x14ac:dyDescent="0.15">
      <c r="A1421" s="2200" t="s">
        <v>11502</v>
      </c>
      <c r="B1421" s="2200" t="s">
        <v>13554</v>
      </c>
      <c r="C1421" s="2200" t="s">
        <v>13555</v>
      </c>
      <c r="D1421" s="2200" t="str">
        <f t="shared" si="88"/>
        <v>ME</v>
      </c>
      <c r="E1421" s="2200">
        <f t="shared" si="89"/>
        <v>12</v>
      </c>
      <c r="F1421" s="2200" t="str">
        <f t="shared" si="90"/>
        <v>23</v>
      </c>
      <c r="G1421" s="2200" t="str">
        <f t="shared" si="91"/>
        <v>15920</v>
      </c>
      <c r="H1421" s="2200">
        <f>--SUBTOTAL(3,C$2:C1421)</f>
        <v>99</v>
      </c>
    </row>
    <row r="1422" spans="1:8" hidden="1" x14ac:dyDescent="0.15">
      <c r="A1422" s="2200" t="s">
        <v>11502</v>
      </c>
      <c r="B1422" s="2200" t="s">
        <v>13556</v>
      </c>
      <c r="C1422" s="2200" t="s">
        <v>13557</v>
      </c>
      <c r="D1422" s="2200" t="str">
        <f t="shared" si="88"/>
        <v>ME</v>
      </c>
      <c r="E1422" s="2200">
        <f t="shared" si="89"/>
        <v>15</v>
      </c>
      <c r="F1422" s="2200" t="str">
        <f t="shared" si="90"/>
        <v>23</v>
      </c>
      <c r="G1422" s="2200" t="str">
        <f t="shared" si="91"/>
        <v>15990</v>
      </c>
      <c r="H1422" s="2200">
        <f>--SUBTOTAL(3,C$2:C1422)</f>
        <v>99</v>
      </c>
    </row>
    <row r="1423" spans="1:8" hidden="1" x14ac:dyDescent="0.15">
      <c r="A1423" s="2200" t="s">
        <v>11502</v>
      </c>
      <c r="B1423" s="2200" t="s">
        <v>13558</v>
      </c>
      <c r="C1423" s="2200" t="s">
        <v>13559</v>
      </c>
      <c r="D1423" s="2200" t="str">
        <f t="shared" si="88"/>
        <v>ME</v>
      </c>
      <c r="E1423" s="2200">
        <f t="shared" si="89"/>
        <v>18</v>
      </c>
      <c r="F1423" s="2200" t="str">
        <f t="shared" si="90"/>
        <v>23</v>
      </c>
      <c r="G1423" s="2200" t="str">
        <f t="shared" si="91"/>
        <v>16165</v>
      </c>
      <c r="H1423" s="2200">
        <f>--SUBTOTAL(3,C$2:C1423)</f>
        <v>99</v>
      </c>
    </row>
    <row r="1424" spans="1:8" hidden="1" x14ac:dyDescent="0.15">
      <c r="A1424" s="2200" t="s">
        <v>11502</v>
      </c>
      <c r="B1424" s="2200" t="s">
        <v>13560</v>
      </c>
      <c r="C1424" s="2200" t="s">
        <v>13561</v>
      </c>
      <c r="D1424" s="2200" t="str">
        <f t="shared" si="88"/>
        <v>ME</v>
      </c>
      <c r="E1424" s="2200">
        <f t="shared" si="89"/>
        <v>18</v>
      </c>
      <c r="F1424" s="2200" t="str">
        <f t="shared" si="90"/>
        <v>23</v>
      </c>
      <c r="G1424" s="2200" t="str">
        <f t="shared" si="91"/>
        <v>16235</v>
      </c>
      <c r="H1424" s="2200">
        <f>--SUBTOTAL(3,C$2:C1424)</f>
        <v>99</v>
      </c>
    </row>
    <row r="1425" spans="1:8" hidden="1" x14ac:dyDescent="0.15">
      <c r="A1425" s="2200" t="s">
        <v>11502</v>
      </c>
      <c r="B1425" s="2200" t="s">
        <v>13562</v>
      </c>
      <c r="C1425" s="2200" t="s">
        <v>13563</v>
      </c>
      <c r="D1425" s="2200" t="str">
        <f t="shared" si="88"/>
        <v>ME</v>
      </c>
      <c r="E1425" s="2200">
        <f t="shared" si="89"/>
        <v>14</v>
      </c>
      <c r="F1425" s="2200" t="str">
        <f t="shared" si="90"/>
        <v>23</v>
      </c>
      <c r="G1425" s="2200" t="str">
        <f t="shared" si="91"/>
        <v>16410</v>
      </c>
      <c r="H1425" s="2200">
        <f>--SUBTOTAL(3,C$2:C1425)</f>
        <v>99</v>
      </c>
    </row>
    <row r="1426" spans="1:8" hidden="1" x14ac:dyDescent="0.15">
      <c r="A1426" s="2200" t="s">
        <v>11502</v>
      </c>
      <c r="B1426" s="2200" t="s">
        <v>13564</v>
      </c>
      <c r="C1426" s="2200" t="s">
        <v>13565</v>
      </c>
      <c r="D1426" s="2200" t="str">
        <f t="shared" si="88"/>
        <v>ME</v>
      </c>
      <c r="E1426" s="2200">
        <f t="shared" si="89"/>
        <v>12</v>
      </c>
      <c r="F1426" s="2200" t="str">
        <f t="shared" si="90"/>
        <v>23</v>
      </c>
      <c r="G1426" s="2200" t="str">
        <f t="shared" si="91"/>
        <v>16725</v>
      </c>
      <c r="H1426" s="2200">
        <f>--SUBTOTAL(3,C$2:C1426)</f>
        <v>99</v>
      </c>
    </row>
    <row r="1427" spans="1:8" hidden="1" x14ac:dyDescent="0.15">
      <c r="A1427" s="2200" t="s">
        <v>11502</v>
      </c>
      <c r="B1427" s="2200" t="s">
        <v>13566</v>
      </c>
      <c r="C1427" s="2200" t="s">
        <v>13567</v>
      </c>
      <c r="D1427" s="2200" t="str">
        <f t="shared" si="88"/>
        <v>ME</v>
      </c>
      <c r="E1427" s="2200">
        <f t="shared" si="89"/>
        <v>13</v>
      </c>
      <c r="F1427" s="2200" t="str">
        <f t="shared" si="90"/>
        <v>23</v>
      </c>
      <c r="G1427" s="2200" t="str">
        <f t="shared" si="91"/>
        <v>16865</v>
      </c>
      <c r="H1427" s="2200">
        <f>--SUBTOTAL(3,C$2:C1427)</f>
        <v>99</v>
      </c>
    </row>
    <row r="1428" spans="1:8" hidden="1" x14ac:dyDescent="0.15">
      <c r="A1428" s="2200" t="s">
        <v>11502</v>
      </c>
      <c r="B1428" s="2200" t="s">
        <v>13568</v>
      </c>
      <c r="C1428" s="2200" t="s">
        <v>13569</v>
      </c>
      <c r="D1428" s="2200" t="str">
        <f t="shared" si="88"/>
        <v>ME</v>
      </c>
      <c r="E1428" s="2200">
        <f t="shared" si="89"/>
        <v>12</v>
      </c>
      <c r="F1428" s="2200" t="str">
        <f t="shared" si="90"/>
        <v>23</v>
      </c>
      <c r="G1428" s="2200" t="str">
        <f t="shared" si="91"/>
        <v>16935</v>
      </c>
      <c r="H1428" s="2200">
        <f>--SUBTOTAL(3,C$2:C1428)</f>
        <v>99</v>
      </c>
    </row>
    <row r="1429" spans="1:8" hidden="1" x14ac:dyDescent="0.15">
      <c r="A1429" s="2200" t="s">
        <v>11502</v>
      </c>
      <c r="B1429" s="2200" t="s">
        <v>13570</v>
      </c>
      <c r="C1429" s="2200" t="s">
        <v>13571</v>
      </c>
      <c r="D1429" s="2200" t="str">
        <f t="shared" si="88"/>
        <v>ME</v>
      </c>
      <c r="E1429" s="2200">
        <f t="shared" si="89"/>
        <v>15</v>
      </c>
      <c r="F1429" s="2200" t="str">
        <f t="shared" si="90"/>
        <v>23</v>
      </c>
      <c r="G1429" s="2200" t="str">
        <f t="shared" si="91"/>
        <v>17145</v>
      </c>
      <c r="H1429" s="2200">
        <f>--SUBTOTAL(3,C$2:C1429)</f>
        <v>99</v>
      </c>
    </row>
    <row r="1430" spans="1:8" hidden="1" x14ac:dyDescent="0.15">
      <c r="A1430" s="2200" t="s">
        <v>11502</v>
      </c>
      <c r="B1430" s="2200" t="s">
        <v>13572</v>
      </c>
      <c r="C1430" s="2200" t="s">
        <v>13573</v>
      </c>
      <c r="D1430" s="2200" t="str">
        <f t="shared" si="88"/>
        <v>ME</v>
      </c>
      <c r="E1430" s="2200">
        <f t="shared" si="89"/>
        <v>13</v>
      </c>
      <c r="F1430" s="2200" t="str">
        <f t="shared" si="90"/>
        <v>23</v>
      </c>
      <c r="G1430" s="2200" t="str">
        <f t="shared" si="91"/>
        <v>17250</v>
      </c>
      <c r="H1430" s="2200">
        <f>--SUBTOTAL(3,C$2:C1430)</f>
        <v>99</v>
      </c>
    </row>
    <row r="1431" spans="1:8" hidden="1" x14ac:dyDescent="0.15">
      <c r="A1431" s="2200" t="s">
        <v>11502</v>
      </c>
      <c r="B1431" s="2200" t="s">
        <v>13574</v>
      </c>
      <c r="C1431" s="2200" t="s">
        <v>13575</v>
      </c>
      <c r="D1431" s="2200" t="str">
        <f t="shared" si="88"/>
        <v>ME</v>
      </c>
      <c r="E1431" s="2200">
        <f t="shared" si="89"/>
        <v>22</v>
      </c>
      <c r="F1431" s="2200" t="str">
        <f t="shared" si="90"/>
        <v>23</v>
      </c>
      <c r="G1431" s="2200" t="str">
        <f t="shared" si="91"/>
        <v>17285</v>
      </c>
      <c r="H1431" s="2200">
        <f>--SUBTOTAL(3,C$2:C1431)</f>
        <v>99</v>
      </c>
    </row>
    <row r="1432" spans="1:8" hidden="1" x14ac:dyDescent="0.15">
      <c r="A1432" s="2200" t="s">
        <v>11502</v>
      </c>
      <c r="B1432" s="2200" t="s">
        <v>13576</v>
      </c>
      <c r="C1432" s="2200" t="s">
        <v>13577</v>
      </c>
      <c r="D1432" s="2200" t="str">
        <f t="shared" si="88"/>
        <v>ME</v>
      </c>
      <c r="E1432" s="2200">
        <f t="shared" si="89"/>
        <v>17</v>
      </c>
      <c r="F1432" s="2200" t="str">
        <f t="shared" si="90"/>
        <v>23</v>
      </c>
      <c r="G1432" s="2200" t="str">
        <f t="shared" si="91"/>
        <v>17355</v>
      </c>
      <c r="H1432" s="2200">
        <f>--SUBTOTAL(3,C$2:C1432)</f>
        <v>99</v>
      </c>
    </row>
    <row r="1433" spans="1:8" hidden="1" x14ac:dyDescent="0.15">
      <c r="A1433" s="2200" t="s">
        <v>11502</v>
      </c>
      <c r="B1433" s="2200" t="s">
        <v>13578</v>
      </c>
      <c r="C1433" s="2200" t="s">
        <v>13579</v>
      </c>
      <c r="D1433" s="2200" t="str">
        <f t="shared" si="88"/>
        <v>ME</v>
      </c>
      <c r="E1433" s="2200">
        <f t="shared" si="89"/>
        <v>13</v>
      </c>
      <c r="F1433" s="2200" t="str">
        <f t="shared" si="90"/>
        <v>23</v>
      </c>
      <c r="G1433" s="2200" t="str">
        <f t="shared" si="91"/>
        <v>17460</v>
      </c>
      <c r="H1433" s="2200">
        <f>--SUBTOTAL(3,C$2:C1433)</f>
        <v>99</v>
      </c>
    </row>
    <row r="1434" spans="1:8" hidden="1" x14ac:dyDescent="0.15">
      <c r="A1434" s="2200" t="s">
        <v>11502</v>
      </c>
      <c r="B1434" s="2200" t="s">
        <v>13580</v>
      </c>
      <c r="C1434" s="2200" t="s">
        <v>13581</v>
      </c>
      <c r="D1434" s="2200" t="str">
        <f t="shared" si="88"/>
        <v>ME</v>
      </c>
      <c r="E1434" s="2200">
        <f t="shared" si="89"/>
        <v>12</v>
      </c>
      <c r="F1434" s="2200" t="str">
        <f t="shared" si="90"/>
        <v>23</v>
      </c>
      <c r="G1434" s="2200" t="str">
        <f t="shared" si="91"/>
        <v>17530</v>
      </c>
      <c r="H1434" s="2200">
        <f>--SUBTOTAL(3,C$2:C1434)</f>
        <v>99</v>
      </c>
    </row>
    <row r="1435" spans="1:8" hidden="1" x14ac:dyDescent="0.15">
      <c r="A1435" s="2200" t="s">
        <v>11502</v>
      </c>
      <c r="B1435" s="2200" t="s">
        <v>13582</v>
      </c>
      <c r="C1435" s="2200" t="s">
        <v>13583</v>
      </c>
      <c r="D1435" s="2200" t="str">
        <f t="shared" si="88"/>
        <v>ME</v>
      </c>
      <c r="E1435" s="2200">
        <f t="shared" si="89"/>
        <v>14</v>
      </c>
      <c r="F1435" s="2200" t="str">
        <f t="shared" si="90"/>
        <v>23</v>
      </c>
      <c r="G1435" s="2200" t="str">
        <f t="shared" si="91"/>
        <v>17740</v>
      </c>
      <c r="H1435" s="2200">
        <f>--SUBTOTAL(3,C$2:C1435)</f>
        <v>99</v>
      </c>
    </row>
    <row r="1436" spans="1:8" hidden="1" x14ac:dyDescent="0.15">
      <c r="A1436" s="2200" t="s">
        <v>11502</v>
      </c>
      <c r="B1436" s="2200" t="s">
        <v>13584</v>
      </c>
      <c r="C1436" s="2200" t="s">
        <v>13585</v>
      </c>
      <c r="D1436" s="2200" t="str">
        <f t="shared" si="88"/>
        <v>ME</v>
      </c>
      <c r="E1436" s="2200">
        <f t="shared" si="89"/>
        <v>13</v>
      </c>
      <c r="F1436" s="2200" t="str">
        <f t="shared" si="90"/>
        <v>23</v>
      </c>
      <c r="G1436" s="2200" t="str">
        <f t="shared" si="91"/>
        <v>17950</v>
      </c>
      <c r="H1436" s="2200">
        <f>--SUBTOTAL(3,C$2:C1436)</f>
        <v>99</v>
      </c>
    </row>
    <row r="1437" spans="1:8" hidden="1" x14ac:dyDescent="0.15">
      <c r="A1437" s="2200" t="s">
        <v>11502</v>
      </c>
      <c r="B1437" s="2200" t="s">
        <v>13586</v>
      </c>
      <c r="C1437" s="2200" t="s">
        <v>13587</v>
      </c>
      <c r="D1437" s="2200" t="str">
        <f t="shared" si="88"/>
        <v>ME</v>
      </c>
      <c r="E1437" s="2200">
        <f t="shared" si="89"/>
        <v>20</v>
      </c>
      <c r="F1437" s="2200" t="str">
        <f t="shared" si="90"/>
        <v>23</v>
      </c>
      <c r="G1437" s="2200" t="str">
        <f t="shared" si="91"/>
        <v>18195</v>
      </c>
      <c r="H1437" s="2200">
        <f>--SUBTOTAL(3,C$2:C1437)</f>
        <v>99</v>
      </c>
    </row>
    <row r="1438" spans="1:8" hidden="1" x14ac:dyDescent="0.15">
      <c r="A1438" s="2200" t="s">
        <v>11443</v>
      </c>
      <c r="B1438" s="2200" t="s">
        <v>13588</v>
      </c>
      <c r="C1438" s="2200" t="s">
        <v>13589</v>
      </c>
      <c r="D1438" s="2200" t="str">
        <f t="shared" si="88"/>
        <v>ME</v>
      </c>
      <c r="E1438" s="2200">
        <f t="shared" si="89"/>
        <v>15</v>
      </c>
      <c r="F1438" s="2200" t="str">
        <f t="shared" si="90"/>
        <v>23</v>
      </c>
      <c r="G1438" s="2200" t="str">
        <f t="shared" si="91"/>
        <v>80900</v>
      </c>
      <c r="H1438" s="2200">
        <f>--SUBTOTAL(3,C$2:C1438)</f>
        <v>99</v>
      </c>
    </row>
    <row r="1439" spans="1:8" hidden="1" x14ac:dyDescent="0.15">
      <c r="A1439" s="2200" t="s">
        <v>11502</v>
      </c>
      <c r="B1439" s="2200" t="s">
        <v>13590</v>
      </c>
      <c r="C1439" s="2200" t="s">
        <v>13591</v>
      </c>
      <c r="D1439" s="2200" t="str">
        <f t="shared" si="88"/>
        <v>ME</v>
      </c>
      <c r="E1439" s="2200">
        <f t="shared" si="89"/>
        <v>13</v>
      </c>
      <c r="F1439" s="2200" t="str">
        <f t="shared" si="90"/>
        <v>23</v>
      </c>
      <c r="G1439" s="2200" t="str">
        <f t="shared" si="91"/>
        <v>18475</v>
      </c>
      <c r="H1439" s="2200">
        <f>--SUBTOTAL(3,C$2:C1439)</f>
        <v>99</v>
      </c>
    </row>
    <row r="1440" spans="1:8" hidden="1" x14ac:dyDescent="0.15">
      <c r="A1440" s="2200" t="s">
        <v>11502</v>
      </c>
      <c r="B1440" s="2200" t="s">
        <v>13592</v>
      </c>
      <c r="C1440" s="2200" t="s">
        <v>13593</v>
      </c>
      <c r="D1440" s="2200" t="str">
        <f t="shared" si="88"/>
        <v>ME</v>
      </c>
      <c r="E1440" s="2200">
        <f t="shared" si="89"/>
        <v>16</v>
      </c>
      <c r="F1440" s="2200" t="str">
        <f t="shared" si="90"/>
        <v>23</v>
      </c>
      <c r="G1440" s="2200" t="str">
        <f t="shared" si="91"/>
        <v>18580</v>
      </c>
      <c r="H1440" s="2200">
        <f>--SUBTOTAL(3,C$2:C1440)</f>
        <v>99</v>
      </c>
    </row>
    <row r="1441" spans="1:8" hidden="1" x14ac:dyDescent="0.15">
      <c r="A1441" s="2200" t="s">
        <v>11502</v>
      </c>
      <c r="B1441" s="2200" t="s">
        <v>13594</v>
      </c>
      <c r="C1441" s="2200" t="s">
        <v>13595</v>
      </c>
      <c r="D1441" s="2200" t="str">
        <f t="shared" si="88"/>
        <v>ME</v>
      </c>
      <c r="E1441" s="2200">
        <f t="shared" si="89"/>
        <v>12</v>
      </c>
      <c r="F1441" s="2200" t="str">
        <f t="shared" si="90"/>
        <v>23</v>
      </c>
      <c r="G1441" s="2200" t="str">
        <f t="shared" si="91"/>
        <v>19105</v>
      </c>
      <c r="H1441" s="2200">
        <f>--SUBTOTAL(3,C$2:C1441)</f>
        <v>99</v>
      </c>
    </row>
    <row r="1442" spans="1:8" hidden="1" x14ac:dyDescent="0.15">
      <c r="A1442" s="2200" t="s">
        <v>11502</v>
      </c>
      <c r="B1442" s="2200" t="s">
        <v>13596</v>
      </c>
      <c r="C1442" s="2200" t="s">
        <v>13597</v>
      </c>
      <c r="D1442" s="2200" t="str">
        <f t="shared" si="88"/>
        <v>ME</v>
      </c>
      <c r="E1442" s="2200">
        <f t="shared" si="89"/>
        <v>16</v>
      </c>
      <c r="F1442" s="2200" t="str">
        <f t="shared" si="90"/>
        <v>23</v>
      </c>
      <c r="G1442" s="2200" t="str">
        <f t="shared" si="91"/>
        <v>19210</v>
      </c>
      <c r="H1442" s="2200">
        <f>--SUBTOTAL(3,C$2:C1442)</f>
        <v>99</v>
      </c>
    </row>
    <row r="1443" spans="1:8" hidden="1" x14ac:dyDescent="0.15">
      <c r="A1443" s="2200" t="s">
        <v>11502</v>
      </c>
      <c r="B1443" s="2200" t="s">
        <v>13598</v>
      </c>
      <c r="C1443" s="2200" t="s">
        <v>13599</v>
      </c>
      <c r="D1443" s="2200" t="str">
        <f t="shared" si="88"/>
        <v>ME</v>
      </c>
      <c r="E1443" s="2200">
        <f t="shared" si="89"/>
        <v>16</v>
      </c>
      <c r="F1443" s="2200" t="str">
        <f t="shared" si="90"/>
        <v>23</v>
      </c>
      <c r="G1443" s="2200" t="str">
        <f t="shared" si="91"/>
        <v>19420</v>
      </c>
      <c r="H1443" s="2200">
        <f>--SUBTOTAL(3,C$2:C1443)</f>
        <v>99</v>
      </c>
    </row>
    <row r="1444" spans="1:8" hidden="1" x14ac:dyDescent="0.15">
      <c r="A1444" s="2200" t="s">
        <v>11502</v>
      </c>
      <c r="B1444" s="2200" t="s">
        <v>13600</v>
      </c>
      <c r="C1444" s="2200" t="s">
        <v>13601</v>
      </c>
      <c r="D1444" s="2200" t="str">
        <f t="shared" si="88"/>
        <v>ME</v>
      </c>
      <c r="E1444" s="2200">
        <f t="shared" si="89"/>
        <v>34</v>
      </c>
      <c r="F1444" s="2200" t="str">
        <f t="shared" si="90"/>
        <v>23</v>
      </c>
      <c r="G1444" s="2200" t="str">
        <f t="shared" si="91"/>
        <v>19865</v>
      </c>
      <c r="H1444" s="2200">
        <f>--SUBTOTAL(3,C$2:C1444)</f>
        <v>99</v>
      </c>
    </row>
    <row r="1445" spans="1:8" hidden="1" x14ac:dyDescent="0.15">
      <c r="A1445" s="2200" t="s">
        <v>11502</v>
      </c>
      <c r="B1445" s="2200" t="s">
        <v>13602</v>
      </c>
      <c r="C1445" s="2200" t="s">
        <v>13603</v>
      </c>
      <c r="D1445" s="2200" t="str">
        <f t="shared" si="88"/>
        <v>ME</v>
      </c>
      <c r="E1445" s="2200">
        <f t="shared" si="89"/>
        <v>35</v>
      </c>
      <c r="F1445" s="2200" t="str">
        <f t="shared" si="90"/>
        <v>23</v>
      </c>
      <c r="G1445" s="2200" t="str">
        <f t="shared" si="91"/>
        <v>19868</v>
      </c>
      <c r="H1445" s="2200">
        <f>--SUBTOTAL(3,C$2:C1445)</f>
        <v>99</v>
      </c>
    </row>
    <row r="1446" spans="1:8" hidden="1" x14ac:dyDescent="0.15">
      <c r="A1446" s="2200" t="s">
        <v>11502</v>
      </c>
      <c r="B1446" s="2200" t="s">
        <v>13604</v>
      </c>
      <c r="C1446" s="2200" t="s">
        <v>13605</v>
      </c>
      <c r="D1446" s="2200" t="str">
        <f t="shared" si="88"/>
        <v>ME</v>
      </c>
      <c r="E1446" s="2200">
        <f t="shared" si="89"/>
        <v>36</v>
      </c>
      <c r="F1446" s="2200" t="str">
        <f t="shared" si="90"/>
        <v>23</v>
      </c>
      <c r="G1446" s="2200" t="str">
        <f t="shared" si="91"/>
        <v>19870</v>
      </c>
      <c r="H1446" s="2200">
        <f>--SUBTOTAL(3,C$2:C1446)</f>
        <v>99</v>
      </c>
    </row>
    <row r="1447" spans="1:8" hidden="1" x14ac:dyDescent="0.15">
      <c r="A1447" s="2200" t="s">
        <v>11502</v>
      </c>
      <c r="B1447" s="2200" t="s">
        <v>13606</v>
      </c>
      <c r="C1447" s="2200" t="s">
        <v>13607</v>
      </c>
      <c r="D1447" s="2200" t="str">
        <f t="shared" si="88"/>
        <v>ME</v>
      </c>
      <c r="E1447" s="2200">
        <f t="shared" si="89"/>
        <v>25</v>
      </c>
      <c r="F1447" s="2200" t="str">
        <f t="shared" si="90"/>
        <v>23</v>
      </c>
      <c r="G1447" s="2200" t="str">
        <f t="shared" si="91"/>
        <v>20405</v>
      </c>
      <c r="H1447" s="2200">
        <f>--SUBTOTAL(3,C$2:C1447)</f>
        <v>99</v>
      </c>
    </row>
    <row r="1448" spans="1:8" hidden="1" x14ac:dyDescent="0.15">
      <c r="A1448" s="2200" t="s">
        <v>11502</v>
      </c>
      <c r="B1448" s="2200" t="s">
        <v>13608</v>
      </c>
      <c r="C1448" s="2200" t="s">
        <v>13609</v>
      </c>
      <c r="D1448" s="2200" t="str">
        <f t="shared" si="88"/>
        <v>ME</v>
      </c>
      <c r="E1448" s="2200">
        <f t="shared" si="89"/>
        <v>18</v>
      </c>
      <c r="F1448" s="2200" t="str">
        <f t="shared" si="90"/>
        <v>23</v>
      </c>
      <c r="G1448" s="2200" t="str">
        <f t="shared" si="91"/>
        <v>20960</v>
      </c>
      <c r="H1448" s="2200">
        <f>--SUBTOTAL(3,C$2:C1448)</f>
        <v>99</v>
      </c>
    </row>
    <row r="1449" spans="1:8" hidden="1" x14ac:dyDescent="0.15">
      <c r="A1449" s="2200" t="s">
        <v>11502</v>
      </c>
      <c r="B1449" s="2200" t="s">
        <v>13610</v>
      </c>
      <c r="C1449" s="2200" t="s">
        <v>13611</v>
      </c>
      <c r="D1449" s="2200" t="str">
        <f t="shared" si="88"/>
        <v>ME</v>
      </c>
      <c r="E1449" s="2200">
        <f t="shared" si="89"/>
        <v>22</v>
      </c>
      <c r="F1449" s="2200" t="str">
        <f t="shared" si="90"/>
        <v>23</v>
      </c>
      <c r="G1449" s="2200" t="str">
        <f t="shared" si="91"/>
        <v>21030</v>
      </c>
      <c r="H1449" s="2200">
        <f>--SUBTOTAL(3,C$2:C1449)</f>
        <v>99</v>
      </c>
    </row>
    <row r="1450" spans="1:8" hidden="1" x14ac:dyDescent="0.15">
      <c r="A1450" s="2200" t="s">
        <v>11502</v>
      </c>
      <c r="B1450" s="2200" t="s">
        <v>13612</v>
      </c>
      <c r="C1450" s="2200" t="s">
        <v>13613</v>
      </c>
      <c r="D1450" s="2200" t="str">
        <f t="shared" si="88"/>
        <v>ME</v>
      </c>
      <c r="E1450" s="2200">
        <f t="shared" si="89"/>
        <v>15</v>
      </c>
      <c r="F1450" s="2200" t="str">
        <f t="shared" si="90"/>
        <v>23</v>
      </c>
      <c r="G1450" s="2200" t="str">
        <f t="shared" si="91"/>
        <v>19770</v>
      </c>
      <c r="H1450" s="2200">
        <f>--SUBTOTAL(3,C$2:C1450)</f>
        <v>99</v>
      </c>
    </row>
    <row r="1451" spans="1:8" hidden="1" x14ac:dyDescent="0.15">
      <c r="A1451" s="2200" t="s">
        <v>11502</v>
      </c>
      <c r="B1451" s="2200" t="s">
        <v>13614</v>
      </c>
      <c r="C1451" s="2200" t="s">
        <v>13615</v>
      </c>
      <c r="D1451" s="2200" t="str">
        <f t="shared" si="88"/>
        <v>ME</v>
      </c>
      <c r="E1451" s="2200">
        <f t="shared" si="89"/>
        <v>12</v>
      </c>
      <c r="F1451" s="2200" t="str">
        <f t="shared" si="90"/>
        <v>23</v>
      </c>
      <c r="G1451" s="2200" t="str">
        <f t="shared" si="91"/>
        <v>21380</v>
      </c>
      <c r="H1451" s="2200">
        <f>--SUBTOTAL(3,C$2:C1451)</f>
        <v>99</v>
      </c>
    </row>
    <row r="1452" spans="1:8" hidden="1" x14ac:dyDescent="0.15">
      <c r="A1452" s="2200" t="s">
        <v>11502</v>
      </c>
      <c r="B1452" s="2200" t="s">
        <v>13616</v>
      </c>
      <c r="C1452" s="2200" t="s">
        <v>13617</v>
      </c>
      <c r="D1452" s="2200" t="str">
        <f t="shared" si="88"/>
        <v>ME</v>
      </c>
      <c r="E1452" s="2200">
        <f t="shared" si="89"/>
        <v>14</v>
      </c>
      <c r="F1452" s="2200" t="str">
        <f t="shared" si="90"/>
        <v>23</v>
      </c>
      <c r="G1452" s="2200" t="str">
        <f t="shared" si="91"/>
        <v>21730</v>
      </c>
      <c r="H1452" s="2200">
        <f>--SUBTOTAL(3,C$2:C1452)</f>
        <v>99</v>
      </c>
    </row>
    <row r="1453" spans="1:8" hidden="1" x14ac:dyDescent="0.15">
      <c r="A1453" s="2200" t="s">
        <v>11502</v>
      </c>
      <c r="B1453" s="2200" t="s">
        <v>13618</v>
      </c>
      <c r="C1453" s="2200" t="s">
        <v>13619</v>
      </c>
      <c r="D1453" s="2200" t="str">
        <f t="shared" si="88"/>
        <v>ME</v>
      </c>
      <c r="E1453" s="2200">
        <f t="shared" si="89"/>
        <v>15</v>
      </c>
      <c r="F1453" s="2200" t="str">
        <f t="shared" si="90"/>
        <v>23</v>
      </c>
      <c r="G1453" s="2200" t="str">
        <f t="shared" si="91"/>
        <v>22535</v>
      </c>
      <c r="H1453" s="2200">
        <f>--SUBTOTAL(3,C$2:C1453)</f>
        <v>99</v>
      </c>
    </row>
    <row r="1454" spans="1:8" hidden="1" x14ac:dyDescent="0.15">
      <c r="A1454" s="2200" t="s">
        <v>11502</v>
      </c>
      <c r="B1454" s="2200" t="s">
        <v>13620</v>
      </c>
      <c r="C1454" s="2200" t="s">
        <v>13621</v>
      </c>
      <c r="D1454" s="2200" t="str">
        <f t="shared" si="88"/>
        <v>ME</v>
      </c>
      <c r="E1454" s="2200">
        <f t="shared" si="89"/>
        <v>14</v>
      </c>
      <c r="F1454" s="2200" t="str">
        <f t="shared" si="90"/>
        <v>23</v>
      </c>
      <c r="G1454" s="2200" t="str">
        <f t="shared" si="91"/>
        <v>22675</v>
      </c>
      <c r="H1454" s="2200">
        <f>--SUBTOTAL(3,C$2:C1454)</f>
        <v>99</v>
      </c>
    </row>
    <row r="1455" spans="1:8" hidden="1" x14ac:dyDescent="0.15">
      <c r="A1455" s="2200" t="s">
        <v>11502</v>
      </c>
      <c r="B1455" s="2200" t="s">
        <v>13622</v>
      </c>
      <c r="C1455" s="2200" t="s">
        <v>13623</v>
      </c>
      <c r="D1455" s="2200" t="str">
        <f t="shared" si="88"/>
        <v>ME</v>
      </c>
      <c r="E1455" s="2200">
        <f t="shared" si="89"/>
        <v>14</v>
      </c>
      <c r="F1455" s="2200" t="str">
        <f t="shared" si="90"/>
        <v>23</v>
      </c>
      <c r="G1455" s="2200" t="str">
        <f t="shared" si="91"/>
        <v>22710</v>
      </c>
      <c r="H1455" s="2200">
        <f>--SUBTOTAL(3,C$2:C1455)</f>
        <v>99</v>
      </c>
    </row>
    <row r="1456" spans="1:8" hidden="1" x14ac:dyDescent="0.15">
      <c r="A1456" s="2200" t="s">
        <v>11502</v>
      </c>
      <c r="B1456" s="2200" t="s">
        <v>13624</v>
      </c>
      <c r="C1456" s="2200" t="s">
        <v>13625</v>
      </c>
      <c r="D1456" s="2200" t="str">
        <f t="shared" si="88"/>
        <v>ME</v>
      </c>
      <c r="E1456" s="2200">
        <f t="shared" si="89"/>
        <v>11</v>
      </c>
      <c r="F1456" s="2200" t="str">
        <f t="shared" si="90"/>
        <v>23</v>
      </c>
      <c r="G1456" s="2200" t="str">
        <f t="shared" si="91"/>
        <v>22955</v>
      </c>
      <c r="H1456" s="2200">
        <f>--SUBTOTAL(3,C$2:C1456)</f>
        <v>99</v>
      </c>
    </row>
    <row r="1457" spans="1:8" hidden="1" x14ac:dyDescent="0.15">
      <c r="A1457" s="2200" t="s">
        <v>11502</v>
      </c>
      <c r="B1457" s="2200" t="s">
        <v>13626</v>
      </c>
      <c r="C1457" s="2200" t="s">
        <v>13627</v>
      </c>
      <c r="D1457" s="2200" t="str">
        <f t="shared" si="88"/>
        <v>ME</v>
      </c>
      <c r="E1457" s="2200">
        <f t="shared" si="89"/>
        <v>15</v>
      </c>
      <c r="F1457" s="2200" t="str">
        <f t="shared" si="90"/>
        <v>23</v>
      </c>
      <c r="G1457" s="2200" t="str">
        <f t="shared" si="91"/>
        <v>23200</v>
      </c>
      <c r="H1457" s="2200">
        <f>--SUBTOTAL(3,C$2:C1457)</f>
        <v>99</v>
      </c>
    </row>
    <row r="1458" spans="1:8" hidden="1" x14ac:dyDescent="0.15">
      <c r="A1458" s="2200" t="s">
        <v>11443</v>
      </c>
      <c r="B1458" s="2200" t="s">
        <v>13628</v>
      </c>
      <c r="C1458" s="2200" t="s">
        <v>13629</v>
      </c>
      <c r="D1458" s="2200" t="str">
        <f t="shared" si="88"/>
        <v>ME</v>
      </c>
      <c r="E1458" s="2200">
        <f t="shared" si="89"/>
        <v>10</v>
      </c>
      <c r="F1458" s="2200" t="str">
        <f t="shared" si="90"/>
        <v>23</v>
      </c>
      <c r="G1458" s="2200" t="str">
        <f t="shared" si="91"/>
        <v>80940</v>
      </c>
      <c r="H1458" s="2200">
        <f>--SUBTOTAL(3,C$2:C1458)</f>
        <v>99</v>
      </c>
    </row>
    <row r="1459" spans="1:8" hidden="1" x14ac:dyDescent="0.15">
      <c r="A1459" s="2200" t="s">
        <v>11502</v>
      </c>
      <c r="B1459" s="2200" t="s">
        <v>13630</v>
      </c>
      <c r="C1459" s="2200" t="s">
        <v>13631</v>
      </c>
      <c r="D1459" s="2200" t="str">
        <f t="shared" si="88"/>
        <v>ME</v>
      </c>
      <c r="E1459" s="2200">
        <f t="shared" si="89"/>
        <v>12</v>
      </c>
      <c r="F1459" s="2200" t="str">
        <f t="shared" si="90"/>
        <v>23</v>
      </c>
      <c r="G1459" s="2200" t="str">
        <f t="shared" si="91"/>
        <v>23410</v>
      </c>
      <c r="H1459" s="2200">
        <f>--SUBTOTAL(3,C$2:C1459)</f>
        <v>99</v>
      </c>
    </row>
    <row r="1460" spans="1:8" hidden="1" x14ac:dyDescent="0.15">
      <c r="A1460" s="2200" t="s">
        <v>11502</v>
      </c>
      <c r="B1460" s="2200" t="s">
        <v>13632</v>
      </c>
      <c r="C1460" s="2200" t="s">
        <v>13633</v>
      </c>
      <c r="D1460" s="2200" t="str">
        <f t="shared" si="88"/>
        <v>ME</v>
      </c>
      <c r="E1460" s="2200">
        <f t="shared" si="89"/>
        <v>13</v>
      </c>
      <c r="F1460" s="2200" t="str">
        <f t="shared" si="90"/>
        <v>23</v>
      </c>
      <c r="G1460" s="2200" t="str">
        <f t="shared" si="91"/>
        <v>23620</v>
      </c>
      <c r="H1460" s="2200">
        <f>--SUBTOTAL(3,C$2:C1460)</f>
        <v>99</v>
      </c>
    </row>
    <row r="1461" spans="1:8" hidden="1" x14ac:dyDescent="0.15">
      <c r="A1461" s="2200" t="s">
        <v>11502</v>
      </c>
      <c r="B1461" s="2200" t="s">
        <v>13634</v>
      </c>
      <c r="C1461" s="2200" t="s">
        <v>13635</v>
      </c>
      <c r="D1461" s="2200" t="str">
        <f t="shared" si="88"/>
        <v>ME</v>
      </c>
      <c r="E1461" s="2200">
        <f t="shared" si="89"/>
        <v>10</v>
      </c>
      <c r="F1461" s="2200" t="str">
        <f t="shared" si="90"/>
        <v>23</v>
      </c>
      <c r="G1461" s="2200" t="str">
        <f t="shared" si="91"/>
        <v>23865</v>
      </c>
      <c r="H1461" s="2200">
        <f>--SUBTOTAL(3,C$2:C1461)</f>
        <v>99</v>
      </c>
    </row>
    <row r="1462" spans="1:8" hidden="1" x14ac:dyDescent="0.15">
      <c r="A1462" s="2200" t="s">
        <v>11502</v>
      </c>
      <c r="B1462" s="2200" t="s">
        <v>13636</v>
      </c>
      <c r="C1462" s="2200" t="s">
        <v>13637</v>
      </c>
      <c r="D1462" s="2200" t="str">
        <f t="shared" si="88"/>
        <v>ME</v>
      </c>
      <c r="E1462" s="2200">
        <f t="shared" si="89"/>
        <v>12</v>
      </c>
      <c r="F1462" s="2200" t="str">
        <f t="shared" si="90"/>
        <v>23</v>
      </c>
      <c r="G1462" s="2200" t="str">
        <f t="shared" si="91"/>
        <v>24005</v>
      </c>
      <c r="H1462" s="2200">
        <f>--SUBTOTAL(3,C$2:C1462)</f>
        <v>99</v>
      </c>
    </row>
    <row r="1463" spans="1:8" hidden="1" x14ac:dyDescent="0.15">
      <c r="A1463" s="2200" t="s">
        <v>11502</v>
      </c>
      <c r="B1463" s="2200" t="s">
        <v>13638</v>
      </c>
      <c r="C1463" s="2200" t="s">
        <v>13639</v>
      </c>
      <c r="D1463" s="2200" t="str">
        <f t="shared" si="88"/>
        <v>ME</v>
      </c>
      <c r="E1463" s="2200">
        <f t="shared" si="89"/>
        <v>12</v>
      </c>
      <c r="F1463" s="2200" t="str">
        <f t="shared" si="90"/>
        <v>23</v>
      </c>
      <c r="G1463" s="2200" t="str">
        <f t="shared" si="91"/>
        <v>24110</v>
      </c>
      <c r="H1463" s="2200">
        <f>--SUBTOTAL(3,C$2:C1463)</f>
        <v>99</v>
      </c>
    </row>
    <row r="1464" spans="1:8" hidden="1" x14ac:dyDescent="0.15">
      <c r="A1464" s="2200" t="s">
        <v>11502</v>
      </c>
      <c r="B1464" s="2200" t="s">
        <v>13640</v>
      </c>
      <c r="C1464" s="2200" t="s">
        <v>13641</v>
      </c>
      <c r="D1464" s="2200" t="str">
        <f t="shared" si="88"/>
        <v>ME</v>
      </c>
      <c r="E1464" s="2200">
        <f t="shared" si="89"/>
        <v>15</v>
      </c>
      <c r="F1464" s="2200" t="str">
        <f t="shared" si="90"/>
        <v>23</v>
      </c>
      <c r="G1464" s="2200" t="str">
        <f t="shared" si="91"/>
        <v>24320</v>
      </c>
      <c r="H1464" s="2200">
        <f>--SUBTOTAL(3,C$2:C1464)</f>
        <v>99</v>
      </c>
    </row>
    <row r="1465" spans="1:8" hidden="1" x14ac:dyDescent="0.15">
      <c r="A1465" s="2200" t="s">
        <v>11502</v>
      </c>
      <c r="B1465" s="2200" t="s">
        <v>13642</v>
      </c>
      <c r="C1465" s="2200" t="s">
        <v>13643</v>
      </c>
      <c r="D1465" s="2200" t="str">
        <f t="shared" si="88"/>
        <v>ME</v>
      </c>
      <c r="E1465" s="2200">
        <f t="shared" si="89"/>
        <v>14</v>
      </c>
      <c r="F1465" s="2200" t="str">
        <f t="shared" si="90"/>
        <v>23</v>
      </c>
      <c r="G1465" s="2200" t="str">
        <f t="shared" si="91"/>
        <v>24495</v>
      </c>
      <c r="H1465" s="2200">
        <f>--SUBTOTAL(3,C$2:C1465)</f>
        <v>99</v>
      </c>
    </row>
    <row r="1466" spans="1:8" hidden="1" x14ac:dyDescent="0.15">
      <c r="A1466" s="2200" t="s">
        <v>11502</v>
      </c>
      <c r="B1466" s="2200" t="s">
        <v>13644</v>
      </c>
      <c r="C1466" s="2200" t="s">
        <v>13645</v>
      </c>
      <c r="D1466" s="2200" t="str">
        <f t="shared" si="88"/>
        <v>ME</v>
      </c>
      <c r="E1466" s="2200">
        <f t="shared" si="89"/>
        <v>17</v>
      </c>
      <c r="F1466" s="2200" t="str">
        <f t="shared" si="90"/>
        <v>23</v>
      </c>
      <c r="G1466" s="2200" t="str">
        <f t="shared" si="91"/>
        <v>24670</v>
      </c>
      <c r="H1466" s="2200">
        <f>--SUBTOTAL(3,C$2:C1466)</f>
        <v>99</v>
      </c>
    </row>
    <row r="1467" spans="1:8" hidden="1" x14ac:dyDescent="0.15">
      <c r="A1467" s="2200" t="s">
        <v>11502</v>
      </c>
      <c r="B1467" s="2200" t="s">
        <v>13646</v>
      </c>
      <c r="C1467" s="2200" t="s">
        <v>13647</v>
      </c>
      <c r="D1467" s="2200" t="str">
        <f t="shared" si="88"/>
        <v>ME</v>
      </c>
      <c r="E1467" s="2200">
        <f t="shared" si="89"/>
        <v>16</v>
      </c>
      <c r="F1467" s="2200" t="str">
        <f t="shared" si="90"/>
        <v>23</v>
      </c>
      <c r="G1467" s="2200" t="str">
        <f t="shared" si="91"/>
        <v>24775</v>
      </c>
      <c r="H1467" s="2200">
        <f>--SUBTOTAL(3,C$2:C1467)</f>
        <v>99</v>
      </c>
    </row>
    <row r="1468" spans="1:8" hidden="1" x14ac:dyDescent="0.15">
      <c r="A1468" s="2200" t="s">
        <v>11443</v>
      </c>
      <c r="B1468" s="2200" t="s">
        <v>13648</v>
      </c>
      <c r="C1468" s="2200" t="s">
        <v>13649</v>
      </c>
      <c r="D1468" s="2200" t="str">
        <f t="shared" si="88"/>
        <v>ME</v>
      </c>
      <c r="E1468" s="2200">
        <f t="shared" si="89"/>
        <v>11</v>
      </c>
      <c r="F1468" s="2200" t="str">
        <f t="shared" si="90"/>
        <v>23</v>
      </c>
      <c r="G1468" s="2200" t="str">
        <f t="shared" si="91"/>
        <v>80980</v>
      </c>
      <c r="H1468" s="2200">
        <f>--SUBTOTAL(3,C$2:C1468)</f>
        <v>99</v>
      </c>
    </row>
    <row r="1469" spans="1:8" hidden="1" x14ac:dyDescent="0.15">
      <c r="A1469" s="2200" t="s">
        <v>11502</v>
      </c>
      <c r="B1469" s="2200" t="s">
        <v>13650</v>
      </c>
      <c r="C1469" s="2200" t="s">
        <v>13651</v>
      </c>
      <c r="D1469" s="2200" t="str">
        <f t="shared" si="88"/>
        <v>ME</v>
      </c>
      <c r="E1469" s="2200">
        <f t="shared" si="89"/>
        <v>13</v>
      </c>
      <c r="F1469" s="2200" t="str">
        <f t="shared" si="90"/>
        <v>23</v>
      </c>
      <c r="G1469" s="2200" t="str">
        <f t="shared" si="91"/>
        <v>24950</v>
      </c>
      <c r="H1469" s="2200">
        <f>--SUBTOTAL(3,C$2:C1469)</f>
        <v>99</v>
      </c>
    </row>
    <row r="1470" spans="1:8" hidden="1" x14ac:dyDescent="0.15">
      <c r="A1470" s="2200" t="s">
        <v>11502</v>
      </c>
      <c r="B1470" s="2200" t="s">
        <v>13652</v>
      </c>
      <c r="C1470" s="2200" t="s">
        <v>13653</v>
      </c>
      <c r="D1470" s="2200" t="str">
        <f t="shared" si="88"/>
        <v>ME</v>
      </c>
      <c r="E1470" s="2200">
        <f t="shared" si="89"/>
        <v>20</v>
      </c>
      <c r="F1470" s="2200" t="str">
        <f t="shared" si="90"/>
        <v>23</v>
      </c>
      <c r="G1470" s="2200" t="str">
        <f t="shared" si="91"/>
        <v>25615</v>
      </c>
      <c r="H1470" s="2200">
        <f>--SUBTOTAL(3,C$2:C1470)</f>
        <v>99</v>
      </c>
    </row>
    <row r="1471" spans="1:8" hidden="1" x14ac:dyDescent="0.15">
      <c r="A1471" s="2200" t="s">
        <v>11502</v>
      </c>
      <c r="B1471" s="2200" t="s">
        <v>13654</v>
      </c>
      <c r="C1471" s="2200" t="s">
        <v>13655</v>
      </c>
      <c r="D1471" s="2200" t="str">
        <f t="shared" si="88"/>
        <v>ME</v>
      </c>
      <c r="E1471" s="2200">
        <f t="shared" si="89"/>
        <v>15</v>
      </c>
      <c r="F1471" s="2200" t="str">
        <f t="shared" si="90"/>
        <v>23</v>
      </c>
      <c r="G1471" s="2200" t="str">
        <f t="shared" si="91"/>
        <v>25755</v>
      </c>
      <c r="H1471" s="2200">
        <f>--SUBTOTAL(3,C$2:C1471)</f>
        <v>99</v>
      </c>
    </row>
    <row r="1472" spans="1:8" hidden="1" x14ac:dyDescent="0.15">
      <c r="A1472" s="2200" t="s">
        <v>11502</v>
      </c>
      <c r="B1472" s="2200" t="s">
        <v>13656</v>
      </c>
      <c r="C1472" s="2200" t="s">
        <v>13657</v>
      </c>
      <c r="D1472" s="2200" t="str">
        <f t="shared" si="88"/>
        <v>ME</v>
      </c>
      <c r="E1472" s="2200">
        <f t="shared" si="89"/>
        <v>15</v>
      </c>
      <c r="F1472" s="2200" t="str">
        <f t="shared" si="90"/>
        <v>23</v>
      </c>
      <c r="G1472" s="2200" t="str">
        <f t="shared" si="91"/>
        <v>26280</v>
      </c>
      <c r="H1472" s="2200">
        <f>--SUBTOTAL(3,C$2:C1472)</f>
        <v>99</v>
      </c>
    </row>
    <row r="1473" spans="1:8" hidden="1" x14ac:dyDescent="0.15">
      <c r="A1473" s="2200" t="s">
        <v>11502</v>
      </c>
      <c r="B1473" s="2200" t="s">
        <v>13658</v>
      </c>
      <c r="C1473" s="2200" t="s">
        <v>13659</v>
      </c>
      <c r="D1473" s="2200" t="str">
        <f t="shared" si="88"/>
        <v>ME</v>
      </c>
      <c r="E1473" s="2200">
        <f t="shared" si="89"/>
        <v>14</v>
      </c>
      <c r="F1473" s="2200" t="str">
        <f t="shared" si="90"/>
        <v>23</v>
      </c>
      <c r="G1473" s="2200" t="str">
        <f t="shared" si="91"/>
        <v>26350</v>
      </c>
      <c r="H1473" s="2200">
        <f>--SUBTOTAL(3,C$2:C1473)</f>
        <v>99</v>
      </c>
    </row>
    <row r="1474" spans="1:8" hidden="1" x14ac:dyDescent="0.15">
      <c r="A1474" s="2200" t="s">
        <v>11502</v>
      </c>
      <c r="B1474" s="2200" t="s">
        <v>13660</v>
      </c>
      <c r="C1474" s="2200" t="s">
        <v>13661</v>
      </c>
      <c r="D1474" s="2200" t="str">
        <f t="shared" ref="D1474:D1537" si="92">MID(C1474,E1474+2,2)</f>
        <v>ME</v>
      </c>
      <c r="E1474" s="2200">
        <f t="shared" ref="E1474:E1537" si="93">FIND(",",C1474)</f>
        <v>13</v>
      </c>
      <c r="F1474" s="2200" t="str">
        <f t="shared" si="90"/>
        <v>23</v>
      </c>
      <c r="G1474" s="2200" t="str">
        <f t="shared" si="91"/>
        <v>26420</v>
      </c>
      <c r="H1474" s="2200">
        <f>--SUBTOTAL(3,C$2:C1474)</f>
        <v>99</v>
      </c>
    </row>
    <row r="1475" spans="1:8" hidden="1" x14ac:dyDescent="0.15">
      <c r="A1475" s="2200" t="s">
        <v>11502</v>
      </c>
      <c r="B1475" s="2200" t="s">
        <v>13662</v>
      </c>
      <c r="C1475" s="2200" t="s">
        <v>13663</v>
      </c>
      <c r="D1475" s="2200" t="str">
        <f t="shared" si="92"/>
        <v>ME</v>
      </c>
      <c r="E1475" s="2200">
        <f t="shared" si="93"/>
        <v>14</v>
      </c>
      <c r="F1475" s="2200" t="str">
        <f t="shared" ref="F1475:F1538" si="94">MID(B1475,3,2)</f>
        <v>23</v>
      </c>
      <c r="G1475" s="2200" t="str">
        <f t="shared" ref="G1475:G1538" si="95">MID(B1475,5,5)</f>
        <v>26525</v>
      </c>
      <c r="H1475" s="2200">
        <f>--SUBTOTAL(3,C$2:C1475)</f>
        <v>99</v>
      </c>
    </row>
    <row r="1476" spans="1:8" hidden="1" x14ac:dyDescent="0.15">
      <c r="A1476" s="2200" t="s">
        <v>11502</v>
      </c>
      <c r="B1476" s="2200" t="s">
        <v>13664</v>
      </c>
      <c r="C1476" s="2200" t="s">
        <v>13665</v>
      </c>
      <c r="D1476" s="2200" t="str">
        <f t="shared" si="92"/>
        <v>ME</v>
      </c>
      <c r="E1476" s="2200">
        <f t="shared" si="93"/>
        <v>16</v>
      </c>
      <c r="F1476" s="2200" t="str">
        <f t="shared" si="94"/>
        <v>23</v>
      </c>
      <c r="G1476" s="2200" t="str">
        <f t="shared" si="95"/>
        <v>26595</v>
      </c>
      <c r="H1476" s="2200">
        <f>--SUBTOTAL(3,C$2:C1476)</f>
        <v>99</v>
      </c>
    </row>
    <row r="1477" spans="1:8" hidden="1" x14ac:dyDescent="0.15">
      <c r="A1477" s="2200" t="s">
        <v>11502</v>
      </c>
      <c r="B1477" s="2200" t="s">
        <v>13666</v>
      </c>
      <c r="C1477" s="2200" t="s">
        <v>13667</v>
      </c>
      <c r="D1477" s="2200" t="str">
        <f t="shared" si="92"/>
        <v>ME</v>
      </c>
      <c r="E1477" s="2200">
        <f t="shared" si="93"/>
        <v>17</v>
      </c>
      <c r="F1477" s="2200" t="str">
        <f t="shared" si="94"/>
        <v>23</v>
      </c>
      <c r="G1477" s="2200" t="str">
        <f t="shared" si="95"/>
        <v>26735</v>
      </c>
      <c r="H1477" s="2200">
        <f>--SUBTOTAL(3,C$2:C1477)</f>
        <v>99</v>
      </c>
    </row>
    <row r="1478" spans="1:8" hidden="1" x14ac:dyDescent="0.15">
      <c r="A1478" s="2200" t="s">
        <v>11502</v>
      </c>
      <c r="B1478" s="2200" t="s">
        <v>13668</v>
      </c>
      <c r="C1478" s="2200" t="s">
        <v>13669</v>
      </c>
      <c r="D1478" s="2200" t="str">
        <f t="shared" si="92"/>
        <v>ME</v>
      </c>
      <c r="E1478" s="2200">
        <f t="shared" si="93"/>
        <v>16</v>
      </c>
      <c r="F1478" s="2200" t="str">
        <f t="shared" si="94"/>
        <v>23</v>
      </c>
      <c r="G1478" s="2200" t="str">
        <f t="shared" si="95"/>
        <v>26805</v>
      </c>
      <c r="H1478" s="2200">
        <f>--SUBTOTAL(3,C$2:C1478)</f>
        <v>99</v>
      </c>
    </row>
    <row r="1479" spans="1:8" hidden="1" x14ac:dyDescent="0.15">
      <c r="A1479" s="2200" t="s">
        <v>11502</v>
      </c>
      <c r="B1479" s="2200" t="s">
        <v>13670</v>
      </c>
      <c r="C1479" s="2200" t="s">
        <v>13671</v>
      </c>
      <c r="D1479" s="2200" t="str">
        <f t="shared" si="92"/>
        <v>ME</v>
      </c>
      <c r="E1479" s="2200">
        <f t="shared" si="93"/>
        <v>17</v>
      </c>
      <c r="F1479" s="2200" t="str">
        <f t="shared" si="94"/>
        <v>23</v>
      </c>
      <c r="G1479" s="2200" t="str">
        <f t="shared" si="95"/>
        <v>27025</v>
      </c>
      <c r="H1479" s="2200">
        <f>--SUBTOTAL(3,C$2:C1479)</f>
        <v>99</v>
      </c>
    </row>
    <row r="1480" spans="1:8" hidden="1" x14ac:dyDescent="0.15">
      <c r="A1480" s="2200" t="s">
        <v>11502</v>
      </c>
      <c r="B1480" s="2200" t="s">
        <v>13672</v>
      </c>
      <c r="C1480" s="2200" t="s">
        <v>13673</v>
      </c>
      <c r="D1480" s="2200" t="str">
        <f t="shared" si="92"/>
        <v>ME</v>
      </c>
      <c r="E1480" s="2200">
        <f t="shared" si="93"/>
        <v>14</v>
      </c>
      <c r="F1480" s="2200" t="str">
        <f t="shared" si="94"/>
        <v>23</v>
      </c>
      <c r="G1480" s="2200" t="str">
        <f t="shared" si="95"/>
        <v>26910</v>
      </c>
      <c r="H1480" s="2200">
        <f>--SUBTOTAL(3,C$2:C1480)</f>
        <v>99</v>
      </c>
    </row>
    <row r="1481" spans="1:8" hidden="1" x14ac:dyDescent="0.15">
      <c r="A1481" s="2200" t="s">
        <v>11502</v>
      </c>
      <c r="B1481" s="2200" t="s">
        <v>13674</v>
      </c>
      <c r="C1481" s="2200" t="s">
        <v>13675</v>
      </c>
      <c r="D1481" s="2200" t="str">
        <f t="shared" si="92"/>
        <v>ME</v>
      </c>
      <c r="E1481" s="2200">
        <f t="shared" si="93"/>
        <v>14</v>
      </c>
      <c r="F1481" s="2200" t="str">
        <f t="shared" si="94"/>
        <v>23</v>
      </c>
      <c r="G1481" s="2200" t="str">
        <f t="shared" si="95"/>
        <v>27085</v>
      </c>
      <c r="H1481" s="2200">
        <f>--SUBTOTAL(3,C$2:C1481)</f>
        <v>99</v>
      </c>
    </row>
    <row r="1482" spans="1:8" hidden="1" x14ac:dyDescent="0.15">
      <c r="A1482" s="2200" t="s">
        <v>11502</v>
      </c>
      <c r="B1482" s="2200" t="s">
        <v>13676</v>
      </c>
      <c r="C1482" s="2200" t="s">
        <v>13677</v>
      </c>
      <c r="D1482" s="2200" t="str">
        <f t="shared" si="92"/>
        <v>ME</v>
      </c>
      <c r="E1482" s="2200">
        <f t="shared" si="93"/>
        <v>20</v>
      </c>
      <c r="F1482" s="2200" t="str">
        <f t="shared" si="94"/>
        <v>23</v>
      </c>
      <c r="G1482" s="2200" t="str">
        <f t="shared" si="95"/>
        <v>27120</v>
      </c>
      <c r="H1482" s="2200">
        <f>--SUBTOTAL(3,C$2:C1482)</f>
        <v>99</v>
      </c>
    </row>
    <row r="1483" spans="1:8" hidden="1" x14ac:dyDescent="0.15">
      <c r="A1483" s="2200" t="s">
        <v>11502</v>
      </c>
      <c r="B1483" s="2200" t="s">
        <v>13678</v>
      </c>
      <c r="C1483" s="2200" t="s">
        <v>13679</v>
      </c>
      <c r="D1483" s="2200" t="str">
        <f t="shared" si="92"/>
        <v>ME</v>
      </c>
      <c r="E1483" s="2200">
        <f t="shared" si="93"/>
        <v>13</v>
      </c>
      <c r="F1483" s="2200" t="str">
        <f t="shared" si="94"/>
        <v>23</v>
      </c>
      <c r="G1483" s="2200" t="str">
        <f t="shared" si="95"/>
        <v>27190</v>
      </c>
      <c r="H1483" s="2200">
        <f>--SUBTOTAL(3,C$2:C1483)</f>
        <v>99</v>
      </c>
    </row>
    <row r="1484" spans="1:8" hidden="1" x14ac:dyDescent="0.15">
      <c r="A1484" s="2200" t="s">
        <v>11502</v>
      </c>
      <c r="B1484" s="2200" t="s">
        <v>13680</v>
      </c>
      <c r="C1484" s="2200" t="s">
        <v>13681</v>
      </c>
      <c r="D1484" s="2200" t="str">
        <f t="shared" si="92"/>
        <v>ME</v>
      </c>
      <c r="E1484" s="2200">
        <f t="shared" si="93"/>
        <v>16</v>
      </c>
      <c r="F1484" s="2200" t="str">
        <f t="shared" si="94"/>
        <v>23</v>
      </c>
      <c r="G1484" s="2200" t="str">
        <f t="shared" si="95"/>
        <v>27295</v>
      </c>
      <c r="H1484" s="2200">
        <f>--SUBTOTAL(3,C$2:C1484)</f>
        <v>99</v>
      </c>
    </row>
    <row r="1485" spans="1:8" hidden="1" x14ac:dyDescent="0.15">
      <c r="A1485" s="2200" t="s">
        <v>11502</v>
      </c>
      <c r="B1485" s="2200" t="s">
        <v>13682</v>
      </c>
      <c r="C1485" s="2200" t="s">
        <v>13683</v>
      </c>
      <c r="D1485" s="2200" t="str">
        <f t="shared" si="92"/>
        <v>ME</v>
      </c>
      <c r="E1485" s="2200">
        <f t="shared" si="93"/>
        <v>12</v>
      </c>
      <c r="F1485" s="2200" t="str">
        <f t="shared" si="94"/>
        <v>23</v>
      </c>
      <c r="G1485" s="2200" t="str">
        <f t="shared" si="95"/>
        <v>27505</v>
      </c>
      <c r="H1485" s="2200">
        <f>--SUBTOTAL(3,C$2:C1485)</f>
        <v>99</v>
      </c>
    </row>
    <row r="1486" spans="1:8" hidden="1" x14ac:dyDescent="0.15">
      <c r="A1486" s="2200" t="s">
        <v>11502</v>
      </c>
      <c r="B1486" s="2200" t="s">
        <v>13684</v>
      </c>
      <c r="C1486" s="2200" t="s">
        <v>13685</v>
      </c>
      <c r="D1486" s="2200" t="str">
        <f t="shared" si="92"/>
        <v>ME</v>
      </c>
      <c r="E1486" s="2200">
        <f t="shared" si="93"/>
        <v>14</v>
      </c>
      <c r="F1486" s="2200" t="str">
        <f t="shared" si="94"/>
        <v>23</v>
      </c>
      <c r="G1486" s="2200" t="str">
        <f t="shared" si="95"/>
        <v>27645</v>
      </c>
      <c r="H1486" s="2200">
        <f>--SUBTOTAL(3,C$2:C1486)</f>
        <v>99</v>
      </c>
    </row>
    <row r="1487" spans="1:8" hidden="1" x14ac:dyDescent="0.15">
      <c r="A1487" s="2200" t="s">
        <v>11502</v>
      </c>
      <c r="B1487" s="2200" t="s">
        <v>13686</v>
      </c>
      <c r="C1487" s="2200" t="s">
        <v>13687</v>
      </c>
      <c r="D1487" s="2200" t="str">
        <f t="shared" si="92"/>
        <v>ME</v>
      </c>
      <c r="E1487" s="2200">
        <f t="shared" si="93"/>
        <v>20</v>
      </c>
      <c r="F1487" s="2200" t="str">
        <f t="shared" si="94"/>
        <v>23</v>
      </c>
      <c r="G1487" s="2200" t="str">
        <f t="shared" si="95"/>
        <v>27855</v>
      </c>
      <c r="H1487" s="2200">
        <f>--SUBTOTAL(3,C$2:C1487)</f>
        <v>99</v>
      </c>
    </row>
    <row r="1488" spans="1:8" hidden="1" x14ac:dyDescent="0.15">
      <c r="A1488" s="2200" t="s">
        <v>11502</v>
      </c>
      <c r="B1488" s="2200" t="s">
        <v>13688</v>
      </c>
      <c r="C1488" s="2200" t="s">
        <v>13689</v>
      </c>
      <c r="D1488" s="2200" t="str">
        <f t="shared" si="92"/>
        <v>ME</v>
      </c>
      <c r="E1488" s="2200">
        <f t="shared" si="93"/>
        <v>12</v>
      </c>
      <c r="F1488" s="2200" t="str">
        <f t="shared" si="94"/>
        <v>23</v>
      </c>
      <c r="G1488" s="2200" t="str">
        <f t="shared" si="95"/>
        <v>28240</v>
      </c>
      <c r="H1488" s="2200">
        <f>--SUBTOTAL(3,C$2:C1488)</f>
        <v>99</v>
      </c>
    </row>
    <row r="1489" spans="1:8" hidden="1" x14ac:dyDescent="0.15">
      <c r="A1489" s="2200" t="s">
        <v>11502</v>
      </c>
      <c r="B1489" s="2200" t="s">
        <v>13690</v>
      </c>
      <c r="C1489" s="2200" t="s">
        <v>13691</v>
      </c>
      <c r="D1489" s="2200" t="str">
        <f t="shared" si="92"/>
        <v>ME</v>
      </c>
      <c r="E1489" s="2200">
        <f t="shared" si="93"/>
        <v>16</v>
      </c>
      <c r="F1489" s="2200" t="str">
        <f t="shared" si="94"/>
        <v>23</v>
      </c>
      <c r="G1489" s="2200" t="str">
        <f t="shared" si="95"/>
        <v>28450</v>
      </c>
      <c r="H1489" s="2200">
        <f>--SUBTOTAL(3,C$2:C1489)</f>
        <v>99</v>
      </c>
    </row>
    <row r="1490" spans="1:8" hidden="1" x14ac:dyDescent="0.15">
      <c r="A1490" s="2200" t="s">
        <v>11502</v>
      </c>
      <c r="B1490" s="2200" t="s">
        <v>13692</v>
      </c>
      <c r="C1490" s="2200" t="s">
        <v>13693</v>
      </c>
      <c r="D1490" s="2200" t="str">
        <f t="shared" si="92"/>
        <v>ME</v>
      </c>
      <c r="E1490" s="2200">
        <f t="shared" si="93"/>
        <v>16</v>
      </c>
      <c r="F1490" s="2200" t="str">
        <f t="shared" si="94"/>
        <v>23</v>
      </c>
      <c r="G1490" s="2200" t="str">
        <f t="shared" si="95"/>
        <v>28590</v>
      </c>
      <c r="H1490" s="2200">
        <f>--SUBTOTAL(3,C$2:C1490)</f>
        <v>99</v>
      </c>
    </row>
    <row r="1491" spans="1:8" hidden="1" x14ac:dyDescent="0.15">
      <c r="A1491" s="2200" t="s">
        <v>11502</v>
      </c>
      <c r="B1491" s="2200" t="s">
        <v>13694</v>
      </c>
      <c r="C1491" s="2200" t="s">
        <v>13695</v>
      </c>
      <c r="D1491" s="2200" t="str">
        <f t="shared" si="92"/>
        <v>ME</v>
      </c>
      <c r="E1491" s="2200">
        <f t="shared" si="93"/>
        <v>29</v>
      </c>
      <c r="F1491" s="2200" t="str">
        <f t="shared" si="94"/>
        <v>23</v>
      </c>
      <c r="G1491" s="2200" t="str">
        <f t="shared" si="95"/>
        <v>28660</v>
      </c>
      <c r="H1491" s="2200">
        <f>--SUBTOTAL(3,C$2:C1491)</f>
        <v>99</v>
      </c>
    </row>
    <row r="1492" spans="1:8" hidden="1" x14ac:dyDescent="0.15">
      <c r="A1492" s="2200" t="s">
        <v>11502</v>
      </c>
      <c r="B1492" s="2200" t="s">
        <v>13696</v>
      </c>
      <c r="C1492" s="2200" t="s">
        <v>13697</v>
      </c>
      <c r="D1492" s="2200" t="str">
        <f t="shared" si="92"/>
        <v>ME</v>
      </c>
      <c r="E1492" s="2200">
        <f t="shared" si="93"/>
        <v>10</v>
      </c>
      <c r="F1492" s="2200" t="str">
        <f t="shared" si="94"/>
        <v>23</v>
      </c>
      <c r="G1492" s="2200" t="str">
        <f t="shared" si="95"/>
        <v>28870</v>
      </c>
      <c r="H1492" s="2200">
        <f>--SUBTOTAL(3,C$2:C1492)</f>
        <v>99</v>
      </c>
    </row>
    <row r="1493" spans="1:8" hidden="1" x14ac:dyDescent="0.15">
      <c r="A1493" s="2200" t="s">
        <v>11502</v>
      </c>
      <c r="B1493" s="2200" t="s">
        <v>13698</v>
      </c>
      <c r="C1493" s="2200" t="s">
        <v>13699</v>
      </c>
      <c r="D1493" s="2200" t="str">
        <f t="shared" si="92"/>
        <v>ME</v>
      </c>
      <c r="E1493" s="2200">
        <f t="shared" si="93"/>
        <v>16</v>
      </c>
      <c r="F1493" s="2200" t="str">
        <f t="shared" si="94"/>
        <v>23</v>
      </c>
      <c r="G1493" s="2200" t="str">
        <f t="shared" si="95"/>
        <v>28975</v>
      </c>
      <c r="H1493" s="2200">
        <f>--SUBTOTAL(3,C$2:C1493)</f>
        <v>99</v>
      </c>
    </row>
    <row r="1494" spans="1:8" hidden="1" x14ac:dyDescent="0.15">
      <c r="A1494" s="2200" t="s">
        <v>11502</v>
      </c>
      <c r="B1494" s="2200" t="s">
        <v>13700</v>
      </c>
      <c r="C1494" s="2200" t="s">
        <v>13701</v>
      </c>
      <c r="D1494" s="2200" t="str">
        <f t="shared" si="92"/>
        <v>ME</v>
      </c>
      <c r="E1494" s="2200">
        <f t="shared" si="93"/>
        <v>15</v>
      </c>
      <c r="F1494" s="2200" t="str">
        <f t="shared" si="94"/>
        <v>23</v>
      </c>
      <c r="G1494" s="2200" t="str">
        <f t="shared" si="95"/>
        <v>29185</v>
      </c>
      <c r="H1494" s="2200">
        <f>--SUBTOTAL(3,C$2:C1494)</f>
        <v>99</v>
      </c>
    </row>
    <row r="1495" spans="1:8" hidden="1" x14ac:dyDescent="0.15">
      <c r="A1495" s="2200" t="s">
        <v>11502</v>
      </c>
      <c r="B1495" s="2200" t="s">
        <v>13702</v>
      </c>
      <c r="C1495" s="2200" t="s">
        <v>13703</v>
      </c>
      <c r="D1495" s="2200" t="str">
        <f t="shared" si="92"/>
        <v>ME</v>
      </c>
      <c r="E1495" s="2200">
        <f t="shared" si="93"/>
        <v>12</v>
      </c>
      <c r="F1495" s="2200" t="str">
        <f t="shared" si="94"/>
        <v>23</v>
      </c>
      <c r="G1495" s="2200" t="str">
        <f t="shared" si="95"/>
        <v>29255</v>
      </c>
      <c r="H1495" s="2200">
        <f>--SUBTOTAL(3,C$2:C1495)</f>
        <v>99</v>
      </c>
    </row>
    <row r="1496" spans="1:8" hidden="1" x14ac:dyDescent="0.15">
      <c r="A1496" s="2200" t="s">
        <v>11502</v>
      </c>
      <c r="B1496" s="2200" t="s">
        <v>13704</v>
      </c>
      <c r="C1496" s="2200" t="s">
        <v>13705</v>
      </c>
      <c r="D1496" s="2200" t="str">
        <f t="shared" si="92"/>
        <v>ME</v>
      </c>
      <c r="E1496" s="2200">
        <f t="shared" si="93"/>
        <v>16</v>
      </c>
      <c r="F1496" s="2200" t="str">
        <f t="shared" si="94"/>
        <v>23</v>
      </c>
      <c r="G1496" s="2200" t="str">
        <f t="shared" si="95"/>
        <v>29535</v>
      </c>
      <c r="H1496" s="2200">
        <f>--SUBTOTAL(3,C$2:C1496)</f>
        <v>99</v>
      </c>
    </row>
    <row r="1497" spans="1:8" hidden="1" x14ac:dyDescent="0.15">
      <c r="A1497" s="2200" t="s">
        <v>11502</v>
      </c>
      <c r="B1497" s="2200" t="s">
        <v>13706</v>
      </c>
      <c r="C1497" s="2200" t="s">
        <v>13707</v>
      </c>
      <c r="D1497" s="2200" t="str">
        <f t="shared" si="92"/>
        <v>ME</v>
      </c>
      <c r="E1497" s="2200">
        <f t="shared" si="93"/>
        <v>15</v>
      </c>
      <c r="F1497" s="2200" t="str">
        <f t="shared" si="94"/>
        <v>23</v>
      </c>
      <c r="G1497" s="2200" t="str">
        <f t="shared" si="95"/>
        <v>29710</v>
      </c>
      <c r="H1497" s="2200">
        <f>--SUBTOTAL(3,C$2:C1497)</f>
        <v>99</v>
      </c>
    </row>
    <row r="1498" spans="1:8" hidden="1" x14ac:dyDescent="0.15">
      <c r="A1498" s="2200" t="s">
        <v>11502</v>
      </c>
      <c r="B1498" s="2200" t="s">
        <v>13708</v>
      </c>
      <c r="C1498" s="2200" t="s">
        <v>13709</v>
      </c>
      <c r="D1498" s="2200" t="str">
        <f t="shared" si="92"/>
        <v>ME</v>
      </c>
      <c r="E1498" s="2200">
        <f t="shared" si="93"/>
        <v>14</v>
      </c>
      <c r="F1498" s="2200" t="str">
        <f t="shared" si="94"/>
        <v>23</v>
      </c>
      <c r="G1498" s="2200" t="str">
        <f t="shared" si="95"/>
        <v>30095</v>
      </c>
      <c r="H1498" s="2200">
        <f>--SUBTOTAL(3,C$2:C1498)</f>
        <v>99</v>
      </c>
    </row>
    <row r="1499" spans="1:8" hidden="1" x14ac:dyDescent="0.15">
      <c r="A1499" s="2200" t="s">
        <v>11502</v>
      </c>
      <c r="B1499" s="2200" t="s">
        <v>13710</v>
      </c>
      <c r="C1499" s="2200" t="s">
        <v>13711</v>
      </c>
      <c r="D1499" s="2200" t="str">
        <f t="shared" si="92"/>
        <v>ME</v>
      </c>
      <c r="E1499" s="2200">
        <f t="shared" si="93"/>
        <v>15</v>
      </c>
      <c r="F1499" s="2200" t="str">
        <f t="shared" si="94"/>
        <v>23</v>
      </c>
      <c r="G1499" s="2200" t="str">
        <f t="shared" si="95"/>
        <v>30550</v>
      </c>
      <c r="H1499" s="2200">
        <f>--SUBTOTAL(3,C$2:C1499)</f>
        <v>99</v>
      </c>
    </row>
    <row r="1500" spans="1:8" hidden="1" x14ac:dyDescent="0.15">
      <c r="A1500" s="2200" t="s">
        <v>11502</v>
      </c>
      <c r="B1500" s="2200" t="s">
        <v>13712</v>
      </c>
      <c r="C1500" s="2200" t="s">
        <v>13713</v>
      </c>
      <c r="D1500" s="2200" t="str">
        <f t="shared" si="92"/>
        <v>ME</v>
      </c>
      <c r="E1500" s="2200">
        <f t="shared" si="93"/>
        <v>12</v>
      </c>
      <c r="F1500" s="2200" t="str">
        <f t="shared" si="94"/>
        <v>23</v>
      </c>
      <c r="G1500" s="2200" t="str">
        <f t="shared" si="95"/>
        <v>30690</v>
      </c>
      <c r="H1500" s="2200">
        <f>--SUBTOTAL(3,C$2:C1500)</f>
        <v>99</v>
      </c>
    </row>
    <row r="1501" spans="1:8" hidden="1" x14ac:dyDescent="0.15">
      <c r="A1501" s="2200" t="s">
        <v>11502</v>
      </c>
      <c r="B1501" s="2200" t="s">
        <v>13714</v>
      </c>
      <c r="C1501" s="2200" t="s">
        <v>13715</v>
      </c>
      <c r="D1501" s="2200" t="str">
        <f t="shared" si="92"/>
        <v>ME</v>
      </c>
      <c r="E1501" s="2200">
        <f t="shared" si="93"/>
        <v>13</v>
      </c>
      <c r="F1501" s="2200" t="str">
        <f t="shared" si="94"/>
        <v>23</v>
      </c>
      <c r="G1501" s="2200" t="str">
        <f t="shared" si="95"/>
        <v>30725</v>
      </c>
      <c r="H1501" s="2200">
        <f>--SUBTOTAL(3,C$2:C1501)</f>
        <v>99</v>
      </c>
    </row>
    <row r="1502" spans="1:8" hidden="1" x14ac:dyDescent="0.15">
      <c r="A1502" s="2200" t="s">
        <v>11502</v>
      </c>
      <c r="B1502" s="2200" t="s">
        <v>13716</v>
      </c>
      <c r="C1502" s="2200" t="s">
        <v>13717</v>
      </c>
      <c r="D1502" s="2200" t="str">
        <f t="shared" si="92"/>
        <v>ME</v>
      </c>
      <c r="E1502" s="2200">
        <f t="shared" si="93"/>
        <v>13</v>
      </c>
      <c r="F1502" s="2200" t="str">
        <f t="shared" si="94"/>
        <v>23</v>
      </c>
      <c r="G1502" s="2200" t="str">
        <f t="shared" si="95"/>
        <v>30795</v>
      </c>
      <c r="H1502" s="2200">
        <f>--SUBTOTAL(3,C$2:C1502)</f>
        <v>99</v>
      </c>
    </row>
    <row r="1503" spans="1:8" hidden="1" x14ac:dyDescent="0.15">
      <c r="A1503" s="2200" t="s">
        <v>11502</v>
      </c>
      <c r="B1503" s="2200" t="s">
        <v>13718</v>
      </c>
      <c r="C1503" s="2200" t="s">
        <v>13719</v>
      </c>
      <c r="D1503" s="2200" t="str">
        <f t="shared" si="92"/>
        <v>ME</v>
      </c>
      <c r="E1503" s="2200">
        <f t="shared" si="93"/>
        <v>13</v>
      </c>
      <c r="F1503" s="2200" t="str">
        <f t="shared" si="94"/>
        <v>23</v>
      </c>
      <c r="G1503" s="2200" t="str">
        <f t="shared" si="95"/>
        <v>30970</v>
      </c>
      <c r="H1503" s="2200">
        <f>--SUBTOTAL(3,C$2:C1503)</f>
        <v>99</v>
      </c>
    </row>
    <row r="1504" spans="1:8" hidden="1" x14ac:dyDescent="0.15">
      <c r="A1504" s="2200" t="s">
        <v>11502</v>
      </c>
      <c r="B1504" s="2200" t="s">
        <v>13720</v>
      </c>
      <c r="C1504" s="2200" t="s">
        <v>13721</v>
      </c>
      <c r="D1504" s="2200" t="str">
        <f t="shared" si="92"/>
        <v>ME</v>
      </c>
      <c r="E1504" s="2200">
        <f t="shared" si="93"/>
        <v>13</v>
      </c>
      <c r="F1504" s="2200" t="str">
        <f t="shared" si="94"/>
        <v>23</v>
      </c>
      <c r="G1504" s="2200" t="str">
        <f t="shared" si="95"/>
        <v>31110</v>
      </c>
      <c r="H1504" s="2200">
        <f>--SUBTOTAL(3,C$2:C1504)</f>
        <v>99</v>
      </c>
    </row>
    <row r="1505" spans="1:8" hidden="1" x14ac:dyDescent="0.15">
      <c r="A1505" s="2200" t="s">
        <v>11502</v>
      </c>
      <c r="B1505" s="2200" t="s">
        <v>13722</v>
      </c>
      <c r="C1505" s="2200" t="s">
        <v>13723</v>
      </c>
      <c r="D1505" s="2200" t="str">
        <f t="shared" si="92"/>
        <v>ME</v>
      </c>
      <c r="E1505" s="2200">
        <f t="shared" si="93"/>
        <v>13</v>
      </c>
      <c r="F1505" s="2200" t="str">
        <f t="shared" si="94"/>
        <v>23</v>
      </c>
      <c r="G1505" s="2200" t="str">
        <f t="shared" si="95"/>
        <v>31355</v>
      </c>
      <c r="H1505" s="2200">
        <f>--SUBTOTAL(3,C$2:C1505)</f>
        <v>99</v>
      </c>
    </row>
    <row r="1506" spans="1:8" hidden="1" x14ac:dyDescent="0.15">
      <c r="A1506" s="2200" t="s">
        <v>11502</v>
      </c>
      <c r="B1506" s="2200" t="s">
        <v>13724</v>
      </c>
      <c r="C1506" s="2200" t="s">
        <v>13725</v>
      </c>
      <c r="D1506" s="2200" t="str">
        <f t="shared" si="92"/>
        <v>ME</v>
      </c>
      <c r="E1506" s="2200">
        <f t="shared" si="93"/>
        <v>15</v>
      </c>
      <c r="F1506" s="2200" t="str">
        <f t="shared" si="94"/>
        <v>23</v>
      </c>
      <c r="G1506" s="2200" t="str">
        <f t="shared" si="95"/>
        <v>31390</v>
      </c>
      <c r="H1506" s="2200">
        <f>--SUBTOTAL(3,C$2:C1506)</f>
        <v>99</v>
      </c>
    </row>
    <row r="1507" spans="1:8" hidden="1" x14ac:dyDescent="0.15">
      <c r="A1507" s="2200" t="s">
        <v>11502</v>
      </c>
      <c r="B1507" s="2200" t="s">
        <v>13726</v>
      </c>
      <c r="C1507" s="2200" t="s">
        <v>13727</v>
      </c>
      <c r="D1507" s="2200" t="str">
        <f t="shared" si="92"/>
        <v>ME</v>
      </c>
      <c r="E1507" s="2200">
        <f t="shared" si="93"/>
        <v>16</v>
      </c>
      <c r="F1507" s="2200" t="str">
        <f t="shared" si="94"/>
        <v>23</v>
      </c>
      <c r="G1507" s="2200" t="str">
        <f t="shared" si="95"/>
        <v>31530</v>
      </c>
      <c r="H1507" s="2200">
        <f>--SUBTOTAL(3,C$2:C1507)</f>
        <v>99</v>
      </c>
    </row>
    <row r="1508" spans="1:8" hidden="1" x14ac:dyDescent="0.15">
      <c r="A1508" s="2200" t="s">
        <v>11502</v>
      </c>
      <c r="B1508" s="2200" t="s">
        <v>13728</v>
      </c>
      <c r="C1508" s="2200" t="s">
        <v>13729</v>
      </c>
      <c r="D1508" s="2200" t="str">
        <f t="shared" si="92"/>
        <v>ME</v>
      </c>
      <c r="E1508" s="2200">
        <f t="shared" si="93"/>
        <v>14</v>
      </c>
      <c r="F1508" s="2200" t="str">
        <f t="shared" si="94"/>
        <v>23</v>
      </c>
      <c r="G1508" s="2200" t="str">
        <f t="shared" si="95"/>
        <v>31600</v>
      </c>
      <c r="H1508" s="2200">
        <f>--SUBTOTAL(3,C$2:C1508)</f>
        <v>99</v>
      </c>
    </row>
    <row r="1509" spans="1:8" hidden="1" x14ac:dyDescent="0.15">
      <c r="A1509" s="2200" t="s">
        <v>11502</v>
      </c>
      <c r="B1509" s="2200" t="s">
        <v>13730</v>
      </c>
      <c r="C1509" s="2200" t="s">
        <v>13731</v>
      </c>
      <c r="D1509" s="2200" t="str">
        <f t="shared" si="92"/>
        <v>ME</v>
      </c>
      <c r="E1509" s="2200">
        <f t="shared" si="93"/>
        <v>14</v>
      </c>
      <c r="F1509" s="2200" t="str">
        <f t="shared" si="94"/>
        <v>23</v>
      </c>
      <c r="G1509" s="2200" t="str">
        <f t="shared" si="95"/>
        <v>31670</v>
      </c>
      <c r="H1509" s="2200">
        <f>--SUBTOTAL(3,C$2:C1509)</f>
        <v>99</v>
      </c>
    </row>
    <row r="1510" spans="1:8" hidden="1" x14ac:dyDescent="0.15">
      <c r="A1510" s="2200" t="s">
        <v>11502</v>
      </c>
      <c r="B1510" s="2200" t="s">
        <v>13732</v>
      </c>
      <c r="C1510" s="2200" t="s">
        <v>13733</v>
      </c>
      <c r="D1510" s="2200" t="str">
        <f t="shared" si="92"/>
        <v>ME</v>
      </c>
      <c r="E1510" s="2200">
        <f t="shared" si="93"/>
        <v>14</v>
      </c>
      <c r="F1510" s="2200" t="str">
        <f t="shared" si="94"/>
        <v>23</v>
      </c>
      <c r="G1510" s="2200" t="str">
        <f t="shared" si="95"/>
        <v>31740</v>
      </c>
      <c r="H1510" s="2200">
        <f>--SUBTOTAL(3,C$2:C1510)</f>
        <v>99</v>
      </c>
    </row>
    <row r="1511" spans="1:8" hidden="1" x14ac:dyDescent="0.15">
      <c r="A1511" s="2200" t="s">
        <v>11502</v>
      </c>
      <c r="B1511" s="2200" t="s">
        <v>13734</v>
      </c>
      <c r="C1511" s="2200" t="s">
        <v>13735</v>
      </c>
      <c r="D1511" s="2200" t="str">
        <f t="shared" si="92"/>
        <v>ME</v>
      </c>
      <c r="E1511" s="2200">
        <f t="shared" si="93"/>
        <v>17</v>
      </c>
      <c r="F1511" s="2200" t="str">
        <f t="shared" si="94"/>
        <v>23</v>
      </c>
      <c r="G1511" s="2200" t="str">
        <f t="shared" si="95"/>
        <v>32195</v>
      </c>
      <c r="H1511" s="2200">
        <f>--SUBTOTAL(3,C$2:C1511)</f>
        <v>99</v>
      </c>
    </row>
    <row r="1512" spans="1:8" hidden="1" x14ac:dyDescent="0.15">
      <c r="A1512" s="2200" t="s">
        <v>11502</v>
      </c>
      <c r="B1512" s="2200" t="s">
        <v>13736</v>
      </c>
      <c r="C1512" s="2200" t="s">
        <v>13737</v>
      </c>
      <c r="D1512" s="2200" t="str">
        <f t="shared" si="92"/>
        <v>ME</v>
      </c>
      <c r="E1512" s="2200">
        <f t="shared" si="93"/>
        <v>12</v>
      </c>
      <c r="F1512" s="2200" t="str">
        <f t="shared" si="94"/>
        <v>23</v>
      </c>
      <c r="G1512" s="2200" t="str">
        <f t="shared" si="95"/>
        <v>32370</v>
      </c>
      <c r="H1512" s="2200">
        <f>--SUBTOTAL(3,C$2:C1512)</f>
        <v>99</v>
      </c>
    </row>
    <row r="1513" spans="1:8" hidden="1" x14ac:dyDescent="0.15">
      <c r="A1513" s="2200" t="s">
        <v>11502</v>
      </c>
      <c r="B1513" s="2200" t="s">
        <v>13738</v>
      </c>
      <c r="C1513" s="2200" t="s">
        <v>13739</v>
      </c>
      <c r="D1513" s="2200" t="str">
        <f t="shared" si="92"/>
        <v>ME</v>
      </c>
      <c r="E1513" s="2200">
        <f t="shared" si="93"/>
        <v>12</v>
      </c>
      <c r="F1513" s="2200" t="str">
        <f t="shared" si="94"/>
        <v>23</v>
      </c>
      <c r="G1513" s="2200" t="str">
        <f t="shared" si="95"/>
        <v>32510</v>
      </c>
      <c r="H1513" s="2200">
        <f>--SUBTOTAL(3,C$2:C1513)</f>
        <v>99</v>
      </c>
    </row>
    <row r="1514" spans="1:8" hidden="1" x14ac:dyDescent="0.15">
      <c r="A1514" s="2200" t="s">
        <v>11502</v>
      </c>
      <c r="B1514" s="2200" t="s">
        <v>13740</v>
      </c>
      <c r="C1514" s="2200" t="s">
        <v>13741</v>
      </c>
      <c r="D1514" s="2200" t="str">
        <f t="shared" si="92"/>
        <v>ME</v>
      </c>
      <c r="E1514" s="2200">
        <f t="shared" si="93"/>
        <v>12</v>
      </c>
      <c r="F1514" s="2200" t="str">
        <f t="shared" si="94"/>
        <v>23</v>
      </c>
      <c r="G1514" s="2200" t="str">
        <f t="shared" si="95"/>
        <v>32685</v>
      </c>
      <c r="H1514" s="2200">
        <f>--SUBTOTAL(3,C$2:C1514)</f>
        <v>99</v>
      </c>
    </row>
    <row r="1515" spans="1:8" hidden="1" x14ac:dyDescent="0.15">
      <c r="A1515" s="2200" t="s">
        <v>11502</v>
      </c>
      <c r="B1515" s="2200" t="s">
        <v>13742</v>
      </c>
      <c r="C1515" s="2200" t="s">
        <v>13743</v>
      </c>
      <c r="D1515" s="2200" t="str">
        <f t="shared" si="92"/>
        <v>ME</v>
      </c>
      <c r="E1515" s="2200">
        <f t="shared" si="93"/>
        <v>14</v>
      </c>
      <c r="F1515" s="2200" t="str">
        <f t="shared" si="94"/>
        <v>23</v>
      </c>
      <c r="G1515" s="2200" t="str">
        <f t="shared" si="95"/>
        <v>32715</v>
      </c>
      <c r="H1515" s="2200">
        <f>--SUBTOTAL(3,C$2:C1515)</f>
        <v>99</v>
      </c>
    </row>
    <row r="1516" spans="1:8" hidden="1" x14ac:dyDescent="0.15">
      <c r="A1516" s="2200" t="s">
        <v>11502</v>
      </c>
      <c r="B1516" s="2200" t="s">
        <v>13744</v>
      </c>
      <c r="C1516" s="2200" t="s">
        <v>13745</v>
      </c>
      <c r="D1516" s="2200" t="str">
        <f t="shared" si="92"/>
        <v>ME</v>
      </c>
      <c r="E1516" s="2200">
        <f t="shared" si="93"/>
        <v>20</v>
      </c>
      <c r="F1516" s="2200" t="str">
        <f t="shared" si="94"/>
        <v>23</v>
      </c>
      <c r="G1516" s="2200" t="str">
        <f t="shared" si="95"/>
        <v>32895</v>
      </c>
      <c r="H1516" s="2200">
        <f>--SUBTOTAL(3,C$2:C1516)</f>
        <v>99</v>
      </c>
    </row>
    <row r="1517" spans="1:8" hidden="1" x14ac:dyDescent="0.15">
      <c r="A1517" s="2200" t="s">
        <v>11502</v>
      </c>
      <c r="B1517" s="2200" t="s">
        <v>13746</v>
      </c>
      <c r="C1517" s="2200" t="s">
        <v>13747</v>
      </c>
      <c r="D1517" s="2200" t="str">
        <f t="shared" si="92"/>
        <v>ME</v>
      </c>
      <c r="E1517" s="2200">
        <f t="shared" si="93"/>
        <v>11</v>
      </c>
      <c r="F1517" s="2200" t="str">
        <f t="shared" si="94"/>
        <v>23</v>
      </c>
      <c r="G1517" s="2200" t="str">
        <f t="shared" si="95"/>
        <v>33315</v>
      </c>
      <c r="H1517" s="2200">
        <f>--SUBTOTAL(3,C$2:C1517)</f>
        <v>99</v>
      </c>
    </row>
    <row r="1518" spans="1:8" hidden="1" x14ac:dyDescent="0.15">
      <c r="A1518" s="2200" t="s">
        <v>11502</v>
      </c>
      <c r="B1518" s="2200" t="s">
        <v>13748</v>
      </c>
      <c r="C1518" s="2200" t="s">
        <v>13749</v>
      </c>
      <c r="D1518" s="2200" t="str">
        <f t="shared" si="92"/>
        <v>ME</v>
      </c>
      <c r="E1518" s="2200">
        <f t="shared" si="93"/>
        <v>13</v>
      </c>
      <c r="F1518" s="2200" t="str">
        <f t="shared" si="94"/>
        <v>23</v>
      </c>
      <c r="G1518" s="2200" t="str">
        <f t="shared" si="95"/>
        <v>33385</v>
      </c>
      <c r="H1518" s="2200">
        <f>--SUBTOTAL(3,C$2:C1518)</f>
        <v>99</v>
      </c>
    </row>
    <row r="1519" spans="1:8" hidden="1" x14ac:dyDescent="0.15">
      <c r="A1519" s="2200" t="s">
        <v>11502</v>
      </c>
      <c r="B1519" s="2200" t="s">
        <v>13750</v>
      </c>
      <c r="C1519" s="2200" t="s">
        <v>13751</v>
      </c>
      <c r="D1519" s="2200" t="str">
        <f t="shared" si="92"/>
        <v>ME</v>
      </c>
      <c r="E1519" s="2200">
        <f t="shared" si="93"/>
        <v>12</v>
      </c>
      <c r="F1519" s="2200" t="str">
        <f t="shared" si="94"/>
        <v>23</v>
      </c>
      <c r="G1519" s="2200" t="str">
        <f t="shared" si="95"/>
        <v>33490</v>
      </c>
      <c r="H1519" s="2200">
        <f>--SUBTOTAL(3,C$2:C1519)</f>
        <v>99</v>
      </c>
    </row>
    <row r="1520" spans="1:8" hidden="1" x14ac:dyDescent="0.15">
      <c r="A1520" s="2200" t="s">
        <v>11502</v>
      </c>
      <c r="B1520" s="2200" t="s">
        <v>13752</v>
      </c>
      <c r="C1520" s="2200" t="s">
        <v>13753</v>
      </c>
      <c r="D1520" s="2200" t="str">
        <f t="shared" si="92"/>
        <v>ME</v>
      </c>
      <c r="E1520" s="2200">
        <f t="shared" si="93"/>
        <v>12</v>
      </c>
      <c r="F1520" s="2200" t="str">
        <f t="shared" si="94"/>
        <v>23</v>
      </c>
      <c r="G1520" s="2200" t="str">
        <f t="shared" si="95"/>
        <v>33665</v>
      </c>
      <c r="H1520" s="2200">
        <f>--SUBTOTAL(3,C$2:C1520)</f>
        <v>99</v>
      </c>
    </row>
    <row r="1521" spans="1:8" hidden="1" x14ac:dyDescent="0.15">
      <c r="A1521" s="2200" t="s">
        <v>11502</v>
      </c>
      <c r="B1521" s="2200" t="s">
        <v>13754</v>
      </c>
      <c r="C1521" s="2200" t="s">
        <v>13755</v>
      </c>
      <c r="D1521" s="2200" t="str">
        <f t="shared" si="92"/>
        <v>ME</v>
      </c>
      <c r="E1521" s="2200">
        <f t="shared" si="93"/>
        <v>10</v>
      </c>
      <c r="F1521" s="2200" t="str">
        <f t="shared" si="94"/>
        <v>23</v>
      </c>
      <c r="G1521" s="2200" t="str">
        <f t="shared" si="95"/>
        <v>33840</v>
      </c>
      <c r="H1521" s="2200">
        <f>--SUBTOTAL(3,C$2:C1521)</f>
        <v>99</v>
      </c>
    </row>
    <row r="1522" spans="1:8" hidden="1" x14ac:dyDescent="0.15">
      <c r="A1522" s="2200" t="s">
        <v>11502</v>
      </c>
      <c r="B1522" s="2200" t="s">
        <v>13756</v>
      </c>
      <c r="C1522" s="2200" t="s">
        <v>13757</v>
      </c>
      <c r="D1522" s="2200" t="str">
        <f t="shared" si="92"/>
        <v>ME</v>
      </c>
      <c r="E1522" s="2200">
        <f t="shared" si="93"/>
        <v>13</v>
      </c>
      <c r="F1522" s="2200" t="str">
        <f t="shared" si="94"/>
        <v>23</v>
      </c>
      <c r="G1522" s="2200" t="str">
        <f t="shared" si="95"/>
        <v>33980</v>
      </c>
      <c r="H1522" s="2200">
        <f>--SUBTOTAL(3,C$2:C1522)</f>
        <v>99</v>
      </c>
    </row>
    <row r="1523" spans="1:8" hidden="1" x14ac:dyDescent="0.15">
      <c r="A1523" s="2200" t="s">
        <v>11443</v>
      </c>
      <c r="B1523" s="2200" t="s">
        <v>13758</v>
      </c>
      <c r="C1523" s="2200" t="s">
        <v>13759</v>
      </c>
      <c r="D1523" s="2200" t="str">
        <f t="shared" si="92"/>
        <v>ME</v>
      </c>
      <c r="E1523" s="2200">
        <f t="shared" si="93"/>
        <v>8</v>
      </c>
      <c r="F1523" s="2200" t="str">
        <f t="shared" si="94"/>
        <v>23</v>
      </c>
      <c r="G1523" s="2200" t="str">
        <f t="shared" si="95"/>
        <v>81420</v>
      </c>
      <c r="H1523" s="2200">
        <f>--SUBTOTAL(3,C$2:C1523)</f>
        <v>99</v>
      </c>
    </row>
    <row r="1524" spans="1:8" hidden="1" x14ac:dyDescent="0.15">
      <c r="A1524" s="2200" t="s">
        <v>11502</v>
      </c>
      <c r="B1524" s="2200" t="s">
        <v>13760</v>
      </c>
      <c r="C1524" s="2200" t="s">
        <v>13761</v>
      </c>
      <c r="D1524" s="2200" t="str">
        <f t="shared" si="92"/>
        <v>ME</v>
      </c>
      <c r="E1524" s="2200">
        <f t="shared" si="93"/>
        <v>13</v>
      </c>
      <c r="F1524" s="2200" t="str">
        <f t="shared" si="94"/>
        <v>23</v>
      </c>
      <c r="G1524" s="2200" t="str">
        <f t="shared" si="95"/>
        <v>34190</v>
      </c>
      <c r="H1524" s="2200">
        <f>--SUBTOTAL(3,C$2:C1524)</f>
        <v>99</v>
      </c>
    </row>
    <row r="1525" spans="1:8" hidden="1" x14ac:dyDescent="0.15">
      <c r="A1525" s="2200" t="s">
        <v>11502</v>
      </c>
      <c r="B1525" s="2200" t="s">
        <v>13762</v>
      </c>
      <c r="C1525" s="2200" t="s">
        <v>13763</v>
      </c>
      <c r="D1525" s="2200" t="str">
        <f t="shared" si="92"/>
        <v>ME</v>
      </c>
      <c r="E1525" s="2200">
        <f t="shared" si="93"/>
        <v>12</v>
      </c>
      <c r="F1525" s="2200" t="str">
        <f t="shared" si="94"/>
        <v>23</v>
      </c>
      <c r="G1525" s="2200" t="str">
        <f t="shared" si="95"/>
        <v>34365</v>
      </c>
      <c r="H1525" s="2200">
        <f>--SUBTOTAL(3,C$2:C1525)</f>
        <v>99</v>
      </c>
    </row>
    <row r="1526" spans="1:8" hidden="1" x14ac:dyDescent="0.15">
      <c r="A1526" s="2200" t="s">
        <v>11502</v>
      </c>
      <c r="B1526" s="2200" t="s">
        <v>13764</v>
      </c>
      <c r="C1526" s="2200" t="s">
        <v>13765</v>
      </c>
      <c r="D1526" s="2200" t="str">
        <f t="shared" si="92"/>
        <v>ME</v>
      </c>
      <c r="E1526" s="2200">
        <f t="shared" si="93"/>
        <v>14</v>
      </c>
      <c r="F1526" s="2200" t="str">
        <f t="shared" si="94"/>
        <v>23</v>
      </c>
      <c r="G1526" s="2200" t="str">
        <f t="shared" si="95"/>
        <v>34820</v>
      </c>
      <c r="H1526" s="2200">
        <f>--SUBTOTAL(3,C$2:C1526)</f>
        <v>99</v>
      </c>
    </row>
    <row r="1527" spans="1:8" hidden="1" x14ac:dyDescent="0.15">
      <c r="A1527" s="2200" t="s">
        <v>11502</v>
      </c>
      <c r="B1527" s="2200" t="s">
        <v>13766</v>
      </c>
      <c r="C1527" s="2200" t="s">
        <v>13767</v>
      </c>
      <c r="D1527" s="2200" t="str">
        <f t="shared" si="92"/>
        <v>ME</v>
      </c>
      <c r="E1527" s="2200">
        <f t="shared" si="93"/>
        <v>18</v>
      </c>
      <c r="F1527" s="2200" t="str">
        <f t="shared" si="94"/>
        <v>23</v>
      </c>
      <c r="G1527" s="2200" t="str">
        <f t="shared" si="95"/>
        <v>35065</v>
      </c>
      <c r="H1527" s="2200">
        <f>--SUBTOTAL(3,C$2:C1527)</f>
        <v>99</v>
      </c>
    </row>
    <row r="1528" spans="1:8" hidden="1" x14ac:dyDescent="0.15">
      <c r="A1528" s="2200" t="s">
        <v>11502</v>
      </c>
      <c r="B1528" s="2200" t="s">
        <v>13768</v>
      </c>
      <c r="C1528" s="2200" t="s">
        <v>13769</v>
      </c>
      <c r="D1528" s="2200" t="str">
        <f t="shared" si="92"/>
        <v>ME</v>
      </c>
      <c r="E1528" s="2200">
        <f t="shared" si="93"/>
        <v>18</v>
      </c>
      <c r="F1528" s="2200" t="str">
        <f t="shared" si="94"/>
        <v>23</v>
      </c>
      <c r="G1528" s="2200" t="str">
        <f t="shared" si="95"/>
        <v>35135</v>
      </c>
      <c r="H1528" s="2200">
        <f>--SUBTOTAL(3,C$2:C1528)</f>
        <v>99</v>
      </c>
    </row>
    <row r="1529" spans="1:8" hidden="1" x14ac:dyDescent="0.15">
      <c r="A1529" s="2200" t="s">
        <v>11502</v>
      </c>
      <c r="B1529" s="2200" t="s">
        <v>13770</v>
      </c>
      <c r="C1529" s="2200" t="s">
        <v>13771</v>
      </c>
      <c r="D1529" s="2200" t="str">
        <f t="shared" si="92"/>
        <v>ME</v>
      </c>
      <c r="E1529" s="2200">
        <f t="shared" si="93"/>
        <v>15</v>
      </c>
      <c r="F1529" s="2200" t="str">
        <f t="shared" si="94"/>
        <v>23</v>
      </c>
      <c r="G1529" s="2200" t="str">
        <f t="shared" si="95"/>
        <v>35240</v>
      </c>
      <c r="H1529" s="2200">
        <f>--SUBTOTAL(3,C$2:C1529)</f>
        <v>99</v>
      </c>
    </row>
    <row r="1530" spans="1:8" hidden="1" x14ac:dyDescent="0.15">
      <c r="A1530" s="2200" t="s">
        <v>11502</v>
      </c>
      <c r="B1530" s="2200" t="s">
        <v>13772</v>
      </c>
      <c r="C1530" s="2200" t="s">
        <v>13773</v>
      </c>
      <c r="D1530" s="2200" t="str">
        <f t="shared" si="92"/>
        <v>ME</v>
      </c>
      <c r="E1530" s="2200">
        <f t="shared" si="93"/>
        <v>13</v>
      </c>
      <c r="F1530" s="2200" t="str">
        <f t="shared" si="94"/>
        <v>23</v>
      </c>
      <c r="G1530" s="2200" t="str">
        <f t="shared" si="95"/>
        <v>35345</v>
      </c>
      <c r="H1530" s="2200">
        <f>--SUBTOTAL(3,C$2:C1530)</f>
        <v>99</v>
      </c>
    </row>
    <row r="1531" spans="1:8" hidden="1" x14ac:dyDescent="0.15">
      <c r="A1531" s="2200" t="s">
        <v>11502</v>
      </c>
      <c r="B1531" s="2200" t="s">
        <v>13774</v>
      </c>
      <c r="C1531" s="2200" t="s">
        <v>13775</v>
      </c>
      <c r="D1531" s="2200" t="str">
        <f t="shared" si="92"/>
        <v>ME</v>
      </c>
      <c r="E1531" s="2200">
        <f t="shared" si="93"/>
        <v>13</v>
      </c>
      <c r="F1531" s="2200" t="str">
        <f t="shared" si="94"/>
        <v>23</v>
      </c>
      <c r="G1531" s="2200" t="str">
        <f t="shared" si="95"/>
        <v>35450</v>
      </c>
      <c r="H1531" s="2200">
        <f>--SUBTOTAL(3,C$2:C1531)</f>
        <v>99</v>
      </c>
    </row>
    <row r="1532" spans="1:8" hidden="1" x14ac:dyDescent="0.15">
      <c r="A1532" s="2200" t="s">
        <v>11502</v>
      </c>
      <c r="B1532" s="2200" t="s">
        <v>13776</v>
      </c>
      <c r="C1532" s="2200" t="s">
        <v>13777</v>
      </c>
      <c r="D1532" s="2200" t="str">
        <f t="shared" si="92"/>
        <v>ME</v>
      </c>
      <c r="E1532" s="2200">
        <f t="shared" si="93"/>
        <v>9</v>
      </c>
      <c r="F1532" s="2200" t="str">
        <f t="shared" si="94"/>
        <v>23</v>
      </c>
      <c r="G1532" s="2200" t="str">
        <f t="shared" si="95"/>
        <v>35625</v>
      </c>
      <c r="H1532" s="2200">
        <f>--SUBTOTAL(3,C$2:C1532)</f>
        <v>99</v>
      </c>
    </row>
    <row r="1533" spans="1:8" hidden="1" x14ac:dyDescent="0.15">
      <c r="A1533" s="2200" t="s">
        <v>11502</v>
      </c>
      <c r="B1533" s="2200" t="s">
        <v>13778</v>
      </c>
      <c r="C1533" s="2200" t="s">
        <v>13779</v>
      </c>
      <c r="D1533" s="2200" t="str">
        <f t="shared" si="92"/>
        <v>ME</v>
      </c>
      <c r="E1533" s="2200">
        <f t="shared" si="93"/>
        <v>15</v>
      </c>
      <c r="F1533" s="2200" t="str">
        <f t="shared" si="94"/>
        <v>23</v>
      </c>
      <c r="G1533" s="2200" t="str">
        <f t="shared" si="95"/>
        <v>35695</v>
      </c>
      <c r="H1533" s="2200">
        <f>--SUBTOTAL(3,C$2:C1533)</f>
        <v>99</v>
      </c>
    </row>
    <row r="1534" spans="1:8" hidden="1" x14ac:dyDescent="0.15">
      <c r="A1534" s="2200" t="s">
        <v>11502</v>
      </c>
      <c r="B1534" s="2200" t="s">
        <v>13780</v>
      </c>
      <c r="C1534" s="2200" t="s">
        <v>13781</v>
      </c>
      <c r="D1534" s="2200" t="str">
        <f t="shared" si="92"/>
        <v>ME</v>
      </c>
      <c r="E1534" s="2200">
        <f t="shared" si="93"/>
        <v>15</v>
      </c>
      <c r="F1534" s="2200" t="str">
        <f t="shared" si="94"/>
        <v>23</v>
      </c>
      <c r="G1534" s="2200" t="str">
        <f t="shared" si="95"/>
        <v>35905</v>
      </c>
      <c r="H1534" s="2200">
        <f>--SUBTOTAL(3,C$2:C1534)</f>
        <v>99</v>
      </c>
    </row>
    <row r="1535" spans="1:8" hidden="1" x14ac:dyDescent="0.15">
      <c r="A1535" s="2200" t="s">
        <v>11502</v>
      </c>
      <c r="B1535" s="2200" t="s">
        <v>13782</v>
      </c>
      <c r="C1535" s="2200" t="s">
        <v>13783</v>
      </c>
      <c r="D1535" s="2200" t="str">
        <f t="shared" si="92"/>
        <v>ME</v>
      </c>
      <c r="E1535" s="2200">
        <f t="shared" si="93"/>
        <v>15</v>
      </c>
      <c r="F1535" s="2200" t="str">
        <f t="shared" si="94"/>
        <v>23</v>
      </c>
      <c r="G1535" s="2200" t="str">
        <f t="shared" si="95"/>
        <v>36010</v>
      </c>
      <c r="H1535" s="2200">
        <f>--SUBTOTAL(3,C$2:C1535)</f>
        <v>99</v>
      </c>
    </row>
    <row r="1536" spans="1:8" hidden="1" x14ac:dyDescent="0.15">
      <c r="A1536" s="2200" t="s">
        <v>11502</v>
      </c>
      <c r="B1536" s="2200" t="s">
        <v>13784</v>
      </c>
      <c r="C1536" s="2200" t="s">
        <v>13785</v>
      </c>
      <c r="D1536" s="2200" t="str">
        <f t="shared" si="92"/>
        <v>ME</v>
      </c>
      <c r="E1536" s="2200">
        <f t="shared" si="93"/>
        <v>16</v>
      </c>
      <c r="F1536" s="2200" t="str">
        <f t="shared" si="94"/>
        <v>23</v>
      </c>
      <c r="G1536" s="2200" t="str">
        <f t="shared" si="95"/>
        <v>36325</v>
      </c>
      <c r="H1536" s="2200">
        <f>--SUBTOTAL(3,C$2:C1536)</f>
        <v>99</v>
      </c>
    </row>
    <row r="1537" spans="1:8" hidden="1" x14ac:dyDescent="0.15">
      <c r="A1537" s="2200" t="s">
        <v>11502</v>
      </c>
      <c r="B1537" s="2200" t="s">
        <v>13786</v>
      </c>
      <c r="C1537" s="2200" t="s">
        <v>13787</v>
      </c>
      <c r="D1537" s="2200" t="str">
        <f t="shared" si="92"/>
        <v>ME</v>
      </c>
      <c r="E1537" s="2200">
        <f t="shared" si="93"/>
        <v>15</v>
      </c>
      <c r="F1537" s="2200" t="str">
        <f t="shared" si="94"/>
        <v>23</v>
      </c>
      <c r="G1537" s="2200" t="str">
        <f t="shared" si="95"/>
        <v>36535</v>
      </c>
      <c r="H1537" s="2200">
        <f>--SUBTOTAL(3,C$2:C1537)</f>
        <v>99</v>
      </c>
    </row>
    <row r="1538" spans="1:8" hidden="1" x14ac:dyDescent="0.15">
      <c r="A1538" s="2200" t="s">
        <v>11502</v>
      </c>
      <c r="B1538" s="2200" t="s">
        <v>13788</v>
      </c>
      <c r="C1538" s="2200" t="s">
        <v>13789</v>
      </c>
      <c r="D1538" s="2200" t="str">
        <f t="shared" ref="D1538:D1601" si="96">MID(C1538,E1538+2,2)</f>
        <v>ME</v>
      </c>
      <c r="E1538" s="2200">
        <f t="shared" ref="E1538:E1601" si="97">FIND(",",C1538)</f>
        <v>19</v>
      </c>
      <c r="F1538" s="2200" t="str">
        <f t="shared" si="94"/>
        <v>23</v>
      </c>
      <c r="G1538" s="2200" t="str">
        <f t="shared" si="95"/>
        <v>36745</v>
      </c>
      <c r="H1538" s="2200">
        <f>--SUBTOTAL(3,C$2:C1538)</f>
        <v>99</v>
      </c>
    </row>
    <row r="1539" spans="1:8" hidden="1" x14ac:dyDescent="0.15">
      <c r="A1539" s="2200" t="s">
        <v>11502</v>
      </c>
      <c r="B1539" s="2200" t="s">
        <v>13790</v>
      </c>
      <c r="C1539" s="2200" t="s">
        <v>13791</v>
      </c>
      <c r="D1539" s="2200" t="str">
        <f t="shared" si="96"/>
        <v>ME</v>
      </c>
      <c r="E1539" s="2200">
        <f t="shared" si="97"/>
        <v>15</v>
      </c>
      <c r="F1539" s="2200" t="str">
        <f t="shared" ref="F1539:F1602" si="98">MID(B1539,3,2)</f>
        <v>23</v>
      </c>
      <c r="G1539" s="2200" t="str">
        <f t="shared" ref="G1539:G1602" si="99">MID(B1539,5,5)</f>
        <v>37025</v>
      </c>
      <c r="H1539" s="2200">
        <f>--SUBTOTAL(3,C$2:C1539)</f>
        <v>99</v>
      </c>
    </row>
    <row r="1540" spans="1:8" hidden="1" x14ac:dyDescent="0.15">
      <c r="A1540" s="2200" t="s">
        <v>11502</v>
      </c>
      <c r="B1540" s="2200" t="s">
        <v>13792</v>
      </c>
      <c r="C1540" s="2200" t="s">
        <v>13793</v>
      </c>
      <c r="D1540" s="2200" t="str">
        <f t="shared" si="96"/>
        <v>ME</v>
      </c>
      <c r="E1540" s="2200">
        <f t="shared" si="97"/>
        <v>20</v>
      </c>
      <c r="F1540" s="2200" t="str">
        <f t="shared" si="98"/>
        <v>23</v>
      </c>
      <c r="G1540" s="2200" t="str">
        <f t="shared" si="99"/>
        <v>37075</v>
      </c>
      <c r="H1540" s="2200">
        <f>--SUBTOTAL(3,C$2:C1540)</f>
        <v>99</v>
      </c>
    </row>
    <row r="1541" spans="1:8" hidden="1" x14ac:dyDescent="0.15">
      <c r="A1541" s="2200" t="s">
        <v>11502</v>
      </c>
      <c r="B1541" s="2200" t="s">
        <v>13794</v>
      </c>
      <c r="C1541" s="2200" t="s">
        <v>13795</v>
      </c>
      <c r="D1541" s="2200" t="str">
        <f t="shared" si="96"/>
        <v>ME</v>
      </c>
      <c r="E1541" s="2200">
        <f t="shared" si="97"/>
        <v>21</v>
      </c>
      <c r="F1541" s="2200" t="str">
        <f t="shared" si="98"/>
        <v>23</v>
      </c>
      <c r="G1541" s="2200" t="str">
        <f t="shared" si="99"/>
        <v>37095</v>
      </c>
      <c r="H1541" s="2200">
        <f>--SUBTOTAL(3,C$2:C1541)</f>
        <v>99</v>
      </c>
    </row>
    <row r="1542" spans="1:8" hidden="1" x14ac:dyDescent="0.15">
      <c r="A1542" s="2200" t="s">
        <v>11502</v>
      </c>
      <c r="B1542" s="2200" t="s">
        <v>13796</v>
      </c>
      <c r="C1542" s="2200" t="s">
        <v>13797</v>
      </c>
      <c r="D1542" s="2200" t="str">
        <f t="shared" si="96"/>
        <v>ME</v>
      </c>
      <c r="E1542" s="2200">
        <f t="shared" si="97"/>
        <v>13</v>
      </c>
      <c r="F1542" s="2200" t="str">
        <f t="shared" si="98"/>
        <v>23</v>
      </c>
      <c r="G1542" s="2200" t="str">
        <f t="shared" si="99"/>
        <v>37270</v>
      </c>
      <c r="H1542" s="2200">
        <f>--SUBTOTAL(3,C$2:C1542)</f>
        <v>99</v>
      </c>
    </row>
    <row r="1543" spans="1:8" hidden="1" x14ac:dyDescent="0.15">
      <c r="A1543" s="2200" t="s">
        <v>11502</v>
      </c>
      <c r="B1543" s="2200" t="s">
        <v>13798</v>
      </c>
      <c r="C1543" s="2200" t="s">
        <v>13799</v>
      </c>
      <c r="D1543" s="2200" t="str">
        <f t="shared" si="96"/>
        <v>ME</v>
      </c>
      <c r="E1543" s="2200">
        <f t="shared" si="97"/>
        <v>10</v>
      </c>
      <c r="F1543" s="2200" t="str">
        <f t="shared" si="98"/>
        <v>23</v>
      </c>
      <c r="G1543" s="2200" t="str">
        <f t="shared" si="99"/>
        <v>37585</v>
      </c>
      <c r="H1543" s="2200">
        <f>--SUBTOTAL(3,C$2:C1543)</f>
        <v>99</v>
      </c>
    </row>
    <row r="1544" spans="1:8" hidden="1" x14ac:dyDescent="0.15">
      <c r="A1544" s="2200" t="s">
        <v>11502</v>
      </c>
      <c r="B1544" s="2200" t="s">
        <v>13800</v>
      </c>
      <c r="C1544" s="2200" t="s">
        <v>13801</v>
      </c>
      <c r="D1544" s="2200" t="str">
        <f t="shared" si="96"/>
        <v>ME</v>
      </c>
      <c r="E1544" s="2200">
        <f t="shared" si="97"/>
        <v>14</v>
      </c>
      <c r="F1544" s="2200" t="str">
        <f t="shared" si="98"/>
        <v>23</v>
      </c>
      <c r="G1544" s="2200" t="str">
        <f t="shared" si="99"/>
        <v>37760</v>
      </c>
      <c r="H1544" s="2200">
        <f>--SUBTOTAL(3,C$2:C1544)</f>
        <v>99</v>
      </c>
    </row>
    <row r="1545" spans="1:8" hidden="1" x14ac:dyDescent="0.15">
      <c r="A1545" s="2200" t="s">
        <v>11502</v>
      </c>
      <c r="B1545" s="2200" t="s">
        <v>13802</v>
      </c>
      <c r="C1545" s="2200" t="s">
        <v>13803</v>
      </c>
      <c r="D1545" s="2200" t="str">
        <f t="shared" si="96"/>
        <v>ME</v>
      </c>
      <c r="E1545" s="2200">
        <f t="shared" si="97"/>
        <v>21</v>
      </c>
      <c r="F1545" s="2200" t="str">
        <f t="shared" si="98"/>
        <v>23</v>
      </c>
      <c r="G1545" s="2200" t="str">
        <f t="shared" si="99"/>
        <v>37970</v>
      </c>
      <c r="H1545" s="2200">
        <f>--SUBTOTAL(3,C$2:C1545)</f>
        <v>99</v>
      </c>
    </row>
    <row r="1546" spans="1:8" hidden="1" x14ac:dyDescent="0.15">
      <c r="A1546" s="2200" t="s">
        <v>11502</v>
      </c>
      <c r="B1546" s="2200" t="s">
        <v>13804</v>
      </c>
      <c r="C1546" s="2200" t="s">
        <v>13805</v>
      </c>
      <c r="D1546" s="2200" t="str">
        <f t="shared" si="96"/>
        <v>ME</v>
      </c>
      <c r="E1546" s="2200">
        <f t="shared" si="97"/>
        <v>15</v>
      </c>
      <c r="F1546" s="2200" t="str">
        <f t="shared" si="98"/>
        <v>23</v>
      </c>
      <c r="G1546" s="2200" t="str">
        <f t="shared" si="99"/>
        <v>38005</v>
      </c>
      <c r="H1546" s="2200">
        <f>--SUBTOTAL(3,C$2:C1546)</f>
        <v>99</v>
      </c>
    </row>
    <row r="1547" spans="1:8" hidden="1" x14ac:dyDescent="0.15">
      <c r="A1547" s="2200" t="s">
        <v>11502</v>
      </c>
      <c r="B1547" s="2200" t="s">
        <v>13806</v>
      </c>
      <c r="C1547" s="2200" t="s">
        <v>13807</v>
      </c>
      <c r="D1547" s="2200" t="str">
        <f t="shared" si="96"/>
        <v>ME</v>
      </c>
      <c r="E1547" s="2200">
        <f t="shared" si="97"/>
        <v>13</v>
      </c>
      <c r="F1547" s="2200" t="str">
        <f t="shared" si="98"/>
        <v>23</v>
      </c>
      <c r="G1547" s="2200" t="str">
        <f t="shared" si="99"/>
        <v>38180</v>
      </c>
      <c r="H1547" s="2200">
        <f>--SUBTOTAL(3,C$2:C1547)</f>
        <v>99</v>
      </c>
    </row>
    <row r="1548" spans="1:8" hidden="1" x14ac:dyDescent="0.15">
      <c r="A1548" s="2200" t="s">
        <v>11502</v>
      </c>
      <c r="B1548" s="2200" t="s">
        <v>13808</v>
      </c>
      <c r="C1548" s="2200" t="s">
        <v>13809</v>
      </c>
      <c r="D1548" s="2200" t="str">
        <f t="shared" si="96"/>
        <v>ME</v>
      </c>
      <c r="E1548" s="2200">
        <f t="shared" si="97"/>
        <v>13</v>
      </c>
      <c r="F1548" s="2200" t="str">
        <f t="shared" si="98"/>
        <v>23</v>
      </c>
      <c r="G1548" s="2200" t="str">
        <f t="shared" si="99"/>
        <v>38425</v>
      </c>
      <c r="H1548" s="2200">
        <f>--SUBTOTAL(3,C$2:C1548)</f>
        <v>99</v>
      </c>
    </row>
    <row r="1549" spans="1:8" hidden="1" x14ac:dyDescent="0.15">
      <c r="A1549" s="2200" t="s">
        <v>11502</v>
      </c>
      <c r="B1549" s="2200" t="s">
        <v>13810</v>
      </c>
      <c r="C1549" s="2200" t="s">
        <v>13811</v>
      </c>
      <c r="D1549" s="2200" t="str">
        <f t="shared" si="96"/>
        <v>ME</v>
      </c>
      <c r="E1549" s="2200">
        <f t="shared" si="97"/>
        <v>9</v>
      </c>
      <c r="F1549" s="2200" t="str">
        <f t="shared" si="98"/>
        <v>23</v>
      </c>
      <c r="G1549" s="2200" t="str">
        <f t="shared" si="99"/>
        <v>38530</v>
      </c>
      <c r="H1549" s="2200">
        <f>--SUBTOTAL(3,C$2:C1549)</f>
        <v>99</v>
      </c>
    </row>
    <row r="1550" spans="1:8" hidden="1" x14ac:dyDescent="0.15">
      <c r="A1550" s="2200" t="s">
        <v>11502</v>
      </c>
      <c r="B1550" s="2200" t="s">
        <v>13812</v>
      </c>
      <c r="C1550" s="2200" t="s">
        <v>13813</v>
      </c>
      <c r="D1550" s="2200" t="str">
        <f t="shared" si="96"/>
        <v>ME</v>
      </c>
      <c r="E1550" s="2200">
        <f t="shared" si="97"/>
        <v>11</v>
      </c>
      <c r="F1550" s="2200" t="str">
        <f t="shared" si="98"/>
        <v>23</v>
      </c>
      <c r="G1550" s="2200" t="str">
        <f t="shared" si="99"/>
        <v>38565</v>
      </c>
      <c r="H1550" s="2200">
        <f>--SUBTOTAL(3,C$2:C1550)</f>
        <v>99</v>
      </c>
    </row>
    <row r="1551" spans="1:8" hidden="1" x14ac:dyDescent="0.15">
      <c r="A1551" s="2200" t="s">
        <v>11502</v>
      </c>
      <c r="B1551" s="2200" t="s">
        <v>13814</v>
      </c>
      <c r="C1551" s="2200" t="s">
        <v>13815</v>
      </c>
      <c r="D1551" s="2200" t="str">
        <f t="shared" si="96"/>
        <v>ME</v>
      </c>
      <c r="E1551" s="2200">
        <f t="shared" si="97"/>
        <v>12</v>
      </c>
      <c r="F1551" s="2200" t="str">
        <f t="shared" si="98"/>
        <v>23</v>
      </c>
      <c r="G1551" s="2200" t="str">
        <f t="shared" si="99"/>
        <v>38705</v>
      </c>
      <c r="H1551" s="2200">
        <f>--SUBTOTAL(3,C$2:C1551)</f>
        <v>99</v>
      </c>
    </row>
    <row r="1552" spans="1:8" hidden="1" x14ac:dyDescent="0.15">
      <c r="A1552" s="2200" t="s">
        <v>10723</v>
      </c>
      <c r="B1552" s="2200" t="s">
        <v>13816</v>
      </c>
      <c r="C1552" s="2200" t="s">
        <v>13817</v>
      </c>
      <c r="D1552" s="2200" t="str">
        <f t="shared" si="96"/>
        <v>ME</v>
      </c>
      <c r="E1552" s="2200">
        <f t="shared" si="97"/>
        <v>14</v>
      </c>
      <c r="F1552" s="2200" t="str">
        <f t="shared" si="98"/>
        <v>23</v>
      </c>
      <c r="G1552" s="2200" t="str">
        <f t="shared" si="99"/>
        <v>38740</v>
      </c>
      <c r="H1552" s="2200">
        <f>--SUBTOTAL(3,C$2:C1552)</f>
        <v>99</v>
      </c>
    </row>
    <row r="1553" spans="1:8" hidden="1" x14ac:dyDescent="0.15">
      <c r="A1553" s="2200" t="s">
        <v>11502</v>
      </c>
      <c r="B1553" s="2200" t="s">
        <v>13818</v>
      </c>
      <c r="C1553" s="2200" t="s">
        <v>13819</v>
      </c>
      <c r="D1553" s="2200" t="str">
        <f t="shared" si="96"/>
        <v>ME</v>
      </c>
      <c r="E1553" s="2200">
        <f t="shared" si="97"/>
        <v>13</v>
      </c>
      <c r="F1553" s="2200" t="str">
        <f t="shared" si="98"/>
        <v>23</v>
      </c>
      <c r="G1553" s="2200" t="str">
        <f t="shared" si="99"/>
        <v>39055</v>
      </c>
      <c r="H1553" s="2200">
        <f>--SUBTOTAL(3,C$2:C1553)</f>
        <v>99</v>
      </c>
    </row>
    <row r="1554" spans="1:8" hidden="1" x14ac:dyDescent="0.15">
      <c r="A1554" s="2200" t="s">
        <v>11502</v>
      </c>
      <c r="B1554" s="2200" t="s">
        <v>13820</v>
      </c>
      <c r="C1554" s="2200" t="s">
        <v>13821</v>
      </c>
      <c r="D1554" s="2200" t="str">
        <f t="shared" si="96"/>
        <v>ME</v>
      </c>
      <c r="E1554" s="2200">
        <f t="shared" si="97"/>
        <v>14</v>
      </c>
      <c r="F1554" s="2200" t="str">
        <f t="shared" si="98"/>
        <v>23</v>
      </c>
      <c r="G1554" s="2200" t="str">
        <f t="shared" si="99"/>
        <v>39195</v>
      </c>
      <c r="H1554" s="2200">
        <f>--SUBTOTAL(3,C$2:C1554)</f>
        <v>99</v>
      </c>
    </row>
    <row r="1555" spans="1:8" hidden="1" x14ac:dyDescent="0.15">
      <c r="A1555" s="2200" t="s">
        <v>11502</v>
      </c>
      <c r="B1555" s="2200" t="s">
        <v>13822</v>
      </c>
      <c r="C1555" s="2200" t="s">
        <v>13823</v>
      </c>
      <c r="D1555" s="2200" t="str">
        <f t="shared" si="96"/>
        <v>ME</v>
      </c>
      <c r="E1555" s="2200">
        <f t="shared" si="97"/>
        <v>15</v>
      </c>
      <c r="F1555" s="2200" t="str">
        <f t="shared" si="98"/>
        <v>23</v>
      </c>
      <c r="G1555" s="2200" t="str">
        <f t="shared" si="99"/>
        <v>39300</v>
      </c>
      <c r="H1555" s="2200">
        <f>--SUBTOTAL(3,C$2:C1555)</f>
        <v>99</v>
      </c>
    </row>
    <row r="1556" spans="1:8" hidden="1" x14ac:dyDescent="0.15">
      <c r="A1556" s="2200" t="s">
        <v>11502</v>
      </c>
      <c r="B1556" s="2200" t="s">
        <v>13824</v>
      </c>
      <c r="C1556" s="2200" t="s">
        <v>13825</v>
      </c>
      <c r="D1556" s="2200" t="str">
        <f t="shared" si="96"/>
        <v>ME</v>
      </c>
      <c r="E1556" s="2200">
        <f t="shared" si="97"/>
        <v>15</v>
      </c>
      <c r="F1556" s="2200" t="str">
        <f t="shared" si="98"/>
        <v>23</v>
      </c>
      <c r="G1556" s="2200" t="str">
        <f t="shared" si="99"/>
        <v>39405</v>
      </c>
      <c r="H1556" s="2200">
        <f>--SUBTOTAL(3,C$2:C1556)</f>
        <v>99</v>
      </c>
    </row>
    <row r="1557" spans="1:8" hidden="1" x14ac:dyDescent="0.15">
      <c r="A1557" s="2200" t="s">
        <v>11502</v>
      </c>
      <c r="B1557" s="2200" t="s">
        <v>13826</v>
      </c>
      <c r="C1557" s="2200" t="s">
        <v>13827</v>
      </c>
      <c r="D1557" s="2200" t="str">
        <f t="shared" si="96"/>
        <v>ME</v>
      </c>
      <c r="E1557" s="2200">
        <f t="shared" si="97"/>
        <v>19</v>
      </c>
      <c r="F1557" s="2200" t="str">
        <f t="shared" si="98"/>
        <v>23</v>
      </c>
      <c r="G1557" s="2200" t="str">
        <f t="shared" si="99"/>
        <v>39422</v>
      </c>
      <c r="H1557" s="2200">
        <f>--SUBTOTAL(3,C$2:C1557)</f>
        <v>99</v>
      </c>
    </row>
    <row r="1558" spans="1:8" hidden="1" x14ac:dyDescent="0.15">
      <c r="A1558" s="2200" t="s">
        <v>11502</v>
      </c>
      <c r="B1558" s="2200" t="s">
        <v>13828</v>
      </c>
      <c r="C1558" s="2200" t="s">
        <v>13829</v>
      </c>
      <c r="D1558" s="2200" t="str">
        <f t="shared" si="96"/>
        <v>ME</v>
      </c>
      <c r="E1558" s="2200">
        <f t="shared" si="97"/>
        <v>13</v>
      </c>
      <c r="F1558" s="2200" t="str">
        <f t="shared" si="98"/>
        <v>23</v>
      </c>
      <c r="G1558" s="2200" t="str">
        <f t="shared" si="99"/>
        <v>39475</v>
      </c>
      <c r="H1558" s="2200">
        <f>--SUBTOTAL(3,C$2:C1558)</f>
        <v>99</v>
      </c>
    </row>
    <row r="1559" spans="1:8" hidden="1" x14ac:dyDescent="0.15">
      <c r="A1559" s="2200" t="s">
        <v>11443</v>
      </c>
      <c r="B1559" s="2200" t="s">
        <v>13830</v>
      </c>
      <c r="C1559" s="2200" t="s">
        <v>13831</v>
      </c>
      <c r="D1559" s="2200" t="str">
        <f t="shared" si="96"/>
        <v>ME</v>
      </c>
      <c r="E1559" s="2200">
        <f t="shared" si="97"/>
        <v>8</v>
      </c>
      <c r="F1559" s="2200" t="str">
        <f t="shared" si="98"/>
        <v>23</v>
      </c>
      <c r="G1559" s="2200" t="str">
        <f t="shared" si="99"/>
        <v>81540</v>
      </c>
      <c r="H1559" s="2200">
        <f>--SUBTOTAL(3,C$2:C1559)</f>
        <v>99</v>
      </c>
    </row>
    <row r="1560" spans="1:8" hidden="1" x14ac:dyDescent="0.15">
      <c r="A1560" s="2200" t="s">
        <v>11502</v>
      </c>
      <c r="B1560" s="2200" t="s">
        <v>13832</v>
      </c>
      <c r="C1560" s="2200" t="s">
        <v>13833</v>
      </c>
      <c r="D1560" s="2200" t="str">
        <f t="shared" si="96"/>
        <v>ME</v>
      </c>
      <c r="E1560" s="2200">
        <f t="shared" si="97"/>
        <v>18</v>
      </c>
      <c r="F1560" s="2200" t="str">
        <f t="shared" si="98"/>
        <v>23</v>
      </c>
      <c r="G1560" s="2200" t="str">
        <f t="shared" si="99"/>
        <v>39755</v>
      </c>
      <c r="H1560" s="2200">
        <f>--SUBTOTAL(3,C$2:C1560)</f>
        <v>99</v>
      </c>
    </row>
    <row r="1561" spans="1:8" hidden="1" x14ac:dyDescent="0.15">
      <c r="A1561" s="2200" t="s">
        <v>11502</v>
      </c>
      <c r="B1561" s="2200" t="s">
        <v>13834</v>
      </c>
      <c r="C1561" s="2200" t="s">
        <v>13835</v>
      </c>
      <c r="D1561" s="2200" t="str">
        <f t="shared" si="96"/>
        <v>ME</v>
      </c>
      <c r="E1561" s="2200">
        <f t="shared" si="97"/>
        <v>13</v>
      </c>
      <c r="F1561" s="2200" t="str">
        <f t="shared" si="98"/>
        <v>23</v>
      </c>
      <c r="G1561" s="2200" t="str">
        <f t="shared" si="99"/>
        <v>39965</v>
      </c>
      <c r="H1561" s="2200">
        <f>--SUBTOTAL(3,C$2:C1561)</f>
        <v>99</v>
      </c>
    </row>
    <row r="1562" spans="1:8" hidden="1" x14ac:dyDescent="0.15">
      <c r="A1562" s="2200" t="s">
        <v>11502</v>
      </c>
      <c r="B1562" s="2200" t="s">
        <v>13836</v>
      </c>
      <c r="C1562" s="2200" t="s">
        <v>13837</v>
      </c>
      <c r="D1562" s="2200" t="str">
        <f t="shared" si="96"/>
        <v>ME</v>
      </c>
      <c r="E1562" s="2200">
        <f t="shared" si="97"/>
        <v>12</v>
      </c>
      <c r="F1562" s="2200" t="str">
        <f t="shared" si="98"/>
        <v>23</v>
      </c>
      <c r="G1562" s="2200" t="str">
        <f t="shared" si="99"/>
        <v>40035</v>
      </c>
      <c r="H1562" s="2200">
        <f>--SUBTOTAL(3,C$2:C1562)</f>
        <v>99</v>
      </c>
    </row>
    <row r="1563" spans="1:8" hidden="1" x14ac:dyDescent="0.15">
      <c r="A1563" s="2200" t="s">
        <v>11502</v>
      </c>
      <c r="B1563" s="2200" t="s">
        <v>13838</v>
      </c>
      <c r="C1563" s="2200" t="s">
        <v>13839</v>
      </c>
      <c r="D1563" s="2200" t="str">
        <f t="shared" si="96"/>
        <v>ME</v>
      </c>
      <c r="E1563" s="2200">
        <f t="shared" si="97"/>
        <v>16</v>
      </c>
      <c r="F1563" s="2200" t="str">
        <f t="shared" si="98"/>
        <v>23</v>
      </c>
      <c r="G1563" s="2200" t="str">
        <f t="shared" si="99"/>
        <v>40175</v>
      </c>
      <c r="H1563" s="2200">
        <f>--SUBTOTAL(3,C$2:C1563)</f>
        <v>99</v>
      </c>
    </row>
    <row r="1564" spans="1:8" hidden="1" x14ac:dyDescent="0.15">
      <c r="A1564" s="2200" t="s">
        <v>11502</v>
      </c>
      <c r="B1564" s="2200" t="s">
        <v>13840</v>
      </c>
      <c r="C1564" s="2200" t="s">
        <v>13841</v>
      </c>
      <c r="D1564" s="2200" t="str">
        <f t="shared" si="96"/>
        <v>ME</v>
      </c>
      <c r="E1564" s="2200">
        <f t="shared" si="97"/>
        <v>15</v>
      </c>
      <c r="F1564" s="2200" t="str">
        <f t="shared" si="98"/>
        <v>23</v>
      </c>
      <c r="G1564" s="2200" t="str">
        <f t="shared" si="99"/>
        <v>40595</v>
      </c>
      <c r="H1564" s="2200">
        <f>--SUBTOTAL(3,C$2:C1564)</f>
        <v>99</v>
      </c>
    </row>
    <row r="1565" spans="1:8" hidden="1" x14ac:dyDescent="0.15">
      <c r="A1565" s="2200" t="s">
        <v>11502</v>
      </c>
      <c r="B1565" s="2200" t="s">
        <v>13842</v>
      </c>
      <c r="C1565" s="2200" t="s">
        <v>13843</v>
      </c>
      <c r="D1565" s="2200" t="str">
        <f t="shared" si="96"/>
        <v>ME</v>
      </c>
      <c r="E1565" s="2200">
        <f t="shared" si="97"/>
        <v>21</v>
      </c>
      <c r="F1565" s="2200" t="str">
        <f t="shared" si="98"/>
        <v>23</v>
      </c>
      <c r="G1565" s="2200" t="str">
        <f t="shared" si="99"/>
        <v>40770</v>
      </c>
      <c r="H1565" s="2200">
        <f>--SUBTOTAL(3,C$2:C1565)</f>
        <v>99</v>
      </c>
    </row>
    <row r="1566" spans="1:8" hidden="1" x14ac:dyDescent="0.15">
      <c r="A1566" s="2200" t="s">
        <v>11502</v>
      </c>
      <c r="B1566" s="2200" t="s">
        <v>13844</v>
      </c>
      <c r="C1566" s="2200" t="s">
        <v>13845</v>
      </c>
      <c r="D1566" s="2200" t="str">
        <f t="shared" si="96"/>
        <v>ME</v>
      </c>
      <c r="E1566" s="2200">
        <f t="shared" si="97"/>
        <v>15</v>
      </c>
      <c r="F1566" s="2200" t="str">
        <f t="shared" si="98"/>
        <v>23</v>
      </c>
      <c r="G1566" s="2200" t="str">
        <f t="shared" si="99"/>
        <v>40665</v>
      </c>
      <c r="H1566" s="2200">
        <f>--SUBTOTAL(3,C$2:C1566)</f>
        <v>99</v>
      </c>
    </row>
    <row r="1567" spans="1:8" hidden="1" x14ac:dyDescent="0.15">
      <c r="A1567" s="2200" t="s">
        <v>11502</v>
      </c>
      <c r="B1567" s="2200" t="s">
        <v>13846</v>
      </c>
      <c r="C1567" s="2200" t="s">
        <v>13847</v>
      </c>
      <c r="D1567" s="2200" t="str">
        <f t="shared" si="96"/>
        <v>ME</v>
      </c>
      <c r="E1567" s="2200">
        <f t="shared" si="97"/>
        <v>17</v>
      </c>
      <c r="F1567" s="2200" t="str">
        <f t="shared" si="98"/>
        <v>23</v>
      </c>
      <c r="G1567" s="2200" t="str">
        <f t="shared" si="99"/>
        <v>41067</v>
      </c>
      <c r="H1567" s="2200">
        <f>--SUBTOTAL(3,C$2:C1567)</f>
        <v>99</v>
      </c>
    </row>
    <row r="1568" spans="1:8" hidden="1" x14ac:dyDescent="0.15">
      <c r="A1568" s="2200" t="s">
        <v>11502</v>
      </c>
      <c r="B1568" s="2200" t="s">
        <v>13848</v>
      </c>
      <c r="C1568" s="2200" t="s">
        <v>13849</v>
      </c>
      <c r="D1568" s="2200" t="str">
        <f t="shared" si="96"/>
        <v>ME</v>
      </c>
      <c r="E1568" s="2200">
        <f t="shared" si="97"/>
        <v>12</v>
      </c>
      <c r="F1568" s="2200" t="str">
        <f t="shared" si="98"/>
        <v>23</v>
      </c>
      <c r="G1568" s="2200" t="str">
        <f t="shared" si="99"/>
        <v>41365</v>
      </c>
      <c r="H1568" s="2200">
        <f>--SUBTOTAL(3,C$2:C1568)</f>
        <v>99</v>
      </c>
    </row>
    <row r="1569" spans="1:8" hidden="1" x14ac:dyDescent="0.15">
      <c r="A1569" s="2200" t="s">
        <v>11502</v>
      </c>
      <c r="B1569" s="2200" t="s">
        <v>13850</v>
      </c>
      <c r="C1569" s="2200" t="s">
        <v>13851</v>
      </c>
      <c r="D1569" s="2200" t="str">
        <f t="shared" si="96"/>
        <v>ME</v>
      </c>
      <c r="E1569" s="2200">
        <f t="shared" si="97"/>
        <v>12</v>
      </c>
      <c r="F1569" s="2200" t="str">
        <f t="shared" si="98"/>
        <v>23</v>
      </c>
      <c r="G1569" s="2200" t="str">
        <f t="shared" si="99"/>
        <v>41435</v>
      </c>
      <c r="H1569" s="2200">
        <f>--SUBTOTAL(3,C$2:C1569)</f>
        <v>99</v>
      </c>
    </row>
    <row r="1570" spans="1:8" hidden="1" x14ac:dyDescent="0.15">
      <c r="A1570" s="2200" t="s">
        <v>11502</v>
      </c>
      <c r="B1570" s="2200" t="s">
        <v>13852</v>
      </c>
      <c r="C1570" s="2200" t="s">
        <v>13853</v>
      </c>
      <c r="D1570" s="2200" t="str">
        <f t="shared" si="96"/>
        <v>ME</v>
      </c>
      <c r="E1570" s="2200">
        <f t="shared" si="97"/>
        <v>11</v>
      </c>
      <c r="F1570" s="2200" t="str">
        <f t="shared" si="98"/>
        <v>23</v>
      </c>
      <c r="G1570" s="2200" t="str">
        <f t="shared" si="99"/>
        <v>41610</v>
      </c>
      <c r="H1570" s="2200">
        <f>--SUBTOTAL(3,C$2:C1570)</f>
        <v>99</v>
      </c>
    </row>
    <row r="1571" spans="1:8" hidden="1" x14ac:dyDescent="0.15">
      <c r="A1571" s="2200" t="s">
        <v>11502</v>
      </c>
      <c r="B1571" s="2200" t="s">
        <v>13854</v>
      </c>
      <c r="C1571" s="2200" t="s">
        <v>13855</v>
      </c>
      <c r="D1571" s="2200" t="str">
        <f t="shared" si="96"/>
        <v>ME</v>
      </c>
      <c r="E1571" s="2200">
        <f t="shared" si="97"/>
        <v>12</v>
      </c>
      <c r="F1571" s="2200" t="str">
        <f t="shared" si="98"/>
        <v>23</v>
      </c>
      <c r="G1571" s="2200" t="str">
        <f t="shared" si="99"/>
        <v>41715</v>
      </c>
      <c r="H1571" s="2200">
        <f>--SUBTOTAL(3,C$2:C1571)</f>
        <v>99</v>
      </c>
    </row>
    <row r="1572" spans="1:8" hidden="1" x14ac:dyDescent="0.15">
      <c r="A1572" s="2200" t="s">
        <v>11502</v>
      </c>
      <c r="B1572" s="2200" t="s">
        <v>13856</v>
      </c>
      <c r="C1572" s="2200" t="s">
        <v>13857</v>
      </c>
      <c r="D1572" s="2200" t="str">
        <f t="shared" si="96"/>
        <v>ME</v>
      </c>
      <c r="E1572" s="2200">
        <f t="shared" si="97"/>
        <v>11</v>
      </c>
      <c r="F1572" s="2200" t="str">
        <f t="shared" si="98"/>
        <v>23</v>
      </c>
      <c r="G1572" s="2200" t="str">
        <f t="shared" si="99"/>
        <v>41750</v>
      </c>
      <c r="H1572" s="2200">
        <f>--SUBTOTAL(3,C$2:C1572)</f>
        <v>99</v>
      </c>
    </row>
    <row r="1573" spans="1:8" hidden="1" x14ac:dyDescent="0.15">
      <c r="A1573" s="2200" t="s">
        <v>11502</v>
      </c>
      <c r="B1573" s="2200" t="s">
        <v>13858</v>
      </c>
      <c r="C1573" s="2200" t="s">
        <v>13859</v>
      </c>
      <c r="D1573" s="2200" t="str">
        <f t="shared" si="96"/>
        <v>ME</v>
      </c>
      <c r="E1573" s="2200">
        <f t="shared" si="97"/>
        <v>13</v>
      </c>
      <c r="F1573" s="2200" t="str">
        <f t="shared" si="98"/>
        <v>23</v>
      </c>
      <c r="G1573" s="2200" t="str">
        <f t="shared" si="99"/>
        <v>41960</v>
      </c>
      <c r="H1573" s="2200">
        <f>--SUBTOTAL(3,C$2:C1573)</f>
        <v>99</v>
      </c>
    </row>
    <row r="1574" spans="1:8" hidden="1" x14ac:dyDescent="0.15">
      <c r="A1574" s="2200" t="s">
        <v>11443</v>
      </c>
      <c r="B1574" s="2200" t="s">
        <v>13860</v>
      </c>
      <c r="C1574" s="2200" t="s">
        <v>13861</v>
      </c>
      <c r="D1574" s="2200" t="str">
        <f t="shared" si="96"/>
        <v>ME</v>
      </c>
      <c r="E1574" s="2200">
        <f t="shared" si="97"/>
        <v>8</v>
      </c>
      <c r="F1574" s="2200" t="str">
        <f t="shared" si="98"/>
        <v>23</v>
      </c>
      <c r="G1574" s="2200" t="str">
        <f t="shared" si="99"/>
        <v>81660</v>
      </c>
      <c r="H1574" s="2200">
        <f>--SUBTOTAL(3,C$2:C1574)</f>
        <v>99</v>
      </c>
    </row>
    <row r="1575" spans="1:8" hidden="1" x14ac:dyDescent="0.15">
      <c r="A1575" s="2200" t="s">
        <v>11502</v>
      </c>
      <c r="B1575" s="2200" t="s">
        <v>13862</v>
      </c>
      <c r="C1575" s="2200" t="s">
        <v>13863</v>
      </c>
      <c r="D1575" s="2200" t="str">
        <f t="shared" si="96"/>
        <v>ME</v>
      </c>
      <c r="E1575" s="2200">
        <f t="shared" si="97"/>
        <v>17</v>
      </c>
      <c r="F1575" s="2200" t="str">
        <f t="shared" si="98"/>
        <v>23</v>
      </c>
      <c r="G1575" s="2200" t="str">
        <f t="shared" si="99"/>
        <v>42100</v>
      </c>
      <c r="H1575" s="2200">
        <f>--SUBTOTAL(3,C$2:C1575)</f>
        <v>99</v>
      </c>
    </row>
    <row r="1576" spans="1:8" hidden="1" x14ac:dyDescent="0.15">
      <c r="A1576" s="2200" t="s">
        <v>11502</v>
      </c>
      <c r="B1576" s="2200" t="s">
        <v>13864</v>
      </c>
      <c r="C1576" s="2200" t="s">
        <v>13865</v>
      </c>
      <c r="D1576" s="2200" t="str">
        <f t="shared" si="96"/>
        <v>ME</v>
      </c>
      <c r="E1576" s="2200">
        <f t="shared" si="97"/>
        <v>20</v>
      </c>
      <c r="F1576" s="2200" t="str">
        <f t="shared" si="98"/>
        <v>23</v>
      </c>
      <c r="G1576" s="2200" t="str">
        <f t="shared" si="99"/>
        <v>42450</v>
      </c>
      <c r="H1576" s="2200">
        <f>--SUBTOTAL(3,C$2:C1576)</f>
        <v>99</v>
      </c>
    </row>
    <row r="1577" spans="1:8" hidden="1" x14ac:dyDescent="0.15">
      <c r="A1577" s="2200" t="s">
        <v>11502</v>
      </c>
      <c r="B1577" s="2200" t="s">
        <v>13866</v>
      </c>
      <c r="C1577" s="2200" t="s">
        <v>13867</v>
      </c>
      <c r="D1577" s="2200" t="str">
        <f t="shared" si="96"/>
        <v>ME</v>
      </c>
      <c r="E1577" s="2200">
        <f t="shared" si="97"/>
        <v>15</v>
      </c>
      <c r="F1577" s="2200" t="str">
        <f t="shared" si="98"/>
        <v>23</v>
      </c>
      <c r="G1577" s="2200" t="str">
        <f t="shared" si="99"/>
        <v>42520</v>
      </c>
      <c r="H1577" s="2200">
        <f>--SUBTOTAL(3,C$2:C1577)</f>
        <v>99</v>
      </c>
    </row>
    <row r="1578" spans="1:8" hidden="1" x14ac:dyDescent="0.15">
      <c r="A1578" s="2200" t="s">
        <v>11443</v>
      </c>
      <c r="B1578" s="2200" t="s">
        <v>13868</v>
      </c>
      <c r="C1578" s="2200" t="s">
        <v>13869</v>
      </c>
      <c r="D1578" s="2200" t="str">
        <f t="shared" si="96"/>
        <v>ME</v>
      </c>
      <c r="E1578" s="2200">
        <f t="shared" si="97"/>
        <v>10</v>
      </c>
      <c r="F1578" s="2200" t="str">
        <f t="shared" si="98"/>
        <v>23</v>
      </c>
      <c r="G1578" s="2200" t="str">
        <f t="shared" si="99"/>
        <v>81700</v>
      </c>
      <c r="H1578" s="2200">
        <f>--SUBTOTAL(3,C$2:C1578)</f>
        <v>99</v>
      </c>
    </row>
    <row r="1579" spans="1:8" hidden="1" x14ac:dyDescent="0.15">
      <c r="A1579" s="2200" t="s">
        <v>11502</v>
      </c>
      <c r="B1579" s="2200" t="s">
        <v>13870</v>
      </c>
      <c r="C1579" s="2200" t="s">
        <v>13871</v>
      </c>
      <c r="D1579" s="2200" t="str">
        <f t="shared" si="96"/>
        <v>ME</v>
      </c>
      <c r="E1579" s="2200">
        <f t="shared" si="97"/>
        <v>13</v>
      </c>
      <c r="F1579" s="2200" t="str">
        <f t="shared" si="98"/>
        <v>23</v>
      </c>
      <c r="G1579" s="2200" t="str">
        <f t="shared" si="99"/>
        <v>42660</v>
      </c>
      <c r="H1579" s="2200">
        <f>--SUBTOTAL(3,C$2:C1579)</f>
        <v>99</v>
      </c>
    </row>
    <row r="1580" spans="1:8" hidden="1" x14ac:dyDescent="0.15">
      <c r="A1580" s="2200" t="s">
        <v>11502</v>
      </c>
      <c r="B1580" s="2200" t="s">
        <v>13872</v>
      </c>
      <c r="C1580" s="2200" t="s">
        <v>13873</v>
      </c>
      <c r="D1580" s="2200" t="str">
        <f t="shared" si="96"/>
        <v>ME</v>
      </c>
      <c r="E1580" s="2200">
        <f t="shared" si="97"/>
        <v>22</v>
      </c>
      <c r="F1580" s="2200" t="str">
        <f t="shared" si="98"/>
        <v>23</v>
      </c>
      <c r="G1580" s="2200" t="str">
        <f t="shared" si="99"/>
        <v>42835</v>
      </c>
      <c r="H1580" s="2200">
        <f>--SUBTOTAL(3,C$2:C1580)</f>
        <v>99</v>
      </c>
    </row>
    <row r="1581" spans="1:8" hidden="1" x14ac:dyDescent="0.15">
      <c r="A1581" s="2200" t="s">
        <v>11502</v>
      </c>
      <c r="B1581" s="2200" t="s">
        <v>13874</v>
      </c>
      <c r="C1581" s="2200" t="s">
        <v>13875</v>
      </c>
      <c r="D1581" s="2200" t="str">
        <f t="shared" si="96"/>
        <v>ME</v>
      </c>
      <c r="E1581" s="2200">
        <f t="shared" si="97"/>
        <v>16</v>
      </c>
      <c r="F1581" s="2200" t="str">
        <f t="shared" si="98"/>
        <v>23</v>
      </c>
      <c r="G1581" s="2200" t="str">
        <f t="shared" si="99"/>
        <v>43080</v>
      </c>
      <c r="H1581" s="2200">
        <f>--SUBTOTAL(3,C$2:C1581)</f>
        <v>99</v>
      </c>
    </row>
    <row r="1582" spans="1:8" hidden="1" x14ac:dyDescent="0.15">
      <c r="A1582" s="2200" t="s">
        <v>11502</v>
      </c>
      <c r="B1582" s="2200" t="s">
        <v>13876</v>
      </c>
      <c r="C1582" s="2200" t="s">
        <v>13877</v>
      </c>
      <c r="D1582" s="2200" t="str">
        <f t="shared" si="96"/>
        <v>ME</v>
      </c>
      <c r="E1582" s="2200">
        <f t="shared" si="97"/>
        <v>14</v>
      </c>
      <c r="F1582" s="2200" t="str">
        <f t="shared" si="98"/>
        <v>23</v>
      </c>
      <c r="G1582" s="2200" t="str">
        <f t="shared" si="99"/>
        <v>43255</v>
      </c>
      <c r="H1582" s="2200">
        <f>--SUBTOTAL(3,C$2:C1582)</f>
        <v>99</v>
      </c>
    </row>
    <row r="1583" spans="1:8" hidden="1" x14ac:dyDescent="0.15">
      <c r="A1583" s="2200" t="s">
        <v>11502</v>
      </c>
      <c r="B1583" s="2200" t="s">
        <v>13878</v>
      </c>
      <c r="C1583" s="2200" t="s">
        <v>13879</v>
      </c>
      <c r="D1583" s="2200" t="str">
        <f t="shared" si="96"/>
        <v>ME</v>
      </c>
      <c r="E1583" s="2200">
        <f t="shared" si="97"/>
        <v>16</v>
      </c>
      <c r="F1583" s="2200" t="str">
        <f t="shared" si="98"/>
        <v>23</v>
      </c>
      <c r="G1583" s="2200" t="str">
        <f t="shared" si="99"/>
        <v>43430</v>
      </c>
      <c r="H1583" s="2200">
        <f>--SUBTOTAL(3,C$2:C1583)</f>
        <v>99</v>
      </c>
    </row>
    <row r="1584" spans="1:8" hidden="1" x14ac:dyDescent="0.15">
      <c r="A1584" s="2200" t="s">
        <v>11502</v>
      </c>
      <c r="B1584" s="2200" t="s">
        <v>13880</v>
      </c>
      <c r="C1584" s="2200" t="s">
        <v>13881</v>
      </c>
      <c r="D1584" s="2200" t="str">
        <f t="shared" si="96"/>
        <v>ME</v>
      </c>
      <c r="E1584" s="2200">
        <f t="shared" si="97"/>
        <v>15</v>
      </c>
      <c r="F1584" s="2200" t="str">
        <f t="shared" si="98"/>
        <v>23</v>
      </c>
      <c r="G1584" s="2200" t="str">
        <f t="shared" si="99"/>
        <v>43710</v>
      </c>
      <c r="H1584" s="2200">
        <f>--SUBTOTAL(3,C$2:C1584)</f>
        <v>99</v>
      </c>
    </row>
    <row r="1585" spans="1:8" hidden="1" x14ac:dyDescent="0.15">
      <c r="A1585" s="2200" t="s">
        <v>11502</v>
      </c>
      <c r="B1585" s="2200" t="s">
        <v>13882</v>
      </c>
      <c r="C1585" s="2200" t="s">
        <v>13883</v>
      </c>
      <c r="D1585" s="2200" t="str">
        <f t="shared" si="96"/>
        <v>ME</v>
      </c>
      <c r="E1585" s="2200">
        <f t="shared" si="97"/>
        <v>16</v>
      </c>
      <c r="F1585" s="2200" t="str">
        <f t="shared" si="98"/>
        <v>23</v>
      </c>
      <c r="G1585" s="2200" t="str">
        <f t="shared" si="99"/>
        <v>43640</v>
      </c>
      <c r="H1585" s="2200">
        <f>--SUBTOTAL(3,C$2:C1585)</f>
        <v>99</v>
      </c>
    </row>
    <row r="1586" spans="1:8" hidden="1" x14ac:dyDescent="0.15">
      <c r="A1586" s="2200" t="s">
        <v>11502</v>
      </c>
      <c r="B1586" s="2200" t="s">
        <v>13884</v>
      </c>
      <c r="C1586" s="2200" t="s">
        <v>13885</v>
      </c>
      <c r="D1586" s="2200" t="str">
        <f t="shared" si="96"/>
        <v>ME</v>
      </c>
      <c r="E1586" s="2200">
        <f t="shared" si="97"/>
        <v>14</v>
      </c>
      <c r="F1586" s="2200" t="str">
        <f t="shared" si="98"/>
        <v>23</v>
      </c>
      <c r="G1586" s="2200" t="str">
        <f t="shared" si="99"/>
        <v>43990</v>
      </c>
      <c r="H1586" s="2200">
        <f>--SUBTOTAL(3,C$2:C1586)</f>
        <v>99</v>
      </c>
    </row>
    <row r="1587" spans="1:8" hidden="1" x14ac:dyDescent="0.15">
      <c r="A1587" s="2200" t="s">
        <v>11502</v>
      </c>
      <c r="B1587" s="2200" t="s">
        <v>13886</v>
      </c>
      <c r="C1587" s="2200" t="s">
        <v>13887</v>
      </c>
      <c r="D1587" s="2200" t="str">
        <f t="shared" si="96"/>
        <v>ME</v>
      </c>
      <c r="E1587" s="2200">
        <f t="shared" si="97"/>
        <v>26</v>
      </c>
      <c r="F1587" s="2200" t="str">
        <f t="shared" si="98"/>
        <v>23</v>
      </c>
      <c r="G1587" s="2200" t="str">
        <f t="shared" si="99"/>
        <v>44165</v>
      </c>
      <c r="H1587" s="2200">
        <f>--SUBTOTAL(3,C$2:C1587)</f>
        <v>99</v>
      </c>
    </row>
    <row r="1588" spans="1:8" hidden="1" x14ac:dyDescent="0.15">
      <c r="A1588" s="2200" t="s">
        <v>11502</v>
      </c>
      <c r="B1588" s="2200" t="s">
        <v>13888</v>
      </c>
      <c r="C1588" s="2200" t="s">
        <v>13889</v>
      </c>
      <c r="D1588" s="2200" t="str">
        <f t="shared" si="96"/>
        <v>ME</v>
      </c>
      <c r="E1588" s="2200">
        <f t="shared" si="97"/>
        <v>18</v>
      </c>
      <c r="F1588" s="2200" t="str">
        <f t="shared" si="98"/>
        <v>23</v>
      </c>
      <c r="G1588" s="2200" t="str">
        <f t="shared" si="99"/>
        <v>44270</v>
      </c>
      <c r="H1588" s="2200">
        <f>--SUBTOTAL(3,C$2:C1588)</f>
        <v>99</v>
      </c>
    </row>
    <row r="1589" spans="1:8" hidden="1" x14ac:dyDescent="0.15">
      <c r="A1589" s="2200" t="s">
        <v>11502</v>
      </c>
      <c r="B1589" s="2200" t="s">
        <v>13890</v>
      </c>
      <c r="C1589" s="2200" t="s">
        <v>13891</v>
      </c>
      <c r="D1589" s="2200" t="str">
        <f t="shared" si="96"/>
        <v>ME</v>
      </c>
      <c r="E1589" s="2200">
        <f t="shared" si="97"/>
        <v>14</v>
      </c>
      <c r="F1589" s="2200" t="str">
        <f t="shared" si="98"/>
        <v>23</v>
      </c>
      <c r="G1589" s="2200" t="str">
        <f t="shared" si="99"/>
        <v>44340</v>
      </c>
      <c r="H1589" s="2200">
        <f>--SUBTOTAL(3,C$2:C1589)</f>
        <v>99</v>
      </c>
    </row>
    <row r="1590" spans="1:8" hidden="1" x14ac:dyDescent="0.15">
      <c r="A1590" s="2200" t="s">
        <v>11502</v>
      </c>
      <c r="B1590" s="2200" t="s">
        <v>13892</v>
      </c>
      <c r="C1590" s="2200" t="s">
        <v>13893</v>
      </c>
      <c r="D1590" s="2200" t="str">
        <f t="shared" si="96"/>
        <v>ME</v>
      </c>
      <c r="E1590" s="2200">
        <f t="shared" si="97"/>
        <v>20</v>
      </c>
      <c r="F1590" s="2200" t="str">
        <f t="shared" si="98"/>
        <v>23</v>
      </c>
      <c r="G1590" s="2200" t="str">
        <f t="shared" si="99"/>
        <v>44585</v>
      </c>
      <c r="H1590" s="2200">
        <f>--SUBTOTAL(3,C$2:C1590)</f>
        <v>99</v>
      </c>
    </row>
    <row r="1591" spans="1:8" hidden="1" x14ac:dyDescent="0.15">
      <c r="A1591" s="2200" t="s">
        <v>11502</v>
      </c>
      <c r="B1591" s="2200" t="s">
        <v>13894</v>
      </c>
      <c r="C1591" s="2200" t="s">
        <v>13895</v>
      </c>
      <c r="D1591" s="2200" t="str">
        <f t="shared" si="96"/>
        <v>ME</v>
      </c>
      <c r="E1591" s="2200">
        <f t="shared" si="97"/>
        <v>16</v>
      </c>
      <c r="F1591" s="2200" t="str">
        <f t="shared" si="98"/>
        <v>23</v>
      </c>
      <c r="G1591" s="2200" t="str">
        <f t="shared" si="99"/>
        <v>44760</v>
      </c>
      <c r="H1591" s="2200">
        <f>--SUBTOTAL(3,C$2:C1591)</f>
        <v>99</v>
      </c>
    </row>
    <row r="1592" spans="1:8" hidden="1" x14ac:dyDescent="0.15">
      <c r="A1592" s="2200" t="s">
        <v>11502</v>
      </c>
      <c r="B1592" s="2200" t="s">
        <v>13896</v>
      </c>
      <c r="C1592" s="2200" t="s">
        <v>13897</v>
      </c>
      <c r="D1592" s="2200" t="str">
        <f t="shared" si="96"/>
        <v>ME</v>
      </c>
      <c r="E1592" s="2200">
        <f t="shared" si="97"/>
        <v>13</v>
      </c>
      <c r="F1592" s="2200" t="str">
        <f t="shared" si="98"/>
        <v>23</v>
      </c>
      <c r="G1592" s="2200" t="str">
        <f t="shared" si="99"/>
        <v>44830</v>
      </c>
      <c r="H1592" s="2200">
        <f>--SUBTOTAL(3,C$2:C1592)</f>
        <v>99</v>
      </c>
    </row>
    <row r="1593" spans="1:8" hidden="1" x14ac:dyDescent="0.15">
      <c r="A1593" s="2200" t="s">
        <v>11502</v>
      </c>
      <c r="B1593" s="2200" t="s">
        <v>13898</v>
      </c>
      <c r="C1593" s="2200" t="s">
        <v>13899</v>
      </c>
      <c r="D1593" s="2200" t="str">
        <f t="shared" si="96"/>
        <v>ME</v>
      </c>
      <c r="E1593" s="2200">
        <f t="shared" si="97"/>
        <v>12</v>
      </c>
      <c r="F1593" s="2200" t="str">
        <f t="shared" si="98"/>
        <v>23</v>
      </c>
      <c r="G1593" s="2200" t="str">
        <f t="shared" si="99"/>
        <v>45005</v>
      </c>
      <c r="H1593" s="2200">
        <f>--SUBTOTAL(3,C$2:C1593)</f>
        <v>99</v>
      </c>
    </row>
    <row r="1594" spans="1:8" hidden="1" x14ac:dyDescent="0.15">
      <c r="A1594" s="2200" t="s">
        <v>11502</v>
      </c>
      <c r="B1594" s="2200" t="s">
        <v>13900</v>
      </c>
      <c r="C1594" s="2200" t="s">
        <v>13901</v>
      </c>
      <c r="D1594" s="2200" t="str">
        <f t="shared" si="96"/>
        <v>ME</v>
      </c>
      <c r="E1594" s="2200">
        <f t="shared" si="97"/>
        <v>12</v>
      </c>
      <c r="F1594" s="2200" t="str">
        <f t="shared" si="98"/>
        <v>23</v>
      </c>
      <c r="G1594" s="2200" t="str">
        <f t="shared" si="99"/>
        <v>45110</v>
      </c>
      <c r="H1594" s="2200">
        <f>--SUBTOTAL(3,C$2:C1594)</f>
        <v>99</v>
      </c>
    </row>
    <row r="1595" spans="1:8" hidden="1" x14ac:dyDescent="0.15">
      <c r="A1595" s="2200" t="s">
        <v>11502</v>
      </c>
      <c r="B1595" s="2200" t="s">
        <v>13902</v>
      </c>
      <c r="C1595" s="2200" t="s">
        <v>13903</v>
      </c>
      <c r="D1595" s="2200" t="str">
        <f t="shared" si="96"/>
        <v>ME</v>
      </c>
      <c r="E1595" s="2200">
        <f t="shared" si="97"/>
        <v>13</v>
      </c>
      <c r="F1595" s="2200" t="str">
        <f t="shared" si="98"/>
        <v>23</v>
      </c>
      <c r="G1595" s="2200" t="str">
        <f t="shared" si="99"/>
        <v>45180</v>
      </c>
      <c r="H1595" s="2200">
        <f>--SUBTOTAL(3,C$2:C1595)</f>
        <v>99</v>
      </c>
    </row>
    <row r="1596" spans="1:8" hidden="1" x14ac:dyDescent="0.15">
      <c r="A1596" s="2200" t="s">
        <v>11502</v>
      </c>
      <c r="B1596" s="2200" t="s">
        <v>13904</v>
      </c>
      <c r="C1596" s="2200" t="s">
        <v>13905</v>
      </c>
      <c r="D1596" s="2200" t="str">
        <f t="shared" si="96"/>
        <v>ME</v>
      </c>
      <c r="E1596" s="2200">
        <f t="shared" si="97"/>
        <v>12</v>
      </c>
      <c r="F1596" s="2200" t="str">
        <f t="shared" si="98"/>
        <v>23</v>
      </c>
      <c r="G1596" s="2200" t="str">
        <f t="shared" si="99"/>
        <v>45285</v>
      </c>
      <c r="H1596" s="2200">
        <f>--SUBTOTAL(3,C$2:C1596)</f>
        <v>99</v>
      </c>
    </row>
    <row r="1597" spans="1:8" hidden="1" x14ac:dyDescent="0.15">
      <c r="A1597" s="2200" t="s">
        <v>11502</v>
      </c>
      <c r="B1597" s="2200" t="s">
        <v>13906</v>
      </c>
      <c r="C1597" s="2200" t="s">
        <v>13907</v>
      </c>
      <c r="D1597" s="2200" t="str">
        <f t="shared" si="96"/>
        <v>ME</v>
      </c>
      <c r="E1597" s="2200">
        <f t="shared" si="97"/>
        <v>15</v>
      </c>
      <c r="F1597" s="2200" t="str">
        <f t="shared" si="98"/>
        <v>23</v>
      </c>
      <c r="G1597" s="2200" t="str">
        <f t="shared" si="99"/>
        <v>45600</v>
      </c>
      <c r="H1597" s="2200">
        <f>--SUBTOTAL(3,C$2:C1597)</f>
        <v>99</v>
      </c>
    </row>
    <row r="1598" spans="1:8" hidden="1" x14ac:dyDescent="0.15">
      <c r="A1598" s="2200" t="s">
        <v>11502</v>
      </c>
      <c r="B1598" s="2200" t="s">
        <v>13908</v>
      </c>
      <c r="C1598" s="2200" t="s">
        <v>13909</v>
      </c>
      <c r="D1598" s="2200" t="str">
        <f t="shared" si="96"/>
        <v>ME</v>
      </c>
      <c r="E1598" s="2200">
        <f t="shared" si="97"/>
        <v>13</v>
      </c>
      <c r="F1598" s="2200" t="str">
        <f t="shared" si="98"/>
        <v>23</v>
      </c>
      <c r="G1598" s="2200" t="str">
        <f t="shared" si="99"/>
        <v>45670</v>
      </c>
      <c r="H1598" s="2200">
        <f>--SUBTOTAL(3,C$2:C1598)</f>
        <v>99</v>
      </c>
    </row>
    <row r="1599" spans="1:8" hidden="1" x14ac:dyDescent="0.15">
      <c r="A1599" s="2200" t="s">
        <v>11502</v>
      </c>
      <c r="B1599" s="2200" t="s">
        <v>13910</v>
      </c>
      <c r="C1599" s="2200" t="s">
        <v>13911</v>
      </c>
      <c r="D1599" s="2200" t="str">
        <f t="shared" si="96"/>
        <v>ME</v>
      </c>
      <c r="E1599" s="2200">
        <f t="shared" si="97"/>
        <v>17</v>
      </c>
      <c r="F1599" s="2200" t="str">
        <f t="shared" si="98"/>
        <v>23</v>
      </c>
      <c r="G1599" s="2200" t="str">
        <f t="shared" si="99"/>
        <v>45810</v>
      </c>
      <c r="H1599" s="2200">
        <f>--SUBTOTAL(3,C$2:C1599)</f>
        <v>99</v>
      </c>
    </row>
    <row r="1600" spans="1:8" hidden="1" x14ac:dyDescent="0.15">
      <c r="A1600" s="2200" t="s">
        <v>11443</v>
      </c>
      <c r="B1600" s="2200" t="s">
        <v>13912</v>
      </c>
      <c r="C1600" s="2200" t="s">
        <v>13913</v>
      </c>
      <c r="D1600" s="2200" t="str">
        <f t="shared" si="96"/>
        <v>ME</v>
      </c>
      <c r="E1600" s="2200">
        <f t="shared" si="97"/>
        <v>12</v>
      </c>
      <c r="F1600" s="2200" t="str">
        <f t="shared" si="98"/>
        <v>23</v>
      </c>
      <c r="G1600" s="2200" t="str">
        <f t="shared" si="99"/>
        <v>81860</v>
      </c>
      <c r="H1600" s="2200">
        <f>--SUBTOTAL(3,C$2:C1600)</f>
        <v>99</v>
      </c>
    </row>
    <row r="1601" spans="1:8" hidden="1" x14ac:dyDescent="0.15">
      <c r="A1601" s="2200" t="s">
        <v>11502</v>
      </c>
      <c r="B1601" s="2200" t="s">
        <v>13914</v>
      </c>
      <c r="C1601" s="2200" t="s">
        <v>13915</v>
      </c>
      <c r="D1601" s="2200" t="str">
        <f t="shared" si="96"/>
        <v>ME</v>
      </c>
      <c r="E1601" s="2200">
        <f t="shared" si="97"/>
        <v>10</v>
      </c>
      <c r="F1601" s="2200" t="str">
        <f t="shared" si="98"/>
        <v>23</v>
      </c>
      <c r="G1601" s="2200" t="str">
        <f t="shared" si="99"/>
        <v>46020</v>
      </c>
      <c r="H1601" s="2200">
        <f>--SUBTOTAL(3,C$2:C1601)</f>
        <v>99</v>
      </c>
    </row>
    <row r="1602" spans="1:8" hidden="1" x14ac:dyDescent="0.15">
      <c r="A1602" s="2200" t="s">
        <v>11502</v>
      </c>
      <c r="B1602" s="2200" t="s">
        <v>13916</v>
      </c>
      <c r="C1602" s="2200" t="s">
        <v>13917</v>
      </c>
      <c r="D1602" s="2200" t="str">
        <f t="shared" ref="D1602:D1665" si="100">MID(C1602,E1602+2,2)</f>
        <v>ME</v>
      </c>
      <c r="E1602" s="2200">
        <f t="shared" ref="E1602:E1665" si="101">FIND(",",C1602)</f>
        <v>19</v>
      </c>
      <c r="F1602" s="2200" t="str">
        <f t="shared" si="98"/>
        <v>23</v>
      </c>
      <c r="G1602" s="2200" t="str">
        <f t="shared" si="99"/>
        <v>46105</v>
      </c>
      <c r="H1602" s="2200">
        <f>--SUBTOTAL(3,C$2:C1602)</f>
        <v>99</v>
      </c>
    </row>
    <row r="1603" spans="1:8" hidden="1" x14ac:dyDescent="0.15">
      <c r="A1603" s="2200" t="s">
        <v>11502</v>
      </c>
      <c r="B1603" s="2200" t="s">
        <v>13918</v>
      </c>
      <c r="C1603" s="2200" t="s">
        <v>13919</v>
      </c>
      <c r="D1603" s="2200" t="str">
        <f t="shared" si="100"/>
        <v>ME</v>
      </c>
      <c r="E1603" s="2200">
        <f t="shared" si="101"/>
        <v>11</v>
      </c>
      <c r="F1603" s="2200" t="str">
        <f t="shared" ref="F1603:F1666" si="102">MID(B1603,3,2)</f>
        <v>23</v>
      </c>
      <c r="G1603" s="2200" t="str">
        <f t="shared" ref="G1603:G1666" si="103">MID(B1603,5,5)</f>
        <v>46160</v>
      </c>
      <c r="H1603" s="2200">
        <f>--SUBTOTAL(3,C$2:C1603)</f>
        <v>99</v>
      </c>
    </row>
    <row r="1604" spans="1:8" hidden="1" x14ac:dyDescent="0.15">
      <c r="A1604" s="2200" t="s">
        <v>11502</v>
      </c>
      <c r="B1604" s="2200" t="s">
        <v>13920</v>
      </c>
      <c r="C1604" s="2200" t="s">
        <v>13921</v>
      </c>
      <c r="D1604" s="2200" t="str">
        <f t="shared" si="100"/>
        <v>ME</v>
      </c>
      <c r="E1604" s="2200">
        <f t="shared" si="101"/>
        <v>20</v>
      </c>
      <c r="F1604" s="2200" t="str">
        <f t="shared" si="102"/>
        <v>23</v>
      </c>
      <c r="G1604" s="2200" t="str">
        <f t="shared" si="103"/>
        <v>46335</v>
      </c>
      <c r="H1604" s="2200">
        <f>--SUBTOTAL(3,C$2:C1604)</f>
        <v>99</v>
      </c>
    </row>
    <row r="1605" spans="1:8" hidden="1" x14ac:dyDescent="0.15">
      <c r="A1605" s="2200" t="s">
        <v>11502</v>
      </c>
      <c r="B1605" s="2200" t="s">
        <v>13922</v>
      </c>
      <c r="C1605" s="2200" t="s">
        <v>13923</v>
      </c>
      <c r="D1605" s="2200" t="str">
        <f t="shared" si="100"/>
        <v>ME</v>
      </c>
      <c r="E1605" s="2200">
        <f t="shared" si="101"/>
        <v>14</v>
      </c>
      <c r="F1605" s="2200" t="str">
        <f t="shared" si="102"/>
        <v>23</v>
      </c>
      <c r="G1605" s="2200" t="str">
        <f t="shared" si="103"/>
        <v>46405</v>
      </c>
      <c r="H1605" s="2200">
        <f>--SUBTOTAL(3,C$2:C1605)</f>
        <v>99</v>
      </c>
    </row>
    <row r="1606" spans="1:8" hidden="1" x14ac:dyDescent="0.15">
      <c r="A1606" s="2200" t="s">
        <v>11502</v>
      </c>
      <c r="B1606" s="2200" t="s">
        <v>13924</v>
      </c>
      <c r="C1606" s="2200" t="s">
        <v>13925</v>
      </c>
      <c r="D1606" s="2200" t="str">
        <f t="shared" si="100"/>
        <v>ME</v>
      </c>
      <c r="E1606" s="2200">
        <f t="shared" si="101"/>
        <v>12</v>
      </c>
      <c r="F1606" s="2200" t="str">
        <f t="shared" si="102"/>
        <v>23</v>
      </c>
      <c r="G1606" s="2200" t="str">
        <f t="shared" si="103"/>
        <v>46475</v>
      </c>
      <c r="H1606" s="2200">
        <f>--SUBTOTAL(3,C$2:C1606)</f>
        <v>99</v>
      </c>
    </row>
    <row r="1607" spans="1:8" hidden="1" x14ac:dyDescent="0.15">
      <c r="A1607" s="2200" t="s">
        <v>11502</v>
      </c>
      <c r="B1607" s="2200" t="s">
        <v>13926</v>
      </c>
      <c r="C1607" s="2200" t="s">
        <v>13927</v>
      </c>
      <c r="D1607" s="2200" t="str">
        <f t="shared" si="100"/>
        <v>ME</v>
      </c>
      <c r="E1607" s="2200">
        <f t="shared" si="101"/>
        <v>12</v>
      </c>
      <c r="F1607" s="2200" t="str">
        <f t="shared" si="102"/>
        <v>23</v>
      </c>
      <c r="G1607" s="2200" t="str">
        <f t="shared" si="103"/>
        <v>46580</v>
      </c>
      <c r="H1607" s="2200">
        <f>--SUBTOTAL(3,C$2:C1607)</f>
        <v>99</v>
      </c>
    </row>
    <row r="1608" spans="1:8" hidden="1" x14ac:dyDescent="0.15">
      <c r="A1608" s="2200" t="s">
        <v>11502</v>
      </c>
      <c r="B1608" s="2200" t="s">
        <v>13928</v>
      </c>
      <c r="C1608" s="2200" t="s">
        <v>13929</v>
      </c>
      <c r="D1608" s="2200" t="str">
        <f t="shared" si="100"/>
        <v>ME</v>
      </c>
      <c r="E1608" s="2200">
        <f t="shared" si="101"/>
        <v>16</v>
      </c>
      <c r="F1608" s="2200" t="str">
        <f t="shared" si="102"/>
        <v>23</v>
      </c>
      <c r="G1608" s="2200" t="str">
        <f t="shared" si="103"/>
        <v>46685</v>
      </c>
      <c r="H1608" s="2200">
        <f>--SUBTOTAL(3,C$2:C1608)</f>
        <v>99</v>
      </c>
    </row>
    <row r="1609" spans="1:8" hidden="1" x14ac:dyDescent="0.15">
      <c r="A1609" s="2200" t="s">
        <v>11502</v>
      </c>
      <c r="B1609" s="2200" t="s">
        <v>13930</v>
      </c>
      <c r="C1609" s="2200" t="s">
        <v>13931</v>
      </c>
      <c r="D1609" s="2200" t="str">
        <f t="shared" si="100"/>
        <v>ME</v>
      </c>
      <c r="E1609" s="2200">
        <f t="shared" si="101"/>
        <v>15</v>
      </c>
      <c r="F1609" s="2200" t="str">
        <f t="shared" si="102"/>
        <v>23</v>
      </c>
      <c r="G1609" s="2200" t="str">
        <f t="shared" si="103"/>
        <v>46790</v>
      </c>
      <c r="H1609" s="2200">
        <f>--SUBTOTAL(3,C$2:C1609)</f>
        <v>99</v>
      </c>
    </row>
    <row r="1610" spans="1:8" hidden="1" x14ac:dyDescent="0.15">
      <c r="A1610" s="2200" t="s">
        <v>11502</v>
      </c>
      <c r="B1610" s="2200" t="s">
        <v>13932</v>
      </c>
      <c r="C1610" s="2200" t="s">
        <v>13933</v>
      </c>
      <c r="D1610" s="2200" t="str">
        <f t="shared" si="100"/>
        <v>ME</v>
      </c>
      <c r="E1610" s="2200">
        <f t="shared" si="101"/>
        <v>17</v>
      </c>
      <c r="F1610" s="2200" t="str">
        <f t="shared" si="102"/>
        <v>23</v>
      </c>
      <c r="G1610" s="2200" t="str">
        <f t="shared" si="103"/>
        <v>47140</v>
      </c>
      <c r="H1610" s="2200">
        <f>--SUBTOTAL(3,C$2:C1610)</f>
        <v>99</v>
      </c>
    </row>
    <row r="1611" spans="1:8" hidden="1" x14ac:dyDescent="0.15">
      <c r="A1611" s="2200" t="s">
        <v>11502</v>
      </c>
      <c r="B1611" s="2200" t="s">
        <v>13934</v>
      </c>
      <c r="C1611" s="2200" t="s">
        <v>13935</v>
      </c>
      <c r="D1611" s="2200" t="str">
        <f t="shared" si="100"/>
        <v>ME</v>
      </c>
      <c r="E1611" s="2200">
        <f t="shared" si="101"/>
        <v>16</v>
      </c>
      <c r="F1611" s="2200" t="str">
        <f t="shared" si="102"/>
        <v>23</v>
      </c>
      <c r="G1611" s="2200" t="str">
        <f t="shared" si="103"/>
        <v>47175</v>
      </c>
      <c r="H1611" s="2200">
        <f>--SUBTOTAL(3,C$2:C1611)</f>
        <v>99</v>
      </c>
    </row>
    <row r="1612" spans="1:8" hidden="1" x14ac:dyDescent="0.15">
      <c r="A1612" s="2200" t="s">
        <v>11502</v>
      </c>
      <c r="B1612" s="2200" t="s">
        <v>13936</v>
      </c>
      <c r="C1612" s="2200" t="s">
        <v>13937</v>
      </c>
      <c r="D1612" s="2200" t="str">
        <f t="shared" si="100"/>
        <v>ME</v>
      </c>
      <c r="E1612" s="2200">
        <f t="shared" si="101"/>
        <v>13</v>
      </c>
      <c r="F1612" s="2200" t="str">
        <f t="shared" si="102"/>
        <v>23</v>
      </c>
      <c r="G1612" s="2200" t="str">
        <f t="shared" si="103"/>
        <v>47245</v>
      </c>
      <c r="H1612" s="2200">
        <f>--SUBTOTAL(3,C$2:C1612)</f>
        <v>99</v>
      </c>
    </row>
    <row r="1613" spans="1:8" hidden="1" x14ac:dyDescent="0.15">
      <c r="A1613" s="2200" t="s">
        <v>11502</v>
      </c>
      <c r="B1613" s="2200" t="s">
        <v>13938</v>
      </c>
      <c r="C1613" s="2200" t="s">
        <v>13939</v>
      </c>
      <c r="D1613" s="2200" t="str">
        <f t="shared" si="100"/>
        <v>ME</v>
      </c>
      <c r="E1613" s="2200">
        <f t="shared" si="101"/>
        <v>12</v>
      </c>
      <c r="F1613" s="2200" t="str">
        <f t="shared" si="102"/>
        <v>23</v>
      </c>
      <c r="G1613" s="2200" t="str">
        <f t="shared" si="103"/>
        <v>47455</v>
      </c>
      <c r="H1613" s="2200">
        <f>--SUBTOTAL(3,C$2:C1613)</f>
        <v>99</v>
      </c>
    </row>
    <row r="1614" spans="1:8" hidden="1" x14ac:dyDescent="0.15">
      <c r="A1614" s="2200" t="s">
        <v>11502</v>
      </c>
      <c r="B1614" s="2200" t="s">
        <v>13940</v>
      </c>
      <c r="C1614" s="2200" t="s">
        <v>13941</v>
      </c>
      <c r="D1614" s="2200" t="str">
        <f t="shared" si="100"/>
        <v>ME</v>
      </c>
      <c r="E1614" s="2200">
        <f t="shared" si="101"/>
        <v>17</v>
      </c>
      <c r="F1614" s="2200" t="str">
        <f t="shared" si="102"/>
        <v>23</v>
      </c>
      <c r="G1614" s="2200" t="str">
        <f t="shared" si="103"/>
        <v>47560</v>
      </c>
      <c r="H1614" s="2200">
        <f>--SUBTOTAL(3,C$2:C1614)</f>
        <v>99</v>
      </c>
    </row>
    <row r="1615" spans="1:8" hidden="1" x14ac:dyDescent="0.15">
      <c r="A1615" s="2200" t="s">
        <v>11502</v>
      </c>
      <c r="B1615" s="2200" t="s">
        <v>13942</v>
      </c>
      <c r="C1615" s="2200" t="s">
        <v>13943</v>
      </c>
      <c r="D1615" s="2200" t="str">
        <f t="shared" si="100"/>
        <v>ME</v>
      </c>
      <c r="E1615" s="2200">
        <f t="shared" si="101"/>
        <v>18</v>
      </c>
      <c r="F1615" s="2200" t="str">
        <f t="shared" si="102"/>
        <v>23</v>
      </c>
      <c r="G1615" s="2200" t="str">
        <f t="shared" si="103"/>
        <v>47630</v>
      </c>
      <c r="H1615" s="2200">
        <f>--SUBTOTAL(3,C$2:C1615)</f>
        <v>99</v>
      </c>
    </row>
    <row r="1616" spans="1:8" hidden="1" x14ac:dyDescent="0.15">
      <c r="A1616" s="2200" t="s">
        <v>11502</v>
      </c>
      <c r="B1616" s="2200" t="s">
        <v>13944</v>
      </c>
      <c r="C1616" s="2200" t="s">
        <v>13945</v>
      </c>
      <c r="D1616" s="2200" t="str">
        <f t="shared" si="100"/>
        <v>ME</v>
      </c>
      <c r="E1616" s="2200">
        <f t="shared" si="101"/>
        <v>18</v>
      </c>
      <c r="F1616" s="2200" t="str">
        <f t="shared" si="102"/>
        <v>23</v>
      </c>
      <c r="G1616" s="2200" t="str">
        <f t="shared" si="103"/>
        <v>47770</v>
      </c>
      <c r="H1616" s="2200">
        <f>--SUBTOTAL(3,C$2:C1616)</f>
        <v>99</v>
      </c>
    </row>
    <row r="1617" spans="1:8" hidden="1" x14ac:dyDescent="0.15">
      <c r="A1617" s="2200" t="s">
        <v>11502</v>
      </c>
      <c r="B1617" s="2200" t="s">
        <v>13946</v>
      </c>
      <c r="C1617" s="2200" t="s">
        <v>13947</v>
      </c>
      <c r="D1617" s="2200" t="str">
        <f t="shared" si="100"/>
        <v>ME</v>
      </c>
      <c r="E1617" s="2200">
        <f t="shared" si="101"/>
        <v>12</v>
      </c>
      <c r="F1617" s="2200" t="str">
        <f t="shared" si="102"/>
        <v>23</v>
      </c>
      <c r="G1617" s="2200" t="str">
        <f t="shared" si="103"/>
        <v>48085</v>
      </c>
      <c r="H1617" s="2200">
        <f>--SUBTOTAL(3,C$2:C1617)</f>
        <v>99</v>
      </c>
    </row>
    <row r="1618" spans="1:8" hidden="1" x14ac:dyDescent="0.15">
      <c r="A1618" s="2200" t="s">
        <v>11502</v>
      </c>
      <c r="B1618" s="2200" t="s">
        <v>13948</v>
      </c>
      <c r="C1618" s="2200" t="s">
        <v>13949</v>
      </c>
      <c r="D1618" s="2200" t="str">
        <f t="shared" si="100"/>
        <v>ME</v>
      </c>
      <c r="E1618" s="2200">
        <f t="shared" si="101"/>
        <v>21</v>
      </c>
      <c r="F1618" s="2200" t="str">
        <f t="shared" si="102"/>
        <v>23</v>
      </c>
      <c r="G1618" s="2200" t="str">
        <f t="shared" si="103"/>
        <v>48120</v>
      </c>
      <c r="H1618" s="2200">
        <f>--SUBTOTAL(3,C$2:C1618)</f>
        <v>99</v>
      </c>
    </row>
    <row r="1619" spans="1:8" hidden="1" x14ac:dyDescent="0.15">
      <c r="A1619" s="2200" t="s">
        <v>11502</v>
      </c>
      <c r="B1619" s="2200" t="s">
        <v>13950</v>
      </c>
      <c r="C1619" s="2200" t="s">
        <v>13951</v>
      </c>
      <c r="D1619" s="2200" t="str">
        <f t="shared" si="100"/>
        <v>ME</v>
      </c>
      <c r="E1619" s="2200">
        <f t="shared" si="101"/>
        <v>16</v>
      </c>
      <c r="F1619" s="2200" t="str">
        <f t="shared" si="102"/>
        <v>23</v>
      </c>
      <c r="G1619" s="2200" t="str">
        <f t="shared" si="103"/>
        <v>48575</v>
      </c>
      <c r="H1619" s="2200">
        <f>--SUBTOTAL(3,C$2:C1619)</f>
        <v>99</v>
      </c>
    </row>
    <row r="1620" spans="1:8" hidden="1" x14ac:dyDescent="0.15">
      <c r="A1620" s="2200" t="s">
        <v>11502</v>
      </c>
      <c r="B1620" s="2200" t="s">
        <v>13952</v>
      </c>
      <c r="C1620" s="2200" t="s">
        <v>13953</v>
      </c>
      <c r="D1620" s="2200" t="str">
        <f t="shared" si="100"/>
        <v>ME</v>
      </c>
      <c r="E1620" s="2200">
        <f t="shared" si="101"/>
        <v>20</v>
      </c>
      <c r="F1620" s="2200" t="str">
        <f t="shared" si="102"/>
        <v>23</v>
      </c>
      <c r="G1620" s="2200" t="str">
        <f t="shared" si="103"/>
        <v>48820</v>
      </c>
      <c r="H1620" s="2200">
        <f>--SUBTOTAL(3,C$2:C1620)</f>
        <v>99</v>
      </c>
    </row>
    <row r="1621" spans="1:8" hidden="1" x14ac:dyDescent="0.15">
      <c r="A1621" s="2200" t="s">
        <v>11502</v>
      </c>
      <c r="B1621" s="2200" t="s">
        <v>13954</v>
      </c>
      <c r="C1621" s="2200" t="s">
        <v>13955</v>
      </c>
      <c r="D1621" s="2200" t="str">
        <f t="shared" si="100"/>
        <v>ME</v>
      </c>
      <c r="E1621" s="2200">
        <f t="shared" si="101"/>
        <v>18</v>
      </c>
      <c r="F1621" s="2200" t="str">
        <f t="shared" si="102"/>
        <v>23</v>
      </c>
      <c r="G1621" s="2200" t="str">
        <f t="shared" si="103"/>
        <v>48960</v>
      </c>
      <c r="H1621" s="2200">
        <f>--SUBTOTAL(3,C$2:C1621)</f>
        <v>99</v>
      </c>
    </row>
    <row r="1622" spans="1:8" hidden="1" x14ac:dyDescent="0.15">
      <c r="A1622" s="2200" t="s">
        <v>11502</v>
      </c>
      <c r="B1622" s="2200" t="s">
        <v>13956</v>
      </c>
      <c r="C1622" s="2200" t="s">
        <v>13957</v>
      </c>
      <c r="D1622" s="2200" t="str">
        <f t="shared" si="100"/>
        <v>ME</v>
      </c>
      <c r="E1622" s="2200">
        <f t="shared" si="101"/>
        <v>18</v>
      </c>
      <c r="F1622" s="2200" t="str">
        <f t="shared" si="102"/>
        <v>23</v>
      </c>
      <c r="G1622" s="2200" t="str">
        <f t="shared" si="103"/>
        <v>49205</v>
      </c>
      <c r="H1622" s="2200">
        <f>--SUBTOTAL(3,C$2:C1622)</f>
        <v>99</v>
      </c>
    </row>
    <row r="1623" spans="1:8" hidden="1" x14ac:dyDescent="0.15">
      <c r="A1623" s="2200" t="s">
        <v>11502</v>
      </c>
      <c r="B1623" s="2200" t="s">
        <v>13958</v>
      </c>
      <c r="C1623" s="2200" t="s">
        <v>13959</v>
      </c>
      <c r="D1623" s="2200" t="str">
        <f t="shared" si="100"/>
        <v>ME</v>
      </c>
      <c r="E1623" s="2200">
        <f t="shared" si="101"/>
        <v>16</v>
      </c>
      <c r="F1623" s="2200" t="str">
        <f t="shared" si="102"/>
        <v>23</v>
      </c>
      <c r="G1623" s="2200" t="str">
        <f t="shared" si="103"/>
        <v>49345</v>
      </c>
      <c r="H1623" s="2200">
        <f>--SUBTOTAL(3,C$2:C1623)</f>
        <v>99</v>
      </c>
    </row>
    <row r="1624" spans="1:8" hidden="1" x14ac:dyDescent="0.15">
      <c r="A1624" s="2200" t="s">
        <v>11502</v>
      </c>
      <c r="B1624" s="2200" t="s">
        <v>13960</v>
      </c>
      <c r="C1624" s="2200" t="s">
        <v>13961</v>
      </c>
      <c r="D1624" s="2200" t="str">
        <f t="shared" si="100"/>
        <v>ME</v>
      </c>
      <c r="E1624" s="2200">
        <f t="shared" si="101"/>
        <v>16</v>
      </c>
      <c r="F1624" s="2200" t="str">
        <f t="shared" si="102"/>
        <v>23</v>
      </c>
      <c r="G1624" s="2200" t="str">
        <f t="shared" si="103"/>
        <v>49415</v>
      </c>
      <c r="H1624" s="2200">
        <f>--SUBTOTAL(3,C$2:C1624)</f>
        <v>99</v>
      </c>
    </row>
    <row r="1625" spans="1:8" hidden="1" x14ac:dyDescent="0.15">
      <c r="A1625" s="2200" t="s">
        <v>11502</v>
      </c>
      <c r="B1625" s="2200" t="s">
        <v>13962</v>
      </c>
      <c r="C1625" s="2200" t="s">
        <v>13963</v>
      </c>
      <c r="D1625" s="2200" t="str">
        <f t="shared" si="100"/>
        <v>ME</v>
      </c>
      <c r="E1625" s="2200">
        <f t="shared" si="101"/>
        <v>18</v>
      </c>
      <c r="F1625" s="2200" t="str">
        <f t="shared" si="102"/>
        <v>23</v>
      </c>
      <c r="G1625" s="2200" t="str">
        <f t="shared" si="103"/>
        <v>49520</v>
      </c>
      <c r="H1625" s="2200">
        <f>--SUBTOTAL(3,C$2:C1625)</f>
        <v>99</v>
      </c>
    </row>
    <row r="1626" spans="1:8" hidden="1" x14ac:dyDescent="0.15">
      <c r="A1626" s="2200" t="s">
        <v>11502</v>
      </c>
      <c r="B1626" s="2200" t="s">
        <v>13964</v>
      </c>
      <c r="C1626" s="2200" t="s">
        <v>13965</v>
      </c>
      <c r="D1626" s="2200" t="str">
        <f t="shared" si="100"/>
        <v>ME</v>
      </c>
      <c r="E1626" s="2200">
        <f t="shared" si="101"/>
        <v>14</v>
      </c>
      <c r="F1626" s="2200" t="str">
        <f t="shared" si="102"/>
        <v>23</v>
      </c>
      <c r="G1626" s="2200" t="str">
        <f t="shared" si="103"/>
        <v>48505</v>
      </c>
      <c r="H1626" s="2200">
        <f>--SUBTOTAL(3,C$2:C1626)</f>
        <v>99</v>
      </c>
    </row>
    <row r="1627" spans="1:8" hidden="1" x14ac:dyDescent="0.15">
      <c r="A1627" s="2200" t="s">
        <v>11502</v>
      </c>
      <c r="B1627" s="2200" t="s">
        <v>13966</v>
      </c>
      <c r="C1627" s="2200" t="s">
        <v>13967</v>
      </c>
      <c r="D1627" s="2200" t="str">
        <f t="shared" si="100"/>
        <v>ME</v>
      </c>
      <c r="E1627" s="2200">
        <f t="shared" si="101"/>
        <v>15</v>
      </c>
      <c r="F1627" s="2200" t="str">
        <f t="shared" si="102"/>
        <v>23</v>
      </c>
      <c r="G1627" s="2200" t="str">
        <f t="shared" si="103"/>
        <v>48645</v>
      </c>
      <c r="H1627" s="2200">
        <f>--SUBTOTAL(3,C$2:C1627)</f>
        <v>99</v>
      </c>
    </row>
    <row r="1628" spans="1:8" hidden="1" x14ac:dyDescent="0.15">
      <c r="A1628" s="2200" t="s">
        <v>11502</v>
      </c>
      <c r="B1628" s="2200" t="s">
        <v>13968</v>
      </c>
      <c r="C1628" s="2200" t="s">
        <v>13969</v>
      </c>
      <c r="D1628" s="2200" t="str">
        <f t="shared" si="100"/>
        <v>ME</v>
      </c>
      <c r="E1628" s="2200">
        <f t="shared" si="101"/>
        <v>14</v>
      </c>
      <c r="F1628" s="2200" t="str">
        <f t="shared" si="102"/>
        <v>23</v>
      </c>
      <c r="G1628" s="2200" t="str">
        <f t="shared" si="103"/>
        <v>48750</v>
      </c>
      <c r="H1628" s="2200">
        <f>--SUBTOTAL(3,C$2:C1628)</f>
        <v>99</v>
      </c>
    </row>
    <row r="1629" spans="1:8" hidden="1" x14ac:dyDescent="0.15">
      <c r="A1629" s="2200" t="s">
        <v>11502</v>
      </c>
      <c r="B1629" s="2200" t="s">
        <v>13970</v>
      </c>
      <c r="C1629" s="2200" t="s">
        <v>13971</v>
      </c>
      <c r="D1629" s="2200" t="str">
        <f t="shared" si="100"/>
        <v>ME</v>
      </c>
      <c r="E1629" s="2200">
        <f t="shared" si="101"/>
        <v>13</v>
      </c>
      <c r="F1629" s="2200" t="str">
        <f t="shared" si="102"/>
        <v>23</v>
      </c>
      <c r="G1629" s="2200" t="str">
        <f t="shared" si="103"/>
        <v>49065</v>
      </c>
      <c r="H1629" s="2200">
        <f>--SUBTOTAL(3,C$2:C1629)</f>
        <v>99</v>
      </c>
    </row>
    <row r="1630" spans="1:8" hidden="1" x14ac:dyDescent="0.15">
      <c r="A1630" s="2200" t="s">
        <v>11502</v>
      </c>
      <c r="B1630" s="2200" t="s">
        <v>13972</v>
      </c>
      <c r="C1630" s="2200" t="s">
        <v>13973</v>
      </c>
      <c r="D1630" s="2200" t="str">
        <f t="shared" si="100"/>
        <v>ME</v>
      </c>
      <c r="E1630" s="2200">
        <f t="shared" si="101"/>
        <v>11</v>
      </c>
      <c r="F1630" s="2200" t="str">
        <f t="shared" si="102"/>
        <v>23</v>
      </c>
      <c r="G1630" s="2200" t="str">
        <f t="shared" si="103"/>
        <v>49275</v>
      </c>
      <c r="H1630" s="2200">
        <f>--SUBTOTAL(3,C$2:C1630)</f>
        <v>99</v>
      </c>
    </row>
    <row r="1631" spans="1:8" hidden="1" x14ac:dyDescent="0.15">
      <c r="A1631" s="2200" t="s">
        <v>11502</v>
      </c>
      <c r="B1631" s="2200" t="s">
        <v>13974</v>
      </c>
      <c r="C1631" s="2200" t="s">
        <v>13975</v>
      </c>
      <c r="D1631" s="2200" t="str">
        <f t="shared" si="100"/>
        <v>ME</v>
      </c>
      <c r="E1631" s="2200">
        <f t="shared" si="101"/>
        <v>15</v>
      </c>
      <c r="F1631" s="2200" t="str">
        <f t="shared" si="102"/>
        <v>23</v>
      </c>
      <c r="G1631" s="2200" t="str">
        <f t="shared" si="103"/>
        <v>49660</v>
      </c>
      <c r="H1631" s="2200">
        <f>--SUBTOTAL(3,C$2:C1631)</f>
        <v>99</v>
      </c>
    </row>
    <row r="1632" spans="1:8" hidden="1" x14ac:dyDescent="0.15">
      <c r="A1632" s="2200" t="s">
        <v>11502</v>
      </c>
      <c r="B1632" s="2200" t="s">
        <v>13976</v>
      </c>
      <c r="C1632" s="2200" t="s">
        <v>13977</v>
      </c>
      <c r="D1632" s="2200" t="str">
        <f t="shared" si="100"/>
        <v>ME</v>
      </c>
      <c r="E1632" s="2200">
        <f t="shared" si="101"/>
        <v>18</v>
      </c>
      <c r="F1632" s="2200" t="str">
        <f t="shared" si="102"/>
        <v>23</v>
      </c>
      <c r="G1632" s="2200" t="str">
        <f t="shared" si="103"/>
        <v>49835</v>
      </c>
      <c r="H1632" s="2200">
        <f>--SUBTOTAL(3,C$2:C1632)</f>
        <v>99</v>
      </c>
    </row>
    <row r="1633" spans="1:8" hidden="1" x14ac:dyDescent="0.15">
      <c r="A1633" s="2200" t="s">
        <v>11502</v>
      </c>
      <c r="B1633" s="2200" t="s">
        <v>13978</v>
      </c>
      <c r="C1633" s="2200" t="s">
        <v>13979</v>
      </c>
      <c r="D1633" s="2200" t="str">
        <f t="shared" si="100"/>
        <v>ME</v>
      </c>
      <c r="E1633" s="2200">
        <f t="shared" si="101"/>
        <v>19</v>
      </c>
      <c r="F1633" s="2200" t="str">
        <f t="shared" si="102"/>
        <v>23</v>
      </c>
      <c r="G1633" s="2200" t="str">
        <f t="shared" si="103"/>
        <v>50325</v>
      </c>
      <c r="H1633" s="2200">
        <f>--SUBTOTAL(3,C$2:C1633)</f>
        <v>99</v>
      </c>
    </row>
    <row r="1634" spans="1:8" hidden="1" x14ac:dyDescent="0.15">
      <c r="A1634" s="2200" t="s">
        <v>11502</v>
      </c>
      <c r="B1634" s="2200" t="s">
        <v>13980</v>
      </c>
      <c r="C1634" s="2200" t="s">
        <v>13981</v>
      </c>
      <c r="D1634" s="2200" t="str">
        <f t="shared" si="100"/>
        <v>ME</v>
      </c>
      <c r="E1634" s="2200">
        <f t="shared" si="101"/>
        <v>27</v>
      </c>
      <c r="F1634" s="2200" t="str">
        <f t="shared" si="102"/>
        <v>23</v>
      </c>
      <c r="G1634" s="2200" t="str">
        <f t="shared" si="103"/>
        <v>51400</v>
      </c>
      <c r="H1634" s="2200">
        <f>--SUBTOTAL(3,C$2:C1634)</f>
        <v>99</v>
      </c>
    </row>
    <row r="1635" spans="1:8" hidden="1" x14ac:dyDescent="0.15">
      <c r="A1635" s="2200" t="s">
        <v>11502</v>
      </c>
      <c r="B1635" s="2200" t="s">
        <v>13982</v>
      </c>
      <c r="C1635" s="2200" t="s">
        <v>13983</v>
      </c>
      <c r="D1635" s="2200" t="str">
        <f t="shared" si="100"/>
        <v>ME</v>
      </c>
      <c r="E1635" s="2200">
        <f t="shared" si="101"/>
        <v>17</v>
      </c>
      <c r="F1635" s="2200" t="str">
        <f t="shared" si="102"/>
        <v>23</v>
      </c>
      <c r="G1635" s="2200" t="str">
        <f t="shared" si="103"/>
        <v>51620</v>
      </c>
      <c r="H1635" s="2200">
        <f>--SUBTOTAL(3,C$2:C1635)</f>
        <v>99</v>
      </c>
    </row>
    <row r="1636" spans="1:8" hidden="1" x14ac:dyDescent="0.15">
      <c r="A1636" s="2200" t="s">
        <v>11502</v>
      </c>
      <c r="B1636" s="2200" t="s">
        <v>13984</v>
      </c>
      <c r="C1636" s="2200" t="s">
        <v>13985</v>
      </c>
      <c r="D1636" s="2200" t="str">
        <f t="shared" si="100"/>
        <v>ME</v>
      </c>
      <c r="E1636" s="2200">
        <f t="shared" si="101"/>
        <v>25</v>
      </c>
      <c r="F1636" s="2200" t="str">
        <f t="shared" si="102"/>
        <v>23</v>
      </c>
      <c r="G1636" s="2200" t="str">
        <f t="shared" si="103"/>
        <v>52575</v>
      </c>
      <c r="H1636" s="2200">
        <f>--SUBTOTAL(3,C$2:C1636)</f>
        <v>99</v>
      </c>
    </row>
    <row r="1637" spans="1:8" hidden="1" x14ac:dyDescent="0.15">
      <c r="A1637" s="2200" t="s">
        <v>11502</v>
      </c>
      <c r="B1637" s="2200" t="s">
        <v>13986</v>
      </c>
      <c r="C1637" s="2200" t="s">
        <v>13987</v>
      </c>
      <c r="D1637" s="2200" t="str">
        <f t="shared" si="100"/>
        <v>ME</v>
      </c>
      <c r="E1637" s="2200">
        <f t="shared" si="101"/>
        <v>28</v>
      </c>
      <c r="F1637" s="2200" t="str">
        <f t="shared" si="102"/>
        <v>23</v>
      </c>
      <c r="G1637" s="2200" t="str">
        <f t="shared" si="103"/>
        <v>52710</v>
      </c>
      <c r="H1637" s="2200">
        <f>--SUBTOTAL(3,C$2:C1637)</f>
        <v>99</v>
      </c>
    </row>
    <row r="1638" spans="1:8" hidden="1" x14ac:dyDescent="0.15">
      <c r="A1638" s="2200" t="s">
        <v>11502</v>
      </c>
      <c r="B1638" s="2200" t="s">
        <v>13988</v>
      </c>
      <c r="C1638" s="2200" t="s">
        <v>13989</v>
      </c>
      <c r="D1638" s="2200" t="str">
        <f t="shared" si="100"/>
        <v>ME</v>
      </c>
      <c r="E1638" s="2200">
        <f t="shared" si="101"/>
        <v>29</v>
      </c>
      <c r="F1638" s="2200" t="str">
        <f t="shared" si="102"/>
        <v>23</v>
      </c>
      <c r="G1638" s="2200" t="str">
        <f t="shared" si="103"/>
        <v>53500</v>
      </c>
      <c r="H1638" s="2200">
        <f>--SUBTOTAL(3,C$2:C1638)</f>
        <v>99</v>
      </c>
    </row>
    <row r="1639" spans="1:8" hidden="1" x14ac:dyDescent="0.15">
      <c r="A1639" s="2200" t="s">
        <v>11502</v>
      </c>
      <c r="B1639" s="2200" t="s">
        <v>13990</v>
      </c>
      <c r="C1639" s="2200" t="s">
        <v>13991</v>
      </c>
      <c r="D1639" s="2200" t="str">
        <f t="shared" si="100"/>
        <v>ME</v>
      </c>
      <c r="E1639" s="2200">
        <f t="shared" si="101"/>
        <v>20</v>
      </c>
      <c r="F1639" s="2200" t="str">
        <f t="shared" si="102"/>
        <v>23</v>
      </c>
      <c r="G1639" s="2200" t="str">
        <f t="shared" si="103"/>
        <v>53860</v>
      </c>
      <c r="H1639" s="2200">
        <f>--SUBTOTAL(3,C$2:C1639)</f>
        <v>99</v>
      </c>
    </row>
    <row r="1640" spans="1:8" hidden="1" x14ac:dyDescent="0.15">
      <c r="A1640" s="2200" t="s">
        <v>11502</v>
      </c>
      <c r="B1640" s="2200" t="s">
        <v>13992</v>
      </c>
      <c r="C1640" s="2200" t="s">
        <v>13993</v>
      </c>
      <c r="D1640" s="2200" t="str">
        <f t="shared" si="100"/>
        <v>ME</v>
      </c>
      <c r="E1640" s="2200">
        <f t="shared" si="101"/>
        <v>34</v>
      </c>
      <c r="F1640" s="2200" t="str">
        <f t="shared" si="102"/>
        <v>23</v>
      </c>
      <c r="G1640" s="2200" t="str">
        <f t="shared" si="103"/>
        <v>51105</v>
      </c>
      <c r="H1640" s="2200">
        <f>--SUBTOTAL(3,C$2:C1640)</f>
        <v>99</v>
      </c>
    </row>
    <row r="1641" spans="1:8" hidden="1" x14ac:dyDescent="0.15">
      <c r="A1641" s="2200" t="s">
        <v>11502</v>
      </c>
      <c r="B1641" s="2200" t="s">
        <v>13994</v>
      </c>
      <c r="C1641" s="2200" t="s">
        <v>13995</v>
      </c>
      <c r="D1641" s="2200" t="str">
        <f t="shared" si="100"/>
        <v>ME</v>
      </c>
      <c r="E1641" s="2200">
        <f t="shared" si="101"/>
        <v>31</v>
      </c>
      <c r="F1641" s="2200" t="str">
        <f t="shared" si="102"/>
        <v>23</v>
      </c>
      <c r="G1641" s="2200" t="str">
        <f t="shared" si="103"/>
        <v>51114</v>
      </c>
      <c r="H1641" s="2200">
        <f>--SUBTOTAL(3,C$2:C1641)</f>
        <v>99</v>
      </c>
    </row>
    <row r="1642" spans="1:8" hidden="1" x14ac:dyDescent="0.15">
      <c r="A1642" s="2200" t="s">
        <v>11502</v>
      </c>
      <c r="B1642" s="2200" t="s">
        <v>13996</v>
      </c>
      <c r="C1642" s="2200" t="s">
        <v>13997</v>
      </c>
      <c r="D1642" s="2200" t="str">
        <f t="shared" si="100"/>
        <v>ME</v>
      </c>
      <c r="E1642" s="2200">
        <f t="shared" si="101"/>
        <v>16</v>
      </c>
      <c r="F1642" s="2200" t="str">
        <f t="shared" si="102"/>
        <v>23</v>
      </c>
      <c r="G1642" s="2200" t="str">
        <f t="shared" si="103"/>
        <v>51375</v>
      </c>
      <c r="H1642" s="2200">
        <f>--SUBTOTAL(3,C$2:C1642)</f>
        <v>99</v>
      </c>
    </row>
    <row r="1643" spans="1:8" hidden="1" x14ac:dyDescent="0.15">
      <c r="A1643" s="2200" t="s">
        <v>11502</v>
      </c>
      <c r="B1643" s="2200" t="s">
        <v>13998</v>
      </c>
      <c r="C1643" s="2200" t="s">
        <v>13999</v>
      </c>
      <c r="D1643" s="2200" t="str">
        <f t="shared" si="100"/>
        <v>ME</v>
      </c>
      <c r="E1643" s="2200">
        <f t="shared" si="101"/>
        <v>15</v>
      </c>
      <c r="F1643" s="2200" t="str">
        <f t="shared" si="102"/>
        <v>23</v>
      </c>
      <c r="G1643" s="2200" t="str">
        <f t="shared" si="103"/>
        <v>52845</v>
      </c>
      <c r="H1643" s="2200">
        <f>--SUBTOTAL(3,C$2:C1643)</f>
        <v>99</v>
      </c>
    </row>
    <row r="1644" spans="1:8" hidden="1" x14ac:dyDescent="0.15">
      <c r="A1644" s="2200" t="s">
        <v>11502</v>
      </c>
      <c r="B1644" s="2200" t="s">
        <v>14000</v>
      </c>
      <c r="C1644" s="2200" t="s">
        <v>14001</v>
      </c>
      <c r="D1644" s="2200" t="str">
        <f t="shared" si="100"/>
        <v>ME</v>
      </c>
      <c r="E1644" s="2200">
        <f t="shared" si="101"/>
        <v>32</v>
      </c>
      <c r="F1644" s="2200" t="str">
        <f t="shared" si="102"/>
        <v>23</v>
      </c>
      <c r="G1644" s="2200" t="str">
        <f t="shared" si="103"/>
        <v>53602</v>
      </c>
      <c r="H1644" s="2200">
        <f>--SUBTOTAL(3,C$2:C1644)</f>
        <v>99</v>
      </c>
    </row>
    <row r="1645" spans="1:8" hidden="1" x14ac:dyDescent="0.15">
      <c r="A1645" s="2200" t="s">
        <v>11502</v>
      </c>
      <c r="B1645" s="2200" t="s">
        <v>14002</v>
      </c>
      <c r="C1645" s="2200" t="s">
        <v>14003</v>
      </c>
      <c r="D1645" s="2200" t="str">
        <f t="shared" si="100"/>
        <v>ME</v>
      </c>
      <c r="E1645" s="2200">
        <f t="shared" si="101"/>
        <v>30</v>
      </c>
      <c r="F1645" s="2200" t="str">
        <f t="shared" si="102"/>
        <v>23</v>
      </c>
      <c r="G1645" s="2200" t="str">
        <f t="shared" si="103"/>
        <v>53620</v>
      </c>
      <c r="H1645" s="2200">
        <f>--SUBTOTAL(3,C$2:C1645)</f>
        <v>99</v>
      </c>
    </row>
    <row r="1646" spans="1:8" hidden="1" x14ac:dyDescent="0.15">
      <c r="A1646" s="2200" t="s">
        <v>11502</v>
      </c>
      <c r="B1646" s="2200" t="s">
        <v>14004</v>
      </c>
      <c r="C1646" s="2200" t="s">
        <v>14005</v>
      </c>
      <c r="D1646" s="2200" t="str">
        <f t="shared" si="100"/>
        <v>ME</v>
      </c>
      <c r="E1646" s="2200">
        <f t="shared" si="101"/>
        <v>34</v>
      </c>
      <c r="F1646" s="2200" t="str">
        <f t="shared" si="102"/>
        <v>23</v>
      </c>
      <c r="G1646" s="2200" t="str">
        <f t="shared" si="103"/>
        <v>53628</v>
      </c>
      <c r="H1646" s="2200">
        <f>--SUBTOTAL(3,C$2:C1646)</f>
        <v>99</v>
      </c>
    </row>
    <row r="1647" spans="1:8" hidden="1" x14ac:dyDescent="0.15">
      <c r="A1647" s="2200" t="s">
        <v>11502</v>
      </c>
      <c r="B1647" s="2200" t="s">
        <v>14006</v>
      </c>
      <c r="C1647" s="2200" t="s">
        <v>14007</v>
      </c>
      <c r="D1647" s="2200" t="str">
        <f t="shared" si="100"/>
        <v>ME</v>
      </c>
      <c r="E1647" s="2200">
        <f t="shared" si="101"/>
        <v>31</v>
      </c>
      <c r="F1647" s="2200" t="str">
        <f t="shared" si="102"/>
        <v>23</v>
      </c>
      <c r="G1647" s="2200" t="str">
        <f t="shared" si="103"/>
        <v>53636</v>
      </c>
      <c r="H1647" s="2200">
        <f>--SUBTOTAL(3,C$2:C1647)</f>
        <v>99</v>
      </c>
    </row>
    <row r="1648" spans="1:8" hidden="1" x14ac:dyDescent="0.15">
      <c r="A1648" s="2200" t="s">
        <v>11502</v>
      </c>
      <c r="B1648" s="2200" t="s">
        <v>14008</v>
      </c>
      <c r="C1648" s="2200" t="s">
        <v>14009</v>
      </c>
      <c r="D1648" s="2200" t="str">
        <f t="shared" si="100"/>
        <v>ME</v>
      </c>
      <c r="E1648" s="2200">
        <f t="shared" si="101"/>
        <v>12</v>
      </c>
      <c r="F1648" s="2200" t="str">
        <f t="shared" si="102"/>
        <v>23</v>
      </c>
      <c r="G1648" s="2200" t="str">
        <f t="shared" si="103"/>
        <v>54000</v>
      </c>
      <c r="H1648" s="2200">
        <f>--SUBTOTAL(3,C$2:C1648)</f>
        <v>99</v>
      </c>
    </row>
    <row r="1649" spans="1:8" hidden="1" x14ac:dyDescent="0.15">
      <c r="A1649" s="2200" t="s">
        <v>11502</v>
      </c>
      <c r="B1649" s="2200" t="s">
        <v>14010</v>
      </c>
      <c r="C1649" s="2200" t="s">
        <v>14011</v>
      </c>
      <c r="D1649" s="2200" t="str">
        <f t="shared" si="100"/>
        <v>ME</v>
      </c>
      <c r="E1649" s="2200">
        <f t="shared" si="101"/>
        <v>14</v>
      </c>
      <c r="F1649" s="2200" t="str">
        <f t="shared" si="102"/>
        <v>23</v>
      </c>
      <c r="G1649" s="2200" t="str">
        <f t="shared" si="103"/>
        <v>54385</v>
      </c>
      <c r="H1649" s="2200">
        <f>--SUBTOTAL(3,C$2:C1649)</f>
        <v>99</v>
      </c>
    </row>
    <row r="1650" spans="1:8" hidden="1" x14ac:dyDescent="0.15">
      <c r="A1650" s="2200" t="s">
        <v>11502</v>
      </c>
      <c r="B1650" s="2200" t="s">
        <v>14012</v>
      </c>
      <c r="C1650" s="2200" t="s">
        <v>14013</v>
      </c>
      <c r="D1650" s="2200" t="str">
        <f t="shared" si="100"/>
        <v>ME</v>
      </c>
      <c r="E1650" s="2200">
        <f t="shared" si="101"/>
        <v>13</v>
      </c>
      <c r="F1650" s="2200" t="str">
        <f t="shared" si="102"/>
        <v>23</v>
      </c>
      <c r="G1650" s="2200" t="str">
        <f t="shared" si="103"/>
        <v>54560</v>
      </c>
      <c r="H1650" s="2200">
        <f>--SUBTOTAL(3,C$2:C1650)</f>
        <v>99</v>
      </c>
    </row>
    <row r="1651" spans="1:8" hidden="1" x14ac:dyDescent="0.15">
      <c r="A1651" s="2200" t="s">
        <v>11502</v>
      </c>
      <c r="B1651" s="2200" t="s">
        <v>14014</v>
      </c>
      <c r="C1651" s="2200" t="s">
        <v>14015</v>
      </c>
      <c r="D1651" s="2200" t="str">
        <f t="shared" si="100"/>
        <v>ME</v>
      </c>
      <c r="E1651" s="2200">
        <f t="shared" si="101"/>
        <v>14</v>
      </c>
      <c r="F1651" s="2200" t="str">
        <f t="shared" si="102"/>
        <v>23</v>
      </c>
      <c r="G1651" s="2200" t="str">
        <f t="shared" si="103"/>
        <v>54980</v>
      </c>
      <c r="H1651" s="2200">
        <f>--SUBTOTAL(3,C$2:C1651)</f>
        <v>99</v>
      </c>
    </row>
    <row r="1652" spans="1:8" hidden="1" x14ac:dyDescent="0.15">
      <c r="A1652" s="2200" t="s">
        <v>11502</v>
      </c>
      <c r="B1652" s="2200" t="s">
        <v>14016</v>
      </c>
      <c r="C1652" s="2200" t="s">
        <v>14017</v>
      </c>
      <c r="D1652" s="2200" t="str">
        <f t="shared" si="100"/>
        <v>ME</v>
      </c>
      <c r="E1652" s="2200">
        <f t="shared" si="101"/>
        <v>23</v>
      </c>
      <c r="F1652" s="2200" t="str">
        <f t="shared" si="102"/>
        <v>23</v>
      </c>
      <c r="G1652" s="2200" t="str">
        <f t="shared" si="103"/>
        <v>55085</v>
      </c>
      <c r="H1652" s="2200">
        <f>--SUBTOTAL(3,C$2:C1652)</f>
        <v>99</v>
      </c>
    </row>
    <row r="1653" spans="1:8" hidden="1" x14ac:dyDescent="0.15">
      <c r="A1653" s="2200" t="s">
        <v>11502</v>
      </c>
      <c r="B1653" s="2200" t="s">
        <v>14018</v>
      </c>
      <c r="C1653" s="2200" t="s">
        <v>14019</v>
      </c>
      <c r="D1653" s="2200" t="str">
        <f t="shared" si="100"/>
        <v>ME</v>
      </c>
      <c r="E1653" s="2200">
        <f t="shared" si="101"/>
        <v>14</v>
      </c>
      <c r="F1653" s="2200" t="str">
        <f t="shared" si="102"/>
        <v>23</v>
      </c>
      <c r="G1653" s="2200" t="str">
        <f t="shared" si="103"/>
        <v>55225</v>
      </c>
      <c r="H1653" s="2200">
        <f>--SUBTOTAL(3,C$2:C1653)</f>
        <v>99</v>
      </c>
    </row>
    <row r="1654" spans="1:8" hidden="1" x14ac:dyDescent="0.15">
      <c r="A1654" s="2200" t="s">
        <v>11502</v>
      </c>
      <c r="B1654" s="2200" t="s">
        <v>14020</v>
      </c>
      <c r="C1654" s="2200" t="s">
        <v>14021</v>
      </c>
      <c r="D1654" s="2200" t="str">
        <f t="shared" si="100"/>
        <v>ME</v>
      </c>
      <c r="E1654" s="2200">
        <f t="shared" si="101"/>
        <v>12</v>
      </c>
      <c r="F1654" s="2200" t="str">
        <f t="shared" si="102"/>
        <v>23</v>
      </c>
      <c r="G1654" s="2200" t="str">
        <f t="shared" si="103"/>
        <v>55435</v>
      </c>
      <c r="H1654" s="2200">
        <f>--SUBTOTAL(3,C$2:C1654)</f>
        <v>99</v>
      </c>
    </row>
    <row r="1655" spans="1:8" hidden="1" x14ac:dyDescent="0.15">
      <c r="A1655" s="2200" t="s">
        <v>11502</v>
      </c>
      <c r="B1655" s="2200" t="s">
        <v>14022</v>
      </c>
      <c r="C1655" s="2200" t="s">
        <v>14023</v>
      </c>
      <c r="D1655" s="2200" t="str">
        <f t="shared" si="100"/>
        <v>ME</v>
      </c>
      <c r="E1655" s="2200">
        <f t="shared" si="101"/>
        <v>12</v>
      </c>
      <c r="F1655" s="2200" t="str">
        <f t="shared" si="102"/>
        <v>23</v>
      </c>
      <c r="G1655" s="2200" t="str">
        <f t="shared" si="103"/>
        <v>55505</v>
      </c>
      <c r="H1655" s="2200">
        <f>--SUBTOTAL(3,C$2:C1655)</f>
        <v>99</v>
      </c>
    </row>
    <row r="1656" spans="1:8" hidden="1" x14ac:dyDescent="0.15">
      <c r="A1656" s="2200" t="s">
        <v>11502</v>
      </c>
      <c r="B1656" s="2200" t="s">
        <v>14024</v>
      </c>
      <c r="C1656" s="2200" t="s">
        <v>14025</v>
      </c>
      <c r="D1656" s="2200" t="str">
        <f t="shared" si="100"/>
        <v>ME</v>
      </c>
      <c r="E1656" s="2200">
        <f t="shared" si="101"/>
        <v>11</v>
      </c>
      <c r="F1656" s="2200" t="str">
        <f t="shared" si="102"/>
        <v>23</v>
      </c>
      <c r="G1656" s="2200" t="str">
        <f t="shared" si="103"/>
        <v>55565</v>
      </c>
      <c r="H1656" s="2200">
        <f>--SUBTOTAL(3,C$2:C1656)</f>
        <v>99</v>
      </c>
    </row>
    <row r="1657" spans="1:8" hidden="1" x14ac:dyDescent="0.15">
      <c r="A1657" s="2200" t="s">
        <v>11502</v>
      </c>
      <c r="B1657" s="2200" t="s">
        <v>14026</v>
      </c>
      <c r="C1657" s="2200" t="s">
        <v>14027</v>
      </c>
      <c r="D1657" s="2200" t="str">
        <f t="shared" si="100"/>
        <v>ME</v>
      </c>
      <c r="E1657" s="2200">
        <f t="shared" si="101"/>
        <v>15</v>
      </c>
      <c r="F1657" s="2200" t="str">
        <f t="shared" si="102"/>
        <v>23</v>
      </c>
      <c r="G1657" s="2200" t="str">
        <f t="shared" si="103"/>
        <v>55680</v>
      </c>
      <c r="H1657" s="2200">
        <f>--SUBTOTAL(3,C$2:C1657)</f>
        <v>99</v>
      </c>
    </row>
    <row r="1658" spans="1:8" hidden="1" x14ac:dyDescent="0.15">
      <c r="A1658" s="2200" t="s">
        <v>11502</v>
      </c>
      <c r="B1658" s="2200" t="s">
        <v>14028</v>
      </c>
      <c r="C1658" s="2200" t="s">
        <v>14029</v>
      </c>
      <c r="D1658" s="2200" t="str">
        <f t="shared" si="100"/>
        <v>ME</v>
      </c>
      <c r="E1658" s="2200">
        <f t="shared" si="101"/>
        <v>12</v>
      </c>
      <c r="F1658" s="2200" t="str">
        <f t="shared" si="102"/>
        <v>23</v>
      </c>
      <c r="G1658" s="2200" t="str">
        <f t="shared" si="103"/>
        <v>55855</v>
      </c>
      <c r="H1658" s="2200">
        <f>--SUBTOTAL(3,C$2:C1658)</f>
        <v>99</v>
      </c>
    </row>
    <row r="1659" spans="1:8" hidden="1" x14ac:dyDescent="0.15">
      <c r="A1659" s="2200" t="s">
        <v>11502</v>
      </c>
      <c r="B1659" s="2200" t="s">
        <v>14030</v>
      </c>
      <c r="C1659" s="2200" t="s">
        <v>14031</v>
      </c>
      <c r="D1659" s="2200" t="str">
        <f t="shared" si="100"/>
        <v>ME</v>
      </c>
      <c r="E1659" s="2200">
        <f t="shared" si="101"/>
        <v>10</v>
      </c>
      <c r="F1659" s="2200" t="str">
        <f t="shared" si="102"/>
        <v>23</v>
      </c>
      <c r="G1659" s="2200" t="str">
        <f t="shared" si="103"/>
        <v>55890</v>
      </c>
      <c r="H1659" s="2200">
        <f>--SUBTOTAL(3,C$2:C1659)</f>
        <v>99</v>
      </c>
    </row>
    <row r="1660" spans="1:8" hidden="1" x14ac:dyDescent="0.15">
      <c r="A1660" s="2200" t="s">
        <v>11502</v>
      </c>
      <c r="B1660" s="2200" t="s">
        <v>14032</v>
      </c>
      <c r="C1660" s="2200" t="s">
        <v>14033</v>
      </c>
      <c r="D1660" s="2200" t="str">
        <f t="shared" si="100"/>
        <v>ME</v>
      </c>
      <c r="E1660" s="2200">
        <f t="shared" si="101"/>
        <v>15</v>
      </c>
      <c r="F1660" s="2200" t="str">
        <f t="shared" si="102"/>
        <v>23</v>
      </c>
      <c r="G1660" s="2200" t="str">
        <f t="shared" si="103"/>
        <v>55960</v>
      </c>
      <c r="H1660" s="2200">
        <f>--SUBTOTAL(3,C$2:C1660)</f>
        <v>99</v>
      </c>
    </row>
    <row r="1661" spans="1:8" hidden="1" x14ac:dyDescent="0.15">
      <c r="A1661" s="2200" t="s">
        <v>11502</v>
      </c>
      <c r="B1661" s="2200" t="s">
        <v>14034</v>
      </c>
      <c r="C1661" s="2200" t="s">
        <v>14035</v>
      </c>
      <c r="D1661" s="2200" t="str">
        <f t="shared" si="100"/>
        <v>ME</v>
      </c>
      <c r="E1661" s="2200">
        <f t="shared" si="101"/>
        <v>15</v>
      </c>
      <c r="F1661" s="2200" t="str">
        <f t="shared" si="102"/>
        <v>23</v>
      </c>
      <c r="G1661" s="2200" t="str">
        <f t="shared" si="103"/>
        <v>56135</v>
      </c>
      <c r="H1661" s="2200">
        <f>--SUBTOTAL(3,C$2:C1661)</f>
        <v>99</v>
      </c>
    </row>
    <row r="1662" spans="1:8" hidden="1" x14ac:dyDescent="0.15">
      <c r="A1662" s="2200" t="s">
        <v>11502</v>
      </c>
      <c r="B1662" s="2200" t="s">
        <v>14036</v>
      </c>
      <c r="C1662" s="2200" t="s">
        <v>14037</v>
      </c>
      <c r="D1662" s="2200" t="str">
        <f t="shared" si="100"/>
        <v>ME</v>
      </c>
      <c r="E1662" s="2200">
        <f t="shared" si="101"/>
        <v>17</v>
      </c>
      <c r="F1662" s="2200" t="str">
        <f t="shared" si="102"/>
        <v>23</v>
      </c>
      <c r="G1662" s="2200" t="str">
        <f t="shared" si="103"/>
        <v>56205</v>
      </c>
      <c r="H1662" s="2200">
        <f>--SUBTOTAL(3,C$2:C1662)</f>
        <v>99</v>
      </c>
    </row>
    <row r="1663" spans="1:8" hidden="1" x14ac:dyDescent="0.15">
      <c r="A1663" s="2200" t="s">
        <v>11502</v>
      </c>
      <c r="B1663" s="2200" t="s">
        <v>14038</v>
      </c>
      <c r="C1663" s="2200" t="s">
        <v>14039</v>
      </c>
      <c r="D1663" s="2200" t="str">
        <f t="shared" si="100"/>
        <v>ME</v>
      </c>
      <c r="E1663" s="2200">
        <f t="shared" si="101"/>
        <v>12</v>
      </c>
      <c r="F1663" s="2200" t="str">
        <f t="shared" si="102"/>
        <v>23</v>
      </c>
      <c r="G1663" s="2200" t="str">
        <f t="shared" si="103"/>
        <v>56310</v>
      </c>
      <c r="H1663" s="2200">
        <f>--SUBTOTAL(3,C$2:C1663)</f>
        <v>99</v>
      </c>
    </row>
    <row r="1664" spans="1:8" hidden="1" x14ac:dyDescent="0.15">
      <c r="A1664" s="2200" t="s">
        <v>11502</v>
      </c>
      <c r="B1664" s="2200" t="s">
        <v>14040</v>
      </c>
      <c r="C1664" s="2200" t="s">
        <v>14041</v>
      </c>
      <c r="D1664" s="2200" t="str">
        <f t="shared" si="100"/>
        <v>ME</v>
      </c>
      <c r="E1664" s="2200">
        <f t="shared" si="101"/>
        <v>13</v>
      </c>
      <c r="F1664" s="2200" t="str">
        <f t="shared" si="102"/>
        <v>23</v>
      </c>
      <c r="G1664" s="2200" t="str">
        <f t="shared" si="103"/>
        <v>56450</v>
      </c>
      <c r="H1664" s="2200">
        <f>--SUBTOTAL(3,C$2:C1664)</f>
        <v>99</v>
      </c>
    </row>
    <row r="1665" spans="1:8" hidden="1" x14ac:dyDescent="0.15">
      <c r="A1665" s="2200" t="s">
        <v>11502</v>
      </c>
      <c r="B1665" s="2200" t="s">
        <v>14042</v>
      </c>
      <c r="C1665" s="2200" t="s">
        <v>14043</v>
      </c>
      <c r="D1665" s="2200" t="str">
        <f t="shared" si="100"/>
        <v>ME</v>
      </c>
      <c r="E1665" s="2200">
        <f t="shared" si="101"/>
        <v>13</v>
      </c>
      <c r="F1665" s="2200" t="str">
        <f t="shared" si="102"/>
        <v>23</v>
      </c>
      <c r="G1665" s="2200" t="str">
        <f t="shared" si="103"/>
        <v>56520</v>
      </c>
      <c r="H1665" s="2200">
        <f>--SUBTOTAL(3,C$2:C1665)</f>
        <v>99</v>
      </c>
    </row>
    <row r="1666" spans="1:8" hidden="1" x14ac:dyDescent="0.15">
      <c r="A1666" s="2200" t="s">
        <v>11502</v>
      </c>
      <c r="B1666" s="2200" t="s">
        <v>14044</v>
      </c>
      <c r="C1666" s="2200" t="s">
        <v>14045</v>
      </c>
      <c r="D1666" s="2200" t="str">
        <f t="shared" ref="D1666:D1729" si="104">MID(C1666,E1666+2,2)</f>
        <v>ME</v>
      </c>
      <c r="E1666" s="2200">
        <f t="shared" ref="E1666:E1729" si="105">FIND(",",C1666)</f>
        <v>11</v>
      </c>
      <c r="F1666" s="2200" t="str">
        <f t="shared" si="102"/>
        <v>23</v>
      </c>
      <c r="G1666" s="2200" t="str">
        <f t="shared" si="103"/>
        <v>56625</v>
      </c>
      <c r="H1666" s="2200">
        <f>--SUBTOTAL(3,C$2:C1666)</f>
        <v>99</v>
      </c>
    </row>
    <row r="1667" spans="1:8" hidden="1" x14ac:dyDescent="0.15">
      <c r="A1667" s="2200" t="s">
        <v>11502</v>
      </c>
      <c r="B1667" s="2200" t="s">
        <v>14046</v>
      </c>
      <c r="C1667" s="2200" t="s">
        <v>14047</v>
      </c>
      <c r="D1667" s="2200" t="str">
        <f t="shared" si="104"/>
        <v>ME</v>
      </c>
      <c r="E1667" s="2200">
        <f t="shared" si="105"/>
        <v>13</v>
      </c>
      <c r="F1667" s="2200" t="str">
        <f t="shared" ref="F1667:F1730" si="106">MID(B1667,3,2)</f>
        <v>23</v>
      </c>
      <c r="G1667" s="2200" t="str">
        <f t="shared" ref="G1667:G1730" si="107">MID(B1667,5,5)</f>
        <v>56765</v>
      </c>
      <c r="H1667" s="2200">
        <f>--SUBTOTAL(3,C$2:C1667)</f>
        <v>99</v>
      </c>
    </row>
    <row r="1668" spans="1:8" hidden="1" x14ac:dyDescent="0.15">
      <c r="A1668" s="2200" t="s">
        <v>11502</v>
      </c>
      <c r="B1668" s="2200" t="s">
        <v>14048</v>
      </c>
      <c r="C1668" s="2200" t="s">
        <v>14049</v>
      </c>
      <c r="D1668" s="2200" t="str">
        <f t="shared" si="104"/>
        <v>ME</v>
      </c>
      <c r="E1668" s="2200">
        <f t="shared" si="105"/>
        <v>18</v>
      </c>
      <c r="F1668" s="2200" t="str">
        <f t="shared" si="106"/>
        <v>23</v>
      </c>
      <c r="G1668" s="2200" t="str">
        <f t="shared" si="107"/>
        <v>56870</v>
      </c>
      <c r="H1668" s="2200">
        <f>--SUBTOTAL(3,C$2:C1668)</f>
        <v>99</v>
      </c>
    </row>
    <row r="1669" spans="1:8" hidden="1" x14ac:dyDescent="0.15">
      <c r="A1669" s="2200" t="s">
        <v>11502</v>
      </c>
      <c r="B1669" s="2200" t="s">
        <v>14050</v>
      </c>
      <c r="C1669" s="2200" t="s">
        <v>14051</v>
      </c>
      <c r="D1669" s="2200" t="str">
        <f t="shared" si="104"/>
        <v>ME</v>
      </c>
      <c r="E1669" s="2200">
        <f t="shared" si="105"/>
        <v>18</v>
      </c>
      <c r="F1669" s="2200" t="str">
        <f t="shared" si="106"/>
        <v>23</v>
      </c>
      <c r="G1669" s="2200" t="str">
        <f t="shared" si="107"/>
        <v>57045</v>
      </c>
      <c r="H1669" s="2200">
        <f>--SUBTOTAL(3,C$2:C1669)</f>
        <v>99</v>
      </c>
    </row>
    <row r="1670" spans="1:8" hidden="1" x14ac:dyDescent="0.15">
      <c r="A1670" s="2200" t="s">
        <v>11502</v>
      </c>
      <c r="B1670" s="2200" t="s">
        <v>14052</v>
      </c>
      <c r="C1670" s="2200" t="s">
        <v>14053</v>
      </c>
      <c r="D1670" s="2200" t="str">
        <f t="shared" si="104"/>
        <v>ME</v>
      </c>
      <c r="E1670" s="2200">
        <f t="shared" si="105"/>
        <v>42</v>
      </c>
      <c r="F1670" s="2200" t="str">
        <f t="shared" si="106"/>
        <v>23</v>
      </c>
      <c r="G1670" s="2200" t="str">
        <f t="shared" si="107"/>
        <v>57082</v>
      </c>
      <c r="H1670" s="2200">
        <f>--SUBTOTAL(3,C$2:C1670)</f>
        <v>99</v>
      </c>
    </row>
    <row r="1671" spans="1:8" hidden="1" x14ac:dyDescent="0.15">
      <c r="A1671" s="2200" t="s">
        <v>11502</v>
      </c>
      <c r="B1671" s="2200" t="s">
        <v>14054</v>
      </c>
      <c r="C1671" s="2200" t="s">
        <v>14055</v>
      </c>
      <c r="D1671" s="2200" t="str">
        <f t="shared" si="104"/>
        <v>ME</v>
      </c>
      <c r="E1671" s="2200">
        <f t="shared" si="105"/>
        <v>41</v>
      </c>
      <c r="F1671" s="2200" t="str">
        <f t="shared" si="106"/>
        <v>23</v>
      </c>
      <c r="G1671" s="2200" t="str">
        <f t="shared" si="107"/>
        <v>57090</v>
      </c>
      <c r="H1671" s="2200">
        <f>--SUBTOTAL(3,C$2:C1671)</f>
        <v>99</v>
      </c>
    </row>
    <row r="1672" spans="1:8" hidden="1" x14ac:dyDescent="0.15">
      <c r="A1672" s="2200" t="s">
        <v>11502</v>
      </c>
      <c r="B1672" s="2200" t="s">
        <v>14056</v>
      </c>
      <c r="C1672" s="2200" t="s">
        <v>14057</v>
      </c>
      <c r="D1672" s="2200" t="str">
        <f t="shared" si="104"/>
        <v>ME</v>
      </c>
      <c r="E1672" s="2200">
        <f t="shared" si="105"/>
        <v>12</v>
      </c>
      <c r="F1672" s="2200" t="str">
        <f t="shared" si="106"/>
        <v>23</v>
      </c>
      <c r="G1672" s="2200" t="str">
        <f t="shared" si="107"/>
        <v>57150</v>
      </c>
      <c r="H1672" s="2200">
        <f>--SUBTOTAL(3,C$2:C1672)</f>
        <v>99</v>
      </c>
    </row>
    <row r="1673" spans="1:8" hidden="1" x14ac:dyDescent="0.15">
      <c r="A1673" s="2200" t="s">
        <v>11502</v>
      </c>
      <c r="B1673" s="2200" t="s">
        <v>14058</v>
      </c>
      <c r="C1673" s="2200" t="s">
        <v>14059</v>
      </c>
      <c r="D1673" s="2200" t="str">
        <f t="shared" si="104"/>
        <v>ME</v>
      </c>
      <c r="E1673" s="2200">
        <f t="shared" si="105"/>
        <v>14</v>
      </c>
      <c r="F1673" s="2200" t="str">
        <f t="shared" si="106"/>
        <v>23</v>
      </c>
      <c r="G1673" s="2200" t="str">
        <f t="shared" si="107"/>
        <v>57780</v>
      </c>
      <c r="H1673" s="2200">
        <f>--SUBTOTAL(3,C$2:C1673)</f>
        <v>99</v>
      </c>
    </row>
    <row r="1674" spans="1:8" hidden="1" x14ac:dyDescent="0.15">
      <c r="A1674" s="2200" t="s">
        <v>11502</v>
      </c>
      <c r="B1674" s="2200" t="s">
        <v>14060</v>
      </c>
      <c r="C1674" s="2200" t="s">
        <v>14061</v>
      </c>
      <c r="D1674" s="2200" t="str">
        <f t="shared" si="104"/>
        <v>ME</v>
      </c>
      <c r="E1674" s="2200">
        <f t="shared" si="105"/>
        <v>36</v>
      </c>
      <c r="F1674" s="2200" t="str">
        <f t="shared" si="106"/>
        <v>23</v>
      </c>
      <c r="G1674" s="2200" t="str">
        <f t="shared" si="107"/>
        <v>57936</v>
      </c>
      <c r="H1674" s="2200">
        <f>--SUBTOTAL(3,C$2:C1674)</f>
        <v>99</v>
      </c>
    </row>
    <row r="1675" spans="1:8" hidden="1" x14ac:dyDescent="0.15">
      <c r="A1675" s="2200" t="s">
        <v>11502</v>
      </c>
      <c r="B1675" s="2200" t="s">
        <v>14062</v>
      </c>
      <c r="C1675" s="2200" t="s">
        <v>14063</v>
      </c>
      <c r="D1675" s="2200" t="str">
        <f t="shared" si="104"/>
        <v>ME</v>
      </c>
      <c r="E1675" s="2200">
        <f t="shared" si="105"/>
        <v>15</v>
      </c>
      <c r="F1675" s="2200" t="str">
        <f t="shared" si="106"/>
        <v>23</v>
      </c>
      <c r="G1675" s="2200" t="str">
        <f t="shared" si="107"/>
        <v>57920</v>
      </c>
      <c r="H1675" s="2200">
        <f>--SUBTOTAL(3,C$2:C1675)</f>
        <v>99</v>
      </c>
    </row>
    <row r="1676" spans="1:8" hidden="1" x14ac:dyDescent="0.15">
      <c r="A1676" s="2200" t="s">
        <v>11502</v>
      </c>
      <c r="B1676" s="2200" t="s">
        <v>14064</v>
      </c>
      <c r="C1676" s="2200" t="s">
        <v>14065</v>
      </c>
      <c r="D1676" s="2200" t="str">
        <f t="shared" si="104"/>
        <v>ME</v>
      </c>
      <c r="E1676" s="2200">
        <f t="shared" si="105"/>
        <v>12</v>
      </c>
      <c r="F1676" s="2200" t="str">
        <f t="shared" si="106"/>
        <v>23</v>
      </c>
      <c r="G1676" s="2200" t="str">
        <f t="shared" si="107"/>
        <v>58060</v>
      </c>
      <c r="H1676" s="2200">
        <f>--SUBTOTAL(3,C$2:C1676)</f>
        <v>99</v>
      </c>
    </row>
    <row r="1677" spans="1:8" hidden="1" x14ac:dyDescent="0.15">
      <c r="A1677" s="2200" t="s">
        <v>11502</v>
      </c>
      <c r="B1677" s="2200" t="s">
        <v>14066</v>
      </c>
      <c r="C1677" s="2200" t="s">
        <v>14067</v>
      </c>
      <c r="D1677" s="2200" t="str">
        <f t="shared" si="104"/>
        <v>ME</v>
      </c>
      <c r="E1677" s="2200">
        <f t="shared" si="105"/>
        <v>11</v>
      </c>
      <c r="F1677" s="2200" t="str">
        <f t="shared" si="106"/>
        <v>23</v>
      </c>
      <c r="G1677" s="2200" t="str">
        <f t="shared" si="107"/>
        <v>58165</v>
      </c>
      <c r="H1677" s="2200">
        <f>--SUBTOTAL(3,C$2:C1677)</f>
        <v>99</v>
      </c>
    </row>
    <row r="1678" spans="1:8" hidden="1" x14ac:dyDescent="0.15">
      <c r="A1678" s="2200" t="s">
        <v>11502</v>
      </c>
      <c r="B1678" s="2200" t="s">
        <v>14068</v>
      </c>
      <c r="C1678" s="2200" t="s">
        <v>14069</v>
      </c>
      <c r="D1678" s="2200" t="str">
        <f t="shared" si="104"/>
        <v>ME</v>
      </c>
      <c r="E1678" s="2200">
        <f t="shared" si="105"/>
        <v>10</v>
      </c>
      <c r="F1678" s="2200" t="str">
        <f t="shared" si="106"/>
        <v>23</v>
      </c>
      <c r="G1678" s="2200" t="str">
        <f t="shared" si="107"/>
        <v>58270</v>
      </c>
      <c r="H1678" s="2200">
        <f>--SUBTOTAL(3,C$2:C1678)</f>
        <v>99</v>
      </c>
    </row>
    <row r="1679" spans="1:8" hidden="1" x14ac:dyDescent="0.15">
      <c r="A1679" s="2200" t="s">
        <v>11502</v>
      </c>
      <c r="B1679" s="2200" t="s">
        <v>14070</v>
      </c>
      <c r="C1679" s="2200" t="s">
        <v>14071</v>
      </c>
      <c r="D1679" s="2200" t="str">
        <f t="shared" si="104"/>
        <v>ME</v>
      </c>
      <c r="E1679" s="2200">
        <f t="shared" si="105"/>
        <v>14</v>
      </c>
      <c r="F1679" s="2200" t="str">
        <f t="shared" si="106"/>
        <v>23</v>
      </c>
      <c r="G1679" s="2200" t="str">
        <f t="shared" si="107"/>
        <v>58445</v>
      </c>
      <c r="H1679" s="2200">
        <f>--SUBTOTAL(3,C$2:C1679)</f>
        <v>99</v>
      </c>
    </row>
    <row r="1680" spans="1:8" hidden="1" x14ac:dyDescent="0.15">
      <c r="A1680" s="2200" t="s">
        <v>11502</v>
      </c>
      <c r="B1680" s="2200" t="s">
        <v>14072</v>
      </c>
      <c r="C1680" s="2200" t="s">
        <v>14073</v>
      </c>
      <c r="D1680" s="2200" t="str">
        <f t="shared" si="104"/>
        <v>ME</v>
      </c>
      <c r="E1680" s="2200">
        <f t="shared" si="105"/>
        <v>16</v>
      </c>
      <c r="F1680" s="2200" t="str">
        <f t="shared" si="106"/>
        <v>23</v>
      </c>
      <c r="G1680" s="2200" t="str">
        <f t="shared" si="107"/>
        <v>58515</v>
      </c>
      <c r="H1680" s="2200">
        <f>--SUBTOTAL(3,C$2:C1680)</f>
        <v>99</v>
      </c>
    </row>
    <row r="1681" spans="1:8" hidden="1" x14ac:dyDescent="0.15">
      <c r="A1681" s="2200" t="s">
        <v>11502</v>
      </c>
      <c r="B1681" s="2200" t="s">
        <v>14074</v>
      </c>
      <c r="C1681" s="2200" t="s">
        <v>14075</v>
      </c>
      <c r="D1681" s="2200" t="str">
        <f t="shared" si="104"/>
        <v>ME</v>
      </c>
      <c r="E1681" s="2200">
        <f t="shared" si="105"/>
        <v>16</v>
      </c>
      <c r="F1681" s="2200" t="str">
        <f t="shared" si="106"/>
        <v>23</v>
      </c>
      <c r="G1681" s="2200" t="str">
        <f t="shared" si="107"/>
        <v>59005</v>
      </c>
      <c r="H1681" s="2200">
        <f>--SUBTOTAL(3,C$2:C1681)</f>
        <v>99</v>
      </c>
    </row>
    <row r="1682" spans="1:8" hidden="1" x14ac:dyDescent="0.15">
      <c r="A1682" s="2200" t="s">
        <v>11443</v>
      </c>
      <c r="B1682" s="2200" t="s">
        <v>14076</v>
      </c>
      <c r="C1682" s="2200" t="s">
        <v>14077</v>
      </c>
      <c r="D1682" s="2200" t="str">
        <f t="shared" si="104"/>
        <v>ME</v>
      </c>
      <c r="E1682" s="2200">
        <f t="shared" si="105"/>
        <v>11</v>
      </c>
      <c r="F1682" s="2200" t="str">
        <f t="shared" si="106"/>
        <v>23</v>
      </c>
      <c r="G1682" s="2200" t="str">
        <f t="shared" si="107"/>
        <v>82260</v>
      </c>
      <c r="H1682" s="2200">
        <f>--SUBTOTAL(3,C$2:C1682)</f>
        <v>99</v>
      </c>
    </row>
    <row r="1683" spans="1:8" hidden="1" x14ac:dyDescent="0.15">
      <c r="A1683" s="2200" t="s">
        <v>11502</v>
      </c>
      <c r="B1683" s="2200" t="s">
        <v>14078</v>
      </c>
      <c r="C1683" s="2200" t="s">
        <v>14079</v>
      </c>
      <c r="D1683" s="2200" t="str">
        <f t="shared" si="104"/>
        <v>ME</v>
      </c>
      <c r="E1683" s="2200">
        <f t="shared" si="105"/>
        <v>14</v>
      </c>
      <c r="F1683" s="2200" t="str">
        <f t="shared" si="106"/>
        <v>23</v>
      </c>
      <c r="G1683" s="2200" t="str">
        <f t="shared" si="107"/>
        <v>59110</v>
      </c>
      <c r="H1683" s="2200">
        <f>--SUBTOTAL(3,C$2:C1683)</f>
        <v>99</v>
      </c>
    </row>
    <row r="1684" spans="1:8" hidden="1" x14ac:dyDescent="0.15">
      <c r="A1684" s="2200" t="s">
        <v>11502</v>
      </c>
      <c r="B1684" s="2200" t="s">
        <v>14080</v>
      </c>
      <c r="C1684" s="2200" t="s">
        <v>14081</v>
      </c>
      <c r="D1684" s="2200" t="str">
        <f t="shared" si="104"/>
        <v>ME</v>
      </c>
      <c r="E1684" s="2200">
        <f t="shared" si="105"/>
        <v>26</v>
      </c>
      <c r="F1684" s="2200" t="str">
        <f t="shared" si="106"/>
        <v>23</v>
      </c>
      <c r="G1684" s="2200" t="str">
        <f t="shared" si="107"/>
        <v>59705</v>
      </c>
      <c r="H1684" s="2200">
        <f>--SUBTOTAL(3,C$2:C1684)</f>
        <v>99</v>
      </c>
    </row>
    <row r="1685" spans="1:8" hidden="1" x14ac:dyDescent="0.15">
      <c r="A1685" s="2200" t="s">
        <v>11502</v>
      </c>
      <c r="B1685" s="2200" t="s">
        <v>14082</v>
      </c>
      <c r="C1685" s="2200" t="s">
        <v>14083</v>
      </c>
      <c r="D1685" s="2200" t="str">
        <f t="shared" si="104"/>
        <v>ME</v>
      </c>
      <c r="E1685" s="2200">
        <f t="shared" si="105"/>
        <v>14</v>
      </c>
      <c r="F1685" s="2200" t="str">
        <f t="shared" si="106"/>
        <v>23</v>
      </c>
      <c r="G1685" s="2200" t="str">
        <f t="shared" si="107"/>
        <v>59950</v>
      </c>
      <c r="H1685" s="2200">
        <f>--SUBTOTAL(3,C$2:C1685)</f>
        <v>99</v>
      </c>
    </row>
    <row r="1686" spans="1:8" hidden="1" x14ac:dyDescent="0.15">
      <c r="A1686" s="2200" t="s">
        <v>11502</v>
      </c>
      <c r="B1686" s="2200" t="s">
        <v>14084</v>
      </c>
      <c r="C1686" s="2200" t="s">
        <v>14085</v>
      </c>
      <c r="D1686" s="2200" t="str">
        <f t="shared" si="104"/>
        <v>ME</v>
      </c>
      <c r="E1686" s="2200">
        <f t="shared" si="105"/>
        <v>12</v>
      </c>
      <c r="F1686" s="2200" t="str">
        <f t="shared" si="106"/>
        <v>23</v>
      </c>
      <c r="G1686" s="2200" t="str">
        <f t="shared" si="107"/>
        <v>60020</v>
      </c>
      <c r="H1686" s="2200">
        <f>--SUBTOTAL(3,C$2:C1686)</f>
        <v>99</v>
      </c>
    </row>
    <row r="1687" spans="1:8" hidden="1" x14ac:dyDescent="0.15">
      <c r="A1687" s="2200" t="s">
        <v>11502</v>
      </c>
      <c r="B1687" s="2200" t="s">
        <v>14086</v>
      </c>
      <c r="C1687" s="2200" t="s">
        <v>14087</v>
      </c>
      <c r="D1687" s="2200" t="str">
        <f t="shared" si="104"/>
        <v>ME</v>
      </c>
      <c r="E1687" s="2200">
        <f t="shared" si="105"/>
        <v>18</v>
      </c>
      <c r="F1687" s="2200" t="str">
        <f t="shared" si="106"/>
        <v>23</v>
      </c>
      <c r="G1687" s="2200" t="str">
        <f t="shared" si="107"/>
        <v>60300</v>
      </c>
      <c r="H1687" s="2200">
        <f>--SUBTOTAL(3,C$2:C1687)</f>
        <v>99</v>
      </c>
    </row>
    <row r="1688" spans="1:8" hidden="1" x14ac:dyDescent="0.15">
      <c r="A1688" s="2200" t="s">
        <v>11502</v>
      </c>
      <c r="B1688" s="2200" t="s">
        <v>14088</v>
      </c>
      <c r="C1688" s="2200" t="s">
        <v>14089</v>
      </c>
      <c r="D1688" s="2200" t="str">
        <f t="shared" si="104"/>
        <v>ME</v>
      </c>
      <c r="E1688" s="2200">
        <f t="shared" si="105"/>
        <v>12</v>
      </c>
      <c r="F1688" s="2200" t="str">
        <f t="shared" si="106"/>
        <v>23</v>
      </c>
      <c r="G1688" s="2200" t="str">
        <f t="shared" si="107"/>
        <v>60405</v>
      </c>
      <c r="H1688" s="2200">
        <f>--SUBTOTAL(3,C$2:C1688)</f>
        <v>99</v>
      </c>
    </row>
    <row r="1689" spans="1:8" hidden="1" x14ac:dyDescent="0.15">
      <c r="A1689" s="2200" t="s">
        <v>10723</v>
      </c>
      <c r="B1689" s="2200" t="s">
        <v>14090</v>
      </c>
      <c r="C1689" s="2200" t="s">
        <v>14091</v>
      </c>
      <c r="D1689" s="2200" t="str">
        <f t="shared" si="104"/>
        <v>ME</v>
      </c>
      <c r="E1689" s="2200">
        <f t="shared" si="105"/>
        <v>14</v>
      </c>
      <c r="F1689" s="2200" t="str">
        <f t="shared" si="106"/>
        <v>23</v>
      </c>
      <c r="G1689" s="2200" t="str">
        <f t="shared" si="107"/>
        <v>60545</v>
      </c>
      <c r="H1689" s="2200">
        <f>--SUBTOTAL(3,C$2:C1689)</f>
        <v>99</v>
      </c>
    </row>
    <row r="1690" spans="1:8" hidden="1" x14ac:dyDescent="0.15">
      <c r="A1690" s="2200" t="s">
        <v>11502</v>
      </c>
      <c r="B1690" s="2200" t="s">
        <v>14092</v>
      </c>
      <c r="C1690" s="2200" t="s">
        <v>14093</v>
      </c>
      <c r="D1690" s="2200" t="str">
        <f t="shared" si="104"/>
        <v>ME</v>
      </c>
      <c r="E1690" s="2200">
        <f t="shared" si="105"/>
        <v>12</v>
      </c>
      <c r="F1690" s="2200" t="str">
        <f t="shared" si="106"/>
        <v>23</v>
      </c>
      <c r="G1690" s="2200" t="str">
        <f t="shared" si="107"/>
        <v>60685</v>
      </c>
      <c r="H1690" s="2200">
        <f>--SUBTOTAL(3,C$2:C1690)</f>
        <v>99</v>
      </c>
    </row>
    <row r="1691" spans="1:8" hidden="1" x14ac:dyDescent="0.15">
      <c r="A1691" s="2200" t="s">
        <v>11502</v>
      </c>
      <c r="B1691" s="2200" t="s">
        <v>14094</v>
      </c>
      <c r="C1691" s="2200" t="s">
        <v>14095</v>
      </c>
      <c r="D1691" s="2200" t="str">
        <f t="shared" si="104"/>
        <v>ME</v>
      </c>
      <c r="E1691" s="2200">
        <f t="shared" si="105"/>
        <v>21</v>
      </c>
      <c r="F1691" s="2200" t="str">
        <f t="shared" si="106"/>
        <v>23</v>
      </c>
      <c r="G1691" s="2200" t="str">
        <f t="shared" si="107"/>
        <v>60790</v>
      </c>
      <c r="H1691" s="2200">
        <f>--SUBTOTAL(3,C$2:C1691)</f>
        <v>99</v>
      </c>
    </row>
    <row r="1692" spans="1:8" hidden="1" x14ac:dyDescent="0.15">
      <c r="A1692" s="2200" t="s">
        <v>11502</v>
      </c>
      <c r="B1692" s="2200" t="s">
        <v>14096</v>
      </c>
      <c r="C1692" s="2200" t="s">
        <v>14097</v>
      </c>
      <c r="D1692" s="2200" t="str">
        <f t="shared" si="104"/>
        <v>ME</v>
      </c>
      <c r="E1692" s="2200">
        <f t="shared" si="105"/>
        <v>18</v>
      </c>
      <c r="F1692" s="2200" t="str">
        <f t="shared" si="106"/>
        <v>23</v>
      </c>
      <c r="G1692" s="2200" t="str">
        <f t="shared" si="107"/>
        <v>60825</v>
      </c>
      <c r="H1692" s="2200">
        <f>--SUBTOTAL(3,C$2:C1692)</f>
        <v>99</v>
      </c>
    </row>
    <row r="1693" spans="1:8" hidden="1" x14ac:dyDescent="0.15">
      <c r="A1693" s="2200" t="s">
        <v>11443</v>
      </c>
      <c r="B1693" s="2200" t="s">
        <v>14098</v>
      </c>
      <c r="C1693" s="2200" t="s">
        <v>14099</v>
      </c>
      <c r="D1693" s="2200" t="str">
        <f t="shared" si="104"/>
        <v>ME</v>
      </c>
      <c r="E1693" s="2200">
        <f t="shared" si="105"/>
        <v>13</v>
      </c>
      <c r="F1693" s="2200" t="str">
        <f t="shared" si="106"/>
        <v>23</v>
      </c>
      <c r="G1693" s="2200" t="str">
        <f t="shared" si="107"/>
        <v>82340</v>
      </c>
      <c r="H1693" s="2200">
        <f>--SUBTOTAL(3,C$2:C1693)</f>
        <v>99</v>
      </c>
    </row>
    <row r="1694" spans="1:8" hidden="1" x14ac:dyDescent="0.15">
      <c r="A1694" s="2200" t="s">
        <v>11502</v>
      </c>
      <c r="B1694" s="2200" t="s">
        <v>14100</v>
      </c>
      <c r="C1694" s="2200" t="s">
        <v>14101</v>
      </c>
      <c r="D1694" s="2200" t="str">
        <f t="shared" si="104"/>
        <v>ME</v>
      </c>
      <c r="E1694" s="2200">
        <f t="shared" si="105"/>
        <v>15</v>
      </c>
      <c r="F1694" s="2200" t="str">
        <f t="shared" si="106"/>
        <v>23</v>
      </c>
      <c r="G1694" s="2200" t="str">
        <f t="shared" si="107"/>
        <v>61035</v>
      </c>
      <c r="H1694" s="2200">
        <f>--SUBTOTAL(3,C$2:C1694)</f>
        <v>99</v>
      </c>
    </row>
    <row r="1695" spans="1:8" hidden="1" x14ac:dyDescent="0.15">
      <c r="A1695" s="2200" t="s">
        <v>11502</v>
      </c>
      <c r="B1695" s="2200" t="s">
        <v>14102</v>
      </c>
      <c r="C1695" s="2200" t="s">
        <v>14103</v>
      </c>
      <c r="D1695" s="2200" t="str">
        <f t="shared" si="104"/>
        <v>ME</v>
      </c>
      <c r="E1695" s="2200">
        <f t="shared" si="105"/>
        <v>14</v>
      </c>
      <c r="F1695" s="2200" t="str">
        <f t="shared" si="106"/>
        <v>23</v>
      </c>
      <c r="G1695" s="2200" t="str">
        <f t="shared" si="107"/>
        <v>61210</v>
      </c>
      <c r="H1695" s="2200">
        <f>--SUBTOTAL(3,C$2:C1695)</f>
        <v>99</v>
      </c>
    </row>
    <row r="1696" spans="1:8" hidden="1" x14ac:dyDescent="0.15">
      <c r="A1696" s="2200" t="s">
        <v>11502</v>
      </c>
      <c r="B1696" s="2200" t="s">
        <v>14104</v>
      </c>
      <c r="C1696" s="2200" t="s">
        <v>14105</v>
      </c>
      <c r="D1696" s="2200" t="str">
        <f t="shared" si="104"/>
        <v>ME</v>
      </c>
      <c r="E1696" s="2200">
        <f t="shared" si="105"/>
        <v>14</v>
      </c>
      <c r="F1696" s="2200" t="str">
        <f t="shared" si="106"/>
        <v>23</v>
      </c>
      <c r="G1696" s="2200" t="str">
        <f t="shared" si="107"/>
        <v>61700</v>
      </c>
      <c r="H1696" s="2200">
        <f>--SUBTOTAL(3,C$2:C1696)</f>
        <v>99</v>
      </c>
    </row>
    <row r="1697" spans="1:8" hidden="1" x14ac:dyDescent="0.15">
      <c r="A1697" s="2200" t="s">
        <v>11502</v>
      </c>
      <c r="B1697" s="2200" t="s">
        <v>14106</v>
      </c>
      <c r="C1697" s="2200" t="s">
        <v>14107</v>
      </c>
      <c r="D1697" s="2200" t="str">
        <f t="shared" si="104"/>
        <v>ME</v>
      </c>
      <c r="E1697" s="2200">
        <f t="shared" si="105"/>
        <v>20</v>
      </c>
      <c r="F1697" s="2200" t="str">
        <f t="shared" si="106"/>
        <v>23</v>
      </c>
      <c r="G1697" s="2200" t="str">
        <f t="shared" si="107"/>
        <v>61875</v>
      </c>
      <c r="H1697" s="2200">
        <f>--SUBTOTAL(3,C$2:C1697)</f>
        <v>99</v>
      </c>
    </row>
    <row r="1698" spans="1:8" hidden="1" x14ac:dyDescent="0.15">
      <c r="A1698" s="2200" t="s">
        <v>11502</v>
      </c>
      <c r="B1698" s="2200" t="s">
        <v>14108</v>
      </c>
      <c r="C1698" s="2200" t="s">
        <v>14109</v>
      </c>
      <c r="D1698" s="2200" t="str">
        <f t="shared" si="104"/>
        <v>ME</v>
      </c>
      <c r="E1698" s="2200">
        <f t="shared" si="105"/>
        <v>14</v>
      </c>
      <c r="F1698" s="2200" t="str">
        <f t="shared" si="106"/>
        <v>23</v>
      </c>
      <c r="G1698" s="2200" t="str">
        <f t="shared" si="107"/>
        <v>61840</v>
      </c>
      <c r="H1698" s="2200">
        <f>--SUBTOTAL(3,C$2:C1698)</f>
        <v>99</v>
      </c>
    </row>
    <row r="1699" spans="1:8" hidden="1" x14ac:dyDescent="0.15">
      <c r="A1699" s="2200" t="s">
        <v>11502</v>
      </c>
      <c r="B1699" s="2200" t="s">
        <v>14110</v>
      </c>
      <c r="C1699" s="2200" t="s">
        <v>14111</v>
      </c>
      <c r="D1699" s="2200" t="str">
        <f t="shared" si="104"/>
        <v>ME</v>
      </c>
      <c r="E1699" s="2200">
        <f t="shared" si="105"/>
        <v>13</v>
      </c>
      <c r="F1699" s="2200" t="str">
        <f t="shared" si="106"/>
        <v>23</v>
      </c>
      <c r="G1699" s="2200" t="str">
        <f t="shared" si="107"/>
        <v>61945</v>
      </c>
      <c r="H1699" s="2200">
        <f>--SUBTOTAL(3,C$2:C1699)</f>
        <v>99</v>
      </c>
    </row>
    <row r="1700" spans="1:8" hidden="1" x14ac:dyDescent="0.15">
      <c r="A1700" s="2200" t="s">
        <v>11502</v>
      </c>
      <c r="B1700" s="2200" t="s">
        <v>14112</v>
      </c>
      <c r="C1700" s="2200" t="s">
        <v>14113</v>
      </c>
      <c r="D1700" s="2200" t="str">
        <f t="shared" si="104"/>
        <v>ME</v>
      </c>
      <c r="E1700" s="2200">
        <f t="shared" si="105"/>
        <v>15</v>
      </c>
      <c r="F1700" s="2200" t="str">
        <f t="shared" si="106"/>
        <v>23</v>
      </c>
      <c r="G1700" s="2200" t="str">
        <f t="shared" si="107"/>
        <v>62190</v>
      </c>
      <c r="H1700" s="2200">
        <f>--SUBTOTAL(3,C$2:C1700)</f>
        <v>99</v>
      </c>
    </row>
    <row r="1701" spans="1:8" hidden="1" x14ac:dyDescent="0.15">
      <c r="A1701" s="2200" t="s">
        <v>11502</v>
      </c>
      <c r="B1701" s="2200" t="s">
        <v>14114</v>
      </c>
      <c r="C1701" s="2200" t="s">
        <v>14115</v>
      </c>
      <c r="D1701" s="2200" t="str">
        <f t="shared" si="104"/>
        <v>ME</v>
      </c>
      <c r="E1701" s="2200">
        <f t="shared" si="105"/>
        <v>16</v>
      </c>
      <c r="F1701" s="2200" t="str">
        <f t="shared" si="106"/>
        <v>23</v>
      </c>
      <c r="G1701" s="2200" t="str">
        <f t="shared" si="107"/>
        <v>62400</v>
      </c>
      <c r="H1701" s="2200">
        <f>--SUBTOTAL(3,C$2:C1701)</f>
        <v>99</v>
      </c>
    </row>
    <row r="1702" spans="1:8" hidden="1" x14ac:dyDescent="0.15">
      <c r="A1702" s="2200" t="s">
        <v>11502</v>
      </c>
      <c r="B1702" s="2200" t="s">
        <v>14116</v>
      </c>
      <c r="C1702" s="2200" t="s">
        <v>14117</v>
      </c>
      <c r="D1702" s="2200" t="str">
        <f t="shared" si="104"/>
        <v>ME</v>
      </c>
      <c r="E1702" s="2200">
        <f t="shared" si="105"/>
        <v>14</v>
      </c>
      <c r="F1702" s="2200" t="str">
        <f t="shared" si="106"/>
        <v>23</v>
      </c>
      <c r="G1702" s="2200" t="str">
        <f t="shared" si="107"/>
        <v>62645</v>
      </c>
      <c r="H1702" s="2200">
        <f>--SUBTOTAL(3,C$2:C1702)</f>
        <v>99</v>
      </c>
    </row>
    <row r="1703" spans="1:8" hidden="1" x14ac:dyDescent="0.15">
      <c r="A1703" s="2200" t="s">
        <v>11502</v>
      </c>
      <c r="B1703" s="2200" t="s">
        <v>14118</v>
      </c>
      <c r="C1703" s="2200" t="s">
        <v>14119</v>
      </c>
      <c r="D1703" s="2200" t="str">
        <f t="shared" si="104"/>
        <v>ME</v>
      </c>
      <c r="E1703" s="2200">
        <f t="shared" si="105"/>
        <v>12</v>
      </c>
      <c r="F1703" s="2200" t="str">
        <f t="shared" si="106"/>
        <v>23</v>
      </c>
      <c r="G1703" s="2200" t="str">
        <f t="shared" si="107"/>
        <v>62995</v>
      </c>
      <c r="H1703" s="2200">
        <f>--SUBTOTAL(3,C$2:C1703)</f>
        <v>99</v>
      </c>
    </row>
    <row r="1704" spans="1:8" hidden="1" x14ac:dyDescent="0.15">
      <c r="A1704" s="2200" t="s">
        <v>11502</v>
      </c>
      <c r="B1704" s="2200" t="s">
        <v>14120</v>
      </c>
      <c r="C1704" s="2200" t="s">
        <v>14121</v>
      </c>
      <c r="D1704" s="2200" t="str">
        <f t="shared" si="104"/>
        <v>ME</v>
      </c>
      <c r="E1704" s="2200">
        <f t="shared" si="105"/>
        <v>16</v>
      </c>
      <c r="F1704" s="2200" t="str">
        <f t="shared" si="106"/>
        <v>23</v>
      </c>
      <c r="G1704" s="2200" t="str">
        <f t="shared" si="107"/>
        <v>63275</v>
      </c>
      <c r="H1704" s="2200">
        <f>--SUBTOTAL(3,C$2:C1704)</f>
        <v>99</v>
      </c>
    </row>
    <row r="1705" spans="1:8" hidden="1" x14ac:dyDescent="0.15">
      <c r="A1705" s="2200" t="s">
        <v>11502</v>
      </c>
      <c r="B1705" s="2200" t="s">
        <v>14122</v>
      </c>
      <c r="C1705" s="2200" t="s">
        <v>14123</v>
      </c>
      <c r="D1705" s="2200" t="str">
        <f t="shared" si="104"/>
        <v>ME</v>
      </c>
      <c r="E1705" s="2200">
        <f t="shared" si="105"/>
        <v>14</v>
      </c>
      <c r="F1705" s="2200" t="str">
        <f t="shared" si="106"/>
        <v>23</v>
      </c>
      <c r="G1705" s="2200" t="str">
        <f t="shared" si="107"/>
        <v>63590</v>
      </c>
      <c r="H1705" s="2200">
        <f>--SUBTOTAL(3,C$2:C1705)</f>
        <v>99</v>
      </c>
    </row>
    <row r="1706" spans="1:8" hidden="1" x14ac:dyDescent="0.15">
      <c r="A1706" s="2200" t="s">
        <v>11443</v>
      </c>
      <c r="B1706" s="2200" t="s">
        <v>14124</v>
      </c>
      <c r="C1706" s="2200" t="s">
        <v>14125</v>
      </c>
      <c r="D1706" s="2200" t="str">
        <f t="shared" si="104"/>
        <v>ME</v>
      </c>
      <c r="E1706" s="2200">
        <f t="shared" si="105"/>
        <v>16</v>
      </c>
      <c r="F1706" s="2200" t="str">
        <f t="shared" si="106"/>
        <v>23</v>
      </c>
      <c r="G1706" s="2200" t="str">
        <f t="shared" si="107"/>
        <v>82580</v>
      </c>
      <c r="H1706" s="2200">
        <f>--SUBTOTAL(3,C$2:C1706)</f>
        <v>99</v>
      </c>
    </row>
    <row r="1707" spans="1:8" hidden="1" x14ac:dyDescent="0.15">
      <c r="A1707" s="2200" t="s">
        <v>11502</v>
      </c>
      <c r="B1707" s="2200" t="s">
        <v>14126</v>
      </c>
      <c r="C1707" s="2200" t="s">
        <v>14127</v>
      </c>
      <c r="D1707" s="2200" t="str">
        <f t="shared" si="104"/>
        <v>ME</v>
      </c>
      <c r="E1707" s="2200">
        <f t="shared" si="105"/>
        <v>14</v>
      </c>
      <c r="F1707" s="2200" t="str">
        <f t="shared" si="106"/>
        <v>23</v>
      </c>
      <c r="G1707" s="2200" t="str">
        <f t="shared" si="107"/>
        <v>63660</v>
      </c>
      <c r="H1707" s="2200">
        <f>--SUBTOTAL(3,C$2:C1707)</f>
        <v>99</v>
      </c>
    </row>
    <row r="1708" spans="1:8" hidden="1" x14ac:dyDescent="0.15">
      <c r="A1708" s="2200" t="s">
        <v>11502</v>
      </c>
      <c r="B1708" s="2200" t="s">
        <v>14128</v>
      </c>
      <c r="C1708" s="2200" t="s">
        <v>14129</v>
      </c>
      <c r="D1708" s="2200" t="str">
        <f t="shared" si="104"/>
        <v>ME</v>
      </c>
      <c r="E1708" s="2200">
        <f t="shared" si="105"/>
        <v>10</v>
      </c>
      <c r="F1708" s="2200" t="str">
        <f t="shared" si="106"/>
        <v>23</v>
      </c>
      <c r="G1708" s="2200" t="str">
        <f t="shared" si="107"/>
        <v>63835</v>
      </c>
      <c r="H1708" s="2200">
        <f>--SUBTOTAL(3,C$2:C1708)</f>
        <v>99</v>
      </c>
    </row>
    <row r="1709" spans="1:8" hidden="1" x14ac:dyDescent="0.15">
      <c r="A1709" s="2200" t="s">
        <v>11502</v>
      </c>
      <c r="B1709" s="2200" t="s">
        <v>14130</v>
      </c>
      <c r="C1709" s="2200" t="s">
        <v>14131</v>
      </c>
      <c r="D1709" s="2200" t="str">
        <f t="shared" si="104"/>
        <v>ME</v>
      </c>
      <c r="E1709" s="2200">
        <f t="shared" si="105"/>
        <v>18</v>
      </c>
      <c r="F1709" s="2200" t="str">
        <f t="shared" si="106"/>
        <v>23</v>
      </c>
      <c r="G1709" s="2200" t="str">
        <f t="shared" si="107"/>
        <v>63940</v>
      </c>
      <c r="H1709" s="2200">
        <f>--SUBTOTAL(3,C$2:C1709)</f>
        <v>99</v>
      </c>
    </row>
    <row r="1710" spans="1:8" hidden="1" x14ac:dyDescent="0.15">
      <c r="A1710" s="2200" t="s">
        <v>11502</v>
      </c>
      <c r="B1710" s="2200" t="s">
        <v>14132</v>
      </c>
      <c r="C1710" s="2200" t="s">
        <v>14133</v>
      </c>
      <c r="D1710" s="2200" t="str">
        <f t="shared" si="104"/>
        <v>ME</v>
      </c>
      <c r="E1710" s="2200">
        <f t="shared" si="105"/>
        <v>13</v>
      </c>
      <c r="F1710" s="2200" t="str">
        <f t="shared" si="106"/>
        <v>23</v>
      </c>
      <c r="G1710" s="2200" t="str">
        <f t="shared" si="107"/>
        <v>64185</v>
      </c>
      <c r="H1710" s="2200">
        <f>--SUBTOTAL(3,C$2:C1710)</f>
        <v>99</v>
      </c>
    </row>
    <row r="1711" spans="1:8" hidden="1" x14ac:dyDescent="0.15">
      <c r="A1711" s="2200" t="s">
        <v>11502</v>
      </c>
      <c r="B1711" s="2200" t="s">
        <v>14134</v>
      </c>
      <c r="C1711" s="2200" t="s">
        <v>14135</v>
      </c>
      <c r="D1711" s="2200" t="str">
        <f t="shared" si="104"/>
        <v>ME</v>
      </c>
      <c r="E1711" s="2200">
        <f t="shared" si="105"/>
        <v>13</v>
      </c>
      <c r="F1711" s="2200" t="str">
        <f t="shared" si="106"/>
        <v>23</v>
      </c>
      <c r="G1711" s="2200" t="str">
        <f t="shared" si="107"/>
        <v>64290</v>
      </c>
      <c r="H1711" s="2200">
        <f>--SUBTOTAL(3,C$2:C1711)</f>
        <v>99</v>
      </c>
    </row>
    <row r="1712" spans="1:8" hidden="1" x14ac:dyDescent="0.15">
      <c r="A1712" s="2200" t="s">
        <v>11443</v>
      </c>
      <c r="B1712" s="2200" t="s">
        <v>14136</v>
      </c>
      <c r="C1712" s="2200" t="s">
        <v>14137</v>
      </c>
      <c r="D1712" s="2200" t="str">
        <f t="shared" si="104"/>
        <v>ME</v>
      </c>
      <c r="E1712" s="2200">
        <f t="shared" si="105"/>
        <v>8</v>
      </c>
      <c r="F1712" s="2200" t="str">
        <f t="shared" si="106"/>
        <v>23</v>
      </c>
      <c r="G1712" s="2200" t="str">
        <f t="shared" si="107"/>
        <v>82620</v>
      </c>
      <c r="H1712" s="2200">
        <f>--SUBTOTAL(3,C$2:C1712)</f>
        <v>99</v>
      </c>
    </row>
    <row r="1713" spans="1:8" hidden="1" x14ac:dyDescent="0.15">
      <c r="A1713" s="2200" t="s">
        <v>11502</v>
      </c>
      <c r="B1713" s="2200" t="s">
        <v>14138</v>
      </c>
      <c r="C1713" s="2200" t="s">
        <v>14139</v>
      </c>
      <c r="D1713" s="2200" t="str">
        <f t="shared" si="104"/>
        <v>ME</v>
      </c>
      <c r="E1713" s="2200">
        <f t="shared" si="105"/>
        <v>14</v>
      </c>
      <c r="F1713" s="2200" t="str">
        <f t="shared" si="106"/>
        <v>23</v>
      </c>
      <c r="G1713" s="2200" t="str">
        <f t="shared" si="107"/>
        <v>64570</v>
      </c>
      <c r="H1713" s="2200">
        <f>--SUBTOTAL(3,C$2:C1713)</f>
        <v>99</v>
      </c>
    </row>
    <row r="1714" spans="1:8" hidden="1" x14ac:dyDescent="0.15">
      <c r="A1714" s="2200" t="s">
        <v>11502</v>
      </c>
      <c r="B1714" s="2200" t="s">
        <v>14140</v>
      </c>
      <c r="C1714" s="2200" t="s">
        <v>14141</v>
      </c>
      <c r="D1714" s="2200" t="str">
        <f t="shared" si="104"/>
        <v>ME</v>
      </c>
      <c r="E1714" s="2200">
        <f t="shared" si="105"/>
        <v>10</v>
      </c>
      <c r="F1714" s="2200" t="str">
        <f t="shared" si="106"/>
        <v>23</v>
      </c>
      <c r="G1714" s="2200" t="str">
        <f t="shared" si="107"/>
        <v>64675</v>
      </c>
      <c r="H1714" s="2200">
        <f>--SUBTOTAL(3,C$2:C1714)</f>
        <v>99</v>
      </c>
    </row>
    <row r="1715" spans="1:8" hidden="1" x14ac:dyDescent="0.15">
      <c r="A1715" s="2200" t="s">
        <v>11502</v>
      </c>
      <c r="B1715" s="2200" t="s">
        <v>14142</v>
      </c>
      <c r="C1715" s="2200" t="s">
        <v>14143</v>
      </c>
      <c r="D1715" s="2200" t="str">
        <f t="shared" si="104"/>
        <v>ME</v>
      </c>
      <c r="E1715" s="2200">
        <f t="shared" si="105"/>
        <v>23</v>
      </c>
      <c r="F1715" s="2200" t="str">
        <f t="shared" si="106"/>
        <v>23</v>
      </c>
      <c r="G1715" s="2200" t="str">
        <f t="shared" si="107"/>
        <v>65655</v>
      </c>
      <c r="H1715" s="2200">
        <f>--SUBTOTAL(3,C$2:C1715)</f>
        <v>99</v>
      </c>
    </row>
    <row r="1716" spans="1:8" hidden="1" x14ac:dyDescent="0.15">
      <c r="A1716" s="2200" t="s">
        <v>11502</v>
      </c>
      <c r="B1716" s="2200" t="s">
        <v>14144</v>
      </c>
      <c r="C1716" s="2200" t="s">
        <v>14145</v>
      </c>
      <c r="D1716" s="2200" t="str">
        <f t="shared" si="104"/>
        <v>ME</v>
      </c>
      <c r="E1716" s="2200">
        <f t="shared" si="105"/>
        <v>13</v>
      </c>
      <c r="F1716" s="2200" t="str">
        <f t="shared" si="106"/>
        <v>23</v>
      </c>
      <c r="G1716" s="2200" t="str">
        <f t="shared" si="107"/>
        <v>65725</v>
      </c>
      <c r="H1716" s="2200">
        <f>--SUBTOTAL(3,C$2:C1716)</f>
        <v>99</v>
      </c>
    </row>
    <row r="1717" spans="1:8" hidden="1" x14ac:dyDescent="0.15">
      <c r="A1717" s="2200" t="s">
        <v>11502</v>
      </c>
      <c r="B1717" s="2200" t="s">
        <v>14146</v>
      </c>
      <c r="C1717" s="2200" t="s">
        <v>14147</v>
      </c>
      <c r="D1717" s="2200" t="str">
        <f t="shared" si="104"/>
        <v>ME</v>
      </c>
      <c r="E1717" s="2200">
        <f t="shared" si="105"/>
        <v>17</v>
      </c>
      <c r="F1717" s="2200" t="str">
        <f t="shared" si="106"/>
        <v>23</v>
      </c>
      <c r="G1717" s="2200" t="str">
        <f t="shared" si="107"/>
        <v>65865</v>
      </c>
      <c r="H1717" s="2200">
        <f>--SUBTOTAL(3,C$2:C1717)</f>
        <v>99</v>
      </c>
    </row>
    <row r="1718" spans="1:8" hidden="1" x14ac:dyDescent="0.15">
      <c r="A1718" s="2200" t="s">
        <v>11502</v>
      </c>
      <c r="B1718" s="2200" t="s">
        <v>14148</v>
      </c>
      <c r="C1718" s="2200" t="s">
        <v>14149</v>
      </c>
      <c r="D1718" s="2200" t="str">
        <f t="shared" si="104"/>
        <v>ME</v>
      </c>
      <c r="E1718" s="2200">
        <f t="shared" si="105"/>
        <v>17</v>
      </c>
      <c r="F1718" s="2200" t="str">
        <f t="shared" si="106"/>
        <v>23</v>
      </c>
      <c r="G1718" s="2200" t="str">
        <f t="shared" si="107"/>
        <v>66145</v>
      </c>
      <c r="H1718" s="2200">
        <f>--SUBTOTAL(3,C$2:C1718)</f>
        <v>99</v>
      </c>
    </row>
    <row r="1719" spans="1:8" hidden="1" x14ac:dyDescent="0.15">
      <c r="A1719" s="2200" t="s">
        <v>11502</v>
      </c>
      <c r="B1719" s="2200" t="s">
        <v>14150</v>
      </c>
      <c r="C1719" s="2200" t="s">
        <v>14151</v>
      </c>
      <c r="D1719" s="2200" t="str">
        <f t="shared" si="104"/>
        <v>ME</v>
      </c>
      <c r="E1719" s="2200">
        <f t="shared" si="105"/>
        <v>15</v>
      </c>
      <c r="F1719" s="2200" t="str">
        <f t="shared" si="106"/>
        <v>23</v>
      </c>
      <c r="G1719" s="2200" t="str">
        <f t="shared" si="107"/>
        <v>66565</v>
      </c>
      <c r="H1719" s="2200">
        <f>--SUBTOTAL(3,C$2:C1719)</f>
        <v>99</v>
      </c>
    </row>
    <row r="1720" spans="1:8" hidden="1" x14ac:dyDescent="0.15">
      <c r="A1720" s="2200" t="s">
        <v>11502</v>
      </c>
      <c r="B1720" s="2200" t="s">
        <v>14152</v>
      </c>
      <c r="C1720" s="2200" t="s">
        <v>14153</v>
      </c>
      <c r="D1720" s="2200" t="str">
        <f t="shared" si="104"/>
        <v>ME</v>
      </c>
      <c r="E1720" s="2200">
        <f t="shared" si="105"/>
        <v>15</v>
      </c>
      <c r="F1720" s="2200" t="str">
        <f t="shared" si="106"/>
        <v>23</v>
      </c>
      <c r="G1720" s="2200" t="str">
        <f t="shared" si="107"/>
        <v>66635</v>
      </c>
      <c r="H1720" s="2200">
        <f>--SUBTOTAL(3,C$2:C1720)</f>
        <v>99</v>
      </c>
    </row>
    <row r="1721" spans="1:8" hidden="1" x14ac:dyDescent="0.15">
      <c r="A1721" s="2200" t="s">
        <v>11502</v>
      </c>
      <c r="B1721" s="2200" t="s">
        <v>14154</v>
      </c>
      <c r="C1721" s="2200" t="s">
        <v>14155</v>
      </c>
      <c r="D1721" s="2200" t="str">
        <f t="shared" si="104"/>
        <v>ME</v>
      </c>
      <c r="E1721" s="2200">
        <f t="shared" si="105"/>
        <v>12</v>
      </c>
      <c r="F1721" s="2200" t="str">
        <f t="shared" si="106"/>
        <v>23</v>
      </c>
      <c r="G1721" s="2200" t="str">
        <f t="shared" si="107"/>
        <v>66775</v>
      </c>
      <c r="H1721" s="2200">
        <f>--SUBTOTAL(3,C$2:C1721)</f>
        <v>99</v>
      </c>
    </row>
    <row r="1722" spans="1:8" hidden="1" x14ac:dyDescent="0.15">
      <c r="A1722" s="2200" t="s">
        <v>11502</v>
      </c>
      <c r="B1722" s="2200" t="s">
        <v>14156</v>
      </c>
      <c r="C1722" s="2200" t="s">
        <v>14157</v>
      </c>
      <c r="D1722" s="2200" t="str">
        <f t="shared" si="104"/>
        <v>ME</v>
      </c>
      <c r="E1722" s="2200">
        <f t="shared" si="105"/>
        <v>11</v>
      </c>
      <c r="F1722" s="2200" t="str">
        <f t="shared" si="106"/>
        <v>23</v>
      </c>
      <c r="G1722" s="2200" t="str">
        <f t="shared" si="107"/>
        <v>66950</v>
      </c>
      <c r="H1722" s="2200">
        <f>--SUBTOTAL(3,C$2:C1722)</f>
        <v>99</v>
      </c>
    </row>
    <row r="1723" spans="1:8" hidden="1" x14ac:dyDescent="0.15">
      <c r="A1723" s="2200" t="s">
        <v>11502</v>
      </c>
      <c r="B1723" s="2200" t="s">
        <v>14158</v>
      </c>
      <c r="C1723" s="2200" t="s">
        <v>14159</v>
      </c>
      <c r="D1723" s="2200" t="str">
        <f t="shared" si="104"/>
        <v>ME</v>
      </c>
      <c r="E1723" s="2200">
        <f t="shared" si="105"/>
        <v>19</v>
      </c>
      <c r="F1723" s="2200" t="str">
        <f t="shared" si="106"/>
        <v>23</v>
      </c>
      <c r="G1723" s="2200" t="str">
        <f t="shared" si="107"/>
        <v>67160</v>
      </c>
      <c r="H1723" s="2200">
        <f>--SUBTOTAL(3,C$2:C1723)</f>
        <v>99</v>
      </c>
    </row>
    <row r="1724" spans="1:8" hidden="1" x14ac:dyDescent="0.15">
      <c r="A1724" s="2200" t="s">
        <v>11502</v>
      </c>
      <c r="B1724" s="2200" t="s">
        <v>14160</v>
      </c>
      <c r="C1724" s="2200" t="s">
        <v>14161</v>
      </c>
      <c r="D1724" s="2200" t="str">
        <f t="shared" si="104"/>
        <v>ME</v>
      </c>
      <c r="E1724" s="2200">
        <f t="shared" si="105"/>
        <v>27</v>
      </c>
      <c r="F1724" s="2200" t="str">
        <f t="shared" si="106"/>
        <v>23</v>
      </c>
      <c r="G1724" s="2200" t="str">
        <f t="shared" si="107"/>
        <v>67238</v>
      </c>
      <c r="H1724" s="2200">
        <f>--SUBTOTAL(3,C$2:C1724)</f>
        <v>99</v>
      </c>
    </row>
    <row r="1725" spans="1:8" hidden="1" x14ac:dyDescent="0.15">
      <c r="A1725" s="2200" t="s">
        <v>11502</v>
      </c>
      <c r="B1725" s="2200" t="s">
        <v>14162</v>
      </c>
      <c r="C1725" s="2200" t="s">
        <v>14163</v>
      </c>
      <c r="D1725" s="2200" t="str">
        <f t="shared" si="104"/>
        <v>ME</v>
      </c>
      <c r="E1725" s="2200">
        <f t="shared" si="105"/>
        <v>14</v>
      </c>
      <c r="F1725" s="2200" t="str">
        <f t="shared" si="106"/>
        <v>23</v>
      </c>
      <c r="G1725" s="2200" t="str">
        <f t="shared" si="107"/>
        <v>67300</v>
      </c>
      <c r="H1725" s="2200">
        <f>--SUBTOTAL(3,C$2:C1725)</f>
        <v>99</v>
      </c>
    </row>
    <row r="1726" spans="1:8" hidden="1" x14ac:dyDescent="0.15">
      <c r="A1726" s="2200" t="s">
        <v>11502</v>
      </c>
      <c r="B1726" s="2200" t="s">
        <v>14164</v>
      </c>
      <c r="C1726" s="2200" t="s">
        <v>14165</v>
      </c>
      <c r="D1726" s="2200" t="str">
        <f t="shared" si="104"/>
        <v>ME</v>
      </c>
      <c r="E1726" s="2200">
        <f t="shared" si="105"/>
        <v>15</v>
      </c>
      <c r="F1726" s="2200" t="str">
        <f t="shared" si="106"/>
        <v>23</v>
      </c>
      <c r="G1726" s="2200" t="str">
        <f t="shared" si="107"/>
        <v>67475</v>
      </c>
      <c r="H1726" s="2200">
        <f>--SUBTOTAL(3,C$2:C1726)</f>
        <v>99</v>
      </c>
    </row>
    <row r="1727" spans="1:8" hidden="1" x14ac:dyDescent="0.15">
      <c r="A1727" s="2200" t="s">
        <v>11502</v>
      </c>
      <c r="B1727" s="2200" t="s">
        <v>14166</v>
      </c>
      <c r="C1727" s="2200" t="s">
        <v>14167</v>
      </c>
      <c r="D1727" s="2200" t="str">
        <f t="shared" si="104"/>
        <v>ME</v>
      </c>
      <c r="E1727" s="2200">
        <f t="shared" si="105"/>
        <v>13</v>
      </c>
      <c r="F1727" s="2200" t="str">
        <f t="shared" si="106"/>
        <v>23</v>
      </c>
      <c r="G1727" s="2200" t="str">
        <f t="shared" si="107"/>
        <v>67790</v>
      </c>
      <c r="H1727" s="2200">
        <f>--SUBTOTAL(3,C$2:C1727)</f>
        <v>99</v>
      </c>
    </row>
    <row r="1728" spans="1:8" hidden="1" x14ac:dyDescent="0.15">
      <c r="A1728" s="2200" t="s">
        <v>11502</v>
      </c>
      <c r="B1728" s="2200" t="s">
        <v>14168</v>
      </c>
      <c r="C1728" s="2200" t="s">
        <v>14169</v>
      </c>
      <c r="D1728" s="2200" t="str">
        <f t="shared" si="104"/>
        <v>ME</v>
      </c>
      <c r="E1728" s="2200">
        <f t="shared" si="105"/>
        <v>13</v>
      </c>
      <c r="F1728" s="2200" t="str">
        <f t="shared" si="106"/>
        <v>23</v>
      </c>
      <c r="G1728" s="2200" t="str">
        <f t="shared" si="107"/>
        <v>68140</v>
      </c>
      <c r="H1728" s="2200">
        <f>--SUBTOTAL(3,C$2:C1728)</f>
        <v>99</v>
      </c>
    </row>
    <row r="1729" spans="1:8" hidden="1" x14ac:dyDescent="0.15">
      <c r="A1729" s="2200" t="s">
        <v>11502</v>
      </c>
      <c r="B1729" s="2200" t="s">
        <v>14170</v>
      </c>
      <c r="C1729" s="2200" t="s">
        <v>14171</v>
      </c>
      <c r="D1729" s="2200" t="str">
        <f t="shared" si="104"/>
        <v>ME</v>
      </c>
      <c r="E1729" s="2200">
        <f t="shared" si="105"/>
        <v>12</v>
      </c>
      <c r="F1729" s="2200" t="str">
        <f t="shared" si="106"/>
        <v>23</v>
      </c>
      <c r="G1729" s="2200" t="str">
        <f t="shared" si="107"/>
        <v>68385</v>
      </c>
      <c r="H1729" s="2200">
        <f>--SUBTOTAL(3,C$2:C1729)</f>
        <v>99</v>
      </c>
    </row>
    <row r="1730" spans="1:8" hidden="1" x14ac:dyDescent="0.15">
      <c r="A1730" s="2200" t="s">
        <v>11502</v>
      </c>
      <c r="B1730" s="2200" t="s">
        <v>14172</v>
      </c>
      <c r="C1730" s="2200" t="s">
        <v>14173</v>
      </c>
      <c r="D1730" s="2200" t="str">
        <f t="shared" ref="D1730:D1793" si="108">MID(C1730,E1730+2,2)</f>
        <v>ME</v>
      </c>
      <c r="E1730" s="2200">
        <f t="shared" ref="E1730:E1793" si="109">FIND(",",C1730)</f>
        <v>15</v>
      </c>
      <c r="F1730" s="2200" t="str">
        <f t="shared" si="106"/>
        <v>23</v>
      </c>
      <c r="G1730" s="2200" t="str">
        <f t="shared" si="107"/>
        <v>68910</v>
      </c>
      <c r="H1730" s="2200">
        <f>--SUBTOTAL(3,C$2:C1730)</f>
        <v>99</v>
      </c>
    </row>
    <row r="1731" spans="1:8" hidden="1" x14ac:dyDescent="0.15">
      <c r="A1731" s="2200" t="s">
        <v>11443</v>
      </c>
      <c r="B1731" s="2200" t="s">
        <v>14174</v>
      </c>
      <c r="C1731" s="2200" t="s">
        <v>14175</v>
      </c>
      <c r="D1731" s="2200" t="str">
        <f t="shared" si="108"/>
        <v>ME</v>
      </c>
      <c r="E1731" s="2200">
        <f t="shared" si="109"/>
        <v>10</v>
      </c>
      <c r="F1731" s="2200" t="str">
        <f t="shared" ref="F1731:F1794" si="110">MID(B1731,3,2)</f>
        <v>23</v>
      </c>
      <c r="G1731" s="2200" t="str">
        <f t="shared" ref="G1731:G1794" si="111">MID(B1731,5,5)</f>
        <v>82700</v>
      </c>
      <c r="H1731" s="2200">
        <f>--SUBTOTAL(3,C$2:C1731)</f>
        <v>99</v>
      </c>
    </row>
    <row r="1732" spans="1:8" hidden="1" x14ac:dyDescent="0.15">
      <c r="A1732" s="2200" t="s">
        <v>11502</v>
      </c>
      <c r="B1732" s="2200" t="s">
        <v>14176</v>
      </c>
      <c r="C1732" s="2200" t="s">
        <v>14177</v>
      </c>
      <c r="D1732" s="2200" t="str">
        <f t="shared" si="108"/>
        <v>ME</v>
      </c>
      <c r="E1732" s="2200">
        <f t="shared" si="109"/>
        <v>16</v>
      </c>
      <c r="F1732" s="2200" t="str">
        <f t="shared" si="110"/>
        <v>23</v>
      </c>
      <c r="G1732" s="2200" t="str">
        <f t="shared" si="111"/>
        <v>69155</v>
      </c>
      <c r="H1732" s="2200">
        <f>--SUBTOTAL(3,C$2:C1732)</f>
        <v>99</v>
      </c>
    </row>
    <row r="1733" spans="1:8" hidden="1" x14ac:dyDescent="0.15">
      <c r="A1733" s="2200" t="s">
        <v>11502</v>
      </c>
      <c r="B1733" s="2200" t="s">
        <v>14178</v>
      </c>
      <c r="C1733" s="2200" t="s">
        <v>14179</v>
      </c>
      <c r="D1733" s="2200" t="str">
        <f t="shared" si="108"/>
        <v>ME</v>
      </c>
      <c r="E1733" s="2200">
        <f t="shared" si="109"/>
        <v>12</v>
      </c>
      <c r="F1733" s="2200" t="str">
        <f t="shared" si="110"/>
        <v>23</v>
      </c>
      <c r="G1733" s="2200" t="str">
        <f t="shared" si="111"/>
        <v>69260</v>
      </c>
      <c r="H1733" s="2200">
        <f>--SUBTOTAL(3,C$2:C1733)</f>
        <v>99</v>
      </c>
    </row>
    <row r="1734" spans="1:8" hidden="1" x14ac:dyDescent="0.15">
      <c r="A1734" s="2200" t="s">
        <v>11502</v>
      </c>
      <c r="B1734" s="2200" t="s">
        <v>14180</v>
      </c>
      <c r="C1734" s="2200" t="s">
        <v>14181</v>
      </c>
      <c r="D1734" s="2200" t="str">
        <f t="shared" si="108"/>
        <v>ME</v>
      </c>
      <c r="E1734" s="2200">
        <f t="shared" si="109"/>
        <v>11</v>
      </c>
      <c r="F1734" s="2200" t="str">
        <f t="shared" si="110"/>
        <v>23</v>
      </c>
      <c r="G1734" s="2200" t="str">
        <f t="shared" si="111"/>
        <v>69505</v>
      </c>
      <c r="H1734" s="2200">
        <f>--SUBTOTAL(3,C$2:C1734)</f>
        <v>99</v>
      </c>
    </row>
    <row r="1735" spans="1:8" hidden="1" x14ac:dyDescent="0.15">
      <c r="A1735" s="2200" t="s">
        <v>11502</v>
      </c>
      <c r="B1735" s="2200" t="s">
        <v>14182</v>
      </c>
      <c r="C1735" s="2200" t="s">
        <v>14183</v>
      </c>
      <c r="D1735" s="2200" t="str">
        <f t="shared" si="108"/>
        <v>ME</v>
      </c>
      <c r="E1735" s="2200">
        <f t="shared" si="109"/>
        <v>16</v>
      </c>
      <c r="F1735" s="2200" t="str">
        <f t="shared" si="110"/>
        <v>23</v>
      </c>
      <c r="G1735" s="2200" t="str">
        <f t="shared" si="111"/>
        <v>69645</v>
      </c>
      <c r="H1735" s="2200">
        <f>--SUBTOTAL(3,C$2:C1735)</f>
        <v>99</v>
      </c>
    </row>
    <row r="1736" spans="1:8" hidden="1" x14ac:dyDescent="0.15">
      <c r="A1736" s="2200" t="s">
        <v>11502</v>
      </c>
      <c r="B1736" s="2200" t="s">
        <v>14184</v>
      </c>
      <c r="C1736" s="2200" t="s">
        <v>14185</v>
      </c>
      <c r="D1736" s="2200" t="str">
        <f t="shared" si="108"/>
        <v>ME</v>
      </c>
      <c r="E1736" s="2200">
        <f t="shared" si="109"/>
        <v>14</v>
      </c>
      <c r="F1736" s="2200" t="str">
        <f t="shared" si="110"/>
        <v>23</v>
      </c>
      <c r="G1736" s="2200" t="str">
        <f t="shared" si="111"/>
        <v>69750</v>
      </c>
      <c r="H1736" s="2200">
        <f>--SUBTOTAL(3,C$2:C1736)</f>
        <v>99</v>
      </c>
    </row>
    <row r="1737" spans="1:8" hidden="1" x14ac:dyDescent="0.15">
      <c r="A1737" s="2200" t="s">
        <v>11502</v>
      </c>
      <c r="B1737" s="2200" t="s">
        <v>14186</v>
      </c>
      <c r="C1737" s="2200" t="s">
        <v>14187</v>
      </c>
      <c r="D1737" s="2200" t="str">
        <f t="shared" si="108"/>
        <v>ME</v>
      </c>
      <c r="E1737" s="2200">
        <f t="shared" si="109"/>
        <v>28</v>
      </c>
      <c r="F1737" s="2200" t="str">
        <f t="shared" si="110"/>
        <v>23</v>
      </c>
      <c r="G1737" s="2200" t="str">
        <f t="shared" si="111"/>
        <v>69930</v>
      </c>
      <c r="H1737" s="2200">
        <f>--SUBTOTAL(3,C$2:C1737)</f>
        <v>99</v>
      </c>
    </row>
    <row r="1738" spans="1:8" hidden="1" x14ac:dyDescent="0.15">
      <c r="A1738" s="2200" t="s">
        <v>11502</v>
      </c>
      <c r="B1738" s="2200" t="s">
        <v>14188</v>
      </c>
      <c r="C1738" s="2200" t="s">
        <v>14189</v>
      </c>
      <c r="D1738" s="2200" t="str">
        <f t="shared" si="108"/>
        <v>ME</v>
      </c>
      <c r="E1738" s="2200">
        <f t="shared" si="109"/>
        <v>19</v>
      </c>
      <c r="F1738" s="2200" t="str">
        <f t="shared" si="110"/>
        <v>23</v>
      </c>
      <c r="G1738" s="2200" t="str">
        <f t="shared" si="111"/>
        <v>70030</v>
      </c>
      <c r="H1738" s="2200">
        <f>--SUBTOTAL(3,C$2:C1738)</f>
        <v>99</v>
      </c>
    </row>
    <row r="1739" spans="1:8" hidden="1" x14ac:dyDescent="0.15">
      <c r="A1739" s="2200" t="s">
        <v>11502</v>
      </c>
      <c r="B1739" s="2200" t="s">
        <v>14190</v>
      </c>
      <c r="C1739" s="2200" t="s">
        <v>14191</v>
      </c>
      <c r="D1739" s="2200" t="str">
        <f t="shared" si="108"/>
        <v>ME</v>
      </c>
      <c r="E1739" s="2200">
        <f t="shared" si="109"/>
        <v>19</v>
      </c>
      <c r="F1739" s="2200" t="str">
        <f t="shared" si="110"/>
        <v>23</v>
      </c>
      <c r="G1739" s="2200" t="str">
        <f t="shared" si="111"/>
        <v>70240</v>
      </c>
      <c r="H1739" s="2200">
        <f>--SUBTOTAL(3,C$2:C1739)</f>
        <v>99</v>
      </c>
    </row>
    <row r="1740" spans="1:8" hidden="1" x14ac:dyDescent="0.15">
      <c r="A1740" s="2200" t="s">
        <v>11502</v>
      </c>
      <c r="B1740" s="2200" t="s">
        <v>14192</v>
      </c>
      <c r="C1740" s="2200" t="s">
        <v>14193</v>
      </c>
      <c r="D1740" s="2200" t="str">
        <f t="shared" si="108"/>
        <v>ME</v>
      </c>
      <c r="E1740" s="2200">
        <f t="shared" si="109"/>
        <v>27</v>
      </c>
      <c r="F1740" s="2200" t="str">
        <f t="shared" si="110"/>
        <v>23</v>
      </c>
      <c r="G1740" s="2200" t="str">
        <f t="shared" si="111"/>
        <v>70760</v>
      </c>
      <c r="H1740" s="2200">
        <f>--SUBTOTAL(3,C$2:C1740)</f>
        <v>99</v>
      </c>
    </row>
    <row r="1741" spans="1:8" hidden="1" x14ac:dyDescent="0.15">
      <c r="A1741" s="2200" t="s">
        <v>11502</v>
      </c>
      <c r="B1741" s="2200" t="s">
        <v>14194</v>
      </c>
      <c r="C1741" s="2200" t="s">
        <v>14195</v>
      </c>
      <c r="D1741" s="2200" t="str">
        <f t="shared" si="108"/>
        <v>ME</v>
      </c>
      <c r="E1741" s="2200">
        <f t="shared" si="109"/>
        <v>25</v>
      </c>
      <c r="F1741" s="2200" t="str">
        <f t="shared" si="110"/>
        <v>23</v>
      </c>
      <c r="G1741" s="2200" t="str">
        <f t="shared" si="111"/>
        <v>71755</v>
      </c>
      <c r="H1741" s="2200">
        <f>--SUBTOTAL(3,C$2:C1741)</f>
        <v>99</v>
      </c>
    </row>
    <row r="1742" spans="1:8" hidden="1" x14ac:dyDescent="0.15">
      <c r="A1742" s="2200" t="s">
        <v>10723</v>
      </c>
      <c r="B1742" s="2200" t="s">
        <v>14196</v>
      </c>
      <c r="C1742" s="2200" t="s">
        <v>14197</v>
      </c>
      <c r="D1742" s="2200" t="str">
        <f t="shared" si="108"/>
        <v>ME</v>
      </c>
      <c r="E1742" s="2200">
        <f t="shared" si="109"/>
        <v>20</v>
      </c>
      <c r="F1742" s="2200" t="str">
        <f t="shared" si="110"/>
        <v>23</v>
      </c>
      <c r="G1742" s="2200" t="str">
        <f t="shared" si="111"/>
        <v>71990</v>
      </c>
      <c r="H1742" s="2200">
        <f>--SUBTOTAL(3,C$2:C1742)</f>
        <v>99</v>
      </c>
    </row>
    <row r="1743" spans="1:8" hidden="1" x14ac:dyDescent="0.15">
      <c r="A1743" s="2200" t="s">
        <v>11502</v>
      </c>
      <c r="B1743" s="2200" t="s">
        <v>14198</v>
      </c>
      <c r="C1743" s="2200" t="s">
        <v>14199</v>
      </c>
      <c r="D1743" s="2200" t="str">
        <f t="shared" si="108"/>
        <v>ME</v>
      </c>
      <c r="E1743" s="2200">
        <f t="shared" si="109"/>
        <v>21</v>
      </c>
      <c r="F1743" s="2200" t="str">
        <f t="shared" si="110"/>
        <v>23</v>
      </c>
      <c r="G1743" s="2200" t="str">
        <f t="shared" si="111"/>
        <v>72585</v>
      </c>
      <c r="H1743" s="2200">
        <f>--SUBTOTAL(3,C$2:C1743)</f>
        <v>99</v>
      </c>
    </row>
    <row r="1744" spans="1:8" hidden="1" x14ac:dyDescent="0.15">
      <c r="A1744" s="2200" t="s">
        <v>11502</v>
      </c>
      <c r="B1744" s="2200" t="s">
        <v>14200</v>
      </c>
      <c r="C1744" s="2200" t="s">
        <v>14201</v>
      </c>
      <c r="D1744" s="2200" t="str">
        <f t="shared" si="108"/>
        <v>ME</v>
      </c>
      <c r="E1744" s="2200">
        <f t="shared" si="109"/>
        <v>34</v>
      </c>
      <c r="F1744" s="2200" t="str">
        <f t="shared" si="110"/>
        <v>23</v>
      </c>
      <c r="G1744" s="2200" t="str">
        <f t="shared" si="111"/>
        <v>70655</v>
      </c>
      <c r="H1744" s="2200">
        <f>--SUBTOTAL(3,C$2:C1744)</f>
        <v>99</v>
      </c>
    </row>
    <row r="1745" spans="1:8" hidden="1" x14ac:dyDescent="0.15">
      <c r="A1745" s="2200" t="s">
        <v>11502</v>
      </c>
      <c r="B1745" s="2200" t="s">
        <v>14202</v>
      </c>
      <c r="C1745" s="2200" t="s">
        <v>14203</v>
      </c>
      <c r="D1745" s="2200" t="str">
        <f t="shared" si="108"/>
        <v>ME</v>
      </c>
      <c r="E1745" s="2200">
        <f t="shared" si="109"/>
        <v>15</v>
      </c>
      <c r="F1745" s="2200" t="str">
        <f t="shared" si="110"/>
        <v>23</v>
      </c>
      <c r="G1745" s="2200" t="str">
        <f t="shared" si="111"/>
        <v>71955</v>
      </c>
      <c r="H1745" s="2200">
        <f>--SUBTOTAL(3,C$2:C1745)</f>
        <v>99</v>
      </c>
    </row>
    <row r="1746" spans="1:8" hidden="1" x14ac:dyDescent="0.15">
      <c r="A1746" s="2200" t="s">
        <v>11502</v>
      </c>
      <c r="B1746" s="2200" t="s">
        <v>14204</v>
      </c>
      <c r="C1746" s="2200" t="s">
        <v>14205</v>
      </c>
      <c r="D1746" s="2200" t="str">
        <f t="shared" si="108"/>
        <v>ME</v>
      </c>
      <c r="E1746" s="2200">
        <f t="shared" si="109"/>
        <v>22</v>
      </c>
      <c r="F1746" s="2200" t="str">
        <f t="shared" si="110"/>
        <v>23</v>
      </c>
      <c r="G1746" s="2200" t="str">
        <f t="shared" si="111"/>
        <v>72865</v>
      </c>
      <c r="H1746" s="2200">
        <f>--SUBTOTAL(3,C$2:C1746)</f>
        <v>99</v>
      </c>
    </row>
    <row r="1747" spans="1:8" hidden="1" x14ac:dyDescent="0.15">
      <c r="A1747" s="2200" t="s">
        <v>11502</v>
      </c>
      <c r="B1747" s="2200" t="s">
        <v>14206</v>
      </c>
      <c r="C1747" s="2200" t="s">
        <v>14207</v>
      </c>
      <c r="D1747" s="2200" t="str">
        <f t="shared" si="108"/>
        <v>ME</v>
      </c>
      <c r="E1747" s="2200">
        <f t="shared" si="109"/>
        <v>17</v>
      </c>
      <c r="F1747" s="2200" t="str">
        <f t="shared" si="110"/>
        <v>23</v>
      </c>
      <c r="G1747" s="2200" t="str">
        <f t="shared" si="111"/>
        <v>73250</v>
      </c>
      <c r="H1747" s="2200">
        <f>--SUBTOTAL(3,C$2:C1747)</f>
        <v>99</v>
      </c>
    </row>
    <row r="1748" spans="1:8" hidden="1" x14ac:dyDescent="0.15">
      <c r="A1748" s="2200" t="s">
        <v>11502</v>
      </c>
      <c r="B1748" s="2200" t="s">
        <v>14208</v>
      </c>
      <c r="C1748" s="2200" t="s">
        <v>14209</v>
      </c>
      <c r="D1748" s="2200" t="str">
        <f t="shared" si="108"/>
        <v>ME</v>
      </c>
      <c r="E1748" s="2200">
        <f t="shared" si="109"/>
        <v>24</v>
      </c>
      <c r="F1748" s="2200" t="str">
        <f t="shared" si="110"/>
        <v>23</v>
      </c>
      <c r="G1748" s="2200" t="str">
        <f t="shared" si="111"/>
        <v>73472</v>
      </c>
      <c r="H1748" s="2200">
        <f>--SUBTOTAL(3,C$2:C1748)</f>
        <v>99</v>
      </c>
    </row>
    <row r="1749" spans="1:8" hidden="1" x14ac:dyDescent="0.15">
      <c r="A1749" s="2200" t="s">
        <v>11502</v>
      </c>
      <c r="B1749" s="2200" t="s">
        <v>14210</v>
      </c>
      <c r="C1749" s="2200" t="s">
        <v>14211</v>
      </c>
      <c r="D1749" s="2200" t="str">
        <f t="shared" si="108"/>
        <v>ME</v>
      </c>
      <c r="E1749" s="2200">
        <f t="shared" si="109"/>
        <v>16</v>
      </c>
      <c r="F1749" s="2200" t="str">
        <f t="shared" si="110"/>
        <v>23</v>
      </c>
      <c r="G1749" s="2200" t="str">
        <f t="shared" si="111"/>
        <v>64780</v>
      </c>
      <c r="H1749" s="2200">
        <f>--SUBTOTAL(3,C$2:C1749)</f>
        <v>99</v>
      </c>
    </row>
    <row r="1750" spans="1:8" hidden="1" x14ac:dyDescent="0.15">
      <c r="A1750" s="2200" t="s">
        <v>11502</v>
      </c>
      <c r="B1750" s="2200" t="s">
        <v>14212</v>
      </c>
      <c r="C1750" s="2200" t="s">
        <v>14213</v>
      </c>
      <c r="D1750" s="2200" t="str">
        <f t="shared" si="108"/>
        <v>ME</v>
      </c>
      <c r="E1750" s="2200">
        <f t="shared" si="109"/>
        <v>16</v>
      </c>
      <c r="F1750" s="2200" t="str">
        <f t="shared" si="110"/>
        <v>23</v>
      </c>
      <c r="G1750" s="2200" t="str">
        <f t="shared" si="111"/>
        <v>64850</v>
      </c>
      <c r="H1750" s="2200">
        <f>--SUBTOTAL(3,C$2:C1750)</f>
        <v>99</v>
      </c>
    </row>
    <row r="1751" spans="1:8" hidden="1" x14ac:dyDescent="0.15">
      <c r="A1751" s="2200" t="s">
        <v>11502</v>
      </c>
      <c r="B1751" s="2200" t="s">
        <v>14214</v>
      </c>
      <c r="C1751" s="2200" t="s">
        <v>14215</v>
      </c>
      <c r="D1751" s="2200" t="str">
        <f t="shared" si="108"/>
        <v>ME</v>
      </c>
      <c r="E1751" s="2200">
        <f t="shared" si="109"/>
        <v>17</v>
      </c>
      <c r="F1751" s="2200" t="str">
        <f t="shared" si="110"/>
        <v>23</v>
      </c>
      <c r="G1751" s="2200" t="str">
        <f t="shared" si="111"/>
        <v>65025</v>
      </c>
      <c r="H1751" s="2200">
        <f>--SUBTOTAL(3,C$2:C1751)</f>
        <v>99</v>
      </c>
    </row>
    <row r="1752" spans="1:8" hidden="1" x14ac:dyDescent="0.15">
      <c r="A1752" s="2200" t="s">
        <v>11502</v>
      </c>
      <c r="B1752" s="2200" t="s">
        <v>14216</v>
      </c>
      <c r="C1752" s="2200" t="s">
        <v>14217</v>
      </c>
      <c r="D1752" s="2200" t="str">
        <f t="shared" si="108"/>
        <v>ME</v>
      </c>
      <c r="E1752" s="2200">
        <f t="shared" si="109"/>
        <v>16</v>
      </c>
      <c r="F1752" s="2200" t="str">
        <f t="shared" si="110"/>
        <v>23</v>
      </c>
      <c r="G1752" s="2200" t="str">
        <f t="shared" si="111"/>
        <v>65130</v>
      </c>
      <c r="H1752" s="2200">
        <f>--SUBTOTAL(3,C$2:C1752)</f>
        <v>99</v>
      </c>
    </row>
    <row r="1753" spans="1:8" hidden="1" x14ac:dyDescent="0.15">
      <c r="A1753" s="2200" t="s">
        <v>11502</v>
      </c>
      <c r="B1753" s="2200" t="s">
        <v>14218</v>
      </c>
      <c r="C1753" s="2200" t="s">
        <v>14219</v>
      </c>
      <c r="D1753" s="2200" t="str">
        <f t="shared" si="108"/>
        <v>ME</v>
      </c>
      <c r="E1753" s="2200">
        <f t="shared" si="109"/>
        <v>20</v>
      </c>
      <c r="F1753" s="2200" t="str">
        <f t="shared" si="110"/>
        <v>23</v>
      </c>
      <c r="G1753" s="2200" t="str">
        <f t="shared" si="111"/>
        <v>65200</v>
      </c>
      <c r="H1753" s="2200">
        <f>--SUBTOTAL(3,C$2:C1753)</f>
        <v>99</v>
      </c>
    </row>
    <row r="1754" spans="1:8" hidden="1" x14ac:dyDescent="0.15">
      <c r="A1754" s="2200" t="s">
        <v>11502</v>
      </c>
      <c r="B1754" s="2200" t="s">
        <v>14220</v>
      </c>
      <c r="C1754" s="2200" t="s">
        <v>14221</v>
      </c>
      <c r="D1754" s="2200" t="str">
        <f t="shared" si="108"/>
        <v>ME</v>
      </c>
      <c r="E1754" s="2200">
        <f t="shared" si="109"/>
        <v>16</v>
      </c>
      <c r="F1754" s="2200" t="str">
        <f t="shared" si="110"/>
        <v>23</v>
      </c>
      <c r="G1754" s="2200" t="str">
        <f t="shared" si="111"/>
        <v>73600</v>
      </c>
      <c r="H1754" s="2200">
        <f>--SUBTOTAL(3,C$2:C1754)</f>
        <v>99</v>
      </c>
    </row>
    <row r="1755" spans="1:8" hidden="1" x14ac:dyDescent="0.15">
      <c r="A1755" s="2200" t="s">
        <v>11502</v>
      </c>
      <c r="B1755" s="2200" t="s">
        <v>14222</v>
      </c>
      <c r="C1755" s="2200" t="s">
        <v>14223</v>
      </c>
      <c r="D1755" s="2200" t="str">
        <f t="shared" si="108"/>
        <v>ME</v>
      </c>
      <c r="E1755" s="2200">
        <f t="shared" si="109"/>
        <v>14</v>
      </c>
      <c r="F1755" s="2200" t="str">
        <f t="shared" si="110"/>
        <v>23</v>
      </c>
      <c r="G1755" s="2200" t="str">
        <f t="shared" si="111"/>
        <v>73670</v>
      </c>
      <c r="H1755" s="2200">
        <f>--SUBTOTAL(3,C$2:C1755)</f>
        <v>99</v>
      </c>
    </row>
    <row r="1756" spans="1:8" hidden="1" x14ac:dyDescent="0.15">
      <c r="A1756" s="2200" t="s">
        <v>11502</v>
      </c>
      <c r="B1756" s="2200" t="s">
        <v>14224</v>
      </c>
      <c r="C1756" s="2200" t="s">
        <v>14225</v>
      </c>
      <c r="D1756" s="2200" t="str">
        <f t="shared" si="108"/>
        <v>ME</v>
      </c>
      <c r="E1756" s="2200">
        <f t="shared" si="109"/>
        <v>12</v>
      </c>
      <c r="F1756" s="2200" t="str">
        <f t="shared" si="110"/>
        <v>23</v>
      </c>
      <c r="G1756" s="2200" t="str">
        <f t="shared" si="111"/>
        <v>73845</v>
      </c>
      <c r="H1756" s="2200">
        <f>--SUBTOTAL(3,C$2:C1756)</f>
        <v>99</v>
      </c>
    </row>
    <row r="1757" spans="1:8" hidden="1" x14ac:dyDescent="0.15">
      <c r="A1757" s="2200" t="s">
        <v>11502</v>
      </c>
      <c r="B1757" s="2200" t="s">
        <v>14226</v>
      </c>
      <c r="C1757" s="2200" t="s">
        <v>14227</v>
      </c>
      <c r="D1757" s="2200" t="str">
        <f t="shared" si="108"/>
        <v>ME</v>
      </c>
      <c r="E1757" s="2200">
        <f t="shared" si="109"/>
        <v>13</v>
      </c>
      <c r="F1757" s="2200" t="str">
        <f t="shared" si="110"/>
        <v>23</v>
      </c>
      <c r="G1757" s="2200" t="str">
        <f t="shared" si="111"/>
        <v>74055</v>
      </c>
      <c r="H1757" s="2200">
        <f>--SUBTOTAL(3,C$2:C1757)</f>
        <v>99</v>
      </c>
    </row>
    <row r="1758" spans="1:8" hidden="1" x14ac:dyDescent="0.15">
      <c r="A1758" s="2200" t="s">
        <v>11502</v>
      </c>
      <c r="B1758" s="2200" t="s">
        <v>14228</v>
      </c>
      <c r="C1758" s="2200" t="s">
        <v>14229</v>
      </c>
      <c r="D1758" s="2200" t="str">
        <f t="shared" si="108"/>
        <v>ME</v>
      </c>
      <c r="E1758" s="2200">
        <f t="shared" si="109"/>
        <v>13</v>
      </c>
      <c r="F1758" s="2200" t="str">
        <f t="shared" si="110"/>
        <v>23</v>
      </c>
      <c r="G1758" s="2200" t="str">
        <f t="shared" si="111"/>
        <v>74125</v>
      </c>
      <c r="H1758" s="2200">
        <f>--SUBTOTAL(3,C$2:C1758)</f>
        <v>99</v>
      </c>
    </row>
    <row r="1759" spans="1:8" hidden="1" x14ac:dyDescent="0.15">
      <c r="A1759" s="2200" t="s">
        <v>11502</v>
      </c>
      <c r="B1759" s="2200" t="s">
        <v>14230</v>
      </c>
      <c r="C1759" s="2200" t="s">
        <v>14231</v>
      </c>
      <c r="D1759" s="2200" t="str">
        <f t="shared" si="108"/>
        <v>ME</v>
      </c>
      <c r="E1759" s="2200">
        <f t="shared" si="109"/>
        <v>15</v>
      </c>
      <c r="F1759" s="2200" t="str">
        <f t="shared" si="110"/>
        <v>23</v>
      </c>
      <c r="G1759" s="2200" t="str">
        <f t="shared" si="111"/>
        <v>74405</v>
      </c>
      <c r="H1759" s="2200">
        <f>--SUBTOTAL(3,C$2:C1759)</f>
        <v>99</v>
      </c>
    </row>
    <row r="1760" spans="1:8" hidden="1" x14ac:dyDescent="0.15">
      <c r="A1760" s="2200" t="s">
        <v>11502</v>
      </c>
      <c r="B1760" s="2200" t="s">
        <v>14232</v>
      </c>
      <c r="C1760" s="2200" t="s">
        <v>14233</v>
      </c>
      <c r="D1760" s="2200" t="str">
        <f t="shared" si="108"/>
        <v>ME</v>
      </c>
      <c r="E1760" s="2200">
        <f t="shared" si="109"/>
        <v>22</v>
      </c>
      <c r="F1760" s="2200" t="str">
        <f t="shared" si="110"/>
        <v>23</v>
      </c>
      <c r="G1760" s="2200" t="str">
        <f t="shared" si="111"/>
        <v>74475</v>
      </c>
      <c r="H1760" s="2200">
        <f>--SUBTOTAL(3,C$2:C1760)</f>
        <v>99</v>
      </c>
    </row>
    <row r="1761" spans="1:8" hidden="1" x14ac:dyDescent="0.15">
      <c r="A1761" s="2200" t="s">
        <v>11502</v>
      </c>
      <c r="B1761" s="2200" t="s">
        <v>14234</v>
      </c>
      <c r="C1761" s="2200" t="s">
        <v>14235</v>
      </c>
      <c r="D1761" s="2200" t="str">
        <f t="shared" si="108"/>
        <v>ME</v>
      </c>
      <c r="E1761" s="2200">
        <f t="shared" si="109"/>
        <v>14</v>
      </c>
      <c r="F1761" s="2200" t="str">
        <f t="shared" si="110"/>
        <v>23</v>
      </c>
      <c r="G1761" s="2200" t="str">
        <f t="shared" si="111"/>
        <v>74510</v>
      </c>
      <c r="H1761" s="2200">
        <f>--SUBTOTAL(3,C$2:C1761)</f>
        <v>99</v>
      </c>
    </row>
    <row r="1762" spans="1:8" hidden="1" x14ac:dyDescent="0.15">
      <c r="A1762" s="2200" t="s">
        <v>11502</v>
      </c>
      <c r="B1762" s="2200" t="s">
        <v>14236</v>
      </c>
      <c r="C1762" s="2200" t="s">
        <v>14237</v>
      </c>
      <c r="D1762" s="2200" t="str">
        <f t="shared" si="108"/>
        <v>ME</v>
      </c>
      <c r="E1762" s="2200">
        <f t="shared" si="109"/>
        <v>16</v>
      </c>
      <c r="F1762" s="2200" t="str">
        <f t="shared" si="110"/>
        <v>23</v>
      </c>
      <c r="G1762" s="2200" t="str">
        <f t="shared" si="111"/>
        <v>74580</v>
      </c>
      <c r="H1762" s="2200">
        <f>--SUBTOTAL(3,C$2:C1762)</f>
        <v>99</v>
      </c>
    </row>
    <row r="1763" spans="1:8" hidden="1" x14ac:dyDescent="0.15">
      <c r="A1763" s="2200" t="s">
        <v>11502</v>
      </c>
      <c r="B1763" s="2200" t="s">
        <v>14238</v>
      </c>
      <c r="C1763" s="2200" t="s">
        <v>14239</v>
      </c>
      <c r="D1763" s="2200" t="str">
        <f t="shared" si="108"/>
        <v>ME</v>
      </c>
      <c r="E1763" s="2200">
        <f t="shared" si="109"/>
        <v>10</v>
      </c>
      <c r="F1763" s="2200" t="str">
        <f t="shared" si="110"/>
        <v>23</v>
      </c>
      <c r="G1763" s="2200" t="str">
        <f t="shared" si="111"/>
        <v>74685</v>
      </c>
      <c r="H1763" s="2200">
        <f>--SUBTOTAL(3,C$2:C1763)</f>
        <v>99</v>
      </c>
    </row>
    <row r="1764" spans="1:8" hidden="1" x14ac:dyDescent="0.15">
      <c r="A1764" s="2200" t="s">
        <v>11502</v>
      </c>
      <c r="B1764" s="2200" t="s">
        <v>14240</v>
      </c>
      <c r="C1764" s="2200" t="s">
        <v>14241</v>
      </c>
      <c r="D1764" s="2200" t="str">
        <f t="shared" si="108"/>
        <v>ME</v>
      </c>
      <c r="E1764" s="2200">
        <f t="shared" si="109"/>
        <v>12</v>
      </c>
      <c r="F1764" s="2200" t="str">
        <f t="shared" si="110"/>
        <v>23</v>
      </c>
      <c r="G1764" s="2200" t="str">
        <f t="shared" si="111"/>
        <v>74825</v>
      </c>
      <c r="H1764" s="2200">
        <f>--SUBTOTAL(3,C$2:C1764)</f>
        <v>99</v>
      </c>
    </row>
    <row r="1765" spans="1:8" hidden="1" x14ac:dyDescent="0.15">
      <c r="A1765" s="2200" t="s">
        <v>11502</v>
      </c>
      <c r="B1765" s="2200" t="s">
        <v>14242</v>
      </c>
      <c r="C1765" s="2200" t="s">
        <v>14243</v>
      </c>
      <c r="D1765" s="2200" t="str">
        <f t="shared" si="108"/>
        <v>ME</v>
      </c>
      <c r="E1765" s="2200">
        <f t="shared" si="109"/>
        <v>14</v>
      </c>
      <c r="F1765" s="2200" t="str">
        <f t="shared" si="110"/>
        <v>23</v>
      </c>
      <c r="G1765" s="2200" t="str">
        <f t="shared" si="111"/>
        <v>74965</v>
      </c>
      <c r="H1765" s="2200">
        <f>--SUBTOTAL(3,C$2:C1765)</f>
        <v>99</v>
      </c>
    </row>
    <row r="1766" spans="1:8" hidden="1" x14ac:dyDescent="0.15">
      <c r="A1766" s="2200" t="s">
        <v>11502</v>
      </c>
      <c r="B1766" s="2200" t="s">
        <v>14244</v>
      </c>
      <c r="C1766" s="2200" t="s">
        <v>14245</v>
      </c>
      <c r="D1766" s="2200" t="str">
        <f t="shared" si="108"/>
        <v>ME</v>
      </c>
      <c r="E1766" s="2200">
        <f t="shared" si="109"/>
        <v>12</v>
      </c>
      <c r="F1766" s="2200" t="str">
        <f t="shared" si="110"/>
        <v>23</v>
      </c>
      <c r="G1766" s="2200" t="str">
        <f t="shared" si="111"/>
        <v>75035</v>
      </c>
      <c r="H1766" s="2200">
        <f>--SUBTOTAL(3,C$2:C1766)</f>
        <v>99</v>
      </c>
    </row>
    <row r="1767" spans="1:8" hidden="1" x14ac:dyDescent="0.15">
      <c r="A1767" s="2200" t="s">
        <v>11502</v>
      </c>
      <c r="B1767" s="2200" t="s">
        <v>14246</v>
      </c>
      <c r="C1767" s="2200" t="s">
        <v>14247</v>
      </c>
      <c r="D1767" s="2200" t="str">
        <f t="shared" si="108"/>
        <v>ME</v>
      </c>
      <c r="E1767" s="2200">
        <f t="shared" si="109"/>
        <v>11</v>
      </c>
      <c r="F1767" s="2200" t="str">
        <f t="shared" si="110"/>
        <v>23</v>
      </c>
      <c r="G1767" s="2200" t="str">
        <f t="shared" si="111"/>
        <v>75280</v>
      </c>
      <c r="H1767" s="2200">
        <f>--SUBTOTAL(3,C$2:C1767)</f>
        <v>99</v>
      </c>
    </row>
    <row r="1768" spans="1:8" hidden="1" x14ac:dyDescent="0.15">
      <c r="A1768" s="2200" t="s">
        <v>11502</v>
      </c>
      <c r="B1768" s="2200" t="s">
        <v>14248</v>
      </c>
      <c r="C1768" s="2200" t="s">
        <v>14249</v>
      </c>
      <c r="D1768" s="2200" t="str">
        <f t="shared" si="108"/>
        <v>ME</v>
      </c>
      <c r="E1768" s="2200">
        <f t="shared" si="109"/>
        <v>18</v>
      </c>
      <c r="F1768" s="2200" t="str">
        <f t="shared" si="110"/>
        <v>23</v>
      </c>
      <c r="G1768" s="2200" t="str">
        <f t="shared" si="111"/>
        <v>75455</v>
      </c>
      <c r="H1768" s="2200">
        <f>--SUBTOTAL(3,C$2:C1768)</f>
        <v>99</v>
      </c>
    </row>
    <row r="1769" spans="1:8" hidden="1" x14ac:dyDescent="0.15">
      <c r="A1769" s="2200" t="s">
        <v>11502</v>
      </c>
      <c r="B1769" s="2200" t="s">
        <v>14250</v>
      </c>
      <c r="C1769" s="2200" t="s">
        <v>14251</v>
      </c>
      <c r="D1769" s="2200" t="str">
        <f t="shared" si="108"/>
        <v>ME</v>
      </c>
      <c r="E1769" s="2200">
        <f t="shared" si="109"/>
        <v>15</v>
      </c>
      <c r="F1769" s="2200" t="str">
        <f t="shared" si="110"/>
        <v>23</v>
      </c>
      <c r="G1769" s="2200" t="str">
        <f t="shared" si="111"/>
        <v>75525</v>
      </c>
      <c r="H1769" s="2200">
        <f>--SUBTOTAL(3,C$2:C1769)</f>
        <v>99</v>
      </c>
    </row>
    <row r="1770" spans="1:8" hidden="1" x14ac:dyDescent="0.15">
      <c r="A1770" s="2200" t="s">
        <v>11502</v>
      </c>
      <c r="B1770" s="2200" t="s">
        <v>14252</v>
      </c>
      <c r="C1770" s="2200" t="s">
        <v>14253</v>
      </c>
      <c r="D1770" s="2200" t="str">
        <f t="shared" si="108"/>
        <v>ME</v>
      </c>
      <c r="E1770" s="2200">
        <f t="shared" si="109"/>
        <v>12</v>
      </c>
      <c r="F1770" s="2200" t="str">
        <f t="shared" si="110"/>
        <v>23</v>
      </c>
      <c r="G1770" s="2200" t="str">
        <f t="shared" si="111"/>
        <v>75595</v>
      </c>
      <c r="H1770" s="2200">
        <f>--SUBTOTAL(3,C$2:C1770)</f>
        <v>99</v>
      </c>
    </row>
    <row r="1771" spans="1:8" hidden="1" x14ac:dyDescent="0.15">
      <c r="A1771" s="2200" t="s">
        <v>11502</v>
      </c>
      <c r="B1771" s="2200" t="s">
        <v>14254</v>
      </c>
      <c r="C1771" s="2200" t="s">
        <v>14255</v>
      </c>
      <c r="D1771" s="2200" t="str">
        <f t="shared" si="108"/>
        <v>ME</v>
      </c>
      <c r="E1771" s="2200">
        <f t="shared" si="109"/>
        <v>14</v>
      </c>
      <c r="F1771" s="2200" t="str">
        <f t="shared" si="110"/>
        <v>23</v>
      </c>
      <c r="G1771" s="2200" t="str">
        <f t="shared" si="111"/>
        <v>75770</v>
      </c>
      <c r="H1771" s="2200">
        <f>--SUBTOTAL(3,C$2:C1771)</f>
        <v>99</v>
      </c>
    </row>
    <row r="1772" spans="1:8" hidden="1" x14ac:dyDescent="0.15">
      <c r="A1772" s="2200" t="s">
        <v>11502</v>
      </c>
      <c r="B1772" s="2200" t="s">
        <v>14256</v>
      </c>
      <c r="C1772" s="2200" t="s">
        <v>14257</v>
      </c>
      <c r="D1772" s="2200" t="str">
        <f t="shared" si="108"/>
        <v>ME</v>
      </c>
      <c r="E1772" s="2200">
        <f t="shared" si="109"/>
        <v>12</v>
      </c>
      <c r="F1772" s="2200" t="str">
        <f t="shared" si="110"/>
        <v>23</v>
      </c>
      <c r="G1772" s="2200" t="str">
        <f t="shared" si="111"/>
        <v>75980</v>
      </c>
      <c r="H1772" s="2200">
        <f>--SUBTOTAL(3,C$2:C1772)</f>
        <v>99</v>
      </c>
    </row>
    <row r="1773" spans="1:8" hidden="1" x14ac:dyDescent="0.15">
      <c r="A1773" s="2200" t="s">
        <v>11502</v>
      </c>
      <c r="B1773" s="2200" t="s">
        <v>14258</v>
      </c>
      <c r="C1773" s="2200" t="s">
        <v>14259</v>
      </c>
      <c r="D1773" s="2200" t="str">
        <f t="shared" si="108"/>
        <v>ME</v>
      </c>
      <c r="E1773" s="2200">
        <f t="shared" si="109"/>
        <v>21</v>
      </c>
      <c r="F1773" s="2200" t="str">
        <f t="shared" si="110"/>
        <v>23</v>
      </c>
      <c r="G1773" s="2200" t="str">
        <f t="shared" si="111"/>
        <v>76190</v>
      </c>
      <c r="H1773" s="2200">
        <f>--SUBTOTAL(3,C$2:C1773)</f>
        <v>99</v>
      </c>
    </row>
    <row r="1774" spans="1:8" hidden="1" x14ac:dyDescent="0.15">
      <c r="A1774" s="2200" t="s">
        <v>11502</v>
      </c>
      <c r="B1774" s="2200" t="s">
        <v>14260</v>
      </c>
      <c r="C1774" s="2200" t="s">
        <v>14261</v>
      </c>
      <c r="D1774" s="2200" t="str">
        <f t="shared" si="108"/>
        <v>ME</v>
      </c>
      <c r="E1774" s="2200">
        <f t="shared" si="109"/>
        <v>15</v>
      </c>
      <c r="F1774" s="2200" t="str">
        <f t="shared" si="110"/>
        <v>23</v>
      </c>
      <c r="G1774" s="2200" t="str">
        <f t="shared" si="111"/>
        <v>76365</v>
      </c>
      <c r="H1774" s="2200">
        <f>--SUBTOTAL(3,C$2:C1774)</f>
        <v>99</v>
      </c>
    </row>
    <row r="1775" spans="1:8" hidden="1" x14ac:dyDescent="0.15">
      <c r="A1775" s="2200" t="s">
        <v>11502</v>
      </c>
      <c r="B1775" s="2200" t="s">
        <v>14262</v>
      </c>
      <c r="C1775" s="2200" t="s">
        <v>14263</v>
      </c>
      <c r="D1775" s="2200" t="str">
        <f t="shared" si="108"/>
        <v>ME</v>
      </c>
      <c r="E1775" s="2200">
        <f t="shared" si="109"/>
        <v>15</v>
      </c>
      <c r="F1775" s="2200" t="str">
        <f t="shared" si="110"/>
        <v>23</v>
      </c>
      <c r="G1775" s="2200" t="str">
        <f t="shared" si="111"/>
        <v>76610</v>
      </c>
      <c r="H1775" s="2200">
        <f>--SUBTOTAL(3,C$2:C1775)</f>
        <v>99</v>
      </c>
    </row>
    <row r="1776" spans="1:8" hidden="1" x14ac:dyDescent="0.15">
      <c r="A1776" s="2200" t="s">
        <v>11502</v>
      </c>
      <c r="B1776" s="2200" t="s">
        <v>14264</v>
      </c>
      <c r="C1776" s="2200" t="s">
        <v>14265</v>
      </c>
      <c r="D1776" s="2200" t="str">
        <f t="shared" si="108"/>
        <v>ME</v>
      </c>
      <c r="E1776" s="2200">
        <f t="shared" si="109"/>
        <v>15</v>
      </c>
      <c r="F1776" s="2200" t="str">
        <f t="shared" si="110"/>
        <v>23</v>
      </c>
      <c r="G1776" s="2200" t="str">
        <f t="shared" si="111"/>
        <v>76895</v>
      </c>
      <c r="H1776" s="2200">
        <f>--SUBTOTAL(3,C$2:C1776)</f>
        <v>99</v>
      </c>
    </row>
    <row r="1777" spans="1:8" hidden="1" x14ac:dyDescent="0.15">
      <c r="A1777" s="2200" t="s">
        <v>11502</v>
      </c>
      <c r="B1777" s="2200" t="s">
        <v>14266</v>
      </c>
      <c r="C1777" s="2200" t="s">
        <v>14267</v>
      </c>
      <c r="D1777" s="2200" t="str">
        <f t="shared" si="108"/>
        <v>ME</v>
      </c>
      <c r="E1777" s="2200">
        <f t="shared" si="109"/>
        <v>13</v>
      </c>
      <c r="F1777" s="2200" t="str">
        <f t="shared" si="110"/>
        <v>23</v>
      </c>
      <c r="G1777" s="2200" t="str">
        <f t="shared" si="111"/>
        <v>76960</v>
      </c>
      <c r="H1777" s="2200">
        <f>--SUBTOTAL(3,C$2:C1777)</f>
        <v>99</v>
      </c>
    </row>
    <row r="1778" spans="1:8" hidden="1" x14ac:dyDescent="0.15">
      <c r="A1778" s="2200" t="s">
        <v>11502</v>
      </c>
      <c r="B1778" s="2200" t="s">
        <v>14268</v>
      </c>
      <c r="C1778" s="2200" t="s">
        <v>14269</v>
      </c>
      <c r="D1778" s="2200" t="str">
        <f t="shared" si="108"/>
        <v>ME</v>
      </c>
      <c r="E1778" s="2200">
        <f t="shared" si="109"/>
        <v>13</v>
      </c>
      <c r="F1778" s="2200" t="str">
        <f t="shared" si="110"/>
        <v>23</v>
      </c>
      <c r="G1778" s="2200" t="str">
        <f t="shared" si="111"/>
        <v>77345</v>
      </c>
      <c r="H1778" s="2200">
        <f>--SUBTOTAL(3,C$2:C1778)</f>
        <v>99</v>
      </c>
    </row>
    <row r="1779" spans="1:8" hidden="1" x14ac:dyDescent="0.15">
      <c r="A1779" s="2200" t="s">
        <v>11502</v>
      </c>
      <c r="B1779" s="2200" t="s">
        <v>14270</v>
      </c>
      <c r="C1779" s="2200" t="s">
        <v>14271</v>
      </c>
      <c r="D1779" s="2200" t="str">
        <f t="shared" si="108"/>
        <v>ME</v>
      </c>
      <c r="E1779" s="2200">
        <f t="shared" si="109"/>
        <v>13</v>
      </c>
      <c r="F1779" s="2200" t="str">
        <f t="shared" si="110"/>
        <v>23</v>
      </c>
      <c r="G1779" s="2200" t="str">
        <f t="shared" si="111"/>
        <v>77415</v>
      </c>
      <c r="H1779" s="2200">
        <f>--SUBTOTAL(3,C$2:C1779)</f>
        <v>99</v>
      </c>
    </row>
    <row r="1780" spans="1:8" hidden="1" x14ac:dyDescent="0.15">
      <c r="A1780" s="2200" t="s">
        <v>11502</v>
      </c>
      <c r="B1780" s="2200" t="s">
        <v>14272</v>
      </c>
      <c r="C1780" s="2200" t="s">
        <v>14273</v>
      </c>
      <c r="D1780" s="2200" t="str">
        <f t="shared" si="108"/>
        <v>ME</v>
      </c>
      <c r="E1780" s="2200">
        <f t="shared" si="109"/>
        <v>10</v>
      </c>
      <c r="F1780" s="2200" t="str">
        <f t="shared" si="110"/>
        <v>23</v>
      </c>
      <c r="G1780" s="2200" t="str">
        <f t="shared" si="111"/>
        <v>77625</v>
      </c>
      <c r="H1780" s="2200">
        <f>--SUBTOTAL(3,C$2:C1780)</f>
        <v>99</v>
      </c>
    </row>
    <row r="1781" spans="1:8" hidden="1" x14ac:dyDescent="0.15">
      <c r="A1781" s="2200" t="s">
        <v>11502</v>
      </c>
      <c r="B1781" s="2200" t="s">
        <v>14274</v>
      </c>
      <c r="C1781" s="2200" t="s">
        <v>14275</v>
      </c>
      <c r="D1781" s="2200" t="str">
        <f t="shared" si="108"/>
        <v>ME</v>
      </c>
      <c r="E1781" s="2200">
        <f t="shared" si="109"/>
        <v>12</v>
      </c>
      <c r="F1781" s="2200" t="str">
        <f t="shared" si="110"/>
        <v>23</v>
      </c>
      <c r="G1781" s="2200" t="str">
        <f t="shared" si="111"/>
        <v>77800</v>
      </c>
      <c r="H1781" s="2200">
        <f>--SUBTOTAL(3,C$2:C1781)</f>
        <v>99</v>
      </c>
    </row>
    <row r="1782" spans="1:8" hidden="1" x14ac:dyDescent="0.15">
      <c r="A1782" s="2200" t="s">
        <v>11502</v>
      </c>
      <c r="B1782" s="2200" t="s">
        <v>14276</v>
      </c>
      <c r="C1782" s="2200" t="s">
        <v>14277</v>
      </c>
      <c r="D1782" s="2200" t="str">
        <f t="shared" si="108"/>
        <v>ME</v>
      </c>
      <c r="E1782" s="2200">
        <f t="shared" si="109"/>
        <v>11</v>
      </c>
      <c r="F1782" s="2200" t="str">
        <f t="shared" si="110"/>
        <v>23</v>
      </c>
      <c r="G1782" s="2200" t="str">
        <f t="shared" si="111"/>
        <v>78115</v>
      </c>
      <c r="H1782" s="2200">
        <f>--SUBTOTAL(3,C$2:C1782)</f>
        <v>99</v>
      </c>
    </row>
    <row r="1783" spans="1:8" hidden="1" x14ac:dyDescent="0.15">
      <c r="A1783" s="2200" t="s">
        <v>11502</v>
      </c>
      <c r="B1783" s="2200" t="s">
        <v>14278</v>
      </c>
      <c r="C1783" s="2200" t="s">
        <v>14279</v>
      </c>
      <c r="D1783" s="2200" t="str">
        <f t="shared" si="108"/>
        <v>ME</v>
      </c>
      <c r="E1783" s="2200">
        <f t="shared" si="109"/>
        <v>11</v>
      </c>
      <c r="F1783" s="2200" t="str">
        <f t="shared" si="110"/>
        <v>23</v>
      </c>
      <c r="G1783" s="2200" t="str">
        <f t="shared" si="111"/>
        <v>78255</v>
      </c>
      <c r="H1783" s="2200">
        <f>--SUBTOTAL(3,C$2:C1783)</f>
        <v>99</v>
      </c>
    </row>
    <row r="1784" spans="1:8" hidden="1" x14ac:dyDescent="0.15">
      <c r="A1784" s="2200" t="s">
        <v>11502</v>
      </c>
      <c r="B1784" s="2200" t="s">
        <v>14280</v>
      </c>
      <c r="C1784" s="2200" t="s">
        <v>14281</v>
      </c>
      <c r="D1784" s="2200" t="str">
        <f t="shared" si="108"/>
        <v>ME</v>
      </c>
      <c r="E1784" s="2200">
        <f t="shared" si="109"/>
        <v>18</v>
      </c>
      <c r="F1784" s="2200" t="str">
        <f t="shared" si="110"/>
        <v>23</v>
      </c>
      <c r="G1784" s="2200" t="str">
        <f t="shared" si="111"/>
        <v>78190</v>
      </c>
      <c r="H1784" s="2200">
        <f>--SUBTOTAL(3,C$2:C1784)</f>
        <v>99</v>
      </c>
    </row>
    <row r="1785" spans="1:8" hidden="1" x14ac:dyDescent="0.15">
      <c r="A1785" s="2200" t="s">
        <v>11502</v>
      </c>
      <c r="B1785" s="2200" t="s">
        <v>14282</v>
      </c>
      <c r="C1785" s="2200" t="s">
        <v>14283</v>
      </c>
      <c r="D1785" s="2200" t="str">
        <f t="shared" si="108"/>
        <v>ME</v>
      </c>
      <c r="E1785" s="2200">
        <f t="shared" si="109"/>
        <v>11</v>
      </c>
      <c r="F1785" s="2200" t="str">
        <f t="shared" si="110"/>
        <v>23</v>
      </c>
      <c r="G1785" s="2200" t="str">
        <f t="shared" si="111"/>
        <v>78465</v>
      </c>
      <c r="H1785" s="2200">
        <f>--SUBTOTAL(3,C$2:C1785)</f>
        <v>99</v>
      </c>
    </row>
    <row r="1786" spans="1:8" hidden="1" x14ac:dyDescent="0.15">
      <c r="A1786" s="2200" t="s">
        <v>11502</v>
      </c>
      <c r="B1786" s="2200" t="s">
        <v>14284</v>
      </c>
      <c r="C1786" s="2200" t="s">
        <v>14285</v>
      </c>
      <c r="D1786" s="2200" t="str">
        <f t="shared" si="108"/>
        <v>ME</v>
      </c>
      <c r="E1786" s="2200">
        <f t="shared" si="109"/>
        <v>15</v>
      </c>
      <c r="F1786" s="2200" t="str">
        <f t="shared" si="110"/>
        <v>23</v>
      </c>
      <c r="G1786" s="2200" t="str">
        <f t="shared" si="111"/>
        <v>78570</v>
      </c>
      <c r="H1786" s="2200">
        <f>--SUBTOTAL(3,C$2:C1786)</f>
        <v>99</v>
      </c>
    </row>
    <row r="1787" spans="1:8" hidden="1" x14ac:dyDescent="0.15">
      <c r="A1787" s="2200" t="s">
        <v>11502</v>
      </c>
      <c r="B1787" s="2200" t="s">
        <v>14286</v>
      </c>
      <c r="C1787" s="2200" t="s">
        <v>14287</v>
      </c>
      <c r="D1787" s="2200" t="str">
        <f t="shared" si="108"/>
        <v>ME</v>
      </c>
      <c r="E1787" s="2200">
        <f t="shared" si="109"/>
        <v>15</v>
      </c>
      <c r="F1787" s="2200" t="str">
        <f t="shared" si="110"/>
        <v>23</v>
      </c>
      <c r="G1787" s="2200" t="str">
        <f t="shared" si="111"/>
        <v>78675</v>
      </c>
      <c r="H1787" s="2200">
        <f>--SUBTOTAL(3,C$2:C1787)</f>
        <v>99</v>
      </c>
    </row>
    <row r="1788" spans="1:8" hidden="1" x14ac:dyDescent="0.15">
      <c r="A1788" s="2200" t="s">
        <v>11502</v>
      </c>
      <c r="B1788" s="2200" t="s">
        <v>14288</v>
      </c>
      <c r="C1788" s="2200" t="s">
        <v>14289</v>
      </c>
      <c r="D1788" s="2200" t="str">
        <f t="shared" si="108"/>
        <v>ME</v>
      </c>
      <c r="E1788" s="2200">
        <f t="shared" si="109"/>
        <v>16</v>
      </c>
      <c r="F1788" s="2200" t="str">
        <f t="shared" si="110"/>
        <v>23</v>
      </c>
      <c r="G1788" s="2200" t="str">
        <f t="shared" si="111"/>
        <v>78745</v>
      </c>
      <c r="H1788" s="2200">
        <f>--SUBTOTAL(3,C$2:C1788)</f>
        <v>99</v>
      </c>
    </row>
    <row r="1789" spans="1:8" hidden="1" x14ac:dyDescent="0.15">
      <c r="A1789" s="2200" t="s">
        <v>11502</v>
      </c>
      <c r="B1789" s="2200" t="s">
        <v>14290</v>
      </c>
      <c r="C1789" s="2200" t="s">
        <v>14291</v>
      </c>
      <c r="D1789" s="2200" t="str">
        <f t="shared" si="108"/>
        <v>ME</v>
      </c>
      <c r="E1789" s="2200">
        <f t="shared" si="109"/>
        <v>12</v>
      </c>
      <c r="F1789" s="2200" t="str">
        <f t="shared" si="110"/>
        <v>23</v>
      </c>
      <c r="G1789" s="2200" t="str">
        <f t="shared" si="111"/>
        <v>78780</v>
      </c>
      <c r="H1789" s="2200">
        <f>--SUBTOTAL(3,C$2:C1789)</f>
        <v>99</v>
      </c>
    </row>
    <row r="1790" spans="1:8" hidden="1" x14ac:dyDescent="0.15">
      <c r="A1790" s="2200" t="s">
        <v>11502</v>
      </c>
      <c r="B1790" s="2200" t="s">
        <v>14292</v>
      </c>
      <c r="C1790" s="2200" t="s">
        <v>14293</v>
      </c>
      <c r="D1790" s="2200" t="str">
        <f t="shared" si="108"/>
        <v>ME</v>
      </c>
      <c r="E1790" s="2200">
        <f t="shared" si="109"/>
        <v>19</v>
      </c>
      <c r="F1790" s="2200" t="str">
        <f t="shared" si="110"/>
        <v>23</v>
      </c>
      <c r="G1790" s="2200" t="str">
        <f t="shared" si="111"/>
        <v>78925</v>
      </c>
      <c r="H1790" s="2200">
        <f>--SUBTOTAL(3,C$2:C1790)</f>
        <v>99</v>
      </c>
    </row>
    <row r="1791" spans="1:8" hidden="1" x14ac:dyDescent="0.15">
      <c r="A1791" s="2200" t="s">
        <v>11502</v>
      </c>
      <c r="B1791" s="2200" t="s">
        <v>14294</v>
      </c>
      <c r="C1791" s="2200" t="s">
        <v>14295</v>
      </c>
      <c r="D1791" s="2200" t="str">
        <f t="shared" si="108"/>
        <v>ME</v>
      </c>
      <c r="E1791" s="2200">
        <f t="shared" si="109"/>
        <v>12</v>
      </c>
      <c r="F1791" s="2200" t="str">
        <f t="shared" si="110"/>
        <v>23</v>
      </c>
      <c r="G1791" s="2200" t="str">
        <f t="shared" si="111"/>
        <v>79025</v>
      </c>
      <c r="H1791" s="2200">
        <f>--SUBTOTAL(3,C$2:C1791)</f>
        <v>99</v>
      </c>
    </row>
    <row r="1792" spans="1:8" hidden="1" x14ac:dyDescent="0.15">
      <c r="A1792" s="2200" t="s">
        <v>11502</v>
      </c>
      <c r="B1792" s="2200" t="s">
        <v>14296</v>
      </c>
      <c r="C1792" s="2200" t="s">
        <v>14297</v>
      </c>
      <c r="D1792" s="2200" t="str">
        <f t="shared" si="108"/>
        <v>ME</v>
      </c>
      <c r="E1792" s="2200">
        <f t="shared" si="109"/>
        <v>16</v>
      </c>
      <c r="F1792" s="2200" t="str">
        <f t="shared" si="110"/>
        <v>23</v>
      </c>
      <c r="G1792" s="2200" t="str">
        <f t="shared" si="111"/>
        <v>79130</v>
      </c>
      <c r="H1792" s="2200">
        <f>--SUBTOTAL(3,C$2:C1792)</f>
        <v>99</v>
      </c>
    </row>
    <row r="1793" spans="1:8" hidden="1" x14ac:dyDescent="0.15">
      <c r="A1793" s="2200" t="s">
        <v>11502</v>
      </c>
      <c r="B1793" s="2200" t="s">
        <v>14298</v>
      </c>
      <c r="C1793" s="2200" t="s">
        <v>14299</v>
      </c>
      <c r="D1793" s="2200" t="str">
        <f t="shared" si="108"/>
        <v>ME</v>
      </c>
      <c r="E1793" s="2200">
        <f t="shared" si="109"/>
        <v>10</v>
      </c>
      <c r="F1793" s="2200" t="str">
        <f t="shared" si="110"/>
        <v>23</v>
      </c>
      <c r="G1793" s="2200" t="str">
        <f t="shared" si="111"/>
        <v>79270</v>
      </c>
      <c r="H1793" s="2200">
        <f>--SUBTOTAL(3,C$2:C1793)</f>
        <v>99</v>
      </c>
    </row>
    <row r="1794" spans="1:8" hidden="1" x14ac:dyDescent="0.15">
      <c r="A1794" s="2200" t="s">
        <v>11502</v>
      </c>
      <c r="B1794" s="2200" t="s">
        <v>14300</v>
      </c>
      <c r="C1794" s="2200" t="s">
        <v>14301</v>
      </c>
      <c r="D1794" s="2200" t="str">
        <f t="shared" ref="D1794:D1857" si="112">MID(C1794,E1794+2,2)</f>
        <v>ME</v>
      </c>
      <c r="E1794" s="2200">
        <f t="shared" ref="E1794:E1857" si="113">FIND(",",C1794)</f>
        <v>11</v>
      </c>
      <c r="F1794" s="2200" t="str">
        <f t="shared" si="110"/>
        <v>23</v>
      </c>
      <c r="G1794" s="2200" t="str">
        <f t="shared" si="111"/>
        <v>79375</v>
      </c>
      <c r="H1794" s="2200">
        <f>--SUBTOTAL(3,C$2:C1794)</f>
        <v>99</v>
      </c>
    </row>
    <row r="1795" spans="1:8" hidden="1" x14ac:dyDescent="0.15">
      <c r="A1795" s="2200" t="s">
        <v>11502</v>
      </c>
      <c r="B1795" s="2200" t="s">
        <v>14302</v>
      </c>
      <c r="C1795" s="2200" t="s">
        <v>14303</v>
      </c>
      <c r="D1795" s="2200" t="str">
        <f t="shared" si="112"/>
        <v>ME</v>
      </c>
      <c r="E1795" s="2200">
        <f t="shared" si="113"/>
        <v>11</v>
      </c>
      <c r="F1795" s="2200" t="str">
        <f t="shared" ref="F1795:F1858" si="114">MID(B1795,3,2)</f>
        <v>23</v>
      </c>
      <c r="G1795" s="2200" t="str">
        <f t="shared" ref="G1795:G1858" si="115">MID(B1795,5,5)</f>
        <v>79480</v>
      </c>
      <c r="H1795" s="2200">
        <f>--SUBTOTAL(3,C$2:C1795)</f>
        <v>99</v>
      </c>
    </row>
    <row r="1796" spans="1:8" hidden="1" x14ac:dyDescent="0.15">
      <c r="A1796" s="2200" t="s">
        <v>11502</v>
      </c>
      <c r="B1796" s="2200" t="s">
        <v>14304</v>
      </c>
      <c r="C1796" s="2200" t="s">
        <v>14305</v>
      </c>
      <c r="D1796" s="2200" t="str">
        <f t="shared" si="112"/>
        <v>ME</v>
      </c>
      <c r="E1796" s="2200">
        <f t="shared" si="113"/>
        <v>15</v>
      </c>
      <c r="F1796" s="2200" t="str">
        <f t="shared" si="114"/>
        <v>23</v>
      </c>
      <c r="G1796" s="2200" t="str">
        <f t="shared" si="115"/>
        <v>79550</v>
      </c>
      <c r="H1796" s="2200">
        <f>--SUBTOTAL(3,C$2:C1796)</f>
        <v>99</v>
      </c>
    </row>
    <row r="1797" spans="1:8" hidden="1" x14ac:dyDescent="0.15">
      <c r="A1797" s="2200" t="s">
        <v>11443</v>
      </c>
      <c r="B1797" s="2200" t="s">
        <v>14306</v>
      </c>
      <c r="C1797" s="2200" t="s">
        <v>14307</v>
      </c>
      <c r="D1797" s="2200" t="str">
        <f t="shared" si="112"/>
        <v>ME</v>
      </c>
      <c r="E1797" s="2200">
        <f t="shared" si="113"/>
        <v>10</v>
      </c>
      <c r="F1797" s="2200" t="str">
        <f t="shared" si="114"/>
        <v>23</v>
      </c>
      <c r="G1797" s="2200" t="str">
        <f t="shared" si="115"/>
        <v>82820</v>
      </c>
      <c r="H1797" s="2200">
        <f>--SUBTOTAL(3,C$2:C1797)</f>
        <v>99</v>
      </c>
    </row>
    <row r="1798" spans="1:8" hidden="1" x14ac:dyDescent="0.15">
      <c r="A1798" s="2200" t="s">
        <v>11502</v>
      </c>
      <c r="B1798" s="2200" t="s">
        <v>14308</v>
      </c>
      <c r="C1798" s="2200" t="s">
        <v>14309</v>
      </c>
      <c r="D1798" s="2200" t="str">
        <f t="shared" si="112"/>
        <v>ME</v>
      </c>
      <c r="E1798" s="2200">
        <f t="shared" si="113"/>
        <v>11</v>
      </c>
      <c r="F1798" s="2200" t="str">
        <f t="shared" si="114"/>
        <v>23</v>
      </c>
      <c r="G1798" s="2200" t="str">
        <f t="shared" si="115"/>
        <v>79585</v>
      </c>
      <c r="H1798" s="2200">
        <f>--SUBTOTAL(3,C$2:C1798)</f>
        <v>99</v>
      </c>
    </row>
    <row r="1799" spans="1:8" hidden="1" x14ac:dyDescent="0.15">
      <c r="A1799" s="2200" t="s">
        <v>11502</v>
      </c>
      <c r="B1799" s="2200" t="s">
        <v>14310</v>
      </c>
      <c r="C1799" s="2200" t="s">
        <v>14311</v>
      </c>
      <c r="D1799" s="2200" t="str">
        <f t="shared" si="112"/>
        <v>ME</v>
      </c>
      <c r="E1799" s="2200">
        <f t="shared" si="113"/>
        <v>16</v>
      </c>
      <c r="F1799" s="2200" t="str">
        <f t="shared" si="114"/>
        <v>23</v>
      </c>
      <c r="G1799" s="2200" t="str">
        <f t="shared" si="115"/>
        <v>79865</v>
      </c>
      <c r="H1799" s="2200">
        <f>--SUBTOTAL(3,C$2:C1799)</f>
        <v>99</v>
      </c>
    </row>
    <row r="1800" spans="1:8" hidden="1" x14ac:dyDescent="0.15">
      <c r="A1800" s="2200" t="s">
        <v>11502</v>
      </c>
      <c r="B1800" s="2200" t="s">
        <v>14312</v>
      </c>
      <c r="C1800" s="2200" t="s">
        <v>14313</v>
      </c>
      <c r="D1800" s="2200" t="str">
        <f t="shared" si="112"/>
        <v>ME</v>
      </c>
      <c r="E1800" s="2200">
        <f t="shared" si="113"/>
        <v>13</v>
      </c>
      <c r="F1800" s="2200" t="str">
        <f t="shared" si="114"/>
        <v>23</v>
      </c>
      <c r="G1800" s="2200" t="str">
        <f t="shared" si="115"/>
        <v>80040</v>
      </c>
      <c r="H1800" s="2200">
        <f>--SUBTOTAL(3,C$2:C1800)</f>
        <v>99</v>
      </c>
    </row>
    <row r="1801" spans="1:8" hidden="1" x14ac:dyDescent="0.15">
      <c r="A1801" s="2200" t="s">
        <v>11502</v>
      </c>
      <c r="B1801" s="2200" t="s">
        <v>14314</v>
      </c>
      <c r="C1801" s="2200" t="s">
        <v>14315</v>
      </c>
      <c r="D1801" s="2200" t="str">
        <f t="shared" si="112"/>
        <v>ME</v>
      </c>
      <c r="E1801" s="2200">
        <f t="shared" si="113"/>
        <v>12</v>
      </c>
      <c r="F1801" s="2200" t="str">
        <f t="shared" si="114"/>
        <v>23</v>
      </c>
      <c r="G1801" s="2200" t="str">
        <f t="shared" si="115"/>
        <v>80215</v>
      </c>
      <c r="H1801" s="2200">
        <f>--SUBTOTAL(3,C$2:C1801)</f>
        <v>99</v>
      </c>
    </row>
    <row r="1802" spans="1:8" hidden="1" x14ac:dyDescent="0.15">
      <c r="A1802" s="2200" t="s">
        <v>11502</v>
      </c>
      <c r="B1802" s="2200" t="s">
        <v>14316</v>
      </c>
      <c r="C1802" s="2200" t="s">
        <v>14317</v>
      </c>
      <c r="D1802" s="2200" t="str">
        <f t="shared" si="112"/>
        <v>ME</v>
      </c>
      <c r="E1802" s="2200">
        <f t="shared" si="113"/>
        <v>14</v>
      </c>
      <c r="F1802" s="2200" t="str">
        <f t="shared" si="114"/>
        <v>23</v>
      </c>
      <c r="G1802" s="2200" t="str">
        <f t="shared" si="115"/>
        <v>80285</v>
      </c>
      <c r="H1802" s="2200">
        <f>--SUBTOTAL(3,C$2:C1802)</f>
        <v>99</v>
      </c>
    </row>
    <row r="1803" spans="1:8" hidden="1" x14ac:dyDescent="0.15">
      <c r="A1803" s="2200" t="s">
        <v>11502</v>
      </c>
      <c r="B1803" s="2200" t="s">
        <v>14318</v>
      </c>
      <c r="C1803" s="2200" t="s">
        <v>14319</v>
      </c>
      <c r="D1803" s="2200" t="str">
        <f t="shared" si="112"/>
        <v>ME</v>
      </c>
      <c r="E1803" s="2200">
        <f t="shared" si="113"/>
        <v>16</v>
      </c>
      <c r="F1803" s="2200" t="str">
        <f t="shared" si="114"/>
        <v>23</v>
      </c>
      <c r="G1803" s="2200" t="str">
        <f t="shared" si="115"/>
        <v>80425</v>
      </c>
      <c r="H1803" s="2200">
        <f>--SUBTOTAL(3,C$2:C1803)</f>
        <v>99</v>
      </c>
    </row>
    <row r="1804" spans="1:8" hidden="1" x14ac:dyDescent="0.15">
      <c r="A1804" s="2200" t="s">
        <v>11502</v>
      </c>
      <c r="B1804" s="2200" t="s">
        <v>14320</v>
      </c>
      <c r="C1804" s="2200" t="s">
        <v>14321</v>
      </c>
      <c r="D1804" s="2200" t="str">
        <f t="shared" si="112"/>
        <v>ME</v>
      </c>
      <c r="E1804" s="2200">
        <f t="shared" si="113"/>
        <v>15</v>
      </c>
      <c r="F1804" s="2200" t="str">
        <f t="shared" si="114"/>
        <v>23</v>
      </c>
      <c r="G1804" s="2200" t="str">
        <f t="shared" si="115"/>
        <v>80530</v>
      </c>
      <c r="H1804" s="2200">
        <f>--SUBTOTAL(3,C$2:C1804)</f>
        <v>99</v>
      </c>
    </row>
    <row r="1805" spans="1:8" hidden="1" x14ac:dyDescent="0.15">
      <c r="A1805" s="2200" t="s">
        <v>11502</v>
      </c>
      <c r="B1805" s="2200" t="s">
        <v>14322</v>
      </c>
      <c r="C1805" s="2200" t="s">
        <v>14323</v>
      </c>
      <c r="D1805" s="2200" t="str">
        <f t="shared" si="112"/>
        <v>ME</v>
      </c>
      <c r="E1805" s="2200">
        <f t="shared" si="113"/>
        <v>15</v>
      </c>
      <c r="F1805" s="2200" t="str">
        <f t="shared" si="114"/>
        <v>23</v>
      </c>
      <c r="G1805" s="2200" t="str">
        <f t="shared" si="115"/>
        <v>80635</v>
      </c>
      <c r="H1805" s="2200">
        <f>--SUBTOTAL(3,C$2:C1805)</f>
        <v>99</v>
      </c>
    </row>
    <row r="1806" spans="1:8" hidden="1" x14ac:dyDescent="0.15">
      <c r="A1806" s="2200" t="s">
        <v>11502</v>
      </c>
      <c r="B1806" s="2200" t="s">
        <v>14324</v>
      </c>
      <c r="C1806" s="2200" t="s">
        <v>14325</v>
      </c>
      <c r="D1806" s="2200" t="str">
        <f t="shared" si="112"/>
        <v>ME</v>
      </c>
      <c r="E1806" s="2200">
        <f t="shared" si="113"/>
        <v>16</v>
      </c>
      <c r="F1806" s="2200" t="str">
        <f t="shared" si="114"/>
        <v>23</v>
      </c>
      <c r="G1806" s="2200" t="str">
        <f t="shared" si="115"/>
        <v>80740</v>
      </c>
      <c r="H1806" s="2200">
        <f>--SUBTOTAL(3,C$2:C1806)</f>
        <v>99</v>
      </c>
    </row>
    <row r="1807" spans="1:8" hidden="1" x14ac:dyDescent="0.15">
      <c r="A1807" s="2200" t="s">
        <v>11502</v>
      </c>
      <c r="B1807" s="2200" t="s">
        <v>14326</v>
      </c>
      <c r="C1807" s="2200" t="s">
        <v>14327</v>
      </c>
      <c r="D1807" s="2200" t="str">
        <f t="shared" si="112"/>
        <v>ME</v>
      </c>
      <c r="E1807" s="2200">
        <f t="shared" si="113"/>
        <v>11</v>
      </c>
      <c r="F1807" s="2200" t="str">
        <f t="shared" si="114"/>
        <v>23</v>
      </c>
      <c r="G1807" s="2200" t="str">
        <f t="shared" si="115"/>
        <v>80880</v>
      </c>
      <c r="H1807" s="2200">
        <f>--SUBTOTAL(3,C$2:C1807)</f>
        <v>99</v>
      </c>
    </row>
    <row r="1808" spans="1:8" hidden="1" x14ac:dyDescent="0.15">
      <c r="A1808" s="2200" t="s">
        <v>11502</v>
      </c>
      <c r="B1808" s="2200" t="s">
        <v>14328</v>
      </c>
      <c r="C1808" s="2200" t="s">
        <v>14329</v>
      </c>
      <c r="D1808" s="2200" t="str">
        <f t="shared" si="112"/>
        <v>ME</v>
      </c>
      <c r="E1808" s="2200">
        <f t="shared" si="113"/>
        <v>19</v>
      </c>
      <c r="F1808" s="2200" t="str">
        <f t="shared" si="114"/>
        <v>23</v>
      </c>
      <c r="G1808" s="2200" t="str">
        <f t="shared" si="115"/>
        <v>81055</v>
      </c>
      <c r="H1808" s="2200">
        <f>--SUBTOTAL(3,C$2:C1808)</f>
        <v>99</v>
      </c>
    </row>
    <row r="1809" spans="1:8" hidden="1" x14ac:dyDescent="0.15">
      <c r="A1809" s="2200" t="s">
        <v>11502</v>
      </c>
      <c r="B1809" s="2200" t="s">
        <v>14330</v>
      </c>
      <c r="C1809" s="2200" t="s">
        <v>14331</v>
      </c>
      <c r="D1809" s="2200" t="str">
        <f t="shared" si="112"/>
        <v>ME</v>
      </c>
      <c r="E1809" s="2200">
        <f t="shared" si="113"/>
        <v>10</v>
      </c>
      <c r="F1809" s="2200" t="str">
        <f t="shared" si="114"/>
        <v>23</v>
      </c>
      <c r="G1809" s="2200" t="str">
        <f t="shared" si="115"/>
        <v>81300</v>
      </c>
      <c r="H1809" s="2200">
        <f>--SUBTOTAL(3,C$2:C1809)</f>
        <v>99</v>
      </c>
    </row>
    <row r="1810" spans="1:8" hidden="1" x14ac:dyDescent="0.15">
      <c r="A1810" s="2200" t="s">
        <v>11502</v>
      </c>
      <c r="B1810" s="2200" t="s">
        <v>14332</v>
      </c>
      <c r="C1810" s="2200" t="s">
        <v>14333</v>
      </c>
      <c r="D1810" s="2200" t="str">
        <f t="shared" si="112"/>
        <v>ME</v>
      </c>
      <c r="E1810" s="2200">
        <f t="shared" si="113"/>
        <v>16</v>
      </c>
      <c r="F1810" s="2200" t="str">
        <f t="shared" si="114"/>
        <v>23</v>
      </c>
      <c r="G1810" s="2200" t="str">
        <f t="shared" si="115"/>
        <v>81405</v>
      </c>
      <c r="H1810" s="2200">
        <f>--SUBTOTAL(3,C$2:C1810)</f>
        <v>99</v>
      </c>
    </row>
    <row r="1811" spans="1:8" hidden="1" x14ac:dyDescent="0.15">
      <c r="A1811" s="2200" t="s">
        <v>11502</v>
      </c>
      <c r="B1811" s="2200" t="s">
        <v>14334</v>
      </c>
      <c r="C1811" s="2200" t="s">
        <v>14335</v>
      </c>
      <c r="D1811" s="2200" t="str">
        <f t="shared" si="112"/>
        <v>ME</v>
      </c>
      <c r="E1811" s="2200">
        <f t="shared" si="113"/>
        <v>11</v>
      </c>
      <c r="F1811" s="2200" t="str">
        <f t="shared" si="114"/>
        <v>23</v>
      </c>
      <c r="G1811" s="2200" t="str">
        <f t="shared" si="115"/>
        <v>81475</v>
      </c>
      <c r="H1811" s="2200">
        <f>--SUBTOTAL(3,C$2:C1811)</f>
        <v>99</v>
      </c>
    </row>
    <row r="1812" spans="1:8" hidden="1" x14ac:dyDescent="0.15">
      <c r="A1812" s="2200" t="s">
        <v>11443</v>
      </c>
      <c r="B1812" s="2200" t="s">
        <v>14336</v>
      </c>
      <c r="C1812" s="2200" t="s">
        <v>14337</v>
      </c>
      <c r="D1812" s="2200" t="str">
        <f t="shared" si="112"/>
        <v>ME</v>
      </c>
      <c r="E1812" s="2200">
        <f t="shared" si="113"/>
        <v>6</v>
      </c>
      <c r="F1812" s="2200" t="str">
        <f t="shared" si="114"/>
        <v>23</v>
      </c>
      <c r="G1812" s="2200" t="str">
        <f t="shared" si="115"/>
        <v>82860</v>
      </c>
      <c r="H1812" s="2200">
        <f>--SUBTOTAL(3,C$2:C1812)</f>
        <v>99</v>
      </c>
    </row>
    <row r="1813" spans="1:8" hidden="1" x14ac:dyDescent="0.15">
      <c r="A1813" s="2200" t="s">
        <v>11502</v>
      </c>
      <c r="B1813" s="2200" t="s">
        <v>14338</v>
      </c>
      <c r="C1813" s="2200" t="s">
        <v>14339</v>
      </c>
      <c r="D1813" s="2200" t="str">
        <f t="shared" si="112"/>
        <v>ME</v>
      </c>
      <c r="E1813" s="2200">
        <f t="shared" si="113"/>
        <v>12</v>
      </c>
      <c r="F1813" s="2200" t="str">
        <f t="shared" si="114"/>
        <v>23</v>
      </c>
      <c r="G1813" s="2200" t="str">
        <f t="shared" si="115"/>
        <v>81685</v>
      </c>
      <c r="H1813" s="2200">
        <f>--SUBTOTAL(3,C$2:C1813)</f>
        <v>99</v>
      </c>
    </row>
    <row r="1814" spans="1:8" hidden="1" x14ac:dyDescent="0.15">
      <c r="A1814" s="2200" t="s">
        <v>11502</v>
      </c>
      <c r="B1814" s="2200" t="s">
        <v>14340</v>
      </c>
      <c r="C1814" s="2200" t="s">
        <v>14341</v>
      </c>
      <c r="D1814" s="2200" t="str">
        <f t="shared" si="112"/>
        <v>ME</v>
      </c>
      <c r="E1814" s="2200">
        <f t="shared" si="113"/>
        <v>15</v>
      </c>
      <c r="F1814" s="2200" t="str">
        <f t="shared" si="114"/>
        <v>23</v>
      </c>
      <c r="G1814" s="2200" t="str">
        <f t="shared" si="115"/>
        <v>81930</v>
      </c>
      <c r="H1814" s="2200">
        <f>--SUBTOTAL(3,C$2:C1814)</f>
        <v>99</v>
      </c>
    </row>
    <row r="1815" spans="1:8" hidden="1" x14ac:dyDescent="0.15">
      <c r="A1815" s="2200" t="s">
        <v>11502</v>
      </c>
      <c r="B1815" s="2200" t="s">
        <v>14342</v>
      </c>
      <c r="C1815" s="2200" t="s">
        <v>14343</v>
      </c>
      <c r="D1815" s="2200" t="str">
        <f t="shared" si="112"/>
        <v>ME</v>
      </c>
      <c r="E1815" s="2200">
        <f t="shared" si="113"/>
        <v>22</v>
      </c>
      <c r="F1815" s="2200" t="str">
        <f t="shared" si="114"/>
        <v>23</v>
      </c>
      <c r="G1815" s="2200" t="str">
        <f t="shared" si="115"/>
        <v>82840</v>
      </c>
      <c r="H1815" s="2200">
        <f>--SUBTOTAL(3,C$2:C1815)</f>
        <v>99</v>
      </c>
    </row>
    <row r="1816" spans="1:8" hidden="1" x14ac:dyDescent="0.15">
      <c r="A1816" s="2200" t="s">
        <v>11502</v>
      </c>
      <c r="B1816" s="2200" t="s">
        <v>14344</v>
      </c>
      <c r="C1816" s="2200" t="s">
        <v>14345</v>
      </c>
      <c r="D1816" s="2200" t="str">
        <f t="shared" si="112"/>
        <v>ME</v>
      </c>
      <c r="E1816" s="2200">
        <f t="shared" si="113"/>
        <v>19</v>
      </c>
      <c r="F1816" s="2200" t="str">
        <f t="shared" si="114"/>
        <v>23</v>
      </c>
      <c r="G1816" s="2200" t="str">
        <f t="shared" si="115"/>
        <v>82945</v>
      </c>
      <c r="H1816" s="2200">
        <f>--SUBTOTAL(3,C$2:C1816)</f>
        <v>99</v>
      </c>
    </row>
    <row r="1817" spans="1:8" hidden="1" x14ac:dyDescent="0.15">
      <c r="A1817" s="2200" t="s">
        <v>11502</v>
      </c>
      <c r="B1817" s="2200" t="s">
        <v>14346</v>
      </c>
      <c r="C1817" s="2200" t="s">
        <v>14347</v>
      </c>
      <c r="D1817" s="2200" t="str">
        <f t="shared" si="112"/>
        <v>ME</v>
      </c>
      <c r="E1817" s="2200">
        <f t="shared" si="113"/>
        <v>16</v>
      </c>
      <c r="F1817" s="2200" t="str">
        <f t="shared" si="114"/>
        <v>23</v>
      </c>
      <c r="G1817" s="2200" t="str">
        <f t="shared" si="115"/>
        <v>83890</v>
      </c>
      <c r="H1817" s="2200">
        <f>--SUBTOTAL(3,C$2:C1817)</f>
        <v>99</v>
      </c>
    </row>
    <row r="1818" spans="1:8" hidden="1" x14ac:dyDescent="0.15">
      <c r="A1818" s="2200" t="s">
        <v>11502</v>
      </c>
      <c r="B1818" s="2200" t="s">
        <v>14348</v>
      </c>
      <c r="C1818" s="2200" t="s">
        <v>14349</v>
      </c>
      <c r="D1818" s="2200" t="str">
        <f t="shared" si="112"/>
        <v>ME</v>
      </c>
      <c r="E1818" s="2200">
        <f t="shared" si="113"/>
        <v>15</v>
      </c>
      <c r="F1818" s="2200" t="str">
        <f t="shared" si="114"/>
        <v>23</v>
      </c>
      <c r="G1818" s="2200" t="str">
        <f t="shared" si="115"/>
        <v>82105</v>
      </c>
      <c r="H1818" s="2200">
        <f>--SUBTOTAL(3,C$2:C1818)</f>
        <v>99</v>
      </c>
    </row>
    <row r="1819" spans="1:8" hidden="1" x14ac:dyDescent="0.15">
      <c r="A1819" s="2200" t="s">
        <v>11502</v>
      </c>
      <c r="B1819" s="2200" t="s">
        <v>14350</v>
      </c>
      <c r="C1819" s="2200" t="s">
        <v>14351</v>
      </c>
      <c r="D1819" s="2200" t="str">
        <f t="shared" si="112"/>
        <v>ME</v>
      </c>
      <c r="E1819" s="2200">
        <f t="shared" si="113"/>
        <v>15</v>
      </c>
      <c r="F1819" s="2200" t="str">
        <f t="shared" si="114"/>
        <v>23</v>
      </c>
      <c r="G1819" s="2200" t="str">
        <f t="shared" si="115"/>
        <v>82770</v>
      </c>
      <c r="H1819" s="2200">
        <f>--SUBTOTAL(3,C$2:C1819)</f>
        <v>99</v>
      </c>
    </row>
    <row r="1820" spans="1:8" hidden="1" x14ac:dyDescent="0.15">
      <c r="A1820" s="2200" t="s">
        <v>11502</v>
      </c>
      <c r="B1820" s="2200" t="s">
        <v>14352</v>
      </c>
      <c r="C1820" s="2200" t="s">
        <v>14353</v>
      </c>
      <c r="D1820" s="2200" t="str">
        <f t="shared" si="112"/>
        <v>ME</v>
      </c>
      <c r="E1820" s="2200">
        <f t="shared" si="113"/>
        <v>17</v>
      </c>
      <c r="F1820" s="2200" t="str">
        <f t="shared" si="114"/>
        <v>23</v>
      </c>
      <c r="G1820" s="2200" t="str">
        <f t="shared" si="115"/>
        <v>83540</v>
      </c>
      <c r="H1820" s="2200">
        <f>--SUBTOTAL(3,C$2:C1820)</f>
        <v>99</v>
      </c>
    </row>
    <row r="1821" spans="1:8" hidden="1" x14ac:dyDescent="0.15">
      <c r="A1821" s="2200" t="s">
        <v>11502</v>
      </c>
      <c r="B1821" s="2200" t="s">
        <v>14354</v>
      </c>
      <c r="C1821" s="2200" t="s">
        <v>14355</v>
      </c>
      <c r="D1821" s="2200" t="str">
        <f t="shared" si="112"/>
        <v>ME</v>
      </c>
      <c r="E1821" s="2200">
        <f t="shared" si="113"/>
        <v>12</v>
      </c>
      <c r="F1821" s="2200" t="str">
        <f t="shared" si="114"/>
        <v>23</v>
      </c>
      <c r="G1821" s="2200" t="str">
        <f t="shared" si="115"/>
        <v>83785</v>
      </c>
      <c r="H1821" s="2200">
        <f>--SUBTOTAL(3,C$2:C1821)</f>
        <v>99</v>
      </c>
    </row>
    <row r="1822" spans="1:8" hidden="1" x14ac:dyDescent="0.15">
      <c r="A1822" s="2200" t="s">
        <v>11502</v>
      </c>
      <c r="B1822" s="2200" t="s">
        <v>14356</v>
      </c>
      <c r="C1822" s="2200" t="s">
        <v>14357</v>
      </c>
      <c r="D1822" s="2200" t="str">
        <f t="shared" si="112"/>
        <v>ME</v>
      </c>
      <c r="E1822" s="2200">
        <f t="shared" si="113"/>
        <v>21</v>
      </c>
      <c r="F1822" s="2200" t="str">
        <f t="shared" si="114"/>
        <v>23</v>
      </c>
      <c r="G1822" s="2200" t="str">
        <f t="shared" si="115"/>
        <v>84140</v>
      </c>
      <c r="H1822" s="2200">
        <f>--SUBTOTAL(3,C$2:C1822)</f>
        <v>99</v>
      </c>
    </row>
    <row r="1823" spans="1:8" hidden="1" x14ac:dyDescent="0.15">
      <c r="A1823" s="2200" t="s">
        <v>11502</v>
      </c>
      <c r="B1823" s="2200" t="s">
        <v>14358</v>
      </c>
      <c r="C1823" s="2200" t="s">
        <v>14359</v>
      </c>
      <c r="D1823" s="2200" t="str">
        <f t="shared" si="112"/>
        <v>ME</v>
      </c>
      <c r="E1823" s="2200">
        <f t="shared" si="113"/>
        <v>16</v>
      </c>
      <c r="F1823" s="2200" t="str">
        <f t="shared" si="114"/>
        <v>23</v>
      </c>
      <c r="G1823" s="2200" t="str">
        <f t="shared" si="115"/>
        <v>85010</v>
      </c>
      <c r="H1823" s="2200">
        <f>--SUBTOTAL(3,C$2:C1823)</f>
        <v>99</v>
      </c>
    </row>
    <row r="1824" spans="1:8" hidden="1" x14ac:dyDescent="0.15">
      <c r="A1824" s="2200" t="s">
        <v>11502</v>
      </c>
      <c r="B1824" s="2200" t="s">
        <v>14360</v>
      </c>
      <c r="C1824" s="2200" t="s">
        <v>14361</v>
      </c>
      <c r="D1824" s="2200" t="str">
        <f t="shared" si="112"/>
        <v>ME</v>
      </c>
      <c r="E1824" s="2200">
        <f t="shared" si="113"/>
        <v>13</v>
      </c>
      <c r="F1824" s="2200" t="str">
        <f t="shared" si="114"/>
        <v>23</v>
      </c>
      <c r="G1824" s="2200" t="str">
        <f t="shared" si="115"/>
        <v>85185</v>
      </c>
      <c r="H1824" s="2200">
        <f>--SUBTOTAL(3,C$2:C1824)</f>
        <v>99</v>
      </c>
    </row>
    <row r="1825" spans="1:8" hidden="1" x14ac:dyDescent="0.15">
      <c r="A1825" s="2200" t="s">
        <v>11502</v>
      </c>
      <c r="B1825" s="2200" t="s">
        <v>14362</v>
      </c>
      <c r="C1825" s="2200" t="s">
        <v>14363</v>
      </c>
      <c r="D1825" s="2200" t="str">
        <f t="shared" si="112"/>
        <v>ME</v>
      </c>
      <c r="E1825" s="2200">
        <f t="shared" si="113"/>
        <v>18</v>
      </c>
      <c r="F1825" s="2200" t="str">
        <f t="shared" si="114"/>
        <v>23</v>
      </c>
      <c r="G1825" s="2200" t="str">
        <f t="shared" si="115"/>
        <v>85290</v>
      </c>
      <c r="H1825" s="2200">
        <f>--SUBTOTAL(3,C$2:C1825)</f>
        <v>99</v>
      </c>
    </row>
    <row r="1826" spans="1:8" hidden="1" x14ac:dyDescent="0.15">
      <c r="A1826" s="2200" t="s">
        <v>11502</v>
      </c>
      <c r="B1826" s="2200" t="s">
        <v>14364</v>
      </c>
      <c r="C1826" s="2200" t="s">
        <v>14365</v>
      </c>
      <c r="D1826" s="2200" t="str">
        <f t="shared" si="112"/>
        <v>ME</v>
      </c>
      <c r="E1826" s="2200">
        <f t="shared" si="113"/>
        <v>17</v>
      </c>
      <c r="F1826" s="2200" t="str">
        <f t="shared" si="114"/>
        <v>23</v>
      </c>
      <c r="G1826" s="2200" t="str">
        <f t="shared" si="115"/>
        <v>85710</v>
      </c>
      <c r="H1826" s="2200">
        <f>--SUBTOTAL(3,C$2:C1826)</f>
        <v>99</v>
      </c>
    </row>
    <row r="1827" spans="1:8" hidden="1" x14ac:dyDescent="0.15">
      <c r="A1827" s="2200" t="s">
        <v>11502</v>
      </c>
      <c r="B1827" s="2200" t="s">
        <v>14366</v>
      </c>
      <c r="C1827" s="2200" t="s">
        <v>14367</v>
      </c>
      <c r="D1827" s="2200" t="str">
        <f t="shared" si="112"/>
        <v>ME</v>
      </c>
      <c r="E1827" s="2200">
        <f t="shared" si="113"/>
        <v>12</v>
      </c>
      <c r="F1827" s="2200" t="str">
        <f t="shared" si="114"/>
        <v>23</v>
      </c>
      <c r="G1827" s="2200" t="str">
        <f t="shared" si="115"/>
        <v>85850</v>
      </c>
      <c r="H1827" s="2200">
        <f>--SUBTOTAL(3,C$2:C1827)</f>
        <v>99</v>
      </c>
    </row>
    <row r="1828" spans="1:8" hidden="1" x14ac:dyDescent="0.15">
      <c r="A1828" s="2200" t="s">
        <v>11502</v>
      </c>
      <c r="B1828" s="2200" t="s">
        <v>14368</v>
      </c>
      <c r="C1828" s="2200" t="s">
        <v>14369</v>
      </c>
      <c r="D1828" s="2200" t="str">
        <f t="shared" si="112"/>
        <v>ME</v>
      </c>
      <c r="E1828" s="2200">
        <f t="shared" si="113"/>
        <v>13</v>
      </c>
      <c r="F1828" s="2200" t="str">
        <f t="shared" si="114"/>
        <v>23</v>
      </c>
      <c r="G1828" s="2200" t="str">
        <f t="shared" si="115"/>
        <v>86025</v>
      </c>
      <c r="H1828" s="2200">
        <f>--SUBTOTAL(3,C$2:C1828)</f>
        <v>99</v>
      </c>
    </row>
    <row r="1829" spans="1:8" hidden="1" x14ac:dyDescent="0.15">
      <c r="A1829" s="2200" t="s">
        <v>11502</v>
      </c>
      <c r="B1829" s="2200" t="s">
        <v>14370</v>
      </c>
      <c r="C1829" s="2200" t="s">
        <v>14371</v>
      </c>
      <c r="D1829" s="2200" t="str">
        <f t="shared" si="112"/>
        <v>ME</v>
      </c>
      <c r="E1829" s="2200">
        <f t="shared" si="113"/>
        <v>13</v>
      </c>
      <c r="F1829" s="2200" t="str">
        <f t="shared" si="114"/>
        <v>23</v>
      </c>
      <c r="G1829" s="2200" t="str">
        <f t="shared" si="115"/>
        <v>86165</v>
      </c>
      <c r="H1829" s="2200">
        <f>--SUBTOTAL(3,C$2:C1829)</f>
        <v>99</v>
      </c>
    </row>
    <row r="1830" spans="1:8" hidden="1" x14ac:dyDescent="0.15">
      <c r="A1830" s="2200" t="s">
        <v>11502</v>
      </c>
      <c r="B1830" s="2200" t="s">
        <v>14372</v>
      </c>
      <c r="C1830" s="2200" t="s">
        <v>14373</v>
      </c>
      <c r="D1830" s="2200" t="str">
        <f t="shared" si="112"/>
        <v>ME</v>
      </c>
      <c r="E1830" s="2200">
        <f t="shared" si="113"/>
        <v>10</v>
      </c>
      <c r="F1830" s="2200" t="str">
        <f t="shared" si="114"/>
        <v>23</v>
      </c>
      <c r="G1830" s="2200" t="str">
        <f t="shared" si="115"/>
        <v>86305</v>
      </c>
      <c r="H1830" s="2200">
        <f>--SUBTOTAL(3,C$2:C1830)</f>
        <v>99</v>
      </c>
    </row>
    <row r="1831" spans="1:8" hidden="1" x14ac:dyDescent="0.15">
      <c r="A1831" s="2200" t="s">
        <v>11502</v>
      </c>
      <c r="B1831" s="2200" t="s">
        <v>14374</v>
      </c>
      <c r="C1831" s="2200" t="s">
        <v>14375</v>
      </c>
      <c r="D1831" s="2200" t="str">
        <f t="shared" si="112"/>
        <v>ME</v>
      </c>
      <c r="E1831" s="2200">
        <f t="shared" si="113"/>
        <v>13</v>
      </c>
      <c r="F1831" s="2200" t="str">
        <f t="shared" si="114"/>
        <v>23</v>
      </c>
      <c r="G1831" s="2200" t="str">
        <f t="shared" si="115"/>
        <v>86515</v>
      </c>
      <c r="H1831" s="2200">
        <f>--SUBTOTAL(3,C$2:C1831)</f>
        <v>99</v>
      </c>
    </row>
    <row r="1832" spans="1:8" hidden="1" x14ac:dyDescent="0.15">
      <c r="A1832" s="2200" t="s">
        <v>11502</v>
      </c>
      <c r="B1832" s="2200" t="s">
        <v>14376</v>
      </c>
      <c r="C1832" s="2200" t="s">
        <v>14377</v>
      </c>
      <c r="D1832" s="2200" t="str">
        <f t="shared" si="112"/>
        <v>ME</v>
      </c>
      <c r="E1832" s="2200">
        <f t="shared" si="113"/>
        <v>19</v>
      </c>
      <c r="F1832" s="2200" t="str">
        <f t="shared" si="114"/>
        <v>23</v>
      </c>
      <c r="G1832" s="2200" t="str">
        <f t="shared" si="115"/>
        <v>86655</v>
      </c>
      <c r="H1832" s="2200">
        <f>--SUBTOTAL(3,C$2:C1832)</f>
        <v>99</v>
      </c>
    </row>
    <row r="1833" spans="1:8" hidden="1" x14ac:dyDescent="0.15">
      <c r="A1833" s="2200" t="s">
        <v>11502</v>
      </c>
      <c r="B1833" s="2200" t="s">
        <v>14378</v>
      </c>
      <c r="C1833" s="2200" t="s">
        <v>14379</v>
      </c>
      <c r="D1833" s="2200" t="str">
        <f t="shared" si="112"/>
        <v>ME</v>
      </c>
      <c r="E1833" s="2200">
        <f t="shared" si="113"/>
        <v>16</v>
      </c>
      <c r="F1833" s="2200" t="str">
        <f t="shared" si="114"/>
        <v>23</v>
      </c>
      <c r="G1833" s="2200" t="str">
        <f t="shared" si="115"/>
        <v>86760</v>
      </c>
      <c r="H1833" s="2200">
        <f>--SUBTOTAL(3,C$2:C1833)</f>
        <v>99</v>
      </c>
    </row>
    <row r="1834" spans="1:8" hidden="1" x14ac:dyDescent="0.15">
      <c r="A1834" s="2200" t="s">
        <v>11502</v>
      </c>
      <c r="B1834" s="2200" t="s">
        <v>14380</v>
      </c>
      <c r="C1834" s="2200" t="s">
        <v>14381</v>
      </c>
      <c r="D1834" s="2200" t="str">
        <f t="shared" si="112"/>
        <v>ME</v>
      </c>
      <c r="E1834" s="2200">
        <f t="shared" si="113"/>
        <v>23</v>
      </c>
      <c r="F1834" s="2200" t="str">
        <f t="shared" si="114"/>
        <v>23</v>
      </c>
      <c r="G1834" s="2200" t="str">
        <f t="shared" si="115"/>
        <v>86865</v>
      </c>
      <c r="H1834" s="2200">
        <f>--SUBTOTAL(3,C$2:C1834)</f>
        <v>99</v>
      </c>
    </row>
    <row r="1835" spans="1:8" hidden="1" x14ac:dyDescent="0.15">
      <c r="A1835" s="2200" t="s">
        <v>11502</v>
      </c>
      <c r="B1835" s="2200" t="s">
        <v>14382</v>
      </c>
      <c r="C1835" s="2200" t="s">
        <v>14383</v>
      </c>
      <c r="D1835" s="2200" t="str">
        <f t="shared" si="112"/>
        <v>ME</v>
      </c>
      <c r="E1835" s="2200">
        <f t="shared" si="113"/>
        <v>14</v>
      </c>
      <c r="F1835" s="2200" t="str">
        <f t="shared" si="114"/>
        <v>23</v>
      </c>
      <c r="G1835" s="2200" t="str">
        <f t="shared" si="115"/>
        <v>86970</v>
      </c>
      <c r="H1835" s="2200">
        <f>--SUBTOTAL(3,C$2:C1835)</f>
        <v>99</v>
      </c>
    </row>
    <row r="1836" spans="1:8" hidden="1" x14ac:dyDescent="0.15">
      <c r="A1836" s="2200" t="s">
        <v>11502</v>
      </c>
      <c r="B1836" s="2200" t="s">
        <v>14384</v>
      </c>
      <c r="C1836" s="2200" t="s">
        <v>14385</v>
      </c>
      <c r="D1836" s="2200" t="str">
        <f t="shared" si="112"/>
        <v>ME</v>
      </c>
      <c r="E1836" s="2200">
        <f t="shared" si="113"/>
        <v>15</v>
      </c>
      <c r="F1836" s="2200" t="str">
        <f t="shared" si="114"/>
        <v>23</v>
      </c>
      <c r="G1836" s="2200" t="str">
        <f t="shared" si="115"/>
        <v>87075</v>
      </c>
      <c r="H1836" s="2200">
        <f>--SUBTOTAL(3,C$2:C1836)</f>
        <v>99</v>
      </c>
    </row>
    <row r="1837" spans="1:8" hidden="1" x14ac:dyDescent="0.15">
      <c r="A1837" s="2200" t="s">
        <v>11502</v>
      </c>
      <c r="B1837" s="2200" t="s">
        <v>14386</v>
      </c>
      <c r="C1837" s="2200" t="s">
        <v>14387</v>
      </c>
      <c r="D1837" s="2200" t="str">
        <f t="shared" si="112"/>
        <v>ME</v>
      </c>
      <c r="E1837" s="2200">
        <f t="shared" si="113"/>
        <v>14</v>
      </c>
      <c r="F1837" s="2200" t="str">
        <f t="shared" si="114"/>
        <v>23</v>
      </c>
      <c r="G1837" s="2200" t="str">
        <f t="shared" si="115"/>
        <v>87215</v>
      </c>
      <c r="H1837" s="2200">
        <f>--SUBTOTAL(3,C$2:C1837)</f>
        <v>99</v>
      </c>
    </row>
    <row r="1838" spans="1:8" hidden="1" x14ac:dyDescent="0.15">
      <c r="A1838" s="2200" t="s">
        <v>11502</v>
      </c>
      <c r="B1838" s="2200" t="s">
        <v>14388</v>
      </c>
      <c r="C1838" s="2200" t="s">
        <v>14389</v>
      </c>
      <c r="D1838" s="2200" t="str">
        <f t="shared" si="112"/>
        <v>ME</v>
      </c>
      <c r="E1838" s="2200">
        <f t="shared" si="113"/>
        <v>15</v>
      </c>
      <c r="F1838" s="2200" t="str">
        <f t="shared" si="114"/>
        <v>23</v>
      </c>
      <c r="G1838" s="2200" t="str">
        <f t="shared" si="115"/>
        <v>87355</v>
      </c>
      <c r="H1838" s="2200">
        <f>--SUBTOTAL(3,C$2:C1838)</f>
        <v>99</v>
      </c>
    </row>
    <row r="1839" spans="1:8" hidden="1" x14ac:dyDescent="0.15">
      <c r="A1839" s="2200" t="s">
        <v>11502</v>
      </c>
      <c r="B1839" s="2200" t="s">
        <v>14390</v>
      </c>
      <c r="C1839" s="2200" t="s">
        <v>14391</v>
      </c>
      <c r="D1839" s="2200" t="str">
        <f t="shared" si="112"/>
        <v>ME</v>
      </c>
      <c r="E1839" s="2200">
        <f t="shared" si="113"/>
        <v>15</v>
      </c>
      <c r="F1839" s="2200" t="str">
        <f t="shared" si="114"/>
        <v>23</v>
      </c>
      <c r="G1839" s="2200" t="str">
        <f t="shared" si="115"/>
        <v>87390</v>
      </c>
      <c r="H1839" s="2200">
        <f>--SUBTOTAL(3,C$2:C1839)</f>
        <v>99</v>
      </c>
    </row>
    <row r="1840" spans="1:8" hidden="1" x14ac:dyDescent="0.15">
      <c r="A1840" s="2200" t="s">
        <v>11502</v>
      </c>
      <c r="B1840" s="2200" t="s">
        <v>14392</v>
      </c>
      <c r="C1840" s="2200" t="s">
        <v>14393</v>
      </c>
      <c r="D1840" s="2200" t="str">
        <f t="shared" si="112"/>
        <v>ME</v>
      </c>
      <c r="E1840" s="2200">
        <f t="shared" si="113"/>
        <v>14</v>
      </c>
      <c r="F1840" s="2200" t="str">
        <f t="shared" si="114"/>
        <v>23</v>
      </c>
      <c r="G1840" s="2200" t="str">
        <f t="shared" si="115"/>
        <v>87460</v>
      </c>
      <c r="H1840" s="2200">
        <f>--SUBTOTAL(3,C$2:C1840)</f>
        <v>99</v>
      </c>
    </row>
    <row r="1841" spans="1:8" hidden="1" x14ac:dyDescent="0.15">
      <c r="A1841" s="2200" t="s">
        <v>11502</v>
      </c>
      <c r="B1841" s="2200" t="s">
        <v>14394</v>
      </c>
      <c r="C1841" s="2200" t="s">
        <v>14395</v>
      </c>
      <c r="D1841" s="2200" t="str">
        <f t="shared" si="112"/>
        <v>ME</v>
      </c>
      <c r="E1841" s="2200">
        <f t="shared" si="113"/>
        <v>18</v>
      </c>
      <c r="F1841" s="2200" t="str">
        <f t="shared" si="114"/>
        <v>23</v>
      </c>
      <c r="G1841" s="2200" t="str">
        <f t="shared" si="115"/>
        <v>87680</v>
      </c>
      <c r="H1841" s="2200">
        <f>--SUBTOTAL(3,C$2:C1841)</f>
        <v>99</v>
      </c>
    </row>
    <row r="1842" spans="1:8" hidden="1" x14ac:dyDescent="0.15">
      <c r="A1842" s="2200" t="s">
        <v>11502</v>
      </c>
      <c r="B1842" s="2200" t="s">
        <v>14396</v>
      </c>
      <c r="C1842" s="2200" t="s">
        <v>14397</v>
      </c>
      <c r="D1842" s="2200" t="str">
        <f t="shared" si="112"/>
        <v>ME</v>
      </c>
      <c r="E1842" s="2200">
        <f t="shared" si="113"/>
        <v>14</v>
      </c>
      <c r="F1842" s="2200" t="str">
        <f t="shared" si="114"/>
        <v>23</v>
      </c>
      <c r="G1842" s="2200" t="str">
        <f t="shared" si="115"/>
        <v>87845</v>
      </c>
      <c r="H1842" s="2200">
        <f>--SUBTOTAL(3,C$2:C1842)</f>
        <v>99</v>
      </c>
    </row>
    <row r="1843" spans="1:8" hidden="1" x14ac:dyDescent="0.15">
      <c r="A1843" s="2200" t="s">
        <v>11502</v>
      </c>
      <c r="B1843" s="2200" t="s">
        <v>14398</v>
      </c>
      <c r="C1843" s="2200" t="s">
        <v>14399</v>
      </c>
      <c r="D1843" s="2200" t="str">
        <f t="shared" si="112"/>
        <v>ME</v>
      </c>
      <c r="E1843" s="2200">
        <f t="shared" si="113"/>
        <v>10</v>
      </c>
      <c r="F1843" s="2200" t="str">
        <f t="shared" si="114"/>
        <v>23</v>
      </c>
      <c r="G1843" s="2200" t="str">
        <f t="shared" si="115"/>
        <v>87985</v>
      </c>
      <c r="H1843" s="2200">
        <f>--SUBTOTAL(3,C$2:C1843)</f>
        <v>99</v>
      </c>
    </row>
    <row r="1844" spans="1:8" hidden="1" x14ac:dyDescent="0.15">
      <c r="A1844" s="2200" t="s">
        <v>10723</v>
      </c>
      <c r="B1844" s="2200" t="s">
        <v>14400</v>
      </c>
      <c r="C1844" s="2200" t="s">
        <v>14401</v>
      </c>
      <c r="D1844" s="2200" t="str">
        <f t="shared" si="112"/>
        <v>MI</v>
      </c>
      <c r="E1844" s="2200">
        <f t="shared" si="113"/>
        <v>16</v>
      </c>
      <c r="F1844" s="2200" t="str">
        <f t="shared" si="114"/>
        <v>26</v>
      </c>
      <c r="G1844" s="2200" t="str">
        <f t="shared" si="115"/>
        <v>01380</v>
      </c>
      <c r="H1844" s="2200">
        <f>--SUBTOTAL(3,C$2:C1844)</f>
        <v>99</v>
      </c>
    </row>
    <row r="1845" spans="1:8" hidden="1" x14ac:dyDescent="0.15">
      <c r="A1845" s="2200" t="s">
        <v>10723</v>
      </c>
      <c r="B1845" s="2200" t="s">
        <v>14402</v>
      </c>
      <c r="C1845" s="2200" t="s">
        <v>14403</v>
      </c>
      <c r="D1845" s="2200" t="str">
        <f t="shared" si="112"/>
        <v>MI</v>
      </c>
      <c r="E1845" s="2200">
        <f t="shared" si="113"/>
        <v>27</v>
      </c>
      <c r="F1845" s="2200" t="str">
        <f t="shared" si="114"/>
        <v>26</v>
      </c>
      <c r="G1845" s="2200" t="str">
        <f t="shared" si="115"/>
        <v>01360</v>
      </c>
      <c r="H1845" s="2200">
        <f>--SUBTOTAL(3,C$2:C1845)</f>
        <v>99</v>
      </c>
    </row>
    <row r="1846" spans="1:8" hidden="1" x14ac:dyDescent="0.15">
      <c r="A1846" s="2200" t="s">
        <v>10723</v>
      </c>
      <c r="B1846" s="2200" t="s">
        <v>14404</v>
      </c>
      <c r="C1846" s="2200" t="s">
        <v>14405</v>
      </c>
      <c r="D1846" s="2200" t="str">
        <f t="shared" si="112"/>
        <v>MI</v>
      </c>
      <c r="E1846" s="2200">
        <f t="shared" si="113"/>
        <v>15</v>
      </c>
      <c r="F1846" s="2200" t="str">
        <f t="shared" si="114"/>
        <v>26</v>
      </c>
      <c r="G1846" s="2200" t="str">
        <f t="shared" si="115"/>
        <v>03000</v>
      </c>
      <c r="H1846" s="2200">
        <f>--SUBTOTAL(3,C$2:C1846)</f>
        <v>99</v>
      </c>
    </row>
    <row r="1847" spans="1:8" hidden="1" x14ac:dyDescent="0.15">
      <c r="A1847" s="2200" t="s">
        <v>10723</v>
      </c>
      <c r="B1847" s="2200" t="s">
        <v>14406</v>
      </c>
      <c r="C1847" s="2200" t="s">
        <v>14407</v>
      </c>
      <c r="D1847" s="2200" t="str">
        <f t="shared" si="112"/>
        <v>MI</v>
      </c>
      <c r="E1847" s="2200">
        <f t="shared" si="113"/>
        <v>18</v>
      </c>
      <c r="F1847" s="2200" t="str">
        <f t="shared" si="114"/>
        <v>26</v>
      </c>
      <c r="G1847" s="2200" t="str">
        <f t="shared" si="115"/>
        <v>05920</v>
      </c>
      <c r="H1847" s="2200">
        <f>--SUBTOTAL(3,C$2:C1847)</f>
        <v>99</v>
      </c>
    </row>
    <row r="1848" spans="1:8" hidden="1" x14ac:dyDescent="0.15">
      <c r="A1848" s="2200" t="s">
        <v>10723</v>
      </c>
      <c r="B1848" s="2200" t="s">
        <v>14408</v>
      </c>
      <c r="C1848" s="2200" t="s">
        <v>14409</v>
      </c>
      <c r="D1848" s="2200" t="str">
        <f t="shared" si="112"/>
        <v>MI</v>
      </c>
      <c r="E1848" s="2200">
        <f t="shared" si="113"/>
        <v>14</v>
      </c>
      <c r="F1848" s="2200" t="str">
        <f t="shared" si="114"/>
        <v>26</v>
      </c>
      <c r="G1848" s="2200" t="str">
        <f t="shared" si="115"/>
        <v>06020</v>
      </c>
      <c r="H1848" s="2200">
        <f>--SUBTOTAL(3,C$2:C1848)</f>
        <v>99</v>
      </c>
    </row>
    <row r="1849" spans="1:8" hidden="1" x14ac:dyDescent="0.15">
      <c r="A1849" s="2200" t="s">
        <v>10723</v>
      </c>
      <c r="B1849" s="2200" t="s">
        <v>14410</v>
      </c>
      <c r="C1849" s="2200" t="s">
        <v>14411</v>
      </c>
      <c r="D1849" s="2200" t="str">
        <f t="shared" si="112"/>
        <v>MI</v>
      </c>
      <c r="E1849" s="2200">
        <f t="shared" si="113"/>
        <v>33</v>
      </c>
      <c r="F1849" s="2200" t="str">
        <f t="shared" si="114"/>
        <v>26</v>
      </c>
      <c r="G1849" s="2200" t="str">
        <f t="shared" si="115"/>
        <v>06740</v>
      </c>
      <c r="H1849" s="2200">
        <f>--SUBTOTAL(3,C$2:C1849)</f>
        <v>99</v>
      </c>
    </row>
    <row r="1850" spans="1:8" hidden="1" x14ac:dyDescent="0.15">
      <c r="A1850" s="2200" t="s">
        <v>10723</v>
      </c>
      <c r="B1850" s="2200" t="s">
        <v>14412</v>
      </c>
      <c r="C1850" s="2200" t="s">
        <v>14413</v>
      </c>
      <c r="D1850" s="2200" t="str">
        <f t="shared" si="112"/>
        <v>MI</v>
      </c>
      <c r="E1850" s="2200">
        <f t="shared" si="113"/>
        <v>26</v>
      </c>
      <c r="F1850" s="2200" t="str">
        <f t="shared" si="114"/>
        <v>26</v>
      </c>
      <c r="G1850" s="2200" t="str">
        <f t="shared" si="115"/>
        <v>08760</v>
      </c>
      <c r="H1850" s="2200">
        <f>--SUBTOTAL(3,C$2:C1850)</f>
        <v>99</v>
      </c>
    </row>
    <row r="1851" spans="1:8" hidden="1" x14ac:dyDescent="0.15">
      <c r="A1851" s="2200" t="s">
        <v>10723</v>
      </c>
      <c r="B1851" s="2200" t="s">
        <v>14414</v>
      </c>
      <c r="C1851" s="2200" t="s">
        <v>14415</v>
      </c>
      <c r="D1851" s="2200" t="str">
        <f t="shared" si="112"/>
        <v>MI</v>
      </c>
      <c r="E1851" s="2200">
        <f t="shared" si="113"/>
        <v>45</v>
      </c>
      <c r="F1851" s="2200" t="str">
        <f t="shared" si="114"/>
        <v>26</v>
      </c>
      <c r="G1851" s="2200" t="str">
        <f t="shared" si="115"/>
        <v>09110</v>
      </c>
      <c r="H1851" s="2200">
        <f>--SUBTOTAL(3,C$2:C1851)</f>
        <v>99</v>
      </c>
    </row>
    <row r="1852" spans="1:8" hidden="1" x14ac:dyDescent="0.15">
      <c r="A1852" s="2200" t="s">
        <v>10723</v>
      </c>
      <c r="B1852" s="2200" t="s">
        <v>14416</v>
      </c>
      <c r="C1852" s="2200" t="s">
        <v>14417</v>
      </c>
      <c r="D1852" s="2200" t="str">
        <f t="shared" si="112"/>
        <v>MI</v>
      </c>
      <c r="E1852" s="2200">
        <f t="shared" si="113"/>
        <v>28</v>
      </c>
      <c r="F1852" s="2200" t="str">
        <f t="shared" si="114"/>
        <v>26</v>
      </c>
      <c r="G1852" s="2200" t="str">
        <f t="shared" si="115"/>
        <v>11220</v>
      </c>
      <c r="H1852" s="2200">
        <f>--SUBTOTAL(3,C$2:C1852)</f>
        <v>99</v>
      </c>
    </row>
    <row r="1853" spans="1:8" hidden="1" x14ac:dyDescent="0.15">
      <c r="A1853" s="2200" t="s">
        <v>10723</v>
      </c>
      <c r="B1853" s="2200" t="s">
        <v>14418</v>
      </c>
      <c r="C1853" s="2200" t="s">
        <v>14419</v>
      </c>
      <c r="D1853" s="2200" t="str">
        <f t="shared" si="112"/>
        <v>MI</v>
      </c>
      <c r="E1853" s="2200">
        <f t="shared" si="113"/>
        <v>12</v>
      </c>
      <c r="F1853" s="2200" t="str">
        <f t="shared" si="114"/>
        <v>26</v>
      </c>
      <c r="G1853" s="2200" t="str">
        <f t="shared" si="115"/>
        <v>12060</v>
      </c>
      <c r="H1853" s="2200">
        <f>--SUBTOTAL(3,C$2:C1853)</f>
        <v>99</v>
      </c>
    </row>
    <row r="1854" spans="1:8" hidden="1" x14ac:dyDescent="0.15">
      <c r="A1854" s="2200" t="s">
        <v>10723</v>
      </c>
      <c r="B1854" s="2200" t="s">
        <v>14420</v>
      </c>
      <c r="C1854" s="2200" t="s">
        <v>14421</v>
      </c>
      <c r="D1854" s="2200" t="str">
        <f t="shared" si="112"/>
        <v>MI</v>
      </c>
      <c r="E1854" s="2200">
        <f t="shared" si="113"/>
        <v>24</v>
      </c>
      <c r="F1854" s="2200" t="str">
        <f t="shared" si="114"/>
        <v>26</v>
      </c>
      <c r="G1854" s="2200" t="str">
        <f t="shared" si="115"/>
        <v>13120</v>
      </c>
      <c r="H1854" s="2200">
        <f>--SUBTOTAL(3,C$2:C1854)</f>
        <v>99</v>
      </c>
    </row>
    <row r="1855" spans="1:8" hidden="1" x14ac:dyDescent="0.15">
      <c r="A1855" s="2200" t="s">
        <v>10723</v>
      </c>
      <c r="B1855" s="2200" t="s">
        <v>14422</v>
      </c>
      <c r="C1855" s="2200" t="s">
        <v>14423</v>
      </c>
      <c r="D1855" s="2200" t="str">
        <f t="shared" si="112"/>
        <v>MI</v>
      </c>
      <c r="E1855" s="2200">
        <f t="shared" si="113"/>
        <v>22</v>
      </c>
      <c r="F1855" s="2200" t="str">
        <f t="shared" si="114"/>
        <v>26</v>
      </c>
      <c r="G1855" s="2200" t="str">
        <f t="shared" si="115"/>
        <v>15340</v>
      </c>
      <c r="H1855" s="2200">
        <f>--SUBTOTAL(3,C$2:C1855)</f>
        <v>99</v>
      </c>
    </row>
    <row r="1856" spans="1:8" hidden="1" x14ac:dyDescent="0.15">
      <c r="A1856" s="2200" t="s">
        <v>10723</v>
      </c>
      <c r="B1856" s="2200" t="s">
        <v>14424</v>
      </c>
      <c r="C1856" s="2200" t="s">
        <v>14425</v>
      </c>
      <c r="D1856" s="2200" t="str">
        <f t="shared" si="112"/>
        <v>MI</v>
      </c>
      <c r="E1856" s="2200">
        <f t="shared" si="113"/>
        <v>41</v>
      </c>
      <c r="F1856" s="2200" t="str">
        <f t="shared" si="114"/>
        <v>26</v>
      </c>
      <c r="G1856" s="2200" t="str">
        <f t="shared" si="115"/>
        <v>16520</v>
      </c>
      <c r="H1856" s="2200">
        <f>--SUBTOTAL(3,C$2:C1856)</f>
        <v>99</v>
      </c>
    </row>
    <row r="1857" spans="1:8" hidden="1" x14ac:dyDescent="0.15">
      <c r="A1857" s="2200" t="s">
        <v>10723</v>
      </c>
      <c r="B1857" s="2200" t="s">
        <v>14426</v>
      </c>
      <c r="C1857" s="2200" t="s">
        <v>14427</v>
      </c>
      <c r="D1857" s="2200" t="str">
        <f t="shared" si="112"/>
        <v>MI</v>
      </c>
      <c r="E1857" s="2200">
        <f t="shared" si="113"/>
        <v>26</v>
      </c>
      <c r="F1857" s="2200" t="str">
        <f t="shared" si="114"/>
        <v>26</v>
      </c>
      <c r="G1857" s="2200" t="str">
        <f t="shared" si="115"/>
        <v>17640</v>
      </c>
      <c r="H1857" s="2200">
        <f>--SUBTOTAL(3,C$2:C1857)</f>
        <v>99</v>
      </c>
    </row>
    <row r="1858" spans="1:8" hidden="1" x14ac:dyDescent="0.15">
      <c r="A1858" s="2200" t="s">
        <v>10723</v>
      </c>
      <c r="B1858" s="2200" t="s">
        <v>14428</v>
      </c>
      <c r="C1858" s="2200" t="s">
        <v>14429</v>
      </c>
      <c r="D1858" s="2200" t="str">
        <f t="shared" ref="D1858:D1921" si="116">MID(C1858,E1858+2,2)</f>
        <v>MI</v>
      </c>
      <c r="E1858" s="2200">
        <f t="shared" ref="E1858:E1921" si="117">FIND(",",C1858)</f>
        <v>14</v>
      </c>
      <c r="F1858" s="2200" t="str">
        <f t="shared" si="114"/>
        <v>26</v>
      </c>
      <c r="G1858" s="2200" t="str">
        <f t="shared" si="115"/>
        <v>21000</v>
      </c>
      <c r="H1858" s="2200">
        <f>--SUBTOTAL(3,C$2:C1858)</f>
        <v>99</v>
      </c>
    </row>
    <row r="1859" spans="1:8" hidden="1" x14ac:dyDescent="0.15">
      <c r="A1859" s="2200" t="s">
        <v>10723</v>
      </c>
      <c r="B1859" s="2200" t="s">
        <v>14430</v>
      </c>
      <c r="C1859" s="2200" t="s">
        <v>14431</v>
      </c>
      <c r="D1859" s="2200" t="str">
        <f t="shared" si="116"/>
        <v>MI</v>
      </c>
      <c r="E1859" s="2200">
        <f t="shared" si="117"/>
        <v>22</v>
      </c>
      <c r="F1859" s="2200" t="str">
        <f t="shared" ref="F1859:F1922" si="118">MID(B1859,3,2)</f>
        <v>26</v>
      </c>
      <c r="G1859" s="2200" t="str">
        <f t="shared" ref="G1859:G1922" si="119">MID(B1859,5,5)</f>
        <v>21020</v>
      </c>
      <c r="H1859" s="2200">
        <f>--SUBTOTAL(3,C$2:C1859)</f>
        <v>99</v>
      </c>
    </row>
    <row r="1860" spans="1:8" hidden="1" x14ac:dyDescent="0.15">
      <c r="A1860" s="2200" t="s">
        <v>10723</v>
      </c>
      <c r="B1860" s="2200" t="s">
        <v>14432</v>
      </c>
      <c r="C1860" s="2200" t="s">
        <v>14433</v>
      </c>
      <c r="D1860" s="2200" t="str">
        <f t="shared" si="116"/>
        <v>MI</v>
      </c>
      <c r="E1860" s="2200">
        <f t="shared" si="117"/>
        <v>23</v>
      </c>
      <c r="F1860" s="2200" t="str">
        <f t="shared" si="118"/>
        <v>26</v>
      </c>
      <c r="G1860" s="2200" t="str">
        <f t="shared" si="119"/>
        <v>21420</v>
      </c>
      <c r="H1860" s="2200">
        <f>--SUBTOTAL(3,C$2:C1860)</f>
        <v>99</v>
      </c>
    </row>
    <row r="1861" spans="1:8" hidden="1" x14ac:dyDescent="0.15">
      <c r="A1861" s="2200" t="s">
        <v>10723</v>
      </c>
      <c r="B1861" s="2200" t="s">
        <v>14434</v>
      </c>
      <c r="C1861" s="2200" t="s">
        <v>14435</v>
      </c>
      <c r="D1861" s="2200" t="str">
        <f t="shared" si="116"/>
        <v>MI</v>
      </c>
      <c r="E1861" s="2200">
        <f t="shared" si="117"/>
        <v>23</v>
      </c>
      <c r="F1861" s="2200" t="str">
        <f t="shared" si="118"/>
        <v>26</v>
      </c>
      <c r="G1861" s="2200" t="str">
        <f t="shared" si="119"/>
        <v>21520</v>
      </c>
      <c r="H1861" s="2200">
        <f>--SUBTOTAL(3,C$2:C1861)</f>
        <v>99</v>
      </c>
    </row>
    <row r="1862" spans="1:8" hidden="1" x14ac:dyDescent="0.15">
      <c r="A1862" s="2200" t="s">
        <v>10723</v>
      </c>
      <c r="B1862" s="2200" t="s">
        <v>14436</v>
      </c>
      <c r="C1862" s="2200" t="s">
        <v>14437</v>
      </c>
      <c r="D1862" s="2200" t="str">
        <f t="shared" si="116"/>
        <v>MI</v>
      </c>
      <c r="E1862" s="2200">
        <f t="shared" si="117"/>
        <v>13</v>
      </c>
      <c r="F1862" s="2200" t="str">
        <f t="shared" si="118"/>
        <v>26</v>
      </c>
      <c r="G1862" s="2200" t="str">
        <f t="shared" si="119"/>
        <v>22000</v>
      </c>
      <c r="H1862" s="2200">
        <f>--SUBTOTAL(3,C$2:C1862)</f>
        <v>99</v>
      </c>
    </row>
    <row r="1863" spans="1:8" hidden="1" x14ac:dyDescent="0.15">
      <c r="A1863" s="2200" t="s">
        <v>10723</v>
      </c>
      <c r="B1863" s="2200" t="s">
        <v>14438</v>
      </c>
      <c r="C1863" s="2200" t="s">
        <v>14439</v>
      </c>
      <c r="D1863" s="2200" t="str">
        <f t="shared" si="116"/>
        <v>MI</v>
      </c>
      <c r="E1863" s="2200">
        <f t="shared" si="117"/>
        <v>18</v>
      </c>
      <c r="F1863" s="2200" t="str">
        <f t="shared" si="118"/>
        <v>26</v>
      </c>
      <c r="G1863" s="2200" t="str">
        <f t="shared" si="119"/>
        <v>24120</v>
      </c>
      <c r="H1863" s="2200">
        <f>--SUBTOTAL(3,C$2:C1863)</f>
        <v>99</v>
      </c>
    </row>
    <row r="1864" spans="1:8" hidden="1" x14ac:dyDescent="0.15">
      <c r="A1864" s="2200" t="s">
        <v>10723</v>
      </c>
      <c r="B1864" s="2200" t="s">
        <v>14440</v>
      </c>
      <c r="C1864" s="2200" t="s">
        <v>14441</v>
      </c>
      <c r="D1864" s="2200" t="str">
        <f t="shared" si="116"/>
        <v>MI</v>
      </c>
      <c r="E1864" s="2200">
        <f t="shared" si="117"/>
        <v>16</v>
      </c>
      <c r="F1864" s="2200" t="str">
        <f t="shared" si="118"/>
        <v>26</v>
      </c>
      <c r="G1864" s="2200" t="str">
        <f t="shared" si="119"/>
        <v>24290</v>
      </c>
      <c r="H1864" s="2200">
        <f>--SUBTOTAL(3,C$2:C1864)</f>
        <v>99</v>
      </c>
    </row>
    <row r="1865" spans="1:8" hidden="1" x14ac:dyDescent="0.15">
      <c r="A1865" s="2200" t="s">
        <v>10723</v>
      </c>
      <c r="B1865" s="2200" t="s">
        <v>14442</v>
      </c>
      <c r="C1865" s="2200" t="s">
        <v>14443</v>
      </c>
      <c r="D1865" s="2200" t="str">
        <f t="shared" si="116"/>
        <v>MI</v>
      </c>
      <c r="E1865" s="2200">
        <f t="shared" si="117"/>
        <v>22</v>
      </c>
      <c r="F1865" s="2200" t="str">
        <f t="shared" si="118"/>
        <v>26</v>
      </c>
      <c r="G1865" s="2200" t="str">
        <f t="shared" si="119"/>
        <v>27440</v>
      </c>
      <c r="H1865" s="2200">
        <f>--SUBTOTAL(3,C$2:C1865)</f>
        <v>99</v>
      </c>
    </row>
    <row r="1866" spans="1:8" hidden="1" x14ac:dyDescent="0.15">
      <c r="A1866" s="2200" t="s">
        <v>10723</v>
      </c>
      <c r="B1866" s="2200" t="s">
        <v>14444</v>
      </c>
      <c r="C1866" s="2200" t="s">
        <v>14445</v>
      </c>
      <c r="D1866" s="2200" t="str">
        <f t="shared" si="116"/>
        <v>MI</v>
      </c>
      <c r="E1866" s="2200">
        <f t="shared" si="117"/>
        <v>14</v>
      </c>
      <c r="F1866" s="2200" t="str">
        <f t="shared" si="118"/>
        <v>26</v>
      </c>
      <c r="G1866" s="2200" t="str">
        <f t="shared" si="119"/>
        <v>27880</v>
      </c>
      <c r="H1866" s="2200">
        <f>--SUBTOTAL(3,C$2:C1866)</f>
        <v>99</v>
      </c>
    </row>
    <row r="1867" spans="1:8" hidden="1" x14ac:dyDescent="0.15">
      <c r="A1867" s="2200" t="s">
        <v>10723</v>
      </c>
      <c r="B1867" s="2200" t="s">
        <v>14446</v>
      </c>
      <c r="C1867" s="2200" t="s">
        <v>14447</v>
      </c>
      <c r="D1867" s="2200" t="str">
        <f t="shared" si="116"/>
        <v>MI</v>
      </c>
      <c r="E1867" s="2200">
        <f t="shared" si="117"/>
        <v>23</v>
      </c>
      <c r="F1867" s="2200" t="str">
        <f t="shared" si="118"/>
        <v>26</v>
      </c>
      <c r="G1867" s="2200" t="str">
        <f t="shared" si="119"/>
        <v>29020</v>
      </c>
      <c r="H1867" s="2200">
        <f>--SUBTOTAL(3,C$2:C1867)</f>
        <v>99</v>
      </c>
    </row>
    <row r="1868" spans="1:8" hidden="1" x14ac:dyDescent="0.15">
      <c r="A1868" s="2200" t="s">
        <v>10723</v>
      </c>
      <c r="B1868" s="2200" t="s">
        <v>14448</v>
      </c>
      <c r="C1868" s="2200" t="s">
        <v>14449</v>
      </c>
      <c r="D1868" s="2200" t="str">
        <f t="shared" si="116"/>
        <v>MI</v>
      </c>
      <c r="E1868" s="2200">
        <f t="shared" si="117"/>
        <v>11</v>
      </c>
      <c r="F1868" s="2200" t="str">
        <f t="shared" si="118"/>
        <v>26</v>
      </c>
      <c r="G1868" s="2200" t="str">
        <f t="shared" si="119"/>
        <v>29000</v>
      </c>
      <c r="H1868" s="2200">
        <f>--SUBTOTAL(3,C$2:C1868)</f>
        <v>99</v>
      </c>
    </row>
    <row r="1869" spans="1:8" hidden="1" x14ac:dyDescent="0.15">
      <c r="A1869" s="2200" t="s">
        <v>10723</v>
      </c>
      <c r="B1869" s="2200" t="s">
        <v>14450</v>
      </c>
      <c r="C1869" s="2200" t="s">
        <v>14451</v>
      </c>
      <c r="D1869" s="2200" t="str">
        <f t="shared" si="116"/>
        <v>MI</v>
      </c>
      <c r="E1869" s="2200">
        <f t="shared" si="117"/>
        <v>24</v>
      </c>
      <c r="F1869" s="2200" t="str">
        <f t="shared" si="118"/>
        <v>26</v>
      </c>
      <c r="G1869" s="2200" t="str">
        <f t="shared" si="119"/>
        <v>31240</v>
      </c>
      <c r="H1869" s="2200">
        <f>--SUBTOTAL(3,C$2:C1869)</f>
        <v>99</v>
      </c>
    </row>
    <row r="1870" spans="1:8" hidden="1" x14ac:dyDescent="0.15">
      <c r="A1870" s="2200" t="s">
        <v>10723</v>
      </c>
      <c r="B1870" s="2200" t="s">
        <v>14452</v>
      </c>
      <c r="C1870" s="2200" t="s">
        <v>14453</v>
      </c>
      <c r="D1870" s="2200" t="str">
        <f t="shared" si="116"/>
        <v>MI</v>
      </c>
      <c r="E1870" s="2200">
        <f t="shared" si="117"/>
        <v>17</v>
      </c>
      <c r="F1870" s="2200" t="str">
        <f t="shared" si="118"/>
        <v>26</v>
      </c>
      <c r="G1870" s="2200" t="str">
        <f t="shared" si="119"/>
        <v>31420</v>
      </c>
      <c r="H1870" s="2200">
        <f>--SUBTOTAL(3,C$2:C1870)</f>
        <v>99</v>
      </c>
    </row>
    <row r="1871" spans="1:8" hidden="1" x14ac:dyDescent="0.15">
      <c r="A1871" s="2200" t="s">
        <v>10723</v>
      </c>
      <c r="B1871" s="2200" t="s">
        <v>14454</v>
      </c>
      <c r="C1871" s="2200" t="s">
        <v>14455</v>
      </c>
      <c r="D1871" s="2200" t="str">
        <f t="shared" si="116"/>
        <v>MI</v>
      </c>
      <c r="E1871" s="2200">
        <f t="shared" si="117"/>
        <v>28</v>
      </c>
      <c r="F1871" s="2200" t="str">
        <f t="shared" si="118"/>
        <v>26</v>
      </c>
      <c r="G1871" s="2200" t="str">
        <f t="shared" si="119"/>
        <v>31880</v>
      </c>
      <c r="H1871" s="2200">
        <f>--SUBTOTAL(3,C$2:C1871)</f>
        <v>99</v>
      </c>
    </row>
    <row r="1872" spans="1:8" hidden="1" x14ac:dyDescent="0.15">
      <c r="A1872" s="2200" t="s">
        <v>10723</v>
      </c>
      <c r="B1872" s="2200" t="s">
        <v>14456</v>
      </c>
      <c r="C1872" s="2200" t="s">
        <v>14457</v>
      </c>
      <c r="D1872" s="2200" t="str">
        <f t="shared" si="116"/>
        <v>MI</v>
      </c>
      <c r="E1872" s="2200">
        <f t="shared" si="117"/>
        <v>29</v>
      </c>
      <c r="F1872" s="2200" t="str">
        <f t="shared" si="118"/>
        <v>26</v>
      </c>
      <c r="G1872" s="2200" t="str">
        <f t="shared" si="119"/>
        <v>33300</v>
      </c>
      <c r="H1872" s="2200">
        <f>--SUBTOTAL(3,C$2:C1872)</f>
        <v>99</v>
      </c>
    </row>
    <row r="1873" spans="1:8" hidden="1" x14ac:dyDescent="0.15">
      <c r="A1873" s="2200" t="s">
        <v>10723</v>
      </c>
      <c r="B1873" s="2200" t="s">
        <v>14458</v>
      </c>
      <c r="C1873" s="2200" t="s">
        <v>14459</v>
      </c>
      <c r="D1873" s="2200" t="str">
        <f t="shared" si="116"/>
        <v>MI</v>
      </c>
      <c r="E1873" s="2200">
        <f t="shared" si="117"/>
        <v>18</v>
      </c>
      <c r="F1873" s="2200" t="str">
        <f t="shared" si="118"/>
        <v>26</v>
      </c>
      <c r="G1873" s="2200" t="str">
        <f t="shared" si="119"/>
        <v>34000</v>
      </c>
      <c r="H1873" s="2200">
        <f>--SUBTOTAL(3,C$2:C1873)</f>
        <v>99</v>
      </c>
    </row>
    <row r="1874" spans="1:8" hidden="1" x14ac:dyDescent="0.15">
      <c r="A1874" s="2200" t="s">
        <v>10723</v>
      </c>
      <c r="B1874" s="2200" t="s">
        <v>14460</v>
      </c>
      <c r="C1874" s="2200" t="s">
        <v>14461</v>
      </c>
      <c r="D1874" s="2200" t="str">
        <f t="shared" si="116"/>
        <v>MI</v>
      </c>
      <c r="E1874" s="2200">
        <f t="shared" si="117"/>
        <v>26</v>
      </c>
      <c r="F1874" s="2200" t="str">
        <f t="shared" si="118"/>
        <v>26</v>
      </c>
      <c r="G1874" s="2200" t="str">
        <f t="shared" si="119"/>
        <v>36820</v>
      </c>
      <c r="H1874" s="2200">
        <f>--SUBTOTAL(3,C$2:C1874)</f>
        <v>99</v>
      </c>
    </row>
    <row r="1875" spans="1:8" hidden="1" x14ac:dyDescent="0.15">
      <c r="A1875" s="2200" t="s">
        <v>10723</v>
      </c>
      <c r="B1875" s="2200" t="s">
        <v>14462</v>
      </c>
      <c r="C1875" s="2200" t="s">
        <v>14463</v>
      </c>
      <c r="D1875" s="2200" t="str">
        <f t="shared" si="116"/>
        <v>MI</v>
      </c>
      <c r="E1875" s="2200">
        <f t="shared" si="117"/>
        <v>41</v>
      </c>
      <c r="F1875" s="2200" t="str">
        <f t="shared" si="118"/>
        <v>26</v>
      </c>
      <c r="G1875" s="2200" t="str">
        <f t="shared" si="119"/>
        <v>38660</v>
      </c>
      <c r="H1875" s="2200">
        <f>--SUBTOTAL(3,C$2:C1875)</f>
        <v>99</v>
      </c>
    </row>
    <row r="1876" spans="1:8" hidden="1" x14ac:dyDescent="0.15">
      <c r="A1876" s="2200" t="s">
        <v>10723</v>
      </c>
      <c r="B1876" s="2200" t="s">
        <v>14464</v>
      </c>
      <c r="C1876" s="2200" t="s">
        <v>14465</v>
      </c>
      <c r="D1876" s="2200" t="str">
        <f t="shared" si="116"/>
        <v>MI</v>
      </c>
      <c r="E1876" s="2200">
        <f t="shared" si="117"/>
        <v>13</v>
      </c>
      <c r="F1876" s="2200" t="str">
        <f t="shared" si="118"/>
        <v>26</v>
      </c>
      <c r="G1876" s="2200" t="str">
        <f t="shared" si="119"/>
        <v>38640</v>
      </c>
      <c r="H1876" s="2200">
        <f>--SUBTOTAL(3,C$2:C1876)</f>
        <v>99</v>
      </c>
    </row>
    <row r="1877" spans="1:8" hidden="1" x14ac:dyDescent="0.15">
      <c r="A1877" s="2200" t="s">
        <v>10723</v>
      </c>
      <c r="B1877" s="2200" t="s">
        <v>14466</v>
      </c>
      <c r="C1877" s="2200" t="s">
        <v>14467</v>
      </c>
      <c r="D1877" s="2200" t="str">
        <f t="shared" si="116"/>
        <v>MI</v>
      </c>
      <c r="E1877" s="2200">
        <f t="shared" si="117"/>
        <v>30</v>
      </c>
      <c r="F1877" s="2200" t="str">
        <f t="shared" si="118"/>
        <v>26</v>
      </c>
      <c r="G1877" s="2200" t="str">
        <f t="shared" si="119"/>
        <v>40400</v>
      </c>
      <c r="H1877" s="2200">
        <f>--SUBTOTAL(3,C$2:C1877)</f>
        <v>99</v>
      </c>
    </row>
    <row r="1878" spans="1:8" hidden="1" x14ac:dyDescent="0.15">
      <c r="A1878" s="2200" t="s">
        <v>10723</v>
      </c>
      <c r="B1878" s="2200" t="s">
        <v>14468</v>
      </c>
      <c r="C1878" s="2200" t="s">
        <v>14469</v>
      </c>
      <c r="D1878" s="2200" t="str">
        <f t="shared" si="116"/>
        <v>MI</v>
      </c>
      <c r="E1878" s="2200">
        <f t="shared" si="117"/>
        <v>13</v>
      </c>
      <c r="F1878" s="2200" t="str">
        <f t="shared" si="118"/>
        <v>26</v>
      </c>
      <c r="G1878" s="2200" t="str">
        <f t="shared" si="119"/>
        <v>40680</v>
      </c>
      <c r="H1878" s="2200">
        <f>--SUBTOTAL(3,C$2:C1878)</f>
        <v>99</v>
      </c>
    </row>
    <row r="1879" spans="1:8" hidden="1" x14ac:dyDescent="0.15">
      <c r="A1879" s="2200" t="s">
        <v>10723</v>
      </c>
      <c r="B1879" s="2200" t="s">
        <v>14470</v>
      </c>
      <c r="C1879" s="2200" t="s">
        <v>14471</v>
      </c>
      <c r="D1879" s="2200" t="str">
        <f t="shared" si="116"/>
        <v>MI</v>
      </c>
      <c r="E1879" s="2200">
        <f t="shared" si="117"/>
        <v>13</v>
      </c>
      <c r="F1879" s="2200" t="str">
        <f t="shared" si="118"/>
        <v>26</v>
      </c>
      <c r="G1879" s="2200" t="str">
        <f t="shared" si="119"/>
        <v>41420</v>
      </c>
      <c r="H1879" s="2200">
        <f>--SUBTOTAL(3,C$2:C1879)</f>
        <v>99</v>
      </c>
    </row>
    <row r="1880" spans="1:8" hidden="1" x14ac:dyDescent="0.15">
      <c r="A1880" s="2200" t="s">
        <v>10723</v>
      </c>
      <c r="B1880" s="2200" t="s">
        <v>14472</v>
      </c>
      <c r="C1880" s="2200" t="s">
        <v>14473</v>
      </c>
      <c r="D1880" s="2200" t="str">
        <f t="shared" si="116"/>
        <v>MI</v>
      </c>
      <c r="E1880" s="2200">
        <f t="shared" si="117"/>
        <v>15</v>
      </c>
      <c r="F1880" s="2200" t="str">
        <f t="shared" si="118"/>
        <v>26</v>
      </c>
      <c r="G1880" s="2200" t="str">
        <f t="shared" si="119"/>
        <v>42160</v>
      </c>
      <c r="H1880" s="2200">
        <f>--SUBTOTAL(3,C$2:C1880)</f>
        <v>99</v>
      </c>
    </row>
    <row r="1881" spans="1:8" hidden="1" x14ac:dyDescent="0.15">
      <c r="A1881" s="2200" t="s">
        <v>10723</v>
      </c>
      <c r="B1881" s="2200" t="s">
        <v>14474</v>
      </c>
      <c r="C1881" s="2200" t="s">
        <v>14475</v>
      </c>
      <c r="D1881" s="2200" t="str">
        <f t="shared" si="116"/>
        <v>MI</v>
      </c>
      <c r="E1881" s="2200">
        <f t="shared" si="117"/>
        <v>14</v>
      </c>
      <c r="F1881" s="2200" t="str">
        <f t="shared" si="118"/>
        <v>26</v>
      </c>
      <c r="G1881" s="2200" t="str">
        <f t="shared" si="119"/>
        <v>42820</v>
      </c>
      <c r="H1881" s="2200">
        <f>--SUBTOTAL(3,C$2:C1881)</f>
        <v>99</v>
      </c>
    </row>
    <row r="1882" spans="1:8" hidden="1" x14ac:dyDescent="0.15">
      <c r="A1882" s="2200" t="s">
        <v>10723</v>
      </c>
      <c r="B1882" s="2200" t="s">
        <v>14476</v>
      </c>
      <c r="C1882" s="2200" t="s">
        <v>14477</v>
      </c>
      <c r="D1882" s="2200" t="str">
        <f t="shared" si="116"/>
        <v>MI</v>
      </c>
      <c r="E1882" s="2200">
        <f t="shared" si="117"/>
        <v>13</v>
      </c>
      <c r="F1882" s="2200" t="str">
        <f t="shared" si="118"/>
        <v>26</v>
      </c>
      <c r="G1882" s="2200" t="str">
        <f t="shared" si="119"/>
        <v>46000</v>
      </c>
      <c r="H1882" s="2200">
        <f>--SUBTOTAL(3,C$2:C1882)</f>
        <v>99</v>
      </c>
    </row>
    <row r="1883" spans="1:8" hidden="1" x14ac:dyDescent="0.15">
      <c r="A1883" s="2200" t="s">
        <v>10723</v>
      </c>
      <c r="B1883" s="2200" t="s">
        <v>14478</v>
      </c>
      <c r="C1883" s="2200" t="s">
        <v>14479</v>
      </c>
      <c r="D1883" s="2200" t="str">
        <f t="shared" si="116"/>
        <v>MI</v>
      </c>
      <c r="E1883" s="2200">
        <f t="shared" si="117"/>
        <v>18</v>
      </c>
      <c r="F1883" s="2200" t="str">
        <f t="shared" si="118"/>
        <v>26</v>
      </c>
      <c r="G1883" s="2200" t="str">
        <f t="shared" si="119"/>
        <v>47800</v>
      </c>
      <c r="H1883" s="2200">
        <f>--SUBTOTAL(3,C$2:C1883)</f>
        <v>99</v>
      </c>
    </row>
    <row r="1884" spans="1:8" hidden="1" x14ac:dyDescent="0.15">
      <c r="A1884" s="2200" t="s">
        <v>10723</v>
      </c>
      <c r="B1884" s="2200" t="s">
        <v>14480</v>
      </c>
      <c r="C1884" s="2200" t="s">
        <v>14481</v>
      </c>
      <c r="D1884" s="2200" t="str">
        <f t="shared" si="116"/>
        <v>MI</v>
      </c>
      <c r="E1884" s="2200">
        <f t="shared" si="117"/>
        <v>13</v>
      </c>
      <c r="F1884" s="2200" t="str">
        <f t="shared" si="118"/>
        <v>26</v>
      </c>
      <c r="G1884" s="2200" t="str">
        <f t="shared" si="119"/>
        <v>49000</v>
      </c>
      <c r="H1884" s="2200">
        <f>--SUBTOTAL(3,C$2:C1884)</f>
        <v>99</v>
      </c>
    </row>
    <row r="1885" spans="1:8" hidden="1" x14ac:dyDescent="0.15">
      <c r="A1885" s="2200" t="s">
        <v>10723</v>
      </c>
      <c r="B1885" s="2200" t="s">
        <v>14482</v>
      </c>
      <c r="C1885" s="2200" t="s">
        <v>14483</v>
      </c>
      <c r="D1885" s="2200" t="str">
        <f t="shared" si="116"/>
        <v>MI</v>
      </c>
      <c r="E1885" s="2200">
        <f t="shared" si="117"/>
        <v>16</v>
      </c>
      <c r="F1885" s="2200" t="str">
        <f t="shared" si="118"/>
        <v>26</v>
      </c>
      <c r="G1885" s="2200" t="str">
        <f t="shared" si="119"/>
        <v>50480</v>
      </c>
      <c r="H1885" s="2200">
        <f>--SUBTOTAL(3,C$2:C1885)</f>
        <v>99</v>
      </c>
    </row>
    <row r="1886" spans="1:8" hidden="1" x14ac:dyDescent="0.15">
      <c r="A1886" s="2200" t="s">
        <v>10723</v>
      </c>
      <c r="B1886" s="2200" t="s">
        <v>14484</v>
      </c>
      <c r="C1886" s="2200" t="s">
        <v>14485</v>
      </c>
      <c r="D1886" s="2200" t="str">
        <f t="shared" si="116"/>
        <v>MI</v>
      </c>
      <c r="E1886" s="2200">
        <f t="shared" si="117"/>
        <v>21</v>
      </c>
      <c r="F1886" s="2200" t="str">
        <f t="shared" si="118"/>
        <v>26</v>
      </c>
      <c r="G1886" s="2200" t="str">
        <f t="shared" si="119"/>
        <v>50560</v>
      </c>
      <c r="H1886" s="2200">
        <f>--SUBTOTAL(3,C$2:C1886)</f>
        <v>99</v>
      </c>
    </row>
    <row r="1887" spans="1:8" hidden="1" x14ac:dyDescent="0.15">
      <c r="A1887" s="2200" t="s">
        <v>10723</v>
      </c>
      <c r="B1887" s="2200" t="s">
        <v>14486</v>
      </c>
      <c r="C1887" s="2200" t="s">
        <v>14487</v>
      </c>
      <c r="D1887" s="2200" t="str">
        <f t="shared" si="116"/>
        <v>MI</v>
      </c>
      <c r="E1887" s="2200">
        <f t="shared" si="117"/>
        <v>26</v>
      </c>
      <c r="F1887" s="2200" t="str">
        <f t="shared" si="118"/>
        <v>26</v>
      </c>
      <c r="G1887" s="2200" t="str">
        <f t="shared" si="119"/>
        <v>53140</v>
      </c>
      <c r="H1887" s="2200">
        <f>--SUBTOTAL(3,C$2:C1887)</f>
        <v>99</v>
      </c>
    </row>
    <row r="1888" spans="1:8" hidden="1" x14ac:dyDescent="0.15">
      <c r="A1888" s="2200" t="s">
        <v>10723</v>
      </c>
      <c r="B1888" s="2200" t="s">
        <v>14488</v>
      </c>
      <c r="C1888" s="2200" t="s">
        <v>14489</v>
      </c>
      <c r="D1888" s="2200" t="str">
        <f t="shared" si="116"/>
        <v>MI</v>
      </c>
      <c r="E1888" s="2200">
        <f t="shared" si="117"/>
        <v>13</v>
      </c>
      <c r="F1888" s="2200" t="str">
        <f t="shared" si="118"/>
        <v>26</v>
      </c>
      <c r="G1888" s="2200" t="str">
        <f t="shared" si="119"/>
        <v>53780</v>
      </c>
      <c r="H1888" s="2200">
        <f>--SUBTOTAL(3,C$2:C1888)</f>
        <v>99</v>
      </c>
    </row>
    <row r="1889" spans="1:8" hidden="1" x14ac:dyDescent="0.15">
      <c r="A1889" s="2200" t="s">
        <v>10723</v>
      </c>
      <c r="B1889" s="2200" t="s">
        <v>14490</v>
      </c>
      <c r="C1889" s="2200" t="s">
        <v>14491</v>
      </c>
      <c r="D1889" s="2200" t="str">
        <f t="shared" si="116"/>
        <v>MI</v>
      </c>
      <c r="E1889" s="2200">
        <f t="shared" si="117"/>
        <v>22</v>
      </c>
      <c r="F1889" s="2200" t="str">
        <f t="shared" si="118"/>
        <v>26</v>
      </c>
      <c r="G1889" s="2200" t="str">
        <f t="shared" si="119"/>
        <v>55980</v>
      </c>
      <c r="H1889" s="2200">
        <f>--SUBTOTAL(3,C$2:C1889)</f>
        <v>99</v>
      </c>
    </row>
    <row r="1890" spans="1:8" hidden="1" x14ac:dyDescent="0.15">
      <c r="A1890" s="2200" t="s">
        <v>10723</v>
      </c>
      <c r="B1890" s="2200" t="s">
        <v>14492</v>
      </c>
      <c r="C1890" s="2200" t="s">
        <v>14493</v>
      </c>
      <c r="D1890" s="2200" t="str">
        <f t="shared" si="116"/>
        <v>MI</v>
      </c>
      <c r="E1890" s="2200">
        <f t="shared" si="117"/>
        <v>20</v>
      </c>
      <c r="F1890" s="2200" t="str">
        <f t="shared" si="118"/>
        <v>26</v>
      </c>
      <c r="G1890" s="2200" t="str">
        <f t="shared" si="119"/>
        <v>56020</v>
      </c>
      <c r="H1890" s="2200">
        <f>--SUBTOTAL(3,C$2:C1890)</f>
        <v>99</v>
      </c>
    </row>
    <row r="1891" spans="1:8" hidden="1" x14ac:dyDescent="0.15">
      <c r="A1891" s="2200" t="s">
        <v>10723</v>
      </c>
      <c r="B1891" s="2200" t="s">
        <v>14494</v>
      </c>
      <c r="C1891" s="2200" t="s">
        <v>14495</v>
      </c>
      <c r="D1891" s="2200" t="str">
        <f t="shared" si="116"/>
        <v>MI</v>
      </c>
      <c r="E1891" s="2200">
        <f t="shared" si="117"/>
        <v>14</v>
      </c>
      <c r="F1891" s="2200" t="str">
        <f t="shared" si="118"/>
        <v>26</v>
      </c>
      <c r="G1891" s="2200" t="str">
        <f t="shared" si="119"/>
        <v>56320</v>
      </c>
      <c r="H1891" s="2200">
        <f>--SUBTOTAL(3,C$2:C1891)</f>
        <v>99</v>
      </c>
    </row>
    <row r="1892" spans="1:8" hidden="1" x14ac:dyDescent="0.15">
      <c r="A1892" s="2200" t="s">
        <v>10723</v>
      </c>
      <c r="B1892" s="2200" t="s">
        <v>14496</v>
      </c>
      <c r="C1892" s="2200" t="s">
        <v>14497</v>
      </c>
      <c r="D1892" s="2200" t="str">
        <f t="shared" si="116"/>
        <v>MI</v>
      </c>
      <c r="E1892" s="2200">
        <f t="shared" si="117"/>
        <v>20</v>
      </c>
      <c r="F1892" s="2200" t="str">
        <f t="shared" si="118"/>
        <v>26</v>
      </c>
      <c r="G1892" s="2200" t="str">
        <f t="shared" si="119"/>
        <v>59000</v>
      </c>
      <c r="H1892" s="2200">
        <f>--SUBTOTAL(3,C$2:C1892)</f>
        <v>99</v>
      </c>
    </row>
    <row r="1893" spans="1:8" hidden="1" x14ac:dyDescent="0.15">
      <c r="A1893" s="2200" t="s">
        <v>10723</v>
      </c>
      <c r="B1893" s="2200" t="s">
        <v>14498</v>
      </c>
      <c r="C1893" s="2200" t="s">
        <v>14499</v>
      </c>
      <c r="D1893" s="2200" t="str">
        <f t="shared" si="116"/>
        <v>MI</v>
      </c>
      <c r="E1893" s="2200">
        <f t="shared" si="117"/>
        <v>10</v>
      </c>
      <c r="F1893" s="2200" t="str">
        <f t="shared" si="118"/>
        <v>26</v>
      </c>
      <c r="G1893" s="2200" t="str">
        <f t="shared" si="119"/>
        <v>59440</v>
      </c>
      <c r="H1893" s="2200">
        <f>--SUBTOTAL(3,C$2:C1893)</f>
        <v>99</v>
      </c>
    </row>
    <row r="1894" spans="1:8" hidden="1" x14ac:dyDescent="0.15">
      <c r="A1894" s="2200" t="s">
        <v>10723</v>
      </c>
      <c r="B1894" s="2200" t="s">
        <v>14500</v>
      </c>
      <c r="C1894" s="2200" t="s">
        <v>14501</v>
      </c>
      <c r="D1894" s="2200" t="str">
        <f t="shared" si="116"/>
        <v>MI</v>
      </c>
      <c r="E1894" s="2200">
        <f t="shared" si="117"/>
        <v>14</v>
      </c>
      <c r="F1894" s="2200" t="str">
        <f t="shared" si="118"/>
        <v>26</v>
      </c>
      <c r="G1894" s="2200" t="str">
        <f t="shared" si="119"/>
        <v>59920</v>
      </c>
      <c r="H1894" s="2200">
        <f>--SUBTOTAL(3,C$2:C1894)</f>
        <v>99</v>
      </c>
    </row>
    <row r="1895" spans="1:8" hidden="1" x14ac:dyDescent="0.15">
      <c r="A1895" s="2200" t="s">
        <v>10723</v>
      </c>
      <c r="B1895" s="2200" t="s">
        <v>14502</v>
      </c>
      <c r="C1895" s="2200" t="s">
        <v>14503</v>
      </c>
      <c r="D1895" s="2200" t="str">
        <f t="shared" si="116"/>
        <v>MI</v>
      </c>
      <c r="E1895" s="2200">
        <f t="shared" si="117"/>
        <v>23</v>
      </c>
      <c r="F1895" s="2200" t="str">
        <f t="shared" si="118"/>
        <v>26</v>
      </c>
      <c r="G1895" s="2200" t="str">
        <f t="shared" si="119"/>
        <v>61100</v>
      </c>
      <c r="H1895" s="2200">
        <f>--SUBTOTAL(3,C$2:C1895)</f>
        <v>99</v>
      </c>
    </row>
    <row r="1896" spans="1:8" hidden="1" x14ac:dyDescent="0.15">
      <c r="A1896" s="2200" t="s">
        <v>10723</v>
      </c>
      <c r="B1896" s="2200" t="s">
        <v>14504</v>
      </c>
      <c r="C1896" s="2200" t="s">
        <v>14505</v>
      </c>
      <c r="D1896" s="2200" t="str">
        <f t="shared" si="116"/>
        <v>MI</v>
      </c>
      <c r="E1896" s="2200">
        <f t="shared" si="117"/>
        <v>28</v>
      </c>
      <c r="F1896" s="2200" t="str">
        <f t="shared" si="118"/>
        <v>26</v>
      </c>
      <c r="G1896" s="2200" t="str">
        <f t="shared" si="119"/>
        <v>64560</v>
      </c>
      <c r="H1896" s="2200">
        <f>--SUBTOTAL(3,C$2:C1896)</f>
        <v>99</v>
      </c>
    </row>
    <row r="1897" spans="1:8" hidden="1" x14ac:dyDescent="0.15">
      <c r="A1897" s="2200" t="s">
        <v>10723</v>
      </c>
      <c r="B1897" s="2200" t="s">
        <v>14506</v>
      </c>
      <c r="C1897" s="2200" t="s">
        <v>14507</v>
      </c>
      <c r="D1897" s="2200" t="str">
        <f t="shared" si="116"/>
        <v>MI</v>
      </c>
      <c r="E1897" s="2200">
        <f t="shared" si="117"/>
        <v>42</v>
      </c>
      <c r="F1897" s="2200" t="str">
        <f t="shared" si="118"/>
        <v>26</v>
      </c>
      <c r="G1897" s="2200" t="str">
        <f t="shared" si="119"/>
        <v>64660</v>
      </c>
      <c r="H1897" s="2200">
        <f>--SUBTOTAL(3,C$2:C1897)</f>
        <v>99</v>
      </c>
    </row>
    <row r="1898" spans="1:8" hidden="1" x14ac:dyDescent="0.15">
      <c r="A1898" s="2200" t="s">
        <v>10723</v>
      </c>
      <c r="B1898" s="2200" t="s">
        <v>14508</v>
      </c>
      <c r="C1898" s="2200" t="s">
        <v>14509</v>
      </c>
      <c r="D1898" s="2200" t="str">
        <f t="shared" si="116"/>
        <v>MI</v>
      </c>
      <c r="E1898" s="2200">
        <f t="shared" si="117"/>
        <v>26</v>
      </c>
      <c r="F1898" s="2200" t="str">
        <f t="shared" si="118"/>
        <v>26</v>
      </c>
      <c r="G1898" s="2200" t="str">
        <f t="shared" si="119"/>
        <v>65080</v>
      </c>
      <c r="H1898" s="2200">
        <f>--SUBTOTAL(3,C$2:C1898)</f>
        <v>99</v>
      </c>
    </row>
    <row r="1899" spans="1:8" hidden="1" x14ac:dyDescent="0.15">
      <c r="A1899" s="2200" t="s">
        <v>10723</v>
      </c>
      <c r="B1899" s="2200" t="s">
        <v>14510</v>
      </c>
      <c r="C1899" s="2200" t="s">
        <v>14511</v>
      </c>
      <c r="D1899" s="2200" t="str">
        <f t="shared" si="116"/>
        <v>MI</v>
      </c>
      <c r="E1899" s="2200">
        <f t="shared" si="117"/>
        <v>13</v>
      </c>
      <c r="F1899" s="2200" t="str">
        <f t="shared" si="118"/>
        <v>26</v>
      </c>
      <c r="G1899" s="2200" t="str">
        <f t="shared" si="119"/>
        <v>65440</v>
      </c>
      <c r="H1899" s="2200">
        <f>--SUBTOTAL(3,C$2:C1899)</f>
        <v>99</v>
      </c>
    </row>
    <row r="1900" spans="1:8" hidden="1" x14ac:dyDescent="0.15">
      <c r="A1900" s="2200" t="s">
        <v>10723</v>
      </c>
      <c r="B1900" s="2200" t="s">
        <v>14512</v>
      </c>
      <c r="C1900" s="2200" t="s">
        <v>14513</v>
      </c>
      <c r="D1900" s="2200" t="str">
        <f t="shared" si="116"/>
        <v>MI</v>
      </c>
      <c r="E1900" s="2200">
        <f t="shared" si="117"/>
        <v>16</v>
      </c>
      <c r="F1900" s="2200" t="str">
        <f t="shared" si="118"/>
        <v>26</v>
      </c>
      <c r="G1900" s="2200" t="str">
        <f t="shared" si="119"/>
        <v>65820</v>
      </c>
      <c r="H1900" s="2200">
        <f>--SUBTOTAL(3,C$2:C1900)</f>
        <v>99</v>
      </c>
    </row>
    <row r="1901" spans="1:8" hidden="1" x14ac:dyDescent="0.15">
      <c r="A1901" s="2200" t="s">
        <v>10723</v>
      </c>
      <c r="B1901" s="2200" t="s">
        <v>14514</v>
      </c>
      <c r="C1901" s="2200" t="s">
        <v>14515</v>
      </c>
      <c r="D1901" s="2200" t="str">
        <f t="shared" si="116"/>
        <v>MI</v>
      </c>
      <c r="E1901" s="2200">
        <f t="shared" si="117"/>
        <v>13</v>
      </c>
      <c r="F1901" s="2200" t="str">
        <f t="shared" si="118"/>
        <v>26</v>
      </c>
      <c r="G1901" s="2200" t="str">
        <f t="shared" si="119"/>
        <v>65560</v>
      </c>
      <c r="H1901" s="2200">
        <f>--SUBTOTAL(3,C$2:C1901)</f>
        <v>99</v>
      </c>
    </row>
    <row r="1902" spans="1:8" hidden="1" x14ac:dyDescent="0.15">
      <c r="A1902" s="2200" t="s">
        <v>10723</v>
      </c>
      <c r="B1902" s="2200" t="s">
        <v>14516</v>
      </c>
      <c r="C1902" s="2200" t="s">
        <v>14517</v>
      </c>
      <c r="D1902" s="2200" t="str">
        <f t="shared" si="116"/>
        <v>MI</v>
      </c>
      <c r="E1902" s="2200">
        <f t="shared" si="117"/>
        <v>25</v>
      </c>
      <c r="F1902" s="2200" t="str">
        <f t="shared" si="118"/>
        <v>26</v>
      </c>
      <c r="G1902" s="2200" t="str">
        <f t="shared" si="119"/>
        <v>67625</v>
      </c>
      <c r="H1902" s="2200">
        <f>--SUBTOTAL(3,C$2:C1902)</f>
        <v>99</v>
      </c>
    </row>
    <row r="1903" spans="1:8" hidden="1" x14ac:dyDescent="0.15">
      <c r="A1903" s="2200" t="s">
        <v>10723</v>
      </c>
      <c r="B1903" s="2200" t="s">
        <v>14518</v>
      </c>
      <c r="C1903" s="2200" t="s">
        <v>14519</v>
      </c>
      <c r="D1903" s="2200" t="str">
        <f t="shared" si="116"/>
        <v>MI</v>
      </c>
      <c r="E1903" s="2200">
        <f t="shared" si="117"/>
        <v>21</v>
      </c>
      <c r="F1903" s="2200" t="str">
        <f t="shared" si="118"/>
        <v>26</v>
      </c>
      <c r="G1903" s="2200" t="str">
        <f t="shared" si="119"/>
        <v>69035</v>
      </c>
      <c r="H1903" s="2200">
        <f>--SUBTOTAL(3,C$2:C1903)</f>
        <v>99</v>
      </c>
    </row>
    <row r="1904" spans="1:8" hidden="1" x14ac:dyDescent="0.15">
      <c r="A1904" s="2200" t="s">
        <v>10723</v>
      </c>
      <c r="B1904" s="2200" t="s">
        <v>14520</v>
      </c>
      <c r="C1904" s="2200" t="s">
        <v>14521</v>
      </c>
      <c r="D1904" s="2200" t="str">
        <f t="shared" si="116"/>
        <v>MI</v>
      </c>
      <c r="E1904" s="2200">
        <f t="shared" si="117"/>
        <v>13</v>
      </c>
      <c r="F1904" s="2200" t="str">
        <f t="shared" si="118"/>
        <v>26</v>
      </c>
      <c r="G1904" s="2200" t="str">
        <f t="shared" si="119"/>
        <v>69420</v>
      </c>
      <c r="H1904" s="2200">
        <f>--SUBTOTAL(3,C$2:C1904)</f>
        <v>99</v>
      </c>
    </row>
    <row r="1905" spans="1:8" hidden="1" x14ac:dyDescent="0.15">
      <c r="A1905" s="2200" t="s">
        <v>10723</v>
      </c>
      <c r="B1905" s="2200" t="s">
        <v>14522</v>
      </c>
      <c r="C1905" s="2200" t="s">
        <v>14523</v>
      </c>
      <c r="D1905" s="2200" t="str">
        <f t="shared" si="116"/>
        <v>MI</v>
      </c>
      <c r="E1905" s="2200">
        <f t="shared" si="117"/>
        <v>15</v>
      </c>
      <c r="F1905" s="2200" t="str">
        <f t="shared" si="118"/>
        <v>26</v>
      </c>
      <c r="G1905" s="2200" t="str">
        <f t="shared" si="119"/>
        <v>69800</v>
      </c>
      <c r="H1905" s="2200">
        <f>--SUBTOTAL(3,C$2:C1905)</f>
        <v>99</v>
      </c>
    </row>
    <row r="1906" spans="1:8" hidden="1" x14ac:dyDescent="0.15">
      <c r="A1906" s="2200" t="s">
        <v>10723</v>
      </c>
      <c r="B1906" s="2200" t="s">
        <v>14524</v>
      </c>
      <c r="C1906" s="2200" t="s">
        <v>14525</v>
      </c>
      <c r="D1906" s="2200" t="str">
        <f t="shared" si="116"/>
        <v>MI</v>
      </c>
      <c r="E1906" s="2200">
        <f t="shared" si="117"/>
        <v>15</v>
      </c>
      <c r="F1906" s="2200" t="str">
        <f t="shared" si="118"/>
        <v>26</v>
      </c>
      <c r="G1906" s="2200" t="str">
        <f t="shared" si="119"/>
        <v>70040</v>
      </c>
      <c r="H1906" s="2200">
        <f>--SUBTOTAL(3,C$2:C1906)</f>
        <v>99</v>
      </c>
    </row>
    <row r="1907" spans="1:8" hidden="1" x14ac:dyDescent="0.15">
      <c r="A1907" s="2200" t="s">
        <v>10723</v>
      </c>
      <c r="B1907" s="2200" t="s">
        <v>14526</v>
      </c>
      <c r="C1907" s="2200" t="s">
        <v>14527</v>
      </c>
      <c r="D1907" s="2200" t="str">
        <f t="shared" si="116"/>
        <v>MI</v>
      </c>
      <c r="E1907" s="2200">
        <f t="shared" si="117"/>
        <v>25</v>
      </c>
      <c r="F1907" s="2200" t="str">
        <f t="shared" si="118"/>
        <v>26</v>
      </c>
      <c r="G1907" s="2200" t="str">
        <f t="shared" si="119"/>
        <v>70540</v>
      </c>
      <c r="H1907" s="2200">
        <f>--SUBTOTAL(3,C$2:C1907)</f>
        <v>99</v>
      </c>
    </row>
    <row r="1908" spans="1:8" hidden="1" x14ac:dyDescent="0.15">
      <c r="A1908" s="2200" t="s">
        <v>10723</v>
      </c>
      <c r="B1908" s="2200" t="s">
        <v>14528</v>
      </c>
      <c r="C1908" s="2200" t="s">
        <v>14529</v>
      </c>
      <c r="D1908" s="2200" t="str">
        <f t="shared" si="116"/>
        <v>MI</v>
      </c>
      <c r="E1908" s="2200">
        <f t="shared" si="117"/>
        <v>13</v>
      </c>
      <c r="F1908" s="2200" t="str">
        <f t="shared" si="118"/>
        <v>26</v>
      </c>
      <c r="G1908" s="2200" t="str">
        <f t="shared" si="119"/>
        <v>70520</v>
      </c>
      <c r="H1908" s="2200">
        <f>--SUBTOTAL(3,C$2:C1908)</f>
        <v>99</v>
      </c>
    </row>
    <row r="1909" spans="1:8" hidden="1" x14ac:dyDescent="0.15">
      <c r="A1909" s="2200" t="s">
        <v>10723</v>
      </c>
      <c r="B1909" s="2200" t="s">
        <v>14530</v>
      </c>
      <c r="C1909" s="2200" t="s">
        <v>14531</v>
      </c>
      <c r="D1909" s="2200" t="str">
        <f t="shared" si="116"/>
        <v>MI</v>
      </c>
      <c r="E1909" s="2200">
        <f t="shared" si="117"/>
        <v>40</v>
      </c>
      <c r="F1909" s="2200" t="str">
        <f t="shared" si="118"/>
        <v>26</v>
      </c>
      <c r="G1909" s="2200" t="str">
        <f t="shared" si="119"/>
        <v>72820</v>
      </c>
      <c r="H1909" s="2200">
        <f>--SUBTOTAL(3,C$2:C1909)</f>
        <v>99</v>
      </c>
    </row>
    <row r="1910" spans="1:8" hidden="1" x14ac:dyDescent="0.15">
      <c r="A1910" s="2200" t="s">
        <v>10723</v>
      </c>
      <c r="B1910" s="2200" t="s">
        <v>14532</v>
      </c>
      <c r="C1910" s="2200" t="s">
        <v>14533</v>
      </c>
      <c r="D1910" s="2200" t="str">
        <f t="shared" si="116"/>
        <v>MI</v>
      </c>
      <c r="E1910" s="2200">
        <f t="shared" si="117"/>
        <v>16</v>
      </c>
      <c r="F1910" s="2200" t="str">
        <f t="shared" si="118"/>
        <v>26</v>
      </c>
      <c r="G1910" s="2200" t="str">
        <f t="shared" si="119"/>
        <v>74900</v>
      </c>
      <c r="H1910" s="2200">
        <f>--SUBTOTAL(3,C$2:C1910)</f>
        <v>99</v>
      </c>
    </row>
    <row r="1911" spans="1:8" hidden="1" x14ac:dyDescent="0.15">
      <c r="A1911" s="2200" t="s">
        <v>10723</v>
      </c>
      <c r="B1911" s="2200" t="s">
        <v>14534</v>
      </c>
      <c r="C1911" s="2200" t="s">
        <v>14535</v>
      </c>
      <c r="D1911" s="2200" t="str">
        <f t="shared" si="116"/>
        <v>MI</v>
      </c>
      <c r="E1911" s="2200">
        <f t="shared" si="117"/>
        <v>15</v>
      </c>
      <c r="F1911" s="2200" t="str">
        <f t="shared" si="118"/>
        <v>26</v>
      </c>
      <c r="G1911" s="2200" t="str">
        <f t="shared" si="119"/>
        <v>74960</v>
      </c>
      <c r="H1911" s="2200">
        <f>--SUBTOTAL(3,C$2:C1911)</f>
        <v>99</v>
      </c>
    </row>
    <row r="1912" spans="1:8" hidden="1" x14ac:dyDescent="0.15">
      <c r="A1912" s="2200" t="s">
        <v>10723</v>
      </c>
      <c r="B1912" s="2200" t="s">
        <v>14536</v>
      </c>
      <c r="C1912" s="2200" t="s">
        <v>14537</v>
      </c>
      <c r="D1912" s="2200" t="str">
        <f t="shared" si="116"/>
        <v>MI</v>
      </c>
      <c r="E1912" s="2200">
        <f t="shared" si="117"/>
        <v>22</v>
      </c>
      <c r="F1912" s="2200" t="str">
        <f t="shared" si="118"/>
        <v>26</v>
      </c>
      <c r="G1912" s="2200" t="str">
        <f t="shared" si="119"/>
        <v>70760</v>
      </c>
      <c r="H1912" s="2200">
        <f>--SUBTOTAL(3,C$2:C1912)</f>
        <v>99</v>
      </c>
    </row>
    <row r="1913" spans="1:8" hidden="1" x14ac:dyDescent="0.15">
      <c r="A1913" s="2200" t="s">
        <v>10723</v>
      </c>
      <c r="B1913" s="2200" t="s">
        <v>14538</v>
      </c>
      <c r="C1913" s="2200" t="s">
        <v>14539</v>
      </c>
      <c r="D1913" s="2200" t="str">
        <f t="shared" si="116"/>
        <v>MI</v>
      </c>
      <c r="E1913" s="2200">
        <f t="shared" si="117"/>
        <v>22</v>
      </c>
      <c r="F1913" s="2200" t="str">
        <f t="shared" si="118"/>
        <v>26</v>
      </c>
      <c r="G1913" s="2200" t="str">
        <f t="shared" si="119"/>
        <v>76460</v>
      </c>
      <c r="H1913" s="2200">
        <f>--SUBTOTAL(3,C$2:C1913)</f>
        <v>99</v>
      </c>
    </row>
    <row r="1914" spans="1:8" hidden="1" x14ac:dyDescent="0.15">
      <c r="A1914" s="2200" t="s">
        <v>10723</v>
      </c>
      <c r="B1914" s="2200" t="s">
        <v>14540</v>
      </c>
      <c r="C1914" s="2200" t="s">
        <v>14541</v>
      </c>
      <c r="D1914" s="2200" t="str">
        <f t="shared" si="116"/>
        <v>MI</v>
      </c>
      <c r="E1914" s="2200">
        <f t="shared" si="117"/>
        <v>12</v>
      </c>
      <c r="F1914" s="2200" t="str">
        <f t="shared" si="118"/>
        <v>26</v>
      </c>
      <c r="G1914" s="2200" t="str">
        <f t="shared" si="119"/>
        <v>79000</v>
      </c>
      <c r="H1914" s="2200">
        <f>--SUBTOTAL(3,C$2:C1914)</f>
        <v>99</v>
      </c>
    </row>
    <row r="1915" spans="1:8" hidden="1" x14ac:dyDescent="0.15">
      <c r="A1915" s="2200" t="s">
        <v>10723</v>
      </c>
      <c r="B1915" s="2200" t="s">
        <v>14542</v>
      </c>
      <c r="C1915" s="2200" t="s">
        <v>14543</v>
      </c>
      <c r="D1915" s="2200" t="str">
        <f t="shared" si="116"/>
        <v>MI</v>
      </c>
      <c r="E1915" s="2200">
        <f t="shared" si="117"/>
        <v>10</v>
      </c>
      <c r="F1915" s="2200" t="str">
        <f t="shared" si="118"/>
        <v>26</v>
      </c>
      <c r="G1915" s="2200" t="str">
        <f t="shared" si="119"/>
        <v>80700</v>
      </c>
      <c r="H1915" s="2200">
        <f>--SUBTOTAL(3,C$2:C1915)</f>
        <v>99</v>
      </c>
    </row>
    <row r="1916" spans="1:8" hidden="1" x14ac:dyDescent="0.15">
      <c r="A1916" s="2200" t="s">
        <v>10723</v>
      </c>
      <c r="B1916" s="2200" t="s">
        <v>14544</v>
      </c>
      <c r="C1916" s="2200" t="s">
        <v>14545</v>
      </c>
      <c r="D1916" s="2200" t="str">
        <f t="shared" si="116"/>
        <v>MI</v>
      </c>
      <c r="E1916" s="2200">
        <f t="shared" si="117"/>
        <v>27</v>
      </c>
      <c r="F1916" s="2200" t="str">
        <f t="shared" si="118"/>
        <v>26</v>
      </c>
      <c r="G1916" s="2200" t="str">
        <f t="shared" si="119"/>
        <v>81660</v>
      </c>
      <c r="H1916" s="2200">
        <f>--SUBTOTAL(3,C$2:C1916)</f>
        <v>99</v>
      </c>
    </row>
    <row r="1917" spans="1:8" hidden="1" x14ac:dyDescent="0.15">
      <c r="A1917" s="2200" t="s">
        <v>10723</v>
      </c>
      <c r="B1917" s="2200" t="s">
        <v>14546</v>
      </c>
      <c r="C1917" s="2200" t="s">
        <v>14547</v>
      </c>
      <c r="D1917" s="2200" t="str">
        <f t="shared" si="116"/>
        <v>MI</v>
      </c>
      <c r="E1917" s="2200">
        <f t="shared" si="117"/>
        <v>12</v>
      </c>
      <c r="F1917" s="2200" t="str">
        <f t="shared" si="118"/>
        <v>26</v>
      </c>
      <c r="G1917" s="2200" t="str">
        <f t="shared" si="119"/>
        <v>84000</v>
      </c>
      <c r="H1917" s="2200">
        <f>--SUBTOTAL(3,C$2:C1917)</f>
        <v>99</v>
      </c>
    </row>
    <row r="1918" spans="1:8" hidden="1" x14ac:dyDescent="0.15">
      <c r="A1918" s="2200" t="s">
        <v>10723</v>
      </c>
      <c r="B1918" s="2200" t="s">
        <v>14548</v>
      </c>
      <c r="C1918" s="2200" t="s">
        <v>14549</v>
      </c>
      <c r="D1918" s="2200" t="str">
        <f t="shared" si="116"/>
        <v>MI</v>
      </c>
      <c r="E1918" s="2200">
        <f t="shared" si="117"/>
        <v>36</v>
      </c>
      <c r="F1918" s="2200" t="str">
        <f t="shared" si="118"/>
        <v>26</v>
      </c>
      <c r="G1918" s="2200" t="str">
        <f t="shared" si="119"/>
        <v>84120</v>
      </c>
      <c r="H1918" s="2200">
        <f>--SUBTOTAL(3,C$2:C1918)</f>
        <v>99</v>
      </c>
    </row>
    <row r="1919" spans="1:8" hidden="1" x14ac:dyDescent="0.15">
      <c r="A1919" s="2200" t="s">
        <v>10723</v>
      </c>
      <c r="B1919" s="2200" t="s">
        <v>14550</v>
      </c>
      <c r="C1919" s="2200" t="s">
        <v>14551</v>
      </c>
      <c r="D1919" s="2200" t="str">
        <f t="shared" si="116"/>
        <v>MI</v>
      </c>
      <c r="E1919" s="2200">
        <f t="shared" si="117"/>
        <v>27</v>
      </c>
      <c r="F1919" s="2200" t="str">
        <f t="shared" si="118"/>
        <v>26</v>
      </c>
      <c r="G1919" s="2200" t="str">
        <f t="shared" si="119"/>
        <v>84240</v>
      </c>
      <c r="H1919" s="2200">
        <f>--SUBTOTAL(3,C$2:C1919)</f>
        <v>99</v>
      </c>
    </row>
    <row r="1920" spans="1:8" hidden="1" x14ac:dyDescent="0.15">
      <c r="A1920" s="2200" t="s">
        <v>10723</v>
      </c>
      <c r="B1920" s="2200" t="s">
        <v>14552</v>
      </c>
      <c r="C1920" s="2200" t="s">
        <v>14553</v>
      </c>
      <c r="D1920" s="2200" t="str">
        <f t="shared" si="116"/>
        <v>MI</v>
      </c>
      <c r="E1920" s="2200">
        <f t="shared" si="117"/>
        <v>33</v>
      </c>
      <c r="F1920" s="2200" t="str">
        <f t="shared" si="118"/>
        <v>26</v>
      </c>
      <c r="G1920" s="2200" t="str">
        <f t="shared" si="119"/>
        <v>85480</v>
      </c>
      <c r="H1920" s="2200">
        <f>--SUBTOTAL(3,C$2:C1920)</f>
        <v>99</v>
      </c>
    </row>
    <row r="1921" spans="1:8" hidden="1" x14ac:dyDescent="0.15">
      <c r="A1921" s="2200" t="s">
        <v>10723</v>
      </c>
      <c r="B1921" s="2200" t="s">
        <v>14554</v>
      </c>
      <c r="C1921" s="2200" t="s">
        <v>14555</v>
      </c>
      <c r="D1921" s="2200" t="str">
        <f t="shared" si="116"/>
        <v>MI</v>
      </c>
      <c r="E1921" s="2200">
        <f t="shared" si="117"/>
        <v>14</v>
      </c>
      <c r="F1921" s="2200" t="str">
        <f t="shared" si="118"/>
        <v>26</v>
      </c>
      <c r="G1921" s="2200" t="str">
        <f t="shared" si="119"/>
        <v>86000</v>
      </c>
      <c r="H1921" s="2200">
        <f>--SUBTOTAL(3,C$2:C1921)</f>
        <v>99</v>
      </c>
    </row>
    <row r="1922" spans="1:8" hidden="1" x14ac:dyDescent="0.15">
      <c r="A1922" s="2200" t="s">
        <v>10723</v>
      </c>
      <c r="B1922" s="2200" t="s">
        <v>14556</v>
      </c>
      <c r="C1922" s="2200" t="s">
        <v>14557</v>
      </c>
      <c r="D1922" s="2200" t="str">
        <f t="shared" ref="D1922:D1985" si="120">MID(C1922,E1922+2,2)</f>
        <v>MI</v>
      </c>
      <c r="E1922" s="2200">
        <f t="shared" ref="E1922:E1985" si="121">FIND(",",C1922)</f>
        <v>28</v>
      </c>
      <c r="F1922" s="2200" t="str">
        <f t="shared" si="118"/>
        <v>26</v>
      </c>
      <c r="G1922" s="2200" t="str">
        <f t="shared" si="119"/>
        <v>86860</v>
      </c>
      <c r="H1922" s="2200">
        <f>--SUBTOTAL(3,C$2:C1922)</f>
        <v>99</v>
      </c>
    </row>
    <row r="1923" spans="1:8" hidden="1" x14ac:dyDescent="0.15">
      <c r="A1923" s="2200" t="s">
        <v>10723</v>
      </c>
      <c r="B1923" s="2200" t="s">
        <v>14558</v>
      </c>
      <c r="C1923" s="2200" t="s">
        <v>14559</v>
      </c>
      <c r="D1923" s="2200" t="str">
        <f t="shared" si="120"/>
        <v>MI</v>
      </c>
      <c r="E1923" s="2200">
        <f t="shared" si="121"/>
        <v>15</v>
      </c>
      <c r="F1923" s="2200" t="str">
        <f t="shared" ref="F1923:F1986" si="122">MID(B1923,3,2)</f>
        <v>26</v>
      </c>
      <c r="G1923" s="2200" t="str">
        <f t="shared" ref="G1923:G1986" si="123">MID(B1923,5,5)</f>
        <v>88900</v>
      </c>
      <c r="H1923" s="2200">
        <f>--SUBTOTAL(3,C$2:C1923)</f>
        <v>99</v>
      </c>
    </row>
    <row r="1924" spans="1:8" hidden="1" x14ac:dyDescent="0.15">
      <c r="A1924" s="2200" t="s">
        <v>10723</v>
      </c>
      <c r="B1924" s="2200" t="s">
        <v>14560</v>
      </c>
      <c r="C1924" s="2200" t="s">
        <v>14561</v>
      </c>
      <c r="D1924" s="2200" t="str">
        <f t="shared" si="120"/>
        <v>MI</v>
      </c>
      <c r="E1924" s="2200">
        <f t="shared" si="121"/>
        <v>13</v>
      </c>
      <c r="F1924" s="2200" t="str">
        <f t="shared" si="122"/>
        <v>26</v>
      </c>
      <c r="G1924" s="2200" t="str">
        <f t="shared" si="123"/>
        <v>88940</v>
      </c>
      <c r="H1924" s="2200">
        <f>--SUBTOTAL(3,C$2:C1924)</f>
        <v>99</v>
      </c>
    </row>
    <row r="1925" spans="1:8" hidden="1" x14ac:dyDescent="0.15">
      <c r="A1925" s="2200" t="s">
        <v>10723</v>
      </c>
      <c r="B1925" s="2200" t="s">
        <v>14562</v>
      </c>
      <c r="C1925" s="2200" t="s">
        <v>14563</v>
      </c>
      <c r="D1925" s="2200" t="str">
        <f t="shared" si="120"/>
        <v>MI</v>
      </c>
      <c r="E1925" s="2200">
        <f t="shared" si="121"/>
        <v>27</v>
      </c>
      <c r="F1925" s="2200" t="str">
        <f t="shared" si="122"/>
        <v>26</v>
      </c>
      <c r="G1925" s="2200" t="str">
        <f t="shared" si="123"/>
        <v>89160</v>
      </c>
      <c r="H1925" s="2200">
        <f>--SUBTOTAL(3,C$2:C1925)</f>
        <v>99</v>
      </c>
    </row>
    <row r="1926" spans="1:8" hidden="1" x14ac:dyDescent="0.15">
      <c r="A1926" s="2200" t="s">
        <v>10723</v>
      </c>
      <c r="B1926" s="2200" t="s">
        <v>14564</v>
      </c>
      <c r="C1926" s="2200" t="s">
        <v>14565</v>
      </c>
      <c r="D1926" s="2200" t="str">
        <f t="shared" si="120"/>
        <v>MN</v>
      </c>
      <c r="E1926" s="2200">
        <f t="shared" si="121"/>
        <v>13</v>
      </c>
      <c r="F1926" s="2200" t="str">
        <f t="shared" si="122"/>
        <v>27</v>
      </c>
      <c r="G1926" s="2200" t="str">
        <f t="shared" si="123"/>
        <v>01486</v>
      </c>
      <c r="H1926" s="2200">
        <f>--SUBTOTAL(3,C$2:C1926)</f>
        <v>99</v>
      </c>
    </row>
    <row r="1927" spans="1:8" hidden="1" x14ac:dyDescent="0.15">
      <c r="A1927" s="2200" t="s">
        <v>10723</v>
      </c>
      <c r="B1927" s="2200" t="s">
        <v>14566</v>
      </c>
      <c r="C1927" s="2200" t="s">
        <v>14567</v>
      </c>
      <c r="D1927" s="2200" t="str">
        <f t="shared" si="120"/>
        <v>MN</v>
      </c>
      <c r="E1927" s="2200">
        <f t="shared" si="121"/>
        <v>18</v>
      </c>
      <c r="F1927" s="2200" t="str">
        <f t="shared" si="122"/>
        <v>27</v>
      </c>
      <c r="G1927" s="2200" t="str">
        <f t="shared" si="123"/>
        <v>01900</v>
      </c>
      <c r="H1927" s="2200">
        <f>--SUBTOTAL(3,C$2:C1927)</f>
        <v>99</v>
      </c>
    </row>
    <row r="1928" spans="1:8" hidden="1" x14ac:dyDescent="0.15">
      <c r="A1928" s="2200" t="s">
        <v>10723</v>
      </c>
      <c r="B1928" s="2200" t="s">
        <v>14568</v>
      </c>
      <c r="C1928" s="2200" t="s">
        <v>14569</v>
      </c>
      <c r="D1928" s="2200" t="str">
        <f t="shared" si="120"/>
        <v>MN</v>
      </c>
      <c r="E1928" s="2200">
        <f t="shared" si="121"/>
        <v>12</v>
      </c>
      <c r="F1928" s="2200" t="str">
        <f t="shared" si="122"/>
        <v>27</v>
      </c>
      <c r="G1928" s="2200" t="str">
        <f t="shared" si="123"/>
        <v>02908</v>
      </c>
      <c r="H1928" s="2200">
        <f>--SUBTOTAL(3,C$2:C1928)</f>
        <v>99</v>
      </c>
    </row>
    <row r="1929" spans="1:8" hidden="1" x14ac:dyDescent="0.15">
      <c r="A1929" s="2200" t="s">
        <v>10723</v>
      </c>
      <c r="B1929" s="2200" t="s">
        <v>14570</v>
      </c>
      <c r="C1929" s="2200" t="s">
        <v>14571</v>
      </c>
      <c r="D1929" s="2200" t="str">
        <f t="shared" si="120"/>
        <v>MN</v>
      </c>
      <c r="E1929" s="2200">
        <f t="shared" si="121"/>
        <v>12</v>
      </c>
      <c r="F1929" s="2200" t="str">
        <f t="shared" si="122"/>
        <v>27</v>
      </c>
      <c r="G1929" s="2200" t="str">
        <f t="shared" si="123"/>
        <v>06382</v>
      </c>
      <c r="H1929" s="2200">
        <f>--SUBTOTAL(3,C$2:C1929)</f>
        <v>99</v>
      </c>
    </row>
    <row r="1930" spans="1:8" hidden="1" x14ac:dyDescent="0.15">
      <c r="A1930" s="2200" t="s">
        <v>10723</v>
      </c>
      <c r="B1930" s="2200" t="s">
        <v>14572</v>
      </c>
      <c r="C1930" s="2200" t="s">
        <v>14573</v>
      </c>
      <c r="D1930" s="2200" t="str">
        <f t="shared" si="120"/>
        <v>MN</v>
      </c>
      <c r="E1930" s="2200">
        <f t="shared" si="121"/>
        <v>17</v>
      </c>
      <c r="F1930" s="2200" t="str">
        <f t="shared" si="122"/>
        <v>27</v>
      </c>
      <c r="G1930" s="2200" t="str">
        <f t="shared" si="123"/>
        <v>06616</v>
      </c>
      <c r="H1930" s="2200">
        <f>--SUBTOTAL(3,C$2:C1930)</f>
        <v>99</v>
      </c>
    </row>
    <row r="1931" spans="1:8" hidden="1" x14ac:dyDescent="0.15">
      <c r="A1931" s="2200" t="s">
        <v>10723</v>
      </c>
      <c r="B1931" s="2200" t="s">
        <v>14574</v>
      </c>
      <c r="C1931" s="2200" t="s">
        <v>14575</v>
      </c>
      <c r="D1931" s="2200" t="str">
        <f t="shared" si="120"/>
        <v>MN</v>
      </c>
      <c r="E1931" s="2200">
        <f t="shared" si="121"/>
        <v>21</v>
      </c>
      <c r="F1931" s="2200" t="str">
        <f t="shared" si="122"/>
        <v>27</v>
      </c>
      <c r="G1931" s="2200" t="str">
        <f t="shared" si="123"/>
        <v>07948</v>
      </c>
      <c r="H1931" s="2200">
        <f>--SUBTOTAL(3,C$2:C1931)</f>
        <v>99</v>
      </c>
    </row>
    <row r="1932" spans="1:8" hidden="1" x14ac:dyDescent="0.15">
      <c r="A1932" s="2200" t="s">
        <v>10723</v>
      </c>
      <c r="B1932" s="2200" t="s">
        <v>14576</v>
      </c>
      <c r="C1932" s="2200" t="s">
        <v>14577</v>
      </c>
      <c r="D1932" s="2200" t="str">
        <f t="shared" si="120"/>
        <v>MN</v>
      </c>
      <c r="E1932" s="2200">
        <f t="shared" si="121"/>
        <v>19</v>
      </c>
      <c r="F1932" s="2200" t="str">
        <f t="shared" si="122"/>
        <v>27</v>
      </c>
      <c r="G1932" s="2200" t="str">
        <f t="shared" si="123"/>
        <v>07966</v>
      </c>
      <c r="H1932" s="2200">
        <f>--SUBTOTAL(3,C$2:C1932)</f>
        <v>99</v>
      </c>
    </row>
    <row r="1933" spans="1:8" hidden="1" x14ac:dyDescent="0.15">
      <c r="A1933" s="2200" t="s">
        <v>10723</v>
      </c>
      <c r="B1933" s="2200" t="s">
        <v>14578</v>
      </c>
      <c r="C1933" s="2200" t="s">
        <v>14579</v>
      </c>
      <c r="D1933" s="2200" t="str">
        <f t="shared" si="120"/>
        <v>MN</v>
      </c>
      <c r="E1933" s="2200">
        <f t="shared" si="121"/>
        <v>16</v>
      </c>
      <c r="F1933" s="2200" t="str">
        <f t="shared" si="122"/>
        <v>27</v>
      </c>
      <c r="G1933" s="2200" t="str">
        <f t="shared" si="123"/>
        <v>08794</v>
      </c>
      <c r="H1933" s="2200">
        <f>--SUBTOTAL(3,C$2:C1933)</f>
        <v>99</v>
      </c>
    </row>
    <row r="1934" spans="1:8" hidden="1" x14ac:dyDescent="0.15">
      <c r="A1934" s="2200" t="s">
        <v>10723</v>
      </c>
      <c r="B1934" s="2200" t="s">
        <v>14580</v>
      </c>
      <c r="C1934" s="2200" t="s">
        <v>14581</v>
      </c>
      <c r="D1934" s="2200" t="str">
        <f t="shared" si="120"/>
        <v>MN</v>
      </c>
      <c r="E1934" s="2200">
        <f t="shared" si="121"/>
        <v>14</v>
      </c>
      <c r="F1934" s="2200" t="str">
        <f t="shared" si="122"/>
        <v>27</v>
      </c>
      <c r="G1934" s="2200" t="str">
        <f t="shared" si="123"/>
        <v>10846</v>
      </c>
      <c r="H1934" s="2200">
        <f>--SUBTOTAL(3,C$2:C1934)</f>
        <v>99</v>
      </c>
    </row>
    <row r="1935" spans="1:8" hidden="1" x14ac:dyDescent="0.15">
      <c r="A1935" s="2200" t="s">
        <v>10723</v>
      </c>
      <c r="B1935" s="2200" t="s">
        <v>14582</v>
      </c>
      <c r="C1935" s="2200" t="s">
        <v>14583</v>
      </c>
      <c r="D1935" s="2200" t="str">
        <f t="shared" si="120"/>
        <v>MN</v>
      </c>
      <c r="E1935" s="2200">
        <f t="shared" si="121"/>
        <v>16</v>
      </c>
      <c r="F1935" s="2200" t="str">
        <f t="shared" si="122"/>
        <v>27</v>
      </c>
      <c r="G1935" s="2200" t="str">
        <f t="shared" si="123"/>
        <v>10918</v>
      </c>
      <c r="H1935" s="2200">
        <f>--SUBTOTAL(3,C$2:C1935)</f>
        <v>99</v>
      </c>
    </row>
    <row r="1936" spans="1:8" hidden="1" x14ac:dyDescent="0.15">
      <c r="A1936" s="2200" t="s">
        <v>10723</v>
      </c>
      <c r="B1936" s="2200" t="s">
        <v>14584</v>
      </c>
      <c r="C1936" s="2200" t="s">
        <v>14585</v>
      </c>
      <c r="D1936" s="2200" t="str">
        <f t="shared" si="120"/>
        <v>MN</v>
      </c>
      <c r="E1936" s="2200">
        <f t="shared" si="121"/>
        <v>12</v>
      </c>
      <c r="F1936" s="2200" t="str">
        <f t="shared" si="122"/>
        <v>27</v>
      </c>
      <c r="G1936" s="2200" t="str">
        <f t="shared" si="123"/>
        <v>10972</v>
      </c>
      <c r="H1936" s="2200">
        <f>--SUBTOTAL(3,C$2:C1936)</f>
        <v>99</v>
      </c>
    </row>
    <row r="1937" spans="1:8" hidden="1" x14ac:dyDescent="0.15">
      <c r="A1937" s="2200" t="s">
        <v>10723</v>
      </c>
      <c r="B1937" s="2200" t="s">
        <v>14586</v>
      </c>
      <c r="C1937" s="2200" t="s">
        <v>14587</v>
      </c>
      <c r="D1937" s="2200" t="str">
        <f t="shared" si="120"/>
        <v>MN</v>
      </c>
      <c r="E1937" s="2200">
        <f t="shared" si="121"/>
        <v>17</v>
      </c>
      <c r="F1937" s="2200" t="str">
        <f t="shared" si="122"/>
        <v>27</v>
      </c>
      <c r="G1937" s="2200" t="str">
        <f t="shared" si="123"/>
        <v>13114</v>
      </c>
      <c r="H1937" s="2200">
        <f>--SUBTOTAL(3,C$2:C1937)</f>
        <v>99</v>
      </c>
    </row>
    <row r="1938" spans="1:8" hidden="1" x14ac:dyDescent="0.15">
      <c r="A1938" s="2200" t="s">
        <v>10723</v>
      </c>
      <c r="B1938" s="2200" t="s">
        <v>14588</v>
      </c>
      <c r="C1938" s="2200" t="s">
        <v>14589</v>
      </c>
      <c r="D1938" s="2200" t="str">
        <f t="shared" si="120"/>
        <v>MN</v>
      </c>
      <c r="E1938" s="2200">
        <f t="shared" si="121"/>
        <v>19</v>
      </c>
      <c r="F1938" s="2200" t="str">
        <f t="shared" si="122"/>
        <v>27</v>
      </c>
      <c r="G1938" s="2200" t="str">
        <f t="shared" si="123"/>
        <v>13456</v>
      </c>
      <c r="H1938" s="2200">
        <f>--SUBTOTAL(3,C$2:C1938)</f>
        <v>99</v>
      </c>
    </row>
    <row r="1939" spans="1:8" hidden="1" x14ac:dyDescent="0.15">
      <c r="A1939" s="2200" t="s">
        <v>10723</v>
      </c>
      <c r="B1939" s="2200" t="s">
        <v>14590</v>
      </c>
      <c r="C1939" s="2200" t="s">
        <v>14591</v>
      </c>
      <c r="D1939" s="2200" t="str">
        <f t="shared" si="120"/>
        <v>MN</v>
      </c>
      <c r="E1939" s="2200">
        <f t="shared" si="121"/>
        <v>12</v>
      </c>
      <c r="F1939" s="2200" t="str">
        <f t="shared" si="122"/>
        <v>27</v>
      </c>
      <c r="G1939" s="2200" t="str">
        <f t="shared" si="123"/>
        <v>17000</v>
      </c>
      <c r="H1939" s="2200">
        <f>--SUBTOTAL(3,C$2:C1939)</f>
        <v>99</v>
      </c>
    </row>
    <row r="1940" spans="1:8" hidden="1" x14ac:dyDescent="0.15">
      <c r="A1940" s="2200" t="s">
        <v>10723</v>
      </c>
      <c r="B1940" s="2200" t="s">
        <v>14592</v>
      </c>
      <c r="C1940" s="2200" t="s">
        <v>14593</v>
      </c>
      <c r="D1940" s="2200" t="str">
        <f t="shared" si="120"/>
        <v>MN</v>
      </c>
      <c r="E1940" s="2200">
        <f t="shared" si="121"/>
        <v>11</v>
      </c>
      <c r="F1940" s="2200" t="str">
        <f t="shared" si="122"/>
        <v>27</v>
      </c>
      <c r="G1940" s="2200" t="str">
        <f t="shared" si="123"/>
        <v>17288</v>
      </c>
      <c r="H1940" s="2200">
        <f>--SUBTOTAL(3,C$2:C1940)</f>
        <v>99</v>
      </c>
    </row>
    <row r="1941" spans="1:8" hidden="1" x14ac:dyDescent="0.15">
      <c r="A1941" s="2200" t="s">
        <v>10723</v>
      </c>
      <c r="B1941" s="2200" t="s">
        <v>14594</v>
      </c>
      <c r="C1941" s="2200" t="s">
        <v>14595</v>
      </c>
      <c r="D1941" s="2200" t="str">
        <f t="shared" si="120"/>
        <v>MN</v>
      </c>
      <c r="E1941" s="2200">
        <f t="shared" si="121"/>
        <v>18</v>
      </c>
      <c r="F1941" s="2200" t="str">
        <f t="shared" si="122"/>
        <v>27</v>
      </c>
      <c r="G1941" s="2200" t="str">
        <f t="shared" si="123"/>
        <v>18116</v>
      </c>
      <c r="H1941" s="2200">
        <f>--SUBTOTAL(3,C$2:C1941)</f>
        <v>99</v>
      </c>
    </row>
    <row r="1942" spans="1:8" hidden="1" x14ac:dyDescent="0.15">
      <c r="A1942" s="2200" t="s">
        <v>10723</v>
      </c>
      <c r="B1942" s="2200" t="s">
        <v>14596</v>
      </c>
      <c r="C1942" s="2200" t="s">
        <v>14597</v>
      </c>
      <c r="D1942" s="2200" t="str">
        <f t="shared" si="120"/>
        <v>MN</v>
      </c>
      <c r="E1942" s="2200">
        <f t="shared" si="121"/>
        <v>11</v>
      </c>
      <c r="F1942" s="2200" t="str">
        <f t="shared" si="122"/>
        <v>27</v>
      </c>
      <c r="G1942" s="2200" t="str">
        <f t="shared" si="123"/>
        <v>18188</v>
      </c>
      <c r="H1942" s="2200">
        <f>--SUBTOTAL(3,C$2:C1942)</f>
        <v>99</v>
      </c>
    </row>
    <row r="1943" spans="1:8" hidden="1" x14ac:dyDescent="0.15">
      <c r="A1943" s="2200" t="s">
        <v>10723</v>
      </c>
      <c r="B1943" s="2200" t="s">
        <v>14598</v>
      </c>
      <c r="C1943" s="2200" t="s">
        <v>14599</v>
      </c>
      <c r="D1943" s="2200" t="str">
        <f t="shared" si="120"/>
        <v>MN</v>
      </c>
      <c r="E1943" s="2200">
        <f t="shared" si="121"/>
        <v>13</v>
      </c>
      <c r="F1943" s="2200" t="str">
        <f t="shared" si="122"/>
        <v>27</v>
      </c>
      <c r="G1943" s="2200" t="str">
        <f t="shared" si="123"/>
        <v>22814</v>
      </c>
      <c r="H1943" s="2200">
        <f>--SUBTOTAL(3,C$2:C1943)</f>
        <v>99</v>
      </c>
    </row>
    <row r="1944" spans="1:8" hidden="1" x14ac:dyDescent="0.15">
      <c r="A1944" s="2200" t="s">
        <v>10723</v>
      </c>
      <c r="B1944" s="2200" t="s">
        <v>14600</v>
      </c>
      <c r="C1944" s="2200" t="s">
        <v>14601</v>
      </c>
      <c r="D1944" s="2200" t="str">
        <f t="shared" si="120"/>
        <v>MN</v>
      </c>
      <c r="E1944" s="2200">
        <f t="shared" si="121"/>
        <v>25</v>
      </c>
      <c r="F1944" s="2200" t="str">
        <f t="shared" si="122"/>
        <v>27</v>
      </c>
      <c r="G1944" s="2200" t="str">
        <f t="shared" si="123"/>
        <v>31076</v>
      </c>
      <c r="H1944" s="2200">
        <f>--SUBTOTAL(3,C$2:C1944)</f>
        <v>99</v>
      </c>
    </row>
    <row r="1945" spans="1:8" hidden="1" x14ac:dyDescent="0.15">
      <c r="A1945" s="2200" t="s">
        <v>10723</v>
      </c>
      <c r="B1945" s="2200" t="s">
        <v>14602</v>
      </c>
      <c r="C1945" s="2200" t="s">
        <v>14603</v>
      </c>
      <c r="D1945" s="2200" t="str">
        <f t="shared" si="120"/>
        <v>MN</v>
      </c>
      <c r="E1945" s="2200">
        <f t="shared" si="121"/>
        <v>15</v>
      </c>
      <c r="F1945" s="2200" t="str">
        <f t="shared" si="122"/>
        <v>27</v>
      </c>
      <c r="G1945" s="2200" t="str">
        <f t="shared" si="123"/>
        <v>35180</v>
      </c>
      <c r="H1945" s="2200">
        <f>--SUBTOTAL(3,C$2:C1945)</f>
        <v>99</v>
      </c>
    </row>
    <row r="1946" spans="1:8" hidden="1" x14ac:dyDescent="0.15">
      <c r="A1946" s="2200" t="s">
        <v>10723</v>
      </c>
      <c r="B1946" s="2200" t="s">
        <v>14604</v>
      </c>
      <c r="C1946" s="2200" t="s">
        <v>14605</v>
      </c>
      <c r="D1946" s="2200" t="str">
        <f t="shared" si="120"/>
        <v>MN</v>
      </c>
      <c r="E1946" s="2200">
        <f t="shared" si="121"/>
        <v>13</v>
      </c>
      <c r="F1946" s="2200" t="str">
        <f t="shared" si="122"/>
        <v>27</v>
      </c>
      <c r="G1946" s="2200" t="str">
        <f t="shared" si="123"/>
        <v>39878</v>
      </c>
      <c r="H1946" s="2200">
        <f>--SUBTOTAL(3,C$2:C1946)</f>
        <v>99</v>
      </c>
    </row>
    <row r="1947" spans="1:8" hidden="1" x14ac:dyDescent="0.15">
      <c r="A1947" s="2200" t="s">
        <v>10723</v>
      </c>
      <c r="B1947" s="2200" t="s">
        <v>14606</v>
      </c>
      <c r="C1947" s="2200" t="s">
        <v>14607</v>
      </c>
      <c r="D1947" s="2200" t="str">
        <f t="shared" si="120"/>
        <v>MN</v>
      </c>
      <c r="E1947" s="2200">
        <f t="shared" si="121"/>
        <v>17</v>
      </c>
      <c r="F1947" s="2200" t="str">
        <f t="shared" si="122"/>
        <v>27</v>
      </c>
      <c r="G1947" s="2200" t="str">
        <f t="shared" si="123"/>
        <v>40166</v>
      </c>
      <c r="H1947" s="2200">
        <f>--SUBTOTAL(3,C$2:C1947)</f>
        <v>99</v>
      </c>
    </row>
    <row r="1948" spans="1:8" hidden="1" x14ac:dyDescent="0.15">
      <c r="A1948" s="2200" t="s">
        <v>10723</v>
      </c>
      <c r="B1948" s="2200" t="s">
        <v>14608</v>
      </c>
      <c r="C1948" s="2200" t="s">
        <v>14609</v>
      </c>
      <c r="D1948" s="2200" t="str">
        <f t="shared" si="120"/>
        <v>MN</v>
      </c>
      <c r="E1948" s="2200">
        <f t="shared" si="121"/>
        <v>15</v>
      </c>
      <c r="F1948" s="2200" t="str">
        <f t="shared" si="122"/>
        <v>27</v>
      </c>
      <c r="G1948" s="2200" t="str">
        <f t="shared" si="123"/>
        <v>40382</v>
      </c>
      <c r="H1948" s="2200">
        <f>--SUBTOTAL(3,C$2:C1948)</f>
        <v>99</v>
      </c>
    </row>
    <row r="1949" spans="1:8" hidden="1" x14ac:dyDescent="0.15">
      <c r="A1949" s="2200" t="s">
        <v>10723</v>
      </c>
      <c r="B1949" s="2200" t="s">
        <v>14610</v>
      </c>
      <c r="C1949" s="2200" t="s">
        <v>14611</v>
      </c>
      <c r="D1949" s="2200" t="str">
        <f t="shared" si="120"/>
        <v>MN</v>
      </c>
      <c r="E1949" s="2200">
        <f t="shared" si="121"/>
        <v>17</v>
      </c>
      <c r="F1949" s="2200" t="str">
        <f t="shared" si="122"/>
        <v>27</v>
      </c>
      <c r="G1949" s="2200" t="str">
        <f t="shared" si="123"/>
        <v>43000</v>
      </c>
      <c r="H1949" s="2200">
        <f>--SUBTOTAL(3,C$2:C1949)</f>
        <v>99</v>
      </c>
    </row>
    <row r="1950" spans="1:8" hidden="1" x14ac:dyDescent="0.15">
      <c r="A1950" s="2200" t="s">
        <v>10723</v>
      </c>
      <c r="B1950" s="2200" t="s">
        <v>14612</v>
      </c>
      <c r="C1950" s="2200" t="s">
        <v>14613</v>
      </c>
      <c r="D1950" s="2200" t="str">
        <f t="shared" si="120"/>
        <v>MN</v>
      </c>
      <c r="E1950" s="2200">
        <f t="shared" si="121"/>
        <v>16</v>
      </c>
      <c r="F1950" s="2200" t="str">
        <f t="shared" si="122"/>
        <v>27</v>
      </c>
      <c r="G1950" s="2200" t="str">
        <f t="shared" si="123"/>
        <v>43252</v>
      </c>
      <c r="H1950" s="2200">
        <f>--SUBTOTAL(3,C$2:C1950)</f>
        <v>99</v>
      </c>
    </row>
    <row r="1951" spans="1:8" hidden="1" x14ac:dyDescent="0.15">
      <c r="A1951" s="2200" t="s">
        <v>10723</v>
      </c>
      <c r="B1951" s="2200" t="s">
        <v>14614</v>
      </c>
      <c r="C1951" s="2200" t="s">
        <v>14615</v>
      </c>
      <c r="D1951" s="2200" t="str">
        <f t="shared" si="120"/>
        <v>MN</v>
      </c>
      <c r="E1951" s="2200">
        <f t="shared" si="121"/>
        <v>14</v>
      </c>
      <c r="F1951" s="2200" t="str">
        <f t="shared" si="122"/>
        <v>27</v>
      </c>
      <c r="G1951" s="2200" t="str">
        <f t="shared" si="123"/>
        <v>43864</v>
      </c>
      <c r="H1951" s="2200">
        <f>--SUBTOTAL(3,C$2:C1951)</f>
        <v>99</v>
      </c>
    </row>
    <row r="1952" spans="1:8" hidden="1" x14ac:dyDescent="0.15">
      <c r="A1952" s="2200" t="s">
        <v>10723</v>
      </c>
      <c r="B1952" s="2200" t="s">
        <v>14616</v>
      </c>
      <c r="C1952" s="2200" t="s">
        <v>14617</v>
      </c>
      <c r="D1952" s="2200" t="str">
        <f t="shared" si="120"/>
        <v>MN</v>
      </c>
      <c r="E1952" s="2200">
        <f t="shared" si="121"/>
        <v>13</v>
      </c>
      <c r="F1952" s="2200" t="str">
        <f t="shared" si="122"/>
        <v>27</v>
      </c>
      <c r="G1952" s="2200" t="str">
        <f t="shared" si="123"/>
        <v>47680</v>
      </c>
      <c r="H1952" s="2200">
        <f>--SUBTOTAL(3,C$2:C1952)</f>
        <v>99</v>
      </c>
    </row>
    <row r="1953" spans="1:8" hidden="1" x14ac:dyDescent="0.15">
      <c r="A1953" s="2200" t="s">
        <v>10723</v>
      </c>
      <c r="B1953" s="2200" t="s">
        <v>14618</v>
      </c>
      <c r="C1953" s="2200" t="s">
        <v>14619</v>
      </c>
      <c r="D1953" s="2200" t="str">
        <f t="shared" si="120"/>
        <v>MN</v>
      </c>
      <c r="E1953" s="2200">
        <f t="shared" si="121"/>
        <v>14</v>
      </c>
      <c r="F1953" s="2200" t="str">
        <f t="shared" si="122"/>
        <v>27</v>
      </c>
      <c r="G1953" s="2200" t="str">
        <f t="shared" si="123"/>
        <v>49300</v>
      </c>
      <c r="H1953" s="2200">
        <f>--SUBTOTAL(3,C$2:C1953)</f>
        <v>99</v>
      </c>
    </row>
    <row r="1954" spans="1:8" hidden="1" x14ac:dyDescent="0.15">
      <c r="A1954" s="2200" t="s">
        <v>11443</v>
      </c>
      <c r="B1954" s="2200" t="s">
        <v>14620</v>
      </c>
      <c r="C1954" s="2200" t="s">
        <v>14621</v>
      </c>
      <c r="D1954" s="2200" t="str">
        <f t="shared" si="120"/>
        <v>MN</v>
      </c>
      <c r="E1954" s="2200">
        <f t="shared" si="121"/>
        <v>20</v>
      </c>
      <c r="F1954" s="2200" t="str">
        <f t="shared" si="122"/>
        <v>27</v>
      </c>
      <c r="G1954" s="2200" t="str">
        <f t="shared" si="123"/>
        <v>82140</v>
      </c>
      <c r="H1954" s="2200">
        <f>--SUBTOTAL(3,C$2:C1954)</f>
        <v>99</v>
      </c>
    </row>
    <row r="1955" spans="1:8" hidden="1" x14ac:dyDescent="0.15">
      <c r="A1955" s="2200" t="s">
        <v>10723</v>
      </c>
      <c r="B1955" s="2200" t="s">
        <v>14622</v>
      </c>
      <c r="C1955" s="2200" t="s">
        <v>14623</v>
      </c>
      <c r="D1955" s="2200" t="str">
        <f t="shared" si="120"/>
        <v>MN</v>
      </c>
      <c r="E1955" s="2200">
        <f t="shared" si="121"/>
        <v>14</v>
      </c>
      <c r="F1955" s="2200" t="str">
        <f t="shared" si="122"/>
        <v>27</v>
      </c>
      <c r="G1955" s="2200" t="str">
        <f t="shared" si="123"/>
        <v>51730</v>
      </c>
      <c r="H1955" s="2200">
        <f>--SUBTOTAL(3,C$2:C1955)</f>
        <v>99</v>
      </c>
    </row>
    <row r="1956" spans="1:8" hidden="1" x14ac:dyDescent="0.15">
      <c r="A1956" s="2200" t="s">
        <v>10723</v>
      </c>
      <c r="B1956" s="2200" t="s">
        <v>14624</v>
      </c>
      <c r="C1956" s="2200" t="s">
        <v>14625</v>
      </c>
      <c r="D1956" s="2200" t="str">
        <f t="shared" si="120"/>
        <v>MN</v>
      </c>
      <c r="E1956" s="2200">
        <f t="shared" si="121"/>
        <v>16</v>
      </c>
      <c r="F1956" s="2200" t="str">
        <f t="shared" si="122"/>
        <v>27</v>
      </c>
      <c r="G1956" s="2200" t="str">
        <f t="shared" si="123"/>
        <v>52594</v>
      </c>
      <c r="H1956" s="2200">
        <f>--SUBTOTAL(3,C$2:C1956)</f>
        <v>99</v>
      </c>
    </row>
    <row r="1957" spans="1:8" hidden="1" x14ac:dyDescent="0.15">
      <c r="A1957" s="2200" t="s">
        <v>10723</v>
      </c>
      <c r="B1957" s="2200" t="s">
        <v>14626</v>
      </c>
      <c r="C1957" s="2200" t="s">
        <v>14627</v>
      </c>
      <c r="D1957" s="2200" t="str">
        <f t="shared" si="120"/>
        <v>MN</v>
      </c>
      <c r="E1957" s="2200">
        <f t="shared" si="121"/>
        <v>12</v>
      </c>
      <c r="F1957" s="2200" t="str">
        <f t="shared" si="122"/>
        <v>27</v>
      </c>
      <c r="G1957" s="2200" t="str">
        <f t="shared" si="123"/>
        <v>53026</v>
      </c>
      <c r="H1957" s="2200">
        <f>--SUBTOTAL(3,C$2:C1957)</f>
        <v>99</v>
      </c>
    </row>
    <row r="1958" spans="1:8" hidden="1" x14ac:dyDescent="0.15">
      <c r="A1958" s="2200" t="s">
        <v>10723</v>
      </c>
      <c r="B1958" s="2200" t="s">
        <v>14628</v>
      </c>
      <c r="C1958" s="2200" t="s">
        <v>14629</v>
      </c>
      <c r="D1958" s="2200" t="str">
        <f t="shared" si="120"/>
        <v>MN</v>
      </c>
      <c r="E1958" s="2200">
        <f t="shared" si="121"/>
        <v>15</v>
      </c>
      <c r="F1958" s="2200" t="str">
        <f t="shared" si="122"/>
        <v>27</v>
      </c>
      <c r="G1958" s="2200" t="str">
        <f t="shared" si="123"/>
        <v>54214</v>
      </c>
      <c r="H1958" s="2200">
        <f>--SUBTOTAL(3,C$2:C1958)</f>
        <v>99</v>
      </c>
    </row>
    <row r="1959" spans="1:8" hidden="1" x14ac:dyDescent="0.15">
      <c r="A1959" s="2200" t="s">
        <v>10723</v>
      </c>
      <c r="B1959" s="2200" t="s">
        <v>14630</v>
      </c>
      <c r="C1959" s="2200" t="s">
        <v>14631</v>
      </c>
      <c r="D1959" s="2200" t="str">
        <f t="shared" si="120"/>
        <v>MN</v>
      </c>
      <c r="E1959" s="2200">
        <f t="shared" si="121"/>
        <v>15</v>
      </c>
      <c r="F1959" s="2200" t="str">
        <f t="shared" si="122"/>
        <v>27</v>
      </c>
      <c r="G1959" s="2200" t="str">
        <f t="shared" si="123"/>
        <v>54880</v>
      </c>
      <c r="H1959" s="2200">
        <f>--SUBTOTAL(3,C$2:C1959)</f>
        <v>99</v>
      </c>
    </row>
    <row r="1960" spans="1:8" hidden="1" x14ac:dyDescent="0.15">
      <c r="A1960" s="2200" t="s">
        <v>10723</v>
      </c>
      <c r="B1960" s="2200" t="s">
        <v>14632</v>
      </c>
      <c r="C1960" s="2200" t="s">
        <v>14633</v>
      </c>
      <c r="D1960" s="2200" t="str">
        <f t="shared" si="120"/>
        <v>MN</v>
      </c>
      <c r="E1960" s="2200">
        <f t="shared" si="121"/>
        <v>15</v>
      </c>
      <c r="F1960" s="2200" t="str">
        <f t="shared" si="122"/>
        <v>27</v>
      </c>
      <c r="G1960" s="2200" t="str">
        <f t="shared" si="123"/>
        <v>55852</v>
      </c>
      <c r="H1960" s="2200">
        <f>--SUBTOTAL(3,C$2:C1960)</f>
        <v>99</v>
      </c>
    </row>
    <row r="1961" spans="1:8" hidden="1" x14ac:dyDescent="0.15">
      <c r="A1961" s="2200" t="s">
        <v>10723</v>
      </c>
      <c r="B1961" s="2200" t="s">
        <v>14634</v>
      </c>
      <c r="C1961" s="2200" t="s">
        <v>14635</v>
      </c>
      <c r="D1961" s="2200" t="str">
        <f t="shared" si="120"/>
        <v>MN</v>
      </c>
      <c r="E1961" s="2200">
        <f t="shared" si="121"/>
        <v>12</v>
      </c>
      <c r="F1961" s="2200" t="str">
        <f t="shared" si="122"/>
        <v>27</v>
      </c>
      <c r="G1961" s="2200" t="str">
        <f t="shared" si="123"/>
        <v>58738</v>
      </c>
      <c r="H1961" s="2200">
        <f>--SUBTOTAL(3,C$2:C1961)</f>
        <v>99</v>
      </c>
    </row>
    <row r="1962" spans="1:8" hidden="1" x14ac:dyDescent="0.15">
      <c r="A1962" s="2200" t="s">
        <v>10723</v>
      </c>
      <c r="B1962" s="2200" t="s">
        <v>14636</v>
      </c>
      <c r="C1962" s="2200" t="s">
        <v>14637</v>
      </c>
      <c r="D1962" s="2200" t="str">
        <f t="shared" si="120"/>
        <v>MN</v>
      </c>
      <c r="E1962" s="2200">
        <f t="shared" si="121"/>
        <v>14</v>
      </c>
      <c r="F1962" s="2200" t="str">
        <f t="shared" si="122"/>
        <v>27</v>
      </c>
      <c r="G1962" s="2200" t="str">
        <f t="shared" si="123"/>
        <v>59350</v>
      </c>
      <c r="H1962" s="2200">
        <f>--SUBTOTAL(3,C$2:C1962)</f>
        <v>99</v>
      </c>
    </row>
    <row r="1963" spans="1:8" hidden="1" x14ac:dyDescent="0.15">
      <c r="A1963" s="2200" t="s">
        <v>10723</v>
      </c>
      <c r="B1963" s="2200" t="s">
        <v>14638</v>
      </c>
      <c r="C1963" s="2200" t="s">
        <v>14639</v>
      </c>
      <c r="D1963" s="2200" t="str">
        <f t="shared" si="120"/>
        <v>MN</v>
      </c>
      <c r="E1963" s="2200">
        <f t="shared" si="121"/>
        <v>15</v>
      </c>
      <c r="F1963" s="2200" t="str">
        <f t="shared" si="122"/>
        <v>27</v>
      </c>
      <c r="G1963" s="2200" t="str">
        <f t="shared" si="123"/>
        <v>59998</v>
      </c>
      <c r="H1963" s="2200">
        <f>--SUBTOTAL(3,C$2:C1963)</f>
        <v>99</v>
      </c>
    </row>
    <row r="1964" spans="1:8" hidden="1" x14ac:dyDescent="0.15">
      <c r="A1964" s="2200" t="s">
        <v>10723</v>
      </c>
      <c r="B1964" s="2200" t="s">
        <v>14640</v>
      </c>
      <c r="C1964" s="2200" t="s">
        <v>14641</v>
      </c>
      <c r="D1964" s="2200" t="str">
        <f t="shared" si="120"/>
        <v>MN</v>
      </c>
      <c r="E1964" s="2200">
        <f t="shared" si="121"/>
        <v>15</v>
      </c>
      <c r="F1964" s="2200" t="str">
        <f t="shared" si="122"/>
        <v>27</v>
      </c>
      <c r="G1964" s="2200" t="str">
        <f t="shared" si="123"/>
        <v>56896</v>
      </c>
      <c r="H1964" s="2200">
        <f>--SUBTOTAL(3,C$2:C1964)</f>
        <v>99</v>
      </c>
    </row>
    <row r="1965" spans="1:8" hidden="1" x14ac:dyDescent="0.15">
      <c r="A1965" s="2200" t="s">
        <v>10723</v>
      </c>
      <c r="B1965" s="2200" t="s">
        <v>14642</v>
      </c>
      <c r="C1965" s="2200" t="s">
        <v>14643</v>
      </c>
      <c r="D1965" s="2200" t="str">
        <f t="shared" si="120"/>
        <v>MN</v>
      </c>
      <c r="E1965" s="2200">
        <f t="shared" si="121"/>
        <v>20</v>
      </c>
      <c r="F1965" s="2200" t="str">
        <f t="shared" si="122"/>
        <v>27</v>
      </c>
      <c r="G1965" s="2200" t="str">
        <f t="shared" si="123"/>
        <v>57220</v>
      </c>
      <c r="H1965" s="2200">
        <f>--SUBTOTAL(3,C$2:C1965)</f>
        <v>99</v>
      </c>
    </row>
    <row r="1966" spans="1:8" hidden="1" x14ac:dyDescent="0.15">
      <c r="A1966" s="2200" t="s">
        <v>10723</v>
      </c>
      <c r="B1966" s="2200" t="s">
        <v>14644</v>
      </c>
      <c r="C1966" s="2200" t="s">
        <v>14645</v>
      </c>
      <c r="D1966" s="2200" t="str">
        <f t="shared" si="120"/>
        <v>MN</v>
      </c>
      <c r="E1966" s="2200">
        <f t="shared" si="121"/>
        <v>14</v>
      </c>
      <c r="F1966" s="2200" t="str">
        <f t="shared" si="122"/>
        <v>27</v>
      </c>
      <c r="G1966" s="2200" t="str">
        <f t="shared" si="123"/>
        <v>58000</v>
      </c>
      <c r="H1966" s="2200">
        <f>--SUBTOTAL(3,C$2:C1966)</f>
        <v>99</v>
      </c>
    </row>
    <row r="1967" spans="1:8" hidden="1" x14ac:dyDescent="0.15">
      <c r="A1967" s="2200" t="s">
        <v>10723</v>
      </c>
      <c r="B1967" s="2200" t="s">
        <v>14646</v>
      </c>
      <c r="C1967" s="2200" t="s">
        <v>14647</v>
      </c>
      <c r="D1967" s="2200" t="str">
        <f t="shared" si="120"/>
        <v>MN</v>
      </c>
      <c r="E1967" s="2200">
        <f t="shared" si="121"/>
        <v>21</v>
      </c>
      <c r="F1967" s="2200" t="str">
        <f t="shared" si="122"/>
        <v>27</v>
      </c>
      <c r="G1967" s="2200" t="str">
        <f t="shared" si="123"/>
        <v>69970</v>
      </c>
      <c r="H1967" s="2200">
        <f>--SUBTOTAL(3,C$2:C1967)</f>
        <v>99</v>
      </c>
    </row>
    <row r="1968" spans="1:8" hidden="1" x14ac:dyDescent="0.15">
      <c r="A1968" s="2200" t="s">
        <v>10723</v>
      </c>
      <c r="B1968" s="2200" t="s">
        <v>14648</v>
      </c>
      <c r="C1968" s="2200" t="s">
        <v>14649</v>
      </c>
      <c r="D1968" s="2200" t="str">
        <f t="shared" si="120"/>
        <v>MN</v>
      </c>
      <c r="E1968" s="2200">
        <f t="shared" si="121"/>
        <v>12</v>
      </c>
      <c r="F1968" s="2200" t="str">
        <f t="shared" si="122"/>
        <v>27</v>
      </c>
      <c r="G1968" s="2200" t="str">
        <f t="shared" si="123"/>
        <v>71032</v>
      </c>
      <c r="H1968" s="2200">
        <f>--SUBTOTAL(3,C$2:C1968)</f>
        <v>99</v>
      </c>
    </row>
    <row r="1969" spans="1:8" hidden="1" x14ac:dyDescent="0.15">
      <c r="A1969" s="2200" t="s">
        <v>10723</v>
      </c>
      <c r="B1969" s="2200" t="s">
        <v>14650</v>
      </c>
      <c r="C1969" s="2200" t="s">
        <v>14651</v>
      </c>
      <c r="D1969" s="2200" t="str">
        <f t="shared" si="120"/>
        <v>MN</v>
      </c>
      <c r="E1969" s="2200">
        <f t="shared" si="121"/>
        <v>14</v>
      </c>
      <c r="F1969" s="2200" t="str">
        <f t="shared" si="122"/>
        <v>27</v>
      </c>
      <c r="G1969" s="2200" t="str">
        <f t="shared" si="123"/>
        <v>71428</v>
      </c>
      <c r="H1969" s="2200">
        <f>--SUBTOTAL(3,C$2:C1969)</f>
        <v>99</v>
      </c>
    </row>
    <row r="1970" spans="1:8" hidden="1" x14ac:dyDescent="0.15">
      <c r="A1970" s="2200" t="s">
        <v>10723</v>
      </c>
      <c r="B1970" s="2200" t="s">
        <v>14652</v>
      </c>
      <c r="C1970" s="2200" t="s">
        <v>14653</v>
      </c>
      <c r="D1970" s="2200" t="str">
        <f t="shared" si="120"/>
        <v>MO</v>
      </c>
      <c r="E1970" s="2200">
        <f t="shared" si="121"/>
        <v>13</v>
      </c>
      <c r="F1970" s="2200" t="str">
        <f t="shared" si="122"/>
        <v>29</v>
      </c>
      <c r="G1970" s="2200" t="str">
        <f t="shared" si="123"/>
        <v>03160</v>
      </c>
      <c r="H1970" s="2200">
        <f>--SUBTOTAL(3,C$2:C1970)</f>
        <v>99</v>
      </c>
    </row>
    <row r="1971" spans="1:8" hidden="1" x14ac:dyDescent="0.15">
      <c r="A1971" s="2200" t="s">
        <v>10723</v>
      </c>
      <c r="B1971" s="2200" t="s">
        <v>14654</v>
      </c>
      <c r="C1971" s="2200" t="s">
        <v>14655</v>
      </c>
      <c r="D1971" s="2200" t="str">
        <f t="shared" si="120"/>
        <v>MO</v>
      </c>
      <c r="E1971" s="2200">
        <f t="shared" si="121"/>
        <v>18</v>
      </c>
      <c r="F1971" s="2200" t="str">
        <f t="shared" si="122"/>
        <v>29</v>
      </c>
      <c r="G1971" s="2200" t="str">
        <f t="shared" si="123"/>
        <v>06652</v>
      </c>
      <c r="H1971" s="2200">
        <f>--SUBTOTAL(3,C$2:C1971)</f>
        <v>99</v>
      </c>
    </row>
    <row r="1972" spans="1:8" hidden="1" x14ac:dyDescent="0.15">
      <c r="A1972" s="2200" t="s">
        <v>10723</v>
      </c>
      <c r="B1972" s="2200" t="s">
        <v>14656</v>
      </c>
      <c r="C1972" s="2200" t="s">
        <v>14657</v>
      </c>
      <c r="D1972" s="2200" t="str">
        <f t="shared" si="120"/>
        <v>MO</v>
      </c>
      <c r="E1972" s="2200">
        <f t="shared" si="121"/>
        <v>20</v>
      </c>
      <c r="F1972" s="2200" t="str">
        <f t="shared" si="122"/>
        <v>29</v>
      </c>
      <c r="G1972" s="2200" t="str">
        <f t="shared" si="123"/>
        <v>11242</v>
      </c>
      <c r="H1972" s="2200">
        <f>--SUBTOTAL(3,C$2:C1972)</f>
        <v>99</v>
      </c>
    </row>
    <row r="1973" spans="1:8" hidden="1" x14ac:dyDescent="0.15">
      <c r="A1973" s="2200" t="s">
        <v>10723</v>
      </c>
      <c r="B1973" s="2200" t="s">
        <v>14658</v>
      </c>
      <c r="C1973" s="2200" t="s">
        <v>14659</v>
      </c>
      <c r="D1973" s="2200" t="str">
        <f t="shared" si="120"/>
        <v>MO</v>
      </c>
      <c r="E1973" s="2200">
        <f t="shared" si="121"/>
        <v>18</v>
      </c>
      <c r="F1973" s="2200" t="str">
        <f t="shared" si="122"/>
        <v>29</v>
      </c>
      <c r="G1973" s="2200" t="str">
        <f t="shared" si="123"/>
        <v>13600</v>
      </c>
      <c r="H1973" s="2200">
        <f>--SUBTOTAL(3,C$2:C1973)</f>
        <v>99</v>
      </c>
    </row>
    <row r="1974" spans="1:8" hidden="1" x14ac:dyDescent="0.15">
      <c r="A1974" s="2200" t="s">
        <v>10723</v>
      </c>
      <c r="B1974" s="2200" t="s">
        <v>14660</v>
      </c>
      <c r="C1974" s="2200" t="s">
        <v>14661</v>
      </c>
      <c r="D1974" s="2200" t="str">
        <f t="shared" si="120"/>
        <v>MO</v>
      </c>
      <c r="E1974" s="2200">
        <f t="shared" si="121"/>
        <v>14</v>
      </c>
      <c r="F1974" s="2200" t="str">
        <f t="shared" si="122"/>
        <v>29</v>
      </c>
      <c r="G1974" s="2200" t="str">
        <f t="shared" si="123"/>
        <v>15670</v>
      </c>
      <c r="H1974" s="2200">
        <f>--SUBTOTAL(3,C$2:C1974)</f>
        <v>99</v>
      </c>
    </row>
    <row r="1975" spans="1:8" hidden="1" x14ac:dyDescent="0.15">
      <c r="A1975" s="2200" t="s">
        <v>10723</v>
      </c>
      <c r="B1975" s="2200" t="s">
        <v>14662</v>
      </c>
      <c r="C1975" s="2200" t="s">
        <v>14663</v>
      </c>
      <c r="D1975" s="2200" t="str">
        <f t="shared" si="120"/>
        <v>MO</v>
      </c>
      <c r="E1975" s="2200">
        <f t="shared" si="121"/>
        <v>16</v>
      </c>
      <c r="F1975" s="2200" t="str">
        <f t="shared" si="122"/>
        <v>29</v>
      </c>
      <c r="G1975" s="2200" t="str">
        <f t="shared" si="123"/>
        <v>24778</v>
      </c>
      <c r="H1975" s="2200">
        <f>--SUBTOTAL(3,C$2:C1975)</f>
        <v>99</v>
      </c>
    </row>
    <row r="1976" spans="1:8" hidden="1" x14ac:dyDescent="0.15">
      <c r="A1976" s="2200" t="s">
        <v>10723</v>
      </c>
      <c r="B1976" s="2200" t="s">
        <v>14664</v>
      </c>
      <c r="C1976" s="2200" t="s">
        <v>14665</v>
      </c>
      <c r="D1976" s="2200" t="str">
        <f t="shared" si="120"/>
        <v>MO</v>
      </c>
      <c r="E1976" s="2200">
        <f t="shared" si="121"/>
        <v>15</v>
      </c>
      <c r="F1976" s="2200" t="str">
        <f t="shared" si="122"/>
        <v>29</v>
      </c>
      <c r="G1976" s="2200" t="str">
        <f t="shared" si="123"/>
        <v>27190</v>
      </c>
      <c r="H1976" s="2200">
        <f>--SUBTOTAL(3,C$2:C1976)</f>
        <v>99</v>
      </c>
    </row>
    <row r="1977" spans="1:8" hidden="1" x14ac:dyDescent="0.15">
      <c r="A1977" s="2200" t="s">
        <v>10723</v>
      </c>
      <c r="B1977" s="2200" t="s">
        <v>14666</v>
      </c>
      <c r="C1977" s="2200" t="s">
        <v>14667</v>
      </c>
      <c r="D1977" s="2200" t="str">
        <f t="shared" si="120"/>
        <v>MO</v>
      </c>
      <c r="E1977" s="2200">
        <f t="shared" si="121"/>
        <v>15</v>
      </c>
      <c r="F1977" s="2200" t="str">
        <f t="shared" si="122"/>
        <v>29</v>
      </c>
      <c r="G1977" s="2200" t="str">
        <f t="shared" si="123"/>
        <v>28324</v>
      </c>
      <c r="H1977" s="2200">
        <f>--SUBTOTAL(3,C$2:C1977)</f>
        <v>99</v>
      </c>
    </row>
    <row r="1978" spans="1:8" hidden="1" x14ac:dyDescent="0.15">
      <c r="A1978" s="2200" t="s">
        <v>10723</v>
      </c>
      <c r="B1978" s="2200" t="s">
        <v>14668</v>
      </c>
      <c r="C1978" s="2200" t="s">
        <v>14669</v>
      </c>
      <c r="D1978" s="2200" t="str">
        <f t="shared" si="120"/>
        <v>MO</v>
      </c>
      <c r="E1978" s="2200">
        <f t="shared" si="121"/>
        <v>15</v>
      </c>
      <c r="F1978" s="2200" t="str">
        <f t="shared" si="122"/>
        <v>29</v>
      </c>
      <c r="G1978" s="2200" t="str">
        <f t="shared" si="123"/>
        <v>31276</v>
      </c>
      <c r="H1978" s="2200">
        <f>--SUBTOTAL(3,C$2:C1978)</f>
        <v>99</v>
      </c>
    </row>
    <row r="1979" spans="1:8" hidden="1" x14ac:dyDescent="0.15">
      <c r="A1979" s="2200" t="s">
        <v>10723</v>
      </c>
      <c r="B1979" s="2200" t="s">
        <v>14670</v>
      </c>
      <c r="C1979" s="2200" t="s">
        <v>14671</v>
      </c>
      <c r="D1979" s="2200" t="str">
        <f t="shared" si="120"/>
        <v>MO</v>
      </c>
      <c r="E1979" s="2200">
        <f t="shared" si="121"/>
        <v>18</v>
      </c>
      <c r="F1979" s="2200" t="str">
        <f t="shared" si="122"/>
        <v>29</v>
      </c>
      <c r="G1979" s="2200" t="str">
        <f t="shared" si="123"/>
        <v>35000</v>
      </c>
      <c r="H1979" s="2200">
        <f>--SUBTOTAL(3,C$2:C1979)</f>
        <v>99</v>
      </c>
    </row>
    <row r="1980" spans="1:8" hidden="1" x14ac:dyDescent="0.15">
      <c r="A1980" s="2200" t="s">
        <v>10723</v>
      </c>
      <c r="B1980" s="2200" t="s">
        <v>14672</v>
      </c>
      <c r="C1980" s="2200" t="s">
        <v>14673</v>
      </c>
      <c r="D1980" s="2200" t="str">
        <f t="shared" si="120"/>
        <v>MO</v>
      </c>
      <c r="E1980" s="2200">
        <f t="shared" si="121"/>
        <v>20</v>
      </c>
      <c r="F1980" s="2200" t="str">
        <f t="shared" si="122"/>
        <v>29</v>
      </c>
      <c r="G1980" s="2200" t="str">
        <f t="shared" si="123"/>
        <v>37000</v>
      </c>
      <c r="H1980" s="2200">
        <f>--SUBTOTAL(3,C$2:C1980)</f>
        <v>99</v>
      </c>
    </row>
    <row r="1981" spans="1:8" hidden="1" x14ac:dyDescent="0.15">
      <c r="A1981" s="2200" t="s">
        <v>10723</v>
      </c>
      <c r="B1981" s="2200" t="s">
        <v>14674</v>
      </c>
      <c r="C1981" s="2200" t="s">
        <v>14675</v>
      </c>
      <c r="D1981" s="2200" t="str">
        <f t="shared" si="120"/>
        <v>MO</v>
      </c>
      <c r="E1981" s="2200">
        <f t="shared" si="121"/>
        <v>12</v>
      </c>
      <c r="F1981" s="2200" t="str">
        <f t="shared" si="122"/>
        <v>29</v>
      </c>
      <c r="G1981" s="2200" t="str">
        <f t="shared" si="123"/>
        <v>37592</v>
      </c>
      <c r="H1981" s="2200">
        <f>--SUBTOTAL(3,C$2:C1981)</f>
        <v>99</v>
      </c>
    </row>
    <row r="1982" spans="1:8" hidden="1" x14ac:dyDescent="0.15">
      <c r="A1982" s="2200" t="s">
        <v>10723</v>
      </c>
      <c r="B1982" s="2200" t="s">
        <v>14676</v>
      </c>
      <c r="C1982" s="2200" t="s">
        <v>14677</v>
      </c>
      <c r="D1982" s="2200" t="str">
        <f t="shared" si="120"/>
        <v>MO</v>
      </c>
      <c r="E1982" s="2200">
        <f t="shared" si="121"/>
        <v>17</v>
      </c>
      <c r="F1982" s="2200" t="str">
        <f t="shared" si="122"/>
        <v>29</v>
      </c>
      <c r="G1982" s="2200" t="str">
        <f t="shared" si="123"/>
        <v>38000</v>
      </c>
      <c r="H1982" s="2200">
        <f>--SUBTOTAL(3,C$2:C1982)</f>
        <v>99</v>
      </c>
    </row>
    <row r="1983" spans="1:8" hidden="1" x14ac:dyDescent="0.15">
      <c r="A1983" s="2200" t="s">
        <v>10723</v>
      </c>
      <c r="B1983" s="2200" t="s">
        <v>14678</v>
      </c>
      <c r="C1983" s="2200" t="s">
        <v>14679</v>
      </c>
      <c r="D1983" s="2200" t="str">
        <f t="shared" si="120"/>
        <v>MO</v>
      </c>
      <c r="E1983" s="2200">
        <f t="shared" si="121"/>
        <v>14</v>
      </c>
      <c r="F1983" s="2200" t="str">
        <f t="shared" si="122"/>
        <v>29</v>
      </c>
      <c r="G1983" s="2200" t="str">
        <f t="shared" si="123"/>
        <v>39044</v>
      </c>
      <c r="H1983" s="2200">
        <f>--SUBTOTAL(3,C$2:C1983)</f>
        <v>99</v>
      </c>
    </row>
    <row r="1984" spans="1:8" hidden="1" x14ac:dyDescent="0.15">
      <c r="A1984" s="2200" t="s">
        <v>10723</v>
      </c>
      <c r="B1984" s="2200" t="s">
        <v>14680</v>
      </c>
      <c r="C1984" s="2200" t="s">
        <v>14681</v>
      </c>
      <c r="D1984" s="2200" t="str">
        <f t="shared" si="120"/>
        <v>MO</v>
      </c>
      <c r="E1984" s="2200">
        <f t="shared" si="121"/>
        <v>18</v>
      </c>
      <c r="F1984" s="2200" t="str">
        <f t="shared" si="122"/>
        <v>29</v>
      </c>
      <c r="G1984" s="2200" t="str">
        <f t="shared" si="123"/>
        <v>41348</v>
      </c>
      <c r="H1984" s="2200">
        <f>--SUBTOTAL(3,C$2:C1984)</f>
        <v>99</v>
      </c>
    </row>
    <row r="1985" spans="1:8" hidden="1" x14ac:dyDescent="0.15">
      <c r="A1985" s="2200" t="s">
        <v>10723</v>
      </c>
      <c r="B1985" s="2200" t="s">
        <v>14682</v>
      </c>
      <c r="C1985" s="2200" t="s">
        <v>14683</v>
      </c>
      <c r="D1985" s="2200" t="str">
        <f t="shared" si="120"/>
        <v>MO</v>
      </c>
      <c r="E1985" s="2200">
        <f t="shared" si="121"/>
        <v>13</v>
      </c>
      <c r="F1985" s="2200" t="str">
        <f t="shared" si="122"/>
        <v>29</v>
      </c>
      <c r="G1985" s="2200" t="str">
        <f t="shared" si="123"/>
        <v>42032</v>
      </c>
      <c r="H1985" s="2200">
        <f>--SUBTOTAL(3,C$2:C1985)</f>
        <v>99</v>
      </c>
    </row>
    <row r="1986" spans="1:8" hidden="1" x14ac:dyDescent="0.15">
      <c r="A1986" s="2200" t="s">
        <v>10723</v>
      </c>
      <c r="B1986" s="2200" t="s">
        <v>14684</v>
      </c>
      <c r="C1986" s="2200" t="s">
        <v>14685</v>
      </c>
      <c r="D1986" s="2200" t="str">
        <f t="shared" ref="D1986:D2049" si="124">MID(C1986,E1986+2,2)</f>
        <v>MO</v>
      </c>
      <c r="E1986" s="2200">
        <f t="shared" ref="E1986:E2049" si="125">FIND(",",C1986)</f>
        <v>22</v>
      </c>
      <c r="F1986" s="2200" t="str">
        <f t="shared" si="122"/>
        <v>29</v>
      </c>
      <c r="G1986" s="2200" t="str">
        <f t="shared" si="123"/>
        <v>46586</v>
      </c>
      <c r="H1986" s="2200">
        <f>--SUBTOTAL(3,C$2:C1986)</f>
        <v>99</v>
      </c>
    </row>
    <row r="1987" spans="1:8" hidden="1" x14ac:dyDescent="0.15">
      <c r="A1987" s="2200" t="s">
        <v>10723</v>
      </c>
      <c r="B1987" s="2200" t="s">
        <v>14686</v>
      </c>
      <c r="C1987" s="2200" t="s">
        <v>14687</v>
      </c>
      <c r="D1987" s="2200" t="str">
        <f t="shared" si="124"/>
        <v>MO</v>
      </c>
      <c r="E1987" s="2200">
        <f t="shared" si="125"/>
        <v>14</v>
      </c>
      <c r="F1987" s="2200" t="str">
        <f t="shared" ref="F1987:F2050" si="126">MID(B1987,3,2)</f>
        <v>29</v>
      </c>
      <c r="G1987" s="2200" t="str">
        <f t="shared" ref="G1987:G2050" si="127">MID(B1987,5,5)</f>
        <v>54074</v>
      </c>
      <c r="H1987" s="2200">
        <f>--SUBTOTAL(3,C$2:C1987)</f>
        <v>99</v>
      </c>
    </row>
    <row r="1988" spans="1:8" hidden="1" x14ac:dyDescent="0.15">
      <c r="A1988" s="2200" t="s">
        <v>10723</v>
      </c>
      <c r="B1988" s="2200" t="s">
        <v>14688</v>
      </c>
      <c r="C1988" s="2200" t="s">
        <v>14689</v>
      </c>
      <c r="D1988" s="2200" t="str">
        <f t="shared" si="124"/>
        <v>MO</v>
      </c>
      <c r="E1988" s="2200">
        <f t="shared" si="125"/>
        <v>13</v>
      </c>
      <c r="F1988" s="2200" t="str">
        <f t="shared" si="126"/>
        <v>29</v>
      </c>
      <c r="G1988" s="2200" t="str">
        <f t="shared" si="127"/>
        <v>60788</v>
      </c>
      <c r="H1988" s="2200">
        <f>--SUBTOTAL(3,C$2:C1988)</f>
        <v>99</v>
      </c>
    </row>
    <row r="1989" spans="1:8" hidden="1" x14ac:dyDescent="0.15">
      <c r="A1989" s="2200" t="s">
        <v>10723</v>
      </c>
      <c r="B1989" s="2200" t="s">
        <v>14690</v>
      </c>
      <c r="C1989" s="2200" t="s">
        <v>14691</v>
      </c>
      <c r="D1989" s="2200" t="str">
        <f t="shared" si="124"/>
        <v>MO</v>
      </c>
      <c r="E1989" s="2200">
        <f t="shared" si="125"/>
        <v>17</v>
      </c>
      <c r="F1989" s="2200" t="str">
        <f t="shared" si="126"/>
        <v>29</v>
      </c>
      <c r="G1989" s="2200" t="str">
        <f t="shared" si="127"/>
        <v>70000</v>
      </c>
      <c r="H1989" s="2200">
        <f>--SUBTOTAL(3,C$2:C1989)</f>
        <v>99</v>
      </c>
    </row>
    <row r="1990" spans="1:8" hidden="1" x14ac:dyDescent="0.15">
      <c r="A1990" s="2200" t="s">
        <v>10723</v>
      </c>
      <c r="B1990" s="2200" t="s">
        <v>14692</v>
      </c>
      <c r="C1990" s="2200" t="s">
        <v>14693</v>
      </c>
      <c r="D1990" s="2200" t="str">
        <f t="shared" si="124"/>
        <v>MO</v>
      </c>
      <c r="E1990" s="2200">
        <f t="shared" si="125"/>
        <v>17</v>
      </c>
      <c r="F1990" s="2200" t="str">
        <f t="shared" si="126"/>
        <v>29</v>
      </c>
      <c r="G1990" s="2200" t="str">
        <f t="shared" si="127"/>
        <v>64082</v>
      </c>
      <c r="H1990" s="2200">
        <f>--SUBTOTAL(3,C$2:C1990)</f>
        <v>99</v>
      </c>
    </row>
    <row r="1991" spans="1:8" hidden="1" x14ac:dyDescent="0.15">
      <c r="A1991" s="2200" t="s">
        <v>10723</v>
      </c>
      <c r="B1991" s="2200" t="s">
        <v>14694</v>
      </c>
      <c r="C1991" s="2200" t="s">
        <v>14695</v>
      </c>
      <c r="D1991" s="2200" t="str">
        <f t="shared" si="124"/>
        <v>MO</v>
      </c>
      <c r="E1991" s="2200">
        <f t="shared" si="125"/>
        <v>16</v>
      </c>
      <c r="F1991" s="2200" t="str">
        <f t="shared" si="126"/>
        <v>29</v>
      </c>
      <c r="G1991" s="2200" t="str">
        <f t="shared" si="127"/>
        <v>64550</v>
      </c>
      <c r="H1991" s="2200">
        <f>--SUBTOTAL(3,C$2:C1991)</f>
        <v>99</v>
      </c>
    </row>
    <row r="1992" spans="1:8" hidden="1" x14ac:dyDescent="0.15">
      <c r="A1992" s="2200" t="s">
        <v>10723</v>
      </c>
      <c r="B1992" s="2200" t="s">
        <v>14696</v>
      </c>
      <c r="C1992" s="2200" t="s">
        <v>7480</v>
      </c>
      <c r="D1992" s="2200" t="str">
        <f t="shared" si="124"/>
        <v>MO</v>
      </c>
      <c r="E1992" s="2200">
        <f t="shared" si="125"/>
        <v>15</v>
      </c>
      <c r="F1992" s="2200" t="str">
        <f t="shared" si="126"/>
        <v>29</v>
      </c>
      <c r="G1992" s="2200" t="str">
        <f t="shared" si="127"/>
        <v>65000</v>
      </c>
      <c r="H1992" s="2200">
        <f>--SUBTOTAL(3,C$2:C1992)</f>
        <v>99</v>
      </c>
    </row>
    <row r="1993" spans="1:8" hidden="1" x14ac:dyDescent="0.15">
      <c r="A1993" s="2200" t="s">
        <v>10723</v>
      </c>
      <c r="B1993" s="2200" t="s">
        <v>14697</v>
      </c>
      <c r="C1993" s="2200" t="s">
        <v>14698</v>
      </c>
      <c r="D1993" s="2200" t="str">
        <f t="shared" si="124"/>
        <v>MO</v>
      </c>
      <c r="E1993" s="2200">
        <f t="shared" si="125"/>
        <v>16</v>
      </c>
      <c r="F1993" s="2200" t="str">
        <f t="shared" si="126"/>
        <v>29</v>
      </c>
      <c r="G1993" s="2200" t="str">
        <f t="shared" si="127"/>
        <v>65126</v>
      </c>
      <c r="H1993" s="2200">
        <f>--SUBTOTAL(3,C$2:C1993)</f>
        <v>99</v>
      </c>
    </row>
    <row r="1994" spans="1:8" hidden="1" x14ac:dyDescent="0.15">
      <c r="A1994" s="2200" t="s">
        <v>10723</v>
      </c>
      <c r="B1994" s="2200" t="s">
        <v>14699</v>
      </c>
      <c r="C1994" s="2200" t="s">
        <v>14700</v>
      </c>
      <c r="D1994" s="2200" t="str">
        <f t="shared" si="124"/>
        <v>MO</v>
      </c>
      <c r="E1994" s="2200">
        <f t="shared" si="125"/>
        <v>21</v>
      </c>
      <c r="F1994" s="2200" t="str">
        <f t="shared" si="126"/>
        <v>29</v>
      </c>
      <c r="G1994" s="2200" t="str">
        <f t="shared" si="127"/>
        <v>75220</v>
      </c>
      <c r="H1994" s="2200">
        <f>--SUBTOTAL(3,C$2:C1994)</f>
        <v>99</v>
      </c>
    </row>
    <row r="1995" spans="1:8" hidden="1" x14ac:dyDescent="0.15">
      <c r="A1995" s="2200" t="s">
        <v>10723</v>
      </c>
      <c r="B1995" s="2200" t="s">
        <v>14701</v>
      </c>
      <c r="C1995" s="2200" t="s">
        <v>14702</v>
      </c>
      <c r="D1995" s="2200" t="str">
        <f t="shared" si="124"/>
        <v>MO</v>
      </c>
      <c r="E1995" s="2200">
        <f t="shared" si="125"/>
        <v>16</v>
      </c>
      <c r="F1995" s="2200" t="str">
        <f t="shared" si="126"/>
        <v>29</v>
      </c>
      <c r="G1995" s="2200" t="str">
        <f t="shared" si="127"/>
        <v>78442</v>
      </c>
      <c r="H1995" s="2200">
        <f>--SUBTOTAL(3,C$2:C1995)</f>
        <v>99</v>
      </c>
    </row>
    <row r="1996" spans="1:8" hidden="1" x14ac:dyDescent="0.15">
      <c r="A1996" s="2200" t="s">
        <v>10723</v>
      </c>
      <c r="B1996" s="2200" t="s">
        <v>14703</v>
      </c>
      <c r="C1996" s="2200" t="s">
        <v>14704</v>
      </c>
      <c r="D1996" s="2200" t="str">
        <f t="shared" si="124"/>
        <v>MO</v>
      </c>
      <c r="E1996" s="2200">
        <f t="shared" si="125"/>
        <v>14</v>
      </c>
      <c r="F1996" s="2200" t="str">
        <f t="shared" si="126"/>
        <v>29</v>
      </c>
      <c r="G1996" s="2200" t="str">
        <f t="shared" si="127"/>
        <v>79820</v>
      </c>
      <c r="H1996" s="2200">
        <f>--SUBTOTAL(3,C$2:C1996)</f>
        <v>99</v>
      </c>
    </row>
    <row r="1997" spans="1:8" hidden="1" x14ac:dyDescent="0.15">
      <c r="A1997" s="2200" t="s">
        <v>10723</v>
      </c>
      <c r="B1997" s="2200" t="s">
        <v>14705</v>
      </c>
      <c r="C1997" s="2200" t="s">
        <v>14706</v>
      </c>
      <c r="D1997" s="2200" t="str">
        <f t="shared" si="124"/>
        <v>MS</v>
      </c>
      <c r="E1997" s="2200">
        <f t="shared" si="125"/>
        <v>12</v>
      </c>
      <c r="F1997" s="2200" t="str">
        <f t="shared" si="126"/>
        <v>28</v>
      </c>
      <c r="G1997" s="2200" t="str">
        <f t="shared" si="127"/>
        <v>06220</v>
      </c>
      <c r="H1997" s="2200">
        <f>--SUBTOTAL(3,C$2:C1997)</f>
        <v>99</v>
      </c>
    </row>
    <row r="1998" spans="1:8" hidden="1" x14ac:dyDescent="0.15">
      <c r="A1998" s="2200" t="s">
        <v>10723</v>
      </c>
      <c r="B1998" s="2200" t="s">
        <v>14707</v>
      </c>
      <c r="C1998" s="2200" t="s">
        <v>14708</v>
      </c>
      <c r="D1998" s="2200" t="str">
        <f t="shared" si="124"/>
        <v>MS</v>
      </c>
      <c r="E1998" s="2200">
        <f t="shared" si="125"/>
        <v>13</v>
      </c>
      <c r="F1998" s="2200" t="str">
        <f t="shared" si="126"/>
        <v>28</v>
      </c>
      <c r="G1998" s="2200" t="str">
        <f t="shared" si="127"/>
        <v>14420</v>
      </c>
      <c r="H1998" s="2200">
        <f>--SUBTOTAL(3,C$2:C1998)</f>
        <v>99</v>
      </c>
    </row>
    <row r="1999" spans="1:8" hidden="1" x14ac:dyDescent="0.15">
      <c r="A1999" s="2200" t="s">
        <v>10723</v>
      </c>
      <c r="B1999" s="2200" t="s">
        <v>14709</v>
      </c>
      <c r="C1999" s="2200" t="s">
        <v>14710</v>
      </c>
      <c r="D1999" s="2200" t="str">
        <f t="shared" si="124"/>
        <v>MS</v>
      </c>
      <c r="E1999" s="2200">
        <f t="shared" si="125"/>
        <v>14</v>
      </c>
      <c r="F1999" s="2200" t="str">
        <f t="shared" si="126"/>
        <v>28</v>
      </c>
      <c r="G1999" s="2200" t="str">
        <f t="shared" si="127"/>
        <v>15380</v>
      </c>
      <c r="H1999" s="2200">
        <f>--SUBTOTAL(3,C$2:C1999)</f>
        <v>99</v>
      </c>
    </row>
    <row r="2000" spans="1:8" hidden="1" x14ac:dyDescent="0.15">
      <c r="A2000" s="2200" t="s">
        <v>10723</v>
      </c>
      <c r="B2000" s="2200" t="s">
        <v>14711</v>
      </c>
      <c r="C2000" s="2200" t="s">
        <v>14712</v>
      </c>
      <c r="D2000" s="2200" t="str">
        <f t="shared" si="124"/>
        <v>MS</v>
      </c>
      <c r="E2000" s="2200">
        <f t="shared" si="125"/>
        <v>16</v>
      </c>
      <c r="F2000" s="2200" t="str">
        <f t="shared" si="126"/>
        <v>28</v>
      </c>
      <c r="G2000" s="2200" t="str">
        <f t="shared" si="127"/>
        <v>29180</v>
      </c>
      <c r="H2000" s="2200">
        <f>--SUBTOTAL(3,C$2:C2000)</f>
        <v>99</v>
      </c>
    </row>
    <row r="2001" spans="1:8" hidden="1" x14ac:dyDescent="0.15">
      <c r="A2001" s="2200" t="s">
        <v>10723</v>
      </c>
      <c r="B2001" s="2200" t="s">
        <v>14713</v>
      </c>
      <c r="C2001" s="2200" t="s">
        <v>14714</v>
      </c>
      <c r="D2001" s="2200" t="str">
        <f t="shared" si="124"/>
        <v>MS</v>
      </c>
      <c r="E2001" s="2200">
        <f t="shared" si="125"/>
        <v>14</v>
      </c>
      <c r="F2001" s="2200" t="str">
        <f t="shared" si="126"/>
        <v>28</v>
      </c>
      <c r="G2001" s="2200" t="str">
        <f t="shared" si="127"/>
        <v>29700</v>
      </c>
      <c r="H2001" s="2200">
        <f>--SUBTOTAL(3,C$2:C2001)</f>
        <v>99</v>
      </c>
    </row>
    <row r="2002" spans="1:8" hidden="1" x14ac:dyDescent="0.15">
      <c r="A2002" s="2200" t="s">
        <v>10723</v>
      </c>
      <c r="B2002" s="2200" t="s">
        <v>14715</v>
      </c>
      <c r="C2002" s="2200" t="s">
        <v>14716</v>
      </c>
      <c r="D2002" s="2200" t="str">
        <f t="shared" si="124"/>
        <v>MS</v>
      </c>
      <c r="E2002" s="2200">
        <f t="shared" si="125"/>
        <v>17</v>
      </c>
      <c r="F2002" s="2200" t="str">
        <f t="shared" si="126"/>
        <v>28</v>
      </c>
      <c r="G2002" s="2200" t="str">
        <f t="shared" si="127"/>
        <v>31020</v>
      </c>
      <c r="H2002" s="2200">
        <f>--SUBTOTAL(3,C$2:C2002)</f>
        <v>99</v>
      </c>
    </row>
    <row r="2003" spans="1:8" hidden="1" x14ac:dyDescent="0.15">
      <c r="A2003" s="2200" t="s">
        <v>10723</v>
      </c>
      <c r="B2003" s="2200" t="s">
        <v>14717</v>
      </c>
      <c r="C2003" s="2200" t="s">
        <v>14718</v>
      </c>
      <c r="D2003" s="2200" t="str">
        <f t="shared" si="124"/>
        <v>MS</v>
      </c>
      <c r="E2003" s="2200">
        <f t="shared" si="125"/>
        <v>15</v>
      </c>
      <c r="F2003" s="2200" t="str">
        <f t="shared" si="126"/>
        <v>28</v>
      </c>
      <c r="G2003" s="2200" t="str">
        <f t="shared" si="127"/>
        <v>33700</v>
      </c>
      <c r="H2003" s="2200">
        <f>--SUBTOTAL(3,C$2:C2003)</f>
        <v>99</v>
      </c>
    </row>
    <row r="2004" spans="1:8" hidden="1" x14ac:dyDescent="0.15">
      <c r="A2004" s="2200" t="s">
        <v>10723</v>
      </c>
      <c r="B2004" s="2200" t="s">
        <v>14719</v>
      </c>
      <c r="C2004" s="2200" t="s">
        <v>14720</v>
      </c>
      <c r="D2004" s="2200" t="str">
        <f t="shared" si="124"/>
        <v>MS</v>
      </c>
      <c r="E2004" s="2200">
        <f t="shared" si="125"/>
        <v>13</v>
      </c>
      <c r="F2004" s="2200" t="str">
        <f t="shared" si="126"/>
        <v>28</v>
      </c>
      <c r="G2004" s="2200" t="str">
        <f t="shared" si="127"/>
        <v>36000</v>
      </c>
      <c r="H2004" s="2200">
        <f>--SUBTOTAL(3,C$2:C2004)</f>
        <v>99</v>
      </c>
    </row>
    <row r="2005" spans="1:8" hidden="1" x14ac:dyDescent="0.15">
      <c r="A2005" s="2200" t="s">
        <v>10723</v>
      </c>
      <c r="B2005" s="2200" t="s">
        <v>14721</v>
      </c>
      <c r="C2005" s="2200" t="s">
        <v>14722</v>
      </c>
      <c r="D2005" s="2200" t="str">
        <f t="shared" si="124"/>
        <v>MS</v>
      </c>
      <c r="E2005" s="2200">
        <f t="shared" si="125"/>
        <v>13</v>
      </c>
      <c r="F2005" s="2200" t="str">
        <f t="shared" si="126"/>
        <v>28</v>
      </c>
      <c r="G2005" s="2200" t="str">
        <f t="shared" si="127"/>
        <v>44520</v>
      </c>
      <c r="H2005" s="2200">
        <f>--SUBTOTAL(3,C$2:C2005)</f>
        <v>99</v>
      </c>
    </row>
    <row r="2006" spans="1:8" hidden="1" x14ac:dyDescent="0.15">
      <c r="A2006" s="2200" t="s">
        <v>10723</v>
      </c>
      <c r="B2006" s="2200" t="s">
        <v>14723</v>
      </c>
      <c r="C2006" s="2200" t="s">
        <v>14724</v>
      </c>
      <c r="D2006" s="2200" t="str">
        <f t="shared" si="124"/>
        <v>MS</v>
      </c>
      <c r="E2006" s="2200">
        <f t="shared" si="125"/>
        <v>14</v>
      </c>
      <c r="F2006" s="2200" t="str">
        <f t="shared" si="126"/>
        <v>28</v>
      </c>
      <c r="G2006" s="2200" t="str">
        <f t="shared" si="127"/>
        <v>46640</v>
      </c>
      <c r="H2006" s="2200">
        <f>--SUBTOTAL(3,C$2:C2006)</f>
        <v>99</v>
      </c>
    </row>
    <row r="2007" spans="1:8" hidden="1" x14ac:dyDescent="0.15">
      <c r="A2007" s="2200" t="s">
        <v>10723</v>
      </c>
      <c r="B2007" s="2200" t="s">
        <v>14725</v>
      </c>
      <c r="C2007" s="2200" t="s">
        <v>14726</v>
      </c>
      <c r="D2007" s="2200" t="str">
        <f t="shared" si="124"/>
        <v>MS</v>
      </c>
      <c r="E2007" s="2200">
        <f t="shared" si="125"/>
        <v>18</v>
      </c>
      <c r="F2007" s="2200" t="str">
        <f t="shared" si="126"/>
        <v>28</v>
      </c>
      <c r="G2007" s="2200" t="str">
        <f t="shared" si="127"/>
        <v>54040</v>
      </c>
      <c r="H2007" s="2200">
        <f>--SUBTOTAL(3,C$2:C2007)</f>
        <v>99</v>
      </c>
    </row>
    <row r="2008" spans="1:8" hidden="1" x14ac:dyDescent="0.15">
      <c r="A2008" s="2200" t="s">
        <v>10723</v>
      </c>
      <c r="B2008" s="2200" t="s">
        <v>14727</v>
      </c>
      <c r="C2008" s="2200" t="s">
        <v>14728</v>
      </c>
      <c r="D2008" s="2200" t="str">
        <f t="shared" si="124"/>
        <v>MS</v>
      </c>
      <c r="E2008" s="2200">
        <f t="shared" si="125"/>
        <v>16</v>
      </c>
      <c r="F2008" s="2200" t="str">
        <f t="shared" si="126"/>
        <v>28</v>
      </c>
      <c r="G2008" s="2200" t="str">
        <f t="shared" si="127"/>
        <v>55360</v>
      </c>
      <c r="H2008" s="2200">
        <f>--SUBTOTAL(3,C$2:C2008)</f>
        <v>99</v>
      </c>
    </row>
    <row r="2009" spans="1:8" hidden="1" x14ac:dyDescent="0.15">
      <c r="A2009" s="2200" t="s">
        <v>10723</v>
      </c>
      <c r="B2009" s="2200" t="s">
        <v>14729</v>
      </c>
      <c r="C2009" s="2200" t="s">
        <v>14730</v>
      </c>
      <c r="D2009" s="2200" t="str">
        <f t="shared" si="124"/>
        <v>MS</v>
      </c>
      <c r="E2009" s="2200">
        <f t="shared" si="125"/>
        <v>11</v>
      </c>
      <c r="F2009" s="2200" t="str">
        <f t="shared" si="126"/>
        <v>28</v>
      </c>
      <c r="G2009" s="2200" t="str">
        <f t="shared" si="127"/>
        <v>55760</v>
      </c>
      <c r="H2009" s="2200">
        <f>--SUBTOTAL(3,C$2:C2009)</f>
        <v>99</v>
      </c>
    </row>
    <row r="2010" spans="1:8" hidden="1" x14ac:dyDescent="0.15">
      <c r="A2010" s="2200" t="s">
        <v>10723</v>
      </c>
      <c r="B2010" s="2200" t="s">
        <v>14731</v>
      </c>
      <c r="C2010" s="2200" t="s">
        <v>14732</v>
      </c>
      <c r="D2010" s="2200" t="str">
        <f t="shared" si="124"/>
        <v>MS</v>
      </c>
      <c r="E2010" s="2200">
        <f t="shared" si="125"/>
        <v>15</v>
      </c>
      <c r="F2010" s="2200" t="str">
        <f t="shared" si="126"/>
        <v>28</v>
      </c>
      <c r="G2010" s="2200" t="str">
        <f t="shared" si="127"/>
        <v>69280</v>
      </c>
      <c r="H2010" s="2200">
        <f>--SUBTOTAL(3,C$2:C2010)</f>
        <v>99</v>
      </c>
    </row>
    <row r="2011" spans="1:8" hidden="1" x14ac:dyDescent="0.15">
      <c r="A2011" s="2200" t="s">
        <v>10723</v>
      </c>
      <c r="B2011" s="2200" t="s">
        <v>14733</v>
      </c>
      <c r="C2011" s="2200" t="s">
        <v>14734</v>
      </c>
      <c r="D2011" s="2200" t="str">
        <f t="shared" si="124"/>
        <v>MS</v>
      </c>
      <c r="E2011" s="2200">
        <f t="shared" si="125"/>
        <v>16</v>
      </c>
      <c r="F2011" s="2200" t="str">
        <f t="shared" si="126"/>
        <v>28</v>
      </c>
      <c r="G2011" s="2200" t="str">
        <f t="shared" si="127"/>
        <v>70240</v>
      </c>
      <c r="H2011" s="2200">
        <f>--SUBTOTAL(3,C$2:C2011)</f>
        <v>99</v>
      </c>
    </row>
    <row r="2012" spans="1:8" hidden="1" x14ac:dyDescent="0.15">
      <c r="A2012" s="2200" t="s">
        <v>10723</v>
      </c>
      <c r="B2012" s="2200" t="s">
        <v>14735</v>
      </c>
      <c r="C2012" s="2200" t="s">
        <v>14736</v>
      </c>
      <c r="D2012" s="2200" t="str">
        <f t="shared" si="124"/>
        <v>MS</v>
      </c>
      <c r="E2012" s="2200">
        <f t="shared" si="125"/>
        <v>12</v>
      </c>
      <c r="F2012" s="2200" t="str">
        <f t="shared" si="126"/>
        <v>28</v>
      </c>
      <c r="G2012" s="2200" t="str">
        <f t="shared" si="127"/>
        <v>74840</v>
      </c>
      <c r="H2012" s="2200">
        <f>--SUBTOTAL(3,C$2:C2012)</f>
        <v>99</v>
      </c>
    </row>
    <row r="2013" spans="1:8" hidden="1" x14ac:dyDescent="0.15">
      <c r="A2013" s="2200" t="s">
        <v>10723</v>
      </c>
      <c r="B2013" s="2200" t="s">
        <v>14737</v>
      </c>
      <c r="C2013" s="2200" t="s">
        <v>14738</v>
      </c>
      <c r="D2013" s="2200" t="str">
        <f t="shared" si="124"/>
        <v>MS</v>
      </c>
      <c r="E2013" s="2200">
        <f t="shared" si="125"/>
        <v>15</v>
      </c>
      <c r="F2013" s="2200" t="str">
        <f t="shared" si="126"/>
        <v>28</v>
      </c>
      <c r="G2013" s="2200" t="str">
        <f t="shared" si="127"/>
        <v>76720</v>
      </c>
      <c r="H2013" s="2200">
        <f>--SUBTOTAL(3,C$2:C2013)</f>
        <v>99</v>
      </c>
    </row>
    <row r="2014" spans="1:8" hidden="1" x14ac:dyDescent="0.15">
      <c r="A2014" s="2200" t="s">
        <v>10723</v>
      </c>
      <c r="B2014" s="2200" t="s">
        <v>14739</v>
      </c>
      <c r="C2014" s="2200" t="s">
        <v>14740</v>
      </c>
      <c r="D2014" s="2200" t="str">
        <f t="shared" si="124"/>
        <v>MT</v>
      </c>
      <c r="E2014" s="2200">
        <f t="shared" si="125"/>
        <v>32</v>
      </c>
      <c r="F2014" s="2200" t="str">
        <f t="shared" si="126"/>
        <v>30</v>
      </c>
      <c r="G2014" s="2200" t="str">
        <f t="shared" si="127"/>
        <v>01675</v>
      </c>
      <c r="H2014" s="2200">
        <f>--SUBTOTAL(3,C$2:C2014)</f>
        <v>99</v>
      </c>
    </row>
    <row r="2015" spans="1:8" hidden="1" x14ac:dyDescent="0.15">
      <c r="A2015" s="2200" t="s">
        <v>10723</v>
      </c>
      <c r="B2015" s="2200" t="s">
        <v>14741</v>
      </c>
      <c r="C2015" s="2200" t="s">
        <v>14742</v>
      </c>
      <c r="D2015" s="2200" t="str">
        <f t="shared" si="124"/>
        <v>MT</v>
      </c>
      <c r="E2015" s="2200">
        <f t="shared" si="125"/>
        <v>14</v>
      </c>
      <c r="F2015" s="2200" t="str">
        <f t="shared" si="126"/>
        <v>30</v>
      </c>
      <c r="G2015" s="2200" t="str">
        <f t="shared" si="127"/>
        <v>06550</v>
      </c>
      <c r="H2015" s="2200">
        <f>--SUBTOTAL(3,C$2:C2015)</f>
        <v>99</v>
      </c>
    </row>
    <row r="2016" spans="1:8" hidden="1" x14ac:dyDescent="0.15">
      <c r="A2016" s="2200" t="s">
        <v>10723</v>
      </c>
      <c r="B2016" s="2200" t="s">
        <v>14743</v>
      </c>
      <c r="C2016" s="2200" t="s">
        <v>14744</v>
      </c>
      <c r="D2016" s="2200" t="str">
        <f t="shared" si="124"/>
        <v>MT</v>
      </c>
      <c r="E2016" s="2200">
        <f t="shared" si="125"/>
        <v>13</v>
      </c>
      <c r="F2016" s="2200" t="str">
        <f t="shared" si="126"/>
        <v>30</v>
      </c>
      <c r="G2016" s="2200" t="str">
        <f t="shared" si="127"/>
        <v>08950</v>
      </c>
      <c r="H2016" s="2200">
        <f>--SUBTOTAL(3,C$2:C2016)</f>
        <v>99</v>
      </c>
    </row>
    <row r="2017" spans="1:8" hidden="1" x14ac:dyDescent="0.15">
      <c r="A2017" s="2200" t="s">
        <v>10723</v>
      </c>
      <c r="B2017" s="2200" t="s">
        <v>14745</v>
      </c>
      <c r="C2017" s="2200" t="s">
        <v>14746</v>
      </c>
      <c r="D2017" s="2200" t="str">
        <f t="shared" si="124"/>
        <v>MT</v>
      </c>
      <c r="E2017" s="2200">
        <f t="shared" si="125"/>
        <v>37</v>
      </c>
      <c r="F2017" s="2200" t="str">
        <f t="shared" si="126"/>
        <v>30</v>
      </c>
      <c r="G2017" s="2200" t="str">
        <f t="shared" si="127"/>
        <v>11390</v>
      </c>
      <c r="H2017" s="2200">
        <f>--SUBTOTAL(3,C$2:C2017)</f>
        <v>99</v>
      </c>
    </row>
    <row r="2018" spans="1:8" hidden="1" x14ac:dyDescent="0.15">
      <c r="A2018" s="2200" t="s">
        <v>10723</v>
      </c>
      <c r="B2018" s="2200" t="s">
        <v>14747</v>
      </c>
      <c r="C2018" s="2200" t="s">
        <v>14748</v>
      </c>
      <c r="D2018" s="2200" t="str">
        <f t="shared" si="124"/>
        <v>MT</v>
      </c>
      <c r="E2018" s="2200">
        <f t="shared" si="125"/>
        <v>17</v>
      </c>
      <c r="F2018" s="2200" t="str">
        <f t="shared" si="126"/>
        <v>30</v>
      </c>
      <c r="G2018" s="2200" t="str">
        <f t="shared" si="127"/>
        <v>32800</v>
      </c>
      <c r="H2018" s="2200">
        <f>--SUBTOTAL(3,C$2:C2018)</f>
        <v>99</v>
      </c>
    </row>
    <row r="2019" spans="1:8" hidden="1" x14ac:dyDescent="0.15">
      <c r="A2019" s="2200" t="s">
        <v>10723</v>
      </c>
      <c r="B2019" s="2200" t="s">
        <v>14749</v>
      </c>
      <c r="C2019" s="2200" t="s">
        <v>14750</v>
      </c>
      <c r="D2019" s="2200" t="str">
        <f t="shared" si="124"/>
        <v>MT</v>
      </c>
      <c r="E2019" s="2200">
        <f t="shared" si="125"/>
        <v>12</v>
      </c>
      <c r="F2019" s="2200" t="str">
        <f t="shared" si="126"/>
        <v>30</v>
      </c>
      <c r="G2019" s="2200" t="str">
        <f t="shared" si="127"/>
        <v>35600</v>
      </c>
      <c r="H2019" s="2200">
        <f>--SUBTOTAL(3,C$2:C2019)</f>
        <v>99</v>
      </c>
    </row>
    <row r="2020" spans="1:8" hidden="1" x14ac:dyDescent="0.15">
      <c r="A2020" s="2200" t="s">
        <v>10723</v>
      </c>
      <c r="B2020" s="2200" t="s">
        <v>14751</v>
      </c>
      <c r="C2020" s="2200" t="s">
        <v>14752</v>
      </c>
      <c r="D2020" s="2200" t="str">
        <f t="shared" si="124"/>
        <v>MT</v>
      </c>
      <c r="E2020" s="2200">
        <f t="shared" si="125"/>
        <v>14</v>
      </c>
      <c r="F2020" s="2200" t="str">
        <f t="shared" si="126"/>
        <v>30</v>
      </c>
      <c r="G2020" s="2200" t="str">
        <f t="shared" si="127"/>
        <v>50200</v>
      </c>
      <c r="H2020" s="2200">
        <f>--SUBTOTAL(3,C$2:C2020)</f>
        <v>99</v>
      </c>
    </row>
    <row r="2021" spans="1:8" hidden="1" x14ac:dyDescent="0.15">
      <c r="A2021" s="2200" t="s">
        <v>11443</v>
      </c>
      <c r="B2021" s="2200" t="s">
        <v>14753</v>
      </c>
      <c r="C2021" s="2200" t="s">
        <v>14754</v>
      </c>
      <c r="D2021" s="2200" t="str">
        <f t="shared" si="124"/>
        <v>MT</v>
      </c>
      <c r="E2021" s="2200">
        <f t="shared" si="125"/>
        <v>22</v>
      </c>
      <c r="F2021" s="2200" t="str">
        <f t="shared" si="126"/>
        <v>30</v>
      </c>
      <c r="G2021" s="2200" t="str">
        <f t="shared" si="127"/>
        <v>81940</v>
      </c>
      <c r="H2021" s="2200">
        <f>--SUBTOTAL(3,C$2:C2021)</f>
        <v>99</v>
      </c>
    </row>
    <row r="2022" spans="1:8" hidden="1" x14ac:dyDescent="0.15">
      <c r="A2022" s="2200" t="s">
        <v>10723</v>
      </c>
      <c r="B2022" s="2200" t="s">
        <v>14755</v>
      </c>
      <c r="C2022" s="2200" t="s">
        <v>14756</v>
      </c>
      <c r="D2022" s="2200" t="str">
        <f t="shared" si="124"/>
        <v>NC</v>
      </c>
      <c r="E2022" s="2200">
        <f t="shared" si="125"/>
        <v>10</v>
      </c>
      <c r="F2022" s="2200" t="str">
        <f t="shared" si="126"/>
        <v>37</v>
      </c>
      <c r="G2022" s="2200" t="str">
        <f t="shared" si="127"/>
        <v>01520</v>
      </c>
      <c r="H2022" s="2200">
        <f>--SUBTOTAL(3,C$2:C2022)</f>
        <v>99</v>
      </c>
    </row>
    <row r="2023" spans="1:8" hidden="1" x14ac:dyDescent="0.15">
      <c r="A2023" s="2200" t="s">
        <v>10723</v>
      </c>
      <c r="B2023" s="2200" t="s">
        <v>14757</v>
      </c>
      <c r="C2023" s="2200" t="s">
        <v>14758</v>
      </c>
      <c r="D2023" s="2200" t="str">
        <f t="shared" si="124"/>
        <v>NC</v>
      </c>
      <c r="E2023" s="2200">
        <f t="shared" si="125"/>
        <v>14</v>
      </c>
      <c r="F2023" s="2200" t="str">
        <f t="shared" si="126"/>
        <v>37</v>
      </c>
      <c r="G2023" s="2200" t="str">
        <f t="shared" si="127"/>
        <v>02080</v>
      </c>
      <c r="H2023" s="2200">
        <f>--SUBTOTAL(3,C$2:C2023)</f>
        <v>99</v>
      </c>
    </row>
    <row r="2024" spans="1:8" hidden="1" x14ac:dyDescent="0.15">
      <c r="A2024" s="2200" t="s">
        <v>10723</v>
      </c>
      <c r="B2024" s="2200" t="s">
        <v>14759</v>
      </c>
      <c r="C2024" s="2200" t="s">
        <v>14760</v>
      </c>
      <c r="D2024" s="2200" t="str">
        <f t="shared" si="124"/>
        <v>NC</v>
      </c>
      <c r="E2024" s="2200">
        <f t="shared" si="125"/>
        <v>15</v>
      </c>
      <c r="F2024" s="2200" t="str">
        <f t="shared" si="126"/>
        <v>37</v>
      </c>
      <c r="G2024" s="2200" t="str">
        <f t="shared" si="127"/>
        <v>02140</v>
      </c>
      <c r="H2024" s="2200">
        <f>--SUBTOTAL(3,C$2:C2024)</f>
        <v>99</v>
      </c>
    </row>
    <row r="2025" spans="1:8" hidden="1" x14ac:dyDescent="0.15">
      <c r="A2025" s="2200" t="s">
        <v>10723</v>
      </c>
      <c r="B2025" s="2200" t="s">
        <v>14761</v>
      </c>
      <c r="C2025" s="2200" t="s">
        <v>14762</v>
      </c>
      <c r="D2025" s="2200" t="str">
        <f t="shared" si="124"/>
        <v>NC</v>
      </c>
      <c r="E2025" s="2200">
        <f t="shared" si="125"/>
        <v>16</v>
      </c>
      <c r="F2025" s="2200" t="str">
        <f t="shared" si="126"/>
        <v>37</v>
      </c>
      <c r="G2025" s="2200" t="str">
        <f t="shared" si="127"/>
        <v>09060</v>
      </c>
      <c r="H2025" s="2200">
        <f>--SUBTOTAL(3,C$2:C2025)</f>
        <v>99</v>
      </c>
    </row>
    <row r="2026" spans="1:8" hidden="1" x14ac:dyDescent="0.15">
      <c r="A2026" s="2200" t="s">
        <v>10723</v>
      </c>
      <c r="B2026" s="2200" t="s">
        <v>14763</v>
      </c>
      <c r="C2026" s="2200" t="s">
        <v>14764</v>
      </c>
      <c r="D2026" s="2200" t="str">
        <f t="shared" si="124"/>
        <v>NC</v>
      </c>
      <c r="E2026" s="2200">
        <f t="shared" si="125"/>
        <v>10</v>
      </c>
      <c r="F2026" s="2200" t="str">
        <f t="shared" si="126"/>
        <v>37</v>
      </c>
      <c r="G2026" s="2200" t="str">
        <f t="shared" si="127"/>
        <v>10740</v>
      </c>
      <c r="H2026" s="2200">
        <f>--SUBTOTAL(3,C$2:C2026)</f>
        <v>99</v>
      </c>
    </row>
    <row r="2027" spans="1:8" hidden="1" x14ac:dyDescent="0.15">
      <c r="A2027" s="2200" t="s">
        <v>10723</v>
      </c>
      <c r="B2027" s="2200" t="s">
        <v>14765</v>
      </c>
      <c r="C2027" s="2200" t="s">
        <v>14766</v>
      </c>
      <c r="D2027" s="2200" t="str">
        <f t="shared" si="124"/>
        <v>NC</v>
      </c>
      <c r="E2027" s="2200">
        <f t="shared" si="125"/>
        <v>17</v>
      </c>
      <c r="F2027" s="2200" t="str">
        <f t="shared" si="126"/>
        <v>37</v>
      </c>
      <c r="G2027" s="2200" t="str">
        <f t="shared" si="127"/>
        <v>11800</v>
      </c>
      <c r="H2027" s="2200">
        <f>--SUBTOTAL(3,C$2:C2027)</f>
        <v>99</v>
      </c>
    </row>
    <row r="2028" spans="1:8" hidden="1" x14ac:dyDescent="0.15">
      <c r="A2028" s="2200" t="s">
        <v>10723</v>
      </c>
      <c r="B2028" s="2200" t="s">
        <v>14767</v>
      </c>
      <c r="C2028" s="2200" t="s">
        <v>14768</v>
      </c>
      <c r="D2028" s="2200" t="str">
        <f t="shared" si="124"/>
        <v>NC</v>
      </c>
      <c r="E2028" s="2200">
        <f t="shared" si="125"/>
        <v>15</v>
      </c>
      <c r="F2028" s="2200" t="str">
        <f t="shared" si="126"/>
        <v>37</v>
      </c>
      <c r="G2028" s="2200" t="str">
        <f t="shared" si="127"/>
        <v>12000</v>
      </c>
      <c r="H2028" s="2200">
        <f>--SUBTOTAL(3,C$2:C2028)</f>
        <v>99</v>
      </c>
    </row>
    <row r="2029" spans="1:8" hidden="1" x14ac:dyDescent="0.15">
      <c r="A2029" s="2200" t="s">
        <v>10723</v>
      </c>
      <c r="B2029" s="2200" t="s">
        <v>14769</v>
      </c>
      <c r="C2029" s="2200" t="s">
        <v>14770</v>
      </c>
      <c r="D2029" s="2200" t="str">
        <f t="shared" si="124"/>
        <v>NC</v>
      </c>
      <c r="E2029" s="2200">
        <f t="shared" si="125"/>
        <v>13</v>
      </c>
      <c r="F2029" s="2200" t="str">
        <f t="shared" si="126"/>
        <v>37</v>
      </c>
      <c r="G2029" s="2200" t="str">
        <f t="shared" si="127"/>
        <v>14100</v>
      </c>
      <c r="H2029" s="2200">
        <f>--SUBTOTAL(3,C$2:C2029)</f>
        <v>99</v>
      </c>
    </row>
    <row r="2030" spans="1:8" hidden="1" x14ac:dyDescent="0.15">
      <c r="A2030" s="2200" t="s">
        <v>10723</v>
      </c>
      <c r="B2030" s="2200" t="s">
        <v>14771</v>
      </c>
      <c r="C2030" s="2200" t="s">
        <v>14772</v>
      </c>
      <c r="D2030" s="2200" t="str">
        <f t="shared" si="124"/>
        <v>NC</v>
      </c>
      <c r="E2030" s="2200">
        <f t="shared" si="125"/>
        <v>15</v>
      </c>
      <c r="F2030" s="2200" t="str">
        <f t="shared" si="126"/>
        <v>37</v>
      </c>
      <c r="G2030" s="2200" t="str">
        <f t="shared" si="127"/>
        <v>14700</v>
      </c>
      <c r="H2030" s="2200">
        <f>--SUBTOTAL(3,C$2:C2030)</f>
        <v>99</v>
      </c>
    </row>
    <row r="2031" spans="1:8" hidden="1" x14ac:dyDescent="0.15">
      <c r="A2031" s="2200" t="s">
        <v>10723</v>
      </c>
      <c r="B2031" s="2200" t="s">
        <v>14773</v>
      </c>
      <c r="C2031" s="2200" t="s">
        <v>14774</v>
      </c>
      <c r="D2031" s="2200" t="str">
        <f t="shared" si="124"/>
        <v>NC</v>
      </c>
      <c r="E2031" s="2200">
        <f t="shared" si="125"/>
        <v>12</v>
      </c>
      <c r="F2031" s="2200" t="str">
        <f t="shared" si="126"/>
        <v>37</v>
      </c>
      <c r="G2031" s="2200" t="str">
        <f t="shared" si="127"/>
        <v>19000</v>
      </c>
      <c r="H2031" s="2200">
        <f>--SUBTOTAL(3,C$2:C2031)</f>
        <v>99</v>
      </c>
    </row>
    <row r="2032" spans="1:8" hidden="1" x14ac:dyDescent="0.15">
      <c r="A2032" s="2200" t="s">
        <v>10723</v>
      </c>
      <c r="B2032" s="2200" t="s">
        <v>14775</v>
      </c>
      <c r="C2032" s="2200" t="s">
        <v>14776</v>
      </c>
      <c r="D2032" s="2200" t="str">
        <f t="shared" si="124"/>
        <v>NC</v>
      </c>
      <c r="E2032" s="2200">
        <f t="shared" si="125"/>
        <v>18</v>
      </c>
      <c r="F2032" s="2200" t="str">
        <f t="shared" si="126"/>
        <v>37</v>
      </c>
      <c r="G2032" s="2200" t="str">
        <f t="shared" si="127"/>
        <v>22920</v>
      </c>
      <c r="H2032" s="2200">
        <f>--SUBTOTAL(3,C$2:C2032)</f>
        <v>99</v>
      </c>
    </row>
    <row r="2033" spans="1:8" hidden="1" x14ac:dyDescent="0.15">
      <c r="A2033" s="2200" t="s">
        <v>10723</v>
      </c>
      <c r="B2033" s="2200" t="s">
        <v>14777</v>
      </c>
      <c r="C2033" s="2200" t="s">
        <v>14778</v>
      </c>
      <c r="D2033" s="2200" t="str">
        <f t="shared" si="124"/>
        <v>NC</v>
      </c>
      <c r="E2033" s="2200">
        <f t="shared" si="125"/>
        <v>19</v>
      </c>
      <c r="F2033" s="2200" t="str">
        <f t="shared" si="126"/>
        <v>37</v>
      </c>
      <c r="G2033" s="2200" t="str">
        <f t="shared" si="127"/>
        <v>25300</v>
      </c>
      <c r="H2033" s="2200">
        <f>--SUBTOTAL(3,C$2:C2033)</f>
        <v>99</v>
      </c>
    </row>
    <row r="2034" spans="1:8" hidden="1" x14ac:dyDescent="0.15">
      <c r="A2034" s="2200" t="s">
        <v>10723</v>
      </c>
      <c r="B2034" s="2200" t="s">
        <v>14779</v>
      </c>
      <c r="C2034" s="2200" t="s">
        <v>14780</v>
      </c>
      <c r="D2034" s="2200" t="str">
        <f t="shared" si="124"/>
        <v>NC</v>
      </c>
      <c r="E2034" s="2200">
        <f t="shared" si="125"/>
        <v>12</v>
      </c>
      <c r="F2034" s="2200" t="str">
        <f t="shared" si="126"/>
        <v>37</v>
      </c>
      <c r="G2034" s="2200" t="str">
        <f t="shared" si="127"/>
        <v>25480</v>
      </c>
      <c r="H2034" s="2200">
        <f>--SUBTOTAL(3,C$2:C2034)</f>
        <v>99</v>
      </c>
    </row>
    <row r="2035" spans="1:8" hidden="1" x14ac:dyDescent="0.15">
      <c r="A2035" s="2200" t="s">
        <v>10723</v>
      </c>
      <c r="B2035" s="2200" t="s">
        <v>14781</v>
      </c>
      <c r="C2035" s="2200" t="s">
        <v>14782</v>
      </c>
      <c r="D2035" s="2200" t="str">
        <f t="shared" si="124"/>
        <v>NC</v>
      </c>
      <c r="E2035" s="2200">
        <f t="shared" si="125"/>
        <v>14</v>
      </c>
      <c r="F2035" s="2200" t="str">
        <f t="shared" si="126"/>
        <v>37</v>
      </c>
      <c r="G2035" s="2200" t="str">
        <f t="shared" si="127"/>
        <v>25580</v>
      </c>
      <c r="H2035" s="2200">
        <f>--SUBTOTAL(3,C$2:C2035)</f>
        <v>99</v>
      </c>
    </row>
    <row r="2036" spans="1:8" hidden="1" x14ac:dyDescent="0.15">
      <c r="A2036" s="2200" t="s">
        <v>10723</v>
      </c>
      <c r="B2036" s="2200" t="s">
        <v>14783</v>
      </c>
      <c r="C2036" s="2200" t="s">
        <v>14784</v>
      </c>
      <c r="D2036" s="2200" t="str">
        <f t="shared" si="124"/>
        <v>NC</v>
      </c>
      <c r="E2036" s="2200">
        <f t="shared" si="125"/>
        <v>15</v>
      </c>
      <c r="F2036" s="2200" t="str">
        <f t="shared" si="126"/>
        <v>37</v>
      </c>
      <c r="G2036" s="2200" t="str">
        <f t="shared" si="127"/>
        <v>26880</v>
      </c>
      <c r="H2036" s="2200">
        <f>--SUBTOTAL(3,C$2:C2036)</f>
        <v>99</v>
      </c>
    </row>
    <row r="2037" spans="1:8" hidden="1" x14ac:dyDescent="0.15">
      <c r="A2037" s="2200" t="s">
        <v>10723</v>
      </c>
      <c r="B2037" s="2200" t="s">
        <v>14785</v>
      </c>
      <c r="C2037" s="2200" t="s">
        <v>14786</v>
      </c>
      <c r="D2037" s="2200" t="str">
        <f t="shared" si="124"/>
        <v>NC</v>
      </c>
      <c r="E2037" s="2200">
        <f t="shared" si="125"/>
        <v>16</v>
      </c>
      <c r="F2037" s="2200" t="str">
        <f t="shared" si="126"/>
        <v>37</v>
      </c>
      <c r="G2037" s="2200" t="str">
        <f t="shared" si="127"/>
        <v>28000</v>
      </c>
      <c r="H2037" s="2200">
        <f>--SUBTOTAL(3,C$2:C2037)</f>
        <v>99</v>
      </c>
    </row>
    <row r="2038" spans="1:8" hidden="1" x14ac:dyDescent="0.15">
      <c r="A2038" s="2200" t="s">
        <v>10723</v>
      </c>
      <c r="B2038" s="2200" t="s">
        <v>14787</v>
      </c>
      <c r="C2038" s="2200" t="s">
        <v>14788</v>
      </c>
      <c r="D2038" s="2200" t="str">
        <f t="shared" si="124"/>
        <v>NC</v>
      </c>
      <c r="E2038" s="2200">
        <f t="shared" si="125"/>
        <v>16</v>
      </c>
      <c r="F2038" s="2200" t="str">
        <f t="shared" si="126"/>
        <v>37</v>
      </c>
      <c r="G2038" s="2200" t="str">
        <f t="shared" si="127"/>
        <v>28080</v>
      </c>
      <c r="H2038" s="2200">
        <f>--SUBTOTAL(3,C$2:C2038)</f>
        <v>99</v>
      </c>
    </row>
    <row r="2039" spans="1:8" hidden="1" x14ac:dyDescent="0.15">
      <c r="A2039" s="2200" t="s">
        <v>10723</v>
      </c>
      <c r="B2039" s="2200" t="s">
        <v>14789</v>
      </c>
      <c r="C2039" s="2200" t="s">
        <v>14790</v>
      </c>
      <c r="D2039" s="2200" t="str">
        <f t="shared" si="124"/>
        <v>NC</v>
      </c>
      <c r="E2039" s="2200">
        <f t="shared" si="125"/>
        <v>13</v>
      </c>
      <c r="F2039" s="2200" t="str">
        <f t="shared" si="126"/>
        <v>37</v>
      </c>
      <c r="G2039" s="2200" t="str">
        <f t="shared" si="127"/>
        <v>31060</v>
      </c>
      <c r="H2039" s="2200">
        <f>--SUBTOTAL(3,C$2:C2039)</f>
        <v>99</v>
      </c>
    </row>
    <row r="2040" spans="1:8" hidden="1" x14ac:dyDescent="0.15">
      <c r="A2040" s="2200" t="s">
        <v>10723</v>
      </c>
      <c r="B2040" s="2200" t="s">
        <v>14791</v>
      </c>
      <c r="C2040" s="2200" t="s">
        <v>14792</v>
      </c>
      <c r="D2040" s="2200" t="str">
        <f t="shared" si="124"/>
        <v>NC</v>
      </c>
      <c r="E2040" s="2200">
        <f t="shared" si="125"/>
        <v>16</v>
      </c>
      <c r="F2040" s="2200" t="str">
        <f t="shared" si="126"/>
        <v>37</v>
      </c>
      <c r="G2040" s="2200" t="str">
        <f t="shared" si="127"/>
        <v>31400</v>
      </c>
      <c r="H2040" s="2200">
        <f>--SUBTOTAL(3,C$2:C2040)</f>
        <v>99</v>
      </c>
    </row>
    <row r="2041" spans="1:8" hidden="1" x14ac:dyDescent="0.15">
      <c r="A2041" s="2200" t="s">
        <v>10723</v>
      </c>
      <c r="B2041" s="2200" t="s">
        <v>14793</v>
      </c>
      <c r="C2041" s="2200" t="s">
        <v>14794</v>
      </c>
      <c r="D2041" s="2200" t="str">
        <f t="shared" si="124"/>
        <v>NC</v>
      </c>
      <c r="E2041" s="2200">
        <f t="shared" si="125"/>
        <v>19</v>
      </c>
      <c r="F2041" s="2200" t="str">
        <f t="shared" si="126"/>
        <v>37</v>
      </c>
      <c r="G2041" s="2200" t="str">
        <f t="shared" si="127"/>
        <v>32260</v>
      </c>
      <c r="H2041" s="2200">
        <f>--SUBTOTAL(3,C$2:C2041)</f>
        <v>99</v>
      </c>
    </row>
    <row r="2042" spans="1:8" hidden="1" x14ac:dyDescent="0.15">
      <c r="A2042" s="2200" t="s">
        <v>10723</v>
      </c>
      <c r="B2042" s="2200" t="s">
        <v>14795</v>
      </c>
      <c r="C2042" s="2200" t="s">
        <v>14796</v>
      </c>
      <c r="D2042" s="2200" t="str">
        <f t="shared" si="124"/>
        <v>NC</v>
      </c>
      <c r="E2042" s="2200">
        <f t="shared" si="125"/>
        <v>18</v>
      </c>
      <c r="F2042" s="2200" t="str">
        <f t="shared" si="126"/>
        <v>37</v>
      </c>
      <c r="G2042" s="2200" t="str">
        <f t="shared" si="127"/>
        <v>33120</v>
      </c>
      <c r="H2042" s="2200">
        <f>--SUBTOTAL(3,C$2:C2042)</f>
        <v>99</v>
      </c>
    </row>
    <row r="2043" spans="1:8" hidden="1" x14ac:dyDescent="0.15">
      <c r="A2043" s="2200" t="s">
        <v>10723</v>
      </c>
      <c r="B2043" s="2200" t="s">
        <v>14797</v>
      </c>
      <c r="C2043" s="2200" t="s">
        <v>14798</v>
      </c>
      <c r="D2043" s="2200" t="str">
        <f t="shared" si="124"/>
        <v>NC</v>
      </c>
      <c r="E2043" s="2200">
        <f t="shared" si="125"/>
        <v>18</v>
      </c>
      <c r="F2043" s="2200" t="str">
        <f t="shared" si="126"/>
        <v>37</v>
      </c>
      <c r="G2043" s="2200" t="str">
        <f t="shared" si="127"/>
        <v>33560</v>
      </c>
      <c r="H2043" s="2200">
        <f>--SUBTOTAL(3,C$2:C2043)</f>
        <v>99</v>
      </c>
    </row>
    <row r="2044" spans="1:8" hidden="1" x14ac:dyDescent="0.15">
      <c r="A2044" s="2200" t="s">
        <v>10723</v>
      </c>
      <c r="B2044" s="2200" t="s">
        <v>14799</v>
      </c>
      <c r="C2044" s="2200" t="s">
        <v>14800</v>
      </c>
      <c r="D2044" s="2200" t="str">
        <f t="shared" si="124"/>
        <v>NC</v>
      </c>
      <c r="E2044" s="2200">
        <f t="shared" si="125"/>
        <v>18</v>
      </c>
      <c r="F2044" s="2200" t="str">
        <f t="shared" si="126"/>
        <v>37</v>
      </c>
      <c r="G2044" s="2200" t="str">
        <f t="shared" si="127"/>
        <v>34200</v>
      </c>
      <c r="H2044" s="2200">
        <f>--SUBTOTAL(3,C$2:C2044)</f>
        <v>99</v>
      </c>
    </row>
    <row r="2045" spans="1:8" hidden="1" x14ac:dyDescent="0.15">
      <c r="A2045" s="2200" t="s">
        <v>10723</v>
      </c>
      <c r="B2045" s="2200" t="s">
        <v>14801</v>
      </c>
      <c r="C2045" s="2200" t="s">
        <v>14802</v>
      </c>
      <c r="D2045" s="2200" t="str">
        <f t="shared" si="124"/>
        <v>NC</v>
      </c>
      <c r="E2045" s="2200">
        <f t="shared" si="125"/>
        <v>16</v>
      </c>
      <c r="F2045" s="2200" t="str">
        <f t="shared" si="126"/>
        <v>37</v>
      </c>
      <c r="G2045" s="2200" t="str">
        <f t="shared" si="127"/>
        <v>35200</v>
      </c>
      <c r="H2045" s="2200">
        <f>--SUBTOTAL(3,C$2:C2045)</f>
        <v>99</v>
      </c>
    </row>
    <row r="2046" spans="1:8" hidden="1" x14ac:dyDescent="0.15">
      <c r="A2046" s="2200" t="s">
        <v>10723</v>
      </c>
      <c r="B2046" s="2200" t="s">
        <v>14803</v>
      </c>
      <c r="C2046" s="2200" t="s">
        <v>14804</v>
      </c>
      <c r="D2046" s="2200" t="str">
        <f t="shared" si="124"/>
        <v>NC</v>
      </c>
      <c r="E2046" s="2200">
        <f t="shared" si="125"/>
        <v>13</v>
      </c>
      <c r="F2046" s="2200" t="str">
        <f t="shared" si="126"/>
        <v>37</v>
      </c>
      <c r="G2046" s="2200" t="str">
        <f t="shared" si="127"/>
        <v>35920</v>
      </c>
      <c r="H2046" s="2200">
        <f>--SUBTOTAL(3,C$2:C2046)</f>
        <v>99</v>
      </c>
    </row>
    <row r="2047" spans="1:8" hidden="1" x14ac:dyDescent="0.15">
      <c r="A2047" s="2200" t="s">
        <v>10723</v>
      </c>
      <c r="B2047" s="2200" t="s">
        <v>14805</v>
      </c>
      <c r="C2047" s="2200" t="s">
        <v>14806</v>
      </c>
      <c r="D2047" s="2200" t="str">
        <f t="shared" si="124"/>
        <v>NC</v>
      </c>
      <c r="E2047" s="2200">
        <f t="shared" si="125"/>
        <v>14</v>
      </c>
      <c r="F2047" s="2200" t="str">
        <f t="shared" si="126"/>
        <v>37</v>
      </c>
      <c r="G2047" s="2200" t="str">
        <f t="shared" si="127"/>
        <v>41960</v>
      </c>
      <c r="H2047" s="2200">
        <f>--SUBTOTAL(3,C$2:C2047)</f>
        <v>99</v>
      </c>
    </row>
    <row r="2048" spans="1:8" hidden="1" x14ac:dyDescent="0.15">
      <c r="A2048" s="2200" t="s">
        <v>10723</v>
      </c>
      <c r="B2048" s="2200" t="s">
        <v>14807</v>
      </c>
      <c r="C2048" s="2200" t="s">
        <v>14808</v>
      </c>
      <c r="D2048" s="2200" t="str">
        <f t="shared" si="124"/>
        <v>NC</v>
      </c>
      <c r="E2048" s="2200">
        <f t="shared" si="125"/>
        <v>15</v>
      </c>
      <c r="F2048" s="2200" t="str">
        <f t="shared" si="126"/>
        <v>37</v>
      </c>
      <c r="G2048" s="2200" t="str">
        <f t="shared" si="127"/>
        <v>43480</v>
      </c>
      <c r="H2048" s="2200">
        <f>--SUBTOTAL(3,C$2:C2048)</f>
        <v>99</v>
      </c>
    </row>
    <row r="2049" spans="1:8" hidden="1" x14ac:dyDescent="0.15">
      <c r="A2049" s="2200" t="s">
        <v>10723</v>
      </c>
      <c r="B2049" s="2200" t="s">
        <v>14809</v>
      </c>
      <c r="C2049" s="2200" t="s">
        <v>14810</v>
      </c>
      <c r="D2049" s="2200" t="str">
        <f t="shared" si="124"/>
        <v>NC</v>
      </c>
      <c r="E2049" s="2200">
        <f t="shared" si="125"/>
        <v>12</v>
      </c>
      <c r="F2049" s="2200" t="str">
        <f t="shared" si="126"/>
        <v>37</v>
      </c>
      <c r="G2049" s="2200" t="str">
        <f t="shared" si="127"/>
        <v>43920</v>
      </c>
      <c r="H2049" s="2200">
        <f>--SUBTOTAL(3,C$2:C2049)</f>
        <v>99</v>
      </c>
    </row>
    <row r="2050" spans="1:8" hidden="1" x14ac:dyDescent="0.15">
      <c r="A2050" s="2200" t="s">
        <v>10723</v>
      </c>
      <c r="B2050" s="2200" t="s">
        <v>14811</v>
      </c>
      <c r="C2050" s="2200" t="s">
        <v>14812</v>
      </c>
      <c r="D2050" s="2200" t="str">
        <f t="shared" ref="D2050:D2113" si="128">MID(C2050,E2050+2,2)</f>
        <v>NC</v>
      </c>
      <c r="E2050" s="2200">
        <f t="shared" ref="E2050:E2113" si="129">FIND(",",C2050)</f>
        <v>17</v>
      </c>
      <c r="F2050" s="2200" t="str">
        <f t="shared" si="126"/>
        <v>37</v>
      </c>
      <c r="G2050" s="2200" t="str">
        <f t="shared" si="127"/>
        <v>44220</v>
      </c>
      <c r="H2050" s="2200">
        <f>--SUBTOTAL(3,C$2:C2050)</f>
        <v>99</v>
      </c>
    </row>
    <row r="2051" spans="1:8" hidden="1" x14ac:dyDescent="0.15">
      <c r="A2051" s="2200" t="s">
        <v>10723</v>
      </c>
      <c r="B2051" s="2200" t="s">
        <v>14813</v>
      </c>
      <c r="C2051" s="2200" t="s">
        <v>14814</v>
      </c>
      <c r="D2051" s="2200" t="str">
        <f t="shared" si="128"/>
        <v>NC</v>
      </c>
      <c r="E2051" s="2200">
        <f t="shared" si="129"/>
        <v>17</v>
      </c>
      <c r="F2051" s="2200" t="str">
        <f t="shared" ref="F2051:F2114" si="130">MID(B2051,3,2)</f>
        <v>37</v>
      </c>
      <c r="G2051" s="2200" t="str">
        <f t="shared" ref="G2051:G2114" si="131">MID(B2051,5,5)</f>
        <v>44520</v>
      </c>
      <c r="H2051" s="2200">
        <f>--SUBTOTAL(3,C$2:C2051)</f>
        <v>99</v>
      </c>
    </row>
    <row r="2052" spans="1:8" hidden="1" x14ac:dyDescent="0.15">
      <c r="A2052" s="2200" t="s">
        <v>10723</v>
      </c>
      <c r="B2052" s="2200" t="s">
        <v>14815</v>
      </c>
      <c r="C2052" s="2200" t="s">
        <v>14816</v>
      </c>
      <c r="D2052" s="2200" t="str">
        <f t="shared" si="128"/>
        <v>NC</v>
      </c>
      <c r="E2052" s="2200">
        <f t="shared" si="129"/>
        <v>14</v>
      </c>
      <c r="F2052" s="2200" t="str">
        <f t="shared" si="130"/>
        <v>37</v>
      </c>
      <c r="G2052" s="2200" t="str">
        <f t="shared" si="131"/>
        <v>46340</v>
      </c>
      <c r="H2052" s="2200">
        <f>--SUBTOTAL(3,C$2:C2052)</f>
        <v>99</v>
      </c>
    </row>
    <row r="2053" spans="1:8" hidden="1" x14ac:dyDescent="0.15">
      <c r="A2053" s="2200" t="s">
        <v>10723</v>
      </c>
      <c r="B2053" s="2200" t="s">
        <v>14817</v>
      </c>
      <c r="C2053" s="2200" t="s">
        <v>14818</v>
      </c>
      <c r="D2053" s="2200" t="str">
        <f t="shared" si="128"/>
        <v>NC</v>
      </c>
      <c r="E2053" s="2200">
        <f t="shared" si="129"/>
        <v>13</v>
      </c>
      <c r="F2053" s="2200" t="str">
        <f t="shared" si="130"/>
        <v>37</v>
      </c>
      <c r="G2053" s="2200" t="str">
        <f t="shared" si="131"/>
        <v>55000</v>
      </c>
      <c r="H2053" s="2200">
        <f>--SUBTOTAL(3,C$2:C2053)</f>
        <v>99</v>
      </c>
    </row>
    <row r="2054" spans="1:8" hidden="1" x14ac:dyDescent="0.15">
      <c r="A2054" s="2200" t="s">
        <v>10723</v>
      </c>
      <c r="B2054" s="2200" t="s">
        <v>14819</v>
      </c>
      <c r="C2054" s="2200" t="s">
        <v>14820</v>
      </c>
      <c r="D2054" s="2200" t="str">
        <f t="shared" si="128"/>
        <v>NC</v>
      </c>
      <c r="E2054" s="2200">
        <f t="shared" si="129"/>
        <v>17</v>
      </c>
      <c r="F2054" s="2200" t="str">
        <f t="shared" si="130"/>
        <v>37</v>
      </c>
      <c r="G2054" s="2200" t="str">
        <f t="shared" si="131"/>
        <v>57500</v>
      </c>
      <c r="H2054" s="2200">
        <f>--SUBTOTAL(3,C$2:C2054)</f>
        <v>99</v>
      </c>
    </row>
    <row r="2055" spans="1:8" hidden="1" x14ac:dyDescent="0.15">
      <c r="A2055" s="2200" t="s">
        <v>10723</v>
      </c>
      <c r="B2055" s="2200" t="s">
        <v>14821</v>
      </c>
      <c r="C2055" s="2200" t="s">
        <v>14822</v>
      </c>
      <c r="D2055" s="2200" t="str">
        <f t="shared" si="128"/>
        <v>NC</v>
      </c>
      <c r="E2055" s="2200">
        <f t="shared" si="129"/>
        <v>15</v>
      </c>
      <c r="F2055" s="2200" t="str">
        <f t="shared" si="130"/>
        <v>37</v>
      </c>
      <c r="G2055" s="2200" t="str">
        <f t="shared" si="131"/>
        <v>58860</v>
      </c>
      <c r="H2055" s="2200">
        <f>--SUBTOTAL(3,C$2:C2055)</f>
        <v>99</v>
      </c>
    </row>
    <row r="2056" spans="1:8" hidden="1" x14ac:dyDescent="0.15">
      <c r="A2056" s="2200" t="s">
        <v>10723</v>
      </c>
      <c r="B2056" s="2200" t="s">
        <v>14823</v>
      </c>
      <c r="C2056" s="2200" t="s">
        <v>14824</v>
      </c>
      <c r="D2056" s="2200" t="str">
        <f t="shared" si="128"/>
        <v>NC</v>
      </c>
      <c r="E2056" s="2200">
        <f t="shared" si="129"/>
        <v>13</v>
      </c>
      <c r="F2056" s="2200" t="str">
        <f t="shared" si="130"/>
        <v>37</v>
      </c>
      <c r="G2056" s="2200" t="str">
        <f t="shared" si="131"/>
        <v>59280</v>
      </c>
      <c r="H2056" s="2200">
        <f>--SUBTOTAL(3,C$2:C2056)</f>
        <v>99</v>
      </c>
    </row>
    <row r="2057" spans="1:8" hidden="1" x14ac:dyDescent="0.15">
      <c r="A2057" s="2200" t="s">
        <v>10723</v>
      </c>
      <c r="B2057" s="2200" t="s">
        <v>14825</v>
      </c>
      <c r="C2057" s="2200" t="s">
        <v>14826</v>
      </c>
      <c r="D2057" s="2200" t="str">
        <f t="shared" si="128"/>
        <v>NC</v>
      </c>
      <c r="E2057" s="2200">
        <f t="shared" si="129"/>
        <v>17</v>
      </c>
      <c r="F2057" s="2200" t="str">
        <f t="shared" si="130"/>
        <v>37</v>
      </c>
      <c r="G2057" s="2200" t="str">
        <f t="shared" si="131"/>
        <v>64740</v>
      </c>
      <c r="H2057" s="2200">
        <f>--SUBTOTAL(3,C$2:C2057)</f>
        <v>99</v>
      </c>
    </row>
    <row r="2058" spans="1:8" hidden="1" x14ac:dyDescent="0.15">
      <c r="A2058" s="2200" t="s">
        <v>10723</v>
      </c>
      <c r="B2058" s="2200" t="s">
        <v>14827</v>
      </c>
      <c r="C2058" s="2200" t="s">
        <v>14828</v>
      </c>
      <c r="D2058" s="2200" t="str">
        <f t="shared" si="128"/>
        <v>NC</v>
      </c>
      <c r="E2058" s="2200">
        <f t="shared" si="129"/>
        <v>17</v>
      </c>
      <c r="F2058" s="2200" t="str">
        <f t="shared" si="130"/>
        <v>37</v>
      </c>
      <c r="G2058" s="2200" t="str">
        <f t="shared" si="131"/>
        <v>67420</v>
      </c>
      <c r="H2058" s="2200">
        <f>--SUBTOTAL(3,C$2:C2058)</f>
        <v>99</v>
      </c>
    </row>
    <row r="2059" spans="1:8" hidden="1" x14ac:dyDescent="0.15">
      <c r="A2059" s="2200" t="s">
        <v>10723</v>
      </c>
      <c r="B2059" s="2200" t="s">
        <v>14829</v>
      </c>
      <c r="C2059" s="2200" t="s">
        <v>14830</v>
      </c>
      <c r="D2059" s="2200" t="str">
        <f t="shared" si="128"/>
        <v>NC</v>
      </c>
      <c r="E2059" s="2200">
        <f t="shared" si="129"/>
        <v>17</v>
      </c>
      <c r="F2059" s="2200" t="str">
        <f t="shared" si="130"/>
        <v>37</v>
      </c>
      <c r="G2059" s="2200" t="str">
        <f t="shared" si="131"/>
        <v>70540</v>
      </c>
      <c r="H2059" s="2200">
        <f>--SUBTOTAL(3,C$2:C2059)</f>
        <v>99</v>
      </c>
    </row>
    <row r="2060" spans="1:8" hidden="1" x14ac:dyDescent="0.15">
      <c r="A2060" s="2200" t="s">
        <v>10723</v>
      </c>
      <c r="B2060" s="2200" t="s">
        <v>14831</v>
      </c>
      <c r="C2060" s="2200" t="s">
        <v>14832</v>
      </c>
      <c r="D2060" s="2200" t="str">
        <f t="shared" si="128"/>
        <v>NC</v>
      </c>
      <c r="E2060" s="2200">
        <f t="shared" si="129"/>
        <v>16</v>
      </c>
      <c r="F2060" s="2200" t="str">
        <f t="shared" si="130"/>
        <v>37</v>
      </c>
      <c r="G2060" s="2200" t="str">
        <f t="shared" si="131"/>
        <v>74440</v>
      </c>
      <c r="H2060" s="2200">
        <f>--SUBTOTAL(3,C$2:C2060)</f>
        <v>99</v>
      </c>
    </row>
    <row r="2061" spans="1:8" hidden="1" x14ac:dyDescent="0.15">
      <c r="A2061" s="2200" t="s">
        <v>10723</v>
      </c>
      <c r="B2061" s="2200" t="s">
        <v>14833</v>
      </c>
      <c r="C2061" s="2200" t="s">
        <v>14834</v>
      </c>
      <c r="D2061" s="2200" t="str">
        <f t="shared" si="128"/>
        <v>NC</v>
      </c>
      <c r="E2061" s="2200">
        <f t="shared" si="129"/>
        <v>12</v>
      </c>
      <c r="F2061" s="2200" t="str">
        <f t="shared" si="130"/>
        <v>37</v>
      </c>
      <c r="G2061" s="2200" t="str">
        <f t="shared" si="131"/>
        <v>74540</v>
      </c>
      <c r="H2061" s="2200">
        <f>--SUBTOTAL(3,C$2:C2061)</f>
        <v>99</v>
      </c>
    </row>
    <row r="2062" spans="1:8" hidden="1" x14ac:dyDescent="0.15">
      <c r="A2062" s="2200" t="s">
        <v>10723</v>
      </c>
      <c r="B2062" s="2200" t="s">
        <v>14835</v>
      </c>
      <c r="C2062" s="2200" t="s">
        <v>14836</v>
      </c>
      <c r="D2062" s="2200" t="str">
        <f t="shared" si="128"/>
        <v>NC</v>
      </c>
      <c r="E2062" s="2200">
        <f t="shared" si="129"/>
        <v>19</v>
      </c>
      <c r="F2062" s="2200" t="str">
        <f t="shared" si="130"/>
        <v>37</v>
      </c>
      <c r="G2062" s="2200" t="str">
        <f t="shared" si="131"/>
        <v>75000</v>
      </c>
      <c r="H2062" s="2200">
        <f>--SUBTOTAL(3,C$2:C2062)</f>
        <v>99</v>
      </c>
    </row>
    <row r="2063" spans="1:8" hidden="1" x14ac:dyDescent="0.15">
      <c r="A2063" s="2200" t="s">
        <v>10723</v>
      </c>
      <c r="B2063" s="2200" t="s">
        <v>14837</v>
      </c>
      <c r="C2063" s="2200" t="s">
        <v>14838</v>
      </c>
      <c r="D2063" s="2200" t="str">
        <f t="shared" si="128"/>
        <v>ND</v>
      </c>
      <c r="E2063" s="2200">
        <f t="shared" si="129"/>
        <v>14</v>
      </c>
      <c r="F2063" s="2200" t="str">
        <f t="shared" si="130"/>
        <v>38</v>
      </c>
      <c r="G2063" s="2200" t="str">
        <f t="shared" si="131"/>
        <v>07200</v>
      </c>
      <c r="H2063" s="2200">
        <f>--SUBTOTAL(3,C$2:C2063)</f>
        <v>99</v>
      </c>
    </row>
    <row r="2064" spans="1:8" hidden="1" x14ac:dyDescent="0.15">
      <c r="A2064" s="2200" t="s">
        <v>10723</v>
      </c>
      <c r="B2064" s="2200" t="s">
        <v>14839</v>
      </c>
      <c r="C2064" s="2200" t="s">
        <v>14840</v>
      </c>
      <c r="D2064" s="2200" t="str">
        <f t="shared" si="128"/>
        <v>ND</v>
      </c>
      <c r="E2064" s="2200">
        <f t="shared" si="129"/>
        <v>11</v>
      </c>
      <c r="F2064" s="2200" t="str">
        <f t="shared" si="130"/>
        <v>38</v>
      </c>
      <c r="G2064" s="2200" t="str">
        <f t="shared" si="131"/>
        <v>25700</v>
      </c>
      <c r="H2064" s="2200">
        <f>--SUBTOTAL(3,C$2:C2064)</f>
        <v>99</v>
      </c>
    </row>
    <row r="2065" spans="1:8" hidden="1" x14ac:dyDescent="0.15">
      <c r="A2065" s="2200" t="s">
        <v>10723</v>
      </c>
      <c r="B2065" s="2200" t="s">
        <v>14841</v>
      </c>
      <c r="C2065" s="2200" t="s">
        <v>14842</v>
      </c>
      <c r="D2065" s="2200" t="str">
        <f t="shared" si="128"/>
        <v>ND</v>
      </c>
      <c r="E2065" s="2200">
        <f t="shared" si="129"/>
        <v>17</v>
      </c>
      <c r="F2065" s="2200" t="str">
        <f t="shared" si="130"/>
        <v>38</v>
      </c>
      <c r="G2065" s="2200" t="str">
        <f t="shared" si="131"/>
        <v>32060</v>
      </c>
      <c r="H2065" s="2200">
        <f>--SUBTOTAL(3,C$2:C2065)</f>
        <v>99</v>
      </c>
    </row>
    <row r="2066" spans="1:8" hidden="1" x14ac:dyDescent="0.15">
      <c r="A2066" s="2200" t="s">
        <v>10723</v>
      </c>
      <c r="B2066" s="2200" t="s">
        <v>14843</v>
      </c>
      <c r="C2066" s="2200" t="s">
        <v>14844</v>
      </c>
      <c r="D2066" s="2200" t="str">
        <f t="shared" si="128"/>
        <v>ND</v>
      </c>
      <c r="E2066" s="2200">
        <f t="shared" si="129"/>
        <v>11</v>
      </c>
      <c r="F2066" s="2200" t="str">
        <f t="shared" si="130"/>
        <v>38</v>
      </c>
      <c r="G2066" s="2200" t="str">
        <f t="shared" si="131"/>
        <v>53380</v>
      </c>
      <c r="H2066" s="2200">
        <f>--SUBTOTAL(3,C$2:C2066)</f>
        <v>99</v>
      </c>
    </row>
    <row r="2067" spans="1:8" hidden="1" x14ac:dyDescent="0.15">
      <c r="A2067" s="2200" t="s">
        <v>10723</v>
      </c>
      <c r="B2067" s="2200" t="s">
        <v>14845</v>
      </c>
      <c r="C2067" s="2200" t="s">
        <v>14846</v>
      </c>
      <c r="D2067" s="2200" t="str">
        <f t="shared" si="128"/>
        <v>ND</v>
      </c>
      <c r="E2067" s="2200">
        <f t="shared" si="129"/>
        <v>16</v>
      </c>
      <c r="F2067" s="2200" t="str">
        <f t="shared" si="130"/>
        <v>38</v>
      </c>
      <c r="G2067" s="2200" t="str">
        <f t="shared" si="131"/>
        <v>84780</v>
      </c>
      <c r="H2067" s="2200">
        <f>--SUBTOTAL(3,C$2:C2067)</f>
        <v>99</v>
      </c>
    </row>
    <row r="2068" spans="1:8" hidden="1" x14ac:dyDescent="0.15">
      <c r="A2068" s="2200" t="s">
        <v>10723</v>
      </c>
      <c r="B2068" s="2200" t="s">
        <v>14847</v>
      </c>
      <c r="C2068" s="2200" t="s">
        <v>14848</v>
      </c>
      <c r="D2068" s="2200" t="str">
        <f t="shared" si="128"/>
        <v>ND</v>
      </c>
      <c r="E2068" s="2200">
        <f t="shared" si="129"/>
        <v>15</v>
      </c>
      <c r="F2068" s="2200" t="str">
        <f t="shared" si="130"/>
        <v>38</v>
      </c>
      <c r="G2068" s="2200" t="str">
        <f t="shared" si="131"/>
        <v>86220</v>
      </c>
      <c r="H2068" s="2200">
        <f>--SUBTOTAL(3,C$2:C2068)</f>
        <v>99</v>
      </c>
    </row>
    <row r="2069" spans="1:8" hidden="1" x14ac:dyDescent="0.15">
      <c r="A2069" s="2200" t="s">
        <v>10723</v>
      </c>
      <c r="B2069" s="2200" t="s">
        <v>14849</v>
      </c>
      <c r="C2069" s="2200" t="s">
        <v>14850</v>
      </c>
      <c r="D2069" s="2200" t="str">
        <f t="shared" si="128"/>
        <v>NE</v>
      </c>
      <c r="E2069" s="2200">
        <f t="shared" si="129"/>
        <v>14</v>
      </c>
      <c r="F2069" s="2200" t="str">
        <f t="shared" si="130"/>
        <v>31</v>
      </c>
      <c r="G2069" s="2200" t="str">
        <f t="shared" si="131"/>
        <v>03950</v>
      </c>
      <c r="H2069" s="2200">
        <f>--SUBTOTAL(3,C$2:C2069)</f>
        <v>99</v>
      </c>
    </row>
    <row r="2070" spans="1:8" hidden="1" x14ac:dyDescent="0.15">
      <c r="A2070" s="2200" t="s">
        <v>10723</v>
      </c>
      <c r="B2070" s="2200" t="s">
        <v>14851</v>
      </c>
      <c r="C2070" s="2200" t="s">
        <v>14852</v>
      </c>
      <c r="D2070" s="2200" t="str">
        <f t="shared" si="128"/>
        <v>NE</v>
      </c>
      <c r="E2070" s="2200">
        <f t="shared" si="129"/>
        <v>13</v>
      </c>
      <c r="F2070" s="2200" t="str">
        <f t="shared" si="130"/>
        <v>31</v>
      </c>
      <c r="G2070" s="2200" t="str">
        <f t="shared" si="131"/>
        <v>17670</v>
      </c>
      <c r="H2070" s="2200">
        <f>--SUBTOTAL(3,C$2:C2070)</f>
        <v>99</v>
      </c>
    </row>
    <row r="2071" spans="1:8" hidden="1" x14ac:dyDescent="0.15">
      <c r="A2071" s="2200" t="s">
        <v>10723</v>
      </c>
      <c r="B2071" s="2200" t="s">
        <v>14853</v>
      </c>
      <c r="C2071" s="2200" t="s">
        <v>14854</v>
      </c>
      <c r="D2071" s="2200" t="str">
        <f t="shared" si="128"/>
        <v>NE</v>
      </c>
      <c r="E2071" s="2200">
        <f t="shared" si="129"/>
        <v>18</v>
      </c>
      <c r="F2071" s="2200" t="str">
        <f t="shared" si="130"/>
        <v>31</v>
      </c>
      <c r="G2071" s="2200" t="str">
        <f t="shared" si="131"/>
        <v>19595</v>
      </c>
      <c r="H2071" s="2200">
        <f>--SUBTOTAL(3,C$2:C2071)</f>
        <v>99</v>
      </c>
    </row>
    <row r="2072" spans="1:8" hidden="1" x14ac:dyDescent="0.15">
      <c r="A2072" s="2200" t="s">
        <v>10723</v>
      </c>
      <c r="B2072" s="2200" t="s">
        <v>14855</v>
      </c>
      <c r="C2072" s="2200" t="s">
        <v>14856</v>
      </c>
      <c r="D2072" s="2200" t="str">
        <f t="shared" si="128"/>
        <v>NE</v>
      </c>
      <c r="E2072" s="2200">
        <f t="shared" si="129"/>
        <v>14</v>
      </c>
      <c r="F2072" s="2200" t="str">
        <f t="shared" si="130"/>
        <v>31</v>
      </c>
      <c r="G2072" s="2200" t="str">
        <f t="shared" si="131"/>
        <v>21415</v>
      </c>
      <c r="H2072" s="2200">
        <f>--SUBTOTAL(3,C$2:C2072)</f>
        <v>99</v>
      </c>
    </row>
    <row r="2073" spans="1:8" hidden="1" x14ac:dyDescent="0.15">
      <c r="A2073" s="2200" t="s">
        <v>10723</v>
      </c>
      <c r="B2073" s="2200" t="s">
        <v>14857</v>
      </c>
      <c r="C2073" s="2200" t="s">
        <v>14858</v>
      </c>
      <c r="D2073" s="2200" t="str">
        <f t="shared" si="128"/>
        <v>NE</v>
      </c>
      <c r="E2073" s="2200">
        <f t="shared" si="129"/>
        <v>13</v>
      </c>
      <c r="F2073" s="2200" t="str">
        <f t="shared" si="130"/>
        <v>31</v>
      </c>
      <c r="G2073" s="2200" t="str">
        <f t="shared" si="131"/>
        <v>25055</v>
      </c>
      <c r="H2073" s="2200">
        <f>--SUBTOTAL(3,C$2:C2073)</f>
        <v>99</v>
      </c>
    </row>
    <row r="2074" spans="1:8" hidden="1" x14ac:dyDescent="0.15">
      <c r="A2074" s="2200" t="s">
        <v>10723</v>
      </c>
      <c r="B2074" s="2200" t="s">
        <v>14859</v>
      </c>
      <c r="C2074" s="2200" t="s">
        <v>14860</v>
      </c>
      <c r="D2074" s="2200" t="str">
        <f t="shared" si="128"/>
        <v>NE</v>
      </c>
      <c r="E2074" s="2200">
        <f t="shared" si="129"/>
        <v>13</v>
      </c>
      <c r="F2074" s="2200" t="str">
        <f t="shared" si="130"/>
        <v>31</v>
      </c>
      <c r="G2074" s="2200" t="str">
        <f t="shared" si="131"/>
        <v>28000</v>
      </c>
      <c r="H2074" s="2200">
        <f>--SUBTOTAL(3,C$2:C2074)</f>
        <v>99</v>
      </c>
    </row>
    <row r="2075" spans="1:8" hidden="1" x14ac:dyDescent="0.15">
      <c r="A2075" s="2200" t="s">
        <v>10723</v>
      </c>
      <c r="B2075" s="2200" t="s">
        <v>14861</v>
      </c>
      <c r="C2075" s="2200" t="s">
        <v>14862</v>
      </c>
      <c r="D2075" s="2200" t="str">
        <f t="shared" si="128"/>
        <v>NE</v>
      </c>
      <c r="E2075" s="2200">
        <f t="shared" si="129"/>
        <v>11</v>
      </c>
      <c r="F2075" s="2200" t="str">
        <f t="shared" si="130"/>
        <v>31</v>
      </c>
      <c r="G2075" s="2200" t="str">
        <f t="shared" si="131"/>
        <v>37000</v>
      </c>
      <c r="H2075" s="2200">
        <f>--SUBTOTAL(3,C$2:C2075)</f>
        <v>99</v>
      </c>
    </row>
    <row r="2076" spans="1:8" hidden="1" x14ac:dyDescent="0.15">
      <c r="A2076" s="2200" t="s">
        <v>11443</v>
      </c>
      <c r="B2076" s="2200" t="s">
        <v>14863</v>
      </c>
      <c r="C2076" s="2200" t="s">
        <v>14864</v>
      </c>
      <c r="D2076" s="2200" t="str">
        <f t="shared" si="128"/>
        <v>NE</v>
      </c>
      <c r="E2076" s="2200">
        <f t="shared" si="129"/>
        <v>21</v>
      </c>
      <c r="F2076" s="2200" t="str">
        <f t="shared" si="130"/>
        <v>31</v>
      </c>
      <c r="G2076" s="2200" t="str">
        <f t="shared" si="131"/>
        <v>82500</v>
      </c>
      <c r="H2076" s="2200">
        <f>--SUBTOTAL(3,C$2:C2076)</f>
        <v>99</v>
      </c>
    </row>
    <row r="2077" spans="1:8" hidden="1" x14ac:dyDescent="0.15">
      <c r="A2077" s="2200" t="s">
        <v>11502</v>
      </c>
      <c r="B2077" s="2200" t="s">
        <v>14865</v>
      </c>
      <c r="C2077" s="2200" t="s">
        <v>14866</v>
      </c>
      <c r="D2077" s="2200" t="str">
        <f t="shared" si="128"/>
        <v>NH</v>
      </c>
      <c r="E2077" s="2200">
        <f t="shared" si="129"/>
        <v>13</v>
      </c>
      <c r="F2077" s="2200" t="str">
        <f t="shared" si="130"/>
        <v>33</v>
      </c>
      <c r="G2077" s="2200" t="str">
        <f t="shared" si="131"/>
        <v>00260</v>
      </c>
      <c r="H2077" s="2200">
        <f>--SUBTOTAL(3,C$2:C2077)</f>
        <v>99</v>
      </c>
    </row>
    <row r="2078" spans="1:8" hidden="1" x14ac:dyDescent="0.15">
      <c r="A2078" s="2200" t="s">
        <v>11502</v>
      </c>
      <c r="B2078" s="2200" t="s">
        <v>14867</v>
      </c>
      <c r="C2078" s="2200" t="s">
        <v>14868</v>
      </c>
      <c r="D2078" s="2200" t="str">
        <f t="shared" si="128"/>
        <v>NH</v>
      </c>
      <c r="E2078" s="2200">
        <f t="shared" si="129"/>
        <v>12</v>
      </c>
      <c r="F2078" s="2200" t="str">
        <f t="shared" si="130"/>
        <v>33</v>
      </c>
      <c r="G2078" s="2200" t="str">
        <f t="shared" si="131"/>
        <v>00420</v>
      </c>
      <c r="H2078" s="2200">
        <f>--SUBTOTAL(3,C$2:C2078)</f>
        <v>99</v>
      </c>
    </row>
    <row r="2079" spans="1:8" hidden="1" x14ac:dyDescent="0.15">
      <c r="A2079" s="2200" t="s">
        <v>11502</v>
      </c>
      <c r="B2079" s="2200" t="s">
        <v>14869</v>
      </c>
      <c r="C2079" s="2200" t="s">
        <v>14870</v>
      </c>
      <c r="D2079" s="2200" t="str">
        <f t="shared" si="128"/>
        <v>NH</v>
      </c>
      <c r="E2079" s="2200">
        <f t="shared" si="129"/>
        <v>16</v>
      </c>
      <c r="F2079" s="2200" t="str">
        <f t="shared" si="130"/>
        <v>33</v>
      </c>
      <c r="G2079" s="2200" t="str">
        <f t="shared" si="131"/>
        <v>00580</v>
      </c>
      <c r="H2079" s="2200">
        <f>--SUBTOTAL(3,C$2:C2079)</f>
        <v>99</v>
      </c>
    </row>
    <row r="2080" spans="1:8" hidden="1" x14ac:dyDescent="0.15">
      <c r="A2080" s="2200" t="s">
        <v>11502</v>
      </c>
      <c r="B2080" s="2200" t="s">
        <v>14871</v>
      </c>
      <c r="C2080" s="2200" t="s">
        <v>14872</v>
      </c>
      <c r="D2080" s="2200" t="str">
        <f t="shared" si="128"/>
        <v>NH</v>
      </c>
      <c r="E2080" s="2200">
        <f t="shared" si="129"/>
        <v>16</v>
      </c>
      <c r="F2080" s="2200" t="str">
        <f t="shared" si="130"/>
        <v>33</v>
      </c>
      <c r="G2080" s="2200" t="str">
        <f t="shared" si="131"/>
        <v>00660</v>
      </c>
      <c r="H2080" s="2200">
        <f>--SUBTOTAL(3,C$2:C2080)</f>
        <v>99</v>
      </c>
    </row>
    <row r="2081" spans="1:8" hidden="1" x14ac:dyDescent="0.15">
      <c r="A2081" s="2200" t="s">
        <v>11502</v>
      </c>
      <c r="B2081" s="2200" t="s">
        <v>14873</v>
      </c>
      <c r="C2081" s="2200" t="s">
        <v>14874</v>
      </c>
      <c r="D2081" s="2200" t="str">
        <f t="shared" si="128"/>
        <v>NH</v>
      </c>
      <c r="E2081" s="2200">
        <f t="shared" si="129"/>
        <v>13</v>
      </c>
      <c r="F2081" s="2200" t="str">
        <f t="shared" si="130"/>
        <v>33</v>
      </c>
      <c r="G2081" s="2200" t="str">
        <f t="shared" si="131"/>
        <v>00820</v>
      </c>
      <c r="H2081" s="2200">
        <f>--SUBTOTAL(3,C$2:C2081)</f>
        <v>99</v>
      </c>
    </row>
    <row r="2082" spans="1:8" hidden="1" x14ac:dyDescent="0.15">
      <c r="A2082" s="2200" t="s">
        <v>11502</v>
      </c>
      <c r="B2082" s="2200" t="s">
        <v>14875</v>
      </c>
      <c r="C2082" s="2200" t="s">
        <v>14876</v>
      </c>
      <c r="D2082" s="2200" t="str">
        <f t="shared" si="128"/>
        <v>NH</v>
      </c>
      <c r="E2082" s="2200">
        <f t="shared" si="129"/>
        <v>11</v>
      </c>
      <c r="F2082" s="2200" t="str">
        <f t="shared" si="130"/>
        <v>33</v>
      </c>
      <c r="G2082" s="2200" t="str">
        <f t="shared" si="131"/>
        <v>01060</v>
      </c>
      <c r="H2082" s="2200">
        <f>--SUBTOTAL(3,C$2:C2082)</f>
        <v>99</v>
      </c>
    </row>
    <row r="2083" spans="1:8" hidden="1" x14ac:dyDescent="0.15">
      <c r="A2083" s="2200" t="s">
        <v>11502</v>
      </c>
      <c r="B2083" s="2200" t="s">
        <v>14877</v>
      </c>
      <c r="C2083" s="2200" t="s">
        <v>14878</v>
      </c>
      <c r="D2083" s="2200" t="str">
        <f t="shared" si="128"/>
        <v>NH</v>
      </c>
      <c r="E2083" s="2200">
        <f t="shared" si="129"/>
        <v>13</v>
      </c>
      <c r="F2083" s="2200" t="str">
        <f t="shared" si="130"/>
        <v>33</v>
      </c>
      <c r="G2083" s="2200" t="str">
        <f t="shared" si="131"/>
        <v>01300</v>
      </c>
      <c r="H2083" s="2200">
        <f>--SUBTOTAL(3,C$2:C2083)</f>
        <v>99</v>
      </c>
    </row>
    <row r="2084" spans="1:8" hidden="1" x14ac:dyDescent="0.15">
      <c r="A2084" s="2200" t="s">
        <v>11502</v>
      </c>
      <c r="B2084" s="2200" t="s">
        <v>14879</v>
      </c>
      <c r="C2084" s="2200" t="s">
        <v>14880</v>
      </c>
      <c r="D2084" s="2200" t="str">
        <f t="shared" si="128"/>
        <v>NH</v>
      </c>
      <c r="E2084" s="2200">
        <f t="shared" si="129"/>
        <v>13</v>
      </c>
      <c r="F2084" s="2200" t="str">
        <f t="shared" si="130"/>
        <v>33</v>
      </c>
      <c r="G2084" s="2200" t="str">
        <f t="shared" si="131"/>
        <v>01460</v>
      </c>
      <c r="H2084" s="2200">
        <f>--SUBTOTAL(3,C$2:C2084)</f>
        <v>99</v>
      </c>
    </row>
    <row r="2085" spans="1:8" hidden="1" x14ac:dyDescent="0.15">
      <c r="A2085" s="2200" t="s">
        <v>11502</v>
      </c>
      <c r="B2085" s="2200" t="s">
        <v>14881</v>
      </c>
      <c r="C2085" s="2200" t="s">
        <v>14882</v>
      </c>
      <c r="D2085" s="2200" t="str">
        <f t="shared" si="128"/>
        <v>NH</v>
      </c>
      <c r="E2085" s="2200">
        <f t="shared" si="129"/>
        <v>12</v>
      </c>
      <c r="F2085" s="2200" t="str">
        <f t="shared" si="130"/>
        <v>33</v>
      </c>
      <c r="G2085" s="2200" t="str">
        <f t="shared" si="131"/>
        <v>01700</v>
      </c>
      <c r="H2085" s="2200">
        <f>--SUBTOTAL(3,C$2:C2085)</f>
        <v>99</v>
      </c>
    </row>
    <row r="2086" spans="1:8" hidden="1" x14ac:dyDescent="0.15">
      <c r="A2086" s="2200" t="s">
        <v>11502</v>
      </c>
      <c r="B2086" s="2200" t="s">
        <v>14883</v>
      </c>
      <c r="C2086" s="2200" t="s">
        <v>14884</v>
      </c>
      <c r="D2086" s="2200" t="str">
        <f t="shared" si="128"/>
        <v>NH</v>
      </c>
      <c r="E2086" s="2200">
        <f t="shared" si="129"/>
        <v>13</v>
      </c>
      <c r="F2086" s="2200" t="str">
        <f t="shared" si="130"/>
        <v>33</v>
      </c>
      <c r="G2086" s="2200" t="str">
        <f t="shared" si="131"/>
        <v>02020</v>
      </c>
      <c r="H2086" s="2200">
        <f>--SUBTOTAL(3,C$2:C2086)</f>
        <v>99</v>
      </c>
    </row>
    <row r="2087" spans="1:8" hidden="1" x14ac:dyDescent="0.15">
      <c r="A2087" s="2200" t="s">
        <v>11502</v>
      </c>
      <c r="B2087" s="2200" t="s">
        <v>14885</v>
      </c>
      <c r="C2087" s="2200" t="s">
        <v>14886</v>
      </c>
      <c r="D2087" s="2200" t="str">
        <f t="shared" si="128"/>
        <v>NH</v>
      </c>
      <c r="E2087" s="2200">
        <f t="shared" si="129"/>
        <v>14</v>
      </c>
      <c r="F2087" s="2200" t="str">
        <f t="shared" si="130"/>
        <v>33</v>
      </c>
      <c r="G2087" s="2200" t="str">
        <f t="shared" si="131"/>
        <v>02340</v>
      </c>
      <c r="H2087" s="2200">
        <f>--SUBTOTAL(3,C$2:C2087)</f>
        <v>99</v>
      </c>
    </row>
    <row r="2088" spans="1:8" hidden="1" x14ac:dyDescent="0.15">
      <c r="A2088" s="2200" t="s">
        <v>11502</v>
      </c>
      <c r="B2088" s="2200" t="s">
        <v>14887</v>
      </c>
      <c r="C2088" s="2200" t="s">
        <v>14888</v>
      </c>
      <c r="D2088" s="2200" t="str">
        <f t="shared" si="128"/>
        <v>NH</v>
      </c>
      <c r="E2088" s="2200">
        <f t="shared" si="129"/>
        <v>12</v>
      </c>
      <c r="F2088" s="2200" t="str">
        <f t="shared" si="130"/>
        <v>33</v>
      </c>
      <c r="G2088" s="2200" t="str">
        <f t="shared" si="131"/>
        <v>02820</v>
      </c>
      <c r="H2088" s="2200">
        <f>--SUBTOTAL(3,C$2:C2088)</f>
        <v>99</v>
      </c>
    </row>
    <row r="2089" spans="1:8" hidden="1" x14ac:dyDescent="0.15">
      <c r="A2089" s="2200" t="s">
        <v>11502</v>
      </c>
      <c r="B2089" s="2200" t="s">
        <v>14889</v>
      </c>
      <c r="C2089" s="2200" t="s">
        <v>14890</v>
      </c>
      <c r="D2089" s="2200" t="str">
        <f t="shared" si="128"/>
        <v>NH</v>
      </c>
      <c r="E2089" s="2200">
        <f t="shared" si="129"/>
        <v>15</v>
      </c>
      <c r="F2089" s="2200" t="str">
        <f t="shared" si="130"/>
        <v>33</v>
      </c>
      <c r="G2089" s="2200" t="str">
        <f t="shared" si="131"/>
        <v>03220</v>
      </c>
      <c r="H2089" s="2200">
        <f>--SUBTOTAL(3,C$2:C2089)</f>
        <v>99</v>
      </c>
    </row>
    <row r="2090" spans="1:8" hidden="1" x14ac:dyDescent="0.15">
      <c r="A2090" s="2200" t="s">
        <v>11502</v>
      </c>
      <c r="B2090" s="2200" t="s">
        <v>14891</v>
      </c>
      <c r="C2090" s="2200" t="s">
        <v>14892</v>
      </c>
      <c r="D2090" s="2200" t="str">
        <f t="shared" si="128"/>
        <v>NH</v>
      </c>
      <c r="E2090" s="2200">
        <f t="shared" si="129"/>
        <v>16</v>
      </c>
      <c r="F2090" s="2200" t="str">
        <f t="shared" si="130"/>
        <v>33</v>
      </c>
      <c r="G2090" s="2200" t="str">
        <f t="shared" si="131"/>
        <v>03460</v>
      </c>
      <c r="H2090" s="2200">
        <f>--SUBTOTAL(3,C$2:C2090)</f>
        <v>99</v>
      </c>
    </row>
    <row r="2091" spans="1:8" hidden="1" x14ac:dyDescent="0.15">
      <c r="A2091" s="2200" t="s">
        <v>11502</v>
      </c>
      <c r="B2091" s="2200" t="s">
        <v>14893</v>
      </c>
      <c r="C2091" s="2200" t="s">
        <v>14894</v>
      </c>
      <c r="D2091" s="2200" t="str">
        <f t="shared" si="128"/>
        <v>NH</v>
      </c>
      <c r="E2091" s="2200">
        <f t="shared" si="129"/>
        <v>14</v>
      </c>
      <c r="F2091" s="2200" t="str">
        <f t="shared" si="130"/>
        <v>33</v>
      </c>
      <c r="G2091" s="2200" t="str">
        <f t="shared" si="131"/>
        <v>03700</v>
      </c>
      <c r="H2091" s="2200">
        <f>--SUBTOTAL(3,C$2:C2091)</f>
        <v>99</v>
      </c>
    </row>
    <row r="2092" spans="1:8" hidden="1" x14ac:dyDescent="0.15">
      <c r="A2092" s="2200" t="s">
        <v>11502</v>
      </c>
      <c r="B2092" s="2200" t="s">
        <v>14895</v>
      </c>
      <c r="C2092" s="2200" t="s">
        <v>14896</v>
      </c>
      <c r="D2092" s="2200" t="str">
        <f t="shared" si="128"/>
        <v>NH</v>
      </c>
      <c r="E2092" s="2200">
        <f t="shared" si="129"/>
        <v>10</v>
      </c>
      <c r="F2092" s="2200" t="str">
        <f t="shared" si="130"/>
        <v>33</v>
      </c>
      <c r="G2092" s="2200" t="str">
        <f t="shared" si="131"/>
        <v>03940</v>
      </c>
      <c r="H2092" s="2200">
        <f>--SUBTOTAL(3,C$2:C2092)</f>
        <v>99</v>
      </c>
    </row>
    <row r="2093" spans="1:8" hidden="1" x14ac:dyDescent="0.15">
      <c r="A2093" s="2200" t="s">
        <v>11502</v>
      </c>
      <c r="B2093" s="2200" t="s">
        <v>14897</v>
      </c>
      <c r="C2093" s="2200" t="s">
        <v>14898</v>
      </c>
      <c r="D2093" s="2200" t="str">
        <f t="shared" si="128"/>
        <v>NH</v>
      </c>
      <c r="E2093" s="2200">
        <f t="shared" si="129"/>
        <v>13</v>
      </c>
      <c r="F2093" s="2200" t="str">
        <f t="shared" si="130"/>
        <v>33</v>
      </c>
      <c r="G2093" s="2200" t="str">
        <f t="shared" si="131"/>
        <v>04500</v>
      </c>
      <c r="H2093" s="2200">
        <f>--SUBTOTAL(3,C$2:C2093)</f>
        <v>99</v>
      </c>
    </row>
    <row r="2094" spans="1:8" hidden="1" x14ac:dyDescent="0.15">
      <c r="A2094" s="2200" t="s">
        <v>11502</v>
      </c>
      <c r="B2094" s="2200" t="s">
        <v>14899</v>
      </c>
      <c r="C2094" s="2200" t="s">
        <v>14900</v>
      </c>
      <c r="D2094" s="2200" t="str">
        <f t="shared" si="128"/>
        <v>NH</v>
      </c>
      <c r="E2094" s="2200">
        <f t="shared" si="129"/>
        <v>13</v>
      </c>
      <c r="F2094" s="2200" t="str">
        <f t="shared" si="130"/>
        <v>33</v>
      </c>
      <c r="G2094" s="2200" t="str">
        <f t="shared" si="131"/>
        <v>04740</v>
      </c>
      <c r="H2094" s="2200">
        <f>--SUBTOTAL(3,C$2:C2094)</f>
        <v>99</v>
      </c>
    </row>
    <row r="2095" spans="1:8" hidden="1" x14ac:dyDescent="0.15">
      <c r="A2095" s="2200" t="s">
        <v>11443</v>
      </c>
      <c r="B2095" s="2200" t="s">
        <v>14901</v>
      </c>
      <c r="C2095" s="2200" t="s">
        <v>14902</v>
      </c>
      <c r="D2095" s="2200" t="str">
        <f t="shared" si="128"/>
        <v>NH</v>
      </c>
      <c r="E2095" s="2200">
        <f t="shared" si="129"/>
        <v>8</v>
      </c>
      <c r="F2095" s="2200" t="str">
        <f t="shared" si="130"/>
        <v>33</v>
      </c>
      <c r="G2095" s="2200" t="str">
        <f t="shared" si="131"/>
        <v>80340</v>
      </c>
      <c r="H2095" s="2200">
        <f>--SUBTOTAL(3,C$2:C2095)</f>
        <v>99</v>
      </c>
    </row>
    <row r="2096" spans="1:8" hidden="1" x14ac:dyDescent="0.15">
      <c r="A2096" s="2200" t="s">
        <v>11502</v>
      </c>
      <c r="B2096" s="2200" t="s">
        <v>14903</v>
      </c>
      <c r="C2096" s="2200" t="s">
        <v>14904</v>
      </c>
      <c r="D2096" s="2200" t="str">
        <f t="shared" si="128"/>
        <v>NH</v>
      </c>
      <c r="E2096" s="2200">
        <f t="shared" si="129"/>
        <v>16</v>
      </c>
      <c r="F2096" s="2200" t="str">
        <f t="shared" si="130"/>
        <v>33</v>
      </c>
      <c r="G2096" s="2200" t="str">
        <f t="shared" si="131"/>
        <v>04900</v>
      </c>
      <c r="H2096" s="2200">
        <f>--SUBTOTAL(3,C$2:C2096)</f>
        <v>99</v>
      </c>
    </row>
    <row r="2097" spans="1:8" hidden="1" x14ac:dyDescent="0.15">
      <c r="A2097" s="2200" t="s">
        <v>11502</v>
      </c>
      <c r="B2097" s="2200" t="s">
        <v>14905</v>
      </c>
      <c r="C2097" s="2200" t="s">
        <v>14906</v>
      </c>
      <c r="D2097" s="2200" t="str">
        <f t="shared" si="128"/>
        <v>NH</v>
      </c>
      <c r="E2097" s="2200">
        <f t="shared" si="129"/>
        <v>12</v>
      </c>
      <c r="F2097" s="2200" t="str">
        <f t="shared" si="130"/>
        <v>33</v>
      </c>
      <c r="G2097" s="2200" t="str">
        <f t="shared" si="131"/>
        <v>05060</v>
      </c>
      <c r="H2097" s="2200">
        <f>--SUBTOTAL(3,C$2:C2097)</f>
        <v>99</v>
      </c>
    </row>
    <row r="2098" spans="1:8" hidden="1" x14ac:dyDescent="0.15">
      <c r="A2098" s="2200" t="s">
        <v>11502</v>
      </c>
      <c r="B2098" s="2200" t="s">
        <v>14907</v>
      </c>
      <c r="C2098" s="2200" t="s">
        <v>14908</v>
      </c>
      <c r="D2098" s="2200" t="str">
        <f t="shared" si="128"/>
        <v>NH</v>
      </c>
      <c r="E2098" s="2200">
        <f t="shared" si="129"/>
        <v>12</v>
      </c>
      <c r="F2098" s="2200" t="str">
        <f t="shared" si="130"/>
        <v>33</v>
      </c>
      <c r="G2098" s="2200" t="str">
        <f t="shared" si="131"/>
        <v>05140</v>
      </c>
      <c r="H2098" s="2200">
        <f>--SUBTOTAL(3,C$2:C2098)</f>
        <v>99</v>
      </c>
    </row>
    <row r="2099" spans="1:8" hidden="1" x14ac:dyDescent="0.15">
      <c r="A2099" s="2200" t="s">
        <v>11502</v>
      </c>
      <c r="B2099" s="2200" t="s">
        <v>14909</v>
      </c>
      <c r="C2099" s="2200" t="s">
        <v>14910</v>
      </c>
      <c r="D2099" s="2200" t="str">
        <f t="shared" si="128"/>
        <v>NH</v>
      </c>
      <c r="E2099" s="2200">
        <f t="shared" si="129"/>
        <v>15</v>
      </c>
      <c r="F2099" s="2200" t="str">
        <f t="shared" si="130"/>
        <v>33</v>
      </c>
      <c r="G2099" s="2200" t="str">
        <f t="shared" si="131"/>
        <v>05460</v>
      </c>
      <c r="H2099" s="2200">
        <f>--SUBTOTAL(3,C$2:C2099)</f>
        <v>99</v>
      </c>
    </row>
    <row r="2100" spans="1:8" hidden="1" x14ac:dyDescent="0.15">
      <c r="A2100" s="2200" t="s">
        <v>11502</v>
      </c>
      <c r="B2100" s="2200" t="s">
        <v>14911</v>
      </c>
      <c r="C2100" s="2200" t="s">
        <v>14912</v>
      </c>
      <c r="D2100" s="2200" t="str">
        <f t="shared" si="128"/>
        <v>NH</v>
      </c>
      <c r="E2100" s="2200">
        <f t="shared" si="129"/>
        <v>14</v>
      </c>
      <c r="F2100" s="2200" t="str">
        <f t="shared" si="130"/>
        <v>33</v>
      </c>
      <c r="G2100" s="2200" t="str">
        <f t="shared" si="131"/>
        <v>06260</v>
      </c>
      <c r="H2100" s="2200">
        <f>--SUBTOTAL(3,C$2:C2100)</f>
        <v>99</v>
      </c>
    </row>
    <row r="2101" spans="1:8" hidden="1" x14ac:dyDescent="0.15">
      <c r="A2101" s="2200" t="s">
        <v>11502</v>
      </c>
      <c r="B2101" s="2200" t="s">
        <v>14913</v>
      </c>
      <c r="C2101" s="2200" t="s">
        <v>14914</v>
      </c>
      <c r="D2101" s="2200" t="str">
        <f t="shared" si="128"/>
        <v>NH</v>
      </c>
      <c r="E2101" s="2200">
        <f t="shared" si="129"/>
        <v>9</v>
      </c>
      <c r="F2101" s="2200" t="str">
        <f t="shared" si="130"/>
        <v>33</v>
      </c>
      <c r="G2101" s="2200" t="str">
        <f t="shared" si="131"/>
        <v>06500</v>
      </c>
      <c r="H2101" s="2200">
        <f>--SUBTOTAL(3,C$2:C2101)</f>
        <v>99</v>
      </c>
    </row>
    <row r="2102" spans="1:8" hidden="1" x14ac:dyDescent="0.15">
      <c r="A2102" s="2200" t="s">
        <v>11502</v>
      </c>
      <c r="B2102" s="2200" t="s">
        <v>14915</v>
      </c>
      <c r="C2102" s="2200" t="s">
        <v>14916</v>
      </c>
      <c r="D2102" s="2200" t="str">
        <f t="shared" si="128"/>
        <v>NH</v>
      </c>
      <c r="E2102" s="2200">
        <f t="shared" si="129"/>
        <v>14</v>
      </c>
      <c r="F2102" s="2200" t="str">
        <f t="shared" si="130"/>
        <v>33</v>
      </c>
      <c r="G2102" s="2200" t="str">
        <f t="shared" si="131"/>
        <v>06980</v>
      </c>
      <c r="H2102" s="2200">
        <f>--SUBTOTAL(3,C$2:C2102)</f>
        <v>99</v>
      </c>
    </row>
    <row r="2103" spans="1:8" hidden="1" x14ac:dyDescent="0.15">
      <c r="A2103" s="2200" t="s">
        <v>11443</v>
      </c>
      <c r="B2103" s="2200" t="s">
        <v>14917</v>
      </c>
      <c r="C2103" s="2200" t="s">
        <v>14918</v>
      </c>
      <c r="D2103" s="2200" t="str">
        <f t="shared" si="128"/>
        <v>VT</v>
      </c>
      <c r="E2103" s="2200">
        <f t="shared" si="129"/>
        <v>12</v>
      </c>
      <c r="F2103" s="2200" t="str">
        <f t="shared" si="130"/>
        <v>50</v>
      </c>
      <c r="G2103" s="2200" t="str">
        <f t="shared" si="131"/>
        <v>80420</v>
      </c>
      <c r="H2103" s="2200">
        <f>--SUBTOTAL(3,C$2:C2103)</f>
        <v>99</v>
      </c>
    </row>
    <row r="2104" spans="1:8" hidden="1" x14ac:dyDescent="0.15">
      <c r="A2104" s="2200" t="s">
        <v>11502</v>
      </c>
      <c r="B2104" s="2200" t="s">
        <v>14919</v>
      </c>
      <c r="C2104" s="2200" t="s">
        <v>14920</v>
      </c>
      <c r="D2104" s="2200" t="str">
        <f t="shared" si="128"/>
        <v>NH</v>
      </c>
      <c r="E2104" s="2200">
        <f t="shared" si="129"/>
        <v>15</v>
      </c>
      <c r="F2104" s="2200" t="str">
        <f t="shared" si="130"/>
        <v>33</v>
      </c>
      <c r="G2104" s="2200" t="str">
        <f t="shared" si="131"/>
        <v>07220</v>
      </c>
      <c r="H2104" s="2200">
        <f>--SUBTOTAL(3,C$2:C2104)</f>
        <v>99</v>
      </c>
    </row>
    <row r="2105" spans="1:8" hidden="1" x14ac:dyDescent="0.15">
      <c r="A2105" s="2200" t="s">
        <v>11502</v>
      </c>
      <c r="B2105" s="2200" t="s">
        <v>14921</v>
      </c>
      <c r="C2105" s="2200" t="s">
        <v>14922</v>
      </c>
      <c r="D2105" s="2200" t="str">
        <f t="shared" si="128"/>
        <v>NH</v>
      </c>
      <c r="E2105" s="2200">
        <f t="shared" si="129"/>
        <v>17</v>
      </c>
      <c r="F2105" s="2200" t="str">
        <f t="shared" si="130"/>
        <v>33</v>
      </c>
      <c r="G2105" s="2200" t="str">
        <f t="shared" si="131"/>
        <v>07540</v>
      </c>
      <c r="H2105" s="2200">
        <f>--SUBTOTAL(3,C$2:C2105)</f>
        <v>99</v>
      </c>
    </row>
    <row r="2106" spans="1:8" hidden="1" x14ac:dyDescent="0.15">
      <c r="A2106" s="2200" t="s">
        <v>11502</v>
      </c>
      <c r="B2106" s="2200" t="s">
        <v>14923</v>
      </c>
      <c r="C2106" s="2200" t="s">
        <v>14924</v>
      </c>
      <c r="D2106" s="2200" t="str">
        <f t="shared" si="128"/>
        <v>NH</v>
      </c>
      <c r="E2106" s="2200">
        <f t="shared" si="129"/>
        <v>13</v>
      </c>
      <c r="F2106" s="2200" t="str">
        <f t="shared" si="130"/>
        <v>33</v>
      </c>
      <c r="G2106" s="2200" t="str">
        <f t="shared" si="131"/>
        <v>07700</v>
      </c>
      <c r="H2106" s="2200">
        <f>--SUBTOTAL(3,C$2:C2106)</f>
        <v>99</v>
      </c>
    </row>
    <row r="2107" spans="1:8" hidden="1" x14ac:dyDescent="0.15">
      <c r="A2107" s="2200" t="s">
        <v>11502</v>
      </c>
      <c r="B2107" s="2200" t="s">
        <v>14925</v>
      </c>
      <c r="C2107" s="2200" t="s">
        <v>14926</v>
      </c>
      <c r="D2107" s="2200" t="str">
        <f t="shared" si="128"/>
        <v>NH</v>
      </c>
      <c r="E2107" s="2200">
        <f t="shared" si="129"/>
        <v>16</v>
      </c>
      <c r="F2107" s="2200" t="str">
        <f t="shared" si="130"/>
        <v>33</v>
      </c>
      <c r="G2107" s="2200" t="str">
        <f t="shared" si="131"/>
        <v>07940</v>
      </c>
      <c r="H2107" s="2200">
        <f>--SUBTOTAL(3,C$2:C2107)</f>
        <v>99</v>
      </c>
    </row>
    <row r="2108" spans="1:8" hidden="1" x14ac:dyDescent="0.15">
      <c r="A2108" s="2200" t="s">
        <v>11502</v>
      </c>
      <c r="B2108" s="2200" t="s">
        <v>14927</v>
      </c>
      <c r="C2108" s="2200" t="s">
        <v>14928</v>
      </c>
      <c r="D2108" s="2200" t="str">
        <f t="shared" si="128"/>
        <v>NH</v>
      </c>
      <c r="E2108" s="2200">
        <f t="shared" si="129"/>
        <v>15</v>
      </c>
      <c r="F2108" s="2200" t="str">
        <f t="shared" si="130"/>
        <v>33</v>
      </c>
      <c r="G2108" s="2200" t="str">
        <f t="shared" si="131"/>
        <v>08100</v>
      </c>
      <c r="H2108" s="2200">
        <f>--SUBTOTAL(3,C$2:C2108)</f>
        <v>99</v>
      </c>
    </row>
    <row r="2109" spans="1:8" hidden="1" x14ac:dyDescent="0.15">
      <c r="A2109" s="2200" t="s">
        <v>11502</v>
      </c>
      <c r="B2109" s="2200" t="s">
        <v>14929</v>
      </c>
      <c r="C2109" s="2200" t="s">
        <v>14930</v>
      </c>
      <c r="D2109" s="2200" t="str">
        <f t="shared" si="128"/>
        <v>NH</v>
      </c>
      <c r="E2109" s="2200">
        <f t="shared" si="129"/>
        <v>19</v>
      </c>
      <c r="F2109" s="2200" t="str">
        <f t="shared" si="130"/>
        <v>33</v>
      </c>
      <c r="G2109" s="2200" t="str">
        <f t="shared" si="131"/>
        <v>08420</v>
      </c>
      <c r="H2109" s="2200">
        <f>--SUBTOTAL(3,C$2:C2109)</f>
        <v>99</v>
      </c>
    </row>
    <row r="2110" spans="1:8" hidden="1" x14ac:dyDescent="0.15">
      <c r="A2110" s="2200" t="s">
        <v>11502</v>
      </c>
      <c r="B2110" s="2200" t="s">
        <v>14931</v>
      </c>
      <c r="C2110" s="2200" t="s">
        <v>14932</v>
      </c>
      <c r="D2110" s="2200" t="str">
        <f t="shared" si="128"/>
        <v>NH</v>
      </c>
      <c r="E2110" s="2200">
        <f t="shared" si="129"/>
        <v>13</v>
      </c>
      <c r="F2110" s="2200" t="str">
        <f t="shared" si="130"/>
        <v>33</v>
      </c>
      <c r="G2110" s="2200" t="str">
        <f t="shared" si="131"/>
        <v>08660</v>
      </c>
      <c r="H2110" s="2200">
        <f>--SUBTOTAL(3,C$2:C2110)</f>
        <v>99</v>
      </c>
    </row>
    <row r="2111" spans="1:8" hidden="1" x14ac:dyDescent="0.15">
      <c r="A2111" s="2200" t="s">
        <v>11502</v>
      </c>
      <c r="B2111" s="2200" t="s">
        <v>14933</v>
      </c>
      <c r="C2111" s="2200" t="s">
        <v>14934</v>
      </c>
      <c r="D2111" s="2200" t="str">
        <f t="shared" si="128"/>
        <v>NH</v>
      </c>
      <c r="E2111" s="2200">
        <f t="shared" si="129"/>
        <v>12</v>
      </c>
      <c r="F2111" s="2200" t="str">
        <f t="shared" si="130"/>
        <v>33</v>
      </c>
      <c r="G2111" s="2200" t="str">
        <f t="shared" si="131"/>
        <v>08980</v>
      </c>
      <c r="H2111" s="2200">
        <f>--SUBTOTAL(3,C$2:C2111)</f>
        <v>99</v>
      </c>
    </row>
    <row r="2112" spans="1:8" hidden="1" x14ac:dyDescent="0.15">
      <c r="A2112" s="2200" t="s">
        <v>11502</v>
      </c>
      <c r="B2112" s="2200" t="s">
        <v>14935</v>
      </c>
      <c r="C2112" s="2200" t="s">
        <v>14936</v>
      </c>
      <c r="D2112" s="2200" t="str">
        <f t="shared" si="128"/>
        <v>NH</v>
      </c>
      <c r="E2112" s="2200">
        <f t="shared" si="129"/>
        <v>12</v>
      </c>
      <c r="F2112" s="2200" t="str">
        <f t="shared" si="130"/>
        <v>33</v>
      </c>
      <c r="G2112" s="2200" t="str">
        <f t="shared" si="131"/>
        <v>09300</v>
      </c>
      <c r="H2112" s="2200">
        <f>--SUBTOTAL(3,C$2:C2112)</f>
        <v>99</v>
      </c>
    </row>
    <row r="2113" spans="1:8" hidden="1" x14ac:dyDescent="0.15">
      <c r="A2113" s="2200" t="s">
        <v>11502</v>
      </c>
      <c r="B2113" s="2200" t="s">
        <v>14937</v>
      </c>
      <c r="C2113" s="2200" t="s">
        <v>14938</v>
      </c>
      <c r="D2113" s="2200" t="str">
        <f t="shared" si="128"/>
        <v>NH</v>
      </c>
      <c r="E2113" s="2200">
        <f t="shared" si="129"/>
        <v>16</v>
      </c>
      <c r="F2113" s="2200" t="str">
        <f t="shared" si="130"/>
        <v>33</v>
      </c>
      <c r="G2113" s="2200" t="str">
        <f t="shared" si="131"/>
        <v>09860</v>
      </c>
      <c r="H2113" s="2200">
        <f>--SUBTOTAL(3,C$2:C2113)</f>
        <v>99</v>
      </c>
    </row>
    <row r="2114" spans="1:8" hidden="1" x14ac:dyDescent="0.15">
      <c r="A2114" s="2200" t="s">
        <v>11502</v>
      </c>
      <c r="B2114" s="2200" t="s">
        <v>14939</v>
      </c>
      <c r="C2114" s="2200" t="s">
        <v>14940</v>
      </c>
      <c r="D2114" s="2200" t="str">
        <f t="shared" ref="D2114:D2177" si="132">MID(C2114,E2114+2,2)</f>
        <v>NH</v>
      </c>
      <c r="E2114" s="2200">
        <f t="shared" ref="E2114:E2177" si="133">FIND(",",C2114)</f>
        <v>13</v>
      </c>
      <c r="F2114" s="2200" t="str">
        <f t="shared" si="130"/>
        <v>33</v>
      </c>
      <c r="G2114" s="2200" t="str">
        <f t="shared" si="131"/>
        <v>10100</v>
      </c>
      <c r="H2114" s="2200">
        <f>--SUBTOTAL(3,C$2:C2114)</f>
        <v>99</v>
      </c>
    </row>
    <row r="2115" spans="1:8" hidden="1" x14ac:dyDescent="0.15">
      <c r="A2115" s="2200" t="s">
        <v>11502</v>
      </c>
      <c r="B2115" s="2200" t="s">
        <v>14941</v>
      </c>
      <c r="C2115" s="2200" t="s">
        <v>14942</v>
      </c>
      <c r="D2115" s="2200" t="str">
        <f t="shared" si="132"/>
        <v>NH</v>
      </c>
      <c r="E2115" s="2200">
        <f t="shared" si="133"/>
        <v>19</v>
      </c>
      <c r="F2115" s="2200" t="str">
        <f t="shared" ref="F2115:F2178" si="134">MID(B2115,3,2)</f>
        <v>33</v>
      </c>
      <c r="G2115" s="2200" t="str">
        <f t="shared" ref="G2115:G2178" si="135">MID(B2115,5,5)</f>
        <v>10660</v>
      </c>
      <c r="H2115" s="2200">
        <f>--SUBTOTAL(3,C$2:C2115)</f>
        <v>99</v>
      </c>
    </row>
    <row r="2116" spans="1:8" hidden="1" x14ac:dyDescent="0.15">
      <c r="A2116" s="2200" t="s">
        <v>11502</v>
      </c>
      <c r="B2116" s="2200" t="s">
        <v>14943</v>
      </c>
      <c r="C2116" s="2200" t="s">
        <v>14944</v>
      </c>
      <c r="D2116" s="2200" t="str">
        <f t="shared" si="132"/>
        <v>NH</v>
      </c>
      <c r="E2116" s="2200">
        <f t="shared" si="133"/>
        <v>17</v>
      </c>
      <c r="F2116" s="2200" t="str">
        <f t="shared" si="134"/>
        <v>33</v>
      </c>
      <c r="G2116" s="2200" t="str">
        <f t="shared" si="135"/>
        <v>11380</v>
      </c>
      <c r="H2116" s="2200">
        <f>--SUBTOTAL(3,C$2:C2116)</f>
        <v>99</v>
      </c>
    </row>
    <row r="2117" spans="1:8" hidden="1" x14ac:dyDescent="0.15">
      <c r="A2117" s="2200" t="s">
        <v>11443</v>
      </c>
      <c r="B2117" s="2200" t="s">
        <v>14945</v>
      </c>
      <c r="C2117" s="2200" t="s">
        <v>14946</v>
      </c>
      <c r="D2117" s="2200" t="str">
        <f t="shared" si="132"/>
        <v>NH</v>
      </c>
      <c r="E2117" s="2200">
        <f t="shared" si="133"/>
        <v>12</v>
      </c>
      <c r="F2117" s="2200" t="str">
        <f t="shared" si="134"/>
        <v>33</v>
      </c>
      <c r="G2117" s="2200" t="str">
        <f t="shared" si="135"/>
        <v>80620</v>
      </c>
      <c r="H2117" s="2200">
        <f>--SUBTOTAL(3,C$2:C2117)</f>
        <v>99</v>
      </c>
    </row>
    <row r="2118" spans="1:8" hidden="1" x14ac:dyDescent="0.15">
      <c r="A2118" s="2200" t="s">
        <v>11502</v>
      </c>
      <c r="B2118" s="2200" t="s">
        <v>14947</v>
      </c>
      <c r="C2118" s="2200" t="s">
        <v>14948</v>
      </c>
      <c r="D2118" s="2200" t="str">
        <f t="shared" si="132"/>
        <v>NH</v>
      </c>
      <c r="E2118" s="2200">
        <f t="shared" si="133"/>
        <v>13</v>
      </c>
      <c r="F2118" s="2200" t="str">
        <f t="shared" si="134"/>
        <v>33</v>
      </c>
      <c r="G2118" s="2200" t="str">
        <f t="shared" si="135"/>
        <v>11780</v>
      </c>
      <c r="H2118" s="2200">
        <f>--SUBTOTAL(3,C$2:C2118)</f>
        <v>99</v>
      </c>
    </row>
    <row r="2119" spans="1:8" hidden="1" x14ac:dyDescent="0.15">
      <c r="A2119" s="2200" t="s">
        <v>11502</v>
      </c>
      <c r="B2119" s="2200" t="s">
        <v>14949</v>
      </c>
      <c r="C2119" s="2200" t="s">
        <v>14950</v>
      </c>
      <c r="D2119" s="2200" t="str">
        <f t="shared" si="132"/>
        <v>NH</v>
      </c>
      <c r="E2119" s="2200">
        <f t="shared" si="133"/>
        <v>13</v>
      </c>
      <c r="F2119" s="2200" t="str">
        <f t="shared" si="134"/>
        <v>33</v>
      </c>
      <c r="G2119" s="2200" t="str">
        <f t="shared" si="135"/>
        <v>12100</v>
      </c>
      <c r="H2119" s="2200">
        <f>--SUBTOTAL(3,C$2:C2119)</f>
        <v>99</v>
      </c>
    </row>
    <row r="2120" spans="1:8" hidden="1" x14ac:dyDescent="0.15">
      <c r="A2120" s="2200" t="s">
        <v>11502</v>
      </c>
      <c r="B2120" s="2200" t="s">
        <v>14951</v>
      </c>
      <c r="C2120" s="2200" t="s">
        <v>14952</v>
      </c>
      <c r="D2120" s="2200" t="str">
        <f t="shared" si="132"/>
        <v>NH</v>
      </c>
      <c r="E2120" s="2200">
        <f t="shared" si="133"/>
        <v>18</v>
      </c>
      <c r="F2120" s="2200" t="str">
        <f t="shared" si="134"/>
        <v>33</v>
      </c>
      <c r="G2120" s="2200" t="str">
        <f t="shared" si="135"/>
        <v>12260</v>
      </c>
      <c r="H2120" s="2200">
        <f>--SUBTOTAL(3,C$2:C2120)</f>
        <v>99</v>
      </c>
    </row>
    <row r="2121" spans="1:8" hidden="1" x14ac:dyDescent="0.15">
      <c r="A2121" s="2200" t="s">
        <v>11502</v>
      </c>
      <c r="B2121" s="2200" t="s">
        <v>14953</v>
      </c>
      <c r="C2121" s="2200" t="s">
        <v>14954</v>
      </c>
      <c r="D2121" s="2200" t="str">
        <f t="shared" si="132"/>
        <v>NH</v>
      </c>
      <c r="E2121" s="2200">
        <f t="shared" si="133"/>
        <v>16</v>
      </c>
      <c r="F2121" s="2200" t="str">
        <f t="shared" si="134"/>
        <v>33</v>
      </c>
      <c r="G2121" s="2200" t="str">
        <f t="shared" si="135"/>
        <v>12420</v>
      </c>
      <c r="H2121" s="2200">
        <f>--SUBTOTAL(3,C$2:C2121)</f>
        <v>99</v>
      </c>
    </row>
    <row r="2122" spans="1:8" hidden="1" x14ac:dyDescent="0.15">
      <c r="A2122" s="2200" t="s">
        <v>11502</v>
      </c>
      <c r="B2122" s="2200" t="s">
        <v>14955</v>
      </c>
      <c r="C2122" s="2200" t="s">
        <v>14956</v>
      </c>
      <c r="D2122" s="2200" t="str">
        <f t="shared" si="132"/>
        <v>NH</v>
      </c>
      <c r="E2122" s="2200">
        <f t="shared" si="133"/>
        <v>15</v>
      </c>
      <c r="F2122" s="2200" t="str">
        <f t="shared" si="134"/>
        <v>33</v>
      </c>
      <c r="G2122" s="2200" t="str">
        <f t="shared" si="135"/>
        <v>12900</v>
      </c>
      <c r="H2122" s="2200">
        <f>--SUBTOTAL(3,C$2:C2122)</f>
        <v>99</v>
      </c>
    </row>
    <row r="2123" spans="1:8" hidden="1" x14ac:dyDescent="0.15">
      <c r="A2123" s="2200" t="s">
        <v>11502</v>
      </c>
      <c r="B2123" s="2200" t="s">
        <v>14957</v>
      </c>
      <c r="C2123" s="2200" t="s">
        <v>14958</v>
      </c>
      <c r="D2123" s="2200" t="str">
        <f t="shared" si="132"/>
        <v>NH</v>
      </c>
      <c r="E2123" s="2200">
        <f t="shared" si="133"/>
        <v>17</v>
      </c>
      <c r="F2123" s="2200" t="str">
        <f t="shared" si="134"/>
        <v>33</v>
      </c>
      <c r="G2123" s="2200" t="str">
        <f t="shared" si="135"/>
        <v>13220</v>
      </c>
      <c r="H2123" s="2200">
        <f>--SUBTOTAL(3,C$2:C2123)</f>
        <v>99</v>
      </c>
    </row>
    <row r="2124" spans="1:8" hidden="1" x14ac:dyDescent="0.15">
      <c r="A2124" s="2200" t="s">
        <v>11502</v>
      </c>
      <c r="B2124" s="2200" t="s">
        <v>14959</v>
      </c>
      <c r="C2124" s="2200" t="s">
        <v>14960</v>
      </c>
      <c r="D2124" s="2200" t="str">
        <f t="shared" si="132"/>
        <v>NH</v>
      </c>
      <c r="E2124" s="2200">
        <f t="shared" si="133"/>
        <v>15</v>
      </c>
      <c r="F2124" s="2200" t="str">
        <f t="shared" si="134"/>
        <v>33</v>
      </c>
      <c r="G2124" s="2200" t="str">
        <f t="shared" si="135"/>
        <v>13780</v>
      </c>
      <c r="H2124" s="2200">
        <f>--SUBTOTAL(3,C$2:C2124)</f>
        <v>99</v>
      </c>
    </row>
    <row r="2125" spans="1:8" hidden="1" x14ac:dyDescent="0.15">
      <c r="A2125" s="2200" t="s">
        <v>11502</v>
      </c>
      <c r="B2125" s="2200" t="s">
        <v>14961</v>
      </c>
      <c r="C2125" s="2200" t="s">
        <v>14962</v>
      </c>
      <c r="D2125" s="2200" t="str">
        <f t="shared" si="132"/>
        <v>NH</v>
      </c>
      <c r="E2125" s="2200">
        <f t="shared" si="133"/>
        <v>14</v>
      </c>
      <c r="F2125" s="2200" t="str">
        <f t="shared" si="134"/>
        <v>33</v>
      </c>
      <c r="G2125" s="2200" t="str">
        <f t="shared" si="135"/>
        <v>13940</v>
      </c>
      <c r="H2125" s="2200">
        <f>--SUBTOTAL(3,C$2:C2125)</f>
        <v>99</v>
      </c>
    </row>
    <row r="2126" spans="1:8" hidden="1" x14ac:dyDescent="0.15">
      <c r="A2126" s="2200" t="s">
        <v>10723</v>
      </c>
      <c r="B2126" s="2200" t="s">
        <v>14963</v>
      </c>
      <c r="C2126" s="2200" t="s">
        <v>14964</v>
      </c>
      <c r="D2126" s="2200" t="str">
        <f t="shared" si="132"/>
        <v>NH</v>
      </c>
      <c r="E2126" s="2200">
        <f t="shared" si="133"/>
        <v>13</v>
      </c>
      <c r="F2126" s="2200" t="str">
        <f t="shared" si="134"/>
        <v>33</v>
      </c>
      <c r="G2126" s="2200" t="str">
        <f t="shared" si="135"/>
        <v>14200</v>
      </c>
      <c r="H2126" s="2200">
        <f>--SUBTOTAL(3,C$2:C2126)</f>
        <v>99</v>
      </c>
    </row>
    <row r="2127" spans="1:8" hidden="1" x14ac:dyDescent="0.15">
      <c r="A2127" s="2200" t="s">
        <v>11502</v>
      </c>
      <c r="B2127" s="2200" t="s">
        <v>14965</v>
      </c>
      <c r="C2127" s="2200" t="s">
        <v>14966</v>
      </c>
      <c r="D2127" s="2200" t="str">
        <f t="shared" si="132"/>
        <v>NH</v>
      </c>
      <c r="E2127" s="2200">
        <f t="shared" si="133"/>
        <v>12</v>
      </c>
      <c r="F2127" s="2200" t="str">
        <f t="shared" si="134"/>
        <v>33</v>
      </c>
      <c r="G2127" s="2200" t="str">
        <f t="shared" si="135"/>
        <v>14660</v>
      </c>
      <c r="H2127" s="2200">
        <f>--SUBTOTAL(3,C$2:C2127)</f>
        <v>99</v>
      </c>
    </row>
    <row r="2128" spans="1:8" hidden="1" x14ac:dyDescent="0.15">
      <c r="A2128" s="2200" t="s">
        <v>11502</v>
      </c>
      <c r="B2128" s="2200" t="s">
        <v>14967</v>
      </c>
      <c r="C2128" s="2200" t="s">
        <v>14968</v>
      </c>
      <c r="D2128" s="2200" t="str">
        <f t="shared" si="132"/>
        <v>NH</v>
      </c>
      <c r="E2128" s="2200">
        <f t="shared" si="133"/>
        <v>13</v>
      </c>
      <c r="F2128" s="2200" t="str">
        <f t="shared" si="134"/>
        <v>33</v>
      </c>
      <c r="G2128" s="2200" t="str">
        <f t="shared" si="135"/>
        <v>15060</v>
      </c>
      <c r="H2128" s="2200">
        <f>--SUBTOTAL(3,C$2:C2128)</f>
        <v>99</v>
      </c>
    </row>
    <row r="2129" spans="1:8" hidden="1" x14ac:dyDescent="0.15">
      <c r="A2129" s="2200" t="s">
        <v>11502</v>
      </c>
      <c r="B2129" s="2200" t="s">
        <v>14969</v>
      </c>
      <c r="C2129" s="2200" t="s">
        <v>14970</v>
      </c>
      <c r="D2129" s="2200" t="str">
        <f t="shared" si="132"/>
        <v>NH</v>
      </c>
      <c r="E2129" s="2200">
        <f t="shared" si="133"/>
        <v>13</v>
      </c>
      <c r="F2129" s="2200" t="str">
        <f t="shared" si="134"/>
        <v>33</v>
      </c>
      <c r="G2129" s="2200" t="str">
        <f t="shared" si="135"/>
        <v>16340</v>
      </c>
      <c r="H2129" s="2200">
        <f>--SUBTOTAL(3,C$2:C2129)</f>
        <v>99</v>
      </c>
    </row>
    <row r="2130" spans="1:8" hidden="1" x14ac:dyDescent="0.15">
      <c r="A2130" s="2200" t="s">
        <v>11502</v>
      </c>
      <c r="B2130" s="2200" t="s">
        <v>14971</v>
      </c>
      <c r="C2130" s="2200" t="s">
        <v>14972</v>
      </c>
      <c r="D2130" s="2200" t="str">
        <f t="shared" si="132"/>
        <v>NH</v>
      </c>
      <c r="E2130" s="2200">
        <f t="shared" si="133"/>
        <v>12</v>
      </c>
      <c r="F2130" s="2200" t="str">
        <f t="shared" si="134"/>
        <v>33</v>
      </c>
      <c r="G2130" s="2200" t="str">
        <f t="shared" si="135"/>
        <v>16820</v>
      </c>
      <c r="H2130" s="2200">
        <f>--SUBTOTAL(3,C$2:C2130)</f>
        <v>99</v>
      </c>
    </row>
    <row r="2131" spans="1:8" hidden="1" x14ac:dyDescent="0.15">
      <c r="A2131" s="2200" t="s">
        <v>11502</v>
      </c>
      <c r="B2131" s="2200" t="s">
        <v>14973</v>
      </c>
      <c r="C2131" s="2200" t="s">
        <v>14974</v>
      </c>
      <c r="D2131" s="2200" t="str">
        <f t="shared" si="132"/>
        <v>NH</v>
      </c>
      <c r="E2131" s="2200">
        <f t="shared" si="133"/>
        <v>13</v>
      </c>
      <c r="F2131" s="2200" t="str">
        <f t="shared" si="134"/>
        <v>33</v>
      </c>
      <c r="G2131" s="2200" t="str">
        <f t="shared" si="135"/>
        <v>16980</v>
      </c>
      <c r="H2131" s="2200">
        <f>--SUBTOTAL(3,C$2:C2131)</f>
        <v>99</v>
      </c>
    </row>
    <row r="2132" spans="1:8" hidden="1" x14ac:dyDescent="0.15">
      <c r="A2132" s="2200" t="s">
        <v>11502</v>
      </c>
      <c r="B2132" s="2200" t="s">
        <v>14975</v>
      </c>
      <c r="C2132" s="2200" t="s">
        <v>14976</v>
      </c>
      <c r="D2132" s="2200" t="str">
        <f t="shared" si="132"/>
        <v>NH</v>
      </c>
      <c r="E2132" s="2200">
        <f t="shared" si="133"/>
        <v>14</v>
      </c>
      <c r="F2132" s="2200" t="str">
        <f t="shared" si="134"/>
        <v>33</v>
      </c>
      <c r="G2132" s="2200" t="str">
        <f t="shared" si="135"/>
        <v>17140</v>
      </c>
      <c r="H2132" s="2200">
        <f>--SUBTOTAL(3,C$2:C2132)</f>
        <v>99</v>
      </c>
    </row>
    <row r="2133" spans="1:8" hidden="1" x14ac:dyDescent="0.15">
      <c r="A2133" s="2200" t="s">
        <v>11502</v>
      </c>
      <c r="B2133" s="2200" t="s">
        <v>14977</v>
      </c>
      <c r="C2133" s="2200" t="s">
        <v>14978</v>
      </c>
      <c r="D2133" s="2200" t="str">
        <f t="shared" si="132"/>
        <v>NH</v>
      </c>
      <c r="E2133" s="2200">
        <f t="shared" si="133"/>
        <v>15</v>
      </c>
      <c r="F2133" s="2200" t="str">
        <f t="shared" si="134"/>
        <v>33</v>
      </c>
      <c r="G2133" s="2200" t="str">
        <f t="shared" si="135"/>
        <v>17460</v>
      </c>
      <c r="H2133" s="2200">
        <f>--SUBTOTAL(3,C$2:C2133)</f>
        <v>99</v>
      </c>
    </row>
    <row r="2134" spans="1:8" hidden="1" x14ac:dyDescent="0.15">
      <c r="A2134" s="2200" t="s">
        <v>11502</v>
      </c>
      <c r="B2134" s="2200" t="s">
        <v>14979</v>
      </c>
      <c r="C2134" s="2200" t="s">
        <v>14980</v>
      </c>
      <c r="D2134" s="2200" t="str">
        <f t="shared" si="132"/>
        <v>NH</v>
      </c>
      <c r="E2134" s="2200">
        <f t="shared" si="133"/>
        <v>13</v>
      </c>
      <c r="F2134" s="2200" t="str">
        <f t="shared" si="134"/>
        <v>33</v>
      </c>
      <c r="G2134" s="2200" t="str">
        <f t="shared" si="135"/>
        <v>17780</v>
      </c>
      <c r="H2134" s="2200">
        <f>--SUBTOTAL(3,C$2:C2134)</f>
        <v>99</v>
      </c>
    </row>
    <row r="2135" spans="1:8" hidden="1" x14ac:dyDescent="0.15">
      <c r="A2135" s="2200" t="s">
        <v>10723</v>
      </c>
      <c r="B2135" s="2200" t="s">
        <v>14981</v>
      </c>
      <c r="C2135" s="2200" t="s">
        <v>14982</v>
      </c>
      <c r="D2135" s="2200" t="str">
        <f t="shared" si="132"/>
        <v>NH</v>
      </c>
      <c r="E2135" s="2200">
        <f t="shared" si="133"/>
        <v>11</v>
      </c>
      <c r="F2135" s="2200" t="str">
        <f t="shared" si="134"/>
        <v>33</v>
      </c>
      <c r="G2135" s="2200" t="str">
        <f t="shared" si="135"/>
        <v>17940</v>
      </c>
      <c r="H2135" s="2200">
        <f>--SUBTOTAL(3,C$2:C2135)</f>
        <v>99</v>
      </c>
    </row>
    <row r="2136" spans="1:8" hidden="1" x14ac:dyDescent="0.15">
      <c r="A2136" s="2200" t="s">
        <v>11502</v>
      </c>
      <c r="B2136" s="2200" t="s">
        <v>14983</v>
      </c>
      <c r="C2136" s="2200" t="s">
        <v>14984</v>
      </c>
      <c r="D2136" s="2200" t="str">
        <f t="shared" si="132"/>
        <v>NH</v>
      </c>
      <c r="E2136" s="2200">
        <f t="shared" si="133"/>
        <v>18</v>
      </c>
      <c r="F2136" s="2200" t="str">
        <f t="shared" si="134"/>
        <v>33</v>
      </c>
      <c r="G2136" s="2200" t="str">
        <f t="shared" si="135"/>
        <v>18420</v>
      </c>
      <c r="H2136" s="2200">
        <f>--SUBTOTAL(3,C$2:C2136)</f>
        <v>99</v>
      </c>
    </row>
    <row r="2137" spans="1:8" hidden="1" x14ac:dyDescent="0.15">
      <c r="A2137" s="2200" t="s">
        <v>11502</v>
      </c>
      <c r="B2137" s="2200" t="s">
        <v>14985</v>
      </c>
      <c r="C2137" s="2200" t="s">
        <v>14986</v>
      </c>
      <c r="D2137" s="2200" t="str">
        <f t="shared" si="132"/>
        <v>NH</v>
      </c>
      <c r="E2137" s="2200">
        <f t="shared" si="133"/>
        <v>16</v>
      </c>
      <c r="F2137" s="2200" t="str">
        <f t="shared" si="134"/>
        <v>33</v>
      </c>
      <c r="G2137" s="2200" t="str">
        <f t="shared" si="135"/>
        <v>18740</v>
      </c>
      <c r="H2137" s="2200">
        <f>--SUBTOTAL(3,C$2:C2137)</f>
        <v>99</v>
      </c>
    </row>
    <row r="2138" spans="1:8" hidden="1" x14ac:dyDescent="0.15">
      <c r="A2138" s="2200" t="s">
        <v>10723</v>
      </c>
      <c r="B2138" s="2200" t="s">
        <v>14987</v>
      </c>
      <c r="C2138" s="2200" t="s">
        <v>14988</v>
      </c>
      <c r="D2138" s="2200" t="str">
        <f t="shared" si="132"/>
        <v>NH</v>
      </c>
      <c r="E2138" s="2200">
        <f t="shared" si="133"/>
        <v>11</v>
      </c>
      <c r="F2138" s="2200" t="str">
        <f t="shared" si="134"/>
        <v>33</v>
      </c>
      <c r="G2138" s="2200" t="str">
        <f t="shared" si="135"/>
        <v>18820</v>
      </c>
      <c r="H2138" s="2200">
        <f>--SUBTOTAL(3,C$2:C2138)</f>
        <v>99</v>
      </c>
    </row>
    <row r="2139" spans="1:8" hidden="1" x14ac:dyDescent="0.15">
      <c r="A2139" s="2200" t="s">
        <v>11502</v>
      </c>
      <c r="B2139" s="2200" t="s">
        <v>14989</v>
      </c>
      <c r="C2139" s="2200" t="s">
        <v>14990</v>
      </c>
      <c r="D2139" s="2200" t="str">
        <f t="shared" si="132"/>
        <v>NH</v>
      </c>
      <c r="E2139" s="2200">
        <f t="shared" si="133"/>
        <v>12</v>
      </c>
      <c r="F2139" s="2200" t="str">
        <f t="shared" si="134"/>
        <v>33</v>
      </c>
      <c r="G2139" s="2200" t="str">
        <f t="shared" si="135"/>
        <v>19140</v>
      </c>
      <c r="H2139" s="2200">
        <f>--SUBTOTAL(3,C$2:C2139)</f>
        <v>99</v>
      </c>
    </row>
    <row r="2140" spans="1:8" hidden="1" x14ac:dyDescent="0.15">
      <c r="A2140" s="2200" t="s">
        <v>11502</v>
      </c>
      <c r="B2140" s="2200" t="s">
        <v>14991</v>
      </c>
      <c r="C2140" s="2200" t="s">
        <v>14992</v>
      </c>
      <c r="D2140" s="2200" t="str">
        <f t="shared" si="132"/>
        <v>NH</v>
      </c>
      <c r="E2140" s="2200">
        <f t="shared" si="133"/>
        <v>12</v>
      </c>
      <c r="F2140" s="2200" t="str">
        <f t="shared" si="134"/>
        <v>33</v>
      </c>
      <c r="G2140" s="2200" t="str">
        <f t="shared" si="135"/>
        <v>19300</v>
      </c>
      <c r="H2140" s="2200">
        <f>--SUBTOTAL(3,C$2:C2140)</f>
        <v>99</v>
      </c>
    </row>
    <row r="2141" spans="1:8" hidden="1" x14ac:dyDescent="0.15">
      <c r="A2141" s="2200" t="s">
        <v>11502</v>
      </c>
      <c r="B2141" s="2200" t="s">
        <v>14993</v>
      </c>
      <c r="C2141" s="2200" t="s">
        <v>14994</v>
      </c>
      <c r="D2141" s="2200" t="str">
        <f t="shared" si="132"/>
        <v>NH</v>
      </c>
      <c r="E2141" s="2200">
        <f t="shared" si="133"/>
        <v>15</v>
      </c>
      <c r="F2141" s="2200" t="str">
        <f t="shared" si="134"/>
        <v>33</v>
      </c>
      <c r="G2141" s="2200" t="str">
        <f t="shared" si="135"/>
        <v>19460</v>
      </c>
      <c r="H2141" s="2200">
        <f>--SUBTOTAL(3,C$2:C2141)</f>
        <v>99</v>
      </c>
    </row>
    <row r="2142" spans="1:8" hidden="1" x14ac:dyDescent="0.15">
      <c r="A2142" s="2200" t="s">
        <v>11502</v>
      </c>
      <c r="B2142" s="2200" t="s">
        <v>14995</v>
      </c>
      <c r="C2142" s="2200" t="s">
        <v>14996</v>
      </c>
      <c r="D2142" s="2200" t="str">
        <f t="shared" si="132"/>
        <v>NH</v>
      </c>
      <c r="E2142" s="2200">
        <f t="shared" si="133"/>
        <v>12</v>
      </c>
      <c r="F2142" s="2200" t="str">
        <f t="shared" si="134"/>
        <v>33</v>
      </c>
      <c r="G2142" s="2200" t="str">
        <f t="shared" si="135"/>
        <v>19700</v>
      </c>
      <c r="H2142" s="2200">
        <f>--SUBTOTAL(3,C$2:C2142)</f>
        <v>99</v>
      </c>
    </row>
    <row r="2143" spans="1:8" hidden="1" x14ac:dyDescent="0.15">
      <c r="A2143" s="2200" t="s">
        <v>11502</v>
      </c>
      <c r="B2143" s="2200" t="s">
        <v>14997</v>
      </c>
      <c r="C2143" s="2200" t="s">
        <v>14998</v>
      </c>
      <c r="D2143" s="2200" t="str">
        <f t="shared" si="132"/>
        <v>NH</v>
      </c>
      <c r="E2143" s="2200">
        <f t="shared" si="133"/>
        <v>19</v>
      </c>
      <c r="F2143" s="2200" t="str">
        <f t="shared" si="134"/>
        <v>33</v>
      </c>
      <c r="G2143" s="2200" t="str">
        <f t="shared" si="135"/>
        <v>21380</v>
      </c>
      <c r="H2143" s="2200">
        <f>--SUBTOTAL(3,C$2:C2143)</f>
        <v>99</v>
      </c>
    </row>
    <row r="2144" spans="1:8" hidden="1" x14ac:dyDescent="0.15">
      <c r="A2144" s="2200" t="s">
        <v>11502</v>
      </c>
      <c r="B2144" s="2200" t="s">
        <v>14999</v>
      </c>
      <c r="C2144" s="2200" t="s">
        <v>15000</v>
      </c>
      <c r="D2144" s="2200" t="str">
        <f t="shared" si="132"/>
        <v>NH</v>
      </c>
      <c r="E2144" s="2200">
        <f t="shared" si="133"/>
        <v>12</v>
      </c>
      <c r="F2144" s="2200" t="str">
        <f t="shared" si="134"/>
        <v>33</v>
      </c>
      <c r="G2144" s="2200" t="str">
        <f t="shared" si="135"/>
        <v>22020</v>
      </c>
      <c r="H2144" s="2200">
        <f>--SUBTOTAL(3,C$2:C2144)</f>
        <v>99</v>
      </c>
    </row>
    <row r="2145" spans="1:8" hidden="1" x14ac:dyDescent="0.15">
      <c r="A2145" s="2200" t="s">
        <v>11502</v>
      </c>
      <c r="B2145" s="2200" t="s">
        <v>15001</v>
      </c>
      <c r="C2145" s="2200" t="s">
        <v>15002</v>
      </c>
      <c r="D2145" s="2200" t="str">
        <f t="shared" si="132"/>
        <v>NH</v>
      </c>
      <c r="E2145" s="2200">
        <f t="shared" si="133"/>
        <v>11</v>
      </c>
      <c r="F2145" s="2200" t="str">
        <f t="shared" si="134"/>
        <v>33</v>
      </c>
      <c r="G2145" s="2200" t="str">
        <f t="shared" si="135"/>
        <v>23380</v>
      </c>
      <c r="H2145" s="2200">
        <f>--SUBTOTAL(3,C$2:C2145)</f>
        <v>99</v>
      </c>
    </row>
    <row r="2146" spans="1:8" hidden="1" x14ac:dyDescent="0.15">
      <c r="A2146" s="2200" t="s">
        <v>11502</v>
      </c>
      <c r="B2146" s="2200" t="s">
        <v>15003</v>
      </c>
      <c r="C2146" s="2200" t="s">
        <v>15004</v>
      </c>
      <c r="D2146" s="2200" t="str">
        <f t="shared" si="132"/>
        <v>NH</v>
      </c>
      <c r="E2146" s="2200">
        <f t="shared" si="133"/>
        <v>15</v>
      </c>
      <c r="F2146" s="2200" t="str">
        <f t="shared" si="134"/>
        <v>33</v>
      </c>
      <c r="G2146" s="2200" t="str">
        <f t="shared" si="135"/>
        <v>23620</v>
      </c>
      <c r="H2146" s="2200">
        <f>--SUBTOTAL(3,C$2:C2146)</f>
        <v>99</v>
      </c>
    </row>
    <row r="2147" spans="1:8" hidden="1" x14ac:dyDescent="0.15">
      <c r="A2147" s="2200" t="s">
        <v>11502</v>
      </c>
      <c r="B2147" s="2200" t="s">
        <v>15005</v>
      </c>
      <c r="C2147" s="2200" t="s">
        <v>15006</v>
      </c>
      <c r="D2147" s="2200" t="str">
        <f t="shared" si="132"/>
        <v>NH</v>
      </c>
      <c r="E2147" s="2200">
        <f t="shared" si="133"/>
        <v>15</v>
      </c>
      <c r="F2147" s="2200" t="str">
        <f t="shared" si="134"/>
        <v>33</v>
      </c>
      <c r="G2147" s="2200" t="str">
        <f t="shared" si="135"/>
        <v>23860</v>
      </c>
      <c r="H2147" s="2200">
        <f>--SUBTOTAL(3,C$2:C2147)</f>
        <v>99</v>
      </c>
    </row>
    <row r="2148" spans="1:8" hidden="1" x14ac:dyDescent="0.15">
      <c r="A2148" s="2200" t="s">
        <v>11502</v>
      </c>
      <c r="B2148" s="2200" t="s">
        <v>15007</v>
      </c>
      <c r="C2148" s="2200" t="s">
        <v>15008</v>
      </c>
      <c r="D2148" s="2200" t="str">
        <f t="shared" si="132"/>
        <v>NH</v>
      </c>
      <c r="E2148" s="2200">
        <f t="shared" si="133"/>
        <v>13</v>
      </c>
      <c r="F2148" s="2200" t="str">
        <f t="shared" si="134"/>
        <v>33</v>
      </c>
      <c r="G2148" s="2200" t="str">
        <f t="shared" si="135"/>
        <v>24340</v>
      </c>
      <c r="H2148" s="2200">
        <f>--SUBTOTAL(3,C$2:C2148)</f>
        <v>99</v>
      </c>
    </row>
    <row r="2149" spans="1:8" hidden="1" x14ac:dyDescent="0.15">
      <c r="A2149" s="2200" t="s">
        <v>11502</v>
      </c>
      <c r="B2149" s="2200" t="s">
        <v>15009</v>
      </c>
      <c r="C2149" s="2200" t="s">
        <v>15010</v>
      </c>
      <c r="D2149" s="2200" t="str">
        <f t="shared" si="132"/>
        <v>NH</v>
      </c>
      <c r="E2149" s="2200">
        <f t="shared" si="133"/>
        <v>12</v>
      </c>
      <c r="F2149" s="2200" t="str">
        <f t="shared" si="134"/>
        <v>33</v>
      </c>
      <c r="G2149" s="2200" t="str">
        <f t="shared" si="135"/>
        <v>24660</v>
      </c>
      <c r="H2149" s="2200">
        <f>--SUBTOTAL(3,C$2:C2149)</f>
        <v>99</v>
      </c>
    </row>
    <row r="2150" spans="1:8" hidden="1" x14ac:dyDescent="0.15">
      <c r="A2150" s="2200" t="s">
        <v>11502</v>
      </c>
      <c r="B2150" s="2200" t="s">
        <v>15011</v>
      </c>
      <c r="C2150" s="2200" t="s">
        <v>15012</v>
      </c>
      <c r="D2150" s="2200" t="str">
        <f t="shared" si="132"/>
        <v>NH</v>
      </c>
      <c r="E2150" s="2200">
        <f t="shared" si="133"/>
        <v>11</v>
      </c>
      <c r="F2150" s="2200" t="str">
        <f t="shared" si="134"/>
        <v>33</v>
      </c>
      <c r="G2150" s="2200" t="str">
        <f t="shared" si="135"/>
        <v>24900</v>
      </c>
      <c r="H2150" s="2200">
        <f>--SUBTOTAL(3,C$2:C2150)</f>
        <v>99</v>
      </c>
    </row>
    <row r="2151" spans="1:8" hidden="1" x14ac:dyDescent="0.15">
      <c r="A2151" s="2200" t="s">
        <v>11502</v>
      </c>
      <c r="B2151" s="2200" t="s">
        <v>15013</v>
      </c>
      <c r="C2151" s="2200" t="s">
        <v>15014</v>
      </c>
      <c r="D2151" s="2200" t="str">
        <f t="shared" si="132"/>
        <v>NH</v>
      </c>
      <c r="E2151" s="2200">
        <f t="shared" si="133"/>
        <v>11</v>
      </c>
      <c r="F2151" s="2200" t="str">
        <f t="shared" si="134"/>
        <v>33</v>
      </c>
      <c r="G2151" s="2200" t="str">
        <f t="shared" si="135"/>
        <v>25140</v>
      </c>
      <c r="H2151" s="2200">
        <f>--SUBTOTAL(3,C$2:C2151)</f>
        <v>99</v>
      </c>
    </row>
    <row r="2152" spans="1:8" hidden="1" x14ac:dyDescent="0.15">
      <c r="A2152" s="2200" t="s">
        <v>11502</v>
      </c>
      <c r="B2152" s="2200" t="s">
        <v>15015</v>
      </c>
      <c r="C2152" s="2200" t="s">
        <v>15016</v>
      </c>
      <c r="D2152" s="2200" t="str">
        <f t="shared" si="132"/>
        <v>NH</v>
      </c>
      <c r="E2152" s="2200">
        <f t="shared" si="133"/>
        <v>12</v>
      </c>
      <c r="F2152" s="2200" t="str">
        <f t="shared" si="134"/>
        <v>33</v>
      </c>
      <c r="G2152" s="2200" t="str">
        <f t="shared" si="135"/>
        <v>25380</v>
      </c>
      <c r="H2152" s="2200">
        <f>--SUBTOTAL(3,C$2:C2152)</f>
        <v>99</v>
      </c>
    </row>
    <row r="2153" spans="1:8" hidden="1" x14ac:dyDescent="0.15">
      <c r="A2153" s="2200" t="s">
        <v>11502</v>
      </c>
      <c r="B2153" s="2200" t="s">
        <v>15017</v>
      </c>
      <c r="C2153" s="2200" t="s">
        <v>15018</v>
      </c>
      <c r="D2153" s="2200" t="str">
        <f t="shared" si="132"/>
        <v>NH</v>
      </c>
      <c r="E2153" s="2200">
        <f t="shared" si="133"/>
        <v>16</v>
      </c>
      <c r="F2153" s="2200" t="str">
        <f t="shared" si="134"/>
        <v>33</v>
      </c>
      <c r="G2153" s="2200" t="str">
        <f t="shared" si="135"/>
        <v>26020</v>
      </c>
      <c r="H2153" s="2200">
        <f>--SUBTOTAL(3,C$2:C2153)</f>
        <v>99</v>
      </c>
    </row>
    <row r="2154" spans="1:8" hidden="1" x14ac:dyDescent="0.15">
      <c r="A2154" s="2200" t="s">
        <v>11502</v>
      </c>
      <c r="B2154" s="2200" t="s">
        <v>15019</v>
      </c>
      <c r="C2154" s="2200" t="s">
        <v>15020</v>
      </c>
      <c r="D2154" s="2200" t="str">
        <f t="shared" si="132"/>
        <v>NH</v>
      </c>
      <c r="E2154" s="2200">
        <f t="shared" si="133"/>
        <v>17</v>
      </c>
      <c r="F2154" s="2200" t="str">
        <f t="shared" si="134"/>
        <v>33</v>
      </c>
      <c r="G2154" s="2200" t="str">
        <f t="shared" si="135"/>
        <v>26500</v>
      </c>
      <c r="H2154" s="2200">
        <f>--SUBTOTAL(3,C$2:C2154)</f>
        <v>99</v>
      </c>
    </row>
    <row r="2155" spans="1:8" hidden="1" x14ac:dyDescent="0.15">
      <c r="A2155" s="2200" t="s">
        <v>11502</v>
      </c>
      <c r="B2155" s="2200" t="s">
        <v>15021</v>
      </c>
      <c r="C2155" s="2200" t="s">
        <v>15022</v>
      </c>
      <c r="D2155" s="2200" t="str">
        <f t="shared" si="132"/>
        <v>NH</v>
      </c>
      <c r="E2155" s="2200">
        <f t="shared" si="133"/>
        <v>17</v>
      </c>
      <c r="F2155" s="2200" t="str">
        <f t="shared" si="134"/>
        <v>33</v>
      </c>
      <c r="G2155" s="2200" t="str">
        <f t="shared" si="135"/>
        <v>27140</v>
      </c>
      <c r="H2155" s="2200">
        <f>--SUBTOTAL(3,C$2:C2155)</f>
        <v>99</v>
      </c>
    </row>
    <row r="2156" spans="1:8" hidden="1" x14ac:dyDescent="0.15">
      <c r="A2156" s="2200" t="s">
        <v>11502</v>
      </c>
      <c r="B2156" s="2200" t="s">
        <v>15023</v>
      </c>
      <c r="C2156" s="2200" t="s">
        <v>15024</v>
      </c>
      <c r="D2156" s="2200" t="str">
        <f t="shared" si="132"/>
        <v>NH</v>
      </c>
      <c r="E2156" s="2200">
        <f t="shared" si="133"/>
        <v>15</v>
      </c>
      <c r="F2156" s="2200" t="str">
        <f t="shared" si="134"/>
        <v>33</v>
      </c>
      <c r="G2156" s="2200" t="str">
        <f t="shared" si="135"/>
        <v>27300</v>
      </c>
      <c r="H2156" s="2200">
        <f>--SUBTOTAL(3,C$2:C2156)</f>
        <v>99</v>
      </c>
    </row>
    <row r="2157" spans="1:8" hidden="1" x14ac:dyDescent="0.15">
      <c r="A2157" s="2200" t="s">
        <v>11502</v>
      </c>
      <c r="B2157" s="2200" t="s">
        <v>15025</v>
      </c>
      <c r="C2157" s="2200" t="s">
        <v>15026</v>
      </c>
      <c r="D2157" s="2200" t="str">
        <f t="shared" si="132"/>
        <v>NH</v>
      </c>
      <c r="E2157" s="2200">
        <f t="shared" si="133"/>
        <v>14</v>
      </c>
      <c r="F2157" s="2200" t="str">
        <f t="shared" si="134"/>
        <v>33</v>
      </c>
      <c r="G2157" s="2200" t="str">
        <f t="shared" si="135"/>
        <v>27380</v>
      </c>
      <c r="H2157" s="2200">
        <f>--SUBTOTAL(3,C$2:C2157)</f>
        <v>99</v>
      </c>
    </row>
    <row r="2158" spans="1:8" hidden="1" x14ac:dyDescent="0.15">
      <c r="A2158" s="2200" t="s">
        <v>11443</v>
      </c>
      <c r="B2158" s="2200" t="s">
        <v>15027</v>
      </c>
      <c r="C2158" s="2200" t="s">
        <v>15028</v>
      </c>
      <c r="D2158" s="2200" t="str">
        <f t="shared" si="132"/>
        <v>NH</v>
      </c>
      <c r="E2158" s="2200">
        <f t="shared" si="133"/>
        <v>9</v>
      </c>
      <c r="F2158" s="2200" t="str">
        <f t="shared" si="134"/>
        <v>33</v>
      </c>
      <c r="G2158" s="2200" t="str">
        <f t="shared" si="135"/>
        <v>81020</v>
      </c>
      <c r="H2158" s="2200">
        <f>--SUBTOTAL(3,C$2:C2158)</f>
        <v>99</v>
      </c>
    </row>
    <row r="2159" spans="1:8" hidden="1" x14ac:dyDescent="0.15">
      <c r="A2159" s="2200" t="s">
        <v>11502</v>
      </c>
      <c r="B2159" s="2200" t="s">
        <v>15029</v>
      </c>
      <c r="C2159" s="2200" t="s">
        <v>15030</v>
      </c>
      <c r="D2159" s="2200" t="str">
        <f t="shared" si="132"/>
        <v>NH</v>
      </c>
      <c r="E2159" s="2200">
        <f t="shared" si="133"/>
        <v>13</v>
      </c>
      <c r="F2159" s="2200" t="str">
        <f t="shared" si="134"/>
        <v>33</v>
      </c>
      <c r="G2159" s="2200" t="str">
        <f t="shared" si="135"/>
        <v>27700</v>
      </c>
      <c r="H2159" s="2200">
        <f>--SUBTOTAL(3,C$2:C2159)</f>
        <v>99</v>
      </c>
    </row>
    <row r="2160" spans="1:8" hidden="1" x14ac:dyDescent="0.15">
      <c r="A2160" s="2200" t="s">
        <v>11502</v>
      </c>
      <c r="B2160" s="2200" t="s">
        <v>15031</v>
      </c>
      <c r="C2160" s="2200" t="s">
        <v>15032</v>
      </c>
      <c r="D2160" s="2200" t="str">
        <f t="shared" si="132"/>
        <v>NH</v>
      </c>
      <c r="E2160" s="2200">
        <f t="shared" si="133"/>
        <v>13</v>
      </c>
      <c r="F2160" s="2200" t="str">
        <f t="shared" si="134"/>
        <v>33</v>
      </c>
      <c r="G2160" s="2200" t="str">
        <f t="shared" si="135"/>
        <v>27940</v>
      </c>
      <c r="H2160" s="2200">
        <f>--SUBTOTAL(3,C$2:C2160)</f>
        <v>99</v>
      </c>
    </row>
    <row r="2161" spans="1:8" hidden="1" x14ac:dyDescent="0.15">
      <c r="A2161" s="2200" t="s">
        <v>11502</v>
      </c>
      <c r="B2161" s="2200" t="s">
        <v>15033</v>
      </c>
      <c r="C2161" s="2200" t="s">
        <v>15034</v>
      </c>
      <c r="D2161" s="2200" t="str">
        <f t="shared" si="132"/>
        <v>NH</v>
      </c>
      <c r="E2161" s="2200">
        <f t="shared" si="133"/>
        <v>13</v>
      </c>
      <c r="F2161" s="2200" t="str">
        <f t="shared" si="134"/>
        <v>33</v>
      </c>
      <c r="G2161" s="2200" t="str">
        <f t="shared" si="135"/>
        <v>28740</v>
      </c>
      <c r="H2161" s="2200">
        <f>--SUBTOTAL(3,C$2:C2161)</f>
        <v>99</v>
      </c>
    </row>
    <row r="2162" spans="1:8" hidden="1" x14ac:dyDescent="0.15">
      <c r="A2162" s="2200" t="s">
        <v>11502</v>
      </c>
      <c r="B2162" s="2200" t="s">
        <v>15035</v>
      </c>
      <c r="C2162" s="2200" t="s">
        <v>15036</v>
      </c>
      <c r="D2162" s="2200" t="str">
        <f t="shared" si="132"/>
        <v>NH</v>
      </c>
      <c r="E2162" s="2200">
        <f t="shared" si="133"/>
        <v>15</v>
      </c>
      <c r="F2162" s="2200" t="str">
        <f t="shared" si="134"/>
        <v>33</v>
      </c>
      <c r="G2162" s="2200" t="str">
        <f t="shared" si="135"/>
        <v>28980</v>
      </c>
      <c r="H2162" s="2200">
        <f>--SUBTOTAL(3,C$2:C2162)</f>
        <v>99</v>
      </c>
    </row>
    <row r="2163" spans="1:8" hidden="1" x14ac:dyDescent="0.15">
      <c r="A2163" s="2200" t="s">
        <v>11502</v>
      </c>
      <c r="B2163" s="2200" t="s">
        <v>15037</v>
      </c>
      <c r="C2163" s="2200" t="s">
        <v>15038</v>
      </c>
      <c r="D2163" s="2200" t="str">
        <f t="shared" si="132"/>
        <v>NH</v>
      </c>
      <c r="E2163" s="2200">
        <f t="shared" si="133"/>
        <v>12</v>
      </c>
      <c r="F2163" s="2200" t="str">
        <f t="shared" si="134"/>
        <v>33</v>
      </c>
      <c r="G2163" s="2200" t="str">
        <f t="shared" si="135"/>
        <v>29220</v>
      </c>
      <c r="H2163" s="2200">
        <f>--SUBTOTAL(3,C$2:C2163)</f>
        <v>99</v>
      </c>
    </row>
    <row r="2164" spans="1:8" hidden="1" x14ac:dyDescent="0.15">
      <c r="A2164" s="2200" t="s">
        <v>11502</v>
      </c>
      <c r="B2164" s="2200" t="s">
        <v>15039</v>
      </c>
      <c r="C2164" s="2200" t="s">
        <v>15040</v>
      </c>
      <c r="D2164" s="2200" t="str">
        <f t="shared" si="132"/>
        <v>NH</v>
      </c>
      <c r="E2164" s="2200">
        <f t="shared" si="133"/>
        <v>15</v>
      </c>
      <c r="F2164" s="2200" t="str">
        <f t="shared" si="134"/>
        <v>33</v>
      </c>
      <c r="G2164" s="2200" t="str">
        <f t="shared" si="135"/>
        <v>29860</v>
      </c>
      <c r="H2164" s="2200">
        <f>--SUBTOTAL(3,C$2:C2164)</f>
        <v>99</v>
      </c>
    </row>
    <row r="2165" spans="1:8" hidden="1" x14ac:dyDescent="0.15">
      <c r="A2165" s="2200" t="s">
        <v>11502</v>
      </c>
      <c r="B2165" s="2200" t="s">
        <v>15041</v>
      </c>
      <c r="C2165" s="2200" t="s">
        <v>15042</v>
      </c>
      <c r="D2165" s="2200" t="str">
        <f t="shared" si="132"/>
        <v>NH</v>
      </c>
      <c r="E2165" s="2200">
        <f t="shared" si="133"/>
        <v>12</v>
      </c>
      <c r="F2165" s="2200" t="str">
        <f t="shared" si="134"/>
        <v>33</v>
      </c>
      <c r="G2165" s="2200" t="str">
        <f t="shared" si="135"/>
        <v>30260</v>
      </c>
      <c r="H2165" s="2200">
        <f>--SUBTOTAL(3,C$2:C2165)</f>
        <v>99</v>
      </c>
    </row>
    <row r="2166" spans="1:8" hidden="1" x14ac:dyDescent="0.15">
      <c r="A2166" s="2200" t="s">
        <v>11502</v>
      </c>
      <c r="B2166" s="2200" t="s">
        <v>15043</v>
      </c>
      <c r="C2166" s="2200" t="s">
        <v>15044</v>
      </c>
      <c r="D2166" s="2200" t="str">
        <f t="shared" si="132"/>
        <v>NH</v>
      </c>
      <c r="E2166" s="2200">
        <f t="shared" si="133"/>
        <v>12</v>
      </c>
      <c r="F2166" s="2200" t="str">
        <f t="shared" si="134"/>
        <v>33</v>
      </c>
      <c r="G2166" s="2200" t="str">
        <f t="shared" si="135"/>
        <v>30500</v>
      </c>
      <c r="H2166" s="2200">
        <f>--SUBTOTAL(3,C$2:C2166)</f>
        <v>99</v>
      </c>
    </row>
    <row r="2167" spans="1:8" hidden="1" x14ac:dyDescent="0.15">
      <c r="A2167" s="2200" t="s">
        <v>11502</v>
      </c>
      <c r="B2167" s="2200" t="s">
        <v>15045</v>
      </c>
      <c r="C2167" s="2200" t="s">
        <v>15046</v>
      </c>
      <c r="D2167" s="2200" t="str">
        <f t="shared" si="132"/>
        <v>NH</v>
      </c>
      <c r="E2167" s="2200">
        <f t="shared" si="133"/>
        <v>13</v>
      </c>
      <c r="F2167" s="2200" t="str">
        <f t="shared" si="134"/>
        <v>33</v>
      </c>
      <c r="G2167" s="2200" t="str">
        <f t="shared" si="135"/>
        <v>30820</v>
      </c>
      <c r="H2167" s="2200">
        <f>--SUBTOTAL(3,C$2:C2167)</f>
        <v>99</v>
      </c>
    </row>
    <row r="2168" spans="1:8" hidden="1" x14ac:dyDescent="0.15">
      <c r="A2168" s="2200" t="s">
        <v>11502</v>
      </c>
      <c r="B2168" s="2200" t="s">
        <v>15047</v>
      </c>
      <c r="C2168" s="2200" t="s">
        <v>15048</v>
      </c>
      <c r="D2168" s="2200" t="str">
        <f t="shared" si="132"/>
        <v>NH</v>
      </c>
      <c r="E2168" s="2200">
        <f t="shared" si="133"/>
        <v>14</v>
      </c>
      <c r="F2168" s="2200" t="str">
        <f t="shared" si="134"/>
        <v>33</v>
      </c>
      <c r="G2168" s="2200" t="str">
        <f t="shared" si="135"/>
        <v>31220</v>
      </c>
      <c r="H2168" s="2200">
        <f>--SUBTOTAL(3,C$2:C2168)</f>
        <v>99</v>
      </c>
    </row>
    <row r="2169" spans="1:8" hidden="1" x14ac:dyDescent="0.15">
      <c r="A2169" s="2200" t="s">
        <v>11502</v>
      </c>
      <c r="B2169" s="2200" t="s">
        <v>15049</v>
      </c>
      <c r="C2169" s="2200" t="s">
        <v>15050</v>
      </c>
      <c r="D2169" s="2200" t="str">
        <f t="shared" si="132"/>
        <v>NH</v>
      </c>
      <c r="E2169" s="2200">
        <f t="shared" si="133"/>
        <v>16</v>
      </c>
      <c r="F2169" s="2200" t="str">
        <f t="shared" si="134"/>
        <v>33</v>
      </c>
      <c r="G2169" s="2200" t="str">
        <f t="shared" si="135"/>
        <v>31540</v>
      </c>
      <c r="H2169" s="2200">
        <f>--SUBTOTAL(3,C$2:C2169)</f>
        <v>99</v>
      </c>
    </row>
    <row r="2170" spans="1:8" hidden="1" x14ac:dyDescent="0.15">
      <c r="A2170" s="2200" t="s">
        <v>11502</v>
      </c>
      <c r="B2170" s="2200" t="s">
        <v>15051</v>
      </c>
      <c r="C2170" s="2200" t="s">
        <v>15052</v>
      </c>
      <c r="D2170" s="2200" t="str">
        <f t="shared" si="132"/>
        <v>NH</v>
      </c>
      <c r="E2170" s="2200">
        <f t="shared" si="133"/>
        <v>15</v>
      </c>
      <c r="F2170" s="2200" t="str">
        <f t="shared" si="134"/>
        <v>33</v>
      </c>
      <c r="G2170" s="2200" t="str">
        <f t="shared" si="135"/>
        <v>31700</v>
      </c>
      <c r="H2170" s="2200">
        <f>--SUBTOTAL(3,C$2:C2170)</f>
        <v>99</v>
      </c>
    </row>
    <row r="2171" spans="1:8" hidden="1" x14ac:dyDescent="0.15">
      <c r="A2171" s="2200" t="s">
        <v>11502</v>
      </c>
      <c r="B2171" s="2200" t="s">
        <v>15053</v>
      </c>
      <c r="C2171" s="2200" t="s">
        <v>15054</v>
      </c>
      <c r="D2171" s="2200" t="str">
        <f t="shared" si="132"/>
        <v>NH</v>
      </c>
      <c r="E2171" s="2200">
        <f t="shared" si="133"/>
        <v>16</v>
      </c>
      <c r="F2171" s="2200" t="str">
        <f t="shared" si="134"/>
        <v>33</v>
      </c>
      <c r="G2171" s="2200" t="str">
        <f t="shared" si="135"/>
        <v>31940</v>
      </c>
      <c r="H2171" s="2200">
        <f>--SUBTOTAL(3,C$2:C2171)</f>
        <v>99</v>
      </c>
    </row>
    <row r="2172" spans="1:8" hidden="1" x14ac:dyDescent="0.15">
      <c r="A2172" s="2200" t="s">
        <v>11502</v>
      </c>
      <c r="B2172" s="2200" t="s">
        <v>15055</v>
      </c>
      <c r="C2172" s="2200" t="s">
        <v>15056</v>
      </c>
      <c r="D2172" s="2200" t="str">
        <f t="shared" si="132"/>
        <v>NH</v>
      </c>
      <c r="E2172" s="2200">
        <f t="shared" si="133"/>
        <v>12</v>
      </c>
      <c r="F2172" s="2200" t="str">
        <f t="shared" si="134"/>
        <v>33</v>
      </c>
      <c r="G2172" s="2200" t="str">
        <f t="shared" si="135"/>
        <v>32180</v>
      </c>
      <c r="H2172" s="2200">
        <f>--SUBTOTAL(3,C$2:C2172)</f>
        <v>99</v>
      </c>
    </row>
    <row r="2173" spans="1:8" hidden="1" x14ac:dyDescent="0.15">
      <c r="A2173" s="2200" t="s">
        <v>11502</v>
      </c>
      <c r="B2173" s="2200" t="s">
        <v>15057</v>
      </c>
      <c r="C2173" s="2200" t="s">
        <v>15058</v>
      </c>
      <c r="D2173" s="2200" t="str">
        <f t="shared" si="132"/>
        <v>NH</v>
      </c>
      <c r="E2173" s="2200">
        <f t="shared" si="133"/>
        <v>16</v>
      </c>
      <c r="F2173" s="2200" t="str">
        <f t="shared" si="134"/>
        <v>33</v>
      </c>
      <c r="G2173" s="2200" t="str">
        <f t="shared" si="135"/>
        <v>32500</v>
      </c>
      <c r="H2173" s="2200">
        <f>--SUBTOTAL(3,C$2:C2173)</f>
        <v>99</v>
      </c>
    </row>
    <row r="2174" spans="1:8" hidden="1" x14ac:dyDescent="0.15">
      <c r="A2174" s="2200" t="s">
        <v>11502</v>
      </c>
      <c r="B2174" s="2200" t="s">
        <v>15059</v>
      </c>
      <c r="C2174" s="2200" t="s">
        <v>15060</v>
      </c>
      <c r="D2174" s="2200" t="str">
        <f t="shared" si="132"/>
        <v>NH</v>
      </c>
      <c r="E2174" s="2200">
        <f t="shared" si="133"/>
        <v>15</v>
      </c>
      <c r="F2174" s="2200" t="str">
        <f t="shared" si="134"/>
        <v>33</v>
      </c>
      <c r="G2174" s="2200" t="str">
        <f t="shared" si="135"/>
        <v>32900</v>
      </c>
      <c r="H2174" s="2200">
        <f>--SUBTOTAL(3,C$2:C2174)</f>
        <v>99</v>
      </c>
    </row>
    <row r="2175" spans="1:8" hidden="1" x14ac:dyDescent="0.15">
      <c r="A2175" s="2200" t="s">
        <v>11502</v>
      </c>
      <c r="B2175" s="2200" t="s">
        <v>15061</v>
      </c>
      <c r="C2175" s="2200" t="s">
        <v>15062</v>
      </c>
      <c r="D2175" s="2200" t="str">
        <f t="shared" si="132"/>
        <v>NH</v>
      </c>
      <c r="E2175" s="2200">
        <f t="shared" si="133"/>
        <v>19</v>
      </c>
      <c r="F2175" s="2200" t="str">
        <f t="shared" si="134"/>
        <v>33</v>
      </c>
      <c r="G2175" s="2200" t="str">
        <f t="shared" si="135"/>
        <v>33460</v>
      </c>
      <c r="H2175" s="2200">
        <f>--SUBTOTAL(3,C$2:C2175)</f>
        <v>99</v>
      </c>
    </row>
    <row r="2176" spans="1:8" hidden="1" x14ac:dyDescent="0.15">
      <c r="A2176" s="2200" t="s">
        <v>11502</v>
      </c>
      <c r="B2176" s="2200" t="s">
        <v>15063</v>
      </c>
      <c r="C2176" s="2200" t="s">
        <v>15064</v>
      </c>
      <c r="D2176" s="2200" t="str">
        <f t="shared" si="132"/>
        <v>NH</v>
      </c>
      <c r="E2176" s="2200">
        <f t="shared" si="133"/>
        <v>13</v>
      </c>
      <c r="F2176" s="2200" t="str">
        <f t="shared" si="134"/>
        <v>33</v>
      </c>
      <c r="G2176" s="2200" t="str">
        <f t="shared" si="135"/>
        <v>33060</v>
      </c>
      <c r="H2176" s="2200">
        <f>--SUBTOTAL(3,C$2:C2176)</f>
        <v>99</v>
      </c>
    </row>
    <row r="2177" spans="1:8" hidden="1" x14ac:dyDescent="0.15">
      <c r="A2177" s="2200" t="s">
        <v>11502</v>
      </c>
      <c r="B2177" s="2200" t="s">
        <v>15065</v>
      </c>
      <c r="C2177" s="2200" t="s">
        <v>15066</v>
      </c>
      <c r="D2177" s="2200" t="str">
        <f t="shared" si="132"/>
        <v>NH</v>
      </c>
      <c r="E2177" s="2200">
        <f t="shared" si="133"/>
        <v>13</v>
      </c>
      <c r="F2177" s="2200" t="str">
        <f t="shared" si="134"/>
        <v>33</v>
      </c>
      <c r="G2177" s="2200" t="str">
        <f t="shared" si="135"/>
        <v>33700</v>
      </c>
      <c r="H2177" s="2200">
        <f>--SUBTOTAL(3,C$2:C2177)</f>
        <v>99</v>
      </c>
    </row>
    <row r="2178" spans="1:8" hidden="1" x14ac:dyDescent="0.15">
      <c r="A2178" s="2200" t="s">
        <v>11502</v>
      </c>
      <c r="B2178" s="2200" t="s">
        <v>15067</v>
      </c>
      <c r="C2178" s="2200" t="s">
        <v>15068</v>
      </c>
      <c r="D2178" s="2200" t="str">
        <f t="shared" ref="D2178:D2241" si="136">MID(C2178,E2178+2,2)</f>
        <v>NH</v>
      </c>
      <c r="E2178" s="2200">
        <f t="shared" ref="E2178:E2241" si="137">FIND(",",C2178)</f>
        <v>13</v>
      </c>
      <c r="F2178" s="2200" t="str">
        <f t="shared" si="134"/>
        <v>33</v>
      </c>
      <c r="G2178" s="2200" t="str">
        <f t="shared" si="135"/>
        <v>33860</v>
      </c>
      <c r="H2178" s="2200">
        <f>--SUBTOTAL(3,C$2:C2178)</f>
        <v>99</v>
      </c>
    </row>
    <row r="2179" spans="1:8" hidden="1" x14ac:dyDescent="0.15">
      <c r="A2179" s="2200" t="s">
        <v>11502</v>
      </c>
      <c r="B2179" s="2200" t="s">
        <v>15069</v>
      </c>
      <c r="C2179" s="2200" t="s">
        <v>15070</v>
      </c>
      <c r="D2179" s="2200" t="str">
        <f t="shared" si="136"/>
        <v>NH</v>
      </c>
      <c r="E2179" s="2200">
        <f t="shared" si="137"/>
        <v>17</v>
      </c>
      <c r="F2179" s="2200" t="str">
        <f t="shared" ref="F2179:F2242" si="138">MID(B2179,3,2)</f>
        <v>33</v>
      </c>
      <c r="G2179" s="2200" t="str">
        <f t="shared" ref="G2179:G2242" si="139">MID(B2179,5,5)</f>
        <v>34420</v>
      </c>
      <c r="H2179" s="2200">
        <f>--SUBTOTAL(3,C$2:C2179)</f>
        <v>99</v>
      </c>
    </row>
    <row r="2180" spans="1:8" hidden="1" x14ac:dyDescent="0.15">
      <c r="A2180" s="2200" t="s">
        <v>11502</v>
      </c>
      <c r="B2180" s="2200" t="s">
        <v>15071</v>
      </c>
      <c r="C2180" s="2200" t="s">
        <v>15072</v>
      </c>
      <c r="D2180" s="2200" t="str">
        <f t="shared" si="136"/>
        <v>NH</v>
      </c>
      <c r="E2180" s="2200">
        <f t="shared" si="137"/>
        <v>21</v>
      </c>
      <c r="F2180" s="2200" t="str">
        <f t="shared" si="138"/>
        <v>33</v>
      </c>
      <c r="G2180" s="2200" t="str">
        <f t="shared" si="139"/>
        <v>34500</v>
      </c>
      <c r="H2180" s="2200">
        <f>--SUBTOTAL(3,C$2:C2180)</f>
        <v>99</v>
      </c>
    </row>
    <row r="2181" spans="1:8" hidden="1" x14ac:dyDescent="0.15">
      <c r="A2181" s="2200" t="s">
        <v>11502</v>
      </c>
      <c r="B2181" s="2200" t="s">
        <v>15073</v>
      </c>
      <c r="C2181" s="2200" t="s">
        <v>15074</v>
      </c>
      <c r="D2181" s="2200" t="str">
        <f t="shared" si="136"/>
        <v>NH</v>
      </c>
      <c r="E2181" s="2200">
        <f t="shared" si="137"/>
        <v>15</v>
      </c>
      <c r="F2181" s="2200" t="str">
        <f t="shared" si="138"/>
        <v>33</v>
      </c>
      <c r="G2181" s="2200" t="str">
        <f t="shared" si="139"/>
        <v>34820</v>
      </c>
      <c r="H2181" s="2200">
        <f>--SUBTOTAL(3,C$2:C2181)</f>
        <v>99</v>
      </c>
    </row>
    <row r="2182" spans="1:8" hidden="1" x14ac:dyDescent="0.15">
      <c r="A2182" s="2200" t="s">
        <v>11443</v>
      </c>
      <c r="B2182" s="2200" t="s">
        <v>15075</v>
      </c>
      <c r="C2182" s="2200" t="s">
        <v>15076</v>
      </c>
      <c r="D2182" s="2200" t="str">
        <f t="shared" si="136"/>
        <v>NH</v>
      </c>
      <c r="E2182" s="2200">
        <f t="shared" si="137"/>
        <v>10</v>
      </c>
      <c r="F2182" s="2200" t="str">
        <f t="shared" si="138"/>
        <v>33</v>
      </c>
      <c r="G2182" s="2200" t="str">
        <f t="shared" si="139"/>
        <v>81260</v>
      </c>
      <c r="H2182" s="2200">
        <f>--SUBTOTAL(3,C$2:C2182)</f>
        <v>99</v>
      </c>
    </row>
    <row r="2183" spans="1:8" hidden="1" x14ac:dyDescent="0.15">
      <c r="A2183" s="2200" t="s">
        <v>11502</v>
      </c>
      <c r="B2183" s="2200" t="s">
        <v>15077</v>
      </c>
      <c r="C2183" s="2200" t="s">
        <v>15078</v>
      </c>
      <c r="D2183" s="2200" t="str">
        <f t="shared" si="136"/>
        <v>NH</v>
      </c>
      <c r="E2183" s="2200">
        <f t="shared" si="137"/>
        <v>12</v>
      </c>
      <c r="F2183" s="2200" t="str">
        <f t="shared" si="138"/>
        <v>33</v>
      </c>
      <c r="G2183" s="2200" t="str">
        <f t="shared" si="139"/>
        <v>35220</v>
      </c>
      <c r="H2183" s="2200">
        <f>--SUBTOTAL(3,C$2:C2183)</f>
        <v>99</v>
      </c>
    </row>
    <row r="2184" spans="1:8" hidden="1" x14ac:dyDescent="0.15">
      <c r="A2184" s="2200" t="s">
        <v>11502</v>
      </c>
      <c r="B2184" s="2200" t="s">
        <v>15079</v>
      </c>
      <c r="C2184" s="2200" t="s">
        <v>15080</v>
      </c>
      <c r="D2184" s="2200" t="str">
        <f t="shared" si="136"/>
        <v>NH</v>
      </c>
      <c r="E2184" s="2200">
        <f t="shared" si="137"/>
        <v>14</v>
      </c>
      <c r="F2184" s="2200" t="str">
        <f t="shared" si="138"/>
        <v>33</v>
      </c>
      <c r="G2184" s="2200" t="str">
        <f t="shared" si="139"/>
        <v>35540</v>
      </c>
      <c r="H2184" s="2200">
        <f>--SUBTOTAL(3,C$2:C2184)</f>
        <v>99</v>
      </c>
    </row>
    <row r="2185" spans="1:8" hidden="1" x14ac:dyDescent="0.15">
      <c r="A2185" s="2200" t="s">
        <v>11502</v>
      </c>
      <c r="B2185" s="2200" t="s">
        <v>15081</v>
      </c>
      <c r="C2185" s="2200" t="s">
        <v>15082</v>
      </c>
      <c r="D2185" s="2200" t="str">
        <f t="shared" si="136"/>
        <v>NH</v>
      </c>
      <c r="E2185" s="2200">
        <f t="shared" si="137"/>
        <v>10</v>
      </c>
      <c r="F2185" s="2200" t="str">
        <f t="shared" si="138"/>
        <v>33</v>
      </c>
      <c r="G2185" s="2200" t="str">
        <f t="shared" si="139"/>
        <v>35860</v>
      </c>
      <c r="H2185" s="2200">
        <f>--SUBTOTAL(3,C$2:C2185)</f>
        <v>99</v>
      </c>
    </row>
    <row r="2186" spans="1:8" hidden="1" x14ac:dyDescent="0.15">
      <c r="A2186" s="2200" t="s">
        <v>11502</v>
      </c>
      <c r="B2186" s="2200" t="s">
        <v>15083</v>
      </c>
      <c r="C2186" s="2200" t="s">
        <v>15084</v>
      </c>
      <c r="D2186" s="2200" t="str">
        <f t="shared" si="136"/>
        <v>NH</v>
      </c>
      <c r="E2186" s="2200">
        <f t="shared" si="137"/>
        <v>18</v>
      </c>
      <c r="F2186" s="2200" t="str">
        <f t="shared" si="138"/>
        <v>33</v>
      </c>
      <c r="G2186" s="2200" t="str">
        <f t="shared" si="139"/>
        <v>36180</v>
      </c>
      <c r="H2186" s="2200">
        <f>--SUBTOTAL(3,C$2:C2186)</f>
        <v>99</v>
      </c>
    </row>
    <row r="2187" spans="1:8" hidden="1" x14ac:dyDescent="0.15">
      <c r="A2187" s="2200" t="s">
        <v>11443</v>
      </c>
      <c r="B2187" s="2200" t="s">
        <v>15085</v>
      </c>
      <c r="C2187" s="2200" t="s">
        <v>15086</v>
      </c>
      <c r="D2187" s="2200" t="str">
        <f t="shared" si="136"/>
        <v>NH</v>
      </c>
      <c r="E2187" s="2200">
        <f t="shared" si="137"/>
        <v>13</v>
      </c>
      <c r="F2187" s="2200" t="str">
        <f t="shared" si="138"/>
        <v>33</v>
      </c>
      <c r="G2187" s="2200" t="str">
        <f t="shared" si="139"/>
        <v>81380</v>
      </c>
      <c r="H2187" s="2200">
        <f>--SUBTOTAL(3,C$2:C2187)</f>
        <v>99</v>
      </c>
    </row>
    <row r="2188" spans="1:8" hidden="1" x14ac:dyDescent="0.15">
      <c r="A2188" s="2200" t="s">
        <v>11502</v>
      </c>
      <c r="B2188" s="2200" t="s">
        <v>15087</v>
      </c>
      <c r="C2188" s="2200" t="s">
        <v>15088</v>
      </c>
      <c r="D2188" s="2200" t="str">
        <f t="shared" si="136"/>
        <v>NH</v>
      </c>
      <c r="E2188" s="2200">
        <f t="shared" si="137"/>
        <v>14</v>
      </c>
      <c r="F2188" s="2200" t="str">
        <f t="shared" si="138"/>
        <v>33</v>
      </c>
      <c r="G2188" s="2200" t="str">
        <f t="shared" si="139"/>
        <v>36660</v>
      </c>
      <c r="H2188" s="2200">
        <f>--SUBTOTAL(3,C$2:C2188)</f>
        <v>99</v>
      </c>
    </row>
    <row r="2189" spans="1:8" hidden="1" x14ac:dyDescent="0.15">
      <c r="A2189" s="2200" t="s">
        <v>11502</v>
      </c>
      <c r="B2189" s="2200" t="s">
        <v>15089</v>
      </c>
      <c r="C2189" s="2200" t="s">
        <v>15090</v>
      </c>
      <c r="D2189" s="2200" t="str">
        <f t="shared" si="136"/>
        <v>NH</v>
      </c>
      <c r="E2189" s="2200">
        <f t="shared" si="137"/>
        <v>16</v>
      </c>
      <c r="F2189" s="2200" t="str">
        <f t="shared" si="138"/>
        <v>33</v>
      </c>
      <c r="G2189" s="2200" t="str">
        <f t="shared" si="139"/>
        <v>36900</v>
      </c>
      <c r="H2189" s="2200">
        <f>--SUBTOTAL(3,C$2:C2189)</f>
        <v>99</v>
      </c>
    </row>
    <row r="2190" spans="1:8" hidden="1" x14ac:dyDescent="0.15">
      <c r="A2190" s="2200" t="s">
        <v>11502</v>
      </c>
      <c r="B2190" s="2200" t="s">
        <v>15091</v>
      </c>
      <c r="C2190" s="2200" t="s">
        <v>15092</v>
      </c>
      <c r="D2190" s="2200" t="str">
        <f t="shared" si="136"/>
        <v>NH</v>
      </c>
      <c r="E2190" s="2200">
        <f t="shared" si="137"/>
        <v>12</v>
      </c>
      <c r="F2190" s="2200" t="str">
        <f t="shared" si="138"/>
        <v>33</v>
      </c>
      <c r="G2190" s="2200" t="str">
        <f t="shared" si="139"/>
        <v>37140</v>
      </c>
      <c r="H2190" s="2200">
        <f>--SUBTOTAL(3,C$2:C2190)</f>
        <v>99</v>
      </c>
    </row>
    <row r="2191" spans="1:8" hidden="1" x14ac:dyDescent="0.15">
      <c r="A2191" s="2200" t="s">
        <v>11502</v>
      </c>
      <c r="B2191" s="2200" t="s">
        <v>15093</v>
      </c>
      <c r="C2191" s="2200" t="s">
        <v>15094</v>
      </c>
      <c r="D2191" s="2200" t="str">
        <f t="shared" si="136"/>
        <v>NH</v>
      </c>
      <c r="E2191" s="2200">
        <f t="shared" si="137"/>
        <v>14</v>
      </c>
      <c r="F2191" s="2200" t="str">
        <f t="shared" si="138"/>
        <v>33</v>
      </c>
      <c r="G2191" s="2200" t="str">
        <f t="shared" si="139"/>
        <v>37300</v>
      </c>
      <c r="H2191" s="2200">
        <f>--SUBTOTAL(3,C$2:C2191)</f>
        <v>99</v>
      </c>
    </row>
    <row r="2192" spans="1:8" hidden="1" x14ac:dyDescent="0.15">
      <c r="A2192" s="2200" t="s">
        <v>11502</v>
      </c>
      <c r="B2192" s="2200" t="s">
        <v>15095</v>
      </c>
      <c r="C2192" s="2200" t="s">
        <v>15096</v>
      </c>
      <c r="D2192" s="2200" t="str">
        <f t="shared" si="136"/>
        <v>NH</v>
      </c>
      <c r="E2192" s="2200">
        <f t="shared" si="137"/>
        <v>15</v>
      </c>
      <c r="F2192" s="2200" t="str">
        <f t="shared" si="138"/>
        <v>33</v>
      </c>
      <c r="G2192" s="2200" t="str">
        <f t="shared" si="139"/>
        <v>37540</v>
      </c>
      <c r="H2192" s="2200">
        <f>--SUBTOTAL(3,C$2:C2192)</f>
        <v>99</v>
      </c>
    </row>
    <row r="2193" spans="1:8" hidden="1" x14ac:dyDescent="0.15">
      <c r="A2193" s="2200" t="s">
        <v>11502</v>
      </c>
      <c r="B2193" s="2200" t="s">
        <v>15097</v>
      </c>
      <c r="C2193" s="2200" t="s">
        <v>15098</v>
      </c>
      <c r="D2193" s="2200" t="str">
        <f t="shared" si="136"/>
        <v>NH</v>
      </c>
      <c r="E2193" s="2200">
        <f t="shared" si="137"/>
        <v>12</v>
      </c>
      <c r="F2193" s="2200" t="str">
        <f t="shared" si="138"/>
        <v>33</v>
      </c>
      <c r="G2193" s="2200" t="str">
        <f t="shared" si="139"/>
        <v>37940</v>
      </c>
      <c r="H2193" s="2200">
        <f>--SUBTOTAL(3,C$2:C2193)</f>
        <v>99</v>
      </c>
    </row>
    <row r="2194" spans="1:8" hidden="1" x14ac:dyDescent="0.15">
      <c r="A2194" s="2200" t="s">
        <v>11502</v>
      </c>
      <c r="B2194" s="2200" t="s">
        <v>15099</v>
      </c>
      <c r="C2194" s="2200" t="s">
        <v>15100</v>
      </c>
      <c r="D2194" s="2200" t="str">
        <f t="shared" si="136"/>
        <v>NH</v>
      </c>
      <c r="E2194" s="2200">
        <f t="shared" si="137"/>
        <v>13</v>
      </c>
      <c r="F2194" s="2200" t="str">
        <f t="shared" si="138"/>
        <v>33</v>
      </c>
      <c r="G2194" s="2200" t="str">
        <f t="shared" si="139"/>
        <v>38260</v>
      </c>
      <c r="H2194" s="2200">
        <f>--SUBTOTAL(3,C$2:C2194)</f>
        <v>99</v>
      </c>
    </row>
    <row r="2195" spans="1:8" hidden="1" x14ac:dyDescent="0.15">
      <c r="A2195" s="2200" t="s">
        <v>11502</v>
      </c>
      <c r="B2195" s="2200" t="s">
        <v>15101</v>
      </c>
      <c r="C2195" s="2200" t="s">
        <v>15102</v>
      </c>
      <c r="D2195" s="2200" t="str">
        <f t="shared" si="136"/>
        <v>NH</v>
      </c>
      <c r="E2195" s="2200">
        <f t="shared" si="137"/>
        <v>13</v>
      </c>
      <c r="F2195" s="2200" t="str">
        <f t="shared" si="138"/>
        <v>33</v>
      </c>
      <c r="G2195" s="2200" t="str">
        <f t="shared" si="139"/>
        <v>38500</v>
      </c>
      <c r="H2195" s="2200">
        <f>--SUBTOTAL(3,C$2:C2195)</f>
        <v>99</v>
      </c>
    </row>
    <row r="2196" spans="1:8" hidden="1" x14ac:dyDescent="0.15">
      <c r="A2196" s="2200" t="s">
        <v>11502</v>
      </c>
      <c r="B2196" s="2200" t="s">
        <v>15103</v>
      </c>
      <c r="C2196" s="2200" t="s">
        <v>15104</v>
      </c>
      <c r="D2196" s="2200" t="str">
        <f t="shared" si="136"/>
        <v>NH</v>
      </c>
      <c r="E2196" s="2200">
        <f t="shared" si="137"/>
        <v>15</v>
      </c>
      <c r="F2196" s="2200" t="str">
        <f t="shared" si="138"/>
        <v>33</v>
      </c>
      <c r="G2196" s="2200" t="str">
        <f t="shared" si="139"/>
        <v>38820</v>
      </c>
      <c r="H2196" s="2200">
        <f>--SUBTOTAL(3,C$2:C2196)</f>
        <v>99</v>
      </c>
    </row>
    <row r="2197" spans="1:8" hidden="1" x14ac:dyDescent="0.15">
      <c r="A2197" s="2200" t="s">
        <v>11502</v>
      </c>
      <c r="B2197" s="2200" t="s">
        <v>15105</v>
      </c>
      <c r="C2197" s="2200" t="s">
        <v>15106</v>
      </c>
      <c r="D2197" s="2200" t="str">
        <f t="shared" si="136"/>
        <v>NH</v>
      </c>
      <c r="E2197" s="2200">
        <f t="shared" si="137"/>
        <v>11</v>
      </c>
      <c r="F2197" s="2200" t="str">
        <f t="shared" si="138"/>
        <v>33</v>
      </c>
      <c r="G2197" s="2200" t="str">
        <f t="shared" si="139"/>
        <v>39300</v>
      </c>
      <c r="H2197" s="2200">
        <f>--SUBTOTAL(3,C$2:C2197)</f>
        <v>99</v>
      </c>
    </row>
    <row r="2198" spans="1:8" hidden="1" x14ac:dyDescent="0.15">
      <c r="A2198" s="2200" t="s">
        <v>11502</v>
      </c>
      <c r="B2198" s="2200" t="s">
        <v>15107</v>
      </c>
      <c r="C2198" s="2200" t="s">
        <v>15108</v>
      </c>
      <c r="D2198" s="2200" t="str">
        <f t="shared" si="136"/>
        <v>NH</v>
      </c>
      <c r="E2198" s="2200">
        <f t="shared" si="137"/>
        <v>16</v>
      </c>
      <c r="F2198" s="2200" t="str">
        <f t="shared" si="138"/>
        <v>33</v>
      </c>
      <c r="G2198" s="2200" t="str">
        <f t="shared" si="139"/>
        <v>39780</v>
      </c>
      <c r="H2198" s="2200">
        <f>--SUBTOTAL(3,C$2:C2198)</f>
        <v>99</v>
      </c>
    </row>
    <row r="2199" spans="1:8" hidden="1" x14ac:dyDescent="0.15">
      <c r="A2199" s="2200" t="s">
        <v>11502</v>
      </c>
      <c r="B2199" s="2200" t="s">
        <v>15109</v>
      </c>
      <c r="C2199" s="2200" t="s">
        <v>15110</v>
      </c>
      <c r="D2199" s="2200" t="str">
        <f t="shared" si="136"/>
        <v>NH</v>
      </c>
      <c r="E2199" s="2200">
        <f t="shared" si="137"/>
        <v>14</v>
      </c>
      <c r="F2199" s="2200" t="str">
        <f t="shared" si="138"/>
        <v>33</v>
      </c>
      <c r="G2199" s="2200" t="str">
        <f t="shared" si="139"/>
        <v>40100</v>
      </c>
      <c r="H2199" s="2200">
        <f>--SUBTOTAL(3,C$2:C2199)</f>
        <v>99</v>
      </c>
    </row>
    <row r="2200" spans="1:8" hidden="1" x14ac:dyDescent="0.15">
      <c r="A2200" s="2200" t="s">
        <v>11502</v>
      </c>
      <c r="B2200" s="2200" t="s">
        <v>15111</v>
      </c>
      <c r="C2200" s="2200" t="s">
        <v>15112</v>
      </c>
      <c r="D2200" s="2200" t="str">
        <f t="shared" si="136"/>
        <v>NH</v>
      </c>
      <c r="E2200" s="2200">
        <f t="shared" si="137"/>
        <v>13</v>
      </c>
      <c r="F2200" s="2200" t="str">
        <f t="shared" si="138"/>
        <v>33</v>
      </c>
      <c r="G2200" s="2200" t="str">
        <f t="shared" si="139"/>
        <v>40180</v>
      </c>
      <c r="H2200" s="2200">
        <f>--SUBTOTAL(3,C$2:C2200)</f>
        <v>99</v>
      </c>
    </row>
    <row r="2201" spans="1:8" hidden="1" x14ac:dyDescent="0.15">
      <c r="A2201" s="2200" t="s">
        <v>11502</v>
      </c>
      <c r="B2201" s="2200" t="s">
        <v>15113</v>
      </c>
      <c r="C2201" s="2200" t="s">
        <v>15114</v>
      </c>
      <c r="D2201" s="2200" t="str">
        <f t="shared" si="136"/>
        <v>NH</v>
      </c>
      <c r="E2201" s="2200">
        <f t="shared" si="137"/>
        <v>15</v>
      </c>
      <c r="F2201" s="2200" t="str">
        <f t="shared" si="138"/>
        <v>33</v>
      </c>
      <c r="G2201" s="2200" t="str">
        <f t="shared" si="139"/>
        <v>40420</v>
      </c>
      <c r="H2201" s="2200">
        <f>--SUBTOTAL(3,C$2:C2201)</f>
        <v>99</v>
      </c>
    </row>
    <row r="2202" spans="1:8" hidden="1" x14ac:dyDescent="0.15">
      <c r="A2202" s="2200" t="s">
        <v>11502</v>
      </c>
      <c r="B2202" s="2200" t="s">
        <v>15115</v>
      </c>
      <c r="C2202" s="2200" t="s">
        <v>15116</v>
      </c>
      <c r="D2202" s="2200" t="str">
        <f t="shared" si="136"/>
        <v>NH</v>
      </c>
      <c r="E2202" s="2200">
        <f t="shared" si="137"/>
        <v>13</v>
      </c>
      <c r="F2202" s="2200" t="str">
        <f t="shared" si="138"/>
        <v>33</v>
      </c>
      <c r="G2202" s="2200" t="str">
        <f t="shared" si="139"/>
        <v>40660</v>
      </c>
      <c r="H2202" s="2200">
        <f>--SUBTOTAL(3,C$2:C2202)</f>
        <v>99</v>
      </c>
    </row>
    <row r="2203" spans="1:8" hidden="1" x14ac:dyDescent="0.15">
      <c r="A2203" s="2200" t="s">
        <v>11502</v>
      </c>
      <c r="B2203" s="2200" t="s">
        <v>15117</v>
      </c>
      <c r="C2203" s="2200" t="s">
        <v>15118</v>
      </c>
      <c r="D2203" s="2200" t="str">
        <f t="shared" si="136"/>
        <v>NH</v>
      </c>
      <c r="E2203" s="2200">
        <f t="shared" si="137"/>
        <v>13</v>
      </c>
      <c r="F2203" s="2200" t="str">
        <f t="shared" si="138"/>
        <v>33</v>
      </c>
      <c r="G2203" s="2200" t="str">
        <f t="shared" si="139"/>
        <v>40900</v>
      </c>
      <c r="H2203" s="2200">
        <f>--SUBTOTAL(3,C$2:C2203)</f>
        <v>99</v>
      </c>
    </row>
    <row r="2204" spans="1:8" hidden="1" x14ac:dyDescent="0.15">
      <c r="A2204" s="2200" t="s">
        <v>11502</v>
      </c>
      <c r="B2204" s="2200" t="s">
        <v>15119</v>
      </c>
      <c r="C2204" s="2200" t="s">
        <v>15120</v>
      </c>
      <c r="D2204" s="2200" t="str">
        <f t="shared" si="136"/>
        <v>NH</v>
      </c>
      <c r="E2204" s="2200">
        <f t="shared" si="137"/>
        <v>13</v>
      </c>
      <c r="F2204" s="2200" t="str">
        <f t="shared" si="138"/>
        <v>33</v>
      </c>
      <c r="G2204" s="2200" t="str">
        <f t="shared" si="139"/>
        <v>41300</v>
      </c>
      <c r="H2204" s="2200">
        <f>--SUBTOTAL(3,C$2:C2204)</f>
        <v>99</v>
      </c>
    </row>
    <row r="2205" spans="1:8" hidden="1" x14ac:dyDescent="0.15">
      <c r="A2205" s="2200" t="s">
        <v>11502</v>
      </c>
      <c r="B2205" s="2200" t="s">
        <v>15121</v>
      </c>
      <c r="C2205" s="2200" t="s">
        <v>15122</v>
      </c>
      <c r="D2205" s="2200" t="str">
        <f t="shared" si="136"/>
        <v>NH</v>
      </c>
      <c r="E2205" s="2200">
        <f t="shared" si="137"/>
        <v>9</v>
      </c>
      <c r="F2205" s="2200" t="str">
        <f t="shared" si="138"/>
        <v>33</v>
      </c>
      <c r="G2205" s="2200" t="str">
        <f t="shared" si="139"/>
        <v>41460</v>
      </c>
      <c r="H2205" s="2200">
        <f>--SUBTOTAL(3,C$2:C2205)</f>
        <v>99</v>
      </c>
    </row>
    <row r="2206" spans="1:8" hidden="1" x14ac:dyDescent="0.15">
      <c r="A2206" s="2200" t="s">
        <v>11502</v>
      </c>
      <c r="B2206" s="2200" t="s">
        <v>15123</v>
      </c>
      <c r="C2206" s="2200" t="s">
        <v>15124</v>
      </c>
      <c r="D2206" s="2200" t="str">
        <f t="shared" si="136"/>
        <v>NH</v>
      </c>
      <c r="E2206" s="2200">
        <f t="shared" si="137"/>
        <v>14</v>
      </c>
      <c r="F2206" s="2200" t="str">
        <f t="shared" si="138"/>
        <v>33</v>
      </c>
      <c r="G2206" s="2200" t="str">
        <f t="shared" si="139"/>
        <v>41700</v>
      </c>
      <c r="H2206" s="2200">
        <f>--SUBTOTAL(3,C$2:C2206)</f>
        <v>99</v>
      </c>
    </row>
    <row r="2207" spans="1:8" hidden="1" x14ac:dyDescent="0.15">
      <c r="A2207" s="2200" t="s">
        <v>11502</v>
      </c>
      <c r="B2207" s="2200" t="s">
        <v>15125</v>
      </c>
      <c r="C2207" s="2200" t="s">
        <v>15126</v>
      </c>
      <c r="D2207" s="2200" t="str">
        <f t="shared" si="136"/>
        <v>NH</v>
      </c>
      <c r="E2207" s="2200">
        <f t="shared" si="137"/>
        <v>13</v>
      </c>
      <c r="F2207" s="2200" t="str">
        <f t="shared" si="138"/>
        <v>33</v>
      </c>
      <c r="G2207" s="2200" t="str">
        <f t="shared" si="139"/>
        <v>41860</v>
      </c>
      <c r="H2207" s="2200">
        <f>--SUBTOTAL(3,C$2:C2207)</f>
        <v>99</v>
      </c>
    </row>
    <row r="2208" spans="1:8" hidden="1" x14ac:dyDescent="0.15">
      <c r="A2208" s="2200" t="s">
        <v>11502</v>
      </c>
      <c r="B2208" s="2200" t="s">
        <v>15127</v>
      </c>
      <c r="C2208" s="2200" t="s">
        <v>15128</v>
      </c>
      <c r="D2208" s="2200" t="str">
        <f t="shared" si="136"/>
        <v>NH</v>
      </c>
      <c r="E2208" s="2200">
        <f t="shared" si="137"/>
        <v>12</v>
      </c>
      <c r="F2208" s="2200" t="str">
        <f t="shared" si="138"/>
        <v>33</v>
      </c>
      <c r="G2208" s="2200" t="str">
        <f t="shared" si="139"/>
        <v>42020</v>
      </c>
      <c r="H2208" s="2200">
        <f>--SUBTOTAL(3,C$2:C2208)</f>
        <v>99</v>
      </c>
    </row>
    <row r="2209" spans="1:8" hidden="1" x14ac:dyDescent="0.15">
      <c r="A2209" s="2200" t="s">
        <v>11502</v>
      </c>
      <c r="B2209" s="2200" t="s">
        <v>15129</v>
      </c>
      <c r="C2209" s="2200" t="s">
        <v>15130</v>
      </c>
      <c r="D2209" s="2200" t="str">
        <f t="shared" si="136"/>
        <v>NH</v>
      </c>
      <c r="E2209" s="2200">
        <f t="shared" si="137"/>
        <v>16</v>
      </c>
      <c r="F2209" s="2200" t="str">
        <f t="shared" si="138"/>
        <v>33</v>
      </c>
      <c r="G2209" s="2200" t="str">
        <f t="shared" si="139"/>
        <v>42260</v>
      </c>
      <c r="H2209" s="2200">
        <f>--SUBTOTAL(3,C$2:C2209)</f>
        <v>99</v>
      </c>
    </row>
    <row r="2210" spans="1:8" hidden="1" x14ac:dyDescent="0.15">
      <c r="A2210" s="2200" t="s">
        <v>11502</v>
      </c>
      <c r="B2210" s="2200" t="s">
        <v>15131</v>
      </c>
      <c r="C2210" s="2200" t="s">
        <v>15132</v>
      </c>
      <c r="D2210" s="2200" t="str">
        <f t="shared" si="136"/>
        <v>NH</v>
      </c>
      <c r="E2210" s="2200">
        <f t="shared" si="137"/>
        <v>15</v>
      </c>
      <c r="F2210" s="2200" t="str">
        <f t="shared" si="138"/>
        <v>33</v>
      </c>
      <c r="G2210" s="2200" t="str">
        <f t="shared" si="139"/>
        <v>42580</v>
      </c>
      <c r="H2210" s="2200">
        <f>--SUBTOTAL(3,C$2:C2210)</f>
        <v>99</v>
      </c>
    </row>
    <row r="2211" spans="1:8" hidden="1" x14ac:dyDescent="0.15">
      <c r="A2211" s="2200" t="s">
        <v>11502</v>
      </c>
      <c r="B2211" s="2200" t="s">
        <v>15133</v>
      </c>
      <c r="C2211" s="2200" t="s">
        <v>15134</v>
      </c>
      <c r="D2211" s="2200" t="str">
        <f t="shared" si="136"/>
        <v>NH</v>
      </c>
      <c r="E2211" s="2200">
        <f t="shared" si="137"/>
        <v>17</v>
      </c>
      <c r="F2211" s="2200" t="str">
        <f t="shared" si="138"/>
        <v>33</v>
      </c>
      <c r="G2211" s="2200" t="str">
        <f t="shared" si="139"/>
        <v>43220</v>
      </c>
      <c r="H2211" s="2200">
        <f>--SUBTOTAL(3,C$2:C2211)</f>
        <v>99</v>
      </c>
    </row>
    <row r="2212" spans="1:8" hidden="1" x14ac:dyDescent="0.15">
      <c r="A2212" s="2200" t="s">
        <v>11502</v>
      </c>
      <c r="B2212" s="2200" t="s">
        <v>15135</v>
      </c>
      <c r="C2212" s="2200" t="s">
        <v>15136</v>
      </c>
      <c r="D2212" s="2200" t="str">
        <f t="shared" si="136"/>
        <v>NH</v>
      </c>
      <c r="E2212" s="2200">
        <f t="shared" si="137"/>
        <v>12</v>
      </c>
      <c r="F2212" s="2200" t="str">
        <f t="shared" si="138"/>
        <v>33</v>
      </c>
      <c r="G2212" s="2200" t="str">
        <f t="shared" si="139"/>
        <v>43380</v>
      </c>
      <c r="H2212" s="2200">
        <f>--SUBTOTAL(3,C$2:C2212)</f>
        <v>99</v>
      </c>
    </row>
    <row r="2213" spans="1:8" hidden="1" x14ac:dyDescent="0.15">
      <c r="A2213" s="2200" t="s">
        <v>11502</v>
      </c>
      <c r="B2213" s="2200" t="s">
        <v>15137</v>
      </c>
      <c r="C2213" s="2200" t="s">
        <v>15138</v>
      </c>
      <c r="D2213" s="2200" t="str">
        <f t="shared" si="136"/>
        <v>NH</v>
      </c>
      <c r="E2213" s="2200">
        <f t="shared" si="137"/>
        <v>11</v>
      </c>
      <c r="F2213" s="2200" t="str">
        <f t="shared" si="138"/>
        <v>33</v>
      </c>
      <c r="G2213" s="2200" t="str">
        <f t="shared" si="139"/>
        <v>44100</v>
      </c>
      <c r="H2213" s="2200">
        <f>--SUBTOTAL(3,C$2:C2213)</f>
        <v>99</v>
      </c>
    </row>
    <row r="2214" spans="1:8" hidden="1" x14ac:dyDescent="0.15">
      <c r="A2214" s="2200" t="s">
        <v>11502</v>
      </c>
      <c r="B2214" s="2200" t="s">
        <v>15139</v>
      </c>
      <c r="C2214" s="2200" t="s">
        <v>15140</v>
      </c>
      <c r="D2214" s="2200" t="str">
        <f t="shared" si="136"/>
        <v>NH</v>
      </c>
      <c r="E2214" s="2200">
        <f t="shared" si="137"/>
        <v>10</v>
      </c>
      <c r="F2214" s="2200" t="str">
        <f t="shared" si="138"/>
        <v>33</v>
      </c>
      <c r="G2214" s="2200" t="str">
        <f t="shared" si="139"/>
        <v>44260</v>
      </c>
      <c r="H2214" s="2200">
        <f>--SUBTOTAL(3,C$2:C2214)</f>
        <v>99</v>
      </c>
    </row>
    <row r="2215" spans="1:8" hidden="1" x14ac:dyDescent="0.15">
      <c r="A2215" s="2200" t="s">
        <v>11502</v>
      </c>
      <c r="B2215" s="2200" t="s">
        <v>15141</v>
      </c>
      <c r="C2215" s="2200" t="s">
        <v>15142</v>
      </c>
      <c r="D2215" s="2200" t="str">
        <f t="shared" si="136"/>
        <v>NH</v>
      </c>
      <c r="E2215" s="2200">
        <f t="shared" si="137"/>
        <v>18</v>
      </c>
      <c r="F2215" s="2200" t="str">
        <f t="shared" si="138"/>
        <v>33</v>
      </c>
      <c r="G2215" s="2200" t="str">
        <f t="shared" si="139"/>
        <v>44580</v>
      </c>
      <c r="H2215" s="2200">
        <f>--SUBTOTAL(3,C$2:C2215)</f>
        <v>99</v>
      </c>
    </row>
    <row r="2216" spans="1:8" hidden="1" x14ac:dyDescent="0.15">
      <c r="A2216" s="2200" t="s">
        <v>11502</v>
      </c>
      <c r="B2216" s="2200" t="s">
        <v>15143</v>
      </c>
      <c r="C2216" s="2200" t="s">
        <v>15144</v>
      </c>
      <c r="D2216" s="2200" t="str">
        <f t="shared" si="136"/>
        <v>NH</v>
      </c>
      <c r="E2216" s="2200">
        <f t="shared" si="137"/>
        <v>13</v>
      </c>
      <c r="F2216" s="2200" t="str">
        <f t="shared" si="138"/>
        <v>33</v>
      </c>
      <c r="G2216" s="2200" t="str">
        <f t="shared" si="139"/>
        <v>44820</v>
      </c>
      <c r="H2216" s="2200">
        <f>--SUBTOTAL(3,C$2:C2216)</f>
        <v>99</v>
      </c>
    </row>
    <row r="2217" spans="1:8" hidden="1" x14ac:dyDescent="0.15">
      <c r="A2217" s="2200" t="s">
        <v>11502</v>
      </c>
      <c r="B2217" s="2200" t="s">
        <v>15145</v>
      </c>
      <c r="C2217" s="2200" t="s">
        <v>15146</v>
      </c>
      <c r="D2217" s="2200" t="str">
        <f t="shared" si="136"/>
        <v>NH</v>
      </c>
      <c r="E2217" s="2200">
        <f t="shared" si="137"/>
        <v>13</v>
      </c>
      <c r="F2217" s="2200" t="str">
        <f t="shared" si="138"/>
        <v>33</v>
      </c>
      <c r="G2217" s="2200" t="str">
        <f t="shared" si="139"/>
        <v>45060</v>
      </c>
      <c r="H2217" s="2200">
        <f>--SUBTOTAL(3,C$2:C2217)</f>
        <v>99</v>
      </c>
    </row>
    <row r="2218" spans="1:8" hidden="1" x14ac:dyDescent="0.15">
      <c r="A2218" s="2200" t="s">
        <v>10723</v>
      </c>
      <c r="B2218" s="2200" t="s">
        <v>15147</v>
      </c>
      <c r="C2218" s="2200" t="s">
        <v>15148</v>
      </c>
      <c r="D2218" s="2200" t="str">
        <f t="shared" si="136"/>
        <v>NH</v>
      </c>
      <c r="E2218" s="2200">
        <f t="shared" si="137"/>
        <v>16</v>
      </c>
      <c r="F2218" s="2200" t="str">
        <f t="shared" si="138"/>
        <v>33</v>
      </c>
      <c r="G2218" s="2200" t="str">
        <f t="shared" si="139"/>
        <v>45140</v>
      </c>
      <c r="H2218" s="2200">
        <f>--SUBTOTAL(3,C$2:C2218)</f>
        <v>99</v>
      </c>
    </row>
    <row r="2219" spans="1:8" hidden="1" x14ac:dyDescent="0.15">
      <c r="A2219" s="2200" t="s">
        <v>11502</v>
      </c>
      <c r="B2219" s="2200" t="s">
        <v>15149</v>
      </c>
      <c r="C2219" s="2200" t="s">
        <v>15150</v>
      </c>
      <c r="D2219" s="2200" t="str">
        <f t="shared" si="136"/>
        <v>NH</v>
      </c>
      <c r="E2219" s="2200">
        <f t="shared" si="137"/>
        <v>17</v>
      </c>
      <c r="F2219" s="2200" t="str">
        <f t="shared" si="138"/>
        <v>33</v>
      </c>
      <c r="G2219" s="2200" t="str">
        <f t="shared" si="139"/>
        <v>45460</v>
      </c>
      <c r="H2219" s="2200">
        <f>--SUBTOTAL(3,C$2:C2219)</f>
        <v>99</v>
      </c>
    </row>
    <row r="2220" spans="1:8" hidden="1" x14ac:dyDescent="0.15">
      <c r="A2220" s="2200" t="s">
        <v>11502</v>
      </c>
      <c r="B2220" s="2200" t="s">
        <v>15151</v>
      </c>
      <c r="C2220" s="2200" t="s">
        <v>15152</v>
      </c>
      <c r="D2220" s="2200" t="str">
        <f t="shared" si="136"/>
        <v>NH</v>
      </c>
      <c r="E2220" s="2200">
        <f t="shared" si="137"/>
        <v>12</v>
      </c>
      <c r="F2220" s="2200" t="str">
        <f t="shared" si="138"/>
        <v>33</v>
      </c>
      <c r="G2220" s="2200" t="str">
        <f t="shared" si="139"/>
        <v>45700</v>
      </c>
      <c r="H2220" s="2200">
        <f>--SUBTOTAL(3,C$2:C2220)</f>
        <v>99</v>
      </c>
    </row>
    <row r="2221" spans="1:8" hidden="1" x14ac:dyDescent="0.15">
      <c r="A2221" s="2200" t="s">
        <v>11502</v>
      </c>
      <c r="B2221" s="2200" t="s">
        <v>15153</v>
      </c>
      <c r="C2221" s="2200" t="s">
        <v>15154</v>
      </c>
      <c r="D2221" s="2200" t="str">
        <f t="shared" si="136"/>
        <v>NH</v>
      </c>
      <c r="E2221" s="2200">
        <f t="shared" si="137"/>
        <v>11</v>
      </c>
      <c r="F2221" s="2200" t="str">
        <f t="shared" si="138"/>
        <v>33</v>
      </c>
      <c r="G2221" s="2200" t="str">
        <f t="shared" si="139"/>
        <v>46260</v>
      </c>
      <c r="H2221" s="2200">
        <f>--SUBTOTAL(3,C$2:C2221)</f>
        <v>99</v>
      </c>
    </row>
    <row r="2222" spans="1:8" hidden="1" x14ac:dyDescent="0.15">
      <c r="A2222" s="2200" t="s">
        <v>11502</v>
      </c>
      <c r="B2222" s="2200" t="s">
        <v>15155</v>
      </c>
      <c r="C2222" s="2200" t="s">
        <v>15156</v>
      </c>
      <c r="D2222" s="2200" t="str">
        <f t="shared" si="136"/>
        <v>NH</v>
      </c>
      <c r="E2222" s="2200">
        <f t="shared" si="137"/>
        <v>14</v>
      </c>
      <c r="F2222" s="2200" t="str">
        <f t="shared" si="138"/>
        <v>33</v>
      </c>
      <c r="G2222" s="2200" t="str">
        <f t="shared" si="139"/>
        <v>47140</v>
      </c>
      <c r="H2222" s="2200">
        <f>--SUBTOTAL(3,C$2:C2222)</f>
        <v>99</v>
      </c>
    </row>
    <row r="2223" spans="1:8" hidden="1" x14ac:dyDescent="0.15">
      <c r="A2223" s="2200" t="s">
        <v>11443</v>
      </c>
      <c r="B2223" s="2200" t="s">
        <v>15157</v>
      </c>
      <c r="C2223" s="2200" t="s">
        <v>15158</v>
      </c>
      <c r="D2223" s="2200" t="str">
        <f t="shared" si="136"/>
        <v>NH</v>
      </c>
      <c r="E2223" s="2200">
        <f t="shared" si="137"/>
        <v>9</v>
      </c>
      <c r="F2223" s="2200" t="str">
        <f t="shared" si="138"/>
        <v>33</v>
      </c>
      <c r="G2223" s="2200" t="str">
        <f t="shared" si="139"/>
        <v>81780</v>
      </c>
      <c r="H2223" s="2200">
        <f>--SUBTOTAL(3,C$2:C2223)</f>
        <v>99</v>
      </c>
    </row>
    <row r="2224" spans="1:8" hidden="1" x14ac:dyDescent="0.15">
      <c r="A2224" s="2200" t="s">
        <v>10723</v>
      </c>
      <c r="B2224" s="2200" t="s">
        <v>15159</v>
      </c>
      <c r="C2224" s="2200" t="s">
        <v>15160</v>
      </c>
      <c r="D2224" s="2200" t="str">
        <f t="shared" si="136"/>
        <v>NH</v>
      </c>
      <c r="E2224" s="2200">
        <f t="shared" si="137"/>
        <v>15</v>
      </c>
      <c r="F2224" s="2200" t="str">
        <f t="shared" si="138"/>
        <v>33</v>
      </c>
      <c r="G2224" s="2200" t="str">
        <f t="shared" si="139"/>
        <v>47540</v>
      </c>
      <c r="H2224" s="2200">
        <f>--SUBTOTAL(3,C$2:C2224)</f>
        <v>99</v>
      </c>
    </row>
    <row r="2225" spans="1:8" hidden="1" x14ac:dyDescent="0.15">
      <c r="A2225" s="2200" t="s">
        <v>11502</v>
      </c>
      <c r="B2225" s="2200" t="s">
        <v>15161</v>
      </c>
      <c r="C2225" s="2200" t="s">
        <v>15162</v>
      </c>
      <c r="D2225" s="2200" t="str">
        <f t="shared" si="136"/>
        <v>NH</v>
      </c>
      <c r="E2225" s="2200">
        <f t="shared" si="137"/>
        <v>15</v>
      </c>
      <c r="F2225" s="2200" t="str">
        <f t="shared" si="138"/>
        <v>33</v>
      </c>
      <c r="G2225" s="2200" t="str">
        <f t="shared" si="139"/>
        <v>47700</v>
      </c>
      <c r="H2225" s="2200">
        <f>--SUBTOTAL(3,C$2:C2225)</f>
        <v>99</v>
      </c>
    </row>
    <row r="2226" spans="1:8" hidden="1" x14ac:dyDescent="0.15">
      <c r="A2226" s="2200" t="s">
        <v>11502</v>
      </c>
      <c r="B2226" s="2200" t="s">
        <v>15163</v>
      </c>
      <c r="C2226" s="2200" t="s">
        <v>15164</v>
      </c>
      <c r="D2226" s="2200" t="str">
        <f t="shared" si="136"/>
        <v>NH</v>
      </c>
      <c r="E2226" s="2200">
        <f t="shared" si="137"/>
        <v>11</v>
      </c>
      <c r="F2226" s="2200" t="str">
        <f t="shared" si="138"/>
        <v>33</v>
      </c>
      <c r="G2226" s="2200" t="str">
        <f t="shared" si="139"/>
        <v>47860</v>
      </c>
      <c r="H2226" s="2200">
        <f>--SUBTOTAL(3,C$2:C2226)</f>
        <v>99</v>
      </c>
    </row>
    <row r="2227" spans="1:8" hidden="1" x14ac:dyDescent="0.15">
      <c r="A2227" s="2200" t="s">
        <v>11502</v>
      </c>
      <c r="B2227" s="2200" t="s">
        <v>15165</v>
      </c>
      <c r="C2227" s="2200" t="s">
        <v>15166</v>
      </c>
      <c r="D2227" s="2200" t="str">
        <f t="shared" si="136"/>
        <v>NH</v>
      </c>
      <c r="E2227" s="2200">
        <f t="shared" si="137"/>
        <v>13</v>
      </c>
      <c r="F2227" s="2200" t="str">
        <f t="shared" si="138"/>
        <v>33</v>
      </c>
      <c r="G2227" s="2200" t="str">
        <f t="shared" si="139"/>
        <v>48020</v>
      </c>
      <c r="H2227" s="2200">
        <f>--SUBTOTAL(3,C$2:C2227)</f>
        <v>99</v>
      </c>
    </row>
    <row r="2228" spans="1:8" hidden="1" x14ac:dyDescent="0.15">
      <c r="A2228" s="2200" t="s">
        <v>11502</v>
      </c>
      <c r="B2228" s="2200" t="s">
        <v>15167</v>
      </c>
      <c r="C2228" s="2200" t="s">
        <v>15168</v>
      </c>
      <c r="D2228" s="2200" t="str">
        <f t="shared" si="136"/>
        <v>NH</v>
      </c>
      <c r="E2228" s="2200">
        <f t="shared" si="137"/>
        <v>20</v>
      </c>
      <c r="F2228" s="2200" t="str">
        <f t="shared" si="138"/>
        <v>33</v>
      </c>
      <c r="G2228" s="2200" t="str">
        <f t="shared" si="139"/>
        <v>48260</v>
      </c>
      <c r="H2228" s="2200">
        <f>--SUBTOTAL(3,C$2:C2228)</f>
        <v>99</v>
      </c>
    </row>
    <row r="2229" spans="1:8" hidden="1" x14ac:dyDescent="0.15">
      <c r="A2229" s="2200" t="s">
        <v>11502</v>
      </c>
      <c r="B2229" s="2200" t="s">
        <v>15169</v>
      </c>
      <c r="C2229" s="2200" t="s">
        <v>15170</v>
      </c>
      <c r="D2229" s="2200" t="str">
        <f t="shared" si="136"/>
        <v>NH</v>
      </c>
      <c r="E2229" s="2200">
        <f t="shared" si="137"/>
        <v>12</v>
      </c>
      <c r="F2229" s="2200" t="str">
        <f t="shared" si="138"/>
        <v>33</v>
      </c>
      <c r="G2229" s="2200" t="str">
        <f t="shared" si="139"/>
        <v>48660</v>
      </c>
      <c r="H2229" s="2200">
        <f>--SUBTOTAL(3,C$2:C2229)</f>
        <v>99</v>
      </c>
    </row>
    <row r="2230" spans="1:8" hidden="1" x14ac:dyDescent="0.15">
      <c r="A2230" s="2200" t="s">
        <v>11502</v>
      </c>
      <c r="B2230" s="2200" t="s">
        <v>15171</v>
      </c>
      <c r="C2230" s="2200" t="s">
        <v>15172</v>
      </c>
      <c r="D2230" s="2200" t="str">
        <f t="shared" si="136"/>
        <v>NH</v>
      </c>
      <c r="E2230" s="2200">
        <f t="shared" si="137"/>
        <v>12</v>
      </c>
      <c r="F2230" s="2200" t="str">
        <f t="shared" si="138"/>
        <v>33</v>
      </c>
      <c r="G2230" s="2200" t="str">
        <f t="shared" si="139"/>
        <v>48980</v>
      </c>
      <c r="H2230" s="2200">
        <f>--SUBTOTAL(3,C$2:C2230)</f>
        <v>99</v>
      </c>
    </row>
    <row r="2231" spans="1:8" hidden="1" x14ac:dyDescent="0.15">
      <c r="A2231" s="2200" t="s">
        <v>11502</v>
      </c>
      <c r="B2231" s="2200" t="s">
        <v>15173</v>
      </c>
      <c r="C2231" s="2200" t="s">
        <v>15174</v>
      </c>
      <c r="D2231" s="2200" t="str">
        <f t="shared" si="136"/>
        <v>NH</v>
      </c>
      <c r="E2231" s="2200">
        <f t="shared" si="137"/>
        <v>17</v>
      </c>
      <c r="F2231" s="2200" t="str">
        <f t="shared" si="138"/>
        <v>33</v>
      </c>
      <c r="G2231" s="2200" t="str">
        <f t="shared" si="139"/>
        <v>49140</v>
      </c>
      <c r="H2231" s="2200">
        <f>--SUBTOTAL(3,C$2:C2231)</f>
        <v>99</v>
      </c>
    </row>
    <row r="2232" spans="1:8" hidden="1" x14ac:dyDescent="0.15">
      <c r="A2232" s="2200" t="s">
        <v>11502</v>
      </c>
      <c r="B2232" s="2200" t="s">
        <v>15175</v>
      </c>
      <c r="C2232" s="2200" t="s">
        <v>15176</v>
      </c>
      <c r="D2232" s="2200" t="str">
        <f t="shared" si="136"/>
        <v>NH</v>
      </c>
      <c r="E2232" s="2200">
        <f t="shared" si="137"/>
        <v>20</v>
      </c>
      <c r="F2232" s="2200" t="str">
        <f t="shared" si="138"/>
        <v>33</v>
      </c>
      <c r="G2232" s="2200" t="str">
        <f t="shared" si="139"/>
        <v>49380</v>
      </c>
      <c r="H2232" s="2200">
        <f>--SUBTOTAL(3,C$2:C2232)</f>
        <v>99</v>
      </c>
    </row>
    <row r="2233" spans="1:8" hidden="1" x14ac:dyDescent="0.15">
      <c r="A2233" s="2200" t="s">
        <v>10723</v>
      </c>
      <c r="B2233" s="2200" t="s">
        <v>15177</v>
      </c>
      <c r="C2233" s="2200" t="s">
        <v>15178</v>
      </c>
      <c r="D2233" s="2200" t="str">
        <f t="shared" si="136"/>
        <v>NH</v>
      </c>
      <c r="E2233" s="2200">
        <f t="shared" si="137"/>
        <v>12</v>
      </c>
      <c r="F2233" s="2200" t="str">
        <f t="shared" si="138"/>
        <v>33</v>
      </c>
      <c r="G2233" s="2200" t="str">
        <f t="shared" si="139"/>
        <v>50260</v>
      </c>
      <c r="H2233" s="2200">
        <f>--SUBTOTAL(3,C$2:C2233)</f>
        <v>99</v>
      </c>
    </row>
    <row r="2234" spans="1:8" hidden="1" x14ac:dyDescent="0.15">
      <c r="A2234" s="2200" t="s">
        <v>11502</v>
      </c>
      <c r="B2234" s="2200" t="s">
        <v>15179</v>
      </c>
      <c r="C2234" s="2200" t="s">
        <v>15180</v>
      </c>
      <c r="D2234" s="2200" t="str">
        <f t="shared" si="136"/>
        <v>NH</v>
      </c>
      <c r="E2234" s="2200">
        <f t="shared" si="137"/>
        <v>12</v>
      </c>
      <c r="F2234" s="2200" t="str">
        <f t="shared" si="138"/>
        <v>33</v>
      </c>
      <c r="G2234" s="2200" t="str">
        <f t="shared" si="139"/>
        <v>50580</v>
      </c>
      <c r="H2234" s="2200">
        <f>--SUBTOTAL(3,C$2:C2234)</f>
        <v>99</v>
      </c>
    </row>
    <row r="2235" spans="1:8" hidden="1" x14ac:dyDescent="0.15">
      <c r="A2235" s="2200" t="s">
        <v>11502</v>
      </c>
      <c r="B2235" s="2200" t="s">
        <v>15181</v>
      </c>
      <c r="C2235" s="2200" t="s">
        <v>15182</v>
      </c>
      <c r="D2235" s="2200" t="str">
        <f t="shared" si="136"/>
        <v>NH</v>
      </c>
      <c r="E2235" s="2200">
        <f t="shared" si="137"/>
        <v>16</v>
      </c>
      <c r="F2235" s="2200" t="str">
        <f t="shared" si="138"/>
        <v>33</v>
      </c>
      <c r="G2235" s="2200" t="str">
        <f t="shared" si="139"/>
        <v>50740</v>
      </c>
      <c r="H2235" s="2200">
        <f>--SUBTOTAL(3,C$2:C2235)</f>
        <v>99</v>
      </c>
    </row>
    <row r="2236" spans="1:8" hidden="1" x14ac:dyDescent="0.15">
      <c r="A2236" s="2200" t="s">
        <v>11502</v>
      </c>
      <c r="B2236" s="2200" t="s">
        <v>15183</v>
      </c>
      <c r="C2236" s="2200" t="s">
        <v>15184</v>
      </c>
      <c r="D2236" s="2200" t="str">
        <f t="shared" si="136"/>
        <v>NH</v>
      </c>
      <c r="E2236" s="2200">
        <f t="shared" si="137"/>
        <v>16</v>
      </c>
      <c r="F2236" s="2200" t="str">
        <f t="shared" si="138"/>
        <v>33</v>
      </c>
      <c r="G2236" s="2200" t="str">
        <f t="shared" si="139"/>
        <v>50980</v>
      </c>
      <c r="H2236" s="2200">
        <f>--SUBTOTAL(3,C$2:C2236)</f>
        <v>99</v>
      </c>
    </row>
    <row r="2237" spans="1:8" hidden="1" x14ac:dyDescent="0.15">
      <c r="A2237" s="2200" t="s">
        <v>11502</v>
      </c>
      <c r="B2237" s="2200" t="s">
        <v>15185</v>
      </c>
      <c r="C2237" s="2200" t="s">
        <v>15186</v>
      </c>
      <c r="D2237" s="2200" t="str">
        <f t="shared" si="136"/>
        <v>NH</v>
      </c>
      <c r="E2237" s="2200">
        <f t="shared" si="137"/>
        <v>16</v>
      </c>
      <c r="F2237" s="2200" t="str">
        <f t="shared" si="138"/>
        <v>33</v>
      </c>
      <c r="G2237" s="2200" t="str">
        <f t="shared" si="139"/>
        <v>51220</v>
      </c>
      <c r="H2237" s="2200">
        <f>--SUBTOTAL(3,C$2:C2237)</f>
        <v>99</v>
      </c>
    </row>
    <row r="2238" spans="1:8" hidden="1" x14ac:dyDescent="0.15">
      <c r="A2238" s="2200" t="s">
        <v>11502</v>
      </c>
      <c r="B2238" s="2200" t="s">
        <v>15187</v>
      </c>
      <c r="C2238" s="2200" t="s">
        <v>15188</v>
      </c>
      <c r="D2238" s="2200" t="str">
        <f t="shared" si="136"/>
        <v>NH</v>
      </c>
      <c r="E2238" s="2200">
        <f t="shared" si="137"/>
        <v>17</v>
      </c>
      <c r="F2238" s="2200" t="str">
        <f t="shared" si="138"/>
        <v>33</v>
      </c>
      <c r="G2238" s="2200" t="str">
        <f t="shared" si="139"/>
        <v>51540</v>
      </c>
      <c r="H2238" s="2200">
        <f>--SUBTOTAL(3,C$2:C2238)</f>
        <v>99</v>
      </c>
    </row>
    <row r="2239" spans="1:8" hidden="1" x14ac:dyDescent="0.15">
      <c r="A2239" s="2200" t="s">
        <v>11502</v>
      </c>
      <c r="B2239" s="2200" t="s">
        <v>15189</v>
      </c>
      <c r="C2239" s="2200" t="s">
        <v>15190</v>
      </c>
      <c r="D2239" s="2200" t="str">
        <f t="shared" si="136"/>
        <v>NH</v>
      </c>
      <c r="E2239" s="2200">
        <f t="shared" si="137"/>
        <v>17</v>
      </c>
      <c r="F2239" s="2200" t="str">
        <f t="shared" si="138"/>
        <v>33</v>
      </c>
      <c r="G2239" s="2200" t="str">
        <f t="shared" si="139"/>
        <v>51940</v>
      </c>
      <c r="H2239" s="2200">
        <f>--SUBTOTAL(3,C$2:C2239)</f>
        <v>99</v>
      </c>
    </row>
    <row r="2240" spans="1:8" hidden="1" x14ac:dyDescent="0.15">
      <c r="A2240" s="2200" t="s">
        <v>11502</v>
      </c>
      <c r="B2240" s="2200" t="s">
        <v>15191</v>
      </c>
      <c r="C2240" s="2200" t="s">
        <v>15192</v>
      </c>
      <c r="D2240" s="2200" t="str">
        <f t="shared" si="136"/>
        <v>NH</v>
      </c>
      <c r="E2240" s="2200">
        <f t="shared" si="137"/>
        <v>16</v>
      </c>
      <c r="F2240" s="2200" t="str">
        <f t="shared" si="138"/>
        <v>33</v>
      </c>
      <c r="G2240" s="2200" t="str">
        <f t="shared" si="139"/>
        <v>52100</v>
      </c>
      <c r="H2240" s="2200">
        <f>--SUBTOTAL(3,C$2:C2240)</f>
        <v>99</v>
      </c>
    </row>
    <row r="2241" spans="1:8" hidden="1" x14ac:dyDescent="0.15">
      <c r="A2241" s="2200" t="s">
        <v>11443</v>
      </c>
      <c r="B2241" s="2200" t="s">
        <v>15193</v>
      </c>
      <c r="C2241" s="2200" t="s">
        <v>15194</v>
      </c>
      <c r="D2241" s="2200" t="str">
        <f t="shared" si="136"/>
        <v>NH</v>
      </c>
      <c r="E2241" s="2200">
        <f t="shared" si="137"/>
        <v>11</v>
      </c>
      <c r="F2241" s="2200" t="str">
        <f t="shared" si="138"/>
        <v>33</v>
      </c>
      <c r="G2241" s="2200" t="str">
        <f t="shared" si="139"/>
        <v>81980</v>
      </c>
      <c r="H2241" s="2200">
        <f>--SUBTOTAL(3,C$2:C2241)</f>
        <v>99</v>
      </c>
    </row>
    <row r="2242" spans="1:8" hidden="1" x14ac:dyDescent="0.15">
      <c r="A2242" s="2200" t="s">
        <v>11502</v>
      </c>
      <c r="B2242" s="2200" t="s">
        <v>15195</v>
      </c>
      <c r="C2242" s="2200" t="s">
        <v>15196</v>
      </c>
      <c r="D2242" s="2200" t="str">
        <f t="shared" ref="D2242:D2305" si="140">MID(C2242,E2242+2,2)</f>
        <v>NH</v>
      </c>
      <c r="E2242" s="2200">
        <f t="shared" ref="E2242:E2305" si="141">FIND(",",C2242)</f>
        <v>13</v>
      </c>
      <c r="F2242" s="2200" t="str">
        <f t="shared" si="138"/>
        <v>33</v>
      </c>
      <c r="G2242" s="2200" t="str">
        <f t="shared" si="139"/>
        <v>50900</v>
      </c>
      <c r="H2242" s="2200">
        <f>--SUBTOTAL(3,C$2:C2242)</f>
        <v>99</v>
      </c>
    </row>
    <row r="2243" spans="1:8" hidden="1" x14ac:dyDescent="0.15">
      <c r="A2243" s="2200" t="s">
        <v>11502</v>
      </c>
      <c r="B2243" s="2200" t="s">
        <v>15197</v>
      </c>
      <c r="C2243" s="2200" t="s">
        <v>15198</v>
      </c>
      <c r="D2243" s="2200" t="str">
        <f t="shared" si="140"/>
        <v>NH</v>
      </c>
      <c r="E2243" s="2200">
        <f t="shared" si="141"/>
        <v>15</v>
      </c>
      <c r="F2243" s="2200" t="str">
        <f t="shared" ref="F2243:F2306" si="142">MID(B2243,3,2)</f>
        <v>33</v>
      </c>
      <c r="G2243" s="2200" t="str">
        <f t="shared" ref="G2243:G2306" si="143">MID(B2243,5,5)</f>
        <v>51380</v>
      </c>
      <c r="H2243" s="2200">
        <f>--SUBTOTAL(3,C$2:C2243)</f>
        <v>99</v>
      </c>
    </row>
    <row r="2244" spans="1:8" hidden="1" x14ac:dyDescent="0.15">
      <c r="A2244" s="2200" t="s">
        <v>11502</v>
      </c>
      <c r="B2244" s="2200" t="s">
        <v>15199</v>
      </c>
      <c r="C2244" s="2200" t="s">
        <v>15200</v>
      </c>
      <c r="D2244" s="2200" t="str">
        <f t="shared" si="140"/>
        <v>NH</v>
      </c>
      <c r="E2244" s="2200">
        <f t="shared" si="141"/>
        <v>15</v>
      </c>
      <c r="F2244" s="2200" t="str">
        <f t="shared" si="142"/>
        <v>33</v>
      </c>
      <c r="G2244" s="2200" t="str">
        <f t="shared" si="143"/>
        <v>51620</v>
      </c>
      <c r="H2244" s="2200">
        <f>--SUBTOTAL(3,C$2:C2244)</f>
        <v>99</v>
      </c>
    </row>
    <row r="2245" spans="1:8" hidden="1" x14ac:dyDescent="0.15">
      <c r="A2245" s="2200" t="s">
        <v>11502</v>
      </c>
      <c r="B2245" s="2200" t="s">
        <v>15201</v>
      </c>
      <c r="C2245" s="2200" t="s">
        <v>15202</v>
      </c>
      <c r="D2245" s="2200" t="str">
        <f t="shared" si="140"/>
        <v>NH</v>
      </c>
      <c r="E2245" s="2200">
        <f t="shared" si="141"/>
        <v>15</v>
      </c>
      <c r="F2245" s="2200" t="str">
        <f t="shared" si="142"/>
        <v>33</v>
      </c>
      <c r="G2245" s="2200" t="str">
        <f t="shared" si="143"/>
        <v>52340</v>
      </c>
      <c r="H2245" s="2200">
        <f>--SUBTOTAL(3,C$2:C2245)</f>
        <v>99</v>
      </c>
    </row>
    <row r="2246" spans="1:8" hidden="1" x14ac:dyDescent="0.15">
      <c r="A2246" s="2200" t="s">
        <v>11502</v>
      </c>
      <c r="B2246" s="2200" t="s">
        <v>15203</v>
      </c>
      <c r="C2246" s="2200" t="s">
        <v>15204</v>
      </c>
      <c r="D2246" s="2200" t="str">
        <f t="shared" si="140"/>
        <v>NH</v>
      </c>
      <c r="E2246" s="2200">
        <f t="shared" si="141"/>
        <v>13</v>
      </c>
      <c r="F2246" s="2200" t="str">
        <f t="shared" si="142"/>
        <v>33</v>
      </c>
      <c r="G2246" s="2200" t="str">
        <f t="shared" si="143"/>
        <v>52580</v>
      </c>
      <c r="H2246" s="2200">
        <f>--SUBTOTAL(3,C$2:C2246)</f>
        <v>99</v>
      </c>
    </row>
    <row r="2247" spans="1:8" hidden="1" x14ac:dyDescent="0.15">
      <c r="A2247" s="2200" t="s">
        <v>11443</v>
      </c>
      <c r="B2247" s="2200" t="s">
        <v>15205</v>
      </c>
      <c r="C2247" s="2200" t="s">
        <v>15206</v>
      </c>
      <c r="D2247" s="2200" t="str">
        <f t="shared" si="140"/>
        <v>NH</v>
      </c>
      <c r="E2247" s="2200">
        <f t="shared" si="141"/>
        <v>8</v>
      </c>
      <c r="F2247" s="2200" t="str">
        <f t="shared" si="142"/>
        <v>33</v>
      </c>
      <c r="G2247" s="2200" t="str">
        <f t="shared" si="143"/>
        <v>82040</v>
      </c>
      <c r="H2247" s="2200">
        <f>--SUBTOTAL(3,C$2:C2247)</f>
        <v>99</v>
      </c>
    </row>
    <row r="2248" spans="1:8" hidden="1" x14ac:dyDescent="0.15">
      <c r="A2248" s="2200" t="s">
        <v>11502</v>
      </c>
      <c r="B2248" s="2200" t="s">
        <v>15207</v>
      </c>
      <c r="C2248" s="2200" t="s">
        <v>15208</v>
      </c>
      <c r="D2248" s="2200" t="str">
        <f t="shared" si="140"/>
        <v>NH</v>
      </c>
      <c r="E2248" s="2200">
        <f t="shared" si="141"/>
        <v>12</v>
      </c>
      <c r="F2248" s="2200" t="str">
        <f t="shared" si="142"/>
        <v>33</v>
      </c>
      <c r="G2248" s="2200" t="str">
        <f t="shared" si="143"/>
        <v>52900</v>
      </c>
      <c r="H2248" s="2200">
        <f>--SUBTOTAL(3,C$2:C2248)</f>
        <v>99</v>
      </c>
    </row>
    <row r="2249" spans="1:8" hidden="1" x14ac:dyDescent="0.15">
      <c r="A2249" s="2200" t="s">
        <v>11502</v>
      </c>
      <c r="B2249" s="2200" t="s">
        <v>15209</v>
      </c>
      <c r="C2249" s="2200" t="s">
        <v>15210</v>
      </c>
      <c r="D2249" s="2200" t="str">
        <f t="shared" si="140"/>
        <v>NH</v>
      </c>
      <c r="E2249" s="2200">
        <f t="shared" si="141"/>
        <v>19</v>
      </c>
      <c r="F2249" s="2200" t="str">
        <f t="shared" si="142"/>
        <v>33</v>
      </c>
      <c r="G2249" s="2200" t="str">
        <f t="shared" si="143"/>
        <v>54580</v>
      </c>
      <c r="H2249" s="2200">
        <f>--SUBTOTAL(3,C$2:C2249)</f>
        <v>99</v>
      </c>
    </row>
    <row r="2250" spans="1:8" hidden="1" x14ac:dyDescent="0.15">
      <c r="A2250" s="2200" t="s">
        <v>11502</v>
      </c>
      <c r="B2250" s="2200" t="s">
        <v>15211</v>
      </c>
      <c r="C2250" s="2200" t="s">
        <v>15212</v>
      </c>
      <c r="D2250" s="2200" t="str">
        <f t="shared" si="140"/>
        <v>NH</v>
      </c>
      <c r="E2250" s="2200">
        <f t="shared" si="141"/>
        <v>16</v>
      </c>
      <c r="F2250" s="2200" t="str">
        <f t="shared" si="142"/>
        <v>33</v>
      </c>
      <c r="G2250" s="2200" t="str">
        <f t="shared" si="143"/>
        <v>54260</v>
      </c>
      <c r="H2250" s="2200">
        <f>--SUBTOTAL(3,C$2:C2250)</f>
        <v>99</v>
      </c>
    </row>
    <row r="2251" spans="1:8" hidden="1" x14ac:dyDescent="0.15">
      <c r="A2251" s="2200" t="s">
        <v>11502</v>
      </c>
      <c r="B2251" s="2200" t="s">
        <v>15213</v>
      </c>
      <c r="C2251" s="2200" t="s">
        <v>15214</v>
      </c>
      <c r="D2251" s="2200" t="str">
        <f t="shared" si="140"/>
        <v>NH</v>
      </c>
      <c r="E2251" s="2200">
        <f t="shared" si="141"/>
        <v>20</v>
      </c>
      <c r="F2251" s="2200" t="str">
        <f t="shared" si="142"/>
        <v>33</v>
      </c>
      <c r="G2251" s="2200" t="str">
        <f t="shared" si="143"/>
        <v>56100</v>
      </c>
      <c r="H2251" s="2200">
        <f>--SUBTOTAL(3,C$2:C2251)</f>
        <v>99</v>
      </c>
    </row>
    <row r="2252" spans="1:8" hidden="1" x14ac:dyDescent="0.15">
      <c r="A2252" s="2200" t="s">
        <v>11502</v>
      </c>
      <c r="B2252" s="2200" t="s">
        <v>15215</v>
      </c>
      <c r="C2252" s="2200" t="s">
        <v>15216</v>
      </c>
      <c r="D2252" s="2200" t="str">
        <f t="shared" si="140"/>
        <v>NH</v>
      </c>
      <c r="E2252" s="2200">
        <f t="shared" si="141"/>
        <v>15</v>
      </c>
      <c r="F2252" s="2200" t="str">
        <f t="shared" si="142"/>
        <v>33</v>
      </c>
      <c r="G2252" s="2200" t="str">
        <f t="shared" si="143"/>
        <v>56820</v>
      </c>
      <c r="H2252" s="2200">
        <f>--SUBTOTAL(3,C$2:C2252)</f>
        <v>99</v>
      </c>
    </row>
    <row r="2253" spans="1:8" hidden="1" x14ac:dyDescent="0.15">
      <c r="A2253" s="2200" t="s">
        <v>11502</v>
      </c>
      <c r="B2253" s="2200" t="s">
        <v>15217</v>
      </c>
      <c r="C2253" s="2200" t="s">
        <v>15218</v>
      </c>
      <c r="D2253" s="2200" t="str">
        <f t="shared" si="140"/>
        <v>NH</v>
      </c>
      <c r="E2253" s="2200">
        <f t="shared" si="141"/>
        <v>16</v>
      </c>
      <c r="F2253" s="2200" t="str">
        <f t="shared" si="142"/>
        <v>33</v>
      </c>
      <c r="G2253" s="2200" t="str">
        <f t="shared" si="143"/>
        <v>57460</v>
      </c>
      <c r="H2253" s="2200">
        <f>--SUBTOTAL(3,C$2:C2253)</f>
        <v>99</v>
      </c>
    </row>
    <row r="2254" spans="1:8" hidden="1" x14ac:dyDescent="0.15">
      <c r="A2254" s="2200" t="s">
        <v>11502</v>
      </c>
      <c r="B2254" s="2200" t="s">
        <v>15219</v>
      </c>
      <c r="C2254" s="2200" t="s">
        <v>15220</v>
      </c>
      <c r="D2254" s="2200" t="str">
        <f t="shared" si="140"/>
        <v>NH</v>
      </c>
      <c r="E2254" s="2200">
        <f t="shared" si="141"/>
        <v>12</v>
      </c>
      <c r="F2254" s="2200" t="str">
        <f t="shared" si="142"/>
        <v>33</v>
      </c>
      <c r="G2254" s="2200" t="str">
        <f t="shared" si="143"/>
        <v>58340</v>
      </c>
      <c r="H2254" s="2200">
        <f>--SUBTOTAL(3,C$2:C2254)</f>
        <v>99</v>
      </c>
    </row>
    <row r="2255" spans="1:8" hidden="1" x14ac:dyDescent="0.15">
      <c r="A2255" s="2200" t="s">
        <v>11502</v>
      </c>
      <c r="B2255" s="2200" t="s">
        <v>15221</v>
      </c>
      <c r="C2255" s="2200" t="s">
        <v>15222</v>
      </c>
      <c r="D2255" s="2200" t="str">
        <f t="shared" si="140"/>
        <v>NH</v>
      </c>
      <c r="E2255" s="2200">
        <f t="shared" si="141"/>
        <v>12</v>
      </c>
      <c r="F2255" s="2200" t="str">
        <f t="shared" si="142"/>
        <v>33</v>
      </c>
      <c r="G2255" s="2200" t="str">
        <f t="shared" si="143"/>
        <v>58500</v>
      </c>
      <c r="H2255" s="2200">
        <f>--SUBTOTAL(3,C$2:C2255)</f>
        <v>99</v>
      </c>
    </row>
    <row r="2256" spans="1:8" hidden="1" x14ac:dyDescent="0.15">
      <c r="A2256" s="2200" t="s">
        <v>11502</v>
      </c>
      <c r="B2256" s="2200" t="s">
        <v>15223</v>
      </c>
      <c r="C2256" s="2200" t="s">
        <v>15224</v>
      </c>
      <c r="D2256" s="2200" t="str">
        <f t="shared" si="140"/>
        <v>NH</v>
      </c>
      <c r="E2256" s="2200">
        <f t="shared" si="141"/>
        <v>13</v>
      </c>
      <c r="F2256" s="2200" t="str">
        <f t="shared" si="142"/>
        <v>33</v>
      </c>
      <c r="G2256" s="2200" t="str">
        <f t="shared" si="143"/>
        <v>58740</v>
      </c>
      <c r="H2256" s="2200">
        <f>--SUBTOTAL(3,C$2:C2256)</f>
        <v>99</v>
      </c>
    </row>
    <row r="2257" spans="1:8" hidden="1" x14ac:dyDescent="0.15">
      <c r="A2257" s="2200" t="s">
        <v>11502</v>
      </c>
      <c r="B2257" s="2200" t="s">
        <v>15225</v>
      </c>
      <c r="C2257" s="2200" t="s">
        <v>15226</v>
      </c>
      <c r="D2257" s="2200" t="str">
        <f t="shared" si="140"/>
        <v>NH</v>
      </c>
      <c r="E2257" s="2200">
        <f t="shared" si="141"/>
        <v>12</v>
      </c>
      <c r="F2257" s="2200" t="str">
        <f t="shared" si="142"/>
        <v>33</v>
      </c>
      <c r="G2257" s="2200" t="str">
        <f t="shared" si="143"/>
        <v>59940</v>
      </c>
      <c r="H2257" s="2200">
        <f>--SUBTOTAL(3,C$2:C2257)</f>
        <v>99</v>
      </c>
    </row>
    <row r="2258" spans="1:8" hidden="1" x14ac:dyDescent="0.15">
      <c r="A2258" s="2200" t="s">
        <v>11502</v>
      </c>
      <c r="B2258" s="2200" t="s">
        <v>15227</v>
      </c>
      <c r="C2258" s="2200" t="s">
        <v>15228</v>
      </c>
      <c r="D2258" s="2200" t="str">
        <f t="shared" si="140"/>
        <v>NH</v>
      </c>
      <c r="E2258" s="2200">
        <f t="shared" si="141"/>
        <v>14</v>
      </c>
      <c r="F2258" s="2200" t="str">
        <f t="shared" si="142"/>
        <v>33</v>
      </c>
      <c r="G2258" s="2200" t="str">
        <f t="shared" si="143"/>
        <v>60020</v>
      </c>
      <c r="H2258" s="2200">
        <f>--SUBTOTAL(3,C$2:C2258)</f>
        <v>99</v>
      </c>
    </row>
    <row r="2259" spans="1:8" hidden="1" x14ac:dyDescent="0.15">
      <c r="A2259" s="2200" t="s">
        <v>11502</v>
      </c>
      <c r="B2259" s="2200" t="s">
        <v>15229</v>
      </c>
      <c r="C2259" s="2200" t="s">
        <v>15230</v>
      </c>
      <c r="D2259" s="2200" t="str">
        <f t="shared" si="140"/>
        <v>NH</v>
      </c>
      <c r="E2259" s="2200">
        <f t="shared" si="141"/>
        <v>18</v>
      </c>
      <c r="F2259" s="2200" t="str">
        <f t="shared" si="142"/>
        <v>33</v>
      </c>
      <c r="G2259" s="2200" t="str">
        <f t="shared" si="143"/>
        <v>60580</v>
      </c>
      <c r="H2259" s="2200">
        <f>--SUBTOTAL(3,C$2:C2259)</f>
        <v>99</v>
      </c>
    </row>
    <row r="2260" spans="1:8" hidden="1" x14ac:dyDescent="0.15">
      <c r="A2260" s="2200" t="s">
        <v>11443</v>
      </c>
      <c r="B2260" s="2200" t="s">
        <v>15231</v>
      </c>
      <c r="C2260" s="2200" t="s">
        <v>15232</v>
      </c>
      <c r="D2260" s="2200" t="str">
        <f t="shared" si="140"/>
        <v>NH</v>
      </c>
      <c r="E2260" s="2200">
        <f t="shared" si="141"/>
        <v>13</v>
      </c>
      <c r="F2260" s="2200" t="str">
        <f t="shared" si="142"/>
        <v>33</v>
      </c>
      <c r="G2260" s="2200" t="str">
        <f t="shared" si="143"/>
        <v>82220</v>
      </c>
      <c r="H2260" s="2200">
        <f>--SUBTOTAL(3,C$2:C2260)</f>
        <v>99</v>
      </c>
    </row>
    <row r="2261" spans="1:8" hidden="1" x14ac:dyDescent="0.15">
      <c r="A2261" s="2200" t="s">
        <v>11502</v>
      </c>
      <c r="B2261" s="2200" t="s">
        <v>15233</v>
      </c>
      <c r="C2261" s="2200" t="s">
        <v>15234</v>
      </c>
      <c r="D2261" s="2200" t="str">
        <f t="shared" si="140"/>
        <v>NH</v>
      </c>
      <c r="E2261" s="2200">
        <f t="shared" si="141"/>
        <v>14</v>
      </c>
      <c r="F2261" s="2200" t="str">
        <f t="shared" si="142"/>
        <v>33</v>
      </c>
      <c r="G2261" s="2200" t="str">
        <f t="shared" si="143"/>
        <v>61060</v>
      </c>
      <c r="H2261" s="2200">
        <f>--SUBTOTAL(3,C$2:C2261)</f>
        <v>99</v>
      </c>
    </row>
    <row r="2262" spans="1:8" hidden="1" x14ac:dyDescent="0.15">
      <c r="A2262" s="2200" t="s">
        <v>11502</v>
      </c>
      <c r="B2262" s="2200" t="s">
        <v>15235</v>
      </c>
      <c r="C2262" s="2200" t="s">
        <v>15236</v>
      </c>
      <c r="D2262" s="2200" t="str">
        <f t="shared" si="140"/>
        <v>NH</v>
      </c>
      <c r="E2262" s="2200">
        <f t="shared" si="141"/>
        <v>15</v>
      </c>
      <c r="F2262" s="2200" t="str">
        <f t="shared" si="142"/>
        <v>33</v>
      </c>
      <c r="G2262" s="2200" t="str">
        <f t="shared" si="143"/>
        <v>61620</v>
      </c>
      <c r="H2262" s="2200">
        <f>--SUBTOTAL(3,C$2:C2262)</f>
        <v>99</v>
      </c>
    </row>
    <row r="2263" spans="1:8" hidden="1" x14ac:dyDescent="0.15">
      <c r="A2263" s="2200" t="s">
        <v>11502</v>
      </c>
      <c r="B2263" s="2200" t="s">
        <v>15237</v>
      </c>
      <c r="C2263" s="2200" t="s">
        <v>15238</v>
      </c>
      <c r="D2263" s="2200" t="str">
        <f t="shared" si="140"/>
        <v>NH</v>
      </c>
      <c r="E2263" s="2200">
        <f t="shared" si="141"/>
        <v>15</v>
      </c>
      <c r="F2263" s="2200" t="str">
        <f t="shared" si="142"/>
        <v>33</v>
      </c>
      <c r="G2263" s="2200" t="str">
        <f t="shared" si="143"/>
        <v>61780</v>
      </c>
      <c r="H2263" s="2200">
        <f>--SUBTOTAL(3,C$2:C2263)</f>
        <v>99</v>
      </c>
    </row>
    <row r="2264" spans="1:8" hidden="1" x14ac:dyDescent="0.15">
      <c r="A2264" s="2200" t="s">
        <v>11502</v>
      </c>
      <c r="B2264" s="2200" t="s">
        <v>15239</v>
      </c>
      <c r="C2264" s="2200" t="s">
        <v>15240</v>
      </c>
      <c r="D2264" s="2200" t="str">
        <f t="shared" si="140"/>
        <v>NH</v>
      </c>
      <c r="E2264" s="2200">
        <f t="shared" si="141"/>
        <v>16</v>
      </c>
      <c r="F2264" s="2200" t="str">
        <f t="shared" si="142"/>
        <v>33</v>
      </c>
      <c r="G2264" s="2200" t="str">
        <f t="shared" si="143"/>
        <v>61940</v>
      </c>
      <c r="H2264" s="2200">
        <f>--SUBTOTAL(3,C$2:C2264)</f>
        <v>99</v>
      </c>
    </row>
    <row r="2265" spans="1:8" hidden="1" x14ac:dyDescent="0.15">
      <c r="A2265" s="2200" t="s">
        <v>11502</v>
      </c>
      <c r="B2265" s="2200" t="s">
        <v>15241</v>
      </c>
      <c r="C2265" s="2200" t="s">
        <v>15242</v>
      </c>
      <c r="D2265" s="2200" t="str">
        <f t="shared" si="140"/>
        <v>NH</v>
      </c>
      <c r="E2265" s="2200">
        <f t="shared" si="141"/>
        <v>16</v>
      </c>
      <c r="F2265" s="2200" t="str">
        <f t="shared" si="142"/>
        <v>33</v>
      </c>
      <c r="G2265" s="2200" t="str">
        <f t="shared" si="143"/>
        <v>62340</v>
      </c>
      <c r="H2265" s="2200">
        <f>--SUBTOTAL(3,C$2:C2265)</f>
        <v>99</v>
      </c>
    </row>
    <row r="2266" spans="1:8" hidden="1" x14ac:dyDescent="0.15">
      <c r="A2266" s="2200" t="s">
        <v>11502</v>
      </c>
      <c r="B2266" s="2200" t="s">
        <v>15243</v>
      </c>
      <c r="C2266" s="2200" t="s">
        <v>15244</v>
      </c>
      <c r="D2266" s="2200" t="str">
        <f t="shared" si="140"/>
        <v>NH</v>
      </c>
      <c r="E2266" s="2200">
        <f t="shared" si="141"/>
        <v>14</v>
      </c>
      <c r="F2266" s="2200" t="str">
        <f t="shared" si="142"/>
        <v>33</v>
      </c>
      <c r="G2266" s="2200" t="str">
        <f t="shared" si="143"/>
        <v>62500</v>
      </c>
      <c r="H2266" s="2200">
        <f>--SUBTOTAL(3,C$2:C2266)</f>
        <v>99</v>
      </c>
    </row>
    <row r="2267" spans="1:8" hidden="1" x14ac:dyDescent="0.15">
      <c r="A2267" s="2200" t="s">
        <v>11502</v>
      </c>
      <c r="B2267" s="2200" t="s">
        <v>15245</v>
      </c>
      <c r="C2267" s="2200" t="s">
        <v>15246</v>
      </c>
      <c r="D2267" s="2200" t="str">
        <f t="shared" si="140"/>
        <v>NH</v>
      </c>
      <c r="E2267" s="2200">
        <f t="shared" si="141"/>
        <v>14</v>
      </c>
      <c r="F2267" s="2200" t="str">
        <f t="shared" si="142"/>
        <v>33</v>
      </c>
      <c r="G2267" s="2200" t="str">
        <f t="shared" si="143"/>
        <v>62660</v>
      </c>
      <c r="H2267" s="2200">
        <f>--SUBTOTAL(3,C$2:C2267)</f>
        <v>99</v>
      </c>
    </row>
    <row r="2268" spans="1:8" hidden="1" x14ac:dyDescent="0.15">
      <c r="A2268" s="2200" t="s">
        <v>11443</v>
      </c>
      <c r="B2268" s="2200" t="s">
        <v>15247</v>
      </c>
      <c r="C2268" s="2200" t="s">
        <v>15248</v>
      </c>
      <c r="D2268" s="2200" t="str">
        <f t="shared" si="140"/>
        <v>NH</v>
      </c>
      <c r="E2268" s="2200">
        <f t="shared" si="141"/>
        <v>9</v>
      </c>
      <c r="F2268" s="2200" t="str">
        <f t="shared" si="142"/>
        <v>33</v>
      </c>
      <c r="G2268" s="2200" t="str">
        <f t="shared" si="143"/>
        <v>82300</v>
      </c>
      <c r="H2268" s="2200">
        <f>--SUBTOTAL(3,C$2:C2268)</f>
        <v>99</v>
      </c>
    </row>
    <row r="2269" spans="1:8" hidden="1" x14ac:dyDescent="0.15">
      <c r="A2269" s="2200" t="s">
        <v>11502</v>
      </c>
      <c r="B2269" s="2200" t="s">
        <v>15249</v>
      </c>
      <c r="C2269" s="2200" t="s">
        <v>15250</v>
      </c>
      <c r="D2269" s="2200" t="str">
        <f t="shared" si="140"/>
        <v>NH</v>
      </c>
      <c r="E2269" s="2200">
        <f t="shared" si="141"/>
        <v>16</v>
      </c>
      <c r="F2269" s="2200" t="str">
        <f t="shared" si="142"/>
        <v>33</v>
      </c>
      <c r="G2269" s="2200" t="str">
        <f t="shared" si="143"/>
        <v>62900</v>
      </c>
      <c r="H2269" s="2200">
        <f>--SUBTOTAL(3,C$2:C2269)</f>
        <v>99</v>
      </c>
    </row>
    <row r="2270" spans="1:8" hidden="1" x14ac:dyDescent="0.15">
      <c r="A2270" s="2200" t="s">
        <v>11502</v>
      </c>
      <c r="B2270" s="2200" t="s">
        <v>15251</v>
      </c>
      <c r="C2270" s="2200" t="s">
        <v>15252</v>
      </c>
      <c r="D2270" s="2200" t="str">
        <f t="shared" si="140"/>
        <v>NH</v>
      </c>
      <c r="E2270" s="2200">
        <f t="shared" si="141"/>
        <v>14</v>
      </c>
      <c r="F2270" s="2200" t="str">
        <f t="shared" si="142"/>
        <v>33</v>
      </c>
      <c r="G2270" s="2200" t="str">
        <f t="shared" si="143"/>
        <v>63860</v>
      </c>
      <c r="H2270" s="2200">
        <f>--SUBTOTAL(3,C$2:C2270)</f>
        <v>99</v>
      </c>
    </row>
    <row r="2271" spans="1:8" hidden="1" x14ac:dyDescent="0.15">
      <c r="A2271" s="2200" t="s">
        <v>11502</v>
      </c>
      <c r="B2271" s="2200" t="s">
        <v>15253</v>
      </c>
      <c r="C2271" s="2200" t="s">
        <v>15254</v>
      </c>
      <c r="D2271" s="2200" t="str">
        <f t="shared" si="140"/>
        <v>NH</v>
      </c>
      <c r="E2271" s="2200">
        <f t="shared" si="141"/>
        <v>13</v>
      </c>
      <c r="F2271" s="2200" t="str">
        <f t="shared" si="142"/>
        <v>33</v>
      </c>
      <c r="G2271" s="2200" t="str">
        <f t="shared" si="143"/>
        <v>64020</v>
      </c>
      <c r="H2271" s="2200">
        <f>--SUBTOTAL(3,C$2:C2271)</f>
        <v>99</v>
      </c>
    </row>
    <row r="2272" spans="1:8" hidden="1" x14ac:dyDescent="0.15">
      <c r="A2272" s="2200" t="s">
        <v>11443</v>
      </c>
      <c r="B2272" s="2200" t="s">
        <v>15255</v>
      </c>
      <c r="C2272" s="2200" t="s">
        <v>15256</v>
      </c>
      <c r="D2272" s="2200" t="str">
        <f t="shared" si="140"/>
        <v>NH</v>
      </c>
      <c r="E2272" s="2200">
        <f t="shared" si="141"/>
        <v>8</v>
      </c>
      <c r="F2272" s="2200" t="str">
        <f t="shared" si="142"/>
        <v>33</v>
      </c>
      <c r="G2272" s="2200" t="str">
        <f t="shared" si="143"/>
        <v>82460</v>
      </c>
      <c r="H2272" s="2200">
        <f>--SUBTOTAL(3,C$2:C2272)</f>
        <v>99</v>
      </c>
    </row>
    <row r="2273" spans="1:8" hidden="1" x14ac:dyDescent="0.15">
      <c r="A2273" s="2200" t="s">
        <v>11502</v>
      </c>
      <c r="B2273" s="2200" t="s">
        <v>15257</v>
      </c>
      <c r="C2273" s="2200" t="s">
        <v>15258</v>
      </c>
      <c r="D2273" s="2200" t="str">
        <f t="shared" si="140"/>
        <v>NH</v>
      </c>
      <c r="E2273" s="2200">
        <f t="shared" si="141"/>
        <v>14</v>
      </c>
      <c r="F2273" s="2200" t="str">
        <f t="shared" si="142"/>
        <v>33</v>
      </c>
      <c r="G2273" s="2200" t="str">
        <f t="shared" si="143"/>
        <v>64420</v>
      </c>
      <c r="H2273" s="2200">
        <f>--SUBTOTAL(3,C$2:C2273)</f>
        <v>99</v>
      </c>
    </row>
    <row r="2274" spans="1:8" hidden="1" x14ac:dyDescent="0.15">
      <c r="A2274" s="2200" t="s">
        <v>11502</v>
      </c>
      <c r="B2274" s="2200" t="s">
        <v>15259</v>
      </c>
      <c r="C2274" s="2200" t="s">
        <v>15260</v>
      </c>
      <c r="D2274" s="2200" t="str">
        <f t="shared" si="140"/>
        <v>NH</v>
      </c>
      <c r="E2274" s="2200">
        <f t="shared" si="141"/>
        <v>12</v>
      </c>
      <c r="F2274" s="2200" t="str">
        <f t="shared" si="142"/>
        <v>33</v>
      </c>
      <c r="G2274" s="2200" t="str">
        <f t="shared" si="143"/>
        <v>64580</v>
      </c>
      <c r="H2274" s="2200">
        <f>--SUBTOTAL(3,C$2:C2274)</f>
        <v>99</v>
      </c>
    </row>
    <row r="2275" spans="1:8" hidden="1" x14ac:dyDescent="0.15">
      <c r="A2275" s="2200" t="s">
        <v>10723</v>
      </c>
      <c r="B2275" s="2200" t="s">
        <v>15261</v>
      </c>
      <c r="C2275" s="2200" t="s">
        <v>15262</v>
      </c>
      <c r="D2275" s="2200" t="str">
        <f t="shared" si="140"/>
        <v>NH</v>
      </c>
      <c r="E2275" s="2200">
        <f t="shared" si="141"/>
        <v>15</v>
      </c>
      <c r="F2275" s="2200" t="str">
        <f t="shared" si="142"/>
        <v>33</v>
      </c>
      <c r="G2275" s="2200" t="str">
        <f t="shared" si="143"/>
        <v>65140</v>
      </c>
      <c r="H2275" s="2200">
        <f>--SUBTOTAL(3,C$2:C2275)</f>
        <v>99</v>
      </c>
    </row>
    <row r="2276" spans="1:8" hidden="1" x14ac:dyDescent="0.15">
      <c r="A2276" s="2200" t="s">
        <v>11502</v>
      </c>
      <c r="B2276" s="2200" t="s">
        <v>15263</v>
      </c>
      <c r="C2276" s="2200" t="s">
        <v>15264</v>
      </c>
      <c r="D2276" s="2200" t="str">
        <f t="shared" si="140"/>
        <v>NH</v>
      </c>
      <c r="E2276" s="2200">
        <f t="shared" si="141"/>
        <v>17</v>
      </c>
      <c r="F2276" s="2200" t="str">
        <f t="shared" si="142"/>
        <v>33</v>
      </c>
      <c r="G2276" s="2200" t="str">
        <f t="shared" si="143"/>
        <v>65540</v>
      </c>
      <c r="H2276" s="2200">
        <f>--SUBTOTAL(3,C$2:C2276)</f>
        <v>99</v>
      </c>
    </row>
    <row r="2277" spans="1:8" hidden="1" x14ac:dyDescent="0.15">
      <c r="A2277" s="2200" t="s">
        <v>11502</v>
      </c>
      <c r="B2277" s="2200" t="s">
        <v>15265</v>
      </c>
      <c r="C2277" s="2200" t="s">
        <v>15266</v>
      </c>
      <c r="D2277" s="2200" t="str">
        <f t="shared" si="140"/>
        <v>NH</v>
      </c>
      <c r="E2277" s="2200">
        <f t="shared" si="141"/>
        <v>13</v>
      </c>
      <c r="F2277" s="2200" t="str">
        <f t="shared" si="142"/>
        <v>33</v>
      </c>
      <c r="G2277" s="2200" t="str">
        <f t="shared" si="143"/>
        <v>65700</v>
      </c>
      <c r="H2277" s="2200">
        <f>--SUBTOTAL(3,C$2:C2277)</f>
        <v>99</v>
      </c>
    </row>
    <row r="2278" spans="1:8" hidden="1" x14ac:dyDescent="0.15">
      <c r="A2278" s="2200" t="s">
        <v>11502</v>
      </c>
      <c r="B2278" s="2200" t="s">
        <v>15267</v>
      </c>
      <c r="C2278" s="2200" t="s">
        <v>15268</v>
      </c>
      <c r="D2278" s="2200" t="str">
        <f t="shared" si="140"/>
        <v>NH</v>
      </c>
      <c r="E2278" s="2200">
        <f t="shared" si="141"/>
        <v>12</v>
      </c>
      <c r="F2278" s="2200" t="str">
        <f t="shared" si="142"/>
        <v>33</v>
      </c>
      <c r="G2278" s="2200" t="str">
        <f t="shared" si="143"/>
        <v>65940</v>
      </c>
      <c r="H2278" s="2200">
        <f>--SUBTOTAL(3,C$2:C2278)</f>
        <v>99</v>
      </c>
    </row>
    <row r="2279" spans="1:8" hidden="1" x14ac:dyDescent="0.15">
      <c r="A2279" s="2200" t="s">
        <v>11502</v>
      </c>
      <c r="B2279" s="2200" t="s">
        <v>15269</v>
      </c>
      <c r="C2279" s="2200" t="s">
        <v>15270</v>
      </c>
      <c r="D2279" s="2200" t="str">
        <f t="shared" si="140"/>
        <v>NH</v>
      </c>
      <c r="E2279" s="2200">
        <f t="shared" si="141"/>
        <v>9</v>
      </c>
      <c r="F2279" s="2200" t="str">
        <f t="shared" si="142"/>
        <v>33</v>
      </c>
      <c r="G2279" s="2200" t="str">
        <f t="shared" si="143"/>
        <v>66180</v>
      </c>
      <c r="H2279" s="2200">
        <f>--SUBTOTAL(3,C$2:C2279)</f>
        <v>99</v>
      </c>
    </row>
    <row r="2280" spans="1:8" hidden="1" x14ac:dyDescent="0.15">
      <c r="A2280" s="2200" t="s">
        <v>10723</v>
      </c>
      <c r="B2280" s="2200" t="s">
        <v>15271</v>
      </c>
      <c r="C2280" s="2200" t="s">
        <v>15272</v>
      </c>
      <c r="D2280" s="2200" t="str">
        <f t="shared" si="140"/>
        <v>NH</v>
      </c>
      <c r="E2280" s="2200">
        <f t="shared" si="141"/>
        <v>11</v>
      </c>
      <c r="F2280" s="2200" t="str">
        <f t="shared" si="142"/>
        <v>33</v>
      </c>
      <c r="G2280" s="2200" t="str">
        <f t="shared" si="143"/>
        <v>66660</v>
      </c>
      <c r="H2280" s="2200">
        <f>--SUBTOTAL(3,C$2:C2280)</f>
        <v>99</v>
      </c>
    </row>
    <row r="2281" spans="1:8" hidden="1" x14ac:dyDescent="0.15">
      <c r="A2281" s="2200" t="s">
        <v>11502</v>
      </c>
      <c r="B2281" s="2200" t="s">
        <v>15273</v>
      </c>
      <c r="C2281" s="2200" t="s">
        <v>15274</v>
      </c>
      <c r="D2281" s="2200" t="str">
        <f t="shared" si="140"/>
        <v>NH</v>
      </c>
      <c r="E2281" s="2200">
        <f t="shared" si="141"/>
        <v>15</v>
      </c>
      <c r="F2281" s="2200" t="str">
        <f t="shared" si="142"/>
        <v>33</v>
      </c>
      <c r="G2281" s="2200" t="str">
        <f t="shared" si="143"/>
        <v>66980</v>
      </c>
      <c r="H2281" s="2200">
        <f>--SUBTOTAL(3,C$2:C2281)</f>
        <v>99</v>
      </c>
    </row>
    <row r="2282" spans="1:8" hidden="1" x14ac:dyDescent="0.15">
      <c r="A2282" s="2200" t="s">
        <v>11502</v>
      </c>
      <c r="B2282" s="2200" t="s">
        <v>15275</v>
      </c>
      <c r="C2282" s="2200" t="s">
        <v>15276</v>
      </c>
      <c r="D2282" s="2200" t="str">
        <f t="shared" si="140"/>
        <v>NH</v>
      </c>
      <c r="E2282" s="2200">
        <f t="shared" si="141"/>
        <v>16</v>
      </c>
      <c r="F2282" s="2200" t="str">
        <f t="shared" si="142"/>
        <v>33</v>
      </c>
      <c r="G2282" s="2200" t="str">
        <f t="shared" si="143"/>
        <v>67300</v>
      </c>
      <c r="H2282" s="2200">
        <f>--SUBTOTAL(3,C$2:C2282)</f>
        <v>99</v>
      </c>
    </row>
    <row r="2283" spans="1:8" hidden="1" x14ac:dyDescent="0.15">
      <c r="A2283" s="2200" t="s">
        <v>11502</v>
      </c>
      <c r="B2283" s="2200" t="s">
        <v>15277</v>
      </c>
      <c r="C2283" s="2200" t="s">
        <v>15278</v>
      </c>
      <c r="D2283" s="2200" t="str">
        <f t="shared" si="140"/>
        <v>NH</v>
      </c>
      <c r="E2283" s="2200">
        <f t="shared" si="141"/>
        <v>13</v>
      </c>
      <c r="F2283" s="2200" t="str">
        <f t="shared" si="142"/>
        <v>33</v>
      </c>
      <c r="G2283" s="2200" t="str">
        <f t="shared" si="143"/>
        <v>67620</v>
      </c>
      <c r="H2283" s="2200">
        <f>--SUBTOTAL(3,C$2:C2283)</f>
        <v>99</v>
      </c>
    </row>
    <row r="2284" spans="1:8" hidden="1" x14ac:dyDescent="0.15">
      <c r="A2284" s="2200" t="s">
        <v>11502</v>
      </c>
      <c r="B2284" s="2200" t="s">
        <v>15279</v>
      </c>
      <c r="C2284" s="2200" t="s">
        <v>15280</v>
      </c>
      <c r="D2284" s="2200" t="str">
        <f t="shared" si="140"/>
        <v>NH</v>
      </c>
      <c r="E2284" s="2200">
        <f t="shared" si="141"/>
        <v>14</v>
      </c>
      <c r="F2284" s="2200" t="str">
        <f t="shared" si="142"/>
        <v>33</v>
      </c>
      <c r="G2284" s="2200" t="str">
        <f t="shared" si="143"/>
        <v>67780</v>
      </c>
      <c r="H2284" s="2200">
        <f>--SUBTOTAL(3,C$2:C2284)</f>
        <v>99</v>
      </c>
    </row>
    <row r="2285" spans="1:8" hidden="1" x14ac:dyDescent="0.15">
      <c r="A2285" s="2200" t="s">
        <v>11502</v>
      </c>
      <c r="B2285" s="2200" t="s">
        <v>15281</v>
      </c>
      <c r="C2285" s="2200" t="s">
        <v>15282</v>
      </c>
      <c r="D2285" s="2200" t="str">
        <f t="shared" si="140"/>
        <v>NH</v>
      </c>
      <c r="E2285" s="2200">
        <f t="shared" si="141"/>
        <v>14</v>
      </c>
      <c r="F2285" s="2200" t="str">
        <f t="shared" si="142"/>
        <v>33</v>
      </c>
      <c r="G2285" s="2200" t="str">
        <f t="shared" si="143"/>
        <v>68260</v>
      </c>
      <c r="H2285" s="2200">
        <f>--SUBTOTAL(3,C$2:C2285)</f>
        <v>99</v>
      </c>
    </row>
    <row r="2286" spans="1:8" hidden="1" x14ac:dyDescent="0.15">
      <c r="A2286" s="2200" t="s">
        <v>11502</v>
      </c>
      <c r="B2286" s="2200" t="s">
        <v>15283</v>
      </c>
      <c r="C2286" s="2200" t="s">
        <v>15284</v>
      </c>
      <c r="D2286" s="2200" t="str">
        <f t="shared" si="140"/>
        <v>NH</v>
      </c>
      <c r="E2286" s="2200">
        <f t="shared" si="141"/>
        <v>12</v>
      </c>
      <c r="F2286" s="2200" t="str">
        <f t="shared" si="142"/>
        <v>33</v>
      </c>
      <c r="G2286" s="2200" t="str">
        <f t="shared" si="143"/>
        <v>68820</v>
      </c>
      <c r="H2286" s="2200">
        <f>--SUBTOTAL(3,C$2:C2286)</f>
        <v>99</v>
      </c>
    </row>
    <row r="2287" spans="1:8" hidden="1" x14ac:dyDescent="0.15">
      <c r="A2287" s="2200" t="s">
        <v>11502</v>
      </c>
      <c r="B2287" s="2200" t="s">
        <v>15285</v>
      </c>
      <c r="C2287" s="2200" t="s">
        <v>15286</v>
      </c>
      <c r="D2287" s="2200" t="str">
        <f t="shared" si="140"/>
        <v>NH</v>
      </c>
      <c r="E2287" s="2200">
        <f t="shared" si="141"/>
        <v>15</v>
      </c>
      <c r="F2287" s="2200" t="str">
        <f t="shared" si="142"/>
        <v>33</v>
      </c>
      <c r="G2287" s="2200" t="str">
        <f t="shared" si="143"/>
        <v>68980</v>
      </c>
      <c r="H2287" s="2200">
        <f>--SUBTOTAL(3,C$2:C2287)</f>
        <v>99</v>
      </c>
    </row>
    <row r="2288" spans="1:8" hidden="1" x14ac:dyDescent="0.15">
      <c r="A2288" s="2200" t="s">
        <v>11502</v>
      </c>
      <c r="B2288" s="2200" t="s">
        <v>15287</v>
      </c>
      <c r="C2288" s="2200" t="s">
        <v>15288</v>
      </c>
      <c r="D2288" s="2200" t="str">
        <f t="shared" si="140"/>
        <v>NH</v>
      </c>
      <c r="E2288" s="2200">
        <f t="shared" si="141"/>
        <v>17</v>
      </c>
      <c r="F2288" s="2200" t="str">
        <f t="shared" si="142"/>
        <v>33</v>
      </c>
      <c r="G2288" s="2200" t="str">
        <f t="shared" si="143"/>
        <v>69940</v>
      </c>
      <c r="H2288" s="2200">
        <f>--SUBTOTAL(3,C$2:C2288)</f>
        <v>99</v>
      </c>
    </row>
    <row r="2289" spans="1:8" hidden="1" x14ac:dyDescent="0.15">
      <c r="A2289" s="2200" t="s">
        <v>11502</v>
      </c>
      <c r="B2289" s="2200" t="s">
        <v>15289</v>
      </c>
      <c r="C2289" s="2200" t="s">
        <v>15290</v>
      </c>
      <c r="D2289" s="2200" t="str">
        <f t="shared" si="140"/>
        <v>NH</v>
      </c>
      <c r="E2289" s="2200">
        <f t="shared" si="141"/>
        <v>19</v>
      </c>
      <c r="F2289" s="2200" t="str">
        <f t="shared" si="142"/>
        <v>33</v>
      </c>
      <c r="G2289" s="2200" t="str">
        <f t="shared" si="143"/>
        <v>71140</v>
      </c>
      <c r="H2289" s="2200">
        <f>--SUBTOTAL(3,C$2:C2289)</f>
        <v>99</v>
      </c>
    </row>
    <row r="2290" spans="1:8" hidden="1" x14ac:dyDescent="0.15">
      <c r="A2290" s="2200" t="s">
        <v>11502</v>
      </c>
      <c r="B2290" s="2200" t="s">
        <v>15291</v>
      </c>
      <c r="C2290" s="2200" t="s">
        <v>15292</v>
      </c>
      <c r="D2290" s="2200" t="str">
        <f t="shared" si="140"/>
        <v>NH</v>
      </c>
      <c r="E2290" s="2200">
        <f t="shared" si="141"/>
        <v>17</v>
      </c>
      <c r="F2290" s="2200" t="str">
        <f t="shared" si="142"/>
        <v>33</v>
      </c>
      <c r="G2290" s="2200" t="str">
        <f t="shared" si="143"/>
        <v>72740</v>
      </c>
      <c r="H2290" s="2200">
        <f>--SUBTOTAL(3,C$2:C2290)</f>
        <v>99</v>
      </c>
    </row>
    <row r="2291" spans="1:8" hidden="1" x14ac:dyDescent="0.15">
      <c r="A2291" s="2200" t="s">
        <v>11502</v>
      </c>
      <c r="B2291" s="2200" t="s">
        <v>15293</v>
      </c>
      <c r="C2291" s="2200" t="s">
        <v>15294</v>
      </c>
      <c r="D2291" s="2200" t="str">
        <f t="shared" si="140"/>
        <v>NH</v>
      </c>
      <c r="E2291" s="2200">
        <f t="shared" si="141"/>
        <v>11</v>
      </c>
      <c r="F2291" s="2200" t="str">
        <f t="shared" si="142"/>
        <v>33</v>
      </c>
      <c r="G2291" s="2200" t="str">
        <f t="shared" si="143"/>
        <v>73060</v>
      </c>
      <c r="H2291" s="2200">
        <f>--SUBTOTAL(3,C$2:C2291)</f>
        <v>99</v>
      </c>
    </row>
    <row r="2292" spans="1:8" hidden="1" x14ac:dyDescent="0.15">
      <c r="A2292" s="2200" t="s">
        <v>11502</v>
      </c>
      <c r="B2292" s="2200" t="s">
        <v>15295</v>
      </c>
      <c r="C2292" s="2200" t="s">
        <v>15296</v>
      </c>
      <c r="D2292" s="2200" t="str">
        <f t="shared" si="140"/>
        <v>NH</v>
      </c>
      <c r="E2292" s="2200">
        <f t="shared" si="141"/>
        <v>18</v>
      </c>
      <c r="F2292" s="2200" t="str">
        <f t="shared" si="142"/>
        <v>33</v>
      </c>
      <c r="G2292" s="2200" t="str">
        <f t="shared" si="143"/>
        <v>73380</v>
      </c>
      <c r="H2292" s="2200">
        <f>--SUBTOTAL(3,C$2:C2292)</f>
        <v>99</v>
      </c>
    </row>
    <row r="2293" spans="1:8" hidden="1" x14ac:dyDescent="0.15">
      <c r="A2293" s="2200" t="s">
        <v>11502</v>
      </c>
      <c r="B2293" s="2200" t="s">
        <v>15297</v>
      </c>
      <c r="C2293" s="2200" t="s">
        <v>15298</v>
      </c>
      <c r="D2293" s="2200" t="str">
        <f t="shared" si="140"/>
        <v>NH</v>
      </c>
      <c r="E2293" s="2200">
        <f t="shared" si="141"/>
        <v>14</v>
      </c>
      <c r="F2293" s="2200" t="str">
        <f t="shared" si="142"/>
        <v>33</v>
      </c>
      <c r="G2293" s="2200" t="str">
        <f t="shared" si="143"/>
        <v>73700</v>
      </c>
      <c r="H2293" s="2200">
        <f>--SUBTOTAL(3,C$2:C2293)</f>
        <v>99</v>
      </c>
    </row>
    <row r="2294" spans="1:8" hidden="1" x14ac:dyDescent="0.15">
      <c r="A2294" s="2200" t="s">
        <v>11502</v>
      </c>
      <c r="B2294" s="2200" t="s">
        <v>15299</v>
      </c>
      <c r="C2294" s="2200" t="s">
        <v>15300</v>
      </c>
      <c r="D2294" s="2200" t="str">
        <f t="shared" si="140"/>
        <v>NH</v>
      </c>
      <c r="E2294" s="2200">
        <f t="shared" si="141"/>
        <v>15</v>
      </c>
      <c r="F2294" s="2200" t="str">
        <f t="shared" si="142"/>
        <v>33</v>
      </c>
      <c r="G2294" s="2200" t="str">
        <f t="shared" si="143"/>
        <v>73860</v>
      </c>
      <c r="H2294" s="2200">
        <f>--SUBTOTAL(3,C$2:C2294)</f>
        <v>99</v>
      </c>
    </row>
    <row r="2295" spans="1:8" hidden="1" x14ac:dyDescent="0.15">
      <c r="A2295" s="2200" t="s">
        <v>11502</v>
      </c>
      <c r="B2295" s="2200" t="s">
        <v>15301</v>
      </c>
      <c r="C2295" s="2200" t="s">
        <v>15302</v>
      </c>
      <c r="D2295" s="2200" t="str">
        <f t="shared" si="140"/>
        <v>NH</v>
      </c>
      <c r="E2295" s="2200">
        <f t="shared" si="141"/>
        <v>15</v>
      </c>
      <c r="F2295" s="2200" t="str">
        <f t="shared" si="142"/>
        <v>33</v>
      </c>
      <c r="G2295" s="2200" t="str">
        <f t="shared" si="143"/>
        <v>74180</v>
      </c>
      <c r="H2295" s="2200">
        <f>--SUBTOTAL(3,C$2:C2295)</f>
        <v>99</v>
      </c>
    </row>
    <row r="2296" spans="1:8" hidden="1" x14ac:dyDescent="0.15">
      <c r="A2296" s="2200" t="s">
        <v>11502</v>
      </c>
      <c r="B2296" s="2200" t="s">
        <v>15303</v>
      </c>
      <c r="C2296" s="2200" t="s">
        <v>15304</v>
      </c>
      <c r="D2296" s="2200" t="str">
        <f t="shared" si="140"/>
        <v>NH</v>
      </c>
      <c r="E2296" s="2200">
        <f t="shared" si="141"/>
        <v>14</v>
      </c>
      <c r="F2296" s="2200" t="str">
        <f t="shared" si="142"/>
        <v>33</v>
      </c>
      <c r="G2296" s="2200" t="str">
        <f t="shared" si="143"/>
        <v>74340</v>
      </c>
      <c r="H2296" s="2200">
        <f>--SUBTOTAL(3,C$2:C2296)</f>
        <v>99</v>
      </c>
    </row>
    <row r="2297" spans="1:8" hidden="1" x14ac:dyDescent="0.15">
      <c r="A2297" s="2200" t="s">
        <v>11502</v>
      </c>
      <c r="B2297" s="2200" t="s">
        <v>15305</v>
      </c>
      <c r="C2297" s="2200" t="s">
        <v>15306</v>
      </c>
      <c r="D2297" s="2200" t="str">
        <f t="shared" si="140"/>
        <v>NH</v>
      </c>
      <c r="E2297" s="2200">
        <f t="shared" si="141"/>
        <v>16</v>
      </c>
      <c r="F2297" s="2200" t="str">
        <f t="shared" si="142"/>
        <v>33</v>
      </c>
      <c r="G2297" s="2200" t="str">
        <f t="shared" si="143"/>
        <v>74740</v>
      </c>
      <c r="H2297" s="2200">
        <f>--SUBTOTAL(3,C$2:C2297)</f>
        <v>99</v>
      </c>
    </row>
    <row r="2298" spans="1:8" hidden="1" x14ac:dyDescent="0.15">
      <c r="A2298" s="2200" t="s">
        <v>11502</v>
      </c>
      <c r="B2298" s="2200" t="s">
        <v>15307</v>
      </c>
      <c r="C2298" s="2200" t="s">
        <v>15308</v>
      </c>
      <c r="D2298" s="2200" t="str">
        <f t="shared" si="140"/>
        <v>NH</v>
      </c>
      <c r="E2298" s="2200">
        <f t="shared" si="141"/>
        <v>14</v>
      </c>
      <c r="F2298" s="2200" t="str">
        <f t="shared" si="142"/>
        <v>33</v>
      </c>
      <c r="G2298" s="2200" t="str">
        <f t="shared" si="143"/>
        <v>74900</v>
      </c>
      <c r="H2298" s="2200">
        <f>--SUBTOTAL(3,C$2:C2298)</f>
        <v>99</v>
      </c>
    </row>
    <row r="2299" spans="1:8" hidden="1" x14ac:dyDescent="0.15">
      <c r="A2299" s="2200" t="s">
        <v>11502</v>
      </c>
      <c r="B2299" s="2200" t="s">
        <v>15309</v>
      </c>
      <c r="C2299" s="2200" t="s">
        <v>15310</v>
      </c>
      <c r="D2299" s="2200" t="str">
        <f t="shared" si="140"/>
        <v>NH</v>
      </c>
      <c r="E2299" s="2200">
        <f t="shared" si="141"/>
        <v>13</v>
      </c>
      <c r="F2299" s="2200" t="str">
        <f t="shared" si="142"/>
        <v>33</v>
      </c>
      <c r="G2299" s="2200" t="str">
        <f t="shared" si="143"/>
        <v>75060</v>
      </c>
      <c r="H2299" s="2200">
        <f>--SUBTOTAL(3,C$2:C2299)</f>
        <v>99</v>
      </c>
    </row>
    <row r="2300" spans="1:8" hidden="1" x14ac:dyDescent="0.15">
      <c r="A2300" s="2200" t="s">
        <v>11502</v>
      </c>
      <c r="B2300" s="2200" t="s">
        <v>15311</v>
      </c>
      <c r="C2300" s="2200" t="s">
        <v>15312</v>
      </c>
      <c r="D2300" s="2200" t="str">
        <f t="shared" si="140"/>
        <v>NH</v>
      </c>
      <c r="E2300" s="2200">
        <f t="shared" si="141"/>
        <v>11</v>
      </c>
      <c r="F2300" s="2200" t="str">
        <f t="shared" si="142"/>
        <v>33</v>
      </c>
      <c r="G2300" s="2200" t="str">
        <f t="shared" si="143"/>
        <v>75300</v>
      </c>
      <c r="H2300" s="2200">
        <f>--SUBTOTAL(3,C$2:C2300)</f>
        <v>99</v>
      </c>
    </row>
    <row r="2301" spans="1:8" hidden="1" x14ac:dyDescent="0.15">
      <c r="A2301" s="2200" t="s">
        <v>11502</v>
      </c>
      <c r="B2301" s="2200" t="s">
        <v>15313</v>
      </c>
      <c r="C2301" s="2200" t="s">
        <v>15314</v>
      </c>
      <c r="D2301" s="2200" t="str">
        <f t="shared" si="140"/>
        <v>NH</v>
      </c>
      <c r="E2301" s="2200">
        <f t="shared" si="141"/>
        <v>12</v>
      </c>
      <c r="F2301" s="2200" t="str">
        <f t="shared" si="142"/>
        <v>33</v>
      </c>
      <c r="G2301" s="2200" t="str">
        <f t="shared" si="143"/>
        <v>75460</v>
      </c>
      <c r="H2301" s="2200">
        <f>--SUBTOTAL(3,C$2:C2301)</f>
        <v>99</v>
      </c>
    </row>
    <row r="2302" spans="1:8" hidden="1" x14ac:dyDescent="0.15">
      <c r="A2302" s="2200" t="s">
        <v>11502</v>
      </c>
      <c r="B2302" s="2200" t="s">
        <v>15315</v>
      </c>
      <c r="C2302" s="2200" t="s">
        <v>15316</v>
      </c>
      <c r="D2302" s="2200" t="str">
        <f t="shared" si="140"/>
        <v>NH</v>
      </c>
      <c r="E2302" s="2200">
        <f t="shared" si="141"/>
        <v>13</v>
      </c>
      <c r="F2302" s="2200" t="str">
        <f t="shared" si="142"/>
        <v>33</v>
      </c>
      <c r="G2302" s="2200" t="str">
        <f t="shared" si="143"/>
        <v>75700</v>
      </c>
      <c r="H2302" s="2200">
        <f>--SUBTOTAL(3,C$2:C2302)</f>
        <v>99</v>
      </c>
    </row>
    <row r="2303" spans="1:8" hidden="1" x14ac:dyDescent="0.15">
      <c r="A2303" s="2200" t="s">
        <v>11502</v>
      </c>
      <c r="B2303" s="2200" t="s">
        <v>15317</v>
      </c>
      <c r="C2303" s="2200" t="s">
        <v>15318</v>
      </c>
      <c r="D2303" s="2200" t="str">
        <f t="shared" si="140"/>
        <v>NH</v>
      </c>
      <c r="E2303" s="2200">
        <f t="shared" si="141"/>
        <v>14</v>
      </c>
      <c r="F2303" s="2200" t="str">
        <f t="shared" si="142"/>
        <v>33</v>
      </c>
      <c r="G2303" s="2200" t="str">
        <f t="shared" si="143"/>
        <v>76100</v>
      </c>
      <c r="H2303" s="2200">
        <f>--SUBTOTAL(3,C$2:C2303)</f>
        <v>99</v>
      </c>
    </row>
    <row r="2304" spans="1:8" hidden="1" x14ac:dyDescent="0.15">
      <c r="A2304" s="2200" t="s">
        <v>11502</v>
      </c>
      <c r="B2304" s="2200" t="s">
        <v>15319</v>
      </c>
      <c r="C2304" s="2200" t="s">
        <v>15320</v>
      </c>
      <c r="D2304" s="2200" t="str">
        <f t="shared" si="140"/>
        <v>NH</v>
      </c>
      <c r="E2304" s="2200">
        <f t="shared" si="141"/>
        <v>12</v>
      </c>
      <c r="F2304" s="2200" t="str">
        <f t="shared" si="142"/>
        <v>33</v>
      </c>
      <c r="G2304" s="2200" t="str">
        <f t="shared" si="143"/>
        <v>76260</v>
      </c>
      <c r="H2304" s="2200">
        <f>--SUBTOTAL(3,C$2:C2304)</f>
        <v>99</v>
      </c>
    </row>
    <row r="2305" spans="1:8" hidden="1" x14ac:dyDescent="0.15">
      <c r="A2305" s="2200" t="s">
        <v>11502</v>
      </c>
      <c r="B2305" s="2200" t="s">
        <v>15321</v>
      </c>
      <c r="C2305" s="2200" t="s">
        <v>15322</v>
      </c>
      <c r="D2305" s="2200" t="str">
        <f t="shared" si="140"/>
        <v>NH</v>
      </c>
      <c r="E2305" s="2200">
        <f t="shared" si="141"/>
        <v>14</v>
      </c>
      <c r="F2305" s="2200" t="str">
        <f t="shared" si="142"/>
        <v>33</v>
      </c>
      <c r="G2305" s="2200" t="str">
        <f t="shared" si="143"/>
        <v>76740</v>
      </c>
      <c r="H2305" s="2200">
        <f>--SUBTOTAL(3,C$2:C2305)</f>
        <v>99</v>
      </c>
    </row>
    <row r="2306" spans="1:8" hidden="1" x14ac:dyDescent="0.15">
      <c r="A2306" s="2200" t="s">
        <v>11502</v>
      </c>
      <c r="B2306" s="2200" t="s">
        <v>15323</v>
      </c>
      <c r="C2306" s="2200" t="s">
        <v>15324</v>
      </c>
      <c r="D2306" s="2200" t="str">
        <f t="shared" ref="D2306:D2369" si="144">MID(C2306,E2306+2,2)</f>
        <v>NH</v>
      </c>
      <c r="E2306" s="2200">
        <f t="shared" ref="E2306:E2369" si="145">FIND(",",C2306)</f>
        <v>12</v>
      </c>
      <c r="F2306" s="2200" t="str">
        <f t="shared" si="142"/>
        <v>33</v>
      </c>
      <c r="G2306" s="2200" t="str">
        <f t="shared" si="143"/>
        <v>77060</v>
      </c>
      <c r="H2306" s="2200">
        <f>--SUBTOTAL(3,C$2:C2306)</f>
        <v>99</v>
      </c>
    </row>
    <row r="2307" spans="1:8" hidden="1" x14ac:dyDescent="0.15">
      <c r="A2307" s="2200" t="s">
        <v>11502</v>
      </c>
      <c r="B2307" s="2200" t="s">
        <v>15325</v>
      </c>
      <c r="C2307" s="2200" t="s">
        <v>15326</v>
      </c>
      <c r="D2307" s="2200" t="str">
        <f t="shared" si="144"/>
        <v>NH</v>
      </c>
      <c r="E2307" s="2200">
        <f t="shared" si="145"/>
        <v>10</v>
      </c>
      <c r="F2307" s="2200" t="str">
        <f t="shared" ref="F2307:F2370" si="146">MID(B2307,3,2)</f>
        <v>33</v>
      </c>
      <c r="G2307" s="2200" t="str">
        <f t="shared" ref="G2307:G2370" si="147">MID(B2307,5,5)</f>
        <v>77380</v>
      </c>
      <c r="H2307" s="2200">
        <f>--SUBTOTAL(3,C$2:C2307)</f>
        <v>99</v>
      </c>
    </row>
    <row r="2308" spans="1:8" hidden="1" x14ac:dyDescent="0.15">
      <c r="A2308" s="2200" t="s">
        <v>11502</v>
      </c>
      <c r="B2308" s="2200" t="s">
        <v>15327</v>
      </c>
      <c r="C2308" s="2200" t="s">
        <v>15328</v>
      </c>
      <c r="D2308" s="2200" t="str">
        <f t="shared" si="144"/>
        <v>NH</v>
      </c>
      <c r="E2308" s="2200">
        <f t="shared" si="145"/>
        <v>16</v>
      </c>
      <c r="F2308" s="2200" t="str">
        <f t="shared" si="146"/>
        <v>33</v>
      </c>
      <c r="G2308" s="2200" t="str">
        <f t="shared" si="147"/>
        <v>77620</v>
      </c>
      <c r="H2308" s="2200">
        <f>--SUBTOTAL(3,C$2:C2308)</f>
        <v>99</v>
      </c>
    </row>
    <row r="2309" spans="1:8" hidden="1" x14ac:dyDescent="0.15">
      <c r="A2309" s="2200" t="s">
        <v>11502</v>
      </c>
      <c r="B2309" s="2200" t="s">
        <v>15329</v>
      </c>
      <c r="C2309" s="2200" t="s">
        <v>15330</v>
      </c>
      <c r="D2309" s="2200" t="str">
        <f t="shared" si="144"/>
        <v>NH</v>
      </c>
      <c r="E2309" s="2200">
        <f t="shared" si="145"/>
        <v>11</v>
      </c>
      <c r="F2309" s="2200" t="str">
        <f t="shared" si="146"/>
        <v>33</v>
      </c>
      <c r="G2309" s="2200" t="str">
        <f t="shared" si="147"/>
        <v>77940</v>
      </c>
      <c r="H2309" s="2200">
        <f>--SUBTOTAL(3,C$2:C2309)</f>
        <v>99</v>
      </c>
    </row>
    <row r="2310" spans="1:8" hidden="1" x14ac:dyDescent="0.15">
      <c r="A2310" s="2200" t="s">
        <v>11502</v>
      </c>
      <c r="B2310" s="2200" t="s">
        <v>15331</v>
      </c>
      <c r="C2310" s="2200" t="s">
        <v>15332</v>
      </c>
      <c r="D2310" s="2200" t="str">
        <f t="shared" si="144"/>
        <v>NH</v>
      </c>
      <c r="E2310" s="2200">
        <f t="shared" si="145"/>
        <v>15</v>
      </c>
      <c r="F2310" s="2200" t="str">
        <f t="shared" si="146"/>
        <v>33</v>
      </c>
      <c r="G2310" s="2200" t="str">
        <f t="shared" si="147"/>
        <v>78180</v>
      </c>
      <c r="H2310" s="2200">
        <f>--SUBTOTAL(3,C$2:C2310)</f>
        <v>99</v>
      </c>
    </row>
    <row r="2311" spans="1:8" hidden="1" x14ac:dyDescent="0.15">
      <c r="A2311" s="2200" t="s">
        <v>11502</v>
      </c>
      <c r="B2311" s="2200" t="s">
        <v>15333</v>
      </c>
      <c r="C2311" s="2200" t="s">
        <v>15334</v>
      </c>
      <c r="D2311" s="2200" t="str">
        <f t="shared" si="144"/>
        <v>NH</v>
      </c>
      <c r="E2311" s="2200">
        <f t="shared" si="145"/>
        <v>13</v>
      </c>
      <c r="F2311" s="2200" t="str">
        <f t="shared" si="146"/>
        <v>33</v>
      </c>
      <c r="G2311" s="2200" t="str">
        <f t="shared" si="147"/>
        <v>78420</v>
      </c>
      <c r="H2311" s="2200">
        <f>--SUBTOTAL(3,C$2:C2311)</f>
        <v>99</v>
      </c>
    </row>
    <row r="2312" spans="1:8" hidden="1" x14ac:dyDescent="0.15">
      <c r="A2312" s="2200" t="s">
        <v>11502</v>
      </c>
      <c r="B2312" s="2200" t="s">
        <v>15335</v>
      </c>
      <c r="C2312" s="2200" t="s">
        <v>15336</v>
      </c>
      <c r="D2312" s="2200" t="str">
        <f t="shared" si="144"/>
        <v>NH</v>
      </c>
      <c r="E2312" s="2200">
        <f t="shared" si="145"/>
        <v>12</v>
      </c>
      <c r="F2312" s="2200" t="str">
        <f t="shared" si="146"/>
        <v>33</v>
      </c>
      <c r="G2312" s="2200" t="str">
        <f t="shared" si="147"/>
        <v>78580</v>
      </c>
      <c r="H2312" s="2200">
        <f>--SUBTOTAL(3,C$2:C2312)</f>
        <v>99</v>
      </c>
    </row>
    <row r="2313" spans="1:8" hidden="1" x14ac:dyDescent="0.15">
      <c r="A2313" s="2200" t="s">
        <v>11502</v>
      </c>
      <c r="B2313" s="2200" t="s">
        <v>15337</v>
      </c>
      <c r="C2313" s="2200" t="s">
        <v>15338</v>
      </c>
      <c r="D2313" s="2200" t="str">
        <f t="shared" si="144"/>
        <v>NH</v>
      </c>
      <c r="E2313" s="2200">
        <f t="shared" si="145"/>
        <v>12</v>
      </c>
      <c r="F2313" s="2200" t="str">
        <f t="shared" si="146"/>
        <v>33</v>
      </c>
      <c r="G2313" s="2200" t="str">
        <f t="shared" si="147"/>
        <v>78740</v>
      </c>
      <c r="H2313" s="2200">
        <f>--SUBTOTAL(3,C$2:C2313)</f>
        <v>99</v>
      </c>
    </row>
    <row r="2314" spans="1:8" hidden="1" x14ac:dyDescent="0.15">
      <c r="A2314" s="2200" t="s">
        <v>11502</v>
      </c>
      <c r="B2314" s="2200" t="s">
        <v>15339</v>
      </c>
      <c r="C2314" s="2200" t="s">
        <v>15340</v>
      </c>
      <c r="D2314" s="2200" t="str">
        <f t="shared" si="144"/>
        <v>NH</v>
      </c>
      <c r="E2314" s="2200">
        <f t="shared" si="145"/>
        <v>16</v>
      </c>
      <c r="F2314" s="2200" t="str">
        <f t="shared" si="146"/>
        <v>33</v>
      </c>
      <c r="G2314" s="2200" t="str">
        <f t="shared" si="147"/>
        <v>78980</v>
      </c>
      <c r="H2314" s="2200">
        <f>--SUBTOTAL(3,C$2:C2314)</f>
        <v>99</v>
      </c>
    </row>
    <row r="2315" spans="1:8" hidden="1" x14ac:dyDescent="0.15">
      <c r="A2315" s="2200" t="s">
        <v>11502</v>
      </c>
      <c r="B2315" s="2200" t="s">
        <v>15341</v>
      </c>
      <c r="C2315" s="2200" t="s">
        <v>15342</v>
      </c>
      <c r="D2315" s="2200" t="str">
        <f t="shared" si="144"/>
        <v>NH</v>
      </c>
      <c r="E2315" s="2200">
        <f t="shared" si="145"/>
        <v>23</v>
      </c>
      <c r="F2315" s="2200" t="str">
        <f t="shared" si="146"/>
        <v>33</v>
      </c>
      <c r="G2315" s="2200" t="str">
        <f t="shared" si="147"/>
        <v>79380</v>
      </c>
      <c r="H2315" s="2200">
        <f>--SUBTOTAL(3,C$2:C2315)</f>
        <v>99</v>
      </c>
    </row>
    <row r="2316" spans="1:8" hidden="1" x14ac:dyDescent="0.15">
      <c r="A2316" s="2200" t="s">
        <v>11502</v>
      </c>
      <c r="B2316" s="2200" t="s">
        <v>15343</v>
      </c>
      <c r="C2316" s="2200" t="s">
        <v>15344</v>
      </c>
      <c r="D2316" s="2200" t="str">
        <f t="shared" si="144"/>
        <v>NH</v>
      </c>
      <c r="E2316" s="2200">
        <f t="shared" si="145"/>
        <v>11</v>
      </c>
      <c r="F2316" s="2200" t="str">
        <f t="shared" si="146"/>
        <v>33</v>
      </c>
      <c r="G2316" s="2200" t="str">
        <f t="shared" si="147"/>
        <v>79780</v>
      </c>
      <c r="H2316" s="2200">
        <f>--SUBTOTAL(3,C$2:C2316)</f>
        <v>99</v>
      </c>
    </row>
    <row r="2317" spans="1:8" hidden="1" x14ac:dyDescent="0.15">
      <c r="A2317" s="2200" t="s">
        <v>11502</v>
      </c>
      <c r="B2317" s="2200" t="s">
        <v>15345</v>
      </c>
      <c r="C2317" s="2200" t="s">
        <v>15346</v>
      </c>
      <c r="D2317" s="2200" t="str">
        <f t="shared" si="144"/>
        <v>NH</v>
      </c>
      <c r="E2317" s="2200">
        <f t="shared" si="145"/>
        <v>13</v>
      </c>
      <c r="F2317" s="2200" t="str">
        <f t="shared" si="146"/>
        <v>33</v>
      </c>
      <c r="G2317" s="2200" t="str">
        <f t="shared" si="147"/>
        <v>80020</v>
      </c>
      <c r="H2317" s="2200">
        <f>--SUBTOTAL(3,C$2:C2317)</f>
        <v>99</v>
      </c>
    </row>
    <row r="2318" spans="1:8" hidden="1" x14ac:dyDescent="0.15">
      <c r="A2318" s="2200" t="s">
        <v>11502</v>
      </c>
      <c r="B2318" s="2200" t="s">
        <v>15347</v>
      </c>
      <c r="C2318" s="2200" t="s">
        <v>15348</v>
      </c>
      <c r="D2318" s="2200" t="str">
        <f t="shared" si="144"/>
        <v>NH</v>
      </c>
      <c r="E2318" s="2200">
        <f t="shared" si="145"/>
        <v>19</v>
      </c>
      <c r="F2318" s="2200" t="str">
        <f t="shared" si="146"/>
        <v>33</v>
      </c>
      <c r="G2318" s="2200" t="str">
        <f t="shared" si="147"/>
        <v>80740</v>
      </c>
      <c r="H2318" s="2200">
        <f>--SUBTOTAL(3,C$2:C2318)</f>
        <v>99</v>
      </c>
    </row>
    <row r="2319" spans="1:8" hidden="1" x14ac:dyDescent="0.15">
      <c r="A2319" s="2200" t="s">
        <v>11502</v>
      </c>
      <c r="B2319" s="2200" t="s">
        <v>15349</v>
      </c>
      <c r="C2319" s="2200" t="s">
        <v>15350</v>
      </c>
      <c r="D2319" s="2200" t="str">
        <f t="shared" si="144"/>
        <v>NH</v>
      </c>
      <c r="E2319" s="2200">
        <f t="shared" si="145"/>
        <v>15</v>
      </c>
      <c r="F2319" s="2200" t="str">
        <f t="shared" si="146"/>
        <v>33</v>
      </c>
      <c r="G2319" s="2200" t="str">
        <f t="shared" si="147"/>
        <v>80500</v>
      </c>
      <c r="H2319" s="2200">
        <f>--SUBTOTAL(3,C$2:C2319)</f>
        <v>99</v>
      </c>
    </row>
    <row r="2320" spans="1:8" hidden="1" x14ac:dyDescent="0.15">
      <c r="A2320" s="2200" t="s">
        <v>11502</v>
      </c>
      <c r="B2320" s="2200" t="s">
        <v>15351</v>
      </c>
      <c r="C2320" s="2200" t="s">
        <v>15352</v>
      </c>
      <c r="D2320" s="2200" t="str">
        <f t="shared" si="144"/>
        <v>NH</v>
      </c>
      <c r="E2320" s="2200">
        <f t="shared" si="145"/>
        <v>18</v>
      </c>
      <c r="F2320" s="2200" t="str">
        <f t="shared" si="146"/>
        <v>33</v>
      </c>
      <c r="G2320" s="2200" t="str">
        <f t="shared" si="147"/>
        <v>82660</v>
      </c>
      <c r="H2320" s="2200">
        <f>--SUBTOTAL(3,C$2:C2320)</f>
        <v>99</v>
      </c>
    </row>
    <row r="2321" spans="1:8" hidden="1" x14ac:dyDescent="0.15">
      <c r="A2321" s="2200" t="s">
        <v>11502</v>
      </c>
      <c r="B2321" s="2200" t="s">
        <v>15353</v>
      </c>
      <c r="C2321" s="2200" t="s">
        <v>15354</v>
      </c>
      <c r="D2321" s="2200" t="str">
        <f t="shared" si="144"/>
        <v>NH</v>
      </c>
      <c r="E2321" s="2200">
        <f t="shared" si="145"/>
        <v>16</v>
      </c>
      <c r="F2321" s="2200" t="str">
        <f t="shared" si="146"/>
        <v>33</v>
      </c>
      <c r="G2321" s="2200" t="str">
        <f t="shared" si="147"/>
        <v>84420</v>
      </c>
      <c r="H2321" s="2200">
        <f>--SUBTOTAL(3,C$2:C2321)</f>
        <v>99</v>
      </c>
    </row>
    <row r="2322" spans="1:8" hidden="1" x14ac:dyDescent="0.15">
      <c r="A2322" s="2200" t="s">
        <v>11502</v>
      </c>
      <c r="B2322" s="2200" t="s">
        <v>15355</v>
      </c>
      <c r="C2322" s="2200" t="s">
        <v>15356</v>
      </c>
      <c r="D2322" s="2200" t="str">
        <f t="shared" si="144"/>
        <v>NH</v>
      </c>
      <c r="E2322" s="2200">
        <f t="shared" si="145"/>
        <v>12</v>
      </c>
      <c r="F2322" s="2200" t="str">
        <f t="shared" si="146"/>
        <v>33</v>
      </c>
      <c r="G2322" s="2200" t="str">
        <f t="shared" si="147"/>
        <v>84900</v>
      </c>
      <c r="H2322" s="2200">
        <f>--SUBTOTAL(3,C$2:C2322)</f>
        <v>99</v>
      </c>
    </row>
    <row r="2323" spans="1:8" hidden="1" x14ac:dyDescent="0.15">
      <c r="A2323" s="2200" t="s">
        <v>11502</v>
      </c>
      <c r="B2323" s="2200" t="s">
        <v>15357</v>
      </c>
      <c r="C2323" s="2200" t="s">
        <v>15358</v>
      </c>
      <c r="D2323" s="2200" t="str">
        <f t="shared" si="144"/>
        <v>NH</v>
      </c>
      <c r="E2323" s="2200">
        <f t="shared" si="145"/>
        <v>12</v>
      </c>
      <c r="F2323" s="2200" t="str">
        <f t="shared" si="146"/>
        <v>33</v>
      </c>
      <c r="G2323" s="2200" t="str">
        <f t="shared" si="147"/>
        <v>85220</v>
      </c>
      <c r="H2323" s="2200">
        <f>--SUBTOTAL(3,C$2:C2323)</f>
        <v>99</v>
      </c>
    </row>
    <row r="2324" spans="1:8" hidden="1" x14ac:dyDescent="0.15">
      <c r="A2324" s="2200" t="s">
        <v>11502</v>
      </c>
      <c r="B2324" s="2200" t="s">
        <v>15359</v>
      </c>
      <c r="C2324" s="2200" t="s">
        <v>15360</v>
      </c>
      <c r="D2324" s="2200" t="str">
        <f t="shared" si="144"/>
        <v>NH</v>
      </c>
      <c r="E2324" s="2200">
        <f t="shared" si="145"/>
        <v>16</v>
      </c>
      <c r="F2324" s="2200" t="str">
        <f t="shared" si="146"/>
        <v>33</v>
      </c>
      <c r="G2324" s="2200" t="str">
        <f t="shared" si="147"/>
        <v>85540</v>
      </c>
      <c r="H2324" s="2200">
        <f>--SUBTOTAL(3,C$2:C2324)</f>
        <v>99</v>
      </c>
    </row>
    <row r="2325" spans="1:8" hidden="1" x14ac:dyDescent="0.15">
      <c r="A2325" s="2200" t="s">
        <v>11502</v>
      </c>
      <c r="B2325" s="2200" t="s">
        <v>15361</v>
      </c>
      <c r="C2325" s="2200" t="s">
        <v>15362</v>
      </c>
      <c r="D2325" s="2200" t="str">
        <f t="shared" si="144"/>
        <v>NH</v>
      </c>
      <c r="E2325" s="2200">
        <f t="shared" si="145"/>
        <v>13</v>
      </c>
      <c r="F2325" s="2200" t="str">
        <f t="shared" si="146"/>
        <v>33</v>
      </c>
      <c r="G2325" s="2200" t="str">
        <f t="shared" si="147"/>
        <v>85780</v>
      </c>
      <c r="H2325" s="2200">
        <f>--SUBTOTAL(3,C$2:C2325)</f>
        <v>99</v>
      </c>
    </row>
    <row r="2326" spans="1:8" hidden="1" x14ac:dyDescent="0.15">
      <c r="A2326" s="2200" t="s">
        <v>11502</v>
      </c>
      <c r="B2326" s="2200" t="s">
        <v>15363</v>
      </c>
      <c r="C2326" s="2200" t="s">
        <v>15364</v>
      </c>
      <c r="D2326" s="2200" t="str">
        <f t="shared" si="144"/>
        <v>NH</v>
      </c>
      <c r="E2326" s="2200">
        <f t="shared" si="145"/>
        <v>13</v>
      </c>
      <c r="F2326" s="2200" t="str">
        <f t="shared" si="146"/>
        <v>33</v>
      </c>
      <c r="G2326" s="2200" t="str">
        <f t="shared" si="147"/>
        <v>85940</v>
      </c>
      <c r="H2326" s="2200">
        <f>--SUBTOTAL(3,C$2:C2326)</f>
        <v>99</v>
      </c>
    </row>
    <row r="2327" spans="1:8" hidden="1" x14ac:dyDescent="0.15">
      <c r="A2327" s="2200" t="s">
        <v>11502</v>
      </c>
      <c r="B2327" s="2200" t="s">
        <v>15365</v>
      </c>
      <c r="C2327" s="2200" t="s">
        <v>15366</v>
      </c>
      <c r="D2327" s="2200" t="str">
        <f t="shared" si="144"/>
        <v>NH</v>
      </c>
      <c r="E2327" s="2200">
        <f t="shared" si="145"/>
        <v>15</v>
      </c>
      <c r="F2327" s="2200" t="str">
        <f t="shared" si="146"/>
        <v>33</v>
      </c>
      <c r="G2327" s="2200" t="str">
        <f t="shared" si="147"/>
        <v>86420</v>
      </c>
      <c r="H2327" s="2200">
        <f>--SUBTOTAL(3,C$2:C2327)</f>
        <v>99</v>
      </c>
    </row>
    <row r="2328" spans="1:8" hidden="1" x14ac:dyDescent="0.15">
      <c r="A2328" s="2200" t="s">
        <v>11443</v>
      </c>
      <c r="B2328" s="2200" t="s">
        <v>15367</v>
      </c>
      <c r="C2328" s="2200" t="s">
        <v>15368</v>
      </c>
      <c r="D2328" s="2200" t="str">
        <f t="shared" si="144"/>
        <v>NH</v>
      </c>
      <c r="E2328" s="2200">
        <f t="shared" si="145"/>
        <v>10</v>
      </c>
      <c r="F2328" s="2200" t="str">
        <f t="shared" si="146"/>
        <v>33</v>
      </c>
      <c r="G2328" s="2200" t="str">
        <f t="shared" si="147"/>
        <v>82940</v>
      </c>
      <c r="H2328" s="2200">
        <f>--SUBTOTAL(3,C$2:C2328)</f>
        <v>99</v>
      </c>
    </row>
    <row r="2329" spans="1:8" hidden="1" x14ac:dyDescent="0.15">
      <c r="A2329" s="2200" t="s">
        <v>11502</v>
      </c>
      <c r="B2329" s="2200" t="s">
        <v>15369</v>
      </c>
      <c r="C2329" s="2200" t="s">
        <v>15370</v>
      </c>
      <c r="D2329" s="2200" t="str">
        <f t="shared" si="144"/>
        <v>NH</v>
      </c>
      <c r="E2329" s="2200">
        <f t="shared" si="145"/>
        <v>15</v>
      </c>
      <c r="F2329" s="2200" t="str">
        <f t="shared" si="146"/>
        <v>33</v>
      </c>
      <c r="G2329" s="2200" t="str">
        <f t="shared" si="147"/>
        <v>87060</v>
      </c>
      <c r="H2329" s="2200">
        <f>--SUBTOTAL(3,C$2:C2329)</f>
        <v>99</v>
      </c>
    </row>
    <row r="2330" spans="1:8" hidden="1" x14ac:dyDescent="0.15">
      <c r="A2330" s="2200" t="s">
        <v>10723</v>
      </c>
      <c r="B2330" s="2200" t="s">
        <v>15371</v>
      </c>
      <c r="C2330" s="2200" t="s">
        <v>15372</v>
      </c>
      <c r="D2330" s="2200" t="str">
        <f t="shared" si="144"/>
        <v>NJ</v>
      </c>
      <c r="E2330" s="2200">
        <f t="shared" si="145"/>
        <v>19</v>
      </c>
      <c r="F2330" s="2200" t="str">
        <f t="shared" si="146"/>
        <v>34</v>
      </c>
      <c r="G2330" s="2200" t="str">
        <f t="shared" si="147"/>
        <v>02080</v>
      </c>
      <c r="H2330" s="2200">
        <f>--SUBTOTAL(3,C$2:C2330)</f>
        <v>99</v>
      </c>
    </row>
    <row r="2331" spans="1:8" hidden="1" x14ac:dyDescent="0.15">
      <c r="A2331" s="2200" t="s">
        <v>10723</v>
      </c>
      <c r="B2331" s="2200" t="s">
        <v>15373</v>
      </c>
      <c r="C2331" s="2200" t="s">
        <v>15374</v>
      </c>
      <c r="D2331" s="2200" t="str">
        <f t="shared" si="144"/>
        <v>NJ</v>
      </c>
      <c r="E2331" s="2200">
        <f t="shared" si="145"/>
        <v>13</v>
      </c>
      <c r="F2331" s="2200" t="str">
        <f t="shared" si="146"/>
        <v>34</v>
      </c>
      <c r="G2331" s="2200" t="str">
        <f t="shared" si="147"/>
        <v>03580</v>
      </c>
      <c r="H2331" s="2200">
        <f>--SUBTOTAL(3,C$2:C2331)</f>
        <v>99</v>
      </c>
    </row>
    <row r="2332" spans="1:8" hidden="1" x14ac:dyDescent="0.15">
      <c r="A2332" s="2200" t="s">
        <v>10723</v>
      </c>
      <c r="B2332" s="2200" t="s">
        <v>15375</v>
      </c>
      <c r="C2332" s="2200" t="s">
        <v>15376</v>
      </c>
      <c r="D2332" s="2200" t="str">
        <f t="shared" si="144"/>
        <v>NJ</v>
      </c>
      <c r="E2332" s="2200">
        <f t="shared" si="145"/>
        <v>20</v>
      </c>
      <c r="F2332" s="2200" t="str">
        <f t="shared" si="146"/>
        <v>34</v>
      </c>
      <c r="G2332" s="2200" t="str">
        <f t="shared" si="147"/>
        <v>04695</v>
      </c>
      <c r="H2332" s="2200">
        <f>--SUBTOTAL(3,C$2:C2332)</f>
        <v>99</v>
      </c>
    </row>
    <row r="2333" spans="1:8" hidden="1" x14ac:dyDescent="0.15">
      <c r="A2333" s="2200" t="s">
        <v>10723</v>
      </c>
      <c r="B2333" s="2200" t="s">
        <v>15377</v>
      </c>
      <c r="C2333" s="2200" t="s">
        <v>15378</v>
      </c>
      <c r="D2333" s="2200" t="str">
        <f t="shared" si="144"/>
        <v>NJ</v>
      </c>
      <c r="E2333" s="2200">
        <f t="shared" si="145"/>
        <v>20</v>
      </c>
      <c r="F2333" s="2200" t="str">
        <f t="shared" si="146"/>
        <v>34</v>
      </c>
      <c r="G2333" s="2200" t="str">
        <f t="shared" si="147"/>
        <v>05170</v>
      </c>
      <c r="H2333" s="2200">
        <f>--SUBTOTAL(3,C$2:C2333)</f>
        <v>99</v>
      </c>
    </row>
    <row r="2334" spans="1:8" hidden="1" x14ac:dyDescent="0.15">
      <c r="A2334" s="2200" t="s">
        <v>10723</v>
      </c>
      <c r="B2334" s="2200" t="s">
        <v>15379</v>
      </c>
      <c r="C2334" s="2200" t="s">
        <v>15380</v>
      </c>
      <c r="D2334" s="2200" t="str">
        <f t="shared" si="144"/>
        <v>NJ</v>
      </c>
      <c r="E2334" s="2200">
        <f t="shared" si="145"/>
        <v>18</v>
      </c>
      <c r="F2334" s="2200" t="str">
        <f t="shared" si="146"/>
        <v>34</v>
      </c>
      <c r="G2334" s="2200" t="str">
        <f t="shared" si="147"/>
        <v>05305</v>
      </c>
      <c r="H2334" s="2200">
        <f>--SUBTOTAL(3,C$2:C2334)</f>
        <v>99</v>
      </c>
    </row>
    <row r="2335" spans="1:8" hidden="1" x14ac:dyDescent="0.15">
      <c r="A2335" s="2200" t="s">
        <v>10723</v>
      </c>
      <c r="B2335" s="2200" t="s">
        <v>15381</v>
      </c>
      <c r="C2335" s="2200" t="s">
        <v>15382</v>
      </c>
      <c r="D2335" s="2200" t="str">
        <f t="shared" si="144"/>
        <v>NJ</v>
      </c>
      <c r="E2335" s="2200">
        <f t="shared" si="145"/>
        <v>18</v>
      </c>
      <c r="F2335" s="2200" t="str">
        <f t="shared" si="146"/>
        <v>34</v>
      </c>
      <c r="G2335" s="2200" t="str">
        <f t="shared" si="147"/>
        <v>05560</v>
      </c>
      <c r="H2335" s="2200">
        <f>--SUBTOTAL(3,C$2:C2335)</f>
        <v>99</v>
      </c>
    </row>
    <row r="2336" spans="1:8" hidden="1" x14ac:dyDescent="0.15">
      <c r="A2336" s="2200" t="s">
        <v>10723</v>
      </c>
      <c r="B2336" s="2200" t="s">
        <v>15383</v>
      </c>
      <c r="C2336" s="2200" t="s">
        <v>15384</v>
      </c>
      <c r="D2336" s="2200" t="str">
        <f t="shared" si="144"/>
        <v>NJ</v>
      </c>
      <c r="E2336" s="2200">
        <f t="shared" si="145"/>
        <v>20</v>
      </c>
      <c r="F2336" s="2200" t="str">
        <f t="shared" si="146"/>
        <v>34</v>
      </c>
      <c r="G2336" s="2200" t="str">
        <f t="shared" si="147"/>
        <v>06260</v>
      </c>
      <c r="H2336" s="2200">
        <f>--SUBTOTAL(3,C$2:C2336)</f>
        <v>99</v>
      </c>
    </row>
    <row r="2337" spans="1:8" hidden="1" x14ac:dyDescent="0.15">
      <c r="A2337" s="2200" t="s">
        <v>10723</v>
      </c>
      <c r="B2337" s="2200" t="s">
        <v>15385</v>
      </c>
      <c r="C2337" s="2200" t="s">
        <v>15386</v>
      </c>
      <c r="D2337" s="2200" t="str">
        <f t="shared" si="144"/>
        <v>NJ</v>
      </c>
      <c r="E2337" s="2200">
        <f t="shared" si="145"/>
        <v>15</v>
      </c>
      <c r="F2337" s="2200" t="str">
        <f t="shared" si="146"/>
        <v>34</v>
      </c>
      <c r="G2337" s="2200" t="str">
        <f t="shared" si="147"/>
        <v>07420</v>
      </c>
      <c r="H2337" s="2200">
        <f>--SUBTOTAL(3,C$2:C2337)</f>
        <v>99</v>
      </c>
    </row>
    <row r="2338" spans="1:8" hidden="1" x14ac:dyDescent="0.15">
      <c r="A2338" s="2200" t="s">
        <v>10723</v>
      </c>
      <c r="B2338" s="2200" t="s">
        <v>15387</v>
      </c>
      <c r="C2338" s="2200" t="s">
        <v>15388</v>
      </c>
      <c r="D2338" s="2200" t="str">
        <f t="shared" si="144"/>
        <v>NJ</v>
      </c>
      <c r="E2338" s="2200">
        <f t="shared" si="145"/>
        <v>15</v>
      </c>
      <c r="F2338" s="2200" t="str">
        <f t="shared" si="146"/>
        <v>34</v>
      </c>
      <c r="G2338" s="2200" t="str">
        <f t="shared" si="147"/>
        <v>07600</v>
      </c>
      <c r="H2338" s="2200">
        <f>--SUBTOTAL(3,C$2:C2338)</f>
        <v>99</v>
      </c>
    </row>
    <row r="2339" spans="1:8" hidden="1" x14ac:dyDescent="0.15">
      <c r="A2339" s="2200" t="s">
        <v>10723</v>
      </c>
      <c r="B2339" s="2200" t="s">
        <v>15389</v>
      </c>
      <c r="C2339" s="2200" t="s">
        <v>15390</v>
      </c>
      <c r="D2339" s="2200" t="str">
        <f t="shared" si="144"/>
        <v>NJ</v>
      </c>
      <c r="E2339" s="2200">
        <f t="shared" si="145"/>
        <v>21</v>
      </c>
      <c r="F2339" s="2200" t="str">
        <f t="shared" si="146"/>
        <v>34</v>
      </c>
      <c r="G2339" s="2200" t="str">
        <f t="shared" si="147"/>
        <v>07720</v>
      </c>
      <c r="H2339" s="2200">
        <f>--SUBTOTAL(3,C$2:C2339)</f>
        <v>99</v>
      </c>
    </row>
    <row r="2340" spans="1:8" hidden="1" x14ac:dyDescent="0.15">
      <c r="A2340" s="2200" t="s">
        <v>10723</v>
      </c>
      <c r="B2340" s="2200" t="s">
        <v>15391</v>
      </c>
      <c r="C2340" s="2200" t="s">
        <v>15392</v>
      </c>
      <c r="D2340" s="2200" t="str">
        <f t="shared" si="144"/>
        <v>NJ</v>
      </c>
      <c r="E2340" s="2200">
        <f t="shared" si="145"/>
        <v>12</v>
      </c>
      <c r="F2340" s="2200" t="str">
        <f t="shared" si="146"/>
        <v>34</v>
      </c>
      <c r="G2340" s="2200" t="str">
        <f t="shared" si="147"/>
        <v>10000</v>
      </c>
      <c r="H2340" s="2200">
        <f>--SUBTOTAL(3,C$2:C2340)</f>
        <v>99</v>
      </c>
    </row>
    <row r="2341" spans="1:8" hidden="1" x14ac:dyDescent="0.15">
      <c r="A2341" s="2200" t="s">
        <v>10723</v>
      </c>
      <c r="B2341" s="2200" t="s">
        <v>15393</v>
      </c>
      <c r="C2341" s="2200" t="s">
        <v>15394</v>
      </c>
      <c r="D2341" s="2200" t="str">
        <f t="shared" si="144"/>
        <v>NJ</v>
      </c>
      <c r="E2341" s="2200">
        <f t="shared" si="145"/>
        <v>21</v>
      </c>
      <c r="F2341" s="2200" t="str">
        <f t="shared" si="146"/>
        <v>34</v>
      </c>
      <c r="G2341" s="2200" t="str">
        <f t="shared" si="147"/>
        <v>12280</v>
      </c>
      <c r="H2341" s="2200">
        <f>--SUBTOTAL(3,C$2:C2341)</f>
        <v>99</v>
      </c>
    </row>
    <row r="2342" spans="1:8" hidden="1" x14ac:dyDescent="0.15">
      <c r="A2342" s="2200" t="s">
        <v>10723</v>
      </c>
      <c r="B2342" s="2200" t="s">
        <v>15395</v>
      </c>
      <c r="C2342" s="2200" t="s">
        <v>15396</v>
      </c>
      <c r="D2342" s="2200" t="str">
        <f t="shared" si="144"/>
        <v>NJ</v>
      </c>
      <c r="E2342" s="2200">
        <f t="shared" si="145"/>
        <v>24</v>
      </c>
      <c r="F2342" s="2200" t="str">
        <f t="shared" si="146"/>
        <v>34</v>
      </c>
      <c r="G2342" s="2200" t="str">
        <f t="shared" si="147"/>
        <v>13045</v>
      </c>
      <c r="H2342" s="2200">
        <f>--SUBTOTAL(3,C$2:C2342)</f>
        <v>99</v>
      </c>
    </row>
    <row r="2343" spans="1:8" hidden="1" x14ac:dyDescent="0.15">
      <c r="A2343" s="2200" t="s">
        <v>10723</v>
      </c>
      <c r="B2343" s="2200" t="s">
        <v>15397</v>
      </c>
      <c r="C2343" s="2200" t="s">
        <v>15398</v>
      </c>
      <c r="D2343" s="2200" t="str">
        <f t="shared" si="144"/>
        <v>NJ</v>
      </c>
      <c r="E2343" s="2200">
        <f t="shared" si="145"/>
        <v>23</v>
      </c>
      <c r="F2343" s="2200" t="str">
        <f t="shared" si="146"/>
        <v>34</v>
      </c>
      <c r="G2343" s="2200" t="str">
        <f t="shared" si="147"/>
        <v>13570</v>
      </c>
      <c r="H2343" s="2200">
        <f>--SUBTOTAL(3,C$2:C2343)</f>
        <v>99</v>
      </c>
    </row>
    <row r="2344" spans="1:8" hidden="1" x14ac:dyDescent="0.15">
      <c r="A2344" s="2200" t="s">
        <v>10723</v>
      </c>
      <c r="B2344" s="2200" t="s">
        <v>15399</v>
      </c>
      <c r="C2344" s="2200" t="s">
        <v>15400</v>
      </c>
      <c r="D2344" s="2200" t="str">
        <f t="shared" si="144"/>
        <v>NJ</v>
      </c>
      <c r="E2344" s="2200">
        <f t="shared" si="145"/>
        <v>13</v>
      </c>
      <c r="F2344" s="2200" t="str">
        <f t="shared" si="146"/>
        <v>34</v>
      </c>
      <c r="G2344" s="2200" t="str">
        <f t="shared" si="147"/>
        <v>13690</v>
      </c>
      <c r="H2344" s="2200">
        <f>--SUBTOTAL(3,C$2:C2344)</f>
        <v>99</v>
      </c>
    </row>
    <row r="2345" spans="1:8" hidden="1" x14ac:dyDescent="0.15">
      <c r="A2345" s="2200" t="s">
        <v>10723</v>
      </c>
      <c r="B2345" s="2200" t="s">
        <v>15401</v>
      </c>
      <c r="C2345" s="2200" t="s">
        <v>15402</v>
      </c>
      <c r="D2345" s="2200" t="str">
        <f t="shared" si="144"/>
        <v>NJ</v>
      </c>
      <c r="E2345" s="2200">
        <f t="shared" si="145"/>
        <v>18</v>
      </c>
      <c r="F2345" s="2200" t="str">
        <f t="shared" si="146"/>
        <v>34</v>
      </c>
      <c r="G2345" s="2200" t="str">
        <f t="shared" si="147"/>
        <v>17710</v>
      </c>
      <c r="H2345" s="2200">
        <f>--SUBTOTAL(3,C$2:C2345)</f>
        <v>99</v>
      </c>
    </row>
    <row r="2346" spans="1:8" hidden="1" x14ac:dyDescent="0.15">
      <c r="A2346" s="2200" t="s">
        <v>10723</v>
      </c>
      <c r="B2346" s="2200" t="s">
        <v>15403</v>
      </c>
      <c r="C2346" s="2200" t="s">
        <v>15404</v>
      </c>
      <c r="D2346" s="2200" t="str">
        <f t="shared" si="144"/>
        <v>NJ</v>
      </c>
      <c r="E2346" s="2200">
        <f t="shared" si="145"/>
        <v>24</v>
      </c>
      <c r="F2346" s="2200" t="str">
        <f t="shared" si="146"/>
        <v>34</v>
      </c>
      <c r="G2346" s="2200" t="str">
        <f t="shared" si="147"/>
        <v>19000</v>
      </c>
      <c r="H2346" s="2200">
        <f>--SUBTOTAL(3,C$2:C2346)</f>
        <v>99</v>
      </c>
    </row>
    <row r="2347" spans="1:8" hidden="1" x14ac:dyDescent="0.15">
      <c r="A2347" s="2200" t="s">
        <v>10723</v>
      </c>
      <c r="B2347" s="2200" t="s">
        <v>15405</v>
      </c>
      <c r="C2347" s="2200" t="s">
        <v>15406</v>
      </c>
      <c r="D2347" s="2200" t="str">
        <f t="shared" si="144"/>
        <v>NJ</v>
      </c>
      <c r="E2347" s="2200">
        <f t="shared" si="145"/>
        <v>17</v>
      </c>
      <c r="F2347" s="2200" t="str">
        <f t="shared" si="146"/>
        <v>34</v>
      </c>
      <c r="G2347" s="2200" t="str">
        <f t="shared" si="147"/>
        <v>19390</v>
      </c>
      <c r="H2347" s="2200">
        <f>--SUBTOTAL(3,C$2:C2347)</f>
        <v>99</v>
      </c>
    </row>
    <row r="2348" spans="1:8" hidden="1" x14ac:dyDescent="0.15">
      <c r="A2348" s="2200" t="s">
        <v>10723</v>
      </c>
      <c r="B2348" s="2200" t="s">
        <v>15407</v>
      </c>
      <c r="C2348" s="2200" t="s">
        <v>15408</v>
      </c>
      <c r="D2348" s="2200" t="str">
        <f t="shared" si="144"/>
        <v>NJ</v>
      </c>
      <c r="E2348" s="2200">
        <f t="shared" si="145"/>
        <v>22</v>
      </c>
      <c r="F2348" s="2200" t="str">
        <f t="shared" si="146"/>
        <v>34</v>
      </c>
      <c r="G2348" s="2200" t="str">
        <f t="shared" si="147"/>
        <v>19780</v>
      </c>
      <c r="H2348" s="2200">
        <f>--SUBTOTAL(3,C$2:C2348)</f>
        <v>99</v>
      </c>
    </row>
    <row r="2349" spans="1:8" hidden="1" x14ac:dyDescent="0.15">
      <c r="A2349" s="2200" t="s">
        <v>10723</v>
      </c>
      <c r="B2349" s="2200" t="s">
        <v>15409</v>
      </c>
      <c r="C2349" s="2200" t="s">
        <v>15410</v>
      </c>
      <c r="D2349" s="2200" t="str">
        <f t="shared" si="144"/>
        <v>NJ</v>
      </c>
      <c r="E2349" s="2200">
        <f t="shared" si="145"/>
        <v>16</v>
      </c>
      <c r="F2349" s="2200" t="str">
        <f t="shared" si="146"/>
        <v>34</v>
      </c>
      <c r="G2349" s="2200" t="str">
        <f t="shared" si="147"/>
        <v>20230</v>
      </c>
      <c r="H2349" s="2200">
        <f>--SUBTOTAL(3,C$2:C2349)</f>
        <v>99</v>
      </c>
    </row>
    <row r="2350" spans="1:8" hidden="1" x14ac:dyDescent="0.15">
      <c r="A2350" s="2200" t="s">
        <v>10723</v>
      </c>
      <c r="B2350" s="2200" t="s">
        <v>15411</v>
      </c>
      <c r="C2350" s="2200" t="s">
        <v>15412</v>
      </c>
      <c r="D2350" s="2200" t="str">
        <f t="shared" si="144"/>
        <v>NJ</v>
      </c>
      <c r="E2350" s="2200">
        <f t="shared" si="145"/>
        <v>20</v>
      </c>
      <c r="F2350" s="2200" t="str">
        <f t="shared" si="146"/>
        <v>34</v>
      </c>
      <c r="G2350" s="2200" t="str">
        <f t="shared" si="147"/>
        <v>20290</v>
      </c>
      <c r="H2350" s="2200">
        <f>--SUBTOTAL(3,C$2:C2350)</f>
        <v>99</v>
      </c>
    </row>
    <row r="2351" spans="1:8" hidden="1" x14ac:dyDescent="0.15">
      <c r="A2351" s="2200" t="s">
        <v>10723</v>
      </c>
      <c r="B2351" s="2200" t="s">
        <v>15413</v>
      </c>
      <c r="C2351" s="2200" t="s">
        <v>15414</v>
      </c>
      <c r="D2351" s="2200" t="str">
        <f t="shared" si="144"/>
        <v>NJ</v>
      </c>
      <c r="E2351" s="2200">
        <f t="shared" si="145"/>
        <v>15</v>
      </c>
      <c r="F2351" s="2200" t="str">
        <f t="shared" si="146"/>
        <v>34</v>
      </c>
      <c r="G2351" s="2200" t="str">
        <f t="shared" si="147"/>
        <v>21000</v>
      </c>
      <c r="H2351" s="2200">
        <f>--SUBTOTAL(3,C$2:C2351)</f>
        <v>99</v>
      </c>
    </row>
    <row r="2352" spans="1:8" hidden="1" x14ac:dyDescent="0.15">
      <c r="A2352" s="2200" t="s">
        <v>10723</v>
      </c>
      <c r="B2352" s="2200" t="s">
        <v>15415</v>
      </c>
      <c r="C2352" s="2200" t="s">
        <v>15416</v>
      </c>
      <c r="D2352" s="2200" t="str">
        <f t="shared" si="144"/>
        <v>NJ</v>
      </c>
      <c r="E2352" s="2200">
        <f t="shared" si="145"/>
        <v>15</v>
      </c>
      <c r="F2352" s="2200" t="str">
        <f t="shared" si="146"/>
        <v>34</v>
      </c>
      <c r="G2352" s="2200" t="str">
        <f t="shared" si="147"/>
        <v>21480</v>
      </c>
      <c r="H2352" s="2200">
        <f>--SUBTOTAL(3,C$2:C2352)</f>
        <v>99</v>
      </c>
    </row>
    <row r="2353" spans="1:8" hidden="1" x14ac:dyDescent="0.15">
      <c r="A2353" s="2200" t="s">
        <v>10723</v>
      </c>
      <c r="B2353" s="2200" t="s">
        <v>15417</v>
      </c>
      <c r="C2353" s="2200" t="s">
        <v>15418</v>
      </c>
      <c r="D2353" s="2200" t="str">
        <f t="shared" si="144"/>
        <v>NJ</v>
      </c>
      <c r="E2353" s="2200">
        <f t="shared" si="145"/>
        <v>17</v>
      </c>
      <c r="F2353" s="2200" t="str">
        <f t="shared" si="146"/>
        <v>34</v>
      </c>
      <c r="G2353" s="2200" t="str">
        <f t="shared" si="147"/>
        <v>22110</v>
      </c>
      <c r="H2353" s="2200">
        <f>--SUBTOTAL(3,C$2:C2353)</f>
        <v>99</v>
      </c>
    </row>
    <row r="2354" spans="1:8" hidden="1" x14ac:dyDescent="0.15">
      <c r="A2354" s="2200" t="s">
        <v>10723</v>
      </c>
      <c r="B2354" s="2200" t="s">
        <v>15419</v>
      </c>
      <c r="C2354" s="2200" t="s">
        <v>15420</v>
      </c>
      <c r="D2354" s="2200" t="str">
        <f t="shared" si="144"/>
        <v>NJ</v>
      </c>
      <c r="E2354" s="2200">
        <f t="shared" si="145"/>
        <v>15</v>
      </c>
      <c r="F2354" s="2200" t="str">
        <f t="shared" si="146"/>
        <v>34</v>
      </c>
      <c r="G2354" s="2200" t="str">
        <f t="shared" si="147"/>
        <v>22185</v>
      </c>
      <c r="H2354" s="2200">
        <f>--SUBTOTAL(3,C$2:C2354)</f>
        <v>99</v>
      </c>
    </row>
    <row r="2355" spans="1:8" hidden="1" x14ac:dyDescent="0.15">
      <c r="A2355" s="2200" t="s">
        <v>10723</v>
      </c>
      <c r="B2355" s="2200" t="s">
        <v>15421</v>
      </c>
      <c r="C2355" s="2200" t="s">
        <v>15422</v>
      </c>
      <c r="D2355" s="2200" t="str">
        <f t="shared" si="144"/>
        <v>NJ</v>
      </c>
      <c r="E2355" s="2200">
        <f t="shared" si="145"/>
        <v>18</v>
      </c>
      <c r="F2355" s="2200" t="str">
        <f t="shared" si="146"/>
        <v>34</v>
      </c>
      <c r="G2355" s="2200" t="str">
        <f t="shared" si="147"/>
        <v>22470</v>
      </c>
      <c r="H2355" s="2200">
        <f>--SUBTOTAL(3,C$2:C2355)</f>
        <v>99</v>
      </c>
    </row>
    <row r="2356" spans="1:8" hidden="1" x14ac:dyDescent="0.15">
      <c r="A2356" s="2200" t="s">
        <v>10723</v>
      </c>
      <c r="B2356" s="2200" t="s">
        <v>15423</v>
      </c>
      <c r="C2356" s="2200" t="s">
        <v>15424</v>
      </c>
      <c r="D2356" s="2200" t="str">
        <f t="shared" si="144"/>
        <v>NJ</v>
      </c>
      <c r="E2356" s="2200">
        <f t="shared" si="145"/>
        <v>17</v>
      </c>
      <c r="F2356" s="2200" t="str">
        <f t="shared" si="146"/>
        <v>34</v>
      </c>
      <c r="G2356" s="2200" t="str">
        <f t="shared" si="147"/>
        <v>24420</v>
      </c>
      <c r="H2356" s="2200">
        <f>--SUBTOTAL(3,C$2:C2356)</f>
        <v>99</v>
      </c>
    </row>
    <row r="2357" spans="1:8" hidden="1" x14ac:dyDescent="0.15">
      <c r="A2357" s="2200" t="s">
        <v>10723</v>
      </c>
      <c r="B2357" s="2200" t="s">
        <v>15425</v>
      </c>
      <c r="C2357" s="2200" t="s">
        <v>15426</v>
      </c>
      <c r="D2357" s="2200" t="str">
        <f t="shared" si="144"/>
        <v>NJ</v>
      </c>
      <c r="E2357" s="2200">
        <f t="shared" si="145"/>
        <v>36</v>
      </c>
      <c r="F2357" s="2200" t="str">
        <f t="shared" si="146"/>
        <v>34</v>
      </c>
      <c r="G2357" s="2200" t="str">
        <f t="shared" si="147"/>
        <v>24900</v>
      </c>
      <c r="H2357" s="2200">
        <f>--SUBTOTAL(3,C$2:C2357)</f>
        <v>99</v>
      </c>
    </row>
    <row r="2358" spans="1:8" hidden="1" x14ac:dyDescent="0.15">
      <c r="A2358" s="2200" t="s">
        <v>10723</v>
      </c>
      <c r="B2358" s="2200" t="s">
        <v>15427</v>
      </c>
      <c r="C2358" s="2200" t="s">
        <v>15428</v>
      </c>
      <c r="D2358" s="2200" t="str">
        <f t="shared" si="144"/>
        <v>NJ</v>
      </c>
      <c r="E2358" s="2200">
        <f t="shared" si="145"/>
        <v>18</v>
      </c>
      <c r="F2358" s="2200" t="str">
        <f t="shared" si="146"/>
        <v>34</v>
      </c>
      <c r="G2358" s="2200" t="str">
        <f t="shared" si="147"/>
        <v>25230</v>
      </c>
      <c r="H2358" s="2200">
        <f>--SUBTOTAL(3,C$2:C2358)</f>
        <v>99</v>
      </c>
    </row>
    <row r="2359" spans="1:8" hidden="1" x14ac:dyDescent="0.15">
      <c r="A2359" s="2200" t="s">
        <v>10723</v>
      </c>
      <c r="B2359" s="2200" t="s">
        <v>15429</v>
      </c>
      <c r="C2359" s="2200" t="s">
        <v>15430</v>
      </c>
      <c r="D2359" s="2200" t="str">
        <f t="shared" si="144"/>
        <v>NJ</v>
      </c>
      <c r="E2359" s="2200">
        <f t="shared" si="145"/>
        <v>18</v>
      </c>
      <c r="F2359" s="2200" t="str">
        <f t="shared" si="146"/>
        <v>34</v>
      </c>
      <c r="G2359" s="2200" t="str">
        <f t="shared" si="147"/>
        <v>25560</v>
      </c>
      <c r="H2359" s="2200">
        <f>--SUBTOTAL(3,C$2:C2359)</f>
        <v>99</v>
      </c>
    </row>
    <row r="2360" spans="1:8" hidden="1" x14ac:dyDescent="0.15">
      <c r="A2360" s="2200" t="s">
        <v>10723</v>
      </c>
      <c r="B2360" s="2200" t="s">
        <v>15431</v>
      </c>
      <c r="C2360" s="2200" t="s">
        <v>15432</v>
      </c>
      <c r="D2360" s="2200" t="str">
        <f t="shared" si="144"/>
        <v>NJ</v>
      </c>
      <c r="E2360" s="2200">
        <f t="shared" si="145"/>
        <v>14</v>
      </c>
      <c r="F2360" s="2200" t="str">
        <f t="shared" si="146"/>
        <v>34</v>
      </c>
      <c r="G2360" s="2200" t="str">
        <f t="shared" si="147"/>
        <v>25770</v>
      </c>
      <c r="H2360" s="2200">
        <f>--SUBTOTAL(3,C$2:C2360)</f>
        <v>99</v>
      </c>
    </row>
    <row r="2361" spans="1:8" hidden="1" x14ac:dyDescent="0.15">
      <c r="A2361" s="2200" t="s">
        <v>10723</v>
      </c>
      <c r="B2361" s="2200" t="s">
        <v>15433</v>
      </c>
      <c r="C2361" s="2200" t="s">
        <v>15434</v>
      </c>
      <c r="D2361" s="2200" t="str">
        <f t="shared" si="144"/>
        <v>NJ</v>
      </c>
      <c r="E2361" s="2200">
        <f t="shared" si="145"/>
        <v>20</v>
      </c>
      <c r="F2361" s="2200" t="str">
        <f t="shared" si="146"/>
        <v>34</v>
      </c>
      <c r="G2361" s="2200" t="str">
        <f t="shared" si="147"/>
        <v>26760</v>
      </c>
      <c r="H2361" s="2200">
        <f>--SUBTOTAL(3,C$2:C2361)</f>
        <v>99</v>
      </c>
    </row>
    <row r="2362" spans="1:8" hidden="1" x14ac:dyDescent="0.15">
      <c r="A2362" s="2200" t="s">
        <v>10723</v>
      </c>
      <c r="B2362" s="2200" t="s">
        <v>15435</v>
      </c>
      <c r="C2362" s="2200" t="s">
        <v>15436</v>
      </c>
      <c r="D2362" s="2200" t="str">
        <f t="shared" si="144"/>
        <v>NJ</v>
      </c>
      <c r="E2362" s="2200">
        <f t="shared" si="145"/>
        <v>16</v>
      </c>
      <c r="F2362" s="2200" t="str">
        <f t="shared" si="146"/>
        <v>34</v>
      </c>
      <c r="G2362" s="2200" t="str">
        <f t="shared" si="147"/>
        <v>28680</v>
      </c>
      <c r="H2362" s="2200">
        <f>--SUBTOTAL(3,C$2:C2362)</f>
        <v>99</v>
      </c>
    </row>
    <row r="2363" spans="1:8" hidden="1" x14ac:dyDescent="0.15">
      <c r="A2363" s="2200" t="s">
        <v>10723</v>
      </c>
      <c r="B2363" s="2200" t="s">
        <v>15437</v>
      </c>
      <c r="C2363" s="2200" t="s">
        <v>15438</v>
      </c>
      <c r="D2363" s="2200" t="str">
        <f t="shared" si="144"/>
        <v>NJ</v>
      </c>
      <c r="E2363" s="2200">
        <f t="shared" si="145"/>
        <v>36</v>
      </c>
      <c r="F2363" s="2200" t="str">
        <f t="shared" si="146"/>
        <v>34</v>
      </c>
      <c r="G2363" s="2200" t="str">
        <f t="shared" si="147"/>
        <v>29280</v>
      </c>
      <c r="H2363" s="2200">
        <f>--SUBTOTAL(3,C$2:C2363)</f>
        <v>99</v>
      </c>
    </row>
    <row r="2364" spans="1:8" hidden="1" x14ac:dyDescent="0.15">
      <c r="A2364" s="2200" t="s">
        <v>10723</v>
      </c>
      <c r="B2364" s="2200" t="s">
        <v>15439</v>
      </c>
      <c r="C2364" s="2200" t="s">
        <v>15440</v>
      </c>
      <c r="D2364" s="2200" t="str">
        <f t="shared" si="144"/>
        <v>NJ</v>
      </c>
      <c r="E2364" s="2200">
        <f t="shared" si="145"/>
        <v>34</v>
      </c>
      <c r="F2364" s="2200" t="str">
        <f t="shared" si="146"/>
        <v>34</v>
      </c>
      <c r="G2364" s="2200" t="str">
        <f t="shared" si="147"/>
        <v>29310</v>
      </c>
      <c r="H2364" s="2200">
        <f>--SUBTOTAL(3,C$2:C2364)</f>
        <v>99</v>
      </c>
    </row>
    <row r="2365" spans="1:8" hidden="1" x14ac:dyDescent="0.15">
      <c r="A2365" s="2200" t="s">
        <v>10723</v>
      </c>
      <c r="B2365" s="2200" t="s">
        <v>15441</v>
      </c>
      <c r="C2365" s="2200" t="s">
        <v>15442</v>
      </c>
      <c r="D2365" s="2200" t="str">
        <f t="shared" si="144"/>
        <v>NJ</v>
      </c>
      <c r="E2365" s="2200">
        <f t="shared" si="145"/>
        <v>22</v>
      </c>
      <c r="F2365" s="2200" t="str">
        <f t="shared" si="146"/>
        <v>34</v>
      </c>
      <c r="G2365" s="2200" t="str">
        <f t="shared" si="147"/>
        <v>31890</v>
      </c>
      <c r="H2365" s="2200">
        <f>--SUBTOTAL(3,C$2:C2365)</f>
        <v>99</v>
      </c>
    </row>
    <row r="2366" spans="1:8" hidden="1" x14ac:dyDescent="0.15">
      <c r="A2366" s="2200" t="s">
        <v>10723</v>
      </c>
      <c r="B2366" s="2200" t="s">
        <v>15443</v>
      </c>
      <c r="C2366" s="2200" t="s">
        <v>15444</v>
      </c>
      <c r="D2366" s="2200" t="str">
        <f t="shared" si="144"/>
        <v>NJ</v>
      </c>
      <c r="E2366" s="2200">
        <f t="shared" si="145"/>
        <v>13</v>
      </c>
      <c r="F2366" s="2200" t="str">
        <f t="shared" si="146"/>
        <v>34</v>
      </c>
      <c r="G2366" s="2200" t="str">
        <f t="shared" si="147"/>
        <v>32250</v>
      </c>
      <c r="H2366" s="2200">
        <f>--SUBTOTAL(3,C$2:C2366)</f>
        <v>99</v>
      </c>
    </row>
    <row r="2367" spans="1:8" hidden="1" x14ac:dyDescent="0.15">
      <c r="A2367" s="2200" t="s">
        <v>10723</v>
      </c>
      <c r="B2367" s="2200" t="s">
        <v>15445</v>
      </c>
      <c r="C2367" s="2200" t="s">
        <v>15446</v>
      </c>
      <c r="D2367" s="2200" t="str">
        <f t="shared" si="144"/>
        <v>NJ</v>
      </c>
      <c r="E2367" s="2200">
        <f t="shared" si="145"/>
        <v>16</v>
      </c>
      <c r="F2367" s="2200" t="str">
        <f t="shared" si="146"/>
        <v>34</v>
      </c>
      <c r="G2367" s="2200" t="str">
        <f t="shared" si="147"/>
        <v>33300</v>
      </c>
      <c r="H2367" s="2200">
        <f>--SUBTOTAL(3,C$2:C2367)</f>
        <v>99</v>
      </c>
    </row>
    <row r="2368" spans="1:8" hidden="1" x14ac:dyDescent="0.15">
      <c r="A2368" s="2200" t="s">
        <v>10723</v>
      </c>
      <c r="B2368" s="2200" t="s">
        <v>15447</v>
      </c>
      <c r="C2368" s="2200" t="s">
        <v>15448</v>
      </c>
      <c r="D2368" s="2200" t="str">
        <f t="shared" si="144"/>
        <v>NJ</v>
      </c>
      <c r="E2368" s="2200">
        <f t="shared" si="145"/>
        <v>19</v>
      </c>
      <c r="F2368" s="2200" t="str">
        <f t="shared" si="146"/>
        <v>34</v>
      </c>
      <c r="G2368" s="2200" t="str">
        <f t="shared" si="147"/>
        <v>34450</v>
      </c>
      <c r="H2368" s="2200">
        <f>--SUBTOTAL(3,C$2:C2368)</f>
        <v>99</v>
      </c>
    </row>
    <row r="2369" spans="1:8" hidden="1" x14ac:dyDescent="0.15">
      <c r="A2369" s="2200" t="s">
        <v>10723</v>
      </c>
      <c r="B2369" s="2200" t="s">
        <v>15449</v>
      </c>
      <c r="C2369" s="2200" t="s">
        <v>15450</v>
      </c>
      <c r="D2369" s="2200" t="str">
        <f t="shared" si="144"/>
        <v>NJ</v>
      </c>
      <c r="E2369" s="2200">
        <f t="shared" si="145"/>
        <v>17</v>
      </c>
      <c r="F2369" s="2200" t="str">
        <f t="shared" si="146"/>
        <v>34</v>
      </c>
      <c r="G2369" s="2200" t="str">
        <f t="shared" si="147"/>
        <v>34680</v>
      </c>
      <c r="H2369" s="2200">
        <f>--SUBTOTAL(3,C$2:C2369)</f>
        <v>99</v>
      </c>
    </row>
    <row r="2370" spans="1:8" hidden="1" x14ac:dyDescent="0.15">
      <c r="A2370" s="2200" t="s">
        <v>10723</v>
      </c>
      <c r="B2370" s="2200" t="s">
        <v>15451</v>
      </c>
      <c r="C2370" s="2200" t="s">
        <v>15452</v>
      </c>
      <c r="D2370" s="2200" t="str">
        <f t="shared" ref="D2370:D2433" si="148">MID(C2370,E2370+2,2)</f>
        <v>NJ</v>
      </c>
      <c r="E2370" s="2200">
        <f t="shared" ref="E2370:E2433" si="149">FIND(",",C2370)</f>
        <v>17</v>
      </c>
      <c r="F2370" s="2200" t="str">
        <f t="shared" si="146"/>
        <v>34</v>
      </c>
      <c r="G2370" s="2200" t="str">
        <f t="shared" si="147"/>
        <v>36000</v>
      </c>
      <c r="H2370" s="2200">
        <f>--SUBTOTAL(3,C$2:C2370)</f>
        <v>99</v>
      </c>
    </row>
    <row r="2371" spans="1:8" hidden="1" x14ac:dyDescent="0.15">
      <c r="A2371" s="2200" t="s">
        <v>10723</v>
      </c>
      <c r="B2371" s="2200" t="s">
        <v>15453</v>
      </c>
      <c r="C2371" s="2200" t="s">
        <v>15454</v>
      </c>
      <c r="D2371" s="2200" t="str">
        <f t="shared" si="148"/>
        <v>NJ</v>
      </c>
      <c r="E2371" s="2200">
        <f t="shared" si="149"/>
        <v>12</v>
      </c>
      <c r="F2371" s="2200" t="str">
        <f t="shared" ref="F2371:F2434" si="150">MID(B2371,3,2)</f>
        <v>34</v>
      </c>
      <c r="G2371" s="2200" t="str">
        <f t="shared" ref="G2371:G2434" si="151">MID(B2371,5,5)</f>
        <v>36510</v>
      </c>
      <c r="H2371" s="2200">
        <f>--SUBTOTAL(3,C$2:C2371)</f>
        <v>99</v>
      </c>
    </row>
    <row r="2372" spans="1:8" hidden="1" x14ac:dyDescent="0.15">
      <c r="A2372" s="2200" t="s">
        <v>10723</v>
      </c>
      <c r="B2372" s="2200" t="s">
        <v>15455</v>
      </c>
      <c r="C2372" s="2200" t="s">
        <v>15456</v>
      </c>
      <c r="D2372" s="2200" t="str">
        <f t="shared" si="148"/>
        <v>NJ</v>
      </c>
      <c r="E2372" s="2200">
        <f t="shared" si="149"/>
        <v>15</v>
      </c>
      <c r="F2372" s="2200" t="str">
        <f t="shared" si="150"/>
        <v>34</v>
      </c>
      <c r="G2372" s="2200" t="str">
        <f t="shared" si="151"/>
        <v>37380</v>
      </c>
      <c r="H2372" s="2200">
        <f>--SUBTOTAL(3,C$2:C2372)</f>
        <v>99</v>
      </c>
    </row>
    <row r="2373" spans="1:8" hidden="1" x14ac:dyDescent="0.15">
      <c r="A2373" s="2200" t="s">
        <v>10723</v>
      </c>
      <c r="B2373" s="2200" t="s">
        <v>15457</v>
      </c>
      <c r="C2373" s="2200" t="s">
        <v>15458</v>
      </c>
      <c r="D2373" s="2200" t="str">
        <f t="shared" si="148"/>
        <v>NJ</v>
      </c>
      <c r="E2373" s="2200">
        <f t="shared" si="149"/>
        <v>18</v>
      </c>
      <c r="F2373" s="2200" t="str">
        <f t="shared" si="150"/>
        <v>34</v>
      </c>
      <c r="G2373" s="2200" t="str">
        <f t="shared" si="151"/>
        <v>38550</v>
      </c>
      <c r="H2373" s="2200">
        <f>--SUBTOTAL(3,C$2:C2373)</f>
        <v>99</v>
      </c>
    </row>
    <row r="2374" spans="1:8" hidden="1" x14ac:dyDescent="0.15">
      <c r="A2374" s="2200" t="s">
        <v>10723</v>
      </c>
      <c r="B2374" s="2200" t="s">
        <v>15459</v>
      </c>
      <c r="C2374" s="2200" t="s">
        <v>15460</v>
      </c>
      <c r="D2374" s="2200" t="str">
        <f t="shared" si="148"/>
        <v>NJ</v>
      </c>
      <c r="E2374" s="2200">
        <f t="shared" si="149"/>
        <v>34</v>
      </c>
      <c r="F2374" s="2200" t="str">
        <f t="shared" si="150"/>
        <v>34</v>
      </c>
      <c r="G2374" s="2200" t="str">
        <f t="shared" si="151"/>
        <v>39510</v>
      </c>
      <c r="H2374" s="2200">
        <f>--SUBTOTAL(3,C$2:C2374)</f>
        <v>99</v>
      </c>
    </row>
    <row r="2375" spans="1:8" hidden="1" x14ac:dyDescent="0.15">
      <c r="A2375" s="2200" t="s">
        <v>10723</v>
      </c>
      <c r="B2375" s="2200" t="s">
        <v>15461</v>
      </c>
      <c r="C2375" s="2200" t="s">
        <v>15462</v>
      </c>
      <c r="D2375" s="2200" t="str">
        <f t="shared" si="148"/>
        <v>NJ</v>
      </c>
      <c r="E2375" s="2200">
        <f t="shared" si="149"/>
        <v>12</v>
      </c>
      <c r="F2375" s="2200" t="str">
        <f t="shared" si="150"/>
        <v>34</v>
      </c>
      <c r="G2375" s="2200" t="str">
        <f t="shared" si="151"/>
        <v>40350</v>
      </c>
      <c r="H2375" s="2200">
        <f>--SUBTOTAL(3,C$2:C2375)</f>
        <v>99</v>
      </c>
    </row>
    <row r="2376" spans="1:8" hidden="1" x14ac:dyDescent="0.15">
      <c r="A2376" s="2200" t="s">
        <v>10723</v>
      </c>
      <c r="B2376" s="2200" t="s">
        <v>15463</v>
      </c>
      <c r="C2376" s="2200" t="s">
        <v>15464</v>
      </c>
      <c r="D2376" s="2200" t="str">
        <f t="shared" si="148"/>
        <v>NJ</v>
      </c>
      <c r="E2376" s="2200">
        <f t="shared" si="149"/>
        <v>20</v>
      </c>
      <c r="F2376" s="2200" t="str">
        <f t="shared" si="150"/>
        <v>34</v>
      </c>
      <c r="G2376" s="2200" t="str">
        <f t="shared" si="151"/>
        <v>40890</v>
      </c>
      <c r="H2376" s="2200">
        <f>--SUBTOTAL(3,C$2:C2376)</f>
        <v>99</v>
      </c>
    </row>
    <row r="2377" spans="1:8" hidden="1" x14ac:dyDescent="0.15">
      <c r="A2377" s="2200" t="s">
        <v>10723</v>
      </c>
      <c r="B2377" s="2200" t="s">
        <v>15465</v>
      </c>
      <c r="C2377" s="2200" t="s">
        <v>15466</v>
      </c>
      <c r="D2377" s="2200" t="str">
        <f t="shared" si="148"/>
        <v>NJ</v>
      </c>
      <c r="E2377" s="2200">
        <f t="shared" si="149"/>
        <v>17</v>
      </c>
      <c r="F2377" s="2200" t="str">
        <f t="shared" si="150"/>
        <v>34</v>
      </c>
      <c r="G2377" s="2200" t="str">
        <f t="shared" si="151"/>
        <v>41310</v>
      </c>
      <c r="H2377" s="2200">
        <f>--SUBTOTAL(3,C$2:C2377)</f>
        <v>99</v>
      </c>
    </row>
    <row r="2378" spans="1:8" hidden="1" x14ac:dyDescent="0.15">
      <c r="A2378" s="2200" t="s">
        <v>10723</v>
      </c>
      <c r="B2378" s="2200" t="s">
        <v>15467</v>
      </c>
      <c r="C2378" s="2200" t="s">
        <v>15468</v>
      </c>
      <c r="D2378" s="2200" t="str">
        <f t="shared" si="148"/>
        <v>NJ</v>
      </c>
      <c r="E2378" s="2200">
        <f t="shared" si="149"/>
        <v>16</v>
      </c>
      <c r="F2378" s="2200" t="str">
        <f t="shared" si="150"/>
        <v>34</v>
      </c>
      <c r="G2378" s="2200" t="str">
        <f t="shared" si="151"/>
        <v>42750</v>
      </c>
      <c r="H2378" s="2200">
        <f>--SUBTOTAL(3,C$2:C2378)</f>
        <v>99</v>
      </c>
    </row>
    <row r="2379" spans="1:8" hidden="1" x14ac:dyDescent="0.15">
      <c r="A2379" s="2200" t="s">
        <v>10723</v>
      </c>
      <c r="B2379" s="2200" t="s">
        <v>15469</v>
      </c>
      <c r="C2379" s="2200" t="s">
        <v>15470</v>
      </c>
      <c r="D2379" s="2200" t="str">
        <f t="shared" si="148"/>
        <v>NJ</v>
      </c>
      <c r="E2379" s="2200">
        <f t="shared" si="149"/>
        <v>19</v>
      </c>
      <c r="F2379" s="2200" t="str">
        <f t="shared" si="150"/>
        <v>34</v>
      </c>
      <c r="G2379" s="2200" t="str">
        <f t="shared" si="151"/>
        <v>42990</v>
      </c>
      <c r="H2379" s="2200">
        <f>--SUBTOTAL(3,C$2:C2379)</f>
        <v>99</v>
      </c>
    </row>
    <row r="2380" spans="1:8" hidden="1" x14ac:dyDescent="0.15">
      <c r="A2380" s="2200" t="s">
        <v>10723</v>
      </c>
      <c r="B2380" s="2200" t="s">
        <v>15471</v>
      </c>
      <c r="C2380" s="2200" t="s">
        <v>15472</v>
      </c>
      <c r="D2380" s="2200" t="str">
        <f t="shared" si="148"/>
        <v>NJ</v>
      </c>
      <c r="E2380" s="2200">
        <f t="shared" si="149"/>
        <v>20</v>
      </c>
      <c r="F2380" s="2200" t="str">
        <f t="shared" si="150"/>
        <v>34</v>
      </c>
      <c r="G2380" s="2200" t="str">
        <f t="shared" si="151"/>
        <v>43140</v>
      </c>
      <c r="H2380" s="2200">
        <f>--SUBTOTAL(3,C$2:C2380)</f>
        <v>99</v>
      </c>
    </row>
    <row r="2381" spans="1:8" hidden="1" x14ac:dyDescent="0.15">
      <c r="A2381" s="2200" t="s">
        <v>10723</v>
      </c>
      <c r="B2381" s="2200" t="s">
        <v>15473</v>
      </c>
      <c r="C2381" s="2200" t="s">
        <v>15474</v>
      </c>
      <c r="D2381" s="2200" t="str">
        <f t="shared" si="148"/>
        <v>NJ</v>
      </c>
      <c r="E2381" s="2200">
        <f t="shared" si="149"/>
        <v>19</v>
      </c>
      <c r="F2381" s="2200" t="str">
        <f t="shared" si="150"/>
        <v>34</v>
      </c>
      <c r="G2381" s="2200" t="str">
        <f t="shared" si="151"/>
        <v>43800</v>
      </c>
      <c r="H2381" s="2200">
        <f>--SUBTOTAL(3,C$2:C2381)</f>
        <v>99</v>
      </c>
    </row>
    <row r="2382" spans="1:8" hidden="1" x14ac:dyDescent="0.15">
      <c r="A2382" s="2200" t="s">
        <v>10723</v>
      </c>
      <c r="B2382" s="2200" t="s">
        <v>15475</v>
      </c>
      <c r="C2382" s="2200" t="s">
        <v>15476</v>
      </c>
      <c r="D2382" s="2200" t="str">
        <f t="shared" si="148"/>
        <v>NJ</v>
      </c>
      <c r="E2382" s="2200">
        <f t="shared" si="149"/>
        <v>18</v>
      </c>
      <c r="F2382" s="2200" t="str">
        <f t="shared" si="150"/>
        <v>34</v>
      </c>
      <c r="G2382" s="2200" t="str">
        <f t="shared" si="151"/>
        <v>44070</v>
      </c>
      <c r="H2382" s="2200">
        <f>--SUBTOTAL(3,C$2:C2382)</f>
        <v>99</v>
      </c>
    </row>
    <row r="2383" spans="1:8" hidden="1" x14ac:dyDescent="0.15">
      <c r="A2383" s="2200" t="s">
        <v>10723</v>
      </c>
      <c r="B2383" s="2200" t="s">
        <v>15477</v>
      </c>
      <c r="C2383" s="2200" t="s">
        <v>15478</v>
      </c>
      <c r="D2383" s="2200" t="str">
        <f t="shared" si="148"/>
        <v>NJ</v>
      </c>
      <c r="E2383" s="2200">
        <f t="shared" si="149"/>
        <v>20</v>
      </c>
      <c r="F2383" s="2200" t="str">
        <f t="shared" si="150"/>
        <v>34</v>
      </c>
      <c r="G2383" s="2200" t="str">
        <f t="shared" si="151"/>
        <v>45990</v>
      </c>
      <c r="H2383" s="2200">
        <f>--SUBTOTAL(3,C$2:C2383)</f>
        <v>99</v>
      </c>
    </row>
    <row r="2384" spans="1:8" hidden="1" x14ac:dyDescent="0.15">
      <c r="A2384" s="2200" t="s">
        <v>10723</v>
      </c>
      <c r="B2384" s="2200" t="s">
        <v>15479</v>
      </c>
      <c r="C2384" s="2200" t="s">
        <v>15480</v>
      </c>
      <c r="D2384" s="2200" t="str">
        <f t="shared" si="148"/>
        <v>NJ</v>
      </c>
      <c r="E2384" s="2200">
        <f t="shared" si="149"/>
        <v>15</v>
      </c>
      <c r="F2384" s="2200" t="str">
        <f t="shared" si="150"/>
        <v>34</v>
      </c>
      <c r="G2384" s="2200" t="str">
        <f t="shared" si="151"/>
        <v>46680</v>
      </c>
      <c r="H2384" s="2200">
        <f>--SUBTOTAL(3,C$2:C2384)</f>
        <v>99</v>
      </c>
    </row>
    <row r="2385" spans="1:8" hidden="1" x14ac:dyDescent="0.15">
      <c r="A2385" s="2200" t="s">
        <v>10723</v>
      </c>
      <c r="B2385" s="2200" t="s">
        <v>15481</v>
      </c>
      <c r="C2385" s="2200" t="s">
        <v>15482</v>
      </c>
      <c r="D2385" s="2200" t="str">
        <f t="shared" si="148"/>
        <v>NJ</v>
      </c>
      <c r="E2385" s="2200">
        <f t="shared" si="149"/>
        <v>36</v>
      </c>
      <c r="F2385" s="2200" t="str">
        <f t="shared" si="150"/>
        <v>34</v>
      </c>
      <c r="G2385" s="2200" t="str">
        <f t="shared" si="151"/>
        <v>47250</v>
      </c>
      <c r="H2385" s="2200">
        <f>--SUBTOTAL(3,C$2:C2385)</f>
        <v>99</v>
      </c>
    </row>
    <row r="2386" spans="1:8" hidden="1" x14ac:dyDescent="0.15">
      <c r="A2386" s="2200" t="s">
        <v>10723</v>
      </c>
      <c r="B2386" s="2200" t="s">
        <v>15483</v>
      </c>
      <c r="C2386" s="2200" t="s">
        <v>15484</v>
      </c>
      <c r="D2386" s="2200" t="str">
        <f t="shared" si="148"/>
        <v>NJ</v>
      </c>
      <c r="E2386" s="2200">
        <f t="shared" si="149"/>
        <v>35</v>
      </c>
      <c r="F2386" s="2200" t="str">
        <f t="shared" si="150"/>
        <v>34</v>
      </c>
      <c r="G2386" s="2200" t="str">
        <f t="shared" si="151"/>
        <v>47280</v>
      </c>
      <c r="H2386" s="2200">
        <f>--SUBTOTAL(3,C$2:C2386)</f>
        <v>99</v>
      </c>
    </row>
    <row r="2387" spans="1:8" hidden="1" x14ac:dyDescent="0.15">
      <c r="A2387" s="2200" t="s">
        <v>10723</v>
      </c>
      <c r="B2387" s="2200" t="s">
        <v>15485</v>
      </c>
      <c r="C2387" s="2200" t="s">
        <v>15486</v>
      </c>
      <c r="D2387" s="2200" t="str">
        <f t="shared" si="148"/>
        <v>NJ</v>
      </c>
      <c r="E2387" s="2200">
        <f t="shared" si="149"/>
        <v>19</v>
      </c>
      <c r="F2387" s="2200" t="str">
        <f t="shared" si="150"/>
        <v>34</v>
      </c>
      <c r="G2387" s="2200" t="str">
        <f t="shared" si="151"/>
        <v>47500</v>
      </c>
      <c r="H2387" s="2200">
        <f>--SUBTOTAL(3,C$2:C2387)</f>
        <v>99</v>
      </c>
    </row>
    <row r="2388" spans="1:8" hidden="1" x14ac:dyDescent="0.15">
      <c r="A2388" s="2200" t="s">
        <v>10723</v>
      </c>
      <c r="B2388" s="2200" t="s">
        <v>15487</v>
      </c>
      <c r="C2388" s="2200" t="s">
        <v>15488</v>
      </c>
      <c r="D2388" s="2200" t="str">
        <f t="shared" si="148"/>
        <v>NJ</v>
      </c>
      <c r="E2388" s="2200">
        <f t="shared" si="149"/>
        <v>22</v>
      </c>
      <c r="F2388" s="2200" t="str">
        <f t="shared" si="150"/>
        <v>34</v>
      </c>
      <c r="G2388" s="2200" t="str">
        <f t="shared" si="151"/>
        <v>49020</v>
      </c>
      <c r="H2388" s="2200">
        <f>--SUBTOTAL(3,C$2:C2388)</f>
        <v>99</v>
      </c>
    </row>
    <row r="2389" spans="1:8" hidden="1" x14ac:dyDescent="0.15">
      <c r="A2389" s="2200" t="s">
        <v>10723</v>
      </c>
      <c r="B2389" s="2200" t="s">
        <v>15489</v>
      </c>
      <c r="C2389" s="2200" t="s">
        <v>15490</v>
      </c>
      <c r="D2389" s="2200" t="str">
        <f t="shared" si="148"/>
        <v>NJ</v>
      </c>
      <c r="E2389" s="2200">
        <f t="shared" si="149"/>
        <v>21</v>
      </c>
      <c r="F2389" s="2200" t="str">
        <f t="shared" si="150"/>
        <v>34</v>
      </c>
      <c r="G2389" s="2200" t="str">
        <f t="shared" si="151"/>
        <v>49080</v>
      </c>
      <c r="H2389" s="2200">
        <f>--SUBTOTAL(3,C$2:C2389)</f>
        <v>99</v>
      </c>
    </row>
    <row r="2390" spans="1:8" hidden="1" x14ac:dyDescent="0.15">
      <c r="A2390" s="2200" t="s">
        <v>10723</v>
      </c>
      <c r="B2390" s="2200" t="s">
        <v>15491</v>
      </c>
      <c r="C2390" s="2200" t="s">
        <v>15492</v>
      </c>
      <c r="D2390" s="2200" t="str">
        <f t="shared" si="148"/>
        <v>NJ</v>
      </c>
      <c r="E2390" s="2200">
        <f t="shared" si="149"/>
        <v>17</v>
      </c>
      <c r="F2390" s="2200" t="str">
        <f t="shared" si="150"/>
        <v>34</v>
      </c>
      <c r="G2390" s="2200" t="str">
        <f t="shared" si="151"/>
        <v>49890</v>
      </c>
      <c r="H2390" s="2200">
        <f>--SUBTOTAL(3,C$2:C2390)</f>
        <v>99</v>
      </c>
    </row>
    <row r="2391" spans="1:8" hidden="1" x14ac:dyDescent="0.15">
      <c r="A2391" s="2200" t="s">
        <v>10723</v>
      </c>
      <c r="B2391" s="2200" t="s">
        <v>15493</v>
      </c>
      <c r="C2391" s="2200" t="s">
        <v>15494</v>
      </c>
      <c r="D2391" s="2200" t="str">
        <f t="shared" si="148"/>
        <v>NJ</v>
      </c>
      <c r="E2391" s="2200">
        <f t="shared" si="149"/>
        <v>19</v>
      </c>
      <c r="F2391" s="2200" t="str">
        <f t="shared" si="150"/>
        <v>34</v>
      </c>
      <c r="G2391" s="2200" t="str">
        <f t="shared" si="151"/>
        <v>51210</v>
      </c>
      <c r="H2391" s="2200">
        <f>--SUBTOTAL(3,C$2:C2391)</f>
        <v>99</v>
      </c>
    </row>
    <row r="2392" spans="1:8" hidden="1" x14ac:dyDescent="0.15">
      <c r="A2392" s="2200" t="s">
        <v>10723</v>
      </c>
      <c r="B2392" s="2200" t="s">
        <v>15495</v>
      </c>
      <c r="C2392" s="2200" t="s">
        <v>15496</v>
      </c>
      <c r="D2392" s="2200" t="str">
        <f t="shared" si="148"/>
        <v>NJ</v>
      </c>
      <c r="E2392" s="2200">
        <f t="shared" si="149"/>
        <v>12</v>
      </c>
      <c r="F2392" s="2200" t="str">
        <f t="shared" si="150"/>
        <v>34</v>
      </c>
      <c r="G2392" s="2200" t="str">
        <f t="shared" si="151"/>
        <v>51000</v>
      </c>
      <c r="H2392" s="2200">
        <f>--SUBTOTAL(3,C$2:C2392)</f>
        <v>99</v>
      </c>
    </row>
    <row r="2393" spans="1:8" hidden="1" x14ac:dyDescent="0.15">
      <c r="A2393" s="2200" t="s">
        <v>10723</v>
      </c>
      <c r="B2393" s="2200" t="s">
        <v>15497</v>
      </c>
      <c r="C2393" s="2200" t="s">
        <v>15498</v>
      </c>
      <c r="D2393" s="2200" t="str">
        <f t="shared" si="148"/>
        <v>NJ</v>
      </c>
      <c r="E2393" s="2200">
        <f t="shared" si="149"/>
        <v>22</v>
      </c>
      <c r="F2393" s="2200" t="str">
        <f t="shared" si="150"/>
        <v>34</v>
      </c>
      <c r="G2393" s="2200" t="str">
        <f t="shared" si="151"/>
        <v>52470</v>
      </c>
      <c r="H2393" s="2200">
        <f>--SUBTOTAL(3,C$2:C2393)</f>
        <v>99</v>
      </c>
    </row>
    <row r="2394" spans="1:8" hidden="1" x14ac:dyDescent="0.15">
      <c r="A2394" s="2200" t="s">
        <v>10723</v>
      </c>
      <c r="B2394" s="2200" t="s">
        <v>15499</v>
      </c>
      <c r="C2394" s="2200" t="s">
        <v>15500</v>
      </c>
      <c r="D2394" s="2200" t="str">
        <f t="shared" si="148"/>
        <v>NJ</v>
      </c>
      <c r="E2394" s="2200">
        <f t="shared" si="149"/>
        <v>25</v>
      </c>
      <c r="F2394" s="2200" t="str">
        <f t="shared" si="150"/>
        <v>34</v>
      </c>
      <c r="G2394" s="2200" t="str">
        <f t="shared" si="151"/>
        <v>52560</v>
      </c>
      <c r="H2394" s="2200">
        <f>--SUBTOTAL(3,C$2:C2394)</f>
        <v>99</v>
      </c>
    </row>
    <row r="2395" spans="1:8" hidden="1" x14ac:dyDescent="0.15">
      <c r="A2395" s="2200" t="s">
        <v>10723</v>
      </c>
      <c r="B2395" s="2200" t="s">
        <v>15501</v>
      </c>
      <c r="C2395" s="2200" t="s">
        <v>15502</v>
      </c>
      <c r="D2395" s="2200" t="str">
        <f t="shared" si="148"/>
        <v>NJ</v>
      </c>
      <c r="E2395" s="2200">
        <f t="shared" si="149"/>
        <v>16</v>
      </c>
      <c r="F2395" s="2200" t="str">
        <f t="shared" si="150"/>
        <v>34</v>
      </c>
      <c r="G2395" s="2200" t="str">
        <f t="shared" si="151"/>
        <v>53680</v>
      </c>
      <c r="H2395" s="2200">
        <f>--SUBTOTAL(3,C$2:C2395)</f>
        <v>99</v>
      </c>
    </row>
    <row r="2396" spans="1:8" hidden="1" x14ac:dyDescent="0.15">
      <c r="A2396" s="2200" t="s">
        <v>10723</v>
      </c>
      <c r="B2396" s="2200" t="s">
        <v>15503</v>
      </c>
      <c r="C2396" s="2200" t="s">
        <v>15504</v>
      </c>
      <c r="D2396" s="2200" t="str">
        <f t="shared" si="148"/>
        <v>NJ</v>
      </c>
      <c r="E2396" s="2200">
        <f t="shared" si="149"/>
        <v>33</v>
      </c>
      <c r="F2396" s="2200" t="str">
        <f t="shared" si="150"/>
        <v>34</v>
      </c>
      <c r="G2396" s="2200" t="str">
        <f t="shared" si="151"/>
        <v>54270</v>
      </c>
      <c r="H2396" s="2200">
        <f>--SUBTOTAL(3,C$2:C2396)</f>
        <v>99</v>
      </c>
    </row>
    <row r="2397" spans="1:8" hidden="1" x14ac:dyDescent="0.15">
      <c r="A2397" s="2200" t="s">
        <v>10723</v>
      </c>
      <c r="B2397" s="2200" t="s">
        <v>15505</v>
      </c>
      <c r="C2397" s="2200" t="s">
        <v>15506</v>
      </c>
      <c r="D2397" s="2200" t="str">
        <f t="shared" si="148"/>
        <v>NJ</v>
      </c>
      <c r="E2397" s="2200">
        <f t="shared" si="149"/>
        <v>20</v>
      </c>
      <c r="F2397" s="2200" t="str">
        <f t="shared" si="150"/>
        <v>34</v>
      </c>
      <c r="G2397" s="2200" t="str">
        <f t="shared" si="151"/>
        <v>54705</v>
      </c>
      <c r="H2397" s="2200">
        <f>--SUBTOTAL(3,C$2:C2397)</f>
        <v>99</v>
      </c>
    </row>
    <row r="2398" spans="1:8" hidden="1" x14ac:dyDescent="0.15">
      <c r="A2398" s="2200" t="s">
        <v>10723</v>
      </c>
      <c r="B2398" s="2200" t="s">
        <v>15507</v>
      </c>
      <c r="C2398" s="2200" t="s">
        <v>15508</v>
      </c>
      <c r="D2398" s="2200" t="str">
        <f t="shared" si="148"/>
        <v>NJ</v>
      </c>
      <c r="E2398" s="2200">
        <f t="shared" si="149"/>
        <v>16</v>
      </c>
      <c r="F2398" s="2200" t="str">
        <f t="shared" si="150"/>
        <v>34</v>
      </c>
      <c r="G2398" s="2200" t="str">
        <f t="shared" si="151"/>
        <v>55950</v>
      </c>
      <c r="H2398" s="2200">
        <f>--SUBTOTAL(3,C$2:C2398)</f>
        <v>99</v>
      </c>
    </row>
    <row r="2399" spans="1:8" hidden="1" x14ac:dyDescent="0.15">
      <c r="A2399" s="2200" t="s">
        <v>10723</v>
      </c>
      <c r="B2399" s="2200" t="s">
        <v>15509</v>
      </c>
      <c r="C2399" s="2200" t="s">
        <v>15510</v>
      </c>
      <c r="D2399" s="2200" t="str">
        <f t="shared" si="148"/>
        <v>NJ</v>
      </c>
      <c r="E2399" s="2200">
        <f t="shared" si="149"/>
        <v>31</v>
      </c>
      <c r="F2399" s="2200" t="str">
        <f t="shared" si="150"/>
        <v>34</v>
      </c>
      <c r="G2399" s="2200" t="str">
        <f t="shared" si="151"/>
        <v>56460</v>
      </c>
      <c r="H2399" s="2200">
        <f>--SUBTOTAL(3,C$2:C2399)</f>
        <v>99</v>
      </c>
    </row>
    <row r="2400" spans="1:8" hidden="1" x14ac:dyDescent="0.15">
      <c r="A2400" s="2200" t="s">
        <v>10723</v>
      </c>
      <c r="B2400" s="2200" t="s">
        <v>15511</v>
      </c>
      <c r="C2400" s="2200" t="s">
        <v>15512</v>
      </c>
      <c r="D2400" s="2200" t="str">
        <f t="shared" si="148"/>
        <v>NJ</v>
      </c>
      <c r="E2400" s="2200">
        <f t="shared" si="149"/>
        <v>13</v>
      </c>
      <c r="F2400" s="2200" t="str">
        <f t="shared" si="150"/>
        <v>34</v>
      </c>
      <c r="G2400" s="2200" t="str">
        <f t="shared" si="151"/>
        <v>56550</v>
      </c>
      <c r="H2400" s="2200">
        <f>--SUBTOTAL(3,C$2:C2400)</f>
        <v>99</v>
      </c>
    </row>
    <row r="2401" spans="1:8" hidden="1" x14ac:dyDescent="0.15">
      <c r="A2401" s="2200" t="s">
        <v>10723</v>
      </c>
      <c r="B2401" s="2200" t="s">
        <v>15513</v>
      </c>
      <c r="C2401" s="2200" t="s">
        <v>15514</v>
      </c>
      <c r="D2401" s="2200" t="str">
        <f t="shared" si="148"/>
        <v>NJ</v>
      </c>
      <c r="E2401" s="2200">
        <f t="shared" si="149"/>
        <v>14</v>
      </c>
      <c r="F2401" s="2200" t="str">
        <f t="shared" si="150"/>
        <v>34</v>
      </c>
      <c r="G2401" s="2200" t="str">
        <f t="shared" si="151"/>
        <v>57000</v>
      </c>
      <c r="H2401" s="2200">
        <f>--SUBTOTAL(3,C$2:C2401)</f>
        <v>99</v>
      </c>
    </row>
    <row r="2402" spans="1:8" hidden="1" x14ac:dyDescent="0.15">
      <c r="A2402" s="2200" t="s">
        <v>10723</v>
      </c>
      <c r="B2402" s="2200" t="s">
        <v>15515</v>
      </c>
      <c r="C2402" s="2200" t="s">
        <v>15516</v>
      </c>
      <c r="D2402" s="2200" t="str">
        <f t="shared" si="148"/>
        <v>NJ</v>
      </c>
      <c r="E2402" s="2200">
        <f t="shared" si="149"/>
        <v>19</v>
      </c>
      <c r="F2402" s="2200" t="str">
        <f t="shared" si="150"/>
        <v>34</v>
      </c>
      <c r="G2402" s="2200" t="str">
        <f t="shared" si="151"/>
        <v>57510</v>
      </c>
      <c r="H2402" s="2200">
        <f>--SUBTOTAL(3,C$2:C2402)</f>
        <v>99</v>
      </c>
    </row>
    <row r="2403" spans="1:8" hidden="1" x14ac:dyDescent="0.15">
      <c r="A2403" s="2200" t="s">
        <v>10723</v>
      </c>
      <c r="B2403" s="2200" t="s">
        <v>15517</v>
      </c>
      <c r="C2403" s="2200" t="s">
        <v>15518</v>
      </c>
      <c r="D2403" s="2200" t="str">
        <f t="shared" si="148"/>
        <v>NJ</v>
      </c>
      <c r="E2403" s="2200">
        <f t="shared" si="149"/>
        <v>20</v>
      </c>
      <c r="F2403" s="2200" t="str">
        <f t="shared" si="150"/>
        <v>34</v>
      </c>
      <c r="G2403" s="2200" t="str">
        <f t="shared" si="151"/>
        <v>57660</v>
      </c>
      <c r="H2403" s="2200">
        <f>--SUBTOTAL(3,C$2:C2403)</f>
        <v>99</v>
      </c>
    </row>
    <row r="2404" spans="1:8" hidden="1" x14ac:dyDescent="0.15">
      <c r="A2404" s="2200" t="s">
        <v>10723</v>
      </c>
      <c r="B2404" s="2200" t="s">
        <v>15519</v>
      </c>
      <c r="C2404" s="2200" t="s">
        <v>15520</v>
      </c>
      <c r="D2404" s="2200" t="str">
        <f t="shared" si="148"/>
        <v>NJ</v>
      </c>
      <c r="E2404" s="2200">
        <f t="shared" si="149"/>
        <v>17</v>
      </c>
      <c r="F2404" s="2200" t="str">
        <f t="shared" si="150"/>
        <v>34</v>
      </c>
      <c r="G2404" s="2200" t="str">
        <f t="shared" si="151"/>
        <v>58200</v>
      </c>
      <c r="H2404" s="2200">
        <f>--SUBTOTAL(3,C$2:C2404)</f>
        <v>99</v>
      </c>
    </row>
    <row r="2405" spans="1:8" hidden="1" x14ac:dyDescent="0.15">
      <c r="A2405" s="2200" t="s">
        <v>10723</v>
      </c>
      <c r="B2405" s="2200" t="s">
        <v>15521</v>
      </c>
      <c r="C2405" s="2200" t="s">
        <v>15522</v>
      </c>
      <c r="D2405" s="2200" t="str">
        <f t="shared" si="148"/>
        <v>NJ</v>
      </c>
      <c r="E2405" s="2200">
        <f t="shared" si="149"/>
        <v>20</v>
      </c>
      <c r="F2405" s="2200" t="str">
        <f t="shared" si="150"/>
        <v>34</v>
      </c>
      <c r="G2405" s="2200" t="str">
        <f t="shared" si="151"/>
        <v>59010</v>
      </c>
      <c r="H2405" s="2200">
        <f>--SUBTOTAL(3,C$2:C2405)</f>
        <v>99</v>
      </c>
    </row>
    <row r="2406" spans="1:8" hidden="1" x14ac:dyDescent="0.15">
      <c r="A2406" s="2200" t="s">
        <v>10723</v>
      </c>
      <c r="B2406" s="2200" t="s">
        <v>15523</v>
      </c>
      <c r="C2406" s="2200" t="s">
        <v>15524</v>
      </c>
      <c r="D2406" s="2200" t="str">
        <f t="shared" si="148"/>
        <v>NJ</v>
      </c>
      <c r="E2406" s="2200">
        <f t="shared" si="149"/>
        <v>16</v>
      </c>
      <c r="F2406" s="2200" t="str">
        <f t="shared" si="150"/>
        <v>34</v>
      </c>
      <c r="G2406" s="2200" t="str">
        <f t="shared" si="151"/>
        <v>59190</v>
      </c>
      <c r="H2406" s="2200">
        <f>--SUBTOTAL(3,C$2:C2406)</f>
        <v>99</v>
      </c>
    </row>
    <row r="2407" spans="1:8" hidden="1" x14ac:dyDescent="0.15">
      <c r="A2407" s="2200" t="s">
        <v>10723</v>
      </c>
      <c r="B2407" s="2200" t="s">
        <v>15525</v>
      </c>
      <c r="C2407" s="2200" t="s">
        <v>15526</v>
      </c>
      <c r="D2407" s="2200" t="str">
        <f t="shared" si="148"/>
        <v>NJ</v>
      </c>
      <c r="E2407" s="2200">
        <f t="shared" si="149"/>
        <v>10</v>
      </c>
      <c r="F2407" s="2200" t="str">
        <f t="shared" si="150"/>
        <v>34</v>
      </c>
      <c r="G2407" s="2200" t="str">
        <f t="shared" si="151"/>
        <v>60900</v>
      </c>
      <c r="H2407" s="2200">
        <f>--SUBTOTAL(3,C$2:C2407)</f>
        <v>99</v>
      </c>
    </row>
    <row r="2408" spans="1:8" hidden="1" x14ac:dyDescent="0.15">
      <c r="A2408" s="2200" t="s">
        <v>10723</v>
      </c>
      <c r="B2408" s="2200" t="s">
        <v>15527</v>
      </c>
      <c r="C2408" s="2200" t="s">
        <v>15528</v>
      </c>
      <c r="D2408" s="2200" t="str">
        <f t="shared" si="148"/>
        <v>NJ</v>
      </c>
      <c r="E2408" s="2200">
        <f t="shared" si="149"/>
        <v>12</v>
      </c>
      <c r="F2408" s="2200" t="str">
        <f t="shared" si="150"/>
        <v>34</v>
      </c>
      <c r="G2408" s="2200" t="str">
        <f t="shared" si="151"/>
        <v>61530</v>
      </c>
      <c r="H2408" s="2200">
        <f>--SUBTOTAL(3,C$2:C2408)</f>
        <v>99</v>
      </c>
    </row>
    <row r="2409" spans="1:8" hidden="1" x14ac:dyDescent="0.15">
      <c r="A2409" s="2200" t="s">
        <v>10723</v>
      </c>
      <c r="B2409" s="2200" t="s">
        <v>15529</v>
      </c>
      <c r="C2409" s="2200" t="s">
        <v>15530</v>
      </c>
      <c r="D2409" s="2200" t="str">
        <f t="shared" si="148"/>
        <v>NJ</v>
      </c>
      <c r="E2409" s="2200">
        <f t="shared" si="149"/>
        <v>18</v>
      </c>
      <c r="F2409" s="2200" t="str">
        <f t="shared" si="150"/>
        <v>34</v>
      </c>
      <c r="G2409" s="2200" t="str">
        <f t="shared" si="151"/>
        <v>61890</v>
      </c>
      <c r="H2409" s="2200">
        <f>--SUBTOTAL(3,C$2:C2409)</f>
        <v>99</v>
      </c>
    </row>
    <row r="2410" spans="1:8" hidden="1" x14ac:dyDescent="0.15">
      <c r="A2410" s="2200" t="s">
        <v>10723</v>
      </c>
      <c r="B2410" s="2200" t="s">
        <v>15531</v>
      </c>
      <c r="C2410" s="2200" t="s">
        <v>15532</v>
      </c>
      <c r="D2410" s="2200" t="str">
        <f t="shared" si="148"/>
        <v>NJ</v>
      </c>
      <c r="E2410" s="2200">
        <f t="shared" si="149"/>
        <v>18</v>
      </c>
      <c r="F2410" s="2200" t="str">
        <f t="shared" si="150"/>
        <v>34</v>
      </c>
      <c r="G2410" s="2200" t="str">
        <f t="shared" si="151"/>
        <v>63000</v>
      </c>
      <c r="H2410" s="2200">
        <f>--SUBTOTAL(3,C$2:C2410)</f>
        <v>99</v>
      </c>
    </row>
    <row r="2411" spans="1:8" hidden="1" x14ac:dyDescent="0.15">
      <c r="A2411" s="2200" t="s">
        <v>10723</v>
      </c>
      <c r="B2411" s="2200" t="s">
        <v>15533</v>
      </c>
      <c r="C2411" s="2200" t="s">
        <v>15534</v>
      </c>
      <c r="D2411" s="2200" t="str">
        <f t="shared" si="148"/>
        <v>NJ</v>
      </c>
      <c r="E2411" s="2200">
        <f t="shared" si="149"/>
        <v>18</v>
      </c>
      <c r="F2411" s="2200" t="str">
        <f t="shared" si="150"/>
        <v>34</v>
      </c>
      <c r="G2411" s="2200" t="str">
        <f t="shared" si="151"/>
        <v>64080</v>
      </c>
      <c r="H2411" s="2200">
        <f>--SUBTOTAL(3,C$2:C2411)</f>
        <v>99</v>
      </c>
    </row>
    <row r="2412" spans="1:8" hidden="1" x14ac:dyDescent="0.15">
      <c r="A2412" s="2200" t="s">
        <v>10723</v>
      </c>
      <c r="B2412" s="2200" t="s">
        <v>15535</v>
      </c>
      <c r="C2412" s="2200" t="s">
        <v>15536</v>
      </c>
      <c r="D2412" s="2200" t="str">
        <f t="shared" si="148"/>
        <v>NJ</v>
      </c>
      <c r="E2412" s="2200">
        <f t="shared" si="149"/>
        <v>19</v>
      </c>
      <c r="F2412" s="2200" t="str">
        <f t="shared" si="150"/>
        <v>34</v>
      </c>
      <c r="G2412" s="2200" t="str">
        <f t="shared" si="151"/>
        <v>65790</v>
      </c>
      <c r="H2412" s="2200">
        <f>--SUBTOTAL(3,C$2:C2412)</f>
        <v>99</v>
      </c>
    </row>
    <row r="2413" spans="1:8" hidden="1" x14ac:dyDescent="0.15">
      <c r="A2413" s="2200" t="s">
        <v>10723</v>
      </c>
      <c r="B2413" s="2200" t="s">
        <v>15537</v>
      </c>
      <c r="C2413" s="2200" t="s">
        <v>15538</v>
      </c>
      <c r="D2413" s="2200" t="str">
        <f t="shared" si="148"/>
        <v>NJ</v>
      </c>
      <c r="E2413" s="2200">
        <f t="shared" si="149"/>
        <v>25</v>
      </c>
      <c r="F2413" s="2200" t="str">
        <f t="shared" si="150"/>
        <v>34</v>
      </c>
      <c r="G2413" s="2200" t="str">
        <f t="shared" si="151"/>
        <v>68790</v>
      </c>
      <c r="H2413" s="2200">
        <f>--SUBTOTAL(3,C$2:C2413)</f>
        <v>99</v>
      </c>
    </row>
    <row r="2414" spans="1:8" hidden="1" x14ac:dyDescent="0.15">
      <c r="A2414" s="2200" t="s">
        <v>10723</v>
      </c>
      <c r="B2414" s="2200" t="s">
        <v>15539</v>
      </c>
      <c r="C2414" s="2200" t="s">
        <v>15540</v>
      </c>
      <c r="D2414" s="2200" t="str">
        <f t="shared" si="148"/>
        <v>NJ</v>
      </c>
      <c r="E2414" s="2200">
        <f t="shared" si="149"/>
        <v>18</v>
      </c>
      <c r="F2414" s="2200" t="str">
        <f t="shared" si="150"/>
        <v>34</v>
      </c>
      <c r="G2414" s="2200" t="str">
        <f t="shared" si="151"/>
        <v>70320</v>
      </c>
      <c r="H2414" s="2200">
        <f>--SUBTOTAL(3,C$2:C2414)</f>
        <v>99</v>
      </c>
    </row>
    <row r="2415" spans="1:8" hidden="1" x14ac:dyDescent="0.15">
      <c r="A2415" s="2200" t="s">
        <v>10723</v>
      </c>
      <c r="B2415" s="2200" t="s">
        <v>15541</v>
      </c>
      <c r="C2415" s="2200" t="s">
        <v>15542</v>
      </c>
      <c r="D2415" s="2200" t="str">
        <f t="shared" si="148"/>
        <v>NJ</v>
      </c>
      <c r="E2415" s="2200">
        <f t="shared" si="149"/>
        <v>17</v>
      </c>
      <c r="F2415" s="2200" t="str">
        <f t="shared" si="150"/>
        <v>34</v>
      </c>
      <c r="G2415" s="2200" t="str">
        <f t="shared" si="151"/>
        <v>72360</v>
      </c>
      <c r="H2415" s="2200">
        <f>--SUBTOTAL(3,C$2:C2415)</f>
        <v>99</v>
      </c>
    </row>
    <row r="2416" spans="1:8" hidden="1" x14ac:dyDescent="0.15">
      <c r="A2416" s="2200" t="s">
        <v>10723</v>
      </c>
      <c r="B2416" s="2200" t="s">
        <v>15543</v>
      </c>
      <c r="C2416" s="2200" t="s">
        <v>15544</v>
      </c>
      <c r="D2416" s="2200" t="str">
        <f t="shared" si="148"/>
        <v>NJ</v>
      </c>
      <c r="E2416" s="2200">
        <f t="shared" si="149"/>
        <v>20</v>
      </c>
      <c r="F2416" s="2200" t="str">
        <f t="shared" si="150"/>
        <v>34</v>
      </c>
      <c r="G2416" s="2200" t="str">
        <f t="shared" si="151"/>
        <v>73125</v>
      </c>
      <c r="H2416" s="2200">
        <f>--SUBTOTAL(3,C$2:C2416)</f>
        <v>99</v>
      </c>
    </row>
    <row r="2417" spans="1:8" hidden="1" x14ac:dyDescent="0.15">
      <c r="A2417" s="2200" t="s">
        <v>10723</v>
      </c>
      <c r="B2417" s="2200" t="s">
        <v>15545</v>
      </c>
      <c r="C2417" s="2200" t="s">
        <v>15546</v>
      </c>
      <c r="D2417" s="2200" t="str">
        <f t="shared" si="148"/>
        <v>NJ</v>
      </c>
      <c r="E2417" s="2200">
        <f t="shared" si="149"/>
        <v>13</v>
      </c>
      <c r="F2417" s="2200" t="str">
        <f t="shared" si="150"/>
        <v>34</v>
      </c>
      <c r="G2417" s="2200" t="str">
        <f t="shared" si="151"/>
        <v>74000</v>
      </c>
      <c r="H2417" s="2200">
        <f>--SUBTOTAL(3,C$2:C2417)</f>
        <v>99</v>
      </c>
    </row>
    <row r="2418" spans="1:8" hidden="1" x14ac:dyDescent="0.15">
      <c r="A2418" s="2200" t="s">
        <v>10723</v>
      </c>
      <c r="B2418" s="2200" t="s">
        <v>15547</v>
      </c>
      <c r="C2418" s="2200" t="s">
        <v>15548</v>
      </c>
      <c r="D2418" s="2200" t="str">
        <f t="shared" si="148"/>
        <v>NJ</v>
      </c>
      <c r="E2418" s="2200">
        <f t="shared" si="149"/>
        <v>16</v>
      </c>
      <c r="F2418" s="2200" t="str">
        <f t="shared" si="150"/>
        <v>34</v>
      </c>
      <c r="G2418" s="2200" t="str">
        <f t="shared" si="151"/>
        <v>74630</v>
      </c>
      <c r="H2418" s="2200">
        <f>--SUBTOTAL(3,C$2:C2418)</f>
        <v>99</v>
      </c>
    </row>
    <row r="2419" spans="1:8" hidden="1" x14ac:dyDescent="0.15">
      <c r="A2419" s="2200" t="s">
        <v>10723</v>
      </c>
      <c r="B2419" s="2200" t="s">
        <v>15549</v>
      </c>
      <c r="C2419" s="2200" t="s">
        <v>15550</v>
      </c>
      <c r="D2419" s="2200" t="str">
        <f t="shared" si="148"/>
        <v>NJ</v>
      </c>
      <c r="E2419" s="2200">
        <f t="shared" si="149"/>
        <v>30</v>
      </c>
      <c r="F2419" s="2200" t="str">
        <f t="shared" si="150"/>
        <v>34</v>
      </c>
      <c r="G2419" s="2200" t="str">
        <f t="shared" si="151"/>
        <v>74480</v>
      </c>
      <c r="H2419" s="2200">
        <f>--SUBTOTAL(3,C$2:C2419)</f>
        <v>99</v>
      </c>
    </row>
    <row r="2420" spans="1:8" hidden="1" x14ac:dyDescent="0.15">
      <c r="A2420" s="2200" t="s">
        <v>10723</v>
      </c>
      <c r="B2420" s="2200" t="s">
        <v>15551</v>
      </c>
      <c r="C2420" s="2200" t="s">
        <v>15552</v>
      </c>
      <c r="D2420" s="2200" t="str">
        <f t="shared" si="148"/>
        <v>NJ</v>
      </c>
      <c r="E2420" s="2200">
        <f t="shared" si="149"/>
        <v>16</v>
      </c>
      <c r="F2420" s="2200" t="str">
        <f t="shared" si="150"/>
        <v>34</v>
      </c>
      <c r="G2420" s="2200" t="str">
        <f t="shared" si="151"/>
        <v>75740</v>
      </c>
      <c r="H2420" s="2200">
        <f>--SUBTOTAL(3,C$2:C2420)</f>
        <v>99</v>
      </c>
    </row>
    <row r="2421" spans="1:8" hidden="1" x14ac:dyDescent="0.15">
      <c r="A2421" s="2200" t="s">
        <v>10723</v>
      </c>
      <c r="B2421" s="2200" t="s">
        <v>15553</v>
      </c>
      <c r="C2421" s="2200" t="s">
        <v>15554</v>
      </c>
      <c r="D2421" s="2200" t="str">
        <f t="shared" si="148"/>
        <v>NJ</v>
      </c>
      <c r="E2421" s="2200">
        <f t="shared" si="149"/>
        <v>14</v>
      </c>
      <c r="F2421" s="2200" t="str">
        <f t="shared" si="150"/>
        <v>34</v>
      </c>
      <c r="G2421" s="2200" t="str">
        <f t="shared" si="151"/>
        <v>76070</v>
      </c>
      <c r="H2421" s="2200">
        <f>--SUBTOTAL(3,C$2:C2421)</f>
        <v>99</v>
      </c>
    </row>
    <row r="2422" spans="1:8" hidden="1" x14ac:dyDescent="0.15">
      <c r="A2422" s="2200" t="s">
        <v>10723</v>
      </c>
      <c r="B2422" s="2200" t="s">
        <v>15555</v>
      </c>
      <c r="C2422" s="2200" t="s">
        <v>15556</v>
      </c>
      <c r="D2422" s="2200" t="str">
        <f t="shared" si="148"/>
        <v>NJ</v>
      </c>
      <c r="E2422" s="2200">
        <f t="shared" si="149"/>
        <v>18</v>
      </c>
      <c r="F2422" s="2200" t="str">
        <f t="shared" si="150"/>
        <v>34</v>
      </c>
      <c r="G2422" s="2200" t="str">
        <f t="shared" si="151"/>
        <v>76220</v>
      </c>
      <c r="H2422" s="2200">
        <f>--SUBTOTAL(3,C$2:C2422)</f>
        <v>99</v>
      </c>
    </row>
    <row r="2423" spans="1:8" hidden="1" x14ac:dyDescent="0.15">
      <c r="A2423" s="2200" t="s">
        <v>10723</v>
      </c>
      <c r="B2423" s="2200" t="s">
        <v>15557</v>
      </c>
      <c r="C2423" s="2200" t="s">
        <v>15558</v>
      </c>
      <c r="D2423" s="2200" t="str">
        <f t="shared" si="148"/>
        <v>NJ</v>
      </c>
      <c r="E2423" s="2200">
        <f t="shared" si="149"/>
        <v>14</v>
      </c>
      <c r="F2423" s="2200" t="str">
        <f t="shared" si="150"/>
        <v>34</v>
      </c>
      <c r="G2423" s="2200" t="str">
        <f t="shared" si="151"/>
        <v>76460</v>
      </c>
      <c r="H2423" s="2200">
        <f>--SUBTOTAL(3,C$2:C2423)</f>
        <v>99</v>
      </c>
    </row>
    <row r="2424" spans="1:8" hidden="1" x14ac:dyDescent="0.15">
      <c r="A2424" s="2200" t="s">
        <v>10723</v>
      </c>
      <c r="B2424" s="2200" t="s">
        <v>15559</v>
      </c>
      <c r="C2424" s="2200" t="s">
        <v>15560</v>
      </c>
      <c r="D2424" s="2200" t="str">
        <f t="shared" si="148"/>
        <v>NJ</v>
      </c>
      <c r="E2424" s="2200">
        <f t="shared" si="149"/>
        <v>40</v>
      </c>
      <c r="F2424" s="2200" t="str">
        <f t="shared" si="150"/>
        <v>34</v>
      </c>
      <c r="G2424" s="2200" t="str">
        <f t="shared" si="151"/>
        <v>77180</v>
      </c>
      <c r="H2424" s="2200">
        <f>--SUBTOTAL(3,C$2:C2424)</f>
        <v>99</v>
      </c>
    </row>
    <row r="2425" spans="1:8" hidden="1" x14ac:dyDescent="0.15">
      <c r="A2425" s="2200" t="s">
        <v>10723</v>
      </c>
      <c r="B2425" s="2200" t="s">
        <v>15561</v>
      </c>
      <c r="C2425" s="2200" t="s">
        <v>15562</v>
      </c>
      <c r="D2425" s="2200" t="str">
        <f t="shared" si="148"/>
        <v>NJ</v>
      </c>
      <c r="E2425" s="2200">
        <f t="shared" si="149"/>
        <v>15</v>
      </c>
      <c r="F2425" s="2200" t="str">
        <f t="shared" si="150"/>
        <v>34</v>
      </c>
      <c r="G2425" s="2200" t="str">
        <f t="shared" si="151"/>
        <v>77840</v>
      </c>
      <c r="H2425" s="2200">
        <f>--SUBTOTAL(3,C$2:C2425)</f>
        <v>99</v>
      </c>
    </row>
    <row r="2426" spans="1:8" hidden="1" x14ac:dyDescent="0.15">
      <c r="A2426" s="2200" t="s">
        <v>10723</v>
      </c>
      <c r="B2426" s="2200" t="s">
        <v>15563</v>
      </c>
      <c r="C2426" s="2200" t="s">
        <v>15564</v>
      </c>
      <c r="D2426" s="2200" t="str">
        <f t="shared" si="148"/>
        <v>NJ</v>
      </c>
      <c r="E2426" s="2200">
        <f t="shared" si="149"/>
        <v>22</v>
      </c>
      <c r="F2426" s="2200" t="str">
        <f t="shared" si="150"/>
        <v>34</v>
      </c>
      <c r="G2426" s="2200" t="str">
        <f t="shared" si="151"/>
        <v>79460</v>
      </c>
      <c r="H2426" s="2200">
        <f>--SUBTOTAL(3,C$2:C2426)</f>
        <v>99</v>
      </c>
    </row>
    <row r="2427" spans="1:8" hidden="1" x14ac:dyDescent="0.15">
      <c r="A2427" s="2200" t="s">
        <v>10723</v>
      </c>
      <c r="B2427" s="2200" t="s">
        <v>15565</v>
      </c>
      <c r="C2427" s="2200" t="s">
        <v>15566</v>
      </c>
      <c r="D2427" s="2200" t="str">
        <f t="shared" si="148"/>
        <v>NJ</v>
      </c>
      <c r="E2427" s="2200">
        <f t="shared" si="149"/>
        <v>19</v>
      </c>
      <c r="F2427" s="2200" t="str">
        <f t="shared" si="150"/>
        <v>34</v>
      </c>
      <c r="G2427" s="2200" t="str">
        <f t="shared" si="151"/>
        <v>79610</v>
      </c>
      <c r="H2427" s="2200">
        <f>--SUBTOTAL(3,C$2:C2427)</f>
        <v>99</v>
      </c>
    </row>
    <row r="2428" spans="1:8" hidden="1" x14ac:dyDescent="0.15">
      <c r="A2428" s="2200" t="s">
        <v>10723</v>
      </c>
      <c r="B2428" s="2200" t="s">
        <v>15567</v>
      </c>
      <c r="C2428" s="2200" t="s">
        <v>15568</v>
      </c>
      <c r="D2428" s="2200" t="str">
        <f t="shared" si="148"/>
        <v>NJ</v>
      </c>
      <c r="E2428" s="2200">
        <f t="shared" si="149"/>
        <v>21</v>
      </c>
      <c r="F2428" s="2200" t="str">
        <f t="shared" si="150"/>
        <v>34</v>
      </c>
      <c r="G2428" s="2200" t="str">
        <f t="shared" si="151"/>
        <v>79800</v>
      </c>
      <c r="H2428" s="2200">
        <f>--SUBTOTAL(3,C$2:C2428)</f>
        <v>99</v>
      </c>
    </row>
    <row r="2429" spans="1:8" hidden="1" x14ac:dyDescent="0.15">
      <c r="A2429" s="2200" t="s">
        <v>10723</v>
      </c>
      <c r="B2429" s="2200" t="s">
        <v>15569</v>
      </c>
      <c r="C2429" s="2200" t="s">
        <v>15570</v>
      </c>
      <c r="D2429" s="2200" t="str">
        <f t="shared" si="148"/>
        <v>NJ</v>
      </c>
      <c r="E2429" s="2200">
        <f t="shared" si="149"/>
        <v>22</v>
      </c>
      <c r="F2429" s="2200" t="str">
        <f t="shared" si="150"/>
        <v>34</v>
      </c>
      <c r="G2429" s="2200" t="str">
        <f t="shared" si="151"/>
        <v>80240</v>
      </c>
      <c r="H2429" s="2200">
        <f>--SUBTOTAL(3,C$2:C2429)</f>
        <v>99</v>
      </c>
    </row>
    <row r="2430" spans="1:8" hidden="1" x14ac:dyDescent="0.15">
      <c r="A2430" s="2200" t="s">
        <v>10723</v>
      </c>
      <c r="B2430" s="2200" t="s">
        <v>15571</v>
      </c>
      <c r="C2430" s="2200" t="s">
        <v>15572</v>
      </c>
      <c r="D2430" s="2200" t="str">
        <f t="shared" si="148"/>
        <v>NJ</v>
      </c>
      <c r="E2430" s="2200">
        <f t="shared" si="149"/>
        <v>15</v>
      </c>
      <c r="F2430" s="2200" t="str">
        <f t="shared" si="150"/>
        <v>34</v>
      </c>
      <c r="G2430" s="2200" t="str">
        <f t="shared" si="151"/>
        <v>79040</v>
      </c>
      <c r="H2430" s="2200">
        <f>--SUBTOTAL(3,C$2:C2430)</f>
        <v>99</v>
      </c>
    </row>
    <row r="2431" spans="1:8" hidden="1" x14ac:dyDescent="0.15">
      <c r="A2431" s="2200" t="s">
        <v>10723</v>
      </c>
      <c r="B2431" s="2200" t="s">
        <v>15573</v>
      </c>
      <c r="C2431" s="2200" t="s">
        <v>15574</v>
      </c>
      <c r="D2431" s="2200" t="str">
        <f t="shared" si="148"/>
        <v>NJ</v>
      </c>
      <c r="E2431" s="2200">
        <f t="shared" si="149"/>
        <v>21</v>
      </c>
      <c r="F2431" s="2200" t="str">
        <f t="shared" si="150"/>
        <v>34</v>
      </c>
      <c r="G2431" s="2200" t="str">
        <f t="shared" si="151"/>
        <v>81440</v>
      </c>
      <c r="H2431" s="2200">
        <f>--SUBTOTAL(3,C$2:C2431)</f>
        <v>99</v>
      </c>
    </row>
    <row r="2432" spans="1:8" hidden="1" x14ac:dyDescent="0.15">
      <c r="A2432" s="2200" t="s">
        <v>10723</v>
      </c>
      <c r="B2432" s="2200" t="s">
        <v>15575</v>
      </c>
      <c r="C2432" s="2200" t="s">
        <v>15576</v>
      </c>
      <c r="D2432" s="2200" t="str">
        <f t="shared" si="148"/>
        <v>NJ</v>
      </c>
      <c r="E2432" s="2200">
        <f t="shared" si="149"/>
        <v>17</v>
      </c>
      <c r="F2432" s="2200" t="str">
        <f t="shared" si="150"/>
        <v>34</v>
      </c>
      <c r="G2432" s="2200" t="str">
        <f t="shared" si="151"/>
        <v>81740</v>
      </c>
      <c r="H2432" s="2200">
        <f>--SUBTOTAL(3,C$2:C2432)</f>
        <v>99</v>
      </c>
    </row>
    <row r="2433" spans="1:8" hidden="1" x14ac:dyDescent="0.15">
      <c r="A2433" s="2200" t="s">
        <v>10723</v>
      </c>
      <c r="B2433" s="2200" t="s">
        <v>15577</v>
      </c>
      <c r="C2433" s="2200" t="s">
        <v>15578</v>
      </c>
      <c r="D2433" s="2200" t="str">
        <f t="shared" si="148"/>
        <v>NJ</v>
      </c>
      <c r="E2433" s="2200">
        <f t="shared" si="149"/>
        <v>20</v>
      </c>
      <c r="F2433" s="2200" t="str">
        <f t="shared" si="150"/>
        <v>34</v>
      </c>
      <c r="G2433" s="2200" t="str">
        <f t="shared" si="151"/>
        <v>82000</v>
      </c>
      <c r="H2433" s="2200">
        <f>--SUBTOTAL(3,C$2:C2433)</f>
        <v>99</v>
      </c>
    </row>
    <row r="2434" spans="1:8" hidden="1" x14ac:dyDescent="0.15">
      <c r="A2434" s="2200" t="s">
        <v>10723</v>
      </c>
      <c r="B2434" s="2200" t="s">
        <v>15579</v>
      </c>
      <c r="C2434" s="2200" t="s">
        <v>15580</v>
      </c>
      <c r="D2434" s="2200" t="str">
        <f t="shared" ref="D2434:D2497" si="152">MID(C2434,E2434+2,2)</f>
        <v>NM</v>
      </c>
      <c r="E2434" s="2200">
        <f t="shared" ref="E2434:E2497" si="153">FIND(",",C2434)</f>
        <v>16</v>
      </c>
      <c r="F2434" s="2200" t="str">
        <f t="shared" si="150"/>
        <v>35</v>
      </c>
      <c r="G2434" s="2200" t="str">
        <f t="shared" si="151"/>
        <v>01780</v>
      </c>
      <c r="H2434" s="2200">
        <f>--SUBTOTAL(3,C$2:C2434)</f>
        <v>99</v>
      </c>
    </row>
    <row r="2435" spans="1:8" hidden="1" x14ac:dyDescent="0.15">
      <c r="A2435" s="2200" t="s">
        <v>10723</v>
      </c>
      <c r="B2435" s="2200" t="s">
        <v>15581</v>
      </c>
      <c r="C2435" s="2200" t="s">
        <v>15582</v>
      </c>
      <c r="D2435" s="2200" t="str">
        <f t="shared" si="152"/>
        <v>NM</v>
      </c>
      <c r="E2435" s="2200">
        <f t="shared" si="153"/>
        <v>17</v>
      </c>
      <c r="F2435" s="2200" t="str">
        <f t="shared" ref="F2435:F2498" si="154">MID(B2435,3,2)</f>
        <v>35</v>
      </c>
      <c r="G2435" s="2200" t="str">
        <f t="shared" ref="G2435:G2498" si="155">MID(B2435,5,5)</f>
        <v>02000</v>
      </c>
      <c r="H2435" s="2200">
        <f>--SUBTOTAL(3,C$2:C2435)</f>
        <v>99</v>
      </c>
    </row>
    <row r="2436" spans="1:8" hidden="1" x14ac:dyDescent="0.15">
      <c r="A2436" s="2200" t="s">
        <v>10723</v>
      </c>
      <c r="B2436" s="2200" t="s">
        <v>15583</v>
      </c>
      <c r="C2436" s="2200" t="s">
        <v>15584</v>
      </c>
      <c r="D2436" s="2200" t="str">
        <f t="shared" si="152"/>
        <v>NM</v>
      </c>
      <c r="E2436" s="2200">
        <f t="shared" si="153"/>
        <v>14</v>
      </c>
      <c r="F2436" s="2200" t="str">
        <f t="shared" si="154"/>
        <v>35</v>
      </c>
      <c r="G2436" s="2200" t="str">
        <f t="shared" si="155"/>
        <v>12150</v>
      </c>
      <c r="H2436" s="2200">
        <f>--SUBTOTAL(3,C$2:C2436)</f>
        <v>99</v>
      </c>
    </row>
    <row r="2437" spans="1:8" hidden="1" x14ac:dyDescent="0.15">
      <c r="A2437" s="2200" t="s">
        <v>10723</v>
      </c>
      <c r="B2437" s="2200" t="s">
        <v>15585</v>
      </c>
      <c r="C2437" s="2200" t="s">
        <v>15586</v>
      </c>
      <c r="D2437" s="2200" t="str">
        <f t="shared" si="152"/>
        <v>NM</v>
      </c>
      <c r="E2437" s="2200">
        <f t="shared" si="153"/>
        <v>12</v>
      </c>
      <c r="F2437" s="2200" t="str">
        <f t="shared" si="154"/>
        <v>35</v>
      </c>
      <c r="G2437" s="2200" t="str">
        <f t="shared" si="155"/>
        <v>16420</v>
      </c>
      <c r="H2437" s="2200">
        <f>--SUBTOTAL(3,C$2:C2437)</f>
        <v>99</v>
      </c>
    </row>
    <row r="2438" spans="1:8" hidden="1" x14ac:dyDescent="0.15">
      <c r="A2438" s="2200" t="s">
        <v>10723</v>
      </c>
      <c r="B2438" s="2200" t="s">
        <v>15587</v>
      </c>
      <c r="C2438" s="2200" t="s">
        <v>15588</v>
      </c>
      <c r="D2438" s="2200" t="str">
        <f t="shared" si="152"/>
        <v>NM</v>
      </c>
      <c r="E2438" s="2200">
        <f t="shared" si="153"/>
        <v>16</v>
      </c>
      <c r="F2438" s="2200" t="str">
        <f t="shared" si="154"/>
        <v>35</v>
      </c>
      <c r="G2438" s="2200" t="str">
        <f t="shared" si="155"/>
        <v>25800</v>
      </c>
      <c r="H2438" s="2200">
        <f>--SUBTOTAL(3,C$2:C2438)</f>
        <v>99</v>
      </c>
    </row>
    <row r="2439" spans="1:8" hidden="1" x14ac:dyDescent="0.15">
      <c r="A2439" s="2200" t="s">
        <v>10723</v>
      </c>
      <c r="B2439" s="2200" t="s">
        <v>15589</v>
      </c>
      <c r="C2439" s="2200" t="s">
        <v>15590</v>
      </c>
      <c r="D2439" s="2200" t="str">
        <f t="shared" si="152"/>
        <v>NM</v>
      </c>
      <c r="E2439" s="2200">
        <f t="shared" si="153"/>
        <v>11</v>
      </c>
      <c r="F2439" s="2200" t="str">
        <f t="shared" si="154"/>
        <v>35</v>
      </c>
      <c r="G2439" s="2200" t="str">
        <f t="shared" si="155"/>
        <v>32520</v>
      </c>
      <c r="H2439" s="2200">
        <f>--SUBTOTAL(3,C$2:C2439)</f>
        <v>99</v>
      </c>
    </row>
    <row r="2440" spans="1:8" hidden="1" x14ac:dyDescent="0.15">
      <c r="A2440" s="2200" t="s">
        <v>10723</v>
      </c>
      <c r="B2440" s="2200" t="s">
        <v>15591</v>
      </c>
      <c r="C2440" s="2200" t="s">
        <v>15592</v>
      </c>
      <c r="D2440" s="2200" t="str">
        <f t="shared" si="152"/>
        <v>NM</v>
      </c>
      <c r="E2440" s="2200">
        <f t="shared" si="153"/>
        <v>16</v>
      </c>
      <c r="F2440" s="2200" t="str">
        <f t="shared" si="154"/>
        <v>35</v>
      </c>
      <c r="G2440" s="2200" t="str">
        <f t="shared" si="155"/>
        <v>39380</v>
      </c>
      <c r="H2440" s="2200">
        <f>--SUBTOTAL(3,C$2:C2440)</f>
        <v>99</v>
      </c>
    </row>
    <row r="2441" spans="1:8" hidden="1" x14ac:dyDescent="0.15">
      <c r="A2441" s="2200" t="s">
        <v>10723</v>
      </c>
      <c r="B2441" s="2200" t="s">
        <v>15593</v>
      </c>
      <c r="C2441" s="2200" t="s">
        <v>15594</v>
      </c>
      <c r="D2441" s="2200" t="str">
        <f t="shared" si="152"/>
        <v>NM</v>
      </c>
      <c r="E2441" s="2200">
        <f t="shared" si="153"/>
        <v>16</v>
      </c>
      <c r="F2441" s="2200" t="str">
        <f t="shared" si="154"/>
        <v>35</v>
      </c>
      <c r="G2441" s="2200" t="str">
        <f t="shared" si="155"/>
        <v>63460</v>
      </c>
      <c r="H2441" s="2200">
        <f>--SUBTOTAL(3,C$2:C2441)</f>
        <v>99</v>
      </c>
    </row>
    <row r="2442" spans="1:8" hidden="1" x14ac:dyDescent="0.15">
      <c r="A2442" s="2200" t="s">
        <v>10723</v>
      </c>
      <c r="B2442" s="2200" t="s">
        <v>15595</v>
      </c>
      <c r="C2442" s="2200" t="s">
        <v>15596</v>
      </c>
      <c r="D2442" s="2200" t="str">
        <f t="shared" si="152"/>
        <v>NM</v>
      </c>
      <c r="E2442" s="2200">
        <f t="shared" si="153"/>
        <v>13</v>
      </c>
      <c r="F2442" s="2200" t="str">
        <f t="shared" si="154"/>
        <v>35</v>
      </c>
      <c r="G2442" s="2200" t="str">
        <f t="shared" si="155"/>
        <v>64930</v>
      </c>
      <c r="H2442" s="2200">
        <f>--SUBTOTAL(3,C$2:C2442)</f>
        <v>99</v>
      </c>
    </row>
    <row r="2443" spans="1:8" hidden="1" x14ac:dyDescent="0.15">
      <c r="A2443" s="2200" t="s">
        <v>10723</v>
      </c>
      <c r="B2443" s="2200" t="s">
        <v>15597</v>
      </c>
      <c r="C2443" s="2200" t="s">
        <v>15598</v>
      </c>
      <c r="D2443" s="2200" t="str">
        <f t="shared" si="152"/>
        <v>NM</v>
      </c>
      <c r="E2443" s="2200">
        <f t="shared" si="153"/>
        <v>14</v>
      </c>
      <c r="F2443" s="2200" t="str">
        <f t="shared" si="154"/>
        <v>35</v>
      </c>
      <c r="G2443" s="2200" t="str">
        <f t="shared" si="155"/>
        <v>70500</v>
      </c>
      <c r="H2443" s="2200">
        <f>--SUBTOTAL(3,C$2:C2443)</f>
        <v>99</v>
      </c>
    </row>
    <row r="2444" spans="1:8" hidden="1" x14ac:dyDescent="0.15">
      <c r="A2444" s="2200" t="s">
        <v>10723</v>
      </c>
      <c r="B2444" s="2200" t="s">
        <v>15599</v>
      </c>
      <c r="C2444" s="2200" t="s">
        <v>7812</v>
      </c>
      <c r="D2444" s="2200" t="str">
        <f t="shared" si="152"/>
        <v>NV</v>
      </c>
      <c r="E2444" s="2200">
        <f t="shared" si="153"/>
        <v>12</v>
      </c>
      <c r="F2444" s="2200" t="str">
        <f t="shared" si="154"/>
        <v>32</v>
      </c>
      <c r="G2444" s="2200" t="str">
        <f t="shared" si="155"/>
        <v>09700</v>
      </c>
      <c r="H2444" s="2200">
        <f>--SUBTOTAL(3,C$2:C2444)</f>
        <v>99</v>
      </c>
    </row>
    <row r="2445" spans="1:8" hidden="1" x14ac:dyDescent="0.15">
      <c r="A2445" s="2200" t="s">
        <v>10723</v>
      </c>
      <c r="B2445" s="2200" t="s">
        <v>15600</v>
      </c>
      <c r="C2445" s="2200" t="s">
        <v>15601</v>
      </c>
      <c r="D2445" s="2200" t="str">
        <f t="shared" si="152"/>
        <v>NV</v>
      </c>
      <c r="E2445" s="2200">
        <f t="shared" si="153"/>
        <v>15</v>
      </c>
      <c r="F2445" s="2200" t="str">
        <f t="shared" si="154"/>
        <v>32</v>
      </c>
      <c r="G2445" s="2200" t="str">
        <f t="shared" si="155"/>
        <v>31900</v>
      </c>
      <c r="H2445" s="2200">
        <f>--SUBTOTAL(3,C$2:C2445)</f>
        <v>99</v>
      </c>
    </row>
    <row r="2446" spans="1:8" hidden="1" x14ac:dyDescent="0.15">
      <c r="A2446" s="2200" t="s">
        <v>10723</v>
      </c>
      <c r="B2446" s="2200" t="s">
        <v>15602</v>
      </c>
      <c r="C2446" s="2200" t="s">
        <v>15603</v>
      </c>
      <c r="D2446" s="2200" t="str">
        <f t="shared" si="152"/>
        <v>NV</v>
      </c>
      <c r="E2446" s="2200">
        <f t="shared" si="153"/>
        <v>15</v>
      </c>
      <c r="F2446" s="2200" t="str">
        <f t="shared" si="154"/>
        <v>32</v>
      </c>
      <c r="G2446" s="2200" t="str">
        <f t="shared" si="155"/>
        <v>40000</v>
      </c>
      <c r="H2446" s="2200">
        <f>--SUBTOTAL(3,C$2:C2446)</f>
        <v>99</v>
      </c>
    </row>
    <row r="2447" spans="1:8" hidden="1" x14ac:dyDescent="0.15">
      <c r="A2447" s="2200" t="s">
        <v>10723</v>
      </c>
      <c r="B2447" s="2200" t="s">
        <v>15604</v>
      </c>
      <c r="C2447" s="2200" t="s">
        <v>15605</v>
      </c>
      <c r="D2447" s="2200" t="str">
        <f t="shared" si="152"/>
        <v>NV</v>
      </c>
      <c r="E2447" s="2200">
        <f t="shared" si="153"/>
        <v>21</v>
      </c>
      <c r="F2447" s="2200" t="str">
        <f t="shared" si="154"/>
        <v>32</v>
      </c>
      <c r="G2447" s="2200" t="str">
        <f t="shared" si="155"/>
        <v>51800</v>
      </c>
      <c r="H2447" s="2200">
        <f>--SUBTOTAL(3,C$2:C2447)</f>
        <v>99</v>
      </c>
    </row>
    <row r="2448" spans="1:8" hidden="1" x14ac:dyDescent="0.15">
      <c r="A2448" s="2200" t="s">
        <v>10723</v>
      </c>
      <c r="B2448" s="2200" t="s">
        <v>15606</v>
      </c>
      <c r="C2448" s="2200" t="s">
        <v>15607</v>
      </c>
      <c r="D2448" s="2200" t="str">
        <f t="shared" si="152"/>
        <v>NV</v>
      </c>
      <c r="E2448" s="2200">
        <f t="shared" si="153"/>
        <v>10</v>
      </c>
      <c r="F2448" s="2200" t="str">
        <f t="shared" si="154"/>
        <v>32</v>
      </c>
      <c r="G2448" s="2200" t="str">
        <f t="shared" si="155"/>
        <v>60600</v>
      </c>
      <c r="H2448" s="2200">
        <f>--SUBTOTAL(3,C$2:C2448)</f>
        <v>99</v>
      </c>
    </row>
    <row r="2449" spans="1:8" hidden="1" x14ac:dyDescent="0.15">
      <c r="A2449" s="2200" t="s">
        <v>10723</v>
      </c>
      <c r="B2449" s="2200" t="s">
        <v>15608</v>
      </c>
      <c r="C2449" s="2200" t="s">
        <v>15609</v>
      </c>
      <c r="D2449" s="2200" t="str">
        <f t="shared" si="152"/>
        <v>NV</v>
      </c>
      <c r="E2449" s="2200">
        <f t="shared" si="153"/>
        <v>12</v>
      </c>
      <c r="F2449" s="2200" t="str">
        <f t="shared" si="154"/>
        <v>32</v>
      </c>
      <c r="G2449" s="2200" t="str">
        <f t="shared" si="155"/>
        <v>68400</v>
      </c>
      <c r="H2449" s="2200">
        <f>--SUBTOTAL(3,C$2:C2449)</f>
        <v>99</v>
      </c>
    </row>
    <row r="2450" spans="1:8" hidden="1" x14ac:dyDescent="0.15">
      <c r="A2450" s="2200" t="s">
        <v>10723</v>
      </c>
      <c r="B2450" s="2200" t="s">
        <v>15610</v>
      </c>
      <c r="C2450" s="2200" t="s">
        <v>15611</v>
      </c>
      <c r="D2450" s="2200" t="str">
        <f t="shared" si="152"/>
        <v>NY</v>
      </c>
      <c r="E2450" s="2200">
        <f t="shared" si="153"/>
        <v>12</v>
      </c>
      <c r="F2450" s="2200" t="str">
        <f t="shared" si="154"/>
        <v>36</v>
      </c>
      <c r="G2450" s="2200" t="str">
        <f t="shared" si="155"/>
        <v>01000</v>
      </c>
      <c r="H2450" s="2200">
        <f>--SUBTOTAL(3,C$2:C2450)</f>
        <v>99</v>
      </c>
    </row>
    <row r="2451" spans="1:8" hidden="1" x14ac:dyDescent="0.15">
      <c r="A2451" s="2200" t="s">
        <v>10723</v>
      </c>
      <c r="B2451" s="2200" t="s">
        <v>15612</v>
      </c>
      <c r="C2451" s="2200" t="s">
        <v>15613</v>
      </c>
      <c r="D2451" s="2200" t="str">
        <f t="shared" si="152"/>
        <v>NY</v>
      </c>
      <c r="E2451" s="2200">
        <f t="shared" si="153"/>
        <v>13</v>
      </c>
      <c r="F2451" s="2200" t="str">
        <f t="shared" si="154"/>
        <v>36</v>
      </c>
      <c r="G2451" s="2200" t="str">
        <f t="shared" si="155"/>
        <v>02000</v>
      </c>
      <c r="H2451" s="2200">
        <f>--SUBTOTAL(3,C$2:C2451)</f>
        <v>99</v>
      </c>
    </row>
    <row r="2452" spans="1:8" hidden="1" x14ac:dyDescent="0.15">
      <c r="A2452" s="2200" t="s">
        <v>10723</v>
      </c>
      <c r="B2452" s="2200" t="s">
        <v>15614</v>
      </c>
      <c r="C2452" s="2200" t="s">
        <v>15615</v>
      </c>
      <c r="D2452" s="2200" t="str">
        <f t="shared" si="152"/>
        <v>NY</v>
      </c>
      <c r="E2452" s="2200">
        <f t="shared" si="153"/>
        <v>12</v>
      </c>
      <c r="F2452" s="2200" t="str">
        <f t="shared" si="154"/>
        <v>36</v>
      </c>
      <c r="G2452" s="2200" t="str">
        <f t="shared" si="155"/>
        <v>03078</v>
      </c>
      <c r="H2452" s="2200">
        <f>--SUBTOTAL(3,C$2:C2452)</f>
        <v>99</v>
      </c>
    </row>
    <row r="2453" spans="1:8" hidden="1" x14ac:dyDescent="0.15">
      <c r="A2453" s="2200" t="s">
        <v>10723</v>
      </c>
      <c r="B2453" s="2200" t="s">
        <v>15616</v>
      </c>
      <c r="C2453" s="2200" t="s">
        <v>15617</v>
      </c>
      <c r="D2453" s="2200" t="str">
        <f t="shared" si="152"/>
        <v>NY</v>
      </c>
      <c r="E2453" s="2200">
        <f t="shared" si="153"/>
        <v>13</v>
      </c>
      <c r="F2453" s="2200" t="str">
        <f t="shared" si="154"/>
        <v>36</v>
      </c>
      <c r="G2453" s="2200" t="str">
        <f t="shared" si="155"/>
        <v>04000</v>
      </c>
      <c r="H2453" s="2200">
        <f>--SUBTOTAL(3,C$2:C2453)</f>
        <v>99</v>
      </c>
    </row>
    <row r="2454" spans="1:8" hidden="1" x14ac:dyDescent="0.15">
      <c r="A2454" s="2200" t="s">
        <v>10723</v>
      </c>
      <c r="B2454" s="2200" t="s">
        <v>15618</v>
      </c>
      <c r="C2454" s="2200" t="s">
        <v>15619</v>
      </c>
      <c r="D2454" s="2200" t="str">
        <f t="shared" si="152"/>
        <v>NY</v>
      </c>
      <c r="E2454" s="2200">
        <f t="shared" si="153"/>
        <v>15</v>
      </c>
      <c r="F2454" s="2200" t="str">
        <f t="shared" si="154"/>
        <v>36</v>
      </c>
      <c r="G2454" s="2200" t="str">
        <f t="shared" si="155"/>
        <v>06354</v>
      </c>
      <c r="H2454" s="2200">
        <f>--SUBTOTAL(3,C$2:C2454)</f>
        <v>99</v>
      </c>
    </row>
    <row r="2455" spans="1:8" hidden="1" x14ac:dyDescent="0.15">
      <c r="A2455" s="2200" t="s">
        <v>10723</v>
      </c>
      <c r="B2455" s="2200" t="s">
        <v>15620</v>
      </c>
      <c r="C2455" s="2200" t="s">
        <v>15621</v>
      </c>
      <c r="D2455" s="2200" t="str">
        <f t="shared" si="152"/>
        <v>NY</v>
      </c>
      <c r="E2455" s="2200">
        <f t="shared" si="153"/>
        <v>16</v>
      </c>
      <c r="F2455" s="2200" t="str">
        <f t="shared" si="154"/>
        <v>36</v>
      </c>
      <c r="G2455" s="2200" t="str">
        <f t="shared" si="155"/>
        <v>06607</v>
      </c>
      <c r="H2455" s="2200">
        <f>--SUBTOTAL(3,C$2:C2455)</f>
        <v>99</v>
      </c>
    </row>
    <row r="2456" spans="1:8" hidden="1" x14ac:dyDescent="0.15">
      <c r="A2456" s="2200" t="s">
        <v>10723</v>
      </c>
      <c r="B2456" s="2200" t="s">
        <v>15622</v>
      </c>
      <c r="C2456" s="2200" t="s">
        <v>15623</v>
      </c>
      <c r="D2456" s="2200" t="str">
        <f t="shared" si="152"/>
        <v>NY</v>
      </c>
      <c r="E2456" s="2200">
        <f t="shared" si="153"/>
        <v>30</v>
      </c>
      <c r="F2456" s="2200" t="str">
        <f t="shared" si="154"/>
        <v>36</v>
      </c>
      <c r="G2456" s="2200" t="str">
        <f t="shared" si="155"/>
        <v>08246</v>
      </c>
      <c r="H2456" s="2200">
        <f>--SUBTOTAL(3,C$2:C2456)</f>
        <v>99</v>
      </c>
    </row>
    <row r="2457" spans="1:8" hidden="1" x14ac:dyDescent="0.15">
      <c r="A2457" s="2200" t="s">
        <v>10723</v>
      </c>
      <c r="B2457" s="2200" t="s">
        <v>15624</v>
      </c>
      <c r="C2457" s="2200" t="s">
        <v>15625</v>
      </c>
      <c r="D2457" s="2200" t="str">
        <f t="shared" si="152"/>
        <v>NY</v>
      </c>
      <c r="E2457" s="2200">
        <f t="shared" si="153"/>
        <v>16</v>
      </c>
      <c r="F2457" s="2200" t="str">
        <f t="shared" si="154"/>
        <v>36</v>
      </c>
      <c r="G2457" s="2200" t="str">
        <f t="shared" si="155"/>
        <v>10000</v>
      </c>
      <c r="H2457" s="2200">
        <f>--SUBTOTAL(3,C$2:C2457)</f>
        <v>99</v>
      </c>
    </row>
    <row r="2458" spans="1:8" hidden="1" x14ac:dyDescent="0.15">
      <c r="A2458" s="2200" t="s">
        <v>10723</v>
      </c>
      <c r="B2458" s="2200" t="s">
        <v>15626</v>
      </c>
      <c r="C2458" s="2200" t="s">
        <v>15627</v>
      </c>
      <c r="D2458" s="2200" t="str">
        <f t="shared" si="152"/>
        <v>NY</v>
      </c>
      <c r="E2458" s="2200">
        <f t="shared" si="153"/>
        <v>13</v>
      </c>
      <c r="F2458" s="2200" t="str">
        <f t="shared" si="154"/>
        <v>36</v>
      </c>
      <c r="G2458" s="2200" t="str">
        <f t="shared" si="155"/>
        <v>11000</v>
      </c>
      <c r="H2458" s="2200">
        <f>--SUBTOTAL(3,C$2:C2458)</f>
        <v>99</v>
      </c>
    </row>
    <row r="2459" spans="1:8" hidden="1" x14ac:dyDescent="0.15">
      <c r="A2459" s="2200" t="s">
        <v>10723</v>
      </c>
      <c r="B2459" s="2200" t="s">
        <v>15628</v>
      </c>
      <c r="C2459" s="2200" t="s">
        <v>15629</v>
      </c>
      <c r="D2459" s="2200" t="str">
        <f t="shared" si="152"/>
        <v>NY</v>
      </c>
      <c r="E2459" s="2200">
        <f t="shared" si="153"/>
        <v>12</v>
      </c>
      <c r="F2459" s="2200" t="str">
        <f t="shared" si="154"/>
        <v>36</v>
      </c>
      <c r="G2459" s="2200" t="str">
        <f t="shared" si="155"/>
        <v>12529</v>
      </c>
      <c r="H2459" s="2200">
        <f>--SUBTOTAL(3,C$2:C2459)</f>
        <v>99</v>
      </c>
    </row>
    <row r="2460" spans="1:8" hidden="1" x14ac:dyDescent="0.15">
      <c r="A2460" s="2200" t="s">
        <v>10723</v>
      </c>
      <c r="B2460" s="2200" t="s">
        <v>15630</v>
      </c>
      <c r="C2460" s="2200" t="s">
        <v>15631</v>
      </c>
      <c r="D2460" s="2200" t="str">
        <f t="shared" si="152"/>
        <v>NY</v>
      </c>
      <c r="E2460" s="2200">
        <f t="shared" si="153"/>
        <v>17</v>
      </c>
      <c r="F2460" s="2200" t="str">
        <f t="shared" si="154"/>
        <v>36</v>
      </c>
      <c r="G2460" s="2200" t="str">
        <f t="shared" si="155"/>
        <v>15011</v>
      </c>
      <c r="H2460" s="2200">
        <f>--SUBTOTAL(3,C$2:C2460)</f>
        <v>99</v>
      </c>
    </row>
    <row r="2461" spans="1:8" hidden="1" x14ac:dyDescent="0.15">
      <c r="A2461" s="2200" t="s">
        <v>10723</v>
      </c>
      <c r="B2461" s="2200" t="s">
        <v>15632</v>
      </c>
      <c r="C2461" s="2200" t="s">
        <v>15633</v>
      </c>
      <c r="D2461" s="2200" t="str">
        <f t="shared" si="152"/>
        <v>NY</v>
      </c>
      <c r="E2461" s="2200">
        <f t="shared" si="153"/>
        <v>11</v>
      </c>
      <c r="F2461" s="2200" t="str">
        <f t="shared" si="154"/>
        <v>36</v>
      </c>
      <c r="G2461" s="2200" t="str">
        <f t="shared" si="155"/>
        <v>15462</v>
      </c>
      <c r="H2461" s="2200">
        <f>--SUBTOTAL(3,C$2:C2461)</f>
        <v>99</v>
      </c>
    </row>
    <row r="2462" spans="1:8" hidden="1" x14ac:dyDescent="0.15">
      <c r="A2462" s="2200" t="s">
        <v>10723</v>
      </c>
      <c r="B2462" s="2200" t="s">
        <v>15634</v>
      </c>
      <c r="C2462" s="2200" t="s">
        <v>15635</v>
      </c>
      <c r="D2462" s="2200" t="str">
        <f t="shared" si="152"/>
        <v>NY</v>
      </c>
      <c r="E2462" s="2200">
        <f t="shared" si="153"/>
        <v>12</v>
      </c>
      <c r="F2462" s="2200" t="str">
        <f t="shared" si="154"/>
        <v>36</v>
      </c>
      <c r="G2462" s="2200" t="str">
        <f t="shared" si="155"/>
        <v>15704</v>
      </c>
      <c r="H2462" s="2200">
        <f>--SUBTOTAL(3,C$2:C2462)</f>
        <v>99</v>
      </c>
    </row>
    <row r="2463" spans="1:8" hidden="1" x14ac:dyDescent="0.15">
      <c r="A2463" s="2200" t="s">
        <v>10723</v>
      </c>
      <c r="B2463" s="2200" t="s">
        <v>15636</v>
      </c>
      <c r="C2463" s="2200" t="s">
        <v>15637</v>
      </c>
      <c r="D2463" s="2200" t="str">
        <f t="shared" si="152"/>
        <v>NY</v>
      </c>
      <c r="E2463" s="2200">
        <f t="shared" si="153"/>
        <v>14</v>
      </c>
      <c r="F2463" s="2200" t="str">
        <f t="shared" si="154"/>
        <v>36</v>
      </c>
      <c r="G2463" s="2200" t="str">
        <f t="shared" si="155"/>
        <v>15825</v>
      </c>
      <c r="H2463" s="2200">
        <f>--SUBTOTAL(3,C$2:C2463)</f>
        <v>99</v>
      </c>
    </row>
    <row r="2464" spans="1:8" hidden="1" x14ac:dyDescent="0.15">
      <c r="A2464" s="2200" t="s">
        <v>10723</v>
      </c>
      <c r="B2464" s="2200" t="s">
        <v>15638</v>
      </c>
      <c r="C2464" s="2200" t="s">
        <v>15639</v>
      </c>
      <c r="D2464" s="2200" t="str">
        <f t="shared" si="152"/>
        <v>NY</v>
      </c>
      <c r="E2464" s="2200">
        <f t="shared" si="153"/>
        <v>16</v>
      </c>
      <c r="F2464" s="2200" t="str">
        <f t="shared" si="154"/>
        <v>36</v>
      </c>
      <c r="G2464" s="2200" t="str">
        <f t="shared" si="155"/>
        <v>15968</v>
      </c>
      <c r="H2464" s="2200">
        <f>--SUBTOTAL(3,C$2:C2464)</f>
        <v>99</v>
      </c>
    </row>
    <row r="2465" spans="1:8" hidden="1" x14ac:dyDescent="0.15">
      <c r="A2465" s="2200" t="s">
        <v>10723</v>
      </c>
      <c r="B2465" s="2200" t="s">
        <v>15640</v>
      </c>
      <c r="C2465" s="2200" t="s">
        <v>15641</v>
      </c>
      <c r="D2465" s="2200" t="str">
        <f t="shared" si="152"/>
        <v>NY</v>
      </c>
      <c r="E2465" s="2200">
        <f t="shared" si="153"/>
        <v>10</v>
      </c>
      <c r="F2465" s="2200" t="str">
        <f t="shared" si="154"/>
        <v>36</v>
      </c>
      <c r="G2465" s="2200" t="str">
        <f t="shared" si="155"/>
        <v>16067</v>
      </c>
      <c r="H2465" s="2200">
        <f>--SUBTOTAL(3,C$2:C2465)</f>
        <v>99</v>
      </c>
    </row>
    <row r="2466" spans="1:8" hidden="1" x14ac:dyDescent="0.15">
      <c r="A2466" s="2200" t="s">
        <v>10723</v>
      </c>
      <c r="B2466" s="2200" t="s">
        <v>15642</v>
      </c>
      <c r="C2466" s="2200" t="s">
        <v>15643</v>
      </c>
      <c r="D2466" s="2200" t="str">
        <f t="shared" si="152"/>
        <v>NY</v>
      </c>
      <c r="E2466" s="2200">
        <f t="shared" si="153"/>
        <v>18</v>
      </c>
      <c r="F2466" s="2200" t="str">
        <f t="shared" si="154"/>
        <v>36</v>
      </c>
      <c r="G2466" s="2200" t="str">
        <f t="shared" si="155"/>
        <v>16353</v>
      </c>
      <c r="H2466" s="2200">
        <f>--SUBTOTAL(3,C$2:C2466)</f>
        <v>99</v>
      </c>
    </row>
    <row r="2467" spans="1:8" hidden="1" x14ac:dyDescent="0.15">
      <c r="A2467" s="2200" t="s">
        <v>10723</v>
      </c>
      <c r="B2467" s="2200" t="s">
        <v>15644</v>
      </c>
      <c r="C2467" s="2200" t="s">
        <v>15645</v>
      </c>
      <c r="D2467" s="2200" t="str">
        <f t="shared" si="152"/>
        <v>NY</v>
      </c>
      <c r="E2467" s="2200">
        <f t="shared" si="153"/>
        <v>13</v>
      </c>
      <c r="F2467" s="2200" t="str">
        <f t="shared" si="154"/>
        <v>36</v>
      </c>
      <c r="G2467" s="2200" t="str">
        <f t="shared" si="155"/>
        <v>17343</v>
      </c>
      <c r="H2467" s="2200">
        <f>--SUBTOTAL(3,C$2:C2467)</f>
        <v>99</v>
      </c>
    </row>
    <row r="2468" spans="1:8" hidden="1" x14ac:dyDescent="0.15">
      <c r="A2468" s="2200" t="s">
        <v>10723</v>
      </c>
      <c r="B2468" s="2200" t="s">
        <v>15646</v>
      </c>
      <c r="C2468" s="2200" t="s">
        <v>15647</v>
      </c>
      <c r="D2468" s="2200" t="str">
        <f t="shared" si="152"/>
        <v>NY</v>
      </c>
      <c r="E2468" s="2200">
        <f t="shared" si="153"/>
        <v>15</v>
      </c>
      <c r="F2468" s="2200" t="str">
        <f t="shared" si="154"/>
        <v>36</v>
      </c>
      <c r="G2468" s="2200" t="str">
        <f t="shared" si="155"/>
        <v>18410</v>
      </c>
      <c r="H2468" s="2200">
        <f>--SUBTOTAL(3,C$2:C2468)</f>
        <v>99</v>
      </c>
    </row>
    <row r="2469" spans="1:8" hidden="1" x14ac:dyDescent="0.15">
      <c r="A2469" s="2200" t="s">
        <v>10723</v>
      </c>
      <c r="B2469" s="2200" t="s">
        <v>15648</v>
      </c>
      <c r="C2469" s="2200" t="s">
        <v>15649</v>
      </c>
      <c r="D2469" s="2200" t="str">
        <f t="shared" si="152"/>
        <v>NY</v>
      </c>
      <c r="E2469" s="2200">
        <f t="shared" si="153"/>
        <v>13</v>
      </c>
      <c r="F2469" s="2200" t="str">
        <f t="shared" si="154"/>
        <v>36</v>
      </c>
      <c r="G2469" s="2200" t="str">
        <f t="shared" si="155"/>
        <v>20478</v>
      </c>
      <c r="H2469" s="2200">
        <f>--SUBTOTAL(3,C$2:C2469)</f>
        <v>99</v>
      </c>
    </row>
    <row r="2470" spans="1:8" hidden="1" x14ac:dyDescent="0.15">
      <c r="A2470" s="2200" t="s">
        <v>10723</v>
      </c>
      <c r="B2470" s="2200" t="s">
        <v>15650</v>
      </c>
      <c r="C2470" s="2200" t="s">
        <v>15651</v>
      </c>
      <c r="D2470" s="2200" t="str">
        <f t="shared" si="152"/>
        <v>NY</v>
      </c>
      <c r="E2470" s="2200">
        <f t="shared" si="153"/>
        <v>19</v>
      </c>
      <c r="F2470" s="2200" t="str">
        <f t="shared" si="154"/>
        <v>36</v>
      </c>
      <c r="G2470" s="2200" t="str">
        <f t="shared" si="155"/>
        <v>21996</v>
      </c>
      <c r="H2470" s="2200">
        <f>--SUBTOTAL(3,C$2:C2470)</f>
        <v>99</v>
      </c>
    </row>
    <row r="2471" spans="1:8" hidden="1" x14ac:dyDescent="0.15">
      <c r="A2471" s="2200" t="s">
        <v>10723</v>
      </c>
      <c r="B2471" s="2200" t="s">
        <v>15652</v>
      </c>
      <c r="C2471" s="2200" t="s">
        <v>15653</v>
      </c>
      <c r="D2471" s="2200" t="str">
        <f t="shared" si="152"/>
        <v>NY</v>
      </c>
      <c r="E2471" s="2200">
        <f t="shared" si="153"/>
        <v>17</v>
      </c>
      <c r="F2471" s="2200" t="str">
        <f t="shared" si="154"/>
        <v>36</v>
      </c>
      <c r="G2471" s="2200" t="str">
        <f t="shared" si="155"/>
        <v>21820</v>
      </c>
      <c r="H2471" s="2200">
        <f>--SUBTOTAL(3,C$2:C2471)</f>
        <v>99</v>
      </c>
    </row>
    <row r="2472" spans="1:8" hidden="1" x14ac:dyDescent="0.15">
      <c r="A2472" s="2200" t="s">
        <v>10723</v>
      </c>
      <c r="B2472" s="2200" t="s">
        <v>15654</v>
      </c>
      <c r="C2472" s="2200" t="s">
        <v>15655</v>
      </c>
      <c r="D2472" s="2200" t="str">
        <f t="shared" si="152"/>
        <v>NY</v>
      </c>
      <c r="E2472" s="2200">
        <f t="shared" si="153"/>
        <v>12</v>
      </c>
      <c r="F2472" s="2200" t="str">
        <f t="shared" si="154"/>
        <v>36</v>
      </c>
      <c r="G2472" s="2200" t="str">
        <f t="shared" si="155"/>
        <v>24229</v>
      </c>
      <c r="H2472" s="2200">
        <f>--SUBTOTAL(3,C$2:C2472)</f>
        <v>99</v>
      </c>
    </row>
    <row r="2473" spans="1:8" hidden="1" x14ac:dyDescent="0.15">
      <c r="A2473" s="2200" t="s">
        <v>10723</v>
      </c>
      <c r="B2473" s="2200" t="s">
        <v>15656</v>
      </c>
      <c r="C2473" s="2200" t="s">
        <v>15657</v>
      </c>
      <c r="D2473" s="2200" t="str">
        <f t="shared" si="152"/>
        <v>NY</v>
      </c>
      <c r="E2473" s="2200">
        <f t="shared" si="153"/>
        <v>17</v>
      </c>
      <c r="F2473" s="2200" t="str">
        <f t="shared" si="154"/>
        <v>36</v>
      </c>
      <c r="G2473" s="2200" t="str">
        <f t="shared" si="155"/>
        <v>27485</v>
      </c>
      <c r="H2473" s="2200">
        <f>--SUBTOTAL(3,C$2:C2473)</f>
        <v>99</v>
      </c>
    </row>
    <row r="2474" spans="1:8" hidden="1" x14ac:dyDescent="0.15">
      <c r="A2474" s="2200" t="s">
        <v>10723</v>
      </c>
      <c r="B2474" s="2200" t="s">
        <v>15658</v>
      </c>
      <c r="C2474" s="2200" t="s">
        <v>15659</v>
      </c>
      <c r="D2474" s="2200" t="str">
        <f t="shared" si="152"/>
        <v>NY</v>
      </c>
      <c r="E2474" s="2200">
        <f t="shared" si="153"/>
        <v>11</v>
      </c>
      <c r="F2474" s="2200" t="str">
        <f t="shared" si="154"/>
        <v>36</v>
      </c>
      <c r="G2474" s="2200" t="str">
        <f t="shared" si="155"/>
        <v>28442</v>
      </c>
      <c r="H2474" s="2200">
        <f>--SUBTOTAL(3,C$2:C2474)</f>
        <v>99</v>
      </c>
    </row>
    <row r="2475" spans="1:8" hidden="1" x14ac:dyDescent="0.15">
      <c r="A2475" s="2200" t="s">
        <v>10723</v>
      </c>
      <c r="B2475" s="2200" t="s">
        <v>15660</v>
      </c>
      <c r="C2475" s="2200" t="s">
        <v>15661</v>
      </c>
      <c r="D2475" s="2200" t="str">
        <f t="shared" si="152"/>
        <v>NY</v>
      </c>
      <c r="E2475" s="2200">
        <f t="shared" si="153"/>
        <v>15</v>
      </c>
      <c r="F2475" s="2200" t="str">
        <f t="shared" si="154"/>
        <v>36</v>
      </c>
      <c r="G2475" s="2200" t="str">
        <f t="shared" si="155"/>
        <v>29113</v>
      </c>
      <c r="H2475" s="2200">
        <f>--SUBTOTAL(3,C$2:C2475)</f>
        <v>99</v>
      </c>
    </row>
    <row r="2476" spans="1:8" hidden="1" x14ac:dyDescent="0.15">
      <c r="A2476" s="2200" t="s">
        <v>10723</v>
      </c>
      <c r="B2476" s="2200" t="s">
        <v>15662</v>
      </c>
      <c r="C2476" s="2200" t="s">
        <v>15663</v>
      </c>
      <c r="D2476" s="2200" t="str">
        <f t="shared" si="152"/>
        <v>NY</v>
      </c>
      <c r="E2476" s="2200">
        <f t="shared" si="153"/>
        <v>15</v>
      </c>
      <c r="F2476" s="2200" t="str">
        <f t="shared" si="154"/>
        <v>36</v>
      </c>
      <c r="G2476" s="2200" t="str">
        <f t="shared" si="155"/>
        <v>29366</v>
      </c>
      <c r="H2476" s="2200">
        <f>--SUBTOTAL(3,C$2:C2476)</f>
        <v>99</v>
      </c>
    </row>
    <row r="2477" spans="1:8" hidden="1" x14ac:dyDescent="0.15">
      <c r="A2477" s="2200" t="s">
        <v>10723</v>
      </c>
      <c r="B2477" s="2200" t="s">
        <v>15664</v>
      </c>
      <c r="C2477" s="2200" t="s">
        <v>15665</v>
      </c>
      <c r="D2477" s="2200" t="str">
        <f t="shared" si="152"/>
        <v>NY</v>
      </c>
      <c r="E2477" s="2200">
        <f t="shared" si="153"/>
        <v>12</v>
      </c>
      <c r="F2477" s="2200" t="str">
        <f t="shared" si="154"/>
        <v>36</v>
      </c>
      <c r="G2477" s="2200" t="str">
        <f t="shared" si="155"/>
        <v>30290</v>
      </c>
      <c r="H2477" s="2200">
        <f>--SUBTOTAL(3,C$2:C2477)</f>
        <v>99</v>
      </c>
    </row>
    <row r="2478" spans="1:8" hidden="1" x14ac:dyDescent="0.15">
      <c r="A2478" s="2200" t="s">
        <v>10723</v>
      </c>
      <c r="B2478" s="2200" t="s">
        <v>15666</v>
      </c>
      <c r="C2478" s="2200" t="s">
        <v>15667</v>
      </c>
      <c r="D2478" s="2200" t="str">
        <f t="shared" si="152"/>
        <v>NY</v>
      </c>
      <c r="E2478" s="2200">
        <f t="shared" si="153"/>
        <v>16</v>
      </c>
      <c r="F2478" s="2200" t="str">
        <f t="shared" si="154"/>
        <v>36</v>
      </c>
      <c r="G2478" s="2200" t="str">
        <f t="shared" si="155"/>
        <v>30367</v>
      </c>
      <c r="H2478" s="2200">
        <f>--SUBTOTAL(3,C$2:C2478)</f>
        <v>99</v>
      </c>
    </row>
    <row r="2479" spans="1:8" hidden="1" x14ac:dyDescent="0.15">
      <c r="A2479" s="2200" t="s">
        <v>10723</v>
      </c>
      <c r="B2479" s="2200" t="s">
        <v>15668</v>
      </c>
      <c r="C2479" s="2200" t="s">
        <v>15669</v>
      </c>
      <c r="D2479" s="2200" t="str">
        <f t="shared" si="152"/>
        <v>NY</v>
      </c>
      <c r="E2479" s="2200">
        <f t="shared" si="153"/>
        <v>17</v>
      </c>
      <c r="F2479" s="2200" t="str">
        <f t="shared" si="154"/>
        <v>36</v>
      </c>
      <c r="G2479" s="2200" t="str">
        <f t="shared" si="155"/>
        <v>31104</v>
      </c>
      <c r="H2479" s="2200">
        <f>--SUBTOTAL(3,C$2:C2479)</f>
        <v>99</v>
      </c>
    </row>
    <row r="2480" spans="1:8" hidden="1" x14ac:dyDescent="0.15">
      <c r="A2480" s="2200" t="s">
        <v>10723</v>
      </c>
      <c r="B2480" s="2200" t="s">
        <v>15670</v>
      </c>
      <c r="C2480" s="2200" t="s">
        <v>15671</v>
      </c>
      <c r="D2480" s="2200" t="str">
        <f t="shared" si="152"/>
        <v>NY</v>
      </c>
      <c r="E2480" s="2200">
        <f t="shared" si="153"/>
        <v>13</v>
      </c>
      <c r="F2480" s="2200" t="str">
        <f t="shared" si="154"/>
        <v>36</v>
      </c>
      <c r="G2480" s="2200" t="str">
        <f t="shared" si="155"/>
        <v>31654</v>
      </c>
      <c r="H2480" s="2200">
        <f>--SUBTOTAL(3,C$2:C2480)</f>
        <v>99</v>
      </c>
    </row>
    <row r="2481" spans="1:8" hidden="1" x14ac:dyDescent="0.15">
      <c r="A2481" s="2200" t="s">
        <v>10723</v>
      </c>
      <c r="B2481" s="2200" t="s">
        <v>15672</v>
      </c>
      <c r="C2481" s="2200" t="s">
        <v>15673</v>
      </c>
      <c r="D2481" s="2200" t="str">
        <f t="shared" si="152"/>
        <v>NY</v>
      </c>
      <c r="E2481" s="2200">
        <f t="shared" si="153"/>
        <v>22</v>
      </c>
      <c r="F2481" s="2200" t="str">
        <f t="shared" si="154"/>
        <v>36</v>
      </c>
      <c r="G2481" s="2200" t="str">
        <f t="shared" si="155"/>
        <v>32402</v>
      </c>
      <c r="H2481" s="2200">
        <f>--SUBTOTAL(3,C$2:C2481)</f>
        <v>99</v>
      </c>
    </row>
    <row r="2482" spans="1:8" hidden="1" x14ac:dyDescent="0.15">
      <c r="A2482" s="2200" t="s">
        <v>10723</v>
      </c>
      <c r="B2482" s="2200" t="s">
        <v>15674</v>
      </c>
      <c r="C2482" s="2200" t="s">
        <v>15675</v>
      </c>
      <c r="D2482" s="2200" t="str">
        <f t="shared" si="152"/>
        <v>NY</v>
      </c>
      <c r="E2482" s="2200">
        <f t="shared" si="153"/>
        <v>16</v>
      </c>
      <c r="F2482" s="2200" t="str">
        <f t="shared" si="154"/>
        <v>36</v>
      </c>
      <c r="G2482" s="2200" t="str">
        <f t="shared" si="155"/>
        <v>32765</v>
      </c>
      <c r="H2482" s="2200">
        <f>--SUBTOTAL(3,C$2:C2482)</f>
        <v>99</v>
      </c>
    </row>
    <row r="2483" spans="1:8" hidden="1" x14ac:dyDescent="0.15">
      <c r="A2483" s="2200" t="s">
        <v>10723</v>
      </c>
      <c r="B2483" s="2200" t="s">
        <v>15676</v>
      </c>
      <c r="C2483" s="2200" t="s">
        <v>15677</v>
      </c>
      <c r="D2483" s="2200" t="str">
        <f t="shared" si="152"/>
        <v>NY</v>
      </c>
      <c r="E2483" s="2200">
        <f t="shared" si="153"/>
        <v>15</v>
      </c>
      <c r="F2483" s="2200" t="str">
        <f t="shared" si="154"/>
        <v>36</v>
      </c>
      <c r="G2483" s="2200" t="str">
        <f t="shared" si="155"/>
        <v>34000</v>
      </c>
      <c r="H2483" s="2200">
        <f>--SUBTOTAL(3,C$2:C2483)</f>
        <v>99</v>
      </c>
    </row>
    <row r="2484" spans="1:8" hidden="1" x14ac:dyDescent="0.15">
      <c r="A2484" s="2200" t="s">
        <v>10723</v>
      </c>
      <c r="B2484" s="2200" t="s">
        <v>15678</v>
      </c>
      <c r="C2484" s="2200" t="s">
        <v>15679</v>
      </c>
      <c r="D2484" s="2200" t="str">
        <f t="shared" si="152"/>
        <v>NY</v>
      </c>
      <c r="E2484" s="2200">
        <f t="shared" si="153"/>
        <v>18</v>
      </c>
      <c r="F2484" s="2200" t="str">
        <f t="shared" si="154"/>
        <v>36</v>
      </c>
      <c r="G2484" s="2200" t="str">
        <f t="shared" si="155"/>
        <v>33139</v>
      </c>
      <c r="H2484" s="2200">
        <f>--SUBTOTAL(3,C$2:C2484)</f>
        <v>99</v>
      </c>
    </row>
    <row r="2485" spans="1:8" hidden="1" x14ac:dyDescent="0.15">
      <c r="A2485" s="2200" t="s">
        <v>10723</v>
      </c>
      <c r="B2485" s="2200" t="s">
        <v>15680</v>
      </c>
      <c r="C2485" s="2200" t="s">
        <v>15681</v>
      </c>
      <c r="D2485" s="2200" t="str">
        <f t="shared" si="152"/>
        <v>NY</v>
      </c>
      <c r="E2485" s="2200">
        <f t="shared" si="153"/>
        <v>15</v>
      </c>
      <c r="F2485" s="2200" t="str">
        <f t="shared" si="154"/>
        <v>36</v>
      </c>
      <c r="G2485" s="2200" t="str">
        <f t="shared" si="155"/>
        <v>34099</v>
      </c>
      <c r="H2485" s="2200">
        <f>--SUBTOTAL(3,C$2:C2485)</f>
        <v>99</v>
      </c>
    </row>
    <row r="2486" spans="1:8" hidden="1" x14ac:dyDescent="0.15">
      <c r="A2486" s="2200" t="s">
        <v>10723</v>
      </c>
      <c r="B2486" s="2200" t="s">
        <v>15682</v>
      </c>
      <c r="C2486" s="2200" t="s">
        <v>15683</v>
      </c>
      <c r="D2486" s="2200" t="str">
        <f t="shared" si="152"/>
        <v>NY</v>
      </c>
      <c r="E2486" s="2200">
        <f t="shared" si="153"/>
        <v>16</v>
      </c>
      <c r="F2486" s="2200" t="str">
        <f t="shared" si="154"/>
        <v>36</v>
      </c>
      <c r="G2486" s="2200" t="str">
        <f t="shared" si="155"/>
        <v>37000</v>
      </c>
      <c r="H2486" s="2200">
        <f>--SUBTOTAL(3,C$2:C2486)</f>
        <v>99</v>
      </c>
    </row>
    <row r="2487" spans="1:8" hidden="1" x14ac:dyDescent="0.15">
      <c r="A2487" s="2200" t="s">
        <v>10723</v>
      </c>
      <c r="B2487" s="2200" t="s">
        <v>15684</v>
      </c>
      <c r="C2487" s="2200" t="s">
        <v>15685</v>
      </c>
      <c r="D2487" s="2200" t="str">
        <f t="shared" si="152"/>
        <v>NY</v>
      </c>
      <c r="E2487" s="2200">
        <f t="shared" si="153"/>
        <v>17</v>
      </c>
      <c r="F2487" s="2200" t="str">
        <f t="shared" si="154"/>
        <v>36</v>
      </c>
      <c r="G2487" s="2200" t="str">
        <f t="shared" si="155"/>
        <v>37726</v>
      </c>
      <c r="H2487" s="2200">
        <f>--SUBTOTAL(3,C$2:C2487)</f>
        <v>99</v>
      </c>
    </row>
    <row r="2488" spans="1:8" hidden="1" x14ac:dyDescent="0.15">
      <c r="A2488" s="2200" t="s">
        <v>10723</v>
      </c>
      <c r="B2488" s="2200" t="s">
        <v>15686</v>
      </c>
      <c r="C2488" s="2200" t="s">
        <v>15687</v>
      </c>
      <c r="D2488" s="2200" t="str">
        <f t="shared" si="152"/>
        <v>NY</v>
      </c>
      <c r="E2488" s="2200">
        <f t="shared" si="153"/>
        <v>11</v>
      </c>
      <c r="F2488" s="2200" t="str">
        <f t="shared" si="154"/>
        <v>36</v>
      </c>
      <c r="G2488" s="2200" t="str">
        <f t="shared" si="155"/>
        <v>38000</v>
      </c>
      <c r="H2488" s="2200">
        <f>--SUBTOTAL(3,C$2:C2488)</f>
        <v>99</v>
      </c>
    </row>
    <row r="2489" spans="1:8" hidden="1" x14ac:dyDescent="0.15">
      <c r="A2489" s="2200" t="s">
        <v>10723</v>
      </c>
      <c r="B2489" s="2200" t="s">
        <v>15688</v>
      </c>
      <c r="C2489" s="2200" t="s">
        <v>15689</v>
      </c>
      <c r="D2489" s="2200" t="str">
        <f t="shared" si="152"/>
        <v>NY</v>
      </c>
      <c r="E2489" s="2200">
        <f t="shared" si="153"/>
        <v>12</v>
      </c>
      <c r="F2489" s="2200" t="str">
        <f t="shared" si="154"/>
        <v>36</v>
      </c>
      <c r="G2489" s="2200" t="str">
        <f t="shared" si="155"/>
        <v>38077</v>
      </c>
      <c r="H2489" s="2200">
        <f>--SUBTOTAL(3,C$2:C2489)</f>
        <v>99</v>
      </c>
    </row>
    <row r="2490" spans="1:8" hidden="1" x14ac:dyDescent="0.15">
      <c r="A2490" s="2200" t="s">
        <v>10723</v>
      </c>
      <c r="B2490" s="2200" t="s">
        <v>15690</v>
      </c>
      <c r="C2490" s="2200" t="s">
        <v>15691</v>
      </c>
      <c r="D2490" s="2200" t="str">
        <f t="shared" si="152"/>
        <v>NY</v>
      </c>
      <c r="E2490" s="2200">
        <f t="shared" si="153"/>
        <v>15</v>
      </c>
      <c r="F2490" s="2200" t="str">
        <f t="shared" si="154"/>
        <v>36</v>
      </c>
      <c r="G2490" s="2200" t="str">
        <f t="shared" si="155"/>
        <v>38264</v>
      </c>
      <c r="H2490" s="2200">
        <f>--SUBTOTAL(3,C$2:C2490)</f>
        <v>99</v>
      </c>
    </row>
    <row r="2491" spans="1:8" hidden="1" x14ac:dyDescent="0.15">
      <c r="A2491" s="2200" t="s">
        <v>10723</v>
      </c>
      <c r="B2491" s="2200" t="s">
        <v>15692</v>
      </c>
      <c r="C2491" s="2200" t="s">
        <v>15693</v>
      </c>
      <c r="D2491" s="2200" t="str">
        <f t="shared" si="152"/>
        <v>NY</v>
      </c>
      <c r="E2491" s="2200">
        <f t="shared" si="153"/>
        <v>20</v>
      </c>
      <c r="F2491" s="2200" t="str">
        <f t="shared" si="154"/>
        <v>36</v>
      </c>
      <c r="G2491" s="2200" t="str">
        <f t="shared" si="155"/>
        <v>39853</v>
      </c>
      <c r="H2491" s="2200">
        <f>--SUBTOTAL(3,C$2:C2491)</f>
        <v>99</v>
      </c>
    </row>
    <row r="2492" spans="1:8" hidden="1" x14ac:dyDescent="0.15">
      <c r="A2492" s="2200" t="s">
        <v>10723</v>
      </c>
      <c r="B2492" s="2200" t="s">
        <v>15694</v>
      </c>
      <c r="C2492" s="2200" t="s">
        <v>15695</v>
      </c>
      <c r="D2492" s="2200" t="str">
        <f t="shared" si="152"/>
        <v>NY</v>
      </c>
      <c r="E2492" s="2200">
        <f t="shared" si="153"/>
        <v>15</v>
      </c>
      <c r="F2492" s="2200" t="str">
        <f t="shared" si="154"/>
        <v>36</v>
      </c>
      <c r="G2492" s="2200" t="str">
        <f t="shared" si="155"/>
        <v>41146</v>
      </c>
      <c r="H2492" s="2200">
        <f>--SUBTOTAL(3,C$2:C2492)</f>
        <v>99</v>
      </c>
    </row>
    <row r="2493" spans="1:8" hidden="1" x14ac:dyDescent="0.15">
      <c r="A2493" s="2200" t="s">
        <v>10723</v>
      </c>
      <c r="B2493" s="2200" t="s">
        <v>15696</v>
      </c>
      <c r="C2493" s="2200" t="s">
        <v>15697</v>
      </c>
      <c r="D2493" s="2200" t="str">
        <f t="shared" si="152"/>
        <v>NY</v>
      </c>
      <c r="E2493" s="2200">
        <f t="shared" si="153"/>
        <v>20</v>
      </c>
      <c r="F2493" s="2200" t="str">
        <f t="shared" si="154"/>
        <v>36</v>
      </c>
      <c r="G2493" s="2200" t="str">
        <f t="shared" si="155"/>
        <v>42554</v>
      </c>
      <c r="H2493" s="2200">
        <f>--SUBTOTAL(3,C$2:C2493)</f>
        <v>99</v>
      </c>
    </row>
    <row r="2494" spans="1:8" hidden="1" x14ac:dyDescent="0.15">
      <c r="A2494" s="2200" t="s">
        <v>10723</v>
      </c>
      <c r="B2494" s="2200" t="s">
        <v>15698</v>
      </c>
      <c r="C2494" s="2200" t="s">
        <v>15699</v>
      </c>
      <c r="D2494" s="2200" t="str">
        <f t="shared" si="152"/>
        <v>NY</v>
      </c>
      <c r="E2494" s="2200">
        <f t="shared" si="153"/>
        <v>14</v>
      </c>
      <c r="F2494" s="2200" t="str">
        <f t="shared" si="154"/>
        <v>36</v>
      </c>
      <c r="G2494" s="2200" t="str">
        <f t="shared" si="155"/>
        <v>43082</v>
      </c>
      <c r="H2494" s="2200">
        <f>--SUBTOTAL(3,C$2:C2494)</f>
        <v>99</v>
      </c>
    </row>
    <row r="2495" spans="1:8" hidden="1" x14ac:dyDescent="0.15">
      <c r="A2495" s="2200" t="s">
        <v>10723</v>
      </c>
      <c r="B2495" s="2200" t="s">
        <v>15700</v>
      </c>
      <c r="C2495" s="2200" t="s">
        <v>15701</v>
      </c>
      <c r="D2495" s="2200" t="str">
        <f t="shared" si="152"/>
        <v>NY</v>
      </c>
      <c r="E2495" s="2200">
        <f t="shared" si="153"/>
        <v>16</v>
      </c>
      <c r="F2495" s="2200" t="str">
        <f t="shared" si="154"/>
        <v>36</v>
      </c>
      <c r="G2495" s="2200" t="str">
        <f t="shared" si="155"/>
        <v>43335</v>
      </c>
      <c r="H2495" s="2200">
        <f>--SUBTOTAL(3,C$2:C2495)</f>
        <v>99</v>
      </c>
    </row>
    <row r="2496" spans="1:8" hidden="1" x14ac:dyDescent="0.15">
      <c r="A2496" s="2200" t="s">
        <v>10723</v>
      </c>
      <c r="B2496" s="2200" t="s">
        <v>15702</v>
      </c>
      <c r="C2496" s="2200" t="s">
        <v>15703</v>
      </c>
      <c r="D2496" s="2200" t="str">
        <f t="shared" si="152"/>
        <v>NY</v>
      </c>
      <c r="E2496" s="2200">
        <f t="shared" si="153"/>
        <v>16</v>
      </c>
      <c r="F2496" s="2200" t="str">
        <f t="shared" si="154"/>
        <v>36</v>
      </c>
      <c r="G2496" s="2200" t="str">
        <f t="shared" si="155"/>
        <v>44842</v>
      </c>
      <c r="H2496" s="2200">
        <f>--SUBTOTAL(3,C$2:C2496)</f>
        <v>99</v>
      </c>
    </row>
    <row r="2497" spans="1:8" hidden="1" x14ac:dyDescent="0.15">
      <c r="A2497" s="2200" t="s">
        <v>10723</v>
      </c>
      <c r="B2497" s="2200" t="s">
        <v>15704</v>
      </c>
      <c r="C2497" s="2200" t="s">
        <v>15705</v>
      </c>
      <c r="D2497" s="2200" t="str">
        <f t="shared" si="152"/>
        <v>NY</v>
      </c>
      <c r="E2497" s="2200">
        <f t="shared" si="153"/>
        <v>13</v>
      </c>
      <c r="F2497" s="2200" t="str">
        <f t="shared" si="154"/>
        <v>36</v>
      </c>
      <c r="G2497" s="2200" t="str">
        <f t="shared" si="155"/>
        <v>45029</v>
      </c>
      <c r="H2497" s="2200">
        <f>--SUBTOTAL(3,C$2:C2497)</f>
        <v>99</v>
      </c>
    </row>
    <row r="2498" spans="1:8" hidden="1" x14ac:dyDescent="0.15">
      <c r="A2498" s="2200" t="s">
        <v>10723</v>
      </c>
      <c r="B2498" s="2200" t="s">
        <v>15706</v>
      </c>
      <c r="C2498" s="2200" t="s">
        <v>15707</v>
      </c>
      <c r="D2498" s="2200" t="str">
        <f t="shared" ref="D2498:D2561" si="156">MID(C2498,E2498+2,2)</f>
        <v>NY</v>
      </c>
      <c r="E2498" s="2200">
        <f t="shared" ref="E2498:E2561" si="157">FIND(",",C2498)</f>
        <v>16</v>
      </c>
      <c r="F2498" s="2200" t="str">
        <f t="shared" si="154"/>
        <v>36</v>
      </c>
      <c r="G2498" s="2200" t="str">
        <f t="shared" si="155"/>
        <v>47042</v>
      </c>
      <c r="H2498" s="2200">
        <f>--SUBTOTAL(3,C$2:C2498)</f>
        <v>99</v>
      </c>
    </row>
    <row r="2499" spans="1:8" hidden="1" x14ac:dyDescent="0.15">
      <c r="A2499" s="2200" t="s">
        <v>10723</v>
      </c>
      <c r="B2499" s="2200" t="s">
        <v>15708</v>
      </c>
      <c r="C2499" s="2200" t="s">
        <v>15709</v>
      </c>
      <c r="D2499" s="2200" t="str">
        <f t="shared" si="156"/>
        <v>NY</v>
      </c>
      <c r="E2499" s="2200">
        <f t="shared" si="157"/>
        <v>12</v>
      </c>
      <c r="F2499" s="2200" t="str">
        <f t="shared" ref="F2499:F2562" si="158">MID(B2499,3,2)</f>
        <v>36</v>
      </c>
      <c r="G2499" s="2200" t="str">
        <f t="shared" ref="G2499:G2562" si="159">MID(B2499,5,5)</f>
        <v>47999</v>
      </c>
      <c r="H2499" s="2200">
        <f>--SUBTOTAL(3,C$2:C2499)</f>
        <v>99</v>
      </c>
    </row>
    <row r="2500" spans="1:8" hidden="1" x14ac:dyDescent="0.15">
      <c r="A2500" s="2200" t="s">
        <v>10723</v>
      </c>
      <c r="B2500" s="2200" t="s">
        <v>15710</v>
      </c>
      <c r="C2500" s="2200" t="s">
        <v>15711</v>
      </c>
      <c r="D2500" s="2200" t="str">
        <f t="shared" si="156"/>
        <v>NY</v>
      </c>
      <c r="E2500" s="2200">
        <f t="shared" si="157"/>
        <v>20</v>
      </c>
      <c r="F2500" s="2200" t="str">
        <f t="shared" si="158"/>
        <v>36</v>
      </c>
      <c r="G2500" s="2200" t="str">
        <f t="shared" si="159"/>
        <v>49011</v>
      </c>
      <c r="H2500" s="2200">
        <f>--SUBTOTAL(3,C$2:C2500)</f>
        <v>99</v>
      </c>
    </row>
    <row r="2501" spans="1:8" hidden="1" x14ac:dyDescent="0.15">
      <c r="A2501" s="2200" t="s">
        <v>10723</v>
      </c>
      <c r="B2501" s="2200" t="s">
        <v>15712</v>
      </c>
      <c r="C2501" s="2200" t="s">
        <v>15713</v>
      </c>
      <c r="D2501" s="2200" t="str">
        <f t="shared" si="156"/>
        <v>NY</v>
      </c>
      <c r="E2501" s="2200">
        <f t="shared" si="157"/>
        <v>18</v>
      </c>
      <c r="F2501" s="2200" t="str">
        <f t="shared" si="158"/>
        <v>36</v>
      </c>
      <c r="G2501" s="2200" t="str">
        <f t="shared" si="159"/>
        <v>49121</v>
      </c>
      <c r="H2501" s="2200">
        <f>--SUBTOTAL(3,C$2:C2501)</f>
        <v>99</v>
      </c>
    </row>
    <row r="2502" spans="1:8" hidden="1" x14ac:dyDescent="0.15">
      <c r="A2502" s="2200" t="s">
        <v>10723</v>
      </c>
      <c r="B2502" s="2200" t="s">
        <v>15714</v>
      </c>
      <c r="C2502" s="2200" t="s">
        <v>15715</v>
      </c>
      <c r="D2502" s="2200" t="str">
        <f t="shared" si="156"/>
        <v>NY</v>
      </c>
      <c r="E2502" s="2200">
        <f t="shared" si="157"/>
        <v>18</v>
      </c>
      <c r="F2502" s="2200" t="str">
        <f t="shared" si="158"/>
        <v>36</v>
      </c>
      <c r="G2502" s="2200" t="str">
        <f t="shared" si="159"/>
        <v>50617</v>
      </c>
      <c r="H2502" s="2200">
        <f>--SUBTOTAL(3,C$2:C2502)</f>
        <v>99</v>
      </c>
    </row>
    <row r="2503" spans="1:8" hidden="1" x14ac:dyDescent="0.15">
      <c r="A2503" s="2200" t="s">
        <v>10723</v>
      </c>
      <c r="B2503" s="2200" t="s">
        <v>15716</v>
      </c>
      <c r="C2503" s="2200" t="s">
        <v>15717</v>
      </c>
      <c r="D2503" s="2200" t="str">
        <f t="shared" si="156"/>
        <v>NY</v>
      </c>
      <c r="E2503" s="2200">
        <f t="shared" si="157"/>
        <v>17</v>
      </c>
      <c r="F2503" s="2200" t="str">
        <f t="shared" si="158"/>
        <v>36</v>
      </c>
      <c r="G2503" s="2200" t="str">
        <f t="shared" si="159"/>
        <v>50848</v>
      </c>
      <c r="H2503" s="2200">
        <f>--SUBTOTAL(3,C$2:C2503)</f>
        <v>99</v>
      </c>
    </row>
    <row r="2504" spans="1:8" hidden="1" x14ac:dyDescent="0.15">
      <c r="A2504" s="2200" t="s">
        <v>10723</v>
      </c>
      <c r="B2504" s="2200" t="s">
        <v>15718</v>
      </c>
      <c r="C2504" s="2200" t="s">
        <v>15719</v>
      </c>
      <c r="D2504" s="2200" t="str">
        <f t="shared" si="156"/>
        <v>NY</v>
      </c>
      <c r="E2504" s="2200">
        <f t="shared" si="157"/>
        <v>14</v>
      </c>
      <c r="F2504" s="2200" t="str">
        <f t="shared" si="158"/>
        <v>36</v>
      </c>
      <c r="G2504" s="2200" t="str">
        <f t="shared" si="159"/>
        <v>51000</v>
      </c>
      <c r="H2504" s="2200">
        <f>--SUBTOTAL(3,C$2:C2504)</f>
        <v>99</v>
      </c>
    </row>
    <row r="2505" spans="1:8" hidden="1" x14ac:dyDescent="0.15">
      <c r="A2505" s="2200" t="s">
        <v>10723</v>
      </c>
      <c r="B2505" s="2200" t="s">
        <v>15720</v>
      </c>
      <c r="C2505" s="2200" t="s">
        <v>15721</v>
      </c>
      <c r="D2505" s="2200" t="str">
        <f t="shared" si="156"/>
        <v>NY</v>
      </c>
      <c r="E2505" s="2200">
        <f t="shared" si="157"/>
        <v>14</v>
      </c>
      <c r="F2505" s="2200" t="str">
        <f t="shared" si="158"/>
        <v>36</v>
      </c>
      <c r="G2505" s="2200" t="str">
        <f t="shared" si="159"/>
        <v>50034</v>
      </c>
      <c r="H2505" s="2200">
        <f>--SUBTOTAL(3,C$2:C2505)</f>
        <v>99</v>
      </c>
    </row>
    <row r="2506" spans="1:8" hidden="1" x14ac:dyDescent="0.15">
      <c r="A2506" s="2200" t="s">
        <v>10723</v>
      </c>
      <c r="B2506" s="2200" t="s">
        <v>15722</v>
      </c>
      <c r="C2506" s="2200" t="s">
        <v>15723</v>
      </c>
      <c r="D2506" s="2200" t="str">
        <f t="shared" si="156"/>
        <v>NY</v>
      </c>
      <c r="E2506" s="2200">
        <f t="shared" si="157"/>
        <v>14</v>
      </c>
      <c r="F2506" s="2200" t="str">
        <f t="shared" si="158"/>
        <v>36</v>
      </c>
      <c r="G2506" s="2200" t="str">
        <f t="shared" si="159"/>
        <v>50045</v>
      </c>
      <c r="H2506" s="2200">
        <f>--SUBTOTAL(3,C$2:C2506)</f>
        <v>99</v>
      </c>
    </row>
    <row r="2507" spans="1:8" hidden="1" x14ac:dyDescent="0.15">
      <c r="A2507" s="2200" t="s">
        <v>10723</v>
      </c>
      <c r="B2507" s="2200" t="s">
        <v>15724</v>
      </c>
      <c r="C2507" s="2200" t="s">
        <v>15725</v>
      </c>
      <c r="D2507" s="2200" t="str">
        <f t="shared" si="156"/>
        <v>NY</v>
      </c>
      <c r="E2507" s="2200">
        <f t="shared" si="157"/>
        <v>19</v>
      </c>
      <c r="F2507" s="2200" t="str">
        <f t="shared" si="158"/>
        <v>36</v>
      </c>
      <c r="G2507" s="2200" t="str">
        <f t="shared" si="159"/>
        <v>51055</v>
      </c>
      <c r="H2507" s="2200">
        <f>--SUBTOTAL(3,C$2:C2507)</f>
        <v>99</v>
      </c>
    </row>
    <row r="2508" spans="1:8" hidden="1" x14ac:dyDescent="0.15">
      <c r="A2508" s="2200" t="s">
        <v>10723</v>
      </c>
      <c r="B2508" s="2200" t="s">
        <v>15726</v>
      </c>
      <c r="C2508" s="2200" t="s">
        <v>15727</v>
      </c>
      <c r="D2508" s="2200" t="str">
        <f t="shared" si="156"/>
        <v>NY</v>
      </c>
      <c r="E2508" s="2200">
        <f t="shared" si="157"/>
        <v>21</v>
      </c>
      <c r="F2508" s="2200" t="str">
        <f t="shared" si="158"/>
        <v>36</v>
      </c>
      <c r="G2508" s="2200" t="str">
        <f t="shared" si="159"/>
        <v>53000</v>
      </c>
      <c r="H2508" s="2200">
        <f>--SUBTOTAL(3,C$2:C2508)</f>
        <v>99</v>
      </c>
    </row>
    <row r="2509" spans="1:8" hidden="1" x14ac:dyDescent="0.15">
      <c r="A2509" s="2200" t="s">
        <v>10723</v>
      </c>
      <c r="B2509" s="2200" t="s">
        <v>15728</v>
      </c>
      <c r="C2509" s="2200" t="s">
        <v>15729</v>
      </c>
      <c r="D2509" s="2200" t="str">
        <f t="shared" si="156"/>
        <v>NY</v>
      </c>
      <c r="E2509" s="2200">
        <f t="shared" si="157"/>
        <v>21</v>
      </c>
      <c r="F2509" s="2200" t="str">
        <f t="shared" si="158"/>
        <v>36</v>
      </c>
      <c r="G2509" s="2200" t="str">
        <f t="shared" si="159"/>
        <v>53682</v>
      </c>
      <c r="H2509" s="2200">
        <f>--SUBTOTAL(3,C$2:C2509)</f>
        <v>99</v>
      </c>
    </row>
    <row r="2510" spans="1:8" hidden="1" x14ac:dyDescent="0.15">
      <c r="A2510" s="2200" t="s">
        <v>10723</v>
      </c>
      <c r="B2510" s="2200" t="s">
        <v>15730</v>
      </c>
      <c r="C2510" s="2200" t="s">
        <v>15731</v>
      </c>
      <c r="D2510" s="2200" t="str">
        <f t="shared" si="156"/>
        <v>NY</v>
      </c>
      <c r="E2510" s="2200">
        <f t="shared" si="157"/>
        <v>16</v>
      </c>
      <c r="F2510" s="2200" t="str">
        <f t="shared" si="158"/>
        <v>36</v>
      </c>
      <c r="G2510" s="2200" t="str">
        <f t="shared" si="159"/>
        <v>55211</v>
      </c>
      <c r="H2510" s="2200">
        <f>--SUBTOTAL(3,C$2:C2510)</f>
        <v>99</v>
      </c>
    </row>
    <row r="2511" spans="1:8" hidden="1" x14ac:dyDescent="0.15">
      <c r="A2511" s="2200" t="s">
        <v>10723</v>
      </c>
      <c r="B2511" s="2200" t="s">
        <v>15732</v>
      </c>
      <c r="C2511" s="2200" t="s">
        <v>15733</v>
      </c>
      <c r="D2511" s="2200" t="str">
        <f t="shared" si="156"/>
        <v>NY</v>
      </c>
      <c r="E2511" s="2200">
        <f t="shared" si="157"/>
        <v>18</v>
      </c>
      <c r="F2511" s="2200" t="str">
        <f t="shared" si="158"/>
        <v>36</v>
      </c>
      <c r="G2511" s="2200" t="str">
        <f t="shared" si="159"/>
        <v>55277</v>
      </c>
      <c r="H2511" s="2200">
        <f>--SUBTOTAL(3,C$2:C2511)</f>
        <v>99</v>
      </c>
    </row>
    <row r="2512" spans="1:8" hidden="1" x14ac:dyDescent="0.15">
      <c r="A2512" s="2200" t="s">
        <v>10723</v>
      </c>
      <c r="B2512" s="2200" t="s">
        <v>15734</v>
      </c>
      <c r="C2512" s="2200" t="s">
        <v>15735</v>
      </c>
      <c r="D2512" s="2200" t="str">
        <f t="shared" si="156"/>
        <v>NY</v>
      </c>
      <c r="E2512" s="2200">
        <f t="shared" si="157"/>
        <v>14</v>
      </c>
      <c r="F2512" s="2200" t="str">
        <f t="shared" si="158"/>
        <v>36</v>
      </c>
      <c r="G2512" s="2200" t="str">
        <f t="shared" si="159"/>
        <v>55541</v>
      </c>
      <c r="H2512" s="2200">
        <f>--SUBTOTAL(3,C$2:C2512)</f>
        <v>99</v>
      </c>
    </row>
    <row r="2513" spans="1:8" hidden="1" x14ac:dyDescent="0.15">
      <c r="A2513" s="2200" t="s">
        <v>10723</v>
      </c>
      <c r="B2513" s="2200" t="s">
        <v>15736</v>
      </c>
      <c r="C2513" s="2200" t="s">
        <v>15737</v>
      </c>
      <c r="D2513" s="2200" t="str">
        <f t="shared" si="156"/>
        <v>NY</v>
      </c>
      <c r="E2513" s="2200">
        <f t="shared" si="157"/>
        <v>17</v>
      </c>
      <c r="F2513" s="2200" t="str">
        <f t="shared" si="158"/>
        <v>36</v>
      </c>
      <c r="G2513" s="2200" t="str">
        <f t="shared" si="159"/>
        <v>55530</v>
      </c>
      <c r="H2513" s="2200">
        <f>--SUBTOTAL(3,C$2:C2513)</f>
        <v>99</v>
      </c>
    </row>
    <row r="2514" spans="1:8" hidden="1" x14ac:dyDescent="0.15">
      <c r="A2514" s="2200" t="s">
        <v>10723</v>
      </c>
      <c r="B2514" s="2200" t="s">
        <v>15738</v>
      </c>
      <c r="C2514" s="2200" t="s">
        <v>15739</v>
      </c>
      <c r="D2514" s="2200" t="str">
        <f t="shared" si="156"/>
        <v>NY</v>
      </c>
      <c r="E2514" s="2200">
        <f t="shared" si="157"/>
        <v>16</v>
      </c>
      <c r="F2514" s="2200" t="str">
        <f t="shared" si="158"/>
        <v>36</v>
      </c>
      <c r="G2514" s="2200" t="str">
        <f t="shared" si="159"/>
        <v>56000</v>
      </c>
      <c r="H2514" s="2200">
        <f>--SUBTOTAL(3,C$2:C2514)</f>
        <v>99</v>
      </c>
    </row>
    <row r="2515" spans="1:8" hidden="1" x14ac:dyDescent="0.15">
      <c r="A2515" s="2200" t="s">
        <v>10723</v>
      </c>
      <c r="B2515" s="2200" t="s">
        <v>15740</v>
      </c>
      <c r="C2515" s="2200" t="s">
        <v>15741</v>
      </c>
      <c r="D2515" s="2200" t="str">
        <f t="shared" si="156"/>
        <v>NY</v>
      </c>
      <c r="E2515" s="2200">
        <f t="shared" si="157"/>
        <v>14</v>
      </c>
      <c r="F2515" s="2200" t="str">
        <f t="shared" si="158"/>
        <v>36</v>
      </c>
      <c r="G2515" s="2200" t="str">
        <f t="shared" si="159"/>
        <v>57144</v>
      </c>
      <c r="H2515" s="2200">
        <f>--SUBTOTAL(3,C$2:C2515)</f>
        <v>99</v>
      </c>
    </row>
    <row r="2516" spans="1:8" hidden="1" x14ac:dyDescent="0.15">
      <c r="A2516" s="2200" t="s">
        <v>10723</v>
      </c>
      <c r="B2516" s="2200" t="s">
        <v>15742</v>
      </c>
      <c r="C2516" s="2200" t="s">
        <v>15743</v>
      </c>
      <c r="D2516" s="2200" t="str">
        <f t="shared" si="156"/>
        <v>NY</v>
      </c>
      <c r="E2516" s="2200">
        <f t="shared" si="157"/>
        <v>14</v>
      </c>
      <c r="F2516" s="2200" t="str">
        <f t="shared" si="158"/>
        <v>36</v>
      </c>
      <c r="G2516" s="2200" t="str">
        <f t="shared" si="159"/>
        <v>57221</v>
      </c>
      <c r="H2516" s="2200">
        <f>--SUBTOTAL(3,C$2:C2516)</f>
        <v>99</v>
      </c>
    </row>
    <row r="2517" spans="1:8" hidden="1" x14ac:dyDescent="0.15">
      <c r="A2517" s="2200" t="s">
        <v>10723</v>
      </c>
      <c r="B2517" s="2200" t="s">
        <v>15744</v>
      </c>
      <c r="C2517" s="2200" t="s">
        <v>15745</v>
      </c>
      <c r="D2517" s="2200" t="str">
        <f t="shared" si="156"/>
        <v>NY</v>
      </c>
      <c r="E2517" s="2200">
        <f t="shared" si="157"/>
        <v>15</v>
      </c>
      <c r="F2517" s="2200" t="str">
        <f t="shared" si="158"/>
        <v>36</v>
      </c>
      <c r="G2517" s="2200" t="str">
        <f t="shared" si="159"/>
        <v>58365</v>
      </c>
      <c r="H2517" s="2200">
        <f>--SUBTOTAL(3,C$2:C2517)</f>
        <v>99</v>
      </c>
    </row>
    <row r="2518" spans="1:8" hidden="1" x14ac:dyDescent="0.15">
      <c r="A2518" s="2200" t="s">
        <v>10723</v>
      </c>
      <c r="B2518" s="2200" t="s">
        <v>15746</v>
      </c>
      <c r="C2518" s="2200" t="s">
        <v>15747</v>
      </c>
      <c r="D2518" s="2200" t="str">
        <f t="shared" si="156"/>
        <v>NY</v>
      </c>
      <c r="E2518" s="2200">
        <f t="shared" si="157"/>
        <v>21</v>
      </c>
      <c r="F2518" s="2200" t="str">
        <f t="shared" si="158"/>
        <v>36</v>
      </c>
      <c r="G2518" s="2200" t="str">
        <f t="shared" si="159"/>
        <v>59223</v>
      </c>
      <c r="H2518" s="2200">
        <f>--SUBTOTAL(3,C$2:C2518)</f>
        <v>99</v>
      </c>
    </row>
    <row r="2519" spans="1:8" hidden="1" x14ac:dyDescent="0.15">
      <c r="A2519" s="2200" t="s">
        <v>10723</v>
      </c>
      <c r="B2519" s="2200" t="s">
        <v>15748</v>
      </c>
      <c r="C2519" s="2200" t="s">
        <v>15749</v>
      </c>
      <c r="D2519" s="2200" t="str">
        <f t="shared" si="156"/>
        <v>NY</v>
      </c>
      <c r="E2519" s="2200">
        <f t="shared" si="157"/>
        <v>18</v>
      </c>
      <c r="F2519" s="2200" t="str">
        <f t="shared" si="158"/>
        <v>36</v>
      </c>
      <c r="G2519" s="2200" t="str">
        <f t="shared" si="159"/>
        <v>59641</v>
      </c>
      <c r="H2519" s="2200">
        <f>--SUBTOTAL(3,C$2:C2519)</f>
        <v>99</v>
      </c>
    </row>
    <row r="2520" spans="1:8" hidden="1" x14ac:dyDescent="0.15">
      <c r="A2520" s="2200" t="s">
        <v>10723</v>
      </c>
      <c r="B2520" s="2200" t="s">
        <v>15750</v>
      </c>
      <c r="C2520" s="2200" t="s">
        <v>15751</v>
      </c>
      <c r="D2520" s="2200" t="str">
        <f t="shared" si="156"/>
        <v>NY</v>
      </c>
      <c r="E2520" s="2200">
        <f t="shared" si="157"/>
        <v>18</v>
      </c>
      <c r="F2520" s="2200" t="str">
        <f t="shared" si="158"/>
        <v>36</v>
      </c>
      <c r="G2520" s="2200" t="str">
        <f t="shared" si="159"/>
        <v>59652</v>
      </c>
      <c r="H2520" s="2200">
        <f>--SUBTOTAL(3,C$2:C2520)</f>
        <v>99</v>
      </c>
    </row>
    <row r="2521" spans="1:8" hidden="1" x14ac:dyDescent="0.15">
      <c r="A2521" s="2200" t="s">
        <v>10723</v>
      </c>
      <c r="B2521" s="2200" t="s">
        <v>15752</v>
      </c>
      <c r="C2521" s="2200" t="s">
        <v>15753</v>
      </c>
      <c r="D2521" s="2200" t="str">
        <f t="shared" si="156"/>
        <v>NY</v>
      </c>
      <c r="E2521" s="2200">
        <f t="shared" si="157"/>
        <v>16</v>
      </c>
      <c r="F2521" s="2200" t="str">
        <f t="shared" si="158"/>
        <v>36</v>
      </c>
      <c r="G2521" s="2200" t="str">
        <f t="shared" si="159"/>
        <v>60356</v>
      </c>
      <c r="H2521" s="2200">
        <f>--SUBTOTAL(3,C$2:C2521)</f>
        <v>99</v>
      </c>
    </row>
    <row r="2522" spans="1:8" hidden="1" x14ac:dyDescent="0.15">
      <c r="A2522" s="2200" t="s">
        <v>10723</v>
      </c>
      <c r="B2522" s="2200" t="s">
        <v>15754</v>
      </c>
      <c r="C2522" s="2200" t="s">
        <v>15755</v>
      </c>
      <c r="D2522" s="2200" t="str">
        <f t="shared" si="156"/>
        <v>NY</v>
      </c>
      <c r="E2522" s="2200">
        <f t="shared" si="157"/>
        <v>12</v>
      </c>
      <c r="F2522" s="2200" t="str">
        <f t="shared" si="158"/>
        <v>36</v>
      </c>
      <c r="G2522" s="2200" t="str">
        <f t="shared" si="159"/>
        <v>60510</v>
      </c>
      <c r="H2522" s="2200">
        <f>--SUBTOTAL(3,C$2:C2522)</f>
        <v>99</v>
      </c>
    </row>
    <row r="2523" spans="1:8" hidden="1" x14ac:dyDescent="0.15">
      <c r="A2523" s="2200" t="s">
        <v>10723</v>
      </c>
      <c r="B2523" s="2200" t="s">
        <v>15756</v>
      </c>
      <c r="C2523" s="2200" t="s">
        <v>15757</v>
      </c>
      <c r="D2523" s="2200" t="str">
        <f t="shared" si="156"/>
        <v>NY</v>
      </c>
      <c r="E2523" s="2200">
        <f t="shared" si="157"/>
        <v>15</v>
      </c>
      <c r="F2523" s="2200" t="str">
        <f t="shared" si="158"/>
        <v>36</v>
      </c>
      <c r="G2523" s="2200" t="str">
        <f t="shared" si="159"/>
        <v>61984</v>
      </c>
      <c r="H2523" s="2200">
        <f>--SUBTOTAL(3,C$2:C2523)</f>
        <v>99</v>
      </c>
    </row>
    <row r="2524" spans="1:8" hidden="1" x14ac:dyDescent="0.15">
      <c r="A2524" s="2200" t="s">
        <v>10723</v>
      </c>
      <c r="B2524" s="2200" t="s">
        <v>15758</v>
      </c>
      <c r="C2524" s="2200" t="s">
        <v>15759</v>
      </c>
      <c r="D2524" s="2200" t="str">
        <f t="shared" si="156"/>
        <v>NY</v>
      </c>
      <c r="E2524" s="2200">
        <f t="shared" si="157"/>
        <v>15</v>
      </c>
      <c r="F2524" s="2200" t="str">
        <f t="shared" si="158"/>
        <v>36</v>
      </c>
      <c r="G2524" s="2200" t="str">
        <f t="shared" si="159"/>
        <v>63000</v>
      </c>
      <c r="H2524" s="2200">
        <f>--SUBTOTAL(3,C$2:C2524)</f>
        <v>99</v>
      </c>
    </row>
    <row r="2525" spans="1:8" hidden="1" x14ac:dyDescent="0.15">
      <c r="A2525" s="2200" t="s">
        <v>10723</v>
      </c>
      <c r="B2525" s="2200" t="s">
        <v>15760</v>
      </c>
      <c r="C2525" s="2200" t="s">
        <v>15761</v>
      </c>
      <c r="D2525" s="2200" t="str">
        <f t="shared" si="156"/>
        <v>NY</v>
      </c>
      <c r="E2525" s="2200">
        <f t="shared" si="157"/>
        <v>25</v>
      </c>
      <c r="F2525" s="2200" t="str">
        <f t="shared" si="158"/>
        <v>36</v>
      </c>
      <c r="G2525" s="2200" t="str">
        <f t="shared" si="159"/>
        <v>63264</v>
      </c>
      <c r="H2525" s="2200">
        <f>--SUBTOTAL(3,C$2:C2525)</f>
        <v>99</v>
      </c>
    </row>
    <row r="2526" spans="1:8" hidden="1" x14ac:dyDescent="0.15">
      <c r="A2526" s="2200" t="s">
        <v>10723</v>
      </c>
      <c r="B2526" s="2200" t="s">
        <v>15762</v>
      </c>
      <c r="C2526" s="2200" t="s">
        <v>15763</v>
      </c>
      <c r="D2526" s="2200" t="str">
        <f t="shared" si="156"/>
        <v>NY</v>
      </c>
      <c r="E2526" s="2200">
        <f t="shared" si="157"/>
        <v>10</v>
      </c>
      <c r="F2526" s="2200" t="str">
        <f t="shared" si="158"/>
        <v>36</v>
      </c>
      <c r="G2526" s="2200" t="str">
        <f t="shared" si="159"/>
        <v>63418</v>
      </c>
      <c r="H2526" s="2200">
        <f>--SUBTOTAL(3,C$2:C2526)</f>
        <v>99</v>
      </c>
    </row>
    <row r="2527" spans="1:8" hidden="1" x14ac:dyDescent="0.15">
      <c r="A2527" s="2200" t="s">
        <v>10723</v>
      </c>
      <c r="B2527" s="2200" t="s">
        <v>15764</v>
      </c>
      <c r="C2527" s="2200" t="s">
        <v>15765</v>
      </c>
      <c r="D2527" s="2200" t="str">
        <f t="shared" si="156"/>
        <v>NY</v>
      </c>
      <c r="E2527" s="2200">
        <f t="shared" si="157"/>
        <v>15</v>
      </c>
      <c r="F2527" s="2200" t="str">
        <f t="shared" si="158"/>
        <v>36</v>
      </c>
      <c r="G2527" s="2200" t="str">
        <f t="shared" si="159"/>
        <v>63935</v>
      </c>
      <c r="H2527" s="2200">
        <f>--SUBTOTAL(3,C$2:C2527)</f>
        <v>99</v>
      </c>
    </row>
    <row r="2528" spans="1:8" hidden="1" x14ac:dyDescent="0.15">
      <c r="A2528" s="2200" t="s">
        <v>10723</v>
      </c>
      <c r="B2528" s="2200" t="s">
        <v>15766</v>
      </c>
      <c r="C2528" s="2200" t="s">
        <v>15767</v>
      </c>
      <c r="D2528" s="2200" t="str">
        <f t="shared" si="156"/>
        <v>NY</v>
      </c>
      <c r="E2528" s="2200">
        <f t="shared" si="157"/>
        <v>9</v>
      </c>
      <c r="F2528" s="2200" t="str">
        <f t="shared" si="158"/>
        <v>36</v>
      </c>
      <c r="G2528" s="2200" t="str">
        <f t="shared" si="159"/>
        <v>64320</v>
      </c>
      <c r="H2528" s="2200">
        <f>--SUBTOTAL(3,C$2:C2528)</f>
        <v>99</v>
      </c>
    </row>
    <row r="2529" spans="1:8" hidden="1" x14ac:dyDescent="0.15">
      <c r="A2529" s="2200" t="s">
        <v>10723</v>
      </c>
      <c r="B2529" s="2200" t="s">
        <v>15768</v>
      </c>
      <c r="C2529" s="2200" t="s">
        <v>15769</v>
      </c>
      <c r="D2529" s="2200" t="str">
        <f t="shared" si="156"/>
        <v>NY</v>
      </c>
      <c r="E2529" s="2200">
        <f t="shared" si="157"/>
        <v>12</v>
      </c>
      <c r="F2529" s="2200" t="str">
        <f t="shared" si="158"/>
        <v>36</v>
      </c>
      <c r="G2529" s="2200" t="str">
        <f t="shared" si="159"/>
        <v>64815</v>
      </c>
      <c r="H2529" s="2200">
        <f>--SUBTOTAL(3,C$2:C2529)</f>
        <v>99</v>
      </c>
    </row>
    <row r="2530" spans="1:8" hidden="1" x14ac:dyDescent="0.15">
      <c r="A2530" s="2200" t="s">
        <v>10723</v>
      </c>
      <c r="B2530" s="2200" t="s">
        <v>15770</v>
      </c>
      <c r="C2530" s="2200" t="s">
        <v>15771</v>
      </c>
      <c r="D2530" s="2200" t="str">
        <f t="shared" si="156"/>
        <v>NY</v>
      </c>
      <c r="E2530" s="2200">
        <f t="shared" si="157"/>
        <v>22</v>
      </c>
      <c r="F2530" s="2200" t="str">
        <f t="shared" si="158"/>
        <v>36</v>
      </c>
      <c r="G2530" s="2200" t="str">
        <f t="shared" si="159"/>
        <v>65255</v>
      </c>
      <c r="H2530" s="2200">
        <f>--SUBTOTAL(3,C$2:C2530)</f>
        <v>99</v>
      </c>
    </row>
    <row r="2531" spans="1:8" hidden="1" x14ac:dyDescent="0.15">
      <c r="A2531" s="2200" t="s">
        <v>10723</v>
      </c>
      <c r="B2531" s="2200" t="s">
        <v>15772</v>
      </c>
      <c r="C2531" s="2200" t="s">
        <v>15773</v>
      </c>
      <c r="D2531" s="2200" t="str">
        <f t="shared" si="156"/>
        <v>NY</v>
      </c>
      <c r="E2531" s="2200">
        <f t="shared" si="157"/>
        <v>17</v>
      </c>
      <c r="F2531" s="2200" t="str">
        <f t="shared" si="158"/>
        <v>36</v>
      </c>
      <c r="G2531" s="2200" t="str">
        <f t="shared" si="159"/>
        <v>65508</v>
      </c>
      <c r="H2531" s="2200">
        <f>--SUBTOTAL(3,C$2:C2531)</f>
        <v>99</v>
      </c>
    </row>
    <row r="2532" spans="1:8" hidden="1" x14ac:dyDescent="0.15">
      <c r="A2532" s="2200" t="s">
        <v>10723</v>
      </c>
      <c r="B2532" s="2200" t="s">
        <v>15774</v>
      </c>
      <c r="C2532" s="2200" t="s">
        <v>15775</v>
      </c>
      <c r="D2532" s="2200" t="str">
        <f t="shared" si="156"/>
        <v>NY</v>
      </c>
      <c r="E2532" s="2200">
        <f t="shared" si="157"/>
        <v>15</v>
      </c>
      <c r="F2532" s="2200" t="str">
        <f t="shared" si="158"/>
        <v>36</v>
      </c>
      <c r="G2532" s="2200" t="str">
        <f t="shared" si="159"/>
        <v>68000</v>
      </c>
      <c r="H2532" s="2200">
        <f>--SUBTOTAL(3,C$2:C2532)</f>
        <v>99</v>
      </c>
    </row>
    <row r="2533" spans="1:8" hidden="1" x14ac:dyDescent="0.15">
      <c r="A2533" s="2200" t="s">
        <v>10723</v>
      </c>
      <c r="B2533" s="2200" t="s">
        <v>15776</v>
      </c>
      <c r="C2533" s="2200" t="s">
        <v>15777</v>
      </c>
      <c r="D2533" s="2200" t="str">
        <f t="shared" si="156"/>
        <v>NY</v>
      </c>
      <c r="E2533" s="2200">
        <f t="shared" si="157"/>
        <v>17</v>
      </c>
      <c r="F2533" s="2200" t="str">
        <f t="shared" si="158"/>
        <v>36</v>
      </c>
      <c r="G2533" s="2200" t="str">
        <f t="shared" si="159"/>
        <v>68473</v>
      </c>
      <c r="H2533" s="2200">
        <f>--SUBTOTAL(3,C$2:C2533)</f>
        <v>99</v>
      </c>
    </row>
    <row r="2534" spans="1:8" hidden="1" x14ac:dyDescent="0.15">
      <c r="A2534" s="2200" t="s">
        <v>10723</v>
      </c>
      <c r="B2534" s="2200" t="s">
        <v>15778</v>
      </c>
      <c r="C2534" s="2200" t="s">
        <v>15779</v>
      </c>
      <c r="D2534" s="2200" t="str">
        <f t="shared" si="156"/>
        <v>NY</v>
      </c>
      <c r="E2534" s="2200">
        <f t="shared" si="157"/>
        <v>22</v>
      </c>
      <c r="F2534" s="2200" t="str">
        <f t="shared" si="158"/>
        <v>36</v>
      </c>
      <c r="G2534" s="2200" t="str">
        <f t="shared" si="159"/>
        <v>70420</v>
      </c>
      <c r="H2534" s="2200">
        <f>--SUBTOTAL(3,C$2:C2534)</f>
        <v>99</v>
      </c>
    </row>
    <row r="2535" spans="1:8" hidden="1" x14ac:dyDescent="0.15">
      <c r="A2535" s="2200" t="s">
        <v>10723</v>
      </c>
      <c r="B2535" s="2200" t="s">
        <v>15780</v>
      </c>
      <c r="C2535" s="2200" t="s">
        <v>15781</v>
      </c>
      <c r="D2535" s="2200" t="str">
        <f t="shared" si="156"/>
        <v>NY</v>
      </c>
      <c r="E2535" s="2200">
        <f t="shared" si="157"/>
        <v>14</v>
      </c>
      <c r="F2535" s="2200" t="str">
        <f t="shared" si="158"/>
        <v>36</v>
      </c>
      <c r="G2535" s="2200" t="str">
        <f t="shared" si="159"/>
        <v>73000</v>
      </c>
      <c r="H2535" s="2200">
        <f>--SUBTOTAL(3,C$2:C2535)</f>
        <v>99</v>
      </c>
    </row>
    <row r="2536" spans="1:8" hidden="1" x14ac:dyDescent="0.15">
      <c r="A2536" s="2200" t="s">
        <v>10723</v>
      </c>
      <c r="B2536" s="2200" t="s">
        <v>15782</v>
      </c>
      <c r="C2536" s="2200" t="s">
        <v>15783</v>
      </c>
      <c r="D2536" s="2200" t="str">
        <f t="shared" si="156"/>
        <v>NY</v>
      </c>
      <c r="E2536" s="2200">
        <f t="shared" si="157"/>
        <v>15</v>
      </c>
      <c r="F2536" s="2200" t="str">
        <f t="shared" si="158"/>
        <v>36</v>
      </c>
      <c r="G2536" s="2200" t="str">
        <f t="shared" si="159"/>
        <v>75000</v>
      </c>
      <c r="H2536" s="2200">
        <f>--SUBTOTAL(3,C$2:C2536)</f>
        <v>99</v>
      </c>
    </row>
    <row r="2537" spans="1:8" hidden="1" x14ac:dyDescent="0.15">
      <c r="A2537" s="2200" t="s">
        <v>10723</v>
      </c>
      <c r="B2537" s="2200" t="s">
        <v>15784</v>
      </c>
      <c r="C2537" s="2200" t="s">
        <v>15785</v>
      </c>
      <c r="D2537" s="2200" t="str">
        <f t="shared" si="156"/>
        <v>NY</v>
      </c>
      <c r="E2537" s="2200">
        <f t="shared" si="157"/>
        <v>10</v>
      </c>
      <c r="F2537" s="2200" t="str">
        <f t="shared" si="158"/>
        <v>36</v>
      </c>
      <c r="G2537" s="2200" t="str">
        <f t="shared" si="159"/>
        <v>75484</v>
      </c>
      <c r="H2537" s="2200">
        <f>--SUBTOTAL(3,C$2:C2537)</f>
        <v>99</v>
      </c>
    </row>
    <row r="2538" spans="1:8" hidden="1" x14ac:dyDescent="0.15">
      <c r="A2538" s="2200" t="s">
        <v>10723</v>
      </c>
      <c r="B2538" s="2200" t="s">
        <v>15786</v>
      </c>
      <c r="C2538" s="2200" t="s">
        <v>15787</v>
      </c>
      <c r="D2538" s="2200" t="str">
        <f t="shared" si="156"/>
        <v>NY</v>
      </c>
      <c r="E2538" s="2200">
        <f t="shared" si="157"/>
        <v>11</v>
      </c>
      <c r="F2538" s="2200" t="str">
        <f t="shared" si="158"/>
        <v>36</v>
      </c>
      <c r="G2538" s="2200" t="str">
        <f t="shared" si="159"/>
        <v>76056</v>
      </c>
      <c r="H2538" s="2200">
        <f>--SUBTOTAL(3,C$2:C2538)</f>
        <v>99</v>
      </c>
    </row>
    <row r="2539" spans="1:8" hidden="1" x14ac:dyDescent="0.15">
      <c r="A2539" s="2200" t="s">
        <v>10723</v>
      </c>
      <c r="B2539" s="2200" t="s">
        <v>15788</v>
      </c>
      <c r="C2539" s="2200" t="s">
        <v>15789</v>
      </c>
      <c r="D2539" s="2200" t="str">
        <f t="shared" si="156"/>
        <v>NY</v>
      </c>
      <c r="E2539" s="2200">
        <f t="shared" si="157"/>
        <v>11</v>
      </c>
      <c r="F2539" s="2200" t="str">
        <f t="shared" si="158"/>
        <v>36</v>
      </c>
      <c r="G2539" s="2200" t="str">
        <f t="shared" si="159"/>
        <v>76540</v>
      </c>
      <c r="H2539" s="2200">
        <f>--SUBTOTAL(3,C$2:C2539)</f>
        <v>99</v>
      </c>
    </row>
    <row r="2540" spans="1:8" hidden="1" x14ac:dyDescent="0.15">
      <c r="A2540" s="2200" t="s">
        <v>10723</v>
      </c>
      <c r="B2540" s="2200" t="s">
        <v>15790</v>
      </c>
      <c r="C2540" s="2200" t="s">
        <v>15791</v>
      </c>
      <c r="D2540" s="2200" t="str">
        <f t="shared" si="156"/>
        <v>NY</v>
      </c>
      <c r="E2540" s="2200">
        <f t="shared" si="157"/>
        <v>22</v>
      </c>
      <c r="F2540" s="2200" t="str">
        <f t="shared" si="158"/>
        <v>36</v>
      </c>
      <c r="G2540" s="2200" t="str">
        <f t="shared" si="159"/>
        <v>76705</v>
      </c>
      <c r="H2540" s="2200">
        <f>--SUBTOTAL(3,C$2:C2540)</f>
        <v>99</v>
      </c>
    </row>
    <row r="2541" spans="1:8" hidden="1" x14ac:dyDescent="0.15">
      <c r="A2541" s="2200" t="s">
        <v>10723</v>
      </c>
      <c r="B2541" s="2200" t="s">
        <v>15792</v>
      </c>
      <c r="C2541" s="2200" t="s">
        <v>15793</v>
      </c>
      <c r="D2541" s="2200" t="str">
        <f t="shared" si="156"/>
        <v>NY</v>
      </c>
      <c r="E2541" s="2200">
        <f t="shared" si="157"/>
        <v>12</v>
      </c>
      <c r="F2541" s="2200" t="str">
        <f t="shared" si="158"/>
        <v>36</v>
      </c>
      <c r="G2541" s="2200" t="str">
        <f t="shared" si="159"/>
        <v>77255</v>
      </c>
      <c r="H2541" s="2200">
        <f>--SUBTOTAL(3,C$2:C2541)</f>
        <v>99</v>
      </c>
    </row>
    <row r="2542" spans="1:8" hidden="1" x14ac:dyDescent="0.15">
      <c r="A2542" s="2200" t="s">
        <v>10723</v>
      </c>
      <c r="B2542" s="2200" t="s">
        <v>15794</v>
      </c>
      <c r="C2542" s="2200" t="s">
        <v>15795</v>
      </c>
      <c r="D2542" s="2200" t="str">
        <f t="shared" si="156"/>
        <v>NY</v>
      </c>
      <c r="E2542" s="2200">
        <f t="shared" si="157"/>
        <v>14</v>
      </c>
      <c r="F2542" s="2200" t="str">
        <f t="shared" si="158"/>
        <v>36</v>
      </c>
      <c r="G2542" s="2200" t="str">
        <f t="shared" si="159"/>
        <v>77992</v>
      </c>
      <c r="H2542" s="2200">
        <f>--SUBTOTAL(3,C$2:C2542)</f>
        <v>99</v>
      </c>
    </row>
    <row r="2543" spans="1:8" hidden="1" x14ac:dyDescent="0.15">
      <c r="A2543" s="2200" t="s">
        <v>10723</v>
      </c>
      <c r="B2543" s="2200" t="s">
        <v>15796</v>
      </c>
      <c r="C2543" s="2200" t="s">
        <v>15797</v>
      </c>
      <c r="D2543" s="2200" t="str">
        <f t="shared" si="156"/>
        <v>NY</v>
      </c>
      <c r="E2543" s="2200">
        <f t="shared" si="157"/>
        <v>15</v>
      </c>
      <c r="F2543" s="2200" t="str">
        <f t="shared" si="158"/>
        <v>36</v>
      </c>
      <c r="G2543" s="2200" t="str">
        <f t="shared" si="159"/>
        <v>78157</v>
      </c>
      <c r="H2543" s="2200">
        <f>--SUBTOTAL(3,C$2:C2543)</f>
        <v>99</v>
      </c>
    </row>
    <row r="2544" spans="1:8" hidden="1" x14ac:dyDescent="0.15">
      <c r="A2544" s="2200" t="s">
        <v>10723</v>
      </c>
      <c r="B2544" s="2200" t="s">
        <v>15798</v>
      </c>
      <c r="C2544" s="2200" t="s">
        <v>15799</v>
      </c>
      <c r="D2544" s="2200" t="str">
        <f t="shared" si="156"/>
        <v>NY</v>
      </c>
      <c r="E2544" s="2200">
        <f t="shared" si="157"/>
        <v>13</v>
      </c>
      <c r="F2544" s="2200" t="str">
        <f t="shared" si="158"/>
        <v>36</v>
      </c>
      <c r="G2544" s="2200" t="str">
        <f t="shared" si="159"/>
        <v>78366</v>
      </c>
      <c r="H2544" s="2200">
        <f>--SUBTOTAL(3,C$2:C2544)</f>
        <v>99</v>
      </c>
    </row>
    <row r="2545" spans="1:8" hidden="1" x14ac:dyDescent="0.15">
      <c r="A2545" s="2200" t="s">
        <v>10723</v>
      </c>
      <c r="B2545" s="2200" t="s">
        <v>15800</v>
      </c>
      <c r="C2545" s="2200" t="s">
        <v>15801</v>
      </c>
      <c r="D2545" s="2200" t="str">
        <f t="shared" si="156"/>
        <v>NY</v>
      </c>
      <c r="E2545" s="2200">
        <f t="shared" si="157"/>
        <v>15</v>
      </c>
      <c r="F2545" s="2200" t="str">
        <f t="shared" si="158"/>
        <v>36</v>
      </c>
      <c r="G2545" s="2200" t="str">
        <f t="shared" si="159"/>
        <v>78608</v>
      </c>
      <c r="H2545" s="2200">
        <f>--SUBTOTAL(3,C$2:C2545)</f>
        <v>99</v>
      </c>
    </row>
    <row r="2546" spans="1:8" hidden="1" x14ac:dyDescent="0.15">
      <c r="A2546" s="2200" t="s">
        <v>10723</v>
      </c>
      <c r="B2546" s="2200" t="s">
        <v>15802</v>
      </c>
      <c r="C2546" s="2200" t="s">
        <v>15803</v>
      </c>
      <c r="D2546" s="2200" t="str">
        <f t="shared" si="156"/>
        <v>NY</v>
      </c>
      <c r="E2546" s="2200">
        <f t="shared" si="157"/>
        <v>13</v>
      </c>
      <c r="F2546" s="2200" t="str">
        <f t="shared" si="158"/>
        <v>36</v>
      </c>
      <c r="G2546" s="2200" t="str">
        <f t="shared" si="159"/>
        <v>78971</v>
      </c>
      <c r="H2546" s="2200">
        <f>--SUBTOTAL(3,C$2:C2546)</f>
        <v>99</v>
      </c>
    </row>
    <row r="2547" spans="1:8" hidden="1" x14ac:dyDescent="0.15">
      <c r="A2547" s="2200" t="s">
        <v>10723</v>
      </c>
      <c r="B2547" s="2200" t="s">
        <v>15804</v>
      </c>
      <c r="C2547" s="2200" t="s">
        <v>15805</v>
      </c>
      <c r="D2547" s="2200" t="str">
        <f t="shared" si="156"/>
        <v>NY</v>
      </c>
      <c r="E2547" s="2200">
        <f t="shared" si="157"/>
        <v>17</v>
      </c>
      <c r="F2547" s="2200" t="str">
        <f t="shared" si="158"/>
        <v>36</v>
      </c>
      <c r="G2547" s="2200" t="str">
        <f t="shared" si="159"/>
        <v>80918</v>
      </c>
      <c r="H2547" s="2200">
        <f>--SUBTOTAL(3,C$2:C2547)</f>
        <v>99</v>
      </c>
    </row>
    <row r="2548" spans="1:8" hidden="1" x14ac:dyDescent="0.15">
      <c r="A2548" s="2200" t="s">
        <v>10723</v>
      </c>
      <c r="B2548" s="2200" t="s">
        <v>15806</v>
      </c>
      <c r="C2548" s="2200" t="s">
        <v>15807</v>
      </c>
      <c r="D2548" s="2200" t="str">
        <f t="shared" si="156"/>
        <v>NY</v>
      </c>
      <c r="E2548" s="2200">
        <f t="shared" si="157"/>
        <v>18</v>
      </c>
      <c r="F2548" s="2200" t="str">
        <f t="shared" si="158"/>
        <v>36</v>
      </c>
      <c r="G2548" s="2200" t="str">
        <f t="shared" si="159"/>
        <v>81677</v>
      </c>
      <c r="H2548" s="2200">
        <f>--SUBTOTAL(3,C$2:C2548)</f>
        <v>99</v>
      </c>
    </row>
    <row r="2549" spans="1:8" hidden="1" x14ac:dyDescent="0.15">
      <c r="A2549" s="2200" t="s">
        <v>10723</v>
      </c>
      <c r="B2549" s="2200" t="s">
        <v>15808</v>
      </c>
      <c r="C2549" s="2200" t="s">
        <v>15809</v>
      </c>
      <c r="D2549" s="2200" t="str">
        <f t="shared" si="156"/>
        <v>NY</v>
      </c>
      <c r="E2549" s="2200">
        <f t="shared" si="157"/>
        <v>13</v>
      </c>
      <c r="F2549" s="2200" t="str">
        <f t="shared" si="158"/>
        <v>36</v>
      </c>
      <c r="G2549" s="2200" t="str">
        <f t="shared" si="159"/>
        <v>84000</v>
      </c>
      <c r="H2549" s="2200">
        <f>--SUBTOTAL(3,C$2:C2549)</f>
        <v>99</v>
      </c>
    </row>
    <row r="2550" spans="1:8" hidden="1" x14ac:dyDescent="0.15">
      <c r="A2550" s="2200" t="s">
        <v>10723</v>
      </c>
      <c r="B2550" s="2200" t="s">
        <v>15810</v>
      </c>
      <c r="C2550" s="2200" t="s">
        <v>15811</v>
      </c>
      <c r="D2550" s="2200" t="str">
        <f t="shared" si="156"/>
        <v>NY</v>
      </c>
      <c r="E2550" s="2200">
        <f t="shared" si="157"/>
        <v>14</v>
      </c>
      <c r="F2550" s="2200" t="str">
        <f t="shared" si="158"/>
        <v>36</v>
      </c>
      <c r="G2550" s="2200" t="str">
        <f t="shared" si="159"/>
        <v>84077</v>
      </c>
      <c r="H2550" s="2200">
        <f>--SUBTOTAL(3,C$2:C2550)</f>
        <v>99</v>
      </c>
    </row>
    <row r="2551" spans="1:8" hidden="1" x14ac:dyDescent="0.15">
      <c r="A2551" s="2200" t="s">
        <v>10723</v>
      </c>
      <c r="B2551" s="2200" t="s">
        <v>15812</v>
      </c>
      <c r="C2551" s="2200" t="s">
        <v>15813</v>
      </c>
      <c r="D2551" s="2200" t="str">
        <f t="shared" si="156"/>
        <v>OH</v>
      </c>
      <c r="E2551" s="2200">
        <f t="shared" si="157"/>
        <v>11</v>
      </c>
      <c r="F2551" s="2200" t="str">
        <f t="shared" si="158"/>
        <v>39</v>
      </c>
      <c r="G2551" s="2200" t="str">
        <f t="shared" si="159"/>
        <v>01000</v>
      </c>
      <c r="H2551" s="2200">
        <f>--SUBTOTAL(3,C$2:C2551)</f>
        <v>99</v>
      </c>
    </row>
    <row r="2552" spans="1:8" hidden="1" x14ac:dyDescent="0.15">
      <c r="A2552" s="2200" t="s">
        <v>10723</v>
      </c>
      <c r="B2552" s="2200" t="s">
        <v>15814</v>
      </c>
      <c r="C2552" s="2200" t="s">
        <v>15815</v>
      </c>
      <c r="D2552" s="2200" t="str">
        <f t="shared" si="156"/>
        <v>OH</v>
      </c>
      <c r="E2552" s="2200">
        <f t="shared" si="157"/>
        <v>12</v>
      </c>
      <c r="F2552" s="2200" t="str">
        <f t="shared" si="158"/>
        <v>39</v>
      </c>
      <c r="G2552" s="2200" t="str">
        <f t="shared" si="159"/>
        <v>02736</v>
      </c>
      <c r="H2552" s="2200">
        <f>--SUBTOTAL(3,C$2:C2552)</f>
        <v>99</v>
      </c>
    </row>
    <row r="2553" spans="1:8" hidden="1" x14ac:dyDescent="0.15">
      <c r="A2553" s="2200" t="s">
        <v>10723</v>
      </c>
      <c r="B2553" s="2200" t="s">
        <v>15816</v>
      </c>
      <c r="C2553" s="2200" t="s">
        <v>15817</v>
      </c>
      <c r="D2553" s="2200" t="str">
        <f t="shared" si="156"/>
        <v>OH</v>
      </c>
      <c r="E2553" s="2200">
        <f t="shared" si="157"/>
        <v>15</v>
      </c>
      <c r="F2553" s="2200" t="str">
        <f t="shared" si="158"/>
        <v>39</v>
      </c>
      <c r="G2553" s="2200" t="str">
        <f t="shared" si="159"/>
        <v>03828</v>
      </c>
      <c r="H2553" s="2200">
        <f>--SUBTOTAL(3,C$2:C2553)</f>
        <v>99</v>
      </c>
    </row>
    <row r="2554" spans="1:8" hidden="1" x14ac:dyDescent="0.15">
      <c r="A2554" s="2200" t="s">
        <v>10723</v>
      </c>
      <c r="B2554" s="2200" t="s">
        <v>15818</v>
      </c>
      <c r="C2554" s="2200" t="s">
        <v>15819</v>
      </c>
      <c r="D2554" s="2200" t="str">
        <f t="shared" si="156"/>
        <v>OH</v>
      </c>
      <c r="E2554" s="2200">
        <f t="shared" si="157"/>
        <v>17</v>
      </c>
      <c r="F2554" s="2200" t="str">
        <f t="shared" si="158"/>
        <v>39</v>
      </c>
      <c r="G2554" s="2200" t="str">
        <f t="shared" si="159"/>
        <v>04720</v>
      </c>
      <c r="H2554" s="2200">
        <f>--SUBTOTAL(3,C$2:C2554)</f>
        <v>99</v>
      </c>
    </row>
    <row r="2555" spans="1:8" hidden="1" x14ac:dyDescent="0.15">
      <c r="A2555" s="2200" t="s">
        <v>10723</v>
      </c>
      <c r="B2555" s="2200" t="s">
        <v>15820</v>
      </c>
      <c r="C2555" s="2200" t="s">
        <v>15821</v>
      </c>
      <c r="D2555" s="2200" t="str">
        <f t="shared" si="156"/>
        <v>OH</v>
      </c>
      <c r="E2555" s="2200">
        <f t="shared" si="157"/>
        <v>19</v>
      </c>
      <c r="F2555" s="2200" t="str">
        <f t="shared" si="158"/>
        <v>39</v>
      </c>
      <c r="G2555" s="2200" t="str">
        <f t="shared" si="159"/>
        <v>07972</v>
      </c>
      <c r="H2555" s="2200">
        <f>--SUBTOTAL(3,C$2:C2555)</f>
        <v>99</v>
      </c>
    </row>
    <row r="2556" spans="1:8" hidden="1" x14ac:dyDescent="0.15">
      <c r="A2556" s="2200" t="s">
        <v>10723</v>
      </c>
      <c r="B2556" s="2200" t="s">
        <v>15822</v>
      </c>
      <c r="C2556" s="2200" t="s">
        <v>15823</v>
      </c>
      <c r="D2556" s="2200" t="str">
        <f t="shared" si="156"/>
        <v>OH</v>
      </c>
      <c r="E2556" s="2200">
        <f t="shared" si="157"/>
        <v>15</v>
      </c>
      <c r="F2556" s="2200" t="str">
        <f t="shared" si="158"/>
        <v>39</v>
      </c>
      <c r="G2556" s="2200" t="str">
        <f t="shared" si="159"/>
        <v>09680</v>
      </c>
      <c r="H2556" s="2200">
        <f>--SUBTOTAL(3,C$2:C2556)</f>
        <v>99</v>
      </c>
    </row>
    <row r="2557" spans="1:8" hidden="1" x14ac:dyDescent="0.15">
      <c r="A2557" s="2200" t="s">
        <v>10723</v>
      </c>
      <c r="B2557" s="2200" t="s">
        <v>15824</v>
      </c>
      <c r="C2557" s="2200" t="s">
        <v>15825</v>
      </c>
      <c r="D2557" s="2200" t="str">
        <f t="shared" si="156"/>
        <v>OH</v>
      </c>
      <c r="E2557" s="2200">
        <f t="shared" si="157"/>
        <v>12</v>
      </c>
      <c r="F2557" s="2200" t="str">
        <f t="shared" si="158"/>
        <v>39</v>
      </c>
      <c r="G2557" s="2200" t="str">
        <f t="shared" si="159"/>
        <v>12000</v>
      </c>
      <c r="H2557" s="2200">
        <f>--SUBTOTAL(3,C$2:C2557)</f>
        <v>99</v>
      </c>
    </row>
    <row r="2558" spans="1:8" hidden="1" x14ac:dyDescent="0.15">
      <c r="A2558" s="2200" t="s">
        <v>10723</v>
      </c>
      <c r="B2558" s="2200" t="s">
        <v>15826</v>
      </c>
      <c r="C2558" s="2200" t="s">
        <v>15827</v>
      </c>
      <c r="D2558" s="2200" t="str">
        <f t="shared" si="156"/>
        <v>OH</v>
      </c>
      <c r="E2558" s="2200">
        <f t="shared" si="157"/>
        <v>16</v>
      </c>
      <c r="F2558" s="2200" t="str">
        <f t="shared" si="158"/>
        <v>39</v>
      </c>
      <c r="G2558" s="2200" t="str">
        <f t="shared" si="159"/>
        <v>15000</v>
      </c>
      <c r="H2558" s="2200">
        <f>--SUBTOTAL(3,C$2:C2558)</f>
        <v>99</v>
      </c>
    </row>
    <row r="2559" spans="1:8" hidden="1" x14ac:dyDescent="0.15">
      <c r="A2559" s="2200" t="s">
        <v>10723</v>
      </c>
      <c r="B2559" s="2200" t="s">
        <v>15828</v>
      </c>
      <c r="C2559" s="2200" t="s">
        <v>15829</v>
      </c>
      <c r="D2559" s="2200" t="str">
        <f t="shared" si="156"/>
        <v>OH</v>
      </c>
      <c r="E2559" s="2200">
        <f t="shared" si="157"/>
        <v>15</v>
      </c>
      <c r="F2559" s="2200" t="str">
        <f t="shared" si="158"/>
        <v>39</v>
      </c>
      <c r="G2559" s="2200" t="str">
        <f t="shared" si="159"/>
        <v>16000</v>
      </c>
      <c r="H2559" s="2200">
        <f>--SUBTOTAL(3,C$2:C2559)</f>
        <v>99</v>
      </c>
    </row>
    <row r="2560" spans="1:8" hidden="1" x14ac:dyDescent="0.15">
      <c r="A2560" s="2200" t="s">
        <v>10723</v>
      </c>
      <c r="B2560" s="2200" t="s">
        <v>15830</v>
      </c>
      <c r="C2560" s="2200" t="s">
        <v>15831</v>
      </c>
      <c r="D2560" s="2200" t="str">
        <f t="shared" si="156"/>
        <v>OH</v>
      </c>
      <c r="E2560" s="2200">
        <f t="shared" si="157"/>
        <v>23</v>
      </c>
      <c r="F2560" s="2200" t="str">
        <f t="shared" si="158"/>
        <v>39</v>
      </c>
      <c r="G2560" s="2200" t="str">
        <f t="shared" si="159"/>
        <v>16014</v>
      </c>
      <c r="H2560" s="2200">
        <f>--SUBTOTAL(3,C$2:C2560)</f>
        <v>99</v>
      </c>
    </row>
    <row r="2561" spans="1:8" hidden="1" x14ac:dyDescent="0.15">
      <c r="A2561" s="2200" t="s">
        <v>10723</v>
      </c>
      <c r="B2561" s="2200" t="s">
        <v>15832</v>
      </c>
      <c r="C2561" s="2200" t="s">
        <v>15833</v>
      </c>
      <c r="D2561" s="2200" t="str">
        <f t="shared" si="156"/>
        <v>OH</v>
      </c>
      <c r="E2561" s="2200">
        <f t="shared" si="157"/>
        <v>14</v>
      </c>
      <c r="F2561" s="2200" t="str">
        <f t="shared" si="158"/>
        <v>39</v>
      </c>
      <c r="G2561" s="2200" t="str">
        <f t="shared" si="159"/>
        <v>18000</v>
      </c>
      <c r="H2561" s="2200">
        <f>--SUBTOTAL(3,C$2:C2561)</f>
        <v>99</v>
      </c>
    </row>
    <row r="2562" spans="1:8" hidden="1" x14ac:dyDescent="0.15">
      <c r="A2562" s="2200" t="s">
        <v>10723</v>
      </c>
      <c r="B2562" s="2200" t="s">
        <v>15834</v>
      </c>
      <c r="C2562" s="2200" t="s">
        <v>15835</v>
      </c>
      <c r="D2562" s="2200" t="str">
        <f t="shared" ref="D2562:D2625" si="160">MID(C2562,E2562+2,2)</f>
        <v>OH</v>
      </c>
      <c r="E2562" s="2200">
        <f t="shared" ref="E2562:E2625" si="161">FIND(",",C2562)</f>
        <v>20</v>
      </c>
      <c r="F2562" s="2200" t="str">
        <f t="shared" si="158"/>
        <v>39</v>
      </c>
      <c r="G2562" s="2200" t="str">
        <f t="shared" si="159"/>
        <v>19778</v>
      </c>
      <c r="H2562" s="2200">
        <f>--SUBTOTAL(3,C$2:C2562)</f>
        <v>99</v>
      </c>
    </row>
    <row r="2563" spans="1:8" hidden="1" x14ac:dyDescent="0.15">
      <c r="A2563" s="2200" t="s">
        <v>10723</v>
      </c>
      <c r="B2563" s="2200" t="s">
        <v>15836</v>
      </c>
      <c r="C2563" s="2200" t="s">
        <v>15837</v>
      </c>
      <c r="D2563" s="2200" t="str">
        <f t="shared" si="160"/>
        <v>OH</v>
      </c>
      <c r="E2563" s="2200">
        <f t="shared" si="161"/>
        <v>12</v>
      </c>
      <c r="F2563" s="2200" t="str">
        <f t="shared" ref="F2563:F2626" si="162">MID(B2563,3,2)</f>
        <v>39</v>
      </c>
      <c r="G2563" s="2200" t="str">
        <f t="shared" ref="G2563:G2626" si="163">MID(B2563,5,5)</f>
        <v>21000</v>
      </c>
      <c r="H2563" s="2200">
        <f>--SUBTOTAL(3,C$2:C2563)</f>
        <v>99</v>
      </c>
    </row>
    <row r="2564" spans="1:8" hidden="1" x14ac:dyDescent="0.15">
      <c r="A2564" s="2200" t="s">
        <v>10723</v>
      </c>
      <c r="B2564" s="2200" t="s">
        <v>15838</v>
      </c>
      <c r="C2564" s="2200" t="s">
        <v>15839</v>
      </c>
      <c r="D2564" s="2200" t="str">
        <f t="shared" si="160"/>
        <v>OH</v>
      </c>
      <c r="E2564" s="2200">
        <f t="shared" si="161"/>
        <v>14</v>
      </c>
      <c r="F2564" s="2200" t="str">
        <f t="shared" si="162"/>
        <v>39</v>
      </c>
      <c r="G2564" s="2200" t="str">
        <f t="shared" si="163"/>
        <v>21434</v>
      </c>
      <c r="H2564" s="2200">
        <f>--SUBTOTAL(3,C$2:C2564)</f>
        <v>99</v>
      </c>
    </row>
    <row r="2565" spans="1:8" hidden="1" x14ac:dyDescent="0.15">
      <c r="A2565" s="2200" t="s">
        <v>10723</v>
      </c>
      <c r="B2565" s="2200" t="s">
        <v>15840</v>
      </c>
      <c r="C2565" s="2200" t="s">
        <v>15841</v>
      </c>
      <c r="D2565" s="2200" t="str">
        <f t="shared" si="160"/>
        <v>OH</v>
      </c>
      <c r="E2565" s="2200">
        <f t="shared" si="161"/>
        <v>12</v>
      </c>
      <c r="F2565" s="2200" t="str">
        <f t="shared" si="162"/>
        <v>39</v>
      </c>
      <c r="G2565" s="2200" t="str">
        <f t="shared" si="163"/>
        <v>22694</v>
      </c>
      <c r="H2565" s="2200">
        <f>--SUBTOTAL(3,C$2:C2565)</f>
        <v>99</v>
      </c>
    </row>
    <row r="2566" spans="1:8" hidden="1" x14ac:dyDescent="0.15">
      <c r="A2566" s="2200" t="s">
        <v>10723</v>
      </c>
      <c r="B2566" s="2200" t="s">
        <v>15842</v>
      </c>
      <c r="C2566" s="2200" t="s">
        <v>15843</v>
      </c>
      <c r="D2566" s="2200" t="str">
        <f t="shared" si="160"/>
        <v>OH</v>
      </c>
      <c r="E2566" s="2200">
        <f t="shared" si="161"/>
        <v>12</v>
      </c>
      <c r="F2566" s="2200" t="str">
        <f t="shared" si="162"/>
        <v>39</v>
      </c>
      <c r="G2566" s="2200" t="str">
        <f t="shared" si="163"/>
        <v>25256</v>
      </c>
      <c r="H2566" s="2200">
        <f>--SUBTOTAL(3,C$2:C2566)</f>
        <v>99</v>
      </c>
    </row>
    <row r="2567" spans="1:8" hidden="1" x14ac:dyDescent="0.15">
      <c r="A2567" s="2200" t="s">
        <v>10723</v>
      </c>
      <c r="B2567" s="2200" t="s">
        <v>15844</v>
      </c>
      <c r="C2567" s="2200" t="s">
        <v>15845</v>
      </c>
      <c r="D2567" s="2200" t="str">
        <f t="shared" si="160"/>
        <v>OH</v>
      </c>
      <c r="E2567" s="2200">
        <f t="shared" si="161"/>
        <v>12</v>
      </c>
      <c r="F2567" s="2200" t="str">
        <f t="shared" si="162"/>
        <v>39</v>
      </c>
      <c r="G2567" s="2200" t="str">
        <f t="shared" si="163"/>
        <v>25704</v>
      </c>
      <c r="H2567" s="2200">
        <f>--SUBTOTAL(3,C$2:C2567)</f>
        <v>99</v>
      </c>
    </row>
    <row r="2568" spans="1:8" hidden="1" x14ac:dyDescent="0.15">
      <c r="A2568" s="2200" t="s">
        <v>10723</v>
      </c>
      <c r="B2568" s="2200" t="s">
        <v>15846</v>
      </c>
      <c r="C2568" s="2200" t="s">
        <v>15847</v>
      </c>
      <c r="D2568" s="2200" t="str">
        <f t="shared" si="160"/>
        <v>OH</v>
      </c>
      <c r="E2568" s="2200">
        <f t="shared" si="161"/>
        <v>14</v>
      </c>
      <c r="F2568" s="2200" t="str">
        <f t="shared" si="162"/>
        <v>39</v>
      </c>
      <c r="G2568" s="2200" t="str">
        <f t="shared" si="163"/>
        <v>25914</v>
      </c>
      <c r="H2568" s="2200">
        <f>--SUBTOTAL(3,C$2:C2568)</f>
        <v>99</v>
      </c>
    </row>
    <row r="2569" spans="1:8" hidden="1" x14ac:dyDescent="0.15">
      <c r="A2569" s="2200" t="s">
        <v>10723</v>
      </c>
      <c r="B2569" s="2200" t="s">
        <v>15848</v>
      </c>
      <c r="C2569" s="2200" t="s">
        <v>15849</v>
      </c>
      <c r="D2569" s="2200" t="str">
        <f t="shared" si="160"/>
        <v>OH</v>
      </c>
      <c r="E2569" s="2200">
        <f t="shared" si="161"/>
        <v>15</v>
      </c>
      <c r="F2569" s="2200" t="str">
        <f t="shared" si="162"/>
        <v>39</v>
      </c>
      <c r="G2569" s="2200" t="str">
        <f t="shared" si="163"/>
        <v>25970</v>
      </c>
      <c r="H2569" s="2200">
        <f>--SUBTOTAL(3,C$2:C2569)</f>
        <v>99</v>
      </c>
    </row>
    <row r="2570" spans="1:8" hidden="1" x14ac:dyDescent="0.15">
      <c r="A2570" s="2200" t="s">
        <v>10723</v>
      </c>
      <c r="B2570" s="2200" t="s">
        <v>15850</v>
      </c>
      <c r="C2570" s="2200" t="s">
        <v>15851</v>
      </c>
      <c r="D2570" s="2200" t="str">
        <f t="shared" si="160"/>
        <v>OH</v>
      </c>
      <c r="E2570" s="2200">
        <f t="shared" si="161"/>
        <v>13</v>
      </c>
      <c r="F2570" s="2200" t="str">
        <f t="shared" si="162"/>
        <v>39</v>
      </c>
      <c r="G2570" s="2200" t="str">
        <f t="shared" si="163"/>
        <v>27048</v>
      </c>
      <c r="H2570" s="2200">
        <f>--SUBTOTAL(3,C$2:C2570)</f>
        <v>99</v>
      </c>
    </row>
    <row r="2571" spans="1:8" hidden="1" x14ac:dyDescent="0.15">
      <c r="A2571" s="2200" t="s">
        <v>10723</v>
      </c>
      <c r="B2571" s="2200" t="s">
        <v>15852</v>
      </c>
      <c r="C2571" s="2200" t="s">
        <v>15853</v>
      </c>
      <c r="D2571" s="2200" t="str">
        <f t="shared" si="160"/>
        <v>OH</v>
      </c>
      <c r="E2571" s="2200">
        <f t="shared" si="161"/>
        <v>13</v>
      </c>
      <c r="F2571" s="2200" t="str">
        <f t="shared" si="162"/>
        <v>39</v>
      </c>
      <c r="G2571" s="2200" t="str">
        <f t="shared" si="163"/>
        <v>29106</v>
      </c>
      <c r="H2571" s="2200">
        <f>--SUBTOTAL(3,C$2:C2571)</f>
        <v>99</v>
      </c>
    </row>
    <row r="2572" spans="1:8" hidden="1" x14ac:dyDescent="0.15">
      <c r="A2572" s="2200" t="s">
        <v>10723</v>
      </c>
      <c r="B2572" s="2200" t="s">
        <v>15854</v>
      </c>
      <c r="C2572" s="2200" t="s">
        <v>15855</v>
      </c>
      <c r="D2572" s="2200" t="str">
        <f t="shared" si="160"/>
        <v>OH</v>
      </c>
      <c r="E2572" s="2200">
        <f t="shared" si="161"/>
        <v>22</v>
      </c>
      <c r="F2572" s="2200" t="str">
        <f t="shared" si="162"/>
        <v>39</v>
      </c>
      <c r="G2572" s="2200" t="str">
        <f t="shared" si="163"/>
        <v>29428</v>
      </c>
      <c r="H2572" s="2200">
        <f>--SUBTOTAL(3,C$2:C2572)</f>
        <v>99</v>
      </c>
    </row>
    <row r="2573" spans="1:8" hidden="1" x14ac:dyDescent="0.15">
      <c r="A2573" s="2200" t="s">
        <v>10723</v>
      </c>
      <c r="B2573" s="2200" t="s">
        <v>15856</v>
      </c>
      <c r="C2573" s="2200" t="s">
        <v>15857</v>
      </c>
      <c r="D2573" s="2200" t="str">
        <f t="shared" si="160"/>
        <v>OH</v>
      </c>
      <c r="E2573" s="2200">
        <f t="shared" si="161"/>
        <v>11</v>
      </c>
      <c r="F2573" s="2200" t="str">
        <f t="shared" si="162"/>
        <v>39</v>
      </c>
      <c r="G2573" s="2200" t="str">
        <f t="shared" si="163"/>
        <v>31860</v>
      </c>
      <c r="H2573" s="2200">
        <f>--SUBTOTAL(3,C$2:C2573)</f>
        <v>99</v>
      </c>
    </row>
    <row r="2574" spans="1:8" hidden="1" x14ac:dyDescent="0.15">
      <c r="A2574" s="2200" t="s">
        <v>10723</v>
      </c>
      <c r="B2574" s="2200" t="s">
        <v>15858</v>
      </c>
      <c r="C2574" s="2200" t="s">
        <v>15859</v>
      </c>
      <c r="D2574" s="2200" t="str">
        <f t="shared" si="160"/>
        <v>OH</v>
      </c>
      <c r="E2574" s="2200">
        <f t="shared" si="161"/>
        <v>16</v>
      </c>
      <c r="F2574" s="2200" t="str">
        <f t="shared" si="162"/>
        <v>39</v>
      </c>
      <c r="G2574" s="2200" t="str">
        <f t="shared" si="163"/>
        <v>32592</v>
      </c>
      <c r="H2574" s="2200">
        <f>--SUBTOTAL(3,C$2:C2574)</f>
        <v>99</v>
      </c>
    </row>
    <row r="2575" spans="1:8" hidden="1" x14ac:dyDescent="0.15">
      <c r="A2575" s="2200" t="s">
        <v>10723</v>
      </c>
      <c r="B2575" s="2200" t="s">
        <v>15860</v>
      </c>
      <c r="C2575" s="2200" t="s">
        <v>15861</v>
      </c>
      <c r="D2575" s="2200" t="str">
        <f t="shared" si="160"/>
        <v>OH</v>
      </c>
      <c r="E2575" s="2200">
        <f t="shared" si="161"/>
        <v>14</v>
      </c>
      <c r="F2575" s="2200" t="str">
        <f t="shared" si="162"/>
        <v>39</v>
      </c>
      <c r="G2575" s="2200" t="str">
        <f t="shared" si="163"/>
        <v>33012</v>
      </c>
      <c r="H2575" s="2200">
        <f>--SUBTOTAL(3,C$2:C2575)</f>
        <v>99</v>
      </c>
    </row>
    <row r="2576" spans="1:8" hidden="1" x14ac:dyDescent="0.15">
      <c r="A2576" s="2200" t="s">
        <v>10723</v>
      </c>
      <c r="B2576" s="2200" t="s">
        <v>15862</v>
      </c>
      <c r="C2576" s="2200" t="s">
        <v>15863</v>
      </c>
      <c r="D2576" s="2200" t="str">
        <f t="shared" si="160"/>
        <v>OH</v>
      </c>
      <c r="E2576" s="2200">
        <f t="shared" si="161"/>
        <v>14</v>
      </c>
      <c r="F2576" s="2200" t="str">
        <f t="shared" si="162"/>
        <v>39</v>
      </c>
      <c r="G2576" s="2200" t="str">
        <f t="shared" si="163"/>
        <v>35476</v>
      </c>
      <c r="H2576" s="2200">
        <f>--SUBTOTAL(3,C$2:C2576)</f>
        <v>99</v>
      </c>
    </row>
    <row r="2577" spans="1:8" hidden="1" x14ac:dyDescent="0.15">
      <c r="A2577" s="2200" t="s">
        <v>10723</v>
      </c>
      <c r="B2577" s="2200" t="s">
        <v>15864</v>
      </c>
      <c r="C2577" s="2200" t="s">
        <v>15865</v>
      </c>
      <c r="D2577" s="2200" t="str">
        <f t="shared" si="160"/>
        <v>OH</v>
      </c>
      <c r="E2577" s="2200">
        <f t="shared" si="161"/>
        <v>19</v>
      </c>
      <c r="F2577" s="2200" t="str">
        <f t="shared" si="162"/>
        <v>39</v>
      </c>
      <c r="G2577" s="2200" t="str">
        <f t="shared" si="163"/>
        <v>36610</v>
      </c>
      <c r="H2577" s="2200">
        <f>--SUBTOTAL(3,C$2:C2577)</f>
        <v>99</v>
      </c>
    </row>
    <row r="2578" spans="1:8" hidden="1" x14ac:dyDescent="0.15">
      <c r="A2578" s="2200" t="s">
        <v>10723</v>
      </c>
      <c r="B2578" s="2200" t="s">
        <v>15866</v>
      </c>
      <c r="C2578" s="2200" t="s">
        <v>15867</v>
      </c>
      <c r="D2578" s="2200" t="str">
        <f t="shared" si="160"/>
        <v>OH</v>
      </c>
      <c r="E2578" s="2200">
        <f t="shared" si="161"/>
        <v>10</v>
      </c>
      <c r="F2578" s="2200" t="str">
        <f t="shared" si="162"/>
        <v>39</v>
      </c>
      <c r="G2578" s="2200" t="str">
        <f t="shared" si="163"/>
        <v>39872</v>
      </c>
      <c r="H2578" s="2200">
        <f>--SUBTOTAL(3,C$2:C2578)</f>
        <v>99</v>
      </c>
    </row>
    <row r="2579" spans="1:8" hidden="1" x14ac:dyDescent="0.15">
      <c r="A2579" s="2200" t="s">
        <v>10723</v>
      </c>
      <c r="B2579" s="2200" t="s">
        <v>15868</v>
      </c>
      <c r="C2579" s="2200" t="s">
        <v>15869</v>
      </c>
      <c r="D2579" s="2200" t="str">
        <f t="shared" si="160"/>
        <v>OH</v>
      </c>
      <c r="E2579" s="2200">
        <f t="shared" si="161"/>
        <v>15</v>
      </c>
      <c r="F2579" s="2200" t="str">
        <f t="shared" si="162"/>
        <v>39</v>
      </c>
      <c r="G2579" s="2200" t="str">
        <f t="shared" si="163"/>
        <v>40040</v>
      </c>
      <c r="H2579" s="2200">
        <f>--SUBTOTAL(3,C$2:C2579)</f>
        <v>99</v>
      </c>
    </row>
    <row r="2580" spans="1:8" hidden="1" x14ac:dyDescent="0.15">
      <c r="A2580" s="2200" t="s">
        <v>10723</v>
      </c>
      <c r="B2580" s="2200" t="s">
        <v>15870</v>
      </c>
      <c r="C2580" s="2200" t="s">
        <v>15871</v>
      </c>
      <c r="D2580" s="2200" t="str">
        <f t="shared" si="160"/>
        <v>OH</v>
      </c>
      <c r="E2580" s="2200">
        <f t="shared" si="161"/>
        <v>14</v>
      </c>
      <c r="F2580" s="2200" t="str">
        <f t="shared" si="162"/>
        <v>39</v>
      </c>
      <c r="G2580" s="2200" t="str">
        <f t="shared" si="163"/>
        <v>41664</v>
      </c>
      <c r="H2580" s="2200">
        <f>--SUBTOTAL(3,C$2:C2580)</f>
        <v>99</v>
      </c>
    </row>
    <row r="2581" spans="1:8" hidden="1" x14ac:dyDescent="0.15">
      <c r="A2581" s="2200" t="s">
        <v>10723</v>
      </c>
      <c r="B2581" s="2200" t="s">
        <v>15872</v>
      </c>
      <c r="C2581" s="2200" t="s">
        <v>15873</v>
      </c>
      <c r="D2581" s="2200" t="str">
        <f t="shared" si="160"/>
        <v>OH</v>
      </c>
      <c r="E2581" s="2200">
        <f t="shared" si="161"/>
        <v>15</v>
      </c>
      <c r="F2581" s="2200" t="str">
        <f t="shared" si="162"/>
        <v>39</v>
      </c>
      <c r="G2581" s="2200" t="str">
        <f t="shared" si="163"/>
        <v>41720</v>
      </c>
      <c r="H2581" s="2200">
        <f>--SUBTOTAL(3,C$2:C2581)</f>
        <v>99</v>
      </c>
    </row>
    <row r="2582" spans="1:8" hidden="1" x14ac:dyDescent="0.15">
      <c r="A2582" s="2200" t="s">
        <v>10723</v>
      </c>
      <c r="B2582" s="2200" t="s">
        <v>15874</v>
      </c>
      <c r="C2582" s="2200" t="s">
        <v>15875</v>
      </c>
      <c r="D2582" s="2200" t="str">
        <f t="shared" si="160"/>
        <v>OH</v>
      </c>
      <c r="E2582" s="2200">
        <f t="shared" si="161"/>
        <v>10</v>
      </c>
      <c r="F2582" s="2200" t="str">
        <f t="shared" si="162"/>
        <v>39</v>
      </c>
      <c r="G2582" s="2200" t="str">
        <f t="shared" si="163"/>
        <v>43554</v>
      </c>
      <c r="H2582" s="2200">
        <f>--SUBTOTAL(3,C$2:C2582)</f>
        <v>99</v>
      </c>
    </row>
    <row r="2583" spans="1:8" hidden="1" x14ac:dyDescent="0.15">
      <c r="A2583" s="2200" t="s">
        <v>10723</v>
      </c>
      <c r="B2583" s="2200" t="s">
        <v>15876</v>
      </c>
      <c r="C2583" s="2200" t="s">
        <v>15877</v>
      </c>
      <c r="D2583" s="2200" t="str">
        <f t="shared" si="160"/>
        <v>OH</v>
      </c>
      <c r="E2583" s="2200">
        <f t="shared" si="161"/>
        <v>12</v>
      </c>
      <c r="F2583" s="2200" t="str">
        <f t="shared" si="162"/>
        <v>39</v>
      </c>
      <c r="G2583" s="2200" t="str">
        <f t="shared" si="163"/>
        <v>44856</v>
      </c>
      <c r="H2583" s="2200">
        <f>--SUBTOTAL(3,C$2:C2583)</f>
        <v>99</v>
      </c>
    </row>
    <row r="2584" spans="1:8" hidden="1" x14ac:dyDescent="0.15">
      <c r="A2584" s="2200" t="s">
        <v>10723</v>
      </c>
      <c r="B2584" s="2200" t="s">
        <v>15878</v>
      </c>
      <c r="C2584" s="2200" t="s">
        <v>15879</v>
      </c>
      <c r="D2584" s="2200" t="str">
        <f t="shared" si="160"/>
        <v>OH</v>
      </c>
      <c r="E2584" s="2200">
        <f t="shared" si="161"/>
        <v>15</v>
      </c>
      <c r="F2584" s="2200" t="str">
        <f t="shared" si="162"/>
        <v>39</v>
      </c>
      <c r="G2584" s="2200" t="str">
        <f t="shared" si="163"/>
        <v>47138</v>
      </c>
      <c r="H2584" s="2200">
        <f>--SUBTOTAL(3,C$2:C2584)</f>
        <v>99</v>
      </c>
    </row>
    <row r="2585" spans="1:8" hidden="1" x14ac:dyDescent="0.15">
      <c r="A2585" s="2200" t="s">
        <v>10723</v>
      </c>
      <c r="B2585" s="2200" t="s">
        <v>15880</v>
      </c>
      <c r="C2585" s="2200" t="s">
        <v>15881</v>
      </c>
      <c r="D2585" s="2200" t="str">
        <f t="shared" si="160"/>
        <v>OH</v>
      </c>
      <c r="E2585" s="2200">
        <f t="shared" si="161"/>
        <v>19</v>
      </c>
      <c r="F2585" s="2200" t="str">
        <f t="shared" si="162"/>
        <v>39</v>
      </c>
      <c r="G2585" s="2200" t="str">
        <f t="shared" si="163"/>
        <v>47306</v>
      </c>
      <c r="H2585" s="2200">
        <f>--SUBTOTAL(3,C$2:C2585)</f>
        <v>99</v>
      </c>
    </row>
    <row r="2586" spans="1:8" hidden="1" x14ac:dyDescent="0.15">
      <c r="A2586" s="2200" t="s">
        <v>10723</v>
      </c>
      <c r="B2586" s="2200" t="s">
        <v>15882</v>
      </c>
      <c r="C2586" s="2200" t="s">
        <v>15883</v>
      </c>
      <c r="D2586" s="2200" t="str">
        <f t="shared" si="160"/>
        <v>OH</v>
      </c>
      <c r="E2586" s="2200">
        <f t="shared" si="161"/>
        <v>12</v>
      </c>
      <c r="F2586" s="2200" t="str">
        <f t="shared" si="162"/>
        <v>39</v>
      </c>
      <c r="G2586" s="2200" t="str">
        <f t="shared" si="163"/>
        <v>47754</v>
      </c>
      <c r="H2586" s="2200">
        <f>--SUBTOTAL(3,C$2:C2586)</f>
        <v>99</v>
      </c>
    </row>
    <row r="2587" spans="1:8" hidden="1" x14ac:dyDescent="0.15">
      <c r="A2587" s="2200" t="s">
        <v>10723</v>
      </c>
      <c r="B2587" s="2200" t="s">
        <v>15884</v>
      </c>
      <c r="C2587" s="2200" t="s">
        <v>15885</v>
      </c>
      <c r="D2587" s="2200" t="str">
        <f t="shared" si="160"/>
        <v>OH</v>
      </c>
      <c r="E2587" s="2200">
        <f t="shared" si="161"/>
        <v>11</v>
      </c>
      <c r="F2587" s="2200" t="str">
        <f t="shared" si="162"/>
        <v>39</v>
      </c>
      <c r="G2587" s="2200" t="str">
        <f t="shared" si="163"/>
        <v>48188</v>
      </c>
      <c r="H2587" s="2200">
        <f>--SUBTOTAL(3,C$2:C2587)</f>
        <v>99</v>
      </c>
    </row>
    <row r="2588" spans="1:8" hidden="1" x14ac:dyDescent="0.15">
      <c r="A2588" s="2200" t="s">
        <v>10723</v>
      </c>
      <c r="B2588" s="2200" t="s">
        <v>15886</v>
      </c>
      <c r="C2588" s="2200" t="s">
        <v>15887</v>
      </c>
      <c r="D2588" s="2200" t="str">
        <f t="shared" si="160"/>
        <v>OH</v>
      </c>
      <c r="E2588" s="2200">
        <f t="shared" si="161"/>
        <v>15</v>
      </c>
      <c r="F2588" s="2200" t="str">
        <f t="shared" si="162"/>
        <v>39</v>
      </c>
      <c r="G2588" s="2200" t="str">
        <f t="shared" si="163"/>
        <v>48244</v>
      </c>
      <c r="H2588" s="2200">
        <f>--SUBTOTAL(3,C$2:C2588)</f>
        <v>99</v>
      </c>
    </row>
    <row r="2589" spans="1:8" hidden="1" x14ac:dyDescent="0.15">
      <c r="A2589" s="2200" t="s">
        <v>10723</v>
      </c>
      <c r="B2589" s="2200" t="s">
        <v>15888</v>
      </c>
      <c r="C2589" s="2200" t="s">
        <v>15889</v>
      </c>
      <c r="D2589" s="2200" t="str">
        <f t="shared" si="160"/>
        <v>OH</v>
      </c>
      <c r="E2589" s="2200">
        <f t="shared" si="161"/>
        <v>12</v>
      </c>
      <c r="F2589" s="2200" t="str">
        <f t="shared" si="162"/>
        <v>39</v>
      </c>
      <c r="G2589" s="2200" t="str">
        <f t="shared" si="163"/>
        <v>48790</v>
      </c>
      <c r="H2589" s="2200">
        <f>--SUBTOTAL(3,C$2:C2589)</f>
        <v>99</v>
      </c>
    </row>
    <row r="2590" spans="1:8" hidden="1" x14ac:dyDescent="0.15">
      <c r="A2590" s="2200" t="s">
        <v>10723</v>
      </c>
      <c r="B2590" s="2200" t="s">
        <v>15890</v>
      </c>
      <c r="C2590" s="2200" t="s">
        <v>15891</v>
      </c>
      <c r="D2590" s="2200" t="str">
        <f t="shared" si="160"/>
        <v>OH</v>
      </c>
      <c r="E2590" s="2200">
        <f t="shared" si="161"/>
        <v>12</v>
      </c>
      <c r="F2590" s="2200" t="str">
        <f t="shared" si="162"/>
        <v>39</v>
      </c>
      <c r="G2590" s="2200" t="str">
        <f t="shared" si="163"/>
        <v>49056</v>
      </c>
      <c r="H2590" s="2200">
        <f>--SUBTOTAL(3,C$2:C2590)</f>
        <v>99</v>
      </c>
    </row>
    <row r="2591" spans="1:8" hidden="1" x14ac:dyDescent="0.15">
      <c r="A2591" s="2200" t="s">
        <v>10723</v>
      </c>
      <c r="B2591" s="2200" t="s">
        <v>15892</v>
      </c>
      <c r="C2591" s="2200" t="s">
        <v>15893</v>
      </c>
      <c r="D2591" s="2200" t="str">
        <f t="shared" si="160"/>
        <v>OH</v>
      </c>
      <c r="E2591" s="2200">
        <f t="shared" si="161"/>
        <v>16</v>
      </c>
      <c r="F2591" s="2200" t="str">
        <f t="shared" si="162"/>
        <v>39</v>
      </c>
      <c r="G2591" s="2200" t="str">
        <f t="shared" si="163"/>
        <v>49840</v>
      </c>
      <c r="H2591" s="2200">
        <f>--SUBTOTAL(3,C$2:C2591)</f>
        <v>99</v>
      </c>
    </row>
    <row r="2592" spans="1:8" hidden="1" x14ac:dyDescent="0.15">
      <c r="A2592" s="2200" t="s">
        <v>10723</v>
      </c>
      <c r="B2592" s="2200" t="s">
        <v>15894</v>
      </c>
      <c r="C2592" s="2200" t="s">
        <v>15895</v>
      </c>
      <c r="D2592" s="2200" t="str">
        <f t="shared" si="160"/>
        <v>OH</v>
      </c>
      <c r="E2592" s="2200">
        <f t="shared" si="161"/>
        <v>12</v>
      </c>
      <c r="F2592" s="2200" t="str">
        <f t="shared" si="162"/>
        <v>39</v>
      </c>
      <c r="G2592" s="2200" t="str">
        <f t="shared" si="163"/>
        <v>54040</v>
      </c>
      <c r="H2592" s="2200">
        <f>--SUBTOTAL(3,C$2:C2592)</f>
        <v>99</v>
      </c>
    </row>
    <row r="2593" spans="1:8" hidden="1" x14ac:dyDescent="0.15">
      <c r="A2593" s="2200" t="s">
        <v>10723</v>
      </c>
      <c r="B2593" s="2200" t="s">
        <v>15896</v>
      </c>
      <c r="C2593" s="2200" t="s">
        <v>15897</v>
      </c>
      <c r="D2593" s="2200" t="str">
        <f t="shared" si="160"/>
        <v>OH</v>
      </c>
      <c r="E2593" s="2200">
        <f t="shared" si="161"/>
        <v>19</v>
      </c>
      <c r="F2593" s="2200" t="str">
        <f t="shared" si="162"/>
        <v>39</v>
      </c>
      <c r="G2593" s="2200" t="str">
        <f t="shared" si="163"/>
        <v>56882</v>
      </c>
      <c r="H2593" s="2200">
        <f>--SUBTOTAL(3,C$2:C2593)</f>
        <v>99</v>
      </c>
    </row>
    <row r="2594" spans="1:8" hidden="1" x14ac:dyDescent="0.15">
      <c r="A2594" s="2200" t="s">
        <v>10723</v>
      </c>
      <c r="B2594" s="2200" t="s">
        <v>15898</v>
      </c>
      <c r="C2594" s="2200" t="s">
        <v>15899</v>
      </c>
      <c r="D2594" s="2200" t="str">
        <f t="shared" si="160"/>
        <v>OH</v>
      </c>
      <c r="E2594" s="2200">
        <f t="shared" si="161"/>
        <v>22</v>
      </c>
      <c r="F2594" s="2200" t="str">
        <f t="shared" si="162"/>
        <v>39</v>
      </c>
      <c r="G2594" s="2200" t="str">
        <f t="shared" si="163"/>
        <v>56966</v>
      </c>
      <c r="H2594" s="2200">
        <f>--SUBTOTAL(3,C$2:C2594)</f>
        <v>99</v>
      </c>
    </row>
    <row r="2595" spans="1:8" hidden="1" x14ac:dyDescent="0.15">
      <c r="A2595" s="2200" t="s">
        <v>10723</v>
      </c>
      <c r="B2595" s="2200" t="s">
        <v>15900</v>
      </c>
      <c r="C2595" s="2200" t="s">
        <v>15901</v>
      </c>
      <c r="D2595" s="2200" t="str">
        <f t="shared" si="160"/>
        <v>OH</v>
      </c>
      <c r="E2595" s="2200">
        <f t="shared" si="161"/>
        <v>20</v>
      </c>
      <c r="F2595" s="2200" t="str">
        <f t="shared" si="162"/>
        <v>39</v>
      </c>
      <c r="G2595" s="2200" t="str">
        <f t="shared" si="163"/>
        <v>57008</v>
      </c>
      <c r="H2595" s="2200">
        <f>--SUBTOTAL(3,C$2:C2595)</f>
        <v>99</v>
      </c>
    </row>
    <row r="2596" spans="1:8" hidden="1" x14ac:dyDescent="0.15">
      <c r="A2596" s="2200" t="s">
        <v>10723</v>
      </c>
      <c r="B2596" s="2200" t="s">
        <v>15902</v>
      </c>
      <c r="C2596" s="2200" t="s">
        <v>15903</v>
      </c>
      <c r="D2596" s="2200" t="str">
        <f t="shared" si="160"/>
        <v>OH</v>
      </c>
      <c r="E2596" s="2200">
        <f t="shared" si="161"/>
        <v>11</v>
      </c>
      <c r="F2596" s="2200" t="str">
        <f t="shared" si="162"/>
        <v>39</v>
      </c>
      <c r="G2596" s="2200" t="str">
        <f t="shared" si="163"/>
        <v>61000</v>
      </c>
      <c r="H2596" s="2200">
        <f>--SUBTOTAL(3,C$2:C2596)</f>
        <v>99</v>
      </c>
    </row>
    <row r="2597" spans="1:8" hidden="1" x14ac:dyDescent="0.15">
      <c r="A2597" s="2200" t="s">
        <v>10723</v>
      </c>
      <c r="B2597" s="2200" t="s">
        <v>15904</v>
      </c>
      <c r="C2597" s="2200" t="s">
        <v>15905</v>
      </c>
      <c r="D2597" s="2200" t="str">
        <f t="shared" si="160"/>
        <v>OH</v>
      </c>
      <c r="E2597" s="2200">
        <f t="shared" si="161"/>
        <v>18</v>
      </c>
      <c r="F2597" s="2200" t="str">
        <f t="shared" si="162"/>
        <v>39</v>
      </c>
      <c r="G2597" s="2200" t="str">
        <f t="shared" si="163"/>
        <v>66390</v>
      </c>
      <c r="H2597" s="2200">
        <f>--SUBTOTAL(3,C$2:C2597)</f>
        <v>99</v>
      </c>
    </row>
    <row r="2598" spans="1:8" hidden="1" x14ac:dyDescent="0.15">
      <c r="A2598" s="2200" t="s">
        <v>10723</v>
      </c>
      <c r="B2598" s="2200" t="s">
        <v>15906</v>
      </c>
      <c r="C2598" s="2200" t="s">
        <v>15907</v>
      </c>
      <c r="D2598" s="2200" t="str">
        <f t="shared" si="160"/>
        <v>OH</v>
      </c>
      <c r="E2598" s="2200">
        <f t="shared" si="161"/>
        <v>15</v>
      </c>
      <c r="F2598" s="2200" t="str">
        <f t="shared" si="162"/>
        <v>39</v>
      </c>
      <c r="G2598" s="2200" t="str">
        <f t="shared" si="163"/>
        <v>67468</v>
      </c>
      <c r="H2598" s="2200">
        <f>--SUBTOTAL(3,C$2:C2598)</f>
        <v>99</v>
      </c>
    </row>
    <row r="2599" spans="1:8" hidden="1" x14ac:dyDescent="0.15">
      <c r="A2599" s="2200" t="s">
        <v>10723</v>
      </c>
      <c r="B2599" s="2200" t="s">
        <v>15908</v>
      </c>
      <c r="C2599" s="2200" t="s">
        <v>15909</v>
      </c>
      <c r="D2599" s="2200" t="str">
        <f t="shared" si="160"/>
        <v>OH</v>
      </c>
      <c r="E2599" s="2200">
        <f t="shared" si="161"/>
        <v>14</v>
      </c>
      <c r="F2599" s="2200" t="str">
        <f t="shared" si="162"/>
        <v>39</v>
      </c>
      <c r="G2599" s="2200" t="str">
        <f t="shared" si="163"/>
        <v>70380</v>
      </c>
      <c r="H2599" s="2200">
        <f>--SUBTOTAL(3,C$2:C2599)</f>
        <v>99</v>
      </c>
    </row>
    <row r="2600" spans="1:8" hidden="1" x14ac:dyDescent="0.15">
      <c r="A2600" s="2200" t="s">
        <v>10723</v>
      </c>
      <c r="B2600" s="2200" t="s">
        <v>15910</v>
      </c>
      <c r="C2600" s="2200" t="s">
        <v>15911</v>
      </c>
      <c r="D2600" s="2200" t="str">
        <f t="shared" si="160"/>
        <v>OH</v>
      </c>
      <c r="E2600" s="2200">
        <f t="shared" si="161"/>
        <v>20</v>
      </c>
      <c r="F2600" s="2200" t="str">
        <f t="shared" si="162"/>
        <v>39</v>
      </c>
      <c r="G2600" s="2200" t="str">
        <f t="shared" si="163"/>
        <v>71682</v>
      </c>
      <c r="H2600" s="2200">
        <f>--SUBTOTAL(3,C$2:C2600)</f>
        <v>99</v>
      </c>
    </row>
    <row r="2601" spans="1:8" hidden="1" x14ac:dyDescent="0.15">
      <c r="A2601" s="2200" t="s">
        <v>10723</v>
      </c>
      <c r="B2601" s="2200" t="s">
        <v>15912</v>
      </c>
      <c r="C2601" s="2200" t="s">
        <v>15913</v>
      </c>
      <c r="D2601" s="2200" t="str">
        <f t="shared" si="160"/>
        <v>OH</v>
      </c>
      <c r="E2601" s="2200">
        <f t="shared" si="161"/>
        <v>18</v>
      </c>
      <c r="F2601" s="2200" t="str">
        <f t="shared" si="162"/>
        <v>39</v>
      </c>
      <c r="G2601" s="2200" t="str">
        <f t="shared" si="163"/>
        <v>73264</v>
      </c>
      <c r="H2601" s="2200">
        <f>--SUBTOTAL(3,C$2:C2601)</f>
        <v>99</v>
      </c>
    </row>
    <row r="2602" spans="1:8" hidden="1" x14ac:dyDescent="0.15">
      <c r="A2602" s="2200" t="s">
        <v>10723</v>
      </c>
      <c r="B2602" s="2200" t="s">
        <v>15914</v>
      </c>
      <c r="C2602" s="2200" t="s">
        <v>15915</v>
      </c>
      <c r="D2602" s="2200" t="str">
        <f t="shared" si="160"/>
        <v>OH</v>
      </c>
      <c r="E2602" s="2200">
        <f t="shared" si="161"/>
        <v>17</v>
      </c>
      <c r="F2602" s="2200" t="str">
        <f t="shared" si="162"/>
        <v>39</v>
      </c>
      <c r="G2602" s="2200" t="str">
        <f t="shared" si="163"/>
        <v>74118</v>
      </c>
      <c r="H2602" s="2200">
        <f>--SUBTOTAL(3,C$2:C2602)</f>
        <v>99</v>
      </c>
    </row>
    <row r="2603" spans="1:8" hidden="1" x14ac:dyDescent="0.15">
      <c r="A2603" s="2200" t="s">
        <v>10723</v>
      </c>
      <c r="B2603" s="2200" t="s">
        <v>15916</v>
      </c>
      <c r="C2603" s="2200" t="s">
        <v>15917</v>
      </c>
      <c r="D2603" s="2200" t="str">
        <f t="shared" si="160"/>
        <v>OH</v>
      </c>
      <c r="E2603" s="2200">
        <f t="shared" si="161"/>
        <v>10</v>
      </c>
      <c r="F2603" s="2200" t="str">
        <f t="shared" si="162"/>
        <v>39</v>
      </c>
      <c r="G2603" s="2200" t="str">
        <f t="shared" si="163"/>
        <v>74944</v>
      </c>
      <c r="H2603" s="2200">
        <f>--SUBTOTAL(3,C$2:C2603)</f>
        <v>99</v>
      </c>
    </row>
    <row r="2604" spans="1:8" hidden="1" x14ac:dyDescent="0.15">
      <c r="A2604" s="2200" t="s">
        <v>10723</v>
      </c>
      <c r="B2604" s="2200" t="s">
        <v>15918</v>
      </c>
      <c r="C2604" s="2200" t="s">
        <v>15919</v>
      </c>
      <c r="D2604" s="2200" t="str">
        <f t="shared" si="160"/>
        <v>OH</v>
      </c>
      <c r="E2604" s="2200">
        <f t="shared" si="161"/>
        <v>18</v>
      </c>
      <c r="F2604" s="2200" t="str">
        <f t="shared" si="162"/>
        <v>39</v>
      </c>
      <c r="G2604" s="2200" t="str">
        <f t="shared" si="163"/>
        <v>75098</v>
      </c>
      <c r="H2604" s="2200">
        <f>--SUBTOTAL(3,C$2:C2604)</f>
        <v>99</v>
      </c>
    </row>
    <row r="2605" spans="1:8" hidden="1" x14ac:dyDescent="0.15">
      <c r="A2605" s="2200" t="s">
        <v>10723</v>
      </c>
      <c r="B2605" s="2200" t="s">
        <v>15920</v>
      </c>
      <c r="C2605" s="2200" t="s">
        <v>15921</v>
      </c>
      <c r="D2605" s="2200" t="str">
        <f t="shared" si="160"/>
        <v>OH</v>
      </c>
      <c r="E2605" s="2200">
        <f t="shared" si="161"/>
        <v>12</v>
      </c>
      <c r="F2605" s="2200" t="str">
        <f t="shared" si="162"/>
        <v>39</v>
      </c>
      <c r="G2605" s="2200" t="str">
        <f t="shared" si="163"/>
        <v>77000</v>
      </c>
      <c r="H2605" s="2200">
        <f>--SUBTOTAL(3,C$2:C2605)</f>
        <v>99</v>
      </c>
    </row>
    <row r="2606" spans="1:8" hidden="1" x14ac:dyDescent="0.15">
      <c r="A2606" s="2200" t="s">
        <v>10723</v>
      </c>
      <c r="B2606" s="2200" t="s">
        <v>15922</v>
      </c>
      <c r="C2606" s="2200" t="s">
        <v>15923</v>
      </c>
      <c r="D2606" s="2200" t="str">
        <f t="shared" si="160"/>
        <v>OH</v>
      </c>
      <c r="E2606" s="2200">
        <f t="shared" si="161"/>
        <v>14</v>
      </c>
      <c r="F2606" s="2200" t="str">
        <f t="shared" si="162"/>
        <v>39</v>
      </c>
      <c r="G2606" s="2200" t="str">
        <f t="shared" si="163"/>
        <v>77504</v>
      </c>
      <c r="H2606" s="2200">
        <f>--SUBTOTAL(3,C$2:C2606)</f>
        <v>99</v>
      </c>
    </row>
    <row r="2607" spans="1:8" hidden="1" x14ac:dyDescent="0.15">
      <c r="A2607" s="2200" t="s">
        <v>10723</v>
      </c>
      <c r="B2607" s="2200" t="s">
        <v>15924</v>
      </c>
      <c r="C2607" s="2200" t="s">
        <v>15925</v>
      </c>
      <c r="D2607" s="2200" t="str">
        <f t="shared" si="160"/>
        <v>OH</v>
      </c>
      <c r="E2607" s="2200">
        <f t="shared" si="161"/>
        <v>10</v>
      </c>
      <c r="F2607" s="2200" t="str">
        <f t="shared" si="162"/>
        <v>39</v>
      </c>
      <c r="G2607" s="2200" t="str">
        <f t="shared" si="163"/>
        <v>77588</v>
      </c>
      <c r="H2607" s="2200">
        <f>--SUBTOTAL(3,C$2:C2607)</f>
        <v>99</v>
      </c>
    </row>
    <row r="2608" spans="1:8" hidden="1" x14ac:dyDescent="0.15">
      <c r="A2608" s="2200" t="s">
        <v>10723</v>
      </c>
      <c r="B2608" s="2200" t="s">
        <v>15926</v>
      </c>
      <c r="C2608" s="2200" t="s">
        <v>15927</v>
      </c>
      <c r="D2608" s="2200" t="str">
        <f t="shared" si="160"/>
        <v>OH</v>
      </c>
      <c r="E2608" s="2200">
        <f t="shared" si="161"/>
        <v>21</v>
      </c>
      <c r="F2608" s="2200" t="str">
        <f t="shared" si="162"/>
        <v>39</v>
      </c>
      <c r="G2608" s="2200" t="str">
        <f t="shared" si="163"/>
        <v>79002</v>
      </c>
      <c r="H2608" s="2200">
        <f>--SUBTOTAL(3,C$2:C2608)</f>
        <v>99</v>
      </c>
    </row>
    <row r="2609" spans="1:8" hidden="1" x14ac:dyDescent="0.15">
      <c r="A2609" s="2200" t="s">
        <v>10723</v>
      </c>
      <c r="B2609" s="2200" t="s">
        <v>15928</v>
      </c>
      <c r="C2609" s="2200" t="s">
        <v>15929</v>
      </c>
      <c r="D2609" s="2200" t="str">
        <f t="shared" si="160"/>
        <v>OH</v>
      </c>
      <c r="E2609" s="2200">
        <f t="shared" si="161"/>
        <v>12</v>
      </c>
      <c r="F2609" s="2200" t="str">
        <f t="shared" si="162"/>
        <v>39</v>
      </c>
      <c r="G2609" s="2200" t="str">
        <f t="shared" si="163"/>
        <v>80892</v>
      </c>
      <c r="H2609" s="2200">
        <f>--SUBTOTAL(3,C$2:C2609)</f>
        <v>99</v>
      </c>
    </row>
    <row r="2610" spans="1:8" hidden="1" x14ac:dyDescent="0.15">
      <c r="A2610" s="2200" t="s">
        <v>10723</v>
      </c>
      <c r="B2610" s="2200" t="s">
        <v>15930</v>
      </c>
      <c r="C2610" s="2200" t="s">
        <v>15931</v>
      </c>
      <c r="D2610" s="2200" t="str">
        <f t="shared" si="160"/>
        <v>OH</v>
      </c>
      <c r="E2610" s="2200">
        <f t="shared" si="161"/>
        <v>17</v>
      </c>
      <c r="F2610" s="2200" t="str">
        <f t="shared" si="162"/>
        <v>39</v>
      </c>
      <c r="G2610" s="2200" t="str">
        <f t="shared" si="163"/>
        <v>83342</v>
      </c>
      <c r="H2610" s="2200">
        <f>--SUBTOTAL(3,C$2:C2610)</f>
        <v>99</v>
      </c>
    </row>
    <row r="2611" spans="1:8" hidden="1" x14ac:dyDescent="0.15">
      <c r="A2611" s="2200" t="s">
        <v>10723</v>
      </c>
      <c r="B2611" s="2200" t="s">
        <v>15932</v>
      </c>
      <c r="C2611" s="2200" t="s">
        <v>15933</v>
      </c>
      <c r="D2611" s="2200" t="str">
        <f t="shared" si="160"/>
        <v>OH</v>
      </c>
      <c r="E2611" s="2200">
        <f t="shared" si="161"/>
        <v>14</v>
      </c>
      <c r="F2611" s="2200" t="str">
        <f t="shared" si="162"/>
        <v>39</v>
      </c>
      <c r="G2611" s="2200" t="str">
        <f t="shared" si="163"/>
        <v>83622</v>
      </c>
      <c r="H2611" s="2200">
        <f>--SUBTOTAL(3,C$2:C2611)</f>
        <v>99</v>
      </c>
    </row>
    <row r="2612" spans="1:8" hidden="1" x14ac:dyDescent="0.15">
      <c r="A2612" s="2200" t="s">
        <v>10723</v>
      </c>
      <c r="B2612" s="2200" t="s">
        <v>15934</v>
      </c>
      <c r="C2612" s="2200" t="s">
        <v>15935</v>
      </c>
      <c r="D2612" s="2200" t="str">
        <f t="shared" si="160"/>
        <v>OH</v>
      </c>
      <c r="E2612" s="2200">
        <f t="shared" si="161"/>
        <v>13</v>
      </c>
      <c r="F2612" s="2200" t="str">
        <f t="shared" si="162"/>
        <v>39</v>
      </c>
      <c r="G2612" s="2200" t="str">
        <f t="shared" si="163"/>
        <v>86548</v>
      </c>
      <c r="H2612" s="2200">
        <f>--SUBTOTAL(3,C$2:C2612)</f>
        <v>99</v>
      </c>
    </row>
    <row r="2613" spans="1:8" hidden="1" x14ac:dyDescent="0.15">
      <c r="A2613" s="2200" t="s">
        <v>10723</v>
      </c>
      <c r="B2613" s="2200" t="s">
        <v>15936</v>
      </c>
      <c r="C2613" s="2200" t="s">
        <v>15937</v>
      </c>
      <c r="D2613" s="2200" t="str">
        <f t="shared" si="160"/>
        <v>OH</v>
      </c>
      <c r="E2613" s="2200">
        <f t="shared" si="161"/>
        <v>11</v>
      </c>
      <c r="F2613" s="2200" t="str">
        <f t="shared" si="162"/>
        <v>39</v>
      </c>
      <c r="G2613" s="2200" t="str">
        <f t="shared" si="163"/>
        <v>86772</v>
      </c>
      <c r="H2613" s="2200">
        <f>--SUBTOTAL(3,C$2:C2613)</f>
        <v>99</v>
      </c>
    </row>
    <row r="2614" spans="1:8" hidden="1" x14ac:dyDescent="0.15">
      <c r="A2614" s="2200" t="s">
        <v>10723</v>
      </c>
      <c r="B2614" s="2200" t="s">
        <v>15938</v>
      </c>
      <c r="C2614" s="2200" t="s">
        <v>15939</v>
      </c>
      <c r="D2614" s="2200" t="str">
        <f t="shared" si="160"/>
        <v>OH</v>
      </c>
      <c r="E2614" s="2200">
        <f t="shared" si="161"/>
        <v>16</v>
      </c>
      <c r="F2614" s="2200" t="str">
        <f t="shared" si="162"/>
        <v>39</v>
      </c>
      <c r="G2614" s="2200" t="str">
        <f t="shared" si="163"/>
        <v>88000</v>
      </c>
      <c r="H2614" s="2200">
        <f>--SUBTOTAL(3,C$2:C2614)</f>
        <v>99</v>
      </c>
    </row>
    <row r="2615" spans="1:8" hidden="1" x14ac:dyDescent="0.15">
      <c r="A2615" s="2200" t="s">
        <v>10723</v>
      </c>
      <c r="B2615" s="2200" t="s">
        <v>15940</v>
      </c>
      <c r="C2615" s="2200" t="s">
        <v>15941</v>
      </c>
      <c r="D2615" s="2200" t="str">
        <f t="shared" si="160"/>
        <v>OH</v>
      </c>
      <c r="E2615" s="2200">
        <f t="shared" si="161"/>
        <v>16</v>
      </c>
      <c r="F2615" s="2200" t="str">
        <f t="shared" si="162"/>
        <v>39</v>
      </c>
      <c r="G2615" s="2200" t="str">
        <f t="shared" si="163"/>
        <v>88084</v>
      </c>
      <c r="H2615" s="2200">
        <f>--SUBTOTAL(3,C$2:C2615)</f>
        <v>99</v>
      </c>
    </row>
    <row r="2616" spans="1:8" hidden="1" x14ac:dyDescent="0.15">
      <c r="A2616" s="2200" t="s">
        <v>10723</v>
      </c>
      <c r="B2616" s="2200" t="s">
        <v>15942</v>
      </c>
      <c r="C2616" s="2200" t="s">
        <v>15943</v>
      </c>
      <c r="D2616" s="2200" t="str">
        <f t="shared" si="160"/>
        <v>OK</v>
      </c>
      <c r="E2616" s="2200">
        <f t="shared" si="161"/>
        <v>13</v>
      </c>
      <c r="F2616" s="2200" t="str">
        <f t="shared" si="162"/>
        <v>40</v>
      </c>
      <c r="G2616" s="2200" t="str">
        <f t="shared" si="163"/>
        <v>02600</v>
      </c>
      <c r="H2616" s="2200">
        <f>--SUBTOTAL(3,C$2:C2616)</f>
        <v>99</v>
      </c>
    </row>
    <row r="2617" spans="1:8" hidden="1" x14ac:dyDescent="0.15">
      <c r="A2617" s="2200" t="s">
        <v>10723</v>
      </c>
      <c r="B2617" s="2200" t="s">
        <v>15944</v>
      </c>
      <c r="C2617" s="2200" t="s">
        <v>15945</v>
      </c>
      <c r="D2617" s="2200" t="str">
        <f t="shared" si="160"/>
        <v>OK</v>
      </c>
      <c r="E2617" s="2200">
        <f t="shared" si="161"/>
        <v>18</v>
      </c>
      <c r="F2617" s="2200" t="str">
        <f t="shared" si="162"/>
        <v>40</v>
      </c>
      <c r="G2617" s="2200" t="str">
        <f t="shared" si="163"/>
        <v>04450</v>
      </c>
      <c r="H2617" s="2200">
        <f>--SUBTOTAL(3,C$2:C2617)</f>
        <v>99</v>
      </c>
    </row>
    <row r="2618" spans="1:8" hidden="1" x14ac:dyDescent="0.15">
      <c r="A2618" s="2200" t="s">
        <v>10723</v>
      </c>
      <c r="B2618" s="2200" t="s">
        <v>15946</v>
      </c>
      <c r="C2618" s="2200" t="s">
        <v>15947</v>
      </c>
      <c r="D2618" s="2200" t="str">
        <f t="shared" si="160"/>
        <v>OK</v>
      </c>
      <c r="E2618" s="2200">
        <f t="shared" si="161"/>
        <v>11</v>
      </c>
      <c r="F2618" s="2200" t="str">
        <f t="shared" si="162"/>
        <v>40</v>
      </c>
      <c r="G2618" s="2200" t="str">
        <f t="shared" si="163"/>
        <v>06400</v>
      </c>
      <c r="H2618" s="2200">
        <f>--SUBTOTAL(3,C$2:C2618)</f>
        <v>99</v>
      </c>
    </row>
    <row r="2619" spans="1:8" hidden="1" x14ac:dyDescent="0.15">
      <c r="A2619" s="2200" t="s">
        <v>10723</v>
      </c>
      <c r="B2619" s="2200" t="s">
        <v>15948</v>
      </c>
      <c r="C2619" s="2200" t="s">
        <v>15949</v>
      </c>
      <c r="D2619" s="2200" t="str">
        <f t="shared" si="160"/>
        <v>OK</v>
      </c>
      <c r="E2619" s="2200">
        <f t="shared" si="161"/>
        <v>18</v>
      </c>
      <c r="F2619" s="2200" t="str">
        <f t="shared" si="162"/>
        <v>40</v>
      </c>
      <c r="G2619" s="2200" t="str">
        <f t="shared" si="163"/>
        <v>09050</v>
      </c>
      <c r="H2619" s="2200">
        <f>--SUBTOTAL(3,C$2:C2619)</f>
        <v>99</v>
      </c>
    </row>
    <row r="2620" spans="1:8" hidden="1" x14ac:dyDescent="0.15">
      <c r="A2620" s="2200" t="s">
        <v>10723</v>
      </c>
      <c r="B2620" s="2200" t="s">
        <v>15950</v>
      </c>
      <c r="C2620" s="2200" t="s">
        <v>15951</v>
      </c>
      <c r="D2620" s="2200" t="str">
        <f t="shared" si="160"/>
        <v>OK</v>
      </c>
      <c r="E2620" s="2200">
        <f t="shared" si="161"/>
        <v>14</v>
      </c>
      <c r="F2620" s="2200" t="str">
        <f t="shared" si="162"/>
        <v>40</v>
      </c>
      <c r="G2620" s="2200" t="str">
        <f t="shared" si="163"/>
        <v>19900</v>
      </c>
      <c r="H2620" s="2200">
        <f>--SUBTOTAL(3,C$2:C2620)</f>
        <v>99</v>
      </c>
    </row>
    <row r="2621" spans="1:8" hidden="1" x14ac:dyDescent="0.15">
      <c r="A2621" s="2200" t="s">
        <v>10723</v>
      </c>
      <c r="B2621" s="2200" t="s">
        <v>15952</v>
      </c>
      <c r="C2621" s="2200" t="s">
        <v>15953</v>
      </c>
      <c r="D2621" s="2200" t="str">
        <f t="shared" si="160"/>
        <v>OK</v>
      </c>
      <c r="E2621" s="2200">
        <f t="shared" si="161"/>
        <v>12</v>
      </c>
      <c r="F2621" s="2200" t="str">
        <f t="shared" si="162"/>
        <v>40</v>
      </c>
      <c r="G2621" s="2200" t="str">
        <f t="shared" si="163"/>
        <v>23200</v>
      </c>
      <c r="H2621" s="2200">
        <f>--SUBTOTAL(3,C$2:C2621)</f>
        <v>99</v>
      </c>
    </row>
    <row r="2622" spans="1:8" hidden="1" x14ac:dyDescent="0.15">
      <c r="A2622" s="2200" t="s">
        <v>10723</v>
      </c>
      <c r="B2622" s="2200" t="s">
        <v>15954</v>
      </c>
      <c r="C2622" s="2200" t="s">
        <v>15955</v>
      </c>
      <c r="D2622" s="2200" t="str">
        <f t="shared" si="160"/>
        <v>OK</v>
      </c>
      <c r="E2622" s="2200">
        <f t="shared" si="161"/>
        <v>10</v>
      </c>
      <c r="F2622" s="2200" t="str">
        <f t="shared" si="162"/>
        <v>40</v>
      </c>
      <c r="G2622" s="2200" t="str">
        <f t="shared" si="163"/>
        <v>23950</v>
      </c>
      <c r="H2622" s="2200">
        <f>--SUBTOTAL(3,C$2:C2622)</f>
        <v>99</v>
      </c>
    </row>
    <row r="2623" spans="1:8" hidden="1" x14ac:dyDescent="0.15">
      <c r="A2623" s="2200" t="s">
        <v>10723</v>
      </c>
      <c r="B2623" s="2200" t="s">
        <v>15956</v>
      </c>
      <c r="C2623" s="2200" t="s">
        <v>15957</v>
      </c>
      <c r="D2623" s="2200" t="str">
        <f t="shared" si="160"/>
        <v>OK</v>
      </c>
      <c r="E2623" s="2200">
        <f t="shared" si="161"/>
        <v>12</v>
      </c>
      <c r="F2623" s="2200" t="str">
        <f t="shared" si="162"/>
        <v>40</v>
      </c>
      <c r="G2623" s="2200" t="str">
        <f t="shared" si="163"/>
        <v>41850</v>
      </c>
      <c r="H2623" s="2200">
        <f>--SUBTOTAL(3,C$2:C2623)</f>
        <v>99</v>
      </c>
    </row>
    <row r="2624" spans="1:8" hidden="1" x14ac:dyDescent="0.15">
      <c r="A2624" s="2200" t="s">
        <v>10723</v>
      </c>
      <c r="B2624" s="2200" t="s">
        <v>15958</v>
      </c>
      <c r="C2624" s="2200" t="s">
        <v>15959</v>
      </c>
      <c r="D2624" s="2200" t="str">
        <f t="shared" si="160"/>
        <v>OK</v>
      </c>
      <c r="E2624" s="2200">
        <f t="shared" si="161"/>
        <v>18</v>
      </c>
      <c r="F2624" s="2200" t="str">
        <f t="shared" si="162"/>
        <v>40</v>
      </c>
      <c r="G2624" s="2200" t="str">
        <f t="shared" si="163"/>
        <v>48350</v>
      </c>
      <c r="H2624" s="2200">
        <f>--SUBTOTAL(3,C$2:C2624)</f>
        <v>99</v>
      </c>
    </row>
    <row r="2625" spans="1:8" hidden="1" x14ac:dyDescent="0.15">
      <c r="A2625" s="2200" t="s">
        <v>10723</v>
      </c>
      <c r="B2625" s="2200" t="s">
        <v>15960</v>
      </c>
      <c r="C2625" s="2200" t="s">
        <v>15961</v>
      </c>
      <c r="D2625" s="2200" t="str">
        <f t="shared" si="160"/>
        <v>OK</v>
      </c>
      <c r="E2625" s="2200">
        <f t="shared" si="161"/>
        <v>11</v>
      </c>
      <c r="F2625" s="2200" t="str">
        <f t="shared" si="162"/>
        <v>40</v>
      </c>
      <c r="G2625" s="2200" t="str">
        <f t="shared" si="163"/>
        <v>49200</v>
      </c>
      <c r="H2625" s="2200">
        <f>--SUBTOTAL(3,C$2:C2625)</f>
        <v>99</v>
      </c>
    </row>
    <row r="2626" spans="1:8" hidden="1" x14ac:dyDescent="0.15">
      <c r="A2626" s="2200" t="s">
        <v>10723</v>
      </c>
      <c r="B2626" s="2200" t="s">
        <v>15962</v>
      </c>
      <c r="C2626" s="2200" t="s">
        <v>15963</v>
      </c>
      <c r="D2626" s="2200" t="str">
        <f t="shared" ref="D2626:D2689" si="164">MID(C2626,E2626+2,2)</f>
        <v>OK</v>
      </c>
      <c r="E2626" s="2200">
        <f t="shared" ref="E2626:E2689" si="165">FIND(",",C2626)</f>
        <v>14</v>
      </c>
      <c r="F2626" s="2200" t="str">
        <f t="shared" si="162"/>
        <v>40</v>
      </c>
      <c r="G2626" s="2200" t="str">
        <f t="shared" si="163"/>
        <v>50050</v>
      </c>
      <c r="H2626" s="2200">
        <f>--SUBTOTAL(3,C$2:C2626)</f>
        <v>99</v>
      </c>
    </row>
    <row r="2627" spans="1:8" hidden="1" x14ac:dyDescent="0.15">
      <c r="A2627" s="2200" t="s">
        <v>10723</v>
      </c>
      <c r="B2627" s="2200" t="s">
        <v>15964</v>
      </c>
      <c r="C2627" s="2200" t="s">
        <v>15965</v>
      </c>
      <c r="D2627" s="2200" t="str">
        <f t="shared" si="164"/>
        <v>OK</v>
      </c>
      <c r="E2627" s="2200">
        <f t="shared" si="165"/>
        <v>12</v>
      </c>
      <c r="F2627" s="2200" t="str">
        <f t="shared" ref="F2627:F2690" si="166">MID(B2627,3,2)</f>
        <v>40</v>
      </c>
      <c r="G2627" s="2200" t="str">
        <f t="shared" ref="G2627:G2690" si="167">MID(B2627,5,5)</f>
        <v>52500</v>
      </c>
      <c r="H2627" s="2200">
        <f>--SUBTOTAL(3,C$2:C2627)</f>
        <v>99</v>
      </c>
    </row>
    <row r="2628" spans="1:8" hidden="1" x14ac:dyDescent="0.15">
      <c r="A2628" s="2200" t="s">
        <v>10723</v>
      </c>
      <c r="B2628" s="2200" t="s">
        <v>15966</v>
      </c>
      <c r="C2628" s="2200" t="s">
        <v>15967</v>
      </c>
      <c r="D2628" s="2200" t="str">
        <f t="shared" si="164"/>
        <v>OK</v>
      </c>
      <c r="E2628" s="2200">
        <f t="shared" si="165"/>
        <v>19</v>
      </c>
      <c r="F2628" s="2200" t="str">
        <f t="shared" si="166"/>
        <v>40</v>
      </c>
      <c r="G2628" s="2200" t="str">
        <f t="shared" si="167"/>
        <v>55000</v>
      </c>
      <c r="H2628" s="2200">
        <f>--SUBTOTAL(3,C$2:C2628)</f>
        <v>99</v>
      </c>
    </row>
    <row r="2629" spans="1:8" hidden="1" x14ac:dyDescent="0.15">
      <c r="A2629" s="2200" t="s">
        <v>10723</v>
      </c>
      <c r="B2629" s="2200" t="s">
        <v>15968</v>
      </c>
      <c r="C2629" s="2200" t="s">
        <v>15969</v>
      </c>
      <c r="D2629" s="2200" t="str">
        <f t="shared" si="164"/>
        <v>OK</v>
      </c>
      <c r="E2629" s="2200">
        <f t="shared" si="165"/>
        <v>12</v>
      </c>
      <c r="F2629" s="2200" t="str">
        <f t="shared" si="166"/>
        <v>40</v>
      </c>
      <c r="G2629" s="2200" t="str">
        <f t="shared" si="167"/>
        <v>56650</v>
      </c>
      <c r="H2629" s="2200">
        <f>--SUBTOTAL(3,C$2:C2629)</f>
        <v>99</v>
      </c>
    </row>
    <row r="2630" spans="1:8" hidden="1" x14ac:dyDescent="0.15">
      <c r="A2630" s="2200" t="s">
        <v>10723</v>
      </c>
      <c r="B2630" s="2200" t="s">
        <v>15970</v>
      </c>
      <c r="C2630" s="2200" t="s">
        <v>15971</v>
      </c>
      <c r="D2630" s="2200" t="str">
        <f t="shared" si="164"/>
        <v>OK</v>
      </c>
      <c r="E2630" s="2200">
        <f t="shared" si="165"/>
        <v>16</v>
      </c>
      <c r="F2630" s="2200" t="str">
        <f t="shared" si="166"/>
        <v>40</v>
      </c>
      <c r="G2630" s="2200" t="str">
        <f t="shared" si="167"/>
        <v>59850</v>
      </c>
      <c r="H2630" s="2200">
        <f>--SUBTOTAL(3,C$2:C2630)</f>
        <v>99</v>
      </c>
    </row>
    <row r="2631" spans="1:8" hidden="1" x14ac:dyDescent="0.15">
      <c r="A2631" s="2200" t="s">
        <v>10723</v>
      </c>
      <c r="B2631" s="2200" t="s">
        <v>15972</v>
      </c>
      <c r="C2631" s="2200" t="s">
        <v>15973</v>
      </c>
      <c r="D2631" s="2200" t="str">
        <f t="shared" si="164"/>
        <v>OK</v>
      </c>
      <c r="E2631" s="2200">
        <f t="shared" si="165"/>
        <v>13</v>
      </c>
      <c r="F2631" s="2200" t="str">
        <f t="shared" si="166"/>
        <v>40</v>
      </c>
      <c r="G2631" s="2200" t="str">
        <f t="shared" si="167"/>
        <v>66800</v>
      </c>
      <c r="H2631" s="2200">
        <f>--SUBTOTAL(3,C$2:C2631)</f>
        <v>99</v>
      </c>
    </row>
    <row r="2632" spans="1:8" hidden="1" x14ac:dyDescent="0.15">
      <c r="A2632" s="2200" t="s">
        <v>10723</v>
      </c>
      <c r="B2632" s="2200" t="s">
        <v>15974</v>
      </c>
      <c r="C2632" s="2200" t="s">
        <v>15975</v>
      </c>
      <c r="D2632" s="2200" t="str">
        <f t="shared" si="164"/>
        <v>OK</v>
      </c>
      <c r="E2632" s="2200">
        <f t="shared" si="165"/>
        <v>16</v>
      </c>
      <c r="F2632" s="2200" t="str">
        <f t="shared" si="166"/>
        <v>40</v>
      </c>
      <c r="G2632" s="2200" t="str">
        <f t="shared" si="167"/>
        <v>70300</v>
      </c>
      <c r="H2632" s="2200">
        <f>--SUBTOTAL(3,C$2:C2632)</f>
        <v>99</v>
      </c>
    </row>
    <row r="2633" spans="1:8" hidden="1" x14ac:dyDescent="0.15">
      <c r="A2633" s="2200" t="s">
        <v>10723</v>
      </c>
      <c r="B2633" s="2200" t="s">
        <v>15976</v>
      </c>
      <c r="C2633" s="2200" t="s">
        <v>15977</v>
      </c>
      <c r="D2633" s="2200" t="str">
        <f t="shared" si="164"/>
        <v>OK</v>
      </c>
      <c r="E2633" s="2200">
        <f t="shared" si="165"/>
        <v>11</v>
      </c>
      <c r="F2633" s="2200" t="str">
        <f t="shared" si="166"/>
        <v>40</v>
      </c>
      <c r="G2633" s="2200" t="str">
        <f t="shared" si="167"/>
        <v>75000</v>
      </c>
      <c r="H2633" s="2200">
        <f>--SUBTOTAL(3,C$2:C2633)</f>
        <v>99</v>
      </c>
    </row>
    <row r="2634" spans="1:8" hidden="1" x14ac:dyDescent="0.15">
      <c r="A2634" s="2200" t="s">
        <v>10723</v>
      </c>
      <c r="B2634" s="2200" t="s">
        <v>15978</v>
      </c>
      <c r="C2634" s="2200" t="s">
        <v>15979</v>
      </c>
      <c r="D2634" s="2200" t="str">
        <f t="shared" si="164"/>
        <v>OK</v>
      </c>
      <c r="E2634" s="2200">
        <f t="shared" si="165"/>
        <v>11</v>
      </c>
      <c r="F2634" s="2200" t="str">
        <f t="shared" si="166"/>
        <v>40</v>
      </c>
      <c r="G2634" s="2200" t="str">
        <f t="shared" si="167"/>
        <v>82950</v>
      </c>
      <c r="H2634" s="2200">
        <f>--SUBTOTAL(3,C$2:C2634)</f>
        <v>99</v>
      </c>
    </row>
    <row r="2635" spans="1:8" hidden="1" x14ac:dyDescent="0.15">
      <c r="A2635" s="2200" t="s">
        <v>10723</v>
      </c>
      <c r="B2635" s="2200" t="s">
        <v>15980</v>
      </c>
      <c r="C2635" s="2200" t="s">
        <v>15981</v>
      </c>
      <c r="D2635" s="2200" t="str">
        <f t="shared" si="164"/>
        <v>OR</v>
      </c>
      <c r="E2635" s="2200">
        <f t="shared" si="165"/>
        <v>12</v>
      </c>
      <c r="F2635" s="2200" t="str">
        <f t="shared" si="166"/>
        <v>41</v>
      </c>
      <c r="G2635" s="2200" t="str">
        <f t="shared" si="167"/>
        <v>01000</v>
      </c>
      <c r="H2635" s="2200">
        <f>--SUBTOTAL(3,C$2:C2635)</f>
        <v>99</v>
      </c>
    </row>
    <row r="2636" spans="1:8" hidden="1" x14ac:dyDescent="0.15">
      <c r="A2636" s="2200" t="s">
        <v>10723</v>
      </c>
      <c r="B2636" s="2200" t="s">
        <v>15982</v>
      </c>
      <c r="C2636" s="2200" t="s">
        <v>15983</v>
      </c>
      <c r="D2636" s="2200" t="str">
        <f t="shared" si="164"/>
        <v>OR</v>
      </c>
      <c r="E2636" s="2200">
        <f t="shared" si="165"/>
        <v>15</v>
      </c>
      <c r="F2636" s="2200" t="str">
        <f t="shared" si="166"/>
        <v>41</v>
      </c>
      <c r="G2636" s="2200" t="str">
        <f t="shared" si="167"/>
        <v>05350</v>
      </c>
      <c r="H2636" s="2200">
        <f>--SUBTOTAL(3,C$2:C2636)</f>
        <v>99</v>
      </c>
    </row>
    <row r="2637" spans="1:8" hidden="1" x14ac:dyDescent="0.15">
      <c r="A2637" s="2200" t="s">
        <v>10723</v>
      </c>
      <c r="B2637" s="2200" t="s">
        <v>15984</v>
      </c>
      <c r="C2637" s="2200" t="s">
        <v>15985</v>
      </c>
      <c r="D2637" s="2200" t="str">
        <f t="shared" si="164"/>
        <v>OR</v>
      </c>
      <c r="E2637" s="2200">
        <f t="shared" si="165"/>
        <v>10</v>
      </c>
      <c r="F2637" s="2200" t="str">
        <f t="shared" si="166"/>
        <v>41</v>
      </c>
      <c r="G2637" s="2200" t="str">
        <f t="shared" si="167"/>
        <v>05800</v>
      </c>
      <c r="H2637" s="2200">
        <f>--SUBTOTAL(3,C$2:C2637)</f>
        <v>99</v>
      </c>
    </row>
    <row r="2638" spans="1:8" hidden="1" x14ac:dyDescent="0.15">
      <c r="A2638" s="2200" t="s">
        <v>10723</v>
      </c>
      <c r="B2638" s="2200" t="s">
        <v>15986</v>
      </c>
      <c r="C2638" s="2200" t="s">
        <v>15987</v>
      </c>
      <c r="D2638" s="2200" t="str">
        <f t="shared" si="164"/>
        <v>OR</v>
      </c>
      <c r="E2638" s="2200">
        <f t="shared" si="165"/>
        <v>15</v>
      </c>
      <c r="F2638" s="2200" t="str">
        <f t="shared" si="166"/>
        <v>41</v>
      </c>
      <c r="G2638" s="2200" t="str">
        <f t="shared" si="167"/>
        <v>15800</v>
      </c>
      <c r="H2638" s="2200">
        <f>--SUBTOTAL(3,C$2:C2638)</f>
        <v>99</v>
      </c>
    </row>
    <row r="2639" spans="1:8" hidden="1" x14ac:dyDescent="0.15">
      <c r="A2639" s="2200" t="s">
        <v>10723</v>
      </c>
      <c r="B2639" s="2200" t="s">
        <v>15988</v>
      </c>
      <c r="C2639" s="2200" t="s">
        <v>15989</v>
      </c>
      <c r="D2639" s="2200" t="str">
        <f t="shared" si="164"/>
        <v>OR</v>
      </c>
      <c r="E2639" s="2200">
        <f t="shared" si="165"/>
        <v>12</v>
      </c>
      <c r="F2639" s="2200" t="str">
        <f t="shared" si="166"/>
        <v>41</v>
      </c>
      <c r="G2639" s="2200" t="str">
        <f t="shared" si="167"/>
        <v>23850</v>
      </c>
      <c r="H2639" s="2200">
        <f>--SUBTOTAL(3,C$2:C2639)</f>
        <v>99</v>
      </c>
    </row>
    <row r="2640" spans="1:8" hidden="1" x14ac:dyDescent="0.15">
      <c r="A2640" s="2200" t="s">
        <v>10723</v>
      </c>
      <c r="B2640" s="2200" t="s">
        <v>15990</v>
      </c>
      <c r="C2640" s="2200" t="s">
        <v>15991</v>
      </c>
      <c r="D2640" s="2200" t="str">
        <f t="shared" si="164"/>
        <v>OR</v>
      </c>
      <c r="E2640" s="2200">
        <f t="shared" si="165"/>
        <v>17</v>
      </c>
      <c r="F2640" s="2200" t="str">
        <f t="shared" si="166"/>
        <v>41</v>
      </c>
      <c r="G2640" s="2200" t="str">
        <f t="shared" si="167"/>
        <v>30550</v>
      </c>
      <c r="H2640" s="2200">
        <f>--SUBTOTAL(3,C$2:C2640)</f>
        <v>99</v>
      </c>
    </row>
    <row r="2641" spans="1:8" hidden="1" x14ac:dyDescent="0.15">
      <c r="A2641" s="2200" t="s">
        <v>10723</v>
      </c>
      <c r="B2641" s="2200" t="s">
        <v>15992</v>
      </c>
      <c r="C2641" s="2200" t="s">
        <v>15993</v>
      </c>
      <c r="D2641" s="2200" t="str">
        <f t="shared" si="164"/>
        <v>OR</v>
      </c>
      <c r="E2641" s="2200">
        <f t="shared" si="165"/>
        <v>13</v>
      </c>
      <c r="F2641" s="2200" t="str">
        <f t="shared" si="166"/>
        <v>41</v>
      </c>
      <c r="G2641" s="2200" t="str">
        <f t="shared" si="167"/>
        <v>31250</v>
      </c>
      <c r="H2641" s="2200">
        <f>--SUBTOTAL(3,C$2:C2641)</f>
        <v>99</v>
      </c>
    </row>
    <row r="2642" spans="1:8" hidden="1" x14ac:dyDescent="0.15">
      <c r="A2642" s="2200" t="s">
        <v>10723</v>
      </c>
      <c r="B2642" s="2200" t="s">
        <v>15994</v>
      </c>
      <c r="C2642" s="2200" t="s">
        <v>15995</v>
      </c>
      <c r="D2642" s="2200" t="str">
        <f t="shared" si="164"/>
        <v>OR</v>
      </c>
      <c r="E2642" s="2200">
        <f t="shared" si="165"/>
        <v>15</v>
      </c>
      <c r="F2642" s="2200" t="str">
        <f t="shared" si="166"/>
        <v>41</v>
      </c>
      <c r="G2642" s="2200" t="str">
        <f t="shared" si="167"/>
        <v>34100</v>
      </c>
      <c r="H2642" s="2200">
        <f>--SUBTOTAL(3,C$2:C2642)</f>
        <v>99</v>
      </c>
    </row>
    <row r="2643" spans="1:8" hidden="1" x14ac:dyDescent="0.15">
      <c r="A2643" s="2200" t="s">
        <v>10723</v>
      </c>
      <c r="B2643" s="2200" t="s">
        <v>15996</v>
      </c>
      <c r="C2643" s="2200" t="s">
        <v>15997</v>
      </c>
      <c r="D2643" s="2200" t="str">
        <f t="shared" si="164"/>
        <v>OR</v>
      </c>
      <c r="E2643" s="2200">
        <f t="shared" si="165"/>
        <v>12</v>
      </c>
      <c r="F2643" s="2200" t="str">
        <f t="shared" si="166"/>
        <v>41</v>
      </c>
      <c r="G2643" s="2200" t="str">
        <f t="shared" si="167"/>
        <v>38500</v>
      </c>
      <c r="H2643" s="2200">
        <f>--SUBTOTAL(3,C$2:C2643)</f>
        <v>99</v>
      </c>
    </row>
    <row r="2644" spans="1:8" hidden="1" x14ac:dyDescent="0.15">
      <c r="A2644" s="2200" t="s">
        <v>10723</v>
      </c>
      <c r="B2644" s="2200" t="s">
        <v>15998</v>
      </c>
      <c r="C2644" s="2200" t="s">
        <v>15999</v>
      </c>
      <c r="D2644" s="2200" t="str">
        <f t="shared" si="164"/>
        <v>OR</v>
      </c>
      <c r="E2644" s="2200">
        <f t="shared" si="165"/>
        <v>17</v>
      </c>
      <c r="F2644" s="2200" t="str">
        <f t="shared" si="166"/>
        <v>41</v>
      </c>
      <c r="G2644" s="2200" t="str">
        <f t="shared" si="167"/>
        <v>40550</v>
      </c>
      <c r="H2644" s="2200">
        <f>--SUBTOTAL(3,C$2:C2644)</f>
        <v>99</v>
      </c>
    </row>
    <row r="2645" spans="1:8" hidden="1" x14ac:dyDescent="0.15">
      <c r="A2645" s="2200" t="s">
        <v>10723</v>
      </c>
      <c r="B2645" s="2200" t="s">
        <v>16000</v>
      </c>
      <c r="C2645" s="2200" t="s">
        <v>16001</v>
      </c>
      <c r="D2645" s="2200" t="str">
        <f t="shared" si="164"/>
        <v>OR</v>
      </c>
      <c r="E2645" s="2200">
        <f t="shared" si="165"/>
        <v>17</v>
      </c>
      <c r="F2645" s="2200" t="str">
        <f t="shared" si="166"/>
        <v>41</v>
      </c>
      <c r="G2645" s="2200" t="str">
        <f t="shared" si="167"/>
        <v>45000</v>
      </c>
      <c r="H2645" s="2200">
        <f>--SUBTOTAL(3,C$2:C2645)</f>
        <v>99</v>
      </c>
    </row>
    <row r="2646" spans="1:8" hidden="1" x14ac:dyDescent="0.15">
      <c r="A2646" s="2200" t="s">
        <v>10723</v>
      </c>
      <c r="B2646" s="2200" t="s">
        <v>16002</v>
      </c>
      <c r="C2646" s="2200" t="s">
        <v>16003</v>
      </c>
      <c r="D2646" s="2200" t="str">
        <f t="shared" si="164"/>
        <v>OR</v>
      </c>
      <c r="E2646" s="2200">
        <f t="shared" si="165"/>
        <v>13</v>
      </c>
      <c r="F2646" s="2200" t="str">
        <f t="shared" si="166"/>
        <v>41</v>
      </c>
      <c r="G2646" s="2200" t="str">
        <f t="shared" si="167"/>
        <v>47000</v>
      </c>
      <c r="H2646" s="2200">
        <f>--SUBTOTAL(3,C$2:C2646)</f>
        <v>99</v>
      </c>
    </row>
    <row r="2647" spans="1:8" hidden="1" x14ac:dyDescent="0.15">
      <c r="A2647" s="2200" t="s">
        <v>10723</v>
      </c>
      <c r="B2647" s="2200" t="s">
        <v>16004</v>
      </c>
      <c r="C2647" s="2200" t="s">
        <v>16005</v>
      </c>
      <c r="D2647" s="2200" t="str">
        <f t="shared" si="164"/>
        <v>OR</v>
      </c>
      <c r="E2647" s="2200">
        <f t="shared" si="165"/>
        <v>17</v>
      </c>
      <c r="F2647" s="2200" t="str">
        <f t="shared" si="166"/>
        <v>41</v>
      </c>
      <c r="G2647" s="2200" t="str">
        <f t="shared" si="167"/>
        <v>55200</v>
      </c>
      <c r="H2647" s="2200">
        <f>--SUBTOTAL(3,C$2:C2647)</f>
        <v>99</v>
      </c>
    </row>
    <row r="2648" spans="1:8" hidden="1" x14ac:dyDescent="0.15">
      <c r="A2648" s="2200" t="s">
        <v>10723</v>
      </c>
      <c r="B2648" s="2200" t="s">
        <v>16006</v>
      </c>
      <c r="C2648" s="2200" t="s">
        <v>16007</v>
      </c>
      <c r="D2648" s="2200" t="str">
        <f t="shared" si="164"/>
        <v>OR</v>
      </c>
      <c r="E2648" s="2200">
        <f t="shared" si="165"/>
        <v>14</v>
      </c>
      <c r="F2648" s="2200" t="str">
        <f t="shared" si="166"/>
        <v>41</v>
      </c>
      <c r="G2648" s="2200" t="str">
        <f t="shared" si="167"/>
        <v>59000</v>
      </c>
      <c r="H2648" s="2200">
        <f>--SUBTOTAL(3,C$2:C2648)</f>
        <v>99</v>
      </c>
    </row>
    <row r="2649" spans="1:8" hidden="1" x14ac:dyDescent="0.15">
      <c r="A2649" s="2200" t="s">
        <v>10723</v>
      </c>
      <c r="B2649" s="2200" t="s">
        <v>16008</v>
      </c>
      <c r="C2649" s="2200" t="s">
        <v>16009</v>
      </c>
      <c r="D2649" s="2200" t="str">
        <f t="shared" si="164"/>
        <v>OR</v>
      </c>
      <c r="E2649" s="2200">
        <f t="shared" si="165"/>
        <v>13</v>
      </c>
      <c r="F2649" s="2200" t="str">
        <f t="shared" si="166"/>
        <v>41</v>
      </c>
      <c r="G2649" s="2200" t="str">
        <f t="shared" si="167"/>
        <v>61200</v>
      </c>
      <c r="H2649" s="2200">
        <f>--SUBTOTAL(3,C$2:C2649)</f>
        <v>99</v>
      </c>
    </row>
    <row r="2650" spans="1:8" hidden="1" x14ac:dyDescent="0.15">
      <c r="A2650" s="2200" t="s">
        <v>10723</v>
      </c>
      <c r="B2650" s="2200" t="s">
        <v>16010</v>
      </c>
      <c r="C2650" s="2200" t="s">
        <v>16011</v>
      </c>
      <c r="D2650" s="2200" t="str">
        <f t="shared" si="164"/>
        <v>OR</v>
      </c>
      <c r="E2650" s="2200">
        <f t="shared" si="165"/>
        <v>11</v>
      </c>
      <c r="F2650" s="2200" t="str">
        <f t="shared" si="166"/>
        <v>41</v>
      </c>
      <c r="G2650" s="2200" t="str">
        <f t="shared" si="167"/>
        <v>64900</v>
      </c>
      <c r="H2650" s="2200">
        <f>--SUBTOTAL(3,C$2:C2650)</f>
        <v>99</v>
      </c>
    </row>
    <row r="2651" spans="1:8" hidden="1" x14ac:dyDescent="0.15">
      <c r="A2651" s="2200" t="s">
        <v>10723</v>
      </c>
      <c r="B2651" s="2200" t="s">
        <v>16012</v>
      </c>
      <c r="C2651" s="2200" t="s">
        <v>16013</v>
      </c>
      <c r="D2651" s="2200" t="str">
        <f t="shared" si="164"/>
        <v>OR</v>
      </c>
      <c r="E2651" s="2200">
        <f t="shared" si="165"/>
        <v>17</v>
      </c>
      <c r="F2651" s="2200" t="str">
        <f t="shared" si="166"/>
        <v>41</v>
      </c>
      <c r="G2651" s="2200" t="str">
        <f t="shared" si="167"/>
        <v>69600</v>
      </c>
      <c r="H2651" s="2200">
        <f>--SUBTOTAL(3,C$2:C2651)</f>
        <v>99</v>
      </c>
    </row>
    <row r="2652" spans="1:8" hidden="1" x14ac:dyDescent="0.15">
      <c r="A2652" s="2200" t="s">
        <v>10723</v>
      </c>
      <c r="B2652" s="2200" t="s">
        <v>16014</v>
      </c>
      <c r="C2652" s="2200" t="s">
        <v>16015</v>
      </c>
      <c r="D2652" s="2200" t="str">
        <f t="shared" si="164"/>
        <v>OR</v>
      </c>
      <c r="E2652" s="2200">
        <f t="shared" si="165"/>
        <v>12</v>
      </c>
      <c r="F2652" s="2200" t="str">
        <f t="shared" si="166"/>
        <v>41</v>
      </c>
      <c r="G2652" s="2200" t="str">
        <f t="shared" si="167"/>
        <v>73650</v>
      </c>
      <c r="H2652" s="2200">
        <f>--SUBTOTAL(3,C$2:C2652)</f>
        <v>99</v>
      </c>
    </row>
    <row r="2653" spans="1:8" hidden="1" x14ac:dyDescent="0.15">
      <c r="A2653" s="2200" t="s">
        <v>10723</v>
      </c>
      <c r="B2653" s="2200" t="s">
        <v>16016</v>
      </c>
      <c r="C2653" s="2200" t="s">
        <v>16017</v>
      </c>
      <c r="D2653" s="2200" t="str">
        <f t="shared" si="164"/>
        <v>OR</v>
      </c>
      <c r="E2653" s="2200">
        <f t="shared" si="165"/>
        <v>14</v>
      </c>
      <c r="F2653" s="2200" t="str">
        <f t="shared" si="166"/>
        <v>41</v>
      </c>
      <c r="G2653" s="2200" t="str">
        <f t="shared" si="167"/>
        <v>74950</v>
      </c>
      <c r="H2653" s="2200">
        <f>--SUBTOTAL(3,C$2:C2653)</f>
        <v>99</v>
      </c>
    </row>
    <row r="2654" spans="1:8" hidden="1" x14ac:dyDescent="0.15">
      <c r="A2654" s="2200" t="s">
        <v>10723</v>
      </c>
      <c r="B2654" s="2200" t="s">
        <v>16018</v>
      </c>
      <c r="C2654" s="2200" t="s">
        <v>16019</v>
      </c>
      <c r="D2654" s="2200" t="str">
        <f t="shared" si="164"/>
        <v>OR</v>
      </c>
      <c r="E2654" s="2200">
        <f t="shared" si="165"/>
        <v>15</v>
      </c>
      <c r="F2654" s="2200" t="str">
        <f t="shared" si="166"/>
        <v>41</v>
      </c>
      <c r="G2654" s="2200" t="str">
        <f t="shared" si="167"/>
        <v>80150</v>
      </c>
      <c r="H2654" s="2200">
        <f>--SUBTOTAL(3,C$2:C2654)</f>
        <v>99</v>
      </c>
    </row>
    <row r="2655" spans="1:8" hidden="1" x14ac:dyDescent="0.15">
      <c r="A2655" s="2200" t="s">
        <v>10723</v>
      </c>
      <c r="B2655" s="2200" t="s">
        <v>16020</v>
      </c>
      <c r="C2655" s="2200" t="s">
        <v>16021</v>
      </c>
      <c r="D2655" s="2200" t="str">
        <f t="shared" si="164"/>
        <v>OR</v>
      </c>
      <c r="E2655" s="2200">
        <f t="shared" si="165"/>
        <v>14</v>
      </c>
      <c r="F2655" s="2200" t="str">
        <f t="shared" si="166"/>
        <v>41</v>
      </c>
      <c r="G2655" s="2200" t="str">
        <f t="shared" si="167"/>
        <v>83750</v>
      </c>
      <c r="H2655" s="2200">
        <f>--SUBTOTAL(3,C$2:C2655)</f>
        <v>99</v>
      </c>
    </row>
    <row r="2656" spans="1:8" hidden="1" x14ac:dyDescent="0.15">
      <c r="A2656" s="2200" t="s">
        <v>10723</v>
      </c>
      <c r="B2656" s="2200" t="s">
        <v>16022</v>
      </c>
      <c r="C2656" s="2200" t="s">
        <v>16023</v>
      </c>
      <c r="D2656" s="2200" t="str">
        <f t="shared" si="164"/>
        <v>PA</v>
      </c>
      <c r="E2656" s="2200">
        <f t="shared" si="165"/>
        <v>18</v>
      </c>
      <c r="F2656" s="2200" t="str">
        <f t="shared" si="166"/>
        <v>42</v>
      </c>
      <c r="G2656" s="2200" t="str">
        <f t="shared" si="167"/>
        <v>00156</v>
      </c>
      <c r="H2656" s="2200">
        <f>--SUBTOTAL(3,C$2:C2656)</f>
        <v>99</v>
      </c>
    </row>
    <row r="2657" spans="1:8" hidden="1" x14ac:dyDescent="0.15">
      <c r="A2657" s="2200" t="s">
        <v>10723</v>
      </c>
      <c r="B2657" s="2200" t="s">
        <v>16024</v>
      </c>
      <c r="C2657" s="2200" t="s">
        <v>16025</v>
      </c>
      <c r="D2657" s="2200" t="str">
        <f t="shared" si="164"/>
        <v>PA</v>
      </c>
      <c r="E2657" s="2200">
        <f t="shared" si="165"/>
        <v>15</v>
      </c>
      <c r="F2657" s="2200" t="str">
        <f t="shared" si="166"/>
        <v>42</v>
      </c>
      <c r="G2657" s="2200" t="str">
        <f t="shared" si="167"/>
        <v>02000</v>
      </c>
      <c r="H2657" s="2200">
        <f>--SUBTOTAL(3,C$2:C2657)</f>
        <v>99</v>
      </c>
    </row>
    <row r="2658" spans="1:8" hidden="1" x14ac:dyDescent="0.15">
      <c r="A2658" s="2200" t="s">
        <v>10723</v>
      </c>
      <c r="B2658" s="2200" t="s">
        <v>16026</v>
      </c>
      <c r="C2658" s="2200" t="s">
        <v>16027</v>
      </c>
      <c r="D2658" s="2200" t="str">
        <f t="shared" si="164"/>
        <v>PA</v>
      </c>
      <c r="E2658" s="2200">
        <f t="shared" si="165"/>
        <v>13</v>
      </c>
      <c r="F2658" s="2200" t="str">
        <f t="shared" si="166"/>
        <v>42</v>
      </c>
      <c r="G2658" s="2200" t="str">
        <f t="shared" si="167"/>
        <v>02184</v>
      </c>
      <c r="H2658" s="2200">
        <f>--SUBTOTAL(3,C$2:C2658)</f>
        <v>99</v>
      </c>
    </row>
    <row r="2659" spans="1:8" hidden="1" x14ac:dyDescent="0.15">
      <c r="A2659" s="2200" t="s">
        <v>10723</v>
      </c>
      <c r="B2659" s="2200" t="s">
        <v>16028</v>
      </c>
      <c r="C2659" s="2200" t="s">
        <v>16029</v>
      </c>
      <c r="D2659" s="2200" t="str">
        <f t="shared" si="164"/>
        <v>PA</v>
      </c>
      <c r="E2659" s="2200">
        <f t="shared" si="165"/>
        <v>18</v>
      </c>
      <c r="F2659" s="2200" t="str">
        <f t="shared" si="166"/>
        <v>42</v>
      </c>
      <c r="G2659" s="2200" t="str">
        <f t="shared" si="167"/>
        <v>05616</v>
      </c>
      <c r="H2659" s="2200">
        <f>--SUBTOTAL(3,C$2:C2659)</f>
        <v>99</v>
      </c>
    </row>
    <row r="2660" spans="1:8" hidden="1" x14ac:dyDescent="0.15">
      <c r="A2660" s="2200" t="s">
        <v>10723</v>
      </c>
      <c r="B2660" s="2200" t="s">
        <v>16030</v>
      </c>
      <c r="C2660" s="2200" t="s">
        <v>16031</v>
      </c>
      <c r="D2660" s="2200" t="str">
        <f t="shared" si="164"/>
        <v>PA</v>
      </c>
      <c r="E2660" s="2200">
        <f t="shared" si="165"/>
        <v>25</v>
      </c>
      <c r="F2660" s="2200" t="str">
        <f t="shared" si="166"/>
        <v>42</v>
      </c>
      <c r="G2660" s="2200" t="str">
        <f t="shared" si="167"/>
        <v>06064</v>
      </c>
      <c r="H2660" s="2200">
        <f>--SUBTOTAL(3,C$2:C2660)</f>
        <v>99</v>
      </c>
    </row>
    <row r="2661" spans="1:8" hidden="1" x14ac:dyDescent="0.15">
      <c r="A2661" s="2200" t="s">
        <v>10723</v>
      </c>
      <c r="B2661" s="2200" t="s">
        <v>16032</v>
      </c>
      <c r="C2661" s="2200" t="s">
        <v>16033</v>
      </c>
      <c r="D2661" s="2200" t="str">
        <f t="shared" si="164"/>
        <v>PA</v>
      </c>
      <c r="E2661" s="2200">
        <f t="shared" si="165"/>
        <v>15</v>
      </c>
      <c r="F2661" s="2200" t="str">
        <f t="shared" si="166"/>
        <v>42</v>
      </c>
      <c r="G2661" s="2200" t="str">
        <f t="shared" si="167"/>
        <v>06088</v>
      </c>
      <c r="H2661" s="2200">
        <f>--SUBTOTAL(3,C$2:C2661)</f>
        <v>99</v>
      </c>
    </row>
    <row r="2662" spans="1:8" hidden="1" x14ac:dyDescent="0.15">
      <c r="A2662" s="2200" t="s">
        <v>10723</v>
      </c>
      <c r="B2662" s="2200" t="s">
        <v>16034</v>
      </c>
      <c r="C2662" s="2200" t="s">
        <v>16035</v>
      </c>
      <c r="D2662" s="2200" t="str">
        <f t="shared" si="164"/>
        <v>PA</v>
      </c>
      <c r="E2662" s="2200">
        <f t="shared" si="165"/>
        <v>17</v>
      </c>
      <c r="F2662" s="2200" t="str">
        <f t="shared" si="166"/>
        <v>42</v>
      </c>
      <c r="G2662" s="2200" t="str">
        <f t="shared" si="167"/>
        <v>08768</v>
      </c>
      <c r="H2662" s="2200">
        <f>--SUBTOTAL(3,C$2:C2662)</f>
        <v>99</v>
      </c>
    </row>
    <row r="2663" spans="1:8" hidden="1" x14ac:dyDescent="0.15">
      <c r="A2663" s="2200" t="s">
        <v>10723</v>
      </c>
      <c r="B2663" s="2200" t="s">
        <v>16036</v>
      </c>
      <c r="C2663" s="2200" t="s">
        <v>16037</v>
      </c>
      <c r="D2663" s="2200" t="str">
        <f t="shared" si="164"/>
        <v>PA</v>
      </c>
      <c r="E2663" s="2200">
        <f t="shared" si="165"/>
        <v>20</v>
      </c>
      <c r="F2663" s="2200" t="str">
        <f t="shared" si="166"/>
        <v>42</v>
      </c>
      <c r="G2663" s="2200" t="str">
        <f t="shared" si="167"/>
        <v>12968</v>
      </c>
      <c r="H2663" s="2200">
        <f>--SUBTOTAL(3,C$2:C2663)</f>
        <v>99</v>
      </c>
    </row>
    <row r="2664" spans="1:8" hidden="1" x14ac:dyDescent="0.15">
      <c r="A2664" s="2200" t="s">
        <v>10723</v>
      </c>
      <c r="B2664" s="2200" t="s">
        <v>16038</v>
      </c>
      <c r="C2664" s="2200" t="s">
        <v>16039</v>
      </c>
      <c r="D2664" s="2200" t="str">
        <f t="shared" si="164"/>
        <v>PA</v>
      </c>
      <c r="E2664" s="2200">
        <f t="shared" si="165"/>
        <v>13</v>
      </c>
      <c r="F2664" s="2200" t="str">
        <f t="shared" si="166"/>
        <v>42</v>
      </c>
      <c r="G2664" s="2200" t="str">
        <f t="shared" si="167"/>
        <v>13208</v>
      </c>
      <c r="H2664" s="2200">
        <f>--SUBTOTAL(3,C$2:C2664)</f>
        <v>99</v>
      </c>
    </row>
    <row r="2665" spans="1:8" hidden="1" x14ac:dyDescent="0.15">
      <c r="A2665" s="2200" t="s">
        <v>10723</v>
      </c>
      <c r="B2665" s="2200" t="s">
        <v>16040</v>
      </c>
      <c r="C2665" s="2200" t="s">
        <v>16041</v>
      </c>
      <c r="D2665" s="2200" t="str">
        <f t="shared" si="164"/>
        <v>PA</v>
      </c>
      <c r="E2665" s="2200">
        <f t="shared" si="165"/>
        <v>35</v>
      </c>
      <c r="F2665" s="2200" t="str">
        <f t="shared" si="166"/>
        <v>42</v>
      </c>
      <c r="G2665" s="2200" t="str">
        <f t="shared" si="167"/>
        <v>16920</v>
      </c>
      <c r="H2665" s="2200">
        <f>--SUBTOTAL(3,C$2:C2665)</f>
        <v>99</v>
      </c>
    </row>
    <row r="2666" spans="1:8" hidden="1" x14ac:dyDescent="0.15">
      <c r="A2666" s="2200" t="s">
        <v>10723</v>
      </c>
      <c r="B2666" s="2200" t="s">
        <v>16042</v>
      </c>
      <c r="C2666" s="2200" t="s">
        <v>16043</v>
      </c>
      <c r="D2666" s="2200" t="str">
        <f t="shared" si="164"/>
        <v>PA</v>
      </c>
      <c r="E2666" s="2200">
        <f t="shared" si="165"/>
        <v>32</v>
      </c>
      <c r="F2666" s="2200" t="str">
        <f t="shared" si="166"/>
        <v>42</v>
      </c>
      <c r="G2666" s="2200" t="str">
        <f t="shared" si="167"/>
        <v>18936</v>
      </c>
      <c r="H2666" s="2200">
        <f>--SUBTOTAL(3,C$2:C2666)</f>
        <v>99</v>
      </c>
    </row>
    <row r="2667" spans="1:8" hidden="1" x14ac:dyDescent="0.15">
      <c r="A2667" s="2200" t="s">
        <v>10723</v>
      </c>
      <c r="B2667" s="2200" t="s">
        <v>16044</v>
      </c>
      <c r="C2667" s="2200" t="s">
        <v>16045</v>
      </c>
      <c r="D2667" s="2200" t="str">
        <f t="shared" si="164"/>
        <v>PA</v>
      </c>
      <c r="E2667" s="2200">
        <f t="shared" si="165"/>
        <v>12</v>
      </c>
      <c r="F2667" s="2200" t="str">
        <f t="shared" si="166"/>
        <v>42</v>
      </c>
      <c r="G2667" s="2200" t="str">
        <f t="shared" si="167"/>
        <v>21648</v>
      </c>
      <c r="H2667" s="2200">
        <f>--SUBTOTAL(3,C$2:C2667)</f>
        <v>99</v>
      </c>
    </row>
    <row r="2668" spans="1:8" hidden="1" x14ac:dyDescent="0.15">
      <c r="A2668" s="2200" t="s">
        <v>10723</v>
      </c>
      <c r="B2668" s="2200" t="s">
        <v>16046</v>
      </c>
      <c r="C2668" s="2200" t="s">
        <v>16047</v>
      </c>
      <c r="D2668" s="2200" t="str">
        <f t="shared" si="164"/>
        <v>PA</v>
      </c>
      <c r="E2668" s="2200">
        <f t="shared" si="165"/>
        <v>10</v>
      </c>
      <c r="F2668" s="2200" t="str">
        <f t="shared" si="166"/>
        <v>42</v>
      </c>
      <c r="G2668" s="2200" t="str">
        <f t="shared" si="167"/>
        <v>24000</v>
      </c>
      <c r="H2668" s="2200">
        <f>--SUBTOTAL(3,C$2:C2668)</f>
        <v>99</v>
      </c>
    </row>
    <row r="2669" spans="1:8" hidden="1" x14ac:dyDescent="0.15">
      <c r="A2669" s="2200" t="s">
        <v>10723</v>
      </c>
      <c r="B2669" s="2200" t="s">
        <v>16048</v>
      </c>
      <c r="C2669" s="2200" t="s">
        <v>16049</v>
      </c>
      <c r="D2669" s="2200" t="str">
        <f t="shared" si="164"/>
        <v>PA</v>
      </c>
      <c r="E2669" s="2200">
        <f t="shared" si="165"/>
        <v>31</v>
      </c>
      <c r="F2669" s="2200" t="str">
        <f t="shared" si="166"/>
        <v>42</v>
      </c>
      <c r="G2669" s="2200" t="str">
        <f t="shared" si="167"/>
        <v>24384</v>
      </c>
      <c r="H2669" s="2200">
        <f>--SUBTOTAL(3,C$2:C2669)</f>
        <v>99</v>
      </c>
    </row>
    <row r="2670" spans="1:8" hidden="1" x14ac:dyDescent="0.15">
      <c r="A2670" s="2200" t="s">
        <v>10723</v>
      </c>
      <c r="B2670" s="2200" t="s">
        <v>16050</v>
      </c>
      <c r="C2670" s="2200" t="s">
        <v>16051</v>
      </c>
      <c r="D2670" s="2200" t="str">
        <f t="shared" si="164"/>
        <v>PA</v>
      </c>
      <c r="E2670" s="2200">
        <f t="shared" si="165"/>
        <v>30</v>
      </c>
      <c r="F2670" s="2200" t="str">
        <f t="shared" si="166"/>
        <v>42</v>
      </c>
      <c r="G2670" s="2200" t="str">
        <f t="shared" si="167"/>
        <v>25112</v>
      </c>
      <c r="H2670" s="2200">
        <f>--SUBTOTAL(3,C$2:C2670)</f>
        <v>99</v>
      </c>
    </row>
    <row r="2671" spans="1:8" hidden="1" x14ac:dyDescent="0.15">
      <c r="A2671" s="2200" t="s">
        <v>10723</v>
      </c>
      <c r="B2671" s="2200" t="s">
        <v>16052</v>
      </c>
      <c r="C2671" s="2200" t="s">
        <v>16053</v>
      </c>
      <c r="D2671" s="2200" t="str">
        <f t="shared" si="164"/>
        <v>PA</v>
      </c>
      <c r="E2671" s="2200">
        <f t="shared" si="165"/>
        <v>17</v>
      </c>
      <c r="F2671" s="2200" t="str">
        <f t="shared" si="166"/>
        <v>42</v>
      </c>
      <c r="G2671" s="2200" t="str">
        <f t="shared" si="167"/>
        <v>32296</v>
      </c>
      <c r="H2671" s="2200">
        <f>--SUBTOTAL(3,C$2:C2671)</f>
        <v>99</v>
      </c>
    </row>
    <row r="2672" spans="1:8" hidden="1" x14ac:dyDescent="0.15">
      <c r="A2672" s="2200" t="s">
        <v>10723</v>
      </c>
      <c r="B2672" s="2200" t="s">
        <v>16054</v>
      </c>
      <c r="C2672" s="2200" t="s">
        <v>16055</v>
      </c>
      <c r="D2672" s="2200" t="str">
        <f t="shared" si="164"/>
        <v>PA</v>
      </c>
      <c r="E2672" s="2200">
        <f t="shared" si="165"/>
        <v>16</v>
      </c>
      <c r="F2672" s="2200" t="str">
        <f t="shared" si="166"/>
        <v>42</v>
      </c>
      <c r="G2672" s="2200" t="str">
        <f t="shared" si="167"/>
        <v>32800</v>
      </c>
      <c r="H2672" s="2200">
        <f>--SUBTOTAL(3,C$2:C2672)</f>
        <v>99</v>
      </c>
    </row>
    <row r="2673" spans="1:8" hidden="1" x14ac:dyDescent="0.15">
      <c r="A2673" s="2200" t="s">
        <v>10723</v>
      </c>
      <c r="B2673" s="2200" t="s">
        <v>16056</v>
      </c>
      <c r="C2673" s="2200" t="s">
        <v>16057</v>
      </c>
      <c r="D2673" s="2200" t="str">
        <f t="shared" si="164"/>
        <v>PA</v>
      </c>
      <c r="E2673" s="2200">
        <f t="shared" si="165"/>
        <v>19</v>
      </c>
      <c r="F2673" s="2200" t="str">
        <f t="shared" si="166"/>
        <v>42</v>
      </c>
      <c r="G2673" s="2200" t="str">
        <f t="shared" si="167"/>
        <v>33144</v>
      </c>
      <c r="H2673" s="2200">
        <f>--SUBTOTAL(3,C$2:C2673)</f>
        <v>99</v>
      </c>
    </row>
    <row r="2674" spans="1:8" hidden="1" x14ac:dyDescent="0.15">
      <c r="A2674" s="2200" t="s">
        <v>10723</v>
      </c>
      <c r="B2674" s="2200" t="s">
        <v>16058</v>
      </c>
      <c r="C2674" s="2200" t="s">
        <v>16059</v>
      </c>
      <c r="D2674" s="2200" t="str">
        <f t="shared" si="164"/>
        <v>PA</v>
      </c>
      <c r="E2674" s="2200">
        <f t="shared" si="165"/>
        <v>14</v>
      </c>
      <c r="F2674" s="2200" t="str">
        <f t="shared" si="166"/>
        <v>42</v>
      </c>
      <c r="G2674" s="2200" t="str">
        <f t="shared" si="167"/>
        <v>33408</v>
      </c>
      <c r="H2674" s="2200">
        <f>--SUBTOTAL(3,C$2:C2674)</f>
        <v>99</v>
      </c>
    </row>
    <row r="2675" spans="1:8" hidden="1" x14ac:dyDescent="0.15">
      <c r="A2675" s="2200" t="s">
        <v>10723</v>
      </c>
      <c r="B2675" s="2200" t="s">
        <v>16060</v>
      </c>
      <c r="C2675" s="2200" t="s">
        <v>16061</v>
      </c>
      <c r="D2675" s="2200" t="str">
        <f t="shared" si="164"/>
        <v>PA</v>
      </c>
      <c r="E2675" s="2200">
        <f t="shared" si="165"/>
        <v>41</v>
      </c>
      <c r="F2675" s="2200" t="str">
        <f t="shared" si="166"/>
        <v>42</v>
      </c>
      <c r="G2675" s="2200" t="str">
        <f t="shared" si="167"/>
        <v>33792</v>
      </c>
      <c r="H2675" s="2200">
        <f>--SUBTOTAL(3,C$2:C2675)</f>
        <v>99</v>
      </c>
    </row>
    <row r="2676" spans="1:8" hidden="1" x14ac:dyDescent="0.15">
      <c r="A2676" s="2200" t="s">
        <v>10723</v>
      </c>
      <c r="B2676" s="2200" t="s">
        <v>16062</v>
      </c>
      <c r="C2676" s="2200" t="s">
        <v>16063</v>
      </c>
      <c r="D2676" s="2200" t="str">
        <f t="shared" si="164"/>
        <v>PA</v>
      </c>
      <c r="E2676" s="2200">
        <f t="shared" si="165"/>
        <v>17</v>
      </c>
      <c r="F2676" s="2200" t="str">
        <f t="shared" si="166"/>
        <v>42</v>
      </c>
      <c r="G2676" s="2200" t="str">
        <f t="shared" si="167"/>
        <v>35808</v>
      </c>
      <c r="H2676" s="2200">
        <f>--SUBTOTAL(3,C$2:C2676)</f>
        <v>99</v>
      </c>
    </row>
    <row r="2677" spans="1:8" hidden="1" x14ac:dyDescent="0.15">
      <c r="A2677" s="2200" t="s">
        <v>10723</v>
      </c>
      <c r="B2677" s="2200" t="s">
        <v>16064</v>
      </c>
      <c r="C2677" s="2200" t="s">
        <v>16065</v>
      </c>
      <c r="D2677" s="2200" t="str">
        <f t="shared" si="164"/>
        <v>PA</v>
      </c>
      <c r="E2677" s="2200">
        <f t="shared" si="165"/>
        <v>15</v>
      </c>
      <c r="F2677" s="2200" t="str">
        <f t="shared" si="166"/>
        <v>42</v>
      </c>
      <c r="G2677" s="2200" t="str">
        <f t="shared" si="167"/>
        <v>38288</v>
      </c>
      <c r="H2677" s="2200">
        <f>--SUBTOTAL(3,C$2:C2677)</f>
        <v>99</v>
      </c>
    </row>
    <row r="2678" spans="1:8" hidden="1" x14ac:dyDescent="0.15">
      <c r="A2678" s="2200" t="s">
        <v>10723</v>
      </c>
      <c r="B2678" s="2200" t="s">
        <v>16066</v>
      </c>
      <c r="C2678" s="2200" t="s">
        <v>16067</v>
      </c>
      <c r="D2678" s="2200" t="str">
        <f t="shared" si="164"/>
        <v>PA</v>
      </c>
      <c r="E2678" s="2200">
        <f t="shared" si="165"/>
        <v>15</v>
      </c>
      <c r="F2678" s="2200" t="str">
        <f t="shared" si="166"/>
        <v>42</v>
      </c>
      <c r="G2678" s="2200" t="str">
        <f t="shared" si="167"/>
        <v>41216</v>
      </c>
      <c r="H2678" s="2200">
        <f>--SUBTOTAL(3,C$2:C2678)</f>
        <v>99</v>
      </c>
    </row>
    <row r="2679" spans="1:8" hidden="1" x14ac:dyDescent="0.15">
      <c r="A2679" s="2200" t="s">
        <v>10723</v>
      </c>
      <c r="B2679" s="2200" t="s">
        <v>16068</v>
      </c>
      <c r="C2679" s="2200" t="s">
        <v>16069</v>
      </c>
      <c r="D2679" s="2200" t="str">
        <f t="shared" si="164"/>
        <v>PA</v>
      </c>
      <c r="E2679" s="2200">
        <f t="shared" si="165"/>
        <v>13</v>
      </c>
      <c r="F2679" s="2200" t="str">
        <f t="shared" si="166"/>
        <v>42</v>
      </c>
      <c r="G2679" s="2200" t="str">
        <f t="shared" si="167"/>
        <v>42168</v>
      </c>
      <c r="H2679" s="2200">
        <f>--SUBTOTAL(3,C$2:C2679)</f>
        <v>99</v>
      </c>
    </row>
    <row r="2680" spans="1:8" hidden="1" x14ac:dyDescent="0.15">
      <c r="A2680" s="2200" t="s">
        <v>10723</v>
      </c>
      <c r="B2680" s="2200" t="s">
        <v>16070</v>
      </c>
      <c r="C2680" s="2200" t="s">
        <v>16071</v>
      </c>
      <c r="D2680" s="2200" t="str">
        <f t="shared" si="164"/>
        <v>PA</v>
      </c>
      <c r="E2680" s="2200">
        <f t="shared" si="165"/>
        <v>24</v>
      </c>
      <c r="F2680" s="2200" t="str">
        <f t="shared" si="166"/>
        <v>42</v>
      </c>
      <c r="G2680" s="2200" t="str">
        <f t="shared" si="167"/>
        <v>44952</v>
      </c>
      <c r="H2680" s="2200">
        <f>--SUBTOTAL(3,C$2:C2680)</f>
        <v>99</v>
      </c>
    </row>
    <row r="2681" spans="1:8" hidden="1" x14ac:dyDescent="0.15">
      <c r="A2681" s="2200" t="s">
        <v>10723</v>
      </c>
      <c r="B2681" s="2200" t="s">
        <v>16072</v>
      </c>
      <c r="C2681" s="2200" t="s">
        <v>16073</v>
      </c>
      <c r="D2681" s="2200" t="str">
        <f t="shared" si="164"/>
        <v>PA</v>
      </c>
      <c r="E2681" s="2200">
        <f t="shared" si="165"/>
        <v>25</v>
      </c>
      <c r="F2681" s="2200" t="str">
        <f t="shared" si="166"/>
        <v>42</v>
      </c>
      <c r="G2681" s="2200" t="str">
        <f t="shared" si="167"/>
        <v>44968</v>
      </c>
      <c r="H2681" s="2200">
        <f>--SUBTOTAL(3,C$2:C2681)</f>
        <v>99</v>
      </c>
    </row>
    <row r="2682" spans="1:8" hidden="1" x14ac:dyDescent="0.15">
      <c r="A2682" s="2200" t="s">
        <v>10723</v>
      </c>
      <c r="B2682" s="2200" t="s">
        <v>16074</v>
      </c>
      <c r="C2682" s="2200" t="s">
        <v>16075</v>
      </c>
      <c r="D2682" s="2200" t="str">
        <f t="shared" si="164"/>
        <v>PA</v>
      </c>
      <c r="E2682" s="2200">
        <f t="shared" si="165"/>
        <v>22</v>
      </c>
      <c r="F2682" s="2200" t="str">
        <f t="shared" si="166"/>
        <v>42</v>
      </c>
      <c r="G2682" s="2200" t="str">
        <f t="shared" si="167"/>
        <v>44976</v>
      </c>
      <c r="H2682" s="2200">
        <f>--SUBTOTAL(3,C$2:C2682)</f>
        <v>99</v>
      </c>
    </row>
    <row r="2683" spans="1:8" hidden="1" x14ac:dyDescent="0.15">
      <c r="A2683" s="2200" t="s">
        <v>10723</v>
      </c>
      <c r="B2683" s="2200" t="s">
        <v>16076</v>
      </c>
      <c r="C2683" s="2200" t="s">
        <v>16077</v>
      </c>
      <c r="D2683" s="2200" t="str">
        <f t="shared" si="164"/>
        <v>PA</v>
      </c>
      <c r="E2683" s="2200">
        <f t="shared" si="165"/>
        <v>22</v>
      </c>
      <c r="F2683" s="2200" t="str">
        <f t="shared" si="166"/>
        <v>42</v>
      </c>
      <c r="G2683" s="2200" t="str">
        <f t="shared" si="167"/>
        <v>45056</v>
      </c>
      <c r="H2683" s="2200">
        <f>--SUBTOTAL(3,C$2:C2683)</f>
        <v>99</v>
      </c>
    </row>
    <row r="2684" spans="1:8" hidden="1" x14ac:dyDescent="0.15">
      <c r="A2684" s="2200" t="s">
        <v>10723</v>
      </c>
      <c r="B2684" s="2200" t="s">
        <v>16078</v>
      </c>
      <c r="C2684" s="2200" t="s">
        <v>16079</v>
      </c>
      <c r="D2684" s="2200" t="str">
        <f t="shared" si="164"/>
        <v>PA</v>
      </c>
      <c r="E2684" s="2200">
        <f t="shared" si="165"/>
        <v>26</v>
      </c>
      <c r="F2684" s="2200" t="str">
        <f t="shared" si="166"/>
        <v>42</v>
      </c>
      <c r="G2684" s="2200" t="str">
        <f t="shared" si="167"/>
        <v>45080</v>
      </c>
      <c r="H2684" s="2200">
        <f>--SUBTOTAL(3,C$2:C2684)</f>
        <v>99</v>
      </c>
    </row>
    <row r="2685" spans="1:8" hidden="1" x14ac:dyDescent="0.15">
      <c r="A2685" s="2200" t="s">
        <v>10723</v>
      </c>
      <c r="B2685" s="2200" t="s">
        <v>16080</v>
      </c>
      <c r="C2685" s="2200" t="s">
        <v>16081</v>
      </c>
      <c r="D2685" s="2200" t="str">
        <f t="shared" si="164"/>
        <v>PA</v>
      </c>
      <c r="E2685" s="2200">
        <f t="shared" si="165"/>
        <v>36</v>
      </c>
      <c r="F2685" s="2200" t="str">
        <f t="shared" si="166"/>
        <v>42</v>
      </c>
      <c r="G2685" s="2200" t="str">
        <f t="shared" si="167"/>
        <v>46896</v>
      </c>
      <c r="H2685" s="2200">
        <f>--SUBTOTAL(3,C$2:C2685)</f>
        <v>99</v>
      </c>
    </row>
    <row r="2686" spans="1:8" hidden="1" x14ac:dyDescent="0.15">
      <c r="A2686" s="2200" t="s">
        <v>10723</v>
      </c>
      <c r="B2686" s="2200" t="s">
        <v>16082</v>
      </c>
      <c r="C2686" s="2200" t="s">
        <v>16083</v>
      </c>
      <c r="D2686" s="2200" t="str">
        <f t="shared" si="164"/>
        <v>PA</v>
      </c>
      <c r="E2686" s="2200">
        <f t="shared" si="165"/>
        <v>20</v>
      </c>
      <c r="F2686" s="2200" t="str">
        <f t="shared" si="166"/>
        <v>42</v>
      </c>
      <c r="G2686" s="2200" t="str">
        <f t="shared" si="167"/>
        <v>45900</v>
      </c>
      <c r="H2686" s="2200">
        <f>--SUBTOTAL(3,C$2:C2686)</f>
        <v>99</v>
      </c>
    </row>
    <row r="2687" spans="1:8" hidden="1" x14ac:dyDescent="0.15">
      <c r="A2687" s="2200" t="s">
        <v>10723</v>
      </c>
      <c r="B2687" s="2200" t="s">
        <v>16084</v>
      </c>
      <c r="C2687" s="2200" t="s">
        <v>16085</v>
      </c>
      <c r="D2687" s="2200" t="str">
        <f t="shared" si="164"/>
        <v>PA</v>
      </c>
      <c r="E2687" s="2200">
        <f t="shared" si="165"/>
        <v>35</v>
      </c>
      <c r="F2687" s="2200" t="str">
        <f t="shared" si="166"/>
        <v>42</v>
      </c>
      <c r="G2687" s="2200" t="str">
        <f t="shared" si="167"/>
        <v>49120</v>
      </c>
      <c r="H2687" s="2200">
        <f>--SUBTOTAL(3,C$2:C2687)</f>
        <v>99</v>
      </c>
    </row>
    <row r="2688" spans="1:8" hidden="1" x14ac:dyDescent="0.15">
      <c r="A2688" s="2200" t="s">
        <v>10723</v>
      </c>
      <c r="B2688" s="2200" t="s">
        <v>16086</v>
      </c>
      <c r="C2688" s="2200" t="s">
        <v>16087</v>
      </c>
      <c r="D2688" s="2200" t="str">
        <f t="shared" si="164"/>
        <v>PA</v>
      </c>
      <c r="E2688" s="2200">
        <f t="shared" si="165"/>
        <v>33</v>
      </c>
      <c r="F2688" s="2200" t="str">
        <f t="shared" si="166"/>
        <v>42</v>
      </c>
      <c r="G2688" s="2200" t="str">
        <f t="shared" si="167"/>
        <v>49548</v>
      </c>
      <c r="H2688" s="2200">
        <f>--SUBTOTAL(3,C$2:C2688)</f>
        <v>99</v>
      </c>
    </row>
    <row r="2689" spans="1:8" hidden="1" x14ac:dyDescent="0.15">
      <c r="A2689" s="2200" t="s">
        <v>10723</v>
      </c>
      <c r="B2689" s="2200" t="s">
        <v>16088</v>
      </c>
      <c r="C2689" s="2200" t="s">
        <v>16089</v>
      </c>
      <c r="D2689" s="2200" t="str">
        <f t="shared" si="164"/>
        <v>PA</v>
      </c>
      <c r="E2689" s="2200">
        <f t="shared" si="165"/>
        <v>25</v>
      </c>
      <c r="F2689" s="2200" t="str">
        <f t="shared" si="166"/>
        <v>42</v>
      </c>
      <c r="G2689" s="2200" t="str">
        <f t="shared" si="167"/>
        <v>50528</v>
      </c>
      <c r="H2689" s="2200">
        <f>--SUBTOTAL(3,C$2:C2689)</f>
        <v>99</v>
      </c>
    </row>
    <row r="2690" spans="1:8" hidden="1" x14ac:dyDescent="0.15">
      <c r="A2690" s="2200" t="s">
        <v>10723</v>
      </c>
      <c r="B2690" s="2200" t="s">
        <v>16090</v>
      </c>
      <c r="C2690" s="2200" t="s">
        <v>16091</v>
      </c>
      <c r="D2690" s="2200" t="str">
        <f t="shared" ref="D2690:D2753" si="168">MID(C2690,E2690+2,2)</f>
        <v>PA</v>
      </c>
      <c r="E2690" s="2200">
        <f t="shared" ref="E2690:E2753" si="169">FIND(",",C2690)</f>
        <v>40</v>
      </c>
      <c r="F2690" s="2200" t="str">
        <f t="shared" si="166"/>
        <v>42</v>
      </c>
      <c r="G2690" s="2200" t="str">
        <f t="shared" si="167"/>
        <v>50640</v>
      </c>
      <c r="H2690" s="2200">
        <f>--SUBTOTAL(3,C$2:C2690)</f>
        <v>99</v>
      </c>
    </row>
    <row r="2691" spans="1:8" hidden="1" x14ac:dyDescent="0.15">
      <c r="A2691" s="2200" t="s">
        <v>10723</v>
      </c>
      <c r="B2691" s="2200" t="s">
        <v>16092</v>
      </c>
      <c r="C2691" s="2200" t="s">
        <v>16093</v>
      </c>
      <c r="D2691" s="2200" t="str">
        <f t="shared" si="168"/>
        <v>PA</v>
      </c>
      <c r="E2691" s="2200">
        <f t="shared" si="169"/>
        <v>14</v>
      </c>
      <c r="F2691" s="2200" t="str">
        <f t="shared" ref="F2691:F2754" si="170">MID(B2691,3,2)</f>
        <v>42</v>
      </c>
      <c r="G2691" s="2200" t="str">
        <f t="shared" ref="G2691:G2754" si="171">MID(B2691,5,5)</f>
        <v>50784</v>
      </c>
      <c r="H2691" s="2200">
        <f>--SUBTOTAL(3,C$2:C2691)</f>
        <v>99</v>
      </c>
    </row>
    <row r="2692" spans="1:8" hidden="1" x14ac:dyDescent="0.15">
      <c r="A2692" s="2200" t="s">
        <v>10723</v>
      </c>
      <c r="B2692" s="2200" t="s">
        <v>16094</v>
      </c>
      <c r="C2692" s="2200" t="s">
        <v>16095</v>
      </c>
      <c r="D2692" s="2200" t="str">
        <f t="shared" si="168"/>
        <v>PA</v>
      </c>
      <c r="E2692" s="2200">
        <f t="shared" si="169"/>
        <v>23</v>
      </c>
      <c r="F2692" s="2200" t="str">
        <f t="shared" si="170"/>
        <v>42</v>
      </c>
      <c r="G2692" s="2200" t="str">
        <f t="shared" si="171"/>
        <v>51696</v>
      </c>
      <c r="H2692" s="2200">
        <f>--SUBTOTAL(3,C$2:C2692)</f>
        <v>99</v>
      </c>
    </row>
    <row r="2693" spans="1:8" hidden="1" x14ac:dyDescent="0.15">
      <c r="A2693" s="2200" t="s">
        <v>10723</v>
      </c>
      <c r="B2693" s="2200" t="s">
        <v>16096</v>
      </c>
      <c r="C2693" s="2200" t="s">
        <v>16097</v>
      </c>
      <c r="D2693" s="2200" t="str">
        <f t="shared" si="168"/>
        <v>PA</v>
      </c>
      <c r="E2693" s="2200">
        <f t="shared" si="169"/>
        <v>16</v>
      </c>
      <c r="F2693" s="2200" t="str">
        <f t="shared" si="170"/>
        <v>42</v>
      </c>
      <c r="G2693" s="2200" t="str">
        <f t="shared" si="171"/>
        <v>53368</v>
      </c>
      <c r="H2693" s="2200">
        <f>--SUBTOTAL(3,C$2:C2693)</f>
        <v>99</v>
      </c>
    </row>
    <row r="2694" spans="1:8" hidden="1" x14ac:dyDescent="0.15">
      <c r="A2694" s="2200" t="s">
        <v>10723</v>
      </c>
      <c r="B2694" s="2200" t="s">
        <v>16098</v>
      </c>
      <c r="C2694" s="2200" t="s">
        <v>16099</v>
      </c>
      <c r="D2694" s="2200" t="str">
        <f t="shared" si="168"/>
        <v>PA</v>
      </c>
      <c r="E2694" s="2200">
        <f t="shared" si="169"/>
        <v>19</v>
      </c>
      <c r="F2694" s="2200" t="str">
        <f t="shared" si="170"/>
        <v>42</v>
      </c>
      <c r="G2694" s="2200" t="str">
        <f t="shared" si="171"/>
        <v>54656</v>
      </c>
      <c r="H2694" s="2200">
        <f>--SUBTOTAL(3,C$2:C2694)</f>
        <v>99</v>
      </c>
    </row>
    <row r="2695" spans="1:8" hidden="1" x14ac:dyDescent="0.15">
      <c r="A2695" s="2200" t="s">
        <v>10723</v>
      </c>
      <c r="B2695" s="2200" t="s">
        <v>16100</v>
      </c>
      <c r="C2695" s="2200" t="s">
        <v>16101</v>
      </c>
      <c r="D2695" s="2200" t="str">
        <f t="shared" si="168"/>
        <v>PA</v>
      </c>
      <c r="E2695" s="2200">
        <f t="shared" si="169"/>
        <v>26</v>
      </c>
      <c r="F2695" s="2200" t="str">
        <f t="shared" si="170"/>
        <v>42</v>
      </c>
      <c r="G2695" s="2200" t="str">
        <f t="shared" si="171"/>
        <v>55128</v>
      </c>
      <c r="H2695" s="2200">
        <f>--SUBTOTAL(3,C$2:C2695)</f>
        <v>99</v>
      </c>
    </row>
    <row r="2696" spans="1:8" hidden="1" x14ac:dyDescent="0.15">
      <c r="A2696" s="2200" t="s">
        <v>10723</v>
      </c>
      <c r="B2696" s="2200" t="s">
        <v>16102</v>
      </c>
      <c r="C2696" s="2200" t="s">
        <v>16103</v>
      </c>
      <c r="D2696" s="2200" t="str">
        <f t="shared" si="168"/>
        <v>PA</v>
      </c>
      <c r="E2696" s="2200">
        <f t="shared" si="169"/>
        <v>36</v>
      </c>
      <c r="F2696" s="2200" t="str">
        <f t="shared" si="170"/>
        <v>42</v>
      </c>
      <c r="G2696" s="2200" t="str">
        <f t="shared" si="171"/>
        <v>54688</v>
      </c>
      <c r="H2696" s="2200">
        <f>--SUBTOTAL(3,C$2:C2696)</f>
        <v>99</v>
      </c>
    </row>
    <row r="2697" spans="1:8" hidden="1" x14ac:dyDescent="0.15">
      <c r="A2697" s="2200" t="s">
        <v>10723</v>
      </c>
      <c r="B2697" s="2200" t="s">
        <v>16104</v>
      </c>
      <c r="C2697" s="2200" t="s">
        <v>16105</v>
      </c>
      <c r="D2697" s="2200" t="str">
        <f t="shared" si="168"/>
        <v>PA</v>
      </c>
      <c r="E2697" s="2200">
        <f t="shared" si="169"/>
        <v>20</v>
      </c>
      <c r="F2697" s="2200" t="str">
        <f t="shared" si="170"/>
        <v>42</v>
      </c>
      <c r="G2697" s="2200" t="str">
        <f t="shared" si="171"/>
        <v>59032</v>
      </c>
      <c r="H2697" s="2200">
        <f>--SUBTOTAL(3,C$2:C2697)</f>
        <v>99</v>
      </c>
    </row>
    <row r="2698" spans="1:8" hidden="1" x14ac:dyDescent="0.15">
      <c r="A2698" s="2200" t="s">
        <v>10723</v>
      </c>
      <c r="B2698" s="2200" t="s">
        <v>16106</v>
      </c>
      <c r="C2698" s="2200" t="s">
        <v>8874</v>
      </c>
      <c r="D2698" s="2200" t="str">
        <f t="shared" si="168"/>
        <v>PA</v>
      </c>
      <c r="E2698" s="2200">
        <f t="shared" si="169"/>
        <v>25</v>
      </c>
      <c r="F2698" s="2200" t="str">
        <f t="shared" si="170"/>
        <v>42</v>
      </c>
      <c r="G2698" s="2200" t="str">
        <f t="shared" si="171"/>
        <v>60000</v>
      </c>
      <c r="H2698" s="2200">
        <f>--SUBTOTAL(3,C$2:C2698)</f>
        <v>99</v>
      </c>
    </row>
    <row r="2699" spans="1:8" hidden="1" x14ac:dyDescent="0.15">
      <c r="A2699" s="2200" t="s">
        <v>10723</v>
      </c>
      <c r="B2699" s="2200" t="s">
        <v>16107</v>
      </c>
      <c r="C2699" s="2200" t="s">
        <v>16108</v>
      </c>
      <c r="D2699" s="2200" t="str">
        <f t="shared" si="168"/>
        <v>PA</v>
      </c>
      <c r="E2699" s="2200">
        <f t="shared" si="169"/>
        <v>16</v>
      </c>
      <c r="F2699" s="2200" t="str">
        <f t="shared" si="170"/>
        <v>42</v>
      </c>
      <c r="G2699" s="2200" t="str">
        <f t="shared" si="171"/>
        <v>61000</v>
      </c>
      <c r="H2699" s="2200">
        <f>--SUBTOTAL(3,C$2:C2699)</f>
        <v>99</v>
      </c>
    </row>
    <row r="2700" spans="1:8" hidden="1" x14ac:dyDescent="0.15">
      <c r="A2700" s="2200" t="s">
        <v>10723</v>
      </c>
      <c r="B2700" s="2200" t="s">
        <v>16109</v>
      </c>
      <c r="C2700" s="2200" t="s">
        <v>16110</v>
      </c>
      <c r="D2700" s="2200" t="str">
        <f t="shared" si="168"/>
        <v>PA</v>
      </c>
      <c r="E2700" s="2200">
        <f t="shared" si="169"/>
        <v>13</v>
      </c>
      <c r="F2700" s="2200" t="str">
        <f t="shared" si="170"/>
        <v>42</v>
      </c>
      <c r="G2700" s="2200" t="str">
        <f t="shared" si="171"/>
        <v>61536</v>
      </c>
      <c r="H2700" s="2200">
        <f>--SUBTOTAL(3,C$2:C2700)</f>
        <v>99</v>
      </c>
    </row>
    <row r="2701" spans="1:8" hidden="1" x14ac:dyDescent="0.15">
      <c r="A2701" s="2200" t="s">
        <v>10723</v>
      </c>
      <c r="B2701" s="2200" t="s">
        <v>16111</v>
      </c>
      <c r="C2701" s="2200" t="s">
        <v>16112</v>
      </c>
      <c r="D2701" s="2200" t="str">
        <f t="shared" si="168"/>
        <v>PA</v>
      </c>
      <c r="E2701" s="2200">
        <f t="shared" si="169"/>
        <v>16</v>
      </c>
      <c r="F2701" s="2200" t="str">
        <f t="shared" si="170"/>
        <v>42</v>
      </c>
      <c r="G2701" s="2200" t="str">
        <f t="shared" si="171"/>
        <v>63264</v>
      </c>
      <c r="H2701" s="2200">
        <f>--SUBTOTAL(3,C$2:C2701)</f>
        <v>99</v>
      </c>
    </row>
    <row r="2702" spans="1:8" hidden="1" x14ac:dyDescent="0.15">
      <c r="A2702" s="2200" t="s">
        <v>10723</v>
      </c>
      <c r="B2702" s="2200" t="s">
        <v>16113</v>
      </c>
      <c r="C2702" s="2200" t="s">
        <v>16114</v>
      </c>
      <c r="D2702" s="2200" t="str">
        <f t="shared" si="168"/>
        <v>PA</v>
      </c>
      <c r="E2702" s="2200">
        <f t="shared" si="169"/>
        <v>13</v>
      </c>
      <c r="F2702" s="2200" t="str">
        <f t="shared" si="170"/>
        <v>42</v>
      </c>
      <c r="G2702" s="2200" t="str">
        <f t="shared" si="171"/>
        <v>63624</v>
      </c>
      <c r="H2702" s="2200">
        <f>--SUBTOTAL(3,C$2:C2702)</f>
        <v>99</v>
      </c>
    </row>
    <row r="2703" spans="1:8" hidden="1" x14ac:dyDescent="0.15">
      <c r="A2703" s="2200" t="s">
        <v>10723</v>
      </c>
      <c r="B2703" s="2200" t="s">
        <v>16115</v>
      </c>
      <c r="C2703" s="2200" t="s">
        <v>16116</v>
      </c>
      <c r="D2703" s="2200" t="str">
        <f t="shared" si="168"/>
        <v>PA</v>
      </c>
      <c r="E2703" s="2200">
        <f t="shared" si="169"/>
        <v>16</v>
      </c>
      <c r="F2703" s="2200" t="str">
        <f t="shared" si="170"/>
        <v>42</v>
      </c>
      <c r="G2703" s="2200" t="str">
        <f t="shared" si="171"/>
        <v>64800</v>
      </c>
      <c r="H2703" s="2200">
        <f>--SUBTOTAL(3,C$2:C2703)</f>
        <v>99</v>
      </c>
    </row>
    <row r="2704" spans="1:8" hidden="1" x14ac:dyDescent="0.15">
      <c r="A2704" s="2200" t="s">
        <v>10723</v>
      </c>
      <c r="B2704" s="2200" t="s">
        <v>16117</v>
      </c>
      <c r="C2704" s="2200" t="s">
        <v>16118</v>
      </c>
      <c r="D2704" s="2200" t="str">
        <f t="shared" si="168"/>
        <v>PA</v>
      </c>
      <c r="E2704" s="2200">
        <f t="shared" si="169"/>
        <v>33</v>
      </c>
      <c r="F2704" s="2200" t="str">
        <f t="shared" si="170"/>
        <v>42</v>
      </c>
      <c r="G2704" s="2200" t="str">
        <f t="shared" si="171"/>
        <v>66264</v>
      </c>
      <c r="H2704" s="2200">
        <f>--SUBTOTAL(3,C$2:C2704)</f>
        <v>99</v>
      </c>
    </row>
    <row r="2705" spans="1:8" hidden="1" x14ac:dyDescent="0.15">
      <c r="A2705" s="2200" t="s">
        <v>10723</v>
      </c>
      <c r="B2705" s="2200" t="s">
        <v>16119</v>
      </c>
      <c r="C2705" s="2200" t="s">
        <v>16120</v>
      </c>
      <c r="D2705" s="2200" t="str">
        <f t="shared" si="168"/>
        <v>PA</v>
      </c>
      <c r="E2705" s="2200">
        <f t="shared" si="169"/>
        <v>14</v>
      </c>
      <c r="F2705" s="2200" t="str">
        <f t="shared" si="170"/>
        <v>42</v>
      </c>
      <c r="G2705" s="2200" t="str">
        <f t="shared" si="171"/>
        <v>69000</v>
      </c>
      <c r="H2705" s="2200">
        <f>--SUBTOTAL(3,C$2:C2705)</f>
        <v>99</v>
      </c>
    </row>
    <row r="2706" spans="1:8" hidden="1" x14ac:dyDescent="0.15">
      <c r="A2706" s="2200" t="s">
        <v>10723</v>
      </c>
      <c r="B2706" s="2200" t="s">
        <v>16121</v>
      </c>
      <c r="C2706" s="2200" t="s">
        <v>16122</v>
      </c>
      <c r="D2706" s="2200" t="str">
        <f t="shared" si="168"/>
        <v>PA</v>
      </c>
      <c r="E2706" s="2200">
        <f t="shared" si="169"/>
        <v>16</v>
      </c>
      <c r="F2706" s="2200" t="str">
        <f t="shared" si="170"/>
        <v>42</v>
      </c>
      <c r="G2706" s="2200" t="str">
        <f t="shared" si="171"/>
        <v>69584</v>
      </c>
      <c r="H2706" s="2200">
        <f>--SUBTOTAL(3,C$2:C2706)</f>
        <v>99</v>
      </c>
    </row>
    <row r="2707" spans="1:8" hidden="1" x14ac:dyDescent="0.15">
      <c r="A2707" s="2200" t="s">
        <v>10723</v>
      </c>
      <c r="B2707" s="2200" t="s">
        <v>16123</v>
      </c>
      <c r="C2707" s="2200" t="s">
        <v>16124</v>
      </c>
      <c r="D2707" s="2200" t="str">
        <f t="shared" si="168"/>
        <v>PA</v>
      </c>
      <c r="E2707" s="2200">
        <f t="shared" si="169"/>
        <v>31</v>
      </c>
      <c r="F2707" s="2200" t="str">
        <f t="shared" si="170"/>
        <v>42</v>
      </c>
      <c r="G2707" s="2200" t="str">
        <f t="shared" si="171"/>
        <v>72824</v>
      </c>
      <c r="H2707" s="2200">
        <f>--SUBTOTAL(3,C$2:C2707)</f>
        <v>99</v>
      </c>
    </row>
    <row r="2708" spans="1:8" hidden="1" x14ac:dyDescent="0.15">
      <c r="A2708" s="2200" t="s">
        <v>10723</v>
      </c>
      <c r="B2708" s="2200" t="s">
        <v>16125</v>
      </c>
      <c r="C2708" s="2200" t="s">
        <v>16126</v>
      </c>
      <c r="D2708" s="2200" t="str">
        <f t="shared" si="168"/>
        <v>PA</v>
      </c>
      <c r="E2708" s="2200">
        <f t="shared" si="169"/>
        <v>24</v>
      </c>
      <c r="F2708" s="2200" t="str">
        <f t="shared" si="170"/>
        <v>42</v>
      </c>
      <c r="G2708" s="2200" t="str">
        <f t="shared" si="171"/>
        <v>72992</v>
      </c>
      <c r="H2708" s="2200">
        <f>--SUBTOTAL(3,C$2:C2708)</f>
        <v>99</v>
      </c>
    </row>
    <row r="2709" spans="1:8" hidden="1" x14ac:dyDescent="0.15">
      <c r="A2709" s="2200" t="s">
        <v>10723</v>
      </c>
      <c r="B2709" s="2200" t="s">
        <v>16127</v>
      </c>
      <c r="C2709" s="2200" t="s">
        <v>16128</v>
      </c>
      <c r="D2709" s="2200" t="str">
        <f t="shared" si="168"/>
        <v>PA</v>
      </c>
      <c r="E2709" s="2200">
        <f t="shared" si="169"/>
        <v>22</v>
      </c>
      <c r="F2709" s="2200" t="str">
        <f t="shared" si="170"/>
        <v>42</v>
      </c>
      <c r="G2709" s="2200" t="str">
        <f t="shared" si="171"/>
        <v>73808</v>
      </c>
      <c r="H2709" s="2200">
        <f>--SUBTOTAL(3,C$2:C2709)</f>
        <v>99</v>
      </c>
    </row>
    <row r="2710" spans="1:8" hidden="1" x14ac:dyDescent="0.15">
      <c r="A2710" s="2200" t="s">
        <v>10723</v>
      </c>
      <c r="B2710" s="2200" t="s">
        <v>16129</v>
      </c>
      <c r="C2710" s="2200" t="s">
        <v>16130</v>
      </c>
      <c r="D2710" s="2200" t="str">
        <f t="shared" si="168"/>
        <v>PA</v>
      </c>
      <c r="E2710" s="2200">
        <f t="shared" si="169"/>
        <v>38</v>
      </c>
      <c r="F2710" s="2200" t="str">
        <f t="shared" si="170"/>
        <v>42</v>
      </c>
      <c r="G2710" s="2200" t="str">
        <f t="shared" si="171"/>
        <v>75528</v>
      </c>
      <c r="H2710" s="2200">
        <f>--SUBTOTAL(3,C$2:C2710)</f>
        <v>99</v>
      </c>
    </row>
    <row r="2711" spans="1:8" hidden="1" x14ac:dyDescent="0.15">
      <c r="A2711" s="2200" t="s">
        <v>10723</v>
      </c>
      <c r="B2711" s="2200" t="s">
        <v>16131</v>
      </c>
      <c r="C2711" s="2200" t="s">
        <v>16132</v>
      </c>
      <c r="D2711" s="2200" t="str">
        <f t="shared" si="168"/>
        <v>PA</v>
      </c>
      <c r="E2711" s="2200">
        <f t="shared" si="169"/>
        <v>20</v>
      </c>
      <c r="F2711" s="2200" t="str">
        <f t="shared" si="170"/>
        <v>42</v>
      </c>
      <c r="G2711" s="2200" t="str">
        <f t="shared" si="171"/>
        <v>77344</v>
      </c>
      <c r="H2711" s="2200">
        <f>--SUBTOTAL(3,C$2:C2711)</f>
        <v>99</v>
      </c>
    </row>
    <row r="2712" spans="1:8" hidden="1" x14ac:dyDescent="0.15">
      <c r="A2712" s="2200" t="s">
        <v>10723</v>
      </c>
      <c r="B2712" s="2200" t="s">
        <v>16133</v>
      </c>
      <c r="C2712" s="2200" t="s">
        <v>16134</v>
      </c>
      <c r="D2712" s="2200" t="str">
        <f t="shared" si="168"/>
        <v>PA</v>
      </c>
      <c r="E2712" s="2200">
        <f t="shared" si="169"/>
        <v>21</v>
      </c>
      <c r="F2712" s="2200" t="str">
        <f t="shared" si="170"/>
        <v>42</v>
      </c>
      <c r="G2712" s="2200" t="str">
        <f t="shared" si="171"/>
        <v>79000</v>
      </c>
      <c r="H2712" s="2200">
        <f>--SUBTOTAL(3,C$2:C2712)</f>
        <v>99</v>
      </c>
    </row>
    <row r="2713" spans="1:8" hidden="1" x14ac:dyDescent="0.15">
      <c r="A2713" s="2200" t="s">
        <v>10723</v>
      </c>
      <c r="B2713" s="2200" t="s">
        <v>16135</v>
      </c>
      <c r="C2713" s="2200" t="s">
        <v>16136</v>
      </c>
      <c r="D2713" s="2200" t="str">
        <f t="shared" si="168"/>
        <v>PA</v>
      </c>
      <c r="E2713" s="2200">
        <f t="shared" si="169"/>
        <v>22</v>
      </c>
      <c r="F2713" s="2200" t="str">
        <f t="shared" si="170"/>
        <v>42</v>
      </c>
      <c r="G2713" s="2200" t="str">
        <f t="shared" si="171"/>
        <v>79008</v>
      </c>
      <c r="H2713" s="2200">
        <f>--SUBTOTAL(3,C$2:C2713)</f>
        <v>99</v>
      </c>
    </row>
    <row r="2714" spans="1:8" hidden="1" x14ac:dyDescent="0.15">
      <c r="A2714" s="2200" t="s">
        <v>10723</v>
      </c>
      <c r="B2714" s="2200" t="s">
        <v>16137</v>
      </c>
      <c r="C2714" s="2200" t="s">
        <v>16138</v>
      </c>
      <c r="D2714" s="2200" t="str">
        <f t="shared" si="168"/>
        <v>PA</v>
      </c>
      <c r="E2714" s="2200">
        <f t="shared" si="169"/>
        <v>22</v>
      </c>
      <c r="F2714" s="2200" t="str">
        <f t="shared" si="170"/>
        <v>42</v>
      </c>
      <c r="G2714" s="2200" t="str">
        <f t="shared" si="171"/>
        <v>79136</v>
      </c>
      <c r="H2714" s="2200">
        <f>--SUBTOTAL(3,C$2:C2714)</f>
        <v>99</v>
      </c>
    </row>
    <row r="2715" spans="1:8" hidden="1" x14ac:dyDescent="0.15">
      <c r="A2715" s="2200" t="s">
        <v>10723</v>
      </c>
      <c r="B2715" s="2200" t="s">
        <v>16139</v>
      </c>
      <c r="C2715" s="2200" t="s">
        <v>16140</v>
      </c>
      <c r="D2715" s="2200" t="str">
        <f t="shared" si="168"/>
        <v>PA</v>
      </c>
      <c r="E2715" s="2200">
        <f t="shared" si="169"/>
        <v>24</v>
      </c>
      <c r="F2715" s="2200" t="str">
        <f t="shared" si="170"/>
        <v>42</v>
      </c>
      <c r="G2715" s="2200" t="str">
        <f t="shared" si="171"/>
        <v>79176</v>
      </c>
      <c r="H2715" s="2200">
        <f>--SUBTOTAL(3,C$2:C2715)</f>
        <v>99</v>
      </c>
    </row>
    <row r="2716" spans="1:8" hidden="1" x14ac:dyDescent="0.15">
      <c r="A2716" s="2200" t="s">
        <v>10723</v>
      </c>
      <c r="B2716" s="2200" t="s">
        <v>16141</v>
      </c>
      <c r="C2716" s="2200" t="s">
        <v>16142</v>
      </c>
      <c r="D2716" s="2200" t="str">
        <f t="shared" si="168"/>
        <v>PA</v>
      </c>
      <c r="E2716" s="2200">
        <f t="shared" si="169"/>
        <v>20</v>
      </c>
      <c r="F2716" s="2200" t="str">
        <f t="shared" si="170"/>
        <v>42</v>
      </c>
      <c r="G2716" s="2200" t="str">
        <f t="shared" si="171"/>
        <v>80952</v>
      </c>
      <c r="H2716" s="2200">
        <f>--SUBTOTAL(3,C$2:C2716)</f>
        <v>99</v>
      </c>
    </row>
    <row r="2717" spans="1:8" hidden="1" x14ac:dyDescent="0.15">
      <c r="A2717" s="2200" t="s">
        <v>10723</v>
      </c>
      <c r="B2717" s="2200" t="s">
        <v>16143</v>
      </c>
      <c r="C2717" s="2200" t="s">
        <v>16144</v>
      </c>
      <c r="D2717" s="2200" t="str">
        <f t="shared" si="168"/>
        <v>PA</v>
      </c>
      <c r="E2717" s="2200">
        <f t="shared" si="169"/>
        <v>21</v>
      </c>
      <c r="F2717" s="2200" t="str">
        <f t="shared" si="170"/>
        <v>42</v>
      </c>
      <c r="G2717" s="2200" t="str">
        <f t="shared" si="171"/>
        <v>83512</v>
      </c>
      <c r="H2717" s="2200">
        <f>--SUBTOTAL(3,C$2:C2717)</f>
        <v>99</v>
      </c>
    </row>
    <row r="2718" spans="1:8" hidden="1" x14ac:dyDescent="0.15">
      <c r="A2718" s="2200" t="s">
        <v>10723</v>
      </c>
      <c r="B2718" s="2200" t="s">
        <v>16145</v>
      </c>
      <c r="C2718" s="2200" t="s">
        <v>16146</v>
      </c>
      <c r="D2718" s="2200" t="str">
        <f t="shared" si="168"/>
        <v>PA</v>
      </c>
      <c r="E2718" s="2200">
        <f t="shared" si="169"/>
        <v>19</v>
      </c>
      <c r="F2718" s="2200" t="str">
        <f t="shared" si="170"/>
        <v>42</v>
      </c>
      <c r="G2718" s="2200" t="str">
        <f t="shared" si="171"/>
        <v>84528</v>
      </c>
      <c r="H2718" s="2200">
        <f>--SUBTOTAL(3,C$2:C2718)</f>
        <v>99</v>
      </c>
    </row>
    <row r="2719" spans="1:8" hidden="1" x14ac:dyDescent="0.15">
      <c r="A2719" s="2200" t="s">
        <v>10723</v>
      </c>
      <c r="B2719" s="2200" t="s">
        <v>16147</v>
      </c>
      <c r="C2719" s="2200" t="s">
        <v>16148</v>
      </c>
      <c r="D2719" s="2200" t="str">
        <f t="shared" si="168"/>
        <v>PA</v>
      </c>
      <c r="E2719" s="2200">
        <f t="shared" si="169"/>
        <v>18</v>
      </c>
      <c r="F2719" s="2200" t="str">
        <f t="shared" si="170"/>
        <v>42</v>
      </c>
      <c r="G2719" s="2200" t="str">
        <f t="shared" si="171"/>
        <v>85152</v>
      </c>
      <c r="H2719" s="2200">
        <f>--SUBTOTAL(3,C$2:C2719)</f>
        <v>99</v>
      </c>
    </row>
    <row r="2720" spans="1:8" hidden="1" x14ac:dyDescent="0.15">
      <c r="A2720" s="2200" t="s">
        <v>10723</v>
      </c>
      <c r="B2720" s="2200" t="s">
        <v>16149</v>
      </c>
      <c r="C2720" s="2200" t="s">
        <v>16150</v>
      </c>
      <c r="D2720" s="2200" t="str">
        <f t="shared" si="168"/>
        <v>PA</v>
      </c>
      <c r="E2720" s="2200">
        <f t="shared" si="169"/>
        <v>18</v>
      </c>
      <c r="F2720" s="2200" t="str">
        <f t="shared" si="170"/>
        <v>42</v>
      </c>
      <c r="G2720" s="2200" t="str">
        <f t="shared" si="171"/>
        <v>85312</v>
      </c>
      <c r="H2720" s="2200">
        <f>--SUBTOTAL(3,C$2:C2720)</f>
        <v>99</v>
      </c>
    </row>
    <row r="2721" spans="1:8" hidden="1" x14ac:dyDescent="0.15">
      <c r="A2721" s="2200" t="s">
        <v>10723</v>
      </c>
      <c r="B2721" s="2200" t="s">
        <v>16151</v>
      </c>
      <c r="C2721" s="2200" t="s">
        <v>16152</v>
      </c>
      <c r="D2721" s="2200" t="str">
        <f t="shared" si="168"/>
        <v>PA</v>
      </c>
      <c r="E2721" s="2200">
        <f t="shared" si="169"/>
        <v>10</v>
      </c>
      <c r="F2721" s="2200" t="str">
        <f t="shared" si="170"/>
        <v>42</v>
      </c>
      <c r="G2721" s="2200" t="str">
        <f t="shared" si="171"/>
        <v>87048</v>
      </c>
      <c r="H2721" s="2200">
        <f>--SUBTOTAL(3,C$2:C2721)</f>
        <v>99</v>
      </c>
    </row>
    <row r="2722" spans="1:8" hidden="1" x14ac:dyDescent="0.15">
      <c r="A2722" s="2200" t="s">
        <v>10723</v>
      </c>
      <c r="B2722" s="2200" t="s">
        <v>16153</v>
      </c>
      <c r="C2722" s="2200" t="s">
        <v>16154</v>
      </c>
      <c r="D2722" s="2200" t="str">
        <f t="shared" si="168"/>
        <v>PA</v>
      </c>
      <c r="E2722" s="2200">
        <f t="shared" si="169"/>
        <v>14</v>
      </c>
      <c r="F2722" s="2200" t="str">
        <f t="shared" si="170"/>
        <v>42</v>
      </c>
      <c r="G2722" s="2200" t="str">
        <f t="shared" si="171"/>
        <v>87056</v>
      </c>
      <c r="H2722" s="2200">
        <f>--SUBTOTAL(3,C$2:C2722)</f>
        <v>99</v>
      </c>
    </row>
    <row r="2723" spans="1:8" hidden="1" x14ac:dyDescent="0.15">
      <c r="A2723" s="2200" t="s">
        <v>11502</v>
      </c>
      <c r="B2723" s="2200" t="s">
        <v>16155</v>
      </c>
      <c r="C2723" s="2200" t="s">
        <v>16156</v>
      </c>
      <c r="D2723" s="2200" t="str">
        <f t="shared" si="168"/>
        <v>RI</v>
      </c>
      <c r="E2723" s="2200">
        <f t="shared" si="169"/>
        <v>16</v>
      </c>
      <c r="F2723" s="2200" t="str">
        <f t="shared" si="170"/>
        <v>44</v>
      </c>
      <c r="G2723" s="2200" t="str">
        <f t="shared" si="171"/>
        <v>05140</v>
      </c>
      <c r="H2723" s="2200">
        <f>--SUBTOTAL(3,C$2:C2723)</f>
        <v>99</v>
      </c>
    </row>
    <row r="2724" spans="1:8" hidden="1" x14ac:dyDescent="0.15">
      <c r="A2724" s="2200" t="s">
        <v>11502</v>
      </c>
      <c r="B2724" s="2200" t="s">
        <v>16157</v>
      </c>
      <c r="C2724" s="2200" t="s">
        <v>16158</v>
      </c>
      <c r="D2724" s="2200" t="str">
        <f t="shared" si="168"/>
        <v>RI</v>
      </c>
      <c r="E2724" s="2200">
        <f t="shared" si="169"/>
        <v>13</v>
      </c>
      <c r="F2724" s="2200" t="str">
        <f t="shared" si="170"/>
        <v>44</v>
      </c>
      <c r="G2724" s="2200" t="str">
        <f t="shared" si="171"/>
        <v>09280</v>
      </c>
      <c r="H2724" s="2200">
        <f>--SUBTOTAL(3,C$2:C2724)</f>
        <v>99</v>
      </c>
    </row>
    <row r="2725" spans="1:8" hidden="1" x14ac:dyDescent="0.15">
      <c r="A2725" s="2200" t="s">
        <v>11502</v>
      </c>
      <c r="B2725" s="2200" t="s">
        <v>16159</v>
      </c>
      <c r="C2725" s="2200" t="s">
        <v>16160</v>
      </c>
      <c r="D2725" s="2200" t="str">
        <f t="shared" si="168"/>
        <v>RI</v>
      </c>
      <c r="E2725" s="2200">
        <f t="shared" si="169"/>
        <v>18</v>
      </c>
      <c r="F2725" s="2200" t="str">
        <f t="shared" si="170"/>
        <v>44</v>
      </c>
      <c r="G2725" s="2200" t="str">
        <f t="shared" si="171"/>
        <v>11800</v>
      </c>
      <c r="H2725" s="2200">
        <f>--SUBTOTAL(3,C$2:C2725)</f>
        <v>99</v>
      </c>
    </row>
    <row r="2726" spans="1:8" hidden="1" x14ac:dyDescent="0.15">
      <c r="A2726" s="2200" t="s">
        <v>11502</v>
      </c>
      <c r="B2726" s="2200" t="s">
        <v>16161</v>
      </c>
      <c r="C2726" s="2200" t="s">
        <v>16162</v>
      </c>
      <c r="D2726" s="2200" t="str">
        <f t="shared" si="168"/>
        <v>RI</v>
      </c>
      <c r="E2726" s="2200">
        <f t="shared" si="169"/>
        <v>19</v>
      </c>
      <c r="F2726" s="2200" t="str">
        <f t="shared" si="170"/>
        <v>44</v>
      </c>
      <c r="G2726" s="2200" t="str">
        <f t="shared" si="171"/>
        <v>14140</v>
      </c>
      <c r="H2726" s="2200">
        <f>--SUBTOTAL(3,C$2:C2726)</f>
        <v>99</v>
      </c>
    </row>
    <row r="2727" spans="1:8" hidden="1" x14ac:dyDescent="0.15">
      <c r="A2727" s="2200" t="s">
        <v>11502</v>
      </c>
      <c r="B2727" s="2200" t="s">
        <v>16163</v>
      </c>
      <c r="C2727" s="2200" t="s">
        <v>16164</v>
      </c>
      <c r="D2727" s="2200" t="str">
        <f t="shared" si="168"/>
        <v>RI</v>
      </c>
      <c r="E2727" s="2200">
        <f t="shared" si="169"/>
        <v>17</v>
      </c>
      <c r="F2727" s="2200" t="str">
        <f t="shared" si="170"/>
        <v>44</v>
      </c>
      <c r="G2727" s="2200" t="str">
        <f t="shared" si="171"/>
        <v>14500</v>
      </c>
      <c r="H2727" s="2200">
        <f>--SUBTOTAL(3,C$2:C2727)</f>
        <v>99</v>
      </c>
    </row>
    <row r="2728" spans="1:8" hidden="1" x14ac:dyDescent="0.15">
      <c r="A2728" s="2200" t="s">
        <v>10723</v>
      </c>
      <c r="B2728" s="2200" t="s">
        <v>16165</v>
      </c>
      <c r="C2728" s="2200" t="s">
        <v>16166</v>
      </c>
      <c r="D2728" s="2200" t="str">
        <f t="shared" si="168"/>
        <v>RI</v>
      </c>
      <c r="E2728" s="2200">
        <f t="shared" si="169"/>
        <v>14</v>
      </c>
      <c r="F2728" s="2200" t="str">
        <f t="shared" si="170"/>
        <v>44</v>
      </c>
      <c r="G2728" s="2200" t="str">
        <f t="shared" si="171"/>
        <v>18640</v>
      </c>
      <c r="H2728" s="2200">
        <f>--SUBTOTAL(3,C$2:C2728)</f>
        <v>99</v>
      </c>
    </row>
    <row r="2729" spans="1:8" hidden="1" x14ac:dyDescent="0.15">
      <c r="A2729" s="2200" t="s">
        <v>10723</v>
      </c>
      <c r="B2729" s="2200" t="s">
        <v>16167</v>
      </c>
      <c r="C2729" s="2200" t="s">
        <v>16168</v>
      </c>
      <c r="D2729" s="2200" t="str">
        <f t="shared" si="168"/>
        <v>RI</v>
      </c>
      <c r="E2729" s="2200">
        <f t="shared" si="169"/>
        <v>14</v>
      </c>
      <c r="F2729" s="2200" t="str">
        <f t="shared" si="170"/>
        <v>44</v>
      </c>
      <c r="G2729" s="2200" t="str">
        <f t="shared" si="171"/>
        <v>19180</v>
      </c>
      <c r="H2729" s="2200">
        <f>--SUBTOTAL(3,C$2:C2729)</f>
        <v>99</v>
      </c>
    </row>
    <row r="2730" spans="1:8" hidden="1" x14ac:dyDescent="0.15">
      <c r="A2730" s="2200" t="s">
        <v>10723</v>
      </c>
      <c r="B2730" s="2200" t="s">
        <v>16169</v>
      </c>
      <c r="C2730" s="2200" t="s">
        <v>16170</v>
      </c>
      <c r="D2730" s="2200" t="str">
        <f t="shared" si="168"/>
        <v>RI</v>
      </c>
      <c r="E2730" s="2200">
        <f t="shared" si="169"/>
        <v>16</v>
      </c>
      <c r="F2730" s="2200" t="str">
        <f t="shared" si="170"/>
        <v>44</v>
      </c>
      <c r="G2730" s="2200" t="str">
        <f t="shared" si="171"/>
        <v>20080</v>
      </c>
      <c r="H2730" s="2200">
        <f>--SUBTOTAL(3,C$2:C2730)</f>
        <v>99</v>
      </c>
    </row>
    <row r="2731" spans="1:8" hidden="1" x14ac:dyDescent="0.15">
      <c r="A2731" s="2200" t="s">
        <v>11502</v>
      </c>
      <c r="B2731" s="2200" t="s">
        <v>16171</v>
      </c>
      <c r="C2731" s="2200" t="s">
        <v>16172</v>
      </c>
      <c r="D2731" s="2200" t="str">
        <f t="shared" si="168"/>
        <v>RI</v>
      </c>
      <c r="E2731" s="2200">
        <f t="shared" si="169"/>
        <v>20</v>
      </c>
      <c r="F2731" s="2200" t="str">
        <f t="shared" si="170"/>
        <v>44</v>
      </c>
      <c r="G2731" s="2200" t="str">
        <f t="shared" si="171"/>
        <v>22240</v>
      </c>
      <c r="H2731" s="2200">
        <f>--SUBTOTAL(3,C$2:C2731)</f>
        <v>99</v>
      </c>
    </row>
    <row r="2732" spans="1:8" hidden="1" x14ac:dyDescent="0.15">
      <c r="A2732" s="2200" t="s">
        <v>10723</v>
      </c>
      <c r="B2732" s="2200" t="s">
        <v>16173</v>
      </c>
      <c r="C2732" s="2200" t="s">
        <v>16174</v>
      </c>
      <c r="D2732" s="2200" t="str">
        <f t="shared" si="168"/>
        <v>RI</v>
      </c>
      <c r="E2732" s="2200">
        <f t="shared" si="169"/>
        <v>21</v>
      </c>
      <c r="F2732" s="2200" t="str">
        <f t="shared" si="170"/>
        <v>44</v>
      </c>
      <c r="G2732" s="2200" t="str">
        <f t="shared" si="171"/>
        <v>22960</v>
      </c>
      <c r="H2732" s="2200">
        <f>--SUBTOTAL(3,C$2:C2732)</f>
        <v>99</v>
      </c>
    </row>
    <row r="2733" spans="1:8" hidden="1" x14ac:dyDescent="0.15">
      <c r="A2733" s="2200" t="s">
        <v>11502</v>
      </c>
      <c r="B2733" s="2200" t="s">
        <v>16175</v>
      </c>
      <c r="C2733" s="2200" t="s">
        <v>16176</v>
      </c>
      <c r="D2733" s="2200" t="str">
        <f t="shared" si="168"/>
        <v>RI</v>
      </c>
      <c r="E2733" s="2200">
        <f t="shared" si="169"/>
        <v>12</v>
      </c>
      <c r="F2733" s="2200" t="str">
        <f t="shared" si="170"/>
        <v>44</v>
      </c>
      <c r="G2733" s="2200" t="str">
        <f t="shared" si="171"/>
        <v>25300</v>
      </c>
      <c r="H2733" s="2200">
        <f>--SUBTOTAL(3,C$2:C2733)</f>
        <v>99</v>
      </c>
    </row>
    <row r="2734" spans="1:8" hidden="1" x14ac:dyDescent="0.15">
      <c r="A2734" s="2200" t="s">
        <v>11502</v>
      </c>
      <c r="B2734" s="2200" t="s">
        <v>16177</v>
      </c>
      <c r="C2734" s="2200" t="s">
        <v>16178</v>
      </c>
      <c r="D2734" s="2200" t="str">
        <f t="shared" si="168"/>
        <v>RI</v>
      </c>
      <c r="E2734" s="2200">
        <f t="shared" si="169"/>
        <v>12</v>
      </c>
      <c r="F2734" s="2200" t="str">
        <f t="shared" si="170"/>
        <v>44</v>
      </c>
      <c r="G2734" s="2200" t="str">
        <f t="shared" si="171"/>
        <v>27460</v>
      </c>
      <c r="H2734" s="2200">
        <f>--SUBTOTAL(3,C$2:C2734)</f>
        <v>99</v>
      </c>
    </row>
    <row r="2735" spans="1:8" hidden="1" x14ac:dyDescent="0.15">
      <c r="A2735" s="2200" t="s">
        <v>11502</v>
      </c>
      <c r="B2735" s="2200" t="s">
        <v>16179</v>
      </c>
      <c r="C2735" s="2200" t="s">
        <v>16180</v>
      </c>
      <c r="D2735" s="2200" t="str">
        <f t="shared" si="168"/>
        <v>RI</v>
      </c>
      <c r="E2735" s="2200">
        <f t="shared" si="169"/>
        <v>15</v>
      </c>
      <c r="F2735" s="2200" t="str">
        <f t="shared" si="170"/>
        <v>44</v>
      </c>
      <c r="G2735" s="2200" t="str">
        <f t="shared" si="171"/>
        <v>30340</v>
      </c>
      <c r="H2735" s="2200">
        <f>--SUBTOTAL(3,C$2:C2735)</f>
        <v>99</v>
      </c>
    </row>
    <row r="2736" spans="1:8" hidden="1" x14ac:dyDescent="0.15">
      <c r="A2736" s="2200" t="s">
        <v>11502</v>
      </c>
      <c r="B2736" s="2200" t="s">
        <v>16181</v>
      </c>
      <c r="C2736" s="2200" t="s">
        <v>16182</v>
      </c>
      <c r="D2736" s="2200" t="str">
        <f t="shared" si="168"/>
        <v>RI</v>
      </c>
      <c r="E2736" s="2200">
        <f t="shared" si="169"/>
        <v>15</v>
      </c>
      <c r="F2736" s="2200" t="str">
        <f t="shared" si="170"/>
        <v>44</v>
      </c>
      <c r="G2736" s="2200" t="str">
        <f t="shared" si="171"/>
        <v>35380</v>
      </c>
      <c r="H2736" s="2200">
        <f>--SUBTOTAL(3,C$2:C2736)</f>
        <v>99</v>
      </c>
    </row>
    <row r="2737" spans="1:8" hidden="1" x14ac:dyDescent="0.15">
      <c r="A2737" s="2200" t="s">
        <v>11502</v>
      </c>
      <c r="B2737" s="2200" t="s">
        <v>16183</v>
      </c>
      <c r="C2737" s="2200" t="s">
        <v>16184</v>
      </c>
      <c r="D2737" s="2200" t="str">
        <f t="shared" si="168"/>
        <v>RI</v>
      </c>
      <c r="E2737" s="2200">
        <f t="shared" si="169"/>
        <v>15</v>
      </c>
      <c r="F2737" s="2200" t="str">
        <f t="shared" si="170"/>
        <v>44</v>
      </c>
      <c r="G2737" s="2200" t="str">
        <f t="shared" si="171"/>
        <v>36820</v>
      </c>
      <c r="H2737" s="2200">
        <f>--SUBTOTAL(3,C$2:C2737)</f>
        <v>99</v>
      </c>
    </row>
    <row r="2738" spans="1:8" hidden="1" x14ac:dyDescent="0.15">
      <c r="A2738" s="2200" t="s">
        <v>10723</v>
      </c>
      <c r="B2738" s="2200" t="s">
        <v>16185</v>
      </c>
      <c r="C2738" s="2200" t="s">
        <v>16186</v>
      </c>
      <c r="D2738" s="2200" t="str">
        <f t="shared" si="168"/>
        <v>RI</v>
      </c>
      <c r="E2738" s="2200">
        <f t="shared" si="169"/>
        <v>14</v>
      </c>
      <c r="F2738" s="2200" t="str">
        <f t="shared" si="170"/>
        <v>44</v>
      </c>
      <c r="G2738" s="2200" t="str">
        <f t="shared" si="171"/>
        <v>37720</v>
      </c>
      <c r="H2738" s="2200">
        <f>--SUBTOTAL(3,C$2:C2738)</f>
        <v>99</v>
      </c>
    </row>
    <row r="2739" spans="1:8" hidden="1" x14ac:dyDescent="0.15">
      <c r="A2739" s="2200" t="s">
        <v>11502</v>
      </c>
      <c r="B2739" s="2200" t="s">
        <v>16187</v>
      </c>
      <c r="C2739" s="2200" t="s">
        <v>16188</v>
      </c>
      <c r="D2739" s="2200" t="str">
        <f t="shared" si="168"/>
        <v>RI</v>
      </c>
      <c r="E2739" s="2200">
        <f t="shared" si="169"/>
        <v>13</v>
      </c>
      <c r="F2739" s="2200" t="str">
        <f t="shared" si="170"/>
        <v>44</v>
      </c>
      <c r="G2739" s="2200" t="str">
        <f t="shared" si="171"/>
        <v>41500</v>
      </c>
      <c r="H2739" s="2200">
        <f>--SUBTOTAL(3,C$2:C2739)</f>
        <v>99</v>
      </c>
    </row>
    <row r="2740" spans="1:8" hidden="1" x14ac:dyDescent="0.15">
      <c r="A2740" s="2200" t="s">
        <v>11502</v>
      </c>
      <c r="B2740" s="2200" t="s">
        <v>16189</v>
      </c>
      <c r="C2740" s="2200" t="s">
        <v>16190</v>
      </c>
      <c r="D2740" s="2200" t="str">
        <f t="shared" si="168"/>
        <v>RI</v>
      </c>
      <c r="E2740" s="2200">
        <f t="shared" si="169"/>
        <v>20</v>
      </c>
      <c r="F2740" s="2200" t="str">
        <f t="shared" si="170"/>
        <v>44</v>
      </c>
      <c r="G2740" s="2200" t="str">
        <f t="shared" si="171"/>
        <v>42400</v>
      </c>
      <c r="H2740" s="2200">
        <f>--SUBTOTAL(3,C$2:C2740)</f>
        <v>99</v>
      </c>
    </row>
    <row r="2741" spans="1:8" hidden="1" x14ac:dyDescent="0.15">
      <c r="A2741" s="2200" t="s">
        <v>11502</v>
      </c>
      <c r="B2741" s="2200" t="s">
        <v>16191</v>
      </c>
      <c r="C2741" s="2200" t="s">
        <v>16192</v>
      </c>
      <c r="D2741" s="2200" t="str">
        <f t="shared" si="168"/>
        <v>RI</v>
      </c>
      <c r="E2741" s="2200">
        <f t="shared" si="169"/>
        <v>16</v>
      </c>
      <c r="F2741" s="2200" t="str">
        <f t="shared" si="170"/>
        <v>44</v>
      </c>
      <c r="G2741" s="2200" t="str">
        <f t="shared" si="171"/>
        <v>45460</v>
      </c>
      <c r="H2741" s="2200">
        <f>--SUBTOTAL(3,C$2:C2741)</f>
        <v>99</v>
      </c>
    </row>
    <row r="2742" spans="1:8" hidden="1" x14ac:dyDescent="0.15">
      <c r="A2742" s="2200" t="s">
        <v>11502</v>
      </c>
      <c r="B2742" s="2200" t="s">
        <v>16193</v>
      </c>
      <c r="C2742" s="2200" t="s">
        <v>16194</v>
      </c>
      <c r="D2742" s="2200" t="str">
        <f t="shared" si="168"/>
        <v>RI</v>
      </c>
      <c r="E2742" s="2200">
        <f t="shared" si="169"/>
        <v>18</v>
      </c>
      <c r="F2742" s="2200" t="str">
        <f t="shared" si="170"/>
        <v>44</v>
      </c>
      <c r="G2742" s="2200" t="str">
        <f t="shared" si="171"/>
        <v>48340</v>
      </c>
      <c r="H2742" s="2200">
        <f>--SUBTOTAL(3,C$2:C2742)</f>
        <v>99</v>
      </c>
    </row>
    <row r="2743" spans="1:8" hidden="1" x14ac:dyDescent="0.15">
      <c r="A2743" s="2200" t="s">
        <v>11502</v>
      </c>
      <c r="B2743" s="2200" t="s">
        <v>16195</v>
      </c>
      <c r="C2743" s="2200" t="s">
        <v>16196</v>
      </c>
      <c r="D2743" s="2200" t="str">
        <f t="shared" si="168"/>
        <v>RI</v>
      </c>
      <c r="E2743" s="2200">
        <f t="shared" si="169"/>
        <v>18</v>
      </c>
      <c r="F2743" s="2200" t="str">
        <f t="shared" si="170"/>
        <v>44</v>
      </c>
      <c r="G2743" s="2200" t="str">
        <f t="shared" si="171"/>
        <v>50500</v>
      </c>
      <c r="H2743" s="2200">
        <f>--SUBTOTAL(3,C$2:C2743)</f>
        <v>99</v>
      </c>
    </row>
    <row r="2744" spans="1:8" hidden="1" x14ac:dyDescent="0.15">
      <c r="A2744" s="2200" t="s">
        <v>11502</v>
      </c>
      <c r="B2744" s="2200" t="s">
        <v>16197</v>
      </c>
      <c r="C2744" s="2200" t="s">
        <v>16198</v>
      </c>
      <c r="D2744" s="2200" t="str">
        <f t="shared" si="168"/>
        <v>RI</v>
      </c>
      <c r="E2744" s="2200">
        <f t="shared" si="169"/>
        <v>13</v>
      </c>
      <c r="F2744" s="2200" t="str">
        <f t="shared" si="170"/>
        <v>44</v>
      </c>
      <c r="G2744" s="2200" t="str">
        <f t="shared" si="171"/>
        <v>49960</v>
      </c>
      <c r="H2744" s="2200">
        <f>--SUBTOTAL(3,C$2:C2744)</f>
        <v>99</v>
      </c>
    </row>
    <row r="2745" spans="1:8" hidden="1" x14ac:dyDescent="0.15">
      <c r="A2745" s="2200" t="s">
        <v>10723</v>
      </c>
      <c r="B2745" s="2200" t="s">
        <v>16199</v>
      </c>
      <c r="C2745" s="2200" t="s">
        <v>16200</v>
      </c>
      <c r="D2745" s="2200" t="str">
        <f t="shared" si="168"/>
        <v>RI</v>
      </c>
      <c r="E2745" s="2200">
        <f t="shared" si="169"/>
        <v>21</v>
      </c>
      <c r="F2745" s="2200" t="str">
        <f t="shared" si="170"/>
        <v>44</v>
      </c>
      <c r="G2745" s="2200" t="str">
        <f t="shared" si="171"/>
        <v>51580</v>
      </c>
      <c r="H2745" s="2200">
        <f>--SUBTOTAL(3,C$2:C2745)</f>
        <v>99</v>
      </c>
    </row>
    <row r="2746" spans="1:8" hidden="1" x14ac:dyDescent="0.15">
      <c r="A2746" s="2200" t="s">
        <v>10723</v>
      </c>
      <c r="B2746" s="2200" t="s">
        <v>16201</v>
      </c>
      <c r="C2746" s="2200" t="s">
        <v>16202</v>
      </c>
      <c r="D2746" s="2200" t="str">
        <f t="shared" si="168"/>
        <v>RI</v>
      </c>
      <c r="E2746" s="2200">
        <f t="shared" si="169"/>
        <v>22</v>
      </c>
      <c r="F2746" s="2200" t="str">
        <f t="shared" si="170"/>
        <v>44</v>
      </c>
      <c r="G2746" s="2200" t="str">
        <f t="shared" si="171"/>
        <v>51760</v>
      </c>
      <c r="H2746" s="2200">
        <f>--SUBTOTAL(3,C$2:C2746)</f>
        <v>99</v>
      </c>
    </row>
    <row r="2747" spans="1:8" hidden="1" x14ac:dyDescent="0.15">
      <c r="A2747" s="2200" t="s">
        <v>11502</v>
      </c>
      <c r="B2747" s="2200" t="s">
        <v>16203</v>
      </c>
      <c r="C2747" s="2200" t="s">
        <v>16204</v>
      </c>
      <c r="D2747" s="2200" t="str">
        <f t="shared" si="168"/>
        <v>RI</v>
      </c>
      <c r="E2747" s="2200">
        <f t="shared" si="169"/>
        <v>22</v>
      </c>
      <c r="F2747" s="2200" t="str">
        <f t="shared" si="170"/>
        <v>44</v>
      </c>
      <c r="G2747" s="2200" t="str">
        <f t="shared" si="171"/>
        <v>52480</v>
      </c>
      <c r="H2747" s="2200">
        <f>--SUBTOTAL(3,C$2:C2747)</f>
        <v>99</v>
      </c>
    </row>
    <row r="2748" spans="1:8" hidden="1" x14ac:dyDescent="0.15">
      <c r="A2748" s="2200" t="s">
        <v>10723</v>
      </c>
      <c r="B2748" s="2200" t="s">
        <v>16205</v>
      </c>
      <c r="C2748" s="2200" t="s">
        <v>16206</v>
      </c>
      <c r="D2748" s="2200" t="str">
        <f t="shared" si="168"/>
        <v>RI</v>
      </c>
      <c r="E2748" s="2200">
        <f t="shared" si="169"/>
        <v>15</v>
      </c>
      <c r="F2748" s="2200" t="str">
        <f t="shared" si="170"/>
        <v>44</v>
      </c>
      <c r="G2748" s="2200" t="str">
        <f t="shared" si="171"/>
        <v>54640</v>
      </c>
      <c r="H2748" s="2200">
        <f>--SUBTOTAL(3,C$2:C2748)</f>
        <v>99</v>
      </c>
    </row>
    <row r="2749" spans="1:8" hidden="1" x14ac:dyDescent="0.15">
      <c r="A2749" s="2200" t="s">
        <v>11502</v>
      </c>
      <c r="B2749" s="2200" t="s">
        <v>16207</v>
      </c>
      <c r="C2749" s="2200" t="s">
        <v>16208</v>
      </c>
      <c r="D2749" s="2200" t="str">
        <f t="shared" si="168"/>
        <v>RI</v>
      </c>
      <c r="E2749" s="2200">
        <f t="shared" si="169"/>
        <v>16</v>
      </c>
      <c r="F2749" s="2200" t="str">
        <f t="shared" si="170"/>
        <v>44</v>
      </c>
      <c r="G2749" s="2200" t="str">
        <f t="shared" si="171"/>
        <v>57880</v>
      </c>
      <c r="H2749" s="2200">
        <f>--SUBTOTAL(3,C$2:C2749)</f>
        <v>99</v>
      </c>
    </row>
    <row r="2750" spans="1:8" hidden="1" x14ac:dyDescent="0.15">
      <c r="A2750" s="2200" t="s">
        <v>10723</v>
      </c>
      <c r="B2750" s="2200" t="s">
        <v>16209</v>
      </c>
      <c r="C2750" s="2200" t="s">
        <v>16210</v>
      </c>
      <c r="D2750" s="2200" t="str">
        <f t="shared" si="168"/>
        <v>RI</v>
      </c>
      <c r="E2750" s="2200">
        <f t="shared" si="169"/>
        <v>16</v>
      </c>
      <c r="F2750" s="2200" t="str">
        <f t="shared" si="170"/>
        <v>44</v>
      </c>
      <c r="G2750" s="2200" t="str">
        <f t="shared" si="171"/>
        <v>59000</v>
      </c>
      <c r="H2750" s="2200">
        <f>--SUBTOTAL(3,C$2:C2750)</f>
        <v>99</v>
      </c>
    </row>
    <row r="2751" spans="1:8" hidden="1" x14ac:dyDescent="0.15">
      <c r="A2751" s="2200" t="s">
        <v>11502</v>
      </c>
      <c r="B2751" s="2200" t="s">
        <v>16211</v>
      </c>
      <c r="C2751" s="2200" t="s">
        <v>16212</v>
      </c>
      <c r="D2751" s="2200" t="str">
        <f t="shared" si="168"/>
        <v>RI</v>
      </c>
      <c r="E2751" s="2200">
        <f t="shared" si="169"/>
        <v>14</v>
      </c>
      <c r="F2751" s="2200" t="str">
        <f t="shared" si="170"/>
        <v>44</v>
      </c>
      <c r="G2751" s="2200" t="str">
        <f t="shared" si="171"/>
        <v>61160</v>
      </c>
      <c r="H2751" s="2200">
        <f>--SUBTOTAL(3,C$2:C2751)</f>
        <v>99</v>
      </c>
    </row>
    <row r="2752" spans="1:8" hidden="1" x14ac:dyDescent="0.15">
      <c r="A2752" s="2200" t="s">
        <v>11502</v>
      </c>
      <c r="B2752" s="2200" t="s">
        <v>16213</v>
      </c>
      <c r="C2752" s="2200" t="s">
        <v>16214</v>
      </c>
      <c r="D2752" s="2200" t="str">
        <f t="shared" si="168"/>
        <v>RI</v>
      </c>
      <c r="E2752" s="2200">
        <f t="shared" si="169"/>
        <v>14</v>
      </c>
      <c r="F2752" s="2200" t="str">
        <f t="shared" si="170"/>
        <v>44</v>
      </c>
      <c r="G2752" s="2200" t="str">
        <f t="shared" si="171"/>
        <v>64220</v>
      </c>
      <c r="H2752" s="2200">
        <f>--SUBTOTAL(3,C$2:C2752)</f>
        <v>99</v>
      </c>
    </row>
    <row r="2753" spans="1:8" hidden="1" x14ac:dyDescent="0.15">
      <c r="A2753" s="2200" t="s">
        <v>11502</v>
      </c>
      <c r="B2753" s="2200" t="s">
        <v>16215</v>
      </c>
      <c r="C2753" s="2200" t="s">
        <v>16216</v>
      </c>
      <c r="D2753" s="2200" t="str">
        <f t="shared" si="168"/>
        <v>RI</v>
      </c>
      <c r="E2753" s="2200">
        <f t="shared" si="169"/>
        <v>16</v>
      </c>
      <c r="F2753" s="2200" t="str">
        <f t="shared" si="170"/>
        <v>44</v>
      </c>
      <c r="G2753" s="2200" t="str">
        <f t="shared" si="171"/>
        <v>66200</v>
      </c>
      <c r="H2753" s="2200">
        <f>--SUBTOTAL(3,C$2:C2753)</f>
        <v>99</v>
      </c>
    </row>
    <row r="2754" spans="1:8" hidden="1" x14ac:dyDescent="0.15">
      <c r="A2754" s="2200" t="s">
        <v>10723</v>
      </c>
      <c r="B2754" s="2200" t="s">
        <v>16217</v>
      </c>
      <c r="C2754" s="2200" t="s">
        <v>16218</v>
      </c>
      <c r="D2754" s="2200" t="str">
        <f t="shared" ref="D2754:D2817" si="172">MID(C2754,E2754+2,2)</f>
        <v>RI</v>
      </c>
      <c r="E2754" s="2200">
        <f t="shared" ref="E2754:E2817" si="173">FIND(",",C2754)</f>
        <v>21</v>
      </c>
      <c r="F2754" s="2200" t="str">
        <f t="shared" si="170"/>
        <v>44</v>
      </c>
      <c r="G2754" s="2200" t="str">
        <f t="shared" si="171"/>
        <v>67460</v>
      </c>
      <c r="H2754" s="2200">
        <f>--SUBTOTAL(3,C$2:C2754)</f>
        <v>99</v>
      </c>
    </row>
    <row r="2755" spans="1:8" hidden="1" x14ac:dyDescent="0.15">
      <c r="A2755" s="2200" t="s">
        <v>11502</v>
      </c>
      <c r="B2755" s="2200" t="s">
        <v>16219</v>
      </c>
      <c r="C2755" s="2200" t="s">
        <v>16220</v>
      </c>
      <c r="D2755" s="2200" t="str">
        <f t="shared" si="172"/>
        <v>RI</v>
      </c>
      <c r="E2755" s="2200">
        <f t="shared" si="173"/>
        <v>14</v>
      </c>
      <c r="F2755" s="2200" t="str">
        <f t="shared" ref="F2755:F2818" si="174">MID(B2755,3,2)</f>
        <v>44</v>
      </c>
      <c r="G2755" s="2200" t="str">
        <f t="shared" ref="G2755:G2818" si="175">MID(B2755,5,5)</f>
        <v>70880</v>
      </c>
      <c r="H2755" s="2200">
        <f>--SUBTOTAL(3,C$2:C2755)</f>
        <v>99</v>
      </c>
    </row>
    <row r="2756" spans="1:8" hidden="1" x14ac:dyDescent="0.15">
      <c r="A2756" s="2200" t="s">
        <v>11502</v>
      </c>
      <c r="B2756" s="2200" t="s">
        <v>16221</v>
      </c>
      <c r="C2756" s="2200" t="s">
        <v>16222</v>
      </c>
      <c r="D2756" s="2200" t="str">
        <f t="shared" si="172"/>
        <v>RI</v>
      </c>
      <c r="E2756" s="2200">
        <f t="shared" si="173"/>
        <v>12</v>
      </c>
      <c r="F2756" s="2200" t="str">
        <f t="shared" si="174"/>
        <v>44</v>
      </c>
      <c r="G2756" s="2200" t="str">
        <f t="shared" si="175"/>
        <v>73760</v>
      </c>
      <c r="H2756" s="2200">
        <f>--SUBTOTAL(3,C$2:C2756)</f>
        <v>99</v>
      </c>
    </row>
    <row r="2757" spans="1:8" hidden="1" x14ac:dyDescent="0.15">
      <c r="A2757" s="2200" t="s">
        <v>10723</v>
      </c>
      <c r="B2757" s="2200" t="s">
        <v>16223</v>
      </c>
      <c r="C2757" s="2200" t="s">
        <v>16224</v>
      </c>
      <c r="D2757" s="2200" t="str">
        <f t="shared" si="172"/>
        <v>RI</v>
      </c>
      <c r="E2757" s="2200">
        <f t="shared" si="173"/>
        <v>13</v>
      </c>
      <c r="F2757" s="2200" t="str">
        <f t="shared" si="174"/>
        <v>44</v>
      </c>
      <c r="G2757" s="2200" t="str">
        <f t="shared" si="175"/>
        <v>74300</v>
      </c>
      <c r="H2757" s="2200">
        <f>--SUBTOTAL(3,C$2:C2757)</f>
        <v>99</v>
      </c>
    </row>
    <row r="2758" spans="1:8" hidden="1" x14ac:dyDescent="0.15">
      <c r="A2758" s="2200" t="s">
        <v>11502</v>
      </c>
      <c r="B2758" s="2200" t="s">
        <v>16225</v>
      </c>
      <c r="C2758" s="2200" t="s">
        <v>16226</v>
      </c>
      <c r="D2758" s="2200" t="str">
        <f t="shared" si="172"/>
        <v>RI</v>
      </c>
      <c r="E2758" s="2200">
        <f t="shared" si="173"/>
        <v>20</v>
      </c>
      <c r="F2758" s="2200" t="str">
        <f t="shared" si="174"/>
        <v>44</v>
      </c>
      <c r="G2758" s="2200" t="str">
        <f t="shared" si="175"/>
        <v>77720</v>
      </c>
      <c r="H2758" s="2200">
        <f>--SUBTOTAL(3,C$2:C2758)</f>
        <v>99</v>
      </c>
    </row>
    <row r="2759" spans="1:8" hidden="1" x14ac:dyDescent="0.15">
      <c r="A2759" s="2200" t="s">
        <v>10723</v>
      </c>
      <c r="B2759" s="2200" t="s">
        <v>16227</v>
      </c>
      <c r="C2759" s="2200" t="s">
        <v>16228</v>
      </c>
      <c r="D2759" s="2200" t="str">
        <f t="shared" si="172"/>
        <v>RI</v>
      </c>
      <c r="E2759" s="2200">
        <f t="shared" si="173"/>
        <v>18</v>
      </c>
      <c r="F2759" s="2200" t="str">
        <f t="shared" si="174"/>
        <v>44</v>
      </c>
      <c r="G2759" s="2200" t="str">
        <f t="shared" si="175"/>
        <v>78440</v>
      </c>
      <c r="H2759" s="2200">
        <f>--SUBTOTAL(3,C$2:C2759)</f>
        <v>99</v>
      </c>
    </row>
    <row r="2760" spans="1:8" hidden="1" x14ac:dyDescent="0.15">
      <c r="A2760" s="2200" t="s">
        <v>11502</v>
      </c>
      <c r="B2760" s="2200" t="s">
        <v>16229</v>
      </c>
      <c r="C2760" s="2200" t="s">
        <v>16230</v>
      </c>
      <c r="D2760" s="2200" t="str">
        <f t="shared" si="172"/>
        <v>RI</v>
      </c>
      <c r="E2760" s="2200">
        <f t="shared" si="173"/>
        <v>14</v>
      </c>
      <c r="F2760" s="2200" t="str">
        <f t="shared" si="174"/>
        <v>44</v>
      </c>
      <c r="G2760" s="2200" t="str">
        <f t="shared" si="175"/>
        <v>77000</v>
      </c>
      <c r="H2760" s="2200">
        <f>--SUBTOTAL(3,C$2:C2760)</f>
        <v>99</v>
      </c>
    </row>
    <row r="2761" spans="1:8" hidden="1" x14ac:dyDescent="0.15">
      <c r="A2761" s="2200" t="s">
        <v>10723</v>
      </c>
      <c r="B2761" s="2200" t="s">
        <v>16231</v>
      </c>
      <c r="C2761" s="2200" t="s">
        <v>16232</v>
      </c>
      <c r="D2761" s="2200" t="str">
        <f t="shared" si="172"/>
        <v>RI</v>
      </c>
      <c r="E2761" s="2200">
        <f t="shared" si="173"/>
        <v>16</v>
      </c>
      <c r="F2761" s="2200" t="str">
        <f t="shared" si="174"/>
        <v>44</v>
      </c>
      <c r="G2761" s="2200" t="str">
        <f t="shared" si="175"/>
        <v>80780</v>
      </c>
      <c r="H2761" s="2200">
        <f>--SUBTOTAL(3,C$2:C2761)</f>
        <v>99</v>
      </c>
    </row>
    <row r="2762" spans="1:8" hidden="1" x14ac:dyDescent="0.15">
      <c r="A2762" s="2200" t="s">
        <v>10723</v>
      </c>
      <c r="B2762" s="2200" t="s">
        <v>16233</v>
      </c>
      <c r="C2762" s="2200" t="s">
        <v>16234</v>
      </c>
      <c r="D2762" s="2200" t="str">
        <f t="shared" si="172"/>
        <v>SC</v>
      </c>
      <c r="E2762" s="2200">
        <f t="shared" si="173"/>
        <v>11</v>
      </c>
      <c r="F2762" s="2200" t="str">
        <f t="shared" si="174"/>
        <v>45</v>
      </c>
      <c r="G2762" s="2200" t="str">
        <f t="shared" si="175"/>
        <v>00550</v>
      </c>
      <c r="H2762" s="2200">
        <f>--SUBTOTAL(3,C$2:C2762)</f>
        <v>99</v>
      </c>
    </row>
    <row r="2763" spans="1:8" hidden="1" x14ac:dyDescent="0.15">
      <c r="A2763" s="2200" t="s">
        <v>10723</v>
      </c>
      <c r="B2763" s="2200" t="s">
        <v>16235</v>
      </c>
      <c r="C2763" s="2200" t="s">
        <v>16236</v>
      </c>
      <c r="D2763" s="2200" t="str">
        <f t="shared" si="172"/>
        <v>SC</v>
      </c>
      <c r="E2763" s="2200">
        <f t="shared" si="173"/>
        <v>14</v>
      </c>
      <c r="F2763" s="2200" t="str">
        <f t="shared" si="174"/>
        <v>45</v>
      </c>
      <c r="G2763" s="2200" t="str">
        <f t="shared" si="175"/>
        <v>01360</v>
      </c>
      <c r="H2763" s="2200">
        <f>--SUBTOTAL(3,C$2:C2763)</f>
        <v>99</v>
      </c>
    </row>
    <row r="2764" spans="1:8" hidden="1" x14ac:dyDescent="0.15">
      <c r="A2764" s="2200" t="s">
        <v>10723</v>
      </c>
      <c r="B2764" s="2200" t="s">
        <v>16237</v>
      </c>
      <c r="C2764" s="2200" t="s">
        <v>16238</v>
      </c>
      <c r="D2764" s="2200" t="str">
        <f t="shared" si="172"/>
        <v>SC</v>
      </c>
      <c r="E2764" s="2200">
        <f t="shared" si="173"/>
        <v>16</v>
      </c>
      <c r="F2764" s="2200" t="str">
        <f t="shared" si="174"/>
        <v>45</v>
      </c>
      <c r="G2764" s="2200" t="str">
        <f t="shared" si="175"/>
        <v>13330</v>
      </c>
      <c r="H2764" s="2200">
        <f>--SUBTOTAL(3,C$2:C2764)</f>
        <v>99</v>
      </c>
    </row>
    <row r="2765" spans="1:8" hidden="1" x14ac:dyDescent="0.15">
      <c r="A2765" s="2200" t="s">
        <v>10723</v>
      </c>
      <c r="B2765" s="2200" t="s">
        <v>16239</v>
      </c>
      <c r="C2765" s="2200" t="s">
        <v>16240</v>
      </c>
      <c r="D2765" s="2200" t="str">
        <f t="shared" si="172"/>
        <v>SC</v>
      </c>
      <c r="E2765" s="2200">
        <f t="shared" si="173"/>
        <v>14</v>
      </c>
      <c r="F2765" s="2200" t="str">
        <f t="shared" si="174"/>
        <v>45</v>
      </c>
      <c r="G2765" s="2200" t="str">
        <f t="shared" si="175"/>
        <v>16000</v>
      </c>
      <c r="H2765" s="2200">
        <f>--SUBTOTAL(3,C$2:C2765)</f>
        <v>99</v>
      </c>
    </row>
    <row r="2766" spans="1:8" hidden="1" x14ac:dyDescent="0.15">
      <c r="A2766" s="2200" t="s">
        <v>10723</v>
      </c>
      <c r="B2766" s="2200" t="s">
        <v>16241</v>
      </c>
      <c r="C2766" s="2200" t="s">
        <v>16242</v>
      </c>
      <c r="D2766" s="2200" t="str">
        <f t="shared" si="172"/>
        <v>SC</v>
      </c>
      <c r="E2766" s="2200">
        <f t="shared" si="173"/>
        <v>14</v>
      </c>
      <c r="F2766" s="2200" t="str">
        <f t="shared" si="174"/>
        <v>45</v>
      </c>
      <c r="G2766" s="2200" t="str">
        <f t="shared" si="175"/>
        <v>25810</v>
      </c>
      <c r="H2766" s="2200">
        <f>--SUBTOTAL(3,C$2:C2766)</f>
        <v>99</v>
      </c>
    </row>
    <row r="2767" spans="1:8" hidden="1" x14ac:dyDescent="0.15">
      <c r="A2767" s="2200" t="s">
        <v>10723</v>
      </c>
      <c r="B2767" s="2200" t="s">
        <v>16243</v>
      </c>
      <c r="C2767" s="2200" t="s">
        <v>16244</v>
      </c>
      <c r="D2767" s="2200" t="str">
        <f t="shared" si="172"/>
        <v>SC</v>
      </c>
      <c r="E2767" s="2200">
        <f t="shared" si="173"/>
        <v>17</v>
      </c>
      <c r="F2767" s="2200" t="str">
        <f t="shared" si="174"/>
        <v>45</v>
      </c>
      <c r="G2767" s="2200" t="str">
        <f t="shared" si="175"/>
        <v>29815</v>
      </c>
      <c r="H2767" s="2200">
        <f>--SUBTOTAL(3,C$2:C2767)</f>
        <v>99</v>
      </c>
    </row>
    <row r="2768" spans="1:8" hidden="1" x14ac:dyDescent="0.15">
      <c r="A2768" s="2200" t="s">
        <v>10723</v>
      </c>
      <c r="B2768" s="2200" t="s">
        <v>16245</v>
      </c>
      <c r="C2768" s="2200" t="s">
        <v>16246</v>
      </c>
      <c r="D2768" s="2200" t="str">
        <f t="shared" si="172"/>
        <v>SC</v>
      </c>
      <c r="E2768" s="2200">
        <f t="shared" si="173"/>
        <v>16</v>
      </c>
      <c r="F2768" s="2200" t="str">
        <f t="shared" si="174"/>
        <v>45</v>
      </c>
      <c r="G2768" s="2200" t="str">
        <f t="shared" si="175"/>
        <v>30850</v>
      </c>
      <c r="H2768" s="2200">
        <f>--SUBTOTAL(3,C$2:C2768)</f>
        <v>99</v>
      </c>
    </row>
    <row r="2769" spans="1:8" hidden="1" x14ac:dyDescent="0.15">
      <c r="A2769" s="2200" t="s">
        <v>10723</v>
      </c>
      <c r="B2769" s="2200" t="s">
        <v>16247</v>
      </c>
      <c r="C2769" s="2200" t="s">
        <v>16248</v>
      </c>
      <c r="D2769" s="2200" t="str">
        <f t="shared" si="172"/>
        <v>SC</v>
      </c>
      <c r="E2769" s="2200">
        <f t="shared" si="173"/>
        <v>11</v>
      </c>
      <c r="F2769" s="2200" t="str">
        <f t="shared" si="174"/>
        <v>45</v>
      </c>
      <c r="G2769" s="2200" t="str">
        <f t="shared" si="175"/>
        <v>30985</v>
      </c>
      <c r="H2769" s="2200">
        <f>--SUBTOTAL(3,C$2:C2769)</f>
        <v>99</v>
      </c>
    </row>
    <row r="2770" spans="1:8" hidden="1" x14ac:dyDescent="0.15">
      <c r="A2770" s="2200" t="s">
        <v>10723</v>
      </c>
      <c r="B2770" s="2200" t="s">
        <v>16249</v>
      </c>
      <c r="C2770" s="2200" t="s">
        <v>16250</v>
      </c>
      <c r="D2770" s="2200" t="str">
        <f t="shared" si="172"/>
        <v>SC</v>
      </c>
      <c r="E2770" s="2200">
        <f t="shared" si="173"/>
        <v>13</v>
      </c>
      <c r="F2770" s="2200" t="str">
        <f t="shared" si="174"/>
        <v>45</v>
      </c>
      <c r="G2770" s="2200" t="str">
        <f t="shared" si="175"/>
        <v>32065</v>
      </c>
      <c r="H2770" s="2200">
        <f>--SUBTOTAL(3,C$2:C2770)</f>
        <v>99</v>
      </c>
    </row>
    <row r="2771" spans="1:8" hidden="1" x14ac:dyDescent="0.15">
      <c r="A2771" s="2200" t="s">
        <v>10723</v>
      </c>
      <c r="B2771" s="2200" t="s">
        <v>16251</v>
      </c>
      <c r="C2771" s="2200" t="s">
        <v>16252</v>
      </c>
      <c r="D2771" s="2200" t="str">
        <f t="shared" si="172"/>
        <v>SC</v>
      </c>
      <c r="E2771" s="2200">
        <f t="shared" si="173"/>
        <v>24</v>
      </c>
      <c r="F2771" s="2200" t="str">
        <f t="shared" si="174"/>
        <v>45</v>
      </c>
      <c r="G2771" s="2200" t="str">
        <f t="shared" si="175"/>
        <v>34045</v>
      </c>
      <c r="H2771" s="2200">
        <f>--SUBTOTAL(3,C$2:C2771)</f>
        <v>99</v>
      </c>
    </row>
    <row r="2772" spans="1:8" hidden="1" x14ac:dyDescent="0.15">
      <c r="A2772" s="2200" t="s">
        <v>10723</v>
      </c>
      <c r="B2772" s="2200" t="s">
        <v>16253</v>
      </c>
      <c r="C2772" s="2200" t="s">
        <v>16254</v>
      </c>
      <c r="D2772" s="2200" t="str">
        <f t="shared" si="172"/>
        <v>SC</v>
      </c>
      <c r="E2772" s="2200">
        <f t="shared" si="173"/>
        <v>13</v>
      </c>
      <c r="F2772" s="2200" t="str">
        <f t="shared" si="174"/>
        <v>45</v>
      </c>
      <c r="G2772" s="2200" t="str">
        <f t="shared" si="175"/>
        <v>45115</v>
      </c>
      <c r="H2772" s="2200">
        <f>--SUBTOTAL(3,C$2:C2772)</f>
        <v>99</v>
      </c>
    </row>
    <row r="2773" spans="1:8" hidden="1" x14ac:dyDescent="0.15">
      <c r="A2773" s="2200" t="s">
        <v>10723</v>
      </c>
      <c r="B2773" s="2200" t="s">
        <v>16255</v>
      </c>
      <c r="C2773" s="2200" t="s">
        <v>16256</v>
      </c>
      <c r="D2773" s="2200" t="str">
        <f t="shared" si="172"/>
        <v>SC</v>
      </c>
      <c r="E2773" s="2200">
        <f t="shared" si="173"/>
        <v>20</v>
      </c>
      <c r="F2773" s="2200" t="str">
        <f t="shared" si="174"/>
        <v>45</v>
      </c>
      <c r="G2773" s="2200" t="str">
        <f t="shared" si="175"/>
        <v>48535</v>
      </c>
      <c r="H2773" s="2200">
        <f>--SUBTOTAL(3,C$2:C2773)</f>
        <v>99</v>
      </c>
    </row>
    <row r="2774" spans="1:8" hidden="1" x14ac:dyDescent="0.15">
      <c r="A2774" s="2200" t="s">
        <v>10723</v>
      </c>
      <c r="B2774" s="2200" t="s">
        <v>16257</v>
      </c>
      <c r="C2774" s="2200" t="s">
        <v>16258</v>
      </c>
      <c r="D2774" s="2200" t="str">
        <f t="shared" si="172"/>
        <v>SC</v>
      </c>
      <c r="E2774" s="2200">
        <f t="shared" si="173"/>
        <v>18</v>
      </c>
      <c r="F2774" s="2200" t="str">
        <f t="shared" si="174"/>
        <v>45</v>
      </c>
      <c r="G2774" s="2200" t="str">
        <f t="shared" si="175"/>
        <v>49075</v>
      </c>
      <c r="H2774" s="2200">
        <f>--SUBTOTAL(3,C$2:C2774)</f>
        <v>99</v>
      </c>
    </row>
    <row r="2775" spans="1:8" hidden="1" x14ac:dyDescent="0.15">
      <c r="A2775" s="2200" t="s">
        <v>10723</v>
      </c>
      <c r="B2775" s="2200" t="s">
        <v>16259</v>
      </c>
      <c r="C2775" s="2200" t="s">
        <v>16260</v>
      </c>
      <c r="D2775" s="2200" t="str">
        <f t="shared" si="172"/>
        <v>SC</v>
      </c>
      <c r="E2775" s="2200">
        <f t="shared" si="173"/>
        <v>22</v>
      </c>
      <c r="F2775" s="2200" t="str">
        <f t="shared" si="174"/>
        <v>45</v>
      </c>
      <c r="G2775" s="2200" t="str">
        <f t="shared" si="175"/>
        <v>50875</v>
      </c>
      <c r="H2775" s="2200">
        <f>--SUBTOTAL(3,C$2:C2775)</f>
        <v>99</v>
      </c>
    </row>
    <row r="2776" spans="1:8" hidden="1" x14ac:dyDescent="0.15">
      <c r="A2776" s="2200" t="s">
        <v>10723</v>
      </c>
      <c r="B2776" s="2200" t="s">
        <v>16261</v>
      </c>
      <c r="C2776" s="2200" t="s">
        <v>16262</v>
      </c>
      <c r="D2776" s="2200" t="str">
        <f t="shared" si="172"/>
        <v>SC</v>
      </c>
      <c r="E2776" s="2200">
        <f t="shared" si="173"/>
        <v>15</v>
      </c>
      <c r="F2776" s="2200" t="str">
        <f t="shared" si="174"/>
        <v>45</v>
      </c>
      <c r="G2776" s="2200" t="str">
        <f t="shared" si="175"/>
        <v>61405</v>
      </c>
      <c r="H2776" s="2200">
        <f>--SUBTOTAL(3,C$2:C2776)</f>
        <v>99</v>
      </c>
    </row>
    <row r="2777" spans="1:8" hidden="1" x14ac:dyDescent="0.15">
      <c r="A2777" s="2200" t="s">
        <v>10723</v>
      </c>
      <c r="B2777" s="2200" t="s">
        <v>16263</v>
      </c>
      <c r="C2777" s="2200" t="s">
        <v>16264</v>
      </c>
      <c r="D2777" s="2200" t="str">
        <f t="shared" si="172"/>
        <v>SC</v>
      </c>
      <c r="E2777" s="2200">
        <f t="shared" si="173"/>
        <v>17</v>
      </c>
      <c r="F2777" s="2200" t="str">
        <f t="shared" si="174"/>
        <v>45</v>
      </c>
      <c r="G2777" s="2200" t="str">
        <f t="shared" si="175"/>
        <v>68290</v>
      </c>
      <c r="H2777" s="2200">
        <f>--SUBTOTAL(3,C$2:C2777)</f>
        <v>99</v>
      </c>
    </row>
    <row r="2778" spans="1:8" hidden="1" x14ac:dyDescent="0.15">
      <c r="A2778" s="2200" t="s">
        <v>10723</v>
      </c>
      <c r="B2778" s="2200" t="s">
        <v>16265</v>
      </c>
      <c r="C2778" s="2200" t="s">
        <v>16266</v>
      </c>
      <c r="D2778" s="2200" t="str">
        <f t="shared" si="172"/>
        <v>SC</v>
      </c>
      <c r="E2778" s="2200">
        <f t="shared" si="173"/>
        <v>17</v>
      </c>
      <c r="F2778" s="2200" t="str">
        <f t="shared" si="174"/>
        <v>45</v>
      </c>
      <c r="G2778" s="2200" t="str">
        <f t="shared" si="175"/>
        <v>70270</v>
      </c>
      <c r="H2778" s="2200">
        <f>--SUBTOTAL(3,C$2:C2778)</f>
        <v>99</v>
      </c>
    </row>
    <row r="2779" spans="1:8" hidden="1" x14ac:dyDescent="0.15">
      <c r="A2779" s="2200" t="s">
        <v>10723</v>
      </c>
      <c r="B2779" s="2200" t="s">
        <v>16267</v>
      </c>
      <c r="C2779" s="2200" t="s">
        <v>16268</v>
      </c>
      <c r="D2779" s="2200" t="str">
        <f t="shared" si="172"/>
        <v>SC</v>
      </c>
      <c r="E2779" s="2200">
        <f t="shared" si="173"/>
        <v>12</v>
      </c>
      <c r="F2779" s="2200" t="str">
        <f t="shared" si="174"/>
        <v>45</v>
      </c>
      <c r="G2779" s="2200" t="str">
        <f t="shared" si="175"/>
        <v>70405</v>
      </c>
      <c r="H2779" s="2200">
        <f>--SUBTOTAL(3,C$2:C2779)</f>
        <v>99</v>
      </c>
    </row>
    <row r="2780" spans="1:8" hidden="1" x14ac:dyDescent="0.15">
      <c r="A2780" s="2200" t="s">
        <v>10723</v>
      </c>
      <c r="B2780" s="2200" t="s">
        <v>16269</v>
      </c>
      <c r="C2780" s="2200" t="s">
        <v>16270</v>
      </c>
      <c r="D2780" s="2200" t="str">
        <f t="shared" si="172"/>
        <v>SD</v>
      </c>
      <c r="E2780" s="2200">
        <f t="shared" si="173"/>
        <v>14</v>
      </c>
      <c r="F2780" s="2200" t="str">
        <f t="shared" si="174"/>
        <v>46</v>
      </c>
      <c r="G2780" s="2200" t="str">
        <f t="shared" si="175"/>
        <v>00100</v>
      </c>
      <c r="H2780" s="2200">
        <f>--SUBTOTAL(3,C$2:C2780)</f>
        <v>99</v>
      </c>
    </row>
    <row r="2781" spans="1:8" hidden="1" x14ac:dyDescent="0.15">
      <c r="A2781" s="2200" t="s">
        <v>11443</v>
      </c>
      <c r="B2781" s="2200" t="s">
        <v>16271</v>
      </c>
      <c r="C2781" s="2200" t="s">
        <v>16272</v>
      </c>
      <c r="D2781" s="2200" t="str">
        <f t="shared" si="172"/>
        <v>SD</v>
      </c>
      <c r="E2781" s="2200">
        <f t="shared" si="173"/>
        <v>14</v>
      </c>
      <c r="F2781" s="2200" t="str">
        <f t="shared" si="174"/>
        <v>46</v>
      </c>
      <c r="G2781" s="2200" t="str">
        <f t="shared" si="175"/>
        <v>80860</v>
      </c>
      <c r="H2781" s="2200">
        <f>--SUBTOTAL(3,C$2:C2781)</f>
        <v>99</v>
      </c>
    </row>
    <row r="2782" spans="1:8" hidden="1" x14ac:dyDescent="0.15">
      <c r="A2782" s="2200" t="s">
        <v>10723</v>
      </c>
      <c r="B2782" s="2200" t="s">
        <v>16273</v>
      </c>
      <c r="C2782" s="2200" t="s">
        <v>16274</v>
      </c>
      <c r="D2782" s="2200" t="str">
        <f t="shared" si="172"/>
        <v>SD</v>
      </c>
      <c r="E2782" s="2200">
        <f t="shared" si="173"/>
        <v>16</v>
      </c>
      <c r="F2782" s="2200" t="str">
        <f t="shared" si="174"/>
        <v>46</v>
      </c>
      <c r="G2782" s="2200" t="str">
        <f t="shared" si="175"/>
        <v>52980</v>
      </c>
      <c r="H2782" s="2200">
        <f>--SUBTOTAL(3,C$2:C2782)</f>
        <v>99</v>
      </c>
    </row>
    <row r="2783" spans="1:8" hidden="1" x14ac:dyDescent="0.15">
      <c r="A2783" s="2200" t="s">
        <v>10723</v>
      </c>
      <c r="B2783" s="2200" t="s">
        <v>16275</v>
      </c>
      <c r="C2783" s="2200" t="s">
        <v>16276</v>
      </c>
      <c r="D2783" s="2200" t="str">
        <f t="shared" si="172"/>
        <v>SD</v>
      </c>
      <c r="E2783" s="2200">
        <f t="shared" si="173"/>
        <v>17</v>
      </c>
      <c r="F2783" s="2200" t="str">
        <f t="shared" si="174"/>
        <v>46</v>
      </c>
      <c r="G2783" s="2200" t="str">
        <f t="shared" si="175"/>
        <v>59020</v>
      </c>
      <c r="H2783" s="2200">
        <f>--SUBTOTAL(3,C$2:C2783)</f>
        <v>99</v>
      </c>
    </row>
    <row r="2784" spans="1:8" hidden="1" x14ac:dyDescent="0.15">
      <c r="A2784" s="2200" t="s">
        <v>10723</v>
      </c>
      <c r="B2784" s="2200" t="s">
        <v>16277</v>
      </c>
      <c r="C2784" s="2200" t="s">
        <v>16278</v>
      </c>
      <c r="D2784" s="2200" t="str">
        <f t="shared" si="172"/>
        <v>TN</v>
      </c>
      <c r="E2784" s="2200">
        <f t="shared" si="173"/>
        <v>14</v>
      </c>
      <c r="F2784" s="2200" t="str">
        <f t="shared" si="174"/>
        <v>47</v>
      </c>
      <c r="G2784" s="2200" t="str">
        <f t="shared" si="175"/>
        <v>03440</v>
      </c>
      <c r="H2784" s="2200">
        <f>--SUBTOTAL(3,C$2:C2784)</f>
        <v>99</v>
      </c>
    </row>
    <row r="2785" spans="1:8" hidden="1" x14ac:dyDescent="0.15">
      <c r="A2785" s="2200" t="s">
        <v>10723</v>
      </c>
      <c r="B2785" s="2200" t="s">
        <v>16279</v>
      </c>
      <c r="C2785" s="2200" t="s">
        <v>16280</v>
      </c>
      <c r="D2785" s="2200" t="str">
        <f t="shared" si="172"/>
        <v>TN</v>
      </c>
      <c r="E2785" s="2200">
        <f t="shared" si="173"/>
        <v>15</v>
      </c>
      <c r="F2785" s="2200" t="str">
        <f t="shared" si="174"/>
        <v>47</v>
      </c>
      <c r="G2785" s="2200" t="str">
        <f t="shared" si="175"/>
        <v>08280</v>
      </c>
      <c r="H2785" s="2200">
        <f>--SUBTOTAL(3,C$2:C2785)</f>
        <v>99</v>
      </c>
    </row>
    <row r="2786" spans="1:8" hidden="1" x14ac:dyDescent="0.15">
      <c r="A2786" s="2200" t="s">
        <v>10723</v>
      </c>
      <c r="B2786" s="2200" t="s">
        <v>16281</v>
      </c>
      <c r="C2786" s="2200" t="s">
        <v>16282</v>
      </c>
      <c r="D2786" s="2200" t="str">
        <f t="shared" si="172"/>
        <v>TN</v>
      </c>
      <c r="E2786" s="2200">
        <f t="shared" si="173"/>
        <v>13</v>
      </c>
      <c r="F2786" s="2200" t="str">
        <f t="shared" si="174"/>
        <v>47</v>
      </c>
      <c r="G2786" s="2200" t="str">
        <f t="shared" si="175"/>
        <v>08540</v>
      </c>
      <c r="H2786" s="2200">
        <f>--SUBTOTAL(3,C$2:C2786)</f>
        <v>99</v>
      </c>
    </row>
    <row r="2787" spans="1:8" hidden="1" x14ac:dyDescent="0.15">
      <c r="A2787" s="2200" t="s">
        <v>10723</v>
      </c>
      <c r="B2787" s="2200" t="s">
        <v>16283</v>
      </c>
      <c r="C2787" s="2200" t="s">
        <v>16284</v>
      </c>
      <c r="D2787" s="2200" t="str">
        <f t="shared" si="172"/>
        <v>TN</v>
      </c>
      <c r="E2787" s="2200">
        <f t="shared" si="173"/>
        <v>17</v>
      </c>
      <c r="F2787" s="2200" t="str">
        <f t="shared" si="174"/>
        <v>47</v>
      </c>
      <c r="G2787" s="2200" t="str">
        <f t="shared" si="175"/>
        <v>14000</v>
      </c>
      <c r="H2787" s="2200">
        <f>--SUBTOTAL(3,C$2:C2787)</f>
        <v>99</v>
      </c>
    </row>
    <row r="2788" spans="1:8" hidden="1" x14ac:dyDescent="0.15">
      <c r="A2788" s="2200" t="s">
        <v>10723</v>
      </c>
      <c r="B2788" s="2200" t="s">
        <v>16285</v>
      </c>
      <c r="C2788" s="2200" t="s">
        <v>16286</v>
      </c>
      <c r="D2788" s="2200" t="str">
        <f t="shared" si="172"/>
        <v>TN</v>
      </c>
      <c r="E2788" s="2200">
        <f t="shared" si="173"/>
        <v>17</v>
      </c>
      <c r="F2788" s="2200" t="str">
        <f t="shared" si="174"/>
        <v>47</v>
      </c>
      <c r="G2788" s="2200" t="str">
        <f t="shared" si="175"/>
        <v>15160</v>
      </c>
      <c r="H2788" s="2200">
        <f>--SUBTOTAL(3,C$2:C2788)</f>
        <v>99</v>
      </c>
    </row>
    <row r="2789" spans="1:8" hidden="1" x14ac:dyDescent="0.15">
      <c r="A2789" s="2200" t="s">
        <v>10723</v>
      </c>
      <c r="B2789" s="2200" t="s">
        <v>16287</v>
      </c>
      <c r="C2789" s="2200" t="s">
        <v>16288</v>
      </c>
      <c r="D2789" s="2200" t="str">
        <f t="shared" si="172"/>
        <v>TN</v>
      </c>
      <c r="E2789" s="2200">
        <f t="shared" si="173"/>
        <v>15</v>
      </c>
      <c r="F2789" s="2200" t="str">
        <f t="shared" si="174"/>
        <v>47</v>
      </c>
      <c r="G2789" s="2200" t="str">
        <f t="shared" si="175"/>
        <v>15400</v>
      </c>
      <c r="H2789" s="2200">
        <f>--SUBTOTAL(3,C$2:C2789)</f>
        <v>99</v>
      </c>
    </row>
    <row r="2790" spans="1:8" hidden="1" x14ac:dyDescent="0.15">
      <c r="A2790" s="2200" t="s">
        <v>10723</v>
      </c>
      <c r="B2790" s="2200" t="s">
        <v>16289</v>
      </c>
      <c r="C2790" s="2200" t="s">
        <v>16290</v>
      </c>
      <c r="D2790" s="2200" t="str">
        <f t="shared" si="172"/>
        <v>TN</v>
      </c>
      <c r="E2790" s="2200">
        <f t="shared" si="173"/>
        <v>18</v>
      </c>
      <c r="F2790" s="2200" t="str">
        <f t="shared" si="174"/>
        <v>47</v>
      </c>
      <c r="G2790" s="2200" t="str">
        <f t="shared" si="175"/>
        <v>16420</v>
      </c>
      <c r="H2790" s="2200">
        <f>--SUBTOTAL(3,C$2:C2790)</f>
        <v>99</v>
      </c>
    </row>
    <row r="2791" spans="1:8" hidden="1" x14ac:dyDescent="0.15">
      <c r="A2791" s="2200" t="s">
        <v>10723</v>
      </c>
      <c r="B2791" s="2200" t="s">
        <v>16291</v>
      </c>
      <c r="C2791" s="2200" t="s">
        <v>16292</v>
      </c>
      <c r="D2791" s="2200" t="str">
        <f t="shared" si="172"/>
        <v>TN</v>
      </c>
      <c r="E2791" s="2200">
        <f t="shared" si="173"/>
        <v>14</v>
      </c>
      <c r="F2791" s="2200" t="str">
        <f t="shared" si="174"/>
        <v>47</v>
      </c>
      <c r="G2791" s="2200" t="str">
        <f t="shared" si="175"/>
        <v>16540</v>
      </c>
      <c r="H2791" s="2200">
        <f>--SUBTOTAL(3,C$2:C2791)</f>
        <v>99</v>
      </c>
    </row>
    <row r="2792" spans="1:8" hidden="1" x14ac:dyDescent="0.15">
      <c r="A2792" s="2200" t="s">
        <v>10723</v>
      </c>
      <c r="B2792" s="2200" t="s">
        <v>16293</v>
      </c>
      <c r="C2792" s="2200" t="s">
        <v>16294</v>
      </c>
      <c r="D2792" s="2200" t="str">
        <f t="shared" si="172"/>
        <v>TN</v>
      </c>
      <c r="E2792" s="2200">
        <f t="shared" si="173"/>
        <v>16</v>
      </c>
      <c r="F2792" s="2200" t="str">
        <f t="shared" si="174"/>
        <v>47</v>
      </c>
      <c r="G2792" s="2200" t="str">
        <f t="shared" si="175"/>
        <v>16920</v>
      </c>
      <c r="H2792" s="2200">
        <f>--SUBTOTAL(3,C$2:C2792)</f>
        <v>99</v>
      </c>
    </row>
    <row r="2793" spans="1:8" hidden="1" x14ac:dyDescent="0.15">
      <c r="A2793" s="2200" t="s">
        <v>10723</v>
      </c>
      <c r="B2793" s="2200" t="s">
        <v>16295</v>
      </c>
      <c r="C2793" s="2200" t="s">
        <v>16296</v>
      </c>
      <c r="D2793" s="2200" t="str">
        <f t="shared" si="172"/>
        <v>TN</v>
      </c>
      <c r="E2793" s="2200">
        <f t="shared" si="173"/>
        <v>14</v>
      </c>
      <c r="F2793" s="2200" t="str">
        <f t="shared" si="174"/>
        <v>47</v>
      </c>
      <c r="G2793" s="2200" t="str">
        <f t="shared" si="175"/>
        <v>27740</v>
      </c>
      <c r="H2793" s="2200">
        <f>--SUBTOTAL(3,C$2:C2793)</f>
        <v>99</v>
      </c>
    </row>
    <row r="2794" spans="1:8" hidden="1" x14ac:dyDescent="0.15">
      <c r="A2794" s="2200" t="s">
        <v>10723</v>
      </c>
      <c r="B2794" s="2200" t="s">
        <v>16297</v>
      </c>
      <c r="C2794" s="2200" t="s">
        <v>16298</v>
      </c>
      <c r="D2794" s="2200" t="str">
        <f t="shared" si="172"/>
        <v>TN</v>
      </c>
      <c r="E2794" s="2200">
        <f t="shared" si="173"/>
        <v>14</v>
      </c>
      <c r="F2794" s="2200" t="str">
        <f t="shared" si="174"/>
        <v>47</v>
      </c>
      <c r="G2794" s="2200" t="str">
        <f t="shared" si="175"/>
        <v>28540</v>
      </c>
      <c r="H2794" s="2200">
        <f>--SUBTOTAL(3,C$2:C2794)</f>
        <v>99</v>
      </c>
    </row>
    <row r="2795" spans="1:8" hidden="1" x14ac:dyDescent="0.15">
      <c r="A2795" s="2200" t="s">
        <v>10723</v>
      </c>
      <c r="B2795" s="2200" t="s">
        <v>16299</v>
      </c>
      <c r="C2795" s="2200" t="s">
        <v>16300</v>
      </c>
      <c r="D2795" s="2200" t="str">
        <f t="shared" si="172"/>
        <v>TN</v>
      </c>
      <c r="E2795" s="2200">
        <f t="shared" si="173"/>
        <v>16</v>
      </c>
      <c r="F2795" s="2200" t="str">
        <f t="shared" si="174"/>
        <v>47</v>
      </c>
      <c r="G2795" s="2200" t="str">
        <f t="shared" si="175"/>
        <v>28960</v>
      </c>
      <c r="H2795" s="2200">
        <f>--SUBTOTAL(3,C$2:C2795)</f>
        <v>99</v>
      </c>
    </row>
    <row r="2796" spans="1:8" hidden="1" x14ac:dyDescent="0.15">
      <c r="A2796" s="2200" t="s">
        <v>10723</v>
      </c>
      <c r="B2796" s="2200" t="s">
        <v>16301</v>
      </c>
      <c r="C2796" s="2200" t="s">
        <v>16302</v>
      </c>
      <c r="D2796" s="2200" t="str">
        <f t="shared" si="172"/>
        <v>TN</v>
      </c>
      <c r="E2796" s="2200">
        <f t="shared" si="173"/>
        <v>20</v>
      </c>
      <c r="F2796" s="2200" t="str">
        <f t="shared" si="174"/>
        <v>47</v>
      </c>
      <c r="G2796" s="2200" t="str">
        <f t="shared" si="175"/>
        <v>33280</v>
      </c>
      <c r="H2796" s="2200">
        <f>--SUBTOTAL(3,C$2:C2796)</f>
        <v>99</v>
      </c>
    </row>
    <row r="2797" spans="1:8" hidden="1" x14ac:dyDescent="0.15">
      <c r="A2797" s="2200" t="s">
        <v>10723</v>
      </c>
      <c r="B2797" s="2200" t="s">
        <v>16303</v>
      </c>
      <c r="C2797" s="2200" t="s">
        <v>16304</v>
      </c>
      <c r="D2797" s="2200" t="str">
        <f t="shared" si="172"/>
        <v>TN</v>
      </c>
      <c r="E2797" s="2200">
        <f t="shared" si="173"/>
        <v>13</v>
      </c>
      <c r="F2797" s="2200" t="str">
        <f t="shared" si="174"/>
        <v>47</v>
      </c>
      <c r="G2797" s="2200" t="str">
        <f t="shared" si="175"/>
        <v>37640</v>
      </c>
      <c r="H2797" s="2200">
        <f>--SUBTOTAL(3,C$2:C2797)</f>
        <v>99</v>
      </c>
    </row>
    <row r="2798" spans="1:8" hidden="1" x14ac:dyDescent="0.15">
      <c r="A2798" s="2200" t="s">
        <v>10723</v>
      </c>
      <c r="B2798" s="2200" t="s">
        <v>16305</v>
      </c>
      <c r="C2798" s="2200" t="s">
        <v>16306</v>
      </c>
      <c r="D2798" s="2200" t="str">
        <f t="shared" si="172"/>
        <v>TN</v>
      </c>
      <c r="E2798" s="2200">
        <f t="shared" si="173"/>
        <v>18</v>
      </c>
      <c r="F2798" s="2200" t="str">
        <f t="shared" si="174"/>
        <v>47</v>
      </c>
      <c r="G2798" s="2200" t="str">
        <f t="shared" si="175"/>
        <v>38320</v>
      </c>
      <c r="H2798" s="2200">
        <f>--SUBTOTAL(3,C$2:C2798)</f>
        <v>99</v>
      </c>
    </row>
    <row r="2799" spans="1:8" hidden="1" x14ac:dyDescent="0.15">
      <c r="A2799" s="2200" t="s">
        <v>10723</v>
      </c>
      <c r="B2799" s="2200" t="s">
        <v>16307</v>
      </c>
      <c r="C2799" s="2200" t="s">
        <v>16308</v>
      </c>
      <c r="D2799" s="2200" t="str">
        <f t="shared" si="172"/>
        <v>TN</v>
      </c>
      <c r="E2799" s="2200">
        <f t="shared" si="173"/>
        <v>15</v>
      </c>
      <c r="F2799" s="2200" t="str">
        <f t="shared" si="174"/>
        <v>47</v>
      </c>
      <c r="G2799" s="2200" t="str">
        <f t="shared" si="175"/>
        <v>39560</v>
      </c>
      <c r="H2799" s="2200">
        <f>--SUBTOTAL(3,C$2:C2799)</f>
        <v>99</v>
      </c>
    </row>
    <row r="2800" spans="1:8" hidden="1" x14ac:dyDescent="0.15">
      <c r="A2800" s="2200" t="s">
        <v>10723</v>
      </c>
      <c r="B2800" s="2200" t="s">
        <v>16309</v>
      </c>
      <c r="C2800" s="2200" t="s">
        <v>16310</v>
      </c>
      <c r="D2800" s="2200" t="str">
        <f t="shared" si="172"/>
        <v>TN</v>
      </c>
      <c r="E2800" s="2200">
        <f t="shared" si="173"/>
        <v>15</v>
      </c>
      <c r="F2800" s="2200" t="str">
        <f t="shared" si="174"/>
        <v>47</v>
      </c>
      <c r="G2800" s="2200" t="str">
        <f t="shared" si="175"/>
        <v>40000</v>
      </c>
      <c r="H2800" s="2200">
        <f>--SUBTOTAL(3,C$2:C2800)</f>
        <v>99</v>
      </c>
    </row>
    <row r="2801" spans="1:8" hidden="1" x14ac:dyDescent="0.15">
      <c r="A2801" s="2200" t="s">
        <v>10723</v>
      </c>
      <c r="B2801" s="2200" t="s">
        <v>16311</v>
      </c>
      <c r="C2801" s="2200" t="s">
        <v>16312</v>
      </c>
      <c r="D2801" s="2200" t="str">
        <f t="shared" si="172"/>
        <v>TN</v>
      </c>
      <c r="E2801" s="2200">
        <f t="shared" si="173"/>
        <v>15</v>
      </c>
      <c r="F2801" s="2200" t="str">
        <f t="shared" si="174"/>
        <v>47</v>
      </c>
      <c r="G2801" s="2200" t="str">
        <f t="shared" si="175"/>
        <v>41200</v>
      </c>
      <c r="H2801" s="2200">
        <f>--SUBTOTAL(3,C$2:C2801)</f>
        <v>99</v>
      </c>
    </row>
    <row r="2802" spans="1:8" hidden="1" x14ac:dyDescent="0.15">
      <c r="A2802" s="2200" t="s">
        <v>10723</v>
      </c>
      <c r="B2802" s="2200" t="s">
        <v>16313</v>
      </c>
      <c r="C2802" s="2200" t="s">
        <v>16314</v>
      </c>
      <c r="D2802" s="2200" t="str">
        <f t="shared" si="172"/>
        <v>TN</v>
      </c>
      <c r="E2802" s="2200">
        <f t="shared" si="173"/>
        <v>13</v>
      </c>
      <c r="F2802" s="2200" t="str">
        <f t="shared" si="174"/>
        <v>47</v>
      </c>
      <c r="G2802" s="2200" t="str">
        <f t="shared" si="175"/>
        <v>41520</v>
      </c>
      <c r="H2802" s="2200">
        <f>--SUBTOTAL(3,C$2:C2802)</f>
        <v>99</v>
      </c>
    </row>
    <row r="2803" spans="1:8" hidden="1" x14ac:dyDescent="0.15">
      <c r="A2803" s="2200" t="s">
        <v>10723</v>
      </c>
      <c r="B2803" s="2200" t="s">
        <v>16315</v>
      </c>
      <c r="C2803" s="2200" t="s">
        <v>16316</v>
      </c>
      <c r="D2803" s="2200" t="str">
        <f t="shared" si="172"/>
        <v>TN</v>
      </c>
      <c r="E2803" s="2200">
        <f t="shared" si="173"/>
        <v>15</v>
      </c>
      <c r="F2803" s="2200" t="str">
        <f t="shared" si="174"/>
        <v>47</v>
      </c>
      <c r="G2803" s="2200" t="str">
        <f t="shared" si="175"/>
        <v>46380</v>
      </c>
      <c r="H2803" s="2200">
        <f>--SUBTOTAL(3,C$2:C2803)</f>
        <v>99</v>
      </c>
    </row>
    <row r="2804" spans="1:8" hidden="1" x14ac:dyDescent="0.15">
      <c r="A2804" s="2200" t="s">
        <v>10723</v>
      </c>
      <c r="B2804" s="2200" t="s">
        <v>16317</v>
      </c>
      <c r="C2804" s="2200" t="s">
        <v>16318</v>
      </c>
      <c r="D2804" s="2200" t="str">
        <f t="shared" si="172"/>
        <v>TN</v>
      </c>
      <c r="E2804" s="2200">
        <f t="shared" si="173"/>
        <v>13</v>
      </c>
      <c r="F2804" s="2200" t="str">
        <f t="shared" si="174"/>
        <v>47</v>
      </c>
      <c r="G2804" s="2200" t="str">
        <f t="shared" si="175"/>
        <v>48000</v>
      </c>
      <c r="H2804" s="2200">
        <f>--SUBTOTAL(3,C$2:C2804)</f>
        <v>99</v>
      </c>
    </row>
    <row r="2805" spans="1:8" hidden="1" x14ac:dyDescent="0.15">
      <c r="A2805" s="2200" t="s">
        <v>10723</v>
      </c>
      <c r="B2805" s="2200" t="s">
        <v>16319</v>
      </c>
      <c r="C2805" s="2200" t="s">
        <v>16320</v>
      </c>
      <c r="D2805" s="2200" t="str">
        <f t="shared" si="172"/>
        <v>TN</v>
      </c>
      <c r="E2805" s="2200">
        <f t="shared" si="173"/>
        <v>16</v>
      </c>
      <c r="F2805" s="2200" t="str">
        <f t="shared" si="174"/>
        <v>47</v>
      </c>
      <c r="G2805" s="2200" t="str">
        <f t="shared" si="175"/>
        <v>50280</v>
      </c>
      <c r="H2805" s="2200">
        <f>--SUBTOTAL(3,C$2:C2805)</f>
        <v>99</v>
      </c>
    </row>
    <row r="2806" spans="1:8" hidden="1" x14ac:dyDescent="0.15">
      <c r="A2806" s="2200" t="s">
        <v>10723</v>
      </c>
      <c r="B2806" s="2200" t="s">
        <v>16321</v>
      </c>
      <c r="C2806" s="2200" t="s">
        <v>16322</v>
      </c>
      <c r="D2806" s="2200" t="str">
        <f t="shared" si="172"/>
        <v>TN</v>
      </c>
      <c r="E2806" s="2200">
        <f t="shared" si="173"/>
        <v>18</v>
      </c>
      <c r="F2806" s="2200" t="str">
        <f t="shared" si="174"/>
        <v>47</v>
      </c>
      <c r="G2806" s="2200" t="str">
        <f t="shared" si="175"/>
        <v>50780</v>
      </c>
      <c r="H2806" s="2200">
        <f>--SUBTOTAL(3,C$2:C2806)</f>
        <v>99</v>
      </c>
    </row>
    <row r="2807" spans="1:8" hidden="1" x14ac:dyDescent="0.15">
      <c r="A2807" s="2200" t="s">
        <v>10723</v>
      </c>
      <c r="B2807" s="2200" t="s">
        <v>16323</v>
      </c>
      <c r="C2807" s="2200" t="s">
        <v>16324</v>
      </c>
      <c r="D2807" s="2200" t="str">
        <f t="shared" si="172"/>
        <v>TN</v>
      </c>
      <c r="E2807" s="2200">
        <f t="shared" si="173"/>
        <v>18</v>
      </c>
      <c r="F2807" s="2200" t="str">
        <f t="shared" si="174"/>
        <v>47</v>
      </c>
      <c r="G2807" s="2200" t="str">
        <f t="shared" si="175"/>
        <v>51560</v>
      </c>
      <c r="H2807" s="2200">
        <f>--SUBTOTAL(3,C$2:C2807)</f>
        <v>99</v>
      </c>
    </row>
    <row r="2808" spans="1:8" hidden="1" x14ac:dyDescent="0.15">
      <c r="A2808" s="2200" t="s">
        <v>10723</v>
      </c>
      <c r="B2808" s="2200" t="s">
        <v>16325</v>
      </c>
      <c r="C2808" s="2200" t="s">
        <v>16326</v>
      </c>
      <c r="D2808" s="2200" t="str">
        <f t="shared" si="172"/>
        <v>TN</v>
      </c>
      <c r="E2808" s="2200">
        <f t="shared" si="173"/>
        <v>39</v>
      </c>
      <c r="F2808" s="2200" t="str">
        <f t="shared" si="174"/>
        <v>47</v>
      </c>
      <c r="G2808" s="2200" t="str">
        <f t="shared" si="175"/>
        <v>52004</v>
      </c>
      <c r="H2808" s="2200">
        <f>--SUBTOTAL(3,C$2:C2808)</f>
        <v>99</v>
      </c>
    </row>
    <row r="2809" spans="1:8" hidden="1" x14ac:dyDescent="0.15">
      <c r="A2809" s="2200" t="s">
        <v>10723</v>
      </c>
      <c r="B2809" s="2200" t="s">
        <v>16327</v>
      </c>
      <c r="C2809" s="2200" t="s">
        <v>16328</v>
      </c>
      <c r="D2809" s="2200" t="str">
        <f t="shared" si="172"/>
        <v>TN</v>
      </c>
      <c r="E2809" s="2200">
        <f t="shared" si="173"/>
        <v>15</v>
      </c>
      <c r="F2809" s="2200" t="str">
        <f t="shared" si="174"/>
        <v>47</v>
      </c>
      <c r="G2809" s="2200" t="str">
        <f t="shared" si="175"/>
        <v>55120</v>
      </c>
      <c r="H2809" s="2200">
        <f>--SUBTOTAL(3,C$2:C2809)</f>
        <v>99</v>
      </c>
    </row>
    <row r="2810" spans="1:8" hidden="1" x14ac:dyDescent="0.15">
      <c r="A2810" s="2200" t="s">
        <v>10723</v>
      </c>
      <c r="B2810" s="2200" t="s">
        <v>16329</v>
      </c>
      <c r="C2810" s="2200" t="s">
        <v>16330</v>
      </c>
      <c r="D2810" s="2200" t="str">
        <f t="shared" si="172"/>
        <v>TN</v>
      </c>
      <c r="E2810" s="2200">
        <f t="shared" si="173"/>
        <v>12</v>
      </c>
      <c r="F2810" s="2200" t="str">
        <f t="shared" si="174"/>
        <v>47</v>
      </c>
      <c r="G2810" s="2200" t="str">
        <f t="shared" si="175"/>
        <v>69420</v>
      </c>
      <c r="H2810" s="2200">
        <f>--SUBTOTAL(3,C$2:C2810)</f>
        <v>99</v>
      </c>
    </row>
    <row r="2811" spans="1:8" hidden="1" x14ac:dyDescent="0.15">
      <c r="A2811" s="2200" t="s">
        <v>10723</v>
      </c>
      <c r="B2811" s="2200" t="s">
        <v>16331</v>
      </c>
      <c r="C2811" s="2200" t="s">
        <v>16332</v>
      </c>
      <c r="D2811" s="2200" t="str">
        <f t="shared" si="172"/>
        <v>TN</v>
      </c>
      <c r="E2811" s="2200">
        <f t="shared" si="173"/>
        <v>17</v>
      </c>
      <c r="F2811" s="2200" t="str">
        <f t="shared" si="174"/>
        <v>47</v>
      </c>
      <c r="G2811" s="2200" t="str">
        <f t="shared" si="175"/>
        <v>70580</v>
      </c>
      <c r="H2811" s="2200">
        <f>--SUBTOTAL(3,C$2:C2811)</f>
        <v>99</v>
      </c>
    </row>
    <row r="2812" spans="1:8" hidden="1" x14ac:dyDescent="0.15">
      <c r="A2812" s="2200" t="s">
        <v>10723</v>
      </c>
      <c r="B2812" s="2200" t="s">
        <v>16333</v>
      </c>
      <c r="C2812" s="2200" t="s">
        <v>16334</v>
      </c>
      <c r="D2812" s="2200" t="str">
        <f t="shared" si="172"/>
        <v>TX</v>
      </c>
      <c r="E2812" s="2200">
        <f t="shared" si="173"/>
        <v>13</v>
      </c>
      <c r="F2812" s="2200" t="str">
        <f t="shared" si="174"/>
        <v>48</v>
      </c>
      <c r="G2812" s="2200" t="str">
        <f t="shared" si="175"/>
        <v>01000</v>
      </c>
      <c r="H2812" s="2200">
        <f>--SUBTOTAL(3,C$2:C2812)</f>
        <v>99</v>
      </c>
    </row>
    <row r="2813" spans="1:8" hidden="1" x14ac:dyDescent="0.15">
      <c r="A2813" s="2200" t="s">
        <v>10723</v>
      </c>
      <c r="B2813" s="2200" t="s">
        <v>16335</v>
      </c>
      <c r="C2813" s="2200" t="s">
        <v>16336</v>
      </c>
      <c r="D2813" s="2200" t="str">
        <f t="shared" si="172"/>
        <v>TX</v>
      </c>
      <c r="E2813" s="2200">
        <f t="shared" si="173"/>
        <v>11</v>
      </c>
      <c r="F2813" s="2200" t="str">
        <f t="shared" si="174"/>
        <v>48</v>
      </c>
      <c r="G2813" s="2200" t="str">
        <f t="shared" si="175"/>
        <v>01924</v>
      </c>
      <c r="H2813" s="2200">
        <f>--SUBTOTAL(3,C$2:C2813)</f>
        <v>99</v>
      </c>
    </row>
    <row r="2814" spans="1:8" hidden="1" x14ac:dyDescent="0.15">
      <c r="A2814" s="2200" t="s">
        <v>10723</v>
      </c>
      <c r="B2814" s="2200" t="s">
        <v>16337</v>
      </c>
      <c r="C2814" s="2200" t="s">
        <v>16338</v>
      </c>
      <c r="D2814" s="2200" t="str">
        <f t="shared" si="172"/>
        <v>TX</v>
      </c>
      <c r="E2814" s="2200">
        <f t="shared" si="173"/>
        <v>11</v>
      </c>
      <c r="F2814" s="2200" t="str">
        <f t="shared" si="174"/>
        <v>48</v>
      </c>
      <c r="G2814" s="2200" t="str">
        <f t="shared" si="175"/>
        <v>02272</v>
      </c>
      <c r="H2814" s="2200">
        <f>--SUBTOTAL(3,C$2:C2814)</f>
        <v>99</v>
      </c>
    </row>
    <row r="2815" spans="1:8" hidden="1" x14ac:dyDescent="0.15">
      <c r="A2815" s="2200" t="s">
        <v>10723</v>
      </c>
      <c r="B2815" s="2200" t="s">
        <v>16339</v>
      </c>
      <c r="C2815" s="2200" t="s">
        <v>16340</v>
      </c>
      <c r="D2815" s="2200" t="str">
        <f t="shared" si="172"/>
        <v>TX</v>
      </c>
      <c r="E2815" s="2200">
        <f t="shared" si="173"/>
        <v>14</v>
      </c>
      <c r="F2815" s="2200" t="str">
        <f t="shared" si="174"/>
        <v>48</v>
      </c>
      <c r="G2815" s="2200" t="str">
        <f t="shared" si="175"/>
        <v>03000</v>
      </c>
      <c r="H2815" s="2200">
        <f>--SUBTOTAL(3,C$2:C2815)</f>
        <v>99</v>
      </c>
    </row>
    <row r="2816" spans="1:8" hidden="1" x14ac:dyDescent="0.15">
      <c r="A2816" s="2200" t="s">
        <v>10723</v>
      </c>
      <c r="B2816" s="2200" t="s">
        <v>16341</v>
      </c>
      <c r="C2816" s="2200" t="s">
        <v>16342</v>
      </c>
      <c r="D2816" s="2200" t="str">
        <f t="shared" si="172"/>
        <v>TX</v>
      </c>
      <c r="E2816" s="2200">
        <f t="shared" si="173"/>
        <v>15</v>
      </c>
      <c r="F2816" s="2200" t="str">
        <f t="shared" si="174"/>
        <v>48</v>
      </c>
      <c r="G2816" s="2200" t="str">
        <f t="shared" si="175"/>
        <v>04000</v>
      </c>
      <c r="H2816" s="2200">
        <f>--SUBTOTAL(3,C$2:C2816)</f>
        <v>99</v>
      </c>
    </row>
    <row r="2817" spans="1:8" hidden="1" x14ac:dyDescent="0.15">
      <c r="A2817" s="2200" t="s">
        <v>10723</v>
      </c>
      <c r="B2817" s="2200" t="s">
        <v>16343</v>
      </c>
      <c r="C2817" s="2200" t="s">
        <v>16344</v>
      </c>
      <c r="D2817" s="2200" t="str">
        <f t="shared" si="172"/>
        <v>TX</v>
      </c>
      <c r="E2817" s="2200">
        <f t="shared" si="173"/>
        <v>12</v>
      </c>
      <c r="F2817" s="2200" t="str">
        <f t="shared" si="174"/>
        <v>48</v>
      </c>
      <c r="G2817" s="2200" t="str">
        <f t="shared" si="175"/>
        <v>05000</v>
      </c>
      <c r="H2817" s="2200">
        <f>--SUBTOTAL(3,C$2:C2817)</f>
        <v>99</v>
      </c>
    </row>
    <row r="2818" spans="1:8" hidden="1" x14ac:dyDescent="0.15">
      <c r="A2818" s="2200" t="s">
        <v>10723</v>
      </c>
      <c r="B2818" s="2200" t="s">
        <v>16345</v>
      </c>
      <c r="C2818" s="2200" t="s">
        <v>16346</v>
      </c>
      <c r="D2818" s="2200" t="str">
        <f t="shared" ref="D2818:D2881" si="176">MID(C2818,E2818+2,2)</f>
        <v>TX</v>
      </c>
      <c r="E2818" s="2200">
        <f t="shared" ref="E2818:E2881" si="177">FIND(",",C2818)</f>
        <v>19</v>
      </c>
      <c r="F2818" s="2200" t="str">
        <f t="shared" si="174"/>
        <v>48</v>
      </c>
      <c r="G2818" s="2200" t="str">
        <f t="shared" si="175"/>
        <v>05372</v>
      </c>
      <c r="H2818" s="2200">
        <f>--SUBTOTAL(3,C$2:C2818)</f>
        <v>99</v>
      </c>
    </row>
    <row r="2819" spans="1:8" hidden="1" x14ac:dyDescent="0.15">
      <c r="A2819" s="2200" t="s">
        <v>10723</v>
      </c>
      <c r="B2819" s="2200" t="s">
        <v>16347</v>
      </c>
      <c r="C2819" s="2200" t="s">
        <v>16348</v>
      </c>
      <c r="D2819" s="2200" t="str">
        <f t="shared" si="176"/>
        <v>TX</v>
      </c>
      <c r="E2819" s="2200">
        <f t="shared" si="177"/>
        <v>13</v>
      </c>
      <c r="F2819" s="2200" t="str">
        <f t="shared" ref="F2819:F2882" si="178">MID(B2819,3,2)</f>
        <v>48</v>
      </c>
      <c r="G2819" s="2200" t="str">
        <f t="shared" ref="G2819:G2882" si="179">MID(B2819,5,5)</f>
        <v>06128</v>
      </c>
      <c r="H2819" s="2200">
        <f>--SUBTOTAL(3,C$2:C2819)</f>
        <v>99</v>
      </c>
    </row>
    <row r="2820" spans="1:8" hidden="1" x14ac:dyDescent="0.15">
      <c r="A2820" s="2200" t="s">
        <v>10723</v>
      </c>
      <c r="B2820" s="2200" t="s">
        <v>16349</v>
      </c>
      <c r="C2820" s="2200" t="s">
        <v>16350</v>
      </c>
      <c r="D2820" s="2200" t="str">
        <f t="shared" si="176"/>
        <v>TX</v>
      </c>
      <c r="E2820" s="2200">
        <f t="shared" si="177"/>
        <v>14</v>
      </c>
      <c r="F2820" s="2200" t="str">
        <f t="shared" si="178"/>
        <v>48</v>
      </c>
      <c r="G2820" s="2200" t="str">
        <f t="shared" si="179"/>
        <v>07000</v>
      </c>
      <c r="H2820" s="2200">
        <f>--SUBTOTAL(3,C$2:C2820)</f>
        <v>99</v>
      </c>
    </row>
    <row r="2821" spans="1:8" hidden="1" x14ac:dyDescent="0.15">
      <c r="A2821" s="2200" t="s">
        <v>10723</v>
      </c>
      <c r="B2821" s="2200" t="s">
        <v>16351</v>
      </c>
      <c r="C2821" s="2200" t="s">
        <v>16352</v>
      </c>
      <c r="D2821" s="2200" t="str">
        <f t="shared" si="176"/>
        <v>TX</v>
      </c>
      <c r="E2821" s="2200">
        <f t="shared" si="177"/>
        <v>13</v>
      </c>
      <c r="F2821" s="2200" t="str">
        <f t="shared" si="178"/>
        <v>48</v>
      </c>
      <c r="G2821" s="2200" t="str">
        <f t="shared" si="179"/>
        <v>07132</v>
      </c>
      <c r="H2821" s="2200">
        <f>--SUBTOTAL(3,C$2:C2821)</f>
        <v>99</v>
      </c>
    </row>
    <row r="2822" spans="1:8" hidden="1" x14ac:dyDescent="0.15">
      <c r="A2822" s="2200" t="s">
        <v>10723</v>
      </c>
      <c r="B2822" s="2200" t="s">
        <v>16353</v>
      </c>
      <c r="C2822" s="2200" t="s">
        <v>16354</v>
      </c>
      <c r="D2822" s="2200" t="str">
        <f t="shared" si="176"/>
        <v>TX</v>
      </c>
      <c r="E2822" s="2200">
        <f t="shared" si="177"/>
        <v>16</v>
      </c>
      <c r="F2822" s="2200" t="str">
        <f t="shared" si="178"/>
        <v>48</v>
      </c>
      <c r="G2822" s="2200" t="str">
        <f t="shared" si="179"/>
        <v>08236</v>
      </c>
      <c r="H2822" s="2200">
        <f>--SUBTOTAL(3,C$2:C2822)</f>
        <v>99</v>
      </c>
    </row>
    <row r="2823" spans="1:8" hidden="1" x14ac:dyDescent="0.15">
      <c r="A2823" s="2200" t="s">
        <v>10723</v>
      </c>
      <c r="B2823" s="2200" t="s">
        <v>16355</v>
      </c>
      <c r="C2823" s="2200" t="s">
        <v>16356</v>
      </c>
      <c r="D2823" s="2200" t="str">
        <f t="shared" si="176"/>
        <v>TX</v>
      </c>
      <c r="E2823" s="2200">
        <f t="shared" si="177"/>
        <v>17</v>
      </c>
      <c r="F2823" s="2200" t="str">
        <f t="shared" si="178"/>
        <v>48</v>
      </c>
      <c r="G2823" s="2200" t="str">
        <f t="shared" si="179"/>
        <v>10768</v>
      </c>
      <c r="H2823" s="2200">
        <f>--SUBTOTAL(3,C$2:C2823)</f>
        <v>99</v>
      </c>
    </row>
    <row r="2824" spans="1:8" hidden="1" x14ac:dyDescent="0.15">
      <c r="A2824" s="2200" t="s">
        <v>10723</v>
      </c>
      <c r="B2824" s="2200" t="s">
        <v>16357</v>
      </c>
      <c r="C2824" s="2200" t="s">
        <v>16358</v>
      </c>
      <c r="D2824" s="2200" t="str">
        <f t="shared" si="176"/>
        <v>TX</v>
      </c>
      <c r="E2824" s="2200">
        <f t="shared" si="177"/>
        <v>11</v>
      </c>
      <c r="F2824" s="2200" t="str">
        <f t="shared" si="178"/>
        <v>48</v>
      </c>
      <c r="G2824" s="2200" t="str">
        <f t="shared" si="179"/>
        <v>10912</v>
      </c>
      <c r="H2824" s="2200">
        <f>--SUBTOTAL(3,C$2:C2824)</f>
        <v>99</v>
      </c>
    </row>
    <row r="2825" spans="1:8" hidden="1" x14ac:dyDescent="0.15">
      <c r="A2825" s="2200" t="s">
        <v>10723</v>
      </c>
      <c r="B2825" s="2200" t="s">
        <v>16359</v>
      </c>
      <c r="C2825" s="2200" t="s">
        <v>16360</v>
      </c>
      <c r="D2825" s="2200" t="str">
        <f t="shared" si="176"/>
        <v>TX</v>
      </c>
      <c r="E2825" s="2200">
        <f t="shared" si="177"/>
        <v>14</v>
      </c>
      <c r="F2825" s="2200" t="str">
        <f t="shared" si="178"/>
        <v>48</v>
      </c>
      <c r="G2825" s="2200" t="str">
        <f t="shared" si="179"/>
        <v>11428</v>
      </c>
      <c r="H2825" s="2200">
        <f>--SUBTOTAL(3,C$2:C2825)</f>
        <v>99</v>
      </c>
    </row>
    <row r="2826" spans="1:8" hidden="1" x14ac:dyDescent="0.15">
      <c r="A2826" s="2200" t="s">
        <v>10723</v>
      </c>
      <c r="B2826" s="2200" t="s">
        <v>16361</v>
      </c>
      <c r="C2826" s="2200" t="s">
        <v>16362</v>
      </c>
      <c r="D2826" s="2200" t="str">
        <f t="shared" si="176"/>
        <v>TX</v>
      </c>
      <c r="E2826" s="2200">
        <f t="shared" si="177"/>
        <v>16</v>
      </c>
      <c r="F2826" s="2200" t="str">
        <f t="shared" si="178"/>
        <v>48</v>
      </c>
      <c r="G2826" s="2200" t="str">
        <f t="shared" si="179"/>
        <v>13024</v>
      </c>
      <c r="H2826" s="2200">
        <f>--SUBTOTAL(3,C$2:C2826)</f>
        <v>99</v>
      </c>
    </row>
    <row r="2827" spans="1:8" hidden="1" x14ac:dyDescent="0.15">
      <c r="A2827" s="2200" t="s">
        <v>10723</v>
      </c>
      <c r="B2827" s="2200" t="s">
        <v>16363</v>
      </c>
      <c r="C2827" s="2200" t="s">
        <v>16364</v>
      </c>
      <c r="D2827" s="2200" t="str">
        <f t="shared" si="176"/>
        <v>TX</v>
      </c>
      <c r="E2827" s="2200">
        <f t="shared" si="177"/>
        <v>16</v>
      </c>
      <c r="F2827" s="2200" t="str">
        <f t="shared" si="178"/>
        <v>48</v>
      </c>
      <c r="G2827" s="2200" t="str">
        <f t="shared" si="179"/>
        <v>13492</v>
      </c>
      <c r="H2827" s="2200">
        <f>--SUBTOTAL(3,C$2:C2827)</f>
        <v>99</v>
      </c>
    </row>
    <row r="2828" spans="1:8" hidden="1" x14ac:dyDescent="0.15">
      <c r="A2828" s="2200" t="s">
        <v>10723</v>
      </c>
      <c r="B2828" s="2200" t="s">
        <v>16365</v>
      </c>
      <c r="C2828" s="2200" t="s">
        <v>16366</v>
      </c>
      <c r="D2828" s="2200" t="str">
        <f t="shared" si="176"/>
        <v>TX</v>
      </c>
      <c r="E2828" s="2200">
        <f t="shared" si="177"/>
        <v>16</v>
      </c>
      <c r="F2828" s="2200" t="str">
        <f t="shared" si="178"/>
        <v>48</v>
      </c>
      <c r="G2828" s="2200" t="str">
        <f t="shared" si="179"/>
        <v>13552</v>
      </c>
      <c r="H2828" s="2200">
        <f>--SUBTOTAL(3,C$2:C2828)</f>
        <v>99</v>
      </c>
    </row>
    <row r="2829" spans="1:8" hidden="1" x14ac:dyDescent="0.15">
      <c r="A2829" s="2200" t="s">
        <v>10723</v>
      </c>
      <c r="B2829" s="2200" t="s">
        <v>16367</v>
      </c>
      <c r="C2829" s="2200" t="s">
        <v>16368</v>
      </c>
      <c r="D2829" s="2200" t="str">
        <f t="shared" si="176"/>
        <v>TX</v>
      </c>
      <c r="E2829" s="2200">
        <f t="shared" si="177"/>
        <v>12</v>
      </c>
      <c r="F2829" s="2200" t="str">
        <f t="shared" si="178"/>
        <v>48</v>
      </c>
      <c r="G2829" s="2200" t="str">
        <f t="shared" si="179"/>
        <v>14920</v>
      </c>
      <c r="H2829" s="2200">
        <f>--SUBTOTAL(3,C$2:C2829)</f>
        <v>99</v>
      </c>
    </row>
    <row r="2830" spans="1:8" hidden="1" x14ac:dyDescent="0.15">
      <c r="A2830" s="2200" t="s">
        <v>10723</v>
      </c>
      <c r="B2830" s="2200" t="s">
        <v>16369</v>
      </c>
      <c r="C2830" s="2200" t="s">
        <v>16370</v>
      </c>
      <c r="D2830" s="2200" t="str">
        <f t="shared" si="176"/>
        <v>TX</v>
      </c>
      <c r="E2830" s="2200">
        <f t="shared" si="177"/>
        <v>14</v>
      </c>
      <c r="F2830" s="2200" t="str">
        <f t="shared" si="178"/>
        <v>48</v>
      </c>
      <c r="G2830" s="2200" t="str">
        <f t="shared" si="179"/>
        <v>15364</v>
      </c>
      <c r="H2830" s="2200">
        <f>--SUBTOTAL(3,C$2:C2830)</f>
        <v>99</v>
      </c>
    </row>
    <row r="2831" spans="1:8" hidden="1" x14ac:dyDescent="0.15">
      <c r="A2831" s="2200" t="s">
        <v>10723</v>
      </c>
      <c r="B2831" s="2200" t="s">
        <v>16371</v>
      </c>
      <c r="C2831" s="2200" t="s">
        <v>16372</v>
      </c>
      <c r="D2831" s="2200" t="str">
        <f t="shared" si="176"/>
        <v>TX</v>
      </c>
      <c r="E2831" s="2200">
        <f t="shared" si="177"/>
        <v>21</v>
      </c>
      <c r="F2831" s="2200" t="str">
        <f t="shared" si="178"/>
        <v>48</v>
      </c>
      <c r="G2831" s="2200" t="str">
        <f t="shared" si="179"/>
        <v>15976</v>
      </c>
      <c r="H2831" s="2200">
        <f>--SUBTOTAL(3,C$2:C2831)</f>
        <v>99</v>
      </c>
    </row>
    <row r="2832" spans="1:8" hidden="1" x14ac:dyDescent="0.15">
      <c r="A2832" s="2200" t="s">
        <v>10723</v>
      </c>
      <c r="B2832" s="2200" t="s">
        <v>16373</v>
      </c>
      <c r="C2832" s="2200" t="s">
        <v>16374</v>
      </c>
      <c r="D2832" s="2200" t="str">
        <f t="shared" si="176"/>
        <v>TX</v>
      </c>
      <c r="E2832" s="2200">
        <f t="shared" si="177"/>
        <v>17</v>
      </c>
      <c r="F2832" s="2200" t="str">
        <f t="shared" si="178"/>
        <v>48</v>
      </c>
      <c r="G2832" s="2200" t="str">
        <f t="shared" si="179"/>
        <v>15988</v>
      </c>
      <c r="H2832" s="2200">
        <f>--SUBTOTAL(3,C$2:C2832)</f>
        <v>99</v>
      </c>
    </row>
    <row r="2833" spans="1:8" hidden="1" x14ac:dyDescent="0.15">
      <c r="A2833" s="2200" t="s">
        <v>10723</v>
      </c>
      <c r="B2833" s="2200" t="s">
        <v>1869</v>
      </c>
      <c r="C2833" s="2200" t="s">
        <v>1864</v>
      </c>
      <c r="D2833" s="2200" t="str">
        <f t="shared" si="176"/>
        <v>TX</v>
      </c>
      <c r="E2833" s="2200">
        <f t="shared" si="177"/>
        <v>12</v>
      </c>
      <c r="F2833" s="2200" t="str">
        <f t="shared" si="178"/>
        <v>48</v>
      </c>
      <c r="G2833" s="2200" t="str">
        <f t="shared" si="179"/>
        <v>16432</v>
      </c>
      <c r="H2833" s="2200">
        <f>--SUBTOTAL(3,C$2:C2833)</f>
        <v>99</v>
      </c>
    </row>
    <row r="2834" spans="1:8" hidden="1" x14ac:dyDescent="0.15">
      <c r="A2834" s="2200" t="s">
        <v>10723</v>
      </c>
      <c r="B2834" s="2200" t="s">
        <v>16375</v>
      </c>
      <c r="C2834" s="2200" t="s">
        <v>16376</v>
      </c>
      <c r="D2834" s="2200" t="str">
        <f t="shared" si="176"/>
        <v>TX</v>
      </c>
      <c r="E2834" s="2200">
        <f t="shared" si="177"/>
        <v>14</v>
      </c>
      <c r="F2834" s="2200" t="str">
        <f t="shared" si="178"/>
        <v>48</v>
      </c>
      <c r="G2834" s="2200" t="str">
        <f t="shared" si="179"/>
        <v>16468</v>
      </c>
      <c r="H2834" s="2200">
        <f>--SUBTOTAL(3,C$2:C2834)</f>
        <v>99</v>
      </c>
    </row>
    <row r="2835" spans="1:8" hidden="1" x14ac:dyDescent="0.15">
      <c r="A2835" s="2200" t="s">
        <v>10723</v>
      </c>
      <c r="B2835" s="2200" t="s">
        <v>16377</v>
      </c>
      <c r="C2835" s="2200" t="s">
        <v>16378</v>
      </c>
      <c r="D2835" s="2200" t="str">
        <f t="shared" si="176"/>
        <v>TX</v>
      </c>
      <c r="E2835" s="2200">
        <f t="shared" si="177"/>
        <v>13</v>
      </c>
      <c r="F2835" s="2200" t="str">
        <f t="shared" si="178"/>
        <v>48</v>
      </c>
      <c r="G2835" s="2200" t="str">
        <f t="shared" si="179"/>
        <v>16612</v>
      </c>
      <c r="H2835" s="2200">
        <f>--SUBTOTAL(3,C$2:C2835)</f>
        <v>99</v>
      </c>
    </row>
    <row r="2836" spans="1:8" hidden="1" x14ac:dyDescent="0.15">
      <c r="A2836" s="2200" t="s">
        <v>10723</v>
      </c>
      <c r="B2836" s="2200" t="s">
        <v>16379</v>
      </c>
      <c r="C2836" s="2200" t="s">
        <v>16380</v>
      </c>
      <c r="D2836" s="2200" t="str">
        <f t="shared" si="176"/>
        <v>TX</v>
      </c>
      <c r="E2836" s="2200">
        <f t="shared" si="177"/>
        <v>19</v>
      </c>
      <c r="F2836" s="2200" t="str">
        <f t="shared" si="178"/>
        <v>48</v>
      </c>
      <c r="G2836" s="2200" t="str">
        <f t="shared" si="179"/>
        <v>16624</v>
      </c>
      <c r="H2836" s="2200">
        <f>--SUBTOTAL(3,C$2:C2836)</f>
        <v>99</v>
      </c>
    </row>
    <row r="2837" spans="1:8" hidden="1" x14ac:dyDescent="0.15">
      <c r="A2837" s="2200" t="s">
        <v>10723</v>
      </c>
      <c r="B2837" s="2200" t="s">
        <v>16381</v>
      </c>
      <c r="C2837" s="2200" t="s">
        <v>16382</v>
      </c>
      <c r="D2837" s="2200" t="str">
        <f t="shared" si="176"/>
        <v>TX</v>
      </c>
      <c r="E2837" s="2200">
        <f t="shared" si="177"/>
        <v>20</v>
      </c>
      <c r="F2837" s="2200" t="str">
        <f t="shared" si="178"/>
        <v>48</v>
      </c>
      <c r="G2837" s="2200" t="str">
        <f t="shared" si="179"/>
        <v>17000</v>
      </c>
      <c r="H2837" s="2200">
        <f>--SUBTOTAL(3,C$2:C2837)</f>
        <v>99</v>
      </c>
    </row>
    <row r="2838" spans="1:8" hidden="1" x14ac:dyDescent="0.15">
      <c r="A2838" s="2200" t="s">
        <v>10723</v>
      </c>
      <c r="B2838" s="2200" t="s">
        <v>16383</v>
      </c>
      <c r="C2838" s="2200" t="s">
        <v>16384</v>
      </c>
      <c r="D2838" s="2200" t="str">
        <f t="shared" si="176"/>
        <v>TX</v>
      </c>
      <c r="E2838" s="2200">
        <f t="shared" si="177"/>
        <v>15</v>
      </c>
      <c r="F2838" s="2200" t="str">
        <f t="shared" si="178"/>
        <v>48</v>
      </c>
      <c r="G2838" s="2200" t="str">
        <f t="shared" si="179"/>
        <v>17060</v>
      </c>
      <c r="H2838" s="2200">
        <f>--SUBTOTAL(3,C$2:C2838)</f>
        <v>99</v>
      </c>
    </row>
    <row r="2839" spans="1:8" hidden="1" x14ac:dyDescent="0.15">
      <c r="A2839" s="2200" t="s">
        <v>11443</v>
      </c>
      <c r="B2839" s="2200" t="s">
        <v>16385</v>
      </c>
      <c r="C2839" s="2200" t="s">
        <v>16386</v>
      </c>
      <c r="D2839" s="2200" t="str">
        <f t="shared" si="176"/>
        <v>TX</v>
      </c>
      <c r="E2839" s="2200">
        <f t="shared" si="177"/>
        <v>15</v>
      </c>
      <c r="F2839" s="2200" t="str">
        <f t="shared" si="178"/>
        <v>48</v>
      </c>
      <c r="G2839" s="2200" t="str">
        <f t="shared" si="179"/>
        <v>80780</v>
      </c>
      <c r="H2839" s="2200">
        <f>--SUBTOTAL(3,C$2:C2839)</f>
        <v>99</v>
      </c>
    </row>
    <row r="2840" spans="1:8" hidden="1" x14ac:dyDescent="0.15">
      <c r="A2840" s="2200" t="s">
        <v>10723</v>
      </c>
      <c r="B2840" s="2200" t="s">
        <v>16387</v>
      </c>
      <c r="C2840" s="2200" t="s">
        <v>16388</v>
      </c>
      <c r="D2840" s="2200" t="str">
        <f t="shared" si="176"/>
        <v>TX</v>
      </c>
      <c r="E2840" s="2200">
        <f t="shared" si="177"/>
        <v>12</v>
      </c>
      <c r="F2840" s="2200" t="str">
        <f t="shared" si="178"/>
        <v>48</v>
      </c>
      <c r="G2840" s="2200" t="str">
        <f t="shared" si="179"/>
        <v>19000</v>
      </c>
      <c r="H2840" s="2200">
        <f>--SUBTOTAL(3,C$2:C2840)</f>
        <v>99</v>
      </c>
    </row>
    <row r="2841" spans="1:8" hidden="1" x14ac:dyDescent="0.15">
      <c r="A2841" s="2200" t="s">
        <v>10723</v>
      </c>
      <c r="B2841" s="2200" t="s">
        <v>16389</v>
      </c>
      <c r="C2841" s="2200" t="s">
        <v>16390</v>
      </c>
      <c r="D2841" s="2200" t="str">
        <f t="shared" si="176"/>
        <v>TX</v>
      </c>
      <c r="E2841" s="2200">
        <f t="shared" si="177"/>
        <v>15</v>
      </c>
      <c r="F2841" s="2200" t="str">
        <f t="shared" si="178"/>
        <v>48</v>
      </c>
      <c r="G2841" s="2200" t="str">
        <f t="shared" si="179"/>
        <v>19624</v>
      </c>
      <c r="H2841" s="2200">
        <f>--SUBTOTAL(3,C$2:C2841)</f>
        <v>99</v>
      </c>
    </row>
    <row r="2842" spans="1:8" hidden="1" x14ac:dyDescent="0.15">
      <c r="A2842" s="2200" t="s">
        <v>10723</v>
      </c>
      <c r="B2842" s="2200" t="s">
        <v>16391</v>
      </c>
      <c r="C2842" s="2200" t="s">
        <v>16392</v>
      </c>
      <c r="D2842" s="2200" t="str">
        <f t="shared" si="176"/>
        <v>TX</v>
      </c>
      <c r="E2842" s="2200">
        <f t="shared" si="177"/>
        <v>13</v>
      </c>
      <c r="F2842" s="2200" t="str">
        <f t="shared" si="178"/>
        <v>48</v>
      </c>
      <c r="G2842" s="2200" t="str">
        <f t="shared" si="179"/>
        <v>19792</v>
      </c>
      <c r="H2842" s="2200">
        <f>--SUBTOTAL(3,C$2:C2842)</f>
        <v>99</v>
      </c>
    </row>
    <row r="2843" spans="1:8" hidden="1" x14ac:dyDescent="0.15">
      <c r="A2843" s="2200" t="s">
        <v>10723</v>
      </c>
      <c r="B2843" s="2200" t="s">
        <v>16393</v>
      </c>
      <c r="C2843" s="2200" t="s">
        <v>16394</v>
      </c>
      <c r="D2843" s="2200" t="str">
        <f t="shared" si="176"/>
        <v>TX</v>
      </c>
      <c r="E2843" s="2200">
        <f t="shared" si="177"/>
        <v>13</v>
      </c>
      <c r="F2843" s="2200" t="str">
        <f t="shared" si="178"/>
        <v>48</v>
      </c>
      <c r="G2843" s="2200" t="str">
        <f t="shared" si="179"/>
        <v>19900</v>
      </c>
      <c r="H2843" s="2200">
        <f>--SUBTOTAL(3,C$2:C2843)</f>
        <v>99</v>
      </c>
    </row>
    <row r="2844" spans="1:8" hidden="1" x14ac:dyDescent="0.15">
      <c r="A2844" s="2200" t="s">
        <v>10723</v>
      </c>
      <c r="B2844" s="2200" t="s">
        <v>16395</v>
      </c>
      <c r="C2844" s="2200" t="s">
        <v>16396</v>
      </c>
      <c r="D2844" s="2200" t="str">
        <f t="shared" si="176"/>
        <v>TX</v>
      </c>
      <c r="E2844" s="2200">
        <f t="shared" si="177"/>
        <v>12</v>
      </c>
      <c r="F2844" s="2200" t="str">
        <f t="shared" si="178"/>
        <v>48</v>
      </c>
      <c r="G2844" s="2200" t="str">
        <f t="shared" si="179"/>
        <v>19972</v>
      </c>
      <c r="H2844" s="2200">
        <f>--SUBTOTAL(3,C$2:C2844)</f>
        <v>99</v>
      </c>
    </row>
    <row r="2845" spans="1:8" hidden="1" x14ac:dyDescent="0.15">
      <c r="A2845" s="2200" t="s">
        <v>10723</v>
      </c>
      <c r="B2845" s="2200" t="s">
        <v>16397</v>
      </c>
      <c r="C2845" s="2200" t="s">
        <v>16398</v>
      </c>
      <c r="D2845" s="2200" t="str">
        <f t="shared" si="176"/>
        <v>TX</v>
      </c>
      <c r="E2845" s="2200">
        <f t="shared" si="177"/>
        <v>12</v>
      </c>
      <c r="F2845" s="2200" t="str">
        <f t="shared" si="178"/>
        <v>48</v>
      </c>
      <c r="G2845" s="2200" t="str">
        <f t="shared" si="179"/>
        <v>20092</v>
      </c>
      <c r="H2845" s="2200">
        <f>--SUBTOTAL(3,C$2:C2845)</f>
        <v>99</v>
      </c>
    </row>
    <row r="2846" spans="1:8" hidden="1" x14ac:dyDescent="0.15">
      <c r="A2846" s="2200" t="s">
        <v>10723</v>
      </c>
      <c r="B2846" s="2200" t="s">
        <v>16399</v>
      </c>
      <c r="C2846" s="2200" t="s">
        <v>16400</v>
      </c>
      <c r="D2846" s="2200" t="str">
        <f t="shared" si="176"/>
        <v>TX</v>
      </c>
      <c r="E2846" s="2200">
        <f t="shared" si="177"/>
        <v>17</v>
      </c>
      <c r="F2846" s="2200" t="str">
        <f t="shared" si="178"/>
        <v>48</v>
      </c>
      <c r="G2846" s="2200" t="str">
        <f t="shared" si="179"/>
        <v>21628</v>
      </c>
      <c r="H2846" s="2200">
        <f>--SUBTOTAL(3,C$2:C2846)</f>
        <v>99</v>
      </c>
    </row>
    <row r="2847" spans="1:8" hidden="1" x14ac:dyDescent="0.15">
      <c r="A2847" s="2200" t="s">
        <v>10723</v>
      </c>
      <c r="B2847" s="2200" t="s">
        <v>16401</v>
      </c>
      <c r="C2847" s="2200" t="s">
        <v>16402</v>
      </c>
      <c r="D2847" s="2200" t="str">
        <f t="shared" si="176"/>
        <v>TX</v>
      </c>
      <c r="E2847" s="2200">
        <f t="shared" si="177"/>
        <v>16</v>
      </c>
      <c r="F2847" s="2200" t="str">
        <f t="shared" si="178"/>
        <v>48</v>
      </c>
      <c r="G2847" s="2200" t="str">
        <f t="shared" si="179"/>
        <v>21892</v>
      </c>
      <c r="H2847" s="2200">
        <f>--SUBTOTAL(3,C$2:C2847)</f>
        <v>99</v>
      </c>
    </row>
    <row r="2848" spans="1:8" hidden="1" x14ac:dyDescent="0.15">
      <c r="A2848" s="2200" t="s">
        <v>10723</v>
      </c>
      <c r="B2848" s="2200" t="s">
        <v>16403</v>
      </c>
      <c r="C2848" s="2200" t="s">
        <v>16404</v>
      </c>
      <c r="D2848" s="2200" t="str">
        <f t="shared" si="176"/>
        <v>TX</v>
      </c>
      <c r="E2848" s="2200">
        <f t="shared" si="177"/>
        <v>14</v>
      </c>
      <c r="F2848" s="2200" t="str">
        <f t="shared" si="178"/>
        <v>48</v>
      </c>
      <c r="G2848" s="2200" t="str">
        <f t="shared" si="179"/>
        <v>22660</v>
      </c>
      <c r="H2848" s="2200">
        <f>--SUBTOTAL(3,C$2:C2848)</f>
        <v>99</v>
      </c>
    </row>
    <row r="2849" spans="1:8" hidden="1" x14ac:dyDescent="0.15">
      <c r="A2849" s="2200" t="s">
        <v>10723</v>
      </c>
      <c r="B2849" s="2200" t="s">
        <v>16405</v>
      </c>
      <c r="C2849" s="2200" t="s">
        <v>16406</v>
      </c>
      <c r="D2849" s="2200" t="str">
        <f t="shared" si="176"/>
        <v>TX</v>
      </c>
      <c r="E2849" s="2200">
        <f t="shared" si="177"/>
        <v>13</v>
      </c>
      <c r="F2849" s="2200" t="str">
        <f t="shared" si="178"/>
        <v>48</v>
      </c>
      <c r="G2849" s="2200" t="str">
        <f t="shared" si="179"/>
        <v>24000</v>
      </c>
      <c r="H2849" s="2200">
        <f>--SUBTOTAL(3,C$2:C2849)</f>
        <v>99</v>
      </c>
    </row>
    <row r="2850" spans="1:8" hidden="1" x14ac:dyDescent="0.15">
      <c r="A2850" s="2200" t="s">
        <v>10723</v>
      </c>
      <c r="B2850" s="2200" t="s">
        <v>16407</v>
      </c>
      <c r="C2850" s="2200" t="s">
        <v>16408</v>
      </c>
      <c r="D2850" s="2200" t="str">
        <f t="shared" si="176"/>
        <v>TX</v>
      </c>
      <c r="E2850" s="2200">
        <f t="shared" si="177"/>
        <v>12</v>
      </c>
      <c r="F2850" s="2200" t="str">
        <f t="shared" si="178"/>
        <v>48</v>
      </c>
      <c r="G2850" s="2200" t="str">
        <f t="shared" si="179"/>
        <v>24768</v>
      </c>
      <c r="H2850" s="2200">
        <f>--SUBTOTAL(3,C$2:C2850)</f>
        <v>99</v>
      </c>
    </row>
    <row r="2851" spans="1:8" hidden="1" x14ac:dyDescent="0.15">
      <c r="A2851" s="2200" t="s">
        <v>10723</v>
      </c>
      <c r="B2851" s="2200" t="s">
        <v>16409</v>
      </c>
      <c r="C2851" s="2200" t="s">
        <v>16410</v>
      </c>
      <c r="D2851" s="2200" t="str">
        <f t="shared" si="176"/>
        <v>TX</v>
      </c>
      <c r="E2851" s="2200">
        <f t="shared" si="177"/>
        <v>20</v>
      </c>
      <c r="F2851" s="2200" t="str">
        <f t="shared" si="178"/>
        <v>48</v>
      </c>
      <c r="G2851" s="2200" t="str">
        <f t="shared" si="179"/>
        <v>25452</v>
      </c>
      <c r="H2851" s="2200">
        <f>--SUBTOTAL(3,C$2:C2851)</f>
        <v>99</v>
      </c>
    </row>
    <row r="2852" spans="1:8" hidden="1" x14ac:dyDescent="0.15">
      <c r="A2852" s="2200" t="s">
        <v>10723</v>
      </c>
      <c r="B2852" s="2200" t="s">
        <v>16411</v>
      </c>
      <c r="C2852" s="2200" t="s">
        <v>16412</v>
      </c>
      <c r="D2852" s="2200" t="str">
        <f t="shared" si="176"/>
        <v>TX</v>
      </c>
      <c r="E2852" s="2200">
        <f t="shared" si="177"/>
        <v>18</v>
      </c>
      <c r="F2852" s="2200" t="str">
        <f t="shared" si="178"/>
        <v>48</v>
      </c>
      <c r="G2852" s="2200" t="str">
        <f t="shared" si="179"/>
        <v>26232</v>
      </c>
      <c r="H2852" s="2200">
        <f>--SUBTOTAL(3,C$2:C2852)</f>
        <v>99</v>
      </c>
    </row>
    <row r="2853" spans="1:8" hidden="1" x14ac:dyDescent="0.15">
      <c r="A2853" s="2200" t="s">
        <v>10723</v>
      </c>
      <c r="B2853" s="2200" t="s">
        <v>16413</v>
      </c>
      <c r="C2853" s="2200" t="s">
        <v>16414</v>
      </c>
      <c r="D2853" s="2200" t="str">
        <f t="shared" si="176"/>
        <v>TX</v>
      </c>
      <c r="E2853" s="2200">
        <f t="shared" si="177"/>
        <v>16</v>
      </c>
      <c r="F2853" s="2200" t="str">
        <f t="shared" si="178"/>
        <v>48</v>
      </c>
      <c r="G2853" s="2200" t="str">
        <f t="shared" si="179"/>
        <v>27000</v>
      </c>
      <c r="H2853" s="2200">
        <f>--SUBTOTAL(3,C$2:C2853)</f>
        <v>99</v>
      </c>
    </row>
    <row r="2854" spans="1:8" hidden="1" x14ac:dyDescent="0.15">
      <c r="A2854" s="2200" t="s">
        <v>10723</v>
      </c>
      <c r="B2854" s="2200" t="s">
        <v>16415</v>
      </c>
      <c r="C2854" s="2200" t="s">
        <v>16416</v>
      </c>
      <c r="D2854" s="2200" t="str">
        <f t="shared" si="176"/>
        <v>TX</v>
      </c>
      <c r="E2854" s="2200">
        <f t="shared" si="177"/>
        <v>17</v>
      </c>
      <c r="F2854" s="2200" t="str">
        <f t="shared" si="178"/>
        <v>48</v>
      </c>
      <c r="G2854" s="2200" t="str">
        <f t="shared" si="179"/>
        <v>27648</v>
      </c>
      <c r="H2854" s="2200">
        <f>--SUBTOTAL(3,C$2:C2854)</f>
        <v>99</v>
      </c>
    </row>
    <row r="2855" spans="1:8" hidden="1" x14ac:dyDescent="0.15">
      <c r="A2855" s="2200" t="s">
        <v>10723</v>
      </c>
      <c r="B2855" s="2200" t="s">
        <v>16417</v>
      </c>
      <c r="C2855" s="2200" t="s">
        <v>16418</v>
      </c>
      <c r="D2855" s="2200" t="str">
        <f t="shared" si="176"/>
        <v>TX</v>
      </c>
      <c r="E2855" s="2200">
        <f t="shared" si="177"/>
        <v>12</v>
      </c>
      <c r="F2855" s="2200" t="str">
        <f t="shared" si="178"/>
        <v>48</v>
      </c>
      <c r="G2855" s="2200" t="str">
        <f t="shared" si="179"/>
        <v>27684</v>
      </c>
      <c r="H2855" s="2200">
        <f>--SUBTOTAL(3,C$2:C2855)</f>
        <v>99</v>
      </c>
    </row>
    <row r="2856" spans="1:8" hidden="1" x14ac:dyDescent="0.15">
      <c r="A2856" s="2200" t="s">
        <v>10723</v>
      </c>
      <c r="B2856" s="2200" t="s">
        <v>16419</v>
      </c>
      <c r="C2856" s="2200" t="s">
        <v>16420</v>
      </c>
      <c r="D2856" s="2200" t="str">
        <f t="shared" si="176"/>
        <v>TX</v>
      </c>
      <c r="E2856" s="2200">
        <f t="shared" si="177"/>
        <v>15</v>
      </c>
      <c r="F2856" s="2200" t="str">
        <f t="shared" si="178"/>
        <v>48</v>
      </c>
      <c r="G2856" s="2200" t="str">
        <f t="shared" si="179"/>
        <v>28068</v>
      </c>
      <c r="H2856" s="2200">
        <f>--SUBTOTAL(3,C$2:C2856)</f>
        <v>99</v>
      </c>
    </row>
    <row r="2857" spans="1:8" hidden="1" x14ac:dyDescent="0.15">
      <c r="A2857" s="2200" t="s">
        <v>10723</v>
      </c>
      <c r="B2857" s="2200" t="s">
        <v>16421</v>
      </c>
      <c r="C2857" s="2200" t="s">
        <v>16422</v>
      </c>
      <c r="D2857" s="2200" t="str">
        <f t="shared" si="176"/>
        <v>TX</v>
      </c>
      <c r="E2857" s="2200">
        <f t="shared" si="177"/>
        <v>13</v>
      </c>
      <c r="F2857" s="2200" t="str">
        <f t="shared" si="178"/>
        <v>48</v>
      </c>
      <c r="G2857" s="2200" t="str">
        <f t="shared" si="179"/>
        <v>29000</v>
      </c>
      <c r="H2857" s="2200">
        <f>--SUBTOTAL(3,C$2:C2857)</f>
        <v>99</v>
      </c>
    </row>
    <row r="2858" spans="1:8" hidden="1" x14ac:dyDescent="0.15">
      <c r="A2858" s="2200" t="s">
        <v>10723</v>
      </c>
      <c r="B2858" s="2200" t="s">
        <v>16423</v>
      </c>
      <c r="C2858" s="2200" t="s">
        <v>16424</v>
      </c>
      <c r="D2858" s="2200" t="str">
        <f t="shared" si="176"/>
        <v>TX</v>
      </c>
      <c r="E2858" s="2200">
        <f t="shared" si="177"/>
        <v>16</v>
      </c>
      <c r="F2858" s="2200" t="str">
        <f t="shared" si="178"/>
        <v>48</v>
      </c>
      <c r="G2858" s="2200" t="str">
        <f t="shared" si="179"/>
        <v>29336</v>
      </c>
      <c r="H2858" s="2200">
        <f>--SUBTOTAL(3,C$2:C2858)</f>
        <v>99</v>
      </c>
    </row>
    <row r="2859" spans="1:8" hidden="1" x14ac:dyDescent="0.15">
      <c r="A2859" s="2200" t="s">
        <v>10723</v>
      </c>
      <c r="B2859" s="2200" t="s">
        <v>16425</v>
      </c>
      <c r="C2859" s="2200" t="s">
        <v>16426</v>
      </c>
      <c r="D2859" s="2200" t="str">
        <f t="shared" si="176"/>
        <v>TX</v>
      </c>
      <c r="E2859" s="2200">
        <f t="shared" si="177"/>
        <v>19</v>
      </c>
      <c r="F2859" s="2200" t="str">
        <f t="shared" si="178"/>
        <v>48</v>
      </c>
      <c r="G2859" s="2200" t="str">
        <f t="shared" si="179"/>
        <v>30464</v>
      </c>
      <c r="H2859" s="2200">
        <f>--SUBTOTAL(3,C$2:C2859)</f>
        <v>99</v>
      </c>
    </row>
    <row r="2860" spans="1:8" hidden="1" x14ac:dyDescent="0.15">
      <c r="A2860" s="2200" t="s">
        <v>10723</v>
      </c>
      <c r="B2860" s="2200" t="s">
        <v>16427</v>
      </c>
      <c r="C2860" s="2200" t="s">
        <v>16428</v>
      </c>
      <c r="D2860" s="2200" t="str">
        <f t="shared" si="176"/>
        <v>TX</v>
      </c>
      <c r="E2860" s="2200">
        <f t="shared" si="177"/>
        <v>15</v>
      </c>
      <c r="F2860" s="2200" t="str">
        <f t="shared" si="178"/>
        <v>48</v>
      </c>
      <c r="G2860" s="2200" t="str">
        <f t="shared" si="179"/>
        <v>30644</v>
      </c>
      <c r="H2860" s="2200">
        <f>--SUBTOTAL(3,C$2:C2860)</f>
        <v>99</v>
      </c>
    </row>
    <row r="2861" spans="1:8" hidden="1" x14ac:dyDescent="0.15">
      <c r="A2861" s="2200" t="s">
        <v>10723</v>
      </c>
      <c r="B2861" s="2200" t="s">
        <v>16429</v>
      </c>
      <c r="C2861" s="2200" t="s">
        <v>16430</v>
      </c>
      <c r="D2861" s="2200" t="str">
        <f t="shared" si="176"/>
        <v>TX</v>
      </c>
      <c r="E2861" s="2200">
        <f t="shared" si="177"/>
        <v>16</v>
      </c>
      <c r="F2861" s="2200" t="str">
        <f t="shared" si="178"/>
        <v>48</v>
      </c>
      <c r="G2861" s="2200" t="str">
        <f t="shared" si="179"/>
        <v>30920</v>
      </c>
      <c r="H2861" s="2200">
        <f>--SUBTOTAL(3,C$2:C2861)</f>
        <v>99</v>
      </c>
    </row>
    <row r="2862" spans="1:8" hidden="1" x14ac:dyDescent="0.15">
      <c r="A2862" s="2200" t="s">
        <v>10723</v>
      </c>
      <c r="B2862" s="2200" t="s">
        <v>16431</v>
      </c>
      <c r="C2862" s="2200" t="s">
        <v>16432</v>
      </c>
      <c r="D2862" s="2200" t="str">
        <f t="shared" si="176"/>
        <v>TX</v>
      </c>
      <c r="E2862" s="2200">
        <f t="shared" si="177"/>
        <v>17</v>
      </c>
      <c r="F2862" s="2200" t="str">
        <f t="shared" si="178"/>
        <v>48</v>
      </c>
      <c r="G2862" s="2200" t="str">
        <f t="shared" si="179"/>
        <v>31928</v>
      </c>
      <c r="H2862" s="2200">
        <f>--SUBTOTAL(3,C$2:C2862)</f>
        <v>99</v>
      </c>
    </row>
    <row r="2863" spans="1:8" hidden="1" x14ac:dyDescent="0.15">
      <c r="A2863" s="2200" t="s">
        <v>10723</v>
      </c>
      <c r="B2863" s="2200" t="s">
        <v>16433</v>
      </c>
      <c r="C2863" s="2200" t="s">
        <v>16434</v>
      </c>
      <c r="D2863" s="2200" t="str">
        <f t="shared" si="176"/>
        <v>TX</v>
      </c>
      <c r="E2863" s="2200">
        <f t="shared" si="177"/>
        <v>20</v>
      </c>
      <c r="F2863" s="2200" t="str">
        <f t="shared" si="178"/>
        <v>48</v>
      </c>
      <c r="G2863" s="2200" t="str">
        <f t="shared" si="179"/>
        <v>32312</v>
      </c>
      <c r="H2863" s="2200">
        <f>--SUBTOTAL(3,C$2:C2863)</f>
        <v>99</v>
      </c>
    </row>
    <row r="2864" spans="1:8" hidden="1" x14ac:dyDescent="0.15">
      <c r="A2864" s="2200" t="s">
        <v>10723</v>
      </c>
      <c r="B2864" s="2200" t="s">
        <v>16435</v>
      </c>
      <c r="C2864" s="2200" t="s">
        <v>16436</v>
      </c>
      <c r="D2864" s="2200" t="str">
        <f t="shared" si="176"/>
        <v>TX</v>
      </c>
      <c r="E2864" s="2200">
        <f t="shared" si="177"/>
        <v>15</v>
      </c>
      <c r="F2864" s="2200" t="str">
        <f t="shared" si="178"/>
        <v>48</v>
      </c>
      <c r="G2864" s="2200" t="str">
        <f t="shared" si="179"/>
        <v>32372</v>
      </c>
      <c r="H2864" s="2200">
        <f>--SUBTOTAL(3,C$2:C2864)</f>
        <v>99</v>
      </c>
    </row>
    <row r="2865" spans="1:8" hidden="1" x14ac:dyDescent="0.15">
      <c r="A2865" s="2200" t="s">
        <v>10723</v>
      </c>
      <c r="B2865" s="2200" t="s">
        <v>16437</v>
      </c>
      <c r="C2865" s="2200" t="s">
        <v>16438</v>
      </c>
      <c r="D2865" s="2200" t="str">
        <f t="shared" si="176"/>
        <v>TX</v>
      </c>
      <c r="E2865" s="2200">
        <f t="shared" si="177"/>
        <v>13</v>
      </c>
      <c r="F2865" s="2200" t="str">
        <f t="shared" si="178"/>
        <v>48</v>
      </c>
      <c r="G2865" s="2200" t="str">
        <f t="shared" si="179"/>
        <v>35000</v>
      </c>
      <c r="H2865" s="2200">
        <f>--SUBTOTAL(3,C$2:C2865)</f>
        <v>99</v>
      </c>
    </row>
    <row r="2866" spans="1:8" hidden="1" x14ac:dyDescent="0.15">
      <c r="A2866" s="2200" t="s">
        <v>10723</v>
      </c>
      <c r="B2866" s="2200" t="s">
        <v>16439</v>
      </c>
      <c r="C2866" s="2200" t="s">
        <v>16440</v>
      </c>
      <c r="D2866" s="2200" t="str">
        <f t="shared" si="176"/>
        <v>TX</v>
      </c>
      <c r="E2866" s="2200">
        <f t="shared" si="177"/>
        <v>16</v>
      </c>
      <c r="F2866" s="2200" t="str">
        <f t="shared" si="178"/>
        <v>48</v>
      </c>
      <c r="G2866" s="2200" t="str">
        <f t="shared" si="179"/>
        <v>35528</v>
      </c>
      <c r="H2866" s="2200">
        <f>--SUBTOTAL(3,C$2:C2866)</f>
        <v>99</v>
      </c>
    </row>
    <row r="2867" spans="1:8" hidden="1" x14ac:dyDescent="0.15">
      <c r="A2867" s="2200" t="s">
        <v>10723</v>
      </c>
      <c r="B2867" s="2200" t="s">
        <v>16441</v>
      </c>
      <c r="C2867" s="2200" t="s">
        <v>16442</v>
      </c>
      <c r="D2867" s="2200" t="str">
        <f t="shared" si="176"/>
        <v>TX</v>
      </c>
      <c r="E2867" s="2200">
        <f t="shared" si="177"/>
        <v>11</v>
      </c>
      <c r="F2867" s="2200" t="str">
        <f t="shared" si="178"/>
        <v>48</v>
      </c>
      <c r="G2867" s="2200" t="str">
        <f t="shared" si="179"/>
        <v>35576</v>
      </c>
      <c r="H2867" s="2200">
        <f>--SUBTOTAL(3,C$2:C2867)</f>
        <v>99</v>
      </c>
    </row>
    <row r="2868" spans="1:8" hidden="1" x14ac:dyDescent="0.15">
      <c r="A2868" s="2200" t="s">
        <v>10723</v>
      </c>
      <c r="B2868" s="2200" t="s">
        <v>16443</v>
      </c>
      <c r="C2868" s="2200" t="s">
        <v>16444</v>
      </c>
      <c r="D2868" s="2200" t="str">
        <f t="shared" si="176"/>
        <v>TX</v>
      </c>
      <c r="E2868" s="2200">
        <f t="shared" si="177"/>
        <v>11</v>
      </c>
      <c r="F2868" s="2200" t="str">
        <f t="shared" si="178"/>
        <v>48</v>
      </c>
      <c r="G2868" s="2200" t="str">
        <f t="shared" si="179"/>
        <v>35624</v>
      </c>
      <c r="H2868" s="2200">
        <f>--SUBTOTAL(3,C$2:C2868)</f>
        <v>99</v>
      </c>
    </row>
    <row r="2869" spans="1:8" hidden="1" x14ac:dyDescent="0.15">
      <c r="A2869" s="2200" t="s">
        <v>10723</v>
      </c>
      <c r="B2869" s="2200" t="s">
        <v>16445</v>
      </c>
      <c r="C2869" s="2200" t="s">
        <v>16446</v>
      </c>
      <c r="D2869" s="2200" t="str">
        <f t="shared" si="176"/>
        <v>TX</v>
      </c>
      <c r="E2869" s="2200">
        <f t="shared" si="177"/>
        <v>12</v>
      </c>
      <c r="F2869" s="2200" t="str">
        <f t="shared" si="178"/>
        <v>48</v>
      </c>
      <c r="G2869" s="2200" t="str">
        <f t="shared" si="179"/>
        <v>37000</v>
      </c>
      <c r="H2869" s="2200">
        <f>--SUBTOTAL(3,C$2:C2869)</f>
        <v>99</v>
      </c>
    </row>
    <row r="2870" spans="1:8" hidden="1" x14ac:dyDescent="0.15">
      <c r="A2870" s="2200" t="s">
        <v>10723</v>
      </c>
      <c r="B2870" s="2200" t="s">
        <v>16447</v>
      </c>
      <c r="C2870" s="2200" t="s">
        <v>16448</v>
      </c>
      <c r="D2870" s="2200" t="str">
        <f t="shared" si="176"/>
        <v>TX</v>
      </c>
      <c r="E2870" s="2200">
        <f t="shared" si="177"/>
        <v>12</v>
      </c>
      <c r="F2870" s="2200" t="str">
        <f t="shared" si="178"/>
        <v>48</v>
      </c>
      <c r="G2870" s="2200" t="str">
        <f t="shared" si="179"/>
        <v>38632</v>
      </c>
      <c r="H2870" s="2200">
        <f>--SUBTOTAL(3,C$2:C2870)</f>
        <v>99</v>
      </c>
    </row>
    <row r="2871" spans="1:8" hidden="1" x14ac:dyDescent="0.15">
      <c r="A2871" s="2200" t="s">
        <v>10723</v>
      </c>
      <c r="B2871" s="2200" t="s">
        <v>16449</v>
      </c>
      <c r="C2871" s="2200" t="s">
        <v>16450</v>
      </c>
      <c r="D2871" s="2200" t="str">
        <f t="shared" si="176"/>
        <v>TX</v>
      </c>
      <c r="E2871" s="2200">
        <f t="shared" si="177"/>
        <v>13</v>
      </c>
      <c r="F2871" s="2200" t="str">
        <f t="shared" si="178"/>
        <v>48</v>
      </c>
      <c r="G2871" s="2200" t="str">
        <f t="shared" si="179"/>
        <v>39148</v>
      </c>
      <c r="H2871" s="2200">
        <f>--SUBTOTAL(3,C$2:C2871)</f>
        <v>99</v>
      </c>
    </row>
    <row r="2872" spans="1:8" hidden="1" x14ac:dyDescent="0.15">
      <c r="A2872" s="2200" t="s">
        <v>10723</v>
      </c>
      <c r="B2872" s="2200" t="s">
        <v>16451</v>
      </c>
      <c r="C2872" s="2200" t="s">
        <v>16452</v>
      </c>
      <c r="D2872" s="2200" t="str">
        <f t="shared" si="176"/>
        <v>TX</v>
      </c>
      <c r="E2872" s="2200">
        <f t="shared" si="177"/>
        <v>16</v>
      </c>
      <c r="F2872" s="2200" t="str">
        <f t="shared" si="178"/>
        <v>48</v>
      </c>
      <c r="G2872" s="2200" t="str">
        <f t="shared" si="179"/>
        <v>39352</v>
      </c>
      <c r="H2872" s="2200">
        <f>--SUBTOTAL(3,C$2:C2872)</f>
        <v>99</v>
      </c>
    </row>
    <row r="2873" spans="1:8" hidden="1" x14ac:dyDescent="0.15">
      <c r="A2873" s="2200" t="s">
        <v>10723</v>
      </c>
      <c r="B2873" s="2200" t="s">
        <v>16453</v>
      </c>
      <c r="C2873" s="2200" t="s">
        <v>16454</v>
      </c>
      <c r="D2873" s="2200" t="str">
        <f t="shared" si="176"/>
        <v>TX</v>
      </c>
      <c r="E2873" s="2200">
        <f t="shared" si="177"/>
        <v>10</v>
      </c>
      <c r="F2873" s="2200" t="str">
        <f t="shared" si="178"/>
        <v>48</v>
      </c>
      <c r="G2873" s="2200" t="str">
        <f t="shared" si="179"/>
        <v>39952</v>
      </c>
      <c r="H2873" s="2200">
        <f>--SUBTOTAL(3,C$2:C2873)</f>
        <v>99</v>
      </c>
    </row>
    <row r="2874" spans="1:8" hidden="1" x14ac:dyDescent="0.15">
      <c r="A2874" s="2200" t="s">
        <v>10723</v>
      </c>
      <c r="B2874" s="2200" t="s">
        <v>16455</v>
      </c>
      <c r="C2874" s="2200" t="s">
        <v>16456</v>
      </c>
      <c r="D2874" s="2200" t="str">
        <f t="shared" si="176"/>
        <v>TX</v>
      </c>
      <c r="E2874" s="2200">
        <f t="shared" si="177"/>
        <v>14</v>
      </c>
      <c r="F2874" s="2200" t="str">
        <f t="shared" si="178"/>
        <v>48</v>
      </c>
      <c r="G2874" s="2200" t="str">
        <f t="shared" si="179"/>
        <v>41440</v>
      </c>
      <c r="H2874" s="2200">
        <f>--SUBTOTAL(3,C$2:C2874)</f>
        <v>99</v>
      </c>
    </row>
    <row r="2875" spans="1:8" hidden="1" x14ac:dyDescent="0.15">
      <c r="A2875" s="2200" t="s">
        <v>10723</v>
      </c>
      <c r="B2875" s="2200" t="s">
        <v>16457</v>
      </c>
      <c r="C2875" s="2200" t="s">
        <v>16458</v>
      </c>
      <c r="D2875" s="2200" t="str">
        <f t="shared" si="176"/>
        <v>TX</v>
      </c>
      <c r="E2875" s="2200">
        <f t="shared" si="177"/>
        <v>18</v>
      </c>
      <c r="F2875" s="2200" t="str">
        <f t="shared" si="178"/>
        <v>48</v>
      </c>
      <c r="G2875" s="2200" t="str">
        <f t="shared" si="179"/>
        <v>40588</v>
      </c>
      <c r="H2875" s="2200">
        <f>--SUBTOTAL(3,C$2:C2875)</f>
        <v>99</v>
      </c>
    </row>
    <row r="2876" spans="1:8" hidden="1" x14ac:dyDescent="0.15">
      <c r="A2876" s="2200" t="s">
        <v>10723</v>
      </c>
      <c r="B2876" s="2200" t="s">
        <v>16459</v>
      </c>
      <c r="C2876" s="2200" t="s">
        <v>16460</v>
      </c>
      <c r="D2876" s="2200" t="str">
        <f t="shared" si="176"/>
        <v>TX</v>
      </c>
      <c r="E2876" s="2200">
        <f t="shared" si="177"/>
        <v>15</v>
      </c>
      <c r="F2876" s="2200" t="str">
        <f t="shared" si="178"/>
        <v>48</v>
      </c>
      <c r="G2876" s="2200" t="str">
        <f t="shared" si="179"/>
        <v>41212</v>
      </c>
      <c r="H2876" s="2200">
        <f>--SUBTOTAL(3,C$2:C2876)</f>
        <v>99</v>
      </c>
    </row>
    <row r="2877" spans="1:8" hidden="1" x14ac:dyDescent="0.15">
      <c r="A2877" s="2200" t="s">
        <v>10723</v>
      </c>
      <c r="B2877" s="2200" t="s">
        <v>16461</v>
      </c>
      <c r="C2877" s="2200" t="s">
        <v>16462</v>
      </c>
      <c r="D2877" s="2200" t="str">
        <f t="shared" si="176"/>
        <v>TX</v>
      </c>
      <c r="E2877" s="2200">
        <f t="shared" si="177"/>
        <v>12</v>
      </c>
      <c r="F2877" s="2200" t="str">
        <f t="shared" si="178"/>
        <v>48</v>
      </c>
      <c r="G2877" s="2200" t="str">
        <f t="shared" si="179"/>
        <v>41464</v>
      </c>
      <c r="H2877" s="2200">
        <f>--SUBTOTAL(3,C$2:C2877)</f>
        <v>99</v>
      </c>
    </row>
    <row r="2878" spans="1:8" hidden="1" x14ac:dyDescent="0.15">
      <c r="A2878" s="2200" t="s">
        <v>10723</v>
      </c>
      <c r="B2878" s="2200" t="s">
        <v>16463</v>
      </c>
      <c r="C2878" s="2200" t="s">
        <v>16464</v>
      </c>
      <c r="D2878" s="2200" t="str">
        <f t="shared" si="176"/>
        <v>TX</v>
      </c>
      <c r="E2878" s="2200">
        <f t="shared" si="177"/>
        <v>17</v>
      </c>
      <c r="F2878" s="2200" t="str">
        <f t="shared" si="178"/>
        <v>48</v>
      </c>
      <c r="G2878" s="2200" t="str">
        <f t="shared" si="179"/>
        <v>41980</v>
      </c>
      <c r="H2878" s="2200">
        <f>--SUBTOTAL(3,C$2:C2878)</f>
        <v>99</v>
      </c>
    </row>
    <row r="2879" spans="1:8" hidden="1" x14ac:dyDescent="0.15">
      <c r="A2879" s="2200" t="s">
        <v>10723</v>
      </c>
      <c r="B2879" s="2200" t="s">
        <v>16465</v>
      </c>
      <c r="C2879" s="2200" t="s">
        <v>16466</v>
      </c>
      <c r="D2879" s="2200" t="str">
        <f t="shared" si="176"/>
        <v>TX</v>
      </c>
      <c r="E2879" s="2200">
        <f t="shared" si="177"/>
        <v>13</v>
      </c>
      <c r="F2879" s="2200" t="str">
        <f t="shared" si="178"/>
        <v>48</v>
      </c>
      <c r="G2879" s="2200" t="str">
        <f t="shared" si="179"/>
        <v>42016</v>
      </c>
      <c r="H2879" s="2200">
        <f>--SUBTOTAL(3,C$2:C2879)</f>
        <v>99</v>
      </c>
    </row>
    <row r="2880" spans="1:8" hidden="1" x14ac:dyDescent="0.15">
      <c r="A2880" s="2200" t="s">
        <v>10723</v>
      </c>
      <c r="B2880" s="2200" t="s">
        <v>16467</v>
      </c>
      <c r="C2880" s="2200" t="s">
        <v>16468</v>
      </c>
      <c r="D2880" s="2200" t="str">
        <f t="shared" si="176"/>
        <v>TX</v>
      </c>
      <c r="E2880" s="2200">
        <f t="shared" si="177"/>
        <v>16</v>
      </c>
      <c r="F2880" s="2200" t="str">
        <f t="shared" si="178"/>
        <v>48</v>
      </c>
      <c r="G2880" s="2200" t="str">
        <f t="shared" si="179"/>
        <v>42508</v>
      </c>
      <c r="H2880" s="2200">
        <f>--SUBTOTAL(3,C$2:C2880)</f>
        <v>99</v>
      </c>
    </row>
    <row r="2881" spans="1:8" hidden="1" x14ac:dyDescent="0.15">
      <c r="A2881" s="2200" t="s">
        <v>10723</v>
      </c>
      <c r="B2881" s="2200" t="s">
        <v>16469</v>
      </c>
      <c r="C2881" s="2200" t="s">
        <v>16470</v>
      </c>
      <c r="D2881" s="2200" t="str">
        <f t="shared" si="176"/>
        <v>TX</v>
      </c>
      <c r="E2881" s="2200">
        <f t="shared" si="177"/>
        <v>16</v>
      </c>
      <c r="F2881" s="2200" t="str">
        <f t="shared" si="178"/>
        <v>48</v>
      </c>
      <c r="G2881" s="2200" t="str">
        <f t="shared" si="179"/>
        <v>43012</v>
      </c>
      <c r="H2881" s="2200">
        <f>--SUBTOTAL(3,C$2:C2881)</f>
        <v>99</v>
      </c>
    </row>
    <row r="2882" spans="1:8" hidden="1" x14ac:dyDescent="0.15">
      <c r="A2882" s="2200" t="s">
        <v>10723</v>
      </c>
      <c r="B2882" s="2200" t="s">
        <v>16471</v>
      </c>
      <c r="C2882" s="2200" t="s">
        <v>16472</v>
      </c>
      <c r="D2882" s="2200" t="str">
        <f t="shared" ref="D2882:D2945" si="180">MID(C2882,E2882+2,2)</f>
        <v>TX</v>
      </c>
      <c r="E2882" s="2200">
        <f t="shared" ref="E2882:E2945" si="181">FIND(",",C2882)</f>
        <v>14</v>
      </c>
      <c r="F2882" s="2200" t="str">
        <f t="shared" si="178"/>
        <v>48</v>
      </c>
      <c r="G2882" s="2200" t="str">
        <f t="shared" si="179"/>
        <v>43888</v>
      </c>
      <c r="H2882" s="2200">
        <f>--SUBTOTAL(3,C$2:C2882)</f>
        <v>99</v>
      </c>
    </row>
    <row r="2883" spans="1:8" hidden="1" x14ac:dyDescent="0.15">
      <c r="A2883" s="2200" t="s">
        <v>10723</v>
      </c>
      <c r="B2883" s="2200" t="s">
        <v>16473</v>
      </c>
      <c r="C2883" s="2200" t="s">
        <v>16474</v>
      </c>
      <c r="D2883" s="2200" t="str">
        <f t="shared" si="180"/>
        <v>TX</v>
      </c>
      <c r="E2883" s="2200">
        <f t="shared" si="181"/>
        <v>13</v>
      </c>
      <c r="F2883" s="2200" t="str">
        <f t="shared" ref="F2883:F2946" si="182">MID(B2883,3,2)</f>
        <v>48</v>
      </c>
      <c r="G2883" s="2200" t="str">
        <f t="shared" ref="G2883:G2946" si="183">MID(B2883,5,5)</f>
        <v>45000</v>
      </c>
      <c r="H2883" s="2200">
        <f>--SUBTOTAL(3,C$2:C2883)</f>
        <v>99</v>
      </c>
    </row>
    <row r="2884" spans="1:8" hidden="1" x14ac:dyDescent="0.15">
      <c r="A2884" s="2200" t="s">
        <v>10723</v>
      </c>
      <c r="B2884" s="2200" t="s">
        <v>16475</v>
      </c>
      <c r="C2884" s="2200" t="s">
        <v>16476</v>
      </c>
      <c r="D2884" s="2200" t="str">
        <f t="shared" si="180"/>
        <v>TX</v>
      </c>
      <c r="E2884" s="2200">
        <f t="shared" si="181"/>
        <v>12</v>
      </c>
      <c r="F2884" s="2200" t="str">
        <f t="shared" si="182"/>
        <v>48</v>
      </c>
      <c r="G2884" s="2200" t="str">
        <f t="shared" si="183"/>
        <v>45072</v>
      </c>
      <c r="H2884" s="2200">
        <f>--SUBTOTAL(3,C$2:C2884)</f>
        <v>99</v>
      </c>
    </row>
    <row r="2885" spans="1:8" hidden="1" x14ac:dyDescent="0.15">
      <c r="A2885" s="2200" t="s">
        <v>10723</v>
      </c>
      <c r="B2885" s="2200" t="s">
        <v>16477</v>
      </c>
      <c r="C2885" s="2200" t="s">
        <v>16478</v>
      </c>
      <c r="D2885" s="2200" t="str">
        <f t="shared" si="180"/>
        <v>TX</v>
      </c>
      <c r="E2885" s="2200">
        <f t="shared" si="181"/>
        <v>15</v>
      </c>
      <c r="F2885" s="2200" t="str">
        <f t="shared" si="182"/>
        <v>48</v>
      </c>
      <c r="G2885" s="2200" t="str">
        <f t="shared" si="183"/>
        <v>46452</v>
      </c>
      <c r="H2885" s="2200">
        <f>--SUBTOTAL(3,C$2:C2885)</f>
        <v>99</v>
      </c>
    </row>
    <row r="2886" spans="1:8" hidden="1" x14ac:dyDescent="0.15">
      <c r="A2886" s="2200" t="s">
        <v>10723</v>
      </c>
      <c r="B2886" s="2200" t="s">
        <v>16479</v>
      </c>
      <c r="C2886" s="2200" t="s">
        <v>16480</v>
      </c>
      <c r="D2886" s="2200" t="str">
        <f t="shared" si="180"/>
        <v>TX</v>
      </c>
      <c r="E2886" s="2200">
        <f t="shared" si="181"/>
        <v>13</v>
      </c>
      <c r="F2886" s="2200" t="str">
        <f t="shared" si="182"/>
        <v>48</v>
      </c>
      <c r="G2886" s="2200" t="str">
        <f t="shared" si="183"/>
        <v>45384</v>
      </c>
      <c r="H2886" s="2200">
        <f>--SUBTOTAL(3,C$2:C2886)</f>
        <v>99</v>
      </c>
    </row>
    <row r="2887" spans="1:8" hidden="1" x14ac:dyDescent="0.15">
      <c r="A2887" s="2200" t="s">
        <v>10723</v>
      </c>
      <c r="B2887" s="2200" t="s">
        <v>16481</v>
      </c>
      <c r="C2887" s="2200" t="s">
        <v>16482</v>
      </c>
      <c r="D2887" s="2200" t="str">
        <f t="shared" si="180"/>
        <v>TX</v>
      </c>
      <c r="E2887" s="2200">
        <f t="shared" si="181"/>
        <v>14</v>
      </c>
      <c r="F2887" s="2200" t="str">
        <f t="shared" si="182"/>
        <v>48</v>
      </c>
      <c r="G2887" s="2200" t="str">
        <f t="shared" si="183"/>
        <v>45744</v>
      </c>
      <c r="H2887" s="2200">
        <f>--SUBTOTAL(3,C$2:C2887)</f>
        <v>99</v>
      </c>
    </row>
    <row r="2888" spans="1:8" hidden="1" x14ac:dyDescent="0.15">
      <c r="A2888" s="2200" t="s">
        <v>10723</v>
      </c>
      <c r="B2888" s="2200" t="s">
        <v>16483</v>
      </c>
      <c r="C2888" s="2200" t="s">
        <v>16484</v>
      </c>
      <c r="D2888" s="2200" t="str">
        <f t="shared" si="180"/>
        <v>TX</v>
      </c>
      <c r="E2888" s="2200">
        <f t="shared" si="181"/>
        <v>14</v>
      </c>
      <c r="F2888" s="2200" t="str">
        <f t="shared" si="182"/>
        <v>48</v>
      </c>
      <c r="G2888" s="2200" t="str">
        <f t="shared" si="183"/>
        <v>47892</v>
      </c>
      <c r="H2888" s="2200">
        <f>--SUBTOTAL(3,C$2:C2888)</f>
        <v>99</v>
      </c>
    </row>
    <row r="2889" spans="1:8" hidden="1" x14ac:dyDescent="0.15">
      <c r="A2889" s="2200" t="s">
        <v>10723</v>
      </c>
      <c r="B2889" s="2200" t="s">
        <v>16485</v>
      </c>
      <c r="C2889" s="2200" t="s">
        <v>16486</v>
      </c>
      <c r="D2889" s="2200" t="str">
        <f t="shared" si="180"/>
        <v>TX</v>
      </c>
      <c r="E2889" s="2200">
        <f t="shared" si="181"/>
        <v>13</v>
      </c>
      <c r="F2889" s="2200" t="str">
        <f t="shared" si="182"/>
        <v>48</v>
      </c>
      <c r="G2889" s="2200" t="str">
        <f t="shared" si="183"/>
        <v>48072</v>
      </c>
      <c r="H2889" s="2200">
        <f>--SUBTOTAL(3,C$2:C2889)</f>
        <v>99</v>
      </c>
    </row>
    <row r="2890" spans="1:8" hidden="1" x14ac:dyDescent="0.15">
      <c r="A2890" s="2200" t="s">
        <v>10723</v>
      </c>
      <c r="B2890" s="2200" t="s">
        <v>16487</v>
      </c>
      <c r="C2890" s="2200" t="s">
        <v>16488</v>
      </c>
      <c r="D2890" s="2200" t="str">
        <f t="shared" si="180"/>
        <v>TX</v>
      </c>
      <c r="E2890" s="2200">
        <f t="shared" si="181"/>
        <v>16</v>
      </c>
      <c r="F2890" s="2200" t="str">
        <f t="shared" si="182"/>
        <v>48</v>
      </c>
      <c r="G2890" s="2200" t="str">
        <f t="shared" si="183"/>
        <v>48096</v>
      </c>
      <c r="H2890" s="2200">
        <f>--SUBTOTAL(3,C$2:C2890)</f>
        <v>99</v>
      </c>
    </row>
    <row r="2891" spans="1:8" hidden="1" x14ac:dyDescent="0.15">
      <c r="A2891" s="2200" t="s">
        <v>10723</v>
      </c>
      <c r="B2891" s="2200" t="s">
        <v>16489</v>
      </c>
      <c r="C2891" s="2200" t="s">
        <v>16490</v>
      </c>
      <c r="D2891" s="2200" t="str">
        <f t="shared" si="180"/>
        <v>TX</v>
      </c>
      <c r="E2891" s="2200">
        <f t="shared" si="181"/>
        <v>13</v>
      </c>
      <c r="F2891" s="2200" t="str">
        <f t="shared" si="182"/>
        <v>48</v>
      </c>
      <c r="G2891" s="2200" t="str">
        <f t="shared" si="183"/>
        <v>48768</v>
      </c>
      <c r="H2891" s="2200">
        <f>--SUBTOTAL(3,C$2:C2891)</f>
        <v>99</v>
      </c>
    </row>
    <row r="2892" spans="1:8" hidden="1" x14ac:dyDescent="0.15">
      <c r="A2892" s="2200" t="s">
        <v>10723</v>
      </c>
      <c r="B2892" s="2200" t="s">
        <v>16491</v>
      </c>
      <c r="C2892" s="2200" t="s">
        <v>16492</v>
      </c>
      <c r="D2892" s="2200" t="str">
        <f t="shared" si="180"/>
        <v>TX</v>
      </c>
      <c r="E2892" s="2200">
        <f t="shared" si="181"/>
        <v>19</v>
      </c>
      <c r="F2892" s="2200" t="str">
        <f t="shared" si="182"/>
        <v>48</v>
      </c>
      <c r="G2892" s="2200" t="str">
        <f t="shared" si="183"/>
        <v>48804</v>
      </c>
      <c r="H2892" s="2200">
        <f>--SUBTOTAL(3,C$2:C2892)</f>
        <v>99</v>
      </c>
    </row>
    <row r="2893" spans="1:8" hidden="1" x14ac:dyDescent="0.15">
      <c r="A2893" s="2200" t="s">
        <v>10723</v>
      </c>
      <c r="B2893" s="2200" t="s">
        <v>16493</v>
      </c>
      <c r="C2893" s="2200" t="s">
        <v>16494</v>
      </c>
      <c r="D2893" s="2200" t="str">
        <f t="shared" si="180"/>
        <v>TX</v>
      </c>
      <c r="E2893" s="2200">
        <f t="shared" si="181"/>
        <v>17</v>
      </c>
      <c r="F2893" s="2200" t="str">
        <f t="shared" si="182"/>
        <v>48</v>
      </c>
      <c r="G2893" s="2200" t="str">
        <f t="shared" si="183"/>
        <v>50256</v>
      </c>
      <c r="H2893" s="2200">
        <f>--SUBTOTAL(3,C$2:C2893)</f>
        <v>99</v>
      </c>
    </row>
    <row r="2894" spans="1:8" hidden="1" x14ac:dyDescent="0.15">
      <c r="A2894" s="2200" t="s">
        <v>10723</v>
      </c>
      <c r="B2894" s="2200" t="s">
        <v>16495</v>
      </c>
      <c r="C2894" s="2200" t="s">
        <v>16496</v>
      </c>
      <c r="D2894" s="2200" t="str">
        <f t="shared" si="180"/>
        <v>TX</v>
      </c>
      <c r="E2894" s="2200">
        <f t="shared" si="181"/>
        <v>19</v>
      </c>
      <c r="F2894" s="2200" t="str">
        <f t="shared" si="182"/>
        <v>48</v>
      </c>
      <c r="G2894" s="2200" t="str">
        <f t="shared" si="183"/>
        <v>50820</v>
      </c>
      <c r="H2894" s="2200">
        <f>--SUBTOTAL(3,C$2:C2894)</f>
        <v>99</v>
      </c>
    </row>
    <row r="2895" spans="1:8" hidden="1" x14ac:dyDescent="0.15">
      <c r="A2895" s="2200" t="s">
        <v>10723</v>
      </c>
      <c r="B2895" s="2200" t="s">
        <v>16497</v>
      </c>
      <c r="C2895" s="2200" t="s">
        <v>16498</v>
      </c>
      <c r="D2895" s="2200" t="str">
        <f t="shared" si="180"/>
        <v>TX</v>
      </c>
      <c r="E2895" s="2200">
        <f t="shared" si="181"/>
        <v>26</v>
      </c>
      <c r="F2895" s="2200" t="str">
        <f t="shared" si="182"/>
        <v>48</v>
      </c>
      <c r="G2895" s="2200" t="str">
        <f t="shared" si="183"/>
        <v>52356</v>
      </c>
      <c r="H2895" s="2200">
        <f>--SUBTOTAL(3,C$2:C2895)</f>
        <v>99</v>
      </c>
    </row>
    <row r="2896" spans="1:8" hidden="1" x14ac:dyDescent="0.15">
      <c r="A2896" s="2200" t="s">
        <v>10723</v>
      </c>
      <c r="B2896" s="2200" t="s">
        <v>16499</v>
      </c>
      <c r="C2896" s="2200" t="s">
        <v>16500</v>
      </c>
      <c r="D2896" s="2200" t="str">
        <f t="shared" si="180"/>
        <v>TX</v>
      </c>
      <c r="E2896" s="2200">
        <f t="shared" si="181"/>
        <v>12</v>
      </c>
      <c r="F2896" s="2200" t="str">
        <f t="shared" si="182"/>
        <v>48</v>
      </c>
      <c r="G2896" s="2200" t="str">
        <f t="shared" si="183"/>
        <v>53388</v>
      </c>
      <c r="H2896" s="2200">
        <f>--SUBTOTAL(3,C$2:C2896)</f>
        <v>99</v>
      </c>
    </row>
    <row r="2897" spans="1:8" hidden="1" x14ac:dyDescent="0.15">
      <c r="A2897" s="2200" t="s">
        <v>10723</v>
      </c>
      <c r="B2897" s="2200" t="s">
        <v>16501</v>
      </c>
      <c r="C2897" s="2200" t="s">
        <v>16502</v>
      </c>
      <c r="D2897" s="2200" t="str">
        <f t="shared" si="180"/>
        <v>TX</v>
      </c>
      <c r="E2897" s="2200">
        <f t="shared" si="181"/>
        <v>11</v>
      </c>
      <c r="F2897" s="2200" t="str">
        <f t="shared" si="182"/>
        <v>48</v>
      </c>
      <c r="G2897" s="2200" t="str">
        <f t="shared" si="183"/>
        <v>55080</v>
      </c>
      <c r="H2897" s="2200">
        <f>--SUBTOTAL(3,C$2:C2897)</f>
        <v>99</v>
      </c>
    </row>
    <row r="2898" spans="1:8" hidden="1" x14ac:dyDescent="0.15">
      <c r="A2898" s="2200" t="s">
        <v>10723</v>
      </c>
      <c r="B2898" s="2200" t="s">
        <v>16503</v>
      </c>
      <c r="C2898" s="2200" t="s">
        <v>16504</v>
      </c>
      <c r="D2898" s="2200" t="str">
        <f t="shared" si="180"/>
        <v>TX</v>
      </c>
      <c r="E2898" s="2200">
        <f t="shared" si="181"/>
        <v>14</v>
      </c>
      <c r="F2898" s="2200" t="str">
        <f t="shared" si="182"/>
        <v>48</v>
      </c>
      <c r="G2898" s="2200" t="str">
        <f t="shared" si="183"/>
        <v>56000</v>
      </c>
      <c r="H2898" s="2200">
        <f>--SUBTOTAL(3,C$2:C2898)</f>
        <v>99</v>
      </c>
    </row>
    <row r="2899" spans="1:8" hidden="1" x14ac:dyDescent="0.15">
      <c r="A2899" s="2200" t="s">
        <v>10723</v>
      </c>
      <c r="B2899" s="2200" t="s">
        <v>16505</v>
      </c>
      <c r="C2899" s="2200" t="s">
        <v>16506</v>
      </c>
      <c r="D2899" s="2200" t="str">
        <f t="shared" si="180"/>
        <v>TX</v>
      </c>
      <c r="E2899" s="2200">
        <f t="shared" si="181"/>
        <v>14</v>
      </c>
      <c r="F2899" s="2200" t="str">
        <f t="shared" si="182"/>
        <v>48</v>
      </c>
      <c r="G2899" s="2200" t="str">
        <f t="shared" si="183"/>
        <v>56348</v>
      </c>
      <c r="H2899" s="2200">
        <f>--SUBTOTAL(3,C$2:C2899)</f>
        <v>99</v>
      </c>
    </row>
    <row r="2900" spans="1:8" hidden="1" x14ac:dyDescent="0.15">
      <c r="A2900" s="2200" t="s">
        <v>10723</v>
      </c>
      <c r="B2900" s="2200" t="s">
        <v>16507</v>
      </c>
      <c r="C2900" s="2200" t="s">
        <v>16508</v>
      </c>
      <c r="D2900" s="2200" t="str">
        <f t="shared" si="180"/>
        <v>TX</v>
      </c>
      <c r="E2900" s="2200">
        <f t="shared" si="181"/>
        <v>18</v>
      </c>
      <c r="F2900" s="2200" t="str">
        <f t="shared" si="182"/>
        <v>48</v>
      </c>
      <c r="G2900" s="2200" t="str">
        <f t="shared" si="183"/>
        <v>57176</v>
      </c>
      <c r="H2900" s="2200">
        <f>--SUBTOTAL(3,C$2:C2900)</f>
        <v>99</v>
      </c>
    </row>
    <row r="2901" spans="1:8" hidden="1" x14ac:dyDescent="0.15">
      <c r="A2901" s="2200" t="s">
        <v>10723</v>
      </c>
      <c r="B2901" s="2200" t="s">
        <v>16509</v>
      </c>
      <c r="C2901" s="2200" t="s">
        <v>16510</v>
      </c>
      <c r="D2901" s="2200" t="str">
        <f t="shared" si="180"/>
        <v>TX</v>
      </c>
      <c r="E2901" s="2200">
        <f t="shared" si="181"/>
        <v>11</v>
      </c>
      <c r="F2901" s="2200" t="str">
        <f t="shared" si="182"/>
        <v>48</v>
      </c>
      <c r="G2901" s="2200" t="str">
        <f t="shared" si="183"/>
        <v>57200</v>
      </c>
      <c r="H2901" s="2200">
        <f>--SUBTOTAL(3,C$2:C2901)</f>
        <v>99</v>
      </c>
    </row>
    <row r="2902" spans="1:8" hidden="1" x14ac:dyDescent="0.15">
      <c r="A2902" s="2200" t="s">
        <v>10723</v>
      </c>
      <c r="B2902" s="2200" t="s">
        <v>16511</v>
      </c>
      <c r="C2902" s="2200" t="s">
        <v>16512</v>
      </c>
      <c r="D2902" s="2200" t="str">
        <f t="shared" si="180"/>
        <v>TX</v>
      </c>
      <c r="E2902" s="2200">
        <f t="shared" si="181"/>
        <v>11</v>
      </c>
      <c r="F2902" s="2200" t="str">
        <f t="shared" si="182"/>
        <v>48</v>
      </c>
      <c r="G2902" s="2200" t="str">
        <f t="shared" si="183"/>
        <v>58016</v>
      </c>
      <c r="H2902" s="2200">
        <f>--SUBTOTAL(3,C$2:C2902)</f>
        <v>99</v>
      </c>
    </row>
    <row r="2903" spans="1:8" hidden="1" x14ac:dyDescent="0.15">
      <c r="A2903" s="2200" t="s">
        <v>10723</v>
      </c>
      <c r="B2903" s="2200" t="s">
        <v>16513</v>
      </c>
      <c r="C2903" s="2200" t="s">
        <v>16514</v>
      </c>
      <c r="D2903" s="2200" t="str">
        <f t="shared" si="180"/>
        <v>TX</v>
      </c>
      <c r="E2903" s="2200">
        <f t="shared" si="181"/>
        <v>17</v>
      </c>
      <c r="F2903" s="2200" t="str">
        <f t="shared" si="182"/>
        <v>48</v>
      </c>
      <c r="G2903" s="2200" t="str">
        <f t="shared" si="183"/>
        <v>58820</v>
      </c>
      <c r="H2903" s="2200">
        <f>--SUBTOTAL(3,C$2:C2903)</f>
        <v>99</v>
      </c>
    </row>
    <row r="2904" spans="1:8" hidden="1" x14ac:dyDescent="0.15">
      <c r="A2904" s="2200" t="s">
        <v>10723</v>
      </c>
      <c r="B2904" s="2200" t="s">
        <v>16515</v>
      </c>
      <c r="C2904" s="2200" t="s">
        <v>16516</v>
      </c>
      <c r="D2904" s="2200" t="str">
        <f t="shared" si="180"/>
        <v>TX</v>
      </c>
      <c r="E2904" s="2200">
        <f t="shared" si="181"/>
        <v>16</v>
      </c>
      <c r="F2904" s="2200" t="str">
        <f t="shared" si="182"/>
        <v>48</v>
      </c>
      <c r="G2904" s="2200" t="str">
        <f t="shared" si="183"/>
        <v>61796</v>
      </c>
      <c r="H2904" s="2200">
        <f>--SUBTOTAL(3,C$2:C2904)</f>
        <v>99</v>
      </c>
    </row>
    <row r="2905" spans="1:8" hidden="1" x14ac:dyDescent="0.15">
      <c r="A2905" s="2200" t="s">
        <v>10723</v>
      </c>
      <c r="B2905" s="2200" t="s">
        <v>16517</v>
      </c>
      <c r="C2905" s="2200" t="s">
        <v>16518</v>
      </c>
      <c r="D2905" s="2200" t="str">
        <f t="shared" si="180"/>
        <v>TX</v>
      </c>
      <c r="E2905" s="2200">
        <f t="shared" si="181"/>
        <v>14</v>
      </c>
      <c r="F2905" s="2200" t="str">
        <f t="shared" si="182"/>
        <v>48</v>
      </c>
      <c r="G2905" s="2200" t="str">
        <f t="shared" si="183"/>
        <v>62828</v>
      </c>
      <c r="H2905" s="2200">
        <f>--SUBTOTAL(3,C$2:C2905)</f>
        <v>99</v>
      </c>
    </row>
    <row r="2906" spans="1:8" hidden="1" x14ac:dyDescent="0.15">
      <c r="A2906" s="2200" t="s">
        <v>10723</v>
      </c>
      <c r="B2906" s="2200" t="s">
        <v>16519</v>
      </c>
      <c r="C2906" s="2200" t="s">
        <v>16520</v>
      </c>
      <c r="D2906" s="2200" t="str">
        <f t="shared" si="180"/>
        <v>TX</v>
      </c>
      <c r="E2906" s="2200">
        <f t="shared" si="181"/>
        <v>15</v>
      </c>
      <c r="F2906" s="2200" t="str">
        <f t="shared" si="182"/>
        <v>48</v>
      </c>
      <c r="G2906" s="2200" t="str">
        <f t="shared" si="183"/>
        <v>63284</v>
      </c>
      <c r="H2906" s="2200">
        <f>--SUBTOTAL(3,C$2:C2906)</f>
        <v>99</v>
      </c>
    </row>
    <row r="2907" spans="1:8" hidden="1" x14ac:dyDescent="0.15">
      <c r="A2907" s="2200" t="s">
        <v>10723</v>
      </c>
      <c r="B2907" s="2200" t="s">
        <v>16521</v>
      </c>
      <c r="C2907" s="2200" t="s">
        <v>16522</v>
      </c>
      <c r="D2907" s="2200" t="str">
        <f t="shared" si="180"/>
        <v>TX</v>
      </c>
      <c r="E2907" s="2200">
        <f t="shared" si="181"/>
        <v>16</v>
      </c>
      <c r="F2907" s="2200" t="str">
        <f t="shared" si="182"/>
        <v>48</v>
      </c>
      <c r="G2907" s="2200" t="str">
        <f t="shared" si="183"/>
        <v>63500</v>
      </c>
      <c r="H2907" s="2200">
        <f>--SUBTOTAL(3,C$2:C2907)</f>
        <v>99</v>
      </c>
    </row>
    <row r="2908" spans="1:8" hidden="1" x14ac:dyDescent="0.15">
      <c r="A2908" s="2200" t="s">
        <v>10723</v>
      </c>
      <c r="B2908" s="2200" t="s">
        <v>16523</v>
      </c>
      <c r="C2908" s="2200" t="s">
        <v>16524</v>
      </c>
      <c r="D2908" s="2200" t="str">
        <f t="shared" si="180"/>
        <v>TX</v>
      </c>
      <c r="E2908" s="2200">
        <f t="shared" si="181"/>
        <v>13</v>
      </c>
      <c r="F2908" s="2200" t="str">
        <f t="shared" si="182"/>
        <v>48</v>
      </c>
      <c r="G2908" s="2200" t="str">
        <f t="shared" si="183"/>
        <v>63572</v>
      </c>
      <c r="H2908" s="2200">
        <f>--SUBTOTAL(3,C$2:C2908)</f>
        <v>99</v>
      </c>
    </row>
    <row r="2909" spans="1:8" hidden="1" x14ac:dyDescent="0.15">
      <c r="A2909" s="2200" t="s">
        <v>10723</v>
      </c>
      <c r="B2909" s="2200" t="s">
        <v>16525</v>
      </c>
      <c r="C2909" s="2200" t="s">
        <v>16526</v>
      </c>
      <c r="D2909" s="2200" t="str">
        <f t="shared" si="180"/>
        <v>TX</v>
      </c>
      <c r="E2909" s="2200">
        <f t="shared" si="181"/>
        <v>12</v>
      </c>
      <c r="F2909" s="2200" t="str">
        <f t="shared" si="182"/>
        <v>48</v>
      </c>
      <c r="G2909" s="2200" t="str">
        <f t="shared" si="183"/>
        <v>64064</v>
      </c>
      <c r="H2909" s="2200">
        <f>--SUBTOTAL(3,C$2:C2909)</f>
        <v>99</v>
      </c>
    </row>
    <row r="2910" spans="1:8" hidden="1" x14ac:dyDescent="0.15">
      <c r="A2910" s="2200" t="s">
        <v>10723</v>
      </c>
      <c r="B2910" s="2200" t="s">
        <v>16527</v>
      </c>
      <c r="C2910" s="2200" t="s">
        <v>16528</v>
      </c>
      <c r="D2910" s="2200" t="str">
        <f t="shared" si="180"/>
        <v>TX</v>
      </c>
      <c r="E2910" s="2200">
        <f t="shared" si="181"/>
        <v>16</v>
      </c>
      <c r="F2910" s="2200" t="str">
        <f t="shared" si="182"/>
        <v>48</v>
      </c>
      <c r="G2910" s="2200" t="str">
        <f t="shared" si="183"/>
        <v>64472</v>
      </c>
      <c r="H2910" s="2200">
        <f>--SUBTOTAL(3,C$2:C2910)</f>
        <v>99</v>
      </c>
    </row>
    <row r="2911" spans="1:8" hidden="1" x14ac:dyDescent="0.15">
      <c r="A2911" s="2200" t="s">
        <v>10723</v>
      </c>
      <c r="B2911" s="2200" t="s">
        <v>16529</v>
      </c>
      <c r="C2911" s="2200" t="s">
        <v>16530</v>
      </c>
      <c r="D2911" s="2200" t="str">
        <f t="shared" si="180"/>
        <v>TX</v>
      </c>
      <c r="E2911" s="2200">
        <f t="shared" si="181"/>
        <v>17</v>
      </c>
      <c r="F2911" s="2200" t="str">
        <f t="shared" si="182"/>
        <v>48</v>
      </c>
      <c r="G2911" s="2200" t="str">
        <f t="shared" si="183"/>
        <v>65000</v>
      </c>
      <c r="H2911" s="2200">
        <f>--SUBTOTAL(3,C$2:C2911)</f>
        <v>99</v>
      </c>
    </row>
    <row r="2912" spans="1:8" hidden="1" x14ac:dyDescent="0.15">
      <c r="A2912" s="2200" t="s">
        <v>10723</v>
      </c>
      <c r="B2912" s="2200" t="s">
        <v>16531</v>
      </c>
      <c r="C2912" s="2200" t="s">
        <v>16532</v>
      </c>
      <c r="D2912" s="2200" t="str">
        <f t="shared" si="180"/>
        <v>TX</v>
      </c>
      <c r="E2912" s="2200">
        <f t="shared" si="181"/>
        <v>16</v>
      </c>
      <c r="F2912" s="2200" t="str">
        <f t="shared" si="182"/>
        <v>48</v>
      </c>
      <c r="G2912" s="2200" t="str">
        <f t="shared" si="183"/>
        <v>65036</v>
      </c>
      <c r="H2912" s="2200">
        <f>--SUBTOTAL(3,C$2:C2912)</f>
        <v>99</v>
      </c>
    </row>
    <row r="2913" spans="1:8" hidden="1" x14ac:dyDescent="0.15">
      <c r="A2913" s="2200" t="s">
        <v>10723</v>
      </c>
      <c r="B2913" s="2200" t="s">
        <v>16533</v>
      </c>
      <c r="C2913" s="2200" t="s">
        <v>16534</v>
      </c>
      <c r="D2913" s="2200" t="str">
        <f t="shared" si="180"/>
        <v>TX</v>
      </c>
      <c r="E2913" s="2200">
        <f t="shared" si="181"/>
        <v>14</v>
      </c>
      <c r="F2913" s="2200" t="str">
        <f t="shared" si="182"/>
        <v>48</v>
      </c>
      <c r="G2913" s="2200" t="str">
        <f t="shared" si="183"/>
        <v>65516</v>
      </c>
      <c r="H2913" s="2200">
        <f>--SUBTOTAL(3,C$2:C2913)</f>
        <v>99</v>
      </c>
    </row>
    <row r="2914" spans="1:8" hidden="1" x14ac:dyDescent="0.15">
      <c r="A2914" s="2200" t="s">
        <v>10723</v>
      </c>
      <c r="B2914" s="2200" t="s">
        <v>16535</v>
      </c>
      <c r="C2914" s="2200" t="s">
        <v>16536</v>
      </c>
      <c r="D2914" s="2200" t="str">
        <f t="shared" si="180"/>
        <v>TX</v>
      </c>
      <c r="E2914" s="2200">
        <f t="shared" si="181"/>
        <v>16</v>
      </c>
      <c r="F2914" s="2200" t="str">
        <f t="shared" si="182"/>
        <v>48</v>
      </c>
      <c r="G2914" s="2200" t="str">
        <f t="shared" si="183"/>
        <v>65600</v>
      </c>
      <c r="H2914" s="2200">
        <f>--SUBTOTAL(3,C$2:C2914)</f>
        <v>99</v>
      </c>
    </row>
    <row r="2915" spans="1:8" hidden="1" x14ac:dyDescent="0.15">
      <c r="A2915" s="2200" t="s">
        <v>10723</v>
      </c>
      <c r="B2915" s="2200" t="s">
        <v>16537</v>
      </c>
      <c r="C2915" s="2200" t="s">
        <v>16538</v>
      </c>
      <c r="D2915" s="2200" t="str">
        <f t="shared" si="180"/>
        <v>TX</v>
      </c>
      <c r="E2915" s="2200">
        <f t="shared" si="181"/>
        <v>13</v>
      </c>
      <c r="F2915" s="2200" t="str">
        <f t="shared" si="182"/>
        <v>48</v>
      </c>
      <c r="G2915" s="2200" t="str">
        <f t="shared" si="183"/>
        <v>66128</v>
      </c>
      <c r="H2915" s="2200">
        <f>--SUBTOTAL(3,C$2:C2915)</f>
        <v>99</v>
      </c>
    </row>
    <row r="2916" spans="1:8" hidden="1" x14ac:dyDescent="0.15">
      <c r="A2916" s="2200" t="s">
        <v>10723</v>
      </c>
      <c r="B2916" s="2200" t="s">
        <v>16539</v>
      </c>
      <c r="C2916" s="2200" t="s">
        <v>16540</v>
      </c>
      <c r="D2916" s="2200" t="str">
        <f t="shared" si="180"/>
        <v>TX</v>
      </c>
      <c r="E2916" s="2200">
        <f t="shared" si="181"/>
        <v>12</v>
      </c>
      <c r="F2916" s="2200" t="str">
        <f t="shared" si="182"/>
        <v>48</v>
      </c>
      <c r="G2916" s="2200" t="str">
        <f t="shared" si="183"/>
        <v>66644</v>
      </c>
      <c r="H2916" s="2200">
        <f>--SUBTOTAL(3,C$2:C2916)</f>
        <v>99</v>
      </c>
    </row>
    <row r="2917" spans="1:8" hidden="1" x14ac:dyDescent="0.15">
      <c r="A2917" s="2200" t="s">
        <v>10723</v>
      </c>
      <c r="B2917" s="2200" t="s">
        <v>16541</v>
      </c>
      <c r="C2917" s="2200" t="s">
        <v>16542</v>
      </c>
      <c r="D2917" s="2200" t="str">
        <f t="shared" si="180"/>
        <v>TX</v>
      </c>
      <c r="E2917" s="2200">
        <f t="shared" si="181"/>
        <v>13</v>
      </c>
      <c r="F2917" s="2200" t="str">
        <f t="shared" si="182"/>
        <v>48</v>
      </c>
      <c r="G2917" s="2200" t="str">
        <f t="shared" si="183"/>
        <v>67496</v>
      </c>
      <c r="H2917" s="2200">
        <f>--SUBTOTAL(3,C$2:C2917)</f>
        <v>99</v>
      </c>
    </row>
    <row r="2918" spans="1:8" hidden="1" x14ac:dyDescent="0.15">
      <c r="A2918" s="2200" t="s">
        <v>10723</v>
      </c>
      <c r="B2918" s="2200" t="s">
        <v>16543</v>
      </c>
      <c r="C2918" s="2200" t="s">
        <v>16544</v>
      </c>
      <c r="D2918" s="2200" t="str">
        <f t="shared" si="180"/>
        <v>TX</v>
      </c>
      <c r="E2918" s="2200">
        <f t="shared" si="181"/>
        <v>13</v>
      </c>
      <c r="F2918" s="2200" t="str">
        <f t="shared" si="182"/>
        <v>48</v>
      </c>
      <c r="G2918" s="2200" t="str">
        <f t="shared" si="183"/>
        <v>68636</v>
      </c>
      <c r="H2918" s="2200">
        <f>--SUBTOTAL(3,C$2:C2918)</f>
        <v>99</v>
      </c>
    </row>
    <row r="2919" spans="1:8" hidden="1" x14ac:dyDescent="0.15">
      <c r="A2919" s="2200" t="s">
        <v>10723</v>
      </c>
      <c r="B2919" s="2200" t="s">
        <v>16545</v>
      </c>
      <c r="C2919" s="2200" t="s">
        <v>16546</v>
      </c>
      <c r="D2919" s="2200" t="str">
        <f t="shared" si="180"/>
        <v>TX</v>
      </c>
      <c r="E2919" s="2200">
        <f t="shared" si="181"/>
        <v>15</v>
      </c>
      <c r="F2919" s="2200" t="str">
        <f t="shared" si="182"/>
        <v>48</v>
      </c>
      <c r="G2919" s="2200" t="str">
        <f t="shared" si="183"/>
        <v>69032</v>
      </c>
      <c r="H2919" s="2200">
        <f>--SUBTOTAL(3,C$2:C2919)</f>
        <v>99</v>
      </c>
    </row>
    <row r="2920" spans="1:8" hidden="1" x14ac:dyDescent="0.15">
      <c r="A2920" s="2200" t="s">
        <v>10723</v>
      </c>
      <c r="B2920" s="2200" t="s">
        <v>16547</v>
      </c>
      <c r="C2920" s="2200" t="s">
        <v>16548</v>
      </c>
      <c r="D2920" s="2200" t="str">
        <f t="shared" si="180"/>
        <v>TX</v>
      </c>
      <c r="E2920" s="2200">
        <f t="shared" si="181"/>
        <v>16</v>
      </c>
      <c r="F2920" s="2200" t="str">
        <f t="shared" si="182"/>
        <v>48</v>
      </c>
      <c r="G2920" s="2200" t="str">
        <f t="shared" si="183"/>
        <v>70808</v>
      </c>
      <c r="H2920" s="2200">
        <f>--SUBTOTAL(3,C$2:C2920)</f>
        <v>99</v>
      </c>
    </row>
    <row r="2921" spans="1:8" hidden="1" x14ac:dyDescent="0.15">
      <c r="A2921" s="2200" t="s">
        <v>10723</v>
      </c>
      <c r="B2921" s="2200" t="s">
        <v>16549</v>
      </c>
      <c r="C2921" s="2200" t="s">
        <v>16550</v>
      </c>
      <c r="D2921" s="2200" t="str">
        <f t="shared" si="180"/>
        <v>TX</v>
      </c>
      <c r="E2921" s="2200">
        <f t="shared" si="181"/>
        <v>12</v>
      </c>
      <c r="F2921" s="2200" t="str">
        <f t="shared" si="182"/>
        <v>48</v>
      </c>
      <c r="G2921" s="2200" t="str">
        <f t="shared" si="183"/>
        <v>72176</v>
      </c>
      <c r="H2921" s="2200">
        <f>--SUBTOTAL(3,C$2:C2921)</f>
        <v>99</v>
      </c>
    </row>
    <row r="2922" spans="1:8" hidden="1" x14ac:dyDescent="0.15">
      <c r="A2922" s="2200" t="s">
        <v>10723</v>
      </c>
      <c r="B2922" s="2200" t="s">
        <v>16551</v>
      </c>
      <c r="C2922" s="2200" t="s">
        <v>16552</v>
      </c>
      <c r="D2922" s="2200" t="str">
        <f t="shared" si="180"/>
        <v>TX</v>
      </c>
      <c r="E2922" s="2200">
        <f t="shared" si="181"/>
        <v>15</v>
      </c>
      <c r="F2922" s="2200" t="str">
        <f t="shared" si="182"/>
        <v>48</v>
      </c>
      <c r="G2922" s="2200" t="str">
        <f t="shared" si="183"/>
        <v>72368</v>
      </c>
      <c r="H2922" s="2200">
        <f>--SUBTOTAL(3,C$2:C2922)</f>
        <v>99</v>
      </c>
    </row>
    <row r="2923" spans="1:8" hidden="1" x14ac:dyDescent="0.15">
      <c r="A2923" s="2200" t="s">
        <v>10723</v>
      </c>
      <c r="B2923" s="2200" t="s">
        <v>16553</v>
      </c>
      <c r="C2923" s="2200" t="s">
        <v>16554</v>
      </c>
      <c r="D2923" s="2200" t="str">
        <f t="shared" si="180"/>
        <v>TX</v>
      </c>
      <c r="E2923" s="2200">
        <f t="shared" si="181"/>
        <v>16</v>
      </c>
      <c r="F2923" s="2200" t="str">
        <f t="shared" si="182"/>
        <v>48</v>
      </c>
      <c r="G2923" s="2200" t="str">
        <f t="shared" si="183"/>
        <v>72392</v>
      </c>
      <c r="H2923" s="2200">
        <f>--SUBTOTAL(3,C$2:C2923)</f>
        <v>99</v>
      </c>
    </row>
    <row r="2924" spans="1:8" hidden="1" x14ac:dyDescent="0.15">
      <c r="A2924" s="2200" t="s">
        <v>10723</v>
      </c>
      <c r="B2924" s="2200" t="s">
        <v>16555</v>
      </c>
      <c r="C2924" s="2200" t="s">
        <v>16556</v>
      </c>
      <c r="D2924" s="2200" t="str">
        <f t="shared" si="180"/>
        <v>TX</v>
      </c>
      <c r="E2924" s="2200">
        <f t="shared" si="181"/>
        <v>16</v>
      </c>
      <c r="F2924" s="2200" t="str">
        <f t="shared" si="182"/>
        <v>48</v>
      </c>
      <c r="G2924" s="2200" t="str">
        <f t="shared" si="183"/>
        <v>72530</v>
      </c>
      <c r="H2924" s="2200">
        <f>--SUBTOTAL(3,C$2:C2924)</f>
        <v>99</v>
      </c>
    </row>
    <row r="2925" spans="1:8" hidden="1" x14ac:dyDescent="0.15">
      <c r="A2925" s="2200" t="s">
        <v>10723</v>
      </c>
      <c r="B2925" s="2200" t="s">
        <v>16557</v>
      </c>
      <c r="C2925" s="2200" t="s">
        <v>16558</v>
      </c>
      <c r="D2925" s="2200" t="str">
        <f t="shared" si="180"/>
        <v>TX</v>
      </c>
      <c r="E2925" s="2200">
        <f t="shared" si="181"/>
        <v>11</v>
      </c>
      <c r="F2925" s="2200" t="str">
        <f t="shared" si="182"/>
        <v>48</v>
      </c>
      <c r="G2925" s="2200" t="str">
        <f t="shared" si="183"/>
        <v>74144</v>
      </c>
      <c r="H2925" s="2200">
        <f>--SUBTOTAL(3,C$2:C2925)</f>
        <v>99</v>
      </c>
    </row>
    <row r="2926" spans="1:8" hidden="1" x14ac:dyDescent="0.15">
      <c r="A2926" s="2200" t="s">
        <v>10723</v>
      </c>
      <c r="B2926" s="2200" t="s">
        <v>16559</v>
      </c>
      <c r="C2926" s="2200" t="s">
        <v>16560</v>
      </c>
      <c r="D2926" s="2200" t="str">
        <f t="shared" si="180"/>
        <v>TX</v>
      </c>
      <c r="E2926" s="2200">
        <f t="shared" si="181"/>
        <v>21</v>
      </c>
      <c r="F2926" s="2200" t="str">
        <f t="shared" si="182"/>
        <v>48</v>
      </c>
      <c r="G2926" s="2200" t="str">
        <f t="shared" si="183"/>
        <v>74492</v>
      </c>
      <c r="H2926" s="2200">
        <f>--SUBTOTAL(3,C$2:C2926)</f>
        <v>99</v>
      </c>
    </row>
    <row r="2927" spans="1:8" hidden="1" x14ac:dyDescent="0.15">
      <c r="A2927" s="2200" t="s">
        <v>10723</v>
      </c>
      <c r="B2927" s="2200" t="s">
        <v>16561</v>
      </c>
      <c r="C2927" s="2200" t="s">
        <v>16562</v>
      </c>
      <c r="D2927" s="2200" t="str">
        <f t="shared" si="180"/>
        <v>TX</v>
      </c>
      <c r="E2927" s="2200">
        <f t="shared" si="181"/>
        <v>14</v>
      </c>
      <c r="F2927" s="2200" t="str">
        <f t="shared" si="182"/>
        <v>48</v>
      </c>
      <c r="G2927" s="2200" t="str">
        <f t="shared" si="183"/>
        <v>75428</v>
      </c>
      <c r="H2927" s="2200">
        <f>--SUBTOTAL(3,C$2:C2927)</f>
        <v>99</v>
      </c>
    </row>
    <row r="2928" spans="1:8" hidden="1" x14ac:dyDescent="0.15">
      <c r="A2928" s="2200" t="s">
        <v>10723</v>
      </c>
      <c r="B2928" s="2200" t="s">
        <v>16563</v>
      </c>
      <c r="C2928" s="2200" t="s">
        <v>16564</v>
      </c>
      <c r="D2928" s="2200" t="str">
        <f t="shared" si="180"/>
        <v>TX</v>
      </c>
      <c r="E2928" s="2200">
        <f t="shared" si="181"/>
        <v>10</v>
      </c>
      <c r="F2928" s="2200" t="str">
        <f t="shared" si="182"/>
        <v>48</v>
      </c>
      <c r="G2928" s="2200" t="str">
        <f t="shared" si="183"/>
        <v>76000</v>
      </c>
      <c r="H2928" s="2200">
        <f>--SUBTOTAL(3,C$2:C2928)</f>
        <v>99</v>
      </c>
    </row>
    <row r="2929" spans="1:8" hidden="1" x14ac:dyDescent="0.15">
      <c r="A2929" s="2200" t="s">
        <v>10723</v>
      </c>
      <c r="B2929" s="2200" t="s">
        <v>16565</v>
      </c>
      <c r="C2929" s="2200" t="s">
        <v>16566</v>
      </c>
      <c r="D2929" s="2200" t="str">
        <f t="shared" si="180"/>
        <v>TX</v>
      </c>
      <c r="E2929" s="2200">
        <f t="shared" si="181"/>
        <v>16</v>
      </c>
      <c r="F2929" s="2200" t="str">
        <f t="shared" si="182"/>
        <v>48</v>
      </c>
      <c r="G2929" s="2200" t="str">
        <f t="shared" si="183"/>
        <v>76816</v>
      </c>
      <c r="H2929" s="2200">
        <f>--SUBTOTAL(3,C$2:C2929)</f>
        <v>99</v>
      </c>
    </row>
    <row r="2930" spans="1:8" hidden="1" x14ac:dyDescent="0.15">
      <c r="A2930" s="2200" t="s">
        <v>10723</v>
      </c>
      <c r="B2930" s="2200" t="s">
        <v>16567</v>
      </c>
      <c r="C2930" s="2200" t="s">
        <v>16568</v>
      </c>
      <c r="D2930" s="2200" t="str">
        <f t="shared" si="180"/>
        <v>TX</v>
      </c>
      <c r="E2930" s="2200">
        <f t="shared" si="181"/>
        <v>17</v>
      </c>
      <c r="F2930" s="2200" t="str">
        <f t="shared" si="182"/>
        <v>48</v>
      </c>
      <c r="G2930" s="2200" t="str">
        <f t="shared" si="183"/>
        <v>76864</v>
      </c>
      <c r="H2930" s="2200">
        <f>--SUBTOTAL(3,C$2:C2930)</f>
        <v>99</v>
      </c>
    </row>
    <row r="2931" spans="1:8" hidden="1" x14ac:dyDescent="0.15">
      <c r="A2931" s="2200" t="s">
        <v>10723</v>
      </c>
      <c r="B2931" s="2200" t="s">
        <v>16569</v>
      </c>
      <c r="C2931" s="2200" t="s">
        <v>16570</v>
      </c>
      <c r="D2931" s="2200" t="str">
        <f t="shared" si="180"/>
        <v>TX</v>
      </c>
      <c r="E2931" s="2200">
        <f t="shared" si="181"/>
        <v>13</v>
      </c>
      <c r="F2931" s="2200" t="str">
        <f t="shared" si="182"/>
        <v>48</v>
      </c>
      <c r="G2931" s="2200" t="str">
        <f t="shared" si="183"/>
        <v>77272</v>
      </c>
      <c r="H2931" s="2200">
        <f>--SUBTOTAL(3,C$2:C2931)</f>
        <v>99</v>
      </c>
    </row>
    <row r="2932" spans="1:8" hidden="1" x14ac:dyDescent="0.15">
      <c r="A2932" s="2200" t="s">
        <v>10723</v>
      </c>
      <c r="B2932" s="2200" t="s">
        <v>16571</v>
      </c>
      <c r="C2932" s="2200" t="s">
        <v>16572</v>
      </c>
      <c r="D2932" s="2200" t="str">
        <f t="shared" si="180"/>
        <v>TX</v>
      </c>
      <c r="E2932" s="2200">
        <f t="shared" si="181"/>
        <v>19</v>
      </c>
      <c r="F2932" s="2200" t="str">
        <f t="shared" si="182"/>
        <v>48</v>
      </c>
      <c r="G2932" s="2200" t="str">
        <f t="shared" si="183"/>
        <v>79000</v>
      </c>
      <c r="H2932" s="2200">
        <f>--SUBTOTAL(3,C$2:C2932)</f>
        <v>99</v>
      </c>
    </row>
    <row r="2933" spans="1:8" hidden="1" x14ac:dyDescent="0.15">
      <c r="A2933" s="2200" t="s">
        <v>11443</v>
      </c>
      <c r="B2933" s="2200" t="s">
        <v>16573</v>
      </c>
      <c r="C2933" s="2200" t="s">
        <v>16574</v>
      </c>
      <c r="D2933" s="2200" t="str">
        <f t="shared" si="180"/>
        <v>TX</v>
      </c>
      <c r="E2933" s="2200">
        <f t="shared" si="181"/>
        <v>15</v>
      </c>
      <c r="F2933" s="2200" t="str">
        <f t="shared" si="182"/>
        <v>48</v>
      </c>
      <c r="G2933" s="2200" t="str">
        <f t="shared" si="183"/>
        <v>82900</v>
      </c>
      <c r="H2933" s="2200">
        <f>--SUBTOTAL(3,C$2:C2933)</f>
        <v>99</v>
      </c>
    </row>
    <row r="2934" spans="1:8" hidden="1" x14ac:dyDescent="0.15">
      <c r="A2934" s="2200" t="s">
        <v>10723</v>
      </c>
      <c r="B2934" s="2200" t="s">
        <v>16575</v>
      </c>
      <c r="C2934" s="2200" t="s">
        <v>16576</v>
      </c>
      <c r="D2934" s="2200" t="str">
        <f t="shared" si="180"/>
        <v>TX</v>
      </c>
      <c r="E2934" s="2200">
        <f t="shared" si="181"/>
        <v>11</v>
      </c>
      <c r="F2934" s="2200" t="str">
        <f t="shared" si="182"/>
        <v>48</v>
      </c>
      <c r="G2934" s="2200" t="str">
        <f t="shared" si="183"/>
        <v>80356</v>
      </c>
      <c r="H2934" s="2200">
        <f>--SUBTOTAL(3,C$2:C2934)</f>
        <v>99</v>
      </c>
    </row>
    <row r="2935" spans="1:8" hidden="1" x14ac:dyDescent="0.15">
      <c r="A2935" s="2200" t="s">
        <v>10723</v>
      </c>
      <c r="B2935" s="2200" t="s">
        <v>16577</v>
      </c>
      <c r="C2935" s="2200" t="s">
        <v>16578</v>
      </c>
      <c r="D2935" s="2200" t="str">
        <f t="shared" si="180"/>
        <v>UT</v>
      </c>
      <c r="E2935" s="2200">
        <f t="shared" si="181"/>
        <v>19</v>
      </c>
      <c r="F2935" s="2200" t="str">
        <f t="shared" si="182"/>
        <v>49</v>
      </c>
      <c r="G2935" s="2200" t="str">
        <f t="shared" si="183"/>
        <v>01310</v>
      </c>
      <c r="H2935" s="2200">
        <f>--SUBTOTAL(3,C$2:C2935)</f>
        <v>99</v>
      </c>
    </row>
    <row r="2936" spans="1:8" hidden="1" x14ac:dyDescent="0.15">
      <c r="A2936" s="2200" t="s">
        <v>10723</v>
      </c>
      <c r="B2936" s="2200" t="s">
        <v>16579</v>
      </c>
      <c r="C2936" s="2200" t="s">
        <v>16580</v>
      </c>
      <c r="D2936" s="2200" t="str">
        <f t="shared" si="180"/>
        <v>UT</v>
      </c>
      <c r="E2936" s="2200">
        <f t="shared" si="181"/>
        <v>15</v>
      </c>
      <c r="F2936" s="2200" t="str">
        <f t="shared" si="182"/>
        <v>49</v>
      </c>
      <c r="G2936" s="2200" t="str">
        <f t="shared" si="183"/>
        <v>07690</v>
      </c>
      <c r="H2936" s="2200">
        <f>--SUBTOTAL(3,C$2:C2936)</f>
        <v>99</v>
      </c>
    </row>
    <row r="2937" spans="1:8" hidden="1" x14ac:dyDescent="0.15">
      <c r="A2937" s="2200" t="s">
        <v>10723</v>
      </c>
      <c r="B2937" s="2200" t="s">
        <v>16581</v>
      </c>
      <c r="C2937" s="2200" t="s">
        <v>16582</v>
      </c>
      <c r="D2937" s="2200" t="str">
        <f t="shared" si="180"/>
        <v>UT</v>
      </c>
      <c r="E2937" s="2200">
        <f t="shared" si="181"/>
        <v>16</v>
      </c>
      <c r="F2937" s="2200" t="str">
        <f t="shared" si="182"/>
        <v>49</v>
      </c>
      <c r="G2937" s="2200" t="str">
        <f t="shared" si="183"/>
        <v>11320</v>
      </c>
      <c r="H2937" s="2200">
        <f>--SUBTOTAL(3,C$2:C2937)</f>
        <v>99</v>
      </c>
    </row>
    <row r="2938" spans="1:8" hidden="1" x14ac:dyDescent="0.15">
      <c r="A2938" s="2200" t="s">
        <v>10723</v>
      </c>
      <c r="B2938" s="2200" t="s">
        <v>16583</v>
      </c>
      <c r="C2938" s="2200" t="s">
        <v>16584</v>
      </c>
      <c r="D2938" s="2200" t="str">
        <f t="shared" si="180"/>
        <v>UT</v>
      </c>
      <c r="E2938" s="2200">
        <f t="shared" si="181"/>
        <v>16</v>
      </c>
      <c r="F2938" s="2200" t="str">
        <f t="shared" si="182"/>
        <v>49</v>
      </c>
      <c r="G2938" s="2200" t="str">
        <f t="shared" si="183"/>
        <v>13850</v>
      </c>
      <c r="H2938" s="2200">
        <f>--SUBTOTAL(3,C$2:C2938)</f>
        <v>99</v>
      </c>
    </row>
    <row r="2939" spans="1:8" hidden="1" x14ac:dyDescent="0.15">
      <c r="A2939" s="2200" t="s">
        <v>10723</v>
      </c>
      <c r="B2939" s="2200" t="s">
        <v>16585</v>
      </c>
      <c r="C2939" s="2200" t="s">
        <v>16586</v>
      </c>
      <c r="D2939" s="2200" t="str">
        <f t="shared" si="180"/>
        <v>UT</v>
      </c>
      <c r="E2939" s="2200">
        <f t="shared" si="181"/>
        <v>24</v>
      </c>
      <c r="F2939" s="2200" t="str">
        <f t="shared" si="182"/>
        <v>49</v>
      </c>
      <c r="G2939" s="2200" t="str">
        <f t="shared" si="183"/>
        <v>16270</v>
      </c>
      <c r="H2939" s="2200">
        <f>--SUBTOTAL(3,C$2:C2939)</f>
        <v>99</v>
      </c>
    </row>
    <row r="2940" spans="1:8" hidden="1" x14ac:dyDescent="0.15">
      <c r="A2940" s="2200" t="s">
        <v>10723</v>
      </c>
      <c r="B2940" s="2200" t="s">
        <v>16587</v>
      </c>
      <c r="C2940" s="2200" t="s">
        <v>16588</v>
      </c>
      <c r="D2940" s="2200" t="str">
        <f t="shared" si="180"/>
        <v>UT</v>
      </c>
      <c r="E2940" s="2200">
        <f t="shared" si="181"/>
        <v>12</v>
      </c>
      <c r="F2940" s="2200" t="str">
        <f t="shared" si="182"/>
        <v>49</v>
      </c>
      <c r="G2940" s="2200" t="str">
        <f t="shared" si="183"/>
        <v>20120</v>
      </c>
      <c r="H2940" s="2200">
        <f>--SUBTOTAL(3,C$2:C2940)</f>
        <v>99</v>
      </c>
    </row>
    <row r="2941" spans="1:8" hidden="1" x14ac:dyDescent="0.15">
      <c r="A2941" s="2200" t="s">
        <v>10723</v>
      </c>
      <c r="B2941" s="2200" t="s">
        <v>16589</v>
      </c>
      <c r="C2941" s="2200" t="s">
        <v>16590</v>
      </c>
      <c r="D2941" s="2200" t="str">
        <f t="shared" si="180"/>
        <v>UT</v>
      </c>
      <c r="E2941" s="2200">
        <f t="shared" si="181"/>
        <v>20</v>
      </c>
      <c r="F2941" s="2200" t="str">
        <f t="shared" si="182"/>
        <v>49</v>
      </c>
      <c r="G2941" s="2200" t="str">
        <f t="shared" si="183"/>
        <v>20810</v>
      </c>
      <c r="H2941" s="2200">
        <f>--SUBTOTAL(3,C$2:C2941)</f>
        <v>99</v>
      </c>
    </row>
    <row r="2942" spans="1:8" hidden="1" x14ac:dyDescent="0.15">
      <c r="A2942" s="2200" t="s">
        <v>10723</v>
      </c>
      <c r="B2942" s="2200" t="s">
        <v>16591</v>
      </c>
      <c r="C2942" s="2200" t="s">
        <v>16592</v>
      </c>
      <c r="D2942" s="2200" t="str">
        <f t="shared" si="180"/>
        <v>UT</v>
      </c>
      <c r="E2942" s="2200">
        <f t="shared" si="181"/>
        <v>14</v>
      </c>
      <c r="F2942" s="2200" t="str">
        <f t="shared" si="182"/>
        <v>49</v>
      </c>
      <c r="G2942" s="2200" t="str">
        <f t="shared" si="183"/>
        <v>34970</v>
      </c>
      <c r="H2942" s="2200">
        <f>--SUBTOTAL(3,C$2:C2942)</f>
        <v>99</v>
      </c>
    </row>
    <row r="2943" spans="1:8" hidden="1" x14ac:dyDescent="0.15">
      <c r="A2943" s="2200" t="s">
        <v>10723</v>
      </c>
      <c r="B2943" s="2200" t="s">
        <v>16593</v>
      </c>
      <c r="C2943" s="2200" t="s">
        <v>16594</v>
      </c>
      <c r="D2943" s="2200" t="str">
        <f t="shared" si="180"/>
        <v>UT</v>
      </c>
      <c r="E2943" s="2200">
        <f t="shared" si="181"/>
        <v>14</v>
      </c>
      <c r="F2943" s="2200" t="str">
        <f t="shared" si="182"/>
        <v>49</v>
      </c>
      <c r="G2943" s="2200" t="str">
        <f t="shared" si="183"/>
        <v>36070</v>
      </c>
      <c r="H2943" s="2200">
        <f>--SUBTOTAL(3,C$2:C2943)</f>
        <v>99</v>
      </c>
    </row>
    <row r="2944" spans="1:8" hidden="1" x14ac:dyDescent="0.15">
      <c r="A2944" s="2200" t="s">
        <v>10723</v>
      </c>
      <c r="B2944" s="2200" t="s">
        <v>16595</v>
      </c>
      <c r="C2944" s="2200" t="s">
        <v>16596</v>
      </c>
      <c r="D2944" s="2200" t="str">
        <f t="shared" si="180"/>
        <v>UT</v>
      </c>
      <c r="E2944" s="2200">
        <f t="shared" si="181"/>
        <v>15</v>
      </c>
      <c r="F2944" s="2200" t="str">
        <f t="shared" si="182"/>
        <v>49</v>
      </c>
      <c r="G2944" s="2200" t="str">
        <f t="shared" si="183"/>
        <v>40360</v>
      </c>
      <c r="H2944" s="2200">
        <f>--SUBTOTAL(3,C$2:C2944)</f>
        <v>99</v>
      </c>
    </row>
    <row r="2945" spans="1:8" hidden="1" x14ac:dyDescent="0.15">
      <c r="A2945" s="2200" t="s">
        <v>10723</v>
      </c>
      <c r="B2945" s="2200" t="s">
        <v>16597</v>
      </c>
      <c r="C2945" s="2200" t="s">
        <v>16598</v>
      </c>
      <c r="D2945" s="2200" t="str">
        <f t="shared" si="180"/>
        <v>UT</v>
      </c>
      <c r="E2945" s="2200">
        <f t="shared" si="181"/>
        <v>12</v>
      </c>
      <c r="F2945" s="2200" t="str">
        <f t="shared" si="182"/>
        <v>49</v>
      </c>
      <c r="G2945" s="2200" t="str">
        <f t="shared" si="183"/>
        <v>43660</v>
      </c>
      <c r="H2945" s="2200">
        <f>--SUBTOTAL(3,C$2:C2945)</f>
        <v>99</v>
      </c>
    </row>
    <row r="2946" spans="1:8" hidden="1" x14ac:dyDescent="0.15">
      <c r="A2946" s="2200" t="s">
        <v>10723</v>
      </c>
      <c r="B2946" s="2200" t="s">
        <v>16599</v>
      </c>
      <c r="C2946" s="2200" t="s">
        <v>16600</v>
      </c>
      <c r="D2946" s="2200" t="str">
        <f t="shared" ref="D2946:D3009" si="184">MID(C2946,E2946+2,2)</f>
        <v>UT</v>
      </c>
      <c r="E2946" s="2200">
        <f t="shared" ref="E2946:E3009" si="185">FIND(",",C2946)</f>
        <v>10</v>
      </c>
      <c r="F2946" s="2200" t="str">
        <f t="shared" si="182"/>
        <v>49</v>
      </c>
      <c r="G2946" s="2200" t="str">
        <f t="shared" si="183"/>
        <v>44320</v>
      </c>
      <c r="H2946" s="2200">
        <f>--SUBTOTAL(3,C$2:C2946)</f>
        <v>99</v>
      </c>
    </row>
    <row r="2947" spans="1:8" hidden="1" x14ac:dyDescent="0.15">
      <c r="A2947" s="2200" t="s">
        <v>10723</v>
      </c>
      <c r="B2947" s="2200" t="s">
        <v>16601</v>
      </c>
      <c r="C2947" s="2200" t="s">
        <v>16602</v>
      </c>
      <c r="D2947" s="2200" t="str">
        <f t="shared" si="184"/>
        <v>UT</v>
      </c>
      <c r="E2947" s="2200">
        <f t="shared" si="185"/>
        <v>11</v>
      </c>
      <c r="F2947" s="2200" t="str">
        <f t="shared" ref="F2947:F3010" si="186">MID(B2947,3,2)</f>
        <v>49</v>
      </c>
      <c r="G2947" s="2200" t="str">
        <f t="shared" ref="G2947:G3010" si="187">MID(B2947,5,5)</f>
        <v>45860</v>
      </c>
      <c r="H2947" s="2200">
        <f>--SUBTOTAL(3,C$2:C2947)</f>
        <v>99</v>
      </c>
    </row>
    <row r="2948" spans="1:8" hidden="1" x14ac:dyDescent="0.15">
      <c r="A2948" s="2200" t="s">
        <v>10723</v>
      </c>
      <c r="B2948" s="2200" t="s">
        <v>16603</v>
      </c>
      <c r="C2948" s="2200" t="s">
        <v>16604</v>
      </c>
      <c r="D2948" s="2200" t="str">
        <f t="shared" si="184"/>
        <v>UT</v>
      </c>
      <c r="E2948" s="2200">
        <f t="shared" si="185"/>
        <v>13</v>
      </c>
      <c r="F2948" s="2200" t="str">
        <f t="shared" si="186"/>
        <v>49</v>
      </c>
      <c r="G2948" s="2200" t="str">
        <f t="shared" si="187"/>
        <v>49710</v>
      </c>
      <c r="H2948" s="2200">
        <f>--SUBTOTAL(3,C$2:C2948)</f>
        <v>99</v>
      </c>
    </row>
    <row r="2949" spans="1:8" hidden="1" x14ac:dyDescent="0.15">
      <c r="A2949" s="2200" t="s">
        <v>10723</v>
      </c>
      <c r="B2949" s="2200" t="s">
        <v>16605</v>
      </c>
      <c r="C2949" s="2200" t="s">
        <v>16606</v>
      </c>
      <c r="D2949" s="2200" t="str">
        <f t="shared" si="184"/>
        <v>UT</v>
      </c>
      <c r="E2949" s="2200">
        <f t="shared" si="185"/>
        <v>15</v>
      </c>
      <c r="F2949" s="2200" t="str">
        <f t="shared" si="186"/>
        <v>49</v>
      </c>
      <c r="G2949" s="2200" t="str">
        <f t="shared" si="187"/>
        <v>50150</v>
      </c>
      <c r="H2949" s="2200">
        <f>--SUBTOTAL(3,C$2:C2949)</f>
        <v>99</v>
      </c>
    </row>
    <row r="2950" spans="1:8" hidden="1" x14ac:dyDescent="0.15">
      <c r="A2950" s="2200" t="s">
        <v>10723</v>
      </c>
      <c r="B2950" s="2200" t="s">
        <v>16607</v>
      </c>
      <c r="C2950" s="2200" t="s">
        <v>16608</v>
      </c>
      <c r="D2950" s="2200" t="str">
        <f t="shared" si="184"/>
        <v>UT</v>
      </c>
      <c r="E2950" s="2200">
        <f t="shared" si="185"/>
        <v>12</v>
      </c>
      <c r="F2950" s="2200" t="str">
        <f t="shared" si="186"/>
        <v>49</v>
      </c>
      <c r="G2950" s="2200" t="str">
        <f t="shared" si="187"/>
        <v>53230</v>
      </c>
      <c r="H2950" s="2200">
        <f>--SUBTOTAL(3,C$2:C2950)</f>
        <v>99</v>
      </c>
    </row>
    <row r="2951" spans="1:8" hidden="1" x14ac:dyDescent="0.15">
      <c r="A2951" s="2200" t="s">
        <v>10723</v>
      </c>
      <c r="B2951" s="2200" t="s">
        <v>16609</v>
      </c>
      <c r="C2951" s="2200" t="s">
        <v>16610</v>
      </c>
      <c r="D2951" s="2200" t="str">
        <f t="shared" si="184"/>
        <v>UT</v>
      </c>
      <c r="E2951" s="2200">
        <f t="shared" si="185"/>
        <v>11</v>
      </c>
      <c r="F2951" s="2200" t="str">
        <f t="shared" si="186"/>
        <v>49</v>
      </c>
      <c r="G2951" s="2200" t="str">
        <f t="shared" si="187"/>
        <v>55980</v>
      </c>
      <c r="H2951" s="2200">
        <f>--SUBTOTAL(3,C$2:C2951)</f>
        <v>99</v>
      </c>
    </row>
    <row r="2952" spans="1:8" hidden="1" x14ac:dyDescent="0.15">
      <c r="A2952" s="2200" t="s">
        <v>10723</v>
      </c>
      <c r="B2952" s="2200" t="s">
        <v>16611</v>
      </c>
      <c r="C2952" s="2200" t="s">
        <v>16612</v>
      </c>
      <c r="D2952" s="2200" t="str">
        <f t="shared" si="184"/>
        <v>UT</v>
      </c>
      <c r="E2952" s="2200">
        <f t="shared" si="185"/>
        <v>10</v>
      </c>
      <c r="F2952" s="2200" t="str">
        <f t="shared" si="186"/>
        <v>49</v>
      </c>
      <c r="G2952" s="2200" t="str">
        <f t="shared" si="187"/>
        <v>57300</v>
      </c>
      <c r="H2952" s="2200">
        <f>--SUBTOTAL(3,C$2:C2952)</f>
        <v>99</v>
      </c>
    </row>
    <row r="2953" spans="1:8" hidden="1" x14ac:dyDescent="0.15">
      <c r="A2953" s="2200" t="s">
        <v>10723</v>
      </c>
      <c r="B2953" s="2200" t="s">
        <v>16613</v>
      </c>
      <c r="C2953" s="2200" t="s">
        <v>16614</v>
      </c>
      <c r="D2953" s="2200" t="str">
        <f t="shared" si="184"/>
        <v>UT</v>
      </c>
      <c r="E2953" s="2200">
        <f t="shared" si="185"/>
        <v>20</v>
      </c>
      <c r="F2953" s="2200" t="str">
        <f t="shared" si="186"/>
        <v>49</v>
      </c>
      <c r="G2953" s="2200" t="str">
        <f t="shared" si="187"/>
        <v>60930</v>
      </c>
      <c r="H2953" s="2200">
        <f>--SUBTOTAL(3,C$2:C2953)</f>
        <v>99</v>
      </c>
    </row>
    <row r="2954" spans="1:8" hidden="1" x14ac:dyDescent="0.15">
      <c r="A2954" s="2200" t="s">
        <v>10723</v>
      </c>
      <c r="B2954" s="2200" t="s">
        <v>16615</v>
      </c>
      <c r="C2954" s="2200" t="s">
        <v>16616</v>
      </c>
      <c r="D2954" s="2200" t="str">
        <f t="shared" si="184"/>
        <v>UT</v>
      </c>
      <c r="E2954" s="2200">
        <f t="shared" si="185"/>
        <v>11</v>
      </c>
      <c r="F2954" s="2200" t="str">
        <f t="shared" si="186"/>
        <v>49</v>
      </c>
      <c r="G2954" s="2200" t="str">
        <f t="shared" si="187"/>
        <v>62470</v>
      </c>
      <c r="H2954" s="2200">
        <f>--SUBTOTAL(3,C$2:C2954)</f>
        <v>99</v>
      </c>
    </row>
    <row r="2955" spans="1:8" hidden="1" x14ac:dyDescent="0.15">
      <c r="A2955" s="2200" t="s">
        <v>10723</v>
      </c>
      <c r="B2955" s="2200" t="s">
        <v>16617</v>
      </c>
      <c r="C2955" s="2200" t="s">
        <v>16618</v>
      </c>
      <c r="D2955" s="2200" t="str">
        <f t="shared" si="184"/>
        <v>UT</v>
      </c>
      <c r="E2955" s="2200">
        <f t="shared" si="185"/>
        <v>14</v>
      </c>
      <c r="F2955" s="2200" t="str">
        <f t="shared" si="186"/>
        <v>49</v>
      </c>
      <c r="G2955" s="2200" t="str">
        <f t="shared" si="187"/>
        <v>64340</v>
      </c>
      <c r="H2955" s="2200">
        <f>--SUBTOTAL(3,C$2:C2955)</f>
        <v>99</v>
      </c>
    </row>
    <row r="2956" spans="1:8" hidden="1" x14ac:dyDescent="0.15">
      <c r="A2956" s="2200" t="s">
        <v>10723</v>
      </c>
      <c r="B2956" s="2200" t="s">
        <v>16619</v>
      </c>
      <c r="C2956" s="2200" t="s">
        <v>16620</v>
      </c>
      <c r="D2956" s="2200" t="str">
        <f t="shared" si="184"/>
        <v>UT</v>
      </c>
      <c r="E2956" s="2200">
        <f t="shared" si="185"/>
        <v>9</v>
      </c>
      <c r="F2956" s="2200" t="str">
        <f t="shared" si="186"/>
        <v>49</v>
      </c>
      <c r="G2956" s="2200" t="str">
        <f t="shared" si="187"/>
        <v>65110</v>
      </c>
      <c r="H2956" s="2200">
        <f>--SUBTOTAL(3,C$2:C2956)</f>
        <v>99</v>
      </c>
    </row>
    <row r="2957" spans="1:8" hidden="1" x14ac:dyDescent="0.15">
      <c r="A2957" s="2200" t="s">
        <v>10723</v>
      </c>
      <c r="B2957" s="2200" t="s">
        <v>16621</v>
      </c>
      <c r="C2957" s="2200" t="s">
        <v>16622</v>
      </c>
      <c r="D2957" s="2200" t="str">
        <f t="shared" si="184"/>
        <v>UT</v>
      </c>
      <c r="E2957" s="2200">
        <f t="shared" si="185"/>
        <v>20</v>
      </c>
      <c r="F2957" s="2200" t="str">
        <f t="shared" si="186"/>
        <v>49</v>
      </c>
      <c r="G2957" s="2200" t="str">
        <f t="shared" si="187"/>
        <v>67000</v>
      </c>
      <c r="H2957" s="2200">
        <f>--SUBTOTAL(3,C$2:C2957)</f>
        <v>99</v>
      </c>
    </row>
    <row r="2958" spans="1:8" hidden="1" x14ac:dyDescent="0.15">
      <c r="A2958" s="2200" t="s">
        <v>10723</v>
      </c>
      <c r="B2958" s="2200" t="s">
        <v>16623</v>
      </c>
      <c r="C2958" s="2200" t="s">
        <v>16624</v>
      </c>
      <c r="D2958" s="2200" t="str">
        <f t="shared" si="184"/>
        <v>UT</v>
      </c>
      <c r="E2958" s="2200">
        <f t="shared" si="185"/>
        <v>11</v>
      </c>
      <c r="F2958" s="2200" t="str">
        <f t="shared" si="186"/>
        <v>49</v>
      </c>
      <c r="G2958" s="2200" t="str">
        <f t="shared" si="187"/>
        <v>67440</v>
      </c>
      <c r="H2958" s="2200">
        <f>--SUBTOTAL(3,C$2:C2958)</f>
        <v>99</v>
      </c>
    </row>
    <row r="2959" spans="1:8" hidden="1" x14ac:dyDescent="0.15">
      <c r="A2959" s="2200" t="s">
        <v>10723</v>
      </c>
      <c r="B2959" s="2200" t="s">
        <v>16625</v>
      </c>
      <c r="C2959" s="2200" t="s">
        <v>16626</v>
      </c>
      <c r="D2959" s="2200" t="str">
        <f t="shared" si="184"/>
        <v>UT</v>
      </c>
      <c r="E2959" s="2200">
        <f t="shared" si="185"/>
        <v>22</v>
      </c>
      <c r="F2959" s="2200" t="str">
        <f t="shared" si="186"/>
        <v>49</v>
      </c>
      <c r="G2959" s="2200" t="str">
        <f t="shared" si="187"/>
        <v>67825</v>
      </c>
      <c r="H2959" s="2200">
        <f>--SUBTOTAL(3,C$2:C2959)</f>
        <v>99</v>
      </c>
    </row>
    <row r="2960" spans="1:8" hidden="1" x14ac:dyDescent="0.15">
      <c r="A2960" s="2200" t="s">
        <v>10723</v>
      </c>
      <c r="B2960" s="2200" t="s">
        <v>16627</v>
      </c>
      <c r="C2960" s="2200" t="s">
        <v>16628</v>
      </c>
      <c r="D2960" s="2200" t="str">
        <f t="shared" si="184"/>
        <v>UT</v>
      </c>
      <c r="E2960" s="2200">
        <f t="shared" si="185"/>
        <v>18</v>
      </c>
      <c r="F2960" s="2200" t="str">
        <f t="shared" si="186"/>
        <v>49</v>
      </c>
      <c r="G2960" s="2200" t="str">
        <f t="shared" si="187"/>
        <v>70850</v>
      </c>
      <c r="H2960" s="2200">
        <f>--SUBTOTAL(3,C$2:C2960)</f>
        <v>99</v>
      </c>
    </row>
    <row r="2961" spans="1:8" hidden="1" x14ac:dyDescent="0.15">
      <c r="A2961" s="2200" t="s">
        <v>10723</v>
      </c>
      <c r="B2961" s="2200" t="s">
        <v>16629</v>
      </c>
      <c r="C2961" s="2200" t="s">
        <v>16630</v>
      </c>
      <c r="D2961" s="2200" t="str">
        <f t="shared" si="184"/>
        <v>UT</v>
      </c>
      <c r="E2961" s="2200">
        <f t="shared" si="185"/>
        <v>21</v>
      </c>
      <c r="F2961" s="2200" t="str">
        <f t="shared" si="186"/>
        <v>49</v>
      </c>
      <c r="G2961" s="2200" t="str">
        <f t="shared" si="187"/>
        <v>71070</v>
      </c>
      <c r="H2961" s="2200">
        <f>--SUBTOTAL(3,C$2:C2961)</f>
        <v>99</v>
      </c>
    </row>
    <row r="2962" spans="1:8" hidden="1" x14ac:dyDescent="0.15">
      <c r="A2962" s="2200" t="s">
        <v>10723</v>
      </c>
      <c r="B2962" s="2200" t="s">
        <v>16631</v>
      </c>
      <c r="C2962" s="2200" t="s">
        <v>16632</v>
      </c>
      <c r="D2962" s="2200" t="str">
        <f t="shared" si="184"/>
        <v>UT</v>
      </c>
      <c r="E2962" s="2200">
        <f t="shared" si="185"/>
        <v>18</v>
      </c>
      <c r="F2962" s="2200" t="str">
        <f t="shared" si="186"/>
        <v>49</v>
      </c>
      <c r="G2962" s="2200" t="str">
        <f t="shared" si="187"/>
        <v>71290</v>
      </c>
      <c r="H2962" s="2200">
        <f>--SUBTOTAL(3,C$2:C2962)</f>
        <v>99</v>
      </c>
    </row>
    <row r="2963" spans="1:8" hidden="1" x14ac:dyDescent="0.15">
      <c r="A2963" s="2200" t="s">
        <v>10723</v>
      </c>
      <c r="B2963" s="2200" t="s">
        <v>16633</v>
      </c>
      <c r="C2963" s="2200" t="s">
        <v>16634</v>
      </c>
      <c r="D2963" s="2200" t="str">
        <f t="shared" si="184"/>
        <v>UT</v>
      </c>
      <c r="E2963" s="2200">
        <f t="shared" si="185"/>
        <v>17</v>
      </c>
      <c r="F2963" s="2200" t="str">
        <f t="shared" si="186"/>
        <v>49</v>
      </c>
      <c r="G2963" s="2200" t="str">
        <f t="shared" si="187"/>
        <v>72280</v>
      </c>
      <c r="H2963" s="2200">
        <f>--SUBTOTAL(3,C$2:C2963)</f>
        <v>99</v>
      </c>
    </row>
    <row r="2964" spans="1:8" hidden="1" x14ac:dyDescent="0.15">
      <c r="A2964" s="2200" t="s">
        <v>10723</v>
      </c>
      <c r="B2964" s="2200" t="s">
        <v>16635</v>
      </c>
      <c r="C2964" s="2200" t="s">
        <v>16636</v>
      </c>
      <c r="D2964" s="2200" t="str">
        <f t="shared" si="184"/>
        <v>UT</v>
      </c>
      <c r="E2964" s="2200">
        <f t="shared" si="185"/>
        <v>16</v>
      </c>
      <c r="F2964" s="2200" t="str">
        <f t="shared" si="186"/>
        <v>49</v>
      </c>
      <c r="G2964" s="2200" t="str">
        <f t="shared" si="187"/>
        <v>65330</v>
      </c>
      <c r="H2964" s="2200">
        <f>--SUBTOTAL(3,C$2:C2964)</f>
        <v>99</v>
      </c>
    </row>
    <row r="2965" spans="1:8" hidden="1" x14ac:dyDescent="0.15">
      <c r="A2965" s="2200" t="s">
        <v>10723</v>
      </c>
      <c r="B2965" s="2200" t="s">
        <v>16637</v>
      </c>
      <c r="C2965" s="2200" t="s">
        <v>16638</v>
      </c>
      <c r="D2965" s="2200" t="str">
        <f t="shared" si="184"/>
        <v>UT</v>
      </c>
      <c r="E2965" s="2200">
        <f t="shared" si="185"/>
        <v>14</v>
      </c>
      <c r="F2965" s="2200" t="str">
        <f t="shared" si="186"/>
        <v>49</v>
      </c>
      <c r="G2965" s="2200" t="str">
        <f t="shared" si="187"/>
        <v>74810</v>
      </c>
      <c r="H2965" s="2200">
        <f>--SUBTOTAL(3,C$2:C2965)</f>
        <v>99</v>
      </c>
    </row>
    <row r="2966" spans="1:8" hidden="1" x14ac:dyDescent="0.15">
      <c r="A2966" s="2200" t="s">
        <v>10723</v>
      </c>
      <c r="B2966" s="2200" t="s">
        <v>16639</v>
      </c>
      <c r="C2966" s="2200" t="s">
        <v>16640</v>
      </c>
      <c r="D2966" s="2200" t="str">
        <f t="shared" si="184"/>
        <v>UT</v>
      </c>
      <c r="E2966" s="2200">
        <f t="shared" si="185"/>
        <v>18</v>
      </c>
      <c r="F2966" s="2200" t="str">
        <f t="shared" si="186"/>
        <v>49</v>
      </c>
      <c r="G2966" s="2200" t="str">
        <f t="shared" si="187"/>
        <v>75360</v>
      </c>
      <c r="H2966" s="2200">
        <f>--SUBTOTAL(3,C$2:C2966)</f>
        <v>99</v>
      </c>
    </row>
    <row r="2967" spans="1:8" hidden="1" x14ac:dyDescent="0.15">
      <c r="A2967" s="2200" t="s">
        <v>10723</v>
      </c>
      <c r="B2967" s="2200" t="s">
        <v>16641</v>
      </c>
      <c r="C2967" s="2200" t="s">
        <v>16642</v>
      </c>
      <c r="D2967" s="2200" t="str">
        <f t="shared" si="184"/>
        <v>UT</v>
      </c>
      <c r="E2967" s="2200">
        <f t="shared" si="185"/>
        <v>12</v>
      </c>
      <c r="F2967" s="2200" t="str">
        <f t="shared" si="186"/>
        <v>49</v>
      </c>
      <c r="G2967" s="2200" t="str">
        <f t="shared" si="187"/>
        <v>76680</v>
      </c>
      <c r="H2967" s="2200">
        <f>--SUBTOTAL(3,C$2:C2967)</f>
        <v>99</v>
      </c>
    </row>
    <row r="2968" spans="1:8" hidden="1" x14ac:dyDescent="0.15">
      <c r="A2968" s="2200" t="s">
        <v>10723</v>
      </c>
      <c r="B2968" s="2200" t="s">
        <v>16643</v>
      </c>
      <c r="C2968" s="2200" t="s">
        <v>16644</v>
      </c>
      <c r="D2968" s="2200" t="str">
        <f t="shared" si="184"/>
        <v>UT</v>
      </c>
      <c r="E2968" s="2200">
        <f t="shared" si="185"/>
        <v>16</v>
      </c>
      <c r="F2968" s="2200" t="str">
        <f t="shared" si="186"/>
        <v>49</v>
      </c>
      <c r="G2968" s="2200" t="str">
        <f t="shared" si="187"/>
        <v>81960</v>
      </c>
      <c r="H2968" s="2200">
        <f>--SUBTOTAL(3,C$2:C2968)</f>
        <v>99</v>
      </c>
    </row>
    <row r="2969" spans="1:8" hidden="1" x14ac:dyDescent="0.15">
      <c r="A2969" s="2200" t="s">
        <v>10723</v>
      </c>
      <c r="B2969" s="2200" t="s">
        <v>16645</v>
      </c>
      <c r="C2969" s="2200" t="s">
        <v>16646</v>
      </c>
      <c r="D2969" s="2200" t="str">
        <f t="shared" si="184"/>
        <v>UT</v>
      </c>
      <c r="E2969" s="2200">
        <f t="shared" si="185"/>
        <v>17</v>
      </c>
      <c r="F2969" s="2200" t="str">
        <f t="shared" si="186"/>
        <v>49</v>
      </c>
      <c r="G2969" s="2200" t="str">
        <f t="shared" si="187"/>
        <v>82950</v>
      </c>
      <c r="H2969" s="2200">
        <f>--SUBTOTAL(3,C$2:C2969)</f>
        <v>99</v>
      </c>
    </row>
    <row r="2970" spans="1:8" hidden="1" x14ac:dyDescent="0.15">
      <c r="A2970" s="2200" t="s">
        <v>10723</v>
      </c>
      <c r="B2970" s="2200" t="s">
        <v>16647</v>
      </c>
      <c r="C2970" s="2200" t="s">
        <v>16648</v>
      </c>
      <c r="D2970" s="2200" t="str">
        <f t="shared" si="184"/>
        <v>UT</v>
      </c>
      <c r="E2970" s="2200">
        <f t="shared" si="185"/>
        <v>22</v>
      </c>
      <c r="F2970" s="2200" t="str">
        <f t="shared" si="186"/>
        <v>49</v>
      </c>
      <c r="G2970" s="2200" t="str">
        <f t="shared" si="187"/>
        <v>83470</v>
      </c>
      <c r="H2970" s="2200">
        <f>--SUBTOTAL(3,C$2:C2970)</f>
        <v>99</v>
      </c>
    </row>
    <row r="2971" spans="1:8" hidden="1" x14ac:dyDescent="0.15">
      <c r="A2971" s="2200" t="s">
        <v>10723</v>
      </c>
      <c r="B2971" s="2200" t="s">
        <v>16649</v>
      </c>
      <c r="C2971" s="2200" t="s">
        <v>10114</v>
      </c>
      <c r="D2971" s="2200" t="str">
        <f t="shared" si="184"/>
        <v>VA</v>
      </c>
      <c r="E2971" s="2200">
        <f t="shared" si="185"/>
        <v>16</v>
      </c>
      <c r="F2971" s="2200" t="str">
        <f t="shared" si="186"/>
        <v>51</v>
      </c>
      <c r="G2971" s="2200" t="str">
        <f t="shared" si="187"/>
        <v>01000</v>
      </c>
      <c r="H2971" s="2200">
        <f>--SUBTOTAL(3,C$2:C2971)</f>
        <v>99</v>
      </c>
    </row>
    <row r="2972" spans="1:8" hidden="1" x14ac:dyDescent="0.15">
      <c r="A2972" s="2200" t="s">
        <v>11443</v>
      </c>
      <c r="B2972" s="2200" t="s">
        <v>16650</v>
      </c>
      <c r="C2972" s="2200" t="s">
        <v>16651</v>
      </c>
      <c r="D2972" s="2200" t="str">
        <f t="shared" si="184"/>
        <v>VA</v>
      </c>
      <c r="E2972" s="2200">
        <f t="shared" si="185"/>
        <v>20</v>
      </c>
      <c r="F2972" s="2200" t="str">
        <f t="shared" si="186"/>
        <v>51</v>
      </c>
      <c r="G2972" s="2200" t="str">
        <f t="shared" si="187"/>
        <v>80180</v>
      </c>
      <c r="H2972" s="2200">
        <f>--SUBTOTAL(3,C$2:C2972)</f>
        <v>99</v>
      </c>
    </row>
    <row r="2973" spans="1:8" hidden="1" x14ac:dyDescent="0.15">
      <c r="A2973" s="2200" t="s">
        <v>10723</v>
      </c>
      <c r="B2973" s="2200" t="s">
        <v>16652</v>
      </c>
      <c r="C2973" s="2200" t="s">
        <v>16653</v>
      </c>
      <c r="D2973" s="2200" t="str">
        <f t="shared" si="184"/>
        <v>VA</v>
      </c>
      <c r="E2973" s="2200">
        <f t="shared" si="185"/>
        <v>16</v>
      </c>
      <c r="F2973" s="2200" t="str">
        <f t="shared" si="186"/>
        <v>51</v>
      </c>
      <c r="G2973" s="2200" t="str">
        <f t="shared" si="187"/>
        <v>07784</v>
      </c>
      <c r="H2973" s="2200">
        <f>--SUBTOTAL(3,C$2:C2973)</f>
        <v>99</v>
      </c>
    </row>
    <row r="2974" spans="1:8" hidden="1" x14ac:dyDescent="0.15">
      <c r="A2974" s="2200" t="s">
        <v>10723</v>
      </c>
      <c r="B2974" s="2200" t="s">
        <v>16654</v>
      </c>
      <c r="C2974" s="2200" t="s">
        <v>10116</v>
      </c>
      <c r="D2974" s="2200" t="str">
        <f t="shared" si="184"/>
        <v>VA</v>
      </c>
      <c r="E2974" s="2200">
        <f t="shared" si="185"/>
        <v>13</v>
      </c>
      <c r="F2974" s="2200" t="str">
        <f t="shared" si="186"/>
        <v>51</v>
      </c>
      <c r="G2974" s="2200" t="str">
        <f t="shared" si="187"/>
        <v>09816</v>
      </c>
      <c r="H2974" s="2200">
        <f>--SUBTOTAL(3,C$2:C2974)</f>
        <v>99</v>
      </c>
    </row>
    <row r="2975" spans="1:8" hidden="1" x14ac:dyDescent="0.15">
      <c r="A2975" s="2200" t="s">
        <v>10723</v>
      </c>
      <c r="B2975" s="2200" t="s">
        <v>16655</v>
      </c>
      <c r="C2975" s="2200" t="s">
        <v>10118</v>
      </c>
      <c r="D2975" s="2200" t="str">
        <f t="shared" si="184"/>
        <v>VA</v>
      </c>
      <c r="E2975" s="2200">
        <f t="shared" si="185"/>
        <v>17</v>
      </c>
      <c r="F2975" s="2200" t="str">
        <f t="shared" si="186"/>
        <v>51</v>
      </c>
      <c r="G2975" s="2200" t="str">
        <f t="shared" si="187"/>
        <v>11032</v>
      </c>
      <c r="H2975" s="2200">
        <f>--SUBTOTAL(3,C$2:C2975)</f>
        <v>99</v>
      </c>
    </row>
    <row r="2976" spans="1:8" hidden="1" x14ac:dyDescent="0.15">
      <c r="A2976" s="2200" t="s">
        <v>11443</v>
      </c>
      <c r="B2976" s="2200" t="s">
        <v>16656</v>
      </c>
      <c r="C2976" s="2200" t="s">
        <v>16657</v>
      </c>
      <c r="D2976" s="2200" t="str">
        <f t="shared" si="184"/>
        <v>VA</v>
      </c>
      <c r="E2976" s="2200">
        <f t="shared" si="185"/>
        <v>22</v>
      </c>
      <c r="F2976" s="2200" t="str">
        <f t="shared" si="186"/>
        <v>51</v>
      </c>
      <c r="G2976" s="2200" t="str">
        <f t="shared" si="187"/>
        <v>80580</v>
      </c>
      <c r="H2976" s="2200">
        <f>--SUBTOTAL(3,C$2:C2976)</f>
        <v>99</v>
      </c>
    </row>
    <row r="2977" spans="1:8" hidden="1" x14ac:dyDescent="0.15">
      <c r="A2977" s="2200" t="s">
        <v>10723</v>
      </c>
      <c r="B2977" s="2200" t="s">
        <v>16658</v>
      </c>
      <c r="C2977" s="2200" t="s">
        <v>10120</v>
      </c>
      <c r="D2977" s="2200" t="str">
        <f t="shared" si="184"/>
        <v>VA</v>
      </c>
      <c r="E2977" s="2200">
        <f t="shared" si="185"/>
        <v>21</v>
      </c>
      <c r="F2977" s="2200" t="str">
        <f t="shared" si="186"/>
        <v>51</v>
      </c>
      <c r="G2977" s="2200" t="str">
        <f t="shared" si="187"/>
        <v>14968</v>
      </c>
      <c r="H2977" s="2200">
        <f>--SUBTOTAL(3,C$2:C2977)</f>
        <v>99</v>
      </c>
    </row>
    <row r="2978" spans="1:8" hidden="1" x14ac:dyDescent="0.15">
      <c r="A2978" s="2200" t="s">
        <v>10723</v>
      </c>
      <c r="B2978" s="2200" t="s">
        <v>16659</v>
      </c>
      <c r="C2978" s="2200" t="s">
        <v>10122</v>
      </c>
      <c r="D2978" s="2200" t="str">
        <f t="shared" si="184"/>
        <v>VA</v>
      </c>
      <c r="E2978" s="2200">
        <f t="shared" si="185"/>
        <v>16</v>
      </c>
      <c r="F2978" s="2200" t="str">
        <f t="shared" si="186"/>
        <v>51</v>
      </c>
      <c r="G2978" s="2200" t="str">
        <f t="shared" si="187"/>
        <v>16000</v>
      </c>
      <c r="H2978" s="2200">
        <f>--SUBTOTAL(3,C$2:C2978)</f>
        <v>99</v>
      </c>
    </row>
    <row r="2979" spans="1:8" hidden="1" x14ac:dyDescent="0.15">
      <c r="A2979" s="2200" t="s">
        <v>10723</v>
      </c>
      <c r="B2979" s="2200" t="s">
        <v>16660</v>
      </c>
      <c r="C2979" s="2200" t="s">
        <v>10124</v>
      </c>
      <c r="D2979" s="2200" t="str">
        <f t="shared" si="184"/>
        <v>VA</v>
      </c>
      <c r="E2979" s="2200">
        <f t="shared" si="185"/>
        <v>22</v>
      </c>
      <c r="F2979" s="2200" t="str">
        <f t="shared" si="186"/>
        <v>51</v>
      </c>
      <c r="G2979" s="2200" t="str">
        <f t="shared" si="187"/>
        <v>18448</v>
      </c>
      <c r="H2979" s="2200">
        <f>--SUBTOTAL(3,C$2:C2979)</f>
        <v>99</v>
      </c>
    </row>
    <row r="2980" spans="1:8" hidden="1" x14ac:dyDescent="0.15">
      <c r="A2980" s="2200" t="s">
        <v>10723</v>
      </c>
      <c r="B2980" s="2200" t="s">
        <v>16661</v>
      </c>
      <c r="C2980" s="2200" t="s">
        <v>10126</v>
      </c>
      <c r="D2980" s="2200" t="str">
        <f t="shared" si="184"/>
        <v>VA</v>
      </c>
      <c r="E2980" s="2200">
        <f t="shared" si="185"/>
        <v>15</v>
      </c>
      <c r="F2980" s="2200" t="str">
        <f t="shared" si="186"/>
        <v>51</v>
      </c>
      <c r="G2980" s="2200" t="str">
        <f t="shared" si="187"/>
        <v>19728</v>
      </c>
      <c r="H2980" s="2200">
        <f>--SUBTOTAL(3,C$2:C2980)</f>
        <v>99</v>
      </c>
    </row>
    <row r="2981" spans="1:8" hidden="1" x14ac:dyDescent="0.15">
      <c r="A2981" s="2200" t="s">
        <v>10723</v>
      </c>
      <c r="B2981" s="2200" t="s">
        <v>16662</v>
      </c>
      <c r="C2981" s="2200" t="s">
        <v>10128</v>
      </c>
      <c r="D2981" s="2200" t="str">
        <f t="shared" si="184"/>
        <v>VA</v>
      </c>
      <c r="E2981" s="2200">
        <f t="shared" si="185"/>
        <v>14</v>
      </c>
      <c r="F2981" s="2200" t="str">
        <f t="shared" si="186"/>
        <v>51</v>
      </c>
      <c r="G2981" s="2200" t="str">
        <f t="shared" si="187"/>
        <v>21344</v>
      </c>
      <c r="H2981" s="2200">
        <f>--SUBTOTAL(3,C$2:C2981)</f>
        <v>99</v>
      </c>
    </row>
    <row r="2982" spans="1:8" hidden="1" x14ac:dyDescent="0.15">
      <c r="A2982" s="2200" t="s">
        <v>10723</v>
      </c>
      <c r="B2982" s="2200" t="s">
        <v>16663</v>
      </c>
      <c r="C2982" s="2200" t="s">
        <v>10130</v>
      </c>
      <c r="D2982" s="2200" t="str">
        <f t="shared" si="184"/>
        <v>VA</v>
      </c>
      <c r="E2982" s="2200">
        <f t="shared" si="185"/>
        <v>13</v>
      </c>
      <c r="F2982" s="2200" t="str">
        <f t="shared" si="186"/>
        <v>51</v>
      </c>
      <c r="G2982" s="2200" t="str">
        <f t="shared" si="187"/>
        <v>25808</v>
      </c>
      <c r="H2982" s="2200">
        <f>--SUBTOTAL(3,C$2:C2982)</f>
        <v>99</v>
      </c>
    </row>
    <row r="2983" spans="1:8" hidden="1" x14ac:dyDescent="0.15">
      <c r="A2983" s="2200" t="s">
        <v>10723</v>
      </c>
      <c r="B2983" s="2200" t="s">
        <v>16664</v>
      </c>
      <c r="C2983" s="2200" t="s">
        <v>10132</v>
      </c>
      <c r="D2983" s="2200" t="str">
        <f t="shared" si="184"/>
        <v>VA</v>
      </c>
      <c r="E2983" s="2200">
        <f t="shared" si="185"/>
        <v>13</v>
      </c>
      <c r="F2983" s="2200" t="str">
        <f t="shared" si="186"/>
        <v>51</v>
      </c>
      <c r="G2983" s="2200" t="str">
        <f t="shared" si="187"/>
        <v>26496</v>
      </c>
      <c r="H2983" s="2200">
        <f>--SUBTOTAL(3,C$2:C2983)</f>
        <v>99</v>
      </c>
    </row>
    <row r="2984" spans="1:8" hidden="1" x14ac:dyDescent="0.15">
      <c r="A2984" s="2200" t="s">
        <v>10723</v>
      </c>
      <c r="B2984" s="2200" t="s">
        <v>16665</v>
      </c>
      <c r="C2984" s="2200" t="s">
        <v>10134</v>
      </c>
      <c r="D2984" s="2200" t="str">
        <f t="shared" si="184"/>
        <v>VA</v>
      </c>
      <c r="E2984" s="2200">
        <f t="shared" si="185"/>
        <v>18</v>
      </c>
      <c r="F2984" s="2200" t="str">
        <f t="shared" si="186"/>
        <v>51</v>
      </c>
      <c r="G2984" s="2200" t="str">
        <f t="shared" si="187"/>
        <v>27200</v>
      </c>
      <c r="H2984" s="2200">
        <f>--SUBTOTAL(3,C$2:C2984)</f>
        <v>99</v>
      </c>
    </row>
    <row r="2985" spans="1:8" hidden="1" x14ac:dyDescent="0.15">
      <c r="A2985" s="2200" t="s">
        <v>10723</v>
      </c>
      <c r="B2985" s="2200" t="s">
        <v>16666</v>
      </c>
      <c r="C2985" s="2200" t="s">
        <v>10136</v>
      </c>
      <c r="D2985" s="2200" t="str">
        <f t="shared" si="184"/>
        <v>VA</v>
      </c>
      <c r="E2985" s="2200">
        <f t="shared" si="185"/>
        <v>14</v>
      </c>
      <c r="F2985" s="2200" t="str">
        <f t="shared" si="186"/>
        <v>51</v>
      </c>
      <c r="G2985" s="2200" t="str">
        <f t="shared" si="187"/>
        <v>29600</v>
      </c>
      <c r="H2985" s="2200">
        <f>--SUBTOTAL(3,C$2:C2985)</f>
        <v>99</v>
      </c>
    </row>
    <row r="2986" spans="1:8" hidden="1" x14ac:dyDescent="0.15">
      <c r="A2986" s="2200" t="s">
        <v>10723</v>
      </c>
      <c r="B2986" s="2200" t="s">
        <v>16667</v>
      </c>
      <c r="C2986" s="2200" t="s">
        <v>10138</v>
      </c>
      <c r="D2986" s="2200" t="str">
        <f t="shared" si="184"/>
        <v>VA</v>
      </c>
      <c r="E2986" s="2200">
        <f t="shared" si="185"/>
        <v>20</v>
      </c>
      <c r="F2986" s="2200" t="str">
        <f t="shared" si="186"/>
        <v>51</v>
      </c>
      <c r="G2986" s="2200" t="str">
        <f t="shared" si="187"/>
        <v>29744</v>
      </c>
      <c r="H2986" s="2200">
        <f>--SUBTOTAL(3,C$2:C2986)</f>
        <v>99</v>
      </c>
    </row>
    <row r="2987" spans="1:8" hidden="1" x14ac:dyDescent="0.15">
      <c r="A2987" s="2200" t="s">
        <v>10723</v>
      </c>
      <c r="B2987" s="2200" t="s">
        <v>16668</v>
      </c>
      <c r="C2987" s="2200" t="s">
        <v>10140</v>
      </c>
      <c r="D2987" s="2200" t="str">
        <f t="shared" si="184"/>
        <v>VA</v>
      </c>
      <c r="E2987" s="2200">
        <f t="shared" si="185"/>
        <v>11</v>
      </c>
      <c r="F2987" s="2200" t="str">
        <f t="shared" si="186"/>
        <v>51</v>
      </c>
      <c r="G2987" s="2200" t="str">
        <f t="shared" si="187"/>
        <v>30208</v>
      </c>
      <c r="H2987" s="2200">
        <f>--SUBTOTAL(3,C$2:C2987)</f>
        <v>99</v>
      </c>
    </row>
    <row r="2988" spans="1:8" hidden="1" x14ac:dyDescent="0.15">
      <c r="A2988" s="2200" t="s">
        <v>11443</v>
      </c>
      <c r="B2988" s="2200" t="s">
        <v>16669</v>
      </c>
      <c r="C2988" s="2200" t="s">
        <v>16670</v>
      </c>
      <c r="D2988" s="2200" t="str">
        <f t="shared" si="184"/>
        <v>VA</v>
      </c>
      <c r="E2988" s="2200">
        <f t="shared" si="185"/>
        <v>20</v>
      </c>
      <c r="F2988" s="2200" t="str">
        <f t="shared" si="186"/>
        <v>51</v>
      </c>
      <c r="G2988" s="2200" t="str">
        <f t="shared" si="187"/>
        <v>81180</v>
      </c>
      <c r="H2988" s="2200">
        <f>--SUBTOTAL(3,C$2:C2988)</f>
        <v>99</v>
      </c>
    </row>
    <row r="2989" spans="1:8" hidden="1" x14ac:dyDescent="0.15">
      <c r="A2989" s="2200" t="s">
        <v>10723</v>
      </c>
      <c r="B2989" s="2200" t="s">
        <v>16671</v>
      </c>
      <c r="C2989" s="2200" t="s">
        <v>10142</v>
      </c>
      <c r="D2989" s="2200" t="str">
        <f t="shared" si="184"/>
        <v>VA</v>
      </c>
      <c r="E2989" s="2200">
        <f t="shared" si="185"/>
        <v>13</v>
      </c>
      <c r="F2989" s="2200" t="str">
        <f t="shared" si="186"/>
        <v>51</v>
      </c>
      <c r="G2989" s="2200" t="str">
        <f t="shared" si="187"/>
        <v>35000</v>
      </c>
      <c r="H2989" s="2200">
        <f>--SUBTOTAL(3,C$2:C2989)</f>
        <v>99</v>
      </c>
    </row>
    <row r="2990" spans="1:8" hidden="1" x14ac:dyDescent="0.15">
      <c r="A2990" s="2200" t="s">
        <v>10723</v>
      </c>
      <c r="B2990" s="2200" t="s">
        <v>16672</v>
      </c>
      <c r="C2990" s="2200" t="s">
        <v>10144</v>
      </c>
      <c r="D2990" s="2200" t="str">
        <f t="shared" si="184"/>
        <v>VA</v>
      </c>
      <c r="E2990" s="2200">
        <f t="shared" si="185"/>
        <v>18</v>
      </c>
      <c r="F2990" s="2200" t="str">
        <f t="shared" si="186"/>
        <v>51</v>
      </c>
      <c r="G2990" s="2200" t="str">
        <f t="shared" si="187"/>
        <v>35624</v>
      </c>
      <c r="H2990" s="2200">
        <f>--SUBTOTAL(3,C$2:C2990)</f>
        <v>99</v>
      </c>
    </row>
    <row r="2991" spans="1:8" hidden="1" x14ac:dyDescent="0.15">
      <c r="A2991" s="2200" t="s">
        <v>10723</v>
      </c>
      <c r="B2991" s="2200" t="s">
        <v>16673</v>
      </c>
      <c r="C2991" s="2200" t="s">
        <v>10146</v>
      </c>
      <c r="D2991" s="2200" t="str">
        <f t="shared" si="184"/>
        <v>VA</v>
      </c>
      <c r="E2991" s="2200">
        <f t="shared" si="185"/>
        <v>14</v>
      </c>
      <c r="F2991" s="2200" t="str">
        <f t="shared" si="186"/>
        <v>51</v>
      </c>
      <c r="G2991" s="2200" t="str">
        <f t="shared" si="187"/>
        <v>38424</v>
      </c>
      <c r="H2991" s="2200">
        <f>--SUBTOTAL(3,C$2:C2991)</f>
        <v>99</v>
      </c>
    </row>
    <row r="2992" spans="1:8" hidden="1" x14ac:dyDescent="0.15">
      <c r="A2992" s="2200" t="s">
        <v>10723</v>
      </c>
      <c r="B2992" s="2200" t="s">
        <v>16674</v>
      </c>
      <c r="C2992" s="2200" t="s">
        <v>16675</v>
      </c>
      <c r="D2992" s="2200" t="str">
        <f t="shared" si="184"/>
        <v>VA</v>
      </c>
      <c r="E2992" s="2200">
        <f t="shared" si="185"/>
        <v>14</v>
      </c>
      <c r="F2992" s="2200" t="str">
        <f t="shared" si="186"/>
        <v>51</v>
      </c>
      <c r="G2992" s="2200" t="str">
        <f t="shared" si="187"/>
        <v>44984</v>
      </c>
      <c r="H2992" s="2200">
        <f>--SUBTOTAL(3,C$2:C2992)</f>
        <v>99</v>
      </c>
    </row>
    <row r="2993" spans="1:8" hidden="1" x14ac:dyDescent="0.15">
      <c r="A2993" s="2200" t="s">
        <v>10723</v>
      </c>
      <c r="B2993" s="2200" t="s">
        <v>16676</v>
      </c>
      <c r="C2993" s="2200" t="s">
        <v>10148</v>
      </c>
      <c r="D2993" s="2200" t="str">
        <f t="shared" si="184"/>
        <v>VA</v>
      </c>
      <c r="E2993" s="2200">
        <f t="shared" si="185"/>
        <v>15</v>
      </c>
      <c r="F2993" s="2200" t="str">
        <f t="shared" si="186"/>
        <v>51</v>
      </c>
      <c r="G2993" s="2200" t="str">
        <f t="shared" si="187"/>
        <v>45512</v>
      </c>
      <c r="H2993" s="2200">
        <f>--SUBTOTAL(3,C$2:C2993)</f>
        <v>99</v>
      </c>
    </row>
    <row r="2994" spans="1:8" hidden="1" x14ac:dyDescent="0.15">
      <c r="A2994" s="2200" t="s">
        <v>10723</v>
      </c>
      <c r="B2994" s="2200" t="s">
        <v>16677</v>
      </c>
      <c r="C2994" s="2200" t="s">
        <v>10150</v>
      </c>
      <c r="D2994" s="2200" t="str">
        <f t="shared" si="184"/>
        <v>VA</v>
      </c>
      <c r="E2994" s="2200">
        <f t="shared" si="185"/>
        <v>15</v>
      </c>
      <c r="F2994" s="2200" t="str">
        <f t="shared" si="186"/>
        <v>51</v>
      </c>
      <c r="G2994" s="2200" t="str">
        <f t="shared" si="187"/>
        <v>47672</v>
      </c>
      <c r="H2994" s="2200">
        <f>--SUBTOTAL(3,C$2:C2994)</f>
        <v>99</v>
      </c>
    </row>
    <row r="2995" spans="1:8" hidden="1" x14ac:dyDescent="0.15">
      <c r="A2995" s="2200" t="s">
        <v>10723</v>
      </c>
      <c r="B2995" s="2200" t="s">
        <v>16678</v>
      </c>
      <c r="C2995" s="2200" t="s">
        <v>10152</v>
      </c>
      <c r="D2995" s="2200" t="str">
        <f t="shared" si="184"/>
        <v>VA</v>
      </c>
      <c r="E2995" s="2200">
        <f t="shared" si="185"/>
        <v>14</v>
      </c>
      <c r="F2995" s="2200" t="str">
        <f t="shared" si="186"/>
        <v>51</v>
      </c>
      <c r="G2995" s="2200" t="str">
        <f t="shared" si="187"/>
        <v>48952</v>
      </c>
      <c r="H2995" s="2200">
        <f>--SUBTOTAL(3,C$2:C2995)</f>
        <v>99</v>
      </c>
    </row>
    <row r="2996" spans="1:8" hidden="1" x14ac:dyDescent="0.15">
      <c r="A2996" s="2200" t="s">
        <v>10723</v>
      </c>
      <c r="B2996" s="2200" t="s">
        <v>16679</v>
      </c>
      <c r="C2996" s="2200" t="s">
        <v>10154</v>
      </c>
      <c r="D2996" s="2200" t="str">
        <f t="shared" si="184"/>
        <v>VA</v>
      </c>
      <c r="E2996" s="2200">
        <f t="shared" si="185"/>
        <v>19</v>
      </c>
      <c r="F2996" s="2200" t="str">
        <f t="shared" si="186"/>
        <v>51</v>
      </c>
      <c r="G2996" s="2200" t="str">
        <f t="shared" si="187"/>
        <v>48968</v>
      </c>
      <c r="H2996" s="2200">
        <f>--SUBTOTAL(3,C$2:C2996)</f>
        <v>99</v>
      </c>
    </row>
    <row r="2997" spans="1:8" hidden="1" x14ac:dyDescent="0.15">
      <c r="A2997" s="2200" t="s">
        <v>10723</v>
      </c>
      <c r="B2997" s="2200" t="s">
        <v>16680</v>
      </c>
      <c r="C2997" s="2200" t="s">
        <v>10156</v>
      </c>
      <c r="D2997" s="2200" t="str">
        <f t="shared" si="184"/>
        <v>VA</v>
      </c>
      <c r="E2997" s="2200">
        <f t="shared" si="185"/>
        <v>18</v>
      </c>
      <c r="F2997" s="2200" t="str">
        <f t="shared" si="186"/>
        <v>51</v>
      </c>
      <c r="G2997" s="2200" t="str">
        <f t="shared" si="187"/>
        <v>49784</v>
      </c>
      <c r="H2997" s="2200">
        <f>--SUBTOTAL(3,C$2:C2997)</f>
        <v>99</v>
      </c>
    </row>
    <row r="2998" spans="1:8" hidden="1" x14ac:dyDescent="0.15">
      <c r="A2998" s="2200" t="s">
        <v>10723</v>
      </c>
      <c r="B2998" s="2200" t="s">
        <v>16681</v>
      </c>
      <c r="C2998" s="2200" t="s">
        <v>10158</v>
      </c>
      <c r="D2998" s="2200" t="str">
        <f t="shared" si="184"/>
        <v>VA</v>
      </c>
      <c r="E2998" s="2200">
        <f t="shared" si="185"/>
        <v>18</v>
      </c>
      <c r="F2998" s="2200" t="str">
        <f t="shared" si="186"/>
        <v>51</v>
      </c>
      <c r="G2998" s="2200" t="str">
        <f t="shared" si="187"/>
        <v>56000</v>
      </c>
      <c r="H2998" s="2200">
        <f>--SUBTOTAL(3,C$2:C2998)</f>
        <v>99</v>
      </c>
    </row>
    <row r="2999" spans="1:8" hidden="1" x14ac:dyDescent="0.15">
      <c r="A2999" s="2200" t="s">
        <v>10723</v>
      </c>
      <c r="B2999" s="2200" t="s">
        <v>16682</v>
      </c>
      <c r="C2999" s="2200" t="s">
        <v>10160</v>
      </c>
      <c r="D2999" s="2200" t="str">
        <f t="shared" si="184"/>
        <v>VA</v>
      </c>
      <c r="E2999" s="2200">
        <f t="shared" si="185"/>
        <v>13</v>
      </c>
      <c r="F2999" s="2200" t="str">
        <f t="shared" si="186"/>
        <v>51</v>
      </c>
      <c r="G2999" s="2200" t="str">
        <f t="shared" si="187"/>
        <v>57000</v>
      </c>
      <c r="H2999" s="2200">
        <f>--SUBTOTAL(3,C$2:C2999)</f>
        <v>99</v>
      </c>
    </row>
    <row r="3000" spans="1:8" hidden="1" x14ac:dyDescent="0.15">
      <c r="A3000" s="2200" t="s">
        <v>10723</v>
      </c>
      <c r="B3000" s="2200" t="s">
        <v>16683</v>
      </c>
      <c r="C3000" s="2200" t="s">
        <v>10162</v>
      </c>
      <c r="D3000" s="2200" t="str">
        <f t="shared" si="184"/>
        <v>VA</v>
      </c>
      <c r="E3000" s="2200">
        <f t="shared" si="185"/>
        <v>12</v>
      </c>
      <c r="F3000" s="2200" t="str">
        <f t="shared" si="186"/>
        <v>51</v>
      </c>
      <c r="G3000" s="2200" t="str">
        <f t="shared" si="187"/>
        <v>57688</v>
      </c>
      <c r="H3000" s="2200">
        <f>--SUBTOTAL(3,C$2:C3000)</f>
        <v>99</v>
      </c>
    </row>
    <row r="3001" spans="1:8" hidden="1" x14ac:dyDescent="0.15">
      <c r="A3001" s="2200" t="s">
        <v>10723</v>
      </c>
      <c r="B3001" s="2200" t="s">
        <v>16684</v>
      </c>
      <c r="C3001" s="2200" t="s">
        <v>10164</v>
      </c>
      <c r="D3001" s="2200" t="str">
        <f t="shared" si="184"/>
        <v>VA</v>
      </c>
      <c r="E3001" s="2200">
        <f t="shared" si="185"/>
        <v>16</v>
      </c>
      <c r="F3001" s="2200" t="str">
        <f t="shared" si="186"/>
        <v>51</v>
      </c>
      <c r="G3001" s="2200" t="str">
        <f t="shared" si="187"/>
        <v>61832</v>
      </c>
      <c r="H3001" s="2200">
        <f>--SUBTOTAL(3,C$2:C3001)</f>
        <v>99</v>
      </c>
    </row>
    <row r="3002" spans="1:8" hidden="1" x14ac:dyDescent="0.15">
      <c r="A3002" s="2200" t="s">
        <v>10723</v>
      </c>
      <c r="B3002" s="2200" t="s">
        <v>16685</v>
      </c>
      <c r="C3002" s="2200" t="s">
        <v>10166</v>
      </c>
      <c r="D3002" s="2200" t="str">
        <f t="shared" si="184"/>
        <v>VA</v>
      </c>
      <c r="E3002" s="2200">
        <f t="shared" si="185"/>
        <v>14</v>
      </c>
      <c r="F3002" s="2200" t="str">
        <f t="shared" si="186"/>
        <v>51</v>
      </c>
      <c r="G3002" s="2200" t="str">
        <f t="shared" si="187"/>
        <v>63768</v>
      </c>
      <c r="H3002" s="2200">
        <f>--SUBTOTAL(3,C$2:C3002)</f>
        <v>99</v>
      </c>
    </row>
    <row r="3003" spans="1:8" hidden="1" x14ac:dyDescent="0.15">
      <c r="A3003" s="2200" t="s">
        <v>10723</v>
      </c>
      <c r="B3003" s="2200" t="s">
        <v>16686</v>
      </c>
      <c r="C3003" s="2200" t="s">
        <v>10168</v>
      </c>
      <c r="D3003" s="2200" t="str">
        <f t="shared" si="184"/>
        <v>VA</v>
      </c>
      <c r="E3003" s="2200">
        <f t="shared" si="185"/>
        <v>16</v>
      </c>
      <c r="F3003" s="2200" t="str">
        <f t="shared" si="186"/>
        <v>51</v>
      </c>
      <c r="G3003" s="2200" t="str">
        <f t="shared" si="187"/>
        <v>64000</v>
      </c>
      <c r="H3003" s="2200">
        <f>--SUBTOTAL(3,C$2:C3003)</f>
        <v>99</v>
      </c>
    </row>
    <row r="3004" spans="1:8" hidden="1" x14ac:dyDescent="0.15">
      <c r="A3004" s="2200" t="s">
        <v>11443</v>
      </c>
      <c r="B3004" s="2200" t="s">
        <v>16687</v>
      </c>
      <c r="C3004" s="2200" t="s">
        <v>16688</v>
      </c>
      <c r="D3004" s="2200" t="str">
        <f t="shared" si="184"/>
        <v>VA</v>
      </c>
      <c r="E3004" s="2200">
        <f t="shared" si="185"/>
        <v>25</v>
      </c>
      <c r="F3004" s="2200" t="str">
        <f t="shared" si="186"/>
        <v>51</v>
      </c>
      <c r="G3004" s="2200" t="str">
        <f t="shared" si="187"/>
        <v>82380</v>
      </c>
      <c r="H3004" s="2200">
        <f>--SUBTOTAL(3,C$2:C3004)</f>
        <v>99</v>
      </c>
    </row>
    <row r="3005" spans="1:8" hidden="1" x14ac:dyDescent="0.15">
      <c r="A3005" s="2200" t="s">
        <v>10723</v>
      </c>
      <c r="B3005" s="2200" t="s">
        <v>16689</v>
      </c>
      <c r="C3005" s="2200" t="s">
        <v>10170</v>
      </c>
      <c r="D3005" s="2200" t="str">
        <f t="shared" si="184"/>
        <v>VA</v>
      </c>
      <c r="E3005" s="2200">
        <f t="shared" si="185"/>
        <v>13</v>
      </c>
      <c r="F3005" s="2200" t="str">
        <f t="shared" si="186"/>
        <v>51</v>
      </c>
      <c r="G3005" s="2200" t="str">
        <f t="shared" si="187"/>
        <v>65392</v>
      </c>
      <c r="H3005" s="2200">
        <f>--SUBTOTAL(3,C$2:C3005)</f>
        <v>99</v>
      </c>
    </row>
    <row r="3006" spans="1:8" hidden="1" x14ac:dyDescent="0.15">
      <c r="A3006" s="2200" t="s">
        <v>10723</v>
      </c>
      <c r="B3006" s="2200" t="s">
        <v>16690</v>
      </c>
      <c r="C3006" s="2200" t="s">
        <v>10172</v>
      </c>
      <c r="D3006" s="2200" t="str">
        <f t="shared" si="184"/>
        <v>VA</v>
      </c>
      <c r="E3006" s="2200">
        <f t="shared" si="185"/>
        <v>14</v>
      </c>
      <c r="F3006" s="2200" t="str">
        <f t="shared" si="186"/>
        <v>51</v>
      </c>
      <c r="G3006" s="2200" t="str">
        <f t="shared" si="187"/>
        <v>67000</v>
      </c>
      <c r="H3006" s="2200">
        <f>--SUBTOTAL(3,C$2:C3006)</f>
        <v>99</v>
      </c>
    </row>
    <row r="3007" spans="1:8" hidden="1" x14ac:dyDescent="0.15">
      <c r="A3007" s="2200" t="s">
        <v>10723</v>
      </c>
      <c r="B3007" s="2200" t="s">
        <v>16691</v>
      </c>
      <c r="C3007" s="2200" t="s">
        <v>10174</v>
      </c>
      <c r="D3007" s="2200" t="str">
        <f t="shared" si="184"/>
        <v>VA</v>
      </c>
      <c r="E3007" s="2200">
        <f t="shared" si="185"/>
        <v>13</v>
      </c>
      <c r="F3007" s="2200" t="str">
        <f t="shared" si="186"/>
        <v>51</v>
      </c>
      <c r="G3007" s="2200" t="str">
        <f t="shared" si="187"/>
        <v>68000</v>
      </c>
      <c r="H3007" s="2200">
        <f>--SUBTOTAL(3,C$2:C3007)</f>
        <v>99</v>
      </c>
    </row>
    <row r="3008" spans="1:8" hidden="1" x14ac:dyDescent="0.15">
      <c r="A3008" s="2200" t="s">
        <v>11443</v>
      </c>
      <c r="B3008" s="2200" t="s">
        <v>16692</v>
      </c>
      <c r="C3008" s="2200" t="s">
        <v>16693</v>
      </c>
      <c r="D3008" s="2200" t="str">
        <f t="shared" si="184"/>
        <v>VA</v>
      </c>
      <c r="E3008" s="2200">
        <f t="shared" si="185"/>
        <v>33</v>
      </c>
      <c r="F3008" s="2200" t="str">
        <f t="shared" si="186"/>
        <v>51</v>
      </c>
      <c r="G3008" s="2200" t="str">
        <f t="shared" si="187"/>
        <v>82540</v>
      </c>
      <c r="H3008" s="2200">
        <f>--SUBTOTAL(3,C$2:C3008)</f>
        <v>99</v>
      </c>
    </row>
    <row r="3009" spans="1:8" hidden="1" x14ac:dyDescent="0.15">
      <c r="A3009" s="2200" t="s">
        <v>10723</v>
      </c>
      <c r="B3009" s="2200" t="s">
        <v>16694</v>
      </c>
      <c r="C3009" s="2200" t="s">
        <v>10176</v>
      </c>
      <c r="D3009" s="2200" t="str">
        <f t="shared" si="184"/>
        <v>VA</v>
      </c>
      <c r="E3009" s="2200">
        <f t="shared" si="185"/>
        <v>11</v>
      </c>
      <c r="F3009" s="2200" t="str">
        <f t="shared" si="186"/>
        <v>51</v>
      </c>
      <c r="G3009" s="2200" t="str">
        <f t="shared" si="187"/>
        <v>70000</v>
      </c>
      <c r="H3009" s="2200">
        <f>--SUBTOTAL(3,C$2:C3009)</f>
        <v>99</v>
      </c>
    </row>
    <row r="3010" spans="1:8" hidden="1" x14ac:dyDescent="0.15">
      <c r="A3010" s="2200" t="s">
        <v>11443</v>
      </c>
      <c r="B3010" s="2200" t="s">
        <v>16695</v>
      </c>
      <c r="C3010" s="2200" t="s">
        <v>16696</v>
      </c>
      <c r="D3010" s="2200" t="str">
        <f t="shared" ref="D3010:D3073" si="188">MID(C3010,E3010+2,2)</f>
        <v>VA</v>
      </c>
      <c r="E3010" s="2200">
        <f t="shared" ref="E3010:E3073" si="189">FIND(",",C3010)</f>
        <v>21</v>
      </c>
      <c r="F3010" s="2200" t="str">
        <f t="shared" si="186"/>
        <v>51</v>
      </c>
      <c r="G3010" s="2200" t="str">
        <f t="shared" si="187"/>
        <v>82740</v>
      </c>
      <c r="H3010" s="2200">
        <f>--SUBTOTAL(3,C$2:C3010)</f>
        <v>99</v>
      </c>
    </row>
    <row r="3011" spans="1:8" hidden="1" x14ac:dyDescent="0.15">
      <c r="A3011" s="2200" t="s">
        <v>10723</v>
      </c>
      <c r="B3011" s="2200" t="s">
        <v>16697</v>
      </c>
      <c r="C3011" s="2200" t="s">
        <v>10178</v>
      </c>
      <c r="D3011" s="2200" t="str">
        <f t="shared" si="188"/>
        <v>VA</v>
      </c>
      <c r="E3011" s="2200">
        <f t="shared" si="189"/>
        <v>14</v>
      </c>
      <c r="F3011" s="2200" t="str">
        <f t="shared" ref="F3011:F3074" si="190">MID(B3011,3,2)</f>
        <v>51</v>
      </c>
      <c r="G3011" s="2200" t="str">
        <f t="shared" ref="G3011:G3074" si="191">MID(B3011,5,5)</f>
        <v>75216</v>
      </c>
      <c r="H3011" s="2200">
        <f>--SUBTOTAL(3,C$2:C3011)</f>
        <v>99</v>
      </c>
    </row>
    <row r="3012" spans="1:8" hidden="1" x14ac:dyDescent="0.15">
      <c r="A3012" s="2200" t="s">
        <v>10723</v>
      </c>
      <c r="B3012" s="2200" t="s">
        <v>16698</v>
      </c>
      <c r="C3012" s="2200" t="s">
        <v>10180</v>
      </c>
      <c r="D3012" s="2200" t="str">
        <f t="shared" si="188"/>
        <v>VA</v>
      </c>
      <c r="E3012" s="2200">
        <f t="shared" si="189"/>
        <v>13</v>
      </c>
      <c r="F3012" s="2200" t="str">
        <f t="shared" si="190"/>
        <v>51</v>
      </c>
      <c r="G3012" s="2200" t="str">
        <f t="shared" si="191"/>
        <v>76432</v>
      </c>
      <c r="H3012" s="2200">
        <f>--SUBTOTAL(3,C$2:C3012)</f>
        <v>99</v>
      </c>
    </row>
    <row r="3013" spans="1:8" hidden="1" x14ac:dyDescent="0.15">
      <c r="A3013" s="2200" t="s">
        <v>10723</v>
      </c>
      <c r="B3013" s="2200" t="s">
        <v>16699</v>
      </c>
      <c r="C3013" s="2200" t="s">
        <v>10182</v>
      </c>
      <c r="D3013" s="2200" t="str">
        <f t="shared" si="188"/>
        <v>VA</v>
      </c>
      <c r="E3013" s="2200">
        <f t="shared" si="189"/>
        <v>20</v>
      </c>
      <c r="F3013" s="2200" t="str">
        <f t="shared" si="190"/>
        <v>51</v>
      </c>
      <c r="G3013" s="2200" t="str">
        <f t="shared" si="191"/>
        <v>82000</v>
      </c>
      <c r="H3013" s="2200">
        <f>--SUBTOTAL(3,C$2:C3013)</f>
        <v>99</v>
      </c>
    </row>
    <row r="3014" spans="1:8" hidden="1" x14ac:dyDescent="0.15">
      <c r="A3014" s="2200" t="s">
        <v>10723</v>
      </c>
      <c r="B3014" s="2200" t="s">
        <v>16700</v>
      </c>
      <c r="C3014" s="2200" t="s">
        <v>10184</v>
      </c>
      <c r="D3014" s="2200" t="str">
        <f t="shared" si="188"/>
        <v>VA</v>
      </c>
      <c r="E3014" s="2200">
        <f t="shared" si="189"/>
        <v>16</v>
      </c>
      <c r="F3014" s="2200" t="str">
        <f t="shared" si="190"/>
        <v>51</v>
      </c>
      <c r="G3014" s="2200" t="str">
        <f t="shared" si="191"/>
        <v>83680</v>
      </c>
      <c r="H3014" s="2200">
        <f>--SUBTOTAL(3,C$2:C3014)</f>
        <v>99</v>
      </c>
    </row>
    <row r="3015" spans="1:8" hidden="1" x14ac:dyDescent="0.15">
      <c r="A3015" s="2200" t="s">
        <v>10723</v>
      </c>
      <c r="B3015" s="2200" t="s">
        <v>16701</v>
      </c>
      <c r="C3015" s="2200" t="s">
        <v>10186</v>
      </c>
      <c r="D3015" s="2200" t="str">
        <f t="shared" si="188"/>
        <v>VA</v>
      </c>
      <c r="E3015" s="2200">
        <f t="shared" si="189"/>
        <v>18</v>
      </c>
      <c r="F3015" s="2200" t="str">
        <f t="shared" si="190"/>
        <v>51</v>
      </c>
      <c r="G3015" s="2200" t="str">
        <f t="shared" si="191"/>
        <v>86160</v>
      </c>
      <c r="H3015" s="2200">
        <f>--SUBTOTAL(3,C$2:C3015)</f>
        <v>99</v>
      </c>
    </row>
    <row r="3016" spans="1:8" hidden="1" x14ac:dyDescent="0.15">
      <c r="A3016" s="2200" t="s">
        <v>10723</v>
      </c>
      <c r="B3016" s="2200" t="s">
        <v>16702</v>
      </c>
      <c r="C3016" s="2200" t="s">
        <v>10188</v>
      </c>
      <c r="D3016" s="2200" t="str">
        <f t="shared" si="188"/>
        <v>VA</v>
      </c>
      <c r="E3016" s="2200">
        <f t="shared" si="189"/>
        <v>16</v>
      </c>
      <c r="F3016" s="2200" t="str">
        <f t="shared" si="190"/>
        <v>51</v>
      </c>
      <c r="G3016" s="2200" t="str">
        <f t="shared" si="191"/>
        <v>86720</v>
      </c>
      <c r="H3016" s="2200">
        <f>--SUBTOTAL(3,C$2:C3016)</f>
        <v>99</v>
      </c>
    </row>
    <row r="3017" spans="1:8" hidden="1" x14ac:dyDescent="0.15">
      <c r="A3017" s="2200" t="s">
        <v>11502</v>
      </c>
      <c r="B3017" s="2200" t="s">
        <v>16703</v>
      </c>
      <c r="C3017" s="2200" t="s">
        <v>16704</v>
      </c>
      <c r="D3017" s="2200" t="str">
        <f t="shared" si="188"/>
        <v>VT</v>
      </c>
      <c r="E3017" s="2200">
        <f t="shared" si="189"/>
        <v>13</v>
      </c>
      <c r="F3017" s="2200" t="str">
        <f t="shared" si="190"/>
        <v>50</v>
      </c>
      <c r="G3017" s="2200" t="str">
        <f t="shared" si="191"/>
        <v>00325</v>
      </c>
      <c r="H3017" s="2200">
        <f>--SUBTOTAL(3,C$2:C3017)</f>
        <v>99</v>
      </c>
    </row>
    <row r="3018" spans="1:8" hidden="1" x14ac:dyDescent="0.15">
      <c r="A3018" s="2200" t="s">
        <v>11502</v>
      </c>
      <c r="B3018" s="2200" t="s">
        <v>16705</v>
      </c>
      <c r="C3018" s="2200" t="s">
        <v>16706</v>
      </c>
      <c r="D3018" s="2200" t="str">
        <f t="shared" si="188"/>
        <v>VT</v>
      </c>
      <c r="E3018" s="2200">
        <f t="shared" si="189"/>
        <v>12</v>
      </c>
      <c r="F3018" s="2200" t="str">
        <f t="shared" si="190"/>
        <v>50</v>
      </c>
      <c r="G3018" s="2200" t="str">
        <f t="shared" si="191"/>
        <v>00475</v>
      </c>
      <c r="H3018" s="2200">
        <f>--SUBTOTAL(3,C$2:C3018)</f>
        <v>99</v>
      </c>
    </row>
    <row r="3019" spans="1:8" hidden="1" x14ac:dyDescent="0.15">
      <c r="A3019" s="2200" t="s">
        <v>11502</v>
      </c>
      <c r="B3019" s="2200" t="s">
        <v>16707</v>
      </c>
      <c r="C3019" s="2200" t="s">
        <v>16708</v>
      </c>
      <c r="D3019" s="2200" t="str">
        <f t="shared" si="188"/>
        <v>VT</v>
      </c>
      <c r="E3019" s="2200">
        <f t="shared" si="189"/>
        <v>13</v>
      </c>
      <c r="F3019" s="2200" t="str">
        <f t="shared" si="190"/>
        <v>50</v>
      </c>
      <c r="G3019" s="2200" t="str">
        <f t="shared" si="191"/>
        <v>00860</v>
      </c>
      <c r="H3019" s="2200">
        <f>--SUBTOTAL(3,C$2:C3019)</f>
        <v>99</v>
      </c>
    </row>
    <row r="3020" spans="1:8" hidden="1" x14ac:dyDescent="0.15">
      <c r="A3020" s="2200" t="s">
        <v>11502</v>
      </c>
      <c r="B3020" s="2200" t="s">
        <v>16709</v>
      </c>
      <c r="C3020" s="2200" t="s">
        <v>16710</v>
      </c>
      <c r="D3020" s="2200" t="str">
        <f t="shared" si="188"/>
        <v>VT</v>
      </c>
      <c r="E3020" s="2200">
        <f t="shared" si="189"/>
        <v>13</v>
      </c>
      <c r="F3020" s="2200" t="str">
        <f t="shared" si="190"/>
        <v>50</v>
      </c>
      <c r="G3020" s="2200" t="str">
        <f t="shared" si="191"/>
        <v>01300</v>
      </c>
      <c r="H3020" s="2200">
        <f>--SUBTOTAL(3,C$2:C3020)</f>
        <v>99</v>
      </c>
    </row>
    <row r="3021" spans="1:8" hidden="1" x14ac:dyDescent="0.15">
      <c r="A3021" s="2200" t="s">
        <v>11502</v>
      </c>
      <c r="B3021" s="2200" t="s">
        <v>16711</v>
      </c>
      <c r="C3021" s="2200" t="s">
        <v>16712</v>
      </c>
      <c r="D3021" s="2200" t="str">
        <f t="shared" si="188"/>
        <v>VT</v>
      </c>
      <c r="E3021" s="2200">
        <f t="shared" si="189"/>
        <v>15</v>
      </c>
      <c r="F3021" s="2200" t="str">
        <f t="shared" si="190"/>
        <v>50</v>
      </c>
      <c r="G3021" s="2200" t="str">
        <f t="shared" si="191"/>
        <v>01450</v>
      </c>
      <c r="H3021" s="2200">
        <f>--SUBTOTAL(3,C$2:C3021)</f>
        <v>99</v>
      </c>
    </row>
    <row r="3022" spans="1:8" hidden="1" x14ac:dyDescent="0.15">
      <c r="A3022" s="2200" t="s">
        <v>11502</v>
      </c>
      <c r="B3022" s="2200" t="s">
        <v>16713</v>
      </c>
      <c r="C3022" s="2200" t="s">
        <v>16714</v>
      </c>
      <c r="D3022" s="2200" t="str">
        <f t="shared" si="188"/>
        <v>VT</v>
      </c>
      <c r="E3022" s="2200">
        <f t="shared" si="189"/>
        <v>12</v>
      </c>
      <c r="F3022" s="2200" t="str">
        <f t="shared" si="190"/>
        <v>50</v>
      </c>
      <c r="G3022" s="2200" t="str">
        <f t="shared" si="191"/>
        <v>01900</v>
      </c>
      <c r="H3022" s="2200">
        <f>--SUBTOTAL(3,C$2:C3022)</f>
        <v>99</v>
      </c>
    </row>
    <row r="3023" spans="1:8" hidden="1" x14ac:dyDescent="0.15">
      <c r="A3023" s="2200" t="s">
        <v>11502</v>
      </c>
      <c r="B3023" s="2200" t="s">
        <v>16715</v>
      </c>
      <c r="C3023" s="2200" t="s">
        <v>16716</v>
      </c>
      <c r="D3023" s="2200" t="str">
        <f t="shared" si="188"/>
        <v>VT</v>
      </c>
      <c r="E3023" s="2200">
        <f t="shared" si="189"/>
        <v>13</v>
      </c>
      <c r="F3023" s="2200" t="str">
        <f t="shared" si="190"/>
        <v>50</v>
      </c>
      <c r="G3023" s="2200" t="str">
        <f t="shared" si="191"/>
        <v>02125</v>
      </c>
      <c r="H3023" s="2200">
        <f>--SUBTOTAL(3,C$2:C3023)</f>
        <v>99</v>
      </c>
    </row>
    <row r="3024" spans="1:8" hidden="1" x14ac:dyDescent="0.15">
      <c r="A3024" s="2200" t="s">
        <v>11502</v>
      </c>
      <c r="B3024" s="2200" t="s">
        <v>16717</v>
      </c>
      <c r="C3024" s="2200" t="s">
        <v>16718</v>
      </c>
      <c r="D3024" s="2200" t="str">
        <f t="shared" si="188"/>
        <v>VT</v>
      </c>
      <c r="E3024" s="2200">
        <f t="shared" si="189"/>
        <v>17</v>
      </c>
      <c r="F3024" s="2200" t="str">
        <f t="shared" si="190"/>
        <v>50</v>
      </c>
      <c r="G3024" s="2200" t="str">
        <f t="shared" si="191"/>
        <v>02500</v>
      </c>
      <c r="H3024" s="2200">
        <f>--SUBTOTAL(3,C$2:C3024)</f>
        <v>99</v>
      </c>
    </row>
    <row r="3025" spans="1:8" hidden="1" x14ac:dyDescent="0.15">
      <c r="A3025" s="2200" t="s">
        <v>11502</v>
      </c>
      <c r="B3025" s="2200" t="s">
        <v>16719</v>
      </c>
      <c r="C3025" s="2200" t="s">
        <v>16720</v>
      </c>
      <c r="D3025" s="2200" t="str">
        <f t="shared" si="188"/>
        <v>VT</v>
      </c>
      <c r="E3025" s="2200">
        <f t="shared" si="189"/>
        <v>15</v>
      </c>
      <c r="F3025" s="2200" t="str">
        <f t="shared" si="190"/>
        <v>50</v>
      </c>
      <c r="G3025" s="2200" t="str">
        <f t="shared" si="191"/>
        <v>02575</v>
      </c>
      <c r="H3025" s="2200">
        <f>--SUBTOTAL(3,C$2:C3025)</f>
        <v>99</v>
      </c>
    </row>
    <row r="3026" spans="1:8" hidden="1" x14ac:dyDescent="0.15">
      <c r="A3026" s="2200" t="s">
        <v>11502</v>
      </c>
      <c r="B3026" s="2200" t="s">
        <v>16721</v>
      </c>
      <c r="C3026" s="2200" t="s">
        <v>16722</v>
      </c>
      <c r="D3026" s="2200" t="str">
        <f t="shared" si="188"/>
        <v>VT</v>
      </c>
      <c r="E3026" s="2200">
        <f t="shared" si="189"/>
        <v>13</v>
      </c>
      <c r="F3026" s="2200" t="str">
        <f t="shared" si="190"/>
        <v>50</v>
      </c>
      <c r="G3026" s="2200" t="str">
        <f t="shared" si="191"/>
        <v>02725</v>
      </c>
      <c r="H3026" s="2200">
        <f>--SUBTOTAL(3,C$2:C3026)</f>
        <v>99</v>
      </c>
    </row>
    <row r="3027" spans="1:8" hidden="1" x14ac:dyDescent="0.15">
      <c r="A3027" s="2200" t="s">
        <v>11502</v>
      </c>
      <c r="B3027" s="2200" t="s">
        <v>16723</v>
      </c>
      <c r="C3027" s="2200" t="s">
        <v>16724</v>
      </c>
      <c r="D3027" s="2200" t="str">
        <f t="shared" si="188"/>
        <v>VT</v>
      </c>
      <c r="E3027" s="2200">
        <f t="shared" si="189"/>
        <v>12</v>
      </c>
      <c r="F3027" s="2200" t="str">
        <f t="shared" si="190"/>
        <v>50</v>
      </c>
      <c r="G3027" s="2200" t="str">
        <f t="shared" si="191"/>
        <v>02875</v>
      </c>
      <c r="H3027" s="2200">
        <f>--SUBTOTAL(3,C$2:C3027)</f>
        <v>99</v>
      </c>
    </row>
    <row r="3028" spans="1:8" hidden="1" x14ac:dyDescent="0.15">
      <c r="A3028" s="2200" t="s">
        <v>11502</v>
      </c>
      <c r="B3028" s="2200" t="s">
        <v>16725</v>
      </c>
      <c r="C3028" s="2200" t="s">
        <v>16726</v>
      </c>
      <c r="D3028" s="2200" t="str">
        <f t="shared" si="188"/>
        <v>VT</v>
      </c>
      <c r="E3028" s="2200">
        <f t="shared" si="189"/>
        <v>11</v>
      </c>
      <c r="F3028" s="2200" t="str">
        <f t="shared" si="190"/>
        <v>50</v>
      </c>
      <c r="G3028" s="2200" t="str">
        <f t="shared" si="191"/>
        <v>03175</v>
      </c>
      <c r="H3028" s="2200">
        <f>--SUBTOTAL(3,C$2:C3028)</f>
        <v>99</v>
      </c>
    </row>
    <row r="3029" spans="1:8" hidden="1" x14ac:dyDescent="0.15">
      <c r="A3029" s="2200" t="s">
        <v>11502</v>
      </c>
      <c r="B3029" s="2200" t="s">
        <v>16727</v>
      </c>
      <c r="C3029" s="2200" t="s">
        <v>16728</v>
      </c>
      <c r="D3029" s="2200" t="str">
        <f t="shared" si="188"/>
        <v>VT</v>
      </c>
      <c r="E3029" s="2200">
        <f t="shared" si="189"/>
        <v>11</v>
      </c>
      <c r="F3029" s="2200" t="str">
        <f t="shared" si="190"/>
        <v>50</v>
      </c>
      <c r="G3029" s="2200" t="str">
        <f t="shared" si="191"/>
        <v>03250</v>
      </c>
      <c r="H3029" s="2200">
        <f>--SUBTOTAL(3,C$2:C3029)</f>
        <v>99</v>
      </c>
    </row>
    <row r="3030" spans="1:8" hidden="1" x14ac:dyDescent="0.15">
      <c r="A3030" s="2200" t="s">
        <v>11502</v>
      </c>
      <c r="B3030" s="2200" t="s">
        <v>16729</v>
      </c>
      <c r="C3030" s="2200" t="s">
        <v>16730</v>
      </c>
      <c r="D3030" s="2200" t="str">
        <f t="shared" si="188"/>
        <v>VT</v>
      </c>
      <c r="E3030" s="2200">
        <f t="shared" si="189"/>
        <v>12</v>
      </c>
      <c r="F3030" s="2200" t="str">
        <f t="shared" si="190"/>
        <v>50</v>
      </c>
      <c r="G3030" s="2200" t="str">
        <f t="shared" si="191"/>
        <v>03550</v>
      </c>
      <c r="H3030" s="2200">
        <f>--SUBTOTAL(3,C$2:C3030)</f>
        <v>99</v>
      </c>
    </row>
    <row r="3031" spans="1:8" hidden="1" x14ac:dyDescent="0.15">
      <c r="A3031" s="2200" t="s">
        <v>11502</v>
      </c>
      <c r="B3031" s="2200" t="s">
        <v>16731</v>
      </c>
      <c r="C3031" s="2200" t="s">
        <v>16732</v>
      </c>
      <c r="D3031" s="2200" t="str">
        <f t="shared" si="188"/>
        <v>VT</v>
      </c>
      <c r="E3031" s="2200">
        <f t="shared" si="189"/>
        <v>15</v>
      </c>
      <c r="F3031" s="2200" t="str">
        <f t="shared" si="190"/>
        <v>50</v>
      </c>
      <c r="G3031" s="2200" t="str">
        <f t="shared" si="191"/>
        <v>04375</v>
      </c>
      <c r="H3031" s="2200">
        <f>--SUBTOTAL(3,C$2:C3031)</f>
        <v>99</v>
      </c>
    </row>
    <row r="3032" spans="1:8" hidden="1" x14ac:dyDescent="0.15">
      <c r="A3032" s="2200" t="s">
        <v>11502</v>
      </c>
      <c r="B3032" s="2200" t="s">
        <v>16733</v>
      </c>
      <c r="C3032" s="2200" t="s">
        <v>16734</v>
      </c>
      <c r="D3032" s="2200" t="str">
        <f t="shared" si="188"/>
        <v>VT</v>
      </c>
      <c r="E3032" s="2200">
        <f t="shared" si="189"/>
        <v>16</v>
      </c>
      <c r="F3032" s="2200" t="str">
        <f t="shared" si="190"/>
        <v>50</v>
      </c>
      <c r="G3032" s="2200" t="str">
        <f t="shared" si="191"/>
        <v>04825</v>
      </c>
      <c r="H3032" s="2200">
        <f>--SUBTOTAL(3,C$2:C3032)</f>
        <v>99</v>
      </c>
    </row>
    <row r="3033" spans="1:8" hidden="1" x14ac:dyDescent="0.15">
      <c r="A3033" s="2200" t="s">
        <v>11502</v>
      </c>
      <c r="B3033" s="2200" t="s">
        <v>16735</v>
      </c>
      <c r="C3033" s="2200" t="s">
        <v>16736</v>
      </c>
      <c r="D3033" s="2200" t="str">
        <f t="shared" si="188"/>
        <v>VT</v>
      </c>
      <c r="E3033" s="2200">
        <f t="shared" si="189"/>
        <v>12</v>
      </c>
      <c r="F3033" s="2200" t="str">
        <f t="shared" si="190"/>
        <v>50</v>
      </c>
      <c r="G3033" s="2200" t="str">
        <f t="shared" si="191"/>
        <v>05200</v>
      </c>
      <c r="H3033" s="2200">
        <f>--SUBTOTAL(3,C$2:C3033)</f>
        <v>99</v>
      </c>
    </row>
    <row r="3034" spans="1:8" hidden="1" x14ac:dyDescent="0.15">
      <c r="A3034" s="2200" t="s">
        <v>11502</v>
      </c>
      <c r="B3034" s="2200" t="s">
        <v>16737</v>
      </c>
      <c r="C3034" s="2200" t="s">
        <v>16738</v>
      </c>
      <c r="D3034" s="2200" t="str">
        <f t="shared" si="188"/>
        <v>VT</v>
      </c>
      <c r="E3034" s="2200">
        <f t="shared" si="189"/>
        <v>15</v>
      </c>
      <c r="F3034" s="2200" t="str">
        <f t="shared" si="190"/>
        <v>50</v>
      </c>
      <c r="G3034" s="2200" t="str">
        <f t="shared" si="191"/>
        <v>05425</v>
      </c>
      <c r="H3034" s="2200">
        <f>--SUBTOTAL(3,C$2:C3034)</f>
        <v>99</v>
      </c>
    </row>
    <row r="3035" spans="1:8" hidden="1" x14ac:dyDescent="0.15">
      <c r="A3035" s="2200" t="s">
        <v>11502</v>
      </c>
      <c r="B3035" s="2200" t="s">
        <v>16739</v>
      </c>
      <c r="C3035" s="2200" t="s">
        <v>16740</v>
      </c>
      <c r="D3035" s="2200" t="str">
        <f t="shared" si="188"/>
        <v>VT</v>
      </c>
      <c r="E3035" s="2200">
        <f t="shared" si="189"/>
        <v>12</v>
      </c>
      <c r="F3035" s="2200" t="str">
        <f t="shared" si="190"/>
        <v>50</v>
      </c>
      <c r="G3035" s="2200" t="str">
        <f t="shared" si="191"/>
        <v>05650</v>
      </c>
      <c r="H3035" s="2200">
        <f>--SUBTOTAL(3,C$2:C3035)</f>
        <v>99</v>
      </c>
    </row>
    <row r="3036" spans="1:8" hidden="1" x14ac:dyDescent="0.15">
      <c r="A3036" s="2200" t="s">
        <v>11502</v>
      </c>
      <c r="B3036" s="2200" t="s">
        <v>16741</v>
      </c>
      <c r="C3036" s="2200" t="s">
        <v>16742</v>
      </c>
      <c r="D3036" s="2200" t="str">
        <f t="shared" si="188"/>
        <v>VT</v>
      </c>
      <c r="E3036" s="2200">
        <f t="shared" si="189"/>
        <v>12</v>
      </c>
      <c r="F3036" s="2200" t="str">
        <f t="shared" si="190"/>
        <v>50</v>
      </c>
      <c r="G3036" s="2200" t="str">
        <f t="shared" si="191"/>
        <v>05800</v>
      </c>
      <c r="H3036" s="2200">
        <f>--SUBTOTAL(3,C$2:C3036)</f>
        <v>99</v>
      </c>
    </row>
    <row r="3037" spans="1:8" hidden="1" x14ac:dyDescent="0.15">
      <c r="A3037" s="2200" t="s">
        <v>11502</v>
      </c>
      <c r="B3037" s="2200" t="s">
        <v>16743</v>
      </c>
      <c r="C3037" s="2200" t="s">
        <v>16744</v>
      </c>
      <c r="D3037" s="2200" t="str">
        <f t="shared" si="188"/>
        <v>VT</v>
      </c>
      <c r="E3037" s="2200">
        <f t="shared" si="189"/>
        <v>16</v>
      </c>
      <c r="F3037" s="2200" t="str">
        <f t="shared" si="190"/>
        <v>50</v>
      </c>
      <c r="G3037" s="2200" t="str">
        <f t="shared" si="191"/>
        <v>06325</v>
      </c>
      <c r="H3037" s="2200">
        <f>--SUBTOTAL(3,C$2:C3037)</f>
        <v>99</v>
      </c>
    </row>
    <row r="3038" spans="1:8" hidden="1" x14ac:dyDescent="0.15">
      <c r="A3038" s="2200" t="s">
        <v>11502</v>
      </c>
      <c r="B3038" s="2200" t="s">
        <v>16745</v>
      </c>
      <c r="C3038" s="2200" t="s">
        <v>16746</v>
      </c>
      <c r="D3038" s="2200" t="str">
        <f t="shared" si="188"/>
        <v>VT</v>
      </c>
      <c r="E3038" s="2200">
        <f t="shared" si="189"/>
        <v>12</v>
      </c>
      <c r="F3038" s="2200" t="str">
        <f t="shared" si="190"/>
        <v>50</v>
      </c>
      <c r="G3038" s="2200" t="str">
        <f t="shared" si="191"/>
        <v>06550</v>
      </c>
      <c r="H3038" s="2200">
        <f>--SUBTOTAL(3,C$2:C3038)</f>
        <v>99</v>
      </c>
    </row>
    <row r="3039" spans="1:8" hidden="1" x14ac:dyDescent="0.15">
      <c r="A3039" s="2200" t="s">
        <v>11502</v>
      </c>
      <c r="B3039" s="2200" t="s">
        <v>16747</v>
      </c>
      <c r="C3039" s="2200" t="s">
        <v>16748</v>
      </c>
      <c r="D3039" s="2200" t="str">
        <f t="shared" si="188"/>
        <v>VT</v>
      </c>
      <c r="E3039" s="2200">
        <f t="shared" si="189"/>
        <v>14</v>
      </c>
      <c r="F3039" s="2200" t="str">
        <f t="shared" si="190"/>
        <v>50</v>
      </c>
      <c r="G3039" s="2200" t="str">
        <f t="shared" si="191"/>
        <v>07375</v>
      </c>
      <c r="H3039" s="2200">
        <f>--SUBTOTAL(3,C$2:C3039)</f>
        <v>99</v>
      </c>
    </row>
    <row r="3040" spans="1:8" hidden="1" x14ac:dyDescent="0.15">
      <c r="A3040" s="2200" t="s">
        <v>11502</v>
      </c>
      <c r="B3040" s="2200" t="s">
        <v>16749</v>
      </c>
      <c r="C3040" s="2200" t="s">
        <v>16750</v>
      </c>
      <c r="D3040" s="2200" t="str">
        <f t="shared" si="188"/>
        <v>VT</v>
      </c>
      <c r="E3040" s="2200">
        <f t="shared" si="189"/>
        <v>15</v>
      </c>
      <c r="F3040" s="2200" t="str">
        <f t="shared" si="190"/>
        <v>50</v>
      </c>
      <c r="G3040" s="2200" t="str">
        <f t="shared" si="191"/>
        <v>07600</v>
      </c>
      <c r="H3040" s="2200">
        <f>--SUBTOTAL(3,C$2:C3040)</f>
        <v>99</v>
      </c>
    </row>
    <row r="3041" spans="1:8" hidden="1" x14ac:dyDescent="0.15">
      <c r="A3041" s="2200" t="s">
        <v>11502</v>
      </c>
      <c r="B3041" s="2200" t="s">
        <v>16751</v>
      </c>
      <c r="C3041" s="2200" t="s">
        <v>16752</v>
      </c>
      <c r="D3041" s="2200" t="str">
        <f t="shared" si="188"/>
        <v>VT</v>
      </c>
      <c r="E3041" s="2200">
        <f t="shared" si="189"/>
        <v>13</v>
      </c>
      <c r="F3041" s="2200" t="str">
        <f t="shared" si="190"/>
        <v>50</v>
      </c>
      <c r="G3041" s="2200" t="str">
        <f t="shared" si="191"/>
        <v>07750</v>
      </c>
      <c r="H3041" s="2200">
        <f>--SUBTOTAL(3,C$2:C3041)</f>
        <v>99</v>
      </c>
    </row>
    <row r="3042" spans="1:8" hidden="1" x14ac:dyDescent="0.15">
      <c r="A3042" s="2200" t="s">
        <v>11502</v>
      </c>
      <c r="B3042" s="2200" t="s">
        <v>16753</v>
      </c>
      <c r="C3042" s="2200" t="s">
        <v>16754</v>
      </c>
      <c r="D3042" s="2200" t="str">
        <f t="shared" si="188"/>
        <v>VT</v>
      </c>
      <c r="E3042" s="2200">
        <f t="shared" si="189"/>
        <v>17</v>
      </c>
      <c r="F3042" s="2200" t="str">
        <f t="shared" si="190"/>
        <v>50</v>
      </c>
      <c r="G3042" s="2200" t="str">
        <f t="shared" si="191"/>
        <v>07900</v>
      </c>
      <c r="H3042" s="2200">
        <f>--SUBTOTAL(3,C$2:C3042)</f>
        <v>99</v>
      </c>
    </row>
    <row r="3043" spans="1:8" hidden="1" x14ac:dyDescent="0.15">
      <c r="A3043" s="2200" t="s">
        <v>11502</v>
      </c>
      <c r="B3043" s="2200" t="s">
        <v>16755</v>
      </c>
      <c r="C3043" s="2200" t="s">
        <v>16756</v>
      </c>
      <c r="D3043" s="2200" t="str">
        <f t="shared" si="188"/>
        <v>VT</v>
      </c>
      <c r="E3043" s="2200">
        <f t="shared" si="189"/>
        <v>17</v>
      </c>
      <c r="F3043" s="2200" t="str">
        <f t="shared" si="190"/>
        <v>50</v>
      </c>
      <c r="G3043" s="2200" t="str">
        <f t="shared" si="191"/>
        <v>08275</v>
      </c>
      <c r="H3043" s="2200">
        <f>--SUBTOTAL(3,C$2:C3043)</f>
        <v>99</v>
      </c>
    </row>
    <row r="3044" spans="1:8" hidden="1" x14ac:dyDescent="0.15">
      <c r="A3044" s="2200" t="s">
        <v>11502</v>
      </c>
      <c r="B3044" s="2200" t="s">
        <v>16757</v>
      </c>
      <c r="C3044" s="2200" t="s">
        <v>16758</v>
      </c>
      <c r="D3044" s="2200" t="str">
        <f t="shared" si="188"/>
        <v>VT</v>
      </c>
      <c r="E3044" s="2200">
        <f t="shared" si="189"/>
        <v>14</v>
      </c>
      <c r="F3044" s="2200" t="str">
        <f t="shared" si="190"/>
        <v>50</v>
      </c>
      <c r="G3044" s="2200" t="str">
        <f t="shared" si="191"/>
        <v>08575</v>
      </c>
      <c r="H3044" s="2200">
        <f>--SUBTOTAL(3,C$2:C3044)</f>
        <v>99</v>
      </c>
    </row>
    <row r="3045" spans="1:8" hidden="1" x14ac:dyDescent="0.15">
      <c r="A3045" s="2200" t="s">
        <v>11502</v>
      </c>
      <c r="B3045" s="2200" t="s">
        <v>16759</v>
      </c>
      <c r="C3045" s="2200" t="s">
        <v>16760</v>
      </c>
      <c r="D3045" s="2200" t="str">
        <f t="shared" si="188"/>
        <v>VT</v>
      </c>
      <c r="E3045" s="2200">
        <f t="shared" si="189"/>
        <v>14</v>
      </c>
      <c r="F3045" s="2200" t="str">
        <f t="shared" si="190"/>
        <v>50</v>
      </c>
      <c r="G3045" s="2200" t="str">
        <f t="shared" si="191"/>
        <v>08725</v>
      </c>
      <c r="H3045" s="2200">
        <f>--SUBTOTAL(3,C$2:C3045)</f>
        <v>99</v>
      </c>
    </row>
    <row r="3046" spans="1:8" hidden="1" x14ac:dyDescent="0.15">
      <c r="A3046" s="2200" t="s">
        <v>11502</v>
      </c>
      <c r="B3046" s="2200" t="s">
        <v>16761</v>
      </c>
      <c r="C3046" s="2200" t="s">
        <v>16762</v>
      </c>
      <c r="D3046" s="2200" t="str">
        <f t="shared" si="188"/>
        <v>VT</v>
      </c>
      <c r="E3046" s="2200">
        <f t="shared" si="189"/>
        <v>13</v>
      </c>
      <c r="F3046" s="2200" t="str">
        <f t="shared" si="190"/>
        <v>50</v>
      </c>
      <c r="G3046" s="2200" t="str">
        <f t="shared" si="191"/>
        <v>09025</v>
      </c>
      <c r="H3046" s="2200">
        <f>--SUBTOTAL(3,C$2:C3046)</f>
        <v>99</v>
      </c>
    </row>
    <row r="3047" spans="1:8" hidden="1" x14ac:dyDescent="0.15">
      <c r="A3047" s="2200" t="s">
        <v>11502</v>
      </c>
      <c r="B3047" s="2200" t="s">
        <v>16763</v>
      </c>
      <c r="C3047" s="2200" t="s">
        <v>16764</v>
      </c>
      <c r="D3047" s="2200" t="str">
        <f t="shared" si="188"/>
        <v>VT</v>
      </c>
      <c r="E3047" s="2200">
        <f t="shared" si="189"/>
        <v>16</v>
      </c>
      <c r="F3047" s="2200" t="str">
        <f t="shared" si="190"/>
        <v>50</v>
      </c>
      <c r="G3047" s="2200" t="str">
        <f t="shared" si="191"/>
        <v>09325</v>
      </c>
      <c r="H3047" s="2200">
        <f>--SUBTOTAL(3,C$2:C3047)</f>
        <v>99</v>
      </c>
    </row>
    <row r="3048" spans="1:8" hidden="1" x14ac:dyDescent="0.15">
      <c r="A3048" s="2200" t="s">
        <v>11502</v>
      </c>
      <c r="B3048" s="2200" t="s">
        <v>16765</v>
      </c>
      <c r="C3048" s="2200" t="s">
        <v>16766</v>
      </c>
      <c r="D3048" s="2200" t="str">
        <f t="shared" si="188"/>
        <v>VT</v>
      </c>
      <c r="E3048" s="2200">
        <f t="shared" si="189"/>
        <v>15</v>
      </c>
      <c r="F3048" s="2200" t="str">
        <f t="shared" si="190"/>
        <v>50</v>
      </c>
      <c r="G3048" s="2200" t="str">
        <f t="shared" si="191"/>
        <v>09475</v>
      </c>
      <c r="H3048" s="2200">
        <f>--SUBTOTAL(3,C$2:C3048)</f>
        <v>99</v>
      </c>
    </row>
    <row r="3049" spans="1:8" hidden="1" x14ac:dyDescent="0.15">
      <c r="A3049" s="2200" t="s">
        <v>11502</v>
      </c>
      <c r="B3049" s="2200" t="s">
        <v>16767</v>
      </c>
      <c r="C3049" s="2200" t="s">
        <v>16768</v>
      </c>
      <c r="D3049" s="2200" t="str">
        <f t="shared" si="188"/>
        <v>VT</v>
      </c>
      <c r="E3049" s="2200">
        <f t="shared" si="189"/>
        <v>17</v>
      </c>
      <c r="F3049" s="2200" t="str">
        <f t="shared" si="190"/>
        <v>50</v>
      </c>
      <c r="G3049" s="2200" t="str">
        <f t="shared" si="191"/>
        <v>09850</v>
      </c>
      <c r="H3049" s="2200">
        <f>--SUBTOTAL(3,C$2:C3049)</f>
        <v>99</v>
      </c>
    </row>
    <row r="3050" spans="1:8" hidden="1" x14ac:dyDescent="0.15">
      <c r="A3050" s="2200" t="s">
        <v>11502</v>
      </c>
      <c r="B3050" s="2200" t="s">
        <v>16769</v>
      </c>
      <c r="C3050" s="2200" t="s">
        <v>16770</v>
      </c>
      <c r="D3050" s="2200" t="str">
        <f t="shared" si="188"/>
        <v>VT</v>
      </c>
      <c r="E3050" s="2200">
        <f t="shared" si="189"/>
        <v>15</v>
      </c>
      <c r="F3050" s="2200" t="str">
        <f t="shared" si="190"/>
        <v>50</v>
      </c>
      <c r="G3050" s="2200" t="str">
        <f t="shared" si="191"/>
        <v>10075</v>
      </c>
      <c r="H3050" s="2200">
        <f>--SUBTOTAL(3,C$2:C3050)</f>
        <v>99</v>
      </c>
    </row>
    <row r="3051" spans="1:8" hidden="1" x14ac:dyDescent="0.15">
      <c r="A3051" s="2200" t="s">
        <v>11502</v>
      </c>
      <c r="B3051" s="2200" t="s">
        <v>16771</v>
      </c>
      <c r="C3051" s="2200" t="s">
        <v>16772</v>
      </c>
      <c r="D3051" s="2200" t="str">
        <f t="shared" si="188"/>
        <v>VT</v>
      </c>
      <c r="E3051" s="2200">
        <f t="shared" si="189"/>
        <v>11</v>
      </c>
      <c r="F3051" s="2200" t="str">
        <f t="shared" si="190"/>
        <v>50</v>
      </c>
      <c r="G3051" s="2200" t="str">
        <f t="shared" si="191"/>
        <v>10300</v>
      </c>
      <c r="H3051" s="2200">
        <f>--SUBTOTAL(3,C$2:C3051)</f>
        <v>99</v>
      </c>
    </row>
    <row r="3052" spans="1:8" hidden="1" x14ac:dyDescent="0.15">
      <c r="A3052" s="2200" t="s">
        <v>11502</v>
      </c>
      <c r="B3052" s="2200" t="s">
        <v>16773</v>
      </c>
      <c r="C3052" s="2200" t="s">
        <v>16774</v>
      </c>
      <c r="D3052" s="2200" t="str">
        <f t="shared" si="188"/>
        <v>VT</v>
      </c>
      <c r="E3052" s="2200">
        <f t="shared" si="189"/>
        <v>11</v>
      </c>
      <c r="F3052" s="2200" t="str">
        <f t="shared" si="190"/>
        <v>50</v>
      </c>
      <c r="G3052" s="2200" t="str">
        <f t="shared" si="191"/>
        <v>10450</v>
      </c>
      <c r="H3052" s="2200">
        <f>--SUBTOTAL(3,C$2:C3052)</f>
        <v>99</v>
      </c>
    </row>
    <row r="3053" spans="1:8" hidden="1" x14ac:dyDescent="0.15">
      <c r="A3053" s="2200" t="s">
        <v>10723</v>
      </c>
      <c r="B3053" s="2200" t="s">
        <v>16775</v>
      </c>
      <c r="C3053" s="2200" t="s">
        <v>16776</v>
      </c>
      <c r="D3053" s="2200" t="str">
        <f t="shared" si="188"/>
        <v>VT</v>
      </c>
      <c r="E3053" s="2200">
        <f t="shared" si="189"/>
        <v>16</v>
      </c>
      <c r="F3053" s="2200" t="str">
        <f t="shared" si="190"/>
        <v>50</v>
      </c>
      <c r="G3053" s="2200" t="str">
        <f t="shared" si="191"/>
        <v>10675</v>
      </c>
      <c r="H3053" s="2200">
        <f>--SUBTOTAL(3,C$2:C3053)</f>
        <v>99</v>
      </c>
    </row>
    <row r="3054" spans="1:8" hidden="1" x14ac:dyDescent="0.15">
      <c r="A3054" s="2200" t="s">
        <v>11502</v>
      </c>
      <c r="B3054" s="2200" t="s">
        <v>16777</v>
      </c>
      <c r="C3054" s="2200" t="s">
        <v>16778</v>
      </c>
      <c r="D3054" s="2200" t="str">
        <f t="shared" si="188"/>
        <v>VT</v>
      </c>
      <c r="E3054" s="2200">
        <f t="shared" si="189"/>
        <v>11</v>
      </c>
      <c r="F3054" s="2200" t="str">
        <f t="shared" si="190"/>
        <v>50</v>
      </c>
      <c r="G3054" s="2200" t="str">
        <f t="shared" si="191"/>
        <v>11125</v>
      </c>
      <c r="H3054" s="2200">
        <f>--SUBTOTAL(3,C$2:C3054)</f>
        <v>99</v>
      </c>
    </row>
    <row r="3055" spans="1:8" hidden="1" x14ac:dyDescent="0.15">
      <c r="A3055" s="2200" t="s">
        <v>11502</v>
      </c>
      <c r="B3055" s="2200" t="s">
        <v>16779</v>
      </c>
      <c r="C3055" s="2200" t="s">
        <v>16780</v>
      </c>
      <c r="D3055" s="2200" t="str">
        <f t="shared" si="188"/>
        <v>VT</v>
      </c>
      <c r="E3055" s="2200">
        <f t="shared" si="189"/>
        <v>12</v>
      </c>
      <c r="F3055" s="2200" t="str">
        <f t="shared" si="190"/>
        <v>50</v>
      </c>
      <c r="G3055" s="2200" t="str">
        <f t="shared" si="191"/>
        <v>11350</v>
      </c>
      <c r="H3055" s="2200">
        <f>--SUBTOTAL(3,C$2:C3055)</f>
        <v>99</v>
      </c>
    </row>
    <row r="3056" spans="1:8" hidden="1" x14ac:dyDescent="0.15">
      <c r="A3056" s="2200" t="s">
        <v>11502</v>
      </c>
      <c r="B3056" s="2200" t="s">
        <v>16781</v>
      </c>
      <c r="C3056" s="2200" t="s">
        <v>16782</v>
      </c>
      <c r="D3056" s="2200" t="str">
        <f t="shared" si="188"/>
        <v>VT</v>
      </c>
      <c r="E3056" s="2200">
        <f t="shared" si="189"/>
        <v>15</v>
      </c>
      <c r="F3056" s="2200" t="str">
        <f t="shared" si="190"/>
        <v>50</v>
      </c>
      <c r="G3056" s="2200" t="str">
        <f t="shared" si="191"/>
        <v>11500</v>
      </c>
      <c r="H3056" s="2200">
        <f>--SUBTOTAL(3,C$2:C3056)</f>
        <v>99</v>
      </c>
    </row>
    <row r="3057" spans="1:8" hidden="1" x14ac:dyDescent="0.15">
      <c r="A3057" s="2200" t="s">
        <v>11502</v>
      </c>
      <c r="B3057" s="2200" t="s">
        <v>16783</v>
      </c>
      <c r="C3057" s="2200" t="s">
        <v>16784</v>
      </c>
      <c r="D3057" s="2200" t="str">
        <f t="shared" si="188"/>
        <v>VT</v>
      </c>
      <c r="E3057" s="2200">
        <f t="shared" si="189"/>
        <v>12</v>
      </c>
      <c r="F3057" s="2200" t="str">
        <f t="shared" si="190"/>
        <v>50</v>
      </c>
      <c r="G3057" s="2200" t="str">
        <f t="shared" si="191"/>
        <v>11800</v>
      </c>
      <c r="H3057" s="2200">
        <f>--SUBTOTAL(3,C$2:C3057)</f>
        <v>99</v>
      </c>
    </row>
    <row r="3058" spans="1:8" hidden="1" x14ac:dyDescent="0.15">
      <c r="A3058" s="2200" t="s">
        <v>11502</v>
      </c>
      <c r="B3058" s="2200" t="s">
        <v>16785</v>
      </c>
      <c r="C3058" s="2200" t="s">
        <v>16786</v>
      </c>
      <c r="D3058" s="2200" t="str">
        <f t="shared" si="188"/>
        <v>VT</v>
      </c>
      <c r="E3058" s="2200">
        <f t="shared" si="189"/>
        <v>15</v>
      </c>
      <c r="F3058" s="2200" t="str">
        <f t="shared" si="190"/>
        <v>50</v>
      </c>
      <c r="G3058" s="2200" t="str">
        <f t="shared" si="191"/>
        <v>11950</v>
      </c>
      <c r="H3058" s="2200">
        <f>--SUBTOTAL(3,C$2:C3058)</f>
        <v>99</v>
      </c>
    </row>
    <row r="3059" spans="1:8" hidden="1" x14ac:dyDescent="0.15">
      <c r="A3059" s="2200" t="s">
        <v>11502</v>
      </c>
      <c r="B3059" s="2200" t="s">
        <v>16787</v>
      </c>
      <c r="C3059" s="2200" t="s">
        <v>16788</v>
      </c>
      <c r="D3059" s="2200" t="str">
        <f t="shared" si="188"/>
        <v>VT</v>
      </c>
      <c r="E3059" s="2200">
        <f t="shared" si="189"/>
        <v>15</v>
      </c>
      <c r="F3059" s="2200" t="str">
        <f t="shared" si="190"/>
        <v>50</v>
      </c>
      <c r="G3059" s="2200" t="str">
        <f t="shared" si="191"/>
        <v>12250</v>
      </c>
      <c r="H3059" s="2200">
        <f>--SUBTOTAL(3,C$2:C3059)</f>
        <v>99</v>
      </c>
    </row>
    <row r="3060" spans="1:8" hidden="1" x14ac:dyDescent="0.15">
      <c r="A3060" s="2200" t="s">
        <v>11502</v>
      </c>
      <c r="B3060" s="2200" t="s">
        <v>16789</v>
      </c>
      <c r="C3060" s="2200" t="s">
        <v>16790</v>
      </c>
      <c r="D3060" s="2200" t="str">
        <f t="shared" si="188"/>
        <v>VT</v>
      </c>
      <c r="E3060" s="2200">
        <f t="shared" si="189"/>
        <v>16</v>
      </c>
      <c r="F3060" s="2200" t="str">
        <f t="shared" si="190"/>
        <v>50</v>
      </c>
      <c r="G3060" s="2200" t="str">
        <f t="shared" si="191"/>
        <v>13150</v>
      </c>
      <c r="H3060" s="2200">
        <f>--SUBTOTAL(3,C$2:C3060)</f>
        <v>99</v>
      </c>
    </row>
    <row r="3061" spans="1:8" hidden="1" x14ac:dyDescent="0.15">
      <c r="A3061" s="2200" t="s">
        <v>11502</v>
      </c>
      <c r="B3061" s="2200" t="s">
        <v>16791</v>
      </c>
      <c r="C3061" s="2200" t="s">
        <v>16792</v>
      </c>
      <c r="D3061" s="2200" t="str">
        <f t="shared" si="188"/>
        <v>VT</v>
      </c>
      <c r="E3061" s="2200">
        <f t="shared" si="189"/>
        <v>15</v>
      </c>
      <c r="F3061" s="2200" t="str">
        <f t="shared" si="190"/>
        <v>50</v>
      </c>
      <c r="G3061" s="2200" t="str">
        <f t="shared" si="191"/>
        <v>13300</v>
      </c>
      <c r="H3061" s="2200">
        <f>--SUBTOTAL(3,C$2:C3061)</f>
        <v>99</v>
      </c>
    </row>
    <row r="3062" spans="1:8" hidden="1" x14ac:dyDescent="0.15">
      <c r="A3062" s="2200" t="s">
        <v>11502</v>
      </c>
      <c r="B3062" s="2200" t="s">
        <v>16793</v>
      </c>
      <c r="C3062" s="2200" t="s">
        <v>16794</v>
      </c>
      <c r="D3062" s="2200" t="str">
        <f t="shared" si="188"/>
        <v>VT</v>
      </c>
      <c r="E3062" s="2200">
        <f t="shared" si="189"/>
        <v>13</v>
      </c>
      <c r="F3062" s="2200" t="str">
        <f t="shared" si="190"/>
        <v>50</v>
      </c>
      <c r="G3062" s="2200" t="str">
        <f t="shared" si="191"/>
        <v>13525</v>
      </c>
      <c r="H3062" s="2200">
        <f>--SUBTOTAL(3,C$2:C3062)</f>
        <v>99</v>
      </c>
    </row>
    <row r="3063" spans="1:8" hidden="1" x14ac:dyDescent="0.15">
      <c r="A3063" s="2200" t="s">
        <v>11502</v>
      </c>
      <c r="B3063" s="2200" t="s">
        <v>16795</v>
      </c>
      <c r="C3063" s="2200" t="s">
        <v>16796</v>
      </c>
      <c r="D3063" s="2200" t="str">
        <f t="shared" si="188"/>
        <v>VT</v>
      </c>
      <c r="E3063" s="2200">
        <f t="shared" si="189"/>
        <v>13</v>
      </c>
      <c r="F3063" s="2200" t="str">
        <f t="shared" si="190"/>
        <v>50</v>
      </c>
      <c r="G3063" s="2200" t="str">
        <f t="shared" si="191"/>
        <v>13675</v>
      </c>
      <c r="H3063" s="2200">
        <f>--SUBTOTAL(3,C$2:C3063)</f>
        <v>99</v>
      </c>
    </row>
    <row r="3064" spans="1:8" hidden="1" x14ac:dyDescent="0.15">
      <c r="A3064" s="2200" t="s">
        <v>11502</v>
      </c>
      <c r="B3064" s="2200" t="s">
        <v>16797</v>
      </c>
      <c r="C3064" s="2200" t="s">
        <v>16798</v>
      </c>
      <c r="D3064" s="2200" t="str">
        <f t="shared" si="188"/>
        <v>VT</v>
      </c>
      <c r="E3064" s="2200">
        <f t="shared" si="189"/>
        <v>16</v>
      </c>
      <c r="F3064" s="2200" t="str">
        <f t="shared" si="190"/>
        <v>50</v>
      </c>
      <c r="G3064" s="2200" t="str">
        <f t="shared" si="191"/>
        <v>14350</v>
      </c>
      <c r="H3064" s="2200">
        <f>--SUBTOTAL(3,C$2:C3064)</f>
        <v>99</v>
      </c>
    </row>
    <row r="3065" spans="1:8" hidden="1" x14ac:dyDescent="0.15">
      <c r="A3065" s="2200" t="s">
        <v>11502</v>
      </c>
      <c r="B3065" s="2200" t="s">
        <v>16799</v>
      </c>
      <c r="C3065" s="2200" t="s">
        <v>16800</v>
      </c>
      <c r="D3065" s="2200" t="str">
        <f t="shared" si="188"/>
        <v>VT</v>
      </c>
      <c r="E3065" s="2200">
        <f t="shared" si="189"/>
        <v>15</v>
      </c>
      <c r="F3065" s="2200" t="str">
        <f t="shared" si="190"/>
        <v>50</v>
      </c>
      <c r="G3065" s="2200" t="str">
        <f t="shared" si="191"/>
        <v>14500</v>
      </c>
      <c r="H3065" s="2200">
        <f>--SUBTOTAL(3,C$2:C3065)</f>
        <v>99</v>
      </c>
    </row>
    <row r="3066" spans="1:8" hidden="1" x14ac:dyDescent="0.15">
      <c r="A3066" s="2200" t="s">
        <v>11502</v>
      </c>
      <c r="B3066" s="2200" t="s">
        <v>16801</v>
      </c>
      <c r="C3066" s="2200" t="s">
        <v>16802</v>
      </c>
      <c r="D3066" s="2200" t="str">
        <f t="shared" si="188"/>
        <v>VT</v>
      </c>
      <c r="E3066" s="2200">
        <f t="shared" si="189"/>
        <v>16</v>
      </c>
      <c r="F3066" s="2200" t="str">
        <f t="shared" si="190"/>
        <v>50</v>
      </c>
      <c r="G3066" s="2200" t="str">
        <f t="shared" si="191"/>
        <v>14875</v>
      </c>
      <c r="H3066" s="2200">
        <f>--SUBTOTAL(3,C$2:C3066)</f>
        <v>99</v>
      </c>
    </row>
    <row r="3067" spans="1:8" hidden="1" x14ac:dyDescent="0.15">
      <c r="A3067" s="2200" t="s">
        <v>11443</v>
      </c>
      <c r="B3067" s="2200" t="s">
        <v>16803</v>
      </c>
      <c r="C3067" s="2200" t="s">
        <v>16804</v>
      </c>
      <c r="D3067" s="2200" t="str">
        <f t="shared" si="188"/>
        <v>NH</v>
      </c>
      <c r="E3067" s="2200">
        <f t="shared" si="189"/>
        <v>10</v>
      </c>
      <c r="F3067" s="2200" t="str">
        <f t="shared" si="190"/>
        <v>33</v>
      </c>
      <c r="G3067" s="2200" t="str">
        <f t="shared" si="191"/>
        <v>80700</v>
      </c>
      <c r="H3067" s="2200">
        <f>--SUBTOTAL(3,C$2:C3067)</f>
        <v>99</v>
      </c>
    </row>
    <row r="3068" spans="1:8" hidden="1" x14ac:dyDescent="0.15">
      <c r="A3068" s="2200" t="s">
        <v>11502</v>
      </c>
      <c r="B3068" s="2200" t="s">
        <v>16805</v>
      </c>
      <c r="C3068" s="2200" t="s">
        <v>16806</v>
      </c>
      <c r="D3068" s="2200" t="str">
        <f t="shared" si="188"/>
        <v>VT</v>
      </c>
      <c r="E3068" s="2200">
        <f t="shared" si="189"/>
        <v>13</v>
      </c>
      <c r="F3068" s="2200" t="str">
        <f t="shared" si="190"/>
        <v>50</v>
      </c>
      <c r="G3068" s="2200" t="str">
        <f t="shared" si="191"/>
        <v>15250</v>
      </c>
      <c r="H3068" s="2200">
        <f>--SUBTOTAL(3,C$2:C3068)</f>
        <v>99</v>
      </c>
    </row>
    <row r="3069" spans="1:8" hidden="1" x14ac:dyDescent="0.15">
      <c r="A3069" s="2200" t="s">
        <v>11502</v>
      </c>
      <c r="B3069" s="2200" t="s">
        <v>16807</v>
      </c>
      <c r="C3069" s="2200" t="s">
        <v>16808</v>
      </c>
      <c r="D3069" s="2200" t="str">
        <f t="shared" si="188"/>
        <v>VT</v>
      </c>
      <c r="E3069" s="2200">
        <f t="shared" si="189"/>
        <v>13</v>
      </c>
      <c r="F3069" s="2200" t="str">
        <f t="shared" si="190"/>
        <v>50</v>
      </c>
      <c r="G3069" s="2200" t="str">
        <f t="shared" si="191"/>
        <v>15700</v>
      </c>
      <c r="H3069" s="2200">
        <f>--SUBTOTAL(3,C$2:C3069)</f>
        <v>99</v>
      </c>
    </row>
    <row r="3070" spans="1:8" hidden="1" x14ac:dyDescent="0.15">
      <c r="A3070" s="2200" t="s">
        <v>11502</v>
      </c>
      <c r="B3070" s="2200" t="s">
        <v>16809</v>
      </c>
      <c r="C3070" s="2200" t="s">
        <v>16810</v>
      </c>
      <c r="D3070" s="2200" t="str">
        <f t="shared" si="188"/>
        <v>VT</v>
      </c>
      <c r="E3070" s="2200">
        <f t="shared" si="189"/>
        <v>14</v>
      </c>
      <c r="F3070" s="2200" t="str">
        <f t="shared" si="190"/>
        <v>50</v>
      </c>
      <c r="G3070" s="2200" t="str">
        <f t="shared" si="191"/>
        <v>16000</v>
      </c>
      <c r="H3070" s="2200">
        <f>--SUBTOTAL(3,C$2:C3070)</f>
        <v>99</v>
      </c>
    </row>
    <row r="3071" spans="1:8" hidden="1" x14ac:dyDescent="0.15">
      <c r="A3071" s="2200" t="s">
        <v>11502</v>
      </c>
      <c r="B3071" s="2200" t="s">
        <v>16811</v>
      </c>
      <c r="C3071" s="2200" t="s">
        <v>16812</v>
      </c>
      <c r="D3071" s="2200" t="str">
        <f t="shared" si="188"/>
        <v>VT</v>
      </c>
      <c r="E3071" s="2200">
        <f t="shared" si="189"/>
        <v>14</v>
      </c>
      <c r="F3071" s="2200" t="str">
        <f t="shared" si="190"/>
        <v>50</v>
      </c>
      <c r="G3071" s="2200" t="str">
        <f t="shared" si="191"/>
        <v>16150</v>
      </c>
      <c r="H3071" s="2200">
        <f>--SUBTOTAL(3,C$2:C3071)</f>
        <v>99</v>
      </c>
    </row>
    <row r="3072" spans="1:8" hidden="1" x14ac:dyDescent="0.15">
      <c r="A3072" s="2200" t="s">
        <v>11502</v>
      </c>
      <c r="B3072" s="2200" t="s">
        <v>16813</v>
      </c>
      <c r="C3072" s="2200" t="s">
        <v>16814</v>
      </c>
      <c r="D3072" s="2200" t="str">
        <f t="shared" si="188"/>
        <v>VT</v>
      </c>
      <c r="E3072" s="2200">
        <f t="shared" si="189"/>
        <v>16</v>
      </c>
      <c r="F3072" s="2200" t="str">
        <f t="shared" si="190"/>
        <v>50</v>
      </c>
      <c r="G3072" s="2200" t="str">
        <f t="shared" si="191"/>
        <v>16300</v>
      </c>
      <c r="H3072" s="2200">
        <f>--SUBTOTAL(3,C$2:C3072)</f>
        <v>99</v>
      </c>
    </row>
    <row r="3073" spans="1:8" hidden="1" x14ac:dyDescent="0.15">
      <c r="A3073" s="2200" t="s">
        <v>11502</v>
      </c>
      <c r="B3073" s="2200" t="s">
        <v>16815</v>
      </c>
      <c r="C3073" s="2200" t="s">
        <v>16816</v>
      </c>
      <c r="D3073" s="2200" t="str">
        <f t="shared" si="188"/>
        <v>VT</v>
      </c>
      <c r="E3073" s="2200">
        <f t="shared" si="189"/>
        <v>11</v>
      </c>
      <c r="F3073" s="2200" t="str">
        <f t="shared" si="190"/>
        <v>50</v>
      </c>
      <c r="G3073" s="2200" t="str">
        <f t="shared" si="191"/>
        <v>16825</v>
      </c>
      <c r="H3073" s="2200">
        <f>--SUBTOTAL(3,C$2:C3073)</f>
        <v>99</v>
      </c>
    </row>
    <row r="3074" spans="1:8" hidden="1" x14ac:dyDescent="0.15">
      <c r="A3074" s="2200" t="s">
        <v>11502</v>
      </c>
      <c r="B3074" s="2200" t="s">
        <v>16817</v>
      </c>
      <c r="C3074" s="2200" t="s">
        <v>16818</v>
      </c>
      <c r="D3074" s="2200" t="str">
        <f t="shared" ref="D3074:D3137" si="192">MID(C3074,E3074+2,2)</f>
        <v>VT</v>
      </c>
      <c r="E3074" s="2200">
        <f t="shared" ref="E3074:E3137" si="193">FIND(",",C3074)</f>
        <v>14</v>
      </c>
      <c r="F3074" s="2200" t="str">
        <f t="shared" si="190"/>
        <v>50</v>
      </c>
      <c r="G3074" s="2200" t="str">
        <f t="shared" si="191"/>
        <v>17125</v>
      </c>
      <c r="H3074" s="2200">
        <f>--SUBTOTAL(3,C$2:C3074)</f>
        <v>99</v>
      </c>
    </row>
    <row r="3075" spans="1:8" hidden="1" x14ac:dyDescent="0.15">
      <c r="A3075" s="2200" t="s">
        <v>11502</v>
      </c>
      <c r="B3075" s="2200" t="s">
        <v>16819</v>
      </c>
      <c r="C3075" s="2200" t="s">
        <v>16820</v>
      </c>
      <c r="D3075" s="2200" t="str">
        <f t="shared" si="192"/>
        <v>VT</v>
      </c>
      <c r="E3075" s="2200">
        <f t="shared" si="193"/>
        <v>11</v>
      </c>
      <c r="F3075" s="2200" t="str">
        <f t="shared" ref="F3075:F3138" si="194">MID(B3075,3,2)</f>
        <v>50</v>
      </c>
      <c r="G3075" s="2200" t="str">
        <f t="shared" ref="G3075:G3138" si="195">MID(B3075,5,5)</f>
        <v>17350</v>
      </c>
      <c r="H3075" s="2200">
        <f>--SUBTOTAL(3,C$2:C3075)</f>
        <v>99</v>
      </c>
    </row>
    <row r="3076" spans="1:8" hidden="1" x14ac:dyDescent="0.15">
      <c r="A3076" s="2200" t="s">
        <v>11443</v>
      </c>
      <c r="B3076" s="2200" t="s">
        <v>16821</v>
      </c>
      <c r="C3076" s="2200" t="s">
        <v>16822</v>
      </c>
      <c r="D3076" s="2200" t="str">
        <f t="shared" si="192"/>
        <v>VT</v>
      </c>
      <c r="E3076" s="2200">
        <f t="shared" si="193"/>
        <v>6</v>
      </c>
      <c r="F3076" s="2200" t="str">
        <f t="shared" si="194"/>
        <v>50</v>
      </c>
      <c r="G3076" s="2200" t="str">
        <f t="shared" si="195"/>
        <v>80820</v>
      </c>
      <c r="H3076" s="2200">
        <f>--SUBTOTAL(3,C$2:C3076)</f>
        <v>99</v>
      </c>
    </row>
    <row r="3077" spans="1:8" hidden="1" x14ac:dyDescent="0.15">
      <c r="A3077" s="2200" t="s">
        <v>11502</v>
      </c>
      <c r="B3077" s="2200" t="s">
        <v>16823</v>
      </c>
      <c r="C3077" s="2200" t="s">
        <v>16824</v>
      </c>
      <c r="D3077" s="2200" t="str">
        <f t="shared" si="192"/>
        <v>VT</v>
      </c>
      <c r="E3077" s="2200">
        <f t="shared" si="193"/>
        <v>12</v>
      </c>
      <c r="F3077" s="2200" t="str">
        <f t="shared" si="194"/>
        <v>50</v>
      </c>
      <c r="G3077" s="2200" t="str">
        <f t="shared" si="195"/>
        <v>17725</v>
      </c>
      <c r="H3077" s="2200">
        <f>--SUBTOTAL(3,C$2:C3077)</f>
        <v>99</v>
      </c>
    </row>
    <row r="3078" spans="1:8" hidden="1" x14ac:dyDescent="0.15">
      <c r="A3078" s="2200" t="s">
        <v>11502</v>
      </c>
      <c r="B3078" s="2200" t="s">
        <v>16825</v>
      </c>
      <c r="C3078" s="2200" t="s">
        <v>16826</v>
      </c>
      <c r="D3078" s="2200" t="str">
        <f t="shared" si="192"/>
        <v>VT</v>
      </c>
      <c r="E3078" s="2200">
        <f t="shared" si="193"/>
        <v>11</v>
      </c>
      <c r="F3078" s="2200" t="str">
        <f t="shared" si="194"/>
        <v>50</v>
      </c>
      <c r="G3078" s="2200" t="str">
        <f t="shared" si="195"/>
        <v>17875</v>
      </c>
      <c r="H3078" s="2200">
        <f>--SUBTOTAL(3,C$2:C3078)</f>
        <v>99</v>
      </c>
    </row>
    <row r="3079" spans="1:8" hidden="1" x14ac:dyDescent="0.15">
      <c r="A3079" s="2200" t="s">
        <v>11502</v>
      </c>
      <c r="B3079" s="2200" t="s">
        <v>16827</v>
      </c>
      <c r="C3079" s="2200" t="s">
        <v>16828</v>
      </c>
      <c r="D3079" s="2200" t="str">
        <f t="shared" si="192"/>
        <v>VT</v>
      </c>
      <c r="E3079" s="2200">
        <f t="shared" si="193"/>
        <v>16</v>
      </c>
      <c r="F3079" s="2200" t="str">
        <f t="shared" si="194"/>
        <v>50</v>
      </c>
      <c r="G3079" s="2200" t="str">
        <f t="shared" si="195"/>
        <v>18325</v>
      </c>
      <c r="H3079" s="2200">
        <f>--SUBTOTAL(3,C$2:C3079)</f>
        <v>99</v>
      </c>
    </row>
    <row r="3080" spans="1:8" hidden="1" x14ac:dyDescent="0.15">
      <c r="A3080" s="2200" t="s">
        <v>11502</v>
      </c>
      <c r="B3080" s="2200" t="s">
        <v>16829</v>
      </c>
      <c r="C3080" s="2200" t="s">
        <v>16830</v>
      </c>
      <c r="D3080" s="2200" t="str">
        <f t="shared" si="192"/>
        <v>VT</v>
      </c>
      <c r="E3080" s="2200">
        <f t="shared" si="193"/>
        <v>13</v>
      </c>
      <c r="F3080" s="2200" t="str">
        <f t="shared" si="194"/>
        <v>50</v>
      </c>
      <c r="G3080" s="2200" t="str">
        <f t="shared" si="195"/>
        <v>18550</v>
      </c>
      <c r="H3080" s="2200">
        <f>--SUBTOTAL(3,C$2:C3080)</f>
        <v>99</v>
      </c>
    </row>
    <row r="3081" spans="1:8" hidden="1" x14ac:dyDescent="0.15">
      <c r="A3081" s="2200" t="s">
        <v>11502</v>
      </c>
      <c r="B3081" s="2200" t="s">
        <v>16831</v>
      </c>
      <c r="C3081" s="2200" t="s">
        <v>16832</v>
      </c>
      <c r="D3081" s="2200" t="str">
        <f t="shared" si="192"/>
        <v>VT</v>
      </c>
      <c r="E3081" s="2200">
        <f t="shared" si="193"/>
        <v>16</v>
      </c>
      <c r="F3081" s="2200" t="str">
        <f t="shared" si="194"/>
        <v>50</v>
      </c>
      <c r="G3081" s="2200" t="str">
        <f t="shared" si="195"/>
        <v>21250</v>
      </c>
      <c r="H3081" s="2200">
        <f>--SUBTOTAL(3,C$2:C3081)</f>
        <v>99</v>
      </c>
    </row>
    <row r="3082" spans="1:8" hidden="1" x14ac:dyDescent="0.15">
      <c r="A3082" s="2200" t="s">
        <v>11502</v>
      </c>
      <c r="B3082" s="2200" t="s">
        <v>16833</v>
      </c>
      <c r="C3082" s="2200" t="s">
        <v>16834</v>
      </c>
      <c r="D3082" s="2200" t="str">
        <f t="shared" si="192"/>
        <v>VT</v>
      </c>
      <c r="E3082" s="2200">
        <f t="shared" si="193"/>
        <v>21</v>
      </c>
      <c r="F3082" s="2200" t="str">
        <f t="shared" si="194"/>
        <v>50</v>
      </c>
      <c r="G3082" s="2200" t="str">
        <f t="shared" si="195"/>
        <v>21925</v>
      </c>
      <c r="H3082" s="2200">
        <f>--SUBTOTAL(3,C$2:C3082)</f>
        <v>99</v>
      </c>
    </row>
    <row r="3083" spans="1:8" hidden="1" x14ac:dyDescent="0.15">
      <c r="A3083" s="2200" t="s">
        <v>11502</v>
      </c>
      <c r="B3083" s="2200" t="s">
        <v>16835</v>
      </c>
      <c r="C3083" s="2200" t="s">
        <v>16836</v>
      </c>
      <c r="D3083" s="2200" t="str">
        <f t="shared" si="192"/>
        <v>VT</v>
      </c>
      <c r="E3083" s="2200">
        <f t="shared" si="193"/>
        <v>10</v>
      </c>
      <c r="F3083" s="2200" t="str">
        <f t="shared" si="194"/>
        <v>50</v>
      </c>
      <c r="G3083" s="2200" t="str">
        <f t="shared" si="195"/>
        <v>23500</v>
      </c>
      <c r="H3083" s="2200">
        <f>--SUBTOTAL(3,C$2:C3083)</f>
        <v>99</v>
      </c>
    </row>
    <row r="3084" spans="1:8" hidden="1" x14ac:dyDescent="0.15">
      <c r="A3084" s="2200" t="s">
        <v>11502</v>
      </c>
      <c r="B3084" s="2200" t="s">
        <v>16837</v>
      </c>
      <c r="C3084" s="2200" t="s">
        <v>16838</v>
      </c>
      <c r="D3084" s="2200" t="str">
        <f t="shared" si="192"/>
        <v>VT</v>
      </c>
      <c r="E3084" s="2200">
        <f t="shared" si="193"/>
        <v>12</v>
      </c>
      <c r="F3084" s="2200" t="str">
        <f t="shared" si="194"/>
        <v>50</v>
      </c>
      <c r="G3084" s="2200" t="str">
        <f t="shared" si="195"/>
        <v>23725</v>
      </c>
      <c r="H3084" s="2200">
        <f>--SUBTOTAL(3,C$2:C3084)</f>
        <v>99</v>
      </c>
    </row>
    <row r="3085" spans="1:8" hidden="1" x14ac:dyDescent="0.15">
      <c r="A3085" s="2200" t="s">
        <v>11502</v>
      </c>
      <c r="B3085" s="2200" t="s">
        <v>16839</v>
      </c>
      <c r="C3085" s="2200" t="s">
        <v>16840</v>
      </c>
      <c r="D3085" s="2200" t="str">
        <f t="shared" si="192"/>
        <v>VT</v>
      </c>
      <c r="E3085" s="2200">
        <f t="shared" si="193"/>
        <v>15</v>
      </c>
      <c r="F3085" s="2200" t="str">
        <f t="shared" si="194"/>
        <v>50</v>
      </c>
      <c r="G3085" s="2200" t="str">
        <f t="shared" si="195"/>
        <v>24050</v>
      </c>
      <c r="H3085" s="2200">
        <f>--SUBTOTAL(3,C$2:C3085)</f>
        <v>99</v>
      </c>
    </row>
    <row r="3086" spans="1:8" hidden="1" x14ac:dyDescent="0.15">
      <c r="A3086" s="2200" t="s">
        <v>11502</v>
      </c>
      <c r="B3086" s="2200" t="s">
        <v>16841</v>
      </c>
      <c r="C3086" s="2200" t="s">
        <v>16842</v>
      </c>
      <c r="D3086" s="2200" t="str">
        <f t="shared" si="192"/>
        <v>VT</v>
      </c>
      <c r="E3086" s="2200">
        <f t="shared" si="193"/>
        <v>11</v>
      </c>
      <c r="F3086" s="2200" t="str">
        <f t="shared" si="194"/>
        <v>50</v>
      </c>
      <c r="G3086" s="2200" t="str">
        <f t="shared" si="195"/>
        <v>24175</v>
      </c>
      <c r="H3086" s="2200">
        <f>--SUBTOTAL(3,C$2:C3086)</f>
        <v>99</v>
      </c>
    </row>
    <row r="3087" spans="1:8" hidden="1" x14ac:dyDescent="0.15">
      <c r="A3087" s="2200" t="s">
        <v>11502</v>
      </c>
      <c r="B3087" s="2200" t="s">
        <v>16843</v>
      </c>
      <c r="C3087" s="2200" t="s">
        <v>16844</v>
      </c>
      <c r="D3087" s="2200" t="str">
        <f t="shared" si="192"/>
        <v>VT</v>
      </c>
      <c r="E3087" s="2200">
        <f t="shared" si="193"/>
        <v>16</v>
      </c>
      <c r="F3087" s="2200" t="str">
        <f t="shared" si="194"/>
        <v>50</v>
      </c>
      <c r="G3087" s="2200" t="str">
        <f t="shared" si="195"/>
        <v>25375</v>
      </c>
      <c r="H3087" s="2200">
        <f>--SUBTOTAL(3,C$2:C3087)</f>
        <v>99</v>
      </c>
    </row>
    <row r="3088" spans="1:8" hidden="1" x14ac:dyDescent="0.15">
      <c r="A3088" s="2200" t="s">
        <v>11502</v>
      </c>
      <c r="B3088" s="2200" t="s">
        <v>16845</v>
      </c>
      <c r="C3088" s="2200" t="s">
        <v>16846</v>
      </c>
      <c r="D3088" s="2200" t="str">
        <f t="shared" si="192"/>
        <v>VT</v>
      </c>
      <c r="E3088" s="2200">
        <f t="shared" si="193"/>
        <v>13</v>
      </c>
      <c r="F3088" s="2200" t="str">
        <f t="shared" si="194"/>
        <v>50</v>
      </c>
      <c r="G3088" s="2200" t="str">
        <f t="shared" si="195"/>
        <v>24925</v>
      </c>
      <c r="H3088" s="2200">
        <f>--SUBTOTAL(3,C$2:C3088)</f>
        <v>99</v>
      </c>
    </row>
    <row r="3089" spans="1:8" hidden="1" x14ac:dyDescent="0.15">
      <c r="A3089" s="2200" t="s">
        <v>11502</v>
      </c>
      <c r="B3089" s="2200" t="s">
        <v>16847</v>
      </c>
      <c r="C3089" s="2200" t="s">
        <v>16848</v>
      </c>
      <c r="D3089" s="2200" t="str">
        <f t="shared" si="192"/>
        <v>VT</v>
      </c>
      <c r="E3089" s="2200">
        <f t="shared" si="193"/>
        <v>15</v>
      </c>
      <c r="F3089" s="2200" t="str">
        <f t="shared" si="194"/>
        <v>50</v>
      </c>
      <c r="G3089" s="2200" t="str">
        <f t="shared" si="195"/>
        <v>25225</v>
      </c>
      <c r="H3089" s="2200">
        <f>--SUBTOTAL(3,C$2:C3089)</f>
        <v>99</v>
      </c>
    </row>
    <row r="3090" spans="1:8" hidden="1" x14ac:dyDescent="0.15">
      <c r="A3090" s="2200" t="s">
        <v>11502</v>
      </c>
      <c r="B3090" s="2200" t="s">
        <v>16849</v>
      </c>
      <c r="C3090" s="2200" t="s">
        <v>16850</v>
      </c>
      <c r="D3090" s="2200" t="str">
        <f t="shared" si="192"/>
        <v>VT</v>
      </c>
      <c r="E3090" s="2200">
        <f t="shared" si="193"/>
        <v>13</v>
      </c>
      <c r="F3090" s="2200" t="str">
        <f t="shared" si="194"/>
        <v>50</v>
      </c>
      <c r="G3090" s="2200" t="str">
        <f t="shared" si="195"/>
        <v>25675</v>
      </c>
      <c r="H3090" s="2200">
        <f>--SUBTOTAL(3,C$2:C3090)</f>
        <v>99</v>
      </c>
    </row>
    <row r="3091" spans="1:8" hidden="1" x14ac:dyDescent="0.15">
      <c r="A3091" s="2200" t="s">
        <v>11502</v>
      </c>
      <c r="B3091" s="2200" t="s">
        <v>16851</v>
      </c>
      <c r="C3091" s="2200" t="s">
        <v>16852</v>
      </c>
      <c r="D3091" s="2200" t="str">
        <f t="shared" si="192"/>
        <v>VT</v>
      </c>
      <c r="E3091" s="2200">
        <f t="shared" si="193"/>
        <v>13</v>
      </c>
      <c r="F3091" s="2200" t="str">
        <f t="shared" si="194"/>
        <v>50</v>
      </c>
      <c r="G3091" s="2200" t="str">
        <f t="shared" si="195"/>
        <v>25825</v>
      </c>
      <c r="H3091" s="2200">
        <f>--SUBTOTAL(3,C$2:C3091)</f>
        <v>99</v>
      </c>
    </row>
    <row r="3092" spans="1:8" hidden="1" x14ac:dyDescent="0.15">
      <c r="A3092" s="2200" t="s">
        <v>11502</v>
      </c>
      <c r="B3092" s="2200" t="s">
        <v>16853</v>
      </c>
      <c r="C3092" s="2200" t="s">
        <v>16854</v>
      </c>
      <c r="D3092" s="2200" t="str">
        <f t="shared" si="192"/>
        <v>VT</v>
      </c>
      <c r="E3092" s="2200">
        <f t="shared" si="193"/>
        <v>15</v>
      </c>
      <c r="F3092" s="2200" t="str">
        <f t="shared" si="194"/>
        <v>50</v>
      </c>
      <c r="G3092" s="2200" t="str">
        <f t="shared" si="195"/>
        <v>25975</v>
      </c>
      <c r="H3092" s="2200">
        <f>--SUBTOTAL(3,C$2:C3092)</f>
        <v>99</v>
      </c>
    </row>
    <row r="3093" spans="1:8" hidden="1" x14ac:dyDescent="0.15">
      <c r="A3093" s="2200" t="s">
        <v>11502</v>
      </c>
      <c r="B3093" s="2200" t="s">
        <v>16855</v>
      </c>
      <c r="C3093" s="2200" t="s">
        <v>16856</v>
      </c>
      <c r="D3093" s="2200" t="str">
        <f t="shared" si="192"/>
        <v>VT</v>
      </c>
      <c r="E3093" s="2200">
        <f t="shared" si="193"/>
        <v>17</v>
      </c>
      <c r="F3093" s="2200" t="str">
        <f t="shared" si="194"/>
        <v>50</v>
      </c>
      <c r="G3093" s="2200" t="str">
        <f t="shared" si="195"/>
        <v>26300</v>
      </c>
      <c r="H3093" s="2200">
        <f>--SUBTOTAL(3,C$2:C3093)</f>
        <v>99</v>
      </c>
    </row>
    <row r="3094" spans="1:8" hidden="1" x14ac:dyDescent="0.15">
      <c r="A3094" s="2200" t="s">
        <v>11502</v>
      </c>
      <c r="B3094" s="2200" t="s">
        <v>16857</v>
      </c>
      <c r="C3094" s="2200" t="s">
        <v>16858</v>
      </c>
      <c r="D3094" s="2200" t="str">
        <f t="shared" si="192"/>
        <v>VT</v>
      </c>
      <c r="E3094" s="2200">
        <f t="shared" si="193"/>
        <v>14</v>
      </c>
      <c r="F3094" s="2200" t="str">
        <f t="shared" si="194"/>
        <v>50</v>
      </c>
      <c r="G3094" s="2200" t="str">
        <f t="shared" si="195"/>
        <v>26500</v>
      </c>
      <c r="H3094" s="2200">
        <f>--SUBTOTAL(3,C$2:C3094)</f>
        <v>99</v>
      </c>
    </row>
    <row r="3095" spans="1:8" hidden="1" x14ac:dyDescent="0.15">
      <c r="A3095" s="2200" t="s">
        <v>11502</v>
      </c>
      <c r="B3095" s="2200" t="s">
        <v>16859</v>
      </c>
      <c r="C3095" s="2200" t="s">
        <v>16860</v>
      </c>
      <c r="D3095" s="2200" t="str">
        <f t="shared" si="192"/>
        <v>VT</v>
      </c>
      <c r="E3095" s="2200">
        <f t="shared" si="193"/>
        <v>14</v>
      </c>
      <c r="F3095" s="2200" t="str">
        <f t="shared" si="194"/>
        <v>50</v>
      </c>
      <c r="G3095" s="2200" t="str">
        <f t="shared" si="195"/>
        <v>27100</v>
      </c>
      <c r="H3095" s="2200">
        <f>--SUBTOTAL(3,C$2:C3095)</f>
        <v>99</v>
      </c>
    </row>
    <row r="3096" spans="1:8" hidden="1" x14ac:dyDescent="0.15">
      <c r="A3096" s="2200" t="s">
        <v>11502</v>
      </c>
      <c r="B3096" s="2200" t="s">
        <v>16861</v>
      </c>
      <c r="C3096" s="2200" t="s">
        <v>16862</v>
      </c>
      <c r="D3096" s="2200" t="str">
        <f t="shared" si="192"/>
        <v>VT</v>
      </c>
      <c r="E3096" s="2200">
        <f t="shared" si="193"/>
        <v>13</v>
      </c>
      <c r="F3096" s="2200" t="str">
        <f t="shared" si="194"/>
        <v>50</v>
      </c>
      <c r="G3096" s="2200" t="str">
        <f t="shared" si="195"/>
        <v>27700</v>
      </c>
      <c r="H3096" s="2200">
        <f>--SUBTOTAL(3,C$2:C3096)</f>
        <v>99</v>
      </c>
    </row>
    <row r="3097" spans="1:8" hidden="1" x14ac:dyDescent="0.15">
      <c r="A3097" s="2200" t="s">
        <v>11502</v>
      </c>
      <c r="B3097" s="2200" t="s">
        <v>16863</v>
      </c>
      <c r="C3097" s="2200" t="s">
        <v>16864</v>
      </c>
      <c r="D3097" s="2200" t="str">
        <f t="shared" si="192"/>
        <v>VT</v>
      </c>
      <c r="E3097" s="2200">
        <f t="shared" si="193"/>
        <v>17</v>
      </c>
      <c r="F3097" s="2200" t="str">
        <f t="shared" si="194"/>
        <v>50</v>
      </c>
      <c r="G3097" s="2200" t="str">
        <f t="shared" si="195"/>
        <v>27962</v>
      </c>
      <c r="H3097" s="2200">
        <f>--SUBTOTAL(3,C$2:C3097)</f>
        <v>99</v>
      </c>
    </row>
    <row r="3098" spans="1:8" hidden="1" x14ac:dyDescent="0.15">
      <c r="A3098" s="2200" t="s">
        <v>11502</v>
      </c>
      <c r="B3098" s="2200" t="s">
        <v>16865</v>
      </c>
      <c r="C3098" s="2200" t="s">
        <v>16866</v>
      </c>
      <c r="D3098" s="2200" t="str">
        <f t="shared" si="192"/>
        <v>VT</v>
      </c>
      <c r="E3098" s="2200">
        <f t="shared" si="193"/>
        <v>12</v>
      </c>
      <c r="F3098" s="2200" t="str">
        <f t="shared" si="194"/>
        <v>50</v>
      </c>
      <c r="G3098" s="2200" t="str">
        <f t="shared" si="195"/>
        <v>28075</v>
      </c>
      <c r="H3098" s="2200">
        <f>--SUBTOTAL(3,C$2:C3098)</f>
        <v>99</v>
      </c>
    </row>
    <row r="3099" spans="1:8" hidden="1" x14ac:dyDescent="0.15">
      <c r="A3099" s="2200" t="s">
        <v>11502</v>
      </c>
      <c r="B3099" s="2200" t="s">
        <v>16867</v>
      </c>
      <c r="C3099" s="2200" t="s">
        <v>16868</v>
      </c>
      <c r="D3099" s="2200" t="str">
        <f t="shared" si="192"/>
        <v>VT</v>
      </c>
      <c r="E3099" s="2200">
        <f t="shared" si="193"/>
        <v>12</v>
      </c>
      <c r="F3099" s="2200" t="str">
        <f t="shared" si="194"/>
        <v>50</v>
      </c>
      <c r="G3099" s="2200" t="str">
        <f t="shared" si="195"/>
        <v>28600</v>
      </c>
      <c r="H3099" s="2200">
        <f>--SUBTOTAL(3,C$2:C3099)</f>
        <v>99</v>
      </c>
    </row>
    <row r="3100" spans="1:8" hidden="1" x14ac:dyDescent="0.15">
      <c r="A3100" s="2200" t="s">
        <v>11502</v>
      </c>
      <c r="B3100" s="2200" t="s">
        <v>16869</v>
      </c>
      <c r="C3100" s="2200" t="s">
        <v>16870</v>
      </c>
      <c r="D3100" s="2200" t="str">
        <f t="shared" si="192"/>
        <v>VT</v>
      </c>
      <c r="E3100" s="2200">
        <f t="shared" si="193"/>
        <v>13</v>
      </c>
      <c r="F3100" s="2200" t="str">
        <f t="shared" si="194"/>
        <v>50</v>
      </c>
      <c r="G3100" s="2200" t="str">
        <f t="shared" si="195"/>
        <v>28900</v>
      </c>
      <c r="H3100" s="2200">
        <f>--SUBTOTAL(3,C$2:C3100)</f>
        <v>99</v>
      </c>
    </row>
    <row r="3101" spans="1:8" hidden="1" x14ac:dyDescent="0.15">
      <c r="A3101" s="2200" t="s">
        <v>11502</v>
      </c>
      <c r="B3101" s="2200" t="s">
        <v>16871</v>
      </c>
      <c r="C3101" s="2200" t="s">
        <v>16872</v>
      </c>
      <c r="D3101" s="2200" t="str">
        <f t="shared" si="192"/>
        <v>VT</v>
      </c>
      <c r="E3101" s="2200">
        <f t="shared" si="193"/>
        <v>12</v>
      </c>
      <c r="F3101" s="2200" t="str">
        <f t="shared" si="194"/>
        <v>50</v>
      </c>
      <c r="G3101" s="2200" t="str">
        <f t="shared" si="195"/>
        <v>29125</v>
      </c>
      <c r="H3101" s="2200">
        <f>--SUBTOTAL(3,C$2:C3101)</f>
        <v>99</v>
      </c>
    </row>
    <row r="3102" spans="1:8" hidden="1" x14ac:dyDescent="0.15">
      <c r="A3102" s="2200" t="s">
        <v>11502</v>
      </c>
      <c r="B3102" s="2200" t="s">
        <v>16873</v>
      </c>
      <c r="C3102" s="2200" t="s">
        <v>16874</v>
      </c>
      <c r="D3102" s="2200" t="str">
        <f t="shared" si="192"/>
        <v>VT</v>
      </c>
      <c r="E3102" s="2200">
        <f t="shared" si="193"/>
        <v>16</v>
      </c>
      <c r="F3102" s="2200" t="str">
        <f t="shared" si="194"/>
        <v>50</v>
      </c>
      <c r="G3102" s="2200" t="str">
        <f t="shared" si="195"/>
        <v>29275</v>
      </c>
      <c r="H3102" s="2200">
        <f>--SUBTOTAL(3,C$2:C3102)</f>
        <v>99</v>
      </c>
    </row>
    <row r="3103" spans="1:8" hidden="1" x14ac:dyDescent="0.15">
      <c r="A3103" s="2200" t="s">
        <v>11502</v>
      </c>
      <c r="B3103" s="2200" t="s">
        <v>16875</v>
      </c>
      <c r="C3103" s="2200" t="s">
        <v>16876</v>
      </c>
      <c r="D3103" s="2200" t="str">
        <f t="shared" si="192"/>
        <v>VT</v>
      </c>
      <c r="E3103" s="2200">
        <f t="shared" si="193"/>
        <v>15</v>
      </c>
      <c r="F3103" s="2200" t="str">
        <f t="shared" si="194"/>
        <v>50</v>
      </c>
      <c r="G3103" s="2200" t="str">
        <f t="shared" si="195"/>
        <v>29575</v>
      </c>
      <c r="H3103" s="2200">
        <f>--SUBTOTAL(3,C$2:C3103)</f>
        <v>99</v>
      </c>
    </row>
    <row r="3104" spans="1:8" hidden="1" x14ac:dyDescent="0.15">
      <c r="A3104" s="2200" t="s">
        <v>11502</v>
      </c>
      <c r="B3104" s="2200" t="s">
        <v>16877</v>
      </c>
      <c r="C3104" s="2200" t="s">
        <v>16878</v>
      </c>
      <c r="D3104" s="2200" t="str">
        <f t="shared" si="192"/>
        <v>VT</v>
      </c>
      <c r="E3104" s="2200">
        <f t="shared" si="193"/>
        <v>16</v>
      </c>
      <c r="F3104" s="2200" t="str">
        <f t="shared" si="194"/>
        <v>50</v>
      </c>
      <c r="G3104" s="2200" t="str">
        <f t="shared" si="195"/>
        <v>30175</v>
      </c>
      <c r="H3104" s="2200">
        <f>--SUBTOTAL(3,C$2:C3104)</f>
        <v>99</v>
      </c>
    </row>
    <row r="3105" spans="1:8" hidden="1" x14ac:dyDescent="0.15">
      <c r="A3105" s="2200" t="s">
        <v>11502</v>
      </c>
      <c r="B3105" s="2200" t="s">
        <v>16879</v>
      </c>
      <c r="C3105" s="2200" t="s">
        <v>16880</v>
      </c>
      <c r="D3105" s="2200" t="str">
        <f t="shared" si="192"/>
        <v>VT</v>
      </c>
      <c r="E3105" s="2200">
        <f t="shared" si="193"/>
        <v>12</v>
      </c>
      <c r="F3105" s="2200" t="str">
        <f t="shared" si="194"/>
        <v>50</v>
      </c>
      <c r="G3105" s="2200" t="str">
        <f t="shared" si="195"/>
        <v>30550</v>
      </c>
      <c r="H3105" s="2200">
        <f>--SUBTOTAL(3,C$2:C3105)</f>
        <v>99</v>
      </c>
    </row>
    <row r="3106" spans="1:8" hidden="1" x14ac:dyDescent="0.15">
      <c r="A3106" s="2200" t="s">
        <v>11502</v>
      </c>
      <c r="B3106" s="2200" t="s">
        <v>16881</v>
      </c>
      <c r="C3106" s="2200" t="s">
        <v>16882</v>
      </c>
      <c r="D3106" s="2200" t="str">
        <f t="shared" si="192"/>
        <v>VT</v>
      </c>
      <c r="E3106" s="2200">
        <f t="shared" si="193"/>
        <v>15</v>
      </c>
      <c r="F3106" s="2200" t="str">
        <f t="shared" si="194"/>
        <v>50</v>
      </c>
      <c r="G3106" s="2200" t="str">
        <f t="shared" si="195"/>
        <v>30775</v>
      </c>
      <c r="H3106" s="2200">
        <f>--SUBTOTAL(3,C$2:C3106)</f>
        <v>99</v>
      </c>
    </row>
    <row r="3107" spans="1:8" hidden="1" x14ac:dyDescent="0.15">
      <c r="A3107" s="2200" t="s">
        <v>11502</v>
      </c>
      <c r="B3107" s="2200" t="s">
        <v>16883</v>
      </c>
      <c r="C3107" s="2200" t="s">
        <v>16884</v>
      </c>
      <c r="D3107" s="2200" t="str">
        <f t="shared" si="192"/>
        <v>VT</v>
      </c>
      <c r="E3107" s="2200">
        <f t="shared" si="193"/>
        <v>14</v>
      </c>
      <c r="F3107" s="2200" t="str">
        <f t="shared" si="194"/>
        <v>50</v>
      </c>
      <c r="G3107" s="2200" t="str">
        <f t="shared" si="195"/>
        <v>30925</v>
      </c>
      <c r="H3107" s="2200">
        <f>--SUBTOTAL(3,C$2:C3107)</f>
        <v>99</v>
      </c>
    </row>
    <row r="3108" spans="1:8" hidden="1" x14ac:dyDescent="0.15">
      <c r="A3108" s="2200" t="s">
        <v>11502</v>
      </c>
      <c r="B3108" s="2200" t="s">
        <v>16885</v>
      </c>
      <c r="C3108" s="2200" t="s">
        <v>16886</v>
      </c>
      <c r="D3108" s="2200" t="str">
        <f t="shared" si="192"/>
        <v>VT</v>
      </c>
      <c r="E3108" s="2200">
        <f t="shared" si="193"/>
        <v>13</v>
      </c>
      <c r="F3108" s="2200" t="str">
        <f t="shared" si="194"/>
        <v>50</v>
      </c>
      <c r="G3108" s="2200" t="str">
        <f t="shared" si="195"/>
        <v>31150</v>
      </c>
      <c r="H3108" s="2200">
        <f>--SUBTOTAL(3,C$2:C3108)</f>
        <v>99</v>
      </c>
    </row>
    <row r="3109" spans="1:8" hidden="1" x14ac:dyDescent="0.15">
      <c r="A3109" s="2200" t="s">
        <v>11502</v>
      </c>
      <c r="B3109" s="2200" t="s">
        <v>16887</v>
      </c>
      <c r="C3109" s="2200" t="s">
        <v>16888</v>
      </c>
      <c r="D3109" s="2200" t="str">
        <f t="shared" si="192"/>
        <v>VT</v>
      </c>
      <c r="E3109" s="2200">
        <f t="shared" si="193"/>
        <v>13</v>
      </c>
      <c r="F3109" s="2200" t="str">
        <f t="shared" si="194"/>
        <v>50</v>
      </c>
      <c r="G3109" s="2200" t="str">
        <f t="shared" si="195"/>
        <v>31525</v>
      </c>
      <c r="H3109" s="2200">
        <f>--SUBTOTAL(3,C$2:C3109)</f>
        <v>99</v>
      </c>
    </row>
    <row r="3110" spans="1:8" hidden="1" x14ac:dyDescent="0.15">
      <c r="A3110" s="2200" t="s">
        <v>11502</v>
      </c>
      <c r="B3110" s="2200" t="s">
        <v>16889</v>
      </c>
      <c r="C3110" s="2200" t="s">
        <v>16890</v>
      </c>
      <c r="D3110" s="2200" t="str">
        <f t="shared" si="192"/>
        <v>VT</v>
      </c>
      <c r="E3110" s="2200">
        <f t="shared" si="193"/>
        <v>14</v>
      </c>
      <c r="F3110" s="2200" t="str">
        <f t="shared" si="194"/>
        <v>50</v>
      </c>
      <c r="G3110" s="2200" t="str">
        <f t="shared" si="195"/>
        <v>31825</v>
      </c>
      <c r="H3110" s="2200">
        <f>--SUBTOTAL(3,C$2:C3110)</f>
        <v>99</v>
      </c>
    </row>
    <row r="3111" spans="1:8" hidden="1" x14ac:dyDescent="0.15">
      <c r="A3111" s="2200" t="s">
        <v>11502</v>
      </c>
      <c r="B3111" s="2200" t="s">
        <v>16891</v>
      </c>
      <c r="C3111" s="2200" t="s">
        <v>16892</v>
      </c>
      <c r="D3111" s="2200" t="str">
        <f t="shared" si="192"/>
        <v>VT</v>
      </c>
      <c r="E3111" s="2200">
        <f t="shared" si="193"/>
        <v>14</v>
      </c>
      <c r="F3111" s="2200" t="str">
        <f t="shared" si="194"/>
        <v>50</v>
      </c>
      <c r="G3111" s="2200" t="str">
        <f t="shared" si="195"/>
        <v>32275</v>
      </c>
      <c r="H3111" s="2200">
        <f>--SUBTOTAL(3,C$2:C3111)</f>
        <v>99</v>
      </c>
    </row>
    <row r="3112" spans="1:8" hidden="1" x14ac:dyDescent="0.15">
      <c r="A3112" s="2200" t="s">
        <v>11502</v>
      </c>
      <c r="B3112" s="2200" t="s">
        <v>16893</v>
      </c>
      <c r="C3112" s="2200" t="s">
        <v>16894</v>
      </c>
      <c r="D3112" s="2200" t="str">
        <f t="shared" si="192"/>
        <v>VT</v>
      </c>
      <c r="E3112" s="2200">
        <f t="shared" si="193"/>
        <v>14</v>
      </c>
      <c r="F3112" s="2200" t="str">
        <f t="shared" si="194"/>
        <v>50</v>
      </c>
      <c r="G3112" s="2200" t="str">
        <f t="shared" si="195"/>
        <v>32425</v>
      </c>
      <c r="H3112" s="2200">
        <f>--SUBTOTAL(3,C$2:C3112)</f>
        <v>99</v>
      </c>
    </row>
    <row r="3113" spans="1:8" hidden="1" x14ac:dyDescent="0.15">
      <c r="A3113" s="2200" t="s">
        <v>11502</v>
      </c>
      <c r="B3113" s="2200" t="s">
        <v>16895</v>
      </c>
      <c r="C3113" s="2200" t="s">
        <v>16896</v>
      </c>
      <c r="D3113" s="2200" t="str">
        <f t="shared" si="192"/>
        <v>VT</v>
      </c>
      <c r="E3113" s="2200">
        <f t="shared" si="193"/>
        <v>14</v>
      </c>
      <c r="F3113" s="2200" t="str">
        <f t="shared" si="194"/>
        <v>50</v>
      </c>
      <c r="G3113" s="2200" t="str">
        <f t="shared" si="195"/>
        <v>33025</v>
      </c>
      <c r="H3113" s="2200">
        <f>--SUBTOTAL(3,C$2:C3113)</f>
        <v>99</v>
      </c>
    </row>
    <row r="3114" spans="1:8" hidden="1" x14ac:dyDescent="0.15">
      <c r="A3114" s="2200" t="s">
        <v>11443</v>
      </c>
      <c r="B3114" s="2200" t="s">
        <v>16897</v>
      </c>
      <c r="C3114" s="2200" t="s">
        <v>16898</v>
      </c>
      <c r="D3114" s="2200" t="str">
        <f t="shared" si="192"/>
        <v>VT</v>
      </c>
      <c r="E3114" s="2200">
        <f t="shared" si="193"/>
        <v>9</v>
      </c>
      <c r="F3114" s="2200" t="str">
        <f t="shared" si="194"/>
        <v>50</v>
      </c>
      <c r="G3114" s="2200" t="str">
        <f t="shared" si="195"/>
        <v>81340</v>
      </c>
      <c r="H3114" s="2200">
        <f>--SUBTOTAL(3,C$2:C3114)</f>
        <v>99</v>
      </c>
    </row>
    <row r="3115" spans="1:8" hidden="1" x14ac:dyDescent="0.15">
      <c r="A3115" s="2200" t="s">
        <v>11502</v>
      </c>
      <c r="B3115" s="2200" t="s">
        <v>16899</v>
      </c>
      <c r="C3115" s="2200" t="s">
        <v>16900</v>
      </c>
      <c r="D3115" s="2200" t="str">
        <f t="shared" si="192"/>
        <v>VT</v>
      </c>
      <c r="E3115" s="2200">
        <f t="shared" si="193"/>
        <v>15</v>
      </c>
      <c r="F3115" s="2200" t="str">
        <f t="shared" si="194"/>
        <v>50</v>
      </c>
      <c r="G3115" s="2200" t="str">
        <f t="shared" si="195"/>
        <v>33475</v>
      </c>
      <c r="H3115" s="2200">
        <f>--SUBTOTAL(3,C$2:C3115)</f>
        <v>99</v>
      </c>
    </row>
    <row r="3116" spans="1:8" hidden="1" x14ac:dyDescent="0.15">
      <c r="A3116" s="2200" t="s">
        <v>11502</v>
      </c>
      <c r="B3116" s="2200" t="s">
        <v>16901</v>
      </c>
      <c r="C3116" s="2200" t="s">
        <v>16902</v>
      </c>
      <c r="D3116" s="2200" t="str">
        <f t="shared" si="192"/>
        <v>VT</v>
      </c>
      <c r="E3116" s="2200">
        <f t="shared" si="193"/>
        <v>13</v>
      </c>
      <c r="F3116" s="2200" t="str">
        <f t="shared" si="194"/>
        <v>50</v>
      </c>
      <c r="G3116" s="2200" t="str">
        <f t="shared" si="195"/>
        <v>33775</v>
      </c>
      <c r="H3116" s="2200">
        <f>--SUBTOTAL(3,C$2:C3116)</f>
        <v>99</v>
      </c>
    </row>
    <row r="3117" spans="1:8" hidden="1" x14ac:dyDescent="0.15">
      <c r="A3117" s="2200" t="s">
        <v>11502</v>
      </c>
      <c r="B3117" s="2200" t="s">
        <v>16903</v>
      </c>
      <c r="C3117" s="2200" t="s">
        <v>16904</v>
      </c>
      <c r="D3117" s="2200" t="str">
        <f t="shared" si="192"/>
        <v>VT</v>
      </c>
      <c r="E3117" s="2200">
        <f t="shared" si="193"/>
        <v>16</v>
      </c>
      <c r="F3117" s="2200" t="str">
        <f t="shared" si="194"/>
        <v>50</v>
      </c>
      <c r="G3117" s="2200" t="str">
        <f t="shared" si="195"/>
        <v>34450</v>
      </c>
      <c r="H3117" s="2200">
        <f>--SUBTOTAL(3,C$2:C3117)</f>
        <v>99</v>
      </c>
    </row>
    <row r="3118" spans="1:8" hidden="1" x14ac:dyDescent="0.15">
      <c r="A3118" s="2200" t="s">
        <v>11502</v>
      </c>
      <c r="B3118" s="2200" t="s">
        <v>16905</v>
      </c>
      <c r="C3118" s="2200" t="s">
        <v>16906</v>
      </c>
      <c r="D3118" s="2200" t="str">
        <f t="shared" si="192"/>
        <v>VT</v>
      </c>
      <c r="E3118" s="2200">
        <f t="shared" si="193"/>
        <v>16</v>
      </c>
      <c r="F3118" s="2200" t="str">
        <f t="shared" si="194"/>
        <v>50</v>
      </c>
      <c r="G3118" s="2200" t="str">
        <f t="shared" si="195"/>
        <v>34600</v>
      </c>
      <c r="H3118" s="2200">
        <f>--SUBTOTAL(3,C$2:C3118)</f>
        <v>99</v>
      </c>
    </row>
    <row r="3119" spans="1:8" hidden="1" x14ac:dyDescent="0.15">
      <c r="A3119" s="2200" t="s">
        <v>11502</v>
      </c>
      <c r="B3119" s="2200" t="s">
        <v>16907</v>
      </c>
      <c r="C3119" s="2200" t="s">
        <v>16908</v>
      </c>
      <c r="D3119" s="2200" t="str">
        <f t="shared" si="192"/>
        <v>VT</v>
      </c>
      <c r="E3119" s="2200">
        <f t="shared" si="193"/>
        <v>15</v>
      </c>
      <c r="F3119" s="2200" t="str">
        <f t="shared" si="194"/>
        <v>50</v>
      </c>
      <c r="G3119" s="2200" t="str">
        <f t="shared" si="195"/>
        <v>35050</v>
      </c>
      <c r="H3119" s="2200">
        <f>--SUBTOTAL(3,C$2:C3119)</f>
        <v>99</v>
      </c>
    </row>
    <row r="3120" spans="1:8" hidden="1" x14ac:dyDescent="0.15">
      <c r="A3120" s="2200" t="s">
        <v>11502</v>
      </c>
      <c r="B3120" s="2200" t="s">
        <v>16909</v>
      </c>
      <c r="C3120" s="2200" t="s">
        <v>16910</v>
      </c>
      <c r="D3120" s="2200" t="str">
        <f t="shared" si="192"/>
        <v>VT</v>
      </c>
      <c r="E3120" s="2200">
        <f t="shared" si="193"/>
        <v>9</v>
      </c>
      <c r="F3120" s="2200" t="str">
        <f t="shared" si="194"/>
        <v>50</v>
      </c>
      <c r="G3120" s="2200" t="str">
        <f t="shared" si="195"/>
        <v>35425</v>
      </c>
      <c r="H3120" s="2200">
        <f>--SUBTOTAL(3,C$2:C3120)</f>
        <v>99</v>
      </c>
    </row>
    <row r="3121" spans="1:8" hidden="1" x14ac:dyDescent="0.15">
      <c r="A3121" s="2200" t="s">
        <v>11502</v>
      </c>
      <c r="B3121" s="2200" t="s">
        <v>16911</v>
      </c>
      <c r="C3121" s="2200" t="s">
        <v>16912</v>
      </c>
      <c r="D3121" s="2200" t="str">
        <f t="shared" si="192"/>
        <v>VT</v>
      </c>
      <c r="E3121" s="2200">
        <f t="shared" si="193"/>
        <v>14</v>
      </c>
      <c r="F3121" s="2200" t="str">
        <f t="shared" si="194"/>
        <v>50</v>
      </c>
      <c r="G3121" s="2200" t="str">
        <f t="shared" si="195"/>
        <v>35575</v>
      </c>
      <c r="H3121" s="2200">
        <f>--SUBTOTAL(3,C$2:C3121)</f>
        <v>99</v>
      </c>
    </row>
    <row r="3122" spans="1:8" hidden="1" x14ac:dyDescent="0.15">
      <c r="A3122" s="2200" t="s">
        <v>11502</v>
      </c>
      <c r="B3122" s="2200" t="s">
        <v>16913</v>
      </c>
      <c r="C3122" s="2200" t="s">
        <v>16914</v>
      </c>
      <c r="D3122" s="2200" t="str">
        <f t="shared" si="192"/>
        <v>VT</v>
      </c>
      <c r="E3122" s="2200">
        <f t="shared" si="193"/>
        <v>19</v>
      </c>
      <c r="F3122" s="2200" t="str">
        <f t="shared" si="194"/>
        <v>50</v>
      </c>
      <c r="G3122" s="2200" t="str">
        <f t="shared" si="195"/>
        <v>35875</v>
      </c>
      <c r="H3122" s="2200">
        <f>--SUBTOTAL(3,C$2:C3122)</f>
        <v>99</v>
      </c>
    </row>
    <row r="3123" spans="1:8" hidden="1" x14ac:dyDescent="0.15">
      <c r="A3123" s="2200" t="s">
        <v>11502</v>
      </c>
      <c r="B3123" s="2200" t="s">
        <v>16915</v>
      </c>
      <c r="C3123" s="2200" t="s">
        <v>16916</v>
      </c>
      <c r="D3123" s="2200" t="str">
        <f t="shared" si="192"/>
        <v>VT</v>
      </c>
      <c r="E3123" s="2200">
        <f t="shared" si="193"/>
        <v>13</v>
      </c>
      <c r="F3123" s="2200" t="str">
        <f t="shared" si="194"/>
        <v>50</v>
      </c>
      <c r="G3123" s="2200" t="str">
        <f t="shared" si="195"/>
        <v>36175</v>
      </c>
      <c r="H3123" s="2200">
        <f>--SUBTOTAL(3,C$2:C3123)</f>
        <v>99</v>
      </c>
    </row>
    <row r="3124" spans="1:8" hidden="1" x14ac:dyDescent="0.15">
      <c r="A3124" s="2200" t="s">
        <v>11502</v>
      </c>
      <c r="B3124" s="2200" t="s">
        <v>16917</v>
      </c>
      <c r="C3124" s="2200" t="s">
        <v>16918</v>
      </c>
      <c r="D3124" s="2200" t="str">
        <f t="shared" si="192"/>
        <v>VT</v>
      </c>
      <c r="E3124" s="2200">
        <f t="shared" si="193"/>
        <v>9</v>
      </c>
      <c r="F3124" s="2200" t="str">
        <f t="shared" si="194"/>
        <v>50</v>
      </c>
      <c r="G3124" s="2200" t="str">
        <f t="shared" si="195"/>
        <v>36325</v>
      </c>
      <c r="H3124" s="2200">
        <f>--SUBTOTAL(3,C$2:C3124)</f>
        <v>99</v>
      </c>
    </row>
    <row r="3125" spans="1:8" hidden="1" x14ac:dyDescent="0.15">
      <c r="A3125" s="2200" t="s">
        <v>11502</v>
      </c>
      <c r="B3125" s="2200" t="s">
        <v>16919</v>
      </c>
      <c r="C3125" s="2200" t="s">
        <v>16920</v>
      </c>
      <c r="D3125" s="2200" t="str">
        <f t="shared" si="192"/>
        <v>VT</v>
      </c>
      <c r="E3125" s="2200">
        <f t="shared" si="193"/>
        <v>13</v>
      </c>
      <c r="F3125" s="2200" t="str">
        <f t="shared" si="194"/>
        <v>50</v>
      </c>
      <c r="G3125" s="2200" t="str">
        <f t="shared" si="195"/>
        <v>36700</v>
      </c>
      <c r="H3125" s="2200">
        <f>--SUBTOTAL(3,C$2:C3125)</f>
        <v>99</v>
      </c>
    </row>
    <row r="3126" spans="1:8" hidden="1" x14ac:dyDescent="0.15">
      <c r="A3126" s="2200" t="s">
        <v>11502</v>
      </c>
      <c r="B3126" s="2200" t="s">
        <v>16921</v>
      </c>
      <c r="C3126" s="2200" t="s">
        <v>16922</v>
      </c>
      <c r="D3126" s="2200" t="str">
        <f t="shared" si="192"/>
        <v>VT</v>
      </c>
      <c r="E3126" s="2200">
        <f t="shared" si="193"/>
        <v>13</v>
      </c>
      <c r="F3126" s="2200" t="str">
        <f t="shared" si="194"/>
        <v>50</v>
      </c>
      <c r="G3126" s="2200" t="str">
        <f t="shared" si="195"/>
        <v>37075</v>
      </c>
      <c r="H3126" s="2200">
        <f>--SUBTOTAL(3,C$2:C3126)</f>
        <v>99</v>
      </c>
    </row>
    <row r="3127" spans="1:8" hidden="1" x14ac:dyDescent="0.15">
      <c r="A3127" s="2200" t="s">
        <v>11502</v>
      </c>
      <c r="B3127" s="2200" t="s">
        <v>16923</v>
      </c>
      <c r="C3127" s="2200" t="s">
        <v>16924</v>
      </c>
      <c r="D3127" s="2200" t="str">
        <f t="shared" si="192"/>
        <v>VT</v>
      </c>
      <c r="E3127" s="2200">
        <f t="shared" si="193"/>
        <v>16</v>
      </c>
      <c r="F3127" s="2200" t="str">
        <f t="shared" si="194"/>
        <v>50</v>
      </c>
      <c r="G3127" s="2200" t="str">
        <f t="shared" si="195"/>
        <v>37685</v>
      </c>
      <c r="H3127" s="2200">
        <f>--SUBTOTAL(3,C$2:C3127)</f>
        <v>99</v>
      </c>
    </row>
    <row r="3128" spans="1:8" hidden="1" x14ac:dyDescent="0.15">
      <c r="A3128" s="2200" t="s">
        <v>11502</v>
      </c>
      <c r="B3128" s="2200" t="s">
        <v>16925</v>
      </c>
      <c r="C3128" s="2200" t="s">
        <v>16926</v>
      </c>
      <c r="D3128" s="2200" t="str">
        <f t="shared" si="192"/>
        <v>VT</v>
      </c>
      <c r="E3128" s="2200">
        <f t="shared" si="193"/>
        <v>11</v>
      </c>
      <c r="F3128" s="2200" t="str">
        <f t="shared" si="194"/>
        <v>50</v>
      </c>
      <c r="G3128" s="2200" t="str">
        <f t="shared" si="195"/>
        <v>37900</v>
      </c>
      <c r="H3128" s="2200">
        <f>--SUBTOTAL(3,C$2:C3128)</f>
        <v>99</v>
      </c>
    </row>
    <row r="3129" spans="1:8" hidden="1" x14ac:dyDescent="0.15">
      <c r="A3129" s="2200" t="s">
        <v>11502</v>
      </c>
      <c r="B3129" s="2200" t="s">
        <v>16927</v>
      </c>
      <c r="C3129" s="2200" t="s">
        <v>16928</v>
      </c>
      <c r="D3129" s="2200" t="str">
        <f t="shared" si="192"/>
        <v>VT</v>
      </c>
      <c r="E3129" s="2200">
        <f t="shared" si="193"/>
        <v>15</v>
      </c>
      <c r="F3129" s="2200" t="str">
        <f t="shared" si="194"/>
        <v>50</v>
      </c>
      <c r="G3129" s="2200" t="str">
        <f t="shared" si="195"/>
        <v>39025</v>
      </c>
      <c r="H3129" s="2200">
        <f>--SUBTOTAL(3,C$2:C3129)</f>
        <v>99</v>
      </c>
    </row>
    <row r="3130" spans="1:8" hidden="1" x14ac:dyDescent="0.15">
      <c r="A3130" s="2200" t="s">
        <v>11502</v>
      </c>
      <c r="B3130" s="2200" t="s">
        <v>16929</v>
      </c>
      <c r="C3130" s="2200" t="s">
        <v>16930</v>
      </c>
      <c r="D3130" s="2200" t="str">
        <f t="shared" si="192"/>
        <v>VT</v>
      </c>
      <c r="E3130" s="2200">
        <f t="shared" si="193"/>
        <v>15</v>
      </c>
      <c r="F3130" s="2200" t="str">
        <f t="shared" si="194"/>
        <v>50</v>
      </c>
      <c r="G3130" s="2200" t="str">
        <f t="shared" si="195"/>
        <v>39325</v>
      </c>
      <c r="H3130" s="2200">
        <f>--SUBTOTAL(3,C$2:C3130)</f>
        <v>99</v>
      </c>
    </row>
    <row r="3131" spans="1:8" hidden="1" x14ac:dyDescent="0.15">
      <c r="A3131" s="2200" t="s">
        <v>11502</v>
      </c>
      <c r="B3131" s="2200" t="s">
        <v>16931</v>
      </c>
      <c r="C3131" s="2200" t="s">
        <v>16932</v>
      </c>
      <c r="D3131" s="2200" t="str">
        <f t="shared" si="192"/>
        <v>VT</v>
      </c>
      <c r="E3131" s="2200">
        <f t="shared" si="193"/>
        <v>15</v>
      </c>
      <c r="F3131" s="2200" t="str">
        <f t="shared" si="194"/>
        <v>50</v>
      </c>
      <c r="G3131" s="2200" t="str">
        <f t="shared" si="195"/>
        <v>39700</v>
      </c>
      <c r="H3131" s="2200">
        <f>--SUBTOTAL(3,C$2:C3131)</f>
        <v>99</v>
      </c>
    </row>
    <row r="3132" spans="1:8" hidden="1" x14ac:dyDescent="0.15">
      <c r="A3132" s="2200" t="s">
        <v>11502</v>
      </c>
      <c r="B3132" s="2200" t="s">
        <v>16933</v>
      </c>
      <c r="C3132" s="2200" t="s">
        <v>16934</v>
      </c>
      <c r="D3132" s="2200" t="str">
        <f t="shared" si="192"/>
        <v>VT</v>
      </c>
      <c r="E3132" s="2200">
        <f t="shared" si="193"/>
        <v>13</v>
      </c>
      <c r="F3132" s="2200" t="str">
        <f t="shared" si="194"/>
        <v>50</v>
      </c>
      <c r="G3132" s="2200" t="str">
        <f t="shared" si="195"/>
        <v>40075</v>
      </c>
      <c r="H3132" s="2200">
        <f>--SUBTOTAL(3,C$2:C3132)</f>
        <v>99</v>
      </c>
    </row>
    <row r="3133" spans="1:8" hidden="1" x14ac:dyDescent="0.15">
      <c r="A3133" s="2200" t="s">
        <v>11443</v>
      </c>
      <c r="B3133" s="2200" t="s">
        <v>16935</v>
      </c>
      <c r="C3133" s="2200" t="s">
        <v>16936</v>
      </c>
      <c r="D3133" s="2200" t="str">
        <f t="shared" si="192"/>
        <v>NH</v>
      </c>
      <c r="E3133" s="2200">
        <f t="shared" si="193"/>
        <v>10</v>
      </c>
      <c r="F3133" s="2200" t="str">
        <f t="shared" si="194"/>
        <v>33</v>
      </c>
      <c r="G3133" s="2200" t="str">
        <f t="shared" si="195"/>
        <v>81620</v>
      </c>
      <c r="H3133" s="2200">
        <f>--SUBTOTAL(3,C$2:C3133)</f>
        <v>99</v>
      </c>
    </row>
    <row r="3134" spans="1:8" hidden="1" x14ac:dyDescent="0.15">
      <c r="A3134" s="2200" t="s">
        <v>11502</v>
      </c>
      <c r="B3134" s="2200" t="s">
        <v>16937</v>
      </c>
      <c r="C3134" s="2200" t="s">
        <v>16938</v>
      </c>
      <c r="D3134" s="2200" t="str">
        <f t="shared" si="192"/>
        <v>VT</v>
      </c>
      <c r="E3134" s="2200">
        <f t="shared" si="193"/>
        <v>17</v>
      </c>
      <c r="F3134" s="2200" t="str">
        <f t="shared" si="194"/>
        <v>50</v>
      </c>
      <c r="G3134" s="2200" t="str">
        <f t="shared" si="195"/>
        <v>40225</v>
      </c>
      <c r="H3134" s="2200">
        <f>--SUBTOTAL(3,C$2:C3134)</f>
        <v>99</v>
      </c>
    </row>
    <row r="3135" spans="1:8" hidden="1" x14ac:dyDescent="0.15">
      <c r="A3135" s="2200" t="s">
        <v>11502</v>
      </c>
      <c r="B3135" s="2200" t="s">
        <v>16939</v>
      </c>
      <c r="C3135" s="2200" t="s">
        <v>16940</v>
      </c>
      <c r="D3135" s="2200" t="str">
        <f t="shared" si="192"/>
        <v>VT</v>
      </c>
      <c r="E3135" s="2200">
        <f t="shared" si="193"/>
        <v>12</v>
      </c>
      <c r="F3135" s="2200" t="str">
        <f t="shared" si="194"/>
        <v>50</v>
      </c>
      <c r="G3135" s="2200" t="str">
        <f t="shared" si="195"/>
        <v>40525</v>
      </c>
      <c r="H3135" s="2200">
        <f>--SUBTOTAL(3,C$2:C3135)</f>
        <v>99</v>
      </c>
    </row>
    <row r="3136" spans="1:8" hidden="1" x14ac:dyDescent="0.15">
      <c r="A3136" s="2200" t="s">
        <v>11502</v>
      </c>
      <c r="B3136" s="2200" t="s">
        <v>16941</v>
      </c>
      <c r="C3136" s="2200" t="s">
        <v>16942</v>
      </c>
      <c r="D3136" s="2200" t="str">
        <f t="shared" si="192"/>
        <v>VT</v>
      </c>
      <c r="E3136" s="2200">
        <f t="shared" si="193"/>
        <v>12</v>
      </c>
      <c r="F3136" s="2200" t="str">
        <f t="shared" si="194"/>
        <v>50</v>
      </c>
      <c r="G3136" s="2200" t="str">
        <f t="shared" si="195"/>
        <v>41275</v>
      </c>
      <c r="H3136" s="2200">
        <f>--SUBTOTAL(3,C$2:C3136)</f>
        <v>99</v>
      </c>
    </row>
    <row r="3137" spans="1:8" hidden="1" x14ac:dyDescent="0.15">
      <c r="A3137" s="2200" t="s">
        <v>11502</v>
      </c>
      <c r="B3137" s="2200" t="s">
        <v>16943</v>
      </c>
      <c r="C3137" s="2200" t="s">
        <v>16944</v>
      </c>
      <c r="D3137" s="2200" t="str">
        <f t="shared" si="192"/>
        <v>VT</v>
      </c>
      <c r="E3137" s="2200">
        <f t="shared" si="193"/>
        <v>15</v>
      </c>
      <c r="F3137" s="2200" t="str">
        <f t="shared" si="194"/>
        <v>50</v>
      </c>
      <c r="G3137" s="2200" t="str">
        <f t="shared" si="195"/>
        <v>41425</v>
      </c>
      <c r="H3137" s="2200">
        <f>--SUBTOTAL(3,C$2:C3137)</f>
        <v>99</v>
      </c>
    </row>
    <row r="3138" spans="1:8" hidden="1" x14ac:dyDescent="0.15">
      <c r="A3138" s="2200" t="s">
        <v>11502</v>
      </c>
      <c r="B3138" s="2200" t="s">
        <v>16945</v>
      </c>
      <c r="C3138" s="2200" t="s">
        <v>16946</v>
      </c>
      <c r="D3138" s="2200" t="str">
        <f t="shared" ref="D3138:D3201" si="196">MID(C3138,E3138+2,2)</f>
        <v>VT</v>
      </c>
      <c r="E3138" s="2200">
        <f t="shared" ref="E3138:E3201" si="197">FIND(",",C3138)</f>
        <v>12</v>
      </c>
      <c r="F3138" s="2200" t="str">
        <f t="shared" si="194"/>
        <v>50</v>
      </c>
      <c r="G3138" s="2200" t="str">
        <f t="shared" si="195"/>
        <v>41725</v>
      </c>
      <c r="H3138" s="2200">
        <f>--SUBTOTAL(3,C$2:C3138)</f>
        <v>99</v>
      </c>
    </row>
    <row r="3139" spans="1:8" hidden="1" x14ac:dyDescent="0.15">
      <c r="A3139" s="2200" t="s">
        <v>11502</v>
      </c>
      <c r="B3139" s="2200" t="s">
        <v>16947</v>
      </c>
      <c r="C3139" s="2200" t="s">
        <v>16948</v>
      </c>
      <c r="D3139" s="2200" t="str">
        <f t="shared" si="196"/>
        <v>VT</v>
      </c>
      <c r="E3139" s="2200">
        <f t="shared" si="197"/>
        <v>15</v>
      </c>
      <c r="F3139" s="2200" t="str">
        <f t="shared" ref="F3139:F3202" si="198">MID(B3139,3,2)</f>
        <v>50</v>
      </c>
      <c r="G3139" s="2200" t="str">
        <f t="shared" ref="G3139:G3202" si="199">MID(B3139,5,5)</f>
        <v>42475</v>
      </c>
      <c r="H3139" s="2200">
        <f>--SUBTOTAL(3,C$2:C3139)</f>
        <v>99</v>
      </c>
    </row>
    <row r="3140" spans="1:8" hidden="1" x14ac:dyDescent="0.15">
      <c r="A3140" s="2200" t="s">
        <v>11502</v>
      </c>
      <c r="B3140" s="2200" t="s">
        <v>16949</v>
      </c>
      <c r="C3140" s="2200" t="s">
        <v>16950</v>
      </c>
      <c r="D3140" s="2200" t="str">
        <f t="shared" si="196"/>
        <v>VT</v>
      </c>
      <c r="E3140" s="2200">
        <f t="shared" si="197"/>
        <v>16</v>
      </c>
      <c r="F3140" s="2200" t="str">
        <f t="shared" si="198"/>
        <v>50</v>
      </c>
      <c r="G3140" s="2200" t="str">
        <f t="shared" si="199"/>
        <v>42850</v>
      </c>
      <c r="H3140" s="2200">
        <f>--SUBTOTAL(3,C$2:C3140)</f>
        <v>99</v>
      </c>
    </row>
    <row r="3141" spans="1:8" hidden="1" x14ac:dyDescent="0.15">
      <c r="A3141" s="2200" t="s">
        <v>11443</v>
      </c>
      <c r="B3141" s="2200" t="s">
        <v>16951</v>
      </c>
      <c r="C3141" s="2200" t="s">
        <v>16952</v>
      </c>
      <c r="D3141" s="2200" t="str">
        <f t="shared" si="196"/>
        <v>VT</v>
      </c>
      <c r="E3141" s="2200">
        <f t="shared" si="197"/>
        <v>11</v>
      </c>
      <c r="F3141" s="2200" t="str">
        <f t="shared" si="198"/>
        <v>50</v>
      </c>
      <c r="G3141" s="2200" t="str">
        <f t="shared" si="199"/>
        <v>81740</v>
      </c>
      <c r="H3141" s="2200">
        <f>--SUBTOTAL(3,C$2:C3141)</f>
        <v>99</v>
      </c>
    </row>
    <row r="3142" spans="1:8" hidden="1" x14ac:dyDescent="0.15">
      <c r="A3142" s="2200" t="s">
        <v>11502</v>
      </c>
      <c r="B3142" s="2200" t="s">
        <v>16953</v>
      </c>
      <c r="C3142" s="2200" t="s">
        <v>16954</v>
      </c>
      <c r="D3142" s="2200" t="str">
        <f t="shared" si="196"/>
        <v>VT</v>
      </c>
      <c r="E3142" s="2200">
        <f t="shared" si="197"/>
        <v>14</v>
      </c>
      <c r="F3142" s="2200" t="str">
        <f t="shared" si="198"/>
        <v>50</v>
      </c>
      <c r="G3142" s="2200" t="str">
        <f t="shared" si="199"/>
        <v>43375</v>
      </c>
      <c r="H3142" s="2200">
        <f>--SUBTOTAL(3,C$2:C3142)</f>
        <v>99</v>
      </c>
    </row>
    <row r="3143" spans="1:8" hidden="1" x14ac:dyDescent="0.15">
      <c r="A3143" s="2200" t="s">
        <v>11502</v>
      </c>
      <c r="B3143" s="2200" t="s">
        <v>16955</v>
      </c>
      <c r="C3143" s="2200" t="s">
        <v>16956</v>
      </c>
      <c r="D3143" s="2200" t="str">
        <f t="shared" si="196"/>
        <v>VT</v>
      </c>
      <c r="E3143" s="2200">
        <f t="shared" si="197"/>
        <v>16</v>
      </c>
      <c r="F3143" s="2200" t="str">
        <f t="shared" si="198"/>
        <v>50</v>
      </c>
      <c r="G3143" s="2200" t="str">
        <f t="shared" si="199"/>
        <v>43600</v>
      </c>
      <c r="H3143" s="2200">
        <f>--SUBTOTAL(3,C$2:C3143)</f>
        <v>99</v>
      </c>
    </row>
    <row r="3144" spans="1:8" hidden="1" x14ac:dyDescent="0.15">
      <c r="A3144" s="2200" t="s">
        <v>11502</v>
      </c>
      <c r="B3144" s="2200" t="s">
        <v>16957</v>
      </c>
      <c r="C3144" s="2200" t="s">
        <v>16958</v>
      </c>
      <c r="D3144" s="2200" t="str">
        <f t="shared" si="196"/>
        <v>VT</v>
      </c>
      <c r="E3144" s="2200">
        <f t="shared" si="197"/>
        <v>12</v>
      </c>
      <c r="F3144" s="2200" t="str">
        <f t="shared" si="198"/>
        <v>50</v>
      </c>
      <c r="G3144" s="2200" t="str">
        <f t="shared" si="199"/>
        <v>44125</v>
      </c>
      <c r="H3144" s="2200">
        <f>--SUBTOTAL(3,C$2:C3144)</f>
        <v>99</v>
      </c>
    </row>
    <row r="3145" spans="1:8" hidden="1" x14ac:dyDescent="0.15">
      <c r="A3145" s="2200" t="s">
        <v>11502</v>
      </c>
      <c r="B3145" s="2200" t="s">
        <v>16959</v>
      </c>
      <c r="C3145" s="2200" t="s">
        <v>16960</v>
      </c>
      <c r="D3145" s="2200" t="str">
        <f t="shared" si="196"/>
        <v>VT</v>
      </c>
      <c r="E3145" s="2200">
        <f t="shared" si="197"/>
        <v>16</v>
      </c>
      <c r="F3145" s="2200" t="str">
        <f t="shared" si="198"/>
        <v>50</v>
      </c>
      <c r="G3145" s="2200" t="str">
        <f t="shared" si="199"/>
        <v>44350</v>
      </c>
      <c r="H3145" s="2200">
        <f>--SUBTOTAL(3,C$2:C3145)</f>
        <v>99</v>
      </c>
    </row>
    <row r="3146" spans="1:8" hidden="1" x14ac:dyDescent="0.15">
      <c r="A3146" s="2200" t="s">
        <v>11443</v>
      </c>
      <c r="B3146" s="2200" t="s">
        <v>16961</v>
      </c>
      <c r="C3146" s="2200" t="s">
        <v>16962</v>
      </c>
      <c r="D3146" s="2200" t="str">
        <f t="shared" si="196"/>
        <v>VT</v>
      </c>
      <c r="E3146" s="2200">
        <f t="shared" si="197"/>
        <v>11</v>
      </c>
      <c r="F3146" s="2200" t="str">
        <f t="shared" si="198"/>
        <v>50</v>
      </c>
      <c r="G3146" s="2200" t="str">
        <f t="shared" si="199"/>
        <v>81820</v>
      </c>
      <c r="H3146" s="2200">
        <f>--SUBTOTAL(3,C$2:C3146)</f>
        <v>99</v>
      </c>
    </row>
    <row r="3147" spans="1:8" hidden="1" x14ac:dyDescent="0.15">
      <c r="A3147" s="2200" t="s">
        <v>11502</v>
      </c>
      <c r="B3147" s="2200" t="s">
        <v>16963</v>
      </c>
      <c r="C3147" s="2200" t="s">
        <v>16964</v>
      </c>
      <c r="D3147" s="2200" t="str">
        <f t="shared" si="196"/>
        <v>VT</v>
      </c>
      <c r="E3147" s="2200">
        <f t="shared" si="197"/>
        <v>15</v>
      </c>
      <c r="F3147" s="2200" t="str">
        <f t="shared" si="198"/>
        <v>50</v>
      </c>
      <c r="G3147" s="2200" t="str">
        <f t="shared" si="199"/>
        <v>44500</v>
      </c>
      <c r="H3147" s="2200">
        <f>--SUBTOTAL(3,C$2:C3147)</f>
        <v>99</v>
      </c>
    </row>
    <row r="3148" spans="1:8" hidden="1" x14ac:dyDescent="0.15">
      <c r="A3148" s="2200" t="s">
        <v>11502</v>
      </c>
      <c r="B3148" s="2200" t="s">
        <v>16965</v>
      </c>
      <c r="C3148" s="2200" t="s">
        <v>16966</v>
      </c>
      <c r="D3148" s="2200" t="str">
        <f t="shared" si="196"/>
        <v>VT</v>
      </c>
      <c r="E3148" s="2200">
        <f t="shared" si="197"/>
        <v>24</v>
      </c>
      <c r="F3148" s="2200" t="str">
        <f t="shared" si="198"/>
        <v>50</v>
      </c>
      <c r="G3148" s="2200" t="str">
        <f t="shared" si="199"/>
        <v>44800</v>
      </c>
      <c r="H3148" s="2200">
        <f>--SUBTOTAL(3,C$2:C3148)</f>
        <v>99</v>
      </c>
    </row>
    <row r="3149" spans="1:8" hidden="1" x14ac:dyDescent="0.15">
      <c r="A3149" s="2200" t="s">
        <v>11502</v>
      </c>
      <c r="B3149" s="2200" t="s">
        <v>16967</v>
      </c>
      <c r="C3149" s="2200" t="s">
        <v>16968</v>
      </c>
      <c r="D3149" s="2200" t="str">
        <f t="shared" si="196"/>
        <v>VT</v>
      </c>
      <c r="E3149" s="2200">
        <f t="shared" si="197"/>
        <v>12</v>
      </c>
      <c r="F3149" s="2200" t="str">
        <f t="shared" si="198"/>
        <v>50</v>
      </c>
      <c r="G3149" s="2200" t="str">
        <f t="shared" si="199"/>
        <v>45250</v>
      </c>
      <c r="H3149" s="2200">
        <f>--SUBTOTAL(3,C$2:C3149)</f>
        <v>99</v>
      </c>
    </row>
    <row r="3150" spans="1:8" hidden="1" x14ac:dyDescent="0.15">
      <c r="A3150" s="2200" t="s">
        <v>11502</v>
      </c>
      <c r="B3150" s="2200" t="s">
        <v>16969</v>
      </c>
      <c r="C3150" s="2200" t="s">
        <v>16970</v>
      </c>
      <c r="D3150" s="2200" t="str">
        <f t="shared" si="196"/>
        <v>VT</v>
      </c>
      <c r="E3150" s="2200">
        <f t="shared" si="197"/>
        <v>13</v>
      </c>
      <c r="F3150" s="2200" t="str">
        <f t="shared" si="198"/>
        <v>50</v>
      </c>
      <c r="G3150" s="2200" t="str">
        <f t="shared" si="199"/>
        <v>45550</v>
      </c>
      <c r="H3150" s="2200">
        <f>--SUBTOTAL(3,C$2:C3150)</f>
        <v>99</v>
      </c>
    </row>
    <row r="3151" spans="1:8" hidden="1" x14ac:dyDescent="0.15">
      <c r="A3151" s="2200" t="s">
        <v>11502</v>
      </c>
      <c r="B3151" s="2200" t="s">
        <v>16971</v>
      </c>
      <c r="C3151" s="2200" t="s">
        <v>16972</v>
      </c>
      <c r="D3151" s="2200" t="str">
        <f t="shared" si="196"/>
        <v>VT</v>
      </c>
      <c r="E3151" s="2200">
        <f t="shared" si="197"/>
        <v>16</v>
      </c>
      <c r="F3151" s="2200" t="str">
        <f t="shared" si="198"/>
        <v>50</v>
      </c>
      <c r="G3151" s="2200" t="str">
        <f t="shared" si="199"/>
        <v>45850</v>
      </c>
      <c r="H3151" s="2200">
        <f>--SUBTOTAL(3,C$2:C3151)</f>
        <v>99</v>
      </c>
    </row>
    <row r="3152" spans="1:8" hidden="1" x14ac:dyDescent="0.15">
      <c r="A3152" s="2200" t="s">
        <v>11502</v>
      </c>
      <c r="B3152" s="2200" t="s">
        <v>16973</v>
      </c>
      <c r="C3152" s="2200" t="s">
        <v>16974</v>
      </c>
      <c r="D3152" s="2200" t="str">
        <f t="shared" si="196"/>
        <v>VT</v>
      </c>
      <c r="E3152" s="2200">
        <f t="shared" si="197"/>
        <v>16</v>
      </c>
      <c r="F3152" s="2200" t="str">
        <f t="shared" si="198"/>
        <v>50</v>
      </c>
      <c r="G3152" s="2200" t="str">
        <f t="shared" si="199"/>
        <v>46000</v>
      </c>
      <c r="H3152" s="2200">
        <f>--SUBTOTAL(3,C$2:C3152)</f>
        <v>99</v>
      </c>
    </row>
    <row r="3153" spans="1:8" hidden="1" x14ac:dyDescent="0.15">
      <c r="A3153" s="2200" t="s">
        <v>11502</v>
      </c>
      <c r="B3153" s="2200" t="s">
        <v>16975</v>
      </c>
      <c r="C3153" s="2200" t="s">
        <v>16976</v>
      </c>
      <c r="D3153" s="2200" t="str">
        <f t="shared" si="196"/>
        <v>VT</v>
      </c>
      <c r="E3153" s="2200">
        <f t="shared" si="197"/>
        <v>14</v>
      </c>
      <c r="F3153" s="2200" t="str">
        <f t="shared" si="198"/>
        <v>50</v>
      </c>
      <c r="G3153" s="2200" t="str">
        <f t="shared" si="199"/>
        <v>46225</v>
      </c>
      <c r="H3153" s="2200">
        <f>--SUBTOTAL(3,C$2:C3153)</f>
        <v>99</v>
      </c>
    </row>
    <row r="3154" spans="1:8" hidden="1" x14ac:dyDescent="0.15">
      <c r="A3154" s="2200" t="s">
        <v>11502</v>
      </c>
      <c r="B3154" s="2200" t="s">
        <v>16977</v>
      </c>
      <c r="C3154" s="2200" t="s">
        <v>16978</v>
      </c>
      <c r="D3154" s="2200" t="str">
        <f t="shared" si="196"/>
        <v>VT</v>
      </c>
      <c r="E3154" s="2200">
        <f t="shared" si="197"/>
        <v>12</v>
      </c>
      <c r="F3154" s="2200" t="str">
        <f t="shared" si="198"/>
        <v>50</v>
      </c>
      <c r="G3154" s="2200" t="str">
        <f t="shared" si="199"/>
        <v>46450</v>
      </c>
      <c r="H3154" s="2200">
        <f>--SUBTOTAL(3,C$2:C3154)</f>
        <v>99</v>
      </c>
    </row>
    <row r="3155" spans="1:8" hidden="1" x14ac:dyDescent="0.15">
      <c r="A3155" s="2200" t="s">
        <v>11502</v>
      </c>
      <c r="B3155" s="2200" t="s">
        <v>16979</v>
      </c>
      <c r="C3155" s="2200" t="s">
        <v>16980</v>
      </c>
      <c r="D3155" s="2200" t="str">
        <f t="shared" si="196"/>
        <v>VT</v>
      </c>
      <c r="E3155" s="2200">
        <f t="shared" si="197"/>
        <v>16</v>
      </c>
      <c r="F3155" s="2200" t="str">
        <f t="shared" si="198"/>
        <v>50</v>
      </c>
      <c r="G3155" s="2200" t="str">
        <f t="shared" si="199"/>
        <v>46675</v>
      </c>
      <c r="H3155" s="2200">
        <f>--SUBTOTAL(3,C$2:C3155)</f>
        <v>99</v>
      </c>
    </row>
    <row r="3156" spans="1:8" hidden="1" x14ac:dyDescent="0.15">
      <c r="A3156" s="2200" t="s">
        <v>11443</v>
      </c>
      <c r="B3156" s="2200" t="s">
        <v>16981</v>
      </c>
      <c r="C3156" s="2200" t="s">
        <v>16982</v>
      </c>
      <c r="D3156" s="2200" t="str">
        <f t="shared" si="196"/>
        <v>VT</v>
      </c>
      <c r="E3156" s="2200">
        <f t="shared" si="197"/>
        <v>21</v>
      </c>
      <c r="F3156" s="2200" t="str">
        <f t="shared" si="198"/>
        <v>50</v>
      </c>
      <c r="G3156" s="2200" t="str">
        <f t="shared" si="199"/>
        <v>81900</v>
      </c>
      <c r="H3156" s="2200">
        <f>--SUBTOTAL(3,C$2:C3156)</f>
        <v>99</v>
      </c>
    </row>
    <row r="3157" spans="1:8" hidden="1" x14ac:dyDescent="0.15">
      <c r="A3157" s="2200" t="s">
        <v>11502</v>
      </c>
      <c r="B3157" s="2200" t="s">
        <v>16983</v>
      </c>
      <c r="C3157" s="2200" t="s">
        <v>16984</v>
      </c>
      <c r="D3157" s="2200" t="str">
        <f t="shared" si="196"/>
        <v>VT</v>
      </c>
      <c r="E3157" s="2200">
        <f t="shared" si="197"/>
        <v>17</v>
      </c>
      <c r="F3157" s="2200" t="str">
        <f t="shared" si="198"/>
        <v>50</v>
      </c>
      <c r="G3157" s="2200" t="str">
        <f t="shared" si="199"/>
        <v>47200</v>
      </c>
      <c r="H3157" s="2200">
        <f>--SUBTOTAL(3,C$2:C3157)</f>
        <v>99</v>
      </c>
    </row>
    <row r="3158" spans="1:8" hidden="1" x14ac:dyDescent="0.15">
      <c r="A3158" s="2200" t="s">
        <v>11502</v>
      </c>
      <c r="B3158" s="2200" t="s">
        <v>16985</v>
      </c>
      <c r="C3158" s="2200" t="s">
        <v>16986</v>
      </c>
      <c r="D3158" s="2200" t="str">
        <f t="shared" si="196"/>
        <v>VT</v>
      </c>
      <c r="E3158" s="2200">
        <f t="shared" si="197"/>
        <v>17</v>
      </c>
      <c r="F3158" s="2200" t="str">
        <f t="shared" si="198"/>
        <v>50</v>
      </c>
      <c r="G3158" s="2200" t="str">
        <f t="shared" si="199"/>
        <v>47425</v>
      </c>
      <c r="H3158" s="2200">
        <f>--SUBTOTAL(3,C$2:C3158)</f>
        <v>99</v>
      </c>
    </row>
    <row r="3159" spans="1:8" hidden="1" x14ac:dyDescent="0.15">
      <c r="A3159" s="2200" t="s">
        <v>11502</v>
      </c>
      <c r="B3159" s="2200" t="s">
        <v>16987</v>
      </c>
      <c r="C3159" s="2200" t="s">
        <v>16988</v>
      </c>
      <c r="D3159" s="2200" t="str">
        <f t="shared" si="196"/>
        <v>VT</v>
      </c>
      <c r="E3159" s="2200">
        <f t="shared" si="197"/>
        <v>15</v>
      </c>
      <c r="F3159" s="2200" t="str">
        <f t="shared" si="198"/>
        <v>50</v>
      </c>
      <c r="G3159" s="2200" t="str">
        <f t="shared" si="199"/>
        <v>48700</v>
      </c>
      <c r="H3159" s="2200">
        <f>--SUBTOTAL(3,C$2:C3159)</f>
        <v>99</v>
      </c>
    </row>
    <row r="3160" spans="1:8" hidden="1" x14ac:dyDescent="0.15">
      <c r="A3160" s="2200" t="s">
        <v>11502</v>
      </c>
      <c r="B3160" s="2200" t="s">
        <v>16989</v>
      </c>
      <c r="C3160" s="2200" t="s">
        <v>16990</v>
      </c>
      <c r="D3160" s="2200" t="str">
        <f t="shared" si="196"/>
        <v>VT</v>
      </c>
      <c r="E3160" s="2200">
        <f t="shared" si="197"/>
        <v>12</v>
      </c>
      <c r="F3160" s="2200" t="str">
        <f t="shared" si="198"/>
        <v>50</v>
      </c>
      <c r="G3160" s="2200" t="str">
        <f t="shared" si="199"/>
        <v>47725</v>
      </c>
      <c r="H3160" s="2200">
        <f>--SUBTOTAL(3,C$2:C3160)</f>
        <v>99</v>
      </c>
    </row>
    <row r="3161" spans="1:8" hidden="1" x14ac:dyDescent="0.15">
      <c r="A3161" s="2200" t="s">
        <v>11502</v>
      </c>
      <c r="B3161" s="2200" t="s">
        <v>16991</v>
      </c>
      <c r="C3161" s="2200" t="s">
        <v>16992</v>
      </c>
      <c r="D3161" s="2200" t="str">
        <f t="shared" si="196"/>
        <v>VT</v>
      </c>
      <c r="E3161" s="2200">
        <f t="shared" si="197"/>
        <v>13</v>
      </c>
      <c r="F3161" s="2200" t="str">
        <f t="shared" si="198"/>
        <v>50</v>
      </c>
      <c r="G3161" s="2200" t="str">
        <f t="shared" si="199"/>
        <v>48175</v>
      </c>
      <c r="H3161" s="2200">
        <f>--SUBTOTAL(3,C$2:C3161)</f>
        <v>99</v>
      </c>
    </row>
    <row r="3162" spans="1:8" hidden="1" x14ac:dyDescent="0.15">
      <c r="A3162" s="2200" t="s">
        <v>11443</v>
      </c>
      <c r="B3162" s="2200" t="s">
        <v>16993</v>
      </c>
      <c r="C3162" s="2200" t="s">
        <v>16994</v>
      </c>
      <c r="D3162" s="2200" t="str">
        <f t="shared" si="196"/>
        <v>VT</v>
      </c>
      <c r="E3162" s="2200">
        <f t="shared" si="197"/>
        <v>8</v>
      </c>
      <c r="F3162" s="2200" t="str">
        <f t="shared" si="198"/>
        <v>50</v>
      </c>
      <c r="G3162" s="2200" t="str">
        <f t="shared" si="199"/>
        <v>82020</v>
      </c>
      <c r="H3162" s="2200">
        <f>--SUBTOTAL(3,C$2:C3162)</f>
        <v>99</v>
      </c>
    </row>
    <row r="3163" spans="1:8" hidden="1" x14ac:dyDescent="0.15">
      <c r="A3163" s="2200" t="s">
        <v>11502</v>
      </c>
      <c r="B3163" s="2200" t="s">
        <v>16995</v>
      </c>
      <c r="C3163" s="2200" t="s">
        <v>16996</v>
      </c>
      <c r="D3163" s="2200" t="str">
        <f t="shared" si="196"/>
        <v>VT</v>
      </c>
      <c r="E3163" s="2200">
        <f t="shared" si="197"/>
        <v>13</v>
      </c>
      <c r="F3163" s="2200" t="str">
        <f t="shared" si="198"/>
        <v>50</v>
      </c>
      <c r="G3163" s="2200" t="str">
        <f t="shared" si="199"/>
        <v>48400</v>
      </c>
      <c r="H3163" s="2200">
        <f>--SUBTOTAL(3,C$2:C3163)</f>
        <v>99</v>
      </c>
    </row>
    <row r="3164" spans="1:8" hidden="1" x14ac:dyDescent="0.15">
      <c r="A3164" s="2200" t="s">
        <v>11502</v>
      </c>
      <c r="B3164" s="2200" t="s">
        <v>16997</v>
      </c>
      <c r="C3164" s="2200" t="s">
        <v>16998</v>
      </c>
      <c r="D3164" s="2200" t="str">
        <f t="shared" si="196"/>
        <v>VT</v>
      </c>
      <c r="E3164" s="2200">
        <f t="shared" si="197"/>
        <v>13</v>
      </c>
      <c r="F3164" s="2200" t="str">
        <f t="shared" si="198"/>
        <v>50</v>
      </c>
      <c r="G3164" s="2200" t="str">
        <f t="shared" si="199"/>
        <v>48850</v>
      </c>
      <c r="H3164" s="2200">
        <f>--SUBTOTAL(3,C$2:C3164)</f>
        <v>99</v>
      </c>
    </row>
    <row r="3165" spans="1:8" hidden="1" x14ac:dyDescent="0.15">
      <c r="A3165" s="2200" t="s">
        <v>11502</v>
      </c>
      <c r="B3165" s="2200" t="s">
        <v>16999</v>
      </c>
      <c r="C3165" s="2200" t="s">
        <v>17000</v>
      </c>
      <c r="D3165" s="2200" t="str">
        <f t="shared" si="196"/>
        <v>VT</v>
      </c>
      <c r="E3165" s="2200">
        <f t="shared" si="197"/>
        <v>13</v>
      </c>
      <c r="F3165" s="2200" t="str">
        <f t="shared" si="198"/>
        <v>50</v>
      </c>
      <c r="G3165" s="2200" t="str">
        <f t="shared" si="199"/>
        <v>48925</v>
      </c>
      <c r="H3165" s="2200">
        <f>--SUBTOTAL(3,C$2:C3165)</f>
        <v>99</v>
      </c>
    </row>
    <row r="3166" spans="1:8" hidden="1" x14ac:dyDescent="0.15">
      <c r="A3166" s="2200" t="s">
        <v>11502</v>
      </c>
      <c r="B3166" s="2200" t="s">
        <v>17001</v>
      </c>
      <c r="C3166" s="2200" t="s">
        <v>17002</v>
      </c>
      <c r="D3166" s="2200" t="str">
        <f t="shared" si="196"/>
        <v>VT</v>
      </c>
      <c r="E3166" s="2200">
        <f t="shared" si="197"/>
        <v>16</v>
      </c>
      <c r="F3166" s="2200" t="str">
        <f t="shared" si="198"/>
        <v>50</v>
      </c>
      <c r="G3166" s="2200" t="str">
        <f t="shared" si="199"/>
        <v>50650</v>
      </c>
      <c r="H3166" s="2200">
        <f>--SUBTOTAL(3,C$2:C3166)</f>
        <v>99</v>
      </c>
    </row>
    <row r="3167" spans="1:8" hidden="1" x14ac:dyDescent="0.15">
      <c r="A3167" s="2200" t="s">
        <v>11502</v>
      </c>
      <c r="B3167" s="2200" t="s">
        <v>17003</v>
      </c>
      <c r="C3167" s="2200" t="s">
        <v>17004</v>
      </c>
      <c r="D3167" s="2200" t="str">
        <f t="shared" si="196"/>
        <v>VT</v>
      </c>
      <c r="E3167" s="2200">
        <f t="shared" si="197"/>
        <v>16</v>
      </c>
      <c r="F3167" s="2200" t="str">
        <f t="shared" si="198"/>
        <v>50</v>
      </c>
      <c r="G3167" s="2200" t="str">
        <f t="shared" si="199"/>
        <v>50275</v>
      </c>
      <c r="H3167" s="2200">
        <f>--SUBTOTAL(3,C$2:C3167)</f>
        <v>99</v>
      </c>
    </row>
    <row r="3168" spans="1:8" hidden="1" x14ac:dyDescent="0.15">
      <c r="A3168" s="2200" t="s">
        <v>11443</v>
      </c>
      <c r="B3168" s="2200" t="s">
        <v>17005</v>
      </c>
      <c r="C3168" s="2200" t="s">
        <v>17006</v>
      </c>
      <c r="D3168" s="2200" t="str">
        <f t="shared" si="196"/>
        <v>VT</v>
      </c>
      <c r="E3168" s="2200">
        <f t="shared" si="197"/>
        <v>22</v>
      </c>
      <c r="F3168" s="2200" t="str">
        <f t="shared" si="198"/>
        <v>50</v>
      </c>
      <c r="G3168" s="2200" t="str">
        <f t="shared" si="199"/>
        <v>82060</v>
      </c>
      <c r="H3168" s="2200">
        <f>--SUBTOTAL(3,C$2:C3168)</f>
        <v>99</v>
      </c>
    </row>
    <row r="3169" spans="1:8" hidden="1" x14ac:dyDescent="0.15">
      <c r="A3169" s="2200" t="s">
        <v>11502</v>
      </c>
      <c r="B3169" s="2200" t="s">
        <v>17007</v>
      </c>
      <c r="C3169" s="2200" t="s">
        <v>17008</v>
      </c>
      <c r="D3169" s="2200" t="str">
        <f t="shared" si="196"/>
        <v>VT</v>
      </c>
      <c r="E3169" s="2200">
        <f t="shared" si="197"/>
        <v>12</v>
      </c>
      <c r="F3169" s="2200" t="str">
        <f t="shared" si="198"/>
        <v>50</v>
      </c>
      <c r="G3169" s="2200" t="str">
        <f t="shared" si="199"/>
        <v>52750</v>
      </c>
      <c r="H3169" s="2200">
        <f>--SUBTOTAL(3,C$2:C3169)</f>
        <v>99</v>
      </c>
    </row>
    <row r="3170" spans="1:8" hidden="1" x14ac:dyDescent="0.15">
      <c r="A3170" s="2200" t="s">
        <v>11502</v>
      </c>
      <c r="B3170" s="2200" t="s">
        <v>17009</v>
      </c>
      <c r="C3170" s="2200" t="s">
        <v>17010</v>
      </c>
      <c r="D3170" s="2200" t="str">
        <f t="shared" si="196"/>
        <v>VT</v>
      </c>
      <c r="E3170" s="2200">
        <f t="shared" si="197"/>
        <v>13</v>
      </c>
      <c r="F3170" s="2200" t="str">
        <f t="shared" si="198"/>
        <v>50</v>
      </c>
      <c r="G3170" s="2200" t="str">
        <f t="shared" si="199"/>
        <v>52900</v>
      </c>
      <c r="H3170" s="2200">
        <f>--SUBTOTAL(3,C$2:C3170)</f>
        <v>99</v>
      </c>
    </row>
    <row r="3171" spans="1:8" hidden="1" x14ac:dyDescent="0.15">
      <c r="A3171" s="2200" t="s">
        <v>11502</v>
      </c>
      <c r="B3171" s="2200" t="s">
        <v>17011</v>
      </c>
      <c r="C3171" s="2200" t="s">
        <v>17012</v>
      </c>
      <c r="D3171" s="2200" t="str">
        <f t="shared" si="196"/>
        <v>VT</v>
      </c>
      <c r="E3171" s="2200">
        <f t="shared" si="197"/>
        <v>12</v>
      </c>
      <c r="F3171" s="2200" t="str">
        <f t="shared" si="198"/>
        <v>50</v>
      </c>
      <c r="G3171" s="2200" t="str">
        <f t="shared" si="199"/>
        <v>53425</v>
      </c>
      <c r="H3171" s="2200">
        <f>--SUBTOTAL(3,C$2:C3171)</f>
        <v>99</v>
      </c>
    </row>
    <row r="3172" spans="1:8" hidden="1" x14ac:dyDescent="0.15">
      <c r="A3172" s="2200" t="s">
        <v>11502</v>
      </c>
      <c r="B3172" s="2200" t="s">
        <v>17013</v>
      </c>
      <c r="C3172" s="2200" t="s">
        <v>17014</v>
      </c>
      <c r="D3172" s="2200" t="str">
        <f t="shared" si="196"/>
        <v>VT</v>
      </c>
      <c r="E3172" s="2200">
        <f t="shared" si="197"/>
        <v>12</v>
      </c>
      <c r="F3172" s="2200" t="str">
        <f t="shared" si="198"/>
        <v>50</v>
      </c>
      <c r="G3172" s="2200" t="str">
        <f t="shared" si="199"/>
        <v>53725</v>
      </c>
      <c r="H3172" s="2200">
        <f>--SUBTOTAL(3,C$2:C3172)</f>
        <v>99</v>
      </c>
    </row>
    <row r="3173" spans="1:8" hidden="1" x14ac:dyDescent="0.15">
      <c r="A3173" s="2200" t="s">
        <v>11502</v>
      </c>
      <c r="B3173" s="2200" t="s">
        <v>17015</v>
      </c>
      <c r="C3173" s="2200" t="s">
        <v>17016</v>
      </c>
      <c r="D3173" s="2200" t="str">
        <f t="shared" si="196"/>
        <v>VT</v>
      </c>
      <c r="E3173" s="2200">
        <f t="shared" si="197"/>
        <v>12</v>
      </c>
      <c r="F3173" s="2200" t="str">
        <f t="shared" si="198"/>
        <v>50</v>
      </c>
      <c r="G3173" s="2200" t="str">
        <f t="shared" si="199"/>
        <v>53950</v>
      </c>
      <c r="H3173" s="2200">
        <f>--SUBTOTAL(3,C$2:C3173)</f>
        <v>99</v>
      </c>
    </row>
    <row r="3174" spans="1:8" hidden="1" x14ac:dyDescent="0.15">
      <c r="A3174" s="2200" t="s">
        <v>11502</v>
      </c>
      <c r="B3174" s="2200" t="s">
        <v>17017</v>
      </c>
      <c r="C3174" s="2200" t="s">
        <v>17018</v>
      </c>
      <c r="D3174" s="2200" t="str">
        <f t="shared" si="196"/>
        <v>VT</v>
      </c>
      <c r="E3174" s="2200">
        <f t="shared" si="197"/>
        <v>12</v>
      </c>
      <c r="F3174" s="2200" t="str">
        <f t="shared" si="198"/>
        <v>50</v>
      </c>
      <c r="G3174" s="2200" t="str">
        <f t="shared" si="199"/>
        <v>54250</v>
      </c>
      <c r="H3174" s="2200">
        <f>--SUBTOTAL(3,C$2:C3174)</f>
        <v>99</v>
      </c>
    </row>
    <row r="3175" spans="1:8" hidden="1" x14ac:dyDescent="0.15">
      <c r="A3175" s="2200" t="s">
        <v>11502</v>
      </c>
      <c r="B3175" s="2200" t="s">
        <v>17019</v>
      </c>
      <c r="C3175" s="2200" t="s">
        <v>17020</v>
      </c>
      <c r="D3175" s="2200" t="str">
        <f t="shared" si="196"/>
        <v>VT</v>
      </c>
      <c r="E3175" s="2200">
        <f t="shared" si="197"/>
        <v>13</v>
      </c>
      <c r="F3175" s="2200" t="str">
        <f t="shared" si="198"/>
        <v>50</v>
      </c>
      <c r="G3175" s="2200" t="str">
        <f t="shared" si="199"/>
        <v>54400</v>
      </c>
      <c r="H3175" s="2200">
        <f>--SUBTOTAL(3,C$2:C3175)</f>
        <v>99</v>
      </c>
    </row>
    <row r="3176" spans="1:8" hidden="1" x14ac:dyDescent="0.15">
      <c r="A3176" s="2200" t="s">
        <v>11502</v>
      </c>
      <c r="B3176" s="2200" t="s">
        <v>17021</v>
      </c>
      <c r="C3176" s="2200" t="s">
        <v>17022</v>
      </c>
      <c r="D3176" s="2200" t="str">
        <f t="shared" si="196"/>
        <v>VT</v>
      </c>
      <c r="E3176" s="2200">
        <f t="shared" si="197"/>
        <v>10</v>
      </c>
      <c r="F3176" s="2200" t="str">
        <f t="shared" si="198"/>
        <v>50</v>
      </c>
      <c r="G3176" s="2200" t="str">
        <f t="shared" si="199"/>
        <v>55000</v>
      </c>
      <c r="H3176" s="2200">
        <f>--SUBTOTAL(3,C$2:C3176)</f>
        <v>99</v>
      </c>
    </row>
    <row r="3177" spans="1:8" hidden="1" x14ac:dyDescent="0.15">
      <c r="A3177" s="2200" t="s">
        <v>11502</v>
      </c>
      <c r="B3177" s="2200" t="s">
        <v>17023</v>
      </c>
      <c r="C3177" s="2200" t="s">
        <v>17024</v>
      </c>
      <c r="D3177" s="2200" t="str">
        <f t="shared" si="196"/>
        <v>VT</v>
      </c>
      <c r="E3177" s="2200">
        <f t="shared" si="197"/>
        <v>16</v>
      </c>
      <c r="F3177" s="2200" t="str">
        <f t="shared" si="198"/>
        <v>50</v>
      </c>
      <c r="G3177" s="2200" t="str">
        <f t="shared" si="199"/>
        <v>55450</v>
      </c>
      <c r="H3177" s="2200">
        <f>--SUBTOTAL(3,C$2:C3177)</f>
        <v>99</v>
      </c>
    </row>
    <row r="3178" spans="1:8" hidden="1" x14ac:dyDescent="0.15">
      <c r="A3178" s="2200" t="s">
        <v>11502</v>
      </c>
      <c r="B3178" s="2200" t="s">
        <v>17025</v>
      </c>
      <c r="C3178" s="2200" t="s">
        <v>17026</v>
      </c>
      <c r="D3178" s="2200" t="str">
        <f t="shared" si="196"/>
        <v>VT</v>
      </c>
      <c r="E3178" s="2200">
        <f t="shared" si="197"/>
        <v>15</v>
      </c>
      <c r="F3178" s="2200" t="str">
        <f t="shared" si="198"/>
        <v>50</v>
      </c>
      <c r="G3178" s="2200" t="str">
        <f t="shared" si="199"/>
        <v>55600</v>
      </c>
      <c r="H3178" s="2200">
        <f>--SUBTOTAL(3,C$2:C3178)</f>
        <v>99</v>
      </c>
    </row>
    <row r="3179" spans="1:8" hidden="1" x14ac:dyDescent="0.15">
      <c r="A3179" s="2200" t="s">
        <v>11502</v>
      </c>
      <c r="B3179" s="2200" t="s">
        <v>17027</v>
      </c>
      <c r="C3179" s="2200" t="s">
        <v>17028</v>
      </c>
      <c r="D3179" s="2200" t="str">
        <f t="shared" si="196"/>
        <v>VT</v>
      </c>
      <c r="E3179" s="2200">
        <f t="shared" si="197"/>
        <v>16</v>
      </c>
      <c r="F3179" s="2200" t="str">
        <f t="shared" si="198"/>
        <v>50</v>
      </c>
      <c r="G3179" s="2200" t="str">
        <f t="shared" si="199"/>
        <v>55825</v>
      </c>
      <c r="H3179" s="2200">
        <f>--SUBTOTAL(3,C$2:C3179)</f>
        <v>99</v>
      </c>
    </row>
    <row r="3180" spans="1:8" hidden="1" x14ac:dyDescent="0.15">
      <c r="A3180" s="2200" t="s">
        <v>11502</v>
      </c>
      <c r="B3180" s="2200" t="s">
        <v>17029</v>
      </c>
      <c r="C3180" s="2200" t="s">
        <v>17030</v>
      </c>
      <c r="D3180" s="2200" t="str">
        <f t="shared" si="196"/>
        <v>VT</v>
      </c>
      <c r="E3180" s="2200">
        <f t="shared" si="197"/>
        <v>14</v>
      </c>
      <c r="F3180" s="2200" t="str">
        <f t="shared" si="198"/>
        <v>50</v>
      </c>
      <c r="G3180" s="2200" t="str">
        <f t="shared" si="199"/>
        <v>56050</v>
      </c>
      <c r="H3180" s="2200">
        <f>--SUBTOTAL(3,C$2:C3180)</f>
        <v>99</v>
      </c>
    </row>
    <row r="3181" spans="1:8" hidden="1" x14ac:dyDescent="0.15">
      <c r="A3181" s="2200" t="s">
        <v>11502</v>
      </c>
      <c r="B3181" s="2200" t="s">
        <v>17031</v>
      </c>
      <c r="C3181" s="2200" t="s">
        <v>17032</v>
      </c>
      <c r="D3181" s="2200" t="str">
        <f t="shared" si="196"/>
        <v>VT</v>
      </c>
      <c r="E3181" s="2200">
        <f t="shared" si="197"/>
        <v>13</v>
      </c>
      <c r="F3181" s="2200" t="str">
        <f t="shared" si="198"/>
        <v>50</v>
      </c>
      <c r="G3181" s="2200" t="str">
        <f t="shared" si="199"/>
        <v>56350</v>
      </c>
      <c r="H3181" s="2200">
        <f>--SUBTOTAL(3,C$2:C3181)</f>
        <v>99</v>
      </c>
    </row>
    <row r="3182" spans="1:8" hidden="1" x14ac:dyDescent="0.15">
      <c r="A3182" s="2200" t="s">
        <v>11502</v>
      </c>
      <c r="B3182" s="2200" t="s">
        <v>17033</v>
      </c>
      <c r="C3182" s="2200" t="s">
        <v>17034</v>
      </c>
      <c r="D3182" s="2200" t="str">
        <f t="shared" si="196"/>
        <v>VT</v>
      </c>
      <c r="E3182" s="2200">
        <f t="shared" si="197"/>
        <v>14</v>
      </c>
      <c r="F3182" s="2200" t="str">
        <f t="shared" si="198"/>
        <v>50</v>
      </c>
      <c r="G3182" s="2200" t="str">
        <f t="shared" si="199"/>
        <v>56875</v>
      </c>
      <c r="H3182" s="2200">
        <f>--SUBTOTAL(3,C$2:C3182)</f>
        <v>99</v>
      </c>
    </row>
    <row r="3183" spans="1:8" hidden="1" x14ac:dyDescent="0.15">
      <c r="A3183" s="2200" t="s">
        <v>11502</v>
      </c>
      <c r="B3183" s="2200" t="s">
        <v>17035</v>
      </c>
      <c r="C3183" s="2200" t="s">
        <v>17036</v>
      </c>
      <c r="D3183" s="2200" t="str">
        <f t="shared" si="196"/>
        <v>VT</v>
      </c>
      <c r="E3183" s="2200">
        <f t="shared" si="197"/>
        <v>12</v>
      </c>
      <c r="F3183" s="2200" t="str">
        <f t="shared" si="198"/>
        <v>50</v>
      </c>
      <c r="G3183" s="2200" t="str">
        <f t="shared" si="199"/>
        <v>57025</v>
      </c>
      <c r="H3183" s="2200">
        <f>--SUBTOTAL(3,C$2:C3183)</f>
        <v>99</v>
      </c>
    </row>
    <row r="3184" spans="1:8" hidden="1" x14ac:dyDescent="0.15">
      <c r="A3184" s="2200" t="s">
        <v>11502</v>
      </c>
      <c r="B3184" s="2200" t="s">
        <v>17037</v>
      </c>
      <c r="C3184" s="2200" t="s">
        <v>17038</v>
      </c>
      <c r="D3184" s="2200" t="str">
        <f t="shared" si="196"/>
        <v>VT</v>
      </c>
      <c r="E3184" s="2200">
        <f t="shared" si="197"/>
        <v>13</v>
      </c>
      <c r="F3184" s="2200" t="str">
        <f t="shared" si="198"/>
        <v>50</v>
      </c>
      <c r="G3184" s="2200" t="str">
        <f t="shared" si="199"/>
        <v>57250</v>
      </c>
      <c r="H3184" s="2200">
        <f>--SUBTOTAL(3,C$2:C3184)</f>
        <v>99</v>
      </c>
    </row>
    <row r="3185" spans="1:8" hidden="1" x14ac:dyDescent="0.15">
      <c r="A3185" s="2200" t="s">
        <v>11502</v>
      </c>
      <c r="B3185" s="2200" t="s">
        <v>17039</v>
      </c>
      <c r="C3185" s="2200" t="s">
        <v>17040</v>
      </c>
      <c r="D3185" s="2200" t="str">
        <f t="shared" si="196"/>
        <v>VT</v>
      </c>
      <c r="E3185" s="2200">
        <f t="shared" si="197"/>
        <v>12</v>
      </c>
      <c r="F3185" s="2200" t="str">
        <f t="shared" si="198"/>
        <v>50</v>
      </c>
      <c r="G3185" s="2200" t="str">
        <f t="shared" si="199"/>
        <v>57700</v>
      </c>
      <c r="H3185" s="2200">
        <f>--SUBTOTAL(3,C$2:C3185)</f>
        <v>99</v>
      </c>
    </row>
    <row r="3186" spans="1:8" hidden="1" x14ac:dyDescent="0.15">
      <c r="A3186" s="2200" t="s">
        <v>11502</v>
      </c>
      <c r="B3186" s="2200" t="s">
        <v>17041</v>
      </c>
      <c r="C3186" s="2200" t="s">
        <v>17042</v>
      </c>
      <c r="D3186" s="2200" t="str">
        <f t="shared" si="196"/>
        <v>VT</v>
      </c>
      <c r="E3186" s="2200">
        <f t="shared" si="197"/>
        <v>14</v>
      </c>
      <c r="F3186" s="2200" t="str">
        <f t="shared" si="198"/>
        <v>50</v>
      </c>
      <c r="G3186" s="2200" t="str">
        <f t="shared" si="199"/>
        <v>58075</v>
      </c>
      <c r="H3186" s="2200">
        <f>--SUBTOTAL(3,C$2:C3186)</f>
        <v>99</v>
      </c>
    </row>
    <row r="3187" spans="1:8" hidden="1" x14ac:dyDescent="0.15">
      <c r="A3187" s="2200" t="s">
        <v>11443</v>
      </c>
      <c r="B3187" s="2200" t="s">
        <v>17043</v>
      </c>
      <c r="C3187" s="2200" t="s">
        <v>17044</v>
      </c>
      <c r="D3187" s="2200" t="str">
        <f t="shared" si="196"/>
        <v>VT</v>
      </c>
      <c r="E3187" s="2200">
        <f t="shared" si="197"/>
        <v>9</v>
      </c>
      <c r="F3187" s="2200" t="str">
        <f t="shared" si="198"/>
        <v>50</v>
      </c>
      <c r="G3187" s="2200" t="str">
        <f t="shared" si="199"/>
        <v>82420</v>
      </c>
      <c r="H3187" s="2200">
        <f>--SUBTOTAL(3,C$2:C3187)</f>
        <v>99</v>
      </c>
    </row>
    <row r="3188" spans="1:8" hidden="1" x14ac:dyDescent="0.15">
      <c r="A3188" s="2200" t="s">
        <v>11502</v>
      </c>
      <c r="B3188" s="2200" t="s">
        <v>17045</v>
      </c>
      <c r="C3188" s="2200" t="s">
        <v>17046</v>
      </c>
      <c r="D3188" s="2200" t="str">
        <f t="shared" si="196"/>
        <v>VT</v>
      </c>
      <c r="E3188" s="2200">
        <f t="shared" si="197"/>
        <v>13</v>
      </c>
      <c r="F3188" s="2200" t="str">
        <f t="shared" si="198"/>
        <v>50</v>
      </c>
      <c r="G3188" s="2200" t="str">
        <f t="shared" si="199"/>
        <v>58375</v>
      </c>
      <c r="H3188" s="2200">
        <f>--SUBTOTAL(3,C$2:C3188)</f>
        <v>99</v>
      </c>
    </row>
    <row r="3189" spans="1:8" hidden="1" x14ac:dyDescent="0.15">
      <c r="A3189" s="2200" t="s">
        <v>11502</v>
      </c>
      <c r="B3189" s="2200" t="s">
        <v>17047</v>
      </c>
      <c r="C3189" s="2200" t="s">
        <v>17048</v>
      </c>
      <c r="D3189" s="2200" t="str">
        <f t="shared" si="196"/>
        <v>VT</v>
      </c>
      <c r="E3189" s="2200">
        <f t="shared" si="197"/>
        <v>15</v>
      </c>
      <c r="F3189" s="2200" t="str">
        <f t="shared" si="198"/>
        <v>50</v>
      </c>
      <c r="G3189" s="2200" t="str">
        <f t="shared" si="199"/>
        <v>58600</v>
      </c>
      <c r="H3189" s="2200">
        <f>--SUBTOTAL(3,C$2:C3189)</f>
        <v>99</v>
      </c>
    </row>
    <row r="3190" spans="1:8" hidden="1" x14ac:dyDescent="0.15">
      <c r="A3190" s="2200" t="s">
        <v>11502</v>
      </c>
      <c r="B3190" s="2200" t="s">
        <v>17049</v>
      </c>
      <c r="C3190" s="2200" t="s">
        <v>17050</v>
      </c>
      <c r="D3190" s="2200" t="str">
        <f t="shared" si="196"/>
        <v>VT</v>
      </c>
      <c r="E3190" s="2200">
        <f t="shared" si="197"/>
        <v>14</v>
      </c>
      <c r="F3190" s="2200" t="str">
        <f t="shared" si="198"/>
        <v>50</v>
      </c>
      <c r="G3190" s="2200" t="str">
        <f t="shared" si="199"/>
        <v>59125</v>
      </c>
      <c r="H3190" s="2200">
        <f>--SUBTOTAL(3,C$2:C3190)</f>
        <v>99</v>
      </c>
    </row>
    <row r="3191" spans="1:8" hidden="1" x14ac:dyDescent="0.15">
      <c r="A3191" s="2200" t="s">
        <v>11502</v>
      </c>
      <c r="B3191" s="2200" t="s">
        <v>17051</v>
      </c>
      <c r="C3191" s="2200" t="s">
        <v>17052</v>
      </c>
      <c r="D3191" s="2200" t="str">
        <f t="shared" si="196"/>
        <v>VT</v>
      </c>
      <c r="E3191" s="2200">
        <f t="shared" si="197"/>
        <v>14</v>
      </c>
      <c r="F3191" s="2200" t="str">
        <f t="shared" si="198"/>
        <v>50</v>
      </c>
      <c r="G3191" s="2200" t="str">
        <f t="shared" si="199"/>
        <v>59275</v>
      </c>
      <c r="H3191" s="2200">
        <f>--SUBTOTAL(3,C$2:C3191)</f>
        <v>99</v>
      </c>
    </row>
    <row r="3192" spans="1:8" hidden="1" x14ac:dyDescent="0.15">
      <c r="A3192" s="2200" t="s">
        <v>11502</v>
      </c>
      <c r="B3192" s="2200" t="s">
        <v>17053</v>
      </c>
      <c r="C3192" s="2200" t="s">
        <v>17054</v>
      </c>
      <c r="D3192" s="2200" t="str">
        <f t="shared" si="196"/>
        <v>VT</v>
      </c>
      <c r="E3192" s="2200">
        <f t="shared" si="197"/>
        <v>12</v>
      </c>
      <c r="F3192" s="2200" t="str">
        <f t="shared" si="198"/>
        <v>50</v>
      </c>
      <c r="G3192" s="2200" t="str">
        <f t="shared" si="199"/>
        <v>59650</v>
      </c>
      <c r="H3192" s="2200">
        <f>--SUBTOTAL(3,C$2:C3192)</f>
        <v>99</v>
      </c>
    </row>
    <row r="3193" spans="1:8" hidden="1" x14ac:dyDescent="0.15">
      <c r="A3193" s="2200" t="s">
        <v>11502</v>
      </c>
      <c r="B3193" s="2200" t="s">
        <v>17055</v>
      </c>
      <c r="C3193" s="2200" t="s">
        <v>17056</v>
      </c>
      <c r="D3193" s="2200" t="str">
        <f t="shared" si="196"/>
        <v>VT</v>
      </c>
      <c r="E3193" s="2200">
        <f t="shared" si="197"/>
        <v>15</v>
      </c>
      <c r="F3193" s="2200" t="str">
        <f t="shared" si="198"/>
        <v>50</v>
      </c>
      <c r="G3193" s="2200" t="str">
        <f t="shared" si="199"/>
        <v>60100</v>
      </c>
      <c r="H3193" s="2200">
        <f>--SUBTOTAL(3,C$2:C3193)</f>
        <v>99</v>
      </c>
    </row>
    <row r="3194" spans="1:8" hidden="1" x14ac:dyDescent="0.15">
      <c r="A3194" s="2200" t="s">
        <v>11502</v>
      </c>
      <c r="B3194" s="2200" t="s">
        <v>17057</v>
      </c>
      <c r="C3194" s="2200" t="s">
        <v>17058</v>
      </c>
      <c r="D3194" s="2200" t="str">
        <f t="shared" si="196"/>
        <v>VT</v>
      </c>
      <c r="E3194" s="2200">
        <f t="shared" si="197"/>
        <v>16</v>
      </c>
      <c r="F3194" s="2200" t="str">
        <f t="shared" si="198"/>
        <v>50</v>
      </c>
      <c r="G3194" s="2200" t="str">
        <f t="shared" si="199"/>
        <v>60250</v>
      </c>
      <c r="H3194" s="2200">
        <f>--SUBTOTAL(3,C$2:C3194)</f>
        <v>99</v>
      </c>
    </row>
    <row r="3195" spans="1:8" hidden="1" x14ac:dyDescent="0.15">
      <c r="A3195" s="2200" t="s">
        <v>11502</v>
      </c>
      <c r="B3195" s="2200" t="s">
        <v>17059</v>
      </c>
      <c r="C3195" s="2200" t="s">
        <v>17060</v>
      </c>
      <c r="D3195" s="2200" t="str">
        <f t="shared" si="196"/>
        <v>VT</v>
      </c>
      <c r="E3195" s="2200">
        <f t="shared" si="197"/>
        <v>13</v>
      </c>
      <c r="F3195" s="2200" t="str">
        <f t="shared" si="198"/>
        <v>50</v>
      </c>
      <c r="G3195" s="2200" t="str">
        <f t="shared" si="199"/>
        <v>60625</v>
      </c>
      <c r="H3195" s="2200">
        <f>--SUBTOTAL(3,C$2:C3195)</f>
        <v>99</v>
      </c>
    </row>
    <row r="3196" spans="1:8" hidden="1" x14ac:dyDescent="0.15">
      <c r="A3196" s="2200" t="s">
        <v>11502</v>
      </c>
      <c r="B3196" s="2200" t="s">
        <v>17061</v>
      </c>
      <c r="C3196" s="2200" t="s">
        <v>17062</v>
      </c>
      <c r="D3196" s="2200" t="str">
        <f t="shared" si="196"/>
        <v>VT</v>
      </c>
      <c r="E3196" s="2200">
        <f t="shared" si="197"/>
        <v>14</v>
      </c>
      <c r="F3196" s="2200" t="str">
        <f t="shared" si="198"/>
        <v>50</v>
      </c>
      <c r="G3196" s="2200" t="str">
        <f t="shared" si="199"/>
        <v>60850</v>
      </c>
      <c r="H3196" s="2200">
        <f>--SUBTOTAL(3,C$2:C3196)</f>
        <v>99</v>
      </c>
    </row>
    <row r="3197" spans="1:8" hidden="1" x14ac:dyDescent="0.15">
      <c r="A3197" s="2200" t="s">
        <v>11502</v>
      </c>
      <c r="B3197" s="2200" t="s">
        <v>17063</v>
      </c>
      <c r="C3197" s="2200" t="s">
        <v>17064</v>
      </c>
      <c r="D3197" s="2200" t="str">
        <f t="shared" si="196"/>
        <v>VT</v>
      </c>
      <c r="E3197" s="2200">
        <f t="shared" si="197"/>
        <v>12</v>
      </c>
      <c r="F3197" s="2200" t="str">
        <f t="shared" si="198"/>
        <v>50</v>
      </c>
      <c r="G3197" s="2200" t="str">
        <f t="shared" si="199"/>
        <v>61000</v>
      </c>
      <c r="H3197" s="2200">
        <f>--SUBTOTAL(3,C$2:C3197)</f>
        <v>99</v>
      </c>
    </row>
    <row r="3198" spans="1:8" hidden="1" x14ac:dyDescent="0.15">
      <c r="A3198" s="2200" t="s">
        <v>11502</v>
      </c>
      <c r="B3198" s="2200" t="s">
        <v>17065</v>
      </c>
      <c r="C3198" s="2200" t="s">
        <v>17066</v>
      </c>
      <c r="D3198" s="2200" t="str">
        <f t="shared" si="196"/>
        <v>VT</v>
      </c>
      <c r="E3198" s="2200">
        <f t="shared" si="197"/>
        <v>13</v>
      </c>
      <c r="F3198" s="2200" t="str">
        <f t="shared" si="198"/>
        <v>50</v>
      </c>
      <c r="G3198" s="2200" t="str">
        <f t="shared" si="199"/>
        <v>61225</v>
      </c>
      <c r="H3198" s="2200">
        <f>--SUBTOTAL(3,C$2:C3198)</f>
        <v>99</v>
      </c>
    </row>
    <row r="3199" spans="1:8" hidden="1" x14ac:dyDescent="0.15">
      <c r="A3199" s="2200" t="s">
        <v>11502</v>
      </c>
      <c r="B3199" s="2200" t="s">
        <v>17067</v>
      </c>
      <c r="C3199" s="2200" t="s">
        <v>17068</v>
      </c>
      <c r="D3199" s="2200" t="str">
        <f t="shared" si="196"/>
        <v>VT</v>
      </c>
      <c r="E3199" s="2200">
        <f t="shared" si="197"/>
        <v>13</v>
      </c>
      <c r="F3199" s="2200" t="str">
        <f t="shared" si="198"/>
        <v>50</v>
      </c>
      <c r="G3199" s="2200" t="str">
        <f t="shared" si="199"/>
        <v>61300</v>
      </c>
      <c r="H3199" s="2200">
        <f>--SUBTOTAL(3,C$2:C3199)</f>
        <v>99</v>
      </c>
    </row>
    <row r="3200" spans="1:8" hidden="1" x14ac:dyDescent="0.15">
      <c r="A3200" s="2200" t="s">
        <v>11502</v>
      </c>
      <c r="B3200" s="2200" t="s">
        <v>17069</v>
      </c>
      <c r="C3200" s="2200" t="s">
        <v>17070</v>
      </c>
      <c r="D3200" s="2200" t="str">
        <f t="shared" si="196"/>
        <v>VT</v>
      </c>
      <c r="E3200" s="2200">
        <f t="shared" si="197"/>
        <v>13</v>
      </c>
      <c r="F3200" s="2200" t="str">
        <f t="shared" si="198"/>
        <v>50</v>
      </c>
      <c r="G3200" s="2200" t="str">
        <f t="shared" si="199"/>
        <v>61525</v>
      </c>
      <c r="H3200" s="2200">
        <f>--SUBTOTAL(3,C$2:C3200)</f>
        <v>99</v>
      </c>
    </row>
    <row r="3201" spans="1:8" hidden="1" x14ac:dyDescent="0.15">
      <c r="A3201" s="2200" t="s">
        <v>11502</v>
      </c>
      <c r="B3201" s="2200" t="s">
        <v>17071</v>
      </c>
      <c r="C3201" s="2200" t="s">
        <v>17072</v>
      </c>
      <c r="D3201" s="2200" t="str">
        <f t="shared" si="196"/>
        <v>VT</v>
      </c>
      <c r="E3201" s="2200">
        <f t="shared" si="197"/>
        <v>15</v>
      </c>
      <c r="F3201" s="2200" t="str">
        <f t="shared" si="198"/>
        <v>50</v>
      </c>
      <c r="G3201" s="2200" t="str">
        <f t="shared" si="199"/>
        <v>62575</v>
      </c>
      <c r="H3201" s="2200">
        <f>--SUBTOTAL(3,C$2:C3201)</f>
        <v>99</v>
      </c>
    </row>
    <row r="3202" spans="1:8" hidden="1" x14ac:dyDescent="0.15">
      <c r="A3202" s="2200" t="s">
        <v>11502</v>
      </c>
      <c r="B3202" s="2200" t="s">
        <v>17073</v>
      </c>
      <c r="C3202" s="2200" t="s">
        <v>17074</v>
      </c>
      <c r="D3202" s="2200" t="str">
        <f t="shared" ref="D3202:D3265" si="200">MID(C3202,E3202+2,2)</f>
        <v>VT</v>
      </c>
      <c r="E3202" s="2200">
        <f t="shared" ref="E3202:E3265" si="201">FIND(",",C3202)</f>
        <v>14</v>
      </c>
      <c r="F3202" s="2200" t="str">
        <f t="shared" si="198"/>
        <v>50</v>
      </c>
      <c r="G3202" s="2200" t="str">
        <f t="shared" si="199"/>
        <v>62875</v>
      </c>
      <c r="H3202" s="2200">
        <f>--SUBTOTAL(3,C$2:C3202)</f>
        <v>99</v>
      </c>
    </row>
    <row r="3203" spans="1:8" hidden="1" x14ac:dyDescent="0.15">
      <c r="A3203" s="2200" t="s">
        <v>11502</v>
      </c>
      <c r="B3203" s="2200" t="s">
        <v>17075</v>
      </c>
      <c r="C3203" s="2200" t="s">
        <v>17076</v>
      </c>
      <c r="D3203" s="2200" t="str">
        <f t="shared" si="200"/>
        <v>VT</v>
      </c>
      <c r="E3203" s="2200">
        <f t="shared" si="201"/>
        <v>15</v>
      </c>
      <c r="F3203" s="2200" t="str">
        <f t="shared" ref="F3203:F3266" si="202">MID(B3203,3,2)</f>
        <v>50</v>
      </c>
      <c r="G3203" s="2200" t="str">
        <f t="shared" ref="G3203:G3266" si="203">MID(B3203,5,5)</f>
        <v>63175</v>
      </c>
      <c r="H3203" s="2200">
        <f>--SUBTOTAL(3,C$2:C3203)</f>
        <v>99</v>
      </c>
    </row>
    <row r="3204" spans="1:8" hidden="1" x14ac:dyDescent="0.15">
      <c r="A3204" s="2200" t="s">
        <v>11502</v>
      </c>
      <c r="B3204" s="2200" t="s">
        <v>17077</v>
      </c>
      <c r="C3204" s="2200" t="s">
        <v>17078</v>
      </c>
      <c r="D3204" s="2200" t="str">
        <f t="shared" si="200"/>
        <v>VT</v>
      </c>
      <c r="E3204" s="2200">
        <f t="shared" si="201"/>
        <v>16</v>
      </c>
      <c r="F3204" s="2200" t="str">
        <f t="shared" si="202"/>
        <v>50</v>
      </c>
      <c r="G3204" s="2200" t="str">
        <f t="shared" si="203"/>
        <v>63550</v>
      </c>
      <c r="H3204" s="2200">
        <f>--SUBTOTAL(3,C$2:C3204)</f>
        <v>99</v>
      </c>
    </row>
    <row r="3205" spans="1:8" hidden="1" x14ac:dyDescent="0.15">
      <c r="A3205" s="2200" t="s">
        <v>11502</v>
      </c>
      <c r="B3205" s="2200" t="s">
        <v>17079</v>
      </c>
      <c r="C3205" s="2200" t="s">
        <v>17080</v>
      </c>
      <c r="D3205" s="2200" t="str">
        <f t="shared" si="200"/>
        <v>VT</v>
      </c>
      <c r="E3205" s="2200">
        <f t="shared" si="201"/>
        <v>12</v>
      </c>
      <c r="F3205" s="2200" t="str">
        <f t="shared" si="202"/>
        <v>50</v>
      </c>
      <c r="G3205" s="2200" t="str">
        <f t="shared" si="203"/>
        <v>63775</v>
      </c>
      <c r="H3205" s="2200">
        <f>--SUBTOTAL(3,C$2:C3205)</f>
        <v>99</v>
      </c>
    </row>
    <row r="3206" spans="1:8" hidden="1" x14ac:dyDescent="0.15">
      <c r="A3206" s="2200" t="s">
        <v>11502</v>
      </c>
      <c r="B3206" s="2200" t="s">
        <v>17081</v>
      </c>
      <c r="C3206" s="2200" t="s">
        <v>17082</v>
      </c>
      <c r="D3206" s="2200" t="str">
        <f t="shared" si="200"/>
        <v>VT</v>
      </c>
      <c r="E3206" s="2200">
        <f t="shared" si="201"/>
        <v>15</v>
      </c>
      <c r="F3206" s="2200" t="str">
        <f t="shared" si="202"/>
        <v>50</v>
      </c>
      <c r="G3206" s="2200" t="str">
        <f t="shared" si="203"/>
        <v>64075</v>
      </c>
      <c r="H3206" s="2200">
        <f>--SUBTOTAL(3,C$2:C3206)</f>
        <v>99</v>
      </c>
    </row>
    <row r="3207" spans="1:8" hidden="1" x14ac:dyDescent="0.15">
      <c r="A3207" s="2200" t="s">
        <v>11502</v>
      </c>
      <c r="B3207" s="2200" t="s">
        <v>17083</v>
      </c>
      <c r="C3207" s="2200" t="s">
        <v>17084</v>
      </c>
      <c r="D3207" s="2200" t="str">
        <f t="shared" si="200"/>
        <v>VT</v>
      </c>
      <c r="E3207" s="2200">
        <f t="shared" si="201"/>
        <v>15</v>
      </c>
      <c r="F3207" s="2200" t="str">
        <f t="shared" si="202"/>
        <v>50</v>
      </c>
      <c r="G3207" s="2200" t="str">
        <f t="shared" si="203"/>
        <v>64300</v>
      </c>
      <c r="H3207" s="2200">
        <f>--SUBTOTAL(3,C$2:C3207)</f>
        <v>99</v>
      </c>
    </row>
    <row r="3208" spans="1:8" hidden="1" x14ac:dyDescent="0.15">
      <c r="A3208" s="2200" t="s">
        <v>11502</v>
      </c>
      <c r="B3208" s="2200" t="s">
        <v>17085</v>
      </c>
      <c r="C3208" s="2200" t="s">
        <v>17086</v>
      </c>
      <c r="D3208" s="2200" t="str">
        <f t="shared" si="200"/>
        <v>VT</v>
      </c>
      <c r="E3208" s="2200">
        <f t="shared" si="201"/>
        <v>13</v>
      </c>
      <c r="F3208" s="2200" t="str">
        <f t="shared" si="202"/>
        <v>50</v>
      </c>
      <c r="G3208" s="2200" t="str">
        <f t="shared" si="203"/>
        <v>64600</v>
      </c>
      <c r="H3208" s="2200">
        <f>--SUBTOTAL(3,C$2:C3208)</f>
        <v>99</v>
      </c>
    </row>
    <row r="3209" spans="1:8" hidden="1" x14ac:dyDescent="0.15">
      <c r="A3209" s="2200" t="s">
        <v>11502</v>
      </c>
      <c r="B3209" s="2200" t="s">
        <v>17087</v>
      </c>
      <c r="C3209" s="2200" t="s">
        <v>17088</v>
      </c>
      <c r="D3209" s="2200" t="str">
        <f t="shared" si="200"/>
        <v>VT</v>
      </c>
      <c r="E3209" s="2200">
        <f t="shared" si="201"/>
        <v>14</v>
      </c>
      <c r="F3209" s="2200" t="str">
        <f t="shared" si="202"/>
        <v>50</v>
      </c>
      <c r="G3209" s="2200" t="str">
        <f t="shared" si="203"/>
        <v>65050</v>
      </c>
      <c r="H3209" s="2200">
        <f>--SUBTOTAL(3,C$2:C3209)</f>
        <v>99</v>
      </c>
    </row>
    <row r="3210" spans="1:8" hidden="1" x14ac:dyDescent="0.15">
      <c r="A3210" s="2200" t="s">
        <v>11502</v>
      </c>
      <c r="B3210" s="2200" t="s">
        <v>17089</v>
      </c>
      <c r="C3210" s="2200" t="s">
        <v>17090</v>
      </c>
      <c r="D3210" s="2200" t="str">
        <f t="shared" si="200"/>
        <v>VT</v>
      </c>
      <c r="E3210" s="2200">
        <f t="shared" si="201"/>
        <v>16</v>
      </c>
      <c r="F3210" s="2200" t="str">
        <f t="shared" si="202"/>
        <v>50</v>
      </c>
      <c r="G3210" s="2200" t="str">
        <f t="shared" si="203"/>
        <v>65275</v>
      </c>
      <c r="H3210" s="2200">
        <f>--SUBTOTAL(3,C$2:C3210)</f>
        <v>99</v>
      </c>
    </row>
    <row r="3211" spans="1:8" hidden="1" x14ac:dyDescent="0.15">
      <c r="A3211" s="2200" t="s">
        <v>11502</v>
      </c>
      <c r="B3211" s="2200" t="s">
        <v>17091</v>
      </c>
      <c r="C3211" s="2200" t="s">
        <v>17092</v>
      </c>
      <c r="D3211" s="2200" t="str">
        <f t="shared" si="200"/>
        <v>VT</v>
      </c>
      <c r="E3211" s="2200">
        <f t="shared" si="201"/>
        <v>22</v>
      </c>
      <c r="F3211" s="2200" t="str">
        <f t="shared" si="202"/>
        <v>50</v>
      </c>
      <c r="G3211" s="2200" t="str">
        <f t="shared" si="203"/>
        <v>66175</v>
      </c>
      <c r="H3211" s="2200">
        <f>--SUBTOTAL(3,C$2:C3211)</f>
        <v>99</v>
      </c>
    </row>
    <row r="3212" spans="1:8" hidden="1" x14ac:dyDescent="0.15">
      <c r="A3212" s="2200" t="s">
        <v>11502</v>
      </c>
      <c r="B3212" s="2200" t="s">
        <v>17093</v>
      </c>
      <c r="C3212" s="2200" t="s">
        <v>17094</v>
      </c>
      <c r="D3212" s="2200" t="str">
        <f t="shared" si="200"/>
        <v>VT</v>
      </c>
      <c r="E3212" s="2200">
        <f t="shared" si="201"/>
        <v>16</v>
      </c>
      <c r="F3212" s="2200" t="str">
        <f t="shared" si="202"/>
        <v>50</v>
      </c>
      <c r="G3212" s="2200" t="str">
        <f t="shared" si="203"/>
        <v>67000</v>
      </c>
      <c r="H3212" s="2200">
        <f>--SUBTOTAL(3,C$2:C3212)</f>
        <v>99</v>
      </c>
    </row>
    <row r="3213" spans="1:8" hidden="1" x14ac:dyDescent="0.15">
      <c r="A3213" s="2200" t="s">
        <v>11502</v>
      </c>
      <c r="B3213" s="2200" t="s">
        <v>17095</v>
      </c>
      <c r="C3213" s="2200" t="s">
        <v>17096</v>
      </c>
      <c r="D3213" s="2200" t="str">
        <f t="shared" si="200"/>
        <v>VT</v>
      </c>
      <c r="E3213" s="2200">
        <f t="shared" si="201"/>
        <v>17</v>
      </c>
      <c r="F3213" s="2200" t="str">
        <f t="shared" si="202"/>
        <v>50</v>
      </c>
      <c r="G3213" s="2200" t="str">
        <f t="shared" si="203"/>
        <v>69550</v>
      </c>
      <c r="H3213" s="2200">
        <f>--SUBTOTAL(3,C$2:C3213)</f>
        <v>99</v>
      </c>
    </row>
    <row r="3214" spans="1:8" hidden="1" x14ac:dyDescent="0.15">
      <c r="A3214" s="2200" t="s">
        <v>11443</v>
      </c>
      <c r="B3214" s="2200" t="s">
        <v>17097</v>
      </c>
      <c r="C3214" s="2200" t="s">
        <v>17098</v>
      </c>
      <c r="D3214" s="2200" t="str">
        <f t="shared" si="200"/>
        <v>VT</v>
      </c>
      <c r="E3214" s="2200">
        <f t="shared" si="201"/>
        <v>12</v>
      </c>
      <c r="F3214" s="2200" t="str">
        <f t="shared" si="202"/>
        <v>50</v>
      </c>
      <c r="G3214" s="2200" t="str">
        <f t="shared" si="203"/>
        <v>82780</v>
      </c>
      <c r="H3214" s="2200">
        <f>--SUBTOTAL(3,C$2:C3214)</f>
        <v>99</v>
      </c>
    </row>
    <row r="3215" spans="1:8" hidden="1" x14ac:dyDescent="0.15">
      <c r="A3215" s="2200" t="s">
        <v>11502</v>
      </c>
      <c r="B3215" s="2200" t="s">
        <v>17099</v>
      </c>
      <c r="C3215" s="2200" t="s">
        <v>17100</v>
      </c>
      <c r="D3215" s="2200" t="str">
        <f t="shared" si="200"/>
        <v>VT</v>
      </c>
      <c r="E3215" s="2200">
        <f t="shared" si="201"/>
        <v>16</v>
      </c>
      <c r="F3215" s="2200" t="str">
        <f t="shared" si="202"/>
        <v>50</v>
      </c>
      <c r="G3215" s="2200" t="str">
        <f t="shared" si="203"/>
        <v>61675</v>
      </c>
      <c r="H3215" s="2200">
        <f>--SUBTOTAL(3,C$2:C3215)</f>
        <v>99</v>
      </c>
    </row>
    <row r="3216" spans="1:8" hidden="1" x14ac:dyDescent="0.15">
      <c r="A3216" s="2200" t="s">
        <v>11502</v>
      </c>
      <c r="B3216" s="2200" t="s">
        <v>17101</v>
      </c>
      <c r="C3216" s="2200" t="s">
        <v>17102</v>
      </c>
      <c r="D3216" s="2200" t="str">
        <f t="shared" si="200"/>
        <v>VT</v>
      </c>
      <c r="E3216" s="2200">
        <f t="shared" si="201"/>
        <v>16</v>
      </c>
      <c r="F3216" s="2200" t="str">
        <f t="shared" si="202"/>
        <v>50</v>
      </c>
      <c r="G3216" s="2200" t="str">
        <f t="shared" si="203"/>
        <v>61750</v>
      </c>
      <c r="H3216" s="2200">
        <f>--SUBTOTAL(3,C$2:C3216)</f>
        <v>99</v>
      </c>
    </row>
    <row r="3217" spans="1:8" hidden="1" x14ac:dyDescent="0.15">
      <c r="A3217" s="2200" t="s">
        <v>11502</v>
      </c>
      <c r="B3217" s="2200" t="s">
        <v>17103</v>
      </c>
      <c r="C3217" s="2200" t="s">
        <v>17104</v>
      </c>
      <c r="D3217" s="2200" t="str">
        <f t="shared" si="200"/>
        <v>VT</v>
      </c>
      <c r="E3217" s="2200">
        <f t="shared" si="201"/>
        <v>16</v>
      </c>
      <c r="F3217" s="2200" t="str">
        <f t="shared" si="202"/>
        <v>50</v>
      </c>
      <c r="G3217" s="2200" t="str">
        <f t="shared" si="203"/>
        <v>62050</v>
      </c>
      <c r="H3217" s="2200">
        <f>--SUBTOTAL(3,C$2:C3217)</f>
        <v>99</v>
      </c>
    </row>
    <row r="3218" spans="1:8" hidden="1" x14ac:dyDescent="0.15">
      <c r="A3218" s="2200" t="s">
        <v>11502</v>
      </c>
      <c r="B3218" s="2200" t="s">
        <v>17105</v>
      </c>
      <c r="C3218" s="2200" t="s">
        <v>17106</v>
      </c>
      <c r="D3218" s="2200" t="str">
        <f t="shared" si="200"/>
        <v>VT</v>
      </c>
      <c r="E3218" s="2200">
        <f t="shared" si="201"/>
        <v>19</v>
      </c>
      <c r="F3218" s="2200" t="str">
        <f t="shared" si="202"/>
        <v>50</v>
      </c>
      <c r="G3218" s="2200" t="str">
        <f t="shared" si="203"/>
        <v>62200</v>
      </c>
      <c r="H3218" s="2200">
        <f>--SUBTOTAL(3,C$2:C3218)</f>
        <v>99</v>
      </c>
    </row>
    <row r="3219" spans="1:8" hidden="1" x14ac:dyDescent="0.15">
      <c r="A3219" s="2200" t="s">
        <v>11443</v>
      </c>
      <c r="B3219" s="2200" t="s">
        <v>17107</v>
      </c>
      <c r="C3219" s="2200" t="s">
        <v>17108</v>
      </c>
      <c r="D3219" s="2200" t="str">
        <f t="shared" si="200"/>
        <v>VT</v>
      </c>
      <c r="E3219" s="2200">
        <f t="shared" si="201"/>
        <v>14</v>
      </c>
      <c r="F3219" s="2200" t="str">
        <f t="shared" si="202"/>
        <v>50</v>
      </c>
      <c r="G3219" s="2200" t="str">
        <f t="shared" si="203"/>
        <v>82660</v>
      </c>
      <c r="H3219" s="2200">
        <f>--SUBTOTAL(3,C$2:C3219)</f>
        <v>99</v>
      </c>
    </row>
    <row r="3220" spans="1:8" hidden="1" x14ac:dyDescent="0.15">
      <c r="A3220" s="2200" t="s">
        <v>11502</v>
      </c>
      <c r="B3220" s="2200" t="s">
        <v>17109</v>
      </c>
      <c r="C3220" s="2200" t="s">
        <v>17110</v>
      </c>
      <c r="D3220" s="2200" t="str">
        <f t="shared" si="200"/>
        <v>VT</v>
      </c>
      <c r="E3220" s="2200">
        <f t="shared" si="201"/>
        <v>14</v>
      </c>
      <c r="F3220" s="2200" t="str">
        <f t="shared" si="202"/>
        <v>50</v>
      </c>
      <c r="G3220" s="2200" t="str">
        <f t="shared" si="203"/>
        <v>69775</v>
      </c>
      <c r="H3220" s="2200">
        <f>--SUBTOTAL(3,C$2:C3220)</f>
        <v>99</v>
      </c>
    </row>
    <row r="3221" spans="1:8" hidden="1" x14ac:dyDescent="0.15">
      <c r="A3221" s="2200" t="s">
        <v>11502</v>
      </c>
      <c r="B3221" s="2200" t="s">
        <v>17111</v>
      </c>
      <c r="C3221" s="2200" t="s">
        <v>17112</v>
      </c>
      <c r="D3221" s="2200" t="str">
        <f t="shared" si="200"/>
        <v>VT</v>
      </c>
      <c r="E3221" s="2200">
        <f t="shared" si="201"/>
        <v>14</v>
      </c>
      <c r="F3221" s="2200" t="str">
        <f t="shared" si="202"/>
        <v>50</v>
      </c>
      <c r="G3221" s="2200" t="str">
        <f t="shared" si="203"/>
        <v>69925</v>
      </c>
      <c r="H3221" s="2200">
        <f>--SUBTOTAL(3,C$2:C3221)</f>
        <v>99</v>
      </c>
    </row>
    <row r="3222" spans="1:8" hidden="1" x14ac:dyDescent="0.15">
      <c r="A3222" s="2200" t="s">
        <v>11502</v>
      </c>
      <c r="B3222" s="2200" t="s">
        <v>17113</v>
      </c>
      <c r="C3222" s="2200" t="s">
        <v>17114</v>
      </c>
      <c r="D3222" s="2200" t="str">
        <f t="shared" si="200"/>
        <v>VT</v>
      </c>
      <c r="E3222" s="2200">
        <f t="shared" si="201"/>
        <v>16</v>
      </c>
      <c r="F3222" s="2200" t="str">
        <f t="shared" si="202"/>
        <v>50</v>
      </c>
      <c r="G3222" s="2200" t="str">
        <f t="shared" si="203"/>
        <v>70075</v>
      </c>
      <c r="H3222" s="2200">
        <f>--SUBTOTAL(3,C$2:C3222)</f>
        <v>99</v>
      </c>
    </row>
    <row r="3223" spans="1:8" hidden="1" x14ac:dyDescent="0.15">
      <c r="A3223" s="2200" t="s">
        <v>11502</v>
      </c>
      <c r="B3223" s="2200" t="s">
        <v>17115</v>
      </c>
      <c r="C3223" s="2200" t="s">
        <v>17116</v>
      </c>
      <c r="D3223" s="2200" t="str">
        <f t="shared" si="200"/>
        <v>VT</v>
      </c>
      <c r="E3223" s="2200">
        <f t="shared" si="201"/>
        <v>17</v>
      </c>
      <c r="F3223" s="2200" t="str">
        <f t="shared" si="202"/>
        <v>50</v>
      </c>
      <c r="G3223" s="2200" t="str">
        <f t="shared" si="203"/>
        <v>70375</v>
      </c>
      <c r="H3223" s="2200">
        <f>--SUBTOTAL(3,C$2:C3223)</f>
        <v>99</v>
      </c>
    </row>
    <row r="3224" spans="1:8" hidden="1" x14ac:dyDescent="0.15">
      <c r="A3224" s="2200" t="s">
        <v>11502</v>
      </c>
      <c r="B3224" s="2200" t="s">
        <v>17117</v>
      </c>
      <c r="C3224" s="2200" t="s">
        <v>17118</v>
      </c>
      <c r="D3224" s="2200" t="str">
        <f t="shared" si="200"/>
        <v>VT</v>
      </c>
      <c r="E3224" s="2200">
        <f t="shared" si="201"/>
        <v>11</v>
      </c>
      <c r="F3224" s="2200" t="str">
        <f t="shared" si="202"/>
        <v>50</v>
      </c>
      <c r="G3224" s="2200" t="str">
        <f t="shared" si="203"/>
        <v>70525</v>
      </c>
      <c r="H3224" s="2200">
        <f>--SUBTOTAL(3,C$2:C3224)</f>
        <v>99</v>
      </c>
    </row>
    <row r="3225" spans="1:8" hidden="1" x14ac:dyDescent="0.15">
      <c r="A3225" s="2200" t="s">
        <v>11502</v>
      </c>
      <c r="B3225" s="2200" t="s">
        <v>17119</v>
      </c>
      <c r="C3225" s="2200" t="s">
        <v>17120</v>
      </c>
      <c r="D3225" s="2200" t="str">
        <f t="shared" si="200"/>
        <v>VT</v>
      </c>
      <c r="E3225" s="2200">
        <f t="shared" si="201"/>
        <v>15</v>
      </c>
      <c r="F3225" s="2200" t="str">
        <f t="shared" si="202"/>
        <v>50</v>
      </c>
      <c r="G3225" s="2200" t="str">
        <f t="shared" si="203"/>
        <v>70675</v>
      </c>
      <c r="H3225" s="2200">
        <f>--SUBTOTAL(3,C$2:C3225)</f>
        <v>99</v>
      </c>
    </row>
    <row r="3226" spans="1:8" hidden="1" x14ac:dyDescent="0.15">
      <c r="A3226" s="2200" t="s">
        <v>11502</v>
      </c>
      <c r="B3226" s="2200" t="s">
        <v>17121</v>
      </c>
      <c r="C3226" s="2200" t="s">
        <v>17122</v>
      </c>
      <c r="D3226" s="2200" t="str">
        <f t="shared" si="200"/>
        <v>VT</v>
      </c>
      <c r="E3226" s="2200">
        <f t="shared" si="201"/>
        <v>14</v>
      </c>
      <c r="F3226" s="2200" t="str">
        <f t="shared" si="202"/>
        <v>50</v>
      </c>
      <c r="G3226" s="2200" t="str">
        <f t="shared" si="203"/>
        <v>70750</v>
      </c>
      <c r="H3226" s="2200">
        <f>--SUBTOTAL(3,C$2:C3226)</f>
        <v>99</v>
      </c>
    </row>
    <row r="3227" spans="1:8" hidden="1" x14ac:dyDescent="0.15">
      <c r="A3227" s="2200" t="s">
        <v>11502</v>
      </c>
      <c r="B3227" s="2200" t="s">
        <v>17123</v>
      </c>
      <c r="C3227" s="2200" t="s">
        <v>17124</v>
      </c>
      <c r="D3227" s="2200" t="str">
        <f t="shared" si="200"/>
        <v>VT</v>
      </c>
      <c r="E3227" s="2200">
        <f t="shared" si="201"/>
        <v>13</v>
      </c>
      <c r="F3227" s="2200" t="str">
        <f t="shared" si="202"/>
        <v>50</v>
      </c>
      <c r="G3227" s="2200" t="str">
        <f t="shared" si="203"/>
        <v>71050</v>
      </c>
      <c r="H3227" s="2200">
        <f>--SUBTOTAL(3,C$2:C3227)</f>
        <v>99</v>
      </c>
    </row>
    <row r="3228" spans="1:8" hidden="1" x14ac:dyDescent="0.15">
      <c r="A3228" s="2200" t="s">
        <v>11502</v>
      </c>
      <c r="B3228" s="2200" t="s">
        <v>17125</v>
      </c>
      <c r="C3228" s="2200" t="s">
        <v>17126</v>
      </c>
      <c r="D3228" s="2200" t="str">
        <f t="shared" si="200"/>
        <v>VT</v>
      </c>
      <c r="E3228" s="2200">
        <f t="shared" si="201"/>
        <v>16</v>
      </c>
      <c r="F3228" s="2200" t="str">
        <f t="shared" si="202"/>
        <v>50</v>
      </c>
      <c r="G3228" s="2200" t="str">
        <f t="shared" si="203"/>
        <v>71425</v>
      </c>
      <c r="H3228" s="2200">
        <f>--SUBTOTAL(3,C$2:C3228)</f>
        <v>99</v>
      </c>
    </row>
    <row r="3229" spans="1:8" hidden="1" x14ac:dyDescent="0.15">
      <c r="A3229" s="2200" t="s">
        <v>11502</v>
      </c>
      <c r="B3229" s="2200" t="s">
        <v>17127</v>
      </c>
      <c r="C3229" s="2200" t="s">
        <v>17128</v>
      </c>
      <c r="D3229" s="2200" t="str">
        <f t="shared" si="200"/>
        <v>VT</v>
      </c>
      <c r="E3229" s="2200">
        <f t="shared" si="201"/>
        <v>12</v>
      </c>
      <c r="F3229" s="2200" t="str">
        <f t="shared" si="202"/>
        <v>50</v>
      </c>
      <c r="G3229" s="2200" t="str">
        <f t="shared" si="203"/>
        <v>71575</v>
      </c>
      <c r="H3229" s="2200">
        <f>--SUBTOTAL(3,C$2:C3229)</f>
        <v>99</v>
      </c>
    </row>
    <row r="3230" spans="1:8" hidden="1" x14ac:dyDescent="0.15">
      <c r="A3230" s="2200" t="s">
        <v>11502</v>
      </c>
      <c r="B3230" s="2200" t="s">
        <v>17129</v>
      </c>
      <c r="C3230" s="2200" t="s">
        <v>17130</v>
      </c>
      <c r="D3230" s="2200" t="str">
        <f t="shared" si="200"/>
        <v>VT</v>
      </c>
      <c r="E3230" s="2200">
        <f t="shared" si="201"/>
        <v>13</v>
      </c>
      <c r="F3230" s="2200" t="str">
        <f t="shared" si="202"/>
        <v>50</v>
      </c>
      <c r="G3230" s="2200" t="str">
        <f t="shared" si="203"/>
        <v>71725</v>
      </c>
      <c r="H3230" s="2200">
        <f>--SUBTOTAL(3,C$2:C3230)</f>
        <v>99</v>
      </c>
    </row>
    <row r="3231" spans="1:8" hidden="1" x14ac:dyDescent="0.15">
      <c r="A3231" s="2200" t="s">
        <v>11502</v>
      </c>
      <c r="B3231" s="2200" t="s">
        <v>17131</v>
      </c>
      <c r="C3231" s="2200" t="s">
        <v>17132</v>
      </c>
      <c r="D3231" s="2200" t="str">
        <f t="shared" si="200"/>
        <v>VT</v>
      </c>
      <c r="E3231" s="2200">
        <f t="shared" si="201"/>
        <v>14</v>
      </c>
      <c r="F3231" s="2200" t="str">
        <f t="shared" si="202"/>
        <v>50</v>
      </c>
      <c r="G3231" s="2200" t="str">
        <f t="shared" si="203"/>
        <v>72400</v>
      </c>
      <c r="H3231" s="2200">
        <f>--SUBTOTAL(3,C$2:C3231)</f>
        <v>99</v>
      </c>
    </row>
    <row r="3232" spans="1:8" hidden="1" x14ac:dyDescent="0.15">
      <c r="A3232" s="2200" t="s">
        <v>11502</v>
      </c>
      <c r="B3232" s="2200" t="s">
        <v>17133</v>
      </c>
      <c r="C3232" s="2200" t="s">
        <v>17134</v>
      </c>
      <c r="D3232" s="2200" t="str">
        <f t="shared" si="200"/>
        <v>VT</v>
      </c>
      <c r="E3232" s="2200">
        <f t="shared" si="201"/>
        <v>14</v>
      </c>
      <c r="F3232" s="2200" t="str">
        <f t="shared" si="202"/>
        <v>50</v>
      </c>
      <c r="G3232" s="2200" t="str">
        <f t="shared" si="203"/>
        <v>72925</v>
      </c>
      <c r="H3232" s="2200">
        <f>--SUBTOTAL(3,C$2:C3232)</f>
        <v>99</v>
      </c>
    </row>
    <row r="3233" spans="1:8" hidden="1" x14ac:dyDescent="0.15">
      <c r="A3233" s="2200" t="s">
        <v>11502</v>
      </c>
      <c r="B3233" s="2200" t="s">
        <v>17135</v>
      </c>
      <c r="C3233" s="2200" t="s">
        <v>17136</v>
      </c>
      <c r="D3233" s="2200" t="str">
        <f t="shared" si="200"/>
        <v>VT</v>
      </c>
      <c r="E3233" s="2200">
        <f t="shared" si="201"/>
        <v>13</v>
      </c>
      <c r="F3233" s="2200" t="str">
        <f t="shared" si="202"/>
        <v>50</v>
      </c>
      <c r="G3233" s="2200" t="str">
        <f t="shared" si="203"/>
        <v>73075</v>
      </c>
      <c r="H3233" s="2200">
        <f>--SUBTOTAL(3,C$2:C3233)</f>
        <v>99</v>
      </c>
    </row>
    <row r="3234" spans="1:8" hidden="1" x14ac:dyDescent="0.15">
      <c r="A3234" s="2200" t="s">
        <v>11502</v>
      </c>
      <c r="B3234" s="2200" t="s">
        <v>17137</v>
      </c>
      <c r="C3234" s="2200" t="s">
        <v>17138</v>
      </c>
      <c r="D3234" s="2200" t="str">
        <f t="shared" si="200"/>
        <v>VT</v>
      </c>
      <c r="E3234" s="2200">
        <f t="shared" si="201"/>
        <v>15</v>
      </c>
      <c r="F3234" s="2200" t="str">
        <f t="shared" si="202"/>
        <v>50</v>
      </c>
      <c r="G3234" s="2200" t="str">
        <f t="shared" si="203"/>
        <v>73300</v>
      </c>
      <c r="H3234" s="2200">
        <f>--SUBTOTAL(3,C$2:C3234)</f>
        <v>99</v>
      </c>
    </row>
    <row r="3235" spans="1:8" hidden="1" x14ac:dyDescent="0.15">
      <c r="A3235" s="2200" t="s">
        <v>11502</v>
      </c>
      <c r="B3235" s="2200" t="s">
        <v>17139</v>
      </c>
      <c r="C3235" s="2200" t="s">
        <v>17140</v>
      </c>
      <c r="D3235" s="2200" t="str">
        <f t="shared" si="200"/>
        <v>VT</v>
      </c>
      <c r="E3235" s="2200">
        <f t="shared" si="201"/>
        <v>10</v>
      </c>
      <c r="F3235" s="2200" t="str">
        <f t="shared" si="202"/>
        <v>50</v>
      </c>
      <c r="G3235" s="2200" t="str">
        <f t="shared" si="203"/>
        <v>73525</v>
      </c>
      <c r="H3235" s="2200">
        <f>--SUBTOTAL(3,C$2:C3235)</f>
        <v>99</v>
      </c>
    </row>
    <row r="3236" spans="1:8" hidden="1" x14ac:dyDescent="0.15">
      <c r="A3236" s="2200" t="s">
        <v>11502</v>
      </c>
      <c r="B3236" s="2200" t="s">
        <v>17141</v>
      </c>
      <c r="C3236" s="2200" t="s">
        <v>17142</v>
      </c>
      <c r="D3236" s="2200" t="str">
        <f t="shared" si="200"/>
        <v>VT</v>
      </c>
      <c r="E3236" s="2200">
        <f t="shared" si="201"/>
        <v>15</v>
      </c>
      <c r="F3236" s="2200" t="str">
        <f t="shared" si="202"/>
        <v>50</v>
      </c>
      <c r="G3236" s="2200" t="str">
        <f t="shared" si="203"/>
        <v>73675</v>
      </c>
      <c r="H3236" s="2200">
        <f>--SUBTOTAL(3,C$2:C3236)</f>
        <v>99</v>
      </c>
    </row>
    <row r="3237" spans="1:8" hidden="1" x14ac:dyDescent="0.15">
      <c r="A3237" s="2200" t="s">
        <v>11502</v>
      </c>
      <c r="B3237" s="2200" t="s">
        <v>17143</v>
      </c>
      <c r="C3237" s="2200" t="s">
        <v>17144</v>
      </c>
      <c r="D3237" s="2200" t="str">
        <f t="shared" si="200"/>
        <v>VT</v>
      </c>
      <c r="E3237" s="2200">
        <f t="shared" si="201"/>
        <v>15</v>
      </c>
      <c r="F3237" s="2200" t="str">
        <f t="shared" si="202"/>
        <v>50</v>
      </c>
      <c r="G3237" s="2200" t="str">
        <f t="shared" si="203"/>
        <v>73975</v>
      </c>
      <c r="H3237" s="2200">
        <f>--SUBTOTAL(3,C$2:C3237)</f>
        <v>99</v>
      </c>
    </row>
    <row r="3238" spans="1:8" hidden="1" x14ac:dyDescent="0.15">
      <c r="A3238" s="2200" t="s">
        <v>11502</v>
      </c>
      <c r="B3238" s="2200" t="s">
        <v>17145</v>
      </c>
      <c r="C3238" s="2200" t="s">
        <v>17146</v>
      </c>
      <c r="D3238" s="2200" t="str">
        <f t="shared" si="200"/>
        <v>VT</v>
      </c>
      <c r="E3238" s="2200">
        <f t="shared" si="201"/>
        <v>15</v>
      </c>
      <c r="F3238" s="2200" t="str">
        <f t="shared" si="202"/>
        <v>50</v>
      </c>
      <c r="G3238" s="2200" t="str">
        <f t="shared" si="203"/>
        <v>74650</v>
      </c>
      <c r="H3238" s="2200">
        <f>--SUBTOTAL(3,C$2:C3238)</f>
        <v>99</v>
      </c>
    </row>
    <row r="3239" spans="1:8" hidden="1" x14ac:dyDescent="0.15">
      <c r="A3239" s="2200" t="s">
        <v>11502</v>
      </c>
      <c r="B3239" s="2200" t="s">
        <v>17147</v>
      </c>
      <c r="C3239" s="2200" t="s">
        <v>17148</v>
      </c>
      <c r="D3239" s="2200" t="str">
        <f t="shared" si="200"/>
        <v>VT</v>
      </c>
      <c r="E3239" s="2200">
        <f t="shared" si="201"/>
        <v>12</v>
      </c>
      <c r="F3239" s="2200" t="str">
        <f t="shared" si="202"/>
        <v>50</v>
      </c>
      <c r="G3239" s="2200" t="str">
        <f t="shared" si="203"/>
        <v>74800</v>
      </c>
      <c r="H3239" s="2200">
        <f>--SUBTOTAL(3,C$2:C3239)</f>
        <v>99</v>
      </c>
    </row>
    <row r="3240" spans="1:8" hidden="1" x14ac:dyDescent="0.15">
      <c r="A3240" s="2200" t="s">
        <v>11502</v>
      </c>
      <c r="B3240" s="2200" t="s">
        <v>17149</v>
      </c>
      <c r="C3240" s="2200" t="s">
        <v>17150</v>
      </c>
      <c r="D3240" s="2200" t="str">
        <f t="shared" si="200"/>
        <v>VT</v>
      </c>
      <c r="E3240" s="2200">
        <f t="shared" si="201"/>
        <v>14</v>
      </c>
      <c r="F3240" s="2200" t="str">
        <f t="shared" si="202"/>
        <v>50</v>
      </c>
      <c r="G3240" s="2200" t="str">
        <f t="shared" si="203"/>
        <v>74950</v>
      </c>
      <c r="H3240" s="2200">
        <f>--SUBTOTAL(3,C$2:C3240)</f>
        <v>99</v>
      </c>
    </row>
    <row r="3241" spans="1:8" hidden="1" x14ac:dyDescent="0.15">
      <c r="A3241" s="2200" t="s">
        <v>11502</v>
      </c>
      <c r="B3241" s="2200" t="s">
        <v>17151</v>
      </c>
      <c r="C3241" s="2200" t="s">
        <v>17152</v>
      </c>
      <c r="D3241" s="2200" t="str">
        <f t="shared" si="200"/>
        <v>VT</v>
      </c>
      <c r="E3241" s="2200">
        <f t="shared" si="201"/>
        <v>13</v>
      </c>
      <c r="F3241" s="2200" t="str">
        <f t="shared" si="202"/>
        <v>50</v>
      </c>
      <c r="G3241" s="2200" t="str">
        <f t="shared" si="203"/>
        <v>75175</v>
      </c>
      <c r="H3241" s="2200">
        <f>--SUBTOTAL(3,C$2:C3241)</f>
        <v>99</v>
      </c>
    </row>
    <row r="3242" spans="1:8" hidden="1" x14ac:dyDescent="0.15">
      <c r="A3242" s="2200" t="s">
        <v>11502</v>
      </c>
      <c r="B3242" s="2200" t="s">
        <v>17153</v>
      </c>
      <c r="C3242" s="2200" t="s">
        <v>17154</v>
      </c>
      <c r="D3242" s="2200" t="str">
        <f t="shared" si="200"/>
        <v>VT</v>
      </c>
      <c r="E3242" s="2200">
        <f t="shared" si="201"/>
        <v>16</v>
      </c>
      <c r="F3242" s="2200" t="str">
        <f t="shared" si="202"/>
        <v>50</v>
      </c>
      <c r="G3242" s="2200" t="str">
        <f t="shared" si="203"/>
        <v>75325</v>
      </c>
      <c r="H3242" s="2200">
        <f>--SUBTOTAL(3,C$2:C3242)</f>
        <v>99</v>
      </c>
    </row>
    <row r="3243" spans="1:8" hidden="1" x14ac:dyDescent="0.15">
      <c r="A3243" s="2200" t="s">
        <v>11502</v>
      </c>
      <c r="B3243" s="2200" t="s">
        <v>17155</v>
      </c>
      <c r="C3243" s="2200" t="s">
        <v>17156</v>
      </c>
      <c r="D3243" s="2200" t="str">
        <f t="shared" si="200"/>
        <v>VT</v>
      </c>
      <c r="E3243" s="2200">
        <f t="shared" si="201"/>
        <v>12</v>
      </c>
      <c r="F3243" s="2200" t="str">
        <f t="shared" si="202"/>
        <v>50</v>
      </c>
      <c r="G3243" s="2200" t="str">
        <f t="shared" si="203"/>
        <v>75700</v>
      </c>
      <c r="H3243" s="2200">
        <f>--SUBTOTAL(3,C$2:C3243)</f>
        <v>99</v>
      </c>
    </row>
    <row r="3244" spans="1:8" hidden="1" x14ac:dyDescent="0.15">
      <c r="A3244" s="2200" t="s">
        <v>11502</v>
      </c>
      <c r="B3244" s="2200" t="s">
        <v>17157</v>
      </c>
      <c r="C3244" s="2200" t="s">
        <v>17158</v>
      </c>
      <c r="D3244" s="2200" t="str">
        <f t="shared" si="200"/>
        <v>VT</v>
      </c>
      <c r="E3244" s="2200">
        <f t="shared" si="201"/>
        <v>17</v>
      </c>
      <c r="F3244" s="2200" t="str">
        <f t="shared" si="202"/>
        <v>50</v>
      </c>
      <c r="G3244" s="2200" t="str">
        <f t="shared" si="203"/>
        <v>75925</v>
      </c>
      <c r="H3244" s="2200">
        <f>--SUBTOTAL(3,C$2:C3244)</f>
        <v>99</v>
      </c>
    </row>
    <row r="3245" spans="1:8" hidden="1" x14ac:dyDescent="0.15">
      <c r="A3245" s="2200" t="s">
        <v>11502</v>
      </c>
      <c r="B3245" s="2200" t="s">
        <v>17159</v>
      </c>
      <c r="C3245" s="2200" t="s">
        <v>17160</v>
      </c>
      <c r="D3245" s="2200" t="str">
        <f t="shared" si="200"/>
        <v>VT</v>
      </c>
      <c r="E3245" s="2200">
        <f t="shared" si="201"/>
        <v>13</v>
      </c>
      <c r="F3245" s="2200" t="str">
        <f t="shared" si="202"/>
        <v>50</v>
      </c>
      <c r="G3245" s="2200" t="str">
        <f t="shared" si="203"/>
        <v>76075</v>
      </c>
      <c r="H3245" s="2200">
        <f>--SUBTOTAL(3,C$2:C3245)</f>
        <v>99</v>
      </c>
    </row>
    <row r="3246" spans="1:8" hidden="1" x14ac:dyDescent="0.15">
      <c r="A3246" s="2200" t="s">
        <v>11502</v>
      </c>
      <c r="B3246" s="2200" t="s">
        <v>17161</v>
      </c>
      <c r="C3246" s="2200" t="s">
        <v>17162</v>
      </c>
      <c r="D3246" s="2200" t="str">
        <f t="shared" si="200"/>
        <v>VT</v>
      </c>
      <c r="E3246" s="2200">
        <f t="shared" si="201"/>
        <v>15</v>
      </c>
      <c r="F3246" s="2200" t="str">
        <f t="shared" si="202"/>
        <v>50</v>
      </c>
      <c r="G3246" s="2200" t="str">
        <f t="shared" si="203"/>
        <v>76225</v>
      </c>
      <c r="H3246" s="2200">
        <f>--SUBTOTAL(3,C$2:C3246)</f>
        <v>99</v>
      </c>
    </row>
    <row r="3247" spans="1:8" hidden="1" x14ac:dyDescent="0.15">
      <c r="A3247" s="2200" t="s">
        <v>11502</v>
      </c>
      <c r="B3247" s="2200" t="s">
        <v>17163</v>
      </c>
      <c r="C3247" s="2200" t="s">
        <v>17164</v>
      </c>
      <c r="D3247" s="2200" t="str">
        <f t="shared" si="200"/>
        <v>VT</v>
      </c>
      <c r="E3247" s="2200">
        <f t="shared" si="201"/>
        <v>12</v>
      </c>
      <c r="F3247" s="2200" t="str">
        <f t="shared" si="202"/>
        <v>50</v>
      </c>
      <c r="G3247" s="2200" t="str">
        <f t="shared" si="203"/>
        <v>76525</v>
      </c>
      <c r="H3247" s="2200">
        <f>--SUBTOTAL(3,C$2:C3247)</f>
        <v>99</v>
      </c>
    </row>
    <row r="3248" spans="1:8" hidden="1" x14ac:dyDescent="0.15">
      <c r="A3248" s="2200" t="s">
        <v>11502</v>
      </c>
      <c r="B3248" s="2200" t="s">
        <v>17165</v>
      </c>
      <c r="C3248" s="2200" t="s">
        <v>17166</v>
      </c>
      <c r="D3248" s="2200" t="str">
        <f t="shared" si="200"/>
        <v>VT</v>
      </c>
      <c r="E3248" s="2200">
        <f t="shared" si="201"/>
        <v>14</v>
      </c>
      <c r="F3248" s="2200" t="str">
        <f t="shared" si="202"/>
        <v>50</v>
      </c>
      <c r="G3248" s="2200" t="str">
        <f t="shared" si="203"/>
        <v>76562</v>
      </c>
      <c r="H3248" s="2200">
        <f>--SUBTOTAL(3,C$2:C3248)</f>
        <v>99</v>
      </c>
    </row>
    <row r="3249" spans="1:8" hidden="1" x14ac:dyDescent="0.15">
      <c r="A3249" s="2200" t="s">
        <v>11502</v>
      </c>
      <c r="B3249" s="2200" t="s">
        <v>17167</v>
      </c>
      <c r="C3249" s="2200" t="s">
        <v>17168</v>
      </c>
      <c r="D3249" s="2200" t="str">
        <f t="shared" si="200"/>
        <v>VT</v>
      </c>
      <c r="E3249" s="2200">
        <f t="shared" si="201"/>
        <v>16</v>
      </c>
      <c r="F3249" s="2200" t="str">
        <f t="shared" si="202"/>
        <v>50</v>
      </c>
      <c r="G3249" s="2200" t="str">
        <f t="shared" si="203"/>
        <v>76750</v>
      </c>
      <c r="H3249" s="2200">
        <f>--SUBTOTAL(3,C$2:C3249)</f>
        <v>99</v>
      </c>
    </row>
    <row r="3250" spans="1:8" hidden="1" x14ac:dyDescent="0.15">
      <c r="A3250" s="2200" t="s">
        <v>11502</v>
      </c>
      <c r="B3250" s="2200" t="s">
        <v>17169</v>
      </c>
      <c r="C3250" s="2200" t="s">
        <v>17170</v>
      </c>
      <c r="D3250" s="2200" t="str">
        <f t="shared" si="200"/>
        <v>VT</v>
      </c>
      <c r="E3250" s="2200">
        <f t="shared" si="201"/>
        <v>15</v>
      </c>
      <c r="F3250" s="2200" t="str">
        <f t="shared" si="202"/>
        <v>50</v>
      </c>
      <c r="G3250" s="2200" t="str">
        <f t="shared" si="203"/>
        <v>76975</v>
      </c>
      <c r="H3250" s="2200">
        <f>--SUBTOTAL(3,C$2:C3250)</f>
        <v>99</v>
      </c>
    </row>
    <row r="3251" spans="1:8" hidden="1" x14ac:dyDescent="0.15">
      <c r="A3251" s="2200" t="s">
        <v>11502</v>
      </c>
      <c r="B3251" s="2200" t="s">
        <v>17171</v>
      </c>
      <c r="C3251" s="2200" t="s">
        <v>17172</v>
      </c>
      <c r="D3251" s="2200" t="str">
        <f t="shared" si="200"/>
        <v>VT</v>
      </c>
      <c r="E3251" s="2200">
        <f t="shared" si="201"/>
        <v>15</v>
      </c>
      <c r="F3251" s="2200" t="str">
        <f t="shared" si="202"/>
        <v>50</v>
      </c>
      <c r="G3251" s="2200" t="str">
        <f t="shared" si="203"/>
        <v>77125</v>
      </c>
      <c r="H3251" s="2200">
        <f>--SUBTOTAL(3,C$2:C3251)</f>
        <v>99</v>
      </c>
    </row>
    <row r="3252" spans="1:8" hidden="1" x14ac:dyDescent="0.15">
      <c r="A3252" s="2200" t="s">
        <v>11502</v>
      </c>
      <c r="B3252" s="2200" t="s">
        <v>17173</v>
      </c>
      <c r="C3252" s="2200" t="s">
        <v>17174</v>
      </c>
      <c r="D3252" s="2200" t="str">
        <f t="shared" si="200"/>
        <v>VT</v>
      </c>
      <c r="E3252" s="2200">
        <f t="shared" si="201"/>
        <v>16</v>
      </c>
      <c r="F3252" s="2200" t="str">
        <f t="shared" si="202"/>
        <v>50</v>
      </c>
      <c r="G3252" s="2200" t="str">
        <f t="shared" si="203"/>
        <v>77425</v>
      </c>
      <c r="H3252" s="2200">
        <f>--SUBTOTAL(3,C$2:C3252)</f>
        <v>99</v>
      </c>
    </row>
    <row r="3253" spans="1:8" hidden="1" x14ac:dyDescent="0.15">
      <c r="A3253" s="2200" t="s">
        <v>11502</v>
      </c>
      <c r="B3253" s="2200" t="s">
        <v>17175</v>
      </c>
      <c r="C3253" s="2200" t="s">
        <v>17176</v>
      </c>
      <c r="D3253" s="2200" t="str">
        <f t="shared" si="200"/>
        <v>VT</v>
      </c>
      <c r="E3253" s="2200">
        <f t="shared" si="201"/>
        <v>19</v>
      </c>
      <c r="F3253" s="2200" t="str">
        <f t="shared" si="202"/>
        <v>50</v>
      </c>
      <c r="G3253" s="2200" t="str">
        <f t="shared" si="203"/>
        <v>77500</v>
      </c>
      <c r="H3253" s="2200">
        <f>--SUBTOTAL(3,C$2:C3253)</f>
        <v>99</v>
      </c>
    </row>
    <row r="3254" spans="1:8" hidden="1" x14ac:dyDescent="0.15">
      <c r="A3254" s="2200" t="s">
        <v>11502</v>
      </c>
      <c r="B3254" s="2200" t="s">
        <v>17177</v>
      </c>
      <c r="C3254" s="2200" t="s">
        <v>17178</v>
      </c>
      <c r="D3254" s="2200" t="str">
        <f t="shared" si="200"/>
        <v>VT</v>
      </c>
      <c r="E3254" s="2200">
        <f t="shared" si="201"/>
        <v>11</v>
      </c>
      <c r="F3254" s="2200" t="str">
        <f t="shared" si="202"/>
        <v>50</v>
      </c>
      <c r="G3254" s="2200" t="str">
        <f t="shared" si="203"/>
        <v>77950</v>
      </c>
      <c r="H3254" s="2200">
        <f>--SUBTOTAL(3,C$2:C3254)</f>
        <v>99</v>
      </c>
    </row>
    <row r="3255" spans="1:8" hidden="1" x14ac:dyDescent="0.15">
      <c r="A3255" s="2200" t="s">
        <v>11502</v>
      </c>
      <c r="B3255" s="2200" t="s">
        <v>17179</v>
      </c>
      <c r="C3255" s="2200" t="s">
        <v>17180</v>
      </c>
      <c r="D3255" s="2200" t="str">
        <f t="shared" si="200"/>
        <v>VT</v>
      </c>
      <c r="E3255" s="2200">
        <f t="shared" si="201"/>
        <v>18</v>
      </c>
      <c r="F3255" s="2200" t="str">
        <f t="shared" si="202"/>
        <v>50</v>
      </c>
      <c r="G3255" s="2200" t="str">
        <f t="shared" si="203"/>
        <v>79975</v>
      </c>
      <c r="H3255" s="2200">
        <f>--SUBTOTAL(3,C$2:C3255)</f>
        <v>99</v>
      </c>
    </row>
    <row r="3256" spans="1:8" hidden="1" x14ac:dyDescent="0.15">
      <c r="A3256" s="2200" t="s">
        <v>11502</v>
      </c>
      <c r="B3256" s="2200" t="s">
        <v>17181</v>
      </c>
      <c r="C3256" s="2200" t="s">
        <v>17182</v>
      </c>
      <c r="D3256" s="2200" t="str">
        <f t="shared" si="200"/>
        <v>VT</v>
      </c>
      <c r="E3256" s="2200">
        <f t="shared" si="201"/>
        <v>16</v>
      </c>
      <c r="F3256" s="2200" t="str">
        <f t="shared" si="202"/>
        <v>50</v>
      </c>
      <c r="G3256" s="2200" t="str">
        <f t="shared" si="203"/>
        <v>80875</v>
      </c>
      <c r="H3256" s="2200">
        <f>--SUBTOTAL(3,C$2:C3256)</f>
        <v>99</v>
      </c>
    </row>
    <row r="3257" spans="1:8" hidden="1" x14ac:dyDescent="0.15">
      <c r="A3257" s="2200" t="s">
        <v>11502</v>
      </c>
      <c r="B3257" s="2200" t="s">
        <v>17183</v>
      </c>
      <c r="C3257" s="2200" t="s">
        <v>17184</v>
      </c>
      <c r="D3257" s="2200" t="str">
        <f t="shared" si="200"/>
        <v>VT</v>
      </c>
      <c r="E3257" s="2200">
        <f t="shared" si="201"/>
        <v>18</v>
      </c>
      <c r="F3257" s="2200" t="str">
        <f t="shared" si="202"/>
        <v>50</v>
      </c>
      <c r="G3257" s="2200" t="str">
        <f t="shared" si="203"/>
        <v>82300</v>
      </c>
      <c r="H3257" s="2200">
        <f>--SUBTOTAL(3,C$2:C3257)</f>
        <v>99</v>
      </c>
    </row>
    <row r="3258" spans="1:8" hidden="1" x14ac:dyDescent="0.15">
      <c r="A3258" s="2200" t="s">
        <v>11502</v>
      </c>
      <c r="B3258" s="2200" t="s">
        <v>17185</v>
      </c>
      <c r="C3258" s="2200" t="s">
        <v>17186</v>
      </c>
      <c r="D3258" s="2200" t="str">
        <f t="shared" si="200"/>
        <v>VT</v>
      </c>
      <c r="E3258" s="2200">
        <f t="shared" si="201"/>
        <v>18</v>
      </c>
      <c r="F3258" s="2200" t="str">
        <f t="shared" si="202"/>
        <v>50</v>
      </c>
      <c r="G3258" s="2200" t="str">
        <f t="shared" si="203"/>
        <v>83050</v>
      </c>
      <c r="H3258" s="2200">
        <f>--SUBTOTAL(3,C$2:C3258)</f>
        <v>99</v>
      </c>
    </row>
    <row r="3259" spans="1:8" hidden="1" x14ac:dyDescent="0.15">
      <c r="A3259" s="2200" t="s">
        <v>11502</v>
      </c>
      <c r="B3259" s="2200" t="s">
        <v>17187</v>
      </c>
      <c r="C3259" s="2200" t="s">
        <v>17188</v>
      </c>
      <c r="D3259" s="2200" t="str">
        <f t="shared" si="200"/>
        <v>VT</v>
      </c>
      <c r="E3259" s="2200">
        <f t="shared" si="201"/>
        <v>15</v>
      </c>
      <c r="F3259" s="2200" t="str">
        <f t="shared" si="202"/>
        <v>50</v>
      </c>
      <c r="G3259" s="2200" t="str">
        <f t="shared" si="203"/>
        <v>80200</v>
      </c>
      <c r="H3259" s="2200">
        <f>--SUBTOTAL(3,C$2:C3259)</f>
        <v>99</v>
      </c>
    </row>
    <row r="3260" spans="1:8" hidden="1" x14ac:dyDescent="0.15">
      <c r="A3260" s="2200" t="s">
        <v>11502</v>
      </c>
      <c r="B3260" s="2200" t="s">
        <v>17189</v>
      </c>
      <c r="C3260" s="2200" t="s">
        <v>17190</v>
      </c>
      <c r="D3260" s="2200" t="str">
        <f t="shared" si="200"/>
        <v>VT</v>
      </c>
      <c r="E3260" s="2200">
        <f t="shared" si="201"/>
        <v>14</v>
      </c>
      <c r="F3260" s="2200" t="str">
        <f t="shared" si="202"/>
        <v>50</v>
      </c>
      <c r="G3260" s="2200" t="str">
        <f t="shared" si="203"/>
        <v>80350</v>
      </c>
      <c r="H3260" s="2200">
        <f>--SUBTOTAL(3,C$2:C3260)</f>
        <v>99</v>
      </c>
    </row>
    <row r="3261" spans="1:8" hidden="1" x14ac:dyDescent="0.15">
      <c r="A3261" s="2200" t="s">
        <v>11502</v>
      </c>
      <c r="B3261" s="2200" t="s">
        <v>17191</v>
      </c>
      <c r="C3261" s="2200" t="s">
        <v>17192</v>
      </c>
      <c r="D3261" s="2200" t="str">
        <f t="shared" si="200"/>
        <v>VT</v>
      </c>
      <c r="E3261" s="2200">
        <f t="shared" si="201"/>
        <v>17</v>
      </c>
      <c r="F3261" s="2200" t="str">
        <f t="shared" si="202"/>
        <v>50</v>
      </c>
      <c r="G3261" s="2200" t="str">
        <f t="shared" si="203"/>
        <v>81400</v>
      </c>
      <c r="H3261" s="2200">
        <f>--SUBTOTAL(3,C$2:C3261)</f>
        <v>99</v>
      </c>
    </row>
    <row r="3262" spans="1:8" hidden="1" x14ac:dyDescent="0.15">
      <c r="A3262" s="2200" t="s">
        <v>11502</v>
      </c>
      <c r="B3262" s="2200" t="s">
        <v>17193</v>
      </c>
      <c r="C3262" s="2200" t="s">
        <v>17194</v>
      </c>
      <c r="D3262" s="2200" t="str">
        <f t="shared" si="200"/>
        <v>VT</v>
      </c>
      <c r="E3262" s="2200">
        <f t="shared" si="201"/>
        <v>14</v>
      </c>
      <c r="F3262" s="2200" t="str">
        <f t="shared" si="202"/>
        <v>50</v>
      </c>
      <c r="G3262" s="2200" t="str">
        <f t="shared" si="203"/>
        <v>81700</v>
      </c>
      <c r="H3262" s="2200">
        <f>--SUBTOTAL(3,C$2:C3262)</f>
        <v>99</v>
      </c>
    </row>
    <row r="3263" spans="1:8" hidden="1" x14ac:dyDescent="0.15">
      <c r="A3263" s="2200" t="s">
        <v>11502</v>
      </c>
      <c r="B3263" s="2200" t="s">
        <v>17195</v>
      </c>
      <c r="C3263" s="2200" t="s">
        <v>17196</v>
      </c>
      <c r="D3263" s="2200" t="str">
        <f t="shared" si="200"/>
        <v>VT</v>
      </c>
      <c r="E3263" s="2200">
        <f t="shared" si="201"/>
        <v>12</v>
      </c>
      <c r="F3263" s="2200" t="str">
        <f t="shared" si="202"/>
        <v>50</v>
      </c>
      <c r="G3263" s="2200" t="str">
        <f t="shared" si="203"/>
        <v>82000</v>
      </c>
      <c r="H3263" s="2200">
        <f>--SUBTOTAL(3,C$2:C3263)</f>
        <v>99</v>
      </c>
    </row>
    <row r="3264" spans="1:8" hidden="1" x14ac:dyDescent="0.15">
      <c r="A3264" s="2200" t="s">
        <v>11502</v>
      </c>
      <c r="B3264" s="2200" t="s">
        <v>17197</v>
      </c>
      <c r="C3264" s="2200" t="s">
        <v>17198</v>
      </c>
      <c r="D3264" s="2200" t="str">
        <f t="shared" si="200"/>
        <v>VT</v>
      </c>
      <c r="E3264" s="2200">
        <f t="shared" si="201"/>
        <v>15</v>
      </c>
      <c r="F3264" s="2200" t="str">
        <f t="shared" si="202"/>
        <v>50</v>
      </c>
      <c r="G3264" s="2200" t="str">
        <f t="shared" si="203"/>
        <v>83275</v>
      </c>
      <c r="H3264" s="2200">
        <f>--SUBTOTAL(3,C$2:C3264)</f>
        <v>99</v>
      </c>
    </row>
    <row r="3265" spans="1:8" hidden="1" x14ac:dyDescent="0.15">
      <c r="A3265" s="2200" t="s">
        <v>11502</v>
      </c>
      <c r="B3265" s="2200" t="s">
        <v>17199</v>
      </c>
      <c r="C3265" s="2200" t="s">
        <v>17200</v>
      </c>
      <c r="D3265" s="2200" t="str">
        <f t="shared" si="200"/>
        <v>VT</v>
      </c>
      <c r="E3265" s="2200">
        <f t="shared" si="201"/>
        <v>14</v>
      </c>
      <c r="F3265" s="2200" t="str">
        <f t="shared" si="202"/>
        <v>50</v>
      </c>
      <c r="G3265" s="2200" t="str">
        <f t="shared" si="203"/>
        <v>83500</v>
      </c>
      <c r="H3265" s="2200">
        <f>--SUBTOTAL(3,C$2:C3265)</f>
        <v>99</v>
      </c>
    </row>
    <row r="3266" spans="1:8" hidden="1" x14ac:dyDescent="0.15">
      <c r="A3266" s="2200" t="s">
        <v>11502</v>
      </c>
      <c r="B3266" s="2200" t="s">
        <v>17201</v>
      </c>
      <c r="C3266" s="2200" t="s">
        <v>17202</v>
      </c>
      <c r="D3266" s="2200" t="str">
        <f t="shared" ref="D3266:D3329" si="204">MID(C3266,E3266+2,2)</f>
        <v>VT</v>
      </c>
      <c r="E3266" s="2200">
        <f t="shared" ref="E3266:E3329" si="205">FIND(",",C3266)</f>
        <v>13</v>
      </c>
      <c r="F3266" s="2200" t="str">
        <f t="shared" si="202"/>
        <v>50</v>
      </c>
      <c r="G3266" s="2200" t="str">
        <f t="shared" si="203"/>
        <v>83800</v>
      </c>
      <c r="H3266" s="2200">
        <f>--SUBTOTAL(3,C$2:C3266)</f>
        <v>99</v>
      </c>
    </row>
    <row r="3267" spans="1:8" hidden="1" x14ac:dyDescent="0.15">
      <c r="A3267" s="2200" t="s">
        <v>11502</v>
      </c>
      <c r="B3267" s="2200" t="s">
        <v>17203</v>
      </c>
      <c r="C3267" s="2200" t="s">
        <v>17204</v>
      </c>
      <c r="D3267" s="2200" t="str">
        <f t="shared" si="204"/>
        <v>VT</v>
      </c>
      <c r="E3267" s="2200">
        <f t="shared" si="205"/>
        <v>16</v>
      </c>
      <c r="F3267" s="2200" t="str">
        <f t="shared" ref="F3267:F3330" si="206">MID(B3267,3,2)</f>
        <v>50</v>
      </c>
      <c r="G3267" s="2200" t="str">
        <f t="shared" ref="G3267:G3330" si="207">MID(B3267,5,5)</f>
        <v>83950</v>
      </c>
      <c r="H3267" s="2200">
        <f>--SUBTOTAL(3,C$2:C3267)</f>
        <v>99</v>
      </c>
    </row>
    <row r="3268" spans="1:8" hidden="1" x14ac:dyDescent="0.15">
      <c r="A3268" s="2200" t="s">
        <v>11502</v>
      </c>
      <c r="B3268" s="2200" t="s">
        <v>17205</v>
      </c>
      <c r="C3268" s="2200" t="s">
        <v>17206</v>
      </c>
      <c r="D3268" s="2200" t="str">
        <f t="shared" si="204"/>
        <v>VT</v>
      </c>
      <c r="E3268" s="2200">
        <f t="shared" si="205"/>
        <v>18</v>
      </c>
      <c r="F3268" s="2200" t="str">
        <f t="shared" si="206"/>
        <v>50</v>
      </c>
      <c r="G3268" s="2200" t="str">
        <f t="shared" si="207"/>
        <v>84175</v>
      </c>
      <c r="H3268" s="2200">
        <f>--SUBTOTAL(3,C$2:C3268)</f>
        <v>99</v>
      </c>
    </row>
    <row r="3269" spans="1:8" hidden="1" x14ac:dyDescent="0.15">
      <c r="A3269" s="2200" t="s">
        <v>11502</v>
      </c>
      <c r="B3269" s="2200" t="s">
        <v>17207</v>
      </c>
      <c r="C3269" s="2200" t="s">
        <v>17208</v>
      </c>
      <c r="D3269" s="2200" t="str">
        <f t="shared" si="204"/>
        <v>VT</v>
      </c>
      <c r="E3269" s="2200">
        <f t="shared" si="205"/>
        <v>15</v>
      </c>
      <c r="F3269" s="2200" t="str">
        <f t="shared" si="206"/>
        <v>50</v>
      </c>
      <c r="G3269" s="2200" t="str">
        <f t="shared" si="207"/>
        <v>84475</v>
      </c>
      <c r="H3269" s="2200">
        <f>--SUBTOTAL(3,C$2:C3269)</f>
        <v>99</v>
      </c>
    </row>
    <row r="3270" spans="1:8" hidden="1" x14ac:dyDescent="0.15">
      <c r="A3270" s="2200" t="s">
        <v>11502</v>
      </c>
      <c r="B3270" s="2200" t="s">
        <v>17209</v>
      </c>
      <c r="C3270" s="2200" t="s">
        <v>17210</v>
      </c>
      <c r="D3270" s="2200" t="str">
        <f t="shared" si="204"/>
        <v>VT</v>
      </c>
      <c r="E3270" s="2200">
        <f t="shared" si="205"/>
        <v>16</v>
      </c>
      <c r="F3270" s="2200" t="str">
        <f t="shared" si="206"/>
        <v>50</v>
      </c>
      <c r="G3270" s="2200" t="str">
        <f t="shared" si="207"/>
        <v>84700</v>
      </c>
      <c r="H3270" s="2200">
        <f>--SUBTOTAL(3,C$2:C3270)</f>
        <v>99</v>
      </c>
    </row>
    <row r="3271" spans="1:8" hidden="1" x14ac:dyDescent="0.15">
      <c r="A3271" s="2200" t="s">
        <v>11502</v>
      </c>
      <c r="B3271" s="2200" t="s">
        <v>17211</v>
      </c>
      <c r="C3271" s="2200" t="s">
        <v>17212</v>
      </c>
      <c r="D3271" s="2200" t="str">
        <f t="shared" si="204"/>
        <v>VT</v>
      </c>
      <c r="E3271" s="2200">
        <f t="shared" si="205"/>
        <v>13</v>
      </c>
      <c r="F3271" s="2200" t="str">
        <f t="shared" si="206"/>
        <v>50</v>
      </c>
      <c r="G3271" s="2200" t="str">
        <f t="shared" si="207"/>
        <v>84850</v>
      </c>
      <c r="H3271" s="2200">
        <f>--SUBTOTAL(3,C$2:C3271)</f>
        <v>99</v>
      </c>
    </row>
    <row r="3272" spans="1:8" hidden="1" x14ac:dyDescent="0.15">
      <c r="A3272" s="2200" t="s">
        <v>11502</v>
      </c>
      <c r="B3272" s="2200" t="s">
        <v>17213</v>
      </c>
      <c r="C3272" s="2200" t="s">
        <v>17214</v>
      </c>
      <c r="D3272" s="2200" t="str">
        <f t="shared" si="204"/>
        <v>VT</v>
      </c>
      <c r="E3272" s="2200">
        <f t="shared" si="205"/>
        <v>13</v>
      </c>
      <c r="F3272" s="2200" t="str">
        <f t="shared" si="206"/>
        <v>50</v>
      </c>
      <c r="G3272" s="2200" t="str">
        <f t="shared" si="207"/>
        <v>84925</v>
      </c>
      <c r="H3272" s="2200">
        <f>--SUBTOTAL(3,C$2:C3272)</f>
        <v>99</v>
      </c>
    </row>
    <row r="3273" spans="1:8" hidden="1" x14ac:dyDescent="0.15">
      <c r="A3273" s="2200" t="s">
        <v>11502</v>
      </c>
      <c r="B3273" s="2200" t="s">
        <v>17215</v>
      </c>
      <c r="C3273" s="2200" t="s">
        <v>17216</v>
      </c>
      <c r="D3273" s="2200" t="str">
        <f t="shared" si="204"/>
        <v>VT</v>
      </c>
      <c r="E3273" s="2200">
        <f t="shared" si="205"/>
        <v>13</v>
      </c>
      <c r="F3273" s="2200" t="str">
        <f t="shared" si="206"/>
        <v>50</v>
      </c>
      <c r="G3273" s="2200" t="str">
        <f t="shared" si="207"/>
        <v>85075</v>
      </c>
      <c r="H3273" s="2200">
        <f>--SUBTOTAL(3,C$2:C3273)</f>
        <v>99</v>
      </c>
    </row>
    <row r="3274" spans="1:8" hidden="1" x14ac:dyDescent="0.15">
      <c r="A3274" s="2200" t="s">
        <v>11502</v>
      </c>
      <c r="B3274" s="2200" t="s">
        <v>17217</v>
      </c>
      <c r="C3274" s="2200" t="s">
        <v>17218</v>
      </c>
      <c r="D3274" s="2200" t="str">
        <f t="shared" si="204"/>
        <v>VT</v>
      </c>
      <c r="E3274" s="2200">
        <f t="shared" si="205"/>
        <v>14</v>
      </c>
      <c r="F3274" s="2200" t="str">
        <f t="shared" si="206"/>
        <v>50</v>
      </c>
      <c r="G3274" s="2200" t="str">
        <f t="shared" si="207"/>
        <v>85150</v>
      </c>
      <c r="H3274" s="2200">
        <f>--SUBTOTAL(3,C$2:C3274)</f>
        <v>99</v>
      </c>
    </row>
    <row r="3275" spans="1:8" hidden="1" x14ac:dyDescent="0.15">
      <c r="A3275" s="2200" t="s">
        <v>11502</v>
      </c>
      <c r="B3275" s="2200" t="s">
        <v>17219</v>
      </c>
      <c r="C3275" s="2200" t="s">
        <v>17220</v>
      </c>
      <c r="D3275" s="2200" t="str">
        <f t="shared" si="204"/>
        <v>VT</v>
      </c>
      <c r="E3275" s="2200">
        <f t="shared" si="205"/>
        <v>13</v>
      </c>
      <c r="F3275" s="2200" t="str">
        <f t="shared" si="206"/>
        <v>50</v>
      </c>
      <c r="G3275" s="2200" t="str">
        <f t="shared" si="207"/>
        <v>85375</v>
      </c>
      <c r="H3275" s="2200">
        <f>--SUBTOTAL(3,C$2:C3275)</f>
        <v>99</v>
      </c>
    </row>
    <row r="3276" spans="1:8" hidden="1" x14ac:dyDescent="0.15">
      <c r="A3276" s="2200" t="s">
        <v>11502</v>
      </c>
      <c r="B3276" s="2200" t="s">
        <v>17221</v>
      </c>
      <c r="C3276" s="2200" t="s">
        <v>17222</v>
      </c>
      <c r="D3276" s="2200" t="str">
        <f t="shared" si="204"/>
        <v>VT</v>
      </c>
      <c r="E3276" s="2200">
        <f t="shared" si="205"/>
        <v>14</v>
      </c>
      <c r="F3276" s="2200" t="str">
        <f t="shared" si="206"/>
        <v>50</v>
      </c>
      <c r="G3276" s="2200" t="str">
        <f t="shared" si="207"/>
        <v>85525</v>
      </c>
      <c r="H3276" s="2200">
        <f>--SUBTOTAL(3,C$2:C3276)</f>
        <v>99</v>
      </c>
    </row>
    <row r="3277" spans="1:8" hidden="1" x14ac:dyDescent="0.15">
      <c r="A3277" s="2200" t="s">
        <v>11502</v>
      </c>
      <c r="B3277" s="2200" t="s">
        <v>17223</v>
      </c>
      <c r="C3277" s="2200" t="s">
        <v>17224</v>
      </c>
      <c r="D3277" s="2200" t="str">
        <f t="shared" si="204"/>
        <v>VT</v>
      </c>
      <c r="E3277" s="2200">
        <f t="shared" si="205"/>
        <v>14</v>
      </c>
      <c r="F3277" s="2200" t="str">
        <f t="shared" si="206"/>
        <v>50</v>
      </c>
      <c r="G3277" s="2200" t="str">
        <f t="shared" si="207"/>
        <v>85675</v>
      </c>
      <c r="H3277" s="2200">
        <f>--SUBTOTAL(3,C$2:C3277)</f>
        <v>99</v>
      </c>
    </row>
    <row r="3278" spans="1:8" hidden="1" x14ac:dyDescent="0.15">
      <c r="A3278" s="2200" t="s">
        <v>11502</v>
      </c>
      <c r="B3278" s="2200" t="s">
        <v>17225</v>
      </c>
      <c r="C3278" s="2200" t="s">
        <v>17226</v>
      </c>
      <c r="D3278" s="2200" t="str">
        <f t="shared" si="204"/>
        <v>VT</v>
      </c>
      <c r="E3278" s="2200">
        <f t="shared" si="205"/>
        <v>15</v>
      </c>
      <c r="F3278" s="2200" t="str">
        <f t="shared" si="206"/>
        <v>50</v>
      </c>
      <c r="G3278" s="2200" t="str">
        <f t="shared" si="207"/>
        <v>85975</v>
      </c>
      <c r="H3278" s="2200">
        <f>--SUBTOTAL(3,C$2:C3278)</f>
        <v>99</v>
      </c>
    </row>
    <row r="3279" spans="1:8" hidden="1" x14ac:dyDescent="0.15">
      <c r="A3279" s="2200" t="s">
        <v>11443</v>
      </c>
      <c r="B3279" s="2200" t="s">
        <v>17227</v>
      </c>
      <c r="C3279" s="2200" t="s">
        <v>17228</v>
      </c>
      <c r="D3279" s="2200" t="str">
        <f t="shared" si="204"/>
        <v>VT</v>
      </c>
      <c r="E3279" s="2200">
        <f t="shared" si="205"/>
        <v>10</v>
      </c>
      <c r="F3279" s="2200" t="str">
        <f t="shared" si="206"/>
        <v>50</v>
      </c>
      <c r="G3279" s="2200" t="str">
        <f t="shared" si="207"/>
        <v>82980</v>
      </c>
      <c r="H3279" s="2200">
        <f>--SUBTOTAL(3,C$2:C3279)</f>
        <v>99</v>
      </c>
    </row>
    <row r="3280" spans="1:8" hidden="1" x14ac:dyDescent="0.15">
      <c r="A3280" s="2200" t="s">
        <v>11502</v>
      </c>
      <c r="B3280" s="2200" t="s">
        <v>17229</v>
      </c>
      <c r="C3280" s="2200" t="s">
        <v>17230</v>
      </c>
      <c r="D3280" s="2200" t="str">
        <f t="shared" si="204"/>
        <v>VT</v>
      </c>
      <c r="E3280" s="2200">
        <f t="shared" si="205"/>
        <v>15</v>
      </c>
      <c r="F3280" s="2200" t="str">
        <f t="shared" si="206"/>
        <v>50</v>
      </c>
      <c r="G3280" s="2200" t="str">
        <f t="shared" si="207"/>
        <v>86125</v>
      </c>
      <c r="H3280" s="2200">
        <f>--SUBTOTAL(3,C$2:C3280)</f>
        <v>99</v>
      </c>
    </row>
    <row r="3281" spans="1:8" hidden="1" x14ac:dyDescent="0.15">
      <c r="A3281" s="2200" t="s">
        <v>10723</v>
      </c>
      <c r="B3281" s="2200" t="s">
        <v>17231</v>
      </c>
      <c r="C3281" s="2200" t="s">
        <v>17232</v>
      </c>
      <c r="D3281" s="2200" t="str">
        <f t="shared" si="204"/>
        <v>WA</v>
      </c>
      <c r="E3281" s="2200">
        <f t="shared" si="205"/>
        <v>12</v>
      </c>
      <c r="F3281" s="2200" t="str">
        <f t="shared" si="206"/>
        <v>53</v>
      </c>
      <c r="G3281" s="2200" t="str">
        <f t="shared" si="207"/>
        <v>03180</v>
      </c>
      <c r="H3281" s="2200">
        <f>--SUBTOTAL(3,C$2:C3281)</f>
        <v>99</v>
      </c>
    </row>
    <row r="3282" spans="1:8" hidden="1" x14ac:dyDescent="0.15">
      <c r="A3282" s="2200" t="s">
        <v>10723</v>
      </c>
      <c r="B3282" s="2200" t="s">
        <v>17233</v>
      </c>
      <c r="C3282" s="2200" t="s">
        <v>17234</v>
      </c>
      <c r="D3282" s="2200" t="str">
        <f t="shared" si="204"/>
        <v>WA</v>
      </c>
      <c r="E3282" s="2200">
        <f t="shared" si="205"/>
        <v>14</v>
      </c>
      <c r="F3282" s="2200" t="str">
        <f t="shared" si="206"/>
        <v>53</v>
      </c>
      <c r="G3282" s="2200" t="str">
        <f t="shared" si="207"/>
        <v>05210</v>
      </c>
      <c r="H3282" s="2200">
        <f>--SUBTOTAL(3,C$2:C3282)</f>
        <v>99</v>
      </c>
    </row>
    <row r="3283" spans="1:8" hidden="1" x14ac:dyDescent="0.15">
      <c r="A3283" s="2200" t="s">
        <v>10723</v>
      </c>
      <c r="B3283" s="2200" t="s">
        <v>17235</v>
      </c>
      <c r="C3283" s="2200" t="s">
        <v>17236</v>
      </c>
      <c r="D3283" s="2200" t="str">
        <f t="shared" si="204"/>
        <v>WA</v>
      </c>
      <c r="E3283" s="2200">
        <f t="shared" si="205"/>
        <v>16</v>
      </c>
      <c r="F3283" s="2200" t="str">
        <f t="shared" si="206"/>
        <v>53</v>
      </c>
      <c r="G3283" s="2200" t="str">
        <f t="shared" si="207"/>
        <v>05280</v>
      </c>
      <c r="H3283" s="2200">
        <f>--SUBTOTAL(3,C$2:C3283)</f>
        <v>99</v>
      </c>
    </row>
    <row r="3284" spans="1:8" hidden="1" x14ac:dyDescent="0.15">
      <c r="A3284" s="2200" t="s">
        <v>10723</v>
      </c>
      <c r="B3284" s="2200" t="s">
        <v>17237</v>
      </c>
      <c r="C3284" s="2200" t="s">
        <v>17238</v>
      </c>
      <c r="D3284" s="2200" t="str">
        <f t="shared" si="204"/>
        <v>WA</v>
      </c>
      <c r="E3284" s="2200">
        <f t="shared" si="205"/>
        <v>13</v>
      </c>
      <c r="F3284" s="2200" t="str">
        <f t="shared" si="206"/>
        <v>53</v>
      </c>
      <c r="G3284" s="2200" t="str">
        <f t="shared" si="207"/>
        <v>07380</v>
      </c>
      <c r="H3284" s="2200">
        <f>--SUBTOTAL(3,C$2:C3284)</f>
        <v>99</v>
      </c>
    </row>
    <row r="3285" spans="1:8" hidden="1" x14ac:dyDescent="0.15">
      <c r="A3285" s="2200" t="s">
        <v>10723</v>
      </c>
      <c r="B3285" s="2200" t="s">
        <v>17239</v>
      </c>
      <c r="C3285" s="2200" t="s">
        <v>17240</v>
      </c>
      <c r="D3285" s="2200" t="str">
        <f t="shared" si="204"/>
        <v>WA</v>
      </c>
      <c r="E3285" s="2200">
        <f t="shared" si="205"/>
        <v>15</v>
      </c>
      <c r="F3285" s="2200" t="str">
        <f t="shared" si="206"/>
        <v>53</v>
      </c>
      <c r="G3285" s="2200" t="str">
        <f t="shared" si="207"/>
        <v>07695</v>
      </c>
      <c r="H3285" s="2200">
        <f>--SUBTOTAL(3,C$2:C3285)</f>
        <v>99</v>
      </c>
    </row>
    <row r="3286" spans="1:8" hidden="1" x14ac:dyDescent="0.15">
      <c r="A3286" s="2200" t="s">
        <v>10723</v>
      </c>
      <c r="B3286" s="2200" t="s">
        <v>17241</v>
      </c>
      <c r="C3286" s="2200" t="s">
        <v>17242</v>
      </c>
      <c r="D3286" s="2200" t="str">
        <f t="shared" si="204"/>
        <v>WA</v>
      </c>
      <c r="E3286" s="2200">
        <f t="shared" si="205"/>
        <v>12</v>
      </c>
      <c r="F3286" s="2200" t="str">
        <f t="shared" si="206"/>
        <v>53</v>
      </c>
      <c r="G3286" s="2200" t="str">
        <f t="shared" si="207"/>
        <v>08850</v>
      </c>
      <c r="H3286" s="2200">
        <f>--SUBTOTAL(3,C$2:C3286)</f>
        <v>99</v>
      </c>
    </row>
    <row r="3287" spans="1:8" hidden="1" x14ac:dyDescent="0.15">
      <c r="A3287" s="2200" t="s">
        <v>10723</v>
      </c>
      <c r="B3287" s="2200" t="s">
        <v>17243</v>
      </c>
      <c r="C3287" s="2200" t="s">
        <v>17244</v>
      </c>
      <c r="D3287" s="2200" t="str">
        <f t="shared" si="204"/>
        <v>WA</v>
      </c>
      <c r="E3287" s="2200">
        <f t="shared" si="205"/>
        <v>16</v>
      </c>
      <c r="F3287" s="2200" t="str">
        <f t="shared" si="206"/>
        <v>53</v>
      </c>
      <c r="G3287" s="2200" t="str">
        <f t="shared" si="207"/>
        <v>17635</v>
      </c>
      <c r="H3287" s="2200">
        <f>--SUBTOTAL(3,C$2:C3287)</f>
        <v>99</v>
      </c>
    </row>
    <row r="3288" spans="1:8" hidden="1" x14ac:dyDescent="0.15">
      <c r="A3288" s="2200" t="s">
        <v>10723</v>
      </c>
      <c r="B3288" s="2200" t="s">
        <v>17245</v>
      </c>
      <c r="C3288" s="2200" t="s">
        <v>17246</v>
      </c>
      <c r="D3288" s="2200" t="str">
        <f t="shared" si="204"/>
        <v>WA</v>
      </c>
      <c r="E3288" s="2200">
        <f t="shared" si="205"/>
        <v>13</v>
      </c>
      <c r="F3288" s="2200" t="str">
        <f t="shared" si="206"/>
        <v>53</v>
      </c>
      <c r="G3288" s="2200" t="str">
        <f t="shared" si="207"/>
        <v>20750</v>
      </c>
      <c r="H3288" s="2200">
        <f>--SUBTOTAL(3,C$2:C3288)</f>
        <v>99</v>
      </c>
    </row>
    <row r="3289" spans="1:8" hidden="1" x14ac:dyDescent="0.15">
      <c r="A3289" s="2200" t="s">
        <v>10723</v>
      </c>
      <c r="B3289" s="2200" t="s">
        <v>17247</v>
      </c>
      <c r="C3289" s="2200" t="s">
        <v>17248</v>
      </c>
      <c r="D3289" s="2200" t="str">
        <f t="shared" si="204"/>
        <v>WA</v>
      </c>
      <c r="E3289" s="2200">
        <f t="shared" si="205"/>
        <v>13</v>
      </c>
      <c r="F3289" s="2200" t="str">
        <f t="shared" si="206"/>
        <v>53</v>
      </c>
      <c r="G3289" s="2200" t="str">
        <f t="shared" si="207"/>
        <v>22640</v>
      </c>
      <c r="H3289" s="2200">
        <f>--SUBTOTAL(3,C$2:C3289)</f>
        <v>99</v>
      </c>
    </row>
    <row r="3290" spans="1:8" hidden="1" x14ac:dyDescent="0.15">
      <c r="A3290" s="2200" t="s">
        <v>10723</v>
      </c>
      <c r="B3290" s="2200" t="s">
        <v>17249</v>
      </c>
      <c r="C3290" s="2200" t="s">
        <v>17250</v>
      </c>
      <c r="D3290" s="2200" t="str">
        <f t="shared" si="204"/>
        <v>WA</v>
      </c>
      <c r="E3290" s="2200">
        <f t="shared" si="205"/>
        <v>17</v>
      </c>
      <c r="F3290" s="2200" t="str">
        <f t="shared" si="206"/>
        <v>53</v>
      </c>
      <c r="G3290" s="2200" t="str">
        <f t="shared" si="207"/>
        <v>23515</v>
      </c>
      <c r="H3290" s="2200">
        <f>--SUBTOTAL(3,C$2:C3290)</f>
        <v>99</v>
      </c>
    </row>
    <row r="3291" spans="1:8" hidden="1" x14ac:dyDescent="0.15">
      <c r="A3291" s="2200" t="s">
        <v>10723</v>
      </c>
      <c r="B3291" s="2200" t="s">
        <v>17251</v>
      </c>
      <c r="C3291" s="2200" t="s">
        <v>17252</v>
      </c>
      <c r="D3291" s="2200" t="str">
        <f t="shared" si="204"/>
        <v>WA</v>
      </c>
      <c r="E3291" s="2200">
        <f t="shared" si="205"/>
        <v>14</v>
      </c>
      <c r="F3291" s="2200" t="str">
        <f t="shared" si="206"/>
        <v>53</v>
      </c>
      <c r="G3291" s="2200" t="str">
        <f t="shared" si="207"/>
        <v>33805</v>
      </c>
      <c r="H3291" s="2200">
        <f>--SUBTOTAL(3,C$2:C3291)</f>
        <v>99</v>
      </c>
    </row>
    <row r="3292" spans="1:8" hidden="1" x14ac:dyDescent="0.15">
      <c r="A3292" s="2200" t="s">
        <v>10723</v>
      </c>
      <c r="B3292" s="2200" t="s">
        <v>17253</v>
      </c>
      <c r="C3292" s="2200" t="s">
        <v>17254</v>
      </c>
      <c r="D3292" s="2200" t="str">
        <f t="shared" si="204"/>
        <v>WA</v>
      </c>
      <c r="E3292" s="2200">
        <f t="shared" si="205"/>
        <v>15</v>
      </c>
      <c r="F3292" s="2200" t="str">
        <f t="shared" si="206"/>
        <v>53</v>
      </c>
      <c r="G3292" s="2200" t="str">
        <f t="shared" si="207"/>
        <v>35275</v>
      </c>
      <c r="H3292" s="2200">
        <f>--SUBTOTAL(3,C$2:C3292)</f>
        <v>99</v>
      </c>
    </row>
    <row r="3293" spans="1:8" hidden="1" x14ac:dyDescent="0.15">
      <c r="A3293" s="2200" t="s">
        <v>10723</v>
      </c>
      <c r="B3293" s="2200" t="s">
        <v>17255</v>
      </c>
      <c r="C3293" s="2200" t="s">
        <v>17256</v>
      </c>
      <c r="D3293" s="2200" t="str">
        <f t="shared" si="204"/>
        <v>WA</v>
      </c>
      <c r="E3293" s="2200">
        <f t="shared" si="205"/>
        <v>10</v>
      </c>
      <c r="F3293" s="2200" t="str">
        <f t="shared" si="206"/>
        <v>53</v>
      </c>
      <c r="G3293" s="2200" t="str">
        <f t="shared" si="207"/>
        <v>35415</v>
      </c>
      <c r="H3293" s="2200">
        <f>--SUBTOTAL(3,C$2:C3293)</f>
        <v>99</v>
      </c>
    </row>
    <row r="3294" spans="1:8" hidden="1" x14ac:dyDescent="0.15">
      <c r="A3294" s="2200" t="s">
        <v>10723</v>
      </c>
      <c r="B3294" s="2200" t="s">
        <v>17257</v>
      </c>
      <c r="C3294" s="2200" t="s">
        <v>17258</v>
      </c>
      <c r="D3294" s="2200" t="str">
        <f t="shared" si="204"/>
        <v>WA</v>
      </c>
      <c r="E3294" s="2200">
        <f t="shared" si="205"/>
        <v>14</v>
      </c>
      <c r="F3294" s="2200" t="str">
        <f t="shared" si="206"/>
        <v>53</v>
      </c>
      <c r="G3294" s="2200" t="str">
        <f t="shared" si="207"/>
        <v>35940</v>
      </c>
      <c r="H3294" s="2200">
        <f>--SUBTOTAL(3,C$2:C3294)</f>
        <v>99</v>
      </c>
    </row>
    <row r="3295" spans="1:8" hidden="1" x14ac:dyDescent="0.15">
      <c r="A3295" s="2200" t="s">
        <v>10723</v>
      </c>
      <c r="B3295" s="2200" t="s">
        <v>17259</v>
      </c>
      <c r="C3295" s="2200" t="s">
        <v>17260</v>
      </c>
      <c r="D3295" s="2200" t="str">
        <f t="shared" si="204"/>
        <v>WA</v>
      </c>
      <c r="E3295" s="2200">
        <f t="shared" si="205"/>
        <v>11</v>
      </c>
      <c r="F3295" s="2200" t="str">
        <f t="shared" si="206"/>
        <v>53</v>
      </c>
      <c r="G3295" s="2200" t="str">
        <f t="shared" si="207"/>
        <v>36745</v>
      </c>
      <c r="H3295" s="2200">
        <f>--SUBTOTAL(3,C$2:C3295)</f>
        <v>99</v>
      </c>
    </row>
    <row r="3296" spans="1:8" hidden="1" x14ac:dyDescent="0.15">
      <c r="A3296" s="2200" t="s">
        <v>10723</v>
      </c>
      <c r="B3296" s="2200" t="s">
        <v>17261</v>
      </c>
      <c r="C3296" s="2200" t="s">
        <v>17262</v>
      </c>
      <c r="D3296" s="2200" t="str">
        <f t="shared" si="204"/>
        <v>WA</v>
      </c>
      <c r="E3296" s="2200">
        <f t="shared" si="205"/>
        <v>18</v>
      </c>
      <c r="F3296" s="2200" t="str">
        <f t="shared" si="206"/>
        <v>53</v>
      </c>
      <c r="G3296" s="2200" t="str">
        <f t="shared" si="207"/>
        <v>37900</v>
      </c>
      <c r="H3296" s="2200">
        <f>--SUBTOTAL(3,C$2:C3296)</f>
        <v>99</v>
      </c>
    </row>
    <row r="3297" spans="1:8" hidden="1" x14ac:dyDescent="0.15">
      <c r="A3297" s="2200" t="s">
        <v>10723</v>
      </c>
      <c r="B3297" s="2200" t="s">
        <v>17263</v>
      </c>
      <c r="C3297" s="2200" t="s">
        <v>17264</v>
      </c>
      <c r="D3297" s="2200" t="str">
        <f t="shared" si="204"/>
        <v>WA</v>
      </c>
      <c r="E3297" s="2200">
        <f t="shared" si="205"/>
        <v>14</v>
      </c>
      <c r="F3297" s="2200" t="str">
        <f t="shared" si="206"/>
        <v>53</v>
      </c>
      <c r="G3297" s="2200" t="str">
        <f t="shared" si="207"/>
        <v>38038</v>
      </c>
      <c r="H3297" s="2200">
        <f>--SUBTOTAL(3,C$2:C3297)</f>
        <v>99</v>
      </c>
    </row>
    <row r="3298" spans="1:8" hidden="1" x14ac:dyDescent="0.15">
      <c r="A3298" s="2200" t="s">
        <v>10723</v>
      </c>
      <c r="B3298" s="2200" t="s">
        <v>17265</v>
      </c>
      <c r="C3298" s="2200" t="s">
        <v>17266</v>
      </c>
      <c r="D3298" s="2200" t="str">
        <f t="shared" si="204"/>
        <v>WA</v>
      </c>
      <c r="E3298" s="2200">
        <f t="shared" si="205"/>
        <v>14</v>
      </c>
      <c r="F3298" s="2200" t="str">
        <f t="shared" si="206"/>
        <v>53</v>
      </c>
      <c r="G3298" s="2200" t="str">
        <f t="shared" si="207"/>
        <v>40245</v>
      </c>
      <c r="H3298" s="2200">
        <f>--SUBTOTAL(3,C$2:C3298)</f>
        <v>99</v>
      </c>
    </row>
    <row r="3299" spans="1:8" hidden="1" x14ac:dyDescent="0.15">
      <c r="A3299" s="2200" t="s">
        <v>10723</v>
      </c>
      <c r="B3299" s="2200" t="s">
        <v>17267</v>
      </c>
      <c r="C3299" s="2200" t="s">
        <v>17268</v>
      </c>
      <c r="D3299" s="2200" t="str">
        <f t="shared" si="204"/>
        <v>WA</v>
      </c>
      <c r="E3299" s="2200">
        <f t="shared" si="205"/>
        <v>14</v>
      </c>
      <c r="F3299" s="2200" t="str">
        <f t="shared" si="206"/>
        <v>53</v>
      </c>
      <c r="G3299" s="2200" t="str">
        <f t="shared" si="207"/>
        <v>40840</v>
      </c>
      <c r="H3299" s="2200">
        <f>--SUBTOTAL(3,C$2:C3299)</f>
        <v>99</v>
      </c>
    </row>
    <row r="3300" spans="1:8" hidden="1" x14ac:dyDescent="0.15">
      <c r="A3300" s="2200" t="s">
        <v>10723</v>
      </c>
      <c r="B3300" s="2200" t="s">
        <v>17269</v>
      </c>
      <c r="C3300" s="2200" t="s">
        <v>17270</v>
      </c>
      <c r="D3300" s="2200" t="str">
        <f t="shared" si="204"/>
        <v>WA</v>
      </c>
      <c r="E3300" s="2200">
        <f t="shared" si="205"/>
        <v>18</v>
      </c>
      <c r="F3300" s="2200" t="str">
        <f t="shared" si="206"/>
        <v>53</v>
      </c>
      <c r="G3300" s="2200" t="str">
        <f t="shared" si="207"/>
        <v>43150</v>
      </c>
      <c r="H3300" s="2200">
        <f>--SUBTOTAL(3,C$2:C3300)</f>
        <v>99</v>
      </c>
    </row>
    <row r="3301" spans="1:8" hidden="1" x14ac:dyDescent="0.15">
      <c r="A3301" s="2200" t="s">
        <v>10723</v>
      </c>
      <c r="B3301" s="2200" t="s">
        <v>17271</v>
      </c>
      <c r="C3301" s="2200" t="s">
        <v>17272</v>
      </c>
      <c r="D3301" s="2200" t="str">
        <f t="shared" si="204"/>
        <v>WA</v>
      </c>
      <c r="E3301" s="2200">
        <f t="shared" si="205"/>
        <v>16</v>
      </c>
      <c r="F3301" s="2200" t="str">
        <f t="shared" si="206"/>
        <v>53</v>
      </c>
      <c r="G3301" s="2200" t="str">
        <f t="shared" si="207"/>
        <v>43955</v>
      </c>
      <c r="H3301" s="2200">
        <f>--SUBTOTAL(3,C$2:C3301)</f>
        <v>99</v>
      </c>
    </row>
    <row r="3302" spans="1:8" hidden="1" x14ac:dyDescent="0.15">
      <c r="A3302" s="2200" t="s">
        <v>10723</v>
      </c>
      <c r="B3302" s="2200" t="s">
        <v>17273</v>
      </c>
      <c r="C3302" s="2200" t="s">
        <v>17274</v>
      </c>
      <c r="D3302" s="2200" t="str">
        <f t="shared" si="204"/>
        <v>WA</v>
      </c>
      <c r="E3302" s="2200">
        <f t="shared" si="205"/>
        <v>19</v>
      </c>
      <c r="F3302" s="2200" t="str">
        <f t="shared" si="206"/>
        <v>53</v>
      </c>
      <c r="G3302" s="2200" t="str">
        <f t="shared" si="207"/>
        <v>45005</v>
      </c>
      <c r="H3302" s="2200">
        <f>--SUBTOTAL(3,C$2:C3302)</f>
        <v>99</v>
      </c>
    </row>
    <row r="3303" spans="1:8" hidden="1" x14ac:dyDescent="0.15">
      <c r="A3303" s="2200" t="s">
        <v>10723</v>
      </c>
      <c r="B3303" s="2200" t="s">
        <v>17275</v>
      </c>
      <c r="C3303" s="2200" t="s">
        <v>17276</v>
      </c>
      <c r="D3303" s="2200" t="str">
        <f t="shared" si="204"/>
        <v>WA</v>
      </c>
      <c r="E3303" s="2200">
        <f t="shared" si="205"/>
        <v>18</v>
      </c>
      <c r="F3303" s="2200" t="str">
        <f t="shared" si="206"/>
        <v>53</v>
      </c>
      <c r="G3303" s="2200" t="str">
        <f t="shared" si="207"/>
        <v>47560</v>
      </c>
      <c r="H3303" s="2200">
        <f>--SUBTOTAL(3,C$2:C3303)</f>
        <v>99</v>
      </c>
    </row>
    <row r="3304" spans="1:8" hidden="1" x14ac:dyDescent="0.15">
      <c r="A3304" s="2200" t="s">
        <v>10723</v>
      </c>
      <c r="B3304" s="2200" t="s">
        <v>17277</v>
      </c>
      <c r="C3304" s="2200" t="s">
        <v>17278</v>
      </c>
      <c r="D3304" s="2200" t="str">
        <f t="shared" si="204"/>
        <v>WA</v>
      </c>
      <c r="E3304" s="2200">
        <f t="shared" si="205"/>
        <v>13</v>
      </c>
      <c r="F3304" s="2200" t="str">
        <f t="shared" si="206"/>
        <v>53</v>
      </c>
      <c r="G3304" s="2200" t="str">
        <f t="shared" si="207"/>
        <v>51300</v>
      </c>
      <c r="H3304" s="2200">
        <f>--SUBTOTAL(3,C$2:C3304)</f>
        <v>99</v>
      </c>
    </row>
    <row r="3305" spans="1:8" hidden="1" x14ac:dyDescent="0.15">
      <c r="A3305" s="2200" t="s">
        <v>10723</v>
      </c>
      <c r="B3305" s="2200" t="s">
        <v>17279</v>
      </c>
      <c r="C3305" s="2200" t="s">
        <v>17280</v>
      </c>
      <c r="D3305" s="2200" t="str">
        <f t="shared" si="204"/>
        <v>WA</v>
      </c>
      <c r="E3305" s="2200">
        <f t="shared" si="205"/>
        <v>11</v>
      </c>
      <c r="F3305" s="2200" t="str">
        <f t="shared" si="206"/>
        <v>53</v>
      </c>
      <c r="G3305" s="2200" t="str">
        <f t="shared" si="207"/>
        <v>53545</v>
      </c>
      <c r="H3305" s="2200">
        <f>--SUBTOTAL(3,C$2:C3305)</f>
        <v>99</v>
      </c>
    </row>
    <row r="3306" spans="1:8" hidden="1" x14ac:dyDescent="0.15">
      <c r="A3306" s="2200" t="s">
        <v>10723</v>
      </c>
      <c r="B3306" s="2200" t="s">
        <v>17281</v>
      </c>
      <c r="C3306" s="2200" t="s">
        <v>17282</v>
      </c>
      <c r="D3306" s="2200" t="str">
        <f t="shared" si="204"/>
        <v>WA</v>
      </c>
      <c r="E3306" s="2200">
        <f t="shared" si="205"/>
        <v>13</v>
      </c>
      <c r="F3306" s="2200" t="str">
        <f t="shared" si="206"/>
        <v>53</v>
      </c>
      <c r="G3306" s="2200" t="str">
        <f t="shared" si="207"/>
        <v>56625</v>
      </c>
      <c r="H3306" s="2200">
        <f>--SUBTOTAL(3,C$2:C3306)</f>
        <v>99</v>
      </c>
    </row>
    <row r="3307" spans="1:8" hidden="1" x14ac:dyDescent="0.15">
      <c r="A3307" s="2200" t="s">
        <v>10723</v>
      </c>
      <c r="B3307" s="2200" t="s">
        <v>17283</v>
      </c>
      <c r="C3307" s="2200" t="s">
        <v>17284</v>
      </c>
      <c r="D3307" s="2200" t="str">
        <f t="shared" si="204"/>
        <v>WA</v>
      </c>
      <c r="E3307" s="2200">
        <f t="shared" si="205"/>
        <v>14</v>
      </c>
      <c r="F3307" s="2200" t="str">
        <f t="shared" si="206"/>
        <v>53</v>
      </c>
      <c r="G3307" s="2200" t="str">
        <f t="shared" si="207"/>
        <v>56695</v>
      </c>
      <c r="H3307" s="2200">
        <f>--SUBTOTAL(3,C$2:C3307)</f>
        <v>99</v>
      </c>
    </row>
    <row r="3308" spans="1:8" hidden="1" x14ac:dyDescent="0.15">
      <c r="A3308" s="2200" t="s">
        <v>10723</v>
      </c>
      <c r="B3308" s="2200" t="s">
        <v>17285</v>
      </c>
      <c r="C3308" s="2200" t="s">
        <v>17286</v>
      </c>
      <c r="D3308" s="2200" t="str">
        <f t="shared" si="204"/>
        <v>WA</v>
      </c>
      <c r="E3308" s="2200">
        <f t="shared" si="205"/>
        <v>13</v>
      </c>
      <c r="F3308" s="2200" t="str">
        <f t="shared" si="206"/>
        <v>53</v>
      </c>
      <c r="G3308" s="2200" t="str">
        <f t="shared" si="207"/>
        <v>57535</v>
      </c>
      <c r="H3308" s="2200">
        <f>--SUBTOTAL(3,C$2:C3308)</f>
        <v>99</v>
      </c>
    </row>
    <row r="3309" spans="1:8" hidden="1" x14ac:dyDescent="0.15">
      <c r="A3309" s="2200" t="s">
        <v>10723</v>
      </c>
      <c r="B3309" s="2200" t="s">
        <v>17287</v>
      </c>
      <c r="C3309" s="2200" t="s">
        <v>17288</v>
      </c>
      <c r="D3309" s="2200" t="str">
        <f t="shared" si="204"/>
        <v>WA</v>
      </c>
      <c r="E3309" s="2200">
        <f t="shared" si="205"/>
        <v>12</v>
      </c>
      <c r="F3309" s="2200" t="str">
        <f t="shared" si="206"/>
        <v>53</v>
      </c>
      <c r="G3309" s="2200" t="str">
        <f t="shared" si="207"/>
        <v>57745</v>
      </c>
      <c r="H3309" s="2200">
        <f>--SUBTOTAL(3,C$2:C3309)</f>
        <v>99</v>
      </c>
    </row>
    <row r="3310" spans="1:8" hidden="1" x14ac:dyDescent="0.15">
      <c r="A3310" s="2200" t="s">
        <v>10723</v>
      </c>
      <c r="B3310" s="2200" t="s">
        <v>17289</v>
      </c>
      <c r="C3310" s="2200" t="s">
        <v>17290</v>
      </c>
      <c r="D3310" s="2200" t="str">
        <f t="shared" si="204"/>
        <v>WA</v>
      </c>
      <c r="E3310" s="2200">
        <f t="shared" si="205"/>
        <v>14</v>
      </c>
      <c r="F3310" s="2200" t="str">
        <f t="shared" si="206"/>
        <v>53</v>
      </c>
      <c r="G3310" s="2200" t="str">
        <f t="shared" si="207"/>
        <v>58235</v>
      </c>
      <c r="H3310" s="2200">
        <f>--SUBTOTAL(3,C$2:C3310)</f>
        <v>99</v>
      </c>
    </row>
    <row r="3311" spans="1:8" hidden="1" x14ac:dyDescent="0.15">
      <c r="A3311" s="2200" t="s">
        <v>10723</v>
      </c>
      <c r="B3311" s="2200" t="s">
        <v>17291</v>
      </c>
      <c r="C3311" s="2200" t="s">
        <v>17292</v>
      </c>
      <c r="D3311" s="2200" t="str">
        <f t="shared" si="204"/>
        <v>WA</v>
      </c>
      <c r="E3311" s="2200">
        <f t="shared" si="205"/>
        <v>15</v>
      </c>
      <c r="F3311" s="2200" t="str">
        <f t="shared" si="206"/>
        <v>53</v>
      </c>
      <c r="G3311" s="2200" t="str">
        <f t="shared" si="207"/>
        <v>61115</v>
      </c>
      <c r="H3311" s="2200">
        <f>--SUBTOTAL(3,C$2:C3311)</f>
        <v>99</v>
      </c>
    </row>
    <row r="3312" spans="1:8" hidden="1" x14ac:dyDescent="0.15">
      <c r="A3312" s="2200" t="s">
        <v>10723</v>
      </c>
      <c r="B3312" s="2200" t="s">
        <v>17293</v>
      </c>
      <c r="C3312" s="2200" t="s">
        <v>17294</v>
      </c>
      <c r="D3312" s="2200" t="str">
        <f t="shared" si="204"/>
        <v>WA</v>
      </c>
      <c r="E3312" s="2200">
        <f t="shared" si="205"/>
        <v>12</v>
      </c>
      <c r="F3312" s="2200" t="str">
        <f t="shared" si="206"/>
        <v>53</v>
      </c>
      <c r="G3312" s="2200" t="str">
        <f t="shared" si="207"/>
        <v>62288</v>
      </c>
      <c r="H3312" s="2200">
        <f>--SUBTOTAL(3,C$2:C3312)</f>
        <v>99</v>
      </c>
    </row>
    <row r="3313" spans="1:8" hidden="1" x14ac:dyDescent="0.15">
      <c r="A3313" s="2200" t="s">
        <v>10723</v>
      </c>
      <c r="B3313" s="2200" t="s">
        <v>17295</v>
      </c>
      <c r="C3313" s="2200" t="s">
        <v>17296</v>
      </c>
      <c r="D3313" s="2200" t="str">
        <f t="shared" si="204"/>
        <v>WA</v>
      </c>
      <c r="E3313" s="2200">
        <f t="shared" si="205"/>
        <v>13</v>
      </c>
      <c r="F3313" s="2200" t="str">
        <f t="shared" si="206"/>
        <v>53</v>
      </c>
      <c r="G3313" s="2200" t="str">
        <f t="shared" si="207"/>
        <v>63000</v>
      </c>
      <c r="H3313" s="2200">
        <f>--SUBTOTAL(3,C$2:C3313)</f>
        <v>99</v>
      </c>
    </row>
    <row r="3314" spans="1:8" hidden="1" x14ac:dyDescent="0.15">
      <c r="A3314" s="2200" t="s">
        <v>10723</v>
      </c>
      <c r="B3314" s="2200" t="s">
        <v>17297</v>
      </c>
      <c r="C3314" s="2200" t="s">
        <v>17298</v>
      </c>
      <c r="D3314" s="2200" t="str">
        <f t="shared" si="204"/>
        <v>WA</v>
      </c>
      <c r="E3314" s="2200">
        <f t="shared" si="205"/>
        <v>15</v>
      </c>
      <c r="F3314" s="2200" t="str">
        <f t="shared" si="206"/>
        <v>53</v>
      </c>
      <c r="G3314" s="2200" t="str">
        <f t="shared" si="207"/>
        <v>63960</v>
      </c>
      <c r="H3314" s="2200">
        <f>--SUBTOTAL(3,C$2:C3314)</f>
        <v>99</v>
      </c>
    </row>
    <row r="3315" spans="1:8" hidden="1" x14ac:dyDescent="0.15">
      <c r="A3315" s="2200" t="s">
        <v>10723</v>
      </c>
      <c r="B3315" s="2200" t="s">
        <v>17299</v>
      </c>
      <c r="C3315" s="2200" t="s">
        <v>17300</v>
      </c>
      <c r="D3315" s="2200" t="str">
        <f t="shared" si="204"/>
        <v>WA</v>
      </c>
      <c r="E3315" s="2200">
        <f t="shared" si="205"/>
        <v>13</v>
      </c>
      <c r="F3315" s="2200" t="str">
        <f t="shared" si="206"/>
        <v>53</v>
      </c>
      <c r="G3315" s="2200" t="str">
        <f t="shared" si="207"/>
        <v>67000</v>
      </c>
      <c r="H3315" s="2200">
        <f>--SUBTOTAL(3,C$2:C3315)</f>
        <v>99</v>
      </c>
    </row>
    <row r="3316" spans="1:8" hidden="1" x14ac:dyDescent="0.15">
      <c r="A3316" s="2200" t="s">
        <v>10723</v>
      </c>
      <c r="B3316" s="2200" t="s">
        <v>17301</v>
      </c>
      <c r="C3316" s="2200" t="s">
        <v>17302</v>
      </c>
      <c r="D3316" s="2200" t="str">
        <f t="shared" si="204"/>
        <v>WA</v>
      </c>
      <c r="E3316" s="2200">
        <f t="shared" si="205"/>
        <v>20</v>
      </c>
      <c r="F3316" s="2200" t="str">
        <f t="shared" si="206"/>
        <v>53</v>
      </c>
      <c r="G3316" s="2200" t="str">
        <f t="shared" si="207"/>
        <v>67167</v>
      </c>
      <c r="H3316" s="2200">
        <f>--SUBTOTAL(3,C$2:C3316)</f>
        <v>99</v>
      </c>
    </row>
    <row r="3317" spans="1:8" hidden="1" x14ac:dyDescent="0.15">
      <c r="A3317" s="2200" t="s">
        <v>10723</v>
      </c>
      <c r="B3317" s="2200" t="s">
        <v>17303</v>
      </c>
      <c r="C3317" s="2200" t="s">
        <v>17304</v>
      </c>
      <c r="D3317" s="2200" t="str">
        <f t="shared" si="204"/>
        <v>WA</v>
      </c>
      <c r="E3317" s="2200">
        <f t="shared" si="205"/>
        <v>12</v>
      </c>
      <c r="F3317" s="2200" t="str">
        <f t="shared" si="206"/>
        <v>53</v>
      </c>
      <c r="G3317" s="2200" t="str">
        <f t="shared" si="207"/>
        <v>70000</v>
      </c>
      <c r="H3317" s="2200">
        <f>--SUBTOTAL(3,C$2:C3317)</f>
        <v>99</v>
      </c>
    </row>
    <row r="3318" spans="1:8" hidden="1" x14ac:dyDescent="0.15">
      <c r="A3318" s="2200" t="s">
        <v>10723</v>
      </c>
      <c r="B3318" s="2200" t="s">
        <v>17305</v>
      </c>
      <c r="C3318" s="2200" t="s">
        <v>17306</v>
      </c>
      <c r="D3318" s="2200" t="str">
        <f t="shared" si="204"/>
        <v>WA</v>
      </c>
      <c r="E3318" s="2200">
        <f t="shared" si="205"/>
        <v>22</v>
      </c>
      <c r="F3318" s="2200" t="str">
        <f t="shared" si="206"/>
        <v>53</v>
      </c>
      <c r="G3318" s="2200" t="str">
        <f t="shared" si="207"/>
        <v>73465</v>
      </c>
      <c r="H3318" s="2200">
        <f>--SUBTOTAL(3,C$2:C3318)</f>
        <v>99</v>
      </c>
    </row>
    <row r="3319" spans="1:8" hidden="1" x14ac:dyDescent="0.15">
      <c r="A3319" s="2200" t="s">
        <v>10723</v>
      </c>
      <c r="B3319" s="2200" t="s">
        <v>17307</v>
      </c>
      <c r="C3319" s="2200" t="s">
        <v>17308</v>
      </c>
      <c r="D3319" s="2200" t="str">
        <f t="shared" si="204"/>
        <v>WA</v>
      </c>
      <c r="E3319" s="2200">
        <f t="shared" si="205"/>
        <v>15</v>
      </c>
      <c r="F3319" s="2200" t="str">
        <f t="shared" si="206"/>
        <v>53</v>
      </c>
      <c r="G3319" s="2200" t="str">
        <f t="shared" si="207"/>
        <v>74060</v>
      </c>
      <c r="H3319" s="2200">
        <f>--SUBTOTAL(3,C$2:C3319)</f>
        <v>99</v>
      </c>
    </row>
    <row r="3320" spans="1:8" hidden="1" x14ac:dyDescent="0.15">
      <c r="A3320" s="2200" t="s">
        <v>10723</v>
      </c>
      <c r="B3320" s="2200" t="s">
        <v>17309</v>
      </c>
      <c r="C3320" s="2200" t="s">
        <v>17310</v>
      </c>
      <c r="D3320" s="2200" t="str">
        <f t="shared" si="204"/>
        <v>WA</v>
      </c>
      <c r="E3320" s="2200">
        <f t="shared" si="205"/>
        <v>17</v>
      </c>
      <c r="F3320" s="2200" t="str">
        <f t="shared" si="206"/>
        <v>53</v>
      </c>
      <c r="G3320" s="2200" t="str">
        <f t="shared" si="207"/>
        <v>75775</v>
      </c>
      <c r="H3320" s="2200">
        <f>--SUBTOTAL(3,C$2:C3320)</f>
        <v>99</v>
      </c>
    </row>
    <row r="3321" spans="1:8" hidden="1" x14ac:dyDescent="0.15">
      <c r="A3321" s="2200" t="s">
        <v>10723</v>
      </c>
      <c r="B3321" s="2200" t="s">
        <v>17311</v>
      </c>
      <c r="C3321" s="2200" t="s">
        <v>17312</v>
      </c>
      <c r="D3321" s="2200" t="str">
        <f t="shared" si="204"/>
        <v>WA</v>
      </c>
      <c r="E3321" s="2200">
        <f t="shared" si="205"/>
        <v>15</v>
      </c>
      <c r="F3321" s="2200" t="str">
        <f t="shared" si="206"/>
        <v>53</v>
      </c>
      <c r="G3321" s="2200" t="str">
        <f t="shared" si="207"/>
        <v>77105</v>
      </c>
      <c r="H3321" s="2200">
        <f>--SUBTOTAL(3,C$2:C3321)</f>
        <v>99</v>
      </c>
    </row>
    <row r="3322" spans="1:8" hidden="1" x14ac:dyDescent="0.15">
      <c r="A3322" s="2200" t="s">
        <v>10723</v>
      </c>
      <c r="B3322" s="2200" t="s">
        <v>17313</v>
      </c>
      <c r="C3322" s="2200" t="s">
        <v>17314</v>
      </c>
      <c r="D3322" s="2200" t="str">
        <f t="shared" si="204"/>
        <v>WA</v>
      </c>
      <c r="E3322" s="2200">
        <f t="shared" si="205"/>
        <v>12</v>
      </c>
      <c r="F3322" s="2200" t="str">
        <f t="shared" si="206"/>
        <v>53</v>
      </c>
      <c r="G3322" s="2200" t="str">
        <f t="shared" si="207"/>
        <v>80010</v>
      </c>
      <c r="H3322" s="2200">
        <f>--SUBTOTAL(3,C$2:C3322)</f>
        <v>99</v>
      </c>
    </row>
    <row r="3323" spans="1:8" hidden="1" x14ac:dyDescent="0.15">
      <c r="A3323" s="2200" t="s">
        <v>10723</v>
      </c>
      <c r="B3323" s="2200" t="s">
        <v>17315</v>
      </c>
      <c r="C3323" s="2200" t="s">
        <v>17316</v>
      </c>
      <c r="D3323" s="2200" t="str">
        <f t="shared" si="204"/>
        <v>WI</v>
      </c>
      <c r="E3323" s="2200">
        <f t="shared" si="205"/>
        <v>14</v>
      </c>
      <c r="F3323" s="2200" t="str">
        <f t="shared" si="206"/>
        <v>55</v>
      </c>
      <c r="G3323" s="2200" t="str">
        <f t="shared" si="207"/>
        <v>02375</v>
      </c>
      <c r="H3323" s="2200">
        <f>--SUBTOTAL(3,C$2:C3323)</f>
        <v>99</v>
      </c>
    </row>
    <row r="3324" spans="1:8" hidden="1" x14ac:dyDescent="0.15">
      <c r="A3324" s="2200" t="s">
        <v>11443</v>
      </c>
      <c r="B3324" s="2200" t="s">
        <v>17317</v>
      </c>
      <c r="C3324" s="2200" t="s">
        <v>17318</v>
      </c>
      <c r="D3324" s="2200" t="str">
        <f t="shared" si="204"/>
        <v>WI</v>
      </c>
      <c r="E3324" s="2200">
        <f t="shared" si="205"/>
        <v>17</v>
      </c>
      <c r="F3324" s="2200" t="str">
        <f t="shared" si="206"/>
        <v>55</v>
      </c>
      <c r="G3324" s="2200" t="str">
        <f t="shared" si="207"/>
        <v>80220</v>
      </c>
      <c r="H3324" s="2200">
        <f>--SUBTOTAL(3,C$2:C3324)</f>
        <v>99</v>
      </c>
    </row>
    <row r="3325" spans="1:8" hidden="1" x14ac:dyDescent="0.15">
      <c r="A3325" s="2200" t="s">
        <v>10723</v>
      </c>
      <c r="B3325" s="2200" t="s">
        <v>17319</v>
      </c>
      <c r="C3325" s="2200" t="s">
        <v>17320</v>
      </c>
      <c r="D3325" s="2200" t="str">
        <f t="shared" si="204"/>
        <v>WI</v>
      </c>
      <c r="E3325" s="2200">
        <f t="shared" si="205"/>
        <v>12</v>
      </c>
      <c r="F3325" s="2200" t="str">
        <f t="shared" si="206"/>
        <v>55</v>
      </c>
      <c r="G3325" s="2200" t="str">
        <f t="shared" si="207"/>
        <v>06500</v>
      </c>
      <c r="H3325" s="2200">
        <f>--SUBTOTAL(3,C$2:C3325)</f>
        <v>99</v>
      </c>
    </row>
    <row r="3326" spans="1:8" hidden="1" x14ac:dyDescent="0.15">
      <c r="A3326" s="2200" t="s">
        <v>10723</v>
      </c>
      <c r="B3326" s="2200" t="s">
        <v>17321</v>
      </c>
      <c r="C3326" s="2200" t="s">
        <v>17322</v>
      </c>
      <c r="D3326" s="2200" t="str">
        <f t="shared" si="204"/>
        <v>WI</v>
      </c>
      <c r="E3326" s="2200">
        <f t="shared" si="205"/>
        <v>16</v>
      </c>
      <c r="F3326" s="2200" t="str">
        <f t="shared" si="206"/>
        <v>55</v>
      </c>
      <c r="G3326" s="2200" t="str">
        <f t="shared" si="207"/>
        <v>10025</v>
      </c>
      <c r="H3326" s="2200">
        <f>--SUBTOTAL(3,C$2:C3326)</f>
        <v>99</v>
      </c>
    </row>
    <row r="3327" spans="1:8" hidden="1" x14ac:dyDescent="0.15">
      <c r="A3327" s="2200" t="s">
        <v>10723</v>
      </c>
      <c r="B3327" s="2200" t="s">
        <v>17323</v>
      </c>
      <c r="C3327" s="2200" t="s">
        <v>17324</v>
      </c>
      <c r="D3327" s="2200" t="str">
        <f t="shared" si="204"/>
        <v>WI</v>
      </c>
      <c r="E3327" s="2200">
        <f t="shared" si="205"/>
        <v>18</v>
      </c>
      <c r="F3327" s="2200" t="str">
        <f t="shared" si="206"/>
        <v>55</v>
      </c>
      <c r="G3327" s="2200" t="str">
        <f t="shared" si="207"/>
        <v>11950</v>
      </c>
      <c r="H3327" s="2200">
        <f>--SUBTOTAL(3,C$2:C3327)</f>
        <v>99</v>
      </c>
    </row>
    <row r="3328" spans="1:8" hidden="1" x14ac:dyDescent="0.15">
      <c r="A3328" s="2200" t="s">
        <v>10723</v>
      </c>
      <c r="B3328" s="2200" t="s">
        <v>17325</v>
      </c>
      <c r="C3328" s="2200" t="s">
        <v>17326</v>
      </c>
      <c r="D3328" s="2200" t="str">
        <f t="shared" si="204"/>
        <v>WI</v>
      </c>
      <c r="E3328" s="2200">
        <f t="shared" si="205"/>
        <v>13</v>
      </c>
      <c r="F3328" s="2200" t="str">
        <f t="shared" si="206"/>
        <v>55</v>
      </c>
      <c r="G3328" s="2200" t="str">
        <f t="shared" si="207"/>
        <v>19775</v>
      </c>
      <c r="H3328" s="2200">
        <f>--SUBTOTAL(3,C$2:C3328)</f>
        <v>99</v>
      </c>
    </row>
    <row r="3329" spans="1:8" hidden="1" x14ac:dyDescent="0.15">
      <c r="A3329" s="2200" t="s">
        <v>10723</v>
      </c>
      <c r="B3329" s="2200" t="s">
        <v>17327</v>
      </c>
      <c r="C3329" s="2200" t="s">
        <v>17328</v>
      </c>
      <c r="D3329" s="2200" t="str">
        <f t="shared" si="204"/>
        <v>WI</v>
      </c>
      <c r="E3329" s="2200">
        <f t="shared" si="205"/>
        <v>16</v>
      </c>
      <c r="F3329" s="2200" t="str">
        <f t="shared" si="206"/>
        <v>55</v>
      </c>
      <c r="G3329" s="2200" t="str">
        <f t="shared" si="207"/>
        <v>22300</v>
      </c>
      <c r="H3329" s="2200">
        <f>--SUBTOTAL(3,C$2:C3329)</f>
        <v>99</v>
      </c>
    </row>
    <row r="3330" spans="1:8" hidden="1" x14ac:dyDescent="0.15">
      <c r="A3330" s="2200" t="s">
        <v>10723</v>
      </c>
      <c r="B3330" s="2200" t="s">
        <v>17329</v>
      </c>
      <c r="C3330" s="2200" t="s">
        <v>17330</v>
      </c>
      <c r="D3330" s="2200" t="str">
        <f t="shared" ref="D3330:D3367" si="208">MID(C3330,E3330+2,2)</f>
        <v>WI</v>
      </c>
      <c r="E3330" s="2200">
        <f t="shared" ref="E3330:E3367" si="209">FIND(",",C3330)</f>
        <v>15</v>
      </c>
      <c r="F3330" s="2200" t="str">
        <f t="shared" si="206"/>
        <v>55</v>
      </c>
      <c r="G3330" s="2200" t="str">
        <f t="shared" si="207"/>
        <v>25950</v>
      </c>
      <c r="H3330" s="2200">
        <f>--SUBTOTAL(3,C$2:C3330)</f>
        <v>99</v>
      </c>
    </row>
    <row r="3331" spans="1:8" hidden="1" x14ac:dyDescent="0.15">
      <c r="A3331" s="2200" t="s">
        <v>10723</v>
      </c>
      <c r="B3331" s="2200" t="s">
        <v>17331</v>
      </c>
      <c r="C3331" s="2200" t="s">
        <v>17332</v>
      </c>
      <c r="D3331" s="2200" t="str">
        <f t="shared" si="208"/>
        <v>WI</v>
      </c>
      <c r="E3331" s="2200">
        <f t="shared" si="209"/>
        <v>17</v>
      </c>
      <c r="F3331" s="2200" t="str">
        <f t="shared" ref="F3331:F3367" si="210">MID(B3331,3,2)</f>
        <v>55</v>
      </c>
      <c r="G3331" s="2200" t="str">
        <f t="shared" ref="G3331:G3367" si="211">MID(B3331,5,5)</f>
        <v>26275</v>
      </c>
      <c r="H3331" s="2200">
        <f>--SUBTOTAL(3,C$2:C3331)</f>
        <v>99</v>
      </c>
    </row>
    <row r="3332" spans="1:8" hidden="1" x14ac:dyDescent="0.15">
      <c r="A3332" s="2200" t="s">
        <v>10723</v>
      </c>
      <c r="B3332" s="2200" t="s">
        <v>17333</v>
      </c>
      <c r="C3332" s="2200" t="s">
        <v>17334</v>
      </c>
      <c r="D3332" s="2200" t="str">
        <f t="shared" si="208"/>
        <v>WI</v>
      </c>
      <c r="E3332" s="2200">
        <f t="shared" si="209"/>
        <v>14</v>
      </c>
      <c r="F3332" s="2200" t="str">
        <f t="shared" si="210"/>
        <v>55</v>
      </c>
      <c r="G3332" s="2200" t="str">
        <f t="shared" si="211"/>
        <v>27300</v>
      </c>
      <c r="H3332" s="2200">
        <f>--SUBTOTAL(3,C$2:C3332)</f>
        <v>99</v>
      </c>
    </row>
    <row r="3333" spans="1:8" hidden="1" x14ac:dyDescent="0.15">
      <c r="A3333" s="2200" t="s">
        <v>11443</v>
      </c>
      <c r="B3333" s="2200" t="s">
        <v>17335</v>
      </c>
      <c r="C3333" s="2200" t="s">
        <v>17336</v>
      </c>
      <c r="D3333" s="2200" t="str">
        <f t="shared" si="208"/>
        <v>MI</v>
      </c>
      <c r="E3333" s="2200">
        <f t="shared" si="209"/>
        <v>13</v>
      </c>
      <c r="F3333" s="2200" t="str">
        <f t="shared" si="210"/>
        <v>26</v>
      </c>
      <c r="G3333" s="2200" t="str">
        <f t="shared" si="211"/>
        <v>81060</v>
      </c>
      <c r="H3333" s="2200">
        <f>--SUBTOTAL(3,C$2:C3333)</f>
        <v>99</v>
      </c>
    </row>
    <row r="3334" spans="1:8" hidden="1" x14ac:dyDescent="0.15">
      <c r="A3334" s="2200" t="s">
        <v>10723</v>
      </c>
      <c r="B3334" s="2200" t="s">
        <v>17337</v>
      </c>
      <c r="C3334" s="2200" t="s">
        <v>17338</v>
      </c>
      <c r="D3334" s="2200" t="str">
        <f t="shared" si="208"/>
        <v>WI</v>
      </c>
      <c r="E3334" s="2200">
        <f t="shared" si="209"/>
        <v>15</v>
      </c>
      <c r="F3334" s="2200" t="str">
        <f t="shared" si="210"/>
        <v>55</v>
      </c>
      <c r="G3334" s="2200" t="str">
        <f t="shared" si="211"/>
        <v>31000</v>
      </c>
      <c r="H3334" s="2200">
        <f>--SUBTOTAL(3,C$2:C3334)</f>
        <v>99</v>
      </c>
    </row>
    <row r="3335" spans="1:8" hidden="1" x14ac:dyDescent="0.15">
      <c r="A3335" s="2200" t="s">
        <v>10723</v>
      </c>
      <c r="B3335" s="2200" t="s">
        <v>17339</v>
      </c>
      <c r="C3335" s="2200" t="s">
        <v>17340</v>
      </c>
      <c r="D3335" s="2200" t="str">
        <f t="shared" si="208"/>
        <v>WI</v>
      </c>
      <c r="E3335" s="2200">
        <f t="shared" si="209"/>
        <v>16</v>
      </c>
      <c r="F3335" s="2200" t="str">
        <f t="shared" si="210"/>
        <v>55</v>
      </c>
      <c r="G3335" s="2200" t="str">
        <f t="shared" si="211"/>
        <v>31175</v>
      </c>
      <c r="H3335" s="2200">
        <f>--SUBTOTAL(3,C$2:C3335)</f>
        <v>99</v>
      </c>
    </row>
    <row r="3336" spans="1:8" hidden="1" x14ac:dyDescent="0.15">
      <c r="A3336" s="2200" t="s">
        <v>10723</v>
      </c>
      <c r="B3336" s="2200" t="s">
        <v>17341</v>
      </c>
      <c r="C3336" s="2200" t="s">
        <v>17342</v>
      </c>
      <c r="D3336" s="2200" t="str">
        <f t="shared" si="208"/>
        <v>WI</v>
      </c>
      <c r="E3336" s="2200">
        <f t="shared" si="209"/>
        <v>16</v>
      </c>
      <c r="F3336" s="2200" t="str">
        <f t="shared" si="210"/>
        <v>55</v>
      </c>
      <c r="G3336" s="2200" t="str">
        <f t="shared" si="211"/>
        <v>37825</v>
      </c>
      <c r="H3336" s="2200">
        <f>--SUBTOTAL(3,C$2:C3336)</f>
        <v>99</v>
      </c>
    </row>
    <row r="3337" spans="1:8" hidden="1" x14ac:dyDescent="0.15">
      <c r="A3337" s="2200" t="s">
        <v>10723</v>
      </c>
      <c r="B3337" s="2200" t="s">
        <v>17343</v>
      </c>
      <c r="C3337" s="2200" t="s">
        <v>17344</v>
      </c>
      <c r="D3337" s="2200" t="str">
        <f t="shared" si="208"/>
        <v>WI</v>
      </c>
      <c r="E3337" s="2200">
        <f t="shared" si="209"/>
        <v>13</v>
      </c>
      <c r="F3337" s="2200" t="str">
        <f t="shared" si="210"/>
        <v>55</v>
      </c>
      <c r="G3337" s="2200" t="str">
        <f t="shared" si="211"/>
        <v>39225</v>
      </c>
      <c r="H3337" s="2200">
        <f>--SUBTOTAL(3,C$2:C3337)</f>
        <v>99</v>
      </c>
    </row>
    <row r="3338" spans="1:8" hidden="1" x14ac:dyDescent="0.15">
      <c r="A3338" s="2200" t="s">
        <v>10723</v>
      </c>
      <c r="B3338" s="2200" t="s">
        <v>17345</v>
      </c>
      <c r="C3338" s="2200" t="s">
        <v>17346</v>
      </c>
      <c r="D3338" s="2200" t="str">
        <f t="shared" si="208"/>
        <v>WI</v>
      </c>
      <c r="E3338" s="2200">
        <f t="shared" si="209"/>
        <v>15</v>
      </c>
      <c r="F3338" s="2200" t="str">
        <f t="shared" si="210"/>
        <v>55</v>
      </c>
      <c r="G3338" s="2200" t="str">
        <f t="shared" si="211"/>
        <v>40775</v>
      </c>
      <c r="H3338" s="2200">
        <f>--SUBTOTAL(3,C$2:C3338)</f>
        <v>99</v>
      </c>
    </row>
    <row r="3339" spans="1:8" hidden="1" x14ac:dyDescent="0.15">
      <c r="A3339" s="2200" t="s">
        <v>10723</v>
      </c>
      <c r="B3339" s="2200" t="s">
        <v>17347</v>
      </c>
      <c r="C3339" s="2200" t="s">
        <v>17348</v>
      </c>
      <c r="D3339" s="2200" t="str">
        <f t="shared" si="208"/>
        <v>WI</v>
      </c>
      <c r="E3339" s="2200">
        <f t="shared" si="209"/>
        <v>13</v>
      </c>
      <c r="F3339" s="2200" t="str">
        <f t="shared" si="210"/>
        <v>55</v>
      </c>
      <c r="G3339" s="2200" t="str">
        <f t="shared" si="211"/>
        <v>48000</v>
      </c>
      <c r="H3339" s="2200">
        <f>--SUBTOTAL(3,C$2:C3339)</f>
        <v>99</v>
      </c>
    </row>
    <row r="3340" spans="1:8" hidden="1" x14ac:dyDescent="0.15">
      <c r="A3340" s="2200" t="s">
        <v>10723</v>
      </c>
      <c r="B3340" s="2200" t="s">
        <v>17349</v>
      </c>
      <c r="C3340" s="2200" t="s">
        <v>17350</v>
      </c>
      <c r="D3340" s="2200" t="str">
        <f t="shared" si="208"/>
        <v>WI</v>
      </c>
      <c r="E3340" s="2200">
        <f t="shared" si="209"/>
        <v>15</v>
      </c>
      <c r="F3340" s="2200" t="str">
        <f t="shared" si="210"/>
        <v>55</v>
      </c>
      <c r="G3340" s="2200" t="str">
        <f t="shared" si="211"/>
        <v>48500</v>
      </c>
      <c r="H3340" s="2200">
        <f>--SUBTOTAL(3,C$2:C3340)</f>
        <v>99</v>
      </c>
    </row>
    <row r="3341" spans="1:8" hidden="1" x14ac:dyDescent="0.15">
      <c r="A3341" s="2200" t="s">
        <v>10723</v>
      </c>
      <c r="B3341" s="2200" t="s">
        <v>17351</v>
      </c>
      <c r="C3341" s="2200" t="s">
        <v>17352</v>
      </c>
      <c r="D3341" s="2200" t="str">
        <f t="shared" si="208"/>
        <v>WI</v>
      </c>
      <c r="E3341" s="2200">
        <f t="shared" si="209"/>
        <v>24</v>
      </c>
      <c r="F3341" s="2200" t="str">
        <f t="shared" si="210"/>
        <v>55</v>
      </c>
      <c r="G3341" s="2200" t="str">
        <f t="shared" si="211"/>
        <v>51000</v>
      </c>
      <c r="H3341" s="2200">
        <f>--SUBTOTAL(3,C$2:C3341)</f>
        <v>99</v>
      </c>
    </row>
    <row r="3342" spans="1:8" hidden="1" x14ac:dyDescent="0.15">
      <c r="A3342" s="2200" t="s">
        <v>10723</v>
      </c>
      <c r="B3342" s="2200" t="s">
        <v>17353</v>
      </c>
      <c r="C3342" s="2200" t="s">
        <v>17354</v>
      </c>
      <c r="D3342" s="2200" t="str">
        <f t="shared" si="208"/>
        <v>WI</v>
      </c>
      <c r="E3342" s="2200">
        <f t="shared" si="209"/>
        <v>15</v>
      </c>
      <c r="F3342" s="2200" t="str">
        <f t="shared" si="210"/>
        <v>55</v>
      </c>
      <c r="G3342" s="2200" t="str">
        <f t="shared" si="211"/>
        <v>53000</v>
      </c>
      <c r="H3342" s="2200">
        <f>--SUBTOTAL(3,C$2:C3342)</f>
        <v>99</v>
      </c>
    </row>
    <row r="3343" spans="1:8" hidden="1" x14ac:dyDescent="0.15">
      <c r="A3343" s="2200" t="s">
        <v>10723</v>
      </c>
      <c r="B3343" s="2200" t="s">
        <v>17355</v>
      </c>
      <c r="C3343" s="2200" t="s">
        <v>17356</v>
      </c>
      <c r="D3343" s="2200" t="str">
        <f t="shared" si="208"/>
        <v>WI</v>
      </c>
      <c r="E3343" s="2200">
        <f t="shared" si="209"/>
        <v>23</v>
      </c>
      <c r="F3343" s="2200" t="str">
        <f t="shared" si="210"/>
        <v>55</v>
      </c>
      <c r="G3343" s="2200" t="str">
        <f t="shared" si="211"/>
        <v>54875</v>
      </c>
      <c r="H3343" s="2200">
        <f>--SUBTOTAL(3,C$2:C3343)</f>
        <v>99</v>
      </c>
    </row>
    <row r="3344" spans="1:8" hidden="1" x14ac:dyDescent="0.15">
      <c r="A3344" s="2200" t="s">
        <v>10723</v>
      </c>
      <c r="B3344" s="2200" t="s">
        <v>17357</v>
      </c>
      <c r="C3344" s="2200" t="s">
        <v>17358</v>
      </c>
      <c r="D3344" s="2200" t="str">
        <f t="shared" si="208"/>
        <v>WI</v>
      </c>
      <c r="E3344" s="2200">
        <f t="shared" si="209"/>
        <v>13</v>
      </c>
      <c r="F3344" s="2200" t="str">
        <f t="shared" si="210"/>
        <v>55</v>
      </c>
      <c r="G3344" s="2200" t="str">
        <f t="shared" si="211"/>
        <v>55275</v>
      </c>
      <c r="H3344" s="2200">
        <f>--SUBTOTAL(3,C$2:C3344)</f>
        <v>99</v>
      </c>
    </row>
    <row r="3345" spans="1:8" hidden="1" x14ac:dyDescent="0.15">
      <c r="A3345" s="2200" t="s">
        <v>10723</v>
      </c>
      <c r="B3345" s="2200" t="s">
        <v>17359</v>
      </c>
      <c r="C3345" s="2200" t="s">
        <v>17360</v>
      </c>
      <c r="D3345" s="2200" t="str">
        <f t="shared" si="208"/>
        <v>WI</v>
      </c>
      <c r="E3345" s="2200">
        <f t="shared" si="209"/>
        <v>12</v>
      </c>
      <c r="F3345" s="2200" t="str">
        <f t="shared" si="210"/>
        <v>55</v>
      </c>
      <c r="G3345" s="2200" t="str">
        <f t="shared" si="211"/>
        <v>55750</v>
      </c>
      <c r="H3345" s="2200">
        <f>--SUBTOTAL(3,C$2:C3345)</f>
        <v>99</v>
      </c>
    </row>
    <row r="3346" spans="1:8" hidden="1" x14ac:dyDescent="0.15">
      <c r="A3346" s="2200" t="s">
        <v>10723</v>
      </c>
      <c r="B3346" s="2200" t="s">
        <v>17361</v>
      </c>
      <c r="C3346" s="2200" t="s">
        <v>17362</v>
      </c>
      <c r="D3346" s="2200" t="str">
        <f t="shared" si="208"/>
        <v>WI</v>
      </c>
      <c r="E3346" s="2200">
        <f t="shared" si="209"/>
        <v>16</v>
      </c>
      <c r="F3346" s="2200" t="str">
        <f t="shared" si="210"/>
        <v>55</v>
      </c>
      <c r="G3346" s="2200" t="str">
        <f t="shared" si="211"/>
        <v>56375</v>
      </c>
      <c r="H3346" s="2200">
        <f>--SUBTOTAL(3,C$2:C3346)</f>
        <v>99</v>
      </c>
    </row>
    <row r="3347" spans="1:8" hidden="1" x14ac:dyDescent="0.15">
      <c r="A3347" s="2200" t="s">
        <v>10723</v>
      </c>
      <c r="B3347" s="2200" t="s">
        <v>17363</v>
      </c>
      <c r="C3347" s="2200" t="s">
        <v>17364</v>
      </c>
      <c r="D3347" s="2200" t="str">
        <f t="shared" si="208"/>
        <v>WI</v>
      </c>
      <c r="E3347" s="2200">
        <f t="shared" si="209"/>
        <v>15</v>
      </c>
      <c r="F3347" s="2200" t="str">
        <f t="shared" si="210"/>
        <v>55</v>
      </c>
      <c r="G3347" s="2200" t="str">
        <f t="shared" si="211"/>
        <v>58800</v>
      </c>
      <c r="H3347" s="2200">
        <f>--SUBTOTAL(3,C$2:C3347)</f>
        <v>99</v>
      </c>
    </row>
    <row r="3348" spans="1:8" hidden="1" x14ac:dyDescent="0.15">
      <c r="A3348" s="2200" t="s">
        <v>10723</v>
      </c>
      <c r="B3348" s="2200" t="s">
        <v>17365</v>
      </c>
      <c r="C3348" s="2200" t="s">
        <v>17366</v>
      </c>
      <c r="D3348" s="2200" t="str">
        <f t="shared" si="208"/>
        <v>WI</v>
      </c>
      <c r="E3348" s="2200">
        <f t="shared" si="209"/>
        <v>13</v>
      </c>
      <c r="F3348" s="2200" t="str">
        <f t="shared" si="210"/>
        <v>55</v>
      </c>
      <c r="G3348" s="2200" t="str">
        <f t="shared" si="211"/>
        <v>60500</v>
      </c>
      <c r="H3348" s="2200">
        <f>--SUBTOTAL(3,C$2:C3348)</f>
        <v>99</v>
      </c>
    </row>
    <row r="3349" spans="1:8" hidden="1" x14ac:dyDescent="0.15">
      <c r="A3349" s="2200" t="s">
        <v>10723</v>
      </c>
      <c r="B3349" s="2200" t="s">
        <v>17367</v>
      </c>
      <c r="C3349" s="2200" t="s">
        <v>17368</v>
      </c>
      <c r="D3349" s="2200" t="str">
        <f t="shared" si="208"/>
        <v>WI</v>
      </c>
      <c r="E3349" s="2200">
        <f t="shared" si="209"/>
        <v>12</v>
      </c>
      <c r="F3349" s="2200" t="str">
        <f t="shared" si="210"/>
        <v>55</v>
      </c>
      <c r="G3349" s="2200" t="str">
        <f t="shared" si="211"/>
        <v>66000</v>
      </c>
      <c r="H3349" s="2200">
        <f>--SUBTOTAL(3,C$2:C3349)</f>
        <v>99</v>
      </c>
    </row>
    <row r="3350" spans="1:8" hidden="1" x14ac:dyDescent="0.15">
      <c r="A3350" s="2200" t="s">
        <v>10723</v>
      </c>
      <c r="B3350" s="2200" t="s">
        <v>17369</v>
      </c>
      <c r="C3350" s="2200" t="s">
        <v>17370</v>
      </c>
      <c r="D3350" s="2200" t="str">
        <f t="shared" si="208"/>
        <v>WI</v>
      </c>
      <c r="E3350" s="2200">
        <f t="shared" si="209"/>
        <v>15</v>
      </c>
      <c r="F3350" s="2200" t="str">
        <f t="shared" si="210"/>
        <v>55</v>
      </c>
      <c r="G3350" s="2200" t="str">
        <f t="shared" si="211"/>
        <v>72975</v>
      </c>
      <c r="H3350" s="2200">
        <f>--SUBTOTAL(3,C$2:C3350)</f>
        <v>99</v>
      </c>
    </row>
    <row r="3351" spans="1:8" hidden="1" x14ac:dyDescent="0.15">
      <c r="A3351" s="2200" t="s">
        <v>10723</v>
      </c>
      <c r="B3351" s="2200" t="s">
        <v>17371</v>
      </c>
      <c r="C3351" s="2200" t="s">
        <v>17372</v>
      </c>
      <c r="D3351" s="2200" t="str">
        <f t="shared" si="208"/>
        <v>WI</v>
      </c>
      <c r="E3351" s="2200">
        <f t="shared" si="209"/>
        <v>19</v>
      </c>
      <c r="F3351" s="2200" t="str">
        <f t="shared" si="210"/>
        <v>55</v>
      </c>
      <c r="G3351" s="2200" t="str">
        <f t="shared" si="211"/>
        <v>77200</v>
      </c>
      <c r="H3351" s="2200">
        <f>--SUBTOTAL(3,C$2:C3351)</f>
        <v>99</v>
      </c>
    </row>
    <row r="3352" spans="1:8" hidden="1" x14ac:dyDescent="0.15">
      <c r="A3352" s="2200" t="s">
        <v>10723</v>
      </c>
      <c r="B3352" s="2200" t="s">
        <v>17373</v>
      </c>
      <c r="C3352" s="2200" t="s">
        <v>17374</v>
      </c>
      <c r="D3352" s="2200" t="str">
        <f t="shared" si="208"/>
        <v>WI</v>
      </c>
      <c r="E3352" s="2200">
        <f t="shared" si="209"/>
        <v>17</v>
      </c>
      <c r="F3352" s="2200" t="str">
        <f t="shared" si="210"/>
        <v>55</v>
      </c>
      <c r="G3352" s="2200" t="str">
        <f t="shared" si="211"/>
        <v>78600</v>
      </c>
      <c r="H3352" s="2200">
        <f>--SUBTOTAL(3,C$2:C3352)</f>
        <v>99</v>
      </c>
    </row>
    <row r="3353" spans="1:8" hidden="1" x14ac:dyDescent="0.15">
      <c r="A3353" s="2200" t="s">
        <v>10723</v>
      </c>
      <c r="B3353" s="2200" t="s">
        <v>17375</v>
      </c>
      <c r="C3353" s="2200" t="s">
        <v>17376</v>
      </c>
      <c r="D3353" s="2200" t="str">
        <f t="shared" si="208"/>
        <v>WI</v>
      </c>
      <c r="E3353" s="2200">
        <f t="shared" si="209"/>
        <v>14</v>
      </c>
      <c r="F3353" s="2200" t="str">
        <f t="shared" si="210"/>
        <v>55</v>
      </c>
      <c r="G3353" s="2200" t="str">
        <f t="shared" si="211"/>
        <v>78650</v>
      </c>
      <c r="H3353" s="2200">
        <f>--SUBTOTAL(3,C$2:C3353)</f>
        <v>99</v>
      </c>
    </row>
    <row r="3354" spans="1:8" hidden="1" x14ac:dyDescent="0.15">
      <c r="A3354" s="2200" t="s">
        <v>10723</v>
      </c>
      <c r="B3354" s="2200" t="s">
        <v>17377</v>
      </c>
      <c r="C3354" s="2200" t="s">
        <v>17378</v>
      </c>
      <c r="D3354" s="2200" t="str">
        <f t="shared" si="208"/>
        <v>WI</v>
      </c>
      <c r="E3354" s="2200">
        <f t="shared" si="209"/>
        <v>14</v>
      </c>
      <c r="F3354" s="2200" t="str">
        <f t="shared" si="210"/>
        <v>55</v>
      </c>
      <c r="G3354" s="2200" t="str">
        <f t="shared" si="211"/>
        <v>84250</v>
      </c>
      <c r="H3354" s="2200">
        <f>--SUBTOTAL(3,C$2:C3354)</f>
        <v>99</v>
      </c>
    </row>
    <row r="3355" spans="1:8" hidden="1" x14ac:dyDescent="0.15">
      <c r="A3355" s="2200" t="s">
        <v>10723</v>
      </c>
      <c r="B3355" s="2200" t="s">
        <v>17379</v>
      </c>
      <c r="C3355" s="2200" t="s">
        <v>17380</v>
      </c>
      <c r="D3355" s="2200" t="str">
        <f t="shared" si="208"/>
        <v>WI</v>
      </c>
      <c r="E3355" s="2200">
        <f t="shared" si="209"/>
        <v>12</v>
      </c>
      <c r="F3355" s="2200" t="str">
        <f t="shared" si="210"/>
        <v>55</v>
      </c>
      <c r="G3355" s="2200" t="str">
        <f t="shared" si="211"/>
        <v>84475</v>
      </c>
      <c r="H3355" s="2200">
        <f>--SUBTOTAL(3,C$2:C3355)</f>
        <v>99</v>
      </c>
    </row>
    <row r="3356" spans="1:8" hidden="1" x14ac:dyDescent="0.15">
      <c r="A3356" s="2200" t="s">
        <v>10723</v>
      </c>
      <c r="B3356" s="2200" t="s">
        <v>17381</v>
      </c>
      <c r="C3356" s="2200" t="s">
        <v>17382</v>
      </c>
      <c r="D3356" s="2200" t="str">
        <f t="shared" si="208"/>
        <v>WI</v>
      </c>
      <c r="E3356" s="2200">
        <f t="shared" si="209"/>
        <v>15</v>
      </c>
      <c r="F3356" s="2200" t="str">
        <f t="shared" si="210"/>
        <v>55</v>
      </c>
      <c r="G3356" s="2200" t="str">
        <f t="shared" si="211"/>
        <v>84675</v>
      </c>
      <c r="H3356" s="2200">
        <f>--SUBTOTAL(3,C$2:C3356)</f>
        <v>99</v>
      </c>
    </row>
    <row r="3357" spans="1:8" hidden="1" x14ac:dyDescent="0.15">
      <c r="A3357" s="2200" t="s">
        <v>10723</v>
      </c>
      <c r="B3357" s="2200" t="s">
        <v>17383</v>
      </c>
      <c r="C3357" s="2200" t="s">
        <v>17384</v>
      </c>
      <c r="D3357" s="2200" t="str">
        <f t="shared" si="208"/>
        <v>WI</v>
      </c>
      <c r="E3357" s="2200">
        <f t="shared" si="209"/>
        <v>16</v>
      </c>
      <c r="F3357" s="2200" t="str">
        <f t="shared" si="210"/>
        <v>55</v>
      </c>
      <c r="G3357" s="2200" t="str">
        <f t="shared" si="211"/>
        <v>85300</v>
      </c>
      <c r="H3357" s="2200">
        <f>--SUBTOTAL(3,C$2:C3357)</f>
        <v>99</v>
      </c>
    </row>
    <row r="3358" spans="1:8" hidden="1" x14ac:dyDescent="0.15">
      <c r="A3358" s="2200" t="s">
        <v>10723</v>
      </c>
      <c r="B3358" s="2200" t="s">
        <v>17385</v>
      </c>
      <c r="C3358" s="2200" t="s">
        <v>17386</v>
      </c>
      <c r="D3358" s="2200" t="str">
        <f t="shared" si="208"/>
        <v>WI</v>
      </c>
      <c r="E3358" s="2200">
        <f t="shared" si="209"/>
        <v>15</v>
      </c>
      <c r="F3358" s="2200" t="str">
        <f t="shared" si="210"/>
        <v>55</v>
      </c>
      <c r="G3358" s="2200" t="str">
        <f t="shared" si="211"/>
        <v>85350</v>
      </c>
      <c r="H3358" s="2200">
        <f>--SUBTOTAL(3,C$2:C3358)</f>
        <v>99</v>
      </c>
    </row>
    <row r="3359" spans="1:8" hidden="1" x14ac:dyDescent="0.15">
      <c r="A3359" s="2200" t="s">
        <v>10723</v>
      </c>
      <c r="B3359" s="2200" t="s">
        <v>17387</v>
      </c>
      <c r="C3359" s="2200" t="s">
        <v>17388</v>
      </c>
      <c r="D3359" s="2200" t="str">
        <f t="shared" si="208"/>
        <v>WV</v>
      </c>
      <c r="E3359" s="2200">
        <f t="shared" si="209"/>
        <v>16</v>
      </c>
      <c r="F3359" s="2200" t="str">
        <f t="shared" si="210"/>
        <v>54</v>
      </c>
      <c r="G3359" s="2200" t="str">
        <f t="shared" si="211"/>
        <v>14600</v>
      </c>
      <c r="H3359" s="2200">
        <f>--SUBTOTAL(3,C$2:C3359)</f>
        <v>99</v>
      </c>
    </row>
    <row r="3360" spans="1:8" hidden="1" x14ac:dyDescent="0.15">
      <c r="A3360" s="2200" t="s">
        <v>10723</v>
      </c>
      <c r="B3360" s="2200" t="s">
        <v>17389</v>
      </c>
      <c r="C3360" s="2200" t="s">
        <v>17390</v>
      </c>
      <c r="D3360" s="2200" t="str">
        <f t="shared" si="208"/>
        <v>WV</v>
      </c>
      <c r="E3360" s="2200">
        <f t="shared" si="209"/>
        <v>16</v>
      </c>
      <c r="F3360" s="2200" t="str">
        <f t="shared" si="210"/>
        <v>54</v>
      </c>
      <c r="G3360" s="2200" t="str">
        <f t="shared" si="211"/>
        <v>39460</v>
      </c>
      <c r="H3360" s="2200">
        <f>--SUBTOTAL(3,C$2:C3360)</f>
        <v>99</v>
      </c>
    </row>
    <row r="3361" spans="1:8" hidden="1" x14ac:dyDescent="0.15">
      <c r="A3361" s="2200" t="s">
        <v>10723</v>
      </c>
      <c r="B3361" s="2200" t="s">
        <v>17391</v>
      </c>
      <c r="C3361" s="2200" t="s">
        <v>17392</v>
      </c>
      <c r="D3361" s="2200" t="str">
        <f t="shared" si="208"/>
        <v>WV</v>
      </c>
      <c r="E3361" s="2200">
        <f t="shared" si="209"/>
        <v>16</v>
      </c>
      <c r="F3361" s="2200" t="str">
        <f t="shared" si="210"/>
        <v>54</v>
      </c>
      <c r="G3361" s="2200" t="str">
        <f t="shared" si="211"/>
        <v>55756</v>
      </c>
      <c r="H3361" s="2200">
        <f>--SUBTOTAL(3,C$2:C3361)</f>
        <v>99</v>
      </c>
    </row>
    <row r="3362" spans="1:8" hidden="1" x14ac:dyDescent="0.15">
      <c r="A3362" s="2200" t="s">
        <v>10723</v>
      </c>
      <c r="B3362" s="2200" t="s">
        <v>17393</v>
      </c>
      <c r="C3362" s="2200" t="s">
        <v>17394</v>
      </c>
      <c r="D3362" s="2200" t="str">
        <f t="shared" si="208"/>
        <v>WV</v>
      </c>
      <c r="E3362" s="2200">
        <f t="shared" si="209"/>
        <v>17</v>
      </c>
      <c r="F3362" s="2200" t="str">
        <f t="shared" si="210"/>
        <v>54</v>
      </c>
      <c r="G3362" s="2200" t="str">
        <f t="shared" si="211"/>
        <v>62140</v>
      </c>
      <c r="H3362" s="2200">
        <f>--SUBTOTAL(3,C$2:C3362)</f>
        <v>99</v>
      </c>
    </row>
    <row r="3363" spans="1:8" hidden="1" x14ac:dyDescent="0.15">
      <c r="A3363" s="2200" t="s">
        <v>10723</v>
      </c>
      <c r="B3363" s="2200" t="s">
        <v>17395</v>
      </c>
      <c r="C3363" s="2200" t="s">
        <v>17396</v>
      </c>
      <c r="D3363" s="2200" t="str">
        <f t="shared" si="208"/>
        <v>WV</v>
      </c>
      <c r="E3363" s="2200">
        <f t="shared" si="209"/>
        <v>14</v>
      </c>
      <c r="F3363" s="2200" t="str">
        <f t="shared" si="210"/>
        <v>54</v>
      </c>
      <c r="G3363" s="2200" t="str">
        <f t="shared" si="211"/>
        <v>86452</v>
      </c>
      <c r="H3363" s="2200">
        <f>--SUBTOTAL(3,C$2:C3363)</f>
        <v>99</v>
      </c>
    </row>
    <row r="3364" spans="1:8" hidden="1" x14ac:dyDescent="0.15">
      <c r="A3364" s="2200" t="s">
        <v>10723</v>
      </c>
      <c r="B3364" s="2200" t="s">
        <v>17397</v>
      </c>
      <c r="C3364" s="2200" t="s">
        <v>17398</v>
      </c>
      <c r="D3364" s="2200" t="str">
        <f t="shared" si="208"/>
        <v>WY</v>
      </c>
      <c r="E3364" s="2200">
        <f t="shared" si="209"/>
        <v>12</v>
      </c>
      <c r="F3364" s="2200" t="str">
        <f t="shared" si="210"/>
        <v>56</v>
      </c>
      <c r="G3364" s="2200" t="str">
        <f t="shared" si="211"/>
        <v>13150</v>
      </c>
      <c r="H3364" s="2200">
        <f>--SUBTOTAL(3,C$2:C3364)</f>
        <v>99</v>
      </c>
    </row>
    <row r="3365" spans="1:8" hidden="1" x14ac:dyDescent="0.15">
      <c r="A3365" s="2200" t="s">
        <v>10723</v>
      </c>
      <c r="B3365" s="2200" t="s">
        <v>17399</v>
      </c>
      <c r="C3365" s="2200" t="s">
        <v>17400</v>
      </c>
      <c r="D3365" s="2200" t="str">
        <f t="shared" si="208"/>
        <v>WY</v>
      </c>
      <c r="E3365" s="2200">
        <f t="shared" si="209"/>
        <v>14</v>
      </c>
      <c r="F3365" s="2200" t="str">
        <f t="shared" si="210"/>
        <v>56</v>
      </c>
      <c r="G3365" s="2200" t="str">
        <f t="shared" si="211"/>
        <v>13900</v>
      </c>
      <c r="H3365" s="2200">
        <f>--SUBTOTAL(3,C$2:C3365)</f>
        <v>99</v>
      </c>
    </row>
    <row r="3366" spans="1:8" hidden="1" x14ac:dyDescent="0.15">
      <c r="A3366" s="2200" t="s">
        <v>10723</v>
      </c>
      <c r="B3366" s="2200" t="s">
        <v>17401</v>
      </c>
      <c r="C3366" s="2200" t="s">
        <v>17402</v>
      </c>
      <c r="D3366" s="2200" t="str">
        <f t="shared" si="208"/>
        <v>WY</v>
      </c>
      <c r="E3366" s="2200">
        <f t="shared" si="209"/>
        <v>14</v>
      </c>
      <c r="F3366" s="2200" t="str">
        <f t="shared" si="210"/>
        <v>56</v>
      </c>
      <c r="G3366" s="2200" t="str">
        <f t="shared" si="211"/>
        <v>31855</v>
      </c>
      <c r="H3366" s="2200">
        <f>--SUBTOTAL(3,C$2:C3366)</f>
        <v>99</v>
      </c>
    </row>
    <row r="3367" spans="1:8" hidden="1" x14ac:dyDescent="0.15">
      <c r="A3367" s="2200" t="s">
        <v>10723</v>
      </c>
      <c r="B3367" s="2200" t="s">
        <v>17403</v>
      </c>
      <c r="C3367" s="2200" t="s">
        <v>17404</v>
      </c>
      <c r="D3367" s="2200" t="str">
        <f t="shared" si="208"/>
        <v>WY</v>
      </c>
      <c r="E3367" s="2200">
        <f t="shared" si="209"/>
        <v>13</v>
      </c>
      <c r="F3367" s="2200" t="str">
        <f t="shared" si="210"/>
        <v>56</v>
      </c>
      <c r="G3367" s="2200" t="str">
        <f t="shared" si="211"/>
        <v>45050</v>
      </c>
      <c r="H3367" s="2200">
        <f>--SUBTOTAL(3,C$2:C3367)</f>
        <v>99</v>
      </c>
    </row>
    <row r="3372" spans="1:8" x14ac:dyDescent="0.15">
      <c r="B3372" s="2200">
        <f>MAX(BLS_TableTown[List_No])</f>
        <v>99</v>
      </c>
      <c r="C3372" s="2200" t="s">
        <v>1451</v>
      </c>
    </row>
    <row r="3375" spans="1:8" x14ac:dyDescent="0.15">
      <c r="B3375" s="2200" t="s">
        <v>1877</v>
      </c>
      <c r="C3375" s="2200" t="s">
        <v>1872</v>
      </c>
    </row>
    <row r="3376" spans="1:8" x14ac:dyDescent="0.15">
      <c r="B3376" s="2200">
        <v>1</v>
      </c>
      <c r="C3376" s="2200" t="str">
        <f>IFERROR(INDEX(BLS_TableTown[area_text], MATCH(B3376,BLS_TableTown[List_No],0)),"")</f>
        <v>Altamonte Springs city, FL</v>
      </c>
    </row>
    <row r="3377" spans="2:3" x14ac:dyDescent="0.15">
      <c r="B3377" s="2200">
        <v>2</v>
      </c>
      <c r="C3377" s="2200" t="str">
        <f>IFERROR(INDEX(BLS_TableTown[area_text], MATCH(B3377,BLS_TableTown[List_No],0)),"")</f>
        <v>Apopka city, FL</v>
      </c>
    </row>
    <row r="3378" spans="2:3" x14ac:dyDescent="0.15">
      <c r="B3378" s="2200">
        <v>3</v>
      </c>
      <c r="C3378" s="2200" t="str">
        <f>IFERROR(INDEX(BLS_TableTown[area_text], MATCH(B3378,BLS_TableTown[List_No],0)),"")</f>
        <v>Aventura city, FL</v>
      </c>
    </row>
    <row r="3379" spans="2:3" x14ac:dyDescent="0.15">
      <c r="B3379" s="2200">
        <v>4</v>
      </c>
      <c r="C3379" s="2200" t="str">
        <f>IFERROR(INDEX(BLS_TableTown[area_text], MATCH(B3379,BLS_TableTown[List_No],0)),"")</f>
        <v>Boca Raton city, FL</v>
      </c>
    </row>
    <row r="3380" spans="2:3" x14ac:dyDescent="0.15">
      <c r="B3380" s="2200">
        <v>5</v>
      </c>
      <c r="C3380" s="2200" t="str">
        <f>IFERROR(INDEX(BLS_TableTown[area_text], MATCH(B3380,BLS_TableTown[List_No],0)),"")</f>
        <v>Bonita Springs city, FL</v>
      </c>
    </row>
    <row r="3381" spans="2:3" x14ac:dyDescent="0.15">
      <c r="B3381" s="2200">
        <v>6</v>
      </c>
      <c r="C3381" s="2200" t="str">
        <f>IFERROR(INDEX(BLS_TableTown[area_text], MATCH(B3381,BLS_TableTown[List_No],0)),"")</f>
        <v>Boynton Beach city, FL</v>
      </c>
    </row>
    <row r="3382" spans="2:3" x14ac:dyDescent="0.15">
      <c r="B3382" s="2200">
        <v>7</v>
      </c>
      <c r="C3382" s="2200" t="str">
        <f>IFERROR(INDEX(BLS_TableTown[area_text], MATCH(B3382,BLS_TableTown[List_No],0)),"")</f>
        <v>Bradenton city, FL</v>
      </c>
    </row>
    <row r="3383" spans="2:3" x14ac:dyDescent="0.15">
      <c r="B3383" s="2200">
        <v>8</v>
      </c>
      <c r="C3383" s="2200" t="str">
        <f>IFERROR(INDEX(BLS_TableTown[area_text], MATCH(B3383,BLS_TableTown[List_No],0)),"")</f>
        <v>Cape Coral city, FL</v>
      </c>
    </row>
    <row r="3384" spans="2:3" x14ac:dyDescent="0.15">
      <c r="B3384" s="2200">
        <v>9</v>
      </c>
      <c r="C3384" s="2200" t="str">
        <f>IFERROR(INDEX(BLS_TableTown[area_text], MATCH(B3384,BLS_TableTown[List_No],0)),"")</f>
        <v>Casselberry city, FL</v>
      </c>
    </row>
    <row r="3385" spans="2:3" x14ac:dyDescent="0.15">
      <c r="B3385" s="2200">
        <v>10</v>
      </c>
      <c r="C3385" s="2200" t="str">
        <f>IFERROR(INDEX(BLS_TableTown[area_text], MATCH(B3385,BLS_TableTown[List_No],0)),"")</f>
        <v>Clearwater city, FL</v>
      </c>
    </row>
    <row r="3386" spans="2:3" x14ac:dyDescent="0.15">
      <c r="B3386" s="2200">
        <v>11</v>
      </c>
      <c r="C3386" s="2200" t="str">
        <f>IFERROR(INDEX(BLS_TableTown[area_text], MATCH(B3386,BLS_TableTown[List_No],0)),"")</f>
        <v>Clermont city, FL</v>
      </c>
    </row>
    <row r="3387" spans="2:3" x14ac:dyDescent="0.15">
      <c r="B3387" s="2200">
        <v>12</v>
      </c>
      <c r="C3387" s="2200" t="str">
        <f>IFERROR(INDEX(BLS_TableTown[area_text], MATCH(B3387,BLS_TableTown[List_No],0)),"")</f>
        <v>Coconut Creek city, FL</v>
      </c>
    </row>
    <row r="3388" spans="2:3" x14ac:dyDescent="0.15">
      <c r="B3388" s="2200">
        <v>13</v>
      </c>
      <c r="C3388" s="2200" t="str">
        <f>IFERROR(INDEX(BLS_TableTown[area_text], MATCH(B3388,BLS_TableTown[List_No],0)),"")</f>
        <v>Cooper City city, FL</v>
      </c>
    </row>
    <row r="3389" spans="2:3" x14ac:dyDescent="0.15">
      <c r="B3389" s="2200">
        <v>14</v>
      </c>
      <c r="C3389" s="2200" t="str">
        <f>IFERROR(INDEX(BLS_TableTown[area_text], MATCH(B3389,BLS_TableTown[List_No],0)),"")</f>
        <v>Coral Gables city, FL</v>
      </c>
    </row>
    <row r="3390" spans="2:3" x14ac:dyDescent="0.15">
      <c r="B3390" s="2200">
        <v>15</v>
      </c>
      <c r="C3390" s="2200" t="str">
        <f>IFERROR(INDEX(BLS_TableTown[area_text], MATCH(B3390,BLS_TableTown[List_No],0)),"")</f>
        <v>Coral Springs city, FL</v>
      </c>
    </row>
    <row r="3391" spans="2:3" x14ac:dyDescent="0.15">
      <c r="B3391" s="2200">
        <v>16</v>
      </c>
      <c r="C3391" s="2200" t="str">
        <f>IFERROR(INDEX(BLS_TableTown[area_text], MATCH(B3391,BLS_TableTown[List_No],0)),"")</f>
        <v>Cutler Bay town, FL</v>
      </c>
    </row>
    <row r="3392" spans="2:3" x14ac:dyDescent="0.15">
      <c r="B3392" s="2200">
        <v>17</v>
      </c>
      <c r="C3392" s="2200" t="str">
        <f>IFERROR(INDEX(BLS_TableTown[area_text], MATCH(B3392,BLS_TableTown[List_No],0)),"")</f>
        <v>Dania Beach city, FL</v>
      </c>
    </row>
    <row r="3393" spans="2:3" x14ac:dyDescent="0.15">
      <c r="B3393" s="2200">
        <v>18</v>
      </c>
      <c r="C3393" s="2200" t="str">
        <f>IFERROR(INDEX(BLS_TableTown[area_text], MATCH(B3393,BLS_TableTown[List_No],0)),"")</f>
        <v>Davie town, FL</v>
      </c>
    </row>
    <row r="3394" spans="2:3" x14ac:dyDescent="0.15">
      <c r="B3394" s="2200">
        <v>19</v>
      </c>
      <c r="C3394" s="2200" t="str">
        <f>IFERROR(INDEX(BLS_TableTown[area_text], MATCH(B3394,BLS_TableTown[List_No],0)),"")</f>
        <v>Daytona Beach city, FL</v>
      </c>
    </row>
    <row r="3395" spans="2:3" x14ac:dyDescent="0.15">
      <c r="B3395" s="2200">
        <v>20</v>
      </c>
      <c r="C3395" s="2200" t="str">
        <f>IFERROR(INDEX(BLS_TableTown[area_text], MATCH(B3395,BLS_TableTown[List_No],0)),"")</f>
        <v>Deerfield Beach city, FL</v>
      </c>
    </row>
    <row r="3396" spans="2:3" x14ac:dyDescent="0.15">
      <c r="B3396" s="2200">
        <v>21</v>
      </c>
      <c r="C3396" s="2200" t="str">
        <f>IFERROR(INDEX(BLS_TableTown[area_text], MATCH(B3396,BLS_TableTown[List_No],0)),"")</f>
        <v>DeLand city, FL</v>
      </c>
    </row>
    <row r="3397" spans="2:3" x14ac:dyDescent="0.15">
      <c r="B3397" s="2200">
        <v>22</v>
      </c>
      <c r="C3397" s="2200" t="str">
        <f>IFERROR(INDEX(BLS_TableTown[area_text], MATCH(B3397,BLS_TableTown[List_No],0)),"")</f>
        <v>Delray Beach city, FL</v>
      </c>
    </row>
    <row r="3398" spans="2:3" x14ac:dyDescent="0.15">
      <c r="B3398" s="2200">
        <v>23</v>
      </c>
      <c r="C3398" s="2200" t="str">
        <f>IFERROR(INDEX(BLS_TableTown[area_text], MATCH(B3398,BLS_TableTown[List_No],0)),"")</f>
        <v>Deltona city, FL</v>
      </c>
    </row>
    <row r="3399" spans="2:3" x14ac:dyDescent="0.15">
      <c r="B3399" s="2200">
        <v>24</v>
      </c>
      <c r="C3399" s="2200" t="str">
        <f>IFERROR(INDEX(BLS_TableTown[area_text], MATCH(B3399,BLS_TableTown[List_No],0)),"")</f>
        <v>Doral city, FL</v>
      </c>
    </row>
    <row r="3400" spans="2:3" x14ac:dyDescent="0.15">
      <c r="B3400" s="2200">
        <v>25</v>
      </c>
      <c r="C3400" s="2200" t="str">
        <f>IFERROR(INDEX(BLS_TableTown[area_text], MATCH(B3400,BLS_TableTown[List_No],0)),"")</f>
        <v>Dunedin city, FL</v>
      </c>
    </row>
    <row r="3401" spans="2:3" x14ac:dyDescent="0.15">
      <c r="B3401" s="2200">
        <v>26</v>
      </c>
      <c r="C3401" s="2200" t="str">
        <f>IFERROR(INDEX(BLS_TableTown[area_text], MATCH(B3401,BLS_TableTown[List_No],0)),"")</f>
        <v>Estero village, FL</v>
      </c>
    </row>
    <row r="3402" spans="2:3" x14ac:dyDescent="0.15">
      <c r="B3402" s="2200">
        <v>27</v>
      </c>
      <c r="C3402" s="2200" t="str">
        <f>IFERROR(INDEX(BLS_TableTown[area_text], MATCH(B3402,BLS_TableTown[List_No],0)),"")</f>
        <v>Fort Lauderdale city, FL</v>
      </c>
    </row>
    <row r="3403" spans="2:3" x14ac:dyDescent="0.15">
      <c r="B3403" s="2200">
        <v>28</v>
      </c>
      <c r="C3403" s="2200" t="str">
        <f>IFERROR(INDEX(BLS_TableTown[area_text], MATCH(B3403,BLS_TableTown[List_No],0)),"")</f>
        <v>Fort Myers city, FL</v>
      </c>
    </row>
    <row r="3404" spans="2:3" x14ac:dyDescent="0.15">
      <c r="B3404" s="2200">
        <v>29</v>
      </c>
      <c r="C3404" s="2200" t="str">
        <f>IFERROR(INDEX(BLS_TableTown[area_text], MATCH(B3404,BLS_TableTown[List_No],0)),"")</f>
        <v>Fort Pierce city, FL</v>
      </c>
    </row>
    <row r="3405" spans="2:3" x14ac:dyDescent="0.15">
      <c r="B3405" s="2200">
        <v>30</v>
      </c>
      <c r="C3405" s="2200" t="str">
        <f>IFERROR(INDEX(BLS_TableTown[area_text], MATCH(B3405,BLS_TableTown[List_No],0)),"")</f>
        <v>Gainesville city, FL</v>
      </c>
    </row>
    <row r="3406" spans="2:3" x14ac:dyDescent="0.15">
      <c r="B3406" s="2200">
        <v>31</v>
      </c>
      <c r="C3406" s="2200" t="str">
        <f>IFERROR(INDEX(BLS_TableTown[area_text], MATCH(B3406,BLS_TableTown[List_No],0)),"")</f>
        <v>Greenacres city, FL</v>
      </c>
    </row>
    <row r="3407" spans="2:3" x14ac:dyDescent="0.15">
      <c r="B3407" s="2200">
        <v>32</v>
      </c>
      <c r="C3407" s="2200" t="str">
        <f>IFERROR(INDEX(BLS_TableTown[area_text], MATCH(B3407,BLS_TableTown[List_No],0)),"")</f>
        <v>Haines City city, FL</v>
      </c>
    </row>
    <row r="3408" spans="2:3" x14ac:dyDescent="0.15">
      <c r="B3408" s="2200">
        <v>33</v>
      </c>
      <c r="C3408" s="2200" t="str">
        <f>IFERROR(INDEX(BLS_TableTown[area_text], MATCH(B3408,BLS_TableTown[List_No],0)),"")</f>
        <v>Hallandale Beach city, FL</v>
      </c>
    </row>
    <row r="3409" spans="2:3" x14ac:dyDescent="0.15">
      <c r="B3409" s="2200">
        <v>34</v>
      </c>
      <c r="C3409" s="2200" t="str">
        <f>IFERROR(INDEX(BLS_TableTown[area_text], MATCH(B3409,BLS_TableTown[List_No],0)),"")</f>
        <v>Hialeah city, FL</v>
      </c>
    </row>
    <row r="3410" spans="2:3" x14ac:dyDescent="0.15">
      <c r="B3410" s="2200">
        <v>35</v>
      </c>
      <c r="C3410" s="2200" t="str">
        <f>IFERROR(INDEX(BLS_TableTown[area_text], MATCH(B3410,BLS_TableTown[List_No],0)),"")</f>
        <v>Hollywood city, FL</v>
      </c>
    </row>
    <row r="3411" spans="2:3" x14ac:dyDescent="0.15">
      <c r="B3411" s="2200">
        <v>36</v>
      </c>
      <c r="C3411" s="2200" t="str">
        <f>IFERROR(INDEX(BLS_TableTown[area_text], MATCH(B3411,BLS_TableTown[List_No],0)),"")</f>
        <v>Homestead city, FL</v>
      </c>
    </row>
    <row r="3412" spans="2:3" x14ac:dyDescent="0.15">
      <c r="B3412" s="2200">
        <v>37</v>
      </c>
      <c r="C3412" s="2200" t="str">
        <f>IFERROR(INDEX(BLS_TableTown[area_text], MATCH(B3412,BLS_TableTown[List_No],0)),"")</f>
        <v>Jacksonville city, FL</v>
      </c>
    </row>
    <row r="3413" spans="2:3" x14ac:dyDescent="0.15">
      <c r="B3413" s="2200">
        <v>38</v>
      </c>
      <c r="C3413" s="2200" t="str">
        <f>IFERROR(INDEX(BLS_TableTown[area_text], MATCH(B3413,BLS_TableTown[List_No],0)),"")</f>
        <v>Jupiter town, FL</v>
      </c>
    </row>
    <row r="3414" spans="2:3" x14ac:dyDescent="0.15">
      <c r="B3414" s="2200">
        <v>39</v>
      </c>
      <c r="C3414" s="2200" t="str">
        <f>IFERROR(INDEX(BLS_TableTown[area_text], MATCH(B3414,BLS_TableTown[List_No],0)),"")</f>
        <v>Key West city, FL</v>
      </c>
    </row>
    <row r="3415" spans="2:3" x14ac:dyDescent="0.15">
      <c r="B3415" s="2200">
        <v>40</v>
      </c>
      <c r="C3415" s="2200" t="str">
        <f>IFERROR(INDEX(BLS_TableTown[area_text], MATCH(B3415,BLS_TableTown[List_No],0)),"")</f>
        <v>Kissimmee city, FL</v>
      </c>
    </row>
    <row r="3416" spans="2:3" x14ac:dyDescent="0.15">
      <c r="B3416" s="2200">
        <v>41</v>
      </c>
      <c r="C3416" s="2200" t="str">
        <f>IFERROR(INDEX(BLS_TableTown[area_text], MATCH(B3416,BLS_TableTown[List_No],0)),"")</f>
        <v>Lake Worth city, FL</v>
      </c>
    </row>
    <row r="3417" spans="2:3" x14ac:dyDescent="0.15">
      <c r="B3417" s="2200">
        <v>42</v>
      </c>
      <c r="C3417" s="2200" t="str">
        <f>IFERROR(INDEX(BLS_TableTown[area_text], MATCH(B3417,BLS_TableTown[List_No],0)),"")</f>
        <v>Lakeland city, FL</v>
      </c>
    </row>
    <row r="3418" spans="2:3" x14ac:dyDescent="0.15">
      <c r="B3418" s="2200">
        <v>43</v>
      </c>
      <c r="C3418" s="2200" t="str">
        <f>IFERROR(INDEX(BLS_TableTown[area_text], MATCH(B3418,BLS_TableTown[List_No],0)),"")</f>
        <v>Largo city, FL</v>
      </c>
    </row>
    <row r="3419" spans="2:3" x14ac:dyDescent="0.15">
      <c r="B3419" s="2200">
        <v>44</v>
      </c>
      <c r="C3419" s="2200" t="str">
        <f>IFERROR(INDEX(BLS_TableTown[area_text], MATCH(B3419,BLS_TableTown[List_No],0)),"")</f>
        <v>Lauderdale Lakes city, FL</v>
      </c>
    </row>
    <row r="3420" spans="2:3" x14ac:dyDescent="0.15">
      <c r="B3420" s="2200">
        <v>45</v>
      </c>
      <c r="C3420" s="2200" t="str">
        <f>IFERROR(INDEX(BLS_TableTown[area_text], MATCH(B3420,BLS_TableTown[List_No],0)),"")</f>
        <v>Lauderhill city, FL</v>
      </c>
    </row>
    <row r="3421" spans="2:3" x14ac:dyDescent="0.15">
      <c r="B3421" s="2200">
        <v>46</v>
      </c>
      <c r="C3421" s="2200" t="str">
        <f>IFERROR(INDEX(BLS_TableTown[area_text], MATCH(B3421,BLS_TableTown[List_No],0)),"")</f>
        <v>Margate city, FL</v>
      </c>
    </row>
    <row r="3422" spans="2:3" x14ac:dyDescent="0.15">
      <c r="B3422" s="2200">
        <v>47</v>
      </c>
      <c r="C3422" s="2200" t="str">
        <f>IFERROR(INDEX(BLS_TableTown[area_text], MATCH(B3422,BLS_TableTown[List_No],0)),"")</f>
        <v>Melbourne city, FL</v>
      </c>
    </row>
    <row r="3423" spans="2:3" x14ac:dyDescent="0.15">
      <c r="B3423" s="2200">
        <v>48</v>
      </c>
      <c r="C3423" s="2200" t="str">
        <f>IFERROR(INDEX(BLS_TableTown[area_text], MATCH(B3423,BLS_TableTown[List_No],0)),"")</f>
        <v>Miami Beach city, FL</v>
      </c>
    </row>
    <row r="3424" spans="2:3" x14ac:dyDescent="0.15">
      <c r="B3424" s="2200">
        <v>49</v>
      </c>
      <c r="C3424" s="2200" t="str">
        <f>IFERROR(INDEX(BLS_TableTown[area_text], MATCH(B3424,BLS_TableTown[List_No],0)),"")</f>
        <v>Miami city, FL</v>
      </c>
    </row>
    <row r="3425" spans="2:3" x14ac:dyDescent="0.15">
      <c r="B3425" s="2200">
        <v>50</v>
      </c>
      <c r="C3425" s="2200" t="str">
        <f>IFERROR(INDEX(BLS_TableTown[area_text], MATCH(B3425,BLS_TableTown[List_No],0)),"")</f>
        <v>Miami Gardens city, FL</v>
      </c>
    </row>
    <row r="3426" spans="2:3" x14ac:dyDescent="0.15">
      <c r="B3426" s="2200">
        <v>51</v>
      </c>
      <c r="C3426" s="2200" t="str">
        <f>IFERROR(INDEX(BLS_TableTown[area_text], MATCH(B3426,BLS_TableTown[List_No],0)),"")</f>
        <v>Miami Lakes town, FL</v>
      </c>
    </row>
    <row r="3427" spans="2:3" x14ac:dyDescent="0.15">
      <c r="B3427" s="2200">
        <v>52</v>
      </c>
      <c r="C3427" s="2200" t="str">
        <f>IFERROR(INDEX(BLS_TableTown[area_text], MATCH(B3427,BLS_TableTown[List_No],0)),"")</f>
        <v>Miramar city, FL</v>
      </c>
    </row>
    <row r="3428" spans="2:3" x14ac:dyDescent="0.15">
      <c r="B3428" s="2200">
        <v>53</v>
      </c>
      <c r="C3428" s="2200" t="str">
        <f>IFERROR(INDEX(BLS_TableTown[area_text], MATCH(B3428,BLS_TableTown[List_No],0)),"")</f>
        <v>New Smyrna Beach city, FL</v>
      </c>
    </row>
    <row r="3429" spans="2:3" x14ac:dyDescent="0.15">
      <c r="B3429" s="2200">
        <v>54</v>
      </c>
      <c r="C3429" s="2200" t="str">
        <f>IFERROR(INDEX(BLS_TableTown[area_text], MATCH(B3429,BLS_TableTown[List_No],0)),"")</f>
        <v>North Lauderdale city, FL</v>
      </c>
    </row>
    <row r="3430" spans="2:3" x14ac:dyDescent="0.15">
      <c r="B3430" s="2200">
        <v>55</v>
      </c>
      <c r="C3430" s="2200" t="str">
        <f>IFERROR(INDEX(BLS_TableTown[area_text], MATCH(B3430,BLS_TableTown[List_No],0)),"")</f>
        <v>North Miami Beach city, FL</v>
      </c>
    </row>
    <row r="3431" spans="2:3" x14ac:dyDescent="0.15">
      <c r="B3431" s="2200">
        <v>56</v>
      </c>
      <c r="C3431" s="2200" t="str">
        <f>IFERROR(INDEX(BLS_TableTown[area_text], MATCH(B3431,BLS_TableTown[List_No],0)),"")</f>
        <v>North Miami city, FL</v>
      </c>
    </row>
    <row r="3432" spans="2:3" x14ac:dyDescent="0.15">
      <c r="B3432" s="2200">
        <v>57</v>
      </c>
      <c r="C3432" s="2200" t="str">
        <f>IFERROR(INDEX(BLS_TableTown[area_text], MATCH(B3432,BLS_TableTown[List_No],0)),"")</f>
        <v>North Port city, FL</v>
      </c>
    </row>
    <row r="3433" spans="2:3" x14ac:dyDescent="0.15">
      <c r="B3433" s="2200">
        <v>58</v>
      </c>
      <c r="C3433" s="2200" t="str">
        <f>IFERROR(INDEX(BLS_TableTown[area_text], MATCH(B3433,BLS_TableTown[List_No],0)),"")</f>
        <v>Oakland Park city, FL</v>
      </c>
    </row>
    <row r="3434" spans="2:3" x14ac:dyDescent="0.15">
      <c r="B3434" s="2200">
        <v>59</v>
      </c>
      <c r="C3434" s="2200" t="str">
        <f>IFERROR(INDEX(BLS_TableTown[area_text], MATCH(B3434,BLS_TableTown[List_No],0)),"")</f>
        <v>Ocala city, FL</v>
      </c>
    </row>
    <row r="3435" spans="2:3" x14ac:dyDescent="0.15">
      <c r="B3435" s="2200">
        <v>60</v>
      </c>
      <c r="C3435" s="2200" t="str">
        <f>IFERROR(INDEX(BLS_TableTown[area_text], MATCH(B3435,BLS_TableTown[List_No],0)),"")</f>
        <v>Ocoee city, FL</v>
      </c>
    </row>
    <row r="3436" spans="2:3" x14ac:dyDescent="0.15">
      <c r="B3436" s="2200">
        <v>61</v>
      </c>
      <c r="C3436" s="2200" t="str">
        <f>IFERROR(INDEX(BLS_TableTown[area_text], MATCH(B3436,BLS_TableTown[List_No],0)),"")</f>
        <v>Orlando city, FL</v>
      </c>
    </row>
    <row r="3437" spans="2:3" x14ac:dyDescent="0.15">
      <c r="B3437" s="2200">
        <v>62</v>
      </c>
      <c r="C3437" s="2200" t="str">
        <f>IFERROR(INDEX(BLS_TableTown[area_text], MATCH(B3437,BLS_TableTown[List_No],0)),"")</f>
        <v>Ormond Beach city, FL</v>
      </c>
    </row>
    <row r="3438" spans="2:3" x14ac:dyDescent="0.15">
      <c r="B3438" s="2200">
        <v>63</v>
      </c>
      <c r="C3438" s="2200" t="str">
        <f>IFERROR(INDEX(BLS_TableTown[area_text], MATCH(B3438,BLS_TableTown[List_No],0)),"")</f>
        <v>Oviedo city, FL</v>
      </c>
    </row>
    <row r="3439" spans="2:3" x14ac:dyDescent="0.15">
      <c r="B3439" s="2200">
        <v>64</v>
      </c>
      <c r="C3439" s="2200" t="str">
        <f>IFERROR(INDEX(BLS_TableTown[area_text], MATCH(B3439,BLS_TableTown[List_No],0)),"")</f>
        <v>Palm Bay city, FL</v>
      </c>
    </row>
    <row r="3440" spans="2:3" x14ac:dyDescent="0.15">
      <c r="B3440" s="2200">
        <v>65</v>
      </c>
      <c r="C3440" s="2200" t="str">
        <f>IFERROR(INDEX(BLS_TableTown[area_text], MATCH(B3440,BLS_TableTown[List_No],0)),"")</f>
        <v>Palm Beach Gardens city, FL</v>
      </c>
    </row>
    <row r="3441" spans="2:3" x14ac:dyDescent="0.15">
      <c r="B3441" s="2200">
        <v>66</v>
      </c>
      <c r="C3441" s="2200" t="str">
        <f>IFERROR(INDEX(BLS_TableTown[area_text], MATCH(B3441,BLS_TableTown[List_No],0)),"")</f>
        <v>Palm Coast city, FL</v>
      </c>
    </row>
    <row r="3442" spans="2:3" x14ac:dyDescent="0.15">
      <c r="B3442" s="2200">
        <v>67</v>
      </c>
      <c r="C3442" s="2200" t="str">
        <f>IFERROR(INDEX(BLS_TableTown[area_text], MATCH(B3442,BLS_TableTown[List_No],0)),"")</f>
        <v>Palm Springs village, FL</v>
      </c>
    </row>
    <row r="3443" spans="2:3" x14ac:dyDescent="0.15">
      <c r="B3443" s="2200">
        <v>68</v>
      </c>
      <c r="C3443" s="2200" t="str">
        <f>IFERROR(INDEX(BLS_TableTown[area_text], MATCH(B3443,BLS_TableTown[List_No],0)),"")</f>
        <v>Panama City city, FL</v>
      </c>
    </row>
    <row r="3444" spans="2:3" x14ac:dyDescent="0.15">
      <c r="B3444" s="2200">
        <v>69</v>
      </c>
      <c r="C3444" s="2200" t="str">
        <f>IFERROR(INDEX(BLS_TableTown[area_text], MATCH(B3444,BLS_TableTown[List_No],0)),"")</f>
        <v>Parkland city, FL</v>
      </c>
    </row>
    <row r="3445" spans="2:3" x14ac:dyDescent="0.15">
      <c r="B3445" s="2200">
        <v>70</v>
      </c>
      <c r="C3445" s="2200" t="str">
        <f>IFERROR(INDEX(BLS_TableTown[area_text], MATCH(B3445,BLS_TableTown[List_No],0)),"")</f>
        <v>Pembroke Pines city, FL</v>
      </c>
    </row>
    <row r="3446" spans="2:3" x14ac:dyDescent="0.15">
      <c r="B3446" s="2200">
        <v>71</v>
      </c>
      <c r="C3446" s="2200" t="str">
        <f>IFERROR(INDEX(BLS_TableTown[area_text], MATCH(B3446,BLS_TableTown[List_No],0)),"")</f>
        <v>Pensacola city, FL</v>
      </c>
    </row>
    <row r="3447" spans="2:3" x14ac:dyDescent="0.15">
      <c r="B3447" s="2200">
        <v>72</v>
      </c>
      <c r="C3447" s="2200" t="str">
        <f>IFERROR(INDEX(BLS_TableTown[area_text], MATCH(B3447,BLS_TableTown[List_No],0)),"")</f>
        <v>Pinellas Park city, FL</v>
      </c>
    </row>
    <row r="3448" spans="2:3" x14ac:dyDescent="0.15">
      <c r="B3448" s="2200">
        <v>73</v>
      </c>
      <c r="C3448" s="2200" t="str">
        <f>IFERROR(INDEX(BLS_TableTown[area_text], MATCH(B3448,BLS_TableTown[List_No],0)),"")</f>
        <v>Plant City city, FL</v>
      </c>
    </row>
    <row r="3449" spans="2:3" x14ac:dyDescent="0.15">
      <c r="B3449" s="2200">
        <v>74</v>
      </c>
      <c r="C3449" s="2200" t="str">
        <f>IFERROR(INDEX(BLS_TableTown[area_text], MATCH(B3449,BLS_TableTown[List_No],0)),"")</f>
        <v>Plantation city, FL</v>
      </c>
    </row>
    <row r="3450" spans="2:3" x14ac:dyDescent="0.15">
      <c r="B3450" s="2200">
        <v>75</v>
      </c>
      <c r="C3450" s="2200" t="str">
        <f>IFERROR(INDEX(BLS_TableTown[area_text], MATCH(B3450,BLS_TableTown[List_No],0)),"")</f>
        <v>Pompano Beach city, FL</v>
      </c>
    </row>
    <row r="3451" spans="2:3" x14ac:dyDescent="0.15">
      <c r="B3451" s="2200">
        <v>76</v>
      </c>
      <c r="C3451" s="2200" t="str">
        <f>IFERROR(INDEX(BLS_TableTown[area_text], MATCH(B3451,BLS_TableTown[List_No],0)),"")</f>
        <v>Port Orange city, FL</v>
      </c>
    </row>
    <row r="3452" spans="2:3" x14ac:dyDescent="0.15">
      <c r="B3452" s="2200">
        <v>77</v>
      </c>
      <c r="C3452" s="2200" t="str">
        <f>IFERROR(INDEX(BLS_TableTown[area_text], MATCH(B3452,BLS_TableTown[List_No],0)),"")</f>
        <v>Port St. Lucie city, FL</v>
      </c>
    </row>
    <row r="3453" spans="2:3" x14ac:dyDescent="0.15">
      <c r="B3453" s="2200">
        <v>78</v>
      </c>
      <c r="C3453" s="2200" t="str">
        <f>IFERROR(INDEX(BLS_TableTown[area_text], MATCH(B3453,BLS_TableTown[List_No],0)),"")</f>
        <v>Riviera Beach city, FL</v>
      </c>
    </row>
    <row r="3454" spans="2:3" x14ac:dyDescent="0.15">
      <c r="B3454" s="2200">
        <v>79</v>
      </c>
      <c r="C3454" s="2200" t="str">
        <f>IFERROR(INDEX(BLS_TableTown[area_text], MATCH(B3454,BLS_TableTown[List_No],0)),"")</f>
        <v>Rockledge city, FL</v>
      </c>
    </row>
    <row r="3455" spans="2:3" x14ac:dyDescent="0.15">
      <c r="B3455" s="2200">
        <v>80</v>
      </c>
      <c r="C3455" s="2200" t="str">
        <f>IFERROR(INDEX(BLS_TableTown[area_text], MATCH(B3455,BLS_TableTown[List_No],0)),"")</f>
        <v>Royal Palm Beach village, FL</v>
      </c>
    </row>
    <row r="3456" spans="2:3" x14ac:dyDescent="0.15">
      <c r="B3456" s="2200">
        <v>81</v>
      </c>
      <c r="C3456" s="2200" t="str">
        <f>IFERROR(INDEX(BLS_TableTown[area_text], MATCH(B3456,BLS_TableTown[List_No],0)),"")</f>
        <v>Sanford city, FL</v>
      </c>
    </row>
    <row r="3457" spans="2:3" x14ac:dyDescent="0.15">
      <c r="B3457" s="2200">
        <v>82</v>
      </c>
      <c r="C3457" s="2200" t="str">
        <f>IFERROR(INDEX(BLS_TableTown[area_text], MATCH(B3457,BLS_TableTown[List_No],0)),"")</f>
        <v>Sarasota city, FL</v>
      </c>
    </row>
    <row r="3458" spans="2:3" x14ac:dyDescent="0.15">
      <c r="B3458" s="2200">
        <v>83</v>
      </c>
      <c r="C3458" s="2200" t="str">
        <f>IFERROR(INDEX(BLS_TableTown[area_text], MATCH(B3458,BLS_TableTown[List_No],0)),"")</f>
        <v>Sebastian city, FL</v>
      </c>
    </row>
    <row r="3459" spans="2:3" x14ac:dyDescent="0.15">
      <c r="B3459" s="2200">
        <v>84</v>
      </c>
      <c r="C3459" s="2200" t="str">
        <f>IFERROR(INDEX(BLS_TableTown[area_text], MATCH(B3459,BLS_TableTown[List_No],0)),"")</f>
        <v>St. Cloud city, FL</v>
      </c>
    </row>
    <row r="3460" spans="2:3" x14ac:dyDescent="0.15">
      <c r="B3460" s="2200">
        <v>85</v>
      </c>
      <c r="C3460" s="2200" t="str">
        <f>IFERROR(INDEX(BLS_TableTown[area_text], MATCH(B3460,BLS_TableTown[List_No],0)),"")</f>
        <v>St. Petersburg city, FL</v>
      </c>
    </row>
    <row r="3461" spans="2:3" x14ac:dyDescent="0.15">
      <c r="B3461" s="2200">
        <v>86</v>
      </c>
      <c r="C3461" s="2200" t="str">
        <f>IFERROR(INDEX(BLS_TableTown[area_text], MATCH(B3461,BLS_TableTown[List_No],0)),"")</f>
        <v>Sunrise city, FL</v>
      </c>
    </row>
    <row r="3462" spans="2:3" x14ac:dyDescent="0.15">
      <c r="B3462" s="2200">
        <v>87</v>
      </c>
      <c r="C3462" s="2200" t="str">
        <f>IFERROR(INDEX(BLS_TableTown[area_text], MATCH(B3462,BLS_TableTown[List_No],0)),"")</f>
        <v>Tallahassee city, FL</v>
      </c>
    </row>
    <row r="3463" spans="2:3" x14ac:dyDescent="0.15">
      <c r="B3463" s="2200">
        <v>88</v>
      </c>
      <c r="C3463" s="2200" t="str">
        <f>IFERROR(INDEX(BLS_TableTown[area_text], MATCH(B3463,BLS_TableTown[List_No],0)),"")</f>
        <v>Tamarac city, FL</v>
      </c>
    </row>
    <row r="3464" spans="2:3" x14ac:dyDescent="0.15">
      <c r="B3464" s="2200">
        <v>89</v>
      </c>
      <c r="C3464" s="2200" t="str">
        <f>IFERROR(INDEX(BLS_TableTown[area_text], MATCH(B3464,BLS_TableTown[List_No],0)),"")</f>
        <v>Tampa city, FL</v>
      </c>
    </row>
    <row r="3465" spans="2:3" x14ac:dyDescent="0.15">
      <c r="B3465" s="2200">
        <v>90</v>
      </c>
      <c r="C3465" s="2200" t="str">
        <f>IFERROR(INDEX(BLS_TableTown[area_text], MATCH(B3465,BLS_TableTown[List_No],0)),"")</f>
        <v>Tarpon Springs city, FL</v>
      </c>
    </row>
    <row r="3466" spans="2:3" x14ac:dyDescent="0.15">
      <c r="B3466" s="2200">
        <v>91</v>
      </c>
      <c r="C3466" s="2200" t="str">
        <f>IFERROR(INDEX(BLS_TableTown[area_text], MATCH(B3466,BLS_TableTown[List_No],0)),"")</f>
        <v>Temple Terrace city, FL</v>
      </c>
    </row>
    <row r="3467" spans="2:3" x14ac:dyDescent="0.15">
      <c r="B3467" s="2200">
        <v>92</v>
      </c>
      <c r="C3467" s="2200" t="str">
        <f>IFERROR(INDEX(BLS_TableTown[area_text], MATCH(B3467,BLS_TableTown[List_No],0)),"")</f>
        <v>Titusville city, FL</v>
      </c>
    </row>
    <row r="3468" spans="2:3" x14ac:dyDescent="0.15">
      <c r="B3468" s="2200">
        <v>93</v>
      </c>
      <c r="C3468" s="2200" t="str">
        <f>IFERROR(INDEX(BLS_TableTown[area_text], MATCH(B3468,BLS_TableTown[List_No],0)),"")</f>
        <v>Wellington village, FL</v>
      </c>
    </row>
    <row r="3469" spans="2:3" x14ac:dyDescent="0.15">
      <c r="B3469" s="2200">
        <v>94</v>
      </c>
      <c r="C3469" s="2200" t="str">
        <f>IFERROR(INDEX(BLS_TableTown[area_text], MATCH(B3469,BLS_TableTown[List_No],0)),"")</f>
        <v>West Palm Beach city, FL</v>
      </c>
    </row>
    <row r="3470" spans="2:3" x14ac:dyDescent="0.15">
      <c r="B3470" s="2200">
        <v>95</v>
      </c>
      <c r="C3470" s="2200" t="str">
        <f>IFERROR(INDEX(BLS_TableTown[area_text], MATCH(B3470,BLS_TableTown[List_No],0)),"")</f>
        <v>Weston city, FL</v>
      </c>
    </row>
    <row r="3471" spans="2:3" x14ac:dyDescent="0.15">
      <c r="B3471" s="2200">
        <v>96</v>
      </c>
      <c r="C3471" s="2200" t="str">
        <f>IFERROR(INDEX(BLS_TableTown[area_text], MATCH(B3471,BLS_TableTown[List_No],0)),"")</f>
        <v>Winter Garden city, FL</v>
      </c>
    </row>
    <row r="3472" spans="2:3" x14ac:dyDescent="0.15">
      <c r="B3472" s="2200">
        <v>97</v>
      </c>
      <c r="C3472" s="2200" t="str">
        <f>IFERROR(INDEX(BLS_TableTown[area_text], MATCH(B3472,BLS_TableTown[List_No],0)),"")</f>
        <v>Winter Haven city, FL</v>
      </c>
    </row>
    <row r="3473" spans="2:3" x14ac:dyDescent="0.15">
      <c r="B3473" s="2200">
        <v>98</v>
      </c>
      <c r="C3473" s="2200" t="str">
        <f>IFERROR(INDEX(BLS_TableTown[area_text], MATCH(B3473,BLS_TableTown[List_No],0)),"")</f>
        <v>Winter Park city, FL</v>
      </c>
    </row>
    <row r="3474" spans="2:3" x14ac:dyDescent="0.15">
      <c r="B3474" s="2200">
        <v>99</v>
      </c>
      <c r="C3474" s="2200" t="str">
        <f>IFERROR(INDEX(BLS_TableTown[area_text], MATCH(B3474,BLS_TableTown[List_No],0)),"")</f>
        <v>Winter Springs city, FL</v>
      </c>
    </row>
    <row r="3475" spans="2:3" x14ac:dyDescent="0.15">
      <c r="B3475" s="2200">
        <v>100</v>
      </c>
      <c r="C3475" s="2200" t="str">
        <f>IFERROR(INDEX(BLS_TableTown[area_text], MATCH(B3475,BLS_TableTown[List_No],0)),"")</f>
        <v/>
      </c>
    </row>
    <row r="3476" spans="2:3" x14ac:dyDescent="0.15">
      <c r="B3476" s="2200">
        <v>101</v>
      </c>
      <c r="C3476" s="2200" t="str">
        <f>IFERROR(INDEX(BLS_TableTown[area_text], MATCH(B3476,BLS_TableTown[List_No],0)),"")</f>
        <v/>
      </c>
    </row>
    <row r="3477" spans="2:3" x14ac:dyDescent="0.15">
      <c r="B3477" s="2200">
        <v>102</v>
      </c>
      <c r="C3477" s="2200" t="str">
        <f>IFERROR(INDEX(BLS_TableTown[area_text], MATCH(B3477,BLS_TableTown[List_No],0)),"")</f>
        <v/>
      </c>
    </row>
    <row r="3478" spans="2:3" x14ac:dyDescent="0.15">
      <c r="B3478" s="2200">
        <v>103</v>
      </c>
      <c r="C3478" s="2200" t="str">
        <f>IFERROR(INDEX(BLS_TableTown[area_text], MATCH(B3478,BLS_TableTown[List_No],0)),"")</f>
        <v/>
      </c>
    </row>
    <row r="3479" spans="2:3" x14ac:dyDescent="0.15">
      <c r="B3479" s="2200">
        <v>104</v>
      </c>
      <c r="C3479" s="2200" t="str">
        <f>IFERROR(INDEX(BLS_TableTown[area_text], MATCH(B3479,BLS_TableTown[List_No],0)),"")</f>
        <v/>
      </c>
    </row>
    <row r="3480" spans="2:3" x14ac:dyDescent="0.15">
      <c r="B3480" s="2200">
        <v>105</v>
      </c>
      <c r="C3480" s="2200" t="str">
        <f>IFERROR(INDEX(BLS_TableTown[area_text], MATCH(B3480,BLS_TableTown[List_No],0)),"")</f>
        <v/>
      </c>
    </row>
    <row r="3481" spans="2:3" x14ac:dyDescent="0.15">
      <c r="B3481" s="2200">
        <v>106</v>
      </c>
      <c r="C3481" s="2200" t="str">
        <f>IFERROR(INDEX(BLS_TableTown[area_text], MATCH(B3481,BLS_TableTown[List_No],0)),"")</f>
        <v/>
      </c>
    </row>
    <row r="3482" spans="2:3" x14ac:dyDescent="0.15">
      <c r="B3482" s="2200">
        <v>107</v>
      </c>
      <c r="C3482" s="2200" t="str">
        <f>IFERROR(INDEX(BLS_TableTown[area_text], MATCH(B3482,BLS_TableTown[List_No],0)),"")</f>
        <v/>
      </c>
    </row>
    <row r="3483" spans="2:3" x14ac:dyDescent="0.15">
      <c r="B3483" s="2200">
        <v>108</v>
      </c>
      <c r="C3483" s="2200" t="str">
        <f>IFERROR(INDEX(BLS_TableTown[area_text], MATCH(B3483,BLS_TableTown[List_No],0)),"")</f>
        <v/>
      </c>
    </row>
    <row r="3484" spans="2:3" x14ac:dyDescent="0.15">
      <c r="B3484" s="2200">
        <v>109</v>
      </c>
      <c r="C3484" s="2200" t="str">
        <f>IFERROR(INDEX(BLS_TableTown[area_text], MATCH(B3484,BLS_TableTown[List_No],0)),"")</f>
        <v/>
      </c>
    </row>
    <row r="3485" spans="2:3" x14ac:dyDescent="0.15">
      <c r="B3485" s="2200">
        <v>110</v>
      </c>
      <c r="C3485" s="2200" t="str">
        <f>IFERROR(INDEX(BLS_TableTown[area_text], MATCH(B3485,BLS_TableTown[List_No],0)),"")</f>
        <v/>
      </c>
    </row>
    <row r="3486" spans="2:3" x14ac:dyDescent="0.15">
      <c r="B3486" s="2200">
        <v>111</v>
      </c>
      <c r="C3486" s="2200" t="str">
        <f>IFERROR(INDEX(BLS_TableTown[area_text], MATCH(B3486,BLS_TableTown[List_No],0)),"")</f>
        <v/>
      </c>
    </row>
    <row r="3487" spans="2:3" x14ac:dyDescent="0.15">
      <c r="B3487" s="2200">
        <v>112</v>
      </c>
      <c r="C3487" s="2200" t="str">
        <f>IFERROR(INDEX(BLS_TableTown[area_text], MATCH(B3487,BLS_TableTown[List_No],0)),"")</f>
        <v/>
      </c>
    </row>
    <row r="3488" spans="2:3" x14ac:dyDescent="0.15">
      <c r="B3488" s="2200">
        <v>113</v>
      </c>
      <c r="C3488" s="2200" t="str">
        <f>IFERROR(INDEX(BLS_TableTown[area_text], MATCH(B3488,BLS_TableTown[List_No],0)),"")</f>
        <v/>
      </c>
    </row>
    <row r="3489" spans="2:3" x14ac:dyDescent="0.15">
      <c r="B3489" s="2200">
        <v>114</v>
      </c>
      <c r="C3489" s="2200" t="str">
        <f>IFERROR(INDEX(BLS_TableTown[area_text], MATCH(B3489,BLS_TableTown[List_No],0)),"")</f>
        <v/>
      </c>
    </row>
    <row r="3490" spans="2:3" x14ac:dyDescent="0.15">
      <c r="B3490" s="2200">
        <v>115</v>
      </c>
      <c r="C3490" s="2200" t="str">
        <f>IFERROR(INDEX(BLS_TableTown[area_text], MATCH(B3490,BLS_TableTown[List_No],0)),"")</f>
        <v/>
      </c>
    </row>
    <row r="3491" spans="2:3" x14ac:dyDescent="0.15">
      <c r="B3491" s="2200">
        <v>116</v>
      </c>
      <c r="C3491" s="2200" t="str">
        <f>IFERROR(INDEX(BLS_TableTown[area_text], MATCH(B3491,BLS_TableTown[List_No],0)),"")</f>
        <v/>
      </c>
    </row>
    <row r="3492" spans="2:3" x14ac:dyDescent="0.15">
      <c r="B3492" s="2200">
        <v>117</v>
      </c>
      <c r="C3492" s="2200" t="str">
        <f>IFERROR(INDEX(BLS_TableTown[area_text], MATCH(B3492,BLS_TableTown[List_No],0)),"")</f>
        <v/>
      </c>
    </row>
    <row r="3493" spans="2:3" x14ac:dyDescent="0.15">
      <c r="B3493" s="2200">
        <v>118</v>
      </c>
      <c r="C3493" s="2200" t="str">
        <f>IFERROR(INDEX(BLS_TableTown[area_text], MATCH(B3493,BLS_TableTown[List_No],0)),"")</f>
        <v/>
      </c>
    </row>
    <row r="3494" spans="2:3" x14ac:dyDescent="0.15">
      <c r="B3494" s="2200">
        <v>119</v>
      </c>
      <c r="C3494" s="2200" t="str">
        <f>IFERROR(INDEX(BLS_TableTown[area_text], MATCH(B3494,BLS_TableTown[List_No],0)),"")</f>
        <v/>
      </c>
    </row>
    <row r="3495" spans="2:3" x14ac:dyDescent="0.15">
      <c r="B3495" s="2200">
        <v>120</v>
      </c>
      <c r="C3495" s="2200" t="str">
        <f>IFERROR(INDEX(BLS_TableTown[area_text], MATCH(B3495,BLS_TableTown[List_No],0)),"")</f>
        <v/>
      </c>
    </row>
    <row r="3496" spans="2:3" x14ac:dyDescent="0.15">
      <c r="B3496" s="2200">
        <v>121</v>
      </c>
      <c r="C3496" s="2200" t="str">
        <f>IFERROR(INDEX(BLS_TableTown[area_text], MATCH(B3496,BLS_TableTown[List_No],0)),"")</f>
        <v/>
      </c>
    </row>
    <row r="3497" spans="2:3" x14ac:dyDescent="0.15">
      <c r="B3497" s="2200">
        <v>122</v>
      </c>
      <c r="C3497" s="2200" t="str">
        <f>IFERROR(INDEX(BLS_TableTown[area_text], MATCH(B3497,BLS_TableTown[List_No],0)),"")</f>
        <v/>
      </c>
    </row>
    <row r="3498" spans="2:3" x14ac:dyDescent="0.15">
      <c r="B3498" s="2200">
        <v>123</v>
      </c>
      <c r="C3498" s="2200" t="str">
        <f>IFERROR(INDEX(BLS_TableTown[area_text], MATCH(B3498,BLS_TableTown[List_No],0)),"")</f>
        <v/>
      </c>
    </row>
    <row r="3499" spans="2:3" x14ac:dyDescent="0.15">
      <c r="B3499" s="2200">
        <v>124</v>
      </c>
      <c r="C3499" s="2200" t="str">
        <f>IFERROR(INDEX(BLS_TableTown[area_text], MATCH(B3499,BLS_TableTown[List_No],0)),"")</f>
        <v/>
      </c>
    </row>
    <row r="3500" spans="2:3" x14ac:dyDescent="0.15">
      <c r="B3500" s="2200">
        <v>125</v>
      </c>
      <c r="C3500" s="2200" t="str">
        <f>IFERROR(INDEX(BLS_TableTown[area_text], MATCH(B3500,BLS_TableTown[List_No],0)),"")</f>
        <v/>
      </c>
    </row>
    <row r="3501" spans="2:3" x14ac:dyDescent="0.15">
      <c r="B3501" s="2200">
        <v>126</v>
      </c>
      <c r="C3501" s="2200" t="str">
        <f>IFERROR(INDEX(BLS_TableTown[area_text], MATCH(B3501,BLS_TableTown[List_No],0)),"")</f>
        <v/>
      </c>
    </row>
    <row r="3502" spans="2:3" x14ac:dyDescent="0.15">
      <c r="B3502" s="2200">
        <v>127</v>
      </c>
      <c r="C3502" s="2200" t="str">
        <f>IFERROR(INDEX(BLS_TableTown[area_text], MATCH(B3502,BLS_TableTown[List_No],0)),"")</f>
        <v/>
      </c>
    </row>
    <row r="3503" spans="2:3" x14ac:dyDescent="0.15">
      <c r="B3503" s="2200">
        <v>128</v>
      </c>
      <c r="C3503" s="2200" t="str">
        <f>IFERROR(INDEX(BLS_TableTown[area_text], MATCH(B3503,BLS_TableTown[List_No],0)),"")</f>
        <v/>
      </c>
    </row>
    <row r="3504" spans="2:3" x14ac:dyDescent="0.15">
      <c r="B3504" s="2200">
        <v>129</v>
      </c>
      <c r="C3504" s="2200" t="str">
        <f>IFERROR(INDEX(BLS_TableTown[area_text], MATCH(B3504,BLS_TableTown[List_No],0)),"")</f>
        <v/>
      </c>
    </row>
    <row r="3505" spans="2:3" x14ac:dyDescent="0.15">
      <c r="B3505" s="2200">
        <v>130</v>
      </c>
      <c r="C3505" s="2200" t="str">
        <f>IFERROR(INDEX(BLS_TableTown[area_text], MATCH(B3505,BLS_TableTown[List_No],0)),"")</f>
        <v/>
      </c>
    </row>
    <row r="3506" spans="2:3" x14ac:dyDescent="0.15">
      <c r="B3506" s="2200">
        <v>131</v>
      </c>
      <c r="C3506" s="2200" t="str">
        <f>IFERROR(INDEX(BLS_TableTown[area_text], MATCH(B3506,BLS_TableTown[List_No],0)),"")</f>
        <v/>
      </c>
    </row>
    <row r="3507" spans="2:3" x14ac:dyDescent="0.15">
      <c r="B3507" s="2200">
        <v>132</v>
      </c>
      <c r="C3507" s="2200" t="str">
        <f>IFERROR(INDEX(BLS_TableTown[area_text], MATCH(B3507,BLS_TableTown[List_No],0)),"")</f>
        <v/>
      </c>
    </row>
    <row r="3508" spans="2:3" x14ac:dyDescent="0.15">
      <c r="B3508" s="2200">
        <v>133</v>
      </c>
      <c r="C3508" s="2200" t="str">
        <f>IFERROR(INDEX(BLS_TableTown[area_text], MATCH(B3508,BLS_TableTown[List_No],0)),"")</f>
        <v/>
      </c>
    </row>
    <row r="3509" spans="2:3" x14ac:dyDescent="0.15">
      <c r="B3509" s="2200">
        <v>134</v>
      </c>
      <c r="C3509" s="2200" t="str">
        <f>IFERROR(INDEX(BLS_TableTown[area_text], MATCH(B3509,BLS_TableTown[List_No],0)),"")</f>
        <v/>
      </c>
    </row>
    <row r="3510" spans="2:3" x14ac:dyDescent="0.15">
      <c r="B3510" s="2200">
        <v>135</v>
      </c>
      <c r="C3510" s="2200" t="str">
        <f>IFERROR(INDEX(BLS_TableTown[area_text], MATCH(B3510,BLS_TableTown[List_No],0)),"")</f>
        <v/>
      </c>
    </row>
    <row r="3511" spans="2:3" x14ac:dyDescent="0.15">
      <c r="B3511" s="2200">
        <v>136</v>
      </c>
      <c r="C3511" s="2200" t="str">
        <f>IFERROR(INDEX(BLS_TableTown[area_text], MATCH(B3511,BLS_TableTown[List_No],0)),"")</f>
        <v/>
      </c>
    </row>
    <row r="3512" spans="2:3" x14ac:dyDescent="0.15">
      <c r="B3512" s="2200">
        <v>137</v>
      </c>
      <c r="C3512" s="2200" t="str">
        <f>IFERROR(INDEX(BLS_TableTown[area_text], MATCH(B3512,BLS_TableTown[List_No],0)),"")</f>
        <v/>
      </c>
    </row>
    <row r="3513" spans="2:3" x14ac:dyDescent="0.15">
      <c r="B3513" s="2200">
        <v>138</v>
      </c>
      <c r="C3513" s="2200" t="str">
        <f>IFERROR(INDEX(BLS_TableTown[area_text], MATCH(B3513,BLS_TableTown[List_No],0)),"")</f>
        <v/>
      </c>
    </row>
    <row r="3514" spans="2:3" x14ac:dyDescent="0.15">
      <c r="B3514" s="2200">
        <v>139</v>
      </c>
      <c r="C3514" s="2200" t="str">
        <f>IFERROR(INDEX(BLS_TableTown[area_text], MATCH(B3514,BLS_TableTown[List_No],0)),"")</f>
        <v/>
      </c>
    </row>
    <row r="3515" spans="2:3" x14ac:dyDescent="0.15">
      <c r="B3515" s="2200">
        <v>140</v>
      </c>
      <c r="C3515" s="2200" t="str">
        <f>IFERROR(INDEX(BLS_TableTown[area_text], MATCH(B3515,BLS_TableTown[List_No],0)),"")</f>
        <v/>
      </c>
    </row>
    <row r="3516" spans="2:3" x14ac:dyDescent="0.15">
      <c r="B3516" s="2200">
        <v>141</v>
      </c>
      <c r="C3516" s="2200" t="str">
        <f>IFERROR(INDEX(BLS_TableTown[area_text], MATCH(B3516,BLS_TableTown[List_No],0)),"")</f>
        <v/>
      </c>
    </row>
    <row r="3517" spans="2:3" x14ac:dyDescent="0.15">
      <c r="B3517" s="2200">
        <v>142</v>
      </c>
      <c r="C3517" s="2200" t="str">
        <f>IFERROR(INDEX(BLS_TableTown[area_text], MATCH(B3517,BLS_TableTown[List_No],0)),"")</f>
        <v/>
      </c>
    </row>
    <row r="3518" spans="2:3" x14ac:dyDescent="0.15">
      <c r="B3518" s="2200">
        <v>143</v>
      </c>
      <c r="C3518" s="2200" t="str">
        <f>IFERROR(INDEX(BLS_TableTown[area_text], MATCH(B3518,BLS_TableTown[List_No],0)),"")</f>
        <v/>
      </c>
    </row>
    <row r="3519" spans="2:3" x14ac:dyDescent="0.15">
      <c r="B3519" s="2200">
        <v>144</v>
      </c>
      <c r="C3519" s="2200" t="str">
        <f>IFERROR(INDEX(BLS_TableTown[area_text], MATCH(B3519,BLS_TableTown[List_No],0)),"")</f>
        <v/>
      </c>
    </row>
    <row r="3520" spans="2:3" x14ac:dyDescent="0.15">
      <c r="B3520" s="2200">
        <v>145</v>
      </c>
      <c r="C3520" s="2200" t="str">
        <f>IFERROR(INDEX(BLS_TableTown[area_text], MATCH(B3520,BLS_TableTown[List_No],0)),"")</f>
        <v/>
      </c>
    </row>
    <row r="3521" spans="2:3" x14ac:dyDescent="0.15">
      <c r="B3521" s="2200">
        <v>146</v>
      </c>
      <c r="C3521" s="2200" t="str">
        <f>IFERROR(INDEX(BLS_TableTown[area_text], MATCH(B3521,BLS_TableTown[List_No],0)),"")</f>
        <v/>
      </c>
    </row>
    <row r="3522" spans="2:3" x14ac:dyDescent="0.15">
      <c r="B3522" s="2200">
        <v>147</v>
      </c>
      <c r="C3522" s="2200" t="str">
        <f>IFERROR(INDEX(BLS_TableTown[area_text], MATCH(B3522,BLS_TableTown[List_No],0)),"")</f>
        <v/>
      </c>
    </row>
    <row r="3523" spans="2:3" x14ac:dyDescent="0.15">
      <c r="B3523" s="2200">
        <v>148</v>
      </c>
      <c r="C3523" s="2200" t="str">
        <f>IFERROR(INDEX(BLS_TableTown[area_text], MATCH(B3523,BLS_TableTown[List_No],0)),"")</f>
        <v/>
      </c>
    </row>
    <row r="3524" spans="2:3" x14ac:dyDescent="0.15">
      <c r="B3524" s="2200">
        <v>149</v>
      </c>
      <c r="C3524" s="2200" t="str">
        <f>IFERROR(INDEX(BLS_TableTown[area_text], MATCH(B3524,BLS_TableTown[List_No],0)),"")</f>
        <v/>
      </c>
    </row>
    <row r="3525" spans="2:3" x14ac:dyDescent="0.15">
      <c r="B3525" s="2200">
        <v>150</v>
      </c>
      <c r="C3525" s="2200" t="str">
        <f>IFERROR(INDEX(BLS_TableTown[area_text], MATCH(B3525,BLS_TableTown[List_No],0)),"")</f>
        <v/>
      </c>
    </row>
    <row r="3526" spans="2:3" x14ac:dyDescent="0.15">
      <c r="B3526" s="2200">
        <v>151</v>
      </c>
      <c r="C3526" s="2200" t="str">
        <f>IFERROR(INDEX(BLS_TableTown[area_text], MATCH(B3526,BLS_TableTown[List_No],0)),"")</f>
        <v/>
      </c>
    </row>
    <row r="3527" spans="2:3" x14ac:dyDescent="0.15">
      <c r="B3527" s="2200">
        <v>152</v>
      </c>
      <c r="C3527" s="2200" t="str">
        <f>IFERROR(INDEX(BLS_TableTown[area_text], MATCH(B3527,BLS_TableTown[List_No],0)),"")</f>
        <v/>
      </c>
    </row>
    <row r="3528" spans="2:3" x14ac:dyDescent="0.15">
      <c r="B3528" s="2200">
        <v>153</v>
      </c>
      <c r="C3528" s="2200" t="str">
        <f>IFERROR(INDEX(BLS_TableTown[area_text], MATCH(B3528,BLS_TableTown[List_No],0)),"")</f>
        <v/>
      </c>
    </row>
    <row r="3529" spans="2:3" x14ac:dyDescent="0.15">
      <c r="B3529" s="2200">
        <v>154</v>
      </c>
      <c r="C3529" s="2200" t="str">
        <f>IFERROR(INDEX(BLS_TableTown[area_text], MATCH(B3529,BLS_TableTown[List_No],0)),"")</f>
        <v/>
      </c>
    </row>
    <row r="3530" spans="2:3" x14ac:dyDescent="0.15">
      <c r="B3530" s="2200">
        <v>155</v>
      </c>
      <c r="C3530" s="2200" t="str">
        <f>IFERROR(INDEX(BLS_TableTown[area_text], MATCH(B3530,BLS_TableTown[List_No],0)),"")</f>
        <v/>
      </c>
    </row>
    <row r="3531" spans="2:3" x14ac:dyDescent="0.15">
      <c r="B3531" s="2200">
        <v>156</v>
      </c>
      <c r="C3531" s="2200" t="str">
        <f>IFERROR(INDEX(BLS_TableTown[area_text], MATCH(B3531,BLS_TableTown[List_No],0)),"")</f>
        <v/>
      </c>
    </row>
    <row r="3532" spans="2:3" x14ac:dyDescent="0.15">
      <c r="B3532" s="2200">
        <v>157</v>
      </c>
      <c r="C3532" s="2200" t="str">
        <f>IFERROR(INDEX(BLS_TableTown[area_text], MATCH(B3532,BLS_TableTown[List_No],0)),"")</f>
        <v/>
      </c>
    </row>
    <row r="3533" spans="2:3" x14ac:dyDescent="0.15">
      <c r="B3533" s="2200">
        <v>158</v>
      </c>
      <c r="C3533" s="2200" t="str">
        <f>IFERROR(INDEX(BLS_TableTown[area_text], MATCH(B3533,BLS_TableTown[List_No],0)),"")</f>
        <v/>
      </c>
    </row>
    <row r="3534" spans="2:3" x14ac:dyDescent="0.15">
      <c r="B3534" s="2200">
        <v>159</v>
      </c>
      <c r="C3534" s="2200" t="str">
        <f>IFERROR(INDEX(BLS_TableTown[area_text], MATCH(B3534,BLS_TableTown[List_No],0)),"")</f>
        <v/>
      </c>
    </row>
    <row r="3535" spans="2:3" x14ac:dyDescent="0.15">
      <c r="B3535" s="2200">
        <v>160</v>
      </c>
      <c r="C3535" s="2200" t="str">
        <f>IFERROR(INDEX(BLS_TableTown[area_text], MATCH(B3535,BLS_TableTown[List_No],0)),"")</f>
        <v/>
      </c>
    </row>
    <row r="3536" spans="2:3" x14ac:dyDescent="0.15">
      <c r="B3536" s="2200">
        <v>161</v>
      </c>
      <c r="C3536" s="2200" t="str">
        <f>IFERROR(INDEX(BLS_TableTown[area_text], MATCH(B3536,BLS_TableTown[List_No],0)),"")</f>
        <v/>
      </c>
    </row>
    <row r="3537" spans="2:3" x14ac:dyDescent="0.15">
      <c r="B3537" s="2200">
        <v>162</v>
      </c>
      <c r="C3537" s="2200" t="str">
        <f>IFERROR(INDEX(BLS_TableTown[area_text], MATCH(B3537,BLS_TableTown[List_No],0)),"")</f>
        <v/>
      </c>
    </row>
    <row r="3538" spans="2:3" x14ac:dyDescent="0.15">
      <c r="B3538" s="2200">
        <v>163</v>
      </c>
      <c r="C3538" s="2200" t="str">
        <f>IFERROR(INDEX(BLS_TableTown[area_text], MATCH(B3538,BLS_TableTown[List_No],0)),"")</f>
        <v/>
      </c>
    </row>
    <row r="3539" spans="2:3" x14ac:dyDescent="0.15">
      <c r="B3539" s="2200">
        <v>164</v>
      </c>
      <c r="C3539" s="2200" t="str">
        <f>IFERROR(INDEX(BLS_TableTown[area_text], MATCH(B3539,BLS_TableTown[List_No],0)),"")</f>
        <v/>
      </c>
    </row>
    <row r="3540" spans="2:3" x14ac:dyDescent="0.15">
      <c r="B3540" s="2200">
        <v>165</v>
      </c>
      <c r="C3540" s="2200" t="str">
        <f>IFERROR(INDEX(BLS_TableTown[area_text], MATCH(B3540,BLS_TableTown[List_No],0)),"")</f>
        <v/>
      </c>
    </row>
    <row r="3541" spans="2:3" x14ac:dyDescent="0.15">
      <c r="B3541" s="2200">
        <v>166</v>
      </c>
      <c r="C3541" s="2200" t="str">
        <f>IFERROR(INDEX(BLS_TableTown[area_text], MATCH(B3541,BLS_TableTown[List_No],0)),"")</f>
        <v/>
      </c>
    </row>
    <row r="3542" spans="2:3" x14ac:dyDescent="0.15">
      <c r="B3542" s="2200">
        <v>167</v>
      </c>
      <c r="C3542" s="2200" t="str">
        <f>IFERROR(INDEX(BLS_TableTown[area_text], MATCH(B3542,BLS_TableTown[List_No],0)),"")</f>
        <v/>
      </c>
    </row>
    <row r="3543" spans="2:3" x14ac:dyDescent="0.15">
      <c r="B3543" s="2200">
        <v>168</v>
      </c>
      <c r="C3543" s="2200" t="str">
        <f>IFERROR(INDEX(BLS_TableTown[area_text], MATCH(B3543,BLS_TableTown[List_No],0)),"")</f>
        <v/>
      </c>
    </row>
    <row r="3544" spans="2:3" x14ac:dyDescent="0.15">
      <c r="B3544" s="2200">
        <v>169</v>
      </c>
      <c r="C3544" s="2200" t="str">
        <f>IFERROR(INDEX(BLS_TableTown[area_text], MATCH(B3544,BLS_TableTown[List_No],0)),"")</f>
        <v/>
      </c>
    </row>
    <row r="3545" spans="2:3" x14ac:dyDescent="0.15">
      <c r="B3545" s="2200">
        <v>170</v>
      </c>
      <c r="C3545" s="2200" t="str">
        <f>IFERROR(INDEX(BLS_TableTown[area_text], MATCH(B3545,BLS_TableTown[List_No],0)),"")</f>
        <v/>
      </c>
    </row>
    <row r="3546" spans="2:3" x14ac:dyDescent="0.15">
      <c r="B3546" s="2200">
        <v>171</v>
      </c>
      <c r="C3546" s="2200" t="str">
        <f>IFERROR(INDEX(BLS_TableTown[area_text], MATCH(B3546,BLS_TableTown[List_No],0)),"")</f>
        <v/>
      </c>
    </row>
    <row r="3547" spans="2:3" x14ac:dyDescent="0.15">
      <c r="B3547" s="2200">
        <v>172</v>
      </c>
      <c r="C3547" s="2200" t="str">
        <f>IFERROR(INDEX(BLS_TableTown[area_text], MATCH(B3547,BLS_TableTown[List_No],0)),"")</f>
        <v/>
      </c>
    </row>
    <row r="3548" spans="2:3" x14ac:dyDescent="0.15">
      <c r="B3548" s="2200">
        <v>173</v>
      </c>
      <c r="C3548" s="2200" t="str">
        <f>IFERROR(INDEX(BLS_TableTown[area_text], MATCH(B3548,BLS_TableTown[List_No],0)),"")</f>
        <v/>
      </c>
    </row>
    <row r="3549" spans="2:3" x14ac:dyDescent="0.15">
      <c r="B3549" s="2200">
        <v>174</v>
      </c>
      <c r="C3549" s="2200" t="str">
        <f>IFERROR(INDEX(BLS_TableTown[area_text], MATCH(B3549,BLS_TableTown[List_No],0)),"")</f>
        <v/>
      </c>
    </row>
    <row r="3550" spans="2:3" x14ac:dyDescent="0.15">
      <c r="B3550" s="2200">
        <v>175</v>
      </c>
      <c r="C3550" s="2200" t="str">
        <f>IFERROR(INDEX(BLS_TableTown[area_text], MATCH(B3550,BLS_TableTown[List_No],0)),"")</f>
        <v/>
      </c>
    </row>
    <row r="3551" spans="2:3" x14ac:dyDescent="0.15">
      <c r="B3551" s="2200">
        <v>176</v>
      </c>
      <c r="C3551" s="2200" t="str">
        <f>IFERROR(INDEX(BLS_TableTown[area_text], MATCH(B3551,BLS_TableTown[List_No],0)),"")</f>
        <v/>
      </c>
    </row>
    <row r="3552" spans="2:3" x14ac:dyDescent="0.15">
      <c r="B3552" s="2200">
        <v>177</v>
      </c>
      <c r="C3552" s="2200" t="str">
        <f>IFERROR(INDEX(BLS_TableTown[area_text], MATCH(B3552,BLS_TableTown[List_No],0)),"")</f>
        <v/>
      </c>
    </row>
    <row r="3553" spans="2:3" x14ac:dyDescent="0.15">
      <c r="B3553" s="2200">
        <v>178</v>
      </c>
      <c r="C3553" s="2200" t="str">
        <f>IFERROR(INDEX(BLS_TableTown[area_text], MATCH(B3553,BLS_TableTown[List_No],0)),"")</f>
        <v/>
      </c>
    </row>
    <row r="3554" spans="2:3" x14ac:dyDescent="0.15">
      <c r="B3554" s="2200">
        <v>179</v>
      </c>
      <c r="C3554" s="2200" t="str">
        <f>IFERROR(INDEX(BLS_TableTown[area_text], MATCH(B3554,BLS_TableTown[List_No],0)),"")</f>
        <v/>
      </c>
    </row>
    <row r="3555" spans="2:3" x14ac:dyDescent="0.15">
      <c r="B3555" s="2200">
        <v>180</v>
      </c>
      <c r="C3555" s="2200" t="str">
        <f>IFERROR(INDEX(BLS_TableTown[area_text], MATCH(B3555,BLS_TableTown[List_No],0)),"")</f>
        <v/>
      </c>
    </row>
    <row r="3556" spans="2:3" x14ac:dyDescent="0.15">
      <c r="B3556" s="2200">
        <v>181</v>
      </c>
      <c r="C3556" s="2200" t="str">
        <f>IFERROR(INDEX(BLS_TableTown[area_text], MATCH(B3556,BLS_TableTown[List_No],0)),"")</f>
        <v/>
      </c>
    </row>
    <row r="3557" spans="2:3" x14ac:dyDescent="0.15">
      <c r="B3557" s="2200">
        <v>182</v>
      </c>
      <c r="C3557" s="2200" t="str">
        <f>IFERROR(INDEX(BLS_TableTown[area_text], MATCH(B3557,BLS_TableTown[List_No],0)),"")</f>
        <v/>
      </c>
    </row>
    <row r="3558" spans="2:3" x14ac:dyDescent="0.15">
      <c r="B3558" s="2200">
        <v>183</v>
      </c>
      <c r="C3558" s="2200" t="str">
        <f>IFERROR(INDEX(BLS_TableTown[area_text], MATCH(B3558,BLS_TableTown[List_No],0)),"")</f>
        <v/>
      </c>
    </row>
    <row r="3559" spans="2:3" x14ac:dyDescent="0.15">
      <c r="B3559" s="2200">
        <v>184</v>
      </c>
      <c r="C3559" s="2200" t="str">
        <f>IFERROR(INDEX(BLS_TableTown[area_text], MATCH(B3559,BLS_TableTown[List_No],0)),"")</f>
        <v/>
      </c>
    </row>
    <row r="3560" spans="2:3" x14ac:dyDescent="0.15">
      <c r="B3560" s="2200">
        <v>185</v>
      </c>
      <c r="C3560" s="2200" t="str">
        <f>IFERROR(INDEX(BLS_TableTown[area_text], MATCH(B3560,BLS_TableTown[List_No],0)),"")</f>
        <v/>
      </c>
    </row>
    <row r="3561" spans="2:3" x14ac:dyDescent="0.15">
      <c r="B3561" s="2200">
        <v>186</v>
      </c>
      <c r="C3561" s="2200" t="str">
        <f>IFERROR(INDEX(BLS_TableTown[area_text], MATCH(B3561,BLS_TableTown[List_No],0)),"")</f>
        <v/>
      </c>
    </row>
    <row r="3562" spans="2:3" x14ac:dyDescent="0.15">
      <c r="B3562" s="2200">
        <v>187</v>
      </c>
      <c r="C3562" s="2200" t="str">
        <f>IFERROR(INDEX(BLS_TableTown[area_text], MATCH(B3562,BLS_TableTown[List_No],0)),"")</f>
        <v/>
      </c>
    </row>
    <row r="3563" spans="2:3" x14ac:dyDescent="0.15">
      <c r="B3563" s="2200">
        <v>188</v>
      </c>
      <c r="C3563" s="2200" t="str">
        <f>IFERROR(INDEX(BLS_TableTown[area_text], MATCH(B3563,BLS_TableTown[List_No],0)),"")</f>
        <v/>
      </c>
    </row>
    <row r="3564" spans="2:3" x14ac:dyDescent="0.15">
      <c r="B3564" s="2200">
        <v>189</v>
      </c>
      <c r="C3564" s="2200" t="str">
        <f>IFERROR(INDEX(BLS_TableTown[area_text], MATCH(B3564,BLS_TableTown[List_No],0)),"")</f>
        <v/>
      </c>
    </row>
    <row r="3565" spans="2:3" x14ac:dyDescent="0.15">
      <c r="B3565" s="2200">
        <v>190</v>
      </c>
      <c r="C3565" s="2200" t="str">
        <f>IFERROR(INDEX(BLS_TableTown[area_text], MATCH(B3565,BLS_TableTown[List_No],0)),"")</f>
        <v/>
      </c>
    </row>
    <row r="3566" spans="2:3" x14ac:dyDescent="0.15">
      <c r="B3566" s="2200">
        <v>191</v>
      </c>
      <c r="C3566" s="2200" t="str">
        <f>IFERROR(INDEX(BLS_TableTown[area_text], MATCH(B3566,BLS_TableTown[List_No],0)),"")</f>
        <v/>
      </c>
    </row>
    <row r="3567" spans="2:3" x14ac:dyDescent="0.15">
      <c r="B3567" s="2200">
        <v>192</v>
      </c>
      <c r="C3567" s="2200" t="str">
        <f>IFERROR(INDEX(BLS_TableTown[area_text], MATCH(B3567,BLS_TableTown[List_No],0)),"")</f>
        <v/>
      </c>
    </row>
    <row r="3568" spans="2:3" x14ac:dyDescent="0.15">
      <c r="B3568" s="2200">
        <v>193</v>
      </c>
      <c r="C3568" s="2200" t="str">
        <f>IFERROR(INDEX(BLS_TableTown[area_text], MATCH(B3568,BLS_TableTown[List_No],0)),"")</f>
        <v/>
      </c>
    </row>
    <row r="3569" spans="2:3" x14ac:dyDescent="0.15">
      <c r="B3569" s="2200">
        <v>194</v>
      </c>
      <c r="C3569" s="2200" t="str">
        <f>IFERROR(INDEX(BLS_TableTown[area_text], MATCH(B3569,BLS_TableTown[List_No],0)),"")</f>
        <v/>
      </c>
    </row>
    <row r="3570" spans="2:3" x14ac:dyDescent="0.15">
      <c r="B3570" s="2200">
        <v>195</v>
      </c>
      <c r="C3570" s="2200" t="str">
        <f>IFERROR(INDEX(BLS_TableTown[area_text], MATCH(B3570,BLS_TableTown[List_No],0)),"")</f>
        <v/>
      </c>
    </row>
    <row r="3571" spans="2:3" x14ac:dyDescent="0.15">
      <c r="B3571" s="2200">
        <v>196</v>
      </c>
      <c r="C3571" s="2200" t="str">
        <f>IFERROR(INDEX(BLS_TableTown[area_text], MATCH(B3571,BLS_TableTown[List_No],0)),"")</f>
        <v/>
      </c>
    </row>
    <row r="3572" spans="2:3" x14ac:dyDescent="0.15">
      <c r="B3572" s="2200">
        <v>197</v>
      </c>
      <c r="C3572" s="2200" t="str">
        <f>IFERROR(INDEX(BLS_TableTown[area_text], MATCH(B3572,BLS_TableTown[List_No],0)),"")</f>
        <v/>
      </c>
    </row>
    <row r="3573" spans="2:3" x14ac:dyDescent="0.15">
      <c r="B3573" s="2200">
        <v>198</v>
      </c>
      <c r="C3573" s="2200" t="str">
        <f>IFERROR(INDEX(BLS_TableTown[area_text], MATCH(B3573,BLS_TableTown[List_No],0)),"")</f>
        <v/>
      </c>
    </row>
    <row r="3574" spans="2:3" x14ac:dyDescent="0.15">
      <c r="B3574" s="2200">
        <v>199</v>
      </c>
      <c r="C3574" s="2200" t="str">
        <f>IFERROR(INDEX(BLS_TableTown[area_text], MATCH(B3574,BLS_TableTown[List_No],0)),"")</f>
        <v/>
      </c>
    </row>
    <row r="3575" spans="2:3" x14ac:dyDescent="0.15">
      <c r="B3575" s="2200">
        <v>200</v>
      </c>
      <c r="C3575" s="2200" t="str">
        <f>IFERROR(INDEX(BLS_TableTown[area_text], MATCH(B3575,BLS_TableTown[List_No],0)),"")</f>
        <v/>
      </c>
    </row>
    <row r="3576" spans="2:3" x14ac:dyDescent="0.15">
      <c r="B3576" s="2200">
        <v>201</v>
      </c>
      <c r="C3576" s="2200" t="str">
        <f>IFERROR(INDEX(BLS_TableTown[area_text], MATCH(B3576,BLS_TableTown[List_No],0)),"")</f>
        <v/>
      </c>
    </row>
    <row r="3577" spans="2:3" x14ac:dyDescent="0.15">
      <c r="B3577" s="2200">
        <v>202</v>
      </c>
      <c r="C3577" s="2200" t="str">
        <f>IFERROR(INDEX(BLS_TableTown[area_text], MATCH(B3577,BLS_TableTown[List_No],0)),"")</f>
        <v/>
      </c>
    </row>
    <row r="3578" spans="2:3" x14ac:dyDescent="0.15">
      <c r="B3578" s="2200">
        <v>203</v>
      </c>
      <c r="C3578" s="2200" t="str">
        <f>IFERROR(INDEX(BLS_TableTown[area_text], MATCH(B3578,BLS_TableTown[List_No],0)),"")</f>
        <v/>
      </c>
    </row>
    <row r="3579" spans="2:3" x14ac:dyDescent="0.15">
      <c r="B3579" s="2200">
        <v>204</v>
      </c>
      <c r="C3579" s="2200" t="str">
        <f>IFERROR(INDEX(BLS_TableTown[area_text], MATCH(B3579,BLS_TableTown[List_No],0)),"")</f>
        <v/>
      </c>
    </row>
    <row r="3580" spans="2:3" x14ac:dyDescent="0.15">
      <c r="B3580" s="2200">
        <v>205</v>
      </c>
      <c r="C3580" s="2200" t="str">
        <f>IFERROR(INDEX(BLS_TableTown[area_text], MATCH(B3580,BLS_TableTown[List_No],0)),"")</f>
        <v/>
      </c>
    </row>
    <row r="3581" spans="2:3" x14ac:dyDescent="0.15">
      <c r="B3581" s="2200">
        <v>206</v>
      </c>
      <c r="C3581" s="2200" t="str">
        <f>IFERROR(INDEX(BLS_TableTown[area_text], MATCH(B3581,BLS_TableTown[List_No],0)),"")</f>
        <v/>
      </c>
    </row>
    <row r="3582" spans="2:3" x14ac:dyDescent="0.15">
      <c r="B3582" s="2200">
        <v>207</v>
      </c>
      <c r="C3582" s="2200" t="str">
        <f>IFERROR(INDEX(BLS_TableTown[area_text], MATCH(B3582,BLS_TableTown[List_No],0)),"")</f>
        <v/>
      </c>
    </row>
    <row r="3583" spans="2:3" x14ac:dyDescent="0.15">
      <c r="B3583" s="2200">
        <v>208</v>
      </c>
      <c r="C3583" s="2200" t="str">
        <f>IFERROR(INDEX(BLS_TableTown[area_text], MATCH(B3583,BLS_TableTown[List_No],0)),"")</f>
        <v/>
      </c>
    </row>
    <row r="3584" spans="2:3" x14ac:dyDescent="0.15">
      <c r="B3584" s="2200">
        <v>209</v>
      </c>
      <c r="C3584" s="2200" t="str">
        <f>IFERROR(INDEX(BLS_TableTown[area_text], MATCH(B3584,BLS_TableTown[List_No],0)),"")</f>
        <v/>
      </c>
    </row>
    <row r="3585" spans="2:3" x14ac:dyDescent="0.15">
      <c r="B3585" s="2200">
        <v>210</v>
      </c>
      <c r="C3585" s="2200" t="str">
        <f>IFERROR(INDEX(BLS_TableTown[area_text], MATCH(B3585,BLS_TableTown[List_No],0)),"")</f>
        <v/>
      </c>
    </row>
    <row r="3586" spans="2:3" x14ac:dyDescent="0.15">
      <c r="B3586" s="2200">
        <v>211</v>
      </c>
      <c r="C3586" s="2200" t="str">
        <f>IFERROR(INDEX(BLS_TableTown[area_text], MATCH(B3586,BLS_TableTown[List_No],0)),"")</f>
        <v/>
      </c>
    </row>
    <row r="3587" spans="2:3" x14ac:dyDescent="0.15">
      <c r="B3587" s="2200">
        <v>212</v>
      </c>
      <c r="C3587" s="2200" t="str">
        <f>IFERROR(INDEX(BLS_TableTown[area_text], MATCH(B3587,BLS_TableTown[List_No],0)),"")</f>
        <v/>
      </c>
    </row>
    <row r="3588" spans="2:3" x14ac:dyDescent="0.15">
      <c r="B3588" s="2200">
        <v>213</v>
      </c>
      <c r="C3588" s="2200" t="str">
        <f>IFERROR(INDEX(BLS_TableTown[area_text], MATCH(B3588,BLS_TableTown[List_No],0)),"")</f>
        <v/>
      </c>
    </row>
    <row r="3589" spans="2:3" x14ac:dyDescent="0.15">
      <c r="B3589" s="2200">
        <v>214</v>
      </c>
      <c r="C3589" s="2200" t="str">
        <f>IFERROR(INDEX(BLS_TableTown[area_text], MATCH(B3589,BLS_TableTown[List_No],0)),"")</f>
        <v/>
      </c>
    </row>
    <row r="3590" spans="2:3" x14ac:dyDescent="0.15">
      <c r="B3590" s="2200">
        <v>215</v>
      </c>
      <c r="C3590" s="2200" t="str">
        <f>IFERROR(INDEX(BLS_TableTown[area_text], MATCH(B3590,BLS_TableTown[List_No],0)),"")</f>
        <v/>
      </c>
    </row>
    <row r="3591" spans="2:3" x14ac:dyDescent="0.15">
      <c r="B3591" s="2200">
        <v>216</v>
      </c>
      <c r="C3591" s="2200" t="str">
        <f>IFERROR(INDEX(BLS_TableTown[area_text], MATCH(B3591,BLS_TableTown[List_No],0)),"")</f>
        <v/>
      </c>
    </row>
    <row r="3592" spans="2:3" x14ac:dyDescent="0.15">
      <c r="B3592" s="2200">
        <v>217</v>
      </c>
      <c r="C3592" s="2200" t="str">
        <f>IFERROR(INDEX(BLS_TableTown[area_text], MATCH(B3592,BLS_TableTown[List_No],0)),"")</f>
        <v/>
      </c>
    </row>
    <row r="3593" spans="2:3" x14ac:dyDescent="0.15">
      <c r="B3593" s="2200">
        <v>218</v>
      </c>
      <c r="C3593" s="2200" t="str">
        <f>IFERROR(INDEX(BLS_TableTown[area_text], MATCH(B3593,BLS_TableTown[List_No],0)),"")</f>
        <v/>
      </c>
    </row>
    <row r="3594" spans="2:3" x14ac:dyDescent="0.15">
      <c r="B3594" s="2200">
        <v>219</v>
      </c>
      <c r="C3594" s="2200" t="str">
        <f>IFERROR(INDEX(BLS_TableTown[area_text], MATCH(B3594,BLS_TableTown[List_No],0)),"")</f>
        <v/>
      </c>
    </row>
    <row r="3595" spans="2:3" x14ac:dyDescent="0.15">
      <c r="B3595" s="2200">
        <v>220</v>
      </c>
      <c r="C3595" s="2200" t="str">
        <f>IFERROR(INDEX(BLS_TableTown[area_text], MATCH(B3595,BLS_TableTown[List_No],0)),"")</f>
        <v/>
      </c>
    </row>
    <row r="3596" spans="2:3" x14ac:dyDescent="0.15">
      <c r="B3596" s="2200">
        <v>221</v>
      </c>
      <c r="C3596" s="2200" t="str">
        <f>IFERROR(INDEX(BLS_TableTown[area_text], MATCH(B3596,BLS_TableTown[List_No],0)),"")</f>
        <v/>
      </c>
    </row>
    <row r="3597" spans="2:3" x14ac:dyDescent="0.15">
      <c r="B3597" s="2200">
        <v>222</v>
      </c>
      <c r="C3597" s="2200" t="str">
        <f>IFERROR(INDEX(BLS_TableTown[area_text], MATCH(B3597,BLS_TableTown[List_No],0)),"")</f>
        <v/>
      </c>
    </row>
    <row r="3598" spans="2:3" x14ac:dyDescent="0.15">
      <c r="B3598" s="2200">
        <v>223</v>
      </c>
      <c r="C3598" s="2200" t="str">
        <f>IFERROR(INDEX(BLS_TableTown[area_text], MATCH(B3598,BLS_TableTown[List_No],0)),"")</f>
        <v/>
      </c>
    </row>
    <row r="3599" spans="2:3" x14ac:dyDescent="0.15">
      <c r="B3599" s="2200">
        <v>224</v>
      </c>
      <c r="C3599" s="2200" t="str">
        <f>IFERROR(INDEX(BLS_TableTown[area_text], MATCH(B3599,BLS_TableTown[List_No],0)),"")</f>
        <v/>
      </c>
    </row>
    <row r="3600" spans="2:3" x14ac:dyDescent="0.15">
      <c r="B3600" s="2200">
        <v>225</v>
      </c>
      <c r="C3600" s="2200" t="str">
        <f>IFERROR(INDEX(BLS_TableTown[area_text], MATCH(B3600,BLS_TableTown[List_No],0)),"")</f>
        <v/>
      </c>
    </row>
    <row r="3601" spans="2:3" x14ac:dyDescent="0.15">
      <c r="B3601" s="2200">
        <v>226</v>
      </c>
      <c r="C3601" s="2200" t="str">
        <f>IFERROR(INDEX(BLS_TableTown[area_text], MATCH(B3601,BLS_TableTown[List_No],0)),"")</f>
        <v/>
      </c>
    </row>
    <row r="3602" spans="2:3" x14ac:dyDescent="0.15">
      <c r="B3602" s="2200">
        <v>227</v>
      </c>
      <c r="C3602" s="2200" t="str">
        <f>IFERROR(INDEX(BLS_TableTown[area_text], MATCH(B3602,BLS_TableTown[List_No],0)),"")</f>
        <v/>
      </c>
    </row>
    <row r="3603" spans="2:3" x14ac:dyDescent="0.15">
      <c r="B3603" s="2200">
        <v>228</v>
      </c>
      <c r="C3603" s="2200" t="str">
        <f>IFERROR(INDEX(BLS_TableTown[area_text], MATCH(B3603,BLS_TableTown[List_No],0)),"")</f>
        <v/>
      </c>
    </row>
    <row r="3604" spans="2:3" x14ac:dyDescent="0.15">
      <c r="B3604" s="2200">
        <v>229</v>
      </c>
      <c r="C3604" s="2200" t="str">
        <f>IFERROR(INDEX(BLS_TableTown[area_text], MATCH(B3604,BLS_TableTown[List_No],0)),"")</f>
        <v/>
      </c>
    </row>
    <row r="3605" spans="2:3" x14ac:dyDescent="0.15">
      <c r="B3605" s="2200">
        <v>230</v>
      </c>
      <c r="C3605" s="2200" t="str">
        <f>IFERROR(INDEX(BLS_TableTown[area_text], MATCH(B3605,BLS_TableTown[List_No],0)),"")</f>
        <v/>
      </c>
    </row>
    <row r="3606" spans="2:3" x14ac:dyDescent="0.15">
      <c r="B3606" s="2200">
        <v>231</v>
      </c>
      <c r="C3606" s="2200" t="str">
        <f>IFERROR(INDEX(BLS_TableTown[area_text], MATCH(B3606,BLS_TableTown[List_No],0)),"")</f>
        <v/>
      </c>
    </row>
    <row r="3607" spans="2:3" x14ac:dyDescent="0.15">
      <c r="B3607" s="2200">
        <v>232</v>
      </c>
      <c r="C3607" s="2200" t="str">
        <f>IFERROR(INDEX(BLS_TableTown[area_text], MATCH(B3607,BLS_TableTown[List_No],0)),"")</f>
        <v/>
      </c>
    </row>
    <row r="3608" spans="2:3" x14ac:dyDescent="0.15">
      <c r="B3608" s="2200">
        <v>233</v>
      </c>
      <c r="C3608" s="2200" t="str">
        <f>IFERROR(INDEX(BLS_TableTown[area_text], MATCH(B3608,BLS_TableTown[List_No],0)),"")</f>
        <v/>
      </c>
    </row>
    <row r="3609" spans="2:3" x14ac:dyDescent="0.15">
      <c r="B3609" s="2200">
        <v>234</v>
      </c>
      <c r="C3609" s="2200" t="str">
        <f>IFERROR(INDEX(BLS_TableTown[area_text], MATCH(B3609,BLS_TableTown[List_No],0)),"")</f>
        <v/>
      </c>
    </row>
    <row r="3610" spans="2:3" x14ac:dyDescent="0.15">
      <c r="B3610" s="2200">
        <v>235</v>
      </c>
      <c r="C3610" s="2200" t="str">
        <f>IFERROR(INDEX(BLS_TableTown[area_text], MATCH(B3610,BLS_TableTown[List_No],0)),"")</f>
        <v/>
      </c>
    </row>
    <row r="3611" spans="2:3" x14ac:dyDescent="0.15">
      <c r="B3611" s="2200">
        <v>236</v>
      </c>
      <c r="C3611" s="2200" t="str">
        <f>IFERROR(INDEX(BLS_TableTown[area_text], MATCH(B3611,BLS_TableTown[List_No],0)),"")</f>
        <v/>
      </c>
    </row>
    <row r="3612" spans="2:3" x14ac:dyDescent="0.15">
      <c r="B3612" s="2200">
        <v>237</v>
      </c>
      <c r="C3612" s="2200" t="str">
        <f>IFERROR(INDEX(BLS_TableTown[area_text], MATCH(B3612,BLS_TableTown[List_No],0)),"")</f>
        <v/>
      </c>
    </row>
    <row r="3613" spans="2:3" x14ac:dyDescent="0.15">
      <c r="B3613" s="2200">
        <v>238</v>
      </c>
      <c r="C3613" s="2200" t="str">
        <f>IFERROR(INDEX(BLS_TableTown[area_text], MATCH(B3613,BLS_TableTown[List_No],0)),"")</f>
        <v/>
      </c>
    </row>
    <row r="3614" spans="2:3" x14ac:dyDescent="0.15">
      <c r="B3614" s="2200">
        <v>239</v>
      </c>
      <c r="C3614" s="2200" t="str">
        <f>IFERROR(INDEX(BLS_TableTown[area_text], MATCH(B3614,BLS_TableTown[List_No],0)),"")</f>
        <v/>
      </c>
    </row>
    <row r="3615" spans="2:3" x14ac:dyDescent="0.15">
      <c r="B3615" s="2200">
        <v>240</v>
      </c>
      <c r="C3615" s="2200" t="str">
        <f>IFERROR(INDEX(BLS_TableTown[area_text], MATCH(B3615,BLS_TableTown[List_No],0)),"")</f>
        <v/>
      </c>
    </row>
    <row r="3616" spans="2:3" x14ac:dyDescent="0.15">
      <c r="B3616" s="2200">
        <v>241</v>
      </c>
      <c r="C3616" s="2200" t="str">
        <f>IFERROR(INDEX(BLS_TableTown[area_text], MATCH(B3616,BLS_TableTown[List_No],0)),"")</f>
        <v/>
      </c>
    </row>
    <row r="3617" spans="2:3" x14ac:dyDescent="0.15">
      <c r="B3617" s="2200">
        <v>242</v>
      </c>
      <c r="C3617" s="2200" t="str">
        <f>IFERROR(INDEX(BLS_TableTown[area_text], MATCH(B3617,BLS_TableTown[List_No],0)),"")</f>
        <v/>
      </c>
    </row>
    <row r="3618" spans="2:3" x14ac:dyDescent="0.15">
      <c r="B3618" s="2200">
        <v>243</v>
      </c>
      <c r="C3618" s="2200" t="str">
        <f>IFERROR(INDEX(BLS_TableTown[area_text], MATCH(B3618,BLS_TableTown[List_No],0)),"")</f>
        <v/>
      </c>
    </row>
    <row r="3619" spans="2:3" x14ac:dyDescent="0.15">
      <c r="B3619" s="2200">
        <v>244</v>
      </c>
      <c r="C3619" s="2200" t="str">
        <f>IFERROR(INDEX(BLS_TableTown[area_text], MATCH(B3619,BLS_TableTown[List_No],0)),"")</f>
        <v/>
      </c>
    </row>
    <row r="3620" spans="2:3" x14ac:dyDescent="0.15">
      <c r="B3620" s="2200">
        <v>245</v>
      </c>
      <c r="C3620" s="2200" t="str">
        <f>IFERROR(INDEX(BLS_TableTown[area_text], MATCH(B3620,BLS_TableTown[List_No],0)),"")</f>
        <v/>
      </c>
    </row>
    <row r="3621" spans="2:3" x14ac:dyDescent="0.15">
      <c r="B3621" s="2200">
        <v>246</v>
      </c>
      <c r="C3621" s="2200" t="str">
        <f>IFERROR(INDEX(BLS_TableTown[area_text], MATCH(B3621,BLS_TableTown[List_No],0)),"")</f>
        <v/>
      </c>
    </row>
    <row r="3622" spans="2:3" x14ac:dyDescent="0.15">
      <c r="B3622" s="2200">
        <v>247</v>
      </c>
      <c r="C3622" s="2200" t="str">
        <f>IFERROR(INDEX(BLS_TableTown[area_text], MATCH(B3622,BLS_TableTown[List_No],0)),"")</f>
        <v/>
      </c>
    </row>
    <row r="3623" spans="2:3" x14ac:dyDescent="0.15">
      <c r="B3623" s="2200">
        <v>248</v>
      </c>
      <c r="C3623" s="2200" t="str">
        <f>IFERROR(INDEX(BLS_TableTown[area_text], MATCH(B3623,BLS_TableTown[List_No],0)),"")</f>
        <v/>
      </c>
    </row>
    <row r="3624" spans="2:3" x14ac:dyDescent="0.15">
      <c r="B3624" s="2200">
        <v>249</v>
      </c>
      <c r="C3624" s="2200" t="str">
        <f>IFERROR(INDEX(BLS_TableTown[area_text], MATCH(B3624,BLS_TableTown[List_No],0)),"")</f>
        <v/>
      </c>
    </row>
    <row r="3625" spans="2:3" x14ac:dyDescent="0.15">
      <c r="B3625" s="2200">
        <v>250</v>
      </c>
      <c r="C3625" s="2200" t="str">
        <f>IFERROR(INDEX(BLS_TableTown[area_text], MATCH(B3625,BLS_TableTown[List_No],0)),"")</f>
        <v/>
      </c>
    </row>
    <row r="3626" spans="2:3" x14ac:dyDescent="0.15">
      <c r="B3626" s="2200">
        <v>251</v>
      </c>
      <c r="C3626" s="2200" t="str">
        <f>IFERROR(INDEX(BLS_TableTown[area_text], MATCH(B3626,BLS_TableTown[List_No],0)),"")</f>
        <v/>
      </c>
    </row>
    <row r="3627" spans="2:3" x14ac:dyDescent="0.15">
      <c r="B3627" s="2200">
        <v>252</v>
      </c>
      <c r="C3627" s="2200" t="str">
        <f>IFERROR(INDEX(BLS_TableTown[area_text], MATCH(B3627,BLS_TableTown[List_No],0)),"")</f>
        <v/>
      </c>
    </row>
    <row r="3628" spans="2:3" x14ac:dyDescent="0.15">
      <c r="B3628" s="2200">
        <v>253</v>
      </c>
      <c r="C3628" s="2200" t="str">
        <f>IFERROR(INDEX(BLS_TableTown[area_text], MATCH(B3628,BLS_TableTown[List_No],0)),"")</f>
        <v/>
      </c>
    </row>
    <row r="3629" spans="2:3" x14ac:dyDescent="0.15">
      <c r="B3629" s="2200">
        <v>254</v>
      </c>
      <c r="C3629" s="2200" t="str">
        <f>IFERROR(INDEX(BLS_TableTown[area_text], MATCH(B3629,BLS_TableTown[List_No],0)),"")</f>
        <v/>
      </c>
    </row>
    <row r="3630" spans="2:3" x14ac:dyDescent="0.15">
      <c r="B3630" s="2200">
        <v>255</v>
      </c>
      <c r="C3630" s="2200" t="str">
        <f>IFERROR(INDEX(BLS_TableTown[area_text], MATCH(B3630,BLS_TableTown[List_No],0)),"")</f>
        <v/>
      </c>
    </row>
    <row r="3631" spans="2:3" x14ac:dyDescent="0.15">
      <c r="B3631" s="2200">
        <v>256</v>
      </c>
      <c r="C3631" s="2200" t="str">
        <f>IFERROR(INDEX(BLS_TableTown[area_text], MATCH(B3631,BLS_TableTown[List_No],0)),"")</f>
        <v/>
      </c>
    </row>
    <row r="3632" spans="2:3" x14ac:dyDescent="0.15">
      <c r="B3632" s="2200">
        <v>257</v>
      </c>
      <c r="C3632" s="2200" t="str">
        <f>IFERROR(INDEX(BLS_TableTown[area_text], MATCH(B3632,BLS_TableTown[List_No],0)),"")</f>
        <v/>
      </c>
    </row>
    <row r="3633" spans="2:3" x14ac:dyDescent="0.15">
      <c r="B3633" s="2200">
        <v>258</v>
      </c>
      <c r="C3633" s="2200" t="str">
        <f>IFERROR(INDEX(BLS_TableTown[area_text], MATCH(B3633,BLS_TableTown[List_No],0)),"")</f>
        <v/>
      </c>
    </row>
    <row r="3634" spans="2:3" x14ac:dyDescent="0.15">
      <c r="B3634" s="2200">
        <v>259</v>
      </c>
      <c r="C3634" s="2200" t="str">
        <f>IFERROR(INDEX(BLS_TableTown[area_text], MATCH(B3634,BLS_TableTown[List_No],0)),"")</f>
        <v/>
      </c>
    </row>
    <row r="3635" spans="2:3" x14ac:dyDescent="0.15">
      <c r="B3635" s="2200">
        <v>260</v>
      </c>
      <c r="C3635" s="2200" t="str">
        <f>IFERROR(INDEX(BLS_TableTown[area_text], MATCH(B3635,BLS_TableTown[List_No],0)),"")</f>
        <v/>
      </c>
    </row>
    <row r="3636" spans="2:3" x14ac:dyDescent="0.15">
      <c r="B3636" s="2200">
        <v>261</v>
      </c>
      <c r="C3636" s="2200" t="str">
        <f>IFERROR(INDEX(BLS_TableTown[area_text], MATCH(B3636,BLS_TableTown[List_No],0)),"")</f>
        <v/>
      </c>
    </row>
    <row r="3637" spans="2:3" x14ac:dyDescent="0.15">
      <c r="B3637" s="2200">
        <v>262</v>
      </c>
      <c r="C3637" s="2200" t="str">
        <f>IFERROR(INDEX(BLS_TableTown[area_text], MATCH(B3637,BLS_TableTown[List_No],0)),"")</f>
        <v/>
      </c>
    </row>
    <row r="3638" spans="2:3" x14ac:dyDescent="0.15">
      <c r="B3638" s="2200">
        <v>263</v>
      </c>
      <c r="C3638" s="2200" t="str">
        <f>IFERROR(INDEX(BLS_TableTown[area_text], MATCH(B3638,BLS_TableTown[List_No],0)),"")</f>
        <v/>
      </c>
    </row>
    <row r="3639" spans="2:3" x14ac:dyDescent="0.15">
      <c r="B3639" s="2200">
        <v>264</v>
      </c>
      <c r="C3639" s="2200" t="str">
        <f>IFERROR(INDEX(BLS_TableTown[area_text], MATCH(B3639,BLS_TableTown[List_No],0)),"")</f>
        <v/>
      </c>
    </row>
    <row r="3640" spans="2:3" x14ac:dyDescent="0.15">
      <c r="B3640" s="2200">
        <v>265</v>
      </c>
      <c r="C3640" s="2200" t="str">
        <f>IFERROR(INDEX(BLS_TableTown[area_text], MATCH(B3640,BLS_TableTown[List_No],0)),"")</f>
        <v/>
      </c>
    </row>
    <row r="3641" spans="2:3" x14ac:dyDescent="0.15">
      <c r="B3641" s="2200">
        <v>266</v>
      </c>
      <c r="C3641" s="2200" t="str">
        <f>IFERROR(INDEX(BLS_TableTown[area_text], MATCH(B3641,BLS_TableTown[List_No],0)),"")</f>
        <v/>
      </c>
    </row>
    <row r="3642" spans="2:3" x14ac:dyDescent="0.15">
      <c r="B3642" s="2200">
        <v>267</v>
      </c>
      <c r="C3642" s="2200" t="str">
        <f>IFERROR(INDEX(BLS_TableTown[area_text], MATCH(B3642,BLS_TableTown[List_No],0)),"")</f>
        <v/>
      </c>
    </row>
    <row r="3643" spans="2:3" x14ac:dyDescent="0.15">
      <c r="B3643" s="2200">
        <v>268</v>
      </c>
      <c r="C3643" s="2200" t="str">
        <f>IFERROR(INDEX(BLS_TableTown[area_text], MATCH(B3643,BLS_TableTown[List_No],0)),"")</f>
        <v/>
      </c>
    </row>
    <row r="3644" spans="2:3" x14ac:dyDescent="0.15">
      <c r="B3644" s="2200">
        <v>269</v>
      </c>
      <c r="C3644" s="2200" t="str">
        <f>IFERROR(INDEX(BLS_TableTown[area_text], MATCH(B3644,BLS_TableTown[List_No],0)),"")</f>
        <v/>
      </c>
    </row>
    <row r="3645" spans="2:3" x14ac:dyDescent="0.15">
      <c r="B3645" s="2200">
        <v>270</v>
      </c>
      <c r="C3645" s="2200" t="str">
        <f>IFERROR(INDEX(BLS_TableTown[area_text], MATCH(B3645,BLS_TableTown[List_No],0)),"")</f>
        <v/>
      </c>
    </row>
    <row r="3646" spans="2:3" x14ac:dyDescent="0.15">
      <c r="B3646" s="2200">
        <v>271</v>
      </c>
      <c r="C3646" s="2200" t="str">
        <f>IFERROR(INDEX(BLS_TableTown[area_text], MATCH(B3646,BLS_TableTown[List_No],0)),"")</f>
        <v/>
      </c>
    </row>
    <row r="3647" spans="2:3" x14ac:dyDescent="0.15">
      <c r="B3647" s="2200">
        <v>272</v>
      </c>
      <c r="C3647" s="2200" t="str">
        <f>IFERROR(INDEX(BLS_TableTown[area_text], MATCH(B3647,BLS_TableTown[List_No],0)),"")</f>
        <v/>
      </c>
    </row>
    <row r="3648" spans="2:3" x14ac:dyDescent="0.15">
      <c r="B3648" s="2200">
        <v>273</v>
      </c>
      <c r="C3648" s="2200" t="str">
        <f>IFERROR(INDEX(BLS_TableTown[area_text], MATCH(B3648,BLS_TableTown[List_No],0)),"")</f>
        <v/>
      </c>
    </row>
    <row r="3649" spans="2:3" x14ac:dyDescent="0.15">
      <c r="B3649" s="2200">
        <v>274</v>
      </c>
      <c r="C3649" s="2200" t="str">
        <f>IFERROR(INDEX(BLS_TableTown[area_text], MATCH(B3649,BLS_TableTown[List_No],0)),"")</f>
        <v/>
      </c>
    </row>
    <row r="3650" spans="2:3" x14ac:dyDescent="0.15">
      <c r="B3650" s="2200">
        <v>275</v>
      </c>
      <c r="C3650" s="2200" t="str">
        <f>IFERROR(INDEX(BLS_TableTown[area_text], MATCH(B3650,BLS_TableTown[List_No],0)),"")</f>
        <v/>
      </c>
    </row>
    <row r="3651" spans="2:3" x14ac:dyDescent="0.15">
      <c r="B3651" s="2200">
        <v>276</v>
      </c>
      <c r="C3651" s="2200" t="str">
        <f>IFERROR(INDEX(BLS_TableTown[area_text], MATCH(B3651,BLS_TableTown[List_No],0)),"")</f>
        <v/>
      </c>
    </row>
    <row r="3652" spans="2:3" x14ac:dyDescent="0.15">
      <c r="B3652" s="2200">
        <v>277</v>
      </c>
      <c r="C3652" s="2200" t="str">
        <f>IFERROR(INDEX(BLS_TableTown[area_text], MATCH(B3652,BLS_TableTown[List_No],0)),"")</f>
        <v/>
      </c>
    </row>
    <row r="3653" spans="2:3" x14ac:dyDescent="0.15">
      <c r="B3653" s="2200">
        <v>278</v>
      </c>
      <c r="C3653" s="2200" t="str">
        <f>IFERROR(INDEX(BLS_TableTown[area_text], MATCH(B3653,BLS_TableTown[List_No],0)),"")</f>
        <v/>
      </c>
    </row>
    <row r="3654" spans="2:3" x14ac:dyDescent="0.15">
      <c r="B3654" s="2200">
        <v>279</v>
      </c>
      <c r="C3654" s="2200" t="str">
        <f>IFERROR(INDEX(BLS_TableTown[area_text], MATCH(B3654,BLS_TableTown[List_No],0)),"")</f>
        <v/>
      </c>
    </row>
    <row r="3655" spans="2:3" x14ac:dyDescent="0.15">
      <c r="B3655" s="2200">
        <v>280</v>
      </c>
      <c r="C3655" s="2200" t="str">
        <f>IFERROR(INDEX(BLS_TableTown[area_text], MATCH(B3655,BLS_TableTown[List_No],0)),"")</f>
        <v/>
      </c>
    </row>
    <row r="3656" spans="2:3" x14ac:dyDescent="0.15">
      <c r="B3656" s="2200">
        <v>281</v>
      </c>
      <c r="C3656" s="2200" t="str">
        <f>IFERROR(INDEX(BLS_TableTown[area_text], MATCH(B3656,BLS_TableTown[List_No],0)),"")</f>
        <v/>
      </c>
    </row>
    <row r="3657" spans="2:3" x14ac:dyDescent="0.15">
      <c r="B3657" s="2200">
        <v>282</v>
      </c>
      <c r="C3657" s="2200" t="str">
        <f>IFERROR(INDEX(BLS_TableTown[area_text], MATCH(B3657,BLS_TableTown[List_No],0)),"")</f>
        <v/>
      </c>
    </row>
    <row r="3658" spans="2:3" x14ac:dyDescent="0.15">
      <c r="B3658" s="2200">
        <v>283</v>
      </c>
      <c r="C3658" s="2200" t="str">
        <f>IFERROR(INDEX(BLS_TableTown[area_text], MATCH(B3658,BLS_TableTown[List_No],0)),"")</f>
        <v/>
      </c>
    </row>
    <row r="3659" spans="2:3" x14ac:dyDescent="0.15">
      <c r="B3659" s="2200">
        <v>284</v>
      </c>
      <c r="C3659" s="2200" t="str">
        <f>IFERROR(INDEX(BLS_TableTown[area_text], MATCH(B3659,BLS_TableTown[List_No],0)),"")</f>
        <v/>
      </c>
    </row>
    <row r="3660" spans="2:3" x14ac:dyDescent="0.15">
      <c r="B3660" s="2200">
        <v>285</v>
      </c>
      <c r="C3660" s="2200" t="str">
        <f>IFERROR(INDEX(BLS_TableTown[area_text], MATCH(B3660,BLS_TableTown[List_No],0)),"")</f>
        <v/>
      </c>
    </row>
    <row r="3661" spans="2:3" x14ac:dyDescent="0.15">
      <c r="B3661" s="2200">
        <v>286</v>
      </c>
      <c r="C3661" s="2200" t="str">
        <f>IFERROR(INDEX(BLS_TableTown[area_text], MATCH(B3661,BLS_TableTown[List_No],0)),"")</f>
        <v/>
      </c>
    </row>
    <row r="3662" spans="2:3" x14ac:dyDescent="0.15">
      <c r="B3662" s="2200">
        <v>287</v>
      </c>
      <c r="C3662" s="2200" t="str">
        <f>IFERROR(INDEX(BLS_TableTown[area_text], MATCH(B3662,BLS_TableTown[List_No],0)),"")</f>
        <v/>
      </c>
    </row>
    <row r="3663" spans="2:3" x14ac:dyDescent="0.15">
      <c r="B3663" s="2200">
        <v>288</v>
      </c>
      <c r="C3663" s="2200" t="str">
        <f>IFERROR(INDEX(BLS_TableTown[area_text], MATCH(B3663,BLS_TableTown[List_No],0)),"")</f>
        <v/>
      </c>
    </row>
    <row r="3664" spans="2:3" x14ac:dyDescent="0.15">
      <c r="B3664" s="2200">
        <v>289</v>
      </c>
      <c r="C3664" s="2200" t="str">
        <f>IFERROR(INDEX(BLS_TableTown[area_text], MATCH(B3664,BLS_TableTown[List_No],0)),"")</f>
        <v/>
      </c>
    </row>
    <row r="3665" spans="2:3" x14ac:dyDescent="0.15">
      <c r="B3665" s="2200">
        <v>290</v>
      </c>
      <c r="C3665" s="2200" t="str">
        <f>IFERROR(INDEX(BLS_TableTown[area_text], MATCH(B3665,BLS_TableTown[List_No],0)),"")</f>
        <v/>
      </c>
    </row>
    <row r="3666" spans="2:3" x14ac:dyDescent="0.15">
      <c r="B3666" s="2200">
        <v>291</v>
      </c>
      <c r="C3666" s="2200" t="str">
        <f>IFERROR(INDEX(BLS_TableTown[area_text], MATCH(B3666,BLS_TableTown[List_No],0)),"")</f>
        <v/>
      </c>
    </row>
    <row r="3667" spans="2:3" x14ac:dyDescent="0.15">
      <c r="B3667" s="2200">
        <v>292</v>
      </c>
      <c r="C3667" s="2200" t="str">
        <f>IFERROR(INDEX(BLS_TableTown[area_text], MATCH(B3667,BLS_TableTown[List_No],0)),"")</f>
        <v/>
      </c>
    </row>
    <row r="3668" spans="2:3" x14ac:dyDescent="0.15">
      <c r="B3668" s="2200">
        <v>293</v>
      </c>
      <c r="C3668" s="2200" t="str">
        <f>IFERROR(INDEX(BLS_TableTown[area_text], MATCH(B3668,BLS_TableTown[List_No],0)),"")</f>
        <v/>
      </c>
    </row>
    <row r="3669" spans="2:3" x14ac:dyDescent="0.15">
      <c r="B3669" s="2200">
        <v>294</v>
      </c>
      <c r="C3669" s="2200" t="str">
        <f>IFERROR(INDEX(BLS_TableTown[area_text], MATCH(B3669,BLS_TableTown[List_No],0)),"")</f>
        <v/>
      </c>
    </row>
    <row r="3670" spans="2:3" x14ac:dyDescent="0.15">
      <c r="B3670" s="2200">
        <v>295</v>
      </c>
      <c r="C3670" s="2200" t="str">
        <f>IFERROR(INDEX(BLS_TableTown[area_text], MATCH(B3670,BLS_TableTown[List_No],0)),"")</f>
        <v/>
      </c>
    </row>
    <row r="3671" spans="2:3" x14ac:dyDescent="0.15">
      <c r="B3671" s="2200">
        <v>296</v>
      </c>
      <c r="C3671" s="2200" t="str">
        <f>IFERROR(INDEX(BLS_TableTown[area_text], MATCH(B3671,BLS_TableTown[List_No],0)),"")</f>
        <v/>
      </c>
    </row>
    <row r="3672" spans="2:3" x14ac:dyDescent="0.15">
      <c r="B3672" s="2200">
        <v>297</v>
      </c>
      <c r="C3672" s="2200" t="str">
        <f>IFERROR(INDEX(BLS_TableTown[area_text], MATCH(B3672,BLS_TableTown[List_No],0)),"")</f>
        <v/>
      </c>
    </row>
    <row r="3673" spans="2:3" x14ac:dyDescent="0.15">
      <c r="B3673" s="2200">
        <v>298</v>
      </c>
      <c r="C3673" s="2200" t="str">
        <f>IFERROR(INDEX(BLS_TableTown[area_text], MATCH(B3673,BLS_TableTown[List_No],0)),"")</f>
        <v/>
      </c>
    </row>
    <row r="3674" spans="2:3" x14ac:dyDescent="0.15">
      <c r="B3674" s="2200">
        <v>299</v>
      </c>
      <c r="C3674" s="2200" t="str">
        <f>IFERROR(INDEX(BLS_TableTown[area_text], MATCH(B3674,BLS_TableTown[List_No],0)),"")</f>
        <v/>
      </c>
    </row>
    <row r="3675" spans="2:3" x14ac:dyDescent="0.15">
      <c r="B3675" s="2200">
        <v>300</v>
      </c>
      <c r="C3675" s="2200" t="str">
        <f>IFERROR(INDEX(BLS_TableTown[area_text], MATCH(B3675,BLS_TableTown[List_No],0)),"")</f>
        <v/>
      </c>
    </row>
    <row r="3676" spans="2:3" x14ac:dyDescent="0.15">
      <c r="B3676" s="2200">
        <v>301</v>
      </c>
      <c r="C3676" s="2200" t="str">
        <f>IFERROR(INDEX(BLS_TableTown[area_text], MATCH(B3676,BLS_TableTown[List_No],0)),"")</f>
        <v/>
      </c>
    </row>
    <row r="3677" spans="2:3" x14ac:dyDescent="0.15">
      <c r="B3677" s="2200">
        <v>302</v>
      </c>
      <c r="C3677" s="2200" t="str">
        <f>IFERROR(INDEX(BLS_TableTown[area_text], MATCH(B3677,BLS_TableTown[List_No],0)),"")</f>
        <v/>
      </c>
    </row>
    <row r="3678" spans="2:3" x14ac:dyDescent="0.15">
      <c r="B3678" s="2200">
        <v>303</v>
      </c>
      <c r="C3678" s="2200" t="str">
        <f>IFERROR(INDEX(BLS_TableTown[area_text], MATCH(B3678,BLS_TableTown[List_No],0)),"")</f>
        <v/>
      </c>
    </row>
    <row r="3679" spans="2:3" x14ac:dyDescent="0.15">
      <c r="B3679" s="2200">
        <v>304</v>
      </c>
      <c r="C3679" s="2200" t="str">
        <f>IFERROR(INDEX(BLS_TableTown[area_text], MATCH(B3679,BLS_TableTown[List_No],0)),"")</f>
        <v/>
      </c>
    </row>
    <row r="3680" spans="2:3" x14ac:dyDescent="0.15">
      <c r="B3680" s="2200">
        <v>305</v>
      </c>
      <c r="C3680" s="2200" t="str">
        <f>IFERROR(INDEX(BLS_TableTown[area_text], MATCH(B3680,BLS_TableTown[List_No],0)),"")</f>
        <v/>
      </c>
    </row>
    <row r="3681" spans="2:3" x14ac:dyDescent="0.15">
      <c r="B3681" s="2200">
        <v>306</v>
      </c>
      <c r="C3681" s="2200" t="str">
        <f>IFERROR(INDEX(BLS_TableTown[area_text], MATCH(B3681,BLS_TableTown[List_No],0)),"")</f>
        <v/>
      </c>
    </row>
    <row r="3682" spans="2:3" x14ac:dyDescent="0.15">
      <c r="B3682" s="2200">
        <v>307</v>
      </c>
      <c r="C3682" s="2200" t="str">
        <f>IFERROR(INDEX(BLS_TableTown[area_text], MATCH(B3682,BLS_TableTown[List_No],0)),"")</f>
        <v/>
      </c>
    </row>
    <row r="3683" spans="2:3" x14ac:dyDescent="0.15">
      <c r="B3683" s="2200">
        <v>308</v>
      </c>
      <c r="C3683" s="2200" t="str">
        <f>IFERROR(INDEX(BLS_TableTown[area_text], MATCH(B3683,BLS_TableTown[List_No],0)),"")</f>
        <v/>
      </c>
    </row>
    <row r="3684" spans="2:3" x14ac:dyDescent="0.15">
      <c r="B3684" s="2200">
        <v>309</v>
      </c>
      <c r="C3684" s="2200" t="str">
        <f>IFERROR(INDEX(BLS_TableTown[area_text], MATCH(B3684,BLS_TableTown[List_No],0)),"")</f>
        <v/>
      </c>
    </row>
    <row r="3685" spans="2:3" x14ac:dyDescent="0.15">
      <c r="B3685" s="2200">
        <v>310</v>
      </c>
      <c r="C3685" s="2200" t="str">
        <f>IFERROR(INDEX(BLS_TableTown[area_text], MATCH(B3685,BLS_TableTown[List_No],0)),"")</f>
        <v/>
      </c>
    </row>
    <row r="3686" spans="2:3" x14ac:dyDescent="0.15">
      <c r="B3686" s="2200">
        <v>311</v>
      </c>
      <c r="C3686" s="2200" t="str">
        <f>IFERROR(INDEX(BLS_TableTown[area_text], MATCH(B3686,BLS_TableTown[List_No],0)),"")</f>
        <v/>
      </c>
    </row>
    <row r="3687" spans="2:3" x14ac:dyDescent="0.15">
      <c r="B3687" s="2200">
        <v>312</v>
      </c>
      <c r="C3687" s="2200" t="str">
        <f>IFERROR(INDEX(BLS_TableTown[area_text], MATCH(B3687,BLS_TableTown[List_No],0)),"")</f>
        <v/>
      </c>
    </row>
    <row r="3688" spans="2:3" x14ac:dyDescent="0.15">
      <c r="B3688" s="2200">
        <v>313</v>
      </c>
      <c r="C3688" s="2200" t="str">
        <f>IFERROR(INDEX(BLS_TableTown[area_text], MATCH(B3688,BLS_TableTown[List_No],0)),"")</f>
        <v/>
      </c>
    </row>
    <row r="3689" spans="2:3" x14ac:dyDescent="0.15">
      <c r="B3689" s="2200">
        <v>314</v>
      </c>
      <c r="C3689" s="2200" t="str">
        <f>IFERROR(INDEX(BLS_TableTown[area_text], MATCH(B3689,BLS_TableTown[List_No],0)),"")</f>
        <v/>
      </c>
    </row>
    <row r="3690" spans="2:3" x14ac:dyDescent="0.15">
      <c r="B3690" s="2200">
        <v>315</v>
      </c>
      <c r="C3690" s="2200" t="str">
        <f>IFERROR(INDEX(BLS_TableTown[area_text], MATCH(B3690,BLS_TableTown[List_No],0)),"")</f>
        <v/>
      </c>
    </row>
    <row r="3691" spans="2:3" x14ac:dyDescent="0.15">
      <c r="B3691" s="2200">
        <v>316</v>
      </c>
      <c r="C3691" s="2200" t="str">
        <f>IFERROR(INDEX(BLS_TableTown[area_text], MATCH(B3691,BLS_TableTown[List_No],0)),"")</f>
        <v/>
      </c>
    </row>
    <row r="3692" spans="2:3" x14ac:dyDescent="0.15">
      <c r="B3692" s="2200">
        <v>317</v>
      </c>
      <c r="C3692" s="2200" t="str">
        <f>IFERROR(INDEX(BLS_TableTown[area_text], MATCH(B3692,BLS_TableTown[List_No],0)),"")</f>
        <v/>
      </c>
    </row>
    <row r="3693" spans="2:3" x14ac:dyDescent="0.15">
      <c r="B3693" s="2200">
        <v>318</v>
      </c>
      <c r="C3693" s="2200" t="str">
        <f>IFERROR(INDEX(BLS_TableTown[area_text], MATCH(B3693,BLS_TableTown[List_No],0)),"")</f>
        <v/>
      </c>
    </row>
    <row r="3694" spans="2:3" x14ac:dyDescent="0.15">
      <c r="B3694" s="2200">
        <v>319</v>
      </c>
      <c r="C3694" s="2200" t="str">
        <f>IFERROR(INDEX(BLS_TableTown[area_text], MATCH(B3694,BLS_TableTown[List_No],0)),"")</f>
        <v/>
      </c>
    </row>
    <row r="3695" spans="2:3" x14ac:dyDescent="0.15">
      <c r="B3695" s="2200">
        <v>320</v>
      </c>
      <c r="C3695" s="2200" t="str">
        <f>IFERROR(INDEX(BLS_TableTown[area_text], MATCH(B3695,BLS_TableTown[List_No],0)),"")</f>
        <v/>
      </c>
    </row>
    <row r="3696" spans="2:3" x14ac:dyDescent="0.15">
      <c r="B3696" s="2200">
        <v>321</v>
      </c>
      <c r="C3696" s="2200" t="str">
        <f>IFERROR(INDEX(BLS_TableTown[area_text], MATCH(B3696,BLS_TableTown[List_No],0)),"")</f>
        <v/>
      </c>
    </row>
    <row r="3697" spans="2:3" x14ac:dyDescent="0.15">
      <c r="B3697" s="2200">
        <v>322</v>
      </c>
      <c r="C3697" s="2200" t="str">
        <f>IFERROR(INDEX(BLS_TableTown[area_text], MATCH(B3697,BLS_TableTown[List_No],0)),"")</f>
        <v/>
      </c>
    </row>
    <row r="3698" spans="2:3" x14ac:dyDescent="0.15">
      <c r="B3698" s="2200">
        <v>323</v>
      </c>
      <c r="C3698" s="2200" t="str">
        <f>IFERROR(INDEX(BLS_TableTown[area_text], MATCH(B3698,BLS_TableTown[List_No],0)),"")</f>
        <v/>
      </c>
    </row>
    <row r="3699" spans="2:3" x14ac:dyDescent="0.15">
      <c r="B3699" s="2200">
        <v>324</v>
      </c>
      <c r="C3699" s="2200" t="str">
        <f>IFERROR(INDEX(BLS_TableTown[area_text], MATCH(B3699,BLS_TableTown[List_No],0)),"")</f>
        <v/>
      </c>
    </row>
    <row r="3700" spans="2:3" x14ac:dyDescent="0.15">
      <c r="B3700" s="2200">
        <v>325</v>
      </c>
      <c r="C3700" s="2200" t="str">
        <f>IFERROR(INDEX(BLS_TableTown[area_text], MATCH(B3700,BLS_TableTown[List_No],0)),"")</f>
        <v/>
      </c>
    </row>
    <row r="3701" spans="2:3" x14ac:dyDescent="0.15">
      <c r="B3701" s="2200">
        <v>326</v>
      </c>
      <c r="C3701" s="2200" t="str">
        <f>IFERROR(INDEX(BLS_TableTown[area_text], MATCH(B3701,BLS_TableTown[List_No],0)),"")</f>
        <v/>
      </c>
    </row>
    <row r="3702" spans="2:3" x14ac:dyDescent="0.15">
      <c r="B3702" s="2200">
        <v>327</v>
      </c>
      <c r="C3702" s="2200" t="str">
        <f>IFERROR(INDEX(BLS_TableTown[area_text], MATCH(B3702,BLS_TableTown[List_No],0)),"")</f>
        <v/>
      </c>
    </row>
    <row r="3703" spans="2:3" x14ac:dyDescent="0.15">
      <c r="B3703" s="2200">
        <v>328</v>
      </c>
      <c r="C3703" s="2200" t="str">
        <f>IFERROR(INDEX(BLS_TableTown[area_text], MATCH(B3703,BLS_TableTown[List_No],0)),"")</f>
        <v/>
      </c>
    </row>
    <row r="3704" spans="2:3" x14ac:dyDescent="0.15">
      <c r="B3704" s="2200">
        <v>329</v>
      </c>
      <c r="C3704" s="2200" t="str">
        <f>IFERROR(INDEX(BLS_TableTown[area_text], MATCH(B3704,BLS_TableTown[List_No],0)),"")</f>
        <v/>
      </c>
    </row>
    <row r="3705" spans="2:3" x14ac:dyDescent="0.15">
      <c r="B3705" s="2200">
        <v>330</v>
      </c>
      <c r="C3705" s="2200" t="str">
        <f>IFERROR(INDEX(BLS_TableTown[area_text], MATCH(B3705,BLS_TableTown[List_No],0)),"")</f>
        <v/>
      </c>
    </row>
    <row r="3706" spans="2:3" x14ac:dyDescent="0.15">
      <c r="B3706" s="2200">
        <v>331</v>
      </c>
      <c r="C3706" s="2200" t="str">
        <f>IFERROR(INDEX(BLS_TableTown[area_text], MATCH(B3706,BLS_TableTown[List_No],0)),"")</f>
        <v/>
      </c>
    </row>
    <row r="3707" spans="2:3" x14ac:dyDescent="0.15">
      <c r="B3707" s="2200">
        <v>332</v>
      </c>
      <c r="C3707" s="2200" t="str">
        <f>IFERROR(INDEX(BLS_TableTown[area_text], MATCH(B3707,BLS_TableTown[List_No],0)),"")</f>
        <v/>
      </c>
    </row>
    <row r="3708" spans="2:3" x14ac:dyDescent="0.15">
      <c r="B3708" s="2200">
        <v>333</v>
      </c>
      <c r="C3708" s="2200" t="str">
        <f>IFERROR(INDEX(BLS_TableTown[area_text], MATCH(B3708,BLS_TableTown[List_No],0)),"")</f>
        <v/>
      </c>
    </row>
    <row r="3709" spans="2:3" x14ac:dyDescent="0.15">
      <c r="B3709" s="2200">
        <v>334</v>
      </c>
      <c r="C3709" s="2200" t="str">
        <f>IFERROR(INDEX(BLS_TableTown[area_text], MATCH(B3709,BLS_TableTown[List_No],0)),"")</f>
        <v/>
      </c>
    </row>
    <row r="3710" spans="2:3" x14ac:dyDescent="0.15">
      <c r="B3710" s="2200">
        <v>335</v>
      </c>
      <c r="C3710" s="2200" t="str">
        <f>IFERROR(INDEX(BLS_TableTown[area_text], MATCH(B3710,BLS_TableTown[List_No],0)),"")</f>
        <v/>
      </c>
    </row>
    <row r="3711" spans="2:3" x14ac:dyDescent="0.15">
      <c r="B3711" s="2200">
        <v>336</v>
      </c>
      <c r="C3711" s="2200" t="str">
        <f>IFERROR(INDEX(BLS_TableTown[area_text], MATCH(B3711,BLS_TableTown[List_No],0)),"")</f>
        <v/>
      </c>
    </row>
    <row r="3712" spans="2:3" x14ac:dyDescent="0.15">
      <c r="B3712" s="2200">
        <v>337</v>
      </c>
      <c r="C3712" s="2200" t="str">
        <f>IFERROR(INDEX(BLS_TableTown[area_text], MATCH(B3712,BLS_TableTown[List_No],0)),"")</f>
        <v/>
      </c>
    </row>
    <row r="3713" spans="2:3" x14ac:dyDescent="0.15">
      <c r="B3713" s="2200">
        <v>338</v>
      </c>
      <c r="C3713" s="2200" t="str">
        <f>IFERROR(INDEX(BLS_TableTown[area_text], MATCH(B3713,BLS_TableTown[List_No],0)),"")</f>
        <v/>
      </c>
    </row>
    <row r="3714" spans="2:3" x14ac:dyDescent="0.15">
      <c r="B3714" s="2200">
        <v>339</v>
      </c>
      <c r="C3714" s="2200" t="str">
        <f>IFERROR(INDEX(BLS_TableTown[area_text], MATCH(B3714,BLS_TableTown[List_No],0)),"")</f>
        <v/>
      </c>
    </row>
    <row r="3715" spans="2:3" x14ac:dyDescent="0.15">
      <c r="B3715" s="2200">
        <v>340</v>
      </c>
      <c r="C3715" s="2200" t="str">
        <f>IFERROR(INDEX(BLS_TableTown[area_text], MATCH(B3715,BLS_TableTown[List_No],0)),"")</f>
        <v/>
      </c>
    </row>
    <row r="3716" spans="2:3" x14ac:dyDescent="0.15">
      <c r="B3716" s="2200">
        <v>341</v>
      </c>
      <c r="C3716" s="2200" t="str">
        <f>IFERROR(INDEX(BLS_TableTown[area_text], MATCH(B3716,BLS_TableTown[List_No],0)),"")</f>
        <v/>
      </c>
    </row>
    <row r="3717" spans="2:3" x14ac:dyDescent="0.15">
      <c r="B3717" s="2200">
        <v>342</v>
      </c>
      <c r="C3717" s="2200" t="str">
        <f>IFERROR(INDEX(BLS_TableTown[area_text], MATCH(B3717,BLS_TableTown[List_No],0)),"")</f>
        <v/>
      </c>
    </row>
    <row r="3718" spans="2:3" x14ac:dyDescent="0.15">
      <c r="B3718" s="2200">
        <v>343</v>
      </c>
      <c r="C3718" s="2200" t="str">
        <f>IFERROR(INDEX(BLS_TableTown[area_text], MATCH(B3718,BLS_TableTown[List_No],0)),"")</f>
        <v/>
      </c>
    </row>
    <row r="3719" spans="2:3" x14ac:dyDescent="0.15">
      <c r="B3719" s="2200">
        <v>344</v>
      </c>
      <c r="C3719" s="2200" t="str">
        <f>IFERROR(INDEX(BLS_TableTown[area_text], MATCH(B3719,BLS_TableTown[List_No],0)),"")</f>
        <v/>
      </c>
    </row>
    <row r="3720" spans="2:3" x14ac:dyDescent="0.15">
      <c r="B3720" s="2200">
        <v>345</v>
      </c>
      <c r="C3720" s="2200" t="str">
        <f>IFERROR(INDEX(BLS_TableTown[area_text], MATCH(B3720,BLS_TableTown[List_No],0)),"")</f>
        <v/>
      </c>
    </row>
    <row r="3721" spans="2:3" x14ac:dyDescent="0.15">
      <c r="B3721" s="2200">
        <v>346</v>
      </c>
      <c r="C3721" s="2200" t="str">
        <f>IFERROR(INDEX(BLS_TableTown[area_text], MATCH(B3721,BLS_TableTown[List_No],0)),"")</f>
        <v/>
      </c>
    </row>
    <row r="3722" spans="2:3" x14ac:dyDescent="0.15">
      <c r="B3722" s="2200">
        <v>347</v>
      </c>
      <c r="C3722" s="2200" t="str">
        <f>IFERROR(INDEX(BLS_TableTown[area_text], MATCH(B3722,BLS_TableTown[List_No],0)),"")</f>
        <v/>
      </c>
    </row>
    <row r="3723" spans="2:3" x14ac:dyDescent="0.15">
      <c r="B3723" s="2200">
        <v>348</v>
      </c>
      <c r="C3723" s="2200" t="str">
        <f>IFERROR(INDEX(BLS_TableTown[area_text], MATCH(B3723,BLS_TableTown[List_No],0)),"")</f>
        <v/>
      </c>
    </row>
    <row r="3724" spans="2:3" x14ac:dyDescent="0.15">
      <c r="B3724" s="2200">
        <v>349</v>
      </c>
      <c r="C3724" s="2200" t="str">
        <f>IFERROR(INDEX(BLS_TableTown[area_text], MATCH(B3724,BLS_TableTown[List_No],0)),"")</f>
        <v/>
      </c>
    </row>
    <row r="3725" spans="2:3" x14ac:dyDescent="0.15">
      <c r="B3725" s="2200">
        <v>350</v>
      </c>
      <c r="C3725" s="2200" t="str">
        <f>IFERROR(INDEX(BLS_TableTown[area_text], MATCH(B3725,BLS_TableTown[List_No],0)),"")</f>
        <v/>
      </c>
    </row>
    <row r="3726" spans="2:3" x14ac:dyDescent="0.15">
      <c r="B3726" s="2200">
        <v>351</v>
      </c>
      <c r="C3726" s="2200" t="str">
        <f>IFERROR(INDEX(BLS_TableTown[area_text], MATCH(B3726,BLS_TableTown[List_No],0)),"")</f>
        <v/>
      </c>
    </row>
    <row r="3727" spans="2:3" x14ac:dyDescent="0.15">
      <c r="B3727" s="2200">
        <v>352</v>
      </c>
      <c r="C3727" s="2200" t="str">
        <f>IFERROR(INDEX(BLS_TableTown[area_text], MATCH(B3727,BLS_TableTown[List_No],0)),"")</f>
        <v/>
      </c>
    </row>
    <row r="3728" spans="2:3" x14ac:dyDescent="0.15">
      <c r="B3728" s="2200">
        <v>353</v>
      </c>
      <c r="C3728" s="2200" t="str">
        <f>IFERROR(INDEX(BLS_TableTown[area_text], MATCH(B3728,BLS_TableTown[List_No],0)),"")</f>
        <v/>
      </c>
    </row>
    <row r="3729" spans="2:3" x14ac:dyDescent="0.15">
      <c r="B3729" s="2200">
        <v>354</v>
      </c>
      <c r="C3729" s="2200" t="str">
        <f>IFERROR(INDEX(BLS_TableTown[area_text], MATCH(B3729,BLS_TableTown[List_No],0)),"")</f>
        <v/>
      </c>
    </row>
    <row r="3730" spans="2:3" x14ac:dyDescent="0.15">
      <c r="B3730" s="2200">
        <v>355</v>
      </c>
      <c r="C3730" s="2200" t="str">
        <f>IFERROR(INDEX(BLS_TableTown[area_text], MATCH(B3730,BLS_TableTown[List_No],0)),"")</f>
        <v/>
      </c>
    </row>
    <row r="3731" spans="2:3" x14ac:dyDescent="0.15">
      <c r="B3731" s="2200">
        <v>356</v>
      </c>
      <c r="C3731" s="2200" t="str">
        <f>IFERROR(INDEX(BLS_TableTown[area_text], MATCH(B3731,BLS_TableTown[List_No],0)),"")</f>
        <v/>
      </c>
    </row>
    <row r="3732" spans="2:3" x14ac:dyDescent="0.15">
      <c r="B3732" s="2200">
        <v>357</v>
      </c>
      <c r="C3732" s="2200" t="str">
        <f>IFERROR(INDEX(BLS_TableTown[area_text], MATCH(B3732,BLS_TableTown[List_No],0)),"")</f>
        <v/>
      </c>
    </row>
    <row r="3733" spans="2:3" x14ac:dyDescent="0.15">
      <c r="B3733" s="2200">
        <v>358</v>
      </c>
      <c r="C3733" s="2200" t="str">
        <f>IFERROR(INDEX(BLS_TableTown[area_text], MATCH(B3733,BLS_TableTown[List_No],0)),"")</f>
        <v/>
      </c>
    </row>
    <row r="3734" spans="2:3" x14ac:dyDescent="0.15">
      <c r="B3734" s="2200">
        <v>359</v>
      </c>
      <c r="C3734" s="2200" t="str">
        <f>IFERROR(INDEX(BLS_TableTown[area_text], MATCH(B3734,BLS_TableTown[List_No],0)),"")</f>
        <v/>
      </c>
    </row>
    <row r="3735" spans="2:3" x14ac:dyDescent="0.15">
      <c r="B3735" s="2200">
        <v>360</v>
      </c>
      <c r="C3735" s="2200" t="str">
        <f>IFERROR(INDEX(BLS_TableTown[area_text], MATCH(B3735,BLS_TableTown[List_No],0)),"")</f>
        <v/>
      </c>
    </row>
    <row r="3736" spans="2:3" x14ac:dyDescent="0.15">
      <c r="B3736" s="2200">
        <v>361</v>
      </c>
      <c r="C3736" s="2200" t="str">
        <f>IFERROR(INDEX(BLS_TableTown[area_text], MATCH(B3736,BLS_TableTown[List_No],0)),"")</f>
        <v/>
      </c>
    </row>
    <row r="3737" spans="2:3" x14ac:dyDescent="0.15">
      <c r="B3737" s="2200">
        <v>362</v>
      </c>
      <c r="C3737" s="2200" t="str">
        <f>IFERROR(INDEX(BLS_TableTown[area_text], MATCH(B3737,BLS_TableTown[List_No],0)),"")</f>
        <v/>
      </c>
    </row>
    <row r="3738" spans="2:3" x14ac:dyDescent="0.15">
      <c r="B3738" s="2200">
        <v>363</v>
      </c>
      <c r="C3738" s="2200" t="str">
        <f>IFERROR(INDEX(BLS_TableTown[area_text], MATCH(B3738,BLS_TableTown[List_No],0)),"")</f>
        <v/>
      </c>
    </row>
    <row r="3739" spans="2:3" x14ac:dyDescent="0.15">
      <c r="B3739" s="2200">
        <v>364</v>
      </c>
      <c r="C3739" s="2200" t="str">
        <f>IFERROR(INDEX(BLS_TableTown[area_text], MATCH(B3739,BLS_TableTown[List_No],0)),"")</f>
        <v/>
      </c>
    </row>
    <row r="3740" spans="2:3" x14ac:dyDescent="0.15">
      <c r="B3740" s="2200">
        <v>365</v>
      </c>
      <c r="C3740" s="2200" t="str">
        <f>IFERROR(INDEX(BLS_TableTown[area_text], MATCH(B3740,BLS_TableTown[List_No],0)),"")</f>
        <v/>
      </c>
    </row>
    <row r="3741" spans="2:3" x14ac:dyDescent="0.15">
      <c r="B3741" s="2200">
        <v>366</v>
      </c>
      <c r="C3741" s="2200" t="str">
        <f>IFERROR(INDEX(BLS_TableTown[area_text], MATCH(B3741,BLS_TableTown[List_No],0)),"")</f>
        <v/>
      </c>
    </row>
    <row r="3742" spans="2:3" x14ac:dyDescent="0.15">
      <c r="B3742" s="2200">
        <v>367</v>
      </c>
      <c r="C3742" s="2200" t="str">
        <f>IFERROR(INDEX(BLS_TableTown[area_text], MATCH(B3742,BLS_TableTown[List_No],0)),"")</f>
        <v/>
      </c>
    </row>
    <row r="3743" spans="2:3" x14ac:dyDescent="0.15">
      <c r="B3743" s="2200">
        <v>368</v>
      </c>
      <c r="C3743" s="2200" t="str">
        <f>IFERROR(INDEX(BLS_TableTown[area_text], MATCH(B3743,BLS_TableTown[List_No],0)),"")</f>
        <v/>
      </c>
    </row>
    <row r="3744" spans="2:3" x14ac:dyDescent="0.15">
      <c r="B3744" s="2200">
        <v>369</v>
      </c>
      <c r="C3744" s="2200" t="str">
        <f>IFERROR(INDEX(BLS_TableTown[area_text], MATCH(B3744,BLS_TableTown[List_No],0)),"")</f>
        <v/>
      </c>
    </row>
    <row r="3745" spans="2:3" x14ac:dyDescent="0.15">
      <c r="B3745" s="2200">
        <v>370</v>
      </c>
      <c r="C3745" s="2200" t="str">
        <f>IFERROR(INDEX(BLS_TableTown[area_text], MATCH(B3745,BLS_TableTown[List_No],0)),"")</f>
        <v/>
      </c>
    </row>
    <row r="3746" spans="2:3" x14ac:dyDescent="0.15">
      <c r="B3746" s="2200">
        <v>371</v>
      </c>
      <c r="C3746" s="2200" t="str">
        <f>IFERROR(INDEX(BLS_TableTown[area_text], MATCH(B3746,BLS_TableTown[List_No],0)),"")</f>
        <v/>
      </c>
    </row>
    <row r="3747" spans="2:3" x14ac:dyDescent="0.15">
      <c r="B3747" s="2200">
        <v>372</v>
      </c>
      <c r="C3747" s="2200" t="str">
        <f>IFERROR(INDEX(BLS_TableTown[area_text], MATCH(B3747,BLS_TableTown[List_No],0)),"")</f>
        <v/>
      </c>
    </row>
    <row r="3748" spans="2:3" x14ac:dyDescent="0.15">
      <c r="B3748" s="2200">
        <v>373</v>
      </c>
      <c r="C3748" s="2200" t="str">
        <f>IFERROR(INDEX(BLS_TableTown[area_text], MATCH(B3748,BLS_TableTown[List_No],0)),"")</f>
        <v/>
      </c>
    </row>
    <row r="3749" spans="2:3" x14ac:dyDescent="0.15">
      <c r="B3749" s="2200">
        <v>374</v>
      </c>
      <c r="C3749" s="2200" t="str">
        <f>IFERROR(INDEX(BLS_TableTown[area_text], MATCH(B3749,BLS_TableTown[List_No],0)),"")</f>
        <v/>
      </c>
    </row>
    <row r="3750" spans="2:3" x14ac:dyDescent="0.15">
      <c r="B3750" s="2200">
        <v>375</v>
      </c>
      <c r="C3750" s="2200" t="str">
        <f>IFERROR(INDEX(BLS_TableTown[area_text], MATCH(B3750,BLS_TableTown[List_No],0)),"")</f>
        <v/>
      </c>
    </row>
    <row r="3751" spans="2:3" x14ac:dyDescent="0.15">
      <c r="B3751" s="2200">
        <v>376</v>
      </c>
      <c r="C3751" s="2200" t="str">
        <f>IFERROR(INDEX(BLS_TableTown[area_text], MATCH(B3751,BLS_TableTown[List_No],0)),"")</f>
        <v/>
      </c>
    </row>
    <row r="3752" spans="2:3" x14ac:dyDescent="0.15">
      <c r="B3752" s="2200">
        <v>377</v>
      </c>
      <c r="C3752" s="2200" t="str">
        <f>IFERROR(INDEX(BLS_TableTown[area_text], MATCH(B3752,BLS_TableTown[List_No],0)),"")</f>
        <v/>
      </c>
    </row>
    <row r="3753" spans="2:3" x14ac:dyDescent="0.15">
      <c r="B3753" s="2200">
        <v>378</v>
      </c>
      <c r="C3753" s="2200" t="str">
        <f>IFERROR(INDEX(BLS_TableTown[area_text], MATCH(B3753,BLS_TableTown[List_No],0)),"")</f>
        <v/>
      </c>
    </row>
    <row r="3754" spans="2:3" x14ac:dyDescent="0.15">
      <c r="B3754" s="2200">
        <v>379</v>
      </c>
      <c r="C3754" s="2200" t="str">
        <f>IFERROR(INDEX(BLS_TableTown[area_text], MATCH(B3754,BLS_TableTown[List_No],0)),"")</f>
        <v/>
      </c>
    </row>
    <row r="3755" spans="2:3" x14ac:dyDescent="0.15">
      <c r="B3755" s="2200">
        <v>380</v>
      </c>
      <c r="C3755" s="2200" t="str">
        <f>IFERROR(INDEX(BLS_TableTown[area_text], MATCH(B3755,BLS_TableTown[List_No],0)),"")</f>
        <v/>
      </c>
    </row>
    <row r="3756" spans="2:3" x14ac:dyDescent="0.15">
      <c r="B3756" s="2200">
        <v>381</v>
      </c>
      <c r="C3756" s="2200" t="str">
        <f>IFERROR(INDEX(BLS_TableTown[area_text], MATCH(B3756,BLS_TableTown[List_No],0)),"")</f>
        <v/>
      </c>
    </row>
    <row r="3757" spans="2:3" x14ac:dyDescent="0.15">
      <c r="B3757" s="2200">
        <v>382</v>
      </c>
      <c r="C3757" s="2200" t="str">
        <f>IFERROR(INDEX(BLS_TableTown[area_text], MATCH(B3757,BLS_TableTown[List_No],0)),"")</f>
        <v/>
      </c>
    </row>
    <row r="3758" spans="2:3" x14ac:dyDescent="0.15">
      <c r="B3758" s="2200">
        <v>383</v>
      </c>
      <c r="C3758" s="2200" t="str">
        <f>IFERROR(INDEX(BLS_TableTown[area_text], MATCH(B3758,BLS_TableTown[List_No],0)),"")</f>
        <v/>
      </c>
    </row>
    <row r="3759" spans="2:3" x14ac:dyDescent="0.15">
      <c r="B3759" s="2200">
        <v>384</v>
      </c>
      <c r="C3759" s="2200" t="str">
        <f>IFERROR(INDEX(BLS_TableTown[area_text], MATCH(B3759,BLS_TableTown[List_No],0)),"")</f>
        <v/>
      </c>
    </row>
    <row r="3760" spans="2:3" x14ac:dyDescent="0.15">
      <c r="B3760" s="2200">
        <v>385</v>
      </c>
      <c r="C3760" s="2200" t="str">
        <f>IFERROR(INDEX(BLS_TableTown[area_text], MATCH(B3760,BLS_TableTown[List_No],0)),"")</f>
        <v/>
      </c>
    </row>
    <row r="3761" spans="2:3" x14ac:dyDescent="0.15">
      <c r="B3761" s="2200">
        <v>386</v>
      </c>
      <c r="C3761" s="2200" t="str">
        <f>IFERROR(INDEX(BLS_TableTown[area_text], MATCH(B3761,BLS_TableTown[List_No],0)),"")</f>
        <v/>
      </c>
    </row>
    <row r="3762" spans="2:3" x14ac:dyDescent="0.15">
      <c r="B3762" s="2200">
        <v>387</v>
      </c>
      <c r="C3762" s="2200" t="str">
        <f>IFERROR(INDEX(BLS_TableTown[area_text], MATCH(B3762,BLS_TableTown[List_No],0)),"")</f>
        <v/>
      </c>
    </row>
    <row r="3763" spans="2:3" x14ac:dyDescent="0.15">
      <c r="B3763" s="2200">
        <v>388</v>
      </c>
      <c r="C3763" s="2200" t="str">
        <f>IFERROR(INDEX(BLS_TableTown[area_text], MATCH(B3763,BLS_TableTown[List_No],0)),"")</f>
        <v/>
      </c>
    </row>
    <row r="3764" spans="2:3" x14ac:dyDescent="0.15">
      <c r="B3764" s="2200">
        <v>389</v>
      </c>
      <c r="C3764" s="2200" t="str">
        <f>IFERROR(INDEX(BLS_TableTown[area_text], MATCH(B3764,BLS_TableTown[List_No],0)),"")</f>
        <v/>
      </c>
    </row>
    <row r="3765" spans="2:3" x14ac:dyDescent="0.15">
      <c r="B3765" s="2200">
        <v>390</v>
      </c>
      <c r="C3765" s="2200" t="str">
        <f>IFERROR(INDEX(BLS_TableTown[area_text], MATCH(B3765,BLS_TableTown[List_No],0)),"")</f>
        <v/>
      </c>
    </row>
    <row r="3766" spans="2:3" x14ac:dyDescent="0.15">
      <c r="B3766" s="2200">
        <v>391</v>
      </c>
      <c r="C3766" s="2200" t="str">
        <f>IFERROR(INDEX(BLS_TableTown[area_text], MATCH(B3766,BLS_TableTown[List_No],0)),"")</f>
        <v/>
      </c>
    </row>
    <row r="3767" spans="2:3" x14ac:dyDescent="0.15">
      <c r="B3767" s="2200">
        <v>392</v>
      </c>
      <c r="C3767" s="2200" t="str">
        <f>IFERROR(INDEX(BLS_TableTown[area_text], MATCH(B3767,BLS_TableTown[List_No],0)),"")</f>
        <v/>
      </c>
    </row>
    <row r="3768" spans="2:3" x14ac:dyDescent="0.15">
      <c r="B3768" s="2200">
        <v>393</v>
      </c>
      <c r="C3768" s="2200" t="str">
        <f>IFERROR(INDEX(BLS_TableTown[area_text], MATCH(B3768,BLS_TableTown[List_No],0)),"")</f>
        <v/>
      </c>
    </row>
    <row r="3769" spans="2:3" x14ac:dyDescent="0.15">
      <c r="B3769" s="2200">
        <v>394</v>
      </c>
      <c r="C3769" s="2200" t="str">
        <f>IFERROR(INDEX(BLS_TableTown[area_text], MATCH(B3769,BLS_TableTown[List_No],0)),"")</f>
        <v/>
      </c>
    </row>
    <row r="3770" spans="2:3" x14ac:dyDescent="0.15">
      <c r="B3770" s="2200">
        <v>395</v>
      </c>
      <c r="C3770" s="2200" t="str">
        <f>IFERROR(INDEX(BLS_TableTown[area_text], MATCH(B3770,BLS_TableTown[List_No],0)),"")</f>
        <v/>
      </c>
    </row>
    <row r="3771" spans="2:3" x14ac:dyDescent="0.15">
      <c r="B3771" s="2200">
        <v>396</v>
      </c>
      <c r="C3771" s="2200" t="str">
        <f>IFERROR(INDEX(BLS_TableTown[area_text], MATCH(B3771,BLS_TableTown[List_No],0)),"")</f>
        <v/>
      </c>
    </row>
    <row r="3772" spans="2:3" x14ac:dyDescent="0.15">
      <c r="B3772" s="2200">
        <v>397</v>
      </c>
      <c r="C3772" s="2200" t="str">
        <f>IFERROR(INDEX(BLS_TableTown[area_text], MATCH(B3772,BLS_TableTown[List_No],0)),"")</f>
        <v/>
      </c>
    </row>
    <row r="3773" spans="2:3" x14ac:dyDescent="0.15">
      <c r="B3773" s="2200">
        <v>398</v>
      </c>
      <c r="C3773" s="2200" t="str">
        <f>IFERROR(INDEX(BLS_TableTown[area_text], MATCH(B3773,BLS_TableTown[List_No],0)),"")</f>
        <v/>
      </c>
    </row>
    <row r="3774" spans="2:3" x14ac:dyDescent="0.15">
      <c r="B3774" s="2200">
        <v>399</v>
      </c>
      <c r="C3774" s="2200" t="str">
        <f>IFERROR(INDEX(BLS_TableTown[area_text], MATCH(B3774,BLS_TableTown[List_No],0)),"")</f>
        <v/>
      </c>
    </row>
    <row r="3775" spans="2:3" x14ac:dyDescent="0.15">
      <c r="B3775" s="2200">
        <v>400</v>
      </c>
      <c r="C3775" s="2200" t="str">
        <f>IFERROR(INDEX(BLS_TableTown[area_text], MATCH(B3775,BLS_TableTown[List_No],0)),"")</f>
        <v/>
      </c>
    </row>
    <row r="3776" spans="2:3" x14ac:dyDescent="0.15">
      <c r="B3776" s="2200">
        <v>401</v>
      </c>
      <c r="C3776" s="2200" t="str">
        <f>IFERROR(INDEX(BLS_TableTown[area_text], MATCH(B3776,BLS_TableTown[List_No],0)),"")</f>
        <v/>
      </c>
    </row>
    <row r="3777" spans="2:3" x14ac:dyDescent="0.15">
      <c r="B3777" s="2200">
        <v>402</v>
      </c>
      <c r="C3777" s="2200" t="str">
        <f>IFERROR(INDEX(BLS_TableTown[area_text], MATCH(B3777,BLS_TableTown[List_No],0)),"")</f>
        <v/>
      </c>
    </row>
    <row r="3778" spans="2:3" x14ac:dyDescent="0.15">
      <c r="B3778" s="2200">
        <v>403</v>
      </c>
      <c r="C3778" s="2200" t="str">
        <f>IFERROR(INDEX(BLS_TableTown[area_text], MATCH(B3778,BLS_TableTown[List_No],0)),"")</f>
        <v/>
      </c>
    </row>
    <row r="3779" spans="2:3" x14ac:dyDescent="0.15">
      <c r="B3779" s="2200">
        <v>404</v>
      </c>
      <c r="C3779" s="2200" t="str">
        <f>IFERROR(INDEX(BLS_TableTown[area_text], MATCH(B3779,BLS_TableTown[List_No],0)),"")</f>
        <v/>
      </c>
    </row>
    <row r="3780" spans="2:3" x14ac:dyDescent="0.15">
      <c r="B3780" s="2200">
        <v>405</v>
      </c>
      <c r="C3780" s="2200" t="str">
        <f>IFERROR(INDEX(BLS_TableTown[area_text], MATCH(B3780,BLS_TableTown[List_No],0)),"")</f>
        <v/>
      </c>
    </row>
    <row r="3781" spans="2:3" x14ac:dyDescent="0.15">
      <c r="B3781" s="2200">
        <v>406</v>
      </c>
      <c r="C3781" s="2200" t="str">
        <f>IFERROR(INDEX(BLS_TableTown[area_text], MATCH(B3781,BLS_TableTown[List_No],0)),"")</f>
        <v/>
      </c>
    </row>
    <row r="3782" spans="2:3" x14ac:dyDescent="0.15">
      <c r="B3782" s="2200">
        <v>407</v>
      </c>
      <c r="C3782" s="2200" t="str">
        <f>IFERROR(INDEX(BLS_TableTown[area_text], MATCH(B3782,BLS_TableTown[List_No],0)),"")</f>
        <v/>
      </c>
    </row>
    <row r="3783" spans="2:3" x14ac:dyDescent="0.15">
      <c r="B3783" s="2200">
        <v>408</v>
      </c>
      <c r="C3783" s="2200" t="str">
        <f>IFERROR(INDEX(BLS_TableTown[area_text], MATCH(B3783,BLS_TableTown[List_No],0)),"")</f>
        <v/>
      </c>
    </row>
    <row r="3784" spans="2:3" x14ac:dyDescent="0.15">
      <c r="B3784" s="2200">
        <v>409</v>
      </c>
      <c r="C3784" s="2200" t="str">
        <f>IFERROR(INDEX(BLS_TableTown[area_text], MATCH(B3784,BLS_TableTown[List_No],0)),"")</f>
        <v/>
      </c>
    </row>
    <row r="3785" spans="2:3" x14ac:dyDescent="0.15">
      <c r="B3785" s="2200">
        <v>410</v>
      </c>
      <c r="C3785" s="2200" t="str">
        <f>IFERROR(INDEX(BLS_TableTown[area_text], MATCH(B3785,BLS_TableTown[List_No],0)),"")</f>
        <v/>
      </c>
    </row>
    <row r="3786" spans="2:3" x14ac:dyDescent="0.15">
      <c r="B3786" s="2200">
        <v>411</v>
      </c>
      <c r="C3786" s="2200" t="str">
        <f>IFERROR(INDEX(BLS_TableTown[area_text], MATCH(B3786,BLS_TableTown[List_No],0)),"")</f>
        <v/>
      </c>
    </row>
    <row r="3787" spans="2:3" x14ac:dyDescent="0.15">
      <c r="B3787" s="2200">
        <v>412</v>
      </c>
      <c r="C3787" s="2200" t="str">
        <f>IFERROR(INDEX(BLS_TableTown[area_text], MATCH(B3787,BLS_TableTown[List_No],0)),"")</f>
        <v/>
      </c>
    </row>
    <row r="3788" spans="2:3" x14ac:dyDescent="0.15">
      <c r="B3788" s="2200">
        <v>413</v>
      </c>
      <c r="C3788" s="2200" t="str">
        <f>IFERROR(INDEX(BLS_TableTown[area_text], MATCH(B3788,BLS_TableTown[List_No],0)),"")</f>
        <v/>
      </c>
    </row>
    <row r="3789" spans="2:3" x14ac:dyDescent="0.15">
      <c r="B3789" s="2200">
        <v>414</v>
      </c>
      <c r="C3789" s="2200" t="str">
        <f>IFERROR(INDEX(BLS_TableTown[area_text], MATCH(B3789,BLS_TableTown[List_No],0)),"")</f>
        <v/>
      </c>
    </row>
    <row r="3790" spans="2:3" x14ac:dyDescent="0.15">
      <c r="B3790" s="2200">
        <v>415</v>
      </c>
      <c r="C3790" s="2200" t="str">
        <f>IFERROR(INDEX(BLS_TableTown[area_text], MATCH(B3790,BLS_TableTown[List_No],0)),"")</f>
        <v/>
      </c>
    </row>
    <row r="3791" spans="2:3" x14ac:dyDescent="0.15">
      <c r="B3791" s="2200">
        <v>416</v>
      </c>
      <c r="C3791" s="2200" t="str">
        <f>IFERROR(INDEX(BLS_TableTown[area_text], MATCH(B3791,BLS_TableTown[List_No],0)),"")</f>
        <v/>
      </c>
    </row>
    <row r="3792" spans="2:3" x14ac:dyDescent="0.15">
      <c r="B3792" s="2200">
        <v>417</v>
      </c>
      <c r="C3792" s="2200" t="str">
        <f>IFERROR(INDEX(BLS_TableTown[area_text], MATCH(B3792,BLS_TableTown[List_No],0)),"")</f>
        <v/>
      </c>
    </row>
    <row r="3793" spans="2:3" x14ac:dyDescent="0.15">
      <c r="B3793" s="2200">
        <v>418</v>
      </c>
      <c r="C3793" s="2200" t="str">
        <f>IFERROR(INDEX(BLS_TableTown[area_text], MATCH(B3793,BLS_TableTown[List_No],0)),"")</f>
        <v/>
      </c>
    </row>
    <row r="3794" spans="2:3" x14ac:dyDescent="0.15">
      <c r="B3794" s="2200">
        <v>419</v>
      </c>
      <c r="C3794" s="2200" t="str">
        <f>IFERROR(INDEX(BLS_TableTown[area_text], MATCH(B3794,BLS_TableTown[List_No],0)),"")</f>
        <v/>
      </c>
    </row>
    <row r="3795" spans="2:3" x14ac:dyDescent="0.15">
      <c r="B3795" s="2200">
        <v>420</v>
      </c>
      <c r="C3795" s="2200" t="str">
        <f>IFERROR(INDEX(BLS_TableTown[area_text], MATCH(B3795,BLS_TableTown[List_No],0)),"")</f>
        <v/>
      </c>
    </row>
    <row r="3796" spans="2:3" x14ac:dyDescent="0.15">
      <c r="B3796" s="2200">
        <v>421</v>
      </c>
      <c r="C3796" s="2200" t="str">
        <f>IFERROR(INDEX(BLS_TableTown[area_text], MATCH(B3796,BLS_TableTown[List_No],0)),"")</f>
        <v/>
      </c>
    </row>
    <row r="3797" spans="2:3" x14ac:dyDescent="0.15">
      <c r="B3797" s="2200">
        <v>422</v>
      </c>
      <c r="C3797" s="2200" t="str">
        <f>IFERROR(INDEX(BLS_TableTown[area_text], MATCH(B3797,BLS_TableTown[List_No],0)),"")</f>
        <v/>
      </c>
    </row>
    <row r="3798" spans="2:3" x14ac:dyDescent="0.15">
      <c r="B3798" s="2200">
        <v>423</v>
      </c>
      <c r="C3798" s="2200" t="str">
        <f>IFERROR(INDEX(BLS_TableTown[area_text], MATCH(B3798,BLS_TableTown[List_No],0)),"")</f>
        <v/>
      </c>
    </row>
    <row r="3799" spans="2:3" x14ac:dyDescent="0.15">
      <c r="B3799" s="2200">
        <v>424</v>
      </c>
      <c r="C3799" s="2200" t="str">
        <f>IFERROR(INDEX(BLS_TableTown[area_text], MATCH(B3799,BLS_TableTown[List_No],0)),"")</f>
        <v/>
      </c>
    </row>
    <row r="3800" spans="2:3" x14ac:dyDescent="0.15">
      <c r="B3800" s="2200">
        <v>425</v>
      </c>
      <c r="C3800" s="2200" t="str">
        <f>IFERROR(INDEX(BLS_TableTown[area_text], MATCH(B3800,BLS_TableTown[List_No],0)),"")</f>
        <v/>
      </c>
    </row>
    <row r="3801" spans="2:3" x14ac:dyDescent="0.15">
      <c r="B3801" s="2200">
        <v>426</v>
      </c>
      <c r="C3801" s="2200" t="str">
        <f>IFERROR(INDEX(BLS_TableTown[area_text], MATCH(B3801,BLS_TableTown[List_No],0)),"")</f>
        <v/>
      </c>
    </row>
    <row r="3802" spans="2:3" x14ac:dyDescent="0.15">
      <c r="B3802" s="2200">
        <v>427</v>
      </c>
      <c r="C3802" s="2200" t="str">
        <f>IFERROR(INDEX(BLS_TableTown[area_text], MATCH(B3802,BLS_TableTown[List_No],0)),"")</f>
        <v/>
      </c>
    </row>
    <row r="3803" spans="2:3" x14ac:dyDescent="0.15">
      <c r="B3803" s="2200">
        <v>428</v>
      </c>
      <c r="C3803" s="2200" t="str">
        <f>IFERROR(INDEX(BLS_TableTown[area_text], MATCH(B3803,BLS_TableTown[List_No],0)),"")</f>
        <v/>
      </c>
    </row>
    <row r="3804" spans="2:3" x14ac:dyDescent="0.15">
      <c r="B3804" s="2200">
        <v>429</v>
      </c>
      <c r="C3804" s="2200" t="str">
        <f>IFERROR(INDEX(BLS_TableTown[area_text], MATCH(B3804,BLS_TableTown[List_No],0)),"")</f>
        <v/>
      </c>
    </row>
    <row r="3805" spans="2:3" x14ac:dyDescent="0.15">
      <c r="B3805" s="2200">
        <v>430</v>
      </c>
      <c r="C3805" s="2200" t="str">
        <f>IFERROR(INDEX(BLS_TableTown[area_text], MATCH(B3805,BLS_TableTown[List_No],0)),"")</f>
        <v/>
      </c>
    </row>
    <row r="3806" spans="2:3" x14ac:dyDescent="0.15">
      <c r="B3806" s="2200">
        <v>431</v>
      </c>
      <c r="C3806" s="2200" t="str">
        <f>IFERROR(INDEX(BLS_TableTown[area_text], MATCH(B3806,BLS_TableTown[List_No],0)),"")</f>
        <v/>
      </c>
    </row>
    <row r="3807" spans="2:3" x14ac:dyDescent="0.15">
      <c r="B3807" s="2200">
        <v>432</v>
      </c>
      <c r="C3807" s="2200" t="str">
        <f>IFERROR(INDEX(BLS_TableTown[area_text], MATCH(B3807,BLS_TableTown[List_No],0)),"")</f>
        <v/>
      </c>
    </row>
    <row r="3808" spans="2:3" x14ac:dyDescent="0.15">
      <c r="B3808" s="2200">
        <v>433</v>
      </c>
      <c r="C3808" s="2200" t="str">
        <f>IFERROR(INDEX(BLS_TableTown[area_text], MATCH(B3808,BLS_TableTown[List_No],0)),"")</f>
        <v/>
      </c>
    </row>
    <row r="3809" spans="2:3" x14ac:dyDescent="0.15">
      <c r="B3809" s="2200">
        <v>434</v>
      </c>
      <c r="C3809" s="2200" t="str">
        <f>IFERROR(INDEX(BLS_TableTown[area_text], MATCH(B3809,BLS_TableTown[List_No],0)),"")</f>
        <v/>
      </c>
    </row>
    <row r="3810" spans="2:3" x14ac:dyDescent="0.15">
      <c r="B3810" s="2200">
        <v>435</v>
      </c>
      <c r="C3810" s="2200" t="str">
        <f>IFERROR(INDEX(BLS_TableTown[area_text], MATCH(B3810,BLS_TableTown[List_No],0)),"")</f>
        <v/>
      </c>
    </row>
    <row r="3811" spans="2:3" x14ac:dyDescent="0.15">
      <c r="B3811" s="2200">
        <v>436</v>
      </c>
      <c r="C3811" s="2200" t="str">
        <f>IFERROR(INDEX(BLS_TableTown[area_text], MATCH(B3811,BLS_TableTown[List_No],0)),"")</f>
        <v/>
      </c>
    </row>
    <row r="3812" spans="2:3" x14ac:dyDescent="0.15">
      <c r="B3812" s="2200">
        <v>437</v>
      </c>
      <c r="C3812" s="2200" t="str">
        <f>IFERROR(INDEX(BLS_TableTown[area_text], MATCH(B3812,BLS_TableTown[List_No],0)),"")</f>
        <v/>
      </c>
    </row>
    <row r="3813" spans="2:3" x14ac:dyDescent="0.15">
      <c r="B3813" s="2200">
        <v>438</v>
      </c>
      <c r="C3813" s="2200" t="str">
        <f>IFERROR(INDEX(BLS_TableTown[area_text], MATCH(B3813,BLS_TableTown[List_No],0)),"")</f>
        <v/>
      </c>
    </row>
    <row r="3814" spans="2:3" x14ac:dyDescent="0.15">
      <c r="B3814" s="2200">
        <v>439</v>
      </c>
      <c r="C3814" s="2200" t="str">
        <f>IFERROR(INDEX(BLS_TableTown[area_text], MATCH(B3814,BLS_TableTown[List_No],0)),"")</f>
        <v/>
      </c>
    </row>
    <row r="3815" spans="2:3" x14ac:dyDescent="0.15">
      <c r="B3815" s="2200">
        <v>440</v>
      </c>
      <c r="C3815" s="2200" t="str">
        <f>IFERROR(INDEX(BLS_TableTown[area_text], MATCH(B3815,BLS_TableTown[List_No],0)),"")</f>
        <v/>
      </c>
    </row>
    <row r="3816" spans="2:3" x14ac:dyDescent="0.15">
      <c r="B3816" s="2200">
        <v>441</v>
      </c>
      <c r="C3816" s="2200" t="str">
        <f>IFERROR(INDEX(BLS_TableTown[area_text], MATCH(B3816,BLS_TableTown[List_No],0)),"")</f>
        <v/>
      </c>
    </row>
    <row r="3817" spans="2:3" x14ac:dyDescent="0.15">
      <c r="B3817" s="2200">
        <v>442</v>
      </c>
      <c r="C3817" s="2200" t="str">
        <f>IFERROR(INDEX(BLS_TableTown[area_text], MATCH(B3817,BLS_TableTown[List_No],0)),"")</f>
        <v/>
      </c>
    </row>
    <row r="3818" spans="2:3" x14ac:dyDescent="0.15">
      <c r="B3818" s="2200">
        <v>443</v>
      </c>
      <c r="C3818" s="2200" t="str">
        <f>IFERROR(INDEX(BLS_TableTown[area_text], MATCH(B3818,BLS_TableTown[List_No],0)),"")</f>
        <v/>
      </c>
    </row>
    <row r="3819" spans="2:3" x14ac:dyDescent="0.15">
      <c r="B3819" s="2200">
        <v>444</v>
      </c>
      <c r="C3819" s="2200" t="str">
        <f>IFERROR(INDEX(BLS_TableTown[area_text], MATCH(B3819,BLS_TableTown[List_No],0)),"")</f>
        <v/>
      </c>
    </row>
    <row r="3820" spans="2:3" x14ac:dyDescent="0.15">
      <c r="B3820" s="2200">
        <v>445</v>
      </c>
      <c r="C3820" s="2200" t="str">
        <f>IFERROR(INDEX(BLS_TableTown[area_text], MATCH(B3820,BLS_TableTown[List_No],0)),"")</f>
        <v/>
      </c>
    </row>
    <row r="3821" spans="2:3" x14ac:dyDescent="0.15">
      <c r="B3821" s="2200">
        <v>446</v>
      </c>
      <c r="C3821" s="2200" t="str">
        <f>IFERROR(INDEX(BLS_TableTown[area_text], MATCH(B3821,BLS_TableTown[List_No],0)),"")</f>
        <v/>
      </c>
    </row>
    <row r="3822" spans="2:3" x14ac:dyDescent="0.15">
      <c r="B3822" s="2200">
        <v>447</v>
      </c>
      <c r="C3822" s="2200" t="str">
        <f>IFERROR(INDEX(BLS_TableTown[area_text], MATCH(B3822,BLS_TableTown[List_No],0)),"")</f>
        <v/>
      </c>
    </row>
    <row r="3823" spans="2:3" x14ac:dyDescent="0.15">
      <c r="B3823" s="2200">
        <v>448</v>
      </c>
      <c r="C3823" s="2200" t="str">
        <f>IFERROR(INDEX(BLS_TableTown[area_text], MATCH(B3823,BLS_TableTown[List_No],0)),"")</f>
        <v/>
      </c>
    </row>
    <row r="3824" spans="2:3" x14ac:dyDescent="0.15">
      <c r="B3824" s="2200">
        <v>449</v>
      </c>
      <c r="C3824" s="2200" t="str">
        <f>IFERROR(INDEX(BLS_TableTown[area_text], MATCH(B3824,BLS_TableTown[List_No],0)),"")</f>
        <v/>
      </c>
    </row>
    <row r="3825" spans="2:3" x14ac:dyDescent="0.15">
      <c r="B3825" s="2200">
        <v>450</v>
      </c>
      <c r="C3825" s="2200" t="str">
        <f>IFERROR(INDEX(BLS_TableTown[area_text], MATCH(B3825,BLS_TableTown[List_No],0)),"")</f>
        <v/>
      </c>
    </row>
    <row r="3826" spans="2:3" x14ac:dyDescent="0.15">
      <c r="B3826" s="2200">
        <v>451</v>
      </c>
      <c r="C3826" s="2200" t="str">
        <f>IFERROR(INDEX(BLS_TableTown[area_text], MATCH(B3826,BLS_TableTown[List_No],0)),"")</f>
        <v/>
      </c>
    </row>
    <row r="3827" spans="2:3" x14ac:dyDescent="0.15">
      <c r="B3827" s="2200">
        <v>452</v>
      </c>
      <c r="C3827" s="2200" t="str">
        <f>IFERROR(INDEX(BLS_TableTown[area_text], MATCH(B3827,BLS_TableTown[List_No],0)),"")</f>
        <v/>
      </c>
    </row>
    <row r="3828" spans="2:3" x14ac:dyDescent="0.15">
      <c r="B3828" s="2200">
        <v>453</v>
      </c>
      <c r="C3828" s="2200" t="str">
        <f>IFERROR(INDEX(BLS_TableTown[area_text], MATCH(B3828,BLS_TableTown[List_No],0)),"")</f>
        <v/>
      </c>
    </row>
    <row r="3829" spans="2:3" x14ac:dyDescent="0.15">
      <c r="B3829" s="2200">
        <v>454</v>
      </c>
      <c r="C3829" s="2200" t="str">
        <f>IFERROR(INDEX(BLS_TableTown[area_text], MATCH(B3829,BLS_TableTown[List_No],0)),"")</f>
        <v/>
      </c>
    </row>
    <row r="3830" spans="2:3" x14ac:dyDescent="0.15">
      <c r="B3830" s="2200">
        <v>455</v>
      </c>
      <c r="C3830" s="2200" t="str">
        <f>IFERROR(INDEX(BLS_TableTown[area_text], MATCH(B3830,BLS_TableTown[List_No],0)),"")</f>
        <v/>
      </c>
    </row>
    <row r="3831" spans="2:3" x14ac:dyDescent="0.15">
      <c r="B3831" s="2200">
        <v>456</v>
      </c>
      <c r="C3831" s="2200" t="str">
        <f>IFERROR(INDEX(BLS_TableTown[area_text], MATCH(B3831,BLS_TableTown[List_No],0)),"")</f>
        <v/>
      </c>
    </row>
    <row r="3832" spans="2:3" x14ac:dyDescent="0.15">
      <c r="B3832" s="2200">
        <v>457</v>
      </c>
      <c r="C3832" s="2200" t="str">
        <f>IFERROR(INDEX(BLS_TableTown[area_text], MATCH(B3832,BLS_TableTown[List_No],0)),"")</f>
        <v/>
      </c>
    </row>
    <row r="3833" spans="2:3" x14ac:dyDescent="0.15">
      <c r="B3833" s="2200">
        <v>458</v>
      </c>
      <c r="C3833" s="2200" t="str">
        <f>IFERROR(INDEX(BLS_TableTown[area_text], MATCH(B3833,BLS_TableTown[List_No],0)),"")</f>
        <v/>
      </c>
    </row>
    <row r="3834" spans="2:3" x14ac:dyDescent="0.15">
      <c r="B3834" s="2200">
        <v>459</v>
      </c>
      <c r="C3834" s="2200" t="str">
        <f>IFERROR(INDEX(BLS_TableTown[area_text], MATCH(B3834,BLS_TableTown[List_No],0)),"")</f>
        <v/>
      </c>
    </row>
    <row r="3835" spans="2:3" x14ac:dyDescent="0.15">
      <c r="B3835" s="2200">
        <v>460</v>
      </c>
      <c r="C3835" s="2200" t="str">
        <f>IFERROR(INDEX(BLS_TableTown[area_text], MATCH(B3835,BLS_TableTown[List_No],0)),"")</f>
        <v/>
      </c>
    </row>
    <row r="3836" spans="2:3" x14ac:dyDescent="0.15">
      <c r="B3836" s="2200">
        <v>461</v>
      </c>
      <c r="C3836" s="2200" t="str">
        <f>IFERROR(INDEX(BLS_TableTown[area_text], MATCH(B3836,BLS_TableTown[List_No],0)),"")</f>
        <v/>
      </c>
    </row>
    <row r="3837" spans="2:3" x14ac:dyDescent="0.15">
      <c r="B3837" s="2200">
        <v>462</v>
      </c>
      <c r="C3837" s="2200" t="str">
        <f>IFERROR(INDEX(BLS_TableTown[area_text], MATCH(B3837,BLS_TableTown[List_No],0)),"")</f>
        <v/>
      </c>
    </row>
    <row r="3838" spans="2:3" x14ac:dyDescent="0.15">
      <c r="B3838" s="2200">
        <v>463</v>
      </c>
      <c r="C3838" s="2200" t="str">
        <f>IFERROR(INDEX(BLS_TableTown[area_text], MATCH(B3838,BLS_TableTown[List_No],0)),"")</f>
        <v/>
      </c>
    </row>
    <row r="3839" spans="2:3" x14ac:dyDescent="0.15">
      <c r="B3839" s="2200">
        <v>464</v>
      </c>
      <c r="C3839" s="2200" t="str">
        <f>IFERROR(INDEX(BLS_TableTown[area_text], MATCH(B3839,BLS_TableTown[List_No],0)),"")</f>
        <v/>
      </c>
    </row>
    <row r="3840" spans="2:3" x14ac:dyDescent="0.15">
      <c r="B3840" s="2200">
        <v>465</v>
      </c>
      <c r="C3840" s="2200" t="str">
        <f>IFERROR(INDEX(BLS_TableTown[area_text], MATCH(B3840,BLS_TableTown[List_No],0)),"")</f>
        <v/>
      </c>
    </row>
    <row r="3841" spans="2:3" x14ac:dyDescent="0.15">
      <c r="B3841" s="2200">
        <v>466</v>
      </c>
      <c r="C3841" s="2200" t="str">
        <f>IFERROR(INDEX(BLS_TableTown[area_text], MATCH(B3841,BLS_TableTown[List_No],0)),"")</f>
        <v/>
      </c>
    </row>
    <row r="3842" spans="2:3" x14ac:dyDescent="0.15">
      <c r="B3842" s="2200">
        <v>467</v>
      </c>
      <c r="C3842" s="2200" t="str">
        <f>IFERROR(INDEX(BLS_TableTown[area_text], MATCH(B3842,BLS_TableTown[List_No],0)),"")</f>
        <v/>
      </c>
    </row>
    <row r="3843" spans="2:3" x14ac:dyDescent="0.15">
      <c r="B3843" s="2200">
        <v>468</v>
      </c>
      <c r="C3843" s="2200" t="str">
        <f>IFERROR(INDEX(BLS_TableTown[area_text], MATCH(B3843,BLS_TableTown[List_No],0)),"")</f>
        <v/>
      </c>
    </row>
    <row r="3844" spans="2:3" x14ac:dyDescent="0.15">
      <c r="B3844" s="2200">
        <v>469</v>
      </c>
      <c r="C3844" s="2200" t="str">
        <f>IFERROR(INDEX(BLS_TableTown[area_text], MATCH(B3844,BLS_TableTown[List_No],0)),"")</f>
        <v/>
      </c>
    </row>
    <row r="3845" spans="2:3" x14ac:dyDescent="0.15">
      <c r="B3845" s="2200">
        <v>470</v>
      </c>
      <c r="C3845" s="2200" t="str">
        <f>IFERROR(INDEX(BLS_TableTown[area_text], MATCH(B3845,BLS_TableTown[List_No],0)),"")</f>
        <v/>
      </c>
    </row>
    <row r="3846" spans="2:3" x14ac:dyDescent="0.15">
      <c r="B3846" s="2200">
        <v>471</v>
      </c>
      <c r="C3846" s="2200" t="str">
        <f>IFERROR(INDEX(BLS_TableTown[area_text], MATCH(B3846,BLS_TableTown[List_No],0)),"")</f>
        <v/>
      </c>
    </row>
    <row r="3847" spans="2:3" x14ac:dyDescent="0.15">
      <c r="B3847" s="2200">
        <v>472</v>
      </c>
      <c r="C3847" s="2200" t="str">
        <f>IFERROR(INDEX(BLS_TableTown[area_text], MATCH(B3847,BLS_TableTown[List_No],0)),"")</f>
        <v/>
      </c>
    </row>
    <row r="3848" spans="2:3" x14ac:dyDescent="0.15">
      <c r="B3848" s="2200">
        <v>473</v>
      </c>
      <c r="C3848" s="2200" t="str">
        <f>IFERROR(INDEX(BLS_TableTown[area_text], MATCH(B3848,BLS_TableTown[List_No],0)),"")</f>
        <v/>
      </c>
    </row>
    <row r="3849" spans="2:3" x14ac:dyDescent="0.15">
      <c r="B3849" s="2200">
        <v>474</v>
      </c>
      <c r="C3849" s="2200" t="str">
        <f>IFERROR(INDEX(BLS_TableTown[area_text], MATCH(B3849,BLS_TableTown[List_No],0)),"")</f>
        <v/>
      </c>
    </row>
    <row r="3850" spans="2:3" x14ac:dyDescent="0.15">
      <c r="B3850" s="2200">
        <v>475</v>
      </c>
      <c r="C3850" s="2200" t="str">
        <f>IFERROR(INDEX(BLS_TableTown[area_text], MATCH(B3850,BLS_TableTown[List_No],0)),"")</f>
        <v/>
      </c>
    </row>
    <row r="3851" spans="2:3" x14ac:dyDescent="0.15">
      <c r="B3851" s="2200">
        <v>476</v>
      </c>
      <c r="C3851" s="2200" t="str">
        <f>IFERROR(INDEX(BLS_TableTown[area_text], MATCH(B3851,BLS_TableTown[List_No],0)),"")</f>
        <v/>
      </c>
    </row>
    <row r="3852" spans="2:3" x14ac:dyDescent="0.15">
      <c r="B3852" s="2200">
        <v>477</v>
      </c>
      <c r="C3852" s="2200" t="str">
        <f>IFERROR(INDEX(BLS_TableTown[area_text], MATCH(B3852,BLS_TableTown[List_No],0)),"")</f>
        <v/>
      </c>
    </row>
    <row r="3853" spans="2:3" x14ac:dyDescent="0.15">
      <c r="B3853" s="2200">
        <v>478</v>
      </c>
      <c r="C3853" s="2200" t="str">
        <f>IFERROR(INDEX(BLS_TableTown[area_text], MATCH(B3853,BLS_TableTown[List_No],0)),"")</f>
        <v/>
      </c>
    </row>
    <row r="3854" spans="2:3" x14ac:dyDescent="0.15">
      <c r="B3854" s="2200">
        <v>479</v>
      </c>
      <c r="C3854" s="2200" t="str">
        <f>IFERROR(INDEX(BLS_TableTown[area_text], MATCH(B3854,BLS_TableTown[List_No],0)),"")</f>
        <v/>
      </c>
    </row>
    <row r="3855" spans="2:3" x14ac:dyDescent="0.15">
      <c r="B3855" s="2200">
        <v>480</v>
      </c>
      <c r="C3855" s="2200" t="str">
        <f>IFERROR(INDEX(BLS_TableTown[area_text], MATCH(B3855,BLS_TableTown[List_No],0)),"")</f>
        <v/>
      </c>
    </row>
    <row r="3856" spans="2:3" x14ac:dyDescent="0.15">
      <c r="B3856" s="2200">
        <v>481</v>
      </c>
      <c r="C3856" s="2200" t="str">
        <f>IFERROR(INDEX(BLS_TableTown[area_text], MATCH(B3856,BLS_TableTown[List_No],0)),"")</f>
        <v/>
      </c>
    </row>
    <row r="3857" spans="2:3" x14ac:dyDescent="0.15">
      <c r="B3857" s="2200">
        <v>482</v>
      </c>
      <c r="C3857" s="2200" t="str">
        <f>IFERROR(INDEX(BLS_TableTown[area_text], MATCH(B3857,BLS_TableTown[List_No],0)),"")</f>
        <v/>
      </c>
    </row>
    <row r="3858" spans="2:3" x14ac:dyDescent="0.15">
      <c r="B3858" s="2200">
        <v>483</v>
      </c>
      <c r="C3858" s="2200" t="str">
        <f>IFERROR(INDEX(BLS_TableTown[area_text], MATCH(B3858,BLS_TableTown[List_No],0)),"")</f>
        <v/>
      </c>
    </row>
    <row r="3859" spans="2:3" x14ac:dyDescent="0.15">
      <c r="B3859" s="2200">
        <v>484</v>
      </c>
      <c r="C3859" s="2200" t="str">
        <f>IFERROR(INDEX(BLS_TableTown[area_text], MATCH(B3859,BLS_TableTown[List_No],0)),"")</f>
        <v/>
      </c>
    </row>
    <row r="3860" spans="2:3" x14ac:dyDescent="0.15">
      <c r="B3860" s="2200">
        <v>485</v>
      </c>
      <c r="C3860" s="2200" t="str">
        <f>IFERROR(INDEX(BLS_TableTown[area_text], MATCH(B3860,BLS_TableTown[List_No],0)),"")</f>
        <v/>
      </c>
    </row>
    <row r="3861" spans="2:3" x14ac:dyDescent="0.15">
      <c r="B3861" s="2200">
        <v>486</v>
      </c>
      <c r="C3861" s="2200" t="str">
        <f>IFERROR(INDEX(BLS_TableTown[area_text], MATCH(B3861,BLS_TableTown[List_No],0)),"")</f>
        <v/>
      </c>
    </row>
    <row r="3862" spans="2:3" x14ac:dyDescent="0.15">
      <c r="B3862" s="2200">
        <v>487</v>
      </c>
      <c r="C3862" s="2200" t="str">
        <f>IFERROR(INDEX(BLS_TableTown[area_text], MATCH(B3862,BLS_TableTown[List_No],0)),"")</f>
        <v/>
      </c>
    </row>
    <row r="3863" spans="2:3" x14ac:dyDescent="0.15">
      <c r="B3863" s="2200">
        <v>488</v>
      </c>
      <c r="C3863" s="2200" t="str">
        <f>IFERROR(INDEX(BLS_TableTown[area_text], MATCH(B3863,BLS_TableTown[List_No],0)),"")</f>
        <v/>
      </c>
    </row>
    <row r="3864" spans="2:3" x14ac:dyDescent="0.15">
      <c r="B3864" s="2200">
        <v>489</v>
      </c>
      <c r="C3864" s="2200" t="str">
        <f>IFERROR(INDEX(BLS_TableTown[area_text], MATCH(B3864,BLS_TableTown[List_No],0)),"")</f>
        <v/>
      </c>
    </row>
    <row r="3865" spans="2:3" x14ac:dyDescent="0.15">
      <c r="B3865" s="2200">
        <v>490</v>
      </c>
      <c r="C3865" s="2200" t="str">
        <f>IFERROR(INDEX(BLS_TableTown[area_text], MATCH(B3865,BLS_TableTown[List_No],0)),"")</f>
        <v/>
      </c>
    </row>
    <row r="3866" spans="2:3" x14ac:dyDescent="0.15">
      <c r="B3866" s="2200">
        <v>491</v>
      </c>
      <c r="C3866" s="2200" t="str">
        <f>IFERROR(INDEX(BLS_TableTown[area_text], MATCH(B3866,BLS_TableTown[List_No],0)),"")</f>
        <v/>
      </c>
    </row>
    <row r="3867" spans="2:3" x14ac:dyDescent="0.15">
      <c r="B3867" s="2200">
        <v>492</v>
      </c>
      <c r="C3867" s="2200" t="str">
        <f>IFERROR(INDEX(BLS_TableTown[area_text], MATCH(B3867,BLS_TableTown[List_No],0)),"")</f>
        <v/>
      </c>
    </row>
    <row r="3868" spans="2:3" x14ac:dyDescent="0.15">
      <c r="B3868" s="2200">
        <v>493</v>
      </c>
      <c r="C3868" s="2200" t="str">
        <f>IFERROR(INDEX(BLS_TableTown[area_text], MATCH(B3868,BLS_TableTown[List_No],0)),"")</f>
        <v/>
      </c>
    </row>
    <row r="3869" spans="2:3" x14ac:dyDescent="0.15">
      <c r="B3869" s="2200">
        <v>494</v>
      </c>
      <c r="C3869" s="2200" t="str">
        <f>IFERROR(INDEX(BLS_TableTown[area_text], MATCH(B3869,BLS_TableTown[List_No],0)),"")</f>
        <v/>
      </c>
    </row>
    <row r="3870" spans="2:3" x14ac:dyDescent="0.15">
      <c r="B3870" s="2200">
        <v>495</v>
      </c>
      <c r="C3870" s="2200" t="str">
        <f>IFERROR(INDEX(BLS_TableTown[area_text], MATCH(B3870,BLS_TableTown[List_No],0)),"")</f>
        <v/>
      </c>
    </row>
    <row r="3871" spans="2:3" x14ac:dyDescent="0.15">
      <c r="B3871" s="2200">
        <v>496</v>
      </c>
      <c r="C3871" s="2200" t="str">
        <f>IFERROR(INDEX(BLS_TableTown[area_text], MATCH(B3871,BLS_TableTown[List_No],0)),"")</f>
        <v/>
      </c>
    </row>
    <row r="3872" spans="2:3" x14ac:dyDescent="0.15">
      <c r="B3872" s="2200">
        <v>497</v>
      </c>
      <c r="C3872" s="2200" t="str">
        <f>IFERROR(INDEX(BLS_TableTown[area_text], MATCH(B3872,BLS_TableTown[List_No],0)),"")</f>
        <v/>
      </c>
    </row>
    <row r="3873" spans="2:3" x14ac:dyDescent="0.15">
      <c r="B3873" s="2200">
        <v>498</v>
      </c>
      <c r="C3873" s="2200" t="str">
        <f>IFERROR(INDEX(BLS_TableTown[area_text], MATCH(B3873,BLS_TableTown[List_No],0)),"")</f>
        <v/>
      </c>
    </row>
    <row r="3874" spans="2:3" x14ac:dyDescent="0.15">
      <c r="B3874" s="2200">
        <v>499</v>
      </c>
      <c r="C3874" s="2200" t="str">
        <f>IFERROR(INDEX(BLS_TableTown[area_text], MATCH(B3874,BLS_TableTown[List_No],0)),"")</f>
        <v/>
      </c>
    </row>
    <row r="3875" spans="2:3" x14ac:dyDescent="0.15">
      <c r="B3875" s="2200">
        <v>500</v>
      </c>
      <c r="C3875" s="2200" t="str">
        <f>IFERROR(INDEX(BLS_TableTown[area_text], MATCH(B3875,BLS_TableTown[List_No],0)),"")</f>
        <v/>
      </c>
    </row>
    <row r="3876" spans="2:3" x14ac:dyDescent="0.15">
      <c r="B3876" s="2200">
        <v>501</v>
      </c>
      <c r="C3876" s="2200" t="str">
        <f>IFERROR(INDEX(BLS_TableTown[area_text], MATCH(B3876,BLS_TableTown[List_No],0)),"")</f>
        <v/>
      </c>
    </row>
    <row r="3877" spans="2:3" x14ac:dyDescent="0.15">
      <c r="B3877" s="2200">
        <v>502</v>
      </c>
      <c r="C3877" s="2200" t="str">
        <f>IFERROR(INDEX(BLS_TableTown[area_text], MATCH(B3877,BLS_TableTown[List_No],0)),"")</f>
        <v/>
      </c>
    </row>
    <row r="3878" spans="2:3" x14ac:dyDescent="0.15">
      <c r="B3878" s="2200">
        <v>503</v>
      </c>
      <c r="C3878" s="2200" t="str">
        <f>IFERROR(INDEX(BLS_TableTown[area_text], MATCH(B3878,BLS_TableTown[List_No],0)),"")</f>
        <v/>
      </c>
    </row>
    <row r="3879" spans="2:3" x14ac:dyDescent="0.15">
      <c r="B3879" s="2200">
        <v>504</v>
      </c>
      <c r="C3879" s="2200" t="str">
        <f>IFERROR(INDEX(BLS_TableTown[area_text], MATCH(B3879,BLS_TableTown[List_No],0)),"")</f>
        <v/>
      </c>
    </row>
    <row r="3880" spans="2:3" x14ac:dyDescent="0.15">
      <c r="B3880" s="2200">
        <v>505</v>
      </c>
      <c r="C3880" s="2200" t="str">
        <f>IFERROR(INDEX(BLS_TableTown[area_text], MATCH(B3880,BLS_TableTown[List_No],0)),"")</f>
        <v/>
      </c>
    </row>
    <row r="3881" spans="2:3" x14ac:dyDescent="0.15">
      <c r="B3881" s="2200">
        <v>506</v>
      </c>
      <c r="C3881" s="2200" t="str">
        <f>IFERROR(INDEX(BLS_TableTown[area_text], MATCH(B3881,BLS_TableTown[List_No],0)),"")</f>
        <v/>
      </c>
    </row>
    <row r="3882" spans="2:3" x14ac:dyDescent="0.15">
      <c r="B3882" s="2200">
        <v>507</v>
      </c>
      <c r="C3882" s="2200" t="str">
        <f>IFERROR(INDEX(BLS_TableTown[area_text], MATCH(B3882,BLS_TableTown[List_No],0)),"")</f>
        <v/>
      </c>
    </row>
    <row r="3883" spans="2:3" x14ac:dyDescent="0.15">
      <c r="B3883" s="2200">
        <v>508</v>
      </c>
      <c r="C3883" s="2200" t="str">
        <f>IFERROR(INDEX(BLS_TableTown[area_text], MATCH(B3883,BLS_TableTown[List_No],0)),"")</f>
        <v/>
      </c>
    </row>
    <row r="3884" spans="2:3" x14ac:dyDescent="0.15">
      <c r="B3884" s="2200">
        <v>509</v>
      </c>
      <c r="C3884" s="2200" t="str">
        <f>IFERROR(INDEX(BLS_TableTown[area_text], MATCH(B3884,BLS_TableTown[List_No],0)),"")</f>
        <v/>
      </c>
    </row>
    <row r="3885" spans="2:3" x14ac:dyDescent="0.15">
      <c r="B3885" s="2200">
        <v>510</v>
      </c>
      <c r="C3885" s="2200" t="str">
        <f>IFERROR(INDEX(BLS_TableTown[area_text], MATCH(B3885,BLS_TableTown[List_No],0)),"")</f>
        <v/>
      </c>
    </row>
    <row r="3886" spans="2:3" x14ac:dyDescent="0.15">
      <c r="B3886" s="2200">
        <v>511</v>
      </c>
      <c r="C3886" s="2200" t="str">
        <f>IFERROR(INDEX(BLS_TableTown[area_text], MATCH(B3886,BLS_TableTown[List_No],0)),"")</f>
        <v/>
      </c>
    </row>
    <row r="3887" spans="2:3" x14ac:dyDescent="0.15">
      <c r="B3887" s="2200">
        <v>512</v>
      </c>
      <c r="C3887" s="2200" t="str">
        <f>IFERROR(INDEX(BLS_TableTown[area_text], MATCH(B3887,BLS_TableTown[List_No],0)),"")</f>
        <v/>
      </c>
    </row>
    <row r="3888" spans="2:3" x14ac:dyDescent="0.15">
      <c r="B3888" s="2200">
        <v>513</v>
      </c>
      <c r="C3888" s="2200" t="str">
        <f>IFERROR(INDEX(BLS_TableTown[area_text], MATCH(B3888,BLS_TableTown[List_No],0)),"")</f>
        <v/>
      </c>
    </row>
    <row r="3889" spans="2:3" x14ac:dyDescent="0.15">
      <c r="B3889" s="2200">
        <v>514</v>
      </c>
      <c r="C3889" s="2200" t="str">
        <f>IFERROR(INDEX(BLS_TableTown[area_text], MATCH(B3889,BLS_TableTown[List_No],0)),"")</f>
        <v/>
      </c>
    </row>
    <row r="3890" spans="2:3" x14ac:dyDescent="0.15">
      <c r="B3890" s="2200">
        <v>515</v>
      </c>
      <c r="C3890" s="2200" t="str">
        <f>IFERROR(INDEX(BLS_TableTown[area_text], MATCH(B3890,BLS_TableTown[List_No],0)),"")</f>
        <v/>
      </c>
    </row>
    <row r="3891" spans="2:3" x14ac:dyDescent="0.15">
      <c r="B3891" s="2200">
        <v>516</v>
      </c>
      <c r="C3891" s="2200" t="str">
        <f>IFERROR(INDEX(BLS_TableTown[area_text], MATCH(B3891,BLS_TableTown[List_No],0)),"")</f>
        <v/>
      </c>
    </row>
    <row r="3892" spans="2:3" x14ac:dyDescent="0.15">
      <c r="B3892" s="2200">
        <v>517</v>
      </c>
      <c r="C3892" s="2200" t="str">
        <f>IFERROR(INDEX(BLS_TableTown[area_text], MATCH(B3892,BLS_TableTown[List_No],0)),"")</f>
        <v/>
      </c>
    </row>
    <row r="3893" spans="2:3" x14ac:dyDescent="0.15">
      <c r="B3893" s="2200">
        <v>518</v>
      </c>
      <c r="C3893" s="2200" t="str">
        <f>IFERROR(INDEX(BLS_TableTown[area_text], MATCH(B3893,BLS_TableTown[List_No],0)),"")</f>
        <v/>
      </c>
    </row>
    <row r="3894" spans="2:3" x14ac:dyDescent="0.15">
      <c r="B3894" s="2200">
        <v>519</v>
      </c>
      <c r="C3894" s="2200" t="str">
        <f>IFERROR(INDEX(BLS_TableTown[area_text], MATCH(B3894,BLS_TableTown[List_No],0)),"")</f>
        <v/>
      </c>
    </row>
    <row r="3895" spans="2:3" x14ac:dyDescent="0.15">
      <c r="B3895" s="2200">
        <v>520</v>
      </c>
      <c r="C3895" s="2200" t="str">
        <f>IFERROR(INDEX(BLS_TableTown[area_text], MATCH(B3895,BLS_TableTown[List_No],0)),"")</f>
        <v/>
      </c>
    </row>
    <row r="3896" spans="2:3" x14ac:dyDescent="0.15">
      <c r="B3896" s="2200">
        <v>521</v>
      </c>
      <c r="C3896" s="2200" t="str">
        <f>IFERROR(INDEX(BLS_TableTown[area_text], MATCH(B3896,BLS_TableTown[List_No],0)),"")</f>
        <v/>
      </c>
    </row>
    <row r="3897" spans="2:3" x14ac:dyDescent="0.15">
      <c r="B3897" s="2200">
        <v>522</v>
      </c>
      <c r="C3897" s="2200" t="str">
        <f>IFERROR(INDEX(BLS_TableTown[area_text], MATCH(B3897,BLS_TableTown[List_No],0)),"")</f>
        <v/>
      </c>
    </row>
    <row r="3898" spans="2:3" x14ac:dyDescent="0.15">
      <c r="B3898" s="2200">
        <v>523</v>
      </c>
      <c r="C3898" s="2200" t="str">
        <f>IFERROR(INDEX(BLS_TableTown[area_text], MATCH(B3898,BLS_TableTown[List_No],0)),"")</f>
        <v/>
      </c>
    </row>
    <row r="3899" spans="2:3" x14ac:dyDescent="0.15">
      <c r="B3899" s="2200">
        <v>524</v>
      </c>
      <c r="C3899" s="2200" t="str">
        <f>IFERROR(INDEX(BLS_TableTown[area_text], MATCH(B3899,BLS_TableTown[List_No],0)),"")</f>
        <v/>
      </c>
    </row>
    <row r="3900" spans="2:3" x14ac:dyDescent="0.15">
      <c r="B3900" s="2200">
        <v>525</v>
      </c>
      <c r="C3900" s="2200" t="str">
        <f>IFERROR(INDEX(BLS_TableTown[area_text], MATCH(B3900,BLS_TableTown[List_No],0)),"")</f>
        <v/>
      </c>
    </row>
    <row r="3901" spans="2:3" x14ac:dyDescent="0.15">
      <c r="B3901" s="2200">
        <v>526</v>
      </c>
      <c r="C3901" s="2200" t="str">
        <f>IFERROR(INDEX(BLS_TableTown[area_text], MATCH(B3901,BLS_TableTown[List_No],0)),"")</f>
        <v/>
      </c>
    </row>
    <row r="3902" spans="2:3" x14ac:dyDescent="0.15">
      <c r="B3902" s="2200">
        <v>527</v>
      </c>
      <c r="C3902" s="2200" t="str">
        <f>IFERROR(INDEX(BLS_TableTown[area_text], MATCH(B3902,BLS_TableTown[List_No],0)),"")</f>
        <v/>
      </c>
    </row>
    <row r="3903" spans="2:3" x14ac:dyDescent="0.15">
      <c r="B3903" s="2200">
        <v>528</v>
      </c>
      <c r="C3903" s="2200" t="str">
        <f>IFERROR(INDEX(BLS_TableTown[area_text], MATCH(B3903,BLS_TableTown[List_No],0)),"")</f>
        <v/>
      </c>
    </row>
    <row r="3904" spans="2:3" x14ac:dyDescent="0.15">
      <c r="B3904" s="2200">
        <v>529</v>
      </c>
      <c r="C3904" s="2200" t="str">
        <f>IFERROR(INDEX(BLS_TableTown[area_text], MATCH(B3904,BLS_TableTown[List_No],0)),"")</f>
        <v/>
      </c>
    </row>
    <row r="3905" spans="2:3" x14ac:dyDescent="0.15">
      <c r="B3905" s="2200">
        <v>530</v>
      </c>
      <c r="C3905" s="2200" t="str">
        <f>IFERROR(INDEX(BLS_TableTown[area_text], MATCH(B3905,BLS_TableTown[List_No],0)),"")</f>
        <v/>
      </c>
    </row>
    <row r="3906" spans="2:3" x14ac:dyDescent="0.15">
      <c r="B3906" s="2200">
        <v>531</v>
      </c>
      <c r="C3906" s="2200" t="str">
        <f>IFERROR(INDEX(BLS_TableTown[area_text], MATCH(B3906,BLS_TableTown[List_No],0)),"")</f>
        <v/>
      </c>
    </row>
    <row r="3907" spans="2:3" x14ac:dyDescent="0.15">
      <c r="B3907" s="2200">
        <v>532</v>
      </c>
      <c r="C3907" s="2200" t="str">
        <f>IFERROR(INDEX(BLS_TableTown[area_text], MATCH(B3907,BLS_TableTown[List_No],0)),"")</f>
        <v/>
      </c>
    </row>
    <row r="3908" spans="2:3" x14ac:dyDescent="0.15">
      <c r="B3908" s="2200">
        <v>533</v>
      </c>
      <c r="C3908" s="2200" t="str">
        <f>IFERROR(INDEX(BLS_TableTown[area_text], MATCH(B3908,BLS_TableTown[List_No],0)),"")</f>
        <v/>
      </c>
    </row>
    <row r="3909" spans="2:3" x14ac:dyDescent="0.15">
      <c r="B3909" s="2200">
        <v>534</v>
      </c>
      <c r="C3909" s="2200" t="str">
        <f>IFERROR(INDEX(BLS_TableTown[area_text], MATCH(B3909,BLS_TableTown[List_No],0)),"")</f>
        <v/>
      </c>
    </row>
    <row r="3910" spans="2:3" x14ac:dyDescent="0.15">
      <c r="B3910" s="2200">
        <v>535</v>
      </c>
      <c r="C3910" s="2200" t="str">
        <f>IFERROR(INDEX(BLS_TableTown[area_text], MATCH(B3910,BLS_TableTown[List_No],0)),"")</f>
        <v/>
      </c>
    </row>
    <row r="3911" spans="2:3" x14ac:dyDescent="0.15">
      <c r="B3911" s="2200">
        <v>536</v>
      </c>
      <c r="C3911" s="2200" t="str">
        <f>IFERROR(INDEX(BLS_TableTown[area_text], MATCH(B3911,BLS_TableTown[List_No],0)),"")</f>
        <v/>
      </c>
    </row>
    <row r="3912" spans="2:3" x14ac:dyDescent="0.15">
      <c r="B3912" s="2200">
        <v>537</v>
      </c>
      <c r="C3912" s="2200" t="str">
        <f>IFERROR(INDEX(BLS_TableTown[area_text], MATCH(B3912,BLS_TableTown[List_No],0)),"")</f>
        <v/>
      </c>
    </row>
    <row r="3913" spans="2:3" x14ac:dyDescent="0.15">
      <c r="B3913" s="2200">
        <v>538</v>
      </c>
      <c r="C3913" s="2200" t="str">
        <f>IFERROR(INDEX(BLS_TableTown[area_text], MATCH(B3913,BLS_TableTown[List_No],0)),"")</f>
        <v/>
      </c>
    </row>
    <row r="3914" spans="2:3" x14ac:dyDescent="0.15">
      <c r="B3914" s="2200">
        <v>539</v>
      </c>
      <c r="C3914" s="2200" t="str">
        <f>IFERROR(INDEX(BLS_TableTown[area_text], MATCH(B3914,BLS_TableTown[List_No],0)),"")</f>
        <v/>
      </c>
    </row>
    <row r="3915" spans="2:3" x14ac:dyDescent="0.15">
      <c r="B3915" s="2200">
        <v>540</v>
      </c>
      <c r="C3915" s="2200" t="str">
        <f>IFERROR(INDEX(BLS_TableTown[area_text], MATCH(B3915,BLS_TableTown[List_No],0)),"")</f>
        <v/>
      </c>
    </row>
    <row r="3916" spans="2:3" x14ac:dyDescent="0.15">
      <c r="B3916" s="2200">
        <v>541</v>
      </c>
      <c r="C3916" s="2200" t="str">
        <f>IFERROR(INDEX(BLS_TableTown[area_text], MATCH(B3916,BLS_TableTown[List_No],0)),"")</f>
        <v/>
      </c>
    </row>
    <row r="3917" spans="2:3" x14ac:dyDescent="0.15">
      <c r="B3917" s="2200">
        <v>542</v>
      </c>
      <c r="C3917" s="2200" t="str">
        <f>IFERROR(INDEX(BLS_TableTown[area_text], MATCH(B3917,BLS_TableTown[List_No],0)),"")</f>
        <v/>
      </c>
    </row>
    <row r="3918" spans="2:3" x14ac:dyDescent="0.15">
      <c r="B3918" s="2200">
        <v>543</v>
      </c>
      <c r="C3918" s="2200" t="str">
        <f>IFERROR(INDEX(BLS_TableTown[area_text], MATCH(B3918,BLS_TableTown[List_No],0)),"")</f>
        <v/>
      </c>
    </row>
    <row r="3919" spans="2:3" x14ac:dyDescent="0.15">
      <c r="B3919" s="2200">
        <v>544</v>
      </c>
      <c r="C3919" s="2200" t="str">
        <f>IFERROR(INDEX(BLS_TableTown[area_text], MATCH(B3919,BLS_TableTown[List_No],0)),"")</f>
        <v/>
      </c>
    </row>
    <row r="3920" spans="2:3" x14ac:dyDescent="0.15">
      <c r="B3920" s="2200">
        <v>545</v>
      </c>
      <c r="C3920" s="2200" t="str">
        <f>IFERROR(INDEX(BLS_TableTown[area_text], MATCH(B3920,BLS_TableTown[List_No],0)),"")</f>
        <v/>
      </c>
    </row>
  </sheetData>
  <pageMargins left="0.7" right="0.7" top="0.75" bottom="0.75" header="0.3" footer="0.3"/>
  <tableParts count="2">
    <tablePart r:id="rId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DA8AF-9CB9-48C3-B5C0-33AA35EA0CDD}">
  <sheetPr codeName="Sheet82"/>
  <dimension ref="A1:AQI2"/>
  <sheetViews>
    <sheetView workbookViewId="0"/>
  </sheetViews>
  <sheetFormatPr defaultRowHeight="14.25" x14ac:dyDescent="0.25"/>
  <cols>
    <col min="1" max="1" width="5.85546875" bestFit="1" customWidth="1"/>
    <col min="2" max="2" width="12.5703125" bestFit="1" customWidth="1"/>
    <col min="3" max="3" width="24.85546875" bestFit="1" customWidth="1"/>
    <col min="4" max="4" width="17.5703125" bestFit="1" customWidth="1"/>
    <col min="5" max="5" width="21.7109375" bestFit="1" customWidth="1"/>
    <col min="6" max="6" width="49.85546875" bestFit="1" customWidth="1"/>
    <col min="7" max="7" width="27.140625" bestFit="1" customWidth="1"/>
    <col min="8" max="8" width="26.5703125" bestFit="1" customWidth="1"/>
    <col min="9" max="9" width="26.7109375" bestFit="1" customWidth="1"/>
    <col min="10" max="10" width="19.5703125" bestFit="1" customWidth="1"/>
    <col min="11" max="11" width="29.28515625" bestFit="1" customWidth="1"/>
    <col min="12" max="12" width="25.7109375" bestFit="1" customWidth="1"/>
    <col min="13" max="13" width="33.140625" bestFit="1" customWidth="1"/>
    <col min="14" max="14" width="26.140625" bestFit="1" customWidth="1"/>
    <col min="15" max="15" width="28.5703125" bestFit="1" customWidth="1"/>
    <col min="16" max="16" width="30.85546875" bestFit="1" customWidth="1"/>
    <col min="17" max="17" width="13.5703125" bestFit="1" customWidth="1"/>
    <col min="18" max="18" width="15.5703125" bestFit="1" customWidth="1"/>
    <col min="19" max="19" width="20.7109375" bestFit="1" customWidth="1"/>
    <col min="20" max="20" width="14.28515625" bestFit="1" customWidth="1"/>
    <col min="21" max="21" width="13.5703125" bestFit="1" customWidth="1"/>
    <col min="22" max="22" width="15.5703125" bestFit="1" customWidth="1"/>
    <col min="23" max="23" width="20.7109375" bestFit="1" customWidth="1"/>
    <col min="24" max="24" width="14.28515625" bestFit="1" customWidth="1"/>
    <col min="25" max="25" width="13.5703125" bestFit="1" customWidth="1"/>
    <col min="26" max="26" width="15.5703125" bestFit="1" customWidth="1"/>
    <col min="27" max="27" width="20.7109375" bestFit="1" customWidth="1"/>
    <col min="28" max="28" width="14.28515625" bestFit="1" customWidth="1"/>
    <col min="29" max="29" width="13.5703125" bestFit="1" customWidth="1"/>
    <col min="30" max="30" width="15.5703125" bestFit="1" customWidth="1"/>
    <col min="31" max="31" width="20.7109375" bestFit="1" customWidth="1"/>
    <col min="32" max="32" width="14.28515625" bestFit="1" customWidth="1"/>
    <col min="33" max="33" width="13.5703125" bestFit="1" customWidth="1"/>
    <col min="34" max="34" width="15.5703125" bestFit="1" customWidth="1"/>
    <col min="35" max="35" width="20.7109375" bestFit="1" customWidth="1"/>
    <col min="36" max="36" width="14.28515625" bestFit="1" customWidth="1"/>
    <col min="37" max="37" width="13.5703125" bestFit="1" customWidth="1"/>
    <col min="38" max="38" width="15.5703125" bestFit="1" customWidth="1"/>
    <col min="39" max="39" width="20.7109375" bestFit="1" customWidth="1"/>
    <col min="40" max="40" width="14.28515625" bestFit="1" customWidth="1"/>
    <col min="41" max="41" width="13.5703125" bestFit="1" customWidth="1"/>
    <col min="42" max="42" width="15.5703125" bestFit="1" customWidth="1"/>
    <col min="43" max="43" width="20.7109375" bestFit="1" customWidth="1"/>
    <col min="44" max="44" width="14.28515625" bestFit="1" customWidth="1"/>
    <col min="45" max="45" width="13.5703125" bestFit="1" customWidth="1"/>
    <col min="46" max="46" width="15.5703125" bestFit="1" customWidth="1"/>
    <col min="47" max="47" width="20.7109375" bestFit="1" customWidth="1"/>
    <col min="48" max="48" width="14.28515625" bestFit="1" customWidth="1"/>
    <col min="49" max="49" width="13.5703125" bestFit="1" customWidth="1"/>
    <col min="50" max="50" width="15.5703125" bestFit="1" customWidth="1"/>
    <col min="51" max="51" width="20.7109375" bestFit="1" customWidth="1"/>
    <col min="52" max="52" width="14.28515625" bestFit="1" customWidth="1"/>
    <col min="53" max="53" width="13.5703125" bestFit="1" customWidth="1"/>
    <col min="54" max="54" width="15.5703125" bestFit="1" customWidth="1"/>
    <col min="55" max="55" width="20.7109375" bestFit="1" customWidth="1"/>
    <col min="56" max="56" width="14.28515625" bestFit="1" customWidth="1"/>
    <col min="57" max="57" width="14.5703125" bestFit="1" customWidth="1"/>
    <col min="58" max="58" width="16.5703125" bestFit="1" customWidth="1"/>
    <col min="59" max="59" width="21.85546875" bestFit="1" customWidth="1"/>
    <col min="60" max="60" width="15.28515625" bestFit="1" customWidth="1"/>
    <col min="61" max="61" width="14.5703125" bestFit="1" customWidth="1"/>
    <col min="62" max="62" width="16.5703125" bestFit="1" customWidth="1"/>
    <col min="63" max="63" width="21.85546875" bestFit="1" customWidth="1"/>
    <col min="64" max="64" width="15.28515625" bestFit="1" customWidth="1"/>
    <col min="65" max="65" width="14.5703125" bestFit="1" customWidth="1"/>
    <col min="66" max="66" width="16.5703125" bestFit="1" customWidth="1"/>
    <col min="67" max="67" width="21.85546875" bestFit="1" customWidth="1"/>
    <col min="68" max="68" width="15.28515625" bestFit="1" customWidth="1"/>
    <col min="69" max="69" width="14.5703125" bestFit="1" customWidth="1"/>
    <col min="70" max="70" width="16.5703125" bestFit="1" customWidth="1"/>
    <col min="71" max="71" width="21.85546875" bestFit="1" customWidth="1"/>
    <col min="72" max="72" width="15.28515625" bestFit="1" customWidth="1"/>
    <col min="73" max="73" width="14.5703125" bestFit="1" customWidth="1"/>
    <col min="74" max="74" width="16.5703125" bestFit="1" customWidth="1"/>
    <col min="75" max="75" width="21.85546875" bestFit="1" customWidth="1"/>
    <col min="76" max="76" width="15.28515625" bestFit="1" customWidth="1"/>
    <col min="77" max="77" width="14.5703125" bestFit="1" customWidth="1"/>
    <col min="78" max="78" width="16.5703125" bestFit="1" customWidth="1"/>
    <col min="79" max="79" width="21.85546875" bestFit="1" customWidth="1"/>
    <col min="80" max="80" width="15.28515625" bestFit="1" customWidth="1"/>
    <col min="81" max="81" width="14.5703125" bestFit="1" customWidth="1"/>
    <col min="82" max="82" width="16.5703125" bestFit="1" customWidth="1"/>
    <col min="83" max="83" width="21.85546875" bestFit="1" customWidth="1"/>
    <col min="84" max="84" width="15.28515625" bestFit="1" customWidth="1"/>
    <col min="85" max="85" width="14.5703125" bestFit="1" customWidth="1"/>
    <col min="86" max="86" width="16.5703125" bestFit="1" customWidth="1"/>
    <col min="87" max="87" width="21.85546875" bestFit="1" customWidth="1"/>
    <col min="88" max="88" width="15.28515625" bestFit="1" customWidth="1"/>
    <col min="89" max="89" width="14.5703125" bestFit="1" customWidth="1"/>
    <col min="90" max="90" width="16.5703125" bestFit="1" customWidth="1"/>
    <col min="91" max="91" width="21.85546875" bestFit="1" customWidth="1"/>
    <col min="92" max="92" width="15.28515625" bestFit="1" customWidth="1"/>
    <col min="93" max="93" width="14.5703125" bestFit="1" customWidth="1"/>
    <col min="94" max="94" width="16.5703125" bestFit="1" customWidth="1"/>
    <col min="95" max="95" width="21.85546875" bestFit="1" customWidth="1"/>
    <col min="96" max="96" width="15.28515625" bestFit="1" customWidth="1"/>
    <col min="97" max="97" width="14.5703125" bestFit="1" customWidth="1"/>
    <col min="98" max="98" width="16.5703125" bestFit="1" customWidth="1"/>
    <col min="99" max="99" width="21.85546875" bestFit="1" customWidth="1"/>
    <col min="100" max="100" width="15.28515625" bestFit="1" customWidth="1"/>
    <col min="101" max="101" width="14.5703125" bestFit="1" customWidth="1"/>
    <col min="102" max="102" width="16.5703125" bestFit="1" customWidth="1"/>
    <col min="103" max="103" width="21.85546875" bestFit="1" customWidth="1"/>
    <col min="104" max="104" width="15.28515625" bestFit="1" customWidth="1"/>
    <col min="105" max="105" width="14.5703125" bestFit="1" customWidth="1"/>
    <col min="106" max="106" width="16.5703125" bestFit="1" customWidth="1"/>
    <col min="107" max="107" width="21.85546875" bestFit="1" customWidth="1"/>
    <col min="108" max="108" width="15.28515625" bestFit="1" customWidth="1"/>
    <col min="109" max="109" width="14.5703125" bestFit="1" customWidth="1"/>
    <col min="110" max="110" width="16.5703125" bestFit="1" customWidth="1"/>
    <col min="111" max="111" width="21.85546875" bestFit="1" customWidth="1"/>
    <col min="112" max="112" width="15.28515625" bestFit="1" customWidth="1"/>
    <col min="113" max="113" width="14.5703125" bestFit="1" customWidth="1"/>
    <col min="114" max="114" width="16.5703125" bestFit="1" customWidth="1"/>
    <col min="115" max="115" width="21.85546875" bestFit="1" customWidth="1"/>
    <col min="116" max="116" width="15.28515625" bestFit="1" customWidth="1"/>
    <col min="117" max="117" width="14.5703125" bestFit="1" customWidth="1"/>
    <col min="118" max="118" width="16.5703125" bestFit="1" customWidth="1"/>
    <col min="119" max="119" width="21.85546875" bestFit="1" customWidth="1"/>
    <col min="120" max="120" width="15.28515625" bestFit="1" customWidth="1"/>
    <col min="121" max="121" width="14.5703125" bestFit="1" customWidth="1"/>
    <col min="122" max="122" width="16.5703125" bestFit="1" customWidth="1"/>
    <col min="123" max="123" width="21.85546875" bestFit="1" customWidth="1"/>
    <col min="124" max="124" width="15.28515625" bestFit="1" customWidth="1"/>
    <col min="125" max="125" width="14.5703125" bestFit="1" customWidth="1"/>
    <col min="126" max="126" width="16.5703125" bestFit="1" customWidth="1"/>
    <col min="127" max="127" width="21.85546875" bestFit="1" customWidth="1"/>
    <col min="128" max="128" width="15.28515625" bestFit="1" customWidth="1"/>
    <col min="129" max="129" width="14.5703125" bestFit="1" customWidth="1"/>
    <col min="130" max="130" width="16.5703125" bestFit="1" customWidth="1"/>
    <col min="131" max="131" width="21.85546875" bestFit="1" customWidth="1"/>
    <col min="132" max="132" width="15.28515625" bestFit="1" customWidth="1"/>
    <col min="133" max="133" width="14.5703125" bestFit="1" customWidth="1"/>
    <col min="134" max="134" width="16.5703125" bestFit="1" customWidth="1"/>
    <col min="135" max="135" width="21.85546875" bestFit="1" customWidth="1"/>
    <col min="136" max="136" width="15.28515625" bestFit="1" customWidth="1"/>
    <col min="137" max="137" width="14.5703125" bestFit="1" customWidth="1"/>
    <col min="138" max="138" width="16.5703125" bestFit="1" customWidth="1"/>
    <col min="139" max="139" width="21.85546875" bestFit="1" customWidth="1"/>
    <col min="140" max="140" width="15.28515625" bestFit="1" customWidth="1"/>
    <col min="141" max="141" width="14.5703125" bestFit="1" customWidth="1"/>
    <col min="142" max="142" width="16.5703125" bestFit="1" customWidth="1"/>
    <col min="143" max="143" width="21.85546875" bestFit="1" customWidth="1"/>
    <col min="144" max="144" width="15.28515625" bestFit="1" customWidth="1"/>
    <col min="145" max="145" width="14.5703125" bestFit="1" customWidth="1"/>
    <col min="146" max="146" width="16.5703125" bestFit="1" customWidth="1"/>
    <col min="147" max="147" width="21.85546875" bestFit="1" customWidth="1"/>
    <col min="148" max="148" width="15.28515625" bestFit="1" customWidth="1"/>
    <col min="149" max="149" width="14.5703125" bestFit="1" customWidth="1"/>
    <col min="150" max="150" width="16.5703125" bestFit="1" customWidth="1"/>
    <col min="151" max="151" width="21.85546875" bestFit="1" customWidth="1"/>
    <col min="152" max="152" width="15.28515625" bestFit="1" customWidth="1"/>
    <col min="153" max="153" width="14.5703125" bestFit="1" customWidth="1"/>
    <col min="154" max="154" width="16.5703125" bestFit="1" customWidth="1"/>
    <col min="155" max="155" width="21.85546875" bestFit="1" customWidth="1"/>
    <col min="156" max="156" width="15.28515625" bestFit="1" customWidth="1"/>
    <col min="157" max="157" width="14.5703125" bestFit="1" customWidth="1"/>
    <col min="158" max="158" width="16.5703125" bestFit="1" customWidth="1"/>
    <col min="159" max="159" width="21.85546875" bestFit="1" customWidth="1"/>
    <col min="160" max="160" width="15.28515625" bestFit="1" customWidth="1"/>
    <col min="161" max="161" width="14.5703125" bestFit="1" customWidth="1"/>
    <col min="162" max="162" width="16.5703125" bestFit="1" customWidth="1"/>
    <col min="163" max="163" width="21.85546875" bestFit="1" customWidth="1"/>
    <col min="164" max="164" width="15.28515625" bestFit="1" customWidth="1"/>
    <col min="165" max="165" width="14.5703125" bestFit="1" customWidth="1"/>
    <col min="166" max="166" width="16.5703125" bestFit="1" customWidth="1"/>
    <col min="167" max="167" width="21.85546875" bestFit="1" customWidth="1"/>
    <col min="168" max="168" width="15.28515625" bestFit="1" customWidth="1"/>
    <col min="169" max="169" width="14.5703125" bestFit="1" customWidth="1"/>
    <col min="170" max="170" width="16.5703125" bestFit="1" customWidth="1"/>
    <col min="171" max="171" width="21.85546875" bestFit="1" customWidth="1"/>
    <col min="172" max="172" width="15.28515625" bestFit="1" customWidth="1"/>
    <col min="173" max="173" width="14.5703125" bestFit="1" customWidth="1"/>
    <col min="174" max="174" width="16.5703125" bestFit="1" customWidth="1"/>
    <col min="175" max="175" width="21.85546875" bestFit="1" customWidth="1"/>
    <col min="176" max="176" width="15.28515625" bestFit="1" customWidth="1"/>
    <col min="177" max="177" width="14.5703125" bestFit="1" customWidth="1"/>
    <col min="178" max="178" width="16.5703125" bestFit="1" customWidth="1"/>
    <col min="179" max="179" width="21.85546875" bestFit="1" customWidth="1"/>
    <col min="180" max="180" width="15.28515625" bestFit="1" customWidth="1"/>
    <col min="181" max="181" width="14.5703125" bestFit="1" customWidth="1"/>
    <col min="182" max="182" width="16.5703125" bestFit="1" customWidth="1"/>
    <col min="183" max="183" width="21.85546875" bestFit="1" customWidth="1"/>
    <col min="184" max="184" width="15.28515625" bestFit="1" customWidth="1"/>
    <col min="185" max="185" width="14.5703125" bestFit="1" customWidth="1"/>
    <col min="186" max="186" width="16.5703125" bestFit="1" customWidth="1"/>
    <col min="187" max="187" width="21.85546875" bestFit="1" customWidth="1"/>
    <col min="188" max="188" width="15.28515625" bestFit="1" customWidth="1"/>
    <col min="189" max="189" width="14.5703125" bestFit="1" customWidth="1"/>
    <col min="190" max="190" width="16.5703125" bestFit="1" customWidth="1"/>
    <col min="191" max="191" width="21.85546875" bestFit="1" customWidth="1"/>
    <col min="192" max="192" width="15.28515625" bestFit="1" customWidth="1"/>
    <col min="193" max="193" width="14.5703125" bestFit="1" customWidth="1"/>
    <col min="194" max="194" width="16.5703125" bestFit="1" customWidth="1"/>
    <col min="195" max="195" width="21.85546875" bestFit="1" customWidth="1"/>
    <col min="196" max="196" width="15.28515625" bestFit="1" customWidth="1"/>
    <col min="197" max="197" width="14.5703125" bestFit="1" customWidth="1"/>
    <col min="198" max="198" width="16.5703125" bestFit="1" customWidth="1"/>
    <col min="199" max="199" width="21.85546875" bestFit="1" customWidth="1"/>
    <col min="200" max="200" width="15.28515625" bestFit="1" customWidth="1"/>
    <col min="201" max="201" width="14.5703125" bestFit="1" customWidth="1"/>
    <col min="202" max="202" width="16.5703125" bestFit="1" customWidth="1"/>
    <col min="203" max="203" width="21.85546875" bestFit="1" customWidth="1"/>
    <col min="204" max="204" width="15.28515625" bestFit="1" customWidth="1"/>
    <col min="205" max="205" width="14.5703125" bestFit="1" customWidth="1"/>
    <col min="206" max="206" width="16.5703125" bestFit="1" customWidth="1"/>
    <col min="207" max="207" width="21.85546875" bestFit="1" customWidth="1"/>
    <col min="208" max="208" width="15.28515625" bestFit="1" customWidth="1"/>
    <col min="209" max="209" width="14.5703125" bestFit="1" customWidth="1"/>
    <col min="210" max="210" width="16.5703125" bestFit="1" customWidth="1"/>
    <col min="211" max="211" width="21.85546875" bestFit="1" customWidth="1"/>
    <col min="212" max="212" width="15.28515625" bestFit="1" customWidth="1"/>
    <col min="213" max="213" width="14.5703125" bestFit="1" customWidth="1"/>
    <col min="214" max="214" width="16.5703125" bestFit="1" customWidth="1"/>
    <col min="215" max="215" width="21.85546875" bestFit="1" customWidth="1"/>
    <col min="216" max="216" width="15.28515625" bestFit="1" customWidth="1"/>
    <col min="217" max="217" width="14.5703125" bestFit="1" customWidth="1"/>
    <col min="218" max="218" width="16.5703125" bestFit="1" customWidth="1"/>
    <col min="219" max="219" width="21.85546875" bestFit="1" customWidth="1"/>
    <col min="220" max="220" width="15.28515625" bestFit="1" customWidth="1"/>
    <col min="221" max="221" width="14.5703125" bestFit="1" customWidth="1"/>
    <col min="222" max="222" width="16.5703125" bestFit="1" customWidth="1"/>
    <col min="223" max="223" width="21.85546875" bestFit="1" customWidth="1"/>
    <col min="224" max="224" width="15.28515625" bestFit="1" customWidth="1"/>
    <col min="225" max="225" width="14.5703125" bestFit="1" customWidth="1"/>
    <col min="226" max="226" width="16.5703125" bestFit="1" customWidth="1"/>
    <col min="227" max="227" width="21.85546875" bestFit="1" customWidth="1"/>
    <col min="228" max="228" width="15.28515625" bestFit="1" customWidth="1"/>
    <col min="229" max="229" width="14.5703125" bestFit="1" customWidth="1"/>
    <col min="230" max="230" width="16.5703125" bestFit="1" customWidth="1"/>
    <col min="231" max="231" width="21.85546875" bestFit="1" customWidth="1"/>
    <col min="232" max="232" width="15.28515625" bestFit="1" customWidth="1"/>
    <col min="233" max="233" width="14.5703125" bestFit="1" customWidth="1"/>
    <col min="234" max="234" width="16.5703125" bestFit="1" customWidth="1"/>
    <col min="235" max="235" width="21.85546875" bestFit="1" customWidth="1"/>
    <col min="236" max="236" width="15.28515625" bestFit="1" customWidth="1"/>
    <col min="237" max="237" width="14.5703125" bestFit="1" customWidth="1"/>
    <col min="238" max="238" width="16.5703125" bestFit="1" customWidth="1"/>
    <col min="239" max="239" width="21.85546875" bestFit="1" customWidth="1"/>
    <col min="240" max="240" width="15.28515625" bestFit="1" customWidth="1"/>
    <col min="241" max="241" width="14.5703125" bestFit="1" customWidth="1"/>
    <col min="242" max="242" width="16.5703125" bestFit="1" customWidth="1"/>
    <col min="243" max="243" width="21.85546875" bestFit="1" customWidth="1"/>
    <col min="244" max="244" width="15.28515625" bestFit="1" customWidth="1"/>
    <col min="245" max="245" width="14.5703125" bestFit="1" customWidth="1"/>
    <col min="246" max="246" width="16.5703125" bestFit="1" customWidth="1"/>
    <col min="247" max="247" width="21.85546875" bestFit="1" customWidth="1"/>
    <col min="248" max="248" width="15.28515625" bestFit="1" customWidth="1"/>
    <col min="249" max="249" width="14.5703125" bestFit="1" customWidth="1"/>
    <col min="250" max="250" width="16.5703125" bestFit="1" customWidth="1"/>
    <col min="251" max="251" width="21.85546875" bestFit="1" customWidth="1"/>
    <col min="252" max="252" width="15.28515625" bestFit="1" customWidth="1"/>
    <col min="253" max="253" width="14.5703125" bestFit="1" customWidth="1"/>
    <col min="254" max="254" width="16.5703125" bestFit="1" customWidth="1"/>
    <col min="255" max="255" width="21.85546875" bestFit="1" customWidth="1"/>
    <col min="256" max="256" width="15.28515625" bestFit="1" customWidth="1"/>
    <col min="257" max="257" width="14.5703125" bestFit="1" customWidth="1"/>
    <col min="258" max="258" width="16.5703125" bestFit="1" customWidth="1"/>
    <col min="259" max="259" width="21.85546875" bestFit="1" customWidth="1"/>
    <col min="260" max="260" width="15.28515625" bestFit="1" customWidth="1"/>
    <col min="261" max="261" width="14.5703125" bestFit="1" customWidth="1"/>
    <col min="262" max="262" width="16.5703125" bestFit="1" customWidth="1"/>
    <col min="263" max="263" width="21.85546875" bestFit="1" customWidth="1"/>
    <col min="264" max="264" width="15.28515625" bestFit="1" customWidth="1"/>
    <col min="265" max="265" width="14.5703125" bestFit="1" customWidth="1"/>
    <col min="266" max="266" width="16.5703125" bestFit="1" customWidth="1"/>
    <col min="267" max="267" width="21.85546875" bestFit="1" customWidth="1"/>
    <col min="268" max="268" width="15.28515625" bestFit="1" customWidth="1"/>
    <col min="269" max="269" width="14.5703125" bestFit="1" customWidth="1"/>
    <col min="270" max="270" width="16.5703125" bestFit="1" customWidth="1"/>
    <col min="271" max="271" width="21.85546875" bestFit="1" customWidth="1"/>
    <col min="272" max="272" width="15.28515625" bestFit="1" customWidth="1"/>
    <col min="273" max="273" width="14.5703125" bestFit="1" customWidth="1"/>
    <col min="274" max="274" width="16.5703125" bestFit="1" customWidth="1"/>
    <col min="275" max="275" width="21.85546875" bestFit="1" customWidth="1"/>
    <col min="276" max="276" width="15.28515625" bestFit="1" customWidth="1"/>
    <col min="277" max="277" width="14.5703125" bestFit="1" customWidth="1"/>
    <col min="278" max="278" width="16.5703125" bestFit="1" customWidth="1"/>
    <col min="279" max="279" width="21.85546875" bestFit="1" customWidth="1"/>
    <col min="280" max="280" width="15.28515625" bestFit="1" customWidth="1"/>
    <col min="281" max="281" width="14.5703125" bestFit="1" customWidth="1"/>
    <col min="282" max="282" width="16.5703125" bestFit="1" customWidth="1"/>
    <col min="283" max="283" width="21.85546875" bestFit="1" customWidth="1"/>
    <col min="284" max="284" width="15.28515625" bestFit="1" customWidth="1"/>
    <col min="285" max="285" width="14.5703125" bestFit="1" customWidth="1"/>
    <col min="286" max="286" width="16.5703125" bestFit="1" customWidth="1"/>
    <col min="287" max="287" width="21.85546875" bestFit="1" customWidth="1"/>
    <col min="288" max="288" width="15.28515625" bestFit="1" customWidth="1"/>
    <col min="289" max="289" width="14.5703125" bestFit="1" customWidth="1"/>
    <col min="290" max="290" width="16.5703125" bestFit="1" customWidth="1"/>
    <col min="291" max="291" width="21.85546875" bestFit="1" customWidth="1"/>
    <col min="292" max="292" width="15.28515625" bestFit="1" customWidth="1"/>
    <col min="293" max="293" width="14.5703125" bestFit="1" customWidth="1"/>
    <col min="294" max="294" width="16.5703125" bestFit="1" customWidth="1"/>
    <col min="295" max="295" width="21.85546875" bestFit="1" customWidth="1"/>
    <col min="296" max="296" width="15.28515625" bestFit="1" customWidth="1"/>
    <col min="297" max="297" width="14.5703125" bestFit="1" customWidth="1"/>
    <col min="298" max="298" width="16.5703125" bestFit="1" customWidth="1"/>
    <col min="299" max="299" width="21.85546875" bestFit="1" customWidth="1"/>
    <col min="300" max="300" width="15.28515625" bestFit="1" customWidth="1"/>
    <col min="301" max="301" width="14.5703125" bestFit="1" customWidth="1"/>
    <col min="302" max="302" width="16.5703125" bestFit="1" customWidth="1"/>
    <col min="303" max="303" width="21.85546875" bestFit="1" customWidth="1"/>
    <col min="304" max="304" width="15.28515625" bestFit="1" customWidth="1"/>
    <col min="305" max="305" width="14.5703125" bestFit="1" customWidth="1"/>
    <col min="306" max="306" width="16.5703125" bestFit="1" customWidth="1"/>
    <col min="307" max="307" width="21.85546875" bestFit="1" customWidth="1"/>
    <col min="308" max="308" width="15.28515625" bestFit="1" customWidth="1"/>
    <col min="309" max="309" width="14.5703125" bestFit="1" customWidth="1"/>
    <col min="310" max="310" width="16.5703125" bestFit="1" customWidth="1"/>
    <col min="311" max="311" width="21.85546875" bestFit="1" customWidth="1"/>
    <col min="312" max="312" width="15.28515625" bestFit="1" customWidth="1"/>
    <col min="313" max="313" width="14.5703125" bestFit="1" customWidth="1"/>
    <col min="314" max="314" width="16.5703125" bestFit="1" customWidth="1"/>
    <col min="315" max="315" width="21.85546875" bestFit="1" customWidth="1"/>
    <col min="316" max="316" width="15.28515625" bestFit="1" customWidth="1"/>
    <col min="317" max="317" width="14.5703125" bestFit="1" customWidth="1"/>
    <col min="318" max="318" width="16.5703125" bestFit="1" customWidth="1"/>
    <col min="319" max="319" width="21.85546875" bestFit="1" customWidth="1"/>
    <col min="320" max="320" width="15.28515625" bestFit="1" customWidth="1"/>
    <col min="321" max="321" width="14.5703125" bestFit="1" customWidth="1"/>
    <col min="322" max="322" width="16.5703125" bestFit="1" customWidth="1"/>
    <col min="323" max="323" width="21.85546875" bestFit="1" customWidth="1"/>
    <col min="324" max="324" width="15.28515625" bestFit="1" customWidth="1"/>
    <col min="325" max="325" width="14.5703125" bestFit="1" customWidth="1"/>
    <col min="326" max="326" width="16.5703125" bestFit="1" customWidth="1"/>
    <col min="327" max="327" width="21.85546875" bestFit="1" customWidth="1"/>
    <col min="328" max="328" width="15.28515625" bestFit="1" customWidth="1"/>
    <col min="329" max="329" width="21.7109375" bestFit="1" customWidth="1"/>
    <col min="330" max="330" width="28.140625" bestFit="1" customWidth="1"/>
    <col min="331" max="332" width="21.7109375" bestFit="1" customWidth="1"/>
    <col min="333" max="333" width="31.28515625" bestFit="1" customWidth="1"/>
    <col min="334" max="334" width="27.140625" bestFit="1" customWidth="1"/>
    <col min="335" max="335" width="26.5703125" bestFit="1" customWidth="1"/>
    <col min="336" max="336" width="14" bestFit="1" customWidth="1"/>
    <col min="337" max="337" width="18.42578125" bestFit="1" customWidth="1"/>
    <col min="338" max="338" width="13.5703125" bestFit="1" customWidth="1"/>
    <col min="339" max="339" width="15.5703125" bestFit="1" customWidth="1"/>
    <col min="340" max="340" width="20.7109375" bestFit="1" customWidth="1"/>
    <col min="341" max="341" width="14.42578125" bestFit="1" customWidth="1"/>
    <col min="342" max="342" width="14.28515625" bestFit="1" customWidth="1"/>
    <col min="343" max="343" width="25" bestFit="1" customWidth="1"/>
    <col min="344" max="344" width="41.7109375" bestFit="1" customWidth="1"/>
    <col min="345" max="345" width="13.5703125" bestFit="1" customWidth="1"/>
    <col min="346" max="346" width="15.5703125" bestFit="1" customWidth="1"/>
    <col min="347" max="347" width="20.7109375" bestFit="1" customWidth="1"/>
    <col min="348" max="348" width="14.28515625" bestFit="1" customWidth="1"/>
    <col min="349" max="349" width="25" bestFit="1" customWidth="1"/>
    <col min="350" max="350" width="41.7109375" bestFit="1" customWidth="1"/>
    <col min="351" max="351" width="13.5703125" bestFit="1" customWidth="1"/>
    <col min="352" max="352" width="15.5703125" bestFit="1" customWidth="1"/>
    <col min="353" max="353" width="20.7109375" bestFit="1" customWidth="1"/>
    <col min="354" max="354" width="14.28515625" bestFit="1" customWidth="1"/>
    <col min="355" max="355" width="25" bestFit="1" customWidth="1"/>
    <col min="356" max="356" width="41.7109375" bestFit="1" customWidth="1"/>
    <col min="357" max="357" width="13.5703125" bestFit="1" customWidth="1"/>
    <col min="358" max="358" width="15.5703125" bestFit="1" customWidth="1"/>
    <col min="359" max="359" width="20.7109375" bestFit="1" customWidth="1"/>
    <col min="360" max="360" width="14.28515625" bestFit="1" customWidth="1"/>
    <col min="361" max="361" width="25" bestFit="1" customWidth="1"/>
    <col min="362" max="362" width="41.7109375" bestFit="1" customWidth="1"/>
    <col min="363" max="363" width="13.5703125" bestFit="1" customWidth="1"/>
    <col min="364" max="364" width="15.5703125" bestFit="1" customWidth="1"/>
    <col min="365" max="365" width="20.7109375" bestFit="1" customWidth="1"/>
    <col min="366" max="366" width="14.28515625" bestFit="1" customWidth="1"/>
    <col min="367" max="367" width="25" bestFit="1" customWidth="1"/>
    <col min="368" max="368" width="41.7109375" bestFit="1" customWidth="1"/>
    <col min="369" max="369" width="13.5703125" bestFit="1" customWidth="1"/>
    <col min="370" max="370" width="15.5703125" bestFit="1" customWidth="1"/>
    <col min="371" max="371" width="20.7109375" bestFit="1" customWidth="1"/>
    <col min="372" max="372" width="14.28515625" bestFit="1" customWidth="1"/>
    <col min="373" max="373" width="25" bestFit="1" customWidth="1"/>
    <col min="374" max="374" width="41.7109375" bestFit="1" customWidth="1"/>
    <col min="375" max="375" width="13.5703125" bestFit="1" customWidth="1"/>
    <col min="376" max="376" width="15.5703125" bestFit="1" customWidth="1"/>
    <col min="377" max="377" width="20.7109375" bestFit="1" customWidth="1"/>
    <col min="378" max="378" width="14.28515625" bestFit="1" customWidth="1"/>
    <col min="379" max="379" width="25" bestFit="1" customWidth="1"/>
    <col min="380" max="380" width="41.7109375" bestFit="1" customWidth="1"/>
    <col min="381" max="381" width="13.5703125" bestFit="1" customWidth="1"/>
    <col min="382" max="382" width="15.5703125" bestFit="1" customWidth="1"/>
    <col min="383" max="383" width="20.7109375" bestFit="1" customWidth="1"/>
    <col min="384" max="384" width="14.28515625" bestFit="1" customWidth="1"/>
    <col min="385" max="385" width="25" bestFit="1" customWidth="1"/>
    <col min="386" max="386" width="41.7109375" bestFit="1" customWidth="1"/>
    <col min="387" max="387" width="13.5703125" bestFit="1" customWidth="1"/>
    <col min="388" max="388" width="15.5703125" bestFit="1" customWidth="1"/>
    <col min="389" max="389" width="20.7109375" bestFit="1" customWidth="1"/>
    <col min="390" max="390" width="14.28515625" bestFit="1" customWidth="1"/>
    <col min="391" max="391" width="25" bestFit="1" customWidth="1"/>
    <col min="392" max="392" width="41.7109375" bestFit="1" customWidth="1"/>
    <col min="393" max="393" width="13.5703125" bestFit="1" customWidth="1"/>
    <col min="394" max="394" width="15.5703125" bestFit="1" customWidth="1"/>
    <col min="395" max="395" width="20.7109375" bestFit="1" customWidth="1"/>
    <col min="396" max="396" width="14.28515625" bestFit="1" customWidth="1"/>
    <col min="397" max="397" width="25" bestFit="1" customWidth="1"/>
    <col min="398" max="398" width="41.7109375" bestFit="1" customWidth="1"/>
    <col min="399" max="399" width="14.5703125" bestFit="1" customWidth="1"/>
    <col min="400" max="400" width="16.5703125" bestFit="1" customWidth="1"/>
    <col min="401" max="401" width="21.85546875" bestFit="1" customWidth="1"/>
    <col min="402" max="402" width="15.28515625" bestFit="1" customWidth="1"/>
    <col min="403" max="403" width="26.140625" bestFit="1" customWidth="1"/>
    <col min="404" max="404" width="41.7109375" bestFit="1" customWidth="1"/>
    <col min="405" max="405" width="14.5703125" bestFit="1" customWidth="1"/>
    <col min="406" max="406" width="16.5703125" bestFit="1" customWidth="1"/>
    <col min="407" max="407" width="21.85546875" bestFit="1" customWidth="1"/>
    <col min="408" max="408" width="15.28515625" bestFit="1" customWidth="1"/>
    <col min="409" max="409" width="26.140625" bestFit="1" customWidth="1"/>
    <col min="410" max="410" width="41.7109375" bestFit="1" customWidth="1"/>
    <col min="411" max="411" width="14.5703125" bestFit="1" customWidth="1"/>
    <col min="412" max="412" width="16.5703125" bestFit="1" customWidth="1"/>
    <col min="413" max="413" width="21.85546875" bestFit="1" customWidth="1"/>
    <col min="414" max="414" width="15.28515625" bestFit="1" customWidth="1"/>
    <col min="415" max="415" width="26.140625" bestFit="1" customWidth="1"/>
    <col min="416" max="416" width="41.7109375" bestFit="1" customWidth="1"/>
    <col min="417" max="417" width="14.5703125" bestFit="1" customWidth="1"/>
    <col min="418" max="418" width="16.5703125" bestFit="1" customWidth="1"/>
    <col min="419" max="419" width="21.85546875" bestFit="1" customWidth="1"/>
    <col min="420" max="420" width="15.28515625" bestFit="1" customWidth="1"/>
    <col min="421" max="421" width="26.140625" bestFit="1" customWidth="1"/>
    <col min="422" max="422" width="41.7109375" bestFit="1" customWidth="1"/>
    <col min="423" max="423" width="14.5703125" bestFit="1" customWidth="1"/>
    <col min="424" max="424" width="16.5703125" bestFit="1" customWidth="1"/>
    <col min="425" max="425" width="21.85546875" bestFit="1" customWidth="1"/>
    <col min="426" max="426" width="15.28515625" bestFit="1" customWidth="1"/>
    <col min="427" max="427" width="26.140625" bestFit="1" customWidth="1"/>
    <col min="428" max="428" width="41.7109375" bestFit="1" customWidth="1"/>
    <col min="429" max="429" width="14.5703125" bestFit="1" customWidth="1"/>
    <col min="430" max="430" width="16.5703125" bestFit="1" customWidth="1"/>
    <col min="431" max="431" width="21.85546875" bestFit="1" customWidth="1"/>
    <col min="432" max="432" width="15.28515625" bestFit="1" customWidth="1"/>
    <col min="433" max="433" width="26.140625" bestFit="1" customWidth="1"/>
    <col min="434" max="434" width="41.7109375" bestFit="1" customWidth="1"/>
    <col min="435" max="435" width="14.5703125" bestFit="1" customWidth="1"/>
    <col min="436" max="436" width="16.5703125" bestFit="1" customWidth="1"/>
    <col min="437" max="437" width="21.85546875" bestFit="1" customWidth="1"/>
    <col min="438" max="438" width="15.28515625" bestFit="1" customWidth="1"/>
    <col min="439" max="439" width="26.140625" bestFit="1" customWidth="1"/>
    <col min="440" max="440" width="41.7109375" bestFit="1" customWidth="1"/>
    <col min="441" max="441" width="14.5703125" bestFit="1" customWidth="1"/>
    <col min="442" max="442" width="16.5703125" bestFit="1" customWidth="1"/>
    <col min="443" max="443" width="21.85546875" bestFit="1" customWidth="1"/>
    <col min="444" max="444" width="15.28515625" bestFit="1" customWidth="1"/>
    <col min="445" max="445" width="26.140625" bestFit="1" customWidth="1"/>
    <col min="446" max="446" width="41.7109375" bestFit="1" customWidth="1"/>
    <col min="447" max="447" width="14.5703125" bestFit="1" customWidth="1"/>
    <col min="448" max="448" width="16.5703125" bestFit="1" customWidth="1"/>
    <col min="449" max="449" width="21.85546875" bestFit="1" customWidth="1"/>
    <col min="450" max="450" width="15.28515625" bestFit="1" customWidth="1"/>
    <col min="451" max="451" width="26.140625" bestFit="1" customWidth="1"/>
    <col min="452" max="452" width="41.7109375" bestFit="1" customWidth="1"/>
    <col min="453" max="453" width="14.5703125" bestFit="1" customWidth="1"/>
    <col min="454" max="454" width="16.5703125" bestFit="1" customWidth="1"/>
    <col min="455" max="455" width="21.85546875" bestFit="1" customWidth="1"/>
    <col min="456" max="456" width="15.28515625" bestFit="1" customWidth="1"/>
    <col min="457" max="457" width="26.140625" bestFit="1" customWidth="1"/>
    <col min="458" max="458" width="41.7109375" bestFit="1" customWidth="1"/>
    <col min="459" max="459" width="14.5703125" bestFit="1" customWidth="1"/>
    <col min="460" max="460" width="16.5703125" bestFit="1" customWidth="1"/>
    <col min="461" max="461" width="21.85546875" bestFit="1" customWidth="1"/>
    <col min="462" max="462" width="15.28515625" bestFit="1" customWidth="1"/>
    <col min="463" max="463" width="26.140625" bestFit="1" customWidth="1"/>
    <col min="464" max="464" width="41.7109375" bestFit="1" customWidth="1"/>
    <col min="465" max="465" width="14.5703125" bestFit="1" customWidth="1"/>
    <col min="466" max="466" width="16.5703125" bestFit="1" customWidth="1"/>
    <col min="467" max="467" width="21.85546875" bestFit="1" customWidth="1"/>
    <col min="468" max="468" width="15.28515625" bestFit="1" customWidth="1"/>
    <col min="469" max="469" width="26.140625" bestFit="1" customWidth="1"/>
    <col min="470" max="470" width="41.7109375" bestFit="1" customWidth="1"/>
    <col min="471" max="471" width="14.5703125" bestFit="1" customWidth="1"/>
    <col min="472" max="472" width="16.5703125" bestFit="1" customWidth="1"/>
    <col min="473" max="473" width="21.85546875" bestFit="1" customWidth="1"/>
    <col min="474" max="474" width="15.28515625" bestFit="1" customWidth="1"/>
    <col min="475" max="475" width="26.140625" bestFit="1" customWidth="1"/>
    <col min="476" max="476" width="41.7109375" bestFit="1" customWidth="1"/>
    <col min="477" max="477" width="14.5703125" bestFit="1" customWidth="1"/>
    <col min="478" max="478" width="16.5703125" bestFit="1" customWidth="1"/>
    <col min="479" max="479" width="21.85546875" bestFit="1" customWidth="1"/>
    <col min="480" max="480" width="15.28515625" bestFit="1" customWidth="1"/>
    <col min="481" max="481" width="26.140625" bestFit="1" customWidth="1"/>
    <col min="482" max="482" width="41.7109375" bestFit="1" customWidth="1"/>
    <col min="483" max="483" width="14.5703125" bestFit="1" customWidth="1"/>
    <col min="484" max="484" width="16.5703125" bestFit="1" customWidth="1"/>
    <col min="485" max="485" width="21.85546875" bestFit="1" customWidth="1"/>
    <col min="486" max="486" width="15.28515625" bestFit="1" customWidth="1"/>
    <col min="487" max="487" width="26.140625" bestFit="1" customWidth="1"/>
    <col min="488" max="488" width="41.7109375" bestFit="1" customWidth="1"/>
    <col min="489" max="489" width="14.5703125" bestFit="1" customWidth="1"/>
    <col min="490" max="490" width="16.5703125" bestFit="1" customWidth="1"/>
    <col min="491" max="491" width="21.85546875" bestFit="1" customWidth="1"/>
    <col min="492" max="492" width="15.28515625" bestFit="1" customWidth="1"/>
    <col min="493" max="493" width="26.140625" bestFit="1" customWidth="1"/>
    <col min="494" max="494" width="41.7109375" bestFit="1" customWidth="1"/>
    <col min="495" max="495" width="14.5703125" bestFit="1" customWidth="1"/>
    <col min="496" max="496" width="16.5703125" bestFit="1" customWidth="1"/>
    <col min="497" max="497" width="21.85546875" bestFit="1" customWidth="1"/>
    <col min="498" max="498" width="15.28515625" bestFit="1" customWidth="1"/>
    <col min="499" max="499" width="26.140625" bestFit="1" customWidth="1"/>
    <col min="500" max="500" width="41.7109375" bestFit="1" customWidth="1"/>
    <col min="501" max="501" width="14.5703125" bestFit="1" customWidth="1"/>
    <col min="502" max="502" width="16.5703125" bestFit="1" customWidth="1"/>
    <col min="503" max="503" width="21.85546875" bestFit="1" customWidth="1"/>
    <col min="504" max="504" width="15.28515625" bestFit="1" customWidth="1"/>
    <col min="505" max="505" width="26.140625" bestFit="1" customWidth="1"/>
    <col min="506" max="506" width="41.7109375" bestFit="1" customWidth="1"/>
    <col min="507" max="507" width="14.5703125" bestFit="1" customWidth="1"/>
    <col min="508" max="508" width="16.5703125" bestFit="1" customWidth="1"/>
    <col min="509" max="509" width="21.85546875" bestFit="1" customWidth="1"/>
    <col min="510" max="510" width="15.28515625" bestFit="1" customWidth="1"/>
    <col min="511" max="511" width="26.140625" bestFit="1" customWidth="1"/>
    <col min="512" max="512" width="41.7109375" bestFit="1" customWidth="1"/>
    <col min="513" max="513" width="14.5703125" bestFit="1" customWidth="1"/>
    <col min="514" max="514" width="16.5703125" bestFit="1" customWidth="1"/>
    <col min="515" max="515" width="21.85546875" bestFit="1" customWidth="1"/>
    <col min="516" max="516" width="15.28515625" bestFit="1" customWidth="1"/>
    <col min="517" max="517" width="26.140625" bestFit="1" customWidth="1"/>
    <col min="518" max="518" width="41.7109375" bestFit="1" customWidth="1"/>
    <col min="519" max="519" width="14.5703125" bestFit="1" customWidth="1"/>
    <col min="520" max="520" width="16.5703125" bestFit="1" customWidth="1"/>
    <col min="521" max="521" width="21.85546875" bestFit="1" customWidth="1"/>
    <col min="522" max="522" width="15.28515625" bestFit="1" customWidth="1"/>
    <col min="523" max="523" width="26.140625" bestFit="1" customWidth="1"/>
    <col min="524" max="524" width="41.7109375" bestFit="1" customWidth="1"/>
    <col min="525" max="525" width="14.5703125" bestFit="1" customWidth="1"/>
    <col min="526" max="526" width="16.5703125" bestFit="1" customWidth="1"/>
    <col min="527" max="527" width="21.85546875" bestFit="1" customWidth="1"/>
    <col min="528" max="528" width="15.28515625" bestFit="1" customWidth="1"/>
    <col min="529" max="529" width="26.140625" bestFit="1" customWidth="1"/>
    <col min="530" max="530" width="41.7109375" bestFit="1" customWidth="1"/>
    <col min="531" max="531" width="14.5703125" bestFit="1" customWidth="1"/>
    <col min="532" max="532" width="16.5703125" bestFit="1" customWidth="1"/>
    <col min="533" max="533" width="21.85546875" bestFit="1" customWidth="1"/>
    <col min="534" max="534" width="15.28515625" bestFit="1" customWidth="1"/>
    <col min="535" max="535" width="26.140625" bestFit="1" customWidth="1"/>
    <col min="536" max="536" width="41.7109375" bestFit="1" customWidth="1"/>
    <col min="537" max="537" width="14.5703125" bestFit="1" customWidth="1"/>
    <col min="538" max="538" width="16.5703125" bestFit="1" customWidth="1"/>
    <col min="539" max="539" width="21.85546875" bestFit="1" customWidth="1"/>
    <col min="540" max="540" width="15.28515625" bestFit="1" customWidth="1"/>
    <col min="541" max="541" width="26.140625" bestFit="1" customWidth="1"/>
    <col min="542" max="542" width="41.7109375" bestFit="1" customWidth="1"/>
    <col min="543" max="543" width="14.5703125" bestFit="1" customWidth="1"/>
    <col min="544" max="544" width="16.5703125" bestFit="1" customWidth="1"/>
    <col min="545" max="545" width="21.85546875" bestFit="1" customWidth="1"/>
    <col min="546" max="546" width="15.28515625" bestFit="1" customWidth="1"/>
    <col min="547" max="547" width="26.140625" bestFit="1" customWidth="1"/>
    <col min="548" max="548" width="41.7109375" bestFit="1" customWidth="1"/>
    <col min="549" max="549" width="14.5703125" bestFit="1" customWidth="1"/>
    <col min="550" max="550" width="16.5703125" bestFit="1" customWidth="1"/>
    <col min="551" max="551" width="21.85546875" bestFit="1" customWidth="1"/>
    <col min="552" max="552" width="15.28515625" bestFit="1" customWidth="1"/>
    <col min="553" max="553" width="26.140625" bestFit="1" customWidth="1"/>
    <col min="554" max="554" width="41.7109375" bestFit="1" customWidth="1"/>
    <col min="555" max="555" width="14.5703125" bestFit="1" customWidth="1"/>
    <col min="556" max="556" width="16.5703125" bestFit="1" customWidth="1"/>
    <col min="557" max="557" width="21.85546875" bestFit="1" customWidth="1"/>
    <col min="558" max="558" width="15.28515625" bestFit="1" customWidth="1"/>
    <col min="559" max="559" width="26.140625" bestFit="1" customWidth="1"/>
    <col min="560" max="560" width="41.7109375" bestFit="1" customWidth="1"/>
    <col min="561" max="561" width="14.5703125" bestFit="1" customWidth="1"/>
    <col min="562" max="562" width="16.5703125" bestFit="1" customWidth="1"/>
    <col min="563" max="563" width="21.85546875" bestFit="1" customWidth="1"/>
    <col min="564" max="564" width="15.28515625" bestFit="1" customWidth="1"/>
    <col min="565" max="565" width="26.140625" bestFit="1" customWidth="1"/>
    <col min="566" max="566" width="41.7109375" bestFit="1" customWidth="1"/>
    <col min="567" max="567" width="14.5703125" bestFit="1" customWidth="1"/>
    <col min="568" max="568" width="16.5703125" bestFit="1" customWidth="1"/>
    <col min="569" max="569" width="21.85546875" bestFit="1" customWidth="1"/>
    <col min="570" max="570" width="15.28515625" bestFit="1" customWidth="1"/>
    <col min="571" max="571" width="26.140625" bestFit="1" customWidth="1"/>
    <col min="572" max="572" width="41.7109375" bestFit="1" customWidth="1"/>
    <col min="573" max="573" width="14.5703125" bestFit="1" customWidth="1"/>
    <col min="574" max="574" width="16.5703125" bestFit="1" customWidth="1"/>
    <col min="575" max="575" width="21.85546875" bestFit="1" customWidth="1"/>
    <col min="576" max="576" width="15.28515625" bestFit="1" customWidth="1"/>
    <col min="577" max="577" width="26.140625" bestFit="1" customWidth="1"/>
    <col min="578" max="578" width="41.7109375" bestFit="1" customWidth="1"/>
    <col min="579" max="579" width="14.5703125" bestFit="1" customWidth="1"/>
    <col min="580" max="580" width="16.5703125" bestFit="1" customWidth="1"/>
    <col min="581" max="581" width="21.85546875" bestFit="1" customWidth="1"/>
    <col min="582" max="582" width="15.28515625" bestFit="1" customWidth="1"/>
    <col min="583" max="583" width="26.140625" bestFit="1" customWidth="1"/>
    <col min="584" max="584" width="41.7109375" bestFit="1" customWidth="1"/>
    <col min="585" max="585" width="14.5703125" bestFit="1" customWidth="1"/>
    <col min="586" max="586" width="16.5703125" bestFit="1" customWidth="1"/>
    <col min="587" max="587" width="21.85546875" bestFit="1" customWidth="1"/>
    <col min="588" max="588" width="15.28515625" bestFit="1" customWidth="1"/>
    <col min="589" max="589" width="26.140625" bestFit="1" customWidth="1"/>
    <col min="590" max="590" width="41.7109375" bestFit="1" customWidth="1"/>
    <col min="591" max="591" width="14.5703125" bestFit="1" customWidth="1"/>
    <col min="592" max="592" width="16.5703125" bestFit="1" customWidth="1"/>
    <col min="593" max="593" width="21.85546875" bestFit="1" customWidth="1"/>
    <col min="594" max="594" width="15.28515625" bestFit="1" customWidth="1"/>
    <col min="595" max="595" width="26.140625" bestFit="1" customWidth="1"/>
    <col min="596" max="596" width="41.7109375" bestFit="1" customWidth="1"/>
    <col min="597" max="597" width="14.5703125" bestFit="1" customWidth="1"/>
    <col min="598" max="598" width="16.5703125" bestFit="1" customWidth="1"/>
    <col min="599" max="599" width="21.85546875" bestFit="1" customWidth="1"/>
    <col min="600" max="600" width="15.28515625" bestFit="1" customWidth="1"/>
    <col min="601" max="601" width="26.140625" bestFit="1" customWidth="1"/>
    <col min="602" max="602" width="41.7109375" bestFit="1" customWidth="1"/>
    <col min="603" max="603" width="14.5703125" bestFit="1" customWidth="1"/>
    <col min="604" max="604" width="16.5703125" bestFit="1" customWidth="1"/>
    <col min="605" max="605" width="21.85546875" bestFit="1" customWidth="1"/>
    <col min="606" max="606" width="15.28515625" bestFit="1" customWidth="1"/>
    <col min="607" max="607" width="26.140625" bestFit="1" customWidth="1"/>
    <col min="608" max="608" width="41.7109375" bestFit="1" customWidth="1"/>
    <col min="609" max="609" width="14.5703125" bestFit="1" customWidth="1"/>
    <col min="610" max="610" width="16.5703125" bestFit="1" customWidth="1"/>
    <col min="611" max="611" width="21.85546875" bestFit="1" customWidth="1"/>
    <col min="612" max="612" width="15.28515625" bestFit="1" customWidth="1"/>
    <col min="613" max="613" width="26.140625" bestFit="1" customWidth="1"/>
    <col min="614" max="614" width="41.7109375" bestFit="1" customWidth="1"/>
    <col min="615" max="615" width="14.5703125" bestFit="1" customWidth="1"/>
    <col min="616" max="616" width="16.5703125" bestFit="1" customWidth="1"/>
    <col min="617" max="617" width="21.85546875" bestFit="1" customWidth="1"/>
    <col min="618" max="618" width="15.28515625" bestFit="1" customWidth="1"/>
    <col min="619" max="619" width="26.140625" bestFit="1" customWidth="1"/>
    <col min="620" max="620" width="41.7109375" bestFit="1" customWidth="1"/>
    <col min="621" max="621" width="14.5703125" bestFit="1" customWidth="1"/>
    <col min="622" max="622" width="16.5703125" bestFit="1" customWidth="1"/>
    <col min="623" max="623" width="21.85546875" bestFit="1" customWidth="1"/>
    <col min="624" max="624" width="15.28515625" bestFit="1" customWidth="1"/>
    <col min="625" max="625" width="26.140625" bestFit="1" customWidth="1"/>
    <col min="626" max="626" width="41.7109375" bestFit="1" customWidth="1"/>
    <col min="627" max="627" width="14.5703125" bestFit="1" customWidth="1"/>
    <col min="628" max="628" width="16.5703125" bestFit="1" customWidth="1"/>
    <col min="629" max="629" width="21.85546875" bestFit="1" customWidth="1"/>
    <col min="630" max="630" width="15.28515625" bestFit="1" customWidth="1"/>
    <col min="631" max="631" width="26.140625" bestFit="1" customWidth="1"/>
    <col min="632" max="632" width="41.7109375" bestFit="1" customWidth="1"/>
    <col min="633" max="633" width="14.5703125" bestFit="1" customWidth="1"/>
    <col min="634" max="634" width="16.5703125" bestFit="1" customWidth="1"/>
    <col min="635" max="635" width="21.85546875" bestFit="1" customWidth="1"/>
    <col min="636" max="636" width="15.28515625" bestFit="1" customWidth="1"/>
    <col min="637" max="637" width="26.140625" bestFit="1" customWidth="1"/>
    <col min="638" max="638" width="41.7109375" bestFit="1" customWidth="1"/>
    <col min="639" max="639" width="14.5703125" bestFit="1" customWidth="1"/>
    <col min="640" max="640" width="16.5703125" bestFit="1" customWidth="1"/>
    <col min="641" max="641" width="21.85546875" bestFit="1" customWidth="1"/>
    <col min="642" max="642" width="15.28515625" bestFit="1" customWidth="1"/>
    <col min="643" max="643" width="26.140625" bestFit="1" customWidth="1"/>
    <col min="644" max="644" width="41.7109375" bestFit="1" customWidth="1"/>
    <col min="645" max="645" width="14.5703125" bestFit="1" customWidth="1"/>
    <col min="646" max="646" width="16.5703125" bestFit="1" customWidth="1"/>
    <col min="647" max="647" width="21.85546875" bestFit="1" customWidth="1"/>
    <col min="648" max="648" width="15.28515625" bestFit="1" customWidth="1"/>
    <col min="649" max="649" width="26.140625" bestFit="1" customWidth="1"/>
    <col min="650" max="650" width="41.7109375" bestFit="1" customWidth="1"/>
    <col min="651" max="651" width="14.5703125" bestFit="1" customWidth="1"/>
    <col min="652" max="652" width="16.5703125" bestFit="1" customWidth="1"/>
    <col min="653" max="653" width="21.85546875" bestFit="1" customWidth="1"/>
    <col min="654" max="654" width="15.28515625" bestFit="1" customWidth="1"/>
    <col min="655" max="655" width="26.140625" bestFit="1" customWidth="1"/>
    <col min="656" max="656" width="41.7109375" bestFit="1" customWidth="1"/>
    <col min="657" max="657" width="14.5703125" bestFit="1" customWidth="1"/>
    <col min="658" max="658" width="16.5703125" bestFit="1" customWidth="1"/>
    <col min="659" max="659" width="21.85546875" bestFit="1" customWidth="1"/>
    <col min="660" max="660" width="15.28515625" bestFit="1" customWidth="1"/>
    <col min="661" max="661" width="26.140625" bestFit="1" customWidth="1"/>
    <col min="662" max="662" width="41.7109375" bestFit="1" customWidth="1"/>
    <col min="663" max="663" width="14.5703125" bestFit="1" customWidth="1"/>
    <col min="664" max="664" width="16.5703125" bestFit="1" customWidth="1"/>
    <col min="665" max="665" width="21.85546875" bestFit="1" customWidth="1"/>
    <col min="666" max="666" width="15.28515625" bestFit="1" customWidth="1"/>
    <col min="667" max="667" width="26.140625" bestFit="1" customWidth="1"/>
    <col min="668" max="668" width="41.7109375" bestFit="1" customWidth="1"/>
    <col min="669" max="669" width="14.5703125" bestFit="1" customWidth="1"/>
    <col min="670" max="670" width="16.5703125" bestFit="1" customWidth="1"/>
    <col min="671" max="671" width="21.85546875" bestFit="1" customWidth="1"/>
    <col min="672" max="672" width="15.28515625" bestFit="1" customWidth="1"/>
    <col min="673" max="673" width="26.140625" bestFit="1" customWidth="1"/>
    <col min="674" max="674" width="41.7109375" bestFit="1" customWidth="1"/>
    <col min="675" max="675" width="14.5703125" bestFit="1" customWidth="1"/>
    <col min="676" max="676" width="16.5703125" bestFit="1" customWidth="1"/>
    <col min="677" max="677" width="21.85546875" bestFit="1" customWidth="1"/>
    <col min="678" max="678" width="15.28515625" bestFit="1" customWidth="1"/>
    <col min="679" max="679" width="26.140625" bestFit="1" customWidth="1"/>
    <col min="680" max="680" width="41.7109375" bestFit="1" customWidth="1"/>
    <col min="681" max="681" width="14.5703125" bestFit="1" customWidth="1"/>
    <col min="682" max="682" width="16.5703125" bestFit="1" customWidth="1"/>
    <col min="683" max="683" width="21.85546875" bestFit="1" customWidth="1"/>
    <col min="684" max="684" width="15.28515625" bestFit="1" customWidth="1"/>
    <col min="685" max="685" width="26.140625" bestFit="1" customWidth="1"/>
    <col min="686" max="686" width="41.7109375" bestFit="1" customWidth="1"/>
    <col min="687" max="687" width="14.5703125" bestFit="1" customWidth="1"/>
    <col min="688" max="688" width="16.5703125" bestFit="1" customWidth="1"/>
    <col min="689" max="689" width="21.85546875" bestFit="1" customWidth="1"/>
    <col min="690" max="690" width="15.28515625" bestFit="1" customWidth="1"/>
    <col min="691" max="691" width="26.140625" bestFit="1" customWidth="1"/>
    <col min="692" max="692" width="41.7109375" bestFit="1" customWidth="1"/>
    <col min="693" max="693" width="14.5703125" bestFit="1" customWidth="1"/>
    <col min="694" max="694" width="16.5703125" bestFit="1" customWidth="1"/>
    <col min="695" max="695" width="21.85546875" bestFit="1" customWidth="1"/>
    <col min="696" max="696" width="15.28515625" bestFit="1" customWidth="1"/>
    <col min="697" max="697" width="26.140625" bestFit="1" customWidth="1"/>
    <col min="698" max="698" width="41.7109375" bestFit="1" customWidth="1"/>
    <col min="699" max="699" width="14.5703125" bestFit="1" customWidth="1"/>
    <col min="700" max="700" width="16.5703125" bestFit="1" customWidth="1"/>
    <col min="701" max="701" width="21.85546875" bestFit="1" customWidth="1"/>
    <col min="702" max="702" width="15.28515625" bestFit="1" customWidth="1"/>
    <col min="703" max="703" width="26.140625" bestFit="1" customWidth="1"/>
    <col min="704" max="704" width="41.7109375" bestFit="1" customWidth="1"/>
    <col min="705" max="705" width="14.5703125" bestFit="1" customWidth="1"/>
    <col min="706" max="706" width="16.5703125" bestFit="1" customWidth="1"/>
    <col min="707" max="707" width="21.85546875" bestFit="1" customWidth="1"/>
    <col min="708" max="708" width="15.28515625" bestFit="1" customWidth="1"/>
    <col min="709" max="709" width="26.140625" bestFit="1" customWidth="1"/>
    <col min="710" max="710" width="41.7109375" bestFit="1" customWidth="1"/>
    <col min="711" max="711" width="14.5703125" bestFit="1" customWidth="1"/>
    <col min="712" max="712" width="16.5703125" bestFit="1" customWidth="1"/>
    <col min="713" max="713" width="21.85546875" bestFit="1" customWidth="1"/>
    <col min="714" max="714" width="15.28515625" bestFit="1" customWidth="1"/>
    <col min="715" max="715" width="26.140625" bestFit="1" customWidth="1"/>
    <col min="716" max="716" width="41.7109375" bestFit="1" customWidth="1"/>
    <col min="717" max="717" width="14.5703125" bestFit="1" customWidth="1"/>
    <col min="718" max="718" width="16.5703125" bestFit="1" customWidth="1"/>
    <col min="719" max="719" width="21.85546875" bestFit="1" customWidth="1"/>
    <col min="720" max="720" width="15.28515625" bestFit="1" customWidth="1"/>
    <col min="721" max="721" width="26.140625" bestFit="1" customWidth="1"/>
    <col min="722" max="722" width="41.7109375" bestFit="1" customWidth="1"/>
    <col min="723" max="723" width="14.5703125" bestFit="1" customWidth="1"/>
    <col min="724" max="724" width="16.5703125" bestFit="1" customWidth="1"/>
    <col min="725" max="725" width="21.85546875" bestFit="1" customWidth="1"/>
    <col min="726" max="726" width="15.28515625" bestFit="1" customWidth="1"/>
    <col min="727" max="727" width="26.140625" bestFit="1" customWidth="1"/>
    <col min="728" max="728" width="41.7109375" bestFit="1" customWidth="1"/>
    <col min="729" max="729" width="14.5703125" bestFit="1" customWidth="1"/>
    <col min="730" max="730" width="16.5703125" bestFit="1" customWidth="1"/>
    <col min="731" max="731" width="21.85546875" bestFit="1" customWidth="1"/>
    <col min="732" max="732" width="15.28515625" bestFit="1" customWidth="1"/>
    <col min="733" max="733" width="26.140625" bestFit="1" customWidth="1"/>
    <col min="734" max="734" width="41.7109375" bestFit="1" customWidth="1"/>
    <col min="735" max="735" width="14.5703125" bestFit="1" customWidth="1"/>
    <col min="736" max="736" width="16.5703125" bestFit="1" customWidth="1"/>
    <col min="737" max="737" width="21.85546875" bestFit="1" customWidth="1"/>
    <col min="738" max="738" width="15.28515625" bestFit="1" customWidth="1"/>
    <col min="739" max="739" width="26.140625" bestFit="1" customWidth="1"/>
    <col min="740" max="740" width="41.7109375" bestFit="1" customWidth="1"/>
    <col min="741" max="741" width="14.5703125" bestFit="1" customWidth="1"/>
    <col min="742" max="742" width="16.5703125" bestFit="1" customWidth="1"/>
    <col min="743" max="743" width="21.85546875" bestFit="1" customWidth="1"/>
    <col min="744" max="744" width="15.28515625" bestFit="1" customWidth="1"/>
    <col min="745" max="745" width="26.140625" bestFit="1" customWidth="1"/>
    <col min="746" max="746" width="41.7109375" bestFit="1" customWidth="1"/>
    <col min="747" max="747" width="14.5703125" bestFit="1" customWidth="1"/>
    <col min="748" max="748" width="16.5703125" bestFit="1" customWidth="1"/>
    <col min="749" max="749" width="21.85546875" bestFit="1" customWidth="1"/>
    <col min="750" max="750" width="15.28515625" bestFit="1" customWidth="1"/>
    <col min="751" max="751" width="26.140625" bestFit="1" customWidth="1"/>
    <col min="752" max="752" width="41.7109375" bestFit="1" customWidth="1"/>
    <col min="753" max="753" width="14.5703125" bestFit="1" customWidth="1"/>
    <col min="754" max="754" width="16.5703125" bestFit="1" customWidth="1"/>
    <col min="755" max="755" width="21.85546875" bestFit="1" customWidth="1"/>
    <col min="756" max="756" width="15.28515625" bestFit="1" customWidth="1"/>
    <col min="757" max="757" width="26.140625" bestFit="1" customWidth="1"/>
    <col min="758" max="758" width="41.7109375" bestFit="1" customWidth="1"/>
    <col min="759" max="759" width="14.5703125" bestFit="1" customWidth="1"/>
    <col min="760" max="760" width="16.5703125" bestFit="1" customWidth="1"/>
    <col min="761" max="761" width="21.85546875" bestFit="1" customWidth="1"/>
    <col min="762" max="762" width="15.28515625" bestFit="1" customWidth="1"/>
    <col min="763" max="763" width="26.140625" bestFit="1" customWidth="1"/>
    <col min="764" max="764" width="41.7109375" bestFit="1" customWidth="1"/>
    <col min="765" max="765" width="14.5703125" bestFit="1" customWidth="1"/>
    <col min="766" max="766" width="16.5703125" bestFit="1" customWidth="1"/>
    <col min="767" max="767" width="21.85546875" bestFit="1" customWidth="1"/>
    <col min="768" max="768" width="15.28515625" bestFit="1" customWidth="1"/>
    <col min="769" max="769" width="26.140625" bestFit="1" customWidth="1"/>
    <col min="770" max="770" width="41.7109375" bestFit="1" customWidth="1"/>
    <col min="771" max="771" width="14.5703125" bestFit="1" customWidth="1"/>
    <col min="772" max="772" width="16.5703125" bestFit="1" customWidth="1"/>
    <col min="773" max="773" width="21.85546875" bestFit="1" customWidth="1"/>
    <col min="774" max="774" width="15.28515625" bestFit="1" customWidth="1"/>
    <col min="775" max="775" width="26.140625" bestFit="1" customWidth="1"/>
    <col min="776" max="776" width="41.7109375" bestFit="1" customWidth="1"/>
    <col min="777" max="777" width="14.5703125" bestFit="1" customWidth="1"/>
    <col min="778" max="778" width="16.5703125" bestFit="1" customWidth="1"/>
    <col min="779" max="779" width="21.85546875" bestFit="1" customWidth="1"/>
    <col min="780" max="780" width="15.28515625" bestFit="1" customWidth="1"/>
    <col min="781" max="781" width="26.140625" bestFit="1" customWidth="1"/>
    <col min="782" max="782" width="41.7109375" bestFit="1" customWidth="1"/>
    <col min="783" max="783" width="14.5703125" bestFit="1" customWidth="1"/>
    <col min="784" max="784" width="16.5703125" bestFit="1" customWidth="1"/>
    <col min="785" max="785" width="21.85546875" bestFit="1" customWidth="1"/>
    <col min="786" max="786" width="15.28515625" bestFit="1" customWidth="1"/>
    <col min="787" max="787" width="26.140625" bestFit="1" customWidth="1"/>
    <col min="788" max="788" width="41.7109375" bestFit="1" customWidth="1"/>
    <col min="789" max="789" width="14.5703125" bestFit="1" customWidth="1"/>
    <col min="790" max="790" width="16.5703125" bestFit="1" customWidth="1"/>
    <col min="791" max="791" width="21.85546875" bestFit="1" customWidth="1"/>
    <col min="792" max="792" width="15.28515625" bestFit="1" customWidth="1"/>
    <col min="793" max="793" width="26.140625" bestFit="1" customWidth="1"/>
    <col min="794" max="794" width="41.7109375" bestFit="1" customWidth="1"/>
    <col min="795" max="795" width="14.5703125" bestFit="1" customWidth="1"/>
    <col min="796" max="796" width="16.5703125" bestFit="1" customWidth="1"/>
    <col min="797" max="797" width="21.85546875" bestFit="1" customWidth="1"/>
    <col min="798" max="798" width="15.28515625" bestFit="1" customWidth="1"/>
    <col min="799" max="799" width="26.140625" bestFit="1" customWidth="1"/>
    <col min="800" max="800" width="41.7109375" bestFit="1" customWidth="1"/>
    <col min="801" max="801" width="14.5703125" bestFit="1" customWidth="1"/>
    <col min="802" max="802" width="16.5703125" bestFit="1" customWidth="1"/>
    <col min="803" max="803" width="21.85546875" bestFit="1" customWidth="1"/>
    <col min="804" max="804" width="15.28515625" bestFit="1" customWidth="1"/>
    <col min="805" max="805" width="26.140625" bestFit="1" customWidth="1"/>
    <col min="806" max="806" width="41.7109375" bestFit="1" customWidth="1"/>
    <col min="807" max="807" width="22.42578125" bestFit="1" customWidth="1"/>
    <col min="808" max="808" width="69.7109375" bestFit="1" customWidth="1"/>
    <col min="809" max="809" width="22.42578125" bestFit="1" customWidth="1"/>
    <col min="810" max="810" width="21.7109375" bestFit="1" customWidth="1"/>
    <col min="811" max="811" width="31.28515625" bestFit="1" customWidth="1"/>
    <col min="812" max="812" width="27.140625" bestFit="1" customWidth="1"/>
    <col min="813" max="813" width="26.5703125" bestFit="1" customWidth="1"/>
    <col min="814" max="814" width="48.140625" bestFit="1" customWidth="1"/>
    <col min="815" max="815" width="18.42578125" bestFit="1" customWidth="1"/>
    <col min="816" max="816" width="13.5703125" bestFit="1" customWidth="1"/>
    <col min="817" max="817" width="15.5703125" bestFit="1" customWidth="1"/>
    <col min="818" max="818" width="20.7109375" bestFit="1" customWidth="1"/>
    <col min="819" max="819" width="14.42578125" bestFit="1" customWidth="1"/>
    <col min="820" max="820" width="14.28515625" bestFit="1" customWidth="1"/>
    <col min="821" max="821" width="25" bestFit="1" customWidth="1"/>
    <col min="822" max="822" width="23.85546875" bestFit="1" customWidth="1"/>
    <col min="823" max="823" width="13.5703125" bestFit="1" customWidth="1"/>
    <col min="824" max="824" width="15.5703125" bestFit="1" customWidth="1"/>
    <col min="825" max="825" width="20.7109375" bestFit="1" customWidth="1"/>
    <col min="826" max="826" width="14.28515625" bestFit="1" customWidth="1"/>
    <col min="827" max="827" width="13.5703125" bestFit="1" customWidth="1"/>
    <col min="828" max="828" width="15.5703125" bestFit="1" customWidth="1"/>
    <col min="829" max="829" width="20.7109375" bestFit="1" customWidth="1"/>
    <col min="830" max="830" width="14.28515625" bestFit="1" customWidth="1"/>
    <col min="831" max="831" width="13.5703125" bestFit="1" customWidth="1"/>
    <col min="832" max="832" width="15.5703125" bestFit="1" customWidth="1"/>
    <col min="833" max="833" width="20.7109375" bestFit="1" customWidth="1"/>
    <col min="834" max="834" width="14.28515625" bestFit="1" customWidth="1"/>
    <col min="835" max="835" width="13.5703125" bestFit="1" customWidth="1"/>
    <col min="836" max="836" width="15.5703125" bestFit="1" customWidth="1"/>
    <col min="837" max="837" width="20.7109375" bestFit="1" customWidth="1"/>
    <col min="838" max="838" width="14.28515625" bestFit="1" customWidth="1"/>
    <col min="839" max="839" width="13.5703125" bestFit="1" customWidth="1"/>
    <col min="840" max="840" width="15.5703125" bestFit="1" customWidth="1"/>
    <col min="841" max="841" width="20.7109375" bestFit="1" customWidth="1"/>
    <col min="842" max="842" width="14.28515625" bestFit="1" customWidth="1"/>
    <col min="843" max="843" width="13.5703125" bestFit="1" customWidth="1"/>
    <col min="844" max="844" width="15.5703125" bestFit="1" customWidth="1"/>
    <col min="845" max="845" width="20.7109375" bestFit="1" customWidth="1"/>
    <col min="846" max="846" width="14.28515625" bestFit="1" customWidth="1"/>
    <col min="847" max="847" width="13.5703125" bestFit="1" customWidth="1"/>
    <col min="848" max="848" width="15.5703125" bestFit="1" customWidth="1"/>
    <col min="849" max="849" width="20.7109375" bestFit="1" customWidth="1"/>
    <col min="850" max="850" width="14.28515625" bestFit="1" customWidth="1"/>
    <col min="851" max="851" width="13.5703125" bestFit="1" customWidth="1"/>
    <col min="852" max="852" width="15.5703125" bestFit="1" customWidth="1"/>
    <col min="853" max="853" width="20.7109375" bestFit="1" customWidth="1"/>
    <col min="854" max="854" width="14.28515625" bestFit="1" customWidth="1"/>
    <col min="855" max="855" width="13.5703125" bestFit="1" customWidth="1"/>
    <col min="856" max="856" width="15.5703125" bestFit="1" customWidth="1"/>
    <col min="857" max="857" width="20.7109375" bestFit="1" customWidth="1"/>
    <col min="858" max="858" width="14.28515625" bestFit="1" customWidth="1"/>
    <col min="859" max="859" width="14.5703125" bestFit="1" customWidth="1"/>
    <col min="860" max="860" width="16.5703125" bestFit="1" customWidth="1"/>
    <col min="861" max="861" width="21.85546875" bestFit="1" customWidth="1"/>
    <col min="862" max="862" width="15.28515625" bestFit="1" customWidth="1"/>
    <col min="863" max="863" width="14.5703125" bestFit="1" customWidth="1"/>
    <col min="864" max="864" width="16.5703125" bestFit="1" customWidth="1"/>
    <col min="865" max="865" width="21.85546875" bestFit="1" customWidth="1"/>
    <col min="866" max="866" width="15.28515625" bestFit="1" customWidth="1"/>
    <col min="867" max="867" width="14.5703125" bestFit="1" customWidth="1"/>
    <col min="868" max="868" width="16.5703125" bestFit="1" customWidth="1"/>
    <col min="869" max="869" width="21.85546875" bestFit="1" customWidth="1"/>
    <col min="870" max="870" width="15.28515625" bestFit="1" customWidth="1"/>
    <col min="871" max="871" width="14.5703125" bestFit="1" customWidth="1"/>
    <col min="872" max="872" width="16.5703125" bestFit="1" customWidth="1"/>
    <col min="873" max="873" width="21.85546875" bestFit="1" customWidth="1"/>
    <col min="874" max="874" width="15.28515625" bestFit="1" customWidth="1"/>
    <col min="875" max="875" width="14.5703125" bestFit="1" customWidth="1"/>
    <col min="876" max="876" width="16.5703125" bestFit="1" customWidth="1"/>
    <col min="877" max="877" width="21.85546875" bestFit="1" customWidth="1"/>
    <col min="878" max="878" width="15.28515625" bestFit="1" customWidth="1"/>
    <col min="879" max="879" width="14.5703125" bestFit="1" customWidth="1"/>
    <col min="880" max="880" width="16.5703125" bestFit="1" customWidth="1"/>
    <col min="881" max="881" width="21.85546875" bestFit="1" customWidth="1"/>
    <col min="882" max="882" width="15.28515625" bestFit="1" customWidth="1"/>
    <col min="883" max="883" width="14.5703125" bestFit="1" customWidth="1"/>
    <col min="884" max="884" width="16.5703125" bestFit="1" customWidth="1"/>
    <col min="885" max="885" width="21.85546875" bestFit="1" customWidth="1"/>
    <col min="886" max="886" width="15.28515625" bestFit="1" customWidth="1"/>
    <col min="887" max="887" width="14.5703125" bestFit="1" customWidth="1"/>
    <col min="888" max="888" width="16.5703125" bestFit="1" customWidth="1"/>
    <col min="889" max="889" width="21.85546875" bestFit="1" customWidth="1"/>
    <col min="890" max="890" width="15.28515625" bestFit="1" customWidth="1"/>
    <col min="891" max="891" width="14.5703125" bestFit="1" customWidth="1"/>
    <col min="892" max="892" width="16.5703125" bestFit="1" customWidth="1"/>
    <col min="893" max="893" width="21.85546875" bestFit="1" customWidth="1"/>
    <col min="894" max="894" width="15.28515625" bestFit="1" customWidth="1"/>
    <col min="895" max="895" width="14.5703125" bestFit="1" customWidth="1"/>
    <col min="896" max="896" width="16.5703125" bestFit="1" customWidth="1"/>
    <col min="897" max="897" width="21.85546875" bestFit="1" customWidth="1"/>
    <col min="898" max="898" width="15.28515625" bestFit="1" customWidth="1"/>
    <col min="899" max="899" width="14.5703125" bestFit="1" customWidth="1"/>
    <col min="900" max="900" width="16.5703125" bestFit="1" customWidth="1"/>
    <col min="901" max="901" width="21.85546875" bestFit="1" customWidth="1"/>
    <col min="902" max="902" width="15.28515625" bestFit="1" customWidth="1"/>
    <col min="903" max="903" width="14.5703125" bestFit="1" customWidth="1"/>
    <col min="904" max="904" width="16.5703125" bestFit="1" customWidth="1"/>
    <col min="905" max="905" width="21.85546875" bestFit="1" customWidth="1"/>
    <col min="906" max="906" width="15.28515625" bestFit="1" customWidth="1"/>
    <col min="907" max="907" width="14.5703125" bestFit="1" customWidth="1"/>
    <col min="908" max="908" width="16.5703125" bestFit="1" customWidth="1"/>
    <col min="909" max="909" width="21.85546875" bestFit="1" customWidth="1"/>
    <col min="910" max="910" width="15.28515625" bestFit="1" customWidth="1"/>
    <col min="911" max="911" width="14.5703125" bestFit="1" customWidth="1"/>
    <col min="912" max="912" width="16.5703125" bestFit="1" customWidth="1"/>
    <col min="913" max="913" width="21.85546875" bestFit="1" customWidth="1"/>
    <col min="914" max="914" width="15.28515625" bestFit="1" customWidth="1"/>
    <col min="915" max="915" width="14.5703125" bestFit="1" customWidth="1"/>
    <col min="916" max="916" width="16.5703125" bestFit="1" customWidth="1"/>
    <col min="917" max="917" width="21.85546875" bestFit="1" customWidth="1"/>
    <col min="918" max="918" width="15.28515625" bestFit="1" customWidth="1"/>
    <col min="919" max="919" width="14.5703125" bestFit="1" customWidth="1"/>
    <col min="920" max="920" width="16.5703125" bestFit="1" customWidth="1"/>
    <col min="921" max="921" width="21.85546875" bestFit="1" customWidth="1"/>
    <col min="922" max="922" width="15.28515625" bestFit="1" customWidth="1"/>
    <col min="923" max="923" width="14.5703125" bestFit="1" customWidth="1"/>
    <col min="924" max="924" width="16.5703125" bestFit="1" customWidth="1"/>
    <col min="925" max="925" width="21.85546875" bestFit="1" customWidth="1"/>
    <col min="926" max="926" width="15.28515625" bestFit="1" customWidth="1"/>
    <col min="927" max="927" width="14.5703125" bestFit="1" customWidth="1"/>
    <col min="928" max="928" width="16.5703125" bestFit="1" customWidth="1"/>
    <col min="929" max="929" width="21.85546875" bestFit="1" customWidth="1"/>
    <col min="930" max="930" width="15.28515625" bestFit="1" customWidth="1"/>
    <col min="931" max="931" width="14.5703125" bestFit="1" customWidth="1"/>
    <col min="932" max="932" width="16.5703125" bestFit="1" customWidth="1"/>
    <col min="933" max="933" width="21.85546875" bestFit="1" customWidth="1"/>
    <col min="934" max="934" width="15.28515625" bestFit="1" customWidth="1"/>
    <col min="935" max="935" width="14.5703125" bestFit="1" customWidth="1"/>
    <col min="936" max="936" width="16.5703125" bestFit="1" customWidth="1"/>
    <col min="937" max="937" width="21.85546875" bestFit="1" customWidth="1"/>
    <col min="938" max="938" width="15.28515625" bestFit="1" customWidth="1"/>
    <col min="939" max="939" width="14.5703125" bestFit="1" customWidth="1"/>
    <col min="940" max="940" width="16.5703125" bestFit="1" customWidth="1"/>
    <col min="941" max="941" width="21.85546875" bestFit="1" customWidth="1"/>
    <col min="942" max="942" width="15.28515625" bestFit="1" customWidth="1"/>
    <col min="943" max="943" width="14.5703125" bestFit="1" customWidth="1"/>
    <col min="944" max="944" width="16.5703125" bestFit="1" customWidth="1"/>
    <col min="945" max="945" width="21.85546875" bestFit="1" customWidth="1"/>
    <col min="946" max="946" width="15.28515625" bestFit="1" customWidth="1"/>
    <col min="947" max="947" width="14.5703125" bestFit="1" customWidth="1"/>
    <col min="948" max="948" width="16.5703125" bestFit="1" customWidth="1"/>
    <col min="949" max="949" width="21.85546875" bestFit="1" customWidth="1"/>
    <col min="950" max="950" width="15.28515625" bestFit="1" customWidth="1"/>
    <col min="951" max="951" width="14.5703125" bestFit="1" customWidth="1"/>
    <col min="952" max="952" width="16.5703125" bestFit="1" customWidth="1"/>
    <col min="953" max="953" width="21.85546875" bestFit="1" customWidth="1"/>
    <col min="954" max="954" width="15.28515625" bestFit="1" customWidth="1"/>
    <col min="955" max="955" width="14.5703125" bestFit="1" customWidth="1"/>
    <col min="956" max="956" width="16.5703125" bestFit="1" customWidth="1"/>
    <col min="957" max="957" width="21.85546875" bestFit="1" customWidth="1"/>
    <col min="958" max="958" width="15.28515625" bestFit="1" customWidth="1"/>
    <col min="959" max="959" width="14.5703125" bestFit="1" customWidth="1"/>
    <col min="960" max="960" width="16.5703125" bestFit="1" customWidth="1"/>
    <col min="961" max="961" width="21.85546875" bestFit="1" customWidth="1"/>
    <col min="962" max="962" width="15.28515625" bestFit="1" customWidth="1"/>
    <col min="963" max="963" width="14.5703125" bestFit="1" customWidth="1"/>
    <col min="964" max="964" width="16.5703125" bestFit="1" customWidth="1"/>
    <col min="965" max="965" width="21.85546875" bestFit="1" customWidth="1"/>
    <col min="966" max="966" width="15.28515625" bestFit="1" customWidth="1"/>
    <col min="967" max="967" width="14.5703125" bestFit="1" customWidth="1"/>
    <col min="968" max="968" width="16.5703125" bestFit="1" customWidth="1"/>
    <col min="969" max="969" width="21.85546875" bestFit="1" customWidth="1"/>
    <col min="970" max="970" width="15.28515625" bestFit="1" customWidth="1"/>
    <col min="971" max="971" width="14.5703125" bestFit="1" customWidth="1"/>
    <col min="972" max="972" width="16.5703125" bestFit="1" customWidth="1"/>
    <col min="973" max="973" width="21.85546875" bestFit="1" customWidth="1"/>
    <col min="974" max="974" width="15.28515625" bestFit="1" customWidth="1"/>
    <col min="975" max="975" width="14.5703125" bestFit="1" customWidth="1"/>
    <col min="976" max="976" width="16.5703125" bestFit="1" customWidth="1"/>
    <col min="977" max="977" width="21.85546875" bestFit="1" customWidth="1"/>
    <col min="978" max="978" width="15.28515625" bestFit="1" customWidth="1"/>
    <col min="979" max="979" width="14.5703125" bestFit="1" customWidth="1"/>
    <col min="980" max="980" width="16.5703125" bestFit="1" customWidth="1"/>
    <col min="981" max="981" width="21.85546875" bestFit="1" customWidth="1"/>
    <col min="982" max="982" width="15.28515625" bestFit="1" customWidth="1"/>
    <col min="983" max="983" width="14.5703125" bestFit="1" customWidth="1"/>
    <col min="984" max="984" width="16.5703125" bestFit="1" customWidth="1"/>
    <col min="985" max="985" width="21.85546875" bestFit="1" customWidth="1"/>
    <col min="986" max="986" width="15.28515625" bestFit="1" customWidth="1"/>
    <col min="987" max="987" width="14.5703125" bestFit="1" customWidth="1"/>
    <col min="988" max="988" width="16.5703125" bestFit="1" customWidth="1"/>
    <col min="989" max="989" width="21.85546875" bestFit="1" customWidth="1"/>
    <col min="990" max="990" width="15.28515625" bestFit="1" customWidth="1"/>
    <col min="991" max="991" width="14.5703125" bestFit="1" customWidth="1"/>
    <col min="992" max="992" width="16.5703125" bestFit="1" customWidth="1"/>
    <col min="993" max="993" width="21.85546875" bestFit="1" customWidth="1"/>
    <col min="994" max="994" width="15.28515625" bestFit="1" customWidth="1"/>
    <col min="995" max="995" width="14.5703125" bestFit="1" customWidth="1"/>
    <col min="996" max="996" width="16.5703125" bestFit="1" customWidth="1"/>
    <col min="997" max="997" width="21.85546875" bestFit="1" customWidth="1"/>
    <col min="998" max="998" width="15.28515625" bestFit="1" customWidth="1"/>
    <col min="999" max="999" width="14.5703125" bestFit="1" customWidth="1"/>
    <col min="1000" max="1000" width="16.5703125" bestFit="1" customWidth="1"/>
    <col min="1001" max="1001" width="21.85546875" bestFit="1" customWidth="1"/>
    <col min="1002" max="1002" width="15.28515625" bestFit="1" customWidth="1"/>
    <col min="1003" max="1003" width="14.5703125" bestFit="1" customWidth="1"/>
    <col min="1004" max="1004" width="16.5703125" bestFit="1" customWidth="1"/>
    <col min="1005" max="1005" width="21.85546875" bestFit="1" customWidth="1"/>
    <col min="1006" max="1006" width="15.28515625" bestFit="1" customWidth="1"/>
    <col min="1007" max="1007" width="14.5703125" bestFit="1" customWidth="1"/>
    <col min="1008" max="1008" width="16.5703125" bestFit="1" customWidth="1"/>
    <col min="1009" max="1009" width="21.85546875" bestFit="1" customWidth="1"/>
    <col min="1010" max="1010" width="15.28515625" bestFit="1" customWidth="1"/>
    <col min="1011" max="1011" width="14.5703125" bestFit="1" customWidth="1"/>
    <col min="1012" max="1012" width="16.5703125" bestFit="1" customWidth="1"/>
    <col min="1013" max="1013" width="21.85546875" bestFit="1" customWidth="1"/>
    <col min="1014" max="1014" width="15.28515625" bestFit="1" customWidth="1"/>
    <col min="1015" max="1015" width="14.5703125" bestFit="1" customWidth="1"/>
    <col min="1016" max="1016" width="16.5703125" bestFit="1" customWidth="1"/>
    <col min="1017" max="1017" width="21.85546875" bestFit="1" customWidth="1"/>
    <col min="1018" max="1018" width="15.28515625" bestFit="1" customWidth="1"/>
    <col min="1019" max="1019" width="14.5703125" bestFit="1" customWidth="1"/>
    <col min="1020" max="1020" width="16.5703125" bestFit="1" customWidth="1"/>
    <col min="1021" max="1021" width="21.85546875" bestFit="1" customWidth="1"/>
    <col min="1022" max="1022" width="15.28515625" bestFit="1" customWidth="1"/>
    <col min="1023" max="1023" width="14.5703125" bestFit="1" customWidth="1"/>
    <col min="1024" max="1024" width="16.5703125" bestFit="1" customWidth="1"/>
    <col min="1025" max="1025" width="21.85546875" bestFit="1" customWidth="1"/>
    <col min="1026" max="1026" width="15.28515625" bestFit="1" customWidth="1"/>
    <col min="1027" max="1027" width="14.5703125" bestFit="1" customWidth="1"/>
    <col min="1028" max="1028" width="16.5703125" bestFit="1" customWidth="1"/>
    <col min="1029" max="1029" width="21.85546875" bestFit="1" customWidth="1"/>
    <col min="1030" max="1030" width="15.28515625" bestFit="1" customWidth="1"/>
    <col min="1031" max="1031" width="14.5703125" bestFit="1" customWidth="1"/>
    <col min="1032" max="1032" width="16.5703125" bestFit="1" customWidth="1"/>
    <col min="1033" max="1033" width="21.85546875" bestFit="1" customWidth="1"/>
    <col min="1034" max="1034" width="15.28515625" bestFit="1" customWidth="1"/>
    <col min="1035" max="1035" width="14.5703125" bestFit="1" customWidth="1"/>
    <col min="1036" max="1036" width="16.5703125" bestFit="1" customWidth="1"/>
    <col min="1037" max="1037" width="21.85546875" bestFit="1" customWidth="1"/>
    <col min="1038" max="1038" width="15.28515625" bestFit="1" customWidth="1"/>
    <col min="1039" max="1039" width="14.5703125" bestFit="1" customWidth="1"/>
    <col min="1040" max="1040" width="16.5703125" bestFit="1" customWidth="1"/>
    <col min="1041" max="1041" width="21.85546875" bestFit="1" customWidth="1"/>
    <col min="1042" max="1042" width="15.28515625" bestFit="1" customWidth="1"/>
    <col min="1043" max="1043" width="14.5703125" bestFit="1" customWidth="1"/>
    <col min="1044" max="1044" width="16.5703125" bestFit="1" customWidth="1"/>
    <col min="1045" max="1045" width="21.85546875" bestFit="1" customWidth="1"/>
    <col min="1046" max="1046" width="15.28515625" bestFit="1" customWidth="1"/>
    <col min="1047" max="1047" width="14.5703125" bestFit="1" customWidth="1"/>
    <col min="1048" max="1048" width="16.5703125" bestFit="1" customWidth="1"/>
    <col min="1049" max="1049" width="21.85546875" bestFit="1" customWidth="1"/>
    <col min="1050" max="1050" width="15.28515625" bestFit="1" customWidth="1"/>
    <col min="1051" max="1051" width="14.5703125" bestFit="1" customWidth="1"/>
    <col min="1052" max="1052" width="16.5703125" bestFit="1" customWidth="1"/>
    <col min="1053" max="1053" width="21.85546875" bestFit="1" customWidth="1"/>
    <col min="1054" max="1054" width="15.28515625" bestFit="1" customWidth="1"/>
    <col min="1055" max="1055" width="14.5703125" bestFit="1" customWidth="1"/>
    <col min="1056" max="1056" width="16.5703125" bestFit="1" customWidth="1"/>
    <col min="1057" max="1057" width="21.85546875" bestFit="1" customWidth="1"/>
    <col min="1058" max="1058" width="15.28515625" bestFit="1" customWidth="1"/>
    <col min="1059" max="1059" width="14.5703125" bestFit="1" customWidth="1"/>
    <col min="1060" max="1060" width="16.5703125" bestFit="1" customWidth="1"/>
    <col min="1061" max="1061" width="21.85546875" bestFit="1" customWidth="1"/>
    <col min="1062" max="1062" width="15.28515625" bestFit="1" customWidth="1"/>
    <col min="1063" max="1063" width="14.5703125" bestFit="1" customWidth="1"/>
    <col min="1064" max="1064" width="16.5703125" bestFit="1" customWidth="1"/>
    <col min="1065" max="1065" width="21.85546875" bestFit="1" customWidth="1"/>
    <col min="1066" max="1066" width="15.28515625" bestFit="1" customWidth="1"/>
    <col min="1067" max="1067" width="14.5703125" bestFit="1" customWidth="1"/>
    <col min="1068" max="1068" width="16.5703125" bestFit="1" customWidth="1"/>
    <col min="1069" max="1069" width="21.85546875" bestFit="1" customWidth="1"/>
    <col min="1070" max="1070" width="15.28515625" bestFit="1" customWidth="1"/>
    <col min="1071" max="1071" width="14.5703125" bestFit="1" customWidth="1"/>
    <col min="1072" max="1072" width="16.5703125" bestFit="1" customWidth="1"/>
    <col min="1073" max="1073" width="21.85546875" bestFit="1" customWidth="1"/>
    <col min="1074" max="1074" width="15.28515625" bestFit="1" customWidth="1"/>
    <col min="1075" max="1075" width="14.5703125" bestFit="1" customWidth="1"/>
    <col min="1076" max="1076" width="16.5703125" bestFit="1" customWidth="1"/>
    <col min="1077" max="1077" width="21.85546875" bestFit="1" customWidth="1"/>
    <col min="1078" max="1078" width="15.28515625" bestFit="1" customWidth="1"/>
    <col min="1079" max="1079" width="14.5703125" bestFit="1" customWidth="1"/>
    <col min="1080" max="1080" width="16.5703125" bestFit="1" customWidth="1"/>
    <col min="1081" max="1081" width="21.85546875" bestFit="1" customWidth="1"/>
    <col min="1082" max="1082" width="15.28515625" bestFit="1" customWidth="1"/>
    <col min="1083" max="1083" width="14.5703125" bestFit="1" customWidth="1"/>
    <col min="1084" max="1084" width="16.5703125" bestFit="1" customWidth="1"/>
    <col min="1085" max="1085" width="21.85546875" bestFit="1" customWidth="1"/>
    <col min="1086" max="1086" width="15.28515625" bestFit="1" customWidth="1"/>
    <col min="1087" max="1087" width="14.5703125" bestFit="1" customWidth="1"/>
    <col min="1088" max="1088" width="16.5703125" bestFit="1" customWidth="1"/>
    <col min="1089" max="1089" width="21.85546875" bestFit="1" customWidth="1"/>
    <col min="1090" max="1090" width="15.28515625" bestFit="1" customWidth="1"/>
    <col min="1091" max="1091" width="14.5703125" bestFit="1" customWidth="1"/>
    <col min="1092" max="1092" width="16.5703125" bestFit="1" customWidth="1"/>
    <col min="1093" max="1093" width="21.85546875" bestFit="1" customWidth="1"/>
    <col min="1094" max="1094" width="15.28515625" bestFit="1" customWidth="1"/>
    <col min="1095" max="1095" width="14.5703125" bestFit="1" customWidth="1"/>
    <col min="1096" max="1096" width="16.5703125" bestFit="1" customWidth="1"/>
    <col min="1097" max="1097" width="21.85546875" bestFit="1" customWidth="1"/>
    <col min="1098" max="1098" width="15.28515625" bestFit="1" customWidth="1"/>
    <col min="1099" max="1099" width="14.5703125" bestFit="1" customWidth="1"/>
    <col min="1100" max="1100" width="16.5703125" bestFit="1" customWidth="1"/>
    <col min="1101" max="1101" width="21.85546875" bestFit="1" customWidth="1"/>
    <col min="1102" max="1102" width="15.28515625" bestFit="1" customWidth="1"/>
    <col min="1103" max="1103" width="14.5703125" bestFit="1" customWidth="1"/>
    <col min="1104" max="1104" width="16.5703125" bestFit="1" customWidth="1"/>
    <col min="1105" max="1105" width="21.85546875" bestFit="1" customWidth="1"/>
    <col min="1106" max="1106" width="15.28515625" bestFit="1" customWidth="1"/>
    <col min="1107" max="1107" width="14.5703125" bestFit="1" customWidth="1"/>
    <col min="1108" max="1108" width="16.5703125" bestFit="1" customWidth="1"/>
    <col min="1109" max="1109" width="21.85546875" bestFit="1" customWidth="1"/>
    <col min="1110" max="1110" width="15.28515625" bestFit="1" customWidth="1"/>
    <col min="1111" max="1111" width="14.5703125" bestFit="1" customWidth="1"/>
    <col min="1112" max="1112" width="16.5703125" bestFit="1" customWidth="1"/>
    <col min="1113" max="1113" width="21.85546875" bestFit="1" customWidth="1"/>
    <col min="1114" max="1114" width="15.28515625" bestFit="1" customWidth="1"/>
    <col min="1115" max="1115" width="14.5703125" bestFit="1" customWidth="1"/>
    <col min="1116" max="1116" width="16.5703125" bestFit="1" customWidth="1"/>
    <col min="1117" max="1117" width="21.85546875" bestFit="1" customWidth="1"/>
    <col min="1118" max="1118" width="15.28515625" bestFit="1" customWidth="1"/>
    <col min="1119" max="1119" width="14.5703125" bestFit="1" customWidth="1"/>
    <col min="1120" max="1120" width="16.5703125" bestFit="1" customWidth="1"/>
    <col min="1121" max="1121" width="21.85546875" bestFit="1" customWidth="1"/>
    <col min="1122" max="1122" width="15.28515625" bestFit="1" customWidth="1"/>
    <col min="1123" max="1123" width="14.5703125" bestFit="1" customWidth="1"/>
    <col min="1124" max="1124" width="16.5703125" bestFit="1" customWidth="1"/>
    <col min="1125" max="1125" width="21.85546875" bestFit="1" customWidth="1"/>
    <col min="1126" max="1126" width="15.28515625" bestFit="1" customWidth="1"/>
    <col min="1127" max="1127" width="10.140625" bestFit="1" customWidth="1"/>
    <col min="1128" max="1128" width="21.85546875" bestFit="1" customWidth="1"/>
    <col min="1129" max="1129" width="15.28515625" bestFit="1" customWidth="1"/>
    <col min="1130" max="1130" width="14.5703125" bestFit="1" customWidth="1"/>
    <col min="1131" max="1131" width="16.5703125" bestFit="1" customWidth="1"/>
    <col min="1132" max="1132" width="21.85546875" bestFit="1" customWidth="1"/>
    <col min="1133" max="1133" width="15.28515625" bestFit="1" customWidth="1"/>
    <col min="1134" max="1134" width="14.5703125" bestFit="1" customWidth="1"/>
    <col min="1135" max="1135" width="16.5703125" bestFit="1" customWidth="1"/>
    <col min="1136" max="1136" width="21.85546875" bestFit="1" customWidth="1"/>
    <col min="1137" max="1137" width="15.28515625" bestFit="1" customWidth="1"/>
    <col min="1138" max="1138" width="14.5703125" bestFit="1" customWidth="1"/>
    <col min="1139" max="1139" width="16.5703125" bestFit="1" customWidth="1"/>
    <col min="1140" max="1140" width="21.85546875" bestFit="1" customWidth="1"/>
    <col min="1141" max="1141" width="15.28515625" bestFit="1" customWidth="1"/>
    <col min="1142" max="1142" width="14.5703125" bestFit="1" customWidth="1"/>
    <col min="1143" max="1143" width="16.5703125" bestFit="1" customWidth="1"/>
    <col min="1144" max="1144" width="21.85546875" bestFit="1" customWidth="1"/>
    <col min="1145" max="1145" width="15.28515625" bestFit="1" customWidth="1"/>
    <col min="1146" max="1146" width="14.5703125" bestFit="1" customWidth="1"/>
    <col min="1147" max="1147" width="16.5703125" bestFit="1" customWidth="1"/>
    <col min="1148" max="1148" width="21.85546875" bestFit="1" customWidth="1"/>
    <col min="1149" max="1149" width="15.28515625" bestFit="1" customWidth="1"/>
    <col min="1150" max="1150" width="14.5703125" bestFit="1" customWidth="1"/>
    <col min="1151" max="1151" width="16.5703125" bestFit="1" customWidth="1"/>
    <col min="1152" max="1152" width="21.85546875" bestFit="1" customWidth="1"/>
    <col min="1153" max="1153" width="15.28515625" bestFit="1" customWidth="1"/>
    <col min="1154" max="1154" width="14.5703125" bestFit="1" customWidth="1"/>
    <col min="1155" max="1155" width="16.5703125" bestFit="1" customWidth="1"/>
    <col min="1156" max="1156" width="21.85546875" bestFit="1" customWidth="1"/>
    <col min="1157" max="1157" width="15.28515625" bestFit="1" customWidth="1"/>
    <col min="1158" max="1158" width="14.5703125" bestFit="1" customWidth="1"/>
    <col min="1159" max="1159" width="16.5703125" bestFit="1" customWidth="1"/>
    <col min="1160" max="1160" width="21.85546875" bestFit="1" customWidth="1"/>
    <col min="1161" max="1161" width="15.28515625" bestFit="1" customWidth="1"/>
    <col min="1162" max="1162" width="14.5703125" bestFit="1" customWidth="1"/>
    <col min="1163" max="1163" width="16.5703125" bestFit="1" customWidth="1"/>
    <col min="1164" max="1164" width="21.85546875" bestFit="1" customWidth="1"/>
    <col min="1165" max="1165" width="15.28515625" bestFit="1" customWidth="1"/>
    <col min="1166" max="1166" width="14.5703125" bestFit="1" customWidth="1"/>
    <col min="1167" max="1167" width="16.5703125" bestFit="1" customWidth="1"/>
    <col min="1168" max="1168" width="21.85546875" bestFit="1" customWidth="1"/>
    <col min="1169" max="1169" width="15.28515625" bestFit="1" customWidth="1"/>
    <col min="1170" max="1170" width="14.5703125" bestFit="1" customWidth="1"/>
    <col min="1171" max="1171" width="16.5703125" bestFit="1" customWidth="1"/>
    <col min="1172" max="1172" width="21.85546875" bestFit="1" customWidth="1"/>
    <col min="1173" max="1173" width="15.28515625" bestFit="1" customWidth="1"/>
    <col min="1174" max="1174" width="14.5703125" bestFit="1" customWidth="1"/>
    <col min="1175" max="1175" width="16.5703125" bestFit="1" customWidth="1"/>
    <col min="1176" max="1176" width="21.85546875" bestFit="1" customWidth="1"/>
    <col min="1177" max="1177" width="15.28515625" bestFit="1" customWidth="1"/>
    <col min="1178" max="1178" width="14.5703125" bestFit="1" customWidth="1"/>
    <col min="1179" max="1179" width="16.5703125" bestFit="1" customWidth="1"/>
    <col min="1180" max="1180" width="21.85546875" bestFit="1" customWidth="1"/>
    <col min="1181" max="1181" width="15.28515625" bestFit="1" customWidth="1"/>
    <col min="1182" max="1182" width="14.5703125" bestFit="1" customWidth="1"/>
    <col min="1183" max="1183" width="16.5703125" bestFit="1" customWidth="1"/>
    <col min="1184" max="1184" width="21.85546875" bestFit="1" customWidth="1"/>
    <col min="1185" max="1185" width="15.28515625" bestFit="1" customWidth="1"/>
    <col min="1186" max="1186" width="14.5703125" bestFit="1" customWidth="1"/>
    <col min="1187" max="1187" width="16.5703125" bestFit="1" customWidth="1"/>
    <col min="1188" max="1188" width="21.85546875" bestFit="1" customWidth="1"/>
    <col min="1189" max="1189" width="15.28515625" bestFit="1" customWidth="1"/>
    <col min="1190" max="1190" width="14.5703125" bestFit="1" customWidth="1"/>
    <col min="1191" max="1191" width="16.5703125" bestFit="1" customWidth="1"/>
    <col min="1192" max="1192" width="21.85546875" bestFit="1" customWidth="1"/>
    <col min="1193" max="1193" width="15.28515625" bestFit="1" customWidth="1"/>
    <col min="1194" max="1194" width="14.5703125" bestFit="1" customWidth="1"/>
    <col min="1195" max="1195" width="16.5703125" bestFit="1" customWidth="1"/>
    <col min="1196" max="1196" width="21.85546875" bestFit="1" customWidth="1"/>
    <col min="1197" max="1197" width="15.28515625" bestFit="1" customWidth="1"/>
    <col min="1198" max="1198" width="14.5703125" bestFit="1" customWidth="1"/>
    <col min="1199" max="1199" width="16.5703125" bestFit="1" customWidth="1"/>
    <col min="1200" max="1200" width="21.85546875" bestFit="1" customWidth="1"/>
    <col min="1201" max="1201" width="15.28515625" bestFit="1" customWidth="1"/>
    <col min="1202" max="1202" width="14.5703125" bestFit="1" customWidth="1"/>
    <col min="1203" max="1203" width="16.5703125" bestFit="1" customWidth="1"/>
    <col min="1204" max="1204" width="21.85546875" bestFit="1" customWidth="1"/>
    <col min="1205" max="1205" width="15.28515625" bestFit="1" customWidth="1"/>
    <col min="1206" max="1206" width="14.5703125" bestFit="1" customWidth="1"/>
    <col min="1207" max="1207" width="16.5703125" bestFit="1" customWidth="1"/>
    <col min="1208" max="1208" width="21.85546875" bestFit="1" customWidth="1"/>
    <col min="1209" max="1209" width="15.28515625" bestFit="1" customWidth="1"/>
    <col min="1210" max="1210" width="21.85546875" bestFit="1" customWidth="1"/>
    <col min="1211" max="1211" width="36.140625" bestFit="1" customWidth="1"/>
    <col min="1212" max="1212" width="21.85546875" bestFit="1" customWidth="1"/>
    <col min="1213" max="1213" width="21.7109375" bestFit="1" customWidth="1"/>
    <col min="1214" max="1214" width="31.28515625" bestFit="1" customWidth="1"/>
    <col min="1215" max="1215" width="27.140625" bestFit="1" customWidth="1"/>
    <col min="1216" max="1216" width="26.5703125" bestFit="1" customWidth="1"/>
    <col min="1217" max="1217" width="14.5703125" bestFit="1" customWidth="1"/>
    <col min="1218" max="1218" width="36.7109375" bestFit="1" customWidth="1"/>
    <col min="1219" max="1219" width="13.5703125" bestFit="1" customWidth="1"/>
    <col min="1220" max="1220" width="15.5703125" bestFit="1" customWidth="1"/>
    <col min="1221" max="1221" width="20.7109375" bestFit="1" customWidth="1"/>
    <col min="1222" max="1222" width="14.42578125" bestFit="1" customWidth="1"/>
    <col min="1223" max="1223" width="14.28515625" bestFit="1" customWidth="1"/>
    <col min="1224" max="1224" width="25" bestFit="1" customWidth="1"/>
    <col min="1225" max="1225" width="23.85546875" bestFit="1" customWidth="1"/>
    <col min="1226" max="1226" width="13.5703125" bestFit="1" customWidth="1"/>
    <col min="1227" max="1227" width="15.5703125" bestFit="1" customWidth="1"/>
    <col min="1228" max="1228" width="20.7109375" bestFit="1" customWidth="1"/>
    <col min="1229" max="1229" width="14.28515625" bestFit="1" customWidth="1"/>
    <col min="1230" max="1230" width="13.5703125" bestFit="1" customWidth="1"/>
    <col min="1231" max="1231" width="15.5703125" bestFit="1" customWidth="1"/>
    <col min="1232" max="1232" width="20.7109375" bestFit="1" customWidth="1"/>
    <col min="1233" max="1233" width="14.28515625" bestFit="1" customWidth="1"/>
    <col min="1234" max="1234" width="13.5703125" bestFit="1" customWidth="1"/>
    <col min="1235" max="1235" width="15.5703125" bestFit="1" customWidth="1"/>
    <col min="1236" max="1236" width="20.7109375" bestFit="1" customWidth="1"/>
    <col min="1237" max="1237" width="14.28515625" bestFit="1" customWidth="1"/>
    <col min="1238" max="1238" width="13.5703125" bestFit="1" customWidth="1"/>
    <col min="1239" max="1239" width="15.5703125" bestFit="1" customWidth="1"/>
    <col min="1240" max="1240" width="20.7109375" bestFit="1" customWidth="1"/>
    <col min="1241" max="1241" width="14.28515625" bestFit="1" customWidth="1"/>
    <col min="1242" max="1242" width="13.5703125" bestFit="1" customWidth="1"/>
    <col min="1243" max="1243" width="15.5703125" bestFit="1" customWidth="1"/>
    <col min="1244" max="1244" width="20.7109375" bestFit="1" customWidth="1"/>
    <col min="1245" max="1245" width="14.28515625" bestFit="1" customWidth="1"/>
    <col min="1246" max="1246" width="13.5703125" bestFit="1" customWidth="1"/>
    <col min="1247" max="1247" width="15.5703125" bestFit="1" customWidth="1"/>
    <col min="1248" max="1248" width="20.7109375" bestFit="1" customWidth="1"/>
    <col min="1249" max="1249" width="14.28515625" bestFit="1" customWidth="1"/>
    <col min="1250" max="1250" width="13.5703125" bestFit="1" customWidth="1"/>
    <col min="1251" max="1251" width="15.5703125" bestFit="1" customWidth="1"/>
    <col min="1252" max="1252" width="20.7109375" bestFit="1" customWidth="1"/>
    <col min="1253" max="1253" width="14.28515625" bestFit="1" customWidth="1"/>
    <col min="1254" max="1254" width="13.5703125" bestFit="1" customWidth="1"/>
    <col min="1255" max="1255" width="15.5703125" bestFit="1" customWidth="1"/>
    <col min="1256" max="1256" width="20.7109375" bestFit="1" customWidth="1"/>
    <col min="1257" max="1257" width="14.28515625" bestFit="1" customWidth="1"/>
    <col min="1258" max="1258" width="13.5703125" bestFit="1" customWidth="1"/>
    <col min="1259" max="1259" width="15.5703125" bestFit="1" customWidth="1"/>
    <col min="1260" max="1260" width="20.7109375" bestFit="1" customWidth="1"/>
    <col min="1261" max="1261" width="14.28515625" bestFit="1" customWidth="1"/>
    <col min="1262" max="1262" width="14.5703125" bestFit="1" customWidth="1"/>
    <col min="1263" max="1263" width="16.5703125" bestFit="1" customWidth="1"/>
    <col min="1264" max="1264" width="21.85546875" bestFit="1" customWidth="1"/>
    <col min="1265" max="1265" width="15.28515625" bestFit="1" customWidth="1"/>
    <col min="1266" max="1266" width="14.5703125" bestFit="1" customWidth="1"/>
    <col min="1267" max="1267" width="16.5703125" bestFit="1" customWidth="1"/>
    <col min="1268" max="1268" width="21.85546875" bestFit="1" customWidth="1"/>
    <col min="1269" max="1269" width="15.28515625" bestFit="1" customWidth="1"/>
    <col min="1270" max="1270" width="14.5703125" bestFit="1" customWidth="1"/>
    <col min="1271" max="1271" width="16.5703125" bestFit="1" customWidth="1"/>
    <col min="1272" max="1272" width="21.85546875" bestFit="1" customWidth="1"/>
    <col min="1273" max="1273" width="15.28515625" bestFit="1" customWidth="1"/>
    <col min="1274" max="1274" width="14.5703125" bestFit="1" customWidth="1"/>
    <col min="1275" max="1275" width="16.5703125" bestFit="1" customWidth="1"/>
    <col min="1276" max="1276" width="21.85546875" bestFit="1" customWidth="1"/>
    <col min="1277" max="1277" width="15.28515625" bestFit="1" customWidth="1"/>
    <col min="1278" max="1278" width="14.5703125" bestFit="1" customWidth="1"/>
    <col min="1279" max="1279" width="16.5703125" bestFit="1" customWidth="1"/>
    <col min="1280" max="1280" width="21.85546875" bestFit="1" customWidth="1"/>
    <col min="1281" max="1281" width="15.28515625" bestFit="1" customWidth="1"/>
    <col min="1282" max="1282" width="14.5703125" bestFit="1" customWidth="1"/>
    <col min="1283" max="1283" width="16.5703125" bestFit="1" customWidth="1"/>
    <col min="1284" max="1284" width="21.85546875" bestFit="1" customWidth="1"/>
    <col min="1285" max="1285" width="15.28515625" bestFit="1" customWidth="1"/>
    <col min="1286" max="1286" width="14.5703125" bestFit="1" customWidth="1"/>
    <col min="1287" max="1287" width="16.5703125" bestFit="1" customWidth="1"/>
    <col min="1288" max="1288" width="21.85546875" bestFit="1" customWidth="1"/>
    <col min="1289" max="1289" width="15.28515625" bestFit="1" customWidth="1"/>
    <col min="1290" max="1290" width="14.5703125" bestFit="1" customWidth="1"/>
    <col min="1291" max="1291" width="16.5703125" bestFit="1" customWidth="1"/>
    <col min="1292" max="1292" width="21.85546875" bestFit="1" customWidth="1"/>
    <col min="1293" max="1293" width="15.28515625" bestFit="1" customWidth="1"/>
    <col min="1294" max="1294" width="14.5703125" bestFit="1" customWidth="1"/>
    <col min="1295" max="1295" width="16.5703125" bestFit="1" customWidth="1"/>
    <col min="1296" max="1296" width="21.85546875" bestFit="1" customWidth="1"/>
    <col min="1297" max="1297" width="15.28515625" bestFit="1" customWidth="1"/>
    <col min="1298" max="1298" width="14.5703125" bestFit="1" customWidth="1"/>
    <col min="1299" max="1299" width="16.5703125" bestFit="1" customWidth="1"/>
    <col min="1300" max="1300" width="21.85546875" bestFit="1" customWidth="1"/>
    <col min="1301" max="1301" width="15.28515625" bestFit="1" customWidth="1"/>
    <col min="1302" max="1302" width="14.5703125" bestFit="1" customWidth="1"/>
    <col min="1303" max="1303" width="16.5703125" bestFit="1" customWidth="1"/>
    <col min="1304" max="1304" width="21.85546875" bestFit="1" customWidth="1"/>
    <col min="1305" max="1305" width="15.28515625" bestFit="1" customWidth="1"/>
    <col min="1306" max="1306" width="14.5703125" bestFit="1" customWidth="1"/>
    <col min="1307" max="1307" width="16.5703125" bestFit="1" customWidth="1"/>
    <col min="1308" max="1308" width="21.85546875" bestFit="1" customWidth="1"/>
    <col min="1309" max="1309" width="15.28515625" bestFit="1" customWidth="1"/>
    <col min="1310" max="1310" width="14.5703125" bestFit="1" customWidth="1"/>
    <col min="1311" max="1311" width="16.5703125" bestFit="1" customWidth="1"/>
    <col min="1312" max="1312" width="21.85546875" bestFit="1" customWidth="1"/>
    <col min="1313" max="1313" width="15.28515625" bestFit="1" customWidth="1"/>
    <col min="1314" max="1314" width="14.5703125" bestFit="1" customWidth="1"/>
    <col min="1315" max="1315" width="16.5703125" bestFit="1" customWidth="1"/>
    <col min="1316" max="1316" width="21.85546875" bestFit="1" customWidth="1"/>
    <col min="1317" max="1317" width="15.28515625" bestFit="1" customWidth="1"/>
    <col min="1318" max="1318" width="14.5703125" bestFit="1" customWidth="1"/>
    <col min="1319" max="1319" width="16.5703125" bestFit="1" customWidth="1"/>
    <col min="1320" max="1320" width="21.85546875" bestFit="1" customWidth="1"/>
    <col min="1321" max="1321" width="15.28515625" bestFit="1" customWidth="1"/>
    <col min="1322" max="1322" width="14.5703125" bestFit="1" customWidth="1"/>
    <col min="1323" max="1323" width="16.5703125" bestFit="1" customWidth="1"/>
    <col min="1324" max="1324" width="21.85546875" bestFit="1" customWidth="1"/>
    <col min="1325" max="1325" width="15.28515625" bestFit="1" customWidth="1"/>
    <col min="1326" max="1326" width="14.5703125" bestFit="1" customWidth="1"/>
    <col min="1327" max="1327" width="16.5703125" bestFit="1" customWidth="1"/>
    <col min="1328" max="1328" width="21.85546875" bestFit="1" customWidth="1"/>
    <col min="1329" max="1329" width="15.28515625" bestFit="1" customWidth="1"/>
    <col min="1330" max="1330" width="14.5703125" bestFit="1" customWidth="1"/>
    <col min="1331" max="1331" width="16.5703125" bestFit="1" customWidth="1"/>
    <col min="1332" max="1332" width="21.85546875" bestFit="1" customWidth="1"/>
    <col min="1333" max="1333" width="15.28515625" bestFit="1" customWidth="1"/>
    <col min="1334" max="1334" width="14.5703125" bestFit="1" customWidth="1"/>
    <col min="1335" max="1335" width="16.5703125" bestFit="1" customWidth="1"/>
    <col min="1336" max="1336" width="21.85546875" bestFit="1" customWidth="1"/>
    <col min="1337" max="1337" width="15.28515625" bestFit="1" customWidth="1"/>
    <col min="1338" max="1338" width="14.5703125" bestFit="1" customWidth="1"/>
    <col min="1339" max="1339" width="16.5703125" bestFit="1" customWidth="1"/>
    <col min="1340" max="1340" width="21.85546875" bestFit="1" customWidth="1"/>
    <col min="1341" max="1341" width="15.28515625" bestFit="1" customWidth="1"/>
    <col min="1342" max="1342" width="14.5703125" bestFit="1" customWidth="1"/>
    <col min="1343" max="1343" width="16.5703125" bestFit="1" customWidth="1"/>
    <col min="1344" max="1344" width="21.85546875" bestFit="1" customWidth="1"/>
    <col min="1345" max="1345" width="15.28515625" bestFit="1" customWidth="1"/>
    <col min="1346" max="1346" width="14.5703125" bestFit="1" customWidth="1"/>
    <col min="1347" max="1347" width="16.5703125" bestFit="1" customWidth="1"/>
    <col min="1348" max="1348" width="21.85546875" bestFit="1" customWidth="1"/>
    <col min="1349" max="1349" width="15.28515625" bestFit="1" customWidth="1"/>
    <col min="1350" max="1350" width="14.5703125" bestFit="1" customWidth="1"/>
    <col min="1351" max="1351" width="16.5703125" bestFit="1" customWidth="1"/>
    <col min="1352" max="1352" width="21.85546875" bestFit="1" customWidth="1"/>
    <col min="1353" max="1353" width="15.28515625" bestFit="1" customWidth="1"/>
    <col min="1354" max="1354" width="14.5703125" bestFit="1" customWidth="1"/>
    <col min="1355" max="1355" width="16.5703125" bestFit="1" customWidth="1"/>
    <col min="1356" max="1356" width="21.85546875" bestFit="1" customWidth="1"/>
    <col min="1357" max="1357" width="15.28515625" bestFit="1" customWidth="1"/>
    <col min="1358" max="1358" width="14.5703125" bestFit="1" customWidth="1"/>
    <col min="1359" max="1359" width="16.5703125" bestFit="1" customWidth="1"/>
    <col min="1360" max="1360" width="21.85546875" bestFit="1" customWidth="1"/>
    <col min="1361" max="1361" width="15.28515625" bestFit="1" customWidth="1"/>
    <col min="1362" max="1362" width="14.5703125" bestFit="1" customWidth="1"/>
    <col min="1363" max="1363" width="16.5703125" bestFit="1" customWidth="1"/>
    <col min="1364" max="1364" width="21.85546875" bestFit="1" customWidth="1"/>
    <col min="1365" max="1365" width="15.28515625" bestFit="1" customWidth="1"/>
    <col min="1366" max="1366" width="14.5703125" bestFit="1" customWidth="1"/>
    <col min="1367" max="1367" width="16.5703125" bestFit="1" customWidth="1"/>
    <col min="1368" max="1368" width="21.85546875" bestFit="1" customWidth="1"/>
    <col min="1369" max="1369" width="15.28515625" bestFit="1" customWidth="1"/>
    <col min="1370" max="1370" width="14.5703125" bestFit="1" customWidth="1"/>
    <col min="1371" max="1371" width="16.5703125" bestFit="1" customWidth="1"/>
    <col min="1372" max="1372" width="21.85546875" bestFit="1" customWidth="1"/>
    <col min="1373" max="1373" width="15.28515625" bestFit="1" customWidth="1"/>
    <col min="1374" max="1374" width="14.5703125" bestFit="1" customWidth="1"/>
    <col min="1375" max="1375" width="16.5703125" bestFit="1" customWidth="1"/>
    <col min="1376" max="1376" width="21.85546875" bestFit="1" customWidth="1"/>
    <col min="1377" max="1377" width="15.28515625" bestFit="1" customWidth="1"/>
    <col min="1378" max="1378" width="14.5703125" bestFit="1" customWidth="1"/>
    <col min="1379" max="1379" width="16.5703125" bestFit="1" customWidth="1"/>
    <col min="1380" max="1380" width="21.85546875" bestFit="1" customWidth="1"/>
    <col min="1381" max="1381" width="15.28515625" bestFit="1" customWidth="1"/>
    <col min="1382" max="1382" width="14.5703125" bestFit="1" customWidth="1"/>
    <col min="1383" max="1383" width="16.5703125" bestFit="1" customWidth="1"/>
    <col min="1384" max="1384" width="21.85546875" bestFit="1" customWidth="1"/>
    <col min="1385" max="1385" width="15.28515625" bestFit="1" customWidth="1"/>
    <col min="1386" max="1386" width="14.5703125" bestFit="1" customWidth="1"/>
    <col min="1387" max="1387" width="16.5703125" bestFit="1" customWidth="1"/>
    <col min="1388" max="1388" width="21.85546875" bestFit="1" customWidth="1"/>
    <col min="1389" max="1389" width="15.28515625" bestFit="1" customWidth="1"/>
    <col min="1390" max="1390" width="14.5703125" bestFit="1" customWidth="1"/>
    <col min="1391" max="1391" width="16.5703125" bestFit="1" customWidth="1"/>
    <col min="1392" max="1392" width="21.85546875" bestFit="1" customWidth="1"/>
    <col min="1393" max="1393" width="15.28515625" bestFit="1" customWidth="1"/>
    <col min="1394" max="1394" width="14.5703125" bestFit="1" customWidth="1"/>
    <col min="1395" max="1395" width="16.5703125" bestFit="1" customWidth="1"/>
    <col min="1396" max="1396" width="21.85546875" bestFit="1" customWidth="1"/>
    <col min="1397" max="1397" width="15.28515625" bestFit="1" customWidth="1"/>
    <col min="1398" max="1398" width="14.5703125" bestFit="1" customWidth="1"/>
    <col min="1399" max="1399" width="16.5703125" bestFit="1" customWidth="1"/>
    <col min="1400" max="1400" width="21.85546875" bestFit="1" customWidth="1"/>
    <col min="1401" max="1401" width="15.28515625" bestFit="1" customWidth="1"/>
    <col min="1402" max="1402" width="14.5703125" bestFit="1" customWidth="1"/>
    <col min="1403" max="1403" width="16.5703125" bestFit="1" customWidth="1"/>
    <col min="1404" max="1404" width="21.85546875" bestFit="1" customWidth="1"/>
    <col min="1405" max="1405" width="15.28515625" bestFit="1" customWidth="1"/>
    <col min="1406" max="1406" width="14.5703125" bestFit="1" customWidth="1"/>
    <col min="1407" max="1407" width="16.5703125" bestFit="1" customWidth="1"/>
    <col min="1408" max="1408" width="21.85546875" bestFit="1" customWidth="1"/>
    <col min="1409" max="1409" width="15.28515625" bestFit="1" customWidth="1"/>
    <col min="1410" max="1410" width="14.5703125" bestFit="1" customWidth="1"/>
    <col min="1411" max="1411" width="16.5703125" bestFit="1" customWidth="1"/>
    <col min="1412" max="1412" width="21.85546875" bestFit="1" customWidth="1"/>
    <col min="1413" max="1413" width="15.28515625" bestFit="1" customWidth="1"/>
    <col min="1414" max="1414" width="14.5703125" bestFit="1" customWidth="1"/>
    <col min="1415" max="1415" width="16.5703125" bestFit="1" customWidth="1"/>
    <col min="1416" max="1416" width="21.85546875" bestFit="1" customWidth="1"/>
    <col min="1417" max="1417" width="15.28515625" bestFit="1" customWidth="1"/>
    <col min="1418" max="1418" width="14.5703125" bestFit="1" customWidth="1"/>
    <col min="1419" max="1419" width="16.5703125" bestFit="1" customWidth="1"/>
    <col min="1420" max="1420" width="21.85546875" bestFit="1" customWidth="1"/>
    <col min="1421" max="1421" width="15.28515625" bestFit="1" customWidth="1"/>
    <col min="1422" max="1422" width="14.5703125" bestFit="1" customWidth="1"/>
    <col min="1423" max="1423" width="16.5703125" bestFit="1" customWidth="1"/>
    <col min="1424" max="1424" width="21.85546875" bestFit="1" customWidth="1"/>
    <col min="1425" max="1425" width="15.28515625" bestFit="1" customWidth="1"/>
    <col min="1426" max="1426" width="14.5703125" bestFit="1" customWidth="1"/>
    <col min="1427" max="1427" width="16.5703125" bestFit="1" customWidth="1"/>
    <col min="1428" max="1428" width="21.85546875" bestFit="1" customWidth="1"/>
    <col min="1429" max="1429" width="15.28515625" bestFit="1" customWidth="1"/>
    <col min="1430" max="1430" width="14.5703125" bestFit="1" customWidth="1"/>
    <col min="1431" max="1431" width="16.5703125" bestFit="1" customWidth="1"/>
    <col min="1432" max="1432" width="21.85546875" bestFit="1" customWidth="1"/>
    <col min="1433" max="1433" width="15.28515625" bestFit="1" customWidth="1"/>
    <col min="1434" max="1434" width="14.5703125" bestFit="1" customWidth="1"/>
    <col min="1435" max="1435" width="16.5703125" bestFit="1" customWidth="1"/>
    <col min="1436" max="1436" width="21.85546875" bestFit="1" customWidth="1"/>
    <col min="1437" max="1437" width="15.28515625" bestFit="1" customWidth="1"/>
    <col min="1438" max="1438" width="14.5703125" bestFit="1" customWidth="1"/>
    <col min="1439" max="1439" width="16.5703125" bestFit="1" customWidth="1"/>
    <col min="1440" max="1440" width="21.85546875" bestFit="1" customWidth="1"/>
    <col min="1441" max="1441" width="15.28515625" bestFit="1" customWidth="1"/>
    <col min="1442" max="1442" width="14.5703125" bestFit="1" customWidth="1"/>
    <col min="1443" max="1443" width="16.5703125" bestFit="1" customWidth="1"/>
    <col min="1444" max="1444" width="21.85546875" bestFit="1" customWidth="1"/>
    <col min="1445" max="1445" width="15.28515625" bestFit="1" customWidth="1"/>
    <col min="1446" max="1446" width="14.5703125" bestFit="1" customWidth="1"/>
    <col min="1447" max="1447" width="16.5703125" bestFit="1" customWidth="1"/>
    <col min="1448" max="1448" width="21.85546875" bestFit="1" customWidth="1"/>
    <col min="1449" max="1449" width="15.28515625" bestFit="1" customWidth="1"/>
    <col min="1450" max="1450" width="14.5703125" bestFit="1" customWidth="1"/>
    <col min="1451" max="1451" width="16.5703125" bestFit="1" customWidth="1"/>
    <col min="1452" max="1452" width="21.85546875" bestFit="1" customWidth="1"/>
    <col min="1453" max="1453" width="15.28515625" bestFit="1" customWidth="1"/>
    <col min="1454" max="1454" width="14.5703125" bestFit="1" customWidth="1"/>
    <col min="1455" max="1455" width="16.5703125" bestFit="1" customWidth="1"/>
    <col min="1456" max="1456" width="21.85546875" bestFit="1" customWidth="1"/>
    <col min="1457" max="1457" width="15.28515625" bestFit="1" customWidth="1"/>
    <col min="1458" max="1458" width="14.5703125" bestFit="1" customWidth="1"/>
    <col min="1459" max="1459" width="16.5703125" bestFit="1" customWidth="1"/>
    <col min="1460" max="1460" width="21.85546875" bestFit="1" customWidth="1"/>
    <col min="1461" max="1461" width="15.28515625" bestFit="1" customWidth="1"/>
    <col min="1462" max="1462" width="14.5703125" bestFit="1" customWidth="1"/>
    <col min="1463" max="1463" width="16.5703125" bestFit="1" customWidth="1"/>
    <col min="1464" max="1464" width="21.85546875" bestFit="1" customWidth="1"/>
    <col min="1465" max="1465" width="15.28515625" bestFit="1" customWidth="1"/>
    <col min="1466" max="1466" width="14.5703125" bestFit="1" customWidth="1"/>
    <col min="1467" max="1467" width="16.5703125" bestFit="1" customWidth="1"/>
    <col min="1468" max="1468" width="21.85546875" bestFit="1" customWidth="1"/>
    <col min="1469" max="1469" width="15.28515625" bestFit="1" customWidth="1"/>
    <col min="1470" max="1470" width="14.5703125" bestFit="1" customWidth="1"/>
    <col min="1471" max="1471" width="16.5703125" bestFit="1" customWidth="1"/>
    <col min="1472" max="1472" width="21.85546875" bestFit="1" customWidth="1"/>
    <col min="1473" max="1473" width="15.28515625" bestFit="1" customWidth="1"/>
    <col min="1474" max="1474" width="14.5703125" bestFit="1" customWidth="1"/>
    <col min="1475" max="1475" width="16.5703125" bestFit="1" customWidth="1"/>
    <col min="1476" max="1476" width="21.85546875" bestFit="1" customWidth="1"/>
    <col min="1477" max="1477" width="15.28515625" bestFit="1" customWidth="1"/>
    <col min="1478" max="1478" width="14.5703125" bestFit="1" customWidth="1"/>
    <col min="1479" max="1479" width="16.5703125" bestFit="1" customWidth="1"/>
    <col min="1480" max="1480" width="21.85546875" bestFit="1" customWidth="1"/>
    <col min="1481" max="1481" width="15.28515625" bestFit="1" customWidth="1"/>
    <col min="1482" max="1482" width="14.5703125" bestFit="1" customWidth="1"/>
    <col min="1483" max="1483" width="16.5703125" bestFit="1" customWidth="1"/>
    <col min="1484" max="1484" width="21.85546875" bestFit="1" customWidth="1"/>
    <col min="1485" max="1485" width="15.28515625" bestFit="1" customWidth="1"/>
    <col min="1486" max="1486" width="14.5703125" bestFit="1" customWidth="1"/>
    <col min="1487" max="1487" width="16.5703125" bestFit="1" customWidth="1"/>
    <col min="1488" max="1488" width="21.85546875" bestFit="1" customWidth="1"/>
    <col min="1489" max="1489" width="15.28515625" bestFit="1" customWidth="1"/>
    <col min="1490" max="1490" width="14.5703125" bestFit="1" customWidth="1"/>
    <col min="1491" max="1491" width="16.5703125" bestFit="1" customWidth="1"/>
    <col min="1492" max="1492" width="21.85546875" bestFit="1" customWidth="1"/>
    <col min="1493" max="1493" width="15.28515625" bestFit="1" customWidth="1"/>
    <col min="1494" max="1494" width="14.5703125" bestFit="1" customWidth="1"/>
    <col min="1495" max="1495" width="16.5703125" bestFit="1" customWidth="1"/>
    <col min="1496" max="1496" width="21.85546875" bestFit="1" customWidth="1"/>
    <col min="1497" max="1497" width="15.28515625" bestFit="1" customWidth="1"/>
    <col min="1498" max="1498" width="14.5703125" bestFit="1" customWidth="1"/>
    <col min="1499" max="1499" width="16.5703125" bestFit="1" customWidth="1"/>
    <col min="1500" max="1500" width="21.85546875" bestFit="1" customWidth="1"/>
    <col min="1501" max="1501" width="15.28515625" bestFit="1" customWidth="1"/>
    <col min="1502" max="1502" width="14.5703125" bestFit="1" customWidth="1"/>
    <col min="1503" max="1503" width="16.5703125" bestFit="1" customWidth="1"/>
    <col min="1504" max="1504" width="21.85546875" bestFit="1" customWidth="1"/>
    <col min="1505" max="1505" width="15.28515625" bestFit="1" customWidth="1"/>
    <col min="1506" max="1506" width="14.5703125" bestFit="1" customWidth="1"/>
    <col min="1507" max="1507" width="16.5703125" bestFit="1" customWidth="1"/>
    <col min="1508" max="1508" width="21.85546875" bestFit="1" customWidth="1"/>
    <col min="1509" max="1509" width="15.28515625" bestFit="1" customWidth="1"/>
    <col min="1510" max="1510" width="21.85546875" bestFit="1" customWidth="1"/>
    <col min="1511" max="1511" width="15.28515625" bestFit="1" customWidth="1"/>
    <col min="1512" max="1512" width="14.5703125" bestFit="1" customWidth="1"/>
    <col min="1513" max="1513" width="16.5703125" bestFit="1" customWidth="1"/>
    <col min="1514" max="1514" width="21.85546875" bestFit="1" customWidth="1"/>
    <col min="1515" max="1515" width="15.28515625" bestFit="1" customWidth="1"/>
    <col min="1516" max="1516" width="14.5703125" bestFit="1" customWidth="1"/>
    <col min="1517" max="1517" width="16.5703125" bestFit="1" customWidth="1"/>
    <col min="1518" max="1518" width="21.85546875" bestFit="1" customWidth="1"/>
    <col min="1519" max="1519" width="15.28515625" bestFit="1" customWidth="1"/>
    <col min="1520" max="1520" width="14.5703125" bestFit="1" customWidth="1"/>
    <col min="1521" max="1521" width="16.5703125" bestFit="1" customWidth="1"/>
    <col min="1522" max="1522" width="21.85546875" bestFit="1" customWidth="1"/>
    <col min="1523" max="1523" width="15.28515625" bestFit="1" customWidth="1"/>
    <col min="1524" max="1524" width="14.5703125" bestFit="1" customWidth="1"/>
    <col min="1525" max="1525" width="16.5703125" bestFit="1" customWidth="1"/>
    <col min="1526" max="1526" width="21.85546875" bestFit="1" customWidth="1"/>
    <col min="1527" max="1527" width="15.28515625" bestFit="1" customWidth="1"/>
    <col min="1528" max="1528" width="14.5703125" bestFit="1" customWidth="1"/>
    <col min="1529" max="1529" width="16.5703125" bestFit="1" customWidth="1"/>
    <col min="1530" max="1530" width="21.85546875" bestFit="1" customWidth="1"/>
    <col min="1531" max="1531" width="15.28515625" bestFit="1" customWidth="1"/>
    <col min="1532" max="1532" width="14.5703125" bestFit="1" customWidth="1"/>
    <col min="1533" max="1533" width="16.5703125" bestFit="1" customWidth="1"/>
    <col min="1534" max="1534" width="21.85546875" bestFit="1" customWidth="1"/>
    <col min="1535" max="1535" width="15.28515625" bestFit="1" customWidth="1"/>
    <col min="1536" max="1536" width="14.5703125" bestFit="1" customWidth="1"/>
    <col min="1537" max="1537" width="16.5703125" bestFit="1" customWidth="1"/>
    <col min="1538" max="1538" width="21.85546875" bestFit="1" customWidth="1"/>
    <col min="1539" max="1539" width="15.28515625" bestFit="1" customWidth="1"/>
    <col min="1540" max="1540" width="14.5703125" bestFit="1" customWidth="1"/>
    <col min="1541" max="1541" width="16.5703125" bestFit="1" customWidth="1"/>
    <col min="1542" max="1542" width="21.85546875" bestFit="1" customWidth="1"/>
    <col min="1543" max="1543" width="15.28515625" bestFit="1" customWidth="1"/>
    <col min="1544" max="1544" width="14.5703125" bestFit="1" customWidth="1"/>
    <col min="1545" max="1545" width="16.5703125" bestFit="1" customWidth="1"/>
    <col min="1546" max="1546" width="21.85546875" bestFit="1" customWidth="1"/>
    <col min="1547" max="1547" width="15.28515625" bestFit="1" customWidth="1"/>
    <col min="1548" max="1548" width="14.5703125" bestFit="1" customWidth="1"/>
    <col min="1549" max="1549" width="16.5703125" bestFit="1" customWidth="1"/>
    <col min="1550" max="1550" width="21.85546875" bestFit="1" customWidth="1"/>
    <col min="1551" max="1551" width="15.28515625" bestFit="1" customWidth="1"/>
    <col min="1552" max="1552" width="14.5703125" bestFit="1" customWidth="1"/>
    <col min="1553" max="1553" width="16.5703125" bestFit="1" customWidth="1"/>
    <col min="1554" max="1554" width="21.85546875" bestFit="1" customWidth="1"/>
    <col min="1555" max="1555" width="15.28515625" bestFit="1" customWidth="1"/>
    <col min="1556" max="1556" width="14.5703125" bestFit="1" customWidth="1"/>
    <col min="1557" max="1557" width="16.5703125" bestFit="1" customWidth="1"/>
    <col min="1558" max="1558" width="21.85546875" bestFit="1" customWidth="1"/>
    <col min="1559" max="1559" width="15.28515625" bestFit="1" customWidth="1"/>
  </cols>
  <sheetData>
    <row r="1" spans="1:1127" x14ac:dyDescent="0.25">
      <c r="A1" t="s">
        <v>314</v>
      </c>
      <c r="B1" t="s">
        <v>17525</v>
      </c>
      <c r="C1" t="s">
        <v>18674</v>
      </c>
      <c r="D1" t="s">
        <v>18675</v>
      </c>
      <c r="E1" t="s">
        <v>18676</v>
      </c>
      <c r="F1" t="s">
        <v>18677</v>
      </c>
      <c r="G1" t="s">
        <v>18678</v>
      </c>
      <c r="H1" t="s">
        <v>18679</v>
      </c>
      <c r="I1" t="s">
        <v>18680</v>
      </c>
      <c r="J1" t="s">
        <v>18681</v>
      </c>
      <c r="K1" t="s">
        <v>18682</v>
      </c>
      <c r="L1" t="s">
        <v>18683</v>
      </c>
      <c r="M1" t="s">
        <v>18684</v>
      </c>
      <c r="N1" t="s">
        <v>18685</v>
      </c>
      <c r="O1" t="s">
        <v>18686</v>
      </c>
      <c r="P1" t="s">
        <v>18687</v>
      </c>
      <c r="Q1" t="s">
        <v>17526</v>
      </c>
      <c r="R1" t="s">
        <v>17527</v>
      </c>
      <c r="S1" t="s">
        <v>17528</v>
      </c>
      <c r="T1" t="s">
        <v>17529</v>
      </c>
      <c r="U1" t="s">
        <v>17530</v>
      </c>
      <c r="V1" t="s">
        <v>17531</v>
      </c>
      <c r="W1" t="s">
        <v>17532</v>
      </c>
      <c r="X1" t="s">
        <v>17533</v>
      </c>
      <c r="Y1" t="s">
        <v>17534</v>
      </c>
      <c r="Z1" t="s">
        <v>17535</v>
      </c>
      <c r="AA1" t="s">
        <v>17536</v>
      </c>
      <c r="AB1" t="s">
        <v>17537</v>
      </c>
      <c r="AC1" t="s">
        <v>17538</v>
      </c>
      <c r="AD1" t="s">
        <v>17539</v>
      </c>
      <c r="AE1" t="s">
        <v>17540</v>
      </c>
      <c r="AF1" t="s">
        <v>17541</v>
      </c>
      <c r="AG1" t="s">
        <v>17542</v>
      </c>
      <c r="AH1" t="s">
        <v>17543</v>
      </c>
      <c r="AI1" t="s">
        <v>17544</v>
      </c>
      <c r="AJ1" t="s">
        <v>17545</v>
      </c>
      <c r="AK1" t="s">
        <v>17546</v>
      </c>
      <c r="AL1" t="s">
        <v>17547</v>
      </c>
      <c r="AM1" t="s">
        <v>17548</v>
      </c>
      <c r="AN1" t="s">
        <v>17549</v>
      </c>
      <c r="AO1" t="s">
        <v>17550</v>
      </c>
      <c r="AP1" t="s">
        <v>17551</v>
      </c>
      <c r="AQ1" t="s">
        <v>17552</v>
      </c>
      <c r="AR1" t="s">
        <v>17553</v>
      </c>
      <c r="AS1" t="s">
        <v>17554</v>
      </c>
      <c r="AT1" t="s">
        <v>17555</v>
      </c>
      <c r="AU1" t="s">
        <v>17556</v>
      </c>
      <c r="AV1" t="s">
        <v>17557</v>
      </c>
      <c r="AW1" t="s">
        <v>17558</v>
      </c>
      <c r="AX1" t="s">
        <v>17559</v>
      </c>
      <c r="AY1" t="s">
        <v>17560</v>
      </c>
      <c r="AZ1" t="s">
        <v>17561</v>
      </c>
      <c r="BA1" t="s">
        <v>17562</v>
      </c>
      <c r="BB1" t="s">
        <v>17563</v>
      </c>
      <c r="BC1" t="s">
        <v>17564</v>
      </c>
      <c r="BD1" t="s">
        <v>17565</v>
      </c>
      <c r="BE1" t="s">
        <v>17566</v>
      </c>
      <c r="BF1" t="s">
        <v>17567</v>
      </c>
      <c r="BG1" t="s">
        <v>17568</v>
      </c>
      <c r="BH1" t="s">
        <v>17569</v>
      </c>
      <c r="BI1" t="s">
        <v>17570</v>
      </c>
      <c r="BJ1" t="s">
        <v>17571</v>
      </c>
      <c r="BK1" t="s">
        <v>17572</v>
      </c>
      <c r="BL1" t="s">
        <v>17573</v>
      </c>
      <c r="BM1" t="s">
        <v>17574</v>
      </c>
      <c r="BN1" t="s">
        <v>17575</v>
      </c>
      <c r="BO1" t="s">
        <v>17576</v>
      </c>
      <c r="BP1" t="s">
        <v>17577</v>
      </c>
      <c r="BQ1" t="s">
        <v>17578</v>
      </c>
      <c r="BR1" t="s">
        <v>17579</v>
      </c>
      <c r="BS1" t="s">
        <v>17580</v>
      </c>
      <c r="BT1" t="s">
        <v>17581</v>
      </c>
      <c r="BU1" t="s">
        <v>17582</v>
      </c>
      <c r="BV1" t="s">
        <v>17583</v>
      </c>
      <c r="BW1" t="s">
        <v>17584</v>
      </c>
      <c r="BX1" t="s">
        <v>17585</v>
      </c>
      <c r="BY1" t="s">
        <v>17586</v>
      </c>
      <c r="BZ1" t="s">
        <v>17587</v>
      </c>
      <c r="CA1" t="s">
        <v>17588</v>
      </c>
      <c r="CB1" t="s">
        <v>17589</v>
      </c>
      <c r="CC1" t="s">
        <v>17590</v>
      </c>
      <c r="CD1" t="s">
        <v>17591</v>
      </c>
      <c r="CE1" t="s">
        <v>17592</v>
      </c>
      <c r="CF1" t="s">
        <v>17593</v>
      </c>
      <c r="CG1" t="s">
        <v>17594</v>
      </c>
      <c r="CH1" t="s">
        <v>17595</v>
      </c>
      <c r="CI1" t="s">
        <v>17596</v>
      </c>
      <c r="CJ1" t="s">
        <v>17597</v>
      </c>
      <c r="CK1" t="s">
        <v>17598</v>
      </c>
      <c r="CL1" t="s">
        <v>17599</v>
      </c>
      <c r="CM1" t="s">
        <v>17600</v>
      </c>
      <c r="CN1" t="s">
        <v>17601</v>
      </c>
      <c r="CO1" t="s">
        <v>17602</v>
      </c>
      <c r="CP1" t="s">
        <v>17603</v>
      </c>
      <c r="CQ1" t="s">
        <v>17604</v>
      </c>
      <c r="CR1" t="s">
        <v>17605</v>
      </c>
      <c r="CS1" t="s">
        <v>17606</v>
      </c>
      <c r="CT1" t="s">
        <v>17607</v>
      </c>
      <c r="CU1" t="s">
        <v>17608</v>
      </c>
      <c r="CV1" t="s">
        <v>17609</v>
      </c>
      <c r="CW1" t="s">
        <v>17610</v>
      </c>
      <c r="CX1" t="s">
        <v>17611</v>
      </c>
      <c r="CY1" t="s">
        <v>17612</v>
      </c>
      <c r="CZ1" t="s">
        <v>17613</v>
      </c>
      <c r="DA1" t="s">
        <v>17614</v>
      </c>
      <c r="DB1" t="s">
        <v>17615</v>
      </c>
      <c r="DC1" t="s">
        <v>17616</v>
      </c>
      <c r="DD1" t="s">
        <v>17617</v>
      </c>
      <c r="DE1" t="s">
        <v>17618</v>
      </c>
      <c r="DF1" t="s">
        <v>17619</v>
      </c>
      <c r="DG1" t="s">
        <v>17620</v>
      </c>
      <c r="DH1" t="s">
        <v>17621</v>
      </c>
      <c r="DI1" t="s">
        <v>17622</v>
      </c>
      <c r="DJ1" t="s">
        <v>17623</v>
      </c>
      <c r="DK1" t="s">
        <v>17624</v>
      </c>
      <c r="DL1" t="s">
        <v>17625</v>
      </c>
      <c r="DM1" t="s">
        <v>17626</v>
      </c>
      <c r="DN1" t="s">
        <v>17627</v>
      </c>
      <c r="DO1" t="s">
        <v>17628</v>
      </c>
      <c r="DP1" t="s">
        <v>17629</v>
      </c>
      <c r="DQ1" t="s">
        <v>17630</v>
      </c>
      <c r="DR1" t="s">
        <v>17631</v>
      </c>
      <c r="DS1" t="s">
        <v>17632</v>
      </c>
      <c r="DT1" t="s">
        <v>17633</v>
      </c>
      <c r="DU1" t="s">
        <v>17634</v>
      </c>
      <c r="DV1" t="s">
        <v>17635</v>
      </c>
      <c r="DW1" t="s">
        <v>17636</v>
      </c>
      <c r="DX1" t="s">
        <v>17637</v>
      </c>
      <c r="DY1" t="s">
        <v>17638</v>
      </c>
      <c r="DZ1" t="s">
        <v>17639</v>
      </c>
      <c r="EA1" t="s">
        <v>17640</v>
      </c>
      <c r="EB1" t="s">
        <v>17641</v>
      </c>
      <c r="EC1" t="s">
        <v>17642</v>
      </c>
      <c r="ED1" t="s">
        <v>17643</v>
      </c>
      <c r="EE1" t="s">
        <v>17644</v>
      </c>
      <c r="EF1" t="s">
        <v>17645</v>
      </c>
      <c r="EG1" t="s">
        <v>17646</v>
      </c>
      <c r="EH1" t="s">
        <v>17647</v>
      </c>
      <c r="EI1" t="s">
        <v>17648</v>
      </c>
      <c r="EJ1" t="s">
        <v>17649</v>
      </c>
      <c r="EK1" t="s">
        <v>17650</v>
      </c>
      <c r="EL1" t="s">
        <v>17651</v>
      </c>
      <c r="EM1" t="s">
        <v>17652</v>
      </c>
      <c r="EN1" t="s">
        <v>17653</v>
      </c>
      <c r="EO1" t="s">
        <v>17654</v>
      </c>
      <c r="EP1" t="s">
        <v>17655</v>
      </c>
      <c r="EQ1" t="s">
        <v>17656</v>
      </c>
      <c r="ER1" t="s">
        <v>17657</v>
      </c>
      <c r="ES1" t="s">
        <v>17658</v>
      </c>
      <c r="ET1" t="s">
        <v>17659</v>
      </c>
      <c r="EU1" t="s">
        <v>17660</v>
      </c>
      <c r="EV1" t="s">
        <v>17661</v>
      </c>
      <c r="EW1" t="s">
        <v>17662</v>
      </c>
      <c r="EX1" t="s">
        <v>17663</v>
      </c>
      <c r="EY1" t="s">
        <v>17664</v>
      </c>
      <c r="EZ1" t="s">
        <v>17665</v>
      </c>
      <c r="FA1" t="s">
        <v>17666</v>
      </c>
      <c r="FB1" t="s">
        <v>17667</v>
      </c>
      <c r="FC1" t="s">
        <v>17668</v>
      </c>
      <c r="FD1" t="s">
        <v>17669</v>
      </c>
      <c r="FE1" t="s">
        <v>17670</v>
      </c>
      <c r="FF1" t="s">
        <v>17671</v>
      </c>
      <c r="FG1" t="s">
        <v>17672</v>
      </c>
      <c r="FH1" t="s">
        <v>17673</v>
      </c>
      <c r="FI1" t="s">
        <v>17674</v>
      </c>
      <c r="FJ1" t="s">
        <v>17675</v>
      </c>
      <c r="FK1" t="s">
        <v>17676</v>
      </c>
      <c r="FL1" t="s">
        <v>17677</v>
      </c>
      <c r="FM1" t="s">
        <v>17678</v>
      </c>
      <c r="FN1" t="s">
        <v>17679</v>
      </c>
      <c r="FO1" t="s">
        <v>17680</v>
      </c>
      <c r="FP1" t="s">
        <v>17681</v>
      </c>
      <c r="FQ1" t="s">
        <v>17682</v>
      </c>
      <c r="FR1" t="s">
        <v>17683</v>
      </c>
      <c r="FS1" t="s">
        <v>17684</v>
      </c>
      <c r="FT1" t="s">
        <v>17685</v>
      </c>
      <c r="FU1" t="s">
        <v>17686</v>
      </c>
      <c r="FV1" t="s">
        <v>17687</v>
      </c>
      <c r="FW1" t="s">
        <v>17688</v>
      </c>
      <c r="FX1" t="s">
        <v>17689</v>
      </c>
      <c r="FY1" t="s">
        <v>17690</v>
      </c>
      <c r="FZ1" t="s">
        <v>17691</v>
      </c>
      <c r="GA1" t="s">
        <v>17692</v>
      </c>
      <c r="GB1" t="s">
        <v>17693</v>
      </c>
      <c r="GC1" t="s">
        <v>17694</v>
      </c>
      <c r="GD1" t="s">
        <v>17695</v>
      </c>
      <c r="GE1" t="s">
        <v>17696</v>
      </c>
      <c r="GF1" t="s">
        <v>17697</v>
      </c>
      <c r="GG1" t="s">
        <v>17698</v>
      </c>
      <c r="GH1" t="s">
        <v>17699</v>
      </c>
      <c r="GI1" t="s">
        <v>17700</v>
      </c>
      <c r="GJ1" t="s">
        <v>17701</v>
      </c>
      <c r="GK1" t="s">
        <v>17702</v>
      </c>
      <c r="GL1" t="s">
        <v>17703</v>
      </c>
      <c r="GM1" t="s">
        <v>17704</v>
      </c>
      <c r="GN1" t="s">
        <v>17705</v>
      </c>
      <c r="GO1" t="s">
        <v>17706</v>
      </c>
      <c r="GP1" t="s">
        <v>17707</v>
      </c>
      <c r="GQ1" t="s">
        <v>17708</v>
      </c>
      <c r="GR1" t="s">
        <v>17709</v>
      </c>
      <c r="GS1" t="s">
        <v>17710</v>
      </c>
      <c r="GT1" t="s">
        <v>17711</v>
      </c>
      <c r="GU1" t="s">
        <v>17712</v>
      </c>
      <c r="GV1" t="s">
        <v>17713</v>
      </c>
      <c r="GW1" t="s">
        <v>17714</v>
      </c>
      <c r="GX1" t="s">
        <v>17715</v>
      </c>
      <c r="GY1" t="s">
        <v>17716</v>
      </c>
      <c r="GZ1" t="s">
        <v>17717</v>
      </c>
      <c r="HA1" t="s">
        <v>17718</v>
      </c>
      <c r="HB1" t="s">
        <v>17719</v>
      </c>
      <c r="HC1" t="s">
        <v>17720</v>
      </c>
      <c r="HD1" t="s">
        <v>17721</v>
      </c>
      <c r="HE1" t="s">
        <v>17722</v>
      </c>
      <c r="HF1" t="s">
        <v>17723</v>
      </c>
      <c r="HG1" t="s">
        <v>17724</v>
      </c>
      <c r="HH1" t="s">
        <v>17725</v>
      </c>
      <c r="HI1" t="s">
        <v>17726</v>
      </c>
      <c r="HJ1" t="s">
        <v>17727</v>
      </c>
      <c r="HK1" t="s">
        <v>17728</v>
      </c>
      <c r="HL1" t="s">
        <v>17729</v>
      </c>
      <c r="HM1" t="s">
        <v>17730</v>
      </c>
      <c r="HN1" t="s">
        <v>17731</v>
      </c>
      <c r="HO1" t="s">
        <v>17732</v>
      </c>
      <c r="HP1" t="s">
        <v>17733</v>
      </c>
      <c r="HQ1" t="s">
        <v>17734</v>
      </c>
      <c r="HR1" t="s">
        <v>17735</v>
      </c>
      <c r="HS1" t="s">
        <v>17736</v>
      </c>
      <c r="HT1" t="s">
        <v>17737</v>
      </c>
      <c r="HU1" t="s">
        <v>17738</v>
      </c>
      <c r="HV1" t="s">
        <v>17739</v>
      </c>
      <c r="HW1" t="s">
        <v>17740</v>
      </c>
      <c r="HX1" t="s">
        <v>17741</v>
      </c>
      <c r="HY1" t="s">
        <v>17742</v>
      </c>
      <c r="HZ1" t="s">
        <v>17743</v>
      </c>
      <c r="IA1" t="s">
        <v>17744</v>
      </c>
      <c r="IB1" t="s">
        <v>17745</v>
      </c>
      <c r="IC1" t="s">
        <v>17746</v>
      </c>
      <c r="ID1" t="s">
        <v>17747</v>
      </c>
      <c r="IE1" t="s">
        <v>17748</v>
      </c>
      <c r="IF1" t="s">
        <v>17749</v>
      </c>
      <c r="IG1" t="s">
        <v>17750</v>
      </c>
      <c r="IH1" t="s">
        <v>17751</v>
      </c>
      <c r="II1" t="s">
        <v>17752</v>
      </c>
      <c r="IJ1" t="s">
        <v>17753</v>
      </c>
      <c r="IK1" t="s">
        <v>17754</v>
      </c>
      <c r="IL1" t="s">
        <v>17755</v>
      </c>
      <c r="IM1" t="s">
        <v>17756</v>
      </c>
      <c r="IN1" t="s">
        <v>17757</v>
      </c>
      <c r="IO1" t="s">
        <v>17758</v>
      </c>
      <c r="IP1" t="s">
        <v>17759</v>
      </c>
      <c r="IQ1" t="s">
        <v>17760</v>
      </c>
      <c r="IR1" t="s">
        <v>17761</v>
      </c>
      <c r="IS1" t="s">
        <v>17762</v>
      </c>
      <c r="IT1" t="s">
        <v>17763</v>
      </c>
      <c r="IU1" t="s">
        <v>17764</v>
      </c>
      <c r="IV1" t="s">
        <v>17765</v>
      </c>
      <c r="IW1" t="s">
        <v>17766</v>
      </c>
      <c r="IX1" t="s">
        <v>17767</v>
      </c>
      <c r="IY1" t="s">
        <v>17768</v>
      </c>
      <c r="IZ1" t="s">
        <v>17769</v>
      </c>
      <c r="JA1" t="s">
        <v>17770</v>
      </c>
      <c r="JB1" t="s">
        <v>17771</v>
      </c>
      <c r="JC1" t="s">
        <v>17772</v>
      </c>
      <c r="JD1" t="s">
        <v>17773</v>
      </c>
      <c r="JE1" t="s">
        <v>17774</v>
      </c>
      <c r="JF1" t="s">
        <v>17775</v>
      </c>
      <c r="JG1" t="s">
        <v>17776</v>
      </c>
      <c r="JH1" t="s">
        <v>17777</v>
      </c>
      <c r="JI1" t="s">
        <v>17778</v>
      </c>
      <c r="JJ1" t="s">
        <v>17779</v>
      </c>
      <c r="JK1" t="s">
        <v>17780</v>
      </c>
      <c r="JL1" t="s">
        <v>17781</v>
      </c>
      <c r="JM1" t="s">
        <v>17782</v>
      </c>
      <c r="JN1" t="s">
        <v>17783</v>
      </c>
      <c r="JO1" t="s">
        <v>17784</v>
      </c>
      <c r="JP1" t="s">
        <v>17785</v>
      </c>
      <c r="JQ1" t="s">
        <v>17786</v>
      </c>
      <c r="JR1" t="s">
        <v>17787</v>
      </c>
      <c r="JS1" t="s">
        <v>17788</v>
      </c>
      <c r="JT1" t="s">
        <v>17789</v>
      </c>
      <c r="JU1" t="s">
        <v>17790</v>
      </c>
      <c r="JV1" t="s">
        <v>17791</v>
      </c>
      <c r="JW1" t="s">
        <v>17792</v>
      </c>
      <c r="JX1" t="s">
        <v>17793</v>
      </c>
      <c r="JY1" t="s">
        <v>17794</v>
      </c>
      <c r="JZ1" t="s">
        <v>17795</v>
      </c>
      <c r="KA1" t="s">
        <v>17796</v>
      </c>
      <c r="KB1" t="s">
        <v>17797</v>
      </c>
      <c r="KC1" t="s">
        <v>17798</v>
      </c>
      <c r="KD1" t="s">
        <v>17799</v>
      </c>
      <c r="KE1" t="s">
        <v>17800</v>
      </c>
      <c r="KF1" t="s">
        <v>17801</v>
      </c>
      <c r="KG1" t="s">
        <v>17802</v>
      </c>
      <c r="KH1" t="s">
        <v>17803</v>
      </c>
      <c r="KI1" t="s">
        <v>17804</v>
      </c>
      <c r="KJ1" t="s">
        <v>17805</v>
      </c>
      <c r="KK1" t="s">
        <v>17806</v>
      </c>
      <c r="KL1" t="s">
        <v>17807</v>
      </c>
      <c r="KM1" t="s">
        <v>17808</v>
      </c>
      <c r="KN1" t="s">
        <v>17809</v>
      </c>
      <c r="KO1" t="s">
        <v>17810</v>
      </c>
      <c r="KP1" t="s">
        <v>17811</v>
      </c>
      <c r="KQ1" t="s">
        <v>17812</v>
      </c>
      <c r="KR1" t="s">
        <v>17813</v>
      </c>
      <c r="KS1" t="s">
        <v>17814</v>
      </c>
      <c r="KT1" t="s">
        <v>17815</v>
      </c>
      <c r="KU1" t="s">
        <v>17816</v>
      </c>
      <c r="KV1" t="s">
        <v>17817</v>
      </c>
      <c r="KW1" t="s">
        <v>18945</v>
      </c>
      <c r="KX1" t="s">
        <v>18946</v>
      </c>
      <c r="KY1" t="s">
        <v>18947</v>
      </c>
      <c r="KZ1" t="s">
        <v>18948</v>
      </c>
      <c r="LA1" t="s">
        <v>18949</v>
      </c>
      <c r="LB1" t="s">
        <v>18950</v>
      </c>
      <c r="LC1" t="s">
        <v>18951</v>
      </c>
      <c r="LD1" t="s">
        <v>18952</v>
      </c>
      <c r="LE1" t="s">
        <v>18953</v>
      </c>
      <c r="LF1" t="s">
        <v>18954</v>
      </c>
      <c r="LG1" t="s">
        <v>18955</v>
      </c>
      <c r="LH1" t="s">
        <v>18956</v>
      </c>
      <c r="LI1" t="s">
        <v>18957</v>
      </c>
      <c r="LJ1" t="s">
        <v>18958</v>
      </c>
      <c r="LK1" t="s">
        <v>18959</v>
      </c>
      <c r="LL1" t="s">
        <v>18960</v>
      </c>
      <c r="LM1" t="s">
        <v>18961</v>
      </c>
      <c r="LN1" t="s">
        <v>18962</v>
      </c>
      <c r="LO1" t="s">
        <v>18963</v>
      </c>
      <c r="LP1" t="s">
        <v>18964</v>
      </c>
      <c r="LQ1" t="s">
        <v>17818</v>
      </c>
      <c r="LR1" t="s">
        <v>18965</v>
      </c>
      <c r="LS1" t="s">
        <v>18966</v>
      </c>
      <c r="LT1" t="s">
        <v>18967</v>
      </c>
      <c r="LU1" t="s">
        <v>18968</v>
      </c>
      <c r="LV1" t="s">
        <v>18969</v>
      </c>
      <c r="LW1" t="s">
        <v>18970</v>
      </c>
      <c r="LX1" t="s">
        <v>18971</v>
      </c>
      <c r="LY1" t="s">
        <v>18972</v>
      </c>
      <c r="LZ1" t="s">
        <v>18973</v>
      </c>
      <c r="MA1" t="s">
        <v>18974</v>
      </c>
      <c r="MB1" t="s">
        <v>18975</v>
      </c>
      <c r="MC1" t="s">
        <v>18976</v>
      </c>
      <c r="MD1" t="s">
        <v>18977</v>
      </c>
      <c r="ME1" t="s">
        <v>18978</v>
      </c>
      <c r="MF1" t="s">
        <v>18979</v>
      </c>
      <c r="MG1" t="s">
        <v>18980</v>
      </c>
      <c r="MH1" t="s">
        <v>18981</v>
      </c>
      <c r="MI1" t="s">
        <v>18982</v>
      </c>
      <c r="MJ1" t="s">
        <v>18983</v>
      </c>
      <c r="MK1" t="s">
        <v>18984</v>
      </c>
      <c r="ML1" t="s">
        <v>18985</v>
      </c>
      <c r="MM1" t="s">
        <v>18986</v>
      </c>
      <c r="MN1" t="s">
        <v>18987</v>
      </c>
      <c r="MO1" t="s">
        <v>18988</v>
      </c>
      <c r="MP1" t="s">
        <v>18989</v>
      </c>
      <c r="MQ1" t="s">
        <v>18990</v>
      </c>
      <c r="MR1" t="s">
        <v>18991</v>
      </c>
      <c r="MS1" t="s">
        <v>18992</v>
      </c>
      <c r="MT1" t="s">
        <v>18993</v>
      </c>
      <c r="MU1" t="s">
        <v>18994</v>
      </c>
      <c r="MV1" t="s">
        <v>18995</v>
      </c>
      <c r="MW1" t="s">
        <v>18996</v>
      </c>
      <c r="MX1" t="s">
        <v>18997</v>
      </c>
      <c r="MY1" t="s">
        <v>18998</v>
      </c>
      <c r="MZ1" t="s">
        <v>18999</v>
      </c>
      <c r="NA1" t="s">
        <v>19000</v>
      </c>
      <c r="NB1" t="s">
        <v>19001</v>
      </c>
      <c r="NC1" t="s">
        <v>19002</v>
      </c>
      <c r="ND1" t="s">
        <v>19003</v>
      </c>
      <c r="NE1" t="s">
        <v>19004</v>
      </c>
      <c r="NF1" t="s">
        <v>19005</v>
      </c>
      <c r="NG1" t="s">
        <v>19006</v>
      </c>
      <c r="NH1" t="s">
        <v>19007</v>
      </c>
      <c r="NI1" t="s">
        <v>19008</v>
      </c>
      <c r="NJ1" t="s">
        <v>19009</v>
      </c>
      <c r="NK1" t="s">
        <v>19010</v>
      </c>
      <c r="NL1" t="s">
        <v>19011</v>
      </c>
      <c r="NM1" t="s">
        <v>19012</v>
      </c>
      <c r="NN1" t="s">
        <v>19013</v>
      </c>
      <c r="NO1" t="s">
        <v>19014</v>
      </c>
      <c r="NP1" t="s">
        <v>19015</v>
      </c>
      <c r="NQ1" t="s">
        <v>19016</v>
      </c>
      <c r="NR1" t="s">
        <v>19017</v>
      </c>
      <c r="NS1" t="s">
        <v>19018</v>
      </c>
      <c r="NT1" t="s">
        <v>19019</v>
      </c>
      <c r="NU1" t="s">
        <v>19020</v>
      </c>
      <c r="NV1" t="s">
        <v>19021</v>
      </c>
      <c r="NW1" t="s">
        <v>19022</v>
      </c>
      <c r="NX1" t="s">
        <v>19023</v>
      </c>
      <c r="NY1" t="s">
        <v>19024</v>
      </c>
      <c r="NZ1" t="s">
        <v>19025</v>
      </c>
      <c r="OA1" t="s">
        <v>19026</v>
      </c>
      <c r="OB1" t="s">
        <v>19027</v>
      </c>
      <c r="OC1" t="s">
        <v>19028</v>
      </c>
      <c r="OD1" t="s">
        <v>19029</v>
      </c>
      <c r="OE1" t="s">
        <v>19030</v>
      </c>
      <c r="OF1" t="s">
        <v>19031</v>
      </c>
      <c r="OG1" t="s">
        <v>19032</v>
      </c>
      <c r="OH1" t="s">
        <v>19033</v>
      </c>
      <c r="OI1" t="s">
        <v>19034</v>
      </c>
      <c r="OJ1" t="s">
        <v>19035</v>
      </c>
      <c r="OK1" t="s">
        <v>19036</v>
      </c>
      <c r="OL1" t="s">
        <v>19037</v>
      </c>
      <c r="OM1" t="s">
        <v>19038</v>
      </c>
      <c r="ON1" t="s">
        <v>19039</v>
      </c>
      <c r="OO1" t="s">
        <v>19040</v>
      </c>
      <c r="OP1" t="s">
        <v>19041</v>
      </c>
      <c r="OQ1" t="s">
        <v>19042</v>
      </c>
      <c r="OR1" t="s">
        <v>19043</v>
      </c>
      <c r="OS1" t="s">
        <v>19044</v>
      </c>
      <c r="OT1" t="s">
        <v>19045</v>
      </c>
      <c r="OU1" t="s">
        <v>19046</v>
      </c>
      <c r="OV1" t="s">
        <v>19047</v>
      </c>
      <c r="OW1" t="s">
        <v>19048</v>
      </c>
      <c r="OX1" t="s">
        <v>19049</v>
      </c>
      <c r="OY1" t="s">
        <v>19050</v>
      </c>
      <c r="OZ1" t="s">
        <v>19051</v>
      </c>
      <c r="PA1" t="s">
        <v>19052</v>
      </c>
      <c r="PB1" t="s">
        <v>19053</v>
      </c>
      <c r="PC1" t="s">
        <v>19054</v>
      </c>
      <c r="PD1" t="s">
        <v>19055</v>
      </c>
      <c r="PE1" t="s">
        <v>19056</v>
      </c>
      <c r="PF1" t="s">
        <v>19057</v>
      </c>
      <c r="PG1" t="s">
        <v>19058</v>
      </c>
      <c r="PH1" t="s">
        <v>19059</v>
      </c>
      <c r="PI1" t="s">
        <v>19060</v>
      </c>
      <c r="PJ1" t="s">
        <v>19061</v>
      </c>
      <c r="PK1" t="s">
        <v>19062</v>
      </c>
      <c r="PL1" t="s">
        <v>19063</v>
      </c>
      <c r="PM1" t="s">
        <v>19064</v>
      </c>
      <c r="PN1" t="s">
        <v>19065</v>
      </c>
      <c r="PO1" t="s">
        <v>19066</v>
      </c>
      <c r="PP1" t="s">
        <v>19067</v>
      </c>
      <c r="PQ1" t="s">
        <v>19068</v>
      </c>
      <c r="PR1" t="s">
        <v>19069</v>
      </c>
      <c r="PS1" t="s">
        <v>19070</v>
      </c>
      <c r="PT1" t="s">
        <v>19071</v>
      </c>
      <c r="PU1" t="s">
        <v>19072</v>
      </c>
      <c r="PV1" t="s">
        <v>19073</v>
      </c>
      <c r="PW1" t="s">
        <v>19074</v>
      </c>
      <c r="PX1" t="s">
        <v>19075</v>
      </c>
      <c r="PY1" t="s">
        <v>19076</v>
      </c>
      <c r="PZ1" t="s">
        <v>19077</v>
      </c>
      <c r="QA1" t="s">
        <v>19078</v>
      </c>
      <c r="QB1" t="s">
        <v>19079</v>
      </c>
      <c r="QC1" t="s">
        <v>19080</v>
      </c>
      <c r="QD1" t="s">
        <v>19081</v>
      </c>
      <c r="QE1" t="s">
        <v>19082</v>
      </c>
      <c r="QF1" t="s">
        <v>19083</v>
      </c>
      <c r="QG1" t="s">
        <v>19084</v>
      </c>
      <c r="QH1" t="s">
        <v>19085</v>
      </c>
      <c r="QI1" t="s">
        <v>19086</v>
      </c>
      <c r="QJ1" t="s">
        <v>19087</v>
      </c>
      <c r="QK1" t="s">
        <v>19088</v>
      </c>
      <c r="QL1" t="s">
        <v>19089</v>
      </c>
      <c r="QM1" t="s">
        <v>19090</v>
      </c>
      <c r="QN1" t="s">
        <v>19091</v>
      </c>
      <c r="QO1" t="s">
        <v>19092</v>
      </c>
      <c r="QP1" t="s">
        <v>19093</v>
      </c>
      <c r="QQ1" t="s">
        <v>19094</v>
      </c>
      <c r="QR1" t="s">
        <v>19095</v>
      </c>
      <c r="QS1" t="s">
        <v>19096</v>
      </c>
      <c r="QT1" t="s">
        <v>19097</v>
      </c>
      <c r="QU1" t="s">
        <v>19098</v>
      </c>
      <c r="QV1" t="s">
        <v>19099</v>
      </c>
      <c r="QW1" t="s">
        <v>19100</v>
      </c>
      <c r="QX1" t="s">
        <v>19101</v>
      </c>
      <c r="QY1" t="s">
        <v>19102</v>
      </c>
      <c r="QZ1" t="s">
        <v>19103</v>
      </c>
      <c r="RA1" t="s">
        <v>19104</v>
      </c>
      <c r="RB1" t="s">
        <v>19105</v>
      </c>
      <c r="RC1" t="s">
        <v>19106</v>
      </c>
      <c r="RD1" t="s">
        <v>19107</v>
      </c>
      <c r="RE1" t="s">
        <v>19108</v>
      </c>
      <c r="RF1" t="s">
        <v>19109</v>
      </c>
      <c r="RG1" t="s">
        <v>19110</v>
      </c>
      <c r="RH1" t="s">
        <v>19111</v>
      </c>
      <c r="RI1" t="s">
        <v>19112</v>
      </c>
      <c r="RJ1" t="s">
        <v>19113</v>
      </c>
      <c r="RK1" t="s">
        <v>19114</v>
      </c>
      <c r="RL1" t="s">
        <v>19115</v>
      </c>
      <c r="RM1" t="s">
        <v>19116</v>
      </c>
      <c r="RN1" t="s">
        <v>19117</v>
      </c>
      <c r="RO1" t="s">
        <v>19118</v>
      </c>
      <c r="RP1" t="s">
        <v>19119</v>
      </c>
      <c r="RQ1" t="s">
        <v>19120</v>
      </c>
      <c r="RR1" t="s">
        <v>19121</v>
      </c>
      <c r="RS1" t="s">
        <v>19122</v>
      </c>
      <c r="RT1" t="s">
        <v>19123</v>
      </c>
      <c r="RU1" t="s">
        <v>19124</v>
      </c>
      <c r="RV1" t="s">
        <v>19125</v>
      </c>
      <c r="RW1" t="s">
        <v>19126</v>
      </c>
      <c r="RX1" t="s">
        <v>19127</v>
      </c>
      <c r="RY1" t="s">
        <v>19128</v>
      </c>
      <c r="RZ1" t="s">
        <v>19129</v>
      </c>
      <c r="SA1" t="s">
        <v>19130</v>
      </c>
      <c r="SB1" t="s">
        <v>19131</v>
      </c>
      <c r="SC1" t="s">
        <v>19132</v>
      </c>
      <c r="SD1" t="s">
        <v>19133</v>
      </c>
      <c r="SE1" t="s">
        <v>19134</v>
      </c>
      <c r="SF1" t="s">
        <v>19135</v>
      </c>
      <c r="SG1" t="s">
        <v>19136</v>
      </c>
      <c r="SH1" t="s">
        <v>19137</v>
      </c>
      <c r="SI1" t="s">
        <v>19138</v>
      </c>
      <c r="SJ1" t="s">
        <v>19139</v>
      </c>
      <c r="SK1" t="s">
        <v>19140</v>
      </c>
      <c r="SL1" t="s">
        <v>19141</v>
      </c>
      <c r="SM1" t="s">
        <v>19142</v>
      </c>
      <c r="SN1" t="s">
        <v>19143</v>
      </c>
      <c r="SO1" t="s">
        <v>19144</v>
      </c>
      <c r="SP1" t="s">
        <v>19145</v>
      </c>
      <c r="SQ1" t="s">
        <v>19146</v>
      </c>
      <c r="SR1" t="s">
        <v>19147</v>
      </c>
      <c r="SS1" t="s">
        <v>19148</v>
      </c>
      <c r="ST1" t="s">
        <v>19149</v>
      </c>
      <c r="SU1" t="s">
        <v>19150</v>
      </c>
      <c r="SV1" t="s">
        <v>19151</v>
      </c>
      <c r="SW1" t="s">
        <v>19152</v>
      </c>
      <c r="SX1" t="s">
        <v>19153</v>
      </c>
      <c r="SY1" t="s">
        <v>19154</v>
      </c>
      <c r="SZ1" t="s">
        <v>19155</v>
      </c>
      <c r="TA1" t="s">
        <v>19156</v>
      </c>
      <c r="TB1" t="s">
        <v>19157</v>
      </c>
      <c r="TC1" t="s">
        <v>19158</v>
      </c>
      <c r="TD1" t="s">
        <v>19159</v>
      </c>
      <c r="TE1" t="s">
        <v>19160</v>
      </c>
      <c r="TF1" t="s">
        <v>19161</v>
      </c>
      <c r="TG1" t="s">
        <v>19162</v>
      </c>
      <c r="TH1" t="s">
        <v>19163</v>
      </c>
      <c r="TI1" t="s">
        <v>19164</v>
      </c>
      <c r="TJ1" t="s">
        <v>19165</v>
      </c>
      <c r="TK1" t="s">
        <v>19166</v>
      </c>
      <c r="TL1" t="s">
        <v>19167</v>
      </c>
      <c r="TM1" t="s">
        <v>19168</v>
      </c>
      <c r="TN1" t="s">
        <v>19169</v>
      </c>
      <c r="TO1" t="s">
        <v>19170</v>
      </c>
      <c r="TP1" t="s">
        <v>19171</v>
      </c>
      <c r="TQ1" t="s">
        <v>19172</v>
      </c>
      <c r="TR1" t="s">
        <v>19173</v>
      </c>
      <c r="TS1" t="s">
        <v>19174</v>
      </c>
      <c r="TT1" t="s">
        <v>19175</v>
      </c>
      <c r="TU1" t="s">
        <v>19176</v>
      </c>
      <c r="TV1" t="s">
        <v>19177</v>
      </c>
      <c r="TW1" t="s">
        <v>19178</v>
      </c>
      <c r="TX1" t="s">
        <v>19179</v>
      </c>
      <c r="TY1" t="s">
        <v>19180</v>
      </c>
      <c r="TZ1" t="s">
        <v>19181</v>
      </c>
      <c r="UA1" t="s">
        <v>19182</v>
      </c>
      <c r="UB1" t="s">
        <v>19183</v>
      </c>
      <c r="UC1" t="s">
        <v>19184</v>
      </c>
      <c r="UD1" t="s">
        <v>19185</v>
      </c>
      <c r="UE1" t="s">
        <v>19186</v>
      </c>
      <c r="UF1" t="s">
        <v>19187</v>
      </c>
      <c r="UG1" t="s">
        <v>19188</v>
      </c>
      <c r="UH1" t="s">
        <v>19189</v>
      </c>
      <c r="UI1" t="s">
        <v>19190</v>
      </c>
      <c r="UJ1" t="s">
        <v>19191</v>
      </c>
      <c r="UK1" t="s">
        <v>19192</v>
      </c>
      <c r="UL1" t="s">
        <v>19193</v>
      </c>
      <c r="UM1" t="s">
        <v>19194</v>
      </c>
      <c r="UN1" t="s">
        <v>19195</v>
      </c>
      <c r="UO1" t="s">
        <v>19196</v>
      </c>
      <c r="UP1" t="s">
        <v>19197</v>
      </c>
      <c r="UQ1" t="s">
        <v>19198</v>
      </c>
      <c r="UR1" t="s">
        <v>19199</v>
      </c>
      <c r="US1" t="s">
        <v>19200</v>
      </c>
      <c r="UT1" t="s">
        <v>19201</v>
      </c>
      <c r="UU1" t="s">
        <v>19202</v>
      </c>
      <c r="UV1" t="s">
        <v>19203</v>
      </c>
      <c r="UW1" t="s">
        <v>19204</v>
      </c>
      <c r="UX1" t="s">
        <v>19205</v>
      </c>
      <c r="UY1" t="s">
        <v>19206</v>
      </c>
      <c r="UZ1" t="s">
        <v>19207</v>
      </c>
      <c r="VA1" t="s">
        <v>19208</v>
      </c>
      <c r="VB1" t="s">
        <v>19209</v>
      </c>
      <c r="VC1" t="s">
        <v>19210</v>
      </c>
      <c r="VD1" t="s">
        <v>19211</v>
      </c>
      <c r="VE1" t="s">
        <v>19212</v>
      </c>
      <c r="VF1" t="s">
        <v>19213</v>
      </c>
      <c r="VG1" t="s">
        <v>19214</v>
      </c>
      <c r="VH1" t="s">
        <v>19215</v>
      </c>
      <c r="VI1" t="s">
        <v>19216</v>
      </c>
      <c r="VJ1" t="s">
        <v>19217</v>
      </c>
      <c r="VK1" t="s">
        <v>19218</v>
      </c>
      <c r="VL1" t="s">
        <v>19219</v>
      </c>
      <c r="VM1" t="s">
        <v>19220</v>
      </c>
      <c r="VN1" t="s">
        <v>19221</v>
      </c>
      <c r="VO1" t="s">
        <v>19222</v>
      </c>
      <c r="VP1" t="s">
        <v>19223</v>
      </c>
      <c r="VQ1" t="s">
        <v>19224</v>
      </c>
      <c r="VR1" t="s">
        <v>19225</v>
      </c>
      <c r="VS1" t="s">
        <v>19226</v>
      </c>
      <c r="VT1" t="s">
        <v>19227</v>
      </c>
      <c r="VU1" t="s">
        <v>19228</v>
      </c>
      <c r="VV1" t="s">
        <v>19229</v>
      </c>
      <c r="VW1" t="s">
        <v>19230</v>
      </c>
      <c r="VX1" t="s">
        <v>19231</v>
      </c>
      <c r="VY1" t="s">
        <v>19232</v>
      </c>
      <c r="VZ1" t="s">
        <v>19233</v>
      </c>
      <c r="WA1" t="s">
        <v>19234</v>
      </c>
      <c r="WB1" t="s">
        <v>19235</v>
      </c>
      <c r="WC1" t="s">
        <v>19236</v>
      </c>
      <c r="WD1" t="s">
        <v>19237</v>
      </c>
      <c r="WE1" t="s">
        <v>19238</v>
      </c>
      <c r="WF1" t="s">
        <v>19239</v>
      </c>
      <c r="WG1" t="s">
        <v>19240</v>
      </c>
      <c r="WH1" t="s">
        <v>19241</v>
      </c>
      <c r="WI1" t="s">
        <v>19242</v>
      </c>
      <c r="WJ1" t="s">
        <v>19243</v>
      </c>
      <c r="WK1" t="s">
        <v>19244</v>
      </c>
      <c r="WL1" t="s">
        <v>19245</v>
      </c>
      <c r="WM1" t="s">
        <v>19246</v>
      </c>
      <c r="WN1" t="s">
        <v>19247</v>
      </c>
      <c r="WO1" t="s">
        <v>19248</v>
      </c>
      <c r="WP1" t="s">
        <v>19249</v>
      </c>
      <c r="WQ1" t="s">
        <v>19250</v>
      </c>
      <c r="WR1" t="s">
        <v>19251</v>
      </c>
      <c r="WS1" t="s">
        <v>19252</v>
      </c>
      <c r="WT1" t="s">
        <v>19253</v>
      </c>
      <c r="WU1" t="s">
        <v>19254</v>
      </c>
      <c r="WV1" t="s">
        <v>19255</v>
      </c>
      <c r="WW1" t="s">
        <v>19256</v>
      </c>
      <c r="WX1" t="s">
        <v>19257</v>
      </c>
      <c r="WY1" t="s">
        <v>19258</v>
      </c>
      <c r="WZ1" t="s">
        <v>19259</v>
      </c>
      <c r="XA1" t="s">
        <v>19260</v>
      </c>
      <c r="XB1" t="s">
        <v>19261</v>
      </c>
      <c r="XC1" t="s">
        <v>19262</v>
      </c>
      <c r="XD1" t="s">
        <v>19263</v>
      </c>
      <c r="XE1" t="s">
        <v>19264</v>
      </c>
      <c r="XF1" t="s">
        <v>19265</v>
      </c>
      <c r="XG1" t="s">
        <v>19266</v>
      </c>
      <c r="XH1" t="s">
        <v>19267</v>
      </c>
      <c r="XI1" t="s">
        <v>19268</v>
      </c>
      <c r="XJ1" t="s">
        <v>19269</v>
      </c>
      <c r="XK1" t="s">
        <v>19270</v>
      </c>
      <c r="XL1" t="s">
        <v>19271</v>
      </c>
      <c r="XM1" t="s">
        <v>19272</v>
      </c>
      <c r="XN1" t="s">
        <v>19273</v>
      </c>
      <c r="XO1" t="s">
        <v>19274</v>
      </c>
      <c r="XP1" t="s">
        <v>19275</v>
      </c>
      <c r="XQ1" t="s">
        <v>19276</v>
      </c>
      <c r="XR1" t="s">
        <v>19277</v>
      </c>
      <c r="XS1" t="s">
        <v>19278</v>
      </c>
      <c r="XT1" t="s">
        <v>19279</v>
      </c>
      <c r="XU1" t="s">
        <v>19280</v>
      </c>
      <c r="XV1" t="s">
        <v>19281</v>
      </c>
      <c r="XW1" t="s">
        <v>19282</v>
      </c>
      <c r="XX1" t="s">
        <v>19283</v>
      </c>
      <c r="XY1" t="s">
        <v>19284</v>
      </c>
      <c r="XZ1" t="s">
        <v>19285</v>
      </c>
      <c r="YA1" t="s">
        <v>19286</v>
      </c>
      <c r="YB1" t="s">
        <v>19287</v>
      </c>
      <c r="YC1" t="s">
        <v>19288</v>
      </c>
      <c r="YD1" t="s">
        <v>19289</v>
      </c>
      <c r="YE1" t="s">
        <v>19290</v>
      </c>
      <c r="YF1" t="s">
        <v>19291</v>
      </c>
      <c r="YG1" t="s">
        <v>19292</v>
      </c>
      <c r="YH1" t="s">
        <v>19293</v>
      </c>
      <c r="YI1" t="s">
        <v>19294</v>
      </c>
      <c r="YJ1" t="s">
        <v>19295</v>
      </c>
      <c r="YK1" t="s">
        <v>19296</v>
      </c>
      <c r="YL1" t="s">
        <v>19297</v>
      </c>
      <c r="YM1" t="s">
        <v>19298</v>
      </c>
      <c r="YN1" t="s">
        <v>19299</v>
      </c>
      <c r="YO1" t="s">
        <v>19300</v>
      </c>
      <c r="YP1" t="s">
        <v>19301</v>
      </c>
      <c r="YQ1" t="s">
        <v>19302</v>
      </c>
      <c r="YR1" t="s">
        <v>19303</v>
      </c>
      <c r="YS1" t="s">
        <v>19304</v>
      </c>
      <c r="YT1" t="s">
        <v>19305</v>
      </c>
      <c r="YU1" t="s">
        <v>19306</v>
      </c>
      <c r="YV1" t="s">
        <v>19307</v>
      </c>
      <c r="YW1" t="s">
        <v>19308</v>
      </c>
      <c r="YX1" t="s">
        <v>19309</v>
      </c>
      <c r="YY1" t="s">
        <v>19310</v>
      </c>
      <c r="YZ1" t="s">
        <v>19311</v>
      </c>
      <c r="ZA1" t="s">
        <v>19312</v>
      </c>
      <c r="ZB1" t="s">
        <v>19313</v>
      </c>
      <c r="ZC1" t="s">
        <v>19314</v>
      </c>
      <c r="ZD1" t="s">
        <v>19315</v>
      </c>
      <c r="ZE1" t="s">
        <v>19316</v>
      </c>
      <c r="ZF1" t="s">
        <v>19317</v>
      </c>
      <c r="ZG1" t="s">
        <v>19318</v>
      </c>
      <c r="ZH1" t="s">
        <v>19319</v>
      </c>
      <c r="ZI1" t="s">
        <v>19320</v>
      </c>
      <c r="ZJ1" t="s">
        <v>19321</v>
      </c>
      <c r="ZK1" t="s">
        <v>19322</v>
      </c>
      <c r="ZL1" t="s">
        <v>19323</v>
      </c>
      <c r="ZM1" t="s">
        <v>19324</v>
      </c>
      <c r="ZN1" t="s">
        <v>19325</v>
      </c>
      <c r="ZO1" t="s">
        <v>19326</v>
      </c>
      <c r="ZP1" t="s">
        <v>19327</v>
      </c>
      <c r="ZQ1" t="s">
        <v>19328</v>
      </c>
      <c r="ZR1" t="s">
        <v>19329</v>
      </c>
      <c r="ZS1" t="s">
        <v>19330</v>
      </c>
      <c r="ZT1" t="s">
        <v>19331</v>
      </c>
      <c r="ZU1" t="s">
        <v>19332</v>
      </c>
      <c r="ZV1" t="s">
        <v>19333</v>
      </c>
      <c r="ZW1" t="s">
        <v>19334</v>
      </c>
      <c r="ZX1" t="s">
        <v>19335</v>
      </c>
      <c r="ZY1" t="s">
        <v>19336</v>
      </c>
      <c r="ZZ1" t="s">
        <v>19337</v>
      </c>
      <c r="AAA1" t="s">
        <v>19338</v>
      </c>
      <c r="AAB1" t="s">
        <v>19339</v>
      </c>
      <c r="AAC1" t="s">
        <v>19340</v>
      </c>
      <c r="AAD1" t="s">
        <v>19341</v>
      </c>
      <c r="AAE1" t="s">
        <v>19342</v>
      </c>
      <c r="AAF1" t="s">
        <v>19343</v>
      </c>
      <c r="AAG1" t="s">
        <v>19344</v>
      </c>
      <c r="AAH1" t="s">
        <v>19345</v>
      </c>
      <c r="AAI1" t="s">
        <v>19346</v>
      </c>
      <c r="AAJ1" t="s">
        <v>19347</v>
      </c>
      <c r="AAK1" t="s">
        <v>19348</v>
      </c>
      <c r="AAL1" t="s">
        <v>19349</v>
      </c>
      <c r="AAM1" t="s">
        <v>19350</v>
      </c>
      <c r="AAN1" t="s">
        <v>19351</v>
      </c>
      <c r="AAO1" t="s">
        <v>19352</v>
      </c>
      <c r="AAP1" t="s">
        <v>19353</v>
      </c>
      <c r="AAQ1" t="s">
        <v>19354</v>
      </c>
      <c r="AAR1" t="s">
        <v>19355</v>
      </c>
      <c r="AAS1" t="s">
        <v>19356</v>
      </c>
      <c r="AAT1" t="s">
        <v>19357</v>
      </c>
      <c r="AAU1" t="s">
        <v>19358</v>
      </c>
      <c r="AAV1" t="s">
        <v>19359</v>
      </c>
      <c r="AAW1" t="s">
        <v>19360</v>
      </c>
      <c r="AAX1" t="s">
        <v>19361</v>
      </c>
      <c r="AAY1" t="s">
        <v>19362</v>
      </c>
      <c r="AAZ1" t="s">
        <v>19363</v>
      </c>
      <c r="ABA1" t="s">
        <v>19364</v>
      </c>
      <c r="ABB1" t="s">
        <v>19365</v>
      </c>
      <c r="ABC1" t="s">
        <v>19366</v>
      </c>
      <c r="ABD1" t="s">
        <v>19367</v>
      </c>
      <c r="ABE1" t="s">
        <v>19368</v>
      </c>
      <c r="ABF1" t="s">
        <v>19369</v>
      </c>
      <c r="ABG1" t="s">
        <v>19370</v>
      </c>
      <c r="ABH1" t="s">
        <v>19371</v>
      </c>
      <c r="ABI1" t="s">
        <v>19372</v>
      </c>
      <c r="ABJ1" t="s">
        <v>19373</v>
      </c>
      <c r="ABK1" t="s">
        <v>19374</v>
      </c>
      <c r="ABL1" t="s">
        <v>19375</v>
      </c>
      <c r="ABM1" t="s">
        <v>19376</v>
      </c>
      <c r="ABN1" t="s">
        <v>19377</v>
      </c>
      <c r="ABO1" t="s">
        <v>19378</v>
      </c>
      <c r="ABP1" t="s">
        <v>19379</v>
      </c>
      <c r="ABQ1" t="s">
        <v>19380</v>
      </c>
      <c r="ABR1" t="s">
        <v>19381</v>
      </c>
      <c r="ABS1" t="s">
        <v>19382</v>
      </c>
      <c r="ABT1" t="s">
        <v>19383</v>
      </c>
      <c r="ABU1" t="s">
        <v>19384</v>
      </c>
      <c r="ABV1" t="s">
        <v>19385</v>
      </c>
      <c r="ABW1" t="s">
        <v>19386</v>
      </c>
      <c r="ABX1" t="s">
        <v>19387</v>
      </c>
      <c r="ABY1" t="s">
        <v>19388</v>
      </c>
      <c r="ABZ1" t="s">
        <v>19389</v>
      </c>
      <c r="ACA1" t="s">
        <v>19390</v>
      </c>
      <c r="ACB1" t="s">
        <v>19391</v>
      </c>
      <c r="ACC1" t="s">
        <v>19392</v>
      </c>
      <c r="ACD1" t="s">
        <v>19393</v>
      </c>
      <c r="ACE1" t="s">
        <v>19394</v>
      </c>
      <c r="ACF1" t="s">
        <v>19395</v>
      </c>
      <c r="ACG1" t="s">
        <v>19396</v>
      </c>
      <c r="ACH1" t="s">
        <v>19397</v>
      </c>
      <c r="ACI1" t="s">
        <v>19398</v>
      </c>
      <c r="ACJ1" t="s">
        <v>19399</v>
      </c>
      <c r="ACK1" t="s">
        <v>19400</v>
      </c>
      <c r="ACL1" t="s">
        <v>19401</v>
      </c>
      <c r="ACM1" t="s">
        <v>19402</v>
      </c>
      <c r="ACN1" t="s">
        <v>19403</v>
      </c>
      <c r="ACO1" t="s">
        <v>19404</v>
      </c>
      <c r="ACP1" t="s">
        <v>19405</v>
      </c>
      <c r="ACQ1" t="s">
        <v>19406</v>
      </c>
      <c r="ACR1" t="s">
        <v>19407</v>
      </c>
      <c r="ACS1" t="s">
        <v>19408</v>
      </c>
      <c r="ACT1" t="s">
        <v>19409</v>
      </c>
      <c r="ACU1" t="s">
        <v>19410</v>
      </c>
      <c r="ACV1" t="s">
        <v>19411</v>
      </c>
      <c r="ACW1" t="s">
        <v>19412</v>
      </c>
      <c r="ACX1" t="s">
        <v>19413</v>
      </c>
      <c r="ACY1" t="s">
        <v>19414</v>
      </c>
      <c r="ACZ1" t="s">
        <v>19415</v>
      </c>
      <c r="ADA1" t="s">
        <v>19416</v>
      </c>
      <c r="ADB1" t="s">
        <v>19417</v>
      </c>
      <c r="ADC1" t="s">
        <v>19418</v>
      </c>
      <c r="ADD1" t="s">
        <v>19419</v>
      </c>
      <c r="ADE1" t="s">
        <v>19420</v>
      </c>
      <c r="ADF1" t="s">
        <v>19421</v>
      </c>
      <c r="ADG1" t="s">
        <v>19422</v>
      </c>
      <c r="ADH1" t="s">
        <v>19423</v>
      </c>
      <c r="ADI1" t="s">
        <v>19424</v>
      </c>
      <c r="ADJ1" t="s">
        <v>19425</v>
      </c>
      <c r="ADK1" t="s">
        <v>19426</v>
      </c>
      <c r="ADL1" t="s">
        <v>19427</v>
      </c>
      <c r="ADM1" t="s">
        <v>19428</v>
      </c>
      <c r="ADN1" t="s">
        <v>19429</v>
      </c>
      <c r="ADO1" t="s">
        <v>19430</v>
      </c>
      <c r="ADP1" t="s">
        <v>19431</v>
      </c>
      <c r="ADQ1" t="s">
        <v>19432</v>
      </c>
      <c r="ADR1" t="s">
        <v>19433</v>
      </c>
      <c r="ADS1" t="s">
        <v>19434</v>
      </c>
      <c r="ADT1" t="s">
        <v>19435</v>
      </c>
      <c r="ADU1" t="s">
        <v>19436</v>
      </c>
      <c r="ADV1" t="s">
        <v>19437</v>
      </c>
      <c r="ADW1" t="s">
        <v>19438</v>
      </c>
      <c r="ADX1" t="s">
        <v>19439</v>
      </c>
      <c r="ADY1" t="s">
        <v>19440</v>
      </c>
      <c r="ADZ1" t="s">
        <v>19441</v>
      </c>
      <c r="AEA1" t="s">
        <v>19442</v>
      </c>
      <c r="AEB1" t="s">
        <v>19443</v>
      </c>
      <c r="AEC1" t="s">
        <v>19444</v>
      </c>
      <c r="AED1" t="s">
        <v>19445</v>
      </c>
      <c r="AEE1" t="s">
        <v>19446</v>
      </c>
      <c r="AEF1" t="s">
        <v>19447</v>
      </c>
      <c r="AEG1" t="s">
        <v>19448</v>
      </c>
      <c r="AEH1" t="s">
        <v>19449</v>
      </c>
      <c r="AEI1" t="s">
        <v>19450</v>
      </c>
      <c r="AEJ1" t="s">
        <v>19451</v>
      </c>
      <c r="AEK1" t="s">
        <v>19452</v>
      </c>
      <c r="AEL1" t="s">
        <v>19453</v>
      </c>
      <c r="AEM1" t="s">
        <v>19454</v>
      </c>
      <c r="AEN1" t="s">
        <v>19455</v>
      </c>
      <c r="AEO1" t="s">
        <v>19456</v>
      </c>
      <c r="AEP1" t="s">
        <v>19457</v>
      </c>
      <c r="AEQ1" t="s">
        <v>19458</v>
      </c>
      <c r="AER1" t="s">
        <v>19459</v>
      </c>
      <c r="AES1" t="s">
        <v>19460</v>
      </c>
      <c r="AET1" t="s">
        <v>19461</v>
      </c>
      <c r="AEU1" t="s">
        <v>19462</v>
      </c>
      <c r="AEV1" t="s">
        <v>19463</v>
      </c>
      <c r="AEW1" t="s">
        <v>19464</v>
      </c>
      <c r="AEX1" t="s">
        <v>19465</v>
      </c>
      <c r="AEY1" t="s">
        <v>19466</v>
      </c>
      <c r="AEZ1" t="s">
        <v>19467</v>
      </c>
      <c r="AFA1" t="s">
        <v>19468</v>
      </c>
      <c r="AFB1" t="s">
        <v>19469</v>
      </c>
      <c r="AFC1" t="s">
        <v>19470</v>
      </c>
      <c r="AFD1" t="s">
        <v>19471</v>
      </c>
      <c r="AFE1" t="s">
        <v>19472</v>
      </c>
      <c r="AFF1" t="s">
        <v>19473</v>
      </c>
      <c r="AFG1" t="s">
        <v>19474</v>
      </c>
      <c r="AFH1" t="s">
        <v>19475</v>
      </c>
      <c r="AFI1" t="s">
        <v>19476</v>
      </c>
      <c r="AFJ1" t="s">
        <v>19477</v>
      </c>
      <c r="AFK1" t="s">
        <v>19478</v>
      </c>
      <c r="AFL1" t="s">
        <v>19479</v>
      </c>
      <c r="AFM1" t="s">
        <v>19480</v>
      </c>
      <c r="AFN1" t="s">
        <v>19481</v>
      </c>
      <c r="AFO1" t="s">
        <v>19482</v>
      </c>
      <c r="AFP1" t="s">
        <v>19483</v>
      </c>
      <c r="AFQ1" t="s">
        <v>19484</v>
      </c>
      <c r="AFR1" t="s">
        <v>19485</v>
      </c>
      <c r="AFS1" t="s">
        <v>19486</v>
      </c>
      <c r="AFT1" t="s">
        <v>19487</v>
      </c>
      <c r="AFU1" t="s">
        <v>19488</v>
      </c>
      <c r="AFV1" t="s">
        <v>19489</v>
      </c>
      <c r="AFW1" t="s">
        <v>19490</v>
      </c>
      <c r="AFX1" t="s">
        <v>19491</v>
      </c>
      <c r="AFY1" t="s">
        <v>19492</v>
      </c>
      <c r="AFZ1" t="s">
        <v>19493</v>
      </c>
      <c r="AGA1" t="s">
        <v>19494</v>
      </c>
      <c r="AGB1" t="s">
        <v>19495</v>
      </c>
      <c r="AGC1" t="s">
        <v>19496</v>
      </c>
      <c r="AGD1" t="s">
        <v>19497</v>
      </c>
      <c r="AGE1" t="s">
        <v>19498</v>
      </c>
      <c r="AGF1" t="s">
        <v>19499</v>
      </c>
      <c r="AGG1" t="s">
        <v>19500</v>
      </c>
      <c r="AGH1" t="s">
        <v>19501</v>
      </c>
      <c r="AGI1" t="s">
        <v>19502</v>
      </c>
      <c r="AGJ1" t="s">
        <v>19503</v>
      </c>
      <c r="AGK1" t="s">
        <v>19504</v>
      </c>
      <c r="AGL1" t="s">
        <v>19505</v>
      </c>
      <c r="AGM1" t="s">
        <v>19506</v>
      </c>
      <c r="AGN1" t="s">
        <v>19507</v>
      </c>
      <c r="AGO1" t="s">
        <v>19508</v>
      </c>
      <c r="AGP1" t="s">
        <v>19509</v>
      </c>
      <c r="AGQ1" t="s">
        <v>19510</v>
      </c>
      <c r="AGR1" t="s">
        <v>19511</v>
      </c>
      <c r="AGS1" t="s">
        <v>19512</v>
      </c>
      <c r="AGT1" t="s">
        <v>19513</v>
      </c>
      <c r="AGU1" t="s">
        <v>19514</v>
      </c>
      <c r="AGV1" t="s">
        <v>19515</v>
      </c>
      <c r="AGW1" t="s">
        <v>19516</v>
      </c>
      <c r="AGX1" t="s">
        <v>19517</v>
      </c>
      <c r="AGY1" t="s">
        <v>19518</v>
      </c>
      <c r="AGZ1" t="s">
        <v>19519</v>
      </c>
      <c r="AHA1" t="s">
        <v>19520</v>
      </c>
      <c r="AHB1" t="s">
        <v>19521</v>
      </c>
      <c r="AHC1" t="s">
        <v>19522</v>
      </c>
      <c r="AHD1" t="s">
        <v>19523</v>
      </c>
      <c r="AHE1" t="s">
        <v>19524</v>
      </c>
      <c r="AHF1" t="s">
        <v>19525</v>
      </c>
      <c r="AHG1" t="s">
        <v>19526</v>
      </c>
      <c r="AHH1" t="s">
        <v>19527</v>
      </c>
      <c r="AHI1" t="s">
        <v>19528</v>
      </c>
      <c r="AHJ1" t="s">
        <v>19529</v>
      </c>
      <c r="AHK1" t="s">
        <v>19530</v>
      </c>
      <c r="AHL1" t="s">
        <v>19531</v>
      </c>
      <c r="AHM1" t="s">
        <v>19532</v>
      </c>
      <c r="AHN1" t="s">
        <v>19533</v>
      </c>
      <c r="AHO1" t="s">
        <v>19534</v>
      </c>
      <c r="AHP1" t="s">
        <v>19535</v>
      </c>
      <c r="AHQ1" t="s">
        <v>19536</v>
      </c>
      <c r="AHR1" t="s">
        <v>19537</v>
      </c>
      <c r="AHS1" t="s">
        <v>19538</v>
      </c>
      <c r="AHT1" t="s">
        <v>19539</v>
      </c>
      <c r="AHU1" t="s">
        <v>19540</v>
      </c>
      <c r="AHV1" t="s">
        <v>19541</v>
      </c>
      <c r="AHW1" t="s">
        <v>19542</v>
      </c>
      <c r="AHX1" t="s">
        <v>19543</v>
      </c>
      <c r="AHY1" t="s">
        <v>19544</v>
      </c>
      <c r="AHZ1" t="s">
        <v>19545</v>
      </c>
      <c r="AIA1" t="s">
        <v>19546</v>
      </c>
      <c r="AIB1" t="s">
        <v>19547</v>
      </c>
      <c r="AIC1" t="s">
        <v>19548</v>
      </c>
      <c r="AID1" t="s">
        <v>19549</v>
      </c>
      <c r="AIE1" t="s">
        <v>19550</v>
      </c>
      <c r="AIF1" t="s">
        <v>19551</v>
      </c>
      <c r="AIG1" t="s">
        <v>19552</v>
      </c>
      <c r="AIH1" t="s">
        <v>19553</v>
      </c>
      <c r="AII1" t="s">
        <v>19554</v>
      </c>
      <c r="AIJ1" t="s">
        <v>19555</v>
      </c>
      <c r="AIK1" t="s">
        <v>19556</v>
      </c>
      <c r="AIL1" t="s">
        <v>19557</v>
      </c>
      <c r="AIM1" t="s">
        <v>19558</v>
      </c>
      <c r="AIN1" t="s">
        <v>19559</v>
      </c>
      <c r="AIO1" t="s">
        <v>19560</v>
      </c>
      <c r="AIP1" t="s">
        <v>19561</v>
      </c>
      <c r="AIQ1" t="s">
        <v>19562</v>
      </c>
      <c r="AIR1" t="s">
        <v>19563</v>
      </c>
      <c r="AIS1" t="s">
        <v>19564</v>
      </c>
      <c r="AIT1" t="s">
        <v>19565</v>
      </c>
      <c r="AIU1" t="s">
        <v>19566</v>
      </c>
      <c r="AIV1" t="s">
        <v>19567</v>
      </c>
      <c r="AIW1" t="s">
        <v>19568</v>
      </c>
      <c r="AIX1" t="s">
        <v>19569</v>
      </c>
      <c r="AIY1" t="s">
        <v>19570</v>
      </c>
      <c r="AIZ1" t="s">
        <v>19571</v>
      </c>
      <c r="AJA1" t="s">
        <v>19572</v>
      </c>
      <c r="AJB1" t="s">
        <v>19573</v>
      </c>
      <c r="AJC1" t="s">
        <v>19574</v>
      </c>
      <c r="AJD1" t="s">
        <v>19575</v>
      </c>
      <c r="AJE1" t="s">
        <v>19576</v>
      </c>
      <c r="AJF1" t="s">
        <v>19577</v>
      </c>
      <c r="AJG1" t="s">
        <v>19578</v>
      </c>
      <c r="AJH1" t="s">
        <v>19579</v>
      </c>
      <c r="AJI1" t="s">
        <v>19580</v>
      </c>
      <c r="AJJ1" t="s">
        <v>19581</v>
      </c>
      <c r="AJK1" t="s">
        <v>19582</v>
      </c>
      <c r="AJL1" t="s">
        <v>19583</v>
      </c>
      <c r="AJM1" t="s">
        <v>19584</v>
      </c>
      <c r="AJN1" t="s">
        <v>19585</v>
      </c>
      <c r="AJO1" t="s">
        <v>19586</v>
      </c>
      <c r="AJP1" t="s">
        <v>19587</v>
      </c>
      <c r="AJQ1" t="s">
        <v>19588</v>
      </c>
      <c r="AJR1" t="s">
        <v>19589</v>
      </c>
      <c r="AJS1" t="s">
        <v>19590</v>
      </c>
      <c r="AJT1" t="s">
        <v>19591</v>
      </c>
      <c r="AJU1" t="s">
        <v>19592</v>
      </c>
      <c r="AJV1" t="s">
        <v>19593</v>
      </c>
      <c r="AJW1" t="s">
        <v>19594</v>
      </c>
      <c r="AJX1" t="s">
        <v>19595</v>
      </c>
      <c r="AJY1" t="s">
        <v>19596</v>
      </c>
      <c r="AJZ1" t="s">
        <v>19597</v>
      </c>
      <c r="AKA1" t="s">
        <v>19598</v>
      </c>
      <c r="AKB1" t="s">
        <v>19599</v>
      </c>
      <c r="AKC1" t="s">
        <v>19600</v>
      </c>
      <c r="AKD1" t="s">
        <v>19601</v>
      </c>
      <c r="AKE1" t="s">
        <v>19602</v>
      </c>
      <c r="AKF1" t="s">
        <v>19603</v>
      </c>
      <c r="AKG1" t="s">
        <v>19604</v>
      </c>
      <c r="AKH1" t="s">
        <v>19605</v>
      </c>
      <c r="AKI1" t="s">
        <v>19606</v>
      </c>
      <c r="AKJ1" t="s">
        <v>19607</v>
      </c>
      <c r="AKK1" t="s">
        <v>19608</v>
      </c>
      <c r="AKL1" t="s">
        <v>19609</v>
      </c>
      <c r="AKM1" t="s">
        <v>19610</v>
      </c>
      <c r="AKN1" t="s">
        <v>19611</v>
      </c>
      <c r="AKO1" t="s">
        <v>19612</v>
      </c>
      <c r="AKP1" t="s">
        <v>19613</v>
      </c>
      <c r="AKQ1" t="s">
        <v>19614</v>
      </c>
      <c r="AKR1" t="s">
        <v>19615</v>
      </c>
      <c r="AKS1" t="s">
        <v>19616</v>
      </c>
      <c r="AKT1" t="s">
        <v>19617</v>
      </c>
      <c r="AKU1" t="s">
        <v>19618</v>
      </c>
      <c r="AKV1" t="s">
        <v>19619</v>
      </c>
      <c r="AKW1" t="s">
        <v>19620</v>
      </c>
      <c r="AKX1" t="s">
        <v>19621</v>
      </c>
      <c r="AKY1" t="s">
        <v>19622</v>
      </c>
      <c r="AKZ1" t="s">
        <v>19623</v>
      </c>
      <c r="ALA1" t="s">
        <v>19624</v>
      </c>
      <c r="ALB1" t="s">
        <v>19625</v>
      </c>
      <c r="ALC1" t="s">
        <v>19626</v>
      </c>
      <c r="ALD1" t="s">
        <v>19627</v>
      </c>
      <c r="ALE1" t="s">
        <v>19628</v>
      </c>
      <c r="ALF1" t="s">
        <v>19629</v>
      </c>
      <c r="ALG1" t="s">
        <v>19630</v>
      </c>
      <c r="ALH1" t="s">
        <v>19631</v>
      </c>
      <c r="ALI1" t="s">
        <v>19632</v>
      </c>
      <c r="ALJ1" t="s">
        <v>19633</v>
      </c>
      <c r="ALK1" t="s">
        <v>19634</v>
      </c>
      <c r="ALL1" t="s">
        <v>19635</v>
      </c>
      <c r="ALM1" t="s">
        <v>19636</v>
      </c>
      <c r="ALN1" t="s">
        <v>19637</v>
      </c>
      <c r="ALO1" t="s">
        <v>19638</v>
      </c>
      <c r="ALP1" t="s">
        <v>19639</v>
      </c>
      <c r="ALQ1" t="s">
        <v>19640</v>
      </c>
      <c r="ALR1" t="s">
        <v>19641</v>
      </c>
      <c r="ALS1" t="s">
        <v>19642</v>
      </c>
      <c r="ALT1" t="s">
        <v>19643</v>
      </c>
      <c r="ALU1" t="s">
        <v>19644</v>
      </c>
      <c r="ALV1" t="s">
        <v>19645</v>
      </c>
      <c r="ALW1" t="s">
        <v>19646</v>
      </c>
      <c r="ALX1" t="s">
        <v>19647</v>
      </c>
      <c r="ALY1" t="s">
        <v>19648</v>
      </c>
      <c r="ALZ1" t="s">
        <v>19649</v>
      </c>
      <c r="AMA1" t="s">
        <v>19650</v>
      </c>
      <c r="AMB1" t="s">
        <v>19651</v>
      </c>
      <c r="AMC1" t="s">
        <v>19652</v>
      </c>
      <c r="AMD1" t="s">
        <v>19653</v>
      </c>
      <c r="AME1" t="s">
        <v>19654</v>
      </c>
      <c r="AMF1" t="s">
        <v>19655</v>
      </c>
      <c r="AMG1" t="s">
        <v>19656</v>
      </c>
      <c r="AMH1" t="s">
        <v>19657</v>
      </c>
      <c r="AMI1" t="s">
        <v>19658</v>
      </c>
      <c r="AMJ1" t="s">
        <v>19659</v>
      </c>
      <c r="AMK1" t="s">
        <v>19660</v>
      </c>
      <c r="AML1" t="s">
        <v>19661</v>
      </c>
      <c r="AMM1" t="s">
        <v>19662</v>
      </c>
      <c r="AMN1" t="s">
        <v>19663</v>
      </c>
      <c r="AMO1" t="s">
        <v>19664</v>
      </c>
      <c r="AMP1" t="s">
        <v>19665</v>
      </c>
      <c r="AMQ1" t="s">
        <v>19666</v>
      </c>
      <c r="AMR1" t="s">
        <v>19667</v>
      </c>
      <c r="AMS1" t="s">
        <v>19668</v>
      </c>
      <c r="AMT1" t="s">
        <v>19669</v>
      </c>
      <c r="AMU1" t="s">
        <v>19670</v>
      </c>
      <c r="AMV1" t="s">
        <v>19671</v>
      </c>
      <c r="AMW1" t="s">
        <v>19672</v>
      </c>
      <c r="AMX1" t="s">
        <v>19673</v>
      </c>
      <c r="AMY1" t="s">
        <v>19674</v>
      </c>
      <c r="AMZ1" t="s">
        <v>19675</v>
      </c>
      <c r="ANA1" t="s">
        <v>19676</v>
      </c>
      <c r="ANB1" t="s">
        <v>19677</v>
      </c>
      <c r="ANC1" t="s">
        <v>19678</v>
      </c>
      <c r="AND1" t="s">
        <v>19679</v>
      </c>
      <c r="ANE1" t="s">
        <v>19680</v>
      </c>
      <c r="ANF1" t="s">
        <v>19681</v>
      </c>
      <c r="ANG1" t="s">
        <v>19682</v>
      </c>
      <c r="ANH1" t="s">
        <v>19683</v>
      </c>
      <c r="ANI1" t="s">
        <v>19684</v>
      </c>
      <c r="ANJ1" t="s">
        <v>19685</v>
      </c>
      <c r="ANK1" t="s">
        <v>19686</v>
      </c>
      <c r="ANL1" t="s">
        <v>19687</v>
      </c>
      <c r="ANM1" t="s">
        <v>19688</v>
      </c>
      <c r="ANN1" t="s">
        <v>19689</v>
      </c>
      <c r="ANO1" t="s">
        <v>19690</v>
      </c>
      <c r="ANP1" t="s">
        <v>19691</v>
      </c>
      <c r="ANQ1" t="s">
        <v>19692</v>
      </c>
      <c r="ANR1" t="s">
        <v>19693</v>
      </c>
      <c r="ANS1" t="s">
        <v>19694</v>
      </c>
      <c r="ANT1" t="s">
        <v>19695</v>
      </c>
      <c r="ANU1" t="s">
        <v>19696</v>
      </c>
      <c r="ANV1" t="s">
        <v>19697</v>
      </c>
      <c r="ANW1" t="s">
        <v>19698</v>
      </c>
      <c r="ANX1" t="s">
        <v>19699</v>
      </c>
      <c r="ANY1" t="s">
        <v>19700</v>
      </c>
      <c r="ANZ1" t="s">
        <v>19701</v>
      </c>
      <c r="AOA1" t="s">
        <v>19702</v>
      </c>
      <c r="AOB1" t="s">
        <v>19703</v>
      </c>
      <c r="AOC1" t="s">
        <v>19704</v>
      </c>
      <c r="AOD1" t="s">
        <v>19705</v>
      </c>
      <c r="AOE1" t="s">
        <v>19706</v>
      </c>
      <c r="AOF1" t="s">
        <v>19707</v>
      </c>
      <c r="AOG1" t="s">
        <v>19708</v>
      </c>
      <c r="AOH1" t="s">
        <v>19709</v>
      </c>
      <c r="AOI1" t="s">
        <v>19710</v>
      </c>
      <c r="AOJ1" t="s">
        <v>19711</v>
      </c>
      <c r="AOK1" t="s">
        <v>19712</v>
      </c>
      <c r="AOL1" t="s">
        <v>19713</v>
      </c>
      <c r="AOM1" t="s">
        <v>19714</v>
      </c>
      <c r="AON1" t="s">
        <v>19715</v>
      </c>
      <c r="AOO1" t="s">
        <v>19716</v>
      </c>
      <c r="AOP1" t="s">
        <v>19717</v>
      </c>
      <c r="AOQ1" t="s">
        <v>19718</v>
      </c>
      <c r="AOR1" t="s">
        <v>19719</v>
      </c>
      <c r="AOS1" t="s">
        <v>19720</v>
      </c>
      <c r="AOT1" t="s">
        <v>19721</v>
      </c>
      <c r="AOU1" t="s">
        <v>19722</v>
      </c>
      <c r="AOV1" t="s">
        <v>19723</v>
      </c>
      <c r="AOW1" t="s">
        <v>19724</v>
      </c>
      <c r="AOX1" t="s">
        <v>19725</v>
      </c>
      <c r="AOY1" t="s">
        <v>19726</v>
      </c>
      <c r="AOZ1" t="s">
        <v>19727</v>
      </c>
      <c r="APA1" t="s">
        <v>19728</v>
      </c>
      <c r="APB1" t="s">
        <v>19729</v>
      </c>
      <c r="APC1" t="s">
        <v>19730</v>
      </c>
      <c r="APD1" t="s">
        <v>19731</v>
      </c>
      <c r="APE1" t="s">
        <v>19732</v>
      </c>
      <c r="APF1" t="s">
        <v>19733</v>
      </c>
      <c r="APG1" t="s">
        <v>19734</v>
      </c>
      <c r="APH1" t="s">
        <v>19735</v>
      </c>
      <c r="API1" t="s">
        <v>19736</v>
      </c>
      <c r="APJ1" t="s">
        <v>19737</v>
      </c>
      <c r="APK1" t="s">
        <v>19738</v>
      </c>
      <c r="APL1" t="s">
        <v>19739</v>
      </c>
      <c r="APM1" t="s">
        <v>19740</v>
      </c>
      <c r="APN1" t="s">
        <v>19741</v>
      </c>
      <c r="APO1" t="s">
        <v>19742</v>
      </c>
      <c r="APP1" t="s">
        <v>19743</v>
      </c>
      <c r="APQ1" t="s">
        <v>19744</v>
      </c>
      <c r="APR1" t="s">
        <v>19745</v>
      </c>
      <c r="APS1" t="s">
        <v>19746</v>
      </c>
      <c r="APT1" t="s">
        <v>19747</v>
      </c>
      <c r="APU1" t="s">
        <v>19748</v>
      </c>
      <c r="APV1" t="s">
        <v>19749</v>
      </c>
      <c r="APW1" t="s">
        <v>19750</v>
      </c>
      <c r="APX1" t="s">
        <v>19751</v>
      </c>
      <c r="APY1" t="s">
        <v>19752</v>
      </c>
      <c r="APZ1" t="s">
        <v>19753</v>
      </c>
      <c r="AQA1" t="s">
        <v>19754</v>
      </c>
      <c r="AQB1" t="s">
        <v>19755</v>
      </c>
      <c r="AQC1" t="s">
        <v>19756</v>
      </c>
      <c r="AQD1" t="s">
        <v>19757</v>
      </c>
      <c r="AQE1" t="s">
        <v>19758</v>
      </c>
      <c r="AQF1" t="s">
        <v>19759</v>
      </c>
      <c r="AQG1" t="s">
        <v>19760</v>
      </c>
      <c r="AQH1" t="s">
        <v>19761</v>
      </c>
      <c r="AQI1" t="s">
        <v>19762</v>
      </c>
    </row>
    <row r="2" spans="1:1127" x14ac:dyDescent="0.25">
      <c r="A2" t="s">
        <v>17819</v>
      </c>
      <c r="B2" t="s">
        <v>1861</v>
      </c>
      <c r="C2" t="s">
        <v>18688</v>
      </c>
      <c r="D2" t="s">
        <v>1861</v>
      </c>
      <c r="E2" t="s">
        <v>18689</v>
      </c>
      <c r="F2" t="s">
        <v>18690</v>
      </c>
      <c r="G2" t="s">
        <v>18691</v>
      </c>
      <c r="H2" t="s">
        <v>18692</v>
      </c>
      <c r="I2" t="s">
        <v>18693</v>
      </c>
      <c r="J2" t="s">
        <v>18694</v>
      </c>
      <c r="K2" t="s">
        <v>18695</v>
      </c>
      <c r="L2" t="s">
        <v>18696</v>
      </c>
      <c r="M2" t="s">
        <v>18697</v>
      </c>
      <c r="N2" t="s">
        <v>18698</v>
      </c>
      <c r="O2" t="s">
        <v>18699</v>
      </c>
      <c r="P2" t="s">
        <v>18700</v>
      </c>
      <c r="Q2">
        <v>2024</v>
      </c>
      <c r="R2" t="s">
        <v>17820</v>
      </c>
      <c r="S2" t="s">
        <v>298</v>
      </c>
      <c r="T2">
        <v>4</v>
      </c>
      <c r="U2">
        <v>2024</v>
      </c>
      <c r="V2" t="s">
        <v>17821</v>
      </c>
      <c r="W2" t="s">
        <v>17822</v>
      </c>
      <c r="X2">
        <v>3.8</v>
      </c>
      <c r="Y2">
        <v>2024</v>
      </c>
      <c r="Z2" t="s">
        <v>17823</v>
      </c>
      <c r="AA2" t="s">
        <v>17824</v>
      </c>
      <c r="AB2">
        <v>4</v>
      </c>
      <c r="AC2">
        <v>2024</v>
      </c>
      <c r="AD2" t="s">
        <v>17825</v>
      </c>
      <c r="AE2" t="s">
        <v>17826</v>
      </c>
      <c r="AF2">
        <v>3.9</v>
      </c>
      <c r="AG2">
        <v>2024</v>
      </c>
      <c r="AH2" t="s">
        <v>17827</v>
      </c>
      <c r="AI2" t="s">
        <v>17828</v>
      </c>
      <c r="AJ2">
        <v>3.9</v>
      </c>
      <c r="AK2">
        <v>2024</v>
      </c>
      <c r="AL2" t="s">
        <v>17829</v>
      </c>
      <c r="AM2" t="s">
        <v>17830</v>
      </c>
      <c r="AN2">
        <v>4.4000000000000004</v>
      </c>
      <c r="AO2">
        <v>2024</v>
      </c>
      <c r="AP2" t="s">
        <v>17831</v>
      </c>
      <c r="AQ2" t="s">
        <v>17832</v>
      </c>
      <c r="AR2">
        <v>4.5</v>
      </c>
      <c r="AS2">
        <v>2024</v>
      </c>
      <c r="AT2" t="s">
        <v>17833</v>
      </c>
      <c r="AU2" t="s">
        <v>17834</v>
      </c>
      <c r="AV2">
        <v>4.3</v>
      </c>
      <c r="AW2">
        <v>2024</v>
      </c>
      <c r="AX2" t="s">
        <v>17835</v>
      </c>
      <c r="AY2" t="s">
        <v>17836</v>
      </c>
      <c r="AZ2">
        <v>3.7</v>
      </c>
      <c r="BA2">
        <v>2024</v>
      </c>
      <c r="BB2" t="s">
        <v>17837</v>
      </c>
      <c r="BC2" t="s">
        <v>17838</v>
      </c>
      <c r="BD2">
        <v>3.5</v>
      </c>
      <c r="BE2">
        <v>2024</v>
      </c>
      <c r="BF2" t="s">
        <v>17839</v>
      </c>
      <c r="BG2" t="s">
        <v>17840</v>
      </c>
      <c r="BH2">
        <v>3.9</v>
      </c>
      <c r="BI2">
        <v>2024</v>
      </c>
      <c r="BJ2" t="s">
        <v>17841</v>
      </c>
      <c r="BK2" t="s">
        <v>17842</v>
      </c>
      <c r="BL2">
        <v>4.2</v>
      </c>
      <c r="BM2">
        <v>2024</v>
      </c>
      <c r="BN2" t="s">
        <v>17843</v>
      </c>
      <c r="BO2" t="s">
        <v>17844</v>
      </c>
      <c r="BP2">
        <v>4.0999999999999996</v>
      </c>
      <c r="BQ2">
        <v>2023</v>
      </c>
      <c r="BR2" t="s">
        <v>17820</v>
      </c>
      <c r="BS2" t="s">
        <v>298</v>
      </c>
      <c r="BT2">
        <v>3.6</v>
      </c>
      <c r="BU2">
        <v>2023</v>
      </c>
      <c r="BV2" t="s">
        <v>17821</v>
      </c>
      <c r="BW2" t="s">
        <v>17822</v>
      </c>
      <c r="BX2">
        <v>3.5</v>
      </c>
      <c r="BY2">
        <v>2023</v>
      </c>
      <c r="BZ2" t="s">
        <v>17823</v>
      </c>
      <c r="CA2" t="s">
        <v>17824</v>
      </c>
      <c r="CB2">
        <v>3.5</v>
      </c>
      <c r="CC2">
        <v>2023</v>
      </c>
      <c r="CD2" t="s">
        <v>17825</v>
      </c>
      <c r="CE2" t="s">
        <v>17826</v>
      </c>
      <c r="CF2">
        <v>3.6</v>
      </c>
      <c r="CG2">
        <v>2023</v>
      </c>
      <c r="CH2" t="s">
        <v>17827</v>
      </c>
      <c r="CI2" t="s">
        <v>17828</v>
      </c>
      <c r="CJ2">
        <v>3.6</v>
      </c>
      <c r="CK2">
        <v>2023</v>
      </c>
      <c r="CL2" t="s">
        <v>17829</v>
      </c>
      <c r="CM2" t="s">
        <v>17830</v>
      </c>
      <c r="CN2">
        <v>3.9</v>
      </c>
      <c r="CO2">
        <v>2023</v>
      </c>
      <c r="CP2" t="s">
        <v>17831</v>
      </c>
      <c r="CQ2" t="s">
        <v>17832</v>
      </c>
      <c r="CR2">
        <v>3.8</v>
      </c>
      <c r="CS2">
        <v>2023</v>
      </c>
      <c r="CT2" t="s">
        <v>17833</v>
      </c>
      <c r="CU2" t="s">
        <v>17834</v>
      </c>
      <c r="CV2">
        <v>3.8</v>
      </c>
      <c r="CW2">
        <v>2023</v>
      </c>
      <c r="CX2" t="s">
        <v>17835</v>
      </c>
      <c r="CY2" t="s">
        <v>17836</v>
      </c>
      <c r="CZ2">
        <v>3.4</v>
      </c>
      <c r="DA2">
        <v>2023</v>
      </c>
      <c r="DB2" t="s">
        <v>17837</v>
      </c>
      <c r="DC2" t="s">
        <v>17838</v>
      </c>
      <c r="DD2">
        <v>3.1</v>
      </c>
      <c r="DE2">
        <v>2023</v>
      </c>
      <c r="DF2" t="s">
        <v>17839</v>
      </c>
      <c r="DG2" t="s">
        <v>17840</v>
      </c>
      <c r="DH2">
        <v>3.6</v>
      </c>
      <c r="DI2">
        <v>2023</v>
      </c>
      <c r="DJ2" t="s">
        <v>17841</v>
      </c>
      <c r="DK2" t="s">
        <v>17842</v>
      </c>
      <c r="DL2">
        <v>3.9</v>
      </c>
      <c r="DM2">
        <v>2023</v>
      </c>
      <c r="DN2" t="s">
        <v>17843</v>
      </c>
      <c r="DO2" t="s">
        <v>17844</v>
      </c>
      <c r="DP2">
        <v>3.9</v>
      </c>
      <c r="DQ2">
        <v>2022</v>
      </c>
      <c r="DR2" t="s">
        <v>17820</v>
      </c>
      <c r="DS2" t="s">
        <v>298</v>
      </c>
      <c r="DT2">
        <v>3.6</v>
      </c>
      <c r="DU2">
        <v>2022</v>
      </c>
      <c r="DV2" t="s">
        <v>17821</v>
      </c>
      <c r="DW2" t="s">
        <v>17822</v>
      </c>
      <c r="DX2">
        <v>3.3</v>
      </c>
      <c r="DY2">
        <v>2022</v>
      </c>
      <c r="DZ2" t="s">
        <v>17823</v>
      </c>
      <c r="EA2" t="s">
        <v>17824</v>
      </c>
      <c r="EB2">
        <v>3.4</v>
      </c>
      <c r="EC2">
        <v>2022</v>
      </c>
      <c r="ED2" t="s">
        <v>17825</v>
      </c>
      <c r="EE2" t="s">
        <v>17826</v>
      </c>
      <c r="EF2">
        <v>3.4</v>
      </c>
      <c r="EG2">
        <v>2022</v>
      </c>
      <c r="EH2" t="s">
        <v>17827</v>
      </c>
      <c r="EI2" t="s">
        <v>17828</v>
      </c>
      <c r="EJ2">
        <v>3.3</v>
      </c>
      <c r="EK2">
        <v>2022</v>
      </c>
      <c r="EL2" t="s">
        <v>17829</v>
      </c>
      <c r="EM2" t="s">
        <v>17830</v>
      </c>
      <c r="EN2">
        <v>3.8</v>
      </c>
      <c r="EO2">
        <v>2022</v>
      </c>
      <c r="EP2" t="s">
        <v>17831</v>
      </c>
      <c r="EQ2" t="s">
        <v>17832</v>
      </c>
      <c r="ER2">
        <v>3.8</v>
      </c>
      <c r="ES2">
        <v>2022</v>
      </c>
      <c r="ET2" t="s">
        <v>17833</v>
      </c>
      <c r="EU2" t="s">
        <v>17834</v>
      </c>
      <c r="EV2">
        <v>3.8</v>
      </c>
      <c r="EW2">
        <v>2022</v>
      </c>
      <c r="EX2" t="s">
        <v>17835</v>
      </c>
      <c r="EY2" t="s">
        <v>17836</v>
      </c>
      <c r="EZ2">
        <v>3.4</v>
      </c>
      <c r="FA2">
        <v>2022</v>
      </c>
      <c r="FB2" t="s">
        <v>17837</v>
      </c>
      <c r="FC2" t="s">
        <v>17838</v>
      </c>
      <c r="FD2">
        <v>3.3</v>
      </c>
      <c r="FE2">
        <v>2022</v>
      </c>
      <c r="FF2" t="s">
        <v>17839</v>
      </c>
      <c r="FG2" t="s">
        <v>17840</v>
      </c>
      <c r="FH2">
        <v>3.8</v>
      </c>
      <c r="FI2">
        <v>2022</v>
      </c>
      <c r="FJ2" t="s">
        <v>17841</v>
      </c>
      <c r="FK2" t="s">
        <v>17842</v>
      </c>
      <c r="FL2">
        <v>4.0999999999999996</v>
      </c>
      <c r="FM2">
        <v>2022</v>
      </c>
      <c r="FN2" t="s">
        <v>17843</v>
      </c>
      <c r="FO2" t="s">
        <v>17844</v>
      </c>
      <c r="FP2">
        <v>4.4000000000000004</v>
      </c>
      <c r="FQ2">
        <v>2021</v>
      </c>
      <c r="FR2" t="s">
        <v>17820</v>
      </c>
      <c r="FS2" t="s">
        <v>298</v>
      </c>
      <c r="FT2">
        <v>5.3</v>
      </c>
      <c r="FU2">
        <v>2021</v>
      </c>
      <c r="FV2" t="s">
        <v>17821</v>
      </c>
      <c r="FW2" t="s">
        <v>17822</v>
      </c>
      <c r="FX2">
        <v>3.7</v>
      </c>
      <c r="FY2">
        <v>2021</v>
      </c>
      <c r="FZ2" t="s">
        <v>17823</v>
      </c>
      <c r="GA2" t="s">
        <v>17824</v>
      </c>
      <c r="GB2">
        <v>3.9</v>
      </c>
      <c r="GC2">
        <v>2021</v>
      </c>
      <c r="GD2" t="s">
        <v>17825</v>
      </c>
      <c r="GE2" t="s">
        <v>17826</v>
      </c>
      <c r="GF2">
        <v>4.3</v>
      </c>
      <c r="GG2">
        <v>2021</v>
      </c>
      <c r="GH2" t="s">
        <v>17827</v>
      </c>
      <c r="GI2" t="s">
        <v>17828</v>
      </c>
      <c r="GJ2">
        <v>4.5999999999999996</v>
      </c>
      <c r="GK2">
        <v>2021</v>
      </c>
      <c r="GL2" t="s">
        <v>17829</v>
      </c>
      <c r="GM2" t="s">
        <v>17830</v>
      </c>
      <c r="GN2">
        <v>5.3</v>
      </c>
      <c r="GO2">
        <v>2021</v>
      </c>
      <c r="GP2" t="s">
        <v>17831</v>
      </c>
      <c r="GQ2" t="s">
        <v>17832</v>
      </c>
      <c r="GR2">
        <v>5.7</v>
      </c>
      <c r="GS2">
        <v>2021</v>
      </c>
      <c r="GT2" t="s">
        <v>17833</v>
      </c>
      <c r="GU2" t="s">
        <v>17834</v>
      </c>
      <c r="GV2">
        <v>6.1</v>
      </c>
      <c r="GW2">
        <v>2021</v>
      </c>
      <c r="GX2" t="s">
        <v>17835</v>
      </c>
      <c r="GY2" t="s">
        <v>17836</v>
      </c>
      <c r="GZ2">
        <v>5.5</v>
      </c>
      <c r="HA2">
        <v>2021</v>
      </c>
      <c r="HB2" t="s">
        <v>17837</v>
      </c>
      <c r="HC2" t="s">
        <v>17838</v>
      </c>
      <c r="HD2">
        <v>5.7</v>
      </c>
      <c r="HE2">
        <v>2021</v>
      </c>
      <c r="HF2" t="s">
        <v>17839</v>
      </c>
      <c r="HG2" t="s">
        <v>17840</v>
      </c>
      <c r="HH2">
        <v>6.2</v>
      </c>
      <c r="HI2">
        <v>2021</v>
      </c>
      <c r="HJ2" t="s">
        <v>17841</v>
      </c>
      <c r="HK2" t="s">
        <v>17842</v>
      </c>
      <c r="HL2">
        <v>6.6</v>
      </c>
      <c r="HM2">
        <v>2021</v>
      </c>
      <c r="HN2" t="s">
        <v>17843</v>
      </c>
      <c r="HO2" t="s">
        <v>17844</v>
      </c>
      <c r="HP2">
        <v>6.8</v>
      </c>
      <c r="HQ2">
        <v>2020</v>
      </c>
      <c r="HR2" t="s">
        <v>17820</v>
      </c>
      <c r="HS2" t="s">
        <v>298</v>
      </c>
      <c r="HT2">
        <v>8.1</v>
      </c>
      <c r="HU2">
        <v>2020</v>
      </c>
      <c r="HV2" t="s">
        <v>17821</v>
      </c>
      <c r="HW2" t="s">
        <v>17822</v>
      </c>
      <c r="HX2">
        <v>6.5</v>
      </c>
      <c r="HY2">
        <v>2020</v>
      </c>
      <c r="HZ2" t="s">
        <v>17823</v>
      </c>
      <c r="IA2" t="s">
        <v>17824</v>
      </c>
      <c r="IB2">
        <v>6.4</v>
      </c>
      <c r="IC2">
        <v>2020</v>
      </c>
      <c r="ID2" t="s">
        <v>17825</v>
      </c>
      <c r="IE2" t="s">
        <v>17826</v>
      </c>
      <c r="IF2">
        <v>6.6</v>
      </c>
      <c r="IG2">
        <v>2020</v>
      </c>
      <c r="IH2" t="s">
        <v>17827</v>
      </c>
      <c r="II2" t="s">
        <v>17828</v>
      </c>
      <c r="IJ2">
        <v>7.7</v>
      </c>
      <c r="IK2">
        <v>2020</v>
      </c>
      <c r="IL2" t="s">
        <v>17829</v>
      </c>
      <c r="IM2" t="s">
        <v>17830</v>
      </c>
      <c r="IN2">
        <v>8.5</v>
      </c>
      <c r="IO2">
        <v>2020</v>
      </c>
      <c r="IP2" t="s">
        <v>17831</v>
      </c>
      <c r="IQ2" t="s">
        <v>17832</v>
      </c>
      <c r="IR2">
        <v>10.5</v>
      </c>
      <c r="IS2">
        <v>2020</v>
      </c>
      <c r="IT2" t="s">
        <v>17833</v>
      </c>
      <c r="IU2" t="s">
        <v>17834</v>
      </c>
      <c r="IV2">
        <v>11.2</v>
      </c>
      <c r="IW2">
        <v>2020</v>
      </c>
      <c r="IX2" t="s">
        <v>17835</v>
      </c>
      <c r="IY2" t="s">
        <v>17836</v>
      </c>
      <c r="IZ2">
        <v>13</v>
      </c>
      <c r="JA2">
        <v>2020</v>
      </c>
      <c r="JB2" t="s">
        <v>17837</v>
      </c>
      <c r="JC2" t="s">
        <v>17838</v>
      </c>
      <c r="JD2">
        <v>14.4</v>
      </c>
      <c r="JE2">
        <v>2020</v>
      </c>
      <c r="JF2" t="s">
        <v>17839</v>
      </c>
      <c r="JG2" t="s">
        <v>17840</v>
      </c>
      <c r="JH2">
        <v>4.5</v>
      </c>
      <c r="JI2">
        <v>2020</v>
      </c>
      <c r="JJ2" t="s">
        <v>17841</v>
      </c>
      <c r="JK2" t="s">
        <v>17842</v>
      </c>
      <c r="JL2">
        <v>3.8</v>
      </c>
      <c r="JM2">
        <v>2020</v>
      </c>
      <c r="JN2" t="s">
        <v>17843</v>
      </c>
      <c r="JO2" t="s">
        <v>17844</v>
      </c>
      <c r="JP2">
        <v>4</v>
      </c>
      <c r="JQ2">
        <v>2019</v>
      </c>
      <c r="JR2" t="s">
        <v>17820</v>
      </c>
      <c r="JS2" t="s">
        <v>298</v>
      </c>
      <c r="JT2">
        <v>3.7</v>
      </c>
      <c r="JU2">
        <v>2019</v>
      </c>
      <c r="JV2" t="s">
        <v>17821</v>
      </c>
      <c r="JW2" t="s">
        <v>17822</v>
      </c>
      <c r="JX2">
        <v>3.4</v>
      </c>
      <c r="JY2">
        <v>2019</v>
      </c>
      <c r="JZ2" t="s">
        <v>17823</v>
      </c>
      <c r="KA2" t="s">
        <v>17824</v>
      </c>
      <c r="KB2">
        <v>3.3</v>
      </c>
      <c r="KC2">
        <v>2019</v>
      </c>
      <c r="KD2" t="s">
        <v>17825</v>
      </c>
      <c r="KE2" t="s">
        <v>17826</v>
      </c>
      <c r="KF2">
        <v>3.3</v>
      </c>
      <c r="KG2">
        <v>2019</v>
      </c>
      <c r="KH2" t="s">
        <v>17827</v>
      </c>
      <c r="KI2" t="s">
        <v>17828</v>
      </c>
      <c r="KJ2">
        <v>3.3</v>
      </c>
      <c r="KK2">
        <v>2019</v>
      </c>
      <c r="KL2" t="s">
        <v>17829</v>
      </c>
      <c r="KM2" t="s">
        <v>17830</v>
      </c>
      <c r="KN2">
        <v>3.8</v>
      </c>
      <c r="KO2">
        <v>2019</v>
      </c>
      <c r="KP2" t="s">
        <v>17831</v>
      </c>
      <c r="KQ2" t="s">
        <v>17832</v>
      </c>
      <c r="KR2">
        <v>4</v>
      </c>
      <c r="KS2">
        <v>2019</v>
      </c>
      <c r="KT2" t="s">
        <v>17833</v>
      </c>
      <c r="KU2" t="s">
        <v>17834</v>
      </c>
      <c r="KV2">
        <v>3.8</v>
      </c>
      <c r="KW2">
        <v>2019</v>
      </c>
      <c r="KX2" t="s">
        <v>17835</v>
      </c>
      <c r="KY2" t="s">
        <v>17836</v>
      </c>
      <c r="KZ2">
        <v>3.4</v>
      </c>
      <c r="LA2">
        <v>2019</v>
      </c>
      <c r="LB2" t="s">
        <v>17837</v>
      </c>
      <c r="LC2" t="s">
        <v>17838</v>
      </c>
      <c r="LD2">
        <v>3.3</v>
      </c>
      <c r="LE2">
        <v>2019</v>
      </c>
      <c r="LF2" t="s">
        <v>17839</v>
      </c>
      <c r="LG2" t="s">
        <v>17840</v>
      </c>
      <c r="LH2">
        <v>3.9</v>
      </c>
      <c r="LI2">
        <v>2019</v>
      </c>
      <c r="LJ2" t="s">
        <v>17841</v>
      </c>
      <c r="LK2" t="s">
        <v>17842</v>
      </c>
      <c r="LL2">
        <v>4.0999999999999996</v>
      </c>
      <c r="LM2">
        <v>2019</v>
      </c>
      <c r="LN2" t="s">
        <v>17843</v>
      </c>
      <c r="LO2" t="s">
        <v>17844</v>
      </c>
      <c r="LP2">
        <v>4.4000000000000004</v>
      </c>
      <c r="LQ2" t="s">
        <v>19763</v>
      </c>
      <c r="LR2" t="s">
        <v>19764</v>
      </c>
      <c r="LS2" t="s">
        <v>19763</v>
      </c>
      <c r="LT2" t="s">
        <v>18689</v>
      </c>
      <c r="LU2" t="s">
        <v>19765</v>
      </c>
      <c r="LV2" t="s">
        <v>2717</v>
      </c>
      <c r="LW2" t="s">
        <v>19766</v>
      </c>
      <c r="LX2" t="s">
        <v>17424</v>
      </c>
      <c r="LY2" t="s">
        <v>19767</v>
      </c>
      <c r="LZ2">
        <v>2024</v>
      </c>
      <c r="MA2" t="s">
        <v>17820</v>
      </c>
      <c r="MB2" t="s">
        <v>298</v>
      </c>
      <c r="MC2" t="b">
        <v>1</v>
      </c>
      <c r="MD2">
        <v>3.4</v>
      </c>
      <c r="ME2" t="s">
        <v>19768</v>
      </c>
      <c r="MF2" t="s">
        <v>19769</v>
      </c>
      <c r="MG2">
        <v>2024</v>
      </c>
      <c r="MH2" t="s">
        <v>17821</v>
      </c>
      <c r="MI2" t="s">
        <v>17822</v>
      </c>
      <c r="MJ2">
        <v>3.2</v>
      </c>
      <c r="MK2" t="s">
        <v>19768</v>
      </c>
      <c r="ML2" t="s">
        <v>19769</v>
      </c>
      <c r="MM2">
        <v>2024</v>
      </c>
      <c r="MN2" t="s">
        <v>17823</v>
      </c>
      <c r="MO2" t="s">
        <v>17824</v>
      </c>
      <c r="MP2">
        <v>3.5</v>
      </c>
      <c r="MQ2" t="s">
        <v>19768</v>
      </c>
      <c r="MR2" t="s">
        <v>19769</v>
      </c>
      <c r="MS2">
        <v>2024</v>
      </c>
      <c r="MT2" t="s">
        <v>17825</v>
      </c>
      <c r="MU2" t="s">
        <v>17826</v>
      </c>
      <c r="MV2">
        <v>3.5</v>
      </c>
      <c r="MW2" t="s">
        <v>19768</v>
      </c>
      <c r="MX2" t="s">
        <v>19769</v>
      </c>
      <c r="MY2">
        <v>2024</v>
      </c>
      <c r="MZ2" t="s">
        <v>17827</v>
      </c>
      <c r="NA2" t="s">
        <v>17828</v>
      </c>
      <c r="NB2">
        <v>3.5</v>
      </c>
      <c r="NC2" t="s">
        <v>19768</v>
      </c>
      <c r="ND2" t="s">
        <v>19769</v>
      </c>
      <c r="NE2">
        <v>2024</v>
      </c>
      <c r="NF2" t="s">
        <v>17829</v>
      </c>
      <c r="NG2" t="s">
        <v>17830</v>
      </c>
      <c r="NH2">
        <v>3.8</v>
      </c>
      <c r="NI2" t="s">
        <v>19768</v>
      </c>
      <c r="NJ2" t="s">
        <v>19769</v>
      </c>
      <c r="NK2">
        <v>2024</v>
      </c>
      <c r="NL2" t="s">
        <v>17831</v>
      </c>
      <c r="NM2" t="s">
        <v>17832</v>
      </c>
      <c r="NN2">
        <v>3.8</v>
      </c>
      <c r="NO2" t="s">
        <v>19768</v>
      </c>
      <c r="NP2" t="s">
        <v>19769</v>
      </c>
      <c r="NQ2">
        <v>2024</v>
      </c>
      <c r="NR2" t="s">
        <v>17833</v>
      </c>
      <c r="NS2" t="s">
        <v>17834</v>
      </c>
      <c r="NT2">
        <v>3.6</v>
      </c>
      <c r="NU2" t="s">
        <v>19768</v>
      </c>
      <c r="NV2" t="s">
        <v>19769</v>
      </c>
      <c r="NW2">
        <v>2024</v>
      </c>
      <c r="NX2" t="s">
        <v>17835</v>
      </c>
      <c r="NY2" t="s">
        <v>17836</v>
      </c>
      <c r="NZ2">
        <v>3.1</v>
      </c>
      <c r="OA2" t="s">
        <v>19768</v>
      </c>
      <c r="OB2" t="s">
        <v>19769</v>
      </c>
      <c r="OC2">
        <v>2024</v>
      </c>
      <c r="OD2" t="s">
        <v>17837</v>
      </c>
      <c r="OE2" t="s">
        <v>17838</v>
      </c>
      <c r="OF2">
        <v>2.9</v>
      </c>
      <c r="OG2" t="s">
        <v>19768</v>
      </c>
      <c r="OH2" t="s">
        <v>19769</v>
      </c>
      <c r="OI2">
        <v>2024</v>
      </c>
      <c r="OJ2" t="s">
        <v>17839</v>
      </c>
      <c r="OK2" t="s">
        <v>17840</v>
      </c>
      <c r="OL2">
        <v>3.1</v>
      </c>
      <c r="OM2" t="s">
        <v>19768</v>
      </c>
      <c r="ON2" t="s">
        <v>19769</v>
      </c>
      <c r="OO2">
        <v>2024</v>
      </c>
      <c r="OP2" t="s">
        <v>17841</v>
      </c>
      <c r="OQ2" t="s">
        <v>17842</v>
      </c>
      <c r="OR2">
        <v>3.1</v>
      </c>
      <c r="OS2" t="s">
        <v>19768</v>
      </c>
      <c r="OT2" t="s">
        <v>19769</v>
      </c>
      <c r="OU2">
        <v>2024</v>
      </c>
      <c r="OV2" t="s">
        <v>17843</v>
      </c>
      <c r="OW2" t="s">
        <v>17844</v>
      </c>
      <c r="OX2">
        <v>3.2</v>
      </c>
      <c r="OY2" t="s">
        <v>19768</v>
      </c>
      <c r="OZ2" t="s">
        <v>19769</v>
      </c>
      <c r="PA2">
        <v>2023</v>
      </c>
      <c r="PB2" t="s">
        <v>17820</v>
      </c>
      <c r="PC2" t="s">
        <v>298</v>
      </c>
      <c r="PD2">
        <v>3</v>
      </c>
      <c r="PE2" t="s">
        <v>19768</v>
      </c>
      <c r="PF2" t="s">
        <v>19769</v>
      </c>
      <c r="PG2">
        <v>2023</v>
      </c>
      <c r="PH2" t="s">
        <v>17821</v>
      </c>
      <c r="PI2" t="s">
        <v>17822</v>
      </c>
      <c r="PJ2">
        <v>2.9</v>
      </c>
      <c r="PK2" t="s">
        <v>19768</v>
      </c>
      <c r="PL2" t="s">
        <v>19769</v>
      </c>
      <c r="PM2">
        <v>2023</v>
      </c>
      <c r="PN2" t="s">
        <v>17823</v>
      </c>
      <c r="PO2" t="s">
        <v>17824</v>
      </c>
      <c r="PP2">
        <v>3</v>
      </c>
      <c r="PQ2" t="s">
        <v>19768</v>
      </c>
      <c r="PR2" t="s">
        <v>19769</v>
      </c>
      <c r="PS2">
        <v>2023</v>
      </c>
      <c r="PT2" t="s">
        <v>17825</v>
      </c>
      <c r="PU2" t="s">
        <v>17826</v>
      </c>
      <c r="PV2">
        <v>3.2</v>
      </c>
      <c r="PW2" t="s">
        <v>19768</v>
      </c>
      <c r="PX2" t="s">
        <v>19769</v>
      </c>
      <c r="PY2">
        <v>2023</v>
      </c>
      <c r="PZ2" t="s">
        <v>17827</v>
      </c>
      <c r="QA2" t="s">
        <v>17828</v>
      </c>
      <c r="QB2">
        <v>3.2</v>
      </c>
      <c r="QC2" t="s">
        <v>19768</v>
      </c>
      <c r="QD2" t="s">
        <v>19769</v>
      </c>
      <c r="QE2">
        <v>2023</v>
      </c>
      <c r="QF2" t="s">
        <v>17829</v>
      </c>
      <c r="QG2" t="s">
        <v>17830</v>
      </c>
      <c r="QH2">
        <v>3.3</v>
      </c>
      <c r="QI2" t="s">
        <v>19768</v>
      </c>
      <c r="QJ2" t="s">
        <v>19769</v>
      </c>
      <c r="QK2">
        <v>2023</v>
      </c>
      <c r="QL2" t="s">
        <v>17831</v>
      </c>
      <c r="QM2" t="s">
        <v>17832</v>
      </c>
      <c r="QN2">
        <v>3.1</v>
      </c>
      <c r="QO2" t="s">
        <v>19768</v>
      </c>
      <c r="QP2" t="s">
        <v>19769</v>
      </c>
      <c r="QQ2">
        <v>2023</v>
      </c>
      <c r="QR2" t="s">
        <v>17833</v>
      </c>
      <c r="QS2" t="s">
        <v>17834</v>
      </c>
      <c r="QT2">
        <v>3.1</v>
      </c>
      <c r="QU2" t="s">
        <v>19768</v>
      </c>
      <c r="QV2" t="s">
        <v>19769</v>
      </c>
      <c r="QW2">
        <v>2023</v>
      </c>
      <c r="QX2" t="s">
        <v>17835</v>
      </c>
      <c r="QY2" t="s">
        <v>17836</v>
      </c>
      <c r="QZ2">
        <v>2.8</v>
      </c>
      <c r="RA2" t="s">
        <v>19768</v>
      </c>
      <c r="RB2" t="s">
        <v>19769</v>
      </c>
      <c r="RC2">
        <v>2023</v>
      </c>
      <c r="RD2" t="s">
        <v>17837</v>
      </c>
      <c r="RE2" t="s">
        <v>17838</v>
      </c>
      <c r="RF2">
        <v>2.5</v>
      </c>
      <c r="RG2" t="s">
        <v>19768</v>
      </c>
      <c r="RH2" t="s">
        <v>19769</v>
      </c>
      <c r="RI2">
        <v>2023</v>
      </c>
      <c r="RJ2" t="s">
        <v>17839</v>
      </c>
      <c r="RK2" t="s">
        <v>17840</v>
      </c>
      <c r="RL2">
        <v>2.7</v>
      </c>
      <c r="RM2" t="s">
        <v>19768</v>
      </c>
      <c r="RN2" t="s">
        <v>19769</v>
      </c>
      <c r="RO2">
        <v>2023</v>
      </c>
      <c r="RP2" t="s">
        <v>17841</v>
      </c>
      <c r="RQ2" t="s">
        <v>17842</v>
      </c>
      <c r="RR2">
        <v>2.7</v>
      </c>
      <c r="RS2" t="s">
        <v>19768</v>
      </c>
      <c r="RT2" t="s">
        <v>19769</v>
      </c>
      <c r="RU2">
        <v>2023</v>
      </c>
      <c r="RV2" t="s">
        <v>17843</v>
      </c>
      <c r="RW2" t="s">
        <v>17844</v>
      </c>
      <c r="RX2">
        <v>2.9</v>
      </c>
      <c r="RY2" t="s">
        <v>19768</v>
      </c>
      <c r="RZ2" t="s">
        <v>19769</v>
      </c>
      <c r="SA2">
        <v>2022</v>
      </c>
      <c r="SB2" t="s">
        <v>17820</v>
      </c>
      <c r="SC2" t="s">
        <v>298</v>
      </c>
      <c r="SD2">
        <v>3</v>
      </c>
      <c r="SE2" t="s">
        <v>19768</v>
      </c>
      <c r="SF2" t="s">
        <v>19769</v>
      </c>
      <c r="SG2">
        <v>2022</v>
      </c>
      <c r="SH2" t="s">
        <v>17821</v>
      </c>
      <c r="SI2" t="s">
        <v>17822</v>
      </c>
      <c r="SJ2">
        <v>2.5</v>
      </c>
      <c r="SK2" t="s">
        <v>19768</v>
      </c>
      <c r="SL2" t="s">
        <v>19769</v>
      </c>
      <c r="SM2">
        <v>2022</v>
      </c>
      <c r="SN2" t="s">
        <v>17823</v>
      </c>
      <c r="SO2" t="s">
        <v>17824</v>
      </c>
      <c r="SP2">
        <v>2.9</v>
      </c>
      <c r="SQ2" t="s">
        <v>19768</v>
      </c>
      <c r="SR2" t="s">
        <v>19769</v>
      </c>
      <c r="SS2">
        <v>2022</v>
      </c>
      <c r="ST2" t="s">
        <v>17825</v>
      </c>
      <c r="SU2" t="s">
        <v>17826</v>
      </c>
      <c r="SV2">
        <v>3</v>
      </c>
      <c r="SW2" t="s">
        <v>19768</v>
      </c>
      <c r="SX2" t="s">
        <v>19769</v>
      </c>
      <c r="SY2">
        <v>2022</v>
      </c>
      <c r="SZ2" t="s">
        <v>17827</v>
      </c>
      <c r="TA2" t="s">
        <v>17828</v>
      </c>
      <c r="TB2">
        <v>2.9</v>
      </c>
      <c r="TC2" t="s">
        <v>19768</v>
      </c>
      <c r="TD2" t="s">
        <v>19769</v>
      </c>
      <c r="TE2">
        <v>2022</v>
      </c>
      <c r="TF2" t="s">
        <v>17829</v>
      </c>
      <c r="TG2" t="s">
        <v>17830</v>
      </c>
      <c r="TH2">
        <v>3.1</v>
      </c>
      <c r="TI2" t="s">
        <v>19768</v>
      </c>
      <c r="TJ2" t="s">
        <v>19769</v>
      </c>
      <c r="TK2">
        <v>2022</v>
      </c>
      <c r="TL2" t="s">
        <v>17831</v>
      </c>
      <c r="TM2" t="s">
        <v>17832</v>
      </c>
      <c r="TN2">
        <v>3.1</v>
      </c>
      <c r="TO2" t="s">
        <v>19768</v>
      </c>
      <c r="TP2" t="s">
        <v>19769</v>
      </c>
      <c r="TQ2">
        <v>2022</v>
      </c>
      <c r="TR2" t="s">
        <v>17833</v>
      </c>
      <c r="TS2" t="s">
        <v>17834</v>
      </c>
      <c r="TT2">
        <v>3.2</v>
      </c>
      <c r="TU2" t="s">
        <v>19768</v>
      </c>
      <c r="TV2" t="s">
        <v>19769</v>
      </c>
      <c r="TW2">
        <v>2022</v>
      </c>
      <c r="TX2" t="s">
        <v>17835</v>
      </c>
      <c r="TY2" t="s">
        <v>17836</v>
      </c>
      <c r="TZ2">
        <v>2.8</v>
      </c>
      <c r="UA2" t="s">
        <v>19768</v>
      </c>
      <c r="UB2" t="s">
        <v>19769</v>
      </c>
      <c r="UC2">
        <v>2022</v>
      </c>
      <c r="UD2" t="s">
        <v>17837</v>
      </c>
      <c r="UE2" t="s">
        <v>17838</v>
      </c>
      <c r="UF2">
        <v>2.8</v>
      </c>
      <c r="UG2" t="s">
        <v>19768</v>
      </c>
      <c r="UH2" t="s">
        <v>19769</v>
      </c>
      <c r="UI2">
        <v>2022</v>
      </c>
      <c r="UJ2" t="s">
        <v>17839</v>
      </c>
      <c r="UK2" t="s">
        <v>17840</v>
      </c>
      <c r="UL2">
        <v>3</v>
      </c>
      <c r="UM2" t="s">
        <v>19768</v>
      </c>
      <c r="UN2" t="s">
        <v>19769</v>
      </c>
      <c r="UO2">
        <v>2022</v>
      </c>
      <c r="UP2" t="s">
        <v>17841</v>
      </c>
      <c r="UQ2" t="s">
        <v>17842</v>
      </c>
      <c r="UR2">
        <v>3.3</v>
      </c>
      <c r="US2" t="s">
        <v>19768</v>
      </c>
      <c r="UT2" t="s">
        <v>19769</v>
      </c>
      <c r="UU2">
        <v>2022</v>
      </c>
      <c r="UV2" t="s">
        <v>17843</v>
      </c>
      <c r="UW2" t="s">
        <v>17844</v>
      </c>
      <c r="UX2">
        <v>3.7</v>
      </c>
      <c r="UY2" t="s">
        <v>19768</v>
      </c>
      <c r="UZ2" t="s">
        <v>19769</v>
      </c>
      <c r="VA2">
        <v>2021</v>
      </c>
      <c r="VB2" t="s">
        <v>17820</v>
      </c>
      <c r="VC2" t="s">
        <v>298</v>
      </c>
      <c r="VD2">
        <v>4.7</v>
      </c>
      <c r="VE2" t="s">
        <v>19768</v>
      </c>
      <c r="VF2" t="s">
        <v>19769</v>
      </c>
      <c r="VG2">
        <v>2021</v>
      </c>
      <c r="VH2" t="s">
        <v>17821</v>
      </c>
      <c r="VI2" t="s">
        <v>17822</v>
      </c>
      <c r="VJ2">
        <v>3.2</v>
      </c>
      <c r="VK2" t="s">
        <v>19768</v>
      </c>
      <c r="VL2" t="s">
        <v>19769</v>
      </c>
      <c r="VM2">
        <v>2021</v>
      </c>
      <c r="VN2" t="s">
        <v>17823</v>
      </c>
      <c r="VO2" t="s">
        <v>17824</v>
      </c>
      <c r="VP2">
        <v>3.7</v>
      </c>
      <c r="VQ2" t="s">
        <v>19768</v>
      </c>
      <c r="VR2" t="s">
        <v>19769</v>
      </c>
      <c r="VS2">
        <v>2021</v>
      </c>
      <c r="VT2" t="s">
        <v>17825</v>
      </c>
      <c r="VU2" t="s">
        <v>17826</v>
      </c>
      <c r="VV2">
        <v>3.9</v>
      </c>
      <c r="VW2" t="s">
        <v>19768</v>
      </c>
      <c r="VX2" t="s">
        <v>19769</v>
      </c>
      <c r="VY2">
        <v>2021</v>
      </c>
      <c r="VZ2" t="s">
        <v>17827</v>
      </c>
      <c r="WA2" t="s">
        <v>17828</v>
      </c>
      <c r="WB2">
        <v>4.3</v>
      </c>
      <c r="WC2" t="s">
        <v>19768</v>
      </c>
      <c r="WD2" t="s">
        <v>19769</v>
      </c>
      <c r="WE2">
        <v>2021</v>
      </c>
      <c r="WF2" t="s">
        <v>17829</v>
      </c>
      <c r="WG2" t="s">
        <v>17830</v>
      </c>
      <c r="WH2">
        <v>4.7</v>
      </c>
      <c r="WI2" t="s">
        <v>19768</v>
      </c>
      <c r="WJ2" t="s">
        <v>19769</v>
      </c>
      <c r="WK2">
        <v>2021</v>
      </c>
      <c r="WL2" t="s">
        <v>17831</v>
      </c>
      <c r="WM2" t="s">
        <v>17832</v>
      </c>
      <c r="WN2">
        <v>5</v>
      </c>
      <c r="WO2" t="s">
        <v>19768</v>
      </c>
      <c r="WP2" t="s">
        <v>19769</v>
      </c>
      <c r="WQ2">
        <v>2021</v>
      </c>
      <c r="WR2" t="s">
        <v>17833</v>
      </c>
      <c r="WS2" t="s">
        <v>17834</v>
      </c>
      <c r="WT2">
        <v>5.3</v>
      </c>
      <c r="WU2" t="s">
        <v>19768</v>
      </c>
      <c r="WV2" t="s">
        <v>19769</v>
      </c>
      <c r="WW2">
        <v>2021</v>
      </c>
      <c r="WX2" t="s">
        <v>17835</v>
      </c>
      <c r="WY2" t="s">
        <v>17836</v>
      </c>
      <c r="WZ2">
        <v>4.8</v>
      </c>
      <c r="XA2" t="s">
        <v>19768</v>
      </c>
      <c r="XB2" t="s">
        <v>19769</v>
      </c>
      <c r="XC2">
        <v>2021</v>
      </c>
      <c r="XD2" t="s">
        <v>17837</v>
      </c>
      <c r="XE2" t="s">
        <v>17838</v>
      </c>
      <c r="XF2">
        <v>5</v>
      </c>
      <c r="XG2" t="s">
        <v>19768</v>
      </c>
      <c r="XH2" t="s">
        <v>19769</v>
      </c>
      <c r="XI2">
        <v>2021</v>
      </c>
      <c r="XJ2" t="s">
        <v>17839</v>
      </c>
      <c r="XK2" t="s">
        <v>17840</v>
      </c>
      <c r="XL2">
        <v>5.2</v>
      </c>
      <c r="XM2" t="s">
        <v>19768</v>
      </c>
      <c r="XN2" t="s">
        <v>19769</v>
      </c>
      <c r="XO2">
        <v>2021</v>
      </c>
      <c r="XP2" t="s">
        <v>17841</v>
      </c>
      <c r="XQ2" t="s">
        <v>17842</v>
      </c>
      <c r="XR2">
        <v>5.4</v>
      </c>
      <c r="XS2" t="s">
        <v>19768</v>
      </c>
      <c r="XT2" t="s">
        <v>19769</v>
      </c>
      <c r="XU2">
        <v>2021</v>
      </c>
      <c r="XV2" t="s">
        <v>17843</v>
      </c>
      <c r="XW2" t="s">
        <v>17844</v>
      </c>
      <c r="XX2">
        <v>5.9</v>
      </c>
      <c r="XY2" t="s">
        <v>19768</v>
      </c>
      <c r="XZ2" t="s">
        <v>19769</v>
      </c>
      <c r="YA2">
        <v>2020</v>
      </c>
      <c r="YB2" t="s">
        <v>17820</v>
      </c>
      <c r="YC2" t="s">
        <v>298</v>
      </c>
      <c r="YD2">
        <v>8</v>
      </c>
      <c r="YE2" t="s">
        <v>19768</v>
      </c>
      <c r="YF2" t="s">
        <v>19769</v>
      </c>
      <c r="YG2">
        <v>2020</v>
      </c>
      <c r="YH2" t="s">
        <v>17821</v>
      </c>
      <c r="YI2" t="s">
        <v>17822</v>
      </c>
      <c r="YJ2">
        <v>6</v>
      </c>
      <c r="YK2" t="s">
        <v>19768</v>
      </c>
      <c r="YL2" t="s">
        <v>19769</v>
      </c>
      <c r="YM2">
        <v>2020</v>
      </c>
      <c r="YN2" t="s">
        <v>17823</v>
      </c>
      <c r="YO2" t="s">
        <v>17824</v>
      </c>
      <c r="YP2">
        <v>6.3</v>
      </c>
      <c r="YQ2" t="s">
        <v>19768</v>
      </c>
      <c r="YR2" t="s">
        <v>19769</v>
      </c>
      <c r="YS2">
        <v>2020</v>
      </c>
      <c r="YT2" t="s">
        <v>17825</v>
      </c>
      <c r="YU2" t="s">
        <v>17826</v>
      </c>
      <c r="YV2">
        <v>6.8</v>
      </c>
      <c r="YW2" t="s">
        <v>19768</v>
      </c>
      <c r="YX2" t="s">
        <v>19769</v>
      </c>
      <c r="YY2">
        <v>2020</v>
      </c>
      <c r="YZ2" t="s">
        <v>17827</v>
      </c>
      <c r="ZA2" t="s">
        <v>17828</v>
      </c>
      <c r="ZB2">
        <v>8.1</v>
      </c>
      <c r="ZC2" t="s">
        <v>19768</v>
      </c>
      <c r="ZD2" t="s">
        <v>19769</v>
      </c>
      <c r="ZE2">
        <v>2020</v>
      </c>
      <c r="ZF2" t="s">
        <v>17829</v>
      </c>
      <c r="ZG2" t="s">
        <v>17830</v>
      </c>
      <c r="ZH2">
        <v>8.6999999999999993</v>
      </c>
      <c r="ZI2" t="s">
        <v>19768</v>
      </c>
      <c r="ZJ2" t="s">
        <v>19769</v>
      </c>
      <c r="ZK2">
        <v>2020</v>
      </c>
      <c r="ZL2" t="s">
        <v>17831</v>
      </c>
      <c r="ZM2" t="s">
        <v>17832</v>
      </c>
      <c r="ZN2">
        <v>12</v>
      </c>
      <c r="ZO2" t="s">
        <v>19768</v>
      </c>
      <c r="ZP2" t="s">
        <v>19769</v>
      </c>
      <c r="ZQ2">
        <v>2020</v>
      </c>
      <c r="ZR2" t="s">
        <v>17833</v>
      </c>
      <c r="ZS2" t="s">
        <v>17834</v>
      </c>
      <c r="ZT2">
        <v>11.8</v>
      </c>
      <c r="ZU2" t="s">
        <v>19768</v>
      </c>
      <c r="ZV2" t="s">
        <v>19769</v>
      </c>
      <c r="ZW2">
        <v>2020</v>
      </c>
      <c r="ZX2" t="s">
        <v>17835</v>
      </c>
      <c r="ZY2" t="s">
        <v>17836</v>
      </c>
      <c r="ZZ2">
        <v>14.2</v>
      </c>
      <c r="AAA2" t="s">
        <v>19768</v>
      </c>
      <c r="AAB2" t="s">
        <v>19769</v>
      </c>
      <c r="AAC2">
        <v>2020</v>
      </c>
      <c r="AAD2" t="s">
        <v>17837</v>
      </c>
      <c r="AAE2" t="s">
        <v>17838</v>
      </c>
      <c r="AAF2">
        <v>12.9</v>
      </c>
      <c r="AAG2" t="s">
        <v>19768</v>
      </c>
      <c r="AAH2" t="s">
        <v>19769</v>
      </c>
      <c r="AAI2">
        <v>2020</v>
      </c>
      <c r="AAJ2" t="s">
        <v>17839</v>
      </c>
      <c r="AAK2" t="s">
        <v>17840</v>
      </c>
      <c r="AAL2">
        <v>4.3</v>
      </c>
      <c r="AAM2" t="s">
        <v>19768</v>
      </c>
      <c r="AAN2" t="s">
        <v>19769</v>
      </c>
      <c r="AAO2">
        <v>2020</v>
      </c>
      <c r="AAP2" t="s">
        <v>17841</v>
      </c>
      <c r="AAQ2" t="s">
        <v>17842</v>
      </c>
      <c r="AAR2">
        <v>2.8</v>
      </c>
      <c r="AAS2" t="s">
        <v>19768</v>
      </c>
      <c r="AAT2" t="s">
        <v>19769</v>
      </c>
      <c r="AAU2">
        <v>2020</v>
      </c>
      <c r="AAV2" t="s">
        <v>17843</v>
      </c>
      <c r="AAW2" t="s">
        <v>17844</v>
      </c>
      <c r="AAX2">
        <v>3.1</v>
      </c>
      <c r="AAY2" t="s">
        <v>19768</v>
      </c>
      <c r="AAZ2" t="s">
        <v>19769</v>
      </c>
      <c r="ABA2">
        <v>2019</v>
      </c>
      <c r="ABB2" t="s">
        <v>17820</v>
      </c>
      <c r="ABC2" t="s">
        <v>298</v>
      </c>
      <c r="ABD2">
        <v>3.2</v>
      </c>
      <c r="ABE2" t="s">
        <v>19768</v>
      </c>
      <c r="ABF2" t="s">
        <v>19769</v>
      </c>
      <c r="ABG2">
        <v>2019</v>
      </c>
      <c r="ABH2" t="s">
        <v>17821</v>
      </c>
      <c r="ABI2" t="s">
        <v>17822</v>
      </c>
      <c r="ABJ2">
        <v>2.7</v>
      </c>
      <c r="ABK2" t="s">
        <v>19768</v>
      </c>
      <c r="ABL2" t="s">
        <v>19769</v>
      </c>
      <c r="ABM2">
        <v>2019</v>
      </c>
      <c r="ABN2" t="s">
        <v>17823</v>
      </c>
      <c r="ABO2" t="s">
        <v>17824</v>
      </c>
      <c r="ABP2">
        <v>3</v>
      </c>
      <c r="ABQ2" t="s">
        <v>19768</v>
      </c>
      <c r="ABR2" t="s">
        <v>19769</v>
      </c>
      <c r="ABS2">
        <v>2019</v>
      </c>
      <c r="ABT2" t="s">
        <v>17825</v>
      </c>
      <c r="ABU2" t="s">
        <v>17826</v>
      </c>
      <c r="ABV2">
        <v>3.1</v>
      </c>
      <c r="ABW2" t="s">
        <v>19768</v>
      </c>
      <c r="ABX2" t="s">
        <v>19769</v>
      </c>
      <c r="ABY2">
        <v>2019</v>
      </c>
      <c r="ABZ2" t="s">
        <v>17827</v>
      </c>
      <c r="ACA2" t="s">
        <v>17828</v>
      </c>
      <c r="ACB2">
        <v>3.2</v>
      </c>
      <c r="ACC2" t="s">
        <v>19768</v>
      </c>
      <c r="ACD2" t="s">
        <v>19769</v>
      </c>
      <c r="ACE2">
        <v>2019</v>
      </c>
      <c r="ACF2" t="s">
        <v>17829</v>
      </c>
      <c r="ACG2" t="s">
        <v>17830</v>
      </c>
      <c r="ACH2">
        <v>3.5</v>
      </c>
      <c r="ACI2" t="s">
        <v>19768</v>
      </c>
      <c r="ACJ2" t="s">
        <v>19769</v>
      </c>
      <c r="ACK2">
        <v>2019</v>
      </c>
      <c r="ACL2" t="s">
        <v>17831</v>
      </c>
      <c r="ACM2" t="s">
        <v>17832</v>
      </c>
      <c r="ACN2">
        <v>3.6</v>
      </c>
      <c r="ACO2" t="s">
        <v>19768</v>
      </c>
      <c r="ACP2" t="s">
        <v>19769</v>
      </c>
      <c r="ACQ2">
        <v>2019</v>
      </c>
      <c r="ACR2" t="s">
        <v>17833</v>
      </c>
      <c r="ACS2" t="s">
        <v>17834</v>
      </c>
      <c r="ACT2">
        <v>3.5</v>
      </c>
      <c r="ACU2" t="s">
        <v>19768</v>
      </c>
      <c r="ACV2" t="s">
        <v>19769</v>
      </c>
      <c r="ACW2">
        <v>2019</v>
      </c>
      <c r="ACX2" t="s">
        <v>17835</v>
      </c>
      <c r="ACY2" t="s">
        <v>17836</v>
      </c>
      <c r="ACZ2">
        <v>3.1</v>
      </c>
      <c r="ADA2" t="s">
        <v>19768</v>
      </c>
      <c r="ADB2" t="s">
        <v>19769</v>
      </c>
      <c r="ADC2">
        <v>2019</v>
      </c>
      <c r="ADD2" t="s">
        <v>17837</v>
      </c>
      <c r="ADE2" t="s">
        <v>17838</v>
      </c>
      <c r="ADF2">
        <v>3</v>
      </c>
      <c r="ADG2" t="s">
        <v>19768</v>
      </c>
      <c r="ADH2" t="s">
        <v>19769</v>
      </c>
      <c r="ADI2">
        <v>2019</v>
      </c>
      <c r="ADJ2" t="s">
        <v>17839</v>
      </c>
      <c r="ADK2" t="s">
        <v>17840</v>
      </c>
      <c r="ADL2">
        <v>3.3</v>
      </c>
      <c r="ADM2" t="s">
        <v>19768</v>
      </c>
      <c r="ADN2" t="s">
        <v>19769</v>
      </c>
      <c r="ADO2">
        <v>2019</v>
      </c>
      <c r="ADP2" t="s">
        <v>17841</v>
      </c>
      <c r="ADQ2" t="s">
        <v>17842</v>
      </c>
      <c r="ADR2">
        <v>3.3</v>
      </c>
      <c r="ADS2" t="s">
        <v>19768</v>
      </c>
      <c r="ADT2" t="s">
        <v>19769</v>
      </c>
      <c r="ADU2">
        <v>2019</v>
      </c>
      <c r="ADV2" t="s">
        <v>17843</v>
      </c>
      <c r="ADW2" t="s">
        <v>17844</v>
      </c>
      <c r="ADX2">
        <v>3.7</v>
      </c>
      <c r="ADY2" t="s">
        <v>19768</v>
      </c>
      <c r="ADZ2" t="s">
        <v>19769</v>
      </c>
      <c r="AEA2" t="s">
        <v>19770</v>
      </c>
      <c r="AEB2" t="s">
        <v>19771</v>
      </c>
      <c r="AEC2" t="s">
        <v>19770</v>
      </c>
      <c r="AED2" t="s">
        <v>18689</v>
      </c>
      <c r="AEE2" t="s">
        <v>19765</v>
      </c>
      <c r="AEF2" t="s">
        <v>2717</v>
      </c>
      <c r="AEG2" t="s">
        <v>19766</v>
      </c>
      <c r="AEH2" t="s">
        <v>19772</v>
      </c>
      <c r="AEI2" t="s">
        <v>19773</v>
      </c>
      <c r="AEJ2">
        <v>2024</v>
      </c>
      <c r="AEK2" t="s">
        <v>17821</v>
      </c>
      <c r="AEL2" t="s">
        <v>17822</v>
      </c>
      <c r="AEM2" t="b">
        <v>1</v>
      </c>
      <c r="AEN2">
        <v>3.1</v>
      </c>
      <c r="AEO2" t="s">
        <v>19774</v>
      </c>
      <c r="AEP2" t="s">
        <v>19775</v>
      </c>
      <c r="AEQ2">
        <v>2024</v>
      </c>
      <c r="AER2" t="s">
        <v>17823</v>
      </c>
      <c r="AES2" t="s">
        <v>17824</v>
      </c>
      <c r="AET2">
        <v>3.7</v>
      </c>
      <c r="AEU2">
        <v>2024</v>
      </c>
      <c r="AEV2" t="s">
        <v>17825</v>
      </c>
      <c r="AEW2" t="s">
        <v>17826</v>
      </c>
      <c r="AEX2">
        <v>3.6</v>
      </c>
      <c r="AEY2">
        <v>2024</v>
      </c>
      <c r="AEZ2" t="s">
        <v>17827</v>
      </c>
      <c r="AFA2" t="s">
        <v>17828</v>
      </c>
      <c r="AFB2">
        <v>3.7</v>
      </c>
      <c r="AFC2">
        <v>2024</v>
      </c>
      <c r="AFD2" t="s">
        <v>17829</v>
      </c>
      <c r="AFE2" t="s">
        <v>17830</v>
      </c>
      <c r="AFF2">
        <v>3.7</v>
      </c>
      <c r="AFG2">
        <v>2024</v>
      </c>
      <c r="AFH2" t="s">
        <v>17831</v>
      </c>
      <c r="AFI2" t="s">
        <v>17832</v>
      </c>
      <c r="AFJ2">
        <v>3.9</v>
      </c>
      <c r="AFK2">
        <v>2024</v>
      </c>
      <c r="AFL2" t="s">
        <v>17833</v>
      </c>
      <c r="AFM2" t="s">
        <v>17834</v>
      </c>
      <c r="AFN2">
        <v>3.6</v>
      </c>
      <c r="AFO2">
        <v>2024</v>
      </c>
      <c r="AFP2" t="s">
        <v>17835</v>
      </c>
      <c r="AFQ2" t="s">
        <v>17836</v>
      </c>
      <c r="AFR2">
        <v>3</v>
      </c>
      <c r="AFS2">
        <v>2024</v>
      </c>
      <c r="AFT2" t="s">
        <v>17837</v>
      </c>
      <c r="AFU2" t="s">
        <v>17838</v>
      </c>
      <c r="AFV2">
        <v>3.3</v>
      </c>
      <c r="AFW2">
        <v>2024</v>
      </c>
      <c r="AFX2" t="s">
        <v>17839</v>
      </c>
      <c r="AFY2" t="s">
        <v>17840</v>
      </c>
      <c r="AFZ2">
        <v>3.4</v>
      </c>
      <c r="AGA2">
        <v>2024</v>
      </c>
      <c r="AGB2" t="s">
        <v>17841</v>
      </c>
      <c r="AGC2" t="s">
        <v>17842</v>
      </c>
      <c r="AGD2">
        <v>3.3</v>
      </c>
      <c r="AGE2">
        <v>2024</v>
      </c>
      <c r="AGF2" t="s">
        <v>17843</v>
      </c>
      <c r="AGG2" t="s">
        <v>17844</v>
      </c>
      <c r="AGH2">
        <v>3.4</v>
      </c>
      <c r="AGI2">
        <v>2023</v>
      </c>
      <c r="AGJ2" t="s">
        <v>17820</v>
      </c>
      <c r="AGK2" t="s">
        <v>298</v>
      </c>
      <c r="AGL2">
        <v>3.2</v>
      </c>
      <c r="AGM2">
        <v>2023</v>
      </c>
      <c r="AGN2" t="s">
        <v>17821</v>
      </c>
      <c r="AGO2" t="s">
        <v>17822</v>
      </c>
      <c r="AGP2">
        <v>3.1</v>
      </c>
      <c r="AGQ2">
        <v>2023</v>
      </c>
      <c r="AGR2" t="s">
        <v>17823</v>
      </c>
      <c r="AGS2" t="s">
        <v>17824</v>
      </c>
      <c r="AGT2">
        <v>3.2</v>
      </c>
      <c r="AGU2">
        <v>2023</v>
      </c>
      <c r="AGV2" t="s">
        <v>17825</v>
      </c>
      <c r="AGW2" t="s">
        <v>17826</v>
      </c>
      <c r="AGX2">
        <v>3.4</v>
      </c>
      <c r="AGY2">
        <v>2023</v>
      </c>
      <c r="AGZ2" t="s">
        <v>17827</v>
      </c>
      <c r="AHA2" t="s">
        <v>17828</v>
      </c>
      <c r="AHB2">
        <v>3.4</v>
      </c>
      <c r="AHC2">
        <v>2023</v>
      </c>
      <c r="AHD2" t="s">
        <v>17829</v>
      </c>
      <c r="AHE2" t="s">
        <v>17830</v>
      </c>
      <c r="AHF2">
        <v>3.5</v>
      </c>
      <c r="AHG2">
        <v>2023</v>
      </c>
      <c r="AHH2" t="s">
        <v>17831</v>
      </c>
      <c r="AHI2" t="s">
        <v>17832</v>
      </c>
      <c r="AHJ2">
        <v>3.3</v>
      </c>
      <c r="AHK2">
        <v>2023</v>
      </c>
      <c r="AHL2" t="s">
        <v>17833</v>
      </c>
      <c r="AHM2" t="s">
        <v>17834</v>
      </c>
      <c r="AHN2">
        <v>3.3</v>
      </c>
      <c r="AHO2">
        <v>2023</v>
      </c>
      <c r="AHP2" t="s">
        <v>17835</v>
      </c>
      <c r="AHQ2" t="s">
        <v>17836</v>
      </c>
      <c r="AHR2">
        <v>3</v>
      </c>
      <c r="AHS2">
        <v>2023</v>
      </c>
      <c r="AHT2" t="s">
        <v>17837</v>
      </c>
      <c r="AHU2" t="s">
        <v>17838</v>
      </c>
      <c r="AHV2">
        <v>2.6</v>
      </c>
      <c r="AHW2">
        <v>2023</v>
      </c>
      <c r="AHX2" t="s">
        <v>17839</v>
      </c>
      <c r="AHY2" t="s">
        <v>17840</v>
      </c>
      <c r="AHZ2">
        <v>3</v>
      </c>
      <c r="AIA2">
        <v>2023</v>
      </c>
      <c r="AIB2" t="s">
        <v>17841</v>
      </c>
      <c r="AIC2" t="s">
        <v>17842</v>
      </c>
      <c r="AID2">
        <v>3.1</v>
      </c>
      <c r="AIE2">
        <v>2023</v>
      </c>
      <c r="AIF2" t="s">
        <v>17843</v>
      </c>
      <c r="AIG2" t="s">
        <v>17844</v>
      </c>
      <c r="AIH2">
        <v>3.4</v>
      </c>
      <c r="AII2">
        <v>2022</v>
      </c>
      <c r="AIJ2" t="s">
        <v>17820</v>
      </c>
      <c r="AIK2" t="s">
        <v>298</v>
      </c>
      <c r="AIL2">
        <v>3.3</v>
      </c>
      <c r="AIM2">
        <v>2022</v>
      </c>
      <c r="AIN2" t="s">
        <v>17821</v>
      </c>
      <c r="AIO2" t="s">
        <v>17822</v>
      </c>
      <c r="AIP2">
        <v>3.3</v>
      </c>
      <c r="AIQ2">
        <v>2022</v>
      </c>
      <c r="AIR2" t="s">
        <v>17823</v>
      </c>
      <c r="AIS2" t="s">
        <v>17824</v>
      </c>
      <c r="AIT2">
        <v>4</v>
      </c>
      <c r="AIU2">
        <v>2022</v>
      </c>
      <c r="AIV2" t="s">
        <v>17825</v>
      </c>
      <c r="AIW2" t="s">
        <v>17826</v>
      </c>
      <c r="AIX2">
        <v>4.5</v>
      </c>
      <c r="AIY2">
        <v>2022</v>
      </c>
      <c r="AIZ2" t="s">
        <v>17827</v>
      </c>
      <c r="AJA2" t="s">
        <v>17828</v>
      </c>
      <c r="AJB2">
        <v>2.9</v>
      </c>
      <c r="AJC2">
        <v>2022</v>
      </c>
      <c r="AJD2" t="s">
        <v>17829</v>
      </c>
      <c r="AJE2" t="s">
        <v>17830</v>
      </c>
      <c r="AJF2">
        <v>3.1</v>
      </c>
      <c r="AJG2">
        <v>2022</v>
      </c>
      <c r="AJH2" t="s">
        <v>17831</v>
      </c>
      <c r="AJI2" t="s">
        <v>17832</v>
      </c>
      <c r="AJJ2">
        <v>3.1</v>
      </c>
      <c r="AJK2">
        <v>2022</v>
      </c>
      <c r="AJL2" t="s">
        <v>17833</v>
      </c>
      <c r="AJM2" t="s">
        <v>17834</v>
      </c>
      <c r="AJN2">
        <v>3.2</v>
      </c>
      <c r="AJO2">
        <v>2022</v>
      </c>
      <c r="AJP2" t="s">
        <v>17835</v>
      </c>
      <c r="AJQ2" t="s">
        <v>17836</v>
      </c>
      <c r="AJR2">
        <v>2.8</v>
      </c>
      <c r="AJS2">
        <v>2022</v>
      </c>
      <c r="AJT2" t="s">
        <v>17837</v>
      </c>
      <c r="AJU2" t="s">
        <v>17838</v>
      </c>
      <c r="AJV2">
        <v>2.6</v>
      </c>
      <c r="AJW2">
        <v>2022</v>
      </c>
      <c r="AJX2" t="s">
        <v>17839</v>
      </c>
      <c r="AJY2" t="s">
        <v>17840</v>
      </c>
      <c r="AJZ2">
        <v>2.9</v>
      </c>
      <c r="AKA2">
        <v>2022</v>
      </c>
      <c r="AKB2" t="s">
        <v>17841</v>
      </c>
      <c r="AKC2" t="s">
        <v>17842</v>
      </c>
      <c r="AKD2">
        <v>3.2</v>
      </c>
      <c r="AKE2">
        <v>2022</v>
      </c>
      <c r="AKF2" t="s">
        <v>17843</v>
      </c>
      <c r="AKG2" t="s">
        <v>17844</v>
      </c>
      <c r="AKH2">
        <v>3.7</v>
      </c>
      <c r="AKI2">
        <v>2021</v>
      </c>
      <c r="AKJ2" t="s">
        <v>17820</v>
      </c>
      <c r="AKK2" t="s">
        <v>298</v>
      </c>
      <c r="AKL2">
        <v>4.3</v>
      </c>
      <c r="AKM2">
        <v>2021</v>
      </c>
      <c r="AKN2" t="s">
        <v>17821</v>
      </c>
      <c r="AKO2" t="s">
        <v>17822</v>
      </c>
      <c r="AKP2">
        <v>3.1</v>
      </c>
      <c r="AKQ2">
        <v>2021</v>
      </c>
      <c r="AKR2" t="s">
        <v>17823</v>
      </c>
      <c r="AKS2" t="s">
        <v>17824</v>
      </c>
      <c r="AKT2">
        <v>3.6</v>
      </c>
      <c r="AKU2">
        <v>2021</v>
      </c>
      <c r="AKV2" t="s">
        <v>17825</v>
      </c>
      <c r="AKW2" t="s">
        <v>17826</v>
      </c>
      <c r="AKX2">
        <v>3.8</v>
      </c>
      <c r="AKY2">
        <v>2021</v>
      </c>
      <c r="AKZ2" t="s">
        <v>17827</v>
      </c>
      <c r="ALA2" t="s">
        <v>17828</v>
      </c>
      <c r="ALB2">
        <v>4</v>
      </c>
      <c r="ALC2">
        <v>2021</v>
      </c>
      <c r="ALD2" t="s">
        <v>17829</v>
      </c>
      <c r="ALE2" t="s">
        <v>17830</v>
      </c>
      <c r="ALF2">
        <v>4.4000000000000004</v>
      </c>
      <c r="ALG2">
        <v>2021</v>
      </c>
      <c r="ALH2" t="s">
        <v>17831</v>
      </c>
      <c r="ALI2" t="s">
        <v>17832</v>
      </c>
      <c r="ALJ2">
        <v>4.5999999999999996</v>
      </c>
      <c r="ALK2">
        <v>2021</v>
      </c>
      <c r="ALL2" t="s">
        <v>17833</v>
      </c>
      <c r="ALM2" t="s">
        <v>17834</v>
      </c>
      <c r="ALN2">
        <v>4.8</v>
      </c>
      <c r="ALO2">
        <v>2021</v>
      </c>
      <c r="ALP2" t="s">
        <v>17835</v>
      </c>
      <c r="ALQ2" t="s">
        <v>17836</v>
      </c>
      <c r="ALR2">
        <v>4.2</v>
      </c>
      <c r="ALS2">
        <v>2021</v>
      </c>
      <c r="ALT2" t="s">
        <v>17837</v>
      </c>
      <c r="ALU2" t="s">
        <v>17838</v>
      </c>
      <c r="ALV2">
        <v>4.3</v>
      </c>
      <c r="ALW2">
        <v>2021</v>
      </c>
      <c r="ALX2" t="s">
        <v>17839</v>
      </c>
      <c r="ALY2" t="s">
        <v>17840</v>
      </c>
      <c r="ALZ2">
        <v>4.5999999999999996</v>
      </c>
      <c r="AMA2">
        <v>2021</v>
      </c>
      <c r="AMB2" t="s">
        <v>17841</v>
      </c>
      <c r="AMC2" t="s">
        <v>17842</v>
      </c>
      <c r="AMD2">
        <v>4.7</v>
      </c>
      <c r="AME2">
        <v>2021</v>
      </c>
      <c r="AMF2" t="s">
        <v>17843</v>
      </c>
      <c r="AMG2" t="s">
        <v>17844</v>
      </c>
      <c r="AMH2">
        <v>5.2</v>
      </c>
      <c r="AMI2">
        <v>2020</v>
      </c>
      <c r="AMJ2" t="s">
        <v>17820</v>
      </c>
      <c r="AMK2" t="s">
        <v>298</v>
      </c>
      <c r="AML2">
        <v>7.7</v>
      </c>
      <c r="AMM2">
        <v>2020</v>
      </c>
      <c r="AMN2" t="s">
        <v>17821</v>
      </c>
      <c r="AMO2" t="s">
        <v>17822</v>
      </c>
      <c r="AMP2">
        <v>5.3</v>
      </c>
      <c r="AMQ2">
        <v>2020</v>
      </c>
      <c r="AMR2" t="s">
        <v>17823</v>
      </c>
      <c r="AMS2" t="s">
        <v>17824</v>
      </c>
      <c r="AMT2">
        <v>5.8</v>
      </c>
      <c r="AMU2">
        <v>2020</v>
      </c>
      <c r="AMV2" t="s">
        <v>17825</v>
      </c>
      <c r="AMW2" t="s">
        <v>17826</v>
      </c>
      <c r="AMX2">
        <v>6.3</v>
      </c>
      <c r="AMY2">
        <v>2020</v>
      </c>
      <c r="AMZ2" t="s">
        <v>17827</v>
      </c>
      <c r="ANA2" t="s">
        <v>17828</v>
      </c>
      <c r="ANB2">
        <v>7.6</v>
      </c>
      <c r="ANC2">
        <v>2020</v>
      </c>
      <c r="AND2" t="s">
        <v>17829</v>
      </c>
      <c r="ANE2" t="s">
        <v>17830</v>
      </c>
      <c r="ANF2">
        <v>8.1999999999999993</v>
      </c>
      <c r="ANG2">
        <v>2020</v>
      </c>
      <c r="ANH2" t="s">
        <v>17831</v>
      </c>
      <c r="ANI2" t="s">
        <v>17832</v>
      </c>
      <c r="ANJ2">
        <v>11.6</v>
      </c>
      <c r="ANK2">
        <v>2020</v>
      </c>
      <c r="ANL2" t="s">
        <v>17833</v>
      </c>
      <c r="ANM2" t="s">
        <v>17834</v>
      </c>
      <c r="ANN2">
        <v>11.2</v>
      </c>
      <c r="ANO2">
        <v>2020</v>
      </c>
      <c r="ANP2" t="s">
        <v>17835</v>
      </c>
      <c r="ANQ2" t="s">
        <v>17836</v>
      </c>
      <c r="ANR2">
        <v>13.8</v>
      </c>
      <c r="ANS2">
        <v>2020</v>
      </c>
      <c r="ANT2" t="s">
        <v>17837</v>
      </c>
      <c r="ANU2" t="s">
        <v>17838</v>
      </c>
      <c r="ANV2">
        <v>13.9</v>
      </c>
      <c r="ANW2">
        <v>2020</v>
      </c>
      <c r="ANX2" t="s">
        <v>17839</v>
      </c>
      <c r="ANY2" t="s">
        <v>17840</v>
      </c>
      <c r="ANZ2">
        <v>4.3</v>
      </c>
      <c r="AOA2">
        <v>2020</v>
      </c>
      <c r="AOB2" t="s">
        <v>17841</v>
      </c>
      <c r="AOC2" t="s">
        <v>17842</v>
      </c>
      <c r="AOD2">
        <v>2.7</v>
      </c>
      <c r="AOE2">
        <v>2020</v>
      </c>
      <c r="AOF2" t="s">
        <v>17843</v>
      </c>
      <c r="AOG2" t="s">
        <v>17844</v>
      </c>
      <c r="AOH2">
        <v>3.1</v>
      </c>
      <c r="AOI2">
        <v>2019</v>
      </c>
      <c r="AOJ2" t="s">
        <v>17820</v>
      </c>
      <c r="AOK2" t="s">
        <v>298</v>
      </c>
      <c r="AOL2">
        <v>3.2</v>
      </c>
      <c r="AOM2">
        <v>2019</v>
      </c>
      <c r="AON2" t="s">
        <v>17821</v>
      </c>
      <c r="AOO2" t="s">
        <v>17822</v>
      </c>
      <c r="AOP2">
        <v>2.7</v>
      </c>
      <c r="AOQ2">
        <v>2019</v>
      </c>
      <c r="AOR2" t="s">
        <v>17823</v>
      </c>
      <c r="AOS2" t="s">
        <v>17824</v>
      </c>
      <c r="AOT2">
        <v>3</v>
      </c>
      <c r="AOU2">
        <v>2019</v>
      </c>
      <c r="AOV2" t="s">
        <v>17825</v>
      </c>
      <c r="AOW2" t="s">
        <v>17826</v>
      </c>
      <c r="AOX2">
        <v>3.1</v>
      </c>
      <c r="AOY2">
        <v>2019</v>
      </c>
      <c r="AOZ2" t="s">
        <v>17827</v>
      </c>
      <c r="APA2" t="s">
        <v>17828</v>
      </c>
      <c r="APB2">
        <v>3.2</v>
      </c>
      <c r="APC2">
        <v>2019</v>
      </c>
      <c r="APD2" t="s">
        <v>17829</v>
      </c>
      <c r="APE2" t="s">
        <v>17830</v>
      </c>
      <c r="APF2">
        <v>3.5</v>
      </c>
      <c r="APG2">
        <v>2019</v>
      </c>
      <c r="APH2" t="s">
        <v>17831</v>
      </c>
      <c r="API2" t="s">
        <v>17832</v>
      </c>
      <c r="APJ2">
        <v>3.6</v>
      </c>
      <c r="APK2">
        <v>2019</v>
      </c>
      <c r="APL2" t="s">
        <v>17833</v>
      </c>
      <c r="APM2" t="s">
        <v>17834</v>
      </c>
      <c r="APN2">
        <v>3.6</v>
      </c>
      <c r="APO2">
        <v>2019</v>
      </c>
      <c r="APP2" t="s">
        <v>17835</v>
      </c>
      <c r="APQ2" t="s">
        <v>17836</v>
      </c>
      <c r="APR2">
        <v>3.1</v>
      </c>
      <c r="APS2">
        <v>2019</v>
      </c>
      <c r="APT2" t="s">
        <v>17837</v>
      </c>
      <c r="APU2" t="s">
        <v>17838</v>
      </c>
      <c r="APV2">
        <v>2.9</v>
      </c>
      <c r="APW2">
        <v>2019</v>
      </c>
      <c r="APX2" t="s">
        <v>17839</v>
      </c>
      <c r="APY2" t="s">
        <v>17840</v>
      </c>
      <c r="APZ2">
        <v>3.2</v>
      </c>
      <c r="AQA2">
        <v>2019</v>
      </c>
      <c r="AQB2" t="s">
        <v>17841</v>
      </c>
      <c r="AQC2" t="s">
        <v>17842</v>
      </c>
      <c r="AQD2">
        <v>3.2</v>
      </c>
      <c r="AQE2">
        <v>2019</v>
      </c>
      <c r="AQF2" t="s">
        <v>17843</v>
      </c>
      <c r="AQG2" t="s">
        <v>17844</v>
      </c>
      <c r="AQH2">
        <v>3.7</v>
      </c>
      <c r="AQI2" t="s">
        <v>18701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68728-D881-4507-8496-1A7A70ECAE10}">
  <sheetPr codeName="Sheet92"/>
  <dimension ref="B1:Z24"/>
  <sheetViews>
    <sheetView showGridLines="0" workbookViewId="0">
      <selection activeCell="P27" sqref="P27"/>
    </sheetView>
  </sheetViews>
  <sheetFormatPr defaultColWidth="9.140625" defaultRowHeight="10.5" x14ac:dyDescent="0.15"/>
  <cols>
    <col min="1" max="1" width="4.7109375" style="3083" customWidth="1"/>
    <col min="2" max="2" width="7.28515625" style="3083" bestFit="1" customWidth="1"/>
    <col min="3" max="8" width="9.140625" style="3083"/>
    <col min="9" max="9" width="18.7109375" style="3083" bestFit="1" customWidth="1"/>
    <col min="10" max="10" width="4.7109375" style="3083" customWidth="1"/>
    <col min="11" max="16" width="9.140625" style="3083"/>
    <col min="17" max="17" width="18.7109375" style="3083" bestFit="1" customWidth="1"/>
    <col min="18" max="18" width="4.7109375" style="3083" customWidth="1"/>
    <col min="19" max="24" width="9.140625" style="3083"/>
    <col min="25" max="25" width="18.7109375" style="3083" bestFit="1" customWidth="1"/>
    <col min="26" max="26" width="4.7109375" style="3083" customWidth="1"/>
    <col min="27" max="16384" width="9.140625" style="3083"/>
  </cols>
  <sheetData>
    <row r="1" spans="2:26" x14ac:dyDescent="0.15">
      <c r="B1" s="3082"/>
      <c r="C1" s="3082"/>
      <c r="D1" s="3082"/>
      <c r="E1" s="3082"/>
      <c r="F1" s="3082"/>
      <c r="G1" s="3082"/>
      <c r="H1" s="3082"/>
      <c r="I1" s="3082"/>
      <c r="J1" s="3082"/>
      <c r="K1" s="3082"/>
      <c r="L1" s="3082"/>
      <c r="M1" s="3082"/>
      <c r="N1" s="3082"/>
      <c r="O1" s="3082"/>
      <c r="P1" s="3082"/>
      <c r="Q1" s="3082"/>
      <c r="R1" s="3082"/>
      <c r="S1" s="3082"/>
      <c r="T1" s="3082"/>
      <c r="U1" s="3082"/>
      <c r="V1" s="3082"/>
      <c r="W1" s="3082"/>
      <c r="X1" s="3082"/>
      <c r="Y1" s="3082"/>
      <c r="Z1" s="3082"/>
    </row>
    <row r="2" spans="2:26" x14ac:dyDescent="0.15">
      <c r="C2" s="3084" t="s">
        <v>18784</v>
      </c>
      <c r="D2" s="3085" t="s">
        <v>18785</v>
      </c>
      <c r="E2" s="3086"/>
      <c r="F2" s="3086" t="s">
        <v>18786</v>
      </c>
      <c r="G2" s="3086"/>
      <c r="H2" s="3086"/>
      <c r="I2" s="3087"/>
      <c r="K2" s="3084" t="s">
        <v>18784</v>
      </c>
      <c r="L2" s="3085" t="s">
        <v>18785</v>
      </c>
      <c r="M2" s="3086"/>
      <c r="N2" s="3086"/>
      <c r="O2" s="3086"/>
      <c r="P2" s="3086"/>
      <c r="Q2" s="3087"/>
      <c r="S2" s="3084" t="s">
        <v>18784</v>
      </c>
      <c r="T2" s="3085" t="s">
        <v>18785</v>
      </c>
      <c r="U2" s="3086"/>
      <c r="V2" s="3086"/>
      <c r="W2" s="3086"/>
      <c r="X2" s="3086"/>
      <c r="Y2" s="3087"/>
    </row>
    <row r="3" spans="2:26" x14ac:dyDescent="0.15">
      <c r="C3" s="3088">
        <f>RADIANS(Subject_Latitude)</f>
        <v>0.46358604814749432</v>
      </c>
      <c r="D3" s="2202">
        <f>RADIANS(Subject_Longitude)</f>
        <v>-1.430284703278861</v>
      </c>
      <c r="F3" s="3089">
        <v>0</v>
      </c>
      <c r="I3" s="3090"/>
      <c r="K3" s="3088">
        <f>RADIANS(Subject_Latitude)</f>
        <v>0.46358604814749432</v>
      </c>
      <c r="L3" s="2202">
        <f>RADIANS(Subject_Longitude)</f>
        <v>-1.430284703278861</v>
      </c>
      <c r="Q3" s="3090"/>
      <c r="S3" s="3088">
        <f>RADIANS(Subject_Latitude)</f>
        <v>0.46358604814749432</v>
      </c>
      <c r="T3" s="2202">
        <f>RADIANS(Subject_Longitude)</f>
        <v>-1.430284703278861</v>
      </c>
      <c r="Y3" s="3090"/>
    </row>
    <row r="4" spans="2:26" x14ac:dyDescent="0.15">
      <c r="C4" s="3091" t="s">
        <v>18787</v>
      </c>
      <c r="D4" s="3092" t="s">
        <v>18788</v>
      </c>
      <c r="E4" s="3092" t="s">
        <v>119</v>
      </c>
      <c r="F4" s="3093" t="s">
        <v>18789</v>
      </c>
      <c r="I4" s="3094" t="s">
        <v>18790</v>
      </c>
      <c r="K4" s="3091" t="s">
        <v>18787</v>
      </c>
      <c r="L4" s="3092" t="s">
        <v>18788</v>
      </c>
      <c r="M4" s="3092" t="s">
        <v>119</v>
      </c>
      <c r="Q4" s="3094" t="s">
        <v>18791</v>
      </c>
      <c r="S4" s="3091" t="s">
        <v>18787</v>
      </c>
      <c r="T4" s="3092" t="s">
        <v>18788</v>
      </c>
      <c r="U4" s="3092" t="s">
        <v>119</v>
      </c>
      <c r="Y4" s="3094" t="s">
        <v>18792</v>
      </c>
    </row>
    <row r="5" spans="2:26" x14ac:dyDescent="0.15">
      <c r="C5" s="3095">
        <v>3958.7559999999999</v>
      </c>
      <c r="D5" s="2204">
        <f>Ring1</f>
        <v>1</v>
      </c>
      <c r="E5" s="2202">
        <f>RADIANS(D5)/RADIANS(C5)</f>
        <v>2.5260460609342932E-4</v>
      </c>
      <c r="F5" s="3089">
        <v>22.5</v>
      </c>
      <c r="I5" s="3090"/>
      <c r="K5" s="3088">
        <f>C5</f>
        <v>3958.7559999999999</v>
      </c>
      <c r="L5" s="2204">
        <f>Ring2</f>
        <v>3</v>
      </c>
      <c r="M5" s="2202">
        <f>RADIANS(L5)/RADIANS(K5)</f>
        <v>7.5781381828028801E-4</v>
      </c>
      <c r="Q5" s="3090"/>
      <c r="S5" s="3088">
        <f>C5</f>
        <v>3958.7559999999999</v>
      </c>
      <c r="T5" s="2204">
        <f>Ring3</f>
        <v>5</v>
      </c>
      <c r="U5" s="2202">
        <f>RADIANS(T5)/RADIANS(S5)</f>
        <v>1.2630230304671467E-3</v>
      </c>
      <c r="Y5" s="3090"/>
    </row>
    <row r="6" spans="2:26" x14ac:dyDescent="0.15">
      <c r="C6" s="3095"/>
      <c r="D6" s="3096"/>
      <c r="F6" s="3089"/>
      <c r="I6" s="3090"/>
      <c r="K6" s="3095"/>
      <c r="L6" s="3096"/>
      <c r="Q6" s="3090"/>
      <c r="S6" s="3095"/>
      <c r="T6" s="3096"/>
      <c r="Y6" s="3090"/>
    </row>
    <row r="7" spans="2:26" x14ac:dyDescent="0.15">
      <c r="B7" s="3097" t="s">
        <v>18793</v>
      </c>
      <c r="C7" s="3098" t="s">
        <v>18784</v>
      </c>
      <c r="D7" s="3099" t="s">
        <v>18785</v>
      </c>
      <c r="E7" s="3099" t="s">
        <v>18794</v>
      </c>
      <c r="F7" s="3099" t="s">
        <v>18795</v>
      </c>
      <c r="G7" s="3100" t="s">
        <v>18796</v>
      </c>
      <c r="H7" s="3100" t="s">
        <v>18797</v>
      </c>
      <c r="I7" s="3101" t="s">
        <v>18798</v>
      </c>
      <c r="K7" s="3098" t="s">
        <v>18784</v>
      </c>
      <c r="L7" s="3099" t="s">
        <v>18785</v>
      </c>
      <c r="M7" s="3099" t="s">
        <v>18794</v>
      </c>
      <c r="N7" s="3099" t="s">
        <v>18795</v>
      </c>
      <c r="O7" s="3100" t="s">
        <v>18796</v>
      </c>
      <c r="P7" s="3100" t="s">
        <v>18797</v>
      </c>
      <c r="Q7" s="3101" t="s">
        <v>18798</v>
      </c>
      <c r="S7" s="3098" t="s">
        <v>18784</v>
      </c>
      <c r="T7" s="3099" t="s">
        <v>18785</v>
      </c>
      <c r="U7" s="3099" t="s">
        <v>18794</v>
      </c>
      <c r="V7" s="3099" t="s">
        <v>18795</v>
      </c>
      <c r="W7" s="3100" t="s">
        <v>18796</v>
      </c>
      <c r="X7" s="3100" t="s">
        <v>18797</v>
      </c>
      <c r="Y7" s="3101" t="s">
        <v>18798</v>
      </c>
    </row>
    <row r="8" spans="2:26" x14ac:dyDescent="0.15">
      <c r="B8" s="3089">
        <v>1</v>
      </c>
      <c r="C8" s="3088">
        <f t="shared" ref="C8:C24" si="0">ASIN(SIN(C$3)*COS(E$5)+
COS(C$3)*SIN(E$5)*COS(E8))</f>
        <v>0.46383865275358777</v>
      </c>
      <c r="D8" s="2202">
        <f t="shared" ref="D8:D24" si="1">D$3+ATAN2(COS(E$5)-SIN(C$3)*SIN(C8),
SIN(E8)*SIN(E$5)*COS(C$3))</f>
        <v>-1.430284703278861</v>
      </c>
      <c r="E8" s="2202">
        <f t="shared" ref="E8:E24" si="2">RADIANS(F8)</f>
        <v>0</v>
      </c>
      <c r="F8" s="2201">
        <f>$F$3</f>
        <v>0</v>
      </c>
      <c r="G8" s="2202">
        <f t="shared" ref="G8:H24" si="3">ROUND(DEGREES(C8),6)</f>
        <v>26.575997000000001</v>
      </c>
      <c r="H8" s="2202">
        <f t="shared" si="3"/>
        <v>-81.949276999999995</v>
      </c>
      <c r="I8" s="3102" t="str">
        <f t="shared" ref="I8:I24" si="4">_xlfn.TEXTJOIN(",",H8,G8,H8)</f>
        <v>26.575997,-81.949277</v>
      </c>
      <c r="K8" s="3088">
        <f t="shared" ref="K8:K24" si="5">ASIN(SIN(K$3)*COS(M$5)+
COS(K$3)*SIN(M$5)*COS(M8))</f>
        <v>0.46434386196577465</v>
      </c>
      <c r="L8" s="2202">
        <f t="shared" ref="L8:L24" si="6">L$3+ATAN2(COS(M$5)-SIN(K$3)*SIN(K8),
SIN(M8)*SIN(M$5)*COS(K$3))</f>
        <v>-1.430284703278861</v>
      </c>
      <c r="M8" s="2202">
        <f t="shared" ref="M8:M24" si="7">RADIANS(N8)</f>
        <v>0</v>
      </c>
      <c r="N8" s="2201">
        <f>F8</f>
        <v>0</v>
      </c>
      <c r="O8" s="2202">
        <f t="shared" ref="O8:P24" si="8">ROUND(DEGREES(K8),6)</f>
        <v>26.604944</v>
      </c>
      <c r="P8" s="2202">
        <f t="shared" si="8"/>
        <v>-81.949276999999995</v>
      </c>
      <c r="Q8" s="3102" t="str">
        <f t="shared" ref="Q8:Q24" si="9">_xlfn.TEXTJOIN(",",P8,O8,P8)</f>
        <v>26.604944,-81.949277</v>
      </c>
      <c r="S8" s="3088">
        <f t="shared" ref="S8:S24" si="10">ASIN(SIN(S$3)*COS(U$5)+
COS(S$3)*SIN(U$5)*COS(U8))</f>
        <v>0.46484907117796148</v>
      </c>
      <c r="T8" s="2202">
        <f t="shared" ref="T8:T24" si="11">T$3+ATAN2(COS(U$5)-SIN(S$3)*SIN(S8),
SIN(U8)*SIN(U$5)*COS(S$3))</f>
        <v>-1.430284703278861</v>
      </c>
      <c r="U8" s="2202">
        <f t="shared" ref="U8:U24" si="12">RADIANS(V8)</f>
        <v>0</v>
      </c>
      <c r="V8" s="2201">
        <f>F8</f>
        <v>0</v>
      </c>
      <c r="W8" s="2202">
        <f t="shared" ref="W8:X24" si="13">ROUND(DEGREES(S8),6)</f>
        <v>26.633890000000001</v>
      </c>
      <c r="X8" s="2202">
        <f t="shared" si="13"/>
        <v>-81.949276999999995</v>
      </c>
      <c r="Y8" s="3102" t="str">
        <f t="shared" ref="Y8:Y24" si="14">_xlfn.TEXTJOIN(",",X8,W8,X8)</f>
        <v>26.63389,-81.949277</v>
      </c>
    </row>
    <row r="9" spans="2:26" x14ac:dyDescent="0.15">
      <c r="B9" s="3089">
        <v>2</v>
      </c>
      <c r="C9" s="3088">
        <f t="shared" si="0"/>
        <v>0.46381942203644949</v>
      </c>
      <c r="D9" s="2202">
        <f t="shared" si="1"/>
        <v>-1.4301766163330021</v>
      </c>
      <c r="E9" s="2202">
        <f t="shared" si="2"/>
        <v>0.39269908169872414</v>
      </c>
      <c r="F9" s="2201">
        <f>F8+$F$5</f>
        <v>22.5</v>
      </c>
      <c r="G9" s="2202">
        <f t="shared" si="3"/>
        <v>26.574895000000001</v>
      </c>
      <c r="H9" s="2202">
        <f t="shared" si="3"/>
        <v>-81.943083999999999</v>
      </c>
      <c r="I9" s="3102" t="str">
        <f t="shared" si="4"/>
        <v>26.574895,-81.943084</v>
      </c>
      <c r="K9" s="3088">
        <f t="shared" si="5"/>
        <v>0.4642861557843076</v>
      </c>
      <c r="L9" s="2202">
        <f t="shared" si="6"/>
        <v>-1.4299603667065686</v>
      </c>
      <c r="M9" s="2202">
        <f t="shared" si="7"/>
        <v>0.39269908169872414</v>
      </c>
      <c r="N9" s="2201">
        <f t="shared" ref="N9:N24" si="15">F9</f>
        <v>22.5</v>
      </c>
      <c r="O9" s="2202">
        <f t="shared" si="8"/>
        <v>26.601637</v>
      </c>
      <c r="P9" s="2202">
        <f t="shared" si="8"/>
        <v>-81.930694000000003</v>
      </c>
      <c r="Q9" s="3102" t="str">
        <f t="shared" si="9"/>
        <v>26.601637,-81.930694</v>
      </c>
      <c r="S9" s="3088">
        <f t="shared" si="10"/>
        <v>0.46475287079994942</v>
      </c>
      <c r="T9" s="2202">
        <f t="shared" si="11"/>
        <v>-1.4297440159663501</v>
      </c>
      <c r="U9" s="2202">
        <f t="shared" si="12"/>
        <v>0.39269908169872414</v>
      </c>
      <c r="V9" s="2201">
        <f t="shared" ref="V9:V24" si="16">F9</f>
        <v>22.5</v>
      </c>
      <c r="W9" s="2202">
        <f t="shared" si="13"/>
        <v>26.628378000000001</v>
      </c>
      <c r="X9" s="2202">
        <f t="shared" si="13"/>
        <v>-81.918297999999993</v>
      </c>
      <c r="Y9" s="3102" t="str">
        <f t="shared" si="14"/>
        <v>26.628378,-81.918298</v>
      </c>
    </row>
    <row r="10" spans="2:26" x14ac:dyDescent="0.15">
      <c r="B10" s="3089">
        <v>3</v>
      </c>
      <c r="C10" s="3088">
        <f t="shared" si="0"/>
        <v>0.46376465860085148</v>
      </c>
      <c r="D10" s="2202">
        <f t="shared" si="1"/>
        <v>-1.4300849901144399</v>
      </c>
      <c r="E10" s="2202">
        <f t="shared" si="2"/>
        <v>0.78539816339744828</v>
      </c>
      <c r="F10" s="2201">
        <f t="shared" ref="F10:F23" si="17">F9+$F$5</f>
        <v>45</v>
      </c>
      <c r="G10" s="2202">
        <f t="shared" si="3"/>
        <v>26.571757999999999</v>
      </c>
      <c r="H10" s="2202">
        <f t="shared" si="3"/>
        <v>-81.937833999999995</v>
      </c>
      <c r="I10" s="3102" t="str">
        <f t="shared" si="4"/>
        <v>26.571758,-81.937834</v>
      </c>
      <c r="K10" s="3088">
        <f t="shared" si="5"/>
        <v>0.46412183161821435</v>
      </c>
      <c r="L10" s="2202">
        <f t="shared" si="6"/>
        <v>-1.4296854567178063</v>
      </c>
      <c r="M10" s="2202">
        <f t="shared" si="7"/>
        <v>0.78539816339744828</v>
      </c>
      <c r="N10" s="2201">
        <f t="shared" si="15"/>
        <v>45</v>
      </c>
      <c r="O10" s="2202">
        <f t="shared" si="8"/>
        <v>26.592222</v>
      </c>
      <c r="P10" s="2202">
        <f t="shared" si="8"/>
        <v>-81.914942999999994</v>
      </c>
      <c r="Q10" s="3102" t="str">
        <f t="shared" si="9"/>
        <v>26.592222,-81.914943</v>
      </c>
      <c r="S10" s="3088">
        <f t="shared" si="10"/>
        <v>0.46447894071656132</v>
      </c>
      <c r="T10" s="2202">
        <f t="shared" si="11"/>
        <v>-1.4292857804366383</v>
      </c>
      <c r="U10" s="2202">
        <f t="shared" si="12"/>
        <v>0.78539816339744828</v>
      </c>
      <c r="V10" s="2201">
        <f t="shared" si="16"/>
        <v>45</v>
      </c>
      <c r="W10" s="2202">
        <f t="shared" si="13"/>
        <v>26.612683000000001</v>
      </c>
      <c r="X10" s="2202">
        <f t="shared" si="13"/>
        <v>-81.892043000000001</v>
      </c>
      <c r="Y10" s="3102" t="str">
        <f t="shared" si="14"/>
        <v>26.612683,-81.892043</v>
      </c>
    </row>
    <row r="11" spans="2:26" x14ac:dyDescent="0.15">
      <c r="B11" s="3089">
        <v>4</v>
      </c>
      <c r="C11" s="3088">
        <f t="shared" si="0"/>
        <v>0.46368270212962986</v>
      </c>
      <c r="D11" s="2202">
        <f t="shared" si="1"/>
        <v>-1.4300237761479901</v>
      </c>
      <c r="E11" s="2202">
        <f t="shared" si="2"/>
        <v>1.1780972450961724</v>
      </c>
      <c r="F11" s="2201">
        <f t="shared" si="17"/>
        <v>67.5</v>
      </c>
      <c r="G11" s="2202">
        <f t="shared" si="3"/>
        <v>26.567062</v>
      </c>
      <c r="H11" s="2202">
        <f t="shared" si="3"/>
        <v>-81.934326999999996</v>
      </c>
      <c r="I11" s="3102" t="str">
        <f t="shared" si="4"/>
        <v>26.567062,-81.934327</v>
      </c>
      <c r="K11" s="3088">
        <f t="shared" si="5"/>
        <v>0.46387592837292935</v>
      </c>
      <c r="L11" s="2202">
        <f t="shared" si="6"/>
        <v>-1.4295018462262585</v>
      </c>
      <c r="M11" s="2202">
        <f t="shared" si="7"/>
        <v>1.1780972450961724</v>
      </c>
      <c r="N11" s="2201">
        <f t="shared" si="15"/>
        <v>67.5</v>
      </c>
      <c r="O11" s="2202">
        <f t="shared" si="8"/>
        <v>26.578133000000001</v>
      </c>
      <c r="P11" s="2202">
        <f t="shared" si="8"/>
        <v>-81.904422999999994</v>
      </c>
      <c r="Q11" s="3102" t="str">
        <f t="shared" si="9"/>
        <v>26.578133,-81.904423</v>
      </c>
      <c r="S11" s="3088">
        <f t="shared" si="10"/>
        <v>0.46406904559351447</v>
      </c>
      <c r="T11" s="2202">
        <f t="shared" si="11"/>
        <v>-1.4289798154151179</v>
      </c>
      <c r="U11" s="2202">
        <f t="shared" si="12"/>
        <v>1.1780972450961724</v>
      </c>
      <c r="V11" s="2201">
        <f t="shared" si="16"/>
        <v>67.5</v>
      </c>
      <c r="W11" s="2202">
        <f t="shared" si="13"/>
        <v>26.589198</v>
      </c>
      <c r="X11" s="2202">
        <f t="shared" si="13"/>
        <v>-81.874511999999996</v>
      </c>
      <c r="Y11" s="3102" t="str">
        <f t="shared" si="14"/>
        <v>26.589198,-81.874512</v>
      </c>
    </row>
    <row r="12" spans="2:26" x14ac:dyDescent="0.15">
      <c r="B12" s="3089">
        <v>5</v>
      </c>
      <c r="C12" s="3088">
        <f t="shared" si="0"/>
        <v>0.46358603219767774</v>
      </c>
      <c r="D12" s="2202">
        <f t="shared" si="1"/>
        <v>-1.430002291437257</v>
      </c>
      <c r="E12" s="2202">
        <f t="shared" si="2"/>
        <v>1.5707963267948966</v>
      </c>
      <c r="F12" s="2201">
        <f t="shared" si="17"/>
        <v>90</v>
      </c>
      <c r="G12" s="2202">
        <f t="shared" si="3"/>
        <v>26.561523000000001</v>
      </c>
      <c r="H12" s="2202">
        <f t="shared" si="3"/>
        <v>-81.933096000000006</v>
      </c>
      <c r="I12" s="3102" t="str">
        <f t="shared" si="4"/>
        <v>26.561523,-81.933096</v>
      </c>
      <c r="K12" s="3088">
        <f t="shared" si="5"/>
        <v>0.46358590459915566</v>
      </c>
      <c r="L12" s="2202">
        <f t="shared" si="6"/>
        <v>-1.4294374677900785</v>
      </c>
      <c r="M12" s="2202">
        <f t="shared" si="7"/>
        <v>1.5707963267948966</v>
      </c>
      <c r="N12" s="2201">
        <f t="shared" si="15"/>
        <v>90</v>
      </c>
      <c r="O12" s="2202">
        <f t="shared" si="8"/>
        <v>26.561516000000001</v>
      </c>
      <c r="P12" s="2202">
        <f t="shared" si="8"/>
        <v>-81.900734</v>
      </c>
      <c r="Q12" s="3102" t="str">
        <f t="shared" si="9"/>
        <v>26.561516,-81.900734</v>
      </c>
      <c r="S12" s="3088">
        <f t="shared" si="10"/>
        <v>0.46358564940216851</v>
      </c>
      <c r="T12" s="2202">
        <f t="shared" si="11"/>
        <v>-1.4288726442509894</v>
      </c>
      <c r="U12" s="2202">
        <f t="shared" si="12"/>
        <v>1.5707963267948966</v>
      </c>
      <c r="V12" s="2201">
        <f t="shared" si="16"/>
        <v>90</v>
      </c>
      <c r="W12" s="2202">
        <f t="shared" si="13"/>
        <v>26.561501</v>
      </c>
      <c r="X12" s="2202">
        <f t="shared" si="13"/>
        <v>-81.868371999999994</v>
      </c>
      <c r="Y12" s="3102" t="str">
        <f t="shared" si="14"/>
        <v>26.561501,-81.868372</v>
      </c>
    </row>
    <row r="13" spans="2:26" x14ac:dyDescent="0.15">
      <c r="B13" s="3089">
        <v>6</v>
      </c>
      <c r="C13" s="3088">
        <f t="shared" si="0"/>
        <v>0.46348936693731851</v>
      </c>
      <c r="D13" s="2202">
        <f t="shared" si="1"/>
        <v>-1.430023801366088</v>
      </c>
      <c r="E13" s="2202">
        <f t="shared" si="2"/>
        <v>1.9634954084936207</v>
      </c>
      <c r="F13" s="2201">
        <f t="shared" si="17"/>
        <v>112.5</v>
      </c>
      <c r="G13" s="2202">
        <f t="shared" si="3"/>
        <v>26.555985</v>
      </c>
      <c r="H13" s="2202">
        <f t="shared" si="3"/>
        <v>-81.934327999999994</v>
      </c>
      <c r="I13" s="3102" t="str">
        <f t="shared" si="4"/>
        <v>26.555985,-81.934328</v>
      </c>
      <c r="K13" s="3088">
        <f t="shared" si="5"/>
        <v>0.46329592286969501</v>
      </c>
      <c r="L13" s="2202">
        <f t="shared" si="6"/>
        <v>-1.4295020731890968</v>
      </c>
      <c r="M13" s="2202">
        <f t="shared" si="7"/>
        <v>1.9634954084936207</v>
      </c>
      <c r="N13" s="2201">
        <f t="shared" si="15"/>
        <v>112.5</v>
      </c>
      <c r="O13" s="2202">
        <f t="shared" si="8"/>
        <v>26.544900999999999</v>
      </c>
      <c r="P13" s="2202">
        <f t="shared" si="8"/>
        <v>-81.904436000000004</v>
      </c>
      <c r="Q13" s="3102" t="str">
        <f t="shared" si="9"/>
        <v>26.544901,-81.904436</v>
      </c>
      <c r="S13" s="3088">
        <f t="shared" si="10"/>
        <v>0.46310237000045562</v>
      </c>
      <c r="T13" s="2202">
        <f t="shared" si="11"/>
        <v>-1.4289804458672124</v>
      </c>
      <c r="U13" s="2202">
        <f t="shared" si="12"/>
        <v>1.9634954084936207</v>
      </c>
      <c r="V13" s="2201">
        <f t="shared" si="16"/>
        <v>112.5</v>
      </c>
      <c r="W13" s="2202">
        <f t="shared" si="13"/>
        <v>26.533811</v>
      </c>
      <c r="X13" s="2202">
        <f t="shared" si="13"/>
        <v>-81.874549000000002</v>
      </c>
      <c r="Y13" s="3102" t="str">
        <f t="shared" si="14"/>
        <v>26.533811,-81.874549</v>
      </c>
    </row>
    <row r="14" spans="2:26" x14ac:dyDescent="0.15">
      <c r="B14" s="3089">
        <v>7</v>
      </c>
      <c r="C14" s="3088">
        <f t="shared" si="0"/>
        <v>0.46340742174432004</v>
      </c>
      <c r="D14" s="2202">
        <f t="shared" si="1"/>
        <v>-1.4300850257782172</v>
      </c>
      <c r="E14" s="2202">
        <f t="shared" si="2"/>
        <v>2.3561944901923448</v>
      </c>
      <c r="F14" s="2201">
        <f t="shared" si="17"/>
        <v>135</v>
      </c>
      <c r="G14" s="2202">
        <f t="shared" si="3"/>
        <v>26.551289000000001</v>
      </c>
      <c r="H14" s="2202">
        <f t="shared" si="3"/>
        <v>-81.937836000000004</v>
      </c>
      <c r="I14" s="3102" t="str">
        <f t="shared" si="4"/>
        <v>26.551289,-81.937836</v>
      </c>
      <c r="K14" s="3088">
        <f t="shared" si="5"/>
        <v>0.46305012112839189</v>
      </c>
      <c r="L14" s="2202">
        <f t="shared" si="6"/>
        <v>-1.4296857776918281</v>
      </c>
      <c r="M14" s="2202">
        <f t="shared" si="7"/>
        <v>2.3561944901923448</v>
      </c>
      <c r="N14" s="2201">
        <f t="shared" si="15"/>
        <v>135</v>
      </c>
      <c r="O14" s="2202">
        <f t="shared" si="8"/>
        <v>26.530818</v>
      </c>
      <c r="P14" s="2202">
        <f t="shared" si="8"/>
        <v>-81.914961000000005</v>
      </c>
      <c r="Q14" s="3102" t="str">
        <f t="shared" si="9"/>
        <v>26.530818,-81.914961</v>
      </c>
      <c r="S14" s="3088">
        <f t="shared" si="10"/>
        <v>0.46269275683276356</v>
      </c>
      <c r="T14" s="2202">
        <f t="shared" si="11"/>
        <v>-1.4292866720312951</v>
      </c>
      <c r="U14" s="2202">
        <f t="shared" si="12"/>
        <v>2.3561944901923448</v>
      </c>
      <c r="V14" s="2201">
        <f t="shared" si="16"/>
        <v>135</v>
      </c>
      <c r="W14" s="2202">
        <f t="shared" si="13"/>
        <v>26.510342000000001</v>
      </c>
      <c r="X14" s="2202">
        <f t="shared" si="13"/>
        <v>-81.892094</v>
      </c>
      <c r="Y14" s="3102" t="str">
        <f t="shared" si="14"/>
        <v>26.510342,-81.892094</v>
      </c>
    </row>
    <row r="15" spans="2:26" x14ac:dyDescent="0.15">
      <c r="B15" s="3089">
        <v>8</v>
      </c>
      <c r="C15" s="3088">
        <f t="shared" si="0"/>
        <v>0.46335266958694582</v>
      </c>
      <c r="D15" s="2202">
        <f t="shared" si="1"/>
        <v>-1.4301766415511017</v>
      </c>
      <c r="E15" s="2202">
        <f t="shared" si="2"/>
        <v>2.748893571891069</v>
      </c>
      <c r="F15" s="2201">
        <f t="shared" si="17"/>
        <v>157.5</v>
      </c>
      <c r="G15" s="2202">
        <f t="shared" si="3"/>
        <v>26.548152000000002</v>
      </c>
      <c r="H15" s="2202">
        <f t="shared" si="3"/>
        <v>-81.943085999999994</v>
      </c>
      <c r="I15" s="3102" t="str">
        <f t="shared" si="4"/>
        <v>26.548152,-81.943086</v>
      </c>
      <c r="K15" s="3088">
        <f t="shared" si="5"/>
        <v>0.46288589846632422</v>
      </c>
      <c r="L15" s="2202">
        <f t="shared" si="6"/>
        <v>-1.429960593669545</v>
      </c>
      <c r="M15" s="2202">
        <f t="shared" si="7"/>
        <v>2.748893571891069</v>
      </c>
      <c r="N15" s="2201">
        <f t="shared" si="15"/>
        <v>157.5</v>
      </c>
      <c r="O15" s="2202">
        <f t="shared" si="8"/>
        <v>26.521408000000001</v>
      </c>
      <c r="P15" s="2202">
        <f t="shared" si="8"/>
        <v>-81.930706999999998</v>
      </c>
      <c r="Q15" s="3102" t="str">
        <f t="shared" si="9"/>
        <v>26.521408,-81.930707</v>
      </c>
      <c r="S15" s="3088">
        <f t="shared" si="10"/>
        <v>0.46241910870506836</v>
      </c>
      <c r="T15" s="2202">
        <f t="shared" si="11"/>
        <v>-1.4297446464195112</v>
      </c>
      <c r="U15" s="2202">
        <f t="shared" si="12"/>
        <v>2.748893571891069</v>
      </c>
      <c r="V15" s="2201">
        <f t="shared" si="16"/>
        <v>157.5</v>
      </c>
      <c r="W15" s="2202">
        <f t="shared" si="13"/>
        <v>26.494662999999999</v>
      </c>
      <c r="X15" s="2202">
        <f t="shared" si="13"/>
        <v>-81.918334000000002</v>
      </c>
      <c r="Y15" s="3102" t="str">
        <f t="shared" si="14"/>
        <v>26.494663,-81.918334</v>
      </c>
    </row>
    <row r="16" spans="2:26" x14ac:dyDescent="0.15">
      <c r="B16" s="3089">
        <v>9</v>
      </c>
      <c r="C16" s="3088">
        <f t="shared" si="0"/>
        <v>0.46333344354140088</v>
      </c>
      <c r="D16" s="2202">
        <f t="shared" si="1"/>
        <v>-1.430284703278861</v>
      </c>
      <c r="E16" s="2202">
        <f t="shared" si="2"/>
        <v>3.1415926535897931</v>
      </c>
      <c r="F16" s="2201">
        <f t="shared" si="17"/>
        <v>180</v>
      </c>
      <c r="G16" s="2202">
        <f t="shared" si="3"/>
        <v>26.547051</v>
      </c>
      <c r="H16" s="2202">
        <f t="shared" si="3"/>
        <v>-81.949276999999995</v>
      </c>
      <c r="I16" s="3102" t="str">
        <f t="shared" si="4"/>
        <v>26.547051,-81.949277</v>
      </c>
      <c r="K16" s="3088">
        <f t="shared" si="5"/>
        <v>0.46282823432921411</v>
      </c>
      <c r="L16" s="2202">
        <f t="shared" si="6"/>
        <v>-1.430284703278861</v>
      </c>
      <c r="M16" s="2202">
        <f t="shared" si="7"/>
        <v>3.1415926535897931</v>
      </c>
      <c r="N16" s="2201">
        <f t="shared" si="15"/>
        <v>180</v>
      </c>
      <c r="O16" s="2202">
        <f t="shared" si="8"/>
        <v>26.518104000000001</v>
      </c>
      <c r="P16" s="2202">
        <f t="shared" si="8"/>
        <v>-81.949276999999995</v>
      </c>
      <c r="Q16" s="3102" t="str">
        <f t="shared" si="9"/>
        <v>26.518104,-81.949277</v>
      </c>
      <c r="S16" s="3088">
        <f t="shared" si="10"/>
        <v>0.46232302511702716</v>
      </c>
      <c r="T16" s="2202">
        <f t="shared" si="11"/>
        <v>-1.430284703278861</v>
      </c>
      <c r="U16" s="2202">
        <f t="shared" si="12"/>
        <v>3.1415926535897931</v>
      </c>
      <c r="V16" s="2201">
        <f t="shared" si="16"/>
        <v>180</v>
      </c>
      <c r="W16" s="2202">
        <f t="shared" si="13"/>
        <v>26.489158</v>
      </c>
      <c r="X16" s="2202">
        <f t="shared" si="13"/>
        <v>-81.949276999999995</v>
      </c>
      <c r="Y16" s="3102" t="str">
        <f t="shared" si="14"/>
        <v>26.489158,-81.949277</v>
      </c>
    </row>
    <row r="17" spans="2:25" x14ac:dyDescent="0.15">
      <c r="B17" s="3089">
        <v>10</v>
      </c>
      <c r="C17" s="3088">
        <f t="shared" si="0"/>
        <v>0.46335266958694582</v>
      </c>
      <c r="D17" s="2202">
        <f t="shared" si="1"/>
        <v>-1.4303927650066204</v>
      </c>
      <c r="E17" s="2202">
        <f t="shared" si="2"/>
        <v>3.5342917352885173</v>
      </c>
      <c r="F17" s="2201">
        <f t="shared" si="17"/>
        <v>202.5</v>
      </c>
      <c r="G17" s="2202">
        <f t="shared" si="3"/>
        <v>26.548152000000002</v>
      </c>
      <c r="H17" s="2202">
        <f t="shared" si="3"/>
        <v>-81.955467999999996</v>
      </c>
      <c r="I17" s="3102" t="str">
        <f t="shared" si="4"/>
        <v>26.548152,-81.955468</v>
      </c>
      <c r="K17" s="3088">
        <f t="shared" si="5"/>
        <v>0.46288589846632422</v>
      </c>
      <c r="L17" s="2202">
        <f t="shared" si="6"/>
        <v>-1.4306088128881771</v>
      </c>
      <c r="M17" s="2202">
        <f t="shared" si="7"/>
        <v>3.5342917352885173</v>
      </c>
      <c r="N17" s="2201">
        <f t="shared" si="15"/>
        <v>202.5</v>
      </c>
      <c r="O17" s="2202">
        <f t="shared" si="8"/>
        <v>26.521408000000001</v>
      </c>
      <c r="P17" s="2202">
        <f t="shared" si="8"/>
        <v>-81.967847000000006</v>
      </c>
      <c r="Q17" s="3102" t="str">
        <f t="shared" si="9"/>
        <v>26.521408,-81.967847</v>
      </c>
      <c r="S17" s="3088">
        <f t="shared" si="10"/>
        <v>0.46241910870506836</v>
      </c>
      <c r="T17" s="2202">
        <f t="shared" si="11"/>
        <v>-1.4308247601382109</v>
      </c>
      <c r="U17" s="2202">
        <f t="shared" si="12"/>
        <v>3.5342917352885173</v>
      </c>
      <c r="V17" s="2201">
        <f t="shared" si="16"/>
        <v>202.5</v>
      </c>
      <c r="W17" s="2202">
        <f t="shared" si="13"/>
        <v>26.494662999999999</v>
      </c>
      <c r="X17" s="2202">
        <f t="shared" si="13"/>
        <v>-81.980220000000003</v>
      </c>
      <c r="Y17" s="3102" t="str">
        <f t="shared" si="14"/>
        <v>26.494663,-81.98022</v>
      </c>
    </row>
    <row r="18" spans="2:25" x14ac:dyDescent="0.15">
      <c r="B18" s="3089">
        <v>11</v>
      </c>
      <c r="C18" s="3088">
        <f t="shared" si="0"/>
        <v>0.46340742174432004</v>
      </c>
      <c r="D18" s="2202">
        <f t="shared" si="1"/>
        <v>-1.4304843807795049</v>
      </c>
      <c r="E18" s="2202">
        <f t="shared" si="2"/>
        <v>3.9269908169872414</v>
      </c>
      <c r="F18" s="2201">
        <f t="shared" si="17"/>
        <v>225</v>
      </c>
      <c r="G18" s="2202">
        <f t="shared" si="3"/>
        <v>26.551289000000001</v>
      </c>
      <c r="H18" s="2202">
        <f t="shared" si="3"/>
        <v>-81.960718</v>
      </c>
      <c r="I18" s="3102" t="str">
        <f t="shared" si="4"/>
        <v>26.551289,-81.960718</v>
      </c>
      <c r="K18" s="3088">
        <f t="shared" si="5"/>
        <v>0.46305012112839189</v>
      </c>
      <c r="L18" s="2202">
        <f t="shared" si="6"/>
        <v>-1.4308836288658939</v>
      </c>
      <c r="M18" s="2202">
        <f t="shared" si="7"/>
        <v>3.9269908169872414</v>
      </c>
      <c r="N18" s="2201">
        <f t="shared" si="15"/>
        <v>225</v>
      </c>
      <c r="O18" s="2202">
        <f t="shared" si="8"/>
        <v>26.530818</v>
      </c>
      <c r="P18" s="2202">
        <f t="shared" si="8"/>
        <v>-81.983592999999999</v>
      </c>
      <c r="Q18" s="3102" t="str">
        <f t="shared" si="9"/>
        <v>26.530818,-81.983593</v>
      </c>
      <c r="S18" s="3088">
        <f t="shared" si="10"/>
        <v>0.46269275683276356</v>
      </c>
      <c r="T18" s="2202">
        <f t="shared" si="11"/>
        <v>-1.431282734526427</v>
      </c>
      <c r="U18" s="2202">
        <f t="shared" si="12"/>
        <v>3.9269908169872414</v>
      </c>
      <c r="V18" s="2201">
        <f t="shared" si="16"/>
        <v>225</v>
      </c>
      <c r="W18" s="2202">
        <f t="shared" si="13"/>
        <v>26.510342000000001</v>
      </c>
      <c r="X18" s="2202">
        <f t="shared" si="13"/>
        <v>-82.006460000000004</v>
      </c>
      <c r="Y18" s="3102" t="str">
        <f t="shared" si="14"/>
        <v>26.510342,-82.00646</v>
      </c>
    </row>
    <row r="19" spans="2:25" x14ac:dyDescent="0.15">
      <c r="B19" s="3089">
        <v>12</v>
      </c>
      <c r="C19" s="3088">
        <f t="shared" si="0"/>
        <v>0.46348936693731851</v>
      </c>
      <c r="D19" s="2202">
        <f t="shared" si="1"/>
        <v>-1.4305456051916341</v>
      </c>
      <c r="E19" s="2202">
        <f t="shared" si="2"/>
        <v>4.319689898685966</v>
      </c>
      <c r="F19" s="2201">
        <f t="shared" si="17"/>
        <v>247.5</v>
      </c>
      <c r="G19" s="2202">
        <f t="shared" si="3"/>
        <v>26.555985</v>
      </c>
      <c r="H19" s="2202">
        <f t="shared" si="3"/>
        <v>-81.964225999999996</v>
      </c>
      <c r="I19" s="3102" t="str">
        <f t="shared" si="4"/>
        <v>26.555985,-81.964226</v>
      </c>
      <c r="K19" s="3088">
        <f t="shared" si="5"/>
        <v>0.46329592286969501</v>
      </c>
      <c r="L19" s="2202">
        <f t="shared" si="6"/>
        <v>-1.4310673333686252</v>
      </c>
      <c r="M19" s="2202">
        <f t="shared" si="7"/>
        <v>4.319689898685966</v>
      </c>
      <c r="N19" s="2201">
        <f t="shared" si="15"/>
        <v>247.5</v>
      </c>
      <c r="O19" s="2202">
        <f t="shared" si="8"/>
        <v>26.544900999999999</v>
      </c>
      <c r="P19" s="2202">
        <f t="shared" si="8"/>
        <v>-81.994118</v>
      </c>
      <c r="Q19" s="3102" t="str">
        <f t="shared" si="9"/>
        <v>26.544901,-81.994118</v>
      </c>
      <c r="S19" s="3088">
        <f t="shared" si="10"/>
        <v>0.46310237000045562</v>
      </c>
      <c r="T19" s="2202">
        <f t="shared" si="11"/>
        <v>-1.4315889606905097</v>
      </c>
      <c r="U19" s="2202">
        <f t="shared" si="12"/>
        <v>4.319689898685966</v>
      </c>
      <c r="V19" s="2201">
        <f t="shared" si="16"/>
        <v>247.5</v>
      </c>
      <c r="W19" s="2202">
        <f t="shared" si="13"/>
        <v>26.533811</v>
      </c>
      <c r="X19" s="2202">
        <f t="shared" si="13"/>
        <v>-82.024005000000002</v>
      </c>
      <c r="Y19" s="3102" t="str">
        <f t="shared" si="14"/>
        <v>26.533811,-82.024005</v>
      </c>
    </row>
    <row r="20" spans="2:25" x14ac:dyDescent="0.15">
      <c r="B20" s="3089">
        <v>13</v>
      </c>
      <c r="C20" s="3088">
        <f t="shared" si="0"/>
        <v>0.46358603219767774</v>
      </c>
      <c r="D20" s="2202">
        <f t="shared" si="1"/>
        <v>-1.4305671151204651</v>
      </c>
      <c r="E20" s="2202">
        <f t="shared" si="2"/>
        <v>4.7123889803846897</v>
      </c>
      <c r="F20" s="2201">
        <f t="shared" si="17"/>
        <v>270</v>
      </c>
      <c r="G20" s="2202">
        <f t="shared" si="3"/>
        <v>26.561523000000001</v>
      </c>
      <c r="H20" s="2202">
        <f t="shared" si="3"/>
        <v>-81.965457999999998</v>
      </c>
      <c r="I20" s="3102" t="str">
        <f t="shared" si="4"/>
        <v>26.561523,-81.965458</v>
      </c>
      <c r="K20" s="3088">
        <f t="shared" si="5"/>
        <v>0.46358590459915566</v>
      </c>
      <c r="L20" s="2202">
        <f t="shared" si="6"/>
        <v>-1.4311319387676436</v>
      </c>
      <c r="M20" s="2202">
        <f t="shared" si="7"/>
        <v>4.7123889803846897</v>
      </c>
      <c r="N20" s="2201">
        <f t="shared" si="15"/>
        <v>270</v>
      </c>
      <c r="O20" s="2202">
        <f t="shared" si="8"/>
        <v>26.561516000000001</v>
      </c>
      <c r="P20" s="2202">
        <f t="shared" si="8"/>
        <v>-81.997820000000004</v>
      </c>
      <c r="Q20" s="3102" t="str">
        <f t="shared" si="9"/>
        <v>26.561516,-81.99782</v>
      </c>
      <c r="S20" s="3088">
        <f t="shared" si="10"/>
        <v>0.46358564940216851</v>
      </c>
      <c r="T20" s="2202">
        <f t="shared" si="11"/>
        <v>-1.4316967623067327</v>
      </c>
      <c r="U20" s="2202">
        <f t="shared" si="12"/>
        <v>4.7123889803846897</v>
      </c>
      <c r="V20" s="2201">
        <f t="shared" si="16"/>
        <v>270</v>
      </c>
      <c r="W20" s="2202">
        <f t="shared" si="13"/>
        <v>26.561501</v>
      </c>
      <c r="X20" s="2202">
        <f t="shared" si="13"/>
        <v>-82.030181999999996</v>
      </c>
      <c r="Y20" s="3102" t="str">
        <f t="shared" si="14"/>
        <v>26.561501,-82.030182</v>
      </c>
    </row>
    <row r="21" spans="2:25" x14ac:dyDescent="0.15">
      <c r="B21" s="3089">
        <v>14</v>
      </c>
      <c r="C21" s="3088">
        <f t="shared" si="0"/>
        <v>0.46368270212962986</v>
      </c>
      <c r="D21" s="2202">
        <f t="shared" si="1"/>
        <v>-1.4305456304097319</v>
      </c>
      <c r="E21" s="2202">
        <f t="shared" si="2"/>
        <v>5.1050880620834143</v>
      </c>
      <c r="F21" s="2201">
        <f t="shared" si="17"/>
        <v>292.5</v>
      </c>
      <c r="G21" s="2202">
        <f t="shared" si="3"/>
        <v>26.567062</v>
      </c>
      <c r="H21" s="2202">
        <f t="shared" si="3"/>
        <v>-81.964226999999994</v>
      </c>
      <c r="I21" s="3102" t="str">
        <f t="shared" si="4"/>
        <v>26.567062,-81.964227</v>
      </c>
      <c r="K21" s="3088">
        <f t="shared" si="5"/>
        <v>0.46387592837292935</v>
      </c>
      <c r="L21" s="2202">
        <f t="shared" si="6"/>
        <v>-1.4310675603314635</v>
      </c>
      <c r="M21" s="2202">
        <f t="shared" si="7"/>
        <v>5.1050880620834143</v>
      </c>
      <c r="N21" s="2201">
        <f t="shared" si="15"/>
        <v>292.5</v>
      </c>
      <c r="O21" s="2202">
        <f t="shared" si="8"/>
        <v>26.578133000000001</v>
      </c>
      <c r="P21" s="2202">
        <f t="shared" si="8"/>
        <v>-81.994130999999996</v>
      </c>
      <c r="Q21" s="3102" t="str">
        <f t="shared" si="9"/>
        <v>26.578133,-81.994131</v>
      </c>
      <c r="S21" s="3088">
        <f t="shared" si="10"/>
        <v>0.46406904559351447</v>
      </c>
      <c r="T21" s="2202">
        <f t="shared" si="11"/>
        <v>-1.4315895911426042</v>
      </c>
      <c r="U21" s="2202">
        <f t="shared" si="12"/>
        <v>5.1050880620834143</v>
      </c>
      <c r="V21" s="2201">
        <f t="shared" si="16"/>
        <v>292.5</v>
      </c>
      <c r="W21" s="2202">
        <f t="shared" si="13"/>
        <v>26.589198</v>
      </c>
      <c r="X21" s="2202">
        <f t="shared" si="13"/>
        <v>-82.024041999999994</v>
      </c>
      <c r="Y21" s="3102" t="str">
        <f t="shared" si="14"/>
        <v>26.589198,-82.024042</v>
      </c>
    </row>
    <row r="22" spans="2:25" x14ac:dyDescent="0.15">
      <c r="B22" s="3089">
        <v>15</v>
      </c>
      <c r="C22" s="3088">
        <f t="shared" si="0"/>
        <v>0.46376465860085148</v>
      </c>
      <c r="D22" s="2202">
        <f t="shared" si="1"/>
        <v>-1.4304844164432822</v>
      </c>
      <c r="E22" s="2202">
        <f t="shared" si="2"/>
        <v>5.497787143782138</v>
      </c>
      <c r="F22" s="2201">
        <f t="shared" si="17"/>
        <v>315</v>
      </c>
      <c r="G22" s="2202">
        <f t="shared" si="3"/>
        <v>26.571757999999999</v>
      </c>
      <c r="H22" s="2202">
        <f t="shared" si="3"/>
        <v>-81.960719999999995</v>
      </c>
      <c r="I22" s="3102" t="str">
        <f t="shared" si="4"/>
        <v>26.571758,-81.96072</v>
      </c>
      <c r="K22" s="3088">
        <f t="shared" si="5"/>
        <v>0.46412183161821435</v>
      </c>
      <c r="L22" s="2202">
        <f t="shared" si="6"/>
        <v>-1.4308839498399157</v>
      </c>
      <c r="M22" s="2202">
        <f t="shared" si="7"/>
        <v>5.497787143782138</v>
      </c>
      <c r="N22" s="2201">
        <f t="shared" si="15"/>
        <v>315</v>
      </c>
      <c r="O22" s="2202">
        <f t="shared" si="8"/>
        <v>26.592222</v>
      </c>
      <c r="P22" s="2202">
        <f t="shared" si="8"/>
        <v>-81.983610999999996</v>
      </c>
      <c r="Q22" s="3102" t="str">
        <f t="shared" si="9"/>
        <v>26.592222,-81.983611</v>
      </c>
      <c r="S22" s="3088">
        <f t="shared" si="10"/>
        <v>0.46447894071656132</v>
      </c>
      <c r="T22" s="2202">
        <f t="shared" si="11"/>
        <v>-1.4312836261210837</v>
      </c>
      <c r="U22" s="2202">
        <f t="shared" si="12"/>
        <v>5.497787143782138</v>
      </c>
      <c r="V22" s="2201">
        <f t="shared" si="16"/>
        <v>315</v>
      </c>
      <c r="W22" s="2202">
        <f t="shared" si="13"/>
        <v>26.612683000000001</v>
      </c>
      <c r="X22" s="2202">
        <f t="shared" si="13"/>
        <v>-82.006511000000003</v>
      </c>
      <c r="Y22" s="3102" t="str">
        <f t="shared" si="14"/>
        <v>26.612683,-82.006511</v>
      </c>
    </row>
    <row r="23" spans="2:25" x14ac:dyDescent="0.15">
      <c r="B23" s="3089">
        <v>16</v>
      </c>
      <c r="C23" s="3088">
        <f t="shared" si="0"/>
        <v>0.46381942203644949</v>
      </c>
      <c r="D23" s="2202">
        <f t="shared" si="1"/>
        <v>-1.43039279022472</v>
      </c>
      <c r="E23" s="2202">
        <f t="shared" si="2"/>
        <v>5.8904862254808625</v>
      </c>
      <c r="F23" s="2201">
        <f t="shared" si="17"/>
        <v>337.5</v>
      </c>
      <c r="G23" s="2202">
        <f t="shared" si="3"/>
        <v>26.574895000000001</v>
      </c>
      <c r="H23" s="2202">
        <f t="shared" si="3"/>
        <v>-81.955470000000005</v>
      </c>
      <c r="I23" s="3102" t="str">
        <f t="shared" si="4"/>
        <v>26.574895,-81.95547</v>
      </c>
      <c r="K23" s="3088">
        <f t="shared" si="5"/>
        <v>0.4642861557843076</v>
      </c>
      <c r="L23" s="2202">
        <f t="shared" si="6"/>
        <v>-1.4306090398511535</v>
      </c>
      <c r="M23" s="2202">
        <f t="shared" si="7"/>
        <v>5.8904862254808625</v>
      </c>
      <c r="N23" s="2201">
        <f t="shared" si="15"/>
        <v>337.5</v>
      </c>
      <c r="O23" s="2202">
        <f t="shared" si="8"/>
        <v>26.601637</v>
      </c>
      <c r="P23" s="2202">
        <f t="shared" si="8"/>
        <v>-81.967860000000002</v>
      </c>
      <c r="Q23" s="3102" t="str">
        <f t="shared" si="9"/>
        <v>26.601637,-81.96786</v>
      </c>
      <c r="S23" s="3088">
        <f t="shared" si="10"/>
        <v>0.46475287079994942</v>
      </c>
      <c r="T23" s="2202">
        <f t="shared" si="11"/>
        <v>-1.4308253905913719</v>
      </c>
      <c r="U23" s="2202">
        <f t="shared" si="12"/>
        <v>5.8904862254808625</v>
      </c>
      <c r="V23" s="2201">
        <f t="shared" si="16"/>
        <v>337.5</v>
      </c>
      <c r="W23" s="2202">
        <f t="shared" si="13"/>
        <v>26.628378000000001</v>
      </c>
      <c r="X23" s="2202">
        <f t="shared" si="13"/>
        <v>-81.980255999999997</v>
      </c>
      <c r="Y23" s="3102" t="str">
        <f t="shared" si="14"/>
        <v>26.628378,-81.980256</v>
      </c>
    </row>
    <row r="24" spans="2:25" x14ac:dyDescent="0.15">
      <c r="B24" s="3089">
        <v>17</v>
      </c>
      <c r="C24" s="3103">
        <f t="shared" si="0"/>
        <v>0.46383865275358777</v>
      </c>
      <c r="D24" s="3104">
        <f t="shared" si="1"/>
        <v>-1.430284703278861</v>
      </c>
      <c r="E24" s="3104">
        <f t="shared" si="2"/>
        <v>0</v>
      </c>
      <c r="F24" s="3105">
        <f>F8</f>
        <v>0</v>
      </c>
      <c r="G24" s="3104">
        <f t="shared" si="3"/>
        <v>26.575997000000001</v>
      </c>
      <c r="H24" s="3104">
        <f t="shared" si="3"/>
        <v>-81.949276999999995</v>
      </c>
      <c r="I24" s="3106" t="str">
        <f t="shared" si="4"/>
        <v>26.575997,-81.949277</v>
      </c>
      <c r="K24" s="3103">
        <f t="shared" si="5"/>
        <v>0.46434386196577465</v>
      </c>
      <c r="L24" s="3104">
        <f t="shared" si="6"/>
        <v>-1.430284703278861</v>
      </c>
      <c r="M24" s="3104">
        <f t="shared" si="7"/>
        <v>0</v>
      </c>
      <c r="N24" s="3105">
        <f t="shared" si="15"/>
        <v>0</v>
      </c>
      <c r="O24" s="3104">
        <f t="shared" si="8"/>
        <v>26.604944</v>
      </c>
      <c r="P24" s="3104">
        <f t="shared" si="8"/>
        <v>-81.949276999999995</v>
      </c>
      <c r="Q24" s="3106" t="str">
        <f t="shared" si="9"/>
        <v>26.604944,-81.949277</v>
      </c>
      <c r="S24" s="3103">
        <f t="shared" si="10"/>
        <v>0.46484907117796148</v>
      </c>
      <c r="T24" s="3104">
        <f t="shared" si="11"/>
        <v>-1.430284703278861</v>
      </c>
      <c r="U24" s="3104">
        <f t="shared" si="12"/>
        <v>0</v>
      </c>
      <c r="V24" s="3105">
        <f t="shared" si="16"/>
        <v>0</v>
      </c>
      <c r="W24" s="3104">
        <f t="shared" si="13"/>
        <v>26.633890000000001</v>
      </c>
      <c r="X24" s="3104">
        <f t="shared" si="13"/>
        <v>-81.949276999999995</v>
      </c>
      <c r="Y24" s="3106" t="str">
        <f t="shared" si="14"/>
        <v>26.63389,-81.949277</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AAC339-E1F9-40FD-812B-CAB68290DE88}">
  <sheetPr codeName="Sheet96"/>
  <dimension ref="A1:E29"/>
  <sheetViews>
    <sheetView showGridLines="0" workbookViewId="0"/>
  </sheetViews>
  <sheetFormatPr defaultColWidth="9.140625" defaultRowHeight="14.25" x14ac:dyDescent="0.25"/>
  <cols>
    <col min="1" max="1" width="31.7109375" bestFit="1" customWidth="1"/>
    <col min="2" max="2" width="14.7109375" bestFit="1" customWidth="1"/>
    <col min="3" max="3" width="10.42578125" bestFit="1" customWidth="1"/>
    <col min="4" max="5" width="11.42578125" bestFit="1" customWidth="1"/>
  </cols>
  <sheetData>
    <row r="1" spans="1:5" x14ac:dyDescent="0.25">
      <c r="A1" s="3010" t="s">
        <v>1584</v>
      </c>
      <c r="B1" s="3010" t="s">
        <v>18703</v>
      </c>
      <c r="C1" s="3011"/>
      <c r="D1" s="3011"/>
      <c r="E1" s="3011"/>
    </row>
    <row r="2" spans="1:5" x14ac:dyDescent="0.25">
      <c r="A2" s="3012"/>
      <c r="B2" s="3013" t="s">
        <v>18704</v>
      </c>
      <c r="C2" s="3014">
        <v>1</v>
      </c>
      <c r="D2" s="3014">
        <v>3</v>
      </c>
      <c r="E2" s="3014">
        <v>5</v>
      </c>
    </row>
    <row r="3" spans="1:5" x14ac:dyDescent="0.25">
      <c r="B3" s="3013" t="s">
        <v>18705</v>
      </c>
      <c r="C3" s="3014" t="s">
        <v>18706</v>
      </c>
      <c r="D3" s="3014" t="s">
        <v>18706</v>
      </c>
      <c r="E3" s="3014" t="s">
        <v>18706</v>
      </c>
    </row>
    <row r="4" spans="1:5" x14ac:dyDescent="0.25">
      <c r="A4" s="3012" t="s">
        <v>18707</v>
      </c>
      <c r="B4" s="3012" t="s">
        <v>18708</v>
      </c>
      <c r="C4" s="3014">
        <v>2367.1999999999998</v>
      </c>
      <c r="D4" s="3014">
        <v>2127.1999999999998</v>
      </c>
      <c r="E4" s="3014">
        <v>2288</v>
      </c>
    </row>
    <row r="5" spans="1:5" x14ac:dyDescent="0.25">
      <c r="A5" s="3012" t="s">
        <v>18893</v>
      </c>
      <c r="B5" s="3012" t="s">
        <v>18709</v>
      </c>
      <c r="C5" s="3014">
        <v>6490</v>
      </c>
      <c r="D5" s="3014">
        <v>54961</v>
      </c>
      <c r="E5" s="3014">
        <v>155128</v>
      </c>
    </row>
    <row r="6" spans="1:5" x14ac:dyDescent="0.25">
      <c r="A6" s="3012" t="s">
        <v>18909</v>
      </c>
      <c r="B6" s="3012" t="s">
        <v>18710</v>
      </c>
      <c r="C6" s="3014">
        <v>6940</v>
      </c>
      <c r="D6" s="3014">
        <v>58300</v>
      </c>
      <c r="E6" s="3014">
        <v>172785</v>
      </c>
    </row>
    <row r="7" spans="1:5" x14ac:dyDescent="0.25">
      <c r="A7" s="3012" t="s">
        <v>18711</v>
      </c>
      <c r="B7" s="3012" t="s">
        <v>18712</v>
      </c>
      <c r="C7" s="3014">
        <v>7431</v>
      </c>
      <c r="D7" s="3014">
        <v>60132</v>
      </c>
      <c r="E7" s="3014">
        <v>179673</v>
      </c>
    </row>
    <row r="8" spans="1:5" x14ac:dyDescent="0.25">
      <c r="A8" s="3012" t="s">
        <v>18713</v>
      </c>
      <c r="B8" s="3012" t="s">
        <v>18714</v>
      </c>
      <c r="C8" s="3015">
        <v>8168</v>
      </c>
      <c r="D8" s="3015">
        <v>62284</v>
      </c>
      <c r="E8" s="3015">
        <v>186090</v>
      </c>
    </row>
    <row r="9" spans="1:5" x14ac:dyDescent="0.25">
      <c r="A9" s="3012" t="s">
        <v>18894</v>
      </c>
      <c r="B9" s="3012" t="s">
        <v>18715</v>
      </c>
      <c r="C9" s="3014">
        <v>3358</v>
      </c>
      <c r="D9" s="3014">
        <v>25643</v>
      </c>
      <c r="E9" s="3014">
        <v>70995</v>
      </c>
    </row>
    <row r="10" spans="1:5" x14ac:dyDescent="0.25">
      <c r="A10" s="3012" t="s">
        <v>18716</v>
      </c>
      <c r="B10" s="3012" t="s">
        <v>18717</v>
      </c>
      <c r="C10" s="3014">
        <v>3633</v>
      </c>
      <c r="D10" s="3014">
        <v>27687</v>
      </c>
      <c r="E10" s="3014">
        <v>79039</v>
      </c>
    </row>
    <row r="11" spans="1:5" x14ac:dyDescent="0.25">
      <c r="A11" s="3012" t="s">
        <v>18718</v>
      </c>
      <c r="B11" s="3012" t="s">
        <v>18719</v>
      </c>
      <c r="C11" s="3014">
        <v>3971</v>
      </c>
      <c r="D11" s="3014">
        <v>28934</v>
      </c>
      <c r="E11" s="3014">
        <v>82613</v>
      </c>
    </row>
    <row r="12" spans="1:5" x14ac:dyDescent="0.25">
      <c r="A12" s="3012" t="s">
        <v>18720</v>
      </c>
      <c r="B12" s="3012" t="s">
        <v>18721</v>
      </c>
      <c r="C12" s="3014">
        <v>4411</v>
      </c>
      <c r="D12" s="3014">
        <v>30473</v>
      </c>
      <c r="E12" s="3014">
        <v>86787</v>
      </c>
    </row>
    <row r="13" spans="1:5" x14ac:dyDescent="0.25">
      <c r="A13" s="3012" t="s">
        <v>18722</v>
      </c>
      <c r="B13" s="3012" t="s">
        <v>18723</v>
      </c>
      <c r="C13" s="3014">
        <v>1.85</v>
      </c>
      <c r="D13" s="3014">
        <v>2.0699999999999998</v>
      </c>
      <c r="E13" s="3014">
        <v>2.14</v>
      </c>
    </row>
    <row r="14" spans="1:5" x14ac:dyDescent="0.25">
      <c r="A14" s="3012" t="s">
        <v>18724</v>
      </c>
      <c r="B14" s="3012" t="s">
        <v>18725</v>
      </c>
      <c r="C14" s="3014">
        <v>440442</v>
      </c>
      <c r="D14" s="3014">
        <v>459912</v>
      </c>
      <c r="E14" s="3014">
        <v>424768</v>
      </c>
    </row>
    <row r="15" spans="1:5" x14ac:dyDescent="0.25">
      <c r="A15" s="3012" t="s">
        <v>18726</v>
      </c>
      <c r="B15" s="3012" t="s">
        <v>18727</v>
      </c>
      <c r="C15" s="3014">
        <v>1978</v>
      </c>
      <c r="D15" s="3014">
        <v>1985</v>
      </c>
      <c r="E15" s="3014">
        <v>1989</v>
      </c>
    </row>
    <row r="16" spans="1:5" x14ac:dyDescent="0.25">
      <c r="A16" s="3012" t="s">
        <v>18728</v>
      </c>
      <c r="B16" s="3012" t="s">
        <v>18729</v>
      </c>
      <c r="C16" s="3014">
        <v>5300</v>
      </c>
      <c r="D16" s="3014">
        <v>37298</v>
      </c>
      <c r="E16" s="3014">
        <v>104299</v>
      </c>
    </row>
    <row r="17" spans="1:5" x14ac:dyDescent="0.25">
      <c r="A17" s="3012" t="s">
        <v>18730</v>
      </c>
      <c r="B17" s="3012" t="s">
        <v>18731</v>
      </c>
      <c r="C17" s="3014">
        <v>2386</v>
      </c>
      <c r="D17" s="3014">
        <v>21622</v>
      </c>
      <c r="E17" s="3014">
        <v>58574</v>
      </c>
    </row>
    <row r="18" spans="1:5" x14ac:dyDescent="0.25">
      <c r="A18" s="3012" t="s">
        <v>18732</v>
      </c>
      <c r="B18" s="3012" t="s">
        <v>18733</v>
      </c>
      <c r="C18" s="3014">
        <v>1585</v>
      </c>
      <c r="D18" s="3014">
        <v>7312</v>
      </c>
      <c r="E18" s="3014">
        <v>24039</v>
      </c>
    </row>
    <row r="19" spans="1:5" x14ac:dyDescent="0.25">
      <c r="A19" s="3012" t="s">
        <v>18734</v>
      </c>
      <c r="B19" s="3012" t="s">
        <v>18735</v>
      </c>
      <c r="C19" s="3014">
        <v>1329</v>
      </c>
      <c r="D19" s="3014">
        <v>8364</v>
      </c>
      <c r="E19" s="3014">
        <v>21686</v>
      </c>
    </row>
    <row r="20" spans="1:5" x14ac:dyDescent="0.25">
      <c r="A20" s="3012" t="s">
        <v>18736</v>
      </c>
      <c r="B20" s="3012" t="s">
        <v>18737</v>
      </c>
      <c r="C20" s="3014">
        <v>1251</v>
      </c>
      <c r="D20" s="3014">
        <v>2817</v>
      </c>
      <c r="E20" s="3014">
        <v>9017</v>
      </c>
    </row>
    <row r="21" spans="1:5" x14ac:dyDescent="0.25">
      <c r="A21" s="3012" t="s">
        <v>18738</v>
      </c>
      <c r="B21" s="3012" t="s">
        <v>18739</v>
      </c>
      <c r="C21" s="3014">
        <v>7166</v>
      </c>
      <c r="D21" s="3014">
        <v>16759</v>
      </c>
      <c r="E21" s="3014">
        <v>71959</v>
      </c>
    </row>
    <row r="22" spans="1:5" x14ac:dyDescent="0.25">
      <c r="A22" s="3012" t="s">
        <v>18740</v>
      </c>
      <c r="B22" s="3012" t="s">
        <v>18741</v>
      </c>
      <c r="C22" s="3014"/>
      <c r="D22" s="3014"/>
      <c r="E22" s="3014"/>
    </row>
    <row r="23" spans="1:5" x14ac:dyDescent="0.25">
      <c r="A23" s="3012" t="s">
        <v>18742</v>
      </c>
      <c r="B23" s="3012" t="s">
        <v>18743</v>
      </c>
      <c r="C23" s="3015">
        <v>1225</v>
      </c>
      <c r="D23" s="3015">
        <v>10721</v>
      </c>
      <c r="E23" s="3015">
        <v>31586</v>
      </c>
    </row>
    <row r="24" spans="1:5" x14ac:dyDescent="0.25">
      <c r="A24" s="3012" t="s">
        <v>18744</v>
      </c>
      <c r="B24" s="3012" t="s">
        <v>18745</v>
      </c>
      <c r="C24" s="3014">
        <v>419</v>
      </c>
      <c r="D24" s="3014">
        <v>6352</v>
      </c>
      <c r="E24" s="3014">
        <v>19099</v>
      </c>
    </row>
    <row r="25" spans="1:5" x14ac:dyDescent="0.25">
      <c r="A25" s="3012" t="s">
        <v>18746</v>
      </c>
      <c r="B25" s="3012" t="s">
        <v>18747</v>
      </c>
      <c r="C25" s="3014">
        <v>6269</v>
      </c>
      <c r="D25" s="3014">
        <v>49740</v>
      </c>
      <c r="E25" s="3014">
        <v>144820</v>
      </c>
    </row>
    <row r="26" spans="1:5" x14ac:dyDescent="0.25">
      <c r="A26" s="3012" t="s">
        <v>18748</v>
      </c>
      <c r="B26" s="3012" t="s">
        <v>18749</v>
      </c>
      <c r="C26" s="3015">
        <v>52749</v>
      </c>
      <c r="D26" s="3015">
        <v>67731</v>
      </c>
      <c r="E26" s="3015">
        <v>67961</v>
      </c>
    </row>
    <row r="27" spans="1:5" x14ac:dyDescent="0.25">
      <c r="A27" s="3012" t="s">
        <v>18750</v>
      </c>
      <c r="B27" s="3012" t="s">
        <v>18751</v>
      </c>
      <c r="C27" s="3015">
        <v>73967</v>
      </c>
      <c r="D27" s="3015">
        <v>105029</v>
      </c>
      <c r="E27" s="3015">
        <v>100325</v>
      </c>
    </row>
    <row r="28" spans="1:5" x14ac:dyDescent="0.25">
      <c r="A28" s="3012" t="s">
        <v>18752</v>
      </c>
      <c r="B28" s="3012" t="s">
        <v>18753</v>
      </c>
      <c r="C28" s="3015">
        <v>88491166</v>
      </c>
      <c r="D28" s="3015">
        <v>895714901</v>
      </c>
      <c r="E28" s="3015">
        <v>2419415397</v>
      </c>
    </row>
    <row r="29" spans="1:5" x14ac:dyDescent="0.25">
      <c r="A29" s="3012" t="s">
        <v>18754</v>
      </c>
      <c r="B29" s="3012" t="s">
        <v>18755</v>
      </c>
      <c r="C29" s="3015">
        <v>39498</v>
      </c>
      <c r="D29" s="3015">
        <v>50472</v>
      </c>
      <c r="E29" s="3015">
        <v>46243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4CC29-22B7-43D3-923F-4BDCAF8269E0}">
  <sheetPr codeName="Sheet97"/>
  <dimension ref="A1:H10"/>
  <sheetViews>
    <sheetView showGridLines="0" workbookViewId="0"/>
  </sheetViews>
  <sheetFormatPr defaultColWidth="9.140625" defaultRowHeight="14.25" x14ac:dyDescent="0.25"/>
  <cols>
    <col min="1" max="1" width="32.140625" bestFit="1" customWidth="1"/>
    <col min="2" max="2" width="16.140625" bestFit="1" customWidth="1"/>
    <col min="3" max="8" width="15.7109375" customWidth="1"/>
  </cols>
  <sheetData>
    <row r="1" spans="1:8" x14ac:dyDescent="0.25">
      <c r="A1" s="3010" t="s">
        <v>1584</v>
      </c>
      <c r="B1" s="3010" t="s">
        <v>18703</v>
      </c>
      <c r="C1" s="3011"/>
      <c r="D1" s="3011"/>
      <c r="E1" s="3011"/>
    </row>
    <row r="2" spans="1:8" x14ac:dyDescent="0.25">
      <c r="A2" s="3012"/>
      <c r="B2" s="3013" t="s">
        <v>18756</v>
      </c>
      <c r="C2" s="3014"/>
      <c r="D2" s="3014">
        <v>12</v>
      </c>
      <c r="E2" s="3014">
        <v>15980</v>
      </c>
      <c r="F2" s="3014">
        <v>12071</v>
      </c>
      <c r="G2" s="3014">
        <v>1210275</v>
      </c>
      <c r="H2" s="3014"/>
    </row>
    <row r="3" spans="1:8" x14ac:dyDescent="0.25">
      <c r="B3" s="3013" t="s">
        <v>18757</v>
      </c>
      <c r="C3" s="3014"/>
      <c r="D3" s="3014" t="s">
        <v>17424</v>
      </c>
      <c r="E3" s="3014" t="s">
        <v>2193</v>
      </c>
      <c r="F3" s="3014" t="s">
        <v>19777</v>
      </c>
      <c r="G3" s="3014" t="s">
        <v>19776</v>
      </c>
      <c r="H3" s="3014"/>
    </row>
    <row r="4" spans="1:8" x14ac:dyDescent="0.25">
      <c r="A4" s="3012" t="s">
        <v>18909</v>
      </c>
      <c r="B4" s="3012" t="s">
        <v>18710</v>
      </c>
      <c r="C4" s="3014">
        <v>6940</v>
      </c>
      <c r="D4" s="3014">
        <v>21538187</v>
      </c>
      <c r="E4" s="3014">
        <v>760822</v>
      </c>
      <c r="F4" s="3014">
        <v>760822</v>
      </c>
      <c r="G4" s="3014">
        <v>194069</v>
      </c>
      <c r="H4" s="3014"/>
    </row>
    <row r="5" spans="1:8" x14ac:dyDescent="0.25">
      <c r="A5" s="3012" t="s">
        <v>18711</v>
      </c>
      <c r="B5" s="3012" t="s">
        <v>18712</v>
      </c>
      <c r="C5" s="3014">
        <v>7431</v>
      </c>
      <c r="D5" s="3014">
        <v>22779514</v>
      </c>
      <c r="E5" s="3014">
        <v>840698</v>
      </c>
      <c r="F5" s="3014">
        <v>840698</v>
      </c>
      <c r="G5" s="3014">
        <v>215561</v>
      </c>
      <c r="H5" s="3014"/>
    </row>
    <row r="6" spans="1:8" x14ac:dyDescent="0.25">
      <c r="A6" s="3012" t="s">
        <v>18758</v>
      </c>
      <c r="B6" s="3012" t="s">
        <v>18714</v>
      </c>
      <c r="C6" s="3014">
        <v>8168</v>
      </c>
      <c r="D6" s="3014">
        <v>23862875</v>
      </c>
      <c r="E6" s="3014">
        <v>908872</v>
      </c>
      <c r="F6" s="3014">
        <v>908872</v>
      </c>
      <c r="G6" s="3014">
        <v>235257</v>
      </c>
      <c r="H6" s="3014"/>
    </row>
    <row r="7" spans="1:8" x14ac:dyDescent="0.25">
      <c r="A7" s="3012" t="s">
        <v>18759</v>
      </c>
      <c r="B7" s="3012" t="s">
        <v>18760</v>
      </c>
      <c r="C7" s="3016">
        <v>1.91</v>
      </c>
      <c r="D7" s="3016">
        <v>0.93</v>
      </c>
      <c r="E7" s="3016">
        <v>1.57</v>
      </c>
      <c r="F7" s="3016">
        <v>1.57</v>
      </c>
      <c r="G7" s="3016">
        <v>1.76</v>
      </c>
      <c r="H7" s="3016"/>
    </row>
    <row r="8" spans="1:8" x14ac:dyDescent="0.25">
      <c r="A8" s="3012" t="s">
        <v>18748</v>
      </c>
      <c r="B8" s="3012" t="s">
        <v>18749</v>
      </c>
      <c r="C8" s="3014">
        <v>52749</v>
      </c>
      <c r="D8" s="3014">
        <v>74715</v>
      </c>
      <c r="E8" s="3014">
        <v>74445</v>
      </c>
      <c r="F8" s="3014">
        <v>74445</v>
      </c>
      <c r="G8" s="3014">
        <v>76293</v>
      </c>
      <c r="H8" s="3014"/>
    </row>
    <row r="9" spans="1:8" x14ac:dyDescent="0.25">
      <c r="A9" s="3012" t="s">
        <v>18750</v>
      </c>
      <c r="B9" s="3012" t="s">
        <v>18751</v>
      </c>
      <c r="C9" s="3014">
        <v>73967</v>
      </c>
      <c r="D9" s="3017">
        <v>105305</v>
      </c>
      <c r="E9" s="3017">
        <v>106790</v>
      </c>
      <c r="F9" s="3017">
        <v>106790</v>
      </c>
      <c r="G9" s="3017">
        <v>100767</v>
      </c>
      <c r="H9" s="3017"/>
    </row>
    <row r="10" spans="1:8" x14ac:dyDescent="0.25">
      <c r="A10" s="3012" t="s">
        <v>18754</v>
      </c>
      <c r="B10" s="3012" t="s">
        <v>18755</v>
      </c>
      <c r="C10" s="3014">
        <v>39498</v>
      </c>
      <c r="D10" s="3017">
        <v>42078</v>
      </c>
      <c r="E10" s="3017">
        <v>45048</v>
      </c>
      <c r="F10" s="3017">
        <v>45048</v>
      </c>
      <c r="G10" s="3017">
        <v>40138</v>
      </c>
      <c r="H10" s="3017"/>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8D1E5-225A-4A65-962F-355FEDD6BE16}">
  <sheetPr codeName="Sheet98"/>
  <dimension ref="A1:C24"/>
  <sheetViews>
    <sheetView showGridLines="0" workbookViewId="0"/>
  </sheetViews>
  <sheetFormatPr defaultRowHeight="14.25" x14ac:dyDescent="0.25"/>
  <cols>
    <col min="1" max="1" width="20" bestFit="1" customWidth="1"/>
    <col min="2" max="2" width="16" bestFit="1" customWidth="1"/>
    <col min="3" max="3" width="18.42578125" bestFit="1" customWidth="1"/>
  </cols>
  <sheetData>
    <row r="1" spans="1:3" x14ac:dyDescent="0.25">
      <c r="A1" s="3010" t="s">
        <v>1584</v>
      </c>
      <c r="B1" s="3010" t="s">
        <v>18703</v>
      </c>
      <c r="C1" s="3011"/>
    </row>
    <row r="2" spans="1:3" x14ac:dyDescent="0.25">
      <c r="A2" s="3012"/>
      <c r="B2" s="3013" t="s">
        <v>18756</v>
      </c>
      <c r="C2" s="3014">
        <v>12071</v>
      </c>
    </row>
    <row r="3" spans="1:3" x14ac:dyDescent="0.25">
      <c r="B3" s="3013" t="s">
        <v>18757</v>
      </c>
      <c r="C3" s="3014" t="s">
        <v>19777</v>
      </c>
    </row>
    <row r="4" spans="1:3" x14ac:dyDescent="0.25">
      <c r="A4" s="3012" t="s">
        <v>18846</v>
      </c>
      <c r="B4" s="3012" t="s">
        <v>18847</v>
      </c>
      <c r="C4" s="3014">
        <v>357030</v>
      </c>
    </row>
    <row r="5" spans="1:3" x14ac:dyDescent="0.25">
      <c r="A5" s="3012" t="s">
        <v>18848</v>
      </c>
      <c r="B5" s="3012" t="s">
        <v>18849</v>
      </c>
      <c r="C5" s="3014">
        <v>2277</v>
      </c>
    </row>
    <row r="6" spans="1:3" x14ac:dyDescent="0.25">
      <c r="A6" s="3012" t="s">
        <v>18850</v>
      </c>
      <c r="B6" s="3012" t="s">
        <v>18851</v>
      </c>
      <c r="C6" s="3014">
        <v>237</v>
      </c>
    </row>
    <row r="7" spans="1:3" x14ac:dyDescent="0.25">
      <c r="A7" s="3012" t="s">
        <v>18852</v>
      </c>
      <c r="B7" s="3012" t="s">
        <v>18853</v>
      </c>
      <c r="C7" s="3016">
        <v>43258</v>
      </c>
    </row>
    <row r="8" spans="1:3" x14ac:dyDescent="0.25">
      <c r="A8" s="3012" t="s">
        <v>18854</v>
      </c>
      <c r="B8" s="3012" t="s">
        <v>18855</v>
      </c>
      <c r="C8" s="3014">
        <v>12800</v>
      </c>
    </row>
    <row r="9" spans="1:3" x14ac:dyDescent="0.25">
      <c r="A9" s="3012" t="s">
        <v>18856</v>
      </c>
      <c r="B9" s="3012" t="s">
        <v>18857</v>
      </c>
      <c r="C9" s="3014">
        <v>5661</v>
      </c>
    </row>
    <row r="10" spans="1:3" x14ac:dyDescent="0.25">
      <c r="A10" s="3012" t="s">
        <v>18858</v>
      </c>
      <c r="B10" s="3012" t="s">
        <v>18859</v>
      </c>
      <c r="C10" s="3014">
        <v>49474</v>
      </c>
    </row>
    <row r="11" spans="1:3" x14ac:dyDescent="0.25">
      <c r="A11" s="3012" t="s">
        <v>18860</v>
      </c>
      <c r="B11" s="3012" t="s">
        <v>18861</v>
      </c>
      <c r="C11" s="3014">
        <v>16528</v>
      </c>
    </row>
    <row r="12" spans="1:3" x14ac:dyDescent="0.25">
      <c r="A12" s="3012" t="s">
        <v>18862</v>
      </c>
      <c r="B12" s="3012" t="s">
        <v>18863</v>
      </c>
      <c r="C12" s="3014">
        <v>2464</v>
      </c>
    </row>
    <row r="13" spans="1:3" x14ac:dyDescent="0.25">
      <c r="A13" s="3012" t="s">
        <v>18864</v>
      </c>
      <c r="B13" s="3012" t="s">
        <v>18865</v>
      </c>
      <c r="C13" s="3014">
        <v>6001</v>
      </c>
    </row>
    <row r="14" spans="1:3" x14ac:dyDescent="0.25">
      <c r="A14" s="3012" t="s">
        <v>18866</v>
      </c>
      <c r="B14" s="3012" t="s">
        <v>18867</v>
      </c>
      <c r="C14" s="3014">
        <v>12015</v>
      </c>
    </row>
    <row r="15" spans="1:3" x14ac:dyDescent="0.25">
      <c r="A15" s="3012" t="s">
        <v>18868</v>
      </c>
      <c r="B15" s="3012" t="s">
        <v>18869</v>
      </c>
      <c r="C15" s="3014">
        <v>12781</v>
      </c>
    </row>
    <row r="16" spans="1:3" x14ac:dyDescent="0.25">
      <c r="A16" s="3012" t="s">
        <v>18870</v>
      </c>
      <c r="B16" s="3012" t="s">
        <v>18871</v>
      </c>
      <c r="C16" s="3014">
        <v>26279</v>
      </c>
    </row>
    <row r="17" spans="1:3" x14ac:dyDescent="0.25">
      <c r="A17" s="3012" t="s">
        <v>18872</v>
      </c>
      <c r="B17" s="3012" t="s">
        <v>18873</v>
      </c>
      <c r="C17" s="3014">
        <v>312</v>
      </c>
    </row>
    <row r="18" spans="1:3" x14ac:dyDescent="0.25">
      <c r="A18" s="3012" t="s">
        <v>18874</v>
      </c>
      <c r="B18" s="3012" t="s">
        <v>18875</v>
      </c>
      <c r="C18" s="3014">
        <v>23037</v>
      </c>
    </row>
    <row r="19" spans="1:3" x14ac:dyDescent="0.25">
      <c r="A19" s="3012" t="s">
        <v>18876</v>
      </c>
      <c r="B19" s="3012" t="s">
        <v>18877</v>
      </c>
      <c r="C19" s="3014">
        <v>22806</v>
      </c>
    </row>
    <row r="20" spans="1:3" x14ac:dyDescent="0.25">
      <c r="A20" s="3012" t="s">
        <v>18878</v>
      </c>
      <c r="B20" s="3012" t="s">
        <v>18879</v>
      </c>
      <c r="C20" s="3014">
        <v>50458</v>
      </c>
    </row>
    <row r="21" spans="1:3" x14ac:dyDescent="0.25">
      <c r="A21" s="3012" t="s">
        <v>18880</v>
      </c>
      <c r="B21" s="3012" t="s">
        <v>18881</v>
      </c>
      <c r="C21" s="3014">
        <v>10986</v>
      </c>
    </row>
    <row r="22" spans="1:3" x14ac:dyDescent="0.25">
      <c r="A22" s="3012" t="s">
        <v>18882</v>
      </c>
      <c r="B22" s="3012" t="s">
        <v>18883</v>
      </c>
      <c r="C22" s="3014">
        <v>30424</v>
      </c>
    </row>
    <row r="23" spans="1:3" x14ac:dyDescent="0.25">
      <c r="A23" s="3012" t="s">
        <v>18884</v>
      </c>
      <c r="B23" s="3012" t="s">
        <v>18885</v>
      </c>
      <c r="C23" s="3014">
        <v>17030</v>
      </c>
    </row>
    <row r="24" spans="1:3" x14ac:dyDescent="0.25">
      <c r="A24" s="3012" t="s">
        <v>18886</v>
      </c>
      <c r="B24" s="3012" t="s">
        <v>18887</v>
      </c>
      <c r="C24" s="3014">
        <v>12202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4">
    <tabColor theme="4"/>
  </sheetPr>
  <dimension ref="A1:AO73"/>
  <sheetViews>
    <sheetView zoomScaleNormal="100" workbookViewId="0">
      <selection activeCell="P27" sqref="P27"/>
    </sheetView>
  </sheetViews>
  <sheetFormatPr defaultColWidth="9.140625" defaultRowHeight="14.25" x14ac:dyDescent="0.25"/>
  <cols>
    <col min="1" max="1" width="5.7109375" style="32" customWidth="1"/>
    <col min="2" max="2" width="1.7109375" style="10" customWidth="1"/>
    <col min="3" max="3" width="0.85546875" style="10" customWidth="1"/>
    <col min="4" max="9" width="12.7109375" style="13" customWidth="1"/>
    <col min="10" max="10" width="0.85546875" style="10" customWidth="1"/>
    <col min="11" max="11" width="1.7109375" style="10" customWidth="1"/>
    <col min="12" max="12" width="5.7109375" style="10" customWidth="1"/>
    <col min="13" max="13" width="1.7109375" style="10" customWidth="1"/>
    <col min="14" max="14" width="0.85546875" style="10" customWidth="1"/>
    <col min="15" max="15" width="8.7109375" style="10" customWidth="1"/>
    <col min="16" max="16" width="20.7109375" style="10" customWidth="1"/>
    <col min="17" max="17" width="12.7109375" style="10" customWidth="1"/>
    <col min="18" max="18" width="7.7109375" style="10" customWidth="1"/>
    <col min="19" max="19" width="10.7109375" style="10" customWidth="1"/>
    <col min="20" max="23" width="8.7109375" style="10" customWidth="1"/>
    <col min="24" max="25" width="10.7109375" style="10" customWidth="1"/>
    <col min="26" max="27" width="8.7109375" style="10" customWidth="1"/>
    <col min="28" max="28" width="0.85546875" style="10" customWidth="1"/>
    <col min="29" max="29" width="1.7109375" style="10" customWidth="1"/>
    <col min="30" max="30" width="5.7109375" style="10" customWidth="1"/>
    <col min="31" max="31" width="1.7109375" style="10" customWidth="1"/>
    <col min="32" max="32" width="0.85546875" style="10" customWidth="1"/>
    <col min="33" max="33" width="8.7109375" style="10" customWidth="1"/>
    <col min="34" max="34" width="20.7109375" style="10" customWidth="1"/>
    <col min="35" max="38" width="10.7109375" style="10" customWidth="1"/>
    <col min="39" max="39" width="13.7109375" style="10" customWidth="1"/>
    <col min="40" max="40" width="0.85546875" style="10" customWidth="1"/>
    <col min="41" max="41" width="1.7109375" style="10" customWidth="1"/>
    <col min="42" max="16384" width="9.140625" style="10"/>
  </cols>
  <sheetData>
    <row r="1" spans="1:11" ht="60" customHeight="1" x14ac:dyDescent="0.25"/>
    <row r="2" spans="1:11" ht="15" customHeight="1" thickBot="1" x14ac:dyDescent="0.3"/>
    <row r="3" spans="1:11" ht="15" customHeight="1" x14ac:dyDescent="0.25">
      <c r="B3" s="1"/>
      <c r="C3" s="2"/>
      <c r="D3" s="202"/>
      <c r="E3" s="202"/>
      <c r="F3" s="202"/>
      <c r="G3" s="202"/>
      <c r="H3" s="202"/>
      <c r="I3" s="202"/>
      <c r="J3" s="2"/>
      <c r="K3" s="3"/>
    </row>
    <row r="4" spans="1:11" ht="15" customHeight="1" x14ac:dyDescent="0.25">
      <c r="B4" s="4"/>
      <c r="C4" s="5"/>
      <c r="D4" s="505" t="s">
        <v>570</v>
      </c>
      <c r="E4" s="289"/>
      <c r="F4" s="289"/>
      <c r="G4" s="289"/>
      <c r="H4" s="289"/>
      <c r="I4" s="289"/>
      <c r="J4" s="5"/>
      <c r="K4" s="6"/>
    </row>
    <row r="5" spans="1:11" ht="15" customHeight="1" x14ac:dyDescent="0.25">
      <c r="A5" s="957">
        <v>1</v>
      </c>
      <c r="B5" s="4"/>
      <c r="C5" s="11"/>
      <c r="D5" s="490" t="s">
        <v>571</v>
      </c>
      <c r="E5" s="490" t="s">
        <v>572</v>
      </c>
      <c r="F5" s="490" t="s">
        <v>573</v>
      </c>
      <c r="G5" s="490" t="s">
        <v>326</v>
      </c>
      <c r="H5" s="490" t="s">
        <v>574</v>
      </c>
      <c r="I5" s="490" t="s">
        <v>575</v>
      </c>
      <c r="J5" s="11"/>
      <c r="K5" s="6"/>
    </row>
    <row r="6" spans="1:11" ht="15" customHeight="1" x14ac:dyDescent="0.25">
      <c r="A6" s="957">
        <f>IF(SUM(E6:G6)=0,0,1)</f>
        <v>0</v>
      </c>
      <c r="B6" s="4"/>
      <c r="C6" s="5"/>
      <c r="D6" s="289">
        <v>1</v>
      </c>
      <c r="E6" s="508">
        <v>209207.95</v>
      </c>
      <c r="F6" s="508">
        <v>209207.95</v>
      </c>
      <c r="G6" s="508">
        <v>220514</v>
      </c>
      <c r="H6" s="507"/>
      <c r="I6" s="507" t="e">
        <f>F6/G6</f>
        <v>#DIV/0!</v>
      </c>
      <c r="J6" s="5"/>
      <c r="K6" s="6"/>
    </row>
    <row r="7" spans="1:11" ht="15" customHeight="1" x14ac:dyDescent="0.25">
      <c r="A7" s="957">
        <f t="shared" ref="A7:A15" si="0">IF(SUM(E7:G7)=0,0,1)</f>
        <v>0</v>
      </c>
      <c r="B7" s="4"/>
      <c r="C7" s="5"/>
      <c r="D7" s="289">
        <f>D6+1</f>
        <v>2</v>
      </c>
      <c r="E7" s="508"/>
      <c r="F7" s="508"/>
      <c r="G7" s="508"/>
      <c r="H7" s="507"/>
      <c r="I7" s="507" t="e">
        <f t="shared" ref="I7:I15" si="1">F7/G7</f>
        <v>#DIV/0!</v>
      </c>
      <c r="J7" s="5"/>
      <c r="K7" s="6"/>
    </row>
    <row r="8" spans="1:11" ht="15" customHeight="1" x14ac:dyDescent="0.25">
      <c r="A8" s="957">
        <f t="shared" si="0"/>
        <v>0</v>
      </c>
      <c r="B8" s="4"/>
      <c r="C8" s="5"/>
      <c r="D8" s="289">
        <f t="shared" ref="D8:D15" si="2">D7+1</f>
        <v>3</v>
      </c>
      <c r="E8" s="508"/>
      <c r="F8" s="508"/>
      <c r="G8" s="508"/>
      <c r="H8" s="507"/>
      <c r="I8" s="507" t="e">
        <f t="shared" si="1"/>
        <v>#DIV/0!</v>
      </c>
      <c r="J8" s="5"/>
      <c r="K8" s="6"/>
    </row>
    <row r="9" spans="1:11" ht="15" customHeight="1" x14ac:dyDescent="0.25">
      <c r="A9" s="957">
        <f t="shared" si="0"/>
        <v>0</v>
      </c>
      <c r="B9" s="4"/>
      <c r="C9" s="5"/>
      <c r="D9" s="289">
        <f t="shared" si="2"/>
        <v>4</v>
      </c>
      <c r="E9" s="508"/>
      <c r="F9" s="508"/>
      <c r="G9" s="508"/>
      <c r="H9" s="507"/>
      <c r="I9" s="507" t="e">
        <f t="shared" si="1"/>
        <v>#DIV/0!</v>
      </c>
      <c r="J9" s="5"/>
      <c r="K9" s="6"/>
    </row>
    <row r="10" spans="1:11" ht="15" customHeight="1" x14ac:dyDescent="0.25">
      <c r="A10" s="957">
        <f t="shared" si="0"/>
        <v>0</v>
      </c>
      <c r="B10" s="4"/>
      <c r="C10" s="5"/>
      <c r="D10" s="289">
        <f t="shared" si="2"/>
        <v>5</v>
      </c>
      <c r="E10" s="508"/>
      <c r="F10" s="508"/>
      <c r="G10" s="508"/>
      <c r="H10" s="507"/>
      <c r="I10" s="507" t="e">
        <f t="shared" si="1"/>
        <v>#DIV/0!</v>
      </c>
      <c r="J10" s="5"/>
      <c r="K10" s="6"/>
    </row>
    <row r="11" spans="1:11" ht="15" customHeight="1" x14ac:dyDescent="0.25">
      <c r="A11" s="957">
        <f t="shared" si="0"/>
        <v>0</v>
      </c>
      <c r="B11" s="4"/>
      <c r="C11" s="5"/>
      <c r="D11" s="289">
        <f t="shared" si="2"/>
        <v>6</v>
      </c>
      <c r="E11" s="508"/>
      <c r="F11" s="508"/>
      <c r="G11" s="508"/>
      <c r="H11" s="507"/>
      <c r="I11" s="507" t="e">
        <f t="shared" si="1"/>
        <v>#DIV/0!</v>
      </c>
      <c r="J11" s="5"/>
      <c r="K11" s="6"/>
    </row>
    <row r="12" spans="1:11" ht="15" customHeight="1" x14ac:dyDescent="0.25">
      <c r="A12" s="957">
        <f t="shared" si="0"/>
        <v>0</v>
      </c>
      <c r="B12" s="4"/>
      <c r="C12" s="5"/>
      <c r="D12" s="289">
        <f t="shared" si="2"/>
        <v>7</v>
      </c>
      <c r="E12" s="508"/>
      <c r="F12" s="508"/>
      <c r="G12" s="508"/>
      <c r="H12" s="507"/>
      <c r="I12" s="507" t="e">
        <f t="shared" si="1"/>
        <v>#DIV/0!</v>
      </c>
      <c r="J12" s="5"/>
      <c r="K12" s="6"/>
    </row>
    <row r="13" spans="1:11" ht="15" customHeight="1" x14ac:dyDescent="0.25">
      <c r="A13" s="957">
        <f t="shared" si="0"/>
        <v>0</v>
      </c>
      <c r="B13" s="4"/>
      <c r="C13" s="5"/>
      <c r="D13" s="289">
        <f t="shared" si="2"/>
        <v>8</v>
      </c>
      <c r="E13" s="508"/>
      <c r="F13" s="508"/>
      <c r="G13" s="508"/>
      <c r="H13" s="507"/>
      <c r="I13" s="507" t="e">
        <f t="shared" si="1"/>
        <v>#DIV/0!</v>
      </c>
      <c r="J13" s="5"/>
      <c r="K13" s="6"/>
    </row>
    <row r="14" spans="1:11" ht="15" customHeight="1" x14ac:dyDescent="0.25">
      <c r="A14" s="957">
        <f t="shared" si="0"/>
        <v>0</v>
      </c>
      <c r="B14" s="4"/>
      <c r="C14" s="5"/>
      <c r="D14" s="289">
        <f t="shared" si="2"/>
        <v>9</v>
      </c>
      <c r="E14" s="508"/>
      <c r="F14" s="508"/>
      <c r="G14" s="508"/>
      <c r="H14" s="507"/>
      <c r="I14" s="507" t="e">
        <f t="shared" si="1"/>
        <v>#DIV/0!</v>
      </c>
      <c r="J14" s="5"/>
      <c r="K14" s="6"/>
    </row>
    <row r="15" spans="1:11" ht="15" customHeight="1" x14ac:dyDescent="0.25">
      <c r="A15" s="957">
        <f t="shared" si="0"/>
        <v>0</v>
      </c>
      <c r="B15" s="4"/>
      <c r="C15" s="5"/>
      <c r="D15" s="289">
        <f t="shared" si="2"/>
        <v>10</v>
      </c>
      <c r="E15" s="508"/>
      <c r="F15" s="508"/>
      <c r="G15" s="508"/>
      <c r="H15" s="507"/>
      <c r="I15" s="507" t="e">
        <f t="shared" si="1"/>
        <v>#DIV/0!</v>
      </c>
      <c r="J15" s="5"/>
      <c r="K15" s="6"/>
    </row>
    <row r="16" spans="1:11" ht="15" customHeight="1" x14ac:dyDescent="0.25">
      <c r="A16" s="957">
        <v>1</v>
      </c>
      <c r="B16" s="4"/>
      <c r="C16" s="5"/>
      <c r="D16" s="509" t="s">
        <v>93</v>
      </c>
      <c r="E16" s="510">
        <f>SUM(E6:E15)</f>
        <v>0</v>
      </c>
      <c r="F16" s="510">
        <f>SUM(F6:F15)</f>
        <v>0</v>
      </c>
      <c r="G16" s="510">
        <f>SUM(G6:G15)</f>
        <v>0</v>
      </c>
      <c r="H16" s="509"/>
      <c r="I16" s="511" t="e">
        <f>F16/G16</f>
        <v>#DIV/0!</v>
      </c>
      <c r="J16" s="5"/>
      <c r="K16" s="6"/>
    </row>
    <row r="17" spans="1:11" ht="9.9499999999999993" customHeight="1" x14ac:dyDescent="0.25">
      <c r="A17" s="957">
        <v>1</v>
      </c>
      <c r="B17" s="4"/>
      <c r="C17" s="5"/>
      <c r="D17" s="289"/>
      <c r="E17" s="289"/>
      <c r="F17" s="289"/>
      <c r="G17" s="289"/>
      <c r="H17" s="289"/>
      <c r="I17" s="289"/>
      <c r="J17" s="5"/>
      <c r="K17" s="6"/>
    </row>
    <row r="18" spans="1:11" ht="15" customHeight="1" x14ac:dyDescent="0.25">
      <c r="A18" s="957">
        <v>1</v>
      </c>
      <c r="B18" s="4"/>
      <c r="C18" s="11"/>
      <c r="D18" s="490" t="s">
        <v>571</v>
      </c>
      <c r="E18" s="490" t="s">
        <v>54</v>
      </c>
      <c r="F18" s="490" t="s">
        <v>577</v>
      </c>
      <c r="G18" s="490" t="s">
        <v>578</v>
      </c>
      <c r="H18" s="490" t="s">
        <v>89</v>
      </c>
      <c r="I18" s="490" t="s">
        <v>93</v>
      </c>
      <c r="J18" s="11"/>
      <c r="K18" s="6"/>
    </row>
    <row r="19" spans="1:11" ht="15" customHeight="1" x14ac:dyDescent="0.25">
      <c r="A19" s="957">
        <f>IF(I19=0,0,1)</f>
        <v>0</v>
      </c>
      <c r="B19" s="4"/>
      <c r="C19" s="5"/>
      <c r="D19" s="289">
        <v>1</v>
      </c>
      <c r="E19" s="508">
        <v>19055.04</v>
      </c>
      <c r="F19" s="508"/>
      <c r="G19" s="508"/>
      <c r="H19" s="508"/>
      <c r="I19" s="508">
        <f>SUM(E19:H19)</f>
        <v>0</v>
      </c>
      <c r="J19" s="5"/>
      <c r="K19" s="6"/>
    </row>
    <row r="20" spans="1:11" ht="15" customHeight="1" x14ac:dyDescent="0.25">
      <c r="A20" s="957">
        <f t="shared" ref="A20:A28" si="3">IF(I20=0,0,1)</f>
        <v>0</v>
      </c>
      <c r="B20" s="4"/>
      <c r="C20" s="5"/>
      <c r="D20" s="289">
        <f>D19+1</f>
        <v>2</v>
      </c>
      <c r="E20" s="508"/>
      <c r="F20" s="508"/>
      <c r="G20" s="508">
        <v>6871</v>
      </c>
      <c r="H20" s="508"/>
      <c r="I20" s="508">
        <f t="shared" ref="I20:I28" si="4">SUM(E20:H20)</f>
        <v>0</v>
      </c>
      <c r="J20" s="5"/>
      <c r="K20" s="6"/>
    </row>
    <row r="21" spans="1:11" ht="15" customHeight="1" x14ac:dyDescent="0.25">
      <c r="A21" s="957">
        <f t="shared" si="3"/>
        <v>0</v>
      </c>
      <c r="B21" s="4"/>
      <c r="C21" s="5"/>
      <c r="D21" s="289">
        <f t="shared" ref="D21:D28" si="5">D20+1</f>
        <v>3</v>
      </c>
      <c r="E21" s="508"/>
      <c r="F21" s="508"/>
      <c r="G21" s="508">
        <v>15314</v>
      </c>
      <c r="H21" s="508"/>
      <c r="I21" s="508">
        <f t="shared" si="4"/>
        <v>0</v>
      </c>
      <c r="J21" s="5"/>
      <c r="K21" s="6"/>
    </row>
    <row r="22" spans="1:11" ht="15" customHeight="1" x14ac:dyDescent="0.25">
      <c r="A22" s="957">
        <f t="shared" si="3"/>
        <v>0</v>
      </c>
      <c r="B22" s="4"/>
      <c r="C22" s="5"/>
      <c r="D22" s="289">
        <f t="shared" si="5"/>
        <v>4</v>
      </c>
      <c r="E22" s="508"/>
      <c r="F22" s="508"/>
      <c r="G22" s="508">
        <v>15000</v>
      </c>
      <c r="H22" s="508"/>
      <c r="I22" s="508">
        <f t="shared" si="4"/>
        <v>0</v>
      </c>
      <c r="J22" s="5"/>
      <c r="K22" s="6"/>
    </row>
    <row r="23" spans="1:11" ht="15" customHeight="1" x14ac:dyDescent="0.25">
      <c r="A23" s="957">
        <f t="shared" si="3"/>
        <v>0</v>
      </c>
      <c r="B23" s="4"/>
      <c r="C23" s="5"/>
      <c r="D23" s="289">
        <f t="shared" si="5"/>
        <v>5</v>
      </c>
      <c r="E23" s="508"/>
      <c r="F23" s="508"/>
      <c r="G23" s="508">
        <v>15063.27</v>
      </c>
      <c r="H23" s="508"/>
      <c r="I23" s="508">
        <f t="shared" si="4"/>
        <v>0</v>
      </c>
      <c r="J23" s="5"/>
      <c r="K23" s="6"/>
    </row>
    <row r="24" spans="1:11" ht="15" customHeight="1" x14ac:dyDescent="0.25">
      <c r="A24" s="957">
        <f t="shared" si="3"/>
        <v>0</v>
      </c>
      <c r="B24" s="4"/>
      <c r="C24" s="5"/>
      <c r="D24" s="289">
        <f t="shared" si="5"/>
        <v>6</v>
      </c>
      <c r="E24" s="508"/>
      <c r="F24" s="508"/>
      <c r="G24" s="508">
        <v>18870.49</v>
      </c>
      <c r="H24" s="508"/>
      <c r="I24" s="508">
        <f t="shared" si="4"/>
        <v>0</v>
      </c>
      <c r="J24" s="5"/>
      <c r="K24" s="6"/>
    </row>
    <row r="25" spans="1:11" ht="15" customHeight="1" x14ac:dyDescent="0.25">
      <c r="A25" s="957">
        <f t="shared" si="3"/>
        <v>0</v>
      </c>
      <c r="B25" s="4"/>
      <c r="C25" s="5"/>
      <c r="D25" s="289">
        <f t="shared" si="5"/>
        <v>7</v>
      </c>
      <c r="E25" s="508"/>
      <c r="F25" s="508"/>
      <c r="G25" s="508">
        <v>32880</v>
      </c>
      <c r="H25" s="508"/>
      <c r="I25" s="508">
        <f t="shared" si="4"/>
        <v>0</v>
      </c>
      <c r="J25" s="5"/>
      <c r="K25" s="6"/>
    </row>
    <row r="26" spans="1:11" ht="15" customHeight="1" x14ac:dyDescent="0.25">
      <c r="A26" s="957">
        <f t="shared" si="3"/>
        <v>0</v>
      </c>
      <c r="B26" s="4"/>
      <c r="C26" s="5"/>
      <c r="D26" s="289">
        <f t="shared" si="5"/>
        <v>8</v>
      </c>
      <c r="E26" s="508"/>
      <c r="F26" s="508"/>
      <c r="G26" s="508">
        <v>19895.15</v>
      </c>
      <c r="H26" s="508"/>
      <c r="I26" s="508">
        <f t="shared" si="4"/>
        <v>0</v>
      </c>
      <c r="J26" s="5"/>
      <c r="K26" s="6"/>
    </row>
    <row r="27" spans="1:11" ht="15" customHeight="1" x14ac:dyDescent="0.25">
      <c r="A27" s="957">
        <f t="shared" si="3"/>
        <v>0</v>
      </c>
      <c r="B27" s="4"/>
      <c r="C27" s="5"/>
      <c r="D27" s="289">
        <f t="shared" si="5"/>
        <v>9</v>
      </c>
      <c r="E27" s="508"/>
      <c r="F27" s="508"/>
      <c r="G27" s="508">
        <v>25157</v>
      </c>
      <c r="H27" s="508"/>
      <c r="I27" s="508">
        <f t="shared" si="4"/>
        <v>0</v>
      </c>
      <c r="J27" s="5"/>
      <c r="K27" s="6"/>
    </row>
    <row r="28" spans="1:11" ht="15" customHeight="1" x14ac:dyDescent="0.25">
      <c r="A28" s="957">
        <f t="shared" si="3"/>
        <v>0</v>
      </c>
      <c r="B28" s="4"/>
      <c r="C28" s="5"/>
      <c r="D28" s="289">
        <f t="shared" si="5"/>
        <v>10</v>
      </c>
      <c r="E28" s="508"/>
      <c r="F28" s="508"/>
      <c r="G28" s="508">
        <v>41102</v>
      </c>
      <c r="H28" s="508"/>
      <c r="I28" s="508">
        <f t="shared" si="4"/>
        <v>0</v>
      </c>
      <c r="J28" s="5"/>
      <c r="K28" s="6"/>
    </row>
    <row r="29" spans="1:11" ht="15" customHeight="1" x14ac:dyDescent="0.25">
      <c r="A29" s="957">
        <v>1</v>
      </c>
      <c r="B29" s="4"/>
      <c r="C29" s="5"/>
      <c r="D29" s="509" t="s">
        <v>93</v>
      </c>
      <c r="E29" s="510">
        <f>SUM(E19:E28)</f>
        <v>0</v>
      </c>
      <c r="F29" s="510">
        <f>SUM(F19:F28)</f>
        <v>0</v>
      </c>
      <c r="G29" s="510">
        <f>SUM(G19:G28)</f>
        <v>0</v>
      </c>
      <c r="H29" s="510">
        <f>SUM(H19:H28)</f>
        <v>0</v>
      </c>
      <c r="I29" s="510">
        <f>SUM(I19:I28)</f>
        <v>0</v>
      </c>
      <c r="J29" s="5"/>
      <c r="K29" s="6"/>
    </row>
    <row r="30" spans="1:11" ht="9.9499999999999993" customHeight="1" x14ac:dyDescent="0.25">
      <c r="A30" s="957">
        <v>1</v>
      </c>
      <c r="B30" s="4"/>
      <c r="C30" s="5"/>
      <c r="D30" s="289"/>
      <c r="E30" s="289"/>
      <c r="F30" s="289"/>
      <c r="G30" s="289"/>
      <c r="H30" s="289"/>
      <c r="I30" s="289"/>
      <c r="J30" s="5"/>
      <c r="K30" s="6"/>
    </row>
    <row r="31" spans="1:11" ht="15" customHeight="1" x14ac:dyDescent="0.25">
      <c r="A31" s="957">
        <v>1</v>
      </c>
      <c r="B31" s="4"/>
      <c r="C31" s="11"/>
      <c r="D31" s="490" t="s">
        <v>210</v>
      </c>
      <c r="E31" s="490" t="s">
        <v>54</v>
      </c>
      <c r="F31" s="490" t="s">
        <v>577</v>
      </c>
      <c r="G31" s="490" t="s">
        <v>578</v>
      </c>
      <c r="H31" s="490" t="s">
        <v>89</v>
      </c>
      <c r="I31" s="490" t="s">
        <v>93</v>
      </c>
      <c r="J31" s="11"/>
      <c r="K31" s="6"/>
    </row>
    <row r="32" spans="1:11" ht="15" customHeight="1" x14ac:dyDescent="0.25">
      <c r="A32" s="957">
        <v>1</v>
      </c>
      <c r="B32" s="4"/>
      <c r="C32" s="5"/>
      <c r="D32" s="289" t="s">
        <v>142</v>
      </c>
      <c r="E32" s="508">
        <v>18146.84</v>
      </c>
      <c r="F32" s="508"/>
      <c r="G32" s="508">
        <v>190152.91</v>
      </c>
      <c r="H32" s="508"/>
      <c r="I32" s="508">
        <f>SUM(E32:H32)</f>
        <v>0</v>
      </c>
      <c r="J32" s="5"/>
      <c r="K32" s="6"/>
    </row>
    <row r="33" spans="1:29" ht="15" customHeight="1" x14ac:dyDescent="0.25">
      <c r="A33" s="957">
        <v>1</v>
      </c>
      <c r="B33" s="4"/>
      <c r="C33" s="5"/>
      <c r="D33" s="289" t="s">
        <v>576</v>
      </c>
      <c r="E33" s="508">
        <v>908.2</v>
      </c>
      <c r="F33" s="508"/>
      <c r="G33" s="508">
        <v>0</v>
      </c>
      <c r="H33" s="508"/>
      <c r="I33" s="508">
        <f>SUM(E33:H33)</f>
        <v>0</v>
      </c>
      <c r="J33" s="5"/>
      <c r="K33" s="6"/>
    </row>
    <row r="34" spans="1:29" ht="15" customHeight="1" x14ac:dyDescent="0.25">
      <c r="A34" s="957">
        <v>1</v>
      </c>
      <c r="B34" s="4"/>
      <c r="C34" s="5"/>
      <c r="D34" s="509" t="s">
        <v>93</v>
      </c>
      <c r="E34" s="510">
        <f>SUM(E32:E33)</f>
        <v>0</v>
      </c>
      <c r="F34" s="510">
        <f>SUM(F32:F33)</f>
        <v>0</v>
      </c>
      <c r="G34" s="510">
        <f>SUM(G32:G33)</f>
        <v>0</v>
      </c>
      <c r="H34" s="510">
        <f>SUM(H32:H33)</f>
        <v>0</v>
      </c>
      <c r="I34" s="510">
        <f>SUM(I32:I33)</f>
        <v>0</v>
      </c>
      <c r="J34" s="5"/>
      <c r="K34" s="6"/>
    </row>
    <row r="35" spans="1:29" ht="5.0999999999999996" customHeight="1" thickBot="1" x14ac:dyDescent="0.3">
      <c r="A35" s="957">
        <v>1</v>
      </c>
      <c r="B35" s="4"/>
      <c r="C35" s="5"/>
      <c r="D35" s="86"/>
      <c r="E35" s="86"/>
      <c r="F35" s="86"/>
      <c r="G35" s="86"/>
      <c r="H35" s="86"/>
      <c r="I35" s="86"/>
      <c r="J35" s="5"/>
      <c r="K35" s="6"/>
    </row>
    <row r="36" spans="1:29" ht="15" customHeight="1" thickBot="1" x14ac:dyDescent="0.3">
      <c r="A36" s="957">
        <v>1</v>
      </c>
      <c r="B36" s="8"/>
      <c r="C36" s="7"/>
      <c r="D36" s="554" t="s">
        <v>854</v>
      </c>
      <c r="E36" s="14"/>
      <c r="F36" s="14"/>
      <c r="G36" s="14"/>
      <c r="H36" s="14"/>
      <c r="I36" s="14"/>
      <c r="J36" s="7"/>
      <c r="K36" s="9"/>
    </row>
    <row r="37" spans="1:29" ht="15" thickBot="1" x14ac:dyDescent="0.3">
      <c r="A37" s="957">
        <v>1</v>
      </c>
      <c r="D37" s="96"/>
      <c r="E37" s="957">
        <f>IF(E34=0,0,1)</f>
        <v>0</v>
      </c>
      <c r="F37" s="957">
        <f>IF(F34=0,0,1)</f>
        <v>0</v>
      </c>
      <c r="G37" s="957">
        <f>IF(G34=0,0,1)</f>
        <v>0</v>
      </c>
      <c r="H37" s="957">
        <f>IF(H34=0,0,1)</f>
        <v>0</v>
      </c>
      <c r="I37" s="41"/>
    </row>
    <row r="38" spans="1:29" x14ac:dyDescent="0.25">
      <c r="A38" s="957">
        <v>1</v>
      </c>
      <c r="M38" s="1"/>
      <c r="N38" s="2"/>
      <c r="O38" s="2"/>
      <c r="P38" s="2"/>
      <c r="Q38" s="2"/>
      <c r="R38" s="2"/>
      <c r="S38" s="2"/>
      <c r="T38" s="2"/>
      <c r="U38" s="2"/>
      <c r="V38" s="2"/>
      <c r="W38" s="2"/>
      <c r="X38" s="2"/>
      <c r="Y38" s="2"/>
      <c r="Z38" s="2"/>
      <c r="AA38" s="2"/>
      <c r="AB38" s="2"/>
      <c r="AC38" s="3"/>
    </row>
    <row r="39" spans="1:29" ht="16.5" x14ac:dyDescent="0.3">
      <c r="A39" s="957">
        <v>1</v>
      </c>
      <c r="M39" s="4"/>
      <c r="N39" s="5"/>
      <c r="O39" s="246" t="str">
        <f>CONCATENATE(Subject_PropertyName," - Building Summary")</f>
        <v>FRANKLIN INDUSTRIAL GROUP LTD - Building Summary</v>
      </c>
      <c r="P39" s="5"/>
      <c r="Q39" s="5"/>
      <c r="R39" s="5"/>
      <c r="S39" s="5"/>
      <c r="T39" s="5"/>
      <c r="U39" s="5"/>
      <c r="V39" s="5"/>
      <c r="W39" s="5"/>
      <c r="X39" s="5"/>
      <c r="Y39" s="5"/>
      <c r="Z39" s="5"/>
      <c r="AA39" s="5"/>
      <c r="AB39" s="5"/>
      <c r="AC39" s="6"/>
    </row>
    <row r="40" spans="1:29" x14ac:dyDescent="0.25">
      <c r="A40" s="957">
        <v>1</v>
      </c>
      <c r="M40" s="4"/>
      <c r="N40" s="150"/>
      <c r="O40" s="150"/>
      <c r="P40" s="207"/>
      <c r="Q40" s="290" t="s">
        <v>91</v>
      </c>
      <c r="R40" s="290" t="s">
        <v>110</v>
      </c>
      <c r="S40" s="290" t="s">
        <v>1471</v>
      </c>
      <c r="T40" s="4093" t="s">
        <v>1474</v>
      </c>
      <c r="U40" s="4093"/>
      <c r="V40" s="4093" t="s">
        <v>1473</v>
      </c>
      <c r="W40" s="4093"/>
      <c r="X40" s="150"/>
      <c r="Y40" s="150"/>
      <c r="Z40" s="290" t="s">
        <v>1475</v>
      </c>
      <c r="AA40" s="150" t="s">
        <v>93</v>
      </c>
      <c r="AB40" s="150"/>
      <c r="AC40" s="6"/>
    </row>
    <row r="41" spans="1:29" x14ac:dyDescent="0.25">
      <c r="A41" s="957">
        <v>1</v>
      </c>
      <c r="M41" s="4"/>
      <c r="N41" s="150"/>
      <c r="O41" s="150" t="s">
        <v>109</v>
      </c>
      <c r="P41" s="207" t="s">
        <v>1470</v>
      </c>
      <c r="Q41" s="290" t="s">
        <v>196</v>
      </c>
      <c r="R41" s="290" t="s">
        <v>111</v>
      </c>
      <c r="S41" s="290" t="s">
        <v>1472</v>
      </c>
      <c r="T41" s="290" t="s">
        <v>141</v>
      </c>
      <c r="U41" s="290" t="s">
        <v>129</v>
      </c>
      <c r="V41" s="290" t="s">
        <v>141</v>
      </c>
      <c r="W41" s="290" t="s">
        <v>129</v>
      </c>
      <c r="X41" s="150" t="s">
        <v>186</v>
      </c>
      <c r="Y41" s="150" t="s">
        <v>1469</v>
      </c>
      <c r="Z41" s="290" t="s">
        <v>129</v>
      </c>
      <c r="AA41" s="150" t="s">
        <v>129</v>
      </c>
      <c r="AB41" s="150"/>
      <c r="AC41" s="6"/>
    </row>
    <row r="42" spans="1:29" x14ac:dyDescent="0.25">
      <c r="A42" s="957">
        <f>IF(P42="",0,1)</f>
        <v>0</v>
      </c>
      <c r="M42" s="4"/>
      <c r="N42" s="5"/>
      <c r="O42" s="39">
        <v>1</v>
      </c>
      <c r="P42" s="1446"/>
      <c r="Q42" s="1418"/>
      <c r="R42" s="1425"/>
      <c r="S42" s="1419"/>
      <c r="T42" s="1431"/>
      <c r="U42" s="1422"/>
      <c r="V42" s="1431"/>
      <c r="W42" s="1422"/>
      <c r="X42" s="1420"/>
      <c r="Y42" s="1418"/>
      <c r="Z42" s="1421"/>
      <c r="AA42" s="1422"/>
      <c r="AB42" s="5"/>
      <c r="AC42" s="6"/>
    </row>
    <row r="43" spans="1:29" x14ac:dyDescent="0.25">
      <c r="A43" s="957">
        <f t="shared" ref="A43:A51" si="6">IF(P43="",0,1)</f>
        <v>0</v>
      </c>
      <c r="M43" s="4"/>
      <c r="N43" s="5"/>
      <c r="O43" s="39">
        <f>O42+1</f>
        <v>2</v>
      </c>
      <c r="P43" s="20"/>
      <c r="Q43" s="20"/>
      <c r="R43" s="1426"/>
      <c r="S43" s="1428"/>
      <c r="T43" s="1432"/>
      <c r="U43" s="1433"/>
      <c r="V43" s="1432"/>
      <c r="W43" s="1433"/>
      <c r="X43" s="5"/>
      <c r="Y43" s="5"/>
      <c r="Z43" s="1433"/>
      <c r="AA43" s="1433"/>
      <c r="AB43" s="5"/>
      <c r="AC43" s="6"/>
    </row>
    <row r="44" spans="1:29" x14ac:dyDescent="0.25">
      <c r="A44" s="957">
        <f t="shared" si="6"/>
        <v>0</v>
      </c>
      <c r="M44" s="4"/>
      <c r="N44" s="5"/>
      <c r="O44" s="39">
        <f t="shared" ref="O44:O51" si="7">O43+1</f>
        <v>3</v>
      </c>
      <c r="P44" s="20"/>
      <c r="Q44" s="20"/>
      <c r="R44" s="1426"/>
      <c r="S44" s="1428"/>
      <c r="T44" s="1432"/>
      <c r="U44" s="1433"/>
      <c r="V44" s="1432"/>
      <c r="W44" s="1433"/>
      <c r="X44" s="5"/>
      <c r="Y44" s="5"/>
      <c r="Z44" s="1433"/>
      <c r="AA44" s="1433"/>
      <c r="AB44" s="5"/>
      <c r="AC44" s="6"/>
    </row>
    <row r="45" spans="1:29" x14ac:dyDescent="0.25">
      <c r="A45" s="957">
        <f t="shared" si="6"/>
        <v>0</v>
      </c>
      <c r="M45" s="4"/>
      <c r="N45" s="5"/>
      <c r="O45" s="39">
        <f t="shared" si="7"/>
        <v>4</v>
      </c>
      <c r="P45" s="20"/>
      <c r="Q45" s="20"/>
      <c r="R45" s="1426"/>
      <c r="S45" s="1428"/>
      <c r="T45" s="1432"/>
      <c r="U45" s="1433"/>
      <c r="V45" s="1432"/>
      <c r="W45" s="1433"/>
      <c r="X45" s="5"/>
      <c r="Y45" s="5"/>
      <c r="Z45" s="1433"/>
      <c r="AA45" s="1433"/>
      <c r="AB45" s="5"/>
      <c r="AC45" s="6"/>
    </row>
    <row r="46" spans="1:29" x14ac:dyDescent="0.25">
      <c r="A46" s="957">
        <f t="shared" si="6"/>
        <v>0</v>
      </c>
      <c r="M46" s="4"/>
      <c r="N46" s="5"/>
      <c r="O46" s="39">
        <f t="shared" si="7"/>
        <v>5</v>
      </c>
      <c r="P46" s="20"/>
      <c r="Q46" s="20"/>
      <c r="R46" s="1426"/>
      <c r="S46" s="1428"/>
      <c r="T46" s="1432"/>
      <c r="U46" s="1433"/>
      <c r="V46" s="1432"/>
      <c r="W46" s="1433"/>
      <c r="X46" s="5"/>
      <c r="Y46" s="5"/>
      <c r="Z46" s="1433"/>
      <c r="AA46" s="1433"/>
      <c r="AB46" s="5"/>
      <c r="AC46" s="6"/>
    </row>
    <row r="47" spans="1:29" x14ac:dyDescent="0.25">
      <c r="A47" s="957">
        <f t="shared" si="6"/>
        <v>0</v>
      </c>
      <c r="M47" s="4"/>
      <c r="N47" s="5"/>
      <c r="O47" s="39">
        <f t="shared" si="7"/>
        <v>6</v>
      </c>
      <c r="P47" s="20"/>
      <c r="Q47" s="20"/>
      <c r="R47" s="1426"/>
      <c r="S47" s="1428"/>
      <c r="T47" s="1432"/>
      <c r="U47" s="1433"/>
      <c r="V47" s="1432"/>
      <c r="W47" s="1433"/>
      <c r="X47" s="5"/>
      <c r="Y47" s="5"/>
      <c r="Z47" s="1433"/>
      <c r="AA47" s="1433"/>
      <c r="AB47" s="5"/>
      <c r="AC47" s="6"/>
    </row>
    <row r="48" spans="1:29" x14ac:dyDescent="0.25">
      <c r="A48" s="957">
        <f t="shared" si="6"/>
        <v>0</v>
      </c>
      <c r="M48" s="4"/>
      <c r="N48" s="5"/>
      <c r="O48" s="39">
        <f t="shared" si="7"/>
        <v>7</v>
      </c>
      <c r="P48" s="20"/>
      <c r="Q48" s="20"/>
      <c r="R48" s="1426"/>
      <c r="S48" s="1428"/>
      <c r="T48" s="1432"/>
      <c r="U48" s="1433"/>
      <c r="V48" s="1432"/>
      <c r="W48" s="1433"/>
      <c r="X48" s="5"/>
      <c r="Y48" s="5"/>
      <c r="Z48" s="1433"/>
      <c r="AA48" s="1433"/>
      <c r="AB48" s="5"/>
      <c r="AC48" s="6"/>
    </row>
    <row r="49" spans="1:41" x14ac:dyDescent="0.25">
      <c r="A49" s="957">
        <f t="shared" si="6"/>
        <v>0</v>
      </c>
      <c r="M49" s="4"/>
      <c r="N49" s="5"/>
      <c r="O49" s="39">
        <f t="shared" si="7"/>
        <v>8</v>
      </c>
      <c r="P49" s="20"/>
      <c r="Q49" s="20"/>
      <c r="R49" s="1426"/>
      <c r="S49" s="1428"/>
      <c r="T49" s="1432"/>
      <c r="U49" s="1433"/>
      <c r="V49" s="1432"/>
      <c r="W49" s="1433"/>
      <c r="X49" s="5"/>
      <c r="Y49" s="5"/>
      <c r="Z49" s="1433"/>
      <c r="AA49" s="1433"/>
      <c r="AB49" s="5"/>
      <c r="AC49" s="6"/>
    </row>
    <row r="50" spans="1:41" x14ac:dyDescent="0.25">
      <c r="A50" s="957">
        <f t="shared" si="6"/>
        <v>0</v>
      </c>
      <c r="M50" s="4"/>
      <c r="N50" s="5"/>
      <c r="O50" s="39">
        <f t="shared" si="7"/>
        <v>9</v>
      </c>
      <c r="P50" s="20"/>
      <c r="Q50" s="20"/>
      <c r="R50" s="1426"/>
      <c r="S50" s="1428"/>
      <c r="T50" s="1432"/>
      <c r="U50" s="1433"/>
      <c r="V50" s="1432"/>
      <c r="W50" s="1433"/>
      <c r="X50" s="5"/>
      <c r="Y50" s="5"/>
      <c r="Z50" s="1433"/>
      <c r="AA50" s="1433"/>
      <c r="AB50" s="5"/>
      <c r="AC50" s="6"/>
    </row>
    <row r="51" spans="1:41" x14ac:dyDescent="0.25">
      <c r="A51" s="957">
        <f t="shared" si="6"/>
        <v>0</v>
      </c>
      <c r="M51" s="4"/>
      <c r="N51" s="5"/>
      <c r="O51" s="217">
        <f t="shared" si="7"/>
        <v>10</v>
      </c>
      <c r="P51" s="1417"/>
      <c r="Q51" s="1417"/>
      <c r="R51" s="1427"/>
      <c r="S51" s="1429"/>
      <c r="T51" s="1347"/>
      <c r="U51" s="1434"/>
      <c r="V51" s="1347"/>
      <c r="W51" s="1434"/>
      <c r="X51" s="1416"/>
      <c r="Y51" s="1416"/>
      <c r="Z51" s="1434"/>
      <c r="AA51" s="1434"/>
      <c r="AB51" s="5"/>
      <c r="AC51" s="6"/>
    </row>
    <row r="52" spans="1:41" ht="15" thickBot="1" x14ac:dyDescent="0.3">
      <c r="A52" s="957">
        <v>1</v>
      </c>
      <c r="M52" s="4"/>
      <c r="N52" s="5"/>
      <c r="O52" s="908" t="s">
        <v>706</v>
      </c>
      <c r="P52" s="908"/>
      <c r="Q52" s="908"/>
      <c r="R52" s="1424" t="e">
        <f>SUMPRODUCT(R42:R51,$AA$42:$AA$51)/$AA$52</f>
        <v>#DIV/0!</v>
      </c>
      <c r="S52" s="1430" t="e">
        <f>SUMPRODUCT(S42:S51,$AA$42:$AA$51)/$AA$52</f>
        <v>#DIV/0!</v>
      </c>
      <c r="T52" s="1424" t="e">
        <f>U52/$AA$52</f>
        <v>#DIV/0!</v>
      </c>
      <c r="U52" s="1423">
        <f>SUM(U42:U51)</f>
        <v>0</v>
      </c>
      <c r="V52" s="1424" t="e">
        <f>W52/$AA$52</f>
        <v>#DIV/0!</v>
      </c>
      <c r="W52" s="1423">
        <f>SUM(W42:W51)</f>
        <v>0</v>
      </c>
      <c r="X52" s="219"/>
      <c r="Y52" s="219"/>
      <c r="Z52" s="1423">
        <f>SUM(Z42:Z51)</f>
        <v>0</v>
      </c>
      <c r="AA52" s="1423">
        <f>SUM(AA42:AA51)</f>
        <v>0</v>
      </c>
      <c r="AB52" s="5"/>
      <c r="AC52" s="6"/>
    </row>
    <row r="53" spans="1:41" x14ac:dyDescent="0.25">
      <c r="A53" s="957">
        <v>1</v>
      </c>
      <c r="M53" s="4"/>
      <c r="N53" s="5"/>
      <c r="O53" s="43" t="s">
        <v>1476</v>
      </c>
      <c r="P53" s="5"/>
      <c r="Q53" s="5"/>
      <c r="R53" s="5"/>
      <c r="S53" s="5"/>
      <c r="T53" s="5"/>
      <c r="U53" s="5"/>
      <c r="V53" s="5"/>
      <c r="W53" s="5"/>
      <c r="X53" s="5"/>
      <c r="Y53" s="5"/>
      <c r="Z53" s="5"/>
      <c r="AA53" s="5"/>
      <c r="AB53" s="5"/>
      <c r="AC53" s="6"/>
    </row>
    <row r="54" spans="1:41" ht="15" thickBot="1" x14ac:dyDescent="0.3">
      <c r="A54" s="957">
        <v>1</v>
      </c>
      <c r="M54" s="8"/>
      <c r="N54" s="7"/>
      <c r="O54" s="1254" t="s">
        <v>1477</v>
      </c>
      <c r="P54" s="7"/>
      <c r="Q54" s="7"/>
      <c r="R54" s="7"/>
      <c r="S54" s="7"/>
      <c r="T54" s="7"/>
      <c r="U54" s="7"/>
      <c r="V54" s="7"/>
      <c r="W54" s="7"/>
      <c r="X54" s="7"/>
      <c r="Y54" s="7"/>
      <c r="Z54" s="7"/>
      <c r="AA54" s="7"/>
      <c r="AB54" s="7"/>
      <c r="AC54" s="9"/>
    </row>
    <row r="55" spans="1:41" ht="15" thickBot="1" x14ac:dyDescent="0.3">
      <c r="A55" s="957">
        <v>1</v>
      </c>
    </row>
    <row r="56" spans="1:41" x14ac:dyDescent="0.25">
      <c r="A56" s="957">
        <v>1</v>
      </c>
      <c r="AE56" s="1"/>
      <c r="AF56" s="2"/>
      <c r="AG56" s="2"/>
      <c r="AH56" s="2"/>
      <c r="AI56" s="2"/>
      <c r="AJ56" s="2"/>
      <c r="AK56" s="2"/>
      <c r="AL56" s="2"/>
      <c r="AM56" s="2"/>
      <c r="AN56" s="2"/>
      <c r="AO56" s="3"/>
    </row>
    <row r="57" spans="1:41" ht="16.5" x14ac:dyDescent="0.3">
      <c r="A57" s="957">
        <v>1</v>
      </c>
      <c r="AE57" s="4"/>
      <c r="AF57" s="5"/>
      <c r="AG57" s="246" t="str">
        <f>CONCATENATE(Subject_PropertyName," - Age / Life Summary")</f>
        <v>FRANKLIN INDUSTRIAL GROUP LTD - Age / Life Summary</v>
      </c>
      <c r="AH57" s="5"/>
      <c r="AI57" s="5"/>
      <c r="AJ57" s="5"/>
      <c r="AK57" s="5"/>
      <c r="AL57" s="5"/>
      <c r="AM57" s="5"/>
      <c r="AN57" s="5"/>
      <c r="AO57" s="6"/>
    </row>
    <row r="58" spans="1:41" ht="14.25" customHeight="1" x14ac:dyDescent="0.25">
      <c r="A58" s="957">
        <v>1</v>
      </c>
      <c r="AE58" s="4"/>
      <c r="AF58" s="150"/>
      <c r="AG58" s="150"/>
      <c r="AH58" s="207"/>
      <c r="AI58" s="290" t="s">
        <v>110</v>
      </c>
      <c r="AJ58" s="290" t="s">
        <v>47</v>
      </c>
      <c r="AK58" s="290" t="s">
        <v>234</v>
      </c>
      <c r="AL58" s="150" t="s">
        <v>236</v>
      </c>
      <c r="AM58" s="150" t="s">
        <v>397</v>
      </c>
      <c r="AN58" s="150"/>
      <c r="AO58" s="6"/>
    </row>
    <row r="59" spans="1:41" x14ac:dyDescent="0.25">
      <c r="A59" s="957">
        <v>1</v>
      </c>
      <c r="AE59" s="4"/>
      <c r="AF59" s="150"/>
      <c r="AG59" s="150" t="s">
        <v>109</v>
      </c>
      <c r="AH59" s="207" t="s">
        <v>1470</v>
      </c>
      <c r="AI59" s="290" t="s">
        <v>111</v>
      </c>
      <c r="AJ59" s="290" t="s">
        <v>235</v>
      </c>
      <c r="AK59" s="290" t="s">
        <v>235</v>
      </c>
      <c r="AL59" s="150" t="s">
        <v>237</v>
      </c>
      <c r="AM59" s="150" t="s">
        <v>244</v>
      </c>
      <c r="AN59" s="150"/>
      <c r="AO59" s="6"/>
    </row>
    <row r="60" spans="1:41" x14ac:dyDescent="0.25">
      <c r="A60" s="957">
        <f>IF(AH60=0,0,1)</f>
        <v>0</v>
      </c>
      <c r="AE60" s="4"/>
      <c r="AF60" s="5"/>
      <c r="AG60" s="39">
        <v>1</v>
      </c>
      <c r="AH60" s="1446">
        <f>P42</f>
        <v>0</v>
      </c>
      <c r="AI60" s="1425">
        <f>R42</f>
        <v>0</v>
      </c>
      <c r="AJ60" s="1448"/>
      <c r="AK60" s="1448"/>
      <c r="AL60" s="1448"/>
      <c r="AM60" s="1425">
        <f>AL60-AK60</f>
        <v>0</v>
      </c>
      <c r="AN60" s="5"/>
      <c r="AO60" s="6"/>
    </row>
    <row r="61" spans="1:41" x14ac:dyDescent="0.25">
      <c r="A61" s="957">
        <f t="shared" ref="A61:A69" si="8">IF(AH61=0,0,1)</f>
        <v>0</v>
      </c>
      <c r="AE61" s="4"/>
      <c r="AF61" s="5"/>
      <c r="AG61" s="39">
        <f>AG60+1</f>
        <v>2</v>
      </c>
      <c r="AH61" s="1446">
        <f t="shared" ref="AH61:AH69" si="9">P43</f>
        <v>0</v>
      </c>
      <c r="AI61" s="1425">
        <f t="shared" ref="AI61:AI69" si="10">R43</f>
        <v>0</v>
      </c>
      <c r="AJ61" s="1449"/>
      <c r="AK61" s="1449"/>
      <c r="AL61" s="1449"/>
      <c r="AM61" s="1425">
        <f t="shared" ref="AM61:AM69" si="11">AL61-AK61</f>
        <v>0</v>
      </c>
      <c r="AN61" s="5"/>
      <c r="AO61" s="6"/>
    </row>
    <row r="62" spans="1:41" x14ac:dyDescent="0.25">
      <c r="A62" s="957">
        <f t="shared" si="8"/>
        <v>0</v>
      </c>
      <c r="AE62" s="4"/>
      <c r="AF62" s="5"/>
      <c r="AG62" s="39">
        <f t="shared" ref="AG62:AG69" si="12">AG61+1</f>
        <v>3</v>
      </c>
      <c r="AH62" s="1446">
        <f t="shared" si="9"/>
        <v>0</v>
      </c>
      <c r="AI62" s="1425">
        <f t="shared" si="10"/>
        <v>0</v>
      </c>
      <c r="AJ62" s="1449"/>
      <c r="AK62" s="1449"/>
      <c r="AL62" s="1449"/>
      <c r="AM62" s="1425">
        <f t="shared" si="11"/>
        <v>0</v>
      </c>
      <c r="AN62" s="5"/>
      <c r="AO62" s="6"/>
    </row>
    <row r="63" spans="1:41" x14ac:dyDescent="0.25">
      <c r="A63" s="957">
        <f t="shared" si="8"/>
        <v>0</v>
      </c>
      <c r="AE63" s="4"/>
      <c r="AF63" s="5"/>
      <c r="AG63" s="39">
        <f t="shared" si="12"/>
        <v>4</v>
      </c>
      <c r="AH63" s="1446">
        <f t="shared" si="9"/>
        <v>0</v>
      </c>
      <c r="AI63" s="1425">
        <f t="shared" si="10"/>
        <v>0</v>
      </c>
      <c r="AJ63" s="1449"/>
      <c r="AK63" s="1449"/>
      <c r="AL63" s="1449"/>
      <c r="AM63" s="1425">
        <f t="shared" si="11"/>
        <v>0</v>
      </c>
      <c r="AN63" s="5"/>
      <c r="AO63" s="6"/>
    </row>
    <row r="64" spans="1:41" x14ac:dyDescent="0.25">
      <c r="A64" s="957">
        <f t="shared" si="8"/>
        <v>0</v>
      </c>
      <c r="AE64" s="4"/>
      <c r="AF64" s="5"/>
      <c r="AG64" s="39">
        <f t="shared" si="12"/>
        <v>5</v>
      </c>
      <c r="AH64" s="1446">
        <f t="shared" si="9"/>
        <v>0</v>
      </c>
      <c r="AI64" s="1425">
        <f t="shared" si="10"/>
        <v>0</v>
      </c>
      <c r="AJ64" s="1449"/>
      <c r="AK64" s="1449"/>
      <c r="AL64" s="1449"/>
      <c r="AM64" s="1425">
        <f t="shared" si="11"/>
        <v>0</v>
      </c>
      <c r="AN64" s="5"/>
      <c r="AO64" s="6"/>
    </row>
    <row r="65" spans="1:41" x14ac:dyDescent="0.25">
      <c r="A65" s="957">
        <f t="shared" si="8"/>
        <v>0</v>
      </c>
      <c r="AE65" s="4"/>
      <c r="AF65" s="5"/>
      <c r="AG65" s="39">
        <f t="shared" si="12"/>
        <v>6</v>
      </c>
      <c r="AH65" s="1446">
        <f t="shared" si="9"/>
        <v>0</v>
      </c>
      <c r="AI65" s="1425">
        <f t="shared" si="10"/>
        <v>0</v>
      </c>
      <c r="AJ65" s="1449"/>
      <c r="AK65" s="1449"/>
      <c r="AL65" s="1449"/>
      <c r="AM65" s="1425">
        <f t="shared" si="11"/>
        <v>0</v>
      </c>
      <c r="AN65" s="5"/>
      <c r="AO65" s="6"/>
    </row>
    <row r="66" spans="1:41" x14ac:dyDescent="0.25">
      <c r="A66" s="957">
        <f t="shared" si="8"/>
        <v>0</v>
      </c>
      <c r="AE66" s="4"/>
      <c r="AF66" s="5"/>
      <c r="AG66" s="39">
        <f t="shared" si="12"/>
        <v>7</v>
      </c>
      <c r="AH66" s="1446">
        <f t="shared" si="9"/>
        <v>0</v>
      </c>
      <c r="AI66" s="1425">
        <f t="shared" si="10"/>
        <v>0</v>
      </c>
      <c r="AJ66" s="1449"/>
      <c r="AK66" s="1449"/>
      <c r="AL66" s="1449"/>
      <c r="AM66" s="1425">
        <f t="shared" si="11"/>
        <v>0</v>
      </c>
      <c r="AN66" s="5"/>
      <c r="AO66" s="6"/>
    </row>
    <row r="67" spans="1:41" x14ac:dyDescent="0.25">
      <c r="A67" s="957">
        <f t="shared" si="8"/>
        <v>0</v>
      </c>
      <c r="AE67" s="4"/>
      <c r="AF67" s="5"/>
      <c r="AG67" s="39">
        <f t="shared" si="12"/>
        <v>8</v>
      </c>
      <c r="AH67" s="1446">
        <f t="shared" si="9"/>
        <v>0</v>
      </c>
      <c r="AI67" s="1425">
        <f t="shared" si="10"/>
        <v>0</v>
      </c>
      <c r="AJ67" s="1449"/>
      <c r="AK67" s="1449"/>
      <c r="AL67" s="1449"/>
      <c r="AM67" s="1425">
        <f t="shared" si="11"/>
        <v>0</v>
      </c>
      <c r="AN67" s="5"/>
      <c r="AO67" s="6"/>
    </row>
    <row r="68" spans="1:41" x14ac:dyDescent="0.25">
      <c r="A68" s="957">
        <f t="shared" si="8"/>
        <v>0</v>
      </c>
      <c r="AE68" s="4"/>
      <c r="AF68" s="5"/>
      <c r="AG68" s="39">
        <f t="shared" si="12"/>
        <v>9</v>
      </c>
      <c r="AH68" s="1446">
        <f t="shared" si="9"/>
        <v>0</v>
      </c>
      <c r="AI68" s="1425">
        <f t="shared" si="10"/>
        <v>0</v>
      </c>
      <c r="AJ68" s="1449"/>
      <c r="AK68" s="1449"/>
      <c r="AL68" s="1449"/>
      <c r="AM68" s="1425">
        <f t="shared" si="11"/>
        <v>0</v>
      </c>
      <c r="AN68" s="5"/>
      <c r="AO68" s="6"/>
    </row>
    <row r="69" spans="1:41" x14ac:dyDescent="0.25">
      <c r="A69" s="957">
        <f t="shared" si="8"/>
        <v>0</v>
      </c>
      <c r="AE69" s="4"/>
      <c r="AF69" s="5"/>
      <c r="AG69" s="217">
        <f t="shared" si="12"/>
        <v>10</v>
      </c>
      <c r="AH69" s="1447">
        <f t="shared" si="9"/>
        <v>0</v>
      </c>
      <c r="AI69" s="1425">
        <f t="shared" si="10"/>
        <v>0</v>
      </c>
      <c r="AJ69" s="1450"/>
      <c r="AK69" s="1450"/>
      <c r="AL69" s="1450"/>
      <c r="AM69" s="1425">
        <f t="shared" si="11"/>
        <v>0</v>
      </c>
      <c r="AN69" s="5"/>
      <c r="AO69" s="6"/>
    </row>
    <row r="70" spans="1:41" ht="15" thickBot="1" x14ac:dyDescent="0.3">
      <c r="A70" s="957">
        <v>1</v>
      </c>
      <c r="AE70" s="4"/>
      <c r="AF70" s="5"/>
      <c r="AG70" s="908" t="s">
        <v>706</v>
      </c>
      <c r="AH70" s="908"/>
      <c r="AI70" s="1451" t="e">
        <f>ROUND(SUMPRODUCT(AI60:AI69,$AA$42:$AA$51)/$AA$52,0)</f>
        <v>#DIV/0!</v>
      </c>
      <c r="AJ70" s="1451" t="e">
        <f>ROUND(SUMPRODUCT(AJ60:AJ69,$AA$42:$AA$51)/$AA$52,0)</f>
        <v>#DIV/0!</v>
      </c>
      <c r="AK70" s="1451" t="e">
        <f>ROUND(SUMPRODUCT(AK60:AK69,$AA$42:$AA$51)/$AA$52,0)</f>
        <v>#DIV/0!</v>
      </c>
      <c r="AL70" s="1451" t="e">
        <f>ROUND(SUMPRODUCT(AL60:AL69,$AA$42:$AA$51)/$AA$52,0)</f>
        <v>#DIV/0!</v>
      </c>
      <c r="AM70" s="1451" t="e">
        <f>AL70-AK70</f>
        <v>#DIV/0!</v>
      </c>
      <c r="AN70" s="5"/>
      <c r="AO70" s="6"/>
    </row>
    <row r="71" spans="1:41" x14ac:dyDescent="0.25">
      <c r="A71" s="41"/>
      <c r="AE71" s="4"/>
      <c r="AF71" s="5"/>
      <c r="AG71" s="43" t="s">
        <v>1482</v>
      </c>
      <c r="AH71" s="5"/>
      <c r="AI71" s="5"/>
      <c r="AJ71" s="5"/>
      <c r="AK71" s="5"/>
      <c r="AL71" s="5"/>
      <c r="AM71" s="5"/>
      <c r="AN71" s="5"/>
      <c r="AO71" s="6"/>
    </row>
    <row r="72" spans="1:41" ht="15" thickBot="1" x14ac:dyDescent="0.3">
      <c r="A72" s="41"/>
      <c r="AE72" s="8"/>
      <c r="AF72" s="7"/>
      <c r="AG72" s="1254" t="s">
        <v>1477</v>
      </c>
      <c r="AH72" s="7"/>
      <c r="AI72" s="7"/>
      <c r="AJ72" s="7"/>
      <c r="AK72" s="7"/>
      <c r="AL72" s="7"/>
      <c r="AM72" s="7"/>
      <c r="AN72" s="7"/>
      <c r="AO72" s="9"/>
    </row>
    <row r="73" spans="1:41" x14ac:dyDescent="0.25">
      <c r="A73" s="41"/>
    </row>
  </sheetData>
  <mergeCells count="2">
    <mergeCell ref="V40:W40"/>
    <mergeCell ref="T40:U40"/>
  </mergeCells>
  <printOptions horizontalCentered="1"/>
  <pageMargins left="0.5" right="0.5" top="0.75" bottom="0.75" header="0.3" footer="0.3"/>
  <pageSetup orientation="portrait" r:id="rId1"/>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pageSetUpPr autoPageBreaks="0" fitToPage="1"/>
  </sheetPr>
  <dimension ref="A1:AE52"/>
  <sheetViews>
    <sheetView zoomScaleNormal="100" workbookViewId="0">
      <selection activeCell="D4" sqref="D4"/>
    </sheetView>
  </sheetViews>
  <sheetFormatPr defaultColWidth="9.140625" defaultRowHeight="14.25" x14ac:dyDescent="0.25"/>
  <cols>
    <col min="1" max="1" width="5.7109375" style="41" customWidth="1"/>
    <col min="2" max="2" width="1.7109375" style="10" customWidth="1"/>
    <col min="3" max="3" width="0.85546875" style="10" customWidth="1"/>
    <col min="4" max="4" width="1.7109375" style="10" customWidth="1"/>
    <col min="5" max="5" width="25.7109375" style="10" customWidth="1"/>
    <col min="6" max="6" width="14.7109375" style="10" hidden="1" customWidth="1"/>
    <col min="7" max="9" width="14.7109375" style="10" customWidth="1"/>
    <col min="10" max="10" width="14.7109375" style="10" hidden="1" customWidth="1"/>
    <col min="11" max="11" width="0.85546875" style="10" customWidth="1"/>
    <col min="12" max="12" width="1.7109375" style="10" customWidth="1"/>
    <col min="13" max="13" width="5.7109375" style="10" customWidth="1"/>
    <col min="14" max="14" width="1.7109375" style="10" customWidth="1"/>
    <col min="15" max="15" width="0.85546875" style="10" customWidth="1"/>
    <col min="16" max="16" width="5.7109375" style="13" customWidth="1"/>
    <col min="17" max="17" width="8.7109375" style="13" customWidth="1"/>
    <col min="18" max="18" width="15.7109375" style="13" customWidth="1"/>
    <col min="19" max="19" width="12.140625" style="10" customWidth="1"/>
    <col min="20" max="20" width="11.42578125" style="10" customWidth="1"/>
    <col min="21" max="21" width="13.140625" style="10" customWidth="1"/>
    <col min="22" max="22" width="12.7109375" style="10" customWidth="1"/>
    <col min="23" max="23" width="15.5703125" style="10" customWidth="1"/>
    <col min="24" max="24" width="13.140625" style="10" customWidth="1"/>
    <col min="25" max="25" width="10" style="10" customWidth="1"/>
    <col min="26" max="26" width="5" style="10" bestFit="1" customWidth="1"/>
    <col min="27" max="27" width="10" style="10" customWidth="1"/>
    <col min="28" max="28" width="12.140625" style="10" customWidth="1"/>
    <col min="29" max="29" width="10.7109375" style="10" customWidth="1"/>
    <col min="30" max="30" width="0.85546875" style="10" customWidth="1"/>
    <col min="31" max="31" width="1.7109375" style="10" customWidth="1"/>
    <col min="32" max="16384" width="9.140625" style="10"/>
  </cols>
  <sheetData>
    <row r="1" spans="1:28" ht="60" customHeight="1" x14ac:dyDescent="0.25"/>
    <row r="2" spans="1:28" ht="9.75" customHeight="1" x14ac:dyDescent="0.25">
      <c r="F2" s="32">
        <v>1</v>
      </c>
      <c r="G2" s="96"/>
      <c r="H2" s="32"/>
      <c r="I2" s="32"/>
    </row>
    <row r="3" spans="1:28" ht="9.9499999999999993" customHeight="1" x14ac:dyDescent="0.25">
      <c r="B3" s="4"/>
      <c r="C3" s="5"/>
      <c r="D3" s="5"/>
      <c r="E3" s="43"/>
      <c r="F3" s="51"/>
      <c r="G3" s="52"/>
      <c r="H3" s="52"/>
      <c r="I3" s="51"/>
      <c r="J3" s="51"/>
      <c r="K3" s="51"/>
      <c r="L3" s="300"/>
      <c r="Q3" s="395"/>
      <c r="R3" s="395"/>
      <c r="S3" s="36"/>
      <c r="T3" s="36"/>
      <c r="U3" s="36"/>
      <c r="V3" s="36"/>
      <c r="W3" s="36"/>
      <c r="X3" s="36"/>
      <c r="Y3" s="36"/>
      <c r="Z3" s="36"/>
      <c r="AA3" s="36"/>
      <c r="AB3" s="36"/>
    </row>
    <row r="4" spans="1:28" ht="16.5" x14ac:dyDescent="0.25">
      <c r="B4" s="4"/>
      <c r="C4" s="5"/>
      <c r="D4" s="505" t="s">
        <v>687</v>
      </c>
      <c r="E4" s="396"/>
      <c r="F4" s="396"/>
      <c r="G4" s="396"/>
      <c r="H4" s="396"/>
      <c r="I4" s="396"/>
      <c r="J4" s="396"/>
      <c r="K4" s="51"/>
      <c r="L4" s="300"/>
      <c r="Q4" s="395"/>
      <c r="R4" s="395"/>
      <c r="S4" s="36"/>
      <c r="T4" s="36"/>
      <c r="U4" s="36"/>
      <c r="V4" s="36"/>
      <c r="W4" s="36"/>
      <c r="X4" s="36"/>
      <c r="Y4" s="36"/>
      <c r="Z4" s="36"/>
      <c r="AA4" s="36"/>
      <c r="AB4" s="36"/>
    </row>
    <row r="5" spans="1:28" ht="16.5" x14ac:dyDescent="0.25">
      <c r="B5" s="4"/>
      <c r="C5" s="52"/>
      <c r="D5" s="4094" t="str">
        <f>IF(AND(ISERR(FIND("and",Subject_TaxAccounts)),ISERR(FIND("&amp;",Subject_TaxAccounts)))=TRUE,CONCATENATE("Tax Parcel Number: ",Subject_TaxAccounts),CONCATENATE("Tax Parcel Numbers: ",Subject_TaxAccounts))</f>
        <v>Tax Parcel Number: 171928200019</v>
      </c>
      <c r="E5" s="4094"/>
      <c r="F5" s="4094"/>
      <c r="G5" s="4094"/>
      <c r="H5" s="4094"/>
      <c r="I5" s="4094"/>
      <c r="J5" s="4094"/>
      <c r="K5" s="52"/>
      <c r="L5" s="6"/>
      <c r="Q5" s="395"/>
      <c r="R5" s="395"/>
      <c r="S5" s="13"/>
      <c r="T5" s="13"/>
      <c r="U5" s="36"/>
      <c r="V5" s="36"/>
      <c r="W5" s="36"/>
      <c r="X5" s="36"/>
      <c r="Y5" s="36"/>
      <c r="Z5" s="36"/>
      <c r="AA5" s="36"/>
      <c r="AB5" s="36"/>
    </row>
    <row r="6" spans="1:28" ht="28.5" customHeight="1" x14ac:dyDescent="0.25">
      <c r="B6" s="4"/>
      <c r="C6" s="11"/>
      <c r="D6" s="207" t="str">
        <f>CONCATENATE(Subject_County," ",Subject_CountyorParish)</f>
        <v>Adams County</v>
      </c>
      <c r="E6" s="633"/>
      <c r="F6" s="55" t="str">
        <f>IF(G39=0,Select_TaxActualPrelim,"Actual")</f>
        <v>Actual</v>
      </c>
      <c r="G6" s="55" t="str">
        <f>IF(H39=0,Select_TaxActualPrelim,"Actual")</f>
        <v>Actual</v>
      </c>
      <c r="H6" s="3208" t="s">
        <v>47</v>
      </c>
      <c r="I6" s="634" t="s">
        <v>1514</v>
      </c>
      <c r="J6" s="634" t="s">
        <v>1514</v>
      </c>
      <c r="L6" s="6"/>
      <c r="R6" s="10"/>
    </row>
    <row r="7" spans="1:28" ht="15" customHeight="1" x14ac:dyDescent="0.25">
      <c r="A7" s="957">
        <v>1</v>
      </c>
      <c r="B7" s="4"/>
      <c r="C7" s="11"/>
      <c r="D7" s="207" t="s">
        <v>110</v>
      </c>
      <c r="E7" s="12"/>
      <c r="F7" s="55" t="str">
        <f>IF(MIN(Tax_DatappraiseYear)&lt;MAX(Tax_DatappraiseYear)-1,G7-1,"None")</f>
        <v>None</v>
      </c>
      <c r="G7" s="55">
        <f>IF(MIN(Tax_DatappraiseYear)&lt;H7,H7-1,"None")</f>
        <v>2023</v>
      </c>
      <c r="H7" s="55">
        <f>MAX(Tax_DatappraiseYear)</f>
        <v>2024</v>
      </c>
      <c r="I7" s="55" t="s">
        <v>84</v>
      </c>
      <c r="J7" s="55" t="str">
        <f>IF(dpTax_AppraiserTaxEstY2PSF="","","Year 2")</f>
        <v/>
      </c>
      <c r="L7" s="6"/>
    </row>
    <row r="8" spans="1:28" ht="15" customHeight="1" x14ac:dyDescent="0.25">
      <c r="A8" s="957">
        <v>1</v>
      </c>
      <c r="B8" s="4"/>
      <c r="C8" s="3209"/>
      <c r="D8" s="4095" t="s">
        <v>1063</v>
      </c>
      <c r="E8" s="4095"/>
      <c r="F8" s="3210"/>
      <c r="G8" s="3210"/>
      <c r="H8" s="3210"/>
      <c r="I8" s="3210"/>
      <c r="J8" s="3210"/>
      <c r="K8" s="258"/>
      <c r="L8" s="6"/>
    </row>
    <row r="9" spans="1:28" hidden="1" x14ac:dyDescent="0.25">
      <c r="A9" s="957">
        <f>IF(AND($H$9=0,$H$10=0),0,1)</f>
        <v>0</v>
      </c>
      <c r="B9" s="4"/>
      <c r="C9" s="258"/>
      <c r="D9" s="3182"/>
      <c r="E9" s="3182" t="s">
        <v>52</v>
      </c>
      <c r="F9" s="3211">
        <f>IF(Select_TaxAppraiseAssess="Assessed Value",SUMIF(Tax_DatappraiseYear,F7,Tax_DatappraiseLandValue)*F16,SUMIF(Tax_DatappraiseYear,F7,Tax_DatappraiseLandValue))</f>
        <v>0</v>
      </c>
      <c r="G9" s="3211">
        <f>IF(Select_TaxAppraiseAssess="Assessed Value",SUMIF(Tax_DatappraiseYear,G7,Tax_DatappraiseLandValue)*G16,SUMIF(Tax_DatappraiseYear,G7,Tax_DatappraiseLandValue))</f>
        <v>0</v>
      </c>
      <c r="H9" s="3211">
        <f>IF(Select_TaxAppraiseAssess="Assessed Value",SUMIF(Tax_DatappraiseYear,H7,Tax_DatappraiseLandValue)*H16,SUMIF(Tax_DatappraiseYear,H7,Tax_DatappraiseLandValue))</f>
        <v>0</v>
      </c>
      <c r="I9" s="3211">
        <f>IF(Subject_NRA=0,I11,IF(H9=0,IF(G9=0,F9,G9),H9))</f>
        <v>0</v>
      </c>
      <c r="J9" s="3211">
        <f>IF(Subject_NRA=0,J11,IF(I9="",H9,I9))</f>
        <v>0</v>
      </c>
      <c r="K9" s="258"/>
      <c r="L9" s="6"/>
    </row>
    <row r="10" spans="1:28" hidden="1" x14ac:dyDescent="0.25">
      <c r="A10" s="957">
        <f>IF(AND($H$9=0,$H$10=0),0,1)</f>
        <v>0</v>
      </c>
      <c r="B10" s="4"/>
      <c r="C10" s="258"/>
      <c r="D10" s="3182"/>
      <c r="E10" s="3182" t="s">
        <v>53</v>
      </c>
      <c r="F10" s="3212">
        <f>IF(Select_TaxAppraiseAssess="Assessed Value",SUMIF(Tax_DatappraiseYear,F7,Tax_DatappraiseImpValue)*F17,SUMIF(Tax_DatappraiseYear,F7,Tax_DatappraiseImpValue))</f>
        <v>0</v>
      </c>
      <c r="G10" s="3212">
        <f>IF(Select_TaxAppraiseAssess="Assessed Value",SUMIF(Tax_DatappraiseYear,G7,Tax_DatappraiseImpValue)*G17,SUMIF(Tax_DatappraiseYear,G7,Tax_DatappraiseImpValue))</f>
        <v>0</v>
      </c>
      <c r="H10" s="3212">
        <f>IF(Select_TaxAppraiseAssess="Assessed Value",SUMIF(Tax_DatappraiseYear,H7,Tax_DatappraiseImpValue)*H17,SUMIF(Tax_DatappraiseYear,H7,Tax_DatappraiseImpValue))</f>
        <v>0</v>
      </c>
      <c r="I10" s="3213">
        <f>IF(Subject_NRA=0,0,I11-I9)</f>
        <v>58578240</v>
      </c>
      <c r="J10" s="3213">
        <f>IF(Subject_NRA=0,0,J11-J9)</f>
        <v>0</v>
      </c>
      <c r="K10" s="258"/>
      <c r="L10" s="6"/>
    </row>
    <row r="11" spans="1:28" x14ac:dyDescent="0.25">
      <c r="A11" s="957">
        <v>1</v>
      </c>
      <c r="B11" s="4"/>
      <c r="C11" s="258"/>
      <c r="D11" s="3182"/>
      <c r="E11" s="3182" t="s">
        <v>51</v>
      </c>
      <c r="F11" s="3211">
        <f>IF(Select_TaxAppraiseAssess="Assessed Value",SUMIF(Tax_DatappraiseYear,F7,Tax_DatappraiseTotalValue)*F15,SUMIF(Tax_DatappraiseYear,F7,Tax_DatappraiseTotalValue))</f>
        <v>0</v>
      </c>
      <c r="G11" s="3211">
        <f>IF(Select_TaxAppraiseAssess="Assessed Value",SUMIF(Tax_DatappraiseYear,G7,Tax_DatappraiseTotalValue)*G15,SUMIF(Tax_DatappraiseYear,G7,Tax_DatappraiseTotalValue))</f>
        <v>116559</v>
      </c>
      <c r="H11" s="3211">
        <f>IF(Select_TaxAppraiseAssess="Assessed Value",SUMIF(Tax_DatappraiseYear,H7,Tax_DatappraiseTotalValue)*H15,SUMIF(Tax_DatappraiseYear,H7,Tax_DatappraiseTotalValue))</f>
        <v>128215</v>
      </c>
      <c r="I11" s="3211">
        <f>IF(ISERR(IF(Subject_NRA=0,I12*Subject_LandPrimary_UsableAcres*43560,I12*Subject_NRA)),0,IF(Subject_NRA=0,I12*Subject_LandPrimary_UsableAcres*43560,I12*Subject_NRA))</f>
        <v>58578240</v>
      </c>
      <c r="J11" s="3211">
        <f>IF(Subject_NRA=0,J12*Subject_LandPrimary_UsableAcres*43560,J12*Subject_NRA)</f>
        <v>0</v>
      </c>
      <c r="K11" s="258"/>
      <c r="L11" s="6"/>
    </row>
    <row r="12" spans="1:28" x14ac:dyDescent="0.25">
      <c r="A12" s="957">
        <v>1</v>
      </c>
      <c r="B12" s="4"/>
      <c r="C12" s="258"/>
      <c r="D12" s="3182"/>
      <c r="E12" s="3182" t="s">
        <v>50</v>
      </c>
      <c r="F12" s="1905">
        <f>IF(Subject_NRA=0,F11/(Subject_LandPrimary_UsableAcres*43560),IF(dpUnit_Sales="Net Rentable Area",F11/Subject_NRA,F11/Subject_GBA))</f>
        <v>0</v>
      </c>
      <c r="G12" s="1905">
        <f>IF(Subject_NRA=0,G11/(Subject_LandPrimary_UsableAcres*43560),IF(dpUnit_Sales="Net Rentable Area",G11/Subject_NRA,G11/Subject_GBA))</f>
        <v>0.55714408626821155</v>
      </c>
      <c r="H12" s="1905">
        <f>IF(Subject_NRA=0,H11/(Subject_LandPrimary_UsableAcres*43560),IF(dpUnit_Sales="Net Rentable Area",H11/Subject_NRA,H11/Subject_GBA))</f>
        <v>0.61285897288822611</v>
      </c>
      <c r="I12" s="3963">
        <v>141.53</v>
      </c>
      <c r="J12" s="3963"/>
      <c r="K12" s="258"/>
      <c r="L12" s="6"/>
    </row>
    <row r="13" spans="1:28" x14ac:dyDescent="0.25">
      <c r="A13" s="957">
        <v>1</v>
      </c>
      <c r="B13" s="4"/>
      <c r="C13" s="258"/>
      <c r="D13" s="3214"/>
      <c r="E13" s="3214" t="s">
        <v>46</v>
      </c>
      <c r="F13" s="415" t="s">
        <v>3</v>
      </c>
      <c r="G13" s="3215" t="str">
        <f>IF(ISERR((G11-F11)/F11),"N/A",(G11-F11)/F11)</f>
        <v>N/A</v>
      </c>
      <c r="H13" s="3215">
        <f>IF(ISERR((H11-G11)/G11),"N/A",(H11-G11)/G11)</f>
        <v>0.10000085793460822</v>
      </c>
      <c r="I13" s="3215">
        <f>IF(ISERR((I11-H11)/H11),"N/A",(I11-H11)/H11)</f>
        <v>455.8750926178684</v>
      </c>
      <c r="J13" s="3215">
        <f>IF(ISERR((J11-I11)/I11),"N/A",(J11-I11)/I11)</f>
        <v>-1</v>
      </c>
      <c r="K13" s="258"/>
      <c r="L13" s="6"/>
    </row>
    <row r="14" spans="1:28" ht="5.0999999999999996" customHeight="1" x14ac:dyDescent="0.25">
      <c r="A14" s="957">
        <v>1</v>
      </c>
      <c r="B14" s="4"/>
      <c r="C14" s="258"/>
      <c r="D14" s="3214"/>
      <c r="E14" s="3214"/>
      <c r="F14" s="1905"/>
      <c r="G14" s="258"/>
      <c r="H14" s="258"/>
      <c r="I14" s="258"/>
      <c r="J14" s="3216"/>
      <c r="K14" s="258"/>
      <c r="L14" s="6"/>
    </row>
    <row r="15" spans="1:28" x14ac:dyDescent="0.25">
      <c r="A15" s="957">
        <v>1</v>
      </c>
      <c r="B15" s="4"/>
      <c r="C15" s="258"/>
      <c r="D15" s="3199" t="str">
        <f>IF(H16=H17,"Assessment Ratio","Assessment Ratios")</f>
        <v>Assessment Ratio</v>
      </c>
      <c r="E15" s="3214"/>
      <c r="F15" s="3217" t="e">
        <f>IF(F16=F17,F16,"")</f>
        <v>#N/A</v>
      </c>
      <c r="G15" s="3217">
        <f>IF(G16=G17,G16,"")</f>
        <v>1</v>
      </c>
      <c r="H15" s="3217">
        <f>IF(H16=H17,H16,"")</f>
        <v>1</v>
      </c>
      <c r="I15" s="3217">
        <f>IF(I16=I17,I16,"")</f>
        <v>1</v>
      </c>
      <c r="J15" s="3217">
        <f>IF(J16=J17,J16,"")</f>
        <v>1</v>
      </c>
      <c r="K15" s="258"/>
      <c r="L15" s="6"/>
    </row>
    <row r="16" spans="1:28" hidden="1" x14ac:dyDescent="0.25">
      <c r="A16" s="957">
        <f>IFERROR(0,IF($H$16=$H$17,0,1))</f>
        <v>0</v>
      </c>
      <c r="B16" s="4"/>
      <c r="C16" s="258"/>
      <c r="D16" s="3214"/>
      <c r="E16" s="527" t="s">
        <v>52</v>
      </c>
      <c r="F16" s="3217" t="e">
        <f>VLOOKUP(F$7,Tax_DatappraiseMatrix,4,FALSE)</f>
        <v>#N/A</v>
      </c>
      <c r="G16" s="3217">
        <f>VLOOKUP(G$7,Tax_DatappraiseMatrix,4,FALSE)</f>
        <v>1</v>
      </c>
      <c r="H16" s="3217">
        <f>VLOOKUP(H$7,Tax_DatappraiseMatrix,4,FALSE)</f>
        <v>1</v>
      </c>
      <c r="I16" s="3218">
        <f>H16</f>
        <v>1</v>
      </c>
      <c r="J16" s="3219">
        <f>H16</f>
        <v>1</v>
      </c>
      <c r="K16" s="258"/>
      <c r="L16" s="6"/>
    </row>
    <row r="17" spans="1:18" hidden="1" x14ac:dyDescent="0.25">
      <c r="A17" s="957">
        <f>IFERROR(0,IF($H$16=$H$17,0,1))</f>
        <v>0</v>
      </c>
      <c r="B17" s="4"/>
      <c r="C17" s="258"/>
      <c r="D17" s="3214"/>
      <c r="E17" s="527" t="s">
        <v>53</v>
      </c>
      <c r="F17" s="3217" t="e">
        <f>VLOOKUP(F$7,Tax_DatappraiseMatrix,6,FALSE)</f>
        <v>#N/A</v>
      </c>
      <c r="G17" s="3217">
        <f>VLOOKUP(G$7,Tax_DatappraiseMatrix,6,FALSE)</f>
        <v>1</v>
      </c>
      <c r="H17" s="3217">
        <f>VLOOKUP(H$7,Tax_DatappraiseMatrix,6,FALSE)</f>
        <v>1</v>
      </c>
      <c r="I17" s="3218">
        <f>H17</f>
        <v>1</v>
      </c>
      <c r="J17" s="3219">
        <f>H17</f>
        <v>1</v>
      </c>
      <c r="K17" s="258"/>
      <c r="L17" s="6"/>
    </row>
    <row r="18" spans="1:18" ht="5.0999999999999996" customHeight="1" x14ac:dyDescent="0.25">
      <c r="A18" s="957">
        <v>1</v>
      </c>
      <c r="B18" s="4"/>
      <c r="C18" s="258"/>
      <c r="D18" s="3214"/>
      <c r="E18" s="3214"/>
      <c r="F18" s="258"/>
      <c r="G18" s="258"/>
      <c r="H18" s="258"/>
      <c r="I18" s="258"/>
      <c r="J18" s="92"/>
      <c r="K18" s="258"/>
      <c r="L18" s="6"/>
      <c r="R18" s="37"/>
    </row>
    <row r="19" spans="1:18" x14ac:dyDescent="0.25">
      <c r="A19" s="957">
        <v>1</v>
      </c>
      <c r="B19" s="4"/>
      <c r="C19" s="258"/>
      <c r="D19" s="3199" t="str">
        <f>IF(Select_TaxAppraiseAssess="Assessed Value","Implied Market Value","Assessed Value")</f>
        <v>Assessed Value</v>
      </c>
      <c r="E19" s="2984"/>
      <c r="F19" s="3220" t="e">
        <f>IF(F9=0,IF(Select_TaxAppraiseAssess="Assessed Value",F15/F11,F15*F11),"")</f>
        <v>#N/A</v>
      </c>
      <c r="G19" s="3220">
        <f>IF(G9=0,IF(Select_TaxAppraiseAssess="Assessed Value",G15/G11,G15*G11),"")</f>
        <v>116559</v>
      </c>
      <c r="H19" s="3220">
        <f>IF(H9=0,IF(Select_TaxAppraiseAssess="Assessed Value",H15/H11,H15*H11),"")</f>
        <v>128215</v>
      </c>
      <c r="I19" s="3220">
        <f>IF(I9=0,IF(Select_TaxAppraiseAssess="Assessed Value",I15/I11,I15*I11),"")</f>
        <v>58578240</v>
      </c>
      <c r="J19" s="3220">
        <f>IF(J9=0,IF(Select_TaxAppraiseAssess="Assessed Value",J15/J11,J15*J11),"")</f>
        <v>0</v>
      </c>
      <c r="K19" s="258"/>
      <c r="L19" s="6"/>
    </row>
    <row r="20" spans="1:18" hidden="1" x14ac:dyDescent="0.25">
      <c r="A20" s="957">
        <f>IF(AND($H$9=0,$H$10=0),0,1)</f>
        <v>0</v>
      </c>
      <c r="B20" s="4"/>
      <c r="C20" s="258"/>
      <c r="D20" s="2984"/>
      <c r="E20" s="2984" t="s">
        <v>52</v>
      </c>
      <c r="F20" s="3220" t="e">
        <f t="shared" ref="F20:J21" si="0">IF(Select_TaxAppraiseAssess="Assessed Value",F9/F16,F9*F16)</f>
        <v>#N/A</v>
      </c>
      <c r="G20" s="3220">
        <f t="shared" si="0"/>
        <v>0</v>
      </c>
      <c r="H20" s="3220">
        <f>IF(Select_TaxAppraiseAssess="Assessed Value",H9/H16,H9*H16)</f>
        <v>0</v>
      </c>
      <c r="I20" s="3220">
        <f t="shared" si="0"/>
        <v>0</v>
      </c>
      <c r="J20" s="3220">
        <f t="shared" si="0"/>
        <v>0</v>
      </c>
      <c r="K20" s="258"/>
      <c r="L20" s="6"/>
    </row>
    <row r="21" spans="1:18" hidden="1" x14ac:dyDescent="0.25">
      <c r="A21" s="957">
        <f>IF(AND($H$9=0,$H$10=0),0,1)</f>
        <v>0</v>
      </c>
      <c r="B21" s="4"/>
      <c r="C21" s="258"/>
      <c r="D21" s="2984"/>
      <c r="E21" s="2984" t="s">
        <v>53</v>
      </c>
      <c r="F21" s="3221" t="e">
        <f t="shared" si="0"/>
        <v>#N/A</v>
      </c>
      <c r="G21" s="3221">
        <f t="shared" si="0"/>
        <v>0</v>
      </c>
      <c r="H21" s="3221">
        <f t="shared" si="0"/>
        <v>0</v>
      </c>
      <c r="I21" s="3221">
        <f t="shared" si="0"/>
        <v>58578240</v>
      </c>
      <c r="J21" s="3221">
        <f t="shared" si="0"/>
        <v>0</v>
      </c>
      <c r="K21" s="258"/>
      <c r="L21" s="6"/>
    </row>
    <row r="22" spans="1:18" hidden="1" x14ac:dyDescent="0.25">
      <c r="A22" s="957">
        <f>IF(AND($H$9=0,$H$10=0),0,1)</f>
        <v>0</v>
      </c>
      <c r="B22" s="4"/>
      <c r="C22" s="258"/>
      <c r="D22" s="2984"/>
      <c r="E22" s="742" t="s">
        <v>51</v>
      </c>
      <c r="F22" s="3211" t="e">
        <f>IF(F9=0,F11*F15,F20+F21)</f>
        <v>#N/A</v>
      </c>
      <c r="G22" s="3211">
        <f>IF(G9=0,G11*G15,G20+G21)</f>
        <v>116559</v>
      </c>
      <c r="H22" s="3211">
        <f>IF(H9=0,H11*H15,H20+H21)</f>
        <v>128215</v>
      </c>
      <c r="I22" s="3211">
        <f>IF(I9=0,I11*I15,I20+I21)</f>
        <v>58578240</v>
      </c>
      <c r="J22" s="3211">
        <f>IF(J9=0,J11*J15,J20+J21)</f>
        <v>0</v>
      </c>
      <c r="K22" s="258"/>
      <c r="L22" s="6"/>
    </row>
    <row r="23" spans="1:18" x14ac:dyDescent="0.25">
      <c r="A23" s="957">
        <v>1</v>
      </c>
      <c r="B23" s="4"/>
      <c r="C23" s="258"/>
      <c r="D23" s="3214"/>
      <c r="E23" s="3214" t="s">
        <v>46</v>
      </c>
      <c r="F23" s="415" t="s">
        <v>3</v>
      </c>
      <c r="G23" s="3215" t="str">
        <f>IF(G9=0,IF(ISERROR(F19),"N/A",(G19-F19)/F19),IF(ISERROR(F22),"N/A",(G22-F22)/F22))</f>
        <v>N/A</v>
      </c>
      <c r="H23" s="3215">
        <f>IF(H9=0,IF(ISERROR(G19),"N/A",(H19-G19)/G19),IF(ISERROR(G22),"N/A",(H22-G22)/G22))</f>
        <v>0.10000085793460822</v>
      </c>
      <c r="I23" s="3215">
        <f>IF(ISERROR(H22),"N/A",(I22-H22)/H22)</f>
        <v>455.8750926178684</v>
      </c>
      <c r="J23" s="3215">
        <f>IF(ISERROR(I22),"N/A",(J22-I22)/I22)</f>
        <v>-1</v>
      </c>
      <c r="K23" s="258"/>
      <c r="L23" s="6"/>
    </row>
    <row r="24" spans="1:18" x14ac:dyDescent="0.25">
      <c r="A24" s="957">
        <v>1</v>
      </c>
      <c r="B24" s="4"/>
      <c r="C24" s="258"/>
      <c r="D24" s="2984"/>
      <c r="E24" s="2984"/>
      <c r="F24" s="258"/>
      <c r="G24" s="258"/>
      <c r="H24" s="258"/>
      <c r="I24" s="258"/>
      <c r="J24" s="3216"/>
      <c r="K24" s="258"/>
      <c r="L24" s="6"/>
    </row>
    <row r="25" spans="1:18" x14ac:dyDescent="0.25">
      <c r="A25" s="957">
        <v>1</v>
      </c>
      <c r="B25" s="4"/>
      <c r="C25" s="258"/>
      <c r="D25" s="3199" t="str">
        <f>CONCATENATE("Tax Rate per ",TEXT(H28,"$#,000"))</f>
        <v>Tax Rate per $1,000</v>
      </c>
      <c r="E25" s="742"/>
      <c r="F25" s="3222" t="e">
        <f>VLOOKUP(F$7,Tax_DatappraiseMatrix,9,FALSE)</f>
        <v>#N/A</v>
      </c>
      <c r="G25" s="3222">
        <f>VLOOKUP(G$7,Tax_DatappraiseMatrix,9,FALSE)</f>
        <v>15.7911</v>
      </c>
      <c r="H25" s="3222">
        <f>VLOOKUP(H$7,Tax_DatappraiseMatrix,9,FALSE)</f>
        <v>15.4611</v>
      </c>
      <c r="I25" s="3223">
        <f>IF(H11=0,IF(G11=0,F25*(1+dpTax_AppraiserTaxRateEsc),G25*(1+dpTax_AppraiserTaxRateEsc)),'Tax Schedule'!H25*(1+dpTax_AppraiserTaxRateEsc))</f>
        <v>15.4611</v>
      </c>
      <c r="J25" s="3224">
        <f>I25*(1+dpTax_AppraiserTaxRateEsc)</f>
        <v>15.4611</v>
      </c>
      <c r="K25" s="258"/>
      <c r="L25" s="6"/>
    </row>
    <row r="26" spans="1:18" x14ac:dyDescent="0.25">
      <c r="A26" s="957">
        <v>1</v>
      </c>
      <c r="B26" s="4"/>
      <c r="C26" s="258"/>
      <c r="D26" s="3214"/>
      <c r="E26" s="3214" t="s">
        <v>46</v>
      </c>
      <c r="F26" s="415" t="s">
        <v>3</v>
      </c>
      <c r="G26" s="3215" t="str">
        <f>IF(ISERROR(F25),"N/A",(G25-F25)/F25)</f>
        <v>N/A</v>
      </c>
      <c r="H26" s="3215">
        <f>IF(ISERROR(G25),"N/A",(H25-G25)/G25)</f>
        <v>-2.089784752170527E-2</v>
      </c>
      <c r="I26" s="560"/>
      <c r="J26" s="560">
        <f>dpTax_AppraiserTaxRateEsc</f>
        <v>0</v>
      </c>
      <c r="K26" s="258"/>
      <c r="L26" s="6"/>
    </row>
    <row r="27" spans="1:18" ht="5.0999999999999996" customHeight="1" x14ac:dyDescent="0.25">
      <c r="A27" s="957">
        <v>1</v>
      </c>
      <c r="B27" s="4"/>
      <c r="C27" s="258"/>
      <c r="D27" s="3214"/>
      <c r="E27" s="3214"/>
      <c r="F27" s="415"/>
      <c r="G27" s="3225"/>
      <c r="H27" s="3225"/>
      <c r="I27" s="3225"/>
      <c r="J27" s="3226"/>
      <c r="K27" s="258"/>
      <c r="L27" s="6"/>
    </row>
    <row r="28" spans="1:18" hidden="1" x14ac:dyDescent="0.25">
      <c r="A28" s="957">
        <v>0</v>
      </c>
      <c r="B28" s="4"/>
      <c r="C28" s="258"/>
      <c r="D28" s="3227" t="s">
        <v>82</v>
      </c>
      <c r="E28" s="3214"/>
      <c r="F28" s="3228" t="e">
        <f>VLOOKUP(F$7,Tax_DatappraiseMatrix,10,FALSE)</f>
        <v>#N/A</v>
      </c>
      <c r="G28" s="3228">
        <f>VLOOKUP(G$7,Tax_DatappraiseMatrix,10,FALSE)</f>
        <v>1000</v>
      </c>
      <c r="H28" s="3228">
        <f>VLOOKUP(H$7,Tax_DatappraiseMatrix,10,FALSE)</f>
        <v>1000</v>
      </c>
      <c r="I28" s="3228">
        <f>H28</f>
        <v>1000</v>
      </c>
      <c r="J28" s="3229">
        <f>I28</f>
        <v>1000</v>
      </c>
      <c r="K28" s="258"/>
      <c r="L28" s="6"/>
    </row>
    <row r="29" spans="1:18" ht="5.0999999999999996" hidden="1" customHeight="1" x14ac:dyDescent="0.25">
      <c r="A29" s="957">
        <v>0</v>
      </c>
      <c r="B29" s="4"/>
      <c r="C29" s="258"/>
      <c r="D29" s="2984"/>
      <c r="E29" s="2984"/>
      <c r="F29" s="258"/>
      <c r="G29" s="258"/>
      <c r="H29" s="258"/>
      <c r="I29" s="258"/>
      <c r="J29" s="92"/>
      <c r="K29" s="258"/>
      <c r="L29" s="6"/>
    </row>
    <row r="30" spans="1:18" x14ac:dyDescent="0.25">
      <c r="A30" s="957">
        <v>1</v>
      </c>
      <c r="B30" s="4"/>
      <c r="C30" s="258"/>
      <c r="D30" s="2984"/>
      <c r="E30" s="2984"/>
      <c r="F30" s="415" t="str">
        <f t="shared" ref="F30:J31" si="1">F6</f>
        <v>Actual</v>
      </c>
      <c r="G30" s="415" t="str">
        <f t="shared" si="1"/>
        <v>Actual</v>
      </c>
      <c r="H30" s="415" t="str">
        <f t="shared" si="1"/>
        <v>Actual</v>
      </c>
      <c r="I30" s="3230" t="str">
        <f>I6</f>
        <v>Market Estimate</v>
      </c>
      <c r="J30" s="3230" t="str">
        <f t="shared" si="1"/>
        <v>Market Estimate</v>
      </c>
      <c r="K30" s="258"/>
      <c r="L30" s="6"/>
    </row>
    <row r="31" spans="1:18" x14ac:dyDescent="0.25">
      <c r="A31" s="957">
        <v>1</v>
      </c>
      <c r="B31" s="4"/>
      <c r="C31" s="258"/>
      <c r="D31" s="3231" t="s">
        <v>49</v>
      </c>
      <c r="E31" s="3189"/>
      <c r="F31" s="3232" t="str">
        <f t="shared" si="1"/>
        <v>None</v>
      </c>
      <c r="G31" s="3232">
        <f t="shared" si="1"/>
        <v>2023</v>
      </c>
      <c r="H31" s="3232">
        <f t="shared" si="1"/>
        <v>2024</v>
      </c>
      <c r="I31" s="3233" t="str">
        <f t="shared" si="1"/>
        <v>Year 1</v>
      </c>
      <c r="J31" s="3233" t="str">
        <f t="shared" si="1"/>
        <v/>
      </c>
      <c r="K31" s="258"/>
      <c r="L31" s="6"/>
    </row>
    <row r="32" spans="1:18" x14ac:dyDescent="0.25">
      <c r="A32" s="957">
        <v>1</v>
      </c>
      <c r="B32" s="4"/>
      <c r="C32" s="258"/>
      <c r="D32" s="2893"/>
      <c r="E32" s="3189" t="str">
        <f>IF(dpSpecialAssessTotal=0,"Total:","Tax Amount:")</f>
        <v>Tax Amount:</v>
      </c>
      <c r="F32" s="3220" t="e">
        <f>IF(Select_TaxAppraiseAssess="Assessed Value",F11*(F25/F28),F22*(F25/F28))</f>
        <v>#N/A</v>
      </c>
      <c r="G32" s="3220">
        <f>IF(Select_TaxAppraiseAssess="Assessed Value",G11*(G25/G28),G22*(G25/G28))</f>
        <v>1840.5948248999998</v>
      </c>
      <c r="H32" s="3220">
        <f>IF(Select_TaxAppraiseAssess="Assessed Value",H11*(H25/H28),H22*(H25/H28))</f>
        <v>1982.3449365000001</v>
      </c>
      <c r="I32" s="3220">
        <f>IF(Select_TaxAppraiseAssess="Assessed Value",I11*(I25/I28),I22*(I25/I28))</f>
        <v>905684.026464</v>
      </c>
      <c r="J32" s="3220">
        <f>IF(Select_TaxAppraiseAssess="Assessed Value",J11*(J25/J28),J22*(J25/J28))</f>
        <v>0</v>
      </c>
      <c r="K32" s="258"/>
      <c r="L32" s="6"/>
    </row>
    <row r="33" spans="1:31" ht="5.0999999999999996" customHeight="1" x14ac:dyDescent="0.25">
      <c r="A33" s="957">
        <f>IF(dpSpecialAssessTotal=0,0,1)</f>
        <v>1</v>
      </c>
      <c r="B33" s="4"/>
      <c r="C33" s="258"/>
      <c r="D33" s="2893"/>
      <c r="E33" s="3189"/>
      <c r="F33" s="258"/>
      <c r="G33" s="258"/>
      <c r="H33" s="258"/>
      <c r="I33" s="258"/>
      <c r="J33" s="3216"/>
      <c r="K33" s="258"/>
      <c r="L33" s="6"/>
    </row>
    <row r="34" spans="1:31" x14ac:dyDescent="0.25">
      <c r="A34" s="957">
        <f>IF(dpSpecialAssessTotal=0,0,1)</f>
        <v>1</v>
      </c>
      <c r="B34" s="16">
        <f>SUM(F34:J34)</f>
        <v>1414</v>
      </c>
      <c r="C34" s="258"/>
      <c r="D34" s="2893"/>
      <c r="E34" s="3189" t="s">
        <v>81</v>
      </c>
      <c r="F34" s="3211">
        <f>SUMIF(Tax_DatappraiseYear,F7,Tax_DatappraiseSpecialAssess)</f>
        <v>0</v>
      </c>
      <c r="G34" s="3211">
        <f>SUMIF(Tax_DatappraiseYear,G7,Tax_DatappraiseSpecialAssess)</f>
        <v>440</v>
      </c>
      <c r="H34" s="3211">
        <f>SUMIF(Tax_DatappraiseYear,H7,Tax_DatappraiseSpecialAssess)</f>
        <v>487</v>
      </c>
      <c r="I34" s="3220">
        <v>0</v>
      </c>
      <c r="J34" s="3211">
        <v>0</v>
      </c>
      <c r="K34" s="258"/>
      <c r="L34" s="6"/>
    </row>
    <row r="35" spans="1:31" ht="5.0999999999999996" customHeight="1" x14ac:dyDescent="0.25">
      <c r="A35" s="957">
        <f>IF(dpSpecialAssessTotal=0,0,1)</f>
        <v>1</v>
      </c>
      <c r="B35" s="4"/>
      <c r="C35" s="258"/>
      <c r="D35" s="2893"/>
      <c r="E35" s="3189"/>
      <c r="F35" s="258"/>
      <c r="G35" s="258"/>
      <c r="H35" s="258"/>
      <c r="I35" s="258"/>
      <c r="J35" s="3216"/>
      <c r="K35" s="258"/>
      <c r="L35" s="6"/>
    </row>
    <row r="36" spans="1:31" x14ac:dyDescent="0.25">
      <c r="A36" s="957">
        <f>IF(dpSpecialAssessTotal=0,0,1)</f>
        <v>1</v>
      </c>
      <c r="B36" s="4"/>
      <c r="C36" s="258"/>
      <c r="D36" s="2893"/>
      <c r="E36" s="3189" t="s">
        <v>80</v>
      </c>
      <c r="F36" s="3220" t="e">
        <f>F32+F34</f>
        <v>#N/A</v>
      </c>
      <c r="G36" s="3220">
        <f>G32+G34</f>
        <v>2280.5948248999998</v>
      </c>
      <c r="H36" s="3220">
        <f>H32+H34</f>
        <v>2469.3449365000001</v>
      </c>
      <c r="I36" s="3220">
        <f>I32+I34</f>
        <v>906171.026464</v>
      </c>
      <c r="J36" s="3211">
        <f>J32+J34</f>
        <v>0</v>
      </c>
      <c r="K36" s="258"/>
      <c r="L36" s="6"/>
    </row>
    <row r="37" spans="1:31" ht="15" thickBot="1" x14ac:dyDescent="0.3">
      <c r="A37" s="957">
        <v>1</v>
      </c>
      <c r="B37" s="4"/>
      <c r="C37" s="258"/>
      <c r="D37" s="3234"/>
      <c r="E37" s="3235" t="s">
        <v>50</v>
      </c>
      <c r="F37" s="3236" t="e">
        <f>IF(AND(Subject_NRA=0,Subject_GBA=0),F36/(Subject_LandPrimary_UsableAcres*43560),IF(dpUnit_Sales="Net Rentable Area",F36/Subject_NRA,IF(dpUnit_Sales="Gross Building Area",F36/Subject_GBA,F36/Subject_Units)))</f>
        <v>#N/A</v>
      </c>
      <c r="G37" s="3236">
        <f>IF(AND(Subject_NRA=0,Subject_GBA=0),G36/(Subject_LandPrimary_UsableAcres*43560),IF(dpUnit_Sales="Net Rentable Area",G36/Subject_NRA,IF(dpUnit_Sales="Gross Building Area",G36/Subject_GBA,G36/Subject_Units)))</f>
        <v>1.0901088031528431E-2</v>
      </c>
      <c r="H37" s="3236">
        <f>IF(AND(Subject_NRA=0,Subject_GBA=0),H36/(Subject_LandPrimary_UsableAcres*43560),IF(dpUnit_Sales="Net Rentable Area",H36/Subject_NRA,IF(dpUnit_Sales="Gross Building Area",H36/Subject_GBA,H36/Subject_Units)))</f>
        <v>1.1803300717467784E-2</v>
      </c>
      <c r="I37" s="3236">
        <f>IF(AND(Subject_NRA=0,Subject_GBA=0),I36/(Subject_LandPrimary_UsableAcres*43560),IF(dpUnit_Sales="Net Rentable Area",I36/Subject_NRA,IF(dpUnit_Sales="Gross Building Area",I36/Subject_GBA,I36/Subject_Units)))</f>
        <v>4.3314358268517452</v>
      </c>
      <c r="J37" s="3236">
        <f>IF(AND(Subject_NRA=0,Subject_GBA=0),J36/(Subject_LandPrimary_UsableAcres*43560),IF(dpUnit_Sales="Net Rentable Area",J36/Subject_NRA,IF(dpUnit_Sales="Gross Building Area",J36/Subject_GBA,J36/Subject_Units)))</f>
        <v>0</v>
      </c>
      <c r="K37" s="258"/>
      <c r="L37" s="6"/>
    </row>
    <row r="38" spans="1:31" ht="20.100000000000001" customHeight="1" thickBot="1" x14ac:dyDescent="0.3">
      <c r="B38" s="8"/>
      <c r="C38" s="7"/>
      <c r="D38" s="553" t="s">
        <v>855</v>
      </c>
      <c r="E38" s="7"/>
      <c r="F38" s="7"/>
      <c r="G38" s="7"/>
      <c r="H38" s="7"/>
      <c r="I38" s="7"/>
      <c r="J38" s="7"/>
      <c r="K38" s="7"/>
      <c r="L38" s="9"/>
    </row>
    <row r="39" spans="1:31" s="32" customFormat="1" ht="15" thickBot="1" x14ac:dyDescent="0.3">
      <c r="A39" s="41"/>
      <c r="F39" s="957">
        <f>IF(F7="None",0,1)</f>
        <v>0</v>
      </c>
      <c r="G39" s="957">
        <f>IF(G7="None",0,1)</f>
        <v>1</v>
      </c>
      <c r="H39" s="957">
        <f>IF(H7="None",0,1)</f>
        <v>1</v>
      </c>
      <c r="I39" s="957">
        <f>IF(I11=0,0,1)</f>
        <v>1</v>
      </c>
      <c r="J39" s="957">
        <f>IF(J11=0,0,1)</f>
        <v>0</v>
      </c>
      <c r="K39" s="96"/>
      <c r="P39" s="96"/>
      <c r="Q39" s="96"/>
      <c r="R39" s="96"/>
    </row>
    <row r="40" spans="1:31" x14ac:dyDescent="0.25">
      <c r="N40" s="1"/>
      <c r="O40" s="2"/>
      <c r="P40" s="202"/>
      <c r="Q40" s="202"/>
      <c r="R40" s="202"/>
      <c r="S40" s="2"/>
      <c r="T40" s="2"/>
      <c r="U40" s="2"/>
      <c r="V40" s="2"/>
      <c r="W40" s="2"/>
      <c r="X40" s="2"/>
      <c r="Y40" s="2"/>
      <c r="Z40" s="2"/>
      <c r="AA40" s="2"/>
      <c r="AB40" s="2"/>
      <c r="AC40" s="2"/>
      <c r="AD40" s="2"/>
      <c r="AE40" s="3"/>
    </row>
    <row r="41" spans="1:31" ht="15" customHeight="1" x14ac:dyDescent="0.25">
      <c r="F41" s="11"/>
      <c r="N41" s="4"/>
      <c r="O41" s="5"/>
      <c r="P41" s="430" t="s">
        <v>699</v>
      </c>
      <c r="Q41" s="45"/>
      <c r="R41" s="45"/>
      <c r="S41" s="45"/>
      <c r="T41" s="45"/>
      <c r="U41" s="45"/>
      <c r="V41" s="45"/>
      <c r="W41" s="45"/>
      <c r="X41" s="45"/>
      <c r="Y41" s="45"/>
      <c r="Z41" s="45"/>
      <c r="AA41" s="45"/>
      <c r="AB41" s="45"/>
      <c r="AC41" s="5"/>
      <c r="AD41" s="5"/>
      <c r="AE41" s="6"/>
    </row>
    <row r="42" spans="1:31" ht="28.5" x14ac:dyDescent="0.25">
      <c r="N42" s="4"/>
      <c r="O42" s="11"/>
      <c r="P42" s="207"/>
      <c r="Q42" s="150"/>
      <c r="R42" s="150" t="s">
        <v>761</v>
      </c>
      <c r="S42" s="290" t="s">
        <v>1076</v>
      </c>
      <c r="T42" s="150" t="s">
        <v>695</v>
      </c>
      <c r="U42" s="290" t="s">
        <v>1076</v>
      </c>
      <c r="V42" s="150" t="s">
        <v>695</v>
      </c>
      <c r="W42" s="290" t="s">
        <v>1077</v>
      </c>
      <c r="X42" s="150" t="s">
        <v>701</v>
      </c>
      <c r="Y42" s="150" t="s">
        <v>115</v>
      </c>
      <c r="Z42" s="150" t="s">
        <v>396</v>
      </c>
      <c r="AA42" s="150" t="s">
        <v>234</v>
      </c>
      <c r="AB42" s="150" t="s">
        <v>686</v>
      </c>
      <c r="AC42" s="150" t="s">
        <v>115</v>
      </c>
      <c r="AD42" s="11"/>
      <c r="AE42" s="6"/>
    </row>
    <row r="43" spans="1:31" ht="15" customHeight="1" x14ac:dyDescent="0.25">
      <c r="N43" s="4"/>
      <c r="O43" s="11"/>
      <c r="P43" s="41"/>
      <c r="Q43" s="150" t="s">
        <v>685</v>
      </c>
      <c r="R43" s="150" t="s">
        <v>135</v>
      </c>
      <c r="S43" s="150" t="s">
        <v>696</v>
      </c>
      <c r="T43" s="150" t="s">
        <v>119</v>
      </c>
      <c r="U43" s="150" t="s">
        <v>697</v>
      </c>
      <c r="V43" s="150" t="s">
        <v>119</v>
      </c>
      <c r="W43" s="150" t="s">
        <v>1063</v>
      </c>
      <c r="X43" s="150" t="s">
        <v>112</v>
      </c>
      <c r="Y43" s="150" t="s">
        <v>396</v>
      </c>
      <c r="Z43" s="150" t="s">
        <v>1847</v>
      </c>
      <c r="AA43" s="150" t="s">
        <v>85</v>
      </c>
      <c r="AB43" s="150" t="s">
        <v>698</v>
      </c>
      <c r="AC43" s="150" t="s">
        <v>700</v>
      </c>
      <c r="AD43" s="11"/>
      <c r="AE43" s="6"/>
    </row>
    <row r="44" spans="1:31" x14ac:dyDescent="0.25">
      <c r="N44" s="4"/>
      <c r="O44" s="5"/>
      <c r="P44" s="39">
        <v>1</v>
      </c>
      <c r="Q44" s="39">
        <v>2025</v>
      </c>
      <c r="R44" s="1328" t="inlineStr">
        <is>
          <t xml:space="preserve">R0103784</t>
        </is>
      </c>
      <c r="S44" s="189">
        <v>989680</v>
      </c>
      <c r="T44" s="446">
        <v>0.279</v>
      </c>
      <c r="U44" s="189">
        <v>0</v>
      </c>
      <c r="V44" s="446">
        <v>0.279</v>
      </c>
      <c r="W44" s="479">
        <v>989680</v>
      </c>
      <c r="X44" s="479">
        <f>IF(S44+U44=0,V44*W44,(S44*T44)+(U44*V44))</f>
      </c>
      <c r="Y44" s="445">
        <v>100.4402</v>
      </c>
      <c r="Z44" s="479">
        <v>1000</v>
      </c>
      <c r="AA44" s="447">
        <f>Y44/Z44*V44</f>
      </c>
      <c r="AB44" s="189">
        <v>0</v>
      </c>
      <c r="AC44" s="479">
        <f>X44*(Y44/Z44)+AB44</f>
      </c>
      <c r="AD44" s="5"/>
      <c r="AE44" s="6"/>
    </row>
    <row r="45" spans="1:31" x14ac:dyDescent="0.25">
      <c r="N45" s="4"/>
      <c r="O45" s="5"/>
      <c r="P45" s="39">
        <v>2</v>
      </c>
      <c r="Q45" s="39">
        <v>2025</v>
      </c>
      <c r="R45" s="1328" t="inlineStr">
        <is>
          <t xml:space="preserve">R0103785</t>
        </is>
      </c>
      <c r="S45" s="189">
        <v>1393920</v>
      </c>
      <c r="T45" s="446">
        <v>0.279</v>
      </c>
      <c r="U45" s="189">
        <v>3496391</v>
      </c>
      <c r="V45" s="446">
        <v>0.279</v>
      </c>
      <c r="W45" s="479">
        <v>4890311</v>
      </c>
      <c r="X45" s="479">
        <f>IF(S45+U45=0,V45*W45,(S45*T45)+(U45*V45))</f>
      </c>
      <c r="Y45" s="445">
        <v>100.4402</v>
      </c>
      <c r="Z45" s="479">
        <v>1000</v>
      </c>
      <c r="AA45" s="447">
        <f>Y45/Z45*V45</f>
      </c>
      <c r="AB45" s="189">
        <v>0</v>
      </c>
      <c r="AC45" s="479">
        <f>X45*(Y45/Z45)+AB45</f>
      </c>
      <c r="AD45" s="5"/>
      <c r="AE45" s="6"/>
    </row>
    <row r="46" spans="1:31" x14ac:dyDescent="0.25">
      <c r="N46" s="4"/>
      <c r="O46" s="5"/>
      <c r="P46" s="39">
        <v>3</v>
      </c>
      <c r="Q46" s="39">
        <v>2025</v>
      </c>
      <c r="R46" s="477" t="inlineStr">
        <is>
          <t xml:space="preserve">R0103786</t>
        </is>
      </c>
      <c r="S46" s="189">
        <v>1393920</v>
      </c>
      <c r="T46" s="446">
        <v>0.279</v>
      </c>
      <c r="U46" s="189">
        <v>4269562</v>
      </c>
      <c r="V46" s="446">
        <v>0.279</v>
      </c>
      <c r="W46" s="446">
        <v>5663482</v>
      </c>
      <c r="X46" s="479">
        <f>IF(S46+U46=0,V46*W46,(S46*T46)+(U46*V46))</f>
      </c>
      <c r="Y46" s="445">
        <v>100.4402</v>
      </c>
      <c r="Z46" s="479">
        <v>1000</v>
      </c>
      <c r="AA46" s="447">
        <f>Y46/Z46*V46</f>
      </c>
      <c r="AB46" s="189">
        <v>0</v>
      </c>
      <c r="AC46" s="479">
        <f>X46*(Y46/Z46)+AB46</f>
      </c>
      <c r="AD46" s="5"/>
      <c r="AE46" s="6"/>
    </row>
    <row r="47" spans="1:31" x14ac:dyDescent="0.25">
      <c r="N47" s="4"/>
      <c r="O47" s="5"/>
      <c r="P47" s="39">
        <v>4</v>
      </c>
      <c r="Q47" s="39">
        <v>2025</v>
      </c>
      <c r="R47" s="1328" t="inlineStr">
        <is>
          <t xml:space="preserve">R0103787</t>
        </is>
      </c>
      <c r="S47" s="189">
        <v>1435728</v>
      </c>
      <c r="T47" s="446">
        <v>0.279</v>
      </c>
      <c r="U47" s="189">
        <v>4583116</v>
      </c>
      <c r="V47" s="446">
        <v>0.279</v>
      </c>
      <c r="W47" s="479">
        <v>6018844</v>
      </c>
      <c r="X47" s="479">
        <f>IF(S47+U47=0,V47*W47,(S47*T47)+(U47*V47))</f>
      </c>
      <c r="Y47" s="445">
        <v>100.4402</v>
      </c>
      <c r="Z47" s="479">
        <v>1000</v>
      </c>
      <c r="AA47" s="447">
        <f>Y47/Z47*V47</f>
      </c>
      <c r="AB47" s="189">
        <v>0</v>
      </c>
      <c r="AC47" s="479">
        <f>X47*(Y47/Z47)+AB47</f>
      </c>
      <c r="AD47" s="5"/>
      <c r="AE47" s="6"/>
    </row>
    <row r="48" spans="1:31" x14ac:dyDescent="0.25">
      <c r="N48" s="4"/>
      <c r="O48" s="5"/>
      <c r="P48" s="39">
        <v>5</v>
      </c>
      <c r="Q48" s="39">
        <v>2025</v>
      </c>
      <c r="R48" s="1328" t="inlineStr">
        <is>
          <t xml:space="preserve">R0103788</t>
        </is>
      </c>
      <c r="S48" s="189">
        <v>1388912</v>
      </c>
      <c r="T48" s="446">
        <v>0.279</v>
      </c>
      <c r="U48" s="189">
        <v>4543537</v>
      </c>
      <c r="V48" s="446">
        <v>0.279</v>
      </c>
      <c r="W48" s="479">
        <v>5932449</v>
      </c>
      <c r="X48" s="479">
        <f>IF(S48+U48=0,V48*W48,(S48*T48)+(U48*V48))</f>
      </c>
      <c r="Y48" s="445">
        <v>100.4402</v>
      </c>
      <c r="Z48" s="479">
        <v>1000</v>
      </c>
      <c r="AA48" s="447">
        <f>Y48/Z48*V48</f>
      </c>
      <c r="AB48" s="189">
        <v>0</v>
      </c>
      <c r="AC48" s="479">
        <f>X48*(Y48/Z48)+AB48</f>
      </c>
      <c r="AD48" s="5"/>
      <c r="AE48" s="6"/>
    </row>
    <row r="49" spans="1:31" x14ac:dyDescent="0.25">
      <c r="N49" s="4"/>
      <c r="O49" s="5"/>
      <c r="P49" s="39">
        <v>6</v>
      </c>
      <c r="Q49" s="39">
        <v>2025</v>
      </c>
      <c r="R49" s="1328" t="inlineStr">
        <is>
          <t xml:space="preserve">R0103789</t>
        </is>
      </c>
      <c r="S49" s="189">
        <v>1777792</v>
      </c>
      <c r="T49" s="446">
        <v>0.140038</v>
      </c>
      <c r="U49" s="189">
        <v>2886210</v>
      </c>
      <c r="V49" s="446">
        <v>0.140038</v>
      </c>
      <c r="W49" s="479">
        <v>4664002</v>
      </c>
      <c r="X49" s="479">
        <f>IF(S49+U49=0,V49*W49,(S49*T49)+(U49*V49))</f>
      </c>
      <c r="Y49" s="445">
        <v>100.4402</v>
      </c>
      <c r="Z49" s="479">
        <v>1000</v>
      </c>
      <c r="AA49" s="447">
        <f>Y49/Z49*V49</f>
      </c>
      <c r="AB49" s="189">
        <v>0</v>
      </c>
      <c r="AC49" s="479">
        <f>X49*(Y49/Z49)+AB49</f>
      </c>
      <c r="AD49" s="5"/>
      <c r="AE49" s="6"/>
    </row>
    <row r="50" spans="1:31" x14ac:dyDescent="0.25">
      <c r="N50" s="4"/>
      <c r="O50" s="5"/>
      <c r="P50" s="39">
        <v>7</v>
      </c>
      <c r="Q50" s="39">
        <v>2025</v>
      </c>
      <c r="R50" s="1328" t="inlineStr">
        <is>
          <t xml:space="preserve">R0103790</t>
        </is>
      </c>
      <c r="S50" s="189">
        <v>1233612</v>
      </c>
      <c r="T50" s="446">
        <v>0.279</v>
      </c>
      <c r="U50" s="189">
        <v>3825979</v>
      </c>
      <c r="V50" s="446">
        <v>0.279</v>
      </c>
      <c r="W50" s="479">
        <v>5059591</v>
      </c>
      <c r="X50" s="479">
        <f>IF(S50+U50=0,V50*W50,(S50*T50)+(U50*V50))</f>
      </c>
      <c r="Y50" s="445">
        <v>100.4402</v>
      </c>
      <c r="Z50" s="479">
        <v>1000</v>
      </c>
      <c r="AA50" s="447">
        <f>Y50/Z50*V50</f>
      </c>
      <c r="AB50" s="189">
        <v>0</v>
      </c>
      <c r="AC50" s="479">
        <f>X50*(Y50/Z50)+AB50</f>
      </c>
      <c r="AD50" s="5"/>
      <c r="AE50" s="6"/>
    </row>
    <row r="51" spans="1:31" ht="15" customHeight="1" thickBot="1" x14ac:dyDescent="0.3">
      <c r="N51" s="4"/>
      <c r="O51" s="5"/>
      <c r="P51" s="224" t="s">
        <v>93</v>
      </c>
      <c r="Q51" s="224"/>
      <c r="R51" s="224"/>
      <c r="S51" s="416">
        <f>SUM(Tax_DatappraiseLandValue)</f>
        <v>0</v>
      </c>
      <c r="T51" s="219"/>
      <c r="U51" s="416">
        <f>SUM(Tax_DatappraiseImpValue)</f>
        <v>0</v>
      </c>
      <c r="V51" s="219"/>
      <c r="W51" s="416">
        <f>SUM(Tax_DatappraiseTotalValue)</f>
        <v>244774</v>
      </c>
      <c r="X51" s="416">
        <f>SUM(Tax_DatappraiseAssessValue)</f>
        <v>244774</v>
      </c>
      <c r="Y51" s="219"/>
      <c r="Z51" s="219"/>
      <c r="AA51" s="219"/>
      <c r="AB51" s="416">
        <f>SUM(Tax_DatappraiseSpecialAssess)</f>
        <v>927</v>
      </c>
      <c r="AC51" s="416">
        <f>AB51+(X51*($Y$44/$Z$44))</f>
        <v>4792.2507114</v>
      </c>
      <c r="AD51" s="5"/>
      <c r="AE51" s="6"/>
    </row>
    <row r="52" spans="1:31" ht="20.100000000000001" customHeight="1" thickBot="1" x14ac:dyDescent="0.3">
      <c r="N52" s="8"/>
      <c r="O52" s="7"/>
      <c r="P52" s="552" t="s">
        <v>934</v>
      </c>
      <c r="Q52" s="14"/>
      <c r="R52" s="14"/>
      <c r="S52" s="7"/>
      <c r="T52" s="7"/>
      <c r="U52" s="7"/>
      <c r="V52" s="7"/>
      <c r="W52" s="7"/>
      <c r="X52" s="7"/>
      <c r="Y52" s="7"/>
      <c r="Z52" s="7"/>
      <c r="AA52" s="7"/>
      <c r="AB52" s="7"/>
      <c r="AC52" s="7"/>
      <c r="AD52" s="7"/>
      <c r="AE52" s="9"/>
    </row>
  </sheetData>
  <mergeCells count="2">
    <mergeCell ref="D5:J5"/>
    <mergeCell ref="D8:E8"/>
  </mergeCells>
  <hyperlinks>
    <hyperlink ref="D5" location="Subject_TaxAccounts" display="Subject_TaxAccounts" xr:uid="{00000000-0004-0000-0800-000000000000}"/>
  </hyperlinks>
  <printOptions horizontalCentered="1"/>
  <pageMargins left="0.5" right="0.5"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2">
        <x14:dataValidation type="list" errorStyle="warning" allowBlank="1" showInputMessage="1" showErrorMessage="1" error="Invalid Option - Please Select from the List" prompt="Select Current Assessor Appraised Value Situation" xr:uid="{00000000-0002-0000-0800-000000000000}">
          <x14:formula1>
            <xm:f>'Selection Tables'!$D$22:$D$23</xm:f>
          </x14:formula1>
          <xm:sqref>H6</xm:sqref>
        </x14:dataValidation>
        <x14:dataValidation type="list" allowBlank="1" showInputMessage="1" showErrorMessage="1" error="Invalid Option - Please Select from the List" prompt="Select Taxing Authority Method" xr:uid="{00000000-0002-0000-0800-000001000000}">
          <x14:formula1>
            <xm:f>'Selection Tables'!$C$5:$C$7</xm:f>
          </x14:formula1>
          <xm:sqref>D8:E8</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4"/>
    <pageSetUpPr fitToPage="1"/>
  </sheetPr>
  <dimension ref="A1:Q17"/>
  <sheetViews>
    <sheetView zoomScaleNormal="100" workbookViewId="0">
      <selection activeCell="Y18" sqref="Y18"/>
    </sheetView>
  </sheetViews>
  <sheetFormatPr defaultColWidth="8.85546875" defaultRowHeight="14.25" x14ac:dyDescent="0.25"/>
  <cols>
    <col min="1" max="1" width="5.7109375" style="96" customWidth="1"/>
    <col min="2" max="2" width="1.7109375" style="10" customWidth="1"/>
    <col min="3" max="3" width="0.85546875" style="10" customWidth="1"/>
    <col min="4" max="4" width="8.7109375" style="13" customWidth="1"/>
    <col min="5" max="5" width="14.140625" style="13" bestFit="1" customWidth="1"/>
    <col min="6" max="6" width="23.42578125" style="13" hidden="1" customWidth="1"/>
    <col min="7" max="7" width="15.42578125" style="13" bestFit="1" customWidth="1"/>
    <col min="8" max="8" width="9.28515625" style="13" bestFit="1" customWidth="1"/>
    <col min="9" max="9" width="8.5703125" style="13" bestFit="1" customWidth="1"/>
    <col min="10" max="10" width="8.42578125" style="13" bestFit="1" customWidth="1"/>
    <col min="11" max="13" width="7.140625" style="13" bestFit="1" customWidth="1"/>
    <col min="14" max="14" width="8.42578125" style="13" bestFit="1" customWidth="1"/>
    <col min="15" max="15" width="7.140625" style="13" bestFit="1" customWidth="1"/>
    <col min="16" max="16" width="0.85546875" style="10" customWidth="1"/>
    <col min="17" max="17" width="1.7109375" style="10" customWidth="1"/>
    <col min="18" max="16384" width="8.85546875" style="10"/>
  </cols>
  <sheetData>
    <row r="1" spans="1:17" ht="60" customHeight="1" x14ac:dyDescent="0.25"/>
    <row r="2" spans="1:17" ht="15" thickBot="1" x14ac:dyDescent="0.3"/>
    <row r="3" spans="1:17" ht="19.899999999999999" customHeight="1" x14ac:dyDescent="0.25">
      <c r="B3" s="1"/>
      <c r="C3" s="2"/>
      <c r="D3" s="202"/>
      <c r="E3" s="202"/>
      <c r="F3" s="202"/>
      <c r="G3" s="202"/>
      <c r="H3" s="202"/>
      <c r="I3" s="202"/>
      <c r="J3" s="202"/>
      <c r="K3" s="202"/>
      <c r="L3" s="202"/>
      <c r="M3" s="202"/>
      <c r="N3" s="202"/>
      <c r="O3" s="202"/>
      <c r="P3" s="2"/>
      <c r="Q3" s="3"/>
    </row>
    <row r="4" spans="1:17" ht="16.5" x14ac:dyDescent="0.3">
      <c r="B4" s="4"/>
      <c r="C4" s="43"/>
      <c r="D4" s="27" t="s">
        <v>114</v>
      </c>
      <c r="E4" s="206"/>
      <c r="F4" s="206"/>
      <c r="G4" s="206"/>
      <c r="H4" s="206"/>
      <c r="I4" s="206"/>
      <c r="J4" s="206"/>
      <c r="K4" s="206"/>
      <c r="L4" s="206"/>
      <c r="M4" s="206"/>
      <c r="N4" s="206"/>
      <c r="O4" s="206"/>
      <c r="P4" s="43"/>
      <c r="Q4" s="6"/>
    </row>
    <row r="5" spans="1:17" ht="30" customHeight="1" x14ac:dyDescent="0.25">
      <c r="B5" s="4"/>
      <c r="C5" s="12"/>
      <c r="D5" s="290" t="str">
        <f>CONCATENATE('Tax Schedule'!H7," Tax")</f>
        <v>2024 Tax</v>
      </c>
      <c r="E5" s="4096" t="s">
        <v>1130</v>
      </c>
      <c r="F5" s="4096" t="s">
        <v>0</v>
      </c>
      <c r="G5" s="207"/>
      <c r="H5" s="150" t="s">
        <v>107</v>
      </c>
      <c r="I5" s="150" t="s">
        <v>118</v>
      </c>
      <c r="J5" s="150" t="s">
        <v>109</v>
      </c>
      <c r="K5" s="150" t="s">
        <v>110</v>
      </c>
      <c r="L5" s="150" t="str">
        <f>IF(Subject_PropertyType="Industrial","Office","")</f>
        <v>Office</v>
      </c>
      <c r="M5" s="150" t="str">
        <f>IF(Subject_PropertyType="Industrial","Clear","")</f>
        <v>Clear</v>
      </c>
      <c r="N5" s="4093" t="str">
        <f>Select_TaxAppraiseAssess</f>
        <v>Appraised Value</v>
      </c>
      <c r="O5" s="4093"/>
      <c r="P5" s="12"/>
      <c r="Q5" s="6"/>
    </row>
    <row r="6" spans="1:17" x14ac:dyDescent="0.25">
      <c r="A6" s="957">
        <v>1</v>
      </c>
      <c r="B6" s="4"/>
      <c r="C6" s="12"/>
      <c r="D6" s="150" t="s">
        <v>94</v>
      </c>
      <c r="E6" s="4096"/>
      <c r="F6" s="4096"/>
      <c r="G6" s="207" t="s">
        <v>8</v>
      </c>
      <c r="H6" s="150" t="s">
        <v>108</v>
      </c>
      <c r="I6" s="150" t="s">
        <v>119</v>
      </c>
      <c r="J6" s="150" t="s">
        <v>96</v>
      </c>
      <c r="K6" s="150" t="s">
        <v>111</v>
      </c>
      <c r="L6" s="150" t="str">
        <f>IF(Subject_PropertyType="Industrial","Ratio","N/A")</f>
        <v>Ratio</v>
      </c>
      <c r="M6" s="150" t="str">
        <f>IF(Subject_PropertyType="Industrial","Height","N/A")</f>
        <v>Height</v>
      </c>
      <c r="N6" s="55" t="s">
        <v>93</v>
      </c>
      <c r="O6" s="55" t="s">
        <v>44</v>
      </c>
      <c r="P6" s="12"/>
      <c r="Q6" s="6"/>
    </row>
    <row r="7" spans="1:17" hidden="1" x14ac:dyDescent="0.25">
      <c r="A7" s="957">
        <f>IF(E7="",0,1)</f>
        <v>0</v>
      </c>
      <c r="B7" s="4"/>
      <c r="C7" s="5"/>
      <c r="D7" s="2985">
        <v>1</v>
      </c>
      <c r="E7" s="3964"/>
      <c r="F7" s="1329"/>
      <c r="G7" s="1329"/>
      <c r="H7" s="3965"/>
      <c r="I7" s="3237" t="str">
        <f>IF(ISERR((H7*43560)/J7=TRUE),"",(H7*43560)/J7)</f>
        <v/>
      </c>
      <c r="J7" s="508"/>
      <c r="K7" s="3966"/>
      <c r="L7" s="507"/>
      <c r="M7" s="3967"/>
      <c r="N7" s="792"/>
      <c r="O7" s="3238" t="str">
        <f>IF(ISERROR(N7/J7),"",N7/J7)</f>
        <v/>
      </c>
      <c r="P7" s="5"/>
      <c r="Q7" s="6"/>
    </row>
    <row r="8" spans="1:17" hidden="1" x14ac:dyDescent="0.25">
      <c r="A8" s="957">
        <f>IF(E8="",0,1)</f>
        <v>0</v>
      </c>
      <c r="B8" s="4"/>
      <c r="C8" s="5"/>
      <c r="D8" s="2985">
        <f>D7+1</f>
        <v>2</v>
      </c>
      <c r="E8" s="3964"/>
      <c r="F8" s="1329"/>
      <c r="G8" s="1329"/>
      <c r="H8" s="3965"/>
      <c r="I8" s="3237" t="str">
        <f>IF(ISERR((H8*43560)/J8=TRUE),"",(H8*43560)/J8)</f>
        <v/>
      </c>
      <c r="J8" s="508"/>
      <c r="K8" s="3966"/>
      <c r="L8" s="507"/>
      <c r="M8" s="3967"/>
      <c r="N8" s="792"/>
      <c r="O8" s="3238" t="str">
        <f>IF(ISERROR(N8/J8),"",N8/J8)</f>
        <v/>
      </c>
      <c r="P8" s="5"/>
      <c r="Q8" s="6"/>
    </row>
    <row r="9" spans="1:17" hidden="1" x14ac:dyDescent="0.25">
      <c r="A9" s="957">
        <f>IF(E9="",0,1)</f>
        <v>0</v>
      </c>
      <c r="B9" s="4"/>
      <c r="C9" s="5"/>
      <c r="D9" s="2985">
        <f>D8+1</f>
        <v>3</v>
      </c>
      <c r="E9" s="3964"/>
      <c r="F9" s="1329"/>
      <c r="G9" s="1329"/>
      <c r="H9" s="3965"/>
      <c r="I9" s="3237" t="str">
        <f>IF(ISERR((H9*43560)/J9=TRUE),"",(H9*43560)/J9)</f>
        <v/>
      </c>
      <c r="J9" s="508"/>
      <c r="K9" s="3966"/>
      <c r="L9" s="507"/>
      <c r="M9" s="3967"/>
      <c r="N9" s="792"/>
      <c r="O9" s="3238" t="str">
        <f>IF(ISERROR(N9/J9),"",N9/J9)</f>
        <v/>
      </c>
      <c r="P9" s="5"/>
      <c r="Q9" s="6"/>
    </row>
    <row r="10" spans="1:17" hidden="1" x14ac:dyDescent="0.25">
      <c r="A10" s="957">
        <f>IF(E10="",0,1)</f>
        <v>0</v>
      </c>
      <c r="B10" s="4"/>
      <c r="C10" s="5"/>
      <c r="D10" s="2985">
        <f>D9+1</f>
        <v>4</v>
      </c>
      <c r="E10" s="3964"/>
      <c r="F10" s="1329"/>
      <c r="G10" s="1329"/>
      <c r="H10" s="3965"/>
      <c r="I10" s="3237" t="str">
        <f>IF(ISERR((H10*43560)/J10=TRUE),"",(H10*43560)/J10)</f>
        <v/>
      </c>
      <c r="J10" s="508"/>
      <c r="K10" s="3966"/>
      <c r="L10" s="507"/>
      <c r="M10" s="3967"/>
      <c r="N10" s="792"/>
      <c r="O10" s="3238" t="str">
        <f>IF(ISERROR(N10/J10),"",N10/J10)</f>
        <v/>
      </c>
      <c r="P10" s="5"/>
      <c r="Q10" s="6"/>
    </row>
    <row r="11" spans="1:17" hidden="1" x14ac:dyDescent="0.25">
      <c r="A11" s="957">
        <f>IF(E11="",0,1)</f>
        <v>0</v>
      </c>
      <c r="B11" s="4"/>
      <c r="C11" s="5"/>
      <c r="D11" s="2985">
        <f>D10+1</f>
        <v>5</v>
      </c>
      <c r="E11" s="3239"/>
      <c r="F11" s="3240"/>
      <c r="G11" s="3240"/>
      <c r="H11" s="3241"/>
      <c r="I11" s="3237" t="str">
        <f>IF(ISERR((H11*43560)/J11=TRUE),"",(H11*43560)/J11)</f>
        <v/>
      </c>
      <c r="J11" s="3242"/>
      <c r="K11" s="3243"/>
      <c r="L11" s="3244"/>
      <c r="M11" s="3245"/>
      <c r="N11" s="3246"/>
      <c r="O11" s="3238" t="str">
        <f>IF(ISERROR(N11/J11),"",N11/J11)</f>
        <v/>
      </c>
      <c r="P11" s="5"/>
      <c r="Q11" s="6"/>
    </row>
    <row r="12" spans="1:17" x14ac:dyDescent="0.25">
      <c r="B12" s="4"/>
      <c r="C12" s="5"/>
      <c r="D12" s="1764" t="s">
        <v>117</v>
      </c>
      <c r="E12" s="3247"/>
      <c r="F12" s="3247"/>
      <c r="G12" s="3247"/>
      <c r="H12" s="3248"/>
      <c r="I12" s="1765"/>
      <c r="J12" s="3249" t="e">
        <f t="shared" ref="J12:O12" si="0">MEDIAN(J7:J11)</f>
        <v>#NUM!</v>
      </c>
      <c r="K12" s="3250" t="e">
        <f t="shared" si="0"/>
        <v>#NUM!</v>
      </c>
      <c r="L12" s="3251" t="e">
        <f t="shared" si="0"/>
        <v>#NUM!</v>
      </c>
      <c r="M12" s="3252" t="e">
        <f t="shared" si="0"/>
        <v>#NUM!</v>
      </c>
      <c r="N12" s="3253" t="e">
        <f t="shared" si="0"/>
        <v>#NUM!</v>
      </c>
      <c r="O12" s="1766" t="e">
        <f t="shared" si="0"/>
        <v>#NUM!</v>
      </c>
      <c r="P12" s="5"/>
      <c r="Q12" s="6"/>
    </row>
    <row r="13" spans="1:17" ht="5.0999999999999996" customHeight="1" x14ac:dyDescent="0.25">
      <c r="B13" s="4"/>
      <c r="C13" s="5"/>
      <c r="D13" s="512"/>
      <c r="E13" s="793"/>
      <c r="F13" s="793"/>
      <c r="G13" s="793"/>
      <c r="H13" s="512"/>
      <c r="I13" s="289"/>
      <c r="J13" s="289"/>
      <c r="K13" s="289"/>
      <c r="L13" s="289"/>
      <c r="M13" s="289"/>
      <c r="N13" s="289"/>
      <c r="O13" s="512"/>
      <c r="P13" s="5"/>
      <c r="Q13" s="6"/>
    </row>
    <row r="14" spans="1:17" ht="15" thickBot="1" x14ac:dyDescent="0.3">
      <c r="B14" s="4"/>
      <c r="C14" s="5"/>
      <c r="D14" s="1345" t="s">
        <v>116</v>
      </c>
      <c r="E14" s="794">
        <f>Subject_TaxAccounts</f>
        <v>171928200019</v>
      </c>
      <c r="F14" s="301" t="str">
        <f>Subject_PropertyName</f>
        <v>FRANKLIN INDUSTRIAL GROUP LTD</v>
      </c>
      <c r="G14" s="301" t="str">
        <f>Subject_Address</f>
        <v>4940 Oneida St</v>
      </c>
      <c r="H14" s="729">
        <f>Subject_LandPrimary_UsableAcres</f>
        <v>0.99173553719008267</v>
      </c>
      <c r="I14" s="1346">
        <f>IF(ISERR((H14*43560)/J14=TRUE),"",(H14*43560)/J14)</f>
        <v>0.20649305953883218</v>
      </c>
      <c r="J14" s="730">
        <f>Subject_NRA</f>
        <v>209208</v>
      </c>
      <c r="K14" s="86">
        <f>Subject_Year_Built</f>
        <v>2021</v>
      </c>
      <c r="L14" s="86"/>
      <c r="M14" s="86"/>
      <c r="N14" s="1343">
        <f>'Tax Schedule'!H11</f>
        <v>128215</v>
      </c>
      <c r="O14" s="1344">
        <f>'Tax Schedule'!H12</f>
        <v>0.61285897288822611</v>
      </c>
      <c r="P14" s="5"/>
      <c r="Q14" s="6"/>
    </row>
    <row r="15" spans="1:17" ht="10.15" customHeight="1" x14ac:dyDescent="0.25">
      <c r="B15" s="4"/>
      <c r="C15" s="5"/>
      <c r="D15" s="45"/>
      <c r="E15" s="45"/>
      <c r="F15" s="45"/>
      <c r="G15" s="45"/>
      <c r="H15" s="45"/>
      <c r="I15" s="39"/>
      <c r="J15" s="39"/>
      <c r="K15" s="39"/>
      <c r="L15" s="39"/>
      <c r="M15" s="39"/>
      <c r="N15" s="39"/>
      <c r="O15" s="39"/>
      <c r="P15" s="5"/>
      <c r="Q15" s="6"/>
    </row>
    <row r="16" spans="1:17" ht="15" customHeight="1" thickBot="1" x14ac:dyDescent="0.3">
      <c r="B16" s="8"/>
      <c r="C16" s="7"/>
      <c r="D16" s="554" t="s">
        <v>856</v>
      </c>
      <c r="E16" s="14"/>
      <c r="F16" s="14"/>
      <c r="G16" s="14"/>
      <c r="H16" s="14"/>
      <c r="I16" s="14"/>
      <c r="J16" s="14"/>
      <c r="K16" s="14"/>
      <c r="L16" s="14"/>
      <c r="M16" s="14"/>
      <c r="N16" s="14"/>
      <c r="O16" s="14"/>
      <c r="P16" s="7"/>
      <c r="Q16" s="9"/>
    </row>
    <row r="17" spans="1:15" s="32" customFormat="1" x14ac:dyDescent="0.25">
      <c r="A17" s="96"/>
      <c r="D17" s="96"/>
      <c r="E17" s="96"/>
      <c r="F17" s="957">
        <f>IF(AND(F7="",F8="",F9="",F10="",F11=""),0,1)</f>
        <v>0</v>
      </c>
      <c r="G17" s="957">
        <v>1</v>
      </c>
      <c r="H17" s="957">
        <v>1</v>
      </c>
      <c r="I17" s="957">
        <v>1</v>
      </c>
      <c r="J17" s="957">
        <v>1</v>
      </c>
      <c r="K17" s="957">
        <v>1</v>
      </c>
      <c r="L17" s="957">
        <f>IF(L6="N/A",0,1)</f>
        <v>1</v>
      </c>
      <c r="M17" s="957">
        <f>IF(M6="N/A",0,1)</f>
        <v>1</v>
      </c>
      <c r="N17" s="96"/>
      <c r="O17" s="96"/>
    </row>
  </sheetData>
  <mergeCells count="3">
    <mergeCell ref="N5:O5"/>
    <mergeCell ref="E5:E6"/>
    <mergeCell ref="F5:F6"/>
  </mergeCells>
  <printOptions horizontalCentered="1"/>
  <pageMargins left="0.5" right="0.5" top="0.75" bottom="0.75" header="0.3" footer="0.3"/>
  <pageSetup orientation="landscape" r:id="rId1"/>
  <drawing r:id="rId2"/>
  <legacy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4"/>
    <pageSetUpPr fitToPage="1"/>
  </sheetPr>
  <dimension ref="A1:T96"/>
  <sheetViews>
    <sheetView zoomScaleNormal="100" workbookViewId="0">
      <selection activeCell="D21" sqref="D21"/>
    </sheetView>
  </sheetViews>
  <sheetFormatPr defaultColWidth="9.140625" defaultRowHeight="14.25" x14ac:dyDescent="0.25"/>
  <cols>
    <col min="1" max="1" width="5.7109375" style="11" customWidth="1"/>
    <col min="2" max="2" width="1.7109375" style="54" customWidth="1"/>
    <col min="3" max="3" width="0.85546875" style="42" customWidth="1"/>
    <col min="4" max="4" width="7.7109375" style="42" customWidth="1"/>
    <col min="5" max="5" width="10.5703125" style="810" bestFit="1" customWidth="1"/>
    <col min="6" max="6" width="11.7109375" style="810" bestFit="1" customWidth="1"/>
    <col min="7" max="7" width="8.7109375" style="810" bestFit="1" customWidth="1"/>
    <col min="8" max="8" width="7.42578125" style="810" bestFit="1" customWidth="1"/>
    <col min="9" max="9" width="12" style="810" bestFit="1" customWidth="1"/>
    <col min="10" max="10" width="0.85546875" style="810" customWidth="1"/>
    <col min="11" max="11" width="10.5703125" style="810" bestFit="1" customWidth="1"/>
    <col min="12" max="12" width="11.7109375" style="810" bestFit="1" customWidth="1"/>
    <col min="13" max="13" width="8.5703125" style="810" bestFit="1" customWidth="1"/>
    <col min="14" max="14" width="7.42578125" style="810" bestFit="1" customWidth="1"/>
    <col min="15" max="15" width="10.28515625" style="810" bestFit="1" customWidth="1"/>
    <col min="16" max="16" width="0.85546875" style="42" customWidth="1"/>
    <col min="17" max="19" width="1.7109375" style="42" customWidth="1"/>
    <col min="20" max="20" width="80.7109375" style="42" customWidth="1"/>
    <col min="21" max="16384" width="9.140625" style="42"/>
  </cols>
  <sheetData>
    <row r="1" spans="1:20" ht="60" customHeight="1" x14ac:dyDescent="0.25">
      <c r="O1" s="2289"/>
      <c r="Q1" s="2396"/>
    </row>
    <row r="2" spans="1:20" ht="15" customHeight="1" thickBot="1" x14ac:dyDescent="0.35">
      <c r="B2" s="2376" t="s">
        <v>17915</v>
      </c>
      <c r="C2" s="2376"/>
      <c r="D2" s="2376"/>
      <c r="E2" s="2376"/>
      <c r="F2" s="2376"/>
      <c r="G2" s="2376"/>
      <c r="H2" s="2376"/>
      <c r="I2" s="2290"/>
      <c r="J2" s="2290"/>
      <c r="K2" s="2290"/>
      <c r="L2" s="2290"/>
      <c r="M2" s="2290"/>
      <c r="N2" s="2290"/>
      <c r="O2" s="2290"/>
      <c r="P2" s="17"/>
      <c r="Q2" s="17"/>
      <c r="R2" s="17"/>
      <c r="S2" s="17"/>
      <c r="T2" s="17"/>
    </row>
    <row r="3" spans="1:20" ht="21" customHeight="1" x14ac:dyDescent="0.25">
      <c r="B3" s="2291" t="s">
        <v>953</v>
      </c>
      <c r="C3" s="1077"/>
      <c r="D3" s="1064"/>
      <c r="E3" s="985"/>
      <c r="F3" s="4100" t="s">
        <v>18053</v>
      </c>
      <c r="G3" s="4101"/>
      <c r="H3" s="4102"/>
      <c r="I3" s="2292"/>
      <c r="J3" s="2292"/>
      <c r="K3" s="2292"/>
      <c r="L3" s="2292"/>
      <c r="M3" s="1065"/>
      <c r="N3" s="1065"/>
      <c r="O3" s="1065"/>
    </row>
    <row r="4" spans="1:20" ht="21" customHeight="1" x14ac:dyDescent="0.25">
      <c r="B4" s="2293" t="s">
        <v>952</v>
      </c>
      <c r="C4" s="2294"/>
      <c r="D4" s="2294"/>
      <c r="E4" s="984"/>
      <c r="F4" s="4103" t="s">
        <v>18109</v>
      </c>
      <c r="G4" s="4104"/>
      <c r="H4" s="4105"/>
      <c r="I4" s="2292"/>
      <c r="J4" s="2292"/>
      <c r="K4" s="2292"/>
      <c r="L4" s="2292"/>
      <c r="O4" s="2295"/>
    </row>
    <row r="5" spans="1:20" ht="21" customHeight="1" x14ac:dyDescent="0.25">
      <c r="B5" s="2293" t="s">
        <v>1253</v>
      </c>
      <c r="C5" s="2294"/>
      <c r="D5" s="2294"/>
      <c r="E5" s="1066"/>
      <c r="F5" s="4103" t="s">
        <v>18054</v>
      </c>
      <c r="G5" s="4104"/>
      <c r="H5" s="4105"/>
      <c r="I5" s="1612" t="s">
        <v>1449</v>
      </c>
      <c r="J5" s="161"/>
      <c r="K5" s="161"/>
      <c r="L5" s="161"/>
      <c r="O5" s="2296"/>
    </row>
    <row r="6" spans="1:20" ht="21" customHeight="1" x14ac:dyDescent="0.25">
      <c r="B6" s="2293" t="s">
        <v>954</v>
      </c>
      <c r="C6" s="2294"/>
      <c r="D6" s="2294"/>
      <c r="E6" s="984"/>
      <c r="F6" s="4106" t="s">
        <v>18108</v>
      </c>
      <c r="G6" s="4107"/>
      <c r="H6" s="4108"/>
      <c r="I6" s="1612" t="s">
        <v>1449</v>
      </c>
      <c r="J6" s="161"/>
      <c r="K6" s="161"/>
      <c r="L6" s="161"/>
      <c r="O6" s="2297"/>
    </row>
    <row r="7" spans="1:20" ht="23.1" customHeight="1" thickBot="1" x14ac:dyDescent="0.3">
      <c r="B7" s="2298" t="s">
        <v>18073</v>
      </c>
      <c r="C7" s="1063"/>
      <c r="D7" s="1063"/>
      <c r="E7" s="1067"/>
      <c r="F7" s="2299">
        <v>3</v>
      </c>
      <c r="G7" s="2300"/>
      <c r="H7" s="161" t="s">
        <v>1799</v>
      </c>
      <c r="I7" s="161"/>
      <c r="J7" s="161"/>
      <c r="K7" s="161"/>
      <c r="L7" s="161"/>
      <c r="M7" s="161"/>
      <c r="O7" s="2297"/>
    </row>
    <row r="8" spans="1:20" ht="10.15" customHeight="1" x14ac:dyDescent="0.25"/>
    <row r="9" spans="1:20" ht="16.899999999999999" customHeight="1" x14ac:dyDescent="0.25">
      <c r="B9" s="12"/>
      <c r="C9" s="12"/>
      <c r="D9" s="12"/>
      <c r="E9" s="2173"/>
      <c r="F9" s="2173"/>
      <c r="G9" s="55"/>
      <c r="H9" s="55"/>
      <c r="I9" s="55"/>
      <c r="J9" s="55"/>
      <c r="K9" s="2173"/>
      <c r="L9" s="2173"/>
      <c r="M9" s="55"/>
      <c r="N9" s="55"/>
      <c r="O9" s="55"/>
    </row>
    <row r="10" spans="1:20" ht="30" customHeight="1" thickBot="1" x14ac:dyDescent="0.3">
      <c r="E10" s="1069"/>
      <c r="F10" s="1069"/>
      <c r="G10" s="1068"/>
      <c r="H10" s="1069"/>
      <c r="I10" s="1070"/>
      <c r="K10" s="1069"/>
      <c r="L10" s="1069"/>
      <c r="M10" s="1068"/>
      <c r="N10" s="1069"/>
      <c r="O10" s="1070"/>
    </row>
    <row r="11" spans="1:20" ht="9.9499999999999993" customHeight="1" x14ac:dyDescent="0.25">
      <c r="B11" s="82"/>
      <c r="C11" s="72"/>
      <c r="D11" s="72"/>
      <c r="E11" s="1072"/>
      <c r="F11" s="1072"/>
      <c r="G11" s="1071"/>
      <c r="H11" s="1072"/>
      <c r="I11" s="1073"/>
      <c r="J11" s="813"/>
      <c r="K11" s="1072"/>
      <c r="L11" s="1072"/>
      <c r="M11" s="1071"/>
      <c r="N11" s="1072"/>
      <c r="O11" s="1073"/>
      <c r="P11" s="72"/>
      <c r="Q11" s="73"/>
    </row>
    <row r="12" spans="1:20" ht="16.5" x14ac:dyDescent="0.25">
      <c r="B12" s="80"/>
      <c r="C12" s="18"/>
      <c r="D12" s="505" t="str">
        <f>CONCATENATE(F3," ",PROPER(dpMarketStudy_PropertyType)," Market Statistics")</f>
        <v>Austin MSA Industrial Market Statistics</v>
      </c>
      <c r="E12" s="2301"/>
      <c r="F12" s="2301"/>
      <c r="G12" s="2302"/>
      <c r="H12" s="2301"/>
      <c r="I12" s="2303"/>
      <c r="J12" s="1020"/>
      <c r="K12" s="2301"/>
      <c r="L12" s="2301"/>
      <c r="M12" s="2302"/>
      <c r="N12" s="2301"/>
      <c r="O12" s="2303"/>
      <c r="P12" s="18"/>
      <c r="Q12" s="74"/>
    </row>
    <row r="13" spans="1:20" x14ac:dyDescent="0.25">
      <c r="B13" s="80"/>
      <c r="C13" s="11"/>
      <c r="D13" s="2244"/>
      <c r="E13" s="4097" t="str">
        <f>CONCATENATE(F3," - ",PROPER(dpMarketStudy_PropertyType)," Space")</f>
        <v>Austin MSA - Industrial Space</v>
      </c>
      <c r="F13" s="4097"/>
      <c r="G13" s="4097"/>
      <c r="H13" s="4098"/>
      <c r="I13" s="4097"/>
      <c r="J13" s="2304"/>
      <c r="K13" s="4097" t="str">
        <f>CONCATENATE(F3," - ",PROPER(dpMarketStudy_PropertySubType)," Space")</f>
        <v>Austin MSA - Warehouse Space</v>
      </c>
      <c r="L13" s="4097"/>
      <c r="M13" s="4097"/>
      <c r="N13" s="4098"/>
      <c r="O13" s="4097"/>
      <c r="P13" s="11"/>
      <c r="Q13" s="74"/>
    </row>
    <row r="14" spans="1:20" x14ac:dyDescent="0.25">
      <c r="B14" s="80"/>
      <c r="C14" s="11"/>
      <c r="D14" s="2247"/>
      <c r="E14" s="2305" t="str">
        <f>CoStar_Col1_HeaderA</f>
        <v/>
      </c>
      <c r="F14" s="2305" t="str">
        <f>CoStar_Col2_HeaderA</f>
        <v>Sq. Ft.</v>
      </c>
      <c r="G14" s="2305" t="str">
        <f>CoStar_Col3_HeaderA</f>
        <v>Direct</v>
      </c>
      <c r="H14" s="2306" t="str">
        <f>CoStar_Col4_HeaderA</f>
        <v/>
      </c>
      <c r="I14" s="2307" t="str">
        <f>CoStar_Col5_HeaderA</f>
        <v>Direct</v>
      </c>
      <c r="J14" s="2304"/>
      <c r="K14" s="2305" t="str">
        <f>CoStar_Col1_HeaderA</f>
        <v/>
      </c>
      <c r="L14" s="2305" t="str">
        <f>CoStar_Col2_HeaderA</f>
        <v>Sq. Ft.</v>
      </c>
      <c r="M14" s="2305" t="str">
        <f>CoStar_Col3_HeaderA</f>
        <v>Direct</v>
      </c>
      <c r="N14" s="2306" t="str">
        <f>CoStar_Col4_HeaderA</f>
        <v/>
      </c>
      <c r="O14" s="2307" t="str">
        <f>CoStar_Col5_HeaderA</f>
        <v>Direct</v>
      </c>
      <c r="P14" s="1546"/>
      <c r="Q14" s="2323"/>
      <c r="R14" s="810"/>
    </row>
    <row r="15" spans="1:20" x14ac:dyDescent="0.25">
      <c r="B15" s="80"/>
      <c r="C15" s="11"/>
      <c r="D15" s="2244"/>
      <c r="E15" s="2305" t="str">
        <f>CoStar_Col1_HeaderB</f>
        <v>Inventory</v>
      </c>
      <c r="F15" s="2305" t="str">
        <f>CoStar_Col2_HeaderB</f>
        <v>Under</v>
      </c>
      <c r="G15" s="2305" t="str">
        <f>CoStar_Col3_HeaderB</f>
        <v>Net</v>
      </c>
      <c r="H15" s="2306" t="str">
        <f>CoStar_Col4_HeaderB</f>
        <v>Direct</v>
      </c>
      <c r="I15" s="2307" t="str">
        <f>CoStar_Col5_HeaderB</f>
        <v>NNN</v>
      </c>
      <c r="J15" s="2308"/>
      <c r="K15" s="2305" t="str">
        <f>CoStar_Col1_HeaderB</f>
        <v>Inventory</v>
      </c>
      <c r="L15" s="2305" t="str">
        <f>CoStar_Col2_HeaderB</f>
        <v>Under</v>
      </c>
      <c r="M15" s="2305" t="str">
        <f>CoStar_Col3_HeaderB</f>
        <v>Net</v>
      </c>
      <c r="N15" s="2306" t="str">
        <f>CoStar_Col4_HeaderB</f>
        <v>Direct</v>
      </c>
      <c r="O15" s="2307" t="str">
        <f>CoStar_Col5_HeaderB</f>
        <v>NNN</v>
      </c>
      <c r="P15" s="11"/>
      <c r="Q15" s="74"/>
    </row>
    <row r="16" spans="1:20" x14ac:dyDescent="0.25">
      <c r="B16" s="81"/>
      <c r="C16" s="11"/>
      <c r="D16" s="2246" t="s">
        <v>1120</v>
      </c>
      <c r="E16" s="2305" t="str">
        <f>CoStar_Col1_HeaderC</f>
        <v>Square Feet</v>
      </c>
      <c r="F16" s="2305" t="str">
        <f>CoStar_Col2_HeaderC</f>
        <v>Construction</v>
      </c>
      <c r="G16" s="2305" t="str">
        <f>CoStar_Col3_HeaderC</f>
        <v>Absorb.</v>
      </c>
      <c r="H16" s="2306" t="str">
        <f>CoStar_Col4_HeaderC</f>
        <v>Vacancy</v>
      </c>
      <c r="I16" s="2307" t="str">
        <f>CoStar_Col5_HeaderC</f>
        <v>Rental Rate</v>
      </c>
      <c r="J16" s="2308"/>
      <c r="K16" s="2305" t="str">
        <f>CoStar_Col1_HeaderC</f>
        <v>Square Feet</v>
      </c>
      <c r="L16" s="2305" t="str">
        <f>CoStar_Col2_HeaderC</f>
        <v>Construction</v>
      </c>
      <c r="M16" s="2305" t="str">
        <f>CoStar_Col3_HeaderC</f>
        <v>Absorb.</v>
      </c>
      <c r="N16" s="2306" t="str">
        <f>CoStar_Col4_HeaderC</f>
        <v>Vacancy</v>
      </c>
      <c r="O16" s="2307" t="str">
        <f>CoStar_Col5_HeaderC</f>
        <v>Rental Rate</v>
      </c>
      <c r="P16" s="11"/>
      <c r="Q16" s="74"/>
    </row>
    <row r="17" spans="2:20" x14ac:dyDescent="0.25">
      <c r="B17" s="81">
        <f>CoStar_RowOffset_Master</f>
        <v>3</v>
      </c>
      <c r="C17" s="18"/>
      <c r="D17" s="2309" t="str">
        <f t="shared" ref="D17:D36" si="0">HLOOKUP(CONCATENATE("  ",D$16),CoStar01Array,$B17,FALSE)</f>
        <v>2025 Q2</v>
      </c>
      <c r="E17" s="2310">
        <f t="shared" ref="E17:E36" si="1">HLOOKUP(CoStar_Col1_Selection,CoStar01Array,$B17,FALSE)</f>
        <v>249070546</v>
      </c>
      <c r="F17" s="2310">
        <f t="shared" ref="F17:F36" si="2">HLOOKUP(CoStar_Col2_Selection,CoStar01Array,$B17,FALSE)</f>
        <v>5695447</v>
      </c>
      <c r="G17" s="2310">
        <f t="shared" ref="G17:G36" si="3">HLOOKUP(CoStar_Col3_Selection,CoStar01Array,$B17,FALSE)</f>
        <v>-748981</v>
      </c>
      <c r="H17" s="2311">
        <f t="shared" ref="H17:H36" si="4">HLOOKUP(CoStar_Col4_Selection,CoStar01Array,$B17,FALSE)</f>
        <v>7.1999999999999995E-2</v>
      </c>
      <c r="I17" s="2312">
        <f t="shared" ref="I17:I36" si="5">HLOOKUP(CoStar_Col5_Selection,CoStar01Array,$B17,FALSE)</f>
        <v>10.35</v>
      </c>
      <c r="J17" s="2313" t="str">
        <f>D17</f>
        <v>2025 Q2</v>
      </c>
      <c r="K17" s="2310">
        <f t="shared" ref="K17:K36" si="6">HLOOKUP(CoStar_Col1_Selection,CoStar02Array,$B17,FALSE)</f>
        <v>16060792</v>
      </c>
      <c r="L17" s="2310">
        <f t="shared" ref="L17:L36" si="7">HLOOKUP(CoStar_Col2_Selection,CoStar02Array,$B17,FALSE)</f>
        <v>0</v>
      </c>
      <c r="M17" s="2310">
        <f t="shared" ref="M17:M36" si="8">HLOOKUP(CoStar_Col3_Selection,CoStar02Array,$B17,FALSE)</f>
        <v>176866</v>
      </c>
      <c r="N17" s="2311">
        <f t="shared" ref="N17:N36" si="9">HLOOKUP(CoStar_Col4_Selection,CoStar02Array,$B17,FALSE)</f>
        <v>0.11</v>
      </c>
      <c r="O17" s="2312">
        <f t="shared" ref="O17:O36" si="10">HLOOKUP(CoStar_Col5_Selection,CoStar02Array,$B17,FALSE)</f>
        <v>11.18</v>
      </c>
      <c r="P17" s="18"/>
      <c r="Q17" s="74"/>
    </row>
    <row r="18" spans="2:20" x14ac:dyDescent="0.25">
      <c r="B18" s="81">
        <f>B17+1</f>
        <v>4</v>
      </c>
      <c r="C18" s="18"/>
      <c r="D18" s="2309" t="str">
        <f t="shared" si="0"/>
        <v>2025 Q1</v>
      </c>
      <c r="E18" s="2310">
        <f t="shared" si="1"/>
        <v>248845472</v>
      </c>
      <c r="F18" s="2310">
        <f t="shared" si="2"/>
        <v>6061261</v>
      </c>
      <c r="G18" s="2310">
        <f t="shared" si="3"/>
        <v>115069</v>
      </c>
      <c r="H18" s="2311">
        <f t="shared" si="4"/>
        <v>6.5000000000000002E-2</v>
      </c>
      <c r="I18" s="2312">
        <f t="shared" si="5"/>
        <v>10.8</v>
      </c>
      <c r="J18" s="2313" t="str">
        <f t="shared" ref="J18:J36" si="11">D18</f>
        <v>2025 Q1</v>
      </c>
      <c r="K18" s="2310">
        <f t="shared" si="6"/>
        <v>15716992</v>
      </c>
      <c r="L18" s="2310">
        <f t="shared" si="7"/>
        <v>343800</v>
      </c>
      <c r="M18" s="2310">
        <f t="shared" si="8"/>
        <v>191388</v>
      </c>
      <c r="N18" s="2311">
        <f t="shared" si="9"/>
        <v>9.8000000000000004E-2</v>
      </c>
      <c r="O18" s="2312">
        <f t="shared" si="10"/>
        <v>11.72</v>
      </c>
      <c r="P18" s="18"/>
      <c r="Q18" s="74"/>
    </row>
    <row r="19" spans="2:20" x14ac:dyDescent="0.25">
      <c r="B19" s="81">
        <f t="shared" ref="B19:B31" si="12">B18+1</f>
        <v>5</v>
      </c>
      <c r="C19" s="18"/>
      <c r="D19" s="2309" t="str">
        <f t="shared" si="0"/>
        <v>2024 Q4</v>
      </c>
      <c r="E19" s="2310">
        <f t="shared" si="1"/>
        <v>248492117</v>
      </c>
      <c r="F19" s="2310">
        <f t="shared" si="2"/>
        <v>5176364</v>
      </c>
      <c r="G19" s="2310">
        <f t="shared" si="3"/>
        <v>631929</v>
      </c>
      <c r="H19" s="2311">
        <f t="shared" si="4"/>
        <v>6.6000000000000003E-2</v>
      </c>
      <c r="I19" s="2312">
        <f t="shared" si="5"/>
        <v>10.78</v>
      </c>
      <c r="J19" s="2313" t="str">
        <f t="shared" si="11"/>
        <v>2024 Q4</v>
      </c>
      <c r="K19" s="2310">
        <f t="shared" si="6"/>
        <v>15716992</v>
      </c>
      <c r="L19" s="2310">
        <f t="shared" si="7"/>
        <v>343800</v>
      </c>
      <c r="M19" s="2310">
        <f t="shared" si="8"/>
        <v>11297</v>
      </c>
      <c r="N19" s="2311">
        <f t="shared" si="9"/>
        <v>0.11</v>
      </c>
      <c r="O19" s="2312">
        <f t="shared" si="10"/>
        <v>12.04</v>
      </c>
      <c r="P19" s="18"/>
      <c r="Q19" s="74"/>
    </row>
    <row r="20" spans="2:20" x14ac:dyDescent="0.25">
      <c r="B20" s="81">
        <f t="shared" si="12"/>
        <v>6</v>
      </c>
      <c r="C20" s="18"/>
      <c r="D20" s="2309" t="str">
        <f t="shared" si="0"/>
        <v>2024 Q3</v>
      </c>
      <c r="E20" s="2310">
        <f t="shared" si="1"/>
        <v>246890277</v>
      </c>
      <c r="F20" s="2310">
        <f t="shared" si="2"/>
        <v>5616929</v>
      </c>
      <c r="G20" s="2310">
        <f t="shared" si="3"/>
        <v>2002893</v>
      </c>
      <c r="H20" s="2311">
        <f t="shared" si="4"/>
        <v>6.3E-2</v>
      </c>
      <c r="I20" s="2312">
        <f t="shared" si="5"/>
        <v>10.68</v>
      </c>
      <c r="J20" s="2313" t="str">
        <f t="shared" si="11"/>
        <v>2024 Q3</v>
      </c>
      <c r="K20" s="2310">
        <f t="shared" si="6"/>
        <v>15716992</v>
      </c>
      <c r="L20" s="2310">
        <f t="shared" si="7"/>
        <v>0</v>
      </c>
      <c r="M20" s="2310">
        <f t="shared" si="8"/>
        <v>-50570</v>
      </c>
      <c r="N20" s="2311">
        <f t="shared" si="9"/>
        <v>0.113</v>
      </c>
      <c r="O20" s="2312">
        <f t="shared" si="10"/>
        <v>11.79</v>
      </c>
      <c r="P20" s="18"/>
      <c r="Q20" s="74"/>
    </row>
    <row r="21" spans="2:20" ht="21.95" customHeight="1" x14ac:dyDescent="0.25">
      <c r="B21" s="81">
        <f>B20+1</f>
        <v>7</v>
      </c>
      <c r="C21" s="18"/>
      <c r="D21" s="2309" t="str">
        <f t="shared" si="0"/>
        <v>2024 Q2</v>
      </c>
      <c r="E21" s="2310">
        <f t="shared" si="1"/>
        <v>245830834</v>
      </c>
      <c r="F21" s="2310">
        <f t="shared" si="2"/>
        <v>5867210</v>
      </c>
      <c r="G21" s="2310">
        <f t="shared" si="3"/>
        <v>795628</v>
      </c>
      <c r="H21" s="2311">
        <f t="shared" si="4"/>
        <v>6.7000000000000004E-2</v>
      </c>
      <c r="I21" s="2312">
        <f t="shared" si="5"/>
        <v>11.04</v>
      </c>
      <c r="J21" s="2313" t="str">
        <f t="shared" si="11"/>
        <v>2024 Q2</v>
      </c>
      <c r="K21" s="2310">
        <f t="shared" si="6"/>
        <v>14899690</v>
      </c>
      <c r="L21" s="2310">
        <f t="shared" si="7"/>
        <v>817302</v>
      </c>
      <c r="M21" s="2310">
        <f t="shared" si="8"/>
        <v>-45477</v>
      </c>
      <c r="N21" s="2311">
        <f t="shared" si="9"/>
        <v>6.2E-2</v>
      </c>
      <c r="O21" s="2312">
        <f t="shared" si="10"/>
        <v>11.5</v>
      </c>
      <c r="P21" s="18"/>
      <c r="Q21" s="74"/>
    </row>
    <row r="22" spans="2:20" x14ac:dyDescent="0.25">
      <c r="B22" s="81">
        <f t="shared" si="12"/>
        <v>8</v>
      </c>
      <c r="C22" s="18"/>
      <c r="D22" s="2309" t="str">
        <f t="shared" si="0"/>
        <v>2024 Q1</v>
      </c>
      <c r="E22" s="2310">
        <f t="shared" si="1"/>
        <v>245054673</v>
      </c>
      <c r="F22" s="2310">
        <f t="shared" si="2"/>
        <v>6339992</v>
      </c>
      <c r="G22" s="2310">
        <f t="shared" si="3"/>
        <v>1507526</v>
      </c>
      <c r="H22" s="2311">
        <f t="shared" si="4"/>
        <v>6.0999999999999999E-2</v>
      </c>
      <c r="I22" s="2312">
        <f t="shared" si="5"/>
        <v>10.96</v>
      </c>
      <c r="J22" s="2313" t="str">
        <f t="shared" si="11"/>
        <v>2024 Q1</v>
      </c>
      <c r="K22" s="2310">
        <f t="shared" si="6"/>
        <v>14899690</v>
      </c>
      <c r="L22" s="2310">
        <f t="shared" si="7"/>
        <v>817302</v>
      </c>
      <c r="M22" s="2310">
        <f t="shared" si="8"/>
        <v>-91563</v>
      </c>
      <c r="N22" s="2311">
        <f t="shared" si="9"/>
        <v>6.7000000000000004E-2</v>
      </c>
      <c r="O22" s="2312">
        <f t="shared" si="10"/>
        <v>10.87</v>
      </c>
      <c r="P22" s="18"/>
      <c r="Q22" s="74"/>
    </row>
    <row r="23" spans="2:20" x14ac:dyDescent="0.25">
      <c r="B23" s="81">
        <f t="shared" si="12"/>
        <v>9</v>
      </c>
      <c r="C23" s="18"/>
      <c r="D23" s="2309" t="str">
        <f t="shared" si="0"/>
        <v>2023 Q4</v>
      </c>
      <c r="E23" s="2310">
        <f t="shared" si="1"/>
        <v>243567716</v>
      </c>
      <c r="F23" s="2310">
        <f t="shared" si="2"/>
        <v>7798465</v>
      </c>
      <c r="G23" s="2310">
        <f t="shared" si="3"/>
        <v>1925697</v>
      </c>
      <c r="H23" s="2311">
        <f t="shared" si="4"/>
        <v>6.4000000000000001E-2</v>
      </c>
      <c r="I23" s="2312">
        <f t="shared" si="5"/>
        <v>10.66</v>
      </c>
      <c r="J23" s="2313" t="str">
        <f t="shared" si="11"/>
        <v>2023 Q4</v>
      </c>
      <c r="K23" s="2310">
        <f t="shared" si="6"/>
        <v>14899690</v>
      </c>
      <c r="L23" s="2310">
        <f t="shared" si="7"/>
        <v>786242</v>
      </c>
      <c r="M23" s="2310">
        <f t="shared" si="8"/>
        <v>86799</v>
      </c>
      <c r="N23" s="2311">
        <f t="shared" si="9"/>
        <v>6.3E-2</v>
      </c>
      <c r="O23" s="2312">
        <f t="shared" si="10"/>
        <v>11.25</v>
      </c>
      <c r="P23" s="18"/>
      <c r="Q23" s="74"/>
    </row>
    <row r="24" spans="2:20" x14ac:dyDescent="0.25">
      <c r="B24" s="81">
        <f t="shared" si="12"/>
        <v>10</v>
      </c>
      <c r="C24" s="18"/>
      <c r="D24" s="2309" t="str">
        <f t="shared" si="0"/>
        <v>2023 Q3</v>
      </c>
      <c r="E24" s="2310">
        <f t="shared" si="1"/>
        <v>239117048</v>
      </c>
      <c r="F24" s="2310">
        <f t="shared" si="2"/>
        <v>9940263</v>
      </c>
      <c r="G24" s="2310">
        <f t="shared" si="3"/>
        <v>138301</v>
      </c>
      <c r="H24" s="2311">
        <f t="shared" si="4"/>
        <v>5.2999999999999999E-2</v>
      </c>
      <c r="I24" s="2312">
        <f t="shared" si="5"/>
        <v>10.89</v>
      </c>
      <c r="J24" s="2313" t="str">
        <f t="shared" si="11"/>
        <v>2023 Q3</v>
      </c>
      <c r="K24" s="2310">
        <f t="shared" si="6"/>
        <v>14899690</v>
      </c>
      <c r="L24" s="2310">
        <f t="shared" si="7"/>
        <v>434213</v>
      </c>
      <c r="M24" s="2310">
        <f t="shared" si="8"/>
        <v>93722</v>
      </c>
      <c r="N24" s="2311">
        <f t="shared" si="9"/>
        <v>6.0999999999999999E-2</v>
      </c>
      <c r="O24" s="2312">
        <f t="shared" si="10"/>
        <v>10.87</v>
      </c>
      <c r="P24" s="18"/>
      <c r="Q24" s="74"/>
    </row>
    <row r="25" spans="2:20" ht="21.95" customHeight="1" x14ac:dyDescent="0.25">
      <c r="B25" s="81">
        <f>B24+1</f>
        <v>11</v>
      </c>
      <c r="C25" s="18"/>
      <c r="D25" s="2309" t="str">
        <f t="shared" si="0"/>
        <v>2023 Q2</v>
      </c>
      <c r="E25" s="2310">
        <f t="shared" si="1"/>
        <v>238002369</v>
      </c>
      <c r="F25" s="2310">
        <f t="shared" si="2"/>
        <v>10055035</v>
      </c>
      <c r="G25" s="2310">
        <f t="shared" si="3"/>
        <v>1208232</v>
      </c>
      <c r="H25" s="2311">
        <f t="shared" si="4"/>
        <v>4.9000000000000002E-2</v>
      </c>
      <c r="I25" s="2312">
        <f t="shared" si="5"/>
        <v>10.16</v>
      </c>
      <c r="J25" s="2313" t="str">
        <f t="shared" si="11"/>
        <v>2023 Q2</v>
      </c>
      <c r="K25" s="2310">
        <f t="shared" si="6"/>
        <v>14899690</v>
      </c>
      <c r="L25" s="2310">
        <f t="shared" si="7"/>
        <v>201329</v>
      </c>
      <c r="M25" s="2310">
        <f t="shared" si="8"/>
        <v>34355</v>
      </c>
      <c r="N25" s="2311">
        <f t="shared" si="9"/>
        <v>6.4000000000000001E-2</v>
      </c>
      <c r="O25" s="2312">
        <f t="shared" si="10"/>
        <v>10.89</v>
      </c>
      <c r="P25" s="18"/>
      <c r="Q25" s="74"/>
    </row>
    <row r="26" spans="2:20" x14ac:dyDescent="0.25">
      <c r="B26" s="81">
        <f t="shared" si="12"/>
        <v>12</v>
      </c>
      <c r="C26" s="18"/>
      <c r="D26" s="2309" t="str">
        <f t="shared" si="0"/>
        <v>2023 Q1</v>
      </c>
      <c r="E26" s="2310">
        <f t="shared" si="1"/>
        <v>236908609</v>
      </c>
      <c r="F26" s="2310">
        <f t="shared" si="2"/>
        <v>10779144</v>
      </c>
      <c r="G26" s="2310">
        <f t="shared" si="3"/>
        <v>110597</v>
      </c>
      <c r="H26" s="2311">
        <f t="shared" si="4"/>
        <v>5.2999999999999999E-2</v>
      </c>
      <c r="I26" s="2312">
        <f t="shared" si="5"/>
        <v>9.59</v>
      </c>
      <c r="J26" s="2313" t="str">
        <f t="shared" si="11"/>
        <v>2023 Q1</v>
      </c>
      <c r="K26" s="2310">
        <f t="shared" si="6"/>
        <v>14607705</v>
      </c>
      <c r="L26" s="2310">
        <f t="shared" si="7"/>
        <v>493314</v>
      </c>
      <c r="M26" s="2310">
        <f t="shared" si="8"/>
        <v>150395</v>
      </c>
      <c r="N26" s="2311">
        <f t="shared" si="9"/>
        <v>5.8000000000000003E-2</v>
      </c>
      <c r="O26" s="2312">
        <f t="shared" si="10"/>
        <v>10.8</v>
      </c>
      <c r="P26" s="18"/>
      <c r="Q26" s="74"/>
    </row>
    <row r="27" spans="2:20" x14ac:dyDescent="0.25">
      <c r="B27" s="81">
        <f t="shared" si="12"/>
        <v>13</v>
      </c>
      <c r="C27" s="18"/>
      <c r="D27" s="2309" t="str">
        <f t="shared" si="0"/>
        <v>2022 Q4</v>
      </c>
      <c r="E27" s="2310">
        <f t="shared" si="1"/>
        <v>235226049</v>
      </c>
      <c r="F27" s="2310">
        <f t="shared" si="2"/>
        <v>8682688</v>
      </c>
      <c r="G27" s="2310">
        <f t="shared" si="3"/>
        <v>931769</v>
      </c>
      <c r="H27" s="2311">
        <f t="shared" si="4"/>
        <v>4.4999999999999998E-2</v>
      </c>
      <c r="I27" s="2312">
        <f t="shared" si="5"/>
        <v>9.2899999999999991</v>
      </c>
      <c r="J27" s="2313" t="str">
        <f t="shared" si="11"/>
        <v>2022 Q4</v>
      </c>
      <c r="K27" s="2310">
        <f t="shared" si="6"/>
        <v>14607705</v>
      </c>
      <c r="L27" s="2310">
        <f t="shared" si="7"/>
        <v>493314</v>
      </c>
      <c r="M27" s="2310">
        <f t="shared" si="8"/>
        <v>170552</v>
      </c>
      <c r="N27" s="2311">
        <f t="shared" si="9"/>
        <v>6.4000000000000001E-2</v>
      </c>
      <c r="O27" s="2312">
        <f t="shared" si="10"/>
        <v>10.74</v>
      </c>
      <c r="P27" s="18"/>
      <c r="Q27" s="74"/>
    </row>
    <row r="28" spans="2:20" x14ac:dyDescent="0.25">
      <c r="B28" s="81">
        <f t="shared" si="12"/>
        <v>14</v>
      </c>
      <c r="C28" s="18"/>
      <c r="D28" s="2309" t="str">
        <f t="shared" si="0"/>
        <v>2022 Q3</v>
      </c>
      <c r="E28" s="2310">
        <f t="shared" si="1"/>
        <v>233793046</v>
      </c>
      <c r="F28" s="2310">
        <f t="shared" si="2"/>
        <v>8590915</v>
      </c>
      <c r="G28" s="2310">
        <f t="shared" si="3"/>
        <v>2398873</v>
      </c>
      <c r="H28" s="2311">
        <f t="shared" si="4"/>
        <v>4.2000000000000003E-2</v>
      </c>
      <c r="I28" s="2312">
        <f t="shared" si="5"/>
        <v>9.42</v>
      </c>
      <c r="J28" s="2313" t="str">
        <f t="shared" si="11"/>
        <v>2022 Q3</v>
      </c>
      <c r="K28" s="2310">
        <f t="shared" si="6"/>
        <v>14476535</v>
      </c>
      <c r="L28" s="2310">
        <f t="shared" si="7"/>
        <v>415155</v>
      </c>
      <c r="M28" s="2310">
        <f t="shared" si="8"/>
        <v>290864</v>
      </c>
      <c r="N28" s="2311">
        <f t="shared" si="9"/>
        <v>5.8000000000000003E-2</v>
      </c>
      <c r="O28" s="2312">
        <f t="shared" si="10"/>
        <v>10.72</v>
      </c>
      <c r="P28" s="18"/>
      <c r="Q28" s="74"/>
    </row>
    <row r="29" spans="2:20" ht="21.95" customHeight="1" x14ac:dyDescent="0.25">
      <c r="B29" s="81">
        <f>B28+1</f>
        <v>15</v>
      </c>
      <c r="C29" s="18"/>
      <c r="D29" s="2309" t="str">
        <f t="shared" si="0"/>
        <v>2022 Q2</v>
      </c>
      <c r="E29" s="2310">
        <f t="shared" si="1"/>
        <v>229774702</v>
      </c>
      <c r="F29" s="2310">
        <f t="shared" si="2"/>
        <v>9647678</v>
      </c>
      <c r="G29" s="2310">
        <f t="shared" si="3"/>
        <v>2834196</v>
      </c>
      <c r="H29" s="2311">
        <f t="shared" si="4"/>
        <v>3.6999999999999998E-2</v>
      </c>
      <c r="I29" s="2312">
        <f t="shared" si="5"/>
        <v>9.1300000000000008</v>
      </c>
      <c r="J29" s="2313" t="str">
        <f t="shared" si="11"/>
        <v>2022 Q2</v>
      </c>
      <c r="K29" s="2310">
        <f t="shared" si="6"/>
        <v>13802492</v>
      </c>
      <c r="L29" s="2310">
        <f t="shared" si="7"/>
        <v>1018239</v>
      </c>
      <c r="M29" s="2310">
        <f t="shared" si="8"/>
        <v>8732</v>
      </c>
      <c r="N29" s="2311">
        <f t="shared" si="9"/>
        <v>4.1000000000000002E-2</v>
      </c>
      <c r="O29" s="2312">
        <f t="shared" si="10"/>
        <v>10.210000000000001</v>
      </c>
      <c r="P29" s="18"/>
      <c r="Q29" s="74"/>
      <c r="T29" s="569"/>
    </row>
    <row r="30" spans="2:20" x14ac:dyDescent="0.25">
      <c r="B30" s="81">
        <f t="shared" si="12"/>
        <v>16</v>
      </c>
      <c r="C30" s="18"/>
      <c r="D30" s="2309" t="str">
        <f t="shared" si="0"/>
        <v>2022 Q1</v>
      </c>
      <c r="E30" s="2310">
        <f t="shared" si="1"/>
        <v>227866790</v>
      </c>
      <c r="F30" s="2310">
        <f t="shared" si="2"/>
        <v>8820239</v>
      </c>
      <c r="G30" s="2310">
        <f t="shared" si="3"/>
        <v>-808283</v>
      </c>
      <c r="H30" s="2311">
        <f t="shared" si="4"/>
        <v>4.1000000000000002E-2</v>
      </c>
      <c r="I30" s="2312">
        <f t="shared" si="5"/>
        <v>9.35</v>
      </c>
      <c r="J30" s="2313" t="str">
        <f t="shared" si="11"/>
        <v>2022 Q1</v>
      </c>
      <c r="K30" s="2310">
        <f t="shared" si="6"/>
        <v>13660292</v>
      </c>
      <c r="L30" s="2310">
        <f t="shared" si="7"/>
        <v>1160439</v>
      </c>
      <c r="M30" s="2310">
        <f t="shared" si="8"/>
        <v>187362</v>
      </c>
      <c r="N30" s="2311">
        <f t="shared" si="9"/>
        <v>3.6999999999999998E-2</v>
      </c>
      <c r="O30" s="2312">
        <f t="shared" si="10"/>
        <v>10.119999999999999</v>
      </c>
      <c r="P30" s="18"/>
      <c r="Q30" s="74"/>
    </row>
    <row r="31" spans="2:20" x14ac:dyDescent="0.25">
      <c r="B31" s="81">
        <f t="shared" si="12"/>
        <v>17</v>
      </c>
      <c r="C31" s="18"/>
      <c r="D31" s="2309" t="str">
        <f t="shared" si="0"/>
        <v>2021 Q4</v>
      </c>
      <c r="E31" s="2310">
        <f t="shared" si="1"/>
        <v>227212899</v>
      </c>
      <c r="F31" s="2310">
        <f t="shared" si="2"/>
        <v>8222445</v>
      </c>
      <c r="G31" s="2310">
        <f t="shared" si="3"/>
        <v>5471103</v>
      </c>
      <c r="H31" s="2311">
        <f t="shared" si="4"/>
        <v>0.04</v>
      </c>
      <c r="I31" s="2312">
        <f t="shared" si="5"/>
        <v>9.0500000000000007</v>
      </c>
      <c r="J31" s="2313" t="str">
        <f t="shared" si="11"/>
        <v>2021 Q4</v>
      </c>
      <c r="K31" s="2310">
        <f t="shared" si="6"/>
        <v>13660292</v>
      </c>
      <c r="L31" s="2310">
        <f t="shared" si="7"/>
        <v>895530</v>
      </c>
      <c r="M31" s="2310">
        <f t="shared" si="8"/>
        <v>444059</v>
      </c>
      <c r="N31" s="2311">
        <f t="shared" si="9"/>
        <v>3.7999999999999999E-2</v>
      </c>
      <c r="O31" s="2312">
        <f t="shared" si="10"/>
        <v>10.08</v>
      </c>
      <c r="P31" s="18"/>
      <c r="Q31" s="74"/>
    </row>
    <row r="32" spans="2:20" x14ac:dyDescent="0.25">
      <c r="B32" s="81">
        <f>B31+1</f>
        <v>18</v>
      </c>
      <c r="C32" s="18"/>
      <c r="D32" s="2309" t="str">
        <f t="shared" si="0"/>
        <v>2021 Q3</v>
      </c>
      <c r="E32" s="2310">
        <f t="shared" si="1"/>
        <v>223497900</v>
      </c>
      <c r="F32" s="2310">
        <f t="shared" si="2"/>
        <v>9835132</v>
      </c>
      <c r="G32" s="2310">
        <f t="shared" si="3"/>
        <v>1866424</v>
      </c>
      <c r="H32" s="2311">
        <f t="shared" si="4"/>
        <v>4.4999999999999998E-2</v>
      </c>
      <c r="I32" s="2312">
        <f t="shared" si="5"/>
        <v>8.7200000000000006</v>
      </c>
      <c r="J32" s="2313" t="str">
        <f t="shared" si="11"/>
        <v>2021 Q3</v>
      </c>
      <c r="K32" s="2310">
        <f t="shared" si="6"/>
        <v>13376792</v>
      </c>
      <c r="L32" s="2310">
        <f t="shared" si="7"/>
        <v>1036030</v>
      </c>
      <c r="M32" s="2310">
        <f t="shared" si="8"/>
        <v>401612</v>
      </c>
      <c r="N32" s="2311">
        <f t="shared" si="9"/>
        <v>5.1999999999999998E-2</v>
      </c>
      <c r="O32" s="2312">
        <f t="shared" si="10"/>
        <v>10.23</v>
      </c>
      <c r="P32" s="18"/>
      <c r="Q32" s="74"/>
    </row>
    <row r="33" spans="2:17" ht="21.95" customHeight="1" x14ac:dyDescent="0.25">
      <c r="B33" s="81">
        <f>B32+1</f>
        <v>19</v>
      </c>
      <c r="C33" s="18"/>
      <c r="D33" s="2309" t="str">
        <f t="shared" si="0"/>
        <v>2021 Q2</v>
      </c>
      <c r="E33" s="2310">
        <f t="shared" si="1"/>
        <v>222253785</v>
      </c>
      <c r="F33" s="2310">
        <f t="shared" si="2"/>
        <v>8990880</v>
      </c>
      <c r="G33" s="2310">
        <f t="shared" si="3"/>
        <v>1007196</v>
      </c>
      <c r="H33" s="2311">
        <f t="shared" si="4"/>
        <v>4.9000000000000002E-2</v>
      </c>
      <c r="I33" s="2312">
        <f t="shared" si="5"/>
        <v>8.67</v>
      </c>
      <c r="J33" s="2313" t="str">
        <f t="shared" si="11"/>
        <v>2021 Q2</v>
      </c>
      <c r="K33" s="2310">
        <f t="shared" si="6"/>
        <v>12692490</v>
      </c>
      <c r="L33" s="2310">
        <f t="shared" si="7"/>
        <v>1249202</v>
      </c>
      <c r="M33" s="2310">
        <f t="shared" si="8"/>
        <v>167299</v>
      </c>
      <c r="N33" s="2311">
        <f t="shared" si="9"/>
        <v>5.7000000000000002E-2</v>
      </c>
      <c r="O33" s="2312">
        <f t="shared" si="10"/>
        <v>10.01</v>
      </c>
      <c r="P33" s="18"/>
      <c r="Q33" s="74"/>
    </row>
    <row r="34" spans="2:17" x14ac:dyDescent="0.25">
      <c r="B34" s="81">
        <f>B33+1</f>
        <v>20</v>
      </c>
      <c r="C34" s="18"/>
      <c r="D34" s="2309" t="str">
        <f t="shared" si="0"/>
        <v>2021 Q1</v>
      </c>
      <c r="E34" s="2310">
        <f t="shared" si="1"/>
        <v>220232457</v>
      </c>
      <c r="F34" s="2310">
        <f t="shared" si="2"/>
        <v>8526862</v>
      </c>
      <c r="G34" s="2310">
        <f t="shared" si="3"/>
        <v>138029</v>
      </c>
      <c r="H34" s="2311">
        <f t="shared" si="4"/>
        <v>4.5999999999999999E-2</v>
      </c>
      <c r="I34" s="2312">
        <f t="shared" si="5"/>
        <v>8.6999999999999993</v>
      </c>
      <c r="J34" s="2313" t="str">
        <f t="shared" si="11"/>
        <v>2021 Q1</v>
      </c>
      <c r="K34" s="2310">
        <f t="shared" si="6"/>
        <v>12482611</v>
      </c>
      <c r="L34" s="2310">
        <f t="shared" si="7"/>
        <v>1319881</v>
      </c>
      <c r="M34" s="2310">
        <f t="shared" si="8"/>
        <v>22034</v>
      </c>
      <c r="N34" s="2311">
        <f t="shared" si="9"/>
        <v>5.0999999999999997E-2</v>
      </c>
      <c r="O34" s="2312">
        <f t="shared" si="10"/>
        <v>9.83</v>
      </c>
      <c r="P34" s="18"/>
      <c r="Q34" s="74"/>
    </row>
    <row r="35" spans="2:17" x14ac:dyDescent="0.25">
      <c r="B35" s="81">
        <f>B34+1</f>
        <v>21</v>
      </c>
      <c r="C35" s="18"/>
      <c r="D35" s="2309" t="str">
        <f t="shared" si="0"/>
        <v>2020 Q4</v>
      </c>
      <c r="E35" s="2310">
        <f t="shared" si="1"/>
        <v>219006636</v>
      </c>
      <c r="F35" s="2310">
        <f t="shared" si="2"/>
        <v>7933291</v>
      </c>
      <c r="G35" s="2310">
        <f t="shared" si="3"/>
        <v>1110951</v>
      </c>
      <c r="H35" s="2311">
        <f t="shared" si="4"/>
        <v>4.4999999999999998E-2</v>
      </c>
      <c r="I35" s="2312">
        <f t="shared" si="5"/>
        <v>8.57</v>
      </c>
      <c r="J35" s="2313" t="str">
        <f t="shared" si="11"/>
        <v>2020 Q4</v>
      </c>
      <c r="K35" s="2310">
        <f t="shared" si="6"/>
        <v>12390671</v>
      </c>
      <c r="L35" s="2310">
        <f t="shared" si="7"/>
        <v>1334781</v>
      </c>
      <c r="M35" s="2310">
        <f t="shared" si="8"/>
        <v>-52826</v>
      </c>
      <c r="N35" s="2311">
        <f t="shared" si="9"/>
        <v>4.2000000000000003E-2</v>
      </c>
      <c r="O35" s="2312">
        <f t="shared" si="10"/>
        <v>9.91</v>
      </c>
      <c r="P35" s="18"/>
      <c r="Q35" s="74"/>
    </row>
    <row r="36" spans="2:17" ht="15" thickBot="1" x14ac:dyDescent="0.3">
      <c r="B36" s="81">
        <f>B35+1</f>
        <v>22</v>
      </c>
      <c r="C36" s="18"/>
      <c r="D36" s="2314" t="str">
        <f t="shared" si="0"/>
        <v>2020 Q3</v>
      </c>
      <c r="E36" s="2174">
        <f t="shared" si="1"/>
        <v>217335284</v>
      </c>
      <c r="F36" s="2174">
        <f t="shared" si="2"/>
        <v>7751285</v>
      </c>
      <c r="G36" s="2174">
        <f t="shared" si="3"/>
        <v>588018</v>
      </c>
      <c r="H36" s="2195">
        <f t="shared" si="4"/>
        <v>4.3999999999999997E-2</v>
      </c>
      <c r="I36" s="2176">
        <f t="shared" si="5"/>
        <v>8.58</v>
      </c>
      <c r="J36" s="2175" t="str">
        <f t="shared" si="11"/>
        <v>2020 Q3</v>
      </c>
      <c r="K36" s="2174">
        <f t="shared" si="6"/>
        <v>12308235</v>
      </c>
      <c r="L36" s="2174">
        <f t="shared" si="7"/>
        <v>1164817</v>
      </c>
      <c r="M36" s="2174">
        <f t="shared" si="8"/>
        <v>58272</v>
      </c>
      <c r="N36" s="2195">
        <f t="shared" si="9"/>
        <v>3.7999999999999999E-2</v>
      </c>
      <c r="O36" s="2176">
        <f t="shared" si="10"/>
        <v>9.8699999999999992</v>
      </c>
      <c r="P36" s="18"/>
      <c r="Q36" s="74"/>
    </row>
    <row r="37" spans="2:17" x14ac:dyDescent="0.25">
      <c r="B37" s="80"/>
      <c r="C37" s="18"/>
      <c r="D37" s="2315" t="s">
        <v>153</v>
      </c>
      <c r="E37" s="2302"/>
      <c r="F37" s="2302"/>
      <c r="G37" s="2302"/>
      <c r="H37" s="2301"/>
      <c r="I37" s="2316"/>
      <c r="J37" s="1020"/>
      <c r="K37" s="2302"/>
      <c r="L37" s="2302"/>
      <c r="M37" s="2302"/>
      <c r="N37" s="2301"/>
      <c r="O37" s="2316"/>
      <c r="P37" s="18"/>
      <c r="Q37" s="74"/>
    </row>
    <row r="38" spans="2:17" ht="19.899999999999999" customHeight="1" thickBot="1" x14ac:dyDescent="0.3">
      <c r="B38" s="83"/>
      <c r="C38" s="75"/>
      <c r="D38" s="553" t="s">
        <v>857</v>
      </c>
      <c r="E38" s="1075"/>
      <c r="F38" s="1075"/>
      <c r="G38" s="1075"/>
      <c r="H38" s="1076"/>
      <c r="I38" s="2177"/>
      <c r="J38" s="836"/>
      <c r="K38" s="1075"/>
      <c r="L38" s="1075"/>
      <c r="M38" s="1075"/>
      <c r="N38" s="1076"/>
      <c r="O38" s="2177"/>
      <c r="P38" s="75"/>
      <c r="Q38" s="76"/>
    </row>
    <row r="39" spans="2:17" ht="19.899999999999999" customHeight="1" thickBot="1" x14ac:dyDescent="0.3">
      <c r="E39" s="1068"/>
      <c r="F39" s="1068"/>
      <c r="G39" s="1068"/>
      <c r="H39" s="1069"/>
      <c r="I39" s="2178"/>
      <c r="K39" s="1068"/>
      <c r="L39" s="1068"/>
      <c r="M39" s="1068"/>
      <c r="N39" s="1069"/>
      <c r="O39" s="2178"/>
    </row>
    <row r="40" spans="2:17" ht="9.9499999999999993" customHeight="1" x14ac:dyDescent="0.25">
      <c r="B40" s="82"/>
      <c r="C40" s="72"/>
      <c r="D40" s="72"/>
      <c r="E40" s="1071"/>
      <c r="F40" s="1071"/>
      <c r="G40" s="1071"/>
      <c r="H40" s="1072"/>
      <c r="I40" s="2179"/>
      <c r="J40" s="813"/>
      <c r="K40" s="1071"/>
      <c r="L40" s="1071"/>
      <c r="M40" s="1071"/>
      <c r="N40" s="1072"/>
      <c r="O40" s="2179"/>
      <c r="P40" s="72"/>
      <c r="Q40" s="73"/>
    </row>
    <row r="41" spans="2:17" ht="16.5" x14ac:dyDescent="0.25">
      <c r="B41" s="80"/>
      <c r="C41" s="18"/>
      <c r="D41" s="505" t="str">
        <f>CONCATENATE(F4," ",PROPER(dpMarketStudy_PropertyType)," Submarket Statistics")</f>
        <v>East Austin Submarket Industrial Submarket Statistics</v>
      </c>
      <c r="E41" s="2302"/>
      <c r="F41" s="2302"/>
      <c r="G41" s="2302"/>
      <c r="H41" s="2301"/>
      <c r="I41" s="2316"/>
      <c r="J41" s="1020"/>
      <c r="K41" s="2302"/>
      <c r="L41" s="2302"/>
      <c r="M41" s="2302"/>
      <c r="N41" s="2301"/>
      <c r="O41" s="2316"/>
      <c r="P41" s="18"/>
      <c r="Q41" s="74"/>
    </row>
    <row r="42" spans="2:17" x14ac:dyDescent="0.25">
      <c r="B42" s="80"/>
      <c r="D42" s="569"/>
      <c r="E42" s="4097" t="str">
        <f>CONCATENATE(F4," - ",PROPER(dpMarketStudy_PropertyType)," Space")</f>
        <v>East Austin Submarket - Industrial Space</v>
      </c>
      <c r="F42" s="4097"/>
      <c r="G42" s="4097"/>
      <c r="H42" s="4098"/>
      <c r="I42" s="4099"/>
      <c r="J42" s="1020"/>
      <c r="K42" s="4097" t="str">
        <f>CONCATENATE(F4," - ",PROPER(dpMarketStudy_PropertySubType)," Space")</f>
        <v>East Austin Submarket - Warehouse Space</v>
      </c>
      <c r="L42" s="4097"/>
      <c r="M42" s="4097"/>
      <c r="N42" s="4098"/>
      <c r="O42" s="4099"/>
      <c r="P42" s="12"/>
      <c r="Q42" s="74"/>
    </row>
    <row r="43" spans="2:17" x14ac:dyDescent="0.25">
      <c r="B43" s="80"/>
      <c r="D43" s="2247"/>
      <c r="E43" s="2305" t="str">
        <f>CoStar_Col1_HeaderA</f>
        <v/>
      </c>
      <c r="F43" s="2305" t="str">
        <f>CoStar_Col2_HeaderA</f>
        <v>Sq. Ft.</v>
      </c>
      <c r="G43" s="2305" t="str">
        <f>CoStar_Col3_HeaderA</f>
        <v>Direct</v>
      </c>
      <c r="H43" s="2306" t="str">
        <f>CoStar_Col4_HeaderA</f>
        <v/>
      </c>
      <c r="I43" s="2307" t="str">
        <f>CoStar_Col5_HeaderA</f>
        <v>Direct</v>
      </c>
      <c r="J43" s="2304"/>
      <c r="K43" s="2305" t="str">
        <f>CoStar_Col1_HeaderA</f>
        <v/>
      </c>
      <c r="L43" s="2305" t="str">
        <f>CoStar_Col2_HeaderA</f>
        <v>Sq. Ft.</v>
      </c>
      <c r="M43" s="2305" t="str">
        <f>CoStar_Col3_HeaderA</f>
        <v>Direct</v>
      </c>
      <c r="N43" s="2306" t="str">
        <f>CoStar_Col4_HeaderA</f>
        <v/>
      </c>
      <c r="O43" s="2307" t="str">
        <f>CoStar_Col5_HeaderA</f>
        <v>Direct</v>
      </c>
      <c r="P43" s="12"/>
      <c r="Q43" s="74"/>
    </row>
    <row r="44" spans="2:17" x14ac:dyDescent="0.25">
      <c r="B44" s="80"/>
      <c r="C44" s="11"/>
      <c r="D44" s="2244"/>
      <c r="E44" s="2305" t="str">
        <f>CoStar_Col1_HeaderB</f>
        <v>Inventory</v>
      </c>
      <c r="F44" s="2305" t="str">
        <f>CoStar_Col2_HeaderB</f>
        <v>Under</v>
      </c>
      <c r="G44" s="2305" t="str">
        <f>CoStar_Col3_HeaderB</f>
        <v>Net</v>
      </c>
      <c r="H44" s="2306" t="str">
        <f>CoStar_Col4_HeaderB</f>
        <v>Direct</v>
      </c>
      <c r="I44" s="2307" t="str">
        <f>CoStar_Col5_HeaderB</f>
        <v>NNN</v>
      </c>
      <c r="J44" s="2308"/>
      <c r="K44" s="2305" t="str">
        <f>CoStar_Col1_HeaderB</f>
        <v>Inventory</v>
      </c>
      <c r="L44" s="2305" t="str">
        <f>CoStar_Col2_HeaderB</f>
        <v>Under</v>
      </c>
      <c r="M44" s="2305" t="str">
        <f>CoStar_Col3_HeaderB</f>
        <v>Net</v>
      </c>
      <c r="N44" s="2306" t="str">
        <f>CoStar_Col4_HeaderB</f>
        <v>Direct</v>
      </c>
      <c r="O44" s="2307" t="str">
        <f>CoStar_Col5_HeaderB</f>
        <v>NNN</v>
      </c>
      <c r="P44" s="11"/>
      <c r="Q44" s="74"/>
    </row>
    <row r="45" spans="2:17" x14ac:dyDescent="0.25">
      <c r="B45" s="80"/>
      <c r="C45" s="11"/>
      <c r="D45" s="2244" t="str">
        <f>D16</f>
        <v>Period</v>
      </c>
      <c r="E45" s="2305" t="str">
        <f>CoStar_Col1_HeaderC</f>
        <v>Square Feet</v>
      </c>
      <c r="F45" s="2305" t="str">
        <f>CoStar_Col2_HeaderC</f>
        <v>Construction</v>
      </c>
      <c r="G45" s="2305" t="str">
        <f>CoStar_Col3_HeaderC</f>
        <v>Absorb.</v>
      </c>
      <c r="H45" s="2306" t="str">
        <f>CoStar_Col4_HeaderC</f>
        <v>Vacancy</v>
      </c>
      <c r="I45" s="2307" t="str">
        <f>CoStar_Col5_HeaderC</f>
        <v>Rental Rate</v>
      </c>
      <c r="J45" s="2308"/>
      <c r="K45" s="2305" t="str">
        <f>CoStar_Col1_HeaderC</f>
        <v>Square Feet</v>
      </c>
      <c r="L45" s="2305" t="str">
        <f>CoStar_Col2_HeaderC</f>
        <v>Construction</v>
      </c>
      <c r="M45" s="2305" t="str">
        <f>CoStar_Col3_HeaderC</f>
        <v>Absorb.</v>
      </c>
      <c r="N45" s="2306" t="str">
        <f>CoStar_Col4_HeaderC</f>
        <v>Vacancy</v>
      </c>
      <c r="O45" s="2307" t="str">
        <f>CoStar_Col5_HeaderC</f>
        <v>Rental Rate</v>
      </c>
      <c r="P45" s="11"/>
      <c r="Q45" s="74"/>
    </row>
    <row r="46" spans="2:17" x14ac:dyDescent="0.25">
      <c r="B46" s="81">
        <f>CoStar_RowOffset_Master</f>
        <v>3</v>
      </c>
      <c r="C46" s="18"/>
      <c r="D46" s="2317" t="str">
        <f t="shared" ref="D46:D65" si="13">HLOOKUP(CONCATENATE("  ",D$45),CoStar03Array,$B46,FALSE)</f>
        <v>2025 Q1</v>
      </c>
      <c r="E46" s="2310">
        <f t="shared" ref="E46:E65" si="14">HLOOKUP(CoStar_Col1_Selection,CoStar03Array,$B46,FALSE)</f>
        <v>28649684</v>
      </c>
      <c r="F46" s="2310">
        <f t="shared" ref="F46:F65" si="15">HLOOKUP(CoStar_Col2_Selection,CoStar03Array,$B46,FALSE)</f>
        <v>646015</v>
      </c>
      <c r="G46" s="2310">
        <f t="shared" ref="G46:G65" si="16">HLOOKUP(CoStar_Col3_Selection,CoStar03Array,$B46,FALSE)</f>
        <v>504252</v>
      </c>
      <c r="H46" s="2311">
        <f t="shared" ref="H46:H65" si="17">HLOOKUP(CoStar_Col4_Selection,CoStar03Array,$B46,FALSE)</f>
        <v>8.5999999999999993E-2</v>
      </c>
      <c r="I46" s="2312">
        <f t="shared" ref="I46:I65" si="18">HLOOKUP(CoStar_Col5_Selection,CoStar03Array,$B46,FALSE)</f>
        <v>11.86</v>
      </c>
      <c r="J46" s="2313" t="str">
        <f>D46</f>
        <v>2025 Q1</v>
      </c>
      <c r="K46" s="2310" t="e">
        <f t="shared" ref="K46:K65" si="19">HLOOKUP(CoStar_Col1_Selection,CoStar04Array,$B46,FALSE)</f>
        <v>#N/A</v>
      </c>
      <c r="L46" s="2310" t="e">
        <f t="shared" ref="L46:L65" si="20">HLOOKUP(CoStar_Col2_Selection,CoStar04Array,$B46,FALSE)</f>
        <v>#N/A</v>
      </c>
      <c r="M46" s="2310" t="e">
        <f t="shared" ref="M46:M65" si="21">HLOOKUP(CoStar_Col3_Selection,CoStar04Array,$B46,FALSE)</f>
        <v>#N/A</v>
      </c>
      <c r="N46" s="2311" t="e">
        <f t="shared" ref="N46:N65" si="22">HLOOKUP(CoStar_Col4_Selection,CoStar04Array,$B46,FALSE)</f>
        <v>#N/A</v>
      </c>
      <c r="O46" s="2312" t="e">
        <f t="shared" ref="O46:O65" si="23">HLOOKUP(CoStar_Col5_Selection,CoStar04Array,$B46,FALSE)</f>
        <v>#N/A</v>
      </c>
      <c r="P46" s="18"/>
      <c r="Q46" s="74"/>
    </row>
    <row r="47" spans="2:17" x14ac:dyDescent="0.25">
      <c r="B47" s="81">
        <f t="shared" ref="B47:B65" si="24">B46+1</f>
        <v>4</v>
      </c>
      <c r="C47" s="18"/>
      <c r="D47" s="2317" t="str">
        <f t="shared" si="13"/>
        <v>2024 Q4</v>
      </c>
      <c r="E47" s="2310">
        <f t="shared" si="14"/>
        <v>28649684</v>
      </c>
      <c r="F47" s="2310">
        <f t="shared" si="15"/>
        <v>646015</v>
      </c>
      <c r="G47" s="2310">
        <f t="shared" si="16"/>
        <v>58221</v>
      </c>
      <c r="H47" s="2311">
        <f t="shared" si="17"/>
        <v>0.1</v>
      </c>
      <c r="I47" s="2312">
        <f t="shared" si="18"/>
        <v>11.88</v>
      </c>
      <c r="J47" s="2313" t="str">
        <f t="shared" ref="J47:J65" si="25">D47</f>
        <v>2024 Q4</v>
      </c>
      <c r="K47" s="2310" t="e">
        <f t="shared" si="19"/>
        <v>#N/A</v>
      </c>
      <c r="L47" s="2310" t="e">
        <f t="shared" si="20"/>
        <v>#N/A</v>
      </c>
      <c r="M47" s="2310" t="e">
        <f t="shared" si="21"/>
        <v>#N/A</v>
      </c>
      <c r="N47" s="2311" t="e">
        <f t="shared" si="22"/>
        <v>#N/A</v>
      </c>
      <c r="O47" s="2312" t="e">
        <f t="shared" si="23"/>
        <v>#N/A</v>
      </c>
      <c r="P47" s="18"/>
      <c r="Q47" s="74"/>
    </row>
    <row r="48" spans="2:17" x14ac:dyDescent="0.25">
      <c r="B48" s="81">
        <f t="shared" si="24"/>
        <v>5</v>
      </c>
      <c r="C48" s="18"/>
      <c r="D48" s="2317" t="str">
        <f t="shared" si="13"/>
        <v>2024 Q3</v>
      </c>
      <c r="E48" s="2310">
        <f t="shared" si="14"/>
        <v>28061134</v>
      </c>
      <c r="F48" s="2310">
        <f t="shared" si="15"/>
        <v>890765</v>
      </c>
      <c r="G48" s="2310">
        <f t="shared" si="16"/>
        <v>55732</v>
      </c>
      <c r="H48" s="2311">
        <f t="shared" si="17"/>
        <v>9.9000000000000005E-2</v>
      </c>
      <c r="I48" s="2312">
        <f t="shared" si="18"/>
        <v>11.74</v>
      </c>
      <c r="J48" s="2313" t="str">
        <f t="shared" si="25"/>
        <v>2024 Q3</v>
      </c>
      <c r="K48" s="2310" t="e">
        <f t="shared" si="19"/>
        <v>#N/A</v>
      </c>
      <c r="L48" s="2310" t="e">
        <f t="shared" si="20"/>
        <v>#N/A</v>
      </c>
      <c r="M48" s="2310" t="e">
        <f t="shared" si="21"/>
        <v>#N/A</v>
      </c>
      <c r="N48" s="2311" t="e">
        <f t="shared" si="22"/>
        <v>#N/A</v>
      </c>
      <c r="O48" s="2312" t="e">
        <f t="shared" si="23"/>
        <v>#N/A</v>
      </c>
      <c r="P48" s="18"/>
      <c r="Q48" s="74"/>
    </row>
    <row r="49" spans="2:17" x14ac:dyDescent="0.25">
      <c r="B49" s="81">
        <f t="shared" si="24"/>
        <v>6</v>
      </c>
      <c r="C49" s="18"/>
      <c r="D49" s="2317" t="str">
        <f t="shared" si="13"/>
        <v>2024 Q2</v>
      </c>
      <c r="E49" s="2310">
        <f t="shared" si="14"/>
        <v>27086359</v>
      </c>
      <c r="F49" s="2310">
        <f t="shared" si="15"/>
        <v>1865540</v>
      </c>
      <c r="G49" s="2310">
        <f t="shared" si="16"/>
        <v>-41072</v>
      </c>
      <c r="H49" s="2311">
        <f t="shared" si="17"/>
        <v>6.6000000000000003E-2</v>
      </c>
      <c r="I49" s="2312">
        <f t="shared" si="18"/>
        <v>11.25</v>
      </c>
      <c r="J49" s="2313" t="str">
        <f t="shared" si="25"/>
        <v>2024 Q2</v>
      </c>
      <c r="K49" s="2310" t="e">
        <f t="shared" si="19"/>
        <v>#N/A</v>
      </c>
      <c r="L49" s="2310" t="e">
        <f t="shared" si="20"/>
        <v>#N/A</v>
      </c>
      <c r="M49" s="2310" t="e">
        <f t="shared" si="21"/>
        <v>#N/A</v>
      </c>
      <c r="N49" s="2311" t="e">
        <f t="shared" si="22"/>
        <v>#N/A</v>
      </c>
      <c r="O49" s="2312" t="e">
        <f t="shared" si="23"/>
        <v>#N/A</v>
      </c>
      <c r="P49" s="18"/>
      <c r="Q49" s="74"/>
    </row>
    <row r="50" spans="2:17" ht="21.95" customHeight="1" x14ac:dyDescent="0.25">
      <c r="B50" s="81">
        <f t="shared" si="24"/>
        <v>7</v>
      </c>
      <c r="C50" s="18"/>
      <c r="D50" s="2317" t="str">
        <f t="shared" si="13"/>
        <v>2024 Q1</v>
      </c>
      <c r="E50" s="2310">
        <f t="shared" si="14"/>
        <v>27086359</v>
      </c>
      <c r="F50" s="2310">
        <f t="shared" si="15"/>
        <v>1865540</v>
      </c>
      <c r="G50" s="2310">
        <f t="shared" si="16"/>
        <v>476150</v>
      </c>
      <c r="H50" s="2311">
        <f t="shared" si="17"/>
        <v>6.8000000000000005E-2</v>
      </c>
      <c r="I50" s="2312">
        <f t="shared" si="18"/>
        <v>10.92</v>
      </c>
      <c r="J50" s="2313" t="str">
        <f t="shared" si="25"/>
        <v>2024 Q1</v>
      </c>
      <c r="K50" s="2310" t="e">
        <f t="shared" si="19"/>
        <v>#N/A</v>
      </c>
      <c r="L50" s="2310" t="e">
        <f t="shared" si="20"/>
        <v>#N/A</v>
      </c>
      <c r="M50" s="2310" t="e">
        <f t="shared" si="21"/>
        <v>#N/A</v>
      </c>
      <c r="N50" s="2311" t="e">
        <f t="shared" si="22"/>
        <v>#N/A</v>
      </c>
      <c r="O50" s="2312" t="e">
        <f t="shared" si="23"/>
        <v>#N/A</v>
      </c>
      <c r="P50" s="18"/>
      <c r="Q50" s="74"/>
    </row>
    <row r="51" spans="2:17" x14ac:dyDescent="0.25">
      <c r="B51" s="81">
        <f t="shared" si="24"/>
        <v>8</v>
      </c>
      <c r="C51" s="18"/>
      <c r="D51" s="2317" t="str">
        <f t="shared" si="13"/>
        <v>2023 Q4</v>
      </c>
      <c r="E51" s="2310">
        <f t="shared" si="14"/>
        <v>26556523</v>
      </c>
      <c r="F51" s="2310">
        <f t="shared" si="15"/>
        <v>2364316</v>
      </c>
      <c r="G51" s="2310">
        <f t="shared" si="16"/>
        <v>103619</v>
      </c>
      <c r="H51" s="2311">
        <f t="shared" si="17"/>
        <v>7.0999999999999994E-2</v>
      </c>
      <c r="I51" s="2312">
        <f t="shared" si="18"/>
        <v>11.09</v>
      </c>
      <c r="J51" s="2313" t="str">
        <f t="shared" si="25"/>
        <v>2023 Q4</v>
      </c>
      <c r="K51" s="2310" t="e">
        <f t="shared" si="19"/>
        <v>#N/A</v>
      </c>
      <c r="L51" s="2310" t="e">
        <f t="shared" si="20"/>
        <v>#N/A</v>
      </c>
      <c r="M51" s="2310" t="e">
        <f t="shared" si="21"/>
        <v>#N/A</v>
      </c>
      <c r="N51" s="2311" t="e">
        <f t="shared" si="22"/>
        <v>#N/A</v>
      </c>
      <c r="O51" s="2312" t="e">
        <f t="shared" si="23"/>
        <v>#N/A</v>
      </c>
      <c r="P51" s="18"/>
      <c r="Q51" s="74"/>
    </row>
    <row r="52" spans="2:17" x14ac:dyDescent="0.25">
      <c r="B52" s="81">
        <f t="shared" si="24"/>
        <v>9</v>
      </c>
      <c r="C52" s="18"/>
      <c r="D52" s="2317" t="str">
        <f t="shared" si="13"/>
        <v>2023 Q3</v>
      </c>
      <c r="E52" s="2310">
        <f t="shared" si="14"/>
        <v>26632111</v>
      </c>
      <c r="F52" s="2310">
        <f t="shared" si="15"/>
        <v>1710072</v>
      </c>
      <c r="G52" s="2310">
        <f t="shared" si="16"/>
        <v>-80356</v>
      </c>
      <c r="H52" s="2311">
        <f t="shared" si="17"/>
        <v>6.7000000000000004E-2</v>
      </c>
      <c r="I52" s="2312">
        <f t="shared" si="18"/>
        <v>11.37</v>
      </c>
      <c r="J52" s="2313" t="str">
        <f t="shared" si="25"/>
        <v>2023 Q3</v>
      </c>
      <c r="K52" s="2310" t="e">
        <f t="shared" si="19"/>
        <v>#N/A</v>
      </c>
      <c r="L52" s="2310" t="e">
        <f t="shared" si="20"/>
        <v>#N/A</v>
      </c>
      <c r="M52" s="2310" t="e">
        <f t="shared" si="21"/>
        <v>#N/A</v>
      </c>
      <c r="N52" s="2311" t="e">
        <f t="shared" si="22"/>
        <v>#N/A</v>
      </c>
      <c r="O52" s="2312" t="e">
        <f t="shared" si="23"/>
        <v>#N/A</v>
      </c>
      <c r="P52" s="18"/>
      <c r="Q52" s="74"/>
    </row>
    <row r="53" spans="2:17" x14ac:dyDescent="0.25">
      <c r="B53" s="81">
        <f t="shared" si="24"/>
        <v>10</v>
      </c>
      <c r="C53" s="18"/>
      <c r="D53" s="2317" t="str">
        <f t="shared" si="13"/>
        <v>2023 Q2</v>
      </c>
      <c r="E53" s="2310">
        <f t="shared" si="14"/>
        <v>26387361</v>
      </c>
      <c r="F53" s="2310">
        <f t="shared" si="15"/>
        <v>1110915</v>
      </c>
      <c r="G53" s="2310">
        <f t="shared" si="16"/>
        <v>72277</v>
      </c>
      <c r="H53" s="2311">
        <f t="shared" si="17"/>
        <v>5.6000000000000001E-2</v>
      </c>
      <c r="I53" s="2312">
        <f t="shared" si="18"/>
        <v>11.31</v>
      </c>
      <c r="J53" s="2313" t="str">
        <f t="shared" si="25"/>
        <v>2023 Q2</v>
      </c>
      <c r="K53" s="2310" t="e">
        <f t="shared" si="19"/>
        <v>#N/A</v>
      </c>
      <c r="L53" s="2310" t="e">
        <f t="shared" si="20"/>
        <v>#N/A</v>
      </c>
      <c r="M53" s="2310" t="e">
        <f t="shared" si="21"/>
        <v>#N/A</v>
      </c>
      <c r="N53" s="2311" t="e">
        <f t="shared" si="22"/>
        <v>#N/A</v>
      </c>
      <c r="O53" s="2312" t="e">
        <f t="shared" si="23"/>
        <v>#N/A</v>
      </c>
      <c r="P53" s="18"/>
      <c r="Q53" s="74"/>
    </row>
    <row r="54" spans="2:17" ht="21.95" customHeight="1" x14ac:dyDescent="0.25">
      <c r="B54" s="81">
        <f t="shared" si="24"/>
        <v>11</v>
      </c>
      <c r="C54" s="18"/>
      <c r="D54" s="2317" t="str">
        <f t="shared" si="13"/>
        <v>2023 Q1</v>
      </c>
      <c r="E54" s="2310">
        <f t="shared" si="14"/>
        <v>26091648</v>
      </c>
      <c r="F54" s="2310">
        <f t="shared" si="15"/>
        <v>1406628</v>
      </c>
      <c r="G54" s="2310">
        <f t="shared" si="16"/>
        <v>282533</v>
      </c>
      <c r="H54" s="2311">
        <f t="shared" si="17"/>
        <v>5.8999999999999997E-2</v>
      </c>
      <c r="I54" s="2312">
        <f t="shared" si="18"/>
        <v>11.27</v>
      </c>
      <c r="J54" s="2313" t="str">
        <f t="shared" si="25"/>
        <v>2023 Q1</v>
      </c>
      <c r="K54" s="2310" t="e">
        <f t="shared" si="19"/>
        <v>#N/A</v>
      </c>
      <c r="L54" s="2310" t="e">
        <f t="shared" si="20"/>
        <v>#N/A</v>
      </c>
      <c r="M54" s="2310" t="e">
        <f t="shared" si="21"/>
        <v>#N/A</v>
      </c>
      <c r="N54" s="2311" t="e">
        <f t="shared" si="22"/>
        <v>#N/A</v>
      </c>
      <c r="O54" s="2312" t="e">
        <f t="shared" si="23"/>
        <v>#N/A</v>
      </c>
      <c r="P54" s="18"/>
      <c r="Q54" s="74"/>
    </row>
    <row r="55" spans="2:17" x14ac:dyDescent="0.25">
      <c r="B55" s="81">
        <f t="shared" si="24"/>
        <v>12</v>
      </c>
      <c r="C55" s="18"/>
      <c r="D55" s="2317" t="str">
        <f t="shared" si="13"/>
        <v>2022 Q4</v>
      </c>
      <c r="E55" s="2310">
        <f t="shared" si="14"/>
        <v>25809047</v>
      </c>
      <c r="F55" s="2310">
        <f t="shared" si="15"/>
        <v>937943</v>
      </c>
      <c r="G55" s="2310">
        <f t="shared" si="16"/>
        <v>122457</v>
      </c>
      <c r="H55" s="2311">
        <f t="shared" si="17"/>
        <v>5.7000000000000002E-2</v>
      </c>
      <c r="I55" s="2312">
        <f t="shared" si="18"/>
        <v>10.89</v>
      </c>
      <c r="J55" s="2313" t="str">
        <f t="shared" si="25"/>
        <v>2022 Q4</v>
      </c>
      <c r="K55" s="2310" t="e">
        <f t="shared" si="19"/>
        <v>#N/A</v>
      </c>
      <c r="L55" s="2310" t="e">
        <f t="shared" si="20"/>
        <v>#N/A</v>
      </c>
      <c r="M55" s="2310" t="e">
        <f t="shared" si="21"/>
        <v>#N/A</v>
      </c>
      <c r="N55" s="2311" t="e">
        <f t="shared" si="22"/>
        <v>#N/A</v>
      </c>
      <c r="O55" s="2312" t="e">
        <f t="shared" si="23"/>
        <v>#N/A</v>
      </c>
      <c r="P55" s="18"/>
      <c r="Q55" s="74"/>
    </row>
    <row r="56" spans="2:17" x14ac:dyDescent="0.25">
      <c r="B56" s="81">
        <f t="shared" si="24"/>
        <v>13</v>
      </c>
      <c r="C56" s="18"/>
      <c r="D56" s="2317" t="str">
        <f t="shared" si="13"/>
        <v>2022 Q3</v>
      </c>
      <c r="E56" s="2310">
        <f t="shared" si="14"/>
        <v>25677877</v>
      </c>
      <c r="F56" s="2310">
        <f t="shared" si="15"/>
        <v>856056</v>
      </c>
      <c r="G56" s="2310">
        <f t="shared" si="16"/>
        <v>499544</v>
      </c>
      <c r="H56" s="2311">
        <f t="shared" si="17"/>
        <v>5.2999999999999999E-2</v>
      </c>
      <c r="I56" s="2312">
        <f t="shared" si="18"/>
        <v>10.84</v>
      </c>
      <c r="J56" s="2313" t="str">
        <f t="shared" si="25"/>
        <v>2022 Q3</v>
      </c>
      <c r="K56" s="2310" t="e">
        <f t="shared" si="19"/>
        <v>#N/A</v>
      </c>
      <c r="L56" s="2310" t="e">
        <f t="shared" si="20"/>
        <v>#N/A</v>
      </c>
      <c r="M56" s="2310" t="e">
        <f t="shared" si="21"/>
        <v>#N/A</v>
      </c>
      <c r="N56" s="2311" t="e">
        <f t="shared" si="22"/>
        <v>#N/A</v>
      </c>
      <c r="O56" s="2312" t="e">
        <f t="shared" si="23"/>
        <v>#N/A</v>
      </c>
      <c r="P56" s="18"/>
      <c r="Q56" s="74"/>
    </row>
    <row r="57" spans="2:17" x14ac:dyDescent="0.25">
      <c r="B57" s="81">
        <f t="shared" si="24"/>
        <v>14</v>
      </c>
      <c r="C57" s="18"/>
      <c r="D57" s="2317" t="str">
        <f t="shared" si="13"/>
        <v>2022 Q2</v>
      </c>
      <c r="E57" s="2310">
        <f t="shared" si="14"/>
        <v>24924547</v>
      </c>
      <c r="F57" s="2310">
        <f t="shared" si="15"/>
        <v>1459140</v>
      </c>
      <c r="G57" s="2310">
        <f t="shared" si="16"/>
        <v>114815</v>
      </c>
      <c r="H57" s="2311">
        <f t="shared" si="17"/>
        <v>4.2000000000000003E-2</v>
      </c>
      <c r="I57" s="2312">
        <f t="shared" si="18"/>
        <v>10.46</v>
      </c>
      <c r="J57" s="2313" t="str">
        <f t="shared" si="25"/>
        <v>2022 Q2</v>
      </c>
      <c r="K57" s="2310" t="e">
        <f t="shared" si="19"/>
        <v>#N/A</v>
      </c>
      <c r="L57" s="2310" t="e">
        <f t="shared" si="20"/>
        <v>#N/A</v>
      </c>
      <c r="M57" s="2310" t="e">
        <f t="shared" si="21"/>
        <v>#N/A</v>
      </c>
      <c r="N57" s="2311" t="e">
        <f t="shared" si="22"/>
        <v>#N/A</v>
      </c>
      <c r="O57" s="2312" t="e">
        <f t="shared" si="23"/>
        <v>#N/A</v>
      </c>
      <c r="P57" s="18"/>
      <c r="Q57" s="74"/>
    </row>
    <row r="58" spans="2:17" ht="21.95" customHeight="1" x14ac:dyDescent="0.25">
      <c r="B58" s="81">
        <f t="shared" si="24"/>
        <v>15</v>
      </c>
      <c r="C58" s="18"/>
      <c r="D58" s="2317" t="str">
        <f t="shared" si="13"/>
        <v>2022 Q1</v>
      </c>
      <c r="E58" s="2310">
        <f t="shared" si="14"/>
        <v>24500239</v>
      </c>
      <c r="F58" s="2310">
        <f t="shared" si="15"/>
        <v>1442547</v>
      </c>
      <c r="G58" s="2310">
        <f t="shared" si="16"/>
        <v>835966</v>
      </c>
      <c r="H58" s="2311">
        <f t="shared" si="17"/>
        <v>3.3000000000000002E-2</v>
      </c>
      <c r="I58" s="2312">
        <f t="shared" si="18"/>
        <v>10.1</v>
      </c>
      <c r="J58" s="2313" t="str">
        <f t="shared" si="25"/>
        <v>2022 Q1</v>
      </c>
      <c r="K58" s="2310" t="e">
        <f t="shared" si="19"/>
        <v>#N/A</v>
      </c>
      <c r="L58" s="2310" t="e">
        <f t="shared" si="20"/>
        <v>#N/A</v>
      </c>
      <c r="M58" s="2310" t="e">
        <f t="shared" si="21"/>
        <v>#N/A</v>
      </c>
      <c r="N58" s="2311" t="e">
        <f t="shared" si="22"/>
        <v>#N/A</v>
      </c>
      <c r="O58" s="2312" t="e">
        <f t="shared" si="23"/>
        <v>#N/A</v>
      </c>
      <c r="P58" s="18"/>
      <c r="Q58" s="74"/>
    </row>
    <row r="59" spans="2:17" x14ac:dyDescent="0.25">
      <c r="B59" s="81">
        <f t="shared" si="24"/>
        <v>16</v>
      </c>
      <c r="C59" s="18"/>
      <c r="D59" s="2317" t="str">
        <f t="shared" si="13"/>
        <v>2021 Q4</v>
      </c>
      <c r="E59" s="2310">
        <f t="shared" si="14"/>
        <v>24392465</v>
      </c>
      <c r="F59" s="2310">
        <f t="shared" si="15"/>
        <v>1285412</v>
      </c>
      <c r="G59" s="2310">
        <f t="shared" si="16"/>
        <v>675176</v>
      </c>
      <c r="H59" s="2311">
        <f t="shared" si="17"/>
        <v>5.6000000000000001E-2</v>
      </c>
      <c r="I59" s="2312">
        <f t="shared" si="18"/>
        <v>10.08</v>
      </c>
      <c r="J59" s="2313" t="str">
        <f t="shared" si="25"/>
        <v>2021 Q4</v>
      </c>
      <c r="K59" s="2310" t="e">
        <f t="shared" si="19"/>
        <v>#N/A</v>
      </c>
      <c r="L59" s="2310" t="e">
        <f t="shared" si="20"/>
        <v>#N/A</v>
      </c>
      <c r="M59" s="2310" t="e">
        <f t="shared" si="21"/>
        <v>#N/A</v>
      </c>
      <c r="N59" s="2311" t="e">
        <f t="shared" si="22"/>
        <v>#N/A</v>
      </c>
      <c r="O59" s="2312" t="e">
        <f t="shared" si="23"/>
        <v>#N/A</v>
      </c>
      <c r="P59" s="18"/>
      <c r="Q59" s="74"/>
    </row>
    <row r="60" spans="2:17" x14ac:dyDescent="0.25">
      <c r="B60" s="81">
        <f t="shared" si="24"/>
        <v>17</v>
      </c>
      <c r="C60" s="18"/>
      <c r="D60" s="2317" t="str">
        <f t="shared" si="13"/>
        <v>2021 Q3</v>
      </c>
      <c r="E60" s="2310">
        <f t="shared" si="14"/>
        <v>24108965</v>
      </c>
      <c r="F60" s="2310">
        <f t="shared" si="15"/>
        <v>1425912</v>
      </c>
      <c r="G60" s="2310">
        <f t="shared" si="16"/>
        <v>393189</v>
      </c>
      <c r="H60" s="2311">
        <f t="shared" si="17"/>
        <v>6.6000000000000003E-2</v>
      </c>
      <c r="I60" s="2312">
        <f t="shared" si="18"/>
        <v>10.24</v>
      </c>
      <c r="J60" s="2313" t="str">
        <f t="shared" si="25"/>
        <v>2021 Q3</v>
      </c>
      <c r="K60" s="2310" t="e">
        <f t="shared" si="19"/>
        <v>#N/A</v>
      </c>
      <c r="L60" s="2310" t="e">
        <f t="shared" si="20"/>
        <v>#N/A</v>
      </c>
      <c r="M60" s="2310" t="e">
        <f t="shared" si="21"/>
        <v>#N/A</v>
      </c>
      <c r="N60" s="2311" t="e">
        <f t="shared" si="22"/>
        <v>#N/A</v>
      </c>
      <c r="O60" s="2312" t="e">
        <f t="shared" si="23"/>
        <v>#N/A</v>
      </c>
      <c r="P60" s="18"/>
      <c r="Q60" s="74"/>
    </row>
    <row r="61" spans="2:17" x14ac:dyDescent="0.25">
      <c r="B61" s="81">
        <f t="shared" si="24"/>
        <v>18</v>
      </c>
      <c r="C61" s="18"/>
      <c r="D61" s="2317" t="str">
        <f t="shared" si="13"/>
        <v>2021 Q2</v>
      </c>
      <c r="E61" s="2310">
        <f t="shared" si="14"/>
        <v>23424663</v>
      </c>
      <c r="F61" s="2310">
        <f t="shared" si="15"/>
        <v>1356976</v>
      </c>
      <c r="G61" s="2310">
        <f t="shared" si="16"/>
        <v>115329</v>
      </c>
      <c r="H61" s="2311">
        <f t="shared" si="17"/>
        <v>7.4999999999999997E-2</v>
      </c>
      <c r="I61" s="2312">
        <f t="shared" si="18"/>
        <v>10.11</v>
      </c>
      <c r="J61" s="2313" t="str">
        <f t="shared" si="25"/>
        <v>2021 Q2</v>
      </c>
      <c r="K61" s="2310" t="e">
        <f t="shared" si="19"/>
        <v>#N/A</v>
      </c>
      <c r="L61" s="2310" t="e">
        <f t="shared" si="20"/>
        <v>#N/A</v>
      </c>
      <c r="M61" s="2310" t="e">
        <f t="shared" si="21"/>
        <v>#N/A</v>
      </c>
      <c r="N61" s="2311" t="e">
        <f t="shared" si="22"/>
        <v>#N/A</v>
      </c>
      <c r="O61" s="2312" t="e">
        <f t="shared" si="23"/>
        <v>#N/A</v>
      </c>
      <c r="P61" s="18"/>
      <c r="Q61" s="74"/>
    </row>
    <row r="62" spans="2:17" ht="21.95" customHeight="1" x14ac:dyDescent="0.25">
      <c r="B62" s="81">
        <f t="shared" si="24"/>
        <v>19</v>
      </c>
      <c r="C62" s="18"/>
      <c r="D62" s="2317" t="str">
        <f t="shared" si="13"/>
        <v>2021 Q1</v>
      </c>
      <c r="E62" s="2310">
        <f t="shared" si="14"/>
        <v>22573745</v>
      </c>
      <c r="F62" s="2310">
        <f t="shared" si="15"/>
        <v>2068694</v>
      </c>
      <c r="G62" s="2310">
        <f t="shared" si="16"/>
        <v>76122</v>
      </c>
      <c r="H62" s="2311">
        <f t="shared" si="17"/>
        <v>4.4999999999999998E-2</v>
      </c>
      <c r="I62" s="2312">
        <f t="shared" si="18"/>
        <v>9.6999999999999993</v>
      </c>
      <c r="J62" s="2313" t="str">
        <f t="shared" si="25"/>
        <v>2021 Q1</v>
      </c>
      <c r="K62" s="2310" t="e">
        <f t="shared" si="19"/>
        <v>#N/A</v>
      </c>
      <c r="L62" s="2310" t="e">
        <f t="shared" si="20"/>
        <v>#N/A</v>
      </c>
      <c r="M62" s="2310" t="e">
        <f t="shared" si="21"/>
        <v>#N/A</v>
      </c>
      <c r="N62" s="2311" t="e">
        <f t="shared" si="22"/>
        <v>#N/A</v>
      </c>
      <c r="O62" s="2312" t="e">
        <f t="shared" si="23"/>
        <v>#N/A</v>
      </c>
      <c r="P62" s="18"/>
      <c r="Q62" s="74"/>
    </row>
    <row r="63" spans="2:17" x14ac:dyDescent="0.25">
      <c r="B63" s="81">
        <f t="shared" si="24"/>
        <v>20</v>
      </c>
      <c r="C63" s="18"/>
      <c r="D63" s="2317" t="str">
        <f t="shared" si="13"/>
        <v>2020 Q4</v>
      </c>
      <c r="E63" s="2310">
        <f t="shared" si="14"/>
        <v>22462005</v>
      </c>
      <c r="F63" s="2310">
        <f t="shared" si="15"/>
        <v>2103394</v>
      </c>
      <c r="G63" s="2310">
        <f t="shared" si="16"/>
        <v>56648</v>
      </c>
      <c r="H63" s="2311">
        <f t="shared" si="17"/>
        <v>4.4999999999999998E-2</v>
      </c>
      <c r="I63" s="2312">
        <f t="shared" si="18"/>
        <v>9.85</v>
      </c>
      <c r="J63" s="2313" t="str">
        <f t="shared" si="25"/>
        <v>2020 Q4</v>
      </c>
      <c r="K63" s="2310" t="e">
        <f t="shared" si="19"/>
        <v>#N/A</v>
      </c>
      <c r="L63" s="2310" t="e">
        <f t="shared" si="20"/>
        <v>#N/A</v>
      </c>
      <c r="M63" s="2310" t="e">
        <f t="shared" si="21"/>
        <v>#N/A</v>
      </c>
      <c r="N63" s="2311" t="e">
        <f t="shared" si="22"/>
        <v>#N/A</v>
      </c>
      <c r="O63" s="2312" t="e">
        <f t="shared" si="23"/>
        <v>#N/A</v>
      </c>
      <c r="P63" s="18"/>
      <c r="Q63" s="74"/>
    </row>
    <row r="64" spans="2:17" x14ac:dyDescent="0.25">
      <c r="B64" s="81">
        <f t="shared" si="24"/>
        <v>21</v>
      </c>
      <c r="C64" s="18"/>
      <c r="D64" s="2317" t="str">
        <f t="shared" si="13"/>
        <v>2020 Q3</v>
      </c>
      <c r="E64" s="2310">
        <f t="shared" si="14"/>
        <v>22184858</v>
      </c>
      <c r="F64" s="2310">
        <f t="shared" si="15"/>
        <v>2128141</v>
      </c>
      <c r="G64" s="2310">
        <f t="shared" si="16"/>
        <v>21426</v>
      </c>
      <c r="H64" s="2311">
        <f t="shared" si="17"/>
        <v>4.3999999999999997E-2</v>
      </c>
      <c r="I64" s="2312">
        <f t="shared" si="18"/>
        <v>9.81</v>
      </c>
      <c r="J64" s="2313" t="str">
        <f t="shared" si="25"/>
        <v>2020 Q3</v>
      </c>
      <c r="K64" s="2310" t="e">
        <f t="shared" si="19"/>
        <v>#N/A</v>
      </c>
      <c r="L64" s="2310" t="e">
        <f t="shared" si="20"/>
        <v>#N/A</v>
      </c>
      <c r="M64" s="2310" t="e">
        <f t="shared" si="21"/>
        <v>#N/A</v>
      </c>
      <c r="N64" s="2311" t="e">
        <f t="shared" si="22"/>
        <v>#N/A</v>
      </c>
      <c r="O64" s="2312" t="e">
        <f t="shared" si="23"/>
        <v>#N/A</v>
      </c>
      <c r="P64" s="18"/>
      <c r="Q64" s="74"/>
    </row>
    <row r="65" spans="2:17" ht="15" thickBot="1" x14ac:dyDescent="0.3">
      <c r="B65" s="81">
        <f t="shared" si="24"/>
        <v>22</v>
      </c>
      <c r="C65" s="18"/>
      <c r="D65" s="2318" t="str">
        <f t="shared" si="13"/>
        <v>2020 Q2</v>
      </c>
      <c r="E65" s="2174">
        <f t="shared" si="14"/>
        <v>22094592</v>
      </c>
      <c r="F65" s="2174">
        <f t="shared" si="15"/>
        <v>1739085</v>
      </c>
      <c r="G65" s="2174">
        <f t="shared" si="16"/>
        <v>90831</v>
      </c>
      <c r="H65" s="2195">
        <f t="shared" si="17"/>
        <v>3.5000000000000003E-2</v>
      </c>
      <c r="I65" s="2176">
        <f t="shared" si="18"/>
        <v>9.39</v>
      </c>
      <c r="J65" s="2175" t="str">
        <f t="shared" si="25"/>
        <v>2020 Q2</v>
      </c>
      <c r="K65" s="2174" t="e">
        <f t="shared" si="19"/>
        <v>#N/A</v>
      </c>
      <c r="L65" s="2174" t="e">
        <f t="shared" si="20"/>
        <v>#N/A</v>
      </c>
      <c r="M65" s="2174" t="e">
        <f t="shared" si="21"/>
        <v>#N/A</v>
      </c>
      <c r="N65" s="2195" t="e">
        <f t="shared" si="22"/>
        <v>#N/A</v>
      </c>
      <c r="O65" s="2176" t="e">
        <f t="shared" si="23"/>
        <v>#N/A</v>
      </c>
      <c r="P65" s="18"/>
      <c r="Q65" s="74"/>
    </row>
    <row r="66" spans="2:17" x14ac:dyDescent="0.25">
      <c r="B66" s="80"/>
      <c r="C66" s="18"/>
      <c r="D66" s="2315" t="s">
        <v>153</v>
      </c>
      <c r="E66" s="2302"/>
      <c r="F66" s="2302"/>
      <c r="G66" s="2302"/>
      <c r="H66" s="2301"/>
      <c r="I66" s="2316"/>
      <c r="J66" s="1020"/>
      <c r="K66" s="2302"/>
      <c r="L66" s="2302"/>
      <c r="M66" s="2302"/>
      <c r="N66" s="2301"/>
      <c r="O66" s="2316"/>
      <c r="P66" s="18"/>
      <c r="Q66" s="74"/>
    </row>
    <row r="67" spans="2:17" ht="15" thickBot="1" x14ac:dyDescent="0.3">
      <c r="B67" s="83"/>
      <c r="C67" s="75"/>
      <c r="D67" s="553" t="s">
        <v>858</v>
      </c>
      <c r="E67" s="1075"/>
      <c r="F67" s="1075"/>
      <c r="G67" s="1075"/>
      <c r="H67" s="1076"/>
      <c r="I67" s="2177"/>
      <c r="J67" s="836"/>
      <c r="K67" s="1075"/>
      <c r="L67" s="1075"/>
      <c r="M67" s="1075"/>
      <c r="N67" s="1076"/>
      <c r="O67" s="2177"/>
      <c r="P67" s="75"/>
      <c r="Q67" s="76"/>
    </row>
    <row r="68" spans="2:17" x14ac:dyDescent="0.25">
      <c r="E68" s="1068"/>
      <c r="F68" s="1068"/>
      <c r="G68" s="1068"/>
      <c r="H68" s="1069"/>
      <c r="I68" s="2178"/>
      <c r="K68" s="1068"/>
      <c r="L68" s="1068"/>
      <c r="M68" s="1068"/>
      <c r="N68" s="1069"/>
      <c r="O68" s="2178"/>
    </row>
    <row r="69" spans="2:17" x14ac:dyDescent="0.25">
      <c r="E69" s="1068"/>
      <c r="J69" s="55"/>
      <c r="K69" s="1546"/>
      <c r="L69" s="55"/>
      <c r="M69" s="55"/>
      <c r="N69" s="2173"/>
      <c r="O69" s="1546"/>
    </row>
    <row r="70" spans="2:17" s="570" customFormat="1" ht="18" customHeight="1" x14ac:dyDescent="0.3">
      <c r="J70" s="1544"/>
      <c r="K70" s="1544"/>
      <c r="L70" s="1544"/>
      <c r="M70" s="1544"/>
      <c r="N70" s="2270"/>
      <c r="O70" s="2320"/>
    </row>
    <row r="71" spans="2:17" x14ac:dyDescent="0.25">
      <c r="N71" s="1069"/>
      <c r="O71" s="1070"/>
    </row>
    <row r="72" spans="2:17" ht="15.95" customHeight="1" x14ac:dyDescent="0.25">
      <c r="N72" s="1069"/>
      <c r="O72" s="1070"/>
    </row>
    <row r="73" spans="2:17" ht="15.95" customHeight="1" x14ac:dyDescent="0.25"/>
    <row r="74" spans="2:17" s="570" customFormat="1" ht="18" customHeight="1" x14ac:dyDescent="0.3">
      <c r="J74" s="1007"/>
      <c r="K74" s="1007"/>
      <c r="L74" s="1007"/>
      <c r="M74" s="1007"/>
      <c r="N74" s="1007"/>
      <c r="O74" s="1007"/>
    </row>
    <row r="75" spans="2:17" ht="15.95" customHeight="1" x14ac:dyDescent="0.25"/>
    <row r="76" spans="2:17" ht="15.95" customHeight="1" x14ac:dyDescent="0.25"/>
    <row r="77" spans="2:17" ht="15.95" customHeight="1" x14ac:dyDescent="0.25"/>
    <row r="78" spans="2:17" ht="270" customHeight="1" x14ac:dyDescent="0.25"/>
    <row r="79" spans="2:17" ht="15.95" customHeight="1" x14ac:dyDescent="0.25"/>
    <row r="80" spans="2:17" ht="15.95" customHeight="1" x14ac:dyDescent="0.25"/>
    <row r="81" ht="15.95" customHeight="1" x14ac:dyDescent="0.25"/>
    <row r="82" ht="15.95" customHeight="1" x14ac:dyDescent="0.25"/>
    <row r="83" ht="15.95" customHeight="1" x14ac:dyDescent="0.25"/>
    <row r="84" ht="15.95" customHeight="1" x14ac:dyDescent="0.25"/>
    <row r="85" ht="15.95" customHeight="1" x14ac:dyDescent="0.25"/>
    <row r="86" ht="15.95" customHeight="1" x14ac:dyDescent="0.25"/>
    <row r="87" ht="15.95" customHeight="1" x14ac:dyDescent="0.25"/>
    <row r="88" ht="15.95" customHeight="1" x14ac:dyDescent="0.25"/>
    <row r="89" ht="15.95" customHeight="1" x14ac:dyDescent="0.25"/>
    <row r="90" ht="15.95" customHeight="1" x14ac:dyDescent="0.25"/>
    <row r="91" ht="15.95" customHeight="1" x14ac:dyDescent="0.25"/>
    <row r="92" ht="15.95" customHeight="1" x14ac:dyDescent="0.25"/>
    <row r="93" ht="15.95" customHeight="1" x14ac:dyDescent="0.25"/>
    <row r="94" ht="15.95" customHeight="1" x14ac:dyDescent="0.25"/>
    <row r="95" ht="15.95" customHeight="1" x14ac:dyDescent="0.25"/>
    <row r="96" ht="15.95" customHeight="1" x14ac:dyDescent="0.25"/>
  </sheetData>
  <mergeCells count="8">
    <mergeCell ref="E13:I13"/>
    <mergeCell ref="K13:O13"/>
    <mergeCell ref="E42:I42"/>
    <mergeCell ref="K42:O42"/>
    <mergeCell ref="F3:H3"/>
    <mergeCell ref="F4:H4"/>
    <mergeCell ref="F5:H5"/>
    <mergeCell ref="F6:H6"/>
  </mergeCells>
  <pageMargins left="0.7" right="0.7" top="0.75" bottom="0.75" header="0.3" footer="0.3"/>
  <pageSetup scale="41"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7" r:id="rId4" name="Spinner 17">
              <controlPr defaultSize="0" autoPict="0" macro="[0]!MarketStudy_PeriodOffset_Change">
                <anchor moveWithCells="1" sizeWithCells="1">
                  <from>
                    <xdr:col>6</xdr:col>
                    <xdr:colOff>0</xdr:colOff>
                    <xdr:row>6</xdr:row>
                    <xdr:rowOff>0</xdr:rowOff>
                  </from>
                  <to>
                    <xdr:col>6</xdr:col>
                    <xdr:colOff>419100</xdr:colOff>
                    <xdr:row>7</xdr:row>
                    <xdr:rowOff>0</xdr:rowOff>
                  </to>
                </anchor>
              </controlPr>
            </control>
          </mc:Choice>
        </mc:AlternateContent>
        <mc:AlternateContent xmlns:mc="http://schemas.openxmlformats.org/markup-compatibility/2006">
          <mc:Choice Requires="x14">
            <control shapeId="25619" r:id="rId5" name="Drop Down 19">
              <controlPr defaultSize="0" autoLine="0" autoPict="0" macro="[0]!MarketStudy_Column1Selection">
                <anchor>
                  <from>
                    <xdr:col>1</xdr:col>
                    <xdr:colOff>9525</xdr:colOff>
                    <xdr:row>9</xdr:row>
                    <xdr:rowOff>28575</xdr:rowOff>
                  </from>
                  <to>
                    <xdr:col>5</xdr:col>
                    <xdr:colOff>447675</xdr:colOff>
                    <xdr:row>9</xdr:row>
                    <xdr:rowOff>257175</xdr:rowOff>
                  </to>
                </anchor>
              </controlPr>
            </control>
          </mc:Choice>
        </mc:AlternateContent>
        <mc:AlternateContent xmlns:mc="http://schemas.openxmlformats.org/markup-compatibility/2006">
          <mc:Choice Requires="x14">
            <control shapeId="25620" r:id="rId6" name="Drop Down 20">
              <controlPr defaultSize="0" autoLine="0" autoPict="0" macro="[0]!MarketStudy_Column2Selection">
                <anchor>
                  <from>
                    <xdr:col>5</xdr:col>
                    <xdr:colOff>504825</xdr:colOff>
                    <xdr:row>9</xdr:row>
                    <xdr:rowOff>19050</xdr:rowOff>
                  </from>
                  <to>
                    <xdr:col>8</xdr:col>
                    <xdr:colOff>476250</xdr:colOff>
                    <xdr:row>9</xdr:row>
                    <xdr:rowOff>247650</xdr:rowOff>
                  </to>
                </anchor>
              </controlPr>
            </control>
          </mc:Choice>
        </mc:AlternateContent>
        <mc:AlternateContent xmlns:mc="http://schemas.openxmlformats.org/markup-compatibility/2006">
          <mc:Choice Requires="x14">
            <control shapeId="25621" r:id="rId7" name="Drop Down 21">
              <controlPr defaultSize="0" autoLine="0" autoPict="0" macro="[0]!MarketStudy_Column3Selection">
                <anchor>
                  <from>
                    <xdr:col>8</xdr:col>
                    <xdr:colOff>523875</xdr:colOff>
                    <xdr:row>9</xdr:row>
                    <xdr:rowOff>19050</xdr:rowOff>
                  </from>
                  <to>
                    <xdr:col>12</xdr:col>
                    <xdr:colOff>9525</xdr:colOff>
                    <xdr:row>9</xdr:row>
                    <xdr:rowOff>257175</xdr:rowOff>
                  </to>
                </anchor>
              </controlPr>
            </control>
          </mc:Choice>
        </mc:AlternateContent>
        <mc:AlternateContent xmlns:mc="http://schemas.openxmlformats.org/markup-compatibility/2006">
          <mc:Choice Requires="x14">
            <control shapeId="25622" r:id="rId8" name="Drop Down 22">
              <controlPr defaultSize="0" autoLine="0" autoPict="0" macro="[0]!MarketStudy_Column4Selection">
                <anchor>
                  <from>
                    <xdr:col>12</xdr:col>
                    <xdr:colOff>66675</xdr:colOff>
                    <xdr:row>9</xdr:row>
                    <xdr:rowOff>19050</xdr:rowOff>
                  </from>
                  <to>
                    <xdr:col>16</xdr:col>
                    <xdr:colOff>85725</xdr:colOff>
                    <xdr:row>9</xdr:row>
                    <xdr:rowOff>247650</xdr:rowOff>
                  </to>
                </anchor>
              </controlPr>
            </control>
          </mc:Choice>
        </mc:AlternateContent>
        <mc:AlternateContent xmlns:mc="http://schemas.openxmlformats.org/markup-compatibility/2006">
          <mc:Choice Requires="x14">
            <control shapeId="25623" r:id="rId9" name="Drop Down 23">
              <controlPr defaultSize="0" autoLine="0" autoPict="0" macro="[0]!MarketStudy_Column5Selection">
                <anchor>
                  <from>
                    <xdr:col>17</xdr:col>
                    <xdr:colOff>19050</xdr:colOff>
                    <xdr:row>9</xdr:row>
                    <xdr:rowOff>19050</xdr:rowOff>
                  </from>
                  <to>
                    <xdr:col>19</xdr:col>
                    <xdr:colOff>1619250</xdr:colOff>
                    <xdr:row>9</xdr:row>
                    <xdr:rowOff>247650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EBC20-E5D5-4F91-9388-F45E64C43C51}">
  <sheetPr codeName="Sheet94">
    <tabColor theme="4"/>
  </sheetPr>
  <dimension ref="A1:BL100"/>
  <sheetViews>
    <sheetView zoomScaleNormal="100" workbookViewId="0">
      <selection activeCell="T1" sqref="T1"/>
    </sheetView>
  </sheetViews>
  <sheetFormatPr defaultRowHeight="14.25" x14ac:dyDescent="0.25"/>
  <cols>
    <col min="1" max="1" width="5.5703125" customWidth="1"/>
    <col min="2" max="2" width="1.7109375" customWidth="1"/>
    <col min="3" max="3" width="0.85546875" customWidth="1"/>
    <col min="4" max="4" width="25.7109375" customWidth="1"/>
    <col min="5" max="9" width="11.5703125" customWidth="1"/>
    <col min="10" max="10" width="0.85546875" customWidth="1"/>
    <col min="11" max="11" width="1.5703125" customWidth="1"/>
    <col min="12" max="12" width="0.85546875" customWidth="1"/>
    <col min="13" max="13" width="7.7109375" customWidth="1"/>
    <col min="14" max="15" width="8.28515625" customWidth="1"/>
    <col min="16" max="16" width="7.28515625" customWidth="1"/>
    <col min="17" max="18" width="8.28515625" customWidth="1"/>
    <col min="19" max="19" width="7.28515625" customWidth="1"/>
    <col min="20" max="20" width="59.7109375" customWidth="1"/>
    <col min="21" max="22" width="1.7109375" customWidth="1"/>
    <col min="23" max="23" width="1.5703125" customWidth="1"/>
    <col min="24" max="24" width="0.85546875" customWidth="1"/>
    <col min="25" max="25" width="7.7109375" customWidth="1"/>
    <col min="26" max="27" width="8.28515625" customWidth="1"/>
    <col min="28" max="28" width="7.28515625" customWidth="1"/>
    <col min="29" max="30" width="8.28515625" customWidth="1"/>
    <col min="31" max="31" width="7.28515625" customWidth="1"/>
    <col min="32" max="32" width="59.7109375" customWidth="1"/>
    <col min="33" max="33" width="1.7109375" customWidth="1"/>
  </cols>
  <sheetData>
    <row r="1" spans="1:64" ht="60" customHeight="1" x14ac:dyDescent="0.25">
      <c r="A1" s="11"/>
      <c r="B1" s="11"/>
      <c r="C1" s="11"/>
      <c r="D1" s="11"/>
      <c r="E1" s="11"/>
      <c r="F1" s="11"/>
      <c r="G1" s="11"/>
      <c r="H1" s="11"/>
      <c r="I1" s="11"/>
      <c r="J1" s="11"/>
      <c r="K1" s="11"/>
      <c r="L1" s="11"/>
      <c r="M1" s="4093" t="s">
        <v>18073</v>
      </c>
      <c r="N1" s="11"/>
      <c r="O1" s="11"/>
      <c r="P1" s="11"/>
      <c r="Q1" s="11"/>
      <c r="R1" s="11"/>
      <c r="S1" s="11"/>
      <c r="T1" s="11"/>
      <c r="U1" s="11"/>
      <c r="V1" s="11"/>
      <c r="W1" s="11"/>
      <c r="X1" s="11"/>
      <c r="Y1" s="11"/>
      <c r="Z1" s="11"/>
      <c r="AA1" s="11"/>
      <c r="AB1" s="11"/>
      <c r="AC1" s="11"/>
      <c r="AD1" s="11"/>
      <c r="AE1" s="11"/>
      <c r="AF1" s="11"/>
      <c r="AG1" s="11"/>
      <c r="AH1" s="11"/>
      <c r="AI1" s="11"/>
      <c r="AJ1" s="11"/>
      <c r="AK1" s="11"/>
      <c r="AL1" s="11"/>
      <c r="AM1" s="11"/>
      <c r="AN1" s="11"/>
      <c r="AO1" s="11"/>
      <c r="AP1" s="11"/>
      <c r="AQ1" s="11"/>
      <c r="AR1" s="11"/>
      <c r="AS1" s="11"/>
      <c r="AT1" s="11"/>
      <c r="AU1" s="11"/>
      <c r="AV1" s="11"/>
      <c r="AW1" s="11"/>
      <c r="AX1" s="11"/>
      <c r="AY1" s="11"/>
      <c r="AZ1" s="11"/>
      <c r="BA1" s="11"/>
      <c r="BB1" s="11"/>
      <c r="BC1" s="11"/>
      <c r="BD1" s="11"/>
      <c r="BE1" s="11"/>
      <c r="BF1" s="11"/>
      <c r="BG1" s="11"/>
      <c r="BH1" s="11"/>
      <c r="BI1" s="11"/>
      <c r="BJ1" s="11"/>
      <c r="BK1" s="11"/>
      <c r="BL1" s="11"/>
    </row>
    <row r="2" spans="1:64" ht="30" customHeight="1" thickBot="1" x14ac:dyDescent="0.35">
      <c r="A2" s="11"/>
      <c r="B2" s="11"/>
      <c r="C2" s="11"/>
      <c r="D2" s="899" t="s">
        <v>17915</v>
      </c>
      <c r="E2" s="11"/>
      <c r="F2" s="11"/>
      <c r="G2" s="11"/>
      <c r="H2" s="11"/>
      <c r="I2" s="11"/>
      <c r="J2" s="11"/>
      <c r="K2" s="11"/>
      <c r="L2" s="11"/>
      <c r="M2" s="4114"/>
      <c r="N2" s="911"/>
      <c r="O2" s="4088" t="s">
        <v>18075</v>
      </c>
      <c r="P2" s="4088"/>
      <c r="Q2" s="2439" t="s">
        <v>18074</v>
      </c>
      <c r="R2" s="911"/>
      <c r="S2" s="9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c r="BA2" s="11"/>
      <c r="BB2" s="11"/>
      <c r="BC2" s="11"/>
      <c r="BD2" s="11"/>
      <c r="BE2" s="11"/>
      <c r="BF2" s="11"/>
      <c r="BG2" s="11"/>
      <c r="BH2" s="11"/>
      <c r="BI2" s="11"/>
      <c r="BJ2" s="11"/>
      <c r="BK2" s="11"/>
      <c r="BL2" s="11"/>
    </row>
    <row r="3" spans="1:64" ht="15" thickBot="1" x14ac:dyDescent="0.3">
      <c r="A3" s="11"/>
      <c r="B3" s="11"/>
      <c r="C3" s="11"/>
      <c r="D3" s="2433" t="s">
        <v>18118</v>
      </c>
      <c r="E3" s="4118" t="s">
        <v>19967</v>
      </c>
      <c r="F3" s="4119"/>
      <c r="G3" s="12" t="s">
        <v>18120</v>
      </c>
      <c r="H3" s="11"/>
      <c r="I3" s="11"/>
      <c r="J3" s="11"/>
      <c r="K3" s="11"/>
      <c r="L3" s="11"/>
      <c r="M3" s="2459">
        <v>15</v>
      </c>
      <c r="N3" s="911"/>
      <c r="O3" s="4112" t="str">
        <f>E13</f>
        <v>Semi-Annual</v>
      </c>
      <c r="P3" s="4113"/>
      <c r="Q3" s="2440">
        <f>CoStar_Periods_Master</f>
        <v>10</v>
      </c>
      <c r="R3" s="12"/>
      <c r="S3" s="9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row>
    <row r="4" spans="1:64" x14ac:dyDescent="0.25">
      <c r="A4" s="11"/>
      <c r="B4" s="11"/>
      <c r="C4" s="11"/>
      <c r="D4" s="2293" t="s">
        <v>18119</v>
      </c>
      <c r="E4" s="4103" t="s">
        <v>20015</v>
      </c>
      <c r="F4" s="4105"/>
      <c r="G4" s="12" t="s">
        <v>18121</v>
      </c>
      <c r="H4" s="11"/>
      <c r="I4" s="11"/>
      <c r="J4" s="11"/>
      <c r="K4" s="94"/>
      <c r="L4" s="1249"/>
      <c r="M4" s="1249"/>
      <c r="N4" s="1249"/>
      <c r="O4" s="1288"/>
      <c r="P4" s="1288"/>
      <c r="Q4" s="1288"/>
      <c r="R4" s="1288"/>
      <c r="S4" s="1288"/>
      <c r="T4" s="1249"/>
      <c r="U4" s="1249"/>
      <c r="V4" s="2415"/>
      <c r="W4" s="94"/>
      <c r="X4" s="1249"/>
      <c r="Y4" s="1249"/>
      <c r="Z4" s="1249"/>
      <c r="AA4" s="1288"/>
      <c r="AB4" s="1288"/>
      <c r="AC4" s="1288"/>
      <c r="AD4" s="1288"/>
      <c r="AE4" s="1288"/>
      <c r="AF4" s="1249"/>
      <c r="AG4" s="1250"/>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row>
    <row r="5" spans="1:64" ht="17.25" thickBot="1" x14ac:dyDescent="0.35">
      <c r="A5" s="11"/>
      <c r="B5" s="11"/>
      <c r="C5" s="11"/>
      <c r="D5" s="2293" t="s">
        <v>1253</v>
      </c>
      <c r="E5" s="4103" t="s">
        <v>19963</v>
      </c>
      <c r="F5" s="4105"/>
      <c r="G5" s="1612" t="s">
        <v>18419</v>
      </c>
      <c r="H5" s="731"/>
      <c r="I5" s="731"/>
      <c r="J5" s="11"/>
      <c r="K5" s="16"/>
      <c r="L5" s="582"/>
      <c r="M5" s="27" t="str">
        <f>CONCATENATE("Existing Supply and Construction Trends - ",dpMarketStudy_Inventory_Title_1)</f>
        <v>Existing Supply and Construction Trends - Denver MSA</v>
      </c>
      <c r="N5" s="27"/>
      <c r="O5" s="1684"/>
      <c r="P5" s="1684"/>
      <c r="Q5" s="1684"/>
      <c r="R5" s="1684"/>
      <c r="S5" s="2319"/>
      <c r="T5" s="582"/>
      <c r="U5" s="582"/>
      <c r="V5" s="2416"/>
      <c r="W5" s="16"/>
      <c r="X5" s="582"/>
      <c r="Y5" s="27" t="str">
        <f>CONCATENATE("Existing Supply and Construction Trends - ",dpMarketStudy_Inventory_Title_2)</f>
        <v>Existing Supply and Construction Trends - Northwest Denver</v>
      </c>
      <c r="Z5" s="27"/>
      <c r="AA5" s="1684"/>
      <c r="AB5" s="1684"/>
      <c r="AC5" s="1684"/>
      <c r="AD5" s="1684"/>
      <c r="AE5" s="2319"/>
      <c r="AF5" s="582"/>
      <c r="AG5" s="338"/>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row>
    <row r="6" spans="1:64" s="1755" customFormat="1" ht="30" customHeight="1" thickBot="1" x14ac:dyDescent="0.3">
      <c r="A6" s="731"/>
      <c r="B6" s="731"/>
      <c r="C6" s="731"/>
      <c r="D6" s="2293" t="s">
        <v>18106</v>
      </c>
      <c r="E6" s="4120" t="s">
        <v>578</v>
      </c>
      <c r="F6" s="4121"/>
      <c r="G6" s="1612" t="s">
        <v>18419</v>
      </c>
      <c r="H6" s="731"/>
      <c r="I6" s="731"/>
      <c r="J6" s="731"/>
      <c r="K6" s="2494"/>
      <c r="L6" s="2493"/>
      <c r="M6" s="2382"/>
      <c r="N6" s="4109" t="str">
        <f>CoStar_Sector1_Master</f>
        <v>Denver MSA - Industrial</v>
      </c>
      <c r="O6" s="4109"/>
      <c r="P6" s="4109"/>
      <c r="Q6" s="4110" t="str">
        <f>CoStar_Sector2_Master</f>
        <v>Denver MSA - Warehouse</v>
      </c>
      <c r="R6" s="4110"/>
      <c r="S6" s="4110"/>
      <c r="T6" s="2393" t="s">
        <v>18107</v>
      </c>
      <c r="U6" s="2391"/>
      <c r="V6" s="2084"/>
      <c r="W6" s="2494"/>
      <c r="X6" s="2493"/>
      <c r="Y6" s="2382"/>
      <c r="Z6" s="4109" t="str">
        <f>CoStar_Sector3_Master</f>
        <v>Northwest Denver - Industrial</v>
      </c>
      <c r="AA6" s="4109"/>
      <c r="AB6" s="4109"/>
      <c r="AC6" s="4110" t="str">
        <f>CoStar_Sector4_Master</f>
        <v>Northwest Denver - Warehouse</v>
      </c>
      <c r="AD6" s="4110"/>
      <c r="AE6" s="4110"/>
      <c r="AF6" s="2393" t="s">
        <v>18107</v>
      </c>
      <c r="AG6" s="2391"/>
      <c r="AH6" s="731"/>
      <c r="AI6" s="731"/>
      <c r="AJ6" s="731"/>
      <c r="AK6" s="731"/>
      <c r="AL6" s="731"/>
      <c r="AM6" s="731"/>
      <c r="AN6" s="731"/>
      <c r="AO6" s="731"/>
      <c r="AP6" s="731"/>
      <c r="AQ6" s="731"/>
      <c r="AR6" s="731"/>
      <c r="AS6" s="731"/>
      <c r="AT6" s="731"/>
      <c r="AU6" s="731"/>
      <c r="AV6" s="731"/>
      <c r="AW6" s="731"/>
      <c r="AX6" s="731"/>
      <c r="AY6" s="731"/>
      <c r="AZ6" s="731"/>
      <c r="BA6" s="731"/>
      <c r="BB6" s="731"/>
      <c r="BC6" s="731"/>
      <c r="BD6" s="731"/>
      <c r="BE6" s="731"/>
      <c r="BF6" s="731"/>
      <c r="BG6" s="731"/>
      <c r="BH6" s="731"/>
      <c r="BI6" s="731"/>
      <c r="BJ6" s="731"/>
      <c r="BK6" s="731"/>
      <c r="BL6" s="731"/>
    </row>
    <row r="7" spans="1:64" s="1755" customFormat="1" ht="30" thickBot="1" x14ac:dyDescent="0.35">
      <c r="A7" s="731"/>
      <c r="B7" s="731"/>
      <c r="C7" s="731"/>
      <c r="D7" s="2501" t="s">
        <v>18077</v>
      </c>
      <c r="E7" s="2502"/>
      <c r="F7" s="1675"/>
      <c r="G7" s="41"/>
      <c r="H7" s="41"/>
      <c r="I7" s="41"/>
      <c r="J7" s="731"/>
      <c r="K7" s="2494"/>
      <c r="L7" s="4088" t="s">
        <v>1120</v>
      </c>
      <c r="M7" s="4088"/>
      <c r="N7" s="290" t="s">
        <v>18076</v>
      </c>
      <c r="O7" s="2375" t="s">
        <v>18047</v>
      </c>
      <c r="P7" s="2375" t="s">
        <v>18048</v>
      </c>
      <c r="Q7" s="290" t="s">
        <v>18076</v>
      </c>
      <c r="R7" s="2375" t="s">
        <v>18047</v>
      </c>
      <c r="S7" s="2375" t="s">
        <v>18048</v>
      </c>
      <c r="T7" s="2390"/>
      <c r="U7" s="53"/>
      <c r="V7" s="2084"/>
      <c r="W7" s="2494"/>
      <c r="X7" s="4088" t="s">
        <v>1120</v>
      </c>
      <c r="Y7" s="4088"/>
      <c r="Z7" s="290" t="s">
        <v>18076</v>
      </c>
      <c r="AA7" s="2375" t="s">
        <v>18047</v>
      </c>
      <c r="AB7" s="2375" t="s">
        <v>18048</v>
      </c>
      <c r="AC7" s="290" t="s">
        <v>18076</v>
      </c>
      <c r="AD7" s="2375" t="s">
        <v>18047</v>
      </c>
      <c r="AE7" s="2375" t="s">
        <v>18048</v>
      </c>
      <c r="AF7" s="2390"/>
      <c r="AG7" s="128"/>
      <c r="AH7" s="731"/>
      <c r="AI7" s="731"/>
      <c r="AJ7" s="731"/>
      <c r="AK7" s="731"/>
      <c r="AL7" s="731"/>
      <c r="AM7" s="731"/>
      <c r="AN7" s="731"/>
      <c r="AO7" s="731"/>
      <c r="AP7" s="731"/>
      <c r="AQ7" s="731"/>
      <c r="AR7" s="731"/>
      <c r="AS7" s="731"/>
      <c r="AT7" s="731"/>
      <c r="AU7" s="731"/>
      <c r="AV7" s="731"/>
      <c r="AW7" s="731"/>
      <c r="AX7" s="731"/>
      <c r="AY7" s="731"/>
      <c r="AZ7" s="731"/>
      <c r="BA7" s="731"/>
      <c r="BB7" s="731"/>
      <c r="BC7" s="731"/>
      <c r="BD7" s="731"/>
      <c r="BE7" s="731"/>
      <c r="BF7" s="731"/>
      <c r="BG7" s="731"/>
      <c r="BH7" s="731"/>
      <c r="BI7" s="731"/>
      <c r="BJ7" s="731"/>
      <c r="BK7" s="731"/>
      <c r="BL7" s="731"/>
    </row>
    <row r="8" spans="1:64" ht="18" customHeight="1" thickTop="1" x14ac:dyDescent="0.25">
      <c r="A8" s="41">
        <v>1</v>
      </c>
      <c r="B8" s="41"/>
      <c r="C8" s="41"/>
      <c r="D8" s="2503" t="s">
        <v>18093</v>
      </c>
      <c r="E8" s="4124" t="s">
        <v>19968</v>
      </c>
      <c r="F8" s="4125"/>
      <c r="G8" s="4125"/>
      <c r="H8" s="4126"/>
      <c r="I8" s="911"/>
      <c r="J8" s="41"/>
      <c r="K8" s="81"/>
      <c r="L8" s="4111" t="str">
        <f>'MS Data'!D4</f>
        <v>2017 Q2</v>
      </c>
      <c r="M8" s="4111"/>
      <c r="N8" s="2525">
        <f>IFERROR('MS Data'!R4,"-")</f>
        <v>6794</v>
      </c>
      <c r="O8" s="1097" t="str">
        <f>IFERROR(IF(ABS('MS Data'!S4)&gt;=1000000,ROUND('MS Data'!S4/1000000,1)&amp;"M",ROUND('MS Data'!S4/1000,1)&amp;"K"),"-")</f>
        <v>203M</v>
      </c>
      <c r="P8" s="2526" t="str">
        <f>IFERROR(IF(ABS('MS Data'!T4)&gt;=1000000,ROUND('MS Data'!T4/1000000,1)&amp;"M",ROUND('MS Data'!T4/1000,1)&amp;"K"),"-")</f>
        <v>3.4M</v>
      </c>
      <c r="Q8" s="2521">
        <f>IFERROR('MS Data'!U4,"-")</f>
        <v>448</v>
      </c>
      <c r="R8" s="1097" t="str">
        <f>IFERROR(IF(ABS('MS Data'!V4)&gt;=1000000,ROUND('MS Data'!V4/1000000,1)&amp;"M",ROUND('MS Data'!V4/1000,1)&amp;"K"),"-")</f>
        <v>11.9M</v>
      </c>
      <c r="S8" s="1097" t="str">
        <f>IFERROR(IF(ABS('MS Data'!W4)&gt;=1000000,ROUND('MS Data'!W4/1000000,1)&amp;"M",ROUND('MS Data'!W4/1000,1)&amp;"K"),"-")</f>
        <v>202.8K</v>
      </c>
      <c r="T8" s="2386"/>
      <c r="U8" s="1097"/>
      <c r="V8" s="2417"/>
      <c r="W8" s="81"/>
      <c r="X8" s="4111" t="str">
        <f>'MS Data'!D4</f>
        <v>2017 Q2</v>
      </c>
      <c r="Y8" s="4111"/>
      <c r="Z8" s="2525">
        <f>'MS Data'!X4</f>
        <v>689</v>
      </c>
      <c r="AA8" s="1097" t="str">
        <f>IFERROR(IF(ABS('MS Data'!Y4)&gt;=1000000,ROUND('MS Data'!Y4/1000000,1)&amp;"M",ROUND('MS Data'!Y4/1000,1)&amp;"K"),"-")</f>
        <v>19.8M</v>
      </c>
      <c r="AB8" s="2526" t="str">
        <f>IFERROR(IF(ABS('MS Data'!Z4)&gt;=1000000,ROUND('MS Data'!Z4/1000000,1)&amp;"M",ROUND('MS Data'!Z4/1000,1)&amp;"K"),"-")</f>
        <v>454.6K</v>
      </c>
      <c r="AC8" s="2521" t="str">
        <f>'MS Data'!AA4</f>
        <v>-</v>
      </c>
      <c r="AD8" s="1097" t="str">
        <f>IFERROR(IF(ABS('MS Data'!AB4)&gt;=1000000,ROUND('MS Data'!AB4/1000000,1)&amp;"M",ROUND('MS Data'!AB4/1000,1)&amp;"K"),"-")</f>
        <v>-</v>
      </c>
      <c r="AE8" s="1097" t="str">
        <f>IFERROR(IF(ABS('MS Data'!AC4)&gt;=1000000,ROUND('MS Data'!AC4/1000000,1)&amp;"M",ROUND('MS Data'!AC4/1000,1)&amp;"K"),"-")</f>
        <v>-</v>
      </c>
      <c r="AF8" s="2386"/>
      <c r="AG8" s="2517"/>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row>
    <row r="9" spans="1:64" ht="18" customHeight="1" x14ac:dyDescent="0.25">
      <c r="A9" s="41">
        <f t="shared" ref="A9:A18" si="0">IF(L9="",0,1)</f>
        <v>1</v>
      </c>
      <c r="B9" s="41"/>
      <c r="C9" s="41"/>
      <c r="D9" s="2293" t="s">
        <v>18094</v>
      </c>
      <c r="E9" s="4127" t="s">
        <v>20014</v>
      </c>
      <c r="F9" s="4128"/>
      <c r="G9" s="4128"/>
      <c r="H9" s="4129"/>
      <c r="I9" s="911"/>
      <c r="J9" s="41"/>
      <c r="K9" s="81"/>
      <c r="L9" s="4111" t="str">
        <f>'MS Data'!D5</f>
        <v>2017 Q4</v>
      </c>
      <c r="M9" s="4111"/>
      <c r="N9" s="2525">
        <f>IFERROR('MS Data'!R5,"-")</f>
        <v>6807</v>
      </c>
      <c r="O9" s="1097" t="str">
        <f>IFERROR(IF(ABS('MS Data'!S5)&gt;=1000000,ROUND('MS Data'!S5/1000000,1)&amp;"M",ROUND('MS Data'!S5/1000,1)&amp;"K"),"-")</f>
        <v>205.3M</v>
      </c>
      <c r="P9" s="2526" t="str">
        <f>IFERROR(IF(ABS('MS Data'!T5)&gt;=1000000,ROUND('MS Data'!T5/1000000,1)&amp;"M",ROUND('MS Data'!T5/1000,1)&amp;"K"),"-")</f>
        <v>3.5M</v>
      </c>
      <c r="Q9" s="2521">
        <f>IFERROR('MS Data'!U5,"-")</f>
        <v>450</v>
      </c>
      <c r="R9" s="1097" t="str">
        <f>IFERROR(IF(ABS('MS Data'!V5)&gt;=1000000,ROUND('MS Data'!V5/1000000,1)&amp;"M",ROUND('MS Data'!V5/1000,1)&amp;"K"),"-")</f>
        <v>12.1M</v>
      </c>
      <c r="S9" s="1097" t="str">
        <f>IFERROR(IF(ABS('MS Data'!W5)&gt;=1000000,ROUND('MS Data'!W5/1000000,1)&amp;"M",ROUND('MS Data'!W5/1000,1)&amp;"K"),"-")</f>
        <v>199.3K</v>
      </c>
      <c r="T9" s="2386"/>
      <c r="U9" s="1097"/>
      <c r="V9" s="2417"/>
      <c r="W9" s="81"/>
      <c r="X9" s="4111" t="str">
        <f>'MS Data'!D5</f>
        <v>2017 Q4</v>
      </c>
      <c r="Y9" s="4111"/>
      <c r="Z9" s="2525">
        <f>'MS Data'!X5</f>
        <v>692</v>
      </c>
      <c r="AA9" s="1097" t="str">
        <f>IFERROR(IF(ABS('MS Data'!Y5)&gt;=1000000,ROUND('MS Data'!Y5/1000000,1)&amp;"M",ROUND('MS Data'!Y5/1000,1)&amp;"K"),"-")</f>
        <v>20M</v>
      </c>
      <c r="AB9" s="2526" t="str">
        <f>IFERROR(IF(ABS('MS Data'!Z5)&gt;=1000000,ROUND('MS Data'!Z5/1000000,1)&amp;"M",ROUND('MS Data'!Z5/1000,1)&amp;"K"),"-")</f>
        <v>1.3M</v>
      </c>
      <c r="AC9" s="2521" t="str">
        <f>'MS Data'!AA5</f>
        <v>-</v>
      </c>
      <c r="AD9" s="1097" t="str">
        <f>IFERROR(IF(ABS('MS Data'!AB5)&gt;=1000000,ROUND('MS Data'!AB5/1000000,1)&amp;"M",ROUND('MS Data'!AB5/1000,1)&amp;"K"),"-")</f>
        <v>-</v>
      </c>
      <c r="AE9" s="1097" t="str">
        <f>IFERROR(IF(ABS('MS Data'!AC5)&gt;=1000000,ROUND('MS Data'!AC5/1000000,1)&amp;"M",ROUND('MS Data'!AC5/1000,1)&amp;"K"),"-")</f>
        <v>-</v>
      </c>
      <c r="AF9" s="2386"/>
      <c r="AG9" s="2517"/>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row>
    <row r="10" spans="1:64" ht="18" customHeight="1" x14ac:dyDescent="0.25">
      <c r="A10" s="41">
        <f t="shared" si="0"/>
        <v>1</v>
      </c>
      <c r="B10" s="41"/>
      <c r="C10" s="41"/>
      <c r="D10" s="2293" t="s">
        <v>18095</v>
      </c>
      <c r="E10" s="4127" t="s">
        <v>20016</v>
      </c>
      <c r="F10" s="4128"/>
      <c r="G10" s="4128"/>
      <c r="H10" s="4129"/>
      <c r="I10" s="911"/>
      <c r="J10" s="41"/>
      <c r="K10" s="81"/>
      <c r="L10" s="4111" t="str">
        <f>'MS Data'!D6</f>
        <v>2018 Q2</v>
      </c>
      <c r="M10" s="4111"/>
      <c r="N10" s="2525">
        <f>IFERROR('MS Data'!R6,"-")</f>
        <v>6811</v>
      </c>
      <c r="O10" s="1097" t="str">
        <f>IFERROR(IF(ABS('MS Data'!S6)&gt;=1000000,ROUND('MS Data'!S6/1000000,1)&amp;"M",ROUND('MS Data'!S6/1000,1)&amp;"K"),"-")</f>
        <v>206.3M</v>
      </c>
      <c r="P10" s="2526" t="str">
        <f>IFERROR(IF(ABS('MS Data'!T6)&gt;=1000000,ROUND('MS Data'!T6/1000000,1)&amp;"M",ROUND('MS Data'!T6/1000,1)&amp;"K"),"-")</f>
        <v>4.8M</v>
      </c>
      <c r="Q10" s="2521">
        <f>IFERROR('MS Data'!U6,"-")</f>
        <v>451</v>
      </c>
      <c r="R10" s="1097" t="str">
        <f>IFERROR(IF(ABS('MS Data'!V6)&gt;=1000000,ROUND('MS Data'!V6/1000000,1)&amp;"M",ROUND('MS Data'!V6/1000,1)&amp;"K"),"-")</f>
        <v>12.1M</v>
      </c>
      <c r="S10" s="1097" t="str">
        <f>IFERROR(IF(ABS('MS Data'!W6)&gt;=1000000,ROUND('MS Data'!W6/1000000,1)&amp;"M",ROUND('MS Data'!W6/1000,1)&amp;"K"),"-")</f>
        <v>182.3K</v>
      </c>
      <c r="T10" s="2386"/>
      <c r="U10" s="1097"/>
      <c r="V10" s="2417"/>
      <c r="W10" s="81"/>
      <c r="X10" s="4111" t="str">
        <f>'MS Data'!D6</f>
        <v>2018 Q2</v>
      </c>
      <c r="Y10" s="4111"/>
      <c r="Z10" s="2525">
        <f>'MS Data'!X6</f>
        <v>696</v>
      </c>
      <c r="AA10" s="1097" t="str">
        <f>IFERROR(IF(ABS('MS Data'!Y6)&gt;=1000000,ROUND('MS Data'!Y6/1000000,1)&amp;"M",ROUND('MS Data'!Y6/1000,1)&amp;"K"),"-")</f>
        <v>20.2M</v>
      </c>
      <c r="AB10" s="2526" t="str">
        <f>IFERROR(IF(ABS('MS Data'!Z6)&gt;=1000000,ROUND('MS Data'!Z6/1000000,1)&amp;"M",ROUND('MS Data'!Z6/1000,1)&amp;"K"),"-")</f>
        <v>1.3M</v>
      </c>
      <c r="AC10" s="2521" t="str">
        <f>'MS Data'!AA6</f>
        <v>-</v>
      </c>
      <c r="AD10" s="1097" t="str">
        <f>IFERROR(IF(ABS('MS Data'!AB6)&gt;=1000000,ROUND('MS Data'!AB6/1000000,1)&amp;"M",ROUND('MS Data'!AB6/1000,1)&amp;"K"),"-")</f>
        <v>-</v>
      </c>
      <c r="AE10" s="1097" t="str">
        <f>IFERROR(IF(ABS('MS Data'!AC6)&gt;=1000000,ROUND('MS Data'!AC6/1000000,1)&amp;"M",ROUND('MS Data'!AC6/1000,1)&amp;"K"),"-")</f>
        <v>-</v>
      </c>
      <c r="AF10" s="2386"/>
      <c r="AG10" s="2517"/>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row>
    <row r="11" spans="1:64" ht="18" customHeight="1" x14ac:dyDescent="0.25">
      <c r="A11" s="41">
        <f t="shared" si="0"/>
        <v>1</v>
      </c>
      <c r="B11" s="41"/>
      <c r="C11" s="41"/>
      <c r="D11" s="2504" t="s">
        <v>18096</v>
      </c>
      <c r="E11" s="4130" t="s">
        <v>20017</v>
      </c>
      <c r="F11" s="4131"/>
      <c r="G11" s="4131"/>
      <c r="H11" s="4132"/>
      <c r="I11" s="2472"/>
      <c r="J11" s="41"/>
      <c r="K11" s="81"/>
      <c r="L11" s="4111" t="str">
        <f>'MS Data'!D7</f>
        <v>2018 Q4</v>
      </c>
      <c r="M11" s="4111"/>
      <c r="N11" s="2525">
        <f>IFERROR('MS Data'!R7,"-")</f>
        <v>6828</v>
      </c>
      <c r="O11" s="1097" t="str">
        <f>IFERROR(IF(ABS('MS Data'!S7)&gt;=1000000,ROUND('MS Data'!S7/1000000,1)&amp;"M",ROUND('MS Data'!S7/1000,1)&amp;"K"),"-")</f>
        <v>209.4M</v>
      </c>
      <c r="P11" s="2526" t="str">
        <f>IFERROR(IF(ABS('MS Data'!T7)&gt;=1000000,ROUND('MS Data'!T7/1000000,1)&amp;"M",ROUND('MS Data'!T7/1000,1)&amp;"K"),"-")</f>
        <v>5.4M</v>
      </c>
      <c r="Q11" s="2521">
        <f>IFERROR('MS Data'!U7,"-")</f>
        <v>453</v>
      </c>
      <c r="R11" s="1097" t="str">
        <f>IFERROR(IF(ABS('MS Data'!V7)&gt;=1000000,ROUND('MS Data'!V7/1000000,1)&amp;"M",ROUND('MS Data'!V7/1000,1)&amp;"K"),"-")</f>
        <v>12.3M</v>
      </c>
      <c r="S11" s="1097" t="str">
        <f>IFERROR(IF(ABS('MS Data'!W7)&gt;=1000000,ROUND('MS Data'!W7/1000000,1)&amp;"M",ROUND('MS Data'!W7/1000,1)&amp;"K"),"-")</f>
        <v>433.9K</v>
      </c>
      <c r="T11" s="2386"/>
      <c r="U11" s="1097"/>
      <c r="V11" s="2417"/>
      <c r="W11" s="81"/>
      <c r="X11" s="4111" t="str">
        <f>'MS Data'!D7</f>
        <v>2018 Q4</v>
      </c>
      <c r="Y11" s="4111"/>
      <c r="Z11" s="2525">
        <f>'MS Data'!X7</f>
        <v>700</v>
      </c>
      <c r="AA11" s="1097" t="str">
        <f>IFERROR(IF(ABS('MS Data'!Y7)&gt;=1000000,ROUND('MS Data'!Y7/1000000,1)&amp;"M",ROUND('MS Data'!Y7/1000,1)&amp;"K"),"-")</f>
        <v>20.6M</v>
      </c>
      <c r="AB11" s="2526" t="str">
        <f>IFERROR(IF(ABS('MS Data'!Z7)&gt;=1000000,ROUND('MS Data'!Z7/1000000,1)&amp;"M",ROUND('MS Data'!Z7/1000,1)&amp;"K"),"-")</f>
        <v>1.4M</v>
      </c>
      <c r="AC11" s="2521" t="str">
        <f>'MS Data'!AA7</f>
        <v>-</v>
      </c>
      <c r="AD11" s="1097" t="str">
        <f>IFERROR(IF(ABS('MS Data'!AB7)&gt;=1000000,ROUND('MS Data'!AB7/1000000,1)&amp;"M",ROUND('MS Data'!AB7/1000,1)&amp;"K"),"-")</f>
        <v>-</v>
      </c>
      <c r="AE11" s="1097" t="str">
        <f>IFERROR(IF(ABS('MS Data'!AC7)&gt;=1000000,ROUND('MS Data'!AC7/1000000,1)&amp;"M",ROUND('MS Data'!AC7/1000,1)&amp;"K"),"-")</f>
        <v>-</v>
      </c>
      <c r="AF11" s="2386"/>
      <c r="AG11" s="2517"/>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row>
    <row r="12" spans="1:64" ht="18" customHeight="1" x14ac:dyDescent="0.25">
      <c r="A12" s="41">
        <f t="shared" si="0"/>
        <v>1</v>
      </c>
      <c r="B12" s="41"/>
      <c r="C12" s="41"/>
      <c r="D12" s="2293" t="s">
        <v>18073</v>
      </c>
      <c r="E12" s="2380">
        <v>3</v>
      </c>
      <c r="F12" s="4122" t="s">
        <v>18097</v>
      </c>
      <c r="G12" s="4123"/>
      <c r="H12" s="4123"/>
      <c r="I12" s="4123"/>
      <c r="J12" s="41"/>
      <c r="K12" s="81"/>
      <c r="L12" s="4111" t="str">
        <f>'MS Data'!D8</f>
        <v>2019 Q2</v>
      </c>
      <c r="M12" s="4111"/>
      <c r="N12" s="2525">
        <f>IFERROR('MS Data'!R8,"-")</f>
        <v>6841</v>
      </c>
      <c r="O12" s="1097" t="str">
        <f>IFERROR(IF(ABS('MS Data'!S8)&gt;=1000000,ROUND('MS Data'!S8/1000000,1)&amp;"M",ROUND('MS Data'!S8/1000,1)&amp;"K"),"-")</f>
        <v>211.5M</v>
      </c>
      <c r="P12" s="2526" t="str">
        <f>IFERROR(IF(ABS('MS Data'!T8)&gt;=1000000,ROUND('MS Data'!T8/1000000,1)&amp;"M",ROUND('MS Data'!T8/1000,1)&amp;"K"),"-")</f>
        <v>5.6M</v>
      </c>
      <c r="Q12" s="2521">
        <f>IFERROR('MS Data'!U8,"-")</f>
        <v>454</v>
      </c>
      <c r="R12" s="1097" t="str">
        <f>IFERROR(IF(ABS('MS Data'!V8)&gt;=1000000,ROUND('MS Data'!V8/1000000,1)&amp;"M",ROUND('MS Data'!V8/1000,1)&amp;"K"),"-")</f>
        <v>12.3M</v>
      </c>
      <c r="S12" s="1097" t="str">
        <f>IFERROR(IF(ABS('MS Data'!W8)&gt;=1000000,ROUND('MS Data'!W8/1000000,1)&amp;"M",ROUND('MS Data'!W8/1000,1)&amp;"K"),"-")</f>
        <v>446.4K</v>
      </c>
      <c r="T12" s="2386"/>
      <c r="U12" s="1097"/>
      <c r="V12" s="2417"/>
      <c r="W12" s="81"/>
      <c r="X12" s="4111" t="str">
        <f>'MS Data'!D8</f>
        <v>2019 Q2</v>
      </c>
      <c r="Y12" s="4111"/>
      <c r="Z12" s="2525">
        <f>'MS Data'!X8</f>
        <v>703</v>
      </c>
      <c r="AA12" s="1097" t="str">
        <f>IFERROR(IF(ABS('MS Data'!Y8)&gt;=1000000,ROUND('MS Data'!Y8/1000000,1)&amp;"M",ROUND('MS Data'!Y8/1000,1)&amp;"K"),"-")</f>
        <v>21.5M</v>
      </c>
      <c r="AB12" s="2526" t="str">
        <f>IFERROR(IF(ABS('MS Data'!Z8)&gt;=1000000,ROUND('MS Data'!Z8/1000000,1)&amp;"M",ROUND('MS Data'!Z8/1000,1)&amp;"K"),"-")</f>
        <v>745.4K</v>
      </c>
      <c r="AC12" s="2521" t="str">
        <f>'MS Data'!AA8</f>
        <v>-</v>
      </c>
      <c r="AD12" s="1097" t="str">
        <f>IFERROR(IF(ABS('MS Data'!AB8)&gt;=1000000,ROUND('MS Data'!AB8/1000000,1)&amp;"M",ROUND('MS Data'!AB8/1000,1)&amp;"K"),"-")</f>
        <v>-</v>
      </c>
      <c r="AE12" s="1097" t="str">
        <f>IFERROR(IF(ABS('MS Data'!AC8)&gt;=1000000,ROUND('MS Data'!AC8/1000000,1)&amp;"M",ROUND('MS Data'!AC8/1000,1)&amp;"K"),"-")</f>
        <v>-</v>
      </c>
      <c r="AF12" s="2386"/>
      <c r="AG12" s="2517"/>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row>
    <row r="13" spans="1:64" ht="18" customHeight="1" x14ac:dyDescent="0.25">
      <c r="A13" s="41">
        <f t="shared" si="0"/>
        <v>1</v>
      </c>
      <c r="B13" s="41"/>
      <c r="C13" s="41"/>
      <c r="D13" s="2293" t="s">
        <v>18099</v>
      </c>
      <c r="E13" s="2380" t="s">
        <v>18051</v>
      </c>
      <c r="F13" s="4122"/>
      <c r="G13" s="4123"/>
      <c r="H13" s="4123"/>
      <c r="I13" s="4123"/>
      <c r="J13" s="41"/>
      <c r="K13" s="81"/>
      <c r="L13" s="4111" t="str">
        <f>'MS Data'!D9</f>
        <v>2019 Q4</v>
      </c>
      <c r="M13" s="4111"/>
      <c r="N13" s="2525">
        <f>IFERROR('MS Data'!R9,"-")</f>
        <v>6858</v>
      </c>
      <c r="O13" s="1097" t="str">
        <f>IFERROR(IF(ABS('MS Data'!S9)&gt;=1000000,ROUND('MS Data'!S9/1000000,1)&amp;"M",ROUND('MS Data'!S9/1000,1)&amp;"K"),"-")</f>
        <v>214.6M</v>
      </c>
      <c r="P13" s="2526" t="str">
        <f>IFERROR(IF(ABS('MS Data'!T9)&gt;=1000000,ROUND('MS Data'!T9/1000000,1)&amp;"M",ROUND('MS Data'!T9/1000,1)&amp;"K"),"-")</f>
        <v>5.2M</v>
      </c>
      <c r="Q13" s="2521">
        <f>IFERROR('MS Data'!U9,"-")</f>
        <v>455</v>
      </c>
      <c r="R13" s="1097" t="str">
        <f>IFERROR(IF(ABS('MS Data'!V9)&gt;=1000000,ROUND('MS Data'!V9/1000000,1)&amp;"M",ROUND('MS Data'!V9/1000,1)&amp;"K"),"-")</f>
        <v>12.3M</v>
      </c>
      <c r="S13" s="1097" t="str">
        <f>IFERROR(IF(ABS('MS Data'!W9)&gt;=1000000,ROUND('MS Data'!W9/1000000,1)&amp;"M",ROUND('MS Data'!W9/1000,1)&amp;"K"),"-")</f>
        <v>559.9K</v>
      </c>
      <c r="T13" s="2386"/>
      <c r="U13" s="1097"/>
      <c r="V13" s="2417"/>
      <c r="W13" s="81"/>
      <c r="X13" s="4111" t="str">
        <f>'MS Data'!D9</f>
        <v>2019 Q4</v>
      </c>
      <c r="Y13" s="4111"/>
      <c r="Z13" s="2525">
        <f>'MS Data'!X9</f>
        <v>706</v>
      </c>
      <c r="AA13" s="1097" t="str">
        <f>IFERROR(IF(ABS('MS Data'!Y9)&gt;=1000000,ROUND('MS Data'!Y9/1000000,1)&amp;"M",ROUND('MS Data'!Y9/1000,1)&amp;"K"),"-")</f>
        <v>21.7M</v>
      </c>
      <c r="AB13" s="2526" t="str">
        <f>IFERROR(IF(ABS('MS Data'!Z9)&gt;=1000000,ROUND('MS Data'!Z9/1000000,1)&amp;"M",ROUND('MS Data'!Z9/1000,1)&amp;"K"),"-")</f>
        <v>1.1M</v>
      </c>
      <c r="AC13" s="2521" t="str">
        <f>'MS Data'!AA9</f>
        <v>-</v>
      </c>
      <c r="AD13" s="1097" t="str">
        <f>IFERROR(IF(ABS('MS Data'!AB9)&gt;=1000000,ROUND('MS Data'!AB9/1000000,1)&amp;"M",ROUND('MS Data'!AB9/1000,1)&amp;"K"),"-")</f>
        <v>-</v>
      </c>
      <c r="AE13" s="1097" t="str">
        <f>IFERROR(IF(ABS('MS Data'!AC9)&gt;=1000000,ROUND('MS Data'!AC9/1000000,1)&amp;"M",ROUND('MS Data'!AC9/1000,1)&amp;"K"),"-")</f>
        <v>-</v>
      </c>
      <c r="AF13" s="2386"/>
      <c r="AG13" s="2517"/>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row>
    <row r="14" spans="1:64" ht="18" customHeight="1" thickBot="1" x14ac:dyDescent="0.3">
      <c r="A14" s="41">
        <f t="shared" si="0"/>
        <v>1</v>
      </c>
      <c r="B14" s="41"/>
      <c r="C14" s="41"/>
      <c r="D14" s="2298" t="s">
        <v>18098</v>
      </c>
      <c r="E14" s="2379">
        <v>10</v>
      </c>
      <c r="F14" s="2546"/>
      <c r="G14" s="2472"/>
      <c r="H14" s="2472"/>
      <c r="I14" s="2472"/>
      <c r="J14" s="41"/>
      <c r="K14" s="81"/>
      <c r="L14" s="4111" t="str">
        <f>'MS Data'!D10</f>
        <v>2020 Q2</v>
      </c>
      <c r="M14" s="4111"/>
      <c r="N14" s="2525">
        <f>IFERROR('MS Data'!R10,"-")</f>
        <v>6864</v>
      </c>
      <c r="O14" s="1097" t="str">
        <f>IFERROR(IF(ABS('MS Data'!S10)&gt;=1000000,ROUND('MS Data'!S10/1000000,1)&amp;"M",ROUND('MS Data'!S10/1000,1)&amp;"K"),"-")</f>
        <v>217M</v>
      </c>
      <c r="P14" s="2526" t="str">
        <f>IFERROR(IF(ABS('MS Data'!T10)&gt;=1000000,ROUND('MS Data'!T10/1000000,1)&amp;"M",ROUND('MS Data'!T10/1000,1)&amp;"K"),"-")</f>
        <v>5.8M</v>
      </c>
      <c r="Q14" s="2521">
        <f>IFERROR('MS Data'!U10,"-")</f>
        <v>455</v>
      </c>
      <c r="R14" s="1097" t="str">
        <f>IFERROR(IF(ABS('MS Data'!V10)&gt;=1000000,ROUND('MS Data'!V10/1000000,1)&amp;"M",ROUND('MS Data'!V10/1000,1)&amp;"K"),"-")</f>
        <v>12.3M</v>
      </c>
      <c r="S14" s="1097" t="str">
        <f>IFERROR(IF(ABS('MS Data'!W10)&gt;=1000000,ROUND('MS Data'!W10/1000000,1)&amp;"M",ROUND('MS Data'!W10/1000,1)&amp;"K"),"-")</f>
        <v>798.8K</v>
      </c>
      <c r="T14" s="2386"/>
      <c r="U14" s="1097"/>
      <c r="V14" s="2417"/>
      <c r="W14" s="81"/>
      <c r="X14" s="4111" t="str">
        <f>'MS Data'!D10</f>
        <v>2020 Q2</v>
      </c>
      <c r="Y14" s="4111"/>
      <c r="Z14" s="2525">
        <f>'MS Data'!X10</f>
        <v>707</v>
      </c>
      <c r="AA14" s="1097" t="str">
        <f>IFERROR(IF(ABS('MS Data'!Y10)&gt;=1000000,ROUND('MS Data'!Y10/1000000,1)&amp;"M",ROUND('MS Data'!Y10/1000,1)&amp;"K"),"-")</f>
        <v>21.8M</v>
      </c>
      <c r="AB14" s="2526" t="str">
        <f>IFERROR(IF(ABS('MS Data'!Z10)&gt;=1000000,ROUND('MS Data'!Z10/1000000,1)&amp;"M",ROUND('MS Data'!Z10/1000,1)&amp;"K"),"-")</f>
        <v>1.3M</v>
      </c>
      <c r="AC14" s="2521" t="str">
        <f>'MS Data'!AA10</f>
        <v>-</v>
      </c>
      <c r="AD14" s="1097" t="str">
        <f>IFERROR(IF(ABS('MS Data'!AB10)&gt;=1000000,ROUND('MS Data'!AB10/1000000,1)&amp;"M",ROUND('MS Data'!AB10/1000,1)&amp;"K"),"-")</f>
        <v>-</v>
      </c>
      <c r="AE14" s="1097" t="str">
        <f>IFERROR(IF(ABS('MS Data'!AC10)&gt;=1000000,ROUND('MS Data'!AC10/1000000,1)&amp;"M",ROUND('MS Data'!AC10/1000,1)&amp;"K"),"-")</f>
        <v>-</v>
      </c>
      <c r="AF14" s="2386"/>
      <c r="AG14" s="2517"/>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row>
    <row r="15" spans="1:64" ht="18" customHeight="1" x14ac:dyDescent="0.25">
      <c r="A15" s="41">
        <f t="shared" si="0"/>
        <v>1</v>
      </c>
      <c r="B15" s="41"/>
      <c r="C15" s="41"/>
      <c r="D15" s="41"/>
      <c r="E15" s="41"/>
      <c r="F15" s="41"/>
      <c r="G15" s="41"/>
      <c r="H15" s="41"/>
      <c r="I15" s="41"/>
      <c r="J15" s="41"/>
      <c r="K15" s="81"/>
      <c r="L15" s="4111" t="str">
        <f>'MS Data'!D11</f>
        <v>2020 Q4</v>
      </c>
      <c r="M15" s="4111"/>
      <c r="N15" s="2525">
        <f>IFERROR('MS Data'!R11,"-")</f>
        <v>6878</v>
      </c>
      <c r="O15" s="1097" t="str">
        <f>IFERROR(IF(ABS('MS Data'!S11)&gt;=1000000,ROUND('MS Data'!S11/1000000,1)&amp;"M",ROUND('MS Data'!S11/1000,1)&amp;"K"),"-")</f>
        <v>219M</v>
      </c>
      <c r="P15" s="2526" t="str">
        <f>IFERROR(IF(ABS('MS Data'!T11)&gt;=1000000,ROUND('MS Data'!T11/1000000,1)&amp;"M",ROUND('MS Data'!T11/1000,1)&amp;"K"),"-")</f>
        <v>7.9M</v>
      </c>
      <c r="Q15" s="2521">
        <f>IFERROR('MS Data'!U11,"-")</f>
        <v>455</v>
      </c>
      <c r="R15" s="1097" t="str">
        <f>IFERROR(IF(ABS('MS Data'!V11)&gt;=1000000,ROUND('MS Data'!V11/1000000,1)&amp;"M",ROUND('MS Data'!V11/1000,1)&amp;"K"),"-")</f>
        <v>12.4M</v>
      </c>
      <c r="S15" s="1097" t="str">
        <f>IFERROR(IF(ABS('MS Data'!W11)&gt;=1000000,ROUND('MS Data'!W11/1000000,1)&amp;"M",ROUND('MS Data'!W11/1000,1)&amp;"K"),"-")</f>
        <v>1.3M</v>
      </c>
      <c r="T15" s="2386"/>
      <c r="U15" s="1097"/>
      <c r="V15" s="2417"/>
      <c r="W15" s="81"/>
      <c r="X15" s="4111" t="str">
        <f>'MS Data'!D11</f>
        <v>2020 Q4</v>
      </c>
      <c r="Y15" s="4111"/>
      <c r="Z15" s="2525">
        <f>'MS Data'!X11</f>
        <v>708</v>
      </c>
      <c r="AA15" s="1097" t="str">
        <f>IFERROR(IF(ABS('MS Data'!Y11)&gt;=1000000,ROUND('MS Data'!Y11/1000000,1)&amp;"M",ROUND('MS Data'!Y11/1000,1)&amp;"K"),"-")</f>
        <v>22.2M</v>
      </c>
      <c r="AB15" s="2526" t="str">
        <f>IFERROR(IF(ABS('MS Data'!Z11)&gt;=1000000,ROUND('MS Data'!Z11/1000000,1)&amp;"M",ROUND('MS Data'!Z11/1000,1)&amp;"K"),"-")</f>
        <v>2.1M</v>
      </c>
      <c r="AC15" s="2521" t="str">
        <f>'MS Data'!AA11</f>
        <v>-</v>
      </c>
      <c r="AD15" s="1097" t="str">
        <f>IFERROR(IF(ABS('MS Data'!AB11)&gt;=1000000,ROUND('MS Data'!AB11/1000000,1)&amp;"M",ROUND('MS Data'!AB11/1000,1)&amp;"K"),"-")</f>
        <v>-</v>
      </c>
      <c r="AE15" s="1097" t="str">
        <f>IFERROR(IF(ABS('MS Data'!AC11)&gt;=1000000,ROUND('MS Data'!AC11/1000000,1)&amp;"M",ROUND('MS Data'!AC11/1000,1)&amp;"K"),"-")</f>
        <v>-</v>
      </c>
      <c r="AF15" s="2386"/>
      <c r="AG15" s="2517"/>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row>
    <row r="16" spans="1:64" ht="18" customHeight="1" x14ac:dyDescent="0.25">
      <c r="A16" s="41">
        <f t="shared" si="0"/>
        <v>1</v>
      </c>
      <c r="B16" s="41"/>
      <c r="C16" s="41"/>
      <c r="D16" s="41"/>
      <c r="E16" s="41"/>
      <c r="F16" s="41"/>
      <c r="G16" s="41"/>
      <c r="H16" s="41"/>
      <c r="I16" s="41"/>
      <c r="J16" s="41"/>
      <c r="K16" s="81"/>
      <c r="L16" s="4111" t="str">
        <f>'MS Data'!D12</f>
        <v>2021 Q2</v>
      </c>
      <c r="M16" s="4111"/>
      <c r="N16" s="2525">
        <f>IFERROR('MS Data'!R12,"-")</f>
        <v>6891</v>
      </c>
      <c r="O16" s="1097" t="str">
        <f>IFERROR(IF(ABS('MS Data'!S12)&gt;=1000000,ROUND('MS Data'!S12/1000000,1)&amp;"M",ROUND('MS Data'!S12/1000,1)&amp;"K"),"-")</f>
        <v>222.3M</v>
      </c>
      <c r="P16" s="2526" t="str">
        <f>IFERROR(IF(ABS('MS Data'!T12)&gt;=1000000,ROUND('MS Data'!T12/1000000,1)&amp;"M",ROUND('MS Data'!T12/1000,1)&amp;"K"),"-")</f>
        <v>9M</v>
      </c>
      <c r="Q16" s="2521">
        <f>IFERROR('MS Data'!U12,"-")</f>
        <v>456</v>
      </c>
      <c r="R16" s="1097" t="str">
        <f>IFERROR(IF(ABS('MS Data'!V12)&gt;=1000000,ROUND('MS Data'!V12/1000000,1)&amp;"M",ROUND('MS Data'!V12/1000,1)&amp;"K"),"-")</f>
        <v>12.7M</v>
      </c>
      <c r="S16" s="1097" t="str">
        <f>IFERROR(IF(ABS('MS Data'!W12)&gt;=1000000,ROUND('MS Data'!W12/1000000,1)&amp;"M",ROUND('MS Data'!W12/1000,1)&amp;"K"),"-")</f>
        <v>1.2M</v>
      </c>
      <c r="T16" s="2386"/>
      <c r="U16" s="1097"/>
      <c r="V16" s="2417"/>
      <c r="W16" s="81"/>
      <c r="X16" s="4111" t="str">
        <f>'MS Data'!D12</f>
        <v>2021 Q2</v>
      </c>
      <c r="Y16" s="4111"/>
      <c r="Z16" s="2525">
        <f>'MS Data'!X12</f>
        <v>711</v>
      </c>
      <c r="AA16" s="1097" t="str">
        <f>IFERROR(IF(ABS('MS Data'!Y12)&gt;=1000000,ROUND('MS Data'!Y12/1000000,1)&amp;"M",ROUND('MS Data'!Y12/1000,1)&amp;"K"),"-")</f>
        <v>22.6M</v>
      </c>
      <c r="AB16" s="2526" t="str">
        <f>IFERROR(IF(ABS('MS Data'!Z12)&gt;=1000000,ROUND('MS Data'!Z12/1000000,1)&amp;"M",ROUND('MS Data'!Z12/1000,1)&amp;"K"),"-")</f>
        <v>2.1M</v>
      </c>
      <c r="AC16" s="2521" t="str">
        <f>'MS Data'!AA12</f>
        <v>-</v>
      </c>
      <c r="AD16" s="1097" t="str">
        <f>IFERROR(IF(ABS('MS Data'!AB12)&gt;=1000000,ROUND('MS Data'!AB12/1000000,1)&amp;"M",ROUND('MS Data'!AB12/1000,1)&amp;"K"),"-")</f>
        <v>-</v>
      </c>
      <c r="AE16" s="1097" t="str">
        <f>IFERROR(IF(ABS('MS Data'!AC12)&gt;=1000000,ROUND('MS Data'!AC12/1000000,1)&amp;"M",ROUND('MS Data'!AC12/1000,1)&amp;"K"),"-")</f>
        <v>-</v>
      </c>
      <c r="AF16" s="2386"/>
      <c r="AG16" s="2517"/>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row>
    <row r="17" spans="1:64" ht="18" customHeight="1" x14ac:dyDescent="0.25">
      <c r="A17" s="41">
        <f t="shared" si="0"/>
        <v>1</v>
      </c>
      <c r="B17" s="41"/>
      <c r="C17" s="41"/>
      <c r="D17" s="41"/>
      <c r="E17" s="41"/>
      <c r="F17" s="41"/>
      <c r="G17" s="41"/>
      <c r="H17" s="41"/>
      <c r="I17" s="41"/>
      <c r="J17" s="41"/>
      <c r="K17" s="81"/>
      <c r="L17" s="4111" t="str">
        <f>'MS Data'!D13</f>
        <v>2021 Q4</v>
      </c>
      <c r="M17" s="4111"/>
      <c r="N17" s="2525">
        <f>IFERROR('MS Data'!R13,"-")</f>
        <v>6896</v>
      </c>
      <c r="O17" s="1097" t="str">
        <f>IFERROR(IF(ABS('MS Data'!S13)&gt;=1000000,ROUND('MS Data'!S13/1000000,1)&amp;"M",ROUND('MS Data'!S13/1000,1)&amp;"K"),"-")</f>
        <v>227.2M</v>
      </c>
      <c r="P17" s="2526" t="str">
        <f>IFERROR(IF(ABS('MS Data'!T13)&gt;=1000000,ROUND('MS Data'!T13/1000000,1)&amp;"M",ROUND('MS Data'!T13/1000,1)&amp;"K"),"-")</f>
        <v>8.2M</v>
      </c>
      <c r="Q17" s="2521">
        <f>IFERROR('MS Data'!U13,"-")</f>
        <v>460</v>
      </c>
      <c r="R17" s="1097" t="str">
        <f>IFERROR(IF(ABS('MS Data'!V13)&gt;=1000000,ROUND('MS Data'!V13/1000000,1)&amp;"M",ROUND('MS Data'!V13/1000,1)&amp;"K"),"-")</f>
        <v>13.7M</v>
      </c>
      <c r="S17" s="1097" t="str">
        <f>IFERROR(IF(ABS('MS Data'!W13)&gt;=1000000,ROUND('MS Data'!W13/1000000,1)&amp;"M",ROUND('MS Data'!W13/1000,1)&amp;"K"),"-")</f>
        <v>895.5K</v>
      </c>
      <c r="T17" s="2386"/>
      <c r="U17" s="1097"/>
      <c r="V17" s="2417"/>
      <c r="W17" s="81"/>
      <c r="X17" s="4111" t="str">
        <f>'MS Data'!D13</f>
        <v>2021 Q4</v>
      </c>
      <c r="Y17" s="4111"/>
      <c r="Z17" s="2525">
        <f>'MS Data'!X13</f>
        <v>719</v>
      </c>
      <c r="AA17" s="1097" t="str">
        <f>IFERROR(IF(ABS('MS Data'!Y13)&gt;=1000000,ROUND('MS Data'!Y13/1000000,1)&amp;"M",ROUND('MS Data'!Y13/1000,1)&amp;"K"),"-")</f>
        <v>24.1M</v>
      </c>
      <c r="AB17" s="2526" t="str">
        <f>IFERROR(IF(ABS('MS Data'!Z13)&gt;=1000000,ROUND('MS Data'!Z13/1000000,1)&amp;"M",ROUND('MS Data'!Z13/1000,1)&amp;"K"),"-")</f>
        <v>1.4M</v>
      </c>
      <c r="AC17" s="2521" t="str">
        <f>'MS Data'!AA13</f>
        <v>-</v>
      </c>
      <c r="AD17" s="1097" t="str">
        <f>IFERROR(IF(ABS('MS Data'!AB13)&gt;=1000000,ROUND('MS Data'!AB13/1000000,1)&amp;"M",ROUND('MS Data'!AB13/1000,1)&amp;"K"),"-")</f>
        <v>-</v>
      </c>
      <c r="AE17" s="1097" t="str">
        <f>IFERROR(IF(ABS('MS Data'!AC13)&gt;=1000000,ROUND('MS Data'!AC13/1000000,1)&amp;"M",ROUND('MS Data'!AC13/1000,1)&amp;"K"),"-")</f>
        <v>-</v>
      </c>
      <c r="AF17" s="2386"/>
      <c r="AG17" s="2517"/>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row>
    <row r="18" spans="1:64" ht="18" customHeight="1" x14ac:dyDescent="0.25">
      <c r="A18" s="41">
        <f t="shared" si="0"/>
        <v>1</v>
      </c>
      <c r="B18" s="41"/>
      <c r="C18" s="41"/>
      <c r="D18" s="41"/>
      <c r="E18" s="41"/>
      <c r="F18" s="41"/>
      <c r="G18" s="41"/>
      <c r="H18" s="41"/>
      <c r="I18" s="41"/>
      <c r="J18" s="41"/>
      <c r="K18" s="81"/>
      <c r="L18" s="4111" t="str">
        <f>'MS Data'!D14</f>
        <v>2022 Q2</v>
      </c>
      <c r="M18" s="4111"/>
      <c r="N18" s="2527">
        <f>IFERROR('MS Data'!R14,"-")</f>
        <v>6910</v>
      </c>
      <c r="O18" s="2528" t="str">
        <f>IFERROR(IF(ABS('MS Data'!S14)&gt;=1000000,ROUND('MS Data'!S14/1000000,1)&amp;"M",ROUND('MS Data'!S14/1000,1)&amp;"K"),"-")</f>
        <v>229.8M</v>
      </c>
      <c r="P18" s="2529" t="str">
        <f>IFERROR(IF(ABS('MS Data'!T14)&gt;=1000000,ROUND('MS Data'!T14/1000000,1)&amp;"M",ROUND('MS Data'!T14/1000,1)&amp;"K"),"-")</f>
        <v>9.6M</v>
      </c>
      <c r="Q18" s="2521">
        <f>IFERROR('MS Data'!U14,"-")</f>
        <v>461</v>
      </c>
      <c r="R18" s="1097" t="str">
        <f>IFERROR(IF(ABS('MS Data'!V14)&gt;=1000000,ROUND('MS Data'!V14/1000000,1)&amp;"M",ROUND('MS Data'!V14/1000,1)&amp;"K"),"-")</f>
        <v>13.8M</v>
      </c>
      <c r="S18" s="1097" t="str">
        <f>IFERROR(IF(ABS('MS Data'!W14)&gt;=1000000,ROUND('MS Data'!W14/1000000,1)&amp;"M",ROUND('MS Data'!W14/1000,1)&amp;"K"),"-")</f>
        <v>1M</v>
      </c>
      <c r="T18" s="2386"/>
      <c r="U18" s="1097"/>
      <c r="V18" s="2417"/>
      <c r="W18" s="81"/>
      <c r="X18" s="4111" t="str">
        <f>'MS Data'!D14</f>
        <v>2022 Q2</v>
      </c>
      <c r="Y18" s="4111"/>
      <c r="Z18" s="2527">
        <f>'MS Data'!X14</f>
        <v>721</v>
      </c>
      <c r="AA18" s="2528" t="str">
        <f>IFERROR(IF(ABS('MS Data'!Y14)&gt;=1000000,ROUND('MS Data'!Y14/1000000,1)&amp;"M",ROUND('MS Data'!Y14/1000,1)&amp;"K"),"-")</f>
        <v>24.5M</v>
      </c>
      <c r="AB18" s="2529" t="str">
        <f>IFERROR(IF(ABS('MS Data'!Z14)&gt;=1000000,ROUND('MS Data'!Z14/1000000,1)&amp;"M",ROUND('MS Data'!Z14/1000,1)&amp;"K"),"-")</f>
        <v>1.4M</v>
      </c>
      <c r="AC18" s="2521" t="str">
        <f>'MS Data'!AA14</f>
        <v>-</v>
      </c>
      <c r="AD18" s="1097" t="str">
        <f>IFERROR(IF(ABS('MS Data'!AB14)&gt;=1000000,ROUND('MS Data'!AB14/1000000,1)&amp;"M",ROUND('MS Data'!AB14/1000,1)&amp;"K"),"-")</f>
        <v>-</v>
      </c>
      <c r="AE18" s="1097" t="str">
        <f>IFERROR(IF(ABS('MS Data'!AC14)&gt;=1000000,ROUND('MS Data'!AC14/1000000,1)&amp;"M",ROUND('MS Data'!AC14/1000,1)&amp;"K"),"-")</f>
        <v>-</v>
      </c>
      <c r="AF18" s="2386"/>
      <c r="AG18" s="2517"/>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row>
    <row r="19" spans="1:64" s="1755" customFormat="1" ht="18" customHeight="1" thickBot="1" x14ac:dyDescent="0.3">
      <c r="A19" s="707">
        <f>IF(SUM(A8:A17)&gt;2,1,0)</f>
        <v>1</v>
      </c>
      <c r="B19" s="707"/>
      <c r="C19" s="707"/>
      <c r="D19" s="1290"/>
      <c r="E19" s="12"/>
      <c r="F19" s="707"/>
      <c r="G19" s="707"/>
      <c r="H19" s="707"/>
      <c r="I19" s="707"/>
      <c r="J19" s="707"/>
      <c r="K19" s="2495"/>
      <c r="L19" s="1627"/>
      <c r="M19" s="2389" t="str">
        <f>CONCATENATE(O3," Average")</f>
        <v>Semi-Annual Average</v>
      </c>
      <c r="N19" s="2389"/>
      <c r="O19" s="2388"/>
      <c r="P19" s="2381" t="str">
        <f ca="1">IF(ABS(AVERAGE(Chart_Construction1A))&gt;=1000000,ROUND(AVERAGE(Chart_Construction1A)/1000000,1)&amp;"M",ROUND(AVERAGE(Chart_Construction1A)/1000,1)&amp;"K")</f>
        <v>6.2M</v>
      </c>
      <c r="Q19" s="2381"/>
      <c r="R19" s="2381"/>
      <c r="S19" s="2520" t="str">
        <f ca="1">IF(ABS(AVERAGE(Chart_Construction1B))&gt;=1000000,ROUND(AVERAGE(Chart_Construction1B)/1000000,1)&amp;"M",ROUND(AVERAGE(Chart_Construction1B)/1000,1)&amp;"K")</f>
        <v>665.6K</v>
      </c>
      <c r="T19" s="2387"/>
      <c r="U19" s="2392"/>
      <c r="V19" s="2418"/>
      <c r="W19" s="2495"/>
      <c r="X19" s="1627"/>
      <c r="Y19" s="2389" t="str">
        <f>CONCATENATE(O3," Average")</f>
        <v>Semi-Annual Average</v>
      </c>
      <c r="Z19" s="2389"/>
      <c r="AA19" s="2388"/>
      <c r="AB19" s="2381" t="str">
        <f ca="1">IF(ABS(AVERAGE(Chart_Construction2A))&gt;=1000000,ROUND(AVERAGE(Chart_Construction2A)/1000000,1)&amp;"M",ROUND(AVERAGE(Chart_Construction2A)/1000,1)&amp;"K")</f>
        <v>1.3M</v>
      </c>
      <c r="AC19" s="2381"/>
      <c r="AD19" s="2381"/>
      <c r="AE19" s="2520" t="e">
        <f ca="1">IF(ABS(AVERAGE(Chart_Construction2B))&gt;=1000000,ROUND(AVERAGE(Chart_Construction2B)/1000000,1)&amp;"M",ROUND(AVERAGE(Chart_Construction2B)/1000,1)&amp;"K")</f>
        <v>#DIV/0!</v>
      </c>
      <c r="AF19" s="2387"/>
      <c r="AG19" s="2392"/>
      <c r="AH19" s="731"/>
      <c r="AI19" s="731"/>
      <c r="AJ19" s="731"/>
      <c r="AK19" s="731"/>
      <c r="AL19" s="731"/>
      <c r="AM19" s="731"/>
      <c r="AN19" s="731"/>
      <c r="AO19" s="731"/>
      <c r="AP19" s="731"/>
      <c r="AQ19" s="731"/>
      <c r="AR19" s="731"/>
      <c r="AS19" s="731"/>
      <c r="AT19" s="731"/>
      <c r="AU19" s="731"/>
      <c r="AV19" s="731"/>
      <c r="AW19" s="731"/>
      <c r="AX19" s="731"/>
      <c r="AY19" s="731"/>
      <c r="AZ19" s="731"/>
      <c r="BA19" s="731"/>
      <c r="BB19" s="731"/>
      <c r="BC19" s="731"/>
      <c r="BD19" s="731"/>
      <c r="BE19" s="731"/>
      <c r="BF19" s="731"/>
      <c r="BG19" s="731"/>
      <c r="BH19" s="731"/>
      <c r="BI19" s="731"/>
      <c r="BJ19" s="731"/>
      <c r="BK19" s="731"/>
      <c r="BL19" s="731"/>
    </row>
    <row r="20" spans="1:64" ht="15" customHeight="1" thickBot="1" x14ac:dyDescent="0.3">
      <c r="A20" s="41"/>
      <c r="B20" s="41"/>
      <c r="C20" s="41"/>
      <c r="D20" s="2514" t="s">
        <v>18100</v>
      </c>
      <c r="E20" s="321"/>
      <c r="F20" s="41"/>
      <c r="G20" s="4093" t="s">
        <v>18099</v>
      </c>
      <c r="H20" s="4133" t="s">
        <v>18102</v>
      </c>
      <c r="I20" s="41"/>
      <c r="J20" s="41"/>
      <c r="K20" s="81"/>
      <c r="L20" s="1080"/>
      <c r="M20" s="2377" t="s">
        <v>153</v>
      </c>
      <c r="N20" s="2377"/>
      <c r="O20" s="2377"/>
      <c r="P20" s="2377"/>
      <c r="Q20" s="2377"/>
      <c r="R20" s="2377"/>
      <c r="S20" s="2377"/>
      <c r="T20" s="2377"/>
      <c r="U20" s="2378"/>
      <c r="V20" s="2489"/>
      <c r="W20" s="81"/>
      <c r="X20" s="1080"/>
      <c r="Y20" s="2377" t="s">
        <v>153</v>
      </c>
      <c r="Z20" s="2377"/>
      <c r="AA20" s="2377"/>
      <c r="AB20" s="2377"/>
      <c r="AC20" s="2377"/>
      <c r="AD20" s="2377"/>
      <c r="AE20" s="2377"/>
      <c r="AF20" s="2377"/>
      <c r="AG20" s="2518"/>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row>
    <row r="21" spans="1:64" ht="15" thickBot="1" x14ac:dyDescent="0.3">
      <c r="A21" s="11"/>
      <c r="B21" s="11"/>
      <c r="C21" s="11"/>
      <c r="D21" s="2552" t="s">
        <v>19978</v>
      </c>
      <c r="E21" s="2553" t="s">
        <v>18073</v>
      </c>
      <c r="F21" s="911"/>
      <c r="G21" s="4114"/>
      <c r="H21" s="4117"/>
      <c r="I21" s="11"/>
      <c r="J21" s="11"/>
      <c r="K21" s="95"/>
      <c r="L21" s="1080"/>
      <c r="M21" s="43" t="s">
        <v>18078</v>
      </c>
      <c r="N21" s="552"/>
      <c r="O21" s="1289"/>
      <c r="P21" s="1289"/>
      <c r="Q21" s="1289"/>
      <c r="R21" s="1097"/>
      <c r="S21" s="1097"/>
      <c r="T21" s="2385"/>
      <c r="U21" s="2385"/>
      <c r="V21" s="2419"/>
      <c r="W21" s="95"/>
      <c r="X21" s="1080"/>
      <c r="Y21" s="43" t="s">
        <v>18101</v>
      </c>
      <c r="Z21" s="552"/>
      <c r="AA21" s="1289"/>
      <c r="AB21" s="1289"/>
      <c r="AC21" s="1289"/>
      <c r="AD21" s="1097"/>
      <c r="AE21" s="1097"/>
      <c r="AF21" s="2385"/>
      <c r="AG21" s="2519"/>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row>
    <row r="22" spans="1:64" s="438" customFormat="1" ht="15" thickBot="1" x14ac:dyDescent="0.3">
      <c r="D22" s="2551" t="str">
        <f>CoStar_Rent_Data_1A</f>
        <v>NNN Rent Overall</v>
      </c>
      <c r="E22" s="2515">
        <v>15</v>
      </c>
      <c r="G22" s="2458" t="s">
        <v>18050</v>
      </c>
      <c r="H22" s="2511">
        <v>12</v>
      </c>
      <c r="I22" s="2490"/>
      <c r="L22" s="2395"/>
      <c r="M22" s="2395"/>
      <c r="N22" s="2505" t="str">
        <f>IF(LEFT(N6,SEARCH(" - ",N6,1))=LEFT(Q6,SEARCH(" - ",Q6,1)),RIGHT(N6,LEN(N6)-(SEARCH(" - ",N6,1)+2)),N6)</f>
        <v>Industrial</v>
      </c>
      <c r="O22" s="2505"/>
      <c r="P22" s="2505"/>
      <c r="Q22" s="2505" t="str">
        <f>IF(LEFT(N6,SEARCH(" - ",N6,1))=LEFT(Q6,SEARCH(" - ",Q6,1)),RIGHT(Q6,LEN(Q6)-(SEARCH(" - ",Q6,1)+2)),Q6)</f>
        <v>Warehouse</v>
      </c>
      <c r="R22" s="2522"/>
      <c r="S22" s="2522"/>
      <c r="T22" s="2530" t="str">
        <f>IF(LEFT(N6,SEARCH(" - ",N6,1))=LEFT(Q6,SEARCH(" - ",Q6,1)),dpMarketStudy_Inventory_Location_1A,CONCATENATE(dpMarketStudy_Inventory_Location_1A," &amp; ",dpMarketStudy_Inventory_Location_1B))</f>
        <v>Denver MSA</v>
      </c>
      <c r="U22" s="2522"/>
      <c r="V22" s="2523"/>
      <c r="W22" s="2523"/>
      <c r="X22" s="2522"/>
      <c r="Y22" s="2522"/>
      <c r="Z22" s="2505" t="str">
        <f>IF(LEFT(Z6,SEARCH(" - ",Z6,1))=LEFT(AC6,SEARCH(" - ",AC6,1)),RIGHT(Z6,LEN(Z6)-(SEARCH(" - ",Z6,1)+2)),Z6)</f>
        <v>Industrial</v>
      </c>
      <c r="AA22" s="2505"/>
      <c r="AB22" s="2505"/>
      <c r="AC22" s="2505" t="str">
        <f>IF(LEFT(Z6,SEARCH(" - ",Z6,1))=LEFT(AC6,SEARCH(" - ",AC6,1)),RIGHT(AC6,LEN(AC6)-(SEARCH(" - ",AC6,1)+2)),AC6)</f>
        <v>Warehouse</v>
      </c>
      <c r="AD22" s="2395"/>
      <c r="AE22" s="2395"/>
      <c r="AF22" s="2530" t="str">
        <f>IF(LEFT(Z6,SEARCH(" - ",Z6,1))=LEFT(AC6,SEARCH(" - ",AC6,1)),dpMarketStudy_Inventory_Location_2A,CONCATENATE(dpMarketStudy_Inventory_Location_2A," &amp; ",dpMarketStudy_Inventory_Location_2B))</f>
        <v>Northwest Denver</v>
      </c>
      <c r="AG22" s="2395"/>
    </row>
    <row r="23" spans="1:64" ht="14.25" customHeight="1" x14ac:dyDescent="0.25">
      <c r="A23" s="911"/>
      <c r="B23" s="94"/>
      <c r="C23" s="31"/>
      <c r="D23" s="1249"/>
      <c r="E23" s="1249"/>
      <c r="F23" s="1249"/>
      <c r="G23" s="1249"/>
      <c r="H23" s="1249"/>
      <c r="I23" s="2443"/>
      <c r="J23" s="2443"/>
      <c r="K23" s="2444"/>
      <c r="L23" s="911"/>
      <c r="M23" s="911"/>
      <c r="N23" s="911"/>
      <c r="O23" s="911"/>
      <c r="P23" s="911"/>
      <c r="Q23" s="911"/>
      <c r="R23" s="911"/>
      <c r="S23" s="911"/>
      <c r="T23" s="2541"/>
      <c r="U23" s="911"/>
      <c r="V23" s="911"/>
      <c r="W23" s="11"/>
      <c r="X23" s="911"/>
      <c r="Y23" s="911"/>
      <c r="Z23" s="911"/>
      <c r="AA23" s="911"/>
      <c r="AB23" s="911"/>
      <c r="AC23" s="911"/>
      <c r="AD23" s="911"/>
      <c r="AE23" s="911"/>
      <c r="AF23" s="2541"/>
      <c r="AG23" s="911"/>
      <c r="AH23" s="11"/>
      <c r="AI23" s="11"/>
      <c r="AJ23" s="11"/>
      <c r="AK23" s="11"/>
      <c r="AL23" s="11"/>
      <c r="AM23" s="11"/>
      <c r="AN23" s="11"/>
      <c r="AO23" s="11"/>
      <c r="AP23" s="11"/>
      <c r="AQ23" s="11"/>
      <c r="AR23" s="11"/>
      <c r="AS23" s="11"/>
      <c r="AT23" s="11"/>
      <c r="AU23" s="11"/>
      <c r="AV23" s="11"/>
      <c r="AW23" s="11"/>
      <c r="AX23" s="11"/>
      <c r="AY23" s="11"/>
      <c r="AZ23" s="11"/>
      <c r="BA23" s="11"/>
      <c r="BB23" s="11"/>
      <c r="BC23" s="11"/>
      <c r="BD23" s="11"/>
      <c r="BE23" s="11"/>
      <c r="BF23" s="11"/>
      <c r="BG23" s="11"/>
      <c r="BH23" s="11"/>
      <c r="BI23" s="11"/>
      <c r="BJ23" s="11"/>
      <c r="BK23" s="11"/>
      <c r="BL23" s="11"/>
    </row>
    <row r="24" spans="1:64" s="2446" customFormat="1" ht="15" customHeight="1" x14ac:dyDescent="0.3">
      <c r="A24" s="129"/>
      <c r="B24" s="335"/>
      <c r="C24" s="1683"/>
      <c r="D24" s="3779" t="str">
        <f>CONCATENATE("Quoted Rental Rate Trends - ",dpMarketStudy_Rent_Title_1)</f>
        <v>Quoted Rental Rate Trends - Denver MSA</v>
      </c>
      <c r="E24" s="582"/>
      <c r="F24" s="1683"/>
      <c r="G24" s="582"/>
      <c r="H24" s="582"/>
      <c r="I24" s="1683"/>
      <c r="J24" s="2462"/>
      <c r="K24" s="2445"/>
      <c r="L24" s="129"/>
      <c r="M24" s="2505" t="str">
        <f>IF(LEFT(D27,SEARCH(" - ",D27,1))=LEFT(D29,SEARCH(" - ",D29,1)),dpMarketStudy_Rent_Location_1A,CONCATENATE(dpMarketStudy_Rent_Location_1A," &amp; ",dpMarketStudy_Rent_Location_1B))</f>
        <v>Denver MSA</v>
      </c>
      <c r="N24" s="129"/>
      <c r="O24" s="129"/>
      <c r="P24" s="129"/>
      <c r="Q24" s="129"/>
      <c r="R24" s="129"/>
      <c r="S24" s="129"/>
      <c r="T24" s="129"/>
      <c r="U24" s="129"/>
      <c r="V24" s="129"/>
      <c r="W24" s="336"/>
      <c r="X24" s="129"/>
      <c r="Y24" s="129"/>
      <c r="Z24" s="129"/>
      <c r="AA24" s="129"/>
      <c r="AB24" s="129"/>
      <c r="AC24" s="129"/>
      <c r="AD24" s="129"/>
      <c r="AE24" s="129"/>
      <c r="AF24" s="129"/>
      <c r="AG24" s="129"/>
      <c r="AH24" s="336"/>
      <c r="AI24" s="336"/>
      <c r="AJ24" s="336"/>
      <c r="AK24" s="336"/>
      <c r="AL24" s="336"/>
      <c r="AM24" s="336"/>
      <c r="AN24" s="336"/>
      <c r="AO24" s="336"/>
      <c r="AP24" s="336"/>
      <c r="AQ24" s="336"/>
      <c r="AR24" s="336"/>
      <c r="AS24" s="336"/>
      <c r="AT24" s="336"/>
      <c r="AU24" s="336"/>
      <c r="AV24" s="336"/>
      <c r="AW24" s="336"/>
      <c r="AX24" s="336"/>
      <c r="AY24" s="336"/>
      <c r="AZ24" s="336"/>
      <c r="BA24" s="336"/>
      <c r="BB24" s="336"/>
      <c r="BC24" s="336"/>
      <c r="BD24" s="336"/>
      <c r="BE24" s="336"/>
      <c r="BF24" s="336"/>
      <c r="BG24" s="336"/>
      <c r="BH24" s="336"/>
      <c r="BI24" s="336"/>
      <c r="BJ24" s="336"/>
      <c r="BK24" s="336"/>
      <c r="BL24" s="336"/>
    </row>
    <row r="25" spans="1:64" ht="219.95" customHeight="1" x14ac:dyDescent="0.25">
      <c r="A25" s="911"/>
      <c r="B25" s="1251"/>
      <c r="C25" s="911"/>
      <c r="D25" s="2441"/>
      <c r="E25" s="2409"/>
      <c r="F25" s="911"/>
      <c r="G25" s="2405"/>
      <c r="H25" s="2405"/>
      <c r="I25" s="2405"/>
      <c r="J25" s="911"/>
      <c r="K25" s="2401"/>
      <c r="L25" s="911"/>
      <c r="M25" s="911"/>
      <c r="N25" s="911"/>
      <c r="O25" s="911"/>
      <c r="P25" s="911"/>
      <c r="Q25" s="911"/>
      <c r="R25" s="911"/>
      <c r="S25" s="911"/>
      <c r="T25" s="911"/>
      <c r="U25" s="911"/>
      <c r="V25" s="911"/>
      <c r="W25" s="11"/>
      <c r="X25" s="911"/>
      <c r="Y25" s="911"/>
      <c r="Z25" s="911"/>
      <c r="AA25" s="911"/>
      <c r="AB25" s="911"/>
      <c r="AC25" s="911"/>
      <c r="AD25" s="911"/>
      <c r="AE25" s="911"/>
      <c r="AF25" s="911"/>
      <c r="AG25" s="9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row>
    <row r="26" spans="1:64" ht="15" customHeight="1" x14ac:dyDescent="0.25">
      <c r="A26" s="911"/>
      <c r="B26" s="1251"/>
      <c r="C26" s="911"/>
      <c r="D26" s="12" t="s">
        <v>18105</v>
      </c>
      <c r="E26" s="150" t="str" cm="1">
        <f t="array" aca="1" ref="E26" ca="1">LOOKUP(2,1/(Chart_Periods_RentRates&lt;&gt;""),Chart_Periods_RentRates)</f>
        <v>2022 Q2</v>
      </c>
      <c r="F26" s="2536">
        <v>1</v>
      </c>
      <c r="G26" s="2536">
        <v>3</v>
      </c>
      <c r="H26" s="2536">
        <v>5</v>
      </c>
      <c r="I26" s="2536">
        <v>10</v>
      </c>
      <c r="J26" s="2405"/>
      <c r="K26" s="2401"/>
      <c r="L26" s="911"/>
      <c r="M26" s="12"/>
      <c r="N26" s="911"/>
      <c r="O26" s="911"/>
      <c r="P26" s="911"/>
      <c r="Q26" s="911"/>
      <c r="R26" s="911"/>
      <c r="S26" s="911"/>
      <c r="T26" s="911"/>
      <c r="U26" s="911"/>
      <c r="V26" s="911"/>
      <c r="W26" s="11"/>
      <c r="X26" s="911"/>
      <c r="Y26" s="911"/>
      <c r="Z26" s="911"/>
      <c r="AA26" s="911"/>
      <c r="AB26" s="911"/>
      <c r="AC26" s="911"/>
      <c r="AD26" s="911"/>
      <c r="AE26" s="911"/>
      <c r="AF26" s="911"/>
      <c r="AG26" s="9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row>
    <row r="27" spans="1:64" x14ac:dyDescent="0.25">
      <c r="A27" s="911"/>
      <c r="B27" s="1251"/>
      <c r="C27" s="52"/>
      <c r="D27" s="2414" t="str">
        <f>CoStar_Sector1_Master</f>
        <v>Denver MSA - Industrial</v>
      </c>
      <c r="E27" s="2460">
        <f ca="1">IFERROR(HLOOKUP(CoStar_Rent_Data_1A,INDIRECT(CoStar_Array_Rent_1A),CoStar_RowOffset_Rent,FALSE),"-")</f>
        <v>8.99</v>
      </c>
      <c r="F27" s="2460">
        <f ca="1">IFERROR(HLOOKUP(CoStar_Rent_Data_1A,INDIRECT(CoStar_Array_Rent_1A),CoStar_RowOffset_Rent+(F26*4),FALSE),"-")</f>
        <v>8.61</v>
      </c>
      <c r="G27" s="2460">
        <f ca="1">IFERROR(HLOOKUP(CoStar_Rent_Data_1A,INDIRECT(CoStar_Array_Rent_1A),CoStar_RowOffset_Rent+(G26*4),FALSE),"-")</f>
        <v>7.74</v>
      </c>
      <c r="H27" s="2460">
        <f ca="1">IFERROR(HLOOKUP(CoStar_Rent_Data_1A,INDIRECT(CoStar_Array_Rent_1A),CoStar_RowOffset_Rent+(H26*4),FALSE),"-")</f>
        <v>7.23</v>
      </c>
      <c r="I27" s="2460">
        <f ca="1">IFERROR(HLOOKUP(CoStar_Rent_Data_1A,INDIRECT(CoStar_Array_Rent_1A),CoStar_RowOffset_Rent+(I26*4),FALSE),"-")</f>
        <v>4.5599999999999996</v>
      </c>
      <c r="J27" s="2413"/>
      <c r="K27" s="2401"/>
      <c r="L27" s="911"/>
      <c r="M27" s="2230" t="str">
        <f>IF(LEFT(D27,SEARCH(" - ",D27,1))=LEFT(D29,SEARCH(" - ",D29,1)),RIGHT(D27,LEN(D27)-(SEARCH(" - ",D27,1)+2)),D27)</f>
        <v>Industrial</v>
      </c>
      <c r="N27" s="911"/>
      <c r="O27" s="911"/>
      <c r="P27" s="911"/>
      <c r="Q27" s="911"/>
      <c r="R27" s="911"/>
      <c r="S27" s="911"/>
      <c r="T27" s="911"/>
      <c r="U27" s="911"/>
      <c r="V27" s="911"/>
      <c r="W27" s="11"/>
      <c r="X27" s="911"/>
      <c r="Y27" s="911"/>
      <c r="Z27" s="911"/>
      <c r="AA27" s="911"/>
      <c r="AB27" s="911"/>
      <c r="AC27" s="911"/>
      <c r="AD27" s="911"/>
      <c r="AE27" s="911"/>
      <c r="AF27" s="911"/>
      <c r="AG27" s="9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row>
    <row r="28" spans="1:64" x14ac:dyDescent="0.25">
      <c r="A28" s="911"/>
      <c r="B28" s="1251"/>
      <c r="C28" s="52"/>
      <c r="D28" s="2496" t="s">
        <v>18081</v>
      </c>
      <c r="E28" s="2497" t="s">
        <v>1784</v>
      </c>
      <c r="F28" s="2497">
        <f ca="1">IFERROR((HLOOKUP(CoStar_Rent_Data_1A,INDIRECT(CoStar_Array_Rent_1A),CoStar_RowOffset_Rent,FALSE)/HLOOKUP(CoStar_Rent_Data_1A,INDIRECT(CoStar_Array_Rent_1A),CoStar_RowOffset_Rent+(F$26*4),FALSE))^(1/(F$26))-1,"-")</f>
        <v>4.4134727061556411E-2</v>
      </c>
      <c r="G28" s="2497">
        <f ca="1">IFERROR((HLOOKUP(CoStar_Rent_Data_1A,INDIRECT(CoStar_Array_Rent_1A),CoStar_RowOffset_Rent,FALSE)/HLOOKUP(CoStar_Rent_Data_1A,INDIRECT(CoStar_Array_Rent_1A),CoStar_RowOffset_Rent+(G$26*4),FALSE))^(1/(G$26))-1,"-")</f>
        <v>5.1169885176271634E-2</v>
      </c>
      <c r="H28" s="2497">
        <f ca="1">IFERROR((HLOOKUP(CoStar_Rent_Data_1A,INDIRECT(CoStar_Array_Rent_1A),CoStar_RowOffset_Rent,FALSE)/HLOOKUP(CoStar_Rent_Data_1A,INDIRECT(CoStar_Array_Rent_1A),CoStar_RowOffset_Rent+(H$26*4),FALSE))^(1/(H$26))-1,"-")</f>
        <v>4.453808363229661E-2</v>
      </c>
      <c r="I28" s="2497">
        <f ca="1">IFERROR((HLOOKUP(CoStar_Rent_Data_1A,INDIRECT(CoStar_Array_Rent_1A),CoStar_RowOffset_Rent,FALSE)/HLOOKUP(CoStar_Rent_Data_1A,INDIRECT(CoStar_Array_Rent_1A),CoStar_RowOffset_Rent+(I$26*4),FALSE))^(1/(I$26))-1,"-")</f>
        <v>7.0235826187470485E-2</v>
      </c>
      <c r="J28" s="2413"/>
      <c r="K28" s="2401"/>
      <c r="L28" s="911"/>
      <c r="M28" s="911"/>
      <c r="N28" s="911"/>
      <c r="O28" s="911"/>
      <c r="P28" s="911"/>
      <c r="Q28" s="911"/>
      <c r="R28" s="911"/>
      <c r="S28" s="911"/>
      <c r="T28" s="911"/>
      <c r="U28" s="911"/>
      <c r="V28" s="911"/>
      <c r="W28" s="11"/>
      <c r="X28" s="911"/>
      <c r="Y28" s="911"/>
      <c r="Z28" s="911"/>
      <c r="AA28" s="911"/>
      <c r="AB28" s="911"/>
      <c r="AC28" s="911"/>
      <c r="AD28" s="911"/>
      <c r="AE28" s="911"/>
      <c r="AF28" s="911"/>
      <c r="AG28" s="9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row>
    <row r="29" spans="1:64" x14ac:dyDescent="0.25">
      <c r="A29" s="911"/>
      <c r="B29" s="1251"/>
      <c r="C29" s="52"/>
      <c r="D29" s="2414" t="str">
        <f>CoStar_Sector2_Master</f>
        <v>Denver MSA - Warehouse</v>
      </c>
      <c r="E29" s="2460">
        <f ca="1">IFERROR(HLOOKUP(CoStar_Rent_Data_1B,INDIRECT(CoStar_Array_Rent_1B),CoStar_RowOffset_Rent,FALSE),"-")</f>
        <v>9.8000000000000007</v>
      </c>
      <c r="F29" s="2460">
        <f ca="1">IFERROR(HLOOKUP(CoStar_Rent_Data_1B,INDIRECT(CoStar_Array_Rent_1B),CoStar_RowOffset_Rent+(F26*4),FALSE),"-")</f>
        <v>9.83</v>
      </c>
      <c r="G29" s="2460">
        <f ca="1">IFERROR(HLOOKUP(CoStar_Rent_Data_1B,INDIRECT(CoStar_Array_Rent_1B),CoStar_RowOffset_Rent+(G26*4),FALSE),"-")</f>
        <v>7.99</v>
      </c>
      <c r="H29" s="2460">
        <f ca="1">IFERROR(HLOOKUP(CoStar_Rent_Data_1B,INDIRECT(CoStar_Array_Rent_1B),CoStar_RowOffset_Rent+(H26*4),FALSE),"-")</f>
        <v>8.44</v>
      </c>
      <c r="I29" s="2460">
        <f ca="1">IFERROR(HLOOKUP(CoStar_Rent_Data_1B,INDIRECT(CoStar_Array_Rent_1B),CoStar_RowOffset_Rent+(I26*4),FALSE),"-")</f>
        <v>5.18</v>
      </c>
      <c r="J29" s="2413"/>
      <c r="K29" s="2401"/>
      <c r="L29" s="911"/>
      <c r="M29" s="2230" t="str">
        <f>IF(LEFT(D27,SEARCH(" - ",D27,1))=LEFT(D29,SEARCH(" - ",D29,1)),RIGHT(D29,LEN(D29)-(SEARCH(" - ",D29,1)+2)),D29)</f>
        <v>Warehouse</v>
      </c>
      <c r="N29" s="911"/>
      <c r="O29" s="911"/>
      <c r="P29" s="911"/>
      <c r="Q29" s="911"/>
      <c r="R29" s="911"/>
      <c r="S29" s="911"/>
      <c r="T29" s="911"/>
      <c r="U29" s="911"/>
      <c r="V29" s="911"/>
      <c r="W29" s="11"/>
      <c r="X29" s="911"/>
      <c r="Y29" s="911"/>
      <c r="Z29" s="911"/>
      <c r="AA29" s="911"/>
      <c r="AB29" s="911"/>
      <c r="AC29" s="911"/>
      <c r="AD29" s="911"/>
      <c r="AE29" s="911"/>
      <c r="AF29" s="911"/>
      <c r="AG29" s="9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row>
    <row r="30" spans="1:64" ht="15" thickBot="1" x14ac:dyDescent="0.3">
      <c r="A30" s="911"/>
      <c r="B30" s="1251"/>
      <c r="C30" s="52"/>
      <c r="D30" s="2498" t="s">
        <v>18081</v>
      </c>
      <c r="E30" s="2499" t="s">
        <v>1784</v>
      </c>
      <c r="F30" s="2500">
        <f ca="1">IFERROR((HLOOKUP(CoStar_Rent_Data_1B,INDIRECT(CoStar_Array_Rent_1B),CoStar_RowOffset_Rent,FALSE)/HLOOKUP(CoStar_Rent_Data_1B,INDIRECT(CoStar_Array_Rent_1B),CoStar_RowOffset_Rent+(F$26*4),FALSE))^(1/(F$26))-1,"-")</f>
        <v>-3.0518819938961661E-3</v>
      </c>
      <c r="G30" s="2500">
        <f ca="1">IFERROR((HLOOKUP(CoStar_Rent_Data_1B,INDIRECT(CoStar_Array_Rent_1B),CoStar_RowOffset_Rent,FALSE)/HLOOKUP(CoStar_Rent_Data_1B,INDIRECT(CoStar_Array_Rent_1B),CoStar_RowOffset_Rent+(G$26*4),FALSE))^(1/(G$26))-1,"-")</f>
        <v>7.0433680566992507E-2</v>
      </c>
      <c r="H30" s="2500">
        <f ca="1">IFERROR((HLOOKUP(CoStar_Rent_Data_1B,INDIRECT(CoStar_Array_Rent_1B),CoStar_RowOffset_Rent,FALSE)/HLOOKUP(CoStar_Rent_Data_1B,INDIRECT(CoStar_Array_Rent_1B),CoStar_RowOffset_Rent+(H$26*4),FALSE))^(1/(H$26))-1,"-")</f>
        <v>3.0330902709662766E-2</v>
      </c>
      <c r="I30" s="2500">
        <f ca="1">IFERROR((HLOOKUP(CoStar_Rent_Data_1B,INDIRECT(CoStar_Array_Rent_1B),CoStar_RowOffset_Rent,FALSE)/HLOOKUP(CoStar_Rent_Data_1B,INDIRECT(CoStar_Array_Rent_1B),CoStar_RowOffset_Rent+(I$26*4),FALSE))^(1/(I$26))-1,"-")</f>
        <v>6.58341509746454E-2</v>
      </c>
      <c r="J30" s="2413"/>
      <c r="K30" s="2401"/>
      <c r="L30" s="911"/>
      <c r="M30" s="911"/>
      <c r="N30" s="911"/>
      <c r="O30" s="911"/>
      <c r="P30" s="911"/>
      <c r="Q30" s="911"/>
      <c r="R30" s="911"/>
      <c r="S30" s="911"/>
      <c r="T30" s="911"/>
      <c r="U30" s="911"/>
      <c r="V30" s="911"/>
      <c r="W30" s="11"/>
      <c r="X30" s="911"/>
      <c r="Y30" s="911"/>
      <c r="Z30" s="911"/>
      <c r="AA30" s="911"/>
      <c r="AB30" s="911"/>
      <c r="AC30" s="911"/>
      <c r="AD30" s="911"/>
      <c r="AE30" s="911"/>
      <c r="AF30" s="911"/>
      <c r="AG30" s="9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row>
    <row r="31" spans="1:64" x14ac:dyDescent="0.25">
      <c r="A31" s="911"/>
      <c r="B31" s="1251"/>
      <c r="C31" s="1080"/>
      <c r="D31" s="2378" t="s">
        <v>153</v>
      </c>
      <c r="E31" s="1080"/>
      <c r="F31" s="1080"/>
      <c r="G31" s="2412"/>
      <c r="H31" s="2403"/>
      <c r="I31" s="2403"/>
      <c r="J31" s="2403"/>
      <c r="K31" s="2401"/>
      <c r="L31" s="911"/>
      <c r="M31" s="911"/>
      <c r="N31" s="911"/>
      <c r="O31" s="911"/>
      <c r="P31" s="911"/>
      <c r="Q31" s="911"/>
      <c r="R31" s="911"/>
      <c r="S31" s="911"/>
      <c r="T31" s="911"/>
      <c r="U31" s="911"/>
      <c r="V31" s="911"/>
      <c r="W31" s="11"/>
      <c r="X31" s="911"/>
      <c r="Y31" s="911"/>
      <c r="Z31" s="911"/>
      <c r="AA31" s="911"/>
      <c r="AB31" s="911"/>
      <c r="AC31" s="911"/>
      <c r="AD31" s="911"/>
      <c r="AE31" s="911"/>
      <c r="AF31" s="911"/>
      <c r="AG31" s="9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row>
    <row r="32" spans="1:64" ht="15" thickBot="1" x14ac:dyDescent="0.3">
      <c r="A32" s="911"/>
      <c r="B32" s="1253"/>
      <c r="C32" s="1254"/>
      <c r="D32" s="552" t="s">
        <v>18122</v>
      </c>
      <c r="E32" s="1254"/>
      <c r="F32" s="2539"/>
      <c r="G32" s="2404"/>
      <c r="H32" s="2540"/>
      <c r="I32" s="2404"/>
      <c r="J32" s="2404"/>
      <c r="K32" s="2402"/>
      <c r="L32" s="911"/>
      <c r="M32" s="911"/>
      <c r="N32" s="911"/>
      <c r="O32" s="911"/>
      <c r="P32" s="911"/>
      <c r="Q32" s="911"/>
      <c r="R32" s="911"/>
      <c r="S32" s="911"/>
      <c r="T32" s="911"/>
      <c r="U32" s="911"/>
      <c r="V32" s="911"/>
      <c r="W32" s="11"/>
      <c r="X32" s="911"/>
      <c r="Y32" s="911"/>
      <c r="Z32" s="911"/>
      <c r="AA32" s="911"/>
      <c r="AB32" s="911"/>
      <c r="AC32" s="911"/>
      <c r="AD32" s="911"/>
      <c r="AE32" s="911"/>
      <c r="AF32" s="911"/>
      <c r="AG32" s="9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row>
    <row r="33" spans="1:64" ht="15" thickBot="1" x14ac:dyDescent="0.3">
      <c r="A33" s="911"/>
      <c r="B33" s="911"/>
      <c r="C33" s="911"/>
      <c r="D33" s="2514" t="s">
        <v>18100</v>
      </c>
      <c r="E33" s="911"/>
      <c r="F33" s="911"/>
      <c r="G33" s="911"/>
      <c r="H33" s="911"/>
      <c r="I33" s="911"/>
      <c r="J33" s="911"/>
      <c r="K33" s="911"/>
      <c r="L33" s="911"/>
      <c r="M33" s="911"/>
      <c r="N33" s="911"/>
      <c r="O33" s="911"/>
      <c r="P33" s="911"/>
      <c r="Q33" s="911"/>
      <c r="R33" s="911"/>
      <c r="S33" s="911"/>
      <c r="T33" s="911"/>
      <c r="U33" s="911"/>
      <c r="V33" s="9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row>
    <row r="34" spans="1:64" x14ac:dyDescent="0.25">
      <c r="A34" s="911"/>
      <c r="B34" s="911"/>
      <c r="C34" s="911"/>
      <c r="D34" s="2554" t="str">
        <f>CoStar_Rent_Data_1A</f>
        <v>NNN Rent Overall</v>
      </c>
      <c r="E34" s="911"/>
      <c r="F34" s="911"/>
      <c r="G34" s="911"/>
      <c r="H34" s="911"/>
      <c r="I34" s="911"/>
      <c r="J34" s="911"/>
      <c r="K34" s="911"/>
      <c r="L34" s="911"/>
      <c r="M34" s="911"/>
      <c r="N34" s="911"/>
      <c r="O34" s="911"/>
      <c r="P34" s="911"/>
      <c r="Q34" s="911"/>
      <c r="R34" s="911"/>
      <c r="S34" s="911"/>
      <c r="T34" s="911"/>
      <c r="U34" s="911"/>
      <c r="V34" s="9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row>
    <row r="35" spans="1:64" ht="15" thickBot="1" x14ac:dyDescent="0.3">
      <c r="A35" s="911"/>
      <c r="B35" s="438"/>
      <c r="C35" s="438"/>
      <c r="D35" s="2555" t="str">
        <f>CoStar_Rent_Data_2A</f>
        <v>NNN Rent Overall</v>
      </c>
      <c r="E35" s="2463"/>
      <c r="F35" s="2464"/>
      <c r="G35" s="438"/>
      <c r="H35" s="2490"/>
      <c r="I35" s="438"/>
      <c r="J35" s="438"/>
      <c r="K35" s="438"/>
      <c r="L35" s="911"/>
      <c r="M35" s="911"/>
      <c r="N35" s="911"/>
      <c r="O35" s="911"/>
      <c r="P35" s="911"/>
      <c r="Q35" s="911"/>
      <c r="R35" s="911"/>
      <c r="S35" s="911"/>
      <c r="T35" s="911"/>
      <c r="U35" s="911"/>
      <c r="V35" s="9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row>
    <row r="36" spans="1:64" x14ac:dyDescent="0.25">
      <c r="A36" s="911"/>
      <c r="B36" s="94"/>
      <c r="C36" s="31"/>
      <c r="D36" s="1249"/>
      <c r="E36" s="1249"/>
      <c r="F36" s="1249"/>
      <c r="G36" s="1249"/>
      <c r="H36" s="1249"/>
      <c r="I36" s="2443"/>
      <c r="J36" s="2443"/>
      <c r="K36" s="2444"/>
      <c r="L36" s="911"/>
      <c r="M36" s="911"/>
      <c r="N36" s="911"/>
      <c r="O36" s="911"/>
      <c r="P36" s="911"/>
      <c r="Q36" s="911"/>
      <c r="R36" s="911"/>
      <c r="S36" s="911"/>
      <c r="T36" s="911"/>
      <c r="U36" s="911"/>
      <c r="V36" s="9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row>
    <row r="37" spans="1:64" ht="15" customHeight="1" x14ac:dyDescent="0.3">
      <c r="A37" s="911"/>
      <c r="B37" s="335"/>
      <c r="C37" s="1683"/>
      <c r="D37" s="246" t="str">
        <f>CONCATENATE("Quoted Rental Rate Trends - ",dpMarketStudy_Rent_Title_2)</f>
        <v>Quoted Rental Rate Trends - Northwest Denver</v>
      </c>
      <c r="E37" s="582"/>
      <c r="F37" s="1683"/>
      <c r="G37" s="582"/>
      <c r="H37" s="582"/>
      <c r="I37" s="1683"/>
      <c r="J37" s="2462"/>
      <c r="K37" s="2445"/>
      <c r="L37" s="911"/>
      <c r="M37" s="2505" t="str">
        <f>IF(LEFT(D40,SEARCH(" - ",D40,1))=LEFT(D42,SEARCH(" - ",D42,1)),dpMarketStudy_Rent_Location_2A,CONCATENATE(dpMarketStudy_Rent_Location_2A," &amp; ",dpMarketStudy_Rent_Location_2B))</f>
        <v>Northwest Denver</v>
      </c>
      <c r="N37" s="911"/>
      <c r="O37" s="911"/>
      <c r="P37" s="911"/>
      <c r="Q37" s="911"/>
      <c r="R37" s="911"/>
      <c r="S37" s="911"/>
      <c r="T37" s="911"/>
      <c r="U37" s="911"/>
      <c r="V37" s="9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row>
    <row r="38" spans="1:64" ht="219.95" customHeight="1" x14ac:dyDescent="0.25">
      <c r="A38" s="911"/>
      <c r="B38" s="1251"/>
      <c r="C38" s="911"/>
      <c r="D38" s="2441"/>
      <c r="E38" s="2409"/>
      <c r="F38" s="911"/>
      <c r="G38" s="2405"/>
      <c r="H38" s="2405"/>
      <c r="I38" s="2405"/>
      <c r="J38" s="911"/>
      <c r="K38" s="2401"/>
      <c r="L38" s="911"/>
      <c r="M38" s="911"/>
      <c r="N38" s="911"/>
      <c r="O38" s="911"/>
      <c r="P38" s="911"/>
      <c r="Q38" s="911"/>
      <c r="R38" s="911"/>
      <c r="S38" s="911"/>
      <c r="T38" s="911"/>
      <c r="U38" s="911"/>
      <c r="V38" s="9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row>
    <row r="39" spans="1:64" ht="15" customHeight="1" x14ac:dyDescent="0.25">
      <c r="A39" s="911"/>
      <c r="B39" s="1251"/>
      <c r="C39" s="911"/>
      <c r="D39" s="12" t="s">
        <v>18105</v>
      </c>
      <c r="E39" s="150" t="str" cm="1">
        <f t="array" aca="1" ref="E39" ca="1">LOOKUP(2,1/(Chart_Periods_RentRates&lt;&gt;""),Chart_Periods_RentRates)</f>
        <v>2022 Q2</v>
      </c>
      <c r="F39" s="2536">
        <v>1</v>
      </c>
      <c r="G39" s="2536">
        <v>3</v>
      </c>
      <c r="H39" s="2536">
        <v>5</v>
      </c>
      <c r="I39" s="2536">
        <v>10</v>
      </c>
      <c r="J39" s="2405"/>
      <c r="K39" s="2401"/>
      <c r="L39" s="911"/>
      <c r="M39" s="911"/>
      <c r="N39" s="911"/>
      <c r="O39" s="911"/>
      <c r="P39" s="911"/>
      <c r="Q39" s="911"/>
      <c r="R39" s="911"/>
      <c r="S39" s="911"/>
      <c r="T39" s="911"/>
      <c r="U39" s="911"/>
      <c r="V39" s="9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row>
    <row r="40" spans="1:64" ht="28.5" x14ac:dyDescent="0.25">
      <c r="A40" s="911"/>
      <c r="B40" s="1251"/>
      <c r="C40" s="52"/>
      <c r="D40" s="2414" t="str">
        <f>CoStar_Sector3_Master</f>
        <v>Northwest Denver - Industrial</v>
      </c>
      <c r="E40" s="2460">
        <f ca="1">IFERROR(HLOOKUP(CoStar_Rent_Data_2A,INDIRECT(CoStar_Array_Rent_2A),CoStar_RowOffset_Rent,FALSE),"-")</f>
        <v>9.68</v>
      </c>
      <c r="F40" s="2460">
        <f ca="1">IFERROR(HLOOKUP(CoStar_Rent_Data_2A,INDIRECT(CoStar_Array_Rent_2A),CoStar_RowOffset_Rent+(F39*4),FALSE),"-")</f>
        <v>9.59</v>
      </c>
      <c r="G40" s="2460">
        <f ca="1">IFERROR(HLOOKUP(CoStar_Rent_Data_2A,INDIRECT(CoStar_Array_Rent_2A),CoStar_RowOffset_Rent+(G39*4),FALSE),"-")</f>
        <v>8.6199999999999992</v>
      </c>
      <c r="H40" s="2460">
        <f ca="1">IFERROR(HLOOKUP(CoStar_Rent_Data_2A,INDIRECT(CoStar_Array_Rent_2A),CoStar_RowOffset_Rent+(H39*4),FALSE),"-")</f>
        <v>7.66</v>
      </c>
      <c r="I40" s="2460">
        <f ca="1">IFERROR(HLOOKUP(CoStar_Rent_Data_2A,INDIRECT(CoStar_Array_Rent_2A),CoStar_RowOffset_Rent+(I39*4),FALSE),"-")</f>
        <v>4.95</v>
      </c>
      <c r="J40" s="2413"/>
      <c r="K40" s="2401"/>
      <c r="L40" s="911"/>
      <c r="M40" s="2505" t="str">
        <f>IF(LEFT(D40,SEARCH(" - ",D40,1))=LEFT(D42,SEARCH(" - ",D42,1)),RIGHT(D40,LEN(D40)-(SEARCH(" - ",D40,1)+2)),D40)</f>
        <v>Industrial</v>
      </c>
      <c r="N40" s="911"/>
      <c r="O40" s="911"/>
      <c r="P40" s="911"/>
      <c r="Q40" s="911"/>
      <c r="R40" s="911"/>
      <c r="S40" s="911"/>
      <c r="T40" s="911"/>
      <c r="U40" s="911"/>
      <c r="V40" s="9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row>
    <row r="41" spans="1:64" x14ac:dyDescent="0.25">
      <c r="A41" s="911"/>
      <c r="B41" s="1251"/>
      <c r="C41" s="52"/>
      <c r="D41" s="2496" t="s">
        <v>18081</v>
      </c>
      <c r="E41" s="2497" t="s">
        <v>1784</v>
      </c>
      <c r="F41" s="2497">
        <f ca="1">IFERROR((HLOOKUP(CoStar_Rent_Data_1B,INDIRECT(CoStar_Array_Rent_2A),CoStar_RowOffset_Rent,FALSE)/HLOOKUP(CoStar_Rent_Data_1B,INDIRECT(CoStar_Array_Rent_2A),CoStar_RowOffset_Rent+(F$26*4),FALSE))^(1/(F$26))-1,"-")</f>
        <v>9.3847758081333499E-3</v>
      </c>
      <c r="G41" s="2497">
        <f ca="1">IFERROR((HLOOKUP(CoStar_Rent_Data_1B,INDIRECT(CoStar_Array_Rent_2A),CoStar_RowOffset_Rent,FALSE)/HLOOKUP(CoStar_Rent_Data_1B,INDIRECT(CoStar_Array_Rent_2A),CoStar_RowOffset_Rent+(G$26*4),FALSE))^(1/(G$26))-1,"-")</f>
        <v>3.9415918822640172E-2</v>
      </c>
      <c r="H41" s="2497">
        <f ca="1">IFERROR((HLOOKUP(CoStar_Rent_Data_1B,INDIRECT(CoStar_Array_Rent_2A),CoStar_RowOffset_Rent,FALSE)/HLOOKUP(CoStar_Rent_Data_1B,INDIRECT(CoStar_Array_Rent_2A),CoStar_RowOffset_Rent+(H$26*4),FALSE))^(1/(H$26))-1,"-")</f>
        <v>4.7922867532149249E-2</v>
      </c>
      <c r="I41" s="2497">
        <f ca="1">IFERROR((HLOOKUP(CoStar_Rent_Data_1B,INDIRECT(CoStar_Array_Rent_2A),CoStar_RowOffset_Rent,FALSE)/HLOOKUP(CoStar_Rent_Data_1B,INDIRECT(CoStar_Array_Rent_2A),CoStar_RowOffset_Rent+(I$26*4),FALSE))^(1/(I$26))-1,"-")</f>
        <v>6.9367585841868529E-2</v>
      </c>
      <c r="J41" s="2413"/>
      <c r="K41" s="2401"/>
      <c r="L41" s="911"/>
      <c r="M41" s="2505"/>
      <c r="N41" s="911"/>
      <c r="O41" s="911"/>
      <c r="P41" s="2384"/>
      <c r="Q41" s="2384"/>
      <c r="R41" s="2384"/>
      <c r="S41" s="2384"/>
      <c r="T41" s="2384"/>
      <c r="U41" s="2384"/>
      <c r="V41" s="2384"/>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row>
    <row r="42" spans="1:64" ht="28.5" x14ac:dyDescent="0.25">
      <c r="A42" s="911"/>
      <c r="B42" s="1251"/>
      <c r="C42" s="52"/>
      <c r="D42" s="2414" t="str">
        <f>CoStar_Sector4_Master</f>
        <v>Northwest Denver - Warehouse</v>
      </c>
      <c r="E42" s="2460" t="str">
        <f ca="1">IFERROR(HLOOKUP(CoStar_Rent_Data_2B,INDIRECT(CoStar_Array_Rent_2B),CoStar_RowOffset_Rent,FALSE),"-")</f>
        <v>-</v>
      </c>
      <c r="F42" s="2460" t="str">
        <f ca="1">IFERROR(HLOOKUP(CoStar_Rent_Data_2B,INDIRECT(CoStar_Array_Rent_2B),CoStar_RowOffset_Rent+(F39*4),FALSE),"-")</f>
        <v>-</v>
      </c>
      <c r="G42" s="2460" t="str">
        <f ca="1">IFERROR(HLOOKUP(CoStar_Rent_Data_2B,INDIRECT(CoStar_Array_Rent_2B),CoStar_RowOffset_Rent+(G39*4),FALSE),"-")</f>
        <v>-</v>
      </c>
      <c r="H42" s="2460" t="str">
        <f ca="1">IFERROR(HLOOKUP(CoStar_Rent_Data_2B,INDIRECT(CoStar_Array_Rent_2B),CoStar_RowOffset_Rent+(H39*4),FALSE),"-")</f>
        <v>-</v>
      </c>
      <c r="I42" s="2460" t="str">
        <f ca="1">IFERROR(HLOOKUP(CoStar_Rent_Data_2B,INDIRECT(CoStar_Array_Rent_2B),CoStar_RowOffset_Rent+(I39*4),FALSE),"-")</f>
        <v>-</v>
      </c>
      <c r="J42" s="2413"/>
      <c r="K42" s="2401"/>
      <c r="L42" s="911"/>
      <c r="M42" s="2505" t="str">
        <f>IF(LEFT(D40,SEARCH(" - ",D40,1))=LEFT(D42,SEARCH(" - ",D42,1)),RIGHT(D42,LEN(D42)-(SEARCH(" - ",D42,1)+2)),D42)</f>
        <v>Warehouse</v>
      </c>
      <c r="N42" s="911"/>
      <c r="O42" s="911"/>
      <c r="P42" s="2384"/>
      <c r="Q42" s="2384"/>
      <c r="R42" s="2384"/>
      <c r="S42" s="2384"/>
      <c r="T42" s="2384"/>
      <c r="U42" s="2384"/>
      <c r="V42" s="2384"/>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row>
    <row r="43" spans="1:64" ht="15" thickBot="1" x14ac:dyDescent="0.3">
      <c r="A43" s="911"/>
      <c r="B43" s="1251"/>
      <c r="C43" s="52"/>
      <c r="D43" s="2461" t="s">
        <v>18081</v>
      </c>
      <c r="E43" s="2499" t="s">
        <v>1784</v>
      </c>
      <c r="F43" s="449" t="str">
        <f ca="1">IFERROR((HLOOKUP(CoStar_Rent_Data_2B,INDIRECT(CoStar_Array_Rent_2B),CoStar_RowOffset_Rent,FALSE)/HLOOKUP(CoStar_Rent_Data_2B,INDIRECT(CoStar_Array_Rent_2B),CoStar_RowOffset_Rent+(F$26*4),FALSE))^(1/(F$26))-1,"-")</f>
        <v>-</v>
      </c>
      <c r="G43" s="449" t="str">
        <f ca="1">IFERROR((HLOOKUP(CoStar_Rent_Data_2B,INDIRECT(CoStar_Array_Rent_2B),CoStar_RowOffset_Rent,FALSE)/HLOOKUP(CoStar_Rent_Data_2B,INDIRECT(CoStar_Array_Rent_2B),CoStar_RowOffset_Rent+(G$26*4),FALSE))^(1/(G$26))-1,"-")</f>
        <v>-</v>
      </c>
      <c r="H43" s="449" t="str">
        <f ca="1">IFERROR((HLOOKUP(CoStar_Rent_Data_2B,INDIRECT(CoStar_Array_Rent_2B),CoStar_RowOffset_Rent,FALSE)/HLOOKUP(CoStar_Rent_Data_2B,INDIRECT(CoStar_Array_Rent_2B),CoStar_RowOffset_Rent+(H$26*4),FALSE))^(1/(H$26))-1,"-")</f>
        <v>-</v>
      </c>
      <c r="I43" s="449" t="str">
        <f ca="1">IFERROR((HLOOKUP(CoStar_Rent_Data_2B,INDIRECT(CoStar_Array_Rent_2B),CoStar_RowOffset_Rent,FALSE)/HLOOKUP(CoStar_Rent_Data_2B,INDIRECT(CoStar_Array_Rent_2B),CoStar_RowOffset_Rent+(I$26*4),FALSE))^(1/(I$26))-1,"-")</f>
        <v>-</v>
      </c>
      <c r="J43" s="2413"/>
      <c r="K43" s="2401"/>
      <c r="L43" s="911"/>
      <c r="M43" s="2505"/>
      <c r="N43" s="911"/>
      <c r="O43" s="911"/>
      <c r="P43" s="2384"/>
      <c r="Q43" s="2384"/>
      <c r="R43" s="2384"/>
      <c r="S43" s="2384"/>
      <c r="T43" s="2384"/>
      <c r="U43" s="2384"/>
      <c r="V43" s="2384"/>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row>
    <row r="44" spans="1:64" x14ac:dyDescent="0.25">
      <c r="A44" s="911"/>
      <c r="B44" s="1251"/>
      <c r="C44" s="1080"/>
      <c r="D44" s="2378" t="s">
        <v>153</v>
      </c>
      <c r="E44" s="1080"/>
      <c r="F44" s="1080"/>
      <c r="G44" s="2412"/>
      <c r="H44" s="2403"/>
      <c r="I44" s="2403"/>
      <c r="J44" s="2403"/>
      <c r="K44" s="2401"/>
      <c r="L44" s="911"/>
      <c r="M44" s="911"/>
      <c r="N44" s="911"/>
      <c r="O44" s="911"/>
      <c r="P44" s="2384"/>
      <c r="Q44" s="2384"/>
      <c r="R44" s="2384"/>
      <c r="S44" s="2384"/>
      <c r="T44" s="2384"/>
      <c r="U44" s="2384"/>
      <c r="V44" s="2384"/>
      <c r="W44" s="11"/>
      <c r="X44" s="11"/>
      <c r="Y44" s="11"/>
      <c r="Z44" s="11"/>
      <c r="AA44" s="11"/>
      <c r="AB44" s="11"/>
      <c r="AC44" s="11"/>
      <c r="AD44" s="11"/>
      <c r="AE44" s="11"/>
      <c r="AF44" s="11"/>
      <c r="AG44" s="11"/>
      <c r="AH44" s="11"/>
      <c r="AI44" s="11"/>
      <c r="AJ44" s="11"/>
      <c r="AK44" s="11"/>
      <c r="AL44" s="11"/>
      <c r="AM44" s="11"/>
      <c r="AN44" s="11"/>
      <c r="AO44" s="11"/>
      <c r="AP44" s="11"/>
      <c r="AQ44" s="11"/>
      <c r="AR44" s="11"/>
      <c r="AS44" s="11"/>
      <c r="AT44" s="11"/>
      <c r="AU44" s="11"/>
      <c r="AV44" s="11"/>
      <c r="AW44" s="11"/>
      <c r="AX44" s="11"/>
      <c r="AY44" s="11"/>
      <c r="AZ44" s="11"/>
      <c r="BA44" s="11"/>
      <c r="BB44" s="11"/>
      <c r="BC44" s="11"/>
      <c r="BD44" s="11"/>
      <c r="BE44" s="11"/>
      <c r="BF44" s="11"/>
      <c r="BG44" s="11"/>
      <c r="BH44" s="11"/>
      <c r="BI44" s="11"/>
      <c r="BJ44" s="11"/>
      <c r="BK44" s="11"/>
      <c r="BL44" s="11"/>
    </row>
    <row r="45" spans="1:64" ht="15" thickBot="1" x14ac:dyDescent="0.3">
      <c r="A45" s="911"/>
      <c r="B45" s="1253"/>
      <c r="C45" s="1254"/>
      <c r="D45" s="552" t="s">
        <v>18123</v>
      </c>
      <c r="E45" s="1254"/>
      <c r="F45" s="1254"/>
      <c r="G45" s="2404"/>
      <c r="H45" s="2512"/>
      <c r="I45" s="2404"/>
      <c r="J45" s="2404"/>
      <c r="K45" s="2402"/>
      <c r="L45" s="911"/>
      <c r="M45" s="911"/>
      <c r="N45" s="911"/>
      <c r="O45" s="911"/>
      <c r="P45" s="2384"/>
      <c r="Q45" s="2384"/>
      <c r="R45" s="2384"/>
      <c r="S45" s="2384"/>
      <c r="T45" s="2384"/>
      <c r="U45" s="2384"/>
      <c r="V45" s="2384"/>
      <c r="W45" s="11"/>
      <c r="X45" s="11"/>
      <c r="Y45" s="11"/>
      <c r="Z45" s="11"/>
      <c r="AA45" s="11"/>
      <c r="AB45" s="11"/>
      <c r="AC45" s="11"/>
      <c r="AD45" s="11"/>
      <c r="AE45" s="11"/>
      <c r="AF45" s="11"/>
      <c r="AG45" s="11"/>
      <c r="AH45" s="11"/>
      <c r="AI45" s="11"/>
      <c r="AJ45" s="11"/>
      <c r="AK45" s="11"/>
      <c r="AL45" s="11"/>
      <c r="AM45" s="11"/>
      <c r="AN45" s="11"/>
      <c r="AO45" s="11"/>
      <c r="AP45" s="11"/>
      <c r="AQ45" s="11"/>
      <c r="AR45" s="11"/>
      <c r="AS45" s="11"/>
      <c r="AT45" s="11"/>
      <c r="AU45" s="11"/>
      <c r="AV45" s="11"/>
      <c r="AW45" s="11"/>
      <c r="AX45" s="11"/>
      <c r="AY45" s="11"/>
      <c r="AZ45" s="11"/>
      <c r="BA45" s="11"/>
      <c r="BB45" s="11"/>
      <c r="BC45" s="11"/>
      <c r="BD45" s="11"/>
      <c r="BE45" s="11"/>
      <c r="BF45" s="11"/>
      <c r="BG45" s="11"/>
      <c r="BH45" s="11"/>
      <c r="BI45" s="11"/>
      <c r="BJ45" s="11"/>
      <c r="BK45" s="11"/>
      <c r="BL45" s="11"/>
    </row>
    <row r="46" spans="1:64" x14ac:dyDescent="0.25">
      <c r="A46" s="911"/>
      <c r="B46" s="911"/>
      <c r="C46" s="911"/>
      <c r="D46" s="911"/>
      <c r="E46" s="911"/>
      <c r="F46" s="911"/>
      <c r="G46" s="4115" t="s">
        <v>18099</v>
      </c>
      <c r="H46" s="4116" t="s">
        <v>18102</v>
      </c>
      <c r="I46" s="911"/>
      <c r="J46" s="911"/>
      <c r="K46" s="911"/>
      <c r="L46" s="911"/>
      <c r="M46" s="911"/>
      <c r="N46" s="911"/>
      <c r="O46" s="911"/>
      <c r="P46" s="2384"/>
      <c r="Q46" s="2384"/>
      <c r="R46" s="2384"/>
      <c r="S46" s="2384"/>
      <c r="T46" s="2384"/>
      <c r="U46" s="2384"/>
      <c r="V46" s="2384"/>
      <c r="W46" s="11"/>
      <c r="X46" s="11"/>
      <c r="Y46" s="11"/>
      <c r="Z46" s="11"/>
      <c r="AA46" s="11"/>
      <c r="AB46" s="11"/>
      <c r="AC46" s="11"/>
      <c r="AD46" s="11"/>
      <c r="AE46" s="11"/>
      <c r="AF46" s="11"/>
      <c r="AG46" s="11"/>
      <c r="AH46" s="11"/>
      <c r="AI46" s="11"/>
      <c r="AJ46" s="11"/>
      <c r="AK46" s="11"/>
      <c r="AL46" s="11"/>
      <c r="AM46" s="11"/>
      <c r="AN46" s="11"/>
      <c r="AO46" s="11"/>
      <c r="AP46" s="11"/>
      <c r="AQ46" s="11"/>
      <c r="AR46" s="11"/>
      <c r="AS46" s="11"/>
      <c r="AT46" s="11"/>
      <c r="AU46" s="11"/>
      <c r="AV46" s="11"/>
      <c r="AW46" s="11"/>
      <c r="AX46" s="11"/>
      <c r="AY46" s="11"/>
      <c r="AZ46" s="11"/>
      <c r="BA46" s="11"/>
      <c r="BB46" s="11"/>
      <c r="BC46" s="11"/>
      <c r="BD46" s="11"/>
      <c r="BE46" s="11"/>
      <c r="BF46" s="11"/>
      <c r="BG46" s="11"/>
      <c r="BH46" s="11"/>
      <c r="BI46" s="11"/>
      <c r="BJ46" s="11"/>
      <c r="BK46" s="11"/>
      <c r="BL46" s="11"/>
    </row>
    <row r="47" spans="1:64" ht="15" thickBot="1" x14ac:dyDescent="0.3">
      <c r="A47" s="911"/>
      <c r="B47" s="911"/>
      <c r="C47" s="11"/>
      <c r="D47" s="12" t="s">
        <v>18130</v>
      </c>
      <c r="E47" s="2513" t="s">
        <v>18073</v>
      </c>
      <c r="F47" s="911"/>
      <c r="G47" s="4114"/>
      <c r="H47" s="4117"/>
      <c r="I47" s="911"/>
      <c r="J47" s="911"/>
      <c r="K47" s="911"/>
      <c r="L47" s="911"/>
      <c r="M47" s="911"/>
      <c r="N47" s="911"/>
      <c r="O47" s="911"/>
      <c r="P47" s="2384"/>
      <c r="Q47" s="2384"/>
      <c r="R47" s="2384"/>
      <c r="S47" s="2384"/>
      <c r="T47" s="2384"/>
      <c r="U47" s="2384"/>
      <c r="V47" s="2384"/>
      <c r="W47" s="11"/>
      <c r="X47" s="11"/>
      <c r="Y47" s="11"/>
      <c r="Z47" s="11"/>
      <c r="AA47" s="11"/>
      <c r="AB47" s="11"/>
      <c r="AC47" s="11"/>
      <c r="AD47" s="11"/>
      <c r="AE47" s="11"/>
      <c r="AF47" s="11"/>
      <c r="AG47" s="11"/>
      <c r="AH47" s="11"/>
      <c r="AI47" s="11"/>
      <c r="AJ47" s="11"/>
      <c r="AK47" s="11"/>
      <c r="AL47" s="11"/>
      <c r="AM47" s="11"/>
      <c r="AN47" s="11"/>
      <c r="AO47" s="11"/>
      <c r="AP47" s="11"/>
      <c r="AQ47" s="11"/>
      <c r="AR47" s="11"/>
      <c r="AS47" s="11"/>
      <c r="AT47" s="11"/>
      <c r="AU47" s="11"/>
      <c r="AV47" s="11"/>
      <c r="AW47" s="11"/>
      <c r="AX47" s="11"/>
      <c r="AY47" s="11"/>
      <c r="AZ47" s="11"/>
      <c r="BA47" s="11"/>
      <c r="BB47" s="11"/>
      <c r="BC47" s="11"/>
      <c r="BD47" s="11"/>
      <c r="BE47" s="11"/>
      <c r="BF47" s="11"/>
      <c r="BG47" s="11"/>
      <c r="BH47" s="11"/>
      <c r="BI47" s="11"/>
      <c r="BJ47" s="11"/>
      <c r="BK47" s="11"/>
      <c r="BL47" s="11"/>
    </row>
    <row r="48" spans="1:64" ht="15" thickBot="1" x14ac:dyDescent="0.3">
      <c r="A48" s="911"/>
      <c r="B48" s="438"/>
      <c r="C48" s="438"/>
      <c r="D48" s="2554" t="s">
        <v>18134</v>
      </c>
      <c r="E48" s="2459">
        <v>15</v>
      </c>
      <c r="F48" s="911"/>
      <c r="G48" s="2458" t="str">
        <f>E13</f>
        <v>Semi-Annual</v>
      </c>
      <c r="H48" s="2442">
        <v>12</v>
      </c>
      <c r="I48" s="438"/>
      <c r="J48" s="438"/>
      <c r="K48" s="438"/>
      <c r="L48" s="911"/>
      <c r="M48" s="911"/>
      <c r="N48" s="911"/>
      <c r="O48" s="911"/>
      <c r="P48" s="2384"/>
      <c r="Q48" s="2384"/>
      <c r="R48" s="2384"/>
      <c r="S48" s="2384"/>
      <c r="T48" s="2384"/>
      <c r="U48" s="2384"/>
      <c r="V48" s="2384"/>
      <c r="W48" s="11"/>
      <c r="X48" s="11"/>
      <c r="Y48" s="11"/>
      <c r="Z48" s="11"/>
      <c r="AA48" s="11"/>
      <c r="AB48" s="11"/>
      <c r="AC48" s="11"/>
      <c r="AD48" s="11"/>
      <c r="AE48" s="11"/>
      <c r="AF48" s="11"/>
      <c r="AG48" s="11"/>
      <c r="AH48" s="11"/>
      <c r="AI48" s="11"/>
      <c r="AJ48" s="11"/>
      <c r="AK48" s="11"/>
      <c r="AL48" s="11"/>
      <c r="AM48" s="11"/>
      <c r="AN48" s="11"/>
      <c r="AO48" s="11"/>
      <c r="AP48" s="11"/>
      <c r="AQ48" s="11"/>
      <c r="AR48" s="11"/>
      <c r="AS48" s="11"/>
      <c r="AT48" s="11"/>
      <c r="AU48" s="11"/>
      <c r="AV48" s="11"/>
      <c r="AW48" s="11"/>
      <c r="AX48" s="11"/>
      <c r="AY48" s="11"/>
      <c r="AZ48" s="11"/>
      <c r="BA48" s="11"/>
      <c r="BB48" s="11"/>
      <c r="BC48" s="11"/>
      <c r="BD48" s="11"/>
      <c r="BE48" s="11"/>
      <c r="BF48" s="11"/>
      <c r="BG48" s="11"/>
      <c r="BH48" s="11"/>
      <c r="BI48" s="11"/>
      <c r="BJ48" s="11"/>
      <c r="BK48" s="11"/>
      <c r="BL48" s="11"/>
    </row>
    <row r="49" spans="1:64" x14ac:dyDescent="0.25">
      <c r="A49" s="911"/>
      <c r="B49" s="94"/>
      <c r="C49" s="31"/>
      <c r="D49" s="1249"/>
      <c r="E49" s="1249"/>
      <c r="F49" s="1249"/>
      <c r="G49" s="1249"/>
      <c r="H49" s="1249"/>
      <c r="I49" s="2443"/>
      <c r="J49" s="2443"/>
      <c r="K49" s="2444"/>
      <c r="L49" s="911"/>
      <c r="M49" s="911"/>
      <c r="N49" s="911"/>
      <c r="O49" s="911"/>
      <c r="P49" s="2384"/>
      <c r="Q49" s="2384"/>
      <c r="R49" s="2384"/>
      <c r="S49" s="2384"/>
      <c r="T49" s="2384"/>
      <c r="U49" s="2384"/>
      <c r="V49" s="2384"/>
      <c r="W49" s="11"/>
      <c r="X49" s="11"/>
      <c r="Y49" s="11"/>
      <c r="Z49" s="11"/>
      <c r="AA49" s="11"/>
      <c r="AB49" s="11"/>
      <c r="AC49" s="11"/>
      <c r="AD49" s="11"/>
      <c r="AE49" s="11"/>
      <c r="AF49" s="11"/>
      <c r="AG49" s="11"/>
      <c r="AH49" s="11"/>
      <c r="AI49" s="11"/>
      <c r="AJ49" s="11"/>
      <c r="AK49" s="11"/>
      <c r="AL49" s="11"/>
      <c r="AM49" s="11"/>
      <c r="AN49" s="11"/>
      <c r="AO49" s="11"/>
      <c r="AP49" s="11"/>
      <c r="AQ49" s="11"/>
      <c r="AR49" s="11"/>
      <c r="AS49" s="11"/>
      <c r="AT49" s="11"/>
      <c r="AU49" s="11"/>
      <c r="AV49" s="11"/>
      <c r="AW49" s="11"/>
      <c r="AX49" s="11"/>
      <c r="AY49" s="11"/>
      <c r="AZ49" s="11"/>
      <c r="BA49" s="11"/>
      <c r="BB49" s="11"/>
      <c r="BC49" s="11"/>
      <c r="BD49" s="11"/>
      <c r="BE49" s="11"/>
      <c r="BF49" s="11"/>
      <c r="BG49" s="11"/>
      <c r="BH49" s="11"/>
      <c r="BI49" s="11"/>
      <c r="BJ49" s="11"/>
      <c r="BK49" s="11"/>
      <c r="BL49" s="11"/>
    </row>
    <row r="50" spans="1:64" ht="16.5" x14ac:dyDescent="0.3">
      <c r="A50" s="911"/>
      <c r="B50" s="335"/>
      <c r="C50" s="1683"/>
      <c r="D50" s="246" t="str">
        <f>CONCATENATE("Vacancy and Absorption Trends - ",dpMarketStudy_Vacancy_Title_1)</f>
        <v>Vacancy and Absorption Trends - Denver MSA</v>
      </c>
      <c r="E50" s="582"/>
      <c r="F50" s="1683"/>
      <c r="G50" s="582"/>
      <c r="H50" s="582"/>
      <c r="I50" s="1683"/>
      <c r="J50" s="2462"/>
      <c r="K50" s="2445"/>
      <c r="L50" s="911"/>
      <c r="M50" s="2505" t="str">
        <f>IF(LEFT(D53,SEARCH(" - ",D53,1))=LEFT(D56,SEARCH(" - ",D56,1)),dpMarketStudy_Vacancy_Location_1A,CONCATENATE(dpMarketStudy_Vacancy_Location_1A," &amp; ",dpMarketStudy_Vacancy_Location_1B))</f>
        <v>Denver MSA</v>
      </c>
      <c r="N50" s="911"/>
      <c r="O50" s="911"/>
      <c r="P50" s="2384"/>
      <c r="Q50" s="2384"/>
      <c r="R50" s="2384"/>
      <c r="S50" s="2384"/>
      <c r="T50" s="2384"/>
      <c r="U50" s="2384"/>
      <c r="V50" s="2384"/>
      <c r="W50" s="11"/>
      <c r="X50" s="11"/>
      <c r="Y50" s="11"/>
      <c r="Z50" s="11"/>
      <c r="AA50" s="11"/>
      <c r="AB50" s="11"/>
      <c r="AC50" s="11"/>
      <c r="AD50" s="11"/>
      <c r="AE50" s="11"/>
      <c r="AF50" s="11"/>
      <c r="AG50" s="11"/>
      <c r="AH50" s="11"/>
      <c r="AI50" s="11"/>
      <c r="AJ50" s="11"/>
      <c r="AK50" s="11"/>
      <c r="AL50" s="11"/>
      <c r="AM50" s="11"/>
      <c r="AN50" s="11"/>
      <c r="AO50" s="11"/>
      <c r="AP50" s="11"/>
      <c r="AQ50" s="11"/>
      <c r="AR50" s="11"/>
      <c r="AS50" s="11"/>
      <c r="AT50" s="11"/>
      <c r="AU50" s="11"/>
      <c r="AV50" s="11"/>
      <c r="AW50" s="11"/>
      <c r="AX50" s="11"/>
      <c r="AY50" s="11"/>
      <c r="AZ50" s="11"/>
      <c r="BA50" s="11"/>
      <c r="BB50" s="11"/>
      <c r="BC50" s="11"/>
      <c r="BD50" s="11"/>
      <c r="BE50" s="11"/>
      <c r="BF50" s="11"/>
      <c r="BG50" s="11"/>
      <c r="BH50" s="11"/>
      <c r="BI50" s="11"/>
      <c r="BJ50" s="11"/>
      <c r="BK50" s="11"/>
      <c r="BL50" s="11"/>
    </row>
    <row r="51" spans="1:64" ht="245.1" customHeight="1" x14ac:dyDescent="0.25">
      <c r="A51" s="911"/>
      <c r="B51" s="1251"/>
      <c r="C51" s="911"/>
      <c r="D51" s="2441"/>
      <c r="E51" s="2409"/>
      <c r="F51" s="911"/>
      <c r="G51" s="2405"/>
      <c r="H51" s="2405"/>
      <c r="I51" s="2405"/>
      <c r="J51" s="911"/>
      <c r="K51" s="2401"/>
      <c r="L51" s="911"/>
      <c r="M51" s="911"/>
      <c r="N51" s="911"/>
      <c r="O51" s="911"/>
      <c r="P51" s="2384"/>
      <c r="Q51" s="2384"/>
      <c r="R51" s="2384"/>
      <c r="S51" s="2384"/>
      <c r="T51" s="2384"/>
      <c r="U51" s="2384"/>
      <c r="V51" s="2384"/>
      <c r="W51" s="11"/>
      <c r="X51" s="11"/>
      <c r="Y51" s="11"/>
      <c r="Z51" s="11"/>
      <c r="AA51" s="11"/>
      <c r="AB51" s="11"/>
      <c r="AC51" s="11"/>
      <c r="AD51" s="11"/>
      <c r="AE51" s="11"/>
      <c r="AF51" s="11"/>
      <c r="AG51" s="11"/>
      <c r="AH51" s="11"/>
      <c r="AI51" s="11"/>
      <c r="AJ51" s="11"/>
      <c r="AK51" s="11"/>
      <c r="AL51" s="11"/>
      <c r="AM51" s="11"/>
      <c r="AN51" s="11"/>
      <c r="AO51" s="11"/>
      <c r="AP51" s="11"/>
      <c r="AQ51" s="11"/>
      <c r="AR51" s="11"/>
      <c r="AS51" s="11"/>
      <c r="AT51" s="11"/>
      <c r="AU51" s="11"/>
      <c r="AV51" s="11"/>
      <c r="AW51" s="11"/>
      <c r="AX51" s="11"/>
      <c r="AY51" s="11"/>
      <c r="AZ51" s="11"/>
      <c r="BA51" s="11"/>
      <c r="BB51" s="11"/>
      <c r="BC51" s="11"/>
      <c r="BD51" s="11"/>
      <c r="BE51" s="11"/>
      <c r="BF51" s="11"/>
      <c r="BG51" s="11"/>
      <c r="BH51" s="11"/>
      <c r="BI51" s="11"/>
      <c r="BJ51" s="11"/>
      <c r="BK51" s="11"/>
      <c r="BL51" s="11"/>
    </row>
    <row r="52" spans="1:64" x14ac:dyDescent="0.25">
      <c r="A52" s="911"/>
      <c r="B52" s="1251"/>
      <c r="C52" s="911"/>
      <c r="D52" s="12" t="s">
        <v>18105</v>
      </c>
      <c r="E52" s="150" t="str" cm="1">
        <f t="array" aca="1" ref="E52" ca="1">LOOKUP(2,1/(Chart_Periods_Vacancy&lt;&gt;""),Chart_Periods_Vacancy)</f>
        <v>2022 Q2</v>
      </c>
      <c r="F52" s="2524">
        <v>1</v>
      </c>
      <c r="G52" s="2524">
        <v>3</v>
      </c>
      <c r="H52" s="2524">
        <v>5</v>
      </c>
      <c r="I52" s="2524">
        <v>10</v>
      </c>
      <c r="J52" s="2405"/>
      <c r="K52" s="2401"/>
      <c r="L52" s="911"/>
      <c r="M52" s="911"/>
      <c r="N52" s="911"/>
      <c r="O52" s="911"/>
      <c r="P52" s="2384"/>
      <c r="Q52" s="2384"/>
      <c r="R52" s="2384"/>
      <c r="S52" s="2384"/>
      <c r="T52" s="2384"/>
      <c r="U52" s="2384"/>
      <c r="V52" s="2384"/>
      <c r="W52" s="11"/>
      <c r="X52" s="11"/>
      <c r="Y52" s="11"/>
      <c r="Z52" s="11"/>
      <c r="AA52" s="11"/>
      <c r="AB52" s="11"/>
      <c r="AC52" s="11"/>
      <c r="AD52" s="11"/>
      <c r="AE52" s="11"/>
      <c r="AF52" s="11"/>
      <c r="AG52" s="11"/>
      <c r="AH52" s="11"/>
      <c r="AI52" s="11"/>
      <c r="AJ52" s="11"/>
      <c r="AK52" s="11"/>
      <c r="AL52" s="11"/>
      <c r="AM52" s="11"/>
      <c r="AN52" s="11"/>
      <c r="AO52" s="11"/>
      <c r="AP52" s="11"/>
      <c r="AQ52" s="11"/>
      <c r="AR52" s="11"/>
      <c r="AS52" s="11"/>
      <c r="AT52" s="11"/>
      <c r="AU52" s="11"/>
      <c r="AV52" s="11"/>
      <c r="AW52" s="11"/>
      <c r="AX52" s="11"/>
      <c r="AY52" s="11"/>
      <c r="AZ52" s="11"/>
      <c r="BA52" s="11"/>
      <c r="BB52" s="11"/>
      <c r="BC52" s="11"/>
      <c r="BD52" s="11"/>
      <c r="BE52" s="11"/>
      <c r="BF52" s="11"/>
      <c r="BG52" s="11"/>
      <c r="BH52" s="11"/>
      <c r="BI52" s="11"/>
      <c r="BJ52" s="11"/>
      <c r="BK52" s="11"/>
      <c r="BL52" s="11"/>
    </row>
    <row r="53" spans="1:64" x14ac:dyDescent="0.25">
      <c r="A53" s="911"/>
      <c r="B53" s="1251"/>
      <c r="C53" s="52"/>
      <c r="D53" s="2414" t="str">
        <f>CoStar_Sector1_Master</f>
        <v>Denver MSA - Industrial</v>
      </c>
      <c r="E53" s="2491">
        <f ca="1">IFERROR(HLOOKUP('MS Data'!$AN$2,INDIRECT(CoStar_Array_Vacancy_1A),CoStar_RowOffset_VacancyAbsorb,FALSE),"-")</f>
        <v>5.0999999999999997E-2</v>
      </c>
      <c r="F53" s="2491">
        <f ca="1">IFERROR(HLOOKUP('MS Data'!$AN$2,INDIRECT(CoStar_Array_Vacancy_1A),CoStar_RowOffset_VacancyAbsorb+(F52*4),FALSE),"-")</f>
        <v>6.0999999999999999E-2</v>
      </c>
      <c r="G53" s="2491">
        <f ca="1">IFERROR(HLOOKUP('MS Data'!$AN$2,INDIRECT(CoStar_Array_Vacancy_1A),CoStar_RowOffset_VacancyAbsorb+(G52*4),FALSE),"-")</f>
        <v>4.2000000000000003E-2</v>
      </c>
      <c r="H53" s="2491">
        <f ca="1">IFERROR(HLOOKUP('MS Data'!$AN$2,INDIRECT(CoStar_Array_Vacancy_1A),CoStar_RowOffset_VacancyAbsorb+(H52*4),FALSE),"-")</f>
        <v>3.9E-2</v>
      </c>
      <c r="I53" s="2491">
        <f ca="1">IFERROR(HLOOKUP('MS Data'!$AN$2,INDIRECT(CoStar_Array_Vacancy_1A),CoStar_RowOffset_VacancyAbsorb+(I52*4),FALSE),"-")</f>
        <v>6.5000000000000002E-2</v>
      </c>
      <c r="J53" s="2413"/>
      <c r="K53" s="2401"/>
      <c r="L53" s="911"/>
      <c r="M53" s="2505" t="str">
        <f>IF(LEFT(D53,SEARCH(" - ",D53,1))=LEFT(D56,SEARCH(" - ",D56,1)),CONCATENATE(RIGHT(D53,LEN(D53)-(SEARCH(" - ",D53,1)+2))," Net Absorption"),CONCATENATE(D53," Net Absorption"))</f>
        <v>Industrial Net Absorption</v>
      </c>
      <c r="N53" s="911"/>
      <c r="O53" s="911"/>
      <c r="P53" s="2384"/>
      <c r="Q53" s="2384"/>
      <c r="R53" s="2507"/>
      <c r="S53" s="2508"/>
      <c r="T53" s="2508"/>
      <c r="U53" s="2384"/>
      <c r="V53" s="2384"/>
      <c r="W53" s="11"/>
      <c r="X53" s="11"/>
      <c r="Y53" s="11"/>
      <c r="Z53" s="11"/>
      <c r="AA53" s="11"/>
      <c r="AB53" s="11"/>
      <c r="AC53" s="11"/>
      <c r="AD53" s="11"/>
      <c r="AE53" s="11"/>
      <c r="AF53" s="11"/>
      <c r="AG53" s="11"/>
      <c r="AH53" s="11"/>
      <c r="AI53" s="11"/>
      <c r="AJ53" s="11"/>
      <c r="AK53" s="11"/>
      <c r="AL53" s="11"/>
      <c r="AM53" s="11"/>
      <c r="AN53" s="11"/>
      <c r="AO53" s="11"/>
      <c r="AP53" s="11"/>
      <c r="AQ53" s="11"/>
      <c r="AR53" s="11"/>
      <c r="AS53" s="11"/>
      <c r="AT53" s="11"/>
      <c r="AU53" s="11"/>
      <c r="AV53" s="11"/>
      <c r="AW53" s="11"/>
      <c r="AX53" s="11"/>
      <c r="AY53" s="11"/>
      <c r="AZ53" s="11"/>
      <c r="BA53" s="11"/>
      <c r="BB53" s="11"/>
      <c r="BC53" s="11"/>
      <c r="BD53" s="11"/>
      <c r="BE53" s="11"/>
      <c r="BF53" s="11"/>
      <c r="BG53" s="11"/>
      <c r="BH53" s="11"/>
      <c r="BI53" s="11"/>
      <c r="BJ53" s="11"/>
      <c r="BK53" s="11"/>
      <c r="BL53" s="11"/>
    </row>
    <row r="54" spans="1:64" x14ac:dyDescent="0.25">
      <c r="A54" s="911"/>
      <c r="B54" s="1251"/>
      <c r="C54" s="52"/>
      <c r="D54" s="2531" t="s">
        <v>18147</v>
      </c>
      <c r="E54" s="2532" t="s">
        <v>1784</v>
      </c>
      <c r="F54" s="2606" t="str">
        <f ca="1">IFERROR(IF(ABS(SUM(OFFSET(INDIRECT(CoStar_Array_Absorption_1A),CoStar_RowOffset_VacancyAbsorb-1,MATCH('MS Data'!$AF$2,INDIRECT(CoStar_VacancyAbsorb_ArrayHeader_1A),0)-1,4*F52,1))/F52)&gt;=1000000,ROUND(SUM(OFFSET(INDIRECT(CoStar_Array_Absorption_1A),CoStar_RowOffset_VacancyAbsorb-1,MATCH('MS Data'!$AF$2,INDIRECT(CoStar_VacancyAbsorb_ArrayHeader_1A),0)-1,4*F52,1))/F52/1000000,1)&amp;"M",ROUND(SUM(OFFSET(INDIRECT(CoStar_Array_Absorption_1A),CoStar_RowOffset_VacancyAbsorb-1,MATCH('MS Data'!$AF$2,INDIRECT(CoStar_VacancyAbsorb_ArrayHeader_1A),0)-1,4*F52,1))/F52/1000,1)&amp;"K"),"-")</f>
        <v>9.4M</v>
      </c>
      <c r="G54" s="2606" t="str">
        <f ca="1">IFERROR(IF(ABS(SUM(OFFSET(INDIRECT(CoStar_Array_Absorption_1A),CoStar_RowOffset_VacancyAbsorb-1,MATCH('MS Data'!$AF$2,INDIRECT(CoStar_VacancyAbsorb_ArrayHeader_1A),0)-1,4*G52,1))/G52)&gt;=1000000,ROUND(SUM(OFFSET(INDIRECT(CoStar_Array_Absorption_1A),CoStar_RowOffset_VacancyAbsorb-1,MATCH('MS Data'!$AF$2,INDIRECT(CoStar_VacancyAbsorb_ArrayHeader_1A),0)-1,4*G52,1))/G52/1000000,1)&amp;"M",ROUND(SUM(OFFSET(INDIRECT(CoStar_Array_Absorption_1A),CoStar_RowOffset_VacancyAbsorb-1,MATCH('MS Data'!$AF$2,INDIRECT(CoStar_VacancyAbsorb_ArrayHeader_1A),0)-1,4*G52,1))/G52/1000,1)&amp;"K"),"-")</f>
        <v>5.1M</v>
      </c>
      <c r="H54" s="2606" t="str">
        <f ca="1">IFERROR(IF(ABS(SUM(OFFSET(INDIRECT(CoStar_Array_Absorption_1A),CoStar_RowOffset_VacancyAbsorb-1,MATCH('MS Data'!$AF$2,INDIRECT(CoStar_VacancyAbsorb_ArrayHeader_1A),0)-1,4*H52,1))/H52)&gt;=1000000,ROUND(SUM(OFFSET(INDIRECT(CoStar_Array_Absorption_1A),CoStar_RowOffset_VacancyAbsorb-1,MATCH('MS Data'!$AF$2,INDIRECT(CoStar_VacancyAbsorb_ArrayHeader_1A),0)-1,4*H52,1))/H52/1000000,1)&amp;"M",ROUND(SUM(OFFSET(INDIRECT(CoStar_Array_Absorption_1A),CoStar_RowOffset_VacancyAbsorb-1,MATCH('MS Data'!$AF$2,INDIRECT(CoStar_VacancyAbsorb_ArrayHeader_1A),0)-1,4*H52,1))/H52/1000,1)&amp;"K"),"-")</f>
        <v>4.6M</v>
      </c>
      <c r="I54" s="2606" t="str">
        <f ca="1">IFERROR(IF(ABS(SUM(OFFSET(INDIRECT(CoStar_Array_Absorption_1A),CoStar_RowOffset_VacancyAbsorb-1,MATCH('MS Data'!$AF$2,INDIRECT(CoStar_VacancyAbsorb_ArrayHeader_1A),0)-1,4*I52,1))/I52)&gt;=1000000,ROUND(SUM(OFFSET(INDIRECT(CoStar_Array_Absorption_1A),CoStar_RowOffset_VacancyAbsorb-1,MATCH('MS Data'!$AF$2,INDIRECT(CoStar_VacancyAbsorb_ArrayHeader_1A),0)-1,4*I52,1))/I52/1000000,1)&amp;"M",ROUND(SUM(OFFSET(INDIRECT(CoStar_Array_Absorption_1A),CoStar_RowOffset_VacancyAbsorb-1,MATCH('MS Data'!$AF$2,INDIRECT(CoStar_VacancyAbsorb_ArrayHeader_1A),0)-1,4*I52,1))/I52/1000,1)&amp;"K"),"-")</f>
        <v>3.5M</v>
      </c>
      <c r="J54" s="2413"/>
      <c r="K54" s="2401"/>
      <c r="L54" s="911"/>
      <c r="M54" s="2505" t="str">
        <f>IF(LEFT(D53,SEARCH(" - ",D53,1))=LEFT(D56,SEARCH(" - ",D56,1)),CONCATENATE(RIGHT(D53,LEN(D53)-(SEARCH(" - ",D53,1)+2))," Vacancy"),CONCATENATE(D53," Vacancy"))</f>
        <v>Industrial Vacancy</v>
      </c>
      <c r="N54" s="911"/>
      <c r="O54" s="911"/>
      <c r="P54" s="2384"/>
      <c r="Q54" s="2384"/>
      <c r="R54" s="2509"/>
      <c r="S54" s="2509"/>
      <c r="T54" s="2384"/>
      <c r="U54" s="2384"/>
      <c r="V54" s="2384"/>
      <c r="W54" s="11"/>
      <c r="X54" s="11"/>
      <c r="Y54" s="11"/>
      <c r="Z54" s="11"/>
      <c r="AA54" s="11"/>
      <c r="AB54" s="11"/>
      <c r="AC54" s="11"/>
      <c r="AD54" s="11"/>
      <c r="AE54" s="11"/>
      <c r="AF54" s="11"/>
      <c r="AG54" s="11"/>
      <c r="AH54" s="11"/>
      <c r="AI54" s="11"/>
      <c r="AJ54" s="11"/>
      <c r="AK54" s="11"/>
      <c r="AL54" s="11"/>
      <c r="AM54" s="11"/>
      <c r="AN54" s="11"/>
      <c r="AO54" s="11"/>
      <c r="AP54" s="11"/>
      <c r="AQ54" s="11"/>
      <c r="AR54" s="11"/>
      <c r="AS54" s="11"/>
      <c r="AT54" s="11"/>
      <c r="AU54" s="11"/>
      <c r="AV54" s="11"/>
      <c r="AW54" s="11"/>
      <c r="AX54" s="11"/>
      <c r="AY54" s="11"/>
      <c r="AZ54" s="11"/>
      <c r="BA54" s="11"/>
      <c r="BB54" s="11"/>
      <c r="BC54" s="11"/>
      <c r="BD54" s="11"/>
      <c r="BE54" s="11"/>
      <c r="BF54" s="11"/>
      <c r="BG54" s="11"/>
      <c r="BH54" s="11"/>
      <c r="BI54" s="11"/>
      <c r="BJ54" s="11"/>
      <c r="BK54" s="11"/>
      <c r="BL54" s="11"/>
    </row>
    <row r="55" spans="1:64" x14ac:dyDescent="0.25">
      <c r="A55" s="911"/>
      <c r="B55" s="1251"/>
      <c r="C55" s="52"/>
      <c r="D55" s="2533" t="s">
        <v>18148</v>
      </c>
      <c r="E55" s="2534" t="s">
        <v>1784</v>
      </c>
      <c r="F55" s="2607" t="str">
        <f ca="1">IFERROR(IF(ABS(SUM(OFFSET(INDIRECT(CoStar_Array_Absorption_1A),CoStar_RowOffset_VacancyAbsorb-1,MATCH('MS Data'!$AJ$2,INDIRECT(CoStar_VacancyAbsorb_ArrayHeader_1A),0)-1,4*F52,1))/F52)&gt;=1000000,ROUND(SUM(OFFSET(INDIRECT(CoStar_Array_Absorption_1A),CoStar_RowOffset_VacancyAbsorb-1,MATCH('MS Data'!$AJ$2,INDIRECT(CoStar_VacancyAbsorb_ArrayHeader_1A),0)-1,4*F52,1))/F52/1000000,1)&amp;"M",ROUND(SUM(OFFSET(INDIRECT(CoStar_Array_Absorption_1A),CoStar_RowOffset_VacancyAbsorb-1,MATCH('MS Data'!$AJ$2,INDIRECT(CoStar_VacancyAbsorb_ArrayHeader_1A),0)-1,4*F52,1))/F52/1000,1)&amp;"K"),"-")</f>
        <v>8M</v>
      </c>
      <c r="G55" s="2607" t="str">
        <f ca="1">IFERROR(IF(ABS(SUM(OFFSET(INDIRECT(CoStar_Array_Absorption_1A),CoStar_RowOffset_VacancyAbsorb-1,MATCH('MS Data'!$AJ$2,INDIRECT(CoStar_VacancyAbsorb_ArrayHeader_1A),0)-1,4*G52,1))/G52)&gt;=1000000,ROUND(SUM(OFFSET(INDIRECT(CoStar_Array_Absorption_1A),CoStar_RowOffset_VacancyAbsorb-1,MATCH('MS Data'!$AJ$2,INDIRECT(CoStar_VacancyAbsorb_ArrayHeader_1A),0)-1,4*G52,1))/G52/1000000,1)&amp;"M",ROUND(SUM(OFFSET(INDIRECT(CoStar_Array_Absorption_1A),CoStar_RowOffset_VacancyAbsorb-1,MATCH('MS Data'!$AJ$2,INDIRECT(CoStar_VacancyAbsorb_ArrayHeader_1A),0)-1,4*G52,1))/G52/1000,1)&amp;"K"),"-")</f>
        <v>6.5M</v>
      </c>
      <c r="H55" s="2607" t="str">
        <f ca="1">IFERROR(IF(ABS(SUM(OFFSET(INDIRECT(CoStar_Array_Absorption_1A),CoStar_RowOffset_VacancyAbsorb-1,MATCH('MS Data'!$AJ$2,INDIRECT(CoStar_VacancyAbsorb_ArrayHeader_1A),0)-1,4*H52,1))/H52)&gt;=1000000,ROUND(SUM(OFFSET(INDIRECT(CoStar_Array_Absorption_1A),CoStar_RowOffset_VacancyAbsorb-1,MATCH('MS Data'!$AJ$2,INDIRECT(CoStar_VacancyAbsorb_ArrayHeader_1A),0)-1,4*H52,1))/H52/1000000,1)&amp;"M",ROUND(SUM(OFFSET(INDIRECT(CoStar_Array_Absorption_1A),CoStar_RowOffset_VacancyAbsorb-1,MATCH('MS Data'!$AJ$2,INDIRECT(CoStar_VacancyAbsorb_ArrayHeader_1A),0)-1,4*H52,1))/H52/1000,1)&amp;"K"),"-")</f>
        <v>5.8M</v>
      </c>
      <c r="I55" s="2607" t="str">
        <f ca="1">IFERROR(IF(ABS(SUM(OFFSET(INDIRECT(CoStar_Array_Absorption_1A),CoStar_RowOffset_VacancyAbsorb-1,MATCH('MS Data'!$AJ$2,INDIRECT(CoStar_VacancyAbsorb_ArrayHeader_1A),0)-1,4*I52,1))/I52)&gt;=1000000,ROUND(SUM(OFFSET(INDIRECT(CoStar_Array_Absorption_1A),CoStar_RowOffset_VacancyAbsorb-1,MATCH('MS Data'!$AJ$2,INDIRECT(CoStar_VacancyAbsorb_ArrayHeader_1A),0)-1,4*I52,1))/I52/1000000,1)&amp;"M",ROUND(SUM(OFFSET(INDIRECT(CoStar_Array_Absorption_1A),CoStar_RowOffset_VacancyAbsorb-1,MATCH('MS Data'!$AJ$2,INDIRECT(CoStar_VacancyAbsorb_ArrayHeader_1A),0)-1,4*I52,1))/I52/1000,1)&amp;"K"),"-")</f>
        <v>4.2M</v>
      </c>
      <c r="J55" s="2413"/>
      <c r="K55" s="2401"/>
      <c r="L55" s="911"/>
      <c r="M55" s="2505"/>
      <c r="N55" s="911"/>
      <c r="O55" s="911"/>
      <c r="P55" s="2384"/>
      <c r="Q55" s="2384"/>
      <c r="R55" s="2509"/>
      <c r="S55" s="2509"/>
      <c r="T55" s="2384"/>
      <c r="U55" s="2384"/>
      <c r="V55" s="2384"/>
      <c r="W55" s="11"/>
      <c r="X55" s="11"/>
      <c r="Y55" s="11"/>
      <c r="Z55" s="11"/>
      <c r="AA55" s="11"/>
      <c r="AB55" s="11"/>
      <c r="AC55" s="11"/>
      <c r="AD55" s="11"/>
      <c r="AE55" s="11"/>
      <c r="AF55" s="11"/>
      <c r="AG55" s="11"/>
      <c r="AH55" s="11"/>
      <c r="AI55" s="11"/>
      <c r="AJ55" s="11"/>
      <c r="AK55" s="11"/>
      <c r="AL55" s="11"/>
      <c r="AM55" s="11"/>
      <c r="AN55" s="11"/>
      <c r="AO55" s="11"/>
      <c r="AP55" s="11"/>
      <c r="AQ55" s="11"/>
      <c r="AR55" s="11"/>
      <c r="AS55" s="11"/>
      <c r="AT55" s="11"/>
      <c r="AU55" s="11"/>
      <c r="AV55" s="11"/>
      <c r="AW55" s="11"/>
      <c r="AX55" s="11"/>
      <c r="AY55" s="11"/>
      <c r="AZ55" s="11"/>
      <c r="BA55" s="11"/>
      <c r="BB55" s="11"/>
      <c r="BC55" s="11"/>
      <c r="BD55" s="11"/>
      <c r="BE55" s="11"/>
      <c r="BF55" s="11"/>
      <c r="BG55" s="11"/>
      <c r="BH55" s="11"/>
      <c r="BI55" s="11"/>
      <c r="BJ55" s="11"/>
      <c r="BK55" s="11"/>
      <c r="BL55" s="11"/>
    </row>
    <row r="56" spans="1:64" x14ac:dyDescent="0.25">
      <c r="A56" s="911"/>
      <c r="B56" s="1251"/>
      <c r="C56" s="52"/>
      <c r="D56" s="2414" t="str">
        <f>CoStar_Sector2_Master</f>
        <v>Denver MSA - Warehouse</v>
      </c>
      <c r="E56" s="2491">
        <f ca="1">IFERROR(HLOOKUP('MS Data'!$AN$2,INDIRECT(CoStar_Array_Vacancy_1B),CoStar_RowOffset_VacancyAbsorb,FALSE),"-")</f>
        <v>5.8000000000000003E-2</v>
      </c>
      <c r="F56" s="2491">
        <f ca="1">IFERROR(HLOOKUP('MS Data'!$AN$2,INDIRECT(CoStar_Array_Vacancy_1B),CoStar_RowOffset_VacancyAbsorb+(F52*4),FALSE),"-")</f>
        <v>5.8000000000000003E-2</v>
      </c>
      <c r="G56" s="2491">
        <f ca="1">IFERROR(HLOOKUP('MS Data'!$AN$2,INDIRECT(CoStar_Array_Vacancy_1B),CoStar_RowOffset_VacancyAbsorb+(G52*4),FALSE),"-")</f>
        <v>2.5000000000000001E-2</v>
      </c>
      <c r="H56" s="2491">
        <f ca="1">IFERROR(HLOOKUP('MS Data'!$AN$2,INDIRECT(CoStar_Array_Vacancy_1B),CoStar_RowOffset_VacancyAbsorb+(H52*4),FALSE),"-")</f>
        <v>2.1999999999999999E-2</v>
      </c>
      <c r="I56" s="2491">
        <f ca="1">IFERROR(HLOOKUP('MS Data'!$AN$2,INDIRECT(CoStar_Array_Vacancy_1B),CoStar_RowOffset_VacancyAbsorb+(I52*4),FALSE),"-")</f>
        <v>5.5E-2</v>
      </c>
      <c r="J56" s="2413"/>
      <c r="K56" s="2401"/>
      <c r="L56" s="911"/>
      <c r="M56" s="2505" t="str">
        <f>IF(LEFT(D53,SEARCH(" - ",D53,1))=LEFT(D56,SEARCH(" - ",D56,1)),CONCATENATE(RIGHT(D56,LEN(D56)-(SEARCH(" - ",D56,1)+2))," Net Absorption"),CONCATENATE(D56," Net Absorption"))</f>
        <v>Warehouse Net Absorption</v>
      </c>
      <c r="N56" s="911"/>
      <c r="O56" s="911"/>
      <c r="P56" s="2384"/>
      <c r="Q56" s="2384"/>
      <c r="R56" s="2507"/>
      <c r="S56" s="2384"/>
      <c r="T56" s="2384"/>
      <c r="U56" s="2384"/>
      <c r="V56" s="2384"/>
      <c r="W56" s="11"/>
      <c r="X56" s="11"/>
      <c r="Y56" s="11"/>
      <c r="Z56" s="11"/>
      <c r="AA56" s="11"/>
      <c r="AB56" s="11"/>
      <c r="AC56" s="11"/>
      <c r="AD56" s="11"/>
      <c r="AE56" s="11"/>
      <c r="AF56" s="11"/>
      <c r="AG56" s="11"/>
      <c r="AH56" s="11"/>
      <c r="AI56" s="11"/>
      <c r="AJ56" s="11"/>
      <c r="AK56" s="11"/>
      <c r="AL56" s="11"/>
      <c r="AM56" s="11"/>
      <c r="AN56" s="11"/>
      <c r="AO56" s="11"/>
      <c r="AP56" s="11"/>
      <c r="AQ56" s="11"/>
      <c r="AR56" s="11"/>
      <c r="AS56" s="11"/>
      <c r="AT56" s="11"/>
      <c r="AU56" s="11"/>
      <c r="AV56" s="11"/>
      <c r="AW56" s="11"/>
      <c r="AX56" s="11"/>
      <c r="AY56" s="11"/>
      <c r="AZ56" s="11"/>
      <c r="BA56" s="11"/>
      <c r="BB56" s="11"/>
      <c r="BC56" s="11"/>
      <c r="BD56" s="11"/>
      <c r="BE56" s="11"/>
      <c r="BF56" s="11"/>
      <c r="BG56" s="11"/>
      <c r="BH56" s="11"/>
      <c r="BI56" s="11"/>
      <c r="BJ56" s="11"/>
      <c r="BK56" s="11"/>
      <c r="BL56" s="11"/>
    </row>
    <row r="57" spans="1:64" x14ac:dyDescent="0.25">
      <c r="A57" s="911"/>
      <c r="B57" s="1251"/>
      <c r="C57" s="52"/>
      <c r="D57" s="2531" t="s">
        <v>18147</v>
      </c>
      <c r="E57" s="2535" t="s">
        <v>1784</v>
      </c>
      <c r="F57" s="2606" t="str">
        <f ca="1">IFERROR(IF(ABS(SUM(OFFSET(INDIRECT(CoStar_Array_Absorption_1B),CoStar_RowOffset_VacancyAbsorb-1,MATCH('MS Data'!$AF$2,INDIRECT(CoStar_VacancyAbsorb_ArrayHeader_1B),0)-1,4*F52,1))/F52)&gt;=1000000,ROUND(SUM(OFFSET(INDIRECT(CoStar_Array_Absorption_1B),CoStar_RowOffset_VacancyAbsorb-1,MATCH('MS Data'!$AF$2,INDIRECT(CoStar_VacancyAbsorb_ArrayHeader_1B),0)-1,4*F52,1))/F52/1000000,1)&amp;"M",ROUND(SUM(OFFSET(INDIRECT(CoStar_Array_Absorption_1B),CoStar_RowOffset_VacancyAbsorb-1,MATCH('MS Data'!$AF$2,INDIRECT(CoStar_VacancyAbsorb_ArrayHeader_1B),0)-1,4*F52,1))/F52/1000,1)&amp;"K"),"-")</f>
        <v>1M</v>
      </c>
      <c r="G57" s="2606" t="str">
        <f ca="1">IFERROR(IF(ABS(SUM(OFFSET(INDIRECT(CoStar_Array_Absorption_1B),CoStar_RowOffset_VacancyAbsorb-1,MATCH('MS Data'!$AF$2,INDIRECT(CoStar_VacancyAbsorb_ArrayHeader_1B),0)-1,4*G52,1))/G52)&gt;=1000000,ROUND(SUM(OFFSET(INDIRECT(CoStar_Array_Absorption_1B),CoStar_RowOffset_VacancyAbsorb-1,MATCH('MS Data'!$AF$2,INDIRECT(CoStar_VacancyAbsorb_ArrayHeader_1B),0)-1,4*G52,1))/G52/1000000,1)&amp;"M",ROUND(SUM(OFFSET(INDIRECT(CoStar_Array_Absorption_1B),CoStar_RowOffset_VacancyAbsorb-1,MATCH('MS Data'!$AF$2,INDIRECT(CoStar_VacancyAbsorb_ArrayHeader_1B),0)-1,4*G52,1))/G52/1000,1)&amp;"K"),"-")</f>
        <v>334.8K</v>
      </c>
      <c r="H57" s="2606" t="str">
        <f ca="1">IFERROR(IF(ABS(SUM(OFFSET(INDIRECT(CoStar_Array_Absorption_1B),CoStar_RowOffset_VacancyAbsorb-1,MATCH('MS Data'!$AF$2,INDIRECT(CoStar_VacancyAbsorb_ArrayHeader_1B),0)-1,4*H52,1))/H52)&gt;=1000000,ROUND(SUM(OFFSET(INDIRECT(CoStar_Array_Absorption_1B),CoStar_RowOffset_VacancyAbsorb-1,MATCH('MS Data'!$AF$2,INDIRECT(CoStar_VacancyAbsorb_ArrayHeader_1B),0)-1,4*H52,1))/H52/1000000,1)&amp;"M",ROUND(SUM(OFFSET(INDIRECT(CoStar_Array_Absorption_1B),CoStar_RowOffset_VacancyAbsorb-1,MATCH('MS Data'!$AF$2,INDIRECT(CoStar_VacancyAbsorb_ArrayHeader_1B),0)-1,4*H52,1))/H52/1000,1)&amp;"K"),"-")</f>
        <v>270K</v>
      </c>
      <c r="I57" s="2606" t="str">
        <f ca="1">IFERROR(IF(ABS(SUM(OFFSET(INDIRECT(CoStar_Array_Absorption_1B),CoStar_RowOffset_VacancyAbsorb-1,MATCH('MS Data'!$AF$2,INDIRECT(CoStar_VacancyAbsorb_ArrayHeader_1B),0)-1,4*I52,1))/I52)&gt;=1000000,ROUND(SUM(OFFSET(INDIRECT(CoStar_Array_Absorption_1B),CoStar_RowOffset_VacancyAbsorb-1,MATCH('MS Data'!$AF$2,INDIRECT(CoStar_VacancyAbsorb_ArrayHeader_1B),0)-1,4*I52,1))/I52/1000000,1)&amp;"M",ROUND(SUM(OFFSET(INDIRECT(CoStar_Array_Absorption_1B),CoStar_RowOffset_VacancyAbsorb-1,MATCH('MS Data'!$AF$2,INDIRECT(CoStar_VacancyAbsorb_ArrayHeader_1B),0)-1,4*I52,1))/I52/1000,1)&amp;"K"),"-")</f>
        <v>161.8K</v>
      </c>
      <c r="J57" s="2413"/>
      <c r="K57" s="2401"/>
      <c r="L57" s="911"/>
      <c r="M57" s="2505" t="str">
        <f>IF(LEFT(D53,SEARCH(" - ",D53,1))=LEFT(D56,SEARCH(" - ",D56,1)),CONCATENATE(RIGHT(D56,LEN(D56)-(SEARCH(" - ",D56,1)+2))," Vacancy"),CONCATENATE(D56," Vacancy"))</f>
        <v>Warehouse Vacancy</v>
      </c>
      <c r="N57" s="911"/>
      <c r="O57" s="911"/>
      <c r="P57" s="2384"/>
      <c r="Q57" s="2506"/>
      <c r="R57" s="2384"/>
      <c r="S57" s="2510"/>
      <c r="T57" s="2384"/>
      <c r="U57" s="2384"/>
      <c r="V57" s="2384"/>
      <c r="W57" s="11"/>
      <c r="X57" s="11"/>
      <c r="Y57" s="11"/>
      <c r="Z57" s="11"/>
      <c r="AA57" s="11"/>
      <c r="AB57" s="11"/>
      <c r="AC57" s="11"/>
      <c r="AD57" s="11"/>
      <c r="AE57" s="11"/>
      <c r="AF57" s="11"/>
      <c r="AG57" s="11"/>
      <c r="AH57" s="11"/>
      <c r="AI57" s="11"/>
      <c r="AJ57" s="11"/>
      <c r="AK57" s="11"/>
      <c r="AL57" s="11"/>
      <c r="AM57" s="11"/>
      <c r="AN57" s="11"/>
      <c r="AO57" s="11"/>
      <c r="AP57" s="11"/>
      <c r="AQ57" s="11"/>
      <c r="AR57" s="11"/>
      <c r="AS57" s="11"/>
      <c r="AT57" s="11"/>
      <c r="AU57" s="11"/>
      <c r="AV57" s="11"/>
      <c r="AW57" s="11"/>
      <c r="AX57" s="11"/>
      <c r="AY57" s="11"/>
      <c r="AZ57" s="11"/>
      <c r="BA57" s="11"/>
      <c r="BB57" s="11"/>
      <c r="BC57" s="11"/>
      <c r="BD57" s="11"/>
      <c r="BE57" s="11"/>
      <c r="BF57" s="11"/>
      <c r="BG57" s="11"/>
      <c r="BH57" s="11"/>
      <c r="BI57" s="11"/>
      <c r="BJ57" s="11"/>
      <c r="BK57" s="11"/>
      <c r="BL57" s="11"/>
    </row>
    <row r="58" spans="1:64" ht="15" thickBot="1" x14ac:dyDescent="0.3">
      <c r="A58" s="911"/>
      <c r="B58" s="1251"/>
      <c r="C58" s="52"/>
      <c r="D58" s="2498" t="s">
        <v>18148</v>
      </c>
      <c r="E58" s="2500" t="s">
        <v>1784</v>
      </c>
      <c r="F58" s="2608" t="str">
        <f ca="1">IFERROR(IF(ABS(SUM(OFFSET(INDIRECT(CoStar_Array_Absorption_1B),CoStar_RowOffset_VacancyAbsorb-1,MATCH('MS Data'!$AJ$2,INDIRECT(CoStar_VacancyAbsorb_ArrayHeader_1B),0)-1,4*F52,1))/F52)&gt;=1000000,ROUND(SUM(OFFSET(INDIRECT(CoStar_Array_Absorption_1B),CoStar_RowOffset_VacancyAbsorb-1,MATCH('MS Data'!$AJ$2,INDIRECT(CoStar_VacancyAbsorb_ArrayHeader_1B),0)-1,4*F52,1))/F52/1000000,1)&amp;"M",ROUND(SUM(OFFSET(INDIRECT(CoStar_Array_Absorption_1B),CoStar_RowOffset_VacancyAbsorb-1,MATCH('MS Data'!$AJ$2,INDIRECT(CoStar_VacancyAbsorb_ArrayHeader_1B),0)-1,4*F52,1))/F52/1000,1)&amp;"K"),"-")</f>
        <v>1.1M</v>
      </c>
      <c r="G58" s="2608" t="str">
        <f ca="1">IFERROR(IF(ABS(SUM(OFFSET(INDIRECT(CoStar_Array_Absorption_1B),CoStar_RowOffset_VacancyAbsorb-1,MATCH('MS Data'!$AJ$2,INDIRECT(CoStar_VacancyAbsorb_ArrayHeader_1B),0)-1,4*G52,1))/G52)&gt;=1000000,ROUND(SUM(OFFSET(INDIRECT(CoStar_Array_Absorption_1B),CoStar_RowOffset_VacancyAbsorb-1,MATCH('MS Data'!$AJ$2,INDIRECT(CoStar_VacancyAbsorb_ArrayHeader_1B),0)-1,4*G52,1))/G52/1000000,1)&amp;"M",ROUND(SUM(OFFSET(INDIRECT(CoStar_Array_Absorption_1B),CoStar_RowOffset_VacancyAbsorb-1,MATCH('MS Data'!$AJ$2,INDIRECT(CoStar_VacancyAbsorb_ArrayHeader_1B),0)-1,4*G52,1))/G52/1000,1)&amp;"K"),"-")</f>
        <v>546.1K</v>
      </c>
      <c r="H58" s="2608" t="str">
        <f ca="1">IFERROR(IF(ABS(SUM(OFFSET(INDIRECT(CoStar_Array_Absorption_1B),CoStar_RowOffset_VacancyAbsorb-1,MATCH('MS Data'!$AJ$2,INDIRECT(CoStar_VacancyAbsorb_ArrayHeader_1B),0)-1,4*H52,1))/H52)&gt;=1000000,ROUND(SUM(OFFSET(INDIRECT(CoStar_Array_Absorption_1B),CoStar_RowOffset_VacancyAbsorb-1,MATCH('MS Data'!$AJ$2,INDIRECT(CoStar_VacancyAbsorb_ArrayHeader_1B),0)-1,4*H52,1))/H52/1000000,1)&amp;"M",ROUND(SUM(OFFSET(INDIRECT(CoStar_Array_Absorption_1B),CoStar_RowOffset_VacancyAbsorb-1,MATCH('MS Data'!$AJ$2,INDIRECT(CoStar_VacancyAbsorb_ArrayHeader_1B),0)-1,4*H52,1))/H52/1000,1)&amp;"K"),"-")</f>
        <v>405.1K</v>
      </c>
      <c r="I58" s="2608" t="str">
        <f ca="1">IFERROR(IF(ABS(SUM(OFFSET(INDIRECT(CoStar_Array_Absorption_1B),CoStar_RowOffset_VacancyAbsorb-1,MATCH('MS Data'!$AJ$2,INDIRECT(CoStar_VacancyAbsorb_ArrayHeader_1B),0)-1,4*I52,1))/I52)&gt;=1000000,ROUND(SUM(OFFSET(INDIRECT(CoStar_Array_Absorption_1B),CoStar_RowOffset_VacancyAbsorb-1,MATCH('MS Data'!$AJ$2,INDIRECT(CoStar_VacancyAbsorb_ArrayHeader_1B),0)-1,4*I52,1))/I52/1000000,1)&amp;"M",ROUND(SUM(OFFSET(INDIRECT(CoStar_Array_Absorption_1B),CoStar_RowOffset_VacancyAbsorb-1,MATCH('MS Data'!$AJ$2,INDIRECT(CoStar_VacancyAbsorb_ArrayHeader_1B),0)-1,4*I52,1))/I52/1000,1)&amp;"K"),"-")</f>
        <v>227.9K</v>
      </c>
      <c r="J58" s="2413"/>
      <c r="K58" s="2401"/>
      <c r="L58" s="911"/>
      <c r="M58" s="2505"/>
      <c r="N58" s="911"/>
      <c r="O58" s="911"/>
      <c r="P58" s="2384"/>
      <c r="Q58" s="2506"/>
      <c r="R58" s="2384"/>
      <c r="S58" s="2510"/>
      <c r="T58" s="2384"/>
      <c r="U58" s="2384"/>
      <c r="V58" s="2384"/>
      <c r="W58" s="11"/>
      <c r="X58" s="11"/>
      <c r="Y58" s="11"/>
      <c r="Z58" s="11"/>
      <c r="AA58" s="11"/>
      <c r="AB58" s="11"/>
      <c r="AC58" s="11"/>
      <c r="AD58" s="11"/>
      <c r="AE58" s="11"/>
      <c r="AF58" s="11"/>
      <c r="AG58" s="11"/>
      <c r="AH58" s="11"/>
      <c r="AI58" s="11"/>
      <c r="AJ58" s="11"/>
      <c r="AK58" s="11"/>
      <c r="AL58" s="11"/>
      <c r="AM58" s="11"/>
      <c r="AN58" s="11"/>
      <c r="AO58" s="11"/>
      <c r="AP58" s="11"/>
      <c r="AQ58" s="11"/>
      <c r="AR58" s="11"/>
      <c r="AS58" s="11"/>
      <c r="AT58" s="11"/>
      <c r="AU58" s="11"/>
      <c r="AV58" s="11"/>
      <c r="AW58" s="11"/>
      <c r="AX58" s="11"/>
      <c r="AY58" s="11"/>
      <c r="AZ58" s="11"/>
      <c r="BA58" s="11"/>
      <c r="BB58" s="11"/>
      <c r="BC58" s="11"/>
      <c r="BD58" s="11"/>
      <c r="BE58" s="11"/>
      <c r="BF58" s="11"/>
      <c r="BG58" s="11"/>
      <c r="BH58" s="11"/>
      <c r="BI58" s="11"/>
      <c r="BJ58" s="11"/>
      <c r="BK58" s="11"/>
      <c r="BL58" s="11"/>
    </row>
    <row r="59" spans="1:64" x14ac:dyDescent="0.25">
      <c r="A59" s="911"/>
      <c r="B59" s="1251"/>
      <c r="C59" s="1080"/>
      <c r="D59" s="2378" t="s">
        <v>153</v>
      </c>
      <c r="E59" s="1080"/>
      <c r="F59" s="1080"/>
      <c r="G59" s="2412"/>
      <c r="H59" s="2403"/>
      <c r="I59" s="2403"/>
      <c r="J59" s="2403"/>
      <c r="K59" s="2401"/>
      <c r="L59" s="911"/>
      <c r="M59" s="911"/>
      <c r="N59" s="911"/>
      <c r="O59" s="911"/>
      <c r="P59" s="2384"/>
      <c r="Q59" s="2384"/>
      <c r="R59" s="2384"/>
      <c r="S59" s="2509"/>
      <c r="T59" s="2384"/>
      <c r="U59" s="2384"/>
      <c r="V59" s="2384"/>
      <c r="W59" s="11"/>
      <c r="X59" s="11"/>
      <c r="Y59" s="11"/>
      <c r="Z59" s="11"/>
      <c r="AA59" s="11"/>
      <c r="AB59" s="11"/>
      <c r="AC59" s="11"/>
      <c r="AD59" s="11"/>
      <c r="AE59" s="11"/>
      <c r="AF59" s="11"/>
      <c r="AG59" s="11"/>
      <c r="AH59" s="11"/>
      <c r="AI59" s="11"/>
      <c r="AJ59" s="11"/>
      <c r="AK59" s="11"/>
      <c r="AL59" s="11"/>
      <c r="AM59" s="11"/>
      <c r="AN59" s="11"/>
      <c r="AO59" s="11"/>
      <c r="AP59" s="11"/>
      <c r="AQ59" s="11"/>
      <c r="AR59" s="11"/>
      <c r="AS59" s="11"/>
      <c r="AT59" s="11"/>
      <c r="AU59" s="11"/>
      <c r="AV59" s="11"/>
      <c r="AW59" s="11"/>
      <c r="AX59" s="11"/>
      <c r="AY59" s="11"/>
      <c r="AZ59" s="11"/>
      <c r="BA59" s="11"/>
      <c r="BB59" s="11"/>
      <c r="BC59" s="11"/>
      <c r="BD59" s="11"/>
      <c r="BE59" s="11"/>
      <c r="BF59" s="11"/>
      <c r="BG59" s="11"/>
      <c r="BH59" s="11"/>
      <c r="BI59" s="11"/>
      <c r="BJ59" s="11"/>
      <c r="BK59" s="11"/>
      <c r="BL59" s="11"/>
    </row>
    <row r="60" spans="1:64" ht="15" thickBot="1" x14ac:dyDescent="0.3">
      <c r="A60" s="911"/>
      <c r="B60" s="1253"/>
      <c r="C60" s="1254"/>
      <c r="D60" s="552" t="s">
        <v>18124</v>
      </c>
      <c r="E60" s="1254"/>
      <c r="F60" s="1254"/>
      <c r="G60" s="2404"/>
      <c r="H60" s="2512"/>
      <c r="I60" s="2512"/>
      <c r="J60" s="2404"/>
      <c r="K60" s="2402"/>
      <c r="L60" s="911"/>
      <c r="M60" s="911"/>
      <c r="N60" s="911"/>
      <c r="O60" s="911"/>
      <c r="P60" s="2384"/>
      <c r="Q60" s="2384"/>
      <c r="R60" s="2384"/>
      <c r="S60" s="2509"/>
      <c r="T60" s="2384"/>
      <c r="U60" s="2384"/>
      <c r="V60" s="2384"/>
      <c r="W60" s="11"/>
      <c r="X60" s="11"/>
      <c r="Y60" s="11"/>
      <c r="Z60" s="11"/>
      <c r="AA60" s="11"/>
      <c r="AB60" s="11"/>
      <c r="AC60" s="11"/>
      <c r="AD60" s="11"/>
      <c r="AE60" s="11"/>
      <c r="AF60" s="11"/>
      <c r="AG60" s="11"/>
      <c r="AH60" s="11"/>
      <c r="AI60" s="11"/>
      <c r="AJ60" s="11"/>
      <c r="AK60" s="11"/>
      <c r="AL60" s="11"/>
      <c r="AM60" s="11"/>
      <c r="AN60" s="11"/>
      <c r="AO60" s="11"/>
      <c r="AP60" s="11"/>
      <c r="AQ60" s="11"/>
      <c r="AR60" s="11"/>
      <c r="AS60" s="11"/>
      <c r="AT60" s="11"/>
      <c r="AU60" s="11"/>
      <c r="AV60" s="11"/>
      <c r="AW60" s="11"/>
      <c r="AX60" s="11"/>
      <c r="AY60" s="11"/>
      <c r="AZ60" s="11"/>
      <c r="BA60" s="11"/>
      <c r="BB60" s="11"/>
      <c r="BC60" s="11"/>
      <c r="BD60" s="11"/>
      <c r="BE60" s="11"/>
      <c r="BF60" s="11"/>
      <c r="BG60" s="11"/>
      <c r="BH60" s="11"/>
      <c r="BI60" s="11"/>
      <c r="BJ60" s="11"/>
      <c r="BK60" s="11"/>
      <c r="BL60" s="11"/>
    </row>
    <row r="61" spans="1:64" ht="15" thickBot="1" x14ac:dyDescent="0.3">
      <c r="A61" s="911"/>
      <c r="B61" s="911"/>
      <c r="C61" s="911"/>
      <c r="D61" s="911"/>
      <c r="E61" s="911"/>
      <c r="F61" s="911"/>
      <c r="G61" s="911"/>
      <c r="H61" s="911"/>
      <c r="I61" s="911"/>
      <c r="J61" s="911"/>
      <c r="K61" s="911"/>
      <c r="L61" s="911"/>
      <c r="M61" s="911"/>
      <c r="N61" s="911"/>
      <c r="O61" s="911"/>
      <c r="P61" s="2384"/>
      <c r="Q61" s="2384"/>
      <c r="R61" s="2384"/>
      <c r="S61" s="2509"/>
      <c r="T61" s="2384"/>
      <c r="U61" s="2384"/>
      <c r="V61" s="2384"/>
      <c r="W61" s="11"/>
      <c r="X61" s="11"/>
      <c r="Y61" s="11"/>
      <c r="Z61" s="11"/>
      <c r="AA61" s="11"/>
      <c r="AB61" s="11"/>
      <c r="AC61" s="11"/>
      <c r="AD61" s="11"/>
      <c r="AE61" s="11"/>
      <c r="AF61" s="11"/>
      <c r="AG61" s="11"/>
      <c r="AH61" s="11"/>
      <c r="AI61" s="11"/>
      <c r="AJ61" s="11"/>
      <c r="AK61" s="11"/>
      <c r="AL61" s="11"/>
      <c r="AM61" s="11"/>
      <c r="AN61" s="11"/>
      <c r="AO61" s="11"/>
      <c r="AP61" s="11"/>
      <c r="AQ61" s="11"/>
      <c r="AR61" s="11"/>
      <c r="AS61" s="11"/>
      <c r="AT61" s="11"/>
      <c r="AU61" s="11"/>
      <c r="AV61" s="11"/>
      <c r="AW61" s="11"/>
      <c r="AX61" s="11"/>
      <c r="AY61" s="11"/>
      <c r="AZ61" s="11"/>
      <c r="BA61" s="11"/>
      <c r="BB61" s="11"/>
      <c r="BC61" s="11"/>
      <c r="BD61" s="11"/>
      <c r="BE61" s="11"/>
      <c r="BF61" s="11"/>
      <c r="BG61" s="11"/>
      <c r="BH61" s="11"/>
      <c r="BI61" s="11"/>
      <c r="BJ61" s="11"/>
      <c r="BK61" s="11"/>
      <c r="BL61" s="11"/>
    </row>
    <row r="62" spans="1:64" x14ac:dyDescent="0.25">
      <c r="A62" s="911"/>
      <c r="B62" s="94"/>
      <c r="C62" s="31"/>
      <c r="D62" s="1249"/>
      <c r="E62" s="1249"/>
      <c r="F62" s="1249"/>
      <c r="G62" s="1249"/>
      <c r="H62" s="1249"/>
      <c r="I62" s="2443"/>
      <c r="J62" s="2443"/>
      <c r="K62" s="2444"/>
      <c r="L62" s="911"/>
      <c r="M62" s="911"/>
      <c r="N62" s="911"/>
      <c r="O62" s="911"/>
      <c r="P62" s="2384"/>
      <c r="Q62" s="2384"/>
      <c r="R62" s="2384"/>
      <c r="S62" s="2384"/>
      <c r="T62" s="2384"/>
      <c r="U62" s="2384"/>
      <c r="V62" s="2384"/>
      <c r="W62" s="11"/>
      <c r="X62" s="11"/>
      <c r="Y62" s="11"/>
      <c r="Z62" s="11"/>
      <c r="AA62" s="11"/>
      <c r="AB62" s="11"/>
      <c r="AC62" s="11"/>
      <c r="AD62" s="11"/>
      <c r="AE62" s="11"/>
      <c r="AF62" s="11"/>
      <c r="AG62" s="11"/>
      <c r="AH62" s="11"/>
      <c r="AI62" s="11"/>
      <c r="AJ62" s="11"/>
      <c r="AK62" s="11"/>
      <c r="AL62" s="11"/>
      <c r="AM62" s="11"/>
      <c r="AN62" s="11"/>
      <c r="AO62" s="11"/>
      <c r="AP62" s="11"/>
      <c r="AQ62" s="11"/>
      <c r="AR62" s="11"/>
      <c r="AS62" s="11"/>
      <c r="AT62" s="11"/>
      <c r="AU62" s="11"/>
      <c r="AV62" s="11"/>
      <c r="AW62" s="11"/>
      <c r="AX62" s="11"/>
      <c r="AY62" s="11"/>
      <c r="AZ62" s="11"/>
      <c r="BA62" s="11"/>
      <c r="BB62" s="11"/>
      <c r="BC62" s="11"/>
      <c r="BD62" s="11"/>
      <c r="BE62" s="11"/>
      <c r="BF62" s="11"/>
      <c r="BG62" s="11"/>
      <c r="BH62" s="11"/>
      <c r="BI62" s="11"/>
      <c r="BJ62" s="11"/>
      <c r="BK62" s="11"/>
      <c r="BL62" s="11"/>
    </row>
    <row r="63" spans="1:64" ht="16.5" x14ac:dyDescent="0.3">
      <c r="A63" s="911"/>
      <c r="B63" s="335"/>
      <c r="C63" s="1683"/>
      <c r="D63" s="246" t="str">
        <f>CONCATENATE("Vacancy and Absorption Trends - ",dpMarketStudy_Vacancy_Title_2)</f>
        <v>Vacancy and Absorption Trends - Northwest Denver</v>
      </c>
      <c r="E63" s="582"/>
      <c r="F63" s="1683"/>
      <c r="G63" s="582"/>
      <c r="H63" s="582"/>
      <c r="I63" s="1683"/>
      <c r="J63" s="2462"/>
      <c r="K63" s="2445"/>
      <c r="L63" s="911"/>
      <c r="M63" s="2505" t="str">
        <f>IF(LEFT(D66,SEARCH(" - ",D66,1))=LEFT(D69,SEARCH(" - ",D69,1)),dpMarketStudy_Vacancy_Location_2A,CONCATENATE(dpMarketStudy_Vacancy_Location_2A," &amp; ",dpMarketStudy_Vacancy_Location_2B))</f>
        <v>Northwest Denver</v>
      </c>
      <c r="N63" s="911"/>
      <c r="O63" s="911"/>
      <c r="P63" s="911"/>
      <c r="Q63" s="911"/>
      <c r="R63" s="911"/>
      <c r="S63" s="911"/>
      <c r="T63" s="911"/>
      <c r="U63" s="911"/>
      <c r="V63" s="911"/>
      <c r="W63" s="11"/>
      <c r="X63" s="11"/>
      <c r="Y63" s="11"/>
      <c r="Z63" s="11"/>
      <c r="AA63" s="11"/>
      <c r="AB63" s="11"/>
      <c r="AC63" s="11"/>
      <c r="AD63" s="11"/>
      <c r="AE63" s="11"/>
      <c r="AF63" s="11"/>
      <c r="AG63" s="11"/>
      <c r="AH63" s="11"/>
      <c r="AI63" s="11"/>
      <c r="AJ63" s="11"/>
      <c r="AK63" s="11"/>
      <c r="AL63" s="11"/>
      <c r="AM63" s="11"/>
      <c r="AN63" s="11"/>
      <c r="AO63" s="11"/>
      <c r="AP63" s="11"/>
      <c r="AQ63" s="11"/>
      <c r="AR63" s="11"/>
      <c r="AS63" s="11"/>
      <c r="AT63" s="11"/>
      <c r="AU63" s="11"/>
      <c r="AV63" s="11"/>
      <c r="AW63" s="11"/>
      <c r="AX63" s="11"/>
      <c r="AY63" s="11"/>
      <c r="AZ63" s="11"/>
      <c r="BA63" s="11"/>
      <c r="BB63" s="11"/>
      <c r="BC63" s="11"/>
      <c r="BD63" s="11"/>
      <c r="BE63" s="11"/>
      <c r="BF63" s="11"/>
      <c r="BG63" s="11"/>
      <c r="BH63" s="11"/>
      <c r="BI63" s="11"/>
      <c r="BJ63" s="11"/>
      <c r="BK63" s="11"/>
      <c r="BL63" s="11"/>
    </row>
    <row r="64" spans="1:64" ht="245.1" customHeight="1" x14ac:dyDescent="0.25">
      <c r="A64" s="911"/>
      <c r="B64" s="1251"/>
      <c r="C64" s="911"/>
      <c r="D64" s="2441"/>
      <c r="E64" s="2409"/>
      <c r="F64" s="911"/>
      <c r="G64" s="2405"/>
      <c r="H64" s="2405"/>
      <c r="I64" s="2405"/>
      <c r="J64" s="911"/>
      <c r="K64" s="2401"/>
      <c r="L64" s="911"/>
      <c r="M64" s="911"/>
      <c r="N64" s="911"/>
      <c r="O64" s="911"/>
      <c r="P64" s="911"/>
      <c r="Q64" s="911"/>
      <c r="R64" s="911"/>
      <c r="S64" s="911"/>
      <c r="T64" s="911"/>
      <c r="U64" s="911"/>
      <c r="V64" s="911"/>
      <c r="W64" s="11"/>
      <c r="X64" s="11"/>
      <c r="Y64" s="11"/>
      <c r="Z64" s="11"/>
      <c r="AA64" s="11"/>
      <c r="AB64" s="11"/>
      <c r="AC64" s="11"/>
      <c r="AD64" s="11"/>
      <c r="AE64" s="11"/>
      <c r="AF64" s="11"/>
      <c r="AG64" s="11"/>
      <c r="AH64" s="11"/>
      <c r="AI64" s="11"/>
      <c r="AJ64" s="11"/>
      <c r="AK64" s="11"/>
      <c r="AL64" s="11"/>
      <c r="AM64" s="11"/>
      <c r="AN64" s="11"/>
      <c r="AO64" s="11"/>
      <c r="AP64" s="11"/>
      <c r="AQ64" s="11"/>
      <c r="AR64" s="11"/>
      <c r="AS64" s="11"/>
      <c r="AT64" s="11"/>
      <c r="AU64" s="11"/>
      <c r="AV64" s="11"/>
      <c r="AW64" s="11"/>
      <c r="AX64" s="11"/>
      <c r="AY64" s="11"/>
      <c r="AZ64" s="11"/>
      <c r="BA64" s="11"/>
      <c r="BB64" s="11"/>
      <c r="BC64" s="11"/>
      <c r="BD64" s="11"/>
      <c r="BE64" s="11"/>
      <c r="BF64" s="11"/>
      <c r="BG64" s="11"/>
      <c r="BH64" s="11"/>
      <c r="BI64" s="11"/>
      <c r="BJ64" s="11"/>
      <c r="BK64" s="11"/>
      <c r="BL64" s="11"/>
    </row>
    <row r="65" spans="1:64" x14ac:dyDescent="0.25">
      <c r="A65" s="911"/>
      <c r="B65" s="1251"/>
      <c r="C65" s="911"/>
      <c r="D65" s="12" t="s">
        <v>18105</v>
      </c>
      <c r="E65" s="150" t="str" cm="1">
        <f t="array" aca="1" ref="E65" ca="1">LOOKUP(2,1/(Chart_Periods_Vacancy&lt;&gt;""),Chart_Periods_Vacancy)</f>
        <v>2022 Q2</v>
      </c>
      <c r="F65" s="2524">
        <v>1</v>
      </c>
      <c r="G65" s="2524">
        <v>3</v>
      </c>
      <c r="H65" s="2524">
        <v>5</v>
      </c>
      <c r="I65" s="2524">
        <v>10</v>
      </c>
      <c r="J65" s="2405"/>
      <c r="K65" s="2401"/>
      <c r="L65" s="911"/>
      <c r="M65" s="911"/>
      <c r="N65" s="911"/>
      <c r="O65" s="911"/>
      <c r="P65" s="911"/>
      <c r="Q65" s="911"/>
      <c r="R65" s="911"/>
      <c r="S65" s="911"/>
      <c r="T65" s="911"/>
      <c r="U65" s="911"/>
      <c r="V65" s="911"/>
      <c r="W65" s="11"/>
      <c r="X65" s="11"/>
      <c r="Y65" s="11"/>
      <c r="Z65" s="11"/>
      <c r="AA65" s="11"/>
      <c r="AB65" s="11"/>
      <c r="AC65" s="11"/>
      <c r="AD65" s="11"/>
      <c r="AE65" s="11"/>
      <c r="AF65" s="11"/>
      <c r="AG65" s="11"/>
      <c r="AH65" s="11"/>
      <c r="AI65" s="11"/>
      <c r="AJ65" s="11"/>
      <c r="AK65" s="11"/>
      <c r="AL65" s="11"/>
      <c r="AM65" s="11"/>
      <c r="AN65" s="11"/>
      <c r="AO65" s="11"/>
      <c r="AP65" s="11"/>
      <c r="AQ65" s="11"/>
      <c r="AR65" s="11"/>
      <c r="AS65" s="11"/>
      <c r="AT65" s="11"/>
      <c r="AU65" s="11"/>
      <c r="AV65" s="11"/>
      <c r="AW65" s="11"/>
      <c r="AX65" s="11"/>
      <c r="AY65" s="11"/>
      <c r="AZ65" s="11"/>
      <c r="BA65" s="11"/>
      <c r="BB65" s="11"/>
      <c r="BC65" s="11"/>
      <c r="BD65" s="11"/>
      <c r="BE65" s="11"/>
      <c r="BF65" s="11"/>
      <c r="BG65" s="11"/>
      <c r="BH65" s="11"/>
      <c r="BI65" s="11"/>
      <c r="BJ65" s="11"/>
      <c r="BK65" s="11"/>
      <c r="BL65" s="11"/>
    </row>
    <row r="66" spans="1:64" ht="28.5" x14ac:dyDescent="0.25">
      <c r="A66" s="911"/>
      <c r="B66" s="1251"/>
      <c r="C66" s="52"/>
      <c r="D66" s="2414" t="str">
        <f>CoStar_Sector3_Master</f>
        <v>Northwest Denver - Industrial</v>
      </c>
      <c r="E66" s="2491">
        <f ca="1">IFERROR(HLOOKUP('MS Data'!$AN$2,INDIRECT(CoStar_Array_Vacancy_2A),CoStar_RowOffset_VacancyAbsorb,FALSE),"-")</f>
        <v>4.7E-2</v>
      </c>
      <c r="F66" s="2491">
        <f ca="1">IFERROR(HLOOKUP('MS Data'!$AN$2,INDIRECT(CoStar_Array_Vacancy_2A),CoStar_RowOffset_VacancyAbsorb+(F65*4),FALSE),"-")</f>
        <v>5.6000000000000001E-2</v>
      </c>
      <c r="G66" s="2491">
        <f ca="1">IFERROR(HLOOKUP('MS Data'!$AN$2,INDIRECT(CoStar_Array_Vacancy_2A),CoStar_RowOffset_VacancyAbsorb+(G65*4),FALSE),"-")</f>
        <v>2.5999999999999999E-2</v>
      </c>
      <c r="H66" s="2491">
        <f ca="1">IFERROR(HLOOKUP('MS Data'!$AN$2,INDIRECT(CoStar_Array_Vacancy_2A),CoStar_RowOffset_VacancyAbsorb+(H65*4),FALSE),"-")</f>
        <v>3.3000000000000002E-2</v>
      </c>
      <c r="I66" s="2491">
        <f ca="1">IFERROR(HLOOKUP('MS Data'!$AN$2,INDIRECT(CoStar_Array_Vacancy_2A),CoStar_RowOffset_VacancyAbsorb+(I65*4),FALSE),"-")</f>
        <v>0.06</v>
      </c>
      <c r="J66" s="2413"/>
      <c r="K66" s="2401"/>
      <c r="L66" s="911"/>
      <c r="M66" s="2505" t="str">
        <f>IF(LEFT(D66,SEARCH(" - ",D66,1))=LEFT(D69,SEARCH(" - ",D69,1)),CONCATENATE(RIGHT(D66,LEN(D66)-(SEARCH(" - ",D66,1)+2))," Net Absorption"),CONCATENATE(D66," Net Absorption"))</f>
        <v>Industrial Net Absorption</v>
      </c>
      <c r="N66" s="911"/>
      <c r="O66" s="911"/>
      <c r="P66" s="911"/>
      <c r="Q66" s="911"/>
      <c r="R66" s="911"/>
      <c r="S66" s="911"/>
      <c r="T66" s="911"/>
      <c r="U66" s="911"/>
      <c r="V66" s="911"/>
      <c r="W66" s="11"/>
      <c r="X66" s="11"/>
      <c r="Y66" s="11"/>
      <c r="Z66" s="11"/>
      <c r="AA66" s="11"/>
      <c r="AB66" s="11"/>
      <c r="AC66" s="11"/>
      <c r="AD66" s="11"/>
      <c r="AE66" s="11"/>
      <c r="AF66" s="11"/>
      <c r="AG66" s="11"/>
      <c r="AH66" s="11"/>
      <c r="AI66" s="11"/>
      <c r="AJ66" s="11"/>
      <c r="AK66" s="11"/>
      <c r="AL66" s="11"/>
      <c r="AM66" s="11"/>
      <c r="AN66" s="11"/>
      <c r="AO66" s="11"/>
      <c r="AP66" s="11"/>
      <c r="AQ66" s="11"/>
      <c r="AR66" s="11"/>
      <c r="AS66" s="11"/>
      <c r="AT66" s="11"/>
      <c r="AU66" s="11"/>
      <c r="AV66" s="11"/>
      <c r="AW66" s="11"/>
      <c r="AX66" s="11"/>
      <c r="AY66" s="11"/>
      <c r="AZ66" s="11"/>
      <c r="BA66" s="11"/>
      <c r="BB66" s="11"/>
      <c r="BC66" s="11"/>
      <c r="BD66" s="11"/>
      <c r="BE66" s="11"/>
      <c r="BF66" s="11"/>
      <c r="BG66" s="11"/>
      <c r="BH66" s="11"/>
      <c r="BI66" s="11"/>
      <c r="BJ66" s="11"/>
      <c r="BK66" s="11"/>
      <c r="BL66" s="11"/>
    </row>
    <row r="67" spans="1:64" x14ac:dyDescent="0.25">
      <c r="A67" s="911"/>
      <c r="B67" s="1251"/>
      <c r="C67" s="52"/>
      <c r="D67" s="2531" t="s">
        <v>18149</v>
      </c>
      <c r="E67" s="2532" t="s">
        <v>1784</v>
      </c>
      <c r="F67" s="2606" t="str">
        <f ca="1">IFERROR(IF(ABS(SUM(OFFSET(INDIRECT(CoStar_Array_Absorption_2A),CoStar_RowOffset_VacancyAbsorb-1,MATCH('MS Data'!$AF$2,INDIRECT(CoStar_VacancyAbsorb_ArrayHeader_2A),0)-1,4*F65,1))/F65)&gt;=1000000,ROUND(SUM(OFFSET(INDIRECT(CoStar_Array_Absorption_2A),CoStar_RowOffset_VacancyAbsorb-1,MATCH('MS Data'!$AF$2,INDIRECT(CoStar_VacancyAbsorb_ArrayHeader_2A),0)-1,4*F65,1))/F65/1000000,1)&amp;"M",ROUND(SUM(OFFSET(INDIRECT(CoStar_Array_Absorption_2A),CoStar_RowOffset_VacancyAbsorb-1,MATCH('MS Data'!$AF$2,INDIRECT(CoStar_VacancyAbsorb_ArrayHeader_2A),0)-1,4*F65,1))/F65/1000,1)&amp;"K"),"-")</f>
        <v>2M</v>
      </c>
      <c r="G67" s="2606" t="str">
        <f ca="1">IFERROR(IF(ABS(SUM(OFFSET(INDIRECT(CoStar_Array_Absorption_2A),CoStar_RowOffset_VacancyAbsorb-1,MATCH('MS Data'!$AF$2,INDIRECT(CoStar_VacancyAbsorb_ArrayHeader_2A),0)-1,4*G65,1))/G65)&gt;=1000000,ROUND(SUM(OFFSET(INDIRECT(CoStar_Array_Absorption_2A),CoStar_RowOffset_VacancyAbsorb-1,MATCH('MS Data'!$AF$2,INDIRECT(CoStar_VacancyAbsorb_ArrayHeader_2A),0)-1,4*G65,1))/G65/1000000,1)&amp;"M",ROUND(SUM(OFFSET(INDIRECT(CoStar_Array_Absorption_2A),CoStar_RowOffset_VacancyAbsorb-1,MATCH('MS Data'!$AF$2,INDIRECT(CoStar_VacancyAbsorb_ArrayHeader_2A),0)-1,4*G65,1))/G65/1000,1)&amp;"K"),"-")</f>
        <v>797.2K</v>
      </c>
      <c r="H67" s="2606" t="str">
        <f ca="1">IFERROR(IF(ABS(SUM(OFFSET(INDIRECT(CoStar_Array_Absorption_2A),CoStar_RowOffset_VacancyAbsorb-1,MATCH('MS Data'!$AF$2,INDIRECT(CoStar_VacancyAbsorb_ArrayHeader_2A),0)-1,4*H65,1))/H65)&gt;=1000000,ROUND(SUM(OFFSET(INDIRECT(CoStar_Array_Absorption_2A),CoStar_RowOffset_VacancyAbsorb-1,MATCH('MS Data'!$AF$2,INDIRECT(CoStar_VacancyAbsorb_ArrayHeader_2A),0)-1,4*H65,1))/H65/1000000,1)&amp;"M",ROUND(SUM(OFFSET(INDIRECT(CoStar_Array_Absorption_2A),CoStar_RowOffset_VacancyAbsorb-1,MATCH('MS Data'!$AF$2,INDIRECT(CoStar_VacancyAbsorb_ArrayHeader_2A),0)-1,4*H65,1))/H65/1000,1)&amp;"K"),"-")</f>
        <v>850.1K</v>
      </c>
      <c r="I67" s="2606" t="str">
        <f ca="1">IFERROR(IF(ABS(SUM(OFFSET(INDIRECT(CoStar_Array_Absorption_2A),CoStar_RowOffset_VacancyAbsorb-1,MATCH('MS Data'!$AF$2,INDIRECT(CoStar_VacancyAbsorb_ArrayHeader_2A),0)-1,4*I65,1))/I65)&gt;=1000000,ROUND(SUM(OFFSET(INDIRECT(CoStar_Array_Absorption_2A),CoStar_RowOffset_VacancyAbsorb-1,MATCH('MS Data'!$AF$2,INDIRECT(CoStar_VacancyAbsorb_ArrayHeader_2A),0)-1,4*I65,1))/I65/1000000,1)&amp;"M",ROUND(SUM(OFFSET(INDIRECT(CoStar_Array_Absorption_2A),CoStar_RowOffset_VacancyAbsorb-1,MATCH('MS Data'!$AF$2,INDIRECT(CoStar_VacancyAbsorb_ArrayHeader_2A),0)-1,4*I65,1))/I65/1000,1)&amp;"K"),"-")</f>
        <v>361.3K</v>
      </c>
      <c r="J67" s="2413"/>
      <c r="K67" s="2401"/>
      <c r="L67" s="911"/>
      <c r="M67" s="2505" t="str">
        <f>IF(LEFT(D66,SEARCH(" - ",D66,1))=LEFT(D69,SEARCH(" - ",D69,1)),CONCATENATE(RIGHT(D66,LEN(D66)-(SEARCH(" - ",D66,1)+2))," Vacancy"),CONCATENATE(D66," Vacancy"))</f>
        <v>Industrial Vacancy</v>
      </c>
      <c r="N67" s="911"/>
      <c r="O67" s="911"/>
      <c r="P67" s="911"/>
      <c r="Q67" s="911"/>
      <c r="R67" s="911"/>
      <c r="S67" s="911"/>
      <c r="T67" s="911"/>
      <c r="U67" s="911"/>
      <c r="V67" s="911"/>
      <c r="W67" s="11"/>
      <c r="X67" s="11"/>
      <c r="Y67" s="11"/>
      <c r="Z67" s="11"/>
      <c r="AA67" s="11"/>
      <c r="AB67" s="11"/>
      <c r="AC67" s="11"/>
      <c r="AD67" s="11"/>
      <c r="AE67" s="11"/>
      <c r="AF67" s="11"/>
      <c r="AG67" s="11"/>
      <c r="AH67" s="11"/>
      <c r="AI67" s="11"/>
      <c r="AJ67" s="11"/>
      <c r="AK67" s="11"/>
      <c r="AL67" s="11"/>
      <c r="AM67" s="11"/>
      <c r="AN67" s="11"/>
      <c r="AO67" s="11"/>
      <c r="AP67" s="11"/>
      <c r="AQ67" s="11"/>
      <c r="AR67" s="11"/>
      <c r="AS67" s="11"/>
      <c r="AT67" s="11"/>
      <c r="AU67" s="11"/>
      <c r="AV67" s="11"/>
      <c r="AW67" s="11"/>
      <c r="AX67" s="11"/>
      <c r="AY67" s="11"/>
      <c r="AZ67" s="11"/>
      <c r="BA67" s="11"/>
      <c r="BB67" s="11"/>
      <c r="BC67" s="11"/>
      <c r="BD67" s="11"/>
      <c r="BE67" s="11"/>
      <c r="BF67" s="11"/>
      <c r="BG67" s="11"/>
      <c r="BH67" s="11"/>
      <c r="BI67" s="11"/>
      <c r="BJ67" s="11"/>
      <c r="BK67" s="11"/>
      <c r="BL67" s="11"/>
    </row>
    <row r="68" spans="1:64" x14ac:dyDescent="0.25">
      <c r="A68" s="911"/>
      <c r="B68" s="1251"/>
      <c r="C68" s="52"/>
      <c r="D68" s="2533" t="s">
        <v>18150</v>
      </c>
      <c r="E68" s="2534" t="s">
        <v>1784</v>
      </c>
      <c r="F68" s="2607" t="str">
        <f ca="1">IFERROR(IF(ABS(SUM(OFFSET(INDIRECT(CoStar_Array_Absorption_2A),CoStar_RowOffset_VacancyAbsorb-1,MATCH('MS Data'!$AJ$2,INDIRECT(CoStar_VacancyAbsorb_ArrayHeader_2A),0)-1,4*F65,1))/F65)&gt;=1000000,ROUND(SUM(OFFSET(INDIRECT(CoStar_Array_Absorption_2A),CoStar_RowOffset_VacancyAbsorb-1,MATCH('MS Data'!$AJ$2,INDIRECT(CoStar_VacancyAbsorb_ArrayHeader_2A),0)-1,4*F65,1))/F65/1000000,1)&amp;"M",ROUND(SUM(OFFSET(INDIRECT(CoStar_Array_Absorption_2A),CoStar_RowOffset_VacancyAbsorb-1,MATCH('MS Data'!$AJ$2,INDIRECT(CoStar_VacancyAbsorb_ArrayHeader_2A),0)-1,4*F65,1))/F65/1000,1)&amp;"K"),"-")</f>
        <v>1.9M</v>
      </c>
      <c r="G68" s="2607" t="str">
        <f ca="1">IFERROR(IF(ABS(SUM(OFFSET(INDIRECT(CoStar_Array_Absorption_2A),CoStar_RowOffset_VacancyAbsorb-1,MATCH('MS Data'!$AJ$2,INDIRECT(CoStar_VacancyAbsorb_ArrayHeader_2A),0)-1,4*G65,1))/G65)&gt;=1000000,ROUND(SUM(OFFSET(INDIRECT(CoStar_Array_Absorption_2A),CoStar_RowOffset_VacancyAbsorb-1,MATCH('MS Data'!$AJ$2,INDIRECT(CoStar_VacancyAbsorb_ArrayHeader_2A),0)-1,4*G65,1))/G65/1000000,1)&amp;"M",ROUND(SUM(OFFSET(INDIRECT(CoStar_Array_Absorption_2A),CoStar_RowOffset_VacancyAbsorb-1,MATCH('MS Data'!$AJ$2,INDIRECT(CoStar_VacancyAbsorb_ArrayHeader_2A),0)-1,4*G65,1))/G65/1000,1)&amp;"K"),"-")</f>
        <v>1M</v>
      </c>
      <c r="H68" s="2607" t="str">
        <f ca="1">IFERROR(IF(ABS(SUM(OFFSET(INDIRECT(CoStar_Array_Absorption_2A),CoStar_RowOffset_VacancyAbsorb-1,MATCH('MS Data'!$AJ$2,INDIRECT(CoStar_VacancyAbsorb_ArrayHeader_2A),0)-1,4*H65,1))/H65)&gt;=1000000,ROUND(SUM(OFFSET(INDIRECT(CoStar_Array_Absorption_2A),CoStar_RowOffset_VacancyAbsorb-1,MATCH('MS Data'!$AJ$2,INDIRECT(CoStar_VacancyAbsorb_ArrayHeader_2A),0)-1,4*H65,1))/H65/1000000,1)&amp;"M",ROUND(SUM(OFFSET(INDIRECT(CoStar_Array_Absorption_2A),CoStar_RowOffset_VacancyAbsorb-1,MATCH('MS Data'!$AJ$2,INDIRECT(CoStar_VacancyAbsorb_ArrayHeader_2A),0)-1,4*H65,1))/H65/1000,1)&amp;"K"),"-")</f>
        <v>979.7K</v>
      </c>
      <c r="I68" s="2607" t="str">
        <f ca="1">IFERROR(IF(ABS(SUM(OFFSET(INDIRECT(CoStar_Array_Absorption_2A),CoStar_RowOffset_VacancyAbsorb-1,MATCH('MS Data'!$AJ$2,INDIRECT(CoStar_VacancyAbsorb_ArrayHeader_2A),0)-1,4*I65,1))/I65)&gt;=1000000,ROUND(SUM(OFFSET(INDIRECT(CoStar_Array_Absorption_2A),CoStar_RowOffset_VacancyAbsorb-1,MATCH('MS Data'!$AJ$2,INDIRECT(CoStar_VacancyAbsorb_ArrayHeader_2A),0)-1,4*I65,1))/I65/1000000,1)&amp;"M",ROUND(SUM(OFFSET(INDIRECT(CoStar_Array_Absorption_2A),CoStar_RowOffset_VacancyAbsorb-1,MATCH('MS Data'!$AJ$2,INDIRECT(CoStar_VacancyAbsorb_ArrayHeader_2A),0)-1,4*I65,1))/I65/1000,1)&amp;"K"),"-")</f>
        <v>530.5K</v>
      </c>
      <c r="J68" s="2413"/>
      <c r="K68" s="2401"/>
      <c r="L68" s="911"/>
      <c r="M68" s="2505"/>
      <c r="N68" s="911"/>
      <c r="O68" s="911"/>
      <c r="P68" s="911"/>
      <c r="Q68" s="911"/>
      <c r="R68" s="911"/>
      <c r="S68" s="911"/>
      <c r="T68" s="911"/>
      <c r="U68" s="911"/>
      <c r="V68" s="911"/>
      <c r="W68" s="11"/>
      <c r="X68" s="11"/>
      <c r="Y68" s="11"/>
      <c r="Z68" s="11"/>
      <c r="AA68" s="11"/>
      <c r="AB68" s="11"/>
      <c r="AC68" s="11"/>
      <c r="AD68" s="11"/>
      <c r="AE68" s="11"/>
      <c r="AF68" s="11"/>
      <c r="AG68" s="11"/>
      <c r="AH68" s="11"/>
      <c r="AI68" s="11"/>
      <c r="AJ68" s="11"/>
      <c r="AK68" s="11"/>
      <c r="AL68" s="11"/>
      <c r="AM68" s="11"/>
      <c r="AN68" s="11"/>
      <c r="AO68" s="11"/>
      <c r="AP68" s="11"/>
      <c r="AQ68" s="11"/>
      <c r="AR68" s="11"/>
      <c r="AS68" s="11"/>
      <c r="AT68" s="11"/>
      <c r="AU68" s="11"/>
      <c r="AV68" s="11"/>
      <c r="AW68" s="11"/>
      <c r="AX68" s="11"/>
      <c r="AY68" s="11"/>
      <c r="AZ68" s="11"/>
      <c r="BA68" s="11"/>
      <c r="BB68" s="11"/>
      <c r="BC68" s="11"/>
      <c r="BD68" s="11"/>
      <c r="BE68" s="11"/>
      <c r="BF68" s="11"/>
      <c r="BG68" s="11"/>
      <c r="BH68" s="11"/>
      <c r="BI68" s="11"/>
      <c r="BJ68" s="11"/>
      <c r="BK68" s="11"/>
      <c r="BL68" s="11"/>
    </row>
    <row r="69" spans="1:64" ht="28.5" x14ac:dyDescent="0.25">
      <c r="A69" s="911"/>
      <c r="B69" s="1251"/>
      <c r="C69" s="52"/>
      <c r="D69" s="2414" t="str">
        <f>CoStar_Sector4_Master</f>
        <v>Northwest Denver - Warehouse</v>
      </c>
      <c r="E69" s="2491" t="str">
        <f ca="1">IFERROR(HLOOKUP('MS Data'!$AN$2,INDIRECT(CoStar_Array_Vacancy_2B),CoStar_RowOffset_VacancyAbsorb,FALSE),"-")</f>
        <v>-</v>
      </c>
      <c r="F69" s="2491" t="str">
        <f ca="1">IFERROR(HLOOKUP('MS Data'!$AN$2,INDIRECT(CoStar_Array_Vacancy_2B),CoStar_RowOffset_VacancyAbsorb+(F65*4),FALSE),"-")</f>
        <v>-</v>
      </c>
      <c r="G69" s="2491" t="str">
        <f ca="1">IFERROR(HLOOKUP('MS Data'!$AN$2,INDIRECT(CoStar_Array_Vacancy_2B),CoStar_RowOffset_VacancyAbsorb+(G65*4),FALSE),"-")</f>
        <v>-</v>
      </c>
      <c r="H69" s="2491" t="str">
        <f ca="1">IFERROR(HLOOKUP('MS Data'!$AN$2,INDIRECT(CoStar_Array_Vacancy_2B),CoStar_RowOffset_VacancyAbsorb+(H65*4),FALSE),"-")</f>
        <v>-</v>
      </c>
      <c r="I69" s="2491" t="str">
        <f ca="1">IFERROR(HLOOKUP('MS Data'!$AN$2,INDIRECT(CoStar_Array_Vacancy_2B),CoStar_RowOffset_VacancyAbsorb+(I65*4),FALSE),"-")</f>
        <v>-</v>
      </c>
      <c r="J69" s="2413"/>
      <c r="K69" s="2401"/>
      <c r="L69" s="911"/>
      <c r="M69" s="2505" t="str">
        <f>IF(LEFT(D66,SEARCH(" - ",D66,1))=LEFT(D69,SEARCH(" - ",D69,1)),CONCATENATE(RIGHT(D69,LEN(D69)-(SEARCH(" - ",D69,1)+2))," Net Absorption"),CONCATENATE(D69," Net Absorption"))</f>
        <v>Warehouse Net Absorption</v>
      </c>
      <c r="N69" s="911"/>
      <c r="O69" s="911"/>
      <c r="P69" s="911"/>
      <c r="Q69" s="911"/>
      <c r="R69" s="911"/>
      <c r="S69" s="911"/>
      <c r="T69" s="911"/>
      <c r="U69" s="911"/>
      <c r="V69" s="911"/>
      <c r="W69" s="11"/>
      <c r="X69" s="11"/>
      <c r="Y69" s="11"/>
      <c r="Z69" s="11"/>
      <c r="AA69" s="11"/>
      <c r="AB69" s="11"/>
      <c r="AC69" s="11"/>
      <c r="AD69" s="11"/>
      <c r="AE69" s="11"/>
      <c r="AF69" s="11"/>
      <c r="AG69" s="11"/>
      <c r="AH69" s="11"/>
      <c r="AI69" s="11"/>
      <c r="AJ69" s="11"/>
      <c r="AK69" s="11"/>
      <c r="AL69" s="11"/>
      <c r="AM69" s="11"/>
      <c r="AN69" s="11"/>
      <c r="AO69" s="11"/>
      <c r="AP69" s="11"/>
      <c r="AQ69" s="11"/>
      <c r="AR69" s="11"/>
      <c r="AS69" s="11"/>
      <c r="AT69" s="11"/>
      <c r="AU69" s="11"/>
      <c r="AV69" s="11"/>
      <c r="AW69" s="11"/>
      <c r="AX69" s="11"/>
      <c r="AY69" s="11"/>
      <c r="AZ69" s="11"/>
      <c r="BA69" s="11"/>
      <c r="BB69" s="11"/>
      <c r="BC69" s="11"/>
      <c r="BD69" s="11"/>
      <c r="BE69" s="11"/>
      <c r="BF69" s="11"/>
      <c r="BG69" s="11"/>
      <c r="BH69" s="11"/>
      <c r="BI69" s="11"/>
      <c r="BJ69" s="11"/>
      <c r="BK69" s="11"/>
      <c r="BL69" s="11"/>
    </row>
    <row r="70" spans="1:64" x14ac:dyDescent="0.25">
      <c r="A70" s="911"/>
      <c r="B70" s="1251"/>
      <c r="C70" s="52"/>
      <c r="D70" s="2531" t="s">
        <v>18149</v>
      </c>
      <c r="E70" s="2535" t="s">
        <v>1784</v>
      </c>
      <c r="F70" s="2606" t="str">
        <f ca="1">IFERROR(IF(ABS(SUM(OFFSET(INDIRECT(CoStar_Array_Absorption_2B),CoStar_RowOffset_VacancyAbsorb-1,MATCH('MS Data'!$AF$2,INDIRECT(CoStar_VacancyAbsorb_ArrayHeader_2B),0)-1,4*F65,1))/F65)&gt;=1000000,ROUND(SUM(OFFSET(INDIRECT(CoStar_Array_Absorption_2B),CoStar_RowOffset_VacancyAbsorb-1,MATCH('MS Data'!$AF$2,INDIRECT(CoStar_VacancyAbsorb_ArrayHeader_2B),0)-1,4*F65,1))/F65/1000000,1)&amp;"M",ROUND(SUM(OFFSET(INDIRECT(CoStar_Array_Absorption_2B),CoStar_RowOffset_VacancyAbsorb-1,MATCH('MS Data'!$AF$2,INDIRECT(CoStar_VacancyAbsorb_ArrayHeader_2B),0)-1,4*F65,1))/F65/1000,1)&amp;"K"),"-")</f>
        <v>-</v>
      </c>
      <c r="G70" s="2606" t="str">
        <f ca="1">IFERROR(IF(ABS(SUM(OFFSET(INDIRECT(CoStar_Array_Absorption_2B),CoStar_RowOffset_VacancyAbsorb-1,MATCH('MS Data'!$AF$2,INDIRECT(CoStar_VacancyAbsorb_ArrayHeader_2B),0)-1,4*G65,1))/G65)&gt;=1000000,ROUND(SUM(OFFSET(INDIRECT(CoStar_Array_Absorption_2B),CoStar_RowOffset_VacancyAbsorb-1,MATCH('MS Data'!$AF$2,INDIRECT(CoStar_VacancyAbsorb_ArrayHeader_2B),0)-1,4*G65,1))/G65/1000000,1)&amp;"M",ROUND(SUM(OFFSET(INDIRECT(CoStar_Array_Absorption_2B),CoStar_RowOffset_VacancyAbsorb-1,MATCH('MS Data'!$AF$2,INDIRECT(CoStar_VacancyAbsorb_ArrayHeader_2B),0)-1,4*G65,1))/G65/1000,1)&amp;"K"),"-")</f>
        <v>-</v>
      </c>
      <c r="H70" s="2606" t="str">
        <f ca="1">IFERROR(IF(ABS(SUM(OFFSET(INDIRECT(CoStar_Array_Absorption_2B),CoStar_RowOffset_VacancyAbsorb-1,MATCH('MS Data'!$AF$2,INDIRECT(CoStar_VacancyAbsorb_ArrayHeader_2B),0)-1,4*H65,1))/H65)&gt;=1000000,ROUND(SUM(OFFSET(INDIRECT(CoStar_Array_Absorption_2B),CoStar_RowOffset_VacancyAbsorb-1,MATCH('MS Data'!$AF$2,INDIRECT(CoStar_VacancyAbsorb_ArrayHeader_2B),0)-1,4*H65,1))/H65/1000000,1)&amp;"M",ROUND(SUM(OFFSET(INDIRECT(CoStar_Array_Absorption_2B),CoStar_RowOffset_VacancyAbsorb-1,MATCH('MS Data'!$AF$2,INDIRECT(CoStar_VacancyAbsorb_ArrayHeader_2B),0)-1,4*H65,1))/H65/1000,1)&amp;"K"),"-")</f>
        <v>-</v>
      </c>
      <c r="I70" s="2606" t="str">
        <f ca="1">IFERROR(IF(ABS(SUM(OFFSET(INDIRECT(CoStar_Array_Absorption_2B),CoStar_RowOffset_VacancyAbsorb-1,MATCH('MS Data'!$AF$2,INDIRECT(CoStar_VacancyAbsorb_ArrayHeader_2B),0)-1,4*I65,1))/I65)&gt;=1000000,ROUND(SUM(OFFSET(INDIRECT(CoStar_Array_Absorption_2B),CoStar_RowOffset_VacancyAbsorb-1,MATCH('MS Data'!$AF$2,INDIRECT(CoStar_VacancyAbsorb_ArrayHeader_2B),0)-1,4*I65,1))/I65/1000000,1)&amp;"M",ROUND(SUM(OFFSET(INDIRECT(CoStar_Array_Absorption_2B),CoStar_RowOffset_VacancyAbsorb-1,MATCH('MS Data'!$AF$2,INDIRECT(CoStar_VacancyAbsorb_ArrayHeader_2B),0)-1,4*I65,1))/I65/1000,1)&amp;"K"),"-")</f>
        <v>-</v>
      </c>
      <c r="J70" s="2413"/>
      <c r="K70" s="2401"/>
      <c r="L70" s="911"/>
      <c r="M70" s="2505" t="str">
        <f>IF(LEFT(D66,SEARCH(" - ",D66,1))=LEFT(D69,SEARCH(" - ",D69,1)),CONCATENATE(RIGHT(D69,LEN(D69)-(SEARCH(" - ",D69,1)+2))," Vacancy"),CONCATENATE(D69," Vacancy"))</f>
        <v>Warehouse Vacancy</v>
      </c>
      <c r="N70" s="911"/>
      <c r="O70" s="911"/>
      <c r="P70" s="911"/>
      <c r="Q70" s="911"/>
      <c r="R70" s="911"/>
      <c r="S70" s="911"/>
      <c r="T70" s="911"/>
      <c r="U70" s="911"/>
      <c r="V70" s="911"/>
      <c r="W70" s="11"/>
      <c r="X70" s="11"/>
      <c r="Y70" s="11"/>
      <c r="Z70" s="11"/>
      <c r="AA70" s="11"/>
      <c r="AB70" s="11"/>
      <c r="AC70" s="11"/>
      <c r="AD70" s="11"/>
      <c r="AE70" s="11"/>
      <c r="AF70" s="11"/>
      <c r="AG70" s="11"/>
      <c r="AH70" s="11"/>
      <c r="AI70" s="11"/>
      <c r="AJ70" s="11"/>
      <c r="AK70" s="11"/>
      <c r="AL70" s="11"/>
      <c r="AM70" s="11"/>
      <c r="AN70" s="11"/>
      <c r="AO70" s="11"/>
      <c r="AP70" s="11"/>
      <c r="AQ70" s="11"/>
      <c r="AR70" s="11"/>
      <c r="AS70" s="11"/>
      <c r="AT70" s="11"/>
      <c r="AU70" s="11"/>
      <c r="AV70" s="11"/>
      <c r="AW70" s="11"/>
      <c r="AX70" s="11"/>
      <c r="AY70" s="11"/>
      <c r="AZ70" s="11"/>
      <c r="BA70" s="11"/>
      <c r="BB70" s="11"/>
      <c r="BC70" s="11"/>
      <c r="BD70" s="11"/>
      <c r="BE70" s="11"/>
      <c r="BF70" s="11"/>
      <c r="BG70" s="11"/>
      <c r="BH70" s="11"/>
      <c r="BI70" s="11"/>
      <c r="BJ70" s="11"/>
      <c r="BK70" s="11"/>
      <c r="BL70" s="11"/>
    </row>
    <row r="71" spans="1:64" ht="15" thickBot="1" x14ac:dyDescent="0.3">
      <c r="A71" s="911"/>
      <c r="B71" s="1251"/>
      <c r="C71" s="52"/>
      <c r="D71" s="2498" t="s">
        <v>18150</v>
      </c>
      <c r="E71" s="2500" t="s">
        <v>1784</v>
      </c>
      <c r="F71" s="2608" t="str">
        <f ca="1">IFERROR(IF(ABS(SUM(OFFSET(INDIRECT(CoStar_Array_Absorption_2B),CoStar_RowOffset_VacancyAbsorb-1,MATCH('MS Data'!$AJ$2,INDIRECT(CoStar_VacancyAbsorb_ArrayHeader_2B),0)-1,4*F65,1))/F65)&gt;=1000000,ROUND(SUM(OFFSET(INDIRECT(CoStar_Array_Absorption_2B),CoStar_RowOffset_VacancyAbsorb-1,MATCH('MS Data'!$AJ$2,INDIRECT(CoStar_VacancyAbsorb_ArrayHeader_2B),0)-1,4*F65,1))/F65/1000000,1)&amp;"M",ROUND(SUM(OFFSET(INDIRECT(CoStar_Array_Absorption_2B),CoStar_RowOffset_VacancyAbsorb-1,MATCH('MS Data'!$AJ$2,INDIRECT(CoStar_VacancyAbsorb_ArrayHeader_2B),0)-1,4*F65,1))/F65/1000,1)&amp;"K"),"-")</f>
        <v>-</v>
      </c>
      <c r="G71" s="2608" t="str">
        <f ca="1">IFERROR(IF(ABS(SUM(OFFSET(INDIRECT(CoStar_Array_Absorption_2B),CoStar_RowOffset_VacancyAbsorb-1,MATCH('MS Data'!$AJ$2,INDIRECT(CoStar_VacancyAbsorb_ArrayHeader_2B),0)-1,4*G65,1))/G65)&gt;=1000000,ROUND(SUM(OFFSET(INDIRECT(CoStar_Array_Absorption_2B),CoStar_RowOffset_VacancyAbsorb-1,MATCH('MS Data'!$AJ$2,INDIRECT(CoStar_VacancyAbsorb_ArrayHeader_2B),0)-1,4*G65,1))/G65/1000000,1)&amp;"M",ROUND(SUM(OFFSET(INDIRECT(CoStar_Array_Absorption_2B),CoStar_RowOffset_VacancyAbsorb-1,MATCH('MS Data'!$AJ$2,INDIRECT(CoStar_VacancyAbsorb_ArrayHeader_2B),0)-1,4*G65,1))/G65/1000,1)&amp;"K"),"-")</f>
        <v>-</v>
      </c>
      <c r="H71" s="2608" t="str">
        <f ca="1">IFERROR(IF(ABS(SUM(OFFSET(INDIRECT(CoStar_Array_Absorption_2B),CoStar_RowOffset_VacancyAbsorb-1,MATCH('MS Data'!$AJ$2,INDIRECT(CoStar_VacancyAbsorb_ArrayHeader_2B),0)-1,4*H65,1))/H65)&gt;=1000000,ROUND(SUM(OFFSET(INDIRECT(CoStar_Array_Absorption_2B),CoStar_RowOffset_VacancyAbsorb-1,MATCH('MS Data'!$AJ$2,INDIRECT(CoStar_VacancyAbsorb_ArrayHeader_2B),0)-1,4*H65,1))/H65/1000000,1)&amp;"M",ROUND(SUM(OFFSET(INDIRECT(CoStar_Array_Absorption_2B),CoStar_RowOffset_VacancyAbsorb-1,MATCH('MS Data'!$AJ$2,INDIRECT(CoStar_VacancyAbsorb_ArrayHeader_2B),0)-1,4*H65,1))/H65/1000,1)&amp;"K"),"-")</f>
        <v>-</v>
      </c>
      <c r="I71" s="2608" t="str">
        <f ca="1">IFERROR(IF(ABS(SUM(OFFSET(INDIRECT(CoStar_Array_Absorption_2B),CoStar_RowOffset_VacancyAbsorb-1,MATCH('MS Data'!$AJ$2,INDIRECT(CoStar_VacancyAbsorb_ArrayHeader_2B),0)-1,4*I65,1))/I65)&gt;=1000000,ROUND(SUM(OFFSET(INDIRECT(CoStar_Array_Absorption_2B),CoStar_RowOffset_VacancyAbsorb-1,MATCH('MS Data'!$AJ$2,INDIRECT(CoStar_VacancyAbsorb_ArrayHeader_2B),0)-1,4*I65,1))/I65/1000000,1)&amp;"M",ROUND(SUM(OFFSET(INDIRECT(CoStar_Array_Absorption_2B),CoStar_RowOffset_VacancyAbsorb-1,MATCH('MS Data'!$AJ$2,INDIRECT(CoStar_VacancyAbsorb_ArrayHeader_2B),0)-1,4*I65,1))/I65/1000,1)&amp;"K"),"-")</f>
        <v>-</v>
      </c>
      <c r="J71" s="2413"/>
      <c r="K71" s="2401"/>
      <c r="L71" s="911"/>
      <c r="M71" s="2505"/>
      <c r="N71" s="911"/>
      <c r="O71" s="911"/>
      <c r="P71" s="911"/>
      <c r="Q71" s="911"/>
      <c r="R71" s="911"/>
      <c r="S71" s="911"/>
      <c r="T71" s="911"/>
      <c r="U71" s="911"/>
      <c r="V71" s="911"/>
      <c r="W71" s="11"/>
      <c r="X71" s="11"/>
      <c r="Y71" s="11"/>
      <c r="Z71" s="11"/>
      <c r="AA71" s="11"/>
      <c r="AB71" s="11"/>
      <c r="AC71" s="11"/>
      <c r="AD71" s="11"/>
      <c r="AE71" s="11"/>
      <c r="AF71" s="11"/>
      <c r="AG71" s="11"/>
      <c r="AH71" s="11"/>
      <c r="AI71" s="11"/>
      <c r="AJ71" s="11"/>
      <c r="AK71" s="11"/>
      <c r="AL71" s="11"/>
      <c r="AM71" s="11"/>
      <c r="AN71" s="11"/>
      <c r="AO71" s="11"/>
      <c r="AP71" s="11"/>
      <c r="AQ71" s="11"/>
      <c r="AR71" s="11"/>
      <c r="AS71" s="11"/>
      <c r="AT71" s="11"/>
      <c r="AU71" s="11"/>
      <c r="AV71" s="11"/>
      <c r="AW71" s="11"/>
      <c r="AX71" s="11"/>
      <c r="AY71" s="11"/>
      <c r="AZ71" s="11"/>
      <c r="BA71" s="11"/>
      <c r="BB71" s="11"/>
      <c r="BC71" s="11"/>
      <c r="BD71" s="11"/>
      <c r="BE71" s="11"/>
      <c r="BF71" s="11"/>
      <c r="BG71" s="11"/>
      <c r="BH71" s="11"/>
      <c r="BI71" s="11"/>
      <c r="BJ71" s="11"/>
      <c r="BK71" s="11"/>
      <c r="BL71" s="11"/>
    </row>
    <row r="72" spans="1:64" x14ac:dyDescent="0.25">
      <c r="A72" s="911"/>
      <c r="B72" s="1251"/>
      <c r="C72" s="1080"/>
      <c r="D72" s="2378" t="s">
        <v>153</v>
      </c>
      <c r="E72" s="1080"/>
      <c r="F72" s="1080"/>
      <c r="G72" s="2412"/>
      <c r="H72" s="2403"/>
      <c r="I72" s="2403"/>
      <c r="J72" s="2403"/>
      <c r="K72" s="2401"/>
      <c r="L72" s="911"/>
      <c r="M72" s="911"/>
      <c r="N72" s="911"/>
      <c r="O72" s="911"/>
      <c r="P72" s="911"/>
      <c r="Q72" s="911"/>
      <c r="R72" s="911"/>
      <c r="S72" s="911"/>
      <c r="T72" s="911"/>
      <c r="U72" s="911"/>
      <c r="V72" s="911"/>
      <c r="W72" s="11"/>
      <c r="X72" s="11"/>
      <c r="Y72" s="11"/>
      <c r="Z72" s="11"/>
      <c r="AA72" s="11"/>
      <c r="AB72" s="11"/>
      <c r="AC72" s="11"/>
      <c r="AD72" s="11"/>
      <c r="AE72" s="11"/>
      <c r="AF72" s="11"/>
      <c r="AG72" s="11"/>
      <c r="AH72" s="11"/>
      <c r="AI72" s="11"/>
      <c r="AJ72" s="11"/>
      <c r="AK72" s="11"/>
      <c r="AL72" s="11"/>
      <c r="AM72" s="11"/>
      <c r="AN72" s="11"/>
      <c r="AO72" s="11"/>
      <c r="AP72" s="11"/>
      <c r="AQ72" s="11"/>
      <c r="AR72" s="11"/>
      <c r="AS72" s="11"/>
      <c r="AT72" s="11"/>
      <c r="AU72" s="11"/>
      <c r="AV72" s="11"/>
      <c r="AW72" s="11"/>
      <c r="AX72" s="11"/>
      <c r="AY72" s="11"/>
      <c r="AZ72" s="11"/>
      <c r="BA72" s="11"/>
      <c r="BB72" s="11"/>
      <c r="BC72" s="11"/>
      <c r="BD72" s="11"/>
      <c r="BE72" s="11"/>
      <c r="BF72" s="11"/>
      <c r="BG72" s="11"/>
      <c r="BH72" s="11"/>
      <c r="BI72" s="11"/>
      <c r="BJ72" s="11"/>
      <c r="BK72" s="11"/>
      <c r="BL72" s="11"/>
    </row>
    <row r="73" spans="1:64" ht="15" thickBot="1" x14ac:dyDescent="0.3">
      <c r="A73" s="911"/>
      <c r="B73" s="1253"/>
      <c r="C73" s="1254"/>
      <c r="D73" s="552" t="s">
        <v>18125</v>
      </c>
      <c r="E73" s="1254"/>
      <c r="F73" s="1254"/>
      <c r="G73" s="2404"/>
      <c r="H73" s="2537"/>
      <c r="I73" s="2404"/>
      <c r="J73" s="2404"/>
      <c r="K73" s="2402"/>
      <c r="L73" s="911"/>
      <c r="M73" s="2538"/>
      <c r="N73" s="911"/>
      <c r="O73" s="911"/>
      <c r="P73" s="911"/>
      <c r="Q73" s="911"/>
      <c r="R73" s="911"/>
      <c r="S73" s="911"/>
      <c r="T73" s="911"/>
      <c r="U73" s="911"/>
      <c r="V73" s="911"/>
      <c r="W73" s="11"/>
      <c r="X73" s="11"/>
      <c r="Y73" s="11"/>
      <c r="Z73" s="11"/>
      <c r="AA73" s="11"/>
      <c r="AB73" s="11"/>
      <c r="AC73" s="11"/>
      <c r="AD73" s="11"/>
      <c r="AE73" s="11"/>
      <c r="AF73" s="11"/>
      <c r="AG73" s="11"/>
      <c r="AH73" s="11"/>
      <c r="AI73" s="11"/>
      <c r="AJ73" s="11"/>
      <c r="AK73" s="11"/>
      <c r="AL73" s="11"/>
      <c r="AM73" s="11"/>
      <c r="AN73" s="11"/>
      <c r="AO73" s="11"/>
      <c r="AP73" s="11"/>
      <c r="AQ73" s="11"/>
      <c r="AR73" s="11"/>
      <c r="AS73" s="11"/>
      <c r="AT73" s="11"/>
      <c r="AU73" s="11"/>
      <c r="AV73" s="11"/>
      <c r="AW73" s="11"/>
      <c r="AX73" s="11"/>
      <c r="AY73" s="11"/>
      <c r="AZ73" s="11"/>
      <c r="BA73" s="11"/>
      <c r="BB73" s="11"/>
      <c r="BC73" s="11"/>
      <c r="BD73" s="11"/>
      <c r="BE73" s="11"/>
      <c r="BF73" s="11"/>
      <c r="BG73" s="11"/>
      <c r="BH73" s="11"/>
      <c r="BI73" s="11"/>
      <c r="BJ73" s="11"/>
      <c r="BK73" s="11"/>
      <c r="BL73" s="11"/>
    </row>
    <row r="74" spans="1:64" x14ac:dyDescent="0.25">
      <c r="A74" s="911"/>
      <c r="B74" s="911"/>
      <c r="C74" s="911"/>
      <c r="D74" s="911"/>
      <c r="E74" s="911"/>
      <c r="F74" s="911"/>
      <c r="G74" s="911"/>
      <c r="H74" s="911"/>
      <c r="I74" s="911"/>
      <c r="J74" s="911"/>
      <c r="K74" s="911"/>
      <c r="L74" s="911"/>
      <c r="M74" s="911"/>
      <c r="N74" s="911"/>
      <c r="O74" s="911"/>
      <c r="P74" s="911"/>
      <c r="Q74" s="911"/>
      <c r="R74" s="911"/>
      <c r="S74" s="911"/>
      <c r="T74" s="911"/>
      <c r="U74" s="911"/>
      <c r="V74" s="911"/>
      <c r="W74" s="11"/>
      <c r="X74" s="11"/>
      <c r="Y74" s="11"/>
      <c r="Z74" s="11"/>
      <c r="AA74" s="11"/>
      <c r="AB74" s="11"/>
      <c r="AC74" s="11"/>
      <c r="AD74" s="11"/>
      <c r="AE74" s="11"/>
      <c r="AF74" s="11"/>
      <c r="AG74" s="11"/>
      <c r="AH74" s="11"/>
      <c r="AI74" s="11"/>
      <c r="AJ74" s="11"/>
      <c r="AK74" s="11"/>
      <c r="AL74" s="11"/>
      <c r="AM74" s="11"/>
      <c r="AN74" s="11"/>
      <c r="AO74" s="11"/>
      <c r="AP74" s="11"/>
      <c r="AQ74" s="11"/>
      <c r="AR74" s="11"/>
      <c r="AS74" s="11"/>
      <c r="AT74" s="11"/>
      <c r="AU74" s="11"/>
      <c r="AV74" s="11"/>
      <c r="AW74" s="11"/>
      <c r="AX74" s="11"/>
      <c r="AY74" s="11"/>
      <c r="AZ74" s="11"/>
      <c r="BA74" s="11"/>
      <c r="BB74" s="11"/>
      <c r="BC74" s="11"/>
      <c r="BD74" s="11"/>
      <c r="BE74" s="11"/>
      <c r="BF74" s="11"/>
      <c r="BG74" s="11"/>
      <c r="BH74" s="11"/>
      <c r="BI74" s="11"/>
      <c r="BJ74" s="11"/>
      <c r="BK74" s="11"/>
      <c r="BL74" s="11"/>
    </row>
    <row r="75" spans="1:64" x14ac:dyDescent="0.25">
      <c r="A75" s="911"/>
      <c r="B75" s="911"/>
      <c r="C75" s="911"/>
      <c r="D75" s="911"/>
      <c r="E75" s="2492"/>
      <c r="F75" s="911"/>
      <c r="G75" s="911"/>
      <c r="H75" s="911"/>
      <c r="I75" s="911"/>
      <c r="J75" s="911"/>
      <c r="K75" s="911"/>
      <c r="L75" s="911"/>
      <c r="M75" s="911"/>
      <c r="N75" s="911"/>
      <c r="O75" s="911"/>
      <c r="P75" s="911"/>
      <c r="Q75" s="911"/>
      <c r="R75" s="911"/>
      <c r="S75" s="911"/>
      <c r="T75" s="911"/>
      <c r="U75" s="911"/>
      <c r="V75" s="911"/>
      <c r="W75" s="11"/>
      <c r="X75" s="11"/>
      <c r="Y75" s="11"/>
      <c r="Z75" s="11"/>
      <c r="AA75" s="11"/>
      <c r="AB75" s="11"/>
      <c r="AC75" s="11"/>
      <c r="AD75" s="11"/>
      <c r="AE75" s="11"/>
      <c r="AF75" s="11"/>
      <c r="AG75" s="11"/>
      <c r="AH75" s="11"/>
      <c r="AI75" s="11"/>
      <c r="AJ75" s="11"/>
      <c r="AK75" s="11"/>
      <c r="AL75" s="11"/>
      <c r="AM75" s="11"/>
      <c r="AN75" s="11"/>
      <c r="AO75" s="11"/>
      <c r="AP75" s="11"/>
      <c r="AQ75" s="11"/>
      <c r="AR75" s="11"/>
      <c r="AS75" s="11"/>
      <c r="AT75" s="11"/>
      <c r="AU75" s="11"/>
      <c r="AV75" s="11"/>
      <c r="AW75" s="11"/>
      <c r="AX75" s="11"/>
      <c r="AY75" s="11"/>
      <c r="AZ75" s="11"/>
      <c r="BA75" s="11"/>
      <c r="BB75" s="11"/>
      <c r="BC75" s="11"/>
      <c r="BD75" s="11"/>
      <c r="BE75" s="11"/>
      <c r="BF75" s="11"/>
      <c r="BG75" s="11"/>
      <c r="BH75" s="11"/>
      <c r="BI75" s="11"/>
      <c r="BJ75" s="11"/>
      <c r="BK75" s="11"/>
      <c r="BL75" s="11"/>
    </row>
    <row r="76" spans="1:64" x14ac:dyDescent="0.25">
      <c r="A76" s="911"/>
      <c r="B76" s="911"/>
      <c r="C76" s="911"/>
      <c r="D76" s="911"/>
      <c r="E76" s="2492"/>
      <c r="F76" s="911"/>
      <c r="G76" s="911"/>
      <c r="H76" s="911"/>
      <c r="I76" s="911"/>
      <c r="J76" s="911"/>
      <c r="K76" s="911"/>
      <c r="L76" s="911"/>
      <c r="M76" s="911"/>
      <c r="N76" s="911"/>
      <c r="O76" s="911"/>
      <c r="P76" s="911"/>
      <c r="Q76" s="911"/>
      <c r="R76" s="911"/>
      <c r="S76" s="911"/>
      <c r="T76" s="911"/>
      <c r="U76" s="911"/>
      <c r="V76" s="911"/>
      <c r="W76" s="11"/>
      <c r="X76" s="11"/>
      <c r="Y76" s="11"/>
      <c r="Z76" s="11"/>
      <c r="AA76" s="11"/>
      <c r="AB76" s="11"/>
      <c r="AC76" s="11"/>
      <c r="AD76" s="11"/>
      <c r="AE76" s="11"/>
      <c r="AF76" s="11"/>
      <c r="AG76" s="11"/>
      <c r="AH76" s="11"/>
      <c r="AI76" s="11"/>
      <c r="AJ76" s="11"/>
      <c r="AK76" s="11"/>
      <c r="AL76" s="11"/>
      <c r="AM76" s="11"/>
      <c r="AN76" s="11"/>
      <c r="AO76" s="11"/>
      <c r="AP76" s="11"/>
      <c r="AQ76" s="11"/>
      <c r="AR76" s="11"/>
      <c r="AS76" s="11"/>
      <c r="AT76" s="11"/>
      <c r="AU76" s="11"/>
      <c r="AV76" s="11"/>
      <c r="AW76" s="11"/>
      <c r="AX76" s="11"/>
      <c r="AY76" s="11"/>
      <c r="AZ76" s="11"/>
      <c r="BA76" s="11"/>
      <c r="BB76" s="11"/>
      <c r="BC76" s="11"/>
      <c r="BD76" s="11"/>
      <c r="BE76" s="11"/>
      <c r="BF76" s="11"/>
      <c r="BG76" s="11"/>
      <c r="BH76" s="11"/>
      <c r="BI76" s="11"/>
      <c r="BJ76" s="11"/>
      <c r="BK76" s="11"/>
      <c r="BL76" s="11"/>
    </row>
    <row r="77" spans="1:64" x14ac:dyDescent="0.25">
      <c r="A77" s="911"/>
      <c r="B77" s="911"/>
      <c r="C77" s="911"/>
      <c r="D77" s="911"/>
      <c r="E77" s="2492"/>
      <c r="F77" s="911"/>
      <c r="G77" s="911"/>
      <c r="H77" s="911"/>
      <c r="I77" s="911"/>
      <c r="J77" s="911"/>
      <c r="K77" s="911"/>
      <c r="L77" s="911"/>
      <c r="M77" s="911"/>
      <c r="N77" s="911"/>
      <c r="O77" s="911"/>
      <c r="P77" s="911"/>
      <c r="Q77" s="911"/>
      <c r="R77" s="911"/>
      <c r="S77" s="911"/>
      <c r="T77" s="911"/>
      <c r="U77" s="911"/>
      <c r="V77" s="911"/>
      <c r="W77" s="11"/>
      <c r="X77" s="11"/>
      <c r="Y77" s="11"/>
      <c r="Z77" s="11"/>
      <c r="AA77" s="11"/>
      <c r="AB77" s="11"/>
      <c r="AC77" s="11"/>
      <c r="AD77" s="11"/>
      <c r="AE77" s="11"/>
      <c r="AF77" s="11"/>
      <c r="AG77" s="11"/>
      <c r="AH77" s="11"/>
      <c r="AI77" s="11"/>
      <c r="AJ77" s="11"/>
      <c r="AK77" s="11"/>
      <c r="AL77" s="11"/>
      <c r="AM77" s="11"/>
      <c r="AN77" s="11"/>
      <c r="AO77" s="11"/>
      <c r="AP77" s="11"/>
      <c r="AQ77" s="11"/>
      <c r="AR77" s="11"/>
      <c r="AS77" s="11"/>
      <c r="AT77" s="11"/>
      <c r="AU77" s="11"/>
      <c r="AV77" s="11"/>
      <c r="AW77" s="11"/>
      <c r="AX77" s="11"/>
      <c r="AY77" s="11"/>
      <c r="AZ77" s="11"/>
      <c r="BA77" s="11"/>
      <c r="BB77" s="11"/>
      <c r="BC77" s="11"/>
      <c r="BD77" s="11"/>
      <c r="BE77" s="11"/>
      <c r="BF77" s="11"/>
      <c r="BG77" s="11"/>
      <c r="BH77" s="11"/>
      <c r="BI77" s="11"/>
      <c r="BJ77" s="11"/>
      <c r="BK77" s="11"/>
      <c r="BL77" s="11"/>
    </row>
    <row r="78" spans="1:64" x14ac:dyDescent="0.25">
      <c r="A78" s="911"/>
      <c r="B78" s="911"/>
      <c r="C78" s="911"/>
      <c r="D78" s="911"/>
      <c r="E78" s="2492"/>
      <c r="F78" s="911"/>
      <c r="G78" s="911"/>
      <c r="H78" s="911"/>
      <c r="I78" s="911"/>
      <c r="J78" s="911"/>
      <c r="K78" s="911"/>
      <c r="L78" s="911"/>
      <c r="M78" s="911"/>
      <c r="N78" s="911"/>
      <c r="O78" s="911"/>
      <c r="P78" s="911"/>
      <c r="Q78" s="911"/>
      <c r="R78" s="911"/>
      <c r="S78" s="911"/>
      <c r="T78" s="911"/>
      <c r="U78" s="911"/>
      <c r="V78" s="911"/>
      <c r="W78" s="11"/>
      <c r="X78" s="11"/>
      <c r="Y78" s="11"/>
      <c r="Z78" s="11"/>
      <c r="AA78" s="11"/>
      <c r="AB78" s="11"/>
      <c r="AC78" s="11"/>
      <c r="AD78" s="11"/>
      <c r="AE78" s="11"/>
      <c r="AF78" s="11"/>
      <c r="AG78" s="11"/>
      <c r="AH78" s="11"/>
      <c r="AI78" s="11"/>
      <c r="AJ78" s="11"/>
      <c r="AK78" s="11"/>
      <c r="AL78" s="11"/>
      <c r="AM78" s="11"/>
      <c r="AN78" s="11"/>
      <c r="AO78" s="11"/>
      <c r="AP78" s="11"/>
      <c r="AQ78" s="11"/>
      <c r="AR78" s="11"/>
      <c r="AS78" s="11"/>
      <c r="AT78" s="11"/>
      <c r="AU78" s="11"/>
      <c r="AV78" s="11"/>
      <c r="AW78" s="11"/>
      <c r="AX78" s="11"/>
      <c r="AY78" s="11"/>
      <c r="AZ78" s="11"/>
      <c r="BA78" s="11"/>
      <c r="BB78" s="11"/>
      <c r="BC78" s="11"/>
      <c r="BD78" s="11"/>
      <c r="BE78" s="11"/>
      <c r="BF78" s="11"/>
      <c r="BG78" s="11"/>
      <c r="BH78" s="11"/>
      <c r="BI78" s="11"/>
      <c r="BJ78" s="11"/>
      <c r="BK78" s="11"/>
      <c r="BL78" s="11"/>
    </row>
    <row r="79" spans="1:64" x14ac:dyDescent="0.25">
      <c r="A79" s="911"/>
      <c r="B79" s="911"/>
      <c r="C79" s="911"/>
      <c r="D79" s="911"/>
      <c r="E79" s="2328"/>
      <c r="F79" s="911"/>
      <c r="G79" s="911"/>
      <c r="H79" s="911"/>
      <c r="I79" s="911"/>
      <c r="J79" s="911"/>
      <c r="K79" s="911"/>
      <c r="L79" s="911"/>
      <c r="M79" s="911"/>
      <c r="N79" s="911"/>
      <c r="O79" s="911"/>
      <c r="P79" s="911"/>
      <c r="Q79" s="911"/>
      <c r="R79" s="911"/>
      <c r="S79" s="911"/>
      <c r="T79" s="911"/>
      <c r="U79" s="911"/>
      <c r="V79" s="911"/>
      <c r="W79" s="11"/>
      <c r="X79" s="11"/>
      <c r="Y79" s="11"/>
      <c r="Z79" s="11"/>
      <c r="AA79" s="11"/>
      <c r="AB79" s="11"/>
      <c r="AC79" s="11"/>
      <c r="AD79" s="11"/>
      <c r="AE79" s="11"/>
      <c r="AF79" s="11"/>
      <c r="AG79" s="11"/>
      <c r="AH79" s="11"/>
      <c r="AI79" s="11"/>
      <c r="AJ79" s="11"/>
      <c r="AK79" s="11"/>
      <c r="AL79" s="11"/>
      <c r="AM79" s="11"/>
      <c r="AN79" s="11"/>
      <c r="AO79" s="11"/>
      <c r="AP79" s="11"/>
      <c r="AQ79" s="11"/>
      <c r="AR79" s="11"/>
      <c r="AS79" s="11"/>
      <c r="AT79" s="11"/>
      <c r="AU79" s="11"/>
      <c r="AV79" s="11"/>
      <c r="AW79" s="11"/>
      <c r="AX79" s="11"/>
      <c r="AY79" s="11"/>
      <c r="AZ79" s="11"/>
      <c r="BA79" s="11"/>
      <c r="BB79" s="11"/>
      <c r="BC79" s="11"/>
      <c r="BD79" s="11"/>
      <c r="BE79" s="11"/>
      <c r="BF79" s="11"/>
      <c r="BG79" s="11"/>
      <c r="BH79" s="11"/>
      <c r="BI79" s="11"/>
      <c r="BJ79" s="11"/>
      <c r="BK79" s="11"/>
      <c r="BL79" s="11"/>
    </row>
    <row r="80" spans="1:64" x14ac:dyDescent="0.25">
      <c r="A80" s="911"/>
      <c r="B80" s="911"/>
      <c r="C80" s="911"/>
      <c r="D80" s="911"/>
      <c r="E80" s="11"/>
      <c r="F80" s="911"/>
      <c r="G80" s="911"/>
      <c r="H80" s="911"/>
      <c r="I80" s="911"/>
      <c r="J80" s="911"/>
      <c r="K80" s="911"/>
      <c r="L80" s="911"/>
      <c r="M80" s="911"/>
      <c r="N80" s="911"/>
      <c r="O80" s="911"/>
      <c r="P80" s="911"/>
      <c r="Q80" s="911"/>
      <c r="R80" s="911"/>
      <c r="S80" s="911"/>
      <c r="T80" s="911"/>
      <c r="U80" s="911"/>
      <c r="V80" s="911"/>
      <c r="W80" s="11"/>
      <c r="X80" s="11"/>
      <c r="Y80" s="11"/>
      <c r="Z80" s="11"/>
      <c r="AA80" s="11"/>
      <c r="AB80" s="11"/>
      <c r="AC80" s="11"/>
      <c r="AD80" s="11"/>
      <c r="AE80" s="11"/>
      <c r="AF80" s="11"/>
      <c r="AG80" s="11"/>
      <c r="AH80" s="11"/>
      <c r="AI80" s="11"/>
      <c r="AJ80" s="11"/>
      <c r="AK80" s="11"/>
      <c r="AL80" s="11"/>
      <c r="AM80" s="11"/>
      <c r="AN80" s="11"/>
      <c r="AO80" s="11"/>
      <c r="AP80" s="11"/>
      <c r="AQ80" s="11"/>
      <c r="AR80" s="11"/>
      <c r="AS80" s="11"/>
      <c r="AT80" s="11"/>
      <c r="AU80" s="11"/>
      <c r="AV80" s="11"/>
      <c r="AW80" s="11"/>
      <c r="AX80" s="11"/>
      <c r="AY80" s="11"/>
      <c r="AZ80" s="11"/>
      <c r="BA80" s="11"/>
      <c r="BB80" s="11"/>
      <c r="BC80" s="11"/>
      <c r="BD80" s="11"/>
      <c r="BE80" s="11"/>
      <c r="BF80" s="11"/>
      <c r="BG80" s="11"/>
      <c r="BH80" s="11"/>
      <c r="BI80" s="11"/>
      <c r="BJ80" s="11"/>
      <c r="BK80" s="11"/>
      <c r="BL80" s="11"/>
    </row>
    <row r="81" spans="1:64" x14ac:dyDescent="0.25">
      <c r="A81" s="911"/>
      <c r="B81" s="911"/>
      <c r="C81" s="911"/>
      <c r="D81" s="911"/>
      <c r="E81" s="911"/>
      <c r="F81" s="911"/>
      <c r="G81" s="911"/>
      <c r="H81" s="911"/>
      <c r="I81" s="911"/>
      <c r="J81" s="911"/>
      <c r="K81" s="911"/>
      <c r="L81" s="911"/>
      <c r="M81" s="911"/>
      <c r="N81" s="911"/>
      <c r="O81" s="911"/>
      <c r="P81" s="911"/>
      <c r="Q81" s="911"/>
      <c r="R81" s="911"/>
      <c r="S81" s="911"/>
      <c r="T81" s="911"/>
      <c r="U81" s="911"/>
      <c r="V81" s="911"/>
      <c r="W81" s="11"/>
      <c r="X81" s="11"/>
      <c r="Y81" s="11"/>
      <c r="Z81" s="11"/>
      <c r="AA81" s="11"/>
      <c r="AB81" s="11"/>
      <c r="AC81" s="11"/>
      <c r="AD81" s="11"/>
      <c r="AE81" s="11"/>
      <c r="AF81" s="11"/>
      <c r="AG81" s="11"/>
      <c r="AH81" s="11"/>
      <c r="AI81" s="11"/>
      <c r="AJ81" s="11"/>
      <c r="AK81" s="11"/>
      <c r="AL81" s="11"/>
      <c r="AM81" s="11"/>
      <c r="AN81" s="11"/>
      <c r="AO81" s="11"/>
      <c r="AP81" s="11"/>
      <c r="AQ81" s="11"/>
      <c r="AR81" s="11"/>
      <c r="AS81" s="11"/>
      <c r="AT81" s="11"/>
      <c r="AU81" s="11"/>
      <c r="AV81" s="11"/>
      <c r="AW81" s="11"/>
      <c r="AX81" s="11"/>
      <c r="AY81" s="11"/>
      <c r="AZ81" s="11"/>
      <c r="BA81" s="11"/>
      <c r="BB81" s="11"/>
      <c r="BC81" s="11"/>
      <c r="BD81" s="11"/>
      <c r="BE81" s="11"/>
      <c r="BF81" s="11"/>
      <c r="BG81" s="11"/>
      <c r="BH81" s="11"/>
      <c r="BI81" s="11"/>
      <c r="BJ81" s="11"/>
      <c r="BK81" s="11"/>
      <c r="BL81" s="11"/>
    </row>
    <row r="82" spans="1:64" x14ac:dyDescent="0.25">
      <c r="A82" s="911"/>
      <c r="B82" s="911"/>
      <c r="C82" s="911"/>
      <c r="D82" s="911"/>
      <c r="E82" s="911"/>
      <c r="F82" s="911"/>
      <c r="G82" s="911"/>
      <c r="H82" s="911"/>
      <c r="I82" s="911"/>
      <c r="J82" s="911"/>
      <c r="K82" s="911"/>
      <c r="L82" s="911"/>
      <c r="M82" s="911"/>
      <c r="N82" s="911"/>
      <c r="O82" s="911"/>
      <c r="P82" s="911"/>
      <c r="Q82" s="911"/>
      <c r="R82" s="911"/>
      <c r="S82" s="911"/>
      <c r="T82" s="911"/>
      <c r="U82" s="911"/>
      <c r="V82" s="911"/>
      <c r="W82" s="11"/>
      <c r="X82" s="11"/>
      <c r="Y82" s="11"/>
      <c r="Z82" s="11"/>
      <c r="AA82" s="11"/>
      <c r="AB82" s="11"/>
      <c r="AC82" s="11"/>
      <c r="AD82" s="11"/>
      <c r="AE82" s="11"/>
      <c r="AF82" s="11"/>
      <c r="AG82" s="11"/>
      <c r="AH82" s="11"/>
      <c r="AI82" s="11"/>
      <c r="AJ82" s="11"/>
      <c r="AK82" s="11"/>
      <c r="AL82" s="11"/>
      <c r="AM82" s="11"/>
      <c r="AN82" s="11"/>
      <c r="AO82" s="11"/>
      <c r="AP82" s="11"/>
      <c r="AQ82" s="11"/>
      <c r="AR82" s="11"/>
      <c r="AS82" s="11"/>
      <c r="AT82" s="11"/>
      <c r="AU82" s="11"/>
      <c r="AV82" s="11"/>
      <c r="AW82" s="11"/>
      <c r="AX82" s="11"/>
      <c r="AY82" s="11"/>
      <c r="AZ82" s="11"/>
      <c r="BA82" s="11"/>
      <c r="BB82" s="11"/>
      <c r="BC82" s="11"/>
      <c r="BD82" s="11"/>
      <c r="BE82" s="11"/>
      <c r="BF82" s="11"/>
      <c r="BG82" s="11"/>
      <c r="BH82" s="11"/>
      <c r="BI82" s="11"/>
      <c r="BJ82" s="11"/>
      <c r="BK82" s="11"/>
      <c r="BL82" s="11"/>
    </row>
    <row r="83" spans="1:64" x14ac:dyDescent="0.25">
      <c r="A83" s="911"/>
      <c r="B83" s="911"/>
      <c r="C83" s="911"/>
      <c r="D83" s="911"/>
      <c r="E83" s="911"/>
      <c r="F83" s="911"/>
      <c r="G83" s="911"/>
      <c r="H83" s="911"/>
      <c r="I83" s="911"/>
      <c r="J83" s="911"/>
      <c r="K83" s="911"/>
      <c r="L83" s="911"/>
      <c r="M83" s="911"/>
      <c r="N83" s="911"/>
      <c r="O83" s="911"/>
      <c r="P83" s="911"/>
      <c r="Q83" s="911"/>
      <c r="R83" s="911"/>
      <c r="S83" s="911"/>
      <c r="T83" s="911"/>
      <c r="U83" s="911"/>
      <c r="V83" s="911"/>
      <c r="W83" s="11"/>
      <c r="X83" s="11"/>
      <c r="Y83" s="11"/>
      <c r="Z83" s="11"/>
      <c r="AA83" s="11"/>
      <c r="AB83" s="11"/>
      <c r="AC83" s="11"/>
      <c r="AD83" s="11"/>
      <c r="AE83" s="11"/>
      <c r="AF83" s="11"/>
      <c r="AG83" s="11"/>
      <c r="AH83" s="11"/>
      <c r="AI83" s="11"/>
      <c r="AJ83" s="11"/>
      <c r="AK83" s="11"/>
      <c r="AL83" s="11"/>
      <c r="AM83" s="11"/>
      <c r="AN83" s="11"/>
      <c r="AO83" s="11"/>
      <c r="AP83" s="11"/>
      <c r="AQ83" s="11"/>
      <c r="AR83" s="11"/>
      <c r="AS83" s="11"/>
      <c r="AT83" s="11"/>
      <c r="AU83" s="11"/>
      <c r="AV83" s="11"/>
      <c r="AW83" s="11"/>
      <c r="AX83" s="11"/>
      <c r="AY83" s="11"/>
      <c r="AZ83" s="11"/>
      <c r="BA83" s="11"/>
      <c r="BB83" s="11"/>
      <c r="BC83" s="11"/>
      <c r="BD83" s="11"/>
      <c r="BE83" s="11"/>
      <c r="BF83" s="11"/>
      <c r="BG83" s="11"/>
      <c r="BH83" s="11"/>
      <c r="BI83" s="11"/>
      <c r="BJ83" s="11"/>
      <c r="BK83" s="11"/>
      <c r="BL83" s="11"/>
    </row>
    <row r="84" spans="1:64" x14ac:dyDescent="0.25">
      <c r="A84" s="911"/>
      <c r="B84" s="911"/>
      <c r="C84" s="911"/>
      <c r="D84" s="911"/>
      <c r="E84" s="911"/>
      <c r="F84" s="911"/>
      <c r="G84" s="911"/>
      <c r="H84" s="911"/>
      <c r="I84" s="911"/>
      <c r="J84" s="911"/>
      <c r="K84" s="911"/>
      <c r="L84" s="911"/>
      <c r="M84" s="911"/>
      <c r="N84" s="911"/>
      <c r="O84" s="911"/>
      <c r="P84" s="911"/>
      <c r="Q84" s="911"/>
      <c r="R84" s="911"/>
      <c r="S84" s="911"/>
      <c r="T84" s="911"/>
      <c r="U84" s="911"/>
      <c r="V84" s="911"/>
      <c r="W84" s="11"/>
      <c r="X84" s="11"/>
      <c r="Y84" s="11"/>
      <c r="Z84" s="11"/>
      <c r="AA84" s="11"/>
      <c r="AB84" s="11"/>
      <c r="AC84" s="11"/>
      <c r="AD84" s="11"/>
      <c r="AE84" s="11"/>
      <c r="AF84" s="11"/>
      <c r="AG84" s="11"/>
      <c r="AH84" s="11"/>
      <c r="AI84" s="11"/>
      <c r="AJ84" s="11"/>
      <c r="AK84" s="11"/>
      <c r="AL84" s="11"/>
      <c r="AM84" s="11"/>
      <c r="AN84" s="11"/>
      <c r="AO84" s="11"/>
      <c r="AP84" s="11"/>
      <c r="AQ84" s="11"/>
      <c r="AR84" s="11"/>
      <c r="AS84" s="11"/>
      <c r="AT84" s="11"/>
      <c r="AU84" s="11"/>
      <c r="AV84" s="11"/>
      <c r="AW84" s="11"/>
      <c r="AX84" s="11"/>
      <c r="AY84" s="11"/>
      <c r="AZ84" s="11"/>
      <c r="BA84" s="11"/>
      <c r="BB84" s="11"/>
      <c r="BC84" s="11"/>
      <c r="BD84" s="11"/>
      <c r="BE84" s="11"/>
      <c r="BF84" s="11"/>
      <c r="BG84" s="11"/>
      <c r="BH84" s="11"/>
      <c r="BI84" s="11"/>
      <c r="BJ84" s="11"/>
      <c r="BK84" s="11"/>
      <c r="BL84" s="11"/>
    </row>
    <row r="85" spans="1:64" x14ac:dyDescent="0.25">
      <c r="A85" s="911"/>
      <c r="B85" s="911"/>
      <c r="C85" s="911"/>
      <c r="D85" s="911"/>
      <c r="E85" s="911"/>
      <c r="F85" s="911"/>
      <c r="G85" s="911"/>
      <c r="H85" s="911"/>
      <c r="I85" s="911"/>
      <c r="J85" s="911"/>
      <c r="K85" s="911"/>
      <c r="L85" s="911"/>
      <c r="M85" s="911"/>
      <c r="N85" s="911"/>
      <c r="O85" s="911"/>
      <c r="P85" s="911"/>
      <c r="Q85" s="911"/>
      <c r="R85" s="911"/>
      <c r="S85" s="911"/>
      <c r="T85" s="911"/>
      <c r="U85" s="911"/>
      <c r="V85" s="911"/>
      <c r="W85" s="11"/>
      <c r="X85" s="11"/>
      <c r="Y85" s="11"/>
      <c r="Z85" s="11"/>
      <c r="AA85" s="11"/>
      <c r="AB85" s="11"/>
      <c r="AC85" s="11"/>
      <c r="AD85" s="11"/>
      <c r="AE85" s="11"/>
      <c r="AF85" s="11"/>
      <c r="AG85" s="11"/>
      <c r="AH85" s="11"/>
      <c r="AI85" s="11"/>
      <c r="AJ85" s="11"/>
      <c r="AK85" s="11"/>
      <c r="AL85" s="11"/>
      <c r="AM85" s="11"/>
      <c r="AN85" s="11"/>
      <c r="AO85" s="11"/>
      <c r="AP85" s="11"/>
      <c r="AQ85" s="11"/>
      <c r="AR85" s="11"/>
      <c r="AS85" s="11"/>
      <c r="AT85" s="11"/>
      <c r="AU85" s="11"/>
      <c r="AV85" s="11"/>
      <c r="AW85" s="11"/>
      <c r="AX85" s="11"/>
      <c r="AY85" s="11"/>
      <c r="AZ85" s="11"/>
      <c r="BA85" s="11"/>
      <c r="BB85" s="11"/>
      <c r="BC85" s="11"/>
      <c r="BD85" s="11"/>
      <c r="BE85" s="11"/>
      <c r="BF85" s="11"/>
      <c r="BG85" s="11"/>
      <c r="BH85" s="11"/>
      <c r="BI85" s="11"/>
      <c r="BJ85" s="11"/>
      <c r="BK85" s="11"/>
      <c r="BL85" s="11"/>
    </row>
    <row r="86" spans="1:64" x14ac:dyDescent="0.25">
      <c r="A86" s="911"/>
      <c r="B86" s="911"/>
      <c r="C86" s="911"/>
      <c r="D86" s="911"/>
      <c r="E86" s="911"/>
      <c r="F86" s="911"/>
      <c r="G86" s="911"/>
      <c r="H86" s="911"/>
      <c r="I86" s="911"/>
      <c r="J86" s="911"/>
      <c r="K86" s="911"/>
      <c r="L86" s="911"/>
      <c r="M86" s="911"/>
      <c r="N86" s="911"/>
      <c r="O86" s="911"/>
      <c r="P86" s="911"/>
      <c r="Q86" s="911"/>
      <c r="R86" s="911"/>
      <c r="S86" s="911"/>
      <c r="T86" s="911"/>
      <c r="U86" s="911"/>
      <c r="V86" s="911"/>
      <c r="W86" s="11"/>
      <c r="X86" s="11"/>
      <c r="Y86" s="11"/>
      <c r="Z86" s="11"/>
      <c r="AA86" s="11"/>
      <c r="AB86" s="11"/>
      <c r="AC86" s="11"/>
      <c r="AD86" s="11"/>
      <c r="AE86" s="11"/>
      <c r="AF86" s="11"/>
      <c r="AG86" s="11"/>
      <c r="AH86" s="11"/>
      <c r="AI86" s="11"/>
      <c r="AJ86" s="11"/>
      <c r="AK86" s="11"/>
      <c r="AL86" s="11"/>
      <c r="AM86" s="11"/>
      <c r="AN86" s="11"/>
      <c r="AO86" s="11"/>
      <c r="AP86" s="11"/>
      <c r="AQ86" s="11"/>
      <c r="AR86" s="11"/>
      <c r="AS86" s="11"/>
      <c r="AT86" s="11"/>
      <c r="AU86" s="11"/>
      <c r="AV86" s="11"/>
      <c r="AW86" s="11"/>
      <c r="AX86" s="11"/>
      <c r="AY86" s="11"/>
      <c r="AZ86" s="11"/>
      <c r="BA86" s="11"/>
      <c r="BB86" s="11"/>
      <c r="BC86" s="11"/>
      <c r="BD86" s="11"/>
      <c r="BE86" s="11"/>
      <c r="BF86" s="11"/>
      <c r="BG86" s="11"/>
      <c r="BH86" s="11"/>
      <c r="BI86" s="11"/>
      <c r="BJ86" s="11"/>
      <c r="BK86" s="11"/>
      <c r="BL86" s="11"/>
    </row>
    <row r="87" spans="1:64" x14ac:dyDescent="0.25">
      <c r="A87" s="911"/>
      <c r="B87" s="911"/>
      <c r="C87" s="911"/>
      <c r="D87" s="911"/>
      <c r="E87" s="911"/>
      <c r="F87" s="911"/>
      <c r="G87" s="911"/>
      <c r="H87" s="911"/>
      <c r="I87" s="911"/>
      <c r="J87" s="911"/>
      <c r="K87" s="911"/>
      <c r="L87" s="911"/>
      <c r="M87" s="911"/>
      <c r="N87" s="911"/>
      <c r="O87" s="911"/>
      <c r="P87" s="911"/>
      <c r="Q87" s="911"/>
      <c r="R87" s="911"/>
      <c r="S87" s="911"/>
      <c r="T87" s="911"/>
      <c r="U87" s="911"/>
      <c r="V87" s="911"/>
      <c r="W87" s="11"/>
      <c r="X87" s="11"/>
      <c r="Y87" s="11"/>
      <c r="Z87" s="11"/>
      <c r="AA87" s="11"/>
      <c r="AB87" s="11"/>
      <c r="AC87" s="11"/>
      <c r="AD87" s="11"/>
      <c r="AE87" s="11"/>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row>
    <row r="88" spans="1:64" x14ac:dyDescent="0.25">
      <c r="A88" s="911"/>
      <c r="B88" s="911"/>
      <c r="C88" s="911"/>
      <c r="D88" s="911"/>
      <c r="E88" s="911"/>
      <c r="F88" s="911"/>
      <c r="G88" s="911"/>
      <c r="H88" s="911"/>
      <c r="I88" s="911"/>
      <c r="J88" s="911"/>
      <c r="K88" s="911"/>
      <c r="L88" s="911"/>
      <c r="M88" s="911"/>
      <c r="N88" s="911"/>
      <c r="O88" s="911"/>
      <c r="P88" s="911"/>
      <c r="Q88" s="911"/>
      <c r="R88" s="911"/>
      <c r="S88" s="911"/>
      <c r="T88" s="911"/>
      <c r="U88" s="911"/>
      <c r="V88" s="911"/>
      <c r="W88" s="11"/>
      <c r="X88" s="11"/>
      <c r="Y88" s="11"/>
      <c r="Z88" s="11"/>
      <c r="AA88" s="11"/>
      <c r="AB88" s="11"/>
      <c r="AC88" s="11"/>
      <c r="AD88" s="11"/>
      <c r="AE88" s="11"/>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row>
    <row r="89" spans="1:64" x14ac:dyDescent="0.25">
      <c r="A89" s="911"/>
      <c r="B89" s="911"/>
      <c r="C89" s="911"/>
      <c r="D89" s="911"/>
      <c r="E89" s="911"/>
      <c r="F89" s="911"/>
      <c r="G89" s="911"/>
      <c r="H89" s="911"/>
      <c r="I89" s="911"/>
      <c r="J89" s="911"/>
      <c r="K89" s="911"/>
      <c r="L89" s="911"/>
      <c r="M89" s="911"/>
      <c r="N89" s="911"/>
      <c r="O89" s="911"/>
      <c r="P89" s="911"/>
      <c r="Q89" s="911"/>
      <c r="R89" s="911"/>
      <c r="S89" s="911"/>
      <c r="T89" s="911"/>
      <c r="U89" s="911"/>
      <c r="V89" s="911"/>
      <c r="W89" s="11"/>
      <c r="X89" s="11"/>
      <c r="Y89" s="11"/>
      <c r="Z89" s="11"/>
      <c r="AA89" s="11"/>
      <c r="AB89" s="11"/>
      <c r="AC89" s="11"/>
      <c r="AD89" s="11"/>
      <c r="AE89" s="11"/>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row>
    <row r="90" spans="1:64" x14ac:dyDescent="0.25">
      <c r="A90" s="911"/>
      <c r="B90" s="911"/>
      <c r="C90" s="911"/>
      <c r="D90" s="911"/>
      <c r="E90" s="911"/>
      <c r="F90" s="911"/>
      <c r="G90" s="911"/>
      <c r="H90" s="911"/>
      <c r="I90" s="911"/>
      <c r="J90" s="911"/>
      <c r="K90" s="911"/>
      <c r="L90" s="911"/>
      <c r="M90" s="911"/>
      <c r="N90" s="911"/>
      <c r="O90" s="911"/>
      <c r="P90" s="911"/>
      <c r="Q90" s="911"/>
      <c r="R90" s="911"/>
      <c r="S90" s="911"/>
      <c r="T90" s="911"/>
      <c r="U90" s="911"/>
      <c r="V90" s="911"/>
      <c r="W90" s="11"/>
      <c r="X90" s="11"/>
      <c r="Y90" s="11"/>
      <c r="Z90" s="11"/>
      <c r="AA90" s="11"/>
      <c r="AB90" s="11"/>
      <c r="AC90" s="11"/>
      <c r="AD90" s="11"/>
      <c r="AE90" s="11"/>
      <c r="AF90" s="11"/>
      <c r="AG90" s="11"/>
      <c r="AH90" s="11"/>
      <c r="AI90" s="11"/>
      <c r="AJ90" s="11"/>
      <c r="AK90" s="11"/>
      <c r="AL90" s="11"/>
      <c r="AM90" s="11"/>
      <c r="AN90" s="11"/>
      <c r="AO90" s="11"/>
      <c r="AP90" s="11"/>
      <c r="AQ90" s="11"/>
      <c r="AR90" s="11"/>
      <c r="AS90" s="11"/>
      <c r="AT90" s="11"/>
      <c r="AU90" s="11"/>
      <c r="AV90" s="11"/>
      <c r="AW90" s="11"/>
      <c r="AX90" s="11"/>
      <c r="AY90" s="11"/>
      <c r="AZ90" s="11"/>
      <c r="BA90" s="11"/>
      <c r="BB90" s="11"/>
      <c r="BC90" s="11"/>
      <c r="BD90" s="11"/>
      <c r="BE90" s="11"/>
      <c r="BF90" s="11"/>
      <c r="BG90" s="11"/>
      <c r="BH90" s="11"/>
      <c r="BI90" s="11"/>
      <c r="BJ90" s="11"/>
      <c r="BK90" s="11"/>
      <c r="BL90" s="11"/>
    </row>
    <row r="91" spans="1:64" x14ac:dyDescent="0.25">
      <c r="A91" s="911"/>
      <c r="B91" s="911"/>
      <c r="C91" s="911"/>
      <c r="D91" s="911"/>
      <c r="E91" s="911"/>
      <c r="F91" s="911"/>
      <c r="G91" s="911"/>
      <c r="H91" s="911"/>
      <c r="I91" s="911"/>
      <c r="J91" s="911"/>
      <c r="K91" s="911"/>
      <c r="L91" s="911"/>
      <c r="M91" s="911"/>
      <c r="N91" s="911"/>
      <c r="O91" s="911"/>
      <c r="P91" s="911"/>
      <c r="Q91" s="911"/>
      <c r="R91" s="911"/>
      <c r="S91" s="911"/>
      <c r="T91" s="911"/>
      <c r="U91" s="911"/>
      <c r="V91" s="911"/>
      <c r="W91" s="11"/>
      <c r="X91" s="11"/>
      <c r="Y91" s="11"/>
      <c r="Z91" s="11"/>
      <c r="AA91" s="11"/>
      <c r="AB91" s="11"/>
      <c r="AC91" s="11"/>
      <c r="AD91" s="11"/>
      <c r="AE91" s="11"/>
      <c r="AF91" s="11"/>
      <c r="AG91" s="11"/>
      <c r="AH91" s="11"/>
      <c r="AI91" s="11"/>
      <c r="AJ91" s="11"/>
      <c r="AK91" s="11"/>
      <c r="AL91" s="11"/>
      <c r="AM91" s="11"/>
      <c r="AN91" s="11"/>
      <c r="AO91" s="11"/>
      <c r="AP91" s="11"/>
      <c r="AQ91" s="11"/>
      <c r="AR91" s="11"/>
      <c r="AS91" s="11"/>
      <c r="AT91" s="11"/>
      <c r="AU91" s="11"/>
      <c r="AV91" s="11"/>
      <c r="AW91" s="11"/>
      <c r="AX91" s="11"/>
      <c r="AY91" s="11"/>
      <c r="AZ91" s="11"/>
      <c r="BA91" s="11"/>
      <c r="BB91" s="11"/>
      <c r="BC91" s="11"/>
      <c r="BD91" s="11"/>
      <c r="BE91" s="11"/>
      <c r="BF91" s="11"/>
      <c r="BG91" s="11"/>
      <c r="BH91" s="11"/>
      <c r="BI91" s="11"/>
      <c r="BJ91" s="11"/>
      <c r="BK91" s="11"/>
      <c r="BL91" s="11"/>
    </row>
    <row r="92" spans="1:64" x14ac:dyDescent="0.25">
      <c r="A92" s="911"/>
      <c r="B92" s="911"/>
      <c r="C92" s="911"/>
      <c r="D92" s="911"/>
      <c r="E92" s="911"/>
      <c r="F92" s="911"/>
      <c r="G92" s="911"/>
      <c r="H92" s="911"/>
      <c r="I92" s="911"/>
      <c r="J92" s="911"/>
      <c r="K92" s="911"/>
      <c r="L92" s="911"/>
      <c r="M92" s="911"/>
      <c r="N92" s="911"/>
      <c r="O92" s="911"/>
      <c r="P92" s="911"/>
      <c r="Q92" s="911"/>
      <c r="R92" s="911"/>
      <c r="S92" s="911"/>
      <c r="T92" s="911"/>
      <c r="U92" s="911"/>
      <c r="V92" s="911"/>
      <c r="W92" s="11"/>
      <c r="X92" s="11"/>
      <c r="Y92" s="11"/>
      <c r="Z92" s="11"/>
      <c r="AA92" s="11"/>
      <c r="AB92" s="11"/>
      <c r="AC92" s="11"/>
      <c r="AD92" s="11"/>
      <c r="AE92" s="11"/>
      <c r="AF92" s="11"/>
      <c r="AG92" s="11"/>
      <c r="AH92" s="11"/>
      <c r="AI92" s="11"/>
      <c r="AJ92" s="11"/>
      <c r="AK92" s="11"/>
      <c r="AL92" s="11"/>
      <c r="AM92" s="11"/>
      <c r="AN92" s="11"/>
      <c r="AO92" s="11"/>
      <c r="AP92" s="11"/>
      <c r="AQ92" s="11"/>
      <c r="AR92" s="11"/>
      <c r="AS92" s="11"/>
      <c r="AT92" s="11"/>
      <c r="AU92" s="11"/>
      <c r="AV92" s="11"/>
      <c r="AW92" s="11"/>
      <c r="AX92" s="11"/>
      <c r="AY92" s="11"/>
      <c r="AZ92" s="11"/>
      <c r="BA92" s="11"/>
      <c r="BB92" s="11"/>
      <c r="BC92" s="11"/>
      <c r="BD92" s="11"/>
      <c r="BE92" s="11"/>
      <c r="BF92" s="11"/>
      <c r="BG92" s="11"/>
      <c r="BH92" s="11"/>
      <c r="BI92" s="11"/>
      <c r="BJ92" s="11"/>
      <c r="BK92" s="11"/>
      <c r="BL92" s="11"/>
    </row>
    <row r="93" spans="1:64" x14ac:dyDescent="0.25">
      <c r="A93" s="911"/>
      <c r="B93" s="911"/>
      <c r="C93" s="911"/>
      <c r="D93" s="911"/>
      <c r="E93" s="911"/>
      <c r="F93" s="911"/>
      <c r="G93" s="911"/>
      <c r="H93" s="911"/>
      <c r="I93" s="911"/>
      <c r="J93" s="911"/>
      <c r="K93" s="911"/>
      <c r="L93" s="911"/>
      <c r="M93" s="911"/>
      <c r="N93" s="911"/>
      <c r="O93" s="911"/>
      <c r="P93" s="911"/>
      <c r="Q93" s="911"/>
      <c r="R93" s="911"/>
      <c r="S93" s="911"/>
      <c r="T93" s="911"/>
      <c r="U93" s="911"/>
      <c r="V93" s="911"/>
      <c r="W93" s="11"/>
      <c r="X93" s="11"/>
      <c r="Y93" s="11"/>
      <c r="Z93" s="11"/>
      <c r="AA93" s="11"/>
      <c r="AB93" s="11"/>
      <c r="AC93" s="11"/>
      <c r="AD93" s="11"/>
      <c r="AE93" s="11"/>
      <c r="AF93" s="11"/>
      <c r="AG93" s="11"/>
      <c r="AH93" s="11"/>
      <c r="AI93" s="11"/>
      <c r="AJ93" s="11"/>
      <c r="AK93" s="11"/>
      <c r="AL93" s="11"/>
      <c r="AM93" s="11"/>
      <c r="AN93" s="11"/>
      <c r="AO93" s="11"/>
      <c r="AP93" s="11"/>
      <c r="AQ93" s="11"/>
      <c r="AR93" s="11"/>
      <c r="AS93" s="11"/>
      <c r="AT93" s="11"/>
      <c r="AU93" s="11"/>
      <c r="AV93" s="11"/>
      <c r="AW93" s="11"/>
      <c r="AX93" s="11"/>
      <c r="AY93" s="11"/>
      <c r="AZ93" s="11"/>
      <c r="BA93" s="11"/>
      <c r="BB93" s="11"/>
      <c r="BC93" s="11"/>
      <c r="BD93" s="11"/>
      <c r="BE93" s="11"/>
      <c r="BF93" s="11"/>
      <c r="BG93" s="11"/>
      <c r="BH93" s="11"/>
      <c r="BI93" s="11"/>
      <c r="BJ93" s="11"/>
      <c r="BK93" s="11"/>
      <c r="BL93" s="11"/>
    </row>
    <row r="94" spans="1:64" x14ac:dyDescent="0.25">
      <c r="A94" s="911"/>
      <c r="B94" s="911"/>
      <c r="C94" s="911"/>
      <c r="D94" s="911"/>
      <c r="E94" s="911"/>
      <c r="F94" s="911"/>
      <c r="G94" s="911"/>
      <c r="H94" s="911"/>
      <c r="I94" s="911"/>
      <c r="J94" s="911"/>
      <c r="K94" s="911"/>
      <c r="L94" s="911"/>
      <c r="M94" s="911"/>
      <c r="N94" s="911"/>
      <c r="O94" s="911"/>
      <c r="P94" s="911"/>
      <c r="Q94" s="911"/>
      <c r="R94" s="911"/>
      <c r="S94" s="911"/>
      <c r="T94" s="911"/>
      <c r="U94" s="911"/>
      <c r="V94" s="911"/>
      <c r="W94" s="11"/>
      <c r="X94" s="11"/>
      <c r="Y94" s="11"/>
      <c r="Z94" s="11"/>
      <c r="AA94" s="11"/>
      <c r="AB94" s="11"/>
      <c r="AC94" s="11"/>
      <c r="AD94" s="11"/>
      <c r="AE94" s="11"/>
      <c r="AF94" s="11"/>
      <c r="AG94" s="11"/>
      <c r="AH94" s="11"/>
      <c r="AI94" s="11"/>
      <c r="AJ94" s="11"/>
      <c r="AK94" s="11"/>
      <c r="AL94" s="11"/>
      <c r="AM94" s="11"/>
      <c r="AN94" s="11"/>
      <c r="AO94" s="11"/>
      <c r="AP94" s="11"/>
      <c r="AQ94" s="11"/>
      <c r="AR94" s="11"/>
      <c r="AS94" s="11"/>
      <c r="AT94" s="11"/>
      <c r="AU94" s="11"/>
      <c r="AV94" s="11"/>
      <c r="AW94" s="11"/>
      <c r="AX94" s="11"/>
      <c r="AY94" s="11"/>
      <c r="AZ94" s="11"/>
      <c r="BA94" s="11"/>
      <c r="BB94" s="11"/>
      <c r="BC94" s="11"/>
      <c r="BD94" s="11"/>
      <c r="BE94" s="11"/>
      <c r="BF94" s="11"/>
      <c r="BG94" s="11"/>
      <c r="BH94" s="11"/>
      <c r="BI94" s="11"/>
      <c r="BJ94" s="11"/>
      <c r="BK94" s="11"/>
      <c r="BL94" s="11"/>
    </row>
    <row r="95" spans="1:64" x14ac:dyDescent="0.25">
      <c r="A95" s="911"/>
      <c r="B95" s="911"/>
      <c r="C95" s="911"/>
      <c r="D95" s="911"/>
      <c r="E95" s="911"/>
      <c r="F95" s="911"/>
      <c r="G95" s="911"/>
      <c r="H95" s="911"/>
      <c r="I95" s="911"/>
      <c r="J95" s="911"/>
      <c r="K95" s="911"/>
      <c r="L95" s="911"/>
      <c r="M95" s="911"/>
      <c r="N95" s="911"/>
      <c r="O95" s="911"/>
      <c r="P95" s="911"/>
      <c r="Q95" s="911"/>
      <c r="R95" s="911"/>
      <c r="S95" s="911"/>
      <c r="T95" s="911"/>
      <c r="U95" s="911"/>
      <c r="V95" s="911"/>
      <c r="W95" s="11"/>
      <c r="X95" s="11"/>
      <c r="Y95" s="11"/>
      <c r="Z95" s="11"/>
      <c r="AA95" s="11"/>
      <c r="AB95" s="11"/>
      <c r="AC95" s="11"/>
      <c r="AD95" s="11"/>
      <c r="AE95" s="11"/>
      <c r="AF95" s="11"/>
      <c r="AG95" s="11"/>
      <c r="AH95" s="11"/>
      <c r="AI95" s="11"/>
      <c r="AJ95" s="11"/>
      <c r="AK95" s="11"/>
      <c r="AL95" s="11"/>
      <c r="AM95" s="11"/>
      <c r="AN95" s="11"/>
      <c r="AO95" s="11"/>
      <c r="AP95" s="11"/>
      <c r="AQ95" s="11"/>
      <c r="AR95" s="11"/>
      <c r="AS95" s="11"/>
      <c r="AT95" s="11"/>
      <c r="AU95" s="11"/>
      <c r="AV95" s="11"/>
      <c r="AW95" s="11"/>
      <c r="AX95" s="11"/>
      <c r="AY95" s="11"/>
      <c r="AZ95" s="11"/>
      <c r="BA95" s="11"/>
      <c r="BB95" s="11"/>
      <c r="BC95" s="11"/>
      <c r="BD95" s="11"/>
      <c r="BE95" s="11"/>
      <c r="BF95" s="11"/>
      <c r="BG95" s="11"/>
      <c r="BH95" s="11"/>
      <c r="BI95" s="11"/>
      <c r="BJ95" s="11"/>
      <c r="BK95" s="11"/>
      <c r="BL95" s="11"/>
    </row>
    <row r="96" spans="1:64" x14ac:dyDescent="0.25">
      <c r="A96" s="911"/>
      <c r="B96" s="911"/>
      <c r="C96" s="911"/>
      <c r="D96" s="911"/>
      <c r="E96" s="911"/>
      <c r="F96" s="911"/>
      <c r="G96" s="911"/>
      <c r="H96" s="911"/>
      <c r="I96" s="911"/>
      <c r="J96" s="911"/>
      <c r="K96" s="911"/>
      <c r="L96" s="911"/>
      <c r="M96" s="911"/>
      <c r="N96" s="911"/>
      <c r="O96" s="911"/>
      <c r="P96" s="911"/>
      <c r="Q96" s="911"/>
      <c r="R96" s="911"/>
      <c r="S96" s="911"/>
      <c r="T96" s="911"/>
      <c r="U96" s="911"/>
      <c r="V96" s="911"/>
      <c r="W96" s="11"/>
      <c r="X96" s="11"/>
      <c r="Y96" s="11"/>
      <c r="Z96" s="11"/>
      <c r="AA96" s="11"/>
      <c r="AB96" s="11"/>
      <c r="AC96" s="11"/>
      <c r="AD96" s="11"/>
      <c r="AE96" s="11"/>
      <c r="AF96" s="11"/>
      <c r="AG96" s="11"/>
      <c r="AH96" s="11"/>
      <c r="AI96" s="11"/>
      <c r="AJ96" s="11"/>
      <c r="AK96" s="11"/>
      <c r="AL96" s="11"/>
      <c r="AM96" s="11"/>
      <c r="AN96" s="11"/>
      <c r="AO96" s="11"/>
      <c r="AP96" s="11"/>
      <c r="AQ96" s="11"/>
      <c r="AR96" s="11"/>
      <c r="AS96" s="11"/>
      <c r="AT96" s="11"/>
      <c r="AU96" s="11"/>
      <c r="AV96" s="11"/>
      <c r="AW96" s="11"/>
      <c r="AX96" s="11"/>
      <c r="AY96" s="11"/>
      <c r="AZ96" s="11"/>
      <c r="BA96" s="11"/>
      <c r="BB96" s="11"/>
      <c r="BC96" s="11"/>
      <c r="BD96" s="11"/>
      <c r="BE96" s="11"/>
      <c r="BF96" s="11"/>
      <c r="BG96" s="11"/>
      <c r="BH96" s="11"/>
      <c r="BI96" s="11"/>
      <c r="BJ96" s="11"/>
      <c r="BK96" s="11"/>
      <c r="BL96" s="11"/>
    </row>
    <row r="97" spans="1:64" x14ac:dyDescent="0.25">
      <c r="A97" s="11"/>
      <c r="B97" s="11"/>
      <c r="C97" s="11"/>
      <c r="D97" s="11"/>
      <c r="E97" s="11"/>
      <c r="F97" s="11"/>
      <c r="G97" s="11"/>
      <c r="H97" s="11"/>
      <c r="I97" s="11"/>
      <c r="J97" s="11"/>
      <c r="K97" s="11"/>
      <c r="L97" s="11"/>
      <c r="M97" s="276" t="str">
        <f>IF($A97&gt;CoStar_RowOffset_Master,HLOOKUP(CONCATENATE("  ",'MS Data'!D$3),CoStar01Array,$A97,FALSE),"")</f>
        <v/>
      </c>
      <c r="N97" s="276"/>
      <c r="O97" s="2383"/>
      <c r="P97" s="2383"/>
      <c r="Q97" s="2383"/>
      <c r="R97" s="11"/>
      <c r="S97" s="2271" t="str">
        <f>IFERROR(IF($A97&gt;CoStar_RowOffset_Master,HLOOKUP(CoStar_Col5_Selection,CoStar03Array,$A97,FALSE),""),1)</f>
        <v/>
      </c>
      <c r="T97" s="11"/>
      <c r="U97" s="11"/>
      <c r="V97" s="11"/>
      <c r="W97" s="11"/>
      <c r="X97" s="11"/>
      <c r="Y97" s="11"/>
      <c r="Z97" s="11"/>
      <c r="AA97" s="11"/>
      <c r="AB97" s="11"/>
      <c r="AC97" s="11"/>
      <c r="AD97" s="11"/>
      <c r="AE97" s="11"/>
      <c r="AF97" s="11"/>
      <c r="AG97" s="11"/>
      <c r="AH97" s="11"/>
      <c r="AI97" s="11"/>
      <c r="AJ97" s="11"/>
      <c r="AK97" s="11"/>
      <c r="AL97" s="11"/>
      <c r="AM97" s="11"/>
      <c r="AN97" s="11"/>
      <c r="AO97" s="11"/>
      <c r="AP97" s="11"/>
      <c r="AQ97" s="11"/>
      <c r="AR97" s="11"/>
      <c r="AS97" s="11"/>
      <c r="AT97" s="11"/>
      <c r="AU97" s="11"/>
      <c r="AV97" s="11"/>
      <c r="AW97" s="11"/>
      <c r="AX97" s="11"/>
      <c r="AY97" s="11"/>
      <c r="AZ97" s="11"/>
      <c r="BA97" s="11"/>
      <c r="BB97" s="11"/>
      <c r="BC97" s="11"/>
      <c r="BD97" s="11"/>
      <c r="BE97" s="11"/>
      <c r="BF97" s="11"/>
      <c r="BG97" s="11"/>
      <c r="BH97" s="11"/>
      <c r="BI97" s="11"/>
      <c r="BJ97" s="11"/>
      <c r="BK97" s="11"/>
      <c r="BL97" s="11"/>
    </row>
    <row r="98" spans="1:64" x14ac:dyDescent="0.25">
      <c r="A98" s="11"/>
      <c r="B98" s="11"/>
      <c r="C98" s="11"/>
      <c r="D98" s="11"/>
      <c r="E98" s="11"/>
      <c r="F98" s="11"/>
      <c r="G98" s="11"/>
      <c r="H98" s="11"/>
      <c r="I98" s="11"/>
      <c r="J98" s="11"/>
      <c r="K98" s="11"/>
      <c r="L98" s="11"/>
      <c r="M98" s="276" t="str">
        <f>IF($A98&gt;CoStar_RowOffset_Master,HLOOKUP(CONCATENATE("  ",'MS Data'!D$3),CoStar01Array,$A98,FALSE),"")</f>
        <v/>
      </c>
      <c r="N98" s="276"/>
      <c r="O98" s="2383"/>
      <c r="P98" s="2383"/>
      <c r="Q98" s="2383"/>
      <c r="R98" s="11"/>
      <c r="S98" s="11"/>
      <c r="T98" s="11"/>
      <c r="U98" s="11"/>
      <c r="V98" s="11"/>
      <c r="W98" s="11"/>
      <c r="X98" s="11"/>
      <c r="Y98" s="11"/>
      <c r="Z98" s="11"/>
      <c r="AA98" s="11"/>
      <c r="AB98" s="11"/>
      <c r="AC98" s="11"/>
      <c r="AD98" s="11"/>
      <c r="AE98" s="11"/>
      <c r="AF98" s="11"/>
      <c r="AG98" s="11"/>
      <c r="AH98" s="11"/>
      <c r="AI98" s="11"/>
      <c r="AJ98" s="11"/>
      <c r="AK98" s="11"/>
      <c r="AL98" s="11"/>
      <c r="AM98" s="11"/>
      <c r="AN98" s="11"/>
      <c r="AO98" s="11"/>
      <c r="AP98" s="11"/>
      <c r="AQ98" s="11"/>
      <c r="AR98" s="11"/>
      <c r="AS98" s="11"/>
      <c r="AT98" s="11"/>
      <c r="AU98" s="11"/>
      <c r="AV98" s="11"/>
      <c r="AW98" s="11"/>
      <c r="AX98" s="11"/>
      <c r="AY98" s="11"/>
      <c r="AZ98" s="11"/>
      <c r="BA98" s="11"/>
      <c r="BB98" s="11"/>
      <c r="BC98" s="11"/>
      <c r="BD98" s="11"/>
      <c r="BE98" s="11"/>
      <c r="BF98" s="11"/>
      <c r="BG98" s="11"/>
      <c r="BH98" s="11"/>
      <c r="BI98" s="11"/>
      <c r="BJ98" s="11"/>
      <c r="BK98" s="11"/>
      <c r="BL98" s="11"/>
    </row>
    <row r="99" spans="1:64" x14ac:dyDescent="0.25">
      <c r="A99" s="11"/>
      <c r="B99" s="11"/>
      <c r="C99" s="11"/>
      <c r="D99" s="11"/>
      <c r="E99" s="11"/>
      <c r="F99" s="11"/>
      <c r="G99" s="11"/>
      <c r="H99" s="11"/>
      <c r="I99" s="11"/>
      <c r="J99" s="11"/>
      <c r="K99" s="11"/>
      <c r="L99" s="11"/>
      <c r="M99" s="276" t="str">
        <f>IF($A99&gt;CoStar_RowOffset_Master,HLOOKUP(CONCATENATE("  ",'MS Data'!D$3),CoStar01Array,$A99,FALSE),"")</f>
        <v/>
      </c>
      <c r="N99" s="276"/>
      <c r="O99" s="11"/>
      <c r="P99" s="2383"/>
      <c r="Q99" s="2383"/>
      <c r="R99" s="11"/>
      <c r="S99" s="11"/>
      <c r="T99" s="11"/>
      <c r="U99" s="11"/>
      <c r="V99" s="11"/>
      <c r="W99" s="11"/>
      <c r="X99" s="11"/>
      <c r="Y99" s="11"/>
      <c r="Z99" s="11"/>
      <c r="AA99" s="11"/>
      <c r="AB99" s="11"/>
      <c r="AC99" s="11"/>
      <c r="AD99" s="11"/>
      <c r="AE99" s="11"/>
      <c r="AF99" s="11"/>
      <c r="AG99" s="11"/>
      <c r="AH99" s="11"/>
      <c r="AI99" s="11"/>
      <c r="AJ99" s="11"/>
      <c r="AK99" s="11"/>
      <c r="AL99" s="11"/>
      <c r="AM99" s="11"/>
      <c r="AN99" s="11"/>
      <c r="AO99" s="11"/>
      <c r="AP99" s="11"/>
      <c r="AQ99" s="11"/>
      <c r="AR99" s="11"/>
      <c r="AS99" s="11"/>
      <c r="AT99" s="11"/>
      <c r="AU99" s="11"/>
      <c r="AV99" s="11"/>
      <c r="AW99" s="11"/>
      <c r="AX99" s="11"/>
      <c r="AY99" s="11"/>
      <c r="AZ99" s="11"/>
      <c r="BA99" s="11"/>
      <c r="BB99" s="11"/>
      <c r="BC99" s="11"/>
      <c r="BD99" s="11"/>
      <c r="BE99" s="11"/>
      <c r="BF99" s="11"/>
      <c r="BG99" s="11"/>
      <c r="BH99" s="11"/>
      <c r="BI99" s="11"/>
      <c r="BJ99" s="11"/>
      <c r="BK99" s="11"/>
      <c r="BL99" s="11"/>
    </row>
    <row r="100" spans="1:64" x14ac:dyDescent="0.25">
      <c r="A100" s="11"/>
      <c r="B100" s="11"/>
      <c r="C100" s="11"/>
      <c r="D100" s="11"/>
      <c r="E100" s="11"/>
      <c r="F100" s="11"/>
      <c r="G100" s="11"/>
      <c r="H100" s="11"/>
      <c r="I100" s="11"/>
      <c r="J100" s="11"/>
      <c r="K100" s="11"/>
      <c r="L100" s="11"/>
      <c r="M100" s="276" t="str">
        <f>IF($A100&gt;CoStar_RowOffset_Master,HLOOKUP(CONCATENATE("  ",'MS Data'!D$3),CoStar01Array,$A100,FALSE),"")</f>
        <v/>
      </c>
      <c r="N100" s="276"/>
      <c r="O100" s="11"/>
      <c r="P100" s="2383"/>
      <c r="Q100" s="2383"/>
      <c r="R100" s="11"/>
      <c r="S100" s="11"/>
      <c r="T100" s="11"/>
      <c r="U100" s="11"/>
      <c r="V100" s="11"/>
      <c r="W100" s="11"/>
      <c r="X100" s="11"/>
      <c r="Y100" s="11"/>
      <c r="Z100" s="11"/>
      <c r="AA100" s="11"/>
      <c r="AB100" s="11"/>
      <c r="AC100" s="11"/>
      <c r="AD100" s="11"/>
      <c r="AE100" s="11"/>
      <c r="AF100" s="11"/>
      <c r="AG100" s="11"/>
      <c r="AH100" s="11"/>
      <c r="AI100" s="11"/>
      <c r="AJ100" s="11"/>
      <c r="AK100" s="11"/>
      <c r="AL100" s="11"/>
      <c r="AM100" s="11"/>
      <c r="AN100" s="11"/>
      <c r="AO100" s="11"/>
      <c r="AP100" s="11"/>
      <c r="AQ100" s="11"/>
      <c r="AR100" s="11"/>
      <c r="AS100" s="11"/>
      <c r="AT100" s="11"/>
      <c r="AU100" s="11"/>
      <c r="AV100" s="11"/>
      <c r="AW100" s="11"/>
      <c r="AX100" s="11"/>
      <c r="AY100" s="11"/>
      <c r="AZ100" s="11"/>
      <c r="BA100" s="11"/>
      <c r="BB100" s="11"/>
      <c r="BC100" s="11"/>
      <c r="BD100" s="11"/>
      <c r="BE100" s="11"/>
      <c r="BF100" s="11"/>
      <c r="BG100" s="11"/>
      <c r="BH100" s="11"/>
      <c r="BI100" s="11"/>
      <c r="BJ100" s="11"/>
      <c r="BK100" s="11"/>
      <c r="BL100" s="11"/>
    </row>
  </sheetData>
  <mergeCells count="44">
    <mergeCell ref="G46:G47"/>
    <mergeCell ref="H46:H47"/>
    <mergeCell ref="E3:F3"/>
    <mergeCell ref="E4:F4"/>
    <mergeCell ref="E5:F5"/>
    <mergeCell ref="E6:F6"/>
    <mergeCell ref="F12:I13"/>
    <mergeCell ref="E8:H8"/>
    <mergeCell ref="E9:H9"/>
    <mergeCell ref="E10:H10"/>
    <mergeCell ref="E11:H11"/>
    <mergeCell ref="G20:G21"/>
    <mergeCell ref="H20:H21"/>
    <mergeCell ref="O3:P3"/>
    <mergeCell ref="O2:P2"/>
    <mergeCell ref="M1:M2"/>
    <mergeCell ref="L14:M14"/>
    <mergeCell ref="L13:M13"/>
    <mergeCell ref="L12:M12"/>
    <mergeCell ref="L11:M11"/>
    <mergeCell ref="N6:P6"/>
    <mergeCell ref="Q6:S6"/>
    <mergeCell ref="L7:M7"/>
    <mergeCell ref="L10:M10"/>
    <mergeCell ref="L9:M9"/>
    <mergeCell ref="L8:M8"/>
    <mergeCell ref="X15:Y15"/>
    <mergeCell ref="X16:Y16"/>
    <mergeCell ref="X17:Y17"/>
    <mergeCell ref="X18:Y18"/>
    <mergeCell ref="L18:M18"/>
    <mergeCell ref="L17:M17"/>
    <mergeCell ref="L16:M16"/>
    <mergeCell ref="L15:M15"/>
    <mergeCell ref="X10:Y10"/>
    <mergeCell ref="X11:Y11"/>
    <mergeCell ref="X12:Y12"/>
    <mergeCell ref="X13:Y13"/>
    <mergeCell ref="X14:Y14"/>
    <mergeCell ref="Z6:AB6"/>
    <mergeCell ref="AC6:AE6"/>
    <mergeCell ref="X7:Y7"/>
    <mergeCell ref="X8:Y8"/>
    <mergeCell ref="X9:Y9"/>
  </mergeCells>
  <conditionalFormatting sqref="O19:S19">
    <cfRule type="expression" dxfId="73" priority="76">
      <formula>AVERAGE(HLOOKUP("Inventory SF",CoStar01Array,#REF!,FALSE),HLOOKUP("Inventory SF",CoStar01Array,#REF!,FALSE),HLOOKUP("Inventory SF",CoStar01Array,#REF!,FALSE),HLOOKUP("Inventory SF",CoStar01Array,#REF!,FALSE),HLOOKUP("Inventory SF",CoStar01Array,#REF!,FALSE))&gt;999999</formula>
    </cfRule>
    <cfRule type="expression" dxfId="72" priority="77">
      <formula>AVERAGE(HLOOKUP("Inventory SF",CoStar01Array,#REF!,FALSE),HLOOKUP("Inventory SF",CoStar01Array,#REF!,FALSE),HLOOKUP("Inventory SF",CoStar01Array,#REF!,FALSE),HLOOKUP("Inventory SF",CoStar01Array,#REF!,FALSE),HLOOKUP("Inventory SF",CoStar01Array,#REF!,FALSE))&lt;1000000</formula>
    </cfRule>
  </conditionalFormatting>
  <conditionalFormatting sqref="AA19:AE19">
    <cfRule type="expression" dxfId="71" priority="1">
      <formula>AVERAGE(HLOOKUP("Inventory SF",CoStar01Array,#REF!,FALSE),HLOOKUP("Inventory SF",CoStar01Array,#REF!,FALSE),HLOOKUP("Inventory SF",CoStar01Array,#REF!,FALSE),HLOOKUP("Inventory SF",CoStar01Array,#REF!,FALSE),HLOOKUP("Inventory SF",CoStar01Array,#REF!,FALSE))&gt;999999</formula>
    </cfRule>
    <cfRule type="expression" dxfId="70" priority="2">
      <formula>AVERAGE(HLOOKUP("Inventory SF",CoStar01Array,#REF!,FALSE),HLOOKUP("Inventory SF",CoStar01Array,#REF!,FALSE),HLOOKUP("Inventory SF",CoStar01Array,#REF!,FALSE),HLOOKUP("Inventory SF",CoStar01Array,#REF!,FALSE),HLOOKUP("Inventory SF",CoStar01Array,#REF!,FALSE))&lt;1000000</formula>
    </cfRule>
  </conditionalFormatting>
  <dataValidations xWindow="580" yWindow="821" count="7">
    <dataValidation type="list" allowBlank="1" showInputMessage="1" showErrorMessage="1" error="Please Pick From List!" promptTitle="Quarterly Interval Selection" prompt="Pick Desired Quarterly Interval for Data Tables" sqref="E13 O3 G22 G48" xr:uid="{1B3B7E53-F943-46AC-A01D-1767C52882C7}">
      <formula1>QuarterlyInterval_List</formula1>
    </dataValidation>
    <dataValidation type="list" allowBlank="1" showInputMessage="1" showErrorMessage="1" error="Must Select From List" promptTitle="Category Selection" prompt="Make Category Selection" sqref="Q6 N6 D27 D29 D40 D42 D53 D56 E8:E11 AC6 Z6 D66 D69" xr:uid="{1D7E7C94-5E24-4B69-B327-E799288C8A9C}">
      <formula1>CoStar_DataSet_List</formula1>
    </dataValidation>
    <dataValidation type="list" allowBlank="1" showInputMessage="1" showErrorMessage="1" error="Must Select From List" promptTitle="Category Selection" prompt="Make Category Selection" sqref="D21" xr:uid="{C3D10AF4-BFB8-4985-B675-B8EF1B1C2FF6}">
      <formula1>Chart_RentalRates_List_1A</formula1>
    </dataValidation>
    <dataValidation type="list" allowBlank="1" showInputMessage="1" showErrorMessage="1" error="Must Select From List" promptTitle="Category Selection" prompt="Make Category Selection" sqref="D22" xr:uid="{48BDEEAE-C850-4FDA-AFA7-827C9F0240D4}">
      <formula1>Chart_RentalRates_List_1B</formula1>
    </dataValidation>
    <dataValidation type="list" allowBlank="1" showInputMessage="1" showErrorMessage="1" error="Must Select From List" promptTitle="Category Selection" prompt="Make Category Selection" sqref="D34" xr:uid="{1F3FFC92-A68A-44C3-9EC1-506678028162}">
      <formula1>Chart_RentalRates_List_2A</formula1>
    </dataValidation>
    <dataValidation type="list" allowBlank="1" showInputMessage="1" showErrorMessage="1" error="Must Select From List" promptTitle="Category Selection" prompt="Make Category Selection" sqref="D35" xr:uid="{48D2005F-21E4-47A0-BBC4-9A3CC58597FD}">
      <formula1>Chart_RentalRates_List_2B</formula1>
    </dataValidation>
    <dataValidation type="list" allowBlank="1" showInputMessage="1" showErrorMessage="1" error="Must Select From List" promptTitle="Category Selection" prompt="Make Category Selection" sqref="D48" xr:uid="{C876272F-1055-450B-A6E7-CA40F62343EB}">
      <formula1>Chart_VacancyOptions_List</formula1>
    </dataValidation>
  </dataValidation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52008" r:id="rId4" name="CoStar_Inventory_Spinner">
              <controlPr defaultSize="0" autoPict="0">
                <anchor moveWithCells="1">
                  <from>
                    <xdr:col>13</xdr:col>
                    <xdr:colOff>28575</xdr:colOff>
                    <xdr:row>1</xdr:row>
                    <xdr:rowOff>228600</xdr:rowOff>
                  </from>
                  <to>
                    <xdr:col>13</xdr:col>
                    <xdr:colOff>533400</xdr:colOff>
                    <xdr:row>2</xdr:row>
                    <xdr:rowOff>171450</xdr:rowOff>
                  </to>
                </anchor>
              </controlPr>
            </control>
          </mc:Choice>
        </mc:AlternateContent>
        <mc:AlternateContent xmlns:mc="http://schemas.openxmlformats.org/markup-compatibility/2006">
          <mc:Choice Requires="x14">
            <control shapeId="1152021" r:id="rId5" name="Spinner 21">
              <controlPr defaultSize="0" autoPict="0">
                <anchor moveWithCells="1">
                  <from>
                    <xdr:col>5</xdr:col>
                    <xdr:colOff>38100</xdr:colOff>
                    <xdr:row>20</xdr:row>
                    <xdr:rowOff>38100</xdr:rowOff>
                  </from>
                  <to>
                    <xdr:col>6</xdr:col>
                    <xdr:colOff>0</xdr:colOff>
                    <xdr:row>21</xdr:row>
                    <xdr:rowOff>180975</xdr:rowOff>
                  </to>
                </anchor>
              </controlPr>
            </control>
          </mc:Choice>
        </mc:AlternateContent>
        <mc:AlternateContent xmlns:mc="http://schemas.openxmlformats.org/markup-compatibility/2006">
          <mc:Choice Requires="x14">
            <control shapeId="1152041" r:id="rId6" name="Spinner 41">
              <controlPr defaultSize="0" autoPict="0">
                <anchor moveWithCells="1">
                  <from>
                    <xdr:col>5</xdr:col>
                    <xdr:colOff>38100</xdr:colOff>
                    <xdr:row>46</xdr:row>
                    <xdr:rowOff>38100</xdr:rowOff>
                  </from>
                  <to>
                    <xdr:col>6</xdr:col>
                    <xdr:colOff>0</xdr:colOff>
                    <xdr:row>47</xdr:row>
                    <xdr:rowOff>180975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E94C5-106F-4A4B-A04E-B63C052CA019}">
  <sheetPr codeName="Sheet95">
    <tabColor theme="4"/>
  </sheetPr>
  <dimension ref="A1:BO160"/>
  <sheetViews>
    <sheetView topLeftCell="A2" zoomScaleNormal="100" workbookViewId="0">
      <selection activeCell="AE4" sqref="AE4:AE82"/>
    </sheetView>
  </sheetViews>
  <sheetFormatPr defaultColWidth="9" defaultRowHeight="14.25" x14ac:dyDescent="0.25"/>
  <cols>
    <col min="1" max="3" width="5.5703125" style="2397" customWidth="1"/>
    <col min="4" max="4" width="8.5703125" style="2397" customWidth="1"/>
    <col min="5" max="16" width="9.7109375" style="2397" customWidth="1"/>
    <col min="17" max="17" width="1.7109375" style="2397" customWidth="1"/>
    <col min="18" max="29" width="12.7109375" style="2397" customWidth="1"/>
    <col min="30" max="31" width="9.5703125" style="2397" customWidth="1"/>
    <col min="32" max="43" width="9.7109375" style="2397" customWidth="1"/>
    <col min="44" max="44" width="1.7109375" style="2397" customWidth="1"/>
    <col min="45" max="45" width="10.7109375" style="2397" customWidth="1"/>
    <col min="46" max="47" width="12.7109375" style="2397" customWidth="1"/>
    <col min="48" max="48" width="10.7109375" style="2397" customWidth="1"/>
    <col min="49" max="56" width="12.7109375" style="2397" customWidth="1"/>
    <col min="57" max="58" width="9" style="2397"/>
    <col min="59" max="62" width="14.7109375" style="2397" customWidth="1"/>
    <col min="63" max="63" width="1.7109375" style="2397" customWidth="1"/>
    <col min="64" max="67" width="14.7109375" style="2397" customWidth="1"/>
    <col min="68" max="16384" width="9" style="2397"/>
  </cols>
  <sheetData>
    <row r="1" spans="1:67" x14ac:dyDescent="0.25">
      <c r="AR1" s="54"/>
      <c r="BH1" s="2406"/>
      <c r="BK1" s="54"/>
    </row>
    <row r="2" spans="1:67" ht="33" customHeight="1" x14ac:dyDescent="0.3">
      <c r="C2" s="54"/>
      <c r="D2" s="2456"/>
      <c r="E2" s="4139" t="s">
        <v>1079</v>
      </c>
      <c r="F2" s="4135"/>
      <c r="G2" s="4135"/>
      <c r="H2" s="4135"/>
      <c r="I2" s="4134" t="s">
        <v>1080</v>
      </c>
      <c r="J2" s="4135"/>
      <c r="K2" s="4135"/>
      <c r="L2" s="4136"/>
      <c r="M2" s="4135" t="s">
        <v>1084</v>
      </c>
      <c r="N2" s="4135"/>
      <c r="O2" s="4135"/>
      <c r="P2" s="4135"/>
      <c r="Q2" s="2452"/>
      <c r="R2" s="4137" t="s">
        <v>18062</v>
      </c>
      <c r="S2" s="4137"/>
      <c r="T2" s="4137"/>
      <c r="U2" s="4137"/>
      <c r="V2" s="4137"/>
      <c r="W2" s="4138"/>
      <c r="X2" s="4141" t="s">
        <v>18072</v>
      </c>
      <c r="Y2" s="4141"/>
      <c r="Z2" s="4141"/>
      <c r="AA2" s="4141"/>
      <c r="AB2" s="4141"/>
      <c r="AC2" s="4141"/>
      <c r="AD2" s="2421"/>
      <c r="AE2" s="2421"/>
      <c r="AF2" s="4140" t="s">
        <v>1085</v>
      </c>
      <c r="AG2" s="4140"/>
      <c r="AH2" s="4140"/>
      <c r="AI2" s="4140"/>
      <c r="AJ2" s="4140" t="s">
        <v>1082</v>
      </c>
      <c r="AK2" s="4140"/>
      <c r="AL2" s="4140"/>
      <c r="AM2" s="4140"/>
      <c r="AN2" s="4140" t="str">
        <f>CoStar_DataSet_VacancyOption</f>
        <v>Vacant Percent % Direct</v>
      </c>
      <c r="AO2" s="4140"/>
      <c r="AP2" s="4140"/>
      <c r="AQ2" s="4140"/>
      <c r="AR2" s="2473"/>
      <c r="AS2" s="4139" t="s">
        <v>18083</v>
      </c>
      <c r="AT2" s="4135"/>
      <c r="AU2" s="4135"/>
      <c r="AV2" s="4135"/>
      <c r="AW2" s="4135"/>
      <c r="AX2" s="4135"/>
      <c r="AY2" s="4139" t="s">
        <v>18083</v>
      </c>
      <c r="AZ2" s="4135"/>
      <c r="BA2" s="4135"/>
      <c r="BB2" s="4135"/>
      <c r="BC2" s="4135"/>
      <c r="BD2" s="4142"/>
      <c r="BE2" s="2421"/>
      <c r="BF2" s="2421"/>
      <c r="BG2" s="2786" t="str">
        <f>CoStar_Rent_Data_1A</f>
        <v>NNN Rent Overall</v>
      </c>
      <c r="BH2" s="2786" t="str">
        <f>CoStar_Rent_Data_1B</f>
        <v>NNN Rent Overall</v>
      </c>
      <c r="BI2" s="2786" t="str">
        <f>CoStar_Rent_Data_2A</f>
        <v>NNN Rent Overall</v>
      </c>
      <c r="BJ2" s="2786" t="str">
        <f>CoStar_Rent_Data_2B</f>
        <v>NNN Rent Overall</v>
      </c>
      <c r="BK2" s="2423"/>
      <c r="BL2" s="4139" t="s">
        <v>18055</v>
      </c>
      <c r="BM2" s="4142"/>
      <c r="BN2" s="4139" t="s">
        <v>18082</v>
      </c>
      <c r="BO2" s="4142"/>
    </row>
    <row r="3" spans="1:67" ht="39.950000000000003" customHeight="1" x14ac:dyDescent="0.25">
      <c r="A3" s="2397">
        <v>1</v>
      </c>
      <c r="C3" s="267"/>
      <c r="D3" s="2455" t="s">
        <v>1120</v>
      </c>
      <c r="E3" s="2427">
        <v>1</v>
      </c>
      <c r="F3" s="2420">
        <f t="shared" ref="F3:P3" si="0">E3+1</f>
        <v>2</v>
      </c>
      <c r="G3" s="2420">
        <f t="shared" si="0"/>
        <v>3</v>
      </c>
      <c r="H3" s="2420">
        <f t="shared" si="0"/>
        <v>4</v>
      </c>
      <c r="I3" s="2429">
        <f t="shared" si="0"/>
        <v>5</v>
      </c>
      <c r="J3" s="2420">
        <f t="shared" si="0"/>
        <v>6</v>
      </c>
      <c r="K3" s="2420">
        <f t="shared" si="0"/>
        <v>7</v>
      </c>
      <c r="L3" s="2430">
        <f t="shared" si="0"/>
        <v>8</v>
      </c>
      <c r="M3" s="2420">
        <f t="shared" si="0"/>
        <v>9</v>
      </c>
      <c r="N3" s="2420">
        <f t="shared" si="0"/>
        <v>10</v>
      </c>
      <c r="O3" s="2420">
        <f t="shared" si="0"/>
        <v>11</v>
      </c>
      <c r="P3" s="2420">
        <f t="shared" si="0"/>
        <v>12</v>
      </c>
      <c r="Q3" s="2424"/>
      <c r="R3" s="2420" t="str">
        <f>'MS Charts'!N6</f>
        <v>Denver MSA - Industrial</v>
      </c>
      <c r="S3" s="2420" t="str">
        <f>'MS Charts'!N6</f>
        <v>Denver MSA - Industrial</v>
      </c>
      <c r="T3" s="2420" t="str">
        <f>'MS Charts'!N6</f>
        <v>Denver MSA - Industrial</v>
      </c>
      <c r="U3" s="2420" t="str">
        <f>'MS Charts'!Q6</f>
        <v>Denver MSA - Warehouse</v>
      </c>
      <c r="V3" s="2420" t="str">
        <f>'MS Charts'!Q6</f>
        <v>Denver MSA - Warehouse</v>
      </c>
      <c r="W3" s="2447" t="str">
        <f>'MS Charts'!Q6</f>
        <v>Denver MSA - Warehouse</v>
      </c>
      <c r="X3" s="2420" t="str">
        <f>'MS Charts'!Z6</f>
        <v>Northwest Denver - Industrial</v>
      </c>
      <c r="Y3" s="2420" t="str">
        <f>'MS Charts'!Z6</f>
        <v>Northwest Denver - Industrial</v>
      </c>
      <c r="Z3" s="2420" t="str">
        <f>'MS Charts'!Z6</f>
        <v>Northwest Denver - Industrial</v>
      </c>
      <c r="AA3" s="2420" t="str">
        <f>'MS Charts'!AC6</f>
        <v>Northwest Denver - Warehouse</v>
      </c>
      <c r="AB3" s="2420" t="str">
        <f>'MS Charts'!AC6</f>
        <v>Northwest Denver - Warehouse</v>
      </c>
      <c r="AC3" s="2420" t="str">
        <f>'MS Charts'!AC6</f>
        <v>Northwest Denver - Warehouse</v>
      </c>
      <c r="AD3" s="2457"/>
      <c r="AE3" s="2455" t="s">
        <v>1120</v>
      </c>
      <c r="AF3" s="2420">
        <v>1</v>
      </c>
      <c r="AG3" s="2420">
        <f t="shared" ref="AG3:AQ3" si="1">AF3+1</f>
        <v>2</v>
      </c>
      <c r="AH3" s="2420">
        <f t="shared" si="1"/>
        <v>3</v>
      </c>
      <c r="AI3" s="2420">
        <f t="shared" si="1"/>
        <v>4</v>
      </c>
      <c r="AJ3" s="2420">
        <f t="shared" si="1"/>
        <v>5</v>
      </c>
      <c r="AK3" s="2420">
        <f t="shared" si="1"/>
        <v>6</v>
      </c>
      <c r="AL3" s="2420">
        <f t="shared" si="1"/>
        <v>7</v>
      </c>
      <c r="AM3" s="2420">
        <f t="shared" si="1"/>
        <v>8</v>
      </c>
      <c r="AN3" s="2420">
        <f t="shared" si="1"/>
        <v>9</v>
      </c>
      <c r="AO3" s="2420">
        <f t="shared" si="1"/>
        <v>10</v>
      </c>
      <c r="AP3" s="2420">
        <f t="shared" si="1"/>
        <v>11</v>
      </c>
      <c r="AQ3" s="2420">
        <f t="shared" si="1"/>
        <v>12</v>
      </c>
      <c r="AR3" s="2424"/>
      <c r="AS3" s="2427" t="str">
        <f>'MS Charts'!D53</f>
        <v>Denver MSA - Industrial</v>
      </c>
      <c r="AT3" s="2420" t="str">
        <f>'MS Charts'!D53</f>
        <v>Denver MSA - Industrial</v>
      </c>
      <c r="AU3" s="2420" t="str">
        <f>'MS Charts'!$D$53</f>
        <v>Denver MSA - Industrial</v>
      </c>
      <c r="AV3" s="2420" t="str">
        <f>'MS Charts'!D56</f>
        <v>Denver MSA - Warehouse</v>
      </c>
      <c r="AW3" s="2420" t="str">
        <f>'MS Charts'!D56</f>
        <v>Denver MSA - Warehouse</v>
      </c>
      <c r="AX3" s="2420" t="str">
        <f>'MS Charts'!D56</f>
        <v>Denver MSA - Warehouse</v>
      </c>
      <c r="AY3" s="2427" t="str">
        <f>'MS Charts'!$D$66</f>
        <v>Northwest Denver - Industrial</v>
      </c>
      <c r="AZ3" s="2420" t="str">
        <f>'MS Charts'!$D$66</f>
        <v>Northwest Denver - Industrial</v>
      </c>
      <c r="BA3" s="2420" t="str">
        <f>'MS Charts'!$D$66</f>
        <v>Northwest Denver - Industrial</v>
      </c>
      <c r="BB3" s="2420" t="str">
        <f>'MS Charts'!$D$69</f>
        <v>Northwest Denver - Warehouse</v>
      </c>
      <c r="BC3" s="2420" t="str">
        <f>'MS Charts'!$D$69</f>
        <v>Northwest Denver - Warehouse</v>
      </c>
      <c r="BD3" s="2447" t="str">
        <f>'MS Charts'!$D$69</f>
        <v>Northwest Denver - Warehouse</v>
      </c>
      <c r="BE3" s="2457"/>
      <c r="BF3" s="2455" t="s">
        <v>1120</v>
      </c>
      <c r="BG3" s="2420">
        <v>1</v>
      </c>
      <c r="BH3" s="2420">
        <f>BG3+1</f>
        <v>2</v>
      </c>
      <c r="BI3" s="2420">
        <f>BH3+1</f>
        <v>3</v>
      </c>
      <c r="BJ3" s="2420">
        <f>BI3+1</f>
        <v>4</v>
      </c>
      <c r="BK3" s="2424"/>
      <c r="BL3" s="2427" t="str">
        <f>'MS Charts'!$D$27</f>
        <v>Denver MSA - Industrial</v>
      </c>
      <c r="BM3" s="2447" t="str">
        <f>'MS Charts'!$D$29</f>
        <v>Denver MSA - Warehouse</v>
      </c>
      <c r="BN3" s="2427" t="str">
        <f>'MS Charts'!D40</f>
        <v>Northwest Denver - Industrial</v>
      </c>
      <c r="BO3" s="2447" t="str">
        <f>'MS Charts'!D42</f>
        <v>Northwest Denver - Warehouse</v>
      </c>
    </row>
    <row r="4" spans="1:67" x14ac:dyDescent="0.25">
      <c r="A4" s="2397">
        <f>A3+1</f>
        <v>2</v>
      </c>
      <c r="B4" s="41">
        <f>CoStar_RowOffset_Master+((CoStar_Periods_Master)*CoStar_Interval_Master)</f>
        <v>23</v>
      </c>
      <c r="C4" s="41">
        <f>CoStar_RowOffset_Inventory+((CoStar_Periods_Inventory)*CoStar_Interval_Inventory)</f>
        <v>35</v>
      </c>
      <c r="D4" s="267" t="str">
        <f t="shared" ref="D4:D35" si="2">IFERROR(IF($C4&lt;CoStar_RowOffset_Inventory,"",HLOOKUP(CONCATENATE("  ",D$3),CoStar01Array,$C4,FALSE)),1)</f>
        <v>2017 Q2</v>
      </c>
      <c r="E4" s="2428">
        <f t="shared" ref="E4:E35" si="3">IFERROR(IF($C4&lt;CoStar_RowOffset_Inventory,"",HLOOKUP(E$2,CoStar01Array,$C4,FALSE)),"-")</f>
        <v>6794</v>
      </c>
      <c r="F4" s="2398">
        <f t="shared" ref="F4:F35" si="4">IFERROR(IF($C4&lt;CoStar_RowOffset_Inventory,"",HLOOKUP(E$2,CoStar02Array,$C4,FALSE)),"-")</f>
        <v>448</v>
      </c>
      <c r="G4" s="2398">
        <f t="shared" ref="G4:G35" si="5">IFERROR(IF($C4&lt;CoStar_RowOffset_Inventory,"",HLOOKUP(E$2,CoStar03Array,$C4,FALSE)),"-")</f>
        <v>689</v>
      </c>
      <c r="H4" s="2398" t="str">
        <f t="shared" ref="H4:H35" si="6">IFERROR(IF($C4&lt;CoStar_RowOffset_Inventory,"",HLOOKUP(E$2,CoStar04Array,$C4,FALSE)),"-")</f>
        <v>-</v>
      </c>
      <c r="I4" s="2431">
        <f t="shared" ref="I4:I35" si="7">IFERROR(IF($C4&lt;CoStar_RowOffset_Inventory,"",HLOOKUP(I$2,CoStar01Array,$C4,FALSE)),"-")</f>
        <v>202950252</v>
      </c>
      <c r="J4" s="2398">
        <f t="shared" ref="J4:J35" si="8">IFERROR(IF($C4&lt;CoStar_RowOffset_Inventory,"",HLOOKUP(I$2,CoStar02Array,$C4,FALSE)),"-")</f>
        <v>11920883</v>
      </c>
      <c r="K4" s="2398">
        <f t="shared" ref="K4:K35" si="9">IFERROR(IF($C4&lt;CoStar_RowOffset_Inventory,"",HLOOKUP(I$2,CoStar03Array,$C4,FALSE)),"-")</f>
        <v>19754336</v>
      </c>
      <c r="L4" s="2432" t="str">
        <f t="shared" ref="L4:L35" si="10">IFERROR(IF($C4&lt;CoStar_RowOffset_Inventory,"",HLOOKUP(I$2,CoStar04Array,$C4,FALSE)),"-")</f>
        <v>-</v>
      </c>
      <c r="M4" s="2398">
        <f t="shared" ref="M4:M35" si="11">IFERROR(IF($C4&lt;CoStar_RowOffset_Inventory,"",HLOOKUP(M$2,CoStar01Array,$C4,FALSE)),"-")</f>
        <v>3440891</v>
      </c>
      <c r="N4" s="2398">
        <f t="shared" ref="N4:N35" si="12">IFERROR(IF($C4&lt;CoStar_RowOffset_Inventory,"",HLOOKUP(M$2,CoStar02Array,$C4,FALSE)),"-")</f>
        <v>202790</v>
      </c>
      <c r="O4" s="2398">
        <f t="shared" ref="O4:O35" si="13">IFERROR(IF($C4&lt;CoStar_RowOffset_Inventory,"",HLOOKUP(M$2,CoStar03Array,$C4,FALSE)),"-")</f>
        <v>454632</v>
      </c>
      <c r="P4" s="2398" t="str">
        <f t="shared" ref="P4:P35" si="14">IFERROR(IF($C4&lt;CoStar_RowOffset_Inventory,"",HLOOKUP(M$2,CoStar04Array,$C4,FALSE)),"-")</f>
        <v>-</v>
      </c>
      <c r="Q4" s="2453"/>
      <c r="R4" s="2448">
        <f>IFERROR(HLOOKUP(CoStar_DataSet_Inventory_1A,CoStar_Inventory_Array,$A4,FALSE),"-")</f>
        <v>6794</v>
      </c>
      <c r="S4" s="2448">
        <f>IFERROR(HLOOKUP(CoStar_DataSet_Inventory_1A+4,CoStar_Inventory_Array,$A4,FALSE),"-")</f>
        <v>202950252</v>
      </c>
      <c r="T4" s="2448">
        <f>IFERROR(HLOOKUP(CoStar_DataSet_Inventory_1A+8,CoStar_Inventory_Array,$A4,FALSE),"-")</f>
        <v>3440891</v>
      </c>
      <c r="U4" s="2448">
        <f t="shared" ref="U4:U35" si="15">IFERROR(HLOOKUP(CoStar_DataSet_Inventory_1B,CoStar_Inventory_Array,$A4,FALSE),"-")</f>
        <v>448</v>
      </c>
      <c r="V4" s="2448">
        <f t="shared" ref="V4:V35" si="16">IFERROR(HLOOKUP(CoStar_DataSet_Inventory_1B+4,CoStar_Inventory_Array,$A4,FALSE),"-")</f>
        <v>11920883</v>
      </c>
      <c r="W4" s="2449">
        <f t="shared" ref="W4:W35" si="17">IFERROR(HLOOKUP(CoStar_DataSet_Inventory_1B+8,CoStar_Inventory_Array,$A4,FALSE),"-")</f>
        <v>202790</v>
      </c>
      <c r="X4" s="2487" cm="1">
        <f t="array" ref="X4">IFERROR(HLOOKUP(CoStar_DataSet_Inventory_2A,CoStar_Inventory_Array,$A4,FALSE),"-")</f>
        <v>689</v>
      </c>
      <c r="Y4" s="2486">
        <f t="shared" ref="Y4:Y35" si="18">IFERROR(HLOOKUP(CoStar_DataSet_Inventory_2A+4,CoStar_Inventory_Array,$A4,FALSE),"-")</f>
        <v>19754336</v>
      </c>
      <c r="Z4" s="2486">
        <f t="shared" ref="Z4:Z35" si="19">IFERROR(HLOOKUP(CoStar_DataSet_Inventory_2A+8,CoStar_Inventory_Array,$A4,FALSE),"-")</f>
        <v>454632</v>
      </c>
      <c r="AA4" s="2486" t="str">
        <f t="shared" ref="AA4:AA35" si="20">IFERROR(HLOOKUP(CoStar_DataSet_Inventory_2B,CoStar_Inventory_Array,$A4,FALSE),"-")</f>
        <v>-</v>
      </c>
      <c r="AB4" s="2486" t="str">
        <f t="shared" ref="AB4:AB35" si="21">IFERROR(HLOOKUP(CoStar_DataSet_Inventory_2B+4,CoStar_Inventory_Array,$A4,FALSE),"-")</f>
        <v>-</v>
      </c>
      <c r="AC4" s="2486" t="str">
        <f t="shared" ref="AC4:AC35" si="22">IFERROR(HLOOKUP(CoStar_DataSet_Inventory_2B+8,CoStar_Inventory_Array,$A4,FALSE),"-")</f>
        <v>-</v>
      </c>
      <c r="AD4" s="41">
        <f>CoStar_RowOffset_Master+((CoStar_Periods_Master)*CoStar_Interval_Master)</f>
        <v>23</v>
      </c>
      <c r="AE4" s="267" t="str">
        <f t="shared" ref="AE4:AE35" si="23">IFERROR(IF($AD4&lt;CoStar_RowOffset_VacancyAbsorb,"",HLOOKUP(CONCATENATE("  ",AE$3),CoStar01Array,$AD4,FALSE)),1)</f>
        <v>2020 Q2</v>
      </c>
      <c r="AF4" s="2398">
        <f t="shared" ref="AF4:AF35" si="24">IFERROR(IF($AD4&lt;CoStar_RowOffset_Master,"",HLOOKUP(AF$2,CoStar01Array,$AD4,FALSE)),"-")</f>
        <v>839257</v>
      </c>
      <c r="AG4" s="2398">
        <f t="shared" ref="AG4:AG35" si="25">IFERROR(IF($AD4&lt;CoStar_RowOffset_Master,"",HLOOKUP(AF$2,CoStar02Array,$AD4,FALSE)),"-")</f>
        <v>-217510</v>
      </c>
      <c r="AH4" s="2398">
        <f t="shared" ref="AH4:AH35" si="26">IFERROR(IF($AD4&lt;CoStar_RowOffset_Master,"",HLOOKUP(AF$2,CoStar03Array,$AD4,FALSE)),"-")</f>
        <v>-49741</v>
      </c>
      <c r="AI4" s="2398" t="str">
        <f t="shared" ref="AI4:AI35" si="27">IFERROR(IF($AD4&lt;CoStar_RowOffset_Master,"",HLOOKUP(AF$2,CoStar04Array,$AD4,FALSE)),"-")</f>
        <v>-</v>
      </c>
      <c r="AJ4" s="2398">
        <f t="shared" ref="AJ4:AJ35" si="28">IFERROR(IF($AD4&lt;CoStar_RowOffset_Master,"",HLOOKUP(AJ$2,CoStar01Array,$AD4,FALSE)),"-")</f>
        <v>2121482</v>
      </c>
      <c r="AK4" s="2398">
        <f t="shared" ref="AK4:AK35" si="29">IFERROR(IF($AD4&lt;CoStar_RowOffset_Master,"",HLOOKUP(AJ$2,CoStar02Array,$AD4,FALSE)),"-")</f>
        <v>0</v>
      </c>
      <c r="AL4" s="2398">
        <f t="shared" ref="AL4:AL35" si="30">IFERROR(IF($AD4&lt;CoStar_RowOffset_Master,"",HLOOKUP(AJ$2,CoStar03Array,$AD4,FALSE)),"-")</f>
        <v>0</v>
      </c>
      <c r="AM4" s="2398" t="str">
        <f t="shared" ref="AM4:AM35" si="31">IFERROR(IF($AD4&lt;CoStar_RowOffset_Master,"",HLOOKUP(AJ$2,CoStar04Array,$AD4,FALSE)),"-")</f>
        <v>-</v>
      </c>
      <c r="AN4" s="2399">
        <f>IFERROR(IF($AD4&lt;CoStar_RowOffset_Master,"",HLOOKUP(AN$2,CoStar01Array,$AD4,FALSE)),"-")</f>
        <v>5.1999999999999998E-2</v>
      </c>
      <c r="AO4" s="2399">
        <f>IFERROR(IF($AD4&lt;CoStar_RowOffset_Master,"",HLOOKUP(AN$2,CoStar02Array,$AD4,FALSE)),"-")</f>
        <v>4.4999999999999998E-2</v>
      </c>
      <c r="AP4" s="2399">
        <f>IFERROR(IF($AD4&lt;CoStar_RowOffset_Master,"",HLOOKUP(AN$2,CoStar03Array,$AD4,FALSE)),"-")</f>
        <v>3.4000000000000002E-2</v>
      </c>
      <c r="AQ4" s="2399" t="str">
        <f>IFERROR(IF($AD4&lt;CoStar_RowOffset_Master,"",HLOOKUP(AN$2,CoStar04Array,$AD4,FALSE)),"-")</f>
        <v>-</v>
      </c>
      <c r="AR4" s="2474"/>
      <c r="AS4" s="2479">
        <f t="shared" ref="AS4:AS35" si="32">IFERROR(HLOOKUP(CoStar_DataSet_Vacancy_1A,CoStar_VacancyAbsorb_Array,$A4,FALSE),"-")</f>
        <v>839257</v>
      </c>
      <c r="AT4" s="2486">
        <f t="shared" ref="AT4:AT14" si="33">IFERROR(HLOOKUP(CoStar_DataSet_Vacancy_1A+4,CoStar_VacancyAbsorb_Array,$A4,FALSE),"-")</f>
        <v>2121482</v>
      </c>
      <c r="AU4" s="2408">
        <f t="shared" ref="AU4:AU35" si="34">IFERROR(HLOOKUP(CoStar_DataSet_Vacancy_1A+8,CoStar_VacancyAbsorb_Array,$A4,FALSE),"-")</f>
        <v>5.1999999999999998E-2</v>
      </c>
      <c r="AV4" s="2486">
        <f t="shared" ref="AV4:AV35" si="35">IFERROR(HLOOKUP(CoStar_DataSet_Vacancy_1B,CoStar_VacancyAbsorb_Array,$A4,FALSE),"-")</f>
        <v>-217510</v>
      </c>
      <c r="AW4" s="2486">
        <f t="shared" ref="AW4:AW14" si="36">IFERROR(HLOOKUP(CoStar_DataSet_Vacancy_1B+4,CoStar_VacancyAbsorb_Array,$A4,FALSE),"-")</f>
        <v>0</v>
      </c>
      <c r="AX4" s="2488">
        <f t="shared" ref="AX4:AX35" si="37">IFERROR(HLOOKUP(CoStar_DataSet_Vacancy_1B+8,CoStar_VacancyAbsorb_Array,$A4,FALSE),"-")</f>
        <v>4.4999999999999998E-2</v>
      </c>
      <c r="AY4" s="2479">
        <f t="shared" ref="AY4:AY35" si="38">IFERROR(HLOOKUP(CoStar_DataSet_Vacancy_2A,CoStar_VacancyAbsorb_Array,$A4,FALSE),"-")</f>
        <v>-49741</v>
      </c>
      <c r="AZ4" s="2448">
        <f t="shared" ref="AZ4:AZ35" si="39">IFERROR(HLOOKUP(CoStar_DataSet_Vacancy_2A+4,CoStar_VacancyAbsorb_Array,$A4,FALSE),"-")</f>
        <v>0</v>
      </c>
      <c r="BA4" s="2475">
        <f t="shared" ref="BA4:BA35" si="40">IFERROR(HLOOKUP(CoStar_DataSet_Vacancy_2A+8,CoStar_VacancyAbsorb_Array,$A4,FALSE),"-")</f>
        <v>3.4000000000000002E-2</v>
      </c>
      <c r="BB4" s="2448" t="str">
        <f t="shared" ref="BB4:BB35" si="41">IFERROR(HLOOKUP(CoStar_DataSet_Vacancy_2B,CoStar_VacancyAbsorb_Array,$A4,FALSE),"-")</f>
        <v>-</v>
      </c>
      <c r="BC4" s="2448" t="str">
        <f t="shared" ref="BC4:BC35" si="42">IFERROR(HLOOKUP(CoStar_DataSet_Vacancy_2B+4,CoStar_VacancyAbsorb_Array,$A4,FALSE),"-")</f>
        <v>-</v>
      </c>
      <c r="BD4" s="2476" t="str">
        <f t="shared" ref="BD4:BD35" si="43">IFERROR(HLOOKUP(CoStar_DataSet_Vacancy_2B+8,CoStar_VacancyAbsorb_Array,$A4,FALSE),"-")</f>
        <v>-</v>
      </c>
      <c r="BE4" s="41">
        <f>CoStar_RowOffset_Rent+((CoStar_Periods_RentTrends)*CoStar_Interval_RentTrends)</f>
        <v>27</v>
      </c>
      <c r="BF4" s="267" t="str">
        <f t="shared" ref="BF4:BF35" si="44">IFERROR(IF($BE4&lt;CoStar_RowOffset_Rent,"",HLOOKUP(CONCATENATE("  ",BF$3),CoStar01Array,$BE4,FALSE)),1)</f>
        <v>2019 Q2</v>
      </c>
      <c r="BG4" s="2400">
        <f t="shared" ref="BG4:BG35" si="45">IFERROR(IF($BE4&lt;CoStar_RowOffset_Rent,"",HLOOKUP(BG$2,CoStar01Array,$BE4,FALSE)),1)</f>
        <v>7.74</v>
      </c>
      <c r="BH4" s="2400">
        <f t="shared" ref="BH4:BH35" si="46">IFERROR(IF($BE4&lt;CoStar_RowOffset_Rent,"",HLOOKUP(BH$2,CoStar02Array,$BE4,FALSE)),1)</f>
        <v>7.99</v>
      </c>
      <c r="BI4" s="2400">
        <f t="shared" ref="BI4:BI35" si="47">IFERROR(IF($BE4&lt;CoStar_RowOffset_Rent,"",HLOOKUP(BI$2,CoStar03Array,$BE4,FALSE)),1)</f>
        <v>8.6199999999999992</v>
      </c>
      <c r="BJ4" s="2400">
        <f t="shared" ref="BJ4:BJ35" si="48">IFERROR(IF($BE4&lt;CoStar_RowOffset_Rent,"",HLOOKUP(BJ$2,CoStar04Array,$BE4,FALSE)),1)</f>
        <v>1</v>
      </c>
      <c r="BK4" s="2425"/>
      <c r="BL4" s="2465">
        <f t="shared" ref="BL4:BL14" si="49">IFERROR(HLOOKUP(CoStar_DataSet_Rent_1A,CoStar_Rent_Array,$A4,FALSE),"-")</f>
        <v>7.74</v>
      </c>
      <c r="BM4" s="2466">
        <f t="shared" ref="BM4:BM35" si="50">IFERROR(HLOOKUP(CoStar_DataSet_Rent_1B,CoStar_Rent_Array,$A4,FALSE),"-")</f>
        <v>7.99</v>
      </c>
      <c r="BN4" s="2465">
        <f t="shared" ref="BN4:BN35" si="51">IFERROR(HLOOKUP(CoStar_DataSet_Rent_2A,CoStar_Rent_Array,$A4,FALSE),"-")</f>
        <v>8.6199999999999992</v>
      </c>
      <c r="BO4" s="2466">
        <f t="shared" ref="BO4:BO35" si="52">IFERROR(HLOOKUP(CoStar_DataSet_Rent_2B,CoStar_Rent_Array,$A4,FALSE),"-")</f>
        <v>1</v>
      </c>
    </row>
    <row r="5" spans="1:67" x14ac:dyDescent="0.25">
      <c r="A5" s="2397">
        <f>A4+1</f>
        <v>3</v>
      </c>
      <c r="B5" s="41">
        <f t="shared" ref="B5:B36" si="53">B4-CoStar_Interval_Master</f>
        <v>21</v>
      </c>
      <c r="C5" s="41">
        <f t="shared" ref="C5:C36" si="54">C4-CoStar_Interval_Inventory</f>
        <v>33</v>
      </c>
      <c r="D5" s="267" t="str">
        <f t="shared" si="2"/>
        <v>2017 Q4</v>
      </c>
      <c r="E5" s="2428">
        <f t="shared" si="3"/>
        <v>6807</v>
      </c>
      <c r="F5" s="2398">
        <f t="shared" si="4"/>
        <v>450</v>
      </c>
      <c r="G5" s="2398">
        <f t="shared" si="5"/>
        <v>692</v>
      </c>
      <c r="H5" s="2398" t="str">
        <f t="shared" si="6"/>
        <v>-</v>
      </c>
      <c r="I5" s="2431">
        <f t="shared" si="7"/>
        <v>205308460</v>
      </c>
      <c r="J5" s="2398">
        <f t="shared" si="8"/>
        <v>12101623</v>
      </c>
      <c r="K5" s="2398">
        <f t="shared" si="9"/>
        <v>20013870</v>
      </c>
      <c r="L5" s="2432" t="str">
        <f t="shared" si="10"/>
        <v>-</v>
      </c>
      <c r="M5" s="2398">
        <f t="shared" si="11"/>
        <v>3498750</v>
      </c>
      <c r="N5" s="2398">
        <f t="shared" si="12"/>
        <v>199348</v>
      </c>
      <c r="O5" s="2398">
        <f t="shared" si="13"/>
        <v>1258568</v>
      </c>
      <c r="P5" s="2398" t="str">
        <f t="shared" si="14"/>
        <v>-</v>
      </c>
      <c r="Q5" s="2453"/>
      <c r="R5" s="2448">
        <f t="shared" ref="R5:R35" si="55">IFERROR(HLOOKUP(CoStar_DataSet_Inventory_1A,CoStar_Inventory_Array,$A5,FALSE),"-")</f>
        <v>6807</v>
      </c>
      <c r="S5" s="2448">
        <f t="shared" ref="S5:S35" si="56">IFERROR(HLOOKUP(CoStar_DataSet_Inventory_1A+4,CoStar_Inventory_Array,$A5,FALSE),"-")</f>
        <v>205308460</v>
      </c>
      <c r="T5" s="2448">
        <f t="shared" ref="T5:T35" si="57">IFERROR(HLOOKUP(CoStar_DataSet_Inventory_1A+8,CoStar_Inventory_Array,$A5,FALSE),"-")</f>
        <v>3498750</v>
      </c>
      <c r="U5" s="2448">
        <f t="shared" si="15"/>
        <v>450</v>
      </c>
      <c r="V5" s="2448">
        <f t="shared" si="16"/>
        <v>12101623</v>
      </c>
      <c r="W5" s="2449">
        <f t="shared" si="17"/>
        <v>199348</v>
      </c>
      <c r="X5" s="2479" cm="1">
        <f t="array" ref="X5">IFERROR(HLOOKUP(CoStar_DataSet_Inventory_2A,CoStar_Inventory_Array,$A5,FALSE),"-")</f>
        <v>692</v>
      </c>
      <c r="Y5" s="2448">
        <f t="shared" si="18"/>
        <v>20013870</v>
      </c>
      <c r="Z5" s="2448">
        <f t="shared" si="19"/>
        <v>1258568</v>
      </c>
      <c r="AA5" s="2448" t="str">
        <f t="shared" si="20"/>
        <v>-</v>
      </c>
      <c r="AB5" s="2448" t="str">
        <f t="shared" si="21"/>
        <v>-</v>
      </c>
      <c r="AC5" s="2448" t="str">
        <f t="shared" si="22"/>
        <v>-</v>
      </c>
      <c r="AD5" s="41">
        <f t="shared" ref="AD5:AD36" si="58">AD4-CoStar_Interval_Master</f>
        <v>21</v>
      </c>
      <c r="AE5" s="267" t="str">
        <f t="shared" si="23"/>
        <v>2020 Q4</v>
      </c>
      <c r="AF5" s="2398">
        <f t="shared" si="24"/>
        <v>1110951</v>
      </c>
      <c r="AG5" s="2398">
        <f t="shared" si="25"/>
        <v>-52826</v>
      </c>
      <c r="AH5" s="2398">
        <f t="shared" si="26"/>
        <v>21426</v>
      </c>
      <c r="AI5" s="2398" t="str">
        <f t="shared" si="27"/>
        <v>-</v>
      </c>
      <c r="AJ5" s="2398">
        <f t="shared" si="28"/>
        <v>1682562</v>
      </c>
      <c r="AK5" s="2398">
        <f t="shared" si="29"/>
        <v>82436</v>
      </c>
      <c r="AL5" s="2398">
        <f t="shared" si="30"/>
        <v>169027</v>
      </c>
      <c r="AM5" s="2398" t="str">
        <f t="shared" si="31"/>
        <v>-</v>
      </c>
      <c r="AN5" s="2399">
        <f t="shared" ref="AN5:AN36" si="59">IFERROR(IF($AD5&lt;CoStar_RowOffset_Master,"",HLOOKUP(AN$2,CoStar01Array,$AD5,FALSE)),"-")</f>
        <v>5.2999999999999999E-2</v>
      </c>
      <c r="AO5" s="2399">
        <f t="shared" ref="AO5:AO36" si="60">IFERROR(IF($AD5&lt;CoStar_RowOffset_Master,"",HLOOKUP(AN$2,CoStar02Array,$AD5,FALSE)),"-")</f>
        <v>0.05</v>
      </c>
      <c r="AP5" s="2399">
        <f t="shared" ref="AP5:AP36" si="61">IFERROR(IF($AD5&lt;CoStar_RowOffset_Master,"",HLOOKUP(AN$2,CoStar03Array,$AD5,FALSE)),"-")</f>
        <v>4.4999999999999998E-2</v>
      </c>
      <c r="AQ5" s="2399" t="str">
        <f t="shared" ref="AQ5:AQ36" si="62">IFERROR(IF($AD5&lt;CoStar_RowOffset_Master,"",HLOOKUP(AN$2,CoStar04Array,$AD5,FALSE)),"-")</f>
        <v>-</v>
      </c>
      <c r="AR5" s="2474"/>
      <c r="AS5" s="2479">
        <f t="shared" si="32"/>
        <v>1110951</v>
      </c>
      <c r="AT5" s="2448">
        <f t="shared" si="33"/>
        <v>1682562</v>
      </c>
      <c r="AU5" s="2475">
        <f t="shared" si="34"/>
        <v>5.2999999999999999E-2</v>
      </c>
      <c r="AV5" s="2448">
        <f t="shared" si="35"/>
        <v>-52826</v>
      </c>
      <c r="AW5" s="2448">
        <f t="shared" si="36"/>
        <v>82436</v>
      </c>
      <c r="AX5" s="2476">
        <f t="shared" si="37"/>
        <v>0.05</v>
      </c>
      <c r="AY5" s="2479">
        <f t="shared" si="38"/>
        <v>21426</v>
      </c>
      <c r="AZ5" s="2448">
        <f t="shared" si="39"/>
        <v>169027</v>
      </c>
      <c r="BA5" s="2475">
        <f t="shared" si="40"/>
        <v>4.4999999999999998E-2</v>
      </c>
      <c r="BB5" s="2448" t="str">
        <f t="shared" si="41"/>
        <v>-</v>
      </c>
      <c r="BC5" s="2448" t="str">
        <f t="shared" si="42"/>
        <v>-</v>
      </c>
      <c r="BD5" s="2476" t="str">
        <f t="shared" si="43"/>
        <v>-</v>
      </c>
      <c r="BE5" s="41">
        <f t="shared" ref="BE5:BE36" si="63">BE4-CoStar_Interval_RentTrends</f>
        <v>26</v>
      </c>
      <c r="BF5" s="267" t="str">
        <f t="shared" si="44"/>
        <v>2019 Q3</v>
      </c>
      <c r="BG5" s="2400">
        <f t="shared" si="45"/>
        <v>8.02</v>
      </c>
      <c r="BH5" s="2400">
        <f t="shared" si="46"/>
        <v>8.57</v>
      </c>
      <c r="BI5" s="2400">
        <f t="shared" si="47"/>
        <v>8.23</v>
      </c>
      <c r="BJ5" s="2400">
        <f t="shared" si="48"/>
        <v>1</v>
      </c>
      <c r="BK5" s="2425"/>
      <c r="BL5" s="2465">
        <f t="shared" si="49"/>
        <v>8.02</v>
      </c>
      <c r="BM5" s="2466">
        <f t="shared" si="50"/>
        <v>8.57</v>
      </c>
      <c r="BN5" s="2465">
        <f t="shared" si="51"/>
        <v>8.23</v>
      </c>
      <c r="BO5" s="2466">
        <f t="shared" si="52"/>
        <v>1</v>
      </c>
    </row>
    <row r="6" spans="1:67" x14ac:dyDescent="0.25">
      <c r="A6" s="2397">
        <f>A5+1</f>
        <v>4</v>
      </c>
      <c r="B6" s="41">
        <f t="shared" si="53"/>
        <v>19</v>
      </c>
      <c r="C6" s="41">
        <f t="shared" si="54"/>
        <v>31</v>
      </c>
      <c r="D6" s="267" t="str">
        <f t="shared" si="2"/>
        <v>2018 Q2</v>
      </c>
      <c r="E6" s="2428">
        <f t="shared" si="3"/>
        <v>6811</v>
      </c>
      <c r="F6" s="2398">
        <f t="shared" si="4"/>
        <v>451</v>
      </c>
      <c r="G6" s="2398">
        <f t="shared" si="5"/>
        <v>696</v>
      </c>
      <c r="H6" s="2398" t="str">
        <f t="shared" si="6"/>
        <v>-</v>
      </c>
      <c r="I6" s="2431">
        <f t="shared" si="7"/>
        <v>206284038</v>
      </c>
      <c r="J6" s="2398">
        <f t="shared" si="8"/>
        <v>12123673</v>
      </c>
      <c r="K6" s="2398">
        <f t="shared" si="9"/>
        <v>20208968</v>
      </c>
      <c r="L6" s="2432" t="str">
        <f t="shared" si="10"/>
        <v>-</v>
      </c>
      <c r="M6" s="2398">
        <f t="shared" si="11"/>
        <v>4752546</v>
      </c>
      <c r="N6" s="2398">
        <f t="shared" si="12"/>
        <v>182298</v>
      </c>
      <c r="O6" s="2398">
        <f t="shared" si="13"/>
        <v>1275768</v>
      </c>
      <c r="P6" s="2398" t="str">
        <f t="shared" si="14"/>
        <v>-</v>
      </c>
      <c r="Q6" s="2453"/>
      <c r="R6" s="2448">
        <f t="shared" si="55"/>
        <v>6811</v>
      </c>
      <c r="S6" s="2448">
        <f t="shared" si="56"/>
        <v>206284038</v>
      </c>
      <c r="T6" s="2448">
        <f t="shared" si="57"/>
        <v>4752546</v>
      </c>
      <c r="U6" s="2448">
        <f t="shared" si="15"/>
        <v>451</v>
      </c>
      <c r="V6" s="2448">
        <f t="shared" si="16"/>
        <v>12123673</v>
      </c>
      <c r="W6" s="2449">
        <f t="shared" si="17"/>
        <v>182298</v>
      </c>
      <c r="X6" s="2479" cm="1">
        <f t="array" ref="X6">IFERROR(HLOOKUP(CoStar_DataSet_Inventory_2A,CoStar_Inventory_Array,$A6,FALSE),"-")</f>
        <v>696</v>
      </c>
      <c r="Y6" s="2448">
        <f t="shared" si="18"/>
        <v>20208968</v>
      </c>
      <c r="Z6" s="2448">
        <f t="shared" si="19"/>
        <v>1275768</v>
      </c>
      <c r="AA6" s="2448" t="str">
        <f t="shared" si="20"/>
        <v>-</v>
      </c>
      <c r="AB6" s="2448" t="str">
        <f t="shared" si="21"/>
        <v>-</v>
      </c>
      <c r="AC6" s="2448" t="str">
        <f t="shared" si="22"/>
        <v>-</v>
      </c>
      <c r="AD6" s="41">
        <f t="shared" si="58"/>
        <v>19</v>
      </c>
      <c r="AE6" s="267" t="str">
        <f t="shared" si="23"/>
        <v>2021 Q2</v>
      </c>
      <c r="AF6" s="2398">
        <f t="shared" si="24"/>
        <v>1007196</v>
      </c>
      <c r="AG6" s="2398">
        <f t="shared" si="25"/>
        <v>167299</v>
      </c>
      <c r="AH6" s="2398">
        <f t="shared" si="26"/>
        <v>76122</v>
      </c>
      <c r="AI6" s="2398" t="str">
        <f t="shared" si="27"/>
        <v>-</v>
      </c>
      <c r="AJ6" s="2398">
        <f t="shared" si="28"/>
        <v>2112737</v>
      </c>
      <c r="AK6" s="2398">
        <f t="shared" si="29"/>
        <v>209879</v>
      </c>
      <c r="AL6" s="2398">
        <f t="shared" si="30"/>
        <v>176900</v>
      </c>
      <c r="AM6" s="2398" t="str">
        <f t="shared" si="31"/>
        <v>-</v>
      </c>
      <c r="AN6" s="2399">
        <f t="shared" si="59"/>
        <v>6.0999999999999999E-2</v>
      </c>
      <c r="AO6" s="2399">
        <f t="shared" si="60"/>
        <v>5.8000000000000003E-2</v>
      </c>
      <c r="AP6" s="2399">
        <f t="shared" si="61"/>
        <v>5.6000000000000001E-2</v>
      </c>
      <c r="AQ6" s="2399" t="str">
        <f t="shared" si="62"/>
        <v>-</v>
      </c>
      <c r="AR6" s="54"/>
      <c r="AS6" s="2479">
        <f t="shared" si="32"/>
        <v>1007196</v>
      </c>
      <c r="AT6" s="2448">
        <f t="shared" si="33"/>
        <v>2112737</v>
      </c>
      <c r="AU6" s="2475">
        <f t="shared" si="34"/>
        <v>6.0999999999999999E-2</v>
      </c>
      <c r="AV6" s="2448">
        <f t="shared" si="35"/>
        <v>167299</v>
      </c>
      <c r="AW6" s="2448">
        <f t="shared" si="36"/>
        <v>209879</v>
      </c>
      <c r="AX6" s="2476">
        <f t="shared" si="37"/>
        <v>5.8000000000000003E-2</v>
      </c>
      <c r="AY6" s="2479">
        <f t="shared" si="38"/>
        <v>76122</v>
      </c>
      <c r="AZ6" s="2448">
        <f t="shared" si="39"/>
        <v>176900</v>
      </c>
      <c r="BA6" s="2475">
        <f t="shared" si="40"/>
        <v>5.6000000000000001E-2</v>
      </c>
      <c r="BB6" s="2448" t="str">
        <f t="shared" si="41"/>
        <v>-</v>
      </c>
      <c r="BC6" s="2448" t="str">
        <f t="shared" si="42"/>
        <v>-</v>
      </c>
      <c r="BD6" s="2476" t="str">
        <f t="shared" si="43"/>
        <v>-</v>
      </c>
      <c r="BE6" s="41">
        <f t="shared" si="63"/>
        <v>25</v>
      </c>
      <c r="BF6" s="267" t="str">
        <f t="shared" si="44"/>
        <v>2019 Q4</v>
      </c>
      <c r="BG6" s="2400">
        <f t="shared" si="45"/>
        <v>8.06</v>
      </c>
      <c r="BH6" s="2400">
        <f t="shared" si="46"/>
        <v>8.84</v>
      </c>
      <c r="BI6" s="2400">
        <f t="shared" si="47"/>
        <v>8.61</v>
      </c>
      <c r="BJ6" s="2400">
        <f t="shared" si="48"/>
        <v>1</v>
      </c>
      <c r="BK6" s="2425"/>
      <c r="BL6" s="2465">
        <f t="shared" si="49"/>
        <v>8.06</v>
      </c>
      <c r="BM6" s="2466">
        <f t="shared" si="50"/>
        <v>8.84</v>
      </c>
      <c r="BN6" s="2465">
        <f t="shared" si="51"/>
        <v>8.61</v>
      </c>
      <c r="BO6" s="2466">
        <f t="shared" si="52"/>
        <v>1</v>
      </c>
    </row>
    <row r="7" spans="1:67" x14ac:dyDescent="0.25">
      <c r="A7" s="2397">
        <f>A6+1</f>
        <v>5</v>
      </c>
      <c r="B7" s="41">
        <f t="shared" si="53"/>
        <v>17</v>
      </c>
      <c r="C7" s="41">
        <f t="shared" si="54"/>
        <v>29</v>
      </c>
      <c r="D7" s="267" t="str">
        <f t="shared" si="2"/>
        <v>2018 Q4</v>
      </c>
      <c r="E7" s="2428">
        <f t="shared" si="3"/>
        <v>6828</v>
      </c>
      <c r="F7" s="2398">
        <f t="shared" si="4"/>
        <v>453</v>
      </c>
      <c r="G7" s="2398">
        <f t="shared" si="5"/>
        <v>700</v>
      </c>
      <c r="H7" s="2398" t="str">
        <f t="shared" si="6"/>
        <v>-</v>
      </c>
      <c r="I7" s="2431">
        <f t="shared" si="7"/>
        <v>209404627</v>
      </c>
      <c r="J7" s="2398">
        <f t="shared" si="8"/>
        <v>12305971</v>
      </c>
      <c r="K7" s="2398">
        <f t="shared" si="9"/>
        <v>20599736</v>
      </c>
      <c r="L7" s="2432" t="str">
        <f t="shared" si="10"/>
        <v>-</v>
      </c>
      <c r="M7" s="2398">
        <f t="shared" si="11"/>
        <v>5429444</v>
      </c>
      <c r="N7" s="2398">
        <f t="shared" si="12"/>
        <v>433906</v>
      </c>
      <c r="O7" s="2398">
        <f t="shared" si="13"/>
        <v>1355706</v>
      </c>
      <c r="P7" s="2398" t="str">
        <f t="shared" si="14"/>
        <v>-</v>
      </c>
      <c r="Q7" s="2453"/>
      <c r="R7" s="2448">
        <f t="shared" si="55"/>
        <v>6828</v>
      </c>
      <c r="S7" s="2448">
        <f t="shared" si="56"/>
        <v>209404627</v>
      </c>
      <c r="T7" s="2448">
        <f t="shared" si="57"/>
        <v>5429444</v>
      </c>
      <c r="U7" s="2448">
        <f t="shared" si="15"/>
        <v>453</v>
      </c>
      <c r="V7" s="2448">
        <f t="shared" si="16"/>
        <v>12305971</v>
      </c>
      <c r="W7" s="2449">
        <f t="shared" si="17"/>
        <v>433906</v>
      </c>
      <c r="X7" s="2479" cm="1">
        <f t="array" ref="X7">IFERROR(HLOOKUP(CoStar_DataSet_Inventory_2A,CoStar_Inventory_Array,$A7,FALSE),"-")</f>
        <v>700</v>
      </c>
      <c r="Y7" s="2448">
        <f t="shared" si="18"/>
        <v>20599736</v>
      </c>
      <c r="Z7" s="2448">
        <f t="shared" si="19"/>
        <v>1355706</v>
      </c>
      <c r="AA7" s="2448" t="str">
        <f t="shared" si="20"/>
        <v>-</v>
      </c>
      <c r="AB7" s="2448" t="str">
        <f t="shared" si="21"/>
        <v>-</v>
      </c>
      <c r="AC7" s="2448" t="str">
        <f t="shared" si="22"/>
        <v>-</v>
      </c>
      <c r="AD7" s="41">
        <f t="shared" si="58"/>
        <v>17</v>
      </c>
      <c r="AE7" s="267" t="str">
        <f t="shared" si="23"/>
        <v>2021 Q4</v>
      </c>
      <c r="AF7" s="2398">
        <f t="shared" si="24"/>
        <v>5471103</v>
      </c>
      <c r="AG7" s="2398">
        <f t="shared" si="25"/>
        <v>444059</v>
      </c>
      <c r="AH7" s="2398">
        <f t="shared" si="26"/>
        <v>393189</v>
      </c>
      <c r="AI7" s="2398" t="str">
        <f t="shared" si="27"/>
        <v>-</v>
      </c>
      <c r="AJ7" s="2398">
        <f t="shared" si="28"/>
        <v>3769955</v>
      </c>
      <c r="AK7" s="2398">
        <f t="shared" si="29"/>
        <v>283500</v>
      </c>
      <c r="AL7" s="2398">
        <f t="shared" si="30"/>
        <v>684302</v>
      </c>
      <c r="AM7" s="2398" t="str">
        <f t="shared" si="31"/>
        <v>-</v>
      </c>
      <c r="AN7" s="2399">
        <f t="shared" si="59"/>
        <v>0.05</v>
      </c>
      <c r="AO7" s="2399">
        <f t="shared" si="60"/>
        <v>6.2E-2</v>
      </c>
      <c r="AP7" s="2399">
        <f t="shared" si="61"/>
        <v>9.2999999999999999E-2</v>
      </c>
      <c r="AQ7" s="2399" t="str">
        <f t="shared" si="62"/>
        <v>-</v>
      </c>
      <c r="AR7" s="2474"/>
      <c r="AS7" s="2479">
        <f t="shared" si="32"/>
        <v>5471103</v>
      </c>
      <c r="AT7" s="2448">
        <f t="shared" si="33"/>
        <v>3769955</v>
      </c>
      <c r="AU7" s="2475">
        <f t="shared" si="34"/>
        <v>0.05</v>
      </c>
      <c r="AV7" s="2448">
        <f t="shared" si="35"/>
        <v>444059</v>
      </c>
      <c r="AW7" s="2448">
        <f t="shared" si="36"/>
        <v>283500</v>
      </c>
      <c r="AX7" s="2476">
        <f t="shared" si="37"/>
        <v>6.2E-2</v>
      </c>
      <c r="AY7" s="2479">
        <f t="shared" si="38"/>
        <v>393189</v>
      </c>
      <c r="AZ7" s="2448">
        <f t="shared" si="39"/>
        <v>684302</v>
      </c>
      <c r="BA7" s="2475">
        <f t="shared" si="40"/>
        <v>9.2999999999999999E-2</v>
      </c>
      <c r="BB7" s="2448" t="str">
        <f t="shared" si="41"/>
        <v>-</v>
      </c>
      <c r="BC7" s="2448" t="str">
        <f t="shared" si="42"/>
        <v>-</v>
      </c>
      <c r="BD7" s="2476" t="str">
        <f t="shared" si="43"/>
        <v>-</v>
      </c>
      <c r="BE7" s="41">
        <f t="shared" si="63"/>
        <v>24</v>
      </c>
      <c r="BF7" s="267" t="str">
        <f t="shared" si="44"/>
        <v>2020 Q1</v>
      </c>
      <c r="BG7" s="2400">
        <f t="shared" si="45"/>
        <v>8.07</v>
      </c>
      <c r="BH7" s="2400">
        <f t="shared" si="46"/>
        <v>9.0399999999999991</v>
      </c>
      <c r="BI7" s="2400">
        <f t="shared" si="47"/>
        <v>8.75</v>
      </c>
      <c r="BJ7" s="2400">
        <f t="shared" si="48"/>
        <v>1</v>
      </c>
      <c r="BK7" s="2425"/>
      <c r="BL7" s="2465">
        <f t="shared" si="49"/>
        <v>8.07</v>
      </c>
      <c r="BM7" s="2466">
        <f t="shared" si="50"/>
        <v>9.0399999999999991</v>
      </c>
      <c r="BN7" s="2465">
        <f t="shared" si="51"/>
        <v>8.75</v>
      </c>
      <c r="BO7" s="2466">
        <f t="shared" si="52"/>
        <v>1</v>
      </c>
    </row>
    <row r="8" spans="1:67" x14ac:dyDescent="0.25">
      <c r="A8" s="2397">
        <f t="shared" ref="A8:A69" si="64">A7+1</f>
        <v>6</v>
      </c>
      <c r="B8" s="41">
        <f t="shared" si="53"/>
        <v>15</v>
      </c>
      <c r="C8" s="41">
        <f t="shared" si="54"/>
        <v>27</v>
      </c>
      <c r="D8" s="267" t="str">
        <f t="shared" si="2"/>
        <v>2019 Q2</v>
      </c>
      <c r="E8" s="2428">
        <f t="shared" si="3"/>
        <v>6841</v>
      </c>
      <c r="F8" s="2398">
        <f t="shared" si="4"/>
        <v>454</v>
      </c>
      <c r="G8" s="2398">
        <f t="shared" si="5"/>
        <v>703</v>
      </c>
      <c r="H8" s="2398" t="str">
        <f t="shared" si="6"/>
        <v>-</v>
      </c>
      <c r="I8" s="2431">
        <f t="shared" si="7"/>
        <v>211543074</v>
      </c>
      <c r="J8" s="2398">
        <f t="shared" si="8"/>
        <v>12307975</v>
      </c>
      <c r="K8" s="2398">
        <f t="shared" si="9"/>
        <v>21514730</v>
      </c>
      <c r="L8" s="2432" t="str">
        <f t="shared" si="10"/>
        <v>-</v>
      </c>
      <c r="M8" s="2398">
        <f t="shared" si="11"/>
        <v>5610137</v>
      </c>
      <c r="N8" s="2398">
        <f t="shared" si="12"/>
        <v>446396</v>
      </c>
      <c r="O8" s="2398">
        <f t="shared" si="13"/>
        <v>745396</v>
      </c>
      <c r="P8" s="2398" t="str">
        <f t="shared" si="14"/>
        <v>-</v>
      </c>
      <c r="Q8" s="2453"/>
      <c r="R8" s="2448">
        <f t="shared" si="55"/>
        <v>6841</v>
      </c>
      <c r="S8" s="2448">
        <f t="shared" si="56"/>
        <v>211543074</v>
      </c>
      <c r="T8" s="2448">
        <f t="shared" si="57"/>
        <v>5610137</v>
      </c>
      <c r="U8" s="2448">
        <f t="shared" si="15"/>
        <v>454</v>
      </c>
      <c r="V8" s="2448">
        <f t="shared" si="16"/>
        <v>12307975</v>
      </c>
      <c r="W8" s="2449">
        <f t="shared" si="17"/>
        <v>446396</v>
      </c>
      <c r="X8" s="2479" cm="1">
        <f t="array" ref="X8">IFERROR(HLOOKUP(CoStar_DataSet_Inventory_2A,CoStar_Inventory_Array,$A8,FALSE),"-")</f>
        <v>703</v>
      </c>
      <c r="Y8" s="2448">
        <f t="shared" si="18"/>
        <v>21514730</v>
      </c>
      <c r="Z8" s="2448">
        <f t="shared" si="19"/>
        <v>745396</v>
      </c>
      <c r="AA8" s="2448" t="str">
        <f t="shared" si="20"/>
        <v>-</v>
      </c>
      <c r="AB8" s="2448" t="str">
        <f t="shared" si="21"/>
        <v>-</v>
      </c>
      <c r="AC8" s="2448" t="str">
        <f t="shared" si="22"/>
        <v>-</v>
      </c>
      <c r="AD8" s="41">
        <f t="shared" si="58"/>
        <v>15</v>
      </c>
      <c r="AE8" s="267" t="str">
        <f t="shared" si="23"/>
        <v>2022 Q2</v>
      </c>
      <c r="AF8" s="2398">
        <f t="shared" si="24"/>
        <v>2834196</v>
      </c>
      <c r="AG8" s="2398">
        <f t="shared" si="25"/>
        <v>8732</v>
      </c>
      <c r="AH8" s="2398">
        <f t="shared" si="26"/>
        <v>835966</v>
      </c>
      <c r="AI8" s="2398" t="str">
        <f t="shared" si="27"/>
        <v>-</v>
      </c>
      <c r="AJ8" s="2398">
        <f t="shared" si="28"/>
        <v>1912710</v>
      </c>
      <c r="AK8" s="2398">
        <f t="shared" si="29"/>
        <v>142200</v>
      </c>
      <c r="AL8" s="2398">
        <f t="shared" si="30"/>
        <v>107774</v>
      </c>
      <c r="AM8" s="2398" t="str">
        <f t="shared" si="31"/>
        <v>-</v>
      </c>
      <c r="AN8" s="2399">
        <f t="shared" si="59"/>
        <v>5.0999999999999997E-2</v>
      </c>
      <c r="AO8" s="2399">
        <f t="shared" si="60"/>
        <v>5.8000000000000003E-2</v>
      </c>
      <c r="AP8" s="2399">
        <f t="shared" si="61"/>
        <v>4.7E-2</v>
      </c>
      <c r="AQ8" s="2399" t="str">
        <f t="shared" si="62"/>
        <v>-</v>
      </c>
      <c r="AR8" s="2474"/>
      <c r="AS8" s="2479">
        <f t="shared" si="32"/>
        <v>2834196</v>
      </c>
      <c r="AT8" s="2448">
        <f t="shared" si="33"/>
        <v>1912710</v>
      </c>
      <c r="AU8" s="2475">
        <f t="shared" si="34"/>
        <v>5.0999999999999997E-2</v>
      </c>
      <c r="AV8" s="2448">
        <f t="shared" si="35"/>
        <v>8732</v>
      </c>
      <c r="AW8" s="2448">
        <f t="shared" si="36"/>
        <v>142200</v>
      </c>
      <c r="AX8" s="2476">
        <f t="shared" si="37"/>
        <v>5.8000000000000003E-2</v>
      </c>
      <c r="AY8" s="2479">
        <f t="shared" si="38"/>
        <v>835966</v>
      </c>
      <c r="AZ8" s="2448">
        <f t="shared" si="39"/>
        <v>107774</v>
      </c>
      <c r="BA8" s="2475">
        <f t="shared" si="40"/>
        <v>4.7E-2</v>
      </c>
      <c r="BB8" s="2448" t="str">
        <f t="shared" si="41"/>
        <v>-</v>
      </c>
      <c r="BC8" s="2448" t="str">
        <f t="shared" si="42"/>
        <v>-</v>
      </c>
      <c r="BD8" s="2476" t="str">
        <f t="shared" si="43"/>
        <v>-</v>
      </c>
      <c r="BE8" s="41">
        <f t="shared" si="63"/>
        <v>23</v>
      </c>
      <c r="BF8" s="267" t="str">
        <f t="shared" si="44"/>
        <v>2020 Q2</v>
      </c>
      <c r="BG8" s="2400">
        <f t="shared" si="45"/>
        <v>8.26</v>
      </c>
      <c r="BH8" s="2400">
        <f t="shared" si="46"/>
        <v>9.57</v>
      </c>
      <c r="BI8" s="2400">
        <f t="shared" si="47"/>
        <v>8.91</v>
      </c>
      <c r="BJ8" s="2400">
        <f t="shared" si="48"/>
        <v>1</v>
      </c>
      <c r="BK8" s="2425"/>
      <c r="BL8" s="2465">
        <f t="shared" si="49"/>
        <v>8.26</v>
      </c>
      <c r="BM8" s="2466">
        <f t="shared" si="50"/>
        <v>9.57</v>
      </c>
      <c r="BN8" s="2465">
        <f t="shared" si="51"/>
        <v>8.91</v>
      </c>
      <c r="BO8" s="2466">
        <f t="shared" si="52"/>
        <v>1</v>
      </c>
    </row>
    <row r="9" spans="1:67" x14ac:dyDescent="0.25">
      <c r="A9" s="2397">
        <f t="shared" si="64"/>
        <v>7</v>
      </c>
      <c r="B9" s="41">
        <f t="shared" si="53"/>
        <v>13</v>
      </c>
      <c r="C9" s="41">
        <f t="shared" si="54"/>
        <v>25</v>
      </c>
      <c r="D9" s="267" t="str">
        <f t="shared" si="2"/>
        <v>2019 Q4</v>
      </c>
      <c r="E9" s="2428">
        <f t="shared" si="3"/>
        <v>6858</v>
      </c>
      <c r="F9" s="2398">
        <f t="shared" si="4"/>
        <v>455</v>
      </c>
      <c r="G9" s="2398">
        <f t="shared" si="5"/>
        <v>706</v>
      </c>
      <c r="H9" s="2398" t="str">
        <f t="shared" si="6"/>
        <v>-</v>
      </c>
      <c r="I9" s="2431">
        <f t="shared" si="7"/>
        <v>214603026</v>
      </c>
      <c r="J9" s="2398">
        <f t="shared" si="8"/>
        <v>12322469</v>
      </c>
      <c r="K9" s="2398">
        <f t="shared" si="9"/>
        <v>21673924</v>
      </c>
      <c r="L9" s="2432" t="str">
        <f t="shared" si="10"/>
        <v>-</v>
      </c>
      <c r="M9" s="2398">
        <f t="shared" si="11"/>
        <v>5191382</v>
      </c>
      <c r="N9" s="2398">
        <f t="shared" si="12"/>
        <v>559865</v>
      </c>
      <c r="O9" s="2398">
        <f t="shared" si="13"/>
        <v>1085033</v>
      </c>
      <c r="P9" s="2398" t="str">
        <f t="shared" si="14"/>
        <v>-</v>
      </c>
      <c r="Q9" s="2453"/>
      <c r="R9" s="2448">
        <f t="shared" si="55"/>
        <v>6858</v>
      </c>
      <c r="S9" s="2448">
        <f t="shared" si="56"/>
        <v>214603026</v>
      </c>
      <c r="T9" s="2448">
        <f t="shared" si="57"/>
        <v>5191382</v>
      </c>
      <c r="U9" s="2448">
        <f t="shared" si="15"/>
        <v>455</v>
      </c>
      <c r="V9" s="2448">
        <f t="shared" si="16"/>
        <v>12322469</v>
      </c>
      <c r="W9" s="2449">
        <f t="shared" si="17"/>
        <v>559865</v>
      </c>
      <c r="X9" s="2479" cm="1">
        <f t="array" ref="X9">IFERROR(HLOOKUP(CoStar_DataSet_Inventory_2A,CoStar_Inventory_Array,$A9,FALSE),"-")</f>
        <v>706</v>
      </c>
      <c r="Y9" s="2448">
        <f t="shared" si="18"/>
        <v>21673924</v>
      </c>
      <c r="Z9" s="2448">
        <f t="shared" si="19"/>
        <v>1085033</v>
      </c>
      <c r="AA9" s="2448" t="str">
        <f t="shared" si="20"/>
        <v>-</v>
      </c>
      <c r="AB9" s="2448" t="str">
        <f t="shared" si="21"/>
        <v>-</v>
      </c>
      <c r="AC9" s="2448" t="str">
        <f t="shared" si="22"/>
        <v>-</v>
      </c>
      <c r="AD9" s="41">
        <f t="shared" si="58"/>
        <v>13</v>
      </c>
      <c r="AE9" s="267" t="str">
        <f t="shared" si="23"/>
        <v/>
      </c>
      <c r="AF9" s="2398">
        <f t="shared" si="24"/>
        <v>931769</v>
      </c>
      <c r="AG9" s="2398">
        <f t="shared" si="25"/>
        <v>170552</v>
      </c>
      <c r="AH9" s="2398">
        <f t="shared" si="26"/>
        <v>499544</v>
      </c>
      <c r="AI9" s="2398" t="str">
        <f t="shared" si="27"/>
        <v>-</v>
      </c>
      <c r="AJ9" s="2398">
        <f t="shared" si="28"/>
        <v>1534162</v>
      </c>
      <c r="AK9" s="2398">
        <f t="shared" si="29"/>
        <v>131170</v>
      </c>
      <c r="AL9" s="2398">
        <f t="shared" si="30"/>
        <v>753330</v>
      </c>
      <c r="AM9" s="2398" t="str">
        <f t="shared" si="31"/>
        <v>-</v>
      </c>
      <c r="AN9" s="2399">
        <f t="shared" si="59"/>
        <v>5.8999999999999997E-2</v>
      </c>
      <c r="AO9" s="2399">
        <f t="shared" si="60"/>
        <v>7.8E-2</v>
      </c>
      <c r="AP9" s="2399">
        <f t="shared" si="61"/>
        <v>6.7000000000000004E-2</v>
      </c>
      <c r="AQ9" s="2399" t="str">
        <f t="shared" si="62"/>
        <v>-</v>
      </c>
      <c r="AR9" s="2474"/>
      <c r="AS9" s="2479">
        <f t="shared" si="32"/>
        <v>931769</v>
      </c>
      <c r="AT9" s="2448">
        <f t="shared" si="33"/>
        <v>1534162</v>
      </c>
      <c r="AU9" s="2475">
        <f t="shared" si="34"/>
        <v>5.8999999999999997E-2</v>
      </c>
      <c r="AV9" s="2448">
        <f t="shared" si="35"/>
        <v>170552</v>
      </c>
      <c r="AW9" s="2448">
        <f t="shared" si="36"/>
        <v>131170</v>
      </c>
      <c r="AX9" s="2476">
        <f t="shared" si="37"/>
        <v>7.8E-2</v>
      </c>
      <c r="AY9" s="2479">
        <f t="shared" si="38"/>
        <v>499544</v>
      </c>
      <c r="AZ9" s="2448">
        <f t="shared" si="39"/>
        <v>753330</v>
      </c>
      <c r="BA9" s="2475">
        <f t="shared" si="40"/>
        <v>6.7000000000000004E-2</v>
      </c>
      <c r="BB9" s="2448" t="str">
        <f t="shared" si="41"/>
        <v>-</v>
      </c>
      <c r="BC9" s="2448" t="str">
        <f t="shared" si="42"/>
        <v>-</v>
      </c>
      <c r="BD9" s="2476" t="str">
        <f t="shared" si="43"/>
        <v>-</v>
      </c>
      <c r="BE9" s="41">
        <f t="shared" si="63"/>
        <v>22</v>
      </c>
      <c r="BF9" s="267" t="str">
        <f t="shared" si="44"/>
        <v>2020 Q3</v>
      </c>
      <c r="BG9" s="2400">
        <f t="shared" si="45"/>
        <v>8.1999999999999993</v>
      </c>
      <c r="BH9" s="2400">
        <f t="shared" si="46"/>
        <v>9.89</v>
      </c>
      <c r="BI9" s="2400">
        <f t="shared" si="47"/>
        <v>9.23</v>
      </c>
      <c r="BJ9" s="2400">
        <f t="shared" si="48"/>
        <v>1</v>
      </c>
      <c r="BK9" s="2425"/>
      <c r="BL9" s="2465">
        <f t="shared" si="49"/>
        <v>8.1999999999999993</v>
      </c>
      <c r="BM9" s="2466">
        <f t="shared" si="50"/>
        <v>9.89</v>
      </c>
      <c r="BN9" s="2465">
        <f t="shared" si="51"/>
        <v>9.23</v>
      </c>
      <c r="BO9" s="2466">
        <f t="shared" si="52"/>
        <v>1</v>
      </c>
    </row>
    <row r="10" spans="1:67" x14ac:dyDescent="0.25">
      <c r="A10" s="2397">
        <f t="shared" si="64"/>
        <v>8</v>
      </c>
      <c r="B10" s="41">
        <f t="shared" si="53"/>
        <v>11</v>
      </c>
      <c r="C10" s="41">
        <f t="shared" si="54"/>
        <v>23</v>
      </c>
      <c r="D10" s="267" t="str">
        <f t="shared" si="2"/>
        <v>2020 Q2</v>
      </c>
      <c r="E10" s="2428">
        <f t="shared" si="3"/>
        <v>6864</v>
      </c>
      <c r="F10" s="2398">
        <f t="shared" si="4"/>
        <v>455</v>
      </c>
      <c r="G10" s="2398">
        <f t="shared" si="5"/>
        <v>707</v>
      </c>
      <c r="H10" s="2398" t="str">
        <f t="shared" si="6"/>
        <v>-</v>
      </c>
      <c r="I10" s="2431">
        <f t="shared" si="7"/>
        <v>217039952</v>
      </c>
      <c r="J10" s="2398">
        <f t="shared" si="8"/>
        <v>12322469</v>
      </c>
      <c r="K10" s="2398">
        <f t="shared" si="9"/>
        <v>21825592</v>
      </c>
      <c r="L10" s="2432" t="str">
        <f t="shared" si="10"/>
        <v>-</v>
      </c>
      <c r="M10" s="2398">
        <f t="shared" si="11"/>
        <v>5753819</v>
      </c>
      <c r="N10" s="2398">
        <f t="shared" si="12"/>
        <v>798835</v>
      </c>
      <c r="O10" s="2398">
        <f t="shared" si="13"/>
        <v>1325600</v>
      </c>
      <c r="P10" s="2398" t="str">
        <f t="shared" si="14"/>
        <v>-</v>
      </c>
      <c r="Q10" s="2453"/>
      <c r="R10" s="2448">
        <f t="shared" si="55"/>
        <v>6864</v>
      </c>
      <c r="S10" s="2448">
        <f t="shared" si="56"/>
        <v>217039952</v>
      </c>
      <c r="T10" s="2448">
        <f t="shared" si="57"/>
        <v>5753819</v>
      </c>
      <c r="U10" s="2448">
        <f t="shared" si="15"/>
        <v>455</v>
      </c>
      <c r="V10" s="2448">
        <f t="shared" si="16"/>
        <v>12322469</v>
      </c>
      <c r="W10" s="2449">
        <f t="shared" si="17"/>
        <v>798835</v>
      </c>
      <c r="X10" s="2479" cm="1">
        <f t="array" ref="X10">IFERROR(HLOOKUP(CoStar_DataSet_Inventory_2A,CoStar_Inventory_Array,$A10,FALSE),"-")</f>
        <v>707</v>
      </c>
      <c r="Y10" s="2448">
        <f t="shared" si="18"/>
        <v>21825592</v>
      </c>
      <c r="Z10" s="2448">
        <f t="shared" si="19"/>
        <v>1325600</v>
      </c>
      <c r="AA10" s="2448" t="str">
        <f t="shared" si="20"/>
        <v>-</v>
      </c>
      <c r="AB10" s="2448" t="str">
        <f t="shared" si="21"/>
        <v>-</v>
      </c>
      <c r="AC10" s="2448" t="str">
        <f t="shared" si="22"/>
        <v>-</v>
      </c>
      <c r="AD10" s="41">
        <f t="shared" si="58"/>
        <v>11</v>
      </c>
      <c r="AE10" s="267" t="str">
        <f t="shared" si="23"/>
        <v/>
      </c>
      <c r="AF10" s="2398">
        <f t="shared" si="24"/>
        <v>1208232</v>
      </c>
      <c r="AG10" s="2398">
        <f t="shared" si="25"/>
        <v>34355</v>
      </c>
      <c r="AH10" s="2398">
        <f t="shared" si="26"/>
        <v>282533</v>
      </c>
      <c r="AI10" s="2398" t="str">
        <f t="shared" si="27"/>
        <v>-</v>
      </c>
      <c r="AJ10" s="2398">
        <f t="shared" si="28"/>
        <v>1139378</v>
      </c>
      <c r="AK10" s="2398">
        <f t="shared" si="29"/>
        <v>291985</v>
      </c>
      <c r="AL10" s="2398">
        <f t="shared" si="30"/>
        <v>282601</v>
      </c>
      <c r="AM10" s="2398" t="str">
        <f t="shared" si="31"/>
        <v>-</v>
      </c>
      <c r="AN10" s="2399">
        <f t="shared" si="59"/>
        <v>6.5000000000000002E-2</v>
      </c>
      <c r="AO10" s="2399">
        <f t="shared" si="60"/>
        <v>8.4000000000000005E-2</v>
      </c>
      <c r="AP10" s="2399">
        <f t="shared" si="61"/>
        <v>6.5000000000000002E-2</v>
      </c>
      <c r="AQ10" s="2399" t="str">
        <f t="shared" si="62"/>
        <v>-</v>
      </c>
      <c r="AR10" s="2474"/>
      <c r="AS10" s="2479">
        <f t="shared" si="32"/>
        <v>1208232</v>
      </c>
      <c r="AT10" s="2448">
        <f t="shared" si="33"/>
        <v>1139378</v>
      </c>
      <c r="AU10" s="2475">
        <f t="shared" si="34"/>
        <v>6.5000000000000002E-2</v>
      </c>
      <c r="AV10" s="2448">
        <f t="shared" si="35"/>
        <v>34355</v>
      </c>
      <c r="AW10" s="2448">
        <f t="shared" si="36"/>
        <v>291985</v>
      </c>
      <c r="AX10" s="2476">
        <f t="shared" si="37"/>
        <v>8.4000000000000005E-2</v>
      </c>
      <c r="AY10" s="2479">
        <f t="shared" si="38"/>
        <v>282533</v>
      </c>
      <c r="AZ10" s="2448">
        <f t="shared" si="39"/>
        <v>282601</v>
      </c>
      <c r="BA10" s="2475">
        <f t="shared" si="40"/>
        <v>6.5000000000000002E-2</v>
      </c>
      <c r="BB10" s="2448" t="str">
        <f t="shared" si="41"/>
        <v>-</v>
      </c>
      <c r="BC10" s="2448" t="str">
        <f t="shared" si="42"/>
        <v>-</v>
      </c>
      <c r="BD10" s="2476" t="str">
        <f t="shared" si="43"/>
        <v>-</v>
      </c>
      <c r="BE10" s="41">
        <f t="shared" si="63"/>
        <v>21</v>
      </c>
      <c r="BF10" s="267" t="str">
        <f t="shared" si="44"/>
        <v>2020 Q4</v>
      </c>
      <c r="BG10" s="2400">
        <f t="shared" si="45"/>
        <v>8.25</v>
      </c>
      <c r="BH10" s="2400">
        <f t="shared" si="46"/>
        <v>9.8000000000000007</v>
      </c>
      <c r="BI10" s="2400">
        <f t="shared" si="47"/>
        <v>9.85</v>
      </c>
      <c r="BJ10" s="2400">
        <f t="shared" si="48"/>
        <v>1</v>
      </c>
      <c r="BK10" s="2425"/>
      <c r="BL10" s="2465">
        <f t="shared" si="49"/>
        <v>8.25</v>
      </c>
      <c r="BM10" s="2466">
        <f t="shared" si="50"/>
        <v>9.8000000000000007</v>
      </c>
      <c r="BN10" s="2465">
        <f t="shared" si="51"/>
        <v>9.85</v>
      </c>
      <c r="BO10" s="2466">
        <f t="shared" si="52"/>
        <v>1</v>
      </c>
    </row>
    <row r="11" spans="1:67" x14ac:dyDescent="0.25">
      <c r="A11" s="2397">
        <f t="shared" si="64"/>
        <v>9</v>
      </c>
      <c r="B11" s="41">
        <f t="shared" si="53"/>
        <v>9</v>
      </c>
      <c r="C11" s="41">
        <f t="shared" si="54"/>
        <v>21</v>
      </c>
      <c r="D11" s="267" t="str">
        <f t="shared" si="2"/>
        <v>2020 Q4</v>
      </c>
      <c r="E11" s="2428">
        <f t="shared" si="3"/>
        <v>6878</v>
      </c>
      <c r="F11" s="2398">
        <f t="shared" si="4"/>
        <v>455</v>
      </c>
      <c r="G11" s="2398">
        <f t="shared" si="5"/>
        <v>708</v>
      </c>
      <c r="H11" s="2398" t="str">
        <f t="shared" si="6"/>
        <v>-</v>
      </c>
      <c r="I11" s="2431">
        <f t="shared" si="7"/>
        <v>219006636</v>
      </c>
      <c r="J11" s="2398">
        <f t="shared" si="8"/>
        <v>12390671</v>
      </c>
      <c r="K11" s="2398">
        <f t="shared" si="9"/>
        <v>22184858</v>
      </c>
      <c r="L11" s="2432" t="str">
        <f t="shared" si="10"/>
        <v>-</v>
      </c>
      <c r="M11" s="2398">
        <f t="shared" si="11"/>
        <v>7933291</v>
      </c>
      <c r="N11" s="2398">
        <f t="shared" si="12"/>
        <v>1334781</v>
      </c>
      <c r="O11" s="2398">
        <f t="shared" si="13"/>
        <v>2128141</v>
      </c>
      <c r="P11" s="2398" t="str">
        <f t="shared" si="14"/>
        <v>-</v>
      </c>
      <c r="Q11" s="2453"/>
      <c r="R11" s="2448">
        <f t="shared" si="55"/>
        <v>6878</v>
      </c>
      <c r="S11" s="2448">
        <f t="shared" si="56"/>
        <v>219006636</v>
      </c>
      <c r="T11" s="2448">
        <f t="shared" si="57"/>
        <v>7933291</v>
      </c>
      <c r="U11" s="2448">
        <f t="shared" si="15"/>
        <v>455</v>
      </c>
      <c r="V11" s="2448">
        <f t="shared" si="16"/>
        <v>12390671</v>
      </c>
      <c r="W11" s="2449">
        <f t="shared" si="17"/>
        <v>1334781</v>
      </c>
      <c r="X11" s="2479" cm="1">
        <f t="array" ref="X11">IFERROR(HLOOKUP(CoStar_DataSet_Inventory_2A,CoStar_Inventory_Array,$A11,FALSE),"-")</f>
        <v>708</v>
      </c>
      <c r="Y11" s="2448">
        <f t="shared" si="18"/>
        <v>22184858</v>
      </c>
      <c r="Z11" s="2448">
        <f t="shared" si="19"/>
        <v>2128141</v>
      </c>
      <c r="AA11" s="2448" t="str">
        <f t="shared" si="20"/>
        <v>-</v>
      </c>
      <c r="AB11" s="2448" t="str">
        <f t="shared" si="21"/>
        <v>-</v>
      </c>
      <c r="AC11" s="2448" t="str">
        <f t="shared" si="22"/>
        <v>-</v>
      </c>
      <c r="AD11" s="41">
        <f t="shared" si="58"/>
        <v>9</v>
      </c>
      <c r="AE11" s="267" t="str">
        <f t="shared" si="23"/>
        <v/>
      </c>
      <c r="AF11" s="2398">
        <f t="shared" si="24"/>
        <v>1925697</v>
      </c>
      <c r="AG11" s="2398">
        <f t="shared" si="25"/>
        <v>86799</v>
      </c>
      <c r="AH11" s="2398">
        <f t="shared" si="26"/>
        <v>-80356</v>
      </c>
      <c r="AI11" s="2398" t="str">
        <f t="shared" si="27"/>
        <v>-</v>
      </c>
      <c r="AJ11" s="2398">
        <f t="shared" si="28"/>
        <v>4544876</v>
      </c>
      <c r="AK11" s="2398">
        <f t="shared" si="29"/>
        <v>0</v>
      </c>
      <c r="AL11" s="2398">
        <f t="shared" si="30"/>
        <v>244750</v>
      </c>
      <c r="AM11" s="2398" t="str">
        <f t="shared" si="31"/>
        <v>-</v>
      </c>
      <c r="AN11" s="2399">
        <f t="shared" si="59"/>
        <v>7.6999999999999999E-2</v>
      </c>
      <c r="AO11" s="2399">
        <f t="shared" si="60"/>
        <v>7.1999999999999995E-2</v>
      </c>
      <c r="AP11" s="2399">
        <f t="shared" si="61"/>
        <v>8.4000000000000005E-2</v>
      </c>
      <c r="AQ11" s="2399" t="str">
        <f t="shared" si="62"/>
        <v>-</v>
      </c>
      <c r="AR11" s="2474"/>
      <c r="AS11" s="2479">
        <f t="shared" si="32"/>
        <v>1925697</v>
      </c>
      <c r="AT11" s="2448">
        <f t="shared" si="33"/>
        <v>4544876</v>
      </c>
      <c r="AU11" s="2475">
        <f t="shared" si="34"/>
        <v>7.6999999999999999E-2</v>
      </c>
      <c r="AV11" s="2448">
        <f t="shared" si="35"/>
        <v>86799</v>
      </c>
      <c r="AW11" s="2448">
        <f t="shared" si="36"/>
        <v>0</v>
      </c>
      <c r="AX11" s="2476">
        <f t="shared" si="37"/>
        <v>7.1999999999999995E-2</v>
      </c>
      <c r="AY11" s="2479">
        <f t="shared" si="38"/>
        <v>-80356</v>
      </c>
      <c r="AZ11" s="2448">
        <f t="shared" si="39"/>
        <v>244750</v>
      </c>
      <c r="BA11" s="2475">
        <f t="shared" si="40"/>
        <v>8.4000000000000005E-2</v>
      </c>
      <c r="BB11" s="2448" t="str">
        <f t="shared" si="41"/>
        <v>-</v>
      </c>
      <c r="BC11" s="2448" t="str">
        <f t="shared" si="42"/>
        <v>-</v>
      </c>
      <c r="BD11" s="2476" t="str">
        <f t="shared" si="43"/>
        <v>-</v>
      </c>
      <c r="BE11" s="41">
        <f t="shared" si="63"/>
        <v>20</v>
      </c>
      <c r="BF11" s="267" t="str">
        <f t="shared" si="44"/>
        <v>2021 Q1</v>
      </c>
      <c r="BG11" s="2400">
        <f t="shared" si="45"/>
        <v>8.4499999999999993</v>
      </c>
      <c r="BH11" s="2400">
        <f t="shared" si="46"/>
        <v>9.66</v>
      </c>
      <c r="BI11" s="2400">
        <f t="shared" si="47"/>
        <v>9.7799999999999994</v>
      </c>
      <c r="BJ11" s="2400">
        <f t="shared" si="48"/>
        <v>1</v>
      </c>
      <c r="BK11" s="2425"/>
      <c r="BL11" s="2465">
        <f t="shared" si="49"/>
        <v>8.4499999999999993</v>
      </c>
      <c r="BM11" s="2466">
        <f t="shared" si="50"/>
        <v>9.66</v>
      </c>
      <c r="BN11" s="2465">
        <f t="shared" si="51"/>
        <v>9.7799999999999994</v>
      </c>
      <c r="BO11" s="2466">
        <f t="shared" si="52"/>
        <v>1</v>
      </c>
    </row>
    <row r="12" spans="1:67" x14ac:dyDescent="0.25">
      <c r="A12" s="2397">
        <f t="shared" si="64"/>
        <v>10</v>
      </c>
      <c r="B12" s="41">
        <f t="shared" si="53"/>
        <v>7</v>
      </c>
      <c r="C12" s="41">
        <f t="shared" si="54"/>
        <v>19</v>
      </c>
      <c r="D12" s="267" t="str">
        <f t="shared" si="2"/>
        <v>2021 Q2</v>
      </c>
      <c r="E12" s="2428">
        <f t="shared" si="3"/>
        <v>6891</v>
      </c>
      <c r="F12" s="2398">
        <f t="shared" si="4"/>
        <v>456</v>
      </c>
      <c r="G12" s="2398">
        <f t="shared" si="5"/>
        <v>711</v>
      </c>
      <c r="H12" s="2398" t="str">
        <f t="shared" si="6"/>
        <v>-</v>
      </c>
      <c r="I12" s="2431">
        <f t="shared" si="7"/>
        <v>222253785</v>
      </c>
      <c r="J12" s="2398">
        <f t="shared" si="8"/>
        <v>12692490</v>
      </c>
      <c r="K12" s="2398">
        <f t="shared" si="9"/>
        <v>22573745</v>
      </c>
      <c r="L12" s="2432" t="str">
        <f t="shared" si="10"/>
        <v>-</v>
      </c>
      <c r="M12" s="2398">
        <f t="shared" si="11"/>
        <v>8990880</v>
      </c>
      <c r="N12" s="2398">
        <f t="shared" si="12"/>
        <v>1249202</v>
      </c>
      <c r="O12" s="2398">
        <f t="shared" si="13"/>
        <v>2068694</v>
      </c>
      <c r="P12" s="2398" t="str">
        <f t="shared" si="14"/>
        <v>-</v>
      </c>
      <c r="Q12" s="2453"/>
      <c r="R12" s="2448">
        <f t="shared" si="55"/>
        <v>6891</v>
      </c>
      <c r="S12" s="2448">
        <f t="shared" si="56"/>
        <v>222253785</v>
      </c>
      <c r="T12" s="2448">
        <f t="shared" si="57"/>
        <v>8990880</v>
      </c>
      <c r="U12" s="2448">
        <f t="shared" si="15"/>
        <v>456</v>
      </c>
      <c r="V12" s="2448">
        <f t="shared" si="16"/>
        <v>12692490</v>
      </c>
      <c r="W12" s="2449">
        <f t="shared" si="17"/>
        <v>1249202</v>
      </c>
      <c r="X12" s="2479" cm="1">
        <f t="array" ref="X12">IFERROR(HLOOKUP(CoStar_DataSet_Inventory_2A,CoStar_Inventory_Array,$A12,FALSE),"-")</f>
        <v>711</v>
      </c>
      <c r="Y12" s="2448">
        <f t="shared" si="18"/>
        <v>22573745</v>
      </c>
      <c r="Z12" s="2448">
        <f t="shared" si="19"/>
        <v>2068694</v>
      </c>
      <c r="AA12" s="2448" t="str">
        <f t="shared" si="20"/>
        <v>-</v>
      </c>
      <c r="AB12" s="2448" t="str">
        <f t="shared" si="21"/>
        <v>-</v>
      </c>
      <c r="AC12" s="2448" t="str">
        <f t="shared" si="22"/>
        <v>-</v>
      </c>
      <c r="AD12" s="41">
        <f t="shared" si="58"/>
        <v>7</v>
      </c>
      <c r="AE12" s="267" t="str">
        <f t="shared" si="23"/>
        <v/>
      </c>
      <c r="AF12" s="2398">
        <f t="shared" si="24"/>
        <v>795628</v>
      </c>
      <c r="AG12" s="2398">
        <f t="shared" si="25"/>
        <v>-45477</v>
      </c>
      <c r="AH12" s="2398">
        <f t="shared" si="26"/>
        <v>476150</v>
      </c>
      <c r="AI12" s="2398" t="str">
        <f t="shared" si="27"/>
        <v>-</v>
      </c>
      <c r="AJ12" s="2398">
        <f t="shared" si="28"/>
        <v>842586</v>
      </c>
      <c r="AK12" s="2398">
        <f t="shared" si="29"/>
        <v>0</v>
      </c>
      <c r="AL12" s="2398">
        <f t="shared" si="30"/>
        <v>529836</v>
      </c>
      <c r="AM12" s="2398" t="str">
        <f t="shared" si="31"/>
        <v>-</v>
      </c>
      <c r="AN12" s="2399">
        <f t="shared" si="59"/>
        <v>7.6999999999999999E-2</v>
      </c>
      <c r="AO12" s="2399">
        <f t="shared" si="60"/>
        <v>8.1000000000000003E-2</v>
      </c>
      <c r="AP12" s="2399">
        <f t="shared" si="61"/>
        <v>7.8E-2</v>
      </c>
      <c r="AQ12" s="2399" t="str">
        <f t="shared" si="62"/>
        <v>-</v>
      </c>
      <c r="AR12" s="2474"/>
      <c r="AS12" s="2479">
        <f t="shared" si="32"/>
        <v>795628</v>
      </c>
      <c r="AT12" s="2448">
        <f t="shared" si="33"/>
        <v>842586</v>
      </c>
      <c r="AU12" s="2475">
        <f t="shared" si="34"/>
        <v>7.6999999999999999E-2</v>
      </c>
      <c r="AV12" s="2448">
        <f t="shared" si="35"/>
        <v>-45477</v>
      </c>
      <c r="AW12" s="2448">
        <f t="shared" si="36"/>
        <v>0</v>
      </c>
      <c r="AX12" s="2476">
        <f t="shared" si="37"/>
        <v>8.1000000000000003E-2</v>
      </c>
      <c r="AY12" s="2479">
        <f t="shared" si="38"/>
        <v>476150</v>
      </c>
      <c r="AZ12" s="2448">
        <f t="shared" si="39"/>
        <v>529836</v>
      </c>
      <c r="BA12" s="2475">
        <f t="shared" si="40"/>
        <v>7.8E-2</v>
      </c>
      <c r="BB12" s="2448" t="str">
        <f t="shared" si="41"/>
        <v>-</v>
      </c>
      <c r="BC12" s="2448" t="str">
        <f t="shared" si="42"/>
        <v>-</v>
      </c>
      <c r="BD12" s="2476" t="str">
        <f t="shared" si="43"/>
        <v>-</v>
      </c>
      <c r="BE12" s="41">
        <f t="shared" si="63"/>
        <v>19</v>
      </c>
      <c r="BF12" s="267" t="str">
        <f t="shared" si="44"/>
        <v>2021 Q2</v>
      </c>
      <c r="BG12" s="2400">
        <f t="shared" si="45"/>
        <v>8.61</v>
      </c>
      <c r="BH12" s="2400">
        <f t="shared" si="46"/>
        <v>9.83</v>
      </c>
      <c r="BI12" s="2400">
        <f t="shared" si="47"/>
        <v>9.59</v>
      </c>
      <c r="BJ12" s="2400">
        <f t="shared" si="48"/>
        <v>1</v>
      </c>
      <c r="BK12" s="2425"/>
      <c r="BL12" s="2465">
        <f t="shared" si="49"/>
        <v>8.61</v>
      </c>
      <c r="BM12" s="2466">
        <f t="shared" si="50"/>
        <v>9.83</v>
      </c>
      <c r="BN12" s="2465">
        <f t="shared" si="51"/>
        <v>9.59</v>
      </c>
      <c r="BO12" s="2466">
        <f t="shared" si="52"/>
        <v>1</v>
      </c>
    </row>
    <row r="13" spans="1:67" x14ac:dyDescent="0.25">
      <c r="A13" s="2397">
        <f t="shared" si="64"/>
        <v>11</v>
      </c>
      <c r="B13" s="41">
        <f t="shared" si="53"/>
        <v>5</v>
      </c>
      <c r="C13" s="41">
        <f t="shared" si="54"/>
        <v>17</v>
      </c>
      <c r="D13" s="267" t="str">
        <f t="shared" si="2"/>
        <v>2021 Q4</v>
      </c>
      <c r="E13" s="2428">
        <f t="shared" si="3"/>
        <v>6896</v>
      </c>
      <c r="F13" s="2398">
        <f t="shared" si="4"/>
        <v>460</v>
      </c>
      <c r="G13" s="2398">
        <f t="shared" si="5"/>
        <v>719</v>
      </c>
      <c r="H13" s="2398" t="str">
        <f t="shared" si="6"/>
        <v>-</v>
      </c>
      <c r="I13" s="2431">
        <f t="shared" si="7"/>
        <v>227212899</v>
      </c>
      <c r="J13" s="2398">
        <f t="shared" si="8"/>
        <v>13660292</v>
      </c>
      <c r="K13" s="2398">
        <f t="shared" si="9"/>
        <v>24108965</v>
      </c>
      <c r="L13" s="2432" t="str">
        <f t="shared" si="10"/>
        <v>-</v>
      </c>
      <c r="M13" s="2398">
        <f t="shared" si="11"/>
        <v>8222445</v>
      </c>
      <c r="N13" s="2398">
        <f t="shared" si="12"/>
        <v>895530</v>
      </c>
      <c r="O13" s="2398">
        <f t="shared" si="13"/>
        <v>1425912</v>
      </c>
      <c r="P13" s="2398" t="str">
        <f t="shared" si="14"/>
        <v>-</v>
      </c>
      <c r="Q13" s="2453"/>
      <c r="R13" s="2448">
        <f t="shared" si="55"/>
        <v>6896</v>
      </c>
      <c r="S13" s="2448">
        <f t="shared" si="56"/>
        <v>227212899</v>
      </c>
      <c r="T13" s="2448">
        <f t="shared" si="57"/>
        <v>8222445</v>
      </c>
      <c r="U13" s="2448">
        <f t="shared" si="15"/>
        <v>460</v>
      </c>
      <c r="V13" s="2448">
        <f t="shared" si="16"/>
        <v>13660292</v>
      </c>
      <c r="W13" s="2449">
        <f t="shared" si="17"/>
        <v>895530</v>
      </c>
      <c r="X13" s="2479" cm="1">
        <f t="array" ref="X13">IFERROR(HLOOKUP(CoStar_DataSet_Inventory_2A,CoStar_Inventory_Array,$A13,FALSE),"-")</f>
        <v>719</v>
      </c>
      <c r="Y13" s="2448">
        <f t="shared" si="18"/>
        <v>24108965</v>
      </c>
      <c r="Z13" s="2448">
        <f t="shared" si="19"/>
        <v>1425912</v>
      </c>
      <c r="AA13" s="2448" t="str">
        <f t="shared" si="20"/>
        <v>-</v>
      </c>
      <c r="AB13" s="2448" t="str">
        <f t="shared" si="21"/>
        <v>-</v>
      </c>
      <c r="AC13" s="2448" t="str">
        <f t="shared" si="22"/>
        <v>-</v>
      </c>
      <c r="AD13" s="41">
        <f t="shared" si="58"/>
        <v>5</v>
      </c>
      <c r="AE13" s="267" t="str">
        <f t="shared" si="23"/>
        <v/>
      </c>
      <c r="AF13" s="2398">
        <f t="shared" si="24"/>
        <v>631929</v>
      </c>
      <c r="AG13" s="2398">
        <f t="shared" si="25"/>
        <v>11297</v>
      </c>
      <c r="AH13" s="2398">
        <f t="shared" si="26"/>
        <v>55732</v>
      </c>
      <c r="AI13" s="2398" t="str">
        <f t="shared" si="27"/>
        <v>-</v>
      </c>
      <c r="AJ13" s="2398">
        <f t="shared" si="28"/>
        <v>1601840</v>
      </c>
      <c r="AK13" s="2398">
        <f t="shared" si="29"/>
        <v>0</v>
      </c>
      <c r="AL13" s="2398">
        <f t="shared" si="30"/>
        <v>974775</v>
      </c>
      <c r="AM13" s="2398" t="str">
        <f t="shared" si="31"/>
        <v>-</v>
      </c>
      <c r="AN13" s="2399">
        <f t="shared" si="59"/>
        <v>7.5999999999999998E-2</v>
      </c>
      <c r="AO13" s="2399">
        <f t="shared" si="60"/>
        <v>0.13100000000000001</v>
      </c>
      <c r="AP13" s="2399">
        <f t="shared" si="61"/>
        <v>0.109</v>
      </c>
      <c r="AQ13" s="2399" t="str">
        <f t="shared" si="62"/>
        <v>-</v>
      </c>
      <c r="AR13" s="2474"/>
      <c r="AS13" s="2479">
        <f t="shared" si="32"/>
        <v>631929</v>
      </c>
      <c r="AT13" s="2448">
        <f t="shared" si="33"/>
        <v>1601840</v>
      </c>
      <c r="AU13" s="2475">
        <f t="shared" si="34"/>
        <v>7.5999999999999998E-2</v>
      </c>
      <c r="AV13" s="2448">
        <f t="shared" si="35"/>
        <v>11297</v>
      </c>
      <c r="AW13" s="2448">
        <f t="shared" si="36"/>
        <v>0</v>
      </c>
      <c r="AX13" s="2476">
        <f t="shared" si="37"/>
        <v>0.13100000000000001</v>
      </c>
      <c r="AY13" s="2479">
        <f t="shared" si="38"/>
        <v>55732</v>
      </c>
      <c r="AZ13" s="2448">
        <f t="shared" si="39"/>
        <v>974775</v>
      </c>
      <c r="BA13" s="2475">
        <f t="shared" si="40"/>
        <v>0.109</v>
      </c>
      <c r="BB13" s="2448" t="str">
        <f t="shared" si="41"/>
        <v>-</v>
      </c>
      <c r="BC13" s="2448" t="str">
        <f t="shared" si="42"/>
        <v>-</v>
      </c>
      <c r="BD13" s="2476" t="str">
        <f t="shared" si="43"/>
        <v>-</v>
      </c>
      <c r="BE13" s="41">
        <f t="shared" si="63"/>
        <v>18</v>
      </c>
      <c r="BF13" s="267" t="str">
        <f t="shared" si="44"/>
        <v>2021 Q3</v>
      </c>
      <c r="BG13" s="2400">
        <f t="shared" si="45"/>
        <v>8.6199999999999992</v>
      </c>
      <c r="BH13" s="2400">
        <f t="shared" si="46"/>
        <v>10.09</v>
      </c>
      <c r="BI13" s="2400">
        <f t="shared" si="47"/>
        <v>9.99</v>
      </c>
      <c r="BJ13" s="2400">
        <f t="shared" si="48"/>
        <v>1</v>
      </c>
      <c r="BK13" s="2425"/>
      <c r="BL13" s="2465">
        <f t="shared" si="49"/>
        <v>8.6199999999999992</v>
      </c>
      <c r="BM13" s="2466">
        <f t="shared" si="50"/>
        <v>10.09</v>
      </c>
      <c r="BN13" s="2465">
        <f t="shared" si="51"/>
        <v>9.99</v>
      </c>
      <c r="BO13" s="2466">
        <f t="shared" si="52"/>
        <v>1</v>
      </c>
    </row>
    <row r="14" spans="1:67" x14ac:dyDescent="0.25">
      <c r="A14" s="2397">
        <f t="shared" si="64"/>
        <v>12</v>
      </c>
      <c r="B14" s="41">
        <f t="shared" si="53"/>
        <v>3</v>
      </c>
      <c r="C14" s="41">
        <f t="shared" si="54"/>
        <v>15</v>
      </c>
      <c r="D14" s="267" t="str">
        <f t="shared" si="2"/>
        <v>2022 Q2</v>
      </c>
      <c r="E14" s="2428">
        <f t="shared" si="3"/>
        <v>6910</v>
      </c>
      <c r="F14" s="2398">
        <f t="shared" si="4"/>
        <v>461</v>
      </c>
      <c r="G14" s="2398">
        <f t="shared" si="5"/>
        <v>721</v>
      </c>
      <c r="H14" s="2398" t="str">
        <f t="shared" si="6"/>
        <v>-</v>
      </c>
      <c r="I14" s="2431">
        <f t="shared" si="7"/>
        <v>229774702</v>
      </c>
      <c r="J14" s="2398">
        <f t="shared" si="8"/>
        <v>13802492</v>
      </c>
      <c r="K14" s="2398">
        <f t="shared" si="9"/>
        <v>24500239</v>
      </c>
      <c r="L14" s="2432" t="str">
        <f t="shared" si="10"/>
        <v>-</v>
      </c>
      <c r="M14" s="2398">
        <f t="shared" si="11"/>
        <v>9647678</v>
      </c>
      <c r="N14" s="2398">
        <f t="shared" si="12"/>
        <v>1018239</v>
      </c>
      <c r="O14" s="2398">
        <f t="shared" si="13"/>
        <v>1442547</v>
      </c>
      <c r="P14" s="2398" t="str">
        <f t="shared" si="14"/>
        <v>-</v>
      </c>
      <c r="Q14" s="2453"/>
      <c r="R14" s="2448">
        <f t="shared" si="55"/>
        <v>6910</v>
      </c>
      <c r="S14" s="2448">
        <f t="shared" si="56"/>
        <v>229774702</v>
      </c>
      <c r="T14" s="2448">
        <f t="shared" si="57"/>
        <v>9647678</v>
      </c>
      <c r="U14" s="2448">
        <f t="shared" si="15"/>
        <v>461</v>
      </c>
      <c r="V14" s="2448">
        <f t="shared" si="16"/>
        <v>13802492</v>
      </c>
      <c r="W14" s="2449">
        <f t="shared" si="17"/>
        <v>1018239</v>
      </c>
      <c r="X14" s="2479" cm="1">
        <f t="array" ref="X14">IFERROR(HLOOKUP(CoStar_DataSet_Inventory_2A,CoStar_Inventory_Array,$A14,FALSE),"-")</f>
        <v>721</v>
      </c>
      <c r="Y14" s="2448">
        <f t="shared" si="18"/>
        <v>24500239</v>
      </c>
      <c r="Z14" s="2448">
        <f t="shared" si="19"/>
        <v>1442547</v>
      </c>
      <c r="AA14" s="2448" t="str">
        <f t="shared" si="20"/>
        <v>-</v>
      </c>
      <c r="AB14" s="2448" t="str">
        <f t="shared" si="21"/>
        <v>-</v>
      </c>
      <c r="AC14" s="2448" t="str">
        <f t="shared" si="22"/>
        <v>-</v>
      </c>
      <c r="AD14" s="41">
        <f t="shared" si="58"/>
        <v>3</v>
      </c>
      <c r="AE14" s="267" t="str">
        <f t="shared" si="23"/>
        <v/>
      </c>
      <c r="AF14" s="2398">
        <f t="shared" si="24"/>
        <v>-748981</v>
      </c>
      <c r="AG14" s="2398">
        <f t="shared" si="25"/>
        <v>176866</v>
      </c>
      <c r="AH14" s="2398">
        <f t="shared" si="26"/>
        <v>504252</v>
      </c>
      <c r="AI14" s="2398" t="str">
        <f t="shared" si="27"/>
        <v>-</v>
      </c>
      <c r="AJ14" s="2398">
        <f t="shared" si="28"/>
        <v>679611</v>
      </c>
      <c r="AK14" s="2398">
        <f t="shared" si="29"/>
        <v>343800</v>
      </c>
      <c r="AL14" s="2398">
        <f t="shared" si="30"/>
        <v>0</v>
      </c>
      <c r="AM14" s="2398" t="str">
        <f t="shared" si="31"/>
        <v>-</v>
      </c>
      <c r="AN14" s="2399">
        <f t="shared" si="59"/>
        <v>8.1000000000000003E-2</v>
      </c>
      <c r="AO14" s="2399">
        <f t="shared" si="60"/>
        <v>0.127</v>
      </c>
      <c r="AP14" s="2399">
        <f t="shared" si="61"/>
        <v>0.108</v>
      </c>
      <c r="AQ14" s="2399" t="str">
        <f t="shared" si="62"/>
        <v>-</v>
      </c>
      <c r="AR14" s="2474"/>
      <c r="AS14" s="2479">
        <f t="shared" si="32"/>
        <v>-748981</v>
      </c>
      <c r="AT14" s="2448">
        <f t="shared" si="33"/>
        <v>679611</v>
      </c>
      <c r="AU14" s="2475">
        <f t="shared" si="34"/>
        <v>8.1000000000000003E-2</v>
      </c>
      <c r="AV14" s="2448">
        <f t="shared" si="35"/>
        <v>176866</v>
      </c>
      <c r="AW14" s="2448">
        <f t="shared" si="36"/>
        <v>343800</v>
      </c>
      <c r="AX14" s="2476">
        <f t="shared" si="37"/>
        <v>0.127</v>
      </c>
      <c r="AY14" s="2479">
        <f t="shared" si="38"/>
        <v>504252</v>
      </c>
      <c r="AZ14" s="2448">
        <f t="shared" si="39"/>
        <v>0</v>
      </c>
      <c r="BA14" s="2475">
        <f t="shared" si="40"/>
        <v>0.108</v>
      </c>
      <c r="BB14" s="2448" t="str">
        <f t="shared" si="41"/>
        <v>-</v>
      </c>
      <c r="BC14" s="2448" t="str">
        <f t="shared" si="42"/>
        <v>-</v>
      </c>
      <c r="BD14" s="2476" t="str">
        <f t="shared" si="43"/>
        <v>-</v>
      </c>
      <c r="BE14" s="41">
        <f t="shared" si="63"/>
        <v>17</v>
      </c>
      <c r="BF14" s="267" t="str">
        <f t="shared" si="44"/>
        <v>2021 Q4</v>
      </c>
      <c r="BG14" s="2400">
        <f t="shared" si="45"/>
        <v>8.85</v>
      </c>
      <c r="BH14" s="2400">
        <f t="shared" si="46"/>
        <v>9.76</v>
      </c>
      <c r="BI14" s="2400">
        <f t="shared" si="47"/>
        <v>10.15</v>
      </c>
      <c r="BJ14" s="2400">
        <f t="shared" si="48"/>
        <v>1</v>
      </c>
      <c r="BK14" s="2425"/>
      <c r="BL14" s="2465">
        <f t="shared" si="49"/>
        <v>8.85</v>
      </c>
      <c r="BM14" s="2466">
        <f t="shared" si="50"/>
        <v>9.76</v>
      </c>
      <c r="BN14" s="2465">
        <f t="shared" si="51"/>
        <v>10.15</v>
      </c>
      <c r="BO14" s="2466">
        <f t="shared" si="52"/>
        <v>1</v>
      </c>
    </row>
    <row r="15" spans="1:67" x14ac:dyDescent="0.25">
      <c r="A15" s="2397">
        <f t="shared" si="64"/>
        <v>13</v>
      </c>
      <c r="B15" s="41">
        <f t="shared" si="53"/>
        <v>1</v>
      </c>
      <c r="C15" s="41">
        <f t="shared" si="54"/>
        <v>13</v>
      </c>
      <c r="D15" s="267" t="str">
        <f t="shared" si="2"/>
        <v/>
      </c>
      <c r="E15" s="2428" t="str">
        <f t="shared" si="3"/>
        <v/>
      </c>
      <c r="F15" s="2398" t="str">
        <f t="shared" si="4"/>
        <v/>
      </c>
      <c r="G15" s="2398" t="str">
        <f t="shared" si="5"/>
        <v/>
      </c>
      <c r="H15" s="2398" t="str">
        <f t="shared" si="6"/>
        <v/>
      </c>
      <c r="I15" s="2431" t="str">
        <f t="shared" si="7"/>
        <v/>
      </c>
      <c r="J15" s="2398" t="str">
        <f t="shared" si="8"/>
        <v/>
      </c>
      <c r="K15" s="2398" t="str">
        <f t="shared" si="9"/>
        <v/>
      </c>
      <c r="L15" s="2432" t="str">
        <f t="shared" si="10"/>
        <v/>
      </c>
      <c r="M15" s="2398" t="str">
        <f t="shared" si="11"/>
        <v/>
      </c>
      <c r="N15" s="2398" t="str">
        <f t="shared" si="12"/>
        <v/>
      </c>
      <c r="O15" s="2398" t="str">
        <f t="shared" si="13"/>
        <v/>
      </c>
      <c r="P15" s="2398" t="str">
        <f t="shared" si="14"/>
        <v/>
      </c>
      <c r="Q15" s="2453"/>
      <c r="R15" s="2448" t="str">
        <f t="shared" si="55"/>
        <v/>
      </c>
      <c r="S15" s="2448" t="str">
        <f t="shared" si="56"/>
        <v/>
      </c>
      <c r="T15" s="2448" t="str">
        <f t="shared" si="57"/>
        <v/>
      </c>
      <c r="U15" s="2448" t="str">
        <f t="shared" si="15"/>
        <v/>
      </c>
      <c r="V15" s="2448" t="str">
        <f t="shared" si="16"/>
        <v/>
      </c>
      <c r="W15" s="2449" t="str">
        <f t="shared" si="17"/>
        <v/>
      </c>
      <c r="X15" s="2479" t="str" cm="1">
        <f t="array" ref="X15">IFERROR(HLOOKUP(CoStar_DataSet_Inventory_2A,CoStar_Inventory_Array,$A15,FALSE),"-")</f>
        <v/>
      </c>
      <c r="Y15" s="2448" t="str">
        <f t="shared" si="18"/>
        <v/>
      </c>
      <c r="Z15" s="2448" t="str">
        <f t="shared" si="19"/>
        <v/>
      </c>
      <c r="AA15" s="2448" t="str">
        <f t="shared" si="20"/>
        <v/>
      </c>
      <c r="AB15" s="2448" t="str">
        <f t="shared" si="21"/>
        <v/>
      </c>
      <c r="AC15" s="2448" t="str">
        <f t="shared" si="22"/>
        <v/>
      </c>
      <c r="AD15" s="41">
        <f t="shared" si="58"/>
        <v>1</v>
      </c>
      <c r="AE15" s="267" t="str">
        <f t="shared" si="23"/>
        <v/>
      </c>
      <c r="AF15" s="2398" t="str">
        <f t="shared" si="24"/>
        <v/>
      </c>
      <c r="AG15" s="2398" t="str">
        <f t="shared" si="25"/>
        <v/>
      </c>
      <c r="AH15" s="2398" t="str">
        <f t="shared" si="26"/>
        <v/>
      </c>
      <c r="AI15" s="2398" t="str">
        <f t="shared" si="27"/>
        <v/>
      </c>
      <c r="AJ15" s="2398" t="str">
        <f t="shared" si="28"/>
        <v/>
      </c>
      <c r="AK15" s="2398" t="str">
        <f t="shared" si="29"/>
        <v/>
      </c>
      <c r="AL15" s="2398" t="str">
        <f t="shared" si="30"/>
        <v/>
      </c>
      <c r="AM15" s="2398" t="str">
        <f t="shared" si="31"/>
        <v/>
      </c>
      <c r="AN15" s="2399" t="str">
        <f t="shared" si="59"/>
        <v/>
      </c>
      <c r="AO15" s="2399" t="str">
        <f t="shared" si="60"/>
        <v/>
      </c>
      <c r="AP15" s="2399" t="str">
        <f t="shared" si="61"/>
        <v/>
      </c>
      <c r="AQ15" s="2399" t="str">
        <f t="shared" si="62"/>
        <v/>
      </c>
      <c r="AR15" s="2474"/>
      <c r="AS15" s="2479" t="str">
        <f t="shared" si="32"/>
        <v/>
      </c>
      <c r="AT15" s="2448"/>
      <c r="AU15" s="2475" t="str">
        <f t="shared" si="34"/>
        <v/>
      </c>
      <c r="AV15" s="2448" t="str">
        <f t="shared" si="35"/>
        <v/>
      </c>
      <c r="AW15" s="2448"/>
      <c r="AX15" s="2476" t="str">
        <f t="shared" si="37"/>
        <v/>
      </c>
      <c r="AY15" s="2479" t="str">
        <f t="shared" si="38"/>
        <v/>
      </c>
      <c r="AZ15" s="2448" t="str">
        <f t="shared" si="39"/>
        <v/>
      </c>
      <c r="BA15" s="2475" t="str">
        <f t="shared" si="40"/>
        <v/>
      </c>
      <c r="BB15" s="2448" t="str">
        <f t="shared" si="41"/>
        <v/>
      </c>
      <c r="BC15" s="2448" t="str">
        <f t="shared" si="42"/>
        <v/>
      </c>
      <c r="BD15" s="2476" t="str">
        <f t="shared" si="43"/>
        <v/>
      </c>
      <c r="BE15" s="41">
        <f t="shared" si="63"/>
        <v>16</v>
      </c>
      <c r="BF15" s="267" t="str">
        <f t="shared" si="44"/>
        <v>2022 Q1</v>
      </c>
      <c r="BG15" s="2400">
        <f t="shared" si="45"/>
        <v>9.15</v>
      </c>
      <c r="BH15" s="2400">
        <f t="shared" si="46"/>
        <v>9.44</v>
      </c>
      <c r="BI15" s="2400">
        <f t="shared" si="47"/>
        <v>9.89</v>
      </c>
      <c r="BJ15" s="2400">
        <f t="shared" si="48"/>
        <v>1</v>
      </c>
      <c r="BK15" s="2425"/>
      <c r="BL15" s="2465">
        <f t="shared" ref="BL15:BL35" si="65">IFERROR(HLOOKUP(CoStar_DataSet_Rent_1A,CoStar_Rent_Array,$A15,FALSE),"-")</f>
        <v>9.15</v>
      </c>
      <c r="BM15" s="2466">
        <f t="shared" si="50"/>
        <v>9.44</v>
      </c>
      <c r="BN15" s="2465">
        <f t="shared" si="51"/>
        <v>9.89</v>
      </c>
      <c r="BO15" s="2466">
        <f t="shared" si="52"/>
        <v>1</v>
      </c>
    </row>
    <row r="16" spans="1:67" x14ac:dyDescent="0.25">
      <c r="A16" s="2397">
        <f t="shared" si="64"/>
        <v>14</v>
      </c>
      <c r="B16" s="41">
        <f t="shared" si="53"/>
        <v>-1</v>
      </c>
      <c r="C16" s="41">
        <f t="shared" si="54"/>
        <v>11</v>
      </c>
      <c r="D16" s="267" t="str">
        <f t="shared" si="2"/>
        <v/>
      </c>
      <c r="E16" s="2428" t="str">
        <f t="shared" si="3"/>
        <v/>
      </c>
      <c r="F16" s="2398" t="str">
        <f t="shared" si="4"/>
        <v/>
      </c>
      <c r="G16" s="2398" t="str">
        <f t="shared" si="5"/>
        <v/>
      </c>
      <c r="H16" s="2398" t="str">
        <f t="shared" si="6"/>
        <v/>
      </c>
      <c r="I16" s="2431" t="str">
        <f t="shared" si="7"/>
        <v/>
      </c>
      <c r="J16" s="2398" t="str">
        <f t="shared" si="8"/>
        <v/>
      </c>
      <c r="K16" s="2398" t="str">
        <f t="shared" si="9"/>
        <v/>
      </c>
      <c r="L16" s="2432" t="str">
        <f t="shared" si="10"/>
        <v/>
      </c>
      <c r="M16" s="2398" t="str">
        <f t="shared" si="11"/>
        <v/>
      </c>
      <c r="N16" s="2398" t="str">
        <f t="shared" si="12"/>
        <v/>
      </c>
      <c r="O16" s="2398" t="str">
        <f t="shared" si="13"/>
        <v/>
      </c>
      <c r="P16" s="2398" t="str">
        <f t="shared" si="14"/>
        <v/>
      </c>
      <c r="Q16" s="2453"/>
      <c r="R16" s="2448" t="str">
        <f t="shared" si="55"/>
        <v/>
      </c>
      <c r="S16" s="2448" t="str">
        <f t="shared" si="56"/>
        <v/>
      </c>
      <c r="T16" s="2448" t="str">
        <f t="shared" si="57"/>
        <v/>
      </c>
      <c r="U16" s="2448" t="str">
        <f t="shared" si="15"/>
        <v/>
      </c>
      <c r="V16" s="2448" t="str">
        <f t="shared" si="16"/>
        <v/>
      </c>
      <c r="W16" s="2449" t="str">
        <f t="shared" si="17"/>
        <v/>
      </c>
      <c r="X16" s="2479" t="str" cm="1">
        <f t="array" ref="X16">IFERROR(HLOOKUP(CoStar_DataSet_Inventory_2A,CoStar_Inventory_Array,$A16,FALSE),"-")</f>
        <v/>
      </c>
      <c r="Y16" s="2448" t="str">
        <f t="shared" si="18"/>
        <v/>
      </c>
      <c r="Z16" s="2448" t="str">
        <f t="shared" si="19"/>
        <v/>
      </c>
      <c r="AA16" s="2448" t="str">
        <f t="shared" si="20"/>
        <v/>
      </c>
      <c r="AB16" s="2448" t="str">
        <f t="shared" si="21"/>
        <v/>
      </c>
      <c r="AC16" s="2448" t="str">
        <f t="shared" si="22"/>
        <v/>
      </c>
      <c r="AD16" s="41">
        <f t="shared" si="58"/>
        <v>-1</v>
      </c>
      <c r="AE16" s="267" t="str">
        <f t="shared" si="23"/>
        <v/>
      </c>
      <c r="AF16" s="2398" t="str">
        <f t="shared" si="24"/>
        <v/>
      </c>
      <c r="AG16" s="2398" t="str">
        <f t="shared" si="25"/>
        <v/>
      </c>
      <c r="AH16" s="2398" t="str">
        <f t="shared" si="26"/>
        <v/>
      </c>
      <c r="AI16" s="2398" t="str">
        <f t="shared" si="27"/>
        <v/>
      </c>
      <c r="AJ16" s="2398" t="str">
        <f t="shared" si="28"/>
        <v/>
      </c>
      <c r="AK16" s="2398" t="str">
        <f t="shared" si="29"/>
        <v/>
      </c>
      <c r="AL16" s="2398" t="str">
        <f t="shared" si="30"/>
        <v/>
      </c>
      <c r="AM16" s="2398" t="str">
        <f t="shared" si="31"/>
        <v/>
      </c>
      <c r="AN16" s="2399" t="str">
        <f t="shared" si="59"/>
        <v/>
      </c>
      <c r="AO16" s="2399" t="str">
        <f t="shared" si="60"/>
        <v/>
      </c>
      <c r="AP16" s="2399" t="str">
        <f t="shared" si="61"/>
        <v/>
      </c>
      <c r="AQ16" s="2399" t="str">
        <f t="shared" si="62"/>
        <v/>
      </c>
      <c r="AR16" s="2474"/>
      <c r="AS16" s="2479" t="str">
        <f t="shared" si="32"/>
        <v/>
      </c>
      <c r="AT16" s="2448"/>
      <c r="AU16" s="2475" t="str">
        <f t="shared" si="34"/>
        <v/>
      </c>
      <c r="AV16" s="2448" t="str">
        <f t="shared" si="35"/>
        <v/>
      </c>
      <c r="AW16" s="2448"/>
      <c r="AX16" s="2476" t="str">
        <f t="shared" si="37"/>
        <v/>
      </c>
      <c r="AY16" s="2479" t="str">
        <f t="shared" si="38"/>
        <v/>
      </c>
      <c r="AZ16" s="2448" t="str">
        <f t="shared" si="39"/>
        <v/>
      </c>
      <c r="BA16" s="2475" t="str">
        <f t="shared" si="40"/>
        <v/>
      </c>
      <c r="BB16" s="2448" t="str">
        <f t="shared" si="41"/>
        <v/>
      </c>
      <c r="BC16" s="2448" t="str">
        <f t="shared" si="42"/>
        <v/>
      </c>
      <c r="BD16" s="2476" t="str">
        <f t="shared" si="43"/>
        <v/>
      </c>
      <c r="BE16" s="41">
        <f t="shared" si="63"/>
        <v>15</v>
      </c>
      <c r="BF16" s="267" t="str">
        <f t="shared" si="44"/>
        <v>2022 Q2</v>
      </c>
      <c r="BG16" s="2400">
        <f t="shared" si="45"/>
        <v>8.99</v>
      </c>
      <c r="BH16" s="2400">
        <f t="shared" si="46"/>
        <v>9.8000000000000007</v>
      </c>
      <c r="BI16" s="2400">
        <f t="shared" si="47"/>
        <v>9.68</v>
      </c>
      <c r="BJ16" s="2400">
        <f t="shared" si="48"/>
        <v>1</v>
      </c>
      <c r="BK16" s="2425"/>
      <c r="BL16" s="2465">
        <f t="shared" si="65"/>
        <v>8.99</v>
      </c>
      <c r="BM16" s="2466">
        <f t="shared" si="50"/>
        <v>9.8000000000000007</v>
      </c>
      <c r="BN16" s="2465">
        <f t="shared" si="51"/>
        <v>9.68</v>
      </c>
      <c r="BO16" s="2466">
        <f t="shared" si="52"/>
        <v>1</v>
      </c>
    </row>
    <row r="17" spans="1:67" x14ac:dyDescent="0.25">
      <c r="A17" s="2397">
        <f t="shared" si="64"/>
        <v>15</v>
      </c>
      <c r="B17" s="41">
        <f t="shared" si="53"/>
        <v>-3</v>
      </c>
      <c r="C17" s="41">
        <f t="shared" si="54"/>
        <v>9</v>
      </c>
      <c r="D17" s="267" t="str">
        <f t="shared" si="2"/>
        <v/>
      </c>
      <c r="E17" s="2428" t="str">
        <f t="shared" si="3"/>
        <v/>
      </c>
      <c r="F17" s="2398" t="str">
        <f t="shared" si="4"/>
        <v/>
      </c>
      <c r="G17" s="2398" t="str">
        <f t="shared" si="5"/>
        <v/>
      </c>
      <c r="H17" s="2398" t="str">
        <f t="shared" si="6"/>
        <v/>
      </c>
      <c r="I17" s="2431" t="str">
        <f t="shared" si="7"/>
        <v/>
      </c>
      <c r="J17" s="2398" t="str">
        <f t="shared" si="8"/>
        <v/>
      </c>
      <c r="K17" s="2398" t="str">
        <f t="shared" si="9"/>
        <v/>
      </c>
      <c r="L17" s="2432" t="str">
        <f t="shared" si="10"/>
        <v/>
      </c>
      <c r="M17" s="2398" t="str">
        <f t="shared" si="11"/>
        <v/>
      </c>
      <c r="N17" s="2398" t="str">
        <f t="shared" si="12"/>
        <v/>
      </c>
      <c r="O17" s="2398" t="str">
        <f t="shared" si="13"/>
        <v/>
      </c>
      <c r="P17" s="2398" t="str">
        <f t="shared" si="14"/>
        <v/>
      </c>
      <c r="Q17" s="2453"/>
      <c r="R17" s="2448" t="str">
        <f t="shared" si="55"/>
        <v/>
      </c>
      <c r="S17" s="2448" t="str">
        <f t="shared" si="56"/>
        <v/>
      </c>
      <c r="T17" s="2448" t="str">
        <f t="shared" si="57"/>
        <v/>
      </c>
      <c r="U17" s="2448" t="str">
        <f t="shared" si="15"/>
        <v/>
      </c>
      <c r="V17" s="2448" t="str">
        <f t="shared" si="16"/>
        <v/>
      </c>
      <c r="W17" s="2449" t="str">
        <f t="shared" si="17"/>
        <v/>
      </c>
      <c r="X17" s="2479" t="str" cm="1">
        <f t="array" ref="X17">IFERROR(HLOOKUP(CoStar_DataSet_Inventory_2A,CoStar_Inventory_Array,$A17,FALSE),"-")</f>
        <v/>
      </c>
      <c r="Y17" s="2448" t="str">
        <f t="shared" si="18"/>
        <v/>
      </c>
      <c r="Z17" s="2448" t="str">
        <f t="shared" si="19"/>
        <v/>
      </c>
      <c r="AA17" s="2448" t="str">
        <f t="shared" si="20"/>
        <v/>
      </c>
      <c r="AB17" s="2448" t="str">
        <f t="shared" si="21"/>
        <v/>
      </c>
      <c r="AC17" s="2448" t="str">
        <f t="shared" si="22"/>
        <v/>
      </c>
      <c r="AD17" s="41">
        <f t="shared" si="58"/>
        <v>-3</v>
      </c>
      <c r="AE17" s="267" t="str">
        <f t="shared" si="23"/>
        <v/>
      </c>
      <c r="AF17" s="2398" t="str">
        <f t="shared" si="24"/>
        <v/>
      </c>
      <c r="AG17" s="2398" t="str">
        <f t="shared" si="25"/>
        <v/>
      </c>
      <c r="AH17" s="2398" t="str">
        <f t="shared" si="26"/>
        <v/>
      </c>
      <c r="AI17" s="2398" t="str">
        <f t="shared" si="27"/>
        <v/>
      </c>
      <c r="AJ17" s="2398" t="str">
        <f t="shared" si="28"/>
        <v/>
      </c>
      <c r="AK17" s="2398" t="str">
        <f t="shared" si="29"/>
        <v/>
      </c>
      <c r="AL17" s="2398" t="str">
        <f t="shared" si="30"/>
        <v/>
      </c>
      <c r="AM17" s="2398" t="str">
        <f t="shared" si="31"/>
        <v/>
      </c>
      <c r="AN17" s="2399" t="str">
        <f t="shared" si="59"/>
        <v/>
      </c>
      <c r="AO17" s="2399" t="str">
        <f t="shared" si="60"/>
        <v/>
      </c>
      <c r="AP17" s="2399" t="str">
        <f t="shared" si="61"/>
        <v/>
      </c>
      <c r="AQ17" s="2399" t="str">
        <f t="shared" si="62"/>
        <v/>
      </c>
      <c r="AR17" s="2474"/>
      <c r="AS17" s="2479" t="str">
        <f t="shared" si="32"/>
        <v/>
      </c>
      <c r="AT17" s="2448"/>
      <c r="AU17" s="2475" t="str">
        <f t="shared" si="34"/>
        <v/>
      </c>
      <c r="AV17" s="2448" t="str">
        <f t="shared" si="35"/>
        <v/>
      </c>
      <c r="AW17" s="2448"/>
      <c r="AX17" s="2476" t="str">
        <f t="shared" si="37"/>
        <v/>
      </c>
      <c r="AY17" s="2479" t="str">
        <f t="shared" si="38"/>
        <v/>
      </c>
      <c r="AZ17" s="2448" t="str">
        <f t="shared" si="39"/>
        <v/>
      </c>
      <c r="BA17" s="2475" t="str">
        <f t="shared" si="40"/>
        <v/>
      </c>
      <c r="BB17" s="2448" t="str">
        <f t="shared" si="41"/>
        <v/>
      </c>
      <c r="BC17" s="2448" t="str">
        <f t="shared" si="42"/>
        <v/>
      </c>
      <c r="BD17" s="2476" t="str">
        <f t="shared" si="43"/>
        <v/>
      </c>
      <c r="BE17" s="41">
        <f t="shared" si="63"/>
        <v>14</v>
      </c>
      <c r="BF17" s="267" t="str">
        <f t="shared" si="44"/>
        <v/>
      </c>
      <c r="BG17" s="2400" t="str">
        <f t="shared" si="45"/>
        <v/>
      </c>
      <c r="BH17" s="2400" t="str">
        <f t="shared" si="46"/>
        <v/>
      </c>
      <c r="BI17" s="2400" t="str">
        <f t="shared" si="47"/>
        <v/>
      </c>
      <c r="BJ17" s="2400" t="str">
        <f t="shared" si="48"/>
        <v/>
      </c>
      <c r="BK17" s="2425"/>
      <c r="BL17" s="2465" t="str">
        <f t="shared" si="65"/>
        <v/>
      </c>
      <c r="BM17" s="2466" t="str">
        <f t="shared" si="50"/>
        <v/>
      </c>
      <c r="BN17" s="2465" t="str">
        <f t="shared" si="51"/>
        <v/>
      </c>
      <c r="BO17" s="2466" t="str">
        <f t="shared" si="52"/>
        <v/>
      </c>
    </row>
    <row r="18" spans="1:67" x14ac:dyDescent="0.25">
      <c r="A18" s="2397">
        <f t="shared" si="64"/>
        <v>16</v>
      </c>
      <c r="B18" s="41">
        <f t="shared" si="53"/>
        <v>-5</v>
      </c>
      <c r="C18" s="41">
        <f t="shared" si="54"/>
        <v>7</v>
      </c>
      <c r="D18" s="267" t="str">
        <f t="shared" si="2"/>
        <v/>
      </c>
      <c r="E18" s="2428" t="str">
        <f t="shared" si="3"/>
        <v/>
      </c>
      <c r="F18" s="2398" t="str">
        <f t="shared" si="4"/>
        <v/>
      </c>
      <c r="G18" s="2398" t="str">
        <f t="shared" si="5"/>
        <v/>
      </c>
      <c r="H18" s="2398" t="str">
        <f t="shared" si="6"/>
        <v/>
      </c>
      <c r="I18" s="2431" t="str">
        <f t="shared" si="7"/>
        <v/>
      </c>
      <c r="J18" s="2398" t="str">
        <f t="shared" si="8"/>
        <v/>
      </c>
      <c r="K18" s="2398" t="str">
        <f t="shared" si="9"/>
        <v/>
      </c>
      <c r="L18" s="2432" t="str">
        <f t="shared" si="10"/>
        <v/>
      </c>
      <c r="M18" s="2398" t="str">
        <f t="shared" si="11"/>
        <v/>
      </c>
      <c r="N18" s="2398" t="str">
        <f t="shared" si="12"/>
        <v/>
      </c>
      <c r="O18" s="2398" t="str">
        <f t="shared" si="13"/>
        <v/>
      </c>
      <c r="P18" s="2398" t="str">
        <f t="shared" si="14"/>
        <v/>
      </c>
      <c r="Q18" s="2453"/>
      <c r="R18" s="2448" t="str">
        <f t="shared" si="55"/>
        <v/>
      </c>
      <c r="S18" s="2448" t="str">
        <f t="shared" si="56"/>
        <v/>
      </c>
      <c r="T18" s="2448" t="str">
        <f t="shared" si="57"/>
        <v/>
      </c>
      <c r="U18" s="2448" t="str">
        <f t="shared" si="15"/>
        <v/>
      </c>
      <c r="V18" s="2448" t="str">
        <f t="shared" si="16"/>
        <v/>
      </c>
      <c r="W18" s="2449" t="str">
        <f t="shared" si="17"/>
        <v/>
      </c>
      <c r="X18" s="2479" t="str" cm="1">
        <f t="array" ref="X18">IFERROR(HLOOKUP(CoStar_DataSet_Inventory_2A,CoStar_Inventory_Array,$A18,FALSE),"-")</f>
        <v/>
      </c>
      <c r="Y18" s="2448" t="str">
        <f t="shared" si="18"/>
        <v/>
      </c>
      <c r="Z18" s="2448" t="str">
        <f t="shared" si="19"/>
        <v/>
      </c>
      <c r="AA18" s="2448" t="str">
        <f t="shared" si="20"/>
        <v/>
      </c>
      <c r="AB18" s="2448" t="str">
        <f t="shared" si="21"/>
        <v/>
      </c>
      <c r="AC18" s="2448" t="str">
        <f t="shared" si="22"/>
        <v/>
      </c>
      <c r="AD18" s="41">
        <f t="shared" si="58"/>
        <v>-5</v>
      </c>
      <c r="AE18" s="267" t="str">
        <f t="shared" si="23"/>
        <v/>
      </c>
      <c r="AF18" s="2398" t="str">
        <f t="shared" si="24"/>
        <v/>
      </c>
      <c r="AG18" s="2398" t="str">
        <f t="shared" si="25"/>
        <v/>
      </c>
      <c r="AH18" s="2398" t="str">
        <f t="shared" si="26"/>
        <v/>
      </c>
      <c r="AI18" s="2398" t="str">
        <f t="shared" si="27"/>
        <v/>
      </c>
      <c r="AJ18" s="2398" t="str">
        <f t="shared" si="28"/>
        <v/>
      </c>
      <c r="AK18" s="2398" t="str">
        <f t="shared" si="29"/>
        <v/>
      </c>
      <c r="AL18" s="2398" t="str">
        <f t="shared" si="30"/>
        <v/>
      </c>
      <c r="AM18" s="2398" t="str">
        <f t="shared" si="31"/>
        <v/>
      </c>
      <c r="AN18" s="2399" t="str">
        <f t="shared" si="59"/>
        <v/>
      </c>
      <c r="AO18" s="2399" t="str">
        <f t="shared" si="60"/>
        <v/>
      </c>
      <c r="AP18" s="2399" t="str">
        <f t="shared" si="61"/>
        <v/>
      </c>
      <c r="AQ18" s="2399" t="str">
        <f t="shared" si="62"/>
        <v/>
      </c>
      <c r="AR18" s="2474"/>
      <c r="AS18" s="2479" t="str">
        <f t="shared" si="32"/>
        <v/>
      </c>
      <c r="AT18" s="2448"/>
      <c r="AU18" s="2475" t="str">
        <f t="shared" si="34"/>
        <v/>
      </c>
      <c r="AV18" s="2448" t="str">
        <f t="shared" si="35"/>
        <v/>
      </c>
      <c r="AW18" s="2448"/>
      <c r="AX18" s="2476" t="str">
        <f t="shared" si="37"/>
        <v/>
      </c>
      <c r="AY18" s="2479" t="str">
        <f t="shared" si="38"/>
        <v/>
      </c>
      <c r="AZ18" s="2448" t="str">
        <f t="shared" si="39"/>
        <v/>
      </c>
      <c r="BA18" s="2475" t="str">
        <f t="shared" si="40"/>
        <v/>
      </c>
      <c r="BB18" s="2448" t="str">
        <f t="shared" si="41"/>
        <v/>
      </c>
      <c r="BC18" s="2448" t="str">
        <f t="shared" si="42"/>
        <v/>
      </c>
      <c r="BD18" s="2476" t="str">
        <f t="shared" si="43"/>
        <v/>
      </c>
      <c r="BE18" s="41">
        <f t="shared" si="63"/>
        <v>13</v>
      </c>
      <c r="BF18" s="267" t="str">
        <f t="shared" si="44"/>
        <v/>
      </c>
      <c r="BG18" s="2400" t="str">
        <f t="shared" si="45"/>
        <v/>
      </c>
      <c r="BH18" s="2400" t="str">
        <f t="shared" si="46"/>
        <v/>
      </c>
      <c r="BI18" s="2400" t="str">
        <f t="shared" si="47"/>
        <v/>
      </c>
      <c r="BJ18" s="2400" t="str">
        <f t="shared" si="48"/>
        <v/>
      </c>
      <c r="BK18" s="2425"/>
      <c r="BL18" s="2465" t="str">
        <f t="shared" si="65"/>
        <v/>
      </c>
      <c r="BM18" s="2466" t="str">
        <f t="shared" si="50"/>
        <v/>
      </c>
      <c r="BN18" s="2465" t="str">
        <f t="shared" si="51"/>
        <v/>
      </c>
      <c r="BO18" s="2466" t="str">
        <f t="shared" si="52"/>
        <v/>
      </c>
    </row>
    <row r="19" spans="1:67" x14ac:dyDescent="0.25">
      <c r="A19" s="2397">
        <f t="shared" si="64"/>
        <v>17</v>
      </c>
      <c r="B19" s="41">
        <f t="shared" si="53"/>
        <v>-7</v>
      </c>
      <c r="C19" s="41">
        <f t="shared" si="54"/>
        <v>5</v>
      </c>
      <c r="D19" s="267" t="str">
        <f t="shared" si="2"/>
        <v/>
      </c>
      <c r="E19" s="2428" t="str">
        <f t="shared" si="3"/>
        <v/>
      </c>
      <c r="F19" s="2398" t="str">
        <f t="shared" si="4"/>
        <v/>
      </c>
      <c r="G19" s="2398" t="str">
        <f t="shared" si="5"/>
        <v/>
      </c>
      <c r="H19" s="2398" t="str">
        <f t="shared" si="6"/>
        <v/>
      </c>
      <c r="I19" s="2431" t="str">
        <f t="shared" si="7"/>
        <v/>
      </c>
      <c r="J19" s="2398" t="str">
        <f t="shared" si="8"/>
        <v/>
      </c>
      <c r="K19" s="2398" t="str">
        <f t="shared" si="9"/>
        <v/>
      </c>
      <c r="L19" s="2432" t="str">
        <f t="shared" si="10"/>
        <v/>
      </c>
      <c r="M19" s="2398" t="str">
        <f t="shared" si="11"/>
        <v/>
      </c>
      <c r="N19" s="2398" t="str">
        <f t="shared" si="12"/>
        <v/>
      </c>
      <c r="O19" s="2398" t="str">
        <f t="shared" si="13"/>
        <v/>
      </c>
      <c r="P19" s="2398" t="str">
        <f t="shared" si="14"/>
        <v/>
      </c>
      <c r="Q19" s="2453"/>
      <c r="R19" s="2448" t="str">
        <f t="shared" si="55"/>
        <v/>
      </c>
      <c r="S19" s="2448" t="str">
        <f t="shared" si="56"/>
        <v/>
      </c>
      <c r="T19" s="2448" t="str">
        <f t="shared" si="57"/>
        <v/>
      </c>
      <c r="U19" s="2448" t="str">
        <f t="shared" si="15"/>
        <v/>
      </c>
      <c r="V19" s="2448" t="str">
        <f t="shared" si="16"/>
        <v/>
      </c>
      <c r="W19" s="2449" t="str">
        <f t="shared" si="17"/>
        <v/>
      </c>
      <c r="X19" s="2479" t="str" cm="1">
        <f t="array" ref="X19">IFERROR(HLOOKUP(CoStar_DataSet_Inventory_2A,CoStar_Inventory_Array,$A19,FALSE),"-")</f>
        <v/>
      </c>
      <c r="Y19" s="2448" t="str">
        <f t="shared" si="18"/>
        <v/>
      </c>
      <c r="Z19" s="2448" t="str">
        <f t="shared" si="19"/>
        <v/>
      </c>
      <c r="AA19" s="2448" t="str">
        <f t="shared" si="20"/>
        <v/>
      </c>
      <c r="AB19" s="2448" t="str">
        <f t="shared" si="21"/>
        <v/>
      </c>
      <c r="AC19" s="2448" t="str">
        <f t="shared" si="22"/>
        <v/>
      </c>
      <c r="AD19" s="41">
        <f t="shared" si="58"/>
        <v>-7</v>
      </c>
      <c r="AE19" s="267" t="str">
        <f t="shared" si="23"/>
        <v/>
      </c>
      <c r="AF19" s="2398" t="str">
        <f t="shared" si="24"/>
        <v/>
      </c>
      <c r="AG19" s="2398" t="str">
        <f t="shared" si="25"/>
        <v/>
      </c>
      <c r="AH19" s="2398" t="str">
        <f t="shared" si="26"/>
        <v/>
      </c>
      <c r="AI19" s="2398" t="str">
        <f t="shared" si="27"/>
        <v/>
      </c>
      <c r="AJ19" s="2398" t="str">
        <f t="shared" si="28"/>
        <v/>
      </c>
      <c r="AK19" s="2398" t="str">
        <f t="shared" si="29"/>
        <v/>
      </c>
      <c r="AL19" s="2398" t="str">
        <f t="shared" si="30"/>
        <v/>
      </c>
      <c r="AM19" s="2398" t="str">
        <f t="shared" si="31"/>
        <v/>
      </c>
      <c r="AN19" s="2399" t="str">
        <f t="shared" si="59"/>
        <v/>
      </c>
      <c r="AO19" s="2399" t="str">
        <f t="shared" si="60"/>
        <v/>
      </c>
      <c r="AP19" s="2399" t="str">
        <f t="shared" si="61"/>
        <v/>
      </c>
      <c r="AQ19" s="2399" t="str">
        <f t="shared" si="62"/>
        <v/>
      </c>
      <c r="AR19" s="2474"/>
      <c r="AS19" s="2479" t="str">
        <f t="shared" si="32"/>
        <v/>
      </c>
      <c r="AT19" s="2448"/>
      <c r="AU19" s="2475" t="str">
        <f t="shared" si="34"/>
        <v/>
      </c>
      <c r="AV19" s="2448" t="str">
        <f t="shared" si="35"/>
        <v/>
      </c>
      <c r="AW19" s="2448"/>
      <c r="AX19" s="2476" t="str">
        <f t="shared" si="37"/>
        <v/>
      </c>
      <c r="AY19" s="2479" t="str">
        <f t="shared" si="38"/>
        <v/>
      </c>
      <c r="AZ19" s="2448" t="str">
        <f t="shared" si="39"/>
        <v/>
      </c>
      <c r="BA19" s="2475" t="str">
        <f t="shared" si="40"/>
        <v/>
      </c>
      <c r="BB19" s="2448" t="str">
        <f t="shared" si="41"/>
        <v/>
      </c>
      <c r="BC19" s="2448" t="str">
        <f t="shared" si="42"/>
        <v/>
      </c>
      <c r="BD19" s="2476" t="str">
        <f t="shared" si="43"/>
        <v/>
      </c>
      <c r="BE19" s="41">
        <f t="shared" si="63"/>
        <v>12</v>
      </c>
      <c r="BF19" s="267" t="str">
        <f t="shared" si="44"/>
        <v/>
      </c>
      <c r="BG19" s="2400" t="str">
        <f t="shared" si="45"/>
        <v/>
      </c>
      <c r="BH19" s="2400" t="str">
        <f t="shared" si="46"/>
        <v/>
      </c>
      <c r="BI19" s="2400" t="str">
        <f t="shared" si="47"/>
        <v/>
      </c>
      <c r="BJ19" s="2400" t="str">
        <f t="shared" si="48"/>
        <v/>
      </c>
      <c r="BK19" s="2425"/>
      <c r="BL19" s="2465" t="str">
        <f t="shared" si="65"/>
        <v/>
      </c>
      <c r="BM19" s="2466" t="str">
        <f t="shared" si="50"/>
        <v/>
      </c>
      <c r="BN19" s="2465" t="str">
        <f t="shared" si="51"/>
        <v/>
      </c>
      <c r="BO19" s="2466" t="str">
        <f t="shared" si="52"/>
        <v/>
      </c>
    </row>
    <row r="20" spans="1:67" x14ac:dyDescent="0.25">
      <c r="A20" s="2397">
        <f t="shared" si="64"/>
        <v>18</v>
      </c>
      <c r="B20" s="41">
        <f t="shared" si="53"/>
        <v>-9</v>
      </c>
      <c r="C20" s="41">
        <f t="shared" si="54"/>
        <v>3</v>
      </c>
      <c r="D20" s="267" t="str">
        <f t="shared" si="2"/>
        <v/>
      </c>
      <c r="E20" s="2428" t="str">
        <f t="shared" si="3"/>
        <v/>
      </c>
      <c r="F20" s="2398" t="str">
        <f t="shared" si="4"/>
        <v/>
      </c>
      <c r="G20" s="2398" t="str">
        <f t="shared" si="5"/>
        <v/>
      </c>
      <c r="H20" s="2398" t="str">
        <f t="shared" si="6"/>
        <v/>
      </c>
      <c r="I20" s="2431" t="str">
        <f t="shared" si="7"/>
        <v/>
      </c>
      <c r="J20" s="2398" t="str">
        <f t="shared" si="8"/>
        <v/>
      </c>
      <c r="K20" s="2398" t="str">
        <f t="shared" si="9"/>
        <v/>
      </c>
      <c r="L20" s="2432" t="str">
        <f t="shared" si="10"/>
        <v/>
      </c>
      <c r="M20" s="2398" t="str">
        <f t="shared" si="11"/>
        <v/>
      </c>
      <c r="N20" s="2398" t="str">
        <f t="shared" si="12"/>
        <v/>
      </c>
      <c r="O20" s="2398" t="str">
        <f t="shared" si="13"/>
        <v/>
      </c>
      <c r="P20" s="2398" t="str">
        <f t="shared" si="14"/>
        <v/>
      </c>
      <c r="Q20" s="2453"/>
      <c r="R20" s="2448" t="str">
        <f t="shared" si="55"/>
        <v/>
      </c>
      <c r="S20" s="2448" t="str">
        <f t="shared" si="56"/>
        <v/>
      </c>
      <c r="T20" s="2448" t="str">
        <f t="shared" si="57"/>
        <v/>
      </c>
      <c r="U20" s="2448" t="str">
        <f t="shared" si="15"/>
        <v/>
      </c>
      <c r="V20" s="2448" t="str">
        <f t="shared" si="16"/>
        <v/>
      </c>
      <c r="W20" s="2449" t="str">
        <f t="shared" si="17"/>
        <v/>
      </c>
      <c r="X20" s="2479" t="str" cm="1">
        <f t="array" ref="X20">IFERROR(HLOOKUP(CoStar_DataSet_Inventory_2A,CoStar_Inventory_Array,$A20,FALSE),"-")</f>
        <v/>
      </c>
      <c r="Y20" s="2448" t="str">
        <f t="shared" si="18"/>
        <v/>
      </c>
      <c r="Z20" s="2448" t="str">
        <f t="shared" si="19"/>
        <v/>
      </c>
      <c r="AA20" s="2448" t="str">
        <f t="shared" si="20"/>
        <v/>
      </c>
      <c r="AB20" s="2448" t="str">
        <f t="shared" si="21"/>
        <v/>
      </c>
      <c r="AC20" s="2448" t="str">
        <f t="shared" si="22"/>
        <v/>
      </c>
      <c r="AD20" s="41">
        <f t="shared" si="58"/>
        <v>-9</v>
      </c>
      <c r="AE20" s="267" t="str">
        <f t="shared" si="23"/>
        <v/>
      </c>
      <c r="AF20" s="2398" t="str">
        <f t="shared" si="24"/>
        <v/>
      </c>
      <c r="AG20" s="2398" t="str">
        <f t="shared" si="25"/>
        <v/>
      </c>
      <c r="AH20" s="2398" t="str">
        <f t="shared" si="26"/>
        <v/>
      </c>
      <c r="AI20" s="2398" t="str">
        <f t="shared" si="27"/>
        <v/>
      </c>
      <c r="AJ20" s="2398" t="str">
        <f t="shared" si="28"/>
        <v/>
      </c>
      <c r="AK20" s="2398" t="str">
        <f t="shared" si="29"/>
        <v/>
      </c>
      <c r="AL20" s="2398" t="str">
        <f t="shared" si="30"/>
        <v/>
      </c>
      <c r="AM20" s="2398" t="str">
        <f t="shared" si="31"/>
        <v/>
      </c>
      <c r="AN20" s="2399" t="str">
        <f t="shared" si="59"/>
        <v/>
      </c>
      <c r="AO20" s="2399" t="str">
        <f t="shared" si="60"/>
        <v/>
      </c>
      <c r="AP20" s="2399" t="str">
        <f t="shared" si="61"/>
        <v/>
      </c>
      <c r="AQ20" s="2399" t="str">
        <f t="shared" si="62"/>
        <v/>
      </c>
      <c r="AR20" s="2474"/>
      <c r="AS20" s="2479" t="str">
        <f t="shared" si="32"/>
        <v/>
      </c>
      <c r="AT20" s="2448"/>
      <c r="AU20" s="2475" t="str">
        <f t="shared" si="34"/>
        <v/>
      </c>
      <c r="AV20" s="2448" t="str">
        <f t="shared" si="35"/>
        <v/>
      </c>
      <c r="AW20" s="2448"/>
      <c r="AX20" s="2476" t="str">
        <f t="shared" si="37"/>
        <v/>
      </c>
      <c r="AY20" s="2479" t="str">
        <f t="shared" si="38"/>
        <v/>
      </c>
      <c r="AZ20" s="2448" t="str">
        <f t="shared" si="39"/>
        <v/>
      </c>
      <c r="BA20" s="2475" t="str">
        <f t="shared" si="40"/>
        <v/>
      </c>
      <c r="BB20" s="2448" t="str">
        <f t="shared" si="41"/>
        <v/>
      </c>
      <c r="BC20" s="2448" t="str">
        <f t="shared" si="42"/>
        <v/>
      </c>
      <c r="BD20" s="2476" t="str">
        <f t="shared" si="43"/>
        <v/>
      </c>
      <c r="BE20" s="41">
        <f t="shared" si="63"/>
        <v>11</v>
      </c>
      <c r="BF20" s="267" t="str">
        <f t="shared" si="44"/>
        <v/>
      </c>
      <c r="BG20" s="2400" t="str">
        <f t="shared" si="45"/>
        <v/>
      </c>
      <c r="BH20" s="2400" t="str">
        <f t="shared" si="46"/>
        <v/>
      </c>
      <c r="BI20" s="2400" t="str">
        <f t="shared" si="47"/>
        <v/>
      </c>
      <c r="BJ20" s="2400" t="str">
        <f t="shared" si="48"/>
        <v/>
      </c>
      <c r="BK20" s="2425"/>
      <c r="BL20" s="2465" t="str">
        <f t="shared" si="65"/>
        <v/>
      </c>
      <c r="BM20" s="2466" t="str">
        <f t="shared" si="50"/>
        <v/>
      </c>
      <c r="BN20" s="2465" t="str">
        <f t="shared" si="51"/>
        <v/>
      </c>
      <c r="BO20" s="2466" t="str">
        <f t="shared" si="52"/>
        <v/>
      </c>
    </row>
    <row r="21" spans="1:67" x14ac:dyDescent="0.25">
      <c r="A21" s="2397">
        <f t="shared" si="64"/>
        <v>19</v>
      </c>
      <c r="B21" s="41">
        <f t="shared" si="53"/>
        <v>-11</v>
      </c>
      <c r="C21" s="41">
        <f t="shared" si="54"/>
        <v>1</v>
      </c>
      <c r="D21" s="267" t="str">
        <f t="shared" si="2"/>
        <v/>
      </c>
      <c r="E21" s="2428" t="str">
        <f t="shared" si="3"/>
        <v/>
      </c>
      <c r="F21" s="2398" t="str">
        <f t="shared" si="4"/>
        <v/>
      </c>
      <c r="G21" s="2398" t="str">
        <f t="shared" si="5"/>
        <v/>
      </c>
      <c r="H21" s="2398" t="str">
        <f t="shared" si="6"/>
        <v/>
      </c>
      <c r="I21" s="2431" t="str">
        <f t="shared" si="7"/>
        <v/>
      </c>
      <c r="J21" s="2398" t="str">
        <f t="shared" si="8"/>
        <v/>
      </c>
      <c r="K21" s="2398" t="str">
        <f t="shared" si="9"/>
        <v/>
      </c>
      <c r="L21" s="2432" t="str">
        <f t="shared" si="10"/>
        <v/>
      </c>
      <c r="M21" s="2398" t="str">
        <f t="shared" si="11"/>
        <v/>
      </c>
      <c r="N21" s="2398" t="str">
        <f t="shared" si="12"/>
        <v/>
      </c>
      <c r="O21" s="2398" t="str">
        <f t="shared" si="13"/>
        <v/>
      </c>
      <c r="P21" s="2398" t="str">
        <f t="shared" si="14"/>
        <v/>
      </c>
      <c r="Q21" s="2453"/>
      <c r="R21" s="2448" t="str">
        <f t="shared" si="55"/>
        <v/>
      </c>
      <c r="S21" s="2448" t="str">
        <f t="shared" si="56"/>
        <v/>
      </c>
      <c r="T21" s="2448" t="str">
        <f t="shared" si="57"/>
        <v/>
      </c>
      <c r="U21" s="2448" t="str">
        <f t="shared" si="15"/>
        <v/>
      </c>
      <c r="V21" s="2448" t="str">
        <f t="shared" si="16"/>
        <v/>
      </c>
      <c r="W21" s="2449" t="str">
        <f t="shared" si="17"/>
        <v/>
      </c>
      <c r="X21" s="2479" t="str" cm="1">
        <f t="array" ref="X21">IFERROR(HLOOKUP(CoStar_DataSet_Inventory_2A,CoStar_Inventory_Array,$A21,FALSE),"-")</f>
        <v/>
      </c>
      <c r="Y21" s="2448" t="str">
        <f t="shared" si="18"/>
        <v/>
      </c>
      <c r="Z21" s="2448" t="str">
        <f t="shared" si="19"/>
        <v/>
      </c>
      <c r="AA21" s="2448" t="str">
        <f t="shared" si="20"/>
        <v/>
      </c>
      <c r="AB21" s="2448" t="str">
        <f t="shared" si="21"/>
        <v/>
      </c>
      <c r="AC21" s="2448" t="str">
        <f t="shared" si="22"/>
        <v/>
      </c>
      <c r="AD21" s="41">
        <f t="shared" si="58"/>
        <v>-11</v>
      </c>
      <c r="AE21" s="267" t="str">
        <f t="shared" si="23"/>
        <v/>
      </c>
      <c r="AF21" s="2398" t="str">
        <f t="shared" si="24"/>
        <v/>
      </c>
      <c r="AG21" s="2398" t="str">
        <f t="shared" si="25"/>
        <v/>
      </c>
      <c r="AH21" s="2398" t="str">
        <f t="shared" si="26"/>
        <v/>
      </c>
      <c r="AI21" s="2398" t="str">
        <f t="shared" si="27"/>
        <v/>
      </c>
      <c r="AJ21" s="2398" t="str">
        <f t="shared" si="28"/>
        <v/>
      </c>
      <c r="AK21" s="2398" t="str">
        <f t="shared" si="29"/>
        <v/>
      </c>
      <c r="AL21" s="2398" t="str">
        <f t="shared" si="30"/>
        <v/>
      </c>
      <c r="AM21" s="2398" t="str">
        <f t="shared" si="31"/>
        <v/>
      </c>
      <c r="AN21" s="2399" t="str">
        <f t="shared" si="59"/>
        <v/>
      </c>
      <c r="AO21" s="2399" t="str">
        <f t="shared" si="60"/>
        <v/>
      </c>
      <c r="AP21" s="2399" t="str">
        <f t="shared" si="61"/>
        <v/>
      </c>
      <c r="AQ21" s="2399" t="str">
        <f t="shared" si="62"/>
        <v/>
      </c>
      <c r="AR21" s="2474"/>
      <c r="AS21" s="2479" t="str">
        <f t="shared" si="32"/>
        <v/>
      </c>
      <c r="AT21" s="2448"/>
      <c r="AU21" s="2475" t="str">
        <f t="shared" si="34"/>
        <v/>
      </c>
      <c r="AV21" s="2448" t="str">
        <f t="shared" si="35"/>
        <v/>
      </c>
      <c r="AW21" s="2448"/>
      <c r="AX21" s="2476" t="str">
        <f t="shared" si="37"/>
        <v/>
      </c>
      <c r="AY21" s="2479" t="str">
        <f t="shared" si="38"/>
        <v/>
      </c>
      <c r="AZ21" s="2448" t="str">
        <f t="shared" si="39"/>
        <v/>
      </c>
      <c r="BA21" s="2475" t="str">
        <f t="shared" si="40"/>
        <v/>
      </c>
      <c r="BB21" s="2448" t="str">
        <f t="shared" si="41"/>
        <v/>
      </c>
      <c r="BC21" s="2448" t="str">
        <f t="shared" si="42"/>
        <v/>
      </c>
      <c r="BD21" s="2476" t="str">
        <f t="shared" si="43"/>
        <v/>
      </c>
      <c r="BE21" s="41">
        <f t="shared" si="63"/>
        <v>10</v>
      </c>
      <c r="BF21" s="267" t="str">
        <f t="shared" si="44"/>
        <v/>
      </c>
      <c r="BG21" s="2400" t="str">
        <f t="shared" si="45"/>
        <v/>
      </c>
      <c r="BH21" s="2400" t="str">
        <f t="shared" si="46"/>
        <v/>
      </c>
      <c r="BI21" s="2400" t="str">
        <f t="shared" si="47"/>
        <v/>
      </c>
      <c r="BJ21" s="2400" t="str">
        <f t="shared" si="48"/>
        <v/>
      </c>
      <c r="BK21" s="2425"/>
      <c r="BL21" s="2465" t="str">
        <f t="shared" si="65"/>
        <v/>
      </c>
      <c r="BM21" s="2466" t="str">
        <f t="shared" si="50"/>
        <v/>
      </c>
      <c r="BN21" s="2465" t="str">
        <f t="shared" si="51"/>
        <v/>
      </c>
      <c r="BO21" s="2466" t="str">
        <f t="shared" si="52"/>
        <v/>
      </c>
    </row>
    <row r="22" spans="1:67" x14ac:dyDescent="0.25">
      <c r="A22" s="2397">
        <f t="shared" si="64"/>
        <v>20</v>
      </c>
      <c r="B22" s="41">
        <f t="shared" si="53"/>
        <v>-13</v>
      </c>
      <c r="C22" s="41">
        <f t="shared" si="54"/>
        <v>-1</v>
      </c>
      <c r="D22" s="267" t="str">
        <f t="shared" si="2"/>
        <v/>
      </c>
      <c r="E22" s="2428" t="str">
        <f t="shared" si="3"/>
        <v/>
      </c>
      <c r="F22" s="2398" t="str">
        <f t="shared" si="4"/>
        <v/>
      </c>
      <c r="G22" s="2398" t="str">
        <f t="shared" si="5"/>
        <v/>
      </c>
      <c r="H22" s="2398" t="str">
        <f t="shared" si="6"/>
        <v/>
      </c>
      <c r="I22" s="2431" t="str">
        <f t="shared" si="7"/>
        <v/>
      </c>
      <c r="J22" s="2398" t="str">
        <f t="shared" si="8"/>
        <v/>
      </c>
      <c r="K22" s="2398" t="str">
        <f t="shared" si="9"/>
        <v/>
      </c>
      <c r="L22" s="2432" t="str">
        <f t="shared" si="10"/>
        <v/>
      </c>
      <c r="M22" s="2398" t="str">
        <f t="shared" si="11"/>
        <v/>
      </c>
      <c r="N22" s="2398" t="str">
        <f t="shared" si="12"/>
        <v/>
      </c>
      <c r="O22" s="2398" t="str">
        <f t="shared" si="13"/>
        <v/>
      </c>
      <c r="P22" s="2398" t="str">
        <f t="shared" si="14"/>
        <v/>
      </c>
      <c r="Q22" s="2453"/>
      <c r="R22" s="2448" t="str">
        <f t="shared" si="55"/>
        <v/>
      </c>
      <c r="S22" s="2448" t="str">
        <f t="shared" si="56"/>
        <v/>
      </c>
      <c r="T22" s="2448" t="str">
        <f t="shared" si="57"/>
        <v/>
      </c>
      <c r="U22" s="2448" t="str">
        <f t="shared" si="15"/>
        <v/>
      </c>
      <c r="V22" s="2448" t="str">
        <f t="shared" si="16"/>
        <v/>
      </c>
      <c r="W22" s="2449" t="str">
        <f t="shared" si="17"/>
        <v/>
      </c>
      <c r="X22" s="2479" t="str" cm="1">
        <f t="array" ref="X22">IFERROR(HLOOKUP(CoStar_DataSet_Inventory_2A,CoStar_Inventory_Array,$A22,FALSE),"-")</f>
        <v/>
      </c>
      <c r="Y22" s="2448" t="str">
        <f t="shared" si="18"/>
        <v/>
      </c>
      <c r="Z22" s="2448" t="str">
        <f t="shared" si="19"/>
        <v/>
      </c>
      <c r="AA22" s="2448" t="str">
        <f t="shared" si="20"/>
        <v/>
      </c>
      <c r="AB22" s="2448" t="str">
        <f t="shared" si="21"/>
        <v/>
      </c>
      <c r="AC22" s="2448" t="str">
        <f t="shared" si="22"/>
        <v/>
      </c>
      <c r="AD22" s="41">
        <f t="shared" si="58"/>
        <v>-13</v>
      </c>
      <c r="AE22" s="267" t="str">
        <f t="shared" si="23"/>
        <v/>
      </c>
      <c r="AF22" s="2398" t="str">
        <f t="shared" si="24"/>
        <v/>
      </c>
      <c r="AG22" s="2398" t="str">
        <f t="shared" si="25"/>
        <v/>
      </c>
      <c r="AH22" s="2398" t="str">
        <f t="shared" si="26"/>
        <v/>
      </c>
      <c r="AI22" s="2398" t="str">
        <f t="shared" si="27"/>
        <v/>
      </c>
      <c r="AJ22" s="2398" t="str">
        <f t="shared" si="28"/>
        <v/>
      </c>
      <c r="AK22" s="2398" t="str">
        <f t="shared" si="29"/>
        <v/>
      </c>
      <c r="AL22" s="2398" t="str">
        <f t="shared" si="30"/>
        <v/>
      </c>
      <c r="AM22" s="2398" t="str">
        <f t="shared" si="31"/>
        <v/>
      </c>
      <c r="AN22" s="2399" t="str">
        <f t="shared" si="59"/>
        <v/>
      </c>
      <c r="AO22" s="2399" t="str">
        <f t="shared" si="60"/>
        <v/>
      </c>
      <c r="AP22" s="2399" t="str">
        <f t="shared" si="61"/>
        <v/>
      </c>
      <c r="AQ22" s="2399" t="str">
        <f t="shared" si="62"/>
        <v/>
      </c>
      <c r="AR22" s="2474"/>
      <c r="AS22" s="2479" t="str">
        <f t="shared" si="32"/>
        <v/>
      </c>
      <c r="AT22" s="2448"/>
      <c r="AU22" s="2475" t="str">
        <f t="shared" si="34"/>
        <v/>
      </c>
      <c r="AV22" s="2448" t="str">
        <f t="shared" si="35"/>
        <v/>
      </c>
      <c r="AW22" s="2448"/>
      <c r="AX22" s="2476" t="str">
        <f t="shared" si="37"/>
        <v/>
      </c>
      <c r="AY22" s="2479" t="str">
        <f t="shared" si="38"/>
        <v/>
      </c>
      <c r="AZ22" s="2448" t="str">
        <f t="shared" si="39"/>
        <v/>
      </c>
      <c r="BA22" s="2475" t="str">
        <f t="shared" si="40"/>
        <v/>
      </c>
      <c r="BB22" s="2448" t="str">
        <f t="shared" si="41"/>
        <v/>
      </c>
      <c r="BC22" s="2448" t="str">
        <f t="shared" si="42"/>
        <v/>
      </c>
      <c r="BD22" s="2476" t="str">
        <f t="shared" si="43"/>
        <v/>
      </c>
      <c r="BE22" s="41">
        <f t="shared" si="63"/>
        <v>9</v>
      </c>
      <c r="BF22" s="267" t="str">
        <f t="shared" si="44"/>
        <v/>
      </c>
      <c r="BG22" s="2400" t="str">
        <f t="shared" si="45"/>
        <v/>
      </c>
      <c r="BH22" s="2400" t="str">
        <f t="shared" si="46"/>
        <v/>
      </c>
      <c r="BI22" s="2400" t="str">
        <f t="shared" si="47"/>
        <v/>
      </c>
      <c r="BJ22" s="2400" t="str">
        <f t="shared" si="48"/>
        <v/>
      </c>
      <c r="BK22" s="2425"/>
      <c r="BL22" s="2465" t="str">
        <f t="shared" si="65"/>
        <v/>
      </c>
      <c r="BM22" s="2466" t="str">
        <f t="shared" si="50"/>
        <v/>
      </c>
      <c r="BN22" s="2465" t="str">
        <f t="shared" si="51"/>
        <v/>
      </c>
      <c r="BO22" s="2466" t="str">
        <f t="shared" si="52"/>
        <v/>
      </c>
    </row>
    <row r="23" spans="1:67" x14ac:dyDescent="0.25">
      <c r="A23" s="2397">
        <f t="shared" si="64"/>
        <v>21</v>
      </c>
      <c r="B23" s="41">
        <f t="shared" si="53"/>
        <v>-15</v>
      </c>
      <c r="C23" s="41">
        <f t="shared" si="54"/>
        <v>-3</v>
      </c>
      <c r="D23" s="267" t="str">
        <f t="shared" si="2"/>
        <v/>
      </c>
      <c r="E23" s="2428" t="str">
        <f t="shared" si="3"/>
        <v/>
      </c>
      <c r="F23" s="2398" t="str">
        <f t="shared" si="4"/>
        <v/>
      </c>
      <c r="G23" s="2398" t="str">
        <f t="shared" si="5"/>
        <v/>
      </c>
      <c r="H23" s="2398" t="str">
        <f t="shared" si="6"/>
        <v/>
      </c>
      <c r="I23" s="2431" t="str">
        <f t="shared" si="7"/>
        <v/>
      </c>
      <c r="J23" s="2398" t="str">
        <f t="shared" si="8"/>
        <v/>
      </c>
      <c r="K23" s="2398" t="str">
        <f t="shared" si="9"/>
        <v/>
      </c>
      <c r="L23" s="2432" t="str">
        <f t="shared" si="10"/>
        <v/>
      </c>
      <c r="M23" s="2398" t="str">
        <f t="shared" si="11"/>
        <v/>
      </c>
      <c r="N23" s="2398" t="str">
        <f t="shared" si="12"/>
        <v/>
      </c>
      <c r="O23" s="2398" t="str">
        <f t="shared" si="13"/>
        <v/>
      </c>
      <c r="P23" s="2398" t="str">
        <f t="shared" si="14"/>
        <v/>
      </c>
      <c r="Q23" s="2453"/>
      <c r="R23" s="2448" t="str">
        <f t="shared" si="55"/>
        <v/>
      </c>
      <c r="S23" s="2448" t="str">
        <f t="shared" si="56"/>
        <v/>
      </c>
      <c r="T23" s="2448" t="str">
        <f t="shared" si="57"/>
        <v/>
      </c>
      <c r="U23" s="2448" t="str">
        <f t="shared" si="15"/>
        <v/>
      </c>
      <c r="V23" s="2448" t="str">
        <f t="shared" si="16"/>
        <v/>
      </c>
      <c r="W23" s="2449" t="str">
        <f t="shared" si="17"/>
        <v/>
      </c>
      <c r="X23" s="2479" t="str" cm="1">
        <f t="array" ref="X23">IFERROR(HLOOKUP(CoStar_DataSet_Inventory_2A,CoStar_Inventory_Array,$A23,FALSE),"-")</f>
        <v/>
      </c>
      <c r="Y23" s="2448" t="str">
        <f t="shared" si="18"/>
        <v/>
      </c>
      <c r="Z23" s="2448" t="str">
        <f t="shared" si="19"/>
        <v/>
      </c>
      <c r="AA23" s="2448" t="str">
        <f t="shared" si="20"/>
        <v/>
      </c>
      <c r="AB23" s="2448" t="str">
        <f t="shared" si="21"/>
        <v/>
      </c>
      <c r="AC23" s="2448" t="str">
        <f t="shared" si="22"/>
        <v/>
      </c>
      <c r="AD23" s="41">
        <f t="shared" si="58"/>
        <v>-15</v>
      </c>
      <c r="AE23" s="267" t="str">
        <f t="shared" si="23"/>
        <v/>
      </c>
      <c r="AF23" s="2398" t="str">
        <f t="shared" si="24"/>
        <v/>
      </c>
      <c r="AG23" s="2398" t="str">
        <f t="shared" si="25"/>
        <v/>
      </c>
      <c r="AH23" s="2398" t="str">
        <f t="shared" si="26"/>
        <v/>
      </c>
      <c r="AI23" s="2398" t="str">
        <f t="shared" si="27"/>
        <v/>
      </c>
      <c r="AJ23" s="2398" t="str">
        <f t="shared" si="28"/>
        <v/>
      </c>
      <c r="AK23" s="2398" t="str">
        <f t="shared" si="29"/>
        <v/>
      </c>
      <c r="AL23" s="2398" t="str">
        <f t="shared" si="30"/>
        <v/>
      </c>
      <c r="AM23" s="2398" t="str">
        <f t="shared" si="31"/>
        <v/>
      </c>
      <c r="AN23" s="2399" t="str">
        <f t="shared" si="59"/>
        <v/>
      </c>
      <c r="AO23" s="2399" t="str">
        <f t="shared" si="60"/>
        <v/>
      </c>
      <c r="AP23" s="2399" t="str">
        <f t="shared" si="61"/>
        <v/>
      </c>
      <c r="AQ23" s="2399" t="str">
        <f t="shared" si="62"/>
        <v/>
      </c>
      <c r="AR23" s="2474"/>
      <c r="AS23" s="2479" t="str">
        <f t="shared" si="32"/>
        <v/>
      </c>
      <c r="AT23" s="2448"/>
      <c r="AU23" s="2475" t="str">
        <f t="shared" si="34"/>
        <v/>
      </c>
      <c r="AV23" s="2448" t="str">
        <f t="shared" si="35"/>
        <v/>
      </c>
      <c r="AW23" s="2448"/>
      <c r="AX23" s="2476" t="str">
        <f t="shared" si="37"/>
        <v/>
      </c>
      <c r="AY23" s="2479" t="str">
        <f t="shared" si="38"/>
        <v/>
      </c>
      <c r="AZ23" s="2448" t="str">
        <f t="shared" si="39"/>
        <v/>
      </c>
      <c r="BA23" s="2475" t="str">
        <f t="shared" si="40"/>
        <v/>
      </c>
      <c r="BB23" s="2448" t="str">
        <f t="shared" si="41"/>
        <v/>
      </c>
      <c r="BC23" s="2448" t="str">
        <f t="shared" si="42"/>
        <v/>
      </c>
      <c r="BD23" s="2476" t="str">
        <f t="shared" si="43"/>
        <v/>
      </c>
      <c r="BE23" s="41">
        <f t="shared" si="63"/>
        <v>8</v>
      </c>
      <c r="BF23" s="267" t="str">
        <f t="shared" si="44"/>
        <v/>
      </c>
      <c r="BG23" s="2400" t="str">
        <f t="shared" si="45"/>
        <v/>
      </c>
      <c r="BH23" s="2400" t="str">
        <f t="shared" si="46"/>
        <v/>
      </c>
      <c r="BI23" s="2400" t="str">
        <f t="shared" si="47"/>
        <v/>
      </c>
      <c r="BJ23" s="2400" t="str">
        <f t="shared" si="48"/>
        <v/>
      </c>
      <c r="BK23" s="2425"/>
      <c r="BL23" s="2465" t="str">
        <f t="shared" si="65"/>
        <v/>
      </c>
      <c r="BM23" s="2466" t="str">
        <f t="shared" si="50"/>
        <v/>
      </c>
      <c r="BN23" s="2465" t="str">
        <f t="shared" si="51"/>
        <v/>
      </c>
      <c r="BO23" s="2466" t="str">
        <f t="shared" si="52"/>
        <v/>
      </c>
    </row>
    <row r="24" spans="1:67" x14ac:dyDescent="0.25">
      <c r="A24" s="2397">
        <f t="shared" si="64"/>
        <v>22</v>
      </c>
      <c r="B24" s="41">
        <f t="shared" si="53"/>
        <v>-17</v>
      </c>
      <c r="C24" s="41">
        <f t="shared" si="54"/>
        <v>-5</v>
      </c>
      <c r="D24" s="267" t="str">
        <f t="shared" si="2"/>
        <v/>
      </c>
      <c r="E24" s="2428" t="str">
        <f t="shared" si="3"/>
        <v/>
      </c>
      <c r="F24" s="2398" t="str">
        <f t="shared" si="4"/>
        <v/>
      </c>
      <c r="G24" s="2398" t="str">
        <f t="shared" si="5"/>
        <v/>
      </c>
      <c r="H24" s="2398" t="str">
        <f t="shared" si="6"/>
        <v/>
      </c>
      <c r="I24" s="2431" t="str">
        <f t="shared" si="7"/>
        <v/>
      </c>
      <c r="J24" s="2398" t="str">
        <f t="shared" si="8"/>
        <v/>
      </c>
      <c r="K24" s="2398" t="str">
        <f t="shared" si="9"/>
        <v/>
      </c>
      <c r="L24" s="2432" t="str">
        <f t="shared" si="10"/>
        <v/>
      </c>
      <c r="M24" s="2398" t="str">
        <f t="shared" si="11"/>
        <v/>
      </c>
      <c r="N24" s="2398" t="str">
        <f t="shared" si="12"/>
        <v/>
      </c>
      <c r="O24" s="2398" t="str">
        <f t="shared" si="13"/>
        <v/>
      </c>
      <c r="P24" s="2398" t="str">
        <f t="shared" si="14"/>
        <v/>
      </c>
      <c r="Q24" s="2453"/>
      <c r="R24" s="2448" t="str">
        <f t="shared" si="55"/>
        <v/>
      </c>
      <c r="S24" s="2448" t="str">
        <f t="shared" si="56"/>
        <v/>
      </c>
      <c r="T24" s="2448" t="str">
        <f t="shared" si="57"/>
        <v/>
      </c>
      <c r="U24" s="2448" t="str">
        <f t="shared" si="15"/>
        <v/>
      </c>
      <c r="V24" s="2448" t="str">
        <f t="shared" si="16"/>
        <v/>
      </c>
      <c r="W24" s="2449" t="str">
        <f t="shared" si="17"/>
        <v/>
      </c>
      <c r="X24" s="2479" t="str" cm="1">
        <f t="array" ref="X24">IFERROR(HLOOKUP(CoStar_DataSet_Inventory_2A,CoStar_Inventory_Array,$A24,FALSE),"-")</f>
        <v/>
      </c>
      <c r="Y24" s="2448" t="str">
        <f t="shared" si="18"/>
        <v/>
      </c>
      <c r="Z24" s="2448" t="str">
        <f t="shared" si="19"/>
        <v/>
      </c>
      <c r="AA24" s="2448" t="str">
        <f t="shared" si="20"/>
        <v/>
      </c>
      <c r="AB24" s="2448" t="str">
        <f t="shared" si="21"/>
        <v/>
      </c>
      <c r="AC24" s="2448" t="str">
        <f t="shared" si="22"/>
        <v/>
      </c>
      <c r="AD24" s="41">
        <f t="shared" si="58"/>
        <v>-17</v>
      </c>
      <c r="AE24" s="267" t="str">
        <f t="shared" si="23"/>
        <v/>
      </c>
      <c r="AF24" s="2398" t="str">
        <f t="shared" si="24"/>
        <v/>
      </c>
      <c r="AG24" s="2398" t="str">
        <f t="shared" si="25"/>
        <v/>
      </c>
      <c r="AH24" s="2398" t="str">
        <f t="shared" si="26"/>
        <v/>
      </c>
      <c r="AI24" s="2398" t="str">
        <f t="shared" si="27"/>
        <v/>
      </c>
      <c r="AJ24" s="2398" t="str">
        <f t="shared" si="28"/>
        <v/>
      </c>
      <c r="AK24" s="2398" t="str">
        <f t="shared" si="29"/>
        <v/>
      </c>
      <c r="AL24" s="2398" t="str">
        <f t="shared" si="30"/>
        <v/>
      </c>
      <c r="AM24" s="2398" t="str">
        <f t="shared" si="31"/>
        <v/>
      </c>
      <c r="AN24" s="2399" t="str">
        <f t="shared" si="59"/>
        <v/>
      </c>
      <c r="AO24" s="2399" t="str">
        <f t="shared" si="60"/>
        <v/>
      </c>
      <c r="AP24" s="2399" t="str">
        <f t="shared" si="61"/>
        <v/>
      </c>
      <c r="AQ24" s="2399" t="str">
        <f t="shared" si="62"/>
        <v/>
      </c>
      <c r="AR24" s="2474"/>
      <c r="AS24" s="2479" t="str">
        <f t="shared" si="32"/>
        <v/>
      </c>
      <c r="AT24" s="2448"/>
      <c r="AU24" s="2475" t="str">
        <f t="shared" si="34"/>
        <v/>
      </c>
      <c r="AV24" s="2448" t="str">
        <f t="shared" si="35"/>
        <v/>
      </c>
      <c r="AW24" s="2448"/>
      <c r="AX24" s="2476" t="str">
        <f t="shared" si="37"/>
        <v/>
      </c>
      <c r="AY24" s="2479" t="str">
        <f t="shared" si="38"/>
        <v/>
      </c>
      <c r="AZ24" s="2448" t="str">
        <f t="shared" si="39"/>
        <v/>
      </c>
      <c r="BA24" s="2475" t="str">
        <f t="shared" si="40"/>
        <v/>
      </c>
      <c r="BB24" s="2448" t="str">
        <f t="shared" si="41"/>
        <v/>
      </c>
      <c r="BC24" s="2448" t="str">
        <f t="shared" si="42"/>
        <v/>
      </c>
      <c r="BD24" s="2476" t="str">
        <f t="shared" si="43"/>
        <v/>
      </c>
      <c r="BE24" s="41">
        <f t="shared" si="63"/>
        <v>7</v>
      </c>
      <c r="BF24" s="267" t="str">
        <f t="shared" si="44"/>
        <v/>
      </c>
      <c r="BG24" s="2400" t="str">
        <f t="shared" si="45"/>
        <v/>
      </c>
      <c r="BH24" s="2400" t="str">
        <f t="shared" si="46"/>
        <v/>
      </c>
      <c r="BI24" s="2400" t="str">
        <f t="shared" si="47"/>
        <v/>
      </c>
      <c r="BJ24" s="2400" t="str">
        <f t="shared" si="48"/>
        <v/>
      </c>
      <c r="BK24" s="2425"/>
      <c r="BL24" s="2465" t="str">
        <f t="shared" si="65"/>
        <v/>
      </c>
      <c r="BM24" s="2466" t="str">
        <f t="shared" si="50"/>
        <v/>
      </c>
      <c r="BN24" s="2465" t="str">
        <f t="shared" si="51"/>
        <v/>
      </c>
      <c r="BO24" s="2466" t="str">
        <f t="shared" si="52"/>
        <v/>
      </c>
    </row>
    <row r="25" spans="1:67" x14ac:dyDescent="0.25">
      <c r="A25" s="2397">
        <f t="shared" si="64"/>
        <v>23</v>
      </c>
      <c r="B25" s="41">
        <f t="shared" si="53"/>
        <v>-19</v>
      </c>
      <c r="C25" s="41">
        <f t="shared" si="54"/>
        <v>-7</v>
      </c>
      <c r="D25" s="267" t="str">
        <f t="shared" si="2"/>
        <v/>
      </c>
      <c r="E25" s="2428" t="str">
        <f t="shared" si="3"/>
        <v/>
      </c>
      <c r="F25" s="2398" t="str">
        <f t="shared" si="4"/>
        <v/>
      </c>
      <c r="G25" s="2398" t="str">
        <f t="shared" si="5"/>
        <v/>
      </c>
      <c r="H25" s="2398" t="str">
        <f t="shared" si="6"/>
        <v/>
      </c>
      <c r="I25" s="2431" t="str">
        <f t="shared" si="7"/>
        <v/>
      </c>
      <c r="J25" s="2398" t="str">
        <f t="shared" si="8"/>
        <v/>
      </c>
      <c r="K25" s="2398" t="str">
        <f t="shared" si="9"/>
        <v/>
      </c>
      <c r="L25" s="2432" t="str">
        <f t="shared" si="10"/>
        <v/>
      </c>
      <c r="M25" s="2398" t="str">
        <f t="shared" si="11"/>
        <v/>
      </c>
      <c r="N25" s="2398" t="str">
        <f t="shared" si="12"/>
        <v/>
      </c>
      <c r="O25" s="2398" t="str">
        <f t="shared" si="13"/>
        <v/>
      </c>
      <c r="P25" s="2398" t="str">
        <f t="shared" si="14"/>
        <v/>
      </c>
      <c r="Q25" s="2453"/>
      <c r="R25" s="2448" t="str">
        <f t="shared" si="55"/>
        <v/>
      </c>
      <c r="S25" s="2448" t="str">
        <f t="shared" si="56"/>
        <v/>
      </c>
      <c r="T25" s="2448" t="str">
        <f t="shared" si="57"/>
        <v/>
      </c>
      <c r="U25" s="2448" t="str">
        <f t="shared" si="15"/>
        <v/>
      </c>
      <c r="V25" s="2448" t="str">
        <f t="shared" si="16"/>
        <v/>
      </c>
      <c r="W25" s="2449" t="str">
        <f t="shared" si="17"/>
        <v/>
      </c>
      <c r="X25" s="2479" t="str" cm="1">
        <f t="array" ref="X25">IFERROR(HLOOKUP(CoStar_DataSet_Inventory_2A,CoStar_Inventory_Array,$A25,FALSE),"-")</f>
        <v/>
      </c>
      <c r="Y25" s="2448" t="str">
        <f t="shared" si="18"/>
        <v/>
      </c>
      <c r="Z25" s="2448" t="str">
        <f t="shared" si="19"/>
        <v/>
      </c>
      <c r="AA25" s="2448" t="str">
        <f t="shared" si="20"/>
        <v/>
      </c>
      <c r="AB25" s="2448" t="str">
        <f t="shared" si="21"/>
        <v/>
      </c>
      <c r="AC25" s="2448" t="str">
        <f t="shared" si="22"/>
        <v/>
      </c>
      <c r="AD25" s="41">
        <f t="shared" si="58"/>
        <v>-19</v>
      </c>
      <c r="AE25" s="267" t="str">
        <f t="shared" si="23"/>
        <v/>
      </c>
      <c r="AF25" s="2398" t="str">
        <f t="shared" si="24"/>
        <v/>
      </c>
      <c r="AG25" s="2398" t="str">
        <f t="shared" si="25"/>
        <v/>
      </c>
      <c r="AH25" s="2398" t="str">
        <f t="shared" si="26"/>
        <v/>
      </c>
      <c r="AI25" s="2398" t="str">
        <f t="shared" si="27"/>
        <v/>
      </c>
      <c r="AJ25" s="2398" t="str">
        <f t="shared" si="28"/>
        <v/>
      </c>
      <c r="AK25" s="2398" t="str">
        <f t="shared" si="29"/>
        <v/>
      </c>
      <c r="AL25" s="2398" t="str">
        <f t="shared" si="30"/>
        <v/>
      </c>
      <c r="AM25" s="2398" t="str">
        <f t="shared" si="31"/>
        <v/>
      </c>
      <c r="AN25" s="2399" t="str">
        <f t="shared" si="59"/>
        <v/>
      </c>
      <c r="AO25" s="2399" t="str">
        <f t="shared" si="60"/>
        <v/>
      </c>
      <c r="AP25" s="2399" t="str">
        <f t="shared" si="61"/>
        <v/>
      </c>
      <c r="AQ25" s="2399" t="str">
        <f t="shared" si="62"/>
        <v/>
      </c>
      <c r="AR25" s="2474"/>
      <c r="AS25" s="2479" t="str">
        <f t="shared" si="32"/>
        <v/>
      </c>
      <c r="AT25" s="2448"/>
      <c r="AU25" s="2475" t="str">
        <f t="shared" si="34"/>
        <v/>
      </c>
      <c r="AV25" s="2448" t="str">
        <f t="shared" si="35"/>
        <v/>
      </c>
      <c r="AW25" s="2448"/>
      <c r="AX25" s="2476" t="str">
        <f t="shared" si="37"/>
        <v/>
      </c>
      <c r="AY25" s="2479" t="str">
        <f t="shared" si="38"/>
        <v/>
      </c>
      <c r="AZ25" s="2448" t="str">
        <f t="shared" si="39"/>
        <v/>
      </c>
      <c r="BA25" s="2475" t="str">
        <f t="shared" si="40"/>
        <v/>
      </c>
      <c r="BB25" s="2448" t="str">
        <f t="shared" si="41"/>
        <v/>
      </c>
      <c r="BC25" s="2448" t="str">
        <f t="shared" si="42"/>
        <v/>
      </c>
      <c r="BD25" s="2476" t="str">
        <f t="shared" si="43"/>
        <v/>
      </c>
      <c r="BE25" s="41">
        <f t="shared" si="63"/>
        <v>6</v>
      </c>
      <c r="BF25" s="267" t="str">
        <f t="shared" si="44"/>
        <v/>
      </c>
      <c r="BG25" s="2400" t="str">
        <f t="shared" si="45"/>
        <v/>
      </c>
      <c r="BH25" s="2400" t="str">
        <f t="shared" si="46"/>
        <v/>
      </c>
      <c r="BI25" s="2400" t="str">
        <f t="shared" si="47"/>
        <v/>
      </c>
      <c r="BJ25" s="2400" t="str">
        <f t="shared" si="48"/>
        <v/>
      </c>
      <c r="BK25" s="2425"/>
      <c r="BL25" s="2465" t="str">
        <f t="shared" si="65"/>
        <v/>
      </c>
      <c r="BM25" s="2466" t="str">
        <f t="shared" si="50"/>
        <v/>
      </c>
      <c r="BN25" s="2465" t="str">
        <f t="shared" si="51"/>
        <v/>
      </c>
      <c r="BO25" s="2466" t="str">
        <f t="shared" si="52"/>
        <v/>
      </c>
    </row>
    <row r="26" spans="1:67" x14ac:dyDescent="0.25">
      <c r="A26" s="2397">
        <f t="shared" si="64"/>
        <v>24</v>
      </c>
      <c r="B26" s="41">
        <f t="shared" si="53"/>
        <v>-21</v>
      </c>
      <c r="C26" s="41">
        <f t="shared" si="54"/>
        <v>-9</v>
      </c>
      <c r="D26" s="267" t="str">
        <f t="shared" si="2"/>
        <v/>
      </c>
      <c r="E26" s="2428" t="str">
        <f t="shared" si="3"/>
        <v/>
      </c>
      <c r="F26" s="2398" t="str">
        <f t="shared" si="4"/>
        <v/>
      </c>
      <c r="G26" s="2398" t="str">
        <f t="shared" si="5"/>
        <v/>
      </c>
      <c r="H26" s="2398" t="str">
        <f t="shared" si="6"/>
        <v/>
      </c>
      <c r="I26" s="2431" t="str">
        <f t="shared" si="7"/>
        <v/>
      </c>
      <c r="J26" s="2398" t="str">
        <f t="shared" si="8"/>
        <v/>
      </c>
      <c r="K26" s="2398" t="str">
        <f t="shared" si="9"/>
        <v/>
      </c>
      <c r="L26" s="2432" t="str">
        <f t="shared" si="10"/>
        <v/>
      </c>
      <c r="M26" s="2398" t="str">
        <f t="shared" si="11"/>
        <v/>
      </c>
      <c r="N26" s="2398" t="str">
        <f t="shared" si="12"/>
        <v/>
      </c>
      <c r="O26" s="2398" t="str">
        <f t="shared" si="13"/>
        <v/>
      </c>
      <c r="P26" s="2398" t="str">
        <f t="shared" si="14"/>
        <v/>
      </c>
      <c r="Q26" s="2453"/>
      <c r="R26" s="2448" t="str">
        <f t="shared" si="55"/>
        <v/>
      </c>
      <c r="S26" s="2448" t="str">
        <f t="shared" si="56"/>
        <v/>
      </c>
      <c r="T26" s="2448" t="str">
        <f t="shared" si="57"/>
        <v/>
      </c>
      <c r="U26" s="2448" t="str">
        <f t="shared" si="15"/>
        <v/>
      </c>
      <c r="V26" s="2448" t="str">
        <f t="shared" si="16"/>
        <v/>
      </c>
      <c r="W26" s="2449" t="str">
        <f t="shared" si="17"/>
        <v/>
      </c>
      <c r="X26" s="2479" t="str" cm="1">
        <f t="array" ref="X26">IFERROR(HLOOKUP(CoStar_DataSet_Inventory_2A,CoStar_Inventory_Array,$A26,FALSE),"-")</f>
        <v/>
      </c>
      <c r="Y26" s="2448" t="str">
        <f t="shared" si="18"/>
        <v/>
      </c>
      <c r="Z26" s="2448" t="str">
        <f t="shared" si="19"/>
        <v/>
      </c>
      <c r="AA26" s="2448" t="str">
        <f t="shared" si="20"/>
        <v/>
      </c>
      <c r="AB26" s="2448" t="str">
        <f t="shared" si="21"/>
        <v/>
      </c>
      <c r="AC26" s="2448" t="str">
        <f t="shared" si="22"/>
        <v/>
      </c>
      <c r="AD26" s="41">
        <f t="shared" si="58"/>
        <v>-21</v>
      </c>
      <c r="AE26" s="267" t="str">
        <f t="shared" si="23"/>
        <v/>
      </c>
      <c r="AF26" s="2398" t="str">
        <f t="shared" si="24"/>
        <v/>
      </c>
      <c r="AG26" s="2398" t="str">
        <f t="shared" si="25"/>
        <v/>
      </c>
      <c r="AH26" s="2398" t="str">
        <f t="shared" si="26"/>
        <v/>
      </c>
      <c r="AI26" s="2398" t="str">
        <f t="shared" si="27"/>
        <v/>
      </c>
      <c r="AJ26" s="2398" t="str">
        <f t="shared" si="28"/>
        <v/>
      </c>
      <c r="AK26" s="2398" t="str">
        <f t="shared" si="29"/>
        <v/>
      </c>
      <c r="AL26" s="2398" t="str">
        <f t="shared" si="30"/>
        <v/>
      </c>
      <c r="AM26" s="2398" t="str">
        <f t="shared" si="31"/>
        <v/>
      </c>
      <c r="AN26" s="2399" t="str">
        <f t="shared" si="59"/>
        <v/>
      </c>
      <c r="AO26" s="2399" t="str">
        <f t="shared" si="60"/>
        <v/>
      </c>
      <c r="AP26" s="2399" t="str">
        <f t="shared" si="61"/>
        <v/>
      </c>
      <c r="AQ26" s="2399" t="str">
        <f t="shared" si="62"/>
        <v/>
      </c>
      <c r="AR26" s="2474"/>
      <c r="AS26" s="2479" t="str">
        <f t="shared" si="32"/>
        <v/>
      </c>
      <c r="AT26" s="2448"/>
      <c r="AU26" s="2475" t="str">
        <f t="shared" si="34"/>
        <v/>
      </c>
      <c r="AV26" s="2448" t="str">
        <f t="shared" si="35"/>
        <v/>
      </c>
      <c r="AW26" s="2448"/>
      <c r="AX26" s="2476" t="str">
        <f t="shared" si="37"/>
        <v/>
      </c>
      <c r="AY26" s="2479" t="str">
        <f t="shared" si="38"/>
        <v/>
      </c>
      <c r="AZ26" s="2448" t="str">
        <f t="shared" si="39"/>
        <v/>
      </c>
      <c r="BA26" s="2475" t="str">
        <f t="shared" si="40"/>
        <v/>
      </c>
      <c r="BB26" s="2448" t="str">
        <f t="shared" si="41"/>
        <v/>
      </c>
      <c r="BC26" s="2448" t="str">
        <f t="shared" si="42"/>
        <v/>
      </c>
      <c r="BD26" s="2476" t="str">
        <f t="shared" si="43"/>
        <v/>
      </c>
      <c r="BE26" s="41">
        <f t="shared" si="63"/>
        <v>5</v>
      </c>
      <c r="BF26" s="267" t="str">
        <f t="shared" si="44"/>
        <v/>
      </c>
      <c r="BG26" s="2400" t="str">
        <f t="shared" si="45"/>
        <v/>
      </c>
      <c r="BH26" s="2400" t="str">
        <f t="shared" si="46"/>
        <v/>
      </c>
      <c r="BI26" s="2400" t="str">
        <f t="shared" si="47"/>
        <v/>
      </c>
      <c r="BJ26" s="2400" t="str">
        <f t="shared" si="48"/>
        <v/>
      </c>
      <c r="BK26" s="2425"/>
      <c r="BL26" s="2465" t="str">
        <f t="shared" si="65"/>
        <v/>
      </c>
      <c r="BM26" s="2466" t="str">
        <f t="shared" si="50"/>
        <v/>
      </c>
      <c r="BN26" s="2465" t="str">
        <f t="shared" si="51"/>
        <v/>
      </c>
      <c r="BO26" s="2466" t="str">
        <f t="shared" si="52"/>
        <v/>
      </c>
    </row>
    <row r="27" spans="1:67" x14ac:dyDescent="0.25">
      <c r="A27" s="2397">
        <f t="shared" si="64"/>
        <v>25</v>
      </c>
      <c r="B27" s="41">
        <f t="shared" si="53"/>
        <v>-23</v>
      </c>
      <c r="C27" s="41">
        <f t="shared" si="54"/>
        <v>-11</v>
      </c>
      <c r="D27" s="267" t="str">
        <f t="shared" si="2"/>
        <v/>
      </c>
      <c r="E27" s="2428" t="str">
        <f t="shared" si="3"/>
        <v/>
      </c>
      <c r="F27" s="2398" t="str">
        <f t="shared" si="4"/>
        <v/>
      </c>
      <c r="G27" s="2398" t="str">
        <f t="shared" si="5"/>
        <v/>
      </c>
      <c r="H27" s="2398" t="str">
        <f t="shared" si="6"/>
        <v/>
      </c>
      <c r="I27" s="2431" t="str">
        <f t="shared" si="7"/>
        <v/>
      </c>
      <c r="J27" s="2398" t="str">
        <f t="shared" si="8"/>
        <v/>
      </c>
      <c r="K27" s="2398" t="str">
        <f t="shared" si="9"/>
        <v/>
      </c>
      <c r="L27" s="2432" t="str">
        <f t="shared" si="10"/>
        <v/>
      </c>
      <c r="M27" s="2398" t="str">
        <f t="shared" si="11"/>
        <v/>
      </c>
      <c r="N27" s="2398" t="str">
        <f t="shared" si="12"/>
        <v/>
      </c>
      <c r="O27" s="2398" t="str">
        <f t="shared" si="13"/>
        <v/>
      </c>
      <c r="P27" s="2398" t="str">
        <f t="shared" si="14"/>
        <v/>
      </c>
      <c r="Q27" s="2453"/>
      <c r="R27" s="2448" t="str">
        <f t="shared" si="55"/>
        <v/>
      </c>
      <c r="S27" s="2448" t="str">
        <f t="shared" si="56"/>
        <v/>
      </c>
      <c r="T27" s="2448" t="str">
        <f t="shared" si="57"/>
        <v/>
      </c>
      <c r="U27" s="2448" t="str">
        <f t="shared" si="15"/>
        <v/>
      </c>
      <c r="V27" s="2448" t="str">
        <f t="shared" si="16"/>
        <v/>
      </c>
      <c r="W27" s="2449" t="str">
        <f t="shared" si="17"/>
        <v/>
      </c>
      <c r="X27" s="2479" t="str" cm="1">
        <f t="array" ref="X27">IFERROR(HLOOKUP(CoStar_DataSet_Inventory_2A,CoStar_Inventory_Array,$A27,FALSE),"-")</f>
        <v/>
      </c>
      <c r="Y27" s="2448" t="str">
        <f t="shared" si="18"/>
        <v/>
      </c>
      <c r="Z27" s="2448" t="str">
        <f t="shared" si="19"/>
        <v/>
      </c>
      <c r="AA27" s="2448" t="str">
        <f t="shared" si="20"/>
        <v/>
      </c>
      <c r="AB27" s="2448" t="str">
        <f t="shared" si="21"/>
        <v/>
      </c>
      <c r="AC27" s="2448" t="str">
        <f t="shared" si="22"/>
        <v/>
      </c>
      <c r="AD27" s="41">
        <f t="shared" si="58"/>
        <v>-23</v>
      </c>
      <c r="AE27" s="267" t="str">
        <f t="shared" si="23"/>
        <v/>
      </c>
      <c r="AF27" s="2398" t="str">
        <f t="shared" si="24"/>
        <v/>
      </c>
      <c r="AG27" s="2398" t="str">
        <f t="shared" si="25"/>
        <v/>
      </c>
      <c r="AH27" s="2398" t="str">
        <f t="shared" si="26"/>
        <v/>
      </c>
      <c r="AI27" s="2398" t="str">
        <f t="shared" si="27"/>
        <v/>
      </c>
      <c r="AJ27" s="2398" t="str">
        <f t="shared" si="28"/>
        <v/>
      </c>
      <c r="AK27" s="2398" t="str">
        <f t="shared" si="29"/>
        <v/>
      </c>
      <c r="AL27" s="2398" t="str">
        <f t="shared" si="30"/>
        <v/>
      </c>
      <c r="AM27" s="2398" t="str">
        <f t="shared" si="31"/>
        <v/>
      </c>
      <c r="AN27" s="2399" t="str">
        <f t="shared" si="59"/>
        <v/>
      </c>
      <c r="AO27" s="2399" t="str">
        <f t="shared" si="60"/>
        <v/>
      </c>
      <c r="AP27" s="2399" t="str">
        <f t="shared" si="61"/>
        <v/>
      </c>
      <c r="AQ27" s="2399" t="str">
        <f t="shared" si="62"/>
        <v/>
      </c>
      <c r="AR27" s="2474"/>
      <c r="AS27" s="2479" t="str">
        <f t="shared" si="32"/>
        <v/>
      </c>
      <c r="AT27" s="2448"/>
      <c r="AU27" s="2475" t="str">
        <f t="shared" si="34"/>
        <v/>
      </c>
      <c r="AV27" s="2448" t="str">
        <f t="shared" si="35"/>
        <v/>
      </c>
      <c r="AW27" s="2448"/>
      <c r="AX27" s="2476" t="str">
        <f t="shared" si="37"/>
        <v/>
      </c>
      <c r="AY27" s="2479" t="str">
        <f t="shared" si="38"/>
        <v/>
      </c>
      <c r="AZ27" s="2448" t="str">
        <f t="shared" si="39"/>
        <v/>
      </c>
      <c r="BA27" s="2475" t="str">
        <f t="shared" si="40"/>
        <v/>
      </c>
      <c r="BB27" s="2448" t="str">
        <f t="shared" si="41"/>
        <v/>
      </c>
      <c r="BC27" s="2448" t="str">
        <f t="shared" si="42"/>
        <v/>
      </c>
      <c r="BD27" s="2476" t="str">
        <f t="shared" si="43"/>
        <v/>
      </c>
      <c r="BE27" s="41">
        <f t="shared" si="63"/>
        <v>4</v>
      </c>
      <c r="BF27" s="267" t="str">
        <f t="shared" si="44"/>
        <v/>
      </c>
      <c r="BG27" s="2400" t="str">
        <f t="shared" si="45"/>
        <v/>
      </c>
      <c r="BH27" s="2400" t="str">
        <f t="shared" si="46"/>
        <v/>
      </c>
      <c r="BI27" s="2400" t="str">
        <f t="shared" si="47"/>
        <v/>
      </c>
      <c r="BJ27" s="2400" t="str">
        <f t="shared" si="48"/>
        <v/>
      </c>
      <c r="BK27" s="2425"/>
      <c r="BL27" s="2465" t="str">
        <f t="shared" si="65"/>
        <v/>
      </c>
      <c r="BM27" s="2466" t="str">
        <f t="shared" si="50"/>
        <v/>
      </c>
      <c r="BN27" s="2465" t="str">
        <f t="shared" si="51"/>
        <v/>
      </c>
      <c r="BO27" s="2466" t="str">
        <f t="shared" si="52"/>
        <v/>
      </c>
    </row>
    <row r="28" spans="1:67" x14ac:dyDescent="0.25">
      <c r="A28" s="2397">
        <f t="shared" si="64"/>
        <v>26</v>
      </c>
      <c r="B28" s="41">
        <f t="shared" si="53"/>
        <v>-25</v>
      </c>
      <c r="C28" s="41">
        <f t="shared" si="54"/>
        <v>-13</v>
      </c>
      <c r="D28" s="267" t="str">
        <f t="shared" si="2"/>
        <v/>
      </c>
      <c r="E28" s="2428" t="str">
        <f t="shared" si="3"/>
        <v/>
      </c>
      <c r="F28" s="2398" t="str">
        <f t="shared" si="4"/>
        <v/>
      </c>
      <c r="G28" s="2398" t="str">
        <f t="shared" si="5"/>
        <v/>
      </c>
      <c r="H28" s="2398" t="str">
        <f t="shared" si="6"/>
        <v/>
      </c>
      <c r="I28" s="2431" t="str">
        <f t="shared" si="7"/>
        <v/>
      </c>
      <c r="J28" s="2398" t="str">
        <f t="shared" si="8"/>
        <v/>
      </c>
      <c r="K28" s="2398" t="str">
        <f t="shared" si="9"/>
        <v/>
      </c>
      <c r="L28" s="2432" t="str">
        <f t="shared" si="10"/>
        <v/>
      </c>
      <c r="M28" s="2398" t="str">
        <f t="shared" si="11"/>
        <v/>
      </c>
      <c r="N28" s="2398" t="str">
        <f t="shared" si="12"/>
        <v/>
      </c>
      <c r="O28" s="2398" t="str">
        <f t="shared" si="13"/>
        <v/>
      </c>
      <c r="P28" s="2398" t="str">
        <f t="shared" si="14"/>
        <v/>
      </c>
      <c r="Q28" s="2453"/>
      <c r="R28" s="2448" t="str">
        <f t="shared" si="55"/>
        <v/>
      </c>
      <c r="S28" s="2448" t="str">
        <f t="shared" si="56"/>
        <v/>
      </c>
      <c r="T28" s="2448" t="str">
        <f t="shared" si="57"/>
        <v/>
      </c>
      <c r="U28" s="2448" t="str">
        <f t="shared" si="15"/>
        <v/>
      </c>
      <c r="V28" s="2448" t="str">
        <f t="shared" si="16"/>
        <v/>
      </c>
      <c r="W28" s="2449" t="str">
        <f t="shared" si="17"/>
        <v/>
      </c>
      <c r="X28" s="2479" t="str" cm="1">
        <f t="array" ref="X28">IFERROR(HLOOKUP(CoStar_DataSet_Inventory_2A,CoStar_Inventory_Array,$A28,FALSE),"-")</f>
        <v/>
      </c>
      <c r="Y28" s="2448" t="str">
        <f t="shared" si="18"/>
        <v/>
      </c>
      <c r="Z28" s="2448" t="str">
        <f t="shared" si="19"/>
        <v/>
      </c>
      <c r="AA28" s="2448" t="str">
        <f t="shared" si="20"/>
        <v/>
      </c>
      <c r="AB28" s="2448" t="str">
        <f t="shared" si="21"/>
        <v/>
      </c>
      <c r="AC28" s="2448" t="str">
        <f t="shared" si="22"/>
        <v/>
      </c>
      <c r="AD28" s="41">
        <f t="shared" si="58"/>
        <v>-25</v>
      </c>
      <c r="AE28" s="267" t="str">
        <f t="shared" si="23"/>
        <v/>
      </c>
      <c r="AF28" s="2398" t="str">
        <f t="shared" si="24"/>
        <v/>
      </c>
      <c r="AG28" s="2398" t="str">
        <f t="shared" si="25"/>
        <v/>
      </c>
      <c r="AH28" s="2398" t="str">
        <f t="shared" si="26"/>
        <v/>
      </c>
      <c r="AI28" s="2398" t="str">
        <f t="shared" si="27"/>
        <v/>
      </c>
      <c r="AJ28" s="2398" t="str">
        <f t="shared" si="28"/>
        <v/>
      </c>
      <c r="AK28" s="2398" t="str">
        <f t="shared" si="29"/>
        <v/>
      </c>
      <c r="AL28" s="2398" t="str">
        <f t="shared" si="30"/>
        <v/>
      </c>
      <c r="AM28" s="2398" t="str">
        <f t="shared" si="31"/>
        <v/>
      </c>
      <c r="AN28" s="2399" t="str">
        <f t="shared" si="59"/>
        <v/>
      </c>
      <c r="AO28" s="2399" t="str">
        <f t="shared" si="60"/>
        <v/>
      </c>
      <c r="AP28" s="2399" t="str">
        <f t="shared" si="61"/>
        <v/>
      </c>
      <c r="AQ28" s="2399" t="str">
        <f t="shared" si="62"/>
        <v/>
      </c>
      <c r="AR28" s="2474"/>
      <c r="AS28" s="2479" t="str">
        <f t="shared" si="32"/>
        <v/>
      </c>
      <c r="AT28" s="2448"/>
      <c r="AU28" s="2475" t="str">
        <f t="shared" si="34"/>
        <v/>
      </c>
      <c r="AV28" s="2448" t="str">
        <f t="shared" si="35"/>
        <v/>
      </c>
      <c r="AW28" s="2448"/>
      <c r="AX28" s="2476" t="str">
        <f t="shared" si="37"/>
        <v/>
      </c>
      <c r="AY28" s="2479" t="str">
        <f t="shared" si="38"/>
        <v/>
      </c>
      <c r="AZ28" s="2448" t="str">
        <f t="shared" si="39"/>
        <v/>
      </c>
      <c r="BA28" s="2475" t="str">
        <f t="shared" si="40"/>
        <v/>
      </c>
      <c r="BB28" s="2448" t="str">
        <f t="shared" si="41"/>
        <v/>
      </c>
      <c r="BC28" s="2448" t="str">
        <f t="shared" si="42"/>
        <v/>
      </c>
      <c r="BD28" s="2476" t="str">
        <f t="shared" si="43"/>
        <v/>
      </c>
      <c r="BE28" s="41">
        <f t="shared" si="63"/>
        <v>3</v>
      </c>
      <c r="BF28" s="267" t="str">
        <f t="shared" si="44"/>
        <v/>
      </c>
      <c r="BG28" s="2400" t="str">
        <f t="shared" si="45"/>
        <v/>
      </c>
      <c r="BH28" s="2400" t="str">
        <f t="shared" si="46"/>
        <v/>
      </c>
      <c r="BI28" s="2400" t="str">
        <f t="shared" si="47"/>
        <v/>
      </c>
      <c r="BJ28" s="2400" t="str">
        <f t="shared" si="48"/>
        <v/>
      </c>
      <c r="BK28" s="2425"/>
      <c r="BL28" s="2465" t="str">
        <f t="shared" si="65"/>
        <v/>
      </c>
      <c r="BM28" s="2466" t="str">
        <f t="shared" si="50"/>
        <v/>
      </c>
      <c r="BN28" s="2465" t="str">
        <f t="shared" si="51"/>
        <v/>
      </c>
      <c r="BO28" s="2466" t="str">
        <f t="shared" si="52"/>
        <v/>
      </c>
    </row>
    <row r="29" spans="1:67" x14ac:dyDescent="0.25">
      <c r="A29" s="2397">
        <f t="shared" si="64"/>
        <v>27</v>
      </c>
      <c r="B29" s="41">
        <f t="shared" si="53"/>
        <v>-27</v>
      </c>
      <c r="C29" s="41">
        <f t="shared" si="54"/>
        <v>-15</v>
      </c>
      <c r="D29" s="267" t="str">
        <f t="shared" si="2"/>
        <v/>
      </c>
      <c r="E29" s="2428" t="str">
        <f t="shared" si="3"/>
        <v/>
      </c>
      <c r="F29" s="2398" t="str">
        <f t="shared" si="4"/>
        <v/>
      </c>
      <c r="G29" s="2398" t="str">
        <f t="shared" si="5"/>
        <v/>
      </c>
      <c r="H29" s="2398" t="str">
        <f t="shared" si="6"/>
        <v/>
      </c>
      <c r="I29" s="2431" t="str">
        <f t="shared" si="7"/>
        <v/>
      </c>
      <c r="J29" s="2398" t="str">
        <f t="shared" si="8"/>
        <v/>
      </c>
      <c r="K29" s="2398" t="str">
        <f t="shared" si="9"/>
        <v/>
      </c>
      <c r="L29" s="2432" t="str">
        <f t="shared" si="10"/>
        <v/>
      </c>
      <c r="M29" s="2398" t="str">
        <f t="shared" si="11"/>
        <v/>
      </c>
      <c r="N29" s="2398" t="str">
        <f t="shared" si="12"/>
        <v/>
      </c>
      <c r="O29" s="2398" t="str">
        <f t="shared" si="13"/>
        <v/>
      </c>
      <c r="P29" s="2398" t="str">
        <f t="shared" si="14"/>
        <v/>
      </c>
      <c r="Q29" s="2453"/>
      <c r="R29" s="2448" t="str">
        <f t="shared" si="55"/>
        <v/>
      </c>
      <c r="S29" s="2448" t="str">
        <f t="shared" si="56"/>
        <v/>
      </c>
      <c r="T29" s="2448" t="str">
        <f t="shared" si="57"/>
        <v/>
      </c>
      <c r="U29" s="2448" t="str">
        <f t="shared" si="15"/>
        <v/>
      </c>
      <c r="V29" s="2448" t="str">
        <f t="shared" si="16"/>
        <v/>
      </c>
      <c r="W29" s="2449" t="str">
        <f t="shared" si="17"/>
        <v/>
      </c>
      <c r="X29" s="2479" t="str" cm="1">
        <f t="array" ref="X29">IFERROR(HLOOKUP(CoStar_DataSet_Inventory_2A,CoStar_Inventory_Array,$A29,FALSE),"-")</f>
        <v/>
      </c>
      <c r="Y29" s="2448" t="str">
        <f t="shared" si="18"/>
        <v/>
      </c>
      <c r="Z29" s="2448" t="str">
        <f t="shared" si="19"/>
        <v/>
      </c>
      <c r="AA29" s="2448" t="str">
        <f t="shared" si="20"/>
        <v/>
      </c>
      <c r="AB29" s="2448" t="str">
        <f t="shared" si="21"/>
        <v/>
      </c>
      <c r="AC29" s="2448" t="str">
        <f t="shared" si="22"/>
        <v/>
      </c>
      <c r="AD29" s="41">
        <f t="shared" si="58"/>
        <v>-27</v>
      </c>
      <c r="AE29" s="267" t="str">
        <f t="shared" si="23"/>
        <v/>
      </c>
      <c r="AF29" s="2398" t="str">
        <f t="shared" si="24"/>
        <v/>
      </c>
      <c r="AG29" s="2398" t="str">
        <f t="shared" si="25"/>
        <v/>
      </c>
      <c r="AH29" s="2398" t="str">
        <f t="shared" si="26"/>
        <v/>
      </c>
      <c r="AI29" s="2398" t="str">
        <f t="shared" si="27"/>
        <v/>
      </c>
      <c r="AJ29" s="2398" t="str">
        <f t="shared" si="28"/>
        <v/>
      </c>
      <c r="AK29" s="2398" t="str">
        <f t="shared" si="29"/>
        <v/>
      </c>
      <c r="AL29" s="2398" t="str">
        <f t="shared" si="30"/>
        <v/>
      </c>
      <c r="AM29" s="2398" t="str">
        <f t="shared" si="31"/>
        <v/>
      </c>
      <c r="AN29" s="2399" t="str">
        <f t="shared" si="59"/>
        <v/>
      </c>
      <c r="AO29" s="2399" t="str">
        <f t="shared" si="60"/>
        <v/>
      </c>
      <c r="AP29" s="2399" t="str">
        <f t="shared" si="61"/>
        <v/>
      </c>
      <c r="AQ29" s="2399" t="str">
        <f t="shared" si="62"/>
        <v/>
      </c>
      <c r="AR29" s="2474"/>
      <c r="AS29" s="2479" t="str">
        <f t="shared" si="32"/>
        <v/>
      </c>
      <c r="AT29" s="2448"/>
      <c r="AU29" s="2475" t="str">
        <f t="shared" si="34"/>
        <v/>
      </c>
      <c r="AV29" s="2448" t="str">
        <f t="shared" si="35"/>
        <v/>
      </c>
      <c r="AW29" s="2448"/>
      <c r="AX29" s="2476" t="str">
        <f t="shared" si="37"/>
        <v/>
      </c>
      <c r="AY29" s="2479" t="str">
        <f t="shared" si="38"/>
        <v/>
      </c>
      <c r="AZ29" s="2448" t="str">
        <f t="shared" si="39"/>
        <v/>
      </c>
      <c r="BA29" s="2475" t="str">
        <f t="shared" si="40"/>
        <v/>
      </c>
      <c r="BB29" s="2448" t="str">
        <f t="shared" si="41"/>
        <v/>
      </c>
      <c r="BC29" s="2448" t="str">
        <f t="shared" si="42"/>
        <v/>
      </c>
      <c r="BD29" s="2476" t="str">
        <f t="shared" si="43"/>
        <v/>
      </c>
      <c r="BE29" s="41">
        <f t="shared" si="63"/>
        <v>2</v>
      </c>
      <c r="BF29" s="267" t="str">
        <f t="shared" si="44"/>
        <v/>
      </c>
      <c r="BG29" s="2400" t="str">
        <f t="shared" si="45"/>
        <v/>
      </c>
      <c r="BH29" s="2400" t="str">
        <f t="shared" si="46"/>
        <v/>
      </c>
      <c r="BI29" s="2400" t="str">
        <f t="shared" si="47"/>
        <v/>
      </c>
      <c r="BJ29" s="2400" t="str">
        <f t="shared" si="48"/>
        <v/>
      </c>
      <c r="BK29" s="2425"/>
      <c r="BL29" s="2465" t="str">
        <f t="shared" si="65"/>
        <v/>
      </c>
      <c r="BM29" s="2466" t="str">
        <f t="shared" si="50"/>
        <v/>
      </c>
      <c r="BN29" s="2465" t="str">
        <f t="shared" si="51"/>
        <v/>
      </c>
      <c r="BO29" s="2466" t="str">
        <f t="shared" si="52"/>
        <v/>
      </c>
    </row>
    <row r="30" spans="1:67" x14ac:dyDescent="0.25">
      <c r="A30" s="2397">
        <f t="shared" si="64"/>
        <v>28</v>
      </c>
      <c r="B30" s="41">
        <f t="shared" si="53"/>
        <v>-29</v>
      </c>
      <c r="C30" s="41">
        <f t="shared" si="54"/>
        <v>-17</v>
      </c>
      <c r="D30" s="267" t="str">
        <f t="shared" si="2"/>
        <v/>
      </c>
      <c r="E30" s="2428" t="str">
        <f t="shared" si="3"/>
        <v/>
      </c>
      <c r="F30" s="2398" t="str">
        <f t="shared" si="4"/>
        <v/>
      </c>
      <c r="G30" s="2398" t="str">
        <f t="shared" si="5"/>
        <v/>
      </c>
      <c r="H30" s="2398" t="str">
        <f t="shared" si="6"/>
        <v/>
      </c>
      <c r="I30" s="2431" t="str">
        <f t="shared" si="7"/>
        <v/>
      </c>
      <c r="J30" s="2398" t="str">
        <f t="shared" si="8"/>
        <v/>
      </c>
      <c r="K30" s="2398" t="str">
        <f t="shared" si="9"/>
        <v/>
      </c>
      <c r="L30" s="2432" t="str">
        <f t="shared" si="10"/>
        <v/>
      </c>
      <c r="M30" s="2398" t="str">
        <f t="shared" si="11"/>
        <v/>
      </c>
      <c r="N30" s="2398" t="str">
        <f t="shared" si="12"/>
        <v/>
      </c>
      <c r="O30" s="2398" t="str">
        <f t="shared" si="13"/>
        <v/>
      </c>
      <c r="P30" s="2398" t="str">
        <f t="shared" si="14"/>
        <v/>
      </c>
      <c r="Q30" s="2453"/>
      <c r="R30" s="2448" t="str">
        <f t="shared" si="55"/>
        <v/>
      </c>
      <c r="S30" s="2448" t="str">
        <f t="shared" si="56"/>
        <v/>
      </c>
      <c r="T30" s="2448" t="str">
        <f t="shared" si="57"/>
        <v/>
      </c>
      <c r="U30" s="2448" t="str">
        <f t="shared" si="15"/>
        <v/>
      </c>
      <c r="V30" s="2448" t="str">
        <f t="shared" si="16"/>
        <v/>
      </c>
      <c r="W30" s="2449" t="str">
        <f t="shared" si="17"/>
        <v/>
      </c>
      <c r="X30" s="2479" t="str" cm="1">
        <f t="array" ref="X30">IFERROR(HLOOKUP(CoStar_DataSet_Inventory_2A,CoStar_Inventory_Array,$A30,FALSE),"-")</f>
        <v/>
      </c>
      <c r="Y30" s="2448" t="str">
        <f t="shared" si="18"/>
        <v/>
      </c>
      <c r="Z30" s="2448" t="str">
        <f t="shared" si="19"/>
        <v/>
      </c>
      <c r="AA30" s="2448" t="str">
        <f t="shared" si="20"/>
        <v/>
      </c>
      <c r="AB30" s="2448" t="str">
        <f t="shared" si="21"/>
        <v/>
      </c>
      <c r="AC30" s="2448" t="str">
        <f t="shared" si="22"/>
        <v/>
      </c>
      <c r="AD30" s="41">
        <f t="shared" si="58"/>
        <v>-29</v>
      </c>
      <c r="AE30" s="267" t="str">
        <f t="shared" si="23"/>
        <v/>
      </c>
      <c r="AF30" s="2398" t="str">
        <f t="shared" si="24"/>
        <v/>
      </c>
      <c r="AG30" s="2398" t="str">
        <f t="shared" si="25"/>
        <v/>
      </c>
      <c r="AH30" s="2398" t="str">
        <f t="shared" si="26"/>
        <v/>
      </c>
      <c r="AI30" s="2398" t="str">
        <f t="shared" si="27"/>
        <v/>
      </c>
      <c r="AJ30" s="2398" t="str">
        <f t="shared" si="28"/>
        <v/>
      </c>
      <c r="AK30" s="2398" t="str">
        <f t="shared" si="29"/>
        <v/>
      </c>
      <c r="AL30" s="2398" t="str">
        <f t="shared" si="30"/>
        <v/>
      </c>
      <c r="AM30" s="2398" t="str">
        <f t="shared" si="31"/>
        <v/>
      </c>
      <c r="AN30" s="2399" t="str">
        <f t="shared" si="59"/>
        <v/>
      </c>
      <c r="AO30" s="2399" t="str">
        <f t="shared" si="60"/>
        <v/>
      </c>
      <c r="AP30" s="2399" t="str">
        <f t="shared" si="61"/>
        <v/>
      </c>
      <c r="AQ30" s="2399" t="str">
        <f t="shared" si="62"/>
        <v/>
      </c>
      <c r="AR30" s="2474"/>
      <c r="AS30" s="2479" t="str">
        <f t="shared" si="32"/>
        <v/>
      </c>
      <c r="AT30" s="2448"/>
      <c r="AU30" s="2475" t="str">
        <f t="shared" si="34"/>
        <v/>
      </c>
      <c r="AV30" s="2448" t="str">
        <f t="shared" si="35"/>
        <v/>
      </c>
      <c r="AW30" s="2448"/>
      <c r="AX30" s="2476" t="str">
        <f t="shared" si="37"/>
        <v/>
      </c>
      <c r="AY30" s="2479" t="str">
        <f t="shared" si="38"/>
        <v/>
      </c>
      <c r="AZ30" s="2448" t="str">
        <f t="shared" si="39"/>
        <v/>
      </c>
      <c r="BA30" s="2475" t="str">
        <f t="shared" si="40"/>
        <v/>
      </c>
      <c r="BB30" s="2448" t="str">
        <f t="shared" si="41"/>
        <v/>
      </c>
      <c r="BC30" s="2448" t="str">
        <f t="shared" si="42"/>
        <v/>
      </c>
      <c r="BD30" s="2476" t="str">
        <f t="shared" si="43"/>
        <v/>
      </c>
      <c r="BE30" s="41">
        <f t="shared" si="63"/>
        <v>1</v>
      </c>
      <c r="BF30" s="267" t="str">
        <f t="shared" si="44"/>
        <v/>
      </c>
      <c r="BG30" s="2400" t="str">
        <f t="shared" si="45"/>
        <v/>
      </c>
      <c r="BH30" s="2400" t="str">
        <f t="shared" si="46"/>
        <v/>
      </c>
      <c r="BI30" s="2400" t="str">
        <f t="shared" si="47"/>
        <v/>
      </c>
      <c r="BJ30" s="2400" t="str">
        <f t="shared" si="48"/>
        <v/>
      </c>
      <c r="BK30" s="2425"/>
      <c r="BL30" s="2465" t="str">
        <f t="shared" si="65"/>
        <v/>
      </c>
      <c r="BM30" s="2466" t="str">
        <f t="shared" si="50"/>
        <v/>
      </c>
      <c r="BN30" s="2465" t="str">
        <f t="shared" si="51"/>
        <v/>
      </c>
      <c r="BO30" s="2466" t="str">
        <f t="shared" si="52"/>
        <v/>
      </c>
    </row>
    <row r="31" spans="1:67" x14ac:dyDescent="0.25">
      <c r="A31" s="2397">
        <f t="shared" si="64"/>
        <v>29</v>
      </c>
      <c r="B31" s="41">
        <f t="shared" si="53"/>
        <v>-31</v>
      </c>
      <c r="C31" s="41">
        <f t="shared" si="54"/>
        <v>-19</v>
      </c>
      <c r="D31" s="267" t="str">
        <f t="shared" si="2"/>
        <v/>
      </c>
      <c r="E31" s="2428" t="str">
        <f t="shared" si="3"/>
        <v/>
      </c>
      <c r="F31" s="2398" t="str">
        <f t="shared" si="4"/>
        <v/>
      </c>
      <c r="G31" s="2398" t="str">
        <f t="shared" si="5"/>
        <v/>
      </c>
      <c r="H31" s="2398" t="str">
        <f t="shared" si="6"/>
        <v/>
      </c>
      <c r="I31" s="2431" t="str">
        <f t="shared" si="7"/>
        <v/>
      </c>
      <c r="J31" s="2398" t="str">
        <f t="shared" si="8"/>
        <v/>
      </c>
      <c r="K31" s="2398" t="str">
        <f t="shared" si="9"/>
        <v/>
      </c>
      <c r="L31" s="2432" t="str">
        <f t="shared" si="10"/>
        <v/>
      </c>
      <c r="M31" s="2398" t="str">
        <f t="shared" si="11"/>
        <v/>
      </c>
      <c r="N31" s="2398" t="str">
        <f t="shared" si="12"/>
        <v/>
      </c>
      <c r="O31" s="2398" t="str">
        <f t="shared" si="13"/>
        <v/>
      </c>
      <c r="P31" s="2398" t="str">
        <f t="shared" si="14"/>
        <v/>
      </c>
      <c r="Q31" s="2453"/>
      <c r="R31" s="2448" t="str">
        <f t="shared" si="55"/>
        <v/>
      </c>
      <c r="S31" s="2448" t="str">
        <f t="shared" si="56"/>
        <v/>
      </c>
      <c r="T31" s="2448" t="str">
        <f t="shared" si="57"/>
        <v/>
      </c>
      <c r="U31" s="2448" t="str">
        <f t="shared" si="15"/>
        <v/>
      </c>
      <c r="V31" s="2448" t="str">
        <f t="shared" si="16"/>
        <v/>
      </c>
      <c r="W31" s="2449" t="str">
        <f t="shared" si="17"/>
        <v/>
      </c>
      <c r="X31" s="2479" t="str" cm="1">
        <f t="array" ref="X31">IFERROR(HLOOKUP(CoStar_DataSet_Inventory_2A,CoStar_Inventory_Array,$A31,FALSE),"-")</f>
        <v/>
      </c>
      <c r="Y31" s="2448" t="str">
        <f t="shared" si="18"/>
        <v/>
      </c>
      <c r="Z31" s="2448" t="str">
        <f t="shared" si="19"/>
        <v/>
      </c>
      <c r="AA31" s="2448" t="str">
        <f t="shared" si="20"/>
        <v/>
      </c>
      <c r="AB31" s="2448" t="str">
        <f t="shared" si="21"/>
        <v/>
      </c>
      <c r="AC31" s="2448" t="str">
        <f t="shared" si="22"/>
        <v/>
      </c>
      <c r="AD31" s="41">
        <f t="shared" si="58"/>
        <v>-31</v>
      </c>
      <c r="AE31" s="267" t="str">
        <f t="shared" si="23"/>
        <v/>
      </c>
      <c r="AF31" s="2398" t="str">
        <f t="shared" si="24"/>
        <v/>
      </c>
      <c r="AG31" s="2398" t="str">
        <f t="shared" si="25"/>
        <v/>
      </c>
      <c r="AH31" s="2398" t="str">
        <f t="shared" si="26"/>
        <v/>
      </c>
      <c r="AI31" s="2398" t="str">
        <f t="shared" si="27"/>
        <v/>
      </c>
      <c r="AJ31" s="2398" t="str">
        <f t="shared" si="28"/>
        <v/>
      </c>
      <c r="AK31" s="2398" t="str">
        <f t="shared" si="29"/>
        <v/>
      </c>
      <c r="AL31" s="2398" t="str">
        <f t="shared" si="30"/>
        <v/>
      </c>
      <c r="AM31" s="2398" t="str">
        <f t="shared" si="31"/>
        <v/>
      </c>
      <c r="AN31" s="2399" t="str">
        <f t="shared" si="59"/>
        <v/>
      </c>
      <c r="AO31" s="2399" t="str">
        <f t="shared" si="60"/>
        <v/>
      </c>
      <c r="AP31" s="2399" t="str">
        <f t="shared" si="61"/>
        <v/>
      </c>
      <c r="AQ31" s="2399" t="str">
        <f t="shared" si="62"/>
        <v/>
      </c>
      <c r="AR31" s="2474"/>
      <c r="AS31" s="2479" t="str">
        <f t="shared" si="32"/>
        <v/>
      </c>
      <c r="AT31" s="2448"/>
      <c r="AU31" s="2475" t="str">
        <f t="shared" si="34"/>
        <v/>
      </c>
      <c r="AV31" s="2448" t="str">
        <f t="shared" si="35"/>
        <v/>
      </c>
      <c r="AW31" s="2448"/>
      <c r="AX31" s="2476" t="str">
        <f t="shared" si="37"/>
        <v/>
      </c>
      <c r="AY31" s="2479" t="str">
        <f t="shared" si="38"/>
        <v/>
      </c>
      <c r="AZ31" s="2448" t="str">
        <f t="shared" si="39"/>
        <v/>
      </c>
      <c r="BA31" s="2475" t="str">
        <f t="shared" si="40"/>
        <v/>
      </c>
      <c r="BB31" s="2448" t="str">
        <f t="shared" si="41"/>
        <v/>
      </c>
      <c r="BC31" s="2448" t="str">
        <f t="shared" si="42"/>
        <v/>
      </c>
      <c r="BD31" s="2476" t="str">
        <f t="shared" si="43"/>
        <v/>
      </c>
      <c r="BE31" s="41">
        <f t="shared" si="63"/>
        <v>0</v>
      </c>
      <c r="BF31" s="267" t="str">
        <f t="shared" si="44"/>
        <v/>
      </c>
      <c r="BG31" s="2400" t="str">
        <f t="shared" si="45"/>
        <v/>
      </c>
      <c r="BH31" s="2400" t="str">
        <f t="shared" si="46"/>
        <v/>
      </c>
      <c r="BI31" s="2400" t="str">
        <f t="shared" si="47"/>
        <v/>
      </c>
      <c r="BJ31" s="2400" t="str">
        <f t="shared" si="48"/>
        <v/>
      </c>
      <c r="BK31" s="2425"/>
      <c r="BL31" s="2465" t="str">
        <f t="shared" si="65"/>
        <v/>
      </c>
      <c r="BM31" s="2466" t="str">
        <f t="shared" si="50"/>
        <v/>
      </c>
      <c r="BN31" s="2465" t="str">
        <f t="shared" si="51"/>
        <v/>
      </c>
      <c r="BO31" s="2466" t="str">
        <f t="shared" si="52"/>
        <v/>
      </c>
    </row>
    <row r="32" spans="1:67" x14ac:dyDescent="0.25">
      <c r="A32" s="2397">
        <f t="shared" si="64"/>
        <v>30</v>
      </c>
      <c r="B32" s="41">
        <f t="shared" si="53"/>
        <v>-33</v>
      </c>
      <c r="C32" s="41">
        <f t="shared" si="54"/>
        <v>-21</v>
      </c>
      <c r="D32" s="267" t="str">
        <f t="shared" si="2"/>
        <v/>
      </c>
      <c r="E32" s="2428" t="str">
        <f t="shared" si="3"/>
        <v/>
      </c>
      <c r="F32" s="2398" t="str">
        <f t="shared" si="4"/>
        <v/>
      </c>
      <c r="G32" s="2398" t="str">
        <f t="shared" si="5"/>
        <v/>
      </c>
      <c r="H32" s="2398" t="str">
        <f t="shared" si="6"/>
        <v/>
      </c>
      <c r="I32" s="2431" t="str">
        <f t="shared" si="7"/>
        <v/>
      </c>
      <c r="J32" s="2398" t="str">
        <f t="shared" si="8"/>
        <v/>
      </c>
      <c r="K32" s="2398" t="str">
        <f t="shared" si="9"/>
        <v/>
      </c>
      <c r="L32" s="2432" t="str">
        <f t="shared" si="10"/>
        <v/>
      </c>
      <c r="M32" s="2398" t="str">
        <f t="shared" si="11"/>
        <v/>
      </c>
      <c r="N32" s="2398" t="str">
        <f t="shared" si="12"/>
        <v/>
      </c>
      <c r="O32" s="2398" t="str">
        <f t="shared" si="13"/>
        <v/>
      </c>
      <c r="P32" s="2398" t="str">
        <f t="shared" si="14"/>
        <v/>
      </c>
      <c r="Q32" s="2453"/>
      <c r="R32" s="2448" t="str">
        <f t="shared" si="55"/>
        <v/>
      </c>
      <c r="S32" s="2448" t="str">
        <f t="shared" si="56"/>
        <v/>
      </c>
      <c r="T32" s="2448" t="str">
        <f t="shared" si="57"/>
        <v/>
      </c>
      <c r="U32" s="2448" t="str">
        <f t="shared" si="15"/>
        <v/>
      </c>
      <c r="V32" s="2448" t="str">
        <f t="shared" si="16"/>
        <v/>
      </c>
      <c r="W32" s="2449" t="str">
        <f t="shared" si="17"/>
        <v/>
      </c>
      <c r="X32" s="2479" t="str" cm="1">
        <f t="array" ref="X32">IFERROR(HLOOKUP(CoStar_DataSet_Inventory_2A,CoStar_Inventory_Array,$A32,FALSE),"-")</f>
        <v/>
      </c>
      <c r="Y32" s="2448" t="str">
        <f t="shared" si="18"/>
        <v/>
      </c>
      <c r="Z32" s="2448" t="str">
        <f t="shared" si="19"/>
        <v/>
      </c>
      <c r="AA32" s="2448" t="str">
        <f t="shared" si="20"/>
        <v/>
      </c>
      <c r="AB32" s="2448" t="str">
        <f t="shared" si="21"/>
        <v/>
      </c>
      <c r="AC32" s="2448" t="str">
        <f t="shared" si="22"/>
        <v/>
      </c>
      <c r="AD32" s="41">
        <f t="shared" si="58"/>
        <v>-33</v>
      </c>
      <c r="AE32" s="267" t="str">
        <f t="shared" si="23"/>
        <v/>
      </c>
      <c r="AF32" s="2398" t="str">
        <f t="shared" si="24"/>
        <v/>
      </c>
      <c r="AG32" s="2398" t="str">
        <f t="shared" si="25"/>
        <v/>
      </c>
      <c r="AH32" s="2398" t="str">
        <f t="shared" si="26"/>
        <v/>
      </c>
      <c r="AI32" s="2398" t="str">
        <f t="shared" si="27"/>
        <v/>
      </c>
      <c r="AJ32" s="2398" t="str">
        <f t="shared" si="28"/>
        <v/>
      </c>
      <c r="AK32" s="2398" t="str">
        <f t="shared" si="29"/>
        <v/>
      </c>
      <c r="AL32" s="2398" t="str">
        <f t="shared" si="30"/>
        <v/>
      </c>
      <c r="AM32" s="2398" t="str">
        <f t="shared" si="31"/>
        <v/>
      </c>
      <c r="AN32" s="2399" t="str">
        <f t="shared" si="59"/>
        <v/>
      </c>
      <c r="AO32" s="2399" t="str">
        <f t="shared" si="60"/>
        <v/>
      </c>
      <c r="AP32" s="2399" t="str">
        <f t="shared" si="61"/>
        <v/>
      </c>
      <c r="AQ32" s="2399" t="str">
        <f t="shared" si="62"/>
        <v/>
      </c>
      <c r="AR32" s="2474"/>
      <c r="AS32" s="2479" t="str">
        <f t="shared" si="32"/>
        <v/>
      </c>
      <c r="AT32" s="2448"/>
      <c r="AU32" s="2475" t="str">
        <f t="shared" si="34"/>
        <v/>
      </c>
      <c r="AV32" s="2448" t="str">
        <f t="shared" si="35"/>
        <v/>
      </c>
      <c r="AW32" s="2448"/>
      <c r="AX32" s="2476" t="str">
        <f t="shared" si="37"/>
        <v/>
      </c>
      <c r="AY32" s="2479" t="str">
        <f t="shared" si="38"/>
        <v/>
      </c>
      <c r="AZ32" s="2448" t="str">
        <f t="shared" si="39"/>
        <v/>
      </c>
      <c r="BA32" s="2475" t="str">
        <f t="shared" si="40"/>
        <v/>
      </c>
      <c r="BB32" s="2448" t="str">
        <f t="shared" si="41"/>
        <v/>
      </c>
      <c r="BC32" s="2448" t="str">
        <f t="shared" si="42"/>
        <v/>
      </c>
      <c r="BD32" s="2476" t="str">
        <f t="shared" si="43"/>
        <v/>
      </c>
      <c r="BE32" s="41">
        <f t="shared" si="63"/>
        <v>-1</v>
      </c>
      <c r="BF32" s="267" t="str">
        <f t="shared" si="44"/>
        <v/>
      </c>
      <c r="BG32" s="2400" t="str">
        <f t="shared" si="45"/>
        <v/>
      </c>
      <c r="BH32" s="2400" t="str">
        <f t="shared" si="46"/>
        <v/>
      </c>
      <c r="BI32" s="2400" t="str">
        <f t="shared" si="47"/>
        <v/>
      </c>
      <c r="BJ32" s="2400" t="str">
        <f t="shared" si="48"/>
        <v/>
      </c>
      <c r="BK32" s="2425"/>
      <c r="BL32" s="2465" t="str">
        <f t="shared" si="65"/>
        <v/>
      </c>
      <c r="BM32" s="2466" t="str">
        <f t="shared" si="50"/>
        <v/>
      </c>
      <c r="BN32" s="2465" t="str">
        <f t="shared" si="51"/>
        <v/>
      </c>
      <c r="BO32" s="2466" t="str">
        <f t="shared" si="52"/>
        <v/>
      </c>
    </row>
    <row r="33" spans="1:67" x14ac:dyDescent="0.25">
      <c r="A33" s="2397">
        <f t="shared" si="64"/>
        <v>31</v>
      </c>
      <c r="B33" s="41">
        <f t="shared" si="53"/>
        <v>-35</v>
      </c>
      <c r="C33" s="41">
        <f t="shared" si="54"/>
        <v>-23</v>
      </c>
      <c r="D33" s="267" t="str">
        <f t="shared" si="2"/>
        <v/>
      </c>
      <c r="E33" s="2428" t="str">
        <f t="shared" si="3"/>
        <v/>
      </c>
      <c r="F33" s="2398" t="str">
        <f t="shared" si="4"/>
        <v/>
      </c>
      <c r="G33" s="2398" t="str">
        <f t="shared" si="5"/>
        <v/>
      </c>
      <c r="H33" s="2398" t="str">
        <f t="shared" si="6"/>
        <v/>
      </c>
      <c r="I33" s="2431" t="str">
        <f t="shared" si="7"/>
        <v/>
      </c>
      <c r="J33" s="2398" t="str">
        <f t="shared" si="8"/>
        <v/>
      </c>
      <c r="K33" s="2398" t="str">
        <f t="shared" si="9"/>
        <v/>
      </c>
      <c r="L33" s="2432" t="str">
        <f t="shared" si="10"/>
        <v/>
      </c>
      <c r="M33" s="2398" t="str">
        <f t="shared" si="11"/>
        <v/>
      </c>
      <c r="N33" s="2398" t="str">
        <f t="shared" si="12"/>
        <v/>
      </c>
      <c r="O33" s="2398" t="str">
        <f t="shared" si="13"/>
        <v/>
      </c>
      <c r="P33" s="2398" t="str">
        <f t="shared" si="14"/>
        <v/>
      </c>
      <c r="Q33" s="2453"/>
      <c r="R33" s="2448" t="str">
        <f t="shared" si="55"/>
        <v/>
      </c>
      <c r="S33" s="2448" t="str">
        <f t="shared" si="56"/>
        <v/>
      </c>
      <c r="T33" s="2448" t="str">
        <f t="shared" si="57"/>
        <v/>
      </c>
      <c r="U33" s="2448" t="str">
        <f t="shared" si="15"/>
        <v/>
      </c>
      <c r="V33" s="2448" t="str">
        <f t="shared" si="16"/>
        <v/>
      </c>
      <c r="W33" s="2449" t="str">
        <f t="shared" si="17"/>
        <v/>
      </c>
      <c r="X33" s="2479" t="str" cm="1">
        <f t="array" ref="X33">IFERROR(HLOOKUP(CoStar_DataSet_Inventory_2A,CoStar_Inventory_Array,$A33,FALSE),"-")</f>
        <v/>
      </c>
      <c r="Y33" s="2448" t="str">
        <f t="shared" si="18"/>
        <v/>
      </c>
      <c r="Z33" s="2448" t="str">
        <f t="shared" si="19"/>
        <v/>
      </c>
      <c r="AA33" s="2448" t="str">
        <f t="shared" si="20"/>
        <v/>
      </c>
      <c r="AB33" s="2448" t="str">
        <f t="shared" si="21"/>
        <v/>
      </c>
      <c r="AC33" s="2448" t="str">
        <f t="shared" si="22"/>
        <v/>
      </c>
      <c r="AD33" s="41">
        <f t="shared" si="58"/>
        <v>-35</v>
      </c>
      <c r="AE33" s="267" t="str">
        <f t="shared" si="23"/>
        <v/>
      </c>
      <c r="AF33" s="2398" t="str">
        <f t="shared" si="24"/>
        <v/>
      </c>
      <c r="AG33" s="2398" t="str">
        <f t="shared" si="25"/>
        <v/>
      </c>
      <c r="AH33" s="2398" t="str">
        <f t="shared" si="26"/>
        <v/>
      </c>
      <c r="AI33" s="2398" t="str">
        <f t="shared" si="27"/>
        <v/>
      </c>
      <c r="AJ33" s="2398" t="str">
        <f t="shared" si="28"/>
        <v/>
      </c>
      <c r="AK33" s="2398" t="str">
        <f t="shared" si="29"/>
        <v/>
      </c>
      <c r="AL33" s="2398" t="str">
        <f t="shared" si="30"/>
        <v/>
      </c>
      <c r="AM33" s="2398" t="str">
        <f t="shared" si="31"/>
        <v/>
      </c>
      <c r="AN33" s="2399" t="str">
        <f t="shared" si="59"/>
        <v/>
      </c>
      <c r="AO33" s="2399" t="str">
        <f t="shared" si="60"/>
        <v/>
      </c>
      <c r="AP33" s="2399" t="str">
        <f t="shared" si="61"/>
        <v/>
      </c>
      <c r="AQ33" s="2399" t="str">
        <f t="shared" si="62"/>
        <v/>
      </c>
      <c r="AR33" s="2474"/>
      <c r="AS33" s="2479" t="str">
        <f t="shared" si="32"/>
        <v/>
      </c>
      <c r="AT33" s="2448"/>
      <c r="AU33" s="2475" t="str">
        <f t="shared" si="34"/>
        <v/>
      </c>
      <c r="AV33" s="2448" t="str">
        <f t="shared" si="35"/>
        <v/>
      </c>
      <c r="AW33" s="2448"/>
      <c r="AX33" s="2476" t="str">
        <f t="shared" si="37"/>
        <v/>
      </c>
      <c r="AY33" s="2479" t="str">
        <f t="shared" si="38"/>
        <v/>
      </c>
      <c r="AZ33" s="2448" t="str">
        <f t="shared" si="39"/>
        <v/>
      </c>
      <c r="BA33" s="2475" t="str">
        <f t="shared" si="40"/>
        <v/>
      </c>
      <c r="BB33" s="2448" t="str">
        <f t="shared" si="41"/>
        <v/>
      </c>
      <c r="BC33" s="2448" t="str">
        <f t="shared" si="42"/>
        <v/>
      </c>
      <c r="BD33" s="2476" t="str">
        <f t="shared" si="43"/>
        <v/>
      </c>
      <c r="BE33" s="41">
        <f t="shared" si="63"/>
        <v>-2</v>
      </c>
      <c r="BF33" s="267" t="str">
        <f t="shared" si="44"/>
        <v/>
      </c>
      <c r="BG33" s="2400" t="str">
        <f t="shared" si="45"/>
        <v/>
      </c>
      <c r="BH33" s="2400" t="str">
        <f t="shared" si="46"/>
        <v/>
      </c>
      <c r="BI33" s="2400" t="str">
        <f t="shared" si="47"/>
        <v/>
      </c>
      <c r="BJ33" s="2400" t="str">
        <f t="shared" si="48"/>
        <v/>
      </c>
      <c r="BK33" s="2425"/>
      <c r="BL33" s="2465" t="str">
        <f t="shared" si="65"/>
        <v/>
      </c>
      <c r="BM33" s="2466" t="str">
        <f t="shared" si="50"/>
        <v/>
      </c>
      <c r="BN33" s="2465" t="str">
        <f t="shared" si="51"/>
        <v/>
      </c>
      <c r="BO33" s="2466" t="str">
        <f t="shared" si="52"/>
        <v/>
      </c>
    </row>
    <row r="34" spans="1:67" x14ac:dyDescent="0.25">
      <c r="A34" s="2397">
        <f t="shared" si="64"/>
        <v>32</v>
      </c>
      <c r="B34" s="41">
        <f t="shared" si="53"/>
        <v>-37</v>
      </c>
      <c r="C34" s="41">
        <f t="shared" si="54"/>
        <v>-25</v>
      </c>
      <c r="D34" s="267" t="str">
        <f t="shared" si="2"/>
        <v/>
      </c>
      <c r="E34" s="2428" t="str">
        <f t="shared" si="3"/>
        <v/>
      </c>
      <c r="F34" s="2398" t="str">
        <f t="shared" si="4"/>
        <v/>
      </c>
      <c r="G34" s="2398" t="str">
        <f t="shared" si="5"/>
        <v/>
      </c>
      <c r="H34" s="2398" t="str">
        <f t="shared" si="6"/>
        <v/>
      </c>
      <c r="I34" s="2431" t="str">
        <f t="shared" si="7"/>
        <v/>
      </c>
      <c r="J34" s="2398" t="str">
        <f t="shared" si="8"/>
        <v/>
      </c>
      <c r="K34" s="2398" t="str">
        <f t="shared" si="9"/>
        <v/>
      </c>
      <c r="L34" s="2432" t="str">
        <f t="shared" si="10"/>
        <v/>
      </c>
      <c r="M34" s="2398" t="str">
        <f t="shared" si="11"/>
        <v/>
      </c>
      <c r="N34" s="2398" t="str">
        <f t="shared" si="12"/>
        <v/>
      </c>
      <c r="O34" s="2398" t="str">
        <f t="shared" si="13"/>
        <v/>
      </c>
      <c r="P34" s="2398" t="str">
        <f t="shared" si="14"/>
        <v/>
      </c>
      <c r="Q34" s="2453"/>
      <c r="R34" s="2448" t="str">
        <f t="shared" si="55"/>
        <v/>
      </c>
      <c r="S34" s="2448" t="str">
        <f t="shared" si="56"/>
        <v/>
      </c>
      <c r="T34" s="2448" t="str">
        <f t="shared" si="57"/>
        <v/>
      </c>
      <c r="U34" s="2448" t="str">
        <f t="shared" si="15"/>
        <v/>
      </c>
      <c r="V34" s="2448" t="str">
        <f t="shared" si="16"/>
        <v/>
      </c>
      <c r="W34" s="2449" t="str">
        <f t="shared" si="17"/>
        <v/>
      </c>
      <c r="X34" s="2479" t="str" cm="1">
        <f t="array" ref="X34">IFERROR(HLOOKUP(CoStar_DataSet_Inventory_2A,CoStar_Inventory_Array,$A34,FALSE),"-")</f>
        <v/>
      </c>
      <c r="Y34" s="2448" t="str">
        <f t="shared" si="18"/>
        <v/>
      </c>
      <c r="Z34" s="2448" t="str">
        <f t="shared" si="19"/>
        <v/>
      </c>
      <c r="AA34" s="2448" t="str">
        <f t="shared" si="20"/>
        <v/>
      </c>
      <c r="AB34" s="2448" t="str">
        <f t="shared" si="21"/>
        <v/>
      </c>
      <c r="AC34" s="2448" t="str">
        <f t="shared" si="22"/>
        <v/>
      </c>
      <c r="AD34" s="41">
        <f t="shared" si="58"/>
        <v>-37</v>
      </c>
      <c r="AE34" s="267" t="str">
        <f t="shared" si="23"/>
        <v/>
      </c>
      <c r="AF34" s="2398" t="str">
        <f t="shared" si="24"/>
        <v/>
      </c>
      <c r="AG34" s="2398" t="str">
        <f t="shared" si="25"/>
        <v/>
      </c>
      <c r="AH34" s="2398" t="str">
        <f t="shared" si="26"/>
        <v/>
      </c>
      <c r="AI34" s="2398" t="str">
        <f t="shared" si="27"/>
        <v/>
      </c>
      <c r="AJ34" s="2398" t="str">
        <f t="shared" si="28"/>
        <v/>
      </c>
      <c r="AK34" s="2398" t="str">
        <f t="shared" si="29"/>
        <v/>
      </c>
      <c r="AL34" s="2398" t="str">
        <f t="shared" si="30"/>
        <v/>
      </c>
      <c r="AM34" s="2398" t="str">
        <f t="shared" si="31"/>
        <v/>
      </c>
      <c r="AN34" s="2399" t="str">
        <f t="shared" si="59"/>
        <v/>
      </c>
      <c r="AO34" s="2399" t="str">
        <f t="shared" si="60"/>
        <v/>
      </c>
      <c r="AP34" s="2399" t="str">
        <f t="shared" si="61"/>
        <v/>
      </c>
      <c r="AQ34" s="2399" t="str">
        <f t="shared" si="62"/>
        <v/>
      </c>
      <c r="AR34" s="2474"/>
      <c r="AS34" s="2479" t="str">
        <f t="shared" si="32"/>
        <v/>
      </c>
      <c r="AT34" s="2448"/>
      <c r="AU34" s="2475" t="str">
        <f t="shared" si="34"/>
        <v/>
      </c>
      <c r="AV34" s="2448" t="str">
        <f t="shared" si="35"/>
        <v/>
      </c>
      <c r="AW34" s="2448"/>
      <c r="AX34" s="2476" t="str">
        <f t="shared" si="37"/>
        <v/>
      </c>
      <c r="AY34" s="2479" t="str">
        <f t="shared" si="38"/>
        <v/>
      </c>
      <c r="AZ34" s="2448" t="str">
        <f t="shared" si="39"/>
        <v/>
      </c>
      <c r="BA34" s="2475" t="str">
        <f t="shared" si="40"/>
        <v/>
      </c>
      <c r="BB34" s="2448" t="str">
        <f t="shared" si="41"/>
        <v/>
      </c>
      <c r="BC34" s="2448" t="str">
        <f t="shared" si="42"/>
        <v/>
      </c>
      <c r="BD34" s="2476" t="str">
        <f t="shared" si="43"/>
        <v/>
      </c>
      <c r="BE34" s="41">
        <f t="shared" si="63"/>
        <v>-3</v>
      </c>
      <c r="BF34" s="267" t="str">
        <f t="shared" si="44"/>
        <v/>
      </c>
      <c r="BG34" s="2400" t="str">
        <f t="shared" si="45"/>
        <v/>
      </c>
      <c r="BH34" s="2400" t="str">
        <f t="shared" si="46"/>
        <v/>
      </c>
      <c r="BI34" s="2400" t="str">
        <f t="shared" si="47"/>
        <v/>
      </c>
      <c r="BJ34" s="2400" t="str">
        <f t="shared" si="48"/>
        <v/>
      </c>
      <c r="BK34" s="2425"/>
      <c r="BL34" s="2465" t="str">
        <f t="shared" si="65"/>
        <v/>
      </c>
      <c r="BM34" s="2466" t="str">
        <f t="shared" si="50"/>
        <v/>
      </c>
      <c r="BN34" s="2465" t="str">
        <f t="shared" si="51"/>
        <v/>
      </c>
      <c r="BO34" s="2466" t="str">
        <f t="shared" si="52"/>
        <v/>
      </c>
    </row>
    <row r="35" spans="1:67" x14ac:dyDescent="0.25">
      <c r="A35" s="2397">
        <f t="shared" si="64"/>
        <v>33</v>
      </c>
      <c r="B35" s="41">
        <f t="shared" si="53"/>
        <v>-39</v>
      </c>
      <c r="C35" s="41">
        <f t="shared" si="54"/>
        <v>-27</v>
      </c>
      <c r="D35" s="267" t="str">
        <f t="shared" si="2"/>
        <v/>
      </c>
      <c r="E35" s="2428" t="str">
        <f t="shared" si="3"/>
        <v/>
      </c>
      <c r="F35" s="2398" t="str">
        <f t="shared" si="4"/>
        <v/>
      </c>
      <c r="G35" s="2398" t="str">
        <f t="shared" si="5"/>
        <v/>
      </c>
      <c r="H35" s="2398" t="str">
        <f t="shared" si="6"/>
        <v/>
      </c>
      <c r="I35" s="2431" t="str">
        <f t="shared" si="7"/>
        <v/>
      </c>
      <c r="J35" s="2398" t="str">
        <f t="shared" si="8"/>
        <v/>
      </c>
      <c r="K35" s="2398" t="str">
        <f t="shared" si="9"/>
        <v/>
      </c>
      <c r="L35" s="2432" t="str">
        <f t="shared" si="10"/>
        <v/>
      </c>
      <c r="M35" s="2398" t="str">
        <f t="shared" si="11"/>
        <v/>
      </c>
      <c r="N35" s="2398" t="str">
        <f t="shared" si="12"/>
        <v/>
      </c>
      <c r="O35" s="2398" t="str">
        <f t="shared" si="13"/>
        <v/>
      </c>
      <c r="P35" s="2398" t="str">
        <f t="shared" si="14"/>
        <v/>
      </c>
      <c r="Q35" s="2453"/>
      <c r="R35" s="2448" t="str">
        <f t="shared" si="55"/>
        <v/>
      </c>
      <c r="S35" s="2448" t="str">
        <f t="shared" si="56"/>
        <v/>
      </c>
      <c r="T35" s="2448" t="str">
        <f t="shared" si="57"/>
        <v/>
      </c>
      <c r="U35" s="2448" t="str">
        <f t="shared" si="15"/>
        <v/>
      </c>
      <c r="V35" s="2448" t="str">
        <f t="shared" si="16"/>
        <v/>
      </c>
      <c r="W35" s="2449" t="str">
        <f t="shared" si="17"/>
        <v/>
      </c>
      <c r="X35" s="2479" t="str" cm="1">
        <f t="array" ref="X35">IFERROR(HLOOKUP(CoStar_DataSet_Inventory_2A,CoStar_Inventory_Array,$A35,FALSE),"-")</f>
        <v/>
      </c>
      <c r="Y35" s="2448" t="str">
        <f t="shared" si="18"/>
        <v/>
      </c>
      <c r="Z35" s="2448" t="str">
        <f t="shared" si="19"/>
        <v/>
      </c>
      <c r="AA35" s="2448" t="str">
        <f t="shared" si="20"/>
        <v/>
      </c>
      <c r="AB35" s="2448" t="str">
        <f t="shared" si="21"/>
        <v/>
      </c>
      <c r="AC35" s="2448" t="str">
        <f t="shared" si="22"/>
        <v/>
      </c>
      <c r="AD35" s="41">
        <f t="shared" si="58"/>
        <v>-39</v>
      </c>
      <c r="AE35" s="267" t="str">
        <f t="shared" si="23"/>
        <v/>
      </c>
      <c r="AF35" s="2398" t="str">
        <f t="shared" si="24"/>
        <v/>
      </c>
      <c r="AG35" s="2398" t="str">
        <f t="shared" si="25"/>
        <v/>
      </c>
      <c r="AH35" s="2398" t="str">
        <f t="shared" si="26"/>
        <v/>
      </c>
      <c r="AI35" s="2398" t="str">
        <f t="shared" si="27"/>
        <v/>
      </c>
      <c r="AJ35" s="2398" t="str">
        <f t="shared" si="28"/>
        <v/>
      </c>
      <c r="AK35" s="2398" t="str">
        <f t="shared" si="29"/>
        <v/>
      </c>
      <c r="AL35" s="2398" t="str">
        <f t="shared" si="30"/>
        <v/>
      </c>
      <c r="AM35" s="2398" t="str">
        <f t="shared" si="31"/>
        <v/>
      </c>
      <c r="AN35" s="2399" t="str">
        <f t="shared" si="59"/>
        <v/>
      </c>
      <c r="AO35" s="2399" t="str">
        <f t="shared" si="60"/>
        <v/>
      </c>
      <c r="AP35" s="2399" t="str">
        <f t="shared" si="61"/>
        <v/>
      </c>
      <c r="AQ35" s="2399" t="str">
        <f t="shared" si="62"/>
        <v/>
      </c>
      <c r="AR35" s="2474"/>
      <c r="AS35" s="2479" t="str">
        <f t="shared" si="32"/>
        <v/>
      </c>
      <c r="AT35" s="2448"/>
      <c r="AU35" s="2475" t="str">
        <f t="shared" si="34"/>
        <v/>
      </c>
      <c r="AV35" s="2448" t="str">
        <f t="shared" si="35"/>
        <v/>
      </c>
      <c r="AW35" s="2448"/>
      <c r="AX35" s="2476" t="str">
        <f t="shared" si="37"/>
        <v/>
      </c>
      <c r="AY35" s="2479" t="str">
        <f t="shared" si="38"/>
        <v/>
      </c>
      <c r="AZ35" s="2448" t="str">
        <f t="shared" si="39"/>
        <v/>
      </c>
      <c r="BA35" s="2475" t="str">
        <f t="shared" si="40"/>
        <v/>
      </c>
      <c r="BB35" s="2448" t="str">
        <f t="shared" si="41"/>
        <v/>
      </c>
      <c r="BC35" s="2448" t="str">
        <f t="shared" si="42"/>
        <v/>
      </c>
      <c r="BD35" s="2476" t="str">
        <f t="shared" si="43"/>
        <v/>
      </c>
      <c r="BE35" s="41">
        <f t="shared" si="63"/>
        <v>-4</v>
      </c>
      <c r="BF35" s="267" t="str">
        <f t="shared" si="44"/>
        <v/>
      </c>
      <c r="BG35" s="2400" t="str">
        <f t="shared" si="45"/>
        <v/>
      </c>
      <c r="BH35" s="2400" t="str">
        <f t="shared" si="46"/>
        <v/>
      </c>
      <c r="BI35" s="2400" t="str">
        <f t="shared" si="47"/>
        <v/>
      </c>
      <c r="BJ35" s="2400" t="str">
        <f t="shared" si="48"/>
        <v/>
      </c>
      <c r="BK35" s="2425"/>
      <c r="BL35" s="2465" t="str">
        <f t="shared" si="65"/>
        <v/>
      </c>
      <c r="BM35" s="2466" t="str">
        <f t="shared" si="50"/>
        <v/>
      </c>
      <c r="BN35" s="2465" t="str">
        <f t="shared" si="51"/>
        <v/>
      </c>
      <c r="BO35" s="2466" t="str">
        <f t="shared" si="52"/>
        <v/>
      </c>
    </row>
    <row r="36" spans="1:67" x14ac:dyDescent="0.25">
      <c r="A36" s="2397">
        <f t="shared" si="64"/>
        <v>34</v>
      </c>
      <c r="B36" s="41">
        <f t="shared" si="53"/>
        <v>-41</v>
      </c>
      <c r="C36" s="41">
        <f t="shared" si="54"/>
        <v>-29</v>
      </c>
      <c r="D36" s="267" t="str">
        <f t="shared" ref="D36:D67" si="66">IFERROR(IF($C36&lt;CoStar_RowOffset_Inventory,"",HLOOKUP(CONCATENATE("  ",D$3),CoStar01Array,$C36,FALSE)),1)</f>
        <v/>
      </c>
      <c r="E36" s="2428" t="str">
        <f t="shared" ref="E36:E67" si="67">IFERROR(IF($C36&lt;CoStar_RowOffset_Inventory,"",HLOOKUP(E$2,CoStar01Array,$C36,FALSE)),"-")</f>
        <v/>
      </c>
      <c r="F36" s="2398" t="str">
        <f t="shared" ref="F36:F67" si="68">IFERROR(IF($C36&lt;CoStar_RowOffset_Inventory,"",HLOOKUP(E$2,CoStar02Array,$C36,FALSE)),"-")</f>
        <v/>
      </c>
      <c r="G36" s="2398" t="str">
        <f t="shared" ref="G36:G67" si="69">IFERROR(IF($C36&lt;CoStar_RowOffset_Inventory,"",HLOOKUP(E$2,CoStar03Array,$C36,FALSE)),"-")</f>
        <v/>
      </c>
      <c r="H36" s="2398" t="str">
        <f t="shared" ref="H36:H67" si="70">IFERROR(IF($C36&lt;CoStar_RowOffset_Inventory,"",HLOOKUP(E$2,CoStar04Array,$C36,FALSE)),"-")</f>
        <v/>
      </c>
      <c r="I36" s="2431" t="str">
        <f t="shared" ref="I36:I67" si="71">IFERROR(IF($C36&lt;CoStar_RowOffset_Inventory,"",HLOOKUP(I$2,CoStar01Array,$C36,FALSE)),"-")</f>
        <v/>
      </c>
      <c r="J36" s="2398" t="str">
        <f t="shared" ref="J36:J67" si="72">IFERROR(IF($C36&lt;CoStar_RowOffset_Inventory,"",HLOOKUP(I$2,CoStar02Array,$C36,FALSE)),"-")</f>
        <v/>
      </c>
      <c r="K36" s="2398" t="str">
        <f t="shared" ref="K36:K67" si="73">IFERROR(IF($C36&lt;CoStar_RowOffset_Inventory,"",HLOOKUP(I$2,CoStar03Array,$C36,FALSE)),"-")</f>
        <v/>
      </c>
      <c r="L36" s="2432" t="str">
        <f t="shared" ref="L36:L67" si="74">IFERROR(IF($C36&lt;CoStar_RowOffset_Inventory,"",HLOOKUP(I$2,CoStar04Array,$C36,FALSE)),"-")</f>
        <v/>
      </c>
      <c r="M36" s="2398" t="str">
        <f t="shared" ref="M36:M67" si="75">IFERROR(IF($C36&lt;CoStar_RowOffset_Inventory,"",HLOOKUP(M$2,CoStar01Array,$C36,FALSE)),"-")</f>
        <v/>
      </c>
      <c r="N36" s="2398" t="str">
        <f t="shared" ref="N36:N67" si="76">IFERROR(IF($C36&lt;CoStar_RowOffset_Inventory,"",HLOOKUP(M$2,CoStar02Array,$C36,FALSE)),"-")</f>
        <v/>
      </c>
      <c r="O36" s="2398" t="str">
        <f t="shared" ref="O36:O67" si="77">IFERROR(IF($C36&lt;CoStar_RowOffset_Inventory,"",HLOOKUP(M$2,CoStar03Array,$C36,FALSE)),"-")</f>
        <v/>
      </c>
      <c r="P36" s="2398" t="str">
        <f t="shared" ref="P36:P67" si="78">IFERROR(IF($C36&lt;CoStar_RowOffset_Inventory,"",HLOOKUP(M$2,CoStar04Array,$C36,FALSE)),"-")</f>
        <v/>
      </c>
      <c r="Q36" s="2453"/>
      <c r="R36" s="2448" t="str">
        <f t="shared" ref="R36:R67" si="79">IFERROR(HLOOKUP(CoStar_DataSet_Inventory_1A,CoStar_Inventory_Array,$A36,FALSE),"-")</f>
        <v/>
      </c>
      <c r="S36" s="2448" t="str">
        <f t="shared" ref="S36:S67" si="80">IFERROR(HLOOKUP(CoStar_DataSet_Inventory_1A+4,CoStar_Inventory_Array,$A36,FALSE),"-")</f>
        <v/>
      </c>
      <c r="T36" s="2448" t="str">
        <f t="shared" ref="T36:T67" si="81">IFERROR(HLOOKUP(CoStar_DataSet_Inventory_1A+8,CoStar_Inventory_Array,$A36,FALSE),"-")</f>
        <v/>
      </c>
      <c r="U36" s="2448" t="str">
        <f t="shared" ref="U36:U67" si="82">IFERROR(HLOOKUP(CoStar_DataSet_Inventory_1B,CoStar_Inventory_Array,$A36,FALSE),"-")</f>
        <v/>
      </c>
      <c r="V36" s="2448" t="str">
        <f t="shared" ref="V36:V67" si="83">IFERROR(HLOOKUP(CoStar_DataSet_Inventory_1B+4,CoStar_Inventory_Array,$A36,FALSE),"-")</f>
        <v/>
      </c>
      <c r="W36" s="2449" t="str">
        <f t="shared" ref="W36:W67" si="84">IFERROR(HLOOKUP(CoStar_DataSet_Inventory_1B+8,CoStar_Inventory_Array,$A36,FALSE),"-")</f>
        <v/>
      </c>
      <c r="X36" s="2479" t="str" cm="1">
        <f t="array" ref="X36">IFERROR(HLOOKUP(CoStar_DataSet_Inventory_2A,CoStar_Inventory_Array,$A36,FALSE),"-")</f>
        <v/>
      </c>
      <c r="Y36" s="2448" t="str">
        <f t="shared" ref="Y36:Y67" si="85">IFERROR(HLOOKUP(CoStar_DataSet_Inventory_2A+4,CoStar_Inventory_Array,$A36,FALSE),"-")</f>
        <v/>
      </c>
      <c r="Z36" s="2448" t="str">
        <f t="shared" ref="Z36:Z67" si="86">IFERROR(HLOOKUP(CoStar_DataSet_Inventory_2A+8,CoStar_Inventory_Array,$A36,FALSE),"-")</f>
        <v/>
      </c>
      <c r="AA36" s="2448" t="str">
        <f t="shared" ref="AA36:AA67" si="87">IFERROR(HLOOKUP(CoStar_DataSet_Inventory_2B,CoStar_Inventory_Array,$A36,FALSE),"-")</f>
        <v/>
      </c>
      <c r="AB36" s="2448" t="str">
        <f t="shared" ref="AB36:AB67" si="88">IFERROR(HLOOKUP(CoStar_DataSet_Inventory_2B+4,CoStar_Inventory_Array,$A36,FALSE),"-")</f>
        <v/>
      </c>
      <c r="AC36" s="2448" t="str">
        <f t="shared" ref="AC36:AC67" si="89">IFERROR(HLOOKUP(CoStar_DataSet_Inventory_2B+8,CoStar_Inventory_Array,$A36,FALSE),"-")</f>
        <v/>
      </c>
      <c r="AD36" s="41">
        <f t="shared" si="58"/>
        <v>-41</v>
      </c>
      <c r="AE36" s="267" t="str">
        <f t="shared" ref="AE36:AE67" si="90">IFERROR(IF($AD36&lt;CoStar_RowOffset_VacancyAbsorb,"",HLOOKUP(CONCATENATE("  ",AE$3),CoStar01Array,$AD36,FALSE)),1)</f>
        <v/>
      </c>
      <c r="AF36" s="2398" t="str">
        <f t="shared" ref="AF36:AF67" si="91">IFERROR(IF($AD36&lt;CoStar_RowOffset_Master,"",HLOOKUP(AF$2,CoStar01Array,$AD36,FALSE)),"-")</f>
        <v/>
      </c>
      <c r="AG36" s="2398" t="str">
        <f t="shared" ref="AG36:AG67" si="92">IFERROR(IF($AD36&lt;CoStar_RowOffset_Master,"",HLOOKUP(AF$2,CoStar02Array,$AD36,FALSE)),"-")</f>
        <v/>
      </c>
      <c r="AH36" s="2398" t="str">
        <f t="shared" ref="AH36:AH67" si="93">IFERROR(IF($AD36&lt;CoStar_RowOffset_Master,"",HLOOKUP(AF$2,CoStar03Array,$AD36,FALSE)),"-")</f>
        <v/>
      </c>
      <c r="AI36" s="2398" t="str">
        <f t="shared" ref="AI36:AI67" si="94">IFERROR(IF($AD36&lt;CoStar_RowOffset_Master,"",HLOOKUP(AF$2,CoStar04Array,$AD36,FALSE)),"-")</f>
        <v/>
      </c>
      <c r="AJ36" s="2398" t="str">
        <f t="shared" ref="AJ36:AJ67" si="95">IFERROR(IF($AD36&lt;CoStar_RowOffset_Master,"",HLOOKUP(AJ$2,CoStar01Array,$AD36,FALSE)),"-")</f>
        <v/>
      </c>
      <c r="AK36" s="2398" t="str">
        <f t="shared" ref="AK36:AK67" si="96">IFERROR(IF($AD36&lt;CoStar_RowOffset_Master,"",HLOOKUP(AJ$2,CoStar02Array,$AD36,FALSE)),"-")</f>
        <v/>
      </c>
      <c r="AL36" s="2398" t="str">
        <f t="shared" ref="AL36:AL67" si="97">IFERROR(IF($AD36&lt;CoStar_RowOffset_Master,"",HLOOKUP(AJ$2,CoStar03Array,$AD36,FALSE)),"-")</f>
        <v/>
      </c>
      <c r="AM36" s="2398" t="str">
        <f t="shared" ref="AM36:AM67" si="98">IFERROR(IF($AD36&lt;CoStar_RowOffset_Master,"",HLOOKUP(AJ$2,CoStar04Array,$AD36,FALSE)),"-")</f>
        <v/>
      </c>
      <c r="AN36" s="2399" t="str">
        <f t="shared" si="59"/>
        <v/>
      </c>
      <c r="AO36" s="2399" t="str">
        <f t="shared" si="60"/>
        <v/>
      </c>
      <c r="AP36" s="2399" t="str">
        <f t="shared" si="61"/>
        <v/>
      </c>
      <c r="AQ36" s="2399" t="str">
        <f t="shared" si="62"/>
        <v/>
      </c>
      <c r="AR36" s="2474"/>
      <c r="AS36" s="2479" t="str">
        <f t="shared" ref="AS36:AS67" si="99">IFERROR(HLOOKUP(CoStar_DataSet_Vacancy_1A,CoStar_VacancyAbsorb_Array,$A36,FALSE),"-")</f>
        <v/>
      </c>
      <c r="AT36" s="2448"/>
      <c r="AU36" s="2475" t="str">
        <f t="shared" ref="AU36:AU67" si="100">IFERROR(HLOOKUP(CoStar_DataSet_Vacancy_1A+8,CoStar_VacancyAbsorb_Array,$A36,FALSE),"-")</f>
        <v/>
      </c>
      <c r="AV36" s="2448" t="str">
        <f t="shared" ref="AV36:AV67" si="101">IFERROR(HLOOKUP(CoStar_DataSet_Vacancy_1B,CoStar_VacancyAbsorb_Array,$A36,FALSE),"-")</f>
        <v/>
      </c>
      <c r="AW36" s="2448"/>
      <c r="AX36" s="2476" t="str">
        <f t="shared" ref="AX36:AX67" si="102">IFERROR(HLOOKUP(CoStar_DataSet_Vacancy_1B+8,CoStar_VacancyAbsorb_Array,$A36,FALSE),"-")</f>
        <v/>
      </c>
      <c r="AY36" s="2479" t="str">
        <f t="shared" ref="AY36:AY67" si="103">IFERROR(HLOOKUP(CoStar_DataSet_Vacancy_2A,CoStar_VacancyAbsorb_Array,$A36,FALSE),"-")</f>
        <v/>
      </c>
      <c r="AZ36" s="2448" t="str">
        <f t="shared" ref="AZ36:AZ67" si="104">IFERROR(HLOOKUP(CoStar_DataSet_Vacancy_2A+4,CoStar_VacancyAbsorb_Array,$A36,FALSE),"-")</f>
        <v/>
      </c>
      <c r="BA36" s="2475" t="str">
        <f t="shared" ref="BA36:BA67" si="105">IFERROR(HLOOKUP(CoStar_DataSet_Vacancy_2A+8,CoStar_VacancyAbsorb_Array,$A36,FALSE),"-")</f>
        <v/>
      </c>
      <c r="BB36" s="2448" t="str">
        <f t="shared" ref="BB36:BB67" si="106">IFERROR(HLOOKUP(CoStar_DataSet_Vacancy_2B,CoStar_VacancyAbsorb_Array,$A36,FALSE),"-")</f>
        <v/>
      </c>
      <c r="BC36" s="2448" t="str">
        <f t="shared" ref="BC36:BC67" si="107">IFERROR(HLOOKUP(CoStar_DataSet_Vacancy_2B+4,CoStar_VacancyAbsorb_Array,$A36,FALSE),"-")</f>
        <v/>
      </c>
      <c r="BD36" s="2476" t="str">
        <f t="shared" ref="BD36:BD67" si="108">IFERROR(HLOOKUP(CoStar_DataSet_Vacancy_2B+8,CoStar_VacancyAbsorb_Array,$A36,FALSE),"-")</f>
        <v/>
      </c>
      <c r="BE36" s="41">
        <f t="shared" si="63"/>
        <v>-5</v>
      </c>
      <c r="BF36" s="267" t="str">
        <f t="shared" ref="BF36:BF67" si="109">IFERROR(IF($BE36&lt;CoStar_RowOffset_Rent,"",HLOOKUP(CONCATENATE("  ",BF$3),CoStar01Array,$BE36,FALSE)),1)</f>
        <v/>
      </c>
      <c r="BG36" s="2400" t="str">
        <f t="shared" ref="BG36:BG82" si="110">IFERROR(IF($BE36&lt;CoStar_RowOffset_Rent,"",HLOOKUP(BG$2,CoStar01Array,$BE36,FALSE)),1)</f>
        <v/>
      </c>
      <c r="BH36" s="2400" t="str">
        <f t="shared" ref="BH36:BH67" si="111">IFERROR(IF($BE36&lt;CoStar_RowOffset_Rent,"",HLOOKUP(BH$2,CoStar02Array,$BE36,FALSE)),1)</f>
        <v/>
      </c>
      <c r="BI36" s="2400" t="str">
        <f t="shared" ref="BI36:BI67" si="112">IFERROR(IF($BE36&lt;CoStar_RowOffset_Rent,"",HLOOKUP(BI$2,CoStar03Array,$BE36,FALSE)),1)</f>
        <v/>
      </c>
      <c r="BJ36" s="2400" t="str">
        <f t="shared" ref="BJ36:BJ67" si="113">IFERROR(IF($BE36&lt;CoStar_RowOffset_Rent,"",HLOOKUP(BJ$2,CoStar04Array,$BE36,FALSE)),1)</f>
        <v/>
      </c>
      <c r="BK36" s="2425"/>
      <c r="BL36" s="2465" t="str">
        <f t="shared" ref="BL36:BL67" si="114">IFERROR(HLOOKUP(CoStar_DataSet_Rent_1A,CoStar_Rent_Array,$A36,FALSE),"-")</f>
        <v/>
      </c>
      <c r="BM36" s="2466" t="str">
        <f t="shared" ref="BM36:BM67" si="115">IFERROR(HLOOKUP(CoStar_DataSet_Rent_1B,CoStar_Rent_Array,$A36,FALSE),"-")</f>
        <v/>
      </c>
      <c r="BN36" s="2465" t="str">
        <f t="shared" ref="BN36:BN67" si="116">IFERROR(HLOOKUP(CoStar_DataSet_Rent_2A,CoStar_Rent_Array,$A36,FALSE),"-")</f>
        <v/>
      </c>
      <c r="BO36" s="2466" t="str">
        <f t="shared" ref="BO36:BO67" si="117">IFERROR(HLOOKUP(CoStar_DataSet_Rent_2B,CoStar_Rent_Array,$A36,FALSE),"-")</f>
        <v/>
      </c>
    </row>
    <row r="37" spans="1:67" x14ac:dyDescent="0.25">
      <c r="A37" s="2397">
        <f t="shared" si="64"/>
        <v>35</v>
      </c>
      <c r="B37" s="41">
        <f t="shared" ref="B37:B68" si="118">B36-CoStar_Interval_Master</f>
        <v>-43</v>
      </c>
      <c r="C37" s="41">
        <f t="shared" ref="C37:C68" si="119">C36-CoStar_Interval_Inventory</f>
        <v>-31</v>
      </c>
      <c r="D37" s="267" t="str">
        <f t="shared" si="66"/>
        <v/>
      </c>
      <c r="E37" s="2428" t="str">
        <f t="shared" si="67"/>
        <v/>
      </c>
      <c r="F37" s="2398" t="str">
        <f t="shared" si="68"/>
        <v/>
      </c>
      <c r="G37" s="2398" t="str">
        <f t="shared" si="69"/>
        <v/>
      </c>
      <c r="H37" s="2398" t="str">
        <f t="shared" si="70"/>
        <v/>
      </c>
      <c r="I37" s="2431" t="str">
        <f t="shared" si="71"/>
        <v/>
      </c>
      <c r="J37" s="2398" t="str">
        <f t="shared" si="72"/>
        <v/>
      </c>
      <c r="K37" s="2398" t="str">
        <f t="shared" si="73"/>
        <v/>
      </c>
      <c r="L37" s="2432" t="str">
        <f t="shared" si="74"/>
        <v/>
      </c>
      <c r="M37" s="2398" t="str">
        <f t="shared" si="75"/>
        <v/>
      </c>
      <c r="N37" s="2398" t="str">
        <f t="shared" si="76"/>
        <v/>
      </c>
      <c r="O37" s="2398" t="str">
        <f t="shared" si="77"/>
        <v/>
      </c>
      <c r="P37" s="2398" t="str">
        <f t="shared" si="78"/>
        <v/>
      </c>
      <c r="Q37" s="2453"/>
      <c r="R37" s="2448" t="str">
        <f t="shared" si="79"/>
        <v/>
      </c>
      <c r="S37" s="2448" t="str">
        <f t="shared" si="80"/>
        <v/>
      </c>
      <c r="T37" s="2448" t="str">
        <f t="shared" si="81"/>
        <v/>
      </c>
      <c r="U37" s="2448" t="str">
        <f t="shared" si="82"/>
        <v/>
      </c>
      <c r="V37" s="2448" t="str">
        <f t="shared" si="83"/>
        <v/>
      </c>
      <c r="W37" s="2449" t="str">
        <f t="shared" si="84"/>
        <v/>
      </c>
      <c r="X37" s="2479" t="str" cm="1">
        <f t="array" ref="X37">IFERROR(HLOOKUP(CoStar_DataSet_Inventory_2A,CoStar_Inventory_Array,$A37,FALSE),"-")</f>
        <v/>
      </c>
      <c r="Y37" s="2448" t="str">
        <f t="shared" si="85"/>
        <v/>
      </c>
      <c r="Z37" s="2448" t="str">
        <f t="shared" si="86"/>
        <v/>
      </c>
      <c r="AA37" s="2448" t="str">
        <f t="shared" si="87"/>
        <v/>
      </c>
      <c r="AB37" s="2448" t="str">
        <f t="shared" si="88"/>
        <v/>
      </c>
      <c r="AC37" s="2448" t="str">
        <f t="shared" si="89"/>
        <v/>
      </c>
      <c r="AD37" s="41">
        <f t="shared" ref="AD37:AD68" si="120">AD36-CoStar_Interval_Master</f>
        <v>-43</v>
      </c>
      <c r="AE37" s="267" t="str">
        <f t="shared" si="90"/>
        <v/>
      </c>
      <c r="AF37" s="2398" t="str">
        <f t="shared" si="91"/>
        <v/>
      </c>
      <c r="AG37" s="2398" t="str">
        <f t="shared" si="92"/>
        <v/>
      </c>
      <c r="AH37" s="2398" t="str">
        <f t="shared" si="93"/>
        <v/>
      </c>
      <c r="AI37" s="2398" t="str">
        <f t="shared" si="94"/>
        <v/>
      </c>
      <c r="AJ37" s="2398" t="str">
        <f t="shared" si="95"/>
        <v/>
      </c>
      <c r="AK37" s="2398" t="str">
        <f t="shared" si="96"/>
        <v/>
      </c>
      <c r="AL37" s="2398" t="str">
        <f t="shared" si="97"/>
        <v/>
      </c>
      <c r="AM37" s="2398" t="str">
        <f t="shared" si="98"/>
        <v/>
      </c>
      <c r="AN37" s="2399" t="str">
        <f t="shared" ref="AN37:AN68" si="121">IFERROR(IF($AD37&lt;CoStar_RowOffset_Master,"",HLOOKUP(AN$2,CoStar01Array,$AD37,FALSE)),"-")</f>
        <v/>
      </c>
      <c r="AO37" s="2399" t="str">
        <f t="shared" ref="AO37:AO68" si="122">IFERROR(IF($AD37&lt;CoStar_RowOffset_Master,"",HLOOKUP(AN$2,CoStar02Array,$AD37,FALSE)),"-")</f>
        <v/>
      </c>
      <c r="AP37" s="2399" t="str">
        <f t="shared" ref="AP37:AP68" si="123">IFERROR(IF($AD37&lt;CoStar_RowOffset_Master,"",HLOOKUP(AN$2,CoStar03Array,$AD37,FALSE)),"-")</f>
        <v/>
      </c>
      <c r="AQ37" s="2399" t="str">
        <f t="shared" ref="AQ37:AQ68" si="124">IFERROR(IF($AD37&lt;CoStar_RowOffset_Master,"",HLOOKUP(AN$2,CoStar04Array,$AD37,FALSE)),"-")</f>
        <v/>
      </c>
      <c r="AR37" s="2474"/>
      <c r="AS37" s="2479" t="str">
        <f t="shared" si="99"/>
        <v/>
      </c>
      <c r="AT37" s="2448"/>
      <c r="AU37" s="2475" t="str">
        <f t="shared" si="100"/>
        <v/>
      </c>
      <c r="AV37" s="2448" t="str">
        <f t="shared" si="101"/>
        <v/>
      </c>
      <c r="AW37" s="2448"/>
      <c r="AX37" s="2476" t="str">
        <f t="shared" si="102"/>
        <v/>
      </c>
      <c r="AY37" s="2479" t="str">
        <f t="shared" si="103"/>
        <v/>
      </c>
      <c r="AZ37" s="2448" t="str">
        <f t="shared" si="104"/>
        <v/>
      </c>
      <c r="BA37" s="2475" t="str">
        <f t="shared" si="105"/>
        <v/>
      </c>
      <c r="BB37" s="2448" t="str">
        <f t="shared" si="106"/>
        <v/>
      </c>
      <c r="BC37" s="2448" t="str">
        <f t="shared" si="107"/>
        <v/>
      </c>
      <c r="BD37" s="2476" t="str">
        <f t="shared" si="108"/>
        <v/>
      </c>
      <c r="BE37" s="41">
        <f t="shared" ref="BE37:BE68" si="125">BE36-CoStar_Interval_RentTrends</f>
        <v>-6</v>
      </c>
      <c r="BF37" s="267" t="str">
        <f t="shared" si="109"/>
        <v/>
      </c>
      <c r="BG37" s="2400" t="str">
        <f t="shared" si="110"/>
        <v/>
      </c>
      <c r="BH37" s="2400" t="str">
        <f t="shared" si="111"/>
        <v/>
      </c>
      <c r="BI37" s="2400" t="str">
        <f t="shared" si="112"/>
        <v/>
      </c>
      <c r="BJ37" s="2400" t="str">
        <f t="shared" si="113"/>
        <v/>
      </c>
      <c r="BK37" s="2425"/>
      <c r="BL37" s="2465" t="str">
        <f t="shared" si="114"/>
        <v/>
      </c>
      <c r="BM37" s="2466" t="str">
        <f t="shared" si="115"/>
        <v/>
      </c>
      <c r="BN37" s="2465" t="str">
        <f t="shared" si="116"/>
        <v/>
      </c>
      <c r="BO37" s="2466" t="str">
        <f t="shared" si="117"/>
        <v/>
      </c>
    </row>
    <row r="38" spans="1:67" x14ac:dyDescent="0.25">
      <c r="A38" s="2397">
        <f t="shared" si="64"/>
        <v>36</v>
      </c>
      <c r="B38" s="41">
        <f t="shared" si="118"/>
        <v>-45</v>
      </c>
      <c r="C38" s="41">
        <f t="shared" si="119"/>
        <v>-33</v>
      </c>
      <c r="D38" s="267" t="str">
        <f t="shared" si="66"/>
        <v/>
      </c>
      <c r="E38" s="2428" t="str">
        <f t="shared" si="67"/>
        <v/>
      </c>
      <c r="F38" s="2398" t="str">
        <f t="shared" si="68"/>
        <v/>
      </c>
      <c r="G38" s="2398" t="str">
        <f t="shared" si="69"/>
        <v/>
      </c>
      <c r="H38" s="2398" t="str">
        <f t="shared" si="70"/>
        <v/>
      </c>
      <c r="I38" s="2431" t="str">
        <f t="shared" si="71"/>
        <v/>
      </c>
      <c r="J38" s="2398" t="str">
        <f t="shared" si="72"/>
        <v/>
      </c>
      <c r="K38" s="2398" t="str">
        <f t="shared" si="73"/>
        <v/>
      </c>
      <c r="L38" s="2432" t="str">
        <f t="shared" si="74"/>
        <v/>
      </c>
      <c r="M38" s="2398" t="str">
        <f t="shared" si="75"/>
        <v/>
      </c>
      <c r="N38" s="2398" t="str">
        <f t="shared" si="76"/>
        <v/>
      </c>
      <c r="O38" s="2398" t="str">
        <f t="shared" si="77"/>
        <v/>
      </c>
      <c r="P38" s="2398" t="str">
        <f t="shared" si="78"/>
        <v/>
      </c>
      <c r="Q38" s="2453"/>
      <c r="R38" s="2448" t="str">
        <f t="shared" si="79"/>
        <v/>
      </c>
      <c r="S38" s="2448" t="str">
        <f t="shared" si="80"/>
        <v/>
      </c>
      <c r="T38" s="2448" t="str">
        <f t="shared" si="81"/>
        <v/>
      </c>
      <c r="U38" s="2448" t="str">
        <f t="shared" si="82"/>
        <v/>
      </c>
      <c r="V38" s="2448" t="str">
        <f t="shared" si="83"/>
        <v/>
      </c>
      <c r="W38" s="2449" t="str">
        <f t="shared" si="84"/>
        <v/>
      </c>
      <c r="X38" s="2479" t="str" cm="1">
        <f t="array" ref="X38">IFERROR(HLOOKUP(CoStar_DataSet_Inventory_2A,CoStar_Inventory_Array,$A38,FALSE),"-")</f>
        <v/>
      </c>
      <c r="Y38" s="2448" t="str">
        <f t="shared" si="85"/>
        <v/>
      </c>
      <c r="Z38" s="2448" t="str">
        <f t="shared" si="86"/>
        <v/>
      </c>
      <c r="AA38" s="2448" t="str">
        <f t="shared" si="87"/>
        <v/>
      </c>
      <c r="AB38" s="2448" t="str">
        <f t="shared" si="88"/>
        <v/>
      </c>
      <c r="AC38" s="2448" t="str">
        <f t="shared" si="89"/>
        <v/>
      </c>
      <c r="AD38" s="41">
        <f t="shared" si="120"/>
        <v>-45</v>
      </c>
      <c r="AE38" s="267" t="str">
        <f t="shared" si="90"/>
        <v/>
      </c>
      <c r="AF38" s="2398" t="str">
        <f t="shared" si="91"/>
        <v/>
      </c>
      <c r="AG38" s="2398" t="str">
        <f t="shared" si="92"/>
        <v/>
      </c>
      <c r="AH38" s="2398" t="str">
        <f t="shared" si="93"/>
        <v/>
      </c>
      <c r="AI38" s="2398" t="str">
        <f t="shared" si="94"/>
        <v/>
      </c>
      <c r="AJ38" s="2398" t="str">
        <f t="shared" si="95"/>
        <v/>
      </c>
      <c r="AK38" s="2398" t="str">
        <f t="shared" si="96"/>
        <v/>
      </c>
      <c r="AL38" s="2398" t="str">
        <f t="shared" si="97"/>
        <v/>
      </c>
      <c r="AM38" s="2398" t="str">
        <f t="shared" si="98"/>
        <v/>
      </c>
      <c r="AN38" s="2399" t="str">
        <f t="shared" si="121"/>
        <v/>
      </c>
      <c r="AO38" s="2399" t="str">
        <f t="shared" si="122"/>
        <v/>
      </c>
      <c r="AP38" s="2399" t="str">
        <f t="shared" si="123"/>
        <v/>
      </c>
      <c r="AQ38" s="2399" t="str">
        <f t="shared" si="124"/>
        <v/>
      </c>
      <c r="AR38" s="2474"/>
      <c r="AS38" s="2479" t="str">
        <f t="shared" si="99"/>
        <v/>
      </c>
      <c r="AT38" s="2448"/>
      <c r="AU38" s="2475" t="str">
        <f t="shared" si="100"/>
        <v/>
      </c>
      <c r="AV38" s="2448" t="str">
        <f t="shared" si="101"/>
        <v/>
      </c>
      <c r="AW38" s="2448"/>
      <c r="AX38" s="2476" t="str">
        <f t="shared" si="102"/>
        <v/>
      </c>
      <c r="AY38" s="2479" t="str">
        <f t="shared" si="103"/>
        <v/>
      </c>
      <c r="AZ38" s="2448" t="str">
        <f t="shared" si="104"/>
        <v/>
      </c>
      <c r="BA38" s="2475" t="str">
        <f t="shared" si="105"/>
        <v/>
      </c>
      <c r="BB38" s="2448" t="str">
        <f t="shared" si="106"/>
        <v/>
      </c>
      <c r="BC38" s="2448" t="str">
        <f t="shared" si="107"/>
        <v/>
      </c>
      <c r="BD38" s="2476" t="str">
        <f t="shared" si="108"/>
        <v/>
      </c>
      <c r="BE38" s="41">
        <f t="shared" si="125"/>
        <v>-7</v>
      </c>
      <c r="BF38" s="267" t="str">
        <f t="shared" si="109"/>
        <v/>
      </c>
      <c r="BG38" s="2400" t="str">
        <f t="shared" si="110"/>
        <v/>
      </c>
      <c r="BH38" s="2400" t="str">
        <f t="shared" si="111"/>
        <v/>
      </c>
      <c r="BI38" s="2400" t="str">
        <f t="shared" si="112"/>
        <v/>
      </c>
      <c r="BJ38" s="2400" t="str">
        <f t="shared" si="113"/>
        <v/>
      </c>
      <c r="BK38" s="2425"/>
      <c r="BL38" s="2465" t="str">
        <f t="shared" si="114"/>
        <v/>
      </c>
      <c r="BM38" s="2466" t="str">
        <f t="shared" si="115"/>
        <v/>
      </c>
      <c r="BN38" s="2465" t="str">
        <f t="shared" si="116"/>
        <v/>
      </c>
      <c r="BO38" s="2466" t="str">
        <f t="shared" si="117"/>
        <v/>
      </c>
    </row>
    <row r="39" spans="1:67" x14ac:dyDescent="0.25">
      <c r="A39" s="2397">
        <f t="shared" si="64"/>
        <v>37</v>
      </c>
      <c r="B39" s="41">
        <f t="shared" si="118"/>
        <v>-47</v>
      </c>
      <c r="C39" s="41">
        <f t="shared" si="119"/>
        <v>-35</v>
      </c>
      <c r="D39" s="267" t="str">
        <f t="shared" si="66"/>
        <v/>
      </c>
      <c r="E39" s="2428" t="str">
        <f t="shared" si="67"/>
        <v/>
      </c>
      <c r="F39" s="2398" t="str">
        <f t="shared" si="68"/>
        <v/>
      </c>
      <c r="G39" s="2398" t="str">
        <f t="shared" si="69"/>
        <v/>
      </c>
      <c r="H39" s="2398" t="str">
        <f t="shared" si="70"/>
        <v/>
      </c>
      <c r="I39" s="2431" t="str">
        <f t="shared" si="71"/>
        <v/>
      </c>
      <c r="J39" s="2398" t="str">
        <f t="shared" si="72"/>
        <v/>
      </c>
      <c r="K39" s="2398" t="str">
        <f t="shared" si="73"/>
        <v/>
      </c>
      <c r="L39" s="2432" t="str">
        <f t="shared" si="74"/>
        <v/>
      </c>
      <c r="M39" s="2398" t="str">
        <f t="shared" si="75"/>
        <v/>
      </c>
      <c r="N39" s="2398" t="str">
        <f t="shared" si="76"/>
        <v/>
      </c>
      <c r="O39" s="2398" t="str">
        <f t="shared" si="77"/>
        <v/>
      </c>
      <c r="P39" s="2398" t="str">
        <f t="shared" si="78"/>
        <v/>
      </c>
      <c r="Q39" s="2453"/>
      <c r="R39" s="2448" t="str">
        <f t="shared" si="79"/>
        <v/>
      </c>
      <c r="S39" s="2448" t="str">
        <f t="shared" si="80"/>
        <v/>
      </c>
      <c r="T39" s="2448" t="str">
        <f t="shared" si="81"/>
        <v/>
      </c>
      <c r="U39" s="2448" t="str">
        <f t="shared" si="82"/>
        <v/>
      </c>
      <c r="V39" s="2448" t="str">
        <f t="shared" si="83"/>
        <v/>
      </c>
      <c r="W39" s="2449" t="str">
        <f t="shared" si="84"/>
        <v/>
      </c>
      <c r="X39" s="2479" t="str" cm="1">
        <f t="array" ref="X39">IFERROR(HLOOKUP(CoStar_DataSet_Inventory_2A,CoStar_Inventory_Array,$A39,FALSE),"-")</f>
        <v/>
      </c>
      <c r="Y39" s="2448" t="str">
        <f t="shared" si="85"/>
        <v/>
      </c>
      <c r="Z39" s="2448" t="str">
        <f t="shared" si="86"/>
        <v/>
      </c>
      <c r="AA39" s="2448" t="str">
        <f t="shared" si="87"/>
        <v/>
      </c>
      <c r="AB39" s="2448" t="str">
        <f t="shared" si="88"/>
        <v/>
      </c>
      <c r="AC39" s="2448" t="str">
        <f t="shared" si="89"/>
        <v/>
      </c>
      <c r="AD39" s="41">
        <f t="shared" si="120"/>
        <v>-47</v>
      </c>
      <c r="AE39" s="267" t="str">
        <f t="shared" si="90"/>
        <v/>
      </c>
      <c r="AF39" s="2398" t="str">
        <f t="shared" si="91"/>
        <v/>
      </c>
      <c r="AG39" s="2398" t="str">
        <f t="shared" si="92"/>
        <v/>
      </c>
      <c r="AH39" s="2398" t="str">
        <f t="shared" si="93"/>
        <v/>
      </c>
      <c r="AI39" s="2398" t="str">
        <f t="shared" si="94"/>
        <v/>
      </c>
      <c r="AJ39" s="2398" t="str">
        <f t="shared" si="95"/>
        <v/>
      </c>
      <c r="AK39" s="2398" t="str">
        <f t="shared" si="96"/>
        <v/>
      </c>
      <c r="AL39" s="2398" t="str">
        <f t="shared" si="97"/>
        <v/>
      </c>
      <c r="AM39" s="2398" t="str">
        <f t="shared" si="98"/>
        <v/>
      </c>
      <c r="AN39" s="2399" t="str">
        <f t="shared" si="121"/>
        <v/>
      </c>
      <c r="AO39" s="2399" t="str">
        <f t="shared" si="122"/>
        <v/>
      </c>
      <c r="AP39" s="2399" t="str">
        <f t="shared" si="123"/>
        <v/>
      </c>
      <c r="AQ39" s="2399" t="str">
        <f t="shared" si="124"/>
        <v/>
      </c>
      <c r="AR39" s="2474"/>
      <c r="AS39" s="2479" t="str">
        <f t="shared" si="99"/>
        <v/>
      </c>
      <c r="AT39" s="2448"/>
      <c r="AU39" s="2475" t="str">
        <f t="shared" si="100"/>
        <v/>
      </c>
      <c r="AV39" s="2448" t="str">
        <f t="shared" si="101"/>
        <v/>
      </c>
      <c r="AW39" s="2448"/>
      <c r="AX39" s="2476" t="str">
        <f t="shared" si="102"/>
        <v/>
      </c>
      <c r="AY39" s="2479" t="str">
        <f t="shared" si="103"/>
        <v/>
      </c>
      <c r="AZ39" s="2448" t="str">
        <f t="shared" si="104"/>
        <v/>
      </c>
      <c r="BA39" s="2475" t="str">
        <f t="shared" si="105"/>
        <v/>
      </c>
      <c r="BB39" s="2448" t="str">
        <f t="shared" si="106"/>
        <v/>
      </c>
      <c r="BC39" s="2448" t="str">
        <f t="shared" si="107"/>
        <v/>
      </c>
      <c r="BD39" s="2476" t="str">
        <f t="shared" si="108"/>
        <v/>
      </c>
      <c r="BE39" s="41">
        <f t="shared" si="125"/>
        <v>-8</v>
      </c>
      <c r="BF39" s="267" t="str">
        <f t="shared" si="109"/>
        <v/>
      </c>
      <c r="BG39" s="2400" t="str">
        <f t="shared" si="110"/>
        <v/>
      </c>
      <c r="BH39" s="2400" t="str">
        <f t="shared" si="111"/>
        <v/>
      </c>
      <c r="BI39" s="2400" t="str">
        <f t="shared" si="112"/>
        <v/>
      </c>
      <c r="BJ39" s="2400" t="str">
        <f t="shared" si="113"/>
        <v/>
      </c>
      <c r="BK39" s="2425"/>
      <c r="BL39" s="2465" t="str">
        <f t="shared" si="114"/>
        <v/>
      </c>
      <c r="BM39" s="2466" t="str">
        <f t="shared" si="115"/>
        <v/>
      </c>
      <c r="BN39" s="2465" t="str">
        <f t="shared" si="116"/>
        <v/>
      </c>
      <c r="BO39" s="2466" t="str">
        <f t="shared" si="117"/>
        <v/>
      </c>
    </row>
    <row r="40" spans="1:67" x14ac:dyDescent="0.25">
      <c r="A40" s="2397">
        <f t="shared" si="64"/>
        <v>38</v>
      </c>
      <c r="B40" s="41">
        <f t="shared" si="118"/>
        <v>-49</v>
      </c>
      <c r="C40" s="41">
        <f t="shared" si="119"/>
        <v>-37</v>
      </c>
      <c r="D40" s="267" t="str">
        <f t="shared" si="66"/>
        <v/>
      </c>
      <c r="E40" s="2428" t="str">
        <f t="shared" si="67"/>
        <v/>
      </c>
      <c r="F40" s="2398" t="str">
        <f t="shared" si="68"/>
        <v/>
      </c>
      <c r="G40" s="2398" t="str">
        <f t="shared" si="69"/>
        <v/>
      </c>
      <c r="H40" s="2398" t="str">
        <f t="shared" si="70"/>
        <v/>
      </c>
      <c r="I40" s="2431" t="str">
        <f t="shared" si="71"/>
        <v/>
      </c>
      <c r="J40" s="2398" t="str">
        <f t="shared" si="72"/>
        <v/>
      </c>
      <c r="K40" s="2398" t="str">
        <f t="shared" si="73"/>
        <v/>
      </c>
      <c r="L40" s="2432" t="str">
        <f t="shared" si="74"/>
        <v/>
      </c>
      <c r="M40" s="2398" t="str">
        <f t="shared" si="75"/>
        <v/>
      </c>
      <c r="N40" s="2398" t="str">
        <f t="shared" si="76"/>
        <v/>
      </c>
      <c r="O40" s="2398" t="str">
        <f t="shared" si="77"/>
        <v/>
      </c>
      <c r="P40" s="2398" t="str">
        <f t="shared" si="78"/>
        <v/>
      </c>
      <c r="Q40" s="2453"/>
      <c r="R40" s="2448" t="str">
        <f t="shared" si="79"/>
        <v/>
      </c>
      <c r="S40" s="2448" t="str">
        <f t="shared" si="80"/>
        <v/>
      </c>
      <c r="T40" s="2448" t="str">
        <f t="shared" si="81"/>
        <v/>
      </c>
      <c r="U40" s="2448" t="str">
        <f t="shared" si="82"/>
        <v/>
      </c>
      <c r="V40" s="2448" t="str">
        <f t="shared" si="83"/>
        <v/>
      </c>
      <c r="W40" s="2449" t="str">
        <f t="shared" si="84"/>
        <v/>
      </c>
      <c r="X40" s="2479" t="str" cm="1">
        <f t="array" ref="X40">IFERROR(HLOOKUP(CoStar_DataSet_Inventory_2A,CoStar_Inventory_Array,$A40,FALSE),"-")</f>
        <v/>
      </c>
      <c r="Y40" s="2448" t="str">
        <f t="shared" si="85"/>
        <v/>
      </c>
      <c r="Z40" s="2448" t="str">
        <f t="shared" si="86"/>
        <v/>
      </c>
      <c r="AA40" s="2448" t="str">
        <f t="shared" si="87"/>
        <v/>
      </c>
      <c r="AB40" s="2448" t="str">
        <f t="shared" si="88"/>
        <v/>
      </c>
      <c r="AC40" s="2448" t="str">
        <f t="shared" si="89"/>
        <v/>
      </c>
      <c r="AD40" s="41">
        <f t="shared" si="120"/>
        <v>-49</v>
      </c>
      <c r="AE40" s="267" t="str">
        <f t="shared" si="90"/>
        <v/>
      </c>
      <c r="AF40" s="2398" t="str">
        <f t="shared" si="91"/>
        <v/>
      </c>
      <c r="AG40" s="2398" t="str">
        <f t="shared" si="92"/>
        <v/>
      </c>
      <c r="AH40" s="2398" t="str">
        <f t="shared" si="93"/>
        <v/>
      </c>
      <c r="AI40" s="2398" t="str">
        <f t="shared" si="94"/>
        <v/>
      </c>
      <c r="AJ40" s="2398" t="str">
        <f t="shared" si="95"/>
        <v/>
      </c>
      <c r="AK40" s="2398" t="str">
        <f t="shared" si="96"/>
        <v/>
      </c>
      <c r="AL40" s="2398" t="str">
        <f t="shared" si="97"/>
        <v/>
      </c>
      <c r="AM40" s="2398" t="str">
        <f t="shared" si="98"/>
        <v/>
      </c>
      <c r="AN40" s="2399" t="str">
        <f t="shared" si="121"/>
        <v/>
      </c>
      <c r="AO40" s="2399" t="str">
        <f t="shared" si="122"/>
        <v/>
      </c>
      <c r="AP40" s="2399" t="str">
        <f t="shared" si="123"/>
        <v/>
      </c>
      <c r="AQ40" s="2399" t="str">
        <f t="shared" si="124"/>
        <v/>
      </c>
      <c r="AR40" s="2474"/>
      <c r="AS40" s="2479" t="str">
        <f t="shared" si="99"/>
        <v/>
      </c>
      <c r="AT40" s="2448"/>
      <c r="AU40" s="2475" t="str">
        <f t="shared" si="100"/>
        <v/>
      </c>
      <c r="AV40" s="2448" t="str">
        <f t="shared" si="101"/>
        <v/>
      </c>
      <c r="AW40" s="2448"/>
      <c r="AX40" s="2476" t="str">
        <f t="shared" si="102"/>
        <v/>
      </c>
      <c r="AY40" s="2479" t="str">
        <f t="shared" si="103"/>
        <v/>
      </c>
      <c r="AZ40" s="2448" t="str">
        <f t="shared" si="104"/>
        <v/>
      </c>
      <c r="BA40" s="2475" t="str">
        <f t="shared" si="105"/>
        <v/>
      </c>
      <c r="BB40" s="2448" t="str">
        <f t="shared" si="106"/>
        <v/>
      </c>
      <c r="BC40" s="2448" t="str">
        <f t="shared" si="107"/>
        <v/>
      </c>
      <c r="BD40" s="2476" t="str">
        <f t="shared" si="108"/>
        <v/>
      </c>
      <c r="BE40" s="41">
        <f t="shared" si="125"/>
        <v>-9</v>
      </c>
      <c r="BF40" s="267" t="str">
        <f t="shared" si="109"/>
        <v/>
      </c>
      <c r="BG40" s="2400" t="str">
        <f t="shared" si="110"/>
        <v/>
      </c>
      <c r="BH40" s="2400" t="str">
        <f t="shared" si="111"/>
        <v/>
      </c>
      <c r="BI40" s="2400" t="str">
        <f t="shared" si="112"/>
        <v/>
      </c>
      <c r="BJ40" s="2400" t="str">
        <f t="shared" si="113"/>
        <v/>
      </c>
      <c r="BK40" s="2425"/>
      <c r="BL40" s="2465" t="str">
        <f t="shared" si="114"/>
        <v/>
      </c>
      <c r="BM40" s="2466" t="str">
        <f t="shared" si="115"/>
        <v/>
      </c>
      <c r="BN40" s="2465" t="str">
        <f t="shared" si="116"/>
        <v/>
      </c>
      <c r="BO40" s="2466" t="str">
        <f t="shared" si="117"/>
        <v/>
      </c>
    </row>
    <row r="41" spans="1:67" x14ac:dyDescent="0.25">
      <c r="A41" s="2397">
        <f t="shared" si="64"/>
        <v>39</v>
      </c>
      <c r="B41" s="41">
        <f t="shared" si="118"/>
        <v>-51</v>
      </c>
      <c r="C41" s="41">
        <f t="shared" si="119"/>
        <v>-39</v>
      </c>
      <c r="D41" s="267" t="str">
        <f t="shared" si="66"/>
        <v/>
      </c>
      <c r="E41" s="2428" t="str">
        <f t="shared" si="67"/>
        <v/>
      </c>
      <c r="F41" s="2398" t="str">
        <f t="shared" si="68"/>
        <v/>
      </c>
      <c r="G41" s="2398" t="str">
        <f t="shared" si="69"/>
        <v/>
      </c>
      <c r="H41" s="2398" t="str">
        <f t="shared" si="70"/>
        <v/>
      </c>
      <c r="I41" s="2431" t="str">
        <f t="shared" si="71"/>
        <v/>
      </c>
      <c r="J41" s="2398" t="str">
        <f t="shared" si="72"/>
        <v/>
      </c>
      <c r="K41" s="2398" t="str">
        <f t="shared" si="73"/>
        <v/>
      </c>
      <c r="L41" s="2432" t="str">
        <f t="shared" si="74"/>
        <v/>
      </c>
      <c r="M41" s="2398" t="str">
        <f t="shared" si="75"/>
        <v/>
      </c>
      <c r="N41" s="2398" t="str">
        <f t="shared" si="76"/>
        <v/>
      </c>
      <c r="O41" s="2398" t="str">
        <f t="shared" si="77"/>
        <v/>
      </c>
      <c r="P41" s="2398" t="str">
        <f t="shared" si="78"/>
        <v/>
      </c>
      <c r="Q41" s="2453"/>
      <c r="R41" s="2448" t="str">
        <f t="shared" si="79"/>
        <v/>
      </c>
      <c r="S41" s="2448" t="str">
        <f t="shared" si="80"/>
        <v/>
      </c>
      <c r="T41" s="2448" t="str">
        <f t="shared" si="81"/>
        <v/>
      </c>
      <c r="U41" s="2448" t="str">
        <f t="shared" si="82"/>
        <v/>
      </c>
      <c r="V41" s="2448" t="str">
        <f t="shared" si="83"/>
        <v/>
      </c>
      <c r="W41" s="2449" t="str">
        <f t="shared" si="84"/>
        <v/>
      </c>
      <c r="X41" s="2479" t="str" cm="1">
        <f t="array" ref="X41">IFERROR(HLOOKUP(CoStar_DataSet_Inventory_2A,CoStar_Inventory_Array,$A41,FALSE),"-")</f>
        <v/>
      </c>
      <c r="Y41" s="2448" t="str">
        <f t="shared" si="85"/>
        <v/>
      </c>
      <c r="Z41" s="2448" t="str">
        <f t="shared" si="86"/>
        <v/>
      </c>
      <c r="AA41" s="2448" t="str">
        <f t="shared" si="87"/>
        <v/>
      </c>
      <c r="AB41" s="2448" t="str">
        <f t="shared" si="88"/>
        <v/>
      </c>
      <c r="AC41" s="2448" t="str">
        <f t="shared" si="89"/>
        <v/>
      </c>
      <c r="AD41" s="41">
        <f t="shared" si="120"/>
        <v>-51</v>
      </c>
      <c r="AE41" s="267" t="str">
        <f t="shared" si="90"/>
        <v/>
      </c>
      <c r="AF41" s="2398" t="str">
        <f t="shared" si="91"/>
        <v/>
      </c>
      <c r="AG41" s="2398" t="str">
        <f t="shared" si="92"/>
        <v/>
      </c>
      <c r="AH41" s="2398" t="str">
        <f t="shared" si="93"/>
        <v/>
      </c>
      <c r="AI41" s="2398" t="str">
        <f t="shared" si="94"/>
        <v/>
      </c>
      <c r="AJ41" s="2398" t="str">
        <f t="shared" si="95"/>
        <v/>
      </c>
      <c r="AK41" s="2398" t="str">
        <f t="shared" si="96"/>
        <v/>
      </c>
      <c r="AL41" s="2398" t="str">
        <f t="shared" si="97"/>
        <v/>
      </c>
      <c r="AM41" s="2398" t="str">
        <f t="shared" si="98"/>
        <v/>
      </c>
      <c r="AN41" s="2399" t="str">
        <f t="shared" si="121"/>
        <v/>
      </c>
      <c r="AO41" s="2399" t="str">
        <f t="shared" si="122"/>
        <v/>
      </c>
      <c r="AP41" s="2399" t="str">
        <f t="shared" si="123"/>
        <v/>
      </c>
      <c r="AQ41" s="2399" t="str">
        <f t="shared" si="124"/>
        <v/>
      </c>
      <c r="AR41" s="2474"/>
      <c r="AS41" s="2479" t="str">
        <f t="shared" si="99"/>
        <v/>
      </c>
      <c r="AT41" s="2448"/>
      <c r="AU41" s="2475" t="str">
        <f t="shared" si="100"/>
        <v/>
      </c>
      <c r="AV41" s="2448" t="str">
        <f t="shared" si="101"/>
        <v/>
      </c>
      <c r="AW41" s="2448"/>
      <c r="AX41" s="2476" t="str">
        <f t="shared" si="102"/>
        <v/>
      </c>
      <c r="AY41" s="2479" t="str">
        <f t="shared" si="103"/>
        <v/>
      </c>
      <c r="AZ41" s="2448" t="str">
        <f t="shared" si="104"/>
        <v/>
      </c>
      <c r="BA41" s="2475" t="str">
        <f t="shared" si="105"/>
        <v/>
      </c>
      <c r="BB41" s="2448" t="str">
        <f t="shared" si="106"/>
        <v/>
      </c>
      <c r="BC41" s="2448" t="str">
        <f t="shared" si="107"/>
        <v/>
      </c>
      <c r="BD41" s="2476" t="str">
        <f t="shared" si="108"/>
        <v/>
      </c>
      <c r="BE41" s="41">
        <f t="shared" si="125"/>
        <v>-10</v>
      </c>
      <c r="BF41" s="267" t="str">
        <f t="shared" si="109"/>
        <v/>
      </c>
      <c r="BG41" s="2400" t="str">
        <f t="shared" si="110"/>
        <v/>
      </c>
      <c r="BH41" s="2400" t="str">
        <f t="shared" si="111"/>
        <v/>
      </c>
      <c r="BI41" s="2400" t="str">
        <f t="shared" si="112"/>
        <v/>
      </c>
      <c r="BJ41" s="2400" t="str">
        <f t="shared" si="113"/>
        <v/>
      </c>
      <c r="BK41" s="2425"/>
      <c r="BL41" s="2465" t="str">
        <f t="shared" si="114"/>
        <v/>
      </c>
      <c r="BM41" s="2466" t="str">
        <f t="shared" si="115"/>
        <v/>
      </c>
      <c r="BN41" s="2465" t="str">
        <f t="shared" si="116"/>
        <v/>
      </c>
      <c r="BO41" s="2466" t="str">
        <f t="shared" si="117"/>
        <v/>
      </c>
    </row>
    <row r="42" spans="1:67" x14ac:dyDescent="0.25">
      <c r="A42" s="2397">
        <f t="shared" si="64"/>
        <v>40</v>
      </c>
      <c r="B42" s="41">
        <f t="shared" si="118"/>
        <v>-53</v>
      </c>
      <c r="C42" s="41">
        <f t="shared" si="119"/>
        <v>-41</v>
      </c>
      <c r="D42" s="267" t="str">
        <f t="shared" si="66"/>
        <v/>
      </c>
      <c r="E42" s="2428" t="str">
        <f t="shared" si="67"/>
        <v/>
      </c>
      <c r="F42" s="2398" t="str">
        <f t="shared" si="68"/>
        <v/>
      </c>
      <c r="G42" s="2398" t="str">
        <f t="shared" si="69"/>
        <v/>
      </c>
      <c r="H42" s="2398" t="str">
        <f t="shared" si="70"/>
        <v/>
      </c>
      <c r="I42" s="2431" t="str">
        <f t="shared" si="71"/>
        <v/>
      </c>
      <c r="J42" s="2398" t="str">
        <f t="shared" si="72"/>
        <v/>
      </c>
      <c r="K42" s="2398" t="str">
        <f t="shared" si="73"/>
        <v/>
      </c>
      <c r="L42" s="2432" t="str">
        <f t="shared" si="74"/>
        <v/>
      </c>
      <c r="M42" s="2398" t="str">
        <f t="shared" si="75"/>
        <v/>
      </c>
      <c r="N42" s="2398" t="str">
        <f t="shared" si="76"/>
        <v/>
      </c>
      <c r="O42" s="2398" t="str">
        <f t="shared" si="77"/>
        <v/>
      </c>
      <c r="P42" s="2398" t="str">
        <f t="shared" si="78"/>
        <v/>
      </c>
      <c r="Q42" s="2453"/>
      <c r="R42" s="2448" t="str">
        <f t="shared" si="79"/>
        <v/>
      </c>
      <c r="S42" s="2448" t="str">
        <f t="shared" si="80"/>
        <v/>
      </c>
      <c r="T42" s="2448" t="str">
        <f t="shared" si="81"/>
        <v/>
      </c>
      <c r="U42" s="2448" t="str">
        <f t="shared" si="82"/>
        <v/>
      </c>
      <c r="V42" s="2448" t="str">
        <f t="shared" si="83"/>
        <v/>
      </c>
      <c r="W42" s="2449" t="str">
        <f t="shared" si="84"/>
        <v/>
      </c>
      <c r="X42" s="2479" t="str" cm="1">
        <f t="array" ref="X42">IFERROR(HLOOKUP(CoStar_DataSet_Inventory_2A,CoStar_Inventory_Array,$A42,FALSE),"-")</f>
        <v/>
      </c>
      <c r="Y42" s="2448" t="str">
        <f t="shared" si="85"/>
        <v/>
      </c>
      <c r="Z42" s="2448" t="str">
        <f t="shared" si="86"/>
        <v/>
      </c>
      <c r="AA42" s="2448" t="str">
        <f t="shared" si="87"/>
        <v/>
      </c>
      <c r="AB42" s="2448" t="str">
        <f t="shared" si="88"/>
        <v/>
      </c>
      <c r="AC42" s="2448" t="str">
        <f t="shared" si="89"/>
        <v/>
      </c>
      <c r="AD42" s="41">
        <f t="shared" si="120"/>
        <v>-53</v>
      </c>
      <c r="AE42" s="267" t="str">
        <f t="shared" si="90"/>
        <v/>
      </c>
      <c r="AF42" s="2398" t="str">
        <f t="shared" si="91"/>
        <v/>
      </c>
      <c r="AG42" s="2398" t="str">
        <f t="shared" si="92"/>
        <v/>
      </c>
      <c r="AH42" s="2398" t="str">
        <f t="shared" si="93"/>
        <v/>
      </c>
      <c r="AI42" s="2398" t="str">
        <f t="shared" si="94"/>
        <v/>
      </c>
      <c r="AJ42" s="2398" t="str">
        <f t="shared" si="95"/>
        <v/>
      </c>
      <c r="AK42" s="2398" t="str">
        <f t="shared" si="96"/>
        <v/>
      </c>
      <c r="AL42" s="2398" t="str">
        <f t="shared" si="97"/>
        <v/>
      </c>
      <c r="AM42" s="2398" t="str">
        <f t="shared" si="98"/>
        <v/>
      </c>
      <c r="AN42" s="2399" t="str">
        <f t="shared" si="121"/>
        <v/>
      </c>
      <c r="AO42" s="2399" t="str">
        <f t="shared" si="122"/>
        <v/>
      </c>
      <c r="AP42" s="2399" t="str">
        <f t="shared" si="123"/>
        <v/>
      </c>
      <c r="AQ42" s="2399" t="str">
        <f t="shared" si="124"/>
        <v/>
      </c>
      <c r="AR42" s="2474"/>
      <c r="AS42" s="2479" t="str">
        <f t="shared" si="99"/>
        <v/>
      </c>
      <c r="AT42" s="2448"/>
      <c r="AU42" s="2475" t="str">
        <f t="shared" si="100"/>
        <v/>
      </c>
      <c r="AV42" s="2448" t="str">
        <f t="shared" si="101"/>
        <v/>
      </c>
      <c r="AW42" s="2448"/>
      <c r="AX42" s="2476" t="str">
        <f t="shared" si="102"/>
        <v/>
      </c>
      <c r="AY42" s="2479" t="str">
        <f t="shared" si="103"/>
        <v/>
      </c>
      <c r="AZ42" s="2448" t="str">
        <f t="shared" si="104"/>
        <v/>
      </c>
      <c r="BA42" s="2475" t="str">
        <f t="shared" si="105"/>
        <v/>
      </c>
      <c r="BB42" s="2448" t="str">
        <f t="shared" si="106"/>
        <v/>
      </c>
      <c r="BC42" s="2448" t="str">
        <f t="shared" si="107"/>
        <v/>
      </c>
      <c r="BD42" s="2476" t="str">
        <f t="shared" si="108"/>
        <v/>
      </c>
      <c r="BE42" s="41">
        <f t="shared" si="125"/>
        <v>-11</v>
      </c>
      <c r="BF42" s="267" t="str">
        <f t="shared" si="109"/>
        <v/>
      </c>
      <c r="BG42" s="2400" t="str">
        <f t="shared" si="110"/>
        <v/>
      </c>
      <c r="BH42" s="2400" t="str">
        <f t="shared" si="111"/>
        <v/>
      </c>
      <c r="BI42" s="2400" t="str">
        <f t="shared" si="112"/>
        <v/>
      </c>
      <c r="BJ42" s="2400" t="str">
        <f t="shared" si="113"/>
        <v/>
      </c>
      <c r="BK42" s="2425"/>
      <c r="BL42" s="2465" t="str">
        <f t="shared" si="114"/>
        <v/>
      </c>
      <c r="BM42" s="2466" t="str">
        <f t="shared" si="115"/>
        <v/>
      </c>
      <c r="BN42" s="2465" t="str">
        <f t="shared" si="116"/>
        <v/>
      </c>
      <c r="BO42" s="2466" t="str">
        <f t="shared" si="117"/>
        <v/>
      </c>
    </row>
    <row r="43" spans="1:67" x14ac:dyDescent="0.25">
      <c r="A43" s="2397">
        <f t="shared" si="64"/>
        <v>41</v>
      </c>
      <c r="B43" s="41">
        <f t="shared" si="118"/>
        <v>-55</v>
      </c>
      <c r="C43" s="41">
        <f t="shared" si="119"/>
        <v>-43</v>
      </c>
      <c r="D43" s="267" t="str">
        <f t="shared" si="66"/>
        <v/>
      </c>
      <c r="E43" s="2428" t="str">
        <f t="shared" si="67"/>
        <v/>
      </c>
      <c r="F43" s="2398" t="str">
        <f t="shared" si="68"/>
        <v/>
      </c>
      <c r="G43" s="2398" t="str">
        <f t="shared" si="69"/>
        <v/>
      </c>
      <c r="H43" s="2398" t="str">
        <f t="shared" si="70"/>
        <v/>
      </c>
      <c r="I43" s="2431" t="str">
        <f t="shared" si="71"/>
        <v/>
      </c>
      <c r="J43" s="2398" t="str">
        <f t="shared" si="72"/>
        <v/>
      </c>
      <c r="K43" s="2398" t="str">
        <f t="shared" si="73"/>
        <v/>
      </c>
      <c r="L43" s="2432" t="str">
        <f t="shared" si="74"/>
        <v/>
      </c>
      <c r="M43" s="2398" t="str">
        <f t="shared" si="75"/>
        <v/>
      </c>
      <c r="N43" s="2398" t="str">
        <f t="shared" si="76"/>
        <v/>
      </c>
      <c r="O43" s="2398" t="str">
        <f t="shared" si="77"/>
        <v/>
      </c>
      <c r="P43" s="2398" t="str">
        <f t="shared" si="78"/>
        <v/>
      </c>
      <c r="Q43" s="2453"/>
      <c r="R43" s="2448" t="str">
        <f t="shared" si="79"/>
        <v/>
      </c>
      <c r="S43" s="2448" t="str">
        <f t="shared" si="80"/>
        <v/>
      </c>
      <c r="T43" s="2448" t="str">
        <f t="shared" si="81"/>
        <v/>
      </c>
      <c r="U43" s="2448" t="str">
        <f t="shared" si="82"/>
        <v/>
      </c>
      <c r="V43" s="2448" t="str">
        <f t="shared" si="83"/>
        <v/>
      </c>
      <c r="W43" s="2449" t="str">
        <f t="shared" si="84"/>
        <v/>
      </c>
      <c r="X43" s="2479" t="str" cm="1">
        <f t="array" ref="X43">IFERROR(HLOOKUP(CoStar_DataSet_Inventory_2A,CoStar_Inventory_Array,$A43,FALSE),"-")</f>
        <v/>
      </c>
      <c r="Y43" s="2448" t="str">
        <f t="shared" si="85"/>
        <v/>
      </c>
      <c r="Z43" s="2448" t="str">
        <f t="shared" si="86"/>
        <v/>
      </c>
      <c r="AA43" s="2448" t="str">
        <f t="shared" si="87"/>
        <v/>
      </c>
      <c r="AB43" s="2448" t="str">
        <f t="shared" si="88"/>
        <v/>
      </c>
      <c r="AC43" s="2448" t="str">
        <f t="shared" si="89"/>
        <v/>
      </c>
      <c r="AD43" s="41">
        <f t="shared" si="120"/>
        <v>-55</v>
      </c>
      <c r="AE43" s="267" t="str">
        <f t="shared" si="90"/>
        <v/>
      </c>
      <c r="AF43" s="2398" t="str">
        <f t="shared" si="91"/>
        <v/>
      </c>
      <c r="AG43" s="2398" t="str">
        <f t="shared" si="92"/>
        <v/>
      </c>
      <c r="AH43" s="2398" t="str">
        <f t="shared" si="93"/>
        <v/>
      </c>
      <c r="AI43" s="2398" t="str">
        <f t="shared" si="94"/>
        <v/>
      </c>
      <c r="AJ43" s="2398" t="str">
        <f t="shared" si="95"/>
        <v/>
      </c>
      <c r="AK43" s="2398" t="str">
        <f t="shared" si="96"/>
        <v/>
      </c>
      <c r="AL43" s="2398" t="str">
        <f t="shared" si="97"/>
        <v/>
      </c>
      <c r="AM43" s="2398" t="str">
        <f t="shared" si="98"/>
        <v/>
      </c>
      <c r="AN43" s="2399" t="str">
        <f t="shared" si="121"/>
        <v/>
      </c>
      <c r="AO43" s="2399" t="str">
        <f t="shared" si="122"/>
        <v/>
      </c>
      <c r="AP43" s="2399" t="str">
        <f t="shared" si="123"/>
        <v/>
      </c>
      <c r="AQ43" s="2399" t="str">
        <f t="shared" si="124"/>
        <v/>
      </c>
      <c r="AR43" s="2474"/>
      <c r="AS43" s="2479" t="str">
        <f t="shared" si="99"/>
        <v/>
      </c>
      <c r="AT43" s="2448"/>
      <c r="AU43" s="2475" t="str">
        <f t="shared" si="100"/>
        <v/>
      </c>
      <c r="AV43" s="2448" t="str">
        <f t="shared" si="101"/>
        <v/>
      </c>
      <c r="AW43" s="2448"/>
      <c r="AX43" s="2476" t="str">
        <f t="shared" si="102"/>
        <v/>
      </c>
      <c r="AY43" s="2479" t="str">
        <f t="shared" si="103"/>
        <v/>
      </c>
      <c r="AZ43" s="2448" t="str">
        <f t="shared" si="104"/>
        <v/>
      </c>
      <c r="BA43" s="2475" t="str">
        <f t="shared" si="105"/>
        <v/>
      </c>
      <c r="BB43" s="2448" t="str">
        <f t="shared" si="106"/>
        <v/>
      </c>
      <c r="BC43" s="2448" t="str">
        <f t="shared" si="107"/>
        <v/>
      </c>
      <c r="BD43" s="2476" t="str">
        <f t="shared" si="108"/>
        <v/>
      </c>
      <c r="BE43" s="41">
        <f t="shared" si="125"/>
        <v>-12</v>
      </c>
      <c r="BF43" s="267" t="str">
        <f t="shared" si="109"/>
        <v/>
      </c>
      <c r="BG43" s="2400" t="str">
        <f t="shared" si="110"/>
        <v/>
      </c>
      <c r="BH43" s="2400" t="str">
        <f t="shared" si="111"/>
        <v/>
      </c>
      <c r="BI43" s="2400" t="str">
        <f t="shared" si="112"/>
        <v/>
      </c>
      <c r="BJ43" s="2400" t="str">
        <f t="shared" si="113"/>
        <v/>
      </c>
      <c r="BK43" s="2425"/>
      <c r="BL43" s="2465" t="str">
        <f t="shared" si="114"/>
        <v/>
      </c>
      <c r="BM43" s="2466" t="str">
        <f t="shared" si="115"/>
        <v/>
      </c>
      <c r="BN43" s="2465" t="str">
        <f t="shared" si="116"/>
        <v/>
      </c>
      <c r="BO43" s="2466" t="str">
        <f t="shared" si="117"/>
        <v/>
      </c>
    </row>
    <row r="44" spans="1:67" x14ac:dyDescent="0.25">
      <c r="A44" s="2397">
        <f t="shared" si="64"/>
        <v>42</v>
      </c>
      <c r="B44" s="41">
        <f t="shared" si="118"/>
        <v>-57</v>
      </c>
      <c r="C44" s="41">
        <f t="shared" si="119"/>
        <v>-45</v>
      </c>
      <c r="D44" s="267" t="str">
        <f t="shared" si="66"/>
        <v/>
      </c>
      <c r="E44" s="2428" t="str">
        <f t="shared" si="67"/>
        <v/>
      </c>
      <c r="F44" s="2398" t="str">
        <f t="shared" si="68"/>
        <v/>
      </c>
      <c r="G44" s="2398" t="str">
        <f t="shared" si="69"/>
        <v/>
      </c>
      <c r="H44" s="2398" t="str">
        <f t="shared" si="70"/>
        <v/>
      </c>
      <c r="I44" s="2431" t="str">
        <f t="shared" si="71"/>
        <v/>
      </c>
      <c r="J44" s="2398" t="str">
        <f t="shared" si="72"/>
        <v/>
      </c>
      <c r="K44" s="2398" t="str">
        <f t="shared" si="73"/>
        <v/>
      </c>
      <c r="L44" s="2432" t="str">
        <f t="shared" si="74"/>
        <v/>
      </c>
      <c r="M44" s="2398" t="str">
        <f t="shared" si="75"/>
        <v/>
      </c>
      <c r="N44" s="2398" t="str">
        <f t="shared" si="76"/>
        <v/>
      </c>
      <c r="O44" s="2398" t="str">
        <f t="shared" si="77"/>
        <v/>
      </c>
      <c r="P44" s="2398" t="str">
        <f t="shared" si="78"/>
        <v/>
      </c>
      <c r="Q44" s="2453"/>
      <c r="R44" s="2448" t="str">
        <f t="shared" si="79"/>
        <v/>
      </c>
      <c r="S44" s="2448" t="str">
        <f t="shared" si="80"/>
        <v/>
      </c>
      <c r="T44" s="2448" t="str">
        <f t="shared" si="81"/>
        <v/>
      </c>
      <c r="U44" s="2448" t="str">
        <f t="shared" si="82"/>
        <v/>
      </c>
      <c r="V44" s="2448" t="str">
        <f t="shared" si="83"/>
        <v/>
      </c>
      <c r="W44" s="2449" t="str">
        <f t="shared" si="84"/>
        <v/>
      </c>
      <c r="X44" s="2479" t="str" cm="1">
        <f t="array" ref="X44">IFERROR(HLOOKUP(CoStar_DataSet_Inventory_2A,CoStar_Inventory_Array,$A44,FALSE),"-")</f>
        <v/>
      </c>
      <c r="Y44" s="2448" t="str">
        <f t="shared" si="85"/>
        <v/>
      </c>
      <c r="Z44" s="2448" t="str">
        <f t="shared" si="86"/>
        <v/>
      </c>
      <c r="AA44" s="2448" t="str">
        <f t="shared" si="87"/>
        <v/>
      </c>
      <c r="AB44" s="2448" t="str">
        <f t="shared" si="88"/>
        <v/>
      </c>
      <c r="AC44" s="2448" t="str">
        <f t="shared" si="89"/>
        <v/>
      </c>
      <c r="AD44" s="41">
        <f t="shared" si="120"/>
        <v>-57</v>
      </c>
      <c r="AE44" s="267" t="str">
        <f t="shared" si="90"/>
        <v/>
      </c>
      <c r="AF44" s="2398" t="str">
        <f t="shared" si="91"/>
        <v/>
      </c>
      <c r="AG44" s="2398" t="str">
        <f t="shared" si="92"/>
        <v/>
      </c>
      <c r="AH44" s="2398" t="str">
        <f t="shared" si="93"/>
        <v/>
      </c>
      <c r="AI44" s="2398" t="str">
        <f t="shared" si="94"/>
        <v/>
      </c>
      <c r="AJ44" s="2398" t="str">
        <f t="shared" si="95"/>
        <v/>
      </c>
      <c r="AK44" s="2398" t="str">
        <f t="shared" si="96"/>
        <v/>
      </c>
      <c r="AL44" s="2398" t="str">
        <f t="shared" si="97"/>
        <v/>
      </c>
      <c r="AM44" s="2398" t="str">
        <f t="shared" si="98"/>
        <v/>
      </c>
      <c r="AN44" s="2399" t="str">
        <f t="shared" si="121"/>
        <v/>
      </c>
      <c r="AO44" s="2399" t="str">
        <f t="shared" si="122"/>
        <v/>
      </c>
      <c r="AP44" s="2399" t="str">
        <f t="shared" si="123"/>
        <v/>
      </c>
      <c r="AQ44" s="2399" t="str">
        <f t="shared" si="124"/>
        <v/>
      </c>
      <c r="AR44" s="2474"/>
      <c r="AS44" s="2479" t="str">
        <f t="shared" si="99"/>
        <v/>
      </c>
      <c r="AT44" s="2448"/>
      <c r="AU44" s="2475" t="str">
        <f t="shared" si="100"/>
        <v/>
      </c>
      <c r="AV44" s="2448" t="str">
        <f t="shared" si="101"/>
        <v/>
      </c>
      <c r="AW44" s="2448"/>
      <c r="AX44" s="2476" t="str">
        <f t="shared" si="102"/>
        <v/>
      </c>
      <c r="AY44" s="2479" t="str">
        <f t="shared" si="103"/>
        <v/>
      </c>
      <c r="AZ44" s="2448" t="str">
        <f t="shared" si="104"/>
        <v/>
      </c>
      <c r="BA44" s="2475" t="str">
        <f t="shared" si="105"/>
        <v/>
      </c>
      <c r="BB44" s="2448" t="str">
        <f t="shared" si="106"/>
        <v/>
      </c>
      <c r="BC44" s="2448" t="str">
        <f t="shared" si="107"/>
        <v/>
      </c>
      <c r="BD44" s="2476" t="str">
        <f t="shared" si="108"/>
        <v/>
      </c>
      <c r="BE44" s="41">
        <f t="shared" si="125"/>
        <v>-13</v>
      </c>
      <c r="BF44" s="267" t="str">
        <f t="shared" si="109"/>
        <v/>
      </c>
      <c r="BG44" s="2400" t="str">
        <f t="shared" si="110"/>
        <v/>
      </c>
      <c r="BH44" s="2400" t="str">
        <f t="shared" si="111"/>
        <v/>
      </c>
      <c r="BI44" s="2400" t="str">
        <f t="shared" si="112"/>
        <v/>
      </c>
      <c r="BJ44" s="2400" t="str">
        <f t="shared" si="113"/>
        <v/>
      </c>
      <c r="BK44" s="2425"/>
      <c r="BL44" s="2465" t="str">
        <f t="shared" si="114"/>
        <v/>
      </c>
      <c r="BM44" s="2466" t="str">
        <f t="shared" si="115"/>
        <v/>
      </c>
      <c r="BN44" s="2465" t="str">
        <f t="shared" si="116"/>
        <v/>
      </c>
      <c r="BO44" s="2466" t="str">
        <f t="shared" si="117"/>
        <v/>
      </c>
    </row>
    <row r="45" spans="1:67" x14ac:dyDescent="0.25">
      <c r="A45" s="2397">
        <f t="shared" si="64"/>
        <v>43</v>
      </c>
      <c r="B45" s="41">
        <f t="shared" si="118"/>
        <v>-59</v>
      </c>
      <c r="C45" s="41">
        <f t="shared" si="119"/>
        <v>-47</v>
      </c>
      <c r="D45" s="267" t="str">
        <f t="shared" si="66"/>
        <v/>
      </c>
      <c r="E45" s="2428" t="str">
        <f t="shared" si="67"/>
        <v/>
      </c>
      <c r="F45" s="2398" t="str">
        <f t="shared" si="68"/>
        <v/>
      </c>
      <c r="G45" s="2398" t="str">
        <f t="shared" si="69"/>
        <v/>
      </c>
      <c r="H45" s="2398" t="str">
        <f t="shared" si="70"/>
        <v/>
      </c>
      <c r="I45" s="2431" t="str">
        <f t="shared" si="71"/>
        <v/>
      </c>
      <c r="J45" s="2398" t="str">
        <f t="shared" si="72"/>
        <v/>
      </c>
      <c r="K45" s="2398" t="str">
        <f t="shared" si="73"/>
        <v/>
      </c>
      <c r="L45" s="2432" t="str">
        <f t="shared" si="74"/>
        <v/>
      </c>
      <c r="M45" s="2398" t="str">
        <f t="shared" si="75"/>
        <v/>
      </c>
      <c r="N45" s="2398" t="str">
        <f t="shared" si="76"/>
        <v/>
      </c>
      <c r="O45" s="2398" t="str">
        <f t="shared" si="77"/>
        <v/>
      </c>
      <c r="P45" s="2398" t="str">
        <f t="shared" si="78"/>
        <v/>
      </c>
      <c r="Q45" s="2453"/>
      <c r="R45" s="2448" t="str">
        <f t="shared" si="79"/>
        <v/>
      </c>
      <c r="S45" s="2448" t="str">
        <f t="shared" si="80"/>
        <v/>
      </c>
      <c r="T45" s="2448" t="str">
        <f t="shared" si="81"/>
        <v/>
      </c>
      <c r="U45" s="2448" t="str">
        <f t="shared" si="82"/>
        <v/>
      </c>
      <c r="V45" s="2448" t="str">
        <f t="shared" si="83"/>
        <v/>
      </c>
      <c r="W45" s="2449" t="str">
        <f t="shared" si="84"/>
        <v/>
      </c>
      <c r="X45" s="2479" t="str" cm="1">
        <f t="array" ref="X45">IFERROR(HLOOKUP(CoStar_DataSet_Inventory_2A,CoStar_Inventory_Array,$A45,FALSE),"-")</f>
        <v/>
      </c>
      <c r="Y45" s="2448" t="str">
        <f t="shared" si="85"/>
        <v/>
      </c>
      <c r="Z45" s="2448" t="str">
        <f t="shared" si="86"/>
        <v/>
      </c>
      <c r="AA45" s="2448" t="str">
        <f t="shared" si="87"/>
        <v/>
      </c>
      <c r="AB45" s="2448" t="str">
        <f t="shared" si="88"/>
        <v/>
      </c>
      <c r="AC45" s="2448" t="str">
        <f t="shared" si="89"/>
        <v/>
      </c>
      <c r="AD45" s="41">
        <f t="shared" si="120"/>
        <v>-59</v>
      </c>
      <c r="AE45" s="267" t="str">
        <f t="shared" si="90"/>
        <v/>
      </c>
      <c r="AF45" s="2398" t="str">
        <f t="shared" si="91"/>
        <v/>
      </c>
      <c r="AG45" s="2398" t="str">
        <f t="shared" si="92"/>
        <v/>
      </c>
      <c r="AH45" s="2398" t="str">
        <f t="shared" si="93"/>
        <v/>
      </c>
      <c r="AI45" s="2398" t="str">
        <f t="shared" si="94"/>
        <v/>
      </c>
      <c r="AJ45" s="2398" t="str">
        <f t="shared" si="95"/>
        <v/>
      </c>
      <c r="AK45" s="2398" t="str">
        <f t="shared" si="96"/>
        <v/>
      </c>
      <c r="AL45" s="2398" t="str">
        <f t="shared" si="97"/>
        <v/>
      </c>
      <c r="AM45" s="2398" t="str">
        <f t="shared" si="98"/>
        <v/>
      </c>
      <c r="AN45" s="2399" t="str">
        <f t="shared" si="121"/>
        <v/>
      </c>
      <c r="AO45" s="2399" t="str">
        <f t="shared" si="122"/>
        <v/>
      </c>
      <c r="AP45" s="2399" t="str">
        <f t="shared" si="123"/>
        <v/>
      </c>
      <c r="AQ45" s="2399" t="str">
        <f t="shared" si="124"/>
        <v/>
      </c>
      <c r="AR45" s="2474"/>
      <c r="AS45" s="2479" t="str">
        <f t="shared" si="99"/>
        <v/>
      </c>
      <c r="AT45" s="2448"/>
      <c r="AU45" s="2475" t="str">
        <f t="shared" si="100"/>
        <v/>
      </c>
      <c r="AV45" s="2448" t="str">
        <f t="shared" si="101"/>
        <v/>
      </c>
      <c r="AW45" s="2448"/>
      <c r="AX45" s="2476" t="str">
        <f t="shared" si="102"/>
        <v/>
      </c>
      <c r="AY45" s="2479" t="str">
        <f t="shared" si="103"/>
        <v/>
      </c>
      <c r="AZ45" s="2448" t="str">
        <f t="shared" si="104"/>
        <v/>
      </c>
      <c r="BA45" s="2475" t="str">
        <f t="shared" si="105"/>
        <v/>
      </c>
      <c r="BB45" s="2448" t="str">
        <f t="shared" si="106"/>
        <v/>
      </c>
      <c r="BC45" s="2448" t="str">
        <f t="shared" si="107"/>
        <v/>
      </c>
      <c r="BD45" s="2476" t="str">
        <f t="shared" si="108"/>
        <v/>
      </c>
      <c r="BE45" s="41">
        <f t="shared" si="125"/>
        <v>-14</v>
      </c>
      <c r="BF45" s="267" t="str">
        <f t="shared" si="109"/>
        <v/>
      </c>
      <c r="BG45" s="2400" t="str">
        <f t="shared" si="110"/>
        <v/>
      </c>
      <c r="BH45" s="2400" t="str">
        <f t="shared" si="111"/>
        <v/>
      </c>
      <c r="BI45" s="2400" t="str">
        <f t="shared" si="112"/>
        <v/>
      </c>
      <c r="BJ45" s="2400" t="str">
        <f t="shared" si="113"/>
        <v/>
      </c>
      <c r="BK45" s="2425"/>
      <c r="BL45" s="2465" t="str">
        <f t="shared" si="114"/>
        <v/>
      </c>
      <c r="BM45" s="2466" t="str">
        <f t="shared" si="115"/>
        <v/>
      </c>
      <c r="BN45" s="2465" t="str">
        <f t="shared" si="116"/>
        <v/>
      </c>
      <c r="BO45" s="2466" t="str">
        <f t="shared" si="117"/>
        <v/>
      </c>
    </row>
    <row r="46" spans="1:67" x14ac:dyDescent="0.25">
      <c r="A46" s="2397">
        <f t="shared" si="64"/>
        <v>44</v>
      </c>
      <c r="B46" s="41">
        <f t="shared" si="118"/>
        <v>-61</v>
      </c>
      <c r="C46" s="41">
        <f t="shared" si="119"/>
        <v>-49</v>
      </c>
      <c r="D46" s="267" t="str">
        <f t="shared" si="66"/>
        <v/>
      </c>
      <c r="E46" s="2428" t="str">
        <f t="shared" si="67"/>
        <v/>
      </c>
      <c r="F46" s="2398" t="str">
        <f t="shared" si="68"/>
        <v/>
      </c>
      <c r="G46" s="2398" t="str">
        <f t="shared" si="69"/>
        <v/>
      </c>
      <c r="H46" s="2398" t="str">
        <f t="shared" si="70"/>
        <v/>
      </c>
      <c r="I46" s="2431" t="str">
        <f t="shared" si="71"/>
        <v/>
      </c>
      <c r="J46" s="2398" t="str">
        <f t="shared" si="72"/>
        <v/>
      </c>
      <c r="K46" s="2398" t="str">
        <f t="shared" si="73"/>
        <v/>
      </c>
      <c r="L46" s="2432" t="str">
        <f t="shared" si="74"/>
        <v/>
      </c>
      <c r="M46" s="2398" t="str">
        <f t="shared" si="75"/>
        <v/>
      </c>
      <c r="N46" s="2398" t="str">
        <f t="shared" si="76"/>
        <v/>
      </c>
      <c r="O46" s="2398" t="str">
        <f t="shared" si="77"/>
        <v/>
      </c>
      <c r="P46" s="2398" t="str">
        <f t="shared" si="78"/>
        <v/>
      </c>
      <c r="Q46" s="2453"/>
      <c r="R46" s="2448" t="str">
        <f t="shared" si="79"/>
        <v/>
      </c>
      <c r="S46" s="2448" t="str">
        <f t="shared" si="80"/>
        <v/>
      </c>
      <c r="T46" s="2448" t="str">
        <f t="shared" si="81"/>
        <v/>
      </c>
      <c r="U46" s="2448" t="str">
        <f t="shared" si="82"/>
        <v/>
      </c>
      <c r="V46" s="2448" t="str">
        <f t="shared" si="83"/>
        <v/>
      </c>
      <c r="W46" s="2449" t="str">
        <f t="shared" si="84"/>
        <v/>
      </c>
      <c r="X46" s="2479" t="str" cm="1">
        <f t="array" ref="X46">IFERROR(HLOOKUP(CoStar_DataSet_Inventory_2A,CoStar_Inventory_Array,$A46,FALSE),"-")</f>
        <v/>
      </c>
      <c r="Y46" s="2448" t="str">
        <f t="shared" si="85"/>
        <v/>
      </c>
      <c r="Z46" s="2448" t="str">
        <f t="shared" si="86"/>
        <v/>
      </c>
      <c r="AA46" s="2448" t="str">
        <f t="shared" si="87"/>
        <v/>
      </c>
      <c r="AB46" s="2448" t="str">
        <f t="shared" si="88"/>
        <v/>
      </c>
      <c r="AC46" s="2448" t="str">
        <f t="shared" si="89"/>
        <v/>
      </c>
      <c r="AD46" s="41">
        <f t="shared" si="120"/>
        <v>-61</v>
      </c>
      <c r="AE46" s="267" t="str">
        <f t="shared" si="90"/>
        <v/>
      </c>
      <c r="AF46" s="2398" t="str">
        <f t="shared" si="91"/>
        <v/>
      </c>
      <c r="AG46" s="2398" t="str">
        <f t="shared" si="92"/>
        <v/>
      </c>
      <c r="AH46" s="2398" t="str">
        <f t="shared" si="93"/>
        <v/>
      </c>
      <c r="AI46" s="2398" t="str">
        <f t="shared" si="94"/>
        <v/>
      </c>
      <c r="AJ46" s="2398" t="str">
        <f t="shared" si="95"/>
        <v/>
      </c>
      <c r="AK46" s="2398" t="str">
        <f t="shared" si="96"/>
        <v/>
      </c>
      <c r="AL46" s="2398" t="str">
        <f t="shared" si="97"/>
        <v/>
      </c>
      <c r="AM46" s="2398" t="str">
        <f t="shared" si="98"/>
        <v/>
      </c>
      <c r="AN46" s="2399" t="str">
        <f t="shared" si="121"/>
        <v/>
      </c>
      <c r="AO46" s="2399" t="str">
        <f t="shared" si="122"/>
        <v/>
      </c>
      <c r="AP46" s="2399" t="str">
        <f t="shared" si="123"/>
        <v/>
      </c>
      <c r="AQ46" s="2399" t="str">
        <f t="shared" si="124"/>
        <v/>
      </c>
      <c r="AR46" s="2474"/>
      <c r="AS46" s="2479" t="str">
        <f t="shared" si="99"/>
        <v/>
      </c>
      <c r="AT46" s="2448"/>
      <c r="AU46" s="2475" t="str">
        <f t="shared" si="100"/>
        <v/>
      </c>
      <c r="AV46" s="2448" t="str">
        <f t="shared" si="101"/>
        <v/>
      </c>
      <c r="AW46" s="2448"/>
      <c r="AX46" s="2476" t="str">
        <f t="shared" si="102"/>
        <v/>
      </c>
      <c r="AY46" s="2479" t="str">
        <f t="shared" si="103"/>
        <v/>
      </c>
      <c r="AZ46" s="2448" t="str">
        <f t="shared" si="104"/>
        <v/>
      </c>
      <c r="BA46" s="2475" t="str">
        <f t="shared" si="105"/>
        <v/>
      </c>
      <c r="BB46" s="2448" t="str">
        <f t="shared" si="106"/>
        <v/>
      </c>
      <c r="BC46" s="2448" t="str">
        <f t="shared" si="107"/>
        <v/>
      </c>
      <c r="BD46" s="2476" t="str">
        <f t="shared" si="108"/>
        <v/>
      </c>
      <c r="BE46" s="41">
        <f t="shared" si="125"/>
        <v>-15</v>
      </c>
      <c r="BF46" s="267" t="str">
        <f t="shared" si="109"/>
        <v/>
      </c>
      <c r="BG46" s="2400" t="str">
        <f t="shared" si="110"/>
        <v/>
      </c>
      <c r="BH46" s="2400" t="str">
        <f t="shared" si="111"/>
        <v/>
      </c>
      <c r="BI46" s="2400" t="str">
        <f t="shared" si="112"/>
        <v/>
      </c>
      <c r="BJ46" s="2400" t="str">
        <f t="shared" si="113"/>
        <v/>
      </c>
      <c r="BK46" s="2425"/>
      <c r="BL46" s="2465" t="str">
        <f t="shared" si="114"/>
        <v/>
      </c>
      <c r="BM46" s="2466" t="str">
        <f t="shared" si="115"/>
        <v/>
      </c>
      <c r="BN46" s="2465" t="str">
        <f t="shared" si="116"/>
        <v/>
      </c>
      <c r="BO46" s="2466" t="str">
        <f t="shared" si="117"/>
        <v/>
      </c>
    </row>
    <row r="47" spans="1:67" x14ac:dyDescent="0.25">
      <c r="A47" s="2397">
        <f t="shared" si="64"/>
        <v>45</v>
      </c>
      <c r="B47" s="41">
        <f t="shared" si="118"/>
        <v>-63</v>
      </c>
      <c r="C47" s="41">
        <f t="shared" si="119"/>
        <v>-51</v>
      </c>
      <c r="D47" s="267" t="str">
        <f t="shared" si="66"/>
        <v/>
      </c>
      <c r="E47" s="2428" t="str">
        <f t="shared" si="67"/>
        <v/>
      </c>
      <c r="F47" s="2398" t="str">
        <f t="shared" si="68"/>
        <v/>
      </c>
      <c r="G47" s="2398" t="str">
        <f t="shared" si="69"/>
        <v/>
      </c>
      <c r="H47" s="2398" t="str">
        <f t="shared" si="70"/>
        <v/>
      </c>
      <c r="I47" s="2431" t="str">
        <f t="shared" si="71"/>
        <v/>
      </c>
      <c r="J47" s="2398" t="str">
        <f t="shared" si="72"/>
        <v/>
      </c>
      <c r="K47" s="2398" t="str">
        <f t="shared" si="73"/>
        <v/>
      </c>
      <c r="L47" s="2432" t="str">
        <f t="shared" si="74"/>
        <v/>
      </c>
      <c r="M47" s="2398" t="str">
        <f t="shared" si="75"/>
        <v/>
      </c>
      <c r="N47" s="2398" t="str">
        <f t="shared" si="76"/>
        <v/>
      </c>
      <c r="O47" s="2398" t="str">
        <f t="shared" si="77"/>
        <v/>
      </c>
      <c r="P47" s="2398" t="str">
        <f t="shared" si="78"/>
        <v/>
      </c>
      <c r="Q47" s="2453"/>
      <c r="R47" s="2448" t="str">
        <f t="shared" si="79"/>
        <v/>
      </c>
      <c r="S47" s="2448" t="str">
        <f t="shared" si="80"/>
        <v/>
      </c>
      <c r="T47" s="2448" t="str">
        <f t="shared" si="81"/>
        <v/>
      </c>
      <c r="U47" s="2448" t="str">
        <f t="shared" si="82"/>
        <v/>
      </c>
      <c r="V47" s="2448" t="str">
        <f t="shared" si="83"/>
        <v/>
      </c>
      <c r="W47" s="2449" t="str">
        <f t="shared" si="84"/>
        <v/>
      </c>
      <c r="X47" s="2479" t="str" cm="1">
        <f t="array" ref="X47">IFERROR(HLOOKUP(CoStar_DataSet_Inventory_2A,CoStar_Inventory_Array,$A47,FALSE),"-")</f>
        <v/>
      </c>
      <c r="Y47" s="2448" t="str">
        <f t="shared" si="85"/>
        <v/>
      </c>
      <c r="Z47" s="2448" t="str">
        <f t="shared" si="86"/>
        <v/>
      </c>
      <c r="AA47" s="2448" t="str">
        <f t="shared" si="87"/>
        <v/>
      </c>
      <c r="AB47" s="2448" t="str">
        <f t="shared" si="88"/>
        <v/>
      </c>
      <c r="AC47" s="2448" t="str">
        <f t="shared" si="89"/>
        <v/>
      </c>
      <c r="AD47" s="41">
        <f t="shared" si="120"/>
        <v>-63</v>
      </c>
      <c r="AE47" s="267" t="str">
        <f t="shared" si="90"/>
        <v/>
      </c>
      <c r="AF47" s="2398" t="str">
        <f t="shared" si="91"/>
        <v/>
      </c>
      <c r="AG47" s="2398" t="str">
        <f t="shared" si="92"/>
        <v/>
      </c>
      <c r="AH47" s="2398" t="str">
        <f t="shared" si="93"/>
        <v/>
      </c>
      <c r="AI47" s="2398" t="str">
        <f t="shared" si="94"/>
        <v/>
      </c>
      <c r="AJ47" s="2398" t="str">
        <f t="shared" si="95"/>
        <v/>
      </c>
      <c r="AK47" s="2398" t="str">
        <f t="shared" si="96"/>
        <v/>
      </c>
      <c r="AL47" s="2398" t="str">
        <f t="shared" si="97"/>
        <v/>
      </c>
      <c r="AM47" s="2398" t="str">
        <f t="shared" si="98"/>
        <v/>
      </c>
      <c r="AN47" s="2399" t="str">
        <f t="shared" si="121"/>
        <v/>
      </c>
      <c r="AO47" s="2399" t="str">
        <f t="shared" si="122"/>
        <v/>
      </c>
      <c r="AP47" s="2399" t="str">
        <f t="shared" si="123"/>
        <v/>
      </c>
      <c r="AQ47" s="2399" t="str">
        <f t="shared" si="124"/>
        <v/>
      </c>
      <c r="AR47" s="2474"/>
      <c r="AS47" s="2479" t="str">
        <f t="shared" si="99"/>
        <v/>
      </c>
      <c r="AT47" s="2448"/>
      <c r="AU47" s="2475" t="str">
        <f t="shared" si="100"/>
        <v/>
      </c>
      <c r="AV47" s="2448" t="str">
        <f t="shared" si="101"/>
        <v/>
      </c>
      <c r="AW47" s="2448"/>
      <c r="AX47" s="2476" t="str">
        <f t="shared" si="102"/>
        <v/>
      </c>
      <c r="AY47" s="2479" t="str">
        <f t="shared" si="103"/>
        <v/>
      </c>
      <c r="AZ47" s="2448" t="str">
        <f t="shared" si="104"/>
        <v/>
      </c>
      <c r="BA47" s="2475" t="str">
        <f t="shared" si="105"/>
        <v/>
      </c>
      <c r="BB47" s="2448" t="str">
        <f t="shared" si="106"/>
        <v/>
      </c>
      <c r="BC47" s="2448" t="str">
        <f t="shared" si="107"/>
        <v/>
      </c>
      <c r="BD47" s="2476" t="str">
        <f t="shared" si="108"/>
        <v/>
      </c>
      <c r="BE47" s="41">
        <f t="shared" si="125"/>
        <v>-16</v>
      </c>
      <c r="BF47" s="267" t="str">
        <f t="shared" si="109"/>
        <v/>
      </c>
      <c r="BG47" s="2400" t="str">
        <f t="shared" si="110"/>
        <v/>
      </c>
      <c r="BH47" s="2400" t="str">
        <f t="shared" si="111"/>
        <v/>
      </c>
      <c r="BI47" s="2400" t="str">
        <f t="shared" si="112"/>
        <v/>
      </c>
      <c r="BJ47" s="2400" t="str">
        <f t="shared" si="113"/>
        <v/>
      </c>
      <c r="BK47" s="2425"/>
      <c r="BL47" s="2465" t="str">
        <f t="shared" si="114"/>
        <v/>
      </c>
      <c r="BM47" s="2466" t="str">
        <f t="shared" si="115"/>
        <v/>
      </c>
      <c r="BN47" s="2465" t="str">
        <f t="shared" si="116"/>
        <v/>
      </c>
      <c r="BO47" s="2466" t="str">
        <f t="shared" si="117"/>
        <v/>
      </c>
    </row>
    <row r="48" spans="1:67" x14ac:dyDescent="0.25">
      <c r="A48" s="2397">
        <f t="shared" si="64"/>
        <v>46</v>
      </c>
      <c r="B48" s="41">
        <f t="shared" si="118"/>
        <v>-65</v>
      </c>
      <c r="C48" s="41">
        <f t="shared" si="119"/>
        <v>-53</v>
      </c>
      <c r="D48" s="267" t="str">
        <f t="shared" si="66"/>
        <v/>
      </c>
      <c r="E48" s="2428" t="str">
        <f t="shared" si="67"/>
        <v/>
      </c>
      <c r="F48" s="2398" t="str">
        <f t="shared" si="68"/>
        <v/>
      </c>
      <c r="G48" s="2398" t="str">
        <f t="shared" si="69"/>
        <v/>
      </c>
      <c r="H48" s="2398" t="str">
        <f t="shared" si="70"/>
        <v/>
      </c>
      <c r="I48" s="2431" t="str">
        <f t="shared" si="71"/>
        <v/>
      </c>
      <c r="J48" s="2398" t="str">
        <f t="shared" si="72"/>
        <v/>
      </c>
      <c r="K48" s="2398" t="str">
        <f t="shared" si="73"/>
        <v/>
      </c>
      <c r="L48" s="2432" t="str">
        <f t="shared" si="74"/>
        <v/>
      </c>
      <c r="M48" s="2398" t="str">
        <f t="shared" si="75"/>
        <v/>
      </c>
      <c r="N48" s="2398" t="str">
        <f t="shared" si="76"/>
        <v/>
      </c>
      <c r="O48" s="2398" t="str">
        <f t="shared" si="77"/>
        <v/>
      </c>
      <c r="P48" s="2398" t="str">
        <f t="shared" si="78"/>
        <v/>
      </c>
      <c r="Q48" s="2453"/>
      <c r="R48" s="2448" t="str">
        <f t="shared" si="79"/>
        <v/>
      </c>
      <c r="S48" s="2448" t="str">
        <f t="shared" si="80"/>
        <v/>
      </c>
      <c r="T48" s="2448" t="str">
        <f t="shared" si="81"/>
        <v/>
      </c>
      <c r="U48" s="2448" t="str">
        <f t="shared" si="82"/>
        <v/>
      </c>
      <c r="V48" s="2448" t="str">
        <f t="shared" si="83"/>
        <v/>
      </c>
      <c r="W48" s="2449" t="str">
        <f t="shared" si="84"/>
        <v/>
      </c>
      <c r="X48" s="2479" t="str" cm="1">
        <f t="array" ref="X48">IFERROR(HLOOKUP(CoStar_DataSet_Inventory_2A,CoStar_Inventory_Array,$A48,FALSE),"-")</f>
        <v/>
      </c>
      <c r="Y48" s="2448" t="str">
        <f t="shared" si="85"/>
        <v/>
      </c>
      <c r="Z48" s="2448" t="str">
        <f t="shared" si="86"/>
        <v/>
      </c>
      <c r="AA48" s="2448" t="str">
        <f t="shared" si="87"/>
        <v/>
      </c>
      <c r="AB48" s="2448" t="str">
        <f t="shared" si="88"/>
        <v/>
      </c>
      <c r="AC48" s="2448" t="str">
        <f t="shared" si="89"/>
        <v/>
      </c>
      <c r="AD48" s="41">
        <f t="shared" si="120"/>
        <v>-65</v>
      </c>
      <c r="AE48" s="267" t="str">
        <f t="shared" si="90"/>
        <v/>
      </c>
      <c r="AF48" s="2398" t="str">
        <f t="shared" si="91"/>
        <v/>
      </c>
      <c r="AG48" s="2398" t="str">
        <f t="shared" si="92"/>
        <v/>
      </c>
      <c r="AH48" s="2398" t="str">
        <f t="shared" si="93"/>
        <v/>
      </c>
      <c r="AI48" s="2398" t="str">
        <f t="shared" si="94"/>
        <v/>
      </c>
      <c r="AJ48" s="2398" t="str">
        <f t="shared" si="95"/>
        <v/>
      </c>
      <c r="AK48" s="2398" t="str">
        <f t="shared" si="96"/>
        <v/>
      </c>
      <c r="AL48" s="2398" t="str">
        <f t="shared" si="97"/>
        <v/>
      </c>
      <c r="AM48" s="2398" t="str">
        <f t="shared" si="98"/>
        <v/>
      </c>
      <c r="AN48" s="2399" t="str">
        <f t="shared" si="121"/>
        <v/>
      </c>
      <c r="AO48" s="2399" t="str">
        <f t="shared" si="122"/>
        <v/>
      </c>
      <c r="AP48" s="2399" t="str">
        <f t="shared" si="123"/>
        <v/>
      </c>
      <c r="AQ48" s="2399" t="str">
        <f t="shared" si="124"/>
        <v/>
      </c>
      <c r="AR48" s="2474"/>
      <c r="AS48" s="2479" t="str">
        <f t="shared" si="99"/>
        <v/>
      </c>
      <c r="AT48" s="2448"/>
      <c r="AU48" s="2475" t="str">
        <f t="shared" si="100"/>
        <v/>
      </c>
      <c r="AV48" s="2448" t="str">
        <f t="shared" si="101"/>
        <v/>
      </c>
      <c r="AW48" s="2448"/>
      <c r="AX48" s="2476" t="str">
        <f t="shared" si="102"/>
        <v/>
      </c>
      <c r="AY48" s="2479" t="str">
        <f t="shared" si="103"/>
        <v/>
      </c>
      <c r="AZ48" s="2448" t="str">
        <f t="shared" si="104"/>
        <v/>
      </c>
      <c r="BA48" s="2475" t="str">
        <f t="shared" si="105"/>
        <v/>
      </c>
      <c r="BB48" s="2448" t="str">
        <f t="shared" si="106"/>
        <v/>
      </c>
      <c r="BC48" s="2448" t="str">
        <f t="shared" si="107"/>
        <v/>
      </c>
      <c r="BD48" s="2476" t="str">
        <f t="shared" si="108"/>
        <v/>
      </c>
      <c r="BE48" s="41">
        <f t="shared" si="125"/>
        <v>-17</v>
      </c>
      <c r="BF48" s="267" t="str">
        <f t="shared" si="109"/>
        <v/>
      </c>
      <c r="BG48" s="2400" t="str">
        <f t="shared" si="110"/>
        <v/>
      </c>
      <c r="BH48" s="2400" t="str">
        <f t="shared" si="111"/>
        <v/>
      </c>
      <c r="BI48" s="2400" t="str">
        <f t="shared" si="112"/>
        <v/>
      </c>
      <c r="BJ48" s="2400" t="str">
        <f t="shared" si="113"/>
        <v/>
      </c>
      <c r="BK48" s="2425"/>
      <c r="BL48" s="2465" t="str">
        <f t="shared" si="114"/>
        <v/>
      </c>
      <c r="BM48" s="2466" t="str">
        <f t="shared" si="115"/>
        <v/>
      </c>
      <c r="BN48" s="2465" t="str">
        <f t="shared" si="116"/>
        <v/>
      </c>
      <c r="BO48" s="2466" t="str">
        <f t="shared" si="117"/>
        <v/>
      </c>
    </row>
    <row r="49" spans="1:67" x14ac:dyDescent="0.25">
      <c r="A49" s="2397">
        <f t="shared" si="64"/>
        <v>47</v>
      </c>
      <c r="B49" s="41">
        <f t="shared" si="118"/>
        <v>-67</v>
      </c>
      <c r="C49" s="41">
        <f t="shared" si="119"/>
        <v>-55</v>
      </c>
      <c r="D49" s="267" t="str">
        <f t="shared" si="66"/>
        <v/>
      </c>
      <c r="E49" s="2428" t="str">
        <f t="shared" si="67"/>
        <v/>
      </c>
      <c r="F49" s="2398" t="str">
        <f t="shared" si="68"/>
        <v/>
      </c>
      <c r="G49" s="2398" t="str">
        <f t="shared" si="69"/>
        <v/>
      </c>
      <c r="H49" s="2398" t="str">
        <f t="shared" si="70"/>
        <v/>
      </c>
      <c r="I49" s="2431" t="str">
        <f t="shared" si="71"/>
        <v/>
      </c>
      <c r="J49" s="2398" t="str">
        <f t="shared" si="72"/>
        <v/>
      </c>
      <c r="K49" s="2398" t="str">
        <f t="shared" si="73"/>
        <v/>
      </c>
      <c r="L49" s="2432" t="str">
        <f t="shared" si="74"/>
        <v/>
      </c>
      <c r="M49" s="2398" t="str">
        <f t="shared" si="75"/>
        <v/>
      </c>
      <c r="N49" s="2398" t="str">
        <f t="shared" si="76"/>
        <v/>
      </c>
      <c r="O49" s="2398" t="str">
        <f t="shared" si="77"/>
        <v/>
      </c>
      <c r="P49" s="2398" t="str">
        <f t="shared" si="78"/>
        <v/>
      </c>
      <c r="Q49" s="2453"/>
      <c r="R49" s="2448" t="str">
        <f t="shared" si="79"/>
        <v/>
      </c>
      <c r="S49" s="2448" t="str">
        <f t="shared" si="80"/>
        <v/>
      </c>
      <c r="T49" s="2448" t="str">
        <f t="shared" si="81"/>
        <v/>
      </c>
      <c r="U49" s="2448" t="str">
        <f t="shared" si="82"/>
        <v/>
      </c>
      <c r="V49" s="2448" t="str">
        <f t="shared" si="83"/>
        <v/>
      </c>
      <c r="W49" s="2449" t="str">
        <f t="shared" si="84"/>
        <v/>
      </c>
      <c r="X49" s="2479" t="str" cm="1">
        <f t="array" ref="X49">IFERROR(HLOOKUP(CoStar_DataSet_Inventory_2A,CoStar_Inventory_Array,$A49,FALSE),"-")</f>
        <v/>
      </c>
      <c r="Y49" s="2448" t="str">
        <f t="shared" si="85"/>
        <v/>
      </c>
      <c r="Z49" s="2448" t="str">
        <f t="shared" si="86"/>
        <v/>
      </c>
      <c r="AA49" s="2448" t="str">
        <f t="shared" si="87"/>
        <v/>
      </c>
      <c r="AB49" s="2448" t="str">
        <f t="shared" si="88"/>
        <v/>
      </c>
      <c r="AC49" s="2448" t="str">
        <f t="shared" si="89"/>
        <v/>
      </c>
      <c r="AD49" s="41">
        <f t="shared" si="120"/>
        <v>-67</v>
      </c>
      <c r="AE49" s="267" t="str">
        <f t="shared" si="90"/>
        <v/>
      </c>
      <c r="AF49" s="2398" t="str">
        <f t="shared" si="91"/>
        <v/>
      </c>
      <c r="AG49" s="2398" t="str">
        <f t="shared" si="92"/>
        <v/>
      </c>
      <c r="AH49" s="2398" t="str">
        <f t="shared" si="93"/>
        <v/>
      </c>
      <c r="AI49" s="2398" t="str">
        <f t="shared" si="94"/>
        <v/>
      </c>
      <c r="AJ49" s="2398" t="str">
        <f t="shared" si="95"/>
        <v/>
      </c>
      <c r="AK49" s="2398" t="str">
        <f t="shared" si="96"/>
        <v/>
      </c>
      <c r="AL49" s="2398" t="str">
        <f t="shared" si="97"/>
        <v/>
      </c>
      <c r="AM49" s="2398" t="str">
        <f t="shared" si="98"/>
        <v/>
      </c>
      <c r="AN49" s="2399" t="str">
        <f t="shared" si="121"/>
        <v/>
      </c>
      <c r="AO49" s="2399" t="str">
        <f t="shared" si="122"/>
        <v/>
      </c>
      <c r="AP49" s="2399" t="str">
        <f t="shared" si="123"/>
        <v/>
      </c>
      <c r="AQ49" s="2399" t="str">
        <f t="shared" si="124"/>
        <v/>
      </c>
      <c r="AR49" s="2474"/>
      <c r="AS49" s="2479" t="str">
        <f t="shared" si="99"/>
        <v/>
      </c>
      <c r="AT49" s="2448"/>
      <c r="AU49" s="2475" t="str">
        <f t="shared" si="100"/>
        <v/>
      </c>
      <c r="AV49" s="2448" t="str">
        <f t="shared" si="101"/>
        <v/>
      </c>
      <c r="AW49" s="2448"/>
      <c r="AX49" s="2476" t="str">
        <f t="shared" si="102"/>
        <v/>
      </c>
      <c r="AY49" s="2479" t="str">
        <f t="shared" si="103"/>
        <v/>
      </c>
      <c r="AZ49" s="2448" t="str">
        <f t="shared" si="104"/>
        <v/>
      </c>
      <c r="BA49" s="2475" t="str">
        <f t="shared" si="105"/>
        <v/>
      </c>
      <c r="BB49" s="2448" t="str">
        <f t="shared" si="106"/>
        <v/>
      </c>
      <c r="BC49" s="2448" t="str">
        <f t="shared" si="107"/>
        <v/>
      </c>
      <c r="BD49" s="2476" t="str">
        <f t="shared" si="108"/>
        <v/>
      </c>
      <c r="BE49" s="41">
        <f t="shared" si="125"/>
        <v>-18</v>
      </c>
      <c r="BF49" s="267" t="str">
        <f t="shared" si="109"/>
        <v/>
      </c>
      <c r="BG49" s="2400" t="str">
        <f t="shared" si="110"/>
        <v/>
      </c>
      <c r="BH49" s="2400" t="str">
        <f t="shared" si="111"/>
        <v/>
      </c>
      <c r="BI49" s="2400" t="str">
        <f t="shared" si="112"/>
        <v/>
      </c>
      <c r="BJ49" s="2400" t="str">
        <f t="shared" si="113"/>
        <v/>
      </c>
      <c r="BK49" s="2425"/>
      <c r="BL49" s="2465" t="str">
        <f t="shared" si="114"/>
        <v/>
      </c>
      <c r="BM49" s="2466" t="str">
        <f t="shared" si="115"/>
        <v/>
      </c>
      <c r="BN49" s="2465" t="str">
        <f t="shared" si="116"/>
        <v/>
      </c>
      <c r="BO49" s="2466" t="str">
        <f t="shared" si="117"/>
        <v/>
      </c>
    </row>
    <row r="50" spans="1:67" x14ac:dyDescent="0.25">
      <c r="A50" s="2397">
        <f t="shared" si="64"/>
        <v>48</v>
      </c>
      <c r="B50" s="41">
        <f t="shared" si="118"/>
        <v>-69</v>
      </c>
      <c r="C50" s="41">
        <f t="shared" si="119"/>
        <v>-57</v>
      </c>
      <c r="D50" s="267" t="str">
        <f t="shared" si="66"/>
        <v/>
      </c>
      <c r="E50" s="2428" t="str">
        <f t="shared" si="67"/>
        <v/>
      </c>
      <c r="F50" s="2398" t="str">
        <f t="shared" si="68"/>
        <v/>
      </c>
      <c r="G50" s="2398" t="str">
        <f t="shared" si="69"/>
        <v/>
      </c>
      <c r="H50" s="2398" t="str">
        <f t="shared" si="70"/>
        <v/>
      </c>
      <c r="I50" s="2431" t="str">
        <f t="shared" si="71"/>
        <v/>
      </c>
      <c r="J50" s="2398" t="str">
        <f t="shared" si="72"/>
        <v/>
      </c>
      <c r="K50" s="2398" t="str">
        <f t="shared" si="73"/>
        <v/>
      </c>
      <c r="L50" s="2432" t="str">
        <f t="shared" si="74"/>
        <v/>
      </c>
      <c r="M50" s="2398" t="str">
        <f t="shared" si="75"/>
        <v/>
      </c>
      <c r="N50" s="2398" t="str">
        <f t="shared" si="76"/>
        <v/>
      </c>
      <c r="O50" s="2398" t="str">
        <f t="shared" si="77"/>
        <v/>
      </c>
      <c r="P50" s="2398" t="str">
        <f t="shared" si="78"/>
        <v/>
      </c>
      <c r="Q50" s="2453"/>
      <c r="R50" s="2448" t="str">
        <f t="shared" si="79"/>
        <v/>
      </c>
      <c r="S50" s="2448" t="str">
        <f t="shared" si="80"/>
        <v/>
      </c>
      <c r="T50" s="2448" t="str">
        <f t="shared" si="81"/>
        <v/>
      </c>
      <c r="U50" s="2448" t="str">
        <f t="shared" si="82"/>
        <v/>
      </c>
      <c r="V50" s="2448" t="str">
        <f t="shared" si="83"/>
        <v/>
      </c>
      <c r="W50" s="2449" t="str">
        <f t="shared" si="84"/>
        <v/>
      </c>
      <c r="X50" s="2479" t="str" cm="1">
        <f t="array" ref="X50">IFERROR(HLOOKUP(CoStar_DataSet_Inventory_2A,CoStar_Inventory_Array,$A50,FALSE),"-")</f>
        <v/>
      </c>
      <c r="Y50" s="2448" t="str">
        <f t="shared" si="85"/>
        <v/>
      </c>
      <c r="Z50" s="2448" t="str">
        <f t="shared" si="86"/>
        <v/>
      </c>
      <c r="AA50" s="2448" t="str">
        <f t="shared" si="87"/>
        <v/>
      </c>
      <c r="AB50" s="2448" t="str">
        <f t="shared" si="88"/>
        <v/>
      </c>
      <c r="AC50" s="2448" t="str">
        <f t="shared" si="89"/>
        <v/>
      </c>
      <c r="AD50" s="41">
        <f t="shared" si="120"/>
        <v>-69</v>
      </c>
      <c r="AE50" s="267" t="str">
        <f t="shared" si="90"/>
        <v/>
      </c>
      <c r="AF50" s="2398" t="str">
        <f t="shared" si="91"/>
        <v/>
      </c>
      <c r="AG50" s="2398" t="str">
        <f t="shared" si="92"/>
        <v/>
      </c>
      <c r="AH50" s="2398" t="str">
        <f t="shared" si="93"/>
        <v/>
      </c>
      <c r="AI50" s="2398" t="str">
        <f t="shared" si="94"/>
        <v/>
      </c>
      <c r="AJ50" s="2398" t="str">
        <f t="shared" si="95"/>
        <v/>
      </c>
      <c r="AK50" s="2398" t="str">
        <f t="shared" si="96"/>
        <v/>
      </c>
      <c r="AL50" s="2398" t="str">
        <f t="shared" si="97"/>
        <v/>
      </c>
      <c r="AM50" s="2398" t="str">
        <f t="shared" si="98"/>
        <v/>
      </c>
      <c r="AN50" s="2399" t="str">
        <f t="shared" si="121"/>
        <v/>
      </c>
      <c r="AO50" s="2399" t="str">
        <f t="shared" si="122"/>
        <v/>
      </c>
      <c r="AP50" s="2399" t="str">
        <f t="shared" si="123"/>
        <v/>
      </c>
      <c r="AQ50" s="2399" t="str">
        <f t="shared" si="124"/>
        <v/>
      </c>
      <c r="AR50" s="2474"/>
      <c r="AS50" s="2479" t="str">
        <f t="shared" si="99"/>
        <v/>
      </c>
      <c r="AT50" s="2448"/>
      <c r="AU50" s="2475" t="str">
        <f t="shared" si="100"/>
        <v/>
      </c>
      <c r="AV50" s="2448" t="str">
        <f t="shared" si="101"/>
        <v/>
      </c>
      <c r="AW50" s="2448"/>
      <c r="AX50" s="2476" t="str">
        <f t="shared" si="102"/>
        <v/>
      </c>
      <c r="AY50" s="2479" t="str">
        <f t="shared" si="103"/>
        <v/>
      </c>
      <c r="AZ50" s="2448" t="str">
        <f t="shared" si="104"/>
        <v/>
      </c>
      <c r="BA50" s="2475" t="str">
        <f t="shared" si="105"/>
        <v/>
      </c>
      <c r="BB50" s="2448" t="str">
        <f t="shared" si="106"/>
        <v/>
      </c>
      <c r="BC50" s="2448" t="str">
        <f t="shared" si="107"/>
        <v/>
      </c>
      <c r="BD50" s="2476" t="str">
        <f t="shared" si="108"/>
        <v/>
      </c>
      <c r="BE50" s="41">
        <f t="shared" si="125"/>
        <v>-19</v>
      </c>
      <c r="BF50" s="267" t="str">
        <f t="shared" si="109"/>
        <v/>
      </c>
      <c r="BG50" s="2400" t="str">
        <f t="shared" si="110"/>
        <v/>
      </c>
      <c r="BH50" s="2400" t="str">
        <f t="shared" si="111"/>
        <v/>
      </c>
      <c r="BI50" s="2400" t="str">
        <f t="shared" si="112"/>
        <v/>
      </c>
      <c r="BJ50" s="2400" t="str">
        <f t="shared" si="113"/>
        <v/>
      </c>
      <c r="BK50" s="2425"/>
      <c r="BL50" s="2465" t="str">
        <f t="shared" si="114"/>
        <v/>
      </c>
      <c r="BM50" s="2466" t="str">
        <f t="shared" si="115"/>
        <v/>
      </c>
      <c r="BN50" s="2465" t="str">
        <f t="shared" si="116"/>
        <v/>
      </c>
      <c r="BO50" s="2466" t="str">
        <f t="shared" si="117"/>
        <v/>
      </c>
    </row>
    <row r="51" spans="1:67" x14ac:dyDescent="0.25">
      <c r="A51" s="2397">
        <f t="shared" si="64"/>
        <v>49</v>
      </c>
      <c r="B51" s="41">
        <f t="shared" si="118"/>
        <v>-71</v>
      </c>
      <c r="C51" s="41">
        <f t="shared" si="119"/>
        <v>-59</v>
      </c>
      <c r="D51" s="267" t="str">
        <f t="shared" si="66"/>
        <v/>
      </c>
      <c r="E51" s="2428" t="str">
        <f t="shared" si="67"/>
        <v/>
      </c>
      <c r="F51" s="2398" t="str">
        <f t="shared" si="68"/>
        <v/>
      </c>
      <c r="G51" s="2398" t="str">
        <f t="shared" si="69"/>
        <v/>
      </c>
      <c r="H51" s="2398" t="str">
        <f t="shared" si="70"/>
        <v/>
      </c>
      <c r="I51" s="2431" t="str">
        <f t="shared" si="71"/>
        <v/>
      </c>
      <c r="J51" s="2398" t="str">
        <f t="shared" si="72"/>
        <v/>
      </c>
      <c r="K51" s="2398" t="str">
        <f t="shared" si="73"/>
        <v/>
      </c>
      <c r="L51" s="2432" t="str">
        <f t="shared" si="74"/>
        <v/>
      </c>
      <c r="M51" s="2398" t="str">
        <f t="shared" si="75"/>
        <v/>
      </c>
      <c r="N51" s="2398" t="str">
        <f t="shared" si="76"/>
        <v/>
      </c>
      <c r="O51" s="2398" t="str">
        <f t="shared" si="77"/>
        <v/>
      </c>
      <c r="P51" s="2398" t="str">
        <f t="shared" si="78"/>
        <v/>
      </c>
      <c r="Q51" s="2453"/>
      <c r="R51" s="2448" t="str">
        <f t="shared" si="79"/>
        <v/>
      </c>
      <c r="S51" s="2448" t="str">
        <f t="shared" si="80"/>
        <v/>
      </c>
      <c r="T51" s="2448" t="str">
        <f t="shared" si="81"/>
        <v/>
      </c>
      <c r="U51" s="2448" t="str">
        <f t="shared" si="82"/>
        <v/>
      </c>
      <c r="V51" s="2448" t="str">
        <f t="shared" si="83"/>
        <v/>
      </c>
      <c r="W51" s="2449" t="str">
        <f t="shared" si="84"/>
        <v/>
      </c>
      <c r="X51" s="2479" t="str" cm="1">
        <f t="array" ref="X51">IFERROR(HLOOKUP(CoStar_DataSet_Inventory_2A,CoStar_Inventory_Array,$A51,FALSE),"-")</f>
        <v/>
      </c>
      <c r="Y51" s="2448" t="str">
        <f t="shared" si="85"/>
        <v/>
      </c>
      <c r="Z51" s="2448" t="str">
        <f t="shared" si="86"/>
        <v/>
      </c>
      <c r="AA51" s="2448" t="str">
        <f t="shared" si="87"/>
        <v/>
      </c>
      <c r="AB51" s="2448" t="str">
        <f t="shared" si="88"/>
        <v/>
      </c>
      <c r="AC51" s="2448" t="str">
        <f t="shared" si="89"/>
        <v/>
      </c>
      <c r="AD51" s="41">
        <f t="shared" si="120"/>
        <v>-71</v>
      </c>
      <c r="AE51" s="267" t="str">
        <f t="shared" si="90"/>
        <v/>
      </c>
      <c r="AF51" s="2398" t="str">
        <f t="shared" si="91"/>
        <v/>
      </c>
      <c r="AG51" s="2398" t="str">
        <f t="shared" si="92"/>
        <v/>
      </c>
      <c r="AH51" s="2398" t="str">
        <f t="shared" si="93"/>
        <v/>
      </c>
      <c r="AI51" s="2398" t="str">
        <f t="shared" si="94"/>
        <v/>
      </c>
      <c r="AJ51" s="2398" t="str">
        <f t="shared" si="95"/>
        <v/>
      </c>
      <c r="AK51" s="2398" t="str">
        <f t="shared" si="96"/>
        <v/>
      </c>
      <c r="AL51" s="2398" t="str">
        <f t="shared" si="97"/>
        <v/>
      </c>
      <c r="AM51" s="2398" t="str">
        <f t="shared" si="98"/>
        <v/>
      </c>
      <c r="AN51" s="2399" t="str">
        <f t="shared" si="121"/>
        <v/>
      </c>
      <c r="AO51" s="2399" t="str">
        <f t="shared" si="122"/>
        <v/>
      </c>
      <c r="AP51" s="2399" t="str">
        <f t="shared" si="123"/>
        <v/>
      </c>
      <c r="AQ51" s="2399" t="str">
        <f t="shared" si="124"/>
        <v/>
      </c>
      <c r="AR51" s="2474"/>
      <c r="AS51" s="2479" t="str">
        <f t="shared" si="99"/>
        <v/>
      </c>
      <c r="AT51" s="2448"/>
      <c r="AU51" s="2475" t="str">
        <f t="shared" si="100"/>
        <v/>
      </c>
      <c r="AV51" s="2448" t="str">
        <f t="shared" si="101"/>
        <v/>
      </c>
      <c r="AW51" s="2448"/>
      <c r="AX51" s="2476" t="str">
        <f t="shared" si="102"/>
        <v/>
      </c>
      <c r="AY51" s="2479" t="str">
        <f t="shared" si="103"/>
        <v/>
      </c>
      <c r="AZ51" s="2448" t="str">
        <f t="shared" si="104"/>
        <v/>
      </c>
      <c r="BA51" s="2475" t="str">
        <f t="shared" si="105"/>
        <v/>
      </c>
      <c r="BB51" s="2448" t="str">
        <f t="shared" si="106"/>
        <v/>
      </c>
      <c r="BC51" s="2448" t="str">
        <f t="shared" si="107"/>
        <v/>
      </c>
      <c r="BD51" s="2476" t="str">
        <f t="shared" si="108"/>
        <v/>
      </c>
      <c r="BE51" s="41">
        <f t="shared" si="125"/>
        <v>-20</v>
      </c>
      <c r="BF51" s="267" t="str">
        <f t="shared" si="109"/>
        <v/>
      </c>
      <c r="BG51" s="2400" t="str">
        <f t="shared" si="110"/>
        <v/>
      </c>
      <c r="BH51" s="2400" t="str">
        <f t="shared" si="111"/>
        <v/>
      </c>
      <c r="BI51" s="2400" t="str">
        <f t="shared" si="112"/>
        <v/>
      </c>
      <c r="BJ51" s="2400" t="str">
        <f t="shared" si="113"/>
        <v/>
      </c>
      <c r="BK51" s="2425"/>
      <c r="BL51" s="2465" t="str">
        <f t="shared" si="114"/>
        <v/>
      </c>
      <c r="BM51" s="2466" t="str">
        <f t="shared" si="115"/>
        <v/>
      </c>
      <c r="BN51" s="2465" t="str">
        <f t="shared" si="116"/>
        <v/>
      </c>
      <c r="BO51" s="2466" t="str">
        <f t="shared" si="117"/>
        <v/>
      </c>
    </row>
    <row r="52" spans="1:67" x14ac:dyDescent="0.25">
      <c r="A52" s="2397">
        <f t="shared" si="64"/>
        <v>50</v>
      </c>
      <c r="B52" s="41">
        <f t="shared" si="118"/>
        <v>-73</v>
      </c>
      <c r="C52" s="41">
        <f t="shared" si="119"/>
        <v>-61</v>
      </c>
      <c r="D52" s="267" t="str">
        <f t="shared" si="66"/>
        <v/>
      </c>
      <c r="E52" s="2428" t="str">
        <f t="shared" si="67"/>
        <v/>
      </c>
      <c r="F52" s="2398" t="str">
        <f t="shared" si="68"/>
        <v/>
      </c>
      <c r="G52" s="2398" t="str">
        <f t="shared" si="69"/>
        <v/>
      </c>
      <c r="H52" s="2398" t="str">
        <f t="shared" si="70"/>
        <v/>
      </c>
      <c r="I52" s="2431" t="str">
        <f t="shared" si="71"/>
        <v/>
      </c>
      <c r="J52" s="2398" t="str">
        <f t="shared" si="72"/>
        <v/>
      </c>
      <c r="K52" s="2398" t="str">
        <f t="shared" si="73"/>
        <v/>
      </c>
      <c r="L52" s="2432" t="str">
        <f t="shared" si="74"/>
        <v/>
      </c>
      <c r="M52" s="2398" t="str">
        <f t="shared" si="75"/>
        <v/>
      </c>
      <c r="N52" s="2398" t="str">
        <f t="shared" si="76"/>
        <v/>
      </c>
      <c r="O52" s="2398" t="str">
        <f t="shared" si="77"/>
        <v/>
      </c>
      <c r="P52" s="2398" t="str">
        <f t="shared" si="78"/>
        <v/>
      </c>
      <c r="Q52" s="2453"/>
      <c r="R52" s="2448" t="str">
        <f t="shared" si="79"/>
        <v/>
      </c>
      <c r="S52" s="2448" t="str">
        <f t="shared" si="80"/>
        <v/>
      </c>
      <c r="T52" s="2448" t="str">
        <f t="shared" si="81"/>
        <v/>
      </c>
      <c r="U52" s="2448" t="str">
        <f t="shared" si="82"/>
        <v/>
      </c>
      <c r="V52" s="2448" t="str">
        <f t="shared" si="83"/>
        <v/>
      </c>
      <c r="W52" s="2449" t="str">
        <f t="shared" si="84"/>
        <v/>
      </c>
      <c r="X52" s="2479" t="str" cm="1">
        <f t="array" ref="X52">IFERROR(HLOOKUP(CoStar_DataSet_Inventory_2A,CoStar_Inventory_Array,$A52,FALSE),"-")</f>
        <v/>
      </c>
      <c r="Y52" s="2448" t="str">
        <f t="shared" si="85"/>
        <v/>
      </c>
      <c r="Z52" s="2448" t="str">
        <f t="shared" si="86"/>
        <v/>
      </c>
      <c r="AA52" s="2448" t="str">
        <f t="shared" si="87"/>
        <v/>
      </c>
      <c r="AB52" s="2448" t="str">
        <f t="shared" si="88"/>
        <v/>
      </c>
      <c r="AC52" s="2448" t="str">
        <f t="shared" si="89"/>
        <v/>
      </c>
      <c r="AD52" s="41">
        <f t="shared" si="120"/>
        <v>-73</v>
      </c>
      <c r="AE52" s="267" t="str">
        <f t="shared" si="90"/>
        <v/>
      </c>
      <c r="AF52" s="2398" t="str">
        <f t="shared" si="91"/>
        <v/>
      </c>
      <c r="AG52" s="2398" t="str">
        <f t="shared" si="92"/>
        <v/>
      </c>
      <c r="AH52" s="2398" t="str">
        <f t="shared" si="93"/>
        <v/>
      </c>
      <c r="AI52" s="2398" t="str">
        <f t="shared" si="94"/>
        <v/>
      </c>
      <c r="AJ52" s="2398" t="str">
        <f t="shared" si="95"/>
        <v/>
      </c>
      <c r="AK52" s="2398" t="str">
        <f t="shared" si="96"/>
        <v/>
      </c>
      <c r="AL52" s="2398" t="str">
        <f t="shared" si="97"/>
        <v/>
      </c>
      <c r="AM52" s="2398" t="str">
        <f t="shared" si="98"/>
        <v/>
      </c>
      <c r="AN52" s="2399" t="str">
        <f t="shared" si="121"/>
        <v/>
      </c>
      <c r="AO52" s="2399" t="str">
        <f t="shared" si="122"/>
        <v/>
      </c>
      <c r="AP52" s="2399" t="str">
        <f t="shared" si="123"/>
        <v/>
      </c>
      <c r="AQ52" s="2399" t="str">
        <f t="shared" si="124"/>
        <v/>
      </c>
      <c r="AR52" s="2474"/>
      <c r="AS52" s="2479" t="str">
        <f t="shared" si="99"/>
        <v/>
      </c>
      <c r="AT52" s="2448"/>
      <c r="AU52" s="2475" t="str">
        <f t="shared" si="100"/>
        <v/>
      </c>
      <c r="AV52" s="2448" t="str">
        <f t="shared" si="101"/>
        <v/>
      </c>
      <c r="AW52" s="2448"/>
      <c r="AX52" s="2476" t="str">
        <f t="shared" si="102"/>
        <v/>
      </c>
      <c r="AY52" s="2479" t="str">
        <f t="shared" si="103"/>
        <v/>
      </c>
      <c r="AZ52" s="2448" t="str">
        <f t="shared" si="104"/>
        <v/>
      </c>
      <c r="BA52" s="2475" t="str">
        <f t="shared" si="105"/>
        <v/>
      </c>
      <c r="BB52" s="2448" t="str">
        <f t="shared" si="106"/>
        <v/>
      </c>
      <c r="BC52" s="2448" t="str">
        <f t="shared" si="107"/>
        <v/>
      </c>
      <c r="BD52" s="2476" t="str">
        <f t="shared" si="108"/>
        <v/>
      </c>
      <c r="BE52" s="41">
        <f t="shared" si="125"/>
        <v>-21</v>
      </c>
      <c r="BF52" s="267" t="str">
        <f t="shared" si="109"/>
        <v/>
      </c>
      <c r="BG52" s="2400" t="str">
        <f t="shared" si="110"/>
        <v/>
      </c>
      <c r="BH52" s="2400" t="str">
        <f t="shared" si="111"/>
        <v/>
      </c>
      <c r="BI52" s="2400" t="str">
        <f t="shared" si="112"/>
        <v/>
      </c>
      <c r="BJ52" s="2400" t="str">
        <f t="shared" si="113"/>
        <v/>
      </c>
      <c r="BK52" s="2425"/>
      <c r="BL52" s="2465" t="str">
        <f t="shared" si="114"/>
        <v/>
      </c>
      <c r="BM52" s="2466" t="str">
        <f t="shared" si="115"/>
        <v/>
      </c>
      <c r="BN52" s="2465" t="str">
        <f t="shared" si="116"/>
        <v/>
      </c>
      <c r="BO52" s="2466" t="str">
        <f t="shared" si="117"/>
        <v/>
      </c>
    </row>
    <row r="53" spans="1:67" x14ac:dyDescent="0.25">
      <c r="A53" s="2397">
        <f t="shared" si="64"/>
        <v>51</v>
      </c>
      <c r="B53" s="41">
        <f t="shared" si="118"/>
        <v>-75</v>
      </c>
      <c r="C53" s="41">
        <f t="shared" si="119"/>
        <v>-63</v>
      </c>
      <c r="D53" s="267" t="str">
        <f t="shared" si="66"/>
        <v/>
      </c>
      <c r="E53" s="2428" t="str">
        <f t="shared" si="67"/>
        <v/>
      </c>
      <c r="F53" s="2398" t="str">
        <f t="shared" si="68"/>
        <v/>
      </c>
      <c r="G53" s="2398" t="str">
        <f t="shared" si="69"/>
        <v/>
      </c>
      <c r="H53" s="2398" t="str">
        <f t="shared" si="70"/>
        <v/>
      </c>
      <c r="I53" s="2431" t="str">
        <f t="shared" si="71"/>
        <v/>
      </c>
      <c r="J53" s="2398" t="str">
        <f t="shared" si="72"/>
        <v/>
      </c>
      <c r="K53" s="2398" t="str">
        <f t="shared" si="73"/>
        <v/>
      </c>
      <c r="L53" s="2432" t="str">
        <f t="shared" si="74"/>
        <v/>
      </c>
      <c r="M53" s="2398" t="str">
        <f t="shared" si="75"/>
        <v/>
      </c>
      <c r="N53" s="2398" t="str">
        <f t="shared" si="76"/>
        <v/>
      </c>
      <c r="O53" s="2398" t="str">
        <f t="shared" si="77"/>
        <v/>
      </c>
      <c r="P53" s="2398" t="str">
        <f t="shared" si="78"/>
        <v/>
      </c>
      <c r="Q53" s="2453"/>
      <c r="R53" s="2448" t="str">
        <f t="shared" si="79"/>
        <v/>
      </c>
      <c r="S53" s="2448" t="str">
        <f t="shared" si="80"/>
        <v/>
      </c>
      <c r="T53" s="2448" t="str">
        <f t="shared" si="81"/>
        <v/>
      </c>
      <c r="U53" s="2448" t="str">
        <f t="shared" si="82"/>
        <v/>
      </c>
      <c r="V53" s="2448" t="str">
        <f t="shared" si="83"/>
        <v/>
      </c>
      <c r="W53" s="2449" t="str">
        <f t="shared" si="84"/>
        <v/>
      </c>
      <c r="X53" s="2479" t="str" cm="1">
        <f t="array" ref="X53">IFERROR(HLOOKUP(CoStar_DataSet_Inventory_2A,CoStar_Inventory_Array,$A53,FALSE),"-")</f>
        <v/>
      </c>
      <c r="Y53" s="2448" t="str">
        <f t="shared" si="85"/>
        <v/>
      </c>
      <c r="Z53" s="2448" t="str">
        <f t="shared" si="86"/>
        <v/>
      </c>
      <c r="AA53" s="2448" t="str">
        <f t="shared" si="87"/>
        <v/>
      </c>
      <c r="AB53" s="2448" t="str">
        <f t="shared" si="88"/>
        <v/>
      </c>
      <c r="AC53" s="2448" t="str">
        <f t="shared" si="89"/>
        <v/>
      </c>
      <c r="AD53" s="41">
        <f t="shared" si="120"/>
        <v>-75</v>
      </c>
      <c r="AE53" s="267" t="str">
        <f t="shared" si="90"/>
        <v/>
      </c>
      <c r="AF53" s="2398" t="str">
        <f t="shared" si="91"/>
        <v/>
      </c>
      <c r="AG53" s="2398" t="str">
        <f t="shared" si="92"/>
        <v/>
      </c>
      <c r="AH53" s="2398" t="str">
        <f t="shared" si="93"/>
        <v/>
      </c>
      <c r="AI53" s="2398" t="str">
        <f t="shared" si="94"/>
        <v/>
      </c>
      <c r="AJ53" s="2398" t="str">
        <f t="shared" si="95"/>
        <v/>
      </c>
      <c r="AK53" s="2398" t="str">
        <f t="shared" si="96"/>
        <v/>
      </c>
      <c r="AL53" s="2398" t="str">
        <f t="shared" si="97"/>
        <v/>
      </c>
      <c r="AM53" s="2398" t="str">
        <f t="shared" si="98"/>
        <v/>
      </c>
      <c r="AN53" s="2399" t="str">
        <f t="shared" si="121"/>
        <v/>
      </c>
      <c r="AO53" s="2399" t="str">
        <f t="shared" si="122"/>
        <v/>
      </c>
      <c r="AP53" s="2399" t="str">
        <f t="shared" si="123"/>
        <v/>
      </c>
      <c r="AQ53" s="2399" t="str">
        <f t="shared" si="124"/>
        <v/>
      </c>
      <c r="AR53" s="2474"/>
      <c r="AS53" s="2479" t="str">
        <f t="shared" si="99"/>
        <v/>
      </c>
      <c r="AT53" s="2448"/>
      <c r="AU53" s="2475" t="str">
        <f t="shared" si="100"/>
        <v/>
      </c>
      <c r="AV53" s="2448" t="str">
        <f t="shared" si="101"/>
        <v/>
      </c>
      <c r="AW53" s="2448"/>
      <c r="AX53" s="2476" t="str">
        <f t="shared" si="102"/>
        <v/>
      </c>
      <c r="AY53" s="2479" t="str">
        <f t="shared" si="103"/>
        <v/>
      </c>
      <c r="AZ53" s="2448" t="str">
        <f t="shared" si="104"/>
        <v/>
      </c>
      <c r="BA53" s="2475" t="str">
        <f t="shared" si="105"/>
        <v/>
      </c>
      <c r="BB53" s="2448" t="str">
        <f t="shared" si="106"/>
        <v/>
      </c>
      <c r="BC53" s="2448" t="str">
        <f t="shared" si="107"/>
        <v/>
      </c>
      <c r="BD53" s="2476" t="str">
        <f t="shared" si="108"/>
        <v/>
      </c>
      <c r="BE53" s="41">
        <f t="shared" si="125"/>
        <v>-22</v>
      </c>
      <c r="BF53" s="267" t="str">
        <f t="shared" si="109"/>
        <v/>
      </c>
      <c r="BG53" s="2400" t="str">
        <f t="shared" si="110"/>
        <v/>
      </c>
      <c r="BH53" s="2400" t="str">
        <f t="shared" si="111"/>
        <v/>
      </c>
      <c r="BI53" s="2400" t="str">
        <f t="shared" si="112"/>
        <v/>
      </c>
      <c r="BJ53" s="2400" t="str">
        <f t="shared" si="113"/>
        <v/>
      </c>
      <c r="BK53" s="2425"/>
      <c r="BL53" s="2465" t="str">
        <f t="shared" si="114"/>
        <v/>
      </c>
      <c r="BM53" s="2466" t="str">
        <f t="shared" si="115"/>
        <v/>
      </c>
      <c r="BN53" s="2465" t="str">
        <f t="shared" si="116"/>
        <v/>
      </c>
      <c r="BO53" s="2466" t="str">
        <f t="shared" si="117"/>
        <v/>
      </c>
    </row>
    <row r="54" spans="1:67" x14ac:dyDescent="0.25">
      <c r="A54" s="2397">
        <f t="shared" si="64"/>
        <v>52</v>
      </c>
      <c r="B54" s="41">
        <f t="shared" si="118"/>
        <v>-77</v>
      </c>
      <c r="C54" s="41">
        <f t="shared" si="119"/>
        <v>-65</v>
      </c>
      <c r="D54" s="267" t="str">
        <f t="shared" si="66"/>
        <v/>
      </c>
      <c r="E54" s="2428" t="str">
        <f t="shared" si="67"/>
        <v/>
      </c>
      <c r="F54" s="2398" t="str">
        <f t="shared" si="68"/>
        <v/>
      </c>
      <c r="G54" s="2398" t="str">
        <f t="shared" si="69"/>
        <v/>
      </c>
      <c r="H54" s="2398" t="str">
        <f t="shared" si="70"/>
        <v/>
      </c>
      <c r="I54" s="2431" t="str">
        <f t="shared" si="71"/>
        <v/>
      </c>
      <c r="J54" s="2398" t="str">
        <f t="shared" si="72"/>
        <v/>
      </c>
      <c r="K54" s="2398" t="str">
        <f t="shared" si="73"/>
        <v/>
      </c>
      <c r="L54" s="2432" t="str">
        <f t="shared" si="74"/>
        <v/>
      </c>
      <c r="M54" s="2398" t="str">
        <f t="shared" si="75"/>
        <v/>
      </c>
      <c r="N54" s="2398" t="str">
        <f t="shared" si="76"/>
        <v/>
      </c>
      <c r="O54" s="2398" t="str">
        <f t="shared" si="77"/>
        <v/>
      </c>
      <c r="P54" s="2398" t="str">
        <f t="shared" si="78"/>
        <v/>
      </c>
      <c r="Q54" s="2453"/>
      <c r="R54" s="2448" t="str">
        <f t="shared" si="79"/>
        <v/>
      </c>
      <c r="S54" s="2448" t="str">
        <f t="shared" si="80"/>
        <v/>
      </c>
      <c r="T54" s="2448" t="str">
        <f t="shared" si="81"/>
        <v/>
      </c>
      <c r="U54" s="2448" t="str">
        <f t="shared" si="82"/>
        <v/>
      </c>
      <c r="V54" s="2448" t="str">
        <f t="shared" si="83"/>
        <v/>
      </c>
      <c r="W54" s="2449" t="str">
        <f t="shared" si="84"/>
        <v/>
      </c>
      <c r="X54" s="2479" t="str" cm="1">
        <f t="array" ref="X54">IFERROR(HLOOKUP(CoStar_DataSet_Inventory_2A,CoStar_Inventory_Array,$A54,FALSE),"-")</f>
        <v/>
      </c>
      <c r="Y54" s="2448" t="str">
        <f t="shared" si="85"/>
        <v/>
      </c>
      <c r="Z54" s="2448" t="str">
        <f t="shared" si="86"/>
        <v/>
      </c>
      <c r="AA54" s="2448" t="str">
        <f t="shared" si="87"/>
        <v/>
      </c>
      <c r="AB54" s="2448" t="str">
        <f t="shared" si="88"/>
        <v/>
      </c>
      <c r="AC54" s="2448" t="str">
        <f t="shared" si="89"/>
        <v/>
      </c>
      <c r="AD54" s="41">
        <f t="shared" si="120"/>
        <v>-77</v>
      </c>
      <c r="AE54" s="267" t="str">
        <f t="shared" si="90"/>
        <v/>
      </c>
      <c r="AF54" s="2398" t="str">
        <f t="shared" si="91"/>
        <v/>
      </c>
      <c r="AG54" s="2398" t="str">
        <f t="shared" si="92"/>
        <v/>
      </c>
      <c r="AH54" s="2398" t="str">
        <f t="shared" si="93"/>
        <v/>
      </c>
      <c r="AI54" s="2398" t="str">
        <f t="shared" si="94"/>
        <v/>
      </c>
      <c r="AJ54" s="2398" t="str">
        <f t="shared" si="95"/>
        <v/>
      </c>
      <c r="AK54" s="2398" t="str">
        <f t="shared" si="96"/>
        <v/>
      </c>
      <c r="AL54" s="2398" t="str">
        <f t="shared" si="97"/>
        <v/>
      </c>
      <c r="AM54" s="2398" t="str">
        <f t="shared" si="98"/>
        <v/>
      </c>
      <c r="AN54" s="2399" t="str">
        <f t="shared" si="121"/>
        <v/>
      </c>
      <c r="AO54" s="2399" t="str">
        <f t="shared" si="122"/>
        <v/>
      </c>
      <c r="AP54" s="2399" t="str">
        <f t="shared" si="123"/>
        <v/>
      </c>
      <c r="AQ54" s="2399" t="str">
        <f t="shared" si="124"/>
        <v/>
      </c>
      <c r="AR54" s="2474"/>
      <c r="AS54" s="2479" t="str">
        <f t="shared" si="99"/>
        <v/>
      </c>
      <c r="AT54" s="2448"/>
      <c r="AU54" s="2475" t="str">
        <f t="shared" si="100"/>
        <v/>
      </c>
      <c r="AV54" s="2448" t="str">
        <f t="shared" si="101"/>
        <v/>
      </c>
      <c r="AW54" s="2448"/>
      <c r="AX54" s="2476" t="str">
        <f t="shared" si="102"/>
        <v/>
      </c>
      <c r="AY54" s="2479" t="str">
        <f t="shared" si="103"/>
        <v/>
      </c>
      <c r="AZ54" s="2448" t="str">
        <f t="shared" si="104"/>
        <v/>
      </c>
      <c r="BA54" s="2475" t="str">
        <f t="shared" si="105"/>
        <v/>
      </c>
      <c r="BB54" s="2448" t="str">
        <f t="shared" si="106"/>
        <v/>
      </c>
      <c r="BC54" s="2448" t="str">
        <f t="shared" si="107"/>
        <v/>
      </c>
      <c r="BD54" s="2476" t="str">
        <f t="shared" si="108"/>
        <v/>
      </c>
      <c r="BE54" s="41">
        <f t="shared" si="125"/>
        <v>-23</v>
      </c>
      <c r="BF54" s="267" t="str">
        <f t="shared" si="109"/>
        <v/>
      </c>
      <c r="BG54" s="2400" t="str">
        <f t="shared" si="110"/>
        <v/>
      </c>
      <c r="BH54" s="2400" t="str">
        <f t="shared" si="111"/>
        <v/>
      </c>
      <c r="BI54" s="2400" t="str">
        <f t="shared" si="112"/>
        <v/>
      </c>
      <c r="BJ54" s="2400" t="str">
        <f t="shared" si="113"/>
        <v/>
      </c>
      <c r="BK54" s="2425"/>
      <c r="BL54" s="2465" t="str">
        <f t="shared" si="114"/>
        <v/>
      </c>
      <c r="BM54" s="2466" t="str">
        <f t="shared" si="115"/>
        <v/>
      </c>
      <c r="BN54" s="2465" t="str">
        <f t="shared" si="116"/>
        <v/>
      </c>
      <c r="BO54" s="2466" t="str">
        <f t="shared" si="117"/>
        <v/>
      </c>
    </row>
    <row r="55" spans="1:67" x14ac:dyDescent="0.25">
      <c r="A55" s="2397">
        <f t="shared" si="64"/>
        <v>53</v>
      </c>
      <c r="B55" s="41">
        <f t="shared" si="118"/>
        <v>-79</v>
      </c>
      <c r="C55" s="41">
        <f t="shared" si="119"/>
        <v>-67</v>
      </c>
      <c r="D55" s="267" t="str">
        <f t="shared" si="66"/>
        <v/>
      </c>
      <c r="E55" s="2428" t="str">
        <f t="shared" si="67"/>
        <v/>
      </c>
      <c r="F55" s="2398" t="str">
        <f t="shared" si="68"/>
        <v/>
      </c>
      <c r="G55" s="2398" t="str">
        <f t="shared" si="69"/>
        <v/>
      </c>
      <c r="H55" s="2398" t="str">
        <f t="shared" si="70"/>
        <v/>
      </c>
      <c r="I55" s="2431" t="str">
        <f t="shared" si="71"/>
        <v/>
      </c>
      <c r="J55" s="2398" t="str">
        <f t="shared" si="72"/>
        <v/>
      </c>
      <c r="K55" s="2398" t="str">
        <f t="shared" si="73"/>
        <v/>
      </c>
      <c r="L55" s="2432" t="str">
        <f t="shared" si="74"/>
        <v/>
      </c>
      <c r="M55" s="2398" t="str">
        <f t="shared" si="75"/>
        <v/>
      </c>
      <c r="N55" s="2398" t="str">
        <f t="shared" si="76"/>
        <v/>
      </c>
      <c r="O55" s="2398" t="str">
        <f t="shared" si="77"/>
        <v/>
      </c>
      <c r="P55" s="2398" t="str">
        <f t="shared" si="78"/>
        <v/>
      </c>
      <c r="Q55" s="2453"/>
      <c r="R55" s="2448" t="str">
        <f t="shared" si="79"/>
        <v/>
      </c>
      <c r="S55" s="2448" t="str">
        <f t="shared" si="80"/>
        <v/>
      </c>
      <c r="T55" s="2448" t="str">
        <f t="shared" si="81"/>
        <v/>
      </c>
      <c r="U55" s="2448" t="str">
        <f t="shared" si="82"/>
        <v/>
      </c>
      <c r="V55" s="2448" t="str">
        <f t="shared" si="83"/>
        <v/>
      </c>
      <c r="W55" s="2449" t="str">
        <f t="shared" si="84"/>
        <v/>
      </c>
      <c r="X55" s="2479" t="str" cm="1">
        <f t="array" ref="X55">IFERROR(HLOOKUP(CoStar_DataSet_Inventory_2A,CoStar_Inventory_Array,$A55,FALSE),"-")</f>
        <v/>
      </c>
      <c r="Y55" s="2448" t="str">
        <f t="shared" si="85"/>
        <v/>
      </c>
      <c r="Z55" s="2448" t="str">
        <f t="shared" si="86"/>
        <v/>
      </c>
      <c r="AA55" s="2448" t="str">
        <f t="shared" si="87"/>
        <v/>
      </c>
      <c r="AB55" s="2448" t="str">
        <f t="shared" si="88"/>
        <v/>
      </c>
      <c r="AC55" s="2448" t="str">
        <f t="shared" si="89"/>
        <v/>
      </c>
      <c r="AD55" s="41">
        <f t="shared" si="120"/>
        <v>-79</v>
      </c>
      <c r="AE55" s="267" t="str">
        <f t="shared" si="90"/>
        <v/>
      </c>
      <c r="AF55" s="2398" t="str">
        <f t="shared" si="91"/>
        <v/>
      </c>
      <c r="AG55" s="2398" t="str">
        <f t="shared" si="92"/>
        <v/>
      </c>
      <c r="AH55" s="2398" t="str">
        <f t="shared" si="93"/>
        <v/>
      </c>
      <c r="AI55" s="2398" t="str">
        <f t="shared" si="94"/>
        <v/>
      </c>
      <c r="AJ55" s="2398" t="str">
        <f t="shared" si="95"/>
        <v/>
      </c>
      <c r="AK55" s="2398" t="str">
        <f t="shared" si="96"/>
        <v/>
      </c>
      <c r="AL55" s="2398" t="str">
        <f t="shared" si="97"/>
        <v/>
      </c>
      <c r="AM55" s="2398" t="str">
        <f t="shared" si="98"/>
        <v/>
      </c>
      <c r="AN55" s="2399" t="str">
        <f t="shared" si="121"/>
        <v/>
      </c>
      <c r="AO55" s="2399" t="str">
        <f t="shared" si="122"/>
        <v/>
      </c>
      <c r="AP55" s="2399" t="str">
        <f t="shared" si="123"/>
        <v/>
      </c>
      <c r="AQ55" s="2399" t="str">
        <f t="shared" si="124"/>
        <v/>
      </c>
      <c r="AR55" s="2474"/>
      <c r="AS55" s="2479" t="str">
        <f t="shared" si="99"/>
        <v/>
      </c>
      <c r="AT55" s="2448"/>
      <c r="AU55" s="2475" t="str">
        <f t="shared" si="100"/>
        <v/>
      </c>
      <c r="AV55" s="2448" t="str">
        <f t="shared" si="101"/>
        <v/>
      </c>
      <c r="AW55" s="2448"/>
      <c r="AX55" s="2476" t="str">
        <f t="shared" si="102"/>
        <v/>
      </c>
      <c r="AY55" s="2479" t="str">
        <f t="shared" si="103"/>
        <v/>
      </c>
      <c r="AZ55" s="2448" t="str">
        <f t="shared" si="104"/>
        <v/>
      </c>
      <c r="BA55" s="2475" t="str">
        <f t="shared" si="105"/>
        <v/>
      </c>
      <c r="BB55" s="2448" t="str">
        <f t="shared" si="106"/>
        <v/>
      </c>
      <c r="BC55" s="2448" t="str">
        <f t="shared" si="107"/>
        <v/>
      </c>
      <c r="BD55" s="2476" t="str">
        <f t="shared" si="108"/>
        <v/>
      </c>
      <c r="BE55" s="41">
        <f t="shared" si="125"/>
        <v>-24</v>
      </c>
      <c r="BF55" s="267" t="str">
        <f t="shared" si="109"/>
        <v/>
      </c>
      <c r="BG55" s="2400" t="str">
        <f t="shared" si="110"/>
        <v/>
      </c>
      <c r="BH55" s="2400" t="str">
        <f t="shared" si="111"/>
        <v/>
      </c>
      <c r="BI55" s="2400" t="str">
        <f t="shared" si="112"/>
        <v/>
      </c>
      <c r="BJ55" s="2400" t="str">
        <f t="shared" si="113"/>
        <v/>
      </c>
      <c r="BK55" s="2425"/>
      <c r="BL55" s="2465" t="str">
        <f t="shared" si="114"/>
        <v/>
      </c>
      <c r="BM55" s="2466" t="str">
        <f t="shared" si="115"/>
        <v/>
      </c>
      <c r="BN55" s="2465" t="str">
        <f t="shared" si="116"/>
        <v/>
      </c>
      <c r="BO55" s="2466" t="str">
        <f t="shared" si="117"/>
        <v/>
      </c>
    </row>
    <row r="56" spans="1:67" x14ac:dyDescent="0.25">
      <c r="A56" s="2397">
        <f t="shared" si="64"/>
        <v>54</v>
      </c>
      <c r="B56" s="41">
        <f t="shared" si="118"/>
        <v>-81</v>
      </c>
      <c r="C56" s="41">
        <f t="shared" si="119"/>
        <v>-69</v>
      </c>
      <c r="D56" s="267" t="str">
        <f t="shared" si="66"/>
        <v/>
      </c>
      <c r="E56" s="2428" t="str">
        <f t="shared" si="67"/>
        <v/>
      </c>
      <c r="F56" s="2398" t="str">
        <f t="shared" si="68"/>
        <v/>
      </c>
      <c r="G56" s="2398" t="str">
        <f t="shared" si="69"/>
        <v/>
      </c>
      <c r="H56" s="2398" t="str">
        <f t="shared" si="70"/>
        <v/>
      </c>
      <c r="I56" s="2431" t="str">
        <f t="shared" si="71"/>
        <v/>
      </c>
      <c r="J56" s="2398" t="str">
        <f t="shared" si="72"/>
        <v/>
      </c>
      <c r="K56" s="2398" t="str">
        <f t="shared" si="73"/>
        <v/>
      </c>
      <c r="L56" s="2432" t="str">
        <f t="shared" si="74"/>
        <v/>
      </c>
      <c r="M56" s="2398" t="str">
        <f t="shared" si="75"/>
        <v/>
      </c>
      <c r="N56" s="2398" t="str">
        <f t="shared" si="76"/>
        <v/>
      </c>
      <c r="O56" s="2398" t="str">
        <f t="shared" si="77"/>
        <v/>
      </c>
      <c r="P56" s="2398" t="str">
        <f t="shared" si="78"/>
        <v/>
      </c>
      <c r="Q56" s="2453"/>
      <c r="R56" s="2448" t="str">
        <f t="shared" si="79"/>
        <v/>
      </c>
      <c r="S56" s="2448" t="str">
        <f t="shared" si="80"/>
        <v/>
      </c>
      <c r="T56" s="2448" t="str">
        <f t="shared" si="81"/>
        <v/>
      </c>
      <c r="U56" s="2448" t="str">
        <f t="shared" si="82"/>
        <v/>
      </c>
      <c r="V56" s="2448" t="str">
        <f t="shared" si="83"/>
        <v/>
      </c>
      <c r="W56" s="2449" t="str">
        <f t="shared" si="84"/>
        <v/>
      </c>
      <c r="X56" s="2479" t="str" cm="1">
        <f t="array" ref="X56">IFERROR(HLOOKUP(CoStar_DataSet_Inventory_2A,CoStar_Inventory_Array,$A56,FALSE),"-")</f>
        <v/>
      </c>
      <c r="Y56" s="2448" t="str">
        <f t="shared" si="85"/>
        <v/>
      </c>
      <c r="Z56" s="2448" t="str">
        <f t="shared" si="86"/>
        <v/>
      </c>
      <c r="AA56" s="2448" t="str">
        <f t="shared" si="87"/>
        <v/>
      </c>
      <c r="AB56" s="2448" t="str">
        <f t="shared" si="88"/>
        <v/>
      </c>
      <c r="AC56" s="2448" t="str">
        <f t="shared" si="89"/>
        <v/>
      </c>
      <c r="AD56" s="41">
        <f t="shared" si="120"/>
        <v>-81</v>
      </c>
      <c r="AE56" s="267" t="str">
        <f t="shared" si="90"/>
        <v/>
      </c>
      <c r="AF56" s="2398" t="str">
        <f t="shared" si="91"/>
        <v/>
      </c>
      <c r="AG56" s="2398" t="str">
        <f t="shared" si="92"/>
        <v/>
      </c>
      <c r="AH56" s="2398" t="str">
        <f t="shared" si="93"/>
        <v/>
      </c>
      <c r="AI56" s="2398" t="str">
        <f t="shared" si="94"/>
        <v/>
      </c>
      <c r="AJ56" s="2398" t="str">
        <f t="shared" si="95"/>
        <v/>
      </c>
      <c r="AK56" s="2398" t="str">
        <f t="shared" si="96"/>
        <v/>
      </c>
      <c r="AL56" s="2398" t="str">
        <f t="shared" si="97"/>
        <v/>
      </c>
      <c r="AM56" s="2398" t="str">
        <f t="shared" si="98"/>
        <v/>
      </c>
      <c r="AN56" s="2399" t="str">
        <f t="shared" si="121"/>
        <v/>
      </c>
      <c r="AO56" s="2399" t="str">
        <f t="shared" si="122"/>
        <v/>
      </c>
      <c r="AP56" s="2399" t="str">
        <f t="shared" si="123"/>
        <v/>
      </c>
      <c r="AQ56" s="2399" t="str">
        <f t="shared" si="124"/>
        <v/>
      </c>
      <c r="AR56" s="2474"/>
      <c r="AS56" s="2479" t="str">
        <f t="shared" si="99"/>
        <v/>
      </c>
      <c r="AT56" s="2448"/>
      <c r="AU56" s="2475" t="str">
        <f t="shared" si="100"/>
        <v/>
      </c>
      <c r="AV56" s="2448" t="str">
        <f t="shared" si="101"/>
        <v/>
      </c>
      <c r="AW56" s="2448"/>
      <c r="AX56" s="2476" t="str">
        <f t="shared" si="102"/>
        <v/>
      </c>
      <c r="AY56" s="2479" t="str">
        <f t="shared" si="103"/>
        <v/>
      </c>
      <c r="AZ56" s="2448" t="str">
        <f t="shared" si="104"/>
        <v/>
      </c>
      <c r="BA56" s="2475" t="str">
        <f t="shared" si="105"/>
        <v/>
      </c>
      <c r="BB56" s="2448" t="str">
        <f t="shared" si="106"/>
        <v/>
      </c>
      <c r="BC56" s="2448" t="str">
        <f t="shared" si="107"/>
        <v/>
      </c>
      <c r="BD56" s="2476" t="str">
        <f t="shared" si="108"/>
        <v/>
      </c>
      <c r="BE56" s="41">
        <f t="shared" si="125"/>
        <v>-25</v>
      </c>
      <c r="BF56" s="267" t="str">
        <f t="shared" si="109"/>
        <v/>
      </c>
      <c r="BG56" s="2400" t="str">
        <f t="shared" si="110"/>
        <v/>
      </c>
      <c r="BH56" s="2400" t="str">
        <f t="shared" si="111"/>
        <v/>
      </c>
      <c r="BI56" s="2400" t="str">
        <f t="shared" si="112"/>
        <v/>
      </c>
      <c r="BJ56" s="2400" t="str">
        <f t="shared" si="113"/>
        <v/>
      </c>
      <c r="BK56" s="2425"/>
      <c r="BL56" s="2465" t="str">
        <f t="shared" si="114"/>
        <v/>
      </c>
      <c r="BM56" s="2466" t="str">
        <f t="shared" si="115"/>
        <v/>
      </c>
      <c r="BN56" s="2465" t="str">
        <f t="shared" si="116"/>
        <v/>
      </c>
      <c r="BO56" s="2466" t="str">
        <f t="shared" si="117"/>
        <v/>
      </c>
    </row>
    <row r="57" spans="1:67" x14ac:dyDescent="0.25">
      <c r="A57" s="2397">
        <f t="shared" si="64"/>
        <v>55</v>
      </c>
      <c r="B57" s="41">
        <f t="shared" si="118"/>
        <v>-83</v>
      </c>
      <c r="C57" s="41">
        <f t="shared" si="119"/>
        <v>-71</v>
      </c>
      <c r="D57" s="267" t="str">
        <f t="shared" si="66"/>
        <v/>
      </c>
      <c r="E57" s="2428" t="str">
        <f t="shared" si="67"/>
        <v/>
      </c>
      <c r="F57" s="2398" t="str">
        <f t="shared" si="68"/>
        <v/>
      </c>
      <c r="G57" s="2398" t="str">
        <f t="shared" si="69"/>
        <v/>
      </c>
      <c r="H57" s="2398" t="str">
        <f t="shared" si="70"/>
        <v/>
      </c>
      <c r="I57" s="2431" t="str">
        <f t="shared" si="71"/>
        <v/>
      </c>
      <c r="J57" s="2398" t="str">
        <f t="shared" si="72"/>
        <v/>
      </c>
      <c r="K57" s="2398" t="str">
        <f t="shared" si="73"/>
        <v/>
      </c>
      <c r="L57" s="2432" t="str">
        <f t="shared" si="74"/>
        <v/>
      </c>
      <c r="M57" s="2398" t="str">
        <f t="shared" si="75"/>
        <v/>
      </c>
      <c r="N57" s="2398" t="str">
        <f t="shared" si="76"/>
        <v/>
      </c>
      <c r="O57" s="2398" t="str">
        <f t="shared" si="77"/>
        <v/>
      </c>
      <c r="P57" s="2398" t="str">
        <f t="shared" si="78"/>
        <v/>
      </c>
      <c r="Q57" s="2453"/>
      <c r="R57" s="2448" t="str">
        <f t="shared" si="79"/>
        <v/>
      </c>
      <c r="S57" s="2448" t="str">
        <f t="shared" si="80"/>
        <v/>
      </c>
      <c r="T57" s="2448" t="str">
        <f t="shared" si="81"/>
        <v/>
      </c>
      <c r="U57" s="2448" t="str">
        <f t="shared" si="82"/>
        <v/>
      </c>
      <c r="V57" s="2448" t="str">
        <f t="shared" si="83"/>
        <v/>
      </c>
      <c r="W57" s="2449" t="str">
        <f t="shared" si="84"/>
        <v/>
      </c>
      <c r="X57" s="2479" t="str" cm="1">
        <f t="array" ref="X57">IFERROR(HLOOKUP(CoStar_DataSet_Inventory_2A,CoStar_Inventory_Array,$A57,FALSE),"-")</f>
        <v/>
      </c>
      <c r="Y57" s="2448" t="str">
        <f t="shared" si="85"/>
        <v/>
      </c>
      <c r="Z57" s="2448" t="str">
        <f t="shared" si="86"/>
        <v/>
      </c>
      <c r="AA57" s="2448" t="str">
        <f t="shared" si="87"/>
        <v/>
      </c>
      <c r="AB57" s="2448" t="str">
        <f t="shared" si="88"/>
        <v/>
      </c>
      <c r="AC57" s="2448" t="str">
        <f t="shared" si="89"/>
        <v/>
      </c>
      <c r="AD57" s="41">
        <f t="shared" si="120"/>
        <v>-83</v>
      </c>
      <c r="AE57" s="267" t="str">
        <f t="shared" si="90"/>
        <v/>
      </c>
      <c r="AF57" s="2398" t="str">
        <f t="shared" si="91"/>
        <v/>
      </c>
      <c r="AG57" s="2398" t="str">
        <f t="shared" si="92"/>
        <v/>
      </c>
      <c r="AH57" s="2398" t="str">
        <f t="shared" si="93"/>
        <v/>
      </c>
      <c r="AI57" s="2398" t="str">
        <f t="shared" si="94"/>
        <v/>
      </c>
      <c r="AJ57" s="2398" t="str">
        <f t="shared" si="95"/>
        <v/>
      </c>
      <c r="AK57" s="2398" t="str">
        <f t="shared" si="96"/>
        <v/>
      </c>
      <c r="AL57" s="2398" t="str">
        <f t="shared" si="97"/>
        <v/>
      </c>
      <c r="AM57" s="2398" t="str">
        <f t="shared" si="98"/>
        <v/>
      </c>
      <c r="AN57" s="2399" t="str">
        <f t="shared" si="121"/>
        <v/>
      </c>
      <c r="AO57" s="2399" t="str">
        <f t="shared" si="122"/>
        <v/>
      </c>
      <c r="AP57" s="2399" t="str">
        <f t="shared" si="123"/>
        <v/>
      </c>
      <c r="AQ57" s="2399" t="str">
        <f t="shared" si="124"/>
        <v/>
      </c>
      <c r="AR57" s="2474"/>
      <c r="AS57" s="2479" t="str">
        <f t="shared" si="99"/>
        <v/>
      </c>
      <c r="AT57" s="2448"/>
      <c r="AU57" s="2475" t="str">
        <f t="shared" si="100"/>
        <v/>
      </c>
      <c r="AV57" s="2448" t="str">
        <f t="shared" si="101"/>
        <v/>
      </c>
      <c r="AW57" s="2448"/>
      <c r="AX57" s="2476" t="str">
        <f t="shared" si="102"/>
        <v/>
      </c>
      <c r="AY57" s="2479" t="str">
        <f t="shared" si="103"/>
        <v/>
      </c>
      <c r="AZ57" s="2448" t="str">
        <f t="shared" si="104"/>
        <v/>
      </c>
      <c r="BA57" s="2475" t="str">
        <f t="shared" si="105"/>
        <v/>
      </c>
      <c r="BB57" s="2448" t="str">
        <f t="shared" si="106"/>
        <v/>
      </c>
      <c r="BC57" s="2448" t="str">
        <f t="shared" si="107"/>
        <v/>
      </c>
      <c r="BD57" s="2476" t="str">
        <f t="shared" si="108"/>
        <v/>
      </c>
      <c r="BE57" s="41">
        <f t="shared" si="125"/>
        <v>-26</v>
      </c>
      <c r="BF57" s="267" t="str">
        <f t="shared" si="109"/>
        <v/>
      </c>
      <c r="BG57" s="2400" t="str">
        <f t="shared" si="110"/>
        <v/>
      </c>
      <c r="BH57" s="2400" t="str">
        <f t="shared" si="111"/>
        <v/>
      </c>
      <c r="BI57" s="2400" t="str">
        <f t="shared" si="112"/>
        <v/>
      </c>
      <c r="BJ57" s="2400" t="str">
        <f t="shared" si="113"/>
        <v/>
      </c>
      <c r="BK57" s="2425"/>
      <c r="BL57" s="2465" t="str">
        <f t="shared" si="114"/>
        <v/>
      </c>
      <c r="BM57" s="2466" t="str">
        <f t="shared" si="115"/>
        <v/>
      </c>
      <c r="BN57" s="2465" t="str">
        <f t="shared" si="116"/>
        <v/>
      </c>
      <c r="BO57" s="2466" t="str">
        <f t="shared" si="117"/>
        <v/>
      </c>
    </row>
    <row r="58" spans="1:67" x14ac:dyDescent="0.25">
      <c r="A58" s="2397">
        <f t="shared" si="64"/>
        <v>56</v>
      </c>
      <c r="B58" s="41">
        <f t="shared" si="118"/>
        <v>-85</v>
      </c>
      <c r="C58" s="41">
        <f t="shared" si="119"/>
        <v>-73</v>
      </c>
      <c r="D58" s="267" t="str">
        <f t="shared" si="66"/>
        <v/>
      </c>
      <c r="E58" s="2428" t="str">
        <f t="shared" si="67"/>
        <v/>
      </c>
      <c r="F58" s="2398" t="str">
        <f t="shared" si="68"/>
        <v/>
      </c>
      <c r="G58" s="2398" t="str">
        <f t="shared" si="69"/>
        <v/>
      </c>
      <c r="H58" s="2398" t="str">
        <f t="shared" si="70"/>
        <v/>
      </c>
      <c r="I58" s="2431" t="str">
        <f t="shared" si="71"/>
        <v/>
      </c>
      <c r="J58" s="2398" t="str">
        <f t="shared" si="72"/>
        <v/>
      </c>
      <c r="K58" s="2398" t="str">
        <f t="shared" si="73"/>
        <v/>
      </c>
      <c r="L58" s="2432" t="str">
        <f t="shared" si="74"/>
        <v/>
      </c>
      <c r="M58" s="2398" t="str">
        <f t="shared" si="75"/>
        <v/>
      </c>
      <c r="N58" s="2398" t="str">
        <f t="shared" si="76"/>
        <v/>
      </c>
      <c r="O58" s="2398" t="str">
        <f t="shared" si="77"/>
        <v/>
      </c>
      <c r="P58" s="2398" t="str">
        <f t="shared" si="78"/>
        <v/>
      </c>
      <c r="Q58" s="2453"/>
      <c r="R58" s="2448" t="str">
        <f t="shared" si="79"/>
        <v/>
      </c>
      <c r="S58" s="2448" t="str">
        <f t="shared" si="80"/>
        <v/>
      </c>
      <c r="T58" s="2448" t="str">
        <f t="shared" si="81"/>
        <v/>
      </c>
      <c r="U58" s="2448" t="str">
        <f t="shared" si="82"/>
        <v/>
      </c>
      <c r="V58" s="2448" t="str">
        <f t="shared" si="83"/>
        <v/>
      </c>
      <c r="W58" s="2449" t="str">
        <f t="shared" si="84"/>
        <v/>
      </c>
      <c r="X58" s="2479" t="str" cm="1">
        <f t="array" ref="X58">IFERROR(HLOOKUP(CoStar_DataSet_Inventory_2A,CoStar_Inventory_Array,$A58,FALSE),"-")</f>
        <v/>
      </c>
      <c r="Y58" s="2448" t="str">
        <f t="shared" si="85"/>
        <v/>
      </c>
      <c r="Z58" s="2448" t="str">
        <f t="shared" si="86"/>
        <v/>
      </c>
      <c r="AA58" s="2448" t="str">
        <f t="shared" si="87"/>
        <v/>
      </c>
      <c r="AB58" s="2448" t="str">
        <f t="shared" si="88"/>
        <v/>
      </c>
      <c r="AC58" s="2448" t="str">
        <f t="shared" si="89"/>
        <v/>
      </c>
      <c r="AD58" s="41">
        <f t="shared" si="120"/>
        <v>-85</v>
      </c>
      <c r="AE58" s="267" t="str">
        <f t="shared" si="90"/>
        <v/>
      </c>
      <c r="AF58" s="2398" t="str">
        <f t="shared" si="91"/>
        <v/>
      </c>
      <c r="AG58" s="2398" t="str">
        <f t="shared" si="92"/>
        <v/>
      </c>
      <c r="AH58" s="2398" t="str">
        <f t="shared" si="93"/>
        <v/>
      </c>
      <c r="AI58" s="2398" t="str">
        <f t="shared" si="94"/>
        <v/>
      </c>
      <c r="AJ58" s="2398" t="str">
        <f t="shared" si="95"/>
        <v/>
      </c>
      <c r="AK58" s="2398" t="str">
        <f t="shared" si="96"/>
        <v/>
      </c>
      <c r="AL58" s="2398" t="str">
        <f t="shared" si="97"/>
        <v/>
      </c>
      <c r="AM58" s="2398" t="str">
        <f t="shared" si="98"/>
        <v/>
      </c>
      <c r="AN58" s="2399" t="str">
        <f t="shared" si="121"/>
        <v/>
      </c>
      <c r="AO58" s="2399" t="str">
        <f t="shared" si="122"/>
        <v/>
      </c>
      <c r="AP58" s="2399" t="str">
        <f t="shared" si="123"/>
        <v/>
      </c>
      <c r="AQ58" s="2399" t="str">
        <f t="shared" si="124"/>
        <v/>
      </c>
      <c r="AR58" s="2474"/>
      <c r="AS58" s="2479" t="str">
        <f t="shared" si="99"/>
        <v/>
      </c>
      <c r="AT58" s="2448"/>
      <c r="AU58" s="2475" t="str">
        <f t="shared" si="100"/>
        <v/>
      </c>
      <c r="AV58" s="2448" t="str">
        <f t="shared" si="101"/>
        <v/>
      </c>
      <c r="AW58" s="2448"/>
      <c r="AX58" s="2476" t="str">
        <f t="shared" si="102"/>
        <v/>
      </c>
      <c r="AY58" s="2479" t="str">
        <f t="shared" si="103"/>
        <v/>
      </c>
      <c r="AZ58" s="2448" t="str">
        <f t="shared" si="104"/>
        <v/>
      </c>
      <c r="BA58" s="2475" t="str">
        <f t="shared" si="105"/>
        <v/>
      </c>
      <c r="BB58" s="2448" t="str">
        <f t="shared" si="106"/>
        <v/>
      </c>
      <c r="BC58" s="2448" t="str">
        <f t="shared" si="107"/>
        <v/>
      </c>
      <c r="BD58" s="2476" t="str">
        <f t="shared" si="108"/>
        <v/>
      </c>
      <c r="BE58" s="41">
        <f t="shared" si="125"/>
        <v>-27</v>
      </c>
      <c r="BF58" s="267" t="str">
        <f t="shared" si="109"/>
        <v/>
      </c>
      <c r="BG58" s="2400" t="str">
        <f t="shared" si="110"/>
        <v/>
      </c>
      <c r="BH58" s="2400" t="str">
        <f t="shared" si="111"/>
        <v/>
      </c>
      <c r="BI58" s="2400" t="str">
        <f t="shared" si="112"/>
        <v/>
      </c>
      <c r="BJ58" s="2400" t="str">
        <f t="shared" si="113"/>
        <v/>
      </c>
      <c r="BK58" s="2425"/>
      <c r="BL58" s="2465" t="str">
        <f t="shared" si="114"/>
        <v/>
      </c>
      <c r="BM58" s="2466" t="str">
        <f t="shared" si="115"/>
        <v/>
      </c>
      <c r="BN58" s="2465" t="str">
        <f t="shared" si="116"/>
        <v/>
      </c>
      <c r="BO58" s="2466" t="str">
        <f t="shared" si="117"/>
        <v/>
      </c>
    </row>
    <row r="59" spans="1:67" x14ac:dyDescent="0.25">
      <c r="A59" s="2397">
        <f t="shared" si="64"/>
        <v>57</v>
      </c>
      <c r="B59" s="41">
        <f t="shared" si="118"/>
        <v>-87</v>
      </c>
      <c r="C59" s="41">
        <f t="shared" si="119"/>
        <v>-75</v>
      </c>
      <c r="D59" s="267" t="str">
        <f t="shared" si="66"/>
        <v/>
      </c>
      <c r="E59" s="2428" t="str">
        <f t="shared" si="67"/>
        <v/>
      </c>
      <c r="F59" s="2398" t="str">
        <f t="shared" si="68"/>
        <v/>
      </c>
      <c r="G59" s="2398" t="str">
        <f t="shared" si="69"/>
        <v/>
      </c>
      <c r="H59" s="2398" t="str">
        <f t="shared" si="70"/>
        <v/>
      </c>
      <c r="I59" s="2431" t="str">
        <f t="shared" si="71"/>
        <v/>
      </c>
      <c r="J59" s="2398" t="str">
        <f t="shared" si="72"/>
        <v/>
      </c>
      <c r="K59" s="2398" t="str">
        <f t="shared" si="73"/>
        <v/>
      </c>
      <c r="L59" s="2432" t="str">
        <f t="shared" si="74"/>
        <v/>
      </c>
      <c r="M59" s="2398" t="str">
        <f t="shared" si="75"/>
        <v/>
      </c>
      <c r="N59" s="2398" t="str">
        <f t="shared" si="76"/>
        <v/>
      </c>
      <c r="O59" s="2398" t="str">
        <f t="shared" si="77"/>
        <v/>
      </c>
      <c r="P59" s="2398" t="str">
        <f t="shared" si="78"/>
        <v/>
      </c>
      <c r="Q59" s="2453"/>
      <c r="R59" s="2448" t="str">
        <f t="shared" si="79"/>
        <v/>
      </c>
      <c r="S59" s="2448" t="str">
        <f t="shared" si="80"/>
        <v/>
      </c>
      <c r="T59" s="2448" t="str">
        <f t="shared" si="81"/>
        <v/>
      </c>
      <c r="U59" s="2448" t="str">
        <f t="shared" si="82"/>
        <v/>
      </c>
      <c r="V59" s="2448" t="str">
        <f t="shared" si="83"/>
        <v/>
      </c>
      <c r="W59" s="2449" t="str">
        <f t="shared" si="84"/>
        <v/>
      </c>
      <c r="X59" s="2479" t="str" cm="1">
        <f t="array" ref="X59">IFERROR(HLOOKUP(CoStar_DataSet_Inventory_2A,CoStar_Inventory_Array,$A59,FALSE),"-")</f>
        <v/>
      </c>
      <c r="Y59" s="2448" t="str">
        <f t="shared" si="85"/>
        <v/>
      </c>
      <c r="Z59" s="2448" t="str">
        <f t="shared" si="86"/>
        <v/>
      </c>
      <c r="AA59" s="2448" t="str">
        <f t="shared" si="87"/>
        <v/>
      </c>
      <c r="AB59" s="2448" t="str">
        <f t="shared" si="88"/>
        <v/>
      </c>
      <c r="AC59" s="2448" t="str">
        <f t="shared" si="89"/>
        <v/>
      </c>
      <c r="AD59" s="41">
        <f t="shared" si="120"/>
        <v>-87</v>
      </c>
      <c r="AE59" s="267" t="str">
        <f t="shared" si="90"/>
        <v/>
      </c>
      <c r="AF59" s="2398" t="str">
        <f t="shared" si="91"/>
        <v/>
      </c>
      <c r="AG59" s="2398" t="str">
        <f t="shared" si="92"/>
        <v/>
      </c>
      <c r="AH59" s="2398" t="str">
        <f t="shared" si="93"/>
        <v/>
      </c>
      <c r="AI59" s="2398" t="str">
        <f t="shared" si="94"/>
        <v/>
      </c>
      <c r="AJ59" s="2398" t="str">
        <f t="shared" si="95"/>
        <v/>
      </c>
      <c r="AK59" s="2398" t="str">
        <f t="shared" si="96"/>
        <v/>
      </c>
      <c r="AL59" s="2398" t="str">
        <f t="shared" si="97"/>
        <v/>
      </c>
      <c r="AM59" s="2398" t="str">
        <f t="shared" si="98"/>
        <v/>
      </c>
      <c r="AN59" s="2399" t="str">
        <f t="shared" si="121"/>
        <v/>
      </c>
      <c r="AO59" s="2399" t="str">
        <f t="shared" si="122"/>
        <v/>
      </c>
      <c r="AP59" s="2399" t="str">
        <f t="shared" si="123"/>
        <v/>
      </c>
      <c r="AQ59" s="2399" t="str">
        <f t="shared" si="124"/>
        <v/>
      </c>
      <c r="AR59" s="2474"/>
      <c r="AS59" s="2479" t="str">
        <f t="shared" si="99"/>
        <v/>
      </c>
      <c r="AT59" s="2448"/>
      <c r="AU59" s="2475" t="str">
        <f t="shared" si="100"/>
        <v/>
      </c>
      <c r="AV59" s="2448" t="str">
        <f t="shared" si="101"/>
        <v/>
      </c>
      <c r="AW59" s="2448"/>
      <c r="AX59" s="2476" t="str">
        <f t="shared" si="102"/>
        <v/>
      </c>
      <c r="AY59" s="2479" t="str">
        <f t="shared" si="103"/>
        <v/>
      </c>
      <c r="AZ59" s="2448" t="str">
        <f t="shared" si="104"/>
        <v/>
      </c>
      <c r="BA59" s="2475" t="str">
        <f t="shared" si="105"/>
        <v/>
      </c>
      <c r="BB59" s="2448" t="str">
        <f t="shared" si="106"/>
        <v/>
      </c>
      <c r="BC59" s="2448" t="str">
        <f t="shared" si="107"/>
        <v/>
      </c>
      <c r="BD59" s="2476" t="str">
        <f t="shared" si="108"/>
        <v/>
      </c>
      <c r="BE59" s="41">
        <f t="shared" si="125"/>
        <v>-28</v>
      </c>
      <c r="BF59" s="267" t="str">
        <f t="shared" si="109"/>
        <v/>
      </c>
      <c r="BG59" s="2400" t="str">
        <f t="shared" si="110"/>
        <v/>
      </c>
      <c r="BH59" s="2400" t="str">
        <f t="shared" si="111"/>
        <v/>
      </c>
      <c r="BI59" s="2400" t="str">
        <f t="shared" si="112"/>
        <v/>
      </c>
      <c r="BJ59" s="2400" t="str">
        <f t="shared" si="113"/>
        <v/>
      </c>
      <c r="BK59" s="2425"/>
      <c r="BL59" s="2465" t="str">
        <f t="shared" si="114"/>
        <v/>
      </c>
      <c r="BM59" s="2466" t="str">
        <f t="shared" si="115"/>
        <v/>
      </c>
      <c r="BN59" s="2465" t="str">
        <f t="shared" si="116"/>
        <v/>
      </c>
      <c r="BO59" s="2466" t="str">
        <f t="shared" si="117"/>
        <v/>
      </c>
    </row>
    <row r="60" spans="1:67" x14ac:dyDescent="0.25">
      <c r="A60" s="2397">
        <f t="shared" si="64"/>
        <v>58</v>
      </c>
      <c r="B60" s="41">
        <f t="shared" si="118"/>
        <v>-89</v>
      </c>
      <c r="C60" s="41">
        <f t="shared" si="119"/>
        <v>-77</v>
      </c>
      <c r="D60" s="267" t="str">
        <f t="shared" si="66"/>
        <v/>
      </c>
      <c r="E60" s="2428" t="str">
        <f t="shared" si="67"/>
        <v/>
      </c>
      <c r="F60" s="2398" t="str">
        <f t="shared" si="68"/>
        <v/>
      </c>
      <c r="G60" s="2398" t="str">
        <f t="shared" si="69"/>
        <v/>
      </c>
      <c r="H60" s="2398" t="str">
        <f t="shared" si="70"/>
        <v/>
      </c>
      <c r="I60" s="2431" t="str">
        <f t="shared" si="71"/>
        <v/>
      </c>
      <c r="J60" s="2398" t="str">
        <f t="shared" si="72"/>
        <v/>
      </c>
      <c r="K60" s="2398" t="str">
        <f t="shared" si="73"/>
        <v/>
      </c>
      <c r="L60" s="2432" t="str">
        <f t="shared" si="74"/>
        <v/>
      </c>
      <c r="M60" s="2398" t="str">
        <f t="shared" si="75"/>
        <v/>
      </c>
      <c r="N60" s="2398" t="str">
        <f t="shared" si="76"/>
        <v/>
      </c>
      <c r="O60" s="2398" t="str">
        <f t="shared" si="77"/>
        <v/>
      </c>
      <c r="P60" s="2398" t="str">
        <f t="shared" si="78"/>
        <v/>
      </c>
      <c r="Q60" s="2453"/>
      <c r="R60" s="2448" t="str">
        <f t="shared" si="79"/>
        <v/>
      </c>
      <c r="S60" s="2448" t="str">
        <f t="shared" si="80"/>
        <v/>
      </c>
      <c r="T60" s="2448" t="str">
        <f t="shared" si="81"/>
        <v/>
      </c>
      <c r="U60" s="2448" t="str">
        <f t="shared" si="82"/>
        <v/>
      </c>
      <c r="V60" s="2448" t="str">
        <f t="shared" si="83"/>
        <v/>
      </c>
      <c r="W60" s="2449" t="str">
        <f t="shared" si="84"/>
        <v/>
      </c>
      <c r="X60" s="2479" t="str" cm="1">
        <f t="array" ref="X60">IFERROR(HLOOKUP(CoStar_DataSet_Inventory_2A,CoStar_Inventory_Array,$A60,FALSE),"-")</f>
        <v/>
      </c>
      <c r="Y60" s="2448" t="str">
        <f t="shared" si="85"/>
        <v/>
      </c>
      <c r="Z60" s="2448" t="str">
        <f t="shared" si="86"/>
        <v/>
      </c>
      <c r="AA60" s="2448" t="str">
        <f t="shared" si="87"/>
        <v/>
      </c>
      <c r="AB60" s="2448" t="str">
        <f t="shared" si="88"/>
        <v/>
      </c>
      <c r="AC60" s="2448" t="str">
        <f t="shared" si="89"/>
        <v/>
      </c>
      <c r="AD60" s="41">
        <f t="shared" si="120"/>
        <v>-89</v>
      </c>
      <c r="AE60" s="267" t="str">
        <f t="shared" si="90"/>
        <v/>
      </c>
      <c r="AF60" s="2398" t="str">
        <f t="shared" si="91"/>
        <v/>
      </c>
      <c r="AG60" s="2398" t="str">
        <f t="shared" si="92"/>
        <v/>
      </c>
      <c r="AH60" s="2398" t="str">
        <f t="shared" si="93"/>
        <v/>
      </c>
      <c r="AI60" s="2398" t="str">
        <f t="shared" si="94"/>
        <v/>
      </c>
      <c r="AJ60" s="2398" t="str">
        <f t="shared" si="95"/>
        <v/>
      </c>
      <c r="AK60" s="2398" t="str">
        <f t="shared" si="96"/>
        <v/>
      </c>
      <c r="AL60" s="2398" t="str">
        <f t="shared" si="97"/>
        <v/>
      </c>
      <c r="AM60" s="2398" t="str">
        <f t="shared" si="98"/>
        <v/>
      </c>
      <c r="AN60" s="2399" t="str">
        <f t="shared" si="121"/>
        <v/>
      </c>
      <c r="AO60" s="2399" t="str">
        <f t="shared" si="122"/>
        <v/>
      </c>
      <c r="AP60" s="2399" t="str">
        <f t="shared" si="123"/>
        <v/>
      </c>
      <c r="AQ60" s="2399" t="str">
        <f t="shared" si="124"/>
        <v/>
      </c>
      <c r="AR60" s="2474"/>
      <c r="AS60" s="2479" t="str">
        <f t="shared" si="99"/>
        <v/>
      </c>
      <c r="AT60" s="2448"/>
      <c r="AU60" s="2475" t="str">
        <f t="shared" si="100"/>
        <v/>
      </c>
      <c r="AV60" s="2448" t="str">
        <f t="shared" si="101"/>
        <v/>
      </c>
      <c r="AW60" s="2448"/>
      <c r="AX60" s="2476" t="str">
        <f t="shared" si="102"/>
        <v/>
      </c>
      <c r="AY60" s="2479" t="str">
        <f t="shared" si="103"/>
        <v/>
      </c>
      <c r="AZ60" s="2448" t="str">
        <f t="shared" si="104"/>
        <v/>
      </c>
      <c r="BA60" s="2475" t="str">
        <f t="shared" si="105"/>
        <v/>
      </c>
      <c r="BB60" s="2448" t="str">
        <f t="shared" si="106"/>
        <v/>
      </c>
      <c r="BC60" s="2448" t="str">
        <f t="shared" si="107"/>
        <v/>
      </c>
      <c r="BD60" s="2476" t="str">
        <f t="shared" si="108"/>
        <v/>
      </c>
      <c r="BE60" s="41">
        <f t="shared" si="125"/>
        <v>-29</v>
      </c>
      <c r="BF60" s="267" t="str">
        <f t="shared" si="109"/>
        <v/>
      </c>
      <c r="BG60" s="2400" t="str">
        <f t="shared" si="110"/>
        <v/>
      </c>
      <c r="BH60" s="2400" t="str">
        <f t="shared" si="111"/>
        <v/>
      </c>
      <c r="BI60" s="2400" t="str">
        <f t="shared" si="112"/>
        <v/>
      </c>
      <c r="BJ60" s="2400" t="str">
        <f t="shared" si="113"/>
        <v/>
      </c>
      <c r="BK60" s="2425"/>
      <c r="BL60" s="2465" t="str">
        <f t="shared" si="114"/>
        <v/>
      </c>
      <c r="BM60" s="2466" t="str">
        <f t="shared" si="115"/>
        <v/>
      </c>
      <c r="BN60" s="2465" t="str">
        <f t="shared" si="116"/>
        <v/>
      </c>
      <c r="BO60" s="2466" t="str">
        <f t="shared" si="117"/>
        <v/>
      </c>
    </row>
    <row r="61" spans="1:67" x14ac:dyDescent="0.25">
      <c r="A61" s="2397">
        <f t="shared" si="64"/>
        <v>59</v>
      </c>
      <c r="B61" s="41">
        <f t="shared" si="118"/>
        <v>-91</v>
      </c>
      <c r="C61" s="41">
        <f t="shared" si="119"/>
        <v>-79</v>
      </c>
      <c r="D61" s="267" t="str">
        <f t="shared" si="66"/>
        <v/>
      </c>
      <c r="E61" s="2428" t="str">
        <f t="shared" si="67"/>
        <v/>
      </c>
      <c r="F61" s="2398" t="str">
        <f t="shared" si="68"/>
        <v/>
      </c>
      <c r="G61" s="2398" t="str">
        <f t="shared" si="69"/>
        <v/>
      </c>
      <c r="H61" s="2398" t="str">
        <f t="shared" si="70"/>
        <v/>
      </c>
      <c r="I61" s="2431" t="str">
        <f t="shared" si="71"/>
        <v/>
      </c>
      <c r="J61" s="2398" t="str">
        <f t="shared" si="72"/>
        <v/>
      </c>
      <c r="K61" s="2398" t="str">
        <f t="shared" si="73"/>
        <v/>
      </c>
      <c r="L61" s="2432" t="str">
        <f t="shared" si="74"/>
        <v/>
      </c>
      <c r="M61" s="2398" t="str">
        <f t="shared" si="75"/>
        <v/>
      </c>
      <c r="N61" s="2398" t="str">
        <f t="shared" si="76"/>
        <v/>
      </c>
      <c r="O61" s="2398" t="str">
        <f t="shared" si="77"/>
        <v/>
      </c>
      <c r="P61" s="2398" t="str">
        <f t="shared" si="78"/>
        <v/>
      </c>
      <c r="Q61" s="2453"/>
      <c r="R61" s="2448" t="str">
        <f t="shared" si="79"/>
        <v/>
      </c>
      <c r="S61" s="2448" t="str">
        <f t="shared" si="80"/>
        <v/>
      </c>
      <c r="T61" s="2448" t="str">
        <f t="shared" si="81"/>
        <v/>
      </c>
      <c r="U61" s="2448" t="str">
        <f t="shared" si="82"/>
        <v/>
      </c>
      <c r="V61" s="2448" t="str">
        <f t="shared" si="83"/>
        <v/>
      </c>
      <c r="W61" s="2449" t="str">
        <f t="shared" si="84"/>
        <v/>
      </c>
      <c r="X61" s="2479" t="str" cm="1">
        <f t="array" ref="X61">IFERROR(HLOOKUP(CoStar_DataSet_Inventory_2A,CoStar_Inventory_Array,$A61,FALSE),"-")</f>
        <v/>
      </c>
      <c r="Y61" s="2448" t="str">
        <f t="shared" si="85"/>
        <v/>
      </c>
      <c r="Z61" s="2448" t="str">
        <f t="shared" si="86"/>
        <v/>
      </c>
      <c r="AA61" s="2448" t="str">
        <f t="shared" si="87"/>
        <v/>
      </c>
      <c r="AB61" s="2448" t="str">
        <f t="shared" si="88"/>
        <v/>
      </c>
      <c r="AC61" s="2448" t="str">
        <f t="shared" si="89"/>
        <v/>
      </c>
      <c r="AD61" s="41">
        <f t="shared" si="120"/>
        <v>-91</v>
      </c>
      <c r="AE61" s="267" t="str">
        <f t="shared" si="90"/>
        <v/>
      </c>
      <c r="AF61" s="2398" t="str">
        <f t="shared" si="91"/>
        <v/>
      </c>
      <c r="AG61" s="2398" t="str">
        <f t="shared" si="92"/>
        <v/>
      </c>
      <c r="AH61" s="2398" t="str">
        <f t="shared" si="93"/>
        <v/>
      </c>
      <c r="AI61" s="2398" t="str">
        <f t="shared" si="94"/>
        <v/>
      </c>
      <c r="AJ61" s="2398" t="str">
        <f t="shared" si="95"/>
        <v/>
      </c>
      <c r="AK61" s="2398" t="str">
        <f t="shared" si="96"/>
        <v/>
      </c>
      <c r="AL61" s="2398" t="str">
        <f t="shared" si="97"/>
        <v/>
      </c>
      <c r="AM61" s="2398" t="str">
        <f t="shared" si="98"/>
        <v/>
      </c>
      <c r="AN61" s="2399" t="str">
        <f t="shared" si="121"/>
        <v/>
      </c>
      <c r="AO61" s="2399" t="str">
        <f t="shared" si="122"/>
        <v/>
      </c>
      <c r="AP61" s="2399" t="str">
        <f t="shared" si="123"/>
        <v/>
      </c>
      <c r="AQ61" s="2399" t="str">
        <f t="shared" si="124"/>
        <v/>
      </c>
      <c r="AR61" s="2474"/>
      <c r="AS61" s="2479" t="str">
        <f t="shared" si="99"/>
        <v/>
      </c>
      <c r="AT61" s="2448"/>
      <c r="AU61" s="2475" t="str">
        <f t="shared" si="100"/>
        <v/>
      </c>
      <c r="AV61" s="2448" t="str">
        <f t="shared" si="101"/>
        <v/>
      </c>
      <c r="AW61" s="2448"/>
      <c r="AX61" s="2476" t="str">
        <f t="shared" si="102"/>
        <v/>
      </c>
      <c r="AY61" s="2479" t="str">
        <f t="shared" si="103"/>
        <v/>
      </c>
      <c r="AZ61" s="2448" t="str">
        <f t="shared" si="104"/>
        <v/>
      </c>
      <c r="BA61" s="2475" t="str">
        <f t="shared" si="105"/>
        <v/>
      </c>
      <c r="BB61" s="2448" t="str">
        <f t="shared" si="106"/>
        <v/>
      </c>
      <c r="BC61" s="2448" t="str">
        <f t="shared" si="107"/>
        <v/>
      </c>
      <c r="BD61" s="2476" t="str">
        <f t="shared" si="108"/>
        <v/>
      </c>
      <c r="BE61" s="41">
        <f t="shared" si="125"/>
        <v>-30</v>
      </c>
      <c r="BF61" s="267" t="str">
        <f t="shared" si="109"/>
        <v/>
      </c>
      <c r="BG61" s="2400" t="str">
        <f t="shared" si="110"/>
        <v/>
      </c>
      <c r="BH61" s="2400" t="str">
        <f t="shared" si="111"/>
        <v/>
      </c>
      <c r="BI61" s="2400" t="str">
        <f t="shared" si="112"/>
        <v/>
      </c>
      <c r="BJ61" s="2400" t="str">
        <f t="shared" si="113"/>
        <v/>
      </c>
      <c r="BK61" s="2425"/>
      <c r="BL61" s="2465" t="str">
        <f t="shared" si="114"/>
        <v/>
      </c>
      <c r="BM61" s="2466" t="str">
        <f t="shared" si="115"/>
        <v/>
      </c>
      <c r="BN61" s="2465" t="str">
        <f t="shared" si="116"/>
        <v/>
      </c>
      <c r="BO61" s="2466" t="str">
        <f t="shared" si="117"/>
        <v/>
      </c>
    </row>
    <row r="62" spans="1:67" x14ac:dyDescent="0.25">
      <c r="A62" s="2397">
        <f t="shared" si="64"/>
        <v>60</v>
      </c>
      <c r="B62" s="41">
        <f t="shared" si="118"/>
        <v>-93</v>
      </c>
      <c r="C62" s="41">
        <f t="shared" si="119"/>
        <v>-81</v>
      </c>
      <c r="D62" s="267" t="str">
        <f t="shared" si="66"/>
        <v/>
      </c>
      <c r="E62" s="2428" t="str">
        <f t="shared" si="67"/>
        <v/>
      </c>
      <c r="F62" s="2398" t="str">
        <f t="shared" si="68"/>
        <v/>
      </c>
      <c r="G62" s="2398" t="str">
        <f t="shared" si="69"/>
        <v/>
      </c>
      <c r="H62" s="2398" t="str">
        <f t="shared" si="70"/>
        <v/>
      </c>
      <c r="I62" s="2431" t="str">
        <f t="shared" si="71"/>
        <v/>
      </c>
      <c r="J62" s="2398" t="str">
        <f t="shared" si="72"/>
        <v/>
      </c>
      <c r="K62" s="2398" t="str">
        <f t="shared" si="73"/>
        <v/>
      </c>
      <c r="L62" s="2432" t="str">
        <f t="shared" si="74"/>
        <v/>
      </c>
      <c r="M62" s="2398" t="str">
        <f t="shared" si="75"/>
        <v/>
      </c>
      <c r="N62" s="2398" t="str">
        <f t="shared" si="76"/>
        <v/>
      </c>
      <c r="O62" s="2398" t="str">
        <f t="shared" si="77"/>
        <v/>
      </c>
      <c r="P62" s="2398" t="str">
        <f t="shared" si="78"/>
        <v/>
      </c>
      <c r="Q62" s="2453"/>
      <c r="R62" s="2448" t="str">
        <f t="shared" si="79"/>
        <v/>
      </c>
      <c r="S62" s="2448" t="str">
        <f t="shared" si="80"/>
        <v/>
      </c>
      <c r="T62" s="2448" t="str">
        <f t="shared" si="81"/>
        <v/>
      </c>
      <c r="U62" s="2448" t="str">
        <f t="shared" si="82"/>
        <v/>
      </c>
      <c r="V62" s="2448" t="str">
        <f t="shared" si="83"/>
        <v/>
      </c>
      <c r="W62" s="2449" t="str">
        <f t="shared" si="84"/>
        <v/>
      </c>
      <c r="X62" s="2479" t="str" cm="1">
        <f t="array" ref="X62">IFERROR(HLOOKUP(CoStar_DataSet_Inventory_2A,CoStar_Inventory_Array,$A62,FALSE),"-")</f>
        <v/>
      </c>
      <c r="Y62" s="2448" t="str">
        <f t="shared" si="85"/>
        <v/>
      </c>
      <c r="Z62" s="2448" t="str">
        <f t="shared" si="86"/>
        <v/>
      </c>
      <c r="AA62" s="2448" t="str">
        <f t="shared" si="87"/>
        <v/>
      </c>
      <c r="AB62" s="2448" t="str">
        <f t="shared" si="88"/>
        <v/>
      </c>
      <c r="AC62" s="2448" t="str">
        <f t="shared" si="89"/>
        <v/>
      </c>
      <c r="AD62" s="41">
        <f t="shared" si="120"/>
        <v>-93</v>
      </c>
      <c r="AE62" s="267" t="str">
        <f t="shared" si="90"/>
        <v/>
      </c>
      <c r="AF62" s="2398" t="str">
        <f t="shared" si="91"/>
        <v/>
      </c>
      <c r="AG62" s="2398" t="str">
        <f t="shared" si="92"/>
        <v/>
      </c>
      <c r="AH62" s="2398" t="str">
        <f t="shared" si="93"/>
        <v/>
      </c>
      <c r="AI62" s="2398" t="str">
        <f t="shared" si="94"/>
        <v/>
      </c>
      <c r="AJ62" s="2398" t="str">
        <f t="shared" si="95"/>
        <v/>
      </c>
      <c r="AK62" s="2398" t="str">
        <f t="shared" si="96"/>
        <v/>
      </c>
      <c r="AL62" s="2398" t="str">
        <f t="shared" si="97"/>
        <v/>
      </c>
      <c r="AM62" s="2398" t="str">
        <f t="shared" si="98"/>
        <v/>
      </c>
      <c r="AN62" s="2399" t="str">
        <f t="shared" si="121"/>
        <v/>
      </c>
      <c r="AO62" s="2399" t="str">
        <f t="shared" si="122"/>
        <v/>
      </c>
      <c r="AP62" s="2399" t="str">
        <f t="shared" si="123"/>
        <v/>
      </c>
      <c r="AQ62" s="2399" t="str">
        <f t="shared" si="124"/>
        <v/>
      </c>
      <c r="AR62" s="2474"/>
      <c r="AS62" s="2479" t="str">
        <f t="shared" si="99"/>
        <v/>
      </c>
      <c r="AT62" s="2448"/>
      <c r="AU62" s="2475" t="str">
        <f t="shared" si="100"/>
        <v/>
      </c>
      <c r="AV62" s="2448" t="str">
        <f t="shared" si="101"/>
        <v/>
      </c>
      <c r="AW62" s="2448"/>
      <c r="AX62" s="2476" t="str">
        <f t="shared" si="102"/>
        <v/>
      </c>
      <c r="AY62" s="2479" t="str">
        <f t="shared" si="103"/>
        <v/>
      </c>
      <c r="AZ62" s="2448" t="str">
        <f t="shared" si="104"/>
        <v/>
      </c>
      <c r="BA62" s="2475" t="str">
        <f t="shared" si="105"/>
        <v/>
      </c>
      <c r="BB62" s="2448" t="str">
        <f t="shared" si="106"/>
        <v/>
      </c>
      <c r="BC62" s="2448" t="str">
        <f t="shared" si="107"/>
        <v/>
      </c>
      <c r="BD62" s="2476" t="str">
        <f t="shared" si="108"/>
        <v/>
      </c>
      <c r="BE62" s="41">
        <f t="shared" si="125"/>
        <v>-31</v>
      </c>
      <c r="BF62" s="267" t="str">
        <f t="shared" si="109"/>
        <v/>
      </c>
      <c r="BG62" s="2400" t="str">
        <f t="shared" si="110"/>
        <v/>
      </c>
      <c r="BH62" s="2400" t="str">
        <f t="shared" si="111"/>
        <v/>
      </c>
      <c r="BI62" s="2400" t="str">
        <f t="shared" si="112"/>
        <v/>
      </c>
      <c r="BJ62" s="2400" t="str">
        <f t="shared" si="113"/>
        <v/>
      </c>
      <c r="BK62" s="2425"/>
      <c r="BL62" s="2465" t="str">
        <f t="shared" si="114"/>
        <v/>
      </c>
      <c r="BM62" s="2466" t="str">
        <f t="shared" si="115"/>
        <v/>
      </c>
      <c r="BN62" s="2465" t="str">
        <f t="shared" si="116"/>
        <v/>
      </c>
      <c r="BO62" s="2466" t="str">
        <f t="shared" si="117"/>
        <v/>
      </c>
    </row>
    <row r="63" spans="1:67" x14ac:dyDescent="0.25">
      <c r="A63" s="2397">
        <f t="shared" si="64"/>
        <v>61</v>
      </c>
      <c r="B63" s="41">
        <f t="shared" si="118"/>
        <v>-95</v>
      </c>
      <c r="C63" s="41">
        <f t="shared" si="119"/>
        <v>-83</v>
      </c>
      <c r="D63" s="267" t="str">
        <f t="shared" si="66"/>
        <v/>
      </c>
      <c r="E63" s="2428" t="str">
        <f t="shared" si="67"/>
        <v/>
      </c>
      <c r="F63" s="2398" t="str">
        <f t="shared" si="68"/>
        <v/>
      </c>
      <c r="G63" s="2398" t="str">
        <f t="shared" si="69"/>
        <v/>
      </c>
      <c r="H63" s="2398" t="str">
        <f t="shared" si="70"/>
        <v/>
      </c>
      <c r="I63" s="2431" t="str">
        <f t="shared" si="71"/>
        <v/>
      </c>
      <c r="J63" s="2398" t="str">
        <f t="shared" si="72"/>
        <v/>
      </c>
      <c r="K63" s="2398" t="str">
        <f t="shared" si="73"/>
        <v/>
      </c>
      <c r="L63" s="2432" t="str">
        <f t="shared" si="74"/>
        <v/>
      </c>
      <c r="M63" s="2398" t="str">
        <f t="shared" si="75"/>
        <v/>
      </c>
      <c r="N63" s="2398" t="str">
        <f t="shared" si="76"/>
        <v/>
      </c>
      <c r="O63" s="2398" t="str">
        <f t="shared" si="77"/>
        <v/>
      </c>
      <c r="P63" s="2398" t="str">
        <f t="shared" si="78"/>
        <v/>
      </c>
      <c r="Q63" s="2453"/>
      <c r="R63" s="2448" t="str">
        <f t="shared" si="79"/>
        <v/>
      </c>
      <c r="S63" s="2448" t="str">
        <f t="shared" si="80"/>
        <v/>
      </c>
      <c r="T63" s="2448" t="str">
        <f t="shared" si="81"/>
        <v/>
      </c>
      <c r="U63" s="2448" t="str">
        <f t="shared" si="82"/>
        <v/>
      </c>
      <c r="V63" s="2448" t="str">
        <f t="shared" si="83"/>
        <v/>
      </c>
      <c r="W63" s="2449" t="str">
        <f t="shared" si="84"/>
        <v/>
      </c>
      <c r="X63" s="2479" t="str" cm="1">
        <f t="array" ref="X63">IFERROR(HLOOKUP(CoStar_DataSet_Inventory_2A,CoStar_Inventory_Array,$A63,FALSE),"-")</f>
        <v/>
      </c>
      <c r="Y63" s="2448" t="str">
        <f t="shared" si="85"/>
        <v/>
      </c>
      <c r="Z63" s="2448" t="str">
        <f t="shared" si="86"/>
        <v/>
      </c>
      <c r="AA63" s="2448" t="str">
        <f t="shared" si="87"/>
        <v/>
      </c>
      <c r="AB63" s="2448" t="str">
        <f t="shared" si="88"/>
        <v/>
      </c>
      <c r="AC63" s="2448" t="str">
        <f t="shared" si="89"/>
        <v/>
      </c>
      <c r="AD63" s="41">
        <f t="shared" si="120"/>
        <v>-95</v>
      </c>
      <c r="AE63" s="267" t="str">
        <f t="shared" si="90"/>
        <v/>
      </c>
      <c r="AF63" s="2398" t="str">
        <f t="shared" si="91"/>
        <v/>
      </c>
      <c r="AG63" s="2398" t="str">
        <f t="shared" si="92"/>
        <v/>
      </c>
      <c r="AH63" s="2398" t="str">
        <f t="shared" si="93"/>
        <v/>
      </c>
      <c r="AI63" s="2398" t="str">
        <f t="shared" si="94"/>
        <v/>
      </c>
      <c r="AJ63" s="2398" t="str">
        <f t="shared" si="95"/>
        <v/>
      </c>
      <c r="AK63" s="2398" t="str">
        <f t="shared" si="96"/>
        <v/>
      </c>
      <c r="AL63" s="2398" t="str">
        <f t="shared" si="97"/>
        <v/>
      </c>
      <c r="AM63" s="2398" t="str">
        <f t="shared" si="98"/>
        <v/>
      </c>
      <c r="AN63" s="2399" t="str">
        <f t="shared" si="121"/>
        <v/>
      </c>
      <c r="AO63" s="2399" t="str">
        <f t="shared" si="122"/>
        <v/>
      </c>
      <c r="AP63" s="2399" t="str">
        <f t="shared" si="123"/>
        <v/>
      </c>
      <c r="AQ63" s="2399" t="str">
        <f t="shared" si="124"/>
        <v/>
      </c>
      <c r="AR63" s="2474"/>
      <c r="AS63" s="2479" t="str">
        <f t="shared" si="99"/>
        <v/>
      </c>
      <c r="AT63" s="2448"/>
      <c r="AU63" s="2475" t="str">
        <f t="shared" si="100"/>
        <v/>
      </c>
      <c r="AV63" s="2448" t="str">
        <f t="shared" si="101"/>
        <v/>
      </c>
      <c r="AW63" s="2448"/>
      <c r="AX63" s="2476" t="str">
        <f t="shared" si="102"/>
        <v/>
      </c>
      <c r="AY63" s="2479" t="str">
        <f t="shared" si="103"/>
        <v/>
      </c>
      <c r="AZ63" s="2448" t="str">
        <f t="shared" si="104"/>
        <v/>
      </c>
      <c r="BA63" s="2475" t="str">
        <f t="shared" si="105"/>
        <v/>
      </c>
      <c r="BB63" s="2448" t="str">
        <f t="shared" si="106"/>
        <v/>
      </c>
      <c r="BC63" s="2448" t="str">
        <f t="shared" si="107"/>
        <v/>
      </c>
      <c r="BD63" s="2476" t="str">
        <f t="shared" si="108"/>
        <v/>
      </c>
      <c r="BE63" s="41">
        <f t="shared" si="125"/>
        <v>-32</v>
      </c>
      <c r="BF63" s="267" t="str">
        <f t="shared" si="109"/>
        <v/>
      </c>
      <c r="BG63" s="2400" t="str">
        <f t="shared" si="110"/>
        <v/>
      </c>
      <c r="BH63" s="2400" t="str">
        <f t="shared" si="111"/>
        <v/>
      </c>
      <c r="BI63" s="2400" t="str">
        <f t="shared" si="112"/>
        <v/>
      </c>
      <c r="BJ63" s="2400" t="str">
        <f t="shared" si="113"/>
        <v/>
      </c>
      <c r="BK63" s="2425"/>
      <c r="BL63" s="2465" t="str">
        <f t="shared" si="114"/>
        <v/>
      </c>
      <c r="BM63" s="2466" t="str">
        <f t="shared" si="115"/>
        <v/>
      </c>
      <c r="BN63" s="2465" t="str">
        <f t="shared" si="116"/>
        <v/>
      </c>
      <c r="BO63" s="2466" t="str">
        <f t="shared" si="117"/>
        <v/>
      </c>
    </row>
    <row r="64" spans="1:67" x14ac:dyDescent="0.25">
      <c r="A64" s="2397">
        <f t="shared" si="64"/>
        <v>62</v>
      </c>
      <c r="B64" s="41">
        <f t="shared" si="118"/>
        <v>-97</v>
      </c>
      <c r="C64" s="41">
        <f t="shared" si="119"/>
        <v>-85</v>
      </c>
      <c r="D64" s="267" t="str">
        <f t="shared" si="66"/>
        <v/>
      </c>
      <c r="E64" s="2428" t="str">
        <f t="shared" si="67"/>
        <v/>
      </c>
      <c r="F64" s="2398" t="str">
        <f t="shared" si="68"/>
        <v/>
      </c>
      <c r="G64" s="2398" t="str">
        <f t="shared" si="69"/>
        <v/>
      </c>
      <c r="H64" s="2398" t="str">
        <f t="shared" si="70"/>
        <v/>
      </c>
      <c r="I64" s="2431" t="str">
        <f t="shared" si="71"/>
        <v/>
      </c>
      <c r="J64" s="2398" t="str">
        <f t="shared" si="72"/>
        <v/>
      </c>
      <c r="K64" s="2398" t="str">
        <f t="shared" si="73"/>
        <v/>
      </c>
      <c r="L64" s="2432" t="str">
        <f t="shared" si="74"/>
        <v/>
      </c>
      <c r="M64" s="2398" t="str">
        <f t="shared" si="75"/>
        <v/>
      </c>
      <c r="N64" s="2398" t="str">
        <f t="shared" si="76"/>
        <v/>
      </c>
      <c r="O64" s="2398" t="str">
        <f t="shared" si="77"/>
        <v/>
      </c>
      <c r="P64" s="2398" t="str">
        <f t="shared" si="78"/>
        <v/>
      </c>
      <c r="Q64" s="2453"/>
      <c r="R64" s="2448" t="str">
        <f t="shared" si="79"/>
        <v/>
      </c>
      <c r="S64" s="2448" t="str">
        <f t="shared" si="80"/>
        <v/>
      </c>
      <c r="T64" s="2448" t="str">
        <f t="shared" si="81"/>
        <v/>
      </c>
      <c r="U64" s="2448" t="str">
        <f t="shared" si="82"/>
        <v/>
      </c>
      <c r="V64" s="2448" t="str">
        <f t="shared" si="83"/>
        <v/>
      </c>
      <c r="W64" s="2449" t="str">
        <f t="shared" si="84"/>
        <v/>
      </c>
      <c r="X64" s="2479" t="str" cm="1">
        <f t="array" ref="X64">IFERROR(HLOOKUP(CoStar_DataSet_Inventory_2A,CoStar_Inventory_Array,$A64,FALSE),"-")</f>
        <v/>
      </c>
      <c r="Y64" s="2448" t="str">
        <f t="shared" si="85"/>
        <v/>
      </c>
      <c r="Z64" s="2448" t="str">
        <f t="shared" si="86"/>
        <v/>
      </c>
      <c r="AA64" s="2448" t="str">
        <f t="shared" si="87"/>
        <v/>
      </c>
      <c r="AB64" s="2448" t="str">
        <f t="shared" si="88"/>
        <v/>
      </c>
      <c r="AC64" s="2448" t="str">
        <f t="shared" si="89"/>
        <v/>
      </c>
      <c r="AD64" s="41">
        <f t="shared" si="120"/>
        <v>-97</v>
      </c>
      <c r="AE64" s="267" t="str">
        <f t="shared" si="90"/>
        <v/>
      </c>
      <c r="AF64" s="2398" t="str">
        <f t="shared" si="91"/>
        <v/>
      </c>
      <c r="AG64" s="2398" t="str">
        <f t="shared" si="92"/>
        <v/>
      </c>
      <c r="AH64" s="2398" t="str">
        <f t="shared" si="93"/>
        <v/>
      </c>
      <c r="AI64" s="2398" t="str">
        <f t="shared" si="94"/>
        <v/>
      </c>
      <c r="AJ64" s="2398" t="str">
        <f t="shared" si="95"/>
        <v/>
      </c>
      <c r="AK64" s="2398" t="str">
        <f t="shared" si="96"/>
        <v/>
      </c>
      <c r="AL64" s="2398" t="str">
        <f t="shared" si="97"/>
        <v/>
      </c>
      <c r="AM64" s="2398" t="str">
        <f t="shared" si="98"/>
        <v/>
      </c>
      <c r="AN64" s="2399" t="str">
        <f t="shared" si="121"/>
        <v/>
      </c>
      <c r="AO64" s="2399" t="str">
        <f t="shared" si="122"/>
        <v/>
      </c>
      <c r="AP64" s="2399" t="str">
        <f t="shared" si="123"/>
        <v/>
      </c>
      <c r="AQ64" s="2399" t="str">
        <f t="shared" si="124"/>
        <v/>
      </c>
      <c r="AR64" s="2474"/>
      <c r="AS64" s="2479" t="str">
        <f t="shared" si="99"/>
        <v/>
      </c>
      <c r="AT64" s="2448"/>
      <c r="AU64" s="2475" t="str">
        <f t="shared" si="100"/>
        <v/>
      </c>
      <c r="AV64" s="2448" t="str">
        <f t="shared" si="101"/>
        <v/>
      </c>
      <c r="AW64" s="2448"/>
      <c r="AX64" s="2476" t="str">
        <f t="shared" si="102"/>
        <v/>
      </c>
      <c r="AY64" s="2479" t="str">
        <f t="shared" si="103"/>
        <v/>
      </c>
      <c r="AZ64" s="2448" t="str">
        <f t="shared" si="104"/>
        <v/>
      </c>
      <c r="BA64" s="2475" t="str">
        <f t="shared" si="105"/>
        <v/>
      </c>
      <c r="BB64" s="2448" t="str">
        <f t="shared" si="106"/>
        <v/>
      </c>
      <c r="BC64" s="2448" t="str">
        <f t="shared" si="107"/>
        <v/>
      </c>
      <c r="BD64" s="2476" t="str">
        <f t="shared" si="108"/>
        <v/>
      </c>
      <c r="BE64" s="41">
        <f t="shared" si="125"/>
        <v>-33</v>
      </c>
      <c r="BF64" s="267" t="str">
        <f t="shared" si="109"/>
        <v/>
      </c>
      <c r="BG64" s="2400" t="str">
        <f t="shared" si="110"/>
        <v/>
      </c>
      <c r="BH64" s="2400" t="str">
        <f t="shared" si="111"/>
        <v/>
      </c>
      <c r="BI64" s="2400" t="str">
        <f t="shared" si="112"/>
        <v/>
      </c>
      <c r="BJ64" s="2400" t="str">
        <f t="shared" si="113"/>
        <v/>
      </c>
      <c r="BK64" s="2425"/>
      <c r="BL64" s="2465" t="str">
        <f t="shared" si="114"/>
        <v/>
      </c>
      <c r="BM64" s="2466" t="str">
        <f t="shared" si="115"/>
        <v/>
      </c>
      <c r="BN64" s="2465" t="str">
        <f t="shared" si="116"/>
        <v/>
      </c>
      <c r="BO64" s="2466" t="str">
        <f t="shared" si="117"/>
        <v/>
      </c>
    </row>
    <row r="65" spans="1:67" x14ac:dyDescent="0.25">
      <c r="A65" s="2397">
        <f t="shared" si="64"/>
        <v>63</v>
      </c>
      <c r="B65" s="41">
        <f t="shared" si="118"/>
        <v>-99</v>
      </c>
      <c r="C65" s="41">
        <f t="shared" si="119"/>
        <v>-87</v>
      </c>
      <c r="D65" s="267" t="str">
        <f t="shared" si="66"/>
        <v/>
      </c>
      <c r="E65" s="2428" t="str">
        <f t="shared" si="67"/>
        <v/>
      </c>
      <c r="F65" s="2398" t="str">
        <f t="shared" si="68"/>
        <v/>
      </c>
      <c r="G65" s="2398" t="str">
        <f t="shared" si="69"/>
        <v/>
      </c>
      <c r="H65" s="2398" t="str">
        <f t="shared" si="70"/>
        <v/>
      </c>
      <c r="I65" s="2431" t="str">
        <f t="shared" si="71"/>
        <v/>
      </c>
      <c r="J65" s="2398" t="str">
        <f t="shared" si="72"/>
        <v/>
      </c>
      <c r="K65" s="2398" t="str">
        <f t="shared" si="73"/>
        <v/>
      </c>
      <c r="L65" s="2432" t="str">
        <f t="shared" si="74"/>
        <v/>
      </c>
      <c r="M65" s="2398" t="str">
        <f t="shared" si="75"/>
        <v/>
      </c>
      <c r="N65" s="2398" t="str">
        <f t="shared" si="76"/>
        <v/>
      </c>
      <c r="O65" s="2398" t="str">
        <f t="shared" si="77"/>
        <v/>
      </c>
      <c r="P65" s="2398" t="str">
        <f t="shared" si="78"/>
        <v/>
      </c>
      <c r="Q65" s="2453"/>
      <c r="R65" s="2448" t="str">
        <f t="shared" si="79"/>
        <v/>
      </c>
      <c r="S65" s="2448" t="str">
        <f t="shared" si="80"/>
        <v/>
      </c>
      <c r="T65" s="2448" t="str">
        <f t="shared" si="81"/>
        <v/>
      </c>
      <c r="U65" s="2448" t="str">
        <f t="shared" si="82"/>
        <v/>
      </c>
      <c r="V65" s="2448" t="str">
        <f t="shared" si="83"/>
        <v/>
      </c>
      <c r="W65" s="2449" t="str">
        <f t="shared" si="84"/>
        <v/>
      </c>
      <c r="X65" s="2479" t="str" cm="1">
        <f t="array" ref="X65">IFERROR(HLOOKUP(CoStar_DataSet_Inventory_2A,CoStar_Inventory_Array,$A65,FALSE),"-")</f>
        <v/>
      </c>
      <c r="Y65" s="2448" t="str">
        <f t="shared" si="85"/>
        <v/>
      </c>
      <c r="Z65" s="2448" t="str">
        <f t="shared" si="86"/>
        <v/>
      </c>
      <c r="AA65" s="2448" t="str">
        <f t="shared" si="87"/>
        <v/>
      </c>
      <c r="AB65" s="2448" t="str">
        <f t="shared" si="88"/>
        <v/>
      </c>
      <c r="AC65" s="2448" t="str">
        <f t="shared" si="89"/>
        <v/>
      </c>
      <c r="AD65" s="41">
        <f t="shared" si="120"/>
        <v>-99</v>
      </c>
      <c r="AE65" s="267" t="str">
        <f t="shared" si="90"/>
        <v/>
      </c>
      <c r="AF65" s="2398" t="str">
        <f t="shared" si="91"/>
        <v/>
      </c>
      <c r="AG65" s="2398" t="str">
        <f t="shared" si="92"/>
        <v/>
      </c>
      <c r="AH65" s="2398" t="str">
        <f t="shared" si="93"/>
        <v/>
      </c>
      <c r="AI65" s="2398" t="str">
        <f t="shared" si="94"/>
        <v/>
      </c>
      <c r="AJ65" s="2398" t="str">
        <f t="shared" si="95"/>
        <v/>
      </c>
      <c r="AK65" s="2398" t="str">
        <f t="shared" si="96"/>
        <v/>
      </c>
      <c r="AL65" s="2398" t="str">
        <f t="shared" si="97"/>
        <v/>
      </c>
      <c r="AM65" s="2398" t="str">
        <f t="shared" si="98"/>
        <v/>
      </c>
      <c r="AN65" s="2399" t="str">
        <f t="shared" si="121"/>
        <v/>
      </c>
      <c r="AO65" s="2399" t="str">
        <f t="shared" si="122"/>
        <v/>
      </c>
      <c r="AP65" s="2399" t="str">
        <f t="shared" si="123"/>
        <v/>
      </c>
      <c r="AQ65" s="2399" t="str">
        <f t="shared" si="124"/>
        <v/>
      </c>
      <c r="AR65" s="2474"/>
      <c r="AS65" s="2479" t="str">
        <f t="shared" si="99"/>
        <v/>
      </c>
      <c r="AT65" s="2448"/>
      <c r="AU65" s="2475" t="str">
        <f t="shared" si="100"/>
        <v/>
      </c>
      <c r="AV65" s="2448" t="str">
        <f t="shared" si="101"/>
        <v/>
      </c>
      <c r="AW65" s="2448"/>
      <c r="AX65" s="2476" t="str">
        <f t="shared" si="102"/>
        <v/>
      </c>
      <c r="AY65" s="2479" t="str">
        <f t="shared" si="103"/>
        <v/>
      </c>
      <c r="AZ65" s="2448" t="str">
        <f t="shared" si="104"/>
        <v/>
      </c>
      <c r="BA65" s="2475" t="str">
        <f t="shared" si="105"/>
        <v/>
      </c>
      <c r="BB65" s="2448" t="str">
        <f t="shared" si="106"/>
        <v/>
      </c>
      <c r="BC65" s="2448" t="str">
        <f t="shared" si="107"/>
        <v/>
      </c>
      <c r="BD65" s="2476" t="str">
        <f t="shared" si="108"/>
        <v/>
      </c>
      <c r="BE65" s="41">
        <f t="shared" si="125"/>
        <v>-34</v>
      </c>
      <c r="BF65" s="267" t="str">
        <f t="shared" si="109"/>
        <v/>
      </c>
      <c r="BG65" s="2400" t="str">
        <f t="shared" si="110"/>
        <v/>
      </c>
      <c r="BH65" s="2400" t="str">
        <f t="shared" si="111"/>
        <v/>
      </c>
      <c r="BI65" s="2400" t="str">
        <f t="shared" si="112"/>
        <v/>
      </c>
      <c r="BJ65" s="2400" t="str">
        <f t="shared" si="113"/>
        <v/>
      </c>
      <c r="BK65" s="2425"/>
      <c r="BL65" s="2465" t="str">
        <f t="shared" si="114"/>
        <v/>
      </c>
      <c r="BM65" s="2466" t="str">
        <f t="shared" si="115"/>
        <v/>
      </c>
      <c r="BN65" s="2465" t="str">
        <f t="shared" si="116"/>
        <v/>
      </c>
      <c r="BO65" s="2466" t="str">
        <f t="shared" si="117"/>
        <v/>
      </c>
    </row>
    <row r="66" spans="1:67" x14ac:dyDescent="0.25">
      <c r="A66" s="2397">
        <f t="shared" si="64"/>
        <v>64</v>
      </c>
      <c r="B66" s="41">
        <f t="shared" si="118"/>
        <v>-101</v>
      </c>
      <c r="C66" s="41">
        <f t="shared" si="119"/>
        <v>-89</v>
      </c>
      <c r="D66" s="267" t="str">
        <f t="shared" si="66"/>
        <v/>
      </c>
      <c r="E66" s="2428" t="str">
        <f t="shared" si="67"/>
        <v/>
      </c>
      <c r="F66" s="2398" t="str">
        <f t="shared" si="68"/>
        <v/>
      </c>
      <c r="G66" s="2398" t="str">
        <f t="shared" si="69"/>
        <v/>
      </c>
      <c r="H66" s="2398" t="str">
        <f t="shared" si="70"/>
        <v/>
      </c>
      <c r="I66" s="2431" t="str">
        <f t="shared" si="71"/>
        <v/>
      </c>
      <c r="J66" s="2398" t="str">
        <f t="shared" si="72"/>
        <v/>
      </c>
      <c r="K66" s="2398" t="str">
        <f t="shared" si="73"/>
        <v/>
      </c>
      <c r="L66" s="2432" t="str">
        <f t="shared" si="74"/>
        <v/>
      </c>
      <c r="M66" s="2398" t="str">
        <f t="shared" si="75"/>
        <v/>
      </c>
      <c r="N66" s="2398" t="str">
        <f t="shared" si="76"/>
        <v/>
      </c>
      <c r="O66" s="2398" t="str">
        <f t="shared" si="77"/>
        <v/>
      </c>
      <c r="P66" s="2398" t="str">
        <f t="shared" si="78"/>
        <v/>
      </c>
      <c r="Q66" s="2453"/>
      <c r="R66" s="2448" t="str">
        <f t="shared" si="79"/>
        <v/>
      </c>
      <c r="S66" s="2448" t="str">
        <f t="shared" si="80"/>
        <v/>
      </c>
      <c r="T66" s="2448" t="str">
        <f t="shared" si="81"/>
        <v/>
      </c>
      <c r="U66" s="2448" t="str">
        <f t="shared" si="82"/>
        <v/>
      </c>
      <c r="V66" s="2448" t="str">
        <f t="shared" si="83"/>
        <v/>
      </c>
      <c r="W66" s="2449" t="str">
        <f t="shared" si="84"/>
        <v/>
      </c>
      <c r="X66" s="2479" t="str" cm="1">
        <f t="array" ref="X66">IFERROR(HLOOKUP(CoStar_DataSet_Inventory_2A,CoStar_Inventory_Array,$A66,FALSE),"-")</f>
        <v/>
      </c>
      <c r="Y66" s="2448" t="str">
        <f t="shared" si="85"/>
        <v/>
      </c>
      <c r="Z66" s="2448" t="str">
        <f t="shared" si="86"/>
        <v/>
      </c>
      <c r="AA66" s="2448" t="str">
        <f t="shared" si="87"/>
        <v/>
      </c>
      <c r="AB66" s="2448" t="str">
        <f t="shared" si="88"/>
        <v/>
      </c>
      <c r="AC66" s="2448" t="str">
        <f t="shared" si="89"/>
        <v/>
      </c>
      <c r="AD66" s="41">
        <f t="shared" si="120"/>
        <v>-101</v>
      </c>
      <c r="AE66" s="267" t="str">
        <f t="shared" si="90"/>
        <v/>
      </c>
      <c r="AF66" s="2398" t="str">
        <f t="shared" si="91"/>
        <v/>
      </c>
      <c r="AG66" s="2398" t="str">
        <f t="shared" si="92"/>
        <v/>
      </c>
      <c r="AH66" s="2398" t="str">
        <f t="shared" si="93"/>
        <v/>
      </c>
      <c r="AI66" s="2398" t="str">
        <f t="shared" si="94"/>
        <v/>
      </c>
      <c r="AJ66" s="2398" t="str">
        <f t="shared" si="95"/>
        <v/>
      </c>
      <c r="AK66" s="2398" t="str">
        <f t="shared" si="96"/>
        <v/>
      </c>
      <c r="AL66" s="2398" t="str">
        <f t="shared" si="97"/>
        <v/>
      </c>
      <c r="AM66" s="2398" t="str">
        <f t="shared" si="98"/>
        <v/>
      </c>
      <c r="AN66" s="2399" t="str">
        <f t="shared" si="121"/>
        <v/>
      </c>
      <c r="AO66" s="2399" t="str">
        <f t="shared" si="122"/>
        <v/>
      </c>
      <c r="AP66" s="2399" t="str">
        <f t="shared" si="123"/>
        <v/>
      </c>
      <c r="AQ66" s="2399" t="str">
        <f t="shared" si="124"/>
        <v/>
      </c>
      <c r="AR66" s="2474"/>
      <c r="AS66" s="2479" t="str">
        <f t="shared" si="99"/>
        <v/>
      </c>
      <c r="AT66" s="2448"/>
      <c r="AU66" s="2475" t="str">
        <f t="shared" si="100"/>
        <v/>
      </c>
      <c r="AV66" s="2448" t="str">
        <f t="shared" si="101"/>
        <v/>
      </c>
      <c r="AW66" s="2448"/>
      <c r="AX66" s="2476" t="str">
        <f t="shared" si="102"/>
        <v/>
      </c>
      <c r="AY66" s="2479" t="str">
        <f t="shared" si="103"/>
        <v/>
      </c>
      <c r="AZ66" s="2448" t="str">
        <f t="shared" si="104"/>
        <v/>
      </c>
      <c r="BA66" s="2475" t="str">
        <f t="shared" si="105"/>
        <v/>
      </c>
      <c r="BB66" s="2448" t="str">
        <f t="shared" si="106"/>
        <v/>
      </c>
      <c r="BC66" s="2448" t="str">
        <f t="shared" si="107"/>
        <v/>
      </c>
      <c r="BD66" s="2476" t="str">
        <f t="shared" si="108"/>
        <v/>
      </c>
      <c r="BE66" s="41">
        <f t="shared" si="125"/>
        <v>-35</v>
      </c>
      <c r="BF66" s="267" t="str">
        <f t="shared" si="109"/>
        <v/>
      </c>
      <c r="BG66" s="2400" t="str">
        <f t="shared" si="110"/>
        <v/>
      </c>
      <c r="BH66" s="2400" t="str">
        <f t="shared" si="111"/>
        <v/>
      </c>
      <c r="BI66" s="2400" t="str">
        <f t="shared" si="112"/>
        <v/>
      </c>
      <c r="BJ66" s="2400" t="str">
        <f t="shared" si="113"/>
        <v/>
      </c>
      <c r="BK66" s="2425"/>
      <c r="BL66" s="2465" t="str">
        <f t="shared" si="114"/>
        <v/>
      </c>
      <c r="BM66" s="2466" t="str">
        <f t="shared" si="115"/>
        <v/>
      </c>
      <c r="BN66" s="2465" t="str">
        <f t="shared" si="116"/>
        <v/>
      </c>
      <c r="BO66" s="2466" t="str">
        <f t="shared" si="117"/>
        <v/>
      </c>
    </row>
    <row r="67" spans="1:67" x14ac:dyDescent="0.25">
      <c r="A67" s="2397">
        <f t="shared" si="64"/>
        <v>65</v>
      </c>
      <c r="B67" s="41">
        <f t="shared" si="118"/>
        <v>-103</v>
      </c>
      <c r="C67" s="41">
        <f t="shared" si="119"/>
        <v>-91</v>
      </c>
      <c r="D67" s="267" t="str">
        <f t="shared" si="66"/>
        <v/>
      </c>
      <c r="E67" s="2428" t="str">
        <f t="shared" si="67"/>
        <v/>
      </c>
      <c r="F67" s="2398" t="str">
        <f t="shared" si="68"/>
        <v/>
      </c>
      <c r="G67" s="2398" t="str">
        <f t="shared" si="69"/>
        <v/>
      </c>
      <c r="H67" s="2398" t="str">
        <f t="shared" si="70"/>
        <v/>
      </c>
      <c r="I67" s="2431" t="str">
        <f t="shared" si="71"/>
        <v/>
      </c>
      <c r="J67" s="2398" t="str">
        <f t="shared" si="72"/>
        <v/>
      </c>
      <c r="K67" s="2398" t="str">
        <f t="shared" si="73"/>
        <v/>
      </c>
      <c r="L67" s="2432" t="str">
        <f t="shared" si="74"/>
        <v/>
      </c>
      <c r="M67" s="2398" t="str">
        <f t="shared" si="75"/>
        <v/>
      </c>
      <c r="N67" s="2398" t="str">
        <f t="shared" si="76"/>
        <v/>
      </c>
      <c r="O67" s="2398" t="str">
        <f t="shared" si="77"/>
        <v/>
      </c>
      <c r="P67" s="2398" t="str">
        <f t="shared" si="78"/>
        <v/>
      </c>
      <c r="Q67" s="2453"/>
      <c r="R67" s="2448" t="str">
        <f t="shared" si="79"/>
        <v/>
      </c>
      <c r="S67" s="2448" t="str">
        <f t="shared" si="80"/>
        <v/>
      </c>
      <c r="T67" s="2448" t="str">
        <f t="shared" si="81"/>
        <v/>
      </c>
      <c r="U67" s="2448" t="str">
        <f t="shared" si="82"/>
        <v/>
      </c>
      <c r="V67" s="2448" t="str">
        <f t="shared" si="83"/>
        <v/>
      </c>
      <c r="W67" s="2449" t="str">
        <f t="shared" si="84"/>
        <v/>
      </c>
      <c r="X67" s="2479" t="str" cm="1">
        <f t="array" ref="X67">IFERROR(HLOOKUP(CoStar_DataSet_Inventory_2A,CoStar_Inventory_Array,$A67,FALSE),"-")</f>
        <v/>
      </c>
      <c r="Y67" s="2448" t="str">
        <f t="shared" si="85"/>
        <v/>
      </c>
      <c r="Z67" s="2448" t="str">
        <f t="shared" si="86"/>
        <v/>
      </c>
      <c r="AA67" s="2448" t="str">
        <f t="shared" si="87"/>
        <v/>
      </c>
      <c r="AB67" s="2448" t="str">
        <f t="shared" si="88"/>
        <v/>
      </c>
      <c r="AC67" s="2448" t="str">
        <f t="shared" si="89"/>
        <v/>
      </c>
      <c r="AD67" s="41">
        <f t="shared" si="120"/>
        <v>-103</v>
      </c>
      <c r="AE67" s="267" t="str">
        <f t="shared" si="90"/>
        <v/>
      </c>
      <c r="AF67" s="2398" t="str">
        <f t="shared" si="91"/>
        <v/>
      </c>
      <c r="AG67" s="2398" t="str">
        <f t="shared" si="92"/>
        <v/>
      </c>
      <c r="AH67" s="2398" t="str">
        <f t="shared" si="93"/>
        <v/>
      </c>
      <c r="AI67" s="2398" t="str">
        <f t="shared" si="94"/>
        <v/>
      </c>
      <c r="AJ67" s="2398" t="str">
        <f t="shared" si="95"/>
        <v/>
      </c>
      <c r="AK67" s="2398" t="str">
        <f t="shared" si="96"/>
        <v/>
      </c>
      <c r="AL67" s="2398" t="str">
        <f t="shared" si="97"/>
        <v/>
      </c>
      <c r="AM67" s="2398" t="str">
        <f t="shared" si="98"/>
        <v/>
      </c>
      <c r="AN67" s="2399" t="str">
        <f t="shared" si="121"/>
        <v/>
      </c>
      <c r="AO67" s="2399" t="str">
        <f t="shared" si="122"/>
        <v/>
      </c>
      <c r="AP67" s="2399" t="str">
        <f t="shared" si="123"/>
        <v/>
      </c>
      <c r="AQ67" s="2399" t="str">
        <f t="shared" si="124"/>
        <v/>
      </c>
      <c r="AR67" s="2474"/>
      <c r="AS67" s="2479" t="str">
        <f t="shared" si="99"/>
        <v/>
      </c>
      <c r="AT67" s="2448"/>
      <c r="AU67" s="2475" t="str">
        <f t="shared" si="100"/>
        <v/>
      </c>
      <c r="AV67" s="2448" t="str">
        <f t="shared" si="101"/>
        <v/>
      </c>
      <c r="AW67" s="2448"/>
      <c r="AX67" s="2476" t="str">
        <f t="shared" si="102"/>
        <v/>
      </c>
      <c r="AY67" s="2479" t="str">
        <f t="shared" si="103"/>
        <v/>
      </c>
      <c r="AZ67" s="2448" t="str">
        <f t="shared" si="104"/>
        <v/>
      </c>
      <c r="BA67" s="2475" t="str">
        <f t="shared" si="105"/>
        <v/>
      </c>
      <c r="BB67" s="2448" t="str">
        <f t="shared" si="106"/>
        <v/>
      </c>
      <c r="BC67" s="2448" t="str">
        <f t="shared" si="107"/>
        <v/>
      </c>
      <c r="BD67" s="2476" t="str">
        <f t="shared" si="108"/>
        <v/>
      </c>
      <c r="BE67" s="41">
        <f t="shared" si="125"/>
        <v>-36</v>
      </c>
      <c r="BF67" s="267" t="str">
        <f t="shared" si="109"/>
        <v/>
      </c>
      <c r="BG67" s="2400" t="str">
        <f t="shared" si="110"/>
        <v/>
      </c>
      <c r="BH67" s="2400" t="str">
        <f t="shared" si="111"/>
        <v/>
      </c>
      <c r="BI67" s="2400" t="str">
        <f t="shared" si="112"/>
        <v/>
      </c>
      <c r="BJ67" s="2400" t="str">
        <f t="shared" si="113"/>
        <v/>
      </c>
      <c r="BK67" s="2425"/>
      <c r="BL67" s="2465" t="str">
        <f t="shared" si="114"/>
        <v/>
      </c>
      <c r="BM67" s="2466" t="str">
        <f t="shared" si="115"/>
        <v/>
      </c>
      <c r="BN67" s="2465" t="str">
        <f t="shared" si="116"/>
        <v/>
      </c>
      <c r="BO67" s="2466" t="str">
        <f t="shared" si="117"/>
        <v/>
      </c>
    </row>
    <row r="68" spans="1:67" x14ac:dyDescent="0.25">
      <c r="A68" s="2397">
        <f t="shared" si="64"/>
        <v>66</v>
      </c>
      <c r="B68" s="41">
        <f t="shared" si="118"/>
        <v>-105</v>
      </c>
      <c r="C68" s="41">
        <f t="shared" si="119"/>
        <v>-93</v>
      </c>
      <c r="D68" s="267" t="str">
        <f t="shared" ref="D68:D82" si="126">IFERROR(IF($C68&lt;CoStar_RowOffset_Inventory,"",HLOOKUP(CONCATENATE("  ",D$3),CoStar01Array,$C68,FALSE)),1)</f>
        <v/>
      </c>
      <c r="E68" s="2428" t="str">
        <f t="shared" ref="E68:E82" si="127">IFERROR(IF($C68&lt;CoStar_RowOffset_Inventory,"",HLOOKUP(E$2,CoStar01Array,$C68,FALSE)),"-")</f>
        <v/>
      </c>
      <c r="F68" s="2398" t="str">
        <f t="shared" ref="F68:F82" si="128">IFERROR(IF($C68&lt;CoStar_RowOffset_Inventory,"",HLOOKUP(E$2,CoStar02Array,$C68,FALSE)),"-")</f>
        <v/>
      </c>
      <c r="G68" s="2398" t="str">
        <f t="shared" ref="G68:G82" si="129">IFERROR(IF($C68&lt;CoStar_RowOffset_Inventory,"",HLOOKUP(E$2,CoStar03Array,$C68,FALSE)),"-")</f>
        <v/>
      </c>
      <c r="H68" s="2398" t="str">
        <f t="shared" ref="H68:H82" si="130">IFERROR(IF($C68&lt;CoStar_RowOffset_Inventory,"",HLOOKUP(E$2,CoStar04Array,$C68,FALSE)),"-")</f>
        <v/>
      </c>
      <c r="I68" s="2431" t="str">
        <f t="shared" ref="I68:I82" si="131">IFERROR(IF($C68&lt;CoStar_RowOffset_Inventory,"",HLOOKUP(I$2,CoStar01Array,$C68,FALSE)),"-")</f>
        <v/>
      </c>
      <c r="J68" s="2398" t="str">
        <f t="shared" ref="J68:J82" si="132">IFERROR(IF($C68&lt;CoStar_RowOffset_Inventory,"",HLOOKUP(I$2,CoStar02Array,$C68,FALSE)),"-")</f>
        <v/>
      </c>
      <c r="K68" s="2398" t="str">
        <f t="shared" ref="K68:K82" si="133">IFERROR(IF($C68&lt;CoStar_RowOffset_Inventory,"",HLOOKUP(I$2,CoStar03Array,$C68,FALSE)),"-")</f>
        <v/>
      </c>
      <c r="L68" s="2432" t="str">
        <f t="shared" ref="L68:L82" si="134">IFERROR(IF($C68&lt;CoStar_RowOffset_Inventory,"",HLOOKUP(I$2,CoStar04Array,$C68,FALSE)),"-")</f>
        <v/>
      </c>
      <c r="M68" s="2398" t="str">
        <f t="shared" ref="M68:M82" si="135">IFERROR(IF($C68&lt;CoStar_RowOffset_Inventory,"",HLOOKUP(M$2,CoStar01Array,$C68,FALSE)),"-")</f>
        <v/>
      </c>
      <c r="N68" s="2398" t="str">
        <f t="shared" ref="N68:N82" si="136">IFERROR(IF($C68&lt;CoStar_RowOffset_Inventory,"",HLOOKUP(M$2,CoStar02Array,$C68,FALSE)),"-")</f>
        <v/>
      </c>
      <c r="O68" s="2398" t="str">
        <f t="shared" ref="O68:O82" si="137">IFERROR(IF($C68&lt;CoStar_RowOffset_Inventory,"",HLOOKUP(M$2,CoStar03Array,$C68,FALSE)),"-")</f>
        <v/>
      </c>
      <c r="P68" s="2398" t="str">
        <f t="shared" ref="P68:P82" si="138">IFERROR(IF($C68&lt;CoStar_RowOffset_Inventory,"",HLOOKUP(M$2,CoStar04Array,$C68,FALSE)),"-")</f>
        <v/>
      </c>
      <c r="Q68" s="2453"/>
      <c r="R68" s="2448" t="str">
        <f t="shared" ref="R68:R82" si="139">IFERROR(HLOOKUP(CoStar_DataSet_Inventory_1A,CoStar_Inventory_Array,$A68,FALSE),"-")</f>
        <v/>
      </c>
      <c r="S68" s="2448" t="str">
        <f t="shared" ref="S68:S82" si="140">IFERROR(HLOOKUP(CoStar_DataSet_Inventory_1A+4,CoStar_Inventory_Array,$A68,FALSE),"-")</f>
        <v/>
      </c>
      <c r="T68" s="2448" t="str">
        <f t="shared" ref="T68:T82" si="141">IFERROR(HLOOKUP(CoStar_DataSet_Inventory_1A+8,CoStar_Inventory_Array,$A68,FALSE),"-")</f>
        <v/>
      </c>
      <c r="U68" s="2448" t="str">
        <f t="shared" ref="U68:U82" si="142">IFERROR(HLOOKUP(CoStar_DataSet_Inventory_1B,CoStar_Inventory_Array,$A68,FALSE),"-")</f>
        <v/>
      </c>
      <c r="V68" s="2448" t="str">
        <f t="shared" ref="V68:V82" si="143">IFERROR(HLOOKUP(CoStar_DataSet_Inventory_1B+4,CoStar_Inventory_Array,$A68,FALSE),"-")</f>
        <v/>
      </c>
      <c r="W68" s="2449" t="str">
        <f t="shared" ref="W68:W82" si="144">IFERROR(HLOOKUP(CoStar_DataSet_Inventory_1B+8,CoStar_Inventory_Array,$A68,FALSE),"-")</f>
        <v/>
      </c>
      <c r="X68" s="2479" t="str" cm="1">
        <f t="array" ref="X68">IFERROR(HLOOKUP(CoStar_DataSet_Inventory_2A,CoStar_Inventory_Array,$A68,FALSE),"-")</f>
        <v/>
      </c>
      <c r="Y68" s="2448" t="str">
        <f t="shared" ref="Y68:Y82" si="145">IFERROR(HLOOKUP(CoStar_DataSet_Inventory_2A+4,CoStar_Inventory_Array,$A68,FALSE),"-")</f>
        <v/>
      </c>
      <c r="Z68" s="2448" t="str">
        <f t="shared" ref="Z68:Z82" si="146">IFERROR(HLOOKUP(CoStar_DataSet_Inventory_2A+8,CoStar_Inventory_Array,$A68,FALSE),"-")</f>
        <v/>
      </c>
      <c r="AA68" s="2448" t="str">
        <f t="shared" ref="AA68:AA82" si="147">IFERROR(HLOOKUP(CoStar_DataSet_Inventory_2B,CoStar_Inventory_Array,$A68,FALSE),"-")</f>
        <v/>
      </c>
      <c r="AB68" s="2448" t="str">
        <f t="shared" ref="AB68:AB82" si="148">IFERROR(HLOOKUP(CoStar_DataSet_Inventory_2B+4,CoStar_Inventory_Array,$A68,FALSE),"-")</f>
        <v/>
      </c>
      <c r="AC68" s="2448" t="str">
        <f t="shared" ref="AC68:AC82" si="149">IFERROR(HLOOKUP(CoStar_DataSet_Inventory_2B+8,CoStar_Inventory_Array,$A68,FALSE),"-")</f>
        <v/>
      </c>
      <c r="AD68" s="41">
        <f t="shared" si="120"/>
        <v>-105</v>
      </c>
      <c r="AE68" s="267" t="str">
        <f t="shared" ref="AE68:AE82" si="150">IFERROR(IF($AD68&lt;CoStar_RowOffset_VacancyAbsorb,"",HLOOKUP(CONCATENATE("  ",AE$3),CoStar01Array,$AD68,FALSE)),1)</f>
        <v/>
      </c>
      <c r="AF68" s="2398" t="str">
        <f t="shared" ref="AF68:AF82" si="151">IFERROR(IF($AD68&lt;CoStar_RowOffset_Master,"",HLOOKUP(AF$2,CoStar01Array,$AD68,FALSE)),"-")</f>
        <v/>
      </c>
      <c r="AG68" s="2398" t="str">
        <f t="shared" ref="AG68:AG82" si="152">IFERROR(IF($AD68&lt;CoStar_RowOffset_Master,"",HLOOKUP(AF$2,CoStar02Array,$AD68,FALSE)),"-")</f>
        <v/>
      </c>
      <c r="AH68" s="2398" t="str">
        <f t="shared" ref="AH68:AH82" si="153">IFERROR(IF($AD68&lt;CoStar_RowOffset_Master,"",HLOOKUP(AF$2,CoStar03Array,$AD68,FALSE)),"-")</f>
        <v/>
      </c>
      <c r="AI68" s="2398" t="str">
        <f t="shared" ref="AI68:AI82" si="154">IFERROR(IF($AD68&lt;CoStar_RowOffset_Master,"",HLOOKUP(AF$2,CoStar04Array,$AD68,FALSE)),"-")</f>
        <v/>
      </c>
      <c r="AJ68" s="2398" t="str">
        <f t="shared" ref="AJ68:AJ82" si="155">IFERROR(IF($AD68&lt;CoStar_RowOffset_Master,"",HLOOKUP(AJ$2,CoStar01Array,$AD68,FALSE)),"-")</f>
        <v/>
      </c>
      <c r="AK68" s="2398" t="str">
        <f t="shared" ref="AK68:AK82" si="156">IFERROR(IF($AD68&lt;CoStar_RowOffset_Master,"",HLOOKUP(AJ$2,CoStar02Array,$AD68,FALSE)),"-")</f>
        <v/>
      </c>
      <c r="AL68" s="2398" t="str">
        <f t="shared" ref="AL68:AL82" si="157">IFERROR(IF($AD68&lt;CoStar_RowOffset_Master,"",HLOOKUP(AJ$2,CoStar03Array,$AD68,FALSE)),"-")</f>
        <v/>
      </c>
      <c r="AM68" s="2398" t="str">
        <f t="shared" ref="AM68:AM82" si="158">IFERROR(IF($AD68&lt;CoStar_RowOffset_Master,"",HLOOKUP(AJ$2,CoStar04Array,$AD68,FALSE)),"-")</f>
        <v/>
      </c>
      <c r="AN68" s="2399" t="str">
        <f t="shared" si="121"/>
        <v/>
      </c>
      <c r="AO68" s="2399" t="str">
        <f t="shared" si="122"/>
        <v/>
      </c>
      <c r="AP68" s="2399" t="str">
        <f t="shared" si="123"/>
        <v/>
      </c>
      <c r="AQ68" s="2399" t="str">
        <f t="shared" si="124"/>
        <v/>
      </c>
      <c r="AR68" s="2474"/>
      <c r="AS68" s="2479" t="str">
        <f t="shared" ref="AS68:AS82" si="159">IFERROR(HLOOKUP(CoStar_DataSet_Vacancy_1A,CoStar_VacancyAbsorb_Array,$A68,FALSE),"-")</f>
        <v/>
      </c>
      <c r="AT68" s="2448"/>
      <c r="AU68" s="2475" t="str">
        <f t="shared" ref="AU68:AU82" si="160">IFERROR(HLOOKUP(CoStar_DataSet_Vacancy_1A+8,CoStar_VacancyAbsorb_Array,$A68,FALSE),"-")</f>
        <v/>
      </c>
      <c r="AV68" s="2448" t="str">
        <f t="shared" ref="AV68:AV82" si="161">IFERROR(HLOOKUP(CoStar_DataSet_Vacancy_1B,CoStar_VacancyAbsorb_Array,$A68,FALSE),"-")</f>
        <v/>
      </c>
      <c r="AW68" s="2448"/>
      <c r="AX68" s="2476" t="str">
        <f t="shared" ref="AX68:AX82" si="162">IFERROR(HLOOKUP(CoStar_DataSet_Vacancy_1B+8,CoStar_VacancyAbsorb_Array,$A68,FALSE),"-")</f>
        <v/>
      </c>
      <c r="AY68" s="2479" t="str">
        <f t="shared" ref="AY68:AY82" si="163">IFERROR(HLOOKUP(CoStar_DataSet_Vacancy_2A,CoStar_VacancyAbsorb_Array,$A68,FALSE),"-")</f>
        <v/>
      </c>
      <c r="AZ68" s="2448" t="str">
        <f t="shared" ref="AZ68:AZ82" si="164">IFERROR(HLOOKUP(CoStar_DataSet_Vacancy_2A+4,CoStar_VacancyAbsorb_Array,$A68,FALSE),"-")</f>
        <v/>
      </c>
      <c r="BA68" s="2475" t="str">
        <f t="shared" ref="BA68:BA82" si="165">IFERROR(HLOOKUP(CoStar_DataSet_Vacancy_2A+8,CoStar_VacancyAbsorb_Array,$A68,FALSE),"-")</f>
        <v/>
      </c>
      <c r="BB68" s="2448" t="str">
        <f t="shared" ref="BB68:BB82" si="166">IFERROR(HLOOKUP(CoStar_DataSet_Vacancy_2B,CoStar_VacancyAbsorb_Array,$A68,FALSE),"-")</f>
        <v/>
      </c>
      <c r="BC68" s="2448" t="str">
        <f t="shared" ref="BC68:BC82" si="167">IFERROR(HLOOKUP(CoStar_DataSet_Vacancy_2B+4,CoStar_VacancyAbsorb_Array,$A68,FALSE),"-")</f>
        <v/>
      </c>
      <c r="BD68" s="2476" t="str">
        <f t="shared" ref="BD68:BD82" si="168">IFERROR(HLOOKUP(CoStar_DataSet_Vacancy_2B+8,CoStar_VacancyAbsorb_Array,$A68,FALSE),"-")</f>
        <v/>
      </c>
      <c r="BE68" s="41">
        <f t="shared" si="125"/>
        <v>-37</v>
      </c>
      <c r="BF68" s="267" t="str">
        <f t="shared" ref="BF68:BF82" si="169">IFERROR(IF($BE68&lt;CoStar_RowOffset_Rent,"",HLOOKUP(CONCATENATE("  ",BF$3),CoStar01Array,$BE68,FALSE)),1)</f>
        <v/>
      </c>
      <c r="BG68" s="2400" t="str">
        <f t="shared" si="110"/>
        <v/>
      </c>
      <c r="BH68" s="2400" t="str">
        <f t="shared" ref="BH68:BH82" si="170">IFERROR(IF($BE68&lt;CoStar_RowOffset_Rent,"",HLOOKUP(BH$2,CoStar02Array,$BE68,FALSE)),1)</f>
        <v/>
      </c>
      <c r="BI68" s="2400" t="str">
        <f t="shared" ref="BI68:BI82" si="171">IFERROR(IF($BE68&lt;CoStar_RowOffset_Rent,"",HLOOKUP(BI$2,CoStar03Array,$BE68,FALSE)),1)</f>
        <v/>
      </c>
      <c r="BJ68" s="2400" t="str">
        <f t="shared" ref="BJ68:BJ82" si="172">IFERROR(IF($BE68&lt;CoStar_RowOffset_Rent,"",HLOOKUP(BJ$2,CoStar04Array,$BE68,FALSE)),1)</f>
        <v/>
      </c>
      <c r="BK68" s="2425"/>
      <c r="BL68" s="2465" t="str">
        <f t="shared" ref="BL68:BL82" si="173">IFERROR(HLOOKUP(CoStar_DataSet_Rent_1A,CoStar_Rent_Array,$A68,FALSE),"-")</f>
        <v/>
      </c>
      <c r="BM68" s="2466" t="str">
        <f t="shared" ref="BM68:BM82" si="174">IFERROR(HLOOKUP(CoStar_DataSet_Rent_1B,CoStar_Rent_Array,$A68,FALSE),"-")</f>
        <v/>
      </c>
      <c r="BN68" s="2465" t="str">
        <f t="shared" ref="BN68:BN82" si="175">IFERROR(HLOOKUP(CoStar_DataSet_Rent_2A,CoStar_Rent_Array,$A68,FALSE),"-")</f>
        <v/>
      </c>
      <c r="BO68" s="2466" t="str">
        <f t="shared" ref="BO68:BO82" si="176">IFERROR(HLOOKUP(CoStar_DataSet_Rent_2B,CoStar_Rent_Array,$A68,FALSE),"-")</f>
        <v/>
      </c>
    </row>
    <row r="69" spans="1:67" x14ac:dyDescent="0.25">
      <c r="A69" s="2397">
        <f t="shared" si="64"/>
        <v>67</v>
      </c>
      <c r="B69" s="41">
        <f t="shared" ref="B69:B82" si="177">B68-CoStar_Interval_Master</f>
        <v>-107</v>
      </c>
      <c r="C69" s="41">
        <f t="shared" ref="C69:C82" si="178">C68-CoStar_Interval_Inventory</f>
        <v>-95</v>
      </c>
      <c r="D69" s="267" t="str">
        <f t="shared" si="126"/>
        <v/>
      </c>
      <c r="E69" s="2428" t="str">
        <f t="shared" si="127"/>
        <v/>
      </c>
      <c r="F69" s="2398" t="str">
        <f t="shared" si="128"/>
        <v/>
      </c>
      <c r="G69" s="2398" t="str">
        <f t="shared" si="129"/>
        <v/>
      </c>
      <c r="H69" s="2398" t="str">
        <f t="shared" si="130"/>
        <v/>
      </c>
      <c r="I69" s="2431" t="str">
        <f t="shared" si="131"/>
        <v/>
      </c>
      <c r="J69" s="2398" t="str">
        <f t="shared" si="132"/>
        <v/>
      </c>
      <c r="K69" s="2398" t="str">
        <f t="shared" si="133"/>
        <v/>
      </c>
      <c r="L69" s="2432" t="str">
        <f t="shared" si="134"/>
        <v/>
      </c>
      <c r="M69" s="2398" t="str">
        <f t="shared" si="135"/>
        <v/>
      </c>
      <c r="N69" s="2398" t="str">
        <f t="shared" si="136"/>
        <v/>
      </c>
      <c r="O69" s="2398" t="str">
        <f t="shared" si="137"/>
        <v/>
      </c>
      <c r="P69" s="2398" t="str">
        <f t="shared" si="138"/>
        <v/>
      </c>
      <c r="Q69" s="2453"/>
      <c r="R69" s="2448" t="str">
        <f t="shared" si="139"/>
        <v/>
      </c>
      <c r="S69" s="2448" t="str">
        <f t="shared" si="140"/>
        <v/>
      </c>
      <c r="T69" s="2448" t="str">
        <f t="shared" si="141"/>
        <v/>
      </c>
      <c r="U69" s="2448" t="str">
        <f t="shared" si="142"/>
        <v/>
      </c>
      <c r="V69" s="2448" t="str">
        <f t="shared" si="143"/>
        <v/>
      </c>
      <c r="W69" s="2449" t="str">
        <f t="shared" si="144"/>
        <v/>
      </c>
      <c r="X69" s="2479" t="str" cm="1">
        <f t="array" ref="X69">IFERROR(HLOOKUP(CoStar_DataSet_Inventory_2A,CoStar_Inventory_Array,$A69,FALSE),"-")</f>
        <v/>
      </c>
      <c r="Y69" s="2448" t="str">
        <f t="shared" si="145"/>
        <v/>
      </c>
      <c r="Z69" s="2448" t="str">
        <f t="shared" si="146"/>
        <v/>
      </c>
      <c r="AA69" s="2448" t="str">
        <f t="shared" si="147"/>
        <v/>
      </c>
      <c r="AB69" s="2448" t="str">
        <f t="shared" si="148"/>
        <v/>
      </c>
      <c r="AC69" s="2448" t="str">
        <f t="shared" si="149"/>
        <v/>
      </c>
      <c r="AD69" s="41">
        <f t="shared" ref="AD69:AD82" si="179">AD68-CoStar_Interval_Master</f>
        <v>-107</v>
      </c>
      <c r="AE69" s="267" t="str">
        <f t="shared" si="150"/>
        <v/>
      </c>
      <c r="AF69" s="2398" t="str">
        <f t="shared" si="151"/>
        <v/>
      </c>
      <c r="AG69" s="2398" t="str">
        <f t="shared" si="152"/>
        <v/>
      </c>
      <c r="AH69" s="2398" t="str">
        <f t="shared" si="153"/>
        <v/>
      </c>
      <c r="AI69" s="2398" t="str">
        <f t="shared" si="154"/>
        <v/>
      </c>
      <c r="AJ69" s="2398" t="str">
        <f t="shared" si="155"/>
        <v/>
      </c>
      <c r="AK69" s="2398" t="str">
        <f t="shared" si="156"/>
        <v/>
      </c>
      <c r="AL69" s="2398" t="str">
        <f t="shared" si="157"/>
        <v/>
      </c>
      <c r="AM69" s="2398" t="str">
        <f t="shared" si="158"/>
        <v/>
      </c>
      <c r="AN69" s="2399" t="str">
        <f t="shared" ref="AN69:AN82" si="180">IFERROR(IF($AD69&lt;CoStar_RowOffset_Master,"",HLOOKUP(AN$2,CoStar01Array,$AD69,FALSE)),"-")</f>
        <v/>
      </c>
      <c r="AO69" s="2399" t="str">
        <f t="shared" ref="AO69:AO82" si="181">IFERROR(IF($AD69&lt;CoStar_RowOffset_Master,"",HLOOKUP(AN$2,CoStar02Array,$AD69,FALSE)),"-")</f>
        <v/>
      </c>
      <c r="AP69" s="2399" t="str">
        <f t="shared" ref="AP69:AP82" si="182">IFERROR(IF($AD69&lt;CoStar_RowOffset_Master,"",HLOOKUP(AN$2,CoStar03Array,$AD69,FALSE)),"-")</f>
        <v/>
      </c>
      <c r="AQ69" s="2399" t="str">
        <f t="shared" ref="AQ69:AQ82" si="183">IFERROR(IF($AD69&lt;CoStar_RowOffset_Master,"",HLOOKUP(AN$2,CoStar04Array,$AD69,FALSE)),"-")</f>
        <v/>
      </c>
      <c r="AR69" s="2474"/>
      <c r="AS69" s="2479" t="str">
        <f t="shared" si="159"/>
        <v/>
      </c>
      <c r="AT69" s="2448"/>
      <c r="AU69" s="2475" t="str">
        <f t="shared" si="160"/>
        <v/>
      </c>
      <c r="AV69" s="2448" t="str">
        <f t="shared" si="161"/>
        <v/>
      </c>
      <c r="AW69" s="2448"/>
      <c r="AX69" s="2476" t="str">
        <f t="shared" si="162"/>
        <v/>
      </c>
      <c r="AY69" s="2479" t="str">
        <f t="shared" si="163"/>
        <v/>
      </c>
      <c r="AZ69" s="2448" t="str">
        <f t="shared" si="164"/>
        <v/>
      </c>
      <c r="BA69" s="2475" t="str">
        <f t="shared" si="165"/>
        <v/>
      </c>
      <c r="BB69" s="2448" t="str">
        <f t="shared" si="166"/>
        <v/>
      </c>
      <c r="BC69" s="2448" t="str">
        <f t="shared" si="167"/>
        <v/>
      </c>
      <c r="BD69" s="2476" t="str">
        <f t="shared" si="168"/>
        <v/>
      </c>
      <c r="BE69" s="41">
        <f t="shared" ref="BE69:BE82" si="184">BE68-CoStar_Interval_RentTrends</f>
        <v>-38</v>
      </c>
      <c r="BF69" s="267" t="str">
        <f t="shared" si="169"/>
        <v/>
      </c>
      <c r="BG69" s="2400" t="str">
        <f t="shared" si="110"/>
        <v/>
      </c>
      <c r="BH69" s="2400" t="str">
        <f t="shared" si="170"/>
        <v/>
      </c>
      <c r="BI69" s="2400" t="str">
        <f t="shared" si="171"/>
        <v/>
      </c>
      <c r="BJ69" s="2400" t="str">
        <f t="shared" si="172"/>
        <v/>
      </c>
      <c r="BK69" s="2425"/>
      <c r="BL69" s="2465" t="str">
        <f t="shared" si="173"/>
        <v/>
      </c>
      <c r="BM69" s="2466" t="str">
        <f t="shared" si="174"/>
        <v/>
      </c>
      <c r="BN69" s="2465" t="str">
        <f t="shared" si="175"/>
        <v/>
      </c>
      <c r="BO69" s="2466" t="str">
        <f t="shared" si="176"/>
        <v/>
      </c>
    </row>
    <row r="70" spans="1:67" x14ac:dyDescent="0.25">
      <c r="A70" s="2397">
        <f t="shared" ref="A70:A82" si="185">A69+1</f>
        <v>68</v>
      </c>
      <c r="B70" s="41">
        <f t="shared" si="177"/>
        <v>-109</v>
      </c>
      <c r="C70" s="41">
        <f t="shared" si="178"/>
        <v>-97</v>
      </c>
      <c r="D70" s="267" t="str">
        <f t="shared" si="126"/>
        <v/>
      </c>
      <c r="E70" s="2428" t="str">
        <f t="shared" si="127"/>
        <v/>
      </c>
      <c r="F70" s="2398" t="str">
        <f t="shared" si="128"/>
        <v/>
      </c>
      <c r="G70" s="2398" t="str">
        <f t="shared" si="129"/>
        <v/>
      </c>
      <c r="H70" s="2398" t="str">
        <f t="shared" si="130"/>
        <v/>
      </c>
      <c r="I70" s="2431" t="str">
        <f t="shared" si="131"/>
        <v/>
      </c>
      <c r="J70" s="2398" t="str">
        <f t="shared" si="132"/>
        <v/>
      </c>
      <c r="K70" s="2398" t="str">
        <f t="shared" si="133"/>
        <v/>
      </c>
      <c r="L70" s="2432" t="str">
        <f t="shared" si="134"/>
        <v/>
      </c>
      <c r="M70" s="2398" t="str">
        <f t="shared" si="135"/>
        <v/>
      </c>
      <c r="N70" s="2398" t="str">
        <f t="shared" si="136"/>
        <v/>
      </c>
      <c r="O70" s="2398" t="str">
        <f t="shared" si="137"/>
        <v/>
      </c>
      <c r="P70" s="2398" t="str">
        <f t="shared" si="138"/>
        <v/>
      </c>
      <c r="Q70" s="2453"/>
      <c r="R70" s="2448" t="str">
        <f t="shared" si="139"/>
        <v/>
      </c>
      <c r="S70" s="2448" t="str">
        <f t="shared" si="140"/>
        <v/>
      </c>
      <c r="T70" s="2448" t="str">
        <f t="shared" si="141"/>
        <v/>
      </c>
      <c r="U70" s="2448" t="str">
        <f t="shared" si="142"/>
        <v/>
      </c>
      <c r="V70" s="2448" t="str">
        <f t="shared" si="143"/>
        <v/>
      </c>
      <c r="W70" s="2449" t="str">
        <f t="shared" si="144"/>
        <v/>
      </c>
      <c r="X70" s="2479" t="str" cm="1">
        <f t="array" ref="X70">IFERROR(HLOOKUP(CoStar_DataSet_Inventory_2A,CoStar_Inventory_Array,$A70,FALSE),"-")</f>
        <v/>
      </c>
      <c r="Y70" s="2448" t="str">
        <f t="shared" si="145"/>
        <v/>
      </c>
      <c r="Z70" s="2448" t="str">
        <f t="shared" si="146"/>
        <v/>
      </c>
      <c r="AA70" s="2448" t="str">
        <f t="shared" si="147"/>
        <v/>
      </c>
      <c r="AB70" s="2448" t="str">
        <f t="shared" si="148"/>
        <v/>
      </c>
      <c r="AC70" s="2448" t="str">
        <f t="shared" si="149"/>
        <v/>
      </c>
      <c r="AD70" s="41">
        <f t="shared" si="179"/>
        <v>-109</v>
      </c>
      <c r="AE70" s="267" t="str">
        <f t="shared" si="150"/>
        <v/>
      </c>
      <c r="AF70" s="2398" t="str">
        <f t="shared" si="151"/>
        <v/>
      </c>
      <c r="AG70" s="2398" t="str">
        <f t="shared" si="152"/>
        <v/>
      </c>
      <c r="AH70" s="2398" t="str">
        <f t="shared" si="153"/>
        <v/>
      </c>
      <c r="AI70" s="2398" t="str">
        <f t="shared" si="154"/>
        <v/>
      </c>
      <c r="AJ70" s="2398" t="str">
        <f t="shared" si="155"/>
        <v/>
      </c>
      <c r="AK70" s="2398" t="str">
        <f t="shared" si="156"/>
        <v/>
      </c>
      <c r="AL70" s="2398" t="str">
        <f t="shared" si="157"/>
        <v/>
      </c>
      <c r="AM70" s="2398" t="str">
        <f t="shared" si="158"/>
        <v/>
      </c>
      <c r="AN70" s="2399" t="str">
        <f t="shared" si="180"/>
        <v/>
      </c>
      <c r="AO70" s="2399" t="str">
        <f t="shared" si="181"/>
        <v/>
      </c>
      <c r="AP70" s="2399" t="str">
        <f t="shared" si="182"/>
        <v/>
      </c>
      <c r="AQ70" s="2399" t="str">
        <f t="shared" si="183"/>
        <v/>
      </c>
      <c r="AR70" s="2474"/>
      <c r="AS70" s="2479" t="str">
        <f t="shared" si="159"/>
        <v/>
      </c>
      <c r="AT70" s="2448"/>
      <c r="AU70" s="2475" t="str">
        <f t="shared" si="160"/>
        <v/>
      </c>
      <c r="AV70" s="2448" t="str">
        <f t="shared" si="161"/>
        <v/>
      </c>
      <c r="AW70" s="2448"/>
      <c r="AX70" s="2476" t="str">
        <f t="shared" si="162"/>
        <v/>
      </c>
      <c r="AY70" s="2479" t="str">
        <f t="shared" si="163"/>
        <v/>
      </c>
      <c r="AZ70" s="2448" t="str">
        <f t="shared" si="164"/>
        <v/>
      </c>
      <c r="BA70" s="2475" t="str">
        <f t="shared" si="165"/>
        <v/>
      </c>
      <c r="BB70" s="2448" t="str">
        <f t="shared" si="166"/>
        <v/>
      </c>
      <c r="BC70" s="2448" t="str">
        <f t="shared" si="167"/>
        <v/>
      </c>
      <c r="BD70" s="2476" t="str">
        <f t="shared" si="168"/>
        <v/>
      </c>
      <c r="BE70" s="41">
        <f t="shared" si="184"/>
        <v>-39</v>
      </c>
      <c r="BF70" s="267" t="str">
        <f t="shared" si="169"/>
        <v/>
      </c>
      <c r="BG70" s="2400" t="str">
        <f t="shared" si="110"/>
        <v/>
      </c>
      <c r="BH70" s="2400" t="str">
        <f t="shared" si="170"/>
        <v/>
      </c>
      <c r="BI70" s="2400" t="str">
        <f t="shared" si="171"/>
        <v/>
      </c>
      <c r="BJ70" s="2400" t="str">
        <f t="shared" si="172"/>
        <v/>
      </c>
      <c r="BK70" s="2425"/>
      <c r="BL70" s="2465" t="str">
        <f t="shared" si="173"/>
        <v/>
      </c>
      <c r="BM70" s="2466" t="str">
        <f t="shared" si="174"/>
        <v/>
      </c>
      <c r="BN70" s="2465" t="str">
        <f t="shared" si="175"/>
        <v/>
      </c>
      <c r="BO70" s="2466" t="str">
        <f t="shared" si="176"/>
        <v/>
      </c>
    </row>
    <row r="71" spans="1:67" x14ac:dyDescent="0.25">
      <c r="A71" s="2397">
        <f t="shared" si="185"/>
        <v>69</v>
      </c>
      <c r="B71" s="41">
        <f t="shared" si="177"/>
        <v>-111</v>
      </c>
      <c r="C71" s="41">
        <f t="shared" si="178"/>
        <v>-99</v>
      </c>
      <c r="D71" s="267" t="str">
        <f t="shared" si="126"/>
        <v/>
      </c>
      <c r="E71" s="2428" t="str">
        <f t="shared" si="127"/>
        <v/>
      </c>
      <c r="F71" s="2398" t="str">
        <f t="shared" si="128"/>
        <v/>
      </c>
      <c r="G71" s="2398" t="str">
        <f t="shared" si="129"/>
        <v/>
      </c>
      <c r="H71" s="2398" t="str">
        <f t="shared" si="130"/>
        <v/>
      </c>
      <c r="I71" s="2431" t="str">
        <f t="shared" si="131"/>
        <v/>
      </c>
      <c r="J71" s="2398" t="str">
        <f t="shared" si="132"/>
        <v/>
      </c>
      <c r="K71" s="2398" t="str">
        <f t="shared" si="133"/>
        <v/>
      </c>
      <c r="L71" s="2432" t="str">
        <f t="shared" si="134"/>
        <v/>
      </c>
      <c r="M71" s="2398" t="str">
        <f t="shared" si="135"/>
        <v/>
      </c>
      <c r="N71" s="2398" t="str">
        <f t="shared" si="136"/>
        <v/>
      </c>
      <c r="O71" s="2398" t="str">
        <f t="shared" si="137"/>
        <v/>
      </c>
      <c r="P71" s="2398" t="str">
        <f t="shared" si="138"/>
        <v/>
      </c>
      <c r="Q71" s="2453"/>
      <c r="R71" s="2448" t="str">
        <f t="shared" si="139"/>
        <v/>
      </c>
      <c r="S71" s="2448" t="str">
        <f t="shared" si="140"/>
        <v/>
      </c>
      <c r="T71" s="2448" t="str">
        <f t="shared" si="141"/>
        <v/>
      </c>
      <c r="U71" s="2448" t="str">
        <f t="shared" si="142"/>
        <v/>
      </c>
      <c r="V71" s="2448" t="str">
        <f t="shared" si="143"/>
        <v/>
      </c>
      <c r="W71" s="2449" t="str">
        <f t="shared" si="144"/>
        <v/>
      </c>
      <c r="X71" s="2479" t="str" cm="1">
        <f t="array" ref="X71">IFERROR(HLOOKUP(CoStar_DataSet_Inventory_2A,CoStar_Inventory_Array,$A71,FALSE),"-")</f>
        <v/>
      </c>
      <c r="Y71" s="2448" t="str">
        <f t="shared" si="145"/>
        <v/>
      </c>
      <c r="Z71" s="2448" t="str">
        <f t="shared" si="146"/>
        <v/>
      </c>
      <c r="AA71" s="2448" t="str">
        <f t="shared" si="147"/>
        <v/>
      </c>
      <c r="AB71" s="2448" t="str">
        <f t="shared" si="148"/>
        <v/>
      </c>
      <c r="AC71" s="2448" t="str">
        <f t="shared" si="149"/>
        <v/>
      </c>
      <c r="AD71" s="41">
        <f t="shared" si="179"/>
        <v>-111</v>
      </c>
      <c r="AE71" s="267" t="str">
        <f t="shared" si="150"/>
        <v/>
      </c>
      <c r="AF71" s="2398" t="str">
        <f t="shared" si="151"/>
        <v/>
      </c>
      <c r="AG71" s="2398" t="str">
        <f t="shared" si="152"/>
        <v/>
      </c>
      <c r="AH71" s="2398" t="str">
        <f t="shared" si="153"/>
        <v/>
      </c>
      <c r="AI71" s="2398" t="str">
        <f t="shared" si="154"/>
        <v/>
      </c>
      <c r="AJ71" s="2398" t="str">
        <f t="shared" si="155"/>
        <v/>
      </c>
      <c r="AK71" s="2398" t="str">
        <f t="shared" si="156"/>
        <v/>
      </c>
      <c r="AL71" s="2398" t="str">
        <f t="shared" si="157"/>
        <v/>
      </c>
      <c r="AM71" s="2398" t="str">
        <f t="shared" si="158"/>
        <v/>
      </c>
      <c r="AN71" s="2399" t="str">
        <f t="shared" si="180"/>
        <v/>
      </c>
      <c r="AO71" s="2399" t="str">
        <f t="shared" si="181"/>
        <v/>
      </c>
      <c r="AP71" s="2399" t="str">
        <f t="shared" si="182"/>
        <v/>
      </c>
      <c r="AQ71" s="2399" t="str">
        <f t="shared" si="183"/>
        <v/>
      </c>
      <c r="AR71" s="2474"/>
      <c r="AS71" s="2479" t="str">
        <f t="shared" si="159"/>
        <v/>
      </c>
      <c r="AT71" s="2448"/>
      <c r="AU71" s="2475" t="str">
        <f t="shared" si="160"/>
        <v/>
      </c>
      <c r="AV71" s="2448" t="str">
        <f t="shared" si="161"/>
        <v/>
      </c>
      <c r="AW71" s="2448"/>
      <c r="AX71" s="2476" t="str">
        <f t="shared" si="162"/>
        <v/>
      </c>
      <c r="AY71" s="2479" t="str">
        <f t="shared" si="163"/>
        <v/>
      </c>
      <c r="AZ71" s="2448" t="str">
        <f t="shared" si="164"/>
        <v/>
      </c>
      <c r="BA71" s="2475" t="str">
        <f t="shared" si="165"/>
        <v/>
      </c>
      <c r="BB71" s="2448" t="str">
        <f t="shared" si="166"/>
        <v/>
      </c>
      <c r="BC71" s="2448" t="str">
        <f t="shared" si="167"/>
        <v/>
      </c>
      <c r="BD71" s="2476" t="str">
        <f t="shared" si="168"/>
        <v/>
      </c>
      <c r="BE71" s="41">
        <f t="shared" si="184"/>
        <v>-40</v>
      </c>
      <c r="BF71" s="267" t="str">
        <f t="shared" si="169"/>
        <v/>
      </c>
      <c r="BG71" s="2400" t="str">
        <f t="shared" si="110"/>
        <v/>
      </c>
      <c r="BH71" s="2400" t="str">
        <f t="shared" si="170"/>
        <v/>
      </c>
      <c r="BI71" s="2400" t="str">
        <f t="shared" si="171"/>
        <v/>
      </c>
      <c r="BJ71" s="2400" t="str">
        <f t="shared" si="172"/>
        <v/>
      </c>
      <c r="BK71" s="2425"/>
      <c r="BL71" s="2465" t="str">
        <f t="shared" si="173"/>
        <v/>
      </c>
      <c r="BM71" s="2466" t="str">
        <f t="shared" si="174"/>
        <v/>
      </c>
      <c r="BN71" s="2465" t="str">
        <f t="shared" si="175"/>
        <v/>
      </c>
      <c r="BO71" s="2466" t="str">
        <f t="shared" si="176"/>
        <v/>
      </c>
    </row>
    <row r="72" spans="1:67" x14ac:dyDescent="0.25">
      <c r="A72" s="2397">
        <f t="shared" si="185"/>
        <v>70</v>
      </c>
      <c r="B72" s="41">
        <f t="shared" si="177"/>
        <v>-113</v>
      </c>
      <c r="C72" s="41">
        <f t="shared" si="178"/>
        <v>-101</v>
      </c>
      <c r="D72" s="267" t="str">
        <f t="shared" si="126"/>
        <v/>
      </c>
      <c r="E72" s="2428" t="str">
        <f t="shared" si="127"/>
        <v/>
      </c>
      <c r="F72" s="2398" t="str">
        <f t="shared" si="128"/>
        <v/>
      </c>
      <c r="G72" s="2398" t="str">
        <f t="shared" si="129"/>
        <v/>
      </c>
      <c r="H72" s="2398" t="str">
        <f t="shared" si="130"/>
        <v/>
      </c>
      <c r="I72" s="2431" t="str">
        <f t="shared" si="131"/>
        <v/>
      </c>
      <c r="J72" s="2398" t="str">
        <f t="shared" si="132"/>
        <v/>
      </c>
      <c r="K72" s="2398" t="str">
        <f t="shared" si="133"/>
        <v/>
      </c>
      <c r="L72" s="2432" t="str">
        <f t="shared" si="134"/>
        <v/>
      </c>
      <c r="M72" s="2398" t="str">
        <f t="shared" si="135"/>
        <v/>
      </c>
      <c r="N72" s="2398" t="str">
        <f t="shared" si="136"/>
        <v/>
      </c>
      <c r="O72" s="2398" t="str">
        <f t="shared" si="137"/>
        <v/>
      </c>
      <c r="P72" s="2398" t="str">
        <f t="shared" si="138"/>
        <v/>
      </c>
      <c r="Q72" s="2453"/>
      <c r="R72" s="2448" t="str">
        <f t="shared" si="139"/>
        <v/>
      </c>
      <c r="S72" s="2448" t="str">
        <f t="shared" si="140"/>
        <v/>
      </c>
      <c r="T72" s="2448" t="str">
        <f t="shared" si="141"/>
        <v/>
      </c>
      <c r="U72" s="2448" t="str">
        <f t="shared" si="142"/>
        <v/>
      </c>
      <c r="V72" s="2448" t="str">
        <f t="shared" si="143"/>
        <v/>
      </c>
      <c r="W72" s="2449" t="str">
        <f t="shared" si="144"/>
        <v/>
      </c>
      <c r="X72" s="2479" t="str" cm="1">
        <f t="array" ref="X72">IFERROR(HLOOKUP(CoStar_DataSet_Inventory_2A,CoStar_Inventory_Array,$A72,FALSE),"-")</f>
        <v/>
      </c>
      <c r="Y72" s="2448" t="str">
        <f t="shared" si="145"/>
        <v/>
      </c>
      <c r="Z72" s="2448" t="str">
        <f t="shared" si="146"/>
        <v/>
      </c>
      <c r="AA72" s="2448" t="str">
        <f t="shared" si="147"/>
        <v/>
      </c>
      <c r="AB72" s="2448" t="str">
        <f t="shared" si="148"/>
        <v/>
      </c>
      <c r="AC72" s="2448" t="str">
        <f t="shared" si="149"/>
        <v/>
      </c>
      <c r="AD72" s="41">
        <f t="shared" si="179"/>
        <v>-113</v>
      </c>
      <c r="AE72" s="267" t="str">
        <f t="shared" si="150"/>
        <v/>
      </c>
      <c r="AF72" s="2398" t="str">
        <f t="shared" si="151"/>
        <v/>
      </c>
      <c r="AG72" s="2398" t="str">
        <f t="shared" si="152"/>
        <v/>
      </c>
      <c r="AH72" s="2398" t="str">
        <f t="shared" si="153"/>
        <v/>
      </c>
      <c r="AI72" s="2398" t="str">
        <f t="shared" si="154"/>
        <v/>
      </c>
      <c r="AJ72" s="2398" t="str">
        <f t="shared" si="155"/>
        <v/>
      </c>
      <c r="AK72" s="2398" t="str">
        <f t="shared" si="156"/>
        <v/>
      </c>
      <c r="AL72" s="2398" t="str">
        <f t="shared" si="157"/>
        <v/>
      </c>
      <c r="AM72" s="2398" t="str">
        <f t="shared" si="158"/>
        <v/>
      </c>
      <c r="AN72" s="2399" t="str">
        <f t="shared" si="180"/>
        <v/>
      </c>
      <c r="AO72" s="2399" t="str">
        <f t="shared" si="181"/>
        <v/>
      </c>
      <c r="AP72" s="2399" t="str">
        <f t="shared" si="182"/>
        <v/>
      </c>
      <c r="AQ72" s="2399" t="str">
        <f t="shared" si="183"/>
        <v/>
      </c>
      <c r="AR72" s="2474"/>
      <c r="AS72" s="2479" t="str">
        <f t="shared" si="159"/>
        <v/>
      </c>
      <c r="AT72" s="2448"/>
      <c r="AU72" s="2475" t="str">
        <f t="shared" si="160"/>
        <v/>
      </c>
      <c r="AV72" s="2448" t="str">
        <f t="shared" si="161"/>
        <v/>
      </c>
      <c r="AW72" s="2448"/>
      <c r="AX72" s="2476" t="str">
        <f t="shared" si="162"/>
        <v/>
      </c>
      <c r="AY72" s="2479" t="str">
        <f t="shared" si="163"/>
        <v/>
      </c>
      <c r="AZ72" s="2448" t="str">
        <f t="shared" si="164"/>
        <v/>
      </c>
      <c r="BA72" s="2475" t="str">
        <f t="shared" si="165"/>
        <v/>
      </c>
      <c r="BB72" s="2448" t="str">
        <f t="shared" si="166"/>
        <v/>
      </c>
      <c r="BC72" s="2448" t="str">
        <f t="shared" si="167"/>
        <v/>
      </c>
      <c r="BD72" s="2476" t="str">
        <f t="shared" si="168"/>
        <v/>
      </c>
      <c r="BE72" s="41">
        <f t="shared" si="184"/>
        <v>-41</v>
      </c>
      <c r="BF72" s="267" t="str">
        <f t="shared" si="169"/>
        <v/>
      </c>
      <c r="BG72" s="2400" t="str">
        <f t="shared" si="110"/>
        <v/>
      </c>
      <c r="BH72" s="2400" t="str">
        <f t="shared" si="170"/>
        <v/>
      </c>
      <c r="BI72" s="2400" t="str">
        <f t="shared" si="171"/>
        <v/>
      </c>
      <c r="BJ72" s="2400" t="str">
        <f t="shared" si="172"/>
        <v/>
      </c>
      <c r="BK72" s="2425"/>
      <c r="BL72" s="2465" t="str">
        <f t="shared" si="173"/>
        <v/>
      </c>
      <c r="BM72" s="2466" t="str">
        <f t="shared" si="174"/>
        <v/>
      </c>
      <c r="BN72" s="2465" t="str">
        <f t="shared" si="175"/>
        <v/>
      </c>
      <c r="BO72" s="2466" t="str">
        <f t="shared" si="176"/>
        <v/>
      </c>
    </row>
    <row r="73" spans="1:67" x14ac:dyDescent="0.25">
      <c r="A73" s="2397">
        <f t="shared" si="185"/>
        <v>71</v>
      </c>
      <c r="B73" s="41">
        <f t="shared" si="177"/>
        <v>-115</v>
      </c>
      <c r="C73" s="41">
        <f t="shared" si="178"/>
        <v>-103</v>
      </c>
      <c r="D73" s="267" t="str">
        <f t="shared" si="126"/>
        <v/>
      </c>
      <c r="E73" s="2428" t="str">
        <f t="shared" si="127"/>
        <v/>
      </c>
      <c r="F73" s="2398" t="str">
        <f t="shared" si="128"/>
        <v/>
      </c>
      <c r="G73" s="2398" t="str">
        <f t="shared" si="129"/>
        <v/>
      </c>
      <c r="H73" s="2398" t="str">
        <f t="shared" si="130"/>
        <v/>
      </c>
      <c r="I73" s="2431" t="str">
        <f t="shared" si="131"/>
        <v/>
      </c>
      <c r="J73" s="2398" t="str">
        <f t="shared" si="132"/>
        <v/>
      </c>
      <c r="K73" s="2398" t="str">
        <f t="shared" si="133"/>
        <v/>
      </c>
      <c r="L73" s="2432" t="str">
        <f t="shared" si="134"/>
        <v/>
      </c>
      <c r="M73" s="2398" t="str">
        <f t="shared" si="135"/>
        <v/>
      </c>
      <c r="N73" s="2398" t="str">
        <f t="shared" si="136"/>
        <v/>
      </c>
      <c r="O73" s="2398" t="str">
        <f t="shared" si="137"/>
        <v/>
      </c>
      <c r="P73" s="2398" t="str">
        <f t="shared" si="138"/>
        <v/>
      </c>
      <c r="Q73" s="2453"/>
      <c r="R73" s="2448" t="str">
        <f t="shared" si="139"/>
        <v/>
      </c>
      <c r="S73" s="2448" t="str">
        <f t="shared" si="140"/>
        <v/>
      </c>
      <c r="T73" s="2448" t="str">
        <f t="shared" si="141"/>
        <v/>
      </c>
      <c r="U73" s="2448" t="str">
        <f t="shared" si="142"/>
        <v/>
      </c>
      <c r="V73" s="2448" t="str">
        <f t="shared" si="143"/>
        <v/>
      </c>
      <c r="W73" s="2449" t="str">
        <f t="shared" si="144"/>
        <v/>
      </c>
      <c r="X73" s="2479" t="str" cm="1">
        <f t="array" ref="X73">IFERROR(HLOOKUP(CoStar_DataSet_Inventory_2A,CoStar_Inventory_Array,$A73,FALSE),"-")</f>
        <v/>
      </c>
      <c r="Y73" s="2448" t="str">
        <f t="shared" si="145"/>
        <v/>
      </c>
      <c r="Z73" s="2448" t="str">
        <f t="shared" si="146"/>
        <v/>
      </c>
      <c r="AA73" s="2448" t="str">
        <f t="shared" si="147"/>
        <v/>
      </c>
      <c r="AB73" s="2448" t="str">
        <f t="shared" si="148"/>
        <v/>
      </c>
      <c r="AC73" s="2448" t="str">
        <f t="shared" si="149"/>
        <v/>
      </c>
      <c r="AD73" s="41">
        <f t="shared" si="179"/>
        <v>-115</v>
      </c>
      <c r="AE73" s="267" t="str">
        <f t="shared" si="150"/>
        <v/>
      </c>
      <c r="AF73" s="2398" t="str">
        <f t="shared" si="151"/>
        <v/>
      </c>
      <c r="AG73" s="2398" t="str">
        <f t="shared" si="152"/>
        <v/>
      </c>
      <c r="AH73" s="2398" t="str">
        <f t="shared" si="153"/>
        <v/>
      </c>
      <c r="AI73" s="2398" t="str">
        <f t="shared" si="154"/>
        <v/>
      </c>
      <c r="AJ73" s="2398" t="str">
        <f t="shared" si="155"/>
        <v/>
      </c>
      <c r="AK73" s="2398" t="str">
        <f t="shared" si="156"/>
        <v/>
      </c>
      <c r="AL73" s="2398" t="str">
        <f t="shared" si="157"/>
        <v/>
      </c>
      <c r="AM73" s="2398" t="str">
        <f t="shared" si="158"/>
        <v/>
      </c>
      <c r="AN73" s="2399" t="str">
        <f t="shared" si="180"/>
        <v/>
      </c>
      <c r="AO73" s="2399" t="str">
        <f t="shared" si="181"/>
        <v/>
      </c>
      <c r="AP73" s="2399" t="str">
        <f t="shared" si="182"/>
        <v/>
      </c>
      <c r="AQ73" s="2399" t="str">
        <f t="shared" si="183"/>
        <v/>
      </c>
      <c r="AR73" s="2474"/>
      <c r="AS73" s="2479" t="str">
        <f t="shared" si="159"/>
        <v/>
      </c>
      <c r="AT73" s="2448"/>
      <c r="AU73" s="2475" t="str">
        <f t="shared" si="160"/>
        <v/>
      </c>
      <c r="AV73" s="2448" t="str">
        <f t="shared" si="161"/>
        <v/>
      </c>
      <c r="AW73" s="2448"/>
      <c r="AX73" s="2476" t="str">
        <f t="shared" si="162"/>
        <v/>
      </c>
      <c r="AY73" s="2479" t="str">
        <f t="shared" si="163"/>
        <v/>
      </c>
      <c r="AZ73" s="2448" t="str">
        <f t="shared" si="164"/>
        <v/>
      </c>
      <c r="BA73" s="2475" t="str">
        <f t="shared" si="165"/>
        <v/>
      </c>
      <c r="BB73" s="2448" t="str">
        <f t="shared" si="166"/>
        <v/>
      </c>
      <c r="BC73" s="2448" t="str">
        <f t="shared" si="167"/>
        <v/>
      </c>
      <c r="BD73" s="2476" t="str">
        <f t="shared" si="168"/>
        <v/>
      </c>
      <c r="BE73" s="41">
        <f t="shared" si="184"/>
        <v>-42</v>
      </c>
      <c r="BF73" s="267" t="str">
        <f t="shared" si="169"/>
        <v/>
      </c>
      <c r="BG73" s="2400" t="str">
        <f t="shared" si="110"/>
        <v/>
      </c>
      <c r="BH73" s="2400" t="str">
        <f t="shared" si="170"/>
        <v/>
      </c>
      <c r="BI73" s="2400" t="str">
        <f t="shared" si="171"/>
        <v/>
      </c>
      <c r="BJ73" s="2400" t="str">
        <f t="shared" si="172"/>
        <v/>
      </c>
      <c r="BK73" s="2425"/>
      <c r="BL73" s="2465" t="str">
        <f t="shared" si="173"/>
        <v/>
      </c>
      <c r="BM73" s="2466" t="str">
        <f t="shared" si="174"/>
        <v/>
      </c>
      <c r="BN73" s="2465" t="str">
        <f t="shared" si="175"/>
        <v/>
      </c>
      <c r="BO73" s="2466" t="str">
        <f t="shared" si="176"/>
        <v/>
      </c>
    </row>
    <row r="74" spans="1:67" x14ac:dyDescent="0.25">
      <c r="A74" s="2397">
        <f t="shared" si="185"/>
        <v>72</v>
      </c>
      <c r="B74" s="41">
        <f t="shared" si="177"/>
        <v>-117</v>
      </c>
      <c r="C74" s="41">
        <f t="shared" si="178"/>
        <v>-105</v>
      </c>
      <c r="D74" s="267" t="str">
        <f t="shared" si="126"/>
        <v/>
      </c>
      <c r="E74" s="2428" t="str">
        <f t="shared" si="127"/>
        <v/>
      </c>
      <c r="F74" s="2398" t="str">
        <f t="shared" si="128"/>
        <v/>
      </c>
      <c r="G74" s="2398" t="str">
        <f t="shared" si="129"/>
        <v/>
      </c>
      <c r="H74" s="2398" t="str">
        <f t="shared" si="130"/>
        <v/>
      </c>
      <c r="I74" s="2431" t="str">
        <f t="shared" si="131"/>
        <v/>
      </c>
      <c r="J74" s="2398" t="str">
        <f t="shared" si="132"/>
        <v/>
      </c>
      <c r="K74" s="2398" t="str">
        <f t="shared" si="133"/>
        <v/>
      </c>
      <c r="L74" s="2432" t="str">
        <f t="shared" si="134"/>
        <v/>
      </c>
      <c r="M74" s="2398" t="str">
        <f t="shared" si="135"/>
        <v/>
      </c>
      <c r="N74" s="2398" t="str">
        <f t="shared" si="136"/>
        <v/>
      </c>
      <c r="O74" s="2398" t="str">
        <f t="shared" si="137"/>
        <v/>
      </c>
      <c r="P74" s="2398" t="str">
        <f t="shared" si="138"/>
        <v/>
      </c>
      <c r="Q74" s="2453"/>
      <c r="R74" s="2448" t="str">
        <f t="shared" si="139"/>
        <v/>
      </c>
      <c r="S74" s="2448" t="str">
        <f t="shared" si="140"/>
        <v/>
      </c>
      <c r="T74" s="2448" t="str">
        <f t="shared" si="141"/>
        <v/>
      </c>
      <c r="U74" s="2448" t="str">
        <f t="shared" si="142"/>
        <v/>
      </c>
      <c r="V74" s="2448" t="str">
        <f t="shared" si="143"/>
        <v/>
      </c>
      <c r="W74" s="2449" t="str">
        <f t="shared" si="144"/>
        <v/>
      </c>
      <c r="X74" s="2479" t="str" cm="1">
        <f t="array" ref="X74">IFERROR(HLOOKUP(CoStar_DataSet_Inventory_2A,CoStar_Inventory_Array,$A74,FALSE),"-")</f>
        <v/>
      </c>
      <c r="Y74" s="2448" t="str">
        <f t="shared" si="145"/>
        <v/>
      </c>
      <c r="Z74" s="2448" t="str">
        <f t="shared" si="146"/>
        <v/>
      </c>
      <c r="AA74" s="2448" t="str">
        <f t="shared" si="147"/>
        <v/>
      </c>
      <c r="AB74" s="2448" t="str">
        <f t="shared" si="148"/>
        <v/>
      </c>
      <c r="AC74" s="2448" t="str">
        <f t="shared" si="149"/>
        <v/>
      </c>
      <c r="AD74" s="41">
        <f t="shared" si="179"/>
        <v>-117</v>
      </c>
      <c r="AE74" s="267" t="str">
        <f t="shared" si="150"/>
        <v/>
      </c>
      <c r="AF74" s="2398" t="str">
        <f t="shared" si="151"/>
        <v/>
      </c>
      <c r="AG74" s="2398" t="str">
        <f t="shared" si="152"/>
        <v/>
      </c>
      <c r="AH74" s="2398" t="str">
        <f t="shared" si="153"/>
        <v/>
      </c>
      <c r="AI74" s="2398" t="str">
        <f t="shared" si="154"/>
        <v/>
      </c>
      <c r="AJ74" s="2398" t="str">
        <f t="shared" si="155"/>
        <v/>
      </c>
      <c r="AK74" s="2398" t="str">
        <f t="shared" si="156"/>
        <v/>
      </c>
      <c r="AL74" s="2398" t="str">
        <f t="shared" si="157"/>
        <v/>
      </c>
      <c r="AM74" s="2398" t="str">
        <f t="shared" si="158"/>
        <v/>
      </c>
      <c r="AN74" s="2399" t="str">
        <f t="shared" si="180"/>
        <v/>
      </c>
      <c r="AO74" s="2399" t="str">
        <f t="shared" si="181"/>
        <v/>
      </c>
      <c r="AP74" s="2399" t="str">
        <f t="shared" si="182"/>
        <v/>
      </c>
      <c r="AQ74" s="2399" t="str">
        <f t="shared" si="183"/>
        <v/>
      </c>
      <c r="AR74" s="2474"/>
      <c r="AS74" s="2479" t="str">
        <f t="shared" si="159"/>
        <v/>
      </c>
      <c r="AT74" s="2448"/>
      <c r="AU74" s="2475" t="str">
        <f t="shared" si="160"/>
        <v/>
      </c>
      <c r="AV74" s="2448" t="str">
        <f t="shared" si="161"/>
        <v/>
      </c>
      <c r="AW74" s="2448"/>
      <c r="AX74" s="2476" t="str">
        <f t="shared" si="162"/>
        <v/>
      </c>
      <c r="AY74" s="2479" t="str">
        <f t="shared" si="163"/>
        <v/>
      </c>
      <c r="AZ74" s="2448" t="str">
        <f t="shared" si="164"/>
        <v/>
      </c>
      <c r="BA74" s="2475" t="str">
        <f t="shared" si="165"/>
        <v/>
      </c>
      <c r="BB74" s="2448" t="str">
        <f t="shared" si="166"/>
        <v/>
      </c>
      <c r="BC74" s="2448" t="str">
        <f t="shared" si="167"/>
        <v/>
      </c>
      <c r="BD74" s="2476" t="str">
        <f t="shared" si="168"/>
        <v/>
      </c>
      <c r="BE74" s="41">
        <f t="shared" si="184"/>
        <v>-43</v>
      </c>
      <c r="BF74" s="267" t="str">
        <f t="shared" si="169"/>
        <v/>
      </c>
      <c r="BG74" s="2400" t="str">
        <f t="shared" si="110"/>
        <v/>
      </c>
      <c r="BH74" s="2400" t="str">
        <f t="shared" si="170"/>
        <v/>
      </c>
      <c r="BI74" s="2400" t="str">
        <f t="shared" si="171"/>
        <v/>
      </c>
      <c r="BJ74" s="2400" t="str">
        <f t="shared" si="172"/>
        <v/>
      </c>
      <c r="BK74" s="2425"/>
      <c r="BL74" s="2465" t="str">
        <f t="shared" si="173"/>
        <v/>
      </c>
      <c r="BM74" s="2466" t="str">
        <f t="shared" si="174"/>
        <v/>
      </c>
      <c r="BN74" s="2465" t="str">
        <f t="shared" si="175"/>
        <v/>
      </c>
      <c r="BO74" s="2466" t="str">
        <f t="shared" si="176"/>
        <v/>
      </c>
    </row>
    <row r="75" spans="1:67" x14ac:dyDescent="0.25">
      <c r="A75" s="2397">
        <f t="shared" si="185"/>
        <v>73</v>
      </c>
      <c r="B75" s="41">
        <f t="shared" si="177"/>
        <v>-119</v>
      </c>
      <c r="C75" s="41">
        <f t="shared" si="178"/>
        <v>-107</v>
      </c>
      <c r="D75" s="267" t="str">
        <f t="shared" si="126"/>
        <v/>
      </c>
      <c r="E75" s="2428" t="str">
        <f t="shared" si="127"/>
        <v/>
      </c>
      <c r="F75" s="2398" t="str">
        <f t="shared" si="128"/>
        <v/>
      </c>
      <c r="G75" s="2398" t="str">
        <f t="shared" si="129"/>
        <v/>
      </c>
      <c r="H75" s="2398" t="str">
        <f t="shared" si="130"/>
        <v/>
      </c>
      <c r="I75" s="2431" t="str">
        <f t="shared" si="131"/>
        <v/>
      </c>
      <c r="J75" s="2398" t="str">
        <f t="shared" si="132"/>
        <v/>
      </c>
      <c r="K75" s="2398" t="str">
        <f t="shared" si="133"/>
        <v/>
      </c>
      <c r="L75" s="2432" t="str">
        <f t="shared" si="134"/>
        <v/>
      </c>
      <c r="M75" s="2398" t="str">
        <f t="shared" si="135"/>
        <v/>
      </c>
      <c r="N75" s="2398" t="str">
        <f t="shared" si="136"/>
        <v/>
      </c>
      <c r="O75" s="2398" t="str">
        <f t="shared" si="137"/>
        <v/>
      </c>
      <c r="P75" s="2398" t="str">
        <f t="shared" si="138"/>
        <v/>
      </c>
      <c r="Q75" s="2453"/>
      <c r="R75" s="2448" t="str">
        <f t="shared" si="139"/>
        <v/>
      </c>
      <c r="S75" s="2448" t="str">
        <f t="shared" si="140"/>
        <v/>
      </c>
      <c r="T75" s="2448" t="str">
        <f t="shared" si="141"/>
        <v/>
      </c>
      <c r="U75" s="2448" t="str">
        <f t="shared" si="142"/>
        <v/>
      </c>
      <c r="V75" s="2448" t="str">
        <f t="shared" si="143"/>
        <v/>
      </c>
      <c r="W75" s="2449" t="str">
        <f t="shared" si="144"/>
        <v/>
      </c>
      <c r="X75" s="2479" t="str" cm="1">
        <f t="array" ref="X75">IFERROR(HLOOKUP(CoStar_DataSet_Inventory_2A,CoStar_Inventory_Array,$A75,FALSE),"-")</f>
        <v/>
      </c>
      <c r="Y75" s="2448" t="str">
        <f t="shared" si="145"/>
        <v/>
      </c>
      <c r="Z75" s="2448" t="str">
        <f t="shared" si="146"/>
        <v/>
      </c>
      <c r="AA75" s="2448" t="str">
        <f t="shared" si="147"/>
        <v/>
      </c>
      <c r="AB75" s="2448" t="str">
        <f t="shared" si="148"/>
        <v/>
      </c>
      <c r="AC75" s="2448" t="str">
        <f t="shared" si="149"/>
        <v/>
      </c>
      <c r="AD75" s="41">
        <f t="shared" si="179"/>
        <v>-119</v>
      </c>
      <c r="AE75" s="267" t="str">
        <f t="shared" si="150"/>
        <v/>
      </c>
      <c r="AF75" s="2398" t="str">
        <f t="shared" si="151"/>
        <v/>
      </c>
      <c r="AG75" s="2398" t="str">
        <f t="shared" si="152"/>
        <v/>
      </c>
      <c r="AH75" s="2398" t="str">
        <f t="shared" si="153"/>
        <v/>
      </c>
      <c r="AI75" s="2398" t="str">
        <f t="shared" si="154"/>
        <v/>
      </c>
      <c r="AJ75" s="2398" t="str">
        <f t="shared" si="155"/>
        <v/>
      </c>
      <c r="AK75" s="2398" t="str">
        <f t="shared" si="156"/>
        <v/>
      </c>
      <c r="AL75" s="2398" t="str">
        <f t="shared" si="157"/>
        <v/>
      </c>
      <c r="AM75" s="2398" t="str">
        <f t="shared" si="158"/>
        <v/>
      </c>
      <c r="AN75" s="2399" t="str">
        <f t="shared" si="180"/>
        <v/>
      </c>
      <c r="AO75" s="2399" t="str">
        <f t="shared" si="181"/>
        <v/>
      </c>
      <c r="AP75" s="2399" t="str">
        <f t="shared" si="182"/>
        <v/>
      </c>
      <c r="AQ75" s="2399" t="str">
        <f t="shared" si="183"/>
        <v/>
      </c>
      <c r="AR75" s="2474"/>
      <c r="AS75" s="2479" t="str">
        <f t="shared" si="159"/>
        <v/>
      </c>
      <c r="AT75" s="2448"/>
      <c r="AU75" s="2475" t="str">
        <f t="shared" si="160"/>
        <v/>
      </c>
      <c r="AV75" s="2448" t="str">
        <f t="shared" si="161"/>
        <v/>
      </c>
      <c r="AW75" s="2448"/>
      <c r="AX75" s="2476" t="str">
        <f t="shared" si="162"/>
        <v/>
      </c>
      <c r="AY75" s="2479" t="str">
        <f t="shared" si="163"/>
        <v/>
      </c>
      <c r="AZ75" s="2448" t="str">
        <f t="shared" si="164"/>
        <v/>
      </c>
      <c r="BA75" s="2475" t="str">
        <f t="shared" si="165"/>
        <v/>
      </c>
      <c r="BB75" s="2448" t="str">
        <f t="shared" si="166"/>
        <v/>
      </c>
      <c r="BC75" s="2448" t="str">
        <f t="shared" si="167"/>
        <v/>
      </c>
      <c r="BD75" s="2476" t="str">
        <f t="shared" si="168"/>
        <v/>
      </c>
      <c r="BE75" s="41">
        <f t="shared" si="184"/>
        <v>-44</v>
      </c>
      <c r="BF75" s="267" t="str">
        <f t="shared" si="169"/>
        <v/>
      </c>
      <c r="BG75" s="2400" t="str">
        <f t="shared" si="110"/>
        <v/>
      </c>
      <c r="BH75" s="2400" t="str">
        <f t="shared" si="170"/>
        <v/>
      </c>
      <c r="BI75" s="2400" t="str">
        <f t="shared" si="171"/>
        <v/>
      </c>
      <c r="BJ75" s="2400" t="str">
        <f t="shared" si="172"/>
        <v/>
      </c>
      <c r="BK75" s="2425"/>
      <c r="BL75" s="2465" t="str">
        <f t="shared" si="173"/>
        <v/>
      </c>
      <c r="BM75" s="2466" t="str">
        <f t="shared" si="174"/>
        <v/>
      </c>
      <c r="BN75" s="2465" t="str">
        <f t="shared" si="175"/>
        <v/>
      </c>
      <c r="BO75" s="2466" t="str">
        <f t="shared" si="176"/>
        <v/>
      </c>
    </row>
    <row r="76" spans="1:67" x14ac:dyDescent="0.25">
      <c r="A76" s="2397">
        <f t="shared" si="185"/>
        <v>74</v>
      </c>
      <c r="B76" s="41">
        <f t="shared" si="177"/>
        <v>-121</v>
      </c>
      <c r="C76" s="41">
        <f t="shared" si="178"/>
        <v>-109</v>
      </c>
      <c r="D76" s="267" t="str">
        <f t="shared" si="126"/>
        <v/>
      </c>
      <c r="E76" s="2428" t="str">
        <f t="shared" si="127"/>
        <v/>
      </c>
      <c r="F76" s="2398" t="str">
        <f t="shared" si="128"/>
        <v/>
      </c>
      <c r="G76" s="2398" t="str">
        <f t="shared" si="129"/>
        <v/>
      </c>
      <c r="H76" s="2398" t="str">
        <f t="shared" si="130"/>
        <v/>
      </c>
      <c r="I76" s="2431" t="str">
        <f t="shared" si="131"/>
        <v/>
      </c>
      <c r="J76" s="2398" t="str">
        <f t="shared" si="132"/>
        <v/>
      </c>
      <c r="K76" s="2398" t="str">
        <f t="shared" si="133"/>
        <v/>
      </c>
      <c r="L76" s="2432" t="str">
        <f t="shared" si="134"/>
        <v/>
      </c>
      <c r="M76" s="2398" t="str">
        <f t="shared" si="135"/>
        <v/>
      </c>
      <c r="N76" s="2398" t="str">
        <f t="shared" si="136"/>
        <v/>
      </c>
      <c r="O76" s="2398" t="str">
        <f t="shared" si="137"/>
        <v/>
      </c>
      <c r="P76" s="2398" t="str">
        <f t="shared" si="138"/>
        <v/>
      </c>
      <c r="Q76" s="2453"/>
      <c r="R76" s="2448" t="str">
        <f t="shared" si="139"/>
        <v/>
      </c>
      <c r="S76" s="2448" t="str">
        <f t="shared" si="140"/>
        <v/>
      </c>
      <c r="T76" s="2448" t="str">
        <f t="shared" si="141"/>
        <v/>
      </c>
      <c r="U76" s="2448" t="str">
        <f t="shared" si="142"/>
        <v/>
      </c>
      <c r="V76" s="2448" t="str">
        <f t="shared" si="143"/>
        <v/>
      </c>
      <c r="W76" s="2449" t="str">
        <f t="shared" si="144"/>
        <v/>
      </c>
      <c r="X76" s="2479" t="str" cm="1">
        <f t="array" ref="X76">IFERROR(HLOOKUP(CoStar_DataSet_Inventory_2A,CoStar_Inventory_Array,$A76,FALSE),"-")</f>
        <v/>
      </c>
      <c r="Y76" s="2448" t="str">
        <f t="shared" si="145"/>
        <v/>
      </c>
      <c r="Z76" s="2448" t="str">
        <f t="shared" si="146"/>
        <v/>
      </c>
      <c r="AA76" s="2448" t="str">
        <f t="shared" si="147"/>
        <v/>
      </c>
      <c r="AB76" s="2448" t="str">
        <f t="shared" si="148"/>
        <v/>
      </c>
      <c r="AC76" s="2448" t="str">
        <f t="shared" si="149"/>
        <v/>
      </c>
      <c r="AD76" s="41">
        <f t="shared" si="179"/>
        <v>-121</v>
      </c>
      <c r="AE76" s="267" t="str">
        <f t="shared" si="150"/>
        <v/>
      </c>
      <c r="AF76" s="2398" t="str">
        <f t="shared" si="151"/>
        <v/>
      </c>
      <c r="AG76" s="2398" t="str">
        <f t="shared" si="152"/>
        <v/>
      </c>
      <c r="AH76" s="2398" t="str">
        <f t="shared" si="153"/>
        <v/>
      </c>
      <c r="AI76" s="2398" t="str">
        <f t="shared" si="154"/>
        <v/>
      </c>
      <c r="AJ76" s="2398" t="str">
        <f t="shared" si="155"/>
        <v/>
      </c>
      <c r="AK76" s="2398" t="str">
        <f t="shared" si="156"/>
        <v/>
      </c>
      <c r="AL76" s="2398" t="str">
        <f t="shared" si="157"/>
        <v/>
      </c>
      <c r="AM76" s="2398" t="str">
        <f t="shared" si="158"/>
        <v/>
      </c>
      <c r="AN76" s="2399" t="str">
        <f t="shared" si="180"/>
        <v/>
      </c>
      <c r="AO76" s="2399" t="str">
        <f t="shared" si="181"/>
        <v/>
      </c>
      <c r="AP76" s="2399" t="str">
        <f t="shared" si="182"/>
        <v/>
      </c>
      <c r="AQ76" s="2399" t="str">
        <f t="shared" si="183"/>
        <v/>
      </c>
      <c r="AR76" s="2474"/>
      <c r="AS76" s="2479" t="str">
        <f t="shared" si="159"/>
        <v/>
      </c>
      <c r="AT76" s="2448"/>
      <c r="AU76" s="2475" t="str">
        <f t="shared" si="160"/>
        <v/>
      </c>
      <c r="AV76" s="2448" t="str">
        <f t="shared" si="161"/>
        <v/>
      </c>
      <c r="AW76" s="2448"/>
      <c r="AX76" s="2476" t="str">
        <f t="shared" si="162"/>
        <v/>
      </c>
      <c r="AY76" s="2479" t="str">
        <f t="shared" si="163"/>
        <v/>
      </c>
      <c r="AZ76" s="2448" t="str">
        <f t="shared" si="164"/>
        <v/>
      </c>
      <c r="BA76" s="2475" t="str">
        <f t="shared" si="165"/>
        <v/>
      </c>
      <c r="BB76" s="2448" t="str">
        <f t="shared" si="166"/>
        <v/>
      </c>
      <c r="BC76" s="2448" t="str">
        <f t="shared" si="167"/>
        <v/>
      </c>
      <c r="BD76" s="2476" t="str">
        <f t="shared" si="168"/>
        <v/>
      </c>
      <c r="BE76" s="41">
        <f t="shared" si="184"/>
        <v>-45</v>
      </c>
      <c r="BF76" s="267" t="str">
        <f t="shared" si="169"/>
        <v/>
      </c>
      <c r="BG76" s="2400" t="str">
        <f t="shared" si="110"/>
        <v/>
      </c>
      <c r="BH76" s="2400" t="str">
        <f t="shared" si="170"/>
        <v/>
      </c>
      <c r="BI76" s="2400" t="str">
        <f t="shared" si="171"/>
        <v/>
      </c>
      <c r="BJ76" s="2400" t="str">
        <f t="shared" si="172"/>
        <v/>
      </c>
      <c r="BK76" s="2425"/>
      <c r="BL76" s="2465" t="str">
        <f t="shared" si="173"/>
        <v/>
      </c>
      <c r="BM76" s="2466" t="str">
        <f t="shared" si="174"/>
        <v/>
      </c>
      <c r="BN76" s="2465" t="str">
        <f t="shared" si="175"/>
        <v/>
      </c>
      <c r="BO76" s="2466" t="str">
        <f t="shared" si="176"/>
        <v/>
      </c>
    </row>
    <row r="77" spans="1:67" x14ac:dyDescent="0.25">
      <c r="A77" s="2397">
        <f t="shared" si="185"/>
        <v>75</v>
      </c>
      <c r="B77" s="41">
        <f t="shared" si="177"/>
        <v>-123</v>
      </c>
      <c r="C77" s="41">
        <f t="shared" si="178"/>
        <v>-111</v>
      </c>
      <c r="D77" s="267" t="str">
        <f t="shared" si="126"/>
        <v/>
      </c>
      <c r="E77" s="2428" t="str">
        <f t="shared" si="127"/>
        <v/>
      </c>
      <c r="F77" s="2398" t="str">
        <f t="shared" si="128"/>
        <v/>
      </c>
      <c r="G77" s="2398" t="str">
        <f t="shared" si="129"/>
        <v/>
      </c>
      <c r="H77" s="2398" t="str">
        <f t="shared" si="130"/>
        <v/>
      </c>
      <c r="I77" s="2431" t="str">
        <f t="shared" si="131"/>
        <v/>
      </c>
      <c r="J77" s="2398" t="str">
        <f t="shared" si="132"/>
        <v/>
      </c>
      <c r="K77" s="2398" t="str">
        <f t="shared" si="133"/>
        <v/>
      </c>
      <c r="L77" s="2432" t="str">
        <f t="shared" si="134"/>
        <v/>
      </c>
      <c r="M77" s="2398" t="str">
        <f t="shared" si="135"/>
        <v/>
      </c>
      <c r="N77" s="2398" t="str">
        <f t="shared" si="136"/>
        <v/>
      </c>
      <c r="O77" s="2398" t="str">
        <f t="shared" si="137"/>
        <v/>
      </c>
      <c r="P77" s="2398" t="str">
        <f t="shared" si="138"/>
        <v/>
      </c>
      <c r="Q77" s="2453"/>
      <c r="R77" s="2448" t="str">
        <f t="shared" si="139"/>
        <v/>
      </c>
      <c r="S77" s="2448" t="str">
        <f t="shared" si="140"/>
        <v/>
      </c>
      <c r="T77" s="2448" t="str">
        <f t="shared" si="141"/>
        <v/>
      </c>
      <c r="U77" s="2448" t="str">
        <f t="shared" si="142"/>
        <v/>
      </c>
      <c r="V77" s="2448" t="str">
        <f t="shared" si="143"/>
        <v/>
      </c>
      <c r="W77" s="2449" t="str">
        <f t="shared" si="144"/>
        <v/>
      </c>
      <c r="X77" s="2479" t="str" cm="1">
        <f t="array" ref="X77">IFERROR(HLOOKUP(CoStar_DataSet_Inventory_2A,CoStar_Inventory_Array,$A77,FALSE),"-")</f>
        <v/>
      </c>
      <c r="Y77" s="2448" t="str">
        <f t="shared" si="145"/>
        <v/>
      </c>
      <c r="Z77" s="2448" t="str">
        <f t="shared" si="146"/>
        <v/>
      </c>
      <c r="AA77" s="2448" t="str">
        <f t="shared" si="147"/>
        <v/>
      </c>
      <c r="AB77" s="2448" t="str">
        <f t="shared" si="148"/>
        <v/>
      </c>
      <c r="AC77" s="2448" t="str">
        <f t="shared" si="149"/>
        <v/>
      </c>
      <c r="AD77" s="41">
        <f t="shared" si="179"/>
        <v>-123</v>
      </c>
      <c r="AE77" s="267" t="str">
        <f t="shared" si="150"/>
        <v/>
      </c>
      <c r="AF77" s="2398" t="str">
        <f t="shared" si="151"/>
        <v/>
      </c>
      <c r="AG77" s="2398" t="str">
        <f t="shared" si="152"/>
        <v/>
      </c>
      <c r="AH77" s="2398" t="str">
        <f t="shared" si="153"/>
        <v/>
      </c>
      <c r="AI77" s="2398" t="str">
        <f t="shared" si="154"/>
        <v/>
      </c>
      <c r="AJ77" s="2398" t="str">
        <f t="shared" si="155"/>
        <v/>
      </c>
      <c r="AK77" s="2398" t="str">
        <f t="shared" si="156"/>
        <v/>
      </c>
      <c r="AL77" s="2398" t="str">
        <f t="shared" si="157"/>
        <v/>
      </c>
      <c r="AM77" s="2398" t="str">
        <f t="shared" si="158"/>
        <v/>
      </c>
      <c r="AN77" s="2399" t="str">
        <f t="shared" si="180"/>
        <v/>
      </c>
      <c r="AO77" s="2399" t="str">
        <f t="shared" si="181"/>
        <v/>
      </c>
      <c r="AP77" s="2399" t="str">
        <f t="shared" si="182"/>
        <v/>
      </c>
      <c r="AQ77" s="2399" t="str">
        <f t="shared" si="183"/>
        <v/>
      </c>
      <c r="AR77" s="2474"/>
      <c r="AS77" s="2479" t="str">
        <f t="shared" si="159"/>
        <v/>
      </c>
      <c r="AT77" s="2448"/>
      <c r="AU77" s="2475" t="str">
        <f t="shared" si="160"/>
        <v/>
      </c>
      <c r="AV77" s="2448" t="str">
        <f t="shared" si="161"/>
        <v/>
      </c>
      <c r="AW77" s="2448"/>
      <c r="AX77" s="2476" t="str">
        <f t="shared" si="162"/>
        <v/>
      </c>
      <c r="AY77" s="2479" t="str">
        <f t="shared" si="163"/>
        <v/>
      </c>
      <c r="AZ77" s="2448" t="str">
        <f t="shared" si="164"/>
        <v/>
      </c>
      <c r="BA77" s="2475" t="str">
        <f t="shared" si="165"/>
        <v/>
      </c>
      <c r="BB77" s="2448" t="str">
        <f t="shared" si="166"/>
        <v/>
      </c>
      <c r="BC77" s="2448" t="str">
        <f t="shared" si="167"/>
        <v/>
      </c>
      <c r="BD77" s="2476" t="str">
        <f t="shared" si="168"/>
        <v/>
      </c>
      <c r="BE77" s="41">
        <f t="shared" si="184"/>
        <v>-46</v>
      </c>
      <c r="BF77" s="267" t="str">
        <f t="shared" si="169"/>
        <v/>
      </c>
      <c r="BG77" s="2400" t="str">
        <f t="shared" si="110"/>
        <v/>
      </c>
      <c r="BH77" s="2400" t="str">
        <f t="shared" si="170"/>
        <v/>
      </c>
      <c r="BI77" s="2400" t="str">
        <f t="shared" si="171"/>
        <v/>
      </c>
      <c r="BJ77" s="2400" t="str">
        <f t="shared" si="172"/>
        <v/>
      </c>
      <c r="BK77" s="2425"/>
      <c r="BL77" s="2465" t="str">
        <f t="shared" si="173"/>
        <v/>
      </c>
      <c r="BM77" s="2466" t="str">
        <f t="shared" si="174"/>
        <v/>
      </c>
      <c r="BN77" s="2465" t="str">
        <f t="shared" si="175"/>
        <v/>
      </c>
      <c r="BO77" s="2466" t="str">
        <f t="shared" si="176"/>
        <v/>
      </c>
    </row>
    <row r="78" spans="1:67" x14ac:dyDescent="0.25">
      <c r="A78" s="2397">
        <f t="shared" si="185"/>
        <v>76</v>
      </c>
      <c r="B78" s="41">
        <f t="shared" si="177"/>
        <v>-125</v>
      </c>
      <c r="C78" s="41">
        <f t="shared" si="178"/>
        <v>-113</v>
      </c>
      <c r="D78" s="267" t="str">
        <f t="shared" si="126"/>
        <v/>
      </c>
      <c r="E78" s="2428" t="str">
        <f t="shared" si="127"/>
        <v/>
      </c>
      <c r="F78" s="2398" t="str">
        <f t="shared" si="128"/>
        <v/>
      </c>
      <c r="G78" s="2398" t="str">
        <f t="shared" si="129"/>
        <v/>
      </c>
      <c r="H78" s="2398" t="str">
        <f t="shared" si="130"/>
        <v/>
      </c>
      <c r="I78" s="2431" t="str">
        <f t="shared" si="131"/>
        <v/>
      </c>
      <c r="J78" s="2398" t="str">
        <f t="shared" si="132"/>
        <v/>
      </c>
      <c r="K78" s="2398" t="str">
        <f t="shared" si="133"/>
        <v/>
      </c>
      <c r="L78" s="2432" t="str">
        <f t="shared" si="134"/>
        <v/>
      </c>
      <c r="M78" s="2398" t="str">
        <f t="shared" si="135"/>
        <v/>
      </c>
      <c r="N78" s="2398" t="str">
        <f t="shared" si="136"/>
        <v/>
      </c>
      <c r="O78" s="2398" t="str">
        <f t="shared" si="137"/>
        <v/>
      </c>
      <c r="P78" s="2398" t="str">
        <f t="shared" si="138"/>
        <v/>
      </c>
      <c r="Q78" s="2453"/>
      <c r="R78" s="2448" t="str">
        <f t="shared" si="139"/>
        <v/>
      </c>
      <c r="S78" s="2448" t="str">
        <f t="shared" si="140"/>
        <v/>
      </c>
      <c r="T78" s="2448" t="str">
        <f t="shared" si="141"/>
        <v/>
      </c>
      <c r="U78" s="2448" t="str">
        <f t="shared" si="142"/>
        <v/>
      </c>
      <c r="V78" s="2448" t="str">
        <f t="shared" si="143"/>
        <v/>
      </c>
      <c r="W78" s="2449" t="str">
        <f t="shared" si="144"/>
        <v/>
      </c>
      <c r="X78" s="2479" t="str" cm="1">
        <f t="array" ref="X78">IFERROR(HLOOKUP(CoStar_DataSet_Inventory_2A,CoStar_Inventory_Array,$A78,FALSE),"-")</f>
        <v/>
      </c>
      <c r="Y78" s="2448" t="str">
        <f t="shared" si="145"/>
        <v/>
      </c>
      <c r="Z78" s="2448" t="str">
        <f t="shared" si="146"/>
        <v/>
      </c>
      <c r="AA78" s="2448" t="str">
        <f t="shared" si="147"/>
        <v/>
      </c>
      <c r="AB78" s="2448" t="str">
        <f t="shared" si="148"/>
        <v/>
      </c>
      <c r="AC78" s="2448" t="str">
        <f t="shared" si="149"/>
        <v/>
      </c>
      <c r="AD78" s="41">
        <f t="shared" si="179"/>
        <v>-125</v>
      </c>
      <c r="AE78" s="267" t="str">
        <f t="shared" si="150"/>
        <v/>
      </c>
      <c r="AF78" s="2398" t="str">
        <f t="shared" si="151"/>
        <v/>
      </c>
      <c r="AG78" s="2398" t="str">
        <f t="shared" si="152"/>
        <v/>
      </c>
      <c r="AH78" s="2398" t="str">
        <f t="shared" si="153"/>
        <v/>
      </c>
      <c r="AI78" s="2398" t="str">
        <f t="shared" si="154"/>
        <v/>
      </c>
      <c r="AJ78" s="2398" t="str">
        <f t="shared" si="155"/>
        <v/>
      </c>
      <c r="AK78" s="2398" t="str">
        <f t="shared" si="156"/>
        <v/>
      </c>
      <c r="AL78" s="2398" t="str">
        <f t="shared" si="157"/>
        <v/>
      </c>
      <c r="AM78" s="2398" t="str">
        <f t="shared" si="158"/>
        <v/>
      </c>
      <c r="AN78" s="2399" t="str">
        <f t="shared" si="180"/>
        <v/>
      </c>
      <c r="AO78" s="2399" t="str">
        <f t="shared" si="181"/>
        <v/>
      </c>
      <c r="AP78" s="2399" t="str">
        <f t="shared" si="182"/>
        <v/>
      </c>
      <c r="AQ78" s="2399" t="str">
        <f t="shared" si="183"/>
        <v/>
      </c>
      <c r="AR78" s="2474"/>
      <c r="AS78" s="2479" t="str">
        <f t="shared" si="159"/>
        <v/>
      </c>
      <c r="AT78" s="2448"/>
      <c r="AU78" s="2475" t="str">
        <f t="shared" si="160"/>
        <v/>
      </c>
      <c r="AV78" s="2448" t="str">
        <f t="shared" si="161"/>
        <v/>
      </c>
      <c r="AW78" s="2448"/>
      <c r="AX78" s="2476" t="str">
        <f t="shared" si="162"/>
        <v/>
      </c>
      <c r="AY78" s="2479" t="str">
        <f t="shared" si="163"/>
        <v/>
      </c>
      <c r="AZ78" s="2448" t="str">
        <f t="shared" si="164"/>
        <v/>
      </c>
      <c r="BA78" s="2475" t="str">
        <f t="shared" si="165"/>
        <v/>
      </c>
      <c r="BB78" s="2448" t="str">
        <f t="shared" si="166"/>
        <v/>
      </c>
      <c r="BC78" s="2448" t="str">
        <f t="shared" si="167"/>
        <v/>
      </c>
      <c r="BD78" s="2476" t="str">
        <f t="shared" si="168"/>
        <v/>
      </c>
      <c r="BE78" s="41">
        <f t="shared" si="184"/>
        <v>-47</v>
      </c>
      <c r="BF78" s="267" t="str">
        <f t="shared" si="169"/>
        <v/>
      </c>
      <c r="BG78" s="2400" t="str">
        <f t="shared" si="110"/>
        <v/>
      </c>
      <c r="BH78" s="2400" t="str">
        <f t="shared" si="170"/>
        <v/>
      </c>
      <c r="BI78" s="2400" t="str">
        <f t="shared" si="171"/>
        <v/>
      </c>
      <c r="BJ78" s="2400" t="str">
        <f t="shared" si="172"/>
        <v/>
      </c>
      <c r="BK78" s="2425"/>
      <c r="BL78" s="2465" t="str">
        <f t="shared" si="173"/>
        <v/>
      </c>
      <c r="BM78" s="2466" t="str">
        <f t="shared" si="174"/>
        <v/>
      </c>
      <c r="BN78" s="2465" t="str">
        <f t="shared" si="175"/>
        <v/>
      </c>
      <c r="BO78" s="2466" t="str">
        <f t="shared" si="176"/>
        <v/>
      </c>
    </row>
    <row r="79" spans="1:67" x14ac:dyDescent="0.25">
      <c r="A79" s="2397">
        <f t="shared" si="185"/>
        <v>77</v>
      </c>
      <c r="B79" s="41">
        <f t="shared" si="177"/>
        <v>-127</v>
      </c>
      <c r="C79" s="41">
        <f t="shared" si="178"/>
        <v>-115</v>
      </c>
      <c r="D79" s="267" t="str">
        <f t="shared" si="126"/>
        <v/>
      </c>
      <c r="E79" s="2428" t="str">
        <f t="shared" si="127"/>
        <v/>
      </c>
      <c r="F79" s="2398" t="str">
        <f t="shared" si="128"/>
        <v/>
      </c>
      <c r="G79" s="2398" t="str">
        <f t="shared" si="129"/>
        <v/>
      </c>
      <c r="H79" s="2398" t="str">
        <f t="shared" si="130"/>
        <v/>
      </c>
      <c r="I79" s="2431" t="str">
        <f t="shared" si="131"/>
        <v/>
      </c>
      <c r="J79" s="2398" t="str">
        <f t="shared" si="132"/>
        <v/>
      </c>
      <c r="K79" s="2398" t="str">
        <f t="shared" si="133"/>
        <v/>
      </c>
      <c r="L79" s="2432" t="str">
        <f t="shared" si="134"/>
        <v/>
      </c>
      <c r="M79" s="2398" t="str">
        <f t="shared" si="135"/>
        <v/>
      </c>
      <c r="N79" s="2398" t="str">
        <f t="shared" si="136"/>
        <v/>
      </c>
      <c r="O79" s="2398" t="str">
        <f t="shared" si="137"/>
        <v/>
      </c>
      <c r="P79" s="2398" t="str">
        <f t="shared" si="138"/>
        <v/>
      </c>
      <c r="Q79" s="2453"/>
      <c r="R79" s="2448" t="str">
        <f t="shared" si="139"/>
        <v/>
      </c>
      <c r="S79" s="2448" t="str">
        <f t="shared" si="140"/>
        <v/>
      </c>
      <c r="T79" s="2448" t="str">
        <f t="shared" si="141"/>
        <v/>
      </c>
      <c r="U79" s="2448" t="str">
        <f t="shared" si="142"/>
        <v/>
      </c>
      <c r="V79" s="2448" t="str">
        <f t="shared" si="143"/>
        <v/>
      </c>
      <c r="W79" s="2449" t="str">
        <f t="shared" si="144"/>
        <v/>
      </c>
      <c r="X79" s="2479" t="str" cm="1">
        <f t="array" ref="X79">IFERROR(HLOOKUP(CoStar_DataSet_Inventory_2A,CoStar_Inventory_Array,$A79,FALSE),"-")</f>
        <v/>
      </c>
      <c r="Y79" s="2448" t="str">
        <f t="shared" si="145"/>
        <v/>
      </c>
      <c r="Z79" s="2448" t="str">
        <f t="shared" si="146"/>
        <v/>
      </c>
      <c r="AA79" s="2448" t="str">
        <f t="shared" si="147"/>
        <v/>
      </c>
      <c r="AB79" s="2448" t="str">
        <f t="shared" si="148"/>
        <v/>
      </c>
      <c r="AC79" s="2448" t="str">
        <f t="shared" si="149"/>
        <v/>
      </c>
      <c r="AD79" s="41">
        <f t="shared" si="179"/>
        <v>-127</v>
      </c>
      <c r="AE79" s="267" t="str">
        <f t="shared" si="150"/>
        <v/>
      </c>
      <c r="AF79" s="2398" t="str">
        <f t="shared" si="151"/>
        <v/>
      </c>
      <c r="AG79" s="2398" t="str">
        <f t="shared" si="152"/>
        <v/>
      </c>
      <c r="AH79" s="2398" t="str">
        <f t="shared" si="153"/>
        <v/>
      </c>
      <c r="AI79" s="2398" t="str">
        <f t="shared" si="154"/>
        <v/>
      </c>
      <c r="AJ79" s="2398" t="str">
        <f t="shared" si="155"/>
        <v/>
      </c>
      <c r="AK79" s="2398" t="str">
        <f t="shared" si="156"/>
        <v/>
      </c>
      <c r="AL79" s="2398" t="str">
        <f t="shared" si="157"/>
        <v/>
      </c>
      <c r="AM79" s="2398" t="str">
        <f t="shared" si="158"/>
        <v/>
      </c>
      <c r="AN79" s="2399" t="str">
        <f t="shared" si="180"/>
        <v/>
      </c>
      <c r="AO79" s="2399" t="str">
        <f t="shared" si="181"/>
        <v/>
      </c>
      <c r="AP79" s="2399" t="str">
        <f t="shared" si="182"/>
        <v/>
      </c>
      <c r="AQ79" s="2399" t="str">
        <f t="shared" si="183"/>
        <v/>
      </c>
      <c r="AR79" s="2474"/>
      <c r="AS79" s="2479" t="str">
        <f t="shared" si="159"/>
        <v/>
      </c>
      <c r="AT79" s="2448"/>
      <c r="AU79" s="2475" t="str">
        <f t="shared" si="160"/>
        <v/>
      </c>
      <c r="AV79" s="2448" t="str">
        <f t="shared" si="161"/>
        <v/>
      </c>
      <c r="AW79" s="2448"/>
      <c r="AX79" s="2476" t="str">
        <f t="shared" si="162"/>
        <v/>
      </c>
      <c r="AY79" s="2479" t="str">
        <f t="shared" si="163"/>
        <v/>
      </c>
      <c r="AZ79" s="2448" t="str">
        <f t="shared" si="164"/>
        <v/>
      </c>
      <c r="BA79" s="2475" t="str">
        <f t="shared" si="165"/>
        <v/>
      </c>
      <c r="BB79" s="2448" t="str">
        <f t="shared" si="166"/>
        <v/>
      </c>
      <c r="BC79" s="2448" t="str">
        <f t="shared" si="167"/>
        <v/>
      </c>
      <c r="BD79" s="2476" t="str">
        <f t="shared" si="168"/>
        <v/>
      </c>
      <c r="BE79" s="41">
        <f t="shared" si="184"/>
        <v>-48</v>
      </c>
      <c r="BF79" s="267" t="str">
        <f t="shared" si="169"/>
        <v/>
      </c>
      <c r="BG79" s="2400" t="str">
        <f t="shared" si="110"/>
        <v/>
      </c>
      <c r="BH79" s="2400" t="str">
        <f t="shared" si="170"/>
        <v/>
      </c>
      <c r="BI79" s="2400" t="str">
        <f t="shared" si="171"/>
        <v/>
      </c>
      <c r="BJ79" s="2400" t="str">
        <f t="shared" si="172"/>
        <v/>
      </c>
      <c r="BK79" s="2425"/>
      <c r="BL79" s="2465" t="str">
        <f t="shared" si="173"/>
        <v/>
      </c>
      <c r="BM79" s="2466" t="str">
        <f t="shared" si="174"/>
        <v/>
      </c>
      <c r="BN79" s="2465" t="str">
        <f t="shared" si="175"/>
        <v/>
      </c>
      <c r="BO79" s="2466" t="str">
        <f t="shared" si="176"/>
        <v/>
      </c>
    </row>
    <row r="80" spans="1:67" x14ac:dyDescent="0.25">
      <c r="A80" s="2397">
        <f t="shared" si="185"/>
        <v>78</v>
      </c>
      <c r="B80" s="41">
        <f t="shared" si="177"/>
        <v>-129</v>
      </c>
      <c r="C80" s="41">
        <f t="shared" si="178"/>
        <v>-117</v>
      </c>
      <c r="D80" s="267" t="str">
        <f t="shared" si="126"/>
        <v/>
      </c>
      <c r="E80" s="2428" t="str">
        <f t="shared" si="127"/>
        <v/>
      </c>
      <c r="F80" s="2398" t="str">
        <f t="shared" si="128"/>
        <v/>
      </c>
      <c r="G80" s="2398" t="str">
        <f t="shared" si="129"/>
        <v/>
      </c>
      <c r="H80" s="2398" t="str">
        <f t="shared" si="130"/>
        <v/>
      </c>
      <c r="I80" s="2431" t="str">
        <f t="shared" si="131"/>
        <v/>
      </c>
      <c r="J80" s="2398" t="str">
        <f t="shared" si="132"/>
        <v/>
      </c>
      <c r="K80" s="2398" t="str">
        <f t="shared" si="133"/>
        <v/>
      </c>
      <c r="L80" s="2432" t="str">
        <f t="shared" si="134"/>
        <v/>
      </c>
      <c r="M80" s="2398" t="str">
        <f t="shared" si="135"/>
        <v/>
      </c>
      <c r="N80" s="2398" t="str">
        <f t="shared" si="136"/>
        <v/>
      </c>
      <c r="O80" s="2398" t="str">
        <f t="shared" si="137"/>
        <v/>
      </c>
      <c r="P80" s="2398" t="str">
        <f t="shared" si="138"/>
        <v/>
      </c>
      <c r="Q80" s="2453"/>
      <c r="R80" s="2448" t="str">
        <f t="shared" si="139"/>
        <v/>
      </c>
      <c r="S80" s="2448" t="str">
        <f t="shared" si="140"/>
        <v/>
      </c>
      <c r="T80" s="2448" t="str">
        <f t="shared" si="141"/>
        <v/>
      </c>
      <c r="U80" s="2448" t="str">
        <f t="shared" si="142"/>
        <v/>
      </c>
      <c r="V80" s="2448" t="str">
        <f t="shared" si="143"/>
        <v/>
      </c>
      <c r="W80" s="2449" t="str">
        <f t="shared" si="144"/>
        <v/>
      </c>
      <c r="X80" s="2479" t="str" cm="1">
        <f t="array" ref="X80">IFERROR(HLOOKUP(CoStar_DataSet_Inventory_2A,CoStar_Inventory_Array,$A80,FALSE),"-")</f>
        <v/>
      </c>
      <c r="Y80" s="2448" t="str">
        <f t="shared" si="145"/>
        <v/>
      </c>
      <c r="Z80" s="2448" t="str">
        <f t="shared" si="146"/>
        <v/>
      </c>
      <c r="AA80" s="2448" t="str">
        <f t="shared" si="147"/>
        <v/>
      </c>
      <c r="AB80" s="2448" t="str">
        <f t="shared" si="148"/>
        <v/>
      </c>
      <c r="AC80" s="2448" t="str">
        <f t="shared" si="149"/>
        <v/>
      </c>
      <c r="AD80" s="41">
        <f t="shared" si="179"/>
        <v>-129</v>
      </c>
      <c r="AE80" s="267" t="str">
        <f t="shared" si="150"/>
        <v/>
      </c>
      <c r="AF80" s="2398" t="str">
        <f t="shared" si="151"/>
        <v/>
      </c>
      <c r="AG80" s="2398" t="str">
        <f t="shared" si="152"/>
        <v/>
      </c>
      <c r="AH80" s="2398" t="str">
        <f t="shared" si="153"/>
        <v/>
      </c>
      <c r="AI80" s="2398" t="str">
        <f t="shared" si="154"/>
        <v/>
      </c>
      <c r="AJ80" s="2398" t="str">
        <f t="shared" si="155"/>
        <v/>
      </c>
      <c r="AK80" s="2398" t="str">
        <f t="shared" si="156"/>
        <v/>
      </c>
      <c r="AL80" s="2398" t="str">
        <f t="shared" si="157"/>
        <v/>
      </c>
      <c r="AM80" s="2398" t="str">
        <f t="shared" si="158"/>
        <v/>
      </c>
      <c r="AN80" s="2399" t="str">
        <f t="shared" si="180"/>
        <v/>
      </c>
      <c r="AO80" s="2399" t="str">
        <f t="shared" si="181"/>
        <v/>
      </c>
      <c r="AP80" s="2399" t="str">
        <f t="shared" si="182"/>
        <v/>
      </c>
      <c r="AQ80" s="2399" t="str">
        <f t="shared" si="183"/>
        <v/>
      </c>
      <c r="AR80" s="2474"/>
      <c r="AS80" s="2479" t="str">
        <f t="shared" si="159"/>
        <v/>
      </c>
      <c r="AT80" s="2448"/>
      <c r="AU80" s="2475" t="str">
        <f t="shared" si="160"/>
        <v/>
      </c>
      <c r="AV80" s="2448" t="str">
        <f t="shared" si="161"/>
        <v/>
      </c>
      <c r="AW80" s="2448"/>
      <c r="AX80" s="2476" t="str">
        <f t="shared" si="162"/>
        <v/>
      </c>
      <c r="AY80" s="2479" t="str">
        <f t="shared" si="163"/>
        <v/>
      </c>
      <c r="AZ80" s="2448" t="str">
        <f t="shared" si="164"/>
        <v/>
      </c>
      <c r="BA80" s="2475" t="str">
        <f t="shared" si="165"/>
        <v/>
      </c>
      <c r="BB80" s="2448" t="str">
        <f t="shared" si="166"/>
        <v/>
      </c>
      <c r="BC80" s="2448" t="str">
        <f t="shared" si="167"/>
        <v/>
      </c>
      <c r="BD80" s="2476" t="str">
        <f t="shared" si="168"/>
        <v/>
      </c>
      <c r="BE80" s="41">
        <f t="shared" si="184"/>
        <v>-49</v>
      </c>
      <c r="BF80" s="267" t="str">
        <f t="shared" si="169"/>
        <v/>
      </c>
      <c r="BG80" s="2400" t="str">
        <f t="shared" si="110"/>
        <v/>
      </c>
      <c r="BH80" s="2400" t="str">
        <f t="shared" si="170"/>
        <v/>
      </c>
      <c r="BI80" s="2400" t="str">
        <f t="shared" si="171"/>
        <v/>
      </c>
      <c r="BJ80" s="2400" t="str">
        <f t="shared" si="172"/>
        <v/>
      </c>
      <c r="BK80" s="2425"/>
      <c r="BL80" s="2465" t="str">
        <f t="shared" si="173"/>
        <v/>
      </c>
      <c r="BM80" s="2466" t="str">
        <f t="shared" si="174"/>
        <v/>
      </c>
      <c r="BN80" s="2465" t="str">
        <f t="shared" si="175"/>
        <v/>
      </c>
      <c r="BO80" s="2466" t="str">
        <f t="shared" si="176"/>
        <v/>
      </c>
    </row>
    <row r="81" spans="1:67" x14ac:dyDescent="0.25">
      <c r="A81" s="2397">
        <f t="shared" si="185"/>
        <v>79</v>
      </c>
      <c r="B81" s="41">
        <f t="shared" si="177"/>
        <v>-131</v>
      </c>
      <c r="C81" s="41">
        <f t="shared" si="178"/>
        <v>-119</v>
      </c>
      <c r="D81" s="267" t="str">
        <f t="shared" si="126"/>
        <v/>
      </c>
      <c r="E81" s="2428" t="str">
        <f t="shared" si="127"/>
        <v/>
      </c>
      <c r="F81" s="2398" t="str">
        <f t="shared" si="128"/>
        <v/>
      </c>
      <c r="G81" s="2398" t="str">
        <f t="shared" si="129"/>
        <v/>
      </c>
      <c r="H81" s="2398" t="str">
        <f t="shared" si="130"/>
        <v/>
      </c>
      <c r="I81" s="2431" t="str">
        <f t="shared" si="131"/>
        <v/>
      </c>
      <c r="J81" s="2398" t="str">
        <f t="shared" si="132"/>
        <v/>
      </c>
      <c r="K81" s="2398" t="str">
        <f t="shared" si="133"/>
        <v/>
      </c>
      <c r="L81" s="2432" t="str">
        <f t="shared" si="134"/>
        <v/>
      </c>
      <c r="M81" s="2398" t="str">
        <f t="shared" si="135"/>
        <v/>
      </c>
      <c r="N81" s="2398" t="str">
        <f t="shared" si="136"/>
        <v/>
      </c>
      <c r="O81" s="2398" t="str">
        <f t="shared" si="137"/>
        <v/>
      </c>
      <c r="P81" s="2398" t="str">
        <f t="shared" si="138"/>
        <v/>
      </c>
      <c r="Q81" s="2453"/>
      <c r="R81" s="2448" t="str">
        <f t="shared" si="139"/>
        <v/>
      </c>
      <c r="S81" s="2448" t="str">
        <f t="shared" si="140"/>
        <v/>
      </c>
      <c r="T81" s="2448" t="str">
        <f t="shared" si="141"/>
        <v/>
      </c>
      <c r="U81" s="2448" t="str">
        <f t="shared" si="142"/>
        <v/>
      </c>
      <c r="V81" s="2448" t="str">
        <f t="shared" si="143"/>
        <v/>
      </c>
      <c r="W81" s="2449" t="str">
        <f t="shared" si="144"/>
        <v/>
      </c>
      <c r="X81" s="2479" t="str" cm="1">
        <f t="array" ref="X81">IFERROR(HLOOKUP(CoStar_DataSet_Inventory_2A,CoStar_Inventory_Array,$A81,FALSE),"-")</f>
        <v/>
      </c>
      <c r="Y81" s="2448" t="str">
        <f t="shared" si="145"/>
        <v/>
      </c>
      <c r="Z81" s="2448" t="str">
        <f t="shared" si="146"/>
        <v/>
      </c>
      <c r="AA81" s="2448" t="str">
        <f t="shared" si="147"/>
        <v/>
      </c>
      <c r="AB81" s="2448" t="str">
        <f t="shared" si="148"/>
        <v/>
      </c>
      <c r="AC81" s="2448" t="str">
        <f t="shared" si="149"/>
        <v/>
      </c>
      <c r="AD81" s="41">
        <f t="shared" si="179"/>
        <v>-131</v>
      </c>
      <c r="AE81" s="267" t="str">
        <f t="shared" si="150"/>
        <v/>
      </c>
      <c r="AF81" s="2398" t="str">
        <f t="shared" si="151"/>
        <v/>
      </c>
      <c r="AG81" s="2398" t="str">
        <f t="shared" si="152"/>
        <v/>
      </c>
      <c r="AH81" s="2398" t="str">
        <f t="shared" si="153"/>
        <v/>
      </c>
      <c r="AI81" s="2398" t="str">
        <f t="shared" si="154"/>
        <v/>
      </c>
      <c r="AJ81" s="2398" t="str">
        <f t="shared" si="155"/>
        <v/>
      </c>
      <c r="AK81" s="2398" t="str">
        <f t="shared" si="156"/>
        <v/>
      </c>
      <c r="AL81" s="2398" t="str">
        <f t="shared" si="157"/>
        <v/>
      </c>
      <c r="AM81" s="2398" t="str">
        <f t="shared" si="158"/>
        <v/>
      </c>
      <c r="AN81" s="2399" t="str">
        <f t="shared" si="180"/>
        <v/>
      </c>
      <c r="AO81" s="2399" t="str">
        <f t="shared" si="181"/>
        <v/>
      </c>
      <c r="AP81" s="2399" t="str">
        <f t="shared" si="182"/>
        <v/>
      </c>
      <c r="AQ81" s="2399" t="str">
        <f t="shared" si="183"/>
        <v/>
      </c>
      <c r="AR81" s="2474"/>
      <c r="AS81" s="2479" t="str">
        <f t="shared" si="159"/>
        <v/>
      </c>
      <c r="AT81" s="2448"/>
      <c r="AU81" s="2475" t="str">
        <f t="shared" si="160"/>
        <v/>
      </c>
      <c r="AV81" s="2448" t="str">
        <f t="shared" si="161"/>
        <v/>
      </c>
      <c r="AW81" s="2448"/>
      <c r="AX81" s="2476" t="str">
        <f t="shared" si="162"/>
        <v/>
      </c>
      <c r="AY81" s="2479" t="str">
        <f t="shared" si="163"/>
        <v/>
      </c>
      <c r="AZ81" s="2448" t="str">
        <f t="shared" si="164"/>
        <v/>
      </c>
      <c r="BA81" s="2475" t="str">
        <f t="shared" si="165"/>
        <v/>
      </c>
      <c r="BB81" s="2448" t="str">
        <f t="shared" si="166"/>
        <v/>
      </c>
      <c r="BC81" s="2448" t="str">
        <f t="shared" si="167"/>
        <v/>
      </c>
      <c r="BD81" s="2476" t="str">
        <f t="shared" si="168"/>
        <v/>
      </c>
      <c r="BE81" s="41">
        <f t="shared" si="184"/>
        <v>-50</v>
      </c>
      <c r="BF81" s="267" t="str">
        <f t="shared" si="169"/>
        <v/>
      </c>
      <c r="BG81" s="2400" t="str">
        <f t="shared" si="110"/>
        <v/>
      </c>
      <c r="BH81" s="2400" t="str">
        <f t="shared" si="170"/>
        <v/>
      </c>
      <c r="BI81" s="2400" t="str">
        <f t="shared" si="171"/>
        <v/>
      </c>
      <c r="BJ81" s="2400" t="str">
        <f t="shared" si="172"/>
        <v/>
      </c>
      <c r="BK81" s="2425"/>
      <c r="BL81" s="2465" t="str">
        <f t="shared" si="173"/>
        <v/>
      </c>
      <c r="BM81" s="2466" t="str">
        <f t="shared" si="174"/>
        <v/>
      </c>
      <c r="BN81" s="2465" t="str">
        <f t="shared" si="175"/>
        <v/>
      </c>
      <c r="BO81" s="2466" t="str">
        <f t="shared" si="176"/>
        <v/>
      </c>
    </row>
    <row r="82" spans="1:67" x14ac:dyDescent="0.25">
      <c r="A82" s="2397">
        <f t="shared" si="185"/>
        <v>80</v>
      </c>
      <c r="B82" s="41">
        <f t="shared" si="177"/>
        <v>-133</v>
      </c>
      <c r="C82" s="41">
        <f t="shared" si="178"/>
        <v>-121</v>
      </c>
      <c r="D82" s="267" t="str">
        <f t="shared" si="126"/>
        <v/>
      </c>
      <c r="E82" s="2428" t="str">
        <f t="shared" si="127"/>
        <v/>
      </c>
      <c r="F82" s="2398" t="str">
        <f t="shared" si="128"/>
        <v/>
      </c>
      <c r="G82" s="2398" t="str">
        <f t="shared" si="129"/>
        <v/>
      </c>
      <c r="H82" s="2398" t="str">
        <f t="shared" si="130"/>
        <v/>
      </c>
      <c r="I82" s="2431" t="str">
        <f t="shared" si="131"/>
        <v/>
      </c>
      <c r="J82" s="2398" t="str">
        <f t="shared" si="132"/>
        <v/>
      </c>
      <c r="K82" s="2398" t="str">
        <f t="shared" si="133"/>
        <v/>
      </c>
      <c r="L82" s="2432" t="str">
        <f t="shared" si="134"/>
        <v/>
      </c>
      <c r="M82" s="2398" t="str">
        <f t="shared" si="135"/>
        <v/>
      </c>
      <c r="N82" s="2398" t="str">
        <f t="shared" si="136"/>
        <v/>
      </c>
      <c r="O82" s="2398" t="str">
        <f t="shared" si="137"/>
        <v/>
      </c>
      <c r="P82" s="2398" t="str">
        <f t="shared" si="138"/>
        <v/>
      </c>
      <c r="Q82" s="2454"/>
      <c r="R82" s="2450" t="str">
        <f t="shared" si="139"/>
        <v/>
      </c>
      <c r="S82" s="2448" t="str">
        <f t="shared" si="140"/>
        <v/>
      </c>
      <c r="T82" s="2448" t="str">
        <f t="shared" si="141"/>
        <v/>
      </c>
      <c r="U82" s="2450" t="str">
        <f t="shared" si="142"/>
        <v/>
      </c>
      <c r="V82" s="2450" t="str">
        <f t="shared" si="143"/>
        <v/>
      </c>
      <c r="W82" s="2451" t="str">
        <f t="shared" si="144"/>
        <v/>
      </c>
      <c r="X82" s="2484" t="str" cm="1">
        <f t="array" ref="X82">IFERROR(HLOOKUP(CoStar_DataSet_Inventory_2A,CoStar_Inventory_Array,$A82,FALSE),"-")</f>
        <v/>
      </c>
      <c r="Y82" s="2450" t="str">
        <f t="shared" si="145"/>
        <v/>
      </c>
      <c r="Z82" s="2450" t="str">
        <f t="shared" si="146"/>
        <v/>
      </c>
      <c r="AA82" s="2450" t="str">
        <f t="shared" si="147"/>
        <v/>
      </c>
      <c r="AB82" s="2450" t="str">
        <f t="shared" si="148"/>
        <v/>
      </c>
      <c r="AC82" s="2450" t="str">
        <f t="shared" si="149"/>
        <v/>
      </c>
      <c r="AD82" s="2480">
        <f t="shared" si="179"/>
        <v>-133</v>
      </c>
      <c r="AE82" s="267" t="str">
        <f t="shared" si="150"/>
        <v/>
      </c>
      <c r="AF82" s="2482" t="str">
        <f t="shared" si="151"/>
        <v/>
      </c>
      <c r="AG82" s="2482" t="str">
        <f t="shared" si="152"/>
        <v/>
      </c>
      <c r="AH82" s="2482" t="str">
        <f t="shared" si="153"/>
        <v/>
      </c>
      <c r="AI82" s="2482" t="str">
        <f t="shared" si="154"/>
        <v/>
      </c>
      <c r="AJ82" s="2482" t="str">
        <f t="shared" si="155"/>
        <v/>
      </c>
      <c r="AK82" s="2482" t="str">
        <f t="shared" si="156"/>
        <v/>
      </c>
      <c r="AL82" s="2482" t="str">
        <f t="shared" si="157"/>
        <v/>
      </c>
      <c r="AM82" s="2482" t="str">
        <f t="shared" si="158"/>
        <v/>
      </c>
      <c r="AN82" s="2477" t="str">
        <f t="shared" si="180"/>
        <v/>
      </c>
      <c r="AO82" s="2477" t="str">
        <f t="shared" si="181"/>
        <v/>
      </c>
      <c r="AP82" s="2477" t="str">
        <f t="shared" si="182"/>
        <v/>
      </c>
      <c r="AQ82" s="2477" t="str">
        <f t="shared" si="183"/>
        <v/>
      </c>
      <c r="AR82" s="2483"/>
      <c r="AS82" s="2484" t="str">
        <f t="shared" si="159"/>
        <v/>
      </c>
      <c r="AT82" s="2450"/>
      <c r="AU82" s="2477" t="str">
        <f t="shared" si="160"/>
        <v/>
      </c>
      <c r="AV82" s="2450" t="str">
        <f t="shared" si="161"/>
        <v/>
      </c>
      <c r="AW82" s="2450"/>
      <c r="AX82" s="2478" t="str">
        <f t="shared" si="162"/>
        <v/>
      </c>
      <c r="AY82" s="2479" t="str">
        <f t="shared" si="163"/>
        <v/>
      </c>
      <c r="AZ82" s="2448" t="str">
        <f t="shared" si="164"/>
        <v/>
      </c>
      <c r="BA82" s="2475" t="str">
        <f t="shared" si="165"/>
        <v/>
      </c>
      <c r="BB82" s="2448" t="str">
        <f t="shared" si="166"/>
        <v/>
      </c>
      <c r="BC82" s="2448" t="str">
        <f t="shared" si="167"/>
        <v/>
      </c>
      <c r="BD82" s="2476" t="str">
        <f t="shared" si="168"/>
        <v/>
      </c>
      <c r="BE82" s="2480">
        <f t="shared" si="184"/>
        <v>-51</v>
      </c>
      <c r="BF82" s="2481" t="str">
        <f t="shared" si="169"/>
        <v/>
      </c>
      <c r="BG82" s="2400" t="str">
        <f t="shared" si="110"/>
        <v/>
      </c>
      <c r="BH82" s="2400" t="str">
        <f t="shared" si="170"/>
        <v/>
      </c>
      <c r="BI82" s="2400" t="str">
        <f t="shared" si="171"/>
        <v/>
      </c>
      <c r="BJ82" s="2400" t="str">
        <f t="shared" si="172"/>
        <v/>
      </c>
      <c r="BK82" s="2426"/>
      <c r="BL82" s="2467" t="str">
        <f t="shared" si="173"/>
        <v/>
      </c>
      <c r="BM82" s="2468" t="str">
        <f t="shared" si="174"/>
        <v/>
      </c>
      <c r="BN82" s="2467" t="str">
        <f t="shared" si="175"/>
        <v/>
      </c>
      <c r="BO82" s="2468" t="str">
        <f t="shared" si="176"/>
        <v/>
      </c>
    </row>
    <row r="83" spans="1:67" x14ac:dyDescent="0.25">
      <c r="A83" s="2407"/>
      <c r="B83" s="2407"/>
      <c r="C83" s="2407"/>
      <c r="D83" s="2407"/>
      <c r="E83" s="2407"/>
      <c r="F83" s="2407"/>
      <c r="G83" s="2407"/>
      <c r="H83" s="2407"/>
      <c r="I83" s="2407"/>
      <c r="J83" s="2407"/>
      <c r="K83" s="2407"/>
      <c r="L83" s="2407"/>
      <c r="M83" s="2407"/>
      <c r="N83" s="2407"/>
      <c r="O83" s="2407"/>
      <c r="P83" s="2407"/>
      <c r="Q83" s="2407"/>
      <c r="R83" s="2407"/>
      <c r="S83" s="2407"/>
      <c r="T83" s="2407"/>
      <c r="U83" s="2407"/>
      <c r="V83" s="2407"/>
      <c r="W83" s="2407"/>
      <c r="AF83" s="2398"/>
      <c r="AG83" s="2398"/>
      <c r="AH83" s="2398"/>
      <c r="AI83" s="2398"/>
      <c r="AJ83" s="2398"/>
      <c r="AK83" s="2398"/>
      <c r="AL83" s="2398"/>
      <c r="AM83" s="2398"/>
      <c r="AN83" s="2399"/>
      <c r="AO83" s="2399"/>
      <c r="AP83" s="2399"/>
      <c r="AQ83" s="2399"/>
      <c r="AR83" s="2408"/>
      <c r="AS83" s="2448"/>
      <c r="AT83" s="2448"/>
      <c r="AU83" s="2448"/>
      <c r="AV83" s="2448"/>
      <c r="AW83" s="2448"/>
      <c r="AX83" s="2475"/>
      <c r="AY83" s="2408"/>
      <c r="AZ83" s="2408"/>
      <c r="BA83" s="2408"/>
      <c r="BB83" s="2408"/>
      <c r="BC83" s="2408"/>
      <c r="BD83" s="2408"/>
      <c r="BE83" s="2475"/>
      <c r="BF83" s="2475"/>
      <c r="BG83" s="2407"/>
      <c r="BH83" s="2407"/>
      <c r="BI83" s="2407"/>
      <c r="BJ83" s="2407"/>
      <c r="BK83" s="2407"/>
      <c r="BL83" s="2407"/>
      <c r="BM83" s="2407"/>
    </row>
    <row r="84" spans="1:67" x14ac:dyDescent="0.25">
      <c r="AD84" s="2485"/>
      <c r="AF84" s="2398"/>
      <c r="AG84" s="2398"/>
      <c r="AH84" s="2398"/>
      <c r="AI84" s="2398"/>
      <c r="AJ84" s="2398"/>
      <c r="AK84" s="2398"/>
      <c r="AL84" s="2398"/>
      <c r="AM84" s="2398"/>
      <c r="AN84" s="2399"/>
      <c r="AO84" s="2399"/>
      <c r="AP84" s="2399"/>
      <c r="AQ84" s="2399"/>
      <c r="AR84" s="2475"/>
      <c r="AS84" s="2448"/>
      <c r="AT84" s="2448"/>
      <c r="AU84" s="2448"/>
      <c r="AV84" s="2448"/>
      <c r="AW84" s="2448"/>
      <c r="AX84" s="2475"/>
      <c r="AY84" s="2475"/>
      <c r="AZ84" s="2475"/>
      <c r="BA84" s="2475"/>
      <c r="BB84" s="2475"/>
      <c r="BC84" s="2475"/>
      <c r="BD84" s="2475"/>
    </row>
    <row r="85" spans="1:67" x14ac:dyDescent="0.25">
      <c r="AF85" s="2398"/>
      <c r="AG85" s="2398"/>
      <c r="AH85" s="2398"/>
      <c r="AI85" s="2398"/>
      <c r="AJ85" s="2398"/>
      <c r="AK85" s="2398"/>
      <c r="AL85" s="2398"/>
      <c r="AM85" s="2398"/>
      <c r="AN85" s="2399"/>
      <c r="AO85" s="2399"/>
      <c r="AP85" s="2399"/>
      <c r="AQ85" s="2399"/>
      <c r="AR85" s="2475"/>
      <c r="AS85" s="2448"/>
      <c r="AT85" s="2448"/>
      <c r="AU85" s="2448"/>
      <c r="AV85" s="2448"/>
      <c r="AW85" s="2448"/>
      <c r="AX85" s="2475"/>
      <c r="AY85" s="2475"/>
      <c r="AZ85" s="2475"/>
      <c r="BA85" s="2475"/>
      <c r="BB85" s="2475"/>
      <c r="BC85" s="2475"/>
      <c r="BD85" s="2475"/>
    </row>
    <row r="86" spans="1:67" x14ac:dyDescent="0.25">
      <c r="AD86" s="2485"/>
      <c r="AF86" s="2398"/>
      <c r="AG86" s="2398"/>
      <c r="AH86" s="2398"/>
      <c r="AI86" s="2398"/>
      <c r="AJ86" s="2398"/>
      <c r="AK86" s="2398"/>
      <c r="AL86" s="2398"/>
      <c r="AM86" s="2398"/>
      <c r="AN86" s="2399"/>
      <c r="AO86" s="2399"/>
      <c r="AP86" s="2399"/>
      <c r="AQ86" s="2399"/>
      <c r="AR86" s="2475"/>
      <c r="AS86" s="2448"/>
      <c r="AT86" s="2448"/>
      <c r="AU86" s="2448"/>
      <c r="AV86" s="2448"/>
      <c r="AW86" s="2448"/>
      <c r="AX86" s="2475"/>
      <c r="AY86" s="2475"/>
      <c r="AZ86" s="2475"/>
      <c r="BA86" s="2475"/>
      <c r="BB86" s="2475"/>
      <c r="BC86" s="2475"/>
      <c r="BD86" s="2475"/>
    </row>
    <row r="87" spans="1:67" x14ac:dyDescent="0.25">
      <c r="AF87" s="2398"/>
      <c r="AG87" s="2398"/>
      <c r="AH87" s="2398"/>
      <c r="AI87" s="2398"/>
      <c r="AJ87" s="2398"/>
      <c r="AK87" s="2398"/>
      <c r="AL87" s="2398"/>
      <c r="AM87" s="2398"/>
      <c r="AN87" s="2399"/>
      <c r="AO87" s="2399"/>
      <c r="AP87" s="2399"/>
      <c r="AQ87" s="2399"/>
      <c r="AR87" s="2475"/>
      <c r="AS87" s="2448"/>
      <c r="AT87" s="2448"/>
      <c r="AU87" s="2448"/>
      <c r="AV87" s="2448"/>
      <c r="AW87" s="2448"/>
      <c r="AX87" s="2475"/>
      <c r="AY87" s="2475"/>
      <c r="AZ87" s="2475"/>
      <c r="BA87" s="2475"/>
      <c r="BB87" s="2475"/>
      <c r="BC87" s="2475"/>
      <c r="BD87" s="2475"/>
    </row>
    <row r="88" spans="1:67" x14ac:dyDescent="0.25">
      <c r="AD88" s="2485"/>
      <c r="AF88" s="2398"/>
      <c r="AG88" s="2398"/>
      <c r="AH88" s="2398"/>
      <c r="AI88" s="2398"/>
      <c r="AJ88" s="2398"/>
      <c r="AK88" s="2398"/>
      <c r="AL88" s="2398"/>
      <c r="AM88" s="2398"/>
      <c r="AN88" s="2399"/>
      <c r="AO88" s="2399"/>
      <c r="AP88" s="2399"/>
      <c r="AQ88" s="2399"/>
      <c r="AR88" s="2475"/>
      <c r="AS88" s="2448"/>
      <c r="AT88" s="2448"/>
      <c r="AU88" s="2448"/>
      <c r="AV88" s="2448"/>
      <c r="AW88" s="2448"/>
      <c r="AX88" s="2475"/>
      <c r="AY88" s="2475"/>
      <c r="AZ88" s="2475"/>
      <c r="BA88" s="2475"/>
      <c r="BB88" s="2475"/>
      <c r="BC88" s="2475"/>
      <c r="BD88" s="2475"/>
    </row>
    <row r="89" spans="1:67" x14ac:dyDescent="0.25">
      <c r="AF89" s="2398"/>
      <c r="AG89" s="2398"/>
      <c r="AH89" s="2398"/>
      <c r="AI89" s="2398"/>
      <c r="AJ89" s="2398"/>
      <c r="AK89" s="2398"/>
      <c r="AL89" s="2398"/>
      <c r="AM89" s="2398"/>
      <c r="AN89" s="2399"/>
      <c r="AO89" s="2399"/>
      <c r="AP89" s="2399"/>
      <c r="AQ89" s="2399"/>
      <c r="AR89" s="2475"/>
      <c r="AS89" s="2448"/>
      <c r="AT89" s="2448"/>
      <c r="AU89" s="2448"/>
      <c r="AV89" s="2448"/>
      <c r="AW89" s="2448"/>
      <c r="AX89" s="2475"/>
      <c r="AY89" s="2475"/>
      <c r="AZ89" s="2475"/>
      <c r="BA89" s="2475"/>
      <c r="BB89" s="2475"/>
      <c r="BC89" s="2475"/>
      <c r="BD89" s="2475"/>
    </row>
    <row r="90" spans="1:67" x14ac:dyDescent="0.25">
      <c r="AD90" s="2485"/>
      <c r="AF90" s="2398"/>
      <c r="AG90" s="2398"/>
      <c r="AH90" s="2398"/>
      <c r="AI90" s="2398"/>
      <c r="AJ90" s="2398"/>
      <c r="AK90" s="2398"/>
      <c r="AL90" s="2398"/>
      <c r="AM90" s="2398"/>
      <c r="AN90" s="2399"/>
      <c r="AO90" s="2399"/>
      <c r="AP90" s="2399"/>
      <c r="AQ90" s="2399"/>
      <c r="AR90" s="2475"/>
      <c r="AS90" s="2448"/>
      <c r="AT90" s="2448"/>
      <c r="AU90" s="2448"/>
      <c r="AV90" s="2448"/>
      <c r="AW90" s="2448"/>
      <c r="AX90" s="2475"/>
      <c r="AY90" s="2475"/>
      <c r="AZ90" s="2475"/>
      <c r="BA90" s="2475"/>
      <c r="BB90" s="2475"/>
      <c r="BC90" s="2475"/>
      <c r="BD90" s="2475"/>
    </row>
    <row r="91" spans="1:67" x14ac:dyDescent="0.25">
      <c r="AF91" s="2398"/>
      <c r="AG91" s="2398"/>
      <c r="AH91" s="2398"/>
      <c r="AI91" s="2398"/>
      <c r="AJ91" s="2398"/>
      <c r="AK91" s="2398"/>
      <c r="AL91" s="2398"/>
      <c r="AM91" s="2398"/>
      <c r="AN91" s="2399"/>
      <c r="AO91" s="2399"/>
      <c r="AP91" s="2399"/>
      <c r="AQ91" s="2399"/>
      <c r="AR91" s="2475"/>
      <c r="AS91" s="2448"/>
      <c r="AT91" s="2448"/>
      <c r="AU91" s="2448"/>
      <c r="AV91" s="2448"/>
      <c r="AW91" s="2448"/>
      <c r="AX91" s="2475"/>
      <c r="AY91" s="2475"/>
      <c r="AZ91" s="2475"/>
      <c r="BA91" s="2475"/>
      <c r="BB91" s="2475"/>
      <c r="BC91" s="2475"/>
      <c r="BD91" s="2475"/>
    </row>
    <row r="92" spans="1:67" x14ac:dyDescent="0.25">
      <c r="AD92" s="2485"/>
      <c r="AF92" s="2398"/>
      <c r="AG92" s="2398"/>
      <c r="AH92" s="2398"/>
      <c r="AI92" s="2398"/>
      <c r="AJ92" s="2398"/>
      <c r="AK92" s="2398"/>
      <c r="AL92" s="2398"/>
      <c r="AM92" s="2398"/>
      <c r="AN92" s="2399"/>
      <c r="AO92" s="2399"/>
      <c r="AP92" s="2399"/>
      <c r="AQ92" s="2399"/>
      <c r="AR92" s="2475"/>
      <c r="AS92" s="2448"/>
      <c r="AT92" s="2448"/>
      <c r="AU92" s="2448"/>
      <c r="AV92" s="2448"/>
      <c r="AW92" s="2448"/>
      <c r="AX92" s="2475"/>
      <c r="AY92" s="2475"/>
      <c r="AZ92" s="2475"/>
      <c r="BA92" s="2475"/>
      <c r="BB92" s="2475"/>
      <c r="BC92" s="2475"/>
      <c r="BD92" s="2475"/>
    </row>
    <row r="93" spans="1:67" x14ac:dyDescent="0.25">
      <c r="AF93" s="2398"/>
      <c r="AG93" s="2398"/>
      <c r="AH93" s="2398"/>
      <c r="AI93" s="2398"/>
      <c r="AJ93" s="2398"/>
      <c r="AK93" s="2398"/>
      <c r="AL93" s="2398"/>
      <c r="AM93" s="2398"/>
      <c r="AN93" s="2399"/>
      <c r="AO93" s="2399"/>
      <c r="AP93" s="2399"/>
      <c r="AQ93" s="2399"/>
      <c r="AR93" s="2475"/>
      <c r="AS93" s="2448"/>
      <c r="AT93" s="2448"/>
      <c r="AU93" s="2448"/>
      <c r="AV93" s="2448"/>
      <c r="AW93" s="2448"/>
      <c r="AX93" s="2475"/>
      <c r="AY93" s="2475"/>
      <c r="AZ93" s="2475"/>
      <c r="BA93" s="2475"/>
      <c r="BB93" s="2475"/>
      <c r="BC93" s="2475"/>
      <c r="BD93" s="2475"/>
    </row>
    <row r="94" spans="1:67" x14ac:dyDescent="0.25">
      <c r="AD94" s="2485"/>
      <c r="AF94" s="2398"/>
      <c r="AG94" s="2398"/>
      <c r="AH94" s="2398"/>
      <c r="AI94" s="2398"/>
      <c r="AJ94" s="2398"/>
      <c r="AK94" s="2398"/>
      <c r="AL94" s="2398"/>
      <c r="AM94" s="2398"/>
      <c r="AN94" s="2399"/>
      <c r="AO94" s="2399"/>
      <c r="AP94" s="2399"/>
      <c r="AQ94" s="2399"/>
      <c r="AR94" s="2475"/>
      <c r="AS94" s="2448"/>
      <c r="AT94" s="2448"/>
      <c r="AU94" s="2448"/>
      <c r="AV94" s="2448"/>
      <c r="AW94" s="2448"/>
      <c r="AX94" s="2475"/>
      <c r="AY94" s="2475"/>
      <c r="AZ94" s="2475"/>
      <c r="BA94" s="2475"/>
      <c r="BB94" s="2475"/>
      <c r="BC94" s="2475"/>
      <c r="BD94" s="2475"/>
    </row>
    <row r="95" spans="1:67" x14ac:dyDescent="0.25">
      <c r="AF95" s="2398"/>
      <c r="AG95" s="2398"/>
      <c r="AH95" s="2398"/>
      <c r="AI95" s="2398"/>
      <c r="AJ95" s="2398"/>
      <c r="AK95" s="2398"/>
      <c r="AL95" s="2398"/>
      <c r="AM95" s="2398"/>
      <c r="AN95" s="2399"/>
      <c r="AO95" s="2399"/>
      <c r="AP95" s="2399"/>
      <c r="AQ95" s="2399"/>
      <c r="AR95" s="2475"/>
      <c r="AS95" s="2448"/>
      <c r="AT95" s="2448"/>
      <c r="AU95" s="2448"/>
      <c r="AV95" s="2448"/>
      <c r="AW95" s="2448"/>
      <c r="AX95" s="2475"/>
      <c r="AY95" s="2475"/>
      <c r="AZ95" s="2475"/>
      <c r="BA95" s="2475"/>
      <c r="BB95" s="2475"/>
      <c r="BC95" s="2475"/>
      <c r="BD95" s="2475"/>
    </row>
    <row r="96" spans="1:67" x14ac:dyDescent="0.25">
      <c r="AD96" s="2485"/>
      <c r="AF96" s="2398"/>
      <c r="AG96" s="2398"/>
      <c r="AH96" s="2398"/>
      <c r="AI96" s="2398"/>
      <c r="AJ96" s="2398"/>
      <c r="AK96" s="2398"/>
      <c r="AL96" s="2398"/>
      <c r="AM96" s="2398"/>
      <c r="AN96" s="2399"/>
      <c r="AO96" s="2399"/>
      <c r="AP96" s="2399"/>
      <c r="AQ96" s="2399"/>
      <c r="AR96" s="2475"/>
      <c r="AS96" s="2448"/>
      <c r="AT96" s="2448"/>
      <c r="AU96" s="2448"/>
      <c r="AV96" s="2448"/>
      <c r="AW96" s="2448"/>
      <c r="AX96" s="2475"/>
      <c r="AY96" s="2475"/>
      <c r="AZ96" s="2475"/>
      <c r="BA96" s="2475"/>
      <c r="BB96" s="2475"/>
      <c r="BC96" s="2475"/>
      <c r="BD96" s="2475"/>
    </row>
    <row r="97" spans="30:56" x14ac:dyDescent="0.25">
      <c r="AF97" s="2398"/>
      <c r="AG97" s="2398"/>
      <c r="AH97" s="2398"/>
      <c r="AI97" s="2398"/>
      <c r="AJ97" s="2398"/>
      <c r="AK97" s="2398"/>
      <c r="AL97" s="2398"/>
      <c r="AM97" s="2398"/>
      <c r="AN97" s="2399"/>
      <c r="AO97" s="2399"/>
      <c r="AP97" s="2399"/>
      <c r="AQ97" s="2399"/>
      <c r="AR97" s="2475"/>
      <c r="AS97" s="2448"/>
      <c r="AT97" s="2448"/>
      <c r="AU97" s="2448"/>
      <c r="AV97" s="2448"/>
      <c r="AW97" s="2448"/>
      <c r="AX97" s="2475"/>
      <c r="AY97" s="2475"/>
      <c r="AZ97" s="2475"/>
      <c r="BA97" s="2475"/>
      <c r="BB97" s="2475"/>
      <c r="BC97" s="2475"/>
      <c r="BD97" s="2475"/>
    </row>
    <row r="98" spans="30:56" x14ac:dyDescent="0.25">
      <c r="AD98" s="2485"/>
      <c r="AF98" s="2398"/>
      <c r="AG98" s="2398"/>
      <c r="AH98" s="2398"/>
      <c r="AI98" s="2398"/>
      <c r="AJ98" s="2398"/>
      <c r="AK98" s="2398"/>
      <c r="AL98" s="2398"/>
      <c r="AM98" s="2398"/>
      <c r="AN98" s="2399"/>
      <c r="AO98" s="2399"/>
      <c r="AP98" s="2399"/>
      <c r="AQ98" s="2399"/>
      <c r="AR98" s="2475"/>
      <c r="AS98" s="2448"/>
      <c r="AT98" s="2448"/>
      <c r="AU98" s="2448"/>
      <c r="AV98" s="2448"/>
      <c r="AW98" s="2448"/>
      <c r="AX98" s="2475"/>
      <c r="AY98" s="2475"/>
      <c r="AZ98" s="2475"/>
      <c r="BA98" s="2475"/>
      <c r="BB98" s="2475"/>
      <c r="BC98" s="2475"/>
      <c r="BD98" s="2475"/>
    </row>
    <row r="99" spans="30:56" x14ac:dyDescent="0.25">
      <c r="AF99" s="2398"/>
      <c r="AG99" s="2398"/>
      <c r="AH99" s="2398"/>
      <c r="AI99" s="2398"/>
      <c r="AJ99" s="2398"/>
      <c r="AK99" s="2398"/>
      <c r="AL99" s="2398"/>
      <c r="AM99" s="2398"/>
      <c r="AN99" s="2399"/>
      <c r="AO99" s="2399"/>
      <c r="AP99" s="2399"/>
      <c r="AQ99" s="2399"/>
      <c r="AR99" s="2475"/>
      <c r="AS99" s="2448"/>
      <c r="AT99" s="2448"/>
      <c r="AU99" s="2448"/>
      <c r="AV99" s="2448"/>
      <c r="AW99" s="2448"/>
      <c r="AX99" s="2475"/>
      <c r="AY99" s="2475"/>
      <c r="AZ99" s="2475"/>
      <c r="BA99" s="2475"/>
      <c r="BB99" s="2475"/>
      <c r="BC99" s="2475"/>
      <c r="BD99" s="2475"/>
    </row>
    <row r="100" spans="30:56" x14ac:dyDescent="0.25">
      <c r="AD100" s="2485"/>
      <c r="AF100" s="2398"/>
      <c r="AG100" s="2398"/>
      <c r="AH100" s="2398"/>
      <c r="AI100" s="2398"/>
      <c r="AJ100" s="2398"/>
      <c r="AK100" s="2398"/>
      <c r="AL100" s="2398"/>
      <c r="AM100" s="2398"/>
      <c r="AN100" s="2399"/>
      <c r="AO100" s="2399"/>
      <c r="AP100" s="2399"/>
      <c r="AQ100" s="2399"/>
      <c r="AR100" s="2475"/>
      <c r="AS100" s="2448"/>
      <c r="AT100" s="2448"/>
      <c r="AU100" s="2448"/>
      <c r="AV100" s="2448"/>
      <c r="AW100" s="2448"/>
      <c r="AX100" s="2475"/>
      <c r="AY100" s="2475"/>
      <c r="AZ100" s="2475"/>
      <c r="BA100" s="2475"/>
      <c r="BB100" s="2475"/>
      <c r="BC100" s="2475"/>
      <c r="BD100" s="2475"/>
    </row>
    <row r="101" spans="30:56" x14ac:dyDescent="0.25">
      <c r="AF101" s="2398"/>
      <c r="AG101" s="2398"/>
      <c r="AH101" s="2398"/>
      <c r="AI101" s="2398"/>
      <c r="AJ101" s="2398"/>
      <c r="AK101" s="2398"/>
      <c r="AL101" s="2398"/>
      <c r="AM101" s="2398"/>
      <c r="AN101" s="2399"/>
      <c r="AO101" s="2399"/>
      <c r="AP101" s="2399"/>
      <c r="AQ101" s="2399"/>
      <c r="AR101" s="2475"/>
      <c r="AS101" s="2448"/>
      <c r="AT101" s="2448"/>
      <c r="AU101" s="2448"/>
      <c r="AV101" s="2448"/>
      <c r="AW101" s="2448"/>
      <c r="AX101" s="2475"/>
      <c r="AY101" s="2475"/>
      <c r="AZ101" s="2475"/>
      <c r="BA101" s="2475"/>
      <c r="BB101" s="2475"/>
      <c r="BC101" s="2475"/>
      <c r="BD101" s="2475"/>
    </row>
    <row r="102" spans="30:56" x14ac:dyDescent="0.25">
      <c r="AD102" s="2485"/>
      <c r="AF102" s="2398"/>
      <c r="AG102" s="2398"/>
      <c r="AH102" s="2398"/>
      <c r="AI102" s="2398"/>
      <c r="AJ102" s="2398"/>
      <c r="AK102" s="2398"/>
      <c r="AL102" s="2398"/>
      <c r="AM102" s="2398"/>
      <c r="AN102" s="2399"/>
      <c r="AO102" s="2399"/>
      <c r="AP102" s="2399"/>
      <c r="AQ102" s="2399"/>
      <c r="AR102" s="2475"/>
      <c r="AS102" s="2448"/>
      <c r="AT102" s="2448"/>
      <c r="AU102" s="2448"/>
      <c r="AV102" s="2448"/>
      <c r="AW102" s="2448"/>
      <c r="AX102" s="2475"/>
      <c r="AY102" s="2475"/>
      <c r="AZ102" s="2475"/>
      <c r="BA102" s="2475"/>
      <c r="BB102" s="2475"/>
      <c r="BC102" s="2475"/>
      <c r="BD102" s="2475"/>
    </row>
    <row r="103" spans="30:56" x14ac:dyDescent="0.25">
      <c r="AF103" s="2398"/>
      <c r="AG103" s="2398"/>
      <c r="AH103" s="2398"/>
      <c r="AI103" s="2398"/>
      <c r="AJ103" s="2398"/>
      <c r="AK103" s="2398"/>
      <c r="AL103" s="2398"/>
      <c r="AM103" s="2398"/>
      <c r="AN103" s="2399"/>
      <c r="AO103" s="2399"/>
      <c r="AP103" s="2399"/>
      <c r="AQ103" s="2399"/>
      <c r="AR103" s="2475"/>
      <c r="AS103" s="2448"/>
      <c r="AT103" s="2448"/>
      <c r="AU103" s="2448"/>
      <c r="AV103" s="2448"/>
      <c r="AW103" s="2448"/>
      <c r="AX103" s="2475"/>
      <c r="AY103" s="2475"/>
      <c r="AZ103" s="2475"/>
      <c r="BA103" s="2475"/>
      <c r="BB103" s="2475"/>
      <c r="BC103" s="2475"/>
      <c r="BD103" s="2475"/>
    </row>
    <row r="104" spans="30:56" x14ac:dyDescent="0.25">
      <c r="AD104" s="2485"/>
      <c r="AF104" s="2398"/>
      <c r="AG104" s="2398"/>
      <c r="AH104" s="2398"/>
      <c r="AI104" s="2398"/>
      <c r="AJ104" s="2398"/>
      <c r="AK104" s="2398"/>
      <c r="AL104" s="2398"/>
      <c r="AM104" s="2398"/>
      <c r="AN104" s="2399"/>
      <c r="AO104" s="2399"/>
      <c r="AP104" s="2399"/>
      <c r="AQ104" s="2399"/>
      <c r="AR104" s="2475"/>
      <c r="AS104" s="2448"/>
      <c r="AT104" s="2448"/>
      <c r="AU104" s="2448"/>
      <c r="AV104" s="2448"/>
      <c r="AW104" s="2448"/>
      <c r="AX104" s="2475"/>
      <c r="AY104" s="2475"/>
      <c r="AZ104" s="2475"/>
      <c r="BA104" s="2475"/>
      <c r="BB104" s="2475"/>
      <c r="BC104" s="2475"/>
      <c r="BD104" s="2475"/>
    </row>
    <row r="105" spans="30:56" x14ac:dyDescent="0.25">
      <c r="AF105" s="2398"/>
      <c r="AG105" s="2398"/>
      <c r="AH105" s="2398"/>
      <c r="AI105" s="2398"/>
      <c r="AJ105" s="2398"/>
      <c r="AK105" s="2398"/>
      <c r="AL105" s="2398"/>
      <c r="AM105" s="2398"/>
      <c r="AN105" s="2399"/>
      <c r="AO105" s="2399"/>
      <c r="AP105" s="2399"/>
      <c r="AQ105" s="2399"/>
      <c r="AR105" s="2475"/>
      <c r="AS105" s="2448"/>
      <c r="AT105" s="2448"/>
      <c r="AU105" s="2448"/>
      <c r="AV105" s="2448"/>
      <c r="AW105" s="2448"/>
      <c r="AX105" s="2475"/>
      <c r="AY105" s="2475"/>
      <c r="AZ105" s="2475"/>
      <c r="BA105" s="2475"/>
      <c r="BB105" s="2475"/>
      <c r="BC105" s="2475"/>
      <c r="BD105" s="2475"/>
    </row>
    <row r="106" spans="30:56" x14ac:dyDescent="0.25">
      <c r="AD106" s="2485"/>
      <c r="AF106" s="2398"/>
      <c r="AG106" s="2398"/>
      <c r="AH106" s="2398"/>
      <c r="AI106" s="2398"/>
      <c r="AJ106" s="2398"/>
      <c r="AK106" s="2398"/>
      <c r="AL106" s="2398"/>
      <c r="AM106" s="2398"/>
      <c r="AN106" s="2399"/>
      <c r="AO106" s="2399"/>
      <c r="AP106" s="2399"/>
      <c r="AQ106" s="2399"/>
      <c r="AR106" s="2475"/>
      <c r="AS106" s="2448"/>
      <c r="AT106" s="2448"/>
      <c r="AU106" s="2448"/>
      <c r="AV106" s="2448"/>
      <c r="AW106" s="2448"/>
      <c r="AX106" s="2475"/>
      <c r="AY106" s="2475"/>
      <c r="AZ106" s="2475"/>
      <c r="BA106" s="2475"/>
      <c r="BB106" s="2475"/>
      <c r="BC106" s="2475"/>
      <c r="BD106" s="2475"/>
    </row>
    <row r="107" spans="30:56" x14ac:dyDescent="0.25">
      <c r="AF107" s="2398"/>
      <c r="AG107" s="2398"/>
      <c r="AH107" s="2398"/>
      <c r="AI107" s="2398"/>
      <c r="AJ107" s="2398"/>
      <c r="AK107" s="2398"/>
      <c r="AL107" s="2398"/>
      <c r="AM107" s="2398"/>
      <c r="AN107" s="2399"/>
      <c r="AO107" s="2399"/>
      <c r="AP107" s="2399"/>
      <c r="AQ107" s="2399"/>
      <c r="AR107" s="2475"/>
      <c r="AS107" s="2448"/>
      <c r="AT107" s="2448"/>
      <c r="AU107" s="2448"/>
      <c r="AV107" s="2448"/>
      <c r="AW107" s="2448"/>
      <c r="AX107" s="2475"/>
      <c r="AY107" s="2475"/>
      <c r="AZ107" s="2475"/>
      <c r="BA107" s="2475"/>
      <c r="BB107" s="2475"/>
      <c r="BC107" s="2475"/>
      <c r="BD107" s="2475"/>
    </row>
    <row r="108" spans="30:56" x14ac:dyDescent="0.25">
      <c r="AD108" s="2485"/>
      <c r="AF108" s="2398"/>
      <c r="AG108" s="2398"/>
      <c r="AH108" s="2398"/>
      <c r="AI108" s="2398"/>
      <c r="AJ108" s="2398"/>
      <c r="AK108" s="2398"/>
      <c r="AL108" s="2398"/>
      <c r="AM108" s="2398"/>
      <c r="AN108" s="2399"/>
      <c r="AO108" s="2399"/>
      <c r="AP108" s="2399"/>
      <c r="AQ108" s="2399"/>
      <c r="AR108" s="2475"/>
      <c r="AS108" s="2448"/>
      <c r="AT108" s="2448"/>
      <c r="AU108" s="2448"/>
      <c r="AV108" s="2448"/>
      <c r="AW108" s="2448"/>
      <c r="AX108" s="2475"/>
      <c r="AY108" s="2475"/>
      <c r="AZ108" s="2475"/>
      <c r="BA108" s="2475"/>
      <c r="BB108" s="2475"/>
      <c r="BC108" s="2475"/>
      <c r="BD108" s="2475"/>
    </row>
    <row r="109" spans="30:56" x14ac:dyDescent="0.25">
      <c r="AF109" s="2398"/>
      <c r="AG109" s="2398"/>
      <c r="AH109" s="2398"/>
      <c r="AI109" s="2398"/>
      <c r="AJ109" s="2398"/>
      <c r="AK109" s="2398"/>
      <c r="AL109" s="2398"/>
      <c r="AM109" s="2398"/>
      <c r="AN109" s="2399"/>
      <c r="AO109" s="2399"/>
      <c r="AP109" s="2399"/>
      <c r="AQ109" s="2399"/>
      <c r="AR109" s="2475"/>
      <c r="AS109" s="2448"/>
      <c r="AT109" s="2448"/>
      <c r="AU109" s="2448"/>
      <c r="AV109" s="2448"/>
      <c r="AW109" s="2448"/>
      <c r="AX109" s="2475"/>
      <c r="AY109" s="2475"/>
      <c r="AZ109" s="2475"/>
      <c r="BA109" s="2475"/>
      <c r="BB109" s="2475"/>
      <c r="BC109" s="2475"/>
      <c r="BD109" s="2475"/>
    </row>
    <row r="110" spans="30:56" x14ac:dyDescent="0.25">
      <c r="AD110" s="2485"/>
      <c r="AF110" s="2398"/>
      <c r="AG110" s="2398"/>
      <c r="AH110" s="2398"/>
      <c r="AI110" s="2398"/>
      <c r="AJ110" s="2398"/>
      <c r="AK110" s="2398"/>
      <c r="AL110" s="2398"/>
      <c r="AM110" s="2398"/>
      <c r="AN110" s="2399"/>
      <c r="AO110" s="2399"/>
      <c r="AP110" s="2399"/>
      <c r="AQ110" s="2399"/>
      <c r="AR110" s="2475"/>
      <c r="AS110" s="2448"/>
      <c r="AT110" s="2448"/>
      <c r="AU110" s="2448"/>
      <c r="AV110" s="2448"/>
      <c r="AW110" s="2448"/>
      <c r="AX110" s="2475"/>
      <c r="AY110" s="2475"/>
      <c r="AZ110" s="2475"/>
      <c r="BA110" s="2475"/>
      <c r="BB110" s="2475"/>
      <c r="BC110" s="2475"/>
      <c r="BD110" s="2475"/>
    </row>
    <row r="111" spans="30:56" x14ac:dyDescent="0.25">
      <c r="AF111" s="2398"/>
      <c r="AG111" s="2398"/>
      <c r="AH111" s="2398"/>
      <c r="AI111" s="2398"/>
      <c r="AJ111" s="2398"/>
      <c r="AK111" s="2398"/>
      <c r="AL111" s="2398"/>
      <c r="AM111" s="2398"/>
      <c r="AN111" s="2399"/>
      <c r="AO111" s="2399"/>
      <c r="AP111" s="2399"/>
      <c r="AQ111" s="2399"/>
      <c r="AR111" s="2475"/>
      <c r="AS111" s="2448"/>
      <c r="AT111" s="2448"/>
      <c r="AU111" s="2448"/>
      <c r="AV111" s="2448"/>
      <c r="AW111" s="2448"/>
      <c r="AX111" s="2475"/>
      <c r="AY111" s="2475"/>
      <c r="AZ111" s="2475"/>
      <c r="BA111" s="2475"/>
      <c r="BB111" s="2475"/>
      <c r="BC111" s="2475"/>
      <c r="BD111" s="2475"/>
    </row>
    <row r="112" spans="30:56" x14ac:dyDescent="0.25">
      <c r="AD112" s="2485"/>
      <c r="AF112" s="2398"/>
      <c r="AG112" s="2398"/>
      <c r="AH112" s="2398"/>
      <c r="AI112" s="2398"/>
      <c r="AJ112" s="2398"/>
      <c r="AK112" s="2398"/>
      <c r="AL112" s="2398"/>
      <c r="AM112" s="2398"/>
      <c r="AN112" s="2399"/>
      <c r="AO112" s="2399"/>
      <c r="AP112" s="2399"/>
      <c r="AQ112" s="2399"/>
      <c r="AR112" s="2475"/>
      <c r="AS112" s="2448"/>
      <c r="AT112" s="2448"/>
      <c r="AU112" s="2448"/>
      <c r="AV112" s="2448"/>
      <c r="AW112" s="2448"/>
      <c r="AX112" s="2475"/>
      <c r="AY112" s="2475"/>
      <c r="AZ112" s="2475"/>
      <c r="BA112" s="2475"/>
      <c r="BB112" s="2475"/>
      <c r="BC112" s="2475"/>
      <c r="BD112" s="2475"/>
    </row>
    <row r="113" spans="30:56" x14ac:dyDescent="0.25">
      <c r="AF113" s="2398"/>
      <c r="AG113" s="2398"/>
      <c r="AH113" s="2398"/>
      <c r="AI113" s="2398"/>
      <c r="AJ113" s="2398"/>
      <c r="AK113" s="2398"/>
      <c r="AL113" s="2398"/>
      <c r="AM113" s="2398"/>
      <c r="AN113" s="2399"/>
      <c r="AO113" s="2399"/>
      <c r="AP113" s="2399"/>
      <c r="AQ113" s="2399"/>
      <c r="AR113" s="2475"/>
      <c r="AS113" s="2448"/>
      <c r="AT113" s="2448"/>
      <c r="AU113" s="2448"/>
      <c r="AV113" s="2448"/>
      <c r="AW113" s="2448"/>
      <c r="AX113" s="2475"/>
      <c r="AY113" s="2475"/>
      <c r="AZ113" s="2475"/>
      <c r="BA113" s="2475"/>
      <c r="BB113" s="2475"/>
      <c r="BC113" s="2475"/>
      <c r="BD113" s="2475"/>
    </row>
    <row r="114" spans="30:56" x14ac:dyDescent="0.25">
      <c r="AD114" s="2485"/>
      <c r="AF114" s="2398"/>
      <c r="AG114" s="2398"/>
      <c r="AH114" s="2398"/>
      <c r="AI114" s="2398"/>
      <c r="AJ114" s="2398"/>
      <c r="AK114" s="2398"/>
      <c r="AL114" s="2398"/>
      <c r="AM114" s="2398"/>
      <c r="AN114" s="2399"/>
      <c r="AO114" s="2399"/>
      <c r="AP114" s="2399"/>
      <c r="AQ114" s="2399"/>
      <c r="AR114" s="2475"/>
      <c r="AS114" s="2448"/>
      <c r="AT114" s="2448"/>
      <c r="AU114" s="2448"/>
      <c r="AV114" s="2448"/>
      <c r="AW114" s="2448"/>
      <c r="AX114" s="2475"/>
      <c r="AY114" s="2475"/>
      <c r="AZ114" s="2475"/>
      <c r="BA114" s="2475"/>
      <c r="BB114" s="2475"/>
      <c r="BC114" s="2475"/>
      <c r="BD114" s="2475"/>
    </row>
    <row r="115" spans="30:56" x14ac:dyDescent="0.25">
      <c r="AF115" s="2398"/>
      <c r="AG115" s="2398"/>
      <c r="AH115" s="2398"/>
      <c r="AI115" s="2398"/>
      <c r="AJ115" s="2398"/>
      <c r="AK115" s="2398"/>
      <c r="AL115" s="2398"/>
      <c r="AM115" s="2398"/>
      <c r="AN115" s="2399"/>
      <c r="AO115" s="2399"/>
      <c r="AP115" s="2399"/>
      <c r="AQ115" s="2399"/>
      <c r="AR115" s="2475"/>
      <c r="AS115" s="2448"/>
      <c r="AT115" s="2448"/>
      <c r="AU115" s="2448"/>
      <c r="AV115" s="2448"/>
      <c r="AW115" s="2448"/>
      <c r="AX115" s="2475"/>
      <c r="AY115" s="2475"/>
      <c r="AZ115" s="2475"/>
      <c r="BA115" s="2475"/>
      <c r="BB115" s="2475"/>
      <c r="BC115" s="2475"/>
      <c r="BD115" s="2475"/>
    </row>
    <row r="116" spans="30:56" x14ac:dyDescent="0.25">
      <c r="AD116" s="2485"/>
      <c r="AF116" s="2398"/>
      <c r="AG116" s="2398"/>
      <c r="AH116" s="2398"/>
      <c r="AI116" s="2398"/>
      <c r="AJ116" s="2398"/>
      <c r="AK116" s="2398"/>
      <c r="AL116" s="2398"/>
      <c r="AM116" s="2398"/>
      <c r="AN116" s="2399"/>
      <c r="AO116" s="2399"/>
      <c r="AP116" s="2399"/>
      <c r="AQ116" s="2399"/>
      <c r="AR116" s="2475"/>
      <c r="AS116" s="2448"/>
      <c r="AT116" s="2448"/>
      <c r="AU116" s="2448"/>
      <c r="AV116" s="2448"/>
      <c r="AW116" s="2448"/>
      <c r="AX116" s="2475"/>
      <c r="AY116" s="2475"/>
      <c r="AZ116" s="2475"/>
      <c r="BA116" s="2475"/>
      <c r="BB116" s="2475"/>
      <c r="BC116" s="2475"/>
      <c r="BD116" s="2475"/>
    </row>
    <row r="117" spans="30:56" x14ac:dyDescent="0.25">
      <c r="AF117" s="2398"/>
      <c r="AG117" s="2398"/>
      <c r="AH117" s="2398"/>
      <c r="AI117" s="2398"/>
      <c r="AJ117" s="2398"/>
      <c r="AK117" s="2398"/>
      <c r="AL117" s="2398"/>
      <c r="AM117" s="2398"/>
      <c r="AN117" s="2399"/>
      <c r="AO117" s="2399"/>
      <c r="AP117" s="2399"/>
      <c r="AQ117" s="2399"/>
      <c r="AR117" s="2475"/>
      <c r="AS117" s="2448"/>
      <c r="AT117" s="2448"/>
      <c r="AU117" s="2448"/>
      <c r="AV117" s="2448"/>
      <c r="AW117" s="2448"/>
      <c r="AX117" s="2475"/>
      <c r="AY117" s="2475"/>
      <c r="AZ117" s="2475"/>
      <c r="BA117" s="2475"/>
      <c r="BB117" s="2475"/>
      <c r="BC117" s="2475"/>
      <c r="BD117" s="2475"/>
    </row>
    <row r="118" spans="30:56" x14ac:dyDescent="0.25">
      <c r="AD118" s="2485"/>
      <c r="AF118" s="2398"/>
      <c r="AG118" s="2398"/>
      <c r="AH118" s="2398"/>
      <c r="AI118" s="2398"/>
      <c r="AJ118" s="2398"/>
      <c r="AK118" s="2398"/>
      <c r="AL118" s="2398"/>
      <c r="AM118" s="2398"/>
      <c r="AN118" s="2399"/>
      <c r="AO118" s="2399"/>
      <c r="AP118" s="2399"/>
      <c r="AQ118" s="2399"/>
      <c r="AR118" s="2475"/>
      <c r="AS118" s="2448"/>
      <c r="AT118" s="2448"/>
      <c r="AU118" s="2448"/>
      <c r="AV118" s="2448"/>
      <c r="AW118" s="2448"/>
      <c r="AX118" s="2475"/>
      <c r="AY118" s="2475"/>
      <c r="AZ118" s="2475"/>
      <c r="BA118" s="2475"/>
      <c r="BB118" s="2475"/>
      <c r="BC118" s="2475"/>
      <c r="BD118" s="2475"/>
    </row>
    <row r="119" spans="30:56" x14ac:dyDescent="0.25">
      <c r="AF119" s="2398"/>
      <c r="AG119" s="2398"/>
      <c r="AH119" s="2398"/>
      <c r="AI119" s="2398"/>
      <c r="AJ119" s="2398"/>
      <c r="AK119" s="2398"/>
      <c r="AL119" s="2398"/>
      <c r="AM119" s="2398"/>
      <c r="AN119" s="2399"/>
      <c r="AO119" s="2399"/>
      <c r="AP119" s="2399"/>
      <c r="AQ119" s="2399"/>
      <c r="AR119" s="2475"/>
      <c r="AS119" s="2448"/>
      <c r="AT119" s="2448"/>
      <c r="AU119" s="2448"/>
      <c r="AV119" s="2448"/>
      <c r="AW119" s="2448"/>
      <c r="AX119" s="2475"/>
      <c r="AY119" s="2475"/>
      <c r="AZ119" s="2475"/>
      <c r="BA119" s="2475"/>
      <c r="BB119" s="2475"/>
      <c r="BC119" s="2475"/>
      <c r="BD119" s="2475"/>
    </row>
    <row r="120" spans="30:56" x14ac:dyDescent="0.25">
      <c r="AD120" s="2485"/>
      <c r="AF120" s="2398"/>
      <c r="AG120" s="2398"/>
      <c r="AH120" s="2398"/>
      <c r="AI120" s="2398"/>
      <c r="AJ120" s="2398"/>
      <c r="AK120" s="2398"/>
      <c r="AL120" s="2398"/>
      <c r="AM120" s="2398"/>
      <c r="AN120" s="2399"/>
      <c r="AO120" s="2399"/>
      <c r="AP120" s="2399"/>
      <c r="AQ120" s="2399"/>
      <c r="AR120" s="2475"/>
      <c r="AS120" s="2448"/>
      <c r="AT120" s="2448"/>
      <c r="AU120" s="2448"/>
      <c r="AV120" s="2448"/>
      <c r="AW120" s="2448"/>
      <c r="AX120" s="2475"/>
      <c r="AY120" s="2475"/>
      <c r="AZ120" s="2475"/>
      <c r="BA120" s="2475"/>
      <c r="BB120" s="2475"/>
      <c r="BC120" s="2475"/>
      <c r="BD120" s="2475"/>
    </row>
    <row r="121" spans="30:56" x14ac:dyDescent="0.25">
      <c r="AF121" s="2398"/>
      <c r="AG121" s="2398"/>
      <c r="AH121" s="2398"/>
      <c r="AI121" s="2398"/>
      <c r="AJ121" s="2398"/>
      <c r="AK121" s="2398"/>
      <c r="AL121" s="2398"/>
      <c r="AM121" s="2398"/>
      <c r="AN121" s="2399"/>
      <c r="AO121" s="2399"/>
      <c r="AP121" s="2399"/>
      <c r="AQ121" s="2399"/>
      <c r="AR121" s="2475"/>
      <c r="AS121" s="2448"/>
      <c r="AT121" s="2448"/>
      <c r="AU121" s="2448"/>
      <c r="AV121" s="2448"/>
      <c r="AW121" s="2448"/>
      <c r="AX121" s="2475"/>
      <c r="AY121" s="2475"/>
      <c r="AZ121" s="2475"/>
      <c r="BA121" s="2475"/>
      <c r="BB121" s="2475"/>
      <c r="BC121" s="2475"/>
      <c r="BD121" s="2475"/>
    </row>
    <row r="122" spans="30:56" x14ac:dyDescent="0.25">
      <c r="AD122" s="2485"/>
      <c r="AF122" s="2398"/>
      <c r="AG122" s="2398"/>
      <c r="AH122" s="2398"/>
      <c r="AI122" s="2398"/>
      <c r="AJ122" s="2398"/>
      <c r="AK122" s="2398"/>
      <c r="AL122" s="2398"/>
      <c r="AM122" s="2398"/>
      <c r="AN122" s="2399"/>
      <c r="AO122" s="2399"/>
      <c r="AP122" s="2399"/>
      <c r="AQ122" s="2399"/>
      <c r="AR122" s="2475"/>
      <c r="AS122" s="2448"/>
      <c r="AT122" s="2448"/>
      <c r="AU122" s="2448"/>
      <c r="AV122" s="2448"/>
      <c r="AW122" s="2448"/>
      <c r="AX122" s="2475"/>
      <c r="AY122" s="2475"/>
      <c r="AZ122" s="2475"/>
      <c r="BA122" s="2475"/>
      <c r="BB122" s="2475"/>
      <c r="BC122" s="2475"/>
      <c r="BD122" s="2475"/>
    </row>
    <row r="123" spans="30:56" x14ac:dyDescent="0.25">
      <c r="AF123" s="2398"/>
      <c r="AG123" s="2398"/>
      <c r="AH123" s="2398"/>
      <c r="AI123" s="2398"/>
      <c r="AJ123" s="2398"/>
      <c r="AK123" s="2398"/>
      <c r="AL123" s="2398"/>
      <c r="AM123" s="2398"/>
      <c r="AN123" s="2399"/>
      <c r="AO123" s="2399"/>
      <c r="AP123" s="2399"/>
      <c r="AQ123" s="2399"/>
      <c r="AR123" s="2475"/>
      <c r="AS123" s="2448"/>
      <c r="AT123" s="2448"/>
      <c r="AU123" s="2448"/>
      <c r="AV123" s="2448"/>
      <c r="AW123" s="2448"/>
      <c r="AX123" s="2475"/>
      <c r="AY123" s="2475"/>
      <c r="AZ123" s="2475"/>
      <c r="BA123" s="2475"/>
      <c r="BB123" s="2475"/>
      <c r="BC123" s="2475"/>
      <c r="BD123" s="2475"/>
    </row>
    <row r="124" spans="30:56" x14ac:dyDescent="0.25">
      <c r="AD124" s="2485"/>
      <c r="AF124" s="2398"/>
      <c r="AG124" s="2398"/>
      <c r="AH124" s="2398"/>
      <c r="AI124" s="2398"/>
      <c r="AJ124" s="2398"/>
      <c r="AK124" s="2398"/>
      <c r="AL124" s="2398"/>
      <c r="AM124" s="2398"/>
      <c r="AN124" s="2399"/>
      <c r="AO124" s="2399"/>
      <c r="AP124" s="2399"/>
      <c r="AQ124" s="2399"/>
      <c r="AR124" s="2475"/>
      <c r="AS124" s="2448"/>
      <c r="AT124" s="2448"/>
      <c r="AU124" s="2448"/>
      <c r="AV124" s="2448"/>
      <c r="AW124" s="2448"/>
      <c r="AX124" s="2475"/>
      <c r="AY124" s="2475"/>
      <c r="AZ124" s="2475"/>
      <c r="BA124" s="2475"/>
      <c r="BB124" s="2475"/>
      <c r="BC124" s="2475"/>
      <c r="BD124" s="2475"/>
    </row>
    <row r="125" spans="30:56" x14ac:dyDescent="0.25">
      <c r="AF125" s="2398"/>
      <c r="AG125" s="2398"/>
      <c r="AH125" s="2398"/>
      <c r="AI125" s="2398"/>
      <c r="AJ125" s="2398"/>
      <c r="AK125" s="2398"/>
      <c r="AL125" s="2398"/>
      <c r="AM125" s="2398"/>
      <c r="AN125" s="2399"/>
      <c r="AO125" s="2399"/>
      <c r="AP125" s="2399"/>
      <c r="AQ125" s="2399"/>
      <c r="AR125" s="2475"/>
      <c r="AS125" s="2448"/>
      <c r="AT125" s="2448"/>
      <c r="AU125" s="2448"/>
      <c r="AV125" s="2448"/>
      <c r="AW125" s="2448"/>
      <c r="AX125" s="2475"/>
      <c r="AY125" s="2475"/>
      <c r="AZ125" s="2475"/>
      <c r="BA125" s="2475"/>
      <c r="BB125" s="2475"/>
      <c r="BC125" s="2475"/>
      <c r="BD125" s="2475"/>
    </row>
    <row r="126" spans="30:56" x14ac:dyDescent="0.25">
      <c r="AD126" s="2485"/>
      <c r="AF126" s="2398"/>
      <c r="AG126" s="2398"/>
      <c r="AH126" s="2398"/>
      <c r="AI126" s="2398"/>
      <c r="AJ126" s="2398"/>
      <c r="AK126" s="2398"/>
      <c r="AL126" s="2398"/>
      <c r="AM126" s="2398"/>
      <c r="AN126" s="2399"/>
      <c r="AO126" s="2399"/>
      <c r="AP126" s="2399"/>
      <c r="AQ126" s="2399"/>
      <c r="AR126" s="2475"/>
      <c r="AS126" s="2448"/>
      <c r="AT126" s="2448"/>
      <c r="AU126" s="2448"/>
      <c r="AV126" s="2448"/>
      <c r="AW126" s="2448"/>
      <c r="AX126" s="2475"/>
      <c r="AY126" s="2475"/>
      <c r="AZ126" s="2475"/>
      <c r="BA126" s="2475"/>
      <c r="BB126" s="2475"/>
      <c r="BC126" s="2475"/>
      <c r="BD126" s="2475"/>
    </row>
    <row r="127" spans="30:56" x14ac:dyDescent="0.25">
      <c r="AF127" s="2398"/>
      <c r="AG127" s="2398"/>
      <c r="AH127" s="2398"/>
      <c r="AI127" s="2398"/>
      <c r="AJ127" s="2398"/>
      <c r="AK127" s="2398"/>
      <c r="AL127" s="2398"/>
      <c r="AM127" s="2398"/>
      <c r="AN127" s="2399"/>
      <c r="AO127" s="2399"/>
      <c r="AP127" s="2399"/>
      <c r="AQ127" s="2399"/>
      <c r="AR127" s="2475"/>
      <c r="AS127" s="2448"/>
      <c r="AT127" s="2448"/>
      <c r="AU127" s="2448"/>
      <c r="AV127" s="2448"/>
      <c r="AW127" s="2448"/>
      <c r="AX127" s="2475"/>
      <c r="AY127" s="2475"/>
      <c r="AZ127" s="2475"/>
      <c r="BA127" s="2475"/>
      <c r="BB127" s="2475"/>
      <c r="BC127" s="2475"/>
      <c r="BD127" s="2475"/>
    </row>
    <row r="128" spans="30:56" x14ac:dyDescent="0.25">
      <c r="AD128" s="2485"/>
      <c r="AF128" s="2398"/>
      <c r="AG128" s="2398"/>
      <c r="AH128" s="2398"/>
      <c r="AI128" s="2398"/>
      <c r="AJ128" s="2398"/>
      <c r="AK128" s="2398"/>
      <c r="AL128" s="2398"/>
      <c r="AM128" s="2398"/>
      <c r="AN128" s="2399"/>
      <c r="AO128" s="2399"/>
      <c r="AP128" s="2399"/>
      <c r="AQ128" s="2399"/>
      <c r="AR128" s="2475"/>
      <c r="AS128" s="2448"/>
      <c r="AT128" s="2448"/>
      <c r="AU128" s="2448"/>
      <c r="AV128" s="2448"/>
      <c r="AW128" s="2448"/>
      <c r="AX128" s="2475"/>
      <c r="AY128" s="2475"/>
      <c r="AZ128" s="2475"/>
      <c r="BA128" s="2475"/>
      <c r="BB128" s="2475"/>
      <c r="BC128" s="2475"/>
      <c r="BD128" s="2475"/>
    </row>
    <row r="129" spans="30:56" x14ac:dyDescent="0.25">
      <c r="AF129" s="2398"/>
      <c r="AG129" s="2398"/>
      <c r="AH129" s="2398"/>
      <c r="AI129" s="2398"/>
      <c r="AJ129" s="2398"/>
      <c r="AK129" s="2398"/>
      <c r="AL129" s="2398"/>
      <c r="AM129" s="2398"/>
      <c r="AN129" s="2399"/>
      <c r="AO129" s="2399"/>
      <c r="AP129" s="2399"/>
      <c r="AQ129" s="2399"/>
      <c r="AR129" s="2475"/>
      <c r="AS129" s="2448"/>
      <c r="AT129" s="2448"/>
      <c r="AU129" s="2448"/>
      <c r="AV129" s="2448"/>
      <c r="AW129" s="2448"/>
      <c r="AX129" s="2475"/>
      <c r="AY129" s="2475"/>
      <c r="AZ129" s="2475"/>
      <c r="BA129" s="2475"/>
      <c r="BB129" s="2475"/>
      <c r="BC129" s="2475"/>
      <c r="BD129" s="2475"/>
    </row>
    <row r="130" spans="30:56" x14ac:dyDescent="0.25">
      <c r="AD130" s="2485"/>
      <c r="AF130" s="2398"/>
      <c r="AG130" s="2398"/>
      <c r="AH130" s="2398"/>
      <c r="AI130" s="2398"/>
      <c r="AJ130" s="2398"/>
      <c r="AK130" s="2398"/>
      <c r="AL130" s="2398"/>
      <c r="AM130" s="2398"/>
      <c r="AN130" s="2399"/>
      <c r="AO130" s="2399"/>
      <c r="AP130" s="2399"/>
      <c r="AQ130" s="2399"/>
      <c r="AR130" s="2475"/>
      <c r="AS130" s="2448"/>
      <c r="AT130" s="2448"/>
      <c r="AU130" s="2448"/>
      <c r="AV130" s="2448"/>
      <c r="AW130" s="2448"/>
      <c r="AX130" s="2475"/>
      <c r="AY130" s="2475"/>
      <c r="AZ130" s="2475"/>
      <c r="BA130" s="2475"/>
      <c r="BB130" s="2475"/>
      <c r="BC130" s="2475"/>
      <c r="BD130" s="2475"/>
    </row>
    <row r="131" spans="30:56" x14ac:dyDescent="0.25">
      <c r="AF131" s="2398"/>
      <c r="AG131" s="2398"/>
      <c r="AH131" s="2398"/>
      <c r="AI131" s="2398"/>
      <c r="AJ131" s="2398"/>
      <c r="AK131" s="2398"/>
      <c r="AL131" s="2398"/>
      <c r="AM131" s="2398"/>
      <c r="AN131" s="2399"/>
      <c r="AO131" s="2399"/>
      <c r="AP131" s="2399"/>
      <c r="AQ131" s="2399"/>
      <c r="AR131" s="2475"/>
      <c r="AS131" s="2448"/>
      <c r="AT131" s="2448"/>
      <c r="AU131" s="2448"/>
      <c r="AV131" s="2448"/>
      <c r="AW131" s="2448"/>
      <c r="AX131" s="2475"/>
      <c r="AY131" s="2475"/>
      <c r="AZ131" s="2475"/>
      <c r="BA131" s="2475"/>
      <c r="BB131" s="2475"/>
      <c r="BC131" s="2475"/>
      <c r="BD131" s="2475"/>
    </row>
    <row r="132" spans="30:56" x14ac:dyDescent="0.25">
      <c r="AD132" s="2485"/>
      <c r="AF132" s="2398"/>
      <c r="AG132" s="2398"/>
      <c r="AH132" s="2398"/>
      <c r="AI132" s="2398"/>
      <c r="AJ132" s="2398"/>
      <c r="AK132" s="2398"/>
      <c r="AL132" s="2398"/>
      <c r="AM132" s="2398"/>
      <c r="AN132" s="2399"/>
      <c r="AO132" s="2399"/>
      <c r="AP132" s="2399"/>
      <c r="AQ132" s="2399"/>
      <c r="AR132" s="2475"/>
      <c r="AS132" s="2448"/>
      <c r="AT132" s="2448"/>
      <c r="AU132" s="2448"/>
      <c r="AV132" s="2448"/>
      <c r="AW132" s="2448"/>
      <c r="AX132" s="2475"/>
      <c r="AY132" s="2475"/>
      <c r="AZ132" s="2475"/>
      <c r="BA132" s="2475"/>
      <c r="BB132" s="2475"/>
      <c r="BC132" s="2475"/>
      <c r="BD132" s="2475"/>
    </row>
    <row r="133" spans="30:56" x14ac:dyDescent="0.25">
      <c r="AF133" s="2398"/>
      <c r="AG133" s="2398"/>
      <c r="AH133" s="2398"/>
      <c r="AI133" s="2398"/>
      <c r="AJ133" s="2398"/>
      <c r="AK133" s="2398"/>
      <c r="AL133" s="2398"/>
      <c r="AM133" s="2398"/>
      <c r="AN133" s="2399"/>
      <c r="AO133" s="2399"/>
      <c r="AP133" s="2399"/>
      <c r="AQ133" s="2399"/>
      <c r="AR133" s="2475"/>
      <c r="AS133" s="2448"/>
      <c r="AT133" s="2448"/>
      <c r="AU133" s="2448"/>
      <c r="AV133" s="2448"/>
      <c r="AW133" s="2448"/>
      <c r="AX133" s="2475"/>
      <c r="AY133" s="2475"/>
      <c r="AZ133" s="2475"/>
      <c r="BA133" s="2475"/>
      <c r="BB133" s="2475"/>
      <c r="BC133" s="2475"/>
      <c r="BD133" s="2475"/>
    </row>
    <row r="134" spans="30:56" x14ac:dyDescent="0.25">
      <c r="AD134" s="2485"/>
      <c r="AF134" s="2398"/>
      <c r="AG134" s="2398"/>
      <c r="AH134" s="2398"/>
      <c r="AI134" s="2398"/>
      <c r="AJ134" s="2398"/>
      <c r="AK134" s="2398"/>
      <c r="AL134" s="2398"/>
      <c r="AM134" s="2398"/>
      <c r="AN134" s="2399"/>
      <c r="AO134" s="2399"/>
      <c r="AP134" s="2399"/>
      <c r="AQ134" s="2399"/>
      <c r="AR134" s="2475"/>
      <c r="AS134" s="2448"/>
      <c r="AT134" s="2448"/>
      <c r="AU134" s="2448"/>
      <c r="AV134" s="2448"/>
      <c r="AW134" s="2448"/>
      <c r="AX134" s="2475"/>
      <c r="AY134" s="2475"/>
      <c r="AZ134" s="2475"/>
      <c r="BA134" s="2475"/>
      <c r="BB134" s="2475"/>
      <c r="BC134" s="2475"/>
      <c r="BD134" s="2475"/>
    </row>
    <row r="135" spans="30:56" x14ac:dyDescent="0.25">
      <c r="AF135" s="2398"/>
      <c r="AG135" s="2398"/>
      <c r="AH135" s="2398"/>
      <c r="AI135" s="2398"/>
      <c r="AJ135" s="2398"/>
      <c r="AK135" s="2398"/>
      <c r="AL135" s="2398"/>
      <c r="AM135" s="2398"/>
      <c r="AN135" s="2399"/>
      <c r="AO135" s="2399"/>
      <c r="AP135" s="2399"/>
      <c r="AQ135" s="2399"/>
      <c r="AR135" s="2475"/>
      <c r="AS135" s="2448"/>
      <c r="AT135" s="2448"/>
      <c r="AU135" s="2448"/>
      <c r="AV135" s="2448"/>
      <c r="AW135" s="2448"/>
      <c r="AX135" s="2475"/>
      <c r="AY135" s="2475"/>
      <c r="AZ135" s="2475"/>
      <c r="BA135" s="2475"/>
      <c r="BB135" s="2475"/>
      <c r="BC135" s="2475"/>
      <c r="BD135" s="2475"/>
    </row>
    <row r="136" spans="30:56" x14ac:dyDescent="0.25">
      <c r="AD136" s="2485"/>
      <c r="AF136" s="2398"/>
      <c r="AG136" s="2398"/>
      <c r="AH136" s="2398"/>
      <c r="AI136" s="2398"/>
      <c r="AJ136" s="2398"/>
      <c r="AK136" s="2398"/>
      <c r="AL136" s="2398"/>
      <c r="AM136" s="2398"/>
      <c r="AN136" s="2399"/>
      <c r="AO136" s="2399"/>
      <c r="AP136" s="2399"/>
      <c r="AQ136" s="2399"/>
      <c r="AR136" s="2475"/>
      <c r="AS136" s="2448"/>
      <c r="AT136" s="2448"/>
      <c r="AU136" s="2448"/>
      <c r="AV136" s="2448"/>
      <c r="AW136" s="2448"/>
      <c r="AX136" s="2475"/>
      <c r="AY136" s="2475"/>
      <c r="AZ136" s="2475"/>
      <c r="BA136" s="2475"/>
      <c r="BB136" s="2475"/>
      <c r="BC136" s="2475"/>
      <c r="BD136" s="2475"/>
    </row>
    <row r="137" spans="30:56" x14ac:dyDescent="0.25">
      <c r="AF137" s="2398"/>
      <c r="AG137" s="2398"/>
      <c r="AH137" s="2398"/>
      <c r="AI137" s="2398"/>
      <c r="AJ137" s="2398"/>
      <c r="AK137" s="2398"/>
      <c r="AL137" s="2398"/>
      <c r="AM137" s="2398"/>
      <c r="AN137" s="2399"/>
      <c r="AO137" s="2399"/>
      <c r="AP137" s="2399"/>
      <c r="AQ137" s="2399"/>
      <c r="AR137" s="2475"/>
      <c r="AS137" s="2448"/>
      <c r="AT137" s="2448"/>
      <c r="AU137" s="2448"/>
      <c r="AV137" s="2448"/>
      <c r="AW137" s="2448"/>
      <c r="AX137" s="2475"/>
      <c r="AY137" s="2475"/>
      <c r="AZ137" s="2475"/>
      <c r="BA137" s="2475"/>
      <c r="BB137" s="2475"/>
      <c r="BC137" s="2475"/>
      <c r="BD137" s="2475"/>
    </row>
    <row r="138" spans="30:56" x14ac:dyDescent="0.25">
      <c r="AD138" s="2485"/>
      <c r="AF138" s="2398"/>
      <c r="AG138" s="2398"/>
      <c r="AH138" s="2398"/>
      <c r="AI138" s="2398"/>
      <c r="AJ138" s="2398"/>
      <c r="AK138" s="2398"/>
      <c r="AL138" s="2398"/>
      <c r="AM138" s="2398"/>
      <c r="AN138" s="2399"/>
      <c r="AO138" s="2399"/>
      <c r="AP138" s="2399"/>
      <c r="AQ138" s="2399"/>
      <c r="AR138" s="2475"/>
      <c r="AS138" s="2448"/>
      <c r="AT138" s="2448"/>
      <c r="AU138" s="2448"/>
      <c r="AV138" s="2448"/>
      <c r="AW138" s="2448"/>
      <c r="AX138" s="2475"/>
      <c r="AY138" s="2475"/>
      <c r="AZ138" s="2475"/>
      <c r="BA138" s="2475"/>
      <c r="BB138" s="2475"/>
      <c r="BC138" s="2475"/>
      <c r="BD138" s="2475"/>
    </row>
    <row r="139" spans="30:56" x14ac:dyDescent="0.25">
      <c r="AF139" s="2398"/>
      <c r="AG139" s="2398"/>
      <c r="AH139" s="2398"/>
      <c r="AI139" s="2398"/>
      <c r="AJ139" s="2398"/>
      <c r="AK139" s="2398"/>
      <c r="AL139" s="2398"/>
      <c r="AM139" s="2398"/>
      <c r="AN139" s="2399"/>
      <c r="AO139" s="2399"/>
      <c r="AP139" s="2399"/>
      <c r="AQ139" s="2399"/>
      <c r="AR139" s="2475"/>
      <c r="AS139" s="2448"/>
      <c r="AT139" s="2448"/>
      <c r="AU139" s="2448"/>
      <c r="AV139" s="2448"/>
      <c r="AW139" s="2448"/>
      <c r="AX139" s="2475"/>
      <c r="AY139" s="2475"/>
      <c r="AZ139" s="2475"/>
      <c r="BA139" s="2475"/>
      <c r="BB139" s="2475"/>
      <c r="BC139" s="2475"/>
      <c r="BD139" s="2475"/>
    </row>
    <row r="140" spans="30:56" x14ac:dyDescent="0.25">
      <c r="AD140" s="2485"/>
      <c r="AF140" s="2398"/>
      <c r="AG140" s="2398"/>
      <c r="AH140" s="2398"/>
      <c r="AI140" s="2398"/>
      <c r="AJ140" s="2398"/>
      <c r="AK140" s="2398"/>
      <c r="AL140" s="2398"/>
      <c r="AM140" s="2398"/>
      <c r="AN140" s="2399"/>
      <c r="AO140" s="2399"/>
      <c r="AP140" s="2399"/>
      <c r="AQ140" s="2399"/>
      <c r="AR140" s="2475"/>
      <c r="AS140" s="2448"/>
      <c r="AT140" s="2448"/>
      <c r="AU140" s="2448"/>
      <c r="AV140" s="2448"/>
      <c r="AW140" s="2448"/>
      <c r="AX140" s="2475"/>
      <c r="AY140" s="2475"/>
      <c r="AZ140" s="2475"/>
      <c r="BA140" s="2475"/>
      <c r="BB140" s="2475"/>
      <c r="BC140" s="2475"/>
      <c r="BD140" s="2475"/>
    </row>
    <row r="141" spans="30:56" x14ac:dyDescent="0.25">
      <c r="AF141" s="2398"/>
      <c r="AG141" s="2398"/>
      <c r="AH141" s="2398"/>
      <c r="AI141" s="2398"/>
      <c r="AJ141" s="2398"/>
      <c r="AK141" s="2398"/>
      <c r="AL141" s="2398"/>
      <c r="AM141" s="2398"/>
      <c r="AN141" s="2399"/>
      <c r="AO141" s="2399"/>
      <c r="AP141" s="2399"/>
      <c r="AQ141" s="2399"/>
      <c r="AR141" s="2475"/>
      <c r="AS141" s="2448"/>
      <c r="AT141" s="2448"/>
      <c r="AU141" s="2448"/>
      <c r="AV141" s="2448"/>
      <c r="AW141" s="2448"/>
      <c r="AX141" s="2475"/>
      <c r="AY141" s="2475"/>
      <c r="AZ141" s="2475"/>
      <c r="BA141" s="2475"/>
      <c r="BB141" s="2475"/>
      <c r="BC141" s="2475"/>
      <c r="BD141" s="2475"/>
    </row>
    <row r="142" spans="30:56" x14ac:dyDescent="0.25">
      <c r="AD142" s="2485"/>
      <c r="AF142" s="2398"/>
      <c r="AG142" s="2398"/>
      <c r="AH142" s="2398"/>
      <c r="AI142" s="2398"/>
      <c r="AJ142" s="2398"/>
      <c r="AK142" s="2398"/>
      <c r="AL142" s="2398"/>
      <c r="AM142" s="2398"/>
      <c r="AN142" s="2399"/>
      <c r="AO142" s="2399"/>
      <c r="AP142" s="2399"/>
      <c r="AQ142" s="2399"/>
      <c r="AR142" s="2475"/>
      <c r="AS142" s="2448"/>
      <c r="AT142" s="2448"/>
      <c r="AU142" s="2448"/>
      <c r="AV142" s="2448"/>
      <c r="AW142" s="2448"/>
      <c r="AX142" s="2475"/>
      <c r="AY142" s="2475"/>
      <c r="AZ142" s="2475"/>
      <c r="BA142" s="2475"/>
      <c r="BB142" s="2475"/>
      <c r="BC142" s="2475"/>
      <c r="BD142" s="2475"/>
    </row>
    <row r="143" spans="30:56" x14ac:dyDescent="0.25">
      <c r="AF143" s="2398"/>
      <c r="AG143" s="2398"/>
      <c r="AH143" s="2398"/>
      <c r="AI143" s="2398"/>
      <c r="AJ143" s="2398"/>
      <c r="AK143" s="2398"/>
      <c r="AL143" s="2398"/>
      <c r="AM143" s="2398"/>
      <c r="AN143" s="2399"/>
      <c r="AO143" s="2399"/>
      <c r="AP143" s="2399"/>
      <c r="AQ143" s="2399"/>
      <c r="AR143" s="2475"/>
      <c r="AS143" s="2448"/>
      <c r="AT143" s="2448"/>
      <c r="AU143" s="2448"/>
      <c r="AV143" s="2448"/>
      <c r="AW143" s="2448"/>
      <c r="AX143" s="2475"/>
      <c r="AY143" s="2475"/>
      <c r="AZ143" s="2475"/>
      <c r="BA143" s="2475"/>
      <c r="BB143" s="2475"/>
      <c r="BC143" s="2475"/>
      <c r="BD143" s="2475"/>
    </row>
    <row r="144" spans="30:56" x14ac:dyDescent="0.25">
      <c r="AD144" s="2485"/>
      <c r="AF144" s="2398"/>
      <c r="AG144" s="2398"/>
      <c r="AH144" s="2398"/>
      <c r="AI144" s="2398"/>
      <c r="AJ144" s="2398"/>
      <c r="AK144" s="2398"/>
      <c r="AL144" s="2398"/>
      <c r="AM144" s="2398"/>
      <c r="AN144" s="2399"/>
      <c r="AO144" s="2399"/>
      <c r="AP144" s="2399"/>
      <c r="AQ144" s="2399"/>
      <c r="AR144" s="2475"/>
      <c r="AS144" s="2448"/>
      <c r="AT144" s="2448"/>
      <c r="AU144" s="2448"/>
      <c r="AV144" s="2448"/>
      <c r="AW144" s="2448"/>
      <c r="AX144" s="2475"/>
      <c r="AY144" s="2475"/>
      <c r="AZ144" s="2475"/>
      <c r="BA144" s="2475"/>
      <c r="BB144" s="2475"/>
      <c r="BC144" s="2475"/>
      <c r="BD144" s="2475"/>
    </row>
    <row r="145" spans="30:56" x14ac:dyDescent="0.25">
      <c r="AF145" s="2398"/>
      <c r="AG145" s="2398"/>
      <c r="AH145" s="2398"/>
      <c r="AI145" s="2398"/>
      <c r="AJ145" s="2398"/>
      <c r="AK145" s="2398"/>
      <c r="AL145" s="2398"/>
      <c r="AM145" s="2398"/>
      <c r="AN145" s="2399"/>
      <c r="AO145" s="2399"/>
      <c r="AP145" s="2399"/>
      <c r="AQ145" s="2399"/>
      <c r="AR145" s="2475"/>
      <c r="AS145" s="2448"/>
      <c r="AT145" s="2448"/>
      <c r="AU145" s="2448"/>
      <c r="AV145" s="2448"/>
      <c r="AW145" s="2448"/>
      <c r="AX145" s="2475"/>
      <c r="AY145" s="2475"/>
      <c r="AZ145" s="2475"/>
      <c r="BA145" s="2475"/>
      <c r="BB145" s="2475"/>
      <c r="BC145" s="2475"/>
      <c r="BD145" s="2475"/>
    </row>
    <row r="146" spans="30:56" x14ac:dyDescent="0.25">
      <c r="AD146" s="2485"/>
      <c r="AF146" s="2398"/>
      <c r="AG146" s="2398"/>
      <c r="AH146" s="2398"/>
      <c r="AI146" s="2398"/>
      <c r="AJ146" s="2398"/>
      <c r="AK146" s="2398"/>
      <c r="AL146" s="2398"/>
      <c r="AM146" s="2398"/>
      <c r="AN146" s="2399"/>
      <c r="AO146" s="2399"/>
      <c r="AP146" s="2399"/>
      <c r="AQ146" s="2399"/>
      <c r="AR146" s="2475"/>
      <c r="AS146" s="2448"/>
      <c r="AT146" s="2448"/>
      <c r="AU146" s="2448"/>
      <c r="AV146" s="2448"/>
      <c r="AW146" s="2448"/>
      <c r="AX146" s="2475"/>
      <c r="AY146" s="2475"/>
      <c r="AZ146" s="2475"/>
      <c r="BA146" s="2475"/>
      <c r="BB146" s="2475"/>
      <c r="BC146" s="2475"/>
      <c r="BD146" s="2475"/>
    </row>
    <row r="147" spans="30:56" x14ac:dyDescent="0.25">
      <c r="AF147" s="2398"/>
      <c r="AG147" s="2398"/>
      <c r="AH147" s="2398"/>
      <c r="AI147" s="2398"/>
      <c r="AJ147" s="2398"/>
      <c r="AK147" s="2398"/>
      <c r="AL147" s="2398"/>
      <c r="AM147" s="2398"/>
      <c r="AN147" s="2399"/>
      <c r="AO147" s="2399"/>
      <c r="AP147" s="2399"/>
      <c r="AQ147" s="2399"/>
      <c r="AR147" s="2475"/>
      <c r="AS147" s="2448"/>
      <c r="AT147" s="2448"/>
      <c r="AU147" s="2448"/>
      <c r="AV147" s="2448"/>
      <c r="AW147" s="2448"/>
      <c r="AX147" s="2475"/>
      <c r="AY147" s="2475"/>
      <c r="AZ147" s="2475"/>
      <c r="BA147" s="2475"/>
      <c r="BB147" s="2475"/>
      <c r="BC147" s="2475"/>
      <c r="BD147" s="2475"/>
    </row>
    <row r="148" spans="30:56" x14ac:dyDescent="0.25">
      <c r="AD148" s="2485"/>
      <c r="AF148" s="2398"/>
      <c r="AG148" s="2398"/>
      <c r="AH148" s="2398"/>
      <c r="AI148" s="2398"/>
      <c r="AJ148" s="2398"/>
      <c r="AK148" s="2398"/>
      <c r="AL148" s="2398"/>
      <c r="AM148" s="2398"/>
      <c r="AN148" s="2399"/>
      <c r="AO148" s="2399"/>
      <c r="AP148" s="2399"/>
      <c r="AQ148" s="2399"/>
      <c r="AR148" s="2475"/>
      <c r="AS148" s="2448"/>
      <c r="AT148" s="2448"/>
      <c r="AU148" s="2448"/>
      <c r="AV148" s="2448"/>
      <c r="AW148" s="2448"/>
      <c r="AX148" s="2475"/>
      <c r="AY148" s="2475"/>
      <c r="AZ148" s="2475"/>
      <c r="BA148" s="2475"/>
      <c r="BB148" s="2475"/>
      <c r="BC148" s="2475"/>
      <c r="BD148" s="2475"/>
    </row>
    <row r="149" spans="30:56" x14ac:dyDescent="0.25">
      <c r="AF149" s="2398"/>
      <c r="AG149" s="2398"/>
      <c r="AH149" s="2398"/>
      <c r="AI149" s="2398"/>
      <c r="AJ149" s="2398"/>
      <c r="AK149" s="2398"/>
      <c r="AL149" s="2398"/>
      <c r="AM149" s="2398"/>
      <c r="AN149" s="2399"/>
      <c r="AO149" s="2399"/>
      <c r="AP149" s="2399"/>
      <c r="AQ149" s="2399"/>
      <c r="AR149" s="2475"/>
      <c r="AS149" s="2448"/>
      <c r="AT149" s="2448"/>
      <c r="AU149" s="2448"/>
      <c r="AV149" s="2448"/>
      <c r="AW149" s="2448"/>
      <c r="AX149" s="2475"/>
      <c r="AY149" s="2475"/>
      <c r="AZ149" s="2475"/>
      <c r="BA149" s="2475"/>
      <c r="BB149" s="2475"/>
      <c r="BC149" s="2475"/>
      <c r="BD149" s="2475"/>
    </row>
    <row r="150" spans="30:56" x14ac:dyDescent="0.25">
      <c r="AD150" s="2485"/>
      <c r="AF150" s="2398"/>
      <c r="AG150" s="2398"/>
      <c r="AH150" s="2398"/>
      <c r="AI150" s="2398"/>
      <c r="AJ150" s="2398"/>
      <c r="AK150" s="2398"/>
      <c r="AL150" s="2398"/>
      <c r="AM150" s="2398"/>
      <c r="AN150" s="2399"/>
      <c r="AO150" s="2399"/>
      <c r="AP150" s="2399"/>
      <c r="AQ150" s="2399"/>
      <c r="AR150" s="2475"/>
      <c r="AS150" s="2448"/>
      <c r="AT150" s="2448"/>
      <c r="AU150" s="2448"/>
      <c r="AV150" s="2448"/>
      <c r="AW150" s="2448"/>
      <c r="AX150" s="2475"/>
      <c r="AY150" s="2475"/>
      <c r="AZ150" s="2475"/>
      <c r="BA150" s="2475"/>
      <c r="BB150" s="2475"/>
      <c r="BC150" s="2475"/>
      <c r="BD150" s="2475"/>
    </row>
    <row r="151" spans="30:56" x14ac:dyDescent="0.25">
      <c r="AF151" s="2398"/>
      <c r="AG151" s="2398"/>
      <c r="AH151" s="2398"/>
      <c r="AI151" s="2398"/>
      <c r="AJ151" s="2398"/>
      <c r="AK151" s="2398"/>
      <c r="AL151" s="2398"/>
      <c r="AM151" s="2398"/>
      <c r="AN151" s="2399"/>
      <c r="AO151" s="2399"/>
      <c r="AP151" s="2399"/>
      <c r="AQ151" s="2399"/>
      <c r="AR151" s="2475"/>
      <c r="AS151" s="2448"/>
      <c r="AT151" s="2448"/>
      <c r="AU151" s="2448"/>
      <c r="AV151" s="2448"/>
      <c r="AW151" s="2448"/>
      <c r="AX151" s="2475"/>
      <c r="AY151" s="2475"/>
      <c r="AZ151" s="2475"/>
      <c r="BA151" s="2475"/>
      <c r="BB151" s="2475"/>
      <c r="BC151" s="2475"/>
      <c r="BD151" s="2475"/>
    </row>
    <row r="152" spans="30:56" x14ac:dyDescent="0.25">
      <c r="AD152" s="2485"/>
      <c r="AF152" s="2398"/>
      <c r="AG152" s="2398"/>
      <c r="AH152" s="2398"/>
      <c r="AI152" s="2398"/>
      <c r="AJ152" s="2398"/>
      <c r="AK152" s="2398"/>
      <c r="AL152" s="2398"/>
      <c r="AM152" s="2398"/>
      <c r="AN152" s="2399"/>
      <c r="AO152" s="2399"/>
      <c r="AP152" s="2399"/>
      <c r="AQ152" s="2399"/>
      <c r="AR152" s="2475"/>
      <c r="AS152" s="2448"/>
      <c r="AT152" s="2448"/>
      <c r="AU152" s="2448"/>
      <c r="AV152" s="2448"/>
      <c r="AW152" s="2448"/>
      <c r="AX152" s="2475"/>
      <c r="AY152" s="2475"/>
      <c r="AZ152" s="2475"/>
      <c r="BA152" s="2475"/>
      <c r="BB152" s="2475"/>
      <c r="BC152" s="2475"/>
      <c r="BD152" s="2475"/>
    </row>
    <row r="153" spans="30:56" x14ac:dyDescent="0.25">
      <c r="AF153" s="2398"/>
      <c r="AG153" s="2398"/>
      <c r="AH153" s="2398"/>
      <c r="AI153" s="2398"/>
      <c r="AJ153" s="2398"/>
      <c r="AK153" s="2398"/>
      <c r="AL153" s="2398"/>
      <c r="AM153" s="2398"/>
      <c r="AN153" s="2399"/>
      <c r="AO153" s="2399"/>
      <c r="AP153" s="2399"/>
      <c r="AQ153" s="2399"/>
      <c r="AR153" s="2475"/>
      <c r="AS153" s="2448"/>
      <c r="AT153" s="2448"/>
      <c r="AU153" s="2448"/>
      <c r="AV153" s="2448"/>
      <c r="AW153" s="2448"/>
      <c r="AX153" s="2475"/>
      <c r="AY153" s="2475"/>
      <c r="AZ153" s="2475"/>
      <c r="BA153" s="2475"/>
      <c r="BB153" s="2475"/>
      <c r="BC153" s="2475"/>
      <c r="BD153" s="2475"/>
    </row>
    <row r="154" spans="30:56" x14ac:dyDescent="0.25">
      <c r="AD154" s="2485"/>
      <c r="AF154" s="2398"/>
      <c r="AG154" s="2398"/>
      <c r="AH154" s="2398"/>
      <c r="AI154" s="2398"/>
      <c r="AJ154" s="2398"/>
      <c r="AK154" s="2398"/>
      <c r="AL154" s="2398"/>
      <c r="AM154" s="2398"/>
      <c r="AN154" s="2399"/>
      <c r="AO154" s="2399"/>
      <c r="AP154" s="2399"/>
      <c r="AQ154" s="2399"/>
      <c r="AR154" s="2475"/>
      <c r="AS154" s="2448"/>
      <c r="AT154" s="2448"/>
      <c r="AU154" s="2448"/>
      <c r="AV154" s="2448"/>
      <c r="AW154" s="2448"/>
      <c r="AX154" s="2475"/>
      <c r="AY154" s="2475"/>
      <c r="AZ154" s="2475"/>
      <c r="BA154" s="2475"/>
      <c r="BB154" s="2475"/>
      <c r="BC154" s="2475"/>
      <c r="BD154" s="2475"/>
    </row>
    <row r="155" spans="30:56" x14ac:dyDescent="0.25">
      <c r="AF155" s="2398"/>
      <c r="AG155" s="2398"/>
      <c r="AH155" s="2398"/>
      <c r="AI155" s="2398"/>
      <c r="AJ155" s="2398"/>
      <c r="AK155" s="2398"/>
      <c r="AL155" s="2398"/>
      <c r="AM155" s="2398"/>
      <c r="AN155" s="2399"/>
      <c r="AO155" s="2399"/>
      <c r="AP155" s="2399"/>
      <c r="AQ155" s="2399"/>
      <c r="AR155" s="2475"/>
      <c r="AS155" s="2448"/>
      <c r="AT155" s="2448"/>
      <c r="AU155" s="2448"/>
      <c r="AV155" s="2448"/>
      <c r="AW155" s="2448"/>
      <c r="AX155" s="2475"/>
      <c r="AY155" s="2475"/>
      <c r="AZ155" s="2475"/>
      <c r="BA155" s="2475"/>
      <c r="BB155" s="2475"/>
      <c r="BC155" s="2475"/>
      <c r="BD155" s="2475"/>
    </row>
    <row r="156" spans="30:56" x14ac:dyDescent="0.25">
      <c r="AD156" s="2485"/>
      <c r="AF156" s="2398"/>
      <c r="AG156" s="2398"/>
      <c r="AH156" s="2398"/>
      <c r="AI156" s="2398"/>
      <c r="AJ156" s="2398"/>
      <c r="AK156" s="2398"/>
      <c r="AL156" s="2398"/>
      <c r="AM156" s="2398"/>
      <c r="AN156" s="2399"/>
      <c r="AO156" s="2399"/>
      <c r="AP156" s="2399"/>
      <c r="AQ156" s="2399"/>
      <c r="AR156" s="2475"/>
      <c r="AS156" s="2448"/>
      <c r="AT156" s="2448"/>
      <c r="AU156" s="2448"/>
      <c r="AV156" s="2448"/>
      <c r="AW156" s="2448"/>
      <c r="AX156" s="2475"/>
      <c r="AY156" s="2475"/>
      <c r="AZ156" s="2475"/>
      <c r="BA156" s="2475"/>
      <c r="BB156" s="2475"/>
      <c r="BC156" s="2475"/>
      <c r="BD156" s="2475"/>
    </row>
    <row r="157" spans="30:56" x14ac:dyDescent="0.25">
      <c r="AF157" s="2398"/>
      <c r="AG157" s="2398"/>
      <c r="AH157" s="2398"/>
      <c r="AI157" s="2398"/>
      <c r="AJ157" s="2398"/>
      <c r="AK157" s="2398"/>
      <c r="AL157" s="2398"/>
      <c r="AM157" s="2398"/>
      <c r="AN157" s="2399"/>
      <c r="AO157" s="2399"/>
      <c r="AP157" s="2399"/>
      <c r="AQ157" s="2399"/>
      <c r="AR157" s="2475"/>
      <c r="AS157" s="2448"/>
      <c r="AT157" s="2448"/>
      <c r="AU157" s="2448"/>
      <c r="AV157" s="2448"/>
      <c r="AW157" s="2448"/>
      <c r="AX157" s="2475"/>
      <c r="AY157" s="2475"/>
      <c r="AZ157" s="2475"/>
      <c r="BA157" s="2475"/>
      <c r="BB157" s="2475"/>
      <c r="BC157" s="2475"/>
      <c r="BD157" s="2475"/>
    </row>
    <row r="158" spans="30:56" x14ac:dyDescent="0.25">
      <c r="AD158" s="2485"/>
      <c r="AF158" s="2398"/>
      <c r="AG158" s="2398"/>
      <c r="AH158" s="2398"/>
      <c r="AI158" s="2398"/>
      <c r="AJ158" s="2398"/>
      <c r="AK158" s="2398"/>
      <c r="AL158" s="2398"/>
      <c r="AM158" s="2398"/>
      <c r="AN158" s="2399"/>
      <c r="AO158" s="2399"/>
      <c r="AP158" s="2399"/>
      <c r="AQ158" s="2399"/>
      <c r="AR158" s="2475"/>
      <c r="AS158" s="2448"/>
      <c r="AT158" s="2448"/>
      <c r="AU158" s="2448"/>
      <c r="AV158" s="2448"/>
      <c r="AW158" s="2448"/>
      <c r="AX158" s="2475"/>
      <c r="AY158" s="2475"/>
      <c r="AZ158" s="2475"/>
      <c r="BA158" s="2475"/>
      <c r="BB158" s="2475"/>
      <c r="BC158" s="2475"/>
      <c r="BD158" s="2475"/>
    </row>
    <row r="159" spans="30:56" x14ac:dyDescent="0.25">
      <c r="AF159" s="2398"/>
      <c r="AG159" s="2398"/>
      <c r="AH159" s="2398"/>
      <c r="AI159" s="2398"/>
      <c r="AJ159" s="2398"/>
      <c r="AK159" s="2398"/>
      <c r="AL159" s="2398"/>
      <c r="AM159" s="2398"/>
      <c r="AN159" s="2399"/>
      <c r="AO159" s="2399"/>
      <c r="AP159" s="2399"/>
      <c r="AQ159" s="2399"/>
      <c r="AR159" s="2475"/>
      <c r="AS159" s="2448"/>
      <c r="AT159" s="2448"/>
      <c r="AU159" s="2448"/>
      <c r="AV159" s="2448"/>
      <c r="AW159" s="2448"/>
      <c r="AX159" s="2475"/>
      <c r="AY159" s="2475"/>
      <c r="AZ159" s="2475"/>
      <c r="BA159" s="2475"/>
      <c r="BB159" s="2475"/>
      <c r="BC159" s="2475"/>
      <c r="BD159" s="2475"/>
    </row>
    <row r="160" spans="30:56" x14ac:dyDescent="0.25">
      <c r="AD160" s="2485"/>
      <c r="AF160" s="2398"/>
      <c r="AG160" s="2398"/>
      <c r="AH160" s="2398"/>
      <c r="AI160" s="2398"/>
      <c r="AJ160" s="2398"/>
      <c r="AK160" s="2398"/>
      <c r="AL160" s="2398"/>
      <c r="AM160" s="2398"/>
      <c r="AN160" s="2399"/>
      <c r="AO160" s="2399"/>
      <c r="AP160" s="2399"/>
      <c r="AQ160" s="2399"/>
      <c r="AR160" s="2475"/>
      <c r="AS160" s="2448"/>
      <c r="AT160" s="2448"/>
      <c r="AU160" s="2448"/>
      <c r="AV160" s="2448"/>
      <c r="AW160" s="2448"/>
      <c r="AX160" s="2475"/>
      <c r="AY160" s="2475"/>
      <c r="AZ160" s="2475"/>
      <c r="BA160" s="2475"/>
      <c r="BB160" s="2475"/>
      <c r="BC160" s="2475"/>
      <c r="BD160" s="2475"/>
    </row>
  </sheetData>
  <mergeCells count="12">
    <mergeCell ref="AN2:AQ2"/>
    <mergeCell ref="X2:AC2"/>
    <mergeCell ref="BL2:BM2"/>
    <mergeCell ref="BN2:BO2"/>
    <mergeCell ref="AS2:AX2"/>
    <mergeCell ref="AY2:BD2"/>
    <mergeCell ref="AJ2:AM2"/>
    <mergeCell ref="I2:L2"/>
    <mergeCell ref="R2:W2"/>
    <mergeCell ref="E2:H2"/>
    <mergeCell ref="M2:P2"/>
    <mergeCell ref="AF2:AI2"/>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00B050"/>
    <pageSetUpPr fitToPage="1"/>
  </sheetPr>
  <dimension ref="B1:CQ38"/>
  <sheetViews>
    <sheetView zoomScaleNormal="100" workbookViewId="0">
      <selection activeCell="D4" sqref="D4"/>
    </sheetView>
  </sheetViews>
  <sheetFormatPr defaultColWidth="8.85546875" defaultRowHeight="14.25" x14ac:dyDescent="0.25"/>
  <cols>
    <col min="1" max="1" width="5.7109375" style="10" customWidth="1"/>
    <col min="2" max="2" width="1.7109375" style="10" customWidth="1"/>
    <col min="3" max="3" width="0.85546875" style="10" customWidth="1"/>
    <col min="4" max="4" width="6.7109375" style="24" customWidth="1"/>
    <col min="5" max="5" width="10" style="24" customWidth="1"/>
    <col min="6" max="6" width="6.85546875" style="24" customWidth="1"/>
    <col min="7" max="7" width="6.85546875" style="24" hidden="1" customWidth="1"/>
    <col min="8" max="8" width="5.85546875" style="24" hidden="1" customWidth="1"/>
    <col min="9" max="9" width="6.5703125" style="24" hidden="1" customWidth="1"/>
    <col min="10" max="10" width="5.7109375" style="24" hidden="1" customWidth="1"/>
    <col min="11" max="11" width="9.28515625" style="24" hidden="1" customWidth="1"/>
    <col min="12" max="12" width="8.140625" style="24" hidden="1" customWidth="1"/>
    <col min="13" max="13" width="9.28515625" style="24" hidden="1" customWidth="1"/>
    <col min="14" max="14" width="19.28515625" style="1008" bestFit="1" customWidth="1"/>
    <col min="15" max="15" width="13.7109375" style="1008" bestFit="1" customWidth="1"/>
    <col min="16" max="16" width="7.28515625" style="37" bestFit="1" customWidth="1"/>
    <col min="17" max="17" width="16.42578125" style="37" hidden="1" customWidth="1"/>
    <col min="18" max="18" width="8" style="37" hidden="1" customWidth="1"/>
    <col min="19" max="19" width="10.42578125" style="37" bestFit="1" customWidth="1"/>
    <col min="20" max="20" width="6.5703125" style="37" bestFit="1" customWidth="1"/>
    <col min="21" max="21" width="8.42578125" style="37" hidden="1" customWidth="1"/>
    <col min="22" max="22" width="10.28515625" style="37" hidden="1" customWidth="1"/>
    <col min="23" max="23" width="12.7109375" style="37" hidden="1" customWidth="1"/>
    <col min="24" max="24" width="9.85546875" style="37" hidden="1" customWidth="1"/>
    <col min="25" max="25" width="8.140625" style="37" hidden="1" customWidth="1"/>
    <col min="26" max="26" width="4" style="37" hidden="1" customWidth="1"/>
    <col min="27" max="27" width="0.85546875" style="10" customWidth="1"/>
    <col min="28" max="28" width="1.7109375" style="10" customWidth="1"/>
    <col min="29" max="29" width="5.7109375" style="10" customWidth="1"/>
    <col min="30" max="30" width="1.7109375" style="10" customWidth="1"/>
    <col min="31" max="31" width="0.85546875" style="10" customWidth="1"/>
    <col min="32" max="32" width="6.7109375" style="10" hidden="1" customWidth="1"/>
    <col min="33" max="33" width="7" style="10" hidden="1" customWidth="1"/>
    <col min="34" max="35" width="6.85546875" style="10" hidden="1" customWidth="1"/>
    <col min="36" max="36" width="5.85546875" style="10" hidden="1" customWidth="1"/>
    <col min="37" max="37" width="6.5703125" style="10" hidden="1" customWidth="1"/>
    <col min="38" max="38" width="5.7109375" style="10" hidden="1" customWidth="1"/>
    <col min="39" max="39" width="9.28515625" style="10" hidden="1" customWidth="1"/>
    <col min="40" max="40" width="8.140625" style="10" hidden="1" customWidth="1"/>
    <col min="41" max="41" width="9.28515625" style="10" hidden="1" customWidth="1"/>
    <col min="42" max="43" width="8.5703125" style="10" hidden="1" customWidth="1"/>
    <col min="44" max="44" width="7.28515625" style="10" hidden="1" customWidth="1"/>
    <col min="45" max="45" width="9.28515625" style="10" hidden="1" customWidth="1"/>
    <col min="46" max="46" width="8" style="10" hidden="1" customWidth="1"/>
    <col min="47" max="47" width="10.28515625" style="10" hidden="1" customWidth="1"/>
    <col min="48" max="49" width="7.28515625" style="10" hidden="1" customWidth="1"/>
    <col min="50" max="50" width="10.28515625" style="10" hidden="1" customWidth="1"/>
    <col min="51" max="51" width="12.7109375" style="10" hidden="1" customWidth="1"/>
    <col min="52" max="53" width="7.28515625" style="10" hidden="1" customWidth="1"/>
    <col min="54" max="54" width="4.5703125" style="10" hidden="1" customWidth="1"/>
    <col min="55" max="55" width="0.85546875" style="10" customWidth="1"/>
    <col min="56" max="56" width="1.7109375" style="10" customWidth="1"/>
    <col min="57" max="57" width="5.7109375" style="10" customWidth="1"/>
    <col min="58" max="58" width="1.7109375" style="10" customWidth="1"/>
    <col min="59" max="59" width="0.85546875" style="10" customWidth="1"/>
    <col min="60" max="60" width="6.7109375" style="10" hidden="1" customWidth="1"/>
    <col min="61" max="61" width="7" style="10" hidden="1" customWidth="1"/>
    <col min="62" max="63" width="6.85546875" style="10" hidden="1" customWidth="1"/>
    <col min="64" max="64" width="5.85546875" style="10" hidden="1" customWidth="1"/>
    <col min="65" max="65" width="6.5703125" style="10" hidden="1" customWidth="1"/>
    <col min="66" max="66" width="5.7109375" style="10" hidden="1" customWidth="1"/>
    <col min="67" max="67" width="9.28515625" style="10" hidden="1" customWidth="1"/>
    <col min="68" max="68" width="8.140625" style="10" hidden="1" customWidth="1"/>
    <col min="69" max="69" width="9.28515625" style="10" hidden="1" customWidth="1"/>
    <col min="70" max="71" width="8.5703125" style="10" hidden="1" customWidth="1"/>
    <col min="72" max="72" width="7.28515625" style="10" hidden="1" customWidth="1"/>
    <col min="73" max="73" width="9.28515625" style="10" hidden="1" customWidth="1"/>
    <col min="74" max="74" width="8" style="10" hidden="1" customWidth="1"/>
    <col min="75" max="75" width="10.28515625" style="10" hidden="1" customWidth="1"/>
    <col min="76" max="77" width="7.28515625" style="10" hidden="1" customWidth="1"/>
    <col min="78" max="78" width="10.28515625" style="10" hidden="1" customWidth="1"/>
    <col min="79" max="79" width="12.7109375" style="10" hidden="1" customWidth="1"/>
    <col min="80" max="81" width="7.28515625" style="10" hidden="1" customWidth="1"/>
    <col min="82" max="82" width="4.5703125" style="10" hidden="1" customWidth="1"/>
    <col min="83" max="83" width="0.85546875" style="10" customWidth="1"/>
    <col min="84" max="84" width="1.7109375" style="10" customWidth="1"/>
    <col min="85" max="16384" width="8.85546875" style="10"/>
  </cols>
  <sheetData>
    <row r="1" spans="2:95" ht="60" customHeight="1" x14ac:dyDescent="0.25"/>
    <row r="2" spans="2:95" ht="54.95" customHeight="1" thickBot="1" x14ac:dyDescent="0.3"/>
    <row r="3" spans="2:95" ht="15.6" customHeight="1" x14ac:dyDescent="0.25">
      <c r="B3" s="1"/>
      <c r="C3" s="2"/>
      <c r="D3" s="25"/>
      <c r="E3" s="25"/>
      <c r="F3" s="25"/>
      <c r="G3" s="25"/>
      <c r="H3" s="25"/>
      <c r="I3" s="25"/>
      <c r="J3" s="25"/>
      <c r="K3" s="25"/>
      <c r="L3" s="25"/>
      <c r="M3" s="25"/>
      <c r="N3" s="1009"/>
      <c r="O3" s="1009"/>
      <c r="P3" s="123"/>
      <c r="Q3" s="123"/>
      <c r="R3" s="123"/>
      <c r="S3" s="123"/>
      <c r="T3" s="123"/>
      <c r="U3" s="123"/>
      <c r="V3" s="123"/>
      <c r="W3" s="123"/>
      <c r="X3" s="123"/>
      <c r="Y3" s="123"/>
      <c r="Z3" s="123"/>
      <c r="AA3" s="2"/>
      <c r="AB3" s="3"/>
    </row>
    <row r="4" spans="2:95" ht="16.5" x14ac:dyDescent="0.3">
      <c r="B4" s="4"/>
      <c r="C4" s="51"/>
      <c r="D4" s="27" t="s">
        <v>156</v>
      </c>
      <c r="E4" s="44"/>
      <c r="F4" s="44"/>
      <c r="G4" s="44"/>
      <c r="H4" s="44"/>
      <c r="I4" s="44"/>
      <c r="J4" s="44"/>
      <c r="K4" s="44"/>
      <c r="L4" s="44"/>
      <c r="M4" s="44"/>
      <c r="N4" s="3968"/>
      <c r="O4" s="3968"/>
      <c r="P4" s="3960"/>
      <c r="Q4" s="3960"/>
      <c r="R4" s="3960"/>
      <c r="S4" s="3960"/>
      <c r="T4" s="3960"/>
      <c r="U4" s="3960"/>
      <c r="V4" s="3960"/>
      <c r="W4" s="3960"/>
      <c r="X4" s="3960"/>
      <c r="Y4" s="3960"/>
      <c r="Z4" s="3960"/>
      <c r="AA4" s="51"/>
      <c r="AB4" s="6"/>
    </row>
    <row r="5" spans="2:95" x14ac:dyDescent="0.25">
      <c r="B5" s="4"/>
      <c r="C5" s="11"/>
      <c r="D5" s="207" t="s">
        <v>94</v>
      </c>
      <c r="E5" s="207" t="s">
        <v>122</v>
      </c>
      <c r="F5" s="207" t="s">
        <v>572</v>
      </c>
      <c r="G5" s="207" t="s">
        <v>572</v>
      </c>
      <c r="H5" s="207" t="s">
        <v>326</v>
      </c>
      <c r="I5" s="207" t="s">
        <v>326</v>
      </c>
      <c r="J5" s="207" t="s">
        <v>844</v>
      </c>
      <c r="K5" s="207" t="s">
        <v>154</v>
      </c>
      <c r="L5" s="207" t="s">
        <v>135</v>
      </c>
      <c r="M5" s="207" t="s">
        <v>154</v>
      </c>
      <c r="N5" s="1534"/>
      <c r="O5" s="1534"/>
      <c r="P5" s="55"/>
      <c r="Q5" s="55" t="s">
        <v>154</v>
      </c>
      <c r="R5" s="55" t="s">
        <v>756</v>
      </c>
      <c r="S5" s="55" t="s">
        <v>1303</v>
      </c>
      <c r="T5" s="55" t="s">
        <v>124</v>
      </c>
      <c r="U5" s="55" t="s">
        <v>124</v>
      </c>
      <c r="V5" s="55" t="s">
        <v>124</v>
      </c>
      <c r="W5" s="55" t="s">
        <v>843</v>
      </c>
      <c r="X5" s="55" t="s">
        <v>124</v>
      </c>
      <c r="Y5" s="55" t="s">
        <v>124</v>
      </c>
      <c r="Z5" s="55" t="s">
        <v>702</v>
      </c>
      <c r="AA5" s="11"/>
      <c r="AB5" s="6"/>
    </row>
    <row r="6" spans="2:95" x14ac:dyDescent="0.25">
      <c r="B6" s="4"/>
      <c r="C6" s="11"/>
      <c r="D6" s="207" t="s">
        <v>113</v>
      </c>
      <c r="E6" s="207" t="s">
        <v>123</v>
      </c>
      <c r="F6" s="207" t="s">
        <v>160</v>
      </c>
      <c r="G6" s="207" t="s">
        <v>129</v>
      </c>
      <c r="H6" s="207" t="s">
        <v>160</v>
      </c>
      <c r="I6" s="207" t="s">
        <v>129</v>
      </c>
      <c r="J6" s="207" t="s">
        <v>845</v>
      </c>
      <c r="K6" s="207" t="s">
        <v>129</v>
      </c>
      <c r="L6" s="207" t="s">
        <v>1026</v>
      </c>
      <c r="M6" s="207" t="s">
        <v>1056</v>
      </c>
      <c r="N6" s="1534" t="s">
        <v>95</v>
      </c>
      <c r="O6" s="207" t="str">
        <f>IF(N12=0,"Location","")</f>
        <v/>
      </c>
      <c r="P6" s="55" t="s">
        <v>76</v>
      </c>
      <c r="Q6" s="55" t="s">
        <v>155</v>
      </c>
      <c r="R6" s="55" t="s">
        <v>757</v>
      </c>
      <c r="S6" s="55" t="s">
        <v>47</v>
      </c>
      <c r="T6" s="55" t="s">
        <v>129</v>
      </c>
      <c r="U6" s="55" t="s">
        <v>125</v>
      </c>
      <c r="V6" s="55" t="s">
        <v>842</v>
      </c>
      <c r="W6" s="55" t="s">
        <v>129</v>
      </c>
      <c r="X6" s="55" t="s">
        <v>1023</v>
      </c>
      <c r="Y6" s="55" t="s">
        <v>1057</v>
      </c>
      <c r="Z6" s="55" t="s">
        <v>126</v>
      </c>
      <c r="AA6" s="11"/>
      <c r="AB6" s="6"/>
    </row>
    <row r="7" spans="2:95" s="36" customFormat="1" x14ac:dyDescent="0.25">
      <c r="B7" s="87"/>
      <c r="C7" s="88"/>
      <c r="D7" s="327">
        <v>1</v>
      </c>
      <c r="E7" s="523">
        <v>44739</v>
      </c>
      <c r="F7" s="3969">
        <v>8.7127999999999997</v>
      </c>
      <c r="G7" s="3970">
        <v>10660</v>
      </c>
      <c r="H7" s="3969">
        <v>0.24471999999999999</v>
      </c>
      <c r="I7" s="3970">
        <v>10660</v>
      </c>
      <c r="J7" s="3970">
        <v>83</v>
      </c>
      <c r="K7" s="3970" t="s">
        <v>3</v>
      </c>
      <c r="L7" s="3970">
        <v>1</v>
      </c>
      <c r="M7" s="3970" t="s">
        <v>3</v>
      </c>
      <c r="N7" s="327" t="s">
        <v>20022</v>
      </c>
      <c r="O7" s="327" t="s">
        <v>19964</v>
      </c>
      <c r="P7" s="526" t="s">
        <v>20023</v>
      </c>
      <c r="Q7" s="526" t="s">
        <v>19857</v>
      </c>
      <c r="R7" s="1013"/>
      <c r="S7" s="3971">
        <v>8150000</v>
      </c>
      <c r="T7" s="805">
        <f>+S7/CG7</f>
        <v>21.473952722439797</v>
      </c>
      <c r="U7" s="806">
        <f t="shared" ref="U7:U10" si="0">IF(dpUnit_Land="Per Gross Acre",S7/H7,S7/F7)</f>
        <v>935405.3805894776</v>
      </c>
      <c r="V7" s="805">
        <f t="shared" ref="V7:Y10" si="1">$S7/J7</f>
        <v>98192.77108433735</v>
      </c>
      <c r="W7" s="805" t="e">
        <f t="shared" si="1"/>
        <v>#VALUE!</v>
      </c>
      <c r="X7" s="806">
        <f t="shared" si="1"/>
        <v>8150000</v>
      </c>
      <c r="Y7" s="806" t="e">
        <f t="shared" si="1"/>
        <v>#VALUE!</v>
      </c>
      <c r="Z7" s="526">
        <v>1627827</v>
      </c>
      <c r="AA7" s="88"/>
      <c r="AB7" s="89"/>
      <c r="CG7" s="36">
        <f>+F7*43560</f>
        <v>379529.56799999997</v>
      </c>
      <c r="CH7" s="3856">
        <f>+S7/CG7</f>
        <v>21.473952722439797</v>
      </c>
      <c r="CK7" s="36">
        <f>+S7/CG7</f>
        <v>21.473952722439797</v>
      </c>
    </row>
    <row r="8" spans="2:95" s="36" customFormat="1" x14ac:dyDescent="0.25">
      <c r="B8" s="87"/>
      <c r="C8" s="88"/>
      <c r="D8" s="327">
        <v>2</v>
      </c>
      <c r="E8" s="523">
        <v>44624</v>
      </c>
      <c r="F8" s="3969">
        <v>9.9633000000000003</v>
      </c>
      <c r="G8" s="3970">
        <v>30971</v>
      </c>
      <c r="H8" s="3969">
        <v>0.71099999999999997</v>
      </c>
      <c r="I8" s="3970">
        <v>30971</v>
      </c>
      <c r="J8" s="3970">
        <v>200</v>
      </c>
      <c r="K8" s="3970" t="s">
        <v>3</v>
      </c>
      <c r="L8" s="3970"/>
      <c r="M8" s="3970" t="s">
        <v>3</v>
      </c>
      <c r="N8" s="327" t="s">
        <v>20034</v>
      </c>
      <c r="O8" s="327" t="s">
        <v>20024</v>
      </c>
      <c r="P8" s="526" t="s">
        <v>20019</v>
      </c>
      <c r="Q8" s="526" t="s">
        <v>19857</v>
      </c>
      <c r="R8" s="1013"/>
      <c r="S8" s="3971">
        <v>7000000</v>
      </c>
      <c r="T8" s="805">
        <f>+CH8/CG8</f>
        <v>16.128982161594575</v>
      </c>
      <c r="U8" s="806">
        <f t="shared" si="0"/>
        <v>702578.46295905975</v>
      </c>
      <c r="V8" s="805">
        <f t="shared" si="1"/>
        <v>35000</v>
      </c>
      <c r="W8" s="805" t="e">
        <f t="shared" si="1"/>
        <v>#VALUE!</v>
      </c>
      <c r="X8" s="806" t="e">
        <f t="shared" si="1"/>
        <v>#DIV/0!</v>
      </c>
      <c r="Y8" s="806" t="e">
        <f t="shared" si="1"/>
        <v>#VALUE!</v>
      </c>
      <c r="Z8" s="526">
        <v>1627822</v>
      </c>
      <c r="AA8" s="88"/>
      <c r="AB8" s="89"/>
      <c r="CG8" s="36">
        <f t="shared" ref="CG8:CG10" si="2">+F8*43560</f>
        <v>434001.348</v>
      </c>
      <c r="CH8" s="36">
        <v>7000000</v>
      </c>
      <c r="CK8" s="36">
        <f t="shared" ref="CK8:CK10" si="3">+S8/CG8</f>
        <v>16.128982161594575</v>
      </c>
    </row>
    <row r="9" spans="2:95" s="36" customFormat="1" x14ac:dyDescent="0.25">
      <c r="B9" s="87"/>
      <c r="C9" s="88"/>
      <c r="D9" s="327">
        <v>3</v>
      </c>
      <c r="E9" s="523">
        <v>44714</v>
      </c>
      <c r="F9" s="3969">
        <v>12.2</v>
      </c>
      <c r="G9" s="3970">
        <v>66930</v>
      </c>
      <c r="H9" s="3969">
        <v>1.5365</v>
      </c>
      <c r="I9" s="3970">
        <v>66930</v>
      </c>
      <c r="J9" s="3970">
        <v>260</v>
      </c>
      <c r="K9" s="3970" t="s">
        <v>3</v>
      </c>
      <c r="L9" s="3970">
        <v>1</v>
      </c>
      <c r="M9" s="3970" t="s">
        <v>3</v>
      </c>
      <c r="N9" s="327" t="s">
        <v>20025</v>
      </c>
      <c r="O9" s="327" t="s">
        <v>19964</v>
      </c>
      <c r="P9" s="526" t="s">
        <v>20026</v>
      </c>
      <c r="Q9" s="526"/>
      <c r="R9" s="1013"/>
      <c r="S9" s="3971">
        <v>9565000</v>
      </c>
      <c r="T9" s="805">
        <f>+CH9/CG9</f>
        <v>17.998539794366916</v>
      </c>
      <c r="U9" s="806">
        <f t="shared" si="0"/>
        <v>784016.39344262297</v>
      </c>
      <c r="V9" s="805">
        <f t="shared" si="1"/>
        <v>36788.461538461539</v>
      </c>
      <c r="W9" s="805" t="e">
        <f t="shared" si="1"/>
        <v>#VALUE!</v>
      </c>
      <c r="X9" s="806">
        <f t="shared" si="1"/>
        <v>9565000</v>
      </c>
      <c r="Y9" s="806" t="e">
        <f t="shared" si="1"/>
        <v>#VALUE!</v>
      </c>
      <c r="Z9" s="526">
        <v>1698162</v>
      </c>
      <c r="AA9" s="88"/>
      <c r="AB9" s="89"/>
      <c r="CG9" s="36">
        <f t="shared" si="2"/>
        <v>531432</v>
      </c>
      <c r="CH9" s="36">
        <v>9565000</v>
      </c>
      <c r="CK9" s="36">
        <f t="shared" si="3"/>
        <v>17.998539794366916</v>
      </c>
    </row>
    <row r="10" spans="2:95" s="36" customFormat="1" ht="15" thickBot="1" x14ac:dyDescent="0.3">
      <c r="B10" s="87"/>
      <c r="C10" s="88"/>
      <c r="D10" s="513">
        <v>4</v>
      </c>
      <c r="E10" s="524">
        <v>44568</v>
      </c>
      <c r="F10" s="1010">
        <v>7.14</v>
      </c>
      <c r="G10" s="1011">
        <v>54142</v>
      </c>
      <c r="H10" s="1010">
        <v>1.2429300000000001</v>
      </c>
      <c r="I10" s="1011">
        <v>54142</v>
      </c>
      <c r="J10" s="1011"/>
      <c r="K10" s="1011" t="s">
        <v>3</v>
      </c>
      <c r="L10" s="1011">
        <v>1</v>
      </c>
      <c r="M10" s="1011" t="s">
        <v>3</v>
      </c>
      <c r="N10" s="513" t="s">
        <v>20027</v>
      </c>
      <c r="O10" s="513" t="s">
        <v>19964</v>
      </c>
      <c r="P10" s="1014" t="s">
        <v>20026</v>
      </c>
      <c r="Q10" s="1014"/>
      <c r="R10" s="1015"/>
      <c r="S10" s="926">
        <v>5750000</v>
      </c>
      <c r="T10" s="807">
        <f>+CH10/CG10</f>
        <v>18.487652177491753</v>
      </c>
      <c r="U10" s="808">
        <f t="shared" si="0"/>
        <v>805322.12885154062</v>
      </c>
      <c r="V10" s="807" t="e">
        <f t="shared" si="1"/>
        <v>#DIV/0!</v>
      </c>
      <c r="W10" s="807" t="e">
        <f t="shared" si="1"/>
        <v>#VALUE!</v>
      </c>
      <c r="X10" s="808">
        <f t="shared" si="1"/>
        <v>5750000</v>
      </c>
      <c r="Y10" s="808" t="e">
        <f t="shared" si="1"/>
        <v>#VALUE!</v>
      </c>
      <c r="Z10" s="1014">
        <v>1645647</v>
      </c>
      <c r="AA10" s="88"/>
      <c r="AB10" s="89"/>
      <c r="CG10" s="36">
        <f t="shared" si="2"/>
        <v>311018.39999999997</v>
      </c>
      <c r="CH10" s="36">
        <v>5750000</v>
      </c>
      <c r="CK10" s="36">
        <f t="shared" si="3"/>
        <v>18.487652177491753</v>
      </c>
    </row>
    <row r="11" spans="2:95" ht="15" thickBot="1" x14ac:dyDescent="0.3">
      <c r="B11" s="8"/>
      <c r="C11" s="7"/>
      <c r="D11" s="554" t="s">
        <v>859</v>
      </c>
      <c r="E11" s="29"/>
      <c r="F11" s="29"/>
      <c r="G11" s="29"/>
      <c r="H11" s="29"/>
      <c r="I11" s="29"/>
      <c r="J11" s="29"/>
      <c r="K11" s="29"/>
      <c r="L11" s="29"/>
      <c r="M11" s="29"/>
      <c r="N11" s="986"/>
      <c r="O11" s="986"/>
      <c r="P11" s="800"/>
      <c r="Q11" s="800"/>
      <c r="R11" s="800"/>
      <c r="S11" s="800"/>
      <c r="T11" s="800"/>
      <c r="U11" s="800"/>
      <c r="V11" s="800"/>
      <c r="W11" s="800"/>
      <c r="X11" s="800"/>
      <c r="Y11" s="800"/>
      <c r="Z11" s="800"/>
      <c r="AA11" s="7"/>
      <c r="AB11" s="9"/>
      <c r="CQ11" s="10">
        <f>435000/43560</f>
        <v>9.9862258953168048</v>
      </c>
    </row>
    <row r="12" spans="2:95" s="32" customFormat="1" x14ac:dyDescent="0.25">
      <c r="B12" s="143"/>
      <c r="C12" s="143"/>
      <c r="D12" s="957">
        <f>IF(LandAdjustmentGrid="Single",1,0)</f>
        <v>1</v>
      </c>
      <c r="E12" s="957">
        <f>IF(LandAdjustmentGrid="Single",1,0)</f>
        <v>1</v>
      </c>
      <c r="F12" s="957">
        <f>IF(LandAdjustmentGrid="Single",IF(LandUnitDisplay="Usable Acres",1,0),0)</f>
        <v>1</v>
      </c>
      <c r="G12" s="957">
        <f>IF(LandAdjustmentGrid="Single",IF(LandUnitDisplay="Usable Square Feet",1,0),0)</f>
        <v>0</v>
      </c>
      <c r="H12" s="957">
        <f>IF(LandAdjustmentGrid="Single",IF(LandUnitDisplay="Gross Acres",1,0),0)</f>
        <v>0</v>
      </c>
      <c r="I12" s="957">
        <f>IF(LandAdjustmentGrid="Single",IF(LandUnitDisplay="Gross Square Feet",1,0),0)</f>
        <v>0</v>
      </c>
      <c r="J12" s="957">
        <f>IF(LandAdjustmentGrid="Single",IF(LandUnitDisplay="Front Feet",1,0),0)</f>
        <v>0</v>
      </c>
      <c r="K12" s="957">
        <f>IF(LandAdjustmentGrid="Single",IF(LandUnitDisplay="Proposed Square Foot",1,0),0)</f>
        <v>0</v>
      </c>
      <c r="L12" s="957">
        <f>IF(LandAdjustmentGrid="Single",IF(LandUnitDisplay="Lots",1,0),0)</f>
        <v>0</v>
      </c>
      <c r="M12" s="957">
        <f>IF(LandAdjustmentGrid="Single",IF(LandUnitDisplay="Proposed Units",1,0),0)</f>
        <v>0</v>
      </c>
      <c r="N12" s="957">
        <f>IF(LandAdjustmentGrid="Single",1,0)</f>
        <v>1</v>
      </c>
      <c r="O12" s="957">
        <f>IF(LandAdjustmentGrid="Single",1,0)</f>
        <v>1</v>
      </c>
      <c r="P12" s="957">
        <f>IF(LandAdjustmentGrid="Single",1,0)</f>
        <v>1</v>
      </c>
      <c r="Q12" s="957">
        <v>0</v>
      </c>
      <c r="R12" s="957">
        <f>IF(LandAdjustmentGrid="Single",IF(OR(R5="User",R6="Defined"),0,1),0)</f>
        <v>0</v>
      </c>
      <c r="S12" s="957">
        <f>IF(LandAdjustmentGrid="Single",1,0)</f>
        <v>1</v>
      </c>
      <c r="T12" s="957">
        <f>IF(LandAdjustmentGrid="Single",IF(OR(dpUnit_Land="Per Usable Square Foot",dpUnit_Land="Per Gross Square Foot"),1,0),0)</f>
        <v>1</v>
      </c>
      <c r="U12" s="957">
        <f>IF(LandAdjustmentGrid="Single",IF(OR(dpUnit_Land="Per Usable Acre",dpUnit_Land="Per Gross Acre"),1,0),0)</f>
        <v>0</v>
      </c>
      <c r="V12" s="957">
        <f>IF(LandAdjustmentGrid="Single",IF(dpUnit_Land="Per Front Foot",1,0),0)</f>
        <v>0</v>
      </c>
      <c r="W12" s="957">
        <f>IF(LandAdjustmentGrid="Single",IF(dpUnit_Land="Per Proposed Square Foot",1,0),0)</f>
        <v>0</v>
      </c>
      <c r="X12" s="957">
        <f>IF(LandAdjustmentGrid="Single",IF(dpUnit_Land="Per Proposed Lot",1,0),0)</f>
        <v>0</v>
      </c>
      <c r="Y12" s="957">
        <f>IF(LandAdjustmentGrid="Single",IF(dpUnit_Land="Per Proposed Unit",1,0),0)</f>
        <v>0</v>
      </c>
      <c r="Z12" s="957">
        <v>0</v>
      </c>
    </row>
    <row r="13" spans="2:95" s="143" customFormat="1" ht="15" thickBot="1" x14ac:dyDescent="0.3">
      <c r="D13" s="889"/>
      <c r="E13" s="889"/>
      <c r="F13" s="889"/>
      <c r="G13" s="889"/>
      <c r="H13" s="889"/>
      <c r="I13" s="889"/>
      <c r="J13" s="889"/>
      <c r="K13" s="889"/>
      <c r="L13" s="889"/>
      <c r="M13" s="889"/>
      <c r="N13" s="1012"/>
      <c r="O13" s="1012"/>
      <c r="P13" s="809"/>
      <c r="Q13" s="809"/>
      <c r="R13" s="809"/>
      <c r="S13" s="809"/>
      <c r="T13" s="809"/>
      <c r="U13" s="809"/>
      <c r="V13" s="809"/>
      <c r="W13" s="809"/>
      <c r="X13" s="809"/>
      <c r="Y13" s="809"/>
      <c r="Z13" s="809"/>
    </row>
    <row r="14" spans="2:95" s="143" customFormat="1" x14ac:dyDescent="0.25">
      <c r="D14" s="889"/>
      <c r="E14" s="889"/>
      <c r="F14" s="889"/>
      <c r="G14" s="889"/>
      <c r="H14" s="889"/>
      <c r="I14" s="889"/>
      <c r="J14" s="889"/>
      <c r="K14" s="889"/>
      <c r="L14" s="889"/>
      <c r="M14" s="889"/>
      <c r="N14" s="1012"/>
      <c r="O14" s="1012"/>
      <c r="P14" s="809"/>
      <c r="Q14" s="809"/>
      <c r="R14" s="809"/>
      <c r="S14" s="809"/>
      <c r="T14" s="809"/>
      <c r="U14" s="809"/>
      <c r="V14" s="809"/>
      <c r="W14" s="809"/>
      <c r="X14" s="809"/>
      <c r="Y14" s="809"/>
      <c r="Z14" s="809"/>
      <c r="AD14" s="1"/>
      <c r="AE14" s="2"/>
      <c r="AF14" s="25"/>
      <c r="AG14" s="25"/>
      <c r="AH14" s="25"/>
      <c r="AI14" s="25"/>
      <c r="AJ14" s="25"/>
      <c r="AK14" s="25"/>
      <c r="AL14" s="25"/>
      <c r="AM14" s="25"/>
      <c r="AN14" s="25"/>
      <c r="AO14" s="25"/>
      <c r="AP14" s="1009"/>
      <c r="AQ14" s="1009"/>
      <c r="AR14" s="123"/>
      <c r="AS14" s="123"/>
      <c r="AT14" s="123"/>
      <c r="AU14" s="123"/>
      <c r="AV14" s="123"/>
      <c r="AW14" s="123"/>
      <c r="AX14" s="123"/>
      <c r="AY14" s="123"/>
      <c r="AZ14" s="123"/>
      <c r="BA14" s="123"/>
      <c r="BB14" s="123"/>
      <c r="BC14" s="2"/>
      <c r="BD14" s="3"/>
    </row>
    <row r="15" spans="2:95" s="143" customFormat="1" ht="16.5" x14ac:dyDescent="0.3">
      <c r="D15" s="889"/>
      <c r="E15" s="889"/>
      <c r="F15" s="889"/>
      <c r="G15" s="889"/>
      <c r="H15" s="889"/>
      <c r="I15" s="889"/>
      <c r="J15" s="889"/>
      <c r="K15" s="889"/>
      <c r="L15" s="889"/>
      <c r="M15" s="889"/>
      <c r="N15" s="1012"/>
      <c r="O15" s="1012"/>
      <c r="P15" s="809"/>
      <c r="Q15" s="809"/>
      <c r="R15" s="809"/>
      <c r="S15" s="809"/>
      <c r="T15" s="809"/>
      <c r="U15" s="809"/>
      <c r="V15" s="809"/>
      <c r="W15" s="809"/>
      <c r="X15" s="809"/>
      <c r="Y15" s="809"/>
      <c r="Z15" s="809"/>
      <c r="AD15" s="4"/>
      <c r="AE15" s="51"/>
      <c r="AF15" s="27" t="str">
        <f>CONCATENATE("Land Sales Summary - ",dpLand_TractNameB1)</f>
        <v xml:space="preserve">Land Sales Summary - </v>
      </c>
      <c r="AG15" s="44"/>
      <c r="AH15" s="44"/>
      <c r="AI15" s="44"/>
      <c r="AJ15" s="44"/>
      <c r="AK15" s="44"/>
      <c r="AL15" s="44"/>
      <c r="AM15" s="44"/>
      <c r="AN15" s="44"/>
      <c r="AO15" s="44"/>
      <c r="AP15" s="3968"/>
      <c r="AQ15" s="3968"/>
      <c r="AR15" s="3960"/>
      <c r="AS15" s="3960"/>
      <c r="AT15" s="3960"/>
      <c r="AU15" s="3960"/>
      <c r="AV15" s="3960"/>
      <c r="AW15" s="3960"/>
      <c r="AX15" s="3960"/>
      <c r="AY15" s="3960"/>
      <c r="AZ15" s="3960"/>
      <c r="BA15" s="3960"/>
      <c r="BB15" s="3960"/>
      <c r="BC15" s="51"/>
      <c r="BD15" s="6"/>
    </row>
    <row r="16" spans="2:95" s="143" customFormat="1" x14ac:dyDescent="0.25">
      <c r="D16" s="889"/>
      <c r="E16" s="889"/>
      <c r="F16" s="889"/>
      <c r="G16" s="889"/>
      <c r="H16" s="889"/>
      <c r="I16" s="889"/>
      <c r="J16" s="889"/>
      <c r="K16" s="889"/>
      <c r="L16" s="889"/>
      <c r="M16" s="889"/>
      <c r="N16" s="1012"/>
      <c r="O16" s="1012"/>
      <c r="P16" s="809"/>
      <c r="Q16" s="809"/>
      <c r="R16" s="809"/>
      <c r="S16" s="809"/>
      <c r="T16" s="809"/>
      <c r="U16" s="809"/>
      <c r="V16" s="809"/>
      <c r="W16" s="809"/>
      <c r="X16" s="809"/>
      <c r="Y16" s="809"/>
      <c r="Z16" s="809"/>
      <c r="AD16" s="4"/>
      <c r="AE16" s="11"/>
      <c r="AF16" s="207" t="s">
        <v>94</v>
      </c>
      <c r="AG16" s="207" t="s">
        <v>122</v>
      </c>
      <c r="AH16" s="207" t="s">
        <v>572</v>
      </c>
      <c r="AI16" s="207" t="s">
        <v>572</v>
      </c>
      <c r="AJ16" s="207" t="s">
        <v>326</v>
      </c>
      <c r="AK16" s="207" t="s">
        <v>326</v>
      </c>
      <c r="AL16" s="207" t="s">
        <v>844</v>
      </c>
      <c r="AM16" s="207" t="s">
        <v>154</v>
      </c>
      <c r="AN16" s="207" t="s">
        <v>135</v>
      </c>
      <c r="AO16" s="207" t="s">
        <v>154</v>
      </c>
      <c r="AP16" s="1534"/>
      <c r="AQ16" s="1534"/>
      <c r="AR16" s="55"/>
      <c r="AS16" s="55" t="s">
        <v>154</v>
      </c>
      <c r="AT16" s="55" t="s">
        <v>756</v>
      </c>
      <c r="AU16" s="55" t="s">
        <v>1303</v>
      </c>
      <c r="AV16" s="55" t="s">
        <v>124</v>
      </c>
      <c r="AW16" s="55" t="s">
        <v>124</v>
      </c>
      <c r="AX16" s="55" t="s">
        <v>124</v>
      </c>
      <c r="AY16" s="55" t="s">
        <v>843</v>
      </c>
      <c r="AZ16" s="55" t="s">
        <v>124</v>
      </c>
      <c r="BA16" s="55" t="s">
        <v>124</v>
      </c>
      <c r="BB16" s="55" t="s">
        <v>702</v>
      </c>
      <c r="BC16" s="11"/>
      <c r="BD16" s="6"/>
    </row>
    <row r="17" spans="30:84" x14ac:dyDescent="0.25">
      <c r="AD17" s="4"/>
      <c r="AE17" s="11"/>
      <c r="AF17" s="207" t="s">
        <v>113</v>
      </c>
      <c r="AG17" s="207" t="s">
        <v>123</v>
      </c>
      <c r="AH17" s="207" t="s">
        <v>160</v>
      </c>
      <c r="AI17" s="207" t="s">
        <v>129</v>
      </c>
      <c r="AJ17" s="207" t="s">
        <v>160</v>
      </c>
      <c r="AK17" s="207" t="s">
        <v>129</v>
      </c>
      <c r="AL17" s="207" t="s">
        <v>845</v>
      </c>
      <c r="AM17" s="207" t="s">
        <v>129</v>
      </c>
      <c r="AN17" s="207" t="s">
        <v>1026</v>
      </c>
      <c r="AO17" s="207" t="s">
        <v>1056</v>
      </c>
      <c r="AP17" s="1534" t="s">
        <v>95</v>
      </c>
      <c r="AQ17" s="207" t="str">
        <f>IF(AP25=0,"Location","")</f>
        <v>Location</v>
      </c>
      <c r="AR17" s="55" t="s">
        <v>76</v>
      </c>
      <c r="AS17" s="55" t="s">
        <v>155</v>
      </c>
      <c r="AT17" s="55" t="s">
        <v>757</v>
      </c>
      <c r="AU17" s="55" t="s">
        <v>47</v>
      </c>
      <c r="AV17" s="55" t="s">
        <v>129</v>
      </c>
      <c r="AW17" s="55" t="s">
        <v>125</v>
      </c>
      <c r="AX17" s="55" t="s">
        <v>842</v>
      </c>
      <c r="AY17" s="55" t="s">
        <v>129</v>
      </c>
      <c r="AZ17" s="55" t="s">
        <v>1023</v>
      </c>
      <c r="BA17" s="55" t="s">
        <v>1057</v>
      </c>
      <c r="BB17" s="55" t="s">
        <v>126</v>
      </c>
      <c r="BC17" s="11"/>
      <c r="BD17" s="6"/>
    </row>
    <row r="18" spans="30:84" x14ac:dyDescent="0.25">
      <c r="AD18" s="87"/>
      <c r="AE18" s="88"/>
      <c r="AF18" s="327">
        <v>1</v>
      </c>
      <c r="AG18" s="523"/>
      <c r="AH18" s="3969"/>
      <c r="AI18" s="3970"/>
      <c r="AJ18" s="3969"/>
      <c r="AK18" s="3970"/>
      <c r="AL18" s="3970"/>
      <c r="AM18" s="3970"/>
      <c r="AN18" s="3970"/>
      <c r="AO18" s="3970"/>
      <c r="AP18" s="3972"/>
      <c r="AQ18" s="327"/>
      <c r="AR18" s="526"/>
      <c r="AS18" s="526"/>
      <c r="AT18" s="1013"/>
      <c r="AU18" s="3971"/>
      <c r="AV18" s="805" t="e">
        <f t="shared" ref="AV18:AV23" si="4">IF(dpUnit_Land="Per Usable Square Foot",AU18/AI18,AU18/AK18)</f>
        <v>#DIV/0!</v>
      </c>
      <c r="AW18" s="806" t="e">
        <f t="shared" ref="AW18:AW23" si="5">IF(dpUnit_Land="Per Gross Acre",AU18/AJ18,AU18/AH18)</f>
        <v>#DIV/0!</v>
      </c>
      <c r="AX18" s="805" t="e">
        <f t="shared" ref="AX18:AX23" si="6">$S18/AL18</f>
        <v>#DIV/0!</v>
      </c>
      <c r="AY18" s="805" t="e">
        <f t="shared" ref="AY18:AY23" si="7">$S18/AM18</f>
        <v>#DIV/0!</v>
      </c>
      <c r="AZ18" s="806" t="e">
        <f t="shared" ref="AZ18:AZ23" si="8">$S18/AN18</f>
        <v>#DIV/0!</v>
      </c>
      <c r="BA18" s="806" t="e">
        <f t="shared" ref="BA18:BA23" si="9">$S18/AO18</f>
        <v>#DIV/0!</v>
      </c>
      <c r="BB18" s="526"/>
      <c r="BC18" s="88"/>
      <c r="BD18" s="89"/>
    </row>
    <row r="19" spans="30:84" x14ac:dyDescent="0.25">
      <c r="AD19" s="87"/>
      <c r="AE19" s="88"/>
      <c r="AF19" s="327">
        <v>2</v>
      </c>
      <c r="AG19" s="523"/>
      <c r="AH19" s="3969"/>
      <c r="AI19" s="3970"/>
      <c r="AJ19" s="3969"/>
      <c r="AK19" s="3970"/>
      <c r="AL19" s="3970"/>
      <c r="AM19" s="3970"/>
      <c r="AN19" s="3970"/>
      <c r="AO19" s="3970"/>
      <c r="AP19" s="327"/>
      <c r="AQ19" s="327"/>
      <c r="AR19" s="526"/>
      <c r="AS19" s="526"/>
      <c r="AT19" s="1013"/>
      <c r="AU19" s="3971"/>
      <c r="AV19" s="805" t="e">
        <f t="shared" si="4"/>
        <v>#DIV/0!</v>
      </c>
      <c r="AW19" s="806" t="e">
        <f t="shared" si="5"/>
        <v>#DIV/0!</v>
      </c>
      <c r="AX19" s="805" t="e">
        <f t="shared" si="6"/>
        <v>#DIV/0!</v>
      </c>
      <c r="AY19" s="805" t="e">
        <f t="shared" si="7"/>
        <v>#DIV/0!</v>
      </c>
      <c r="AZ19" s="806" t="e">
        <f t="shared" si="8"/>
        <v>#DIV/0!</v>
      </c>
      <c r="BA19" s="806" t="e">
        <f t="shared" si="9"/>
        <v>#DIV/0!</v>
      </c>
      <c r="BB19" s="526"/>
      <c r="BC19" s="88"/>
      <c r="BD19" s="89"/>
    </row>
    <row r="20" spans="30:84" x14ac:dyDescent="0.25">
      <c r="AD20" s="87"/>
      <c r="AE20" s="88"/>
      <c r="AF20" s="327">
        <v>3</v>
      </c>
      <c r="AG20" s="523"/>
      <c r="AH20" s="3969"/>
      <c r="AI20" s="3970"/>
      <c r="AJ20" s="3969"/>
      <c r="AK20" s="3970"/>
      <c r="AL20" s="3970"/>
      <c r="AM20" s="3970"/>
      <c r="AN20" s="3970"/>
      <c r="AO20" s="3970"/>
      <c r="AP20" s="327"/>
      <c r="AQ20" s="327"/>
      <c r="AR20" s="526"/>
      <c r="AS20" s="526"/>
      <c r="AT20" s="1013"/>
      <c r="AU20" s="3971"/>
      <c r="AV20" s="805" t="e">
        <f t="shared" si="4"/>
        <v>#DIV/0!</v>
      </c>
      <c r="AW20" s="806" t="e">
        <f t="shared" si="5"/>
        <v>#DIV/0!</v>
      </c>
      <c r="AX20" s="805" t="e">
        <f t="shared" si="6"/>
        <v>#DIV/0!</v>
      </c>
      <c r="AY20" s="805" t="e">
        <f t="shared" si="7"/>
        <v>#DIV/0!</v>
      </c>
      <c r="AZ20" s="806" t="e">
        <f t="shared" si="8"/>
        <v>#DIV/0!</v>
      </c>
      <c r="BA20" s="806" t="e">
        <f t="shared" si="9"/>
        <v>#DIV/0!</v>
      </c>
      <c r="BB20" s="526"/>
      <c r="BC20" s="88"/>
      <c r="BD20" s="89"/>
    </row>
    <row r="21" spans="30:84" x14ac:dyDescent="0.25">
      <c r="AD21" s="87"/>
      <c r="AE21" s="88"/>
      <c r="AF21" s="327">
        <v>4</v>
      </c>
      <c r="AG21" s="523"/>
      <c r="AH21" s="3969"/>
      <c r="AI21" s="3970"/>
      <c r="AJ21" s="3969"/>
      <c r="AK21" s="3970"/>
      <c r="AL21" s="3970"/>
      <c r="AM21" s="3970"/>
      <c r="AN21" s="3970"/>
      <c r="AO21" s="3970"/>
      <c r="AP21" s="327"/>
      <c r="AQ21" s="327"/>
      <c r="AR21" s="526"/>
      <c r="AS21" s="526"/>
      <c r="AT21" s="1013"/>
      <c r="AU21" s="3971"/>
      <c r="AV21" s="805" t="e">
        <f t="shared" si="4"/>
        <v>#DIV/0!</v>
      </c>
      <c r="AW21" s="806" t="e">
        <f t="shared" si="5"/>
        <v>#DIV/0!</v>
      </c>
      <c r="AX21" s="805" t="e">
        <f t="shared" si="6"/>
        <v>#DIV/0!</v>
      </c>
      <c r="AY21" s="805" t="e">
        <f t="shared" si="7"/>
        <v>#DIV/0!</v>
      </c>
      <c r="AZ21" s="806" t="e">
        <f t="shared" si="8"/>
        <v>#DIV/0!</v>
      </c>
      <c r="BA21" s="806" t="e">
        <f t="shared" si="9"/>
        <v>#DIV/0!</v>
      </c>
      <c r="BB21" s="526"/>
      <c r="BC21" s="88"/>
      <c r="BD21" s="89"/>
    </row>
    <row r="22" spans="30:84" x14ac:dyDescent="0.25">
      <c r="AD22" s="87"/>
      <c r="AE22" s="88"/>
      <c r="AF22" s="327">
        <v>5</v>
      </c>
      <c r="AG22" s="523"/>
      <c r="AH22" s="3969"/>
      <c r="AI22" s="3970"/>
      <c r="AJ22" s="3969"/>
      <c r="AK22" s="3970"/>
      <c r="AL22" s="3970"/>
      <c r="AM22" s="3970"/>
      <c r="AN22" s="3970"/>
      <c r="AO22" s="3970"/>
      <c r="AP22" s="327"/>
      <c r="AQ22" s="327"/>
      <c r="AR22" s="526"/>
      <c r="AS22" s="526"/>
      <c r="AT22" s="1013"/>
      <c r="AU22" s="3971"/>
      <c r="AV22" s="805" t="e">
        <f t="shared" si="4"/>
        <v>#DIV/0!</v>
      </c>
      <c r="AW22" s="806" t="e">
        <f t="shared" si="5"/>
        <v>#DIV/0!</v>
      </c>
      <c r="AX22" s="805" t="e">
        <f t="shared" si="6"/>
        <v>#DIV/0!</v>
      </c>
      <c r="AY22" s="805" t="e">
        <f t="shared" si="7"/>
        <v>#DIV/0!</v>
      </c>
      <c r="AZ22" s="806" t="e">
        <f t="shared" si="8"/>
        <v>#DIV/0!</v>
      </c>
      <c r="BA22" s="806" t="e">
        <f t="shared" si="9"/>
        <v>#DIV/0!</v>
      </c>
      <c r="BB22" s="526"/>
      <c r="BC22" s="88"/>
      <c r="BD22" s="89"/>
    </row>
    <row r="23" spans="30:84" ht="15" thickBot="1" x14ac:dyDescent="0.3">
      <c r="AD23" s="87"/>
      <c r="AE23" s="88"/>
      <c r="AF23" s="513">
        <v>6</v>
      </c>
      <c r="AG23" s="524"/>
      <c r="AH23" s="1010"/>
      <c r="AI23" s="1011"/>
      <c r="AJ23" s="1010"/>
      <c r="AK23" s="1011"/>
      <c r="AL23" s="1011"/>
      <c r="AM23" s="1011"/>
      <c r="AN23" s="1011"/>
      <c r="AO23" s="1011"/>
      <c r="AP23" s="513"/>
      <c r="AQ23" s="513"/>
      <c r="AR23" s="1014"/>
      <c r="AS23" s="1014"/>
      <c r="AT23" s="1015"/>
      <c r="AU23" s="926"/>
      <c r="AV23" s="807" t="e">
        <f t="shared" si="4"/>
        <v>#DIV/0!</v>
      </c>
      <c r="AW23" s="808" t="e">
        <f t="shared" si="5"/>
        <v>#DIV/0!</v>
      </c>
      <c r="AX23" s="807" t="e">
        <f t="shared" si="6"/>
        <v>#DIV/0!</v>
      </c>
      <c r="AY23" s="807" t="e">
        <f t="shared" si="7"/>
        <v>#DIV/0!</v>
      </c>
      <c r="AZ23" s="808" t="e">
        <f t="shared" si="8"/>
        <v>#DIV/0!</v>
      </c>
      <c r="BA23" s="808" t="e">
        <f t="shared" si="9"/>
        <v>#DIV/0!</v>
      </c>
      <c r="BB23" s="1014"/>
      <c r="BC23" s="88"/>
      <c r="BD23" s="89"/>
    </row>
    <row r="24" spans="30:84" ht="15" thickBot="1" x14ac:dyDescent="0.3">
      <c r="AD24" s="8"/>
      <c r="AE24" s="7"/>
      <c r="AF24" s="554" t="s">
        <v>1550</v>
      </c>
      <c r="AG24" s="29"/>
      <c r="AH24" s="29"/>
      <c r="AI24" s="29"/>
      <c r="AJ24" s="29"/>
      <c r="AK24" s="29"/>
      <c r="AL24" s="29"/>
      <c r="AM24" s="29"/>
      <c r="AN24" s="29"/>
      <c r="AO24" s="29"/>
      <c r="AP24" s="986"/>
      <c r="AQ24" s="986"/>
      <c r="AR24" s="800"/>
      <c r="AS24" s="800"/>
      <c r="AT24" s="800"/>
      <c r="AU24" s="800"/>
      <c r="AV24" s="800"/>
      <c r="AW24" s="800"/>
      <c r="AX24" s="800"/>
      <c r="AY24" s="800"/>
      <c r="AZ24" s="800"/>
      <c r="BA24" s="800"/>
      <c r="BB24" s="800"/>
      <c r="BC24" s="7"/>
      <c r="BD24" s="9"/>
    </row>
    <row r="25" spans="30:84" x14ac:dyDescent="0.25">
      <c r="AD25" s="143"/>
      <c r="AE25" s="143"/>
      <c r="AF25" s="957">
        <f>IF(LandAdjustmentGrid="Buckets",1,0)</f>
        <v>0</v>
      </c>
      <c r="AG25" s="957">
        <f>IF(LandAdjustmentGrid="Buckets",1,0)</f>
        <v>0</v>
      </c>
      <c r="AH25" s="957">
        <f>IF(LandAdjustmentGrid="Buckets",IF(LandUnitDisplay="Usable Acres",1,0),0)</f>
        <v>0</v>
      </c>
      <c r="AI25" s="957">
        <f>IF(LandAdjustmentGrid="Buckets",IF(LandUnitDisplay_1="Usable Square Feet",1,0),0)</f>
        <v>0</v>
      </c>
      <c r="AJ25" s="957">
        <f>IF(LandAdjustmentGrid="Buckets",IF(LandUnitDisplay_1="Gross Acres",1,0),0)</f>
        <v>0</v>
      </c>
      <c r="AK25" s="957">
        <f>IF(LandAdjustmentGrid="Buckets",IF(LandUnitDisplay_1="Gross Square Feet",1,0),0)</f>
        <v>0</v>
      </c>
      <c r="AL25" s="957">
        <f>IF(LandAdjustmentGrid="Buckets",IF(LandUnitDisplay_1="Front Feet",1,0),0)</f>
        <v>0</v>
      </c>
      <c r="AM25" s="957">
        <f>IF(LandAdjustmentGrid="Buckets",IF(LandUnitDisplay_1="Proposed Square Foot",1,0),0)</f>
        <v>0</v>
      </c>
      <c r="AN25" s="957">
        <f>IF(LandAdjustmentGrid="Buckets",IF(LandUnitDisplay_1="Lots",1,0),0)</f>
        <v>0</v>
      </c>
      <c r="AO25" s="957">
        <f>IF(LandAdjustmentGrid="Buckets",IF(LandUnitDisplay_1="Proposed Units",1,0),0)</f>
        <v>0</v>
      </c>
      <c r="AP25" s="957">
        <f>IF(LandAdjustmentGrid="Buckets",1,0)</f>
        <v>0</v>
      </c>
      <c r="AQ25" s="957">
        <f>IF(LandAdjustmentGrid="Buckets",1,0)</f>
        <v>0</v>
      </c>
      <c r="AR25" s="957">
        <f>IF(LandAdjustmentGrid="Buckets",1,0)</f>
        <v>0</v>
      </c>
      <c r="AS25" s="957">
        <f>IF(LandAdjustmentGrid="Buckets",1,0)</f>
        <v>0</v>
      </c>
      <c r="AT25" s="957">
        <f>IF(LandAdjustmentGrid="Buckets",IF(OR(AT16="User",AT17="Defined"),0,1),0)</f>
        <v>0</v>
      </c>
      <c r="AU25" s="957">
        <f>IF(LandAdjustmentGrid="Buckets",1,0)</f>
        <v>0</v>
      </c>
      <c r="AV25" s="957">
        <f>IF(LandAdjustmentGrid="Buckets",IF(OR(dpUnit_Land_1="Per Usable Square Foot",dpUnit_Land_1="Per Gross Square Foot"),1,0),0)</f>
        <v>0</v>
      </c>
      <c r="AW25" s="957">
        <f>IF(LandAdjustmentGrid="Buckets",IF(OR(dpUnit_Land_1="Per Usable Acre",dpUnit_Land_1="Per Gross Acre"),1,0),0)</f>
        <v>0</v>
      </c>
      <c r="AX25" s="957">
        <f>IF(LandAdjustmentGrid="Buckets",IF(dpUnit_Land_1="Per Front Foot",1,0),0)</f>
        <v>0</v>
      </c>
      <c r="AY25" s="957">
        <f>IF(LandAdjustmentGrid="Buckets",IF(dpUnit_Land_1="Per Proposed Square Foot",1,0),0)</f>
        <v>0</v>
      </c>
      <c r="AZ25" s="957">
        <f>IF(LandAdjustmentGrid="Buckets",IF(dpUnit_Land_1="Per Proposed Lot",1,0),0)</f>
        <v>0</v>
      </c>
      <c r="BA25" s="957">
        <f>IF(LandAdjustmentGrid="Buckets",IF(dpUnit_Land_1="Per Proposed Unit",1,0),0)</f>
        <v>0</v>
      </c>
      <c r="BB25" s="957">
        <v>0</v>
      </c>
      <c r="BC25" s="32"/>
      <c r="BD25" s="32"/>
    </row>
    <row r="26" spans="30:84" ht="15" thickBot="1" x14ac:dyDescent="0.3"/>
    <row r="27" spans="30:84" x14ac:dyDescent="0.25">
      <c r="BE27" s="143"/>
      <c r="BF27" s="1"/>
      <c r="BG27" s="2"/>
      <c r="BH27" s="25"/>
      <c r="BI27" s="25"/>
      <c r="BJ27" s="25"/>
      <c r="BK27" s="25"/>
      <c r="BL27" s="25"/>
      <c r="BM27" s="25"/>
      <c r="BN27" s="25"/>
      <c r="BO27" s="25"/>
      <c r="BP27" s="25"/>
      <c r="BQ27" s="25"/>
      <c r="BR27" s="1009"/>
      <c r="BS27" s="1009"/>
      <c r="BT27" s="123"/>
      <c r="BU27" s="123"/>
      <c r="BV27" s="123"/>
      <c r="BW27" s="123"/>
      <c r="BX27" s="123"/>
      <c r="BY27" s="123"/>
      <c r="BZ27" s="123"/>
      <c r="CA27" s="123"/>
      <c r="CB27" s="123"/>
      <c r="CC27" s="123"/>
      <c r="CD27" s="123"/>
      <c r="CE27" s="2"/>
      <c r="CF27" s="3"/>
    </row>
    <row r="28" spans="30:84" ht="16.5" x14ac:dyDescent="0.3">
      <c r="BE28" s="143"/>
      <c r="BF28" s="4"/>
      <c r="BG28" s="51"/>
      <c r="BH28" s="27" t="str">
        <f>CONCATENATE("Land Sales Summary - ",dpLand_TractNameB2)</f>
        <v xml:space="preserve">Land Sales Summary - </v>
      </c>
      <c r="BI28" s="44"/>
      <c r="BJ28" s="44"/>
      <c r="BK28" s="44"/>
      <c r="BL28" s="44"/>
      <c r="BM28" s="44"/>
      <c r="BN28" s="44"/>
      <c r="BO28" s="44"/>
      <c r="BP28" s="44"/>
      <c r="BQ28" s="44"/>
      <c r="BR28" s="3968"/>
      <c r="BS28" s="3968"/>
      <c r="BT28" s="3960"/>
      <c r="BU28" s="3960"/>
      <c r="BV28" s="3960"/>
      <c r="BW28" s="3960"/>
      <c r="BX28" s="3960"/>
      <c r="BY28" s="3960"/>
      <c r="BZ28" s="3960"/>
      <c r="CA28" s="3960"/>
      <c r="CB28" s="3960"/>
      <c r="CC28" s="3960"/>
      <c r="CD28" s="3960"/>
      <c r="CE28" s="51"/>
      <c r="CF28" s="6"/>
    </row>
    <row r="29" spans="30:84" x14ac:dyDescent="0.25">
      <c r="BE29" s="143"/>
      <c r="BF29" s="4"/>
      <c r="BG29" s="11"/>
      <c r="BH29" s="207" t="s">
        <v>94</v>
      </c>
      <c r="BI29" s="207" t="s">
        <v>122</v>
      </c>
      <c r="BJ29" s="207" t="s">
        <v>572</v>
      </c>
      <c r="BK29" s="207" t="s">
        <v>572</v>
      </c>
      <c r="BL29" s="207" t="s">
        <v>326</v>
      </c>
      <c r="BM29" s="207" t="s">
        <v>326</v>
      </c>
      <c r="BN29" s="207" t="s">
        <v>844</v>
      </c>
      <c r="BO29" s="207" t="s">
        <v>154</v>
      </c>
      <c r="BP29" s="207" t="s">
        <v>135</v>
      </c>
      <c r="BQ29" s="207" t="s">
        <v>154</v>
      </c>
      <c r="BR29" s="1534"/>
      <c r="BS29" s="1534"/>
      <c r="BT29" s="55"/>
      <c r="BU29" s="55" t="s">
        <v>154</v>
      </c>
      <c r="BV29" s="55" t="s">
        <v>756</v>
      </c>
      <c r="BW29" s="55" t="s">
        <v>1303</v>
      </c>
      <c r="BX29" s="55" t="s">
        <v>124</v>
      </c>
      <c r="BY29" s="55" t="s">
        <v>124</v>
      </c>
      <c r="BZ29" s="55" t="s">
        <v>124</v>
      </c>
      <c r="CA29" s="55" t="s">
        <v>843</v>
      </c>
      <c r="CB29" s="55" t="s">
        <v>124</v>
      </c>
      <c r="CC29" s="55" t="s">
        <v>124</v>
      </c>
      <c r="CD29" s="55" t="s">
        <v>702</v>
      </c>
      <c r="CE29" s="11"/>
      <c r="CF29" s="6"/>
    </row>
    <row r="30" spans="30:84" x14ac:dyDescent="0.25">
      <c r="BF30" s="4"/>
      <c r="BG30" s="11"/>
      <c r="BH30" s="207" t="s">
        <v>113</v>
      </c>
      <c r="BI30" s="207" t="s">
        <v>123</v>
      </c>
      <c r="BJ30" s="207" t="s">
        <v>160</v>
      </c>
      <c r="BK30" s="207" t="s">
        <v>129</v>
      </c>
      <c r="BL30" s="207" t="s">
        <v>160</v>
      </c>
      <c r="BM30" s="207" t="s">
        <v>129</v>
      </c>
      <c r="BN30" s="207" t="s">
        <v>845</v>
      </c>
      <c r="BO30" s="207" t="s">
        <v>129</v>
      </c>
      <c r="BP30" s="207" t="s">
        <v>1026</v>
      </c>
      <c r="BQ30" s="207" t="s">
        <v>1056</v>
      </c>
      <c r="BR30" s="1534" t="s">
        <v>95</v>
      </c>
      <c r="BS30" s="207" t="str">
        <f>IF(BR38=0,"Location","")</f>
        <v>Location</v>
      </c>
      <c r="BT30" s="55" t="s">
        <v>76</v>
      </c>
      <c r="BU30" s="55" t="s">
        <v>155</v>
      </c>
      <c r="BV30" s="55" t="s">
        <v>757</v>
      </c>
      <c r="BW30" s="55" t="s">
        <v>47</v>
      </c>
      <c r="BX30" s="55" t="s">
        <v>129</v>
      </c>
      <c r="BY30" s="55" t="s">
        <v>125</v>
      </c>
      <c r="BZ30" s="55" t="s">
        <v>842</v>
      </c>
      <c r="CA30" s="55" t="s">
        <v>129</v>
      </c>
      <c r="CB30" s="55" t="s">
        <v>1023</v>
      </c>
      <c r="CC30" s="55" t="s">
        <v>1057</v>
      </c>
      <c r="CD30" s="55" t="s">
        <v>126</v>
      </c>
      <c r="CE30" s="11"/>
      <c r="CF30" s="6"/>
    </row>
    <row r="31" spans="30:84" x14ac:dyDescent="0.25">
      <c r="BF31" s="87"/>
      <c r="BG31" s="88"/>
      <c r="BH31" s="327">
        <v>1</v>
      </c>
      <c r="BI31" s="523"/>
      <c r="BJ31" s="3969"/>
      <c r="BK31" s="3970"/>
      <c r="BL31" s="3969"/>
      <c r="BM31" s="3970"/>
      <c r="BN31" s="3970"/>
      <c r="BO31" s="3970"/>
      <c r="BP31" s="3970"/>
      <c r="BQ31" s="3970"/>
      <c r="BR31" s="3972"/>
      <c r="BS31" s="327"/>
      <c r="BT31" s="526"/>
      <c r="BU31" s="526"/>
      <c r="BV31" s="1013"/>
      <c r="BW31" s="3971"/>
      <c r="BX31" s="805" t="e">
        <f t="shared" ref="BX31:BX36" si="10">IF(dpUnit_Land="Per Usable Square Foot",BW31/BK31,BW31/BM31)</f>
        <v>#DIV/0!</v>
      </c>
      <c r="BY31" s="806" t="e">
        <f t="shared" ref="BY31:BY36" si="11">IF(dpUnit_Land="Per Gross Acre",BW31/BL31,BW31/BJ31)</f>
        <v>#DIV/0!</v>
      </c>
      <c r="BZ31" s="805" t="e">
        <f t="shared" ref="BZ31:BZ36" si="12">$S31/BN31</f>
        <v>#DIV/0!</v>
      </c>
      <c r="CA31" s="805" t="e">
        <f t="shared" ref="CA31:CA36" si="13">$S31/BO31</f>
        <v>#DIV/0!</v>
      </c>
      <c r="CB31" s="806" t="e">
        <f t="shared" ref="CB31:CB36" si="14">$S31/BP31</f>
        <v>#DIV/0!</v>
      </c>
      <c r="CC31" s="806" t="e">
        <f t="shared" ref="CC31:CC36" si="15">$S31/BQ31</f>
        <v>#DIV/0!</v>
      </c>
      <c r="CD31" s="526"/>
      <c r="CE31" s="88"/>
      <c r="CF31" s="89"/>
    </row>
    <row r="32" spans="30:84" x14ac:dyDescent="0.25">
      <c r="BF32" s="87"/>
      <c r="BG32" s="88"/>
      <c r="BH32" s="327">
        <v>2</v>
      </c>
      <c r="BI32" s="523"/>
      <c r="BJ32" s="3969"/>
      <c r="BK32" s="3970"/>
      <c r="BL32" s="3969"/>
      <c r="BM32" s="3970"/>
      <c r="BN32" s="3970"/>
      <c r="BO32" s="3970"/>
      <c r="BP32" s="3970"/>
      <c r="BQ32" s="3970"/>
      <c r="BR32" s="327"/>
      <c r="BS32" s="327"/>
      <c r="BT32" s="526"/>
      <c r="BU32" s="526"/>
      <c r="BV32" s="1013"/>
      <c r="BW32" s="3971"/>
      <c r="BX32" s="805" t="e">
        <f t="shared" si="10"/>
        <v>#DIV/0!</v>
      </c>
      <c r="BY32" s="806" t="e">
        <f t="shared" si="11"/>
        <v>#DIV/0!</v>
      </c>
      <c r="BZ32" s="805" t="e">
        <f t="shared" si="12"/>
        <v>#DIV/0!</v>
      </c>
      <c r="CA32" s="805" t="e">
        <f t="shared" si="13"/>
        <v>#DIV/0!</v>
      </c>
      <c r="CB32" s="806" t="e">
        <f t="shared" si="14"/>
        <v>#DIV/0!</v>
      </c>
      <c r="CC32" s="806" t="e">
        <f t="shared" si="15"/>
        <v>#DIV/0!</v>
      </c>
      <c r="CD32" s="526"/>
      <c r="CE32" s="88"/>
      <c r="CF32" s="89"/>
    </row>
    <row r="33" spans="58:84" x14ac:dyDescent="0.25">
      <c r="BF33" s="87"/>
      <c r="BG33" s="88"/>
      <c r="BH33" s="327">
        <v>3</v>
      </c>
      <c r="BI33" s="523"/>
      <c r="BJ33" s="3969"/>
      <c r="BK33" s="3970"/>
      <c r="BL33" s="3969"/>
      <c r="BM33" s="3970"/>
      <c r="BN33" s="3970"/>
      <c r="BO33" s="3970"/>
      <c r="BP33" s="3970"/>
      <c r="BQ33" s="3970"/>
      <c r="BR33" s="327"/>
      <c r="BS33" s="327"/>
      <c r="BT33" s="526"/>
      <c r="BU33" s="526"/>
      <c r="BV33" s="1013"/>
      <c r="BW33" s="3971"/>
      <c r="BX33" s="805" t="e">
        <f t="shared" si="10"/>
        <v>#DIV/0!</v>
      </c>
      <c r="BY33" s="806" t="e">
        <f t="shared" si="11"/>
        <v>#DIV/0!</v>
      </c>
      <c r="BZ33" s="805" t="e">
        <f t="shared" si="12"/>
        <v>#DIV/0!</v>
      </c>
      <c r="CA33" s="805" t="e">
        <f t="shared" si="13"/>
        <v>#DIV/0!</v>
      </c>
      <c r="CB33" s="806" t="e">
        <f t="shared" si="14"/>
        <v>#DIV/0!</v>
      </c>
      <c r="CC33" s="806" t="e">
        <f t="shared" si="15"/>
        <v>#DIV/0!</v>
      </c>
      <c r="CD33" s="526"/>
      <c r="CE33" s="88"/>
      <c r="CF33" s="89"/>
    </row>
    <row r="34" spans="58:84" x14ac:dyDescent="0.25">
      <c r="BF34" s="87"/>
      <c r="BG34" s="88"/>
      <c r="BH34" s="327">
        <v>4</v>
      </c>
      <c r="BI34" s="523"/>
      <c r="BJ34" s="3969"/>
      <c r="BK34" s="3970"/>
      <c r="BL34" s="3969"/>
      <c r="BM34" s="3970"/>
      <c r="BN34" s="3970"/>
      <c r="BO34" s="3970"/>
      <c r="BP34" s="3970"/>
      <c r="BQ34" s="3970"/>
      <c r="BR34" s="327"/>
      <c r="BS34" s="327"/>
      <c r="BT34" s="526"/>
      <c r="BU34" s="526"/>
      <c r="BV34" s="1013"/>
      <c r="BW34" s="3971"/>
      <c r="BX34" s="805" t="e">
        <f t="shared" si="10"/>
        <v>#DIV/0!</v>
      </c>
      <c r="BY34" s="806" t="e">
        <f t="shared" si="11"/>
        <v>#DIV/0!</v>
      </c>
      <c r="BZ34" s="805" t="e">
        <f t="shared" si="12"/>
        <v>#DIV/0!</v>
      </c>
      <c r="CA34" s="805" t="e">
        <f t="shared" si="13"/>
        <v>#DIV/0!</v>
      </c>
      <c r="CB34" s="806" t="e">
        <f t="shared" si="14"/>
        <v>#DIV/0!</v>
      </c>
      <c r="CC34" s="806" t="e">
        <f t="shared" si="15"/>
        <v>#DIV/0!</v>
      </c>
      <c r="CD34" s="526"/>
      <c r="CE34" s="88"/>
      <c r="CF34" s="89"/>
    </row>
    <row r="35" spans="58:84" x14ac:dyDescent="0.25">
      <c r="BF35" s="87"/>
      <c r="BG35" s="88"/>
      <c r="BH35" s="327">
        <v>5</v>
      </c>
      <c r="BI35" s="523"/>
      <c r="BJ35" s="3969"/>
      <c r="BK35" s="3970"/>
      <c r="BL35" s="3969"/>
      <c r="BM35" s="3970"/>
      <c r="BN35" s="3970"/>
      <c r="BO35" s="3970"/>
      <c r="BP35" s="3970"/>
      <c r="BQ35" s="3970"/>
      <c r="BR35" s="327"/>
      <c r="BS35" s="327"/>
      <c r="BT35" s="526"/>
      <c r="BU35" s="526"/>
      <c r="BV35" s="1013"/>
      <c r="BW35" s="3971"/>
      <c r="BX35" s="805" t="e">
        <f t="shared" si="10"/>
        <v>#DIV/0!</v>
      </c>
      <c r="BY35" s="806" t="e">
        <f t="shared" si="11"/>
        <v>#DIV/0!</v>
      </c>
      <c r="BZ35" s="805" t="e">
        <f t="shared" si="12"/>
        <v>#DIV/0!</v>
      </c>
      <c r="CA35" s="805" t="e">
        <f t="shared" si="13"/>
        <v>#DIV/0!</v>
      </c>
      <c r="CB35" s="806" t="e">
        <f t="shared" si="14"/>
        <v>#DIV/0!</v>
      </c>
      <c r="CC35" s="806" t="e">
        <f t="shared" si="15"/>
        <v>#DIV/0!</v>
      </c>
      <c r="CD35" s="526"/>
      <c r="CE35" s="88"/>
      <c r="CF35" s="89"/>
    </row>
    <row r="36" spans="58:84" ht="15" thickBot="1" x14ac:dyDescent="0.3">
      <c r="BF36" s="87"/>
      <c r="BG36" s="88"/>
      <c r="BH36" s="513">
        <v>6</v>
      </c>
      <c r="BI36" s="524"/>
      <c r="BJ36" s="1010"/>
      <c r="BK36" s="1011"/>
      <c r="BL36" s="1010"/>
      <c r="BM36" s="1011"/>
      <c r="BN36" s="1011"/>
      <c r="BO36" s="1011"/>
      <c r="BP36" s="1011"/>
      <c r="BQ36" s="1011"/>
      <c r="BR36" s="513"/>
      <c r="BS36" s="513"/>
      <c r="BT36" s="1014"/>
      <c r="BU36" s="1014"/>
      <c r="BV36" s="1015"/>
      <c r="BW36" s="926"/>
      <c r="BX36" s="807" t="e">
        <f t="shared" si="10"/>
        <v>#DIV/0!</v>
      </c>
      <c r="BY36" s="808" t="e">
        <f t="shared" si="11"/>
        <v>#DIV/0!</v>
      </c>
      <c r="BZ36" s="807" t="e">
        <f t="shared" si="12"/>
        <v>#DIV/0!</v>
      </c>
      <c r="CA36" s="807" t="e">
        <f t="shared" si="13"/>
        <v>#DIV/0!</v>
      </c>
      <c r="CB36" s="808" t="e">
        <f t="shared" si="14"/>
        <v>#DIV/0!</v>
      </c>
      <c r="CC36" s="808" t="e">
        <f t="shared" si="15"/>
        <v>#DIV/0!</v>
      </c>
      <c r="CD36" s="1014"/>
      <c r="CE36" s="88"/>
      <c r="CF36" s="89"/>
    </row>
    <row r="37" spans="58:84" ht="15" thickBot="1" x14ac:dyDescent="0.3">
      <c r="BF37" s="8"/>
      <c r="BG37" s="7"/>
      <c r="BH37" s="554" t="s">
        <v>1551</v>
      </c>
      <c r="BI37" s="29"/>
      <c r="BJ37" s="29"/>
      <c r="BK37" s="29"/>
      <c r="BL37" s="29"/>
      <c r="BM37" s="29"/>
      <c r="BN37" s="29"/>
      <c r="BO37" s="29"/>
      <c r="BP37" s="29"/>
      <c r="BQ37" s="29"/>
      <c r="BR37" s="986"/>
      <c r="BS37" s="986"/>
      <c r="BT37" s="800"/>
      <c r="BU37" s="800"/>
      <c r="BV37" s="800"/>
      <c r="BW37" s="800"/>
      <c r="BX37" s="800"/>
      <c r="BY37" s="800"/>
      <c r="BZ37" s="800"/>
      <c r="CA37" s="800"/>
      <c r="CB37" s="800"/>
      <c r="CC37" s="800"/>
      <c r="CD37" s="800"/>
      <c r="CE37" s="7"/>
      <c r="CF37" s="9"/>
    </row>
    <row r="38" spans="58:84" x14ac:dyDescent="0.25">
      <c r="BF38" s="143"/>
      <c r="BG38" s="143"/>
      <c r="BH38" s="957">
        <f>IF(LandAdjustmentGrid="Buckets",1,0)</f>
        <v>0</v>
      </c>
      <c r="BI38" s="957">
        <f>IF(LandAdjustmentGrid="Buckets",1,0)</f>
        <v>0</v>
      </c>
      <c r="BJ38" s="957">
        <f>IF(LandAdjustmentGrid="Buckets",IF(LandUnitDisplay_2="Usable Acres",1,0),0)</f>
        <v>0</v>
      </c>
      <c r="BK38" s="957">
        <f>IF(LandAdjustmentGrid="Buckets",IF(LandUnitDisplay_2="Usable Square Feet",1,0),0)</f>
        <v>0</v>
      </c>
      <c r="BL38" s="957">
        <f>IF(LandAdjustmentGrid="Buckets",IF(LandUnitDisplay_2="Gross Acres",1,0),0)</f>
        <v>0</v>
      </c>
      <c r="BM38" s="957">
        <f>IF(LandAdjustmentGrid="Buckets",IF(LandUnitDisplay_2="Gross Square Feet",1,0),0)</f>
        <v>0</v>
      </c>
      <c r="BN38" s="957">
        <f>IF(LandAdjustmentGrid="Buckets",IF(LandUnitDisplay_2="Front Feet",1,0),0)</f>
        <v>0</v>
      </c>
      <c r="BO38" s="957">
        <f>IF(LandAdjustmentGrid="Buckets",IF(LandUnitDisplay_2="Proposed Square Foot",1,0),0)</f>
        <v>0</v>
      </c>
      <c r="BP38" s="957">
        <f>IF(LandAdjustmentGrid="Buckets",IF(LandUnitDisplay_2="Lots",1,0),0)</f>
        <v>0</v>
      </c>
      <c r="BQ38" s="957">
        <f>IF(LandAdjustmentGrid="Buckets",IF(LandUnitDisplay_2="Proposed Units",1,0),0)</f>
        <v>0</v>
      </c>
      <c r="BR38" s="957">
        <f>IF(LandAdjustmentGrid="Buckets",1,0)</f>
        <v>0</v>
      </c>
      <c r="BS38" s="957">
        <f>IF(LandAdjustmentGrid="Buckets",1,0)</f>
        <v>0</v>
      </c>
      <c r="BT38" s="957">
        <f>IF(LandAdjustmentGrid="Buckets",1,0)</f>
        <v>0</v>
      </c>
      <c r="BU38" s="957">
        <f>IF(LandAdjustmentGrid="Buckets",1,0)</f>
        <v>0</v>
      </c>
      <c r="BV38" s="957">
        <f>IF(LandAdjustmentGrid="Buckets",IF(OR(BV29="User",BV30="Defined"),0,1),0)</f>
        <v>0</v>
      </c>
      <c r="BW38" s="957">
        <f>IF(LandAdjustmentGrid="Buckets",1,0)</f>
        <v>0</v>
      </c>
      <c r="BX38" s="957">
        <f>IF(LandAdjustmentGrid="Buckets",IF(OR(dpUnit_Land_2="Per Usable Square Foot",dpUnit_Land_2="Per Gross Square Foot"),1,0),0)</f>
        <v>0</v>
      </c>
      <c r="BY38" s="957">
        <f>IF(LandAdjustmentGrid="Buckets",IF(OR(dpUnit_Land_2="Per Usable Acre",dpUnit_Land_2="Per Gross Acre"),1,0),0)</f>
        <v>0</v>
      </c>
      <c r="BZ38" s="957">
        <f>IF(LandAdjustmentGrid="Buckets",IF(dpUnit_Land_2="Per Front Foot",1,0),0)</f>
        <v>0</v>
      </c>
      <c r="CA38" s="957">
        <f>IF(LandAdjustmentGrid="Buckets",IF(dpUnit_Land="Per Proposed Square Foot",1,0),0)</f>
        <v>0</v>
      </c>
      <c r="CB38" s="957">
        <f>IF(LandAdjustmentGrid="Buckets",IF(dpUnit_Land="Per Proposed Lot",1,0),0)</f>
        <v>0</v>
      </c>
      <c r="CC38" s="957">
        <f>IF(LandAdjustmentGrid="Buckets",IF(dpUnit_Land="Per Proposed Unit",1,0),0)</f>
        <v>0</v>
      </c>
      <c r="CD38" s="957">
        <v>0</v>
      </c>
      <c r="CE38" s="32"/>
      <c r="CF38" s="32"/>
    </row>
  </sheetData>
  <printOptions horizontalCentered="1"/>
  <pageMargins left="0.5" right="0.5" top="0.75" bottom="0.75" header="0.3" footer="0.3"/>
  <pageSetup fitToHeight="0" orientation="landscape" r:id="rId1"/>
  <drawing r:id="rId2"/>
  <legacyDrawing r:id="rId3"/>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tabColor rgb="FF00B050"/>
    <pageSetUpPr fitToPage="1"/>
  </sheetPr>
  <dimension ref="A1:AH188"/>
  <sheetViews>
    <sheetView zoomScaleNormal="100" workbookViewId="0">
      <selection activeCell="D4" sqref="D4"/>
    </sheetView>
  </sheetViews>
  <sheetFormatPr defaultColWidth="9.140625" defaultRowHeight="14.25" x14ac:dyDescent="0.25"/>
  <cols>
    <col min="1" max="1" width="5.7109375" style="243" customWidth="1"/>
    <col min="2" max="2" width="1.7109375" style="10" customWidth="1"/>
    <col min="3" max="3" width="0.85546875" style="10" customWidth="1"/>
    <col min="4" max="4" width="25.7109375" style="10" customWidth="1"/>
    <col min="5" max="8" width="17.7109375" style="37" customWidth="1"/>
    <col min="9" max="9" width="0.85546875" style="10" customWidth="1"/>
    <col min="10" max="10" width="1.7109375" style="10" customWidth="1"/>
    <col min="11" max="11" width="5.7109375" style="10" customWidth="1"/>
    <col min="12" max="12" width="1.7109375" style="10" customWidth="1"/>
    <col min="13" max="13" width="0.85546875" style="10" customWidth="1"/>
    <col min="14" max="14" width="25.7109375" style="10" customWidth="1"/>
    <col min="15" max="20" width="17.7109375" style="10" customWidth="1"/>
    <col min="21" max="21" width="0.85546875" style="10" customWidth="1"/>
    <col min="22" max="22" width="1.7109375" style="10" customWidth="1"/>
    <col min="23" max="23" width="5.7109375" style="10" customWidth="1"/>
    <col min="24" max="24" width="1.7109375" style="10" customWidth="1"/>
    <col min="25" max="25" width="0.85546875" style="10" customWidth="1"/>
    <col min="26" max="26" width="25.7109375" style="10" customWidth="1"/>
    <col min="27" max="32" width="17.7109375" style="10" customWidth="1"/>
    <col min="33" max="33" width="0.85546875" style="10" customWidth="1"/>
    <col min="34" max="34" width="1.7109375" style="10" customWidth="1"/>
    <col min="35" max="16384" width="9.140625" style="10"/>
  </cols>
  <sheetData>
    <row r="1" spans="1:10" ht="60" customHeight="1" x14ac:dyDescent="0.25"/>
    <row r="2" spans="1:10" ht="69" customHeight="1" x14ac:dyDescent="0.25"/>
    <row r="3" spans="1:10" x14ac:dyDescent="0.25">
      <c r="B3" s="174"/>
      <c r="C3" s="18"/>
      <c r="D3" s="28"/>
      <c r="E3" s="1020"/>
      <c r="F3" s="1020"/>
      <c r="G3" s="1020"/>
      <c r="H3" s="1020"/>
      <c r="I3" s="18"/>
      <c r="J3" s="74"/>
    </row>
    <row r="4" spans="1:10" ht="16.5" x14ac:dyDescent="0.25">
      <c r="B4" s="174"/>
      <c r="C4" s="18"/>
      <c r="D4" s="430" t="s">
        <v>156</v>
      </c>
      <c r="E4" s="1021"/>
      <c r="F4" s="1021"/>
      <c r="G4" s="1021"/>
      <c r="H4" s="1020"/>
      <c r="I4" s="18"/>
      <c r="J4" s="74"/>
    </row>
    <row r="5" spans="1:10" ht="15" customHeight="1" x14ac:dyDescent="0.25">
      <c r="B5" s="174"/>
      <c r="C5" s="11"/>
      <c r="D5" s="503"/>
      <c r="E5" s="1001">
        <v>1</v>
      </c>
      <c r="F5" s="1001">
        <v>2</v>
      </c>
      <c r="G5" s="1001">
        <v>3</v>
      </c>
      <c r="H5" s="1001">
        <v>4</v>
      </c>
      <c r="I5" s="11"/>
      <c r="J5" s="74"/>
    </row>
    <row r="6" spans="1:10" s="142" customFormat="1" x14ac:dyDescent="0.25">
      <c r="A6" s="976">
        <f t="shared" ref="A6:A15" si="0">IF(LandAdjustmentGrid="Single",1,0)</f>
        <v>1</v>
      </c>
      <c r="B6" s="501"/>
      <c r="C6" s="506"/>
      <c r="D6" s="327" t="s">
        <v>703</v>
      </c>
      <c r="E6" s="1013">
        <v>1627827</v>
      </c>
      <c r="F6" s="1013">
        <v>1627822</v>
      </c>
      <c r="G6" s="1013">
        <v>1698162</v>
      </c>
      <c r="H6" s="1013">
        <v>1645647</v>
      </c>
      <c r="I6" s="506"/>
      <c r="J6" s="141"/>
    </row>
    <row r="7" spans="1:10" s="142" customFormat="1" ht="28.5" x14ac:dyDescent="0.25">
      <c r="A7" s="976">
        <f t="shared" si="0"/>
        <v>1</v>
      </c>
      <c r="B7" s="501"/>
      <c r="C7" s="506"/>
      <c r="D7" s="327" t="s">
        <v>0</v>
      </c>
      <c r="E7" s="1013" t="s">
        <v>19864</v>
      </c>
      <c r="F7" s="1013" t="s">
        <v>19864</v>
      </c>
      <c r="G7" s="1013" t="s">
        <v>19886</v>
      </c>
      <c r="H7" s="1013" t="s">
        <v>19896</v>
      </c>
      <c r="I7" s="506"/>
      <c r="J7" s="141"/>
    </row>
    <row r="8" spans="1:10" s="142" customFormat="1" x14ac:dyDescent="0.25">
      <c r="A8" s="976">
        <f t="shared" si="0"/>
        <v>1</v>
      </c>
      <c r="B8" s="501"/>
      <c r="C8" s="506"/>
      <c r="D8" s="327" t="s">
        <v>716</v>
      </c>
      <c r="E8" s="1022" t="s">
        <v>19865</v>
      </c>
      <c r="F8" s="1022" t="s">
        <v>19865</v>
      </c>
      <c r="G8" s="1022" t="s">
        <v>19865</v>
      </c>
      <c r="H8" s="1022" t="s">
        <v>19865</v>
      </c>
      <c r="I8" s="506"/>
      <c r="J8" s="141"/>
    </row>
    <row r="9" spans="1:10" s="142" customFormat="1" ht="28.5" x14ac:dyDescent="0.25">
      <c r="A9" s="976">
        <f t="shared" si="0"/>
        <v>1</v>
      </c>
      <c r="B9" s="501"/>
      <c r="C9" s="506"/>
      <c r="D9" s="327" t="s">
        <v>95</v>
      </c>
      <c r="E9" s="1022" t="s">
        <v>19854</v>
      </c>
      <c r="F9" s="1022" t="s">
        <v>19858</v>
      </c>
      <c r="G9" s="1022" t="s">
        <v>19859</v>
      </c>
      <c r="H9" s="1022" t="s">
        <v>19862</v>
      </c>
      <c r="I9" s="506"/>
      <c r="J9" s="141"/>
    </row>
    <row r="10" spans="1:10" s="142" customFormat="1" x14ac:dyDescent="0.25">
      <c r="A10" s="976">
        <f t="shared" si="0"/>
        <v>1</v>
      </c>
      <c r="B10" s="501"/>
      <c r="C10" s="506"/>
      <c r="D10" s="327"/>
      <c r="E10" s="1013" t="s">
        <v>19855</v>
      </c>
      <c r="F10" s="1013" t="s">
        <v>19855</v>
      </c>
      <c r="G10" s="1013" t="s">
        <v>19860</v>
      </c>
      <c r="H10" s="1013" t="s">
        <v>19863</v>
      </c>
      <c r="I10" s="506"/>
      <c r="J10" s="141"/>
    </row>
    <row r="11" spans="1:10" s="142" customFormat="1" ht="28.5" x14ac:dyDescent="0.25">
      <c r="A11" s="976">
        <f t="shared" si="0"/>
        <v>1</v>
      </c>
      <c r="B11" s="501"/>
      <c r="C11" s="506"/>
      <c r="D11" s="327" t="s">
        <v>717</v>
      </c>
      <c r="E11" s="1023" t="s">
        <v>19866</v>
      </c>
      <c r="F11" s="1023" t="s">
        <v>19877</v>
      </c>
      <c r="G11" s="1023" t="s">
        <v>19887</v>
      </c>
      <c r="H11" s="1023" t="s">
        <v>19897</v>
      </c>
      <c r="I11" s="506"/>
      <c r="J11" s="141"/>
    </row>
    <row r="12" spans="1:10" s="142" customFormat="1" x14ac:dyDescent="0.25">
      <c r="A12" s="976">
        <f t="shared" si="0"/>
        <v>1</v>
      </c>
      <c r="B12" s="501"/>
      <c r="C12" s="506"/>
      <c r="D12" s="327"/>
      <c r="E12" s="1013"/>
      <c r="F12" s="1013"/>
      <c r="G12" s="1013"/>
      <c r="H12" s="1013"/>
      <c r="I12" s="506"/>
      <c r="J12" s="141"/>
    </row>
    <row r="13" spans="1:10" s="142" customFormat="1" x14ac:dyDescent="0.25">
      <c r="A13" s="976">
        <f t="shared" si="0"/>
        <v>1</v>
      </c>
      <c r="B13" s="501"/>
      <c r="C13" s="506"/>
      <c r="D13" s="322" t="s">
        <v>715</v>
      </c>
      <c r="E13" s="1013"/>
      <c r="F13" s="1013"/>
      <c r="G13" s="1013"/>
      <c r="H13" s="1013"/>
      <c r="I13" s="506"/>
      <c r="J13" s="141"/>
    </row>
    <row r="14" spans="1:10" s="142" customFormat="1" x14ac:dyDescent="0.25">
      <c r="A14" s="976">
        <f t="shared" si="0"/>
        <v>1</v>
      </c>
      <c r="B14" s="501"/>
      <c r="C14" s="506"/>
      <c r="D14" s="431" t="s">
        <v>159</v>
      </c>
      <c r="E14" s="1024">
        <v>44748</v>
      </c>
      <c r="F14" s="1024">
        <v>44589</v>
      </c>
      <c r="G14" s="1024">
        <v>45126</v>
      </c>
      <c r="H14" s="1024">
        <v>45007</v>
      </c>
      <c r="I14" s="506"/>
      <c r="J14" s="141"/>
    </row>
    <row r="15" spans="1:10" s="142" customFormat="1" x14ac:dyDescent="0.25">
      <c r="A15" s="976">
        <f t="shared" si="0"/>
        <v>1</v>
      </c>
      <c r="B15" s="501"/>
      <c r="C15" s="506"/>
      <c r="D15" s="431" t="s">
        <v>1303</v>
      </c>
      <c r="E15" s="1025">
        <v>190000</v>
      </c>
      <c r="F15" s="1025">
        <v>440000</v>
      </c>
      <c r="G15" s="1025">
        <v>1100000</v>
      </c>
      <c r="H15" s="1025">
        <v>925000</v>
      </c>
      <c r="I15" s="506"/>
      <c r="J15" s="141"/>
    </row>
    <row r="16" spans="1:10" s="142" customFormat="1" x14ac:dyDescent="0.25">
      <c r="A16" s="976">
        <f>IF(LandAdjustmentGrid="Single",IF(dpUnit_Land="Per Usable Square Foot",1,0),0)</f>
        <v>1</v>
      </c>
      <c r="B16" s="501"/>
      <c r="C16" s="506"/>
      <c r="D16" s="431" t="s">
        <v>1293</v>
      </c>
      <c r="E16" s="1026">
        <f t="shared" ref="E16:H16" si="1">E$15/E34</f>
        <v>17.823639774859288</v>
      </c>
      <c r="F16" s="1026">
        <f t="shared" si="1"/>
        <v>14.206838655516451</v>
      </c>
      <c r="G16" s="1026">
        <f t="shared" si="1"/>
        <v>16.435081428357986</v>
      </c>
      <c r="H16" s="1026">
        <f t="shared" si="1"/>
        <v>17.084703187913266</v>
      </c>
      <c r="I16" s="506"/>
      <c r="J16" s="141"/>
    </row>
    <row r="17" spans="1:10" s="142" customFormat="1" hidden="1" x14ac:dyDescent="0.25">
      <c r="A17" s="976">
        <f>IF(LandAdjustmentGrid="Single",IF(dpUnit_Land="Per Usable Acre",1,0),0)</f>
        <v>0</v>
      </c>
      <c r="B17" s="501"/>
      <c r="C17" s="506"/>
      <c r="D17" s="431" t="s">
        <v>718</v>
      </c>
      <c r="E17" s="1027">
        <f t="shared" ref="E17:H17" si="2">E$15/E35</f>
        <v>776397.51552795037</v>
      </c>
      <c r="F17" s="1027">
        <f t="shared" si="2"/>
        <v>618846.69479606196</v>
      </c>
      <c r="G17" s="1027">
        <f>G$15/G35</f>
        <v>715912.78880572726</v>
      </c>
      <c r="H17" s="1027">
        <f t="shared" si="2"/>
        <v>744209.24750388192</v>
      </c>
      <c r="I17" s="506"/>
      <c r="J17" s="141"/>
    </row>
    <row r="18" spans="1:10" s="142" customFormat="1" ht="15" hidden="1" customHeight="1" x14ac:dyDescent="0.25">
      <c r="A18" s="976">
        <f>IF(LandAdjustmentGrid="Single",IF(dpUnit_Land="Per Gross Square Foot",1,0),0)</f>
        <v>0</v>
      </c>
      <c r="B18" s="501"/>
      <c r="C18" s="506"/>
      <c r="D18" s="431" t="s">
        <v>1294</v>
      </c>
      <c r="E18" s="1026">
        <f t="shared" ref="E18:H18" si="3">E$15/E36</f>
        <v>17.823639774859288</v>
      </c>
      <c r="F18" s="1026">
        <f t="shared" si="3"/>
        <v>14.206838655516451</v>
      </c>
      <c r="G18" s="1026">
        <f>G$15/G36</f>
        <v>16.435081428357986</v>
      </c>
      <c r="H18" s="1026">
        <f t="shared" si="3"/>
        <v>17.084703187913266</v>
      </c>
      <c r="I18" s="506"/>
      <c r="J18" s="141"/>
    </row>
    <row r="19" spans="1:10" s="142" customFormat="1" ht="15" hidden="1" customHeight="1" x14ac:dyDescent="0.25">
      <c r="A19" s="976">
        <f>IF(LandAdjustmentGrid="Single",IF(dpUnit_Land="Per Gross Acre",1,0),0)</f>
        <v>0</v>
      </c>
      <c r="B19" s="501"/>
      <c r="C19" s="506"/>
      <c r="D19" s="431" t="s">
        <v>848</v>
      </c>
      <c r="E19" s="1027">
        <f t="shared" ref="E19:H19" si="4">E$15/E37</f>
        <v>776397.51552795037</v>
      </c>
      <c r="F19" s="1027">
        <f t="shared" si="4"/>
        <v>618846.69479606196</v>
      </c>
      <c r="G19" s="1027">
        <f>G$15/G37</f>
        <v>715912.78880572726</v>
      </c>
      <c r="H19" s="1027">
        <f t="shared" si="4"/>
        <v>744209.24750388192</v>
      </c>
      <c r="I19" s="506"/>
      <c r="J19" s="141"/>
    </row>
    <row r="20" spans="1:10" s="142" customFormat="1" ht="15" hidden="1" customHeight="1" x14ac:dyDescent="0.25">
      <c r="A20" s="976">
        <f>IF(LandAdjustmentGrid="Single",IF(dpUnit_Land="Per Front Foot",1,0),0)</f>
        <v>0</v>
      </c>
      <c r="B20" s="501"/>
      <c r="C20" s="506"/>
      <c r="D20" s="431" t="s">
        <v>847</v>
      </c>
      <c r="E20" s="1027">
        <f t="shared" ref="E20:H20" si="5">E$15/E54</f>
        <v>2289.1566265060242</v>
      </c>
      <c r="F20" s="1027">
        <f t="shared" si="5"/>
        <v>2200</v>
      </c>
      <c r="G20" s="1027">
        <f t="shared" si="5"/>
        <v>4230.7692307692305</v>
      </c>
      <c r="H20" s="1027" t="e">
        <f t="shared" si="5"/>
        <v>#DIV/0!</v>
      </c>
      <c r="I20" s="506"/>
      <c r="J20" s="141"/>
    </row>
    <row r="21" spans="1:10" s="142" customFormat="1" ht="15" hidden="1" customHeight="1" x14ac:dyDescent="0.25">
      <c r="A21" s="976">
        <f>IF(LandAdjustmentGrid="Single",IF(dpUnit_Land="Per Proposed Square Foot",1,0),0)</f>
        <v>0</v>
      </c>
      <c r="B21" s="501"/>
      <c r="C21" s="506"/>
      <c r="D21" s="431" t="s">
        <v>1027</v>
      </c>
      <c r="E21" s="1026" t="e">
        <f t="shared" ref="E21:H21" si="6">E$15/E38</f>
        <v>#VALUE!</v>
      </c>
      <c r="F21" s="1026" t="e">
        <f t="shared" si="6"/>
        <v>#VALUE!</v>
      </c>
      <c r="G21" s="1026" t="e">
        <f t="shared" si="6"/>
        <v>#VALUE!</v>
      </c>
      <c r="H21" s="1026" t="e">
        <f t="shared" si="6"/>
        <v>#VALUE!</v>
      </c>
      <c r="I21" s="506"/>
      <c r="J21" s="141"/>
    </row>
    <row r="22" spans="1:10" s="142" customFormat="1" ht="15" hidden="1" customHeight="1" x14ac:dyDescent="0.25">
      <c r="A22" s="976">
        <f>IF(LandAdjustmentGrid="Single",IF(dpUnit_Land="Per Lot",1,0),0)</f>
        <v>0</v>
      </c>
      <c r="B22" s="501"/>
      <c r="C22" s="506"/>
      <c r="D22" s="431" t="s">
        <v>1028</v>
      </c>
      <c r="E22" s="1027">
        <f>E$15/E39</f>
        <v>190000</v>
      </c>
      <c r="F22" s="1027" t="e">
        <f t="shared" ref="F22:H23" si="7">F$15/F39</f>
        <v>#DIV/0!</v>
      </c>
      <c r="G22" s="1027">
        <f>G$15/G39</f>
        <v>1100000</v>
      </c>
      <c r="H22" s="1027">
        <f t="shared" si="7"/>
        <v>925000</v>
      </c>
      <c r="I22" s="506"/>
      <c r="J22" s="141"/>
    </row>
    <row r="23" spans="1:10" s="142" customFormat="1" ht="15" hidden="1" customHeight="1" x14ac:dyDescent="0.25">
      <c r="A23" s="976">
        <f>IF(LandAdjustmentGrid="Single",IF(dpUnit_Land="Per Proposed Unit",1,0),0)</f>
        <v>0</v>
      </c>
      <c r="B23" s="501"/>
      <c r="C23" s="506"/>
      <c r="D23" s="431" t="s">
        <v>1058</v>
      </c>
      <c r="E23" s="1027" t="e">
        <f>E$15/E40</f>
        <v>#VALUE!</v>
      </c>
      <c r="F23" s="1027" t="e">
        <f t="shared" si="7"/>
        <v>#VALUE!</v>
      </c>
      <c r="G23" s="1027" t="e">
        <f>G$15/G40</f>
        <v>#VALUE!</v>
      </c>
      <c r="H23" s="1027" t="e">
        <f t="shared" si="7"/>
        <v>#VALUE!</v>
      </c>
      <c r="I23" s="506"/>
      <c r="J23" s="141"/>
    </row>
    <row r="24" spans="1:10" s="142" customFormat="1" ht="28.5" x14ac:dyDescent="0.25">
      <c r="A24" s="976">
        <f t="shared" ref="A24:A33" si="8">IF(LandAdjustmentGrid="Single",1,0)</f>
        <v>1</v>
      </c>
      <c r="B24" s="501"/>
      <c r="C24" s="506"/>
      <c r="D24" s="431" t="s">
        <v>719</v>
      </c>
      <c r="E24" s="1013" t="s">
        <v>19867</v>
      </c>
      <c r="F24" s="1013" t="s">
        <v>19878</v>
      </c>
      <c r="G24" s="1013" t="s">
        <v>19888</v>
      </c>
      <c r="H24" s="1013" t="s">
        <v>19898</v>
      </c>
      <c r="I24" s="506"/>
      <c r="J24" s="141"/>
    </row>
    <row r="25" spans="1:10" s="142" customFormat="1" ht="57" x14ac:dyDescent="0.25">
      <c r="A25" s="976">
        <f t="shared" si="8"/>
        <v>1</v>
      </c>
      <c r="B25" s="501"/>
      <c r="C25" s="506"/>
      <c r="D25" s="431" t="s">
        <v>720</v>
      </c>
      <c r="E25" s="1013" t="s">
        <v>19868</v>
      </c>
      <c r="F25" s="1013" t="s">
        <v>19879</v>
      </c>
      <c r="G25" s="1013" t="s">
        <v>19889</v>
      </c>
      <c r="H25" s="1013" t="s">
        <v>19899</v>
      </c>
      <c r="I25" s="506"/>
      <c r="J25" s="141"/>
    </row>
    <row r="26" spans="1:10" s="142" customFormat="1" x14ac:dyDescent="0.25">
      <c r="A26" s="976">
        <f t="shared" si="8"/>
        <v>1</v>
      </c>
      <c r="B26" s="501"/>
      <c r="C26" s="506"/>
      <c r="D26" s="431" t="s">
        <v>1029</v>
      </c>
      <c r="E26" s="1028" t="s">
        <v>19869</v>
      </c>
      <c r="F26" s="1028" t="s">
        <v>19880</v>
      </c>
      <c r="G26" s="1028" t="s">
        <v>19890</v>
      </c>
      <c r="H26" s="1028" t="s">
        <v>19900</v>
      </c>
      <c r="I26" s="506"/>
      <c r="J26" s="141"/>
    </row>
    <row r="27" spans="1:10" s="142" customFormat="1" x14ac:dyDescent="0.25">
      <c r="A27" s="976">
        <f t="shared" si="8"/>
        <v>1</v>
      </c>
      <c r="B27" s="501"/>
      <c r="C27" s="506"/>
      <c r="D27" s="431" t="s">
        <v>1030</v>
      </c>
      <c r="E27" s="1028" t="s">
        <v>545</v>
      </c>
      <c r="F27" s="1028" t="s">
        <v>545</v>
      </c>
      <c r="G27" s="1028" t="s">
        <v>545</v>
      </c>
      <c r="H27" s="1028" t="s">
        <v>545</v>
      </c>
      <c r="I27" s="506"/>
      <c r="J27" s="141"/>
    </row>
    <row r="28" spans="1:10" s="142" customFormat="1" x14ac:dyDescent="0.25">
      <c r="A28" s="976">
        <f t="shared" si="8"/>
        <v>1</v>
      </c>
      <c r="B28" s="501"/>
      <c r="C28" s="506"/>
      <c r="D28" s="431" t="s">
        <v>1031</v>
      </c>
      <c r="E28" s="1028"/>
      <c r="F28" s="1028"/>
      <c r="G28" s="1028"/>
      <c r="H28" s="1028"/>
      <c r="I28" s="506"/>
      <c r="J28" s="141"/>
    </row>
    <row r="29" spans="1:10" s="142" customFormat="1" x14ac:dyDescent="0.25">
      <c r="A29" s="976">
        <f t="shared" si="8"/>
        <v>1</v>
      </c>
      <c r="B29" s="501"/>
      <c r="C29" s="506"/>
      <c r="D29" s="431" t="s">
        <v>164</v>
      </c>
      <c r="E29" s="1013" t="s">
        <v>18260</v>
      </c>
      <c r="F29" s="1013" t="s">
        <v>18260</v>
      </c>
      <c r="G29" s="1013" t="s">
        <v>18260</v>
      </c>
      <c r="H29" s="1013" t="s">
        <v>18260</v>
      </c>
      <c r="I29" s="506"/>
      <c r="J29" s="141"/>
    </row>
    <row r="30" spans="1:10" s="142" customFormat="1" x14ac:dyDescent="0.25">
      <c r="A30" s="976">
        <f t="shared" si="8"/>
        <v>1</v>
      </c>
      <c r="B30" s="501"/>
      <c r="C30" s="506"/>
      <c r="D30" s="431" t="s">
        <v>736</v>
      </c>
      <c r="E30" s="1013" t="s">
        <v>969</v>
      </c>
      <c r="F30" s="1013" t="s">
        <v>969</v>
      </c>
      <c r="G30" s="1013" t="s">
        <v>969</v>
      </c>
      <c r="H30" s="1013" t="s">
        <v>969</v>
      </c>
      <c r="I30" s="506"/>
      <c r="J30" s="141"/>
    </row>
    <row r="31" spans="1:10" s="142" customFormat="1" x14ac:dyDescent="0.25">
      <c r="A31" s="976">
        <f t="shared" si="8"/>
        <v>1</v>
      </c>
      <c r="B31" s="501"/>
      <c r="C31" s="506"/>
      <c r="D31" s="431" t="s">
        <v>284</v>
      </c>
      <c r="E31" s="1013" t="s">
        <v>19870</v>
      </c>
      <c r="F31" s="1013" t="s">
        <v>175</v>
      </c>
      <c r="G31" s="1013" t="s">
        <v>175</v>
      </c>
      <c r="H31" s="1013" t="s">
        <v>175</v>
      </c>
      <c r="I31" s="506"/>
      <c r="J31" s="141"/>
    </row>
    <row r="32" spans="1:10" s="142" customFormat="1" x14ac:dyDescent="0.25">
      <c r="A32" s="976">
        <f t="shared" si="8"/>
        <v>1</v>
      </c>
      <c r="B32" s="501"/>
      <c r="C32" s="506"/>
      <c r="D32" s="327"/>
      <c r="E32" s="1013"/>
      <c r="F32" s="1013"/>
      <c r="G32" s="1013"/>
      <c r="H32" s="1013"/>
      <c r="I32" s="506"/>
      <c r="J32" s="141"/>
    </row>
    <row r="33" spans="1:10" s="142" customFormat="1" x14ac:dyDescent="0.25">
      <c r="A33" s="976">
        <f t="shared" si="8"/>
        <v>1</v>
      </c>
      <c r="B33" s="501"/>
      <c r="C33" s="506"/>
      <c r="D33" s="322" t="s">
        <v>515</v>
      </c>
      <c r="E33" s="1013"/>
      <c r="F33" s="1013"/>
      <c r="G33" s="1013"/>
      <c r="H33" s="1013"/>
      <c r="I33" s="506"/>
      <c r="J33" s="141"/>
    </row>
    <row r="34" spans="1:10" s="142" customFormat="1" ht="15" hidden="1" customHeight="1" x14ac:dyDescent="0.25">
      <c r="A34" s="976">
        <f>IF(LandAdjustmentGrid="Single",IF(OR(LandUnitDisplay="Usable Square Feet",LandUnitDisplay="Gross Square Feet"),1,0),0)</f>
        <v>0</v>
      </c>
      <c r="B34" s="501"/>
      <c r="C34" s="506"/>
      <c r="D34" s="431" t="s">
        <v>714</v>
      </c>
      <c r="E34" s="1029">
        <v>10660</v>
      </c>
      <c r="F34" s="1029">
        <v>30971</v>
      </c>
      <c r="G34" s="1029">
        <v>66930</v>
      </c>
      <c r="H34" s="1029">
        <v>54142</v>
      </c>
      <c r="I34" s="506"/>
      <c r="J34" s="141"/>
    </row>
    <row r="35" spans="1:10" s="142" customFormat="1" x14ac:dyDescent="0.25">
      <c r="A35" s="976">
        <f>IF(LandAdjustmentGrid="Single",IF(OR(LandUnitDisplay="Usable Acres",LandUnitDisplay="Gross Acres"),1,0),0)</f>
        <v>1</v>
      </c>
      <c r="B35" s="501"/>
      <c r="C35" s="506"/>
      <c r="D35" s="431" t="s">
        <v>713</v>
      </c>
      <c r="E35" s="1013">
        <v>0.24471999999999999</v>
      </c>
      <c r="F35" s="1013">
        <v>0.71099999999999997</v>
      </c>
      <c r="G35" s="1013">
        <v>1.5365</v>
      </c>
      <c r="H35" s="1013">
        <v>1.2429300000000001</v>
      </c>
      <c r="I35" s="506"/>
      <c r="J35" s="141"/>
    </row>
    <row r="36" spans="1:10" s="142" customFormat="1" ht="15" hidden="1" customHeight="1" x14ac:dyDescent="0.25">
      <c r="A36" s="976">
        <f>IF(LandAdjustmentGrid="Single",IF(OR(LandUnitDisplay="Usable Square Feet",LandUnitDisplay="Gross Square Feet"),1,0),0)</f>
        <v>0</v>
      </c>
      <c r="B36" s="501"/>
      <c r="C36" s="506"/>
      <c r="D36" s="431" t="s">
        <v>711</v>
      </c>
      <c r="E36" s="1029">
        <v>10660</v>
      </c>
      <c r="F36" s="1029">
        <v>30971</v>
      </c>
      <c r="G36" s="1029">
        <v>66930</v>
      </c>
      <c r="H36" s="1029">
        <v>54142</v>
      </c>
      <c r="I36" s="506"/>
      <c r="J36" s="141"/>
    </row>
    <row r="37" spans="1:10" s="142" customFormat="1" x14ac:dyDescent="0.25">
      <c r="A37" s="976">
        <f>IF(LandAdjustmentGrid="Single",IF(OR(LandUnitDisplay="Usable Acres",LandUnitDisplay="Gross Acres"),1,0),0)</f>
        <v>1</v>
      </c>
      <c r="B37" s="501"/>
      <c r="C37" s="506"/>
      <c r="D37" s="431" t="s">
        <v>712</v>
      </c>
      <c r="E37" s="1030">
        <v>0.24471999999999999</v>
      </c>
      <c r="F37" s="1030">
        <v>0.71099999999999997</v>
      </c>
      <c r="G37" s="1030">
        <v>1.5365</v>
      </c>
      <c r="H37" s="1030">
        <v>1.2429300000000001</v>
      </c>
      <c r="I37" s="506"/>
      <c r="J37" s="141"/>
    </row>
    <row r="38" spans="1:10" s="142" customFormat="1" ht="15" hidden="1" customHeight="1" x14ac:dyDescent="0.25">
      <c r="A38" s="976">
        <f>IF(LandAdjustmentGrid="Single",IF(LandUnitDisplay="Proposed square foot",1,0),0)</f>
        <v>0</v>
      </c>
      <c r="B38" s="501"/>
      <c r="C38" s="506"/>
      <c r="D38" s="431" t="s">
        <v>841</v>
      </c>
      <c r="E38" s="1029" t="s">
        <v>3</v>
      </c>
      <c r="F38" s="1029" t="s">
        <v>3</v>
      </c>
      <c r="G38" s="1029" t="s">
        <v>3</v>
      </c>
      <c r="H38" s="1029" t="s">
        <v>3</v>
      </c>
      <c r="I38" s="506"/>
      <c r="J38" s="141"/>
    </row>
    <row r="39" spans="1:10" s="142" customFormat="1" ht="15" hidden="1" customHeight="1" x14ac:dyDescent="0.25">
      <c r="A39" s="976">
        <f>IF(LandAdjustmentGrid="Single",IF(LandUnitDisplay="Lots",1,0),0)</f>
        <v>0</v>
      </c>
      <c r="B39" s="501"/>
      <c r="C39" s="506"/>
      <c r="D39" s="431" t="s">
        <v>1024</v>
      </c>
      <c r="E39" s="1029">
        <v>1</v>
      </c>
      <c r="F39" s="1029"/>
      <c r="G39" s="1029">
        <v>1</v>
      </c>
      <c r="H39" s="1029">
        <v>1</v>
      </c>
      <c r="I39" s="506"/>
      <c r="J39" s="141"/>
    </row>
    <row r="40" spans="1:10" s="142" customFormat="1" ht="15" hidden="1" customHeight="1" x14ac:dyDescent="0.25">
      <c r="A40" s="976">
        <f>IF(LandAdjustmentGrid="Single",IF(LandUnitDisplay="Proposed Units",1,0),0)</f>
        <v>0</v>
      </c>
      <c r="B40" s="501"/>
      <c r="C40" s="506"/>
      <c r="D40" s="431" t="s">
        <v>1059</v>
      </c>
      <c r="E40" s="1029" t="s">
        <v>3</v>
      </c>
      <c r="F40" s="1029" t="s">
        <v>3</v>
      </c>
      <c r="G40" s="1029" t="s">
        <v>3</v>
      </c>
      <c r="H40" s="1029" t="s">
        <v>3</v>
      </c>
      <c r="I40" s="506"/>
      <c r="J40" s="141"/>
    </row>
    <row r="41" spans="1:10" s="142" customFormat="1" ht="28.5" x14ac:dyDescent="0.25">
      <c r="A41" s="976">
        <f t="shared" ref="A41:A47" si="9">IF(LandAdjustmentGrid="Single",1,0)</f>
        <v>1</v>
      </c>
      <c r="B41" s="501"/>
      <c r="C41" s="506"/>
      <c r="D41" s="431" t="s">
        <v>76</v>
      </c>
      <c r="E41" s="1013" t="s">
        <v>19856</v>
      </c>
      <c r="F41" s="1013" t="s">
        <v>2023</v>
      </c>
      <c r="G41" s="1013" t="s">
        <v>19861</v>
      </c>
      <c r="H41" s="1013" t="s">
        <v>19861</v>
      </c>
      <c r="I41" s="506"/>
      <c r="J41" s="141"/>
    </row>
    <row r="42" spans="1:10" s="142" customFormat="1" ht="15" hidden="1" customHeight="1" x14ac:dyDescent="0.25">
      <c r="A42" s="976">
        <v>0</v>
      </c>
      <c r="B42" s="501"/>
      <c r="C42" s="506"/>
      <c r="D42" s="431" t="s">
        <v>541</v>
      </c>
      <c r="E42" s="1013" t="s">
        <v>19871</v>
      </c>
      <c r="F42" s="1013" t="s">
        <v>19881</v>
      </c>
      <c r="G42" s="1013" t="s">
        <v>19891</v>
      </c>
      <c r="H42" s="1013"/>
      <c r="I42" s="506"/>
      <c r="J42" s="141"/>
    </row>
    <row r="43" spans="1:10" s="142" customFormat="1" ht="15" hidden="1" customHeight="1" x14ac:dyDescent="0.25">
      <c r="A43" s="976">
        <v>0</v>
      </c>
      <c r="B43" s="501"/>
      <c r="C43" s="506"/>
      <c r="D43" s="431" t="s">
        <v>729</v>
      </c>
      <c r="E43" s="1031"/>
      <c r="F43" s="1031">
        <v>1</v>
      </c>
      <c r="G43" s="1031">
        <v>1</v>
      </c>
      <c r="H43" s="1031"/>
      <c r="I43" s="506"/>
      <c r="J43" s="141"/>
    </row>
    <row r="44" spans="1:10" s="142" customFormat="1" hidden="1" x14ac:dyDescent="0.25">
      <c r="A44" s="976">
        <v>0</v>
      </c>
      <c r="B44" s="501"/>
      <c r="C44" s="506"/>
      <c r="D44" s="431" t="s">
        <v>541</v>
      </c>
      <c r="E44" s="1032" t="s">
        <v>19871</v>
      </c>
      <c r="F44" s="1032" t="s">
        <v>19881</v>
      </c>
      <c r="G44" s="1032" t="s">
        <v>19891</v>
      </c>
      <c r="H44" s="1032"/>
      <c r="I44" s="506"/>
      <c r="J44" s="141"/>
    </row>
    <row r="45" spans="1:10" s="142" customFormat="1" x14ac:dyDescent="0.25">
      <c r="A45" s="976">
        <f t="shared" si="9"/>
        <v>1</v>
      </c>
      <c r="B45" s="501"/>
      <c r="C45" s="506"/>
      <c r="D45" s="431" t="s">
        <v>99</v>
      </c>
      <c r="E45" s="1032" t="s">
        <v>18936</v>
      </c>
      <c r="F45" s="1032" t="s">
        <v>18936</v>
      </c>
      <c r="G45" s="1032" t="s">
        <v>18936</v>
      </c>
      <c r="H45" s="1032" t="s">
        <v>18936</v>
      </c>
      <c r="I45" s="506"/>
      <c r="J45" s="141"/>
    </row>
    <row r="46" spans="1:10" s="142" customFormat="1" x14ac:dyDescent="0.25">
      <c r="A46" s="976">
        <f t="shared" si="9"/>
        <v>1</v>
      </c>
      <c r="B46" s="501"/>
      <c r="C46" s="506"/>
      <c r="D46" s="431" t="s">
        <v>724</v>
      </c>
      <c r="E46" s="1033" t="s">
        <v>19872</v>
      </c>
      <c r="F46" s="1033"/>
      <c r="G46" s="1033" t="s">
        <v>19892</v>
      </c>
      <c r="H46" s="1033"/>
      <c r="I46" s="506"/>
      <c r="J46" s="141"/>
    </row>
    <row r="47" spans="1:10" s="142" customFormat="1" ht="28.5" x14ac:dyDescent="0.25">
      <c r="A47" s="976">
        <f t="shared" si="9"/>
        <v>1</v>
      </c>
      <c r="B47" s="501"/>
      <c r="C47" s="506"/>
      <c r="D47" s="431" t="s">
        <v>92</v>
      </c>
      <c r="E47" s="1034" t="s">
        <v>19873</v>
      </c>
      <c r="F47" s="1034" t="s">
        <v>19873</v>
      </c>
      <c r="G47" s="1034" t="s">
        <v>19893</v>
      </c>
      <c r="H47" s="1034" t="s">
        <v>19893</v>
      </c>
      <c r="I47" s="506"/>
      <c r="J47" s="141"/>
    </row>
    <row r="48" spans="1:10" s="142" customFormat="1" hidden="1" x14ac:dyDescent="0.25">
      <c r="A48" s="976">
        <v>0</v>
      </c>
      <c r="B48" s="501"/>
      <c r="C48" s="506"/>
      <c r="D48" s="431" t="s">
        <v>725</v>
      </c>
      <c r="E48" s="1035" t="s">
        <v>83</v>
      </c>
      <c r="F48" s="1035"/>
      <c r="G48" s="1035"/>
      <c r="H48" s="1035"/>
      <c r="I48" s="506"/>
      <c r="J48" s="141"/>
    </row>
    <row r="49" spans="1:22" s="142" customFormat="1" hidden="1" x14ac:dyDescent="0.25">
      <c r="A49" s="976">
        <v>0</v>
      </c>
      <c r="B49" s="501"/>
      <c r="C49" s="506"/>
      <c r="D49" s="431" t="s">
        <v>98</v>
      </c>
      <c r="E49" s="1035" t="s">
        <v>19874</v>
      </c>
      <c r="F49" s="1035" t="s">
        <v>19882</v>
      </c>
      <c r="G49" s="1035" t="s">
        <v>19874</v>
      </c>
      <c r="H49" s="1035" t="s">
        <v>19901</v>
      </c>
      <c r="I49" s="506"/>
      <c r="J49" s="141"/>
    </row>
    <row r="50" spans="1:22" s="142" customFormat="1" hidden="1" x14ac:dyDescent="0.25">
      <c r="A50" s="976">
        <v>0</v>
      </c>
      <c r="B50" s="501"/>
      <c r="C50" s="506"/>
      <c r="D50" s="431" t="s">
        <v>1407</v>
      </c>
      <c r="E50" s="1029"/>
      <c r="F50" s="1029" t="s">
        <v>19883</v>
      </c>
      <c r="G50" s="1029"/>
      <c r="H50" s="1029" t="s">
        <v>19902</v>
      </c>
      <c r="I50" s="506"/>
      <c r="J50" s="141"/>
    </row>
    <row r="51" spans="1:22" s="142" customFormat="1" ht="15" hidden="1" customHeight="1" x14ac:dyDescent="0.25">
      <c r="A51" s="976">
        <v>0</v>
      </c>
      <c r="B51" s="501"/>
      <c r="C51" s="506"/>
      <c r="D51" s="431" t="s">
        <v>730</v>
      </c>
      <c r="E51" s="1035" t="s">
        <v>1460</v>
      </c>
      <c r="F51" s="1035"/>
      <c r="G51" s="1035"/>
      <c r="H51" s="1035" t="s">
        <v>306</v>
      </c>
      <c r="I51" s="506"/>
      <c r="J51" s="141"/>
    </row>
    <row r="52" spans="1:22" s="142" customFormat="1" ht="15" hidden="1" customHeight="1" x14ac:dyDescent="0.25">
      <c r="A52" s="976">
        <v>0</v>
      </c>
      <c r="B52" s="501"/>
      <c r="C52" s="506"/>
      <c r="D52" s="431" t="s">
        <v>731</v>
      </c>
      <c r="E52" s="1035" t="s">
        <v>1460</v>
      </c>
      <c r="F52" s="1035" t="s">
        <v>306</v>
      </c>
      <c r="G52" s="1035" t="s">
        <v>306</v>
      </c>
      <c r="H52" s="1035" t="s">
        <v>306</v>
      </c>
      <c r="I52" s="506"/>
      <c r="J52" s="141"/>
    </row>
    <row r="53" spans="1:22" s="142" customFormat="1" ht="15" thickBot="1" x14ac:dyDescent="0.3">
      <c r="A53" s="976">
        <f>IF(LandAdjustmentGrid="Single",1,0)</f>
        <v>1</v>
      </c>
      <c r="B53" s="501"/>
      <c r="C53" s="506"/>
      <c r="D53" s="431" t="s">
        <v>726</v>
      </c>
      <c r="E53" s="1036" t="s">
        <v>1460</v>
      </c>
      <c r="F53" s="1036" t="s">
        <v>306</v>
      </c>
      <c r="G53" s="1036" t="s">
        <v>306</v>
      </c>
      <c r="H53" s="1036" t="s">
        <v>306</v>
      </c>
      <c r="I53" s="506"/>
      <c r="J53" s="141"/>
    </row>
    <row r="54" spans="1:22" s="142" customFormat="1" ht="15" hidden="1" customHeight="1" x14ac:dyDescent="0.25">
      <c r="A54" s="976">
        <v>0</v>
      </c>
      <c r="B54" s="501"/>
      <c r="C54" s="506"/>
      <c r="D54" s="431" t="s">
        <v>732</v>
      </c>
      <c r="E54" s="1029">
        <v>83</v>
      </c>
      <c r="F54" s="1029">
        <v>200</v>
      </c>
      <c r="G54" s="1029">
        <v>260</v>
      </c>
      <c r="H54" s="1029"/>
      <c r="I54" s="506"/>
      <c r="J54" s="141"/>
    </row>
    <row r="55" spans="1:22" s="142" customFormat="1" ht="15" hidden="1" customHeight="1" x14ac:dyDescent="0.25">
      <c r="A55" s="976">
        <v>0</v>
      </c>
      <c r="B55" s="501"/>
      <c r="C55" s="506"/>
      <c r="D55" s="431" t="s">
        <v>733</v>
      </c>
      <c r="E55" s="1036" t="s">
        <v>19875</v>
      </c>
      <c r="F55" s="1036" t="s">
        <v>19884</v>
      </c>
      <c r="G55" s="1036" t="s">
        <v>19894</v>
      </c>
      <c r="H55" s="1036"/>
      <c r="I55" s="506"/>
      <c r="J55" s="141"/>
    </row>
    <row r="56" spans="1:22" s="142" customFormat="1" ht="28.5" hidden="1" x14ac:dyDescent="0.25">
      <c r="A56" s="976">
        <v>0</v>
      </c>
      <c r="B56" s="501"/>
      <c r="C56" s="506"/>
      <c r="D56" s="431" t="s">
        <v>849</v>
      </c>
      <c r="E56" s="1036" t="str">
        <f t="shared" ref="E56:H56" si="10">CONCATENATE(E54," feet on ",E55)</f>
        <v>83 feet on Vincennes St.</v>
      </c>
      <c r="F56" s="1036" t="str">
        <f t="shared" si="10"/>
        <v>200 feet on Del Prado Blvd S</v>
      </c>
      <c r="G56" s="1036" t="str">
        <f t="shared" si="10"/>
        <v>260 feet on Three Oaks Pkwy</v>
      </c>
      <c r="H56" s="1036" t="str">
        <f t="shared" si="10"/>
        <v xml:space="preserve"> feet on </v>
      </c>
      <c r="I56" s="506"/>
      <c r="J56" s="141"/>
    </row>
    <row r="57" spans="1:22" s="142" customFormat="1" ht="15" hidden="1" customHeight="1" x14ac:dyDescent="0.25">
      <c r="A57" s="976">
        <v>0</v>
      </c>
      <c r="B57" s="501"/>
      <c r="C57" s="506"/>
      <c r="D57" s="431" t="s">
        <v>734</v>
      </c>
      <c r="E57" s="1029">
        <v>130</v>
      </c>
      <c r="F57" s="1029">
        <v>100</v>
      </c>
      <c r="G57" s="1029">
        <v>250</v>
      </c>
      <c r="H57" s="1029"/>
      <c r="I57" s="506"/>
      <c r="J57" s="141"/>
    </row>
    <row r="58" spans="1:22" s="142" customFormat="1" ht="15" hidden="1" customHeight="1" x14ac:dyDescent="0.25">
      <c r="A58" s="976">
        <v>0</v>
      </c>
      <c r="B58" s="501"/>
      <c r="C58" s="506"/>
      <c r="D58" s="431" t="s">
        <v>735</v>
      </c>
      <c r="E58" s="1036" t="s">
        <v>19876</v>
      </c>
      <c r="F58" s="1036" t="s">
        <v>19885</v>
      </c>
      <c r="G58" s="1036" t="s">
        <v>19895</v>
      </c>
      <c r="H58" s="1036"/>
      <c r="I58" s="506"/>
      <c r="J58" s="141"/>
    </row>
    <row r="59" spans="1:22" s="142" customFormat="1" ht="42.75" hidden="1" x14ac:dyDescent="0.25">
      <c r="A59" s="976">
        <v>0</v>
      </c>
      <c r="B59" s="501"/>
      <c r="C59" s="506"/>
      <c r="D59" s="431" t="s">
        <v>727</v>
      </c>
      <c r="E59" s="1036" t="str">
        <f t="shared" ref="E59:H59" si="11">CONCATENATE(E57," feet on ",E58)</f>
        <v>130 feet on Lafayette Street</v>
      </c>
      <c r="F59" s="1036" t="str">
        <f t="shared" si="11"/>
        <v>100 feet on SE 43rd Terrace and also SE 44th Street</v>
      </c>
      <c r="G59" s="1036" t="str">
        <f t="shared" si="11"/>
        <v>250 feet on Estero Oaks Dr</v>
      </c>
      <c r="H59" s="1036" t="str">
        <f t="shared" si="11"/>
        <v xml:space="preserve"> feet on </v>
      </c>
      <c r="I59" s="506"/>
      <c r="J59" s="141"/>
    </row>
    <row r="60" spans="1:22" s="142" customFormat="1" hidden="1" x14ac:dyDescent="0.25">
      <c r="A60" s="976">
        <v>0</v>
      </c>
      <c r="B60" s="501"/>
      <c r="C60" s="506"/>
      <c r="D60" s="431" t="s">
        <v>728</v>
      </c>
      <c r="E60" s="1036" t="s">
        <v>19857</v>
      </c>
      <c r="F60" s="1036" t="s">
        <v>19857</v>
      </c>
      <c r="G60" s="1036"/>
      <c r="H60" s="1036"/>
      <c r="I60" s="506"/>
      <c r="J60" s="141"/>
    </row>
    <row r="61" spans="1:22" s="142" customFormat="1" ht="15" hidden="1" customHeight="1" thickBot="1" x14ac:dyDescent="0.3">
      <c r="A61" s="976">
        <v>0</v>
      </c>
      <c r="B61" s="501"/>
      <c r="C61" s="506"/>
      <c r="D61" s="551" t="s">
        <v>192</v>
      </c>
      <c r="E61" s="1037"/>
      <c r="F61" s="1037"/>
      <c r="G61" s="1037"/>
      <c r="H61" s="1037"/>
      <c r="I61" s="506"/>
      <c r="J61" s="141"/>
    </row>
    <row r="62" spans="1:22" x14ac:dyDescent="0.25">
      <c r="A62" s="707"/>
      <c r="B62" s="174"/>
      <c r="C62" s="18"/>
      <c r="D62" s="710" t="s">
        <v>860</v>
      </c>
      <c r="E62" s="1038"/>
      <c r="F62" s="1038"/>
      <c r="G62" s="1038"/>
      <c r="H62" s="1038"/>
      <c r="I62" s="18"/>
      <c r="J62" s="74"/>
    </row>
    <row r="63" spans="1:22" x14ac:dyDescent="0.25">
      <c r="A63" s="707"/>
    </row>
    <row r="64" spans="1:22" x14ac:dyDescent="0.25">
      <c r="A64" s="707"/>
      <c r="L64" s="174"/>
      <c r="M64" s="18"/>
      <c r="N64" s="28"/>
      <c r="O64" s="1020"/>
      <c r="P64" s="1020"/>
      <c r="Q64" s="1020"/>
      <c r="R64" s="1020"/>
      <c r="S64" s="1020"/>
      <c r="T64" s="1020"/>
      <c r="U64" s="18"/>
      <c r="V64" s="74"/>
    </row>
    <row r="65" spans="1:22" ht="16.5" x14ac:dyDescent="0.25">
      <c r="A65" s="707"/>
      <c r="L65" s="174"/>
      <c r="M65" s="18"/>
      <c r="N65" s="430" t="str">
        <f>CONCATENATE("Land Sales Summary - ",dpLand_TractNameB1)</f>
        <v xml:space="preserve">Land Sales Summary - </v>
      </c>
      <c r="O65" s="1021"/>
      <c r="P65" s="1020"/>
      <c r="Q65" s="1020"/>
      <c r="R65" s="1021"/>
      <c r="S65" s="1021"/>
      <c r="T65" s="1020"/>
      <c r="U65" s="18"/>
      <c r="V65" s="74"/>
    </row>
    <row r="66" spans="1:22" ht="15" thickBot="1" x14ac:dyDescent="0.3">
      <c r="A66" s="707"/>
      <c r="L66" s="174"/>
      <c r="M66" s="11"/>
      <c r="N66" s="503"/>
      <c r="O66" s="1001">
        <v>1</v>
      </c>
      <c r="P66" s="1001">
        <v>2</v>
      </c>
      <c r="Q66" s="1001">
        <v>3</v>
      </c>
      <c r="R66" s="1001">
        <v>4</v>
      </c>
      <c r="S66" s="1001">
        <v>5</v>
      </c>
      <c r="T66" s="1001">
        <v>6</v>
      </c>
      <c r="U66" s="11"/>
      <c r="V66" s="74"/>
    </row>
    <row r="67" spans="1:22" hidden="1" x14ac:dyDescent="0.25">
      <c r="A67" s="976">
        <f t="shared" ref="A67:A76" si="12">IF(LandAdjustmentGrid="Buckets",1,0)</f>
        <v>0</v>
      </c>
      <c r="L67" s="501"/>
      <c r="M67" s="506"/>
      <c r="N67" s="327" t="s">
        <v>703</v>
      </c>
      <c r="O67" s="1013"/>
      <c r="P67" s="1013"/>
      <c r="Q67" s="1013"/>
      <c r="R67" s="1013"/>
      <c r="S67" s="1013"/>
      <c r="T67" s="1013"/>
      <c r="U67" s="506"/>
      <c r="V67" s="141"/>
    </row>
    <row r="68" spans="1:22" hidden="1" x14ac:dyDescent="0.25">
      <c r="A68" s="976">
        <f t="shared" si="12"/>
        <v>0</v>
      </c>
      <c r="L68" s="501"/>
      <c r="M68" s="506"/>
      <c r="N68" s="327" t="s">
        <v>0</v>
      </c>
      <c r="O68" s="1013"/>
      <c r="P68" s="1013"/>
      <c r="Q68" s="1013"/>
      <c r="R68" s="1013"/>
      <c r="S68" s="1013"/>
      <c r="T68" s="1013"/>
      <c r="U68" s="506"/>
      <c r="V68" s="141"/>
    </row>
    <row r="69" spans="1:22" hidden="1" x14ac:dyDescent="0.25">
      <c r="A69" s="976">
        <f t="shared" si="12"/>
        <v>0</v>
      </c>
      <c r="L69" s="501"/>
      <c r="M69" s="506"/>
      <c r="N69" s="327" t="s">
        <v>716</v>
      </c>
      <c r="O69" s="1022"/>
      <c r="P69" s="1022"/>
      <c r="Q69" s="1022"/>
      <c r="R69" s="1022"/>
      <c r="S69" s="1022"/>
      <c r="T69" s="1022"/>
      <c r="U69" s="506"/>
      <c r="V69" s="141"/>
    </row>
    <row r="70" spans="1:22" hidden="1" x14ac:dyDescent="0.25">
      <c r="A70" s="976">
        <f t="shared" si="12"/>
        <v>0</v>
      </c>
      <c r="L70" s="501"/>
      <c r="M70" s="506"/>
      <c r="N70" s="327" t="s">
        <v>95</v>
      </c>
      <c r="O70" s="1022"/>
      <c r="P70" s="1022"/>
      <c r="Q70" s="1022"/>
      <c r="R70" s="1022"/>
      <c r="S70" s="1022"/>
      <c r="T70" s="1022"/>
      <c r="U70" s="506"/>
      <c r="V70" s="141"/>
    </row>
    <row r="71" spans="1:22" hidden="1" x14ac:dyDescent="0.25">
      <c r="A71" s="976">
        <f t="shared" si="12"/>
        <v>0</v>
      </c>
      <c r="L71" s="501"/>
      <c r="M71" s="506"/>
      <c r="N71" s="327"/>
      <c r="O71" s="1013"/>
      <c r="P71" s="1013"/>
      <c r="Q71" s="1013"/>
      <c r="R71" s="1013"/>
      <c r="S71" s="1013"/>
      <c r="T71" s="1013"/>
      <c r="U71" s="506"/>
      <c r="V71" s="141"/>
    </row>
    <row r="72" spans="1:22" hidden="1" x14ac:dyDescent="0.25">
      <c r="A72" s="976">
        <f t="shared" si="12"/>
        <v>0</v>
      </c>
      <c r="L72" s="501"/>
      <c r="M72" s="506"/>
      <c r="N72" s="327" t="s">
        <v>717</v>
      </c>
      <c r="O72" s="1023"/>
      <c r="P72" s="1023"/>
      <c r="Q72" s="1023"/>
      <c r="R72" s="1023"/>
      <c r="S72" s="1023"/>
      <c r="T72" s="1023"/>
      <c r="U72" s="506"/>
      <c r="V72" s="141"/>
    </row>
    <row r="73" spans="1:22" hidden="1" x14ac:dyDescent="0.25">
      <c r="A73" s="976">
        <f t="shared" si="12"/>
        <v>0</v>
      </c>
      <c r="L73" s="501"/>
      <c r="M73" s="506"/>
      <c r="N73" s="327"/>
      <c r="O73" s="1013"/>
      <c r="P73" s="1013"/>
      <c r="Q73" s="1013"/>
      <c r="R73" s="1013"/>
      <c r="S73" s="1013"/>
      <c r="T73" s="1013"/>
      <c r="U73" s="506"/>
      <c r="V73" s="141"/>
    </row>
    <row r="74" spans="1:22" hidden="1" x14ac:dyDescent="0.25">
      <c r="A74" s="976">
        <f t="shared" si="12"/>
        <v>0</v>
      </c>
      <c r="L74" s="501"/>
      <c r="M74" s="506"/>
      <c r="N74" s="322" t="s">
        <v>715</v>
      </c>
      <c r="O74" s="1013"/>
      <c r="P74" s="1013"/>
      <c r="Q74" s="1013"/>
      <c r="R74" s="1013"/>
      <c r="S74" s="1013"/>
      <c r="T74" s="1013"/>
      <c r="U74" s="506"/>
      <c r="V74" s="141"/>
    </row>
    <row r="75" spans="1:22" hidden="1" x14ac:dyDescent="0.25">
      <c r="A75" s="976">
        <f t="shared" si="12"/>
        <v>0</v>
      </c>
      <c r="L75" s="501"/>
      <c r="M75" s="506"/>
      <c r="N75" s="431" t="s">
        <v>159</v>
      </c>
      <c r="O75" s="1024"/>
      <c r="P75" s="1024"/>
      <c r="Q75" s="1024"/>
      <c r="R75" s="1024"/>
      <c r="S75" s="1024"/>
      <c r="T75" s="1024"/>
      <c r="U75" s="506"/>
      <c r="V75" s="141"/>
    </row>
    <row r="76" spans="1:22" hidden="1" x14ac:dyDescent="0.25">
      <c r="A76" s="976">
        <f t="shared" si="12"/>
        <v>0</v>
      </c>
      <c r="L76" s="501"/>
      <c r="M76" s="506"/>
      <c r="N76" s="431" t="s">
        <v>1303</v>
      </c>
      <c r="O76" s="1025"/>
      <c r="P76" s="1025"/>
      <c r="Q76" s="1025"/>
      <c r="R76" s="1025"/>
      <c r="S76" s="1025"/>
      <c r="T76" s="1025"/>
      <c r="U76" s="506"/>
      <c r="V76" s="141"/>
    </row>
    <row r="77" spans="1:22" hidden="1" x14ac:dyDescent="0.25">
      <c r="A77" s="976">
        <f>IF(LandAdjustmentGrid="Buckets",IF(dpUnit_Land="Per Usable Square Foot",1,0),0)</f>
        <v>0</v>
      </c>
      <c r="L77" s="501"/>
      <c r="M77" s="506"/>
      <c r="N77" s="431" t="s">
        <v>1293</v>
      </c>
      <c r="O77" s="1026" t="e">
        <f>O$15/O95</f>
        <v>#DIV/0!</v>
      </c>
      <c r="P77" s="1026" t="e">
        <f t="shared" ref="P77:T80" si="13">P$15/P95</f>
        <v>#DIV/0!</v>
      </c>
      <c r="Q77" s="1026" t="e">
        <f t="shared" si="13"/>
        <v>#DIV/0!</v>
      </c>
      <c r="R77" s="1026" t="e">
        <f t="shared" si="13"/>
        <v>#DIV/0!</v>
      </c>
      <c r="S77" s="1026" t="e">
        <f t="shared" si="13"/>
        <v>#DIV/0!</v>
      </c>
      <c r="T77" s="1026" t="e">
        <f t="shared" si="13"/>
        <v>#DIV/0!</v>
      </c>
      <c r="U77" s="506"/>
      <c r="V77" s="141"/>
    </row>
    <row r="78" spans="1:22" hidden="1" x14ac:dyDescent="0.25">
      <c r="A78" s="976">
        <f>IF(LandAdjustmentGrid="Buckets",IF(dpUnit_Land="Per Usable Acre",1,0),0)</f>
        <v>0</v>
      </c>
      <c r="L78" s="501"/>
      <c r="M78" s="506"/>
      <c r="N78" s="431" t="s">
        <v>718</v>
      </c>
      <c r="O78" s="1027" t="e">
        <f>O$15/O96</f>
        <v>#DIV/0!</v>
      </c>
      <c r="P78" s="1027" t="e">
        <f t="shared" ref="P78:R80" si="14">P$15/P96</f>
        <v>#DIV/0!</v>
      </c>
      <c r="Q78" s="1027" t="e">
        <f t="shared" si="14"/>
        <v>#DIV/0!</v>
      </c>
      <c r="R78" s="1027" t="e">
        <f t="shared" si="14"/>
        <v>#DIV/0!</v>
      </c>
      <c r="S78" s="1027" t="e">
        <f t="shared" si="13"/>
        <v>#DIV/0!</v>
      </c>
      <c r="T78" s="1027" t="e">
        <f t="shared" si="13"/>
        <v>#DIV/0!</v>
      </c>
      <c r="U78" s="506"/>
      <c r="V78" s="141"/>
    </row>
    <row r="79" spans="1:22" hidden="1" x14ac:dyDescent="0.25">
      <c r="A79" s="976">
        <f>IF(LandAdjustmentGrid="Buckets",IF(dpUnit_Land="Per Gross Square Foot",1,0),0)</f>
        <v>0</v>
      </c>
      <c r="L79" s="501"/>
      <c r="M79" s="506"/>
      <c r="N79" s="431" t="s">
        <v>1294</v>
      </c>
      <c r="O79" s="1026" t="e">
        <f>O$15/O97</f>
        <v>#DIV/0!</v>
      </c>
      <c r="P79" s="1026" t="e">
        <f t="shared" si="14"/>
        <v>#DIV/0!</v>
      </c>
      <c r="Q79" s="1026" t="e">
        <f t="shared" si="14"/>
        <v>#DIV/0!</v>
      </c>
      <c r="R79" s="1026" t="e">
        <f t="shared" si="14"/>
        <v>#DIV/0!</v>
      </c>
      <c r="S79" s="1026" t="e">
        <f t="shared" si="13"/>
        <v>#DIV/0!</v>
      </c>
      <c r="T79" s="1026" t="e">
        <f t="shared" si="13"/>
        <v>#DIV/0!</v>
      </c>
      <c r="U79" s="506"/>
      <c r="V79" s="141"/>
    </row>
    <row r="80" spans="1:22" hidden="1" x14ac:dyDescent="0.25">
      <c r="A80" s="976">
        <f>IF(LandAdjustmentGrid="Buckets",IF(dpUnit_Land="Per Gross Acre",1,0),0)</f>
        <v>0</v>
      </c>
      <c r="L80" s="501"/>
      <c r="M80" s="506"/>
      <c r="N80" s="431" t="s">
        <v>848</v>
      </c>
      <c r="O80" s="1027" t="e">
        <f>O$15/O98</f>
        <v>#DIV/0!</v>
      </c>
      <c r="P80" s="1027" t="e">
        <f t="shared" si="14"/>
        <v>#DIV/0!</v>
      </c>
      <c r="Q80" s="1027" t="e">
        <f t="shared" si="14"/>
        <v>#DIV/0!</v>
      </c>
      <c r="R80" s="1027" t="e">
        <f t="shared" si="14"/>
        <v>#DIV/0!</v>
      </c>
      <c r="S80" s="1027" t="e">
        <f t="shared" si="13"/>
        <v>#DIV/0!</v>
      </c>
      <c r="T80" s="1027" t="e">
        <f t="shared" si="13"/>
        <v>#DIV/0!</v>
      </c>
      <c r="U80" s="506"/>
      <c r="V80" s="141"/>
    </row>
    <row r="81" spans="1:22" hidden="1" x14ac:dyDescent="0.25">
      <c r="A81" s="976">
        <f>IF(LandAdjustmentGrid="Buckets",IF(dpUnit_Land="Per Front Foot",1,0),0)</f>
        <v>0</v>
      </c>
      <c r="L81" s="501"/>
      <c r="M81" s="506"/>
      <c r="N81" s="431" t="s">
        <v>847</v>
      </c>
      <c r="O81" s="1027" t="e">
        <f t="shared" ref="O81:T81" si="15">O$15/O115</f>
        <v>#DIV/0!</v>
      </c>
      <c r="P81" s="1027" t="e">
        <f t="shared" si="15"/>
        <v>#DIV/0!</v>
      </c>
      <c r="Q81" s="1027" t="e">
        <f t="shared" si="15"/>
        <v>#DIV/0!</v>
      </c>
      <c r="R81" s="1027" t="e">
        <f t="shared" si="15"/>
        <v>#DIV/0!</v>
      </c>
      <c r="S81" s="1027" t="e">
        <f t="shared" si="15"/>
        <v>#DIV/0!</v>
      </c>
      <c r="T81" s="1027" t="e">
        <f t="shared" si="15"/>
        <v>#DIV/0!</v>
      </c>
      <c r="U81" s="506"/>
      <c r="V81" s="141"/>
    </row>
    <row r="82" spans="1:22" hidden="1" x14ac:dyDescent="0.25">
      <c r="A82" s="976">
        <f>IF(LandAdjustmentGrid="Buckets",IF(dpUnit_Land="Per Proposed Square Foot",1,0),0)</f>
        <v>0</v>
      </c>
      <c r="L82" s="501"/>
      <c r="M82" s="506"/>
      <c r="N82" s="431" t="s">
        <v>1027</v>
      </c>
      <c r="O82" s="1026" t="e">
        <f t="shared" ref="O82:T84" si="16">O$15/O99</f>
        <v>#DIV/0!</v>
      </c>
      <c r="P82" s="1026" t="e">
        <f t="shared" si="16"/>
        <v>#DIV/0!</v>
      </c>
      <c r="Q82" s="1026" t="e">
        <f t="shared" si="16"/>
        <v>#DIV/0!</v>
      </c>
      <c r="R82" s="1026" t="e">
        <f t="shared" si="16"/>
        <v>#DIV/0!</v>
      </c>
      <c r="S82" s="1026" t="e">
        <f t="shared" si="16"/>
        <v>#DIV/0!</v>
      </c>
      <c r="T82" s="1026" t="e">
        <f t="shared" si="16"/>
        <v>#DIV/0!</v>
      </c>
      <c r="U82" s="506"/>
      <c r="V82" s="141"/>
    </row>
    <row r="83" spans="1:22" hidden="1" x14ac:dyDescent="0.25">
      <c r="A83" s="976">
        <f>IF(LandAdjustmentGrid="Buckets",IF(dpUnit_Land="Per Lot",1,0),0)</f>
        <v>0</v>
      </c>
      <c r="L83" s="501"/>
      <c r="M83" s="506"/>
      <c r="N83" s="431" t="s">
        <v>1028</v>
      </c>
      <c r="O83" s="1027" t="e">
        <f t="shared" ref="O83:R84" si="17">O$15/O100</f>
        <v>#DIV/0!</v>
      </c>
      <c r="P83" s="1027" t="e">
        <f t="shared" si="17"/>
        <v>#DIV/0!</v>
      </c>
      <c r="Q83" s="1027" t="e">
        <f t="shared" si="17"/>
        <v>#DIV/0!</v>
      </c>
      <c r="R83" s="1027" t="e">
        <f t="shared" si="17"/>
        <v>#DIV/0!</v>
      </c>
      <c r="S83" s="1027" t="e">
        <f t="shared" si="16"/>
        <v>#DIV/0!</v>
      </c>
      <c r="T83" s="1027" t="e">
        <f t="shared" si="16"/>
        <v>#DIV/0!</v>
      </c>
      <c r="U83" s="506"/>
      <c r="V83" s="141"/>
    </row>
    <row r="84" spans="1:22" hidden="1" x14ac:dyDescent="0.25">
      <c r="A84" s="976">
        <f>IF(LandAdjustmentGrid="Buckets",IF(dpUnit_Land="Per Proposed Unit",1,0),0)</f>
        <v>0</v>
      </c>
      <c r="L84" s="501"/>
      <c r="M84" s="506"/>
      <c r="N84" s="431" t="s">
        <v>1058</v>
      </c>
      <c r="O84" s="1027" t="e">
        <f t="shared" si="17"/>
        <v>#DIV/0!</v>
      </c>
      <c r="P84" s="1027" t="e">
        <f t="shared" si="17"/>
        <v>#DIV/0!</v>
      </c>
      <c r="Q84" s="1027" t="e">
        <f t="shared" si="17"/>
        <v>#DIV/0!</v>
      </c>
      <c r="R84" s="1027" t="e">
        <f t="shared" si="17"/>
        <v>#DIV/0!</v>
      </c>
      <c r="S84" s="1027" t="e">
        <f t="shared" si="16"/>
        <v>#DIV/0!</v>
      </c>
      <c r="T84" s="1027" t="e">
        <f t="shared" si="16"/>
        <v>#DIV/0!</v>
      </c>
      <c r="U84" s="506"/>
      <c r="V84" s="141"/>
    </row>
    <row r="85" spans="1:22" hidden="1" x14ac:dyDescent="0.25">
      <c r="A85" s="976">
        <f t="shared" ref="A85:A94" si="18">IF(LandAdjustmentGrid="Buckets",1,0)</f>
        <v>0</v>
      </c>
      <c r="L85" s="501"/>
      <c r="M85" s="506"/>
      <c r="N85" s="431" t="s">
        <v>719</v>
      </c>
      <c r="O85" s="1013"/>
      <c r="P85" s="1013"/>
      <c r="Q85" s="1013"/>
      <c r="R85" s="1013"/>
      <c r="S85" s="1013"/>
      <c r="T85" s="1013"/>
      <c r="U85" s="506"/>
      <c r="V85" s="141"/>
    </row>
    <row r="86" spans="1:22" hidden="1" x14ac:dyDescent="0.25">
      <c r="A86" s="976">
        <f t="shared" si="18"/>
        <v>0</v>
      </c>
      <c r="L86" s="501"/>
      <c r="M86" s="506"/>
      <c r="N86" s="431" t="s">
        <v>720</v>
      </c>
      <c r="O86" s="1013"/>
      <c r="P86" s="1013"/>
      <c r="Q86" s="1013"/>
      <c r="R86" s="1013"/>
      <c r="S86" s="1013"/>
      <c r="T86" s="1013"/>
      <c r="U86" s="506"/>
      <c r="V86" s="141"/>
    </row>
    <row r="87" spans="1:22" hidden="1" x14ac:dyDescent="0.25">
      <c r="A87" s="976">
        <f t="shared" si="18"/>
        <v>0</v>
      </c>
      <c r="L87" s="501"/>
      <c r="M87" s="506"/>
      <c r="N87" s="431" t="s">
        <v>1029</v>
      </c>
      <c r="O87" s="1028"/>
      <c r="P87" s="1028"/>
      <c r="Q87" s="1028"/>
      <c r="R87" s="1028"/>
      <c r="S87" s="1028"/>
      <c r="T87" s="1028"/>
      <c r="U87" s="506"/>
      <c r="V87" s="141"/>
    </row>
    <row r="88" spans="1:22" hidden="1" x14ac:dyDescent="0.25">
      <c r="A88" s="976">
        <f t="shared" si="18"/>
        <v>0</v>
      </c>
      <c r="L88" s="501"/>
      <c r="M88" s="506"/>
      <c r="N88" s="431" t="s">
        <v>1030</v>
      </c>
      <c r="O88" s="1028"/>
      <c r="P88" s="1028"/>
      <c r="Q88" s="1028"/>
      <c r="R88" s="1028"/>
      <c r="S88" s="1028"/>
      <c r="T88" s="1028"/>
      <c r="U88" s="506"/>
      <c r="V88" s="141"/>
    </row>
    <row r="89" spans="1:22" hidden="1" x14ac:dyDescent="0.25">
      <c r="A89" s="976">
        <f t="shared" si="18"/>
        <v>0</v>
      </c>
      <c r="L89" s="501"/>
      <c r="M89" s="506"/>
      <c r="N89" s="431" t="s">
        <v>1031</v>
      </c>
      <c r="O89" s="1028"/>
      <c r="P89" s="1028"/>
      <c r="Q89" s="1028"/>
      <c r="R89" s="1028"/>
      <c r="S89" s="1028"/>
      <c r="T89" s="1028"/>
      <c r="U89" s="506"/>
      <c r="V89" s="141"/>
    </row>
    <row r="90" spans="1:22" hidden="1" x14ac:dyDescent="0.25">
      <c r="A90" s="976">
        <f t="shared" si="18"/>
        <v>0</v>
      </c>
      <c r="L90" s="501"/>
      <c r="M90" s="506"/>
      <c r="N90" s="431" t="s">
        <v>164</v>
      </c>
      <c r="O90" s="1013"/>
      <c r="P90" s="1013"/>
      <c r="Q90" s="1013"/>
      <c r="R90" s="1013"/>
      <c r="S90" s="1013"/>
      <c r="T90" s="1013"/>
      <c r="U90" s="506"/>
      <c r="V90" s="141"/>
    </row>
    <row r="91" spans="1:22" hidden="1" x14ac:dyDescent="0.25">
      <c r="A91" s="976">
        <f t="shared" si="18"/>
        <v>0</v>
      </c>
      <c r="L91" s="501"/>
      <c r="M91" s="506"/>
      <c r="N91" s="431" t="s">
        <v>736</v>
      </c>
      <c r="O91" s="1013"/>
      <c r="P91" s="1013"/>
      <c r="Q91" s="1013"/>
      <c r="R91" s="1013"/>
      <c r="S91" s="1013"/>
      <c r="T91" s="1013"/>
      <c r="U91" s="506"/>
      <c r="V91" s="141"/>
    </row>
    <row r="92" spans="1:22" hidden="1" x14ac:dyDescent="0.25">
      <c r="A92" s="976">
        <f t="shared" si="18"/>
        <v>0</v>
      </c>
      <c r="L92" s="501"/>
      <c r="M92" s="506"/>
      <c r="N92" s="431" t="s">
        <v>284</v>
      </c>
      <c r="O92" s="1013"/>
      <c r="P92" s="1013"/>
      <c r="Q92" s="1013"/>
      <c r="R92" s="1013"/>
      <c r="S92" s="1013"/>
      <c r="T92" s="1013"/>
      <c r="U92" s="506"/>
      <c r="V92" s="141"/>
    </row>
    <row r="93" spans="1:22" hidden="1" x14ac:dyDescent="0.25">
      <c r="A93" s="976">
        <f t="shared" si="18"/>
        <v>0</v>
      </c>
      <c r="L93" s="501"/>
      <c r="M93" s="506"/>
      <c r="N93" s="327"/>
      <c r="O93" s="1013"/>
      <c r="P93" s="1013"/>
      <c r="Q93" s="1013"/>
      <c r="R93" s="1013"/>
      <c r="S93" s="1013"/>
      <c r="T93" s="1013"/>
      <c r="U93" s="506"/>
      <c r="V93" s="141"/>
    </row>
    <row r="94" spans="1:22" hidden="1" x14ac:dyDescent="0.25">
      <c r="A94" s="976">
        <f t="shared" si="18"/>
        <v>0</v>
      </c>
      <c r="L94" s="501"/>
      <c r="M94" s="506"/>
      <c r="N94" s="322" t="s">
        <v>515</v>
      </c>
      <c r="O94" s="1013"/>
      <c r="P94" s="1013"/>
      <c r="Q94" s="1013"/>
      <c r="R94" s="1013"/>
      <c r="S94" s="1013"/>
      <c r="T94" s="1013"/>
      <c r="U94" s="506"/>
      <c r="V94" s="141"/>
    </row>
    <row r="95" spans="1:22" hidden="1" x14ac:dyDescent="0.25">
      <c r="A95" s="976">
        <f>IF(LandAdjustmentGrid="Buckets",IF(OR(LandUnitDisplay="Usable Square Feet",LandUnitDisplay="Gross Square Feet"),1,0),0)</f>
        <v>0</v>
      </c>
      <c r="L95" s="501"/>
      <c r="M95" s="506"/>
      <c r="N95" s="431" t="s">
        <v>714</v>
      </c>
      <c r="O95" s="1029"/>
      <c r="P95" s="1029"/>
      <c r="Q95" s="1029"/>
      <c r="R95" s="1029"/>
      <c r="S95" s="1029"/>
      <c r="T95" s="1029"/>
      <c r="U95" s="506"/>
      <c r="V95" s="141"/>
    </row>
    <row r="96" spans="1:22" hidden="1" x14ac:dyDescent="0.25">
      <c r="A96" s="976">
        <f>IF(LandAdjustmentGrid="Buckets",IF(OR(LandUnitDisplay="Usable Acres",LandUnitDisplay="Gross Acres"),1,0),0)</f>
        <v>0</v>
      </c>
      <c r="L96" s="501"/>
      <c r="M96" s="506"/>
      <c r="N96" s="431" t="s">
        <v>713</v>
      </c>
      <c r="O96" s="1013"/>
      <c r="P96" s="1013"/>
      <c r="Q96" s="1013"/>
      <c r="R96" s="1013"/>
      <c r="S96" s="1013"/>
      <c r="T96" s="1013"/>
      <c r="U96" s="506"/>
      <c r="V96" s="141"/>
    </row>
    <row r="97" spans="1:22" hidden="1" x14ac:dyDescent="0.25">
      <c r="A97" s="976">
        <f>IF(LandAdjustmentGrid="Buckets",IF(OR(LandUnitDisplay="Usable Square Feet",LandUnitDisplay="Gross Square Feet"),1,0),0)</f>
        <v>0</v>
      </c>
      <c r="L97" s="501"/>
      <c r="M97" s="506"/>
      <c r="N97" s="431" t="s">
        <v>711</v>
      </c>
      <c r="O97" s="1029"/>
      <c r="P97" s="1029"/>
      <c r="Q97" s="1029"/>
      <c r="R97" s="1029"/>
      <c r="S97" s="1029"/>
      <c r="T97" s="1029"/>
      <c r="U97" s="506"/>
      <c r="V97" s="141"/>
    </row>
    <row r="98" spans="1:22" hidden="1" x14ac:dyDescent="0.25">
      <c r="A98" s="976">
        <f>IF(LandAdjustmentGrid="Buckets",IF(OR(LandUnitDisplay="Usable Acres",LandUnitDisplay="Gross Acres"),1,0),0)</f>
        <v>0</v>
      </c>
      <c r="L98" s="501"/>
      <c r="M98" s="506"/>
      <c r="N98" s="431" t="s">
        <v>712</v>
      </c>
      <c r="O98" s="1030"/>
      <c r="P98" s="1030"/>
      <c r="Q98" s="1030"/>
      <c r="R98" s="1030"/>
      <c r="S98" s="1030"/>
      <c r="T98" s="1030"/>
      <c r="U98" s="506"/>
      <c r="V98" s="141"/>
    </row>
    <row r="99" spans="1:22" hidden="1" x14ac:dyDescent="0.25">
      <c r="A99" s="976">
        <f>IF(LandAdjustmentGrid="Buckets",IF(LandUnitDisplay="Proposed square foot",1,0),0)</f>
        <v>0</v>
      </c>
      <c r="L99" s="501"/>
      <c r="M99" s="506"/>
      <c r="N99" s="431" t="s">
        <v>841</v>
      </c>
      <c r="O99" s="1029"/>
      <c r="P99" s="1029"/>
      <c r="Q99" s="1029"/>
      <c r="R99" s="1029"/>
      <c r="S99" s="1029"/>
      <c r="T99" s="1029"/>
      <c r="U99" s="506"/>
      <c r="V99" s="141"/>
    </row>
    <row r="100" spans="1:22" hidden="1" x14ac:dyDescent="0.25">
      <c r="A100" s="976">
        <f>IF(LandAdjustmentGrid="Buckets",IF(LandUnitDisplay="Lots",1,0),0)</f>
        <v>0</v>
      </c>
      <c r="L100" s="501"/>
      <c r="M100" s="506"/>
      <c r="N100" s="431" t="s">
        <v>1024</v>
      </c>
      <c r="O100" s="1029"/>
      <c r="P100" s="1029"/>
      <c r="Q100" s="1029"/>
      <c r="R100" s="1029"/>
      <c r="S100" s="1029"/>
      <c r="T100" s="1029"/>
      <c r="U100" s="506"/>
      <c r="V100" s="141"/>
    </row>
    <row r="101" spans="1:22" hidden="1" x14ac:dyDescent="0.25">
      <c r="A101" s="976">
        <f>IF(LandAdjustmentGrid="Buckets",IF(LandUnitDisplay="Proposed Units",1,0),0)</f>
        <v>0</v>
      </c>
      <c r="L101" s="501"/>
      <c r="M101" s="506"/>
      <c r="N101" s="431" t="s">
        <v>1059</v>
      </c>
      <c r="O101" s="1029"/>
      <c r="P101" s="1029"/>
      <c r="Q101" s="1029"/>
      <c r="R101" s="1029"/>
      <c r="S101" s="1029"/>
      <c r="T101" s="1029"/>
      <c r="U101" s="506"/>
      <c r="V101" s="141"/>
    </row>
    <row r="102" spans="1:22" hidden="1" x14ac:dyDescent="0.25">
      <c r="A102" s="976">
        <f t="shared" ref="A102:A111" si="19">IF(LandAdjustmentGrid="Buckets",1,0)</f>
        <v>0</v>
      </c>
      <c r="L102" s="501"/>
      <c r="M102" s="506"/>
      <c r="N102" s="431" t="s">
        <v>76</v>
      </c>
      <c r="O102" s="1013"/>
      <c r="P102" s="1013"/>
      <c r="Q102" s="1013"/>
      <c r="R102" s="1013"/>
      <c r="S102" s="1013"/>
      <c r="T102" s="1013"/>
      <c r="U102" s="506"/>
      <c r="V102" s="141"/>
    </row>
    <row r="103" spans="1:22" hidden="1" x14ac:dyDescent="0.25">
      <c r="A103" s="976">
        <v>0</v>
      </c>
      <c r="L103" s="501"/>
      <c r="M103" s="506"/>
      <c r="N103" s="431" t="s">
        <v>541</v>
      </c>
      <c r="O103" s="1013"/>
      <c r="P103" s="1013"/>
      <c r="Q103" s="1013"/>
      <c r="R103" s="1013"/>
      <c r="S103" s="1013"/>
      <c r="T103" s="1013"/>
      <c r="U103" s="506"/>
      <c r="V103" s="141"/>
    </row>
    <row r="104" spans="1:22" hidden="1" x14ac:dyDescent="0.25">
      <c r="A104" s="976">
        <v>0</v>
      </c>
      <c r="L104" s="501"/>
      <c r="M104" s="506"/>
      <c r="N104" s="431" t="s">
        <v>729</v>
      </c>
      <c r="O104" s="1031"/>
      <c r="P104" s="1031"/>
      <c r="Q104" s="1031"/>
      <c r="R104" s="1031"/>
      <c r="S104" s="1031"/>
      <c r="T104" s="1031"/>
      <c r="U104" s="506"/>
      <c r="V104" s="141"/>
    </row>
    <row r="105" spans="1:22" hidden="1" x14ac:dyDescent="0.25">
      <c r="A105" s="976">
        <f t="shared" si="19"/>
        <v>0</v>
      </c>
      <c r="L105" s="501"/>
      <c r="M105" s="506"/>
      <c r="N105" s="431" t="s">
        <v>541</v>
      </c>
      <c r="O105" s="1032" t="str">
        <f t="shared" ref="O105:T105" si="20">IF(OR(O104="",O104=0),CONCATENATE("100% in ",O103),CONCATENATE(TEXT(O104,"0%")," in ",O103))</f>
        <v xml:space="preserve">100% in </v>
      </c>
      <c r="P105" s="1032" t="str">
        <f t="shared" si="20"/>
        <v xml:space="preserve">100% in </v>
      </c>
      <c r="Q105" s="1032" t="str">
        <f t="shared" si="20"/>
        <v xml:space="preserve">100% in </v>
      </c>
      <c r="R105" s="1032" t="str">
        <f t="shared" si="20"/>
        <v xml:space="preserve">100% in </v>
      </c>
      <c r="S105" s="1032" t="str">
        <f t="shared" si="20"/>
        <v xml:space="preserve">100% in </v>
      </c>
      <c r="T105" s="1032" t="str">
        <f t="shared" si="20"/>
        <v xml:space="preserve">100% in </v>
      </c>
      <c r="U105" s="506"/>
      <c r="V105" s="141"/>
    </row>
    <row r="106" spans="1:22" hidden="1" x14ac:dyDescent="0.25">
      <c r="A106" s="976">
        <f t="shared" si="19"/>
        <v>0</v>
      </c>
      <c r="L106" s="501"/>
      <c r="M106" s="506"/>
      <c r="N106" s="431" t="s">
        <v>99</v>
      </c>
      <c r="O106" s="1032"/>
      <c r="P106" s="1032"/>
      <c r="Q106" s="1032"/>
      <c r="R106" s="1032"/>
      <c r="S106" s="1032"/>
      <c r="T106" s="1032"/>
      <c r="U106" s="506"/>
      <c r="V106" s="141"/>
    </row>
    <row r="107" spans="1:22" hidden="1" x14ac:dyDescent="0.25">
      <c r="A107" s="976">
        <f t="shared" si="19"/>
        <v>0</v>
      </c>
      <c r="L107" s="501"/>
      <c r="M107" s="506"/>
      <c r="N107" s="431" t="s">
        <v>724</v>
      </c>
      <c r="O107" s="1033"/>
      <c r="P107" s="1033"/>
      <c r="Q107" s="1033"/>
      <c r="R107" s="1033"/>
      <c r="S107" s="1033"/>
      <c r="T107" s="1033"/>
      <c r="U107" s="506"/>
      <c r="V107" s="141"/>
    </row>
    <row r="108" spans="1:22" hidden="1" x14ac:dyDescent="0.25">
      <c r="A108" s="976">
        <f t="shared" si="19"/>
        <v>0</v>
      </c>
      <c r="L108" s="501"/>
      <c r="M108" s="506"/>
      <c r="N108" s="431" t="s">
        <v>92</v>
      </c>
      <c r="O108" s="1034"/>
      <c r="P108" s="1034"/>
      <c r="Q108" s="1034"/>
      <c r="R108" s="1034"/>
      <c r="S108" s="1034"/>
      <c r="T108" s="1034"/>
      <c r="U108" s="506"/>
      <c r="V108" s="141"/>
    </row>
    <row r="109" spans="1:22" hidden="1" x14ac:dyDescent="0.25">
      <c r="A109" s="976">
        <f t="shared" si="19"/>
        <v>0</v>
      </c>
      <c r="L109" s="501"/>
      <c r="M109" s="506"/>
      <c r="N109" s="431" t="s">
        <v>725</v>
      </c>
      <c r="O109" s="1035"/>
      <c r="P109" s="1035"/>
      <c r="Q109" s="1035"/>
      <c r="R109" s="1035"/>
      <c r="S109" s="1035"/>
      <c r="T109" s="1035"/>
      <c r="U109" s="506"/>
      <c r="V109" s="141"/>
    </row>
    <row r="110" spans="1:22" hidden="1" x14ac:dyDescent="0.25">
      <c r="A110" s="976">
        <f t="shared" si="19"/>
        <v>0</v>
      </c>
      <c r="L110" s="501"/>
      <c r="M110" s="506"/>
      <c r="N110" s="431" t="s">
        <v>98</v>
      </c>
      <c r="O110" s="1035"/>
      <c r="P110" s="1035"/>
      <c r="Q110" s="1035"/>
      <c r="R110" s="1035"/>
      <c r="S110" s="1035"/>
      <c r="T110" s="1035"/>
      <c r="U110" s="506"/>
      <c r="V110" s="141"/>
    </row>
    <row r="111" spans="1:22" hidden="1" x14ac:dyDescent="0.25">
      <c r="A111" s="976">
        <f t="shared" si="19"/>
        <v>0</v>
      </c>
      <c r="L111" s="501"/>
      <c r="M111" s="506"/>
      <c r="N111" s="431" t="s">
        <v>1407</v>
      </c>
      <c r="O111" s="1029"/>
      <c r="P111" s="1029"/>
      <c r="Q111" s="1029"/>
      <c r="R111" s="1029"/>
      <c r="S111" s="1029"/>
      <c r="T111" s="1029"/>
      <c r="U111" s="506"/>
      <c r="V111" s="141"/>
    </row>
    <row r="112" spans="1:22" hidden="1" x14ac:dyDescent="0.25">
      <c r="A112" s="976">
        <v>0</v>
      </c>
      <c r="L112" s="501"/>
      <c r="M112" s="506"/>
      <c r="N112" s="431" t="s">
        <v>730</v>
      </c>
      <c r="O112" s="1035"/>
      <c r="P112" s="1035"/>
      <c r="Q112" s="1035"/>
      <c r="R112" s="1035"/>
      <c r="S112" s="1035"/>
      <c r="T112" s="1035"/>
      <c r="U112" s="506"/>
      <c r="V112" s="141"/>
    </row>
    <row r="113" spans="1:34" hidden="1" x14ac:dyDescent="0.25">
      <c r="A113" s="976">
        <v>0</v>
      </c>
      <c r="L113" s="501"/>
      <c r="M113" s="506"/>
      <c r="N113" s="431" t="s">
        <v>731</v>
      </c>
      <c r="O113" s="1035"/>
      <c r="P113" s="1035"/>
      <c r="Q113" s="1035"/>
      <c r="R113" s="1035"/>
      <c r="S113" s="1035"/>
      <c r="T113" s="1035"/>
      <c r="U113" s="506"/>
      <c r="V113" s="141"/>
    </row>
    <row r="114" spans="1:34" hidden="1" x14ac:dyDescent="0.25">
      <c r="A114" s="976">
        <f>IF(LandAdjustmentGrid="Buckets",1,0)</f>
        <v>0</v>
      </c>
      <c r="L114" s="501"/>
      <c r="M114" s="506"/>
      <c r="N114" s="431" t="s">
        <v>726</v>
      </c>
      <c r="O114" s="1036" t="str">
        <f t="shared" ref="O114:T114" si="21">CONCATENATE(O112,"/",O113)</f>
        <v>/</v>
      </c>
      <c r="P114" s="1036" t="str">
        <f t="shared" si="21"/>
        <v>/</v>
      </c>
      <c r="Q114" s="1036" t="str">
        <f t="shared" si="21"/>
        <v>/</v>
      </c>
      <c r="R114" s="1036" t="str">
        <f t="shared" si="21"/>
        <v>/</v>
      </c>
      <c r="S114" s="1036" t="str">
        <f t="shared" si="21"/>
        <v>/</v>
      </c>
      <c r="T114" s="1036" t="str">
        <f t="shared" si="21"/>
        <v>/</v>
      </c>
      <c r="U114" s="506"/>
      <c r="V114" s="141"/>
    </row>
    <row r="115" spans="1:34" hidden="1" x14ac:dyDescent="0.25">
      <c r="A115" s="976">
        <v>0</v>
      </c>
      <c r="L115" s="501"/>
      <c r="M115" s="506"/>
      <c r="N115" s="431" t="s">
        <v>732</v>
      </c>
      <c r="O115" s="1029"/>
      <c r="P115" s="1029"/>
      <c r="Q115" s="1029"/>
      <c r="R115" s="1029"/>
      <c r="S115" s="1029"/>
      <c r="T115" s="1029"/>
      <c r="U115" s="506"/>
      <c r="V115" s="141"/>
    </row>
    <row r="116" spans="1:34" hidden="1" x14ac:dyDescent="0.25">
      <c r="A116" s="976">
        <v>0</v>
      </c>
      <c r="L116" s="501"/>
      <c r="M116" s="506"/>
      <c r="N116" s="431" t="s">
        <v>733</v>
      </c>
      <c r="O116" s="1036"/>
      <c r="P116" s="1036"/>
      <c r="Q116" s="1036"/>
      <c r="R116" s="1036"/>
      <c r="S116" s="1036"/>
      <c r="T116" s="1036"/>
      <c r="U116" s="506"/>
      <c r="V116" s="141"/>
    </row>
    <row r="117" spans="1:34" hidden="1" x14ac:dyDescent="0.25">
      <c r="A117" s="976">
        <f>IF(LandAdjustmentGrid="Buckets",1,0)</f>
        <v>0</v>
      </c>
      <c r="L117" s="501"/>
      <c r="M117" s="506"/>
      <c r="N117" s="431" t="s">
        <v>849</v>
      </c>
      <c r="O117" s="1036" t="str">
        <f t="shared" ref="O117:T117" si="22">CONCATENATE(O115," feet on ",O116)</f>
        <v xml:space="preserve"> feet on </v>
      </c>
      <c r="P117" s="1036" t="str">
        <f t="shared" si="22"/>
        <v xml:space="preserve"> feet on </v>
      </c>
      <c r="Q117" s="1036" t="str">
        <f t="shared" si="22"/>
        <v xml:space="preserve"> feet on </v>
      </c>
      <c r="R117" s="1036" t="str">
        <f t="shared" si="22"/>
        <v xml:space="preserve"> feet on </v>
      </c>
      <c r="S117" s="1036" t="str">
        <f t="shared" si="22"/>
        <v xml:space="preserve"> feet on </v>
      </c>
      <c r="T117" s="1036" t="str">
        <f t="shared" si="22"/>
        <v xml:space="preserve"> feet on </v>
      </c>
      <c r="U117" s="506"/>
      <c r="V117" s="141"/>
    </row>
    <row r="118" spans="1:34" hidden="1" x14ac:dyDescent="0.25">
      <c r="A118" s="976">
        <v>0</v>
      </c>
      <c r="L118" s="501"/>
      <c r="M118" s="506"/>
      <c r="N118" s="431" t="s">
        <v>734</v>
      </c>
      <c r="O118" s="1029"/>
      <c r="P118" s="1029"/>
      <c r="Q118" s="1029"/>
      <c r="R118" s="1029"/>
      <c r="S118" s="1029"/>
      <c r="T118" s="1029"/>
      <c r="U118" s="506"/>
      <c r="V118" s="141"/>
    </row>
    <row r="119" spans="1:34" hidden="1" x14ac:dyDescent="0.25">
      <c r="A119" s="976">
        <v>0</v>
      </c>
      <c r="L119" s="501"/>
      <c r="M119" s="506"/>
      <c r="N119" s="431" t="s">
        <v>735</v>
      </c>
      <c r="O119" s="1036"/>
      <c r="P119" s="1036"/>
      <c r="Q119" s="1036"/>
      <c r="R119" s="1036"/>
      <c r="S119" s="1036"/>
      <c r="T119" s="1036"/>
      <c r="U119" s="506"/>
      <c r="V119" s="141"/>
    </row>
    <row r="120" spans="1:34" hidden="1" x14ac:dyDescent="0.25">
      <c r="A120" s="976">
        <f>IF(LandAdjustmentGrid="Buckets",1,0)</f>
        <v>0</v>
      </c>
      <c r="L120" s="501"/>
      <c r="M120" s="506"/>
      <c r="N120" s="431" t="s">
        <v>727</v>
      </c>
      <c r="O120" s="1036" t="str">
        <f t="shared" ref="O120:T120" si="23">CONCATENATE(O118," feet on ",O119)</f>
        <v xml:space="preserve"> feet on </v>
      </c>
      <c r="P120" s="1036" t="str">
        <f t="shared" si="23"/>
        <v xml:space="preserve"> feet on </v>
      </c>
      <c r="Q120" s="1036" t="str">
        <f t="shared" si="23"/>
        <v xml:space="preserve"> feet on </v>
      </c>
      <c r="R120" s="1036" t="str">
        <f t="shared" si="23"/>
        <v xml:space="preserve"> feet on </v>
      </c>
      <c r="S120" s="1036" t="str">
        <f t="shared" si="23"/>
        <v xml:space="preserve"> feet on </v>
      </c>
      <c r="T120" s="1036" t="str">
        <f t="shared" si="23"/>
        <v xml:space="preserve"> feet on </v>
      </c>
      <c r="U120" s="506"/>
      <c r="V120" s="141"/>
    </row>
    <row r="121" spans="1:34" hidden="1" x14ac:dyDescent="0.25">
      <c r="A121" s="976">
        <f>IF(LandAdjustmentGrid="Buckets",1,0)</f>
        <v>0</v>
      </c>
      <c r="L121" s="501"/>
      <c r="M121" s="506"/>
      <c r="N121" s="431" t="s">
        <v>728</v>
      </c>
      <c r="O121" s="1036"/>
      <c r="P121" s="1036"/>
      <c r="Q121" s="1036"/>
      <c r="R121" s="1036"/>
      <c r="S121" s="1036"/>
      <c r="T121" s="1036"/>
      <c r="U121" s="506"/>
      <c r="V121" s="141"/>
    </row>
    <row r="122" spans="1:34" ht="15" hidden="1" thickBot="1" x14ac:dyDescent="0.3">
      <c r="A122" s="976">
        <f>IF(LandAdjustmentGrid="Buckets",1,0)</f>
        <v>0</v>
      </c>
      <c r="L122" s="501"/>
      <c r="M122" s="506"/>
      <c r="N122" s="551" t="s">
        <v>192</v>
      </c>
      <c r="O122" s="1037"/>
      <c r="P122" s="1037"/>
      <c r="Q122" s="1037"/>
      <c r="R122" s="1037"/>
      <c r="S122" s="1037"/>
      <c r="T122" s="1037"/>
      <c r="U122" s="506"/>
      <c r="V122" s="141"/>
    </row>
    <row r="123" spans="1:34" x14ac:dyDescent="0.25">
      <c r="A123" s="707"/>
      <c r="L123" s="174"/>
      <c r="M123" s="18"/>
      <c r="N123" s="710" t="s">
        <v>1552</v>
      </c>
      <c r="O123" s="1038"/>
      <c r="P123" s="1038"/>
      <c r="Q123" s="1038"/>
      <c r="R123" s="1038"/>
      <c r="S123" s="1038"/>
      <c r="T123" s="1038"/>
      <c r="U123" s="18"/>
      <c r="V123" s="74"/>
    </row>
    <row r="124" spans="1:34" x14ac:dyDescent="0.25">
      <c r="A124" s="707"/>
    </row>
    <row r="125" spans="1:34" x14ac:dyDescent="0.25">
      <c r="A125" s="707"/>
      <c r="X125" s="174"/>
      <c r="Y125" s="18"/>
      <c r="Z125" s="28"/>
      <c r="AA125" s="1020"/>
      <c r="AB125" s="1020"/>
      <c r="AC125" s="1020"/>
      <c r="AD125" s="1020"/>
      <c r="AE125" s="1020"/>
      <c r="AF125" s="1020"/>
      <c r="AG125" s="18"/>
      <c r="AH125" s="74"/>
    </row>
    <row r="126" spans="1:34" ht="16.5" x14ac:dyDescent="0.25">
      <c r="A126" s="707"/>
      <c r="X126" s="174"/>
      <c r="Y126" s="18"/>
      <c r="Z126" s="430" t="str">
        <f>CONCATENATE("Land Sales Summary - ",dpLand_TractNameB2)</f>
        <v xml:space="preserve">Land Sales Summary - </v>
      </c>
      <c r="AA126" s="1021"/>
      <c r="AB126" s="1020"/>
      <c r="AC126" s="1020"/>
      <c r="AD126" s="1021"/>
      <c r="AE126" s="1021"/>
      <c r="AF126" s="1020"/>
      <c r="AG126" s="18"/>
      <c r="AH126" s="74"/>
    </row>
    <row r="127" spans="1:34" ht="15" thickBot="1" x14ac:dyDescent="0.3">
      <c r="A127" s="707"/>
      <c r="X127" s="174"/>
      <c r="Y127" s="11"/>
      <c r="Z127" s="503"/>
      <c r="AA127" s="1001">
        <v>1</v>
      </c>
      <c r="AB127" s="1001">
        <v>2</v>
      </c>
      <c r="AC127" s="1001">
        <v>3</v>
      </c>
      <c r="AD127" s="1001">
        <v>4</v>
      </c>
      <c r="AE127" s="1001">
        <v>5</v>
      </c>
      <c r="AF127" s="1001">
        <v>6</v>
      </c>
      <c r="AG127" s="11"/>
      <c r="AH127" s="74"/>
    </row>
    <row r="128" spans="1:34" hidden="1" x14ac:dyDescent="0.25">
      <c r="A128" s="976">
        <f t="shared" ref="A128:A137" si="24">IF(LandAdjustmentGrid="Buckets",1,0)</f>
        <v>0</v>
      </c>
      <c r="X128" s="501"/>
      <c r="Y128" s="506"/>
      <c r="Z128" s="327" t="s">
        <v>703</v>
      </c>
      <c r="AA128" s="1013"/>
      <c r="AB128" s="1013"/>
      <c r="AC128" s="1013"/>
      <c r="AD128" s="1013"/>
      <c r="AE128" s="1013"/>
      <c r="AF128" s="1013"/>
      <c r="AG128" s="506"/>
      <c r="AH128" s="141"/>
    </row>
    <row r="129" spans="1:34" hidden="1" x14ac:dyDescent="0.25">
      <c r="A129" s="976">
        <f t="shared" si="24"/>
        <v>0</v>
      </c>
      <c r="X129" s="501"/>
      <c r="Y129" s="506"/>
      <c r="Z129" s="327" t="s">
        <v>0</v>
      </c>
      <c r="AA129" s="1013"/>
      <c r="AB129" s="1013"/>
      <c r="AC129" s="1013"/>
      <c r="AD129" s="1013"/>
      <c r="AE129" s="1013"/>
      <c r="AF129" s="1013"/>
      <c r="AG129" s="506"/>
      <c r="AH129" s="141"/>
    </row>
    <row r="130" spans="1:34" hidden="1" x14ac:dyDescent="0.25">
      <c r="A130" s="976">
        <f t="shared" si="24"/>
        <v>0</v>
      </c>
      <c r="X130" s="501"/>
      <c r="Y130" s="506"/>
      <c r="Z130" s="327" t="s">
        <v>716</v>
      </c>
      <c r="AA130" s="1022"/>
      <c r="AB130" s="1022"/>
      <c r="AC130" s="1022"/>
      <c r="AD130" s="1022"/>
      <c r="AE130" s="1022"/>
      <c r="AF130" s="1022"/>
      <c r="AG130" s="506"/>
      <c r="AH130" s="141"/>
    </row>
    <row r="131" spans="1:34" hidden="1" x14ac:dyDescent="0.25">
      <c r="A131" s="976">
        <f t="shared" si="24"/>
        <v>0</v>
      </c>
      <c r="X131" s="501"/>
      <c r="Y131" s="506"/>
      <c r="Z131" s="327" t="s">
        <v>95</v>
      </c>
      <c r="AA131" s="1022"/>
      <c r="AB131" s="1022"/>
      <c r="AC131" s="1022"/>
      <c r="AD131" s="1022"/>
      <c r="AE131" s="1022"/>
      <c r="AF131" s="1022"/>
      <c r="AG131" s="506"/>
      <c r="AH131" s="141"/>
    </row>
    <row r="132" spans="1:34" hidden="1" x14ac:dyDescent="0.25">
      <c r="A132" s="976">
        <f t="shared" si="24"/>
        <v>0</v>
      </c>
      <c r="X132" s="501"/>
      <c r="Y132" s="506"/>
      <c r="Z132" s="327"/>
      <c r="AA132" s="1013"/>
      <c r="AB132" s="1013"/>
      <c r="AC132" s="1013"/>
      <c r="AD132" s="1013"/>
      <c r="AE132" s="1013"/>
      <c r="AF132" s="1013"/>
      <c r="AG132" s="506"/>
      <c r="AH132" s="141"/>
    </row>
    <row r="133" spans="1:34" hidden="1" x14ac:dyDescent="0.25">
      <c r="A133" s="976">
        <f t="shared" si="24"/>
        <v>0</v>
      </c>
      <c r="X133" s="501"/>
      <c r="Y133" s="506"/>
      <c r="Z133" s="327" t="s">
        <v>717</v>
      </c>
      <c r="AA133" s="1023"/>
      <c r="AB133" s="1023"/>
      <c r="AC133" s="1023"/>
      <c r="AD133" s="1023"/>
      <c r="AE133" s="1023"/>
      <c r="AF133" s="1023"/>
      <c r="AG133" s="506"/>
      <c r="AH133" s="141"/>
    </row>
    <row r="134" spans="1:34" hidden="1" x14ac:dyDescent="0.25">
      <c r="A134" s="976">
        <f t="shared" si="24"/>
        <v>0</v>
      </c>
      <c r="X134" s="501"/>
      <c r="Y134" s="506"/>
      <c r="Z134" s="327"/>
      <c r="AA134" s="1013"/>
      <c r="AB134" s="1013"/>
      <c r="AC134" s="1013"/>
      <c r="AD134" s="1013"/>
      <c r="AE134" s="1013"/>
      <c r="AF134" s="1013"/>
      <c r="AG134" s="506"/>
      <c r="AH134" s="141"/>
    </row>
    <row r="135" spans="1:34" hidden="1" x14ac:dyDescent="0.25">
      <c r="A135" s="976">
        <f t="shared" si="24"/>
        <v>0</v>
      </c>
      <c r="X135" s="501"/>
      <c r="Y135" s="506"/>
      <c r="Z135" s="322" t="s">
        <v>715</v>
      </c>
      <c r="AA135" s="1013"/>
      <c r="AB135" s="1013"/>
      <c r="AC135" s="1013"/>
      <c r="AD135" s="1013"/>
      <c r="AE135" s="1013"/>
      <c r="AF135" s="1013"/>
      <c r="AG135" s="506"/>
      <c r="AH135" s="141"/>
    </row>
    <row r="136" spans="1:34" hidden="1" x14ac:dyDescent="0.25">
      <c r="A136" s="976">
        <f t="shared" si="24"/>
        <v>0</v>
      </c>
      <c r="X136" s="501"/>
      <c r="Y136" s="506"/>
      <c r="Z136" s="431" t="s">
        <v>159</v>
      </c>
      <c r="AA136" s="1024"/>
      <c r="AB136" s="1024"/>
      <c r="AC136" s="1024"/>
      <c r="AD136" s="1024"/>
      <c r="AE136" s="1024"/>
      <c r="AF136" s="1024"/>
      <c r="AG136" s="506"/>
      <c r="AH136" s="141"/>
    </row>
    <row r="137" spans="1:34" hidden="1" x14ac:dyDescent="0.25">
      <c r="A137" s="976">
        <f t="shared" si="24"/>
        <v>0</v>
      </c>
      <c r="X137" s="501"/>
      <c r="Y137" s="506"/>
      <c r="Z137" s="431" t="s">
        <v>1303</v>
      </c>
      <c r="AA137" s="1025"/>
      <c r="AB137" s="1025"/>
      <c r="AC137" s="1025"/>
      <c r="AD137" s="1025"/>
      <c r="AE137" s="1025"/>
      <c r="AF137" s="1025"/>
      <c r="AG137" s="506"/>
      <c r="AH137" s="141"/>
    </row>
    <row r="138" spans="1:34" hidden="1" x14ac:dyDescent="0.25">
      <c r="A138" s="976">
        <f>IF(LandAdjustmentGrid="Buckets",IF(dpUnit_Land="Per Usable Square Foot",1,0),0)</f>
        <v>0</v>
      </c>
      <c r="X138" s="501"/>
      <c r="Y138" s="506"/>
      <c r="Z138" s="431" t="s">
        <v>1293</v>
      </c>
      <c r="AA138" s="1026" t="e">
        <f>AA$15/AA156</f>
        <v>#DIV/0!</v>
      </c>
      <c r="AB138" s="1026" t="e">
        <f t="shared" ref="AB138:AF141" si="25">AB$15/AB156</f>
        <v>#DIV/0!</v>
      </c>
      <c r="AC138" s="1026" t="e">
        <f t="shared" si="25"/>
        <v>#DIV/0!</v>
      </c>
      <c r="AD138" s="1026" t="e">
        <f t="shared" si="25"/>
        <v>#DIV/0!</v>
      </c>
      <c r="AE138" s="1026" t="e">
        <f t="shared" si="25"/>
        <v>#DIV/0!</v>
      </c>
      <c r="AF138" s="1026" t="e">
        <f t="shared" si="25"/>
        <v>#DIV/0!</v>
      </c>
      <c r="AG138" s="506"/>
      <c r="AH138" s="141"/>
    </row>
    <row r="139" spans="1:34" hidden="1" x14ac:dyDescent="0.25">
      <c r="A139" s="976">
        <f>IF(LandAdjustmentGrid="Buckets",IF(dpUnit_Land="Per Usable Acre",1,0),0)</f>
        <v>0</v>
      </c>
      <c r="X139" s="501"/>
      <c r="Y139" s="506"/>
      <c r="Z139" s="431" t="s">
        <v>718</v>
      </c>
      <c r="AA139" s="1027" t="e">
        <f>AA$15/AA157</f>
        <v>#DIV/0!</v>
      </c>
      <c r="AB139" s="1027" t="e">
        <f t="shared" ref="AB139:AD141" si="26">AB$15/AB157</f>
        <v>#DIV/0!</v>
      </c>
      <c r="AC139" s="1027" t="e">
        <f t="shared" si="26"/>
        <v>#DIV/0!</v>
      </c>
      <c r="AD139" s="1027" t="e">
        <f t="shared" si="26"/>
        <v>#DIV/0!</v>
      </c>
      <c r="AE139" s="1027" t="e">
        <f t="shared" si="25"/>
        <v>#DIV/0!</v>
      </c>
      <c r="AF139" s="1027" t="e">
        <f t="shared" si="25"/>
        <v>#DIV/0!</v>
      </c>
      <c r="AG139" s="506"/>
      <c r="AH139" s="141"/>
    </row>
    <row r="140" spans="1:34" hidden="1" x14ac:dyDescent="0.25">
      <c r="A140" s="976">
        <f>IF(LandAdjustmentGrid="Buckets",IF(dpUnit_Land="Per Gross Square Foot",1,0),0)</f>
        <v>0</v>
      </c>
      <c r="X140" s="501"/>
      <c r="Y140" s="506"/>
      <c r="Z140" s="431" t="s">
        <v>1294</v>
      </c>
      <c r="AA140" s="1026" t="e">
        <f>AA$15/AA158</f>
        <v>#DIV/0!</v>
      </c>
      <c r="AB140" s="1026" t="e">
        <f t="shared" si="26"/>
        <v>#DIV/0!</v>
      </c>
      <c r="AC140" s="1026" t="e">
        <f t="shared" si="26"/>
        <v>#DIV/0!</v>
      </c>
      <c r="AD140" s="1026" t="e">
        <f t="shared" si="26"/>
        <v>#DIV/0!</v>
      </c>
      <c r="AE140" s="1026" t="e">
        <f t="shared" si="25"/>
        <v>#DIV/0!</v>
      </c>
      <c r="AF140" s="1026" t="e">
        <f t="shared" si="25"/>
        <v>#DIV/0!</v>
      </c>
      <c r="AG140" s="506"/>
      <c r="AH140" s="141"/>
    </row>
    <row r="141" spans="1:34" hidden="1" x14ac:dyDescent="0.25">
      <c r="A141" s="976">
        <f>IF(LandAdjustmentGrid="Buckets",IF(dpUnit_Land="Per Gross Acre",1,0),0)</f>
        <v>0</v>
      </c>
      <c r="X141" s="501"/>
      <c r="Y141" s="506"/>
      <c r="Z141" s="431" t="s">
        <v>848</v>
      </c>
      <c r="AA141" s="1027" t="e">
        <f>AA$15/AA159</f>
        <v>#DIV/0!</v>
      </c>
      <c r="AB141" s="1027" t="e">
        <f t="shared" si="26"/>
        <v>#DIV/0!</v>
      </c>
      <c r="AC141" s="1027" t="e">
        <f t="shared" si="26"/>
        <v>#DIV/0!</v>
      </c>
      <c r="AD141" s="1027" t="e">
        <f t="shared" si="26"/>
        <v>#DIV/0!</v>
      </c>
      <c r="AE141" s="1027" t="e">
        <f t="shared" si="25"/>
        <v>#DIV/0!</v>
      </c>
      <c r="AF141" s="1027" t="e">
        <f t="shared" si="25"/>
        <v>#DIV/0!</v>
      </c>
      <c r="AG141" s="506"/>
      <c r="AH141" s="141"/>
    </row>
    <row r="142" spans="1:34" hidden="1" x14ac:dyDescent="0.25">
      <c r="A142" s="976">
        <f>IF(LandAdjustmentGrid="Buckets",IF(dpUnit_Land="Per Front Foot",1,0),0)</f>
        <v>0</v>
      </c>
      <c r="X142" s="501"/>
      <c r="Y142" s="506"/>
      <c r="Z142" s="431" t="s">
        <v>847</v>
      </c>
      <c r="AA142" s="1027" t="e">
        <f t="shared" ref="AA142:AF142" si="27">AA$15/AA176</f>
        <v>#DIV/0!</v>
      </c>
      <c r="AB142" s="1027" t="e">
        <f t="shared" si="27"/>
        <v>#DIV/0!</v>
      </c>
      <c r="AC142" s="1027" t="e">
        <f t="shared" si="27"/>
        <v>#DIV/0!</v>
      </c>
      <c r="AD142" s="1027" t="e">
        <f t="shared" si="27"/>
        <v>#DIV/0!</v>
      </c>
      <c r="AE142" s="1027" t="e">
        <f t="shared" si="27"/>
        <v>#DIV/0!</v>
      </c>
      <c r="AF142" s="1027" t="e">
        <f t="shared" si="27"/>
        <v>#DIV/0!</v>
      </c>
      <c r="AG142" s="506"/>
      <c r="AH142" s="141"/>
    </row>
    <row r="143" spans="1:34" hidden="1" x14ac:dyDescent="0.25">
      <c r="A143" s="976">
        <f>IF(LandAdjustmentGrid="Buckets",IF(dpUnit_Land="Per Proposed Square Foot",1,0),0)</f>
        <v>0</v>
      </c>
      <c r="X143" s="501"/>
      <c r="Y143" s="506"/>
      <c r="Z143" s="431" t="s">
        <v>1027</v>
      </c>
      <c r="AA143" s="1026" t="e">
        <f t="shared" ref="AA143:AF145" si="28">AA$15/AA160</f>
        <v>#DIV/0!</v>
      </c>
      <c r="AB143" s="1026" t="e">
        <f t="shared" si="28"/>
        <v>#DIV/0!</v>
      </c>
      <c r="AC143" s="1026" t="e">
        <f t="shared" si="28"/>
        <v>#DIV/0!</v>
      </c>
      <c r="AD143" s="1026" t="e">
        <f t="shared" si="28"/>
        <v>#DIV/0!</v>
      </c>
      <c r="AE143" s="1026" t="e">
        <f t="shared" si="28"/>
        <v>#DIV/0!</v>
      </c>
      <c r="AF143" s="1026" t="e">
        <f t="shared" si="28"/>
        <v>#DIV/0!</v>
      </c>
      <c r="AG143" s="506"/>
      <c r="AH143" s="141"/>
    </row>
    <row r="144" spans="1:34" hidden="1" x14ac:dyDescent="0.25">
      <c r="A144" s="976">
        <f>IF(LandAdjustmentGrid="Buckets",IF(dpUnit_Land="Per Lot",1,0),0)</f>
        <v>0</v>
      </c>
      <c r="X144" s="501"/>
      <c r="Y144" s="506"/>
      <c r="Z144" s="431" t="s">
        <v>1028</v>
      </c>
      <c r="AA144" s="1027" t="e">
        <f t="shared" ref="AA144:AD145" si="29">AA$15/AA161</f>
        <v>#DIV/0!</v>
      </c>
      <c r="AB144" s="1027" t="e">
        <f t="shared" si="29"/>
        <v>#DIV/0!</v>
      </c>
      <c r="AC144" s="1027" t="e">
        <f t="shared" si="29"/>
        <v>#DIV/0!</v>
      </c>
      <c r="AD144" s="1027" t="e">
        <f t="shared" si="29"/>
        <v>#DIV/0!</v>
      </c>
      <c r="AE144" s="1027" t="e">
        <f t="shared" si="28"/>
        <v>#DIV/0!</v>
      </c>
      <c r="AF144" s="1027" t="e">
        <f t="shared" si="28"/>
        <v>#DIV/0!</v>
      </c>
      <c r="AG144" s="506"/>
      <c r="AH144" s="141"/>
    </row>
    <row r="145" spans="1:34" hidden="1" x14ac:dyDescent="0.25">
      <c r="A145" s="976">
        <f>IF(LandAdjustmentGrid="Buckets",IF(dpUnit_Land="Per Proposed Unit",1,0),0)</f>
        <v>0</v>
      </c>
      <c r="X145" s="501"/>
      <c r="Y145" s="506"/>
      <c r="Z145" s="431" t="s">
        <v>1058</v>
      </c>
      <c r="AA145" s="1027" t="e">
        <f t="shared" si="29"/>
        <v>#DIV/0!</v>
      </c>
      <c r="AB145" s="1027" t="e">
        <f t="shared" si="29"/>
        <v>#DIV/0!</v>
      </c>
      <c r="AC145" s="1027" t="e">
        <f t="shared" si="29"/>
        <v>#DIV/0!</v>
      </c>
      <c r="AD145" s="1027" t="e">
        <f t="shared" si="29"/>
        <v>#DIV/0!</v>
      </c>
      <c r="AE145" s="1027" t="e">
        <f t="shared" si="28"/>
        <v>#DIV/0!</v>
      </c>
      <c r="AF145" s="1027" t="e">
        <f t="shared" si="28"/>
        <v>#DIV/0!</v>
      </c>
      <c r="AG145" s="506"/>
      <c r="AH145" s="141"/>
    </row>
    <row r="146" spans="1:34" hidden="1" x14ac:dyDescent="0.25">
      <c r="A146" s="976">
        <f t="shared" ref="A146:A155" si="30">IF(LandAdjustmentGrid="Buckets",1,0)</f>
        <v>0</v>
      </c>
      <c r="X146" s="501"/>
      <c r="Y146" s="506"/>
      <c r="Z146" s="431" t="s">
        <v>719</v>
      </c>
      <c r="AA146" s="1013"/>
      <c r="AB146" s="1013"/>
      <c r="AC146" s="1013"/>
      <c r="AD146" s="1013"/>
      <c r="AE146" s="1013"/>
      <c r="AF146" s="1013"/>
      <c r="AG146" s="506"/>
      <c r="AH146" s="141"/>
    </row>
    <row r="147" spans="1:34" hidden="1" x14ac:dyDescent="0.25">
      <c r="A147" s="976">
        <f t="shared" si="30"/>
        <v>0</v>
      </c>
      <c r="X147" s="501"/>
      <c r="Y147" s="506"/>
      <c r="Z147" s="431" t="s">
        <v>720</v>
      </c>
      <c r="AA147" s="1013"/>
      <c r="AB147" s="1013"/>
      <c r="AC147" s="1013"/>
      <c r="AD147" s="1013"/>
      <c r="AE147" s="1013"/>
      <c r="AF147" s="1013"/>
      <c r="AG147" s="506"/>
      <c r="AH147" s="141"/>
    </row>
    <row r="148" spans="1:34" hidden="1" x14ac:dyDescent="0.25">
      <c r="A148" s="976">
        <f t="shared" si="30"/>
        <v>0</v>
      </c>
      <c r="X148" s="501"/>
      <c r="Y148" s="506"/>
      <c r="Z148" s="431" t="s">
        <v>1029</v>
      </c>
      <c r="AA148" s="1028"/>
      <c r="AB148" s="1028"/>
      <c r="AC148" s="1028"/>
      <c r="AD148" s="1028"/>
      <c r="AE148" s="1028"/>
      <c r="AF148" s="1028"/>
      <c r="AG148" s="506"/>
      <c r="AH148" s="141"/>
    </row>
    <row r="149" spans="1:34" hidden="1" x14ac:dyDescent="0.25">
      <c r="A149" s="976">
        <f t="shared" si="30"/>
        <v>0</v>
      </c>
      <c r="X149" s="501"/>
      <c r="Y149" s="506"/>
      <c r="Z149" s="431" t="s">
        <v>1030</v>
      </c>
      <c r="AA149" s="1028"/>
      <c r="AB149" s="1028"/>
      <c r="AC149" s="1028"/>
      <c r="AD149" s="1028"/>
      <c r="AE149" s="1028"/>
      <c r="AF149" s="1028"/>
      <c r="AG149" s="506"/>
      <c r="AH149" s="141"/>
    </row>
    <row r="150" spans="1:34" hidden="1" x14ac:dyDescent="0.25">
      <c r="A150" s="976">
        <f t="shared" si="30"/>
        <v>0</v>
      </c>
      <c r="X150" s="501"/>
      <c r="Y150" s="506"/>
      <c r="Z150" s="431" t="s">
        <v>1031</v>
      </c>
      <c r="AA150" s="1028"/>
      <c r="AB150" s="1028"/>
      <c r="AC150" s="1028"/>
      <c r="AD150" s="1028"/>
      <c r="AE150" s="1028"/>
      <c r="AF150" s="1028"/>
      <c r="AG150" s="506"/>
      <c r="AH150" s="141"/>
    </row>
    <row r="151" spans="1:34" hidden="1" x14ac:dyDescent="0.25">
      <c r="A151" s="976">
        <f t="shared" si="30"/>
        <v>0</v>
      </c>
      <c r="X151" s="501"/>
      <c r="Y151" s="506"/>
      <c r="Z151" s="431" t="s">
        <v>164</v>
      </c>
      <c r="AA151" s="1013"/>
      <c r="AB151" s="1013"/>
      <c r="AC151" s="1013"/>
      <c r="AD151" s="1013"/>
      <c r="AE151" s="1013"/>
      <c r="AF151" s="1013"/>
      <c r="AG151" s="506"/>
      <c r="AH151" s="141"/>
    </row>
    <row r="152" spans="1:34" hidden="1" x14ac:dyDescent="0.25">
      <c r="A152" s="976">
        <f t="shared" si="30"/>
        <v>0</v>
      </c>
      <c r="X152" s="501"/>
      <c r="Y152" s="506"/>
      <c r="Z152" s="431" t="s">
        <v>736</v>
      </c>
      <c r="AA152" s="1013"/>
      <c r="AB152" s="1013"/>
      <c r="AC152" s="1013"/>
      <c r="AD152" s="1013"/>
      <c r="AE152" s="1013"/>
      <c r="AF152" s="1013"/>
      <c r="AG152" s="506"/>
      <c r="AH152" s="141"/>
    </row>
    <row r="153" spans="1:34" hidden="1" x14ac:dyDescent="0.25">
      <c r="A153" s="976">
        <f t="shared" si="30"/>
        <v>0</v>
      </c>
      <c r="X153" s="501"/>
      <c r="Y153" s="506"/>
      <c r="Z153" s="431" t="s">
        <v>284</v>
      </c>
      <c r="AA153" s="1013"/>
      <c r="AB153" s="1013"/>
      <c r="AC153" s="1013"/>
      <c r="AD153" s="1013"/>
      <c r="AE153" s="1013"/>
      <c r="AF153" s="1013"/>
      <c r="AG153" s="506"/>
      <c r="AH153" s="141"/>
    </row>
    <row r="154" spans="1:34" hidden="1" x14ac:dyDescent="0.25">
      <c r="A154" s="976">
        <f t="shared" si="30"/>
        <v>0</v>
      </c>
      <c r="X154" s="501"/>
      <c r="Y154" s="506"/>
      <c r="Z154" s="327"/>
      <c r="AA154" s="1013"/>
      <c r="AB154" s="1013"/>
      <c r="AC154" s="1013"/>
      <c r="AD154" s="1013"/>
      <c r="AE154" s="1013"/>
      <c r="AF154" s="1013"/>
      <c r="AG154" s="506"/>
      <c r="AH154" s="141"/>
    </row>
    <row r="155" spans="1:34" hidden="1" x14ac:dyDescent="0.25">
      <c r="A155" s="976">
        <f t="shared" si="30"/>
        <v>0</v>
      </c>
      <c r="X155" s="501"/>
      <c r="Y155" s="506"/>
      <c r="Z155" s="322" t="s">
        <v>515</v>
      </c>
      <c r="AA155" s="1013"/>
      <c r="AB155" s="1013"/>
      <c r="AC155" s="1013"/>
      <c r="AD155" s="1013"/>
      <c r="AE155" s="1013"/>
      <c r="AF155" s="1013"/>
      <c r="AG155" s="506"/>
      <c r="AH155" s="141"/>
    </row>
    <row r="156" spans="1:34" hidden="1" x14ac:dyDescent="0.25">
      <c r="A156" s="976">
        <f>IF(LandAdjustmentGrid="Buckets",IF(OR(LandUnitDisplay="Usable Square Feet",LandUnitDisplay="Gross Square Feet"),1,0),0)</f>
        <v>0</v>
      </c>
      <c r="X156" s="501"/>
      <c r="Y156" s="506"/>
      <c r="Z156" s="431" t="s">
        <v>714</v>
      </c>
      <c r="AA156" s="1029"/>
      <c r="AB156" s="1029"/>
      <c r="AC156" s="1029"/>
      <c r="AD156" s="1029"/>
      <c r="AE156" s="1029"/>
      <c r="AF156" s="1029"/>
      <c r="AG156" s="506"/>
      <c r="AH156" s="141"/>
    </row>
    <row r="157" spans="1:34" hidden="1" x14ac:dyDescent="0.25">
      <c r="A157" s="976">
        <f>IF(LandAdjustmentGrid="Buckets",IF(OR(LandUnitDisplay="Usable Acres",LandUnitDisplay="Gross Acres"),1,0),0)</f>
        <v>0</v>
      </c>
      <c r="X157" s="501"/>
      <c r="Y157" s="506"/>
      <c r="Z157" s="431" t="s">
        <v>713</v>
      </c>
      <c r="AA157" s="1013"/>
      <c r="AB157" s="1013"/>
      <c r="AC157" s="1013"/>
      <c r="AD157" s="1013"/>
      <c r="AE157" s="1013"/>
      <c r="AF157" s="1013"/>
      <c r="AG157" s="506"/>
      <c r="AH157" s="141"/>
    </row>
    <row r="158" spans="1:34" hidden="1" x14ac:dyDescent="0.25">
      <c r="A158" s="976">
        <f>IF(LandAdjustmentGrid="Buckets",IF(OR(LandUnitDisplay="Usable Square Feet",LandUnitDisplay="Gross Square Feet"),1,0),0)</f>
        <v>0</v>
      </c>
      <c r="X158" s="501"/>
      <c r="Y158" s="506"/>
      <c r="Z158" s="431" t="s">
        <v>711</v>
      </c>
      <c r="AA158" s="1029"/>
      <c r="AB158" s="1029"/>
      <c r="AC158" s="1029"/>
      <c r="AD158" s="1029"/>
      <c r="AE158" s="1029"/>
      <c r="AF158" s="1029"/>
      <c r="AG158" s="506"/>
      <c r="AH158" s="141"/>
    </row>
    <row r="159" spans="1:34" hidden="1" x14ac:dyDescent="0.25">
      <c r="A159" s="976">
        <f>IF(LandAdjustmentGrid="Buckets",IF(OR(LandUnitDisplay="Usable Acres",LandUnitDisplay="Gross Acres"),1,0),0)</f>
        <v>0</v>
      </c>
      <c r="X159" s="501"/>
      <c r="Y159" s="506"/>
      <c r="Z159" s="431" t="s">
        <v>712</v>
      </c>
      <c r="AA159" s="1030"/>
      <c r="AB159" s="1030"/>
      <c r="AC159" s="1030"/>
      <c r="AD159" s="1030"/>
      <c r="AE159" s="1030"/>
      <c r="AF159" s="1030"/>
      <c r="AG159" s="506"/>
      <c r="AH159" s="141"/>
    </row>
    <row r="160" spans="1:34" hidden="1" x14ac:dyDescent="0.25">
      <c r="A160" s="976">
        <f>IF(LandAdjustmentGrid="Buckets",IF(LandUnitDisplay="Proposed square foot",1,0),0)</f>
        <v>0</v>
      </c>
      <c r="X160" s="501"/>
      <c r="Y160" s="506"/>
      <c r="Z160" s="431" t="s">
        <v>841</v>
      </c>
      <c r="AA160" s="1029"/>
      <c r="AB160" s="1029"/>
      <c r="AC160" s="1029"/>
      <c r="AD160" s="1029"/>
      <c r="AE160" s="1029"/>
      <c r="AF160" s="1029"/>
      <c r="AG160" s="506"/>
      <c r="AH160" s="141"/>
    </row>
    <row r="161" spans="1:34" hidden="1" x14ac:dyDescent="0.25">
      <c r="A161" s="976">
        <f>IF(LandAdjustmentGrid="Buckets",IF(LandUnitDisplay="Lots",1,0),0)</f>
        <v>0</v>
      </c>
      <c r="X161" s="501"/>
      <c r="Y161" s="506"/>
      <c r="Z161" s="431" t="s">
        <v>1024</v>
      </c>
      <c r="AA161" s="1029"/>
      <c r="AB161" s="1029"/>
      <c r="AC161" s="1029"/>
      <c r="AD161" s="1029"/>
      <c r="AE161" s="1029"/>
      <c r="AF161" s="1029"/>
      <c r="AG161" s="506"/>
      <c r="AH161" s="141"/>
    </row>
    <row r="162" spans="1:34" hidden="1" x14ac:dyDescent="0.25">
      <c r="A162" s="976">
        <f>IF(LandAdjustmentGrid="Buckets",IF(LandUnitDisplay="Proposed Units",1,0),0)</f>
        <v>0</v>
      </c>
      <c r="X162" s="501"/>
      <c r="Y162" s="506"/>
      <c r="Z162" s="431" t="s">
        <v>1059</v>
      </c>
      <c r="AA162" s="1029"/>
      <c r="AB162" s="1029"/>
      <c r="AC162" s="1029"/>
      <c r="AD162" s="1029"/>
      <c r="AE162" s="1029"/>
      <c r="AF162" s="1029"/>
      <c r="AG162" s="506"/>
      <c r="AH162" s="141"/>
    </row>
    <row r="163" spans="1:34" hidden="1" x14ac:dyDescent="0.25">
      <c r="A163" s="976">
        <f t="shared" ref="A163:A172" si="31">IF(LandAdjustmentGrid="Buckets",1,0)</f>
        <v>0</v>
      </c>
      <c r="X163" s="501"/>
      <c r="Y163" s="506"/>
      <c r="Z163" s="431" t="s">
        <v>76</v>
      </c>
      <c r="AA163" s="1013"/>
      <c r="AB163" s="1013"/>
      <c r="AC163" s="1013"/>
      <c r="AD163" s="1013"/>
      <c r="AE163" s="1013"/>
      <c r="AF163" s="1013"/>
      <c r="AG163" s="506"/>
      <c r="AH163" s="141"/>
    </row>
    <row r="164" spans="1:34" hidden="1" x14ac:dyDescent="0.25">
      <c r="A164" s="976">
        <v>0</v>
      </c>
      <c r="X164" s="501"/>
      <c r="Y164" s="506"/>
      <c r="Z164" s="431" t="s">
        <v>541</v>
      </c>
      <c r="AA164" s="1013"/>
      <c r="AB164" s="1013"/>
      <c r="AC164" s="1013"/>
      <c r="AD164" s="1013"/>
      <c r="AE164" s="1013"/>
      <c r="AF164" s="1013"/>
      <c r="AG164" s="506"/>
      <c r="AH164" s="141"/>
    </row>
    <row r="165" spans="1:34" hidden="1" x14ac:dyDescent="0.25">
      <c r="A165" s="976">
        <v>0</v>
      </c>
      <c r="X165" s="501"/>
      <c r="Y165" s="506"/>
      <c r="Z165" s="431" t="s">
        <v>729</v>
      </c>
      <c r="AA165" s="1031"/>
      <c r="AB165" s="1031"/>
      <c r="AC165" s="1031"/>
      <c r="AD165" s="1031"/>
      <c r="AE165" s="1031"/>
      <c r="AF165" s="1031"/>
      <c r="AG165" s="506"/>
      <c r="AH165" s="141"/>
    </row>
    <row r="166" spans="1:34" hidden="1" x14ac:dyDescent="0.25">
      <c r="A166" s="976">
        <f t="shared" si="31"/>
        <v>0</v>
      </c>
      <c r="X166" s="501"/>
      <c r="Y166" s="506"/>
      <c r="Z166" s="431" t="s">
        <v>541</v>
      </c>
      <c r="AA166" s="1032" t="str">
        <f t="shared" ref="AA166:AF166" si="32">IF(OR(AA165="",AA165=0),CONCATENATE("100% in ",AA164),CONCATENATE(TEXT(AA165,"0%")," in ",AA164))</f>
        <v xml:space="preserve">100% in </v>
      </c>
      <c r="AB166" s="1032" t="str">
        <f t="shared" si="32"/>
        <v xml:space="preserve">100% in </v>
      </c>
      <c r="AC166" s="1032" t="str">
        <f t="shared" si="32"/>
        <v xml:space="preserve">100% in </v>
      </c>
      <c r="AD166" s="1032" t="str">
        <f t="shared" si="32"/>
        <v xml:space="preserve">100% in </v>
      </c>
      <c r="AE166" s="1032" t="str">
        <f t="shared" si="32"/>
        <v xml:space="preserve">100% in </v>
      </c>
      <c r="AF166" s="1032" t="str">
        <f t="shared" si="32"/>
        <v xml:space="preserve">100% in </v>
      </c>
      <c r="AG166" s="506"/>
      <c r="AH166" s="141"/>
    </row>
    <row r="167" spans="1:34" hidden="1" x14ac:dyDescent="0.25">
      <c r="A167" s="976">
        <f t="shared" si="31"/>
        <v>0</v>
      </c>
      <c r="X167" s="501"/>
      <c r="Y167" s="506"/>
      <c r="Z167" s="431" t="s">
        <v>99</v>
      </c>
      <c r="AA167" s="1032"/>
      <c r="AB167" s="1032"/>
      <c r="AC167" s="1032"/>
      <c r="AD167" s="1032"/>
      <c r="AE167" s="1032"/>
      <c r="AF167" s="1032"/>
      <c r="AG167" s="506"/>
      <c r="AH167" s="141"/>
    </row>
    <row r="168" spans="1:34" hidden="1" x14ac:dyDescent="0.25">
      <c r="A168" s="976">
        <f t="shared" si="31"/>
        <v>0</v>
      </c>
      <c r="X168" s="501"/>
      <c r="Y168" s="506"/>
      <c r="Z168" s="431" t="s">
        <v>724</v>
      </c>
      <c r="AA168" s="1033"/>
      <c r="AB168" s="1033"/>
      <c r="AC168" s="1033"/>
      <c r="AD168" s="1033"/>
      <c r="AE168" s="1033"/>
      <c r="AF168" s="1033"/>
      <c r="AG168" s="506"/>
      <c r="AH168" s="141"/>
    </row>
    <row r="169" spans="1:34" hidden="1" x14ac:dyDescent="0.25">
      <c r="A169" s="976">
        <f t="shared" si="31"/>
        <v>0</v>
      </c>
      <c r="X169" s="501"/>
      <c r="Y169" s="506"/>
      <c r="Z169" s="431" t="s">
        <v>92</v>
      </c>
      <c r="AA169" s="1034"/>
      <c r="AB169" s="1034"/>
      <c r="AC169" s="1034"/>
      <c r="AD169" s="1034"/>
      <c r="AE169" s="1034"/>
      <c r="AF169" s="1034"/>
      <c r="AG169" s="506"/>
      <c r="AH169" s="141"/>
    </row>
    <row r="170" spans="1:34" hidden="1" x14ac:dyDescent="0.25">
      <c r="A170" s="976">
        <f t="shared" si="31"/>
        <v>0</v>
      </c>
      <c r="X170" s="501"/>
      <c r="Y170" s="506"/>
      <c r="Z170" s="431" t="s">
        <v>725</v>
      </c>
      <c r="AA170" s="1035"/>
      <c r="AB170" s="1035"/>
      <c r="AC170" s="1035"/>
      <c r="AD170" s="1035"/>
      <c r="AE170" s="1035"/>
      <c r="AF170" s="1035"/>
      <c r="AG170" s="506"/>
      <c r="AH170" s="141"/>
    </row>
    <row r="171" spans="1:34" hidden="1" x14ac:dyDescent="0.25">
      <c r="A171" s="976">
        <f t="shared" si="31"/>
        <v>0</v>
      </c>
      <c r="X171" s="501"/>
      <c r="Y171" s="506"/>
      <c r="Z171" s="431" t="s">
        <v>98</v>
      </c>
      <c r="AA171" s="1035"/>
      <c r="AB171" s="1035"/>
      <c r="AC171" s="1035"/>
      <c r="AD171" s="1035"/>
      <c r="AE171" s="1035"/>
      <c r="AF171" s="1035"/>
      <c r="AG171" s="506"/>
      <c r="AH171" s="141"/>
    </row>
    <row r="172" spans="1:34" hidden="1" x14ac:dyDescent="0.25">
      <c r="A172" s="976">
        <f t="shared" si="31"/>
        <v>0</v>
      </c>
      <c r="X172" s="501"/>
      <c r="Y172" s="506"/>
      <c r="Z172" s="431" t="s">
        <v>1407</v>
      </c>
      <c r="AA172" s="1029"/>
      <c r="AB172" s="1029"/>
      <c r="AC172" s="1029"/>
      <c r="AD172" s="1029"/>
      <c r="AE172" s="1029"/>
      <c r="AF172" s="1029"/>
      <c r="AG172" s="506"/>
      <c r="AH172" s="141"/>
    </row>
    <row r="173" spans="1:34" hidden="1" x14ac:dyDescent="0.25">
      <c r="A173" s="976">
        <v>0</v>
      </c>
      <c r="X173" s="501"/>
      <c r="Y173" s="506"/>
      <c r="Z173" s="431" t="s">
        <v>730</v>
      </c>
      <c r="AA173" s="1035"/>
      <c r="AB173" s="1035"/>
      <c r="AC173" s="1035"/>
      <c r="AD173" s="1035"/>
      <c r="AE173" s="1035"/>
      <c r="AF173" s="1035"/>
      <c r="AG173" s="506"/>
      <c r="AH173" s="141"/>
    </row>
    <row r="174" spans="1:34" hidden="1" x14ac:dyDescent="0.25">
      <c r="A174" s="976">
        <v>0</v>
      </c>
      <c r="X174" s="501"/>
      <c r="Y174" s="506"/>
      <c r="Z174" s="431" t="s">
        <v>731</v>
      </c>
      <c r="AA174" s="1035"/>
      <c r="AB174" s="1035"/>
      <c r="AC174" s="1035"/>
      <c r="AD174" s="1035"/>
      <c r="AE174" s="1035"/>
      <c r="AF174" s="1035"/>
      <c r="AG174" s="506"/>
      <c r="AH174" s="141"/>
    </row>
    <row r="175" spans="1:34" hidden="1" x14ac:dyDescent="0.25">
      <c r="A175" s="976">
        <f>IF(LandAdjustmentGrid="Buckets",1,0)</f>
        <v>0</v>
      </c>
      <c r="X175" s="501"/>
      <c r="Y175" s="506"/>
      <c r="Z175" s="431" t="s">
        <v>726</v>
      </c>
      <c r="AA175" s="1036" t="str">
        <f t="shared" ref="AA175:AF175" si="33">CONCATENATE(AA173,"/",AA174)</f>
        <v>/</v>
      </c>
      <c r="AB175" s="1036" t="str">
        <f t="shared" si="33"/>
        <v>/</v>
      </c>
      <c r="AC175" s="1036" t="str">
        <f t="shared" si="33"/>
        <v>/</v>
      </c>
      <c r="AD175" s="1036" t="str">
        <f t="shared" si="33"/>
        <v>/</v>
      </c>
      <c r="AE175" s="1036" t="str">
        <f t="shared" si="33"/>
        <v>/</v>
      </c>
      <c r="AF175" s="1036" t="str">
        <f t="shared" si="33"/>
        <v>/</v>
      </c>
      <c r="AG175" s="506"/>
      <c r="AH175" s="141"/>
    </row>
    <row r="176" spans="1:34" hidden="1" x14ac:dyDescent="0.25">
      <c r="A176" s="976">
        <v>0</v>
      </c>
      <c r="X176" s="501"/>
      <c r="Y176" s="506"/>
      <c r="Z176" s="431" t="s">
        <v>732</v>
      </c>
      <c r="AA176" s="1029"/>
      <c r="AB176" s="1029"/>
      <c r="AC176" s="1029"/>
      <c r="AD176" s="1029"/>
      <c r="AE176" s="1029"/>
      <c r="AF176" s="1029"/>
      <c r="AG176" s="506"/>
      <c r="AH176" s="141"/>
    </row>
    <row r="177" spans="1:34" hidden="1" x14ac:dyDescent="0.25">
      <c r="A177" s="976">
        <v>0</v>
      </c>
      <c r="X177" s="501"/>
      <c r="Y177" s="506"/>
      <c r="Z177" s="431" t="s">
        <v>733</v>
      </c>
      <c r="AA177" s="1036"/>
      <c r="AB177" s="1036"/>
      <c r="AC177" s="1036"/>
      <c r="AD177" s="1036"/>
      <c r="AE177" s="1036"/>
      <c r="AF177" s="1036"/>
      <c r="AG177" s="506"/>
      <c r="AH177" s="141"/>
    </row>
    <row r="178" spans="1:34" hidden="1" x14ac:dyDescent="0.25">
      <c r="A178" s="976">
        <f>IF(LandAdjustmentGrid="Buckets",1,0)</f>
        <v>0</v>
      </c>
      <c r="X178" s="501"/>
      <c r="Y178" s="506"/>
      <c r="Z178" s="431" t="s">
        <v>849</v>
      </c>
      <c r="AA178" s="1036" t="str">
        <f t="shared" ref="AA178:AF178" si="34">CONCATENATE(AA176," feet on ",AA177)</f>
        <v xml:space="preserve"> feet on </v>
      </c>
      <c r="AB178" s="1036" t="str">
        <f t="shared" si="34"/>
        <v xml:space="preserve"> feet on </v>
      </c>
      <c r="AC178" s="1036" t="str">
        <f t="shared" si="34"/>
        <v xml:space="preserve"> feet on </v>
      </c>
      <c r="AD178" s="1036" t="str">
        <f t="shared" si="34"/>
        <v xml:space="preserve"> feet on </v>
      </c>
      <c r="AE178" s="1036" t="str">
        <f t="shared" si="34"/>
        <v xml:space="preserve"> feet on </v>
      </c>
      <c r="AF178" s="1036" t="str">
        <f t="shared" si="34"/>
        <v xml:space="preserve"> feet on </v>
      </c>
      <c r="AG178" s="506"/>
      <c r="AH178" s="141"/>
    </row>
    <row r="179" spans="1:34" hidden="1" x14ac:dyDescent="0.25">
      <c r="A179" s="976">
        <v>0</v>
      </c>
      <c r="X179" s="501"/>
      <c r="Y179" s="506"/>
      <c r="Z179" s="431" t="s">
        <v>734</v>
      </c>
      <c r="AA179" s="1029"/>
      <c r="AB179" s="1029"/>
      <c r="AC179" s="1029"/>
      <c r="AD179" s="1029"/>
      <c r="AE179" s="1029"/>
      <c r="AF179" s="1029"/>
      <c r="AG179" s="506"/>
      <c r="AH179" s="141"/>
    </row>
    <row r="180" spans="1:34" hidden="1" x14ac:dyDescent="0.25">
      <c r="A180" s="976">
        <v>0</v>
      </c>
      <c r="X180" s="501"/>
      <c r="Y180" s="506"/>
      <c r="Z180" s="431" t="s">
        <v>735</v>
      </c>
      <c r="AA180" s="1036"/>
      <c r="AB180" s="1036"/>
      <c r="AC180" s="1036"/>
      <c r="AD180" s="1036"/>
      <c r="AE180" s="1036"/>
      <c r="AF180" s="1036"/>
      <c r="AG180" s="506"/>
      <c r="AH180" s="141"/>
    </row>
    <row r="181" spans="1:34" hidden="1" x14ac:dyDescent="0.25">
      <c r="A181" s="976">
        <f>IF(LandAdjustmentGrid="Buckets",1,0)</f>
        <v>0</v>
      </c>
      <c r="X181" s="501"/>
      <c r="Y181" s="506"/>
      <c r="Z181" s="431" t="s">
        <v>727</v>
      </c>
      <c r="AA181" s="1036" t="str">
        <f t="shared" ref="AA181:AF181" si="35">CONCATENATE(AA179," feet on ",AA180)</f>
        <v xml:space="preserve"> feet on </v>
      </c>
      <c r="AB181" s="1036" t="str">
        <f t="shared" si="35"/>
        <v xml:space="preserve"> feet on </v>
      </c>
      <c r="AC181" s="1036" t="str">
        <f t="shared" si="35"/>
        <v xml:space="preserve"> feet on </v>
      </c>
      <c r="AD181" s="1036" t="str">
        <f t="shared" si="35"/>
        <v xml:space="preserve"> feet on </v>
      </c>
      <c r="AE181" s="1036" t="str">
        <f t="shared" si="35"/>
        <v xml:space="preserve"> feet on </v>
      </c>
      <c r="AF181" s="1036" t="str">
        <f t="shared" si="35"/>
        <v xml:space="preserve"> feet on </v>
      </c>
      <c r="AG181" s="506"/>
      <c r="AH181" s="141"/>
    </row>
    <row r="182" spans="1:34" hidden="1" x14ac:dyDescent="0.25">
      <c r="A182" s="976">
        <f>IF(LandAdjustmentGrid="Buckets",1,0)</f>
        <v>0</v>
      </c>
      <c r="X182" s="501"/>
      <c r="Y182" s="506"/>
      <c r="Z182" s="431" t="s">
        <v>728</v>
      </c>
      <c r="AA182" s="1036"/>
      <c r="AB182" s="1036"/>
      <c r="AC182" s="1036"/>
      <c r="AD182" s="1036"/>
      <c r="AE182" s="1036"/>
      <c r="AF182" s="1036"/>
      <c r="AG182" s="506"/>
      <c r="AH182" s="141"/>
    </row>
    <row r="183" spans="1:34" ht="15" hidden="1" thickBot="1" x14ac:dyDescent="0.3">
      <c r="A183" s="976">
        <f>IF(LandAdjustmentGrid="Buckets",1,0)</f>
        <v>0</v>
      </c>
      <c r="X183" s="501"/>
      <c r="Y183" s="506"/>
      <c r="Z183" s="551" t="s">
        <v>192</v>
      </c>
      <c r="AA183" s="1037"/>
      <c r="AB183" s="1037"/>
      <c r="AC183" s="1037"/>
      <c r="AD183" s="1037"/>
      <c r="AE183" s="1037"/>
      <c r="AF183" s="1037"/>
      <c r="AG183" s="506"/>
      <c r="AH183" s="141"/>
    </row>
    <row r="184" spans="1:34" x14ac:dyDescent="0.25">
      <c r="A184" s="707"/>
      <c r="X184" s="174"/>
      <c r="Y184" s="18"/>
      <c r="Z184" s="710" t="s">
        <v>1553</v>
      </c>
      <c r="AA184" s="1038"/>
      <c r="AB184" s="1038"/>
      <c r="AC184" s="1038"/>
      <c r="AD184" s="1038"/>
      <c r="AE184" s="1038"/>
      <c r="AF184" s="1038"/>
      <c r="AG184" s="18"/>
      <c r="AH184" s="74"/>
    </row>
    <row r="185" spans="1:34" x14ac:dyDescent="0.25">
      <c r="A185" s="707"/>
    </row>
    <row r="186" spans="1:34" x14ac:dyDescent="0.25">
      <c r="A186" s="707"/>
    </row>
    <row r="187" spans="1:34" x14ac:dyDescent="0.25">
      <c r="A187" s="707"/>
    </row>
    <row r="188" spans="1:34" x14ac:dyDescent="0.25">
      <c r="A188" s="707"/>
    </row>
  </sheetData>
  <printOptions horizontalCentered="1"/>
  <pageMargins left="0.5" right="0.5" top="0.75" bottom="0.75" header="0.3" footer="0.3"/>
  <pageSetup scale="85" orientation="landscape" r:id="rId1"/>
  <drawing r:id="rId2"/>
  <legacyDrawing r:id="rId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filterMode="1">
    <tabColor rgb="FF00B050"/>
    <pageSetUpPr fitToPage="1"/>
  </sheetPr>
  <dimension ref="A1:AL193"/>
  <sheetViews>
    <sheetView zoomScaleNormal="100" workbookViewId="0">
      <selection activeCell="D4" sqref="D4"/>
    </sheetView>
  </sheetViews>
  <sheetFormatPr defaultColWidth="8.85546875" defaultRowHeight="14.25" x14ac:dyDescent="0.25"/>
  <cols>
    <col min="1" max="1" width="5.7109375" style="243" customWidth="1"/>
    <col min="2" max="2" width="1.7109375" style="10" customWidth="1"/>
    <col min="3" max="3" width="0.85546875" style="10" customWidth="1"/>
    <col min="4" max="4" width="25.7109375" style="10" customWidth="1"/>
    <col min="5" max="5" width="16.28515625" style="13" customWidth="1"/>
    <col min="6" max="8" width="16.28515625" style="1839" customWidth="1"/>
    <col min="9" max="9" width="15.28515625" style="37" customWidth="1"/>
    <col min="10" max="10" width="0.85546875" style="13" customWidth="1"/>
    <col min="11" max="11" width="1.7109375" style="10" customWidth="1"/>
    <col min="12" max="12" width="5.7109375" style="10" customWidth="1"/>
    <col min="13" max="13" width="1.7109375" style="10" customWidth="1"/>
    <col min="14" max="14" width="0.85546875" style="10" customWidth="1"/>
    <col min="15" max="15" width="20.7109375" style="10" customWidth="1"/>
    <col min="16" max="16" width="17.7109375" style="10" customWidth="1"/>
    <col min="17" max="17" width="1.7109375" style="10" customWidth="1"/>
    <col min="18" max="18" width="12.7109375" style="10" customWidth="1"/>
    <col min="19" max="19" width="1.7109375" style="10" customWidth="1"/>
    <col min="20" max="20" width="13.7109375" style="10" customWidth="1"/>
    <col min="21" max="21" width="1.7109375" style="10" customWidth="1"/>
    <col min="22" max="22" width="13.7109375" style="10" customWidth="1"/>
    <col min="23" max="23" width="0.85546875" style="10" customWidth="1"/>
    <col min="24" max="24" width="1.7109375" style="10" customWidth="1"/>
    <col min="25" max="25" width="5.7109375" style="10" customWidth="1"/>
    <col min="26" max="27" width="8.7109375" style="10" customWidth="1"/>
    <col min="28" max="28" width="5.7109375" style="10" customWidth="1"/>
    <col min="29" max="29" width="1.7109375" style="10" customWidth="1"/>
    <col min="30" max="30" width="0.85546875" style="10" customWidth="1"/>
    <col min="31" max="31" width="35.7109375" style="10" customWidth="1"/>
    <col min="32" max="32" width="2.7109375" style="10" customWidth="1"/>
    <col min="33" max="33" width="8.7109375" style="10" customWidth="1"/>
    <col min="34" max="34" width="0.85546875" style="10" customWidth="1"/>
    <col min="35" max="35" width="1.7109375" style="10" customWidth="1"/>
    <col min="36" max="36" width="5.7109375" style="10" customWidth="1"/>
    <col min="37" max="16384" width="8.85546875" style="10"/>
  </cols>
  <sheetData>
    <row r="1" spans="1:17" ht="60" customHeight="1" x14ac:dyDescent="0.25">
      <c r="L1" s="32"/>
      <c r="M1" s="32"/>
      <c r="N1" s="32"/>
      <c r="O1" s="32"/>
      <c r="P1" s="32"/>
      <c r="Q1" s="32"/>
    </row>
    <row r="2" spans="1:17" ht="27" customHeight="1" x14ac:dyDescent="0.25">
      <c r="E2" s="667"/>
      <c r="L2" s="32"/>
      <c r="M2" s="32"/>
      <c r="N2" s="32"/>
      <c r="O2" s="32"/>
      <c r="P2" s="32"/>
      <c r="Q2" s="32"/>
    </row>
    <row r="3" spans="1:17" ht="27" customHeight="1" x14ac:dyDescent="0.25">
      <c r="E3" s="667"/>
      <c r="L3" s="32"/>
      <c r="M3" s="32"/>
      <c r="N3" s="32"/>
      <c r="O3" s="32"/>
      <c r="P3" s="32"/>
      <c r="Q3" s="32"/>
    </row>
    <row r="4" spans="1:17" s="11" customFormat="1" ht="27" customHeight="1" thickBot="1" x14ac:dyDescent="0.3">
      <c r="A4" s="243"/>
      <c r="E4" s="667"/>
      <c r="F4" s="1841"/>
      <c r="G4" s="1841"/>
      <c r="H4" s="1841"/>
      <c r="I4" s="124"/>
      <c r="J4" s="41"/>
      <c r="L4" s="32"/>
      <c r="M4" s="32"/>
      <c r="N4" s="32"/>
      <c r="O4" s="32"/>
      <c r="P4" s="32"/>
      <c r="Q4" s="32"/>
    </row>
    <row r="5" spans="1:17" ht="15" customHeight="1" x14ac:dyDescent="0.25">
      <c r="A5" s="4146" t="s">
        <v>1262</v>
      </c>
      <c r="B5" s="94"/>
      <c r="C5" s="72"/>
      <c r="D5" s="72"/>
      <c r="E5" s="77"/>
      <c r="F5" s="1842"/>
      <c r="G5" s="1842"/>
      <c r="H5" s="1842"/>
      <c r="I5" s="1000"/>
      <c r="J5" s="77"/>
      <c r="K5" s="73"/>
      <c r="L5" s="32"/>
      <c r="M5" s="32"/>
      <c r="N5" s="32"/>
      <c r="O5" s="32"/>
      <c r="P5" s="32"/>
      <c r="Q5" s="32"/>
    </row>
    <row r="6" spans="1:17" ht="16.5" customHeight="1" x14ac:dyDescent="0.25">
      <c r="A6" s="4146"/>
      <c r="B6" s="16"/>
      <c r="C6" s="92"/>
      <c r="D6" s="514" t="s">
        <v>1002</v>
      </c>
      <c r="E6" s="93"/>
      <c r="F6" s="1843">
        <v>1</v>
      </c>
      <c r="G6" s="1843">
        <v>2</v>
      </c>
      <c r="H6" s="1843">
        <v>3</v>
      </c>
      <c r="I6" s="98">
        <v>4</v>
      </c>
      <c r="J6" s="98"/>
      <c r="K6" s="74"/>
      <c r="L6" s="32"/>
      <c r="M6" s="32"/>
      <c r="N6" s="32"/>
      <c r="O6" s="32"/>
      <c r="P6" s="32"/>
      <c r="Q6" s="32"/>
    </row>
    <row r="7" spans="1:17" ht="15" customHeight="1" x14ac:dyDescent="0.25">
      <c r="A7" s="4146"/>
      <c r="B7" s="16">
        <v>300</v>
      </c>
      <c r="C7" s="3760"/>
      <c r="D7" s="3871"/>
      <c r="E7" s="3872" t="s">
        <v>116</v>
      </c>
      <c r="F7" s="3873">
        <f t="shared" ref="F7:I7" si="0">F6</f>
        <v>1</v>
      </c>
      <c r="G7" s="3873">
        <f t="shared" si="0"/>
        <v>2</v>
      </c>
      <c r="H7" s="3873">
        <f t="shared" si="0"/>
        <v>3</v>
      </c>
      <c r="I7" s="3874">
        <f t="shared" si="0"/>
        <v>4</v>
      </c>
      <c r="J7" s="3875"/>
      <c r="K7" s="74"/>
      <c r="L7" s="32"/>
      <c r="M7" s="4145"/>
      <c r="N7" s="32"/>
      <c r="O7" s="32"/>
      <c r="P7" s="32"/>
      <c r="Q7" s="32"/>
    </row>
    <row r="8" spans="1:17" ht="4.9000000000000004" customHeight="1" x14ac:dyDescent="0.25">
      <c r="A8" s="4146"/>
      <c r="B8" s="16"/>
      <c r="C8" s="92"/>
      <c r="D8" s="92"/>
      <c r="E8" s="93"/>
      <c r="F8" s="3255"/>
      <c r="G8" s="3255"/>
      <c r="H8" s="3255"/>
      <c r="I8" s="3256"/>
      <c r="J8" s="93"/>
      <c r="K8" s="74"/>
      <c r="L8" s="32"/>
      <c r="M8" s="4145"/>
      <c r="N8" s="32"/>
      <c r="O8" s="32"/>
      <c r="P8" s="32"/>
      <c r="Q8" s="32"/>
    </row>
    <row r="9" spans="1:17" ht="15" hidden="1" customHeight="1" x14ac:dyDescent="0.25">
      <c r="A9" s="15">
        <v>1</v>
      </c>
      <c r="B9" s="16"/>
      <c r="C9" s="92"/>
      <c r="D9" s="742" t="s">
        <v>703</v>
      </c>
      <c r="E9" s="517"/>
      <c r="F9" s="3257">
        <v>1627827</v>
      </c>
      <c r="G9" s="3257">
        <v>1627822</v>
      </c>
      <c r="H9" s="3257">
        <v>1698162</v>
      </c>
      <c r="I9" s="3258">
        <v>1645647</v>
      </c>
      <c r="J9" s="93"/>
      <c r="K9" s="74"/>
      <c r="L9" s="32"/>
      <c r="M9" s="4145"/>
      <c r="N9" s="32"/>
      <c r="O9" s="32"/>
      <c r="P9" s="32"/>
      <c r="Q9" s="32"/>
    </row>
    <row r="10" spans="1:17" x14ac:dyDescent="0.25">
      <c r="A10" s="972">
        <v>1</v>
      </c>
      <c r="B10" s="16"/>
      <c r="C10" s="92"/>
      <c r="D10" s="527" t="s">
        <v>830</v>
      </c>
      <c r="E10" s="1039">
        <v>44742</v>
      </c>
      <c r="F10" s="3259">
        <v>44739</v>
      </c>
      <c r="G10" s="3259">
        <v>44624</v>
      </c>
      <c r="H10" s="3259">
        <v>44714</v>
      </c>
      <c r="I10" s="3260">
        <v>44568</v>
      </c>
      <c r="J10" s="3261"/>
      <c r="K10" s="74"/>
      <c r="L10" s="32"/>
      <c r="M10" s="32"/>
      <c r="N10" s="32"/>
      <c r="O10" s="150" t="s">
        <v>1022</v>
      </c>
      <c r="P10" s="150"/>
      <c r="Q10" s="150"/>
    </row>
    <row r="11" spans="1:17" ht="57.75" hidden="1" thickBot="1" x14ac:dyDescent="0.3">
      <c r="A11" s="972">
        <f>IF(O11="Show",1,0)</f>
        <v>0</v>
      </c>
      <c r="B11" s="16"/>
      <c r="C11" s="92"/>
      <c r="D11" s="527" t="s">
        <v>0</v>
      </c>
      <c r="E11" s="2874" t="str">
        <f>Subject_PropertyName</f>
        <v>FRANKLIN INDUSTRIAL GROUP LTD</v>
      </c>
      <c r="F11" s="1783" t="s">
        <v>19864</v>
      </c>
      <c r="G11" s="1783" t="s">
        <v>19864</v>
      </c>
      <c r="H11" s="1783" t="s">
        <v>19886</v>
      </c>
      <c r="I11" s="1002" t="s">
        <v>19896</v>
      </c>
      <c r="J11" s="3261"/>
      <c r="K11" s="74"/>
      <c r="L11" s="32"/>
      <c r="M11" s="32"/>
      <c r="N11" s="32"/>
      <c r="O11" s="801" t="s">
        <v>1013</v>
      </c>
      <c r="P11" s="395"/>
      <c r="Q11" s="395"/>
    </row>
    <row r="12" spans="1:17" hidden="1" x14ac:dyDescent="0.25">
      <c r="A12" s="972">
        <f>IF(D12="",0,1)</f>
        <v>0</v>
      </c>
      <c r="B12" s="16"/>
      <c r="C12" s="92"/>
      <c r="D12" s="527"/>
      <c r="E12" s="423"/>
      <c r="F12" s="1783"/>
      <c r="G12" s="1783"/>
      <c r="H12" s="1783"/>
      <c r="I12" s="1002"/>
      <c r="J12" s="3261"/>
      <c r="K12" s="74"/>
      <c r="L12" s="32"/>
      <c r="M12" s="32"/>
      <c r="N12" s="32"/>
      <c r="O12" s="13"/>
      <c r="P12" s="13"/>
      <c r="Q12" s="13"/>
    </row>
    <row r="13" spans="1:17" hidden="1" x14ac:dyDescent="0.25">
      <c r="A13" s="972">
        <f>IF(D13="",0,1)</f>
        <v>0</v>
      </c>
      <c r="B13" s="16"/>
      <c r="C13" s="92"/>
      <c r="D13" s="527"/>
      <c r="E13" s="423"/>
      <c r="F13" s="1783"/>
      <c r="G13" s="1783"/>
      <c r="H13" s="1783"/>
      <c r="I13" s="1002"/>
      <c r="J13" s="3261"/>
      <c r="K13" s="74"/>
      <c r="L13" s="32"/>
      <c r="M13" s="32"/>
      <c r="N13" s="32"/>
      <c r="O13" s="13"/>
      <c r="P13" s="13"/>
      <c r="Q13" s="13"/>
    </row>
    <row r="14" spans="1:17" x14ac:dyDescent="0.25">
      <c r="A14" s="972">
        <v>1</v>
      </c>
      <c r="B14" s="16"/>
      <c r="C14" s="92"/>
      <c r="D14" s="527" t="s">
        <v>1270</v>
      </c>
      <c r="E14" s="3254"/>
      <c r="F14" s="3262">
        <v>8150000</v>
      </c>
      <c r="G14" s="3262">
        <v>7000000</v>
      </c>
      <c r="H14" s="3262">
        <v>9565000</v>
      </c>
      <c r="I14" s="3207">
        <v>5750000</v>
      </c>
      <c r="J14" s="3261"/>
      <c r="K14" s="74"/>
      <c r="L14" s="32"/>
      <c r="M14" s="32"/>
      <c r="N14" s="32"/>
      <c r="O14" s="32"/>
      <c r="P14" s="32"/>
      <c r="Q14" s="32"/>
    </row>
    <row r="15" spans="1:17" x14ac:dyDescent="0.25">
      <c r="A15" s="972">
        <f>IF(LandUnitDisplay="Usable Acres",1,0)</f>
        <v>1</v>
      </c>
      <c r="B15" s="16"/>
      <c r="C15" s="92"/>
      <c r="D15" s="742" t="s">
        <v>836</v>
      </c>
      <c r="E15" s="1661">
        <f>Subject_LandPrimary_UsableAcres</f>
        <v>0.99173553719008267</v>
      </c>
      <c r="F15" s="3263">
        <v>8.7129999999999992</v>
      </c>
      <c r="G15" s="3263">
        <v>9.9633000000000003</v>
      </c>
      <c r="H15" s="3263">
        <v>12.2</v>
      </c>
      <c r="I15" s="3264">
        <v>7.14</v>
      </c>
      <c r="J15" s="93"/>
      <c r="K15" s="74"/>
      <c r="L15" s="32"/>
      <c r="M15" s="32"/>
      <c r="N15" s="32"/>
      <c r="O15" s="32"/>
      <c r="P15" s="32"/>
      <c r="Q15" s="32"/>
    </row>
    <row r="16" spans="1:17" hidden="1" x14ac:dyDescent="0.25">
      <c r="A16" s="975">
        <f>IF(LandUnitDisplay="Usable Square Feet",1,0)</f>
        <v>0</v>
      </c>
      <c r="B16" s="16"/>
      <c r="C16" s="92"/>
      <c r="D16" s="742" t="s">
        <v>837</v>
      </c>
      <c r="E16" s="1662">
        <f>E15*43560</f>
        <v>43200</v>
      </c>
      <c r="F16" s="3265">
        <v>10660</v>
      </c>
      <c r="G16" s="3265">
        <v>30971</v>
      </c>
      <c r="H16" s="3265">
        <v>66930</v>
      </c>
      <c r="I16" s="3266">
        <v>54142</v>
      </c>
      <c r="J16" s="3267"/>
      <c r="K16" s="74"/>
      <c r="L16" s="32"/>
      <c r="M16" s="32"/>
      <c r="N16" s="32"/>
      <c r="O16" s="32"/>
      <c r="P16" s="32"/>
      <c r="Q16" s="32"/>
    </row>
    <row r="17" spans="1:20" hidden="1" x14ac:dyDescent="0.25">
      <c r="A17" s="972">
        <f>IF(LandUnitDisplay="Gross Acres",1,0)</f>
        <v>0</v>
      </c>
      <c r="B17" s="16"/>
      <c r="C17" s="92"/>
      <c r="D17" s="742" t="s">
        <v>834</v>
      </c>
      <c r="E17" s="1663">
        <f>Subject_LandPrimary_GrossAcres</f>
        <v>0.99173553719008267</v>
      </c>
      <c r="F17" s="3263">
        <v>0.24471999999999999</v>
      </c>
      <c r="G17" s="3263">
        <v>0.71099999999999997</v>
      </c>
      <c r="H17" s="3263">
        <v>1.5365</v>
      </c>
      <c r="I17" s="3264">
        <v>1.2429300000000001</v>
      </c>
      <c r="J17" s="3267"/>
      <c r="K17" s="74"/>
      <c r="L17" s="32"/>
      <c r="M17" s="32"/>
      <c r="N17" s="32"/>
      <c r="O17" s="32"/>
      <c r="P17" s="32"/>
      <c r="Q17" s="32"/>
    </row>
    <row r="18" spans="1:20" hidden="1" x14ac:dyDescent="0.25">
      <c r="A18" s="975">
        <f>IF(LandUnitDisplay="Gross Square Feet",1,0)</f>
        <v>0</v>
      </c>
      <c r="B18" s="16"/>
      <c r="C18" s="92"/>
      <c r="D18" s="742" t="s">
        <v>835</v>
      </c>
      <c r="E18" s="1662">
        <f>E17*43560</f>
        <v>43200</v>
      </c>
      <c r="F18" s="3265">
        <v>10660</v>
      </c>
      <c r="G18" s="3265">
        <v>30971</v>
      </c>
      <c r="H18" s="3265">
        <v>66930</v>
      </c>
      <c r="I18" s="3266">
        <v>54142</v>
      </c>
      <c r="J18" s="3267"/>
      <c r="K18" s="74"/>
      <c r="L18" s="32"/>
      <c r="M18" s="32"/>
      <c r="N18" s="32"/>
      <c r="O18" s="32"/>
      <c r="P18" s="32"/>
      <c r="Q18" s="32"/>
    </row>
    <row r="19" spans="1:20" hidden="1" x14ac:dyDescent="0.25">
      <c r="A19" s="972">
        <f>IF(LandUnitDisplay="Front Feet",1,0)</f>
        <v>0</v>
      </c>
      <c r="B19" s="16"/>
      <c r="C19" s="92"/>
      <c r="D19" s="742" t="s">
        <v>846</v>
      </c>
      <c r="E19" s="1662">
        <f>Subject_PrimaryFrontageFeet</f>
        <v>125</v>
      </c>
      <c r="F19" s="3265">
        <v>83</v>
      </c>
      <c r="G19" s="3265">
        <v>200</v>
      </c>
      <c r="H19" s="3265">
        <v>260</v>
      </c>
      <c r="I19" s="3266"/>
      <c r="J19" s="3267"/>
      <c r="K19" s="74"/>
      <c r="L19" s="32"/>
      <c r="M19" s="32"/>
      <c r="N19" s="32"/>
      <c r="O19" s="32"/>
      <c r="P19" s="32"/>
      <c r="Q19" s="32"/>
    </row>
    <row r="20" spans="1:20" hidden="1" x14ac:dyDescent="0.25">
      <c r="A20" s="972">
        <f>IF(LandUnitDisplay="Proposed square foot",1,0)</f>
        <v>0</v>
      </c>
      <c r="B20" s="16"/>
      <c r="C20" s="92"/>
      <c r="D20" s="742" t="s">
        <v>841</v>
      </c>
      <c r="E20" s="1662">
        <f>Subject_GBA</f>
        <v>220514</v>
      </c>
      <c r="F20" s="3265" t="s">
        <v>3</v>
      </c>
      <c r="G20" s="3265" t="s">
        <v>3</v>
      </c>
      <c r="H20" s="3265" t="s">
        <v>3</v>
      </c>
      <c r="I20" s="3266" t="s">
        <v>3</v>
      </c>
      <c r="J20" s="3267"/>
      <c r="K20" s="74"/>
      <c r="L20" s="32"/>
      <c r="M20" s="32"/>
      <c r="N20" s="32"/>
      <c r="O20" s="32"/>
      <c r="P20" s="32"/>
      <c r="Q20" s="32"/>
    </row>
    <row r="21" spans="1:20" hidden="1" x14ac:dyDescent="0.25">
      <c r="A21" s="972">
        <f>IF(LandUnitDisplay="Lots",1,0)</f>
        <v>0</v>
      </c>
      <c r="B21" s="16"/>
      <c r="C21" s="92"/>
      <c r="D21" s="742" t="s">
        <v>1024</v>
      </c>
      <c r="E21" s="1662">
        <f>Subject_Lots</f>
        <v>1</v>
      </c>
      <c r="F21" s="3265">
        <v>1</v>
      </c>
      <c r="G21" s="3265"/>
      <c r="H21" s="3265">
        <v>1</v>
      </c>
      <c r="I21" s="3266">
        <v>1</v>
      </c>
      <c r="J21" s="3267"/>
      <c r="K21" s="74"/>
      <c r="L21" s="32"/>
      <c r="M21" s="32"/>
      <c r="N21" s="32"/>
      <c r="O21" s="32"/>
      <c r="P21" s="32"/>
      <c r="Q21" s="32"/>
    </row>
    <row r="22" spans="1:20" hidden="1" x14ac:dyDescent="0.25">
      <c r="A22" s="972">
        <f>IF(LandUnitDisplay="Proposed Units",1,0)</f>
        <v>0</v>
      </c>
      <c r="B22" s="16"/>
      <c r="C22" s="92"/>
      <c r="D22" s="742" t="s">
        <v>1059</v>
      </c>
      <c r="E22" s="1662">
        <f>Subject_ProposedUnits</f>
        <v>2</v>
      </c>
      <c r="F22" s="3265" t="s">
        <v>3</v>
      </c>
      <c r="G22" s="3265" t="s">
        <v>3</v>
      </c>
      <c r="H22" s="3265" t="s">
        <v>3</v>
      </c>
      <c r="I22" s="3266" t="s">
        <v>3</v>
      </c>
      <c r="J22" s="3267"/>
      <c r="K22" s="74"/>
      <c r="L22" s="32"/>
      <c r="M22" s="32"/>
      <c r="N22" s="32"/>
      <c r="O22" s="32"/>
      <c r="P22" s="32"/>
      <c r="Q22" s="32"/>
    </row>
    <row r="23" spans="1:20" hidden="1" x14ac:dyDescent="0.25">
      <c r="A23" s="972">
        <f>IF(dpUnit_Land="per Usable Acre",1,0)</f>
        <v>0</v>
      </c>
      <c r="B23" s="16"/>
      <c r="C23" s="92"/>
      <c r="D23" s="3268" t="s">
        <v>1295</v>
      </c>
      <c r="E23" s="3269"/>
      <c r="F23" s="3270">
        <f t="shared" ref="F23:F30" si="1">F$14/F15</f>
        <v>935383.9091013429</v>
      </c>
      <c r="G23" s="3270">
        <f t="shared" ref="G23:H30" si="2">G$14/G15</f>
        <v>702578.46295905975</v>
      </c>
      <c r="H23" s="3270">
        <f t="shared" si="2"/>
        <v>784016.39344262297</v>
      </c>
      <c r="I23" s="3271">
        <f t="shared" ref="I23:I30" si="3">I$14/I15</f>
        <v>805322.12885154062</v>
      </c>
      <c r="J23" s="3272"/>
      <c r="K23" s="74"/>
      <c r="L23" s="32"/>
      <c r="M23" s="32"/>
      <c r="N23" s="32"/>
      <c r="O23" s="32"/>
      <c r="P23" s="32"/>
      <c r="Q23" s="32"/>
    </row>
    <row r="24" spans="1:20" x14ac:dyDescent="0.25">
      <c r="A24" s="972">
        <f>IF(dpUnit_Land="per Usable Square Foot",1,0)</f>
        <v>1</v>
      </c>
      <c r="B24" s="16"/>
      <c r="C24" s="92"/>
      <c r="D24" s="3268" t="s">
        <v>1296</v>
      </c>
      <c r="E24" s="3273"/>
      <c r="F24" s="3274">
        <v>21.47</v>
      </c>
      <c r="G24" s="3274">
        <v>16.13</v>
      </c>
      <c r="H24" s="3274">
        <v>18</v>
      </c>
      <c r="I24" s="3275">
        <v>18.489999999999998</v>
      </c>
      <c r="J24" s="3276"/>
      <c r="K24" s="74"/>
      <c r="L24" s="32"/>
      <c r="M24" s="32"/>
      <c r="N24" s="32"/>
      <c r="O24" s="32"/>
      <c r="P24" s="32"/>
      <c r="Q24" s="32"/>
      <c r="R24" s="10">
        <f>9.963*43560</f>
        <v>433988.27999999997</v>
      </c>
      <c r="T24" s="10">
        <f>+G14/R24</f>
        <v>16.12946782802522</v>
      </c>
    </row>
    <row r="25" spans="1:20" hidden="1" x14ac:dyDescent="0.25">
      <c r="A25" s="972">
        <f>IF(dpUnit_Land="per Gross Acre",1,0)</f>
        <v>0</v>
      </c>
      <c r="B25" s="16"/>
      <c r="C25" s="92"/>
      <c r="D25" s="3268" t="s">
        <v>1297</v>
      </c>
      <c r="E25" s="3273"/>
      <c r="F25" s="3270">
        <f t="shared" si="1"/>
        <v>33303367.113435764</v>
      </c>
      <c r="G25" s="3270">
        <f t="shared" si="2"/>
        <v>9845288.3263009842</v>
      </c>
      <c r="H25" s="3270">
        <f t="shared" si="2"/>
        <v>6225187.1135698017</v>
      </c>
      <c r="I25" s="3271">
        <f t="shared" si="3"/>
        <v>4626165.5925916983</v>
      </c>
      <c r="J25" s="3276"/>
      <c r="K25" s="74"/>
      <c r="L25" s="32"/>
      <c r="M25" s="32"/>
      <c r="N25" s="32"/>
      <c r="O25" s="32"/>
      <c r="P25" s="32"/>
      <c r="Q25" s="32"/>
    </row>
    <row r="26" spans="1:20" hidden="1" x14ac:dyDescent="0.25">
      <c r="A26" s="972">
        <f>IF(dpUnit_Land="per Gross Square Foot",1,0)</f>
        <v>0</v>
      </c>
      <c r="B26" s="16"/>
      <c r="C26" s="92"/>
      <c r="D26" s="3268" t="s">
        <v>1298</v>
      </c>
      <c r="E26" s="3273"/>
      <c r="F26" s="3274">
        <f t="shared" si="1"/>
        <v>764.54033771106947</v>
      </c>
      <c r="G26" s="3274">
        <f t="shared" si="2"/>
        <v>226.01788770139808</v>
      </c>
      <c r="H26" s="3274">
        <f t="shared" si="2"/>
        <v>142.91050351113103</v>
      </c>
      <c r="I26" s="3275">
        <f t="shared" si="3"/>
        <v>106.20220900594732</v>
      </c>
      <c r="J26" s="3276"/>
      <c r="K26" s="74"/>
      <c r="L26" s="32"/>
      <c r="M26" s="32"/>
      <c r="N26" s="32"/>
      <c r="O26" s="32"/>
      <c r="P26" s="32"/>
      <c r="Q26" s="32"/>
    </row>
    <row r="27" spans="1:20" hidden="1" x14ac:dyDescent="0.25">
      <c r="A27" s="972">
        <f>IF(dpUnit_Land="per Front Foot",1,0)</f>
        <v>0</v>
      </c>
      <c r="B27" s="16"/>
      <c r="C27" s="92"/>
      <c r="D27" s="3268" t="s">
        <v>1299</v>
      </c>
      <c r="E27" s="3273"/>
      <c r="F27" s="3270">
        <f t="shared" si="1"/>
        <v>98192.77108433735</v>
      </c>
      <c r="G27" s="3270">
        <f t="shared" si="2"/>
        <v>35000</v>
      </c>
      <c r="H27" s="3270">
        <f t="shared" si="2"/>
        <v>36788.461538461539</v>
      </c>
      <c r="I27" s="3271" t="e">
        <f t="shared" si="3"/>
        <v>#DIV/0!</v>
      </c>
      <c r="J27" s="3276"/>
      <c r="K27" s="74"/>
      <c r="L27" s="32"/>
      <c r="M27" s="32"/>
      <c r="N27" s="32"/>
      <c r="O27" s="32"/>
      <c r="P27" s="32"/>
      <c r="Q27" s="32"/>
    </row>
    <row r="28" spans="1:20" hidden="1" x14ac:dyDescent="0.25">
      <c r="A28" s="972">
        <f>IF(dpUnit_Land="per Proposed Square Foot",1,0)</f>
        <v>0</v>
      </c>
      <c r="B28" s="16"/>
      <c r="C28" s="92"/>
      <c r="D28" s="3268" t="s">
        <v>1300</v>
      </c>
      <c r="E28" s="3273"/>
      <c r="F28" s="3274" t="e">
        <f t="shared" si="1"/>
        <v>#VALUE!</v>
      </c>
      <c r="G28" s="3274" t="e">
        <f t="shared" si="2"/>
        <v>#VALUE!</v>
      </c>
      <c r="H28" s="3274" t="e">
        <f t="shared" si="2"/>
        <v>#VALUE!</v>
      </c>
      <c r="I28" s="3275" t="e">
        <f t="shared" si="3"/>
        <v>#VALUE!</v>
      </c>
      <c r="J28" s="3276"/>
      <c r="K28" s="74"/>
      <c r="L28" s="32"/>
      <c r="M28" s="32"/>
      <c r="N28" s="32"/>
      <c r="O28" s="32"/>
      <c r="P28" s="32"/>
      <c r="Q28" s="32"/>
    </row>
    <row r="29" spans="1:20" hidden="1" x14ac:dyDescent="0.25">
      <c r="A29" s="972">
        <f>IF(dpUnit_Land="per Lot",1,0)</f>
        <v>0</v>
      </c>
      <c r="B29" s="16"/>
      <c r="C29" s="92"/>
      <c r="D29" s="3268" t="s">
        <v>1301</v>
      </c>
      <c r="E29" s="3273"/>
      <c r="F29" s="3270">
        <f t="shared" si="1"/>
        <v>8150000</v>
      </c>
      <c r="G29" s="3270" t="e">
        <f t="shared" si="2"/>
        <v>#DIV/0!</v>
      </c>
      <c r="H29" s="3270">
        <f t="shared" si="2"/>
        <v>9565000</v>
      </c>
      <c r="I29" s="3271">
        <f t="shared" si="3"/>
        <v>5750000</v>
      </c>
      <c r="J29" s="3276"/>
      <c r="K29" s="74"/>
      <c r="L29" s="32"/>
      <c r="M29" s="32"/>
      <c r="N29" s="32"/>
      <c r="O29" s="32"/>
      <c r="P29" s="32"/>
      <c r="Q29" s="32"/>
    </row>
    <row r="30" spans="1:20" hidden="1" x14ac:dyDescent="0.25">
      <c r="A30" s="972">
        <f>IF(dpUnit_Land="per Proposed Unit",1,0)</f>
        <v>0</v>
      </c>
      <c r="B30" s="16"/>
      <c r="C30" s="92"/>
      <c r="D30" s="3268" t="s">
        <v>1302</v>
      </c>
      <c r="E30" s="3273"/>
      <c r="F30" s="3270" t="e">
        <f t="shared" si="1"/>
        <v>#VALUE!</v>
      </c>
      <c r="G30" s="3270" t="e">
        <f t="shared" si="2"/>
        <v>#VALUE!</v>
      </c>
      <c r="H30" s="3270" t="e">
        <f t="shared" si="2"/>
        <v>#VALUE!</v>
      </c>
      <c r="I30" s="3271" t="e">
        <f t="shared" si="3"/>
        <v>#VALUE!</v>
      </c>
      <c r="J30" s="3276"/>
      <c r="K30" s="74"/>
      <c r="L30" s="32"/>
      <c r="M30" s="32"/>
      <c r="N30" s="32"/>
      <c r="O30" s="32"/>
      <c r="P30" s="32"/>
      <c r="Q30" s="32"/>
    </row>
    <row r="31" spans="1:20" ht="4.9000000000000004" customHeight="1" x14ac:dyDescent="0.25">
      <c r="A31" s="972">
        <v>1</v>
      </c>
      <c r="B31" s="16"/>
      <c r="C31" s="92"/>
      <c r="D31" s="92"/>
      <c r="E31" s="93"/>
      <c r="F31" s="3277"/>
      <c r="G31" s="3277"/>
      <c r="H31" s="3277"/>
      <c r="I31" s="3278"/>
      <c r="J31" s="93"/>
      <c r="K31" s="74"/>
      <c r="L31" s="32"/>
      <c r="M31" s="32"/>
      <c r="N31" s="32"/>
      <c r="O31" s="32"/>
      <c r="P31" s="32"/>
      <c r="Q31" s="32"/>
    </row>
    <row r="32" spans="1:20" x14ac:dyDescent="0.25">
      <c r="A32" s="972">
        <v>1</v>
      </c>
      <c r="B32" s="16"/>
      <c r="C32" s="92"/>
      <c r="D32" s="3268" t="s">
        <v>161</v>
      </c>
      <c r="E32" s="93"/>
      <c r="F32" s="3279"/>
      <c r="G32" s="3279"/>
      <c r="H32" s="3279"/>
      <c r="I32" s="3193"/>
      <c r="J32" s="3280"/>
      <c r="K32" s="74"/>
      <c r="L32" s="32"/>
      <c r="M32" s="32"/>
      <c r="N32" s="32"/>
      <c r="O32" s="32"/>
      <c r="P32" s="32"/>
      <c r="Q32" s="32"/>
    </row>
    <row r="33" spans="1:17" x14ac:dyDescent="0.25">
      <c r="A33" s="972">
        <v>1</v>
      </c>
      <c r="B33" s="16"/>
      <c r="C33" s="92"/>
      <c r="D33" s="1493" t="s">
        <v>164</v>
      </c>
      <c r="E33" s="1664" t="str">
        <f>IF(Salient_Sort_NumValues=3,Salient_Sort_Interest_3,IF(Salient_Sort_NumValues=2,Salient_Sort_Interest_2,Salient_Sort_Interest_1))</f>
        <v>Fee Simple</v>
      </c>
      <c r="F33" s="3281" t="s">
        <v>18260</v>
      </c>
      <c r="G33" s="3281" t="s">
        <v>18260</v>
      </c>
      <c r="H33" s="3281" t="s">
        <v>18260</v>
      </c>
      <c r="I33" s="3282" t="s">
        <v>18260</v>
      </c>
      <c r="J33" s="3280"/>
      <c r="K33" s="74"/>
      <c r="L33" s="32"/>
      <c r="M33" s="32"/>
      <c r="N33" s="32"/>
      <c r="O33" s="32"/>
      <c r="P33" s="32"/>
      <c r="Q33" s="32"/>
    </row>
    <row r="34" spans="1:17" hidden="1" x14ac:dyDescent="0.25">
      <c r="A34" s="972">
        <f>IF(SUM(Land_PropertyRightsRange)=0,0,1)</f>
        <v>0</v>
      </c>
      <c r="B34" s="16"/>
      <c r="C34" s="92"/>
      <c r="D34" s="3283" t="s">
        <v>174</v>
      </c>
      <c r="E34" s="93"/>
      <c r="F34" s="3284">
        <f t="shared" ref="F34:I34" si="4">IF(Land_AdjType&lt;&gt;"$ per Unit",IF(AND(F35=0,F36=0,F37=0),0,IF(F35&lt;&gt;0,F35,IF(F36&lt;&gt;0,IF(dpUnit_Land="Per Usable Acre",(F36/F$15)/F$23,IF(dpUnit_Land="Per Gross Acre",(F36/F$17)/F$25,IF(dpUnit_Land="Per Usable Square Foot",(F36/F$16)/F$24,IF(dpUnit_Land="Per Gross Square Foot",(F36/F$18)/F$26,IF(dpUnit_Land="Per Front Foot",(F36/F$19)/F$27,IF(dpUnit_Land="Per Proposed Square Foot",(F36/F$20)/F$28,IF(dpUnit_Land="Per Lot",(F36/F$21)/F$29,(F36/F$22)/F$30))))))),IF(dpUnit_Land="Per Usable Acre",F37/F$23,IF(dpUnit_Land="Per Gross Acre",F37/F$25,IF(dpUnit_Land="Per Usable Square Foot",F37/F$24,IF(dpUnit_Land="Per Gross Square Foot",F37/F$26,IF(dpUnit_Land="Per Front Foot",F37/F$27,IF(dpUnit_Land="Per Proposed Square Foot",F37/F$28,IF(dpUnit_Land="Per Lot",F37/F$29,F37/F$30)))))))))),IF(Land_AdjType="$ per Unit",IF(AND(F35=0,F36=0,F37=0),0,IF(F35&lt;&gt;0,IF(dpUnit_Land="Per Usable Acre",F35*F$23,IF(dpUnit_Land="Per Gross Acre",F35*F$25,IF(dpUnit_Land="Per Usable Square Foot",F35*F$24,IF(dpUnit_Land="Per Gross Square Foot",F35*F$26,IF(dpUnit_Land="Per Front Foot",F35*F$27,IF(dpUnit_Land="Per Proposed Square Foot",F35*F$28,IF(dpUnit_Land="Per Lot",F35*F$29,F35*F$30))))))),IF(F36&lt;&gt;0,IF(dpUnit_Land="Per Usable Acre",F36/F$15,IF(dpUnit_Land="Per Gross Acre",F36/F$17,IF(dpUnit_Land="Per Usable Square Foot",F36/F$16,IF(dpUnit_Land="Per Gross Square Foot",F36/F$18,IF(dpUnit_Land="Per Front Foot",F36/F$19,IF(dpUnit_Land="Per Proposed Square Foot",F36/F$20,IF(dpUnit_Land="Per Lot",F36/F$21,F36/F$22))))))),F37)))))</f>
        <v>0</v>
      </c>
      <c r="G34" s="3284">
        <f t="shared" si="4"/>
        <v>0</v>
      </c>
      <c r="H34" s="3284">
        <f t="shared" si="4"/>
        <v>0</v>
      </c>
      <c r="I34" s="3285">
        <f t="shared" si="4"/>
        <v>0</v>
      </c>
      <c r="J34" s="3286"/>
      <c r="K34" s="74"/>
      <c r="L34" s="32"/>
      <c r="M34" s="32"/>
      <c r="N34" s="32"/>
      <c r="O34" s="32"/>
      <c r="P34" s="32"/>
      <c r="Q34" s="32"/>
    </row>
    <row r="35" spans="1:17" hidden="1" x14ac:dyDescent="0.25">
      <c r="A35" s="972">
        <v>0</v>
      </c>
      <c r="B35" s="16"/>
      <c r="C35" s="92"/>
      <c r="D35" s="3287"/>
      <c r="E35" s="3256" t="s">
        <v>166</v>
      </c>
      <c r="F35" s="1856"/>
      <c r="G35" s="1856"/>
      <c r="H35" s="1856"/>
      <c r="I35" s="1003"/>
      <c r="J35" s="775"/>
      <c r="K35" s="74"/>
      <c r="L35" s="32"/>
      <c r="M35" s="32"/>
      <c r="N35" s="32"/>
      <c r="O35" s="32"/>
      <c r="P35" s="32"/>
      <c r="Q35" s="32"/>
    </row>
    <row r="36" spans="1:17" hidden="1" x14ac:dyDescent="0.25">
      <c r="A36" s="972">
        <v>0</v>
      </c>
      <c r="B36" s="16"/>
      <c r="C36" s="92"/>
      <c r="D36" s="3287"/>
      <c r="E36" s="3256" t="s">
        <v>167</v>
      </c>
      <c r="F36" s="1857"/>
      <c r="G36" s="1857"/>
      <c r="H36" s="1857"/>
      <c r="I36" s="1004"/>
      <c r="J36" s="3288"/>
      <c r="K36" s="74"/>
      <c r="L36" s="32"/>
      <c r="M36" s="32"/>
      <c r="N36" s="32"/>
      <c r="O36" s="32"/>
      <c r="P36" s="32"/>
      <c r="Q36" s="32"/>
    </row>
    <row r="37" spans="1:17" hidden="1" x14ac:dyDescent="0.25">
      <c r="A37" s="972">
        <v>0</v>
      </c>
      <c r="B37" s="16"/>
      <c r="C37" s="92"/>
      <c r="D37" s="3287"/>
      <c r="E37" s="3256" t="str">
        <f>CONCATENATE("Enter $/",dpUnit_Land," Adj.")</f>
        <v>Enter $/per Usable Square Foot Adj.</v>
      </c>
      <c r="F37" s="1858"/>
      <c r="G37" s="1858"/>
      <c r="H37" s="1858"/>
      <c r="I37" s="1005"/>
      <c r="J37" s="3289"/>
      <c r="K37" s="74"/>
      <c r="L37" s="32"/>
      <c r="M37" s="32"/>
      <c r="N37" s="32"/>
      <c r="O37" s="32"/>
      <c r="P37" s="32"/>
      <c r="Q37" s="32"/>
    </row>
    <row r="38" spans="1:17" x14ac:dyDescent="0.25">
      <c r="A38" s="972">
        <f>IF(Land_AdjType="Qualitative",0,1)</f>
        <v>1</v>
      </c>
      <c r="B38" s="16"/>
      <c r="C38" s="92"/>
      <c r="D38" s="3283" t="s">
        <v>1364</v>
      </c>
      <c r="E38" s="3256"/>
      <c r="F38" s="3290">
        <f t="shared" ref="F38:I38" si="5">IF(Land_AdjType&lt;&gt;"$ per Unit",IF(dpUnit_Land="Per Usable Acre",F$23*(1+F34),IF(dpUnit_Land="Per Gross Acre",F$25*(1+F34),IF(dpUnit_Land="Per Usable Square Foot",F$24*(1+F34),IF(dpUnit_Land="Per Gross Square Foot",F$26*(1+F34),IF(dpUnit_Land="Per Front Foot",F$27*(1+F34),IF(dpUnit_Land="Per Proposed Square Foot",F$28*(1+F34),IF(dpUnit_Land="Per Lot",F$29*(1+F34),F$30*(1+F34)))))))),IF(Land_AdjType="$ per Unit",IF(dpUnit_Land="Per Usable Acre",F$23+F34,IF(dpUnit_Land="Per Gross Acre",F$25+F34,IF(dpUnit_Land="Per Usable Square Foot",F$24+F34,IF(dpUnit_Land="Per Gross Square Foot",F$26+F34,IF(dpUnit_Land="Per Front Foot",F$27+F34,IF(dpUnit_Land="Per Proposed Square Foot",F$28+F34,IF(dpUnit_Land="Per Lot",F$29+F34,F$30+F34))))))),F34))</f>
        <v>21.47</v>
      </c>
      <c r="G38" s="3290">
        <f t="shared" si="5"/>
        <v>16.13</v>
      </c>
      <c r="H38" s="3290">
        <f t="shared" si="5"/>
        <v>18</v>
      </c>
      <c r="I38" s="3291">
        <f t="shared" si="5"/>
        <v>18.489999999999998</v>
      </c>
      <c r="J38" s="3289"/>
      <c r="K38" s="74"/>
      <c r="L38" s="32"/>
      <c r="M38" s="32"/>
      <c r="N38" s="32"/>
      <c r="O38" s="11"/>
      <c r="P38" s="11"/>
      <c r="Q38" s="32"/>
    </row>
    <row r="39" spans="1:17" ht="7.9" customHeight="1" x14ac:dyDescent="0.25">
      <c r="A39" s="972">
        <v>1</v>
      </c>
      <c r="B39" s="16"/>
      <c r="C39" s="92"/>
      <c r="D39" s="3292"/>
      <c r="E39" s="93"/>
      <c r="F39" s="3293"/>
      <c r="G39" s="3293"/>
      <c r="H39" s="3293"/>
      <c r="I39" s="3294"/>
      <c r="J39" s="3280"/>
      <c r="K39" s="74"/>
      <c r="L39" s="32"/>
      <c r="M39" s="32"/>
      <c r="N39" s="32"/>
      <c r="O39" s="32"/>
      <c r="P39" s="32"/>
      <c r="Q39" s="32"/>
    </row>
    <row r="40" spans="1:17" x14ac:dyDescent="0.25">
      <c r="A40" s="972">
        <v>1</v>
      </c>
      <c r="B40" s="16"/>
      <c r="C40" s="92"/>
      <c r="D40" s="1493" t="s">
        <v>165</v>
      </c>
      <c r="E40" s="1664" t="s">
        <v>969</v>
      </c>
      <c r="F40" s="3295" t="s">
        <v>969</v>
      </c>
      <c r="G40" s="3295" t="s">
        <v>20029</v>
      </c>
      <c r="H40" s="3295" t="s">
        <v>969</v>
      </c>
      <c r="I40" s="3296" t="s">
        <v>969</v>
      </c>
      <c r="J40" s="3286"/>
      <c r="K40" s="74"/>
      <c r="L40" s="32"/>
      <c r="M40" s="32"/>
      <c r="N40" s="32"/>
      <c r="O40" s="32"/>
      <c r="P40" s="32"/>
      <c r="Q40" s="32"/>
    </row>
    <row r="41" spans="1:17" hidden="1" x14ac:dyDescent="0.25">
      <c r="A41" s="972">
        <f>IF(SUM(Land_FinancingTermsRange)=0,0,1)</f>
        <v>0</v>
      </c>
      <c r="B41" s="16"/>
      <c r="C41" s="92"/>
      <c r="D41" s="3283" t="s">
        <v>174</v>
      </c>
      <c r="E41" s="93"/>
      <c r="F41" s="3284">
        <f t="shared" ref="F41:I41" si="6">IF(Land_AdjType&lt;&gt;"$ per Unit",IF(AND(F42=0,F43=0,F44=0),0,IF(F42&lt;&gt;0,F42,IF(F43&lt;&gt;0,IF(dpUnit_Land="Per Usable Acre",(F43/F$15)/F$23,IF(dpUnit_Land="Per Gross Acre",(F43/F$17)/F$25,IF(dpUnit_Land="Per Usable Square Foot",(F43/F$16)/F$24,IF(dpUnit_Land="Per Gross Square Foot",(F43/F$18)/F$26,IF(dpUnit_Land="Per Front Foot",(F43/F$19)/F$27,IF(dpUnit_Land="Per Proposed Square Foot",(F43/F$20)/F$28,IF(dpUnit_Land="Per Lot",(F43/F$21)/F$29,(F43/F$22)/F$30))))))),IF(dpUnit_Land="Per Usable Acre",F44/F$23,IF(dpUnit_Land="Per Gross Acre",F44/F$25,IF(dpUnit_Land="Per Usable Square Foot",F44/F$24,IF(dpUnit_Land="Per Gross Square Foot",F44/F$26,IF(dpUnit_Land="Per Front Foot",F44/F$27,IF(dpUnit_Land="Per Proposed Square Foot",F44/F$28,IF(dpUnit_Land="Per Lot",F44/F$29,F44/F$30)))))))))),IF(Land_AdjType="$ per Unit",IF(AND(F42=0,F43=0,F44=0),0,IF(F42&lt;&gt;0,IF(dpUnit_Land="Per Usable Acre",F42*F$23,IF(dpUnit_Land="Per Gross Acre",F42*F$25,IF(dpUnit_Land="Per Usable Square Foot",F42*F$24,IF(dpUnit_Land="Per Gross Square Foot",F42*F$26,IF(dpUnit_Land="Per Front Foot",F42*F$27,IF(dpUnit_Land="Per Proposed Square Foot",F42*F$28,IF(dpUnit_Land="Per Lot",F42*F$29,F42*F$30))))))),IF(F43&lt;&gt;0,IF(dpUnit_Land="Per Usable Acre",F43/F$15,IF(dpUnit_Land="Per Gross Acre",F43/F$17,IF(dpUnit_Land="Per Usable Square Foot",F43/F$16,IF(dpUnit_Land="Per Gross Square Foot",F43/F$18,IF(dpUnit_Land="Per Front Foot",F43/F$19,IF(dpUnit_Land="Per Proposed Square Foot",F43/F$20,IF(dpUnit_Land="Per Lot",F43/F$21,F43/F$22))))))),F44)))))</f>
        <v>0</v>
      </c>
      <c r="G41" s="3284">
        <f t="shared" si="6"/>
        <v>0</v>
      </c>
      <c r="H41" s="3284">
        <f t="shared" si="6"/>
        <v>0</v>
      </c>
      <c r="I41" s="3285">
        <f t="shared" si="6"/>
        <v>0</v>
      </c>
      <c r="J41" s="3286"/>
      <c r="K41" s="74"/>
      <c r="L41" s="32"/>
      <c r="M41" s="32"/>
      <c r="N41" s="32"/>
      <c r="O41" s="32"/>
      <c r="P41" s="32"/>
      <c r="Q41" s="32"/>
    </row>
    <row r="42" spans="1:17" hidden="1" x14ac:dyDescent="0.25">
      <c r="A42" s="972">
        <v>0</v>
      </c>
      <c r="B42" s="16"/>
      <c r="C42" s="92"/>
      <c r="D42" s="3292"/>
      <c r="E42" s="3256" t="s">
        <v>166</v>
      </c>
      <c r="F42" s="1856"/>
      <c r="G42" s="1856"/>
      <c r="H42" s="1856"/>
      <c r="I42" s="1003"/>
      <c r="J42" s="775"/>
      <c r="K42" s="74"/>
      <c r="L42" s="32"/>
      <c r="M42" s="32"/>
      <c r="N42" s="32"/>
      <c r="O42" s="32"/>
      <c r="P42" s="32"/>
      <c r="Q42" s="32"/>
    </row>
    <row r="43" spans="1:17" hidden="1" x14ac:dyDescent="0.25">
      <c r="A43" s="972">
        <v>0</v>
      </c>
      <c r="B43" s="16"/>
      <c r="C43" s="92"/>
      <c r="D43" s="3292"/>
      <c r="E43" s="3256" t="s">
        <v>167</v>
      </c>
      <c r="F43" s="1857"/>
      <c r="G43" s="1857"/>
      <c r="H43" s="1857"/>
      <c r="I43" s="1004"/>
      <c r="J43" s="3288"/>
      <c r="K43" s="74"/>
      <c r="L43" s="32"/>
      <c r="M43" s="32"/>
      <c r="N43" s="32"/>
      <c r="O43" s="32"/>
      <c r="P43" s="32"/>
      <c r="Q43" s="32"/>
    </row>
    <row r="44" spans="1:17" hidden="1" x14ac:dyDescent="0.25">
      <c r="A44" s="972">
        <v>0</v>
      </c>
      <c r="B44" s="16"/>
      <c r="C44" s="92"/>
      <c r="D44" s="3292"/>
      <c r="E44" s="3256" t="str">
        <f>CONCATENATE("Enter $/",dpUnit_Land," Adj.")</f>
        <v>Enter $/per Usable Square Foot Adj.</v>
      </c>
      <c r="F44" s="1858"/>
      <c r="G44" s="1858"/>
      <c r="H44" s="1858"/>
      <c r="I44" s="1005"/>
      <c r="J44" s="3289"/>
      <c r="K44" s="74"/>
      <c r="L44" s="32"/>
      <c r="M44" s="32"/>
      <c r="N44" s="32"/>
      <c r="O44" s="32"/>
      <c r="P44" s="32"/>
      <c r="Q44" s="32"/>
    </row>
    <row r="45" spans="1:17" x14ac:dyDescent="0.25">
      <c r="A45" s="972">
        <f>IF(Land_AdjType="Qualitative",0,1)</f>
        <v>1</v>
      </c>
      <c r="B45" s="16"/>
      <c r="C45" s="92"/>
      <c r="D45" s="3283" t="s">
        <v>1364</v>
      </c>
      <c r="E45" s="3256"/>
      <c r="F45" s="3290">
        <f t="shared" ref="F45:I45" si="7">IF(Land_AdjType&lt;&gt;"$ per Unit",F38*(1+F41),IF(Land_AdjType="$ per Unit",F38+F41,F41))</f>
        <v>21.47</v>
      </c>
      <c r="G45" s="3290">
        <f t="shared" si="7"/>
        <v>16.13</v>
      </c>
      <c r="H45" s="3290">
        <f t="shared" si="7"/>
        <v>18</v>
      </c>
      <c r="I45" s="3291">
        <f t="shared" si="7"/>
        <v>18.489999999999998</v>
      </c>
      <c r="J45" s="3289"/>
      <c r="K45" s="74"/>
      <c r="L45" s="32"/>
      <c r="M45" s="32"/>
      <c r="N45" s="32"/>
      <c r="O45" s="32"/>
      <c r="P45" s="32"/>
      <c r="Q45" s="32"/>
    </row>
    <row r="46" spans="1:17" ht="7.9" customHeight="1" x14ac:dyDescent="0.25">
      <c r="A46" s="972">
        <v>1</v>
      </c>
      <c r="B46" s="16"/>
      <c r="C46" s="92"/>
      <c r="D46" s="3292"/>
      <c r="E46" s="93"/>
      <c r="F46" s="3293"/>
      <c r="G46" s="3293"/>
      <c r="H46" s="3293"/>
      <c r="I46" s="3294"/>
      <c r="J46" s="3280"/>
      <c r="K46" s="74"/>
      <c r="L46" s="32"/>
      <c r="M46" s="32"/>
      <c r="N46" s="32"/>
      <c r="O46" s="32"/>
      <c r="P46" s="32"/>
      <c r="Q46" s="32"/>
    </row>
    <row r="47" spans="1:17" x14ac:dyDescent="0.25">
      <c r="A47" s="972">
        <v>1</v>
      </c>
      <c r="B47" s="16"/>
      <c r="C47" s="92"/>
      <c r="D47" s="1493" t="s">
        <v>284</v>
      </c>
      <c r="E47" s="1664" t="s">
        <v>175</v>
      </c>
      <c r="F47" s="3295" t="s">
        <v>175</v>
      </c>
      <c r="G47" s="3295" t="s">
        <v>175</v>
      </c>
      <c r="H47" s="3295" t="s">
        <v>175</v>
      </c>
      <c r="I47" s="3296" t="s">
        <v>175</v>
      </c>
      <c r="J47" s="3286"/>
      <c r="K47" s="74"/>
      <c r="L47" s="32"/>
      <c r="M47" s="32"/>
      <c r="N47" s="32"/>
      <c r="O47" s="32"/>
      <c r="P47" s="32"/>
      <c r="Q47" s="32"/>
    </row>
    <row r="48" spans="1:17" hidden="1" x14ac:dyDescent="0.25">
      <c r="A48" s="972">
        <f>IF(SUM(Land_ConditionsofSaleRange)=0,0,1)</f>
        <v>0</v>
      </c>
      <c r="B48" s="16"/>
      <c r="C48" s="92"/>
      <c r="D48" s="3283" t="s">
        <v>174</v>
      </c>
      <c r="E48" s="93"/>
      <c r="F48" s="3284">
        <f t="shared" ref="F48:I48" si="8">IF(Land_AdjType&lt;&gt;"$ per Unit",IF(AND(F49=0,F50=0,F51=0),0,IF(F49&lt;&gt;0,F49,IF(F50&lt;&gt;0,IF(dpUnit_Land="Per Usable Acre",(F50/F$15)/F$23,IF(dpUnit_Land="Per Gross Acre",(F50/F$17)/F$25,IF(dpUnit_Land="Per Usable Square Foot",(F50/F$16)/F$24,IF(dpUnit_Land="Per Gross Square Foot",(F50/F$18)/F$26,IF(dpUnit_Land="Per Front Foot",(F50/F$19)/F$27,IF(dpUnit_Land="Per Proposed Square Foot",(F50/F$20)/F$28,IF(dpUnit_Land="Per Lot",(F50/F$21)/F$29,(F50/F$22)/F$30))))))),IF(dpUnit_Land="Per Usable Acre",F51/F$23,IF(dpUnit_Land="Per Gross Acre",F51/F$25,IF(dpUnit_Land="Per Usable Square Foot",F51/F$24,IF(dpUnit_Land="Per Gross Square Foot",F51/F$26,IF(dpUnit_Land="Per Front Foot",F51/F$27,IF(dpUnit_Land="Per Proposed Square Foot",F51/F$28,IF(dpUnit_Land="Per Lot",F51/F$29,F51/F$30)))))))))),IF(Land_AdjType="$ per Unit",IF(AND(F49=0,F50=0,F51=0),0,IF(F49&lt;&gt;0,IF(dpUnit_Land="Per Usable Acre",F49*F$23,IF(dpUnit_Land="Per Gross Acre",F49*F$25,IF(dpUnit_Land="Per Usable Square Foot",F49*F$24,IF(dpUnit_Land="Per Gross Square Foot",F49*F$26,IF(dpUnit_Land="Per Front Foot",F49*F$27,IF(dpUnit_Land="Per Proposed Square Foot",F49*F$28,IF(dpUnit_Land="Per Lot",F49*F$29,F49*F$30))))))),IF(F50&lt;&gt;0,IF(dpUnit_Land="Per Usable Acre",F50/F$15,IF(dpUnit_Land="Per Gross Acre",F50/F$17,IF(dpUnit_Land="Per Usable Square Foot",F50/F$16,IF(dpUnit_Land="Per Gross Square Foot",F50/F$18,IF(dpUnit_Land="Per Front Foot",F50/F$19,IF(dpUnit_Land="Per Proposed Square Foot",F50/F$20,IF(dpUnit_Land="Per Lot",F50/F$21,F50/F$22))))))),F51)))))</f>
        <v>0</v>
      </c>
      <c r="G48" s="3284">
        <f t="shared" si="8"/>
        <v>0</v>
      </c>
      <c r="H48" s="3284">
        <f t="shared" si="8"/>
        <v>0</v>
      </c>
      <c r="I48" s="3285">
        <f t="shared" si="8"/>
        <v>0</v>
      </c>
      <c r="J48" s="3286"/>
      <c r="K48" s="74"/>
      <c r="L48" s="32"/>
      <c r="M48" s="32"/>
      <c r="N48" s="32"/>
      <c r="O48" s="32"/>
      <c r="P48" s="32"/>
      <c r="Q48" s="32"/>
    </row>
    <row r="49" spans="1:19" hidden="1" x14ac:dyDescent="0.25">
      <c r="A49" s="972">
        <v>0</v>
      </c>
      <c r="B49" s="16"/>
      <c r="C49" s="92"/>
      <c r="D49" s="3292"/>
      <c r="E49" s="3256" t="s">
        <v>166</v>
      </c>
      <c r="F49" s="1856"/>
      <c r="G49" s="1856"/>
      <c r="H49" s="1856"/>
      <c r="I49" s="1003"/>
      <c r="J49" s="775"/>
      <c r="K49" s="74"/>
      <c r="L49" s="32"/>
      <c r="M49" s="32"/>
      <c r="N49" s="32"/>
      <c r="O49" s="32"/>
      <c r="P49" s="32"/>
      <c r="Q49" s="32"/>
    </row>
    <row r="50" spans="1:19" hidden="1" x14ac:dyDescent="0.25">
      <c r="A50" s="972">
        <v>0</v>
      </c>
      <c r="B50" s="16"/>
      <c r="C50" s="92"/>
      <c r="D50" s="3292"/>
      <c r="E50" s="3256" t="s">
        <v>167</v>
      </c>
      <c r="F50" s="1857"/>
      <c r="G50" s="1857"/>
      <c r="H50" s="1857">
        <v>0</v>
      </c>
      <c r="I50" s="1004">
        <v>0</v>
      </c>
      <c r="J50" s="3288"/>
      <c r="K50" s="74"/>
      <c r="L50" s="32"/>
      <c r="M50" s="32"/>
      <c r="N50" s="32"/>
      <c r="O50" s="32"/>
      <c r="P50" s="32"/>
      <c r="Q50" s="32"/>
    </row>
    <row r="51" spans="1:19" hidden="1" x14ac:dyDescent="0.25">
      <c r="A51" s="972">
        <v>0</v>
      </c>
      <c r="B51" s="16"/>
      <c r="C51" s="92"/>
      <c r="D51" s="3292"/>
      <c r="E51" s="3256" t="str">
        <f>CONCATENATE("Enter $/",dpUnit_Land," Adj.")</f>
        <v>Enter $/per Usable Square Foot Adj.</v>
      </c>
      <c r="F51" s="1858"/>
      <c r="G51" s="1858"/>
      <c r="H51" s="1858"/>
      <c r="I51" s="1005"/>
      <c r="J51" s="3289"/>
      <c r="K51" s="74"/>
      <c r="L51" s="32"/>
      <c r="M51" s="32"/>
      <c r="N51" s="32"/>
      <c r="O51" s="32"/>
      <c r="P51" s="32"/>
      <c r="Q51" s="32"/>
    </row>
    <row r="52" spans="1:19" x14ac:dyDescent="0.25">
      <c r="A52" s="972">
        <f>IF(Land_AdjType="Qualitative",0,1)</f>
        <v>1</v>
      </c>
      <c r="B52" s="16"/>
      <c r="C52" s="92"/>
      <c r="D52" s="3283" t="s">
        <v>1364</v>
      </c>
      <c r="E52" s="3256"/>
      <c r="F52" s="3290">
        <f t="shared" ref="F52:I52" si="9">IF(Land_AdjType&lt;&gt;"$ per Unit",F45*(1+F48),IF(Land_AdjType="$ per Unit",F45+F48,F48))</f>
        <v>21.47</v>
      </c>
      <c r="G52" s="3290">
        <f t="shared" si="9"/>
        <v>16.13</v>
      </c>
      <c r="H52" s="3290">
        <f t="shared" si="9"/>
        <v>18</v>
      </c>
      <c r="I52" s="3291">
        <f t="shared" si="9"/>
        <v>18.489999999999998</v>
      </c>
      <c r="J52" s="3289"/>
      <c r="K52" s="74"/>
      <c r="L52" s="32"/>
      <c r="M52" s="32"/>
      <c r="N52" s="32"/>
      <c r="O52" s="32"/>
      <c r="P52" s="32"/>
      <c r="Q52" s="32"/>
    </row>
    <row r="53" spans="1:19" ht="7.9" customHeight="1" x14ac:dyDescent="0.25">
      <c r="A53" s="972">
        <v>1</v>
      </c>
      <c r="B53" s="16"/>
      <c r="C53" s="92"/>
      <c r="D53" s="3292"/>
      <c r="E53" s="93"/>
      <c r="F53" s="3293"/>
      <c r="G53" s="3293"/>
      <c r="H53" s="3293"/>
      <c r="I53" s="3294"/>
      <c r="J53" s="3280"/>
      <c r="K53" s="74"/>
      <c r="L53" s="32"/>
      <c r="M53" s="32"/>
      <c r="N53" s="32"/>
      <c r="O53" s="32"/>
      <c r="P53" s="32"/>
      <c r="Q53" s="32"/>
    </row>
    <row r="54" spans="1:19" x14ac:dyDescent="0.25">
      <c r="A54" s="972">
        <v>1</v>
      </c>
      <c r="B54" s="16"/>
      <c r="C54" s="92"/>
      <c r="D54" s="1493" t="s">
        <v>264</v>
      </c>
      <c r="E54" s="93"/>
      <c r="F54" s="3297">
        <v>0</v>
      </c>
      <c r="G54" s="3297">
        <v>0</v>
      </c>
      <c r="H54" s="3297">
        <v>0</v>
      </c>
      <c r="I54" s="3298">
        <v>0</v>
      </c>
      <c r="J54" s="93"/>
      <c r="K54" s="74"/>
      <c r="L54" s="32"/>
      <c r="M54" s="32"/>
      <c r="N54" s="32"/>
      <c r="O54" s="32"/>
      <c r="P54" s="32"/>
      <c r="Q54" s="32"/>
    </row>
    <row r="55" spans="1:19" hidden="1" x14ac:dyDescent="0.25">
      <c r="A55" s="972">
        <f>IFERROR(IF(SUM(Land_ExpendituresAfterSaleRange)=0,0,1),0)</f>
        <v>0</v>
      </c>
      <c r="B55" s="16"/>
      <c r="C55" s="92"/>
      <c r="D55" s="3283" t="s">
        <v>174</v>
      </c>
      <c r="E55" s="93"/>
      <c r="F55" s="3284">
        <f t="shared" ref="F55:I55" si="10">IF(Land_AdjType&lt;&gt;"$ per Unit",IF(dpUnit_Land="Per Usable Acre",F54/(F52*F15),IF(dpUnit_Land="Per Gross Acre",F54/(F52*F17),IF(dpUnit_Land="Per Usable Square Foot",F54/(F52*F16),IF(dpUnit_Land="Per Gross Square Foot",F54/(F52*F18),IF(dpUnit_Land="Per Front Foot",F54/(F52*F19),IF(dpUnit_Land="Per Proposed Square Foot",F54/(F52*F20),IF(dpUnit_Land="Per Lot",F54/(F52*F21),F54/(F52*F22)))))))),IF(Land_AdjType="$ per Unit",IF(dpUnit_Land="Per Usable Acre",F54/F15,IF(dpUnit_Land="Per Gross Acre",F54/F17,IF(dpUnit_Land="Per Usable Square Foot",F54/F16,IF(dpUnit_Land="Per Gross Square Foot",F54/F18,IF(dpUnit_Land="Per Front Foot",F54/F19,IF(dpUnit_Land="Per Proposed Square Foot",F54/F20,IF(dpUnit_Land="Per Lot",F54/F2,F54/F52)))))))))</f>
        <v>0</v>
      </c>
      <c r="G55" s="3284">
        <f t="shared" si="10"/>
        <v>0</v>
      </c>
      <c r="H55" s="3284">
        <f t="shared" si="10"/>
        <v>0</v>
      </c>
      <c r="I55" s="3285">
        <f t="shared" si="10"/>
        <v>0</v>
      </c>
      <c r="J55" s="3286"/>
      <c r="K55" s="74"/>
      <c r="L55" s="32"/>
      <c r="M55" s="32"/>
      <c r="N55" s="32"/>
      <c r="O55" s="32"/>
      <c r="P55" s="32"/>
      <c r="Q55" s="32"/>
    </row>
    <row r="56" spans="1:19" x14ac:dyDescent="0.25">
      <c r="A56" s="972">
        <f>IF(Land_AdjType="Qualitative",0,1)</f>
        <v>1</v>
      </c>
      <c r="B56" s="16"/>
      <c r="C56" s="92"/>
      <c r="D56" s="3299" t="s">
        <v>1364</v>
      </c>
      <c r="E56" s="93"/>
      <c r="F56" s="3300">
        <f t="shared" ref="F56:I56" si="11">IF(Land_AdjType&lt;&gt;"$ per Unit",F52*(1+F55),IF(Land_AdjType="$ per Unit",F52+F55))</f>
        <v>21.47</v>
      </c>
      <c r="G56" s="3300">
        <f t="shared" si="11"/>
        <v>16.13</v>
      </c>
      <c r="H56" s="3300">
        <f t="shared" si="11"/>
        <v>18</v>
      </c>
      <c r="I56" s="3301">
        <f t="shared" si="11"/>
        <v>18.489999999999998</v>
      </c>
      <c r="J56" s="3302"/>
      <c r="K56" s="74"/>
      <c r="L56" s="32"/>
      <c r="M56" s="32"/>
      <c r="N56" s="32"/>
      <c r="O56" s="32"/>
      <c r="P56" s="32"/>
      <c r="Q56" s="32"/>
    </row>
    <row r="57" spans="1:19" ht="4.9000000000000004" customHeight="1" x14ac:dyDescent="0.25">
      <c r="A57" s="972">
        <v>1</v>
      </c>
      <c r="B57" s="16"/>
      <c r="C57" s="92"/>
      <c r="D57" s="3292"/>
      <c r="E57" s="93"/>
      <c r="F57" s="3277"/>
      <c r="G57" s="3255"/>
      <c r="H57" s="3255"/>
      <c r="I57" s="3256"/>
      <c r="J57" s="93"/>
      <c r="K57" s="74"/>
      <c r="L57" s="32"/>
      <c r="M57" s="32"/>
      <c r="N57" s="32"/>
      <c r="O57" s="32"/>
      <c r="P57" s="32"/>
      <c r="Q57" s="32"/>
    </row>
    <row r="58" spans="1:19" ht="15" customHeight="1" x14ac:dyDescent="0.25">
      <c r="A58" s="972">
        <v>1</v>
      </c>
      <c r="B58" s="16"/>
      <c r="C58" s="92"/>
      <c r="D58" s="3177" t="s">
        <v>162</v>
      </c>
      <c r="E58" s="3302"/>
      <c r="F58" s="3303"/>
      <c r="G58" s="3255"/>
      <c r="H58" s="3255"/>
      <c r="I58" s="3256"/>
      <c r="J58" s="93"/>
      <c r="K58" s="74"/>
      <c r="L58" s="32"/>
      <c r="M58" s="32"/>
      <c r="N58" s="32"/>
      <c r="O58" s="4093" t="s">
        <v>944</v>
      </c>
      <c r="P58" s="290"/>
      <c r="Q58" s="290"/>
    </row>
    <row r="59" spans="1:19" ht="15" thickBot="1" x14ac:dyDescent="0.3">
      <c r="A59" s="972">
        <v>1</v>
      </c>
      <c r="B59" s="16"/>
      <c r="C59" s="92"/>
      <c r="D59" s="3304" t="s">
        <v>171</v>
      </c>
      <c r="E59" s="3305"/>
      <c r="F59" s="3306">
        <f t="shared" ref="F59:I59" si="12">IF(ISERR((dpLand_DOV-F10)/365),0,(dpLand_DOV-F10)/365)</f>
        <v>8.21917808219178E-3</v>
      </c>
      <c r="G59" s="3306">
        <f t="shared" si="12"/>
        <v>0.32328767123287672</v>
      </c>
      <c r="H59" s="3306">
        <f t="shared" si="12"/>
        <v>7.6712328767123292E-2</v>
      </c>
      <c r="I59" s="3307">
        <f t="shared" si="12"/>
        <v>0.47671232876712327</v>
      </c>
      <c r="J59" s="93"/>
      <c r="K59" s="74"/>
      <c r="L59" s="32"/>
      <c r="M59" s="32"/>
      <c r="N59" s="32"/>
      <c r="O59" s="4114"/>
      <c r="P59" s="290"/>
      <c r="Q59" s="290"/>
    </row>
    <row r="60" spans="1:19" x14ac:dyDescent="0.25">
      <c r="A60" s="972">
        <v>1</v>
      </c>
      <c r="B60" s="16"/>
      <c r="C60" s="92"/>
      <c r="D60" s="3292" t="s">
        <v>172</v>
      </c>
      <c r="E60" s="3254">
        <f>dpLand_DOV</f>
        <v>44742</v>
      </c>
      <c r="F60" s="3284">
        <f t="shared" ref="F60:I60" si="13">IF(dpLand_MktCondDate1="",0,IF(ISERR(IF(AND(dpLand_MktCondDate2&lt;&gt;"",F$10&gt;dpLand_MktCondDate1),0,(dpLand_MktCondAdj1*((dpLand_MktCondDate1-F$10)/365)))),0,IF(AND(dpLand_MktCondDate2&lt;&gt;"",F$10&gt;dpLand_MktCondDate1),0,(dpLand_MktCondAdj1*((dpLand_MktCondDate1-F$10)/365)))))</f>
        <v>2.4657534246575342E-4</v>
      </c>
      <c r="G60" s="3284">
        <f t="shared" si="13"/>
        <v>9.6986301369863005E-3</v>
      </c>
      <c r="H60" s="3284">
        <f t="shared" si="13"/>
        <v>2.3013698630136989E-3</v>
      </c>
      <c r="I60" s="3285">
        <f t="shared" si="13"/>
        <v>1.4301369863013698E-2</v>
      </c>
      <c r="J60" s="93"/>
      <c r="K60" s="74"/>
      <c r="L60" s="32"/>
      <c r="M60" s="32"/>
      <c r="N60" s="32"/>
      <c r="O60" s="573">
        <v>0.03</v>
      </c>
      <c r="P60" s="1342"/>
      <c r="Q60" s="1342"/>
    </row>
    <row r="61" spans="1:19" ht="15" hidden="1" thickBot="1" x14ac:dyDescent="0.3">
      <c r="A61" s="972">
        <f>IF(dpLand_MktCondDate2="",0,1)</f>
        <v>0</v>
      </c>
      <c r="B61" s="16"/>
      <c r="C61" s="92"/>
      <c r="D61" s="3292" t="s">
        <v>173</v>
      </c>
      <c r="E61" s="3254"/>
      <c r="F61" s="3284">
        <f t="shared" ref="F61:I61" si="14">IF(dpLand_MktCondDate2="",0,IF(ISERR(IF(F10&gt;dpLand_MktCondDate1,dpLand_MktCondAdj2*((dpLand_DOV-F$10)/365),IF(F$10&lt;dpLand_DOV,dpLand_MktCondAdj2*((dpLand_DOV-dpLand_MktCondDate1)/365),dpLand_MktCondAdj2*((dpLand_DOV-F$10)/365)))),0,IF(F10&gt;dpLand_MktCondDate1,dpLand_MktCondAdj2*((dpLand_DOV-F$10)/365),IF(F$10&lt;dpLand_DOV,dpLand_MktCondAdj2*((dpLand_DOV-dpLand_MktCondDate1)/365),dpLand_MktCondAdj2*((dpLand_DOV-F$10)/365)))))</f>
        <v>0</v>
      </c>
      <c r="G61" s="3284">
        <f t="shared" si="14"/>
        <v>0</v>
      </c>
      <c r="H61" s="3284">
        <f t="shared" si="14"/>
        <v>0</v>
      </c>
      <c r="I61" s="3285">
        <f t="shared" si="14"/>
        <v>0</v>
      </c>
      <c r="J61" s="93"/>
      <c r="K61" s="74"/>
      <c r="L61" s="32"/>
      <c r="M61" s="32"/>
      <c r="N61" s="32"/>
      <c r="O61" s="574"/>
      <c r="P61" s="12" t="s">
        <v>158</v>
      </c>
      <c r="Q61" s="1342"/>
      <c r="R61" s="12"/>
      <c r="S61" s="12"/>
    </row>
    <row r="62" spans="1:19" x14ac:dyDescent="0.25">
      <c r="A62" s="972">
        <v>1</v>
      </c>
      <c r="B62" s="16"/>
      <c r="C62" s="92"/>
      <c r="D62" s="3227" t="s">
        <v>1371</v>
      </c>
      <c r="E62" s="93"/>
      <c r="F62" s="3308">
        <f t="shared" ref="F62:I62" si="15">F56*(1+F60)*(1+F61)</f>
        <v>21.475293972602742</v>
      </c>
      <c r="G62" s="3308">
        <f t="shared" si="15"/>
        <v>16.286438904109588</v>
      </c>
      <c r="H62" s="3308">
        <f t="shared" si="15"/>
        <v>18.041424657534247</v>
      </c>
      <c r="I62" s="3309">
        <f t="shared" si="15"/>
        <v>18.75443232876712</v>
      </c>
      <c r="J62" s="93"/>
      <c r="K62" s="74"/>
      <c r="L62" s="32"/>
      <c r="M62" s="32"/>
      <c r="N62" s="32"/>
      <c r="O62" s="32"/>
      <c r="P62" s="32"/>
      <c r="Q62" s="32"/>
    </row>
    <row r="63" spans="1:19" ht="4.5" customHeight="1" x14ac:dyDescent="0.25">
      <c r="A63" s="972">
        <v>1</v>
      </c>
      <c r="B63" s="16"/>
      <c r="C63" s="92"/>
      <c r="D63" s="3292"/>
      <c r="E63" s="93"/>
      <c r="F63" s="3310">
        <f t="shared" ref="F63:I63" si="16">IF(AND(F68=0,F69=0,F70=0),0,IF(F68&lt;&gt;0,F68,IF(F69&lt;&gt;0,IF(dpUnit_Land="Per Usable Acre",(F69/F$15)/F$23,IF(dpUnit_Land="Per Gross Acre",(F69/F$17)/F$25,IF(dpUnit_Land="Per Usable Square Foot",(F69/F$16)/F$24,IF(dpUnit_Land="Per Gross Square Foot",(F69/F$18)/F$26,IF(dpUnit_Land="Per Front Foot",(F69/F$19)/F$27,IF(dpUnit_Land="Per Proposed Square Foot",(F69/F$20)/F$28,IF(dpUnit_Land="Per Lot",(F69/F$21)/F$29,(F69/F$22)/F$30))))))),IF(dpUnit_Land="Per Usable Acre",F70/F$23,IF(dpUnit_Land="Per Gross Acre",F70/F$25,IF(dpUnit_Land="Per Usable Square Foot",F70/F$24,IF(dpUnit_Land="Per Gross Square Foot",F70/F$26,IF(dpUnit_Land="Per Front Foot",F70/F$27,IF(dpUnit_Land="Per Proposed Square Foot",F70/F$28,IF(dpUnit_Land="Per Lot",F70/F$29,F70/F$30))))))))))</f>
        <v>0</v>
      </c>
      <c r="G63" s="3310">
        <f t="shared" si="16"/>
        <v>0</v>
      </c>
      <c r="H63" s="3310">
        <f t="shared" si="16"/>
        <v>0</v>
      </c>
      <c r="I63" s="3311">
        <f t="shared" si="16"/>
        <v>0</v>
      </c>
      <c r="J63" s="93"/>
      <c r="K63" s="74"/>
      <c r="L63" s="32"/>
      <c r="M63" s="32"/>
      <c r="N63" s="32"/>
      <c r="O63" s="32"/>
      <c r="P63" s="32"/>
      <c r="Q63" s="32"/>
    </row>
    <row r="64" spans="1:19" x14ac:dyDescent="0.25">
      <c r="A64" s="972">
        <v>1</v>
      </c>
      <c r="B64" s="16"/>
      <c r="C64" s="92"/>
      <c r="D64" s="3177" t="s">
        <v>163</v>
      </c>
      <c r="E64" s="93"/>
      <c r="F64" s="3312"/>
      <c r="G64" s="3312"/>
      <c r="H64" s="3312"/>
      <c r="I64" s="415"/>
      <c r="J64" s="3280"/>
      <c r="K64" s="74"/>
      <c r="L64" s="32"/>
      <c r="M64" s="32"/>
      <c r="N64" s="32"/>
      <c r="O64" s="32"/>
      <c r="P64" s="32"/>
      <c r="Q64" s="32"/>
    </row>
    <row r="65" spans="1:20" s="142" customFormat="1" ht="28.5" x14ac:dyDescent="0.25">
      <c r="A65" s="976">
        <f>A67</f>
        <v>1</v>
      </c>
      <c r="B65" s="140"/>
      <c r="C65" s="742"/>
      <c r="D65" s="1493" t="s">
        <v>95</v>
      </c>
      <c r="E65" s="1665" t="str">
        <f>Subject_Address</f>
        <v>4940 Oneida St</v>
      </c>
      <c r="F65" s="1831" t="s">
        <v>20032</v>
      </c>
      <c r="G65" s="1831" t="s">
        <v>20034</v>
      </c>
      <c r="H65" s="1831" t="s">
        <v>20025</v>
      </c>
      <c r="I65" s="1006" t="s">
        <v>20027</v>
      </c>
      <c r="J65" s="3313"/>
      <c r="K65" s="141"/>
      <c r="L65" s="295"/>
      <c r="M65" s="295"/>
      <c r="N65" s="295"/>
      <c r="O65" s="295"/>
      <c r="P65" s="295"/>
      <c r="Q65" s="295"/>
    </row>
    <row r="66" spans="1:20" s="142" customFormat="1" ht="28.5" x14ac:dyDescent="0.25">
      <c r="A66" s="976">
        <f>A67</f>
        <v>1</v>
      </c>
      <c r="B66" s="140"/>
      <c r="C66" s="742"/>
      <c r="D66" s="3299"/>
      <c r="E66" s="3314" t="str">
        <f>CONCATENATE(Subject_City,", ",Subject_State)</f>
        <v>Commerce City, Colorado</v>
      </c>
      <c r="F66" s="1831" t="s">
        <v>19964</v>
      </c>
      <c r="G66" s="1831" t="s">
        <v>20024</v>
      </c>
      <c r="H66" s="1831" t="s">
        <v>19964</v>
      </c>
      <c r="I66" s="1006" t="s">
        <v>19964</v>
      </c>
      <c r="J66" s="3313"/>
      <c r="K66" s="141"/>
      <c r="L66" s="295"/>
      <c r="M66" s="295"/>
      <c r="N66" s="295"/>
      <c r="O66" s="295"/>
      <c r="P66" s="295"/>
      <c r="Q66" s="295"/>
    </row>
    <row r="67" spans="1:20" x14ac:dyDescent="0.25">
      <c r="A67" s="972">
        <f>IF(B67=TRUE,1,2)</f>
        <v>1</v>
      </c>
      <c r="B67" s="16" t="b">
        <v>1</v>
      </c>
      <c r="C67" s="92"/>
      <c r="D67" s="3283" t="str">
        <f>IF(Land_AdjType&lt;&gt;"Qualitative","Adjustment","Relative Comparison")</f>
        <v>Adjustment</v>
      </c>
      <c r="E67" s="93"/>
      <c r="F67" s="3284">
        <f t="shared" ref="F67:I67" si="17">IF(Land_AdjType="Percent",IF(AND(F68=0,F69=0,F70=0),0,IF(F68&lt;&gt;0,F68,IF(F69&lt;&gt;0,IF(dpUnit_Land="Per Usable Acre",(F69/F$15)/F$23,IF(dpUnit_Land="Per Gross Acre",(F69/F$17)/F$25,IF(dpUnit_Land="Per Usable Square Foot",(F69/F$16)/F$24,IF(dpUnit_Land="Per Gross Square Foot",(F69/F$18)/F$26,IF(dpUnit_Land="Per Front Foot",(F69/F$19)/F$27,IF(dpUnit_Land="Per Proposed Square Foot",(F69/F$20)/F$28,IF(dpUnit_Land="Per Lot",(F69/F$21)/F$29,(F69/F$22)/F$30))))))),IF(dpUnit_Land="Per Usable Acre",F70/F$23,IF(dpUnit_Land="Per Gross Acre",F70/F$25,IF(dpUnit_Land="Per Usable Square Foot",F70/F$24,IF(dpUnit_Land="Per Gross Square Foot",F70/F$26,IF(dpUnit_Land="Per Front Foot",F70/F$27,IF(dpUnit_Land="Per Proposed Square Foot",F70/F$28,IF(dpUnit_Land="Per Lot",F70/F$29,F70/F$30)))))))))),IF(Land_AdjType="$ per Unit",IF(AND(F68=0,F69=0,F70=0),0,IF(F68&lt;&gt;0,IF(dpUnit_Land="Per Usable Acre",F68*F$23,IF(dpUnit_Land="Per Gross Acre",F68*F$25,IF(dpUnit_Land="Per Usable Square Foot",F68*F$24,IF(dpUnit_Land="Per Gross Square Foot",F68*F$26,IF(dpUnit_Land="Per Front Foot",F68*F$27,IF(dpUnit_Land="Per Proposed Square Foot",F68*F$28,IF(dpUnit_Land="Per Lot",F68*F$29,F68*F$30))))))),IF(F69&lt;&gt;0,IF(dpUnit_Land="Per Usable Acre",F69/F$15,IF(dpUnit_Land="Per Gross Acre",F69/F$17,IF(dpUnit_Land="Per Usable Square Foot",F69/F$16,IF(dpUnit_Land="Per Gross Square Foot",F69/F$18,IF(dpUnit_Land="Per Front Foot",F69/F$19,IF(dpUnit_Land="Per Proposed Square Foot",F69/F$20,IF(dpUnit_Land="Per Lot",F69/F$21,F69/F$22))))))),F70))),IF(OR(F68&gt;0,F69&gt;0,F70&gt;0),"Inferior",IF(OR(F68&lt;0,F69&lt;0,F70&lt;0),"Superior","Similar"))))</f>
        <v>0</v>
      </c>
      <c r="G67" s="3284">
        <f t="shared" si="17"/>
        <v>0</v>
      </c>
      <c r="H67" s="3284">
        <f t="shared" si="17"/>
        <v>0</v>
      </c>
      <c r="I67" s="3285">
        <f t="shared" si="17"/>
        <v>0</v>
      </c>
      <c r="J67" s="3286"/>
      <c r="K67" s="74"/>
      <c r="L67" s="32"/>
      <c r="M67" s="32"/>
      <c r="N67" s="32"/>
      <c r="O67" s="32"/>
      <c r="P67" s="32"/>
      <c r="Q67" s="32"/>
    </row>
    <row r="68" spans="1:20" hidden="1" x14ac:dyDescent="0.25">
      <c r="A68" s="972">
        <f>IF(A67=2,2,0)</f>
        <v>0</v>
      </c>
      <c r="B68" s="16"/>
      <c r="C68" s="92"/>
      <c r="D68" s="3292"/>
      <c r="E68" s="3256" t="s">
        <v>166</v>
      </c>
      <c r="F68" s="1856"/>
      <c r="G68" s="1856"/>
      <c r="H68" s="1856"/>
      <c r="I68" s="1003"/>
      <c r="J68" s="775"/>
      <c r="K68" s="74"/>
      <c r="L68" s="32"/>
      <c r="M68" s="32"/>
      <c r="N68" s="32"/>
      <c r="O68" s="32"/>
      <c r="P68" s="32"/>
      <c r="Q68" s="32"/>
    </row>
    <row r="69" spans="1:20" hidden="1" x14ac:dyDescent="0.25">
      <c r="A69" s="972">
        <f>IF(A68=2,2,0)</f>
        <v>0</v>
      </c>
      <c r="B69" s="16"/>
      <c r="C69" s="92"/>
      <c r="D69" s="3292"/>
      <c r="E69" s="3256" t="s">
        <v>167</v>
      </c>
      <c r="F69" s="1857"/>
      <c r="G69" s="1857"/>
      <c r="H69" s="1857"/>
      <c r="I69" s="1004"/>
      <c r="J69" s="3288"/>
      <c r="K69" s="74"/>
      <c r="L69" s="32"/>
      <c r="M69" s="32"/>
      <c r="N69" s="32"/>
      <c r="O69" s="32"/>
      <c r="P69" s="32"/>
      <c r="Q69" s="32"/>
    </row>
    <row r="70" spans="1:20" hidden="1" x14ac:dyDescent="0.25">
      <c r="A70" s="972">
        <f>IF(A69=2,2,0)</f>
        <v>0</v>
      </c>
      <c r="B70" s="16"/>
      <c r="C70" s="92"/>
      <c r="D70" s="3292"/>
      <c r="E70" s="3256" t="str">
        <f>CONCATENATE("Enter $/",dpUnit_Land," Adj.")</f>
        <v>Enter $/per Usable Square Foot Adj.</v>
      </c>
      <c r="F70" s="1858"/>
      <c r="G70" s="1858"/>
      <c r="H70" s="1858"/>
      <c r="I70" s="1005"/>
      <c r="J70" s="3289"/>
      <c r="K70" s="74"/>
      <c r="L70" s="32"/>
      <c r="M70" s="32"/>
      <c r="N70" s="32"/>
      <c r="O70" s="32"/>
      <c r="P70" s="32"/>
      <c r="Q70" s="32"/>
    </row>
    <row r="71" spans="1:20" ht="7.9" customHeight="1" x14ac:dyDescent="0.25">
      <c r="A71" s="972">
        <f>A74</f>
        <v>1</v>
      </c>
      <c r="B71" s="16"/>
      <c r="C71" s="92"/>
      <c r="D71" s="3292"/>
      <c r="E71" s="93"/>
      <c r="F71" s="3310">
        <f t="shared" ref="F71:I71" si="18">IF(AND(F75=0,F76=0,F77=0),0,IF(F75&lt;&gt;0,F75,IF(F75&lt;&gt;0,IF(dpUnit_Land="Per Usable Acre",(F76/F$15)/F$23,IF(dpUnit_Land="Per Gross Acre",(F76/F$17)/F$25,IF(dpUnit_Land="Per Usable Square Foot",(F76/F$16)/F$24,IF(dpUnit_Land="Per Gross Square Foot",(F76/F$18)/F$26,IF(dpUnit_Land="Per Front Foot",(F76/F$19)/F$27,IF(dpUnit_Land="Per Proposed Square Foot",(F76/F$20)/F$28,IF(dpUnit_Land="Per Lot",(F76/F$21)/F$29,(F76/F$22)/F$30))))))),IF(dpUnit_Land="Per Usable Acre",F77/F$23,IF(dpUnit_Land="Per Gross Acre",F77/F$25,IF(dpUnit_Land="Per Usable Square Foot",F77/F$24,IF(dpUnit_Land="Per Gross Square Foot",F77/F$26,IF(dpUnit_Land="Per Front Foot",F77/F$27,IF(dpUnit_Land="Per Proposed Square Foot",F77/F$28,IF(dpUnit_Land="Per Lot",F77/F$29,F77/F$30))))))))))</f>
        <v>0</v>
      </c>
      <c r="G71" s="3310">
        <f t="shared" si="18"/>
        <v>0</v>
      </c>
      <c r="H71" s="3310">
        <f t="shared" si="18"/>
        <v>0</v>
      </c>
      <c r="I71" s="3311">
        <f t="shared" si="18"/>
        <v>0</v>
      </c>
      <c r="J71" s="3280"/>
      <c r="K71" s="74"/>
      <c r="L71" s="32"/>
      <c r="M71" s="32"/>
      <c r="N71" s="32"/>
      <c r="O71" s="32"/>
      <c r="P71" s="32"/>
      <c r="Q71" s="32"/>
    </row>
    <row r="72" spans="1:20" x14ac:dyDescent="0.25">
      <c r="A72" s="972">
        <f>A74</f>
        <v>1</v>
      </c>
      <c r="B72" s="16"/>
      <c r="C72" s="92"/>
      <c r="D72" s="1493" t="s">
        <v>96</v>
      </c>
      <c r="E72" s="3315" t="s">
        <v>20037</v>
      </c>
      <c r="F72" s="1933" t="str">
        <f t="shared" ref="F72:I72" si="19">IF($A$15=1,TEXT(F15,"#,##0.000")&amp;" acres",IF($A$16=1,TEXT(F16,"#,##0")&amp;" sf",IF($A$17=1,TEXT(F17,"#,##0.000")&amp;" acres",IF($A$18=1,TEXT(F18,"#,##0")&amp;" sf",IF($A$19=1,TEXT(F19,"#,##0")&amp;" lf",IF($A$20=1,TEXT(F20,"#,##0") &amp; " sf",IF($A$21=1,TEXT(F21,"#,##0")&amp;" lots",TEXT(F22,"#,##0")&amp;" units")))))))</f>
        <v>8.713 acres</v>
      </c>
      <c r="G72" s="1933" t="str">
        <f t="shared" si="19"/>
        <v>9.963 acres</v>
      </c>
      <c r="H72" s="1933" t="str">
        <f t="shared" si="19"/>
        <v>12.200 acres</v>
      </c>
      <c r="I72" s="2037" t="str">
        <f t="shared" si="19"/>
        <v>7.140 acres</v>
      </c>
      <c r="J72" s="3280"/>
      <c r="K72" s="74"/>
      <c r="L72" s="32"/>
      <c r="M72" s="32"/>
      <c r="N72" s="32"/>
      <c r="O72" s="150"/>
      <c r="P72" s="150"/>
      <c r="Q72" s="150"/>
    </row>
    <row r="73" spans="1:20" hidden="1" x14ac:dyDescent="0.25">
      <c r="A73" s="972">
        <f>IF(A74=2,2,0)</f>
        <v>0</v>
      </c>
      <c r="B73" s="16"/>
      <c r="C73" s="92"/>
      <c r="D73" s="3299"/>
      <c r="E73" s="3316">
        <f>IF($A$15=1,Subject_LandPrimary_UsableAcres,IF($A$16=1,Subject_LandPrimary_UsableAcres*43560,IF($A$17=1,Subject_LandPrimary_GrossAcres,IF($A$18=1,Subject_LandPrimary_GrossAcres*43560,IF($A$19=1,Subject_PrimaryFrontageFeet,IF($A$20=1,Subject_GBA,IF($A$21=1,Subject_Lots,Subject_ProposedUnits)))))))</f>
        <v>0.99173553719008267</v>
      </c>
      <c r="F73" s="3257">
        <f t="shared" ref="F73:I73" si="20">IF($A$15=1,F15,IF($A$16=1,F16,IF($A$17=1,F17,IF($A$18=1,F18,IF($A$19=1,F19,IF($A$20,F20,IF($A$21=1,F21,IF($A$22=1,F22,"Select Unit"))))))))</f>
        <v>8.7129999999999992</v>
      </c>
      <c r="G73" s="3257">
        <f t="shared" si="20"/>
        <v>9.9633000000000003</v>
      </c>
      <c r="H73" s="3257">
        <f t="shared" si="20"/>
        <v>12.2</v>
      </c>
      <c r="I73" s="3258">
        <f t="shared" si="20"/>
        <v>7.14</v>
      </c>
      <c r="J73" s="3280"/>
      <c r="K73" s="74"/>
      <c r="L73" s="32"/>
      <c r="M73" s="32"/>
      <c r="N73" s="32"/>
      <c r="O73" s="150" t="s">
        <v>1186</v>
      </c>
      <c r="P73" s="150"/>
      <c r="Q73" s="150"/>
    </row>
    <row r="74" spans="1:20" x14ac:dyDescent="0.25">
      <c r="A74" s="972">
        <f>IF(B74=TRUE,1,2)</f>
        <v>1</v>
      </c>
      <c r="B74" s="16" t="b">
        <v>1</v>
      </c>
      <c r="C74" s="92"/>
      <c r="D74" s="3283" t="str">
        <f>IF(Land_AdjType&lt;&gt;"Qualitative","Adjustment","Relative Comparison")</f>
        <v>Adjustment</v>
      </c>
      <c r="E74" s="93"/>
      <c r="F74" s="3284">
        <f t="shared" ref="F74:I74" si="21">IF(Land_AdjType="Percent",IF(AND(F75=0,F76=0,F77=0),0,IF(F75&lt;&gt;0,F75,IF(F76&lt;&gt;0,IF(dpUnit_Land="Per Usable Acre",(F76/F$15)/F$23,IF(dpUnit_Land="Per Gross Acre",(F76/F$17)/F$25,IF(dpUnit_Land="Per Usable Square Foot",(F76/F$16)/F$24,IF(dpUnit_Land="Per Gross Square Foot",(F76/F$18)/F$26,IF(dpUnit_Land="Per Front Foot",(F76/F$19)/F$27,IF(dpUnit_Land="Per Proposed Square Foot",(F76/F$20)/F$28,IF(dpUnit_Land="Per Lot",(F76/F$21)/F$29,(F76/F$22)/F$30))))))),IF(dpUnit_Land="Per Usable Acre",F77/F$23,IF(dpUnit_Land="Per Gross Acre",F77/F$25,IF(dpUnit_Land="Per Usable Square Foot",F77/F$24,IF(dpUnit_Land="Per Gross Square Foot",F77/F$26,IF(dpUnit_Land="Per Front Foot",F77/F$27,IF(dpUnit_Land="Per Proposed Square Foot",F77/F$28,IF(dpUnit_Land="Per Lot",F77/F$29,F77/F$30)))))))))),IF(Land_AdjType="$ per Unit",IF(AND(F75=0,F76=0,F77=0),0,IF(F75&lt;&gt;0,IF(dpUnit_Land="Per Usable Acre",F75*F$23,IF(dpUnit_Land="Per Gross Acre",F75*F$25,IF(dpUnit_Land="Per Usable Square Foot",F75*F$24,IF(dpUnit_Land="Per Gross Square Foot",F75*F$26,IF(dpUnit_Land="Per Front Foot",F75*F$27,IF(dpUnit_Land="Per Proposed Square Foot",F75*F$28,IF(dpUnit_Land="Per Lot",F75*F$29,F75*F$30))))))),IF(F76&lt;&gt;0,IF(dpUnit_Land="Per Usable Acre",F76/F$15,IF(dpUnit_Land="Per Gross Acre",F76/F$17,IF(dpUnit_Land="Per Usable Square Foot",F76/F$16,IF(dpUnit_Land="Per Gross Square Foot",F76/F$18,IF(dpUnit_Land="Per Front Foot",F76/F$19,IF(dpUnit_Land="Per Proposed Square Foot",F76/F$20,IF(dpUnit_Land="Per Lot",F76/F$21,F76/F$22))))))),F77))),IF(OR(F75&gt;0,F76&gt;0,F77&gt;0),"Inferior",IF(OR(F75&lt;0,F76&lt;0,F77&lt;0),"Superior","Similar"))))</f>
        <v>0</v>
      </c>
      <c r="G74" s="3284">
        <f t="shared" si="21"/>
        <v>0</v>
      </c>
      <c r="H74" s="3284">
        <f t="shared" si="21"/>
        <v>0</v>
      </c>
      <c r="I74" s="3285">
        <f t="shared" si="21"/>
        <v>0</v>
      </c>
      <c r="J74" s="3286"/>
      <c r="K74" s="74"/>
      <c r="L74" s="32"/>
      <c r="M74" s="32"/>
      <c r="N74" s="32"/>
      <c r="O74" s="150" t="s">
        <v>1187</v>
      </c>
      <c r="P74" s="150"/>
      <c r="Q74" s="150"/>
      <c r="R74" s="10">
        <f>9.43*43560</f>
        <v>410770.8</v>
      </c>
      <c r="T74" s="10">
        <f>7400000/R74</f>
        <v>18.014912452394377</v>
      </c>
    </row>
    <row r="75" spans="1:20" ht="15" hidden="1" thickBot="1" x14ac:dyDescent="0.3">
      <c r="A75" s="972">
        <f>IF(A74=2,2,0)</f>
        <v>0</v>
      </c>
      <c r="B75" s="16"/>
      <c r="C75" s="92"/>
      <c r="D75" s="3292"/>
      <c r="E75" s="3256" t="s">
        <v>166</v>
      </c>
      <c r="F75" s="1856"/>
      <c r="G75" s="1856"/>
      <c r="H75" s="1856"/>
      <c r="I75" s="1003"/>
      <c r="J75" s="775"/>
      <c r="K75" s="74"/>
      <c r="L75" s="32"/>
      <c r="M75" s="32"/>
      <c r="N75" s="32"/>
      <c r="O75" s="914"/>
      <c r="P75" s="120"/>
      <c r="Q75" s="120"/>
    </row>
    <row r="76" spans="1:20" hidden="1" x14ac:dyDescent="0.25">
      <c r="A76" s="972">
        <f>IF(A75=2,2,0)</f>
        <v>0</v>
      </c>
      <c r="B76" s="16"/>
      <c r="C76" s="92"/>
      <c r="D76" s="3292"/>
      <c r="E76" s="3256" t="s">
        <v>167</v>
      </c>
      <c r="F76" s="1857"/>
      <c r="G76" s="1857"/>
      <c r="H76" s="1857"/>
      <c r="I76" s="1004"/>
      <c r="J76" s="3288"/>
      <c r="K76" s="74"/>
      <c r="L76" s="32"/>
      <c r="M76" s="32"/>
      <c r="N76" s="32"/>
      <c r="O76" s="32"/>
      <c r="P76" s="32"/>
      <c r="Q76" s="32"/>
    </row>
    <row r="77" spans="1:20" hidden="1" x14ac:dyDescent="0.25">
      <c r="A77" s="972">
        <f>IF(A76=2,2,0)</f>
        <v>0</v>
      </c>
      <c r="B77" s="16"/>
      <c r="C77" s="92"/>
      <c r="D77" s="3292"/>
      <c r="E77" s="3256" t="str">
        <f>CONCATENATE("Enter $/",dpUnit_Land," Adj.")</f>
        <v>Enter $/per Usable Square Foot Adj.</v>
      </c>
      <c r="F77" s="1858"/>
      <c r="G77" s="1858"/>
      <c r="H77" s="1858"/>
      <c r="I77" s="1005"/>
      <c r="J77" s="3289"/>
      <c r="K77" s="74"/>
      <c r="L77" s="32"/>
      <c r="M77" s="32"/>
      <c r="N77" s="32"/>
      <c r="O77" s="32"/>
      <c r="P77" s="32"/>
      <c r="Q77" s="32"/>
    </row>
    <row r="78" spans="1:20" ht="7.9" hidden="1" customHeight="1" x14ac:dyDescent="0.25">
      <c r="A78" s="972">
        <f>A80</f>
        <v>2</v>
      </c>
      <c r="B78" s="16"/>
      <c r="C78" s="92"/>
      <c r="D78" s="3292"/>
      <c r="E78" s="93"/>
      <c r="F78" s="3310">
        <f t="shared" ref="F78:I78" si="22">IF(AND(F81=0,F82=0,F83=0),0,IF(F81&lt;&gt;0,F81,IF(F82&lt;&gt;0,IF(dpUnit_Land="Per Usable Acre",(F82/F$15)/F$23,IF(dpUnit_Land="Per Gross Acre",(F82/F$17)/F$25,IF(dpUnit_Land="Per Usable Square Foot",(F82/F$16)/F$24,IF(dpUnit_Land="Per Gross Square Foot",(F82/F$18)/F$26,IF(dpUnit_Land="Per Front Foot",(F82/F$19)/F$27,IF(dpUnit_Land="Per Proposed Square Foot",(F82/F$20)/F$28,IF(dpUnit_Land="Per Lot",(F82/F$21)/F$29,(F82/F$22)/F$30))))))),IF(dpUnit_Land="Per Usable Acre",F83/F$23,IF(dpUnit_Land="Per Gross Acre",F83/F$25,IF(dpUnit_Land="Per Usable Square Foot",F83/F$24,IF(dpUnit_Land="Per Gross Square Foot",F83/F$26,IF(dpUnit_Land="Per Front Foot",F83/F$27,IF(dpUnit_Land="Per Proposed Square Foot",F83/F$28,IF(dpUnit_Land="Per Lot",F83/F$29,F83/F$30))))))))))</f>
        <v>0</v>
      </c>
      <c r="G78" s="3310">
        <f t="shared" si="22"/>
        <v>0</v>
      </c>
      <c r="H78" s="3310">
        <f t="shared" si="22"/>
        <v>0</v>
      </c>
      <c r="I78" s="3311">
        <f t="shared" si="22"/>
        <v>0</v>
      </c>
      <c r="J78" s="3280"/>
      <c r="K78" s="74"/>
      <c r="L78" s="32"/>
      <c r="M78" s="32"/>
      <c r="N78" s="32"/>
      <c r="O78" s="32"/>
      <c r="P78" s="32"/>
      <c r="Q78" s="32"/>
    </row>
    <row r="79" spans="1:20" ht="28.5" hidden="1" x14ac:dyDescent="0.25">
      <c r="A79" s="972">
        <f>A80</f>
        <v>2</v>
      </c>
      <c r="B79" s="16"/>
      <c r="C79" s="92"/>
      <c r="D79" s="1493" t="s">
        <v>97</v>
      </c>
      <c r="E79" s="1665" t="str">
        <f>Subject_LandShape</f>
        <v>Square</v>
      </c>
      <c r="F79" s="1799" t="s">
        <v>19872</v>
      </c>
      <c r="G79" s="1799"/>
      <c r="H79" s="1799" t="s">
        <v>19892</v>
      </c>
      <c r="I79" s="1961"/>
      <c r="J79" s="3280"/>
      <c r="K79" s="74"/>
      <c r="L79" s="32"/>
      <c r="M79" s="32"/>
      <c r="N79" s="32"/>
      <c r="O79" s="32"/>
      <c r="P79" s="32"/>
      <c r="Q79" s="32"/>
    </row>
    <row r="80" spans="1:20" hidden="1" x14ac:dyDescent="0.25">
      <c r="A80" s="972">
        <f>IF(B80=TRUE,1,2)</f>
        <v>2</v>
      </c>
      <c r="B80" s="16" t="b">
        <v>0</v>
      </c>
      <c r="C80" s="92"/>
      <c r="D80" s="3283" t="str">
        <f>IF(Land_AdjType&lt;&gt;"Qualitative","Adjustment","Relative Comparison")</f>
        <v>Adjustment</v>
      </c>
      <c r="E80" s="93"/>
      <c r="F80" s="3284">
        <f t="shared" ref="F80:I80" si="23">IF(Land_AdjType="Percent",IF(AND(F81=0,F82=0,F83=0),0,IF(F81&lt;&gt;0,F81,IF(F82&lt;&gt;0,IF(dpUnit_Land="Per Usable Acre",(F82/F$15)/F$23,IF(dpUnit_Land="Per Gross Acre",(F82/F$17)/F$25,IF(dpUnit_Land="Per Usable Square Foot",(F82/F$16)/F$24,IF(dpUnit_Land="Per Gross Square Foot",(F82/F$18)/F$26,IF(dpUnit_Land="Per Front Foot",(F82/F$19)/F$27,IF(dpUnit_Land="Per Proposed Square Foot",(F82/F$20)/F$28,IF(dpUnit_Land="Per Lot",(F82/F$21)/F$29,(F82/F$22)/F$30))))))),IF(dpUnit_Land="Per Usable Acre",F83/F$23,IF(dpUnit_Land="Per Gross Acre",F83/F$25,IF(dpUnit_Land="Per Usable Square Foot",F83/F$24,IF(dpUnit_Land="Per Gross Square Foot",F83/F$26,IF(dpUnit_Land="Per Front Foot",F83/F$27,IF(dpUnit_Land="Per Proposed Square Foot",F83/F$28,IF(dpUnit_Land="Per Lot",F83/F$29,F83/F$30)))))))))),IF(Land_AdjType="$ per Unit",IF(AND(F81=0,F82=0,F83=0),0,IF(F81&lt;&gt;0,IF(dpUnit_Land="Per Usable Acre",F81*F$23,IF(dpUnit_Land="Per Gross Acre",F81*F$25,IF(dpUnit_Land="Per Usable Square Foot",F81*F$24,IF(dpUnit_Land="Per Gross Square Foot",F81*F$26,IF(dpUnit_Land="Per Front Foot",F81*F$27,IF(dpUnit_Land="Per Proposed Square Foot",F81*F$28,IF(dpUnit_Land="Per Lot",F81*F$29,F81*F$30))))))),IF(F82&lt;&gt;0,IF(dpUnit_Land="Per Usable Acre",F82/F$15,IF(dpUnit_Land="Per Gross Acre",F82/F$17,IF(dpUnit_Land="Per Usable Square Foot",F82/F$16,IF(dpUnit_Land="Per Gross Square Foot",F82/F$18,IF(dpUnit_Land="Per Front Foot",F82/F$19,IF(dpUnit_Land="Per Proposed Square Foot",F82/F$20,IF(dpUnit_Land="Per Lot",F82/F$21,F82/F$22))))))),F83))),IF(OR(F81&gt;0,F82&gt;0,F83&gt;0),"Inferior",IF(OR(F81&lt;0,F82&lt;0,F83&lt;0),"Superior","Similar"))))</f>
        <v>0</v>
      </c>
      <c r="G80" s="3284">
        <f t="shared" si="23"/>
        <v>0</v>
      </c>
      <c r="H80" s="3284">
        <f t="shared" si="23"/>
        <v>0</v>
      </c>
      <c r="I80" s="3285">
        <f t="shared" si="23"/>
        <v>0</v>
      </c>
      <c r="J80" s="3286"/>
      <c r="K80" s="74"/>
      <c r="L80" s="32"/>
      <c r="M80" s="32"/>
      <c r="N80" s="32"/>
      <c r="O80" s="32"/>
      <c r="P80" s="32"/>
      <c r="Q80" s="32"/>
    </row>
    <row r="81" spans="1:17" hidden="1" x14ac:dyDescent="0.25">
      <c r="A81" s="972">
        <f>IF(A80=2,2,0)</f>
        <v>2</v>
      </c>
      <c r="B81" s="16"/>
      <c r="C81" s="92"/>
      <c r="D81" s="3283"/>
      <c r="E81" s="3256" t="s">
        <v>166</v>
      </c>
      <c r="F81" s="1856"/>
      <c r="G81" s="1856"/>
      <c r="H81" s="1856"/>
      <c r="I81" s="1003"/>
      <c r="J81" s="775"/>
      <c r="K81" s="74"/>
      <c r="L81" s="32"/>
      <c r="M81" s="32"/>
      <c r="N81" s="32"/>
      <c r="O81" s="32"/>
      <c r="P81" s="32"/>
      <c r="Q81" s="32"/>
    </row>
    <row r="82" spans="1:17" hidden="1" x14ac:dyDescent="0.25">
      <c r="A82" s="972">
        <f>IF(A81=2,2,0)</f>
        <v>2</v>
      </c>
      <c r="B82" s="16"/>
      <c r="C82" s="92"/>
      <c r="D82" s="3283"/>
      <c r="E82" s="3256" t="s">
        <v>167</v>
      </c>
      <c r="F82" s="1857"/>
      <c r="G82" s="1857"/>
      <c r="H82" s="1857"/>
      <c r="I82" s="1004"/>
      <c r="J82" s="3288"/>
      <c r="K82" s="74"/>
      <c r="L82" s="32"/>
      <c r="M82" s="32"/>
      <c r="N82" s="32"/>
      <c r="O82" s="32"/>
      <c r="P82" s="32"/>
      <c r="Q82" s="32"/>
    </row>
    <row r="83" spans="1:17" hidden="1" x14ac:dyDescent="0.25">
      <c r="A83" s="972">
        <f>IF(A82=2,2,0)</f>
        <v>2</v>
      </c>
      <c r="B83" s="16"/>
      <c r="C83" s="92"/>
      <c r="D83" s="3283"/>
      <c r="E83" s="3256" t="str">
        <f>CONCATENATE("Enter $/",dpUnit_Land," Adj.")</f>
        <v>Enter $/per Usable Square Foot Adj.</v>
      </c>
      <c r="F83" s="1858"/>
      <c r="G83" s="1858"/>
      <c r="H83" s="1858"/>
      <c r="I83" s="1005"/>
      <c r="J83" s="3289"/>
      <c r="K83" s="74"/>
      <c r="L83" s="32"/>
      <c r="M83" s="32"/>
      <c r="N83" s="32"/>
      <c r="O83" s="32"/>
      <c r="P83" s="32"/>
      <c r="Q83" s="32"/>
    </row>
    <row r="84" spans="1:17" ht="7.9" hidden="1" customHeight="1" x14ac:dyDescent="0.25">
      <c r="A84" s="972">
        <f>A86</f>
        <v>2</v>
      </c>
      <c r="B84" s="16"/>
      <c r="C84" s="92"/>
      <c r="D84" s="3283"/>
      <c r="E84" s="93"/>
      <c r="F84" s="3310">
        <f t="shared" ref="F84:I84" si="24">IF(AND(F87=0,F88=0,F89=0),0,IF(F87&lt;&gt;0,F87,IF(F88&lt;&gt;0,IF(dpUnit_Land="Per Usable Acre",(F88/F$15)/F$23,IF(dpUnit_Land="Per Gross Acre",(F88/F$17)/F$25,IF(dpUnit_Land="Per Usable Square Foot",(F88/F$16)/F$24,IF(dpUnit_Land="Per Gross Square Foot",(F88/F$18)/F$26,IF(dpUnit_Land="Per Front Foot",(F88/F$19)/F$27,IF(dpUnit_Land="Per Proposed Square Foot",(F88/F$20)/F$28,IF(dpUnit_Land="Per Lot",(F88/F$21)/F$29,(F88/F$22)/F$30))))))),IF(dpUnit_Land="Per Usable Acre",F89/F$23,IF(dpUnit_Land="Per Gross Acre",F89/F$25,IF(dpUnit_Land="Per Usable Square Foot",F89/F$24,IF(dpUnit_Land="Per Gross Square Foot",F89/F$26,IF(dpUnit_Land="Per Front Foot",F89/F$27,IF(dpUnit_Land="Per Proposed Square Foot",F89/F$28,IF(dpUnit_Land="Per Lot",F89/F$29,F89/F$30))))))))))</f>
        <v>0</v>
      </c>
      <c r="G84" s="3310">
        <f t="shared" si="24"/>
        <v>0</v>
      </c>
      <c r="H84" s="3310">
        <f t="shared" si="24"/>
        <v>0</v>
      </c>
      <c r="I84" s="3311">
        <f t="shared" si="24"/>
        <v>0</v>
      </c>
      <c r="J84" s="3280"/>
      <c r="K84" s="74"/>
      <c r="L84" s="32"/>
      <c r="M84" s="32"/>
      <c r="N84" s="32"/>
      <c r="O84" s="32"/>
      <c r="P84" s="32"/>
      <c r="Q84" s="32"/>
    </row>
    <row r="85" spans="1:17" hidden="1" x14ac:dyDescent="0.25">
      <c r="A85" s="972">
        <f>A86</f>
        <v>2</v>
      </c>
      <c r="B85" s="16"/>
      <c r="C85" s="92"/>
      <c r="D85" s="1493" t="s">
        <v>98</v>
      </c>
      <c r="E85" s="1665" t="str">
        <f>Subject_CornerExposure</f>
        <v>Soft Corner</v>
      </c>
      <c r="F85" s="1799" t="s">
        <v>19874</v>
      </c>
      <c r="G85" s="1799" t="s">
        <v>19882</v>
      </c>
      <c r="H85" s="1799" t="s">
        <v>19874</v>
      </c>
      <c r="I85" s="1961" t="s">
        <v>19901</v>
      </c>
      <c r="J85" s="3280"/>
      <c r="K85" s="74"/>
      <c r="L85" s="32"/>
      <c r="M85" s="32"/>
      <c r="N85" s="32"/>
      <c r="O85" s="32"/>
      <c r="P85" s="32"/>
      <c r="Q85" s="32"/>
    </row>
    <row r="86" spans="1:17" hidden="1" x14ac:dyDescent="0.25">
      <c r="A86" s="972">
        <f>IF(B86=TRUE,1,2)</f>
        <v>2</v>
      </c>
      <c r="B86" s="16" t="b">
        <v>0</v>
      </c>
      <c r="C86" s="92"/>
      <c r="D86" s="3283" t="str">
        <f>IF(Land_AdjType&lt;&gt;"Qualitative","Adjustment","Relative Comparison")</f>
        <v>Adjustment</v>
      </c>
      <c r="E86" s="93"/>
      <c r="F86" s="3284">
        <f t="shared" ref="F86:I86" si="25">IF(Land_AdjType="Percent",IF(AND(F87=0,F88=0,F89=0),0,IF(F87&lt;&gt;0,F87,IF(F88&lt;&gt;0,IF(dpUnit_Land="Per Usable Acre",(F88/F$15)/F$23,IF(dpUnit_Land="Per Gross Acre",(F88/F$17)/F$25,IF(dpUnit_Land="Per Usable Square Foot",(F88/F$16)/F$24,IF(dpUnit_Land="Per Gross Square Foot",(F88/F$18)/F$26,IF(dpUnit_Land="Per Front Foot",(F88/F$19)/F$27,IF(dpUnit_Land="Per Proposed Square Foot",(F88/F$20)/F$28,IF(dpUnit_Land="Per Lot",(F88/F$21)/F$29,(F88/F$22)/F$30))))))),IF(dpUnit_Land="Per Usable Acre",F89/F$23,IF(dpUnit_Land="Per Gross Acre",F89/F$25,IF(dpUnit_Land="Per Usable Square Foot",F89/F$24,IF(dpUnit_Land="Per Gross Square Foot",F89/F$26,IF(dpUnit_Land="Per Front Foot",F89/F$27,IF(dpUnit_Land="Per Proposed Square Foot",F89/F$28,IF(dpUnit_Land="Per Lot",F89/F$29,F89/F$30)))))))))),IF(Land_AdjType="$ per Unit",IF(AND(F87=0,F88=0,F89=0),0,IF(F87&lt;&gt;0,IF(dpUnit_Land="Per Usable Acre",F87*F$23,IF(dpUnit_Land="Per Gross Acre",F87*F$25,IF(dpUnit_Land="Per Usable Square Foot",F87*F$24,IF(dpUnit_Land="Per Gross Square Foot",F87*F$26,IF(dpUnit_Land="Per Front Foot",F87*F$27,IF(dpUnit_Land="Per Proposed Square Foot",F87*F$28,IF(dpUnit_Land="Per Lot",F87*F$29,F87*F$30))))))),IF(F88&lt;&gt;0,IF(dpUnit_Land="Per Usable Acre",F88/F$15,IF(dpUnit_Land="Per Gross Acre",F88/F$17,IF(dpUnit_Land="Per Usable Square Foot",F88/F$16,IF(dpUnit_Land="Per Gross Square Foot",F88/F$18,IF(dpUnit_Land="Per Front Foot",F88/F$19,IF(dpUnit_Land="Per Proposed Square Foot",F88/F$20,IF(dpUnit_Land="Per Lot",F88/F$21,F88/F$22))))))),F89))),IF(OR(F87&gt;0,F88&gt;0,F89&gt;0),"Inferior",IF(OR(F87&lt;0,F88&lt;0,F89&lt;0),"Superior","Similar"))))</f>
        <v>0</v>
      </c>
      <c r="G86" s="3284">
        <f t="shared" si="25"/>
        <v>0</v>
      </c>
      <c r="H86" s="3284">
        <f t="shared" si="25"/>
        <v>0</v>
      </c>
      <c r="I86" s="3285">
        <f t="shared" si="25"/>
        <v>0</v>
      </c>
      <c r="J86" s="3286"/>
      <c r="K86" s="74"/>
      <c r="L86" s="32"/>
      <c r="M86" s="32"/>
      <c r="N86" s="32"/>
      <c r="O86" s="32"/>
      <c r="P86" s="32"/>
      <c r="Q86" s="32"/>
    </row>
    <row r="87" spans="1:17" hidden="1" x14ac:dyDescent="0.25">
      <c r="A87" s="972">
        <f>IF(A86=2,2,0)</f>
        <v>2</v>
      </c>
      <c r="B87" s="16"/>
      <c r="C87" s="92"/>
      <c r="D87" s="3283"/>
      <c r="E87" s="3256" t="s">
        <v>166</v>
      </c>
      <c r="F87" s="1856"/>
      <c r="G87" s="1856"/>
      <c r="H87" s="1856"/>
      <c r="I87" s="1003"/>
      <c r="J87" s="775"/>
      <c r="K87" s="74"/>
      <c r="L87" s="32"/>
      <c r="M87" s="32"/>
      <c r="N87" s="32"/>
      <c r="O87" s="32"/>
      <c r="P87" s="32"/>
      <c r="Q87" s="32"/>
    </row>
    <row r="88" spans="1:17" hidden="1" x14ac:dyDescent="0.25">
      <c r="A88" s="972">
        <f>IF(A87=2,2,0)</f>
        <v>2</v>
      </c>
      <c r="B88" s="16"/>
      <c r="C88" s="92"/>
      <c r="D88" s="3283"/>
      <c r="E88" s="3256" t="s">
        <v>167</v>
      </c>
      <c r="F88" s="1857"/>
      <c r="G88" s="1857"/>
      <c r="H88" s="1857"/>
      <c r="I88" s="1004"/>
      <c r="J88" s="3288"/>
      <c r="K88" s="74"/>
      <c r="L88" s="32"/>
      <c r="M88" s="32"/>
      <c r="N88" s="32"/>
      <c r="O88" s="32"/>
      <c r="P88" s="32"/>
      <c r="Q88" s="32"/>
    </row>
    <row r="89" spans="1:17" hidden="1" x14ac:dyDescent="0.25">
      <c r="A89" s="972">
        <f>IF(A88=2,2,0)</f>
        <v>2</v>
      </c>
      <c r="B89" s="16"/>
      <c r="C89" s="92"/>
      <c r="D89" s="3283"/>
      <c r="E89" s="3256" t="str">
        <f>CONCATENATE("Enter $/",dpUnit_Land," Adj.")</f>
        <v>Enter $/per Usable Square Foot Adj.</v>
      </c>
      <c r="F89" s="1858"/>
      <c r="G89" s="1858"/>
      <c r="H89" s="1858"/>
      <c r="I89" s="1005"/>
      <c r="J89" s="3289"/>
      <c r="K89" s="74"/>
      <c r="L89" s="32"/>
      <c r="M89" s="32"/>
      <c r="N89" s="32"/>
      <c r="O89" s="32"/>
      <c r="P89" s="32"/>
      <c r="Q89" s="32"/>
    </row>
    <row r="90" spans="1:17" ht="8.1" hidden="1" customHeight="1" x14ac:dyDescent="0.25">
      <c r="A90" s="972">
        <f>A94</f>
        <v>2</v>
      </c>
      <c r="B90" s="16"/>
      <c r="C90" s="92"/>
      <c r="D90" s="3283"/>
      <c r="E90" s="93"/>
      <c r="F90" s="3310">
        <f t="shared" ref="F90:I90" si="26">IF(AND(F95=0,F96=0,F97=0),0,IF(F95&lt;&gt;0,F95,IF(F96&lt;&gt;0,IF(dpUnit_Land="Per Usable Acre",(F96/F$15)/F$23,IF(dpUnit_Land="Per Gross Acre",(F96/F$17)/F$25,IF(dpUnit_Land="Per Usable Square Foot",(F96/F$16)/F$24,IF(dpUnit_Land="Per Gross Square Foot",(F96/F$18)/F$26,IF(dpUnit_Land="Per Front Foot",(F96/F$19)/F$27,IF(dpUnit_Land="Per Proposed Square Foot",(F96/F$20)/F$28,IF(dpUnit_Land="Per Lot",(F96/F$21)/F$29,(F96/F$22)/F$30))))))),IF(dpUnit_Land="Per Usable Acre",F97/F$23,IF(dpUnit_Land="Per Gross Acre",F97/F$25,IF(dpUnit_Land="Per Usable Square Foot",F97/F$24,IF(dpUnit_Land="Per Gross Square Foot",F97/F$26,IF(dpUnit_Land="Per Front Foot",F97/F$27,IF(dpUnit_Land="Per Proposed Square Foot",F97/F$28,IF(dpUnit_Land="Per Lot",F97/F$29,F97/F$30))))))))))</f>
        <v>0</v>
      </c>
      <c r="G90" s="3310">
        <f t="shared" si="26"/>
        <v>0</v>
      </c>
      <c r="H90" s="3310">
        <f t="shared" si="26"/>
        <v>0</v>
      </c>
      <c r="I90" s="3311">
        <f t="shared" si="26"/>
        <v>0</v>
      </c>
      <c r="J90" s="3280"/>
      <c r="K90" s="74"/>
      <c r="L90" s="32"/>
      <c r="M90" s="32"/>
      <c r="N90" s="32"/>
      <c r="O90" s="32"/>
      <c r="P90" s="32"/>
      <c r="Q90" s="32"/>
    </row>
    <row r="91" spans="1:17" s="142" customFormat="1" ht="57" hidden="1" x14ac:dyDescent="0.25">
      <c r="A91" s="976">
        <f>A94</f>
        <v>2</v>
      </c>
      <c r="B91" s="140"/>
      <c r="C91" s="742"/>
      <c r="D91" s="1493" t="s">
        <v>101</v>
      </c>
      <c r="E91" s="1665" t="str">
        <f>IF(Subject_SecondaryFrontageFeet=0,CONCATENATE("Primary - ",TEXT(Subject_PrimaryFrontageFeet,"#,#00")," feet"),CONCATENATE("Primary - ",TEXT(Subject_PrimaryFrontageFeet,"#,#00")," feet &amp; Secondary - ",TEXT(Subject_SecondaryFrontageFeet,"#,#00")," feet"))</f>
        <v>Primary - 125 feet</v>
      </c>
      <c r="F91" s="1831" t="str">
        <f t="shared" ref="F91:I91" si="27">IF(F93=0,CONCATENATE("Primary - ",TEXT(F92,"#,#00")," feet"),CONCATENATE("Primary - ",TEXT(F92,"#,#00")," feet &amp; Secondary - ",TEXT(F93,"#,#00")," feet"))</f>
        <v>Primary - 83 feet &amp; Secondary - 130 feet</v>
      </c>
      <c r="G91" s="1831" t="str">
        <f t="shared" si="27"/>
        <v>Primary - 200 feet &amp; Secondary - 100 feet</v>
      </c>
      <c r="H91" s="1831" t="str">
        <f t="shared" si="27"/>
        <v>Primary - 260 feet &amp; Secondary - 250 feet</v>
      </c>
      <c r="I91" s="1006" t="str">
        <f t="shared" si="27"/>
        <v>Primary - 00 feet</v>
      </c>
      <c r="J91" s="3313"/>
      <c r="K91" s="141"/>
      <c r="L91" s="295"/>
      <c r="M91" s="295"/>
      <c r="N91" s="295"/>
      <c r="O91" s="295"/>
      <c r="P91" s="295"/>
      <c r="Q91" s="295"/>
    </row>
    <row r="92" spans="1:17" ht="15" hidden="1" customHeight="1" x14ac:dyDescent="0.25">
      <c r="A92" s="972">
        <v>0</v>
      </c>
      <c r="B92" s="16"/>
      <c r="C92" s="92"/>
      <c r="D92" s="3317"/>
      <c r="E92" s="2022" t="s">
        <v>310</v>
      </c>
      <c r="F92" s="3265">
        <v>83</v>
      </c>
      <c r="G92" s="3265">
        <v>200</v>
      </c>
      <c r="H92" s="3265">
        <v>260</v>
      </c>
      <c r="I92" s="3266"/>
      <c r="J92" s="3280"/>
      <c r="K92" s="74"/>
      <c r="L92" s="32"/>
      <c r="M92" s="32"/>
      <c r="N92" s="32"/>
      <c r="O92" s="32"/>
      <c r="P92" s="32"/>
      <c r="Q92" s="32"/>
    </row>
    <row r="93" spans="1:17" ht="15" hidden="1" customHeight="1" x14ac:dyDescent="0.25">
      <c r="A93" s="972">
        <v>0</v>
      </c>
      <c r="B93" s="16"/>
      <c r="C93" s="92"/>
      <c r="D93" s="3317"/>
      <c r="E93" s="2022" t="s">
        <v>311</v>
      </c>
      <c r="F93" s="3265">
        <v>130</v>
      </c>
      <c r="G93" s="3265">
        <v>100</v>
      </c>
      <c r="H93" s="3265">
        <v>250</v>
      </c>
      <c r="I93" s="3266"/>
      <c r="J93" s="3280"/>
      <c r="K93" s="74"/>
      <c r="L93" s="32"/>
      <c r="M93" s="32"/>
      <c r="N93" s="32"/>
      <c r="O93" s="32"/>
      <c r="P93" s="32"/>
      <c r="Q93" s="32"/>
    </row>
    <row r="94" spans="1:17" hidden="1" x14ac:dyDescent="0.25">
      <c r="A94" s="972">
        <f>IF(B94=TRUE,1,2)</f>
        <v>2</v>
      </c>
      <c r="B94" s="16" t="b">
        <v>0</v>
      </c>
      <c r="C94" s="92"/>
      <c r="D94" s="3283" t="str">
        <f>IF(Land_AdjType&lt;&gt;"Qualitative","Adjustment","Relative Comparison")</f>
        <v>Adjustment</v>
      </c>
      <c r="E94" s="93"/>
      <c r="F94" s="3284">
        <f t="shared" ref="F94:I94" si="28">IF(Land_AdjType="Percent",IF(AND(F95=0,F96=0,F97=0),0,IF(F95&lt;&gt;0,F95,IF(F96&lt;&gt;0,IF(dpUnit_Land="Per Usable Acre",(F96/F$15)/F$23,IF(dpUnit_Land="Per Gross Acre",(F96/F$17)/F$25,IF(dpUnit_Land="Per Usable Square Foot",(F96/F$16)/F$24,IF(dpUnit_Land="Per Gross Square Foot",(F96/F$18)/F$26,IF(dpUnit_Land="Per Front Foot",(F96/F$19)/F$27,IF(dpUnit_Land="Per Proposed Square Foot",(F96/F$20)/F$28,IF(dpUnit_Land="Per Lot",(F96/F$21)/F$29,(F96/F$22)/F$30))))))),IF(dpUnit_Land="Per Usable Acre",F97/F$23,IF(dpUnit_Land="Per Gross Acre",F97/F$25,IF(dpUnit_Land="Per Usable Square Foot",F97/F$24,IF(dpUnit_Land="Per Gross Square Foot",F97/F$26,IF(dpUnit_Land="Per Front Foot",F97/F$27,IF(dpUnit_Land="Per Proposed Square Foot",F97/F$28,IF(dpUnit_Land="Per Lot",F97/F$29,F97/F$30)))))))))),IF(Land_AdjType="$ per Unit",IF(AND(F95=0,F96=0,F97=0),0,IF(F95&lt;&gt;0,IF(dpUnit_Land="Per Usable Acre",F95*F$23,IF(dpUnit_Land="Per Gross Acre",F95*F$25,IF(dpUnit_Land="Per Usable Square Foot",F95*F$24,IF(dpUnit_Land="Per Gross Square Foot",F95*F$26,IF(dpUnit_Land="Per Front Foot",F95*F$27,IF(dpUnit_Land="Per Proposed Square Foot",F95*F$28,IF(dpUnit_Land="Per Lot",F95*F$29,F95*F$30))))))),IF(F96&lt;&gt;0,IF(dpUnit_Land="Per Usable Acre",F96/F$15,IF(dpUnit_Land="Per Gross Acre",F96/F$17,IF(dpUnit_Land="Per Usable Square Foot",F96/F$16,IF(dpUnit_Land="Per Gross Square Foot",F96/F$18,IF(dpUnit_Land="Per Front Foot",F96/F$19,IF(dpUnit_Land="Per Proposed Square Foot",F96/F$20,IF(dpUnit_Land="Per Lot",F96/F$21,F96/F$22))))))),F97))),IF(OR(F95&gt;0,F96&gt;0,F97&gt;0),"Inferior",IF(OR(F95&lt;0,F96&lt;0,F97&lt;0),"Superior","Similar"))))</f>
        <v>0</v>
      </c>
      <c r="G94" s="3284">
        <f t="shared" si="28"/>
        <v>0</v>
      </c>
      <c r="H94" s="3284">
        <f t="shared" si="28"/>
        <v>0</v>
      </c>
      <c r="I94" s="3285">
        <f t="shared" si="28"/>
        <v>0</v>
      </c>
      <c r="J94" s="3286"/>
      <c r="K94" s="74"/>
      <c r="L94" s="32"/>
      <c r="M94" s="32"/>
      <c r="N94" s="32"/>
      <c r="O94" s="32"/>
      <c r="P94" s="32"/>
      <c r="Q94" s="32"/>
    </row>
    <row r="95" spans="1:17" hidden="1" x14ac:dyDescent="0.25">
      <c r="A95" s="972">
        <f>IF(A94=2,2,0)</f>
        <v>2</v>
      </c>
      <c r="B95" s="16"/>
      <c r="C95" s="92"/>
      <c r="D95" s="3283"/>
      <c r="E95" s="3256" t="s">
        <v>166</v>
      </c>
      <c r="F95" s="1856"/>
      <c r="G95" s="1856"/>
      <c r="H95" s="1856"/>
      <c r="I95" s="1003"/>
      <c r="J95" s="775"/>
      <c r="K95" s="74"/>
      <c r="L95" s="32"/>
      <c r="M95" s="32"/>
      <c r="N95" s="32"/>
      <c r="O95" s="32"/>
      <c r="P95" s="32"/>
      <c r="Q95" s="32"/>
    </row>
    <row r="96" spans="1:17" hidden="1" x14ac:dyDescent="0.25">
      <c r="A96" s="972">
        <f>IF(A95=2,2,0)</f>
        <v>2</v>
      </c>
      <c r="B96" s="16"/>
      <c r="C96" s="92"/>
      <c r="D96" s="3283"/>
      <c r="E96" s="3256" t="s">
        <v>167</v>
      </c>
      <c r="F96" s="1857"/>
      <c r="G96" s="1857"/>
      <c r="H96" s="1857"/>
      <c r="I96" s="1004"/>
      <c r="J96" s="3288"/>
      <c r="K96" s="74"/>
      <c r="L96" s="32"/>
      <c r="M96" s="32"/>
      <c r="N96" s="32"/>
      <c r="O96" s="32"/>
      <c r="P96" s="32"/>
      <c r="Q96" s="32"/>
    </row>
    <row r="97" spans="1:17" hidden="1" x14ac:dyDescent="0.25">
      <c r="A97" s="972">
        <f>IF(A96=2,2,0)</f>
        <v>2</v>
      </c>
      <c r="B97" s="16"/>
      <c r="C97" s="92"/>
      <c r="D97" s="3283"/>
      <c r="E97" s="3256" t="str">
        <f>CONCATENATE("Enter $/",dpUnit_Land," Adj.")</f>
        <v>Enter $/per Usable Square Foot Adj.</v>
      </c>
      <c r="F97" s="1858"/>
      <c r="G97" s="1858"/>
      <c r="H97" s="1858"/>
      <c r="I97" s="1005"/>
      <c r="J97" s="3289"/>
      <c r="K97" s="74"/>
      <c r="L97" s="32"/>
      <c r="M97" s="32"/>
      <c r="N97" s="32"/>
      <c r="O97" s="32"/>
      <c r="P97" s="32"/>
      <c r="Q97" s="32"/>
    </row>
    <row r="98" spans="1:17" ht="7.9" hidden="1" customHeight="1" x14ac:dyDescent="0.25">
      <c r="A98" s="972">
        <f>A100</f>
        <v>2</v>
      </c>
      <c r="B98" s="16"/>
      <c r="C98" s="92"/>
      <c r="D98" s="3283"/>
      <c r="E98" s="93"/>
      <c r="F98" s="3310">
        <f t="shared" ref="F98:I98" si="29">IF(AND(F101=0,F102=0,F103=0),0,IF(F101&lt;&gt;0,F101,IF(F102&lt;&gt;0,IF(dpUnit_Land="Per Usable Acre",(F102/F$15)/F$23,IF(dpUnit_Land="Per Gross Acre",(F102/F$17)/F$25,IF(dpUnit_Land="Per Usable Square Foot",(F102/F$16)/F$24,IF(dpUnit_Land="Per Gross Square Foot",(F102/F$18)/F$26,IF(dpUnit_Land="Per Front Foot",(F102/F$19)/F$27,IF(dpUnit_Land="Per Proposed Square Foot",(F102/F$20)/F$28,IF(dpUnit_Land="Per Lot",(F102/F$21)/F$29,(F102/F$22)/F$30))))))),IF(dpUnit_Land="Per Usable Acre",F103/F$23,IF(dpUnit_Land="Per Gross Acre",F103/F$25,IF(dpUnit_Land="Per Usable Square Foot",F103/F$24,IF(dpUnit_Land="Per Gross Square Foot",F103/F$26,IF(dpUnit_Land="Per Front Foot",F103/F$27,IF(dpUnit_Land="Per Proposed Square Foot",F103/F$28,IF(dpUnit_Land="Per Lot",F103/F$29,F103/F$30))))))))))</f>
        <v>0</v>
      </c>
      <c r="G98" s="3310">
        <f t="shared" si="29"/>
        <v>0</v>
      </c>
      <c r="H98" s="3310">
        <f t="shared" si="29"/>
        <v>0</v>
      </c>
      <c r="I98" s="3311">
        <f t="shared" si="29"/>
        <v>0</v>
      </c>
      <c r="J98" s="3280"/>
      <c r="K98" s="74"/>
      <c r="L98" s="32"/>
      <c r="M98" s="32"/>
      <c r="N98" s="32"/>
      <c r="O98" s="32"/>
      <c r="P98" s="32"/>
      <c r="Q98" s="32"/>
    </row>
    <row r="99" spans="1:17" ht="42.75" hidden="1" x14ac:dyDescent="0.25">
      <c r="A99" s="972">
        <f>A100</f>
        <v>2</v>
      </c>
      <c r="B99" s="16"/>
      <c r="C99" s="92"/>
      <c r="D99" s="1493" t="s">
        <v>92</v>
      </c>
      <c r="E99" s="1665" t="str">
        <f>Subject_LandUtilities</f>
        <v>All public available.</v>
      </c>
      <c r="F99" s="1799" t="s">
        <v>19873</v>
      </c>
      <c r="G99" s="1799" t="s">
        <v>19873</v>
      </c>
      <c r="H99" s="1799" t="s">
        <v>19893</v>
      </c>
      <c r="I99" s="1961" t="s">
        <v>19893</v>
      </c>
      <c r="J99" s="3280"/>
      <c r="K99" s="74"/>
      <c r="L99" s="32"/>
      <c r="M99" s="32"/>
      <c r="N99" s="32"/>
      <c r="O99" s="32"/>
      <c r="P99" s="32"/>
      <c r="Q99" s="32"/>
    </row>
    <row r="100" spans="1:17" hidden="1" x14ac:dyDescent="0.25">
      <c r="A100" s="972">
        <f>IF(B100=TRUE,1,2)</f>
        <v>2</v>
      </c>
      <c r="B100" s="16" t="b">
        <v>0</v>
      </c>
      <c r="C100" s="92"/>
      <c r="D100" s="3283" t="str">
        <f>IF(Land_AdjType&lt;&gt;"Qualitative","Adjustment","Relative Comparison")</f>
        <v>Adjustment</v>
      </c>
      <c r="E100" s="93"/>
      <c r="F100" s="3284">
        <f t="shared" ref="F100:I100" si="30">IF(Land_AdjType="Percent",IF(AND(F101=0,F102=0,F103=0),0,IF(F101&lt;&gt;0,F101,IF(F102&lt;&gt;0,IF(dpUnit_Land="Per Usable Acre",(F102/F$15)/F$23,IF(dpUnit_Land="Per Gross Acre",(F102/F$17)/F$25,IF(dpUnit_Land="Per Usable Square Foot",(F102/F$16)/F$24,IF(dpUnit_Land="Per Gross Square Foot",(F102/F$18)/F$26,IF(dpUnit_Land="Per Front Foot",(F102/F$19)/F$27,IF(dpUnit_Land="Per Proposed Square Foot",(F102/F$20)/F$28,IF(dpUnit_Land="Per Lot",(F102/F$21)/F$29,(F102/F$22)/F$30))))))),IF(dpUnit_Land="Per Usable Acre",F103/F$23,IF(dpUnit_Land="Per Gross Acre",F103/F$25,IF(dpUnit_Land="Per Usable Square Foot",F103/F$24,IF(dpUnit_Land="Per Gross Square Foot",F103/F$26,IF(dpUnit_Land="Per Front Foot",F103/F$27,IF(dpUnit_Land="Per Proposed Square Foot",F103/F$28,IF(dpUnit_Land="Per Lot",F103/F$29,F103/F$30)))))))))),IF(Land_AdjType="$ per Unit",IF(AND(F101=0,F102=0,F103=0),0,IF(F101&lt;&gt;0,IF(dpUnit_Land="Per Usable Acre",F101*F$23,IF(dpUnit_Land="Per Gross Acre",F101*F$25,IF(dpUnit_Land="Per Usable Square Foot",F101*F$24,IF(dpUnit_Land="Per Gross Square Foot",F101*F$26,IF(dpUnit_Land="Per Front Foot",F101*F$27,IF(dpUnit_Land="Per Proposed Square Foot",F101*F$28,IF(dpUnit_Land="Per Lot",F101*F$29,F101*F$30))))))),IF(F102&lt;&gt;0,IF(dpUnit_Land="Per Usable Acre",F102/F$15,IF(dpUnit_Land="Per Gross Acre",F102/F$17,IF(dpUnit_Land="Per Usable Square Foot",F102/F$16,IF(dpUnit_Land="Per Gross Square Foot",F102/F$18,IF(dpUnit_Land="Per Front Foot",F102/F$19,IF(dpUnit_Land="Per Proposed Square Foot",F102/F$20,IF(dpUnit_Land="Per Lot",F102/F$21,F102/F$22))))))),F103))),IF(OR(F101&gt;0,F102&gt;0,F103&gt;0),"Inferior",IF(OR(F101&lt;0,F102&lt;0,F103&lt;0),"Superior","Similar"))))</f>
        <v>0</v>
      </c>
      <c r="G100" s="3284">
        <f t="shared" si="30"/>
        <v>0</v>
      </c>
      <c r="H100" s="3284">
        <f t="shared" si="30"/>
        <v>0</v>
      </c>
      <c r="I100" s="3285">
        <f t="shared" si="30"/>
        <v>0</v>
      </c>
      <c r="J100" s="3286"/>
      <c r="K100" s="74"/>
      <c r="L100" s="32"/>
      <c r="M100" s="32"/>
      <c r="N100" s="32"/>
      <c r="O100" s="32"/>
      <c r="P100" s="32"/>
      <c r="Q100" s="32"/>
    </row>
    <row r="101" spans="1:17" hidden="1" x14ac:dyDescent="0.25">
      <c r="A101" s="972">
        <f>IF(A100=2,2,0)</f>
        <v>2</v>
      </c>
      <c r="B101" s="16"/>
      <c r="C101" s="92"/>
      <c r="D101" s="3283"/>
      <c r="E101" s="3256" t="s">
        <v>166</v>
      </c>
      <c r="F101" s="1856"/>
      <c r="G101" s="1856"/>
      <c r="H101" s="1856"/>
      <c r="I101" s="1003"/>
      <c r="J101" s="775"/>
      <c r="K101" s="74"/>
      <c r="L101" s="32"/>
      <c r="M101" s="32"/>
      <c r="N101" s="32"/>
      <c r="O101" s="32"/>
      <c r="P101" s="32"/>
      <c r="Q101" s="32"/>
    </row>
    <row r="102" spans="1:17" hidden="1" x14ac:dyDescent="0.25">
      <c r="A102" s="972">
        <f>IF(A101=2,2,0)</f>
        <v>2</v>
      </c>
      <c r="B102" s="16"/>
      <c r="C102" s="92"/>
      <c r="D102" s="3283"/>
      <c r="E102" s="3256" t="s">
        <v>167</v>
      </c>
      <c r="F102" s="1857"/>
      <c r="G102" s="1857"/>
      <c r="H102" s="1857"/>
      <c r="I102" s="1004"/>
      <c r="J102" s="3288"/>
      <c r="K102" s="74"/>
      <c r="L102" s="32"/>
      <c r="M102" s="32"/>
      <c r="N102" s="32"/>
      <c r="O102" s="32"/>
      <c r="P102" s="32"/>
      <c r="Q102" s="32"/>
    </row>
    <row r="103" spans="1:17" hidden="1" x14ac:dyDescent="0.25">
      <c r="A103" s="972">
        <f>IF(A102=2,2,0)</f>
        <v>2</v>
      </c>
      <c r="B103" s="16"/>
      <c r="C103" s="92"/>
      <c r="D103" s="3283"/>
      <c r="E103" s="3256" t="str">
        <f>CONCATENATE("Enter $/",dpUnit_Land," Adj.")</f>
        <v>Enter $/per Usable Square Foot Adj.</v>
      </c>
      <c r="F103" s="1858"/>
      <c r="G103" s="1858"/>
      <c r="H103" s="1858"/>
      <c r="I103" s="1005"/>
      <c r="J103" s="3289"/>
      <c r="K103" s="74"/>
      <c r="L103" s="32"/>
      <c r="M103" s="32"/>
      <c r="N103" s="32"/>
      <c r="O103" s="32"/>
      <c r="P103" s="32"/>
      <c r="Q103" s="32"/>
    </row>
    <row r="104" spans="1:17" ht="7.9" hidden="1" customHeight="1" x14ac:dyDescent="0.25">
      <c r="A104" s="972">
        <f>A106</f>
        <v>2</v>
      </c>
      <c r="B104" s="16"/>
      <c r="C104" s="92"/>
      <c r="D104" s="3283"/>
      <c r="E104" s="93"/>
      <c r="F104" s="3310">
        <f t="shared" ref="F104:I104" si="31">IF(AND(F107=0,F108=0,F109=0),0,IF(F107&lt;&gt;0,F107,IF(F108&lt;&gt;0,IF(dpUnit_Land="Per Usable Acre",(F108/F$15)/F$23,IF(dpUnit_Land="Per Gross Acre",(F108/F$17)/F$25,IF(dpUnit_Land="Per Usable Square Foot",(F108/F$16)/F$24,IF(dpUnit_Land="Per Gross Square Foot",(F108/F$18)/F$26,IF(dpUnit_Land="Per Front Foot",(F108/F$19)/F$27,IF(dpUnit_Land="Per Proposed Square Foot",(F108/F$20)/F$28,IF(dpUnit_Land="Per Lot",(F108/F$21)/F$29,(F108/F$22)/F$30))))))),IF(dpUnit_Land="Per Usable Acre",F109/F$23,IF(dpUnit_Land="Per Gross Acre",F109/F$25,IF(dpUnit_Land="Per Usable Square Foot",F109/F$24,IF(dpUnit_Land="Per Gross Square Foot",F109/F$26,IF(dpUnit_Land="Per Front Foot",F109/F$27,IF(dpUnit_Land="Per Proposed Square Foot",F109/F$28,IF(dpUnit_Land="Per Lot",F109/F$29,F109/F$30))))))))))</f>
        <v>0</v>
      </c>
      <c r="G104" s="3310">
        <f t="shared" si="31"/>
        <v>0</v>
      </c>
      <c r="H104" s="3310">
        <f t="shared" si="31"/>
        <v>0</v>
      </c>
      <c r="I104" s="3311">
        <f t="shared" si="31"/>
        <v>0</v>
      </c>
      <c r="J104" s="3280"/>
      <c r="K104" s="74"/>
      <c r="L104" s="32"/>
      <c r="M104" s="32"/>
      <c r="N104" s="32"/>
      <c r="O104" s="32"/>
      <c r="P104" s="32"/>
      <c r="Q104" s="32"/>
    </row>
    <row r="105" spans="1:17" hidden="1" x14ac:dyDescent="0.25">
      <c r="A105" s="972">
        <f>A106</f>
        <v>2</v>
      </c>
      <c r="B105" s="16"/>
      <c r="C105" s="92"/>
      <c r="D105" s="1493" t="s">
        <v>99</v>
      </c>
      <c r="E105" s="1665" t="str">
        <f>Subject_Topography</f>
        <v>Level</v>
      </c>
      <c r="F105" s="1933" t="s">
        <v>18936</v>
      </c>
      <c r="G105" s="1933" t="s">
        <v>18936</v>
      </c>
      <c r="H105" s="1933" t="s">
        <v>18936</v>
      </c>
      <c r="I105" s="2037" t="s">
        <v>18936</v>
      </c>
      <c r="J105" s="3280"/>
      <c r="K105" s="74"/>
      <c r="L105" s="32"/>
      <c r="M105" s="32"/>
      <c r="N105" s="32"/>
      <c r="O105" s="32"/>
      <c r="P105" s="32"/>
      <c r="Q105" s="32"/>
    </row>
    <row r="106" spans="1:17" hidden="1" x14ac:dyDescent="0.25">
      <c r="A106" s="972">
        <f>IF(B106=TRUE,1,2)</f>
        <v>2</v>
      </c>
      <c r="B106" s="16" t="b">
        <v>0</v>
      </c>
      <c r="C106" s="92"/>
      <c r="D106" s="3283" t="str">
        <f>IF(Land_AdjType&lt;&gt;"Qualitative","Adjustment","Relative Comparison")</f>
        <v>Adjustment</v>
      </c>
      <c r="E106" s="93"/>
      <c r="F106" s="3284">
        <f t="shared" ref="F106:I106" si="32">IF(Land_AdjType="Percent",IF(AND(F107=0,F108=0,F109=0),0,IF(F107&lt;&gt;0,F107,IF(F108&lt;&gt;0,IF(dpUnit_Land="Per Usable Acre",(F108/F$15)/F$23,IF(dpUnit_Land="Per Gross Acre",(F108/F$17)/F$25,IF(dpUnit_Land="Per Usable Square Foot",(F108/F$16)/F$24,IF(dpUnit_Land="Per Gross Square Foot",(F108/F$18)/F$26,IF(dpUnit_Land="Per Front Foot",(F108/F$19)/F$27,IF(dpUnit_Land="Per Proposed Square Foot",(F108/F$20)/F$28,IF(dpUnit_Land="Per Lot",(F108/F$21)/F$29,(F108/F$22)/F$30))))))),IF(dpUnit_Land="Per Usable Acre",F109/F$23,IF(dpUnit_Land="Per Gross Acre",F109/F$25,IF(dpUnit_Land="Per Usable Square Foot",F109/F$24,IF(dpUnit_Land="Per Gross Square Foot",F109/F$26,IF(dpUnit_Land="Per Front Foot",F109/F$27,IF(dpUnit_Land="Per Proposed Square Foot",F109/F$28,IF(dpUnit_Land="Per Lot",F109/F$29,F109/F$30)))))))))),IF(Land_AdjType="$ per Unit",IF(AND(F107=0,F108=0,F109=0),0,IF(F107&lt;&gt;0,IF(dpUnit_Land="Per Usable Acre",F107*F$23,IF(dpUnit_Land="Per Gross Acre",F107*F$25,IF(dpUnit_Land="Per Usable Square Foot",F107*F$24,IF(dpUnit_Land="Per Gross Square Foot",F107*F$26,IF(dpUnit_Land="Per Front Foot",F107*F$27,IF(dpUnit_Land="Per Proposed Square Foot",F107*F$28,IF(dpUnit_Land="Per Lot",F107*F$29,F107*F$30))))))),IF(F108&lt;&gt;0,IF(dpUnit_Land="Per Usable Acre",F108/F$15,IF(dpUnit_Land="Per Gross Acre",F108/F$17,IF(dpUnit_Land="Per Usable Square Foot",F108/F$16,IF(dpUnit_Land="Per Gross Square Foot",F108/F$18,IF(dpUnit_Land="Per Front Foot",F108/F$19,IF(dpUnit_Land="Per Proposed Square Foot",F108/F$20,IF(dpUnit_Land="Per Lot",F108/F$21,F108/F$22))))))),F109))),IF(OR(F107&gt;0,F108&gt;0,F109&gt;0),"Inferior",IF(OR(F107&lt;0,F108&lt;0,F109&lt;0),"Superior","Similar"))))</f>
        <v>0</v>
      </c>
      <c r="G106" s="3284">
        <f t="shared" si="32"/>
        <v>0</v>
      </c>
      <c r="H106" s="3284">
        <f t="shared" si="32"/>
        <v>0</v>
      </c>
      <c r="I106" s="3285">
        <f t="shared" si="32"/>
        <v>0</v>
      </c>
      <c r="J106" s="3286"/>
      <c r="K106" s="74"/>
      <c r="L106" s="32"/>
      <c r="M106" s="32"/>
      <c r="N106" s="32"/>
      <c r="O106" s="32"/>
      <c r="P106" s="32"/>
      <c r="Q106" s="32"/>
    </row>
    <row r="107" spans="1:17" hidden="1" x14ac:dyDescent="0.25">
      <c r="A107" s="972">
        <f>IF(A106=2,2,0)</f>
        <v>2</v>
      </c>
      <c r="B107" s="16"/>
      <c r="C107" s="92"/>
      <c r="D107" s="3283"/>
      <c r="E107" s="3256" t="s">
        <v>166</v>
      </c>
      <c r="F107" s="1856"/>
      <c r="G107" s="1856"/>
      <c r="H107" s="1856"/>
      <c r="I107" s="1003"/>
      <c r="J107" s="775"/>
      <c r="K107" s="74"/>
      <c r="L107" s="32"/>
      <c r="M107" s="32"/>
      <c r="N107" s="32"/>
      <c r="O107" s="32"/>
      <c r="P107" s="32"/>
      <c r="Q107" s="32"/>
    </row>
    <row r="108" spans="1:17" hidden="1" x14ac:dyDescent="0.25">
      <c r="A108" s="972">
        <f>IF(A107=2,2,0)</f>
        <v>2</v>
      </c>
      <c r="B108" s="16"/>
      <c r="C108" s="92"/>
      <c r="D108" s="3283"/>
      <c r="E108" s="3256" t="s">
        <v>167</v>
      </c>
      <c r="F108" s="1857"/>
      <c r="G108" s="1857"/>
      <c r="H108" s="1857"/>
      <c r="I108" s="1004"/>
      <c r="J108" s="3288"/>
      <c r="K108" s="74"/>
      <c r="L108" s="32"/>
      <c r="M108" s="32"/>
      <c r="N108" s="32"/>
      <c r="O108" s="32"/>
      <c r="P108" s="32"/>
      <c r="Q108" s="32"/>
    </row>
    <row r="109" spans="1:17" hidden="1" x14ac:dyDescent="0.25">
      <c r="A109" s="972">
        <f>IF(A108=2,2,0)</f>
        <v>2</v>
      </c>
      <c r="B109" s="16"/>
      <c r="C109" s="92"/>
      <c r="D109" s="3283"/>
      <c r="E109" s="3256" t="str">
        <f>CONCATENATE("Enter $/",dpUnit_Land," Adj.")</f>
        <v>Enter $/per Usable Square Foot Adj.</v>
      </c>
      <c r="F109" s="1858"/>
      <c r="G109" s="1858"/>
      <c r="H109" s="1858"/>
      <c r="I109" s="1005"/>
      <c r="J109" s="3289"/>
      <c r="K109" s="74"/>
      <c r="L109" s="32"/>
      <c r="M109" s="32"/>
      <c r="N109" s="32"/>
      <c r="O109" s="32"/>
      <c r="P109" s="32"/>
      <c r="Q109" s="32"/>
    </row>
    <row r="110" spans="1:17" ht="7.9" customHeight="1" x14ac:dyDescent="0.25">
      <c r="A110" s="972">
        <f>A112</f>
        <v>1</v>
      </c>
      <c r="B110" s="16"/>
      <c r="C110" s="92"/>
      <c r="D110" s="3283"/>
      <c r="E110" s="93"/>
      <c r="F110" s="3310">
        <f t="shared" ref="F110:I110" si="33">IF(AND(F113=0,F114=0,F115=0),0,IF(F113&lt;&gt;0,F113,IF(F114&lt;&gt;0,IF(dpUnit_Land="Per Usable Acre",(F114/F$15)/F$23,IF(dpUnit_Land="Per Gross Acre",(F114/F$17)/F$25,IF(dpUnit_Land="Per Usable Square Foot",(F114/F$16)/F$24,IF(dpUnit_Land="Per Gross Square Foot",(F114/F$18)/F$26,IF(dpUnit_Land="Per Front Foot",(F114/F$19)/F$27,IF(dpUnit_Land="Per Proposed Square Foot",(F114/F$20)/F$28,IF(dpUnit_Land="Per Lot",(F114/F$21)/F$29,(F114/F$22)/F$30))))))),IF(dpUnit_Land="Per Usable Acre",F115/F$23,IF(dpUnit_Land="Per Gross Acre",F115/F$25,IF(dpUnit_Land="Per Usable Square Foot",F115/F$24,IF(dpUnit_Land="Per Gross Square Foot",F115/F$26,IF(dpUnit_Land="Per Front Foot",F115/F$27,IF(dpUnit_Land="Per Proposed Square Foot",F115/F$28,IF(dpUnit_Land="Per Lot",F115/F$29,F115/F$30))))))))))</f>
        <v>0</v>
      </c>
      <c r="G110" s="3310">
        <f t="shared" si="33"/>
        <v>-0.05</v>
      </c>
      <c r="H110" s="3310">
        <f t="shared" si="33"/>
        <v>-0.05</v>
      </c>
      <c r="I110" s="3311">
        <f t="shared" si="33"/>
        <v>-0.05</v>
      </c>
      <c r="J110" s="3280"/>
      <c r="K110" s="74"/>
      <c r="L110" s="32"/>
      <c r="M110" s="32"/>
      <c r="N110" s="32"/>
      <c r="O110" s="32"/>
      <c r="P110" s="32"/>
      <c r="Q110" s="32"/>
    </row>
    <row r="111" spans="1:17" x14ac:dyDescent="0.25">
      <c r="A111" s="972">
        <f>A112</f>
        <v>1</v>
      </c>
      <c r="B111" s="16"/>
      <c r="C111" s="92"/>
      <c r="D111" s="1493" t="s">
        <v>100</v>
      </c>
      <c r="E111" s="1665" t="str">
        <f>Subject_LandFlood</f>
        <v>Zone AE</v>
      </c>
      <c r="F111" s="1799" t="s">
        <v>20033</v>
      </c>
      <c r="G111" s="1799" t="s">
        <v>20021</v>
      </c>
      <c r="H111" s="1799" t="s">
        <v>20021</v>
      </c>
      <c r="I111" s="1961" t="s">
        <v>20021</v>
      </c>
      <c r="J111" s="3280"/>
      <c r="K111" s="74"/>
      <c r="L111" s="32"/>
      <c r="M111" s="32"/>
      <c r="N111" s="32"/>
      <c r="O111" s="32"/>
      <c r="P111" s="32"/>
      <c r="Q111" s="32"/>
    </row>
    <row r="112" spans="1:17" x14ac:dyDescent="0.25">
      <c r="A112" s="972">
        <f>IF(B112=TRUE,1,2)</f>
        <v>1</v>
      </c>
      <c r="B112" s="16" t="b">
        <v>1</v>
      </c>
      <c r="C112" s="92"/>
      <c r="D112" s="3283" t="str">
        <f>IF(Land_AdjType&lt;&gt;"Qualitative","Adjustment","Relative Comparison")</f>
        <v>Adjustment</v>
      </c>
      <c r="E112" s="93"/>
      <c r="F112" s="3284">
        <f t="shared" ref="F112:I112" si="34">IF(Land_AdjType="Percent",IF(AND(F113=0,F114=0,F115=0),0,IF(F113&lt;&gt;0,F113,IF(F114&lt;&gt;0,IF(dpUnit_Land="Per Usable Acre",(F114/F$15)/F$23,IF(dpUnit_Land="Per Gross Acre",(F114/F$17)/F$25,IF(dpUnit_Land="Per Usable Square Foot",(F114/F$16)/F$24,IF(dpUnit_Land="Per Gross Square Foot",(F114/F$18)/F$26,IF(dpUnit_Land="Per Front Foot",(F114/F$19)/F$27,IF(dpUnit_Land="Per Proposed Square Foot",(F114/F$20)/F$28,IF(dpUnit_Land="Per Lot",(F114/F$21)/F$29,(F114/F$22)/F$30))))))),IF(dpUnit_Land="Per Usable Acre",F115/F$23,IF(dpUnit_Land="Per Gross Acre",F115/F$25,IF(dpUnit_Land="Per Usable Square Foot",F115/F$24,IF(dpUnit_Land="Per Gross Square Foot",F115/F$26,IF(dpUnit_Land="Per Front Foot",F115/F$27,IF(dpUnit_Land="Per Proposed Square Foot",F115/F$28,IF(dpUnit_Land="Per Lot",F115/F$29,F115/F$30)))))))))),IF(Land_AdjType="$ per Unit",IF(AND(F113=0,F114=0,F115=0),0,IF(F113&lt;&gt;0,IF(dpUnit_Land="Per Usable Acre",F113*F$23,IF(dpUnit_Land="Per Gross Acre",F113*F$25,IF(dpUnit_Land="Per Usable Square Foot",F113*F$24,IF(dpUnit_Land="Per Gross Square Foot",F113*F$26,IF(dpUnit_Land="Per Front Foot",F113*F$27,IF(dpUnit_Land="Per Proposed Square Foot",F113*F$28,IF(dpUnit_Land="Per Lot",F113*F$29,F113*F$30))))))),IF(F114&lt;&gt;0,IF(dpUnit_Land="Per Usable Acre",F114/F$15,IF(dpUnit_Land="Per Gross Acre",F114/F$17,IF(dpUnit_Land="Per Usable Square Foot",F114/F$16,IF(dpUnit_Land="Per Gross Square Foot",F114/F$18,IF(dpUnit_Land="Per Front Foot",F114/F$19,IF(dpUnit_Land="Per Proposed Square Foot",F114/F$20,IF(dpUnit_Land="Per Lot",F114/F$21,F114/F$22))))))),F115))),IF(OR(F113&gt;0,F114&gt;0,F115&gt;0),"Inferior",IF(OR(F113&lt;0,F114&lt;0,F115&lt;0),"Superior","Similar"))))</f>
        <v>0</v>
      </c>
      <c r="G112" s="3284">
        <f t="shared" si="34"/>
        <v>-0.05</v>
      </c>
      <c r="H112" s="3284">
        <f t="shared" si="34"/>
        <v>-0.05</v>
      </c>
      <c r="I112" s="3285">
        <f t="shared" si="34"/>
        <v>-0.05</v>
      </c>
      <c r="J112" s="3286"/>
      <c r="K112" s="74"/>
      <c r="L112" s="32"/>
      <c r="M112" s="32"/>
      <c r="N112" s="32"/>
      <c r="O112" s="32"/>
      <c r="P112" s="32"/>
      <c r="Q112" s="32"/>
    </row>
    <row r="113" spans="1:17" hidden="1" x14ac:dyDescent="0.25">
      <c r="A113" s="972">
        <f>IF(A112=2,2,0)</f>
        <v>0</v>
      </c>
      <c r="B113" s="16"/>
      <c r="C113" s="92"/>
      <c r="D113" s="3283"/>
      <c r="E113" s="3256" t="s">
        <v>166</v>
      </c>
      <c r="F113" s="1856"/>
      <c r="G113" s="1856">
        <v>-0.05</v>
      </c>
      <c r="H113" s="1856">
        <v>-0.05</v>
      </c>
      <c r="I113" s="1003">
        <v>-0.05</v>
      </c>
      <c r="J113" s="775"/>
      <c r="K113" s="74"/>
      <c r="L113" s="32"/>
      <c r="M113" s="32"/>
      <c r="N113" s="32"/>
      <c r="O113" s="32"/>
      <c r="P113" s="32"/>
      <c r="Q113" s="32"/>
    </row>
    <row r="114" spans="1:17" hidden="1" x14ac:dyDescent="0.25">
      <c r="A114" s="972">
        <f>IF(A113=2,2,0)</f>
        <v>0</v>
      </c>
      <c r="B114" s="16"/>
      <c r="C114" s="92"/>
      <c r="D114" s="3283"/>
      <c r="E114" s="3256" t="s">
        <v>167</v>
      </c>
      <c r="F114" s="1857"/>
      <c r="G114" s="1857"/>
      <c r="H114" s="1857"/>
      <c r="I114" s="1004"/>
      <c r="J114" s="3288"/>
      <c r="K114" s="74"/>
      <c r="L114" s="32"/>
      <c r="M114" s="32"/>
      <c r="N114" s="32"/>
      <c r="O114" s="32"/>
      <c r="P114" s="32"/>
      <c r="Q114" s="32"/>
    </row>
    <row r="115" spans="1:17" hidden="1" x14ac:dyDescent="0.25">
      <c r="A115" s="972">
        <f>IF(A114=2,2,0)</f>
        <v>0</v>
      </c>
      <c r="B115" s="16"/>
      <c r="C115" s="92"/>
      <c r="D115" s="3283"/>
      <c r="E115" s="3256" t="str">
        <f>CONCATENATE("Enter $/",dpUnit_Land," Adj.")</f>
        <v>Enter $/per Usable Square Foot Adj.</v>
      </c>
      <c r="F115" s="1858"/>
      <c r="G115" s="1858"/>
      <c r="H115" s="1858"/>
      <c r="I115" s="1005"/>
      <c r="J115" s="3289"/>
      <c r="K115" s="74"/>
      <c r="L115" s="32"/>
      <c r="M115" s="32"/>
      <c r="N115" s="32"/>
      <c r="O115" s="32"/>
      <c r="P115" s="32"/>
      <c r="Q115" s="32"/>
    </row>
    <row r="116" spans="1:17" ht="7.9" customHeight="1" x14ac:dyDescent="0.25">
      <c r="A116" s="972">
        <f>A118</f>
        <v>1</v>
      </c>
      <c r="B116" s="16"/>
      <c r="C116" s="92"/>
      <c r="D116" s="3283"/>
      <c r="E116" s="93"/>
      <c r="F116" s="3310">
        <f t="shared" ref="F116:I116" si="35">IF(AND(F119=0,F120=0,F121=0),0,IF(F119&lt;&gt;0,F119,IF(F120&lt;&gt;0,IF(dpUnit_Land="Per Usable Acre",(F120/F$15)/F$23,IF(dpUnit_Land="Per Gross Acre",(F120/F$17)/F$25,IF(dpUnit_Land="Per Usable Square Foot",(F120/F$16)/F$24,IF(dpUnit_Land="Per Gross Square Foot",(F120/F$18)/F$26,IF(dpUnit_Land="Per Front Foot",(F120/F$19)/F$27,IF(dpUnit_Land="Per Proposed Square Foot",(F120/F$20)/F$28,IF(dpUnit_Land="Per Lot",(F120/F$21)/F$29,(F120/F$22)/F$30))))))),IF(dpUnit_Land="Per Usable Acre",F121/F$23,IF(dpUnit_Land="Per Gross Acre",F121/F$25,IF(dpUnit_Land="Per Usable Square Foot",F121/F$24,IF(dpUnit_Land="Per Gross Square Foot",F121/F$26,IF(dpUnit_Land="Per Front Foot",F121/F$27,IF(dpUnit_Land="Per Proposed Square Foot",F121/F$28,IF(dpUnit_Land="Per Lot",F121/F$29,F121/F$30))))))))))</f>
        <v>0</v>
      </c>
      <c r="G116" s="3310">
        <f t="shared" si="35"/>
        <v>0</v>
      </c>
      <c r="H116" s="3310">
        <f t="shared" si="35"/>
        <v>0</v>
      </c>
      <c r="I116" s="3311">
        <f t="shared" si="35"/>
        <v>0</v>
      </c>
      <c r="J116" s="3280"/>
      <c r="K116" s="74"/>
      <c r="L116" s="32"/>
      <c r="M116" s="32"/>
      <c r="N116" s="32"/>
      <c r="O116" s="32"/>
      <c r="P116" s="32"/>
      <c r="Q116" s="32"/>
    </row>
    <row r="117" spans="1:17" x14ac:dyDescent="0.25">
      <c r="A117" s="972">
        <f>A118</f>
        <v>1</v>
      </c>
      <c r="B117" s="16"/>
      <c r="C117" s="92"/>
      <c r="D117" s="1493" t="s">
        <v>76</v>
      </c>
      <c r="E117" s="1665" t="str">
        <f>Subject_ZoningCode</f>
        <v>I-2 (all parcels)</v>
      </c>
      <c r="F117" s="1933" t="s">
        <v>20023</v>
      </c>
      <c r="G117" s="1933" t="s">
        <v>20035</v>
      </c>
      <c r="H117" s="1933" t="s">
        <v>20026</v>
      </c>
      <c r="I117" s="2037" t="s">
        <v>20026</v>
      </c>
      <c r="J117" s="3280"/>
      <c r="K117" s="74"/>
      <c r="L117" s="32"/>
      <c r="M117" s="32"/>
      <c r="N117" s="32"/>
      <c r="O117" s="32"/>
      <c r="P117" s="32"/>
      <c r="Q117" s="32"/>
    </row>
    <row r="118" spans="1:17" x14ac:dyDescent="0.25">
      <c r="A118" s="972">
        <f>IF(B118=TRUE,1,2)</f>
        <v>1</v>
      </c>
      <c r="B118" s="16" t="b">
        <v>1</v>
      </c>
      <c r="C118" s="92"/>
      <c r="D118" s="3283" t="str">
        <f>IF(Land_AdjType&lt;&gt;"Qualitative","Adjustment","Relative Comparison")</f>
        <v>Adjustment</v>
      </c>
      <c r="E118" s="517"/>
      <c r="F118" s="3284">
        <f t="shared" ref="F118:I118" si="36">IF(Land_AdjType="Percent",IF(AND(F119=0,F120=0,F121=0),0,IF(F119&lt;&gt;0,F119,IF(F120&lt;&gt;0,IF(dpUnit_Land="Per Usable Acre",(F120/F$15)/F$23,IF(dpUnit_Land="Per Gross Acre",(F120/F$17)/F$25,IF(dpUnit_Land="Per Usable Square Foot",(F120/F$16)/F$24,IF(dpUnit_Land="Per Gross Square Foot",(F120/F$18)/F$26,IF(dpUnit_Land="Per Front Foot",(F120/F$19)/F$27,IF(dpUnit_Land="Per Proposed Square Foot",(F120/F$20)/F$28,IF(dpUnit_Land="Per Lot",(F120/F$21)/F$29,(F120/F$22)/F$30))))))),IF(dpUnit_Land="Per Usable Acre",F121/F$23,IF(dpUnit_Land="Per Gross Acre",F121/F$25,IF(dpUnit_Land="Per Usable Square Foot",F121/F$24,IF(dpUnit_Land="Per Gross Square Foot",F121/F$26,IF(dpUnit_Land="Per Front Foot",F121/F$27,IF(dpUnit_Land="Per Proposed Square Foot",F121/F$28,IF(dpUnit_Land="Per Lot",F121/F$29,F121/F$30)))))))))),IF(Land_AdjType="$ per Unit",IF(AND(F119=0,F120=0,F121=0),0,IF(F119&lt;&gt;0,IF(dpUnit_Land="Per Usable Acre",F119*F$23,IF(dpUnit_Land="Per Gross Acre",F119*F$25,IF(dpUnit_Land="Per Usable Square Foot",F119*F$24,IF(dpUnit_Land="Per Gross Square Foot",F119*F$26,IF(dpUnit_Land="Per Front Foot",F119*F$27,IF(dpUnit_Land="Per Proposed Square Foot",F119*F$28,IF(dpUnit_Land="Per Lot",F119*F$29,F119*F$30))))))),IF(F120&lt;&gt;0,IF(dpUnit_Land="Per Usable Acre",F120/F$15,IF(dpUnit_Land="Per Gross Acre",F120/F$17,IF(dpUnit_Land="Per Usable Square Foot",F120/F$16,IF(dpUnit_Land="Per Gross Square Foot",F120/F$18,IF(dpUnit_Land="Per Front Foot",F120/F$19,IF(dpUnit_Land="Per Proposed Square Foot",F120/F$20,IF(dpUnit_Land="Per Lot",F120/F$21,F120/F$22))))))),F121))),IF(OR(F119&gt;0,F120&gt;0,F121&gt;0),"Inferior",IF(OR(F119&lt;0,F120&lt;0,F121&lt;0),"Superior","Similar"))))</f>
        <v>0</v>
      </c>
      <c r="G118" s="3284">
        <f t="shared" si="36"/>
        <v>0</v>
      </c>
      <c r="H118" s="3284">
        <f t="shared" si="36"/>
        <v>0</v>
      </c>
      <c r="I118" s="3285">
        <f t="shared" si="36"/>
        <v>0</v>
      </c>
      <c r="J118" s="3286"/>
      <c r="K118" s="74"/>
      <c r="L118" s="32"/>
      <c r="M118" s="32"/>
      <c r="N118" s="32"/>
      <c r="O118" s="32"/>
      <c r="P118" s="32"/>
      <c r="Q118" s="32"/>
    </row>
    <row r="119" spans="1:17" hidden="1" x14ac:dyDescent="0.25">
      <c r="A119" s="972">
        <f>IF(A118=2,2,0)</f>
        <v>0</v>
      </c>
      <c r="B119" s="16"/>
      <c r="C119" s="92"/>
      <c r="D119" s="3283"/>
      <c r="E119" s="3256" t="s">
        <v>166</v>
      </c>
      <c r="F119" s="1856"/>
      <c r="G119" s="1856"/>
      <c r="H119" s="1856"/>
      <c r="I119" s="1003"/>
      <c r="J119" s="775"/>
      <c r="K119" s="74"/>
      <c r="L119" s="32"/>
      <c r="M119" s="32"/>
      <c r="N119" s="32"/>
      <c r="O119" s="32"/>
      <c r="P119" s="32"/>
      <c r="Q119" s="32"/>
    </row>
    <row r="120" spans="1:17" hidden="1" x14ac:dyDescent="0.25">
      <c r="A120" s="972">
        <f>IF(A119=2,2,0)</f>
        <v>0</v>
      </c>
      <c r="B120" s="16"/>
      <c r="C120" s="92"/>
      <c r="D120" s="3283"/>
      <c r="E120" s="3256" t="s">
        <v>167</v>
      </c>
      <c r="F120" s="1857"/>
      <c r="G120" s="1857"/>
      <c r="H120" s="1857"/>
      <c r="I120" s="1004"/>
      <c r="J120" s="3288"/>
      <c r="K120" s="74"/>
      <c r="L120" s="32"/>
      <c r="M120" s="32"/>
      <c r="N120" s="32"/>
      <c r="O120" s="32"/>
      <c r="P120" s="32"/>
      <c r="Q120" s="32"/>
    </row>
    <row r="121" spans="1:17" hidden="1" x14ac:dyDescent="0.25">
      <c r="A121" s="972">
        <f>IF(A120=2,2,0)</f>
        <v>0</v>
      </c>
      <c r="B121" s="16"/>
      <c r="C121" s="92"/>
      <c r="D121" s="3283"/>
      <c r="E121" s="3256" t="str">
        <f>CONCATENATE("Enter $/",dpUnit_Land," Adj.")</f>
        <v>Enter $/per Usable Square Foot Adj.</v>
      </c>
      <c r="F121" s="1858"/>
      <c r="G121" s="1858"/>
      <c r="H121" s="1858"/>
      <c r="I121" s="1005"/>
      <c r="J121" s="3289"/>
      <c r="K121" s="74"/>
      <c r="L121" s="32"/>
      <c r="M121" s="32"/>
      <c r="N121" s="32"/>
      <c r="O121" s="32"/>
      <c r="P121" s="32"/>
      <c r="Q121" s="32"/>
    </row>
    <row r="122" spans="1:17" ht="7.9" hidden="1" customHeight="1" x14ac:dyDescent="0.25">
      <c r="A122" s="972">
        <f>A124</f>
        <v>2</v>
      </c>
      <c r="B122" s="16"/>
      <c r="C122" s="92"/>
      <c r="D122" s="3283"/>
      <c r="E122" s="93"/>
      <c r="F122" s="3310">
        <f t="shared" ref="F122:I122" si="37">IF(AND(F125=0,F126=0,F127=0),0,IF(F125&lt;&gt;0,F125,IF(F126&lt;&gt;0,IF(dpUnit_Land="Per Usable Acre",(F126/F$15)/F$23,IF(dpUnit_Land="Per Gross Acre",(F126/F$17)/F$25,IF(dpUnit_Land="Per Usable Square Foot",(F126/F$16)/F$24,IF(dpUnit_Land="Per Gross Square Foot",(F126/F$18)/F$26,IF(dpUnit_Land="Per Front Foot",(F126/F$19)/F$27,IF(dpUnit_Land="Per Proposed Square Foot",(F126/F$20)/F$28,IF(dpUnit_Land="Per Lot",(F126/F$21)/F$29,(F126/F$22)/F$30))))))),IF(dpUnit_Land="Per Usable Acre",F127/F$23,IF(dpUnit_Land="Per Gross Acre",F127/F$25,IF(dpUnit_Land="Per Usable Square Foot",F127/F$24,IF(dpUnit_Land="Per Gross Square Foot",F127/F$26,IF(dpUnit_Land="Per Front Foot",F127/F$27,IF(dpUnit_Land="Per Proposed Square Foot",F127/F$28,IF(dpUnit_Land="Per Lot",F127/F$29,F127/F$30))))))))))</f>
        <v>0</v>
      </c>
      <c r="G122" s="3310">
        <f t="shared" si="37"/>
        <v>0</v>
      </c>
      <c r="H122" s="3310">
        <f t="shared" si="37"/>
        <v>0</v>
      </c>
      <c r="I122" s="3311">
        <f t="shared" si="37"/>
        <v>0</v>
      </c>
      <c r="J122" s="3280"/>
      <c r="K122" s="74"/>
      <c r="L122" s="32"/>
      <c r="M122" s="32"/>
      <c r="N122" s="32"/>
      <c r="O122" s="32"/>
      <c r="P122" s="32"/>
      <c r="Q122" s="32"/>
    </row>
    <row r="123" spans="1:17" hidden="1" x14ac:dyDescent="0.25">
      <c r="A123" s="972">
        <f>A124</f>
        <v>2</v>
      </c>
      <c r="B123" s="16"/>
      <c r="C123" s="92"/>
      <c r="D123" s="1493" t="s">
        <v>102</v>
      </c>
      <c r="E123" s="1665">
        <f>Subject_TrafficCounts</f>
        <v>0</v>
      </c>
      <c r="F123" s="1933"/>
      <c r="G123" s="1933" t="s">
        <v>19883</v>
      </c>
      <c r="H123" s="1933"/>
      <c r="I123" s="2037" t="s">
        <v>19902</v>
      </c>
      <c r="J123" s="3280"/>
      <c r="K123" s="74"/>
      <c r="L123" s="32"/>
      <c r="M123" s="32"/>
      <c r="N123" s="32"/>
      <c r="O123" s="32"/>
      <c r="P123" s="32"/>
      <c r="Q123" s="32"/>
    </row>
    <row r="124" spans="1:17" hidden="1" x14ac:dyDescent="0.25">
      <c r="A124" s="972">
        <f>IF(B124=TRUE,1,2)</f>
        <v>2</v>
      </c>
      <c r="B124" s="16" t="b">
        <v>0</v>
      </c>
      <c r="C124" s="92"/>
      <c r="D124" s="3283" t="str">
        <f>IF(Land_AdjType&lt;&gt;"Qualitative","Adjustment","Relative Comparison")</f>
        <v>Adjustment</v>
      </c>
      <c r="E124" s="93"/>
      <c r="F124" s="3284">
        <f t="shared" ref="F124:I124" si="38">IF(Land_AdjType="Percent",IF(AND(F125=0,F126=0,F127=0),0,IF(F125&lt;&gt;0,F125,IF(F126&lt;&gt;0,IF(dpUnit_Land="Per Usable Acre",(F126/F$15)/F$23,IF(dpUnit_Land="Per Gross Acre",(F126/F$17)/F$25,IF(dpUnit_Land="Per Usable Square Foot",(F126/F$16)/F$24,IF(dpUnit_Land="Per Gross Square Foot",(F126/F$18)/F$26,IF(dpUnit_Land="Per Front Foot",(F126/F$19)/F$27,IF(dpUnit_Land="Per Proposed Square Foot",(F126/F$20)/F$28,IF(dpUnit_Land="Per Lot",(F126/F$21)/F$29,(F126/F$22)/F$30))))))),IF(dpUnit_Land="Per Usable Acre",F127/F$23,IF(dpUnit_Land="Per Gross Acre",F127/F$25,IF(dpUnit_Land="Per Usable Square Foot",F127/F$24,IF(dpUnit_Land="Per Gross Square Foot",F127/F$26,IF(dpUnit_Land="Per Front Foot",F127/F$27,IF(dpUnit_Land="Per Proposed Square Foot",F127/F$28,IF(dpUnit_Land="Per Lot",F127/F$29,F127/F$30)))))))))),IF(Land_AdjType="$ per Unit",IF(AND(F125=0,F126=0,F127=0),0,IF(F125&lt;&gt;0,IF(dpUnit_Land="Per Usable Acre",F125*F$23,IF(dpUnit_Land="Per Gross Acre",F125*F$25,IF(dpUnit_Land="Per Usable Square Foot",F125*F$24,IF(dpUnit_Land="Per Gross Square Foot",F125*F$26,IF(dpUnit_Land="Per Front Foot",F125*F$27,IF(dpUnit_Land="Per Proposed Square Foot",F125*F$28,IF(dpUnit_Land="Per Lot",F125*F$29,F125*F$30))))))),IF(F126&lt;&gt;0,IF(dpUnit_Land="Per Usable Acre",F126/F$15,IF(dpUnit_Land="Per Gross Acre",F126/F$17,IF(dpUnit_Land="Per Usable Square Foot",F126/F$16,IF(dpUnit_Land="Per Gross Square Foot",F126/F$18,IF(dpUnit_Land="Per Front Foot",F126/F$19,IF(dpUnit_Land="Per Proposed Square Foot",F126/F$20,IF(dpUnit_Land="Per Lot",F126/F$21,F126/F$22))))))),F127))),IF(OR(F125&gt;0,F126&gt;0,F127&gt;0),"Inferior",IF(OR(F125&lt;0,F126&lt;0,F127&lt;0),"Superior","Similar"))))</f>
        <v>0</v>
      </c>
      <c r="G124" s="3284">
        <f t="shared" si="38"/>
        <v>0</v>
      </c>
      <c r="H124" s="3284">
        <f t="shared" si="38"/>
        <v>0</v>
      </c>
      <c r="I124" s="3285">
        <f t="shared" si="38"/>
        <v>0</v>
      </c>
      <c r="J124" s="3286"/>
      <c r="K124" s="74"/>
      <c r="L124" s="32"/>
      <c r="M124" s="32"/>
      <c r="N124" s="32"/>
      <c r="O124" s="32"/>
      <c r="P124" s="32"/>
      <c r="Q124" s="32"/>
    </row>
    <row r="125" spans="1:17" hidden="1" x14ac:dyDescent="0.25">
      <c r="A125" s="972">
        <f>IF(A124=2,2,0)</f>
        <v>2</v>
      </c>
      <c r="B125" s="16"/>
      <c r="C125" s="92"/>
      <c r="D125" s="3283"/>
      <c r="E125" s="3256" t="s">
        <v>166</v>
      </c>
      <c r="F125" s="1856"/>
      <c r="G125" s="1856"/>
      <c r="H125" s="1856"/>
      <c r="I125" s="1003"/>
      <c r="J125" s="775"/>
      <c r="K125" s="74"/>
      <c r="L125" s="32"/>
      <c r="M125" s="32"/>
      <c r="N125" s="32"/>
      <c r="O125" s="32"/>
      <c r="P125" s="32"/>
      <c r="Q125" s="32"/>
    </row>
    <row r="126" spans="1:17" hidden="1" x14ac:dyDescent="0.25">
      <c r="A126" s="972">
        <f>IF(A125=2,2,0)</f>
        <v>2</v>
      </c>
      <c r="B126" s="16"/>
      <c r="C126" s="92"/>
      <c r="D126" s="3283"/>
      <c r="E126" s="3256" t="s">
        <v>167</v>
      </c>
      <c r="F126" s="1857"/>
      <c r="G126" s="1857"/>
      <c r="H126" s="1857"/>
      <c r="I126" s="1004"/>
      <c r="J126" s="3288"/>
      <c r="K126" s="74"/>
      <c r="L126" s="32"/>
      <c r="M126" s="32"/>
      <c r="N126" s="32"/>
      <c r="O126" s="32"/>
      <c r="P126" s="32"/>
      <c r="Q126" s="32"/>
    </row>
    <row r="127" spans="1:17" hidden="1" x14ac:dyDescent="0.25">
      <c r="A127" s="972">
        <f>IF(A126=2,2,0)</f>
        <v>2</v>
      </c>
      <c r="B127" s="16"/>
      <c r="C127" s="92"/>
      <c r="D127" s="3283"/>
      <c r="E127" s="3256" t="str">
        <f>CONCATENATE("Enter $/",dpUnit_Land," Adj.")</f>
        <v>Enter $/per Usable Square Foot Adj.</v>
      </c>
      <c r="F127" s="1858"/>
      <c r="G127" s="1858"/>
      <c r="H127" s="1858"/>
      <c r="I127" s="1005"/>
      <c r="J127" s="3289"/>
      <c r="K127" s="74"/>
      <c r="L127" s="32"/>
      <c r="M127" s="32"/>
      <c r="N127" s="32"/>
      <c r="O127" s="32"/>
      <c r="P127" s="32"/>
      <c r="Q127" s="32"/>
    </row>
    <row r="128" spans="1:17" ht="7.9" customHeight="1" x14ac:dyDescent="0.25">
      <c r="A128" s="972">
        <f>A130</f>
        <v>1</v>
      </c>
      <c r="B128" s="16"/>
      <c r="C128" s="92"/>
      <c r="D128" s="3283"/>
      <c r="E128" s="93"/>
      <c r="F128" s="3310">
        <f t="shared" ref="F128:I128" si="39">IF(AND(F131=0,F132=0,F133=0),0,IF(F131&lt;&gt;0,F131,IF(F132&lt;&gt;0,IF(dpUnit_Land="Per Usable Acre",(F132/F$15)/F$23,IF(dpUnit_Land="Per Gross Acre",(F132/F$17)/F$25,IF(dpUnit_Land="Per Usable Square Foot",(F132/F$16)/F$24,IF(dpUnit_Land="Per Gross Square Foot",(F132/F$18)/F$26,IF(dpUnit_Land="Per Front Foot",(F132/F$19)/F$27,IF(dpUnit_Land="Per Proposed Square Foot",(F132/F$20)/F$28,IF(dpUnit_Land="Per Lot",(F132/F$21)/F$29,(F132/F$22)/F$30))))))),IF(dpUnit_Land="Per Usable Acre",F133/F$23,IF(dpUnit_Land="Per Gross Acre",F133/F$25,IF(dpUnit_Land="Per Usable Square Foot",F133/F$24,IF(dpUnit_Land="Per Gross Square Foot",F133/F$26,IF(dpUnit_Land="Per Front Foot",F133/F$27,IF(dpUnit_Land="Per Proposed Square Foot",F133/F$28,IF(dpUnit_Land="Per Lot",F133/F$29,F133/F$30))))))))))</f>
        <v>0.03</v>
      </c>
      <c r="G128" s="3310">
        <f t="shared" si="39"/>
        <v>0.03</v>
      </c>
      <c r="H128" s="3310">
        <f t="shared" si="39"/>
        <v>0.03</v>
      </c>
      <c r="I128" s="3311">
        <f t="shared" si="39"/>
        <v>0.03</v>
      </c>
      <c r="J128" s="3280"/>
      <c r="K128" s="74"/>
      <c r="L128" s="32"/>
      <c r="M128" s="32"/>
      <c r="N128" s="32"/>
      <c r="O128" s="32"/>
      <c r="P128" s="32"/>
      <c r="Q128" s="32"/>
    </row>
    <row r="129" spans="1:17" x14ac:dyDescent="0.25">
      <c r="A129" s="972">
        <f>A130</f>
        <v>1</v>
      </c>
      <c r="B129" s="16"/>
      <c r="C129" s="92"/>
      <c r="D129" s="1493" t="s">
        <v>211</v>
      </c>
      <c r="E129" s="718" t="s">
        <v>20028</v>
      </c>
      <c r="F129" s="1831" t="s">
        <v>19942</v>
      </c>
      <c r="G129" s="1831" t="s">
        <v>19942</v>
      </c>
      <c r="H129" s="1831" t="s">
        <v>19942</v>
      </c>
      <c r="I129" s="1006" t="s">
        <v>19942</v>
      </c>
      <c r="J129" s="3280"/>
      <c r="K129" s="74"/>
      <c r="L129" s="32"/>
      <c r="M129" s="32"/>
      <c r="N129" s="32"/>
      <c r="O129" s="32"/>
      <c r="P129" s="32"/>
      <c r="Q129" s="32"/>
    </row>
    <row r="130" spans="1:17" x14ac:dyDescent="0.25">
      <c r="A130" s="972">
        <f>IF(B130=TRUE,1,2)</f>
        <v>1</v>
      </c>
      <c r="B130" s="16" t="b">
        <v>1</v>
      </c>
      <c r="C130" s="92"/>
      <c r="D130" s="3283" t="str">
        <f>IF(Land_AdjType&lt;&gt;"Qualitative","Adjustment","Relative Comparison")</f>
        <v>Adjustment</v>
      </c>
      <c r="E130" s="93"/>
      <c r="F130" s="3284">
        <f t="shared" ref="F130:I130" si="40">IF(Land_AdjType="Percent",IF(AND(F131=0,F132=0,F133=0),0,IF(F131&lt;&gt;0,F131,IF(F132&lt;&gt;0,IF(dpUnit_Land="Per Usable Acre",(F132/F$15)/F$23,IF(dpUnit_Land="Per Gross Acre",(F132/F$17)/F$25,IF(dpUnit_Land="Per Usable Square Foot",(F132/F$16)/F$24,IF(dpUnit_Land="Per Gross Square Foot",(F132/F$18)/F$26,IF(dpUnit_Land="Per Front Foot",(F132/F$19)/F$27,IF(dpUnit_Land="Per Proposed Square Foot",(F132/F$20)/F$28,IF(dpUnit_Land="Per Lot",(F132/F$21)/F$29,(F132/F$22)/F$30))))))),IF(dpUnit_Land="Per Usable Acre",F133/F$23,IF(dpUnit_Land="Per Gross Acre",F133/F$25,IF(dpUnit_Land="Per Usable Square Foot",F133/F$24,IF(dpUnit_Land="Per Gross Square Foot",F133/F$26,IF(dpUnit_Land="Per Front Foot",F133/F$27,IF(dpUnit_Land="Per Proposed Square Foot",F133/F$28,IF(dpUnit_Land="Per Lot",F133/F$29,F133/F$30)))))))))),IF(Land_AdjType="$ per Unit",IF(AND(F131=0,F132=0,F133=0),0,IF(F131&lt;&gt;0,IF(dpUnit_Land="Per Usable Acre",F131*F$23,IF(dpUnit_Land="Per Gross Acre",F131*F$25,IF(dpUnit_Land="Per Usable Square Foot",F131*F$24,IF(dpUnit_Land="Per Gross Square Foot",F131*F$26,IF(dpUnit_Land="Per Front Foot",F131*F$27,IF(dpUnit_Land="Per Proposed Square Foot",F131*F$28,IF(dpUnit_Land="Per Lot",F131*F$29,F131*F$30))))))),IF(F132&lt;&gt;0,IF(dpUnit_Land="Per Usable Acre",F132/F$15,IF(dpUnit_Land="Per Gross Acre",F132/F$17,IF(dpUnit_Land="Per Usable Square Foot",F132/F$16,IF(dpUnit_Land="Per Gross Square Foot",F132/F$18,IF(dpUnit_Land="Per Front Foot",F132/F$19,IF(dpUnit_Land="Per Proposed Square Foot",F132/F$20,IF(dpUnit_Land="Per Lot",F132/F$21,F132/F$22))))))),F133))),IF(OR(F131&gt;0,F132&gt;0,F133&gt;0),"Inferior",IF(OR(F131&lt;0,F132&lt;0,F133&lt;0),"Superior","Similar"))))</f>
        <v>0.03</v>
      </c>
      <c r="G130" s="3284">
        <f t="shared" si="40"/>
        <v>0.03</v>
      </c>
      <c r="H130" s="3284">
        <f t="shared" si="40"/>
        <v>0.03</v>
      </c>
      <c r="I130" s="3285">
        <f t="shared" si="40"/>
        <v>0.03</v>
      </c>
      <c r="J130" s="3286"/>
      <c r="K130" s="74"/>
      <c r="L130" s="32"/>
      <c r="M130" s="32"/>
      <c r="N130" s="32"/>
      <c r="O130" s="32"/>
      <c r="P130" s="32"/>
      <c r="Q130" s="32"/>
    </row>
    <row r="131" spans="1:17" hidden="1" x14ac:dyDescent="0.25">
      <c r="A131" s="972">
        <f>IF(A130=2,2,0)</f>
        <v>0</v>
      </c>
      <c r="B131" s="16"/>
      <c r="C131" s="92"/>
      <c r="D131" s="3283"/>
      <c r="E131" s="3256" t="s">
        <v>166</v>
      </c>
      <c r="F131" s="1856">
        <v>0.03</v>
      </c>
      <c r="G131" s="1856">
        <v>0.03</v>
      </c>
      <c r="H131" s="1856">
        <v>0.03</v>
      </c>
      <c r="I131" s="1003">
        <v>0.03</v>
      </c>
      <c r="J131" s="775"/>
      <c r="K131" s="74"/>
      <c r="L131" s="32"/>
      <c r="M131" s="32"/>
      <c r="N131" s="32"/>
      <c r="O131" s="32"/>
      <c r="P131" s="32"/>
      <c r="Q131" s="32"/>
    </row>
    <row r="132" spans="1:17" hidden="1" x14ac:dyDescent="0.25">
      <c r="A132" s="972">
        <f>IF(A131=2,2,0)</f>
        <v>0</v>
      </c>
      <c r="B132" s="16"/>
      <c r="C132" s="92"/>
      <c r="D132" s="3283"/>
      <c r="E132" s="3256" t="s">
        <v>167</v>
      </c>
      <c r="F132" s="1857"/>
      <c r="G132" s="1857"/>
      <c r="H132" s="1857"/>
      <c r="I132" s="1004"/>
      <c r="J132" s="3288"/>
      <c r="K132" s="74"/>
      <c r="L132" s="32"/>
      <c r="M132" s="32"/>
      <c r="N132" s="32"/>
      <c r="O132" s="32"/>
      <c r="P132" s="32"/>
      <c r="Q132" s="32"/>
    </row>
    <row r="133" spans="1:17" hidden="1" x14ac:dyDescent="0.25">
      <c r="A133" s="972">
        <f>IF(A132=2,2,0)</f>
        <v>0</v>
      </c>
      <c r="B133" s="16"/>
      <c r="C133" s="92"/>
      <c r="D133" s="3283"/>
      <c r="E133" s="3256" t="str">
        <f>CONCATENATE("Enter $/",dpUnit_Land," Adj.")</f>
        <v>Enter $/per Usable Square Foot Adj.</v>
      </c>
      <c r="F133" s="1858"/>
      <c r="G133" s="1858"/>
      <c r="H133" s="1858"/>
      <c r="I133" s="1005"/>
      <c r="J133" s="3289"/>
      <c r="K133" s="74"/>
      <c r="L133" s="32"/>
      <c r="M133" s="32"/>
      <c r="N133" s="32"/>
      <c r="O133" s="32"/>
      <c r="P133" s="32"/>
      <c r="Q133" s="32"/>
    </row>
    <row r="134" spans="1:17" ht="7.9" hidden="1" customHeight="1" x14ac:dyDescent="0.25">
      <c r="A134" s="972">
        <f>A136</f>
        <v>2</v>
      </c>
      <c r="B134" s="16"/>
      <c r="C134" s="92"/>
      <c r="D134" s="3283"/>
      <c r="E134" s="93"/>
      <c r="F134" s="3310">
        <f t="shared" ref="F134:I134" si="41">IF(AND(F137=0,F138=0,F139=0),0,IF(F137&lt;&gt;0,F137,IF(F138&lt;&gt;0,IF(dpUnit_Land="Per Usable Acre",(F138/F$15)/F$23,IF(dpUnit_Land="Per Gross Acre",(F138/F$17)/F$25,IF(dpUnit_Land="Per Usable Square Foot",(F138/F$16)/F$24,IF(dpUnit_Land="Per Gross Square Foot",(F138/F$18)/F$26,IF(dpUnit_Land="Per Front Foot",(F138/F$19)/F$27,IF(dpUnit_Land="Per Proposed Square Foot",(F138/F$20)/F$28,IF(dpUnit_Land="Per Lot",(F138/F$21)/F$29,(F138/F$22)/F$30))))))),IF(dpUnit_Land="Per Usable Acre",F139/F$23,IF(dpUnit_Land="Per Gross Acre",F139/F$25,IF(dpUnit_Land="Per Usable Square Foot",F139/F$24,IF(dpUnit_Land="Per Gross Square Foot",F139/F$26,IF(dpUnit_Land="Per Front Foot",F139/F$27,IF(dpUnit_Land="Per Proposed Square Foot",F139/F$28,IF(dpUnit_Land="Per Lot",F139/F$29,F139/F$30))))))))))</f>
        <v>0</v>
      </c>
      <c r="G134" s="3310">
        <f t="shared" si="41"/>
        <v>0</v>
      </c>
      <c r="H134" s="3310">
        <f t="shared" si="41"/>
        <v>0</v>
      </c>
      <c r="I134" s="3311">
        <f t="shared" si="41"/>
        <v>0</v>
      </c>
      <c r="J134" s="3280"/>
      <c r="K134" s="74"/>
      <c r="L134" s="32"/>
      <c r="M134" s="32"/>
      <c r="N134" s="32"/>
      <c r="O134" s="32"/>
      <c r="P134" s="32"/>
      <c r="Q134" s="32"/>
    </row>
    <row r="135" spans="1:17" hidden="1" x14ac:dyDescent="0.25">
      <c r="A135" s="972">
        <f>A136</f>
        <v>2</v>
      </c>
      <c r="B135" s="16"/>
      <c r="C135" s="92"/>
      <c r="D135" s="1493" t="s">
        <v>104</v>
      </c>
      <c r="E135" s="718"/>
      <c r="F135" s="1831"/>
      <c r="G135" s="1831"/>
      <c r="H135" s="1831"/>
      <c r="I135" s="1006"/>
      <c r="J135" s="3280"/>
      <c r="K135" s="74"/>
      <c r="L135" s="32"/>
      <c r="M135" s="32"/>
      <c r="N135" s="32"/>
      <c r="O135" s="32"/>
      <c r="P135" s="32"/>
      <c r="Q135" s="32"/>
    </row>
    <row r="136" spans="1:17" hidden="1" x14ac:dyDescent="0.25">
      <c r="A136" s="972">
        <f>IF(B136=TRUE,1,2)</f>
        <v>2</v>
      </c>
      <c r="B136" s="16" t="b">
        <v>0</v>
      </c>
      <c r="C136" s="92"/>
      <c r="D136" s="3283" t="str">
        <f>IF(Land_AdjType&lt;&gt;"Qualitative","Adjustment","Relative Comparison")</f>
        <v>Adjustment</v>
      </c>
      <c r="E136" s="93"/>
      <c r="F136" s="3284">
        <f t="shared" ref="F136:I136" si="42">IF(Land_AdjType="Percent",IF(AND(F137=0,F138=0,F139=0),0,IF(F137&lt;&gt;0,F137,IF(F138&lt;&gt;0,IF(dpUnit_Land="Per Usable Acre",(F138/F$15)/F$23,IF(dpUnit_Land="Per Gross Acre",(F138/F$17)/F$25,IF(dpUnit_Land="Per Usable Square Foot",(F138/F$16)/F$24,IF(dpUnit_Land="Per Gross Square Foot",(F138/F$18)/F$26,IF(dpUnit_Land="Per Front Foot",(F138/F$19)/F$27,IF(dpUnit_Land="Per Proposed Square Foot",(F138/F$20)/F$28,IF(dpUnit_Land="Per Lot",(F138/F$21)/F$29,(F138/F$22)/F$30))))))),IF(dpUnit_Land="Per Usable Acre",F139/F$23,IF(dpUnit_Land="Per Gross Acre",F139/F$25,IF(dpUnit_Land="Per Usable Square Foot",F139/F$24,IF(dpUnit_Land="Per Gross Square Foot",F139/F$26,IF(dpUnit_Land="Per Front Foot",F139/F$27,IF(dpUnit_Land="Per Proposed Square Foot",F139/F$28,IF(dpUnit_Land="Per Lot",F139/F$29,F139/F$30)))))))))),IF(Land_AdjType="$ per Unit",IF(AND(F137=0,F138=0,F139=0),0,IF(F137&lt;&gt;0,IF(dpUnit_Land="Per Usable Acre",F137*F$23,IF(dpUnit_Land="Per Gross Acre",F137*F$25,IF(dpUnit_Land="Per Usable Square Foot",F137*F$24,IF(dpUnit_Land="Per Gross Square Foot",F137*F$26,IF(dpUnit_Land="Per Front Foot",F137*F$27,IF(dpUnit_Land="Per Proposed Square Foot",F137*F$28,IF(dpUnit_Land="Per Lot",F137*F$29,F137*F$30))))))),IF(F138&lt;&gt;0,IF(dpUnit_Land="Per Usable Acre",F138/F$15,IF(dpUnit_Land="Per Gross Acre",F138/F$17,IF(dpUnit_Land="Per Usable Square Foot",F138/F$16,IF(dpUnit_Land="Per Gross Square Foot",F138/F$18,IF(dpUnit_Land="Per Front Foot",F138/F$19,IF(dpUnit_Land="Per Proposed Square Foot",F138/F$20,IF(dpUnit_Land="Per Lot",F138/F$21,F138/F$22))))))),F139))),IF(OR(F137&gt;0,F138&gt;0,F139&gt;0),"Inferior",IF(OR(F137&lt;0,F138&lt;0,F139&lt;0),"Superior","Similar"))))</f>
        <v>0</v>
      </c>
      <c r="G136" s="3284">
        <f t="shared" si="42"/>
        <v>0</v>
      </c>
      <c r="H136" s="3284">
        <f t="shared" si="42"/>
        <v>0</v>
      </c>
      <c r="I136" s="3285">
        <f t="shared" si="42"/>
        <v>0</v>
      </c>
      <c r="J136" s="3286"/>
      <c r="K136" s="74"/>
      <c r="L136" s="32"/>
      <c r="M136" s="32"/>
      <c r="N136" s="32"/>
      <c r="O136" s="32"/>
      <c r="P136" s="32"/>
      <c r="Q136" s="32"/>
    </row>
    <row r="137" spans="1:17" hidden="1" x14ac:dyDescent="0.25">
      <c r="A137" s="972">
        <f>IF(A136=2,2,0)</f>
        <v>2</v>
      </c>
      <c r="B137" s="16"/>
      <c r="C137" s="92"/>
      <c r="D137" s="3283"/>
      <c r="E137" s="3256" t="s">
        <v>166</v>
      </c>
      <c r="F137" s="1856"/>
      <c r="G137" s="1856"/>
      <c r="H137" s="1856"/>
      <c r="I137" s="1003"/>
      <c r="J137" s="775"/>
      <c r="K137" s="74"/>
      <c r="L137" s="32"/>
      <c r="M137" s="32"/>
      <c r="N137" s="32"/>
      <c r="O137" s="32"/>
      <c r="P137" s="32"/>
      <c r="Q137" s="32"/>
    </row>
    <row r="138" spans="1:17" hidden="1" x14ac:dyDescent="0.25">
      <c r="A138" s="972">
        <f>IF(A137=2,2,0)</f>
        <v>2</v>
      </c>
      <c r="B138" s="16"/>
      <c r="C138" s="92"/>
      <c r="D138" s="3283"/>
      <c r="E138" s="3256" t="s">
        <v>167</v>
      </c>
      <c r="F138" s="1857"/>
      <c r="G138" s="1857"/>
      <c r="H138" s="1857"/>
      <c r="I138" s="1004"/>
      <c r="J138" s="3288"/>
      <c r="K138" s="74"/>
      <c r="L138" s="32"/>
      <c r="M138" s="32"/>
      <c r="N138" s="32"/>
      <c r="O138" s="32"/>
      <c r="P138" s="32"/>
      <c r="Q138" s="32"/>
    </row>
    <row r="139" spans="1:17" hidden="1" x14ac:dyDescent="0.25">
      <c r="A139" s="972">
        <f>IF(A138=2,2,0)</f>
        <v>2</v>
      </c>
      <c r="B139" s="16"/>
      <c r="C139" s="92"/>
      <c r="D139" s="3283"/>
      <c r="E139" s="3256" t="str">
        <f>CONCATENATE("Enter $/",dpUnit_Land," Adj.")</f>
        <v>Enter $/per Usable Square Foot Adj.</v>
      </c>
      <c r="F139" s="1858"/>
      <c r="G139" s="1858"/>
      <c r="H139" s="1858"/>
      <c r="I139" s="1005"/>
      <c r="J139" s="3289"/>
      <c r="K139" s="74"/>
      <c r="L139" s="32"/>
      <c r="M139" s="32"/>
      <c r="N139" s="32"/>
      <c r="O139" s="32"/>
      <c r="P139" s="32"/>
      <c r="Q139" s="32"/>
    </row>
    <row r="140" spans="1:17" x14ac:dyDescent="0.25">
      <c r="A140" s="972">
        <f>IF(Land_AdjType="Qualitative",0,1)</f>
        <v>1</v>
      </c>
      <c r="B140" s="16"/>
      <c r="C140" s="92"/>
      <c r="D140" s="3283" t="str">
        <f>IF(Land_AdjType&lt;&gt;"Qualitative","Net Physical Adjustment","Net Relative Comparison")</f>
        <v>Net Physical Adjustment</v>
      </c>
      <c r="E140" s="93"/>
      <c r="F140" s="3318">
        <f t="shared" ref="F140:I140" si="43">IF(Land_AdjType&lt;&gt;"Qualitative",SUBTOTAL(9,F67,F74,F80,F86,F94,F100,F106,F112,F118,F124,F130,F136),SUBTOTAL(9,F63,F71,F78,F84,F90,F98,F104,F110,F116,F128,F134))</f>
        <v>0.03</v>
      </c>
      <c r="G140" s="3318">
        <f t="shared" si="43"/>
        <v>-2.0000000000000004E-2</v>
      </c>
      <c r="H140" s="3318">
        <f t="shared" si="43"/>
        <v>-2.0000000000000004E-2</v>
      </c>
      <c r="I140" s="3319">
        <f t="shared" si="43"/>
        <v>-2.0000000000000004E-2</v>
      </c>
      <c r="J140" s="3286"/>
      <c r="K140" s="74"/>
      <c r="L140" s="32"/>
      <c r="M140" s="32"/>
      <c r="N140" s="32"/>
      <c r="O140" s="32"/>
      <c r="P140" s="32"/>
      <c r="Q140" s="32"/>
    </row>
    <row r="141" spans="1:17" hidden="1" x14ac:dyDescent="0.25">
      <c r="A141" s="972">
        <v>0</v>
      </c>
      <c r="B141" s="4"/>
      <c r="C141" s="258"/>
      <c r="D141" s="3283" t="str">
        <f>IF(Land_AdjType&lt;&gt;"Qualitative","Gross Physical Adjustment","Gross Relative Comparison")</f>
        <v>Gross Physical Adjustment</v>
      </c>
      <c r="E141" s="423"/>
      <c r="F141" s="3284">
        <f t="shared" ref="F141:I141" si="44">IF(Land_AdjType&lt;&gt;"Qualitative",SUM(ABS(F67),ABS(F74),ABS(F80),ABS(F86),ABS(F94),ABS(F100),ABS(F106),ABS(F112),ABS(F118),ABS(F124),ABS(F130),ABS(F136)),SUM(ABS(F63),ABS(F71),ABS(F78),ABS(F84),ABS(F90),ABS(F98),ABS(F104),ABS(F110),ABS(F116),ABS(F128),ABS(F134)))</f>
        <v>0.03</v>
      </c>
      <c r="G141" s="3284">
        <f t="shared" si="44"/>
        <v>0.08</v>
      </c>
      <c r="H141" s="3284">
        <f t="shared" si="44"/>
        <v>0.08</v>
      </c>
      <c r="I141" s="3285">
        <f t="shared" si="44"/>
        <v>0.08</v>
      </c>
      <c r="J141" s="3286"/>
      <c r="K141" s="74"/>
      <c r="L141" s="32"/>
      <c r="M141" s="32"/>
      <c r="N141" s="32"/>
      <c r="O141" s="32"/>
      <c r="P141" s="32"/>
      <c r="Q141" s="32"/>
    </row>
    <row r="142" spans="1:17" ht="14.25" hidden="1" customHeight="1" x14ac:dyDescent="0.25">
      <c r="A142" s="972">
        <f>IF(Land_AdjType="Qualitative",1,0)</f>
        <v>0</v>
      </c>
      <c r="B142" s="16"/>
      <c r="C142" s="92"/>
      <c r="D142" s="3320" t="s">
        <v>1128</v>
      </c>
      <c r="E142" s="93"/>
      <c r="F142" s="3321" t="str">
        <f t="shared" ref="F142:I142" si="45">IF(SUM(F63,F71,F78,F84,F90,F98,F104,F110,F116,F122,F128,F134)&gt;0,"Inferior",IF(SUM(F63,F71,F78,F84,F90,F98,F104,F110,F116,F122,F128,F134)&lt;0,"Superior","Similar"))</f>
        <v>Inferior</v>
      </c>
      <c r="G142" s="3321" t="str">
        <f t="shared" si="45"/>
        <v>Superior</v>
      </c>
      <c r="H142" s="3321" t="str">
        <f t="shared" si="45"/>
        <v>Superior</v>
      </c>
      <c r="I142" s="3322" t="str">
        <f t="shared" si="45"/>
        <v>Superior</v>
      </c>
      <c r="J142" s="3323"/>
      <c r="K142" s="74"/>
      <c r="L142" s="32"/>
      <c r="M142" s="32"/>
      <c r="N142" s="32"/>
      <c r="O142" s="32"/>
      <c r="P142" s="32"/>
      <c r="Q142" s="32"/>
    </row>
    <row r="143" spans="1:17" ht="20.100000000000001" customHeight="1" thickBot="1" x14ac:dyDescent="0.3">
      <c r="A143" s="972">
        <f>IF(Land_AdjType="Qualitative",0,1)</f>
        <v>1</v>
      </c>
      <c r="B143" s="16"/>
      <c r="C143" s="92"/>
      <c r="D143" s="3324" t="str">
        <f>CONCATENATE("Adjusted Sales Price ",dpUnit_Land)</f>
        <v>Adjusted Sales Price per Usable Square Foot</v>
      </c>
      <c r="E143" s="3325"/>
      <c r="F143" s="3326">
        <f t="shared" ref="F143:I143" si="46">IF(Land_AdjType="Percent",F62*(1+F140),IF(Land_AdjType="$ per Unit",F62+F140,""))</f>
        <v>22.119552791780826</v>
      </c>
      <c r="G143" s="3326">
        <f t="shared" si="46"/>
        <v>15.960710126027395</v>
      </c>
      <c r="H143" s="3326">
        <f t="shared" si="46"/>
        <v>17.680596164383562</v>
      </c>
      <c r="I143" s="3327">
        <f t="shared" si="46"/>
        <v>18.379343682191777</v>
      </c>
      <c r="J143" s="3328"/>
      <c r="K143" s="74"/>
      <c r="L143" s="32"/>
      <c r="M143" s="32"/>
      <c r="N143" s="32"/>
      <c r="O143" s="32"/>
      <c r="P143" s="32"/>
      <c r="Q143" s="32"/>
    </row>
    <row r="144" spans="1:17" ht="14.25" customHeight="1" thickBot="1" x14ac:dyDescent="0.3">
      <c r="A144" s="972">
        <v>1</v>
      </c>
      <c r="B144" s="95"/>
      <c r="C144" s="1772"/>
      <c r="D144" s="1369" t="s">
        <v>935</v>
      </c>
      <c r="E144" s="1773"/>
      <c r="F144" s="1942"/>
      <c r="G144" s="1942"/>
      <c r="H144" s="1942"/>
      <c r="I144" s="836"/>
      <c r="J144" s="78"/>
      <c r="K144" s="76"/>
      <c r="L144" s="32"/>
      <c r="M144" s="32"/>
      <c r="N144" s="32"/>
      <c r="O144" s="32"/>
      <c r="P144" s="32"/>
      <c r="Q144" s="32"/>
    </row>
    <row r="145" spans="1:38" ht="15" customHeight="1" x14ac:dyDescent="0.25">
      <c r="A145" s="972">
        <v>1</v>
      </c>
      <c r="B145" s="11"/>
      <c r="C145" s="42"/>
      <c r="D145" s="569"/>
      <c r="E145" s="54"/>
      <c r="F145" s="1873"/>
      <c r="G145" s="1873"/>
      <c r="H145" s="1873"/>
      <c r="I145" s="810"/>
      <c r="J145" s="54"/>
      <c r="K145" s="42"/>
      <c r="L145" s="32"/>
      <c r="M145" s="561"/>
      <c r="N145" s="562"/>
      <c r="O145" s="562"/>
      <c r="P145" s="562"/>
      <c r="Q145" s="562"/>
      <c r="R145" s="2"/>
      <c r="S145" s="2"/>
      <c r="T145" s="2"/>
      <c r="U145" s="2"/>
      <c r="V145" s="2"/>
      <c r="W145" s="2"/>
      <c r="X145" s="3"/>
      <c r="AC145" s="1"/>
      <c r="AD145" s="2"/>
      <c r="AE145" s="2"/>
      <c r="AF145" s="123"/>
      <c r="AG145" s="2"/>
      <c r="AH145" s="2"/>
      <c r="AI145" s="3"/>
    </row>
    <row r="146" spans="1:38" s="129" customFormat="1" ht="16.5" customHeight="1" x14ac:dyDescent="0.3">
      <c r="A146" s="977">
        <v>1</v>
      </c>
      <c r="B146" s="336"/>
      <c r="C146" s="570"/>
      <c r="D146" s="571"/>
      <c r="E146" s="572"/>
      <c r="F146" s="1874"/>
      <c r="G146" s="1874"/>
      <c r="H146" s="1874"/>
      <c r="I146" s="1007"/>
      <c r="J146" s="572"/>
      <c r="K146" s="570"/>
      <c r="L146" s="566"/>
      <c r="M146" s="567"/>
      <c r="N146" s="246"/>
      <c r="O146" s="3757" t="s">
        <v>941</v>
      </c>
      <c r="P146" s="568"/>
      <c r="Q146" s="568"/>
      <c r="R146" s="246"/>
      <c r="S146" s="246"/>
      <c r="T146" s="246"/>
      <c r="U146" s="246"/>
      <c r="V146" s="246"/>
      <c r="W146" s="246"/>
      <c r="X146" s="338"/>
      <c r="AC146" s="4"/>
      <c r="AD146" s="5"/>
      <c r="AE146" s="246" t="s">
        <v>1619</v>
      </c>
      <c r="AF146" s="19"/>
      <c r="AG146" s="5"/>
      <c r="AH146" s="5"/>
      <c r="AI146" s="6"/>
    </row>
    <row r="147" spans="1:38" ht="15" customHeight="1" x14ac:dyDescent="0.25">
      <c r="A147" s="972">
        <v>1</v>
      </c>
      <c r="B147" s="11"/>
      <c r="C147" s="42"/>
      <c r="D147" s="569"/>
      <c r="E147" s="54"/>
      <c r="F147" s="2144"/>
      <c r="G147" s="1873"/>
      <c r="H147" s="1873"/>
      <c r="I147" s="810"/>
      <c r="J147" s="54"/>
      <c r="K147" s="42"/>
      <c r="L147" s="32"/>
      <c r="M147" s="563"/>
      <c r="N147" s="3781"/>
      <c r="O147" s="3777" t="s">
        <v>942</v>
      </c>
      <c r="P147" s="3777"/>
      <c r="Q147" s="3777"/>
      <c r="R147" s="3767" t="s">
        <v>655</v>
      </c>
      <c r="S147" s="3767"/>
      <c r="T147" s="3767" t="s">
        <v>1370</v>
      </c>
      <c r="U147" s="3767"/>
      <c r="V147" s="3767" t="s">
        <v>128</v>
      </c>
      <c r="W147" s="3781"/>
      <c r="X147" s="6"/>
      <c r="AC147" s="4"/>
      <c r="AD147" s="12"/>
      <c r="AE147" s="12" t="s">
        <v>232</v>
      </c>
      <c r="AF147" s="55"/>
      <c r="AG147" s="55" t="s">
        <v>331</v>
      </c>
      <c r="AH147" s="12"/>
      <c r="AI147" s="6"/>
    </row>
    <row r="148" spans="1:38" ht="14.25" customHeight="1" x14ac:dyDescent="0.25">
      <c r="A148" s="972">
        <v>1</v>
      </c>
      <c r="B148" s="11"/>
      <c r="C148" s="42"/>
      <c r="D148" s="569"/>
      <c r="E148" s="54"/>
      <c r="F148" s="1873"/>
      <c r="G148" s="1873"/>
      <c r="H148" s="1873"/>
      <c r="I148" s="810"/>
      <c r="J148" s="54"/>
      <c r="K148" s="42"/>
      <c r="L148" s="32"/>
      <c r="M148" s="563"/>
      <c r="N148" s="2987"/>
      <c r="O148" s="92" t="str">
        <f>CONCATENATE("Min. Sales Price ",dpUnit_Land)</f>
        <v>Min. Sales Price per Usable Square Foot</v>
      </c>
      <c r="P148" s="92"/>
      <c r="Q148" s="92"/>
      <c r="R148" s="3329" t="str">
        <f>IF(dpUnit_Land="per Usable Acre",TEXT(MIN(Land_UnAdjustedRange_Usable_Per_Acre),"$#,000"),IF(dpUnit_Land="per Usable Square Foot",TEXT(MIN(Land_UnAdjustedRange_Usable_PSF),"$0.00"),IF(dpUnit_Land="per Gross Acre",TEXT(MIN(Land_UnAdjustedRange_Gross_Per_Acre),"$#,000"),IF(dpUnit_Land="per Gross Square Foot",TEXT(MIN(Land_UnAdjustedRange_Gross_PSF),"$0.00"),IF(dpUnit_Land="per Front Foot",TEXT(MIN(Land_UnAdjustedRange_Front_Foot),"$#,000"),IF(dpUnit_Land="per Proposed Square Foot",TEXT(MIN(Land_UnAdjustedRange_Proposed_SF),"$0.00"),IF(dpUnit_Land="per Lot",TEXT(MIN(Land_UnAdjustedRange_Lot),"$#,##0"),TEXT(MIN(Land_UnAdjustedRange_Unit),"$#,##0"))))))))</f>
        <v>$16.13</v>
      </c>
      <c r="S148" s="3329"/>
      <c r="T148" s="3256" t="str">
        <f>IF(OR(dpUnit_Land="per Usable Square Foot",dpUnit_Land="per Gross Square Foot",dpUnit_Land="per Proposed Square Foot"),TEXT(MIN(Land_AdjPrice2),"$0.00"),TEXT(MIN(Land_AdjPrice2),"$#,000"))</f>
        <v>$16.29</v>
      </c>
      <c r="U148" s="3256"/>
      <c r="V148" s="3256" t="str">
        <f>IF(Land_AdjType="Qualitative","N/A",IF(OR(dpUnit_Land="per Usable Square Foot",dpUnit_Land="per Gross Square Foot",dpUnit_Land="per Proposed Square Foot"),TEXT(MIN(Land_FinalAdjustedRange),"$0.00"),TEXT(MIN(Land_FinalAdjustedRange),"$#,000")))</f>
        <v>$15.96</v>
      </c>
      <c r="W148" s="258"/>
      <c r="X148" s="6"/>
      <c r="AC148" s="4"/>
      <c r="AD148" s="258"/>
      <c r="AE148" s="1272" t="s">
        <v>1620</v>
      </c>
      <c r="AF148" s="1275"/>
      <c r="AG148" s="1904">
        <f>Subject_GBA</f>
        <v>220514</v>
      </c>
      <c r="AH148" s="258"/>
      <c r="AI148" s="6"/>
    </row>
    <row r="149" spans="1:38" ht="14.25" customHeight="1" x14ac:dyDescent="0.25">
      <c r="A149" s="972">
        <v>1</v>
      </c>
      <c r="B149" s="11"/>
      <c r="C149" s="42"/>
      <c r="D149" s="569"/>
      <c r="E149" s="54"/>
      <c r="F149" s="1873"/>
      <c r="G149" s="1873"/>
      <c r="H149" s="1873"/>
      <c r="I149" s="810"/>
      <c r="J149" s="54"/>
      <c r="K149" s="42"/>
      <c r="L149" s="32"/>
      <c r="M149" s="563"/>
      <c r="N149" s="2987"/>
      <c r="O149" s="92" t="str">
        <f>CONCATENATE("Max. Sales Price ",dpUnit_Land)</f>
        <v>Max. Sales Price per Usable Square Foot</v>
      </c>
      <c r="P149" s="92"/>
      <c r="Q149" s="92"/>
      <c r="R149" s="3329" t="str">
        <f>IF(dpUnit_Land="per Usable Acre",TEXT(MAX(Land_UnAdjustedRange_Usable_Per_Acre),"$#,000"),IF(dpUnit_Land="per Usable Square Foot",TEXT(MAX(Land_UnAdjustedRange_Usable_PSF),"$0.00"),IF(dpUnit_Land="per Gross Acre",TEXT(MAX(Land_UnAdjustedRange_Gross_Per_Acre),"$#,000"),IF(dpUnit_Land="per Gross Square Foot",TEXT(MAX(Land_UnAdjustedRange_Gross_PSF),"$0.00"),IF(dpUnit_Land="per Front Foot",TEXT(MAX(Land_UnAdjustedRange_Front_Foot),"$#,000"),IF(dpUnit_Land="per Proposed Square Foot",TEXT(MAX(Land_UnAdjustedRange_Proposed_SF),"$0.00"),IF(dpUnit_Land="per Lot",TEXT(MAX(Land_UnAdjustedRange_Lot),"$#,##0"),TEXT(MAX(Land_UnAdjustedRange_Unit),"$#,##0"))))))))</f>
        <v>$21.47</v>
      </c>
      <c r="S149" s="3329"/>
      <c r="T149" s="3256" t="str">
        <f>IF(OR(dpUnit_Land="per Usable Square Foot",dpUnit_Land="per Gross Square Foot",dpUnit_Land="per Proposed Square Foot"),TEXT(MAX(Land_AdjPrice2),"$0.00"),TEXT(MAX(Land_AdjPrice2),"$#,000"))</f>
        <v>$21.48</v>
      </c>
      <c r="U149" s="3256"/>
      <c r="V149" s="3256" t="str">
        <f>IF(Land_AdjType="Qualitative","N/A",IF(OR(dpUnit_Land="Per Usable Square Foot",dpUnit_Land="Per Gross Square Foot",dpUnit_Land="per Proposed Square Foot"),TEXT(MAX(Land_FinalAdjustedRange),"$0.00"),TEXT(MAX(Land_FinalAdjustedRange),"$#,000")))</f>
        <v>$22.12</v>
      </c>
      <c r="W149" s="258"/>
      <c r="X149" s="6"/>
      <c r="AC149" s="4"/>
      <c r="AD149" s="258"/>
      <c r="AE149" s="1272" t="s">
        <v>1621</v>
      </c>
      <c r="AF149" s="1275" t="s">
        <v>176</v>
      </c>
      <c r="AG149" s="1905">
        <v>3</v>
      </c>
      <c r="AH149" s="258"/>
      <c r="AI149" s="6"/>
    </row>
    <row r="150" spans="1:38" ht="14.25" customHeight="1" thickBot="1" x14ac:dyDescent="0.3">
      <c r="A150" s="972">
        <v>1</v>
      </c>
      <c r="B150" s="11"/>
      <c r="C150" s="42"/>
      <c r="D150" s="569"/>
      <c r="E150" s="54"/>
      <c r="F150" s="1873"/>
      <c r="G150" s="1873"/>
      <c r="H150" s="1873"/>
      <c r="I150" s="810"/>
      <c r="J150" s="54"/>
      <c r="K150" s="42"/>
      <c r="L150" s="32"/>
      <c r="M150" s="563"/>
      <c r="N150" s="2987"/>
      <c r="O150" s="92" t="str">
        <f>CONCATENATE("Median Sales Price ",dpUnit_Land)</f>
        <v>Median Sales Price per Usable Square Foot</v>
      </c>
      <c r="P150" s="92"/>
      <c r="Q150" s="92"/>
      <c r="R150" s="3329" t="str">
        <f>IF(dpUnit_Land="per Usable Acre",TEXT(MEDIAN(Land_UnAdjustedRange_Usable_Per_Acre),"$#,000"),IF(dpUnit_Land="per Usable Square Foot",TEXT(MEDIAN(Land_UnAdjustedRange_Usable_PSF),"$0.00"),IF(dpUnit_Land="per Gross Acre",TEXT(MEDIAN(Land_UnAdjustedRange_Gross_Per_Acre),"$#,000"),IF(dpUnit_Land="per Gross Square Foot",TEXT(MEDIAN(Land_UnAdjustedRange_Gross_PSF),"$0.00"),IF(dpUnit_Land="per Front Foot",TEXT(MEDIAN(Land_UnAdjustedRange_Front_Foot),"$#,000"),IF(dpUnit_Land="per Proposed Square Foot",TEXT(MEDIAN(Land_UnAdjustedRange_Proposed_SF),"$0.00"),IF(dpUnit_Land="per Lot",TEXT(MEDIAN(Land_UnAdjustedRange_Lot),"$#,##0"),TEXT(MEDIAN(Land_UnAdjustedRange_Unit),"$#,##0"))))))))</f>
        <v>$18.25</v>
      </c>
      <c r="S150" s="3329"/>
      <c r="T150" s="3256" t="str">
        <f>IF(OR(dpUnit_Land="per Usable Square Foot",dpUnit_Land="per Gross Square Foot",dpUnit_Land="per Proposed Square Foot"),TEXT(MEDIAN(Land_AdjPrice2),"$0.00"),TEXT(MEDIAN(Land_AdjPrice2),"$#,000"))</f>
        <v>$18.40</v>
      </c>
      <c r="U150" s="3256"/>
      <c r="V150" s="3256" t="str">
        <f>IF(Land_AdjType="Qualitative","N/A",IF(OR(dpUnit_Land="Per Usable Square Foot",dpUnit_Land="Per Gross Square Foot",dpUnit_Land="per Proposed Square Foot"),TEXT(MEDIAN(Land_FinalAdjustedRange),"$0.00"),TEXT(MEDIAN(Land_FinalAdjustedRange),"$#,000")))</f>
        <v>$18.03</v>
      </c>
      <c r="W150" s="258"/>
      <c r="X150" s="6"/>
      <c r="AC150" s="4"/>
      <c r="AD150" s="258"/>
      <c r="AE150" s="1272" t="s">
        <v>1622</v>
      </c>
      <c r="AF150" s="1275" t="s">
        <v>176</v>
      </c>
      <c r="AG150" s="1906">
        <v>1.1499999999999999</v>
      </c>
      <c r="AH150" s="258"/>
      <c r="AI150" s="6"/>
    </row>
    <row r="151" spans="1:38" ht="14.25" customHeight="1" thickBot="1" x14ac:dyDescent="0.3">
      <c r="A151" s="972">
        <v>1</v>
      </c>
      <c r="B151" s="11"/>
      <c r="C151" s="42"/>
      <c r="D151" s="569"/>
      <c r="E151" s="54"/>
      <c r="F151" s="1873"/>
      <c r="G151" s="1873"/>
      <c r="H151" s="1873"/>
      <c r="I151" s="810"/>
      <c r="J151" s="54"/>
      <c r="K151" s="42"/>
      <c r="L151" s="32"/>
      <c r="M151" s="563"/>
      <c r="N151" s="2987"/>
      <c r="O151" s="3330" t="str">
        <f>CONCATENATE("Mean Sales Price ",dpUnit_Land)</f>
        <v>Mean Sales Price per Usable Square Foot</v>
      </c>
      <c r="P151" s="3330"/>
      <c r="Q151" s="3330"/>
      <c r="R151" s="3331" t="str">
        <f>IF(dpUnit_Land="per Usable Acre",TEXT(AVERAGE(Land_UnAdjustedRange_Usable_Per_Acre),"$#,000"),IF(dpUnit_Land="per Usable Square Foot",TEXT(AVERAGE(Land_UnAdjustedRange_Usable_PSF),"$0.00"),IF(dpUnit_Land="per Gross Acre",TEXT(AVERAGE(Land_UnAdjustedRange_Gross_Per_Acre),"$#,000"),IF(dpUnit_Land="per Gross Square Foot",TEXT(AVERAGE(Land_UnAdjustedRange_Gross_PSF),"$0.00"),IF(dpUnit_Land="per Front Foot",TEXT(AVERAGE(Land_UnAdjustedRange_Front_Foot),"$#,000"),IF(dpUnit_Land="per Proposed Square Foot",TEXT(AVERAGE(Land_UnAdjustedRange_Proposed_SF),"$0.00"),IF(dpUnit_Land="per Lot",TEXT(AVERAGE(Land_UnAdjustedRange_Lot),"$#,##0"),TEXT(AVERAGE(Land_UnAdjustedRange_Unit),"$#,##0"))))))))</f>
        <v>$18.52</v>
      </c>
      <c r="S151" s="3331"/>
      <c r="T151" s="3332" t="str">
        <f>IF(OR(dpUnit_Land="per Usable Square Foot",dpUnit_Land="per Gross Square Foot",dpUnit_Land="per Proposed Square Foot"),TEXT(AVERAGE(Land_AdjPrice2),"$0.00"),TEXT(AVERAGE(Land_AdjPrice2),"$#,000"))</f>
        <v>$18.64</v>
      </c>
      <c r="U151" s="3332"/>
      <c r="V151" s="3332" t="str">
        <f>IF(Land_AdjType="Qualitative","N/A",IF(OR(dpUnit_Land="Per Usable Square Foot",dpUnit_Land="Per Gross Square Foot",dpUnit_Land="per Proposed Square Foot"),TEXT(AVERAGE(Land_FinalAdjustedRange),"$0.00"),TEXT(AVERAGE(Land_FinalAdjustedRange),"$#,000")))</f>
        <v>$18.54</v>
      </c>
      <c r="W151" s="258"/>
      <c r="X151" s="6"/>
      <c r="AC151" s="4"/>
      <c r="AD151" s="258"/>
      <c r="AE151" s="3341" t="s">
        <v>1623</v>
      </c>
      <c r="AF151" s="3342"/>
      <c r="AG151" s="3343">
        <f>MROUND(AG148*AG149*AG150,INDEX(Rounding_Options,MATCH(AL151,Rounding_Label,0),2))</f>
        <v>760000</v>
      </c>
      <c r="AH151" s="258"/>
      <c r="AI151" s="6"/>
      <c r="AK151" s="150" t="s">
        <v>991</v>
      </c>
      <c r="AL151" s="702" t="s">
        <v>1036</v>
      </c>
    </row>
    <row r="152" spans="1:38" ht="14.25" customHeight="1" thickBot="1" x14ac:dyDescent="0.3">
      <c r="A152" s="972">
        <v>1</v>
      </c>
      <c r="B152" s="11"/>
      <c r="C152" s="42"/>
      <c r="D152" s="569"/>
      <c r="E152" s="54"/>
      <c r="F152" s="1873"/>
      <c r="G152" s="1873"/>
      <c r="H152" s="1873"/>
      <c r="I152" s="810"/>
      <c r="J152" s="54"/>
      <c r="K152" s="42"/>
      <c r="L152" s="32"/>
      <c r="M152" s="563"/>
      <c r="N152" s="52"/>
      <c r="O152" s="448" t="s">
        <v>958</v>
      </c>
      <c r="P152" s="18"/>
      <c r="Q152" s="18"/>
      <c r="R152" s="892">
        <f>IF(dpUnit_Land="per Usable Acre",STDEV(Land_UnAdjustedRange_Usable_Per_Acre),IF(dpUnit_Land="per Usable Square Foot",STDEV(Land_UnAdjustedRange_Usable_PSF),IF(dpUnit_Land="per Gross Acre",STDEV(Land_UnAdjustedRange_Gross_Per_Acre),IF(dpUnit_Land="per Gross Square Foot",STDEV(Land_UnAdjustedRange_Gross_PSF),IF(dpUnit_Land="per Front Foot",STDEV(Land_UnAdjustedRange_Front_Foot),IF(dpUnit_Land="per Proposed Square Foot",STDEV(Land_UnAdjustedRange_Proposed_SF),IF(dpUnit_Land="per Lot",STDEV(Land_UnAdjustedRange_Lot),STDEV(Land_UnAdjustedRange_Unit))))))))</f>
        <v>2.2125306024249038</v>
      </c>
      <c r="S152" s="892"/>
      <c r="T152" s="893">
        <f>IF(Land_AdjType="Qualitative","N/A",IF(OR(dpUnit_Land="per Usable Square Foot",dpUnit_Land="per Gross Square Foot"),STDEV(Land_AdjPrice2),STDEV(Land_AdjPrice2)))</f>
        <v>2.1563493447221784</v>
      </c>
      <c r="U152" s="893"/>
      <c r="V152" s="893">
        <f>IF(Land_AdjType="Qualitative","N/A",IF(OR(dpUnit_Land="per Usable Square Foot",dpUnit_Land="per Gross Square Foot"),STDEV(Land_FinalAdjustedRange),STDEV(Land_FinalAdjustedRange)))</f>
        <v>2.5968071334886731</v>
      </c>
      <c r="W152" s="5"/>
      <c r="X152" s="6"/>
      <c r="AC152" s="8"/>
      <c r="AD152" s="7"/>
      <c r="AE152" s="552" t="s">
        <v>1624</v>
      </c>
      <c r="AF152" s="800"/>
      <c r="AG152" s="7"/>
      <c r="AH152" s="7"/>
      <c r="AI152" s="9"/>
    </row>
    <row r="153" spans="1:38" ht="15" customHeight="1" thickBot="1" x14ac:dyDescent="0.3">
      <c r="A153" s="972">
        <v>1</v>
      </c>
      <c r="B153" s="11"/>
      <c r="C153" s="42"/>
      <c r="D153" s="569"/>
      <c r="E153" s="54"/>
      <c r="F153" s="1873"/>
      <c r="G153" s="1873"/>
      <c r="H153" s="1873"/>
      <c r="I153" s="810"/>
      <c r="J153" s="54"/>
      <c r="K153" s="42"/>
      <c r="L153" s="32"/>
      <c r="M153" s="564"/>
      <c r="N153" s="565"/>
      <c r="O153" s="552" t="s">
        <v>943</v>
      </c>
      <c r="P153" s="552"/>
      <c r="Q153" s="552"/>
      <c r="R153" s="7"/>
      <c r="S153" s="7"/>
      <c r="T153" s="7"/>
      <c r="U153" s="7"/>
      <c r="V153" s="7"/>
      <c r="W153" s="7"/>
      <c r="X153" s="9"/>
    </row>
    <row r="154" spans="1:38" ht="15" thickBot="1" x14ac:dyDescent="0.3">
      <c r="A154" s="972">
        <v>1</v>
      </c>
      <c r="L154" s="32"/>
      <c r="M154" s="32"/>
      <c r="N154" s="32"/>
      <c r="O154" s="32"/>
      <c r="P154" s="32"/>
      <c r="Q154" s="32"/>
    </row>
    <row r="155" spans="1:38" ht="15" customHeight="1" x14ac:dyDescent="0.25">
      <c r="A155" s="972">
        <v>1</v>
      </c>
      <c r="L155" s="32"/>
      <c r="M155" s="1"/>
      <c r="N155" s="2"/>
      <c r="O155" s="2"/>
      <c r="P155" s="2"/>
      <c r="Q155" s="2"/>
      <c r="R155" s="202"/>
      <c r="S155" s="202"/>
      <c r="T155" s="202"/>
      <c r="U155" s="202"/>
      <c r="V155" s="202"/>
      <c r="W155" s="202"/>
      <c r="X155" s="3"/>
    </row>
    <row r="156" spans="1:38" ht="16.5" x14ac:dyDescent="0.3">
      <c r="A156" s="972">
        <v>1</v>
      </c>
      <c r="L156" s="32"/>
      <c r="M156" s="4"/>
      <c r="N156" s="3784"/>
      <c r="O156" s="3861" t="str">
        <f>IF(AND(Subject_LandExcessAcres=0,Subject_LandSurplusAcres=0),"Land Value Conclusion","Land Value Conclusions")</f>
        <v>Land Value Conclusion</v>
      </c>
      <c r="P156" s="3861"/>
      <c r="Q156" s="3861"/>
      <c r="R156" s="3784"/>
      <c r="S156" s="3784"/>
      <c r="T156" s="3786"/>
      <c r="U156" s="3784"/>
      <c r="V156" s="3784"/>
      <c r="W156" s="3784"/>
      <c r="X156" s="6"/>
    </row>
    <row r="157" spans="1:38" x14ac:dyDescent="0.25">
      <c r="A157" s="972">
        <v>1</v>
      </c>
      <c r="H157" s="1839">
        <f>410776/43560</f>
        <v>9.4301193755739217</v>
      </c>
      <c r="L157" s="32"/>
      <c r="M157" s="4"/>
      <c r="N157" s="258"/>
      <c r="O157" s="3333" t="s">
        <v>20030</v>
      </c>
      <c r="P157" s="3333"/>
      <c r="Q157" s="3333"/>
      <c r="R157" s="423"/>
      <c r="S157" s="423"/>
      <c r="T157" s="100"/>
      <c r="U157" s="423"/>
      <c r="V157" s="423"/>
      <c r="W157" s="423"/>
      <c r="X157" s="6"/>
    </row>
    <row r="158" spans="1:38" x14ac:dyDescent="0.25">
      <c r="A158" s="972">
        <v>1</v>
      </c>
      <c r="L158" s="32"/>
      <c r="M158" s="4"/>
      <c r="N158" s="258"/>
      <c r="O158" s="3334">
        <v>9.43</v>
      </c>
      <c r="P158" s="3334"/>
      <c r="Q158" s="423" t="s">
        <v>176</v>
      </c>
      <c r="R158" s="423"/>
      <c r="S158" s="423"/>
      <c r="T158" s="1531">
        <v>17.5</v>
      </c>
      <c r="U158" s="423" t="s">
        <v>177</v>
      </c>
      <c r="V158" s="426">
        <f>IF(OR(dpUnit_Land="per Usable Acre",dpUnit_Land="per Gross Acre"),IF(OR(LandUnitDisplay="Usable Acres",LandUnitDisplay="Gross Acres"),Land_IndicationSize_1*Land_ReasonableLow,Land_IndicationSize_1*43560*Land_ReasonableLow),IF(OR(dpUnit_Land="per Usable Square Foot",dpUnit_Land="per Gross Square Foot"),IF(OR(LandUnitDisplay="Usable Acres",LandUnitDisplay="Gross Acres"),Land_IndicationSize_1*43560*Land_ReasonableLow,Land_IndicationSize_1*Land_ReasonableLow),Land_IndicationSize_1*Land_ReasonableLow))</f>
        <v>7188489</v>
      </c>
      <c r="W158" s="423"/>
      <c r="X158" s="6"/>
    </row>
    <row r="159" spans="1:38" ht="4.9000000000000004" customHeight="1" x14ac:dyDescent="0.25">
      <c r="A159" s="972">
        <v>1</v>
      </c>
      <c r="M159" s="4"/>
      <c r="N159" s="258"/>
      <c r="O159" s="258"/>
      <c r="P159" s="258"/>
      <c r="Q159" s="423"/>
      <c r="R159" s="423"/>
      <c r="S159" s="423"/>
      <c r="T159" s="423"/>
      <c r="U159" s="423"/>
      <c r="V159" s="426"/>
      <c r="W159" s="423"/>
      <c r="X159" s="6"/>
    </row>
    <row r="160" spans="1:38" x14ac:dyDescent="0.25">
      <c r="A160" s="972">
        <v>1</v>
      </c>
      <c r="M160" s="4"/>
      <c r="N160" s="258"/>
      <c r="O160" s="3334">
        <v>9.43</v>
      </c>
      <c r="P160" s="3334"/>
      <c r="Q160" s="423" t="s">
        <v>176</v>
      </c>
      <c r="R160" s="423"/>
      <c r="S160" s="423"/>
      <c r="T160" s="1531">
        <v>18.5</v>
      </c>
      <c r="U160" s="423" t="s">
        <v>177</v>
      </c>
      <c r="V160" s="426">
        <f>IF(OR(dpUnit_Land="per Usable Acre",dpUnit_Land="per Gross Acre"),IF(OR(LandUnitDisplay="Usable Acres",LandUnitDisplay="Gross Acres"),Land_IndicationSize_2*Land_ReasonableHigh,Land_IndicationSize_2*43560*Land_ReasonableHigh),IF(OR(dpUnit_Land="per Usable Square Foot",dpUnit_Land="per Gross Square Foot"),IF(OR(LandUnitDisplay="Usable Acres",LandUnitDisplay="Gross Acres"),Land_IndicationSize_2*43560*Land_ReasonableHigh,Land_IndicationSize_2*Land_ReasonableHigh),Land_IndicationSize_2*Land_ReasonableHigh))</f>
        <v>7599259.7999999998</v>
      </c>
      <c r="W160" s="423"/>
      <c r="X160" s="6"/>
    </row>
    <row r="161" spans="1:28" ht="18" customHeight="1" thickBot="1" x14ac:dyDescent="0.3">
      <c r="A161" s="972">
        <v>1</v>
      </c>
      <c r="M161" s="4"/>
      <c r="N161" s="258"/>
      <c r="O161" s="3335" t="s">
        <v>20031</v>
      </c>
      <c r="P161" s="3335"/>
      <c r="Q161" s="423"/>
      <c r="R161" s="423"/>
      <c r="S161" s="423"/>
      <c r="T161" s="423"/>
      <c r="U161" s="423"/>
      <c r="V161" s="415" t="str">
        <f>IF(AND(dpLand_DemolitionCost=0,dpLand_UserDefinedAdj1=0,dpLand_UserDefinedAdj2=0,dpLand_UserDefinedAdj3=0),"(Rounded)","")</f>
        <v>(Rounded)</v>
      </c>
      <c r="W161" s="423"/>
      <c r="X161" s="6"/>
      <c r="Z161" s="150"/>
    </row>
    <row r="162" spans="1:28" ht="15" thickBot="1" x14ac:dyDescent="0.3">
      <c r="A162" s="972">
        <v>1</v>
      </c>
      <c r="M162" s="4"/>
      <c r="N162" s="258"/>
      <c r="O162" s="3334">
        <v>22.34</v>
      </c>
      <c r="P162" s="3334"/>
      <c r="Q162" s="423" t="s">
        <v>176</v>
      </c>
      <c r="R162" s="423"/>
      <c r="S162" s="423"/>
      <c r="T162" s="1532">
        <v>7</v>
      </c>
      <c r="U162" s="423" t="s">
        <v>177</v>
      </c>
      <c r="V162" s="2886">
        <f>IF(OR(dpUnit_Land="per Usable Acre",dpUnit_Land="per Gross Acre"),IF(OR(LandUnitDisplay="Usable Acres",LandUnitDisplay="Gross Acres"),MROUND(Land_IndicationSize_3*dpLand_PrimaryLandValueUnit,INDEX(Rounding_Options,MATCH(AA162,Rounding_Label,0),2)),MROUND(Land_IndicationSize_3*43560*dpLand_PrimaryLandValueUnit,INDEX(Rounding_Options,MATCH(AA162,Rounding_Label,0),2))),IF(OR(dpUnit_Land="per Usable Square Foot",dpUnit_Land="per Gross Square Foot"),IF(OR(LandUnitDisplay="Usable Acres",LandUnitDisplay="Gross Acres"),MROUND(Land_IndicationSize_3*43560*dpLand_PrimaryLandValueUnit,INDEX(Rounding_Options,MATCH(AA162,Rounding_Label,0),2)),MROUND(Land_IndicationSize_3*dpLand_PrimaryLandValueUnit,INDEX(Rounding_Options,MATCH(AA162,Rounding_Label,0),2))),MROUND(Land_IndicationSize_3*dpLand_PrimaryLandValueUnit,INDEX(Rounding_Options,MATCH(AA162,Rounding_Label,0),2))))</f>
        <v>6800000</v>
      </c>
      <c r="W162" s="423"/>
      <c r="X162" s="6"/>
      <c r="Z162" s="55" t="s">
        <v>991</v>
      </c>
      <c r="AA162" s="702" t="s">
        <v>1038</v>
      </c>
      <c r="AB162" s="11"/>
    </row>
    <row r="163" spans="1:28" ht="15" hidden="1" thickBot="1" x14ac:dyDescent="0.3">
      <c r="A163" s="972">
        <f>IF(dpLand_DemolitionCost=0,0,1)</f>
        <v>0</v>
      </c>
      <c r="M163" s="4"/>
      <c r="N163" s="258"/>
      <c r="O163" s="258"/>
      <c r="P163" s="258"/>
      <c r="Q163" s="258"/>
      <c r="R163" s="423"/>
      <c r="S163" s="423"/>
      <c r="T163" s="415" t="s">
        <v>179</v>
      </c>
      <c r="U163" s="2893" t="s">
        <v>178</v>
      </c>
      <c r="V163" s="426"/>
      <c r="W163" s="423"/>
      <c r="X163" s="6"/>
      <c r="Y163" s="1996" t="s">
        <v>1736</v>
      </c>
      <c r="Z163" s="55"/>
    </row>
    <row r="164" spans="1:28" ht="15" hidden="1" thickBot="1" x14ac:dyDescent="0.3">
      <c r="A164" s="972">
        <f>IF(dpLand_UserDefinedAdj1=0,0,1)</f>
        <v>0</v>
      </c>
      <c r="M164" s="4"/>
      <c r="N164" s="258"/>
      <c r="O164" s="258"/>
      <c r="P164" s="258"/>
      <c r="Q164" s="258"/>
      <c r="R164" s="423"/>
      <c r="S164" s="423"/>
      <c r="T164" s="415" t="s">
        <v>180</v>
      </c>
      <c r="U164" s="2893" t="s">
        <v>178</v>
      </c>
      <c r="V164" s="426"/>
      <c r="W164" s="423"/>
      <c r="X164" s="6"/>
      <c r="Z164" s="37"/>
    </row>
    <row r="165" spans="1:28" ht="15" hidden="1" thickBot="1" x14ac:dyDescent="0.3">
      <c r="A165" s="972">
        <f>IF(dpLand_UserDefinedAdj2=0,0,1)</f>
        <v>0</v>
      </c>
      <c r="M165" s="4"/>
      <c r="N165" s="258"/>
      <c r="O165" s="258"/>
      <c r="P165" s="258"/>
      <c r="Q165" s="258"/>
      <c r="R165" s="423"/>
      <c r="S165" s="423"/>
      <c r="T165" s="415" t="s">
        <v>182</v>
      </c>
      <c r="U165" s="2893" t="s">
        <v>178</v>
      </c>
      <c r="V165" s="426"/>
      <c r="W165" s="423"/>
      <c r="X165" s="6"/>
      <c r="Z165" s="37"/>
    </row>
    <row r="166" spans="1:28" ht="15" hidden="1" thickBot="1" x14ac:dyDescent="0.3">
      <c r="A166" s="972">
        <f>IF(dpLand_UserDefinedAdj3=0,0,1)</f>
        <v>0</v>
      </c>
      <c r="M166" s="4"/>
      <c r="N166" s="258"/>
      <c r="O166" s="258"/>
      <c r="P166" s="258"/>
      <c r="Q166" s="258"/>
      <c r="R166" s="423"/>
      <c r="S166" s="423"/>
      <c r="T166" s="415" t="s">
        <v>181</v>
      </c>
      <c r="U166" s="2893" t="s">
        <v>178</v>
      </c>
      <c r="V166" s="426"/>
      <c r="W166" s="423"/>
      <c r="X166" s="6"/>
      <c r="Z166" s="37"/>
    </row>
    <row r="167" spans="1:28" ht="15" hidden="1" thickBot="1" x14ac:dyDescent="0.3">
      <c r="A167" s="972">
        <f>IF(SUM(A163:A166)=0,0,1)</f>
        <v>0</v>
      </c>
      <c r="M167" s="4"/>
      <c r="N167" s="258"/>
      <c r="O167" s="258"/>
      <c r="P167" s="258"/>
      <c r="Q167" s="258"/>
      <c r="R167" s="423"/>
      <c r="S167" s="423"/>
      <c r="T167" s="3336"/>
      <c r="U167" s="3336"/>
      <c r="V167" s="3337">
        <f>MROUND(SUM(V162:V166),INDEX(Rounding_Options,MATCH(AA162,Rounding_Label,0),2))</f>
        <v>6800000</v>
      </c>
      <c r="W167" s="423"/>
      <c r="X167" s="6"/>
      <c r="Z167" s="37"/>
    </row>
    <row r="168" spans="1:28" ht="18" hidden="1" customHeight="1" thickBot="1" x14ac:dyDescent="0.3">
      <c r="A168" s="972">
        <v>0</v>
      </c>
      <c r="M168" s="4"/>
      <c r="N168" s="258"/>
      <c r="O168" s="3335" t="str">
        <f>IF(Subject_LandExcessAcres&gt;0,CONCATENATE("Excess Land - ",Subject_Value1Type," Opinion"),IF(Subject_LandSurplusAcres&gt;0,CONCATENATE("Surplus Land - ",Subject_Value1Type," Opinion"),"None"))</f>
        <v>None</v>
      </c>
      <c r="P168" s="3335"/>
      <c r="Q168" s="3335"/>
      <c r="R168" s="423"/>
      <c r="S168" s="423"/>
      <c r="T168" s="423"/>
      <c r="U168" s="423"/>
      <c r="V168" s="415" t="str">
        <f>IF(AND(dpLand_DemolitionCost=0,dpLand_UserDefinedAdj1=0,dpLand_UserDefinedAdj2=0,dpLand_UserDefinedAdj3=0),"(Rounded)","")</f>
        <v>(Rounded)</v>
      </c>
      <c r="W168" s="423"/>
      <c r="X168" s="6"/>
      <c r="Z168" s="55"/>
    </row>
    <row r="169" spans="1:28" ht="15" hidden="1" thickBot="1" x14ac:dyDescent="0.3">
      <c r="A169" s="972">
        <v>0</v>
      </c>
      <c r="M169" s="4"/>
      <c r="N169" s="258"/>
      <c r="O169" s="3334">
        <f>IF(Subject_LandExcessAcres&gt;0,IF(OR(LandUnitDisplay="Usable Acres",LandUnitDisplay="Gross Acres"),Subject_LandExcessAcres,IF(OR(LandUnitDisplay="Usable Square Feet",LandUnitDisplay="Gross Square Feet"),Subject_LandExcessAcres*43560,IF(LandUnitDisplay="Front Feet","User Input Excess Land Front Feet","User Input Excess Land Proposed GBA"))),IF(OR(LandUnitDisplay="Usable Acres",LandUnitDisplay="Gross Acres"),Subject_LandSurplusAcres,IF(OR(LandUnitDisplay="Usable Square Feet",LandUnitDisplay="Gross Square Feet"),Subject_LandSurplusAcres*43560,IF(LandUnitDisplay="Front Feet","User Input Excess Land Front Feet",IF(LandUnitDisplay="Proposed Square Foot","User Input Excess Land Proposed GBA",IF(LandUnitDisplay="Lots","User Input Excess Land Lots","User Input Excess Land Proposed Units"))))))</f>
        <v>0</v>
      </c>
      <c r="P169" s="3334"/>
      <c r="Q169" s="423" t="s">
        <v>176</v>
      </c>
      <c r="R169" s="423"/>
      <c r="S169" s="423"/>
      <c r="T169" s="1532"/>
      <c r="U169" s="423" t="s">
        <v>177</v>
      </c>
      <c r="V169" s="2886">
        <f>IF(OR(dpUnit_Land="per Usable Acre",dpUnit_Land="per Gross Acre"),IF(OR(LandUnitDisplay="Usable Acres",LandUnitDisplay="Gross Acres"),MROUND(dpLand_ExcessSurplus_Size*dpLand_ExcessSurplus_LandValueUnit,INDEX(Rounding_Options,MATCH(AA169,Rounding_Label,0),2)),MROUND(dpLand_ExcessSurplus_Size*43560*dpLand_ExcessSurplus_LandValueUnit,INDEX(Rounding_Options,MATCH(AA169,Rounding_Label,0),2))),IF(OR(dpUnit_Land="per Usable Square Foot",dpUnit_Land="per Gross Square Foot"),IF(OR(LandUnitDisplay="Usable Acres",LandUnitDisplay="Gross Acres"),MROUND(dpLand_ExcessSurplus_Size*43560*dpLand_ExcessSurplus_LandValueUnit,INDEX(Rounding_Options,MATCH(AA169,Rounding_Label,0),2)),MROUND(dpLand_ExcessSurplus_Size*dpLand_ExcessSurplus_LandValueUnit,INDEX(Rounding_Options,MATCH(AA169,Rounding_Label,0),2))),MROUND(dpLand_ExcessSurplus_Size*dpLand_ExcessSurplus_LandValueUnit,INDEX(Rounding_Options,MATCH(AA169,Rounding_Label,0),2))))</f>
        <v>0</v>
      </c>
      <c r="W169" s="423"/>
      <c r="X169" s="6"/>
      <c r="Z169" s="55" t="s">
        <v>991</v>
      </c>
      <c r="AA169" s="702" t="s">
        <v>1037</v>
      </c>
    </row>
    <row r="170" spans="1:28" ht="15" hidden="1" thickBot="1" x14ac:dyDescent="0.3">
      <c r="A170" s="972">
        <f>IF(V170=0,0,1)</f>
        <v>0</v>
      </c>
      <c r="M170" s="4"/>
      <c r="N170" s="258"/>
      <c r="O170" s="258"/>
      <c r="P170" s="258"/>
      <c r="Q170" s="258"/>
      <c r="R170" s="423"/>
      <c r="S170" s="423"/>
      <c r="T170" s="415" t="s">
        <v>179</v>
      </c>
      <c r="U170" s="2893" t="s">
        <v>178</v>
      </c>
      <c r="V170" s="426"/>
      <c r="W170" s="423"/>
      <c r="X170" s="6"/>
      <c r="Z170" s="37"/>
    </row>
    <row r="171" spans="1:28" ht="15" hidden="1" thickBot="1" x14ac:dyDescent="0.3">
      <c r="A171" s="972">
        <f>IF(V171=0,0,1)</f>
        <v>0</v>
      </c>
      <c r="M171" s="4"/>
      <c r="N171" s="258"/>
      <c r="O171" s="258"/>
      <c r="P171" s="258"/>
      <c r="Q171" s="258"/>
      <c r="R171" s="423"/>
      <c r="S171" s="423"/>
      <c r="T171" s="415" t="s">
        <v>180</v>
      </c>
      <c r="U171" s="2893" t="s">
        <v>178</v>
      </c>
      <c r="V171" s="426"/>
      <c r="W171" s="423"/>
      <c r="X171" s="6"/>
      <c r="Z171" s="37"/>
    </row>
    <row r="172" spans="1:28" ht="15" hidden="1" thickBot="1" x14ac:dyDescent="0.3">
      <c r="A172" s="972">
        <f>IF(V172=0,0,1)</f>
        <v>0</v>
      </c>
      <c r="M172" s="4"/>
      <c r="N172" s="258"/>
      <c r="O172" s="258"/>
      <c r="P172" s="258"/>
      <c r="Q172" s="258"/>
      <c r="R172" s="423"/>
      <c r="S172" s="423"/>
      <c r="T172" s="415" t="s">
        <v>182</v>
      </c>
      <c r="U172" s="2893" t="s">
        <v>178</v>
      </c>
      <c r="V172" s="426"/>
      <c r="W172" s="423"/>
      <c r="X172" s="6"/>
      <c r="Z172" s="37"/>
    </row>
    <row r="173" spans="1:28" ht="15" hidden="1" thickBot="1" x14ac:dyDescent="0.3">
      <c r="A173" s="972">
        <f>IF(V173=0,0,1)</f>
        <v>0</v>
      </c>
      <c r="M173" s="4"/>
      <c r="N173" s="258"/>
      <c r="O173" s="258"/>
      <c r="P173" s="258"/>
      <c r="Q173" s="258"/>
      <c r="R173" s="423"/>
      <c r="S173" s="423"/>
      <c r="T173" s="415" t="s">
        <v>181</v>
      </c>
      <c r="U173" s="2893" t="s">
        <v>178</v>
      </c>
      <c r="V173" s="426"/>
      <c r="W173" s="423"/>
      <c r="X173" s="6"/>
      <c r="Z173" s="37"/>
    </row>
    <row r="174" spans="1:28" ht="15.95" hidden="1" customHeight="1" thickBot="1" x14ac:dyDescent="0.3">
      <c r="A174" s="972">
        <f>IF(SUM(A170:A173)=0,0,1)</f>
        <v>0</v>
      </c>
      <c r="M174" s="4"/>
      <c r="N174" s="258"/>
      <c r="O174" s="258"/>
      <c r="P174" s="258"/>
      <c r="Q174" s="258"/>
      <c r="R174" s="423"/>
      <c r="S174" s="423"/>
      <c r="T174" s="3336"/>
      <c r="U174" s="3336"/>
      <c r="V174" s="3337">
        <f>MROUND(SUM(V169:V173),INDEX(Rounding_Options,MATCH(AA169,Rounding_Label,0),2))</f>
        <v>0</v>
      </c>
      <c r="W174" s="423"/>
      <c r="X174" s="6"/>
      <c r="Z174" s="37"/>
    </row>
    <row r="175" spans="1:28" ht="15" customHeight="1" thickBot="1" x14ac:dyDescent="0.3">
      <c r="A175" s="972">
        <v>1</v>
      </c>
      <c r="M175" s="8"/>
      <c r="N175" s="7"/>
      <c r="O175" s="741" t="s">
        <v>936</v>
      </c>
      <c r="P175" s="741"/>
      <c r="Q175" s="741"/>
      <c r="R175" s="475"/>
      <c r="S175" s="475"/>
      <c r="T175" s="475"/>
      <c r="U175" s="475"/>
      <c r="V175" s="475"/>
      <c r="W175" s="14"/>
      <c r="X175" s="9"/>
      <c r="Z175" s="37"/>
    </row>
    <row r="176" spans="1:28" ht="15" thickBot="1" x14ac:dyDescent="0.3">
      <c r="A176" s="972">
        <v>1</v>
      </c>
      <c r="Z176" s="37"/>
    </row>
    <row r="177" spans="1:27" x14ac:dyDescent="0.25">
      <c r="A177" s="972">
        <v>1</v>
      </c>
      <c r="F177" s="1841"/>
      <c r="M177" s="1"/>
      <c r="N177" s="2"/>
      <c r="O177" s="2"/>
      <c r="P177" s="2"/>
      <c r="Q177" s="2"/>
      <c r="R177" s="2"/>
      <c r="S177" s="2"/>
      <c r="T177" s="2"/>
      <c r="U177" s="2"/>
      <c r="V177" s="2"/>
      <c r="W177" s="2"/>
      <c r="X177" s="3"/>
      <c r="Z177" s="37"/>
    </row>
    <row r="178" spans="1:27" ht="17.25" thickBot="1" x14ac:dyDescent="0.35">
      <c r="A178" s="972">
        <v>1</v>
      </c>
      <c r="M178" s="4"/>
      <c r="N178" s="5"/>
      <c r="O178" s="246" t="s">
        <v>1580</v>
      </c>
      <c r="P178" s="43"/>
      <c r="Q178" s="5"/>
      <c r="R178" s="5"/>
      <c r="S178" s="5"/>
      <c r="T178" s="5"/>
      <c r="U178" s="5"/>
      <c r="V178" s="5"/>
      <c r="W178" s="5"/>
      <c r="X178" s="6"/>
      <c r="Z178" s="37"/>
    </row>
    <row r="179" spans="1:27" ht="15.95" customHeight="1" thickBot="1" x14ac:dyDescent="0.3">
      <c r="A179" s="972">
        <v>1</v>
      </c>
      <c r="M179" s="4"/>
      <c r="O179" s="12" t="s">
        <v>1581</v>
      </c>
      <c r="P179" s="150" t="s">
        <v>96</v>
      </c>
      <c r="Q179" s="150"/>
      <c r="R179" s="4093" t="s">
        <v>1583</v>
      </c>
      <c r="S179" s="4093"/>
      <c r="T179" s="4093"/>
      <c r="U179" s="150"/>
      <c r="V179" s="634" t="s">
        <v>1582</v>
      </c>
      <c r="X179" s="6"/>
      <c r="Z179" s="55" t="s">
        <v>991</v>
      </c>
      <c r="AA179" s="702" t="s">
        <v>1038</v>
      </c>
    </row>
    <row r="180" spans="1:27" hidden="1" x14ac:dyDescent="0.25">
      <c r="A180" s="972">
        <f>IF(V180&gt;0,1,0)</f>
        <v>0</v>
      </c>
      <c r="M180" s="4"/>
      <c r="N180" s="258"/>
      <c r="O180" s="1272"/>
      <c r="P180" s="3857"/>
      <c r="Q180" s="1314" t="s">
        <v>176</v>
      </c>
      <c r="R180" s="4143"/>
      <c r="S180" s="4143"/>
      <c r="T180" s="4143"/>
      <c r="U180" s="1314" t="s">
        <v>177</v>
      </c>
      <c r="V180" s="3338">
        <f t="shared" ref="V180:V191" si="47">IF(OR(dpUnit_Land="per Usable Acre",dpUnit_Land="per Gross Acre"),IF(OR(LandUnitDisplay="Usable Acres",LandUnitDisplay="Gross Acres"),MROUND(P180*R180,INDEX(Rounding_Options,MATCH($AA$179,Rounding_Label,0),2)),MROUND(P180*43560*R180,INDEX(Rounding_Options,MATCH($AA$179,Rounding_Label,0),2))),IF(OR(dpUnit_Land="per Usable Square Foot",dpUnit_Land="per Gross Square Foot"),IF(OR(LandUnitDisplay="Usable Acres",LandUnitDisplay="Gross Acres"),MROUND(P180*43560*R180,INDEX(Rounding_Options,MATCH($AA$179,Rounding_Label,0),2)),MROUND(P180*R180,INDEX(Rounding_Options,MATCH($AA$179,Rounding_Label,0),2))),MROUND(P180*R180,INDEX(Rounding_Options,MATCH($AA$179,Rounding_Label,0),2))))</f>
        <v>0</v>
      </c>
      <c r="W180" s="258"/>
      <c r="X180" s="6"/>
      <c r="Z180" s="37"/>
    </row>
    <row r="181" spans="1:27" hidden="1" x14ac:dyDescent="0.25">
      <c r="A181" s="972">
        <f t="shared" ref="A181:A191" si="48">IF(V181&gt;0,1,0)</f>
        <v>0</v>
      </c>
      <c r="M181" s="4"/>
      <c r="N181" s="258"/>
      <c r="O181" s="1272"/>
      <c r="P181" s="3857"/>
      <c r="Q181" s="1314" t="s">
        <v>176</v>
      </c>
      <c r="R181" s="4143"/>
      <c r="S181" s="4143"/>
      <c r="T181" s="4143"/>
      <c r="U181" s="1314" t="s">
        <v>177</v>
      </c>
      <c r="V181" s="3338">
        <f t="shared" si="47"/>
        <v>0</v>
      </c>
      <c r="W181" s="258"/>
      <c r="X181" s="6"/>
      <c r="Z181" s="37"/>
    </row>
    <row r="182" spans="1:27" hidden="1" x14ac:dyDescent="0.25">
      <c r="A182" s="972">
        <f t="shared" si="48"/>
        <v>0</v>
      </c>
      <c r="M182" s="4"/>
      <c r="N182" s="258"/>
      <c r="O182" s="1272"/>
      <c r="P182" s="3857"/>
      <c r="Q182" s="1314" t="s">
        <v>176</v>
      </c>
      <c r="R182" s="4143"/>
      <c r="S182" s="4143"/>
      <c r="T182" s="4143"/>
      <c r="U182" s="1314" t="s">
        <v>177</v>
      </c>
      <c r="V182" s="3338">
        <f t="shared" si="47"/>
        <v>0</v>
      </c>
      <c r="W182" s="258"/>
      <c r="X182" s="6"/>
      <c r="Z182" s="37"/>
    </row>
    <row r="183" spans="1:27" hidden="1" x14ac:dyDescent="0.25">
      <c r="A183" s="972">
        <f t="shared" si="48"/>
        <v>0</v>
      </c>
      <c r="M183" s="4"/>
      <c r="N183" s="258"/>
      <c r="O183" s="1272"/>
      <c r="P183" s="3857"/>
      <c r="Q183" s="1314" t="s">
        <v>176</v>
      </c>
      <c r="R183" s="4143"/>
      <c r="S183" s="4143"/>
      <c r="T183" s="4143"/>
      <c r="U183" s="1314" t="s">
        <v>177</v>
      </c>
      <c r="V183" s="3338">
        <f t="shared" si="47"/>
        <v>0</v>
      </c>
      <c r="W183" s="258"/>
      <c r="X183" s="6"/>
      <c r="Z183" s="37"/>
    </row>
    <row r="184" spans="1:27" hidden="1" x14ac:dyDescent="0.25">
      <c r="A184" s="972">
        <f t="shared" si="48"/>
        <v>0</v>
      </c>
      <c r="M184" s="4"/>
      <c r="N184" s="258"/>
      <c r="O184" s="1272"/>
      <c r="P184" s="3857"/>
      <c r="Q184" s="1314" t="s">
        <v>176</v>
      </c>
      <c r="R184" s="4143"/>
      <c r="S184" s="4143"/>
      <c r="T184" s="4143"/>
      <c r="U184" s="1314" t="s">
        <v>177</v>
      </c>
      <c r="V184" s="3338">
        <f t="shared" si="47"/>
        <v>0</v>
      </c>
      <c r="W184" s="258"/>
      <c r="X184" s="6"/>
      <c r="Z184" s="37"/>
    </row>
    <row r="185" spans="1:27" hidden="1" x14ac:dyDescent="0.25">
      <c r="A185" s="972">
        <f t="shared" si="48"/>
        <v>0</v>
      </c>
      <c r="M185" s="4"/>
      <c r="N185" s="258"/>
      <c r="O185" s="1272"/>
      <c r="P185" s="3857"/>
      <c r="Q185" s="1314" t="s">
        <v>176</v>
      </c>
      <c r="R185" s="4143"/>
      <c r="S185" s="4143"/>
      <c r="T185" s="4143"/>
      <c r="U185" s="1314" t="s">
        <v>177</v>
      </c>
      <c r="V185" s="3338">
        <f t="shared" si="47"/>
        <v>0</v>
      </c>
      <c r="W185" s="258"/>
      <c r="X185" s="6"/>
      <c r="Z185" s="37"/>
    </row>
    <row r="186" spans="1:27" hidden="1" x14ac:dyDescent="0.25">
      <c r="A186" s="972">
        <f t="shared" si="48"/>
        <v>0</v>
      </c>
      <c r="M186" s="4"/>
      <c r="N186" s="258"/>
      <c r="O186" s="1272"/>
      <c r="P186" s="3857"/>
      <c r="Q186" s="1314" t="s">
        <v>176</v>
      </c>
      <c r="R186" s="4143"/>
      <c r="S186" s="4143"/>
      <c r="T186" s="4143"/>
      <c r="U186" s="1314" t="s">
        <v>177</v>
      </c>
      <c r="V186" s="3338">
        <f t="shared" si="47"/>
        <v>0</v>
      </c>
      <c r="W186" s="258"/>
      <c r="X186" s="6"/>
      <c r="Z186" s="37"/>
    </row>
    <row r="187" spans="1:27" hidden="1" x14ac:dyDescent="0.25">
      <c r="A187" s="972">
        <f t="shared" si="48"/>
        <v>0</v>
      </c>
      <c r="M187" s="4"/>
      <c r="N187" s="258"/>
      <c r="O187" s="1272"/>
      <c r="P187" s="3857"/>
      <c r="Q187" s="1314" t="s">
        <v>176</v>
      </c>
      <c r="R187" s="4143"/>
      <c r="S187" s="4143"/>
      <c r="T187" s="4143"/>
      <c r="U187" s="1314" t="s">
        <v>177</v>
      </c>
      <c r="V187" s="3338">
        <f t="shared" si="47"/>
        <v>0</v>
      </c>
      <c r="W187" s="258"/>
      <c r="X187" s="6"/>
      <c r="Z187" s="37"/>
    </row>
    <row r="188" spans="1:27" hidden="1" x14ac:dyDescent="0.25">
      <c r="A188" s="972">
        <f t="shared" si="48"/>
        <v>0</v>
      </c>
      <c r="M188" s="4"/>
      <c r="N188" s="258"/>
      <c r="O188" s="1272"/>
      <c r="P188" s="3857"/>
      <c r="Q188" s="1314" t="s">
        <v>176</v>
      </c>
      <c r="R188" s="4143"/>
      <c r="S188" s="4143"/>
      <c r="T188" s="4143"/>
      <c r="U188" s="1314" t="s">
        <v>177</v>
      </c>
      <c r="V188" s="3338">
        <f t="shared" si="47"/>
        <v>0</v>
      </c>
      <c r="W188" s="258"/>
      <c r="X188" s="6"/>
      <c r="Z188" s="37"/>
    </row>
    <row r="189" spans="1:27" hidden="1" x14ac:dyDescent="0.25">
      <c r="A189" s="972">
        <f t="shared" si="48"/>
        <v>0</v>
      </c>
      <c r="M189" s="4"/>
      <c r="N189" s="258"/>
      <c r="O189" s="1272"/>
      <c r="P189" s="3857"/>
      <c r="Q189" s="1314" t="s">
        <v>176</v>
      </c>
      <c r="R189" s="4143"/>
      <c r="S189" s="4143"/>
      <c r="T189" s="4143"/>
      <c r="U189" s="1314" t="s">
        <v>177</v>
      </c>
      <c r="V189" s="3338">
        <f t="shared" si="47"/>
        <v>0</v>
      </c>
      <c r="W189" s="258"/>
      <c r="X189" s="6"/>
      <c r="Z189" s="37"/>
    </row>
    <row r="190" spans="1:27" hidden="1" x14ac:dyDescent="0.25">
      <c r="A190" s="972">
        <f t="shared" si="48"/>
        <v>0</v>
      </c>
      <c r="M190" s="4"/>
      <c r="N190" s="258"/>
      <c r="O190" s="1272"/>
      <c r="P190" s="3857"/>
      <c r="Q190" s="1314" t="s">
        <v>176</v>
      </c>
      <c r="R190" s="4143"/>
      <c r="S190" s="4143"/>
      <c r="T190" s="4143"/>
      <c r="U190" s="1314" t="s">
        <v>177</v>
      </c>
      <c r="V190" s="3338">
        <f t="shared" si="47"/>
        <v>0</v>
      </c>
      <c r="W190" s="258"/>
      <c r="X190" s="6"/>
      <c r="Z190" s="37"/>
    </row>
    <row r="191" spans="1:27" hidden="1" x14ac:dyDescent="0.25">
      <c r="A191" s="972">
        <f t="shared" si="48"/>
        <v>0</v>
      </c>
      <c r="M191" s="4"/>
      <c r="N191" s="258"/>
      <c r="O191" s="1272"/>
      <c r="P191" s="3857"/>
      <c r="Q191" s="1314" t="s">
        <v>176</v>
      </c>
      <c r="R191" s="4143"/>
      <c r="S191" s="4143"/>
      <c r="T191" s="4143"/>
      <c r="U191" s="1314" t="s">
        <v>177</v>
      </c>
      <c r="V191" s="3338">
        <f t="shared" si="47"/>
        <v>0</v>
      </c>
      <c r="W191" s="258"/>
      <c r="X191" s="6"/>
      <c r="Z191" s="37"/>
    </row>
    <row r="192" spans="1:27" ht="0.95" customHeight="1" thickBot="1" x14ac:dyDescent="0.3">
      <c r="A192" s="972">
        <v>1</v>
      </c>
      <c r="M192" s="4"/>
      <c r="N192" s="258"/>
      <c r="O192" s="1315"/>
      <c r="P192" s="3339"/>
      <c r="Q192" s="1316"/>
      <c r="R192" s="4144"/>
      <c r="S192" s="4144"/>
      <c r="T192" s="4144"/>
      <c r="U192" s="1316"/>
      <c r="V192" s="3340"/>
      <c r="W192" s="258"/>
      <c r="X192" s="6"/>
      <c r="Z192" s="37"/>
    </row>
    <row r="193" spans="13:26" ht="15" thickBot="1" x14ac:dyDescent="0.3">
      <c r="M193" s="8"/>
      <c r="N193" s="7"/>
      <c r="O193" s="741" t="s">
        <v>1627</v>
      </c>
      <c r="P193" s="133"/>
      <c r="Q193" s="133"/>
      <c r="R193" s="133"/>
      <c r="S193" s="133"/>
      <c r="T193" s="133"/>
      <c r="U193" s="133"/>
      <c r="V193" s="133"/>
      <c r="W193" s="7"/>
      <c r="X193" s="9"/>
      <c r="Z193" s="37"/>
    </row>
  </sheetData>
  <autoFilter ref="A10:A192" xr:uid="{00000000-0001-0000-0D00-000000000000}">
    <filterColumn colId="0" hiddenButton="1">
      <filters>
        <filter val="1"/>
      </filters>
    </filterColumn>
  </autoFilter>
  <mergeCells count="17">
    <mergeCell ref="M7:M9"/>
    <mergeCell ref="A5:A8"/>
    <mergeCell ref="O58:O59"/>
    <mergeCell ref="R179:T179"/>
    <mergeCell ref="R180:T180"/>
    <mergeCell ref="R183:T183"/>
    <mergeCell ref="R182:T182"/>
    <mergeCell ref="R181:T181"/>
    <mergeCell ref="R192:T192"/>
    <mergeCell ref="R190:T190"/>
    <mergeCell ref="R189:T189"/>
    <mergeCell ref="R188:T188"/>
    <mergeCell ref="R187:T187"/>
    <mergeCell ref="R186:T186"/>
    <mergeCell ref="R185:T185"/>
    <mergeCell ref="R184:T184"/>
    <mergeCell ref="R191:T191"/>
  </mergeCells>
  <dataValidations disablePrompts="1" count="2">
    <dataValidation type="list" allowBlank="1" showInputMessage="1" showErrorMessage="1" error="Invalid Option - Please Select from the List" prompt="Select Number of Most Comparable Sale for Narrative" sqref="A9" xr:uid="{00000000-0002-0000-0D00-000000000000}">
      <formula1>Land_MostComparableRange</formula1>
    </dataValidation>
    <dataValidation type="list" allowBlank="1" showInputMessage="1" showErrorMessage="1" error="Invalid Option - Please Select from the List" prompt="Select Rounding Option" sqref="AA162 AA169 AA179 AL151" xr:uid="{00000000-0002-0000-0D00-000001000000}">
      <formula1>Rounding_Label</formula1>
    </dataValidation>
  </dataValidations>
  <printOptions horizontalCentered="1"/>
  <pageMargins left="0.5" right="0.5" top="0.75" bottom="0.75" header="0.3" footer="0.3"/>
  <pageSetup scale="92" orientation="portrait" r:id="rId1"/>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error="Invalid Option - Please Select from the List" prompt="Select Date of Value for Land Valuation to be used in Land Adjustment Grid" xr:uid="{00000000-0002-0000-0D00-000002000000}">
          <x14:formula1>
            <xm:f>'Selection Tables'!$G$5:$G$7</xm:f>
          </x14:formula1>
          <xm:sqref>E10</xm:sqref>
        </x14:dataValidation>
        <x14:dataValidation type="list" allowBlank="1" showInputMessage="1" showErrorMessage="1" error="Invalid Option - Please Select from the List" prompt="Select Whether Property Name Should Show or Hide" xr:uid="{00000000-0002-0000-0D00-000003000000}">
          <x14:formula1>
            <xm:f>'Selection Tables'!$D$25:$D$26</xm:f>
          </x14:formula1>
          <xm:sqref>O11</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tabColor theme="9" tint="-0.499984740745262"/>
  </sheetPr>
  <dimension ref="A1:Q57"/>
  <sheetViews>
    <sheetView tabSelected="1" zoomScaleNormal="100" workbookViewId="0">
      <selection activeCell="D4" sqref="D4"/>
    </sheetView>
  </sheetViews>
  <sheetFormatPr defaultColWidth="8.85546875" defaultRowHeight="14.25" x14ac:dyDescent="0.25"/>
  <cols>
    <col min="1" max="1" width="5.7109375" style="96" customWidth="1"/>
    <col min="2" max="2" width="1.7109375" style="10" customWidth="1"/>
    <col min="3" max="3" width="0.85546875" style="10" customWidth="1"/>
    <col min="4" max="4" width="30.7109375" style="10" customWidth="1"/>
    <col min="5" max="14" width="25.7109375" style="37" customWidth="1"/>
    <col min="15" max="15" width="25.7109375" style="2017" customWidth="1"/>
    <col min="16" max="16" width="0.85546875" style="10" customWidth="1"/>
    <col min="17" max="17" width="1.7109375" style="10" customWidth="1"/>
    <col min="18" max="16384" width="8.85546875" style="10"/>
  </cols>
  <sheetData>
    <row r="1" spans="1:17" ht="60" customHeight="1" x14ac:dyDescent="0.25"/>
    <row r="2" spans="1:17" ht="57" customHeight="1" thickBot="1" x14ac:dyDescent="0.3"/>
    <row r="3" spans="1:17" x14ac:dyDescent="0.25">
      <c r="B3" s="1"/>
      <c r="C3" s="2"/>
      <c r="D3" s="2"/>
      <c r="E3" s="123"/>
      <c r="F3" s="123"/>
      <c r="G3" s="123"/>
      <c r="H3" s="123"/>
      <c r="I3" s="123"/>
      <c r="J3" s="123"/>
      <c r="K3" s="123"/>
      <c r="L3" s="123"/>
      <c r="M3" s="123"/>
      <c r="N3" s="123"/>
      <c r="O3" s="2018"/>
      <c r="P3" s="2"/>
      <c r="Q3" s="3"/>
    </row>
    <row r="4" spans="1:17" ht="16.5" x14ac:dyDescent="0.3">
      <c r="A4" s="957">
        <v>1</v>
      </c>
      <c r="B4" s="4"/>
      <c r="C4" s="52"/>
      <c r="D4" s="3779" t="s">
        <v>1766</v>
      </c>
      <c r="E4" s="2015"/>
      <c r="F4" s="2015"/>
      <c r="G4" s="2015"/>
      <c r="H4" s="2015"/>
      <c r="I4" s="2015"/>
      <c r="J4" s="2015"/>
      <c r="K4" s="2015"/>
      <c r="L4" s="2015"/>
      <c r="M4" s="2015"/>
      <c r="N4" s="2015"/>
      <c r="O4" s="804"/>
      <c r="P4" s="52"/>
      <c r="Q4" s="6"/>
    </row>
    <row r="5" spans="1:17" ht="15.95" customHeight="1" x14ac:dyDescent="0.25">
      <c r="A5" s="957">
        <v>0</v>
      </c>
      <c r="B5" s="4"/>
      <c r="D5" s="2013" t="s">
        <v>198</v>
      </c>
      <c r="E5" s="55">
        <v>1</v>
      </c>
      <c r="F5" s="55">
        <f t="shared" ref="F5:N5" si="0">E5+1</f>
        <v>2</v>
      </c>
      <c r="G5" s="55">
        <f t="shared" si="0"/>
        <v>3</v>
      </c>
      <c r="H5" s="55">
        <f t="shared" si="0"/>
        <v>4</v>
      </c>
      <c r="I5" s="55">
        <f t="shared" si="0"/>
        <v>5</v>
      </c>
      <c r="J5" s="55">
        <f t="shared" si="0"/>
        <v>6</v>
      </c>
      <c r="K5" s="55">
        <f t="shared" si="0"/>
        <v>7</v>
      </c>
      <c r="L5" s="55">
        <f t="shared" si="0"/>
        <v>8</v>
      </c>
      <c r="M5" s="55">
        <f t="shared" si="0"/>
        <v>9</v>
      </c>
      <c r="N5" s="55">
        <f t="shared" si="0"/>
        <v>10</v>
      </c>
      <c r="O5" s="1122"/>
      <c r="P5" s="101"/>
      <c r="Q5" s="6"/>
    </row>
    <row r="6" spans="1:17" s="111" customFormat="1" ht="15.95" customHeight="1" x14ac:dyDescent="0.25">
      <c r="A6" s="957">
        <v>1</v>
      </c>
      <c r="B6" s="109"/>
      <c r="C6" s="3777"/>
      <c r="D6" s="3777" t="s">
        <v>18549</v>
      </c>
      <c r="E6" s="4062" t="s">
        <v>20039</v>
      </c>
      <c r="F6" s="4063"/>
      <c r="G6" s="4063"/>
      <c r="H6" s="4063"/>
      <c r="I6" s="4064"/>
      <c r="J6" s="4064"/>
      <c r="K6" s="4064"/>
      <c r="L6" s="4064"/>
      <c r="M6" s="4064"/>
      <c r="N6" s="4065"/>
      <c r="O6" s="3767" t="s">
        <v>706</v>
      </c>
      <c r="P6" s="3777"/>
      <c r="Q6" s="2016"/>
    </row>
    <row r="7" spans="1:17" ht="15.95" customHeight="1" x14ac:dyDescent="0.25">
      <c r="A7" s="957">
        <v>1</v>
      </c>
      <c r="B7" s="4"/>
      <c r="C7" s="101"/>
      <c r="D7" s="614" t="s">
        <v>183</v>
      </c>
      <c r="E7" s="4025">
        <v>329940</v>
      </c>
      <c r="F7" s="4026"/>
      <c r="G7" s="4026"/>
      <c r="H7" s="4026"/>
      <c r="I7" s="4026"/>
      <c r="J7" s="4026"/>
      <c r="K7" s="4026"/>
      <c r="L7" s="4026"/>
      <c r="M7" s="4026"/>
      <c r="N7" s="4027"/>
      <c r="O7" s="3980">
        <f>SUM(E7:N7)</f>
        <v>329940</v>
      </c>
      <c r="P7" s="101"/>
      <c r="Q7" s="6"/>
    </row>
    <row r="8" spans="1:17" ht="15.95" customHeight="1" x14ac:dyDescent="0.25">
      <c r="A8" s="957">
        <v>1</v>
      </c>
      <c r="B8" s="4"/>
      <c r="C8" s="101"/>
      <c r="D8" s="952" t="s">
        <v>1751</v>
      </c>
      <c r="E8" s="4019" t="s">
        <v>20045</v>
      </c>
      <c r="F8" s="4020"/>
      <c r="G8" s="4020"/>
      <c r="H8" s="4020"/>
      <c r="I8" s="4020"/>
      <c r="J8" s="4020"/>
      <c r="K8" s="4020"/>
      <c r="L8" s="4020"/>
      <c r="M8" s="4020"/>
      <c r="N8" s="4021"/>
      <c r="O8" s="3981"/>
      <c r="P8" s="101"/>
      <c r="Q8" s="6"/>
    </row>
    <row r="9" spans="1:17" ht="15.95" customHeight="1" x14ac:dyDescent="0.25">
      <c r="A9" s="957">
        <v>1</v>
      </c>
      <c r="B9" s="4"/>
      <c r="C9" s="101"/>
      <c r="D9" s="952" t="s">
        <v>1752</v>
      </c>
      <c r="E9" s="4019" t="s">
        <v>306</v>
      </c>
      <c r="F9" s="4020"/>
      <c r="G9" s="4020"/>
      <c r="H9" s="4020"/>
      <c r="I9" s="4020"/>
      <c r="J9" s="4020"/>
      <c r="K9" s="4020"/>
      <c r="L9" s="4020"/>
      <c r="M9" s="4020"/>
      <c r="N9" s="4021"/>
      <c r="O9" s="3981"/>
      <c r="P9" s="101"/>
      <c r="Q9" s="6"/>
    </row>
    <row r="10" spans="1:17" ht="15.95" customHeight="1" x14ac:dyDescent="0.25">
      <c r="A10" s="957">
        <v>1</v>
      </c>
      <c r="B10" s="4"/>
      <c r="C10" s="101"/>
      <c r="D10" s="952" t="s">
        <v>1755</v>
      </c>
      <c r="E10" s="4019" t="s">
        <v>20045</v>
      </c>
      <c r="F10" s="4020"/>
      <c r="G10" s="4020"/>
      <c r="H10" s="4020"/>
      <c r="I10" s="4020"/>
      <c r="J10" s="4020"/>
      <c r="K10" s="4020"/>
      <c r="L10" s="4020"/>
      <c r="M10" s="4020"/>
      <c r="N10" s="4021"/>
      <c r="O10" s="3981"/>
      <c r="P10" s="101"/>
      <c r="Q10" s="6"/>
    </row>
    <row r="11" spans="1:17" ht="15.95" customHeight="1" x14ac:dyDescent="0.25">
      <c r="A11" s="957">
        <v>1</v>
      </c>
      <c r="B11" s="4"/>
      <c r="C11" s="101"/>
      <c r="D11" s="1285" t="s">
        <v>745</v>
      </c>
      <c r="E11" s="4028">
        <v>1</v>
      </c>
      <c r="F11" s="4029"/>
      <c r="G11" s="4029"/>
      <c r="H11" s="4029"/>
      <c r="I11" s="4029"/>
      <c r="J11" s="4029"/>
      <c r="K11" s="4029"/>
      <c r="L11" s="4029"/>
      <c r="M11" s="4029"/>
      <c r="N11" s="4030"/>
      <c r="O11" s="3982">
        <f t="shared" ref="O11:O16" si="1">SUMPRODUCT(E$7:N$7,E11:N11)/Cost_GBA_Total</f>
        <v>1</v>
      </c>
      <c r="P11" s="101"/>
      <c r="Q11" s="6"/>
    </row>
    <row r="12" spans="1:17" ht="15.95" customHeight="1" x14ac:dyDescent="0.25">
      <c r="A12" s="957">
        <v>0</v>
      </c>
      <c r="B12" s="4"/>
      <c r="C12" s="101"/>
      <c r="D12" s="1285" t="s">
        <v>1756</v>
      </c>
      <c r="E12" s="4031">
        <f>Subject_ClearHeight</f>
        <v>0</v>
      </c>
      <c r="F12" s="4032"/>
      <c r="G12" s="4032"/>
      <c r="H12" s="4032"/>
      <c r="I12" s="4032"/>
      <c r="J12" s="4032"/>
      <c r="K12" s="4032"/>
      <c r="L12" s="4032"/>
      <c r="M12" s="4032"/>
      <c r="N12" s="4033"/>
      <c r="O12" s="3983">
        <f t="shared" si="1"/>
        <v>0</v>
      </c>
      <c r="P12" s="101"/>
      <c r="Q12" s="6"/>
    </row>
    <row r="13" spans="1:17" ht="15.95" customHeight="1" x14ac:dyDescent="0.25">
      <c r="A13" s="957">
        <v>1</v>
      </c>
      <c r="B13" s="4"/>
      <c r="C13" s="101"/>
      <c r="D13" s="1285" t="s">
        <v>1761</v>
      </c>
      <c r="E13" s="4034">
        <f>IFERROR(E7/E11,"")</f>
        <v>329940</v>
      </c>
      <c r="F13" s="4035" t="str">
        <f t="shared" ref="F13:M13" si="2">IFERROR(F7/F11,"")</f>
        <v/>
      </c>
      <c r="G13" s="4035" t="str">
        <f t="shared" si="2"/>
        <v/>
      </c>
      <c r="H13" s="4035" t="str">
        <f t="shared" si="2"/>
        <v/>
      </c>
      <c r="I13" s="4035" t="str">
        <f t="shared" si="2"/>
        <v/>
      </c>
      <c r="J13" s="4035" t="str">
        <f t="shared" si="2"/>
        <v/>
      </c>
      <c r="K13" s="4035" t="str">
        <f t="shared" si="2"/>
        <v/>
      </c>
      <c r="L13" s="4035" t="str">
        <f t="shared" si="2"/>
        <v/>
      </c>
      <c r="M13" s="4035" t="str">
        <f t="shared" si="2"/>
        <v/>
      </c>
      <c r="N13" s="4035" t="str">
        <f>IFERROR(N7/N11,"")</f>
        <v/>
      </c>
      <c r="O13" s="3980">
        <f t="shared" si="1"/>
        <v>329940</v>
      </c>
      <c r="P13" s="101"/>
      <c r="Q13" s="6"/>
    </row>
    <row r="14" spans="1:17" ht="15.95" customHeight="1" x14ac:dyDescent="0.25">
      <c r="A14" s="957">
        <v>0</v>
      </c>
      <c r="B14" s="4"/>
      <c r="C14" s="101"/>
      <c r="D14" s="1285" t="s">
        <v>1790</v>
      </c>
      <c r="E14" s="4036"/>
      <c r="F14" s="4037"/>
      <c r="G14" s="4037"/>
      <c r="H14" s="4037"/>
      <c r="I14" s="4037"/>
      <c r="J14" s="4037"/>
      <c r="K14" s="4037"/>
      <c r="L14" s="4037"/>
      <c r="M14" s="4037"/>
      <c r="N14" s="4038"/>
      <c r="O14" s="3984">
        <f>SUM(E14:N14)</f>
        <v>0</v>
      </c>
      <c r="P14" s="101"/>
      <c r="Q14" s="6"/>
    </row>
    <row r="15" spans="1:17" ht="15.95" customHeight="1" x14ac:dyDescent="0.25">
      <c r="A15" s="957">
        <v>1</v>
      </c>
      <c r="B15" s="4"/>
      <c r="C15" s="101"/>
      <c r="D15" s="614" t="s">
        <v>10</v>
      </c>
      <c r="E15" s="4039">
        <v>2021</v>
      </c>
      <c r="F15" s="4040"/>
      <c r="G15" s="4040"/>
      <c r="H15" s="4040"/>
      <c r="I15" s="4040"/>
      <c r="J15" s="4040"/>
      <c r="K15" s="4040"/>
      <c r="L15" s="4040"/>
      <c r="M15" s="4040"/>
      <c r="N15" s="4030"/>
      <c r="O15" s="3985">
        <f t="shared" si="1"/>
        <v>2021</v>
      </c>
      <c r="P15" s="101"/>
      <c r="Q15" s="6"/>
    </row>
    <row r="16" spans="1:17" ht="15.95" customHeight="1" x14ac:dyDescent="0.25">
      <c r="A16" s="957">
        <v>1</v>
      </c>
      <c r="B16" s="4"/>
      <c r="C16" s="101"/>
      <c r="D16" s="614" t="s">
        <v>17</v>
      </c>
      <c r="E16" s="4041">
        <f>Subject_AgeEffective</f>
        <v>0</v>
      </c>
      <c r="F16" s="4042"/>
      <c r="G16" s="4042"/>
      <c r="H16" s="4042"/>
      <c r="I16" s="4042"/>
      <c r="J16" s="4042"/>
      <c r="K16" s="4042"/>
      <c r="L16" s="4042"/>
      <c r="M16" s="4042"/>
      <c r="N16" s="4043"/>
      <c r="O16" s="3986">
        <f t="shared" si="1"/>
        <v>0</v>
      </c>
      <c r="P16" s="101"/>
      <c r="Q16" s="6"/>
    </row>
    <row r="17" spans="1:17" ht="15.95" customHeight="1" x14ac:dyDescent="0.25">
      <c r="A17" s="957">
        <v>1</v>
      </c>
      <c r="B17" s="4"/>
      <c r="C17" s="101"/>
      <c r="D17" s="102" t="s">
        <v>18550</v>
      </c>
      <c r="E17" s="1180"/>
      <c r="F17" s="875"/>
      <c r="G17" s="875"/>
      <c r="H17" s="875"/>
      <c r="I17" s="875"/>
      <c r="J17" s="875"/>
      <c r="K17" s="875"/>
      <c r="L17" s="875"/>
      <c r="M17" s="875"/>
      <c r="N17" s="875"/>
      <c r="O17" s="3981"/>
      <c r="P17" s="101"/>
      <c r="Q17" s="6"/>
    </row>
    <row r="18" spans="1:17" ht="15.95" customHeight="1" x14ac:dyDescent="0.25">
      <c r="A18" s="957">
        <v>1</v>
      </c>
      <c r="B18" s="4"/>
      <c r="C18" s="101"/>
      <c r="D18" s="952" t="s">
        <v>122</v>
      </c>
      <c r="E18" s="4016">
        <v>45323</v>
      </c>
      <c r="F18" s="4017" t="s">
        <v>545</v>
      </c>
      <c r="G18" s="4017" t="s">
        <v>545</v>
      </c>
      <c r="H18" s="4017" t="s">
        <v>545</v>
      </c>
      <c r="I18" s="4017" t="s">
        <v>545</v>
      </c>
      <c r="J18" s="4017" t="s">
        <v>545</v>
      </c>
      <c r="K18" s="4017" t="s">
        <v>545</v>
      </c>
      <c r="L18" s="4017" t="s">
        <v>545</v>
      </c>
      <c r="M18" s="4017" t="s">
        <v>545</v>
      </c>
      <c r="N18" s="4018" t="s">
        <v>545</v>
      </c>
      <c r="O18" s="3981"/>
      <c r="P18" s="101"/>
      <c r="Q18" s="6"/>
    </row>
    <row r="19" spans="1:17" ht="15.95" customHeight="1" x14ac:dyDescent="0.25">
      <c r="A19" s="957">
        <v>1</v>
      </c>
      <c r="B19" s="4"/>
      <c r="C19" s="101"/>
      <c r="D19" s="952" t="s">
        <v>193</v>
      </c>
      <c r="E19" s="4019">
        <v>14</v>
      </c>
      <c r="F19" s="4020"/>
      <c r="G19" s="4020"/>
      <c r="H19" s="4020"/>
      <c r="I19" s="4020"/>
      <c r="J19" s="4020"/>
      <c r="K19" s="4020"/>
      <c r="L19" s="4020"/>
      <c r="M19" s="4020"/>
      <c r="N19" s="4021"/>
      <c r="O19" s="3981"/>
      <c r="P19" s="101"/>
      <c r="Q19" s="6"/>
    </row>
    <row r="20" spans="1:17" ht="15.95" customHeight="1" x14ac:dyDescent="0.25">
      <c r="A20" s="957">
        <v>1</v>
      </c>
      <c r="B20" s="4"/>
      <c r="C20" s="101"/>
      <c r="D20" s="952" t="s">
        <v>194</v>
      </c>
      <c r="E20" s="4019">
        <v>25</v>
      </c>
      <c r="F20" s="4020"/>
      <c r="G20" s="4020"/>
      <c r="H20" s="4020"/>
      <c r="I20" s="4020"/>
      <c r="J20" s="4020"/>
      <c r="K20" s="4020"/>
      <c r="L20" s="4020"/>
      <c r="M20" s="4020"/>
      <c r="N20" s="4021"/>
      <c r="O20" s="3981"/>
      <c r="P20" s="101"/>
      <c r="Q20" s="6"/>
    </row>
    <row r="21" spans="1:17" ht="15.95" customHeight="1" x14ac:dyDescent="0.25">
      <c r="A21" s="957">
        <v>1</v>
      </c>
      <c r="B21" s="4"/>
      <c r="C21" s="101"/>
      <c r="D21" s="952" t="s">
        <v>195</v>
      </c>
      <c r="E21" s="4022" t="s">
        <v>20039</v>
      </c>
      <c r="F21" s="4023"/>
      <c r="G21" s="4023"/>
      <c r="H21" s="4023"/>
      <c r="I21" s="4023"/>
      <c r="J21" s="4023"/>
      <c r="K21" s="4023"/>
      <c r="L21" s="4023"/>
      <c r="M21" s="4023"/>
      <c r="N21" s="4024"/>
      <c r="O21" s="3981"/>
      <c r="P21" s="101"/>
      <c r="Q21" s="6"/>
    </row>
    <row r="22" spans="1:17" ht="15.95" customHeight="1" thickBot="1" x14ac:dyDescent="0.3">
      <c r="A22" s="957">
        <v>1</v>
      </c>
      <c r="B22" s="4"/>
      <c r="C22" s="101"/>
      <c r="D22" s="1182" t="s">
        <v>1753</v>
      </c>
      <c r="E22" s="4004">
        <v>52</v>
      </c>
      <c r="F22" s="4005"/>
      <c r="G22" s="4005"/>
      <c r="H22" s="4005"/>
      <c r="I22" s="4005"/>
      <c r="J22" s="4005"/>
      <c r="K22" s="4005"/>
      <c r="L22" s="4005"/>
      <c r="M22" s="4005"/>
      <c r="N22" s="4006"/>
      <c r="O22" s="3987">
        <f>IFERROR(SUMPRODUCT(E$7:N$7,E22:N22)/Cost_GBA_Total,0)</f>
        <v>52</v>
      </c>
      <c r="P22" s="101"/>
      <c r="Q22" s="6"/>
    </row>
    <row r="23" spans="1:17" ht="15" thickBot="1" x14ac:dyDescent="0.3">
      <c r="A23" s="957">
        <v>1</v>
      </c>
      <c r="B23" s="4"/>
      <c r="C23" s="5"/>
      <c r="D23" s="43" t="s">
        <v>1754</v>
      </c>
      <c r="E23" s="2011"/>
      <c r="F23" s="2012"/>
      <c r="G23" s="2012"/>
      <c r="H23" s="2012"/>
      <c r="I23" s="2012"/>
      <c r="J23" s="2012"/>
      <c r="K23" s="2012"/>
      <c r="L23" s="2012"/>
      <c r="M23" s="2012"/>
      <c r="N23" s="2012"/>
      <c r="O23" s="2011"/>
      <c r="P23" s="5"/>
      <c r="Q23" s="6"/>
    </row>
    <row r="24" spans="1:17" ht="15" thickBot="1" x14ac:dyDescent="0.3">
      <c r="A24" s="957">
        <v>1</v>
      </c>
      <c r="B24" s="186"/>
      <c r="C24" s="186"/>
      <c r="D24" s="247"/>
      <c r="E24" s="2009"/>
      <c r="F24" s="2009"/>
      <c r="G24" s="2009"/>
      <c r="H24" s="2009"/>
      <c r="I24" s="2009"/>
      <c r="J24" s="2009"/>
      <c r="K24" s="2009"/>
      <c r="L24" s="2009"/>
      <c r="M24" s="2009"/>
      <c r="N24" s="2009"/>
      <c r="O24" s="2010"/>
      <c r="P24" s="186"/>
      <c r="Q24" s="186"/>
    </row>
    <row r="25" spans="1:17" x14ac:dyDescent="0.25">
      <c r="A25" s="957">
        <v>1</v>
      </c>
      <c r="B25" s="4"/>
      <c r="C25" s="5"/>
      <c r="D25" s="21"/>
      <c r="E25" s="2012"/>
      <c r="F25" s="2012"/>
      <c r="G25" s="2012"/>
      <c r="H25" s="2012"/>
      <c r="I25" s="2012"/>
      <c r="J25" s="2012"/>
      <c r="K25" s="2012"/>
      <c r="L25" s="2012"/>
      <c r="M25" s="2012"/>
      <c r="N25" s="2012"/>
      <c r="O25" s="2011"/>
      <c r="P25" s="5"/>
      <c r="Q25" s="6"/>
    </row>
    <row r="26" spans="1:17" ht="16.5" x14ac:dyDescent="0.3">
      <c r="A26" s="957">
        <v>1</v>
      </c>
      <c r="B26" s="4"/>
      <c r="C26" s="5"/>
      <c r="D26" s="3779" t="s">
        <v>1764</v>
      </c>
      <c r="E26" s="19"/>
      <c r="F26" s="19"/>
      <c r="G26" s="19"/>
      <c r="H26" s="19"/>
      <c r="I26" s="19"/>
      <c r="J26" s="19"/>
      <c r="K26" s="19"/>
      <c r="L26" s="19"/>
      <c r="M26" s="19"/>
      <c r="N26" s="19"/>
      <c r="O26" s="1021"/>
      <c r="P26" s="5"/>
      <c r="Q26" s="6"/>
    </row>
    <row r="27" spans="1:17" s="111" customFormat="1" ht="15.95" customHeight="1" x14ac:dyDescent="0.25">
      <c r="A27" s="957">
        <v>1</v>
      </c>
      <c r="B27" s="109"/>
      <c r="C27" s="3949"/>
      <c r="D27" s="3777" t="s">
        <v>18549</v>
      </c>
      <c r="E27" s="3767" t="str">
        <f>E$6</f>
        <v>Mega Warehouse</v>
      </c>
      <c r="F27" s="3767">
        <f t="shared" ref="F27:N27" si="3">F$6</f>
        <v>0</v>
      </c>
      <c r="G27" s="3767">
        <f t="shared" si="3"/>
        <v>0</v>
      </c>
      <c r="H27" s="3767">
        <f t="shared" si="3"/>
        <v>0</v>
      </c>
      <c r="I27" s="3767">
        <f t="shared" si="3"/>
        <v>0</v>
      </c>
      <c r="J27" s="3767">
        <f t="shared" si="3"/>
        <v>0</v>
      </c>
      <c r="K27" s="3767">
        <f t="shared" si="3"/>
        <v>0</v>
      </c>
      <c r="L27" s="3767">
        <f t="shared" si="3"/>
        <v>0</v>
      </c>
      <c r="M27" s="3767">
        <f t="shared" si="3"/>
        <v>0</v>
      </c>
      <c r="N27" s="3767">
        <f t="shared" si="3"/>
        <v>0</v>
      </c>
      <c r="O27" s="3767" t="s">
        <v>706</v>
      </c>
      <c r="P27" s="3949"/>
      <c r="Q27" s="110"/>
    </row>
    <row r="28" spans="1:17" ht="15.95" customHeight="1" x14ac:dyDescent="0.25">
      <c r="A28" s="957">
        <v>1</v>
      </c>
      <c r="B28" s="4"/>
      <c r="C28" s="101"/>
      <c r="D28" s="1285" t="s">
        <v>1753</v>
      </c>
      <c r="E28" s="1174">
        <f>E22</f>
        <v>52</v>
      </c>
      <c r="F28" s="1174">
        <f t="shared" ref="F28:O28" si="4">F22</f>
        <v>0</v>
      </c>
      <c r="G28" s="1174">
        <f t="shared" si="4"/>
        <v>0</v>
      </c>
      <c r="H28" s="1174">
        <f t="shared" si="4"/>
        <v>0</v>
      </c>
      <c r="I28" s="1174">
        <f t="shared" si="4"/>
        <v>0</v>
      </c>
      <c r="J28" s="1174">
        <f t="shared" si="4"/>
        <v>0</v>
      </c>
      <c r="K28" s="1174">
        <f t="shared" si="4"/>
        <v>0</v>
      </c>
      <c r="L28" s="1174">
        <f t="shared" si="4"/>
        <v>0</v>
      </c>
      <c r="M28" s="1174">
        <f t="shared" si="4"/>
        <v>0</v>
      </c>
      <c r="N28" s="1174">
        <f t="shared" si="4"/>
        <v>0</v>
      </c>
      <c r="O28" s="1181">
        <f t="shared" si="4"/>
        <v>52</v>
      </c>
      <c r="P28" s="101"/>
      <c r="Q28" s="6"/>
    </row>
    <row r="29" spans="1:17" ht="15.95" customHeight="1" x14ac:dyDescent="0.25">
      <c r="A29" s="957">
        <f>IF(O29=0,0,1)</f>
        <v>0</v>
      </c>
      <c r="B29" s="4"/>
      <c r="C29" s="101"/>
      <c r="D29" s="3988" t="s">
        <v>1750</v>
      </c>
      <c r="E29" s="4007"/>
      <c r="F29" s="4008"/>
      <c r="G29" s="4008"/>
      <c r="H29" s="4008"/>
      <c r="I29" s="4008"/>
      <c r="J29" s="4008"/>
      <c r="K29" s="4008"/>
      <c r="L29" s="4008"/>
      <c r="M29" s="4008"/>
      <c r="N29" s="4009"/>
      <c r="O29" s="3989">
        <f>IFERROR(SUMPRODUCT(E$7:N$7,E29:N29)/Cost_GBA_Total,0)</f>
        <v>0</v>
      </c>
      <c r="P29" s="101"/>
      <c r="Q29" s="6"/>
    </row>
    <row r="30" spans="1:17" ht="15.95" customHeight="1" x14ac:dyDescent="0.25">
      <c r="A30" s="957">
        <f>IF(O30=0,0,1)</f>
        <v>0</v>
      </c>
      <c r="B30" s="4"/>
      <c r="C30" s="101"/>
      <c r="D30" s="3988" t="s">
        <v>18552</v>
      </c>
      <c r="E30" s="4010"/>
      <c r="F30" s="4011"/>
      <c r="G30" s="4011"/>
      <c r="H30" s="4011"/>
      <c r="I30" s="4011"/>
      <c r="J30" s="4011"/>
      <c r="K30" s="4011"/>
      <c r="L30" s="4011"/>
      <c r="M30" s="4011"/>
      <c r="N30" s="4012"/>
      <c r="O30" s="3989">
        <f>IFERROR(SUMPRODUCT(E$7:N$7,E30:N30)/Cost_GBA_Total,0)</f>
        <v>0</v>
      </c>
      <c r="P30" s="101"/>
      <c r="Q30" s="6"/>
    </row>
    <row r="31" spans="1:17" ht="15.95" customHeight="1" x14ac:dyDescent="0.25">
      <c r="A31" s="957">
        <f>IF(O31=0,0,1)</f>
        <v>0</v>
      </c>
      <c r="B31" s="4"/>
      <c r="C31" s="101"/>
      <c r="D31" s="3988" t="s">
        <v>1757</v>
      </c>
      <c r="E31" s="4013"/>
      <c r="F31" s="4014"/>
      <c r="G31" s="4014"/>
      <c r="H31" s="4014"/>
      <c r="I31" s="4014"/>
      <c r="J31" s="4014"/>
      <c r="K31" s="4014"/>
      <c r="L31" s="4014"/>
      <c r="M31" s="4014"/>
      <c r="N31" s="4015"/>
      <c r="O31" s="3989">
        <f>IFERROR(SUMPRODUCT(E$7:N$7,E31:N31)/Cost_GBA_Total,0)</f>
        <v>0</v>
      </c>
      <c r="P31" s="101"/>
      <c r="Q31" s="6"/>
    </row>
    <row r="32" spans="1:17" ht="15.95" customHeight="1" x14ac:dyDescent="0.25">
      <c r="A32" s="957">
        <f>IF(SUM(A29:A31)=0,0,1)</f>
        <v>0</v>
      </c>
      <c r="B32" s="4"/>
      <c r="C32" s="101"/>
      <c r="D32" s="3990" t="s">
        <v>1758</v>
      </c>
      <c r="E32" s="3991">
        <f>SUM(E28:E31)</f>
        <v>52</v>
      </c>
      <c r="F32" s="3991">
        <f t="shared" ref="F32:N32" si="5">SUM(F28:F31)</f>
        <v>0</v>
      </c>
      <c r="G32" s="3991">
        <f t="shared" si="5"/>
        <v>0</v>
      </c>
      <c r="H32" s="3991">
        <f t="shared" si="5"/>
        <v>0</v>
      </c>
      <c r="I32" s="3991">
        <f t="shared" si="5"/>
        <v>0</v>
      </c>
      <c r="J32" s="3991">
        <f t="shared" si="5"/>
        <v>0</v>
      </c>
      <c r="K32" s="3991">
        <f t="shared" si="5"/>
        <v>0</v>
      </c>
      <c r="L32" s="3991">
        <f t="shared" si="5"/>
        <v>0</v>
      </c>
      <c r="M32" s="3991">
        <f t="shared" si="5"/>
        <v>0</v>
      </c>
      <c r="N32" s="3991">
        <f t="shared" si="5"/>
        <v>0</v>
      </c>
      <c r="O32" s="3992">
        <f>SUM(O28:O31)</f>
        <v>52</v>
      </c>
      <c r="P32" s="101"/>
      <c r="Q32" s="6"/>
    </row>
    <row r="33" spans="1:17" ht="15.95" customHeight="1" x14ac:dyDescent="0.25">
      <c r="A33" s="957">
        <v>1</v>
      </c>
      <c r="B33" s="4"/>
      <c r="C33" s="101"/>
      <c r="D33" s="3988" t="s">
        <v>18556</v>
      </c>
      <c r="E33" s="4044">
        <v>1</v>
      </c>
      <c r="F33" s="4045"/>
      <c r="G33" s="4045"/>
      <c r="H33" s="4045"/>
      <c r="I33" s="4045"/>
      <c r="J33" s="4045"/>
      <c r="K33" s="4045"/>
      <c r="L33" s="4045"/>
      <c r="M33" s="4045"/>
      <c r="N33" s="4046"/>
      <c r="O33" s="3993"/>
      <c r="P33" s="101"/>
      <c r="Q33" s="6"/>
    </row>
    <row r="34" spans="1:17" ht="15.95" customHeight="1" x14ac:dyDescent="0.25">
      <c r="A34" s="957">
        <v>1</v>
      </c>
      <c r="B34" s="4"/>
      <c r="C34" s="101"/>
      <c r="D34" s="3988" t="s">
        <v>18557</v>
      </c>
      <c r="E34" s="4047">
        <v>1.5149999999999999</v>
      </c>
      <c r="F34" s="4048"/>
      <c r="G34" s="4048"/>
      <c r="H34" s="4048"/>
      <c r="I34" s="4048"/>
      <c r="J34" s="4048"/>
      <c r="K34" s="4048"/>
      <c r="L34" s="4048"/>
      <c r="M34" s="4048"/>
      <c r="N34" s="4049"/>
      <c r="O34" s="3993"/>
      <c r="P34" s="101"/>
      <c r="Q34" s="6"/>
    </row>
    <row r="35" spans="1:17" ht="15.95" customHeight="1" x14ac:dyDescent="0.25">
      <c r="A35" s="957">
        <v>1</v>
      </c>
      <c r="B35" s="4"/>
      <c r="C35" s="101"/>
      <c r="D35" s="3988" t="s">
        <v>18558</v>
      </c>
      <c r="E35" s="4050">
        <v>0.84</v>
      </c>
      <c r="F35" s="4051"/>
      <c r="G35" s="4051"/>
      <c r="H35" s="4051"/>
      <c r="I35" s="4051"/>
      <c r="J35" s="4051"/>
      <c r="K35" s="4051"/>
      <c r="L35" s="4051"/>
      <c r="M35" s="4051"/>
      <c r="N35" s="4052"/>
      <c r="O35" s="3993"/>
      <c r="P35" s="101"/>
      <c r="Q35" s="6"/>
    </row>
    <row r="36" spans="1:17" s="911" customFormat="1" ht="15.95" customHeight="1" x14ac:dyDescent="0.25">
      <c r="A36" s="957">
        <v>1</v>
      </c>
      <c r="B36" s="1251"/>
      <c r="C36" s="1278"/>
      <c r="D36" s="3994" t="s">
        <v>1759</v>
      </c>
      <c r="E36" s="3995">
        <f>E33*E34*E35</f>
        <v>1.2726</v>
      </c>
      <c r="F36" s="3995">
        <f t="shared" ref="F36:N36" si="6">F33*F34*F35</f>
        <v>0</v>
      </c>
      <c r="G36" s="3995">
        <f t="shared" si="6"/>
        <v>0</v>
      </c>
      <c r="H36" s="3995">
        <f t="shared" si="6"/>
        <v>0</v>
      </c>
      <c r="I36" s="3995">
        <f t="shared" si="6"/>
        <v>0</v>
      </c>
      <c r="J36" s="3995">
        <f t="shared" si="6"/>
        <v>0</v>
      </c>
      <c r="K36" s="3995">
        <f t="shared" si="6"/>
        <v>0</v>
      </c>
      <c r="L36" s="3995">
        <f t="shared" si="6"/>
        <v>0</v>
      </c>
      <c r="M36" s="3995">
        <f t="shared" si="6"/>
        <v>0</v>
      </c>
      <c r="N36" s="3995">
        <f t="shared" si="6"/>
        <v>0</v>
      </c>
      <c r="O36" s="3996"/>
      <c r="P36" s="1278"/>
      <c r="Q36" s="1252"/>
    </row>
    <row r="37" spans="1:17" ht="15.95" customHeight="1" thickBot="1" x14ac:dyDescent="0.3">
      <c r="A37" s="957">
        <v>1</v>
      </c>
      <c r="B37" s="4"/>
      <c r="C37" s="101"/>
      <c r="D37" s="1182" t="s">
        <v>1758</v>
      </c>
      <c r="E37" s="3997">
        <f>ROUND(E32*E36,2)</f>
        <v>66.180000000000007</v>
      </c>
      <c r="F37" s="3997">
        <f t="shared" ref="F37:N37" si="7">ROUND(F32*F36,2)</f>
        <v>0</v>
      </c>
      <c r="G37" s="3997">
        <f t="shared" si="7"/>
        <v>0</v>
      </c>
      <c r="H37" s="3997">
        <f t="shared" si="7"/>
        <v>0</v>
      </c>
      <c r="I37" s="3997">
        <f t="shared" si="7"/>
        <v>0</v>
      </c>
      <c r="J37" s="3997">
        <f t="shared" si="7"/>
        <v>0</v>
      </c>
      <c r="K37" s="3997">
        <f t="shared" si="7"/>
        <v>0</v>
      </c>
      <c r="L37" s="3997">
        <f t="shared" si="7"/>
        <v>0</v>
      </c>
      <c r="M37" s="3997">
        <f t="shared" si="7"/>
        <v>0</v>
      </c>
      <c r="N37" s="3997">
        <f t="shared" si="7"/>
        <v>0</v>
      </c>
      <c r="O37" s="3997">
        <f>ROUND(SUMPRODUCT(E$7:N$7,E37:N37)/Cost_GBA_Total,2)</f>
        <v>66.180000000000007</v>
      </c>
      <c r="P37" s="101"/>
      <c r="Q37" s="6"/>
    </row>
    <row r="38" spans="1:17" ht="15" thickBot="1" x14ac:dyDescent="0.3">
      <c r="A38" s="957">
        <v>1</v>
      </c>
      <c r="B38" s="4"/>
      <c r="C38" s="5"/>
      <c r="D38" s="43" t="s">
        <v>1767</v>
      </c>
      <c r="E38" s="19"/>
      <c r="F38" s="19"/>
      <c r="G38" s="19"/>
      <c r="H38" s="19"/>
      <c r="I38" s="19"/>
      <c r="J38" s="19"/>
      <c r="K38" s="19"/>
      <c r="L38" s="19"/>
      <c r="M38" s="19"/>
      <c r="N38" s="19"/>
      <c r="O38" s="1021"/>
      <c r="P38" s="5"/>
      <c r="Q38" s="6"/>
    </row>
    <row r="39" spans="1:17" ht="15" thickBot="1" x14ac:dyDescent="0.3">
      <c r="A39" s="957">
        <v>1</v>
      </c>
      <c r="B39" s="186"/>
      <c r="C39" s="186"/>
      <c r="D39" s="247"/>
      <c r="E39" s="2014"/>
      <c r="F39" s="2014"/>
      <c r="G39" s="2014"/>
      <c r="H39" s="2014"/>
      <c r="I39" s="2014"/>
      <c r="J39" s="2014"/>
      <c r="K39" s="2014"/>
      <c r="L39" s="2014"/>
      <c r="M39" s="2014"/>
      <c r="N39" s="2014"/>
      <c r="O39" s="2019"/>
      <c r="P39" s="186"/>
      <c r="Q39" s="186"/>
    </row>
    <row r="40" spans="1:17" x14ac:dyDescent="0.25">
      <c r="A40" s="957">
        <v>1</v>
      </c>
      <c r="B40" s="4"/>
      <c r="C40" s="5"/>
      <c r="D40" s="21"/>
      <c r="E40" s="19"/>
      <c r="F40" s="19"/>
      <c r="G40" s="19"/>
      <c r="H40" s="19"/>
      <c r="I40" s="19"/>
      <c r="J40" s="19"/>
      <c r="K40" s="19"/>
      <c r="L40" s="19"/>
      <c r="M40" s="19"/>
      <c r="N40" s="19"/>
      <c r="O40" s="1021"/>
      <c r="P40" s="5"/>
      <c r="Q40" s="6"/>
    </row>
    <row r="41" spans="1:17" ht="16.5" x14ac:dyDescent="0.3">
      <c r="A41" s="957">
        <v>1</v>
      </c>
      <c r="B41" s="4"/>
      <c r="C41" s="5"/>
      <c r="D41" s="3779" t="s">
        <v>1765</v>
      </c>
      <c r="E41" s="19"/>
      <c r="F41" s="19"/>
      <c r="G41" s="19"/>
      <c r="H41" s="19"/>
      <c r="I41" s="19"/>
      <c r="J41" s="19"/>
      <c r="K41" s="19"/>
      <c r="L41" s="19"/>
      <c r="M41" s="19"/>
      <c r="N41" s="19"/>
      <c r="O41" s="1021"/>
      <c r="P41" s="5"/>
      <c r="Q41" s="6"/>
    </row>
    <row r="42" spans="1:17" s="111" customFormat="1" ht="15.95" customHeight="1" x14ac:dyDescent="0.25">
      <c r="A42" s="957">
        <v>1</v>
      </c>
      <c r="B42" s="109"/>
      <c r="C42" s="3949"/>
      <c r="D42" s="3777" t="s">
        <v>208</v>
      </c>
      <c r="E42" s="3767" t="str">
        <f>E$6</f>
        <v>Mega Warehouse</v>
      </c>
      <c r="F42" s="3767">
        <f t="shared" ref="F42:N42" si="8">F$6</f>
        <v>0</v>
      </c>
      <c r="G42" s="3767">
        <f t="shared" si="8"/>
        <v>0</v>
      </c>
      <c r="H42" s="3767">
        <f t="shared" si="8"/>
        <v>0</v>
      </c>
      <c r="I42" s="3767">
        <f t="shared" si="8"/>
        <v>0</v>
      </c>
      <c r="J42" s="3767">
        <f t="shared" si="8"/>
        <v>0</v>
      </c>
      <c r="K42" s="3767">
        <f t="shared" si="8"/>
        <v>0</v>
      </c>
      <c r="L42" s="3767">
        <f t="shared" si="8"/>
        <v>0</v>
      </c>
      <c r="M42" s="3767">
        <f t="shared" si="8"/>
        <v>0</v>
      </c>
      <c r="N42" s="3767">
        <f t="shared" si="8"/>
        <v>0</v>
      </c>
      <c r="O42" s="3767" t="s">
        <v>706</v>
      </c>
      <c r="P42" s="3949"/>
      <c r="Q42" s="110"/>
    </row>
    <row r="43" spans="1:17" ht="15.95" customHeight="1" x14ac:dyDescent="0.25">
      <c r="A43" s="957">
        <v>1</v>
      </c>
      <c r="B43" s="4"/>
      <c r="C43" s="101"/>
      <c r="D43" s="1285" t="s">
        <v>1758</v>
      </c>
      <c r="E43" s="1174">
        <f>E37</f>
        <v>66.180000000000007</v>
      </c>
      <c r="F43" s="1174">
        <f t="shared" ref="F43:N43" si="9">F37</f>
        <v>0</v>
      </c>
      <c r="G43" s="1174">
        <f t="shared" si="9"/>
        <v>0</v>
      </c>
      <c r="H43" s="1174">
        <f t="shared" si="9"/>
        <v>0</v>
      </c>
      <c r="I43" s="1174">
        <f t="shared" si="9"/>
        <v>0</v>
      </c>
      <c r="J43" s="1174">
        <f t="shared" si="9"/>
        <v>0</v>
      </c>
      <c r="K43" s="1174">
        <f t="shared" si="9"/>
        <v>0</v>
      </c>
      <c r="L43" s="1174">
        <f t="shared" si="9"/>
        <v>0</v>
      </c>
      <c r="M43" s="1174">
        <f t="shared" si="9"/>
        <v>0</v>
      </c>
      <c r="N43" s="1174">
        <f t="shared" si="9"/>
        <v>0</v>
      </c>
      <c r="O43" s="1181">
        <f>O37</f>
        <v>66.180000000000007</v>
      </c>
      <c r="P43" s="101"/>
      <c r="Q43" s="6"/>
    </row>
    <row r="44" spans="1:17" ht="15.95" customHeight="1" x14ac:dyDescent="0.25">
      <c r="A44" s="957">
        <f>IF(SUM(A45:A48)=0,0,1)</f>
        <v>1</v>
      </c>
      <c r="B44" s="4"/>
      <c r="C44" s="101"/>
      <c r="D44" s="1285" t="s">
        <v>1762</v>
      </c>
      <c r="E44" s="1174"/>
      <c r="F44" s="1174"/>
      <c r="G44" s="1174"/>
      <c r="H44" s="1174"/>
      <c r="I44" s="1174"/>
      <c r="J44" s="1174"/>
      <c r="K44" s="1174"/>
      <c r="L44" s="1174"/>
      <c r="M44" s="1174"/>
      <c r="N44" s="1174"/>
      <c r="O44" s="1181"/>
      <c r="P44" s="101"/>
      <c r="Q44" s="6"/>
    </row>
    <row r="45" spans="1:17" ht="15.95" customHeight="1" x14ac:dyDescent="0.25">
      <c r="A45" s="957">
        <f>IF(O45=0,0,1)</f>
        <v>1</v>
      </c>
      <c r="B45" s="4"/>
      <c r="C45" s="101"/>
      <c r="D45" s="3998" t="s">
        <v>186</v>
      </c>
      <c r="E45" s="4053">
        <v>3</v>
      </c>
      <c r="F45" s="4054"/>
      <c r="G45" s="4054"/>
      <c r="H45" s="4054"/>
      <c r="I45" s="4054"/>
      <c r="J45" s="4054"/>
      <c r="K45" s="4054"/>
      <c r="L45" s="4054"/>
      <c r="M45" s="4054"/>
      <c r="N45" s="4055"/>
      <c r="O45" s="3989">
        <f>IFERROR(SUMPRODUCT(E$7:N$7,E45:N45)/Cost_GBA_Total,0)</f>
        <v>3</v>
      </c>
      <c r="P45" s="101"/>
      <c r="Q45" s="6"/>
    </row>
    <row r="46" spans="1:17" ht="15.95" customHeight="1" x14ac:dyDescent="0.25">
      <c r="A46" s="957">
        <f>IF(O46=0,0,1)</f>
        <v>0</v>
      </c>
      <c r="B46" s="4"/>
      <c r="C46" s="101"/>
      <c r="D46" s="3998" t="s">
        <v>1763</v>
      </c>
      <c r="E46" s="4056"/>
      <c r="F46" s="4057"/>
      <c r="G46" s="4057"/>
      <c r="H46" s="4057"/>
      <c r="I46" s="4057"/>
      <c r="J46" s="4057"/>
      <c r="K46" s="4057"/>
      <c r="L46" s="4057"/>
      <c r="M46" s="4057"/>
      <c r="N46" s="4058"/>
      <c r="O46" s="3989">
        <f>IFERROR(SUMPRODUCT(E$7:N$7,E46:N46)/Cost_GBA_Total,0)</f>
        <v>0</v>
      </c>
      <c r="P46" s="101"/>
      <c r="Q46" s="6"/>
    </row>
    <row r="47" spans="1:17" ht="15.95" customHeight="1" x14ac:dyDescent="0.25">
      <c r="A47" s="957">
        <f>IF(O47=0,0,1)</f>
        <v>0</v>
      </c>
      <c r="B47" s="4"/>
      <c r="C47" s="101"/>
      <c r="D47" s="3998" t="s">
        <v>1757</v>
      </c>
      <c r="E47" s="4059"/>
      <c r="F47" s="4060"/>
      <c r="G47" s="4060"/>
      <c r="H47" s="4060"/>
      <c r="I47" s="4060"/>
      <c r="J47" s="4060"/>
      <c r="K47" s="4060"/>
      <c r="L47" s="4060"/>
      <c r="M47" s="4060"/>
      <c r="N47" s="4061"/>
      <c r="O47" s="3989">
        <f>IFERROR(SUMPRODUCT(E$7:N$7,E47:N47)/Cost_GBA_Total,0)</f>
        <v>0</v>
      </c>
      <c r="P47" s="101"/>
      <c r="Q47" s="6"/>
    </row>
    <row r="48" spans="1:17" ht="15.95" customHeight="1" x14ac:dyDescent="0.25">
      <c r="A48" s="957">
        <f>IF(SUM(A45:A47)=0,0,1)</f>
        <v>1</v>
      </c>
      <c r="B48" s="4"/>
      <c r="C48" s="101"/>
      <c r="D48" s="3990" t="s">
        <v>1758</v>
      </c>
      <c r="E48" s="3991">
        <f>SUM(E43:E47)</f>
        <v>69.180000000000007</v>
      </c>
      <c r="F48" s="3991">
        <f t="shared" ref="F48:O48" si="10">SUM(F43:F47)</f>
        <v>0</v>
      </c>
      <c r="G48" s="3991">
        <f t="shared" si="10"/>
        <v>0</v>
      </c>
      <c r="H48" s="3991">
        <f t="shared" si="10"/>
        <v>0</v>
      </c>
      <c r="I48" s="3991">
        <f t="shared" si="10"/>
        <v>0</v>
      </c>
      <c r="J48" s="3991">
        <f t="shared" si="10"/>
        <v>0</v>
      </c>
      <c r="K48" s="3991">
        <f t="shared" si="10"/>
        <v>0</v>
      </c>
      <c r="L48" s="3991">
        <f t="shared" si="10"/>
        <v>0</v>
      </c>
      <c r="M48" s="3991">
        <f t="shared" si="10"/>
        <v>0</v>
      </c>
      <c r="N48" s="3991">
        <f t="shared" si="10"/>
        <v>0</v>
      </c>
      <c r="O48" s="3992">
        <f t="shared" si="10"/>
        <v>69.180000000000007</v>
      </c>
      <c r="P48" s="1174">
        <f>SUM(P43:P45)</f>
        <v>0</v>
      </c>
      <c r="Q48" s="6"/>
    </row>
    <row r="49" spans="1:17" ht="15.95" customHeight="1" x14ac:dyDescent="0.25">
      <c r="A49" s="957">
        <v>1</v>
      </c>
      <c r="B49" s="4"/>
      <c r="C49" s="101"/>
      <c r="D49" s="3988" t="s">
        <v>18553</v>
      </c>
      <c r="E49" s="4044">
        <v>1.04</v>
      </c>
      <c r="F49" s="4045"/>
      <c r="G49" s="4045"/>
      <c r="H49" s="4045"/>
      <c r="I49" s="4045"/>
      <c r="J49" s="4045"/>
      <c r="K49" s="4045"/>
      <c r="L49" s="4045"/>
      <c r="M49" s="4045"/>
      <c r="N49" s="4046"/>
      <c r="O49" s="3993"/>
      <c r="P49" s="101"/>
      <c r="Q49" s="6"/>
    </row>
    <row r="50" spans="1:17" ht="15.95" customHeight="1" x14ac:dyDescent="0.25">
      <c r="A50" s="957">
        <f>IF(E50=1,0,1)</f>
        <v>0</v>
      </c>
      <c r="B50" s="4"/>
      <c r="C50" s="101"/>
      <c r="D50" s="3988" t="s">
        <v>18551</v>
      </c>
      <c r="E50" s="4047">
        <v>1</v>
      </c>
      <c r="F50" s="4048"/>
      <c r="G50" s="4048"/>
      <c r="H50" s="4048"/>
      <c r="I50" s="4048"/>
      <c r="J50" s="4048"/>
      <c r="K50" s="4048"/>
      <c r="L50" s="4048"/>
      <c r="M50" s="4048"/>
      <c r="N50" s="4049"/>
      <c r="O50" s="3993"/>
      <c r="P50" s="101"/>
      <c r="Q50" s="6"/>
    </row>
    <row r="51" spans="1:17" ht="15.95" customHeight="1" x14ac:dyDescent="0.25">
      <c r="A51" s="957">
        <v>1</v>
      </c>
      <c r="B51" s="4"/>
      <c r="C51" s="101"/>
      <c r="D51" s="3988" t="s">
        <v>18560</v>
      </c>
      <c r="E51" s="4050">
        <v>1</v>
      </c>
      <c r="F51" s="4051"/>
      <c r="G51" s="4051"/>
      <c r="H51" s="4051"/>
      <c r="I51" s="4051"/>
      <c r="J51" s="4051"/>
      <c r="K51" s="4051"/>
      <c r="L51" s="4051"/>
      <c r="M51" s="4051"/>
      <c r="N51" s="4052"/>
      <c r="O51" s="3993"/>
      <c r="P51" s="101"/>
      <c r="Q51" s="6"/>
    </row>
    <row r="52" spans="1:17" s="911" customFormat="1" ht="15.95" customHeight="1" x14ac:dyDescent="0.25">
      <c r="A52" s="957">
        <v>1</v>
      </c>
      <c r="B52" s="1251"/>
      <c r="C52" s="1278"/>
      <c r="D52" s="3994" t="s">
        <v>1759</v>
      </c>
      <c r="E52" s="3995">
        <f>E49*E50*E51</f>
        <v>1.04</v>
      </c>
      <c r="F52" s="3995">
        <f t="shared" ref="F52:N52" si="11">F49*F50*F51</f>
        <v>0</v>
      </c>
      <c r="G52" s="3995">
        <f t="shared" si="11"/>
        <v>0</v>
      </c>
      <c r="H52" s="3995">
        <f t="shared" si="11"/>
        <v>0</v>
      </c>
      <c r="I52" s="3995">
        <f t="shared" si="11"/>
        <v>0</v>
      </c>
      <c r="J52" s="3995">
        <f t="shared" si="11"/>
        <v>0</v>
      </c>
      <c r="K52" s="3995">
        <f t="shared" si="11"/>
        <v>0</v>
      </c>
      <c r="L52" s="3995">
        <f t="shared" si="11"/>
        <v>0</v>
      </c>
      <c r="M52" s="3995">
        <f t="shared" si="11"/>
        <v>0</v>
      </c>
      <c r="N52" s="3995">
        <f t="shared" si="11"/>
        <v>0</v>
      </c>
      <c r="O52" s="3999"/>
      <c r="P52" s="1278"/>
      <c r="Q52" s="1252"/>
    </row>
    <row r="53" spans="1:17" s="111" customFormat="1" ht="15.95" customHeight="1" x14ac:dyDescent="0.25">
      <c r="A53" s="957">
        <v>1</v>
      </c>
      <c r="B53" s="109"/>
      <c r="C53" s="102"/>
      <c r="D53" s="102" t="s">
        <v>1760</v>
      </c>
      <c r="E53" s="4000">
        <f>ROUND(E48*E52,2)</f>
        <v>71.95</v>
      </c>
      <c r="F53" s="4000">
        <f t="shared" ref="F53:N53" si="12">ROUND(F48*F52,2)</f>
        <v>0</v>
      </c>
      <c r="G53" s="4000">
        <f t="shared" si="12"/>
        <v>0</v>
      </c>
      <c r="H53" s="4000">
        <f t="shared" si="12"/>
        <v>0</v>
      </c>
      <c r="I53" s="4000">
        <f t="shared" si="12"/>
        <v>0</v>
      </c>
      <c r="J53" s="4000">
        <f t="shared" si="12"/>
        <v>0</v>
      </c>
      <c r="K53" s="4000">
        <f t="shared" si="12"/>
        <v>0</v>
      </c>
      <c r="L53" s="4000">
        <f t="shared" si="12"/>
        <v>0</v>
      </c>
      <c r="M53" s="4000">
        <f t="shared" si="12"/>
        <v>0</v>
      </c>
      <c r="N53" s="4000">
        <f t="shared" si="12"/>
        <v>0</v>
      </c>
      <c r="O53" s="4000">
        <f>ROUND(SUMPRODUCT(E$7:N$7,E53:N53)/Cost_GBA_Total,2)</f>
        <v>71.95</v>
      </c>
      <c r="P53" s="102"/>
      <c r="Q53" s="110"/>
    </row>
    <row r="54" spans="1:17" s="911" customFormat="1" ht="15.95" customHeight="1" x14ac:dyDescent="0.25">
      <c r="A54" s="957">
        <v>1</v>
      </c>
      <c r="B54" s="1251"/>
      <c r="C54" s="1278"/>
      <c r="D54" s="1285" t="s">
        <v>183</v>
      </c>
      <c r="E54" s="4001">
        <f t="shared" ref="E54:N54" si="13">E7</f>
        <v>329940</v>
      </c>
      <c r="F54" s="4001">
        <f t="shared" si="13"/>
        <v>0</v>
      </c>
      <c r="G54" s="4001">
        <f t="shared" si="13"/>
        <v>0</v>
      </c>
      <c r="H54" s="4001">
        <f t="shared" si="13"/>
        <v>0</v>
      </c>
      <c r="I54" s="4001">
        <f t="shared" si="13"/>
        <v>0</v>
      </c>
      <c r="J54" s="4001">
        <f t="shared" si="13"/>
        <v>0</v>
      </c>
      <c r="K54" s="4001">
        <f t="shared" si="13"/>
        <v>0</v>
      </c>
      <c r="L54" s="4001">
        <f t="shared" si="13"/>
        <v>0</v>
      </c>
      <c r="M54" s="4001">
        <f t="shared" si="13"/>
        <v>0</v>
      </c>
      <c r="N54" s="4001">
        <f t="shared" si="13"/>
        <v>0</v>
      </c>
      <c r="O54" s="4002">
        <f>Cost_GBA_Total</f>
        <v>329940</v>
      </c>
      <c r="P54" s="1278"/>
      <c r="Q54" s="1252"/>
    </row>
    <row r="55" spans="1:17" s="111" customFormat="1" ht="15.95" customHeight="1" thickBot="1" x14ac:dyDescent="0.3">
      <c r="A55" s="957">
        <v>1</v>
      </c>
      <c r="B55" s="109"/>
      <c r="C55" s="102"/>
      <c r="D55" s="1182" t="s">
        <v>1140</v>
      </c>
      <c r="E55" s="4003">
        <f>E54*E53</f>
        <v>23739183</v>
      </c>
      <c r="F55" s="4003">
        <f t="shared" ref="F55:N55" si="14">F54*F53</f>
        <v>0</v>
      </c>
      <c r="G55" s="4003">
        <f t="shared" si="14"/>
        <v>0</v>
      </c>
      <c r="H55" s="4003">
        <f t="shared" si="14"/>
        <v>0</v>
      </c>
      <c r="I55" s="4003">
        <f t="shared" si="14"/>
        <v>0</v>
      </c>
      <c r="J55" s="4003">
        <f t="shared" si="14"/>
        <v>0</v>
      </c>
      <c r="K55" s="4003">
        <f t="shared" si="14"/>
        <v>0</v>
      </c>
      <c r="L55" s="4003">
        <f t="shared" si="14"/>
        <v>0</v>
      </c>
      <c r="M55" s="4003">
        <f t="shared" si="14"/>
        <v>0</v>
      </c>
      <c r="N55" s="4003">
        <f t="shared" si="14"/>
        <v>0</v>
      </c>
      <c r="O55" s="4003">
        <f>SUM(E55:N55)</f>
        <v>23739183</v>
      </c>
      <c r="P55" s="102"/>
      <c r="Q55" s="110"/>
    </row>
    <row r="56" spans="1:17" ht="14.25" customHeight="1" thickBot="1" x14ac:dyDescent="0.3">
      <c r="B56" s="8"/>
      <c r="C56" s="7"/>
      <c r="D56" s="553" t="s">
        <v>1136</v>
      </c>
      <c r="E56" s="800"/>
      <c r="F56" s="800"/>
      <c r="G56" s="800"/>
      <c r="H56" s="800"/>
      <c r="I56" s="800"/>
      <c r="J56" s="800"/>
      <c r="K56" s="800"/>
      <c r="L56" s="800"/>
      <c r="M56" s="800"/>
      <c r="N56" s="800"/>
      <c r="O56" s="2020"/>
      <c r="P56" s="7"/>
      <c r="Q56" s="9"/>
    </row>
    <row r="57" spans="1:17" s="32" customFormat="1" x14ac:dyDescent="0.25">
      <c r="A57" s="96"/>
      <c r="E57" s="971">
        <v>1</v>
      </c>
      <c r="F57" s="971">
        <f t="shared" ref="F57:N57" si="15">IF(F7="",0,1)</f>
        <v>0</v>
      </c>
      <c r="G57" s="971">
        <f t="shared" si="15"/>
        <v>0</v>
      </c>
      <c r="H57" s="971">
        <f t="shared" si="15"/>
        <v>0</v>
      </c>
      <c r="I57" s="971">
        <f t="shared" si="15"/>
        <v>0</v>
      </c>
      <c r="J57" s="971">
        <f t="shared" si="15"/>
        <v>0</v>
      </c>
      <c r="K57" s="971">
        <f t="shared" si="15"/>
        <v>0</v>
      </c>
      <c r="L57" s="971">
        <f t="shared" si="15"/>
        <v>0</v>
      </c>
      <c r="M57" s="971">
        <f t="shared" si="15"/>
        <v>0</v>
      </c>
      <c r="N57" s="971">
        <f t="shared" si="15"/>
        <v>0</v>
      </c>
      <c r="O57" s="2021">
        <f>IF(SUM(E57:N57)=1,0,1)</f>
        <v>0</v>
      </c>
    </row>
  </sheetData>
  <dataValidations count="1">
    <dataValidation type="list" allowBlank="1" showInputMessage="1" showErrorMessage="1" error="Invalid Option - Please Select from the List" promptTitle="Retrospective/Prospective ID" prompt="Select Retrospective or Prospective; Note if Multiplier in first column equals 1.0, this Row will Hid" sqref="D50" xr:uid="{1A79FA05-0998-4980-B3FD-5314C1B4C08C}">
      <formula1>Cost_TimeMult_List</formula1>
    </dataValidation>
  </dataValidations>
  <printOptions horizontalCentered="1"/>
  <pageMargins left="0.5" right="0.5"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1146A4-5AFC-433C-9911-6220EE9FEC7D}">
  <sheetPr codeName="Sheet91">
    <tabColor theme="9" tint="-0.499984740745262"/>
  </sheetPr>
  <dimension ref="A1:AA35"/>
  <sheetViews>
    <sheetView zoomScaleNormal="100" workbookViewId="0"/>
  </sheetViews>
  <sheetFormatPr defaultColWidth="9.140625" defaultRowHeight="14.25" x14ac:dyDescent="0.25"/>
  <cols>
    <col min="1" max="1" width="5.7109375" style="11" customWidth="1"/>
    <col min="2" max="2" width="1.7109375" style="911" customWidth="1"/>
    <col min="3" max="3" width="0.85546875" style="911" customWidth="1"/>
    <col min="4" max="4" width="24.5703125" style="911" bestFit="1" customWidth="1"/>
    <col min="5" max="5" width="8.7109375" style="911" customWidth="1"/>
    <col min="6" max="6" width="10.7109375" style="911" customWidth="1"/>
    <col min="7" max="7" width="8.7109375" style="911" customWidth="1"/>
    <col min="8" max="8" width="10.7109375" style="911" customWidth="1"/>
    <col min="9" max="9" width="0.85546875" style="911" customWidth="1"/>
    <col min="10" max="10" width="1.7109375" style="911" customWidth="1"/>
    <col min="11" max="11" width="5.7109375" style="911" customWidth="1"/>
    <col min="12" max="12" width="1.7109375" style="911" customWidth="1"/>
    <col min="13" max="13" width="0.85546875" style="911" customWidth="1"/>
    <col min="14" max="14" width="10.7109375" style="911" customWidth="1"/>
    <col min="15" max="15" width="10.7109375" style="1256" customWidth="1"/>
    <col min="16" max="18" width="15.7109375" style="1256" customWidth="1"/>
    <col min="19" max="19" width="0.85546875" style="911" customWidth="1"/>
    <col min="20" max="20" width="1.7109375" style="911" customWidth="1"/>
    <col min="21" max="21" width="5.7109375" style="911" customWidth="1"/>
    <col min="22" max="22" width="1.7109375" style="911" customWidth="1"/>
    <col min="23" max="23" width="0.85546875" style="911" customWidth="1"/>
    <col min="24" max="24" width="40.7109375" style="911" customWidth="1"/>
    <col min="25" max="25" width="12.7109375" style="911" customWidth="1"/>
    <col min="26" max="26" width="0.85546875" style="911" customWidth="1"/>
    <col min="27" max="27" width="1.7109375" style="911" customWidth="1"/>
    <col min="28" max="16384" width="9.140625" style="911"/>
  </cols>
  <sheetData>
    <row r="1" spans="1:18" ht="60" customHeight="1" x14ac:dyDescent="0.25"/>
    <row r="2" spans="1:18" ht="15" thickBot="1" x14ac:dyDescent="0.3"/>
    <row r="3" spans="1:18" x14ac:dyDescent="0.25">
      <c r="B3" s="1248"/>
      <c r="C3" s="1249"/>
      <c r="D3" s="1249"/>
      <c r="E3" s="1249"/>
      <c r="F3" s="1249"/>
      <c r="G3" s="1249"/>
      <c r="H3" s="1249"/>
      <c r="I3" s="1249"/>
      <c r="J3" s="1250"/>
    </row>
    <row r="4" spans="1:18" s="129" customFormat="1" ht="16.5" x14ac:dyDescent="0.3">
      <c r="A4" s="336"/>
      <c r="B4" s="335"/>
      <c r="C4" s="582"/>
      <c r="D4" s="246" t="s">
        <v>17920</v>
      </c>
      <c r="E4" s="246"/>
      <c r="F4" s="246"/>
      <c r="G4" s="246"/>
      <c r="H4" s="582"/>
      <c r="I4" s="582"/>
      <c r="J4" s="338"/>
      <c r="O4" s="2332"/>
      <c r="P4" s="2332"/>
      <c r="Q4" s="2332"/>
      <c r="R4" s="2332"/>
    </row>
    <row r="5" spans="1:18" ht="15.95" customHeight="1" x14ac:dyDescent="0.25">
      <c r="B5" s="1251"/>
      <c r="D5" s="12" t="s">
        <v>436</v>
      </c>
      <c r="E5" s="4147">
        <v>1</v>
      </c>
      <c r="F5" s="4147"/>
      <c r="G5" s="4147">
        <v>2</v>
      </c>
      <c r="H5" s="4147"/>
      <c r="J5" s="1252"/>
    </row>
    <row r="6" spans="1:18" ht="15.95" customHeight="1" x14ac:dyDescent="0.25">
      <c r="B6" s="1251"/>
      <c r="C6" s="1278"/>
      <c r="D6" s="130" t="s">
        <v>17922</v>
      </c>
      <c r="E6" s="4148"/>
      <c r="F6" s="4148"/>
      <c r="G6" s="4148"/>
      <c r="H6" s="4148"/>
      <c r="I6" s="1278"/>
      <c r="J6" s="1252"/>
    </row>
    <row r="7" spans="1:18" ht="15.95" customHeight="1" x14ac:dyDescent="0.25">
      <c r="B7" s="1251"/>
      <c r="C7" s="1278"/>
      <c r="D7" s="130" t="s">
        <v>95</v>
      </c>
      <c r="E7" s="4148"/>
      <c r="F7" s="4148"/>
      <c r="G7" s="4148"/>
      <c r="H7" s="4148"/>
      <c r="I7" s="1278"/>
      <c r="J7" s="1252"/>
    </row>
    <row r="8" spans="1:18" ht="15.95" customHeight="1" x14ac:dyDescent="0.25">
      <c r="B8" s="1251"/>
      <c r="C8" s="1278"/>
      <c r="D8" s="130" t="s">
        <v>6</v>
      </c>
      <c r="E8" s="4148"/>
      <c r="F8" s="4148"/>
      <c r="G8" s="4148"/>
      <c r="H8" s="4148"/>
      <c r="I8" s="1278"/>
      <c r="J8" s="1252"/>
    </row>
    <row r="9" spans="1:18" ht="15.95" customHeight="1" x14ac:dyDescent="0.25">
      <c r="B9" s="1251"/>
      <c r="C9" s="1278"/>
      <c r="D9" s="130" t="s">
        <v>288</v>
      </c>
      <c r="E9" s="4148"/>
      <c r="F9" s="4148"/>
      <c r="G9" s="4148"/>
      <c r="H9" s="4148"/>
      <c r="I9" s="1278"/>
      <c r="J9" s="1252"/>
    </row>
    <row r="10" spans="1:18" ht="15.95" customHeight="1" x14ac:dyDescent="0.25">
      <c r="B10" s="1251"/>
      <c r="C10" s="1278"/>
      <c r="D10" s="130" t="s">
        <v>183</v>
      </c>
      <c r="E10" s="4150"/>
      <c r="F10" s="4150"/>
      <c r="G10" s="4150"/>
      <c r="H10" s="4150"/>
      <c r="I10" s="1278"/>
      <c r="J10" s="1252"/>
    </row>
    <row r="11" spans="1:18" ht="15.95" customHeight="1" x14ac:dyDescent="0.25">
      <c r="B11" s="1251"/>
      <c r="C11" s="1278"/>
      <c r="D11" s="130"/>
      <c r="E11" s="2335" t="s">
        <v>47</v>
      </c>
      <c r="F11" s="2336" t="s">
        <v>128</v>
      </c>
      <c r="G11" s="2335" t="s">
        <v>47</v>
      </c>
      <c r="H11" s="2336" t="s">
        <v>128</v>
      </c>
      <c r="I11" s="1278"/>
      <c r="J11" s="1252"/>
    </row>
    <row r="12" spans="1:18" ht="15.95" customHeight="1" x14ac:dyDescent="0.25">
      <c r="B12" s="1251"/>
      <c r="C12" s="1278"/>
      <c r="D12" s="130" t="s">
        <v>17923</v>
      </c>
      <c r="E12" s="4149"/>
      <c r="F12" s="4149"/>
      <c r="G12" s="4149"/>
      <c r="H12" s="4149"/>
      <c r="I12" s="1278"/>
      <c r="J12" s="1252"/>
    </row>
    <row r="13" spans="1:18" ht="15.95" customHeight="1" x14ac:dyDescent="0.25">
      <c r="B13" s="1251"/>
      <c r="C13" s="1278"/>
      <c r="D13" s="130" t="s">
        <v>17897</v>
      </c>
      <c r="E13" s="2326"/>
      <c r="F13" s="2327">
        <v>1.05</v>
      </c>
      <c r="G13" s="2326"/>
      <c r="H13" s="2327">
        <v>1.05</v>
      </c>
      <c r="I13" s="1278"/>
      <c r="J13" s="1252"/>
    </row>
    <row r="14" spans="1:18" ht="15.95" customHeight="1" x14ac:dyDescent="0.25">
      <c r="B14" s="1251"/>
      <c r="C14" s="1278"/>
      <c r="D14" s="1278" t="s">
        <v>17932</v>
      </c>
      <c r="E14" s="1361"/>
      <c r="F14" s="1181">
        <f>F$13*E14</f>
        <v>0</v>
      </c>
      <c r="G14" s="1361"/>
      <c r="H14" s="1181">
        <f>H$13*G14</f>
        <v>0</v>
      </c>
      <c r="I14" s="1278"/>
      <c r="J14" s="1252"/>
    </row>
    <row r="15" spans="1:18" ht="15.95" customHeight="1" x14ac:dyDescent="0.25">
      <c r="B15" s="1251"/>
      <c r="C15" s="1278"/>
      <c r="D15" s="1278" t="s">
        <v>17927</v>
      </c>
      <c r="E15" s="1361"/>
      <c r="F15" s="1181">
        <f>F$13*E15</f>
        <v>0</v>
      </c>
      <c r="G15" s="1361"/>
      <c r="H15" s="1181">
        <f>H$13*G15</f>
        <v>0</v>
      </c>
      <c r="I15" s="1278"/>
      <c r="J15" s="1252"/>
    </row>
    <row r="16" spans="1:18" ht="15.95" customHeight="1" x14ac:dyDescent="0.25">
      <c r="B16" s="1251"/>
      <c r="C16" s="1278"/>
      <c r="D16" s="1278" t="s">
        <v>17929</v>
      </c>
      <c r="E16" s="2337"/>
      <c r="F16" s="2338" t="e">
        <f>F15/F14</f>
        <v>#DIV/0!</v>
      </c>
      <c r="G16" s="2339"/>
      <c r="H16" s="2338" t="e">
        <f>H15/H14</f>
        <v>#DIV/0!</v>
      </c>
      <c r="I16" s="1278"/>
      <c r="J16" s="1252"/>
    </row>
    <row r="17" spans="1:27" ht="15.95" customHeight="1" thickBot="1" x14ac:dyDescent="0.3">
      <c r="B17" s="1251"/>
      <c r="C17" s="1278"/>
      <c r="D17" s="1688" t="s">
        <v>17928</v>
      </c>
      <c r="E17" s="2342">
        <f>E14+E15</f>
        <v>0</v>
      </c>
      <c r="F17" s="2343">
        <f>F14+F15</f>
        <v>0</v>
      </c>
      <c r="G17" s="2342">
        <f>G14+G15</f>
        <v>0</v>
      </c>
      <c r="H17" s="2343">
        <f>H14+H15</f>
        <v>0</v>
      </c>
      <c r="I17" s="1278"/>
      <c r="J17" s="1252"/>
    </row>
    <row r="18" spans="1:27" ht="15.95" customHeight="1" thickBot="1" x14ac:dyDescent="0.3">
      <c r="B18" s="1253"/>
      <c r="C18" s="2341"/>
      <c r="D18" s="1369" t="s">
        <v>17926</v>
      </c>
      <c r="E18" s="1369"/>
      <c r="F18" s="1369"/>
      <c r="G18" s="1369"/>
      <c r="H18" s="2341"/>
      <c r="I18" s="1254"/>
      <c r="J18" s="1255"/>
    </row>
    <row r="19" spans="1:27" ht="15" thickBot="1" x14ac:dyDescent="0.3">
      <c r="D19" s="11" t="str">
        <f>D14</f>
        <v>Hard Costs PSF</v>
      </c>
      <c r="F19" s="1319">
        <f>F14</f>
        <v>0</v>
      </c>
      <c r="G19" s="11"/>
      <c r="H19" s="1319">
        <f>H14</f>
        <v>0</v>
      </c>
    </row>
    <row r="20" spans="1:27" x14ac:dyDescent="0.25">
      <c r="D20" s="11" t="str">
        <f>D17</f>
        <v>Total Costs PSF</v>
      </c>
      <c r="F20" s="1319">
        <f>F17</f>
        <v>0</v>
      </c>
      <c r="G20" s="11"/>
      <c r="H20" s="1319">
        <f>H17</f>
        <v>0</v>
      </c>
      <c r="L20" s="1"/>
      <c r="M20" s="2"/>
      <c r="N20" s="2"/>
      <c r="O20" s="123"/>
      <c r="P20" s="123"/>
      <c r="Q20" s="123"/>
      <c r="R20" s="123"/>
      <c r="S20" s="2"/>
      <c r="T20" s="3"/>
    </row>
    <row r="21" spans="1:27" ht="16.5" x14ac:dyDescent="0.3">
      <c r="L21" s="4"/>
      <c r="M21" s="5"/>
      <c r="N21" s="246" t="s">
        <v>17933</v>
      </c>
      <c r="O21" s="1682"/>
      <c r="P21" s="19"/>
      <c r="Q21" s="19"/>
      <c r="R21" s="19"/>
      <c r="S21" s="5"/>
      <c r="T21" s="6"/>
    </row>
    <row r="22" spans="1:27" x14ac:dyDescent="0.25">
      <c r="D22" s="11"/>
      <c r="F22" s="2328"/>
      <c r="G22" s="11"/>
      <c r="H22" s="11"/>
      <c r="L22" s="4"/>
      <c r="M22" s="10"/>
      <c r="N22" s="12" t="s">
        <v>942</v>
      </c>
      <c r="O22" s="634" t="s">
        <v>11</v>
      </c>
      <c r="P22" s="634" t="s">
        <v>17925</v>
      </c>
      <c r="Q22" s="634" t="s">
        <v>17924</v>
      </c>
      <c r="R22" s="634" t="s">
        <v>17921</v>
      </c>
      <c r="S22" s="634"/>
      <c r="T22" s="6"/>
    </row>
    <row r="23" spans="1:27" ht="15.95" customHeight="1" x14ac:dyDescent="0.25">
      <c r="L23" s="4"/>
      <c r="M23" s="101"/>
      <c r="N23" s="101" t="s">
        <v>1233</v>
      </c>
      <c r="O23" s="1481">
        <f>MIN(Cost_CostComps_GBARange)</f>
        <v>0</v>
      </c>
      <c r="P23" s="2330">
        <f>MIN(Cost_CostComps_HardRange)</f>
        <v>0</v>
      </c>
      <c r="Q23" s="1123" t="e">
        <f>MIN(Cost_CostComps_SoftRange)</f>
        <v>#DIV/0!</v>
      </c>
      <c r="R23" s="2330">
        <f>MIN(Cost_CostComps_TotalRange)</f>
        <v>0</v>
      </c>
      <c r="S23" s="1189"/>
      <c r="T23" s="6"/>
    </row>
    <row r="24" spans="1:27" ht="15.95" customHeight="1" x14ac:dyDescent="0.25">
      <c r="L24" s="4"/>
      <c r="M24" s="101"/>
      <c r="N24" s="101" t="s">
        <v>1234</v>
      </c>
      <c r="O24" s="1481">
        <f>MAX(Cost_CostComps_GBARange)</f>
        <v>0</v>
      </c>
      <c r="P24" s="2330">
        <f>MAX(Cost_CostComps_HardRange)</f>
        <v>0</v>
      </c>
      <c r="Q24" s="1123" t="e">
        <f>MAX(Cost_CostComps_SoftRange)</f>
        <v>#DIV/0!</v>
      </c>
      <c r="R24" s="2330">
        <f>MAX(Cost_CostComps_TotalRange)</f>
        <v>0</v>
      </c>
      <c r="S24" s="1189"/>
      <c r="T24" s="6"/>
    </row>
    <row r="25" spans="1:27" ht="15.95" customHeight="1" x14ac:dyDescent="0.25">
      <c r="D25" s="11"/>
      <c r="F25" s="11"/>
      <c r="G25" s="11"/>
      <c r="H25" s="11"/>
      <c r="L25" s="4"/>
      <c r="M25" s="101"/>
      <c r="N25" s="101" t="s">
        <v>117</v>
      </c>
      <c r="O25" s="1481" t="e">
        <f>MEDIAN(Cost_CostComps_GBARange)</f>
        <v>#NUM!</v>
      </c>
      <c r="P25" s="2330">
        <f>MEDIAN(Cost_CostComps_HardRange)</f>
        <v>0</v>
      </c>
      <c r="Q25" s="1123" t="e">
        <f>MEDIAN(Cost_CostComps_SoftRange)</f>
        <v>#DIV/0!</v>
      </c>
      <c r="R25" s="2330">
        <f>MEDIAN(Cost_CostComps_TotalRange)</f>
        <v>0</v>
      </c>
      <c r="S25" s="1189"/>
      <c r="T25" s="6"/>
    </row>
    <row r="26" spans="1:27" ht="15.95" customHeight="1" thickBot="1" x14ac:dyDescent="0.3">
      <c r="D26" s="11"/>
      <c r="F26" s="11"/>
      <c r="G26" s="11"/>
      <c r="H26" s="11"/>
      <c r="L26" s="4"/>
      <c r="M26" s="101"/>
      <c r="N26" s="139" t="s">
        <v>1235</v>
      </c>
      <c r="O26" s="1484" t="e">
        <f>AVERAGE(Cost_CostComps_GBARange)</f>
        <v>#DIV/0!</v>
      </c>
      <c r="P26" s="2331">
        <f>AVERAGE(Cost_CostComps_HardRange)</f>
        <v>0</v>
      </c>
      <c r="Q26" s="2329" t="e">
        <f>AVERAGE(Cost_CostComps_SoftRange)</f>
        <v>#DIV/0!</v>
      </c>
      <c r="R26" s="2331">
        <f>AVERAGE(Cost_CostComps_TotalRange)</f>
        <v>0</v>
      </c>
      <c r="S26" s="1189"/>
      <c r="T26" s="6"/>
    </row>
    <row r="27" spans="1:27" ht="15" thickBot="1" x14ac:dyDescent="0.3">
      <c r="D27" s="11"/>
      <c r="F27" s="11"/>
      <c r="G27" s="11"/>
      <c r="H27" s="11"/>
      <c r="L27" s="646"/>
      <c r="M27" s="647"/>
      <c r="N27" s="885" t="s">
        <v>17937</v>
      </c>
      <c r="O27" s="2333"/>
      <c r="P27" s="1458"/>
      <c r="Q27" s="1458"/>
      <c r="R27" s="1458"/>
      <c r="S27" s="647"/>
      <c r="T27" s="649"/>
    </row>
    <row r="28" spans="1:27" ht="15" thickBot="1" x14ac:dyDescent="0.3"/>
    <row r="29" spans="1:27" x14ac:dyDescent="0.25">
      <c r="V29" s="1"/>
      <c r="W29" s="2"/>
      <c r="X29" s="202"/>
      <c r="Y29" s="202"/>
      <c r="Z29" s="202"/>
      <c r="AA29" s="202"/>
    </row>
    <row r="30" spans="1:27" s="129" customFormat="1" ht="16.5" x14ac:dyDescent="0.3">
      <c r="A30" s="336"/>
      <c r="O30" s="2332"/>
      <c r="P30" s="2332"/>
      <c r="Q30" s="2332"/>
      <c r="R30" s="2332"/>
      <c r="V30" s="335"/>
      <c r="W30" s="246"/>
      <c r="X30" s="505" t="s">
        <v>17934</v>
      </c>
      <c r="Y30" s="505"/>
      <c r="Z30" s="505"/>
      <c r="AA30" s="2334"/>
    </row>
    <row r="31" spans="1:27" ht="15.95" customHeight="1" x14ac:dyDescent="0.25">
      <c r="V31" s="1251"/>
      <c r="W31" s="12"/>
      <c r="X31" s="419" t="s">
        <v>1100</v>
      </c>
      <c r="Y31" s="663" t="s">
        <v>331</v>
      </c>
      <c r="Z31" s="419"/>
      <c r="AA31" s="53"/>
    </row>
    <row r="32" spans="1:27" ht="15.95" customHeight="1" x14ac:dyDescent="0.25">
      <c r="V32" s="87"/>
      <c r="W32" s="424"/>
      <c r="X32" s="2146" t="s">
        <v>17938</v>
      </c>
      <c r="Y32" s="2344"/>
      <c r="Z32" s="2128"/>
      <c r="AA32" s="2147"/>
    </row>
    <row r="33" spans="22:27" ht="15.95" customHeight="1" x14ac:dyDescent="0.25">
      <c r="V33" s="87"/>
      <c r="W33" s="424"/>
      <c r="X33" s="1444" t="s">
        <v>17930</v>
      </c>
      <c r="Y33" s="2340">
        <f>Subject_GBA</f>
        <v>220514</v>
      </c>
      <c r="Z33" s="1445"/>
      <c r="AA33" s="2147"/>
    </row>
    <row r="34" spans="22:27" ht="15.95" customHeight="1" thickBot="1" x14ac:dyDescent="0.3">
      <c r="V34" s="87"/>
      <c r="W34" s="424"/>
      <c r="X34" s="1191" t="s">
        <v>17935</v>
      </c>
      <c r="Y34" s="1190">
        <f>Y32*Y33</f>
        <v>0</v>
      </c>
      <c r="Z34" s="1461"/>
      <c r="AA34" s="2147"/>
    </row>
    <row r="35" spans="22:27" ht="15" thickBot="1" x14ac:dyDescent="0.3">
      <c r="V35" s="646"/>
      <c r="W35" s="647"/>
      <c r="X35" s="643" t="s">
        <v>17936</v>
      </c>
      <c r="Y35" s="653"/>
      <c r="Z35" s="653"/>
      <c r="AA35" s="653"/>
    </row>
  </sheetData>
  <mergeCells count="14">
    <mergeCell ref="E8:F8"/>
    <mergeCell ref="E7:F7"/>
    <mergeCell ref="E12:F12"/>
    <mergeCell ref="G12:H12"/>
    <mergeCell ref="E10:F10"/>
    <mergeCell ref="E9:F9"/>
    <mergeCell ref="G8:H8"/>
    <mergeCell ref="G9:H9"/>
    <mergeCell ref="G10:H10"/>
    <mergeCell ref="E5:F5"/>
    <mergeCell ref="G5:H5"/>
    <mergeCell ref="G6:H6"/>
    <mergeCell ref="G7:H7"/>
    <mergeCell ref="E6:F6"/>
  </mergeCells>
  <pageMargins left="0.7" right="0.7" top="0.75" bottom="0.75" header="0.3" footer="0.3"/>
  <drawing r:id="rId1"/>
  <legacy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5">
    <tabColor theme="9" tint="-0.499984740745262"/>
    <pageSetUpPr fitToPage="1"/>
  </sheetPr>
  <dimension ref="A1:V95"/>
  <sheetViews>
    <sheetView zoomScaleNormal="100" workbookViewId="0">
      <selection activeCell="AA9" sqref="AA9"/>
    </sheetView>
  </sheetViews>
  <sheetFormatPr defaultColWidth="9.140625" defaultRowHeight="14.25" x14ac:dyDescent="0.25"/>
  <cols>
    <col min="1" max="1" width="5.7109375" style="41" customWidth="1"/>
    <col min="2" max="2" width="1.7109375" style="10" customWidth="1"/>
    <col min="3" max="3" width="0.85546875" style="10" customWidth="1"/>
    <col min="4" max="4" width="20.7109375" style="10" customWidth="1"/>
    <col min="5" max="5" width="1.7109375" style="10" customWidth="1"/>
    <col min="6" max="6" width="14.7109375" style="10" customWidth="1"/>
    <col min="7" max="7" width="1.7109375" style="10" customWidth="1"/>
    <col min="8" max="8" width="14.7109375" style="10" customWidth="1"/>
    <col min="9" max="9" width="0.85546875" style="10" customWidth="1"/>
    <col min="10" max="10" width="1.7109375" style="10" customWidth="1"/>
    <col min="11" max="11" width="9.7109375" style="10" customWidth="1"/>
    <col min="12" max="12" width="0.85546875" style="10" customWidth="1"/>
    <col min="13" max="13" width="1.7109375" style="10" customWidth="1"/>
    <col min="14" max="14" width="9.7109375" style="10" customWidth="1"/>
    <col min="15" max="15" width="2.7109375" style="13" customWidth="1"/>
    <col min="16" max="16" width="10.7109375" style="10" customWidth="1"/>
    <col min="17" max="17" width="0.85546875" style="10" customWidth="1"/>
    <col min="18" max="18" width="1.7109375" style="10" customWidth="1"/>
    <col min="19" max="19" width="3.7109375" style="10" customWidth="1"/>
    <col min="20" max="20" width="14.7109375" style="13" customWidth="1"/>
    <col min="21" max="21" width="0.85546875" style="10" customWidth="1"/>
    <col min="22" max="22" width="1.7109375" style="10" customWidth="1"/>
    <col min="23" max="16384" width="9.140625" style="10"/>
  </cols>
  <sheetData>
    <row r="1" spans="1:20" ht="60" customHeight="1" x14ac:dyDescent="0.25"/>
    <row r="2" spans="1:20" ht="15" customHeight="1" thickBot="1" x14ac:dyDescent="0.3"/>
    <row r="3" spans="1:20" ht="15" customHeight="1" x14ac:dyDescent="0.3">
      <c r="B3" s="1"/>
      <c r="C3" s="2"/>
      <c r="D3" s="2"/>
      <c r="E3" s="2"/>
      <c r="F3" s="2"/>
      <c r="G3" s="2"/>
      <c r="H3" s="2"/>
      <c r="I3" s="2"/>
      <c r="J3" s="2"/>
      <c r="K3" s="2"/>
      <c r="L3" s="2"/>
      <c r="M3" s="2"/>
      <c r="N3" s="2"/>
      <c r="O3" s="202"/>
      <c r="P3" s="2"/>
      <c r="Q3" s="2"/>
      <c r="R3" s="3"/>
      <c r="T3" s="17"/>
    </row>
    <row r="4" spans="1:20" ht="15" customHeight="1" x14ac:dyDescent="0.3">
      <c r="B4" s="4"/>
      <c r="C4" s="5"/>
      <c r="D4" s="3779" t="s">
        <v>1153</v>
      </c>
      <c r="E4" s="246"/>
      <c r="F4" s="246"/>
      <c r="G4" s="246"/>
      <c r="H4" s="246"/>
      <c r="I4" s="246"/>
      <c r="J4" s="246"/>
      <c r="K4" s="5"/>
      <c r="L4" s="5"/>
      <c r="M4" s="5"/>
      <c r="N4" s="5"/>
      <c r="O4" s="39"/>
      <c r="P4" s="5"/>
      <c r="Q4" s="5"/>
      <c r="R4" s="6"/>
      <c r="T4" s="17"/>
    </row>
    <row r="5" spans="1:20" ht="15" customHeight="1" x14ac:dyDescent="0.25">
      <c r="A5" s="957">
        <v>1</v>
      </c>
      <c r="B5" s="4"/>
      <c r="C5" s="3777"/>
      <c r="D5" s="3777"/>
      <c r="E5" s="3777"/>
      <c r="F5" s="3767"/>
      <c r="G5" s="3767"/>
      <c r="H5" s="3767" t="s">
        <v>1479</v>
      </c>
      <c r="I5" s="3776"/>
      <c r="J5" s="3776"/>
      <c r="K5" s="4155" t="s">
        <v>1478</v>
      </c>
      <c r="L5" s="4155"/>
      <c r="M5" s="4155"/>
      <c r="N5" s="4155"/>
      <c r="O5" s="3781"/>
      <c r="P5" s="3767" t="s">
        <v>93</v>
      </c>
      <c r="Q5" s="3777"/>
      <c r="R5" s="6"/>
      <c r="T5" s="4156" t="s">
        <v>1146</v>
      </c>
    </row>
    <row r="6" spans="1:20" ht="15" customHeight="1" thickBot="1" x14ac:dyDescent="0.3">
      <c r="A6" s="957">
        <v>1</v>
      </c>
      <c r="B6" s="4"/>
      <c r="C6" s="3777"/>
      <c r="D6" s="3777" t="s">
        <v>232</v>
      </c>
      <c r="E6" s="3777"/>
      <c r="F6" s="3767" t="s">
        <v>216</v>
      </c>
      <c r="G6" s="3767"/>
      <c r="H6" s="3767" t="s">
        <v>212</v>
      </c>
      <c r="I6" s="3776"/>
      <c r="J6" s="3776"/>
      <c r="K6" s="3767" t="s">
        <v>60</v>
      </c>
      <c r="L6" s="3767"/>
      <c r="M6" s="3767"/>
      <c r="N6" s="3767" t="s">
        <v>189</v>
      </c>
      <c r="O6" s="3781"/>
      <c r="P6" s="3767" t="s">
        <v>1065</v>
      </c>
      <c r="Q6" s="3777"/>
      <c r="R6" s="6"/>
      <c r="T6" s="4157"/>
    </row>
    <row r="7" spans="1:20" ht="15.95" customHeight="1" x14ac:dyDescent="0.25">
      <c r="A7" s="957">
        <f>IF(F7="",0,1)</f>
        <v>1</v>
      </c>
      <c r="B7" s="4"/>
      <c r="C7" s="258"/>
      <c r="D7" s="3346" t="s">
        <v>20040</v>
      </c>
      <c r="E7" s="3346"/>
      <c r="F7" s="3956">
        <v>275000</v>
      </c>
      <c r="G7" s="260" t="s">
        <v>176</v>
      </c>
      <c r="H7" s="3958">
        <v>1.55</v>
      </c>
      <c r="I7" s="4151" t="s">
        <v>176</v>
      </c>
      <c r="J7" s="4152"/>
      <c r="K7" s="3959">
        <v>1.04</v>
      </c>
      <c r="L7" s="4158" t="s">
        <v>176</v>
      </c>
      <c r="M7" s="4158"/>
      <c r="N7" s="3959">
        <v>1</v>
      </c>
      <c r="O7" s="260" t="s">
        <v>177</v>
      </c>
      <c r="P7" s="3348">
        <f>ROUND(Cost_SiteImpQuantity1*Cost_SiteImpUnitCost1*K7*N7,0)</f>
        <v>443300</v>
      </c>
      <c r="Q7" s="258"/>
      <c r="R7" s="6"/>
      <c r="S7" s="96"/>
      <c r="T7" s="576" t="s">
        <v>140</v>
      </c>
    </row>
    <row r="8" spans="1:20" ht="15.95" customHeight="1" x14ac:dyDescent="0.25">
      <c r="A8" s="957">
        <f>IF(F8="",0,1)</f>
        <v>1</v>
      </c>
      <c r="B8" s="4"/>
      <c r="C8" s="258"/>
      <c r="D8" s="3346" t="s">
        <v>20041</v>
      </c>
      <c r="E8" s="3346"/>
      <c r="F8" s="3956">
        <v>64000</v>
      </c>
      <c r="G8" s="260" t="s">
        <v>176</v>
      </c>
      <c r="H8" s="3958">
        <v>3.07</v>
      </c>
      <c r="I8" s="4151" t="s">
        <v>176</v>
      </c>
      <c r="J8" s="4152"/>
      <c r="K8" s="3959">
        <v>1.04</v>
      </c>
      <c r="L8" s="4158" t="s">
        <v>176</v>
      </c>
      <c r="M8" s="4158"/>
      <c r="N8" s="3959">
        <v>1</v>
      </c>
      <c r="O8" s="260" t="s">
        <v>177</v>
      </c>
      <c r="P8" s="3348">
        <f>ROUND(Cost_SiteImpQuantity2*Cost_SiteImpUnitCost2*K8*N8,0)</f>
        <v>204339</v>
      </c>
      <c r="Q8" s="258"/>
      <c r="R8" s="6"/>
      <c r="S8" s="96"/>
      <c r="T8" s="876" t="s">
        <v>140</v>
      </c>
    </row>
    <row r="9" spans="1:20" ht="15.95" customHeight="1" x14ac:dyDescent="0.25">
      <c r="A9" s="957">
        <f t="shared" ref="A9:A16" si="0">IF(F9="",0,1)</f>
        <v>1</v>
      </c>
      <c r="B9" s="4"/>
      <c r="C9" s="258"/>
      <c r="D9" s="3346" t="s">
        <v>20042</v>
      </c>
      <c r="E9" s="3346"/>
      <c r="F9" s="3957">
        <v>25</v>
      </c>
      <c r="G9" s="260" t="s">
        <v>176</v>
      </c>
      <c r="H9" s="3348">
        <v>4000</v>
      </c>
      <c r="I9" s="4151" t="s">
        <v>176</v>
      </c>
      <c r="J9" s="4152"/>
      <c r="K9" s="3959">
        <v>1.04</v>
      </c>
      <c r="L9" s="4158" t="s">
        <v>176</v>
      </c>
      <c r="M9" s="4158"/>
      <c r="N9" s="3959">
        <v>1</v>
      </c>
      <c r="O9" s="260" t="s">
        <v>177</v>
      </c>
      <c r="P9" s="3348">
        <f>ROUND(Cost_SiteImpQuantity3*Cost_SiteImpUnitCost3*K9*N9,0)</f>
        <v>104000</v>
      </c>
      <c r="Q9" s="258"/>
      <c r="R9" s="6"/>
      <c r="S9" s="96"/>
      <c r="T9" s="876" t="s">
        <v>224</v>
      </c>
    </row>
    <row r="10" spans="1:20" ht="15.95" hidden="1" customHeight="1" x14ac:dyDescent="0.25">
      <c r="A10" s="957">
        <f t="shared" si="0"/>
        <v>0</v>
      </c>
      <c r="B10" s="4"/>
      <c r="C10" s="258"/>
      <c r="D10" s="3346" t="s">
        <v>214</v>
      </c>
      <c r="E10" s="3346"/>
      <c r="F10" s="3956"/>
      <c r="G10" s="260" t="s">
        <v>176</v>
      </c>
      <c r="H10" s="3958"/>
      <c r="I10" s="4151" t="s">
        <v>176</v>
      </c>
      <c r="J10" s="4152"/>
      <c r="K10" s="3959"/>
      <c r="L10" s="4158" t="s">
        <v>176</v>
      </c>
      <c r="M10" s="4158"/>
      <c r="N10" s="3959"/>
      <c r="O10" s="260" t="s">
        <v>177</v>
      </c>
      <c r="P10" s="3348">
        <f>ROUND(Cost_SiteImpQuantity4*Cost_SiteImpUnitCost4*K10*N10,0)</f>
        <v>0</v>
      </c>
      <c r="Q10" s="258"/>
      <c r="R10" s="6"/>
      <c r="S10" s="96"/>
      <c r="T10" s="876" t="s">
        <v>140</v>
      </c>
    </row>
    <row r="11" spans="1:20" ht="15.95" hidden="1" customHeight="1" x14ac:dyDescent="0.25">
      <c r="A11" s="957">
        <f t="shared" si="0"/>
        <v>0</v>
      </c>
      <c r="B11" s="4"/>
      <c r="C11" s="258"/>
      <c r="D11" s="3346" t="s">
        <v>215</v>
      </c>
      <c r="E11" s="3346"/>
      <c r="F11" s="3956"/>
      <c r="G11" s="260" t="s">
        <v>176</v>
      </c>
      <c r="H11" s="3958"/>
      <c r="I11" s="4151" t="s">
        <v>176</v>
      </c>
      <c r="J11" s="4152"/>
      <c r="K11" s="3959"/>
      <c r="L11" s="4158" t="s">
        <v>176</v>
      </c>
      <c r="M11" s="4158"/>
      <c r="N11" s="3959"/>
      <c r="O11" s="260" t="s">
        <v>177</v>
      </c>
      <c r="P11" s="3348">
        <f>ROUND(Cost_SiteImpQuantity5*Cost_SiteImpUnitCost5*K11*N11,0)</f>
        <v>0</v>
      </c>
      <c r="Q11" s="258"/>
      <c r="R11" s="6"/>
      <c r="S11" s="96"/>
      <c r="T11" s="876" t="s">
        <v>140</v>
      </c>
    </row>
    <row r="12" spans="1:20" ht="15.95" hidden="1" customHeight="1" x14ac:dyDescent="0.25">
      <c r="A12" s="957">
        <f t="shared" si="0"/>
        <v>0</v>
      </c>
      <c r="B12" s="4"/>
      <c r="C12" s="258"/>
      <c r="D12" s="3346" t="s">
        <v>217</v>
      </c>
      <c r="E12" s="3346"/>
      <c r="F12" s="3956"/>
      <c r="G12" s="260" t="s">
        <v>176</v>
      </c>
      <c r="H12" s="3958"/>
      <c r="I12" s="4151" t="s">
        <v>176</v>
      </c>
      <c r="J12" s="4152"/>
      <c r="K12" s="3959"/>
      <c r="L12" s="4158" t="s">
        <v>176</v>
      </c>
      <c r="M12" s="4158"/>
      <c r="N12" s="3959"/>
      <c r="O12" s="260" t="s">
        <v>177</v>
      </c>
      <c r="P12" s="3348">
        <f>ROUND(Cost_SiteImpQuantity6*Cost_SiteImpUnitCost6*K12*N12,0)</f>
        <v>0</v>
      </c>
      <c r="Q12" s="258"/>
      <c r="R12" s="6"/>
      <c r="S12" s="96"/>
      <c r="T12" s="876" t="s">
        <v>140</v>
      </c>
    </row>
    <row r="13" spans="1:20" ht="15.95" hidden="1" customHeight="1" x14ac:dyDescent="0.25">
      <c r="A13" s="957">
        <f t="shared" si="0"/>
        <v>0</v>
      </c>
      <c r="B13" s="4"/>
      <c r="C13" s="258"/>
      <c r="D13" s="3346" t="s">
        <v>218</v>
      </c>
      <c r="E13" s="3346"/>
      <c r="F13" s="3956"/>
      <c r="G13" s="260" t="s">
        <v>176</v>
      </c>
      <c r="H13" s="3958"/>
      <c r="I13" s="4151" t="s">
        <v>176</v>
      </c>
      <c r="J13" s="4152"/>
      <c r="K13" s="3959"/>
      <c r="L13" s="4158" t="s">
        <v>176</v>
      </c>
      <c r="M13" s="4158"/>
      <c r="N13" s="3959"/>
      <c r="O13" s="260" t="s">
        <v>177</v>
      </c>
      <c r="P13" s="3348">
        <f>ROUND(Cost_SiteImpQuantity7*Cost_SiteImpUnitCost7*K13*N13,0)</f>
        <v>0</v>
      </c>
      <c r="Q13" s="258"/>
      <c r="R13" s="6"/>
      <c r="S13" s="96"/>
      <c r="T13" s="876" t="s">
        <v>140</v>
      </c>
    </row>
    <row r="14" spans="1:20" ht="15.95" hidden="1" customHeight="1" x14ac:dyDescent="0.25">
      <c r="A14" s="957">
        <f t="shared" si="0"/>
        <v>0</v>
      </c>
      <c r="B14" s="4"/>
      <c r="C14" s="258"/>
      <c r="D14" s="3346" t="s">
        <v>219</v>
      </c>
      <c r="E14" s="3346"/>
      <c r="F14" s="3956"/>
      <c r="G14" s="260" t="s">
        <v>176</v>
      </c>
      <c r="H14" s="3958"/>
      <c r="I14" s="4151" t="s">
        <v>176</v>
      </c>
      <c r="J14" s="4152"/>
      <c r="K14" s="3959"/>
      <c r="L14" s="4158" t="s">
        <v>176</v>
      </c>
      <c r="M14" s="4158"/>
      <c r="N14" s="3959"/>
      <c r="O14" s="260" t="s">
        <v>177</v>
      </c>
      <c r="P14" s="3348">
        <f>ROUND(Cost_SiteImpQuantity8*Cost_SiteImpUnitCost8*K14*N14,0)</f>
        <v>0</v>
      </c>
      <c r="Q14" s="258"/>
      <c r="R14" s="6"/>
      <c r="S14" s="96"/>
      <c r="T14" s="876" t="s">
        <v>140</v>
      </c>
    </row>
    <row r="15" spans="1:20" ht="15.95" hidden="1" customHeight="1" x14ac:dyDescent="0.25">
      <c r="A15" s="957">
        <f t="shared" si="0"/>
        <v>0</v>
      </c>
      <c r="B15" s="4"/>
      <c r="C15" s="258"/>
      <c r="D15" s="3346" t="s">
        <v>220</v>
      </c>
      <c r="E15" s="3346"/>
      <c r="F15" s="3956"/>
      <c r="G15" s="260" t="s">
        <v>176</v>
      </c>
      <c r="H15" s="3958"/>
      <c r="I15" s="4151" t="s">
        <v>176</v>
      </c>
      <c r="J15" s="4152"/>
      <c r="K15" s="3959"/>
      <c r="L15" s="4158" t="s">
        <v>176</v>
      </c>
      <c r="M15" s="4158"/>
      <c r="N15" s="3959"/>
      <c r="O15" s="260" t="s">
        <v>177</v>
      </c>
      <c r="P15" s="3348">
        <f>ROUND(Cost_SiteImpQuantity9*Cost_SiteImpUnitCost9*K15*N15,0)</f>
        <v>0</v>
      </c>
      <c r="Q15" s="258"/>
      <c r="R15" s="6"/>
      <c r="S15" s="96"/>
      <c r="T15" s="876" t="s">
        <v>140</v>
      </c>
    </row>
    <row r="16" spans="1:20" ht="15.95" hidden="1" customHeight="1" thickBot="1" x14ac:dyDescent="0.3">
      <c r="A16" s="957">
        <f t="shared" si="0"/>
        <v>0</v>
      </c>
      <c r="B16" s="4"/>
      <c r="C16" s="258"/>
      <c r="D16" s="3346" t="s">
        <v>221</v>
      </c>
      <c r="E16" s="3346"/>
      <c r="F16" s="3956"/>
      <c r="G16" s="260" t="s">
        <v>176</v>
      </c>
      <c r="H16" s="3958"/>
      <c r="I16" s="4151" t="s">
        <v>176</v>
      </c>
      <c r="J16" s="4152"/>
      <c r="K16" s="3959"/>
      <c r="L16" s="4158" t="s">
        <v>176</v>
      </c>
      <c r="M16" s="4158"/>
      <c r="N16" s="3959"/>
      <c r="O16" s="260" t="s">
        <v>177</v>
      </c>
      <c r="P16" s="3348">
        <f>ROUND(Cost_SiteImpQuantity10*Cost_SiteImpUnitCost10*K16*N16,0)</f>
        <v>0</v>
      </c>
      <c r="Q16" s="258"/>
      <c r="R16" s="6"/>
      <c r="S16" s="96"/>
      <c r="T16" s="877" t="s">
        <v>140</v>
      </c>
    </row>
    <row r="17" spans="1:18" ht="15.95" customHeight="1" thickBot="1" x14ac:dyDescent="0.3">
      <c r="A17" s="957">
        <v>1</v>
      </c>
      <c r="B17" s="4"/>
      <c r="C17" s="258"/>
      <c r="D17" s="3349" t="s">
        <v>1134</v>
      </c>
      <c r="E17" s="3349"/>
      <c r="F17" s="3350"/>
      <c r="G17" s="3351"/>
      <c r="H17" s="3350"/>
      <c r="I17" s="3350"/>
      <c r="J17" s="3350"/>
      <c r="K17" s="3350"/>
      <c r="L17" s="3350"/>
      <c r="M17" s="3350"/>
      <c r="N17" s="3350"/>
      <c r="O17" s="3351"/>
      <c r="P17" s="3352">
        <f>SUM('Other RCN'!P7:P16)</f>
        <v>751639</v>
      </c>
      <c r="Q17" s="258"/>
      <c r="R17" s="6"/>
    </row>
    <row r="18" spans="1:18" ht="20.100000000000001" customHeight="1" x14ac:dyDescent="0.25">
      <c r="A18" s="957">
        <v>1</v>
      </c>
      <c r="B18" s="4"/>
      <c r="C18" s="5"/>
      <c r="D18" s="1441" t="s">
        <v>1137</v>
      </c>
      <c r="E18" s="1441"/>
      <c r="F18" s="19"/>
      <c r="G18" s="19"/>
      <c r="H18" s="19"/>
      <c r="I18" s="19"/>
      <c r="J18" s="19"/>
      <c r="K18" s="19"/>
      <c r="L18" s="19"/>
      <c r="M18" s="19"/>
      <c r="N18" s="19"/>
      <c r="O18" s="39"/>
      <c r="P18" s="19"/>
      <c r="Q18" s="5"/>
      <c r="R18" s="6"/>
    </row>
    <row r="19" spans="1:18" ht="15.95" customHeight="1" thickBot="1" x14ac:dyDescent="0.3">
      <c r="A19" s="957">
        <v>1</v>
      </c>
      <c r="B19" s="8"/>
      <c r="C19" s="7"/>
      <c r="D19" s="641" t="s">
        <v>1480</v>
      </c>
      <c r="E19" s="615"/>
      <c r="F19" s="800"/>
      <c r="G19" s="800"/>
      <c r="H19" s="800"/>
      <c r="I19" s="800"/>
      <c r="J19" s="800"/>
      <c r="K19" s="800"/>
      <c r="L19" s="800"/>
      <c r="M19" s="800"/>
      <c r="N19" s="800"/>
      <c r="O19" s="14"/>
      <c r="P19" s="800"/>
      <c r="Q19" s="7"/>
      <c r="R19" s="9"/>
    </row>
    <row r="20" spans="1:18" ht="15" thickBot="1" x14ac:dyDescent="0.3">
      <c r="A20" s="957">
        <v>1</v>
      </c>
    </row>
    <row r="21" spans="1:18" x14ac:dyDescent="0.25">
      <c r="A21" s="957">
        <v>1</v>
      </c>
      <c r="B21" s="1"/>
      <c r="C21" s="2"/>
      <c r="D21" s="2"/>
      <c r="E21" s="2"/>
      <c r="F21" s="2"/>
      <c r="G21" s="2"/>
      <c r="H21" s="2"/>
      <c r="I21" s="2"/>
      <c r="J21" s="2"/>
      <c r="K21" s="2"/>
      <c r="L21" s="2"/>
      <c r="M21" s="3"/>
      <c r="N21" s="228"/>
    </row>
    <row r="22" spans="1:18" ht="16.5" x14ac:dyDescent="0.3">
      <c r="A22" s="957">
        <v>1</v>
      </c>
      <c r="B22" s="4"/>
      <c r="C22" s="5"/>
      <c r="D22" s="3779" t="s">
        <v>1412</v>
      </c>
      <c r="E22" s="246"/>
      <c r="F22" s="5"/>
      <c r="G22" s="5"/>
      <c r="H22" s="5"/>
      <c r="I22" s="5"/>
      <c r="J22" s="5"/>
      <c r="K22" s="5"/>
      <c r="L22" s="5"/>
      <c r="M22" s="6"/>
      <c r="N22" s="228"/>
    </row>
    <row r="23" spans="1:18" ht="28.5" x14ac:dyDescent="0.25">
      <c r="A23" s="957">
        <v>1</v>
      </c>
      <c r="B23" s="4"/>
      <c r="C23" s="3777"/>
      <c r="D23" s="3777" t="s">
        <v>232</v>
      </c>
      <c r="E23" s="3777"/>
      <c r="F23" s="3950" t="s">
        <v>1195</v>
      </c>
      <c r="G23" s="3767"/>
      <c r="H23" s="3781" t="s">
        <v>396</v>
      </c>
      <c r="I23" s="3767"/>
      <c r="J23" s="3767"/>
      <c r="K23" s="3887" t="s">
        <v>213</v>
      </c>
      <c r="L23" s="3767"/>
      <c r="M23" s="1436"/>
      <c r="N23" s="1438"/>
      <c r="O23" s="150"/>
      <c r="P23" s="55"/>
      <c r="Q23" s="12"/>
    </row>
    <row r="24" spans="1:18" ht="15.95" hidden="1" customHeight="1" x14ac:dyDescent="0.25">
      <c r="A24" s="957">
        <f>IF(K24="",0,1)</f>
        <v>0</v>
      </c>
      <c r="B24" s="4"/>
      <c r="C24" s="258"/>
      <c r="D24" s="258" t="s">
        <v>19903</v>
      </c>
      <c r="E24" s="258"/>
      <c r="F24" s="423"/>
      <c r="G24" s="258"/>
      <c r="H24" s="258"/>
      <c r="I24" s="258"/>
      <c r="J24" s="258"/>
      <c r="K24" s="3220"/>
      <c r="L24" s="258"/>
      <c r="M24" s="6"/>
      <c r="N24" s="228"/>
    </row>
    <row r="25" spans="1:18" ht="15.95" hidden="1" customHeight="1" x14ac:dyDescent="0.25">
      <c r="A25" s="957">
        <f>IF(K25="",0,1)</f>
        <v>0</v>
      </c>
      <c r="B25" s="4"/>
      <c r="C25" s="258"/>
      <c r="D25" s="258" t="s">
        <v>104</v>
      </c>
      <c r="E25" s="258"/>
      <c r="F25" s="423"/>
      <c r="G25" s="258"/>
      <c r="H25" s="258"/>
      <c r="I25" s="258"/>
      <c r="J25" s="258"/>
      <c r="K25" s="3220"/>
      <c r="L25" s="258"/>
      <c r="M25" s="6"/>
      <c r="N25" s="228"/>
    </row>
    <row r="26" spans="1:18" ht="15.95" hidden="1" customHeight="1" x14ac:dyDescent="0.25">
      <c r="A26" s="957">
        <f>IF(K26="",0,1)</f>
        <v>0</v>
      </c>
      <c r="B26" s="4"/>
      <c r="C26" s="258"/>
      <c r="D26" s="258" t="s">
        <v>187</v>
      </c>
      <c r="E26" s="258"/>
      <c r="F26" s="423"/>
      <c r="G26" s="258"/>
      <c r="H26" s="258"/>
      <c r="I26" s="258"/>
      <c r="J26" s="258"/>
      <c r="K26" s="3220"/>
      <c r="L26" s="258"/>
      <c r="M26" s="6"/>
      <c r="N26" s="228"/>
    </row>
    <row r="27" spans="1:18" ht="15.95" hidden="1" customHeight="1" x14ac:dyDescent="0.25">
      <c r="A27" s="957">
        <f>IF(K27="",0,1)</f>
        <v>0</v>
      </c>
      <c r="B27" s="4"/>
      <c r="C27" s="258"/>
      <c r="D27" s="258" t="s">
        <v>214</v>
      </c>
      <c r="E27" s="258"/>
      <c r="F27" s="423"/>
      <c r="G27" s="258"/>
      <c r="H27" s="258"/>
      <c r="I27" s="258"/>
      <c r="J27" s="258"/>
      <c r="K27" s="3220"/>
      <c r="L27" s="258"/>
      <c r="M27" s="6"/>
      <c r="N27" s="228"/>
    </row>
    <row r="28" spans="1:18" ht="15.95" hidden="1" customHeight="1" x14ac:dyDescent="0.25">
      <c r="A28" s="957">
        <f>IF(K28="",0,1)</f>
        <v>0</v>
      </c>
      <c r="B28" s="4"/>
      <c r="C28" s="258"/>
      <c r="D28" s="258" t="s">
        <v>215</v>
      </c>
      <c r="E28" s="258"/>
      <c r="F28" s="423"/>
      <c r="G28" s="258"/>
      <c r="H28" s="258"/>
      <c r="I28" s="258"/>
      <c r="J28" s="258"/>
      <c r="K28" s="3220"/>
      <c r="L28" s="258"/>
      <c r="M28" s="6"/>
      <c r="N28" s="228"/>
    </row>
    <row r="29" spans="1:18" ht="15.95" customHeight="1" x14ac:dyDescent="0.25">
      <c r="A29" s="957">
        <f>IF(dpCost_Soft_Percent="",0,1)</f>
        <v>1</v>
      </c>
      <c r="B29" s="4"/>
      <c r="C29" s="258"/>
      <c r="D29" s="3353" t="s">
        <v>1590</v>
      </c>
      <c r="E29" s="258"/>
      <c r="F29" s="3354">
        <f>dpCost_DirectBuildingCost_Total+dpCost_SiteImpCost_Total</f>
        <v>24490822</v>
      </c>
      <c r="G29" s="3220" t="s">
        <v>176</v>
      </c>
      <c r="H29" s="888">
        <v>7.0000000000000007E-2</v>
      </c>
      <c r="I29" s="4160" t="s">
        <v>177</v>
      </c>
      <c r="J29" s="4160"/>
      <c r="K29" s="2877">
        <f>ROUND((dpCost_DirectBuildingCost_Total+dpCost_SiteImpCost_Total)*dpCost_Soft_Percent,0)</f>
        <v>1714358</v>
      </c>
      <c r="L29" s="2877"/>
      <c r="M29" s="1437"/>
      <c r="N29" s="1439"/>
      <c r="O29" s="121"/>
      <c r="P29" s="1440"/>
    </row>
    <row r="30" spans="1:18" ht="15.95" customHeight="1" thickBot="1" x14ac:dyDescent="0.3">
      <c r="A30" s="957">
        <v>1</v>
      </c>
      <c r="B30" s="4"/>
      <c r="C30" s="258"/>
      <c r="D30" s="3341" t="s">
        <v>1448</v>
      </c>
      <c r="E30" s="3341"/>
      <c r="F30" s="3355"/>
      <c r="G30" s="3355"/>
      <c r="H30" s="3355"/>
      <c r="I30" s="3355"/>
      <c r="J30" s="3355"/>
      <c r="K30" s="3356">
        <f>SUM(K24:K29)</f>
        <v>1714358</v>
      </c>
      <c r="L30" s="2877"/>
      <c r="M30" s="1437"/>
      <c r="N30" s="1439"/>
      <c r="O30" s="121"/>
      <c r="P30" s="1440"/>
    </row>
    <row r="31" spans="1:18" ht="20.100000000000001" customHeight="1" thickBot="1" x14ac:dyDescent="0.3">
      <c r="A31" s="957">
        <v>1</v>
      </c>
      <c r="B31" s="8"/>
      <c r="C31" s="7"/>
      <c r="D31" s="615" t="s">
        <v>1138</v>
      </c>
      <c r="E31" s="615"/>
      <c r="F31" s="7"/>
      <c r="G31" s="7"/>
      <c r="H31" s="7"/>
      <c r="I31" s="7"/>
      <c r="J31" s="7"/>
      <c r="K31" s="7"/>
      <c r="L31" s="7"/>
      <c r="M31" s="9"/>
      <c r="N31" s="228"/>
    </row>
    <row r="32" spans="1:18" ht="15" thickBot="1" x14ac:dyDescent="0.3">
      <c r="A32" s="957">
        <v>1</v>
      </c>
    </row>
    <row r="33" spans="1:20" x14ac:dyDescent="0.25">
      <c r="A33" s="957">
        <v>1</v>
      </c>
      <c r="B33" s="1"/>
      <c r="C33" s="2"/>
      <c r="D33" s="202"/>
      <c r="E33" s="202"/>
      <c r="F33" s="202"/>
      <c r="G33" s="202"/>
      <c r="H33" s="202"/>
      <c r="I33" s="202"/>
      <c r="J33" s="202"/>
      <c r="K33" s="202"/>
      <c r="L33" s="202"/>
      <c r="M33" s="117"/>
    </row>
    <row r="34" spans="1:20" ht="16.5" x14ac:dyDescent="0.25">
      <c r="A34" s="957">
        <v>1</v>
      </c>
      <c r="B34" s="286"/>
      <c r="C34" s="528"/>
      <c r="D34" s="3758" t="s">
        <v>1148</v>
      </c>
      <c r="E34" s="430"/>
      <c r="F34" s="430"/>
      <c r="G34" s="430"/>
      <c r="H34" s="430"/>
      <c r="I34" s="430"/>
      <c r="J34" s="430"/>
      <c r="K34" s="430"/>
      <c r="L34" s="430"/>
      <c r="M34" s="882"/>
    </row>
    <row r="35" spans="1:20" ht="15.95" customHeight="1" x14ac:dyDescent="0.25">
      <c r="A35" s="957">
        <v>1</v>
      </c>
      <c r="B35" s="87"/>
      <c r="C35" s="3769"/>
      <c r="D35" s="3787" t="s">
        <v>1100</v>
      </c>
      <c r="E35" s="3787"/>
      <c r="F35" s="3787"/>
      <c r="G35" s="3787"/>
      <c r="H35" s="3776"/>
      <c r="I35" s="3776"/>
      <c r="J35" s="3776"/>
      <c r="K35" s="3951" t="s">
        <v>1139</v>
      </c>
      <c r="L35" s="3787"/>
      <c r="M35" s="883"/>
    </row>
    <row r="36" spans="1:20" ht="15.95" customHeight="1" x14ac:dyDescent="0.25">
      <c r="A36" s="957">
        <v>1</v>
      </c>
      <c r="B36" s="87"/>
      <c r="C36" s="259"/>
      <c r="D36" s="259" t="s">
        <v>1140</v>
      </c>
      <c r="E36" s="259"/>
      <c r="F36" s="259"/>
      <c r="G36" s="259"/>
      <c r="H36" s="258"/>
      <c r="I36" s="258"/>
      <c r="J36" s="4153">
        <f>dpCost_DirectBuildingCost_Total</f>
        <v>23739183</v>
      </c>
      <c r="K36" s="4153"/>
      <c r="L36" s="259"/>
      <c r="M36" s="89"/>
    </row>
    <row r="37" spans="1:20" ht="15.95" customHeight="1" x14ac:dyDescent="0.25">
      <c r="A37" s="957">
        <v>1</v>
      </c>
      <c r="B37" s="87"/>
      <c r="C37" s="259"/>
      <c r="D37" s="259" t="s">
        <v>1141</v>
      </c>
      <c r="E37" s="259"/>
      <c r="F37" s="259"/>
      <c r="G37" s="259"/>
      <c r="H37" s="258"/>
      <c r="I37" s="258"/>
      <c r="J37" s="4153">
        <f>dpCost_SiteImpCost_Total</f>
        <v>751639</v>
      </c>
      <c r="K37" s="4153"/>
      <c r="L37" s="259"/>
      <c r="M37" s="89"/>
    </row>
    <row r="38" spans="1:20" ht="15.95" customHeight="1" x14ac:dyDescent="0.25">
      <c r="A38" s="957">
        <v>1</v>
      </c>
      <c r="B38" s="87"/>
      <c r="C38" s="259"/>
      <c r="D38" s="3357" t="s">
        <v>1412</v>
      </c>
      <c r="E38" s="259"/>
      <c r="F38" s="259"/>
      <c r="G38" s="259"/>
      <c r="H38" s="258"/>
      <c r="I38" s="258"/>
      <c r="J38" s="4161">
        <f>dpCost_IndirectCost_Total</f>
        <v>1714358</v>
      </c>
      <c r="K38" s="4161"/>
      <c r="L38" s="259"/>
      <c r="M38" s="89"/>
    </row>
    <row r="39" spans="1:20" ht="15.95" customHeight="1" thickBot="1" x14ac:dyDescent="0.3">
      <c r="A39" s="957">
        <v>1</v>
      </c>
      <c r="B39" s="87"/>
      <c r="C39" s="259"/>
      <c r="D39" s="3349" t="s">
        <v>1154</v>
      </c>
      <c r="E39" s="3349"/>
      <c r="F39" s="3349"/>
      <c r="G39" s="3349"/>
      <c r="H39" s="3349"/>
      <c r="I39" s="3349"/>
      <c r="J39" s="4162">
        <f>SUM(J36:K38)</f>
        <v>26205180</v>
      </c>
      <c r="K39" s="4162"/>
      <c r="L39" s="259"/>
      <c r="M39" s="89"/>
    </row>
    <row r="40" spans="1:20" ht="20.100000000000001" customHeight="1" thickBot="1" x14ac:dyDescent="0.3">
      <c r="A40" s="957">
        <v>1</v>
      </c>
      <c r="B40" s="8"/>
      <c r="C40" s="7"/>
      <c r="D40" s="732" t="s">
        <v>1376</v>
      </c>
      <c r="E40" s="732"/>
      <c r="F40" s="732"/>
      <c r="G40" s="732"/>
      <c r="H40" s="732"/>
      <c r="I40" s="732"/>
      <c r="J40" s="732"/>
      <c r="K40" s="732"/>
      <c r="L40" s="643"/>
      <c r="M40" s="884"/>
    </row>
    <row r="41" spans="1:20" ht="15" thickBot="1" x14ac:dyDescent="0.3">
      <c r="A41" s="957">
        <v>1</v>
      </c>
    </row>
    <row r="42" spans="1:20" x14ac:dyDescent="0.25">
      <c r="A42" s="957">
        <v>1</v>
      </c>
      <c r="B42" s="1"/>
      <c r="C42" s="2"/>
      <c r="D42" s="202"/>
      <c r="E42" s="202"/>
      <c r="F42" s="202"/>
      <c r="G42" s="202"/>
      <c r="H42" s="202"/>
      <c r="I42" s="202"/>
      <c r="J42" s="202"/>
      <c r="K42" s="228"/>
    </row>
    <row r="43" spans="1:20" ht="16.5" x14ac:dyDescent="0.3">
      <c r="A43" s="957">
        <v>1</v>
      </c>
      <c r="B43" s="286"/>
      <c r="C43" s="528"/>
      <c r="D43" s="3886" t="s">
        <v>17931</v>
      </c>
      <c r="E43" s="430"/>
      <c r="F43" s="430"/>
      <c r="G43" s="430"/>
      <c r="H43" s="430"/>
      <c r="I43" s="430"/>
      <c r="J43" s="430"/>
      <c r="K43" s="2373"/>
      <c r="L43" s="295"/>
      <c r="M43" s="295"/>
      <c r="N43" s="295"/>
      <c r="O43" s="330"/>
      <c r="P43" s="295"/>
      <c r="Q43" s="295"/>
      <c r="R43" s="518"/>
    </row>
    <row r="44" spans="1:20" s="36" customFormat="1" ht="15.95" customHeight="1" x14ac:dyDescent="0.25">
      <c r="A44" s="972">
        <v>1</v>
      </c>
      <c r="B44" s="87"/>
      <c r="C44" s="3769"/>
      <c r="D44" s="3787" t="s">
        <v>1144</v>
      </c>
      <c r="E44" s="3787"/>
      <c r="F44" s="3787"/>
      <c r="G44" s="3787"/>
      <c r="H44" s="3951" t="s">
        <v>1150</v>
      </c>
      <c r="I44" s="3787"/>
      <c r="J44" s="430"/>
      <c r="K44" s="2373"/>
      <c r="L44" s="295"/>
      <c r="O44" s="395"/>
      <c r="Q44" s="731"/>
      <c r="T44" s="395"/>
    </row>
    <row r="45" spans="1:20" s="36" customFormat="1" ht="18" customHeight="1" x14ac:dyDescent="0.25">
      <c r="A45" s="972">
        <f>IF(OR(ISERROR(H45),H45=0,H45=""),0,1)</f>
        <v>1</v>
      </c>
      <c r="B45" s="87"/>
      <c r="C45" s="259"/>
      <c r="D45" s="259" t="s">
        <v>709</v>
      </c>
      <c r="E45" s="259"/>
      <c r="F45" s="259"/>
      <c r="G45" s="259"/>
      <c r="H45" s="880">
        <f>dpCost_DICN_MSwift</f>
        <v>26205180</v>
      </c>
      <c r="I45" s="259"/>
      <c r="J45" s="681"/>
      <c r="K45" s="2374"/>
      <c r="O45" s="395"/>
      <c r="T45" s="395"/>
    </row>
    <row r="46" spans="1:20" s="36" customFormat="1" ht="18" hidden="1" customHeight="1" x14ac:dyDescent="0.25">
      <c r="A46" s="972">
        <f>IF(OR(ISERROR(H46),H46=0,H46=""),0,1)</f>
        <v>0</v>
      </c>
      <c r="B46" s="87"/>
      <c r="C46" s="259"/>
      <c r="D46" s="259" t="s">
        <v>17920</v>
      </c>
      <c r="E46" s="259"/>
      <c r="F46" s="259"/>
      <c r="G46" s="259"/>
      <c r="H46" s="880" t="str">
        <f>IF(dpCost_CostCompIndication=0,"",dpCost_CostCompIndication)</f>
        <v/>
      </c>
      <c r="I46" s="259"/>
      <c r="J46" s="681"/>
      <c r="K46" s="2374"/>
      <c r="O46" s="395"/>
      <c r="T46" s="395"/>
    </row>
    <row r="47" spans="1:20" s="36" customFormat="1" ht="18" customHeight="1" x14ac:dyDescent="0.25">
      <c r="A47" s="972">
        <f>IF(OR(ISERROR(H47),H47=0,H47=""),0,1)</f>
        <v>1</v>
      </c>
      <c r="B47" s="87"/>
      <c r="C47" s="259"/>
      <c r="D47" s="259" t="s">
        <v>1149</v>
      </c>
      <c r="E47" s="259"/>
      <c r="F47" s="259"/>
      <c r="G47" s="259"/>
      <c r="H47" s="880" t="s">
        <v>3</v>
      </c>
      <c r="I47" s="259"/>
      <c r="J47" s="681"/>
      <c r="K47" s="879"/>
      <c r="O47" s="395"/>
      <c r="T47" s="395"/>
    </row>
    <row r="48" spans="1:20" s="36" customFormat="1" ht="18" customHeight="1" x14ac:dyDescent="0.25">
      <c r="A48" s="972">
        <f>IF(SUM(A46:A47)=0,0,1)</f>
        <v>1</v>
      </c>
      <c r="B48" s="87"/>
      <c r="C48" s="259"/>
      <c r="D48" s="259" t="s">
        <v>394</v>
      </c>
      <c r="E48" s="259"/>
      <c r="F48" s="259"/>
      <c r="G48" s="259"/>
      <c r="H48" s="880">
        <f>AVERAGE(H45:H47)</f>
        <v>26205180</v>
      </c>
      <c r="I48" s="259"/>
      <c r="J48" s="681"/>
      <c r="K48" s="879"/>
      <c r="O48" s="395"/>
      <c r="T48" s="395"/>
    </row>
    <row r="49" spans="1:20" s="36" customFormat="1" ht="18" customHeight="1" x14ac:dyDescent="0.25">
      <c r="A49" s="972">
        <v>1</v>
      </c>
      <c r="B49" s="87"/>
      <c r="C49" s="259"/>
      <c r="D49" s="3359" t="str">
        <f>IF(SUM(A45:A47)=3,"Variance Between Min/Max Indications","Variance")</f>
        <v>Variance</v>
      </c>
      <c r="E49" s="3359"/>
      <c r="F49" s="3359"/>
      <c r="G49" s="3359"/>
      <c r="H49" s="3360" t="s">
        <v>3</v>
      </c>
      <c r="I49" s="259"/>
      <c r="J49" s="681"/>
      <c r="K49" s="879"/>
      <c r="O49" s="395"/>
      <c r="T49" s="395"/>
    </row>
    <row r="50" spans="1:20" s="36" customFormat="1" ht="18" customHeight="1" thickBot="1" x14ac:dyDescent="0.3">
      <c r="A50" s="972">
        <v>1</v>
      </c>
      <c r="B50" s="87"/>
      <c r="C50" s="259"/>
      <c r="D50" s="3361" t="s">
        <v>48</v>
      </c>
      <c r="E50" s="3361"/>
      <c r="F50" s="3361"/>
      <c r="G50" s="3361"/>
      <c r="H50" s="881">
        <v>26200000</v>
      </c>
      <c r="I50" s="3361"/>
      <c r="J50" s="878"/>
      <c r="K50" s="879"/>
      <c r="O50" s="395"/>
      <c r="T50" s="395"/>
    </row>
    <row r="51" spans="1:20" ht="20.100000000000001" customHeight="1" thickBot="1" x14ac:dyDescent="0.3">
      <c r="A51" s="957">
        <v>1</v>
      </c>
      <c r="B51" s="8"/>
      <c r="C51" s="7"/>
      <c r="D51" s="732" t="s">
        <v>1142</v>
      </c>
      <c r="E51" s="732"/>
      <c r="F51" s="732"/>
      <c r="G51" s="732"/>
      <c r="H51" s="732"/>
      <c r="I51" s="643"/>
      <c r="J51" s="643"/>
      <c r="K51" s="228"/>
    </row>
    <row r="52" spans="1:20" ht="15" thickBot="1" x14ac:dyDescent="0.3">
      <c r="A52" s="957">
        <v>1</v>
      </c>
    </row>
    <row r="53" spans="1:20" x14ac:dyDescent="0.25">
      <c r="A53" s="957">
        <v>1</v>
      </c>
      <c r="B53" s="1"/>
      <c r="C53" s="2"/>
      <c r="D53" s="2"/>
      <c r="E53" s="2"/>
      <c r="F53" s="2"/>
      <c r="G53" s="2"/>
      <c r="H53" s="2"/>
      <c r="I53" s="2"/>
      <c r="J53" s="3"/>
    </row>
    <row r="54" spans="1:20" ht="16.5" x14ac:dyDescent="0.3">
      <c r="A54" s="957">
        <v>1</v>
      </c>
      <c r="B54" s="4"/>
      <c r="C54" s="5"/>
      <c r="D54" s="3779" t="s">
        <v>1147</v>
      </c>
      <c r="E54" s="246"/>
      <c r="F54" s="5"/>
      <c r="G54" s="5"/>
      <c r="H54" s="5"/>
      <c r="I54" s="5"/>
      <c r="J54" s="6"/>
      <c r="T54" s="10"/>
    </row>
    <row r="55" spans="1:20" ht="29.25" x14ac:dyDescent="0.3">
      <c r="A55" s="957">
        <v>1</v>
      </c>
      <c r="B55" s="4"/>
      <c r="C55" s="3765"/>
      <c r="D55" s="3766" t="str">
        <f>RIGHT(Profit_Application_Selection,LEN(Profit_Application_Selection)-11)</f>
        <v>Replacement Cost New plus Land</v>
      </c>
      <c r="E55" s="3768"/>
      <c r="F55" s="3776"/>
      <c r="G55" s="3765"/>
      <c r="H55" s="3887" t="s">
        <v>457</v>
      </c>
      <c r="I55" s="3765"/>
      <c r="J55" s="6"/>
      <c r="S55" s="4087"/>
      <c r="T55" s="4087"/>
    </row>
    <row r="56" spans="1:20" s="36" customFormat="1" ht="18" customHeight="1" thickBot="1" x14ac:dyDescent="0.35">
      <c r="A56" s="972">
        <v>1</v>
      </c>
      <c r="B56" s="87"/>
      <c r="C56" s="259"/>
      <c r="D56" s="3362">
        <f>IF(Profit_Application=1,IF(dpCost_DICN_Reconciled="",dpCost_DICN_MSwift+dpCost_LandValue,dpCost_DICN_Reconciled+dpCost_LandValue),IF(dpCost_DICN_Reconciled="",dpCost_DICN_MSwift,dpCost_DICN_Reconciled))</f>
        <v>33000000</v>
      </c>
      <c r="E56" s="3363" t="s">
        <v>176</v>
      </c>
      <c r="F56" s="886">
        <v>0.1</v>
      </c>
      <c r="G56" s="3204" t="s">
        <v>177</v>
      </c>
      <c r="H56" s="3364">
        <f>D56*dpCost_Profit_Percent</f>
        <v>3300000</v>
      </c>
      <c r="I56" s="259"/>
      <c r="J56" s="89"/>
      <c r="O56" s="395"/>
      <c r="S56" s="4087"/>
      <c r="T56" s="4087"/>
    </row>
    <row r="57" spans="1:20" s="36" customFormat="1" ht="20.100000000000001" customHeight="1" thickBot="1" x14ac:dyDescent="0.3">
      <c r="A57" s="972">
        <v>1</v>
      </c>
      <c r="B57" s="646"/>
      <c r="C57" s="647"/>
      <c r="D57" s="885" t="s">
        <v>1143</v>
      </c>
      <c r="E57" s="885"/>
      <c r="F57" s="647"/>
      <c r="G57" s="647"/>
      <c r="H57" s="647"/>
      <c r="I57" s="647"/>
      <c r="J57" s="649"/>
      <c r="O57" s="395"/>
      <c r="T57" s="395"/>
    </row>
    <row r="58" spans="1:20" s="36" customFormat="1" ht="15" customHeight="1" thickBot="1" x14ac:dyDescent="0.3">
      <c r="A58" s="972">
        <v>1</v>
      </c>
      <c r="D58" s="1453"/>
      <c r="E58" s="1453"/>
      <c r="O58" s="395"/>
      <c r="T58" s="395"/>
    </row>
    <row r="59" spans="1:20" s="36" customFormat="1" ht="14.25" customHeight="1" x14ac:dyDescent="0.25">
      <c r="A59" s="972">
        <v>1</v>
      </c>
      <c r="B59" s="1"/>
      <c r="C59" s="2"/>
      <c r="D59" s="202"/>
      <c r="E59" s="202"/>
      <c r="F59" s="202"/>
      <c r="G59" s="202"/>
      <c r="H59" s="202"/>
      <c r="I59" s="202"/>
      <c r="J59" s="117"/>
      <c r="O59" s="395"/>
      <c r="T59" s="395"/>
    </row>
    <row r="60" spans="1:20" s="36" customFormat="1" ht="15.95" customHeight="1" x14ac:dyDescent="0.3">
      <c r="A60" s="972">
        <v>1</v>
      </c>
      <c r="B60" s="286"/>
      <c r="C60" s="528"/>
      <c r="D60" s="3886" t="s">
        <v>241</v>
      </c>
      <c r="E60" s="430"/>
      <c r="F60" s="430"/>
      <c r="G60" s="430"/>
      <c r="H60" s="430"/>
      <c r="I60" s="430"/>
      <c r="J60" s="882"/>
      <c r="O60" s="395"/>
      <c r="T60" s="395"/>
    </row>
    <row r="61" spans="1:20" s="36" customFormat="1" ht="15.95" customHeight="1" x14ac:dyDescent="0.25">
      <c r="A61" s="972">
        <v>1</v>
      </c>
      <c r="B61" s="87"/>
      <c r="C61" s="3769"/>
      <c r="D61" s="3787" t="s">
        <v>1100</v>
      </c>
      <c r="E61" s="3787"/>
      <c r="F61" s="3787"/>
      <c r="G61" s="3787"/>
      <c r="H61" s="3951" t="s">
        <v>1150</v>
      </c>
      <c r="I61" s="3787"/>
      <c r="J61" s="883"/>
      <c r="O61" s="395"/>
      <c r="T61" s="395"/>
    </row>
    <row r="62" spans="1:20" s="36" customFormat="1" ht="18" customHeight="1" x14ac:dyDescent="0.25">
      <c r="A62" s="972">
        <v>1</v>
      </c>
      <c r="B62" s="87"/>
      <c r="C62" s="259"/>
      <c r="D62" s="3357" t="s">
        <v>1150</v>
      </c>
      <c r="E62" s="259"/>
      <c r="F62" s="259"/>
      <c r="G62" s="259"/>
      <c r="H62" s="880">
        <f>IF(dpCost_DICN_Reconciled="",dpCost_DICN_MSwift,dpCost_DICN_Reconciled)</f>
        <v>26200000</v>
      </c>
      <c r="I62" s="259"/>
      <c r="J62" s="89"/>
      <c r="O62" s="395"/>
      <c r="T62" s="395"/>
    </row>
    <row r="63" spans="1:20" s="36" customFormat="1" ht="30" customHeight="1" x14ac:dyDescent="0.25">
      <c r="A63" s="972">
        <v>1</v>
      </c>
      <c r="B63" s="87"/>
      <c r="C63" s="259"/>
      <c r="D63" s="4159" t="str">
        <f>CONCATENATE("Entrepreneurial Incentive - ",TEXT(dpCost_Profit_Percent,"0.0%")," ",Profit_Application_Selection)</f>
        <v>Entrepreneurial Incentive - 10.0% Applied to Replacement Cost New plus Land</v>
      </c>
      <c r="E63" s="4159"/>
      <c r="F63" s="4159"/>
      <c r="G63" s="3359"/>
      <c r="H63" s="3365">
        <f>dpCost_Profit_Total</f>
        <v>3300000</v>
      </c>
      <c r="I63" s="259"/>
      <c r="J63" s="89"/>
      <c r="O63" s="395"/>
      <c r="T63" s="395"/>
    </row>
    <row r="64" spans="1:20" s="36" customFormat="1" ht="15.95" customHeight="1" thickBot="1" x14ac:dyDescent="0.3">
      <c r="A64" s="972">
        <v>1</v>
      </c>
      <c r="B64" s="87"/>
      <c r="C64" s="259"/>
      <c r="D64" s="3361" t="s">
        <v>48</v>
      </c>
      <c r="E64" s="3361"/>
      <c r="F64" s="3361"/>
      <c r="G64" s="3361"/>
      <c r="H64" s="881">
        <f>SUM(H62:H63)</f>
        <v>29500000</v>
      </c>
      <c r="I64" s="3361"/>
      <c r="J64" s="1454"/>
      <c r="O64" s="395"/>
      <c r="T64" s="395"/>
    </row>
    <row r="65" spans="1:22" s="36" customFormat="1" ht="20.100000000000001" customHeight="1" thickBot="1" x14ac:dyDescent="0.3">
      <c r="A65" s="972">
        <v>1</v>
      </c>
      <c r="B65" s="646"/>
      <c r="C65" s="647"/>
      <c r="D65" s="732" t="s">
        <v>1485</v>
      </c>
      <c r="E65" s="732"/>
      <c r="F65" s="732"/>
      <c r="G65" s="732"/>
      <c r="H65" s="732"/>
      <c r="I65" s="643"/>
      <c r="J65" s="884"/>
      <c r="O65" s="395"/>
      <c r="T65" s="395"/>
    </row>
    <row r="66" spans="1:22" ht="15" thickBot="1" x14ac:dyDescent="0.3">
      <c r="A66" s="972">
        <v>1</v>
      </c>
      <c r="B66" s="36"/>
      <c r="C66" s="36"/>
      <c r="D66" s="1453"/>
      <c r="E66" s="1453"/>
      <c r="F66" s="36"/>
      <c r="G66" s="36"/>
      <c r="H66" s="36"/>
      <c r="I66" s="36"/>
      <c r="J66" s="36"/>
      <c r="K66" s="36"/>
      <c r="L66" s="36"/>
      <c r="M66" s="36"/>
      <c r="N66" s="36"/>
    </row>
    <row r="67" spans="1:22" x14ac:dyDescent="0.25">
      <c r="A67" s="972">
        <v>1</v>
      </c>
      <c r="B67" s="1"/>
      <c r="C67" s="2"/>
      <c r="D67" s="202"/>
      <c r="E67" s="202"/>
      <c r="F67" s="202"/>
      <c r="G67" s="202"/>
      <c r="H67" s="202"/>
      <c r="I67" s="202"/>
      <c r="J67" s="202"/>
      <c r="K67" s="202"/>
      <c r="L67" s="202"/>
      <c r="M67" s="202"/>
      <c r="N67" s="202"/>
      <c r="O67" s="202"/>
      <c r="P67" s="202"/>
      <c r="Q67" s="202"/>
      <c r="R67" s="202"/>
      <c r="S67" s="202"/>
      <c r="T67" s="202"/>
      <c r="U67" s="2"/>
      <c r="V67" s="3"/>
    </row>
    <row r="68" spans="1:22" ht="16.5" x14ac:dyDescent="0.3">
      <c r="A68" s="957">
        <v>1</v>
      </c>
      <c r="B68" s="4"/>
      <c r="C68" s="5"/>
      <c r="D68" s="246" t="s">
        <v>241</v>
      </c>
      <c r="E68" s="246"/>
      <c r="F68" s="246"/>
      <c r="G68" s="246"/>
      <c r="H68" s="246"/>
      <c r="I68" s="246"/>
      <c r="J68" s="246"/>
      <c r="K68" s="246"/>
      <c r="L68" s="246"/>
      <c r="M68" s="246"/>
      <c r="N68" s="246"/>
      <c r="O68" s="246"/>
      <c r="P68" s="246"/>
      <c r="Q68" s="246"/>
      <c r="R68" s="246"/>
      <c r="S68" s="246"/>
      <c r="T68" s="39"/>
      <c r="U68" s="5"/>
      <c r="V68" s="6"/>
    </row>
    <row r="69" spans="1:22" x14ac:dyDescent="0.25">
      <c r="A69" s="957">
        <v>1</v>
      </c>
      <c r="B69" s="4"/>
      <c r="C69" s="12"/>
      <c r="D69" s="12"/>
      <c r="E69" s="12"/>
      <c r="F69" s="55" t="s">
        <v>87</v>
      </c>
      <c r="G69" s="55"/>
      <c r="H69" s="55" t="s">
        <v>1487</v>
      </c>
      <c r="J69" s="4164" t="s">
        <v>1530</v>
      </c>
      <c r="K69" s="4164"/>
      <c r="L69" s="4164"/>
      <c r="M69" s="4164"/>
      <c r="N69" s="55"/>
      <c r="P69" s="55" t="s">
        <v>18902</v>
      </c>
      <c r="S69" s="12"/>
      <c r="T69" s="55" t="s">
        <v>1488</v>
      </c>
      <c r="U69" s="12"/>
      <c r="V69" s="6"/>
    </row>
    <row r="70" spans="1:22" x14ac:dyDescent="0.25">
      <c r="A70" s="957">
        <v>1</v>
      </c>
      <c r="B70" s="4"/>
      <c r="C70" s="12"/>
      <c r="D70" s="12" t="s">
        <v>1100</v>
      </c>
      <c r="E70" s="12"/>
      <c r="F70" s="55" t="s">
        <v>1065</v>
      </c>
      <c r="G70" s="55"/>
      <c r="H70" s="55" t="s">
        <v>1484</v>
      </c>
      <c r="J70" s="4164" t="s">
        <v>1484</v>
      </c>
      <c r="K70" s="4164"/>
      <c r="L70" s="4164"/>
      <c r="M70" s="4164"/>
      <c r="N70" s="55"/>
      <c r="P70" s="55" t="str">
        <f>CONCATENATE("Incentive (",TEXT(dpCost_Profit_Percent,"0.0%"),")")</f>
        <v>Incentive (10.0%)</v>
      </c>
      <c r="T70" s="55" t="s">
        <v>233</v>
      </c>
      <c r="U70" s="12"/>
      <c r="V70" s="6"/>
    </row>
    <row r="71" spans="1:22" s="36" customFormat="1" ht="15.95" customHeight="1" x14ac:dyDescent="0.25">
      <c r="A71" s="972">
        <f t="shared" ref="A71:A80" si="1">IF(T71=0,0,1)</f>
        <v>1</v>
      </c>
      <c r="B71" s="87"/>
      <c r="C71" s="259"/>
      <c r="D71" s="3366" t="str">
        <f>'Building RCN'!E6</f>
        <v>Mega Warehouse</v>
      </c>
      <c r="E71" s="3346"/>
      <c r="F71" s="3348">
        <f>'Building RCN'!E55</f>
        <v>23739183</v>
      </c>
      <c r="G71" s="3347" t="s">
        <v>1491</v>
      </c>
      <c r="H71" s="3367">
        <f t="shared" ref="H71:H80" si="2">dpCost_Soft_Percent</f>
        <v>7.0000000000000007E-2</v>
      </c>
      <c r="I71" s="4151" t="s">
        <v>177</v>
      </c>
      <c r="J71" s="4152"/>
      <c r="K71" s="4153">
        <f t="shared" ref="K71:K80" si="3">F71*(1+H71)</f>
        <v>25400925.810000002</v>
      </c>
      <c r="L71" s="4153"/>
      <c r="M71" s="4153"/>
      <c r="N71" s="3347" t="s">
        <v>1491</v>
      </c>
      <c r="O71" s="4154">
        <f t="shared" ref="O71:O80" si="4">IFERROR(dpCost_Profit_Percent*K71,0)</f>
        <v>2540092.5810000002</v>
      </c>
      <c r="P71" s="4154"/>
      <c r="Q71" s="4154"/>
      <c r="R71" s="4151" t="s">
        <v>177</v>
      </c>
      <c r="S71" s="4151"/>
      <c r="T71" s="3348">
        <f>K71+O71</f>
        <v>27941018.391000003</v>
      </c>
      <c r="U71" s="259"/>
      <c r="V71" s="89"/>
    </row>
    <row r="72" spans="1:22" s="36" customFormat="1" ht="15.95" hidden="1" customHeight="1" x14ac:dyDescent="0.25">
      <c r="A72" s="972">
        <f t="shared" si="1"/>
        <v>0</v>
      </c>
      <c r="B72" s="87"/>
      <c r="C72" s="259"/>
      <c r="D72" s="3366">
        <f>'Building RCN'!F6</f>
        <v>0</v>
      </c>
      <c r="E72" s="3346"/>
      <c r="F72" s="3348">
        <f>'Building RCN'!F55</f>
        <v>0</v>
      </c>
      <c r="G72" s="3347" t="s">
        <v>1491</v>
      </c>
      <c r="H72" s="3367">
        <f t="shared" si="2"/>
        <v>7.0000000000000007E-2</v>
      </c>
      <c r="I72" s="4151" t="s">
        <v>177</v>
      </c>
      <c r="J72" s="4152"/>
      <c r="K72" s="4153">
        <f t="shared" si="3"/>
        <v>0</v>
      </c>
      <c r="L72" s="4153"/>
      <c r="M72" s="4153"/>
      <c r="N72" s="3347" t="s">
        <v>1491</v>
      </c>
      <c r="O72" s="4154">
        <f t="shared" si="4"/>
        <v>0</v>
      </c>
      <c r="P72" s="4154"/>
      <c r="Q72" s="4154"/>
      <c r="R72" s="4151" t="s">
        <v>177</v>
      </c>
      <c r="S72" s="4151"/>
      <c r="T72" s="3348">
        <f t="shared" ref="T72:T80" si="5">K72+O72</f>
        <v>0</v>
      </c>
      <c r="U72" s="259"/>
      <c r="V72" s="89"/>
    </row>
    <row r="73" spans="1:22" s="36" customFormat="1" ht="15.95" hidden="1" customHeight="1" x14ac:dyDescent="0.25">
      <c r="A73" s="972">
        <f t="shared" si="1"/>
        <v>0</v>
      </c>
      <c r="B73" s="87"/>
      <c r="C73" s="259"/>
      <c r="D73" s="3366">
        <f>'Building RCN'!G6</f>
        <v>0</v>
      </c>
      <c r="E73" s="3346"/>
      <c r="F73" s="3348">
        <f>'Building RCN'!G55</f>
        <v>0</v>
      </c>
      <c r="G73" s="3347" t="s">
        <v>1491</v>
      </c>
      <c r="H73" s="3367">
        <f t="shared" si="2"/>
        <v>7.0000000000000007E-2</v>
      </c>
      <c r="I73" s="4151" t="s">
        <v>177</v>
      </c>
      <c r="J73" s="4152"/>
      <c r="K73" s="4153">
        <f t="shared" si="3"/>
        <v>0</v>
      </c>
      <c r="L73" s="4153"/>
      <c r="M73" s="4153"/>
      <c r="N73" s="3347" t="s">
        <v>1491</v>
      </c>
      <c r="O73" s="4154">
        <f t="shared" si="4"/>
        <v>0</v>
      </c>
      <c r="P73" s="4154"/>
      <c r="Q73" s="4154"/>
      <c r="R73" s="4151" t="s">
        <v>177</v>
      </c>
      <c r="S73" s="4151"/>
      <c r="T73" s="3348">
        <f t="shared" si="5"/>
        <v>0</v>
      </c>
      <c r="U73" s="259"/>
      <c r="V73" s="89"/>
    </row>
    <row r="74" spans="1:22" s="36" customFormat="1" ht="15.95" hidden="1" customHeight="1" x14ac:dyDescent="0.25">
      <c r="A74" s="972">
        <f t="shared" si="1"/>
        <v>0</v>
      </c>
      <c r="B74" s="87"/>
      <c r="C74" s="259"/>
      <c r="D74" s="3366">
        <f>'Building RCN'!H6</f>
        <v>0</v>
      </c>
      <c r="E74" s="3346"/>
      <c r="F74" s="3348">
        <f>'Building RCN'!H55</f>
        <v>0</v>
      </c>
      <c r="G74" s="3347" t="s">
        <v>1491</v>
      </c>
      <c r="H74" s="3367">
        <f t="shared" si="2"/>
        <v>7.0000000000000007E-2</v>
      </c>
      <c r="I74" s="4151" t="s">
        <v>177</v>
      </c>
      <c r="J74" s="4152"/>
      <c r="K74" s="4153">
        <f t="shared" si="3"/>
        <v>0</v>
      </c>
      <c r="L74" s="4153"/>
      <c r="M74" s="4153"/>
      <c r="N74" s="3347" t="s">
        <v>1491</v>
      </c>
      <c r="O74" s="4154">
        <f t="shared" si="4"/>
        <v>0</v>
      </c>
      <c r="P74" s="4154"/>
      <c r="Q74" s="4154"/>
      <c r="R74" s="4151" t="s">
        <v>177</v>
      </c>
      <c r="S74" s="4151"/>
      <c r="T74" s="3348">
        <f t="shared" si="5"/>
        <v>0</v>
      </c>
      <c r="U74" s="259"/>
      <c r="V74" s="89"/>
    </row>
    <row r="75" spans="1:22" s="36" customFormat="1" ht="15.95" hidden="1" customHeight="1" x14ac:dyDescent="0.25">
      <c r="A75" s="972">
        <f t="shared" si="1"/>
        <v>0</v>
      </c>
      <c r="B75" s="87"/>
      <c r="C75" s="259"/>
      <c r="D75" s="3366">
        <f>'Building RCN'!I6</f>
        <v>0</v>
      </c>
      <c r="E75" s="3346"/>
      <c r="F75" s="3348">
        <f>'Building RCN'!I55</f>
        <v>0</v>
      </c>
      <c r="G75" s="3347" t="s">
        <v>1491</v>
      </c>
      <c r="H75" s="3367">
        <f t="shared" si="2"/>
        <v>7.0000000000000007E-2</v>
      </c>
      <c r="I75" s="4151" t="s">
        <v>177</v>
      </c>
      <c r="J75" s="4152"/>
      <c r="K75" s="4153">
        <f t="shared" si="3"/>
        <v>0</v>
      </c>
      <c r="L75" s="4153"/>
      <c r="M75" s="4153"/>
      <c r="N75" s="3347" t="s">
        <v>1491</v>
      </c>
      <c r="O75" s="4154">
        <f t="shared" si="4"/>
        <v>0</v>
      </c>
      <c r="P75" s="4154"/>
      <c r="Q75" s="4154"/>
      <c r="R75" s="4151" t="s">
        <v>177</v>
      </c>
      <c r="S75" s="4151"/>
      <c r="T75" s="3348">
        <f t="shared" si="5"/>
        <v>0</v>
      </c>
      <c r="U75" s="259"/>
      <c r="V75" s="89"/>
    </row>
    <row r="76" spans="1:22" s="36" customFormat="1" ht="15.95" hidden="1" customHeight="1" x14ac:dyDescent="0.25">
      <c r="A76" s="972">
        <f t="shared" si="1"/>
        <v>0</v>
      </c>
      <c r="B76" s="87"/>
      <c r="C76" s="259"/>
      <c r="D76" s="3366">
        <f>'Building RCN'!J6</f>
        <v>0</v>
      </c>
      <c r="E76" s="3346"/>
      <c r="F76" s="3348">
        <f>'Building RCN'!J55</f>
        <v>0</v>
      </c>
      <c r="G76" s="3347" t="s">
        <v>1491</v>
      </c>
      <c r="H76" s="3367">
        <f t="shared" si="2"/>
        <v>7.0000000000000007E-2</v>
      </c>
      <c r="I76" s="4151" t="s">
        <v>177</v>
      </c>
      <c r="J76" s="4152"/>
      <c r="K76" s="4153">
        <f t="shared" si="3"/>
        <v>0</v>
      </c>
      <c r="L76" s="4153"/>
      <c r="M76" s="4153"/>
      <c r="N76" s="3347" t="s">
        <v>1491</v>
      </c>
      <c r="O76" s="4154">
        <f t="shared" si="4"/>
        <v>0</v>
      </c>
      <c r="P76" s="4154"/>
      <c r="Q76" s="4154"/>
      <c r="R76" s="4151" t="s">
        <v>177</v>
      </c>
      <c r="S76" s="4151"/>
      <c r="T76" s="3348">
        <f t="shared" si="5"/>
        <v>0</v>
      </c>
      <c r="U76" s="259"/>
      <c r="V76" s="89"/>
    </row>
    <row r="77" spans="1:22" s="36" customFormat="1" ht="15.95" hidden="1" customHeight="1" x14ac:dyDescent="0.25">
      <c r="A77" s="972">
        <f t="shared" si="1"/>
        <v>0</v>
      </c>
      <c r="B77" s="87"/>
      <c r="C77" s="259"/>
      <c r="D77" s="3366">
        <f>'Building RCN'!K6</f>
        <v>0</v>
      </c>
      <c r="E77" s="3346"/>
      <c r="F77" s="3348">
        <f>'Building RCN'!K55</f>
        <v>0</v>
      </c>
      <c r="G77" s="3347" t="s">
        <v>1491</v>
      </c>
      <c r="H77" s="3367">
        <f t="shared" si="2"/>
        <v>7.0000000000000007E-2</v>
      </c>
      <c r="I77" s="4151" t="s">
        <v>177</v>
      </c>
      <c r="J77" s="4152"/>
      <c r="K77" s="4153">
        <f t="shared" si="3"/>
        <v>0</v>
      </c>
      <c r="L77" s="4153"/>
      <c r="M77" s="4153"/>
      <c r="N77" s="3347" t="s">
        <v>1491</v>
      </c>
      <c r="O77" s="4154">
        <f t="shared" si="4"/>
        <v>0</v>
      </c>
      <c r="P77" s="4154"/>
      <c r="Q77" s="4154"/>
      <c r="R77" s="4151" t="s">
        <v>177</v>
      </c>
      <c r="S77" s="4151"/>
      <c r="T77" s="3348">
        <f t="shared" si="5"/>
        <v>0</v>
      </c>
      <c r="U77" s="259"/>
      <c r="V77" s="89"/>
    </row>
    <row r="78" spans="1:22" s="36" customFormat="1" ht="15.95" hidden="1" customHeight="1" x14ac:dyDescent="0.25">
      <c r="A78" s="972">
        <f t="shared" si="1"/>
        <v>0</v>
      </c>
      <c r="B78" s="87"/>
      <c r="C78" s="259"/>
      <c r="D78" s="3366">
        <f>'Building RCN'!L6</f>
        <v>0</v>
      </c>
      <c r="E78" s="3346"/>
      <c r="F78" s="3348">
        <f>'Building RCN'!L55</f>
        <v>0</v>
      </c>
      <c r="G78" s="3347" t="s">
        <v>1491</v>
      </c>
      <c r="H78" s="3367">
        <f t="shared" si="2"/>
        <v>7.0000000000000007E-2</v>
      </c>
      <c r="I78" s="4151" t="s">
        <v>177</v>
      </c>
      <c r="J78" s="4152"/>
      <c r="K78" s="4153">
        <f t="shared" si="3"/>
        <v>0</v>
      </c>
      <c r="L78" s="4153"/>
      <c r="M78" s="4153"/>
      <c r="N78" s="3347" t="s">
        <v>1491</v>
      </c>
      <c r="O78" s="4154">
        <f t="shared" si="4"/>
        <v>0</v>
      </c>
      <c r="P78" s="4154"/>
      <c r="Q78" s="4154"/>
      <c r="R78" s="4151" t="s">
        <v>177</v>
      </c>
      <c r="S78" s="4151"/>
      <c r="T78" s="3348">
        <f t="shared" si="5"/>
        <v>0</v>
      </c>
      <c r="U78" s="259"/>
      <c r="V78" s="89"/>
    </row>
    <row r="79" spans="1:22" s="36" customFormat="1" ht="15.95" hidden="1" customHeight="1" x14ac:dyDescent="0.25">
      <c r="A79" s="972">
        <f t="shared" si="1"/>
        <v>0</v>
      </c>
      <c r="B79" s="87"/>
      <c r="C79" s="259"/>
      <c r="D79" s="3366">
        <f>'Building RCN'!M6</f>
        <v>0</v>
      </c>
      <c r="E79" s="3346"/>
      <c r="F79" s="3348">
        <f>'Building RCN'!M55</f>
        <v>0</v>
      </c>
      <c r="G79" s="3347" t="s">
        <v>1491</v>
      </c>
      <c r="H79" s="3367">
        <f t="shared" si="2"/>
        <v>7.0000000000000007E-2</v>
      </c>
      <c r="I79" s="4151" t="s">
        <v>177</v>
      </c>
      <c r="J79" s="4152"/>
      <c r="K79" s="4153">
        <f t="shared" si="3"/>
        <v>0</v>
      </c>
      <c r="L79" s="4153"/>
      <c r="M79" s="4153"/>
      <c r="N79" s="3347" t="s">
        <v>1491</v>
      </c>
      <c r="O79" s="4154">
        <f t="shared" si="4"/>
        <v>0</v>
      </c>
      <c r="P79" s="4154"/>
      <c r="Q79" s="4154"/>
      <c r="R79" s="4151" t="s">
        <v>177</v>
      </c>
      <c r="S79" s="4151"/>
      <c r="T79" s="3348">
        <f t="shared" si="5"/>
        <v>0</v>
      </c>
      <c r="U79" s="259"/>
      <c r="V79" s="89"/>
    </row>
    <row r="80" spans="1:22" s="36" customFormat="1" ht="15.95" hidden="1" customHeight="1" x14ac:dyDescent="0.25">
      <c r="A80" s="972">
        <f t="shared" si="1"/>
        <v>0</v>
      </c>
      <c r="B80" s="87"/>
      <c r="C80" s="259"/>
      <c r="D80" s="3366">
        <f>'Building RCN'!N6</f>
        <v>0</v>
      </c>
      <c r="E80" s="3346"/>
      <c r="F80" s="3348">
        <f>'Building RCN'!N55</f>
        <v>0</v>
      </c>
      <c r="G80" s="3347" t="s">
        <v>1491</v>
      </c>
      <c r="H80" s="3367">
        <f t="shared" si="2"/>
        <v>7.0000000000000007E-2</v>
      </c>
      <c r="I80" s="4151" t="s">
        <v>177</v>
      </c>
      <c r="J80" s="4152"/>
      <c r="K80" s="4153">
        <f t="shared" si="3"/>
        <v>0</v>
      </c>
      <c r="L80" s="4153"/>
      <c r="M80" s="4153"/>
      <c r="N80" s="3347" t="s">
        <v>1491</v>
      </c>
      <c r="O80" s="4154">
        <f t="shared" si="4"/>
        <v>0</v>
      </c>
      <c r="P80" s="4154"/>
      <c r="Q80" s="4154"/>
      <c r="R80" s="4151" t="s">
        <v>177</v>
      </c>
      <c r="S80" s="4151"/>
      <c r="T80" s="3348">
        <f t="shared" si="5"/>
        <v>0</v>
      </c>
      <c r="U80" s="259"/>
      <c r="V80" s="89"/>
    </row>
    <row r="81" spans="1:22" s="142" customFormat="1" ht="20.100000000000001" customHeight="1" x14ac:dyDescent="0.25">
      <c r="A81" s="972">
        <v>1</v>
      </c>
      <c r="B81" s="286"/>
      <c r="C81" s="2984"/>
      <c r="D81" s="3368" t="s">
        <v>1486</v>
      </c>
      <c r="E81" s="3369"/>
      <c r="F81" s="3370"/>
      <c r="G81" s="3371"/>
      <c r="H81" s="3372"/>
      <c r="I81" s="3372"/>
      <c r="J81" s="3372"/>
      <c r="K81" s="3372"/>
      <c r="L81" s="3372"/>
      <c r="M81" s="3372"/>
      <c r="N81" s="3372"/>
      <c r="O81" s="3372"/>
      <c r="P81" s="3372"/>
      <c r="Q81" s="3372"/>
      <c r="R81" s="3372"/>
      <c r="S81" s="3372"/>
      <c r="T81" s="3373">
        <f>SUBTOTAL(109,(T71:T80))</f>
        <v>27941018.391000003</v>
      </c>
      <c r="U81" s="2984"/>
      <c r="V81" s="288"/>
    </row>
    <row r="82" spans="1:22" s="36" customFormat="1" ht="15.95" customHeight="1" x14ac:dyDescent="0.25">
      <c r="A82" s="972">
        <f t="shared" ref="A82:A91" si="6">IF(T82=0,0,1)</f>
        <v>1</v>
      </c>
      <c r="B82" s="87"/>
      <c r="C82" s="259"/>
      <c r="D82" s="3366" t="str">
        <f t="shared" ref="D82:D91" si="7">D7</f>
        <v>Asphalt</v>
      </c>
      <c r="E82" s="3346"/>
      <c r="F82" s="3348">
        <f t="shared" ref="F82:F91" si="8">P7</f>
        <v>443300</v>
      </c>
      <c r="G82" s="3347" t="s">
        <v>1491</v>
      </c>
      <c r="H82" s="3367">
        <f t="shared" ref="H82:H91" si="9">dpCost_Soft_Percent</f>
        <v>7.0000000000000007E-2</v>
      </c>
      <c r="I82" s="4151" t="s">
        <v>177</v>
      </c>
      <c r="J82" s="4152"/>
      <c r="K82" s="4153">
        <f>F82*(1+H82)</f>
        <v>474331</v>
      </c>
      <c r="L82" s="4153"/>
      <c r="M82" s="4153"/>
      <c r="N82" s="3347" t="s">
        <v>1491</v>
      </c>
      <c r="O82" s="4154">
        <f t="shared" ref="O82:O91" si="10">IFERROR(dpCost_Profit_Percent*K82,0)</f>
        <v>47433.100000000006</v>
      </c>
      <c r="P82" s="4154"/>
      <c r="Q82" s="4154"/>
      <c r="R82" s="4151" t="s">
        <v>1491</v>
      </c>
      <c r="S82" s="4151"/>
      <c r="T82" s="3348">
        <f>K82+O82</f>
        <v>521764.1</v>
      </c>
      <c r="U82" s="259"/>
      <c r="V82" s="89"/>
    </row>
    <row r="83" spans="1:22" s="36" customFormat="1" ht="15.95" customHeight="1" x14ac:dyDescent="0.25">
      <c r="A83" s="972">
        <f t="shared" si="6"/>
        <v>1</v>
      </c>
      <c r="B83" s="87"/>
      <c r="C83" s="259"/>
      <c r="D83" s="3366" t="str">
        <f t="shared" si="7"/>
        <v>Concrete</v>
      </c>
      <c r="E83" s="3346"/>
      <c r="F83" s="3348">
        <f t="shared" si="8"/>
        <v>204339</v>
      </c>
      <c r="G83" s="3347" t="s">
        <v>1491</v>
      </c>
      <c r="H83" s="3367">
        <f t="shared" si="9"/>
        <v>7.0000000000000007E-2</v>
      </c>
      <c r="I83" s="4151" t="s">
        <v>177</v>
      </c>
      <c r="J83" s="4152"/>
      <c r="K83" s="4153">
        <f t="shared" ref="K83:K91" si="11">F83*(1+H83)</f>
        <v>218642.73</v>
      </c>
      <c r="L83" s="4153"/>
      <c r="M83" s="4153"/>
      <c r="N83" s="3347" t="s">
        <v>1491</v>
      </c>
      <c r="O83" s="4154">
        <f t="shared" si="10"/>
        <v>21864.273000000001</v>
      </c>
      <c r="P83" s="4154"/>
      <c r="Q83" s="4154"/>
      <c r="R83" s="4151" t="s">
        <v>1491</v>
      </c>
      <c r="S83" s="4151"/>
      <c r="T83" s="3348">
        <f t="shared" ref="T83:T91" si="12">K83+O83</f>
        <v>240507.00300000003</v>
      </c>
      <c r="U83" s="259"/>
      <c r="V83" s="89"/>
    </row>
    <row r="84" spans="1:22" s="36" customFormat="1" ht="15.95" customHeight="1" x14ac:dyDescent="0.25">
      <c r="A84" s="972">
        <f t="shared" si="6"/>
        <v>1</v>
      </c>
      <c r="B84" s="87"/>
      <c r="C84" s="259"/>
      <c r="D84" s="3366" t="str">
        <f t="shared" si="7"/>
        <v>Dock Levelers</v>
      </c>
      <c r="E84" s="3346"/>
      <c r="F84" s="3348">
        <f t="shared" si="8"/>
        <v>104000</v>
      </c>
      <c r="G84" s="3347" t="s">
        <v>1491</v>
      </c>
      <c r="H84" s="3367">
        <f t="shared" si="9"/>
        <v>7.0000000000000007E-2</v>
      </c>
      <c r="I84" s="4151" t="s">
        <v>177</v>
      </c>
      <c r="J84" s="4152"/>
      <c r="K84" s="4153">
        <f t="shared" si="11"/>
        <v>111280</v>
      </c>
      <c r="L84" s="4153"/>
      <c r="M84" s="4153"/>
      <c r="N84" s="3347" t="s">
        <v>1491</v>
      </c>
      <c r="O84" s="4154">
        <f t="shared" si="10"/>
        <v>11128</v>
      </c>
      <c r="P84" s="4154"/>
      <c r="Q84" s="4154"/>
      <c r="R84" s="4151" t="s">
        <v>1491</v>
      </c>
      <c r="S84" s="4151"/>
      <c r="T84" s="3348">
        <f t="shared" si="12"/>
        <v>122408</v>
      </c>
      <c r="U84" s="259"/>
      <c r="V84" s="89"/>
    </row>
    <row r="85" spans="1:22" s="36" customFormat="1" ht="15.95" hidden="1" customHeight="1" x14ac:dyDescent="0.25">
      <c r="A85" s="972">
        <f t="shared" si="6"/>
        <v>0</v>
      </c>
      <c r="B85" s="87"/>
      <c r="C85" s="259"/>
      <c r="D85" s="3366" t="str">
        <f t="shared" si="7"/>
        <v>User Defined 4</v>
      </c>
      <c r="E85" s="3346"/>
      <c r="F85" s="3348">
        <f t="shared" si="8"/>
        <v>0</v>
      </c>
      <c r="G85" s="3347" t="s">
        <v>1491</v>
      </c>
      <c r="H85" s="3367">
        <f t="shared" si="9"/>
        <v>7.0000000000000007E-2</v>
      </c>
      <c r="I85" s="4151" t="s">
        <v>177</v>
      </c>
      <c r="J85" s="4152"/>
      <c r="K85" s="4153">
        <f t="shared" si="11"/>
        <v>0</v>
      </c>
      <c r="L85" s="4153"/>
      <c r="M85" s="4153"/>
      <c r="N85" s="3347" t="s">
        <v>1491</v>
      </c>
      <c r="O85" s="4154">
        <f t="shared" si="10"/>
        <v>0</v>
      </c>
      <c r="P85" s="4154"/>
      <c r="Q85" s="4154"/>
      <c r="R85" s="4151" t="s">
        <v>1491</v>
      </c>
      <c r="S85" s="4151"/>
      <c r="T85" s="3348">
        <f t="shared" si="12"/>
        <v>0</v>
      </c>
      <c r="U85" s="259"/>
      <c r="V85" s="89"/>
    </row>
    <row r="86" spans="1:22" s="36" customFormat="1" ht="15.95" hidden="1" customHeight="1" x14ac:dyDescent="0.25">
      <c r="A86" s="972">
        <f t="shared" si="6"/>
        <v>0</v>
      </c>
      <c r="B86" s="87"/>
      <c r="C86" s="259"/>
      <c r="D86" s="3366" t="str">
        <f t="shared" si="7"/>
        <v>User Defined 5</v>
      </c>
      <c r="E86" s="3346"/>
      <c r="F86" s="3348">
        <f t="shared" si="8"/>
        <v>0</v>
      </c>
      <c r="G86" s="3347" t="s">
        <v>1491</v>
      </c>
      <c r="H86" s="3367">
        <f t="shared" si="9"/>
        <v>7.0000000000000007E-2</v>
      </c>
      <c r="I86" s="4151" t="s">
        <v>177</v>
      </c>
      <c r="J86" s="4152"/>
      <c r="K86" s="4153">
        <f t="shared" si="11"/>
        <v>0</v>
      </c>
      <c r="L86" s="4153"/>
      <c r="M86" s="4153"/>
      <c r="N86" s="3347" t="s">
        <v>1491</v>
      </c>
      <c r="O86" s="4154">
        <f t="shared" si="10"/>
        <v>0</v>
      </c>
      <c r="P86" s="4154"/>
      <c r="Q86" s="4154"/>
      <c r="R86" s="4151" t="s">
        <v>1491</v>
      </c>
      <c r="S86" s="4151"/>
      <c r="T86" s="3348">
        <f t="shared" si="12"/>
        <v>0</v>
      </c>
      <c r="U86" s="259"/>
      <c r="V86" s="89"/>
    </row>
    <row r="87" spans="1:22" s="36" customFormat="1" ht="15.95" hidden="1" customHeight="1" x14ac:dyDescent="0.25">
      <c r="A87" s="972">
        <f t="shared" si="6"/>
        <v>0</v>
      </c>
      <c r="B87" s="87"/>
      <c r="C87" s="259"/>
      <c r="D87" s="3366" t="str">
        <f t="shared" si="7"/>
        <v>User Defined 6</v>
      </c>
      <c r="E87" s="3346"/>
      <c r="F87" s="3348">
        <f t="shared" si="8"/>
        <v>0</v>
      </c>
      <c r="G87" s="3347" t="s">
        <v>1491</v>
      </c>
      <c r="H87" s="3367">
        <f t="shared" si="9"/>
        <v>7.0000000000000007E-2</v>
      </c>
      <c r="I87" s="4151" t="s">
        <v>177</v>
      </c>
      <c r="J87" s="4152"/>
      <c r="K87" s="4153">
        <f t="shared" si="11"/>
        <v>0</v>
      </c>
      <c r="L87" s="4153"/>
      <c r="M87" s="4153"/>
      <c r="N87" s="3347" t="s">
        <v>1491</v>
      </c>
      <c r="O87" s="4154">
        <f t="shared" si="10"/>
        <v>0</v>
      </c>
      <c r="P87" s="4154"/>
      <c r="Q87" s="4154"/>
      <c r="R87" s="4151" t="s">
        <v>1491</v>
      </c>
      <c r="S87" s="4151"/>
      <c r="T87" s="3348">
        <f t="shared" si="12"/>
        <v>0</v>
      </c>
      <c r="U87" s="259"/>
      <c r="V87" s="89"/>
    </row>
    <row r="88" spans="1:22" s="36" customFormat="1" ht="15.95" hidden="1" customHeight="1" x14ac:dyDescent="0.25">
      <c r="A88" s="972">
        <f t="shared" si="6"/>
        <v>0</v>
      </c>
      <c r="B88" s="87"/>
      <c r="C88" s="259"/>
      <c r="D88" s="3366" t="str">
        <f t="shared" si="7"/>
        <v>User Defined 7</v>
      </c>
      <c r="E88" s="3346"/>
      <c r="F88" s="3348">
        <f t="shared" si="8"/>
        <v>0</v>
      </c>
      <c r="G88" s="3347" t="s">
        <v>1491</v>
      </c>
      <c r="H88" s="3367">
        <f t="shared" si="9"/>
        <v>7.0000000000000007E-2</v>
      </c>
      <c r="I88" s="4151" t="s">
        <v>177</v>
      </c>
      <c r="J88" s="4152"/>
      <c r="K88" s="4153">
        <f t="shared" si="11"/>
        <v>0</v>
      </c>
      <c r="L88" s="4153"/>
      <c r="M88" s="4153"/>
      <c r="N88" s="3347" t="s">
        <v>1491</v>
      </c>
      <c r="O88" s="4154">
        <f t="shared" si="10"/>
        <v>0</v>
      </c>
      <c r="P88" s="4154"/>
      <c r="Q88" s="4154"/>
      <c r="R88" s="4151" t="s">
        <v>1491</v>
      </c>
      <c r="S88" s="4151"/>
      <c r="T88" s="3348">
        <f t="shared" si="12"/>
        <v>0</v>
      </c>
      <c r="U88" s="259"/>
      <c r="V88" s="89"/>
    </row>
    <row r="89" spans="1:22" s="36" customFormat="1" ht="15.95" hidden="1" customHeight="1" x14ac:dyDescent="0.25">
      <c r="A89" s="972">
        <f t="shared" si="6"/>
        <v>0</v>
      </c>
      <c r="B89" s="87"/>
      <c r="C89" s="259"/>
      <c r="D89" s="3366" t="str">
        <f t="shared" si="7"/>
        <v>User Defined 8</v>
      </c>
      <c r="E89" s="3346"/>
      <c r="F89" s="3348">
        <f t="shared" si="8"/>
        <v>0</v>
      </c>
      <c r="G89" s="3347" t="s">
        <v>1491</v>
      </c>
      <c r="H89" s="3367">
        <f t="shared" si="9"/>
        <v>7.0000000000000007E-2</v>
      </c>
      <c r="I89" s="4151" t="s">
        <v>177</v>
      </c>
      <c r="J89" s="4152"/>
      <c r="K89" s="4153">
        <f t="shared" si="11"/>
        <v>0</v>
      </c>
      <c r="L89" s="4153"/>
      <c r="M89" s="4153"/>
      <c r="N89" s="3347" t="s">
        <v>1491</v>
      </c>
      <c r="O89" s="4154">
        <f t="shared" si="10"/>
        <v>0</v>
      </c>
      <c r="P89" s="4154"/>
      <c r="Q89" s="4154"/>
      <c r="R89" s="4151" t="s">
        <v>1491</v>
      </c>
      <c r="S89" s="4151"/>
      <c r="T89" s="3348">
        <f t="shared" si="12"/>
        <v>0</v>
      </c>
      <c r="U89" s="259"/>
      <c r="V89" s="89"/>
    </row>
    <row r="90" spans="1:22" s="36" customFormat="1" ht="15.95" hidden="1" customHeight="1" x14ac:dyDescent="0.25">
      <c r="A90" s="972">
        <f t="shared" si="6"/>
        <v>0</v>
      </c>
      <c r="B90" s="87"/>
      <c r="C90" s="259"/>
      <c r="D90" s="3366" t="str">
        <f t="shared" si="7"/>
        <v>User Defined 9</v>
      </c>
      <c r="E90" s="3346"/>
      <c r="F90" s="3348">
        <f t="shared" si="8"/>
        <v>0</v>
      </c>
      <c r="G90" s="3347" t="s">
        <v>1491</v>
      </c>
      <c r="H90" s="3367">
        <f t="shared" si="9"/>
        <v>7.0000000000000007E-2</v>
      </c>
      <c r="I90" s="4151" t="s">
        <v>177</v>
      </c>
      <c r="J90" s="4152"/>
      <c r="K90" s="4153">
        <f t="shared" si="11"/>
        <v>0</v>
      </c>
      <c r="L90" s="4153"/>
      <c r="M90" s="4153"/>
      <c r="N90" s="3347" t="s">
        <v>1491</v>
      </c>
      <c r="O90" s="4154">
        <f t="shared" si="10"/>
        <v>0</v>
      </c>
      <c r="P90" s="4154"/>
      <c r="Q90" s="4154"/>
      <c r="R90" s="4151" t="s">
        <v>1491</v>
      </c>
      <c r="S90" s="4151"/>
      <c r="T90" s="3348">
        <f t="shared" si="12"/>
        <v>0</v>
      </c>
      <c r="U90" s="259"/>
      <c r="V90" s="89"/>
    </row>
    <row r="91" spans="1:22" s="36" customFormat="1" ht="15.95" hidden="1" customHeight="1" x14ac:dyDescent="0.25">
      <c r="A91" s="972">
        <f t="shared" si="6"/>
        <v>0</v>
      </c>
      <c r="B91" s="87"/>
      <c r="C91" s="259"/>
      <c r="D91" s="3366" t="str">
        <f t="shared" si="7"/>
        <v>User Defined 10</v>
      </c>
      <c r="E91" s="3346"/>
      <c r="F91" s="3348">
        <f t="shared" si="8"/>
        <v>0</v>
      </c>
      <c r="G91" s="3347" t="s">
        <v>1491</v>
      </c>
      <c r="H91" s="3367">
        <f t="shared" si="9"/>
        <v>7.0000000000000007E-2</v>
      </c>
      <c r="I91" s="4151" t="s">
        <v>177</v>
      </c>
      <c r="J91" s="4152"/>
      <c r="K91" s="4153">
        <f t="shared" si="11"/>
        <v>0</v>
      </c>
      <c r="L91" s="4153"/>
      <c r="M91" s="4153"/>
      <c r="N91" s="3347" t="s">
        <v>1491</v>
      </c>
      <c r="O91" s="4154">
        <f t="shared" si="10"/>
        <v>0</v>
      </c>
      <c r="P91" s="4154"/>
      <c r="Q91" s="4154"/>
      <c r="R91" s="4151" t="s">
        <v>1491</v>
      </c>
      <c r="S91" s="4151"/>
      <c r="T91" s="3348">
        <f t="shared" si="12"/>
        <v>0</v>
      </c>
      <c r="U91" s="259"/>
      <c r="V91" s="89"/>
    </row>
    <row r="92" spans="1:22" s="36" customFormat="1" ht="15.95" customHeight="1" x14ac:dyDescent="0.25">
      <c r="A92" s="972">
        <v>1</v>
      </c>
      <c r="B92" s="87"/>
      <c r="C92" s="259"/>
      <c r="D92" s="3374" t="s">
        <v>1489</v>
      </c>
      <c r="E92" s="3375"/>
      <c r="F92" s="3376"/>
      <c r="G92" s="3377"/>
      <c r="H92" s="3378"/>
      <c r="I92" s="3378"/>
      <c r="J92" s="3378"/>
      <c r="K92" s="3378"/>
      <c r="L92" s="3378"/>
      <c r="M92" s="3378"/>
      <c r="N92" s="3378"/>
      <c r="O92" s="3378"/>
      <c r="P92" s="3378"/>
      <c r="Q92" s="3378"/>
      <c r="R92" s="3378"/>
      <c r="S92" s="3378"/>
      <c r="T92" s="3376">
        <f>SUBTOTAL(109,T82:T91)</f>
        <v>884679.103</v>
      </c>
      <c r="U92" s="259"/>
      <c r="V92" s="89"/>
    </row>
    <row r="93" spans="1:22" s="36" customFormat="1" ht="24.95" customHeight="1" thickBot="1" x14ac:dyDescent="0.3">
      <c r="A93" s="972">
        <f>IF(Profit_Application=1,1,0)</f>
        <v>1</v>
      </c>
      <c r="B93" s="87"/>
      <c r="C93" s="259"/>
      <c r="D93" s="3379" t="str">
        <f>IF(dpCost_Land_Inflation=0,CONCATENATE("Estimated ",Subject_Value1Type," of Land"),CONCATENATE("Estimated ",Subject_Value1Type," of Land Inflated at ",TEXT(dpCost_Land_Inflation,"0.0%")," Annually"))</f>
        <v>Estimated Market Value of Land</v>
      </c>
      <c r="E93" s="3177"/>
      <c r="F93" s="3380"/>
      <c r="G93" s="3381"/>
      <c r="H93" s="3382"/>
      <c r="I93" s="3382"/>
      <c r="J93" s="3382"/>
      <c r="K93" s="4163"/>
      <c r="L93" s="4163"/>
      <c r="M93" s="4163"/>
      <c r="N93" s="3382"/>
      <c r="O93" s="3382"/>
      <c r="P93" s="4165">
        <f>IFERROR(dpCost_Profit_Percent*dpCost_LandValue,0)</f>
        <v>680000</v>
      </c>
      <c r="Q93" s="4165"/>
      <c r="R93" s="3382"/>
      <c r="S93" s="3382"/>
      <c r="T93" s="3380">
        <f>P93</f>
        <v>680000</v>
      </c>
      <c r="U93" s="259"/>
      <c r="V93" s="89"/>
    </row>
    <row r="94" spans="1:22" s="36" customFormat="1" ht="15.95" customHeight="1" thickBot="1" x14ac:dyDescent="0.3">
      <c r="A94" s="972">
        <v>1</v>
      </c>
      <c r="B94" s="87"/>
      <c r="C94" s="259"/>
      <c r="D94" s="3383" t="s">
        <v>1492</v>
      </c>
      <c r="E94" s="3383"/>
      <c r="F94" s="3384"/>
      <c r="G94" s="3385"/>
      <c r="H94" s="3384"/>
      <c r="I94" s="3384"/>
      <c r="J94" s="3384"/>
      <c r="K94" s="3384"/>
      <c r="L94" s="3384"/>
      <c r="M94" s="3384"/>
      <c r="N94" s="3384"/>
      <c r="O94" s="3384"/>
      <c r="P94" s="3384"/>
      <c r="Q94" s="3384"/>
      <c r="R94" s="3384"/>
      <c r="S94" s="3384"/>
      <c r="T94" s="3386">
        <f>T81+T92+T93</f>
        <v>29505697.494000003</v>
      </c>
      <c r="U94" s="259"/>
      <c r="V94" s="89"/>
    </row>
    <row r="95" spans="1:22" s="36" customFormat="1" ht="20.100000000000001" customHeight="1" thickBot="1" x14ac:dyDescent="0.3">
      <c r="A95" s="707"/>
      <c r="B95" s="646"/>
      <c r="C95" s="647"/>
      <c r="D95" s="615" t="s">
        <v>1490</v>
      </c>
      <c r="E95" s="615"/>
      <c r="F95" s="1458"/>
      <c r="G95" s="1458"/>
      <c r="H95" s="1458"/>
      <c r="I95" s="1458"/>
      <c r="J95" s="1458"/>
      <c r="K95" s="1458"/>
      <c r="L95" s="1458"/>
      <c r="M95" s="1458"/>
      <c r="N95" s="1458"/>
      <c r="O95" s="1458"/>
      <c r="P95" s="1458"/>
      <c r="Q95" s="1458"/>
      <c r="R95" s="1458"/>
      <c r="S95" s="1458"/>
      <c r="T95" s="653"/>
      <c r="U95" s="647"/>
      <c r="V95" s="649"/>
    </row>
  </sheetData>
  <mergeCells count="114">
    <mergeCell ref="O89:Q89"/>
    <mergeCell ref="O90:Q90"/>
    <mergeCell ref="O80:Q80"/>
    <mergeCell ref="O71:Q71"/>
    <mergeCell ref="O72:Q72"/>
    <mergeCell ref="O73:Q73"/>
    <mergeCell ref="O74:Q74"/>
    <mergeCell ref="R90:S90"/>
    <mergeCell ref="R91:S91"/>
    <mergeCell ref="R82:S82"/>
    <mergeCell ref="R83:S83"/>
    <mergeCell ref="R84:S84"/>
    <mergeCell ref="R85:S85"/>
    <mergeCell ref="R86:S86"/>
    <mergeCell ref="R80:S80"/>
    <mergeCell ref="R71:S71"/>
    <mergeCell ref="R72:S72"/>
    <mergeCell ref="R73:S73"/>
    <mergeCell ref="R74:S74"/>
    <mergeCell ref="R75:S75"/>
    <mergeCell ref="R87:S87"/>
    <mergeCell ref="R88:S88"/>
    <mergeCell ref="R89:S89"/>
    <mergeCell ref="K93:M93"/>
    <mergeCell ref="J69:M69"/>
    <mergeCell ref="J70:M70"/>
    <mergeCell ref="P93:Q93"/>
    <mergeCell ref="O91:Q91"/>
    <mergeCell ref="O82:Q82"/>
    <mergeCell ref="O83:Q83"/>
    <mergeCell ref="O84:Q84"/>
    <mergeCell ref="O85:Q85"/>
    <mergeCell ref="O86:Q86"/>
    <mergeCell ref="K82:M82"/>
    <mergeCell ref="K83:M83"/>
    <mergeCell ref="K84:M84"/>
    <mergeCell ref="K85:M85"/>
    <mergeCell ref="K86:M86"/>
    <mergeCell ref="O87:Q87"/>
    <mergeCell ref="O88:Q88"/>
    <mergeCell ref="I72:J72"/>
    <mergeCell ref="I73:J73"/>
    <mergeCell ref="I74:J74"/>
    <mergeCell ref="I75:J75"/>
    <mergeCell ref="I76:J76"/>
    <mergeCell ref="I77:J77"/>
    <mergeCell ref="I78:J78"/>
    <mergeCell ref="D63:F63"/>
    <mergeCell ref="L15:M15"/>
    <mergeCell ref="I16:J16"/>
    <mergeCell ref="L16:M16"/>
    <mergeCell ref="I12:J12"/>
    <mergeCell ref="L12:M12"/>
    <mergeCell ref="I13:J13"/>
    <mergeCell ref="L13:M13"/>
    <mergeCell ref="I14:J14"/>
    <mergeCell ref="L14:M14"/>
    <mergeCell ref="I29:J29"/>
    <mergeCell ref="J36:K36"/>
    <mergeCell ref="J37:K37"/>
    <mergeCell ref="J38:K38"/>
    <mergeCell ref="J39:K39"/>
    <mergeCell ref="S55:T55"/>
    <mergeCell ref="K5:N5"/>
    <mergeCell ref="I7:J7"/>
    <mergeCell ref="T5:T6"/>
    <mergeCell ref="L7:M7"/>
    <mergeCell ref="I8:J8"/>
    <mergeCell ref="L8:M8"/>
    <mergeCell ref="I9:J9"/>
    <mergeCell ref="L9:M9"/>
    <mergeCell ref="I10:J10"/>
    <mergeCell ref="L10:M10"/>
    <mergeCell ref="I11:J11"/>
    <mergeCell ref="L11:M11"/>
    <mergeCell ref="I15:J15"/>
    <mergeCell ref="I79:J79"/>
    <mergeCell ref="S56:T56"/>
    <mergeCell ref="O76:Q76"/>
    <mergeCell ref="O77:Q77"/>
    <mergeCell ref="O78:Q78"/>
    <mergeCell ref="O79:Q79"/>
    <mergeCell ref="K71:M71"/>
    <mergeCell ref="K72:M72"/>
    <mergeCell ref="I71:J71"/>
    <mergeCell ref="O75:Q75"/>
    <mergeCell ref="R76:S76"/>
    <mergeCell ref="R77:S77"/>
    <mergeCell ref="R78:S78"/>
    <mergeCell ref="R79:S79"/>
    <mergeCell ref="I90:J90"/>
    <mergeCell ref="I91:J91"/>
    <mergeCell ref="K73:M73"/>
    <mergeCell ref="K74:M74"/>
    <mergeCell ref="K75:M75"/>
    <mergeCell ref="K76:M76"/>
    <mergeCell ref="K77:M77"/>
    <mergeCell ref="K78:M78"/>
    <mergeCell ref="K79:M79"/>
    <mergeCell ref="K80:M80"/>
    <mergeCell ref="I80:J80"/>
    <mergeCell ref="I82:J82"/>
    <mergeCell ref="I83:J83"/>
    <mergeCell ref="I84:J84"/>
    <mergeCell ref="I85:J85"/>
    <mergeCell ref="I86:J86"/>
    <mergeCell ref="I87:J87"/>
    <mergeCell ref="I88:J88"/>
    <mergeCell ref="I89:J89"/>
    <mergeCell ref="K87:M87"/>
    <mergeCell ref="K88:M88"/>
    <mergeCell ref="K89:M89"/>
    <mergeCell ref="K90:M90"/>
    <mergeCell ref="K91:M91"/>
  </mergeCells>
  <printOptions horizontalCentered="1"/>
  <pageMargins left="0.5" right="0.5" top="0.75" bottom="0.75" header="0.3" footer="0.3"/>
  <pageSetup orientation="portrait" horizontalDpi="1200" verticalDpi="12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0000000}">
          <x14:formula1>
            <xm:f>'Selection Tables'!$J$5:$J$10</xm:f>
          </x14:formula1>
          <xm:sqref>T7:T16</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4">
    <tabColor theme="9" tint="-0.499984740745262"/>
    <pageSetUpPr fitToPage="1"/>
  </sheetPr>
  <dimension ref="A1:M73"/>
  <sheetViews>
    <sheetView workbookViewId="0">
      <selection activeCell="D4" sqref="D4"/>
    </sheetView>
  </sheetViews>
  <sheetFormatPr defaultColWidth="9.140625" defaultRowHeight="14.25" x14ac:dyDescent="0.25"/>
  <cols>
    <col min="1" max="1" width="5.7109375" style="13" customWidth="1"/>
    <col min="2" max="2" width="1.7109375" style="10" customWidth="1"/>
    <col min="3" max="3" width="0.85546875" style="10" customWidth="1"/>
    <col min="4" max="4" width="17.7109375" style="10" customWidth="1"/>
    <col min="5" max="6" width="16.7109375" style="10" customWidth="1"/>
    <col min="7" max="7" width="17.28515625" style="10" customWidth="1"/>
    <col min="8" max="9" width="16.7109375" style="10" customWidth="1"/>
    <col min="10" max="10" width="0.85546875" style="10" customWidth="1"/>
    <col min="11" max="11" width="1.7109375" style="10" customWidth="1"/>
    <col min="12" max="12" width="5.7109375" style="10" customWidth="1"/>
    <col min="13" max="13" width="10.7109375" style="10" customWidth="1"/>
    <col min="14" max="16384" width="9.140625" style="10"/>
  </cols>
  <sheetData>
    <row r="1" spans="1:11" ht="60" customHeight="1" x14ac:dyDescent="0.25"/>
    <row r="2" spans="1:11" ht="39.950000000000003" customHeight="1" thickBot="1" x14ac:dyDescent="0.3"/>
    <row r="3" spans="1:11" x14ac:dyDescent="0.25">
      <c r="B3" s="1"/>
      <c r="C3" s="2"/>
      <c r="D3" s="2"/>
      <c r="E3" s="2"/>
      <c r="F3" s="2"/>
      <c r="G3" s="2"/>
      <c r="H3" s="2"/>
      <c r="I3" s="2"/>
      <c r="J3" s="2"/>
      <c r="K3" s="3"/>
    </row>
    <row r="4" spans="1:11" ht="16.5" x14ac:dyDescent="0.3">
      <c r="B4" s="4"/>
      <c r="C4" s="5"/>
      <c r="D4" s="246" t="s">
        <v>1255</v>
      </c>
      <c r="E4" s="246"/>
      <c r="F4" s="5"/>
      <c r="G4" s="5"/>
      <c r="H4" s="5"/>
      <c r="I4" s="5"/>
      <c r="J4" s="5"/>
      <c r="K4" s="6"/>
    </row>
    <row r="5" spans="1:11" ht="15.95" customHeight="1" x14ac:dyDescent="0.25">
      <c r="B5" s="4"/>
      <c r="C5" s="11"/>
      <c r="D5" s="12" t="s">
        <v>1100</v>
      </c>
      <c r="E5" s="11"/>
      <c r="F5" s="55" t="s">
        <v>1176</v>
      </c>
      <c r="G5" s="55" t="s">
        <v>1177</v>
      </c>
      <c r="H5" s="55" t="s">
        <v>1178</v>
      </c>
      <c r="I5" s="55" t="s">
        <v>1179</v>
      </c>
      <c r="J5" s="11"/>
      <c r="K5" s="6"/>
    </row>
    <row r="6" spans="1:11" x14ac:dyDescent="0.25">
      <c r="B6" s="4"/>
      <c r="C6" s="258"/>
      <c r="D6" s="2984" t="s">
        <v>0</v>
      </c>
      <c r="E6" s="2984"/>
      <c r="F6" s="3502"/>
      <c r="G6" s="3502"/>
      <c r="H6" s="3803"/>
      <c r="I6" s="3502"/>
      <c r="J6" s="258"/>
      <c r="K6" s="6"/>
    </row>
    <row r="7" spans="1:11" x14ac:dyDescent="0.25">
      <c r="B7" s="4"/>
      <c r="C7" s="258"/>
      <c r="D7" s="258" t="s">
        <v>183</v>
      </c>
      <c r="E7" s="258"/>
      <c r="F7" s="3583"/>
      <c r="G7" s="3583"/>
      <c r="H7" s="3583"/>
      <c r="I7" s="3583"/>
      <c r="J7" s="258"/>
      <c r="K7" s="6"/>
    </row>
    <row r="8" spans="1:11" x14ac:dyDescent="0.25">
      <c r="A8" s="957">
        <v>1</v>
      </c>
      <c r="B8" s="4"/>
      <c r="C8" s="258"/>
      <c r="D8" s="2984" t="s">
        <v>1200</v>
      </c>
      <c r="E8" s="2984"/>
      <c r="F8" s="1002" t="str">
        <f>CONCATENATE(F9," Class ",F10)</f>
        <v xml:space="preserve"> Class </v>
      </c>
      <c r="G8" s="1002" t="str">
        <f>CONCATENATE(G9," Class ",G10)</f>
        <v xml:space="preserve"> Class </v>
      </c>
      <c r="H8" s="1002" t="str">
        <f>CONCATENATE(H9," Class ",H10)</f>
        <v xml:space="preserve"> Class </v>
      </c>
      <c r="I8" s="1002" t="str">
        <f>CONCATENATE(I9," Class ",I10)</f>
        <v xml:space="preserve"> Class </v>
      </c>
      <c r="J8" s="258"/>
      <c r="K8" s="6"/>
    </row>
    <row r="9" spans="1:11" hidden="1" x14ac:dyDescent="0.25">
      <c r="A9" s="957">
        <v>0</v>
      </c>
      <c r="B9" s="4"/>
      <c r="C9" s="258"/>
      <c r="D9" s="2022" t="s">
        <v>288</v>
      </c>
      <c r="E9" s="2022"/>
      <c r="F9" s="3438"/>
      <c r="G9" s="3798"/>
      <c r="H9" s="3798"/>
      <c r="I9" s="3438"/>
      <c r="J9" s="258"/>
      <c r="K9" s="6"/>
    </row>
    <row r="10" spans="1:11" hidden="1" x14ac:dyDescent="0.25">
      <c r="A10" s="957">
        <v>0</v>
      </c>
      <c r="B10" s="4"/>
      <c r="C10" s="258"/>
      <c r="D10" s="1002" t="s">
        <v>307</v>
      </c>
      <c r="E10" s="1002"/>
      <c r="F10" s="3438"/>
      <c r="G10" s="3798"/>
      <c r="H10" s="3798"/>
      <c r="I10" s="3438"/>
      <c r="J10" s="258"/>
      <c r="K10" s="6"/>
    </row>
    <row r="11" spans="1:11" x14ac:dyDescent="0.25">
      <c r="A11" s="957">
        <v>1</v>
      </c>
      <c r="B11" s="4"/>
      <c r="C11" s="258"/>
      <c r="D11" s="258" t="s">
        <v>159</v>
      </c>
      <c r="E11" s="258"/>
      <c r="F11" s="3876"/>
      <c r="G11" s="3876"/>
      <c r="H11" s="3876"/>
      <c r="I11" s="3876"/>
      <c r="J11" s="258"/>
      <c r="K11" s="6"/>
    </row>
    <row r="12" spans="1:11" x14ac:dyDescent="0.25">
      <c r="A12" s="957">
        <v>1</v>
      </c>
      <c r="B12" s="4"/>
      <c r="C12" s="258"/>
      <c r="D12" s="258" t="s">
        <v>1219</v>
      </c>
      <c r="E12" s="258"/>
      <c r="F12" s="2877"/>
      <c r="G12" s="2877"/>
      <c r="H12" s="2877"/>
      <c r="I12" s="2877"/>
      <c r="J12" s="258"/>
      <c r="K12" s="6"/>
    </row>
    <row r="13" spans="1:11" x14ac:dyDescent="0.25">
      <c r="A13" s="957">
        <v>1</v>
      </c>
      <c r="B13" s="4"/>
      <c r="C13" s="258"/>
      <c r="D13" s="258" t="s">
        <v>1201</v>
      </c>
      <c r="E13" s="258"/>
      <c r="F13" s="3634" t="e">
        <f>F15/F14/43560</f>
        <v>#DIV/0!</v>
      </c>
      <c r="G13" s="3634" t="e">
        <f>G15/G14/43560</f>
        <v>#DIV/0!</v>
      </c>
      <c r="H13" s="3634" t="e">
        <f>H15/H14/43560</f>
        <v>#DIV/0!</v>
      </c>
      <c r="I13" s="3634" t="e">
        <f>I15/I14/43560</f>
        <v>#DIV/0!</v>
      </c>
      <c r="J13" s="258"/>
      <c r="K13" s="6"/>
    </row>
    <row r="14" spans="1:11" hidden="1" x14ac:dyDescent="0.25">
      <c r="A14" s="957">
        <v>0</v>
      </c>
      <c r="B14" s="4"/>
      <c r="C14" s="258"/>
      <c r="D14" s="258"/>
      <c r="E14" s="258"/>
      <c r="F14" s="3634"/>
      <c r="G14" s="3634"/>
      <c r="H14" s="3634"/>
      <c r="I14" s="3634"/>
      <c r="J14" s="258"/>
      <c r="K14" s="6"/>
    </row>
    <row r="15" spans="1:11" x14ac:dyDescent="0.25">
      <c r="A15" s="957">
        <v>1</v>
      </c>
      <c r="B15" s="4"/>
      <c r="C15" s="258"/>
      <c r="D15" s="258" t="s">
        <v>1202</v>
      </c>
      <c r="E15" s="258"/>
      <c r="F15" s="3877"/>
      <c r="G15" s="3877"/>
      <c r="H15" s="3877"/>
      <c r="I15" s="3877"/>
      <c r="J15" s="258"/>
      <c r="K15" s="6"/>
    </row>
    <row r="16" spans="1:11" x14ac:dyDescent="0.25">
      <c r="A16" s="957">
        <v>1</v>
      </c>
      <c r="B16" s="4"/>
      <c r="C16" s="258"/>
      <c r="D16" s="258" t="s">
        <v>519</v>
      </c>
      <c r="E16" s="258"/>
      <c r="F16" s="2877">
        <f>F12-F15</f>
        <v>0</v>
      </c>
      <c r="G16" s="2877">
        <f>G12-G15</f>
        <v>0</v>
      </c>
      <c r="H16" s="2877">
        <f>H12-H15</f>
        <v>0</v>
      </c>
      <c r="I16" s="2877">
        <f>I12-I15</f>
        <v>0</v>
      </c>
      <c r="J16" s="258"/>
      <c r="K16" s="6"/>
    </row>
    <row r="17" spans="1:13" x14ac:dyDescent="0.25">
      <c r="A17" s="957">
        <v>1</v>
      </c>
      <c r="B17" s="4"/>
      <c r="C17" s="258"/>
      <c r="D17" s="258" t="s">
        <v>1203</v>
      </c>
      <c r="E17" s="258"/>
      <c r="F17" s="3329" t="e">
        <f>F16/F7</f>
        <v>#DIV/0!</v>
      </c>
      <c r="G17" s="3329" t="e">
        <f>G16/G7</f>
        <v>#DIV/0!</v>
      </c>
      <c r="H17" s="3329" t="e">
        <f>H16/H7</f>
        <v>#DIV/0!</v>
      </c>
      <c r="I17" s="3329" t="e">
        <f>I16/I7</f>
        <v>#DIV/0!</v>
      </c>
      <c r="J17" s="258"/>
      <c r="K17" s="6"/>
    </row>
    <row r="18" spans="1:13" ht="20.100000000000001" hidden="1" customHeight="1" x14ac:dyDescent="0.25">
      <c r="A18" s="957">
        <v>0</v>
      </c>
      <c r="B18" s="4"/>
      <c r="C18" s="258"/>
      <c r="D18" s="258" t="s">
        <v>241</v>
      </c>
      <c r="E18" s="258"/>
      <c r="F18" s="3329"/>
      <c r="G18" s="3329"/>
      <c r="H18" s="3329"/>
      <c r="I18" s="3329"/>
      <c r="J18" s="258"/>
      <c r="K18" s="6"/>
    </row>
    <row r="19" spans="1:13" x14ac:dyDescent="0.25">
      <c r="B19" s="4"/>
      <c r="C19" s="258"/>
      <c r="D19" s="258" t="s">
        <v>1228</v>
      </c>
      <c r="E19" s="258"/>
      <c r="F19" s="3329">
        <f>IF(F18="",F54,F18/F7)</f>
        <v>0</v>
      </c>
      <c r="G19" s="3329">
        <f>IF(G18="",G54,G18/G7)</f>
        <v>0</v>
      </c>
      <c r="H19" s="3329">
        <f>IF(H18="",H54,H18/H7)</f>
        <v>0</v>
      </c>
      <c r="I19" s="3329">
        <f>IF(I18="",I54,I18/I7)</f>
        <v>0</v>
      </c>
      <c r="J19" s="258"/>
      <c r="K19" s="6"/>
      <c r="M19" s="12" t="s">
        <v>1227</v>
      </c>
    </row>
    <row r="20" spans="1:13" x14ac:dyDescent="0.25">
      <c r="B20" s="4"/>
      <c r="C20" s="258"/>
      <c r="D20" s="258" t="s">
        <v>1204</v>
      </c>
      <c r="E20" s="258"/>
      <c r="F20" s="3878" t="e">
        <f>F17</f>
        <v>#DIV/0!</v>
      </c>
      <c r="G20" s="3878" t="e">
        <f>G17</f>
        <v>#DIV/0!</v>
      </c>
      <c r="H20" s="3878" t="e">
        <f>H17</f>
        <v>#DIV/0!</v>
      </c>
      <c r="I20" s="3878" t="e">
        <f>I17</f>
        <v>#DIV/0!</v>
      </c>
      <c r="J20" s="258"/>
      <c r="K20" s="6"/>
    </row>
    <row r="21" spans="1:13" x14ac:dyDescent="0.25">
      <c r="B21" s="4"/>
      <c r="C21" s="258"/>
      <c r="D21" s="258" t="s">
        <v>1205</v>
      </c>
      <c r="E21" s="258"/>
      <c r="F21" s="3329" t="e">
        <f>F19-F20</f>
        <v>#DIV/0!</v>
      </c>
      <c r="G21" s="3329" t="e">
        <f>G19-G20</f>
        <v>#DIV/0!</v>
      </c>
      <c r="H21" s="3329" t="e">
        <f>H19-H20</f>
        <v>#DIV/0!</v>
      </c>
      <c r="I21" s="3329" t="e">
        <f>I19-I20</f>
        <v>#DIV/0!</v>
      </c>
      <c r="J21" s="258"/>
      <c r="K21" s="6"/>
    </row>
    <row r="22" spans="1:13" x14ac:dyDescent="0.25">
      <c r="B22" s="4"/>
      <c r="C22" s="258"/>
      <c r="D22" s="258" t="s">
        <v>1206</v>
      </c>
      <c r="E22" s="258"/>
      <c r="F22" s="3399" t="e">
        <f>F21/F19</f>
        <v>#DIV/0!</v>
      </c>
      <c r="G22" s="3399" t="e">
        <f>G21/G19</f>
        <v>#DIV/0!</v>
      </c>
      <c r="H22" s="3399" t="e">
        <f>H21/H19</f>
        <v>#DIV/0!</v>
      </c>
      <c r="I22" s="3399" t="e">
        <f>I21/I19</f>
        <v>#DIV/0!</v>
      </c>
      <c r="J22" s="258"/>
      <c r="K22" s="6"/>
      <c r="M22" s="150" t="s">
        <v>298</v>
      </c>
    </row>
    <row r="23" spans="1:13" ht="20.100000000000001" customHeight="1" thickBot="1" x14ac:dyDescent="0.3">
      <c r="B23" s="4"/>
      <c r="C23" s="258"/>
      <c r="D23" s="258" t="s">
        <v>1225</v>
      </c>
      <c r="E23" s="258"/>
      <c r="F23" s="3879"/>
      <c r="G23" s="3879"/>
      <c r="H23" s="3879"/>
      <c r="I23" s="3879"/>
      <c r="J23" s="258"/>
      <c r="K23" s="6"/>
      <c r="M23" s="150" t="s">
        <v>1197</v>
      </c>
    </row>
    <row r="24" spans="1:13" s="36" customFormat="1" ht="15.95" customHeight="1" thickBot="1" x14ac:dyDescent="0.3">
      <c r="A24" s="395"/>
      <c r="B24" s="87"/>
      <c r="C24" s="259"/>
      <c r="D24" s="3880" t="s">
        <v>1207</v>
      </c>
      <c r="E24" s="3880"/>
      <c r="F24" s="3881" t="e">
        <f>F22/F23</f>
        <v>#DIV/0!</v>
      </c>
      <c r="G24" s="3881" t="e">
        <f>G22/G23</f>
        <v>#DIV/0!</v>
      </c>
      <c r="H24" s="3881" t="e">
        <f>H22/H23</f>
        <v>#DIV/0!</v>
      </c>
      <c r="I24" s="3881" t="e">
        <f>I22/I23</f>
        <v>#DIV/0!</v>
      </c>
      <c r="J24" s="259"/>
      <c r="K24" s="89"/>
      <c r="M24" s="1502"/>
    </row>
    <row r="25" spans="1:13" x14ac:dyDescent="0.25">
      <c r="B25" s="4"/>
      <c r="C25" s="5"/>
      <c r="D25" s="558" t="s">
        <v>1237</v>
      </c>
      <c r="E25" s="558"/>
      <c r="F25" s="1483"/>
      <c r="G25" s="1483"/>
      <c r="H25" s="1483"/>
      <c r="I25" s="19"/>
      <c r="J25" s="5"/>
      <c r="K25" s="6"/>
    </row>
    <row r="26" spans="1:13" x14ac:dyDescent="0.25">
      <c r="B26" s="4"/>
      <c r="C26" s="5"/>
      <c r="D26" s="5"/>
      <c r="E26" s="5"/>
      <c r="F26" s="19"/>
      <c r="G26" s="19"/>
      <c r="H26" s="19"/>
      <c r="I26" s="19"/>
      <c r="J26" s="5"/>
      <c r="K26" s="6"/>
    </row>
    <row r="27" spans="1:13" ht="16.5" x14ac:dyDescent="0.3">
      <c r="B27" s="4"/>
      <c r="C27" s="5"/>
      <c r="D27" s="246" t="s">
        <v>1222</v>
      </c>
      <c r="E27" s="246"/>
      <c r="F27" s="19"/>
      <c r="G27" s="19"/>
      <c r="H27" s="19"/>
      <c r="I27" s="19"/>
      <c r="J27" s="5"/>
      <c r="K27" s="6"/>
    </row>
    <row r="28" spans="1:13" x14ac:dyDescent="0.25">
      <c r="B28" s="4"/>
      <c r="C28" s="11"/>
      <c r="D28" s="12" t="s">
        <v>709</v>
      </c>
      <c r="E28" s="12"/>
      <c r="F28" s="124"/>
      <c r="G28" s="124"/>
      <c r="H28" s="124"/>
      <c r="I28" s="124"/>
      <c r="J28" s="11"/>
      <c r="K28" s="6"/>
      <c r="M28" s="12" t="s">
        <v>1226</v>
      </c>
    </row>
    <row r="29" spans="1:13" x14ac:dyDescent="0.25">
      <c r="B29" s="4"/>
      <c r="C29" s="90"/>
      <c r="D29" s="952" t="s">
        <v>122</v>
      </c>
      <c r="E29" s="952"/>
      <c r="F29" s="958"/>
      <c r="G29" s="1475"/>
      <c r="H29" s="1475"/>
      <c r="I29" s="958"/>
      <c r="J29" s="90"/>
      <c r="K29" s="6"/>
    </row>
    <row r="30" spans="1:13" x14ac:dyDescent="0.25">
      <c r="B30" s="4"/>
      <c r="C30" s="90"/>
      <c r="D30" s="952" t="s">
        <v>193</v>
      </c>
      <c r="E30" s="952"/>
      <c r="F30" s="958"/>
      <c r="G30" s="1475"/>
      <c r="H30" s="1475"/>
      <c r="I30" s="958"/>
      <c r="J30" s="90"/>
      <c r="K30" s="6"/>
    </row>
    <row r="31" spans="1:13" x14ac:dyDescent="0.25">
      <c r="B31" s="4"/>
      <c r="C31" s="90"/>
      <c r="D31" s="952" t="s">
        <v>194</v>
      </c>
      <c r="E31" s="952"/>
      <c r="F31" s="958"/>
      <c r="G31" s="1475"/>
      <c r="H31" s="1475"/>
      <c r="I31" s="958"/>
      <c r="J31" s="90"/>
      <c r="K31" s="6"/>
    </row>
    <row r="32" spans="1:13" x14ac:dyDescent="0.25">
      <c r="B32" s="4"/>
      <c r="C32" s="90"/>
      <c r="D32" s="952" t="s">
        <v>195</v>
      </c>
      <c r="E32" s="952"/>
      <c r="F32" s="958"/>
      <c r="G32" s="1475"/>
      <c r="H32" s="1475"/>
      <c r="I32" s="958"/>
      <c r="J32" s="90"/>
      <c r="K32" s="6"/>
    </row>
    <row r="33" spans="2:11" x14ac:dyDescent="0.25">
      <c r="B33" s="4"/>
      <c r="C33" s="90"/>
      <c r="D33" s="952" t="s">
        <v>196</v>
      </c>
      <c r="E33" s="952"/>
      <c r="F33" s="958"/>
      <c r="G33" s="1475"/>
      <c r="H33" s="1475"/>
      <c r="I33" s="958"/>
      <c r="J33" s="90"/>
      <c r="K33" s="6"/>
    </row>
    <row r="34" spans="2:11" x14ac:dyDescent="0.25">
      <c r="B34" s="4"/>
      <c r="C34" s="90"/>
      <c r="D34" s="952" t="s">
        <v>197</v>
      </c>
      <c r="E34" s="952"/>
      <c r="F34" s="959"/>
      <c r="G34" s="1476"/>
      <c r="H34" s="1476"/>
      <c r="I34" s="959"/>
      <c r="J34" s="90"/>
      <c r="K34" s="6"/>
    </row>
    <row r="35" spans="2:11" x14ac:dyDescent="0.25">
      <c r="B35" s="4"/>
      <c r="C35" s="90"/>
      <c r="D35" s="102" t="s">
        <v>755</v>
      </c>
      <c r="E35" s="102"/>
      <c r="F35" s="960"/>
      <c r="G35" s="1468"/>
      <c r="H35" s="1468"/>
      <c r="I35" s="960"/>
      <c r="J35" s="90"/>
      <c r="K35" s="6"/>
    </row>
    <row r="36" spans="2:11" x14ac:dyDescent="0.25">
      <c r="B36" s="4"/>
      <c r="C36" s="90"/>
      <c r="D36" s="102" t="s">
        <v>185</v>
      </c>
      <c r="E36" s="102"/>
      <c r="F36" s="961"/>
      <c r="G36" s="961"/>
      <c r="H36" s="961"/>
      <c r="I36" s="961"/>
      <c r="J36" s="90"/>
      <c r="K36" s="6"/>
    </row>
    <row r="37" spans="2:11" x14ac:dyDescent="0.25">
      <c r="B37" s="4"/>
      <c r="C37" s="90"/>
      <c r="D37" s="952" t="s">
        <v>186</v>
      </c>
      <c r="E37" s="952"/>
      <c r="F37" s="960"/>
      <c r="G37" s="1468"/>
      <c r="H37" s="1468"/>
      <c r="I37" s="960"/>
      <c r="J37" s="90"/>
      <c r="K37" s="6"/>
    </row>
    <row r="38" spans="2:11" x14ac:dyDescent="0.25">
      <c r="B38" s="4"/>
      <c r="C38" s="90"/>
      <c r="D38" s="4170"/>
      <c r="E38" s="4171"/>
      <c r="F38" s="960"/>
      <c r="G38" s="1468"/>
      <c r="H38" s="1468"/>
      <c r="I38" s="960"/>
      <c r="J38" s="90"/>
      <c r="K38" s="6"/>
    </row>
    <row r="39" spans="2:11" x14ac:dyDescent="0.25">
      <c r="B39" s="4"/>
      <c r="C39" s="90"/>
      <c r="D39" s="4170"/>
      <c r="E39" s="4171"/>
      <c r="F39" s="960"/>
      <c r="G39" s="1468"/>
      <c r="H39" s="1468"/>
      <c r="I39" s="960"/>
      <c r="J39" s="90"/>
      <c r="K39" s="6"/>
    </row>
    <row r="40" spans="2:11" x14ac:dyDescent="0.25">
      <c r="B40" s="4"/>
      <c r="C40" s="90"/>
      <c r="D40" s="4168"/>
      <c r="E40" s="4169"/>
      <c r="F40" s="962"/>
      <c r="G40" s="1477"/>
      <c r="H40" s="1477"/>
      <c r="I40" s="962"/>
      <c r="J40" s="90"/>
      <c r="K40" s="6"/>
    </row>
    <row r="41" spans="2:11" x14ac:dyDescent="0.25">
      <c r="B41" s="4"/>
      <c r="C41" s="90"/>
      <c r="D41" s="102" t="s">
        <v>1220</v>
      </c>
      <c r="E41" s="102"/>
      <c r="F41" s="963">
        <f>F35+F37+F38+F39+F40</f>
        <v>0</v>
      </c>
      <c r="G41" s="963">
        <f>G35+G37+G38+G39+G40</f>
        <v>0</v>
      </c>
      <c r="H41" s="963">
        <f>H35+H37+H38+H39+H40</f>
        <v>0</v>
      </c>
      <c r="I41" s="963">
        <f>I35+I37+I38+I39+I40</f>
        <v>0</v>
      </c>
      <c r="J41" s="90"/>
      <c r="K41" s="6"/>
    </row>
    <row r="42" spans="2:11" x14ac:dyDescent="0.25">
      <c r="B42" s="4"/>
      <c r="C42" s="90"/>
      <c r="D42" s="102" t="s">
        <v>188</v>
      </c>
      <c r="E42" s="102"/>
      <c r="F42" s="964"/>
      <c r="G42" s="964"/>
      <c r="H42" s="964"/>
      <c r="I42" s="964"/>
      <c r="J42" s="90"/>
      <c r="K42" s="6"/>
    </row>
    <row r="43" spans="2:11" x14ac:dyDescent="0.25">
      <c r="B43" s="4"/>
      <c r="C43" s="90"/>
      <c r="D43" s="952" t="s">
        <v>60</v>
      </c>
      <c r="E43" s="952"/>
      <c r="F43" s="1469"/>
      <c r="G43" s="1473"/>
      <c r="H43" s="1473"/>
      <c r="I43" s="965"/>
      <c r="J43" s="90"/>
      <c r="K43" s="6"/>
    </row>
    <row r="44" spans="2:11" x14ac:dyDescent="0.25">
      <c r="B44" s="4"/>
      <c r="C44" s="90"/>
      <c r="D44" s="952" t="s">
        <v>189</v>
      </c>
      <c r="E44" s="952"/>
      <c r="F44" s="1470"/>
      <c r="G44" s="1474"/>
      <c r="H44" s="1474"/>
      <c r="I44" s="966"/>
      <c r="J44" s="90"/>
      <c r="K44" s="6"/>
    </row>
    <row r="45" spans="2:11" x14ac:dyDescent="0.25">
      <c r="B45" s="4"/>
      <c r="C45" s="90"/>
      <c r="D45" s="952" t="s">
        <v>190</v>
      </c>
      <c r="E45" s="952"/>
      <c r="F45" s="1470"/>
      <c r="G45" s="1474"/>
      <c r="H45" s="1474"/>
      <c r="I45" s="966"/>
      <c r="J45" s="90"/>
      <c r="K45" s="6"/>
    </row>
    <row r="46" spans="2:11" x14ac:dyDescent="0.25">
      <c r="B46" s="4"/>
      <c r="C46" s="90"/>
      <c r="D46" s="952" t="s">
        <v>674</v>
      </c>
      <c r="E46" s="952"/>
      <c r="F46" s="1470"/>
      <c r="G46" s="1474"/>
      <c r="H46" s="1474"/>
      <c r="I46" s="966"/>
      <c r="J46" s="90"/>
      <c r="K46" s="6"/>
    </row>
    <row r="47" spans="2:11" x14ac:dyDescent="0.25">
      <c r="B47" s="4"/>
      <c r="C47" s="90"/>
      <c r="D47" s="952" t="s">
        <v>184</v>
      </c>
      <c r="E47" s="952"/>
      <c r="F47" s="1470"/>
      <c r="G47" s="1474"/>
      <c r="H47" s="1474"/>
      <c r="I47" s="966"/>
      <c r="J47" s="90"/>
      <c r="K47" s="6"/>
    </row>
    <row r="48" spans="2:11" x14ac:dyDescent="0.25">
      <c r="B48" s="4"/>
      <c r="C48" s="90"/>
      <c r="D48" s="4166" t="s">
        <v>192</v>
      </c>
      <c r="E48" s="4167"/>
      <c r="F48" s="967"/>
      <c r="G48" s="1478"/>
      <c r="H48" s="1478"/>
      <c r="I48" s="967"/>
      <c r="J48" s="90"/>
      <c r="K48" s="6"/>
    </row>
    <row r="49" spans="1:11" ht="15" thickBot="1" x14ac:dyDescent="0.3">
      <c r="B49" s="4"/>
      <c r="C49" s="90"/>
      <c r="D49" s="108" t="s">
        <v>209</v>
      </c>
      <c r="E49" s="108"/>
      <c r="F49" s="968">
        <f>IF(F48=0,F43*F44*F45*F46*F47,F43*F44*F45*F46*F47*F48)</f>
        <v>0</v>
      </c>
      <c r="G49" s="968">
        <f>IF(G48=0,G43*G44*G45*G46*G47,G43*G44*G45*G46*G47*G48)</f>
        <v>0</v>
      </c>
      <c r="H49" s="968">
        <f>IF(H48=0,H43*H44*H45*H46*H47,H43*H44*H45*H46*H47*H48)</f>
        <v>0</v>
      </c>
      <c r="I49" s="968">
        <f>IF(I48=0,I43*I44*I45*I46*I47,I43*I44*I45*I46*I47*I48)</f>
        <v>0</v>
      </c>
      <c r="J49" s="90"/>
      <c r="K49" s="6"/>
    </row>
    <row r="50" spans="1:11" x14ac:dyDescent="0.25">
      <c r="B50" s="4"/>
      <c r="C50" s="90"/>
      <c r="D50" s="102" t="s">
        <v>1135</v>
      </c>
      <c r="E50" s="102"/>
      <c r="F50" s="963">
        <f>F41*F49</f>
        <v>0</v>
      </c>
      <c r="G50" s="963">
        <f>G41*G49</f>
        <v>0</v>
      </c>
      <c r="H50" s="963">
        <f>H41*H49</f>
        <v>0</v>
      </c>
      <c r="I50" s="963">
        <f>I41*I49</f>
        <v>0</v>
      </c>
      <c r="J50" s="90"/>
      <c r="K50" s="6"/>
    </row>
    <row r="51" spans="1:11" x14ac:dyDescent="0.25">
      <c r="B51" s="4"/>
      <c r="C51" s="90"/>
      <c r="D51" s="1285" t="s">
        <v>1340</v>
      </c>
      <c r="E51" s="1285"/>
      <c r="F51" s="1471"/>
      <c r="G51" s="1468"/>
      <c r="H51" s="1468"/>
      <c r="I51" s="1286"/>
      <c r="J51" s="90"/>
      <c r="K51" s="6"/>
    </row>
    <row r="52" spans="1:11" x14ac:dyDescent="0.25">
      <c r="B52" s="4"/>
      <c r="C52" s="90"/>
      <c r="D52" s="1299" t="s">
        <v>1355</v>
      </c>
      <c r="E52" s="1299"/>
      <c r="F52" s="1472"/>
      <c r="G52" s="1479"/>
      <c r="H52" s="1479"/>
      <c r="I52" s="1296"/>
      <c r="J52" s="90"/>
      <c r="K52" s="6"/>
    </row>
    <row r="53" spans="1:11" ht="15" thickBot="1" x14ac:dyDescent="0.3">
      <c r="B53" s="4"/>
      <c r="C53" s="90"/>
      <c r="D53" s="1299" t="s">
        <v>1356</v>
      </c>
      <c r="E53" s="1299"/>
      <c r="F53" s="969"/>
      <c r="G53" s="1297"/>
      <c r="H53" s="1297"/>
      <c r="I53" s="1298"/>
      <c r="J53" s="90"/>
      <c r="K53" s="6"/>
    </row>
    <row r="54" spans="1:11" x14ac:dyDescent="0.25">
      <c r="B54" s="4"/>
      <c r="C54" s="90"/>
      <c r="D54" s="953" t="s">
        <v>1221</v>
      </c>
      <c r="E54" s="953"/>
      <c r="F54" s="970">
        <f>(F50+F51)*(1+F52)*(1+F53)</f>
        <v>0</v>
      </c>
      <c r="G54" s="970">
        <f>(G50+G51)*(1+G52)*(1+G53)</f>
        <v>0</v>
      </c>
      <c r="H54" s="970">
        <f>(H50+H51)*(1+H52)*(1+H53)</f>
        <v>0</v>
      </c>
      <c r="I54" s="970">
        <f>(I50+I51)*(1+I52)*(1+I53)</f>
        <v>0</v>
      </c>
      <c r="J54" s="90"/>
      <c r="K54" s="6"/>
    </row>
    <row r="55" spans="1:11" ht="15" thickBot="1" x14ac:dyDescent="0.3">
      <c r="B55" s="8"/>
      <c r="C55" s="7"/>
      <c r="D55" s="7"/>
      <c r="E55" s="7"/>
      <c r="F55" s="7"/>
      <c r="G55" s="7"/>
      <c r="H55" s="7"/>
      <c r="I55" s="7"/>
      <c r="J55" s="7"/>
      <c r="K55" s="9"/>
    </row>
    <row r="56" spans="1:11" ht="15" thickBot="1" x14ac:dyDescent="0.3"/>
    <row r="57" spans="1:11" x14ac:dyDescent="0.25">
      <c r="B57" s="1"/>
      <c r="C57" s="2"/>
      <c r="D57" s="2"/>
      <c r="E57" s="2"/>
      <c r="F57" s="2"/>
      <c r="G57" s="2"/>
      <c r="H57" s="3"/>
      <c r="I57" s="228"/>
    </row>
    <row r="58" spans="1:11" ht="16.5" x14ac:dyDescent="0.3">
      <c r="B58" s="4"/>
      <c r="C58" s="5"/>
      <c r="D58" s="246" t="s">
        <v>1232</v>
      </c>
      <c r="E58" s="246"/>
      <c r="F58" s="5"/>
      <c r="G58" s="5"/>
      <c r="H58" s="6"/>
      <c r="I58" s="228"/>
    </row>
    <row r="59" spans="1:11" ht="28.5" x14ac:dyDescent="0.25">
      <c r="B59" s="4"/>
      <c r="D59" s="12" t="s">
        <v>942</v>
      </c>
      <c r="E59" s="634" t="s">
        <v>183</v>
      </c>
      <c r="F59" s="634" t="s">
        <v>17</v>
      </c>
      <c r="G59" s="634" t="s">
        <v>1207</v>
      </c>
      <c r="H59" s="6"/>
      <c r="I59" s="228"/>
    </row>
    <row r="60" spans="1:11" ht="15.95" customHeight="1" x14ac:dyDescent="0.25">
      <c r="B60" s="4"/>
      <c r="C60" s="258"/>
      <c r="D60" s="258" t="s">
        <v>1233</v>
      </c>
      <c r="E60" s="3583">
        <f>MIN(Cost_IncurableME_GBARange)</f>
        <v>0</v>
      </c>
      <c r="F60" s="3882">
        <f>MIN(Cost_IncurableME_EffectiveAgeRange)</f>
        <v>0</v>
      </c>
      <c r="G60" s="3399" t="e">
        <f>MIN(Cost_IncurableME_AvgDepRange)</f>
        <v>#DIV/0!</v>
      </c>
      <c r="H60" s="6"/>
      <c r="I60" s="228"/>
    </row>
    <row r="61" spans="1:11" ht="15.95" customHeight="1" x14ac:dyDescent="0.25">
      <c r="B61" s="4"/>
      <c r="C61" s="258"/>
      <c r="D61" s="258" t="s">
        <v>1234</v>
      </c>
      <c r="E61" s="3583">
        <f>MAX(Cost_IncurableME_GBARange)</f>
        <v>0</v>
      </c>
      <c r="F61" s="3882">
        <f>MAX(Cost_IncurableME_EffectiveAgeRange)</f>
        <v>0</v>
      </c>
      <c r="G61" s="3399" t="e">
        <f>MAX(Cost_IncurableME_AvgDepRange)</f>
        <v>#DIV/0!</v>
      </c>
      <c r="H61" s="6"/>
      <c r="I61" s="228"/>
    </row>
    <row r="62" spans="1:11" ht="15.95" customHeight="1" x14ac:dyDescent="0.25">
      <c r="B62" s="4"/>
      <c r="C62" s="258"/>
      <c r="D62" s="258" t="s">
        <v>117</v>
      </c>
      <c r="E62" s="3583" t="e">
        <f>MEDIAN(Cost_IncurableME_GBARange)</f>
        <v>#NUM!</v>
      </c>
      <c r="F62" s="3882" t="e">
        <f>MEDIAN(Cost_IncurableME_EffectiveAgeRange)</f>
        <v>#NUM!</v>
      </c>
      <c r="G62" s="3399" t="e">
        <f>MEDIAN(Cost_IncurableME_AvgDepRange)</f>
        <v>#DIV/0!</v>
      </c>
      <c r="H62" s="6"/>
      <c r="I62" s="228"/>
    </row>
    <row r="63" spans="1:11" ht="15.95" customHeight="1" thickBot="1" x14ac:dyDescent="0.3">
      <c r="B63" s="4"/>
      <c r="C63" s="258"/>
      <c r="D63" s="2888" t="s">
        <v>1235</v>
      </c>
      <c r="E63" s="3584" t="e">
        <f>AVERAGE(Cost_IncurableME_GBARange)</f>
        <v>#DIV/0!</v>
      </c>
      <c r="F63" s="3883" t="e">
        <f>AVERAGE(Cost_IncurableME_EffectiveAgeRange)</f>
        <v>#DIV/0!</v>
      </c>
      <c r="G63" s="3633" t="e">
        <f>AVERAGE(Cost_IncurableME_AvgDepRange)</f>
        <v>#DIV/0!</v>
      </c>
      <c r="H63" s="6"/>
      <c r="I63" s="228"/>
    </row>
    <row r="64" spans="1:11" s="36" customFormat="1" ht="20.100000000000001" customHeight="1" thickBot="1" x14ac:dyDescent="0.3">
      <c r="A64" s="395"/>
      <c r="B64" s="646"/>
      <c r="C64" s="647"/>
      <c r="D64" s="885" t="s">
        <v>1236</v>
      </c>
      <c r="E64" s="885"/>
      <c r="F64" s="647"/>
      <c r="G64" s="647"/>
      <c r="H64" s="649"/>
      <c r="I64" s="879"/>
    </row>
    <row r="65" spans="1:7" ht="15" thickBot="1" x14ac:dyDescent="0.3"/>
    <row r="66" spans="1:7" x14ac:dyDescent="0.25">
      <c r="B66" s="1"/>
      <c r="C66" s="2"/>
      <c r="D66" s="202"/>
      <c r="E66" s="202"/>
      <c r="F66" s="202"/>
      <c r="G66" s="202"/>
    </row>
    <row r="67" spans="1:7" ht="16.5" x14ac:dyDescent="0.25">
      <c r="B67" s="4"/>
      <c r="C67" s="12"/>
      <c r="D67" s="519" t="s">
        <v>1498</v>
      </c>
      <c r="F67" s="519"/>
      <c r="G67" s="53"/>
    </row>
    <row r="68" spans="1:7" s="36" customFormat="1" ht="20.100000000000001" customHeight="1" x14ac:dyDescent="0.25">
      <c r="A68" s="395"/>
      <c r="B68" s="87"/>
      <c r="C68" s="259"/>
      <c r="D68" s="3699" t="s">
        <v>241</v>
      </c>
      <c r="E68" s="259"/>
      <c r="F68" s="880">
        <f>dpCost_RCN_Total</f>
        <v>29500000</v>
      </c>
      <c r="G68" s="2147"/>
    </row>
    <row r="69" spans="1:7" s="36" customFormat="1" ht="20.100000000000001" customHeight="1" x14ac:dyDescent="0.25">
      <c r="A69" s="395"/>
      <c r="B69" s="87"/>
      <c r="C69" s="259"/>
      <c r="D69" s="3699" t="s">
        <v>1223</v>
      </c>
      <c r="E69" s="259"/>
      <c r="F69" s="3429">
        <f>dpCost_IncurableMEAnnual</f>
        <v>0</v>
      </c>
      <c r="G69" s="2147"/>
    </row>
    <row r="70" spans="1:7" s="36" customFormat="1" ht="20.100000000000001" customHeight="1" x14ac:dyDescent="0.25">
      <c r="A70" s="395"/>
      <c r="B70" s="87"/>
      <c r="C70" s="259"/>
      <c r="D70" s="3699" t="s">
        <v>17</v>
      </c>
      <c r="E70" s="259"/>
      <c r="F70" s="3884">
        <f>Subject_AgeEffective</f>
        <v>0</v>
      </c>
      <c r="G70" s="2147"/>
    </row>
    <row r="71" spans="1:7" s="36" customFormat="1" ht="20.100000000000001" customHeight="1" x14ac:dyDescent="0.25">
      <c r="A71" s="395"/>
      <c r="B71" s="87"/>
      <c r="C71" s="259"/>
      <c r="D71" s="3885" t="s">
        <v>1497</v>
      </c>
      <c r="E71" s="259"/>
      <c r="F71" s="3429">
        <f>F69*F70</f>
        <v>0</v>
      </c>
      <c r="G71" s="2147"/>
    </row>
    <row r="72" spans="1:7" s="36" customFormat="1" ht="20.100000000000001" customHeight="1" thickBot="1" x14ac:dyDescent="0.3">
      <c r="A72" s="395"/>
      <c r="B72" s="87"/>
      <c r="C72" s="259"/>
      <c r="D72" s="3393" t="s">
        <v>1833</v>
      </c>
      <c r="E72" s="3204"/>
      <c r="F72" s="3400">
        <f>ROUND(F68*F71,0)</f>
        <v>0</v>
      </c>
      <c r="G72" s="2147"/>
    </row>
    <row r="73" spans="1:7" ht="20.100000000000001" customHeight="1" thickBot="1" x14ac:dyDescent="0.3">
      <c r="B73" s="646"/>
      <c r="C73" s="647"/>
      <c r="D73" s="643" t="s">
        <v>1505</v>
      </c>
      <c r="E73" s="653"/>
      <c r="F73" s="653"/>
      <c r="G73" s="653"/>
    </row>
  </sheetData>
  <mergeCells count="4">
    <mergeCell ref="D48:E48"/>
    <mergeCell ref="D40:E40"/>
    <mergeCell ref="D39:E39"/>
    <mergeCell ref="D38:E38"/>
  </mergeCells>
  <printOptions horizontalCentered="1"/>
  <pageMargins left="0.5" right="0.5" top="0.75" bottom="0.75" header="0.3" footer="0.3"/>
  <pageSetup scale="96" orientation="portrait" r:id="rId1"/>
  <drawing r:id="rId2"/>
  <legacyDrawing r:id="rId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tabColor theme="9" tint="-0.499984740745262"/>
    <pageSetUpPr fitToPage="1"/>
  </sheetPr>
  <dimension ref="A1:AF209"/>
  <sheetViews>
    <sheetView zoomScaleNormal="100" workbookViewId="0">
      <selection activeCell="D4" sqref="D4"/>
    </sheetView>
  </sheetViews>
  <sheetFormatPr defaultColWidth="8.85546875" defaultRowHeight="14.25" x14ac:dyDescent="0.25"/>
  <cols>
    <col min="1" max="1" width="5.7109375" style="96" customWidth="1"/>
    <col min="2" max="2" width="1.7109375" style="32" customWidth="1"/>
    <col min="3" max="3" width="0.85546875" style="10" customWidth="1"/>
    <col min="4" max="4" width="30.7109375" style="13" customWidth="1"/>
    <col min="5" max="6" width="12.7109375" style="13" customWidth="1"/>
    <col min="7" max="7" width="0.85546875" style="13" customWidth="1"/>
    <col min="8" max="10" width="12.7109375" style="13" customWidth="1"/>
    <col min="11" max="11" width="0.85546875" style="13" customWidth="1"/>
    <col min="12" max="12" width="12.7109375" style="13" customWidth="1"/>
    <col min="13" max="13" width="0.85546875" style="13" customWidth="1"/>
    <col min="14" max="16" width="13.28515625" style="13" customWidth="1"/>
    <col min="17" max="17" width="0.85546875" style="10" customWidth="1"/>
    <col min="18" max="18" width="1.7109375" style="10" customWidth="1"/>
    <col min="19" max="19" width="0.85546875" style="10" customWidth="1"/>
    <col min="20" max="20" width="15.7109375" style="10" customWidth="1"/>
    <col min="21" max="21" width="25.7109375" style="10" customWidth="1"/>
    <col min="22" max="25" width="25.7109375" style="10" hidden="1" customWidth="1"/>
    <col min="26" max="26" width="25.7109375" style="10" customWidth="1"/>
    <col min="27" max="31" width="25.7109375" style="10" hidden="1" customWidth="1"/>
    <col min="32" max="32" width="0.85546875" style="10" customWidth="1"/>
    <col min="33" max="33" width="1.7109375" style="10" customWidth="1"/>
    <col min="34" max="16384" width="8.85546875" style="10"/>
  </cols>
  <sheetData>
    <row r="1" spans="1:17" ht="60" customHeight="1" x14ac:dyDescent="0.25"/>
    <row r="2" spans="1:17" ht="17.25" thickBot="1" x14ac:dyDescent="0.35">
      <c r="B2" s="571"/>
      <c r="D2" s="17"/>
    </row>
    <row r="3" spans="1:17" x14ac:dyDescent="0.25">
      <c r="A3" s="957">
        <v>1</v>
      </c>
      <c r="B3" s="561"/>
      <c r="C3" s="2"/>
      <c r="D3" s="202"/>
      <c r="E3" s="202"/>
      <c r="F3" s="202"/>
      <c r="G3" s="202"/>
      <c r="H3" s="117"/>
    </row>
    <row r="4" spans="1:17" ht="16.5" x14ac:dyDescent="0.25">
      <c r="A4" s="957">
        <v>1</v>
      </c>
      <c r="B4" s="563"/>
      <c r="C4" s="18"/>
      <c r="D4" s="430" t="s">
        <v>1166</v>
      </c>
      <c r="E4" s="34"/>
      <c r="F4" s="34"/>
      <c r="G4" s="34"/>
      <c r="H4" s="118"/>
      <c r="I4" s="54"/>
      <c r="J4" s="54"/>
      <c r="K4" s="54"/>
      <c r="L4" s="54"/>
      <c r="M4" s="54"/>
      <c r="N4" s="54"/>
      <c r="O4" s="54"/>
      <c r="P4" s="54"/>
      <c r="Q4" s="42"/>
    </row>
    <row r="5" spans="1:17" ht="15" thickBot="1" x14ac:dyDescent="0.3">
      <c r="A5" s="957">
        <v>1</v>
      </c>
      <c r="B5" s="563"/>
      <c r="C5" s="12"/>
      <c r="D5" s="503" t="s">
        <v>232</v>
      </c>
      <c r="E5" s="4172" t="s">
        <v>258</v>
      </c>
      <c r="F5" s="4172"/>
      <c r="G5" s="150"/>
      <c r="H5" s="128"/>
      <c r="I5" s="150"/>
      <c r="J5" s="150"/>
      <c r="K5" s="150"/>
      <c r="L5" s="150"/>
      <c r="M5" s="150"/>
      <c r="N5" s="150"/>
      <c r="O5" s="150"/>
      <c r="P5" s="150"/>
      <c r="Q5" s="12"/>
    </row>
    <row r="6" spans="1:17" hidden="1" x14ac:dyDescent="0.25">
      <c r="A6" s="957">
        <f t="shared" ref="A6:A15" si="0">IF(F6=0,0,1)</f>
        <v>0</v>
      </c>
      <c r="B6" s="563"/>
      <c r="C6" s="258"/>
      <c r="D6" s="4174" t="s">
        <v>103</v>
      </c>
      <c r="E6" s="4174"/>
      <c r="F6" s="3388"/>
      <c r="G6" s="3387"/>
      <c r="H6" s="119"/>
      <c r="I6" s="120"/>
      <c r="J6" s="121"/>
      <c r="K6" s="121"/>
      <c r="L6" s="121"/>
      <c r="M6" s="121"/>
      <c r="N6" s="121"/>
      <c r="O6" s="121"/>
      <c r="P6" s="121"/>
    </row>
    <row r="7" spans="1:17" hidden="1" x14ac:dyDescent="0.25">
      <c r="A7" s="957">
        <f t="shared" si="0"/>
        <v>0</v>
      </c>
      <c r="B7" s="563"/>
      <c r="C7" s="258"/>
      <c r="D7" s="4174" t="s">
        <v>104</v>
      </c>
      <c r="E7" s="4174"/>
      <c r="F7" s="3388"/>
      <c r="G7" s="3387"/>
      <c r="H7" s="119"/>
      <c r="I7" s="120"/>
      <c r="J7" s="121"/>
      <c r="K7" s="121"/>
      <c r="L7" s="121"/>
      <c r="M7" s="121"/>
      <c r="N7" s="121"/>
      <c r="O7" s="121"/>
      <c r="P7" s="121"/>
    </row>
    <row r="8" spans="1:17" hidden="1" x14ac:dyDescent="0.25">
      <c r="A8" s="957">
        <f t="shared" si="0"/>
        <v>0</v>
      </c>
      <c r="B8" s="563"/>
      <c r="C8" s="258"/>
      <c r="D8" s="4174" t="s">
        <v>187</v>
      </c>
      <c r="E8" s="4174"/>
      <c r="F8" s="3388"/>
      <c r="G8" s="3387"/>
      <c r="H8" s="119"/>
      <c r="I8" s="120"/>
      <c r="J8" s="121"/>
      <c r="K8" s="121"/>
      <c r="L8" s="121"/>
      <c r="M8" s="121"/>
      <c r="N8" s="121"/>
      <c r="O8" s="121"/>
      <c r="P8" s="121"/>
    </row>
    <row r="9" spans="1:17" hidden="1" x14ac:dyDescent="0.25">
      <c r="A9" s="957">
        <f t="shared" si="0"/>
        <v>0</v>
      </c>
      <c r="B9" s="563"/>
      <c r="C9" s="258"/>
      <c r="D9" s="4174" t="s">
        <v>214</v>
      </c>
      <c r="E9" s="4174"/>
      <c r="F9" s="3388"/>
      <c r="G9" s="3387"/>
      <c r="H9" s="119"/>
      <c r="I9" s="120"/>
      <c r="J9" s="121"/>
      <c r="K9" s="121"/>
      <c r="L9" s="121"/>
      <c r="M9" s="121"/>
      <c r="N9" s="121"/>
      <c r="O9" s="121"/>
      <c r="P9" s="121"/>
    </row>
    <row r="10" spans="1:17" hidden="1" x14ac:dyDescent="0.25">
      <c r="A10" s="957">
        <f t="shared" si="0"/>
        <v>0</v>
      </c>
      <c r="B10" s="563"/>
      <c r="C10" s="258"/>
      <c r="D10" s="4174" t="s">
        <v>215</v>
      </c>
      <c r="E10" s="4174"/>
      <c r="F10" s="3388"/>
      <c r="G10" s="3387"/>
      <c r="H10" s="119"/>
      <c r="I10" s="120"/>
      <c r="J10" s="121"/>
      <c r="K10" s="121"/>
      <c r="L10" s="121"/>
      <c r="M10" s="121"/>
      <c r="N10" s="121"/>
      <c r="O10" s="121"/>
      <c r="P10" s="121"/>
    </row>
    <row r="11" spans="1:17" hidden="1" x14ac:dyDescent="0.25">
      <c r="A11" s="957">
        <f t="shared" si="0"/>
        <v>0</v>
      </c>
      <c r="B11" s="563"/>
      <c r="C11" s="258"/>
      <c r="D11" s="4174" t="s">
        <v>217</v>
      </c>
      <c r="E11" s="4174"/>
      <c r="F11" s="3388"/>
      <c r="G11" s="3387"/>
      <c r="H11" s="119"/>
      <c r="I11" s="120"/>
      <c r="J11" s="121"/>
      <c r="K11" s="121"/>
      <c r="L11" s="121"/>
      <c r="M11" s="121"/>
      <c r="N11" s="121"/>
      <c r="O11" s="121"/>
      <c r="P11" s="121"/>
    </row>
    <row r="12" spans="1:17" hidden="1" x14ac:dyDescent="0.25">
      <c r="A12" s="957">
        <f t="shared" si="0"/>
        <v>0</v>
      </c>
      <c r="B12" s="563"/>
      <c r="C12" s="258"/>
      <c r="D12" s="4174" t="s">
        <v>218</v>
      </c>
      <c r="E12" s="4174"/>
      <c r="F12" s="3388"/>
      <c r="G12" s="3387"/>
      <c r="H12" s="119"/>
      <c r="I12" s="120"/>
      <c r="J12" s="121"/>
      <c r="K12" s="121"/>
      <c r="L12" s="121"/>
      <c r="M12" s="121"/>
      <c r="N12" s="121"/>
      <c r="O12" s="121"/>
      <c r="P12" s="121"/>
    </row>
    <row r="13" spans="1:17" hidden="1" x14ac:dyDescent="0.25">
      <c r="A13" s="957">
        <f t="shared" si="0"/>
        <v>0</v>
      </c>
      <c r="B13" s="563"/>
      <c r="C13" s="258"/>
      <c r="D13" s="4174" t="s">
        <v>219</v>
      </c>
      <c r="E13" s="4174"/>
      <c r="F13" s="3388"/>
      <c r="G13" s="3387"/>
      <c r="H13" s="119"/>
      <c r="I13" s="120"/>
      <c r="J13" s="121"/>
      <c r="K13" s="121"/>
      <c r="L13" s="121"/>
      <c r="M13" s="121"/>
      <c r="N13" s="121"/>
      <c r="O13" s="121"/>
      <c r="P13" s="121"/>
    </row>
    <row r="14" spans="1:17" hidden="1" x14ac:dyDescent="0.25">
      <c r="A14" s="957">
        <f t="shared" si="0"/>
        <v>0</v>
      </c>
      <c r="B14" s="563"/>
      <c r="C14" s="258"/>
      <c r="D14" s="4174" t="s">
        <v>220</v>
      </c>
      <c r="E14" s="4174"/>
      <c r="F14" s="3388"/>
      <c r="G14" s="3387"/>
      <c r="H14" s="119"/>
      <c r="I14" s="120"/>
      <c r="J14" s="121"/>
      <c r="K14" s="121"/>
      <c r="L14" s="121"/>
      <c r="M14" s="121"/>
      <c r="N14" s="121"/>
      <c r="O14" s="121"/>
      <c r="P14" s="121"/>
    </row>
    <row r="15" spans="1:17" hidden="1" x14ac:dyDescent="0.25">
      <c r="A15" s="957">
        <f t="shared" si="0"/>
        <v>0</v>
      </c>
      <c r="B15" s="563"/>
      <c r="C15" s="258"/>
      <c r="D15" s="4174" t="s">
        <v>221</v>
      </c>
      <c r="E15" s="4174"/>
      <c r="F15" s="3388"/>
      <c r="G15" s="3387"/>
      <c r="H15" s="119"/>
      <c r="I15" s="120"/>
      <c r="J15" s="121"/>
      <c r="K15" s="121"/>
      <c r="L15" s="121"/>
      <c r="M15" s="121"/>
      <c r="N15" s="121"/>
      <c r="O15" s="121"/>
      <c r="P15" s="121"/>
    </row>
    <row r="16" spans="1:17" hidden="1" x14ac:dyDescent="0.25">
      <c r="A16" s="957">
        <f>IF(AND(A17=1,SUM(A6:A15)&gt;1),1,0)</f>
        <v>0</v>
      </c>
      <c r="B16" s="563"/>
      <c r="C16" s="258"/>
      <c r="D16" s="3439" t="s">
        <v>213</v>
      </c>
      <c r="E16" s="3440"/>
      <c r="F16" s="3441">
        <f>SUM(F6:F15)</f>
        <v>0</v>
      </c>
      <c r="G16" s="3387"/>
      <c r="H16" s="119"/>
      <c r="I16" s="120"/>
      <c r="J16" s="121"/>
      <c r="K16" s="121"/>
      <c r="L16" s="121"/>
      <c r="M16" s="121"/>
      <c r="N16" s="121"/>
      <c r="O16" s="121"/>
      <c r="P16" s="121"/>
    </row>
    <row r="17" spans="1:17" ht="15" hidden="1" thickBot="1" x14ac:dyDescent="0.3">
      <c r="A17" s="957">
        <f>IF(dpCost_DM_ProfitIncentive=0,0,1)</f>
        <v>0</v>
      </c>
      <c r="B17" s="563"/>
      <c r="C17" s="258"/>
      <c r="D17" s="3189" t="s">
        <v>457</v>
      </c>
      <c r="E17" s="2979"/>
      <c r="F17" s="3388">
        <f>dpCost_DM_ProfitIncentive*F16</f>
        <v>0</v>
      </c>
      <c r="G17" s="3387"/>
      <c r="H17" s="119"/>
      <c r="I17" s="120"/>
      <c r="J17" s="2980" t="s">
        <v>18649</v>
      </c>
      <c r="K17" s="121"/>
      <c r="L17" s="121"/>
      <c r="M17" s="121"/>
      <c r="N17" s="121"/>
      <c r="O17" s="121"/>
      <c r="P17" s="121"/>
    </row>
    <row r="18" spans="1:17" s="36" customFormat="1" ht="20.100000000000001" customHeight="1" thickBot="1" x14ac:dyDescent="0.3">
      <c r="A18" s="972">
        <v>1</v>
      </c>
      <c r="B18" s="1485"/>
      <c r="C18" s="259"/>
      <c r="D18" s="3389" t="str">
        <f>IF(dpCost_DM_ProfitIncentive=0,"Total","Total Deferred Maintenance Adjustment")</f>
        <v>Total</v>
      </c>
      <c r="E18" s="2840"/>
      <c r="F18" s="3390">
        <f>MROUND(SUM(F16:F17),INDEX(Rounding_Options,MATCH(J18,Rounding_Label,0),2))</f>
        <v>0</v>
      </c>
      <c r="G18" s="3391"/>
      <c r="H18" s="1078"/>
      <c r="I18" s="150" t="s">
        <v>991</v>
      </c>
      <c r="J18" s="702" t="s">
        <v>407</v>
      </c>
      <c r="K18" s="1079"/>
      <c r="L18" s="1079"/>
      <c r="M18" s="1079"/>
      <c r="N18" s="1079"/>
      <c r="O18" s="1079"/>
      <c r="P18" s="1079"/>
    </row>
    <row r="19" spans="1:17" s="36" customFormat="1" ht="20.100000000000001" customHeight="1" thickBot="1" x14ac:dyDescent="0.3">
      <c r="A19" s="972">
        <v>1</v>
      </c>
      <c r="B19" s="1486"/>
      <c r="C19" s="647"/>
      <c r="D19" s="643" t="s">
        <v>861</v>
      </c>
      <c r="E19" s="653"/>
      <c r="F19" s="653"/>
      <c r="G19" s="653"/>
      <c r="H19" s="654"/>
      <c r="I19" s="395"/>
      <c r="J19" s="395"/>
      <c r="K19" s="395"/>
      <c r="L19" s="395"/>
      <c r="M19" s="395"/>
      <c r="N19" s="395"/>
      <c r="O19" s="395"/>
      <c r="P19" s="395"/>
    </row>
    <row r="20" spans="1:17" ht="15" thickBot="1" x14ac:dyDescent="0.3">
      <c r="A20" s="957">
        <v>1</v>
      </c>
      <c r="B20" s="96">
        <v>1</v>
      </c>
    </row>
    <row r="21" spans="1:17" x14ac:dyDescent="0.25">
      <c r="A21" s="957">
        <v>1</v>
      </c>
      <c r="B21" s="561">
        <f t="shared" ref="B21:B37" si="1">IF(Cost_DepreciationMethod="Breakdown",1,0)</f>
        <v>0</v>
      </c>
      <c r="C21" s="2"/>
      <c r="D21" s="202"/>
      <c r="E21" s="202"/>
      <c r="F21" s="202"/>
      <c r="G21" s="202"/>
      <c r="H21" s="202"/>
      <c r="I21" s="202"/>
      <c r="J21" s="202"/>
      <c r="K21" s="202"/>
      <c r="L21" s="202"/>
      <c r="M21" s="596"/>
    </row>
    <row r="22" spans="1:17" ht="16.5" x14ac:dyDescent="0.3">
      <c r="A22" s="957">
        <v>1</v>
      </c>
      <c r="B22" s="563">
        <f t="shared" si="1"/>
        <v>0</v>
      </c>
      <c r="C22" s="18"/>
      <c r="D22" s="27" t="s">
        <v>1167</v>
      </c>
      <c r="E22" s="34"/>
      <c r="F22" s="34"/>
      <c r="G22" s="34"/>
      <c r="H22" s="34"/>
      <c r="I22" s="34"/>
      <c r="J22" s="34"/>
      <c r="K22" s="34"/>
      <c r="L22" s="34"/>
      <c r="M22" s="1510"/>
      <c r="N22" s="54"/>
      <c r="O22" s="54"/>
      <c r="P22" s="54"/>
      <c r="Q22" s="42"/>
    </row>
    <row r="23" spans="1:17" x14ac:dyDescent="0.25">
      <c r="A23" s="957">
        <v>1</v>
      </c>
      <c r="B23" s="563">
        <f t="shared" si="1"/>
        <v>0</v>
      </c>
      <c r="C23" s="12"/>
      <c r="D23" s="150"/>
      <c r="E23" s="55"/>
      <c r="F23" s="55" t="s">
        <v>234</v>
      </c>
      <c r="G23" s="55"/>
      <c r="H23" s="55" t="s">
        <v>1515</v>
      </c>
      <c r="I23" s="55" t="s">
        <v>141</v>
      </c>
      <c r="J23" s="55" t="s">
        <v>93</v>
      </c>
      <c r="K23" s="55"/>
      <c r="L23" s="1074"/>
      <c r="M23" s="1438"/>
      <c r="N23" s="55"/>
      <c r="O23" s="55"/>
      <c r="P23" s="55"/>
      <c r="Q23" s="12"/>
    </row>
    <row r="24" spans="1:17" x14ac:dyDescent="0.25">
      <c r="A24" s="957">
        <v>1</v>
      </c>
      <c r="B24" s="563">
        <f t="shared" si="1"/>
        <v>0</v>
      </c>
      <c r="C24" s="12"/>
      <c r="D24" s="207" t="s">
        <v>232</v>
      </c>
      <c r="E24" s="55" t="s">
        <v>233</v>
      </c>
      <c r="F24" s="55" t="s">
        <v>235</v>
      </c>
      <c r="G24" s="55"/>
      <c r="H24" s="55" t="s">
        <v>237</v>
      </c>
      <c r="I24" s="55" t="s">
        <v>1168</v>
      </c>
      <c r="J24" s="55" t="s">
        <v>1165</v>
      </c>
      <c r="K24" s="55"/>
      <c r="L24" s="1074"/>
      <c r="M24" s="1438"/>
      <c r="N24" s="55"/>
      <c r="O24" s="55"/>
      <c r="P24" s="55"/>
      <c r="Q24" s="12"/>
    </row>
    <row r="25" spans="1:17" hidden="1" x14ac:dyDescent="0.25">
      <c r="A25" s="957">
        <f>IF(E25=0,0,1)</f>
        <v>0</v>
      </c>
      <c r="B25" s="563">
        <f t="shared" si="1"/>
        <v>0</v>
      </c>
      <c r="C25" s="258"/>
      <c r="D25" s="3189" t="s">
        <v>103</v>
      </c>
      <c r="E25" s="3206"/>
      <c r="F25" s="3438"/>
      <c r="G25" s="4173"/>
      <c r="H25" s="4173"/>
      <c r="I25" s="3392" t="e">
        <f>F25/G25</f>
        <v>#DIV/0!</v>
      </c>
      <c r="J25" s="3206">
        <f t="shared" ref="J25:J34" si="2">IF(ISERR(E25*I25),0,E25*I25)</f>
        <v>0</v>
      </c>
      <c r="K25" s="3206"/>
      <c r="L25" s="792"/>
      <c r="M25" s="1511"/>
      <c r="N25" s="1514"/>
      <c r="O25" s="1514"/>
      <c r="P25" s="1514"/>
    </row>
    <row r="26" spans="1:17" hidden="1" x14ac:dyDescent="0.25">
      <c r="A26" s="957">
        <f t="shared" ref="A26:A34" si="3">IF(E26=0,0,1)</f>
        <v>0</v>
      </c>
      <c r="B26" s="563">
        <f t="shared" si="1"/>
        <v>0</v>
      </c>
      <c r="C26" s="258"/>
      <c r="D26" s="3189" t="s">
        <v>104</v>
      </c>
      <c r="E26" s="3206"/>
      <c r="F26" s="3438"/>
      <c r="G26" s="4173"/>
      <c r="H26" s="4173"/>
      <c r="I26" s="3392" t="e">
        <f t="shared" ref="I26:I34" si="4">F26/G26</f>
        <v>#DIV/0!</v>
      </c>
      <c r="J26" s="3206">
        <f t="shared" si="2"/>
        <v>0</v>
      </c>
      <c r="K26" s="3206"/>
      <c r="L26" s="792"/>
      <c r="M26" s="1511"/>
      <c r="N26" s="1514"/>
      <c r="O26" s="1514"/>
      <c r="P26" s="1514"/>
    </row>
    <row r="27" spans="1:17" hidden="1" x14ac:dyDescent="0.25">
      <c r="A27" s="957">
        <f t="shared" si="3"/>
        <v>0</v>
      </c>
      <c r="B27" s="563">
        <f t="shared" si="1"/>
        <v>0</v>
      </c>
      <c r="C27" s="258"/>
      <c r="D27" s="3189" t="s">
        <v>187</v>
      </c>
      <c r="E27" s="3206"/>
      <c r="F27" s="3438"/>
      <c r="G27" s="4173"/>
      <c r="H27" s="4173"/>
      <c r="I27" s="3392" t="e">
        <f t="shared" si="4"/>
        <v>#DIV/0!</v>
      </c>
      <c r="J27" s="3206">
        <f t="shared" si="2"/>
        <v>0</v>
      </c>
      <c r="K27" s="3206"/>
      <c r="L27" s="792"/>
      <c r="M27" s="1511"/>
      <c r="N27" s="1514"/>
      <c r="O27" s="1514"/>
      <c r="P27" s="1514"/>
    </row>
    <row r="28" spans="1:17" hidden="1" x14ac:dyDescent="0.25">
      <c r="A28" s="957">
        <f t="shared" si="3"/>
        <v>0</v>
      </c>
      <c r="B28" s="563">
        <f t="shared" si="1"/>
        <v>0</v>
      </c>
      <c r="C28" s="258"/>
      <c r="D28" s="3189" t="s">
        <v>214</v>
      </c>
      <c r="E28" s="3206"/>
      <c r="F28" s="3438"/>
      <c r="G28" s="4173"/>
      <c r="H28" s="4173"/>
      <c r="I28" s="3392" t="e">
        <f t="shared" si="4"/>
        <v>#DIV/0!</v>
      </c>
      <c r="J28" s="3206">
        <f t="shared" si="2"/>
        <v>0</v>
      </c>
      <c r="K28" s="3206"/>
      <c r="L28" s="792"/>
      <c r="M28" s="1511"/>
      <c r="N28" s="1514"/>
      <c r="O28" s="1514"/>
      <c r="P28" s="1514"/>
    </row>
    <row r="29" spans="1:17" hidden="1" x14ac:dyDescent="0.25">
      <c r="A29" s="957">
        <f t="shared" si="3"/>
        <v>0</v>
      </c>
      <c r="B29" s="563">
        <f t="shared" si="1"/>
        <v>0</v>
      </c>
      <c r="C29" s="258"/>
      <c r="D29" s="3189" t="s">
        <v>215</v>
      </c>
      <c r="E29" s="3206"/>
      <c r="F29" s="3438"/>
      <c r="G29" s="4173"/>
      <c r="H29" s="4173"/>
      <c r="I29" s="3392" t="e">
        <f t="shared" si="4"/>
        <v>#DIV/0!</v>
      </c>
      <c r="J29" s="3206">
        <f t="shared" si="2"/>
        <v>0</v>
      </c>
      <c r="K29" s="3206"/>
      <c r="L29" s="792"/>
      <c r="M29" s="1511"/>
      <c r="N29" s="1514"/>
      <c r="O29" s="1514"/>
      <c r="P29" s="1514"/>
    </row>
    <row r="30" spans="1:17" hidden="1" x14ac:dyDescent="0.25">
      <c r="A30" s="957">
        <f t="shared" si="3"/>
        <v>0</v>
      </c>
      <c r="B30" s="563">
        <f t="shared" si="1"/>
        <v>0</v>
      </c>
      <c r="C30" s="258"/>
      <c r="D30" s="3189" t="s">
        <v>217</v>
      </c>
      <c r="E30" s="3206"/>
      <c r="F30" s="3438"/>
      <c r="G30" s="4173"/>
      <c r="H30" s="4173"/>
      <c r="I30" s="3392" t="e">
        <f t="shared" si="4"/>
        <v>#DIV/0!</v>
      </c>
      <c r="J30" s="3206">
        <f t="shared" si="2"/>
        <v>0</v>
      </c>
      <c r="K30" s="3206"/>
      <c r="L30" s="792"/>
      <c r="M30" s="1511"/>
      <c r="N30" s="1514"/>
      <c r="O30" s="1514"/>
      <c r="P30" s="1514"/>
    </row>
    <row r="31" spans="1:17" hidden="1" x14ac:dyDescent="0.25">
      <c r="A31" s="957">
        <f t="shared" si="3"/>
        <v>0</v>
      </c>
      <c r="B31" s="563">
        <f t="shared" si="1"/>
        <v>0</v>
      </c>
      <c r="C31" s="258"/>
      <c r="D31" s="3189" t="s">
        <v>218</v>
      </c>
      <c r="E31" s="3206"/>
      <c r="F31" s="3438"/>
      <c r="G31" s="4173"/>
      <c r="H31" s="4173"/>
      <c r="I31" s="3392" t="e">
        <f t="shared" si="4"/>
        <v>#DIV/0!</v>
      </c>
      <c r="J31" s="3206">
        <f t="shared" si="2"/>
        <v>0</v>
      </c>
      <c r="K31" s="3206"/>
      <c r="L31" s="792"/>
      <c r="M31" s="1511"/>
      <c r="N31" s="1514"/>
      <c r="O31" s="1514"/>
      <c r="P31" s="1514"/>
    </row>
    <row r="32" spans="1:17" hidden="1" x14ac:dyDescent="0.25">
      <c r="A32" s="957">
        <f t="shared" si="3"/>
        <v>0</v>
      </c>
      <c r="B32" s="563">
        <f t="shared" si="1"/>
        <v>0</v>
      </c>
      <c r="C32" s="258"/>
      <c r="D32" s="3189" t="s">
        <v>219</v>
      </c>
      <c r="E32" s="3206"/>
      <c r="F32" s="3438"/>
      <c r="G32" s="4173"/>
      <c r="H32" s="4173"/>
      <c r="I32" s="3392" t="e">
        <f t="shared" si="4"/>
        <v>#DIV/0!</v>
      </c>
      <c r="J32" s="3206">
        <f t="shared" si="2"/>
        <v>0</v>
      </c>
      <c r="K32" s="3206"/>
      <c r="L32" s="792"/>
      <c r="M32" s="1511"/>
      <c r="N32" s="1514"/>
      <c r="O32" s="1514"/>
      <c r="P32" s="1514"/>
    </row>
    <row r="33" spans="1:16" hidden="1" x14ac:dyDescent="0.25">
      <c r="A33" s="957">
        <f t="shared" si="3"/>
        <v>0</v>
      </c>
      <c r="B33" s="563">
        <f t="shared" si="1"/>
        <v>0</v>
      </c>
      <c r="C33" s="258"/>
      <c r="D33" s="3189" t="s">
        <v>220</v>
      </c>
      <c r="E33" s="3206"/>
      <c r="F33" s="3438"/>
      <c r="G33" s="4173"/>
      <c r="H33" s="4173"/>
      <c r="I33" s="3392" t="e">
        <f t="shared" si="4"/>
        <v>#DIV/0!</v>
      </c>
      <c r="J33" s="3206">
        <f t="shared" si="2"/>
        <v>0</v>
      </c>
      <c r="K33" s="3206"/>
      <c r="L33" s="792"/>
      <c r="M33" s="1511"/>
      <c r="N33" s="1514"/>
      <c r="O33" s="1514"/>
      <c r="P33" s="1514"/>
    </row>
    <row r="34" spans="1:16" hidden="1" x14ac:dyDescent="0.25">
      <c r="A34" s="957">
        <f t="shared" si="3"/>
        <v>0</v>
      </c>
      <c r="B34" s="563">
        <f t="shared" si="1"/>
        <v>0</v>
      </c>
      <c r="C34" s="258"/>
      <c r="D34" s="3189" t="s">
        <v>221</v>
      </c>
      <c r="E34" s="3206"/>
      <c r="F34" s="3438"/>
      <c r="G34" s="4173"/>
      <c r="H34" s="4173"/>
      <c r="I34" s="3392" t="e">
        <f t="shared" si="4"/>
        <v>#DIV/0!</v>
      </c>
      <c r="J34" s="3206">
        <f t="shared" si="2"/>
        <v>0</v>
      </c>
      <c r="K34" s="3206"/>
      <c r="L34" s="792"/>
      <c r="M34" s="1511"/>
      <c r="N34" s="1514"/>
      <c r="O34" s="1514"/>
      <c r="P34" s="1514"/>
    </row>
    <row r="35" spans="1:16" s="36" customFormat="1" ht="20.100000000000001" customHeight="1" thickBot="1" x14ac:dyDescent="0.3">
      <c r="A35" s="972">
        <v>1</v>
      </c>
      <c r="B35" s="563">
        <f t="shared" si="1"/>
        <v>0</v>
      </c>
      <c r="C35" s="259"/>
      <c r="D35" s="3389" t="s">
        <v>93</v>
      </c>
      <c r="E35" s="3395">
        <f>SUM(E25:E34)</f>
        <v>0</v>
      </c>
      <c r="F35" s="3442" t="e">
        <f>SUMPRODUCT($E$25:$E$34,F25:F34)/$E$35</f>
        <v>#DIV/0!</v>
      </c>
      <c r="G35" s="3443"/>
      <c r="H35" s="3442" t="e">
        <f>SUMPRODUCT($E$25:$E$34,G25:G34)/$E$35</f>
        <v>#DIV/0!</v>
      </c>
      <c r="I35" s="3394" t="e">
        <f>dpCost_IncurableShortItemCost_Total/E35</f>
        <v>#DIV/0!</v>
      </c>
      <c r="J35" s="3395">
        <f>SUM(J25:J34)</f>
        <v>0</v>
      </c>
      <c r="K35" s="881"/>
      <c r="L35" s="1509"/>
      <c r="M35" s="1512"/>
      <c r="N35" s="1515"/>
      <c r="O35" s="1515"/>
      <c r="P35" s="1515"/>
    </row>
    <row r="36" spans="1:16" s="36" customFormat="1" ht="20.100000000000001" customHeight="1" thickBot="1" x14ac:dyDescent="0.3">
      <c r="A36" s="972">
        <v>1</v>
      </c>
      <c r="B36" s="564">
        <f t="shared" si="1"/>
        <v>0</v>
      </c>
      <c r="C36" s="647"/>
      <c r="D36" s="643" t="s">
        <v>862</v>
      </c>
      <c r="E36" s="653"/>
      <c r="F36" s="653"/>
      <c r="G36" s="653"/>
      <c r="H36" s="653"/>
      <c r="I36" s="653"/>
      <c r="J36" s="653"/>
      <c r="K36" s="653"/>
      <c r="L36" s="653"/>
      <c r="M36" s="1513"/>
      <c r="N36" s="395"/>
      <c r="O36" s="395"/>
      <c r="P36" s="395"/>
    </row>
    <row r="37" spans="1:16" ht="15" thickBot="1" x14ac:dyDescent="0.3">
      <c r="A37" s="957">
        <v>1</v>
      </c>
      <c r="B37" s="1487">
        <f t="shared" si="1"/>
        <v>0</v>
      </c>
    </row>
    <row r="38" spans="1:16" x14ac:dyDescent="0.25">
      <c r="A38" s="957">
        <v>1</v>
      </c>
      <c r="B38" s="561">
        <v>1</v>
      </c>
      <c r="C38" s="2"/>
      <c r="D38" s="202"/>
      <c r="E38" s="202"/>
      <c r="F38" s="202"/>
      <c r="G38" s="202"/>
      <c r="H38" s="117"/>
    </row>
    <row r="39" spans="1:16" ht="16.5" x14ac:dyDescent="0.25">
      <c r="A39" s="957">
        <v>1</v>
      </c>
      <c r="B39" s="563">
        <v>1</v>
      </c>
      <c r="C39" s="12"/>
      <c r="D39" s="4175" t="str">
        <f>IF(Cost_DepreciationMethod="Breakdown","Incurable - Long-Lived Deterioration",IF(Cost_DepreciationMethod="Economic Age-Life","Depreciation - Economic Age-Life Method","Incurable Deterioration"))</f>
        <v>Incurable Deterioration</v>
      </c>
      <c r="E39" s="4175"/>
      <c r="F39" s="4175"/>
      <c r="G39" s="150"/>
      <c r="H39" s="203"/>
    </row>
    <row r="40" spans="1:16" ht="15" customHeight="1" x14ac:dyDescent="0.25">
      <c r="A40" s="957">
        <v>1</v>
      </c>
      <c r="B40" s="563">
        <v>1</v>
      </c>
      <c r="C40" s="258"/>
      <c r="D40" s="2893" t="s">
        <v>241</v>
      </c>
      <c r="E40" s="258"/>
      <c r="F40" s="2877">
        <f>dpCost_RCN_Total</f>
        <v>29500000</v>
      </c>
      <c r="G40" s="3354"/>
      <c r="H40" s="203"/>
    </row>
    <row r="41" spans="1:16" ht="19.899999999999999" hidden="1" customHeight="1" x14ac:dyDescent="0.25">
      <c r="A41" s="957">
        <f>IF(OR(ISERR(SUM(E25:E34))=TRUE,SUM(E25:E34)=0),0,1)</f>
        <v>0</v>
      </c>
      <c r="B41" s="563">
        <v>1</v>
      </c>
      <c r="C41" s="258"/>
      <c r="D41" s="2895" t="s">
        <v>1592</v>
      </c>
      <c r="E41" s="258"/>
      <c r="F41" s="2877">
        <f>IF(ISERR(SUM(E25:E34))=TRUE,0,-SUM(E25:E34))</f>
        <v>0</v>
      </c>
      <c r="G41" s="3354"/>
      <c r="H41" s="203"/>
    </row>
    <row r="42" spans="1:16" ht="19.899999999999999" hidden="1" customHeight="1" x14ac:dyDescent="0.25">
      <c r="A42" s="957">
        <f>IF(dpCost_CurableItemCost_Total=0,0,1)</f>
        <v>0</v>
      </c>
      <c r="B42" s="563">
        <v>1</v>
      </c>
      <c r="C42" s="258"/>
      <c r="D42" s="2893" t="s">
        <v>242</v>
      </c>
      <c r="E42" s="258"/>
      <c r="F42" s="2877">
        <f>IF(DeferredMaintenance_ScenarioSelection=2,0,-dpCost_CurableItemCost_Total)</f>
        <v>0</v>
      </c>
      <c r="G42" s="3354"/>
      <c r="H42" s="203"/>
    </row>
    <row r="43" spans="1:16" s="142" customFormat="1" ht="15" hidden="1" customHeight="1" x14ac:dyDescent="0.25">
      <c r="A43" s="976">
        <f>IF(A41+A42=0,0,1)</f>
        <v>0</v>
      </c>
      <c r="B43" s="974">
        <v>1</v>
      </c>
      <c r="C43" s="2984"/>
      <c r="D43" s="3189" t="s">
        <v>243</v>
      </c>
      <c r="E43" s="2984"/>
      <c r="F43" s="3396">
        <f>SUM(F40:F42)</f>
        <v>29500000</v>
      </c>
      <c r="G43" s="3397"/>
      <c r="H43" s="590"/>
      <c r="I43" s="497"/>
      <c r="J43" s="497"/>
      <c r="K43" s="497"/>
      <c r="L43" s="497"/>
      <c r="M43" s="497"/>
      <c r="N43" s="497"/>
      <c r="O43" s="497"/>
      <c r="P43" s="497"/>
    </row>
    <row r="44" spans="1:16" ht="19.899999999999999" customHeight="1" x14ac:dyDescent="0.25">
      <c r="A44" s="957">
        <v>1</v>
      </c>
      <c r="B44" s="563">
        <v>1</v>
      </c>
      <c r="C44" s="258"/>
      <c r="D44" s="2893" t="s">
        <v>17</v>
      </c>
      <c r="E44" s="258"/>
      <c r="F44" s="3398">
        <v>0</v>
      </c>
      <c r="G44" s="3354"/>
      <c r="H44" s="203"/>
    </row>
    <row r="45" spans="1:16" ht="19.899999999999999" customHeight="1" x14ac:dyDescent="0.25">
      <c r="A45" s="957">
        <v>1</v>
      </c>
      <c r="B45" s="563">
        <v>1</v>
      </c>
      <c r="C45" s="258"/>
      <c r="D45" s="2893" t="str">
        <f>IF(Cost_DepreciationMethod="Breakdown","Useful Life","Economic Life")</f>
        <v>Economic Life</v>
      </c>
      <c r="E45" s="258"/>
      <c r="F45" s="3398">
        <f>Subject_AgeTotalEco</f>
        <v>45</v>
      </c>
      <c r="G45" s="3354"/>
      <c r="H45" s="203"/>
    </row>
    <row r="46" spans="1:16" ht="19.899999999999999" customHeight="1" x14ac:dyDescent="0.25">
      <c r="A46" s="957">
        <v>1</v>
      </c>
      <c r="B46" s="563">
        <v>1</v>
      </c>
      <c r="C46" s="258"/>
      <c r="D46" s="2893" t="str">
        <f>IF(Cost_DepreciationRateMethod="Straight-Line (Linear)",IF(Cost_DepreciationMethod="Economic Age-Life","Calculated Depreciation Ratio","Calculated Deterioration Ratio"),IF(Cost_DepreciationMethod="Economic Age-Life","MVS Indicated Depreciation Ratio","MVS Indicated Deterioration Ratio"))</f>
        <v>Calculated Deterioration Ratio</v>
      </c>
      <c r="E46" s="258"/>
      <c r="F46" s="3399">
        <f>IF(Cost_DepreciationRateMethod="Straight-Line (Linear)",F44/F45,VLOOKUP(Subject_AgeEffective,U127:AE207,MATCH(1,U209:AE209,0),FALSE))</f>
        <v>0</v>
      </c>
      <c r="G46" s="3354"/>
      <c r="H46" s="203"/>
    </row>
    <row r="47" spans="1:16" s="36" customFormat="1" ht="15" customHeight="1" thickBot="1" x14ac:dyDescent="0.3">
      <c r="A47" s="972">
        <v>1</v>
      </c>
      <c r="B47" s="1485">
        <v>1</v>
      </c>
      <c r="C47" s="259"/>
      <c r="D47" s="3393" t="str">
        <f>IF(Cost_DepreciationMethod="Economic Age-Life","Indicated Incurable Depreciation","Indicated Incurable Deterioration")</f>
        <v>Indicated Incurable Deterioration</v>
      </c>
      <c r="E47" s="3204"/>
      <c r="F47" s="3400">
        <f>ROUND(F43*dpCost_IncurableLongCost_Percent,0)</f>
        <v>0</v>
      </c>
      <c r="G47" s="3401"/>
      <c r="H47" s="1442"/>
      <c r="I47" s="395"/>
      <c r="J47" s="395"/>
      <c r="K47" s="395"/>
      <c r="L47" s="395"/>
      <c r="M47" s="395"/>
      <c r="N47" s="395"/>
      <c r="O47" s="395"/>
      <c r="P47" s="395"/>
    </row>
    <row r="48" spans="1:16" s="36" customFormat="1" ht="20.100000000000001" customHeight="1" thickBot="1" x14ac:dyDescent="0.3">
      <c r="A48" s="972">
        <v>1</v>
      </c>
      <c r="B48" s="1486">
        <v>1</v>
      </c>
      <c r="C48" s="647"/>
      <c r="D48" s="643" t="s">
        <v>1238</v>
      </c>
      <c r="E48" s="653"/>
      <c r="F48" s="653"/>
      <c r="G48" s="653"/>
      <c r="H48" s="654"/>
      <c r="I48" s="395"/>
      <c r="J48" s="395"/>
      <c r="K48" s="395"/>
      <c r="L48" s="395"/>
      <c r="M48" s="395"/>
      <c r="N48" s="395"/>
      <c r="O48" s="395"/>
      <c r="P48" s="395"/>
    </row>
    <row r="49" spans="1:18" ht="15" thickBot="1" x14ac:dyDescent="0.3">
      <c r="A49" s="957">
        <v>1</v>
      </c>
      <c r="B49" s="32">
        <v>1</v>
      </c>
    </row>
    <row r="50" spans="1:18" x14ac:dyDescent="0.25">
      <c r="A50" s="957">
        <v>1</v>
      </c>
      <c r="B50" s="561">
        <f t="shared" ref="B50:B63" si="5">IF(OR(Cost_DepreciationMethod="Breakdown",Cost_DepreciationMethod="Modified Age-Life"),1,0)</f>
        <v>1</v>
      </c>
      <c r="C50" s="2"/>
      <c r="D50" s="202"/>
      <c r="E50" s="202"/>
      <c r="F50" s="202"/>
      <c r="G50" s="202"/>
      <c r="H50" s="117"/>
    </row>
    <row r="51" spans="1:18" ht="16.5" x14ac:dyDescent="0.25">
      <c r="A51" s="957">
        <v>1</v>
      </c>
      <c r="B51" s="563">
        <f t="shared" si="5"/>
        <v>1</v>
      </c>
      <c r="C51" s="12"/>
      <c r="D51" s="4175" t="s">
        <v>252</v>
      </c>
      <c r="E51" s="4175"/>
      <c r="F51" s="150"/>
      <c r="G51" s="150"/>
      <c r="H51" s="203"/>
    </row>
    <row r="52" spans="1:18" x14ac:dyDescent="0.25">
      <c r="A52" s="957">
        <v>1</v>
      </c>
      <c r="B52" s="563">
        <f t="shared" si="5"/>
        <v>1</v>
      </c>
      <c r="C52" s="258"/>
      <c r="D52" s="1241" t="str">
        <f>CONCATENATE("Replacement Cost New + ",Subject_Value1Type," of Land")</f>
        <v>Replacement Cost New + Market Value of Land</v>
      </c>
      <c r="E52" s="423"/>
      <c r="F52" s="3402">
        <f>dpCost_RCN_Total+dpCost_LandValue</f>
        <v>36300000</v>
      </c>
      <c r="G52" s="3387"/>
      <c r="H52" s="203"/>
    </row>
    <row r="53" spans="1:18" ht="19.899999999999999" customHeight="1" x14ac:dyDescent="0.25">
      <c r="A53" s="957">
        <v>1</v>
      </c>
      <c r="B53" s="563">
        <f t="shared" si="5"/>
        <v>1</v>
      </c>
      <c r="C53" s="258"/>
      <c r="D53" s="1241" t="s">
        <v>1529</v>
      </c>
      <c r="E53" s="423"/>
      <c r="F53" s="3402">
        <f>dpCost_TotalPhysicalDeterioration</f>
        <v>0</v>
      </c>
      <c r="G53" s="3387"/>
      <c r="H53" s="203"/>
    </row>
    <row r="54" spans="1:18" ht="19.899999999999999" customHeight="1" x14ac:dyDescent="0.25">
      <c r="A54" s="957">
        <v>1</v>
      </c>
      <c r="B54" s="563">
        <f t="shared" si="5"/>
        <v>1</v>
      </c>
      <c r="C54" s="258"/>
      <c r="D54" s="1241" t="s">
        <v>245</v>
      </c>
      <c r="E54" s="423"/>
      <c r="F54" s="3402">
        <f>'Cost Approach Schedule'!G17</f>
        <v>0</v>
      </c>
      <c r="G54" s="3387"/>
      <c r="H54" s="203"/>
    </row>
    <row r="55" spans="1:18" ht="15" customHeight="1" x14ac:dyDescent="0.25">
      <c r="A55" s="957">
        <v>1</v>
      </c>
      <c r="B55" s="563">
        <f t="shared" si="5"/>
        <v>1</v>
      </c>
      <c r="C55" s="258"/>
      <c r="D55" s="1241" t="s">
        <v>1169</v>
      </c>
      <c r="E55" s="423"/>
      <c r="F55" s="3403">
        <f>SUM(F52:F54)</f>
        <v>36300000</v>
      </c>
      <c r="G55" s="3387"/>
      <c r="H55" s="203"/>
    </row>
    <row r="56" spans="1:18" ht="19.899999999999999" customHeight="1" x14ac:dyDescent="0.25">
      <c r="A56" s="957">
        <v>1</v>
      </c>
      <c r="B56" s="563">
        <f t="shared" si="5"/>
        <v>1</v>
      </c>
      <c r="C56" s="258"/>
      <c r="D56" s="1241" t="s">
        <v>246</v>
      </c>
      <c r="E56" s="423"/>
      <c r="F56" s="3404">
        <f>dpIncome_OAR</f>
        <v>6.7500000000000004E-2</v>
      </c>
      <c r="G56" s="3387"/>
      <c r="H56" s="203"/>
    </row>
    <row r="57" spans="1:18" ht="15" customHeight="1" x14ac:dyDescent="0.25">
      <c r="A57" s="957">
        <v>1</v>
      </c>
      <c r="B57" s="563">
        <f t="shared" si="5"/>
        <v>1</v>
      </c>
      <c r="C57" s="258"/>
      <c r="D57" s="1241" t="s">
        <v>247</v>
      </c>
      <c r="E57" s="423"/>
      <c r="F57" s="3403">
        <f>F55*F56</f>
        <v>2450250</v>
      </c>
      <c r="G57" s="3387"/>
      <c r="H57" s="203"/>
    </row>
    <row r="58" spans="1:18" ht="19.899999999999999" customHeight="1" x14ac:dyDescent="0.25">
      <c r="A58" s="957">
        <v>1</v>
      </c>
      <c r="B58" s="563">
        <f t="shared" si="5"/>
        <v>1</v>
      </c>
      <c r="C58" s="258"/>
      <c r="D58" s="1241" t="s">
        <v>248</v>
      </c>
      <c r="E58" s="423"/>
      <c r="F58" s="3402">
        <f ca="1">Income_DirectCap_NOI</f>
        <v>135362</v>
      </c>
      <c r="G58" s="3387"/>
      <c r="H58" s="203"/>
    </row>
    <row r="59" spans="1:18" ht="15" customHeight="1" x14ac:dyDescent="0.25">
      <c r="A59" s="957">
        <v>1</v>
      </c>
      <c r="B59" s="563">
        <f t="shared" si="5"/>
        <v>1</v>
      </c>
      <c r="C59" s="258"/>
      <c r="D59" s="1241" t="s">
        <v>249</v>
      </c>
      <c r="E59" s="423"/>
      <c r="F59" s="3403">
        <f ca="1">IF(F57-F58&lt;0,0,F57-F58)</f>
        <v>2314888</v>
      </c>
      <c r="G59" s="3387"/>
      <c r="H59" s="203"/>
    </row>
    <row r="60" spans="1:18" ht="19.899999999999999" customHeight="1" x14ac:dyDescent="0.25">
      <c r="A60" s="957">
        <v>1</v>
      </c>
      <c r="B60" s="563">
        <f t="shared" si="5"/>
        <v>1</v>
      </c>
      <c r="C60" s="258"/>
      <c r="D60" s="1241" t="s">
        <v>250</v>
      </c>
      <c r="E60" s="423"/>
      <c r="F60" s="3404">
        <f>dpIncome_OAR</f>
        <v>6.7500000000000004E-2</v>
      </c>
      <c r="G60" s="3387"/>
      <c r="H60" s="203"/>
    </row>
    <row r="61" spans="1:18" s="36" customFormat="1" ht="15" customHeight="1" thickBot="1" x14ac:dyDescent="0.3">
      <c r="A61" s="972">
        <v>1</v>
      </c>
      <c r="B61" s="563">
        <f t="shared" si="5"/>
        <v>1</v>
      </c>
      <c r="C61" s="259"/>
      <c r="D61" s="3405" t="s">
        <v>251</v>
      </c>
      <c r="E61" s="3406"/>
      <c r="F61" s="3407">
        <f ca="1">IF(F60=0,"No OAR",ROUND(F59/F60,0))</f>
        <v>34294637</v>
      </c>
      <c r="G61" s="3391"/>
      <c r="H61" s="1442"/>
      <c r="I61" s="161"/>
      <c r="J61" s="395"/>
      <c r="K61" s="395"/>
      <c r="L61" s="395"/>
      <c r="M61" s="395"/>
      <c r="N61" s="395"/>
      <c r="O61" s="395"/>
      <c r="P61" s="395"/>
    </row>
    <row r="62" spans="1:18" s="36" customFormat="1" ht="20.100000000000001" customHeight="1" thickBot="1" x14ac:dyDescent="0.3">
      <c r="A62" s="972">
        <v>1</v>
      </c>
      <c r="B62" s="564">
        <f t="shared" si="5"/>
        <v>1</v>
      </c>
      <c r="C62" s="647"/>
      <c r="D62" s="643" t="s">
        <v>863</v>
      </c>
      <c r="E62" s="653"/>
      <c r="F62" s="653"/>
      <c r="G62" s="653"/>
      <c r="H62" s="654"/>
      <c r="I62" s="395"/>
      <c r="J62" s="395"/>
      <c r="K62" s="395"/>
      <c r="L62" s="395"/>
      <c r="M62" s="395"/>
      <c r="N62" s="395"/>
      <c r="O62" s="395"/>
      <c r="P62" s="395"/>
    </row>
    <row r="63" spans="1:18" s="36" customFormat="1" ht="15" customHeight="1" thickBot="1" x14ac:dyDescent="0.3">
      <c r="A63" s="972">
        <v>1</v>
      </c>
      <c r="B63" s="1487">
        <f t="shared" si="5"/>
        <v>1</v>
      </c>
      <c r="D63" s="1464"/>
      <c r="E63" s="395"/>
      <c r="F63" s="395"/>
      <c r="G63" s="395"/>
      <c r="H63" s="395"/>
      <c r="I63" s="395"/>
      <c r="J63" s="395"/>
      <c r="K63" s="395"/>
      <c r="L63" s="395"/>
      <c r="M63" s="395"/>
      <c r="N63" s="395"/>
      <c r="O63" s="395"/>
      <c r="P63" s="395"/>
    </row>
    <row r="64" spans="1:18" s="36" customFormat="1" ht="15" customHeight="1" x14ac:dyDescent="0.25">
      <c r="A64" s="972">
        <v>1</v>
      </c>
      <c r="B64" s="561">
        <f t="shared" ref="B64:B92" si="6">IF(Cost_DepreciationMethod="Breakdown",0,1)</f>
        <v>1</v>
      </c>
      <c r="C64" s="2"/>
      <c r="D64" s="202"/>
      <c r="E64" s="202"/>
      <c r="F64" s="202"/>
      <c r="G64" s="202"/>
      <c r="H64" s="202"/>
      <c r="I64" s="202"/>
      <c r="J64" s="202"/>
      <c r="K64" s="202"/>
      <c r="L64" s="202"/>
      <c r="M64" s="202"/>
      <c r="N64" s="202"/>
      <c r="O64" s="202"/>
      <c r="P64" s="202"/>
      <c r="Q64" s="202"/>
      <c r="R64" s="3"/>
    </row>
    <row r="65" spans="1:18" s="36" customFormat="1" ht="15" customHeight="1" x14ac:dyDescent="0.3">
      <c r="A65" s="972">
        <v>1</v>
      </c>
      <c r="B65" s="563">
        <f t="shared" si="6"/>
        <v>1</v>
      </c>
      <c r="C65" s="18"/>
      <c r="D65" s="27" t="str">
        <f>IF(Cost_DepreciationMethod="Economic Age-Life","Incurable Depreciation","Incurable Physical Deterioration")</f>
        <v>Incurable Physical Deterioration</v>
      </c>
      <c r="E65" s="34"/>
      <c r="F65" s="34"/>
      <c r="G65" s="34"/>
      <c r="H65" s="34"/>
      <c r="I65" s="34"/>
      <c r="J65" s="34"/>
      <c r="K65" s="34"/>
      <c r="L65" s="34"/>
      <c r="M65" s="34"/>
      <c r="N65" s="34"/>
      <c r="O65" s="34"/>
      <c r="P65" s="34"/>
      <c r="Q65" s="34"/>
      <c r="R65" s="74"/>
    </row>
    <row r="66" spans="1:18" s="36" customFormat="1" ht="15" customHeight="1" x14ac:dyDescent="0.25">
      <c r="A66" s="972">
        <v>1</v>
      </c>
      <c r="B66" s="563">
        <f t="shared" si="6"/>
        <v>1</v>
      </c>
      <c r="C66" s="12"/>
      <c r="D66" s="150"/>
      <c r="E66" s="55" t="s">
        <v>1488</v>
      </c>
      <c r="F66" s="55" t="s">
        <v>1523</v>
      </c>
      <c r="G66" s="55"/>
      <c r="H66" s="55" t="s">
        <v>128</v>
      </c>
      <c r="I66" s="55" t="s">
        <v>234</v>
      </c>
      <c r="J66" s="55" t="s">
        <v>236</v>
      </c>
      <c r="K66" s="55"/>
      <c r="L66" s="55" t="s">
        <v>141</v>
      </c>
      <c r="M66" s="55"/>
      <c r="N66" s="4090" t="str">
        <f>IF(Cost_DepreciationMethod="Economic Age-Life","Incurable Depreciation","Incurable Physical Deterioration")</f>
        <v>Incurable Physical Deterioration</v>
      </c>
      <c r="O66" s="634" t="s">
        <v>1525</v>
      </c>
      <c r="P66" s="634" t="s">
        <v>93</v>
      </c>
      <c r="Q66" s="55"/>
      <c r="R66" s="1436"/>
    </row>
    <row r="67" spans="1:18" s="36" customFormat="1" ht="15" customHeight="1" x14ac:dyDescent="0.25">
      <c r="A67" s="972">
        <v>1</v>
      </c>
      <c r="B67" s="563">
        <f t="shared" si="6"/>
        <v>1</v>
      </c>
      <c r="C67" s="12"/>
      <c r="D67" s="207" t="s">
        <v>1100</v>
      </c>
      <c r="E67" s="55" t="s">
        <v>233</v>
      </c>
      <c r="F67" s="634" t="s">
        <v>1524</v>
      </c>
      <c r="G67" s="55"/>
      <c r="H67" s="55" t="s">
        <v>233</v>
      </c>
      <c r="I67" s="55" t="s">
        <v>235</v>
      </c>
      <c r="J67" s="55" t="s">
        <v>237</v>
      </c>
      <c r="K67" s="55"/>
      <c r="L67" s="55" t="s">
        <v>1501</v>
      </c>
      <c r="M67" s="55"/>
      <c r="N67" s="4090"/>
      <c r="O67" s="634" t="s">
        <v>1524</v>
      </c>
      <c r="P67" s="634" t="s">
        <v>1165</v>
      </c>
      <c r="Q67" s="55"/>
      <c r="R67" s="1436"/>
    </row>
    <row r="68" spans="1:18" s="36" customFormat="1" ht="15" customHeight="1" x14ac:dyDescent="0.25">
      <c r="A68" s="1488">
        <f>IF(E68=0,0,1)</f>
        <v>1</v>
      </c>
      <c r="B68" s="1485">
        <f t="shared" si="6"/>
        <v>1</v>
      </c>
      <c r="C68" s="259"/>
      <c r="D68" s="3366" t="str">
        <f>'Building RCN'!E6</f>
        <v>Mega Warehouse</v>
      </c>
      <c r="E68" s="880">
        <f>'Other RCN'!T71</f>
        <v>27941018.391000003</v>
      </c>
      <c r="F68" s="880"/>
      <c r="G68" s="3408"/>
      <c r="H68" s="880">
        <f>SUM(E68:F68)</f>
        <v>27941018.391000003</v>
      </c>
      <c r="I68" s="3409"/>
      <c r="J68" s="3409"/>
      <c r="K68" s="3409"/>
      <c r="L68" s="3410">
        <f>IFERROR(I68/J68,0)</f>
        <v>0</v>
      </c>
      <c r="M68" s="3410"/>
      <c r="N68" s="880">
        <f t="shared" ref="N68:N77" si="7">H68*L68</f>
        <v>0</v>
      </c>
      <c r="O68" s="880">
        <f>F68</f>
        <v>0</v>
      </c>
      <c r="P68" s="880">
        <f>SUM(N68:O68)</f>
        <v>0</v>
      </c>
      <c r="Q68" s="3409"/>
      <c r="R68" s="1505"/>
    </row>
    <row r="69" spans="1:18" s="36" customFormat="1" ht="15" hidden="1" customHeight="1" x14ac:dyDescent="0.25">
      <c r="A69" s="1488">
        <f t="shared" ref="A69:A77" si="8">IF(E69=0,0,1)</f>
        <v>0</v>
      </c>
      <c r="B69" s="1485">
        <f t="shared" si="6"/>
        <v>1</v>
      </c>
      <c r="C69" s="259"/>
      <c r="D69" s="3366">
        <f>'Building RCN'!F6</f>
        <v>0</v>
      </c>
      <c r="E69" s="880">
        <f>'Other RCN'!T72</f>
        <v>0</v>
      </c>
      <c r="F69" s="880"/>
      <c r="G69" s="3408"/>
      <c r="H69" s="880">
        <f t="shared" ref="H69:H77" si="9">SUM(E69:F69)</f>
        <v>0</v>
      </c>
      <c r="I69" s="3409"/>
      <c r="J69" s="3409"/>
      <c r="K69" s="3409"/>
      <c r="L69" s="3410">
        <f t="shared" ref="L69:L77" si="10">IFERROR(I69/J69,0)</f>
        <v>0</v>
      </c>
      <c r="M69" s="3410"/>
      <c r="N69" s="880">
        <f t="shared" si="7"/>
        <v>0</v>
      </c>
      <c r="O69" s="880">
        <f t="shared" ref="O69:O77" si="11">F69</f>
        <v>0</v>
      </c>
      <c r="P69" s="880">
        <f t="shared" ref="P69:P77" si="12">SUM(N69:O69)</f>
        <v>0</v>
      </c>
      <c r="Q69" s="3409"/>
      <c r="R69" s="1505"/>
    </row>
    <row r="70" spans="1:18" s="36" customFormat="1" ht="15" hidden="1" customHeight="1" x14ac:dyDescent="0.25">
      <c r="A70" s="1488">
        <f t="shared" si="8"/>
        <v>0</v>
      </c>
      <c r="B70" s="1485">
        <f t="shared" si="6"/>
        <v>1</v>
      </c>
      <c r="C70" s="259"/>
      <c r="D70" s="3366">
        <f>'Building RCN'!G6</f>
        <v>0</v>
      </c>
      <c r="E70" s="880">
        <f>'Other RCN'!T73</f>
        <v>0</v>
      </c>
      <c r="F70" s="880"/>
      <c r="G70" s="3408"/>
      <c r="H70" s="880">
        <f t="shared" si="9"/>
        <v>0</v>
      </c>
      <c r="I70" s="3409"/>
      <c r="J70" s="3409"/>
      <c r="K70" s="3409"/>
      <c r="L70" s="3410">
        <f t="shared" si="10"/>
        <v>0</v>
      </c>
      <c r="M70" s="3410"/>
      <c r="N70" s="880">
        <f t="shared" si="7"/>
        <v>0</v>
      </c>
      <c r="O70" s="880">
        <f t="shared" si="11"/>
        <v>0</v>
      </c>
      <c r="P70" s="880">
        <f t="shared" si="12"/>
        <v>0</v>
      </c>
      <c r="Q70" s="3409"/>
      <c r="R70" s="1505"/>
    </row>
    <row r="71" spans="1:18" s="36" customFormat="1" ht="15" hidden="1" customHeight="1" x14ac:dyDescent="0.25">
      <c r="A71" s="1488">
        <f t="shared" si="8"/>
        <v>0</v>
      </c>
      <c r="B71" s="1485">
        <f t="shared" si="6"/>
        <v>1</v>
      </c>
      <c r="C71" s="259"/>
      <c r="D71" s="3366">
        <f>'Building RCN'!H6</f>
        <v>0</v>
      </c>
      <c r="E71" s="880">
        <f>'Other RCN'!T74</f>
        <v>0</v>
      </c>
      <c r="F71" s="880"/>
      <c r="G71" s="3408"/>
      <c r="H71" s="880">
        <f t="shared" si="9"/>
        <v>0</v>
      </c>
      <c r="I71" s="3409"/>
      <c r="J71" s="3409"/>
      <c r="K71" s="3409"/>
      <c r="L71" s="3410">
        <f t="shared" si="10"/>
        <v>0</v>
      </c>
      <c r="M71" s="3410"/>
      <c r="N71" s="880">
        <f t="shared" si="7"/>
        <v>0</v>
      </c>
      <c r="O71" s="880">
        <f t="shared" si="11"/>
        <v>0</v>
      </c>
      <c r="P71" s="880">
        <f t="shared" si="12"/>
        <v>0</v>
      </c>
      <c r="Q71" s="3409"/>
      <c r="R71" s="1505"/>
    </row>
    <row r="72" spans="1:18" s="36" customFormat="1" ht="15" hidden="1" customHeight="1" x14ac:dyDescent="0.25">
      <c r="A72" s="1488">
        <f t="shared" si="8"/>
        <v>0</v>
      </c>
      <c r="B72" s="1485">
        <f t="shared" si="6"/>
        <v>1</v>
      </c>
      <c r="C72" s="259"/>
      <c r="D72" s="3366">
        <f>'Building RCN'!I6</f>
        <v>0</v>
      </c>
      <c r="E72" s="880">
        <f>'Other RCN'!T75</f>
        <v>0</v>
      </c>
      <c r="F72" s="880"/>
      <c r="G72" s="3408"/>
      <c r="H72" s="880">
        <f t="shared" si="9"/>
        <v>0</v>
      </c>
      <c r="I72" s="3409"/>
      <c r="J72" s="3409"/>
      <c r="K72" s="3409"/>
      <c r="L72" s="3410">
        <f t="shared" si="10"/>
        <v>0</v>
      </c>
      <c r="M72" s="3410"/>
      <c r="N72" s="880">
        <f t="shared" si="7"/>
        <v>0</v>
      </c>
      <c r="O72" s="880">
        <f t="shared" si="11"/>
        <v>0</v>
      </c>
      <c r="P72" s="880">
        <f t="shared" si="12"/>
        <v>0</v>
      </c>
      <c r="Q72" s="3409"/>
      <c r="R72" s="1505"/>
    </row>
    <row r="73" spans="1:18" s="36" customFormat="1" ht="15" hidden="1" customHeight="1" x14ac:dyDescent="0.25">
      <c r="A73" s="1488">
        <f t="shared" si="8"/>
        <v>0</v>
      </c>
      <c r="B73" s="1485">
        <f t="shared" si="6"/>
        <v>1</v>
      </c>
      <c r="C73" s="259"/>
      <c r="D73" s="3366">
        <f>'Building RCN'!J6</f>
        <v>0</v>
      </c>
      <c r="E73" s="880">
        <f>'Other RCN'!T76</f>
        <v>0</v>
      </c>
      <c r="F73" s="880"/>
      <c r="G73" s="3408"/>
      <c r="H73" s="880">
        <f t="shared" si="9"/>
        <v>0</v>
      </c>
      <c r="I73" s="3409"/>
      <c r="J73" s="3409"/>
      <c r="K73" s="3409"/>
      <c r="L73" s="3410">
        <f t="shared" si="10"/>
        <v>0</v>
      </c>
      <c r="M73" s="3410"/>
      <c r="N73" s="880">
        <f t="shared" si="7"/>
        <v>0</v>
      </c>
      <c r="O73" s="880">
        <f t="shared" si="11"/>
        <v>0</v>
      </c>
      <c r="P73" s="880">
        <f t="shared" si="12"/>
        <v>0</v>
      </c>
      <c r="Q73" s="3409"/>
      <c r="R73" s="1505"/>
    </row>
    <row r="74" spans="1:18" s="36" customFormat="1" ht="15" hidden="1" customHeight="1" x14ac:dyDescent="0.25">
      <c r="A74" s="1488">
        <f t="shared" si="8"/>
        <v>0</v>
      </c>
      <c r="B74" s="1485">
        <f t="shared" si="6"/>
        <v>1</v>
      </c>
      <c r="C74" s="259"/>
      <c r="D74" s="3366">
        <f>'Building RCN'!K6</f>
        <v>0</v>
      </c>
      <c r="E74" s="880">
        <f>'Other RCN'!T77</f>
        <v>0</v>
      </c>
      <c r="F74" s="880"/>
      <c r="G74" s="3408"/>
      <c r="H74" s="880">
        <f t="shared" si="9"/>
        <v>0</v>
      </c>
      <c r="I74" s="3409"/>
      <c r="J74" s="3409"/>
      <c r="K74" s="3409"/>
      <c r="L74" s="3410">
        <f t="shared" si="10"/>
        <v>0</v>
      </c>
      <c r="M74" s="3410"/>
      <c r="N74" s="880">
        <f t="shared" si="7"/>
        <v>0</v>
      </c>
      <c r="O74" s="880">
        <f t="shared" si="11"/>
        <v>0</v>
      </c>
      <c r="P74" s="880">
        <f t="shared" si="12"/>
        <v>0</v>
      </c>
      <c r="Q74" s="3409"/>
      <c r="R74" s="1505"/>
    </row>
    <row r="75" spans="1:18" s="36" customFormat="1" ht="15" hidden="1" customHeight="1" x14ac:dyDescent="0.25">
      <c r="A75" s="1488">
        <f t="shared" si="8"/>
        <v>0</v>
      </c>
      <c r="B75" s="1485">
        <f t="shared" si="6"/>
        <v>1</v>
      </c>
      <c r="C75" s="259"/>
      <c r="D75" s="3366">
        <f>'Building RCN'!L6</f>
        <v>0</v>
      </c>
      <c r="E75" s="880">
        <f>'Other RCN'!T78</f>
        <v>0</v>
      </c>
      <c r="F75" s="880"/>
      <c r="G75" s="3408"/>
      <c r="H75" s="880">
        <f t="shared" si="9"/>
        <v>0</v>
      </c>
      <c r="I75" s="3409"/>
      <c r="J75" s="3409"/>
      <c r="K75" s="3409"/>
      <c r="L75" s="3410">
        <f t="shared" si="10"/>
        <v>0</v>
      </c>
      <c r="M75" s="3410"/>
      <c r="N75" s="880">
        <f t="shared" si="7"/>
        <v>0</v>
      </c>
      <c r="O75" s="880">
        <f t="shared" si="11"/>
        <v>0</v>
      </c>
      <c r="P75" s="880">
        <f t="shared" si="12"/>
        <v>0</v>
      </c>
      <c r="Q75" s="3409"/>
      <c r="R75" s="1505"/>
    </row>
    <row r="76" spans="1:18" s="36" customFormat="1" ht="15" hidden="1" customHeight="1" x14ac:dyDescent="0.25">
      <c r="A76" s="1488">
        <f t="shared" si="8"/>
        <v>0</v>
      </c>
      <c r="B76" s="1485">
        <f t="shared" si="6"/>
        <v>1</v>
      </c>
      <c r="C76" s="259"/>
      <c r="D76" s="3366">
        <f>'Building RCN'!M6</f>
        <v>0</v>
      </c>
      <c r="E76" s="880">
        <f>'Other RCN'!T79</f>
        <v>0</v>
      </c>
      <c r="F76" s="880"/>
      <c r="G76" s="3408"/>
      <c r="H76" s="880">
        <f t="shared" si="9"/>
        <v>0</v>
      </c>
      <c r="I76" s="3409"/>
      <c r="J76" s="3409"/>
      <c r="K76" s="3409"/>
      <c r="L76" s="3410">
        <f t="shared" si="10"/>
        <v>0</v>
      </c>
      <c r="M76" s="3410"/>
      <c r="N76" s="880">
        <f t="shared" si="7"/>
        <v>0</v>
      </c>
      <c r="O76" s="880">
        <f t="shared" si="11"/>
        <v>0</v>
      </c>
      <c r="P76" s="880">
        <f t="shared" si="12"/>
        <v>0</v>
      </c>
      <c r="Q76" s="3409"/>
      <c r="R76" s="1505"/>
    </row>
    <row r="77" spans="1:18" s="36" customFormat="1" ht="15" hidden="1" customHeight="1" x14ac:dyDescent="0.25">
      <c r="A77" s="1488">
        <f t="shared" si="8"/>
        <v>0</v>
      </c>
      <c r="B77" s="1485">
        <f t="shared" si="6"/>
        <v>1</v>
      </c>
      <c r="C77" s="259"/>
      <c r="D77" s="3366">
        <f>'Building RCN'!N6</f>
        <v>0</v>
      </c>
      <c r="E77" s="880">
        <f>'Other RCN'!T80</f>
        <v>0</v>
      </c>
      <c r="F77" s="880"/>
      <c r="G77" s="3408"/>
      <c r="H77" s="880">
        <f t="shared" si="9"/>
        <v>0</v>
      </c>
      <c r="I77" s="3409"/>
      <c r="J77" s="3409"/>
      <c r="K77" s="3411"/>
      <c r="L77" s="3410">
        <f t="shared" si="10"/>
        <v>0</v>
      </c>
      <c r="M77" s="3360"/>
      <c r="N77" s="3358">
        <f t="shared" si="7"/>
        <v>0</v>
      </c>
      <c r="O77" s="3358">
        <f t="shared" si="11"/>
        <v>0</v>
      </c>
      <c r="P77" s="3358">
        <f t="shared" si="12"/>
        <v>0</v>
      </c>
      <c r="Q77" s="3409"/>
      <c r="R77" s="1505"/>
    </row>
    <row r="78" spans="1:18" s="142" customFormat="1" ht="20.100000000000001" customHeight="1" x14ac:dyDescent="0.25">
      <c r="A78" s="972">
        <v>1</v>
      </c>
      <c r="B78" s="974">
        <f t="shared" si="6"/>
        <v>1</v>
      </c>
      <c r="C78" s="2984"/>
      <c r="D78" s="3368" t="s">
        <v>1486</v>
      </c>
      <c r="E78" s="3412">
        <f>SUM(E68:E77)</f>
        <v>27941018.391000003</v>
      </c>
      <c r="F78" s="3412">
        <f>SUM(F68:F77)</f>
        <v>0</v>
      </c>
      <c r="G78" s="3414"/>
      <c r="H78" s="3412">
        <f>SUM(H68:H77)</f>
        <v>27941018.391000003</v>
      </c>
      <c r="I78" s="3444">
        <f>IFERROR(SUMPRODUCT($H$68:$H$77,I68:I77)/$H$78,0)</f>
        <v>0</v>
      </c>
      <c r="J78" s="3444">
        <f>IFERROR(SUMPRODUCT($H$68:$H$77,J68:J77)/$H$78,0)</f>
        <v>0</v>
      </c>
      <c r="K78" s="3415"/>
      <c r="L78" s="3416">
        <f>IFERROR(SUMPRODUCT($H$68:$H$77,L68:L77)/$H$78,0)</f>
        <v>0</v>
      </c>
      <c r="M78" s="3416"/>
      <c r="N78" s="3417">
        <f>SUM(N68:N77)</f>
        <v>0</v>
      </c>
      <c r="O78" s="3417">
        <f>SUM(O68:O77)</f>
        <v>0</v>
      </c>
      <c r="P78" s="3417">
        <f>SUM(P68:P77)</f>
        <v>0</v>
      </c>
      <c r="Q78" s="3418"/>
      <c r="R78" s="1506"/>
    </row>
    <row r="79" spans="1:18" s="36" customFormat="1" ht="15" customHeight="1" x14ac:dyDescent="0.25">
      <c r="A79" s="1488">
        <f>IF(E79=0,0,1)</f>
        <v>1</v>
      </c>
      <c r="B79" s="1485">
        <f t="shared" si="6"/>
        <v>1</v>
      </c>
      <c r="C79" s="259"/>
      <c r="D79" s="3366" t="str">
        <f>'Other RCN'!D7</f>
        <v>Asphalt</v>
      </c>
      <c r="E79" s="880">
        <f>'Other RCN'!T82</f>
        <v>521764.1</v>
      </c>
      <c r="F79" s="880"/>
      <c r="G79" s="3408"/>
      <c r="H79" s="880">
        <f>SUM(E79:F79)</f>
        <v>521764.1</v>
      </c>
      <c r="I79" s="3409"/>
      <c r="J79" s="3409"/>
      <c r="K79" s="3409"/>
      <c r="L79" s="3410">
        <f>IFERROR(I79/J79,0)</f>
        <v>0</v>
      </c>
      <c r="M79" s="3410"/>
      <c r="N79" s="880">
        <f t="shared" ref="N79:N88" si="13">H79*L79</f>
        <v>0</v>
      </c>
      <c r="O79" s="880">
        <f>F79</f>
        <v>0</v>
      </c>
      <c r="P79" s="880">
        <f>SUM(N79:O79)</f>
        <v>0</v>
      </c>
      <c r="Q79" s="3409"/>
      <c r="R79" s="1505"/>
    </row>
    <row r="80" spans="1:18" s="36" customFormat="1" ht="15" customHeight="1" x14ac:dyDescent="0.25">
      <c r="A80" s="1488">
        <f t="shared" ref="A80:A88" si="14">IF(E80=0,0,1)</f>
        <v>1</v>
      </c>
      <c r="B80" s="1485">
        <f t="shared" si="6"/>
        <v>1</v>
      </c>
      <c r="C80" s="259"/>
      <c r="D80" s="3366" t="str">
        <f>'Other RCN'!D8</f>
        <v>Concrete</v>
      </c>
      <c r="E80" s="880">
        <f>'Other RCN'!T83</f>
        <v>240507.00300000003</v>
      </c>
      <c r="F80" s="880"/>
      <c r="G80" s="3408"/>
      <c r="H80" s="880">
        <f t="shared" ref="H80:H88" si="15">SUM(E80:F80)</f>
        <v>240507.00300000003</v>
      </c>
      <c r="I80" s="3409"/>
      <c r="J80" s="3409"/>
      <c r="K80" s="3409"/>
      <c r="L80" s="3410">
        <f t="shared" ref="L80:L88" si="16">IFERROR(I80/J80,0)</f>
        <v>0</v>
      </c>
      <c r="M80" s="3410"/>
      <c r="N80" s="880">
        <f t="shared" si="13"/>
        <v>0</v>
      </c>
      <c r="O80" s="880">
        <f t="shared" ref="O80:O88" si="17">F80</f>
        <v>0</v>
      </c>
      <c r="P80" s="880">
        <f t="shared" ref="P80:P88" si="18">SUM(N80:O80)</f>
        <v>0</v>
      </c>
      <c r="Q80" s="3409"/>
      <c r="R80" s="1505"/>
    </row>
    <row r="81" spans="1:18" s="36" customFormat="1" ht="15" customHeight="1" x14ac:dyDescent="0.25">
      <c r="A81" s="1488">
        <f t="shared" si="14"/>
        <v>1</v>
      </c>
      <c r="B81" s="1485">
        <f t="shared" si="6"/>
        <v>1</v>
      </c>
      <c r="C81" s="259"/>
      <c r="D81" s="3366" t="str">
        <f>'Other RCN'!D9</f>
        <v>Dock Levelers</v>
      </c>
      <c r="E81" s="880">
        <f>'Other RCN'!T84</f>
        <v>122408</v>
      </c>
      <c r="F81" s="880"/>
      <c r="G81" s="3408"/>
      <c r="H81" s="880">
        <f t="shared" si="15"/>
        <v>122408</v>
      </c>
      <c r="I81" s="3409"/>
      <c r="J81" s="3409"/>
      <c r="K81" s="3409"/>
      <c r="L81" s="3410">
        <f t="shared" si="16"/>
        <v>0</v>
      </c>
      <c r="M81" s="3410"/>
      <c r="N81" s="880">
        <f t="shared" si="13"/>
        <v>0</v>
      </c>
      <c r="O81" s="880">
        <f t="shared" si="17"/>
        <v>0</v>
      </c>
      <c r="P81" s="880">
        <f t="shared" si="18"/>
        <v>0</v>
      </c>
      <c r="Q81" s="3409"/>
      <c r="R81" s="1505"/>
    </row>
    <row r="82" spans="1:18" s="36" customFormat="1" ht="15" hidden="1" customHeight="1" x14ac:dyDescent="0.25">
      <c r="A82" s="1488">
        <f t="shared" si="14"/>
        <v>0</v>
      </c>
      <c r="B82" s="1485">
        <f t="shared" si="6"/>
        <v>1</v>
      </c>
      <c r="C82" s="259"/>
      <c r="D82" s="3366" t="str">
        <f>'Other RCN'!D10</f>
        <v>User Defined 4</v>
      </c>
      <c r="E82" s="880">
        <f>'Other RCN'!T85</f>
        <v>0</v>
      </c>
      <c r="F82" s="880"/>
      <c r="G82" s="3408"/>
      <c r="H82" s="880">
        <f t="shared" si="15"/>
        <v>0</v>
      </c>
      <c r="I82" s="3409"/>
      <c r="J82" s="3409"/>
      <c r="K82" s="3409"/>
      <c r="L82" s="3410">
        <f t="shared" si="16"/>
        <v>0</v>
      </c>
      <c r="M82" s="3410"/>
      <c r="N82" s="880">
        <f t="shared" si="13"/>
        <v>0</v>
      </c>
      <c r="O82" s="880">
        <f t="shared" si="17"/>
        <v>0</v>
      </c>
      <c r="P82" s="880">
        <f t="shared" si="18"/>
        <v>0</v>
      </c>
      <c r="Q82" s="3409"/>
      <c r="R82" s="1505"/>
    </row>
    <row r="83" spans="1:18" s="36" customFormat="1" ht="15" hidden="1" customHeight="1" x14ac:dyDescent="0.25">
      <c r="A83" s="1488">
        <f t="shared" si="14"/>
        <v>0</v>
      </c>
      <c r="B83" s="1485">
        <f t="shared" si="6"/>
        <v>1</v>
      </c>
      <c r="C83" s="259"/>
      <c r="D83" s="3366" t="str">
        <f>'Other RCN'!D11</f>
        <v>User Defined 5</v>
      </c>
      <c r="E83" s="880">
        <f>'Other RCN'!T86</f>
        <v>0</v>
      </c>
      <c r="F83" s="880"/>
      <c r="G83" s="3408"/>
      <c r="H83" s="880">
        <f t="shared" si="15"/>
        <v>0</v>
      </c>
      <c r="I83" s="3409"/>
      <c r="J83" s="3409"/>
      <c r="K83" s="3409"/>
      <c r="L83" s="3410">
        <f t="shared" si="16"/>
        <v>0</v>
      </c>
      <c r="M83" s="3410"/>
      <c r="N83" s="880">
        <f t="shared" si="13"/>
        <v>0</v>
      </c>
      <c r="O83" s="880">
        <f t="shared" si="17"/>
        <v>0</v>
      </c>
      <c r="P83" s="880">
        <f t="shared" si="18"/>
        <v>0</v>
      </c>
      <c r="Q83" s="3409"/>
      <c r="R83" s="1505"/>
    </row>
    <row r="84" spans="1:18" s="36" customFormat="1" ht="15" hidden="1" customHeight="1" x14ac:dyDescent="0.25">
      <c r="A84" s="1488">
        <f t="shared" si="14"/>
        <v>0</v>
      </c>
      <c r="B84" s="1485">
        <f t="shared" si="6"/>
        <v>1</v>
      </c>
      <c r="C84" s="259"/>
      <c r="D84" s="3366" t="str">
        <f>'Other RCN'!D12</f>
        <v>User Defined 6</v>
      </c>
      <c r="E84" s="880">
        <f>'Other RCN'!T87</f>
        <v>0</v>
      </c>
      <c r="F84" s="880"/>
      <c r="G84" s="3408"/>
      <c r="H84" s="880">
        <f t="shared" si="15"/>
        <v>0</v>
      </c>
      <c r="I84" s="3409"/>
      <c r="J84" s="3409"/>
      <c r="K84" s="3409"/>
      <c r="L84" s="3410">
        <f t="shared" si="16"/>
        <v>0</v>
      </c>
      <c r="M84" s="3410"/>
      <c r="N84" s="880">
        <f t="shared" si="13"/>
        <v>0</v>
      </c>
      <c r="O84" s="880">
        <f t="shared" si="17"/>
        <v>0</v>
      </c>
      <c r="P84" s="880">
        <f t="shared" si="18"/>
        <v>0</v>
      </c>
      <c r="Q84" s="3409"/>
      <c r="R84" s="1505"/>
    </row>
    <row r="85" spans="1:18" s="36" customFormat="1" ht="15" hidden="1" customHeight="1" x14ac:dyDescent="0.25">
      <c r="A85" s="1488">
        <f t="shared" si="14"/>
        <v>0</v>
      </c>
      <c r="B85" s="1485">
        <f t="shared" si="6"/>
        <v>1</v>
      </c>
      <c r="C85" s="259"/>
      <c r="D85" s="3366" t="str">
        <f>'Other RCN'!D13</f>
        <v>User Defined 7</v>
      </c>
      <c r="E85" s="880">
        <f>'Other RCN'!T88</f>
        <v>0</v>
      </c>
      <c r="F85" s="880"/>
      <c r="G85" s="3408"/>
      <c r="H85" s="880">
        <f t="shared" si="15"/>
        <v>0</v>
      </c>
      <c r="I85" s="3409"/>
      <c r="J85" s="3409"/>
      <c r="K85" s="3409"/>
      <c r="L85" s="3410">
        <f t="shared" si="16"/>
        <v>0</v>
      </c>
      <c r="M85" s="3410"/>
      <c r="N85" s="880">
        <f t="shared" si="13"/>
        <v>0</v>
      </c>
      <c r="O85" s="880">
        <f t="shared" si="17"/>
        <v>0</v>
      </c>
      <c r="P85" s="880">
        <f t="shared" si="18"/>
        <v>0</v>
      </c>
      <c r="Q85" s="3409"/>
      <c r="R85" s="1505"/>
    </row>
    <row r="86" spans="1:18" s="36" customFormat="1" ht="15" hidden="1" customHeight="1" x14ac:dyDescent="0.25">
      <c r="A86" s="1488">
        <f t="shared" si="14"/>
        <v>0</v>
      </c>
      <c r="B86" s="1485">
        <f t="shared" si="6"/>
        <v>1</v>
      </c>
      <c r="C86" s="259"/>
      <c r="D86" s="3366" t="str">
        <f>'Other RCN'!D14</f>
        <v>User Defined 8</v>
      </c>
      <c r="E86" s="880">
        <f>'Other RCN'!T89</f>
        <v>0</v>
      </c>
      <c r="F86" s="880"/>
      <c r="G86" s="3408"/>
      <c r="H86" s="880">
        <f t="shared" si="15"/>
        <v>0</v>
      </c>
      <c r="I86" s="3409"/>
      <c r="J86" s="3409"/>
      <c r="K86" s="3409"/>
      <c r="L86" s="3410">
        <f t="shared" si="16"/>
        <v>0</v>
      </c>
      <c r="M86" s="3410"/>
      <c r="N86" s="880">
        <f t="shared" si="13"/>
        <v>0</v>
      </c>
      <c r="O86" s="880">
        <f t="shared" si="17"/>
        <v>0</v>
      </c>
      <c r="P86" s="880">
        <f t="shared" si="18"/>
        <v>0</v>
      </c>
      <c r="Q86" s="3409"/>
      <c r="R86" s="1505"/>
    </row>
    <row r="87" spans="1:18" s="36" customFormat="1" ht="15" hidden="1" customHeight="1" x14ac:dyDescent="0.25">
      <c r="A87" s="1488">
        <f t="shared" si="14"/>
        <v>0</v>
      </c>
      <c r="B87" s="1485">
        <f t="shared" si="6"/>
        <v>1</v>
      </c>
      <c r="C87" s="259"/>
      <c r="D87" s="3366" t="str">
        <f>'Other RCN'!D15</f>
        <v>User Defined 9</v>
      </c>
      <c r="E87" s="880">
        <f>'Other RCN'!T90</f>
        <v>0</v>
      </c>
      <c r="F87" s="880"/>
      <c r="G87" s="3408"/>
      <c r="H87" s="880">
        <f t="shared" si="15"/>
        <v>0</v>
      </c>
      <c r="I87" s="3409"/>
      <c r="J87" s="3409"/>
      <c r="K87" s="3409"/>
      <c r="L87" s="3410">
        <f t="shared" si="16"/>
        <v>0</v>
      </c>
      <c r="M87" s="3410"/>
      <c r="N87" s="880">
        <f t="shared" si="13"/>
        <v>0</v>
      </c>
      <c r="O87" s="880">
        <f t="shared" si="17"/>
        <v>0</v>
      </c>
      <c r="P87" s="880">
        <f t="shared" si="18"/>
        <v>0</v>
      </c>
      <c r="Q87" s="3409"/>
      <c r="R87" s="1505"/>
    </row>
    <row r="88" spans="1:18" s="36" customFormat="1" ht="15" hidden="1" customHeight="1" x14ac:dyDescent="0.25">
      <c r="A88" s="1488">
        <f t="shared" si="14"/>
        <v>0</v>
      </c>
      <c r="B88" s="1485">
        <f t="shared" si="6"/>
        <v>1</v>
      </c>
      <c r="C88" s="259"/>
      <c r="D88" s="3366" t="str">
        <f>'Other RCN'!D16</f>
        <v>User Defined 10</v>
      </c>
      <c r="E88" s="880">
        <f>'Other RCN'!T91</f>
        <v>0</v>
      </c>
      <c r="F88" s="880"/>
      <c r="G88" s="3408"/>
      <c r="H88" s="880">
        <f t="shared" si="15"/>
        <v>0</v>
      </c>
      <c r="I88" s="3409"/>
      <c r="J88" s="3409"/>
      <c r="K88" s="3411"/>
      <c r="L88" s="3410">
        <f t="shared" si="16"/>
        <v>0</v>
      </c>
      <c r="M88" s="3360"/>
      <c r="N88" s="3358">
        <f t="shared" si="13"/>
        <v>0</v>
      </c>
      <c r="O88" s="3358">
        <f t="shared" si="17"/>
        <v>0</v>
      </c>
      <c r="P88" s="3358">
        <f t="shared" si="18"/>
        <v>0</v>
      </c>
      <c r="Q88" s="3409"/>
      <c r="R88" s="1505"/>
    </row>
    <row r="89" spans="1:18" s="36" customFormat="1" ht="15.95" customHeight="1" thickBot="1" x14ac:dyDescent="0.3">
      <c r="A89" s="972">
        <v>1</v>
      </c>
      <c r="B89" s="1485">
        <f t="shared" si="6"/>
        <v>1</v>
      </c>
      <c r="C89" s="259"/>
      <c r="D89" s="3374" t="s">
        <v>1489</v>
      </c>
      <c r="E89" s="3419">
        <f>SUM(E79:E88)</f>
        <v>884679.103</v>
      </c>
      <c r="F89" s="3419">
        <f>SUM(F79:F88)</f>
        <v>0</v>
      </c>
      <c r="G89" s="3420"/>
      <c r="H89" s="3419">
        <f>SUM(H79:H88)</f>
        <v>884679.103</v>
      </c>
      <c r="I89" s="3445">
        <f>IFERROR(SUMPRODUCT($H$79:$H$88,I79:I88)/$H89,0)</f>
        <v>0</v>
      </c>
      <c r="J89" s="3445">
        <f>IFERROR(SUMPRODUCT($H$79:$H$88,J79:J88)/$H89,0)</f>
        <v>0</v>
      </c>
      <c r="K89" s="3422"/>
      <c r="L89" s="3423">
        <f>IFERROR(SUMPRODUCT($H$79:$H$88,L79:L88)/$H$89,0)</f>
        <v>0</v>
      </c>
      <c r="M89" s="3424"/>
      <c r="N89" s="3425">
        <f>SUM(N79:N88)</f>
        <v>0</v>
      </c>
      <c r="O89" s="3425">
        <f>SUM(O79:O88)</f>
        <v>0</v>
      </c>
      <c r="P89" s="3425">
        <f>SUM(P79:P88)</f>
        <v>0</v>
      </c>
      <c r="Q89" s="3421"/>
      <c r="R89" s="1507"/>
    </row>
    <row r="90" spans="1:18" s="36" customFormat="1" ht="15.95" customHeight="1" thickBot="1" x14ac:dyDescent="0.3">
      <c r="A90" s="972">
        <v>1</v>
      </c>
      <c r="B90" s="1485">
        <f t="shared" si="6"/>
        <v>1</v>
      </c>
      <c r="C90" s="259"/>
      <c r="D90" s="3383" t="str">
        <f>IF(Cost_DepreciationMethod="Economic Age-Life","Depreciation Total","Physical Deterioration Total")</f>
        <v>Physical Deterioration Total</v>
      </c>
      <c r="E90" s="3386">
        <f>E78+E89</f>
        <v>28825697.494000003</v>
      </c>
      <c r="F90" s="3386">
        <f>F78+F89</f>
        <v>0</v>
      </c>
      <c r="G90" s="3426"/>
      <c r="H90" s="3386">
        <f>H78+H89</f>
        <v>28825697.494000003</v>
      </c>
      <c r="I90" s="3427">
        <f>IFERROR((($H$78*I78)+($H$89*I89))/$H$90,0)</f>
        <v>0</v>
      </c>
      <c r="J90" s="3427">
        <f>IFERROR((($H$78*J78)+($H$89*J89))/$H$90,0)</f>
        <v>0</v>
      </c>
      <c r="K90" s="3386"/>
      <c r="L90" s="3428">
        <f>IFERROR((($H$78*L78)+($H$89*L89))/$H$90,0)</f>
        <v>0</v>
      </c>
      <c r="M90" s="3428"/>
      <c r="N90" s="3386">
        <f>N78+N89</f>
        <v>0</v>
      </c>
      <c r="O90" s="3386">
        <f>O78+O89</f>
        <v>0</v>
      </c>
      <c r="P90" s="3386">
        <f>P78+P89</f>
        <v>0</v>
      </c>
      <c r="Q90" s="881"/>
      <c r="R90" s="1508"/>
    </row>
    <row r="91" spans="1:18" s="36" customFormat="1" ht="20.100000000000001" customHeight="1" thickBot="1" x14ac:dyDescent="0.3">
      <c r="A91" s="972">
        <v>1</v>
      </c>
      <c r="B91" s="564">
        <f t="shared" si="6"/>
        <v>1</v>
      </c>
      <c r="C91" s="647"/>
      <c r="D91" s="615" t="s">
        <v>1499</v>
      </c>
      <c r="E91" s="653"/>
      <c r="F91" s="653"/>
      <c r="G91" s="653"/>
      <c r="H91" s="653"/>
      <c r="I91" s="653"/>
      <c r="J91" s="653"/>
      <c r="K91" s="653"/>
      <c r="L91" s="653"/>
      <c r="M91" s="653"/>
      <c r="N91" s="653"/>
      <c r="O91" s="653"/>
      <c r="P91" s="653"/>
      <c r="Q91" s="647"/>
      <c r="R91" s="649"/>
    </row>
    <row r="92" spans="1:18" s="36" customFormat="1" ht="15" customHeight="1" thickBot="1" x14ac:dyDescent="0.3">
      <c r="A92" s="972">
        <v>1</v>
      </c>
      <c r="B92" s="243">
        <f t="shared" si="6"/>
        <v>1</v>
      </c>
      <c r="D92" s="1466"/>
      <c r="E92" s="395"/>
      <c r="F92" s="395"/>
      <c r="G92" s="395"/>
      <c r="H92" s="395"/>
      <c r="I92" s="395"/>
      <c r="J92" s="395"/>
      <c r="K92" s="395"/>
      <c r="L92" s="395"/>
      <c r="M92" s="395"/>
      <c r="N92" s="395"/>
      <c r="O92" s="395"/>
      <c r="P92" s="395"/>
    </row>
    <row r="93" spans="1:18" s="36" customFormat="1" ht="15" customHeight="1" x14ac:dyDescent="0.25">
      <c r="A93" s="1488">
        <v>1</v>
      </c>
      <c r="B93" s="561">
        <f t="shared" ref="B93:B122" si="19">IF(Cost_DepreciationMethod="Modified Age-Life",1,0)</f>
        <v>1</v>
      </c>
      <c r="C93" s="2"/>
      <c r="D93" s="202"/>
      <c r="E93" s="202"/>
      <c r="F93" s="202"/>
      <c r="G93" s="202"/>
      <c r="H93" s="202"/>
      <c r="I93" s="202"/>
      <c r="J93" s="202"/>
      <c r="K93" s="202"/>
      <c r="L93" s="202"/>
      <c r="M93" s="202"/>
      <c r="N93" s="202"/>
      <c r="O93" s="596"/>
      <c r="P93" s="13"/>
      <c r="Q93" s="13"/>
      <c r="R93" s="10"/>
    </row>
    <row r="94" spans="1:18" s="36" customFormat="1" ht="15" customHeight="1" x14ac:dyDescent="0.3">
      <c r="A94" s="1488">
        <v>1</v>
      </c>
      <c r="B94" s="563">
        <f t="shared" si="19"/>
        <v>1</v>
      </c>
      <c r="C94" s="18"/>
      <c r="D94" s="27" t="s">
        <v>1503</v>
      </c>
      <c r="E94" s="34"/>
      <c r="F94" s="34"/>
      <c r="G94" s="34"/>
      <c r="H94" s="34"/>
      <c r="I94" s="34"/>
      <c r="J94" s="34"/>
      <c r="K94" s="34"/>
      <c r="L94" s="34"/>
      <c r="M94" s="34"/>
      <c r="N94" s="34"/>
      <c r="O94" s="1510"/>
      <c r="P94" s="54"/>
      <c r="Q94" s="54"/>
      <c r="R94" s="42"/>
    </row>
    <row r="95" spans="1:18" s="36" customFormat="1" ht="15" customHeight="1" x14ac:dyDescent="0.25">
      <c r="A95" s="1488">
        <v>1</v>
      </c>
      <c r="B95" s="563">
        <f t="shared" si="19"/>
        <v>1</v>
      </c>
      <c r="C95" s="12"/>
      <c r="D95" s="150"/>
      <c r="E95" s="55"/>
      <c r="F95" s="55" t="s">
        <v>1493</v>
      </c>
      <c r="G95" s="55"/>
      <c r="H95" s="55" t="s">
        <v>1493</v>
      </c>
      <c r="I95" s="55" t="s">
        <v>1521</v>
      </c>
      <c r="J95" s="55" t="s">
        <v>229</v>
      </c>
      <c r="K95" s="55"/>
      <c r="L95" s="55"/>
      <c r="M95" s="55"/>
      <c r="N95" s="1074"/>
      <c r="O95" s="1438"/>
      <c r="P95" s="55"/>
      <c r="Q95" s="55"/>
      <c r="R95" s="55"/>
    </row>
    <row r="96" spans="1:18" s="36" customFormat="1" ht="15" customHeight="1" x14ac:dyDescent="0.25">
      <c r="A96" s="1488">
        <v>1</v>
      </c>
      <c r="B96" s="563">
        <f t="shared" si="19"/>
        <v>1</v>
      </c>
      <c r="C96" s="12"/>
      <c r="D96" s="150"/>
      <c r="E96" s="55" t="s">
        <v>1488</v>
      </c>
      <c r="F96" s="55" t="s">
        <v>1500</v>
      </c>
      <c r="G96" s="55"/>
      <c r="H96" s="55" t="s">
        <v>230</v>
      </c>
      <c r="I96" s="55" t="s">
        <v>1522</v>
      </c>
      <c r="J96" s="55" t="s">
        <v>1502</v>
      </c>
      <c r="K96" s="55"/>
      <c r="L96" s="55" t="s">
        <v>229</v>
      </c>
      <c r="M96" s="55"/>
      <c r="N96" s="1074"/>
      <c r="O96" s="1438"/>
      <c r="P96" s="55"/>
      <c r="Q96" s="55"/>
      <c r="R96" s="55"/>
    </row>
    <row r="97" spans="1:18" s="36" customFormat="1" ht="15" customHeight="1" x14ac:dyDescent="0.25">
      <c r="A97" s="1488">
        <v>1</v>
      </c>
      <c r="B97" s="563">
        <f t="shared" si="19"/>
        <v>1</v>
      </c>
      <c r="C97" s="12"/>
      <c r="D97" s="207" t="s">
        <v>1100</v>
      </c>
      <c r="E97" s="55" t="s">
        <v>233</v>
      </c>
      <c r="F97" s="55" t="s">
        <v>1165</v>
      </c>
      <c r="G97" s="55"/>
      <c r="H97" s="55" t="s">
        <v>228</v>
      </c>
      <c r="I97" s="55" t="s">
        <v>230</v>
      </c>
      <c r="J97" s="55" t="s">
        <v>141</v>
      </c>
      <c r="K97" s="55"/>
      <c r="L97" s="55" t="s">
        <v>228</v>
      </c>
      <c r="M97" s="55"/>
      <c r="N97" s="1074"/>
      <c r="O97" s="1438"/>
      <c r="P97" s="55"/>
      <c r="Q97" s="55"/>
      <c r="R97" s="55"/>
    </row>
    <row r="98" spans="1:18" s="36" customFormat="1" ht="15" customHeight="1" x14ac:dyDescent="0.25">
      <c r="A98" s="1488">
        <f>IF(E98=0,0,1)</f>
        <v>1</v>
      </c>
      <c r="B98" s="1485">
        <f t="shared" si="19"/>
        <v>1</v>
      </c>
      <c r="C98" s="259"/>
      <c r="D98" s="3366" t="str">
        <f>'Building RCN'!E6</f>
        <v>Mega Warehouse</v>
      </c>
      <c r="E98" s="880">
        <f>'Other RCN'!T71</f>
        <v>27941018.391000003</v>
      </c>
      <c r="F98" s="880">
        <f>-P68</f>
        <v>0</v>
      </c>
      <c r="G98" s="3401"/>
      <c r="H98" s="3401"/>
      <c r="I98" s="880">
        <f t="shared" ref="I98:I107" si="20">SUM(E98:H98)</f>
        <v>27941018.391000003</v>
      </c>
      <c r="J98" s="3429">
        <f ca="1">dpCost_External_Obsolescence/'Other RCN'!$T$94</f>
        <v>1.1623055854542612</v>
      </c>
      <c r="K98" s="3429"/>
      <c r="L98" s="880">
        <f t="shared" ref="L98:L107" ca="1" si="21">I98*J98</f>
        <v>32476001.739139538</v>
      </c>
      <c r="M98" s="880"/>
      <c r="N98" s="1516"/>
      <c r="O98" s="1519"/>
      <c r="P98" s="1065"/>
    </row>
    <row r="99" spans="1:18" s="36" customFormat="1" ht="15" hidden="1" customHeight="1" x14ac:dyDescent="0.25">
      <c r="A99" s="1488">
        <f t="shared" ref="A99:A107" si="22">IF(E99=0,0,1)</f>
        <v>0</v>
      </c>
      <c r="B99" s="1485">
        <f t="shared" si="19"/>
        <v>1</v>
      </c>
      <c r="C99" s="259"/>
      <c r="D99" s="3366">
        <f>'Building RCN'!F6</f>
        <v>0</v>
      </c>
      <c r="E99" s="880">
        <f>'Other RCN'!T72</f>
        <v>0</v>
      </c>
      <c r="F99" s="880">
        <f t="shared" ref="F99:F107" si="23">-P69</f>
        <v>0</v>
      </c>
      <c r="G99" s="3401"/>
      <c r="H99" s="3401"/>
      <c r="I99" s="880">
        <f t="shared" si="20"/>
        <v>0</v>
      </c>
      <c r="J99" s="3429">
        <f ca="1">dpCost_External_Obsolescence/'Other RCN'!$T$94</f>
        <v>1.1623055854542612</v>
      </c>
      <c r="K99" s="3429"/>
      <c r="L99" s="880">
        <f t="shared" ca="1" si="21"/>
        <v>0</v>
      </c>
      <c r="M99" s="880"/>
      <c r="N99" s="1516"/>
      <c r="O99" s="1519"/>
      <c r="P99" s="1065"/>
    </row>
    <row r="100" spans="1:18" s="36" customFormat="1" ht="15" hidden="1" customHeight="1" x14ac:dyDescent="0.25">
      <c r="A100" s="1488">
        <f t="shared" si="22"/>
        <v>0</v>
      </c>
      <c r="B100" s="1485">
        <f t="shared" si="19"/>
        <v>1</v>
      </c>
      <c r="C100" s="259"/>
      <c r="D100" s="3366">
        <f>'Building RCN'!G6</f>
        <v>0</v>
      </c>
      <c r="E100" s="880">
        <f>'Other RCN'!T73</f>
        <v>0</v>
      </c>
      <c r="F100" s="880">
        <f t="shared" si="23"/>
        <v>0</v>
      </c>
      <c r="G100" s="3401"/>
      <c r="H100" s="3401"/>
      <c r="I100" s="880">
        <f t="shared" si="20"/>
        <v>0</v>
      </c>
      <c r="J100" s="3429">
        <f ca="1">dpCost_External_Obsolescence/'Other RCN'!$T$94</f>
        <v>1.1623055854542612</v>
      </c>
      <c r="K100" s="3429"/>
      <c r="L100" s="880">
        <f t="shared" ca="1" si="21"/>
        <v>0</v>
      </c>
      <c r="M100" s="880"/>
      <c r="N100" s="1516"/>
      <c r="O100" s="1519"/>
      <c r="P100" s="1065"/>
    </row>
    <row r="101" spans="1:18" s="36" customFormat="1" ht="15" hidden="1" customHeight="1" x14ac:dyDescent="0.25">
      <c r="A101" s="1488">
        <f t="shared" si="22"/>
        <v>0</v>
      </c>
      <c r="B101" s="1485">
        <f t="shared" si="19"/>
        <v>1</v>
      </c>
      <c r="C101" s="259"/>
      <c r="D101" s="3366">
        <f>'Building RCN'!H6</f>
        <v>0</v>
      </c>
      <c r="E101" s="880">
        <f>'Other RCN'!T74</f>
        <v>0</v>
      </c>
      <c r="F101" s="880">
        <f t="shared" si="23"/>
        <v>0</v>
      </c>
      <c r="G101" s="3401"/>
      <c r="H101" s="3401"/>
      <c r="I101" s="880">
        <f t="shared" si="20"/>
        <v>0</v>
      </c>
      <c r="J101" s="3429">
        <f ca="1">dpCost_External_Obsolescence/'Other RCN'!$T$94</f>
        <v>1.1623055854542612</v>
      </c>
      <c r="K101" s="3429"/>
      <c r="L101" s="880">
        <f t="shared" ca="1" si="21"/>
        <v>0</v>
      </c>
      <c r="M101" s="880"/>
      <c r="N101" s="1516"/>
      <c r="O101" s="1519"/>
      <c r="P101" s="1065"/>
    </row>
    <row r="102" spans="1:18" s="36" customFormat="1" ht="15" hidden="1" customHeight="1" x14ac:dyDescent="0.25">
      <c r="A102" s="1488">
        <f t="shared" si="22"/>
        <v>0</v>
      </c>
      <c r="B102" s="1485">
        <f t="shared" si="19"/>
        <v>1</v>
      </c>
      <c r="C102" s="259"/>
      <c r="D102" s="3366">
        <f>'Building RCN'!I6</f>
        <v>0</v>
      </c>
      <c r="E102" s="880">
        <f>'Other RCN'!T75</f>
        <v>0</v>
      </c>
      <c r="F102" s="880">
        <f t="shared" si="23"/>
        <v>0</v>
      </c>
      <c r="G102" s="3401"/>
      <c r="H102" s="3401"/>
      <c r="I102" s="880">
        <f t="shared" si="20"/>
        <v>0</v>
      </c>
      <c r="J102" s="3429">
        <f ca="1">dpCost_External_Obsolescence/'Other RCN'!$T$94</f>
        <v>1.1623055854542612</v>
      </c>
      <c r="K102" s="3429"/>
      <c r="L102" s="880">
        <f t="shared" ca="1" si="21"/>
        <v>0</v>
      </c>
      <c r="M102" s="880"/>
      <c r="N102" s="1516"/>
      <c r="O102" s="1519"/>
      <c r="P102" s="1065"/>
    </row>
    <row r="103" spans="1:18" s="36" customFormat="1" ht="15" hidden="1" customHeight="1" x14ac:dyDescent="0.25">
      <c r="A103" s="1488">
        <f t="shared" si="22"/>
        <v>0</v>
      </c>
      <c r="B103" s="1485">
        <f t="shared" si="19"/>
        <v>1</v>
      </c>
      <c r="C103" s="259"/>
      <c r="D103" s="3366">
        <f>'Building RCN'!J6</f>
        <v>0</v>
      </c>
      <c r="E103" s="880">
        <f>'Other RCN'!T76</f>
        <v>0</v>
      </c>
      <c r="F103" s="880">
        <f t="shared" si="23"/>
        <v>0</v>
      </c>
      <c r="G103" s="3401"/>
      <c r="H103" s="3401"/>
      <c r="I103" s="880">
        <f t="shared" si="20"/>
        <v>0</v>
      </c>
      <c r="J103" s="3429">
        <f ca="1">dpCost_External_Obsolescence/'Other RCN'!$T$94</f>
        <v>1.1623055854542612</v>
      </c>
      <c r="K103" s="3429"/>
      <c r="L103" s="880">
        <f t="shared" ca="1" si="21"/>
        <v>0</v>
      </c>
      <c r="M103" s="880"/>
      <c r="N103" s="1516"/>
      <c r="O103" s="1519"/>
      <c r="P103" s="1065"/>
    </row>
    <row r="104" spans="1:18" s="36" customFormat="1" ht="15" hidden="1" customHeight="1" x14ac:dyDescent="0.25">
      <c r="A104" s="1488">
        <f t="shared" si="22"/>
        <v>0</v>
      </c>
      <c r="B104" s="1485">
        <f t="shared" si="19"/>
        <v>1</v>
      </c>
      <c r="C104" s="259"/>
      <c r="D104" s="3366">
        <f>'Building RCN'!K6</f>
        <v>0</v>
      </c>
      <c r="E104" s="880">
        <f>'Other RCN'!T77</f>
        <v>0</v>
      </c>
      <c r="F104" s="880">
        <f t="shared" si="23"/>
        <v>0</v>
      </c>
      <c r="G104" s="3401"/>
      <c r="H104" s="3401"/>
      <c r="I104" s="880">
        <f t="shared" si="20"/>
        <v>0</v>
      </c>
      <c r="J104" s="3429">
        <f ca="1">dpCost_External_Obsolescence/'Other RCN'!$T$94</f>
        <v>1.1623055854542612</v>
      </c>
      <c r="K104" s="3429"/>
      <c r="L104" s="880">
        <f t="shared" ca="1" si="21"/>
        <v>0</v>
      </c>
      <c r="M104" s="880"/>
      <c r="N104" s="1516"/>
      <c r="O104" s="1519"/>
      <c r="P104" s="1065"/>
    </row>
    <row r="105" spans="1:18" s="36" customFormat="1" ht="15" hidden="1" customHeight="1" x14ac:dyDescent="0.25">
      <c r="A105" s="1488">
        <f t="shared" si="22"/>
        <v>0</v>
      </c>
      <c r="B105" s="1485">
        <f t="shared" si="19"/>
        <v>1</v>
      </c>
      <c r="C105" s="259"/>
      <c r="D105" s="3366">
        <f>'Building RCN'!L6</f>
        <v>0</v>
      </c>
      <c r="E105" s="880">
        <f>'Other RCN'!T78</f>
        <v>0</v>
      </c>
      <c r="F105" s="880">
        <f t="shared" si="23"/>
        <v>0</v>
      </c>
      <c r="G105" s="3401"/>
      <c r="H105" s="3401"/>
      <c r="I105" s="880">
        <f t="shared" si="20"/>
        <v>0</v>
      </c>
      <c r="J105" s="3429">
        <f ca="1">dpCost_External_Obsolescence/'Other RCN'!$T$94</f>
        <v>1.1623055854542612</v>
      </c>
      <c r="K105" s="3429"/>
      <c r="L105" s="880">
        <f t="shared" ca="1" si="21"/>
        <v>0</v>
      </c>
      <c r="M105" s="880"/>
      <c r="N105" s="1516"/>
      <c r="O105" s="1519"/>
      <c r="P105" s="1065"/>
    </row>
    <row r="106" spans="1:18" s="36" customFormat="1" ht="15" hidden="1" customHeight="1" x14ac:dyDescent="0.25">
      <c r="A106" s="1488">
        <f t="shared" si="22"/>
        <v>0</v>
      </c>
      <c r="B106" s="1485">
        <f t="shared" si="19"/>
        <v>1</v>
      </c>
      <c r="C106" s="259"/>
      <c r="D106" s="3366">
        <f>'Building RCN'!M6</f>
        <v>0</v>
      </c>
      <c r="E106" s="880">
        <f>'Other RCN'!T79</f>
        <v>0</v>
      </c>
      <c r="F106" s="880">
        <f t="shared" si="23"/>
        <v>0</v>
      </c>
      <c r="G106" s="3401"/>
      <c r="H106" s="3401"/>
      <c r="I106" s="880">
        <f t="shared" si="20"/>
        <v>0</v>
      </c>
      <c r="J106" s="3429">
        <f ca="1">dpCost_External_Obsolescence/'Other RCN'!$T$94</f>
        <v>1.1623055854542612</v>
      </c>
      <c r="K106" s="3429"/>
      <c r="L106" s="880">
        <f t="shared" ca="1" si="21"/>
        <v>0</v>
      </c>
      <c r="M106" s="880"/>
      <c r="N106" s="1516"/>
      <c r="O106" s="1519"/>
      <c r="P106" s="1065"/>
    </row>
    <row r="107" spans="1:18" s="36" customFormat="1" ht="15" hidden="1" customHeight="1" x14ac:dyDescent="0.25">
      <c r="A107" s="1488">
        <f t="shared" si="22"/>
        <v>0</v>
      </c>
      <c r="B107" s="1485">
        <f t="shared" si="19"/>
        <v>1</v>
      </c>
      <c r="C107" s="259"/>
      <c r="D107" s="3366">
        <f>'Building RCN'!N6</f>
        <v>0</v>
      </c>
      <c r="E107" s="880">
        <f>'Other RCN'!T80</f>
        <v>0</v>
      </c>
      <c r="F107" s="880">
        <f t="shared" si="23"/>
        <v>0</v>
      </c>
      <c r="G107" s="3401"/>
      <c r="H107" s="3401"/>
      <c r="I107" s="880">
        <f t="shared" si="20"/>
        <v>0</v>
      </c>
      <c r="J107" s="3429">
        <f ca="1">dpCost_External_Obsolescence/'Other RCN'!$T$94</f>
        <v>1.1623055854542612</v>
      </c>
      <c r="K107" s="3429"/>
      <c r="L107" s="880">
        <f t="shared" ca="1" si="21"/>
        <v>0</v>
      </c>
      <c r="M107" s="880"/>
      <c r="N107" s="1516"/>
      <c r="O107" s="1519"/>
      <c r="P107" s="1065"/>
    </row>
    <row r="108" spans="1:18" s="142" customFormat="1" ht="20.100000000000001" customHeight="1" x14ac:dyDescent="0.25">
      <c r="A108" s="972">
        <v>1</v>
      </c>
      <c r="B108" s="974">
        <f t="shared" si="19"/>
        <v>1</v>
      </c>
      <c r="C108" s="2984"/>
      <c r="D108" s="3368" t="s">
        <v>1486</v>
      </c>
      <c r="E108" s="3412">
        <f>SUM(E98:E107)</f>
        <v>27941018.391000003</v>
      </c>
      <c r="F108" s="3412">
        <f>SUM(F98:F107)</f>
        <v>0</v>
      </c>
      <c r="G108" s="3430"/>
      <c r="H108" s="3412">
        <f>SUM(H98:H107)</f>
        <v>0</v>
      </c>
      <c r="I108" s="3412">
        <f>SUM(I98:I107)</f>
        <v>27941018.391000003</v>
      </c>
      <c r="J108" s="3431">
        <f ca="1">IFERROR(SUMPRODUCT($I$98:$I$107,J98:J107)/$I$108,0)</f>
        <v>1.1623055854542612</v>
      </c>
      <c r="K108" s="3432"/>
      <c r="L108" s="3417">
        <f ca="1">SUM(L98:L107)</f>
        <v>32476001.739139538</v>
      </c>
      <c r="M108" s="3413"/>
      <c r="N108" s="841"/>
      <c r="O108" s="1520"/>
      <c r="P108" s="1521"/>
    </row>
    <row r="109" spans="1:18" s="36" customFormat="1" ht="15" customHeight="1" x14ac:dyDescent="0.25">
      <c r="A109" s="1488">
        <f>IF(E109=0,0,1)</f>
        <v>1</v>
      </c>
      <c r="B109" s="1485">
        <f t="shared" si="19"/>
        <v>1</v>
      </c>
      <c r="C109" s="259"/>
      <c r="D109" s="3366" t="str">
        <f>'Other RCN'!D7</f>
        <v>Asphalt</v>
      </c>
      <c r="E109" s="880">
        <f>'Other RCN'!T82</f>
        <v>521764.1</v>
      </c>
      <c r="F109" s="880">
        <f>-P79</f>
        <v>0</v>
      </c>
      <c r="G109" s="3401"/>
      <c r="H109" s="3401"/>
      <c r="I109" s="880">
        <f t="shared" ref="I109:I118" si="24">SUM(E109:H109)</f>
        <v>521764.1</v>
      </c>
      <c r="J109" s="3429">
        <f ca="1">dpCost_External_Obsolescence/'Other RCN'!$T$94</f>
        <v>1.1623055854542612</v>
      </c>
      <c r="K109" s="3429"/>
      <c r="L109" s="880">
        <f t="shared" ref="L109:L118" ca="1" si="25">I109*J109</f>
        <v>606449.32771951566</v>
      </c>
      <c r="M109" s="880"/>
      <c r="N109" s="1516"/>
      <c r="O109" s="1519"/>
      <c r="P109" s="1065"/>
    </row>
    <row r="110" spans="1:18" s="36" customFormat="1" ht="15" customHeight="1" x14ac:dyDescent="0.25">
      <c r="A110" s="1488">
        <f t="shared" ref="A110:A118" si="26">IF(E110=0,0,1)</f>
        <v>1</v>
      </c>
      <c r="B110" s="1485">
        <f t="shared" si="19"/>
        <v>1</v>
      </c>
      <c r="C110" s="259"/>
      <c r="D110" s="3366" t="str">
        <f>'Other RCN'!D8</f>
        <v>Concrete</v>
      </c>
      <c r="E110" s="880">
        <f>'Other RCN'!T83</f>
        <v>240507.00300000003</v>
      </c>
      <c r="F110" s="880">
        <f t="shared" ref="F110:F118" si="27">-P80</f>
        <v>0</v>
      </c>
      <c r="G110" s="3401"/>
      <c r="H110" s="3401"/>
      <c r="I110" s="880">
        <f t="shared" si="24"/>
        <v>240507.00300000003</v>
      </c>
      <c r="J110" s="3429">
        <f ca="1">dpCost_External_Obsolescence/'Other RCN'!$T$94</f>
        <v>1.1623055854542612</v>
      </c>
      <c r="K110" s="3429"/>
      <c r="L110" s="880">
        <f t="shared" ca="1" si="25"/>
        <v>279542.63292776479</v>
      </c>
      <c r="M110" s="880"/>
      <c r="N110" s="1516"/>
      <c r="O110" s="1519"/>
      <c r="P110" s="1065"/>
    </row>
    <row r="111" spans="1:18" s="36" customFormat="1" ht="15" customHeight="1" x14ac:dyDescent="0.25">
      <c r="A111" s="1488">
        <f t="shared" si="26"/>
        <v>1</v>
      </c>
      <c r="B111" s="1485">
        <f t="shared" si="19"/>
        <v>1</v>
      </c>
      <c r="C111" s="259"/>
      <c r="D111" s="3366" t="str">
        <f>'Other RCN'!D9</f>
        <v>Dock Levelers</v>
      </c>
      <c r="E111" s="880">
        <f>'Other RCN'!T84</f>
        <v>122408</v>
      </c>
      <c r="F111" s="880">
        <f t="shared" si="27"/>
        <v>0</v>
      </c>
      <c r="G111" s="3401"/>
      <c r="H111" s="3401"/>
      <c r="I111" s="880">
        <f t="shared" si="24"/>
        <v>122408</v>
      </c>
      <c r="J111" s="3429">
        <f ca="1">dpCost_External_Obsolescence/'Other RCN'!$T$94</f>
        <v>1.1623055854542612</v>
      </c>
      <c r="K111" s="3429"/>
      <c r="L111" s="880">
        <f t="shared" ca="1" si="25"/>
        <v>142275.5021042852</v>
      </c>
      <c r="M111" s="880"/>
      <c r="N111" s="1516"/>
      <c r="O111" s="1519"/>
      <c r="P111" s="1065"/>
    </row>
    <row r="112" spans="1:18" s="36" customFormat="1" ht="15" hidden="1" customHeight="1" x14ac:dyDescent="0.25">
      <c r="A112" s="1488">
        <f t="shared" si="26"/>
        <v>0</v>
      </c>
      <c r="B112" s="1485">
        <f t="shared" si="19"/>
        <v>1</v>
      </c>
      <c r="C112" s="259"/>
      <c r="D112" s="3366" t="str">
        <f>'Other RCN'!D10</f>
        <v>User Defined 4</v>
      </c>
      <c r="E112" s="880">
        <f>'Other RCN'!T85</f>
        <v>0</v>
      </c>
      <c r="F112" s="880">
        <f t="shared" si="27"/>
        <v>0</v>
      </c>
      <c r="G112" s="3401"/>
      <c r="H112" s="3401"/>
      <c r="I112" s="880">
        <f t="shared" si="24"/>
        <v>0</v>
      </c>
      <c r="J112" s="3429">
        <f ca="1">dpCost_External_Obsolescence/'Other RCN'!$T$94</f>
        <v>1.1623055854542612</v>
      </c>
      <c r="K112" s="3429"/>
      <c r="L112" s="880">
        <f t="shared" ca="1" si="25"/>
        <v>0</v>
      </c>
      <c r="M112" s="880"/>
      <c r="N112" s="1516"/>
      <c r="O112" s="1519"/>
      <c r="P112" s="1065"/>
    </row>
    <row r="113" spans="1:32" s="36" customFormat="1" ht="15" hidden="1" customHeight="1" x14ac:dyDescent="0.25">
      <c r="A113" s="1488">
        <f t="shared" si="26"/>
        <v>0</v>
      </c>
      <c r="B113" s="1485">
        <f t="shared" si="19"/>
        <v>1</v>
      </c>
      <c r="C113" s="259"/>
      <c r="D113" s="3366" t="str">
        <f>'Other RCN'!D11</f>
        <v>User Defined 5</v>
      </c>
      <c r="E113" s="880">
        <f>'Other RCN'!T86</f>
        <v>0</v>
      </c>
      <c r="F113" s="880">
        <f t="shared" si="27"/>
        <v>0</v>
      </c>
      <c r="G113" s="3401"/>
      <c r="H113" s="3401"/>
      <c r="I113" s="880">
        <f t="shared" si="24"/>
        <v>0</v>
      </c>
      <c r="J113" s="3429">
        <f ca="1">dpCost_External_Obsolescence/'Other RCN'!$T$94</f>
        <v>1.1623055854542612</v>
      </c>
      <c r="K113" s="3429"/>
      <c r="L113" s="880">
        <f t="shared" ca="1" si="25"/>
        <v>0</v>
      </c>
      <c r="M113" s="880"/>
      <c r="N113" s="1516"/>
      <c r="O113" s="1519"/>
      <c r="P113" s="1065"/>
    </row>
    <row r="114" spans="1:32" s="36" customFormat="1" ht="15" hidden="1" customHeight="1" x14ac:dyDescent="0.25">
      <c r="A114" s="1488">
        <f t="shared" si="26"/>
        <v>0</v>
      </c>
      <c r="B114" s="1485">
        <f t="shared" si="19"/>
        <v>1</v>
      </c>
      <c r="C114" s="259"/>
      <c r="D114" s="3366" t="str">
        <f>'Other RCN'!D12</f>
        <v>User Defined 6</v>
      </c>
      <c r="E114" s="880">
        <f>'Other RCN'!T87</f>
        <v>0</v>
      </c>
      <c r="F114" s="880">
        <f t="shared" si="27"/>
        <v>0</v>
      </c>
      <c r="G114" s="3401"/>
      <c r="H114" s="3401"/>
      <c r="I114" s="880">
        <f t="shared" si="24"/>
        <v>0</v>
      </c>
      <c r="J114" s="3429">
        <f ca="1">dpCost_External_Obsolescence/'Other RCN'!$T$94</f>
        <v>1.1623055854542612</v>
      </c>
      <c r="K114" s="3429"/>
      <c r="L114" s="880">
        <f t="shared" ca="1" si="25"/>
        <v>0</v>
      </c>
      <c r="M114" s="880"/>
      <c r="N114" s="1516"/>
      <c r="O114" s="1519"/>
      <c r="P114" s="1065"/>
    </row>
    <row r="115" spans="1:32" s="36" customFormat="1" ht="15" hidden="1" customHeight="1" x14ac:dyDescent="0.25">
      <c r="A115" s="1488">
        <f t="shared" si="26"/>
        <v>0</v>
      </c>
      <c r="B115" s="1485">
        <f t="shared" si="19"/>
        <v>1</v>
      </c>
      <c r="C115" s="259"/>
      <c r="D115" s="3366" t="str">
        <f>'Other RCN'!D13</f>
        <v>User Defined 7</v>
      </c>
      <c r="E115" s="880">
        <f>'Other RCN'!T88</f>
        <v>0</v>
      </c>
      <c r="F115" s="880">
        <f t="shared" si="27"/>
        <v>0</v>
      </c>
      <c r="G115" s="3401"/>
      <c r="H115" s="3401"/>
      <c r="I115" s="880">
        <f t="shared" si="24"/>
        <v>0</v>
      </c>
      <c r="J115" s="3429">
        <f ca="1">dpCost_External_Obsolescence/'Other RCN'!$T$94</f>
        <v>1.1623055854542612</v>
      </c>
      <c r="K115" s="3429"/>
      <c r="L115" s="880">
        <f t="shared" ca="1" si="25"/>
        <v>0</v>
      </c>
      <c r="M115" s="880"/>
      <c r="N115" s="1516"/>
      <c r="O115" s="1519"/>
      <c r="P115" s="1065"/>
    </row>
    <row r="116" spans="1:32" s="36" customFormat="1" ht="15" hidden="1" customHeight="1" x14ac:dyDescent="0.25">
      <c r="A116" s="1488">
        <f t="shared" si="26"/>
        <v>0</v>
      </c>
      <c r="B116" s="1485">
        <f t="shared" si="19"/>
        <v>1</v>
      </c>
      <c r="C116" s="259"/>
      <c r="D116" s="3366" t="str">
        <f>'Other RCN'!D14</f>
        <v>User Defined 8</v>
      </c>
      <c r="E116" s="880">
        <f>'Other RCN'!T89</f>
        <v>0</v>
      </c>
      <c r="F116" s="880">
        <f t="shared" si="27"/>
        <v>0</v>
      </c>
      <c r="G116" s="3401"/>
      <c r="H116" s="3401"/>
      <c r="I116" s="880">
        <f t="shared" si="24"/>
        <v>0</v>
      </c>
      <c r="J116" s="3429">
        <f ca="1">dpCost_External_Obsolescence/'Other RCN'!$T$94</f>
        <v>1.1623055854542612</v>
      </c>
      <c r="K116" s="3429"/>
      <c r="L116" s="880">
        <f t="shared" ca="1" si="25"/>
        <v>0</v>
      </c>
      <c r="M116" s="880"/>
      <c r="N116" s="1516"/>
      <c r="O116" s="1519"/>
      <c r="P116" s="1065"/>
    </row>
    <row r="117" spans="1:32" s="36" customFormat="1" ht="15" hidden="1" customHeight="1" x14ac:dyDescent="0.25">
      <c r="A117" s="1488">
        <f t="shared" si="26"/>
        <v>0</v>
      </c>
      <c r="B117" s="1485">
        <f t="shared" si="19"/>
        <v>1</v>
      </c>
      <c r="C117" s="259"/>
      <c r="D117" s="3366" t="str">
        <f>'Other RCN'!D15</f>
        <v>User Defined 9</v>
      </c>
      <c r="E117" s="880">
        <f>'Other RCN'!T90</f>
        <v>0</v>
      </c>
      <c r="F117" s="880">
        <f t="shared" si="27"/>
        <v>0</v>
      </c>
      <c r="G117" s="3401"/>
      <c r="H117" s="3401"/>
      <c r="I117" s="880">
        <f t="shared" si="24"/>
        <v>0</v>
      </c>
      <c r="J117" s="3429">
        <f ca="1">dpCost_External_Obsolescence/'Other RCN'!$T$94</f>
        <v>1.1623055854542612</v>
      </c>
      <c r="K117" s="3429"/>
      <c r="L117" s="880">
        <f t="shared" ca="1" si="25"/>
        <v>0</v>
      </c>
      <c r="M117" s="880"/>
      <c r="N117" s="1516"/>
      <c r="O117" s="1519"/>
      <c r="P117" s="1065"/>
    </row>
    <row r="118" spans="1:32" s="36" customFormat="1" ht="15" hidden="1" customHeight="1" x14ac:dyDescent="0.25">
      <c r="A118" s="1488">
        <f t="shared" si="26"/>
        <v>0</v>
      </c>
      <c r="B118" s="1485">
        <f t="shared" si="19"/>
        <v>1</v>
      </c>
      <c r="C118" s="259"/>
      <c r="D118" s="3366" t="str">
        <f>'Other RCN'!D16</f>
        <v>User Defined 10</v>
      </c>
      <c r="E118" s="880">
        <f>'Other RCN'!T91</f>
        <v>0</v>
      </c>
      <c r="F118" s="880">
        <f t="shared" si="27"/>
        <v>0</v>
      </c>
      <c r="G118" s="3401"/>
      <c r="H118" s="3401"/>
      <c r="I118" s="880">
        <f t="shared" si="24"/>
        <v>0</v>
      </c>
      <c r="J118" s="3429">
        <f ca="1">dpCost_External_Obsolescence/'Other RCN'!$T$94</f>
        <v>1.1623055854542612</v>
      </c>
      <c r="K118" s="3429"/>
      <c r="L118" s="880">
        <f t="shared" ca="1" si="25"/>
        <v>0</v>
      </c>
      <c r="M118" s="880"/>
      <c r="N118" s="1516"/>
      <c r="O118" s="1519"/>
      <c r="P118" s="1065"/>
    </row>
    <row r="119" spans="1:32" s="36" customFormat="1" ht="15" customHeight="1" thickBot="1" x14ac:dyDescent="0.3">
      <c r="A119" s="972">
        <v>1</v>
      </c>
      <c r="B119" s="1485">
        <f t="shared" si="19"/>
        <v>1</v>
      </c>
      <c r="C119" s="259"/>
      <c r="D119" s="3433" t="s">
        <v>1489</v>
      </c>
      <c r="E119" s="3419">
        <f>SUM(E109:E118)</f>
        <v>884679.103</v>
      </c>
      <c r="F119" s="3419">
        <f>SUM(F109:F118)</f>
        <v>0</v>
      </c>
      <c r="G119" s="3434"/>
      <c r="H119" s="3419">
        <f>SUM(H109:H118)</f>
        <v>0</v>
      </c>
      <c r="I119" s="3419">
        <f>SUM(I109:I118)</f>
        <v>884679.103</v>
      </c>
      <c r="J119" s="3435">
        <f ca="1">IFERROR(SUMPRODUCT($I$109:$I$118,J109:J118)/$I$119,0)</f>
        <v>1.1623055854542612</v>
      </c>
      <c r="K119" s="3432"/>
      <c r="L119" s="3417">
        <f ca="1">SUM(L109:L118)</f>
        <v>1028267.4627515656</v>
      </c>
      <c r="M119" s="3413"/>
      <c r="N119" s="1517"/>
      <c r="O119" s="1522"/>
      <c r="P119" s="1523"/>
    </row>
    <row r="120" spans="1:32" s="36" customFormat="1" ht="15" customHeight="1" thickBot="1" x14ac:dyDescent="0.3">
      <c r="A120" s="972">
        <v>1</v>
      </c>
      <c r="B120" s="1485">
        <f t="shared" si="19"/>
        <v>1</v>
      </c>
      <c r="C120" s="259"/>
      <c r="D120" s="3383" t="s">
        <v>1520</v>
      </c>
      <c r="E120" s="3386">
        <f>E108+E119</f>
        <v>28825697.494000003</v>
      </c>
      <c r="F120" s="3386">
        <f>F108+F119</f>
        <v>0</v>
      </c>
      <c r="G120" s="3386"/>
      <c r="H120" s="3386">
        <f>H108+H119</f>
        <v>0</v>
      </c>
      <c r="I120" s="3386">
        <f>I108+I119</f>
        <v>28825697.494000003</v>
      </c>
      <c r="J120" s="3428">
        <f ca="1">IFERROR(((I108*J108)+(I119*J119))/I120,0)</f>
        <v>1.1623055854542612</v>
      </c>
      <c r="K120" s="3436"/>
      <c r="L120" s="3386">
        <f ca="1">L108+L119</f>
        <v>33504269.201891106</v>
      </c>
      <c r="M120" s="260"/>
      <c r="N120" s="1463"/>
      <c r="O120" s="1513"/>
      <c r="P120" s="395"/>
    </row>
    <row r="121" spans="1:32" s="36" customFormat="1" ht="20.100000000000001" customHeight="1" thickBot="1" x14ac:dyDescent="0.3">
      <c r="A121" s="1488">
        <v>1</v>
      </c>
      <c r="B121" s="563">
        <f t="shared" si="19"/>
        <v>1</v>
      </c>
      <c r="C121" s="681"/>
      <c r="D121" s="1441" t="s">
        <v>1504</v>
      </c>
      <c r="E121" s="1463"/>
      <c r="F121" s="1463"/>
      <c r="G121" s="1463"/>
      <c r="H121" s="1463"/>
      <c r="I121" s="1463"/>
      <c r="J121" s="1463"/>
      <c r="K121" s="1463"/>
      <c r="L121" s="1463"/>
      <c r="M121" s="1463"/>
      <c r="N121" s="1463"/>
      <c r="O121" s="1513"/>
      <c r="P121" s="395"/>
    </row>
    <row r="122" spans="1:32" ht="15" thickBot="1" x14ac:dyDescent="0.3">
      <c r="A122" s="957">
        <v>1</v>
      </c>
      <c r="B122" s="644">
        <f t="shared" si="19"/>
        <v>1</v>
      </c>
      <c r="C122" s="234"/>
      <c r="D122" s="1467"/>
      <c r="E122" s="1467"/>
      <c r="F122" s="1467"/>
      <c r="G122" s="1467"/>
      <c r="H122" s="1467"/>
      <c r="I122" s="1467"/>
      <c r="J122" s="1467"/>
      <c r="K122" s="1467"/>
      <c r="L122" s="1467"/>
      <c r="M122" s="1467"/>
      <c r="N122" s="1467"/>
    </row>
    <row r="123" spans="1:32" x14ac:dyDescent="0.25">
      <c r="A123" s="957">
        <v>1</v>
      </c>
      <c r="B123" s="32">
        <v>1</v>
      </c>
      <c r="R123" s="1"/>
      <c r="S123" s="31"/>
      <c r="T123" s="2"/>
      <c r="U123" s="442"/>
      <c r="V123" s="442"/>
      <c r="W123" s="442"/>
      <c r="X123" s="2"/>
      <c r="Y123" s="2"/>
      <c r="Z123" s="2"/>
      <c r="AA123" s="2"/>
      <c r="AB123" s="2"/>
      <c r="AC123" s="2"/>
      <c r="AD123" s="2"/>
      <c r="AE123" s="2"/>
      <c r="AF123" s="3"/>
    </row>
    <row r="124" spans="1:32" ht="16.5" x14ac:dyDescent="0.25">
      <c r="A124" s="957">
        <v>1</v>
      </c>
      <c r="B124" s="32">
        <v>1</v>
      </c>
      <c r="R124" s="4"/>
      <c r="S124" s="52"/>
      <c r="T124" s="505" t="s">
        <v>748</v>
      </c>
      <c r="U124" s="52"/>
      <c r="V124" s="52"/>
      <c r="W124" s="52"/>
      <c r="X124" s="52"/>
      <c r="Y124" s="52"/>
      <c r="Z124" s="52"/>
      <c r="AA124" s="52"/>
      <c r="AB124" s="52"/>
      <c r="AC124" s="52"/>
      <c r="AD124" s="52"/>
      <c r="AE124" s="52"/>
      <c r="AF124" s="6"/>
    </row>
    <row r="125" spans="1:32" x14ac:dyDescent="0.25">
      <c r="A125" s="957">
        <v>1</v>
      </c>
      <c r="B125" s="32">
        <v>1</v>
      </c>
      <c r="R125" s="4"/>
      <c r="S125" s="12"/>
      <c r="T125" s="12" t="s">
        <v>17</v>
      </c>
      <c r="U125" s="150"/>
      <c r="V125" s="441">
        <v>70</v>
      </c>
      <c r="W125" s="441">
        <v>60</v>
      </c>
      <c r="X125" s="441">
        <v>55</v>
      </c>
      <c r="Y125" s="441">
        <v>50</v>
      </c>
      <c r="Z125" s="441">
        <v>45</v>
      </c>
      <c r="AA125" s="441">
        <v>40</v>
      </c>
      <c r="AB125" s="441">
        <v>35</v>
      </c>
      <c r="AC125" s="441">
        <v>30</v>
      </c>
      <c r="AD125" s="441">
        <v>25</v>
      </c>
      <c r="AE125" s="441">
        <v>20</v>
      </c>
      <c r="AF125" s="6"/>
    </row>
    <row r="126" spans="1:32" x14ac:dyDescent="0.25">
      <c r="A126" s="957">
        <v>1</v>
      </c>
      <c r="B126" s="32">
        <v>1</v>
      </c>
      <c r="R126" s="4"/>
      <c r="S126" s="12"/>
      <c r="T126" s="12" t="s">
        <v>1470</v>
      </c>
      <c r="U126" s="150" t="s">
        <v>17</v>
      </c>
      <c r="V126" s="150" t="s">
        <v>238</v>
      </c>
      <c r="W126" s="150" t="s">
        <v>238</v>
      </c>
      <c r="X126" s="150" t="s">
        <v>238</v>
      </c>
      <c r="Y126" s="150" t="s">
        <v>238</v>
      </c>
      <c r="Z126" s="150" t="s">
        <v>238</v>
      </c>
      <c r="AA126" s="150" t="s">
        <v>238</v>
      </c>
      <c r="AB126" s="150" t="s">
        <v>238</v>
      </c>
      <c r="AC126" s="150" t="s">
        <v>238</v>
      </c>
      <c r="AD126" s="150" t="s">
        <v>238</v>
      </c>
      <c r="AE126" s="150" t="s">
        <v>238</v>
      </c>
      <c r="AF126" s="6"/>
    </row>
    <row r="127" spans="1:32" ht="15" thickBot="1" x14ac:dyDescent="0.3">
      <c r="A127" s="957">
        <f t="shared" ref="A127:A158" si="28">IF(Subject_AgeEffective&gt;=U127,1,0)</f>
        <v>1</v>
      </c>
      <c r="B127" s="32">
        <v>1</v>
      </c>
      <c r="R127" s="4"/>
      <c r="S127" s="3209"/>
      <c r="T127" s="258" t="str">
        <f t="shared" ref="T127:T158" si="29">IF(Subject_AgeEffective=U127,"Subject Property","")</f>
        <v>Subject Property</v>
      </c>
      <c r="U127" s="423">
        <v>0</v>
      </c>
      <c r="V127" s="778">
        <v>0</v>
      </c>
      <c r="W127" s="2979">
        <v>0</v>
      </c>
      <c r="X127" s="2979">
        <v>0</v>
      </c>
      <c r="Y127" s="2979">
        <v>0</v>
      </c>
      <c r="Z127" s="2979">
        <v>0</v>
      </c>
      <c r="AA127" s="2979">
        <v>0</v>
      </c>
      <c r="AB127" s="2979">
        <v>0</v>
      </c>
      <c r="AC127" s="2979">
        <v>0</v>
      </c>
      <c r="AD127" s="2979">
        <v>0</v>
      </c>
      <c r="AE127" s="2979">
        <v>0</v>
      </c>
      <c r="AF127" s="6"/>
    </row>
    <row r="128" spans="1:32" hidden="1" x14ac:dyDescent="0.25">
      <c r="A128" s="957">
        <f t="shared" si="28"/>
        <v>0</v>
      </c>
      <c r="B128" s="32">
        <v>1</v>
      </c>
      <c r="R128" s="4"/>
      <c r="S128" s="3209"/>
      <c r="T128" s="258" t="str">
        <f t="shared" si="29"/>
        <v/>
      </c>
      <c r="U128" s="423">
        <v>1</v>
      </c>
      <c r="V128" s="778">
        <v>0</v>
      </c>
      <c r="W128" s="2979">
        <v>0</v>
      </c>
      <c r="X128" s="2979">
        <v>0</v>
      </c>
      <c r="Y128" s="2979">
        <v>0</v>
      </c>
      <c r="Z128" s="2979">
        <v>0.01</v>
      </c>
      <c r="AA128" s="2979">
        <v>0.01</v>
      </c>
      <c r="AB128" s="2979">
        <v>0.01</v>
      </c>
      <c r="AC128" s="2979">
        <v>0.02</v>
      </c>
      <c r="AD128" s="2979">
        <v>0.02</v>
      </c>
      <c r="AE128" s="2979">
        <v>0.03</v>
      </c>
      <c r="AF128" s="6"/>
    </row>
    <row r="129" spans="1:32" hidden="1" x14ac:dyDescent="0.25">
      <c r="A129" s="957">
        <f t="shared" si="28"/>
        <v>0</v>
      </c>
      <c r="B129" s="32">
        <v>1</v>
      </c>
      <c r="R129" s="4"/>
      <c r="S129" s="3209"/>
      <c r="T129" s="258" t="str">
        <f t="shared" si="29"/>
        <v/>
      </c>
      <c r="U129" s="423">
        <f t="shared" ref="U129:U160" si="30">U128+1</f>
        <v>2</v>
      </c>
      <c r="V129" s="778">
        <v>0</v>
      </c>
      <c r="W129" s="2979">
        <v>0.01</v>
      </c>
      <c r="X129" s="2979">
        <v>0.01</v>
      </c>
      <c r="Y129" s="2979">
        <v>0.01</v>
      </c>
      <c r="Z129" s="2979">
        <v>0.01</v>
      </c>
      <c r="AA129" s="2979">
        <v>0.02</v>
      </c>
      <c r="AB129" s="2979">
        <v>0.02</v>
      </c>
      <c r="AC129" s="2979">
        <v>0.03</v>
      </c>
      <c r="AD129" s="2979">
        <v>0.05</v>
      </c>
      <c r="AE129" s="2979">
        <v>7.0000000000000007E-2</v>
      </c>
      <c r="AF129" s="6"/>
    </row>
    <row r="130" spans="1:32" hidden="1" x14ac:dyDescent="0.25">
      <c r="A130" s="957">
        <f t="shared" si="28"/>
        <v>0</v>
      </c>
      <c r="B130" s="32">
        <v>1</v>
      </c>
      <c r="R130" s="4"/>
      <c r="S130" s="3209"/>
      <c r="T130" s="258" t="str">
        <f t="shared" si="29"/>
        <v/>
      </c>
      <c r="U130" s="423">
        <f t="shared" si="30"/>
        <v>3</v>
      </c>
      <c r="V130" s="778">
        <v>0</v>
      </c>
      <c r="W130" s="2979">
        <v>0.01</v>
      </c>
      <c r="X130" s="2979">
        <v>0.01</v>
      </c>
      <c r="Y130" s="2979">
        <v>0.01</v>
      </c>
      <c r="Z130" s="2979">
        <v>0.02</v>
      </c>
      <c r="AA130" s="2979">
        <v>0.03</v>
      </c>
      <c r="AB130" s="2979">
        <v>0.04</v>
      </c>
      <c r="AC130" s="2979">
        <v>0.05</v>
      </c>
      <c r="AD130" s="2979">
        <v>7.0000000000000007E-2</v>
      </c>
      <c r="AE130" s="2979">
        <v>0.1</v>
      </c>
      <c r="AF130" s="6"/>
    </row>
    <row r="131" spans="1:32" hidden="1" x14ac:dyDescent="0.25">
      <c r="A131" s="957">
        <f t="shared" si="28"/>
        <v>0</v>
      </c>
      <c r="B131" s="32">
        <v>1</v>
      </c>
      <c r="R131" s="4"/>
      <c r="S131" s="3209"/>
      <c r="T131" s="258" t="str">
        <f t="shared" si="29"/>
        <v/>
      </c>
      <c r="U131" s="423">
        <f t="shared" si="30"/>
        <v>4</v>
      </c>
      <c r="V131" s="778">
        <v>0.01</v>
      </c>
      <c r="W131" s="2979">
        <v>0.01</v>
      </c>
      <c r="X131" s="2979">
        <v>0.01</v>
      </c>
      <c r="Y131" s="2979">
        <v>0.02</v>
      </c>
      <c r="Z131" s="2979">
        <v>0.03</v>
      </c>
      <c r="AA131" s="2979">
        <v>0.04</v>
      </c>
      <c r="AB131" s="2979">
        <v>0.05</v>
      </c>
      <c r="AC131" s="2979">
        <v>7.0000000000000007E-2</v>
      </c>
      <c r="AD131" s="2979">
        <v>0.01</v>
      </c>
      <c r="AE131" s="2979">
        <v>0.14000000000000001</v>
      </c>
      <c r="AF131" s="6"/>
    </row>
    <row r="132" spans="1:32" hidden="1" x14ac:dyDescent="0.25">
      <c r="A132" s="957">
        <f t="shared" si="28"/>
        <v>0</v>
      </c>
      <c r="B132" s="32">
        <v>1</v>
      </c>
      <c r="R132" s="4"/>
      <c r="S132" s="3209"/>
      <c r="T132" s="258" t="str">
        <f t="shared" si="29"/>
        <v/>
      </c>
      <c r="U132" s="423">
        <f t="shared" si="30"/>
        <v>5</v>
      </c>
      <c r="V132" s="778">
        <v>0.01</v>
      </c>
      <c r="W132" s="2979">
        <v>0.01</v>
      </c>
      <c r="X132" s="2979">
        <v>0.02</v>
      </c>
      <c r="Y132" s="2979">
        <v>0.03</v>
      </c>
      <c r="Z132" s="2979">
        <v>0.04</v>
      </c>
      <c r="AA132" s="2979">
        <v>0.05</v>
      </c>
      <c r="AB132" s="2979">
        <v>0.06</v>
      </c>
      <c r="AC132" s="2979">
        <v>0.09</v>
      </c>
      <c r="AD132" s="2979">
        <v>0.13</v>
      </c>
      <c r="AE132" s="2979">
        <v>0.18</v>
      </c>
      <c r="AF132" s="6"/>
    </row>
    <row r="133" spans="1:32" hidden="1" x14ac:dyDescent="0.25">
      <c r="A133" s="957">
        <f t="shared" si="28"/>
        <v>0</v>
      </c>
      <c r="B133" s="32">
        <v>1</v>
      </c>
      <c r="R133" s="4"/>
      <c r="S133" s="3209"/>
      <c r="T133" s="258" t="str">
        <f t="shared" si="29"/>
        <v/>
      </c>
      <c r="U133" s="423">
        <f t="shared" si="30"/>
        <v>6</v>
      </c>
      <c r="V133" s="778">
        <v>0.01</v>
      </c>
      <c r="W133" s="2979">
        <v>0.02</v>
      </c>
      <c r="X133" s="2979">
        <v>0.02</v>
      </c>
      <c r="Y133" s="2979">
        <v>0.03</v>
      </c>
      <c r="Z133" s="2979">
        <v>0.04</v>
      </c>
      <c r="AA133" s="2979">
        <v>0.06</v>
      </c>
      <c r="AB133" s="2979">
        <v>0.08</v>
      </c>
      <c r="AC133" s="2979">
        <v>0.11</v>
      </c>
      <c r="AD133" s="2979">
        <v>0.16</v>
      </c>
      <c r="AE133" s="2979">
        <v>0.22</v>
      </c>
      <c r="AF133" s="6"/>
    </row>
    <row r="134" spans="1:32" hidden="1" x14ac:dyDescent="0.25">
      <c r="A134" s="957">
        <f t="shared" si="28"/>
        <v>0</v>
      </c>
      <c r="B134" s="32">
        <v>1</v>
      </c>
      <c r="R134" s="4"/>
      <c r="S134" s="3209"/>
      <c r="T134" s="258" t="str">
        <f t="shared" si="29"/>
        <v/>
      </c>
      <c r="U134" s="423">
        <f t="shared" si="30"/>
        <v>7</v>
      </c>
      <c r="V134" s="778">
        <v>0.01</v>
      </c>
      <c r="W134" s="2979">
        <v>0.02</v>
      </c>
      <c r="X134" s="2979">
        <v>0.03</v>
      </c>
      <c r="Y134" s="2979">
        <v>0.04</v>
      </c>
      <c r="Z134" s="2979">
        <v>0.05</v>
      </c>
      <c r="AA134" s="2979">
        <v>7.0000000000000007E-2</v>
      </c>
      <c r="AB134" s="2979">
        <v>0.1</v>
      </c>
      <c r="AC134" s="2979">
        <v>0.14000000000000001</v>
      </c>
      <c r="AD134" s="2979">
        <v>0.19</v>
      </c>
      <c r="AE134" s="2979">
        <v>0.26</v>
      </c>
      <c r="AF134" s="6"/>
    </row>
    <row r="135" spans="1:32" hidden="1" x14ac:dyDescent="0.25">
      <c r="A135" s="957">
        <f t="shared" si="28"/>
        <v>0</v>
      </c>
      <c r="B135" s="32">
        <v>1</v>
      </c>
      <c r="R135" s="4"/>
      <c r="S135" s="3209"/>
      <c r="T135" s="258" t="str">
        <f t="shared" si="29"/>
        <v/>
      </c>
      <c r="U135" s="423">
        <f t="shared" si="30"/>
        <v>8</v>
      </c>
      <c r="V135" s="778">
        <v>0.01</v>
      </c>
      <c r="W135" s="2979">
        <v>0.02</v>
      </c>
      <c r="X135" s="2979">
        <v>0.03</v>
      </c>
      <c r="Y135" s="2979">
        <v>0.05</v>
      </c>
      <c r="Z135" s="2979">
        <v>0.06</v>
      </c>
      <c r="AA135" s="2979">
        <v>0.08</v>
      </c>
      <c r="AB135" s="2979">
        <v>0.11</v>
      </c>
      <c r="AC135" s="2979">
        <v>0.16</v>
      </c>
      <c r="AD135" s="2979">
        <v>0.22</v>
      </c>
      <c r="AE135" s="2979">
        <v>0.3</v>
      </c>
      <c r="AF135" s="6"/>
    </row>
    <row r="136" spans="1:32" hidden="1" x14ac:dyDescent="0.25">
      <c r="A136" s="957">
        <f t="shared" si="28"/>
        <v>0</v>
      </c>
      <c r="B136" s="32">
        <v>1</v>
      </c>
      <c r="R136" s="4"/>
      <c r="S136" s="3209"/>
      <c r="T136" s="258" t="str">
        <f t="shared" si="29"/>
        <v/>
      </c>
      <c r="U136" s="423">
        <f t="shared" si="30"/>
        <v>9</v>
      </c>
      <c r="V136" s="778">
        <v>0.02</v>
      </c>
      <c r="W136" s="2979">
        <v>0.03</v>
      </c>
      <c r="X136" s="2979">
        <v>0.04</v>
      </c>
      <c r="Y136" s="2979">
        <v>0.05</v>
      </c>
      <c r="Z136" s="2979">
        <v>7.0000000000000007E-2</v>
      </c>
      <c r="AA136" s="2979">
        <v>0.1</v>
      </c>
      <c r="AB136" s="2979">
        <v>0.13</v>
      </c>
      <c r="AC136" s="2979">
        <v>0.18</v>
      </c>
      <c r="AD136" s="2979">
        <v>0.25</v>
      </c>
      <c r="AE136" s="2979">
        <v>0.35</v>
      </c>
      <c r="AF136" s="6"/>
    </row>
    <row r="137" spans="1:32" hidden="1" x14ac:dyDescent="0.25">
      <c r="A137" s="957">
        <f t="shared" si="28"/>
        <v>0</v>
      </c>
      <c r="B137" s="32">
        <v>1</v>
      </c>
      <c r="R137" s="4"/>
      <c r="S137" s="3209"/>
      <c r="T137" s="258" t="str">
        <f t="shared" si="29"/>
        <v/>
      </c>
      <c r="U137" s="423">
        <f t="shared" si="30"/>
        <v>10</v>
      </c>
      <c r="V137" s="778">
        <v>0.02</v>
      </c>
      <c r="W137" s="2979">
        <v>0.03</v>
      </c>
      <c r="X137" s="2979">
        <v>0.04</v>
      </c>
      <c r="Y137" s="2979">
        <v>0.06</v>
      </c>
      <c r="Z137" s="2979">
        <v>0.08</v>
      </c>
      <c r="AA137" s="2979">
        <v>0.11</v>
      </c>
      <c r="AB137" s="2979">
        <v>0.15</v>
      </c>
      <c r="AC137" s="2979">
        <v>0.21</v>
      </c>
      <c r="AD137" s="2979">
        <v>0.28999999999999998</v>
      </c>
      <c r="AE137" s="2979">
        <v>0.4</v>
      </c>
      <c r="AF137" s="6"/>
    </row>
    <row r="138" spans="1:32" hidden="1" x14ac:dyDescent="0.25">
      <c r="A138" s="957">
        <f t="shared" si="28"/>
        <v>0</v>
      </c>
      <c r="B138" s="32">
        <v>1</v>
      </c>
      <c r="R138" s="4"/>
      <c r="S138" s="3209"/>
      <c r="T138" s="258" t="str">
        <f t="shared" si="29"/>
        <v/>
      </c>
      <c r="U138" s="423">
        <f t="shared" si="30"/>
        <v>11</v>
      </c>
      <c r="V138" s="778">
        <v>0.02</v>
      </c>
      <c r="W138" s="2979">
        <v>0.04</v>
      </c>
      <c r="X138" s="2979">
        <v>0.05</v>
      </c>
      <c r="Y138" s="2979">
        <v>7.0000000000000007E-2</v>
      </c>
      <c r="Z138" s="2979">
        <v>0.09</v>
      </c>
      <c r="AA138" s="2979">
        <v>0.13</v>
      </c>
      <c r="AB138" s="2979">
        <v>0.17</v>
      </c>
      <c r="AC138" s="2979">
        <v>0.24</v>
      </c>
      <c r="AD138" s="2979">
        <v>0.32</v>
      </c>
      <c r="AE138" s="2979">
        <v>0.45</v>
      </c>
      <c r="AF138" s="6"/>
    </row>
    <row r="139" spans="1:32" hidden="1" x14ac:dyDescent="0.25">
      <c r="A139" s="957">
        <f t="shared" si="28"/>
        <v>0</v>
      </c>
      <c r="B139" s="32">
        <v>1</v>
      </c>
      <c r="R139" s="4"/>
      <c r="S139" s="3209"/>
      <c r="T139" s="258" t="str">
        <f t="shared" si="29"/>
        <v/>
      </c>
      <c r="U139" s="423">
        <f t="shared" si="30"/>
        <v>12</v>
      </c>
      <c r="V139" s="778">
        <v>0.02</v>
      </c>
      <c r="W139" s="2979">
        <v>0.04</v>
      </c>
      <c r="X139" s="2979">
        <v>0.06</v>
      </c>
      <c r="Y139" s="2979">
        <v>0.08</v>
      </c>
      <c r="Z139" s="2979">
        <v>0.1</v>
      </c>
      <c r="AA139" s="2979">
        <v>0.14000000000000001</v>
      </c>
      <c r="AB139" s="2979">
        <v>0.19</v>
      </c>
      <c r="AC139" s="2979">
        <v>0.26</v>
      </c>
      <c r="AD139" s="2979">
        <v>0.36</v>
      </c>
      <c r="AE139" s="2979">
        <v>0.5</v>
      </c>
      <c r="AF139" s="6"/>
    </row>
    <row r="140" spans="1:32" hidden="1" x14ac:dyDescent="0.25">
      <c r="A140" s="957">
        <f t="shared" si="28"/>
        <v>0</v>
      </c>
      <c r="B140" s="32">
        <v>1</v>
      </c>
      <c r="R140" s="4"/>
      <c r="S140" s="3209"/>
      <c r="T140" s="258" t="str">
        <f t="shared" si="29"/>
        <v/>
      </c>
      <c r="U140" s="423">
        <f t="shared" si="30"/>
        <v>13</v>
      </c>
      <c r="V140" s="778">
        <v>0.02</v>
      </c>
      <c r="W140" s="2979">
        <v>0.05</v>
      </c>
      <c r="X140" s="2979">
        <v>0.06</v>
      </c>
      <c r="Y140" s="2979">
        <v>0.09</v>
      </c>
      <c r="Z140" s="2979">
        <v>0.12</v>
      </c>
      <c r="AA140" s="2979">
        <v>0.16</v>
      </c>
      <c r="AB140" s="2979">
        <v>0.22</v>
      </c>
      <c r="AC140" s="2979">
        <v>0.28999999999999998</v>
      </c>
      <c r="AD140" s="2979">
        <v>0.4</v>
      </c>
      <c r="AE140" s="2979">
        <v>0.55000000000000004</v>
      </c>
      <c r="AF140" s="6"/>
    </row>
    <row r="141" spans="1:32" hidden="1" x14ac:dyDescent="0.25">
      <c r="A141" s="957">
        <f t="shared" si="28"/>
        <v>0</v>
      </c>
      <c r="B141" s="32">
        <v>1</v>
      </c>
      <c r="R141" s="4"/>
      <c r="S141" s="3209"/>
      <c r="T141" s="258" t="str">
        <f t="shared" si="29"/>
        <v/>
      </c>
      <c r="U141" s="423">
        <f t="shared" si="30"/>
        <v>14</v>
      </c>
      <c r="V141" s="778">
        <v>0.03</v>
      </c>
      <c r="W141" s="2979">
        <v>0.05</v>
      </c>
      <c r="X141" s="2979">
        <v>7.0000000000000007E-2</v>
      </c>
      <c r="Y141" s="2979">
        <v>0.1</v>
      </c>
      <c r="Z141" s="2979">
        <v>0.13</v>
      </c>
      <c r="AA141" s="2979">
        <v>0.18</v>
      </c>
      <c r="AB141" s="2979">
        <v>0.24</v>
      </c>
      <c r="AC141" s="2979">
        <v>0.32</v>
      </c>
      <c r="AD141" s="2979">
        <v>0.44</v>
      </c>
      <c r="AE141" s="2979">
        <v>0.6</v>
      </c>
      <c r="AF141" s="6"/>
    </row>
    <row r="142" spans="1:32" hidden="1" x14ac:dyDescent="0.25">
      <c r="A142" s="957">
        <f t="shared" si="28"/>
        <v>0</v>
      </c>
      <c r="B142" s="32">
        <v>1</v>
      </c>
      <c r="R142" s="4"/>
      <c r="S142" s="3209"/>
      <c r="T142" s="258" t="str">
        <f t="shared" si="29"/>
        <v/>
      </c>
      <c r="U142" s="423">
        <f t="shared" si="30"/>
        <v>15</v>
      </c>
      <c r="V142" s="778">
        <v>0.03</v>
      </c>
      <c r="W142" s="2979">
        <v>0.06</v>
      </c>
      <c r="X142" s="2979">
        <v>0.08</v>
      </c>
      <c r="Y142" s="2979">
        <v>0.11</v>
      </c>
      <c r="Z142" s="2979">
        <v>0.14000000000000001</v>
      </c>
      <c r="AA142" s="2979">
        <v>0.2</v>
      </c>
      <c r="AB142" s="2979">
        <v>0.26</v>
      </c>
      <c r="AC142" s="2979">
        <v>0.35</v>
      </c>
      <c r="AD142" s="2979">
        <v>0.48</v>
      </c>
      <c r="AE142" s="2979">
        <v>0.65</v>
      </c>
      <c r="AF142" s="6"/>
    </row>
    <row r="143" spans="1:32" hidden="1" x14ac:dyDescent="0.25">
      <c r="A143" s="957">
        <f t="shared" si="28"/>
        <v>0</v>
      </c>
      <c r="B143" s="32">
        <v>1</v>
      </c>
      <c r="R143" s="4"/>
      <c r="S143" s="3209"/>
      <c r="T143" s="258" t="str">
        <f t="shared" si="29"/>
        <v/>
      </c>
      <c r="U143" s="423">
        <f t="shared" si="30"/>
        <v>16</v>
      </c>
      <c r="V143" s="778">
        <v>0.03</v>
      </c>
      <c r="W143" s="2979">
        <v>7.0000000000000007E-2</v>
      </c>
      <c r="X143" s="2979">
        <v>0.09</v>
      </c>
      <c r="Y143" s="2979">
        <v>0.12</v>
      </c>
      <c r="Z143" s="2979">
        <v>0.16</v>
      </c>
      <c r="AA143" s="2979">
        <v>0.22</v>
      </c>
      <c r="AB143" s="2979">
        <v>0.28000000000000003</v>
      </c>
      <c r="AC143" s="2979">
        <v>0.39</v>
      </c>
      <c r="AD143" s="2979">
        <v>0.52</v>
      </c>
      <c r="AE143" s="2979">
        <v>0.69</v>
      </c>
      <c r="AF143" s="6"/>
    </row>
    <row r="144" spans="1:32" hidden="1" x14ac:dyDescent="0.25">
      <c r="A144" s="957">
        <f t="shared" si="28"/>
        <v>0</v>
      </c>
      <c r="B144" s="32">
        <v>1</v>
      </c>
      <c r="R144" s="4"/>
      <c r="S144" s="3209"/>
      <c r="T144" s="258" t="str">
        <f t="shared" si="29"/>
        <v/>
      </c>
      <c r="U144" s="423">
        <f t="shared" si="30"/>
        <v>17</v>
      </c>
      <c r="V144" s="778">
        <v>0.04</v>
      </c>
      <c r="W144" s="2979">
        <v>7.0000000000000007E-2</v>
      </c>
      <c r="X144" s="2979">
        <v>0.1</v>
      </c>
      <c r="Y144" s="2979">
        <v>0.13</v>
      </c>
      <c r="Z144" s="2979">
        <v>0.18</v>
      </c>
      <c r="AA144" s="2979">
        <v>0.24</v>
      </c>
      <c r="AB144" s="2979">
        <v>0.31</v>
      </c>
      <c r="AC144" s="2979">
        <v>0.42</v>
      </c>
      <c r="AD144" s="2979">
        <v>0.56000000000000005</v>
      </c>
      <c r="AE144" s="2979">
        <v>0.73</v>
      </c>
      <c r="AF144" s="6"/>
    </row>
    <row r="145" spans="1:32" hidden="1" x14ac:dyDescent="0.25">
      <c r="A145" s="957">
        <f t="shared" si="28"/>
        <v>0</v>
      </c>
      <c r="B145" s="32">
        <v>1</v>
      </c>
      <c r="R145" s="4"/>
      <c r="S145" s="3209"/>
      <c r="T145" s="258" t="str">
        <f t="shared" si="29"/>
        <v/>
      </c>
      <c r="U145" s="423">
        <f t="shared" si="30"/>
        <v>18</v>
      </c>
      <c r="V145" s="778">
        <v>0.04</v>
      </c>
      <c r="W145" s="2979">
        <v>0.08</v>
      </c>
      <c r="X145" s="2979">
        <v>0.11</v>
      </c>
      <c r="Y145" s="2979">
        <v>0.14000000000000001</v>
      </c>
      <c r="Z145" s="2979">
        <v>0.19</v>
      </c>
      <c r="AA145" s="2979">
        <v>0.26</v>
      </c>
      <c r="AB145" s="2979">
        <v>0.34</v>
      </c>
      <c r="AC145" s="2979">
        <v>0.46</v>
      </c>
      <c r="AD145" s="2979">
        <v>0.6</v>
      </c>
      <c r="AE145" s="2979">
        <v>0.76</v>
      </c>
      <c r="AF145" s="6"/>
    </row>
    <row r="146" spans="1:32" hidden="1" x14ac:dyDescent="0.25">
      <c r="A146" s="957">
        <f t="shared" si="28"/>
        <v>0</v>
      </c>
      <c r="B146" s="32">
        <v>1</v>
      </c>
      <c r="R146" s="4"/>
      <c r="S146" s="3209"/>
      <c r="T146" s="258" t="str">
        <f t="shared" si="29"/>
        <v/>
      </c>
      <c r="U146" s="423">
        <f t="shared" si="30"/>
        <v>19</v>
      </c>
      <c r="V146" s="778">
        <v>0.04</v>
      </c>
      <c r="W146" s="2979">
        <v>0.09</v>
      </c>
      <c r="X146" s="2979">
        <v>0.12</v>
      </c>
      <c r="Y146" s="2979">
        <v>0.16</v>
      </c>
      <c r="Z146" s="2979">
        <v>0.21</v>
      </c>
      <c r="AA146" s="2979">
        <v>0.28000000000000003</v>
      </c>
      <c r="AB146" s="2979">
        <v>0.36</v>
      </c>
      <c r="AC146" s="2979">
        <v>0.49</v>
      </c>
      <c r="AD146" s="2979">
        <v>0.64</v>
      </c>
      <c r="AE146" s="2979">
        <v>0.78</v>
      </c>
      <c r="AF146" s="6"/>
    </row>
    <row r="147" spans="1:32" hidden="1" x14ac:dyDescent="0.25">
      <c r="A147" s="957">
        <f t="shared" si="28"/>
        <v>0</v>
      </c>
      <c r="B147" s="32">
        <v>1</v>
      </c>
      <c r="R147" s="4"/>
      <c r="S147" s="3209"/>
      <c r="T147" s="258" t="str">
        <f t="shared" si="29"/>
        <v/>
      </c>
      <c r="U147" s="423">
        <f t="shared" si="30"/>
        <v>20</v>
      </c>
      <c r="V147" s="778">
        <v>0.05</v>
      </c>
      <c r="W147" s="2979">
        <v>0.09</v>
      </c>
      <c r="X147" s="2979">
        <v>0.13</v>
      </c>
      <c r="Y147" s="2979">
        <v>0.17</v>
      </c>
      <c r="Z147" s="2979">
        <v>0.23</v>
      </c>
      <c r="AA147" s="2979">
        <v>0.3</v>
      </c>
      <c r="AB147" s="2979">
        <v>0.39</v>
      </c>
      <c r="AC147" s="2979">
        <v>0.53</v>
      </c>
      <c r="AD147" s="2979">
        <v>0.68</v>
      </c>
      <c r="AE147" s="2979">
        <v>0.79</v>
      </c>
      <c r="AF147" s="6"/>
    </row>
    <row r="148" spans="1:32" hidden="1" x14ac:dyDescent="0.25">
      <c r="A148" s="957">
        <f t="shared" si="28"/>
        <v>0</v>
      </c>
      <c r="B148" s="32">
        <v>1</v>
      </c>
      <c r="R148" s="4"/>
      <c r="S148" s="3209"/>
      <c r="T148" s="258" t="str">
        <f t="shared" si="29"/>
        <v/>
      </c>
      <c r="U148" s="423">
        <f t="shared" si="30"/>
        <v>21</v>
      </c>
      <c r="V148" s="778">
        <v>0.05</v>
      </c>
      <c r="W148" s="2979">
        <v>0.1</v>
      </c>
      <c r="X148" s="2979">
        <v>0.14000000000000001</v>
      </c>
      <c r="Y148" s="2979">
        <v>0.18</v>
      </c>
      <c r="Z148" s="2979">
        <v>0.25</v>
      </c>
      <c r="AA148" s="2979">
        <v>0.32</v>
      </c>
      <c r="AB148" s="2979">
        <v>0.42</v>
      </c>
      <c r="AC148" s="2979">
        <v>0.56999999999999995</v>
      </c>
      <c r="AD148" s="2979">
        <v>0.71</v>
      </c>
      <c r="AE148" s="2979">
        <v>0.8</v>
      </c>
      <c r="AF148" s="6"/>
    </row>
    <row r="149" spans="1:32" hidden="1" x14ac:dyDescent="0.25">
      <c r="A149" s="957">
        <f t="shared" si="28"/>
        <v>0</v>
      </c>
      <c r="B149" s="32">
        <v>1</v>
      </c>
      <c r="R149" s="4"/>
      <c r="S149" s="3209"/>
      <c r="T149" s="258" t="str">
        <f t="shared" si="29"/>
        <v/>
      </c>
      <c r="U149" s="423">
        <f t="shared" si="30"/>
        <v>22</v>
      </c>
      <c r="V149" s="778">
        <v>0.06</v>
      </c>
      <c r="W149" s="2979">
        <v>0.11</v>
      </c>
      <c r="X149" s="2979">
        <v>0.15</v>
      </c>
      <c r="Y149" s="2979">
        <v>0.2</v>
      </c>
      <c r="Z149" s="2979">
        <v>0.27</v>
      </c>
      <c r="AA149" s="2979">
        <v>0.35</v>
      </c>
      <c r="AB149" s="2979">
        <v>0.45</v>
      </c>
      <c r="AC149" s="2979">
        <v>0.6</v>
      </c>
      <c r="AD149" s="2979">
        <v>0.73</v>
      </c>
      <c r="AE149" s="2979"/>
      <c r="AF149" s="6"/>
    </row>
    <row r="150" spans="1:32" hidden="1" x14ac:dyDescent="0.25">
      <c r="A150" s="957">
        <f t="shared" si="28"/>
        <v>0</v>
      </c>
      <c r="B150" s="32">
        <v>1</v>
      </c>
      <c r="R150" s="4"/>
      <c r="S150" s="3209"/>
      <c r="T150" s="258" t="str">
        <f t="shared" si="29"/>
        <v/>
      </c>
      <c r="U150" s="423">
        <f t="shared" si="30"/>
        <v>23</v>
      </c>
      <c r="V150" s="778">
        <v>0.06</v>
      </c>
      <c r="W150" s="2979">
        <v>0.12</v>
      </c>
      <c r="X150" s="2979">
        <v>0.16</v>
      </c>
      <c r="Y150" s="2979">
        <v>0.21</v>
      </c>
      <c r="Z150" s="2979">
        <v>0.28999999999999998</v>
      </c>
      <c r="AA150" s="2979">
        <v>0.37</v>
      </c>
      <c r="AB150" s="2979">
        <v>0.48</v>
      </c>
      <c r="AC150" s="2979">
        <v>0.63</v>
      </c>
      <c r="AD150" s="2979">
        <v>0.75</v>
      </c>
      <c r="AE150" s="2979"/>
      <c r="AF150" s="6"/>
    </row>
    <row r="151" spans="1:32" hidden="1" x14ac:dyDescent="0.25">
      <c r="A151" s="957">
        <f t="shared" si="28"/>
        <v>0</v>
      </c>
      <c r="B151" s="32">
        <v>1</v>
      </c>
      <c r="R151" s="4"/>
      <c r="S151" s="3209"/>
      <c r="T151" s="258" t="str">
        <f t="shared" si="29"/>
        <v/>
      </c>
      <c r="U151" s="423">
        <f t="shared" si="30"/>
        <v>24</v>
      </c>
      <c r="V151" s="778">
        <v>7.0000000000000007E-2</v>
      </c>
      <c r="W151" s="2979">
        <v>0.13</v>
      </c>
      <c r="X151" s="2979">
        <v>0.17</v>
      </c>
      <c r="Y151" s="2979">
        <v>0.23</v>
      </c>
      <c r="Z151" s="2979">
        <v>0.31</v>
      </c>
      <c r="AA151" s="2979">
        <v>0.4</v>
      </c>
      <c r="AB151" s="2979">
        <v>0.52</v>
      </c>
      <c r="AC151" s="2979">
        <v>0.66</v>
      </c>
      <c r="AD151" s="2979">
        <v>0.77</v>
      </c>
      <c r="AE151" s="2979"/>
      <c r="AF151" s="6"/>
    </row>
    <row r="152" spans="1:32" hidden="1" x14ac:dyDescent="0.25">
      <c r="A152" s="957">
        <f t="shared" si="28"/>
        <v>0</v>
      </c>
      <c r="B152" s="32">
        <v>1</v>
      </c>
      <c r="R152" s="4"/>
      <c r="S152" s="3209"/>
      <c r="T152" s="258" t="str">
        <f t="shared" si="29"/>
        <v/>
      </c>
      <c r="U152" s="423">
        <f t="shared" si="30"/>
        <v>25</v>
      </c>
      <c r="V152" s="778">
        <v>7.0000000000000007E-2</v>
      </c>
      <c r="W152" s="2979">
        <v>0.14000000000000001</v>
      </c>
      <c r="X152" s="2979">
        <v>0.19</v>
      </c>
      <c r="Y152" s="2979">
        <v>0.25</v>
      </c>
      <c r="Z152" s="2979">
        <v>0.33</v>
      </c>
      <c r="AA152" s="2979">
        <v>0.43</v>
      </c>
      <c r="AB152" s="2979">
        <v>0.55000000000000004</v>
      </c>
      <c r="AC152" s="2979">
        <v>0.69</v>
      </c>
      <c r="AD152" s="2979">
        <v>0.79</v>
      </c>
      <c r="AE152" s="2979"/>
      <c r="AF152" s="6"/>
    </row>
    <row r="153" spans="1:32" hidden="1" x14ac:dyDescent="0.25">
      <c r="A153" s="957">
        <f t="shared" si="28"/>
        <v>0</v>
      </c>
      <c r="B153" s="32">
        <v>1</v>
      </c>
      <c r="R153" s="4"/>
      <c r="S153" s="3209"/>
      <c r="T153" s="258" t="str">
        <f t="shared" si="29"/>
        <v/>
      </c>
      <c r="U153" s="423">
        <f t="shared" si="30"/>
        <v>26</v>
      </c>
      <c r="V153" s="778">
        <v>0.08</v>
      </c>
      <c r="W153" s="2979">
        <v>0.15</v>
      </c>
      <c r="X153" s="2979">
        <v>0.2</v>
      </c>
      <c r="Y153" s="2979">
        <v>0.27</v>
      </c>
      <c r="Z153" s="2979">
        <v>0.35</v>
      </c>
      <c r="AA153" s="2979">
        <v>0.46</v>
      </c>
      <c r="AB153" s="2979">
        <v>0.57999999999999996</v>
      </c>
      <c r="AC153" s="2979">
        <v>0.72</v>
      </c>
      <c r="AD153" s="2979">
        <v>0.8</v>
      </c>
      <c r="AE153" s="2979"/>
      <c r="AF153" s="6"/>
    </row>
    <row r="154" spans="1:32" hidden="1" x14ac:dyDescent="0.25">
      <c r="A154" s="957">
        <f t="shared" si="28"/>
        <v>0</v>
      </c>
      <c r="B154" s="32">
        <v>1</v>
      </c>
      <c r="R154" s="4"/>
      <c r="S154" s="3209"/>
      <c r="T154" s="258" t="str">
        <f t="shared" si="29"/>
        <v/>
      </c>
      <c r="U154" s="423">
        <f t="shared" si="30"/>
        <v>27</v>
      </c>
      <c r="V154" s="778">
        <v>0.09</v>
      </c>
      <c r="W154" s="2979">
        <v>0.16</v>
      </c>
      <c r="X154" s="2979">
        <v>0.21</v>
      </c>
      <c r="Y154" s="2979">
        <v>0.28000000000000003</v>
      </c>
      <c r="Z154" s="2979">
        <v>0.37</v>
      </c>
      <c r="AA154" s="2979">
        <v>0.49</v>
      </c>
      <c r="AB154" s="2979">
        <v>0.61</v>
      </c>
      <c r="AC154" s="2979">
        <v>0.75</v>
      </c>
      <c r="AD154" s="2979"/>
      <c r="AE154" s="2979"/>
      <c r="AF154" s="6"/>
    </row>
    <row r="155" spans="1:32" hidden="1" x14ac:dyDescent="0.25">
      <c r="A155" s="957">
        <f t="shared" si="28"/>
        <v>0</v>
      </c>
      <c r="B155" s="32">
        <v>1</v>
      </c>
      <c r="R155" s="4"/>
      <c r="S155" s="3209"/>
      <c r="T155" s="258" t="str">
        <f t="shared" si="29"/>
        <v/>
      </c>
      <c r="U155" s="423">
        <f t="shared" si="30"/>
        <v>28</v>
      </c>
      <c r="V155" s="778">
        <v>0.09</v>
      </c>
      <c r="W155" s="2979">
        <v>0.17</v>
      </c>
      <c r="X155" s="2979">
        <v>0.23</v>
      </c>
      <c r="Y155" s="2979">
        <v>0.3</v>
      </c>
      <c r="Z155" s="2979">
        <v>0.4</v>
      </c>
      <c r="AA155" s="2979">
        <v>0.52</v>
      </c>
      <c r="AB155" s="2979">
        <v>0.64</v>
      </c>
      <c r="AC155" s="2979">
        <v>0.77</v>
      </c>
      <c r="AD155" s="2979"/>
      <c r="AE155" s="2979"/>
      <c r="AF155" s="6"/>
    </row>
    <row r="156" spans="1:32" hidden="1" x14ac:dyDescent="0.25">
      <c r="A156" s="957">
        <f t="shared" si="28"/>
        <v>0</v>
      </c>
      <c r="B156" s="32">
        <v>1</v>
      </c>
      <c r="R156" s="4"/>
      <c r="S156" s="3209"/>
      <c r="T156" s="258" t="str">
        <f t="shared" si="29"/>
        <v/>
      </c>
      <c r="U156" s="423">
        <f t="shared" si="30"/>
        <v>29</v>
      </c>
      <c r="V156" s="778">
        <v>0.1</v>
      </c>
      <c r="W156" s="2979">
        <v>0.18</v>
      </c>
      <c r="X156" s="2979">
        <v>0.24</v>
      </c>
      <c r="Y156" s="2979">
        <v>0.32</v>
      </c>
      <c r="Z156" s="2979">
        <v>0.42</v>
      </c>
      <c r="AA156" s="2979">
        <v>0.54</v>
      </c>
      <c r="AB156" s="2979">
        <v>0.68</v>
      </c>
      <c r="AC156" s="2979">
        <v>0.78</v>
      </c>
      <c r="AD156" s="2979"/>
      <c r="AE156" s="2979"/>
      <c r="AF156" s="6"/>
    </row>
    <row r="157" spans="1:32" hidden="1" x14ac:dyDescent="0.25">
      <c r="A157" s="957">
        <f t="shared" si="28"/>
        <v>0</v>
      </c>
      <c r="B157" s="32">
        <v>1</v>
      </c>
      <c r="R157" s="4"/>
      <c r="S157" s="3209"/>
      <c r="T157" s="258" t="str">
        <f t="shared" si="29"/>
        <v/>
      </c>
      <c r="U157" s="423">
        <f t="shared" si="30"/>
        <v>30</v>
      </c>
      <c r="V157" s="778">
        <v>0.11</v>
      </c>
      <c r="W157" s="2979">
        <v>0.2</v>
      </c>
      <c r="X157" s="2979">
        <v>0.26</v>
      </c>
      <c r="Y157" s="2979">
        <v>0.34</v>
      </c>
      <c r="Z157" s="2979">
        <v>0.45</v>
      </c>
      <c r="AA157" s="2979">
        <v>0.56999999999999995</v>
      </c>
      <c r="AB157" s="2979">
        <v>0.72</v>
      </c>
      <c r="AC157" s="2979">
        <v>0.79</v>
      </c>
      <c r="AD157" s="2979"/>
      <c r="AE157" s="2979"/>
      <c r="AF157" s="6"/>
    </row>
    <row r="158" spans="1:32" hidden="1" x14ac:dyDescent="0.25">
      <c r="A158" s="957">
        <f t="shared" si="28"/>
        <v>0</v>
      </c>
      <c r="B158" s="32">
        <v>1</v>
      </c>
      <c r="R158" s="4"/>
      <c r="S158" s="3209"/>
      <c r="T158" s="258" t="str">
        <f t="shared" si="29"/>
        <v/>
      </c>
      <c r="U158" s="423">
        <f t="shared" si="30"/>
        <v>31</v>
      </c>
      <c r="V158" s="778">
        <v>0.12</v>
      </c>
      <c r="W158" s="2979">
        <f t="shared" ref="W158:AC158" si="31">(W159+W157)/2</f>
        <v>0.21000000000000002</v>
      </c>
      <c r="X158" s="2979">
        <f t="shared" si="31"/>
        <v>0.28000000000000003</v>
      </c>
      <c r="Y158" s="2979">
        <f t="shared" si="31"/>
        <v>0.36</v>
      </c>
      <c r="Z158" s="2979">
        <f t="shared" si="31"/>
        <v>0.47499999999999998</v>
      </c>
      <c r="AA158" s="2979">
        <f t="shared" si="31"/>
        <v>0.59499999999999997</v>
      </c>
      <c r="AB158" s="2979">
        <f t="shared" si="31"/>
        <v>0.73499999999999999</v>
      </c>
      <c r="AC158" s="2979">
        <f t="shared" si="31"/>
        <v>0.79500000000000004</v>
      </c>
      <c r="AD158" s="2979"/>
      <c r="AE158" s="2979"/>
      <c r="AF158" s="6"/>
    </row>
    <row r="159" spans="1:32" hidden="1" x14ac:dyDescent="0.25">
      <c r="A159" s="957">
        <f t="shared" ref="A159:A190" si="32">IF(Subject_AgeEffective&gt;=U159,1,0)</f>
        <v>0</v>
      </c>
      <c r="B159" s="32">
        <v>1</v>
      </c>
      <c r="R159" s="4"/>
      <c r="S159" s="3209"/>
      <c r="T159" s="258" t="str">
        <f t="shared" ref="T159:T190" si="33">IF(Subject_AgeEffective=U159,"Subject Property","")</f>
        <v/>
      </c>
      <c r="U159" s="423">
        <f t="shared" si="30"/>
        <v>32</v>
      </c>
      <c r="V159" s="778">
        <v>0.13</v>
      </c>
      <c r="W159" s="2979">
        <v>0.22</v>
      </c>
      <c r="X159" s="2979">
        <v>0.3</v>
      </c>
      <c r="Y159" s="2979">
        <v>0.38</v>
      </c>
      <c r="Z159" s="2979">
        <v>0.5</v>
      </c>
      <c r="AA159" s="2979">
        <v>0.62</v>
      </c>
      <c r="AB159" s="2979">
        <v>0.75</v>
      </c>
      <c r="AC159" s="2979">
        <v>0.8</v>
      </c>
      <c r="AD159" s="2979"/>
      <c r="AE159" s="2979"/>
      <c r="AF159" s="6"/>
    </row>
    <row r="160" spans="1:32" hidden="1" x14ac:dyDescent="0.25">
      <c r="A160" s="957">
        <f t="shared" si="32"/>
        <v>0</v>
      </c>
      <c r="B160" s="32">
        <v>1</v>
      </c>
      <c r="R160" s="4"/>
      <c r="S160" s="3209"/>
      <c r="T160" s="258" t="str">
        <f t="shared" si="33"/>
        <v/>
      </c>
      <c r="U160" s="423">
        <f t="shared" si="30"/>
        <v>33</v>
      </c>
      <c r="V160" s="778">
        <v>0.14000000000000001</v>
      </c>
      <c r="W160" s="2979">
        <f t="shared" ref="W160:AB160" si="34">(W161+W159)/2</f>
        <v>0.23499999999999999</v>
      </c>
      <c r="X160" s="2979">
        <f t="shared" si="34"/>
        <v>0.32</v>
      </c>
      <c r="Y160" s="2979">
        <f t="shared" si="34"/>
        <v>0.40500000000000003</v>
      </c>
      <c r="Z160" s="2979">
        <f t="shared" si="34"/>
        <v>0.52500000000000002</v>
      </c>
      <c r="AA160" s="2979">
        <f t="shared" si="34"/>
        <v>0.65</v>
      </c>
      <c r="AB160" s="2979">
        <f t="shared" si="34"/>
        <v>0.76</v>
      </c>
      <c r="AC160" s="2979"/>
      <c r="AD160" s="2979"/>
      <c r="AE160" s="2979"/>
      <c r="AF160" s="6"/>
    </row>
    <row r="161" spans="1:32" hidden="1" x14ac:dyDescent="0.25">
      <c r="A161" s="957">
        <f t="shared" si="32"/>
        <v>0</v>
      </c>
      <c r="B161" s="32">
        <v>1</v>
      </c>
      <c r="R161" s="4"/>
      <c r="S161" s="3209"/>
      <c r="T161" s="258" t="str">
        <f t="shared" si="33"/>
        <v/>
      </c>
      <c r="U161" s="423">
        <f t="shared" ref="U161:U192" si="35">U160+1</f>
        <v>34</v>
      </c>
      <c r="V161" s="778">
        <v>0.15</v>
      </c>
      <c r="W161" s="2979">
        <v>0.25</v>
      </c>
      <c r="X161" s="2979">
        <v>0.34</v>
      </c>
      <c r="Y161" s="2979">
        <v>0.43</v>
      </c>
      <c r="Z161" s="2979">
        <v>0.55000000000000004</v>
      </c>
      <c r="AA161" s="2979">
        <v>0.68</v>
      </c>
      <c r="AB161" s="2979">
        <v>0.77</v>
      </c>
      <c r="AC161" s="2979"/>
      <c r="AD161" s="2979"/>
      <c r="AE161" s="2979"/>
      <c r="AF161" s="6"/>
    </row>
    <row r="162" spans="1:32" hidden="1" x14ac:dyDescent="0.25">
      <c r="A162" s="957">
        <f t="shared" si="32"/>
        <v>0</v>
      </c>
      <c r="B162" s="32">
        <v>1</v>
      </c>
      <c r="R162" s="4"/>
      <c r="S162" s="3209"/>
      <c r="T162" s="258" t="str">
        <f t="shared" si="33"/>
        <v/>
      </c>
      <c r="U162" s="423">
        <f t="shared" si="35"/>
        <v>35</v>
      </c>
      <c r="V162" s="778">
        <v>0.16</v>
      </c>
      <c r="W162" s="2979">
        <f t="shared" ref="W162:AB162" si="36">(W163+W161)/2</f>
        <v>0.26500000000000001</v>
      </c>
      <c r="X162" s="2979">
        <f t="shared" si="36"/>
        <v>0.36</v>
      </c>
      <c r="Y162" s="2979">
        <f t="shared" si="36"/>
        <v>0.45499999999999996</v>
      </c>
      <c r="Z162" s="2979">
        <f t="shared" si="36"/>
        <v>0.58000000000000007</v>
      </c>
      <c r="AA162" s="2979">
        <f t="shared" si="36"/>
        <v>0.70500000000000007</v>
      </c>
      <c r="AB162" s="2979">
        <f t="shared" si="36"/>
        <v>0.78</v>
      </c>
      <c r="AC162" s="2979"/>
      <c r="AD162" s="2979"/>
      <c r="AE162" s="2979"/>
      <c r="AF162" s="6"/>
    </row>
    <row r="163" spans="1:32" hidden="1" x14ac:dyDescent="0.25">
      <c r="A163" s="957">
        <f t="shared" si="32"/>
        <v>0</v>
      </c>
      <c r="B163" s="32">
        <v>1</v>
      </c>
      <c r="R163" s="4"/>
      <c r="S163" s="3209"/>
      <c r="T163" s="258" t="str">
        <f t="shared" si="33"/>
        <v/>
      </c>
      <c r="U163" s="423">
        <f t="shared" si="35"/>
        <v>36</v>
      </c>
      <c r="V163" s="778">
        <v>0.17</v>
      </c>
      <c r="W163" s="2979">
        <v>0.28000000000000003</v>
      </c>
      <c r="X163" s="2979">
        <v>0.38</v>
      </c>
      <c r="Y163" s="2979">
        <v>0.48</v>
      </c>
      <c r="Z163" s="2979">
        <v>0.61</v>
      </c>
      <c r="AA163" s="2979">
        <v>0.73</v>
      </c>
      <c r="AB163" s="2979">
        <v>0.79</v>
      </c>
      <c r="AC163" s="2979"/>
      <c r="AD163" s="2979"/>
      <c r="AE163" s="2979"/>
      <c r="AF163" s="6"/>
    </row>
    <row r="164" spans="1:32" hidden="1" x14ac:dyDescent="0.25">
      <c r="A164" s="957">
        <f t="shared" si="32"/>
        <v>0</v>
      </c>
      <c r="B164" s="32">
        <v>1</v>
      </c>
      <c r="R164" s="4"/>
      <c r="S164" s="3209"/>
      <c r="T164" s="258" t="str">
        <f t="shared" si="33"/>
        <v/>
      </c>
      <c r="U164" s="423">
        <f t="shared" si="35"/>
        <v>37</v>
      </c>
      <c r="V164" s="778">
        <v>0.18</v>
      </c>
      <c r="W164" s="2979">
        <f t="shared" ref="W164:AB164" si="37">(W165+W163)/2</f>
        <v>0.30000000000000004</v>
      </c>
      <c r="X164" s="2979">
        <f t="shared" si="37"/>
        <v>0.4</v>
      </c>
      <c r="Y164" s="2979">
        <f t="shared" si="37"/>
        <v>0.505</v>
      </c>
      <c r="Z164" s="2979">
        <f t="shared" si="37"/>
        <v>0.64</v>
      </c>
      <c r="AA164" s="2979">
        <f t="shared" si="37"/>
        <v>0.75</v>
      </c>
      <c r="AB164" s="2979">
        <f t="shared" si="37"/>
        <v>0.79500000000000004</v>
      </c>
      <c r="AC164" s="2979"/>
      <c r="AD164" s="2979"/>
      <c r="AE164" s="2979"/>
      <c r="AF164" s="6"/>
    </row>
    <row r="165" spans="1:32" hidden="1" x14ac:dyDescent="0.25">
      <c r="A165" s="957">
        <f t="shared" si="32"/>
        <v>0</v>
      </c>
      <c r="B165" s="32">
        <v>1</v>
      </c>
      <c r="R165" s="4"/>
      <c r="S165" s="3209"/>
      <c r="T165" s="258" t="str">
        <f t="shared" si="33"/>
        <v/>
      </c>
      <c r="U165" s="423">
        <f t="shared" si="35"/>
        <v>38</v>
      </c>
      <c r="V165" s="778">
        <v>0.19</v>
      </c>
      <c r="W165" s="2979">
        <v>0.32</v>
      </c>
      <c r="X165" s="2979">
        <v>0.42</v>
      </c>
      <c r="Y165" s="2979">
        <v>0.53</v>
      </c>
      <c r="Z165" s="2979">
        <v>0.67</v>
      </c>
      <c r="AA165" s="2979">
        <v>0.77</v>
      </c>
      <c r="AB165" s="2979">
        <v>0.8</v>
      </c>
      <c r="AC165" s="2979"/>
      <c r="AD165" s="2979"/>
      <c r="AE165" s="2979"/>
      <c r="AF165" s="6"/>
    </row>
    <row r="166" spans="1:32" hidden="1" x14ac:dyDescent="0.25">
      <c r="A166" s="957">
        <f t="shared" si="32"/>
        <v>0</v>
      </c>
      <c r="B166" s="32">
        <v>1</v>
      </c>
      <c r="R166" s="4"/>
      <c r="S166" s="3209"/>
      <c r="T166" s="258" t="str">
        <f t="shared" si="33"/>
        <v/>
      </c>
      <c r="U166" s="423">
        <f t="shared" si="35"/>
        <v>39</v>
      </c>
      <c r="V166" s="778">
        <v>0.2</v>
      </c>
      <c r="W166" s="2979">
        <f>(W167+W165)/2</f>
        <v>0.33499999999999996</v>
      </c>
      <c r="X166" s="2979">
        <f>(X167+X165)/2</f>
        <v>0.44</v>
      </c>
      <c r="Y166" s="2979">
        <f>(Y167+Y165)/2</f>
        <v>0.56000000000000005</v>
      </c>
      <c r="Z166" s="2979">
        <f>(Z167+Z165)/2</f>
        <v>0.69500000000000006</v>
      </c>
      <c r="AA166" s="2979">
        <f>(AA167+AA165)/2</f>
        <v>0.78</v>
      </c>
      <c r="AB166" s="2979"/>
      <c r="AC166" s="2979"/>
      <c r="AD166" s="2979"/>
      <c r="AE166" s="2979"/>
      <c r="AF166" s="6"/>
    </row>
    <row r="167" spans="1:32" hidden="1" x14ac:dyDescent="0.25">
      <c r="A167" s="957">
        <f t="shared" si="32"/>
        <v>0</v>
      </c>
      <c r="B167" s="32">
        <v>1</v>
      </c>
      <c r="R167" s="4"/>
      <c r="S167" s="3209"/>
      <c r="T167" s="258" t="str">
        <f t="shared" si="33"/>
        <v/>
      </c>
      <c r="U167" s="423">
        <f t="shared" si="35"/>
        <v>40</v>
      </c>
      <c r="V167" s="778">
        <v>0.21</v>
      </c>
      <c r="W167" s="2979">
        <v>0.35</v>
      </c>
      <c r="X167" s="2979">
        <v>0.46</v>
      </c>
      <c r="Y167" s="2979">
        <v>0.59</v>
      </c>
      <c r="Z167" s="2979">
        <v>0.72</v>
      </c>
      <c r="AA167" s="2979">
        <v>0.79</v>
      </c>
      <c r="AB167" s="2979"/>
      <c r="AC167" s="2979"/>
      <c r="AD167" s="2979"/>
      <c r="AE167" s="2979"/>
      <c r="AF167" s="6"/>
    </row>
    <row r="168" spans="1:32" hidden="1" x14ac:dyDescent="0.25">
      <c r="A168" s="957">
        <f t="shared" si="32"/>
        <v>0</v>
      </c>
      <c r="B168" s="32">
        <v>1</v>
      </c>
      <c r="R168" s="4"/>
      <c r="S168" s="3209"/>
      <c r="T168" s="258" t="str">
        <f t="shared" si="33"/>
        <v/>
      </c>
      <c r="U168" s="423">
        <f t="shared" si="35"/>
        <v>41</v>
      </c>
      <c r="V168" s="2979">
        <f t="shared" ref="V168:AA168" si="38">(V169+V167)/2</f>
        <v>0.22999999999999998</v>
      </c>
      <c r="W168" s="2979">
        <f t="shared" si="38"/>
        <v>0.37</v>
      </c>
      <c r="X168" s="2979">
        <f t="shared" si="38"/>
        <v>0.48499999999999999</v>
      </c>
      <c r="Y168" s="2979">
        <f t="shared" si="38"/>
        <v>0.62</v>
      </c>
      <c r="Z168" s="2979">
        <f t="shared" si="38"/>
        <v>0.73499999999999999</v>
      </c>
      <c r="AA168" s="2979">
        <f t="shared" si="38"/>
        <v>0.79500000000000004</v>
      </c>
      <c r="AB168" s="2979"/>
      <c r="AC168" s="2979"/>
      <c r="AD168" s="2979"/>
      <c r="AE168" s="2979"/>
      <c r="AF168" s="6"/>
    </row>
    <row r="169" spans="1:32" hidden="1" x14ac:dyDescent="0.25">
      <c r="A169" s="957">
        <f t="shared" si="32"/>
        <v>0</v>
      </c>
      <c r="B169" s="32">
        <v>1</v>
      </c>
      <c r="R169" s="4"/>
      <c r="S169" s="3209"/>
      <c r="T169" s="258" t="str">
        <f t="shared" si="33"/>
        <v/>
      </c>
      <c r="U169" s="423">
        <f t="shared" si="35"/>
        <v>42</v>
      </c>
      <c r="V169" s="778">
        <v>0.25</v>
      </c>
      <c r="W169" s="2979">
        <v>0.39</v>
      </c>
      <c r="X169" s="2979">
        <v>0.51</v>
      </c>
      <c r="Y169" s="2979">
        <v>0.65</v>
      </c>
      <c r="Z169" s="2979">
        <v>0.75</v>
      </c>
      <c r="AA169" s="2979">
        <v>0.8</v>
      </c>
      <c r="AB169" s="2979"/>
      <c r="AC169" s="2979"/>
      <c r="AD169" s="2979"/>
      <c r="AE169" s="2979"/>
      <c r="AF169" s="6"/>
    </row>
    <row r="170" spans="1:32" hidden="1" x14ac:dyDescent="0.25">
      <c r="A170" s="957">
        <f t="shared" si="32"/>
        <v>0</v>
      </c>
      <c r="B170" s="32">
        <v>1</v>
      </c>
      <c r="R170" s="4"/>
      <c r="S170" s="3209"/>
      <c r="T170" s="258" t="str">
        <f t="shared" si="33"/>
        <v/>
      </c>
      <c r="U170" s="423">
        <f t="shared" si="35"/>
        <v>43</v>
      </c>
      <c r="V170" s="2979">
        <f>(V171+V169)/2</f>
        <v>0.26500000000000001</v>
      </c>
      <c r="W170" s="2979">
        <f>(W171+W169)/2</f>
        <v>0.41000000000000003</v>
      </c>
      <c r="X170" s="2979">
        <f>(X171+X169)/2</f>
        <v>0.53500000000000003</v>
      </c>
      <c r="Y170" s="2979">
        <f>(Y171+Y169)/2</f>
        <v>0.67500000000000004</v>
      </c>
      <c r="Z170" s="2979">
        <f>(Z171+Z169)/2</f>
        <v>0.76</v>
      </c>
      <c r="AA170" s="2979"/>
      <c r="AB170" s="2979"/>
      <c r="AC170" s="2979"/>
      <c r="AD170" s="2979"/>
      <c r="AE170" s="2979"/>
      <c r="AF170" s="6"/>
    </row>
    <row r="171" spans="1:32" hidden="1" x14ac:dyDescent="0.25">
      <c r="A171" s="957">
        <f t="shared" si="32"/>
        <v>0</v>
      </c>
      <c r="B171" s="32">
        <v>1</v>
      </c>
      <c r="R171" s="4"/>
      <c r="S171" s="3209"/>
      <c r="T171" s="258" t="str">
        <f t="shared" si="33"/>
        <v/>
      </c>
      <c r="U171" s="423">
        <f t="shared" si="35"/>
        <v>44</v>
      </c>
      <c r="V171" s="778">
        <v>0.28000000000000003</v>
      </c>
      <c r="W171" s="2979">
        <v>0.43</v>
      </c>
      <c r="X171" s="2979">
        <v>0.56000000000000005</v>
      </c>
      <c r="Y171" s="2979">
        <v>0.7</v>
      </c>
      <c r="Z171" s="2979">
        <v>0.77</v>
      </c>
      <c r="AA171" s="2979"/>
      <c r="AB171" s="2979"/>
      <c r="AC171" s="2979"/>
      <c r="AD171" s="2979"/>
      <c r="AE171" s="2979"/>
      <c r="AF171" s="6"/>
    </row>
    <row r="172" spans="1:32" hidden="1" x14ac:dyDescent="0.25">
      <c r="A172" s="957">
        <f t="shared" si="32"/>
        <v>0</v>
      </c>
      <c r="B172" s="32">
        <v>1</v>
      </c>
      <c r="R172" s="4"/>
      <c r="S172" s="3209"/>
      <c r="T172" s="258" t="str">
        <f t="shared" si="33"/>
        <v/>
      </c>
      <c r="U172" s="423">
        <f t="shared" si="35"/>
        <v>45</v>
      </c>
      <c r="V172" s="2979">
        <f>(V173+V171)/2</f>
        <v>0.29500000000000004</v>
      </c>
      <c r="W172" s="2979">
        <f>(W173+W171)/2</f>
        <v>0.45499999999999996</v>
      </c>
      <c r="X172" s="2979">
        <f>(X173+X171)/2</f>
        <v>0.58000000000000007</v>
      </c>
      <c r="Y172" s="2979">
        <f>(Y173+Y171)/2</f>
        <v>0.72</v>
      </c>
      <c r="Z172" s="2979">
        <f>(Z173+Z171)/2</f>
        <v>0.77500000000000002</v>
      </c>
      <c r="AA172" s="2979"/>
      <c r="AB172" s="2979"/>
      <c r="AC172" s="2979"/>
      <c r="AD172" s="2979"/>
      <c r="AE172" s="2979"/>
      <c r="AF172" s="6"/>
    </row>
    <row r="173" spans="1:32" hidden="1" x14ac:dyDescent="0.25">
      <c r="A173" s="957">
        <f t="shared" si="32"/>
        <v>0</v>
      </c>
      <c r="B173" s="32">
        <v>1</v>
      </c>
      <c r="R173" s="4"/>
      <c r="S173" s="3209"/>
      <c r="T173" s="258" t="str">
        <f t="shared" si="33"/>
        <v/>
      </c>
      <c r="U173" s="423">
        <f t="shared" si="35"/>
        <v>46</v>
      </c>
      <c r="V173" s="778">
        <v>0.31</v>
      </c>
      <c r="W173" s="2979">
        <v>0.48</v>
      </c>
      <c r="X173" s="2979">
        <v>0.6</v>
      </c>
      <c r="Y173" s="2979">
        <v>0.74</v>
      </c>
      <c r="Z173" s="2979">
        <v>0.78</v>
      </c>
      <c r="AA173" s="2979"/>
      <c r="AB173" s="2979"/>
      <c r="AC173" s="2979"/>
      <c r="AD173" s="2979"/>
      <c r="AE173" s="2979"/>
      <c r="AF173" s="6"/>
    </row>
    <row r="174" spans="1:32" hidden="1" x14ac:dyDescent="0.25">
      <c r="A174" s="957">
        <f t="shared" si="32"/>
        <v>0</v>
      </c>
      <c r="B174" s="32">
        <v>1</v>
      </c>
      <c r="R174" s="4"/>
      <c r="S174" s="3209"/>
      <c r="T174" s="258" t="str">
        <f t="shared" si="33"/>
        <v/>
      </c>
      <c r="U174" s="423">
        <f t="shared" si="35"/>
        <v>47</v>
      </c>
      <c r="V174" s="2979">
        <f>(V175+V173)/2</f>
        <v>0.32500000000000001</v>
      </c>
      <c r="W174" s="2979">
        <f>(W175+W173)/2</f>
        <v>0.505</v>
      </c>
      <c r="X174" s="2979">
        <f>(X175+X173)/2</f>
        <v>0.62</v>
      </c>
      <c r="Y174" s="2979">
        <f>(Y175+Y173)/2</f>
        <v>0.755</v>
      </c>
      <c r="Z174" s="2979">
        <f>(Z175+Z173)/2</f>
        <v>0.78500000000000003</v>
      </c>
      <c r="AA174" s="2979"/>
      <c r="AB174" s="2979"/>
      <c r="AC174" s="2979"/>
      <c r="AD174" s="2979"/>
      <c r="AE174" s="2979"/>
      <c r="AF174" s="6"/>
    </row>
    <row r="175" spans="1:32" hidden="1" x14ac:dyDescent="0.25">
      <c r="A175" s="957">
        <f t="shared" si="32"/>
        <v>0</v>
      </c>
      <c r="B175" s="32">
        <v>1</v>
      </c>
      <c r="R175" s="4"/>
      <c r="S175" s="3209"/>
      <c r="T175" s="258" t="str">
        <f t="shared" si="33"/>
        <v/>
      </c>
      <c r="U175" s="423">
        <f t="shared" si="35"/>
        <v>48</v>
      </c>
      <c r="V175" s="778">
        <v>0.34</v>
      </c>
      <c r="W175" s="2979">
        <v>0.53</v>
      </c>
      <c r="X175" s="2979">
        <v>0.64</v>
      </c>
      <c r="Y175" s="2979">
        <v>0.77</v>
      </c>
      <c r="Z175" s="2979">
        <v>0.79</v>
      </c>
      <c r="AA175" s="2979"/>
      <c r="AB175" s="2979"/>
      <c r="AC175" s="2979"/>
      <c r="AD175" s="2979"/>
      <c r="AE175" s="2979"/>
      <c r="AF175" s="6"/>
    </row>
    <row r="176" spans="1:32" hidden="1" x14ac:dyDescent="0.25">
      <c r="A176" s="957">
        <f t="shared" si="32"/>
        <v>0</v>
      </c>
      <c r="B176" s="32">
        <v>1</v>
      </c>
      <c r="R176" s="4"/>
      <c r="S176" s="3209"/>
      <c r="T176" s="258" t="str">
        <f t="shared" si="33"/>
        <v/>
      </c>
      <c r="U176" s="423">
        <f t="shared" si="35"/>
        <v>49</v>
      </c>
      <c r="V176" s="2979">
        <f>(V177+V175)/2</f>
        <v>0.36</v>
      </c>
      <c r="W176" s="2979">
        <f>(W177+W175)/2</f>
        <v>0.55499999999999994</v>
      </c>
      <c r="X176" s="2979">
        <f>(X177+X175)/2</f>
        <v>0.66</v>
      </c>
      <c r="Y176" s="2979">
        <f>(Y177+Y175)/2</f>
        <v>0.78</v>
      </c>
      <c r="Z176" s="2979">
        <f>(Z177+Z175)/2</f>
        <v>0.79500000000000004</v>
      </c>
      <c r="AA176" s="2979"/>
      <c r="AB176" s="2979"/>
      <c r="AC176" s="2979"/>
      <c r="AD176" s="2979"/>
      <c r="AE176" s="2979"/>
      <c r="AF176" s="6"/>
    </row>
    <row r="177" spans="1:32" hidden="1" x14ac:dyDescent="0.25">
      <c r="A177" s="957">
        <f t="shared" si="32"/>
        <v>0</v>
      </c>
      <c r="B177" s="32">
        <v>1</v>
      </c>
      <c r="R177" s="4"/>
      <c r="S177" s="3209"/>
      <c r="T177" s="258" t="str">
        <f t="shared" si="33"/>
        <v/>
      </c>
      <c r="U177" s="423">
        <f t="shared" si="35"/>
        <v>50</v>
      </c>
      <c r="V177" s="778">
        <v>0.38</v>
      </c>
      <c r="W177" s="2979">
        <v>0.57999999999999996</v>
      </c>
      <c r="X177" s="2979">
        <v>0.68</v>
      </c>
      <c r="Y177" s="2979">
        <v>0.79</v>
      </c>
      <c r="Z177" s="2979">
        <v>0.8</v>
      </c>
      <c r="AA177" s="2979"/>
      <c r="AB177" s="2979"/>
      <c r="AC177" s="2979"/>
      <c r="AD177" s="2979"/>
      <c r="AE177" s="2979"/>
      <c r="AF177" s="6"/>
    </row>
    <row r="178" spans="1:32" hidden="1" x14ac:dyDescent="0.25">
      <c r="A178" s="957">
        <f t="shared" si="32"/>
        <v>0</v>
      </c>
      <c r="B178" s="32">
        <v>1</v>
      </c>
      <c r="R178" s="4"/>
      <c r="S178" s="3209"/>
      <c r="T178" s="258" t="str">
        <f t="shared" si="33"/>
        <v/>
      </c>
      <c r="U178" s="423">
        <f t="shared" si="35"/>
        <v>51</v>
      </c>
      <c r="V178" s="2979">
        <f t="shared" ref="V178:Y181" si="39">((V$182-V$177)/5)+V177</f>
        <v>0.4</v>
      </c>
      <c r="W178" s="2979">
        <f t="shared" si="39"/>
        <v>0.59799999999999998</v>
      </c>
      <c r="X178" s="2979">
        <f t="shared" si="39"/>
        <v>0.69400000000000006</v>
      </c>
      <c r="Y178" s="2979">
        <f t="shared" si="39"/>
        <v>0.79200000000000004</v>
      </c>
      <c r="Z178" s="2979"/>
      <c r="AA178" s="2979"/>
      <c r="AB178" s="2979"/>
      <c r="AC178" s="2979"/>
      <c r="AD178" s="2979"/>
      <c r="AE178" s="2979"/>
      <c r="AF178" s="6"/>
    </row>
    <row r="179" spans="1:32" hidden="1" x14ac:dyDescent="0.25">
      <c r="A179" s="957">
        <f t="shared" si="32"/>
        <v>0</v>
      </c>
      <c r="B179" s="32">
        <v>1</v>
      </c>
      <c r="R179" s="4"/>
      <c r="S179" s="3209"/>
      <c r="T179" s="258" t="str">
        <f t="shared" si="33"/>
        <v/>
      </c>
      <c r="U179" s="423">
        <f t="shared" si="35"/>
        <v>52</v>
      </c>
      <c r="V179" s="2979">
        <f t="shared" si="39"/>
        <v>0.42000000000000004</v>
      </c>
      <c r="W179" s="2979">
        <f t="shared" si="39"/>
        <v>0.61599999999999999</v>
      </c>
      <c r="X179" s="2979">
        <f t="shared" si="39"/>
        <v>0.70800000000000007</v>
      </c>
      <c r="Y179" s="2979">
        <f t="shared" si="39"/>
        <v>0.79400000000000004</v>
      </c>
      <c r="Z179" s="2979"/>
      <c r="AA179" s="2979"/>
      <c r="AB179" s="2979"/>
      <c r="AC179" s="2979"/>
      <c r="AD179" s="2979"/>
      <c r="AE179" s="2979"/>
      <c r="AF179" s="6"/>
    </row>
    <row r="180" spans="1:32" hidden="1" x14ac:dyDescent="0.25">
      <c r="A180" s="957">
        <f t="shared" si="32"/>
        <v>0</v>
      </c>
      <c r="B180" s="32">
        <v>1</v>
      </c>
      <c r="R180" s="4"/>
      <c r="S180" s="3209"/>
      <c r="T180" s="258" t="str">
        <f t="shared" si="33"/>
        <v/>
      </c>
      <c r="U180" s="423">
        <f t="shared" si="35"/>
        <v>53</v>
      </c>
      <c r="V180" s="2979">
        <f t="shared" si="39"/>
        <v>0.44000000000000006</v>
      </c>
      <c r="W180" s="2979">
        <f t="shared" si="39"/>
        <v>0.63400000000000001</v>
      </c>
      <c r="X180" s="2979">
        <f t="shared" si="39"/>
        <v>0.72200000000000009</v>
      </c>
      <c r="Y180" s="2979">
        <f t="shared" si="39"/>
        <v>0.79600000000000004</v>
      </c>
      <c r="Z180" s="2979"/>
      <c r="AA180" s="2979"/>
      <c r="AB180" s="2979"/>
      <c r="AC180" s="2979"/>
      <c r="AD180" s="2979"/>
      <c r="AE180" s="2979"/>
      <c r="AF180" s="6"/>
    </row>
    <row r="181" spans="1:32" hidden="1" x14ac:dyDescent="0.25">
      <c r="A181" s="957">
        <f t="shared" si="32"/>
        <v>0</v>
      </c>
      <c r="B181" s="32">
        <v>1</v>
      </c>
      <c r="R181" s="4"/>
      <c r="S181" s="3209"/>
      <c r="T181" s="258" t="str">
        <f t="shared" si="33"/>
        <v/>
      </c>
      <c r="U181" s="423">
        <f t="shared" si="35"/>
        <v>54</v>
      </c>
      <c r="V181" s="2979">
        <f t="shared" si="39"/>
        <v>0.46000000000000008</v>
      </c>
      <c r="W181" s="2979">
        <f t="shared" si="39"/>
        <v>0.65200000000000002</v>
      </c>
      <c r="X181" s="2979">
        <f t="shared" si="39"/>
        <v>0.7360000000000001</v>
      </c>
      <c r="Y181" s="2979">
        <f t="shared" si="39"/>
        <v>0.79800000000000004</v>
      </c>
      <c r="Z181" s="2979"/>
      <c r="AA181" s="2979"/>
      <c r="AB181" s="2979"/>
      <c r="AC181" s="2979"/>
      <c r="AD181" s="2979"/>
      <c r="AE181" s="2979"/>
      <c r="AF181" s="6"/>
    </row>
    <row r="182" spans="1:32" hidden="1" x14ac:dyDescent="0.25">
      <c r="A182" s="957">
        <f t="shared" si="32"/>
        <v>0</v>
      </c>
      <c r="B182" s="32">
        <v>1</v>
      </c>
      <c r="R182" s="4"/>
      <c r="S182" s="3209"/>
      <c r="T182" s="258" t="str">
        <f t="shared" si="33"/>
        <v/>
      </c>
      <c r="U182" s="423">
        <f t="shared" si="35"/>
        <v>55</v>
      </c>
      <c r="V182" s="778">
        <v>0.48</v>
      </c>
      <c r="W182" s="2979">
        <v>0.67</v>
      </c>
      <c r="X182" s="2979">
        <v>0.75</v>
      </c>
      <c r="Y182" s="2979">
        <v>0.8</v>
      </c>
      <c r="Z182" s="2979"/>
      <c r="AA182" s="2979"/>
      <c r="AB182" s="2979"/>
      <c r="AC182" s="2979"/>
      <c r="AD182" s="2979"/>
      <c r="AE182" s="2979"/>
      <c r="AF182" s="6"/>
    </row>
    <row r="183" spans="1:32" hidden="1" x14ac:dyDescent="0.25">
      <c r="A183" s="957">
        <f t="shared" si="32"/>
        <v>0</v>
      </c>
      <c r="B183" s="32">
        <v>1</v>
      </c>
      <c r="R183" s="4"/>
      <c r="S183" s="3209"/>
      <c r="T183" s="258" t="str">
        <f t="shared" si="33"/>
        <v/>
      </c>
      <c r="U183" s="423">
        <f t="shared" si="35"/>
        <v>56</v>
      </c>
      <c r="V183" s="2979">
        <f t="shared" ref="V183:X186" si="40">((V$187-V$182)/5)+V182</f>
        <v>0.498</v>
      </c>
      <c r="W183" s="2979">
        <f t="shared" si="40"/>
        <v>0.68400000000000005</v>
      </c>
      <c r="X183" s="2979">
        <f t="shared" si="40"/>
        <v>0.75600000000000001</v>
      </c>
      <c r="Y183" s="2979"/>
      <c r="Z183" s="2979"/>
      <c r="AA183" s="2979"/>
      <c r="AB183" s="2979"/>
      <c r="AC183" s="2979"/>
      <c r="AD183" s="2979"/>
      <c r="AE183" s="2979"/>
      <c r="AF183" s="6"/>
    </row>
    <row r="184" spans="1:32" hidden="1" x14ac:dyDescent="0.25">
      <c r="A184" s="957">
        <f t="shared" si="32"/>
        <v>0</v>
      </c>
      <c r="B184" s="32">
        <v>1</v>
      </c>
      <c r="R184" s="4"/>
      <c r="S184" s="3209"/>
      <c r="T184" s="258" t="str">
        <f t="shared" si="33"/>
        <v/>
      </c>
      <c r="U184" s="423">
        <f t="shared" si="35"/>
        <v>57</v>
      </c>
      <c r="V184" s="2979">
        <f t="shared" si="40"/>
        <v>0.51600000000000001</v>
      </c>
      <c r="W184" s="2979">
        <f t="shared" si="40"/>
        <v>0.69800000000000006</v>
      </c>
      <c r="X184" s="2979">
        <f t="shared" si="40"/>
        <v>0.76200000000000001</v>
      </c>
      <c r="Y184" s="2979"/>
      <c r="Z184" s="2979"/>
      <c r="AA184" s="2979"/>
      <c r="AB184" s="2979"/>
      <c r="AC184" s="2979"/>
      <c r="AD184" s="2979"/>
      <c r="AE184" s="2979"/>
      <c r="AF184" s="6"/>
    </row>
    <row r="185" spans="1:32" hidden="1" x14ac:dyDescent="0.25">
      <c r="A185" s="957">
        <f t="shared" si="32"/>
        <v>0</v>
      </c>
      <c r="B185" s="32">
        <v>1</v>
      </c>
      <c r="R185" s="4"/>
      <c r="S185" s="3209"/>
      <c r="T185" s="258" t="str">
        <f t="shared" si="33"/>
        <v/>
      </c>
      <c r="U185" s="423">
        <f t="shared" si="35"/>
        <v>58</v>
      </c>
      <c r="V185" s="2979">
        <f t="shared" si="40"/>
        <v>0.53400000000000003</v>
      </c>
      <c r="W185" s="2979">
        <f t="shared" si="40"/>
        <v>0.71200000000000008</v>
      </c>
      <c r="X185" s="2979">
        <f t="shared" si="40"/>
        <v>0.76800000000000002</v>
      </c>
      <c r="Y185" s="2979"/>
      <c r="Z185" s="2979"/>
      <c r="AA185" s="2979"/>
      <c r="AB185" s="2979"/>
      <c r="AC185" s="2979"/>
      <c r="AD185" s="2979"/>
      <c r="AE185" s="2979"/>
      <c r="AF185" s="6"/>
    </row>
    <row r="186" spans="1:32" hidden="1" x14ac:dyDescent="0.25">
      <c r="A186" s="957">
        <f t="shared" si="32"/>
        <v>0</v>
      </c>
      <c r="B186" s="32">
        <v>1</v>
      </c>
      <c r="R186" s="4"/>
      <c r="S186" s="3209"/>
      <c r="T186" s="258" t="str">
        <f t="shared" si="33"/>
        <v/>
      </c>
      <c r="U186" s="423">
        <f t="shared" si="35"/>
        <v>59</v>
      </c>
      <c r="V186" s="2979">
        <f t="shared" si="40"/>
        <v>0.55200000000000005</v>
      </c>
      <c r="W186" s="2979">
        <f t="shared" si="40"/>
        <v>0.72600000000000009</v>
      </c>
      <c r="X186" s="2979">
        <f t="shared" si="40"/>
        <v>0.77400000000000002</v>
      </c>
      <c r="Y186" s="2979"/>
      <c r="Z186" s="2979"/>
      <c r="AA186" s="2979"/>
      <c r="AB186" s="2979"/>
      <c r="AC186" s="2979"/>
      <c r="AD186" s="2979"/>
      <c r="AE186" s="2979"/>
      <c r="AF186" s="6"/>
    </row>
    <row r="187" spans="1:32" hidden="1" x14ac:dyDescent="0.25">
      <c r="A187" s="957">
        <f t="shared" si="32"/>
        <v>0</v>
      </c>
      <c r="B187" s="32">
        <v>1</v>
      </c>
      <c r="R187" s="4"/>
      <c r="S187" s="3209"/>
      <c r="T187" s="258" t="str">
        <f t="shared" si="33"/>
        <v/>
      </c>
      <c r="U187" s="423">
        <f t="shared" si="35"/>
        <v>60</v>
      </c>
      <c r="V187" s="778">
        <v>0.56999999999999995</v>
      </c>
      <c r="W187" s="2979">
        <v>0.74</v>
      </c>
      <c r="X187" s="2979">
        <v>0.78</v>
      </c>
      <c r="Y187" s="2979"/>
      <c r="Z187" s="2979"/>
      <c r="AA187" s="2979"/>
      <c r="AB187" s="2979"/>
      <c r="AC187" s="2979"/>
      <c r="AD187" s="2979"/>
      <c r="AE187" s="2979"/>
      <c r="AF187" s="6"/>
    </row>
    <row r="188" spans="1:32" hidden="1" x14ac:dyDescent="0.25">
      <c r="A188" s="957">
        <f t="shared" si="32"/>
        <v>0</v>
      </c>
      <c r="B188" s="32">
        <v>1</v>
      </c>
      <c r="R188" s="4"/>
      <c r="S188" s="3209"/>
      <c r="T188" s="258" t="str">
        <f t="shared" si="33"/>
        <v/>
      </c>
      <c r="U188" s="423">
        <f t="shared" si="35"/>
        <v>61</v>
      </c>
      <c r="V188" s="2979">
        <f t="shared" ref="V188:X191" si="41">((V$192-V$187)/5)+V187</f>
        <v>0.58599999999999997</v>
      </c>
      <c r="W188" s="2979">
        <f t="shared" si="41"/>
        <v>0.748</v>
      </c>
      <c r="X188" s="2979">
        <f t="shared" si="41"/>
        <v>0.78400000000000003</v>
      </c>
      <c r="Y188" s="2979"/>
      <c r="Z188" s="2979"/>
      <c r="AA188" s="2979"/>
      <c r="AB188" s="2979"/>
      <c r="AC188" s="2979"/>
      <c r="AD188" s="2979"/>
      <c r="AE188" s="2979"/>
      <c r="AF188" s="6"/>
    </row>
    <row r="189" spans="1:32" hidden="1" x14ac:dyDescent="0.25">
      <c r="A189" s="957">
        <f t="shared" si="32"/>
        <v>0</v>
      </c>
      <c r="B189" s="32">
        <v>1</v>
      </c>
      <c r="R189" s="4"/>
      <c r="S189" s="3209"/>
      <c r="T189" s="258" t="str">
        <f t="shared" si="33"/>
        <v/>
      </c>
      <c r="U189" s="423">
        <f t="shared" si="35"/>
        <v>62</v>
      </c>
      <c r="V189" s="2979">
        <f t="shared" si="41"/>
        <v>0.60199999999999998</v>
      </c>
      <c r="W189" s="2979">
        <f t="shared" si="41"/>
        <v>0.75600000000000001</v>
      </c>
      <c r="X189" s="2979">
        <f t="shared" si="41"/>
        <v>0.78800000000000003</v>
      </c>
      <c r="Y189" s="2979"/>
      <c r="Z189" s="2979"/>
      <c r="AA189" s="2979"/>
      <c r="AB189" s="2979"/>
      <c r="AC189" s="2979"/>
      <c r="AD189" s="2979"/>
      <c r="AE189" s="2979"/>
      <c r="AF189" s="6"/>
    </row>
    <row r="190" spans="1:32" hidden="1" x14ac:dyDescent="0.25">
      <c r="A190" s="957">
        <f t="shared" si="32"/>
        <v>0</v>
      </c>
      <c r="B190" s="32">
        <v>1</v>
      </c>
      <c r="R190" s="4"/>
      <c r="S190" s="3209"/>
      <c r="T190" s="258" t="str">
        <f t="shared" si="33"/>
        <v/>
      </c>
      <c r="U190" s="423">
        <f t="shared" si="35"/>
        <v>63</v>
      </c>
      <c r="V190" s="2979">
        <f t="shared" si="41"/>
        <v>0.61799999999999999</v>
      </c>
      <c r="W190" s="2979">
        <f t="shared" si="41"/>
        <v>0.76400000000000001</v>
      </c>
      <c r="X190" s="2979">
        <f t="shared" si="41"/>
        <v>0.79200000000000004</v>
      </c>
      <c r="Y190" s="2979"/>
      <c r="Z190" s="2979"/>
      <c r="AA190" s="2979"/>
      <c r="AB190" s="2979"/>
      <c r="AC190" s="2979"/>
      <c r="AD190" s="2979"/>
      <c r="AE190" s="2979"/>
      <c r="AF190" s="6"/>
    </row>
    <row r="191" spans="1:32" hidden="1" x14ac:dyDescent="0.25">
      <c r="A191" s="957">
        <f t="shared" ref="A191:A207" si="42">IF(Subject_AgeEffective&gt;=U191,1,0)</f>
        <v>0</v>
      </c>
      <c r="B191" s="32">
        <v>1</v>
      </c>
      <c r="R191" s="4"/>
      <c r="S191" s="3209"/>
      <c r="T191" s="258" t="str">
        <f t="shared" ref="T191:T207" si="43">IF(Subject_AgeEffective=U191,"Subject Property","")</f>
        <v/>
      </c>
      <c r="U191" s="423">
        <f t="shared" si="35"/>
        <v>64</v>
      </c>
      <c r="V191" s="2979">
        <f t="shared" si="41"/>
        <v>0.63400000000000001</v>
      </c>
      <c r="W191" s="2979">
        <f t="shared" si="41"/>
        <v>0.77200000000000002</v>
      </c>
      <c r="X191" s="2979">
        <f t="shared" si="41"/>
        <v>0.79600000000000004</v>
      </c>
      <c r="Y191" s="2979"/>
      <c r="Z191" s="2979"/>
      <c r="AA191" s="2979"/>
      <c r="AB191" s="2979"/>
      <c r="AC191" s="2979"/>
      <c r="AD191" s="2979"/>
      <c r="AE191" s="2979"/>
      <c r="AF191" s="6"/>
    </row>
    <row r="192" spans="1:32" hidden="1" x14ac:dyDescent="0.25">
      <c r="A192" s="957">
        <f t="shared" si="42"/>
        <v>0</v>
      </c>
      <c r="B192" s="32">
        <v>1</v>
      </c>
      <c r="R192" s="4"/>
      <c r="S192" s="3209"/>
      <c r="T192" s="258" t="str">
        <f t="shared" si="43"/>
        <v/>
      </c>
      <c r="U192" s="423">
        <f t="shared" si="35"/>
        <v>65</v>
      </c>
      <c r="V192" s="778">
        <v>0.65</v>
      </c>
      <c r="W192" s="2979">
        <v>0.78</v>
      </c>
      <c r="X192" s="2979">
        <v>0.8</v>
      </c>
      <c r="Y192" s="2979"/>
      <c r="Z192" s="2979"/>
      <c r="AA192" s="2979"/>
      <c r="AB192" s="2979"/>
      <c r="AC192" s="2979"/>
      <c r="AD192" s="2979"/>
      <c r="AE192" s="2979"/>
      <c r="AF192" s="6"/>
    </row>
    <row r="193" spans="1:32" hidden="1" x14ac:dyDescent="0.25">
      <c r="A193" s="957">
        <f t="shared" si="42"/>
        <v>0</v>
      </c>
      <c r="B193" s="32">
        <v>1</v>
      </c>
      <c r="R193" s="4"/>
      <c r="S193" s="3209"/>
      <c r="T193" s="258" t="str">
        <f t="shared" si="43"/>
        <v/>
      </c>
      <c r="U193" s="423">
        <f t="shared" ref="U193:U207" si="44">U192+1</f>
        <v>66</v>
      </c>
      <c r="V193" s="2979">
        <f t="shared" ref="V193:W196" si="45">((V$197-V$192)/5)+V192</f>
        <v>0.66200000000000003</v>
      </c>
      <c r="W193" s="2979">
        <f t="shared" si="45"/>
        <v>0.78400000000000003</v>
      </c>
      <c r="X193" s="2979"/>
      <c r="Y193" s="2979"/>
      <c r="Z193" s="2979"/>
      <c r="AA193" s="2979"/>
      <c r="AB193" s="2979"/>
      <c r="AC193" s="2979"/>
      <c r="AD193" s="2979"/>
      <c r="AE193" s="2979"/>
      <c r="AF193" s="6"/>
    </row>
    <row r="194" spans="1:32" hidden="1" x14ac:dyDescent="0.25">
      <c r="A194" s="957">
        <f t="shared" si="42"/>
        <v>0</v>
      </c>
      <c r="B194" s="32">
        <v>1</v>
      </c>
      <c r="R194" s="4"/>
      <c r="S194" s="3209"/>
      <c r="T194" s="258" t="str">
        <f t="shared" si="43"/>
        <v/>
      </c>
      <c r="U194" s="423">
        <f t="shared" si="44"/>
        <v>67</v>
      </c>
      <c r="V194" s="2979">
        <f t="shared" si="45"/>
        <v>0.67400000000000004</v>
      </c>
      <c r="W194" s="2979">
        <f t="shared" si="45"/>
        <v>0.78800000000000003</v>
      </c>
      <c r="X194" s="2979"/>
      <c r="Y194" s="2979"/>
      <c r="Z194" s="2979"/>
      <c r="AA194" s="2979"/>
      <c r="AB194" s="2979"/>
      <c r="AC194" s="2979"/>
      <c r="AD194" s="2979"/>
      <c r="AE194" s="2979"/>
      <c r="AF194" s="6"/>
    </row>
    <row r="195" spans="1:32" hidden="1" x14ac:dyDescent="0.25">
      <c r="A195" s="957">
        <f t="shared" si="42"/>
        <v>0</v>
      </c>
      <c r="B195" s="32">
        <v>1</v>
      </c>
      <c r="R195" s="4"/>
      <c r="S195" s="3209"/>
      <c r="T195" s="258" t="str">
        <f t="shared" si="43"/>
        <v/>
      </c>
      <c r="U195" s="423">
        <f t="shared" si="44"/>
        <v>68</v>
      </c>
      <c r="V195" s="2979">
        <f t="shared" si="45"/>
        <v>0.68600000000000005</v>
      </c>
      <c r="W195" s="2979">
        <f t="shared" si="45"/>
        <v>0.79200000000000004</v>
      </c>
      <c r="X195" s="2979"/>
      <c r="Y195" s="2979"/>
      <c r="Z195" s="2979"/>
      <c r="AA195" s="2979"/>
      <c r="AB195" s="2979"/>
      <c r="AC195" s="2979"/>
      <c r="AD195" s="2979"/>
      <c r="AE195" s="2979"/>
      <c r="AF195" s="6"/>
    </row>
    <row r="196" spans="1:32" hidden="1" x14ac:dyDescent="0.25">
      <c r="A196" s="957">
        <f t="shared" si="42"/>
        <v>0</v>
      </c>
      <c r="B196" s="32">
        <v>1</v>
      </c>
      <c r="R196" s="4"/>
      <c r="S196" s="3209"/>
      <c r="T196" s="258" t="str">
        <f t="shared" si="43"/>
        <v/>
      </c>
      <c r="U196" s="423">
        <f t="shared" si="44"/>
        <v>69</v>
      </c>
      <c r="V196" s="2979">
        <f t="shared" si="45"/>
        <v>0.69800000000000006</v>
      </c>
      <c r="W196" s="2979">
        <f t="shared" si="45"/>
        <v>0.79600000000000004</v>
      </c>
      <c r="X196" s="2979"/>
      <c r="Y196" s="2979"/>
      <c r="Z196" s="2979"/>
      <c r="AA196" s="2979"/>
      <c r="AB196" s="2979"/>
      <c r="AC196" s="2979"/>
      <c r="AD196" s="2979"/>
      <c r="AE196" s="2979"/>
      <c r="AF196" s="6"/>
    </row>
    <row r="197" spans="1:32" hidden="1" x14ac:dyDescent="0.25">
      <c r="A197" s="957">
        <f t="shared" si="42"/>
        <v>0</v>
      </c>
      <c r="B197" s="32">
        <v>1</v>
      </c>
      <c r="R197" s="4"/>
      <c r="S197" s="3209"/>
      <c r="T197" s="258" t="str">
        <f t="shared" si="43"/>
        <v/>
      </c>
      <c r="U197" s="423">
        <f t="shared" si="44"/>
        <v>70</v>
      </c>
      <c r="V197" s="778">
        <v>0.71</v>
      </c>
      <c r="W197" s="2979">
        <v>0.8</v>
      </c>
      <c r="X197" s="2979"/>
      <c r="Y197" s="2979"/>
      <c r="Z197" s="2979"/>
      <c r="AA197" s="2979"/>
      <c r="AB197" s="2979"/>
      <c r="AC197" s="2979"/>
      <c r="AD197" s="2979"/>
      <c r="AE197" s="2979"/>
      <c r="AF197" s="6"/>
    </row>
    <row r="198" spans="1:32" hidden="1" x14ac:dyDescent="0.25">
      <c r="A198" s="957">
        <f t="shared" si="42"/>
        <v>0</v>
      </c>
      <c r="B198" s="32">
        <v>1</v>
      </c>
      <c r="R198" s="4"/>
      <c r="S198" s="3209"/>
      <c r="T198" s="258" t="str">
        <f t="shared" si="43"/>
        <v/>
      </c>
      <c r="U198" s="423">
        <f t="shared" si="44"/>
        <v>71</v>
      </c>
      <c r="V198" s="2979">
        <f>((V$202-V$197)/5)+V197</f>
        <v>0.71799999999999997</v>
      </c>
      <c r="W198" s="2979"/>
      <c r="X198" s="2979"/>
      <c r="Y198" s="2979"/>
      <c r="Z198" s="2979"/>
      <c r="AA198" s="2979"/>
      <c r="AB198" s="2979"/>
      <c r="AC198" s="2979"/>
      <c r="AD198" s="2979"/>
      <c r="AE198" s="2979"/>
      <c r="AF198" s="6"/>
    </row>
    <row r="199" spans="1:32" hidden="1" x14ac:dyDescent="0.25">
      <c r="A199" s="957">
        <f t="shared" si="42"/>
        <v>0</v>
      </c>
      <c r="B199" s="32">
        <v>1</v>
      </c>
      <c r="R199" s="4"/>
      <c r="S199" s="3209"/>
      <c r="T199" s="258" t="str">
        <f t="shared" si="43"/>
        <v/>
      </c>
      <c r="U199" s="423">
        <f t="shared" si="44"/>
        <v>72</v>
      </c>
      <c r="V199" s="2979">
        <f>((V$202-V$197)/5)+V198</f>
        <v>0.72599999999999998</v>
      </c>
      <c r="W199" s="2979"/>
      <c r="X199" s="2979"/>
      <c r="Y199" s="2979"/>
      <c r="Z199" s="2979"/>
      <c r="AA199" s="2979"/>
      <c r="AB199" s="2979"/>
      <c r="AC199" s="2979"/>
      <c r="AD199" s="2979"/>
      <c r="AE199" s="2979"/>
      <c r="AF199" s="6"/>
    </row>
    <row r="200" spans="1:32" hidden="1" x14ac:dyDescent="0.25">
      <c r="A200" s="957">
        <f t="shared" si="42"/>
        <v>0</v>
      </c>
      <c r="B200" s="32">
        <v>1</v>
      </c>
      <c r="R200" s="4"/>
      <c r="S200" s="3209"/>
      <c r="T200" s="258" t="str">
        <f t="shared" si="43"/>
        <v/>
      </c>
      <c r="U200" s="423">
        <f t="shared" si="44"/>
        <v>73</v>
      </c>
      <c r="V200" s="2979">
        <f>((V$202-V$197)/5)+V199</f>
        <v>0.73399999999999999</v>
      </c>
      <c r="W200" s="2979"/>
      <c r="X200" s="2979"/>
      <c r="Y200" s="2979"/>
      <c r="Z200" s="2979"/>
      <c r="AA200" s="2979"/>
      <c r="AB200" s="2979"/>
      <c r="AC200" s="2979"/>
      <c r="AD200" s="2979"/>
      <c r="AE200" s="2979"/>
      <c r="AF200" s="6"/>
    </row>
    <row r="201" spans="1:32" hidden="1" x14ac:dyDescent="0.25">
      <c r="A201" s="957">
        <f t="shared" si="42"/>
        <v>0</v>
      </c>
      <c r="B201" s="32">
        <v>1</v>
      </c>
      <c r="R201" s="4"/>
      <c r="S201" s="3209"/>
      <c r="T201" s="258" t="str">
        <f t="shared" si="43"/>
        <v/>
      </c>
      <c r="U201" s="423">
        <f t="shared" si="44"/>
        <v>74</v>
      </c>
      <c r="V201" s="2979">
        <f>((V$202-V$197)/5)+V200</f>
        <v>0.74199999999999999</v>
      </c>
      <c r="W201" s="2979"/>
      <c r="X201" s="2979"/>
      <c r="Y201" s="2979"/>
      <c r="Z201" s="2979"/>
      <c r="AA201" s="2979"/>
      <c r="AB201" s="2979"/>
      <c r="AC201" s="2979"/>
      <c r="AD201" s="2979"/>
      <c r="AE201" s="2979"/>
      <c r="AF201" s="6"/>
    </row>
    <row r="202" spans="1:32" hidden="1" x14ac:dyDescent="0.25">
      <c r="A202" s="957">
        <f t="shared" si="42"/>
        <v>0</v>
      </c>
      <c r="B202" s="32">
        <v>1</v>
      </c>
      <c r="R202" s="4"/>
      <c r="S202" s="3209"/>
      <c r="T202" s="258" t="str">
        <f t="shared" si="43"/>
        <v/>
      </c>
      <c r="U202" s="423">
        <f t="shared" si="44"/>
        <v>75</v>
      </c>
      <c r="V202" s="778">
        <v>0.75</v>
      </c>
      <c r="W202" s="2979"/>
      <c r="X202" s="2979"/>
      <c r="Y202" s="2979"/>
      <c r="Z202" s="2979"/>
      <c r="AA202" s="2979"/>
      <c r="AB202" s="2979"/>
      <c r="AC202" s="2979"/>
      <c r="AD202" s="2979"/>
      <c r="AE202" s="2979"/>
      <c r="AF202" s="6"/>
    </row>
    <row r="203" spans="1:32" hidden="1" x14ac:dyDescent="0.25">
      <c r="A203" s="957">
        <f t="shared" si="42"/>
        <v>0</v>
      </c>
      <c r="B203" s="32">
        <v>1</v>
      </c>
      <c r="R203" s="4"/>
      <c r="S203" s="3209"/>
      <c r="T203" s="258" t="str">
        <f t="shared" si="43"/>
        <v/>
      </c>
      <c r="U203" s="423">
        <f t="shared" si="44"/>
        <v>76</v>
      </c>
      <c r="V203" s="2979">
        <f>((V$207-V$202)/5)+V202</f>
        <v>0.75600000000000001</v>
      </c>
      <c r="W203" s="2979"/>
      <c r="X203" s="2979"/>
      <c r="Y203" s="2979"/>
      <c r="Z203" s="2979"/>
      <c r="AA203" s="2979"/>
      <c r="AB203" s="2979"/>
      <c r="AC203" s="2979"/>
      <c r="AD203" s="2979"/>
      <c r="AE203" s="2979"/>
      <c r="AF203" s="6"/>
    </row>
    <row r="204" spans="1:32" hidden="1" x14ac:dyDescent="0.25">
      <c r="A204" s="957">
        <f t="shared" si="42"/>
        <v>0</v>
      </c>
      <c r="B204" s="32">
        <v>1</v>
      </c>
      <c r="R204" s="4"/>
      <c r="S204" s="3209"/>
      <c r="T204" s="258" t="str">
        <f t="shared" si="43"/>
        <v/>
      </c>
      <c r="U204" s="423">
        <f t="shared" si="44"/>
        <v>77</v>
      </c>
      <c r="V204" s="2979">
        <f>((V$207-V$202)/5)+V203</f>
        <v>0.76200000000000001</v>
      </c>
      <c r="W204" s="2979"/>
      <c r="X204" s="2979"/>
      <c r="Y204" s="2979"/>
      <c r="Z204" s="2979"/>
      <c r="AA204" s="2979"/>
      <c r="AB204" s="2979"/>
      <c r="AC204" s="2979"/>
      <c r="AD204" s="2979"/>
      <c r="AE204" s="2979"/>
      <c r="AF204" s="6"/>
    </row>
    <row r="205" spans="1:32" hidden="1" x14ac:dyDescent="0.25">
      <c r="A205" s="957">
        <f t="shared" si="42"/>
        <v>0</v>
      </c>
      <c r="B205" s="32">
        <v>1</v>
      </c>
      <c r="R205" s="4"/>
      <c r="S205" s="3209"/>
      <c r="T205" s="258" t="str">
        <f t="shared" si="43"/>
        <v/>
      </c>
      <c r="U205" s="423">
        <f t="shared" si="44"/>
        <v>78</v>
      </c>
      <c r="V205" s="2979">
        <f>((V$207-V$202)/5)+V204</f>
        <v>0.76800000000000002</v>
      </c>
      <c r="W205" s="2979"/>
      <c r="X205" s="2979"/>
      <c r="Y205" s="2979"/>
      <c r="Z205" s="2979"/>
      <c r="AA205" s="2979"/>
      <c r="AB205" s="2979"/>
      <c r="AC205" s="2979"/>
      <c r="AD205" s="2979"/>
      <c r="AE205" s="2979"/>
      <c r="AF205" s="6"/>
    </row>
    <row r="206" spans="1:32" hidden="1" x14ac:dyDescent="0.25">
      <c r="A206" s="957">
        <f t="shared" si="42"/>
        <v>0</v>
      </c>
      <c r="B206" s="32">
        <v>1</v>
      </c>
      <c r="R206" s="4"/>
      <c r="S206" s="3209"/>
      <c r="T206" s="258" t="str">
        <f t="shared" si="43"/>
        <v/>
      </c>
      <c r="U206" s="423">
        <f t="shared" si="44"/>
        <v>79</v>
      </c>
      <c r="V206" s="2979">
        <f>((V$207-V$202)/5)+V205</f>
        <v>0.77400000000000002</v>
      </c>
      <c r="W206" s="2979"/>
      <c r="X206" s="2979"/>
      <c r="Y206" s="2979"/>
      <c r="Z206" s="2979"/>
      <c r="AA206" s="2979"/>
      <c r="AB206" s="2979"/>
      <c r="AC206" s="2979"/>
      <c r="AD206" s="2979"/>
      <c r="AE206" s="2979"/>
      <c r="AF206" s="6"/>
    </row>
    <row r="207" spans="1:32" ht="15" hidden="1" thickBot="1" x14ac:dyDescent="0.3">
      <c r="A207" s="957">
        <f t="shared" si="42"/>
        <v>0</v>
      </c>
      <c r="B207" s="32">
        <v>1</v>
      </c>
      <c r="R207" s="4"/>
      <c r="S207" s="3209"/>
      <c r="T207" s="258" t="str">
        <f t="shared" si="43"/>
        <v/>
      </c>
      <c r="U207" s="3437">
        <f t="shared" si="44"/>
        <v>80</v>
      </c>
      <c r="V207" s="778">
        <v>0.78</v>
      </c>
      <c r="W207" s="2979"/>
      <c r="X207" s="2979"/>
      <c r="Y207" s="2979"/>
      <c r="Z207" s="2979"/>
      <c r="AA207" s="2979"/>
      <c r="AB207" s="2979"/>
      <c r="AC207" s="2979"/>
      <c r="AD207" s="2979"/>
      <c r="AE207" s="2979"/>
      <c r="AF207" s="6"/>
    </row>
    <row r="208" spans="1:32" ht="15" thickBot="1" x14ac:dyDescent="0.3">
      <c r="A208" s="957">
        <v>1</v>
      </c>
      <c r="B208" s="32">
        <v>1</v>
      </c>
      <c r="R208" s="8"/>
      <c r="S208" s="440"/>
      <c r="T208" s="555" t="s">
        <v>1481</v>
      </c>
      <c r="U208" s="133"/>
      <c r="V208" s="133"/>
      <c r="W208" s="133"/>
      <c r="X208" s="133"/>
      <c r="Y208" s="133"/>
      <c r="Z208" s="133"/>
      <c r="AA208" s="133"/>
      <c r="AB208" s="133"/>
      <c r="AC208" s="133"/>
      <c r="AD208" s="133"/>
      <c r="AE208" s="133"/>
      <c r="AF208" s="9"/>
    </row>
    <row r="209" spans="22:31" x14ac:dyDescent="0.25">
      <c r="V209" s="957">
        <f t="shared" ref="V209:AE209" si="46">IF(Subject_AgeTotalEco=V125,1,0)</f>
        <v>0</v>
      </c>
      <c r="W209" s="957">
        <f t="shared" si="46"/>
        <v>0</v>
      </c>
      <c r="X209" s="957">
        <f t="shared" si="46"/>
        <v>0</v>
      </c>
      <c r="Y209" s="957">
        <f t="shared" si="46"/>
        <v>0</v>
      </c>
      <c r="Z209" s="957">
        <f t="shared" si="46"/>
        <v>1</v>
      </c>
      <c r="AA209" s="957">
        <f t="shared" si="46"/>
        <v>0</v>
      </c>
      <c r="AB209" s="957">
        <f t="shared" si="46"/>
        <v>0</v>
      </c>
      <c r="AC209" s="957">
        <f t="shared" si="46"/>
        <v>0</v>
      </c>
      <c r="AD209" s="957">
        <f t="shared" si="46"/>
        <v>0</v>
      </c>
      <c r="AE209" s="957">
        <f t="shared" si="46"/>
        <v>0</v>
      </c>
    </row>
  </sheetData>
  <mergeCells count="24">
    <mergeCell ref="N66:N67"/>
    <mergeCell ref="D39:F39"/>
    <mergeCell ref="D51:E51"/>
    <mergeCell ref="G34:H34"/>
    <mergeCell ref="D6:E6"/>
    <mergeCell ref="D12:E12"/>
    <mergeCell ref="D11:E11"/>
    <mergeCell ref="D10:E10"/>
    <mergeCell ref="D9:E9"/>
    <mergeCell ref="D8:E8"/>
    <mergeCell ref="D7:E7"/>
    <mergeCell ref="E5:F5"/>
    <mergeCell ref="G30:H30"/>
    <mergeCell ref="G31:H31"/>
    <mergeCell ref="G32:H32"/>
    <mergeCell ref="G33:H33"/>
    <mergeCell ref="G25:H25"/>
    <mergeCell ref="G26:H26"/>
    <mergeCell ref="G27:H27"/>
    <mergeCell ref="G28:H28"/>
    <mergeCell ref="G29:H29"/>
    <mergeCell ref="D15:E15"/>
    <mergeCell ref="D14:E14"/>
    <mergeCell ref="D13:E13"/>
  </mergeCells>
  <dataValidations count="1">
    <dataValidation type="list" allowBlank="1" showInputMessage="1" showErrorMessage="1" error="Invalid Option - Please Select from the List" prompt="Select Rounding Option" sqref="J18" xr:uid="{1682007E-CF0D-4668-AC5C-BBEF5C3B0960}">
      <formula1>Rounding_Label</formula1>
    </dataValidation>
  </dataValidations>
  <printOptions horizontalCentered="1"/>
  <pageMargins left="0.5" right="0.5" top="0.75" bottom="0.75" header="0.3" footer="0.3"/>
  <pageSetup scale="65" orientation="portrait" r:id="rId1"/>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theme="9" tint="-0.499984740745262"/>
    <pageSetUpPr fitToPage="1"/>
  </sheetPr>
  <dimension ref="A1:AA76"/>
  <sheetViews>
    <sheetView zoomScaleNormal="100" workbookViewId="0">
      <selection activeCell="D4" sqref="D4"/>
    </sheetView>
  </sheetViews>
  <sheetFormatPr defaultColWidth="8.85546875" defaultRowHeight="14.25" x14ac:dyDescent="0.25"/>
  <cols>
    <col min="1" max="1" width="5.7109375" style="96" customWidth="1"/>
    <col min="2" max="2" width="1.7109375" style="10" customWidth="1"/>
    <col min="3" max="3" width="0.85546875" style="10" customWidth="1"/>
    <col min="4" max="4" width="1.7109375" style="10" customWidth="1"/>
    <col min="5" max="5" width="20.7109375" style="10" customWidth="1"/>
    <col min="6" max="6" width="40.7109375" style="10" customWidth="1"/>
    <col min="7" max="7" width="12.7109375" style="37" customWidth="1"/>
    <col min="8" max="8" width="0.85546875" style="10" customWidth="1"/>
    <col min="9" max="9" width="1.7109375" style="10" customWidth="1"/>
    <col min="10" max="10" width="5.7109375" style="10" customWidth="1"/>
    <col min="11" max="11" width="8.7109375" style="10" customWidth="1"/>
    <col min="12" max="12" width="10.7109375" style="10" customWidth="1"/>
    <col min="13" max="13" width="5.7109375" style="10" customWidth="1"/>
    <col min="14" max="14" width="1.7109375" style="10" customWidth="1"/>
    <col min="15" max="15" width="0.85546875" style="10" customWidth="1"/>
    <col min="16" max="16" width="30.7109375" style="10" customWidth="1"/>
    <col min="17" max="17" width="15.7109375" style="10" customWidth="1"/>
    <col min="18" max="20" width="12.7109375" style="10" customWidth="1"/>
    <col min="21" max="21" width="0.85546875" style="10" customWidth="1"/>
    <col min="22" max="22" width="1.7109375" style="10" customWidth="1"/>
    <col min="23" max="16384" width="8.85546875" style="10"/>
  </cols>
  <sheetData>
    <row r="1" spans="1:11" ht="60" customHeight="1" x14ac:dyDescent="0.25"/>
    <row r="2" spans="1:11" ht="15" thickBot="1" x14ac:dyDescent="0.3"/>
    <row r="3" spans="1:11" x14ac:dyDescent="0.25">
      <c r="B3" s="1"/>
      <c r="C3" s="2"/>
      <c r="D3" s="2"/>
      <c r="E3" s="2"/>
      <c r="F3" s="2"/>
      <c r="G3" s="123"/>
      <c r="H3" s="2"/>
      <c r="I3" s="3"/>
    </row>
    <row r="4" spans="1:11" ht="16.5" x14ac:dyDescent="0.25">
      <c r="B4" s="4"/>
      <c r="C4" s="3765"/>
      <c r="D4" s="3952" t="s">
        <v>207</v>
      </c>
      <c r="E4" s="3952"/>
      <c r="F4" s="3765"/>
      <c r="G4" s="3953"/>
      <c r="H4" s="3765"/>
      <c r="I4" s="6"/>
    </row>
    <row r="5" spans="1:11" ht="20.100000000000001" customHeight="1" x14ac:dyDescent="0.25">
      <c r="A5" s="957">
        <v>1</v>
      </c>
      <c r="B5" s="4"/>
      <c r="C5" s="258"/>
      <c r="D5" s="3335" t="s">
        <v>241</v>
      </c>
      <c r="E5" s="3335"/>
      <c r="F5" s="258"/>
      <c r="G5" s="258"/>
      <c r="H5" s="258"/>
      <c r="I5" s="6"/>
    </row>
    <row r="6" spans="1:11" ht="20.100000000000001" customHeight="1" x14ac:dyDescent="0.25">
      <c r="A6" s="957">
        <v>1</v>
      </c>
      <c r="B6" s="4"/>
      <c r="C6" s="258"/>
      <c r="D6" s="258"/>
      <c r="E6" s="258" t="s">
        <v>1151</v>
      </c>
      <c r="F6" s="258"/>
      <c r="G6" s="2877">
        <f>IF(dpCost_DICN_Reconciled="",dpCost_DICN_MSwift,dpCost_DICN_Reconciled)</f>
        <v>26200000</v>
      </c>
      <c r="H6" s="258"/>
      <c r="I6" s="6"/>
    </row>
    <row r="7" spans="1:11" ht="20.100000000000001" customHeight="1" x14ac:dyDescent="0.25">
      <c r="A7" s="957">
        <v>1</v>
      </c>
      <c r="B7" s="4"/>
      <c r="C7" s="258"/>
      <c r="D7" s="258"/>
      <c r="E7" s="258" t="s">
        <v>457</v>
      </c>
      <c r="F7" s="258"/>
      <c r="G7" s="912">
        <f>dpCost_Profit_Total</f>
        <v>3300000</v>
      </c>
      <c r="H7" s="258"/>
      <c r="I7" s="6"/>
    </row>
    <row r="8" spans="1:11" ht="20.100000000000001" customHeight="1" x14ac:dyDescent="0.25">
      <c r="A8" s="957">
        <v>1</v>
      </c>
      <c r="B8" s="4"/>
      <c r="C8" s="258"/>
      <c r="D8" s="258"/>
      <c r="E8" s="258" t="s">
        <v>241</v>
      </c>
      <c r="F8" s="258"/>
      <c r="G8" s="2877">
        <f>SUM(G6:G7)</f>
        <v>29500000</v>
      </c>
      <c r="H8" s="258"/>
      <c r="I8" s="6"/>
    </row>
    <row r="9" spans="1:11" ht="20.100000000000001" customHeight="1" x14ac:dyDescent="0.25">
      <c r="A9" s="957">
        <v>1</v>
      </c>
      <c r="B9" s="4"/>
      <c r="C9" s="258"/>
      <c r="D9" s="3335" t="s">
        <v>225</v>
      </c>
      <c r="E9" s="3335"/>
      <c r="F9" s="258"/>
      <c r="G9" s="415"/>
      <c r="H9" s="258"/>
      <c r="I9" s="6"/>
    </row>
    <row r="10" spans="1:11" x14ac:dyDescent="0.25">
      <c r="A10" s="957">
        <f>IF(OR(Cost_DepreciationMethod="Market Extraction",Cost_DepreciationMethod="Economic Age-Live"),0,1)</f>
        <v>1</v>
      </c>
      <c r="B10" s="4"/>
      <c r="C10" s="258"/>
      <c r="D10" s="258"/>
      <c r="E10" s="258" t="s">
        <v>226</v>
      </c>
      <c r="F10" s="258"/>
      <c r="G10" s="415"/>
      <c r="H10" s="258"/>
      <c r="I10" s="6"/>
    </row>
    <row r="11" spans="1:11" x14ac:dyDescent="0.25">
      <c r="A11" s="957">
        <v>1</v>
      </c>
      <c r="B11" s="4"/>
      <c r="C11" s="258"/>
      <c r="D11" s="258"/>
      <c r="E11" s="258" t="str">
        <f>IF(OR(Cost_DepreciationMethod="Market Extraction",Cost_DepreciationMethod="Economic Age-Live"),"Curable (deferred maintenance)","   Curable (deferred maintenance)")</f>
        <v xml:space="preserve">   Curable (deferred maintenance)</v>
      </c>
      <c r="F11" s="258"/>
      <c r="G11" s="1304">
        <f>IF(DeferredMaintenance_ScenarioSelection=2,0,-dpCost_CurableItemCost_Total)</f>
        <v>0</v>
      </c>
      <c r="H11" s="258"/>
      <c r="I11" s="6"/>
    </row>
    <row r="12" spans="1:11" hidden="1" x14ac:dyDescent="0.25">
      <c r="A12" s="957">
        <f>IF(Cost_DepreciationMethod="Market Extraction",0,IF(dpCost_IncurableShortItemCost_Total=0,0,1))</f>
        <v>0</v>
      </c>
      <c r="B12" s="4"/>
      <c r="C12" s="258"/>
      <c r="D12" s="258"/>
      <c r="E12" s="3185" t="s">
        <v>239</v>
      </c>
      <c r="F12" s="3185"/>
      <c r="G12" s="1304">
        <f>IF(ISERR(dpCost_IncurableShortItemCost_Total)=TRUE,0,-dpCost_IncurableShortItemCost_Total)</f>
        <v>0</v>
      </c>
      <c r="H12" s="258"/>
      <c r="I12" s="6"/>
    </row>
    <row r="13" spans="1:11" x14ac:dyDescent="0.25">
      <c r="A13" s="957">
        <v>1</v>
      </c>
      <c r="B13" s="4"/>
      <c r="C13" s="258"/>
      <c r="D13" s="258"/>
      <c r="E13" s="258" t="str">
        <f>IF(OR(Cost_DepreciationMethod="Market Extraction",Cost_DepreciationMethod="Economic Age-Live"),"Incurable",IF(dpCost_IncurableShortItemCost_Total=0,"   Incurable","   Incurable (long-lived)"))</f>
        <v xml:space="preserve">   Incurable</v>
      </c>
      <c r="F13" s="258"/>
      <c r="G13" s="3446">
        <f>IF(Cost_DepreciationMethod="Market Extraction",-dpCost_IncurableCostME_Total,-dpCost_IncurableLongCostAL_Total)</f>
        <v>0</v>
      </c>
      <c r="H13" s="258"/>
      <c r="I13" s="6"/>
    </row>
    <row r="14" spans="1:11" x14ac:dyDescent="0.25">
      <c r="A14" s="957">
        <f>IF(OR(Cost_DepreciationMethod="Market Extraction",Cost_DepreciationMethod="Economic Age-Live"),0,1)</f>
        <v>1</v>
      </c>
      <c r="B14" s="4"/>
      <c r="C14" s="258"/>
      <c r="D14" s="258"/>
      <c r="E14" s="258" t="s">
        <v>227</v>
      </c>
      <c r="F14" s="258"/>
      <c r="G14" s="3447">
        <f>SUM(G11:G13)</f>
        <v>0</v>
      </c>
      <c r="H14" s="258"/>
      <c r="I14" s="6"/>
    </row>
    <row r="15" spans="1:11" ht="20.100000000000001" customHeight="1" x14ac:dyDescent="0.25">
      <c r="A15" s="957">
        <f>IF(OR(Cost_DepreciationMethod="Market Extraction",Cost_DepreciationMethod="Economic Age-Live"),0,1)</f>
        <v>1</v>
      </c>
      <c r="B15" s="4"/>
      <c r="C15" s="258"/>
      <c r="D15" s="258"/>
      <c r="E15" s="258" t="s">
        <v>228</v>
      </c>
      <c r="F15" s="258"/>
      <c r="G15" s="415"/>
      <c r="H15" s="258"/>
      <c r="I15" s="6"/>
    </row>
    <row r="16" spans="1:11" ht="16.5" x14ac:dyDescent="0.3">
      <c r="A16" s="957">
        <f>IF(OR(Cost_DepreciationMethod="Market Extraction",Cost_DepreciationMethod="Economic Age-Live"),0,1)</f>
        <v>1</v>
      </c>
      <c r="B16" s="4"/>
      <c r="C16" s="258"/>
      <c r="D16" s="258"/>
      <c r="E16" s="3185" t="s">
        <v>229</v>
      </c>
      <c r="F16" s="3185"/>
      <c r="G16" s="3402">
        <f>IF(Obsolescence="Yes",-dpCost_External_Obsolescence,0)</f>
        <v>0</v>
      </c>
      <c r="H16" s="258"/>
      <c r="I16" s="6"/>
      <c r="K16" s="899"/>
    </row>
    <row r="17" spans="1:13" x14ac:dyDescent="0.25">
      <c r="A17" s="957">
        <f>IF(OR(Cost_DepreciationMethod="Market Extraction",Cost_DepreciationMethod="Economic Age-Live"),0,1)</f>
        <v>1</v>
      </c>
      <c r="B17" s="4"/>
      <c r="C17" s="258"/>
      <c r="D17" s="258"/>
      <c r="E17" s="3185" t="s">
        <v>230</v>
      </c>
      <c r="F17" s="3185"/>
      <c r="G17" s="912">
        <v>0</v>
      </c>
      <c r="H17" s="258"/>
      <c r="I17" s="6"/>
    </row>
    <row r="18" spans="1:13" x14ac:dyDescent="0.25">
      <c r="A18" s="957">
        <f>IF(OR(Cost_DepreciationMethod="Market Extraction",Cost_DepreciationMethod="Economic Age-Live"),0,1)</f>
        <v>1</v>
      </c>
      <c r="B18" s="4"/>
      <c r="C18" s="258"/>
      <c r="D18" s="258"/>
      <c r="E18" s="258" t="s">
        <v>231</v>
      </c>
      <c r="F18" s="258"/>
      <c r="G18" s="2877">
        <f>IFERROR(SUM(G16:G17),0)</f>
        <v>0</v>
      </c>
      <c r="H18" s="258"/>
      <c r="I18" s="6"/>
    </row>
    <row r="19" spans="1:13" ht="20.100000000000001" customHeight="1" x14ac:dyDescent="0.25">
      <c r="A19" s="957">
        <v>1</v>
      </c>
      <c r="B19" s="4"/>
      <c r="C19" s="258"/>
      <c r="D19" s="258"/>
      <c r="E19" s="258" t="s">
        <v>253</v>
      </c>
      <c r="F19" s="258"/>
      <c r="G19" s="912">
        <f>IF(OR(Cost_DepreciationMethod="Market Extraction",Cost_DepreciationMethod="Economic Age-Life"),G11+dpCost_IncurableLongCost_Total,dpCost_TotalPhysicalDeterioration+dpCost_TotalObsolescence)</f>
        <v>0</v>
      </c>
      <c r="H19" s="258"/>
      <c r="I19" s="6"/>
      <c r="L19" s="4093" t="s">
        <v>17899</v>
      </c>
    </row>
    <row r="20" spans="1:13" ht="20.100000000000001" customHeight="1" thickBot="1" x14ac:dyDescent="0.3">
      <c r="A20" s="957">
        <v>1</v>
      </c>
      <c r="B20" s="4"/>
      <c r="C20" s="258"/>
      <c r="D20" s="258"/>
      <c r="E20" s="258" t="s">
        <v>1015</v>
      </c>
      <c r="F20" s="258"/>
      <c r="G20" s="912">
        <f>dpCost_RCN_Total+dpCost_TotalAccruedDepreciation</f>
        <v>29500000</v>
      </c>
      <c r="H20" s="258"/>
      <c r="I20" s="6"/>
      <c r="L20" s="4114"/>
    </row>
    <row r="21" spans="1:13" ht="20.100000000000001" customHeight="1" thickBot="1" x14ac:dyDescent="0.3">
      <c r="A21" s="957">
        <v>1</v>
      </c>
      <c r="B21" s="4"/>
      <c r="C21" s="258"/>
      <c r="D21" s="3335" t="str">
        <f>IF(dpCost_Land_Inflation=0,CONCATENATE("Estimated ",Subject_Value1Type," of Land"),CONCATENATE("Estimated ",Subject_Value1Type," of Land Inflated at ",TEXT(dpCost_Land_Inflation,"0.0%")," Annually"))</f>
        <v>Estimated Market Value of Land</v>
      </c>
      <c r="E21" s="3335"/>
      <c r="F21" s="258"/>
      <c r="G21" s="3402">
        <f>MROUND(IF(dpCost_Land_Inflation=0,dpLand_PrimaryLandValue,IF(Salient_Sort_DOV_3="N/A",(1+((Salient_Sort_DOV_1-Salient_Sort_DOV_2)/365*dpCost_Land_Inflation))*dpLand_PrimaryLandValue,(1+((Salient_Sort_DOV_1-Salient_Sort_DOV_2)/365*dpCost_Land_Inflation))*dpLand_PrimaryLandValue)),INDEX(Rounding_Options,MATCH('Land Adjustments'!AA162,Rounding_Label,0),2))</f>
        <v>6800000</v>
      </c>
      <c r="H21" s="258"/>
      <c r="I21" s="6"/>
      <c r="K21" s="55" t="s">
        <v>17898</v>
      </c>
      <c r="L21" s="2268">
        <v>0</v>
      </c>
      <c r="M21" s="12" t="s">
        <v>17900</v>
      </c>
    </row>
    <row r="22" spans="1:13" ht="20.100000000000001" hidden="1" customHeight="1" thickBot="1" x14ac:dyDescent="0.3">
      <c r="A22" s="957">
        <f>IF(SUM(A23:A27)=0,0,1)</f>
        <v>0</v>
      </c>
      <c r="B22" s="4"/>
      <c r="C22" s="258"/>
      <c r="D22" s="3335" t="str">
        <f>IF(AND(Sort_NumValues=1,SUM(A23:A27)=0),dpSort_ValueScenario_1,IF(Sort_Perspective_1="Prospective",IF(ISERR(SEARCH("Stabilization",Sort_Premise_1)),CONCATENATE("Preliminary Prospective Upon Stabilization ",dpSort_Interest_1," Value Indication"),CONCATENATE("Preliminary Prospective ",Sort_Premise_1," ",dpSort_Interest_1," Value Indication")),IF(Sort_Perspective_1="Retrospective",IF(ISERR(SEARCH("Stabilization",Sort_Premise_1)),CONCATENATE("Preliminary Retrospective As Stabilized ",dpSort_Interest_1," Indication"),CONCATENATE("Retrospective ",Sort_Premise_1,dpSort_Interest_1," Indication")),CONCATENATE("Preliminary As Stabilized ",dpSort_Interest_1," Value Indication"))))</f>
        <v>Retrospective Fee Simple Market Value Indication</v>
      </c>
      <c r="E22" s="3335"/>
      <c r="F22" s="3335"/>
      <c r="G22" s="3448">
        <f>MROUND(dpCost_DepreciatedCost_Imp+dpCost_LandValue,INDEX(Rounding_Options,MATCH(L22,Rounding_Label,0),2))</f>
        <v>36300000</v>
      </c>
      <c r="H22" s="258"/>
      <c r="I22" s="6"/>
      <c r="K22" s="150" t="s">
        <v>991</v>
      </c>
      <c r="L22" s="877" t="s">
        <v>407</v>
      </c>
    </row>
    <row r="23" spans="1:13" ht="15.75" hidden="1" x14ac:dyDescent="0.25">
      <c r="A23" s="957">
        <f>IF(DeferredMaintenance_ScenarioSelection=1,0,IF(ValueAdj_Select1=1,1,0))</f>
        <v>0</v>
      </c>
      <c r="B23" s="4"/>
      <c r="C23" s="258"/>
      <c r="D23" s="3449" t="str">
        <f>IF(DeferredMaintenance_ScenarioSelection=1,"",IF(ValueAdj_Select1=1,1,""))</f>
        <v/>
      </c>
      <c r="E23" s="2893" t="s">
        <v>259</v>
      </c>
      <c r="F23" s="258"/>
      <c r="G23" s="426">
        <f>IF(DeferredMaintenance_ScenarioSelection=1,0,IF(ValueAdj_Select1=1,-dpCost_CurableItemCost_Total,0))</f>
        <v>0</v>
      </c>
      <c r="H23" s="258"/>
      <c r="I23" s="6"/>
    </row>
    <row r="24" spans="1:13" ht="15.75" hidden="1" x14ac:dyDescent="0.25">
      <c r="A24" s="957">
        <f>IF(ValueAdj_Select2=1,1,0)</f>
        <v>0</v>
      </c>
      <c r="B24" s="4"/>
      <c r="C24" s="258"/>
      <c r="D24" s="3450"/>
      <c r="E24" s="2893" t="str">
        <f>IF('Selection Tables'!$M$15=TRUE,IF(ValueAdj_Select2=1,"Less Lease-Up Discount:","N/A"),"N/A")</f>
        <v>N/A</v>
      </c>
      <c r="F24" s="258"/>
      <c r="G24" s="426">
        <f>IF('Selection Tables'!$M$15=TRUE,IF(ValueAdj_Select2=1,-dpValue_LUD_Reconciled,0),0)</f>
        <v>0</v>
      </c>
      <c r="H24" s="258"/>
      <c r="I24" s="6"/>
    </row>
    <row r="25" spans="1:13" ht="15.75" hidden="1" x14ac:dyDescent="0.25">
      <c r="A25" s="957">
        <f>IF(AdjSelect_LeaseHold_Cost=TRUE,IF(ValueAdj_Select3=1,1,0),0)</f>
        <v>0</v>
      </c>
      <c r="B25" s="4"/>
      <c r="C25" s="258"/>
      <c r="D25" s="3450" t="str">
        <f>IF(AdjSelect_LeaseHold_Cost=TRUE,IF(ValueAdj_Select3=1,COUNT(D23:D24)+1,""),"")</f>
        <v/>
      </c>
      <c r="E25" s="2893" t="str">
        <f>IF('Selection Tables'!$N$15=TRUE,IF(ValueAdj_Select3=1,IF(dpValue_LeaseholdAdjustment&lt;0,"Less Positive Leasehold Estate:","Plus Negative Leasehold Estate:"),"N/A"),"N/A")</f>
        <v>N/A</v>
      </c>
      <c r="F25" s="258"/>
      <c r="G25" s="426">
        <f>IF('Selection Tables'!$N$15=TRUE,IF(ValueAdj_Select3=1,dpValue_LeaseholdAdjustment,0),0)</f>
        <v>0</v>
      </c>
      <c r="H25" s="258"/>
      <c r="I25" s="6"/>
    </row>
    <row r="26" spans="1:13" ht="15.75" hidden="1" x14ac:dyDescent="0.25">
      <c r="A26" s="957">
        <f>IF(AdjSelect_UserDef1_Cost=TRUE,IF(ValueAdj_Select4=1,1,0),0)</f>
        <v>0</v>
      </c>
      <c r="B26" s="4"/>
      <c r="C26" s="258"/>
      <c r="D26" s="3450" t="str">
        <f>IF(AdjSelect_UserDef1_Cost=TRUE,IF(ValueAdj_Select4=1,COUNT(D23:D25)+1,""),"")</f>
        <v/>
      </c>
      <c r="E26" s="1241" t="str">
        <f>IF('Selection Tables'!$O$15=TRUE,IF(ValueAdj_Select4=1,IF(dpValue_UserDef1Adjustment_Value&lt;0,CONCATENATE("Less ",dpValue_UserDef1Adjustment_Name,":"),CONCATENATE("Plus ",dpValue_UserDef1Adjustment_Name,":")),"N/A"),"N/A")</f>
        <v>N/A</v>
      </c>
      <c r="F26" s="258"/>
      <c r="G26" s="426">
        <f>IF('Selection Tables'!$O$15=TRUE,IF(ValueAdj_Select4=1,dpValue_UserDef1Adjustment_Value,0),0)</f>
        <v>0</v>
      </c>
      <c r="H26" s="258"/>
      <c r="I26" s="6"/>
    </row>
    <row r="27" spans="1:13" ht="16.5" hidden="1" thickBot="1" x14ac:dyDescent="0.3">
      <c r="A27" s="957">
        <f>IF(AdjSelect_UserDef2_Cost=TRUE,IF(ValueAdj_Select5=1,1,0),0)</f>
        <v>0</v>
      </c>
      <c r="B27" s="4"/>
      <c r="C27" s="258"/>
      <c r="D27" s="3450" t="str">
        <f>IF(AdjSelect_UserDef2_Cost=TRUE,IF(ValueAdj_Select5=1,COUNT(D23:D26)+1,""),"")</f>
        <v/>
      </c>
      <c r="E27" s="1241" t="str">
        <f>IF('Selection Tables'!$P$15=TRUE,IF(ValueAdj_Select5=1,IF(dpValue_UserDef2Adjustment_Value&lt;0,CONCATENATE("Less ",dpValue_UserDef2Adjustment_Name,":"),CONCATENATE("Plus ",dpValue_UserDef2Adjustment_Name,":")),"N/A"),"N/A")</f>
        <v>N/A</v>
      </c>
      <c r="F27" s="258"/>
      <c r="G27" s="426">
        <f>IF('Selection Tables'!$P$15=TRUE,IF(ValueAdj_Select5=1,dpValue_UserDef2Adjustment_Value,0),0)</f>
        <v>0</v>
      </c>
      <c r="H27" s="258"/>
      <c r="I27" s="6"/>
    </row>
    <row r="28" spans="1:13" ht="15" thickBot="1" x14ac:dyDescent="0.3">
      <c r="A28" s="957">
        <v>1</v>
      </c>
      <c r="B28" s="4"/>
      <c r="C28" s="258"/>
      <c r="D28" s="3451" t="str">
        <f>dpSort_ValueScenario_1</f>
        <v>Retrospective Fee Simple Market Value Indication</v>
      </c>
      <c r="E28" s="3451"/>
      <c r="F28" s="2888"/>
      <c r="G28" s="3452">
        <f>MROUND(SUM(G22:G27),INDEX(Rounding_Options,MATCH(L28,Rounding_Label,0),2))</f>
        <v>36300000</v>
      </c>
      <c r="H28" s="258"/>
      <c r="I28" s="6"/>
      <c r="K28" s="150" t="s">
        <v>991</v>
      </c>
      <c r="L28" s="702" t="s">
        <v>1039</v>
      </c>
    </row>
    <row r="29" spans="1:13" ht="15.75" hidden="1" x14ac:dyDescent="0.25">
      <c r="A29" s="957">
        <f>IF(DeferredMaintenance_ScenarioSelection=1,0,IF(ValueAdj_Select1=2,1,0))</f>
        <v>0</v>
      </c>
      <c r="B29" s="4"/>
      <c r="C29" s="258"/>
      <c r="D29" s="3450" t="str">
        <f>IF(DeferredMaintenance_ScenarioSelection=1,0,IF(ValueAdj_Select1=2,COUNT(D23:D27)+1,""))</f>
        <v/>
      </c>
      <c r="E29" s="2893" t="s">
        <v>259</v>
      </c>
      <c r="F29" s="258"/>
      <c r="G29" s="426">
        <f>IF(DeferredMaintenance_ScenarioSelection=1,0,IF(ValueAdj_Select1=2,-dpCost_CurableItemCost_Total,0))</f>
        <v>0</v>
      </c>
      <c r="H29" s="258"/>
      <c r="I29" s="6"/>
    </row>
    <row r="30" spans="1:13" ht="15.75" hidden="1" x14ac:dyDescent="0.25">
      <c r="A30" s="957">
        <f>IF(ValueAdj_Select2=2,1,0)</f>
        <v>0</v>
      </c>
      <c r="B30" s="4"/>
      <c r="C30" s="258"/>
      <c r="D30" s="3450" t="str">
        <f>IF(ValueAdj_Select2=2,COUNT(D23:D27,D29)+1,"")</f>
        <v/>
      </c>
      <c r="E30" s="2893" t="str">
        <f>IF('Selection Tables'!$M$15=TRUE,IF(ValueAdj_Select2=2,"Less Lease-Up Discount:","N/A"),"N/A")</f>
        <v>N/A</v>
      </c>
      <c r="F30" s="258"/>
      <c r="G30" s="426">
        <f>IF('Selection Tables'!$M$15=TRUE,IF(ValueAdj_Select2=2,-dpValue_LUD_Reconciled,0),0)</f>
        <v>0</v>
      </c>
      <c r="H30" s="258"/>
      <c r="I30" s="6"/>
    </row>
    <row r="31" spans="1:13" ht="15.75" hidden="1" x14ac:dyDescent="0.25">
      <c r="A31" s="957">
        <f>IF(AdjSelect_LeaseHold_Cost=TRUE,IF(ValueAdj_Select3=2,1,0),0)</f>
        <v>0</v>
      </c>
      <c r="B31" s="4"/>
      <c r="C31" s="258"/>
      <c r="D31" s="3450" t="str">
        <f>IF(AdjSelect_LeaseHold_Cost=TRUE,IF(ValueAdj_Select3=2,COUNT(D23:D27,D29:D30)+1,""),"")</f>
        <v/>
      </c>
      <c r="E31" s="2893" t="str">
        <f>IF('Selection Tables'!$N$15=TRUE,IF(ValueAdj_Select3=2,IF(dpValue_LeaseholdAdjustment&lt;0,"Less Positive Leasehold Estate:","Plus Negative Leasehold Estate:"),"N/A"),"N/A")</f>
        <v>N/A</v>
      </c>
      <c r="F31" s="258"/>
      <c r="G31" s="426">
        <f>IF('Selection Tables'!$N$15=TRUE,IF(ValueAdj_Select3=2,dpValue_LeaseholdAdjustment,0),0)</f>
        <v>0</v>
      </c>
      <c r="H31" s="258"/>
      <c r="I31" s="6"/>
    </row>
    <row r="32" spans="1:13" ht="15.75" hidden="1" x14ac:dyDescent="0.25">
      <c r="A32" s="957">
        <f>IF(AdjSelect_UserDef1_Cost=TRUE,IF(ValueAdj_Select4=2,1,0),0)</f>
        <v>0</v>
      </c>
      <c r="B32" s="4"/>
      <c r="C32" s="258"/>
      <c r="D32" s="3450" t="str">
        <f>IF(AdjSelect_UserDef1_Cost=TRUE,IF(ValueAdj_Select4=2,COUNT(D23:D27,D29:D31)+1,""),"")</f>
        <v/>
      </c>
      <c r="E32" s="1241" t="str">
        <f>IF('Selection Tables'!$O$15=TRUE,IF(ValueAdj_Select4=2,IF(dpValue_UserDef1Adjustment_Value&lt;0,CONCATENATE("Less ",dpValue_UserDef1Adjustment_Name,":"),CONCATENATE("Plus ",dpValue_UserDef1Adjustment_Name,":")),"N/A"),"N/A")</f>
        <v>N/A</v>
      </c>
      <c r="F32" s="258"/>
      <c r="G32" s="426">
        <f>IF('Selection Tables'!$O$15=TRUE,IF(ValueAdj_Select4=2,dpValue_UserDef1Adjustment_Value,0),0)</f>
        <v>0</v>
      </c>
      <c r="H32" s="258"/>
      <c r="I32" s="6"/>
    </row>
    <row r="33" spans="1:27" ht="16.5" hidden="1" thickBot="1" x14ac:dyDescent="0.3">
      <c r="A33" s="957">
        <f>IF(AdjSelect_UserDef2_Cost=TRUE,IF(ValueAdj_Select5=2,1,0),0)</f>
        <v>0</v>
      </c>
      <c r="B33" s="4"/>
      <c r="C33" s="258"/>
      <c r="D33" s="3450" t="str">
        <f>IF(AdjSelect_UserDef2_Cost=TRUE,IF(ValueAdj_Select5=2,COUNT(D23:D27,D29:D32)+1,""),"")</f>
        <v/>
      </c>
      <c r="E33" s="1241" t="str">
        <f>IF('Selection Tables'!$P$15=TRUE,IF(ValueAdj_Select5=2,IF(dpValue_UserDef2Adjustment_Value&lt;0,CONCATENATE("Less ",dpValue_UserDef2Adjustment_Name,":"),CONCATENATE("Plus ",dpValue_UserDef2Adjustment_Name,":")),"N/A"),"N/A")</f>
        <v>N/A</v>
      </c>
      <c r="F33" s="258"/>
      <c r="G33" s="426">
        <f>IF('Selection Tables'!$P$15=TRUE,IF(ValueAdj_Select5=2,dpValue_UserDef2Adjustment_Value,0),0)</f>
        <v>0</v>
      </c>
      <c r="H33" s="258"/>
      <c r="I33" s="6"/>
    </row>
    <row r="34" spans="1:27" ht="15" hidden="1" thickBot="1" x14ac:dyDescent="0.3">
      <c r="A34" s="957">
        <f>IF(Sort_NumValues&gt;1,1,0)</f>
        <v>0</v>
      </c>
      <c r="B34" s="4"/>
      <c r="C34" s="258"/>
      <c r="D34" s="3177" t="str">
        <f>IF(Sort_NumValues&gt;1,dpSort_ValueScenario_2,"N/A")</f>
        <v>N/A</v>
      </c>
      <c r="E34" s="258"/>
      <c r="F34" s="258"/>
      <c r="G34" s="3337" t="str">
        <f>IF(Sort_NumValues&gt;1,MROUND(SUM(G28:G33),INDEX(Rounding_Options,MATCH(L34,Rounding_Label,0),2)),"N/A")</f>
        <v>N/A</v>
      </c>
      <c r="H34" s="258"/>
      <c r="I34" s="6"/>
      <c r="K34" s="150" t="s">
        <v>991</v>
      </c>
      <c r="L34" s="702" t="s">
        <v>1037</v>
      </c>
    </row>
    <row r="35" spans="1:27" ht="15.75" hidden="1" x14ac:dyDescent="0.25">
      <c r="A35" s="957">
        <f>IF(DeferredMaintenance_ScenarioSelection=1,0,IF(ValueAdj_Select1=3,1,0))</f>
        <v>0</v>
      </c>
      <c r="B35" s="4"/>
      <c r="C35" s="258"/>
      <c r="D35" s="3450" t="str">
        <f>IF(DeferredMaintenance_ScenarioSelection=1,0,IF(ValueAdj_Select1=3,COUNT(D23:D27,D29:D33)+1,""))</f>
        <v/>
      </c>
      <c r="E35" s="1241" t="s">
        <v>259</v>
      </c>
      <c r="F35" s="258"/>
      <c r="G35" s="426">
        <f>IF(DeferredMaintenance_ScenarioSelection=1,0,IF(ValueAdj_Select1=3,-dpCost_CurableItemCost_Total,0))</f>
        <v>0</v>
      </c>
      <c r="H35" s="258"/>
      <c r="I35" s="6"/>
    </row>
    <row r="36" spans="1:27" ht="15.75" hidden="1" x14ac:dyDescent="0.25">
      <c r="A36" s="957">
        <f>IF(ValueAdj_Select2=3,1,0)</f>
        <v>0</v>
      </c>
      <c r="B36" s="4"/>
      <c r="C36" s="258"/>
      <c r="D36" s="3450" t="str">
        <f>IF(ValueAdj_Select2=3,COUNT(D23:D27,D29:D33,D35)+1,"")</f>
        <v/>
      </c>
      <c r="E36" s="2893" t="str">
        <f>IF('Selection Tables'!$M$15=TRUE,IF(ValueAdj_Select2=3,"Less Lease-Up Discount:","N/A"),"N/A")</f>
        <v>N/A</v>
      </c>
      <c r="F36" s="258"/>
      <c r="G36" s="426">
        <f>IF('Selection Tables'!$M$15=TRUE,IF(ValueAdj_Select2=3,-dpValue_LUD_Reconciled,0),0)</f>
        <v>0</v>
      </c>
      <c r="H36" s="258"/>
      <c r="I36" s="6"/>
    </row>
    <row r="37" spans="1:27" ht="15.75" hidden="1" x14ac:dyDescent="0.25">
      <c r="A37" s="957">
        <f>IF(AdjSelect_UserDef1_Cost=TRUE,IF(ValueAdj_Select4=3,1,0),0)</f>
        <v>0</v>
      </c>
      <c r="B37" s="4"/>
      <c r="C37" s="258"/>
      <c r="D37" s="3450" t="str">
        <f>IF(AdjSelect_UserDef1_Cost=TRUE,IF(ValueAdj_Select4=3,COUNT(D23:D27,D29:D33,D35:D36)+1,""),"")</f>
        <v/>
      </c>
      <c r="E37" s="1241" t="str">
        <f>IF('Selection Tables'!$O$15=TRUE,IF(ValueAdj_Select4=3,IF(dpValue_UserDef1Adjustment_Value&lt;0,CONCATENATE("Less ",dpValue_UserDef1Adjustment_Name,":"),CONCATENATE("Plus ",dpValue_UserDef1Adjustment_Name,":")),"N/A"),"N/A")</f>
        <v>N/A</v>
      </c>
      <c r="F37" s="258"/>
      <c r="G37" s="426">
        <f>IF('Selection Tables'!$O$15=TRUE,IF(ValueAdj_Select4=3,dpValue_UserDef1Adjustment_Value,0),0)</f>
        <v>0</v>
      </c>
      <c r="H37" s="258"/>
      <c r="I37" s="6"/>
    </row>
    <row r="38" spans="1:27" ht="16.5" hidden="1" thickBot="1" x14ac:dyDescent="0.3">
      <c r="A38" s="957">
        <f>IF(AdjSelect_UserDef2_Cost=TRUE,IF(ValueAdj_Select5=3,1,0),0)</f>
        <v>0</v>
      </c>
      <c r="B38" s="4"/>
      <c r="C38" s="258"/>
      <c r="D38" s="3450" t="str">
        <f>IF(AdjSelect_UserDef2_Cost=TRUE,IF(ValueAdj_Select5=3,COUNT(D23:D27,D29:D33,D35:D37)+1,""),"")</f>
        <v/>
      </c>
      <c r="E38" s="1241" t="str">
        <f>IF('Selection Tables'!$P$15=TRUE,IF(ValueAdj_Select5=3,IF(dpValue_UserDef2Adjustment_Value&lt;0,CONCATENATE("Less ",dpValue_UserDef2Adjustment_Name,":"),CONCATENATE("Plus ",dpValue_UserDef2Adjustment_Name,":")),"N/A"),"N/A")</f>
        <v>N/A</v>
      </c>
      <c r="F38" s="258"/>
      <c r="G38" s="426">
        <f>IF('Selection Tables'!$P$15=TRUE,IF(ValueAdj_Select5=3,dpValue_UserDef2Adjustment_Value,0),0)</f>
        <v>0</v>
      </c>
      <c r="H38" s="258"/>
      <c r="I38" s="6"/>
    </row>
    <row r="39" spans="1:27" ht="15" hidden="1" customHeight="1" thickBot="1" x14ac:dyDescent="0.3">
      <c r="A39" s="957">
        <f>IF(Sort_NumValues&gt;2,1,0)</f>
        <v>0</v>
      </c>
      <c r="B39" s="4"/>
      <c r="C39" s="258"/>
      <c r="D39" s="3177" t="str">
        <f>IF(Sort_NumValues&gt;2,dpSort_ValueScenario_3,"N/A")</f>
        <v>N/A</v>
      </c>
      <c r="E39" s="3177"/>
      <c r="F39" s="258"/>
      <c r="G39" s="3337" t="str">
        <f>IF(Sort_NumValues&gt;2,MROUND(SUM(G34:G38),INDEX(Rounding_Options,MATCH(L39,Rounding_Label,0),2)),"N/A")</f>
        <v>N/A</v>
      </c>
      <c r="H39" s="258"/>
      <c r="I39" s="6"/>
      <c r="K39" s="150" t="s">
        <v>991</v>
      </c>
      <c r="L39" s="702" t="s">
        <v>1037</v>
      </c>
    </row>
    <row r="40" spans="1:27" ht="15" hidden="1" customHeight="1" x14ac:dyDescent="0.25">
      <c r="A40" s="957">
        <f>IF(COUNT(D23:D27,D29:D33,D35:D38)&gt;0,1,0)</f>
        <v>0</v>
      </c>
      <c r="B40" s="4"/>
      <c r="C40" s="258"/>
      <c r="D40" s="3453"/>
      <c r="E40" s="2122"/>
      <c r="F40" s="2145"/>
      <c r="G40" s="3454"/>
      <c r="H40" s="258"/>
      <c r="I40" s="6"/>
      <c r="K40" s="207" t="s">
        <v>1829</v>
      </c>
    </row>
    <row r="41" spans="1:27" ht="15" hidden="1" customHeight="1" x14ac:dyDescent="0.25">
      <c r="A41" s="957">
        <f>IF(COUNT(D23:D27,D29:D33,D35:D38)&gt;1,1,0)</f>
        <v>0</v>
      </c>
      <c r="B41" s="4"/>
      <c r="C41" s="258"/>
      <c r="D41" s="3449">
        <f>D40+1</f>
        <v>1</v>
      </c>
      <c r="E41" s="2123" t="s">
        <v>1827</v>
      </c>
      <c r="F41" s="1272"/>
      <c r="G41" s="3455"/>
      <c r="H41" s="258"/>
      <c r="I41" s="6"/>
      <c r="K41" s="150"/>
    </row>
    <row r="42" spans="1:27" ht="15" hidden="1" customHeight="1" x14ac:dyDescent="0.25">
      <c r="A42" s="957">
        <f>IF(COUNT(D23:D27,D29:D33,D35:D38)&gt;2,1,0)</f>
        <v>0</v>
      </c>
      <c r="B42" s="4"/>
      <c r="C42" s="258"/>
      <c r="D42" s="3449">
        <f>D41+1</f>
        <v>2</v>
      </c>
      <c r="E42" s="2123" t="s">
        <v>1828</v>
      </c>
      <c r="F42" s="1272"/>
      <c r="G42" s="3455"/>
      <c r="H42" s="258"/>
      <c r="I42" s="6"/>
      <c r="K42" s="150"/>
    </row>
    <row r="43" spans="1:27" ht="15" hidden="1" customHeight="1" x14ac:dyDescent="0.25">
      <c r="A43" s="957">
        <f>IF(COUNT(D23:D27,D29:D33,D35:D38)&gt;3,1,0)</f>
        <v>0</v>
      </c>
      <c r="B43" s="4"/>
      <c r="C43" s="258"/>
      <c r="D43" s="3449">
        <f>D42+1</f>
        <v>3</v>
      </c>
      <c r="E43" s="2123" t="s">
        <v>1828</v>
      </c>
      <c r="F43" s="1272"/>
      <c r="G43" s="3455"/>
      <c r="H43" s="258"/>
      <c r="I43" s="6"/>
      <c r="K43" s="150"/>
      <c r="AA43" s="911"/>
    </row>
    <row r="44" spans="1:27" ht="15" hidden="1" customHeight="1" thickBot="1" x14ac:dyDescent="0.3">
      <c r="A44" s="957">
        <f>IF(COUNT(D23:D27,D29:D33,D35:D38)&gt;4,1,0)</f>
        <v>0</v>
      </c>
      <c r="B44" s="4"/>
      <c r="C44" s="258"/>
      <c r="D44" s="3449">
        <f>D43+1</f>
        <v>4</v>
      </c>
      <c r="E44" s="2123" t="s">
        <v>1828</v>
      </c>
      <c r="F44" s="1272"/>
      <c r="G44" s="3455"/>
      <c r="H44" s="258"/>
      <c r="I44" s="6"/>
      <c r="K44" s="150"/>
      <c r="AA44" s="911"/>
    </row>
    <row r="45" spans="1:27" s="36" customFormat="1" ht="20.100000000000001" customHeight="1" thickBot="1" x14ac:dyDescent="0.3">
      <c r="A45" s="972">
        <v>1</v>
      </c>
      <c r="B45" s="646"/>
      <c r="C45" s="647"/>
      <c r="D45" s="615" t="s">
        <v>864</v>
      </c>
      <c r="E45" s="615"/>
      <c r="F45" s="647"/>
      <c r="G45" s="1458"/>
      <c r="H45" s="647"/>
      <c r="I45" s="649"/>
      <c r="S45" s="150" t="s">
        <v>991</v>
      </c>
      <c r="T45" s="702" t="s">
        <v>1037</v>
      </c>
    </row>
    <row r="46" spans="1:27" ht="15" thickBot="1" x14ac:dyDescent="0.3">
      <c r="A46" s="957">
        <v>1</v>
      </c>
      <c r="D46" s="11"/>
    </row>
    <row r="47" spans="1:27" x14ac:dyDescent="0.25">
      <c r="A47" s="957">
        <v>1</v>
      </c>
      <c r="N47" s="561"/>
      <c r="O47" s="2"/>
      <c r="P47" s="202"/>
      <c r="Q47" s="202"/>
      <c r="R47" s="202"/>
      <c r="S47" s="202"/>
      <c r="T47" s="202"/>
      <c r="U47" s="1455"/>
      <c r="V47" s="1465"/>
    </row>
    <row r="48" spans="1:27" ht="16.5" x14ac:dyDescent="0.3">
      <c r="A48" s="957">
        <v>1</v>
      </c>
      <c r="G48" s="37">
        <f>+dpCost_IndicatedValue1/329940</f>
        <v>110.02000363702491</v>
      </c>
      <c r="N48" s="563"/>
      <c r="O48" s="18"/>
      <c r="P48" s="27" t="s">
        <v>207</v>
      </c>
      <c r="Q48" s="34"/>
      <c r="R48" s="34"/>
      <c r="S48" s="34"/>
      <c r="T48" s="34"/>
      <c r="U48" s="681"/>
      <c r="V48" s="89"/>
    </row>
    <row r="49" spans="1:22" ht="15" customHeight="1" x14ac:dyDescent="0.25">
      <c r="A49" s="957">
        <v>1</v>
      </c>
      <c r="N49" s="563"/>
      <c r="O49" s="12"/>
      <c r="P49" s="150"/>
      <c r="Q49" s="55"/>
      <c r="R49" s="55"/>
      <c r="S49" s="4093" t="str">
        <f>dpSort_ValueScenario_1</f>
        <v>Retrospective Fee Simple Market Value Indication</v>
      </c>
      <c r="T49" s="4093"/>
      <c r="U49" s="150"/>
      <c r="V49" s="89"/>
    </row>
    <row r="50" spans="1:22" ht="15" customHeight="1" x14ac:dyDescent="0.25">
      <c r="A50" s="957">
        <v>1</v>
      </c>
      <c r="N50" s="563"/>
      <c r="O50" s="12"/>
      <c r="P50" s="150"/>
      <c r="Q50" s="55" t="s">
        <v>1488</v>
      </c>
      <c r="R50" s="55" t="s">
        <v>1512</v>
      </c>
      <c r="S50" s="4093"/>
      <c r="T50" s="4093"/>
      <c r="U50" s="150"/>
      <c r="V50" s="89"/>
    </row>
    <row r="51" spans="1:22" ht="15" customHeight="1" x14ac:dyDescent="0.25">
      <c r="A51" s="957">
        <v>1</v>
      </c>
      <c r="N51" s="563"/>
      <c r="O51" s="12"/>
      <c r="P51" s="207" t="s">
        <v>1100</v>
      </c>
      <c r="Q51" s="55" t="s">
        <v>233</v>
      </c>
      <c r="R51" s="55" t="s">
        <v>238</v>
      </c>
      <c r="S51" s="634" t="s">
        <v>1510</v>
      </c>
      <c r="T51" s="55" t="s">
        <v>1509</v>
      </c>
      <c r="U51" s="150"/>
      <c r="V51" s="89"/>
    </row>
    <row r="52" spans="1:22" ht="15" customHeight="1" x14ac:dyDescent="0.25">
      <c r="A52" s="957">
        <f>IF(Q52=0,0,1)</f>
        <v>1</v>
      </c>
      <c r="N52" s="563"/>
      <c r="O52" s="259"/>
      <c r="P52" s="3366" t="str">
        <f>'Building RCN'!E6</f>
        <v>Mega Warehouse</v>
      </c>
      <c r="Q52" s="880">
        <f>'Other RCN'!T71</f>
        <v>27941018.391000003</v>
      </c>
      <c r="R52" s="880">
        <f ca="1">IFERROR(-('Cost Depreciation'!F98+'Cost Depreciation'!H98+'Cost Depreciation'!L98),0)</f>
        <v>-32476001.739139538</v>
      </c>
      <c r="S52" s="880">
        <f t="shared" ref="S52:S61" ca="1" si="0">SUM(Q52:R52)</f>
        <v>-4534983.3481395356</v>
      </c>
      <c r="T52" s="3456" t="e">
        <f t="shared" ref="T52:T61" ca="1" si="1">MROUND(S52,INDEX(Rounding_Options,MATCH($T$45,Rounding_Label,0),2))</f>
        <v>#NUM!</v>
      </c>
      <c r="U52" s="259"/>
      <c r="V52" s="89"/>
    </row>
    <row r="53" spans="1:22" ht="15" hidden="1" customHeight="1" x14ac:dyDescent="0.25">
      <c r="A53" s="957">
        <f t="shared" ref="A53:A73" si="2">IF(Q53=0,0,1)</f>
        <v>0</v>
      </c>
      <c r="N53" s="563"/>
      <c r="O53" s="259"/>
      <c r="P53" s="3366">
        <f>'Building RCN'!F6</f>
        <v>0</v>
      </c>
      <c r="Q53" s="880">
        <f>'Other RCN'!T72</f>
        <v>0</v>
      </c>
      <c r="R53" s="880">
        <f ca="1">IFERROR(-('Cost Depreciation'!F99+'Cost Depreciation'!H99+'Cost Depreciation'!L99),0)</f>
        <v>0</v>
      </c>
      <c r="S53" s="880">
        <f t="shared" ca="1" si="0"/>
        <v>0</v>
      </c>
      <c r="T53" s="3456">
        <f t="shared" ca="1" si="1"/>
        <v>0</v>
      </c>
      <c r="U53" s="259"/>
      <c r="V53" s="89"/>
    </row>
    <row r="54" spans="1:22" ht="15" hidden="1" customHeight="1" x14ac:dyDescent="0.25">
      <c r="A54" s="957">
        <f t="shared" si="2"/>
        <v>0</v>
      </c>
      <c r="N54" s="563"/>
      <c r="O54" s="259"/>
      <c r="P54" s="3366">
        <f>'Building RCN'!G6</f>
        <v>0</v>
      </c>
      <c r="Q54" s="880">
        <f>'Other RCN'!T73</f>
        <v>0</v>
      </c>
      <c r="R54" s="880">
        <f ca="1">IFERROR(-('Cost Depreciation'!F100+'Cost Depreciation'!H100+'Cost Depreciation'!L100),0)</f>
        <v>0</v>
      </c>
      <c r="S54" s="880">
        <f t="shared" ca="1" si="0"/>
        <v>0</v>
      </c>
      <c r="T54" s="3456">
        <f t="shared" ca="1" si="1"/>
        <v>0</v>
      </c>
      <c r="U54" s="259"/>
      <c r="V54" s="89"/>
    </row>
    <row r="55" spans="1:22" ht="15" hidden="1" customHeight="1" x14ac:dyDescent="0.25">
      <c r="A55" s="957">
        <f t="shared" si="2"/>
        <v>0</v>
      </c>
      <c r="N55" s="563"/>
      <c r="O55" s="259"/>
      <c r="P55" s="3366">
        <f>'Building RCN'!H6</f>
        <v>0</v>
      </c>
      <c r="Q55" s="880">
        <f>'Other RCN'!T74</f>
        <v>0</v>
      </c>
      <c r="R55" s="880">
        <f ca="1">IFERROR(-('Cost Depreciation'!F101+'Cost Depreciation'!H101+'Cost Depreciation'!L101),0)</f>
        <v>0</v>
      </c>
      <c r="S55" s="880">
        <f t="shared" ca="1" si="0"/>
        <v>0</v>
      </c>
      <c r="T55" s="3456">
        <f t="shared" ca="1" si="1"/>
        <v>0</v>
      </c>
      <c r="U55" s="259"/>
      <c r="V55" s="89"/>
    </row>
    <row r="56" spans="1:22" ht="15" hidden="1" customHeight="1" x14ac:dyDescent="0.25">
      <c r="A56" s="957">
        <f t="shared" si="2"/>
        <v>0</v>
      </c>
      <c r="N56" s="563"/>
      <c r="O56" s="259"/>
      <c r="P56" s="3366">
        <f>'Building RCN'!I6</f>
        <v>0</v>
      </c>
      <c r="Q56" s="880">
        <f>'Other RCN'!T75</f>
        <v>0</v>
      </c>
      <c r="R56" s="880">
        <f ca="1">IFERROR(-('Cost Depreciation'!F102+'Cost Depreciation'!H102+'Cost Depreciation'!L102),0)</f>
        <v>0</v>
      </c>
      <c r="S56" s="880">
        <f t="shared" ca="1" si="0"/>
        <v>0</v>
      </c>
      <c r="T56" s="3456">
        <f t="shared" ca="1" si="1"/>
        <v>0</v>
      </c>
      <c r="U56" s="259"/>
      <c r="V56" s="89"/>
    </row>
    <row r="57" spans="1:22" ht="15" hidden="1" customHeight="1" x14ac:dyDescent="0.25">
      <c r="A57" s="957">
        <f t="shared" si="2"/>
        <v>0</v>
      </c>
      <c r="N57" s="563"/>
      <c r="O57" s="259"/>
      <c r="P57" s="3366">
        <f>'Building RCN'!J6</f>
        <v>0</v>
      </c>
      <c r="Q57" s="880">
        <f>'Other RCN'!T76</f>
        <v>0</v>
      </c>
      <c r="R57" s="880">
        <f ca="1">IFERROR(-('Cost Depreciation'!F103+'Cost Depreciation'!H103+'Cost Depreciation'!L103),0)</f>
        <v>0</v>
      </c>
      <c r="S57" s="880">
        <f t="shared" ca="1" si="0"/>
        <v>0</v>
      </c>
      <c r="T57" s="3456">
        <f t="shared" ca="1" si="1"/>
        <v>0</v>
      </c>
      <c r="U57" s="259"/>
      <c r="V57" s="89"/>
    </row>
    <row r="58" spans="1:22" ht="15" hidden="1" customHeight="1" x14ac:dyDescent="0.25">
      <c r="A58" s="957">
        <f t="shared" si="2"/>
        <v>0</v>
      </c>
      <c r="N58" s="563"/>
      <c r="O58" s="259"/>
      <c r="P58" s="3366">
        <f>'Building RCN'!K6</f>
        <v>0</v>
      </c>
      <c r="Q58" s="880">
        <f>'Other RCN'!T77</f>
        <v>0</v>
      </c>
      <c r="R58" s="880">
        <f ca="1">IFERROR(-('Cost Depreciation'!F104+'Cost Depreciation'!H104+'Cost Depreciation'!L104),0)</f>
        <v>0</v>
      </c>
      <c r="S58" s="880">
        <f t="shared" ca="1" si="0"/>
        <v>0</v>
      </c>
      <c r="T58" s="3456">
        <f t="shared" ca="1" si="1"/>
        <v>0</v>
      </c>
      <c r="U58" s="259"/>
      <c r="V58" s="89"/>
    </row>
    <row r="59" spans="1:22" ht="15" hidden="1" customHeight="1" x14ac:dyDescent="0.25">
      <c r="A59" s="957">
        <f t="shared" si="2"/>
        <v>0</v>
      </c>
      <c r="N59" s="563"/>
      <c r="O59" s="259"/>
      <c r="P59" s="3366">
        <f>'Building RCN'!L6</f>
        <v>0</v>
      </c>
      <c r="Q59" s="880">
        <f>'Other RCN'!T78</f>
        <v>0</v>
      </c>
      <c r="R59" s="880">
        <f ca="1">IFERROR(-('Cost Depreciation'!F105+'Cost Depreciation'!H105+'Cost Depreciation'!L105),0)</f>
        <v>0</v>
      </c>
      <c r="S59" s="880">
        <f t="shared" ca="1" si="0"/>
        <v>0</v>
      </c>
      <c r="T59" s="3456">
        <f t="shared" ca="1" si="1"/>
        <v>0</v>
      </c>
      <c r="U59" s="259"/>
      <c r="V59" s="89"/>
    </row>
    <row r="60" spans="1:22" ht="15" hidden="1" customHeight="1" x14ac:dyDescent="0.25">
      <c r="A60" s="957">
        <f t="shared" si="2"/>
        <v>0</v>
      </c>
      <c r="N60" s="563"/>
      <c r="O60" s="259"/>
      <c r="P60" s="3366">
        <f>'Building RCN'!M6</f>
        <v>0</v>
      </c>
      <c r="Q60" s="880">
        <f>'Other RCN'!T79</f>
        <v>0</v>
      </c>
      <c r="R60" s="880">
        <f ca="1">IFERROR(-('Cost Depreciation'!F106+'Cost Depreciation'!H106+'Cost Depreciation'!L106),0)</f>
        <v>0</v>
      </c>
      <c r="S60" s="880">
        <f t="shared" ca="1" si="0"/>
        <v>0</v>
      </c>
      <c r="T60" s="3456">
        <f t="shared" ca="1" si="1"/>
        <v>0</v>
      </c>
      <c r="U60" s="259"/>
      <c r="V60" s="89"/>
    </row>
    <row r="61" spans="1:22" ht="15" hidden="1" customHeight="1" x14ac:dyDescent="0.25">
      <c r="A61" s="957">
        <f t="shared" si="2"/>
        <v>0</v>
      </c>
      <c r="N61" s="563"/>
      <c r="O61" s="259"/>
      <c r="P61" s="3366">
        <f>'Building RCN'!N6</f>
        <v>0</v>
      </c>
      <c r="Q61" s="880">
        <f>'Other RCN'!T80</f>
        <v>0</v>
      </c>
      <c r="R61" s="880">
        <f ca="1">IFERROR(-('Cost Depreciation'!F107+'Cost Depreciation'!H107+'Cost Depreciation'!L107),0)</f>
        <v>0</v>
      </c>
      <c r="S61" s="880">
        <f t="shared" ca="1" si="0"/>
        <v>0</v>
      </c>
      <c r="T61" s="3456">
        <f t="shared" ca="1" si="1"/>
        <v>0</v>
      </c>
      <c r="U61" s="259"/>
      <c r="V61" s="89"/>
    </row>
    <row r="62" spans="1:22" ht="20.100000000000001" customHeight="1" x14ac:dyDescent="0.25">
      <c r="A62" s="957">
        <f t="shared" si="2"/>
        <v>1</v>
      </c>
      <c r="N62" s="563"/>
      <c r="O62" s="259"/>
      <c r="P62" s="3457" t="s">
        <v>1486</v>
      </c>
      <c r="Q62" s="3458">
        <f>SUM(Q52:Q61)</f>
        <v>27941018.391000003</v>
      </c>
      <c r="R62" s="3458">
        <f ca="1">SUM(R52:R61)</f>
        <v>-32476001.739139538</v>
      </c>
      <c r="S62" s="3458">
        <f ca="1">SUM(S52:S61)</f>
        <v>-4534983.3481395356</v>
      </c>
      <c r="T62" s="3458" t="e">
        <f ca="1">SUM(T52:T61)</f>
        <v>#NUM!</v>
      </c>
      <c r="U62" s="259"/>
      <c r="V62" s="89"/>
    </row>
    <row r="63" spans="1:22" ht="15" customHeight="1" x14ac:dyDescent="0.25">
      <c r="A63" s="957">
        <f t="shared" si="2"/>
        <v>1</v>
      </c>
      <c r="N63" s="563"/>
      <c r="O63" s="259"/>
      <c r="P63" s="3366" t="str">
        <f>'Other RCN'!D7</f>
        <v>Asphalt</v>
      </c>
      <c r="Q63" s="880">
        <f>'Other RCN'!T82</f>
        <v>521764.1</v>
      </c>
      <c r="R63" s="880">
        <f ca="1">IFERROR(-('Cost Depreciation'!F109+'Cost Depreciation'!H109+'Cost Depreciation'!L109),0)</f>
        <v>-606449.32771951566</v>
      </c>
      <c r="S63" s="880">
        <f t="shared" ref="S63:S72" ca="1" si="3">SUM(Q63:R63)</f>
        <v>-84685.227719515678</v>
      </c>
      <c r="T63" s="3456" t="e">
        <f t="shared" ref="T63:T72" ca="1" si="4">MROUND(S63,INDEX(Rounding_Options,MATCH($T$45,Rounding_Label,0),2))</f>
        <v>#NUM!</v>
      </c>
      <c r="U63" s="259"/>
      <c r="V63" s="89"/>
    </row>
    <row r="64" spans="1:22" ht="15" customHeight="1" x14ac:dyDescent="0.25">
      <c r="A64" s="957">
        <f t="shared" si="2"/>
        <v>1</v>
      </c>
      <c r="N64" s="563"/>
      <c r="O64" s="259"/>
      <c r="P64" s="3366" t="str">
        <f>'Other RCN'!D8</f>
        <v>Concrete</v>
      </c>
      <c r="Q64" s="880">
        <f>'Other RCN'!T83</f>
        <v>240507.00300000003</v>
      </c>
      <c r="R64" s="880">
        <f ca="1">IFERROR(-('Cost Depreciation'!F110+'Cost Depreciation'!H110+'Cost Depreciation'!L110),0)</f>
        <v>-279542.63292776479</v>
      </c>
      <c r="S64" s="880">
        <f t="shared" ca="1" si="3"/>
        <v>-39035.629927764763</v>
      </c>
      <c r="T64" s="3456" t="e">
        <f t="shared" ca="1" si="4"/>
        <v>#NUM!</v>
      </c>
      <c r="U64" s="259"/>
      <c r="V64" s="89"/>
    </row>
    <row r="65" spans="1:22" ht="15" customHeight="1" x14ac:dyDescent="0.25">
      <c r="A65" s="957">
        <f t="shared" si="2"/>
        <v>1</v>
      </c>
      <c r="N65" s="563"/>
      <c r="O65" s="259"/>
      <c r="P65" s="3366" t="str">
        <f>'Other RCN'!D9</f>
        <v>Dock Levelers</v>
      </c>
      <c r="Q65" s="880">
        <f>'Other RCN'!T84</f>
        <v>122408</v>
      </c>
      <c r="R65" s="880">
        <f ca="1">IFERROR(-('Cost Depreciation'!F111+'Cost Depreciation'!H111+'Cost Depreciation'!L111),0)</f>
        <v>-142275.5021042852</v>
      </c>
      <c r="S65" s="880">
        <f t="shared" ca="1" si="3"/>
        <v>-19867.502104285202</v>
      </c>
      <c r="T65" s="3456" t="e">
        <f t="shared" ca="1" si="4"/>
        <v>#NUM!</v>
      </c>
      <c r="U65" s="259"/>
      <c r="V65" s="89"/>
    </row>
    <row r="66" spans="1:22" ht="15" hidden="1" customHeight="1" x14ac:dyDescent="0.25">
      <c r="A66" s="957">
        <f t="shared" si="2"/>
        <v>0</v>
      </c>
      <c r="N66" s="563"/>
      <c r="O66" s="259"/>
      <c r="P66" s="3366" t="str">
        <f>'Other RCN'!D10</f>
        <v>User Defined 4</v>
      </c>
      <c r="Q66" s="880">
        <f>'Other RCN'!T85</f>
        <v>0</v>
      </c>
      <c r="R66" s="880">
        <f ca="1">IFERROR(-('Cost Depreciation'!F112+'Cost Depreciation'!H112+'Cost Depreciation'!L112),0)</f>
        <v>0</v>
      </c>
      <c r="S66" s="880">
        <f t="shared" ca="1" si="3"/>
        <v>0</v>
      </c>
      <c r="T66" s="3456">
        <f t="shared" ca="1" si="4"/>
        <v>0</v>
      </c>
      <c r="U66" s="259"/>
      <c r="V66" s="89"/>
    </row>
    <row r="67" spans="1:22" ht="15" hidden="1" customHeight="1" x14ac:dyDescent="0.25">
      <c r="A67" s="957">
        <f t="shared" si="2"/>
        <v>0</v>
      </c>
      <c r="N67" s="563"/>
      <c r="O67" s="259"/>
      <c r="P67" s="3366" t="str">
        <f>'Other RCN'!D11</f>
        <v>User Defined 5</v>
      </c>
      <c r="Q67" s="880">
        <f>'Other RCN'!T86</f>
        <v>0</v>
      </c>
      <c r="R67" s="880">
        <f ca="1">IFERROR(-('Cost Depreciation'!F113+'Cost Depreciation'!H113+'Cost Depreciation'!L113),0)</f>
        <v>0</v>
      </c>
      <c r="S67" s="880">
        <f t="shared" ca="1" si="3"/>
        <v>0</v>
      </c>
      <c r="T67" s="3456">
        <f t="shared" ca="1" si="4"/>
        <v>0</v>
      </c>
      <c r="U67" s="259"/>
      <c r="V67" s="89"/>
    </row>
    <row r="68" spans="1:22" ht="15" hidden="1" customHeight="1" x14ac:dyDescent="0.25">
      <c r="A68" s="957">
        <f t="shared" si="2"/>
        <v>0</v>
      </c>
      <c r="N68" s="563"/>
      <c r="O68" s="259"/>
      <c r="P68" s="3366" t="str">
        <f>'Other RCN'!D12</f>
        <v>User Defined 6</v>
      </c>
      <c r="Q68" s="880">
        <f>'Other RCN'!T87</f>
        <v>0</v>
      </c>
      <c r="R68" s="880">
        <f ca="1">IFERROR(-('Cost Depreciation'!F114+'Cost Depreciation'!H114+'Cost Depreciation'!L114),0)</f>
        <v>0</v>
      </c>
      <c r="S68" s="880">
        <f t="shared" ca="1" si="3"/>
        <v>0</v>
      </c>
      <c r="T68" s="3456">
        <f t="shared" ca="1" si="4"/>
        <v>0</v>
      </c>
      <c r="U68" s="259"/>
      <c r="V68" s="89"/>
    </row>
    <row r="69" spans="1:22" ht="15" hidden="1" customHeight="1" x14ac:dyDescent="0.25">
      <c r="A69" s="957">
        <f t="shared" si="2"/>
        <v>0</v>
      </c>
      <c r="N69" s="563"/>
      <c r="O69" s="259"/>
      <c r="P69" s="3366" t="str">
        <f>'Other RCN'!D13</f>
        <v>User Defined 7</v>
      </c>
      <c r="Q69" s="880">
        <f>'Other RCN'!T88</f>
        <v>0</v>
      </c>
      <c r="R69" s="880">
        <f ca="1">IFERROR(-('Cost Depreciation'!F115+'Cost Depreciation'!H115+'Cost Depreciation'!L115),0)</f>
        <v>0</v>
      </c>
      <c r="S69" s="880">
        <f t="shared" ca="1" si="3"/>
        <v>0</v>
      </c>
      <c r="T69" s="3456">
        <f t="shared" ca="1" si="4"/>
        <v>0</v>
      </c>
      <c r="U69" s="259"/>
      <c r="V69" s="89"/>
    </row>
    <row r="70" spans="1:22" ht="15" hidden="1" customHeight="1" x14ac:dyDescent="0.25">
      <c r="A70" s="957">
        <f t="shared" si="2"/>
        <v>0</v>
      </c>
      <c r="N70" s="563"/>
      <c r="O70" s="259"/>
      <c r="P70" s="3366" t="str">
        <f>'Other RCN'!D14</f>
        <v>User Defined 8</v>
      </c>
      <c r="Q70" s="880">
        <f>'Other RCN'!T89</f>
        <v>0</v>
      </c>
      <c r="R70" s="880">
        <f ca="1">IFERROR(-('Cost Depreciation'!F116+'Cost Depreciation'!H116+'Cost Depreciation'!L116),0)</f>
        <v>0</v>
      </c>
      <c r="S70" s="880">
        <f t="shared" ca="1" si="3"/>
        <v>0</v>
      </c>
      <c r="T70" s="3456">
        <f t="shared" ca="1" si="4"/>
        <v>0</v>
      </c>
      <c r="U70" s="259"/>
      <c r="V70" s="89"/>
    </row>
    <row r="71" spans="1:22" ht="15" hidden="1" customHeight="1" x14ac:dyDescent="0.25">
      <c r="A71" s="957">
        <f t="shared" si="2"/>
        <v>0</v>
      </c>
      <c r="N71" s="563"/>
      <c r="O71" s="259"/>
      <c r="P71" s="3366" t="str">
        <f>'Other RCN'!D15</f>
        <v>User Defined 9</v>
      </c>
      <c r="Q71" s="880">
        <f>'Other RCN'!T90</f>
        <v>0</v>
      </c>
      <c r="R71" s="880">
        <f ca="1">IFERROR(-('Cost Depreciation'!F117+'Cost Depreciation'!H117+'Cost Depreciation'!L117),0)</f>
        <v>0</v>
      </c>
      <c r="S71" s="880">
        <f t="shared" ca="1" si="3"/>
        <v>0</v>
      </c>
      <c r="T71" s="3456">
        <f t="shared" ca="1" si="4"/>
        <v>0</v>
      </c>
      <c r="U71" s="259"/>
      <c r="V71" s="89"/>
    </row>
    <row r="72" spans="1:22" ht="15" hidden="1" customHeight="1" x14ac:dyDescent="0.25">
      <c r="A72" s="957">
        <f t="shared" si="2"/>
        <v>0</v>
      </c>
      <c r="N72" s="563"/>
      <c r="O72" s="259"/>
      <c r="P72" s="3366" t="str">
        <f>'Other RCN'!D16</f>
        <v>User Defined 10</v>
      </c>
      <c r="Q72" s="880">
        <f>'Other RCN'!T91</f>
        <v>0</v>
      </c>
      <c r="R72" s="880">
        <f ca="1">IFERROR(-('Cost Depreciation'!F118+'Cost Depreciation'!H118+'Cost Depreciation'!L118),0)</f>
        <v>0</v>
      </c>
      <c r="S72" s="880">
        <f t="shared" ca="1" si="3"/>
        <v>0</v>
      </c>
      <c r="T72" s="3456">
        <f t="shared" ca="1" si="4"/>
        <v>0</v>
      </c>
      <c r="U72" s="259"/>
      <c r="V72" s="89"/>
    </row>
    <row r="73" spans="1:22" ht="20.100000000000001" customHeight="1" x14ac:dyDescent="0.25">
      <c r="A73" s="957">
        <f t="shared" si="2"/>
        <v>1</v>
      </c>
      <c r="N73" s="563"/>
      <c r="O73" s="259"/>
      <c r="P73" s="3457" t="s">
        <v>1489</v>
      </c>
      <c r="Q73" s="3458">
        <f>SUM(Q63:Q72)</f>
        <v>884679.103</v>
      </c>
      <c r="R73" s="3458">
        <f ca="1">SUM(R63:R72)</f>
        <v>-1028267.4627515656</v>
      </c>
      <c r="S73" s="3458">
        <f ca="1">SUM(S63:S72)</f>
        <v>-143588.35975156564</v>
      </c>
      <c r="T73" s="3458" t="e">
        <f ca="1">SUM(T63:T72)</f>
        <v>#NUM!</v>
      </c>
      <c r="U73" s="259"/>
      <c r="V73" s="89"/>
    </row>
    <row r="74" spans="1:22" s="36" customFormat="1" ht="20.100000000000001" customHeight="1" thickBot="1" x14ac:dyDescent="0.3">
      <c r="A74" s="957">
        <f>IF(SUM(A52:A73)=0,0,1)</f>
        <v>1</v>
      </c>
      <c r="G74" s="902"/>
      <c r="N74" s="1485"/>
      <c r="O74" s="259"/>
      <c r="P74" s="3459" t="str">
        <f>CONCATENATE("Plus: Estimated ",Subject_Value1Type," of Land")</f>
        <v>Plus: Estimated Market Value of Land</v>
      </c>
      <c r="Q74" s="3460"/>
      <c r="R74" s="3460"/>
      <c r="S74" s="3460"/>
      <c r="T74" s="3460">
        <f>dpLand_PrimaryLandValue</f>
        <v>6800000</v>
      </c>
      <c r="U74" s="259"/>
      <c r="V74" s="89"/>
    </row>
    <row r="75" spans="1:22" s="36" customFormat="1" ht="15.95" customHeight="1" thickBot="1" x14ac:dyDescent="0.3">
      <c r="A75" s="957">
        <f>IF(SUM(A52:A73)=0,0,1)</f>
        <v>1</v>
      </c>
      <c r="G75" s="902"/>
      <c r="N75" s="1485"/>
      <c r="O75" s="259"/>
      <c r="P75" s="3383" t="str">
        <f>CONCATENATE("Total ",dpSort_ValueScenario_1)</f>
        <v>Total Retrospective Fee Simple Market Value Indication</v>
      </c>
      <c r="Q75" s="3436"/>
      <c r="R75" s="3436"/>
      <c r="S75" s="3436"/>
      <c r="T75" s="3386" t="e">
        <f ca="1">SUM(T62,T73,T74)</f>
        <v>#NUM!</v>
      </c>
      <c r="U75" s="259"/>
      <c r="V75" s="89"/>
    </row>
    <row r="76" spans="1:22" ht="20.100000000000001" customHeight="1" thickBot="1" x14ac:dyDescent="0.3">
      <c r="A76" s="957">
        <v>1</v>
      </c>
      <c r="N76" s="564"/>
      <c r="O76" s="647"/>
      <c r="P76" s="648" t="s">
        <v>1511</v>
      </c>
      <c r="Q76" s="653"/>
      <c r="R76" s="653"/>
      <c r="S76" s="653"/>
      <c r="T76" s="653"/>
      <c r="U76" s="647"/>
      <c r="V76" s="649"/>
    </row>
  </sheetData>
  <mergeCells count="2">
    <mergeCell ref="S49:T50"/>
    <mergeCell ref="L19:L20"/>
  </mergeCells>
  <dataValidations count="1">
    <dataValidation type="list" allowBlank="1" showInputMessage="1" showErrorMessage="1" error="Invalid Option - Please Select from the List" prompt="Select Rounding Option" sqref="L28 L34 L39 T45 L22" xr:uid="{00000000-0002-0000-1200-000000000000}">
      <formula1>Rounding_Label</formula1>
    </dataValidation>
  </dataValidations>
  <hyperlinks>
    <hyperlink ref="G16" location="dpCost_External_Obsolescence" display="dpCost_External_Obsolescence" xr:uid="{00000000-0004-0000-1200-000000000000}"/>
    <hyperlink ref="G11" location="dpCost_CurableItemCost_Total" display="dpCost_CurableItemCost_Total" xr:uid="{00000000-0004-0000-1200-000001000000}"/>
    <hyperlink ref="G12" location="dpCost_IncurableShortItemCost_Total" display="dpCost_IncurableShortItemCost_Total" xr:uid="{00000000-0004-0000-1200-000002000000}"/>
    <hyperlink ref="G21" location="dpLand_PrimaryLandValue" display="dpLand_PrimaryLandValue" xr:uid="{00000000-0004-0000-1200-000003000000}"/>
    <hyperlink ref="G13" location="dpCost_IncurableLongCost_Total" display="dpCost_IncurableLongCost_Total" xr:uid="{00000000-0004-0000-1200-000004000000}"/>
  </hyperlinks>
  <printOptions horizontalCentered="1"/>
  <pageMargins left="0.5" right="0.5" top="0.75" bottom="0.75" header="0.3" footer="0.3"/>
  <pageSetup orientation="portrait" r:id="rId1"/>
  <drawing r:id="rId2"/>
  <legacyDrawing r:id="rId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tabColor theme="9" tint="-0.499984740745262"/>
    <pageSetUpPr fitToPage="1"/>
  </sheetPr>
  <dimension ref="A1:X51"/>
  <sheetViews>
    <sheetView zoomScaleNormal="100" workbookViewId="0">
      <selection activeCell="E16" sqref="E16"/>
    </sheetView>
  </sheetViews>
  <sheetFormatPr defaultColWidth="8.85546875" defaultRowHeight="14.25" x14ac:dyDescent="0.25"/>
  <cols>
    <col min="1" max="1" width="10.7109375" style="96" customWidth="1"/>
    <col min="2" max="2" width="1.7109375" style="10" customWidth="1"/>
    <col min="3" max="3" width="0.85546875" style="10" customWidth="1"/>
    <col min="4" max="4" width="33.7109375" style="10" customWidth="1"/>
    <col min="5" max="5" width="12.7109375" style="10" customWidth="1"/>
    <col min="6" max="6" width="8.7109375" style="10" customWidth="1"/>
    <col min="7" max="8" width="12.7109375" style="13" customWidth="1"/>
    <col min="9" max="9" width="0.85546875" style="10" customWidth="1"/>
    <col min="10" max="10" width="1.7109375" style="10" customWidth="1"/>
    <col min="11" max="11" width="5.7109375" style="10" customWidth="1"/>
    <col min="12" max="12" width="10.7109375" style="10" customWidth="1"/>
    <col min="13" max="13" width="12.7109375" style="10" customWidth="1"/>
    <col min="14" max="15" width="15.7109375" style="10" customWidth="1"/>
    <col min="16" max="16" width="8.85546875" style="10"/>
    <col min="17" max="17" width="5.7109375" style="10" customWidth="1"/>
    <col min="18" max="18" width="9.85546875" style="10" customWidth="1"/>
    <col min="19" max="19" width="5.7109375" style="10" customWidth="1"/>
    <col min="20" max="20" width="12.140625" style="10" customWidth="1"/>
    <col min="21" max="21" width="5.7109375" style="10" customWidth="1"/>
    <col min="22" max="22" width="8.85546875" style="10"/>
    <col min="23" max="23" width="0.85546875" style="10" customWidth="1"/>
    <col min="24" max="24" width="5.7109375" style="10" customWidth="1"/>
    <col min="25" max="16384" width="8.85546875" style="10"/>
  </cols>
  <sheetData>
    <row r="1" spans="1:24" ht="60" customHeight="1" x14ac:dyDescent="0.25"/>
    <row r="2" spans="1:24" ht="38.25" customHeight="1" thickBot="1" x14ac:dyDescent="0.35">
      <c r="B2" s="160"/>
      <c r="C2" s="160"/>
      <c r="D2" s="160"/>
      <c r="E2" s="160"/>
      <c r="F2" s="160"/>
      <c r="G2" s="163"/>
      <c r="H2" s="163"/>
      <c r="I2" s="160"/>
      <c r="J2" s="160"/>
      <c r="L2" s="159"/>
      <c r="M2" s="159"/>
      <c r="N2" s="159"/>
      <c r="O2" s="159"/>
      <c r="P2" s="159"/>
      <c r="Q2" s="159"/>
      <c r="R2" s="159"/>
      <c r="S2" s="159"/>
      <c r="T2" s="159"/>
      <c r="U2" s="159"/>
      <c r="V2" s="159"/>
      <c r="W2" s="159"/>
      <c r="X2" s="159"/>
    </row>
    <row r="3" spans="1:24" ht="15" thickBot="1" x14ac:dyDescent="0.3">
      <c r="B3" s="145"/>
      <c r="C3" s="146"/>
      <c r="D3" s="146"/>
      <c r="E3" s="146"/>
      <c r="F3" s="146"/>
      <c r="G3" s="164"/>
      <c r="H3" s="164"/>
      <c r="I3" s="146"/>
      <c r="J3" s="147"/>
      <c r="L3" s="42"/>
      <c r="M3" s="42"/>
      <c r="N3" s="42"/>
      <c r="O3" s="42"/>
      <c r="P3" s="42"/>
      <c r="Q3" s="42"/>
      <c r="R3" s="42"/>
      <c r="S3" s="42"/>
      <c r="T3" s="42"/>
      <c r="U3" s="42"/>
      <c r="V3" s="42"/>
      <c r="W3" s="42"/>
      <c r="X3" s="42"/>
    </row>
    <row r="4" spans="1:24" ht="17.25" thickBot="1" x14ac:dyDescent="0.3">
      <c r="B4" s="148"/>
      <c r="C4" s="161"/>
      <c r="D4" s="162" t="s">
        <v>1173</v>
      </c>
      <c r="E4" s="161"/>
      <c r="F4" s="161"/>
      <c r="G4" s="165"/>
      <c r="H4" s="165"/>
      <c r="I4" s="161"/>
      <c r="J4" s="149"/>
      <c r="L4" s="150" t="s">
        <v>1189</v>
      </c>
      <c r="M4" s="4176" t="s">
        <v>1191</v>
      </c>
      <c r="N4" s="4177"/>
      <c r="O4" s="4178"/>
      <c r="P4" s="151"/>
      <c r="Q4" s="151"/>
      <c r="R4" s="151"/>
      <c r="S4" s="151"/>
      <c r="T4" s="151"/>
      <c r="U4" s="151"/>
      <c r="V4" s="151"/>
      <c r="W4" s="151"/>
      <c r="X4" s="42"/>
    </row>
    <row r="5" spans="1:24" ht="15.95" customHeight="1" x14ac:dyDescent="0.25">
      <c r="A5" s="957">
        <v>1</v>
      </c>
      <c r="B5" s="148"/>
      <c r="C5" s="258"/>
      <c r="D5" s="3461" t="s">
        <v>280</v>
      </c>
      <c r="E5" s="3462" t="s">
        <v>11</v>
      </c>
      <c r="F5" s="4179" t="s">
        <v>579</v>
      </c>
      <c r="G5" s="4179"/>
      <c r="H5" s="4179"/>
      <c r="I5" s="258"/>
      <c r="J5" s="149"/>
      <c r="L5" s="42"/>
      <c r="M5" s="11"/>
      <c r="N5" s="12"/>
      <c r="O5" s="11"/>
      <c r="P5" s="11"/>
      <c r="Q5" s="12"/>
      <c r="R5" s="12"/>
      <c r="S5" s="12"/>
      <c r="T5" s="150"/>
      <c r="U5" s="12"/>
      <c r="V5" s="150"/>
      <c r="W5" s="11"/>
      <c r="X5" s="42"/>
    </row>
    <row r="6" spans="1:24" hidden="1" x14ac:dyDescent="0.25">
      <c r="A6" s="957">
        <f>IF(D7=0,0,1)</f>
        <v>0</v>
      </c>
      <c r="B6" s="148"/>
      <c r="C6" s="92"/>
      <c r="D6" s="3283" t="str">
        <f>'Building RCN'!E6</f>
        <v>Mega Warehouse</v>
      </c>
      <c r="E6" s="3463">
        <f>'Building RCN'!E7</f>
        <v>329940</v>
      </c>
      <c r="F6" s="742"/>
      <c r="G6" s="3207">
        <f>E6*H6</f>
        <v>25400925.810000002</v>
      </c>
      <c r="H6" s="3464">
        <f>'Building RCN'!E53*(1+dpCost_Soft_Percent)</f>
        <v>76.986500000000007</v>
      </c>
      <c r="I6" s="92"/>
      <c r="J6" s="149"/>
      <c r="L6" s="42"/>
      <c r="M6" s="42"/>
      <c r="N6" s="42"/>
      <c r="O6" s="42"/>
      <c r="P6" s="42"/>
      <c r="Q6" s="42"/>
      <c r="R6" s="152"/>
      <c r="S6" s="42"/>
      <c r="T6" s="153"/>
      <c r="U6" s="42"/>
      <c r="V6" s="154"/>
      <c r="W6" s="42"/>
      <c r="X6" s="42"/>
    </row>
    <row r="7" spans="1:24" hidden="1" x14ac:dyDescent="0.25">
      <c r="A7" s="957">
        <f t="shared" ref="A7:A15" si="0">IF(D7=0,0,1)</f>
        <v>0</v>
      </c>
      <c r="B7" s="148"/>
      <c r="C7" s="92"/>
      <c r="D7" s="3283">
        <f>'Building RCN'!F6</f>
        <v>0</v>
      </c>
      <c r="E7" s="3463">
        <f>'Building RCN'!F7</f>
        <v>0</v>
      </c>
      <c r="F7" s="742"/>
      <c r="G7" s="3207">
        <f t="shared" ref="G7:G15" si="1">E7*H7</f>
        <v>0</v>
      </c>
      <c r="H7" s="3464">
        <f>'Building RCN'!F53*(1+dpCost_Soft_Percent)</f>
        <v>0</v>
      </c>
      <c r="I7" s="92"/>
      <c r="J7" s="149"/>
      <c r="L7" s="42"/>
      <c r="M7" s="42"/>
      <c r="N7" s="42"/>
      <c r="O7" s="42"/>
      <c r="P7" s="42"/>
      <c r="Q7" s="42"/>
      <c r="R7" s="152"/>
      <c r="S7" s="42"/>
      <c r="T7" s="153"/>
      <c r="U7" s="42"/>
      <c r="V7" s="154"/>
      <c r="W7" s="42"/>
      <c r="X7" s="42"/>
    </row>
    <row r="8" spans="1:24" hidden="1" x14ac:dyDescent="0.25">
      <c r="A8" s="957">
        <f t="shared" si="0"/>
        <v>0</v>
      </c>
      <c r="B8" s="148"/>
      <c r="C8" s="92"/>
      <c r="D8" s="3283">
        <f>'Building RCN'!G6</f>
        <v>0</v>
      </c>
      <c r="E8" s="3463">
        <f>'Building RCN'!G7</f>
        <v>0</v>
      </c>
      <c r="F8" s="742"/>
      <c r="G8" s="3207">
        <f t="shared" si="1"/>
        <v>0</v>
      </c>
      <c r="H8" s="3464">
        <f>'Building RCN'!G53*(1+dpCost_Soft_Percent)</f>
        <v>0</v>
      </c>
      <c r="I8" s="92"/>
      <c r="J8" s="149"/>
      <c r="L8" s="42"/>
      <c r="M8" s="42"/>
      <c r="N8" s="42"/>
      <c r="O8" s="42"/>
      <c r="P8" s="42"/>
      <c r="Q8" s="42"/>
      <c r="R8" s="42"/>
      <c r="S8" s="42"/>
      <c r="T8" s="42"/>
      <c r="U8" s="42"/>
      <c r="V8" s="42"/>
      <c r="W8" s="42"/>
      <c r="X8" s="42"/>
    </row>
    <row r="9" spans="1:24" hidden="1" x14ac:dyDescent="0.25">
      <c r="A9" s="957">
        <f t="shared" si="0"/>
        <v>0</v>
      </c>
      <c r="B9" s="148"/>
      <c r="C9" s="92"/>
      <c r="D9" s="3283">
        <f>'Building RCN'!H6</f>
        <v>0</v>
      </c>
      <c r="E9" s="3463">
        <f>'Building RCN'!H7</f>
        <v>0</v>
      </c>
      <c r="F9" s="742"/>
      <c r="G9" s="3207">
        <f t="shared" si="1"/>
        <v>0</v>
      </c>
      <c r="H9" s="3464">
        <f>'Building RCN'!H53*(1+dpCost_Soft_Percent)</f>
        <v>0</v>
      </c>
      <c r="I9" s="92"/>
      <c r="J9" s="149"/>
      <c r="L9" s="42"/>
      <c r="M9" s="42"/>
      <c r="N9" s="42"/>
      <c r="O9" s="42"/>
      <c r="P9" s="42"/>
      <c r="Q9" s="42"/>
      <c r="R9" s="42"/>
      <c r="S9" s="42"/>
      <c r="T9" s="42"/>
      <c r="U9" s="42"/>
      <c r="V9" s="42"/>
      <c r="W9" s="42"/>
      <c r="X9" s="42"/>
    </row>
    <row r="10" spans="1:24" hidden="1" x14ac:dyDescent="0.25">
      <c r="A10" s="957">
        <f t="shared" si="0"/>
        <v>0</v>
      </c>
      <c r="B10" s="148"/>
      <c r="C10" s="92"/>
      <c r="D10" s="3283">
        <f>'Building RCN'!I6</f>
        <v>0</v>
      </c>
      <c r="E10" s="3463">
        <f>'Building RCN'!I7</f>
        <v>0</v>
      </c>
      <c r="F10" s="742"/>
      <c r="G10" s="3207">
        <f t="shared" si="1"/>
        <v>0</v>
      </c>
      <c r="H10" s="3464">
        <f>'Building RCN'!I53*(1+dpCost_Soft_Percent)</f>
        <v>0</v>
      </c>
      <c r="I10" s="92"/>
      <c r="J10" s="149"/>
      <c r="L10" s="42"/>
      <c r="M10" s="42"/>
      <c r="N10" s="42"/>
      <c r="O10" s="42"/>
      <c r="P10" s="42"/>
      <c r="Q10" s="42"/>
      <c r="R10" s="42"/>
      <c r="S10" s="42"/>
      <c r="T10" s="42"/>
      <c r="U10" s="42"/>
      <c r="V10" s="42"/>
      <c r="W10" s="42"/>
      <c r="X10" s="42"/>
    </row>
    <row r="11" spans="1:24" hidden="1" x14ac:dyDescent="0.25">
      <c r="A11" s="957">
        <f t="shared" si="0"/>
        <v>0</v>
      </c>
      <c r="B11" s="148"/>
      <c r="C11" s="92"/>
      <c r="D11" s="3283">
        <f>'Building RCN'!J6</f>
        <v>0</v>
      </c>
      <c r="E11" s="3463">
        <f>'Building RCN'!J7</f>
        <v>0</v>
      </c>
      <c r="F11" s="742"/>
      <c r="G11" s="3207">
        <f t="shared" si="1"/>
        <v>0</v>
      </c>
      <c r="H11" s="3464">
        <f>'Building RCN'!J53*(1+dpCost_Soft_Percent)</f>
        <v>0</v>
      </c>
      <c r="I11" s="92"/>
      <c r="J11" s="149"/>
      <c r="L11" s="42"/>
      <c r="M11" s="42"/>
      <c r="N11" s="42"/>
      <c r="O11" s="42"/>
      <c r="P11" s="42"/>
      <c r="Q11" s="42"/>
      <c r="R11" s="42"/>
      <c r="S11" s="42"/>
      <c r="T11" s="42"/>
      <c r="U11" s="42"/>
      <c r="V11" s="42"/>
      <c r="W11" s="42"/>
      <c r="X11" s="42"/>
    </row>
    <row r="12" spans="1:24" hidden="1" x14ac:dyDescent="0.25">
      <c r="A12" s="957">
        <f t="shared" si="0"/>
        <v>0</v>
      </c>
      <c r="B12" s="148"/>
      <c r="C12" s="92"/>
      <c r="D12" s="3283">
        <f>'Building RCN'!K6</f>
        <v>0</v>
      </c>
      <c r="E12" s="3463">
        <f>'Building RCN'!K7</f>
        <v>0</v>
      </c>
      <c r="F12" s="742"/>
      <c r="G12" s="3207">
        <f t="shared" si="1"/>
        <v>0</v>
      </c>
      <c r="H12" s="3464">
        <f>'Building RCN'!K53*(1+dpCost_Soft_Percent)</f>
        <v>0</v>
      </c>
      <c r="I12" s="92"/>
      <c r="J12" s="149"/>
      <c r="L12" s="42"/>
      <c r="M12" s="42"/>
      <c r="N12" s="42"/>
      <c r="O12" s="42"/>
      <c r="P12" s="42"/>
      <c r="Q12" s="42"/>
      <c r="R12" s="42"/>
      <c r="S12" s="42"/>
      <c r="T12" s="42"/>
      <c r="U12" s="42"/>
      <c r="V12" s="42"/>
      <c r="W12" s="42"/>
      <c r="X12" s="42"/>
    </row>
    <row r="13" spans="1:24" hidden="1" x14ac:dyDescent="0.25">
      <c r="A13" s="957">
        <f t="shared" si="0"/>
        <v>0</v>
      </c>
      <c r="B13" s="148"/>
      <c r="C13" s="92"/>
      <c r="D13" s="3283">
        <f>'Building RCN'!L6</f>
        <v>0</v>
      </c>
      <c r="E13" s="3463">
        <f>'Building RCN'!L7</f>
        <v>0</v>
      </c>
      <c r="F13" s="742"/>
      <c r="G13" s="3207">
        <f t="shared" si="1"/>
        <v>0</v>
      </c>
      <c r="H13" s="3464">
        <f>'Building RCN'!L53*(1+dpCost_Soft_Percent)</f>
        <v>0</v>
      </c>
      <c r="I13" s="92"/>
      <c r="J13" s="149"/>
      <c r="L13" s="42"/>
      <c r="M13" s="42"/>
      <c r="N13" s="42"/>
      <c r="O13" s="42"/>
      <c r="P13" s="42"/>
      <c r="Q13" s="42"/>
      <c r="R13" s="42"/>
      <c r="S13" s="42"/>
      <c r="T13" s="42"/>
      <c r="U13" s="42"/>
      <c r="V13" s="42"/>
      <c r="W13" s="42"/>
      <c r="X13" s="42"/>
    </row>
    <row r="14" spans="1:24" hidden="1" x14ac:dyDescent="0.25">
      <c r="A14" s="957">
        <f t="shared" si="0"/>
        <v>0</v>
      </c>
      <c r="B14" s="148"/>
      <c r="C14" s="92"/>
      <c r="D14" s="3283">
        <f>'Building RCN'!M6</f>
        <v>0</v>
      </c>
      <c r="E14" s="3463">
        <f>'Building RCN'!M7</f>
        <v>0</v>
      </c>
      <c r="F14" s="742"/>
      <c r="G14" s="3207">
        <f t="shared" si="1"/>
        <v>0</v>
      </c>
      <c r="H14" s="3464">
        <f>'Building RCN'!M53*(1+dpCost_Soft_Percent)</f>
        <v>0</v>
      </c>
      <c r="I14" s="92"/>
      <c r="J14" s="149"/>
      <c r="L14" s="42"/>
      <c r="M14" s="42"/>
      <c r="N14" s="42"/>
      <c r="O14" s="42"/>
      <c r="P14" s="42"/>
      <c r="Q14" s="42"/>
      <c r="R14" s="42"/>
      <c r="S14" s="42"/>
      <c r="T14" s="42"/>
      <c r="U14" s="42"/>
      <c r="V14" s="42"/>
      <c r="W14" s="42"/>
      <c r="X14" s="42"/>
    </row>
    <row r="15" spans="1:24" hidden="1" x14ac:dyDescent="0.25">
      <c r="A15" s="957">
        <f t="shared" si="0"/>
        <v>0</v>
      </c>
      <c r="B15" s="148"/>
      <c r="C15" s="92"/>
      <c r="D15" s="3465">
        <f>'Building RCN'!N6</f>
        <v>0</v>
      </c>
      <c r="E15" s="3466">
        <f>'Building RCN'!N7</f>
        <v>0</v>
      </c>
      <c r="F15" s="3467"/>
      <c r="G15" s="3468">
        <f t="shared" si="1"/>
        <v>0</v>
      </c>
      <c r="H15" s="3469">
        <f>'Building RCN'!N53*(1+dpCost_Soft_Percent)</f>
        <v>0</v>
      </c>
      <c r="I15" s="92"/>
      <c r="J15" s="149"/>
      <c r="L15" s="42"/>
      <c r="M15" s="42"/>
      <c r="N15" s="42"/>
      <c r="O15" s="42"/>
      <c r="P15" s="42"/>
      <c r="Q15" s="42"/>
      <c r="R15" s="42"/>
      <c r="S15" s="42"/>
      <c r="T15" s="42"/>
      <c r="U15" s="42"/>
      <c r="V15" s="42"/>
      <c r="W15" s="42"/>
      <c r="X15" s="42"/>
    </row>
    <row r="16" spans="1:24" ht="15.95" customHeight="1" x14ac:dyDescent="0.25">
      <c r="A16" s="957">
        <f>IF(SUM(A6:A15)=1,0,1)</f>
        <v>1</v>
      </c>
      <c r="B16" s="148"/>
      <c r="C16" s="92"/>
      <c r="D16" s="3470" t="s">
        <v>93</v>
      </c>
      <c r="E16" s="3471">
        <f>SUM(E6:E15)</f>
        <v>329940</v>
      </c>
      <c r="F16" s="3472"/>
      <c r="G16" s="3473">
        <f>SUM(G6:G15)</f>
        <v>25400925.810000002</v>
      </c>
      <c r="H16" s="3474">
        <f>G16/E16</f>
        <v>76.986500000000007</v>
      </c>
      <c r="I16" s="92"/>
      <c r="J16" s="149"/>
      <c r="L16" s="42"/>
      <c r="M16" s="42"/>
      <c r="N16" s="42"/>
      <c r="O16" s="42"/>
      <c r="P16" s="42"/>
      <c r="Q16" s="42"/>
      <c r="R16" s="42"/>
      <c r="S16" s="42"/>
      <c r="T16" s="42"/>
      <c r="U16" s="42"/>
      <c r="V16" s="42"/>
      <c r="W16" s="42"/>
      <c r="X16" s="42"/>
    </row>
    <row r="17" spans="1:24" ht="24" customHeight="1" x14ac:dyDescent="0.25">
      <c r="A17" s="957">
        <v>1</v>
      </c>
      <c r="B17" s="148"/>
      <c r="C17" s="92"/>
      <c r="D17" s="3379" t="s">
        <v>275</v>
      </c>
      <c r="E17" s="258"/>
      <c r="F17" s="92"/>
      <c r="G17" s="3344"/>
      <c r="H17" s="423"/>
      <c r="I17" s="92"/>
      <c r="J17" s="149"/>
      <c r="L17" s="42"/>
      <c r="M17" s="42"/>
      <c r="N17" s="42"/>
      <c r="O17" s="42"/>
      <c r="P17" s="42"/>
      <c r="Q17" s="42"/>
      <c r="R17" s="54"/>
      <c r="S17" s="42"/>
      <c r="T17" s="42"/>
      <c r="U17" s="42"/>
      <c r="V17" s="42"/>
      <c r="W17" s="42"/>
      <c r="X17" s="42"/>
    </row>
    <row r="18" spans="1:24" x14ac:dyDescent="0.25">
      <c r="A18" s="957">
        <v>1</v>
      </c>
      <c r="B18" s="148"/>
      <c r="C18" s="92"/>
      <c r="D18" s="3283" t="s">
        <v>277</v>
      </c>
      <c r="E18" s="258"/>
      <c r="F18" s="92"/>
      <c r="G18" s="3475">
        <v>-2.5000000000000001E-2</v>
      </c>
      <c r="H18" s="423"/>
      <c r="I18" s="92"/>
      <c r="J18" s="149"/>
      <c r="L18" s="42"/>
      <c r="M18" s="42"/>
      <c r="N18" s="155"/>
      <c r="O18" s="156"/>
      <c r="P18" s="42"/>
      <c r="Q18" s="42"/>
      <c r="R18" s="157"/>
      <c r="S18" s="42"/>
      <c r="T18" s="153"/>
      <c r="U18" s="42"/>
      <c r="V18" s="154"/>
      <c r="W18" s="42"/>
      <c r="X18" s="42"/>
    </row>
    <row r="19" spans="1:24" x14ac:dyDescent="0.25">
      <c r="A19" s="957">
        <v>1</v>
      </c>
      <c r="B19" s="148"/>
      <c r="C19" s="92"/>
      <c r="D19" s="3283" t="s">
        <v>278</v>
      </c>
      <c r="E19" s="258"/>
      <c r="F19" s="92"/>
      <c r="G19" s="3475">
        <v>-3.5000000000000003E-2</v>
      </c>
      <c r="H19" s="423"/>
      <c r="I19" s="92"/>
      <c r="J19" s="149"/>
      <c r="L19" s="42"/>
      <c r="M19" s="42"/>
      <c r="N19" s="155"/>
      <c r="O19" s="42"/>
      <c r="P19" s="42"/>
      <c r="Q19" s="42"/>
      <c r="R19" s="157"/>
      <c r="S19" s="42"/>
      <c r="T19" s="153"/>
      <c r="U19" s="42"/>
      <c r="V19" s="154"/>
      <c r="W19" s="42"/>
      <c r="X19" s="42"/>
    </row>
    <row r="20" spans="1:24" x14ac:dyDescent="0.25">
      <c r="A20" s="957">
        <v>1</v>
      </c>
      <c r="B20" s="148"/>
      <c r="C20" s="92"/>
      <c r="D20" s="3283" t="s">
        <v>279</v>
      </c>
      <c r="E20" s="258"/>
      <c r="F20" s="92"/>
      <c r="G20" s="3475">
        <v>-1.4999999999999999E-2</v>
      </c>
      <c r="H20" s="423"/>
      <c r="I20" s="92"/>
      <c r="J20" s="149"/>
      <c r="L20" s="42"/>
      <c r="M20" s="42"/>
      <c r="N20" s="155"/>
      <c r="O20" s="42"/>
      <c r="P20" s="42"/>
      <c r="Q20" s="42"/>
      <c r="R20" s="157"/>
      <c r="S20" s="42"/>
      <c r="T20" s="153"/>
      <c r="U20" s="42"/>
      <c r="V20" s="154"/>
      <c r="W20" s="42"/>
      <c r="X20" s="42"/>
    </row>
    <row r="21" spans="1:24" hidden="1" x14ac:dyDescent="0.25">
      <c r="A21" s="957">
        <f>IF(G21=0,0,1)</f>
        <v>0</v>
      </c>
      <c r="B21" s="148"/>
      <c r="C21" s="92"/>
      <c r="D21" s="3283" t="s">
        <v>192</v>
      </c>
      <c r="E21" s="258"/>
      <c r="F21" s="92"/>
      <c r="G21" s="3476">
        <v>0</v>
      </c>
      <c r="H21" s="423"/>
      <c r="I21" s="92"/>
      <c r="J21" s="149"/>
      <c r="L21" s="42"/>
      <c r="M21" s="42"/>
      <c r="N21" s="155"/>
      <c r="O21" s="42"/>
      <c r="P21" s="42"/>
      <c r="Q21" s="42"/>
      <c r="R21" s="157"/>
      <c r="S21" s="42"/>
      <c r="T21" s="153"/>
      <c r="U21" s="42"/>
      <c r="V21" s="154"/>
      <c r="W21" s="42"/>
      <c r="X21" s="42"/>
    </row>
    <row r="22" spans="1:24" ht="15.95" customHeight="1" x14ac:dyDescent="0.25">
      <c r="A22" s="957">
        <v>1</v>
      </c>
      <c r="B22" s="148"/>
      <c r="C22" s="92"/>
      <c r="D22" s="922" t="s">
        <v>276</v>
      </c>
      <c r="E22" s="258"/>
      <c r="F22" s="92"/>
      <c r="G22" s="1219">
        <f>SUM(G18:G21)</f>
        <v>-7.5000000000000011E-2</v>
      </c>
      <c r="H22" s="423"/>
      <c r="I22" s="92"/>
      <c r="J22" s="149"/>
      <c r="L22" s="42"/>
      <c r="M22" s="42"/>
      <c r="N22" s="42"/>
      <c r="O22" s="42"/>
      <c r="P22" s="42"/>
      <c r="Q22" s="42"/>
      <c r="R22" s="157"/>
      <c r="S22" s="42"/>
      <c r="T22" s="153"/>
      <c r="U22" s="42"/>
      <c r="V22" s="154"/>
      <c r="W22" s="42"/>
      <c r="X22" s="42"/>
    </row>
    <row r="23" spans="1:24" ht="24" customHeight="1" thickBot="1" x14ac:dyDescent="0.3">
      <c r="A23" s="957">
        <v>1</v>
      </c>
      <c r="B23" s="148"/>
      <c r="C23" s="258"/>
      <c r="D23" s="3461" t="s">
        <v>280</v>
      </c>
      <c r="E23" s="3462" t="s">
        <v>11</v>
      </c>
      <c r="F23" s="3461"/>
      <c r="G23" s="3461"/>
      <c r="H23" s="3461"/>
      <c r="I23" s="258"/>
      <c r="J23" s="149"/>
      <c r="L23" s="42"/>
      <c r="M23" s="11"/>
      <c r="N23" s="12"/>
      <c r="O23" s="11"/>
      <c r="P23" s="11"/>
      <c r="Q23" s="12"/>
      <c r="R23" s="12"/>
      <c r="S23" s="12"/>
      <c r="T23" s="150"/>
      <c r="U23" s="12"/>
      <c r="V23" s="150"/>
      <c r="W23" s="11"/>
      <c r="X23" s="42"/>
    </row>
    <row r="24" spans="1:24" hidden="1" x14ac:dyDescent="0.25">
      <c r="A24" s="957">
        <f t="shared" ref="A24:A33" si="2">A6</f>
        <v>0</v>
      </c>
      <c r="B24" s="148"/>
      <c r="C24" s="92"/>
      <c r="D24" s="3283" t="str">
        <f>'Building RCN'!E6</f>
        <v>Mega Warehouse</v>
      </c>
      <c r="E24" s="3463">
        <f>'Building RCN'!E7</f>
        <v>329940</v>
      </c>
      <c r="F24" s="742"/>
      <c r="G24" s="3207">
        <f t="shared" ref="G24:G33" si="3">G6+(G6*dpCost_InsurableCostExclusionTotal)</f>
        <v>23495856.374250002</v>
      </c>
      <c r="H24" s="3464">
        <f>G24/E24</f>
        <v>71.212512500000003</v>
      </c>
      <c r="I24" s="92"/>
      <c r="J24" s="149"/>
      <c r="L24" s="42"/>
      <c r="M24" s="42"/>
      <c r="N24" s="42"/>
      <c r="O24" s="42"/>
      <c r="P24" s="42"/>
      <c r="Q24" s="42"/>
      <c r="R24" s="42"/>
      <c r="S24" s="42"/>
      <c r="T24" s="158"/>
      <c r="U24" s="42"/>
      <c r="V24" s="154"/>
      <c r="W24" s="42"/>
      <c r="X24" s="42"/>
    </row>
    <row r="25" spans="1:24" hidden="1" x14ac:dyDescent="0.25">
      <c r="A25" s="957">
        <f t="shared" si="2"/>
        <v>0</v>
      </c>
      <c r="B25" s="148"/>
      <c r="C25" s="92"/>
      <c r="D25" s="3283">
        <f>'Building RCN'!F6</f>
        <v>0</v>
      </c>
      <c r="E25" s="3463">
        <f>'Building RCN'!F7</f>
        <v>0</v>
      </c>
      <c r="F25" s="742"/>
      <c r="G25" s="3207">
        <f t="shared" si="3"/>
        <v>0</v>
      </c>
      <c r="H25" s="3464" t="e">
        <f t="shared" ref="H25:H33" si="4">G25/E25</f>
        <v>#DIV/0!</v>
      </c>
      <c r="I25" s="92"/>
      <c r="J25" s="149"/>
      <c r="L25" s="42"/>
      <c r="M25" s="42"/>
      <c r="N25" s="42"/>
      <c r="O25" s="42"/>
      <c r="P25" s="42"/>
      <c r="Q25" s="42"/>
      <c r="R25" s="42"/>
      <c r="S25" s="42"/>
      <c r="T25" s="158"/>
      <c r="U25" s="42"/>
      <c r="V25" s="154"/>
      <c r="W25" s="42"/>
      <c r="X25" s="42"/>
    </row>
    <row r="26" spans="1:24" hidden="1" x14ac:dyDescent="0.25">
      <c r="A26" s="957">
        <f t="shared" si="2"/>
        <v>0</v>
      </c>
      <c r="B26" s="148"/>
      <c r="C26" s="92"/>
      <c r="D26" s="3283">
        <f>'Building RCN'!G6</f>
        <v>0</v>
      </c>
      <c r="E26" s="3463">
        <f>'Building RCN'!G7</f>
        <v>0</v>
      </c>
      <c r="F26" s="742"/>
      <c r="G26" s="3207">
        <f t="shared" si="3"/>
        <v>0</v>
      </c>
      <c r="H26" s="3464" t="e">
        <f t="shared" si="4"/>
        <v>#DIV/0!</v>
      </c>
      <c r="I26" s="92"/>
      <c r="J26" s="149"/>
      <c r="L26" s="42"/>
      <c r="M26" s="42"/>
      <c r="N26" s="42"/>
      <c r="O26" s="42"/>
      <c r="P26" s="42"/>
      <c r="Q26" s="42"/>
      <c r="R26" s="42"/>
      <c r="S26" s="42"/>
      <c r="T26" s="158"/>
      <c r="U26" s="42"/>
      <c r="V26" s="154"/>
      <c r="W26" s="42"/>
      <c r="X26" s="42"/>
    </row>
    <row r="27" spans="1:24" hidden="1" x14ac:dyDescent="0.25">
      <c r="A27" s="957">
        <f t="shared" si="2"/>
        <v>0</v>
      </c>
      <c r="B27" s="148"/>
      <c r="C27" s="92"/>
      <c r="D27" s="3283">
        <f>'Building RCN'!H6</f>
        <v>0</v>
      </c>
      <c r="E27" s="3463">
        <f>'Building RCN'!H7</f>
        <v>0</v>
      </c>
      <c r="F27" s="742"/>
      <c r="G27" s="3207">
        <f t="shared" si="3"/>
        <v>0</v>
      </c>
      <c r="H27" s="3464" t="e">
        <f t="shared" si="4"/>
        <v>#DIV/0!</v>
      </c>
      <c r="I27" s="92"/>
      <c r="J27" s="149"/>
      <c r="L27" s="42"/>
      <c r="M27" s="42"/>
      <c r="N27" s="42"/>
      <c r="O27" s="42"/>
      <c r="P27" s="42"/>
      <c r="Q27" s="42"/>
      <c r="R27" s="42"/>
      <c r="S27" s="42"/>
      <c r="T27" s="158"/>
      <c r="U27" s="42"/>
      <c r="V27" s="154"/>
      <c r="W27" s="42"/>
      <c r="X27" s="42"/>
    </row>
    <row r="28" spans="1:24" hidden="1" x14ac:dyDescent="0.25">
      <c r="A28" s="957">
        <f t="shared" si="2"/>
        <v>0</v>
      </c>
      <c r="B28" s="148"/>
      <c r="C28" s="92"/>
      <c r="D28" s="3283">
        <f>'Building RCN'!I6</f>
        <v>0</v>
      </c>
      <c r="E28" s="3463">
        <f>'Building RCN'!I7</f>
        <v>0</v>
      </c>
      <c r="F28" s="742"/>
      <c r="G28" s="3207">
        <f t="shared" si="3"/>
        <v>0</v>
      </c>
      <c r="H28" s="3464" t="e">
        <f t="shared" si="4"/>
        <v>#DIV/0!</v>
      </c>
      <c r="I28" s="92"/>
      <c r="J28" s="149"/>
      <c r="L28" s="42"/>
      <c r="M28" s="42"/>
      <c r="N28" s="42"/>
      <c r="O28" s="42"/>
      <c r="P28" s="42"/>
      <c r="Q28" s="42"/>
      <c r="R28" s="42"/>
      <c r="S28" s="42"/>
      <c r="T28" s="158"/>
      <c r="U28" s="42"/>
      <c r="V28" s="154"/>
      <c r="W28" s="42"/>
      <c r="X28" s="42"/>
    </row>
    <row r="29" spans="1:24" hidden="1" x14ac:dyDescent="0.25">
      <c r="A29" s="957">
        <f t="shared" si="2"/>
        <v>0</v>
      </c>
      <c r="B29" s="148"/>
      <c r="C29" s="92"/>
      <c r="D29" s="3283">
        <f>'Building RCN'!J6</f>
        <v>0</v>
      </c>
      <c r="E29" s="3463">
        <f>'Building RCN'!J7</f>
        <v>0</v>
      </c>
      <c r="F29" s="742"/>
      <c r="G29" s="3207">
        <f t="shared" si="3"/>
        <v>0</v>
      </c>
      <c r="H29" s="3464" t="e">
        <f t="shared" si="4"/>
        <v>#DIV/0!</v>
      </c>
      <c r="I29" s="92"/>
      <c r="J29" s="149"/>
      <c r="L29" s="42"/>
      <c r="M29" s="42"/>
      <c r="N29" s="42"/>
      <c r="O29" s="42"/>
      <c r="P29" s="42"/>
      <c r="Q29" s="42"/>
      <c r="R29" s="42"/>
      <c r="S29" s="42"/>
      <c r="T29" s="158"/>
      <c r="U29" s="42"/>
      <c r="V29" s="154"/>
      <c r="W29" s="42"/>
      <c r="X29" s="42"/>
    </row>
    <row r="30" spans="1:24" hidden="1" x14ac:dyDescent="0.25">
      <c r="A30" s="957">
        <f t="shared" si="2"/>
        <v>0</v>
      </c>
      <c r="B30" s="148"/>
      <c r="C30" s="92"/>
      <c r="D30" s="3283">
        <f>'Building RCN'!K6</f>
        <v>0</v>
      </c>
      <c r="E30" s="3463">
        <f>'Building RCN'!K7</f>
        <v>0</v>
      </c>
      <c r="F30" s="742"/>
      <c r="G30" s="3207">
        <f t="shared" si="3"/>
        <v>0</v>
      </c>
      <c r="H30" s="3464" t="e">
        <f t="shared" si="4"/>
        <v>#DIV/0!</v>
      </c>
      <c r="I30" s="92"/>
      <c r="J30" s="149"/>
      <c r="L30" s="42"/>
      <c r="M30" s="42"/>
      <c r="N30" s="42"/>
      <c r="O30" s="42"/>
      <c r="P30" s="42"/>
      <c r="Q30" s="42"/>
      <c r="R30" s="42"/>
      <c r="S30" s="42"/>
      <c r="T30" s="158"/>
      <c r="U30" s="42"/>
      <c r="V30" s="154"/>
      <c r="W30" s="42"/>
      <c r="X30" s="42"/>
    </row>
    <row r="31" spans="1:24" hidden="1" x14ac:dyDescent="0.25">
      <c r="A31" s="957">
        <f t="shared" si="2"/>
        <v>0</v>
      </c>
      <c r="B31" s="148"/>
      <c r="C31" s="92"/>
      <c r="D31" s="3283">
        <f>'Building RCN'!L6</f>
        <v>0</v>
      </c>
      <c r="E31" s="3463">
        <f>'Building RCN'!L7</f>
        <v>0</v>
      </c>
      <c r="F31" s="742"/>
      <c r="G31" s="3207">
        <f t="shared" si="3"/>
        <v>0</v>
      </c>
      <c r="H31" s="3464" t="e">
        <f t="shared" si="4"/>
        <v>#DIV/0!</v>
      </c>
      <c r="I31" s="92"/>
      <c r="J31" s="149"/>
      <c r="L31" s="42"/>
      <c r="M31" s="42"/>
      <c r="N31" s="42"/>
      <c r="O31" s="42"/>
      <c r="P31" s="42"/>
      <c r="Q31" s="42"/>
      <c r="R31" s="42"/>
      <c r="S31" s="42"/>
      <c r="T31" s="158"/>
      <c r="U31" s="42"/>
      <c r="V31" s="154"/>
      <c r="W31" s="42"/>
      <c r="X31" s="42"/>
    </row>
    <row r="32" spans="1:24" hidden="1" x14ac:dyDescent="0.25">
      <c r="A32" s="957">
        <f t="shared" si="2"/>
        <v>0</v>
      </c>
      <c r="B32" s="148"/>
      <c r="C32" s="92"/>
      <c r="D32" s="3283">
        <f>'Building RCN'!M6</f>
        <v>0</v>
      </c>
      <c r="E32" s="3463">
        <f>'Building RCN'!M7</f>
        <v>0</v>
      </c>
      <c r="F32" s="742"/>
      <c r="G32" s="3207">
        <f t="shared" si="3"/>
        <v>0</v>
      </c>
      <c r="H32" s="3464" t="e">
        <f t="shared" si="4"/>
        <v>#DIV/0!</v>
      </c>
      <c r="I32" s="92"/>
      <c r="J32" s="149"/>
      <c r="L32" s="42"/>
      <c r="M32" s="42"/>
      <c r="N32" s="42"/>
      <c r="O32" s="42"/>
      <c r="P32" s="42"/>
      <c r="Q32" s="42"/>
      <c r="R32" s="42"/>
      <c r="S32" s="42"/>
      <c r="T32" s="158"/>
      <c r="U32" s="42"/>
      <c r="V32" s="154"/>
      <c r="W32" s="42"/>
      <c r="X32" s="42"/>
    </row>
    <row r="33" spans="1:24" ht="15" hidden="1" thickBot="1" x14ac:dyDescent="0.3">
      <c r="A33" s="957">
        <f t="shared" si="2"/>
        <v>0</v>
      </c>
      <c r="B33" s="148"/>
      <c r="C33" s="92"/>
      <c r="D33" s="3283">
        <f>'Building RCN'!N6</f>
        <v>0</v>
      </c>
      <c r="E33" s="3466">
        <f>'Building RCN'!N7</f>
        <v>0</v>
      </c>
      <c r="F33" s="742"/>
      <c r="G33" s="3207">
        <f t="shared" si="3"/>
        <v>0</v>
      </c>
      <c r="H33" s="3464" t="e">
        <f t="shared" si="4"/>
        <v>#DIV/0!</v>
      </c>
      <c r="I33" s="92"/>
      <c r="J33" s="149"/>
      <c r="L33" s="42"/>
      <c r="M33" s="42"/>
      <c r="N33" s="42"/>
      <c r="O33" s="42"/>
      <c r="P33" s="42"/>
      <c r="Q33" s="42"/>
      <c r="R33" s="42"/>
      <c r="S33" s="42"/>
      <c r="T33" s="158"/>
      <c r="U33" s="42"/>
      <c r="V33" s="154"/>
      <c r="W33" s="42"/>
      <c r="X33" s="42"/>
    </row>
    <row r="34" spans="1:24" ht="15.95" customHeight="1" thickBot="1" x14ac:dyDescent="0.3">
      <c r="A34" s="957">
        <v>1</v>
      </c>
      <c r="B34" s="148"/>
      <c r="C34" s="92"/>
      <c r="D34" s="3477" t="s">
        <v>1305</v>
      </c>
      <c r="E34" s="3478">
        <f>SUM(E24:E33)</f>
        <v>329940</v>
      </c>
      <c r="F34" s="3479"/>
      <c r="G34" s="3480">
        <f>MROUND(SUM(G24:G33),INDEX(Rounding_Options,MATCH(M34,Rounding_Label,0),2))</f>
        <v>23500000</v>
      </c>
      <c r="H34" s="3481">
        <f>G34/E34</f>
        <v>71.225071225071218</v>
      </c>
      <c r="I34" s="92"/>
      <c r="J34" s="149"/>
      <c r="L34" s="150" t="s">
        <v>991</v>
      </c>
      <c r="M34" s="702" t="s">
        <v>1037</v>
      </c>
      <c r="N34" s="42"/>
      <c r="O34" s="42"/>
      <c r="P34" s="42"/>
      <c r="Q34" s="42"/>
      <c r="R34" s="42"/>
      <c r="S34" s="42"/>
      <c r="T34" s="158"/>
      <c r="U34" s="42"/>
      <c r="V34" s="154"/>
      <c r="W34" s="42"/>
      <c r="X34" s="42"/>
    </row>
    <row r="35" spans="1:24" ht="24" hidden="1" customHeight="1" x14ac:dyDescent="0.25">
      <c r="A35" s="957">
        <f>IF(InsurableCost_Method=1,0,1)</f>
        <v>0</v>
      </c>
      <c r="B35" s="148"/>
      <c r="C35" s="92"/>
      <c r="D35" s="3482" t="s">
        <v>1193</v>
      </c>
      <c r="E35" s="3483"/>
      <c r="F35" s="146"/>
      <c r="G35" s="3484"/>
      <c r="H35" s="3485"/>
      <c r="I35" s="92"/>
      <c r="J35" s="149"/>
      <c r="L35" s="150"/>
      <c r="M35" s="13"/>
      <c r="N35" s="42"/>
      <c r="O35" s="42"/>
      <c r="P35" s="42"/>
      <c r="Q35" s="42"/>
      <c r="R35" s="42"/>
      <c r="S35" s="42"/>
      <c r="T35" s="158"/>
      <c r="U35" s="42"/>
      <c r="V35" s="154"/>
      <c r="W35" s="42"/>
      <c r="X35" s="42"/>
    </row>
    <row r="36" spans="1:24" hidden="1" x14ac:dyDescent="0.25">
      <c r="A36" s="957">
        <f>IF(InsurableCost_Method=1,0,1)</f>
        <v>0</v>
      </c>
      <c r="B36" s="148"/>
      <c r="C36" s="92"/>
      <c r="D36" s="3292" t="s">
        <v>17</v>
      </c>
      <c r="E36" s="258"/>
      <c r="F36" s="92"/>
      <c r="G36" s="3486">
        <f>Cost_EffectiveAge_WA</f>
        <v>0</v>
      </c>
      <c r="H36" s="3487"/>
      <c r="I36" s="92"/>
      <c r="J36" s="149"/>
      <c r="L36" s="150"/>
      <c r="M36" s="13"/>
      <c r="N36" s="42"/>
      <c r="O36" s="42"/>
      <c r="P36" s="42"/>
      <c r="Q36" s="42"/>
      <c r="R36" s="42"/>
      <c r="S36" s="42"/>
      <c r="T36" s="158"/>
      <c r="U36" s="42"/>
      <c r="V36" s="154"/>
      <c r="W36" s="42"/>
      <c r="X36" s="42"/>
    </row>
    <row r="37" spans="1:24" hidden="1" x14ac:dyDescent="0.25">
      <c r="A37" s="957">
        <f>IF(InsurableCost_Method=1,0,1)</f>
        <v>0</v>
      </c>
      <c r="B37" s="148"/>
      <c r="C37" s="92"/>
      <c r="D37" s="3488" t="s">
        <v>244</v>
      </c>
      <c r="E37" s="258"/>
      <c r="F37" s="92"/>
      <c r="G37" s="3489">
        <f>Subject_AgeTotalEco</f>
        <v>45</v>
      </c>
      <c r="H37" s="3487"/>
      <c r="I37" s="92"/>
      <c r="J37" s="149"/>
      <c r="L37" s="150"/>
      <c r="M37" s="13"/>
      <c r="N37" s="42"/>
      <c r="O37" s="42"/>
      <c r="P37" s="42"/>
      <c r="Q37" s="42"/>
      <c r="R37" s="42"/>
      <c r="S37" s="42"/>
      <c r="T37" s="158"/>
      <c r="U37" s="42"/>
      <c r="V37" s="154"/>
      <c r="W37" s="42"/>
      <c r="X37" s="42"/>
    </row>
    <row r="38" spans="1:24" ht="15.95" hidden="1" customHeight="1" x14ac:dyDescent="0.25">
      <c r="A38" s="957">
        <f>IF(InsurableCost_Method=1,0,1)</f>
        <v>0</v>
      </c>
      <c r="B38" s="148"/>
      <c r="C38" s="92"/>
      <c r="D38" s="3379" t="s">
        <v>1194</v>
      </c>
      <c r="E38" s="258"/>
      <c r="F38" s="92"/>
      <c r="G38" s="3286">
        <f>G36/G37</f>
        <v>0</v>
      </c>
      <c r="H38" s="3487"/>
      <c r="I38" s="92"/>
      <c r="J38" s="149"/>
      <c r="L38" s="150"/>
      <c r="M38" s="13"/>
      <c r="N38" s="42"/>
      <c r="O38" s="42"/>
      <c r="P38" s="42"/>
      <c r="Q38" s="42"/>
      <c r="R38" s="42"/>
      <c r="S38" s="42"/>
      <c r="T38" s="158"/>
      <c r="U38" s="42"/>
      <c r="V38" s="154"/>
      <c r="W38" s="42"/>
      <c r="X38" s="42"/>
    </row>
    <row r="39" spans="1:24" ht="24" hidden="1" customHeight="1" x14ac:dyDescent="0.25">
      <c r="A39" s="957">
        <f>IF(InsurableCost_Method=1,0,1)</f>
        <v>0</v>
      </c>
      <c r="B39" s="148"/>
      <c r="C39" s="92"/>
      <c r="D39" s="3461" t="s">
        <v>280</v>
      </c>
      <c r="E39" s="3462" t="s">
        <v>11</v>
      </c>
      <c r="F39" s="3490"/>
      <c r="G39" s="3490"/>
      <c r="H39" s="3490"/>
      <c r="I39" s="92"/>
      <c r="J39" s="149"/>
      <c r="L39" s="150"/>
      <c r="M39" s="13"/>
      <c r="N39" s="42"/>
      <c r="O39" s="42"/>
      <c r="P39" s="42"/>
      <c r="Q39" s="42"/>
      <c r="R39" s="42"/>
      <c r="S39" s="42"/>
      <c r="T39" s="158"/>
      <c r="U39" s="42"/>
      <c r="V39" s="154"/>
      <c r="W39" s="42"/>
      <c r="X39" s="42"/>
    </row>
    <row r="40" spans="1:24" hidden="1" x14ac:dyDescent="0.25">
      <c r="A40" s="957">
        <f t="shared" ref="A40:A49" si="5">IF(AND(InsurableCost_Method=2,A6=1),1,0)</f>
        <v>0</v>
      </c>
      <c r="B40" s="148"/>
      <c r="C40" s="92"/>
      <c r="D40" s="3283" t="str">
        <f>'Building RCN'!E6</f>
        <v>Mega Warehouse</v>
      </c>
      <c r="E40" s="3463">
        <f>'Building RCN'!E7</f>
        <v>329940</v>
      </c>
      <c r="F40" s="742"/>
      <c r="G40" s="3207">
        <f t="shared" ref="G40:G49" si="6">G6+(G6*dpCost_InsurableCostExclusionTotal)+(-dpInsurable_IncurableLongCost_Percent*(G6+(G6*dpCost_InsurableCostExclusionTotal)))</f>
        <v>23495856.374250002</v>
      </c>
      <c r="H40" s="3464">
        <f>G40/E40</f>
        <v>71.212512500000003</v>
      </c>
      <c r="I40" s="92"/>
      <c r="J40" s="149"/>
      <c r="L40" s="150"/>
      <c r="M40" s="13"/>
      <c r="N40" s="42"/>
      <c r="O40" s="42"/>
      <c r="P40" s="42"/>
      <c r="Q40" s="42"/>
      <c r="R40" s="42"/>
      <c r="S40" s="42"/>
      <c r="T40" s="158"/>
      <c r="U40" s="42"/>
      <c r="V40" s="154"/>
      <c r="W40" s="42"/>
      <c r="X40" s="42"/>
    </row>
    <row r="41" spans="1:24" hidden="1" x14ac:dyDescent="0.25">
      <c r="A41" s="957">
        <f t="shared" si="5"/>
        <v>0</v>
      </c>
      <c r="B41" s="148"/>
      <c r="C41" s="92"/>
      <c r="D41" s="3283">
        <f>'Building RCN'!F6</f>
        <v>0</v>
      </c>
      <c r="E41" s="3463">
        <f>'Building RCN'!F7</f>
        <v>0</v>
      </c>
      <c r="F41" s="742"/>
      <c r="G41" s="3207">
        <f t="shared" si="6"/>
        <v>0</v>
      </c>
      <c r="H41" s="3464" t="e">
        <f t="shared" ref="H41:H49" si="7">G41/E41</f>
        <v>#DIV/0!</v>
      </c>
      <c r="I41" s="92"/>
      <c r="J41" s="149"/>
      <c r="L41" s="150"/>
      <c r="M41" s="13"/>
      <c r="N41" s="42"/>
      <c r="O41" s="42"/>
      <c r="P41" s="42"/>
      <c r="Q41" s="42"/>
      <c r="R41" s="42"/>
      <c r="S41" s="42"/>
      <c r="T41" s="158"/>
      <c r="U41" s="42"/>
      <c r="V41" s="154"/>
      <c r="W41" s="42"/>
      <c r="X41" s="42"/>
    </row>
    <row r="42" spans="1:24" hidden="1" x14ac:dyDescent="0.25">
      <c r="A42" s="957">
        <f t="shared" si="5"/>
        <v>0</v>
      </c>
      <c r="B42" s="148"/>
      <c r="C42" s="92"/>
      <c r="D42" s="3283">
        <f>'Building RCN'!G6</f>
        <v>0</v>
      </c>
      <c r="E42" s="3463">
        <f>'Building RCN'!G7</f>
        <v>0</v>
      </c>
      <c r="F42" s="742"/>
      <c r="G42" s="3207">
        <f t="shared" si="6"/>
        <v>0</v>
      </c>
      <c r="H42" s="3464" t="e">
        <f t="shared" si="7"/>
        <v>#DIV/0!</v>
      </c>
      <c r="I42" s="92"/>
      <c r="J42" s="149"/>
      <c r="L42" s="150"/>
      <c r="M42" s="13"/>
      <c r="N42" s="42"/>
      <c r="O42" s="42"/>
      <c r="P42" s="42"/>
      <c r="Q42" s="42"/>
      <c r="R42" s="42"/>
      <c r="S42" s="42"/>
      <c r="T42" s="158"/>
      <c r="U42" s="42"/>
      <c r="V42" s="154"/>
      <c r="W42" s="42"/>
      <c r="X42" s="42"/>
    </row>
    <row r="43" spans="1:24" hidden="1" x14ac:dyDescent="0.25">
      <c r="A43" s="957">
        <f t="shared" si="5"/>
        <v>0</v>
      </c>
      <c r="B43" s="148"/>
      <c r="C43" s="92"/>
      <c r="D43" s="3283">
        <f>'Building RCN'!H6</f>
        <v>0</v>
      </c>
      <c r="E43" s="3463">
        <f>'Building RCN'!H7</f>
        <v>0</v>
      </c>
      <c r="F43" s="742"/>
      <c r="G43" s="3207">
        <f t="shared" si="6"/>
        <v>0</v>
      </c>
      <c r="H43" s="3464" t="e">
        <f t="shared" si="7"/>
        <v>#DIV/0!</v>
      </c>
      <c r="I43" s="92"/>
      <c r="J43" s="149"/>
      <c r="L43" s="150"/>
      <c r="M43" s="13"/>
      <c r="N43" s="42"/>
      <c r="O43" s="42"/>
      <c r="P43" s="42"/>
      <c r="Q43" s="42"/>
      <c r="R43" s="42"/>
      <c r="S43" s="42"/>
      <c r="T43" s="158"/>
      <c r="U43" s="42"/>
      <c r="V43" s="154"/>
      <c r="W43" s="42"/>
      <c r="X43" s="42"/>
    </row>
    <row r="44" spans="1:24" hidden="1" x14ac:dyDescent="0.25">
      <c r="A44" s="957">
        <f t="shared" si="5"/>
        <v>0</v>
      </c>
      <c r="B44" s="148"/>
      <c r="C44" s="92"/>
      <c r="D44" s="3283">
        <f>'Building RCN'!I6</f>
        <v>0</v>
      </c>
      <c r="E44" s="3463">
        <f>'Building RCN'!I7</f>
        <v>0</v>
      </c>
      <c r="F44" s="742"/>
      <c r="G44" s="3207">
        <f t="shared" si="6"/>
        <v>0</v>
      </c>
      <c r="H44" s="3464" t="e">
        <f t="shared" si="7"/>
        <v>#DIV/0!</v>
      </c>
      <c r="I44" s="92"/>
      <c r="J44" s="149"/>
      <c r="L44" s="150"/>
      <c r="M44" s="13"/>
      <c r="N44" s="42"/>
      <c r="O44" s="42"/>
      <c r="P44" s="42"/>
      <c r="Q44" s="42"/>
      <c r="R44" s="42"/>
      <c r="S44" s="42"/>
      <c r="T44" s="158"/>
      <c r="U44" s="42"/>
      <c r="V44" s="154"/>
      <c r="W44" s="42"/>
      <c r="X44" s="42"/>
    </row>
    <row r="45" spans="1:24" hidden="1" x14ac:dyDescent="0.25">
      <c r="A45" s="957">
        <f t="shared" si="5"/>
        <v>0</v>
      </c>
      <c r="B45" s="148"/>
      <c r="C45" s="92"/>
      <c r="D45" s="3283">
        <f>'Building RCN'!J6</f>
        <v>0</v>
      </c>
      <c r="E45" s="3463">
        <f>'Building RCN'!J7</f>
        <v>0</v>
      </c>
      <c r="F45" s="742"/>
      <c r="G45" s="3207">
        <f t="shared" si="6"/>
        <v>0</v>
      </c>
      <c r="H45" s="3464" t="e">
        <f t="shared" si="7"/>
        <v>#DIV/0!</v>
      </c>
      <c r="I45" s="92"/>
      <c r="J45" s="149"/>
      <c r="L45" s="150"/>
      <c r="M45" s="13"/>
      <c r="N45" s="42"/>
      <c r="O45" s="42"/>
      <c r="P45" s="42"/>
      <c r="Q45" s="42"/>
      <c r="R45" s="42"/>
      <c r="S45" s="42"/>
      <c r="T45" s="158"/>
      <c r="U45" s="42"/>
      <c r="V45" s="154"/>
      <c r="W45" s="42"/>
      <c r="X45" s="42"/>
    </row>
    <row r="46" spans="1:24" hidden="1" x14ac:dyDescent="0.25">
      <c r="A46" s="957">
        <f t="shared" si="5"/>
        <v>0</v>
      </c>
      <c r="B46" s="148"/>
      <c r="C46" s="92"/>
      <c r="D46" s="3283">
        <f>'Building RCN'!K6</f>
        <v>0</v>
      </c>
      <c r="E46" s="3463">
        <f>'Building RCN'!K7</f>
        <v>0</v>
      </c>
      <c r="F46" s="742"/>
      <c r="G46" s="3207">
        <f t="shared" si="6"/>
        <v>0</v>
      </c>
      <c r="H46" s="3464" t="e">
        <f t="shared" si="7"/>
        <v>#DIV/0!</v>
      </c>
      <c r="I46" s="92"/>
      <c r="J46" s="149"/>
      <c r="L46" s="150"/>
      <c r="M46" s="13"/>
      <c r="N46" s="42"/>
      <c r="O46" s="42"/>
      <c r="P46" s="42"/>
      <c r="Q46" s="42"/>
      <c r="R46" s="42"/>
      <c r="S46" s="42"/>
      <c r="T46" s="158"/>
      <c r="U46" s="42"/>
      <c r="V46" s="154"/>
      <c r="W46" s="42"/>
      <c r="X46" s="42"/>
    </row>
    <row r="47" spans="1:24" hidden="1" x14ac:dyDescent="0.25">
      <c r="A47" s="957">
        <f t="shared" si="5"/>
        <v>0</v>
      </c>
      <c r="B47" s="148"/>
      <c r="C47" s="92"/>
      <c r="D47" s="3283">
        <f>'Building RCN'!L6</f>
        <v>0</v>
      </c>
      <c r="E47" s="3463">
        <f>'Building RCN'!L7</f>
        <v>0</v>
      </c>
      <c r="F47" s="742"/>
      <c r="G47" s="3207">
        <f t="shared" si="6"/>
        <v>0</v>
      </c>
      <c r="H47" s="3464" t="e">
        <f t="shared" si="7"/>
        <v>#DIV/0!</v>
      </c>
      <c r="I47" s="92"/>
      <c r="J47" s="149"/>
      <c r="L47" s="150"/>
      <c r="M47" s="13"/>
      <c r="N47" s="42"/>
      <c r="O47" s="42"/>
      <c r="P47" s="42"/>
      <c r="Q47" s="42"/>
      <c r="R47" s="42"/>
      <c r="S47" s="42"/>
      <c r="T47" s="158"/>
      <c r="U47" s="42"/>
      <c r="V47" s="154"/>
      <c r="W47" s="42"/>
      <c r="X47" s="42"/>
    </row>
    <row r="48" spans="1:24" hidden="1" x14ac:dyDescent="0.25">
      <c r="A48" s="957">
        <f t="shared" si="5"/>
        <v>0</v>
      </c>
      <c r="B48" s="148"/>
      <c r="C48" s="92"/>
      <c r="D48" s="3283">
        <f>'Building RCN'!M6</f>
        <v>0</v>
      </c>
      <c r="E48" s="3463">
        <f>'Building RCN'!M7</f>
        <v>0</v>
      </c>
      <c r="F48" s="742"/>
      <c r="G48" s="3207">
        <f t="shared" si="6"/>
        <v>0</v>
      </c>
      <c r="H48" s="3464" t="e">
        <f t="shared" si="7"/>
        <v>#DIV/0!</v>
      </c>
      <c r="I48" s="92"/>
      <c r="J48" s="149"/>
      <c r="L48" s="150"/>
      <c r="M48" s="13"/>
      <c r="N48" s="42"/>
      <c r="O48" s="42"/>
      <c r="P48" s="42"/>
      <c r="Q48" s="42"/>
      <c r="R48" s="42"/>
      <c r="S48" s="42"/>
      <c r="T48" s="158"/>
      <c r="U48" s="42"/>
      <c r="V48" s="154"/>
      <c r="W48" s="42"/>
      <c r="X48" s="42"/>
    </row>
    <row r="49" spans="1:24" hidden="1" x14ac:dyDescent="0.25">
      <c r="A49" s="957">
        <f t="shared" si="5"/>
        <v>0</v>
      </c>
      <c r="B49" s="148"/>
      <c r="C49" s="92"/>
      <c r="D49" s="3283">
        <f>'Building RCN'!N6</f>
        <v>0</v>
      </c>
      <c r="E49" s="3466">
        <f>'Building RCN'!N7</f>
        <v>0</v>
      </c>
      <c r="F49" s="742"/>
      <c r="G49" s="3207">
        <f t="shared" si="6"/>
        <v>0</v>
      </c>
      <c r="H49" s="3464" t="e">
        <f t="shared" si="7"/>
        <v>#DIV/0!</v>
      </c>
      <c r="I49" s="92"/>
      <c r="J49" s="149"/>
      <c r="L49" s="150"/>
      <c r="M49" s="13"/>
      <c r="N49" s="42"/>
      <c r="O49" s="42"/>
      <c r="P49" s="42"/>
      <c r="Q49" s="42"/>
      <c r="R49" s="42"/>
      <c r="S49" s="42"/>
      <c r="T49" s="158"/>
      <c r="U49" s="42"/>
      <c r="V49" s="154"/>
      <c r="W49" s="42"/>
      <c r="X49" s="42"/>
    </row>
    <row r="50" spans="1:24" ht="15.95" hidden="1" customHeight="1" thickBot="1" x14ac:dyDescent="0.3">
      <c r="A50" s="957">
        <f>IF(InsurableCost_Method=2,1,0)</f>
        <v>0</v>
      </c>
      <c r="B50" s="148"/>
      <c r="C50" s="92"/>
      <c r="D50" s="3477" t="s">
        <v>1306</v>
      </c>
      <c r="E50" s="3478">
        <f>SUM(E40:E49)</f>
        <v>329940</v>
      </c>
      <c r="F50" s="3479"/>
      <c r="G50" s="3480">
        <f>MROUND(SUM(G40:G49),INDEX(Rounding_Options,MATCH(M34,Rounding_Label,0),2))</f>
        <v>23500000</v>
      </c>
      <c r="H50" s="3481">
        <f>G50/E50</f>
        <v>71.225071225071218</v>
      </c>
      <c r="I50" s="92"/>
      <c r="J50" s="149"/>
      <c r="L50" s="150"/>
      <c r="M50" s="13"/>
      <c r="N50" s="42"/>
      <c r="O50" s="42"/>
      <c r="P50" s="42"/>
      <c r="Q50" s="42"/>
      <c r="R50" s="42"/>
      <c r="S50" s="42"/>
      <c r="T50" s="158"/>
      <c r="U50" s="42"/>
      <c r="V50" s="154"/>
      <c r="W50" s="42"/>
      <c r="X50" s="42"/>
    </row>
    <row r="51" spans="1:24" s="36" customFormat="1" ht="20.100000000000001" customHeight="1" thickBot="1" x14ac:dyDescent="0.3">
      <c r="A51" s="243"/>
      <c r="B51" s="650"/>
      <c r="C51" s="641"/>
      <c r="D51" s="648" t="s">
        <v>1172</v>
      </c>
      <c r="E51" s="923"/>
      <c r="F51" s="923"/>
      <c r="G51" s="924"/>
      <c r="H51" s="924"/>
      <c r="I51" s="641"/>
      <c r="J51" s="651"/>
      <c r="L51" s="652"/>
      <c r="M51" s="652"/>
      <c r="N51" s="652"/>
      <c r="O51" s="652"/>
      <c r="P51" s="652"/>
      <c r="Q51" s="652"/>
      <c r="R51" s="652"/>
      <c r="S51" s="652"/>
      <c r="T51" s="652"/>
      <c r="U51" s="652"/>
      <c r="V51" s="652"/>
      <c r="W51" s="652"/>
      <c r="X51" s="652"/>
    </row>
  </sheetData>
  <mergeCells count="2">
    <mergeCell ref="M4:O4"/>
    <mergeCell ref="F5:H5"/>
  </mergeCells>
  <dataValidations count="1">
    <dataValidation type="list" allowBlank="1" showInputMessage="1" showErrorMessage="1" error="Invalid Option - Please Select from the List" prompt="Select Rounding Option" sqref="M34:M50" xr:uid="{00000000-0002-0000-1300-000000000000}">
      <formula1>Rounding_Label</formula1>
    </dataValidation>
  </dataValidations>
  <printOptions horizontalCentered="1"/>
  <pageMargins left="0.5" right="0.5"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error="Invalid Option - Please Select from the List" prompt="Select Required Insurable Cost Method" xr:uid="{00000000-0002-0000-1300-000001000000}">
          <x14:formula1>
            <xm:f>'Selection Tables'!$H$37:$H$38</xm:f>
          </x14:formula1>
          <xm:sqref>M4</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tabColor rgb="FF00B050"/>
  </sheetPr>
  <dimension ref="A1:AO188"/>
  <sheetViews>
    <sheetView workbookViewId="0">
      <selection activeCell="D4" sqref="D4"/>
    </sheetView>
  </sheetViews>
  <sheetFormatPr defaultRowHeight="14.25" x14ac:dyDescent="0.25"/>
  <cols>
    <col min="1" max="1" width="5.7109375" customWidth="1"/>
    <col min="2" max="2" width="1.7109375" customWidth="1"/>
    <col min="3" max="3" width="0.85546875" customWidth="1"/>
    <col min="4" max="4" width="25.7109375" customWidth="1"/>
    <col min="5" max="5" width="16.28515625" customWidth="1"/>
    <col min="6" max="10" width="15.28515625" style="1838" customWidth="1"/>
    <col min="11" max="11" width="16.28515625" style="1995" customWidth="1"/>
    <col min="12" max="12" width="0.85546875" customWidth="1"/>
    <col min="13" max="13" width="1.7109375" customWidth="1"/>
    <col min="14" max="14" width="5.7109375" customWidth="1"/>
    <col min="15" max="15" width="1.7109375" customWidth="1"/>
    <col min="16" max="16" width="0.85546875" customWidth="1"/>
    <col min="17" max="17" width="20.7109375" customWidth="1"/>
    <col min="18" max="18" width="17.7109375" customWidth="1"/>
    <col min="19" max="19" width="1.7109375" customWidth="1"/>
    <col min="20" max="20" width="12.7109375" customWidth="1"/>
    <col min="21" max="21" width="1.7109375" customWidth="1"/>
    <col min="22" max="22" width="13.7109375" customWidth="1"/>
    <col min="23" max="23" width="1.7109375" customWidth="1"/>
    <col min="24" max="24" width="13.7109375" customWidth="1"/>
    <col min="25" max="25" width="0.85546875" customWidth="1"/>
    <col min="26" max="26" width="1.7109375" customWidth="1"/>
    <col min="27" max="27" width="5.7109375" customWidth="1"/>
    <col min="28" max="29" width="10.7109375" customWidth="1"/>
    <col min="30" max="30" width="5.7109375" customWidth="1"/>
    <col min="31" max="31" width="1.7109375" customWidth="1"/>
    <col min="32" max="32" width="0.85546875" customWidth="1"/>
    <col min="33" max="33" width="35.7109375" customWidth="1"/>
    <col min="34" max="34" width="2.7109375" customWidth="1"/>
    <col min="35" max="35" width="8.7109375" customWidth="1"/>
    <col min="36" max="36" width="0.85546875" customWidth="1"/>
    <col min="37" max="37" width="1.7109375" customWidth="1"/>
    <col min="38" max="38" width="5.7109375" customWidth="1"/>
    <col min="42" max="133" width="8.85546875" customWidth="1"/>
  </cols>
  <sheetData>
    <row r="1" spans="1:41" ht="60" customHeight="1" x14ac:dyDescent="0.25">
      <c r="A1" s="243"/>
      <c r="B1" s="10"/>
      <c r="C1" s="10"/>
      <c r="D1" s="10"/>
      <c r="E1" s="13"/>
      <c r="F1" s="1774"/>
      <c r="G1" s="1774"/>
      <c r="H1" s="1807"/>
      <c r="I1" s="1774"/>
      <c r="J1" s="1774"/>
      <c r="K1" s="1943"/>
      <c r="L1" s="13"/>
      <c r="M1" s="10"/>
      <c r="N1" s="32"/>
      <c r="O1" s="32"/>
      <c r="P1" s="32"/>
      <c r="Q1" s="32"/>
      <c r="R1" s="32"/>
      <c r="S1" s="32"/>
      <c r="T1" s="10"/>
      <c r="U1" s="10"/>
      <c r="V1" s="10"/>
      <c r="W1" s="10"/>
      <c r="X1" s="10"/>
      <c r="Y1" s="10"/>
      <c r="Z1" s="10"/>
      <c r="AA1" s="10"/>
      <c r="AB1" s="10"/>
      <c r="AC1" s="10"/>
      <c r="AD1" s="10"/>
      <c r="AE1" s="10"/>
      <c r="AF1" s="10"/>
      <c r="AG1" s="10"/>
      <c r="AH1" s="10"/>
      <c r="AI1" s="10"/>
      <c r="AJ1" s="10"/>
      <c r="AK1" s="10"/>
      <c r="AL1" s="10"/>
      <c r="AM1" s="10"/>
      <c r="AN1" s="10"/>
      <c r="AO1" s="10"/>
    </row>
    <row r="2" spans="1:41" ht="27" customHeight="1" x14ac:dyDescent="0.25">
      <c r="A2" s="243"/>
      <c r="B2" s="10"/>
      <c r="C2" s="10"/>
      <c r="D2" s="10"/>
      <c r="E2" s="667"/>
      <c r="F2" s="1774"/>
      <c r="G2" s="1774"/>
      <c r="H2" s="1807"/>
      <c r="I2" s="1774"/>
      <c r="J2" s="1774"/>
      <c r="K2" s="1943"/>
      <c r="L2" s="13"/>
      <c r="M2" s="10"/>
      <c r="N2" s="32"/>
      <c r="O2" s="32"/>
      <c r="P2" s="32"/>
      <c r="Q2" s="32"/>
      <c r="R2" s="32"/>
      <c r="S2" s="32"/>
      <c r="T2" s="10"/>
      <c r="U2" s="10"/>
      <c r="V2" s="10"/>
      <c r="W2" s="10"/>
      <c r="X2" s="10"/>
      <c r="Y2" s="10"/>
      <c r="Z2" s="10"/>
      <c r="AA2" s="10"/>
      <c r="AB2" s="10"/>
      <c r="AC2" s="10"/>
      <c r="AD2" s="10"/>
      <c r="AE2" s="10"/>
      <c r="AF2" s="10"/>
      <c r="AG2" s="10"/>
      <c r="AH2" s="10"/>
      <c r="AI2" s="10"/>
      <c r="AJ2" s="10"/>
      <c r="AK2" s="10"/>
      <c r="AL2" s="10"/>
      <c r="AM2" s="10"/>
      <c r="AN2" s="10"/>
      <c r="AO2" s="10"/>
    </row>
    <row r="3" spans="1:41" ht="27" customHeight="1" x14ac:dyDescent="0.25">
      <c r="A3" s="243"/>
      <c r="B3" s="10"/>
      <c r="C3" s="10"/>
      <c r="D3" s="10"/>
      <c r="E3" s="667"/>
      <c r="F3" s="1774"/>
      <c r="G3" s="1774"/>
      <c r="H3" s="1807"/>
      <c r="I3" s="1774"/>
      <c r="J3" s="1774"/>
      <c r="K3" s="1943"/>
      <c r="L3" s="13"/>
      <c r="M3" s="10"/>
      <c r="N3" s="32"/>
      <c r="O3" s="32"/>
      <c r="P3" s="32"/>
      <c r="Q3" s="32"/>
      <c r="R3" s="32"/>
      <c r="S3" s="32"/>
      <c r="T3" s="10"/>
      <c r="U3" s="10"/>
      <c r="V3" s="10"/>
      <c r="W3" s="10"/>
      <c r="X3" s="10"/>
      <c r="Y3" s="10"/>
      <c r="Z3" s="10"/>
      <c r="AA3" s="10"/>
      <c r="AB3" s="10"/>
      <c r="AC3" s="10"/>
      <c r="AD3" s="10"/>
      <c r="AE3" s="10"/>
      <c r="AF3" s="10"/>
      <c r="AG3" s="10"/>
      <c r="AH3" s="10"/>
      <c r="AI3" s="10"/>
      <c r="AJ3" s="10"/>
      <c r="AK3" s="10"/>
      <c r="AL3" s="10"/>
      <c r="AM3" s="10"/>
      <c r="AN3" s="10"/>
      <c r="AO3" s="10"/>
    </row>
    <row r="4" spans="1:41" ht="27" customHeight="1" thickBot="1" x14ac:dyDescent="0.3">
      <c r="A4" s="243"/>
      <c r="B4" s="11"/>
      <c r="C4" s="11"/>
      <c r="D4" s="11"/>
      <c r="E4" s="667"/>
      <c r="F4" s="1808"/>
      <c r="G4" s="1808"/>
      <c r="H4" s="1808"/>
      <c r="I4" s="1808"/>
      <c r="J4" s="1808"/>
      <c r="K4" s="2841"/>
      <c r="L4" s="41"/>
      <c r="M4" s="11"/>
      <c r="N4" s="32"/>
      <c r="O4" s="32"/>
      <c r="P4" s="32"/>
      <c r="Q4" s="32"/>
      <c r="R4" s="32"/>
      <c r="S4" s="32"/>
      <c r="T4" s="11"/>
      <c r="U4" s="11"/>
      <c r="V4" s="11"/>
      <c r="W4" s="11"/>
      <c r="X4" s="11"/>
      <c r="Y4" s="11"/>
      <c r="Z4" s="11"/>
      <c r="AA4" s="11"/>
      <c r="AB4" s="11"/>
      <c r="AC4" s="11"/>
      <c r="AD4" s="11"/>
      <c r="AE4" s="11"/>
      <c r="AF4" s="11"/>
      <c r="AG4" s="11"/>
      <c r="AH4" s="11"/>
      <c r="AI4" s="11"/>
      <c r="AJ4" s="11"/>
      <c r="AK4" s="11"/>
      <c r="AL4" s="11"/>
      <c r="AM4" s="11"/>
      <c r="AN4" s="11"/>
      <c r="AO4" s="11"/>
    </row>
    <row r="5" spans="1:41" ht="15" customHeight="1" x14ac:dyDescent="0.25">
      <c r="A5" s="4146" t="s">
        <v>1262</v>
      </c>
      <c r="B5" s="94"/>
      <c r="C5" s="72"/>
      <c r="D5" s="72"/>
      <c r="E5" s="77"/>
      <c r="F5" s="1809"/>
      <c r="G5" s="1809"/>
      <c r="H5" s="1809"/>
      <c r="I5" s="1809"/>
      <c r="J5" s="1809"/>
      <c r="K5" s="2842"/>
      <c r="L5" s="77"/>
      <c r="M5" s="73"/>
      <c r="N5" s="32"/>
      <c r="O5" s="32"/>
      <c r="P5" s="32"/>
      <c r="Q5" s="32"/>
      <c r="R5" s="32"/>
      <c r="S5" s="32"/>
      <c r="T5" s="10"/>
      <c r="U5" s="10"/>
      <c r="V5" s="10"/>
      <c r="W5" s="10"/>
      <c r="X5" s="10"/>
      <c r="Y5" s="10"/>
      <c r="Z5" s="10"/>
      <c r="AA5" s="10"/>
      <c r="AB5" s="10"/>
      <c r="AC5" s="10"/>
      <c r="AD5" s="10"/>
      <c r="AE5" s="10"/>
      <c r="AF5" s="10"/>
      <c r="AG5" s="10"/>
      <c r="AH5" s="10"/>
      <c r="AI5" s="10"/>
      <c r="AJ5" s="10"/>
      <c r="AK5" s="10"/>
      <c r="AL5" s="10"/>
      <c r="AM5" s="10"/>
      <c r="AN5" s="10"/>
      <c r="AO5" s="10"/>
    </row>
    <row r="6" spans="1:41" ht="16.5" customHeight="1" x14ac:dyDescent="0.25">
      <c r="A6" s="4146"/>
      <c r="B6" s="16"/>
      <c r="C6" s="92"/>
      <c r="D6" s="514" t="str">
        <f>CONCATENATE("Land Sales Adjustment Grid - ",dpLand_TractNameB1)</f>
        <v xml:space="preserve">Land Sales Adjustment Grid - </v>
      </c>
      <c r="E6" s="93"/>
      <c r="F6" s="1810">
        <v>1</v>
      </c>
      <c r="G6" s="1810">
        <v>2</v>
      </c>
      <c r="H6" s="1810">
        <v>3</v>
      </c>
      <c r="I6" s="1810">
        <v>4</v>
      </c>
      <c r="J6" s="1810">
        <v>5</v>
      </c>
      <c r="K6" s="98">
        <v>6</v>
      </c>
      <c r="L6" s="98"/>
      <c r="M6" s="74"/>
      <c r="N6" s="32"/>
      <c r="O6" s="32"/>
      <c r="P6" s="32"/>
      <c r="Q6" s="32"/>
      <c r="R6" s="32"/>
      <c r="S6" s="32"/>
      <c r="T6" s="10"/>
      <c r="U6" s="10"/>
      <c r="V6" s="10"/>
      <c r="W6" s="10"/>
      <c r="X6" s="10"/>
      <c r="Y6" s="10"/>
      <c r="Z6" s="10"/>
      <c r="AA6" s="10"/>
      <c r="AB6" s="10"/>
      <c r="AC6" s="10"/>
      <c r="AD6" s="10"/>
      <c r="AE6" s="10"/>
      <c r="AF6" s="10"/>
      <c r="AG6" s="10"/>
      <c r="AH6" s="10"/>
      <c r="AI6" s="10"/>
      <c r="AJ6" s="10"/>
      <c r="AK6" s="10"/>
      <c r="AL6" s="10"/>
      <c r="AM6" s="10"/>
      <c r="AN6" s="10"/>
      <c r="AO6" s="10"/>
    </row>
    <row r="7" spans="1:41" ht="15" customHeight="1" x14ac:dyDescent="0.25">
      <c r="A7" s="4146"/>
      <c r="B7" s="16">
        <v>300</v>
      </c>
      <c r="C7" s="42"/>
      <c r="D7" s="515"/>
      <c r="E7" s="516" t="str">
        <f>CONCATENATE("Subject - ",dpLand_TractNameB1)</f>
        <v xml:space="preserve">Subject - </v>
      </c>
      <c r="F7" s="1811">
        <f t="shared" ref="F7:K7" si="0">F6</f>
        <v>1</v>
      </c>
      <c r="G7" s="1811">
        <f t="shared" si="0"/>
        <v>2</v>
      </c>
      <c r="H7" s="1811">
        <f t="shared" si="0"/>
        <v>3</v>
      </c>
      <c r="I7" s="1811">
        <f t="shared" si="0"/>
        <v>4</v>
      </c>
      <c r="J7" s="1811">
        <f t="shared" si="0"/>
        <v>5</v>
      </c>
      <c r="K7" s="2843">
        <f t="shared" si="0"/>
        <v>6</v>
      </c>
      <c r="L7" s="91"/>
      <c r="M7" s="74"/>
      <c r="N7" s="32"/>
      <c r="O7" s="4145"/>
      <c r="P7" s="32"/>
      <c r="Q7" s="32"/>
      <c r="R7" s="32"/>
      <c r="S7" s="32"/>
      <c r="T7" s="10"/>
      <c r="U7" s="10"/>
      <c r="V7" s="10"/>
      <c r="W7" s="10"/>
      <c r="X7" s="10"/>
      <c r="Y7" s="10"/>
      <c r="Z7" s="10"/>
      <c r="AA7" s="10"/>
      <c r="AB7" s="10"/>
      <c r="AC7" s="10"/>
      <c r="AD7" s="10"/>
      <c r="AE7" s="10"/>
      <c r="AF7" s="10"/>
      <c r="AG7" s="10"/>
      <c r="AH7" s="10"/>
      <c r="AI7" s="10"/>
      <c r="AJ7" s="10"/>
      <c r="AK7" s="10"/>
      <c r="AL7" s="10"/>
      <c r="AM7" s="10"/>
      <c r="AN7" s="10"/>
      <c r="AO7" s="10"/>
    </row>
    <row r="8" spans="1:41" ht="5.0999999999999996" customHeight="1" x14ac:dyDescent="0.25">
      <c r="A8" s="4146"/>
      <c r="B8" s="16"/>
      <c r="C8" s="130"/>
      <c r="D8" s="130"/>
      <c r="E8" s="765"/>
      <c r="F8" s="1812"/>
      <c r="G8" s="1812"/>
      <c r="H8" s="1812"/>
      <c r="I8" s="1812"/>
      <c r="J8" s="1812"/>
      <c r="K8" s="1125"/>
      <c r="L8" s="765"/>
      <c r="M8" s="74"/>
      <c r="N8" s="32"/>
      <c r="O8" s="4145"/>
      <c r="P8" s="32"/>
      <c r="Q8" s="32"/>
      <c r="R8" s="32"/>
      <c r="S8" s="32"/>
      <c r="T8" s="10"/>
      <c r="U8" s="10"/>
      <c r="V8" s="10"/>
      <c r="W8" s="10"/>
      <c r="X8" s="10"/>
      <c r="Y8" s="10"/>
      <c r="Z8" s="10"/>
      <c r="AA8" s="10"/>
      <c r="AB8" s="10"/>
      <c r="AC8" s="10"/>
      <c r="AD8" s="10"/>
      <c r="AE8" s="10"/>
      <c r="AF8" s="10"/>
      <c r="AG8" s="10"/>
      <c r="AH8" s="10"/>
      <c r="AI8" s="10"/>
      <c r="AJ8" s="10"/>
      <c r="AK8" s="10"/>
      <c r="AL8" s="10"/>
      <c r="AM8" s="10"/>
      <c r="AN8" s="10"/>
      <c r="AO8" s="10"/>
    </row>
    <row r="9" spans="1:41" ht="15" customHeight="1" x14ac:dyDescent="0.25">
      <c r="A9" s="15">
        <v>1</v>
      </c>
      <c r="B9" s="16"/>
      <c r="C9" s="130"/>
      <c r="D9" s="522" t="s">
        <v>703</v>
      </c>
      <c r="E9" s="1127"/>
      <c r="F9" s="1781"/>
      <c r="G9" s="1781"/>
      <c r="H9" s="1781"/>
      <c r="I9" s="1781"/>
      <c r="J9" s="1781"/>
      <c r="K9" s="1947"/>
      <c r="L9" s="765"/>
      <c r="M9" s="74"/>
      <c r="N9" s="32"/>
      <c r="O9" s="4145"/>
      <c r="P9" s="32"/>
      <c r="Q9" s="32"/>
      <c r="R9" s="32"/>
      <c r="S9" s="32"/>
      <c r="T9" s="10"/>
      <c r="U9" s="10"/>
      <c r="V9" s="10"/>
      <c r="W9" s="10"/>
      <c r="X9" s="10"/>
      <c r="Y9" s="10"/>
      <c r="Z9" s="10"/>
      <c r="AA9" s="10"/>
      <c r="AB9" s="10"/>
      <c r="AC9" s="10"/>
      <c r="AD9" s="10"/>
      <c r="AE9" s="10"/>
      <c r="AF9" s="10"/>
      <c r="AG9" s="10"/>
      <c r="AH9" s="10"/>
      <c r="AI9" s="10"/>
      <c r="AJ9" s="10"/>
      <c r="AK9" s="10"/>
      <c r="AL9" s="10"/>
      <c r="AM9" s="10"/>
      <c r="AN9" s="10"/>
      <c r="AO9" s="10"/>
    </row>
    <row r="10" spans="1:41" ht="15" customHeight="1" thickBot="1" x14ac:dyDescent="0.3">
      <c r="A10" s="972">
        <v>1</v>
      </c>
      <c r="B10" s="16"/>
      <c r="C10" s="130"/>
      <c r="D10" s="480" t="s">
        <v>830</v>
      </c>
      <c r="E10" s="1039" t="s">
        <v>3</v>
      </c>
      <c r="F10" s="1782"/>
      <c r="G10" s="1782"/>
      <c r="H10" s="1782"/>
      <c r="I10" s="1782"/>
      <c r="J10" s="1782"/>
      <c r="K10" s="1948"/>
      <c r="L10" s="1131"/>
      <c r="M10" s="74"/>
      <c r="N10" s="32"/>
      <c r="O10" s="32"/>
      <c r="P10" s="32"/>
      <c r="Q10" s="150" t="s">
        <v>1022</v>
      </c>
      <c r="R10" s="150"/>
      <c r="S10" s="150"/>
      <c r="T10" s="10"/>
      <c r="U10" s="10"/>
      <c r="V10" s="10"/>
      <c r="W10" s="10"/>
      <c r="X10" s="10"/>
      <c r="Y10" s="10"/>
      <c r="Z10" s="10"/>
      <c r="AA10" s="10"/>
      <c r="AB10" s="10"/>
      <c r="AC10" s="10"/>
      <c r="AD10" s="10"/>
      <c r="AE10" s="10"/>
      <c r="AF10" s="10"/>
      <c r="AG10" s="10"/>
      <c r="AH10" s="10"/>
      <c r="AI10" s="10"/>
      <c r="AJ10" s="10"/>
      <c r="AK10" s="10"/>
      <c r="AL10" s="10"/>
      <c r="AM10" s="10"/>
      <c r="AN10" s="10"/>
      <c r="AO10" s="10"/>
    </row>
    <row r="11" spans="1:41" ht="15" customHeight="1" thickBot="1" x14ac:dyDescent="0.3">
      <c r="A11" s="972">
        <f>IF(Q11="Show",1,0)</f>
        <v>0</v>
      </c>
      <c r="B11" s="16"/>
      <c r="C11" s="130"/>
      <c r="D11" s="480" t="s">
        <v>0</v>
      </c>
      <c r="E11" s="1132" t="str">
        <f>Subject_PropertyName</f>
        <v>FRANKLIN INDUSTRIAL GROUP LTD</v>
      </c>
      <c r="F11" s="1780"/>
      <c r="G11" s="1780"/>
      <c r="H11" s="1780"/>
      <c r="I11" s="1780"/>
      <c r="J11" s="1780"/>
      <c r="K11" s="1119"/>
      <c r="L11" s="1131"/>
      <c r="M11" s="74"/>
      <c r="N11" s="32"/>
      <c r="O11" s="32"/>
      <c r="P11" s="32"/>
      <c r="Q11" s="801" t="s">
        <v>1013</v>
      </c>
      <c r="R11" s="395"/>
      <c r="S11" s="395"/>
      <c r="T11" s="10"/>
      <c r="U11" s="10"/>
      <c r="V11" s="10"/>
      <c r="W11" s="10"/>
      <c r="X11" s="10"/>
      <c r="Y11" s="10"/>
      <c r="Z11" s="10"/>
      <c r="AA11" s="10"/>
      <c r="AB11" s="10"/>
      <c r="AC11" s="10"/>
      <c r="AD11" s="10"/>
      <c r="AE11" s="10"/>
      <c r="AF11" s="10"/>
      <c r="AG11" s="10"/>
      <c r="AH11" s="10"/>
      <c r="AI11" s="10"/>
      <c r="AJ11" s="10"/>
      <c r="AK11" s="10"/>
      <c r="AL11" s="10"/>
      <c r="AM11" s="10"/>
      <c r="AN11" s="10"/>
      <c r="AO11" s="10"/>
    </row>
    <row r="12" spans="1:41" ht="14.25" customHeight="1" x14ac:dyDescent="0.25">
      <c r="A12" s="972">
        <f>IF(D12="",0,1)</f>
        <v>0</v>
      </c>
      <c r="B12" s="16"/>
      <c r="C12" s="130"/>
      <c r="D12" s="527"/>
      <c r="E12" s="423"/>
      <c r="F12" s="1783"/>
      <c r="G12" s="1783"/>
      <c r="H12" s="1783"/>
      <c r="I12" s="1783"/>
      <c r="J12" s="1783"/>
      <c r="K12" s="1002"/>
      <c r="L12" s="1131"/>
      <c r="M12" s="74"/>
      <c r="N12" s="32"/>
      <c r="O12" s="32"/>
      <c r="P12" s="32"/>
      <c r="Q12" s="13"/>
      <c r="R12" s="13"/>
      <c r="S12" s="13"/>
      <c r="T12" s="10"/>
      <c r="U12" s="10"/>
      <c r="V12" s="10"/>
      <c r="W12" s="10"/>
      <c r="X12" s="10"/>
      <c r="Y12" s="10"/>
      <c r="Z12" s="10"/>
      <c r="AA12" s="10"/>
      <c r="AB12" s="10"/>
      <c r="AC12" s="10"/>
      <c r="AD12" s="10"/>
      <c r="AE12" s="10"/>
      <c r="AF12" s="10"/>
      <c r="AG12" s="10"/>
      <c r="AH12" s="10"/>
      <c r="AI12" s="10"/>
      <c r="AJ12" s="10"/>
      <c r="AK12" s="10"/>
      <c r="AL12" s="10"/>
      <c r="AM12" s="10"/>
      <c r="AN12" s="10"/>
      <c r="AO12" s="10"/>
    </row>
    <row r="13" spans="1:41" ht="14.25" customHeight="1" x14ac:dyDescent="0.25">
      <c r="A13" s="972">
        <f>IF(D13="",0,1)</f>
        <v>0</v>
      </c>
      <c r="B13" s="16"/>
      <c r="C13" s="130"/>
      <c r="D13" s="527"/>
      <c r="E13" s="423"/>
      <c r="F13" s="1783"/>
      <c r="G13" s="1783"/>
      <c r="H13" s="1783"/>
      <c r="I13" s="1783"/>
      <c r="J13" s="1783"/>
      <c r="K13" s="1002"/>
      <c r="L13" s="1131"/>
      <c r="M13" s="74"/>
      <c r="N13" s="32"/>
      <c r="O13" s="32"/>
      <c r="P13" s="32"/>
      <c r="Q13" s="13"/>
      <c r="R13" s="13"/>
      <c r="S13" s="13"/>
      <c r="T13" s="10"/>
      <c r="U13" s="10"/>
      <c r="V13" s="10"/>
      <c r="W13" s="10"/>
      <c r="X13" s="10"/>
      <c r="Y13" s="10"/>
      <c r="Z13" s="10"/>
      <c r="AA13" s="10"/>
      <c r="AB13" s="10"/>
      <c r="AC13" s="10"/>
      <c r="AD13" s="10"/>
      <c r="AE13" s="10"/>
      <c r="AF13" s="10"/>
      <c r="AG13" s="10"/>
      <c r="AH13" s="10"/>
      <c r="AI13" s="10"/>
      <c r="AJ13" s="10"/>
      <c r="AK13" s="10"/>
      <c r="AL13" s="10"/>
      <c r="AM13" s="10"/>
      <c r="AN13" s="10"/>
      <c r="AO13" s="10"/>
    </row>
    <row r="14" spans="1:41" ht="14.25" customHeight="1" x14ac:dyDescent="0.25">
      <c r="A14" s="972">
        <v>1</v>
      </c>
      <c r="B14" s="16"/>
      <c r="C14" s="130"/>
      <c r="D14" s="480" t="s">
        <v>1270</v>
      </c>
      <c r="E14" s="1133"/>
      <c r="F14" s="1813"/>
      <c r="G14" s="1813"/>
      <c r="H14" s="1813"/>
      <c r="I14" s="1813"/>
      <c r="J14" s="1813"/>
      <c r="K14" s="2844"/>
      <c r="L14" s="1131"/>
      <c r="M14" s="74"/>
      <c r="N14" s="32"/>
      <c r="O14" s="32"/>
      <c r="P14" s="32"/>
      <c r="Q14" s="32"/>
      <c r="R14" s="32"/>
      <c r="S14" s="32"/>
      <c r="T14" s="10"/>
      <c r="U14" s="10"/>
      <c r="V14" s="10"/>
      <c r="W14" s="10"/>
      <c r="X14" s="10"/>
      <c r="Y14" s="10"/>
      <c r="Z14" s="10"/>
      <c r="AA14" s="10"/>
      <c r="AB14" s="10"/>
      <c r="AC14" s="10"/>
      <c r="AD14" s="10"/>
      <c r="AE14" s="10"/>
      <c r="AF14" s="10"/>
      <c r="AG14" s="10"/>
      <c r="AH14" s="10"/>
      <c r="AI14" s="10"/>
      <c r="AJ14" s="10"/>
      <c r="AK14" s="10"/>
      <c r="AL14" s="10"/>
      <c r="AM14" s="10"/>
      <c r="AN14" s="10"/>
      <c r="AO14" s="10"/>
    </row>
    <row r="15" spans="1:41" ht="14.25" customHeight="1" x14ac:dyDescent="0.25">
      <c r="A15" s="972">
        <f>IF(LandUnitDisplay_1="Usable Acres",1,0)</f>
        <v>1</v>
      </c>
      <c r="B15" s="16"/>
      <c r="C15" s="130"/>
      <c r="D15" s="522" t="s">
        <v>836</v>
      </c>
      <c r="E15" s="1661">
        <f>Subject_LandPrimary_UsableAcres</f>
        <v>0.99173553719008267</v>
      </c>
      <c r="F15" s="1814"/>
      <c r="G15" s="1814"/>
      <c r="H15" s="1814"/>
      <c r="I15" s="1814"/>
      <c r="J15" s="1814"/>
      <c r="K15" s="2845"/>
      <c r="L15" s="765"/>
      <c r="M15" s="74"/>
      <c r="N15" s="32"/>
      <c r="O15" s="32"/>
      <c r="P15" s="32"/>
      <c r="Q15" s="32"/>
      <c r="R15" s="32"/>
      <c r="S15" s="32"/>
      <c r="T15" s="10"/>
      <c r="U15" s="10"/>
      <c r="V15" s="10"/>
      <c r="W15" s="10"/>
      <c r="X15" s="10"/>
      <c r="Y15" s="10"/>
      <c r="Z15" s="10"/>
      <c r="AA15" s="10"/>
      <c r="AB15" s="10"/>
      <c r="AC15" s="10"/>
      <c r="AD15" s="10"/>
      <c r="AE15" s="10"/>
      <c r="AF15" s="10"/>
      <c r="AG15" s="10"/>
      <c r="AH15" s="10"/>
      <c r="AI15" s="10"/>
      <c r="AJ15" s="10"/>
      <c r="AK15" s="10"/>
      <c r="AL15" s="10"/>
      <c r="AM15" s="10"/>
      <c r="AN15" s="10"/>
      <c r="AO15" s="10"/>
    </row>
    <row r="16" spans="1:41" ht="14.25" customHeight="1" x14ac:dyDescent="0.25">
      <c r="A16" s="975">
        <f>IF(LandUnitDisplay_1="Usable Square Feet",1,0)</f>
        <v>0</v>
      </c>
      <c r="B16" s="16"/>
      <c r="C16" s="130"/>
      <c r="D16" s="522" t="s">
        <v>837</v>
      </c>
      <c r="E16" s="1662">
        <f>E15*43560</f>
        <v>43200</v>
      </c>
      <c r="F16" s="1815"/>
      <c r="G16" s="1815"/>
      <c r="H16" s="1815"/>
      <c r="I16" s="1815"/>
      <c r="J16" s="1815"/>
      <c r="K16" s="2846"/>
      <c r="L16" s="1135"/>
      <c r="M16" s="74"/>
      <c r="N16" s="32"/>
      <c r="O16" s="32"/>
      <c r="P16" s="32"/>
      <c r="Q16" s="32"/>
      <c r="R16" s="32"/>
      <c r="S16" s="32"/>
      <c r="T16" s="10"/>
      <c r="U16" s="10"/>
      <c r="V16" s="10"/>
      <c r="W16" s="10"/>
      <c r="X16" s="10"/>
      <c r="Y16" s="10"/>
      <c r="Z16" s="10"/>
      <c r="AA16" s="10"/>
      <c r="AB16" s="10"/>
      <c r="AC16" s="10"/>
      <c r="AD16" s="10"/>
      <c r="AE16" s="10"/>
      <c r="AF16" s="10"/>
      <c r="AG16" s="10"/>
      <c r="AH16" s="10"/>
      <c r="AI16" s="10"/>
      <c r="AJ16" s="10"/>
      <c r="AK16" s="10"/>
      <c r="AL16" s="10"/>
      <c r="AM16" s="10"/>
      <c r="AN16" s="10"/>
      <c r="AO16" s="10"/>
    </row>
    <row r="17" spans="1:41" ht="14.25" customHeight="1" x14ac:dyDescent="0.25">
      <c r="A17" s="972">
        <f>IF(LandUnitDisplay_1="Gross Acres",1,0)</f>
        <v>0</v>
      </c>
      <c r="B17" s="16"/>
      <c r="C17" s="130"/>
      <c r="D17" s="522" t="s">
        <v>834</v>
      </c>
      <c r="E17" s="1663">
        <f>Subject_LandPrimary_GrossAcres</f>
        <v>0.99173553719008267</v>
      </c>
      <c r="F17" s="1814"/>
      <c r="G17" s="1814"/>
      <c r="H17" s="1814"/>
      <c r="I17" s="1814"/>
      <c r="J17" s="1814"/>
      <c r="K17" s="2845"/>
      <c r="L17" s="1135"/>
      <c r="M17" s="74"/>
      <c r="N17" s="32"/>
      <c r="O17" s="32"/>
      <c r="P17" s="32"/>
      <c r="Q17" s="32"/>
      <c r="R17" s="32"/>
      <c r="S17" s="32"/>
      <c r="T17" s="10"/>
      <c r="U17" s="10"/>
      <c r="V17" s="10"/>
      <c r="W17" s="10"/>
      <c r="X17" s="10"/>
      <c r="Y17" s="10"/>
      <c r="Z17" s="10"/>
      <c r="AA17" s="10"/>
      <c r="AB17" s="10"/>
      <c r="AC17" s="10"/>
      <c r="AD17" s="10"/>
      <c r="AE17" s="10"/>
      <c r="AF17" s="10"/>
      <c r="AG17" s="10"/>
      <c r="AH17" s="10"/>
      <c r="AI17" s="10"/>
      <c r="AJ17" s="10"/>
      <c r="AK17" s="10"/>
      <c r="AL17" s="10"/>
      <c r="AM17" s="10"/>
      <c r="AN17" s="10"/>
      <c r="AO17" s="10"/>
    </row>
    <row r="18" spans="1:41" ht="14.25" customHeight="1" x14ac:dyDescent="0.25">
      <c r="A18" s="975">
        <f>IF(LandUnitDisplay_1="Gross Square Feet",1,0)</f>
        <v>0</v>
      </c>
      <c r="B18" s="16"/>
      <c r="C18" s="130"/>
      <c r="D18" s="522" t="s">
        <v>835</v>
      </c>
      <c r="E18" s="1662">
        <f>E17*43560</f>
        <v>43200</v>
      </c>
      <c r="F18" s="1815"/>
      <c r="G18" s="1815"/>
      <c r="H18" s="1815"/>
      <c r="I18" s="1815"/>
      <c r="J18" s="1815"/>
      <c r="K18" s="2846"/>
      <c r="L18" s="1135"/>
      <c r="M18" s="74"/>
      <c r="N18" s="32"/>
      <c r="O18" s="32"/>
      <c r="P18" s="32"/>
      <c r="Q18" s="32"/>
      <c r="R18" s="32"/>
      <c r="S18" s="32"/>
      <c r="T18" s="10"/>
      <c r="U18" s="10"/>
      <c r="V18" s="10"/>
      <c r="W18" s="10"/>
      <c r="X18" s="10"/>
      <c r="Y18" s="10"/>
      <c r="Z18" s="10"/>
      <c r="AA18" s="10"/>
      <c r="AB18" s="10"/>
      <c r="AC18" s="10"/>
      <c r="AD18" s="10"/>
      <c r="AE18" s="10"/>
      <c r="AF18" s="10"/>
      <c r="AG18" s="10"/>
      <c r="AH18" s="10"/>
      <c r="AI18" s="10"/>
      <c r="AJ18" s="10"/>
      <c r="AK18" s="10"/>
      <c r="AL18" s="10"/>
      <c r="AM18" s="10"/>
      <c r="AN18" s="10"/>
      <c r="AO18" s="10"/>
    </row>
    <row r="19" spans="1:41" ht="14.25" customHeight="1" x14ac:dyDescent="0.25">
      <c r="A19" s="972">
        <f>IF(LandUnitDisplay_1="Front Feet",1,0)</f>
        <v>0</v>
      </c>
      <c r="B19" s="16"/>
      <c r="C19" s="130"/>
      <c r="D19" s="522" t="s">
        <v>846</v>
      </c>
      <c r="E19" s="1662">
        <f>Subject_PrimaryFrontageFeet</f>
        <v>125</v>
      </c>
      <c r="F19" s="1815"/>
      <c r="G19" s="1815"/>
      <c r="H19" s="1815"/>
      <c r="I19" s="1815"/>
      <c r="J19" s="1815"/>
      <c r="K19" s="2846"/>
      <c r="L19" s="1135"/>
      <c r="M19" s="74"/>
      <c r="N19" s="32"/>
      <c r="O19" s="32"/>
      <c r="P19" s="32"/>
      <c r="Q19" s="32"/>
      <c r="R19" s="32"/>
      <c r="S19" s="32"/>
      <c r="T19" s="10"/>
      <c r="U19" s="10"/>
      <c r="V19" s="10"/>
      <c r="W19" s="10"/>
      <c r="X19" s="10"/>
      <c r="Y19" s="10"/>
      <c r="Z19" s="10"/>
      <c r="AA19" s="10"/>
      <c r="AB19" s="10"/>
      <c r="AC19" s="10"/>
      <c r="AD19" s="10"/>
      <c r="AE19" s="10"/>
      <c r="AF19" s="10"/>
      <c r="AG19" s="10"/>
      <c r="AH19" s="10"/>
      <c r="AI19" s="10"/>
      <c r="AJ19" s="10"/>
      <c r="AK19" s="10"/>
      <c r="AL19" s="10"/>
      <c r="AM19" s="10"/>
      <c r="AN19" s="10"/>
      <c r="AO19" s="10"/>
    </row>
    <row r="20" spans="1:41" ht="14.25" customHeight="1" x14ac:dyDescent="0.25">
      <c r="A20" s="972">
        <f>IF(LandUnitDisplay_1="Proposed square foot",1,0)</f>
        <v>0</v>
      </c>
      <c r="B20" s="16"/>
      <c r="C20" s="130"/>
      <c r="D20" s="522" t="s">
        <v>841</v>
      </c>
      <c r="E20" s="1662">
        <f>Subject_GBA</f>
        <v>220514</v>
      </c>
      <c r="F20" s="1815"/>
      <c r="G20" s="1815"/>
      <c r="H20" s="1815"/>
      <c r="I20" s="1815"/>
      <c r="J20" s="1815"/>
      <c r="K20" s="2846"/>
      <c r="L20" s="1135"/>
      <c r="M20" s="74"/>
      <c r="N20" s="32"/>
      <c r="O20" s="32"/>
      <c r="P20" s="32"/>
      <c r="Q20" s="32"/>
      <c r="R20" s="32"/>
      <c r="S20" s="32"/>
      <c r="T20" s="10"/>
      <c r="U20" s="10"/>
      <c r="V20" s="10"/>
      <c r="W20" s="10"/>
      <c r="X20" s="10"/>
      <c r="Y20" s="10"/>
      <c r="Z20" s="10"/>
      <c r="AA20" s="10"/>
      <c r="AB20" s="10"/>
      <c r="AC20" s="10"/>
      <c r="AD20" s="10"/>
      <c r="AE20" s="10"/>
      <c r="AF20" s="10"/>
      <c r="AG20" s="10"/>
      <c r="AH20" s="10"/>
      <c r="AI20" s="10"/>
      <c r="AJ20" s="10"/>
      <c r="AK20" s="10"/>
      <c r="AL20" s="10"/>
      <c r="AM20" s="10"/>
      <c r="AN20" s="10"/>
      <c r="AO20" s="10"/>
    </row>
    <row r="21" spans="1:41" ht="14.25" customHeight="1" x14ac:dyDescent="0.25">
      <c r="A21" s="972">
        <f>IF(LandUnitDisplay_1="Lots",1,0)</f>
        <v>0</v>
      </c>
      <c r="B21" s="16"/>
      <c r="C21" s="130"/>
      <c r="D21" s="522" t="s">
        <v>1024</v>
      </c>
      <c r="E21" s="1662">
        <f>Subject_Lots</f>
        <v>1</v>
      </c>
      <c r="F21" s="1815"/>
      <c r="G21" s="1815"/>
      <c r="H21" s="1815"/>
      <c r="I21" s="1815"/>
      <c r="J21" s="1815"/>
      <c r="K21" s="2846"/>
      <c r="L21" s="1135"/>
      <c r="M21" s="74"/>
      <c r="N21" s="32"/>
      <c r="O21" s="32"/>
      <c r="P21" s="32"/>
      <c r="Q21" s="32"/>
      <c r="R21" s="32"/>
      <c r="S21" s="32"/>
      <c r="T21" s="10"/>
      <c r="U21" s="10"/>
      <c r="V21" s="10"/>
      <c r="W21" s="10"/>
      <c r="X21" s="10"/>
      <c r="Y21" s="10"/>
      <c r="Z21" s="10"/>
      <c r="AA21" s="10"/>
      <c r="AB21" s="10"/>
      <c r="AC21" s="10"/>
      <c r="AD21" s="10"/>
      <c r="AE21" s="10"/>
      <c r="AF21" s="10"/>
      <c r="AG21" s="10"/>
      <c r="AH21" s="10"/>
      <c r="AI21" s="10"/>
      <c r="AJ21" s="10"/>
      <c r="AK21" s="10"/>
      <c r="AL21" s="10"/>
      <c r="AM21" s="10"/>
      <c r="AN21" s="10"/>
      <c r="AO21" s="10"/>
    </row>
    <row r="22" spans="1:41" ht="14.25" customHeight="1" x14ac:dyDescent="0.25">
      <c r="A22" s="972">
        <f>IF(LandUnitDisplay_1="Proposed Units",1,0)</f>
        <v>0</v>
      </c>
      <c r="B22" s="16"/>
      <c r="C22" s="130"/>
      <c r="D22" s="522" t="s">
        <v>1059</v>
      </c>
      <c r="E22" s="1662">
        <f>Subject_ProposedUnits</f>
        <v>2</v>
      </c>
      <c r="F22" s="1815"/>
      <c r="G22" s="1815"/>
      <c r="H22" s="1815"/>
      <c r="I22" s="1815"/>
      <c r="J22" s="1815"/>
      <c r="K22" s="2846"/>
      <c r="L22" s="1135"/>
      <c r="M22" s="74"/>
      <c r="N22" s="32"/>
      <c r="O22" s="32"/>
      <c r="P22" s="32"/>
      <c r="Q22" s="32"/>
      <c r="R22" s="32"/>
      <c r="S22" s="32"/>
      <c r="T22" s="10"/>
      <c r="U22" s="10"/>
      <c r="V22" s="10"/>
      <c r="W22" s="10"/>
      <c r="X22" s="10"/>
      <c r="Y22" s="10"/>
      <c r="Z22" s="10"/>
      <c r="AA22" s="10"/>
      <c r="AB22" s="10"/>
      <c r="AC22" s="10"/>
      <c r="AD22" s="10"/>
      <c r="AE22" s="10"/>
      <c r="AF22" s="10"/>
      <c r="AG22" s="10"/>
      <c r="AH22" s="10"/>
      <c r="AI22" s="10"/>
      <c r="AJ22" s="10"/>
      <c r="AK22" s="10"/>
      <c r="AL22" s="10"/>
      <c r="AM22" s="10"/>
      <c r="AN22" s="10"/>
      <c r="AO22" s="10"/>
    </row>
    <row r="23" spans="1:41" ht="14.25" customHeight="1" x14ac:dyDescent="0.25">
      <c r="A23" s="972">
        <f>IF(dpUnit_Land_1="per Usable Acre",1,0)</f>
        <v>0</v>
      </c>
      <c r="B23" s="16"/>
      <c r="C23" s="130"/>
      <c r="D23" s="1137" t="s">
        <v>1295</v>
      </c>
      <c r="E23" s="1138"/>
      <c r="F23" s="1816" t="e">
        <f t="shared" ref="F23:F30" si="1">F$14/F15</f>
        <v>#DIV/0!</v>
      </c>
      <c r="G23" s="1816" t="e">
        <f t="shared" ref="G23:G30" si="2">G$14/G15</f>
        <v>#DIV/0!</v>
      </c>
      <c r="H23" s="1816" t="e">
        <f t="shared" ref="H23:H30" si="3">H$14/H15</f>
        <v>#DIV/0!</v>
      </c>
      <c r="I23" s="1816" t="e">
        <f t="shared" ref="I23:J30" si="4">I$14/I15</f>
        <v>#DIV/0!</v>
      </c>
      <c r="J23" s="1816" t="e">
        <f t="shared" si="4"/>
        <v>#DIV/0!</v>
      </c>
      <c r="K23" s="2847" t="e">
        <f t="shared" ref="K23:K30" si="5">K$14/K15</f>
        <v>#DIV/0!</v>
      </c>
      <c r="L23" s="1141"/>
      <c r="M23" s="74"/>
      <c r="N23" s="32"/>
      <c r="O23" s="32"/>
      <c r="P23" s="32"/>
      <c r="Q23" s="32"/>
      <c r="R23" s="32"/>
      <c r="S23" s="32"/>
      <c r="T23" s="10"/>
      <c r="U23" s="10"/>
      <c r="V23" s="10"/>
      <c r="W23" s="10"/>
      <c r="X23" s="10"/>
      <c r="Y23" s="10"/>
      <c r="Z23" s="10"/>
      <c r="AA23" s="10"/>
      <c r="AB23" s="10"/>
      <c r="AC23" s="10"/>
      <c r="AD23" s="10"/>
      <c r="AE23" s="10"/>
      <c r="AF23" s="10"/>
      <c r="AG23" s="10"/>
      <c r="AH23" s="10"/>
      <c r="AI23" s="10"/>
      <c r="AJ23" s="10"/>
      <c r="AK23" s="10"/>
      <c r="AL23" s="10"/>
      <c r="AM23" s="10"/>
      <c r="AN23" s="10"/>
      <c r="AO23" s="10"/>
    </row>
    <row r="24" spans="1:41" ht="14.25" customHeight="1" x14ac:dyDescent="0.25">
      <c r="A24" s="972">
        <f>IF(dpUnit_Land_1="per Usable Square Foot",1,0)</f>
        <v>1</v>
      </c>
      <c r="B24" s="16"/>
      <c r="C24" s="130"/>
      <c r="D24" s="1137" t="s">
        <v>1296</v>
      </c>
      <c r="E24" s="1142"/>
      <c r="F24" s="1784" t="e">
        <f t="shared" si="1"/>
        <v>#DIV/0!</v>
      </c>
      <c r="G24" s="1784" t="e">
        <f t="shared" si="2"/>
        <v>#DIV/0!</v>
      </c>
      <c r="H24" s="1784" t="e">
        <f t="shared" si="3"/>
        <v>#DIV/0!</v>
      </c>
      <c r="I24" s="1784" t="e">
        <f t="shared" si="4"/>
        <v>#DIV/0!</v>
      </c>
      <c r="J24" s="1784" t="e">
        <f t="shared" si="4"/>
        <v>#DIV/0!</v>
      </c>
      <c r="K24" s="1949" t="e">
        <f t="shared" si="5"/>
        <v>#DIV/0!</v>
      </c>
      <c r="L24" s="1144"/>
      <c r="M24" s="74"/>
      <c r="N24" s="32"/>
      <c r="O24" s="32"/>
      <c r="P24" s="32"/>
      <c r="Q24" s="32"/>
      <c r="R24" s="32"/>
      <c r="S24" s="32"/>
      <c r="T24" s="10"/>
      <c r="U24" s="10"/>
      <c r="V24" s="10"/>
      <c r="W24" s="10"/>
      <c r="X24" s="10"/>
      <c r="Y24" s="10"/>
      <c r="Z24" s="10"/>
      <c r="AA24" s="10"/>
      <c r="AB24" s="10"/>
      <c r="AC24" s="10"/>
      <c r="AD24" s="10"/>
      <c r="AE24" s="10"/>
      <c r="AF24" s="10"/>
      <c r="AG24" s="10"/>
      <c r="AH24" s="10"/>
      <c r="AI24" s="10"/>
      <c r="AJ24" s="10"/>
      <c r="AK24" s="10"/>
      <c r="AL24" s="10"/>
      <c r="AM24" s="10"/>
      <c r="AN24" s="10"/>
      <c r="AO24" s="10"/>
    </row>
    <row r="25" spans="1:41" ht="14.25" customHeight="1" x14ac:dyDescent="0.25">
      <c r="A25" s="972">
        <f>IF(dpUnit_Land_1="per Gross Acre",1,0)</f>
        <v>0</v>
      </c>
      <c r="B25" s="16"/>
      <c r="C25" s="130"/>
      <c r="D25" s="1137" t="s">
        <v>1297</v>
      </c>
      <c r="E25" s="1142"/>
      <c r="F25" s="1816" t="e">
        <f t="shared" si="1"/>
        <v>#DIV/0!</v>
      </c>
      <c r="G25" s="1816" t="e">
        <f t="shared" si="2"/>
        <v>#DIV/0!</v>
      </c>
      <c r="H25" s="1816" t="e">
        <f t="shared" si="3"/>
        <v>#DIV/0!</v>
      </c>
      <c r="I25" s="1816" t="e">
        <f t="shared" si="4"/>
        <v>#DIV/0!</v>
      </c>
      <c r="J25" s="1816" t="e">
        <f t="shared" si="4"/>
        <v>#DIV/0!</v>
      </c>
      <c r="K25" s="2847" t="e">
        <f t="shared" si="5"/>
        <v>#DIV/0!</v>
      </c>
      <c r="L25" s="1144"/>
      <c r="M25" s="74"/>
      <c r="N25" s="32"/>
      <c r="O25" s="32"/>
      <c r="P25" s="32"/>
      <c r="Q25" s="32"/>
      <c r="R25" s="32"/>
      <c r="S25" s="32"/>
      <c r="T25" s="10"/>
      <c r="U25" s="10"/>
      <c r="V25" s="10"/>
      <c r="W25" s="10"/>
      <c r="X25" s="10"/>
      <c r="Y25" s="10"/>
      <c r="Z25" s="10"/>
      <c r="AA25" s="10"/>
      <c r="AB25" s="10"/>
      <c r="AC25" s="10"/>
      <c r="AD25" s="10"/>
      <c r="AE25" s="10"/>
      <c r="AF25" s="10"/>
      <c r="AG25" s="10"/>
      <c r="AH25" s="10"/>
      <c r="AI25" s="10"/>
      <c r="AJ25" s="10"/>
      <c r="AK25" s="10"/>
      <c r="AL25" s="10"/>
      <c r="AM25" s="10"/>
      <c r="AN25" s="10"/>
      <c r="AO25" s="10"/>
    </row>
    <row r="26" spans="1:41" ht="14.25" customHeight="1" x14ac:dyDescent="0.25">
      <c r="A26" s="972">
        <f>IF(dpUnit_Land_1="per Gross Square Foot",1,0)</f>
        <v>0</v>
      </c>
      <c r="B26" s="16"/>
      <c r="C26" s="130"/>
      <c r="D26" s="1137" t="s">
        <v>1298</v>
      </c>
      <c r="E26" s="1142"/>
      <c r="F26" s="1784" t="e">
        <f t="shared" si="1"/>
        <v>#DIV/0!</v>
      </c>
      <c r="G26" s="1784" t="e">
        <f t="shared" si="2"/>
        <v>#DIV/0!</v>
      </c>
      <c r="H26" s="1784" t="e">
        <f t="shared" si="3"/>
        <v>#DIV/0!</v>
      </c>
      <c r="I26" s="1784" t="e">
        <f t="shared" si="4"/>
        <v>#DIV/0!</v>
      </c>
      <c r="J26" s="1784" t="e">
        <f t="shared" si="4"/>
        <v>#DIV/0!</v>
      </c>
      <c r="K26" s="1949" t="e">
        <f t="shared" si="5"/>
        <v>#DIV/0!</v>
      </c>
      <c r="L26" s="1144"/>
      <c r="M26" s="74"/>
      <c r="N26" s="32"/>
      <c r="O26" s="32"/>
      <c r="P26" s="32"/>
      <c r="Q26" s="32"/>
      <c r="R26" s="32"/>
      <c r="S26" s="32"/>
      <c r="T26" s="10"/>
      <c r="U26" s="10"/>
      <c r="V26" s="10"/>
      <c r="W26" s="10"/>
      <c r="X26" s="10"/>
      <c r="Y26" s="10"/>
      <c r="Z26" s="10"/>
      <c r="AA26" s="10"/>
      <c r="AB26" s="10"/>
      <c r="AC26" s="10"/>
      <c r="AD26" s="10"/>
      <c r="AE26" s="10"/>
      <c r="AF26" s="10"/>
      <c r="AG26" s="10"/>
      <c r="AH26" s="10"/>
      <c r="AI26" s="10"/>
      <c r="AJ26" s="10"/>
      <c r="AK26" s="10"/>
      <c r="AL26" s="10"/>
      <c r="AM26" s="10"/>
      <c r="AN26" s="10"/>
      <c r="AO26" s="10"/>
    </row>
    <row r="27" spans="1:41" ht="14.25" customHeight="1" x14ac:dyDescent="0.25">
      <c r="A27" s="972">
        <f>IF(dpUnit_Land_1="per Front Foot",1,0)</f>
        <v>0</v>
      </c>
      <c r="B27" s="16"/>
      <c r="C27" s="130"/>
      <c r="D27" s="1137" t="s">
        <v>1299</v>
      </c>
      <c r="E27" s="1142"/>
      <c r="F27" s="1816" t="e">
        <f t="shared" si="1"/>
        <v>#DIV/0!</v>
      </c>
      <c r="G27" s="1816" t="e">
        <f t="shared" si="2"/>
        <v>#DIV/0!</v>
      </c>
      <c r="H27" s="1816" t="e">
        <f t="shared" si="3"/>
        <v>#DIV/0!</v>
      </c>
      <c r="I27" s="1816" t="e">
        <f t="shared" si="4"/>
        <v>#DIV/0!</v>
      </c>
      <c r="J27" s="1816" t="e">
        <f t="shared" si="4"/>
        <v>#DIV/0!</v>
      </c>
      <c r="K27" s="2847" t="e">
        <f t="shared" si="5"/>
        <v>#DIV/0!</v>
      </c>
      <c r="L27" s="1144"/>
      <c r="M27" s="74"/>
      <c r="N27" s="32"/>
      <c r="O27" s="32"/>
      <c r="P27" s="32"/>
      <c r="Q27" s="32"/>
      <c r="R27" s="32"/>
      <c r="S27" s="32"/>
      <c r="T27" s="10"/>
      <c r="U27" s="10"/>
      <c r="V27" s="10"/>
      <c r="W27" s="10"/>
      <c r="X27" s="10"/>
      <c r="Y27" s="10"/>
      <c r="Z27" s="10"/>
      <c r="AA27" s="10"/>
      <c r="AB27" s="10"/>
      <c r="AC27" s="10"/>
      <c r="AD27" s="10"/>
      <c r="AE27" s="10"/>
      <c r="AF27" s="10"/>
      <c r="AG27" s="10"/>
      <c r="AH27" s="10"/>
      <c r="AI27" s="10"/>
      <c r="AJ27" s="10"/>
      <c r="AK27" s="10"/>
      <c r="AL27" s="10"/>
      <c r="AM27" s="10"/>
      <c r="AN27" s="10"/>
      <c r="AO27" s="10"/>
    </row>
    <row r="28" spans="1:41" ht="14.25" customHeight="1" x14ac:dyDescent="0.25">
      <c r="A28" s="972">
        <f>IF(dpUnit_Land_1="per Proposed Square Foot",1,0)</f>
        <v>0</v>
      </c>
      <c r="B28" s="16"/>
      <c r="C28" s="130"/>
      <c r="D28" s="1137" t="s">
        <v>1300</v>
      </c>
      <c r="E28" s="1142"/>
      <c r="F28" s="1784" t="e">
        <f t="shared" si="1"/>
        <v>#DIV/0!</v>
      </c>
      <c r="G28" s="1784" t="e">
        <f t="shared" si="2"/>
        <v>#DIV/0!</v>
      </c>
      <c r="H28" s="1784" t="e">
        <f t="shared" si="3"/>
        <v>#DIV/0!</v>
      </c>
      <c r="I28" s="1784" t="e">
        <f t="shared" si="4"/>
        <v>#DIV/0!</v>
      </c>
      <c r="J28" s="1784" t="e">
        <f t="shared" si="4"/>
        <v>#DIV/0!</v>
      </c>
      <c r="K28" s="1949" t="e">
        <f t="shared" si="5"/>
        <v>#DIV/0!</v>
      </c>
      <c r="L28" s="1144"/>
      <c r="M28" s="74"/>
      <c r="N28" s="32"/>
      <c r="O28" s="32"/>
      <c r="P28" s="32"/>
      <c r="Q28" s="32"/>
      <c r="R28" s="32"/>
      <c r="S28" s="32"/>
      <c r="T28" s="10"/>
      <c r="U28" s="10"/>
      <c r="V28" s="10"/>
      <c r="W28" s="10"/>
      <c r="X28" s="10"/>
      <c r="Y28" s="10"/>
      <c r="Z28" s="10"/>
      <c r="AA28" s="10"/>
      <c r="AB28" s="10"/>
      <c r="AC28" s="10"/>
      <c r="AD28" s="10"/>
      <c r="AE28" s="10"/>
      <c r="AF28" s="10"/>
      <c r="AG28" s="10"/>
      <c r="AH28" s="10"/>
      <c r="AI28" s="10"/>
      <c r="AJ28" s="10"/>
      <c r="AK28" s="10"/>
      <c r="AL28" s="10"/>
      <c r="AM28" s="10"/>
      <c r="AN28" s="10"/>
      <c r="AO28" s="10"/>
    </row>
    <row r="29" spans="1:41" ht="14.25" customHeight="1" x14ac:dyDescent="0.25">
      <c r="A29" s="972">
        <f>IF(dpUnit_Land_1="per Lot",1,0)</f>
        <v>0</v>
      </c>
      <c r="B29" s="16"/>
      <c r="C29" s="130"/>
      <c r="D29" s="1137" t="s">
        <v>1301</v>
      </c>
      <c r="E29" s="1142"/>
      <c r="F29" s="1816" t="e">
        <f t="shared" si="1"/>
        <v>#DIV/0!</v>
      </c>
      <c r="G29" s="1816" t="e">
        <f t="shared" si="2"/>
        <v>#DIV/0!</v>
      </c>
      <c r="H29" s="1816" t="e">
        <f t="shared" si="3"/>
        <v>#DIV/0!</v>
      </c>
      <c r="I29" s="1816" t="e">
        <f t="shared" si="4"/>
        <v>#DIV/0!</v>
      </c>
      <c r="J29" s="1816" t="e">
        <f t="shared" si="4"/>
        <v>#DIV/0!</v>
      </c>
      <c r="K29" s="2847" t="e">
        <f t="shared" si="5"/>
        <v>#DIV/0!</v>
      </c>
      <c r="L29" s="1144"/>
      <c r="M29" s="74"/>
      <c r="N29" s="32"/>
      <c r="O29" s="32"/>
      <c r="P29" s="32"/>
      <c r="Q29" s="32"/>
      <c r="R29" s="32"/>
      <c r="S29" s="32"/>
      <c r="T29" s="10"/>
      <c r="U29" s="10"/>
      <c r="V29" s="10"/>
      <c r="W29" s="10"/>
      <c r="X29" s="10"/>
      <c r="Y29" s="10"/>
      <c r="Z29" s="10"/>
      <c r="AA29" s="10"/>
      <c r="AB29" s="10"/>
      <c r="AC29" s="10"/>
      <c r="AD29" s="10"/>
      <c r="AE29" s="10"/>
      <c r="AF29" s="10"/>
      <c r="AG29" s="10"/>
      <c r="AH29" s="10"/>
      <c r="AI29" s="10"/>
      <c r="AJ29" s="10"/>
      <c r="AK29" s="10"/>
      <c r="AL29" s="10"/>
      <c r="AM29" s="10"/>
      <c r="AN29" s="10"/>
      <c r="AO29" s="10"/>
    </row>
    <row r="30" spans="1:41" ht="14.25" customHeight="1" x14ac:dyDescent="0.25">
      <c r="A30" s="972">
        <f>IF(dpUnit_Land_1="per Proposed Unit",1,0)</f>
        <v>0</v>
      </c>
      <c r="B30" s="16"/>
      <c r="C30" s="130"/>
      <c r="D30" s="1137" t="s">
        <v>1302</v>
      </c>
      <c r="E30" s="1142"/>
      <c r="F30" s="1816" t="e">
        <f t="shared" si="1"/>
        <v>#DIV/0!</v>
      </c>
      <c r="G30" s="1816" t="e">
        <f t="shared" si="2"/>
        <v>#DIV/0!</v>
      </c>
      <c r="H30" s="1816" t="e">
        <f t="shared" si="3"/>
        <v>#DIV/0!</v>
      </c>
      <c r="I30" s="1816" t="e">
        <f t="shared" si="4"/>
        <v>#DIV/0!</v>
      </c>
      <c r="J30" s="1816" t="e">
        <f t="shared" si="4"/>
        <v>#DIV/0!</v>
      </c>
      <c r="K30" s="2847" t="e">
        <f t="shared" si="5"/>
        <v>#DIV/0!</v>
      </c>
      <c r="L30" s="1144"/>
      <c r="M30" s="74"/>
      <c r="N30" s="32"/>
      <c r="O30" s="32"/>
      <c r="P30" s="32"/>
      <c r="Q30" s="32"/>
      <c r="R30" s="32"/>
      <c r="S30" s="32"/>
      <c r="T30" s="10"/>
      <c r="U30" s="10"/>
      <c r="V30" s="10"/>
      <c r="W30" s="10"/>
      <c r="X30" s="10"/>
      <c r="Y30" s="10"/>
      <c r="Z30" s="10"/>
      <c r="AA30" s="10"/>
      <c r="AB30" s="10"/>
      <c r="AC30" s="10"/>
      <c r="AD30" s="10"/>
      <c r="AE30" s="10"/>
      <c r="AF30" s="10"/>
      <c r="AG30" s="10"/>
      <c r="AH30" s="10"/>
      <c r="AI30" s="10"/>
      <c r="AJ30" s="10"/>
      <c r="AK30" s="10"/>
      <c r="AL30" s="10"/>
      <c r="AM30" s="10"/>
      <c r="AN30" s="10"/>
      <c r="AO30" s="10"/>
    </row>
    <row r="31" spans="1:41" ht="5.0999999999999996" customHeight="1" x14ac:dyDescent="0.25">
      <c r="A31" s="972">
        <v>1</v>
      </c>
      <c r="B31" s="16"/>
      <c r="C31" s="130"/>
      <c r="D31" s="130"/>
      <c r="E31" s="765"/>
      <c r="F31" s="1786"/>
      <c r="G31" s="1786"/>
      <c r="H31" s="1786"/>
      <c r="I31" s="1786"/>
      <c r="J31" s="1786"/>
      <c r="K31" s="1951"/>
      <c r="L31" s="765"/>
      <c r="M31" s="74"/>
      <c r="N31" s="32"/>
      <c r="O31" s="32"/>
      <c r="P31" s="32"/>
      <c r="Q31" s="32"/>
      <c r="R31" s="32"/>
      <c r="S31" s="32"/>
      <c r="T31" s="10"/>
      <c r="U31" s="10"/>
      <c r="V31" s="10"/>
      <c r="W31" s="10"/>
      <c r="X31" s="10"/>
      <c r="Y31" s="10"/>
      <c r="Z31" s="10"/>
      <c r="AA31" s="10"/>
      <c r="AB31" s="10"/>
      <c r="AC31" s="10"/>
      <c r="AD31" s="10"/>
      <c r="AE31" s="10"/>
      <c r="AF31" s="10"/>
      <c r="AG31" s="10"/>
      <c r="AH31" s="10"/>
      <c r="AI31" s="10"/>
      <c r="AJ31" s="10"/>
      <c r="AK31" s="10"/>
      <c r="AL31" s="10"/>
      <c r="AM31" s="10"/>
      <c r="AN31" s="10"/>
      <c r="AO31" s="10"/>
    </row>
    <row r="32" spans="1:41" ht="14.25" customHeight="1" x14ac:dyDescent="0.25">
      <c r="A32" s="972">
        <v>1</v>
      </c>
      <c r="B32" s="16"/>
      <c r="C32" s="130"/>
      <c r="D32" s="1137" t="s">
        <v>161</v>
      </c>
      <c r="E32" s="765"/>
      <c r="F32" s="1787"/>
      <c r="G32" s="1787"/>
      <c r="H32" s="1787"/>
      <c r="I32" s="1787"/>
      <c r="J32" s="1787"/>
      <c r="K32" s="1193"/>
      <c r="L32" s="1146"/>
      <c r="M32" s="74"/>
      <c r="N32" s="32"/>
      <c r="O32" s="32"/>
      <c r="P32" s="32"/>
      <c r="Q32" s="32"/>
      <c r="R32" s="32"/>
      <c r="S32" s="32"/>
      <c r="T32" s="10"/>
      <c r="U32" s="10"/>
      <c r="V32" s="10"/>
      <c r="W32" s="10"/>
      <c r="X32" s="10"/>
      <c r="Y32" s="10"/>
      <c r="Z32" s="10"/>
      <c r="AA32" s="10"/>
      <c r="AB32" s="10"/>
      <c r="AC32" s="10"/>
      <c r="AD32" s="10"/>
      <c r="AE32" s="10"/>
      <c r="AF32" s="10"/>
      <c r="AG32" s="10"/>
      <c r="AH32" s="10"/>
      <c r="AI32" s="10"/>
      <c r="AJ32" s="10"/>
      <c r="AK32" s="10"/>
      <c r="AL32" s="10"/>
      <c r="AM32" s="10"/>
      <c r="AN32" s="10"/>
      <c r="AO32" s="10"/>
    </row>
    <row r="33" spans="1:41" x14ac:dyDescent="0.25">
      <c r="A33" s="972">
        <v>1</v>
      </c>
      <c r="B33" s="16"/>
      <c r="C33" s="130"/>
      <c r="D33" s="1489" t="s">
        <v>164</v>
      </c>
      <c r="E33" s="1664" t="str">
        <f>IF(Salient_Sort_NumValues=3,Salient_Sort_Interest_3,IF(Salient_Sort_NumValues=2,Salient_Sort_Interest_2,Salient_Sort_Interest_1))</f>
        <v>Fee Simple</v>
      </c>
      <c r="F33" s="1817"/>
      <c r="G33" s="1817"/>
      <c r="H33" s="1817"/>
      <c r="I33" s="1817"/>
      <c r="J33" s="1817"/>
      <c r="K33" s="1149"/>
      <c r="L33" s="1146"/>
      <c r="M33" s="74"/>
      <c r="N33" s="32"/>
      <c r="O33" s="32"/>
      <c r="P33" s="32"/>
      <c r="Q33" s="32"/>
      <c r="R33" s="32"/>
      <c r="S33" s="32"/>
      <c r="T33" s="10"/>
      <c r="U33" s="10"/>
      <c r="V33" s="10"/>
      <c r="W33" s="10"/>
      <c r="X33" s="10"/>
      <c r="Y33" s="10"/>
      <c r="Z33" s="10"/>
      <c r="AA33" s="10"/>
      <c r="AB33" s="10"/>
      <c r="AC33" s="10"/>
      <c r="AD33" s="10"/>
      <c r="AE33" s="10"/>
      <c r="AF33" s="10"/>
      <c r="AG33" s="10"/>
      <c r="AH33" s="10"/>
      <c r="AI33" s="10"/>
      <c r="AJ33" s="10"/>
      <c r="AK33" s="10"/>
      <c r="AL33" s="10"/>
      <c r="AM33" s="10"/>
      <c r="AN33" s="10"/>
      <c r="AO33" s="10"/>
    </row>
    <row r="34" spans="1:41" ht="14.25" customHeight="1" x14ac:dyDescent="0.25">
      <c r="A34" s="972">
        <f>IF(SUM(Land_PropertyRightsRange_1)=0,0,1)</f>
        <v>0</v>
      </c>
      <c r="B34" s="16"/>
      <c r="C34" s="130"/>
      <c r="D34" s="520" t="s">
        <v>174</v>
      </c>
      <c r="E34" s="765"/>
      <c r="F34" s="1796">
        <f t="shared" ref="F34:K34" si="6">IF(Land_AdjType_1&lt;&gt;"$ per Unit",IF(AND(F35=0,F36=0,F37=0),0,IF(F35&lt;&gt;0,F35,IF(F36&lt;&gt;0,IF(dpUnit_Land_1="Per Usable Acre",(F36/F$15)/F$23,IF(dpUnit_Land_1="Per Gross Acre",(F36/F$17)/F$25,IF(dpUnit_Land_1="Per Usable Square Foot",(F36/F$16)/F$24,IF(dpUnit_Land_1="Per Gross Square Foot",(F36/F$18)/F$26,IF(dpUnit_Land_1="Per Front Foot",(F36/F$19)/F$27,IF(dpUnit_Land_1="Per Proposed Square Foot",(F36/F$20)/F$28,IF(dpUnit_Land="Per Lot",(F36/F$21)/F$29,(F36/F$22)/F$30))))))),IF(dpUnit_Land_1="Per Usable Acre",F37/F$23,IF(dpUnit_Land_1="Per Gross Acre",F37/F$25,IF(dpUnit_Land_1="Per Usable Square Foot",F37/F$24,IF(dpUnit_Land_1="Per Gross Square Foot",F37/F$26,IF(dpUnit_Land_1="Per Front Foot",F37/F$27,IF(dpUnit_Land_1="Per Proposed Square Foot",F37/F$28,IF(dpUnit_Land_1="Per Lot",F37/F$29,F37/F$30)))))))))),IF(Land_AdjType_1="$ per Unit",IF(AND(F35=0,F36=0,F37=0),0,IF(F35&lt;&gt;0,IF(dpUnit_Land_1="Per Usable Acre",F35*F$23,IF(dpUnit_Land_1="Per Gross Acre",F35*F$25,IF(dpUnit_Land_1="Per Usable Square Foot",F35*F$24,IF(dpUnit_Land_1="Per Gross Square Foot",F35*F$26,IF(dpUnit_Land_1="Per Front Foot",F35*F$27,IF(dpUnit_Land_1="Per Proposed Square Foot",F35*F$28,IF(dpUnit_Land_1="Per Lot",F35*F$29,F35*F$30))))))),IF(F36&lt;&gt;0,IF(dpUnit_Land_1="Per Usable Acre",F36/F$15,IF(dpUnit_Land_1="Per Gross Acre",F36/F$17,IF(dpUnit_Land_1="Per Usable Square Foot",F36/F$16,IF(dpUnit_Land_1="Per Gross Square Foot",F36/F$18,IF(dpUnit_Land_1="Per Front Foot",F36/F$19,IF(dpUnit_Land_1="Per Proposed Square Foot",F36/F$20,IF(dpUnit_Land_1="Per Lot",F36/F$21,F36/F$22))))))),F37)))))</f>
        <v>0</v>
      </c>
      <c r="G34" s="1796">
        <f t="shared" si="6"/>
        <v>0</v>
      </c>
      <c r="H34" s="1796">
        <f t="shared" si="6"/>
        <v>0</v>
      </c>
      <c r="I34" s="1796">
        <f t="shared" si="6"/>
        <v>0</v>
      </c>
      <c r="J34" s="1796">
        <f t="shared" si="6"/>
        <v>0</v>
      </c>
      <c r="K34" s="1958">
        <f t="shared" si="6"/>
        <v>0</v>
      </c>
      <c r="L34" s="763"/>
      <c r="M34" s="74"/>
      <c r="N34" s="32"/>
      <c r="O34" s="32"/>
      <c r="P34" s="32"/>
      <c r="Q34" s="32"/>
      <c r="R34" s="32"/>
      <c r="S34" s="32"/>
      <c r="T34" s="10"/>
      <c r="U34" s="10"/>
      <c r="V34" s="10"/>
      <c r="W34" s="10"/>
      <c r="X34" s="10"/>
      <c r="Y34" s="10"/>
      <c r="Z34" s="10"/>
      <c r="AA34" s="10"/>
      <c r="AB34" s="10"/>
      <c r="AC34" s="10"/>
      <c r="AD34" s="10"/>
      <c r="AE34" s="10"/>
      <c r="AF34" s="10"/>
      <c r="AG34" s="10"/>
      <c r="AH34" s="10"/>
      <c r="AI34" s="10"/>
      <c r="AJ34" s="10"/>
      <c r="AK34" s="10"/>
      <c r="AL34" s="10"/>
      <c r="AM34" s="10"/>
      <c r="AN34" s="10"/>
      <c r="AO34" s="10"/>
    </row>
    <row r="35" spans="1:41" ht="14.25" customHeight="1" x14ac:dyDescent="0.25">
      <c r="A35" s="972">
        <v>0</v>
      </c>
      <c r="B35" s="16"/>
      <c r="C35" s="130"/>
      <c r="D35" s="1151"/>
      <c r="E35" s="1180" t="s">
        <v>166</v>
      </c>
      <c r="F35" s="1818"/>
      <c r="G35" s="1818"/>
      <c r="H35" s="1818"/>
      <c r="I35" s="1818"/>
      <c r="J35" s="1818"/>
      <c r="K35" s="2848"/>
      <c r="L35" s="136"/>
      <c r="M35" s="74"/>
      <c r="N35" s="32"/>
      <c r="O35" s="32"/>
      <c r="P35" s="32"/>
      <c r="Q35" s="32"/>
      <c r="R35" s="32"/>
      <c r="S35" s="32"/>
      <c r="T35" s="10"/>
      <c r="U35" s="10"/>
      <c r="V35" s="10"/>
      <c r="W35" s="10"/>
      <c r="X35" s="10"/>
      <c r="Y35" s="10"/>
      <c r="Z35" s="10"/>
      <c r="AA35" s="10"/>
      <c r="AB35" s="10"/>
      <c r="AC35" s="10"/>
      <c r="AD35" s="10"/>
      <c r="AE35" s="10"/>
      <c r="AF35" s="10"/>
      <c r="AG35" s="10"/>
      <c r="AH35" s="10"/>
      <c r="AI35" s="10"/>
      <c r="AJ35" s="10"/>
      <c r="AK35" s="10"/>
      <c r="AL35" s="10"/>
      <c r="AM35" s="10"/>
      <c r="AN35" s="10"/>
      <c r="AO35" s="10"/>
    </row>
    <row r="36" spans="1:41" ht="14.25" customHeight="1" x14ac:dyDescent="0.25">
      <c r="A36" s="972">
        <v>0</v>
      </c>
      <c r="B36" s="16"/>
      <c r="C36" s="130"/>
      <c r="D36" s="1151"/>
      <c r="E36" s="1180" t="s">
        <v>167</v>
      </c>
      <c r="F36" s="1819"/>
      <c r="G36" s="1819"/>
      <c r="H36" s="1819"/>
      <c r="I36" s="1819"/>
      <c r="J36" s="1819"/>
      <c r="K36" s="2849"/>
      <c r="L36" s="1152"/>
      <c r="M36" s="74"/>
      <c r="N36" s="32"/>
      <c r="O36" s="32"/>
      <c r="P36" s="32"/>
      <c r="Q36" s="32"/>
      <c r="R36" s="32"/>
      <c r="S36" s="32"/>
      <c r="T36" s="10"/>
      <c r="U36" s="10"/>
      <c r="V36" s="10"/>
      <c r="W36" s="10"/>
      <c r="X36" s="10"/>
      <c r="Y36" s="10"/>
      <c r="Z36" s="10"/>
      <c r="AA36" s="10"/>
      <c r="AB36" s="10"/>
      <c r="AC36" s="10"/>
      <c r="AD36" s="10"/>
      <c r="AE36" s="10"/>
      <c r="AF36" s="10"/>
      <c r="AG36" s="10"/>
      <c r="AH36" s="10"/>
      <c r="AI36" s="10"/>
      <c r="AJ36" s="10"/>
      <c r="AK36" s="10"/>
      <c r="AL36" s="10"/>
      <c r="AM36" s="10"/>
      <c r="AN36" s="10"/>
      <c r="AO36" s="10"/>
    </row>
    <row r="37" spans="1:41" ht="14.25" customHeight="1" x14ac:dyDescent="0.25">
      <c r="A37" s="972">
        <v>0</v>
      </c>
      <c r="B37" s="16"/>
      <c r="C37" s="130"/>
      <c r="D37" s="1151"/>
      <c r="E37" s="1180" t="str">
        <f>CONCATENATE("Enter $/",dpUnit_Land," Adj.")</f>
        <v>Enter $/per Usable Square Foot Adj.</v>
      </c>
      <c r="F37" s="1820"/>
      <c r="G37" s="1820"/>
      <c r="H37" s="1820"/>
      <c r="I37" s="1820"/>
      <c r="J37" s="1820"/>
      <c r="K37" s="2850"/>
      <c r="L37" s="1153"/>
      <c r="M37" s="74"/>
      <c r="N37" s="32"/>
      <c r="O37" s="32"/>
      <c r="P37" s="32"/>
      <c r="Q37" s="32"/>
      <c r="R37" s="32"/>
      <c r="S37" s="32"/>
      <c r="T37" s="10"/>
      <c r="U37" s="10"/>
      <c r="V37" s="10"/>
      <c r="W37" s="10"/>
      <c r="X37" s="10"/>
      <c r="Y37" s="10"/>
      <c r="Z37" s="10"/>
      <c r="AA37" s="10"/>
      <c r="AB37" s="10"/>
      <c r="AC37" s="10"/>
      <c r="AD37" s="10"/>
      <c r="AE37" s="10"/>
      <c r="AF37" s="10"/>
      <c r="AG37" s="10"/>
      <c r="AH37" s="10"/>
      <c r="AI37" s="10"/>
      <c r="AJ37" s="10"/>
      <c r="AK37" s="10"/>
      <c r="AL37" s="10"/>
      <c r="AM37" s="10"/>
      <c r="AN37" s="10"/>
      <c r="AO37" s="10"/>
    </row>
    <row r="38" spans="1:41" ht="14.25" customHeight="1" x14ac:dyDescent="0.25">
      <c r="A38" s="972">
        <f>IF(Land_AdjType_1="Qualitative",0,1)</f>
        <v>1</v>
      </c>
      <c r="B38" s="16"/>
      <c r="C38" s="130"/>
      <c r="D38" s="520" t="s">
        <v>1364</v>
      </c>
      <c r="E38" s="1180"/>
      <c r="F38" s="1821" t="e">
        <f t="shared" ref="F38:K38" si="7">IF(Land_AdjType_1&lt;&gt;"$ per Unit",IF(dpUnit_Land_1="Per Usable Acre",F$23*(1+F34),IF(dpUnit_Land_1="Per Gross Acre",F$25*(1+F34),IF(dpUnit_Land_1="Per Usable Square Foot",F$24*(1+F34),IF(dpUnit_Land_1="Per Gross Square Foot",F$26*(1+F34),IF(dpUnit_Land_1="Per Front Foot",F$27*(1+F34),IF(dpUnit_Land_1="Per Proposed Square Foot",F$28*(1+F34),IF(dpUnit_Land_1="Per Lot",F$29*(1+F34),F$30*(1+F34)))))))),IF(Land_AdjType_1="$ per Unit",IF(dpUnit_Land_1="Per Usable Acre",F$23+F34,IF(dpUnit_Land_1="Per Gross Acre",F$25+F34,IF(dpUnit_Land_1="Per Usable Square Foot",F$24+F34,IF(dpUnit_Land_1="Per Gross Square Foot",F$26+F34,IF(dpUnit_Land_1="Per Front Foot",F$27+F34,IF(dpUnit_Land_1="Per Proposed Square Foot",F$28+F34,IF(dpUnit_Land_1="Per Lot",F$29+F34,F$30+F34))))))),F34))</f>
        <v>#DIV/0!</v>
      </c>
      <c r="G38" s="1821" t="e">
        <f t="shared" si="7"/>
        <v>#DIV/0!</v>
      </c>
      <c r="H38" s="1821" t="e">
        <f t="shared" si="7"/>
        <v>#DIV/0!</v>
      </c>
      <c r="I38" s="1821" t="e">
        <f t="shared" si="7"/>
        <v>#DIV/0!</v>
      </c>
      <c r="J38" s="1821" t="e">
        <f t="shared" si="7"/>
        <v>#DIV/0!</v>
      </c>
      <c r="K38" s="2851" t="e">
        <f t="shared" si="7"/>
        <v>#DIV/0!</v>
      </c>
      <c r="L38" s="1153"/>
      <c r="M38" s="74"/>
      <c r="N38" s="32"/>
      <c r="O38" s="32"/>
      <c r="P38" s="32"/>
      <c r="Q38" s="32"/>
      <c r="R38" s="32"/>
      <c r="S38" s="32"/>
      <c r="T38" s="10"/>
      <c r="U38" s="10"/>
      <c r="V38" s="10"/>
      <c r="W38" s="10"/>
      <c r="X38" s="10"/>
      <c r="Y38" s="10"/>
      <c r="Z38" s="10"/>
      <c r="AA38" s="10"/>
      <c r="AB38" s="10"/>
      <c r="AC38" s="10"/>
      <c r="AD38" s="10"/>
      <c r="AE38" s="10"/>
      <c r="AF38" s="10"/>
      <c r="AG38" s="10"/>
      <c r="AH38" s="10"/>
      <c r="AI38" s="10"/>
      <c r="AJ38" s="10"/>
      <c r="AK38" s="10"/>
      <c r="AL38" s="10"/>
      <c r="AM38" s="10"/>
      <c r="AN38" s="10"/>
      <c r="AO38" s="10"/>
    </row>
    <row r="39" spans="1:41" ht="8.1" customHeight="1" x14ac:dyDescent="0.25">
      <c r="A39" s="972">
        <v>1</v>
      </c>
      <c r="B39" s="16"/>
      <c r="C39" s="130"/>
      <c r="D39" s="766"/>
      <c r="E39" s="765"/>
      <c r="F39" s="1822"/>
      <c r="G39" s="1822"/>
      <c r="H39" s="1822"/>
      <c r="I39" s="1822"/>
      <c r="J39" s="1822"/>
      <c r="K39" s="1978"/>
      <c r="L39" s="1146"/>
      <c r="M39" s="74"/>
      <c r="N39" s="32"/>
      <c r="O39" s="32"/>
      <c r="P39" s="32"/>
      <c r="Q39" s="32"/>
      <c r="R39" s="32"/>
      <c r="S39" s="32"/>
      <c r="T39" s="10"/>
      <c r="U39" s="10"/>
      <c r="V39" s="10"/>
      <c r="W39" s="10"/>
      <c r="X39" s="10"/>
      <c r="Y39" s="10"/>
      <c r="Z39" s="10"/>
      <c r="AA39" s="10"/>
      <c r="AB39" s="10"/>
      <c r="AC39" s="10"/>
      <c r="AD39" s="10"/>
      <c r="AE39" s="10"/>
      <c r="AF39" s="10"/>
      <c r="AG39" s="10"/>
      <c r="AH39" s="10"/>
      <c r="AI39" s="10"/>
      <c r="AJ39" s="10"/>
      <c r="AK39" s="10"/>
      <c r="AL39" s="10"/>
      <c r="AM39" s="10"/>
      <c r="AN39" s="10"/>
      <c r="AO39" s="10"/>
    </row>
    <row r="40" spans="1:41" x14ac:dyDescent="0.25">
      <c r="A40" s="972">
        <v>1</v>
      </c>
      <c r="B40" s="16"/>
      <c r="C40" s="130"/>
      <c r="D40" s="1489" t="s">
        <v>165</v>
      </c>
      <c r="E40" s="1148" t="s">
        <v>969</v>
      </c>
      <c r="F40" s="1823"/>
      <c r="G40" s="1823"/>
      <c r="H40" s="1823"/>
      <c r="I40" s="1823"/>
      <c r="J40" s="1823"/>
      <c r="K40" s="1155"/>
      <c r="L40" s="763"/>
      <c r="M40" s="74"/>
      <c r="N40" s="32"/>
      <c r="O40" s="32"/>
      <c r="P40" s="32"/>
      <c r="Q40" s="32"/>
      <c r="R40" s="32"/>
      <c r="S40" s="32"/>
      <c r="T40" s="10"/>
      <c r="U40" s="10"/>
      <c r="V40" s="10"/>
      <c r="W40" s="10"/>
      <c r="X40" s="10"/>
      <c r="Y40" s="10"/>
      <c r="Z40" s="10"/>
      <c r="AA40" s="10"/>
      <c r="AB40" s="10"/>
      <c r="AC40" s="10"/>
      <c r="AD40" s="10"/>
      <c r="AE40" s="10"/>
      <c r="AF40" s="10"/>
      <c r="AG40" s="10"/>
      <c r="AH40" s="10"/>
      <c r="AI40" s="10"/>
      <c r="AJ40" s="10"/>
      <c r="AK40" s="10"/>
      <c r="AL40" s="10"/>
      <c r="AM40" s="10"/>
      <c r="AN40" s="10"/>
      <c r="AO40" s="10"/>
    </row>
    <row r="41" spans="1:41" ht="14.25" customHeight="1" x14ac:dyDescent="0.25">
      <c r="A41" s="972">
        <f>IF(SUM(Land_FinancingTermsRange_1)=0,0,1)</f>
        <v>0</v>
      </c>
      <c r="B41" s="16"/>
      <c r="C41" s="130"/>
      <c r="D41" s="520" t="s">
        <v>174</v>
      </c>
      <c r="E41" s="765"/>
      <c r="F41" s="1796">
        <f t="shared" ref="F41:K41" si="8">IF(Land_AdjType_1&lt;&gt;"$ per Unit",IF(AND(F42=0,F43=0,F44=0),0,IF(F42&lt;&gt;0,F42,IF(F43&lt;&gt;0,IF(dpUnit_Land_1="Per Usable Acre",(F43/F$15)/F$23,IF(dpUnit_Land_1="Per Gross Acre",(F43/F$17)/F$25,IF(dpUnit_Land_1="Per Usable Square Foot",(F43/F$16)/F$24,IF(dpUnit_Land_1="Per Gross Square Foot",(F43/F$18)/F$26,IF(dpUnit_Land_1="Per Front Foot",(F43/F$19)/F$27,IF(dpUnit_Land_1="Per Proposed Square Foot",(F43/F$20)/F$28,IF(dpUnit_Land="Per Lot",(F43/F$21)/F$29,(F43/F$22)/F$30))))))),IF(dpUnit_Land_1="Per Usable Acre",F44/F$23,IF(dpUnit_Land_1="Per Gross Acre",F44/F$25,IF(dpUnit_Land_1="Per Usable Square Foot",F44/F$24,IF(dpUnit_Land_1="Per Gross Square Foot",F44/F$26,IF(dpUnit_Land_1="Per Front Foot",F44/F$27,IF(dpUnit_Land_1="Per Proposed Square Foot",F44/F$28,IF(dpUnit_Land_1="Per Lot",F44/F$29,F44/F$30)))))))))),IF(Land_AdjType_1="$ per Unit",IF(AND(F42=0,F43=0,F44=0),0,IF(F42&lt;&gt;0,IF(dpUnit_Land_1="Per Usable Acre",F42*F$23,IF(dpUnit_Land_1="Per Gross Acre",F42*F$25,IF(dpUnit_Land_1="Per Usable Square Foot",F42*F$24,IF(dpUnit_Land_1="Per Gross Square Foot",F42*F$26,IF(dpUnit_Land_1="Per Front Foot",F42*F$27,IF(dpUnit_Land_1="Per Proposed Square Foot",F42*F$28,IF(dpUnit_Land_1="Per Lot",F42*F$29,F42*F$30))))))),IF(F43&lt;&gt;0,IF(dpUnit_Land_1="Per Usable Acre",F43/F$15,IF(dpUnit_Land_1="Per Gross Acre",F43/F$17,IF(dpUnit_Land_1="Per Usable Square Foot",F43/F$16,IF(dpUnit_Land_1="Per Gross Square Foot",F43/F$18,IF(dpUnit_Land_1="Per Front Foot",F43/F$19,IF(dpUnit_Land_1="Per Proposed Square Foot",F43/F$20,IF(dpUnit_Land_1="Per Lot",F43/F$21,F43/F$22))))))),F44)))))</f>
        <v>0</v>
      </c>
      <c r="G41" s="1796">
        <f t="shared" si="8"/>
        <v>0</v>
      </c>
      <c r="H41" s="1796">
        <f t="shared" si="8"/>
        <v>0</v>
      </c>
      <c r="I41" s="1796">
        <f t="shared" si="8"/>
        <v>0</v>
      </c>
      <c r="J41" s="1796">
        <f t="shared" si="8"/>
        <v>0</v>
      </c>
      <c r="K41" s="1958">
        <f t="shared" si="8"/>
        <v>0</v>
      </c>
      <c r="L41" s="763"/>
      <c r="M41" s="74"/>
      <c r="N41" s="32"/>
      <c r="O41" s="32"/>
      <c r="P41" s="32"/>
      <c r="Q41" s="32"/>
      <c r="R41" s="32"/>
      <c r="S41" s="32"/>
      <c r="T41" s="10"/>
      <c r="U41" s="10"/>
      <c r="V41" s="10"/>
      <c r="W41" s="10"/>
      <c r="X41" s="10"/>
      <c r="Y41" s="10"/>
      <c r="Z41" s="10"/>
      <c r="AA41" s="10"/>
      <c r="AB41" s="10"/>
      <c r="AC41" s="10"/>
      <c r="AD41" s="10"/>
      <c r="AE41" s="10"/>
      <c r="AF41" s="10"/>
      <c r="AG41" s="10"/>
      <c r="AH41" s="10"/>
      <c r="AI41" s="10"/>
      <c r="AJ41" s="10"/>
      <c r="AK41" s="10"/>
      <c r="AL41" s="10"/>
      <c r="AM41" s="10"/>
      <c r="AN41" s="10"/>
      <c r="AO41" s="10"/>
    </row>
    <row r="42" spans="1:41" ht="14.25" customHeight="1" x14ac:dyDescent="0.25">
      <c r="A42" s="972">
        <v>0</v>
      </c>
      <c r="B42" s="16"/>
      <c r="C42" s="130"/>
      <c r="D42" s="766"/>
      <c r="E42" s="1180" t="s">
        <v>166</v>
      </c>
      <c r="F42" s="1818"/>
      <c r="G42" s="1818"/>
      <c r="H42" s="1818"/>
      <c r="I42" s="1818"/>
      <c r="J42" s="1818"/>
      <c r="K42" s="2848"/>
      <c r="L42" s="136"/>
      <c r="M42" s="74"/>
      <c r="N42" s="32"/>
      <c r="O42" s="32"/>
      <c r="P42" s="32"/>
      <c r="Q42" s="32"/>
      <c r="R42" s="32"/>
      <c r="S42" s="32"/>
      <c r="T42" s="10"/>
      <c r="U42" s="10"/>
      <c r="V42" s="10"/>
      <c r="W42" s="10"/>
      <c r="X42" s="10"/>
      <c r="Y42" s="10"/>
      <c r="Z42" s="10"/>
      <c r="AA42" s="10"/>
      <c r="AB42" s="10"/>
      <c r="AC42" s="10"/>
      <c r="AD42" s="10"/>
      <c r="AE42" s="10"/>
      <c r="AF42" s="10"/>
      <c r="AG42" s="10"/>
      <c r="AH42" s="10"/>
      <c r="AI42" s="10"/>
      <c r="AJ42" s="10"/>
      <c r="AK42" s="10"/>
      <c r="AL42" s="10"/>
      <c r="AM42" s="10"/>
      <c r="AN42" s="10"/>
      <c r="AO42" s="10"/>
    </row>
    <row r="43" spans="1:41" ht="14.25" customHeight="1" x14ac:dyDescent="0.25">
      <c r="A43" s="972">
        <v>0</v>
      </c>
      <c r="B43" s="16"/>
      <c r="C43" s="130"/>
      <c r="D43" s="766"/>
      <c r="E43" s="1180" t="s">
        <v>167</v>
      </c>
      <c r="F43" s="1819"/>
      <c r="G43" s="1819"/>
      <c r="H43" s="1819"/>
      <c r="I43" s="1819"/>
      <c r="J43" s="1819"/>
      <c r="K43" s="2849"/>
      <c r="L43" s="1152"/>
      <c r="M43" s="74"/>
      <c r="N43" s="32"/>
      <c r="O43" s="32"/>
      <c r="P43" s="32"/>
      <c r="Q43" s="32"/>
      <c r="R43" s="32"/>
      <c r="S43" s="32"/>
      <c r="T43" s="10"/>
      <c r="U43" s="10"/>
      <c r="V43" s="10"/>
      <c r="W43" s="10"/>
      <c r="X43" s="10"/>
      <c r="Y43" s="10"/>
      <c r="Z43" s="10"/>
      <c r="AA43" s="10"/>
      <c r="AB43" s="10"/>
      <c r="AC43" s="10"/>
      <c r="AD43" s="10"/>
      <c r="AE43" s="10"/>
      <c r="AF43" s="10"/>
      <c r="AG43" s="10"/>
      <c r="AH43" s="10"/>
      <c r="AI43" s="10"/>
      <c r="AJ43" s="10"/>
      <c r="AK43" s="10"/>
      <c r="AL43" s="10"/>
      <c r="AM43" s="10"/>
      <c r="AN43" s="10"/>
      <c r="AO43" s="10"/>
    </row>
    <row r="44" spans="1:41" ht="14.25" customHeight="1" x14ac:dyDescent="0.25">
      <c r="A44" s="972">
        <v>0</v>
      </c>
      <c r="B44" s="16"/>
      <c r="C44" s="130"/>
      <c r="D44" s="766"/>
      <c r="E44" s="1180" t="str">
        <f>CONCATENATE("Enter $/",dpUnit_Land," Adj.")</f>
        <v>Enter $/per Usable Square Foot Adj.</v>
      </c>
      <c r="F44" s="1820"/>
      <c r="G44" s="1820"/>
      <c r="H44" s="1820"/>
      <c r="I44" s="1820"/>
      <c r="J44" s="1820"/>
      <c r="K44" s="2850"/>
      <c r="L44" s="1153"/>
      <c r="M44" s="74"/>
      <c r="N44" s="32"/>
      <c r="O44" s="32"/>
      <c r="P44" s="32"/>
      <c r="Q44" s="32"/>
      <c r="R44" s="32"/>
      <c r="S44" s="32"/>
      <c r="T44" s="10"/>
      <c r="U44" s="10"/>
      <c r="V44" s="10"/>
      <c r="W44" s="10"/>
      <c r="X44" s="10"/>
      <c r="Y44" s="10"/>
      <c r="Z44" s="10"/>
      <c r="AA44" s="10"/>
      <c r="AB44" s="10"/>
      <c r="AC44" s="10"/>
      <c r="AD44" s="10"/>
      <c r="AE44" s="10"/>
      <c r="AF44" s="10"/>
      <c r="AG44" s="10"/>
      <c r="AH44" s="10"/>
      <c r="AI44" s="10"/>
      <c r="AJ44" s="10"/>
      <c r="AK44" s="10"/>
      <c r="AL44" s="10"/>
      <c r="AM44" s="10"/>
      <c r="AN44" s="10"/>
      <c r="AO44" s="10"/>
    </row>
    <row r="45" spans="1:41" ht="14.25" customHeight="1" x14ac:dyDescent="0.25">
      <c r="A45" s="972">
        <f>IF(Land_AdjType_1="Qualitative",0,1)</f>
        <v>1</v>
      </c>
      <c r="B45" s="16"/>
      <c r="C45" s="130"/>
      <c r="D45" s="520" t="s">
        <v>1364</v>
      </c>
      <c r="E45" s="1180"/>
      <c r="F45" s="1821" t="e">
        <f t="shared" ref="F45:K45" si="9">IF(Land_AdjType_1&lt;&gt;"$ per Unit",F38*(1+F41),IF(Land_AdjType_1="$ per Unit",F38+F41,F41))</f>
        <v>#DIV/0!</v>
      </c>
      <c r="G45" s="1821" t="e">
        <f t="shared" si="9"/>
        <v>#DIV/0!</v>
      </c>
      <c r="H45" s="1821" t="e">
        <f t="shared" si="9"/>
        <v>#DIV/0!</v>
      </c>
      <c r="I45" s="1821" t="e">
        <f t="shared" si="9"/>
        <v>#DIV/0!</v>
      </c>
      <c r="J45" s="1821" t="e">
        <f t="shared" si="9"/>
        <v>#DIV/0!</v>
      </c>
      <c r="K45" s="2851" t="e">
        <f t="shared" si="9"/>
        <v>#DIV/0!</v>
      </c>
      <c r="L45" s="1153"/>
      <c r="M45" s="74"/>
      <c r="N45" s="32"/>
      <c r="O45" s="32"/>
      <c r="P45" s="32"/>
      <c r="Q45" s="32"/>
      <c r="R45" s="32"/>
      <c r="S45" s="32"/>
      <c r="T45" s="10"/>
      <c r="U45" s="10"/>
      <c r="V45" s="10"/>
      <c r="W45" s="10"/>
      <c r="X45" s="10"/>
      <c r="Y45" s="10"/>
      <c r="Z45" s="10"/>
      <c r="AA45" s="10"/>
      <c r="AB45" s="10"/>
      <c r="AC45" s="10"/>
      <c r="AD45" s="10"/>
      <c r="AE45" s="10"/>
      <c r="AF45" s="10"/>
      <c r="AG45" s="10"/>
      <c r="AH45" s="10"/>
      <c r="AI45" s="10"/>
      <c r="AJ45" s="10"/>
      <c r="AK45" s="10"/>
      <c r="AL45" s="10"/>
      <c r="AM45" s="10"/>
      <c r="AN45" s="10"/>
      <c r="AO45" s="10"/>
    </row>
    <row r="46" spans="1:41" ht="8.1" customHeight="1" x14ac:dyDescent="0.25">
      <c r="A46" s="972">
        <v>1</v>
      </c>
      <c r="B46" s="16"/>
      <c r="C46" s="130"/>
      <c r="D46" s="766"/>
      <c r="E46" s="765"/>
      <c r="F46" s="1822"/>
      <c r="G46" s="1822"/>
      <c r="H46" s="1822"/>
      <c r="I46" s="1822"/>
      <c r="J46" s="1822"/>
      <c r="K46" s="1978"/>
      <c r="L46" s="1146"/>
      <c r="M46" s="74"/>
      <c r="N46" s="32"/>
      <c r="O46" s="32"/>
      <c r="P46" s="32"/>
      <c r="Q46" s="32"/>
      <c r="R46" s="32"/>
      <c r="S46" s="32"/>
      <c r="T46" s="10"/>
      <c r="U46" s="10"/>
      <c r="V46" s="10"/>
      <c r="W46" s="10"/>
      <c r="X46" s="10"/>
      <c r="Y46" s="10"/>
      <c r="Z46" s="10"/>
      <c r="AA46" s="10"/>
      <c r="AB46" s="10"/>
      <c r="AC46" s="10"/>
      <c r="AD46" s="10"/>
      <c r="AE46" s="10"/>
      <c r="AF46" s="10"/>
      <c r="AG46" s="10"/>
      <c r="AH46" s="10"/>
      <c r="AI46" s="10"/>
      <c r="AJ46" s="10"/>
      <c r="AK46" s="10"/>
      <c r="AL46" s="10"/>
      <c r="AM46" s="10"/>
      <c r="AN46" s="10"/>
      <c r="AO46" s="10"/>
    </row>
    <row r="47" spans="1:41" x14ac:dyDescent="0.25">
      <c r="A47" s="972">
        <v>1</v>
      </c>
      <c r="B47" s="16"/>
      <c r="C47" s="130"/>
      <c r="D47" s="1489" t="s">
        <v>284</v>
      </c>
      <c r="E47" s="1148" t="s">
        <v>175</v>
      </c>
      <c r="F47" s="1823"/>
      <c r="G47" s="1823"/>
      <c r="H47" s="1823"/>
      <c r="I47" s="1823"/>
      <c r="J47" s="1823"/>
      <c r="K47" s="1155"/>
      <c r="L47" s="763"/>
      <c r="M47" s="74"/>
      <c r="N47" s="32"/>
      <c r="O47" s="32"/>
      <c r="P47" s="32"/>
      <c r="Q47" s="32"/>
      <c r="R47" s="32"/>
      <c r="S47" s="32"/>
      <c r="T47" s="10"/>
      <c r="U47" s="10"/>
      <c r="V47" s="10"/>
      <c r="W47" s="10"/>
      <c r="X47" s="10"/>
      <c r="Y47" s="10"/>
      <c r="Z47" s="10"/>
      <c r="AA47" s="10"/>
      <c r="AB47" s="10"/>
      <c r="AC47" s="10"/>
      <c r="AD47" s="10"/>
      <c r="AE47" s="10"/>
      <c r="AF47" s="10"/>
      <c r="AG47" s="10"/>
      <c r="AH47" s="10"/>
      <c r="AI47" s="10"/>
      <c r="AJ47" s="10"/>
      <c r="AK47" s="10"/>
      <c r="AL47" s="10"/>
      <c r="AM47" s="10"/>
      <c r="AN47" s="10"/>
      <c r="AO47" s="10"/>
    </row>
    <row r="48" spans="1:41" ht="14.25" customHeight="1" x14ac:dyDescent="0.25">
      <c r="A48" s="972">
        <f>IF(SUM(Land_ConditionsofSaleRange_1)=0,0,1)</f>
        <v>0</v>
      </c>
      <c r="B48" s="16"/>
      <c r="C48" s="130"/>
      <c r="D48" s="520" t="s">
        <v>174</v>
      </c>
      <c r="E48" s="765"/>
      <c r="F48" s="1796">
        <f t="shared" ref="F48:K48" si="10">IF(Land_AdjType_1&lt;&gt;"$ per Unit",IF(AND(F49=0,F50=0,F51=0),0,IF(F49&lt;&gt;0,F49,IF(F50&lt;&gt;0,IF(dpUnit_Land_1="Per Usable Acre",(F50/F$15)/F$23,IF(dpUnit_Land_1="Per Gross Acre",(F50/F$17)/F$25,IF(dpUnit_Land_1="Per Usable Square Foot",(F50/F$16)/F$24,IF(dpUnit_Land_1="Per Gross Square Foot",(F50/F$18)/F$26,IF(dpUnit_Land_1="Per Front Foot",(F50/F$19)/F$27,IF(dpUnit_Land_1="Per Proposed Square Foot",(F50/F$20)/F$28,IF(dpUnit_Land="Per Lot",(F50/F$21)/F$29,(F50/F$22)/F$30))))))),IF(dpUnit_Land_1="Per Usable Acre",F51/F$23,IF(dpUnit_Land_1="Per Gross Acre",F51/F$25,IF(dpUnit_Land_1="Per Usable Square Foot",F51/F$24,IF(dpUnit_Land_1="Per Gross Square Foot",F51/F$26,IF(dpUnit_Land_1="Per Front Foot",F51/F$27,IF(dpUnit_Land_1="Per Proposed Square Foot",F51/F$28,IF(dpUnit_Land_1="Per Lot",F51/F$29,F51/F$30)))))))))),IF(Land_AdjType_1="$ per Unit",IF(AND(F49=0,F50=0,F51=0),0,IF(F49&lt;&gt;0,IF(dpUnit_Land_1="Per Usable Acre",F49*F$23,IF(dpUnit_Land_1="Per Gross Acre",F49*F$25,IF(dpUnit_Land_1="Per Usable Square Foot",F49*F$24,IF(dpUnit_Land_1="Per Gross Square Foot",F49*F$26,IF(dpUnit_Land_1="Per Front Foot",F49*F$27,IF(dpUnit_Land_1="Per Proposed Square Foot",F49*F$28,IF(dpUnit_Land_1="Per Lot",F49*F$29,F49*F$30))))))),IF(F50&lt;&gt;0,IF(dpUnit_Land_1="Per Usable Acre",F50/F$15,IF(dpUnit_Land_1="Per Gross Acre",F50/F$17,IF(dpUnit_Land_1="Per Usable Square Foot",F50/F$16,IF(dpUnit_Land_1="Per Gross Square Foot",F50/F$18,IF(dpUnit_Land_1="Per Front Foot",F50/F$19,IF(dpUnit_Land_1="Per Proposed Square Foot",F50/F$20,IF(dpUnit_Land_1="Per Lot",F50/F$21,F50/F$22))))))),F51)))))</f>
        <v>0</v>
      </c>
      <c r="G48" s="1796">
        <f t="shared" si="10"/>
        <v>0</v>
      </c>
      <c r="H48" s="1796">
        <f t="shared" si="10"/>
        <v>0</v>
      </c>
      <c r="I48" s="1796">
        <f t="shared" si="10"/>
        <v>0</v>
      </c>
      <c r="J48" s="1796">
        <f t="shared" si="10"/>
        <v>0</v>
      </c>
      <c r="K48" s="1958">
        <f t="shared" si="10"/>
        <v>0</v>
      </c>
      <c r="L48" s="763"/>
      <c r="M48" s="74"/>
      <c r="N48" s="32"/>
      <c r="O48" s="32"/>
      <c r="P48" s="32"/>
      <c r="Q48" s="32"/>
      <c r="R48" s="32"/>
      <c r="S48" s="32"/>
      <c r="T48" s="10"/>
      <c r="U48" s="10"/>
      <c r="V48" s="10"/>
      <c r="W48" s="10"/>
      <c r="X48" s="10"/>
      <c r="Y48" s="10"/>
      <c r="Z48" s="10"/>
      <c r="AA48" s="10"/>
      <c r="AB48" s="10"/>
      <c r="AC48" s="10"/>
      <c r="AD48" s="10"/>
      <c r="AE48" s="10"/>
      <c r="AF48" s="10"/>
      <c r="AG48" s="10"/>
      <c r="AH48" s="10"/>
      <c r="AI48" s="10"/>
      <c r="AJ48" s="10"/>
      <c r="AK48" s="10"/>
      <c r="AL48" s="10"/>
      <c r="AM48" s="10"/>
      <c r="AN48" s="10"/>
      <c r="AO48" s="10"/>
    </row>
    <row r="49" spans="1:41" ht="14.25" customHeight="1" x14ac:dyDescent="0.25">
      <c r="A49" s="972">
        <v>0</v>
      </c>
      <c r="B49" s="16"/>
      <c r="C49" s="130"/>
      <c r="D49" s="766"/>
      <c r="E49" s="1180" t="s">
        <v>166</v>
      </c>
      <c r="F49" s="1818"/>
      <c r="G49" s="1818"/>
      <c r="H49" s="1818"/>
      <c r="I49" s="1818"/>
      <c r="J49" s="1818"/>
      <c r="K49" s="2848"/>
      <c r="L49" s="136"/>
      <c r="M49" s="74"/>
      <c r="N49" s="32"/>
      <c r="O49" s="32"/>
      <c r="P49" s="32"/>
      <c r="Q49" s="32"/>
      <c r="R49" s="32"/>
      <c r="S49" s="32"/>
      <c r="T49" s="10"/>
      <c r="U49" s="10"/>
      <c r="V49" s="10"/>
      <c r="W49" s="10"/>
      <c r="X49" s="10"/>
      <c r="Y49" s="10"/>
      <c r="Z49" s="10"/>
      <c r="AA49" s="10"/>
      <c r="AB49" s="10"/>
      <c r="AC49" s="10"/>
      <c r="AD49" s="10"/>
      <c r="AE49" s="10"/>
      <c r="AF49" s="10"/>
      <c r="AG49" s="10"/>
      <c r="AH49" s="10"/>
      <c r="AI49" s="10"/>
      <c r="AJ49" s="10"/>
      <c r="AK49" s="10"/>
      <c r="AL49" s="10"/>
      <c r="AM49" s="10"/>
      <c r="AN49" s="10"/>
      <c r="AO49" s="10"/>
    </row>
    <row r="50" spans="1:41" ht="14.25" customHeight="1" x14ac:dyDescent="0.25">
      <c r="A50" s="972">
        <v>0</v>
      </c>
      <c r="B50" s="16"/>
      <c r="C50" s="130"/>
      <c r="D50" s="766"/>
      <c r="E50" s="1180" t="s">
        <v>167</v>
      </c>
      <c r="F50" s="1819"/>
      <c r="G50" s="1819"/>
      <c r="H50" s="1819"/>
      <c r="I50" s="1819"/>
      <c r="J50" s="1819"/>
      <c r="K50" s="2849"/>
      <c r="L50" s="1152"/>
      <c r="M50" s="74"/>
      <c r="N50" s="32"/>
      <c r="O50" s="32"/>
      <c r="P50" s="32"/>
      <c r="Q50" s="32"/>
      <c r="R50" s="32"/>
      <c r="S50" s="32"/>
      <c r="T50" s="10"/>
      <c r="U50" s="10"/>
      <c r="V50" s="10"/>
      <c r="W50" s="10"/>
      <c r="X50" s="10"/>
      <c r="Y50" s="10"/>
      <c r="Z50" s="10"/>
      <c r="AA50" s="10"/>
      <c r="AB50" s="10"/>
      <c r="AC50" s="10"/>
      <c r="AD50" s="10"/>
      <c r="AE50" s="10"/>
      <c r="AF50" s="10"/>
      <c r="AG50" s="10"/>
      <c r="AH50" s="10"/>
      <c r="AI50" s="10"/>
      <c r="AJ50" s="10"/>
      <c r="AK50" s="10"/>
      <c r="AL50" s="10"/>
      <c r="AM50" s="10"/>
      <c r="AN50" s="10"/>
      <c r="AO50" s="10"/>
    </row>
    <row r="51" spans="1:41" ht="14.25" customHeight="1" x14ac:dyDescent="0.25">
      <c r="A51" s="972">
        <v>0</v>
      </c>
      <c r="B51" s="16"/>
      <c r="C51" s="130"/>
      <c r="D51" s="766"/>
      <c r="E51" s="1180" t="str">
        <f>CONCATENATE("Enter $/",dpUnit_Land," Adj.")</f>
        <v>Enter $/per Usable Square Foot Adj.</v>
      </c>
      <c r="F51" s="1820"/>
      <c r="G51" s="1820"/>
      <c r="H51" s="1820"/>
      <c r="I51" s="1820"/>
      <c r="J51" s="1820"/>
      <c r="K51" s="2850"/>
      <c r="L51" s="1153"/>
      <c r="M51" s="74"/>
      <c r="N51" s="32"/>
      <c r="O51" s="32"/>
      <c r="P51" s="32"/>
      <c r="Q51" s="32"/>
      <c r="R51" s="32"/>
      <c r="S51" s="32"/>
      <c r="T51" s="10"/>
      <c r="U51" s="10"/>
      <c r="V51" s="10"/>
      <c r="W51" s="10"/>
      <c r="X51" s="10"/>
      <c r="Y51" s="10"/>
      <c r="Z51" s="10"/>
      <c r="AA51" s="10"/>
      <c r="AB51" s="10"/>
      <c r="AC51" s="10"/>
      <c r="AD51" s="10"/>
      <c r="AE51" s="10"/>
      <c r="AF51" s="10"/>
      <c r="AG51" s="10"/>
      <c r="AH51" s="10"/>
      <c r="AI51" s="10"/>
      <c r="AJ51" s="10"/>
      <c r="AK51" s="10"/>
      <c r="AL51" s="10"/>
      <c r="AM51" s="10"/>
      <c r="AN51" s="10"/>
      <c r="AO51" s="10"/>
    </row>
    <row r="52" spans="1:41" ht="14.25" customHeight="1" x14ac:dyDescent="0.25">
      <c r="A52" s="972">
        <f>IF(Land_AdjType_1="Qualitative",0,1)</f>
        <v>1</v>
      </c>
      <c r="B52" s="16"/>
      <c r="C52" s="130"/>
      <c r="D52" s="520" t="s">
        <v>1364</v>
      </c>
      <c r="E52" s="1180"/>
      <c r="F52" s="1821" t="e">
        <f t="shared" ref="F52:K52" si="11">IF(Land_AdjType_1&lt;&gt;"$ per Unit",F45*(1+F48),IF(Land_AdjType_1="$ per Unit",F45+F48,F48))</f>
        <v>#DIV/0!</v>
      </c>
      <c r="G52" s="1821" t="e">
        <f t="shared" si="11"/>
        <v>#DIV/0!</v>
      </c>
      <c r="H52" s="1821" t="e">
        <f t="shared" si="11"/>
        <v>#DIV/0!</v>
      </c>
      <c r="I52" s="1821" t="e">
        <f t="shared" si="11"/>
        <v>#DIV/0!</v>
      </c>
      <c r="J52" s="1821" t="e">
        <f t="shared" si="11"/>
        <v>#DIV/0!</v>
      </c>
      <c r="K52" s="2851" t="e">
        <f t="shared" si="11"/>
        <v>#DIV/0!</v>
      </c>
      <c r="L52" s="1153"/>
      <c r="M52" s="74"/>
      <c r="N52" s="32"/>
      <c r="O52" s="32"/>
      <c r="P52" s="32"/>
      <c r="Q52" s="32"/>
      <c r="R52" s="32"/>
      <c r="S52" s="32"/>
      <c r="T52" s="10"/>
      <c r="U52" s="10"/>
      <c r="V52" s="10"/>
      <c r="W52" s="10"/>
      <c r="X52" s="10"/>
      <c r="Y52" s="10"/>
      <c r="Z52" s="10"/>
      <c r="AA52" s="10"/>
      <c r="AB52" s="10"/>
      <c r="AC52" s="10"/>
      <c r="AD52" s="10"/>
      <c r="AE52" s="10"/>
      <c r="AF52" s="10"/>
      <c r="AG52" s="10"/>
      <c r="AH52" s="10"/>
      <c r="AI52" s="10"/>
      <c r="AJ52" s="10"/>
      <c r="AK52" s="10"/>
      <c r="AL52" s="10"/>
      <c r="AM52" s="10"/>
      <c r="AN52" s="10"/>
      <c r="AO52" s="10"/>
    </row>
    <row r="53" spans="1:41" ht="8.1" customHeight="1" x14ac:dyDescent="0.25">
      <c r="A53" s="972">
        <v>1</v>
      </c>
      <c r="B53" s="16"/>
      <c r="C53" s="130"/>
      <c r="D53" s="766"/>
      <c r="E53" s="765"/>
      <c r="F53" s="1822"/>
      <c r="G53" s="1822"/>
      <c r="H53" s="1822"/>
      <c r="I53" s="1822"/>
      <c r="J53" s="1822"/>
      <c r="K53" s="1978"/>
      <c r="L53" s="1146"/>
      <c r="M53" s="74"/>
      <c r="N53" s="32"/>
      <c r="O53" s="32"/>
      <c r="P53" s="32"/>
      <c r="Q53" s="32"/>
      <c r="R53" s="32"/>
      <c r="S53" s="32"/>
      <c r="T53" s="10"/>
      <c r="U53" s="10"/>
      <c r="V53" s="10"/>
      <c r="W53" s="10"/>
      <c r="X53" s="10"/>
      <c r="Y53" s="10"/>
      <c r="Z53" s="10"/>
      <c r="AA53" s="10"/>
      <c r="AB53" s="10"/>
      <c r="AC53" s="10"/>
      <c r="AD53" s="10"/>
      <c r="AE53" s="10"/>
      <c r="AF53" s="10"/>
      <c r="AG53" s="10"/>
      <c r="AH53" s="10"/>
      <c r="AI53" s="10"/>
      <c r="AJ53" s="10"/>
      <c r="AK53" s="10"/>
      <c r="AL53" s="10"/>
      <c r="AM53" s="10"/>
      <c r="AN53" s="10"/>
      <c r="AO53" s="10"/>
    </row>
    <row r="54" spans="1:41" x14ac:dyDescent="0.25">
      <c r="A54" s="972">
        <v>1</v>
      </c>
      <c r="B54" s="16"/>
      <c r="C54" s="130"/>
      <c r="D54" s="1489" t="s">
        <v>264</v>
      </c>
      <c r="E54" s="765"/>
      <c r="F54" s="1824"/>
      <c r="G54" s="1824"/>
      <c r="H54" s="1824"/>
      <c r="I54" s="1824"/>
      <c r="J54" s="1824"/>
      <c r="K54" s="2852"/>
      <c r="L54" s="765"/>
      <c r="M54" s="74"/>
      <c r="N54" s="32"/>
      <c r="O54" s="32"/>
      <c r="P54" s="32"/>
      <c r="Q54" s="32"/>
      <c r="R54" s="32"/>
      <c r="S54" s="32"/>
      <c r="T54" s="10"/>
      <c r="U54" s="10"/>
      <c r="V54" s="10"/>
      <c r="W54" s="10"/>
      <c r="X54" s="10"/>
      <c r="Y54" s="10"/>
      <c r="Z54" s="10"/>
      <c r="AA54" s="10"/>
      <c r="AB54" s="10"/>
      <c r="AC54" s="10"/>
      <c r="AD54" s="10"/>
      <c r="AE54" s="10"/>
      <c r="AF54" s="10"/>
      <c r="AG54" s="10"/>
      <c r="AH54" s="10"/>
      <c r="AI54" s="10"/>
      <c r="AJ54" s="10"/>
      <c r="AK54" s="10"/>
      <c r="AL54" s="10"/>
      <c r="AM54" s="10"/>
      <c r="AN54" s="10"/>
      <c r="AO54" s="10"/>
    </row>
    <row r="55" spans="1:41" ht="14.25" customHeight="1" x14ac:dyDescent="0.25">
      <c r="A55" s="972">
        <f>IFERROR(IF(SUM(Land_ExpendituresAfterSaleRange_1)=0,0,1),0)</f>
        <v>0</v>
      </c>
      <c r="B55" s="16"/>
      <c r="C55" s="130"/>
      <c r="D55" s="520" t="s">
        <v>174</v>
      </c>
      <c r="E55" s="765"/>
      <c r="F55" s="1796" t="e">
        <f t="shared" ref="F55:K55" si="12">IF(Land_AdjType_1&lt;&gt;"$ per Unit",IF(dpUnit_Land_1="Per Usable Acre",F54/(F52*F15),IF(dpUnit_Land_1="Per Gross Acre",F54/(F52*F17),IF(dpUnit_Land_1="Per Usable Square Foot",F54/(F52*F16),IF(dpUnit_Land_1="Per Gross Square Foot",F54/(F52*F18),IF(dpUnit_Land_1="Per Front Foot",F54/(F52*F19),IF(dpUnit_Land_1="Per Proposed Square Foot",F54/(F52*F20),IF(dpUnit_Land_1="Per Lot",F54/(F52*F21),F54/(F52*F22)))))))),IF(Land_AdjType_1="$ per Unit",IF(dpUnit_Land_1="Per Usable Acre",F54/F15,IF(dpUnit_Land_1="Per Gross Acre",F54/F17,IF(dpUnit_Land_1="Per Usable Square Foot",F54/F16,IF(dpUnit_Land_1="Per Gross Square Foot",F54/F18,IF(dpUnit_Land_1="Per Front Foot",F54/F19,IF(dpUnit_Land_1="Per Proposed Square Foot",F54/F20,IF(dpUnit_Land_1="Per Lot",F54/F2,F54/F52)))))))))</f>
        <v>#DIV/0!</v>
      </c>
      <c r="G55" s="1796" t="e">
        <f t="shared" si="12"/>
        <v>#DIV/0!</v>
      </c>
      <c r="H55" s="1796" t="e">
        <f t="shared" si="12"/>
        <v>#DIV/0!</v>
      </c>
      <c r="I55" s="1796" t="e">
        <f t="shared" si="12"/>
        <v>#DIV/0!</v>
      </c>
      <c r="J55" s="1796" t="e">
        <f t="shared" si="12"/>
        <v>#DIV/0!</v>
      </c>
      <c r="K55" s="1958" t="e">
        <f t="shared" si="12"/>
        <v>#DIV/0!</v>
      </c>
      <c r="L55" s="763"/>
      <c r="M55" s="74"/>
      <c r="N55" s="32"/>
      <c r="O55" s="32"/>
      <c r="P55" s="32"/>
      <c r="Q55" s="32"/>
      <c r="R55" s="32"/>
      <c r="S55" s="32"/>
      <c r="T55" s="10"/>
      <c r="U55" s="10"/>
      <c r="V55" s="10"/>
      <c r="W55" s="10"/>
      <c r="X55" s="10"/>
      <c r="Y55" s="10"/>
      <c r="Z55" s="10"/>
      <c r="AA55" s="10"/>
      <c r="AB55" s="10"/>
      <c r="AC55" s="10"/>
      <c r="AD55" s="10"/>
      <c r="AE55" s="10"/>
      <c r="AF55" s="10"/>
      <c r="AG55" s="10"/>
      <c r="AH55" s="10"/>
      <c r="AI55" s="10"/>
      <c r="AJ55" s="10"/>
      <c r="AK55" s="10"/>
      <c r="AL55" s="10"/>
      <c r="AM55" s="10"/>
      <c r="AN55" s="10"/>
      <c r="AO55" s="10"/>
    </row>
    <row r="56" spans="1:41" ht="14.25" customHeight="1" x14ac:dyDescent="0.25">
      <c r="A56" s="972">
        <f>IF(Land_AdjType_1="Qualitative",0,1)</f>
        <v>1</v>
      </c>
      <c r="B56" s="16"/>
      <c r="C56" s="130"/>
      <c r="D56" s="1147" t="s">
        <v>1364</v>
      </c>
      <c r="E56" s="765"/>
      <c r="F56" s="1825" t="e">
        <f t="shared" ref="F56:K56" si="13">IF(Land_AdjType_1&lt;&gt;"$ per Unit",F52*(1+F55),IF(Land_AdjType_1="$ per Unit",F52+F55))</f>
        <v>#DIV/0!</v>
      </c>
      <c r="G56" s="1825" t="e">
        <f t="shared" si="13"/>
        <v>#DIV/0!</v>
      </c>
      <c r="H56" s="1825" t="e">
        <f t="shared" si="13"/>
        <v>#DIV/0!</v>
      </c>
      <c r="I56" s="1825" t="e">
        <f t="shared" si="13"/>
        <v>#DIV/0!</v>
      </c>
      <c r="J56" s="1825" t="e">
        <f t="shared" si="13"/>
        <v>#DIV/0!</v>
      </c>
      <c r="K56" s="2853" t="e">
        <f t="shared" si="13"/>
        <v>#DIV/0!</v>
      </c>
      <c r="L56" s="1526"/>
      <c r="M56" s="74"/>
      <c r="N56" s="32"/>
      <c r="O56" s="32"/>
      <c r="P56" s="32"/>
      <c r="Q56" s="32"/>
      <c r="R56" s="32"/>
      <c r="S56" s="32"/>
      <c r="T56" s="10"/>
      <c r="U56" s="10"/>
      <c r="V56" s="10"/>
      <c r="W56" s="10"/>
      <c r="X56" s="10"/>
      <c r="Y56" s="10"/>
      <c r="Z56" s="10"/>
      <c r="AA56" s="10"/>
      <c r="AB56" s="10"/>
      <c r="AC56" s="10"/>
      <c r="AD56" s="10"/>
      <c r="AE56" s="10"/>
      <c r="AF56" s="10"/>
      <c r="AG56" s="10"/>
      <c r="AH56" s="10"/>
      <c r="AI56" s="10"/>
      <c r="AJ56" s="10"/>
      <c r="AK56" s="10"/>
      <c r="AL56" s="10"/>
      <c r="AM56" s="10"/>
      <c r="AN56" s="10"/>
      <c r="AO56" s="10"/>
    </row>
    <row r="57" spans="1:41" ht="5.0999999999999996" customHeight="1" x14ac:dyDescent="0.25">
      <c r="A57" s="972">
        <v>1</v>
      </c>
      <c r="B57" s="16"/>
      <c r="C57" s="130"/>
      <c r="D57" s="766"/>
      <c r="E57" s="765"/>
      <c r="F57" s="1786"/>
      <c r="G57" s="1812"/>
      <c r="H57" s="1812"/>
      <c r="I57" s="1812"/>
      <c r="J57" s="1812"/>
      <c r="K57" s="1125"/>
      <c r="L57" s="765"/>
      <c r="M57" s="74"/>
      <c r="N57" s="32"/>
      <c r="O57" s="32"/>
      <c r="P57" s="32"/>
      <c r="Q57" s="32"/>
      <c r="R57" s="32"/>
      <c r="S57" s="32"/>
      <c r="T57" s="10"/>
      <c r="U57" s="10"/>
      <c r="V57" s="10"/>
      <c r="W57" s="10"/>
      <c r="X57" s="10"/>
      <c r="Y57" s="10"/>
      <c r="Z57" s="10"/>
      <c r="AA57" s="10"/>
      <c r="AB57" s="10"/>
      <c r="AC57" s="10"/>
      <c r="AD57" s="10"/>
      <c r="AE57" s="10"/>
      <c r="AF57" s="10"/>
      <c r="AG57" s="10"/>
      <c r="AH57" s="10"/>
      <c r="AI57" s="10"/>
      <c r="AJ57" s="10"/>
      <c r="AK57" s="10"/>
      <c r="AL57" s="10"/>
      <c r="AM57" s="10"/>
      <c r="AN57" s="10"/>
      <c r="AO57" s="10"/>
    </row>
    <row r="58" spans="1:41" ht="15" customHeight="1" x14ac:dyDescent="0.25">
      <c r="A58" s="972">
        <v>1</v>
      </c>
      <c r="B58" s="16"/>
      <c r="C58" s="130"/>
      <c r="D58" s="171" t="s">
        <v>162</v>
      </c>
      <c r="E58" s="1526"/>
      <c r="F58" s="1826"/>
      <c r="G58" s="1812"/>
      <c r="H58" s="1812"/>
      <c r="I58" s="1812"/>
      <c r="J58" s="1812"/>
      <c r="K58" s="1125"/>
      <c r="L58" s="765"/>
      <c r="M58" s="74"/>
      <c r="N58" s="32"/>
      <c r="O58" s="32"/>
      <c r="P58" s="32"/>
      <c r="Q58" s="4093" t="s">
        <v>944</v>
      </c>
      <c r="R58" s="290"/>
      <c r="S58" s="290"/>
      <c r="T58" s="10"/>
      <c r="U58" s="10"/>
      <c r="V58" s="10"/>
      <c r="W58" s="10"/>
      <c r="X58" s="10"/>
      <c r="Y58" s="10"/>
      <c r="Z58" s="10"/>
      <c r="AA58" s="10"/>
      <c r="AB58" s="10"/>
      <c r="AC58" s="10"/>
      <c r="AD58" s="10"/>
      <c r="AE58" s="10"/>
      <c r="AF58" s="10"/>
      <c r="AG58" s="10"/>
      <c r="AH58" s="10"/>
      <c r="AI58" s="10"/>
      <c r="AJ58" s="10"/>
      <c r="AK58" s="10"/>
      <c r="AL58" s="10"/>
      <c r="AM58" s="10"/>
      <c r="AN58" s="10"/>
      <c r="AO58" s="10"/>
    </row>
    <row r="59" spans="1:41" ht="15" customHeight="1" thickBot="1" x14ac:dyDescent="0.3">
      <c r="A59" s="972">
        <v>1</v>
      </c>
      <c r="B59" s="16"/>
      <c r="C59" s="130"/>
      <c r="D59" s="1491" t="s">
        <v>171</v>
      </c>
      <c r="E59" s="1158"/>
      <c r="F59" s="1827">
        <f t="shared" ref="F59:K59" si="14">IF(ISERR((dpLand_DOV_1-F10)/365),0,(dpLand_DOV_1-F10)/365)</f>
        <v>0</v>
      </c>
      <c r="G59" s="1827">
        <f t="shared" si="14"/>
        <v>0</v>
      </c>
      <c r="H59" s="1827">
        <f t="shared" si="14"/>
        <v>0</v>
      </c>
      <c r="I59" s="1827">
        <f t="shared" si="14"/>
        <v>0</v>
      </c>
      <c r="J59" s="1827">
        <f t="shared" si="14"/>
        <v>0</v>
      </c>
      <c r="K59" s="2854">
        <f t="shared" si="14"/>
        <v>0</v>
      </c>
      <c r="L59" s="765"/>
      <c r="M59" s="74"/>
      <c r="N59" s="32"/>
      <c r="O59" s="32"/>
      <c r="P59" s="32"/>
      <c r="Q59" s="4114"/>
      <c r="R59" s="290"/>
      <c r="S59" s="290"/>
      <c r="T59" s="10"/>
      <c r="U59" s="10"/>
      <c r="V59" s="10"/>
      <c r="W59" s="10"/>
      <c r="X59" s="10"/>
      <c r="Y59" s="10"/>
      <c r="Z59" s="10"/>
      <c r="AA59" s="10"/>
      <c r="AB59" s="10"/>
      <c r="AC59" s="10"/>
      <c r="AD59" s="10"/>
      <c r="AE59" s="10"/>
      <c r="AF59" s="10"/>
      <c r="AG59" s="10"/>
      <c r="AH59" s="10"/>
      <c r="AI59" s="10"/>
      <c r="AJ59" s="10"/>
      <c r="AK59" s="10"/>
      <c r="AL59" s="10"/>
      <c r="AM59" s="10"/>
      <c r="AN59" s="10"/>
      <c r="AO59" s="10"/>
    </row>
    <row r="60" spans="1:41" ht="14.25" customHeight="1" x14ac:dyDescent="0.25">
      <c r="A60" s="972">
        <v>1</v>
      </c>
      <c r="B60" s="16"/>
      <c r="C60" s="130"/>
      <c r="D60" s="766" t="s">
        <v>172</v>
      </c>
      <c r="E60" s="1176" t="str">
        <f>dpLand_DOV_1</f>
        <v>N/A</v>
      </c>
      <c r="F60" s="1796">
        <f t="shared" ref="F60:K60" si="15">IF(dpLand_MktCondDate1_1="",0,IF(ISERR(IF(AND(dpLand_MktCondDate2_1&lt;&gt;"",F$10&gt;dpLand_MktCondDate1_1),0,(dpLand_MktCondAdj1_1*((dpLand_MktCondDate1_1-F$10)/365)))),0,IF(AND(dpLand_MktCondDate2_1&lt;&gt;"",F$10&gt;dpLand_MktCondDate1_1),0,(dpLand_MktCondAdj1_1*((dpLand_MktCondDate1_1-F$10)/365)))))</f>
        <v>0</v>
      </c>
      <c r="G60" s="1796">
        <f t="shared" si="15"/>
        <v>0</v>
      </c>
      <c r="H60" s="1796">
        <f t="shared" si="15"/>
        <v>0</v>
      </c>
      <c r="I60" s="1796">
        <f t="shared" si="15"/>
        <v>0</v>
      </c>
      <c r="J60" s="1796">
        <f t="shared" si="15"/>
        <v>0</v>
      </c>
      <c r="K60" s="1958">
        <f t="shared" si="15"/>
        <v>0</v>
      </c>
      <c r="L60" s="765"/>
      <c r="M60" s="74"/>
      <c r="N60" s="32"/>
      <c r="O60" s="32"/>
      <c r="P60" s="32"/>
      <c r="Q60" s="573"/>
      <c r="R60" s="10"/>
      <c r="S60" s="1342"/>
      <c r="T60" s="10"/>
      <c r="U60" s="10"/>
      <c r="V60" s="10"/>
      <c r="W60" s="10"/>
      <c r="X60" s="10"/>
      <c r="Y60" s="10"/>
      <c r="Z60" s="10"/>
      <c r="AA60" s="10"/>
      <c r="AB60" s="10"/>
      <c r="AC60" s="10"/>
      <c r="AD60" s="10"/>
      <c r="AE60" s="10"/>
      <c r="AF60" s="10"/>
      <c r="AG60" s="10"/>
      <c r="AH60" s="10"/>
      <c r="AI60" s="10"/>
      <c r="AJ60" s="10"/>
      <c r="AK60" s="10"/>
      <c r="AL60" s="10"/>
      <c r="AM60" s="10"/>
      <c r="AN60" s="10"/>
      <c r="AO60" s="10"/>
    </row>
    <row r="61" spans="1:41" ht="15" customHeight="1" thickBot="1" x14ac:dyDescent="0.3">
      <c r="A61" s="972">
        <f>IF(dpLand_MktCondDate2_1="",0,1)</f>
        <v>0</v>
      </c>
      <c r="B61" s="16"/>
      <c r="C61" s="130"/>
      <c r="D61" s="766" t="s">
        <v>173</v>
      </c>
      <c r="E61" s="1177"/>
      <c r="F61" s="1796">
        <f t="shared" ref="F61:K61" si="16">IF(dpLand_MktCondDate2_1="",0,IF(ISERR(IF(F10&gt;dpLand_MktCondDate1_1,dpLand_MktCondAdj2_1*((dpLand_DOV_1-F$10)/365),IF(F$10&lt;dpLand_DOV_1,dpLand_MktCondAdj2_1*((dpLand_DOV_1-dpLand_MktCondDate1_1)/365),dpLand_MktCondAdj2_1*((dpLand_DOV_1-F$10)/365)))),0,IF(F10&gt;dpLand_MktCondDate1_1,dpLand_MktCondAdj2_1*((dpLand_DOV_1-F$10)/365),IF(F$10&lt;dpLand_DOV_1,dpLand_MktCondAdj2_1*((dpLand_DOV_1-dpLand_MktCondDate1_1)/365),dpLand_MktCondAdj2_1*((dpLand_DOV_1-F$10)/365)))))</f>
        <v>0</v>
      </c>
      <c r="G61" s="1796">
        <f t="shared" si="16"/>
        <v>0</v>
      </c>
      <c r="H61" s="1796">
        <f t="shared" si="16"/>
        <v>0</v>
      </c>
      <c r="I61" s="1796">
        <f t="shared" si="16"/>
        <v>0</v>
      </c>
      <c r="J61" s="1796">
        <f t="shared" si="16"/>
        <v>0</v>
      </c>
      <c r="K61" s="1958">
        <f t="shared" si="16"/>
        <v>0</v>
      </c>
      <c r="L61" s="765"/>
      <c r="M61" s="74"/>
      <c r="N61" s="32"/>
      <c r="O61" s="32"/>
      <c r="P61" s="32"/>
      <c r="Q61" s="574"/>
      <c r="R61" s="12" t="s">
        <v>158</v>
      </c>
      <c r="S61" s="1342"/>
      <c r="T61" s="12"/>
      <c r="U61" s="12"/>
      <c r="V61" s="10"/>
      <c r="W61" s="10"/>
      <c r="X61" s="10"/>
      <c r="Y61" s="10"/>
      <c r="Z61" s="10"/>
      <c r="AA61" s="10"/>
      <c r="AB61" s="10"/>
      <c r="AC61" s="10"/>
      <c r="AD61" s="10"/>
      <c r="AE61" s="10"/>
      <c r="AF61" s="10"/>
      <c r="AG61" s="10"/>
      <c r="AH61" s="10"/>
      <c r="AI61" s="10"/>
      <c r="AJ61" s="10"/>
      <c r="AK61" s="10"/>
      <c r="AL61" s="10"/>
      <c r="AM61" s="10"/>
      <c r="AN61" s="10"/>
      <c r="AO61" s="10"/>
    </row>
    <row r="62" spans="1:41" ht="14.25" customHeight="1" x14ac:dyDescent="0.25">
      <c r="A62" s="972">
        <v>1</v>
      </c>
      <c r="B62" s="16"/>
      <c r="C62" s="130"/>
      <c r="D62" s="1206" t="s">
        <v>1371</v>
      </c>
      <c r="E62" s="765"/>
      <c r="F62" s="1828" t="e">
        <f t="shared" ref="F62:K62" si="17">F56*(1+F60)*(1+F61)</f>
        <v>#DIV/0!</v>
      </c>
      <c r="G62" s="1828" t="e">
        <f t="shared" si="17"/>
        <v>#DIV/0!</v>
      </c>
      <c r="H62" s="1828" t="e">
        <f t="shared" si="17"/>
        <v>#DIV/0!</v>
      </c>
      <c r="I62" s="1828" t="e">
        <f t="shared" si="17"/>
        <v>#DIV/0!</v>
      </c>
      <c r="J62" s="1828" t="e">
        <f t="shared" si="17"/>
        <v>#DIV/0!</v>
      </c>
      <c r="K62" s="2855" t="e">
        <f t="shared" si="17"/>
        <v>#DIV/0!</v>
      </c>
      <c r="L62" s="765"/>
      <c r="M62" s="74"/>
      <c r="N62" s="32"/>
      <c r="O62" s="32"/>
      <c r="P62" s="32"/>
      <c r="Q62" s="32"/>
      <c r="R62" s="32"/>
      <c r="S62" s="32"/>
      <c r="T62" s="10"/>
      <c r="U62" s="10"/>
      <c r="V62" s="10"/>
      <c r="W62" s="10"/>
      <c r="X62" s="10"/>
      <c r="Y62" s="10"/>
      <c r="Z62" s="10"/>
      <c r="AA62" s="10"/>
      <c r="AB62" s="10"/>
      <c r="AC62" s="10"/>
      <c r="AD62" s="10"/>
      <c r="AE62" s="10"/>
      <c r="AF62" s="10"/>
      <c r="AG62" s="10"/>
      <c r="AH62" s="10"/>
      <c r="AI62" s="10"/>
      <c r="AJ62" s="10"/>
      <c r="AK62" s="10"/>
      <c r="AL62" s="10"/>
      <c r="AM62" s="10"/>
      <c r="AN62" s="10"/>
      <c r="AO62" s="10"/>
    </row>
    <row r="63" spans="1:41" ht="4.5" customHeight="1" x14ac:dyDescent="0.25">
      <c r="A63" s="972">
        <v>1</v>
      </c>
      <c r="B63" s="16"/>
      <c r="C63" s="130"/>
      <c r="D63" s="766"/>
      <c r="E63" s="765"/>
      <c r="F63" s="1829">
        <f t="shared" ref="F63:K63" si="18">IF(AND(F68=0,F69=0,F70=0),0,IF(F68&lt;&gt;0,F68,IF(F69&lt;&gt;0,IF(dpUnit_Land_1="Per Usable Acre",(F69/F$15)/F$23,IF(dpUnit_Land_1="Per Gross Acre",(F69/F$17)/F$25,IF(dpUnit_Land_1="Per Usable Square Foot",(F69/F$16)/F$24,IF(dpUnit_Land_1="Per Gross Square Foot",(F69/F$18)/F$26,IF(dpUnit_Land_1="Per Front Foot",(F69/F$19)/F$27,IF(dpUnit_Land_1="Per Proposed Square Foot",(F69/F$20)/F$28,IF(dpUnit_Land_1="Per Lot",(F69/F$21)/F$29,(F69/F$22)/F$30))))))),IF(dpUnit_Land_1="Per Usable Acre",F70/F$23,IF(dpUnit_Land_1="Per Gross Acre",F70/F$25,IF(dpUnit_Land_1="Per Usable Square Foot",F70/F$24,IF(dpUnit_Land_1="Per Gross Square Foot",F70/F$26,IF(dpUnit_Land_1="Per Front Foot",F70/F$27,IF(dpUnit_Land_1="Per Proposed Square Foot",F70/F$28,IF(dpUnit_Land_1="Per Lot",F70/F$29,F70/F$30))))))))))</f>
        <v>0</v>
      </c>
      <c r="G63" s="1829">
        <f t="shared" si="18"/>
        <v>0</v>
      </c>
      <c r="H63" s="1829">
        <f t="shared" si="18"/>
        <v>0</v>
      </c>
      <c r="I63" s="1829">
        <f t="shared" si="18"/>
        <v>0</v>
      </c>
      <c r="J63" s="1829">
        <f t="shared" si="18"/>
        <v>0</v>
      </c>
      <c r="K63" s="2856">
        <f t="shared" si="18"/>
        <v>0</v>
      </c>
      <c r="L63" s="765"/>
      <c r="M63" s="74"/>
      <c r="N63" s="32"/>
      <c r="O63" s="32"/>
      <c r="P63" s="32"/>
      <c r="Q63" s="32"/>
      <c r="R63" s="32"/>
      <c r="S63" s="32"/>
      <c r="T63" s="10"/>
      <c r="U63" s="10"/>
      <c r="V63" s="10"/>
      <c r="W63" s="10"/>
      <c r="X63" s="10"/>
      <c r="Y63" s="10"/>
      <c r="Z63" s="10"/>
      <c r="AA63" s="10"/>
      <c r="AB63" s="10"/>
      <c r="AC63" s="10"/>
      <c r="AD63" s="10"/>
      <c r="AE63" s="10"/>
      <c r="AF63" s="10"/>
      <c r="AG63" s="10"/>
      <c r="AH63" s="10"/>
      <c r="AI63" s="10"/>
      <c r="AJ63" s="10"/>
      <c r="AK63" s="10"/>
      <c r="AL63" s="10"/>
      <c r="AM63" s="10"/>
      <c r="AN63" s="10"/>
      <c r="AO63" s="10"/>
    </row>
    <row r="64" spans="1:41" ht="14.25" customHeight="1" x14ac:dyDescent="0.25">
      <c r="A64" s="972">
        <v>1</v>
      </c>
      <c r="B64" s="16"/>
      <c r="C64" s="130"/>
      <c r="D64" s="171" t="s">
        <v>163</v>
      </c>
      <c r="E64" s="765"/>
      <c r="F64" s="1830"/>
      <c r="G64" s="1830"/>
      <c r="H64" s="1830"/>
      <c r="I64" s="1830"/>
      <c r="J64" s="1830"/>
      <c r="K64" s="1972"/>
      <c r="L64" s="1146"/>
      <c r="M64" s="74"/>
      <c r="N64" s="32"/>
      <c r="O64" s="32"/>
      <c r="P64" s="32"/>
      <c r="Q64" s="32"/>
      <c r="R64" s="32"/>
      <c r="S64" s="32"/>
      <c r="T64" s="10"/>
      <c r="U64" s="10"/>
      <c r="V64" s="10"/>
      <c r="W64" s="10"/>
      <c r="X64" s="10"/>
      <c r="Y64" s="10"/>
      <c r="Z64" s="10"/>
      <c r="AA64" s="10"/>
      <c r="AB64" s="10"/>
      <c r="AC64" s="10"/>
      <c r="AD64" s="10"/>
      <c r="AE64" s="10"/>
      <c r="AF64" s="10"/>
      <c r="AG64" s="10"/>
      <c r="AH64" s="10"/>
      <c r="AI64" s="10"/>
      <c r="AJ64" s="10"/>
      <c r="AK64" s="10"/>
      <c r="AL64" s="10"/>
      <c r="AM64" s="10"/>
      <c r="AN64" s="10"/>
      <c r="AO64" s="10"/>
    </row>
    <row r="65" spans="1:41" x14ac:dyDescent="0.25">
      <c r="A65" s="976">
        <f>A67</f>
        <v>2</v>
      </c>
      <c r="B65" s="140"/>
      <c r="C65" s="522"/>
      <c r="D65" s="1489" t="s">
        <v>95</v>
      </c>
      <c r="E65" s="1665" t="str">
        <f>Subject_Address</f>
        <v>4940 Oneida St</v>
      </c>
      <c r="F65" s="1788"/>
      <c r="G65" s="1788"/>
      <c r="H65" s="1788"/>
      <c r="I65" s="1788"/>
      <c r="J65" s="1788"/>
      <c r="K65" s="1162"/>
      <c r="L65" s="1163"/>
      <c r="M65" s="141"/>
      <c r="N65" s="295"/>
      <c r="O65" s="295"/>
      <c r="P65" s="295"/>
      <c r="Q65" s="295"/>
      <c r="R65" s="295"/>
      <c r="S65" s="295"/>
      <c r="T65" s="142"/>
      <c r="U65" s="142"/>
      <c r="V65" s="142"/>
      <c r="W65" s="142"/>
      <c r="X65" s="142"/>
      <c r="Y65" s="142"/>
      <c r="Z65" s="142"/>
      <c r="AA65" s="142"/>
      <c r="AB65" s="142"/>
      <c r="AC65" s="142"/>
      <c r="AD65" s="142"/>
      <c r="AE65" s="142"/>
      <c r="AF65" s="142"/>
      <c r="AG65" s="142"/>
      <c r="AH65" s="142"/>
      <c r="AI65" s="142"/>
      <c r="AJ65" s="142"/>
      <c r="AK65" s="142"/>
      <c r="AL65" s="142"/>
      <c r="AM65" s="142"/>
      <c r="AN65" s="142"/>
      <c r="AO65" s="142"/>
    </row>
    <row r="66" spans="1:41" ht="14.25" customHeight="1" x14ac:dyDescent="0.25">
      <c r="A66" s="976">
        <f>A67</f>
        <v>2</v>
      </c>
      <c r="B66" s="140"/>
      <c r="C66" s="522"/>
      <c r="D66" s="1147"/>
      <c r="E66" s="1650" t="str">
        <f>CONCATENATE(Subject_City,", ",Subject_State)</f>
        <v>Commerce City, Colorado</v>
      </c>
      <c r="F66" s="1788"/>
      <c r="G66" s="1788"/>
      <c r="H66" s="1788"/>
      <c r="I66" s="1788"/>
      <c r="J66" s="1788"/>
      <c r="K66" s="1162"/>
      <c r="L66" s="1163"/>
      <c r="M66" s="141"/>
      <c r="N66" s="295"/>
      <c r="O66" s="295"/>
      <c r="P66" s="295"/>
      <c r="Q66" s="295"/>
      <c r="R66" s="295"/>
      <c r="S66" s="295"/>
      <c r="T66" s="142"/>
      <c r="U66" s="142"/>
      <c r="V66" s="142"/>
      <c r="W66" s="142"/>
      <c r="X66" s="142"/>
      <c r="Y66" s="142"/>
      <c r="Z66" s="142"/>
      <c r="AA66" s="142"/>
      <c r="AB66" s="142"/>
      <c r="AC66" s="142"/>
      <c r="AD66" s="142"/>
      <c r="AE66" s="142"/>
      <c r="AF66" s="142"/>
      <c r="AG66" s="142"/>
      <c r="AH66" s="142"/>
      <c r="AI66" s="142"/>
      <c r="AJ66" s="142"/>
      <c r="AK66" s="142"/>
      <c r="AL66" s="142"/>
      <c r="AM66" s="142"/>
      <c r="AN66" s="142"/>
      <c r="AO66" s="142"/>
    </row>
    <row r="67" spans="1:41" ht="14.25" customHeight="1" x14ac:dyDescent="0.25">
      <c r="A67" s="972">
        <f>IF(B67=TRUE,1,2)</f>
        <v>2</v>
      </c>
      <c r="B67" s="16" t="b">
        <v>0</v>
      </c>
      <c r="C67" s="130"/>
      <c r="D67" s="520" t="str">
        <f>IF(Land_AdjType&lt;&gt;"Qualitative","Adjustment","Relative Comparison")</f>
        <v>Adjustment</v>
      </c>
      <c r="E67" s="765"/>
      <c r="F67" s="1796">
        <f t="shared" ref="F67:K67" si="19">IF(Land_AdjType_1="Percent",IF(AND(F68=0,F69=0,F70=0),0,IF(F68&lt;&gt;0,F68,IF(F69&lt;&gt;0,IF(dpUnit_Land_1="Per Usable Acre",(F69/F$15)/F$23,IF(dpUnit_Land_1="Per Gross Acre",(F69/F$17)/F$25,IF(dpUnit_Land_1="Per Usable Square Foot",(F69/F$16)/F$24,IF(dpUnit_Land_1="Per Gross Square Foot",(F69/F$18)/F$26,IF(dpUnit_Land_1="Per Front Foot",(F69/F$19)/F$27,IF(dpUnit_Land_1="Per Proposed Square Foot",(F69/F$20)/F$28,IF(dpUnit_Land_1="Per Lot",(F69/F$21)/F$29,(F69/F$22)/F$30))))))),IF(dpUnit_Land_1="Per Usable Acre",F70/F$23,IF(dpUnit_Land_1="Per Gross Acre",F70/F$25,IF(dpUnit_Land_1="Per Usable Square Foot",F70/F$24,IF(dpUnit_Land_1="Per Gross Square Foot",F70/F$26,IF(dpUnit_Land_1="Per Front Foot",F70/F$27,IF(dpUnit_Land_1="Per Proposed Square Foot",F70/F$28,IF(dpUnit_Land_1="Per Lot",F70/F$29,F70/F$30)))))))))),IF(Land_AdjType_1="$ per Unit",IF(AND(F68=0,F69=0,F70=0),0,IF(F68&lt;&gt;0,IF(dpUnit_Land_1="Per Usable Acre",F68*F$23,IF(dpUnit_Land_1="Per Gross Acre",F68*F$25,IF(dpUnit_Land_1="Per Usable Square Foot",F68*F$24,IF(dpUnit_Land_1="Per Gross Square Foot",F68*F$26,IF(dpUnit_Land_1="Per Front Foot",F68*F$27,IF(dpUnit_Land_1="Per Proposed Square Foot",F68*F$28,IF(dpUnit_Land_1="Per Lot",F68*F$29,F68*F$30))))))),IF(F69&lt;&gt;0,IF(dpUnit_Land_1="Per Usable Acre",F69/F$15,IF(dpUnit_Land_1="Per Gross Acre",F69/F$17,IF(dpUnit_Land_1="Per Usable Square Foot",F69/F$16,IF(dpUnit_Land_1="Per Gross Square Foot",F69/F$18,IF(dpUnit_Land_1="Per Front Foot",F69/F$19,IF(dpUnit_Land_1="Per Proposed Square Foot",F69/F$20,IF(dpUnit_Land_1="Per Lot",F69/F$21,F69/F$22))))))),F70))),IF(OR(F68&gt;0,F69&gt;0,F70&gt;0),"Inferior",IF(OR(F68&lt;0,F69&lt;0,F70&lt;0),"Superior","Similar"))))</f>
        <v>0</v>
      </c>
      <c r="G67" s="1796">
        <f t="shared" si="19"/>
        <v>0</v>
      </c>
      <c r="H67" s="1796">
        <f t="shared" si="19"/>
        <v>0</v>
      </c>
      <c r="I67" s="1796">
        <f t="shared" si="19"/>
        <v>0</v>
      </c>
      <c r="J67" s="1796">
        <f t="shared" si="19"/>
        <v>0</v>
      </c>
      <c r="K67" s="1958">
        <f t="shared" si="19"/>
        <v>0</v>
      </c>
      <c r="L67" s="763"/>
      <c r="M67" s="74"/>
      <c r="N67" s="32"/>
      <c r="O67" s="32"/>
      <c r="P67" s="32"/>
      <c r="Q67" s="32"/>
      <c r="R67" s="32"/>
      <c r="S67" s="32"/>
      <c r="T67" s="10"/>
      <c r="U67" s="10"/>
      <c r="V67" s="10"/>
      <c r="W67" s="10"/>
      <c r="X67" s="10"/>
      <c r="Y67" s="10"/>
      <c r="Z67" s="10"/>
      <c r="AA67" s="10"/>
      <c r="AB67" s="10"/>
      <c r="AC67" s="10"/>
      <c r="AD67" s="10"/>
      <c r="AE67" s="10"/>
      <c r="AF67" s="10"/>
      <c r="AG67" s="10"/>
      <c r="AH67" s="10"/>
      <c r="AI67" s="10"/>
      <c r="AJ67" s="10"/>
      <c r="AK67" s="10"/>
      <c r="AL67" s="10"/>
      <c r="AM67" s="10"/>
      <c r="AN67" s="10"/>
      <c r="AO67" s="10"/>
    </row>
    <row r="68" spans="1:41" ht="14.25" customHeight="1" x14ac:dyDescent="0.25">
      <c r="A68" s="972">
        <f>IF(A67=2,2,0)</f>
        <v>2</v>
      </c>
      <c r="B68" s="16"/>
      <c r="C68" s="130"/>
      <c r="D68" s="766"/>
      <c r="E68" s="1180" t="s">
        <v>166</v>
      </c>
      <c r="F68" s="1818"/>
      <c r="G68" s="1818"/>
      <c r="H68" s="1818"/>
      <c r="I68" s="1818"/>
      <c r="J68" s="1818"/>
      <c r="K68" s="2848"/>
      <c r="L68" s="136"/>
      <c r="M68" s="74"/>
      <c r="N68" s="32"/>
      <c r="O68" s="32"/>
      <c r="P68" s="32"/>
      <c r="Q68" s="32"/>
      <c r="R68" s="32"/>
      <c r="S68" s="32"/>
      <c r="T68" s="10"/>
      <c r="U68" s="10"/>
      <c r="V68" s="10"/>
      <c r="W68" s="10"/>
      <c r="X68" s="10"/>
      <c r="Y68" s="10"/>
      <c r="Z68" s="10"/>
      <c r="AA68" s="10"/>
      <c r="AB68" s="10"/>
      <c r="AC68" s="10"/>
      <c r="AD68" s="10"/>
      <c r="AE68" s="10"/>
      <c r="AF68" s="10"/>
      <c r="AG68" s="10"/>
      <c r="AH68" s="10"/>
      <c r="AI68" s="10"/>
      <c r="AJ68" s="10"/>
      <c r="AK68" s="10"/>
      <c r="AL68" s="10"/>
      <c r="AM68" s="10"/>
      <c r="AN68" s="10"/>
      <c r="AO68" s="10"/>
    </row>
    <row r="69" spans="1:41" ht="14.25" customHeight="1" x14ac:dyDescent="0.25">
      <c r="A69" s="972">
        <f>IF(A68=2,2,0)</f>
        <v>2</v>
      </c>
      <c r="B69" s="16"/>
      <c r="C69" s="130"/>
      <c r="D69" s="766"/>
      <c r="E69" s="1180" t="s">
        <v>167</v>
      </c>
      <c r="F69" s="1819"/>
      <c r="G69" s="1819"/>
      <c r="H69" s="1819"/>
      <c r="I69" s="1819"/>
      <c r="J69" s="1819"/>
      <c r="K69" s="2849"/>
      <c r="L69" s="1152"/>
      <c r="M69" s="74"/>
      <c r="N69" s="32"/>
      <c r="O69" s="32"/>
      <c r="P69" s="32"/>
      <c r="Q69" s="32"/>
      <c r="R69" s="32"/>
      <c r="S69" s="32"/>
      <c r="T69" s="10"/>
      <c r="U69" s="10"/>
      <c r="V69" s="10"/>
      <c r="W69" s="10"/>
      <c r="X69" s="10"/>
      <c r="Y69" s="10"/>
      <c r="Z69" s="10"/>
      <c r="AA69" s="10"/>
      <c r="AB69" s="10"/>
      <c r="AC69" s="10"/>
      <c r="AD69" s="10"/>
      <c r="AE69" s="10"/>
      <c r="AF69" s="10"/>
      <c r="AG69" s="10"/>
      <c r="AH69" s="10"/>
      <c r="AI69" s="10"/>
      <c r="AJ69" s="10"/>
      <c r="AK69" s="10"/>
      <c r="AL69" s="10"/>
      <c r="AM69" s="10"/>
      <c r="AN69" s="10"/>
      <c r="AO69" s="10"/>
    </row>
    <row r="70" spans="1:41" ht="14.25" customHeight="1" x14ac:dyDescent="0.25">
      <c r="A70" s="972">
        <f>IF(A69=2,2,0)</f>
        <v>2</v>
      </c>
      <c r="B70" s="16"/>
      <c r="C70" s="130"/>
      <c r="D70" s="766"/>
      <c r="E70" s="1180" t="str">
        <f>CONCATENATE("Enter $/",dpUnit_Land," Adj.")</f>
        <v>Enter $/per Usable Square Foot Adj.</v>
      </c>
      <c r="F70" s="1820"/>
      <c r="G70" s="1820"/>
      <c r="H70" s="1820"/>
      <c r="I70" s="1820"/>
      <c r="J70" s="1820"/>
      <c r="K70" s="2850"/>
      <c r="L70" s="1153"/>
      <c r="M70" s="74"/>
      <c r="N70" s="32"/>
      <c r="O70" s="32"/>
      <c r="P70" s="32"/>
      <c r="Q70" s="32"/>
      <c r="R70" s="32"/>
      <c r="S70" s="32"/>
      <c r="T70" s="10"/>
      <c r="U70" s="10"/>
      <c r="V70" s="10"/>
      <c r="W70" s="10"/>
      <c r="X70" s="10"/>
      <c r="Y70" s="10"/>
      <c r="Z70" s="10"/>
      <c r="AA70" s="10"/>
      <c r="AB70" s="10"/>
      <c r="AC70" s="10"/>
      <c r="AD70" s="10"/>
      <c r="AE70" s="10"/>
      <c r="AF70" s="10"/>
      <c r="AG70" s="10"/>
      <c r="AH70" s="10"/>
      <c r="AI70" s="10"/>
      <c r="AJ70" s="10"/>
      <c r="AK70" s="10"/>
      <c r="AL70" s="10"/>
      <c r="AM70" s="10"/>
      <c r="AN70" s="10"/>
      <c r="AO70" s="10"/>
    </row>
    <row r="71" spans="1:41" ht="8.1" customHeight="1" x14ac:dyDescent="0.25">
      <c r="A71" s="972">
        <f>A74</f>
        <v>2</v>
      </c>
      <c r="B71" s="16"/>
      <c r="C71" s="130"/>
      <c r="D71" s="766"/>
      <c r="E71" s="765"/>
      <c r="F71" s="1829">
        <f t="shared" ref="F71:K71" si="20">IF(AND(F75=0,F76=0,F77=0),0,IF(F75&lt;&gt;0,F75,IF(F75&lt;&gt;0,IF(dpUnit_Land_1="Per Usable Acre",(F76/F$15)/F$23,IF(dpUnit_Land_1="Per Gross Acre",(F76/F$17)/F$25,IF(dpUnit_Land_1="Per Usable Square Foot",(F76/F$16)/F$24,IF(dpUnit_Land_1="Per Gross Square Foot",(F76/F$18)/F$26,IF(dpUnit_Land_1="Per Front Foot",(F76/F$19)/F$27,IF(dpUnit_Land_1="Per Proposed Square Foot",(F76/F$20)/F$28,IF(dpUnit_Land_1="Per Lot",(F76/F$21)/F$29,(F76/F$22)/F$30))))))),IF(dpUnit_Land_1="Per Usable Acre",F77/F$23,IF(dpUnit_Land_1="Per Gross Acre",F77/F$25,IF(dpUnit_Land_1="Per Usable Square Foot",F77/F$24,IF(dpUnit_Land_1="Per Gross Square Foot",F77/F$26,IF(dpUnit_Land_1="Per Front Foot",F77/F$27,IF(dpUnit_Land_1="Per Proposed Square Foot",F77/F$28,IF(dpUnit_Land_1="Per Lot",F77/F$29,F77/F$30))))))))))</f>
        <v>0</v>
      </c>
      <c r="G71" s="1829">
        <f t="shared" si="20"/>
        <v>0</v>
      </c>
      <c r="H71" s="1829">
        <f t="shared" si="20"/>
        <v>0</v>
      </c>
      <c r="I71" s="1829">
        <f t="shared" si="20"/>
        <v>0</v>
      </c>
      <c r="J71" s="1829">
        <f t="shared" si="20"/>
        <v>0</v>
      </c>
      <c r="K71" s="2856">
        <f t="shared" si="20"/>
        <v>0</v>
      </c>
      <c r="L71" s="1146"/>
      <c r="M71" s="74"/>
      <c r="N71" s="32"/>
      <c r="O71" s="32"/>
      <c r="P71" s="32"/>
      <c r="Q71" s="32"/>
      <c r="R71" s="32"/>
      <c r="S71" s="32"/>
      <c r="T71" s="10"/>
      <c r="U71" s="10"/>
      <c r="V71" s="10"/>
      <c r="W71" s="10"/>
      <c r="X71" s="10"/>
      <c r="Y71" s="10"/>
      <c r="Z71" s="10"/>
      <c r="AA71" s="10"/>
      <c r="AB71" s="10"/>
      <c r="AC71" s="10"/>
      <c r="AD71" s="10"/>
      <c r="AE71" s="10"/>
      <c r="AF71" s="10"/>
      <c r="AG71" s="10"/>
      <c r="AH71" s="10"/>
      <c r="AI71" s="10"/>
      <c r="AJ71" s="10"/>
      <c r="AK71" s="10"/>
      <c r="AL71" s="10"/>
      <c r="AM71" s="10"/>
      <c r="AN71" s="10"/>
      <c r="AO71" s="10"/>
    </row>
    <row r="72" spans="1:41" x14ac:dyDescent="0.25">
      <c r="A72" s="972">
        <f>A74</f>
        <v>2</v>
      </c>
      <c r="B72" s="16"/>
      <c r="C72" s="130"/>
      <c r="D72" s="1489" t="s">
        <v>96</v>
      </c>
      <c r="E72" s="1164" t="str">
        <f>IF($A$15=1,TEXT(Subject_Land_UsableAcres_1,"#,##0.000")&amp;" acres",IF($A$16=1,TEXT((Subject_Land_UsableSF_1),"#,##0")&amp;" sf",IF($A$17=1,TEXT(Subject_Land_GrossAcres_1,"#,##0.000")&amp;" acres",IF($A$18=1,TEXT((Subject_Land_GrossSF_1),"#,##0")&amp;" sf",IF($A$19=1,TEXT(Subject_Land_FrontageFeet_1,"#,##0")&amp;" lf",IF($A$20=1,TEXT(Subject_Land_ProposedSF_1,"#,##0")&amp;" sf",IF($A$21=1,TEXT(Subject_Land_Lots_1,"#,##0")&amp;" lots",TEXT(Subject_Land_ProposedUnits_1,"#,##0")&amp;" units")))))))</f>
        <v>0.992 acres</v>
      </c>
      <c r="F72" s="1789" t="str">
        <f t="shared" ref="F72:K72" si="21">IF($A$15=1,TEXT(F15,"#,##0.000")&amp;" acres",IF($A$16=1,TEXT(F16,"#,##0")&amp;" sf",IF($A$17=1,TEXT(F17,"#,##0.000")&amp;" acres",IF($A$18=1,TEXT(F18,"#,##0")&amp;" sf",IF($A$19=1,TEXT(F19,"#,##0")&amp;" lf",IF($A$20=1,TEXT(F20,"#,##0") &amp; " sf",IF($A$21=1,TEXT(F21,"#,##0")&amp;" lots",TEXT(F22,"#,##0")&amp;" units")))))))</f>
        <v>0.000 acres</v>
      </c>
      <c r="G72" s="1789" t="str">
        <f t="shared" si="21"/>
        <v>0.000 acres</v>
      </c>
      <c r="H72" s="1789" t="str">
        <f t="shared" si="21"/>
        <v>0.000 acres</v>
      </c>
      <c r="I72" s="1789" t="str">
        <f t="shared" si="21"/>
        <v>0.000 acres</v>
      </c>
      <c r="J72" s="1789" t="str">
        <f t="shared" si="21"/>
        <v>0.000 acres</v>
      </c>
      <c r="K72" s="1168" t="str">
        <f t="shared" si="21"/>
        <v>0.000 acres</v>
      </c>
      <c r="L72" s="1146"/>
      <c r="M72" s="74"/>
      <c r="N72" s="32"/>
      <c r="O72" s="32"/>
      <c r="P72" s="32"/>
      <c r="Q72" s="150" t="s">
        <v>1186</v>
      </c>
      <c r="R72" s="150"/>
      <c r="S72" s="150"/>
      <c r="T72" s="10"/>
      <c r="U72" s="10"/>
      <c r="V72" s="10"/>
      <c r="W72" s="10"/>
      <c r="X72" s="10"/>
      <c r="Y72" s="10"/>
      <c r="Z72" s="10"/>
      <c r="AA72" s="10"/>
      <c r="AB72" s="10"/>
      <c r="AC72" s="10"/>
      <c r="AD72" s="10"/>
      <c r="AE72" s="10"/>
      <c r="AF72" s="10"/>
      <c r="AG72" s="10"/>
      <c r="AH72" s="10"/>
      <c r="AI72" s="10"/>
      <c r="AJ72" s="10"/>
      <c r="AK72" s="10"/>
      <c r="AL72" s="10"/>
      <c r="AM72" s="10"/>
      <c r="AN72" s="10"/>
      <c r="AO72" s="10"/>
    </row>
    <row r="73" spans="1:41" ht="14.25" customHeight="1" x14ac:dyDescent="0.25">
      <c r="A73" s="972">
        <f>IF(A74=2,2,0)</f>
        <v>2</v>
      </c>
      <c r="B73" s="16"/>
      <c r="C73" s="130"/>
      <c r="D73" s="1147"/>
      <c r="E73" s="1167">
        <f>IF($A$15=1,Subject_Land_UsableAcres_1,IF($A$16=1,Subject_Land_UsableSF_1,IF($A$17=1,Subject_Land_GrossAcres_1,IF($A$18=1,Subject_Land_GrossSF_1,IF($A$19=1,Subject_Land_FrontageFeet_1,IF($A$20=1,Subject_Land_ProposedSF_1,IF($A$21=1,Subject_Land_Lots_1,Subject_Land_ProposedUnits_1)))))))</f>
        <v>0.99173553719008267</v>
      </c>
      <c r="F73" s="1781">
        <f t="shared" ref="F73:K73" si="22">IF($A$15=1,F15,IF($A$16=1,F16,IF($A$17=1,F17,IF($A$18=1,F18,IF($A$19=1,F19,IF($A$20,F20,IF($A$21=1,F21,IF($A$22=1,F22,"Select Unit"))))))))</f>
        <v>0</v>
      </c>
      <c r="G73" s="1781">
        <f t="shared" si="22"/>
        <v>0</v>
      </c>
      <c r="H73" s="1781">
        <f t="shared" si="22"/>
        <v>0</v>
      </c>
      <c r="I73" s="1781">
        <f t="shared" si="22"/>
        <v>0</v>
      </c>
      <c r="J73" s="1781">
        <f t="shared" si="22"/>
        <v>0</v>
      </c>
      <c r="K73" s="1947">
        <f t="shared" si="22"/>
        <v>0</v>
      </c>
      <c r="L73" s="1146"/>
      <c r="M73" s="74"/>
      <c r="N73" s="32"/>
      <c r="O73" s="32"/>
      <c r="P73" s="32"/>
      <c r="Q73" s="150"/>
      <c r="R73" s="150"/>
      <c r="S73" s="150"/>
      <c r="T73" s="10"/>
      <c r="U73" s="10"/>
      <c r="V73" s="10"/>
      <c r="W73" s="10"/>
      <c r="X73" s="10"/>
      <c r="Y73" s="10"/>
      <c r="Z73" s="10"/>
      <c r="AA73" s="10"/>
      <c r="AB73" s="10"/>
      <c r="AC73" s="10"/>
      <c r="AD73" s="10"/>
      <c r="AE73" s="10"/>
      <c r="AF73" s="10"/>
      <c r="AG73" s="10"/>
      <c r="AH73" s="10"/>
      <c r="AI73" s="10"/>
      <c r="AJ73" s="10"/>
      <c r="AK73" s="10"/>
      <c r="AL73" s="10"/>
      <c r="AM73" s="10"/>
      <c r="AN73" s="10"/>
      <c r="AO73" s="10"/>
    </row>
    <row r="74" spans="1:41" ht="15" customHeight="1" thickBot="1" x14ac:dyDescent="0.3">
      <c r="A74" s="972">
        <f>IF(B74=TRUE,1,2)</f>
        <v>2</v>
      </c>
      <c r="B74" s="16" t="b">
        <v>0</v>
      </c>
      <c r="C74" s="130"/>
      <c r="D74" s="520" t="str">
        <f>IF(Land_AdjType&lt;&gt;"Qualitative","Adjustment","Relative Comparison")</f>
        <v>Adjustment</v>
      </c>
      <c r="E74" s="765"/>
      <c r="F74" s="1796">
        <f t="shared" ref="F74:K74" si="23">IF(Land_AdjType_1="Percent",IF(AND(F75=0,F76=0,F77=0),0,IF(F75&lt;&gt;0,F75,IF(F76&lt;&gt;0,IF(dpUnit_Land_1="Per Usable Acre",(F76/F$15)/F$23,IF(dpUnit_Land_1="Per Gross Acre",(F76/F$17)/F$25,IF(dpUnit_Land_1="Per Usable Square Foot",(F76/F$16)/F$24,IF(dpUnit_Land_1="Per Gross Square Foot",(F76/F$18)/F$26,IF(dpUnit_Land_1="Per Front Foot",(F76/F$19)/F$27,IF(dpUnit_Land_1="Per Proposed Square Foot",(F76/F$20)/F$28,IF(dpUnit_Land_1="Per Lot",(F76/F$21)/F$29,(F76/F$22)/F$30))))))),IF(dpUnit_Land_1="Per Usable Acre",F77/F$23,IF(dpUnit_Land_1="Per Gross Acre",F77/F$25,IF(dpUnit_Land_1="Per Usable Square Foot",F77/F$24,IF(dpUnit_Land_1="Per Gross Square Foot",F77/F$26,IF(dpUnit_Land_1="Per Front Foot",F77/F$27,IF(dpUnit_Land_1="Per Proposed Square Foot",F77/F$28,IF(dpUnit_Land_1="Per Lot",F77/F$29,F77/F$30)))))))))),IF(Land_AdjType_1="$ per Unit",IF(AND(F75=0,F76=0,F77=0),0,IF(F75&lt;&gt;0,IF(dpUnit_Land_1="Per Usable Acre",F75*F$23,IF(dpUnit_Land_1="Per Gross Acre",F75*F$25,IF(dpUnit_Land_1="Per Usable Square Foot",F75*F$24,IF(dpUnit_Land_1="Per Gross Square Foot",F75*F$26,IF(dpUnit_Land_1="Per Front Foot",F75*F$27,IF(dpUnit_Land_1="Per Proposed Square Foot",F75*F$28,IF(dpUnit_Land_1="Per Lot",F75*F$29,F75*F$30))))))),IF(F76&lt;&gt;0,IF(dpUnit_Land_1="Per Usable Acre",F76/F$15,IF(dpUnit_Land_1="Per Gross Acre",F76/F$17,IF(dpUnit_Land_1="Per Usable Square Foot",F76/F$16,IF(dpUnit_Land_1="Per Gross Square Foot",F76/F$18,IF(dpUnit_Land_1="Per Front Foot",F76/F$19,IF(dpUnit_Land_1="Per Proposed Square Foot",F76/F$20,IF(dpUnit_Land_1="Per Lot",F76/F$21,F76/F$22))))))),F77))),IF(OR(F75&gt;0,F76&gt;0,F77&gt;0),"Inferior",IF(OR(F75&lt;0,F76&lt;0,F77&lt;0),"Superior","Similar"))))</f>
        <v>0</v>
      </c>
      <c r="G74" s="1796">
        <f t="shared" si="23"/>
        <v>0</v>
      </c>
      <c r="H74" s="1796">
        <f t="shared" si="23"/>
        <v>0</v>
      </c>
      <c r="I74" s="1796">
        <f t="shared" si="23"/>
        <v>0</v>
      </c>
      <c r="J74" s="1796">
        <f t="shared" si="23"/>
        <v>0</v>
      </c>
      <c r="K74" s="1958">
        <f t="shared" si="23"/>
        <v>0</v>
      </c>
      <c r="L74" s="763"/>
      <c r="M74" s="74"/>
      <c r="N74" s="32"/>
      <c r="O74" s="32"/>
      <c r="P74" s="32"/>
      <c r="Q74" s="150" t="s">
        <v>1187</v>
      </c>
      <c r="R74" s="150"/>
      <c r="S74" s="150"/>
      <c r="T74" s="10"/>
      <c r="U74" s="10"/>
      <c r="V74" s="10"/>
      <c r="W74" s="10"/>
      <c r="X74" s="10"/>
      <c r="Y74" s="10"/>
      <c r="Z74" s="10"/>
      <c r="AA74" s="10"/>
      <c r="AB74" s="10"/>
      <c r="AC74" s="10"/>
      <c r="AD74" s="10"/>
      <c r="AE74" s="10"/>
      <c r="AF74" s="10"/>
      <c r="AG74" s="10"/>
      <c r="AH74" s="10"/>
      <c r="AI74" s="10"/>
      <c r="AJ74" s="10"/>
      <c r="AK74" s="10"/>
      <c r="AL74" s="10"/>
      <c r="AM74" s="10"/>
      <c r="AN74" s="10"/>
      <c r="AO74" s="10"/>
    </row>
    <row r="75" spans="1:41" ht="15" customHeight="1" thickBot="1" x14ac:dyDescent="0.3">
      <c r="A75" s="972">
        <f>IF(A74=2,2,0)</f>
        <v>2</v>
      </c>
      <c r="B75" s="16"/>
      <c r="C75" s="130"/>
      <c r="D75" s="766"/>
      <c r="E75" s="1180" t="s">
        <v>166</v>
      </c>
      <c r="F75" s="1818"/>
      <c r="G75" s="1818"/>
      <c r="H75" s="1818"/>
      <c r="I75" s="1818"/>
      <c r="J75" s="1818"/>
      <c r="K75" s="2848"/>
      <c r="L75" s="136"/>
      <c r="M75" s="74"/>
      <c r="N75" s="32"/>
      <c r="O75" s="32"/>
      <c r="P75" s="32"/>
      <c r="Q75" s="914"/>
      <c r="R75" s="120"/>
      <c r="S75" s="120"/>
      <c r="T75" s="10"/>
      <c r="U75" s="10"/>
      <c r="V75" s="10"/>
      <c r="W75" s="10"/>
      <c r="X75" s="10"/>
      <c r="Y75" s="10"/>
      <c r="Z75" s="10"/>
      <c r="AA75" s="10"/>
      <c r="AB75" s="10"/>
      <c r="AC75" s="10"/>
      <c r="AD75" s="10"/>
      <c r="AE75" s="10"/>
      <c r="AF75" s="10"/>
      <c r="AG75" s="10"/>
      <c r="AH75" s="10"/>
      <c r="AI75" s="10"/>
      <c r="AJ75" s="10"/>
      <c r="AK75" s="10"/>
      <c r="AL75" s="10"/>
      <c r="AM75" s="10"/>
      <c r="AN75" s="10"/>
      <c r="AO75" s="10"/>
    </row>
    <row r="76" spans="1:41" ht="14.25" customHeight="1" x14ac:dyDescent="0.25">
      <c r="A76" s="972">
        <f>IF(A75=2,2,0)</f>
        <v>2</v>
      </c>
      <c r="B76" s="16"/>
      <c r="C76" s="130"/>
      <c r="D76" s="766"/>
      <c r="E76" s="1180" t="s">
        <v>167</v>
      </c>
      <c r="F76" s="1819"/>
      <c r="G76" s="1819"/>
      <c r="H76" s="1819"/>
      <c r="I76" s="1819"/>
      <c r="J76" s="1819"/>
      <c r="K76" s="2849"/>
      <c r="L76" s="1152"/>
      <c r="M76" s="74"/>
      <c r="N76" s="32"/>
      <c r="O76" s="32"/>
      <c r="P76" s="32"/>
      <c r="Q76" s="32"/>
      <c r="R76" s="32"/>
      <c r="S76" s="32"/>
      <c r="T76" s="10"/>
      <c r="U76" s="10"/>
      <c r="V76" s="10"/>
      <c r="W76" s="10"/>
      <c r="X76" s="10"/>
      <c r="Y76" s="10"/>
      <c r="Z76" s="10"/>
      <c r="AA76" s="10"/>
      <c r="AB76" s="10"/>
      <c r="AC76" s="10"/>
      <c r="AD76" s="10"/>
      <c r="AE76" s="10"/>
      <c r="AF76" s="10"/>
      <c r="AG76" s="10"/>
      <c r="AH76" s="10"/>
      <c r="AI76" s="10"/>
      <c r="AJ76" s="10"/>
      <c r="AK76" s="10"/>
      <c r="AL76" s="10"/>
      <c r="AM76" s="10"/>
      <c r="AN76" s="10"/>
      <c r="AO76" s="10"/>
    </row>
    <row r="77" spans="1:41" ht="14.25" customHeight="1" x14ac:dyDescent="0.25">
      <c r="A77" s="972">
        <f>IF(A76=2,2,0)</f>
        <v>2</v>
      </c>
      <c r="B77" s="16"/>
      <c r="C77" s="130"/>
      <c r="D77" s="766"/>
      <c r="E77" s="1180" t="str">
        <f>CONCATENATE("Enter $/",dpUnit_Land," Adj.")</f>
        <v>Enter $/per Usable Square Foot Adj.</v>
      </c>
      <c r="F77" s="1820"/>
      <c r="G77" s="1820"/>
      <c r="H77" s="1820"/>
      <c r="I77" s="1820"/>
      <c r="J77" s="1820"/>
      <c r="K77" s="2850"/>
      <c r="L77" s="1153"/>
      <c r="M77" s="74"/>
      <c r="N77" s="32"/>
      <c r="O77" s="32"/>
      <c r="P77" s="32"/>
      <c r="Q77" s="32"/>
      <c r="R77" s="32"/>
      <c r="S77" s="32"/>
      <c r="T77" s="10"/>
      <c r="U77" s="10"/>
      <c r="V77" s="10"/>
      <c r="W77" s="10"/>
      <c r="X77" s="10"/>
      <c r="Y77" s="10"/>
      <c r="Z77" s="10"/>
      <c r="AA77" s="10"/>
      <c r="AB77" s="10"/>
      <c r="AC77" s="10"/>
      <c r="AD77" s="10"/>
      <c r="AE77" s="10"/>
      <c r="AF77" s="10"/>
      <c r="AG77" s="10"/>
      <c r="AH77" s="10"/>
      <c r="AI77" s="10"/>
      <c r="AJ77" s="10"/>
      <c r="AK77" s="10"/>
      <c r="AL77" s="10"/>
      <c r="AM77" s="10"/>
      <c r="AN77" s="10"/>
      <c r="AO77" s="10"/>
    </row>
    <row r="78" spans="1:41" ht="8.1" customHeight="1" x14ac:dyDescent="0.25">
      <c r="A78" s="972">
        <f>A80</f>
        <v>2</v>
      </c>
      <c r="B78" s="16"/>
      <c r="C78" s="130"/>
      <c r="D78" s="766"/>
      <c r="E78" s="765"/>
      <c r="F78" s="1829">
        <f t="shared" ref="F78:K78" si="24">IF(AND(F81=0,F82=0,F83=0),0,IF(F81&lt;&gt;0,F81,IF(F82&lt;&gt;0,IF(dpUnit_Land_1="Per Usable Acre",(F82/F$15)/F$23,IF(dpUnit_Land_1="Per Gross Acre",(F82/F$17)/F$25,IF(dpUnit_Land_1="Per Usable Square Foot",(F82/F$16)/F$24,IF(dpUnit_Land_1="Per Gross Square Foot",(F82/F$18)/F$26,IF(dpUnit_Land_1="Per Front Foot",(F82/F$19)/F$27,IF(dpUnit_Land_1="Per Proposed Square Foot",(F82/F$20)/F$28,IF(dpUnit_Land_1="Per Lot",(F82/F$21)/F$29,(F82/F$22)/F$30))))))),IF(dpUnit_Land_1="Per Usable Acre",F83/F$23,IF(dpUnit_Land_1="Per Gross Acre",F83/F$25,IF(dpUnit_Land_1="Per Usable Square Foot",F83/F$24,IF(dpUnit_Land_1="Per Gross Square Foot",F83/F$26,IF(dpUnit_Land_1="Per Front Foot",F83/F$27,IF(dpUnit_Land_1="Per Proposed Square Foot",F83/F$28,IF(dpUnit_Land_1="Per Lot",F83/F$29,F83/F$30))))))))))</f>
        <v>0</v>
      </c>
      <c r="G78" s="1829">
        <f t="shared" si="24"/>
        <v>0</v>
      </c>
      <c r="H78" s="1829">
        <f t="shared" si="24"/>
        <v>0</v>
      </c>
      <c r="I78" s="1829">
        <f t="shared" si="24"/>
        <v>0</v>
      </c>
      <c r="J78" s="1829">
        <f t="shared" si="24"/>
        <v>0</v>
      </c>
      <c r="K78" s="2856">
        <f t="shared" si="24"/>
        <v>0</v>
      </c>
      <c r="L78" s="1146"/>
      <c r="M78" s="74"/>
      <c r="N78" s="32"/>
      <c r="O78" s="32"/>
      <c r="P78" s="32"/>
      <c r="Q78" s="32"/>
      <c r="R78" s="32"/>
      <c r="S78" s="32"/>
      <c r="T78" s="10"/>
      <c r="U78" s="10"/>
      <c r="V78" s="10"/>
      <c r="W78" s="10"/>
      <c r="X78" s="10"/>
      <c r="Y78" s="10"/>
      <c r="Z78" s="10"/>
      <c r="AA78" s="10"/>
      <c r="AB78" s="10"/>
      <c r="AC78" s="10"/>
      <c r="AD78" s="10"/>
      <c r="AE78" s="10"/>
      <c r="AF78" s="10"/>
      <c r="AG78" s="10"/>
      <c r="AH78" s="10"/>
      <c r="AI78" s="10"/>
      <c r="AJ78" s="10"/>
      <c r="AK78" s="10"/>
      <c r="AL78" s="10"/>
      <c r="AM78" s="10"/>
      <c r="AN78" s="10"/>
      <c r="AO78" s="10"/>
    </row>
    <row r="79" spans="1:41" x14ac:dyDescent="0.25">
      <c r="A79" s="972">
        <f>A80</f>
        <v>2</v>
      </c>
      <c r="B79" s="16"/>
      <c r="C79" s="130"/>
      <c r="D79" s="1489" t="s">
        <v>97</v>
      </c>
      <c r="E79" s="1665" t="str">
        <f>Subject_LandShape</f>
        <v>Square</v>
      </c>
      <c r="F79" s="1789"/>
      <c r="G79" s="1789"/>
      <c r="H79" s="1789"/>
      <c r="I79" s="1789"/>
      <c r="J79" s="1789"/>
      <c r="K79" s="1168"/>
      <c r="L79" s="1146"/>
      <c r="M79" s="74"/>
      <c r="N79" s="32"/>
      <c r="O79" s="32"/>
      <c r="P79" s="32"/>
      <c r="Q79" s="32"/>
      <c r="R79" s="32"/>
      <c r="S79" s="32"/>
      <c r="T79" s="10"/>
      <c r="U79" s="10"/>
      <c r="V79" s="10"/>
      <c r="W79" s="10"/>
      <c r="X79" s="10"/>
      <c r="Y79" s="10"/>
      <c r="Z79" s="10"/>
      <c r="AA79" s="10"/>
      <c r="AB79" s="10"/>
      <c r="AC79" s="10"/>
      <c r="AD79" s="10"/>
      <c r="AE79" s="10"/>
      <c r="AF79" s="10"/>
      <c r="AG79" s="10"/>
      <c r="AH79" s="10"/>
      <c r="AI79" s="10"/>
      <c r="AJ79" s="10"/>
      <c r="AK79" s="10"/>
      <c r="AL79" s="10"/>
      <c r="AM79" s="10"/>
      <c r="AN79" s="10"/>
      <c r="AO79" s="10"/>
    </row>
    <row r="80" spans="1:41" ht="14.25" customHeight="1" x14ac:dyDescent="0.25">
      <c r="A80" s="972">
        <f>IF(B80=TRUE,1,2)</f>
        <v>2</v>
      </c>
      <c r="B80" s="16" t="b">
        <v>0</v>
      </c>
      <c r="C80" s="130"/>
      <c r="D80" s="520" t="str">
        <f>IF(Land_AdjType&lt;&gt;"Qualitative","Adjustment","Relative Comparison")</f>
        <v>Adjustment</v>
      </c>
      <c r="E80" s="765"/>
      <c r="F80" s="1796">
        <f t="shared" ref="F80:K80" si="25">IF(Land_AdjType_1="Percent",IF(AND(F81=0,F82=0,F83=0),0,IF(F81&lt;&gt;0,F81,IF(F82&lt;&gt;0,IF(dpUnit_Land_1="Per Usable Acre",(F82/F$15)/F$23,IF(dpUnit_Land_1="Per Gross Acre",(F82/F$17)/F$25,IF(dpUnit_Land_1="Per Usable Square Foot",(F82/F$16)/F$24,IF(dpUnit_Land_1="Per Gross Square Foot",(F82/F$18)/F$26,IF(dpUnit_Land_1="Per Front Foot",(F82/F$19)/F$27,IF(dpUnit_Land_1="Per Proposed Square Foot",(F82/F$20)/F$28,IF(dpUnit_Land_1="Per Lot",(F82/F$21)/F$29,(F82/F$22)/F$30))))))),IF(dpUnit_Land_1="Per Usable Acre",F83/F$23,IF(dpUnit_Land_1="Per Gross Acre",F83/F$25,IF(dpUnit_Land_1="Per Usable Square Foot",F83/F$24,IF(dpUnit_Land_1="Per Gross Square Foot",F83/F$26,IF(dpUnit_Land_1="Per Front Foot",F83/F$27,IF(dpUnit_Land_1="Per Proposed Square Foot",F83/F$28,IF(dpUnit_Land_1="Per Lot",F83/F$29,F83/F$30)))))))))),IF(Land_AdjType_1="$ per Unit",IF(AND(F81=0,F82=0,F83=0),0,IF(F81&lt;&gt;0,IF(dpUnit_Land_1="Per Usable Acre",F81*F$23,IF(dpUnit_Land_1="Per Gross Acre",F81*F$25,IF(dpUnit_Land_1="Per Usable Square Foot",F81*F$24,IF(dpUnit_Land_1="Per Gross Square Foot",F81*F$26,IF(dpUnit_Land_1="Per Front Foot",F81*F$27,IF(dpUnit_Land_1="Per Proposed Square Foot",F81*F$28,IF(dpUnit_Land_1="Per Lot",F81*F$29,F81*F$30))))))),IF(F82&lt;&gt;0,IF(dpUnit_Land_1="Per Usable Acre",F82/F$15,IF(dpUnit_Land_1="Per Gross Acre",F82/F$17,IF(dpUnit_Land_1="Per Usable Square Foot",F82/F$16,IF(dpUnit_Land_1="Per Gross Square Foot",F82/F$18,IF(dpUnit_Land_1="Per Front Foot",F82/F$19,IF(dpUnit_Land_1="Per Proposed Square Foot",F82/F$20,IF(dpUnit_Land_1="Per Lot",F82/F$21,F82/F$22))))))),F83))),IF(OR(F81&gt;0,F82&gt;0,F83&gt;0),"Inferior",IF(OR(F81&lt;0,F82&lt;0,F83&lt;0),"Superior","Similar"))))</f>
        <v>0</v>
      </c>
      <c r="G80" s="1796">
        <f t="shared" si="25"/>
        <v>0</v>
      </c>
      <c r="H80" s="1796">
        <f t="shared" si="25"/>
        <v>0</v>
      </c>
      <c r="I80" s="1796">
        <f t="shared" si="25"/>
        <v>0</v>
      </c>
      <c r="J80" s="1796">
        <f t="shared" si="25"/>
        <v>0</v>
      </c>
      <c r="K80" s="1958">
        <f t="shared" si="25"/>
        <v>0</v>
      </c>
      <c r="L80" s="763"/>
      <c r="M80" s="74"/>
      <c r="N80" s="32"/>
      <c r="O80" s="32"/>
      <c r="P80" s="32"/>
      <c r="Q80" s="32"/>
      <c r="R80" s="32"/>
      <c r="S80" s="32"/>
      <c r="T80" s="10"/>
      <c r="U80" s="10"/>
      <c r="V80" s="10"/>
      <c r="W80" s="10"/>
      <c r="X80" s="10"/>
      <c r="Y80" s="10"/>
      <c r="Z80" s="10"/>
      <c r="AA80" s="10"/>
      <c r="AB80" s="10"/>
      <c r="AC80" s="10"/>
      <c r="AD80" s="10"/>
      <c r="AE80" s="10"/>
      <c r="AF80" s="10"/>
      <c r="AG80" s="10"/>
      <c r="AH80" s="10"/>
      <c r="AI80" s="10"/>
      <c r="AJ80" s="10"/>
      <c r="AK80" s="10"/>
      <c r="AL80" s="10"/>
      <c r="AM80" s="10"/>
      <c r="AN80" s="10"/>
      <c r="AO80" s="10"/>
    </row>
    <row r="81" spans="1:41" ht="14.25" customHeight="1" x14ac:dyDescent="0.25">
      <c r="A81" s="972">
        <f>IF(A80=2,2,0)</f>
        <v>2</v>
      </c>
      <c r="B81" s="16"/>
      <c r="C81" s="130"/>
      <c r="D81" s="520"/>
      <c r="E81" s="1180" t="s">
        <v>166</v>
      </c>
      <c r="F81" s="1818"/>
      <c r="G81" s="1818"/>
      <c r="H81" s="1818"/>
      <c r="I81" s="1818"/>
      <c r="J81" s="1818"/>
      <c r="K81" s="2848"/>
      <c r="L81" s="136"/>
      <c r="M81" s="74"/>
      <c r="N81" s="32"/>
      <c r="O81" s="32"/>
      <c r="P81" s="32"/>
      <c r="Q81" s="32"/>
      <c r="R81" s="32"/>
      <c r="S81" s="32"/>
      <c r="T81" s="10"/>
      <c r="U81" s="10"/>
      <c r="V81" s="10"/>
      <c r="W81" s="10"/>
      <c r="X81" s="10"/>
      <c r="Y81" s="10"/>
      <c r="Z81" s="10"/>
      <c r="AA81" s="10"/>
      <c r="AB81" s="10"/>
      <c r="AC81" s="10"/>
      <c r="AD81" s="10"/>
      <c r="AE81" s="10"/>
      <c r="AF81" s="10"/>
      <c r="AG81" s="10"/>
      <c r="AH81" s="10"/>
      <c r="AI81" s="10"/>
      <c r="AJ81" s="10"/>
      <c r="AK81" s="10"/>
      <c r="AL81" s="10"/>
      <c r="AM81" s="10"/>
      <c r="AN81" s="10"/>
      <c r="AO81" s="10"/>
    </row>
    <row r="82" spans="1:41" ht="14.25" customHeight="1" x14ac:dyDescent="0.25">
      <c r="A82" s="972">
        <f>IF(A81=2,2,0)</f>
        <v>2</v>
      </c>
      <c r="B82" s="16"/>
      <c r="C82" s="130"/>
      <c r="D82" s="520"/>
      <c r="E82" s="1180" t="s">
        <v>167</v>
      </c>
      <c r="F82" s="1819"/>
      <c r="G82" s="1819"/>
      <c r="H82" s="1819"/>
      <c r="I82" s="1819"/>
      <c r="J82" s="1819"/>
      <c r="K82" s="2849"/>
      <c r="L82" s="1152"/>
      <c r="M82" s="74"/>
      <c r="N82" s="32"/>
      <c r="O82" s="32"/>
      <c r="P82" s="32"/>
      <c r="Q82" s="32"/>
      <c r="R82" s="32"/>
      <c r="S82" s="32"/>
      <c r="T82" s="10"/>
      <c r="U82" s="10"/>
      <c r="V82" s="10"/>
      <c r="W82" s="10"/>
      <c r="X82" s="10"/>
      <c r="Y82" s="10"/>
      <c r="Z82" s="10"/>
      <c r="AA82" s="10"/>
      <c r="AB82" s="10"/>
      <c r="AC82" s="10"/>
      <c r="AD82" s="10"/>
      <c r="AE82" s="10"/>
      <c r="AF82" s="10"/>
      <c r="AG82" s="10"/>
      <c r="AH82" s="10"/>
      <c r="AI82" s="10"/>
      <c r="AJ82" s="10"/>
      <c r="AK82" s="10"/>
      <c r="AL82" s="10"/>
      <c r="AM82" s="10"/>
      <c r="AN82" s="10"/>
      <c r="AO82" s="10"/>
    </row>
    <row r="83" spans="1:41" ht="14.25" customHeight="1" x14ac:dyDescent="0.25">
      <c r="A83" s="972">
        <f>IF(A82=2,2,0)</f>
        <v>2</v>
      </c>
      <c r="B83" s="16"/>
      <c r="C83" s="130"/>
      <c r="D83" s="520"/>
      <c r="E83" s="1180" t="str">
        <f>CONCATENATE("Enter $/",dpUnit_Land," Adj.")</f>
        <v>Enter $/per Usable Square Foot Adj.</v>
      </c>
      <c r="F83" s="1820"/>
      <c r="G83" s="1820"/>
      <c r="H83" s="1820"/>
      <c r="I83" s="1820"/>
      <c r="J83" s="1820"/>
      <c r="K83" s="2850"/>
      <c r="L83" s="1153"/>
      <c r="M83" s="74"/>
      <c r="N83" s="32"/>
      <c r="O83" s="32"/>
      <c r="P83" s="32"/>
      <c r="Q83" s="32"/>
      <c r="R83" s="32"/>
      <c r="S83" s="32"/>
      <c r="T83" s="10"/>
      <c r="U83" s="10"/>
      <c r="V83" s="10"/>
      <c r="W83" s="10"/>
      <c r="X83" s="10"/>
      <c r="Y83" s="10"/>
      <c r="Z83" s="10"/>
      <c r="AA83" s="10"/>
      <c r="AB83" s="10"/>
      <c r="AC83" s="10"/>
      <c r="AD83" s="10"/>
      <c r="AE83" s="10"/>
      <c r="AF83" s="10"/>
      <c r="AG83" s="10"/>
      <c r="AH83" s="10"/>
      <c r="AI83" s="10"/>
      <c r="AJ83" s="10"/>
      <c r="AK83" s="10"/>
      <c r="AL83" s="10"/>
      <c r="AM83" s="10"/>
      <c r="AN83" s="10"/>
      <c r="AO83" s="10"/>
    </row>
    <row r="84" spans="1:41" ht="8.1" customHeight="1" x14ac:dyDescent="0.25">
      <c r="A84" s="972">
        <f>A86</f>
        <v>2</v>
      </c>
      <c r="B84" s="16"/>
      <c r="C84" s="130"/>
      <c r="D84" s="520"/>
      <c r="E84" s="765"/>
      <c r="F84" s="1829">
        <f t="shared" ref="F84:K84" si="26">IF(AND(F87=0,F88=0,F89=0),0,IF(F87&lt;&gt;0,F87,IF(F88&lt;&gt;0,IF(dpUnit_Land_1="Per Usable Acre",(F88/F$15)/F$23,IF(dpUnit_Land_1="Per Gross Acre",(F88/F$17)/F$25,IF(dpUnit_Land_1="Per Usable Square Foot",(F88/F$16)/F$24,IF(dpUnit_Land_1="Per Gross Square Foot",(F88/F$18)/F$26,IF(dpUnit_Land_1="Per Front Foot",(F88/F$19)/F$27,IF(dpUnit_Land_1="Per Proposed Square Foot",(F88/F$20)/F$28,IF(dpUnit_Land_1="Per Lot",(F88/F$21)/F$29,(F88/F$22)/F$30))))))),IF(dpUnit_Land_1="Per Usable Acre",F89/F$23,IF(dpUnit_Land_1="Per Gross Acre",F89/F$25,IF(dpUnit_Land_1="Per Usable Square Foot",F89/F$24,IF(dpUnit_Land_1="Per Gross Square Foot",F89/F$26,IF(dpUnit_Land_1="Per Front Foot",F89/F$27,IF(dpUnit_Land_1="Per Proposed Square Foot",F89/F$28,IF(dpUnit_Land_1="Per Lot",F89/F$29,F89/F$30))))))))))</f>
        <v>0</v>
      </c>
      <c r="G84" s="1829">
        <f t="shared" si="26"/>
        <v>0</v>
      </c>
      <c r="H84" s="1829">
        <f t="shared" si="26"/>
        <v>0</v>
      </c>
      <c r="I84" s="1829">
        <f t="shared" si="26"/>
        <v>0</v>
      </c>
      <c r="J84" s="1829">
        <f t="shared" si="26"/>
        <v>0</v>
      </c>
      <c r="K84" s="2856">
        <f t="shared" si="26"/>
        <v>0</v>
      </c>
      <c r="L84" s="1146"/>
      <c r="M84" s="74"/>
      <c r="N84" s="32"/>
      <c r="O84" s="32"/>
      <c r="P84" s="32"/>
      <c r="Q84" s="32"/>
      <c r="R84" s="32"/>
      <c r="S84" s="32"/>
      <c r="T84" s="10"/>
      <c r="U84" s="10"/>
      <c r="V84" s="10"/>
      <c r="W84" s="10"/>
      <c r="X84" s="10"/>
      <c r="Y84" s="10"/>
      <c r="Z84" s="10"/>
      <c r="AA84" s="10"/>
      <c r="AB84" s="10"/>
      <c r="AC84" s="10"/>
      <c r="AD84" s="10"/>
      <c r="AE84" s="10"/>
      <c r="AF84" s="10"/>
      <c r="AG84" s="10"/>
      <c r="AH84" s="10"/>
      <c r="AI84" s="10"/>
      <c r="AJ84" s="10"/>
      <c r="AK84" s="10"/>
      <c r="AL84" s="10"/>
      <c r="AM84" s="10"/>
      <c r="AN84" s="10"/>
      <c r="AO84" s="10"/>
    </row>
    <row r="85" spans="1:41" x14ac:dyDescent="0.25">
      <c r="A85" s="972">
        <f>A86</f>
        <v>2</v>
      </c>
      <c r="B85" s="16"/>
      <c r="C85" s="130"/>
      <c r="D85" s="1489" t="s">
        <v>98</v>
      </c>
      <c r="E85" s="1665" t="str">
        <f>Subject_CornerExposure</f>
        <v>Soft Corner</v>
      </c>
      <c r="F85" s="1789"/>
      <c r="G85" s="1789"/>
      <c r="H85" s="1789"/>
      <c r="I85" s="1789"/>
      <c r="J85" s="1789"/>
      <c r="K85" s="1168"/>
      <c r="L85" s="1146"/>
      <c r="M85" s="74"/>
      <c r="N85" s="32"/>
      <c r="O85" s="32"/>
      <c r="P85" s="32"/>
      <c r="Q85" s="32"/>
      <c r="R85" s="32"/>
      <c r="S85" s="32"/>
      <c r="T85" s="10"/>
      <c r="U85" s="10"/>
      <c r="V85" s="10"/>
      <c r="W85" s="10"/>
      <c r="X85" s="10"/>
      <c r="Y85" s="10"/>
      <c r="Z85" s="10"/>
      <c r="AA85" s="10"/>
      <c r="AB85" s="10"/>
      <c r="AC85" s="10"/>
      <c r="AD85" s="10"/>
      <c r="AE85" s="10"/>
      <c r="AF85" s="10"/>
      <c r="AG85" s="10"/>
      <c r="AH85" s="10"/>
      <c r="AI85" s="10"/>
      <c r="AJ85" s="10"/>
      <c r="AK85" s="10"/>
      <c r="AL85" s="10"/>
      <c r="AM85" s="10"/>
      <c r="AN85" s="10"/>
      <c r="AO85" s="10"/>
    </row>
    <row r="86" spans="1:41" ht="14.25" customHeight="1" x14ac:dyDescent="0.25">
      <c r="A86" s="972">
        <f>IF(B86=TRUE,1,2)</f>
        <v>2</v>
      </c>
      <c r="B86" s="16" t="b">
        <v>0</v>
      </c>
      <c r="C86" s="130"/>
      <c r="D86" s="520" t="str">
        <f>IF(Land_AdjType&lt;&gt;"Qualitative","Adjustment","Relative Comparison")</f>
        <v>Adjustment</v>
      </c>
      <c r="E86" s="765"/>
      <c r="F86" s="1796">
        <f t="shared" ref="F86:K86" si="27">IF(Land_AdjType_1="Percent",IF(AND(F87=0,F88=0,F89=0),0,IF(F87&lt;&gt;0,F87,IF(F88&lt;&gt;0,IF(dpUnit_Land_1="Per Usable Acre",(F88/F$15)/F$23,IF(dpUnit_Land_1="Per Gross Acre",(F88/F$17)/F$25,IF(dpUnit_Land_1="Per Usable Square Foot",(F88/F$16)/F$24,IF(dpUnit_Land_1="Per Gross Square Foot",(F88/F$18)/F$26,IF(dpUnit_Land_1="Per Front Foot",(F88/F$19)/F$27,IF(dpUnit_Land_1="Per Proposed Square Foot",(F88/F$20)/F$28,IF(dpUnit_Land_1="Per Lot",(F88/F$21)/F$29,(F88/F$22)/F$30))))))),IF(dpUnit_Land_1="Per Usable Acre",F89/F$23,IF(dpUnit_Land_1="Per Gross Acre",F89/F$25,IF(dpUnit_Land_1="Per Usable Square Foot",F89/F$24,IF(dpUnit_Land_1="Per Gross Square Foot",F89/F$26,IF(dpUnit_Land_1="Per Front Foot",F89/F$27,IF(dpUnit_Land_1="Per Proposed Square Foot",F89/F$28,IF(dpUnit_Land_1="Per Lot",F89/F$29,F89/F$30)))))))))),IF(Land_AdjType_1="$ per Unit",IF(AND(F87=0,F88=0,F89=0),0,IF(F87&lt;&gt;0,IF(dpUnit_Land_1="Per Usable Acre",F87*F$23,IF(dpUnit_Land_1="Per Gross Acre",F87*F$25,IF(dpUnit_Land_1="Per Usable Square Foot",F87*F$24,IF(dpUnit_Land_1="Per Gross Square Foot",F87*F$26,IF(dpUnit_Land_1="Per Front Foot",F87*F$27,IF(dpUnit_Land_1="Per Proposed Square Foot",F87*F$28,IF(dpUnit_Land_1="Per Lot",F87*F$29,F87*F$30))))))),IF(F88&lt;&gt;0,IF(dpUnit_Land_1="Per Usable Acre",F88/F$15,IF(dpUnit_Land_1="Per Gross Acre",F88/F$17,IF(dpUnit_Land_1="Per Usable Square Foot",F88/F$16,IF(dpUnit_Land_1="Per Gross Square Foot",F88/F$18,IF(dpUnit_Land_1="Per Front Foot",F88/F$19,IF(dpUnit_Land_1="Per Proposed Square Foot",F88/F$20,IF(dpUnit_Land_1="Per Lot",F88/F$21,F88/F$22))))))),F89))),IF(OR(F87&gt;0,F88&gt;0,F89&gt;0),"Inferior",IF(OR(F87&lt;0,F88&lt;0,F89&lt;0),"Superior","Similar"))))</f>
        <v>0</v>
      </c>
      <c r="G86" s="1796">
        <f t="shared" si="27"/>
        <v>0</v>
      </c>
      <c r="H86" s="1796">
        <f t="shared" si="27"/>
        <v>0</v>
      </c>
      <c r="I86" s="1796">
        <f t="shared" si="27"/>
        <v>0</v>
      </c>
      <c r="J86" s="1796">
        <f t="shared" si="27"/>
        <v>0</v>
      </c>
      <c r="K86" s="1958">
        <f t="shared" si="27"/>
        <v>0</v>
      </c>
      <c r="L86" s="763"/>
      <c r="M86" s="74"/>
      <c r="N86" s="32"/>
      <c r="O86" s="32"/>
      <c r="P86" s="32"/>
      <c r="Q86" s="32"/>
      <c r="R86" s="32"/>
      <c r="S86" s="32"/>
      <c r="T86" s="10"/>
      <c r="U86" s="10"/>
      <c r="V86" s="10"/>
      <c r="W86" s="10"/>
      <c r="X86" s="10"/>
      <c r="Y86" s="10"/>
      <c r="Z86" s="10"/>
      <c r="AA86" s="10"/>
      <c r="AB86" s="10"/>
      <c r="AC86" s="10"/>
      <c r="AD86" s="10"/>
      <c r="AE86" s="10"/>
      <c r="AF86" s="10"/>
      <c r="AG86" s="10"/>
      <c r="AH86" s="10"/>
      <c r="AI86" s="10"/>
      <c r="AJ86" s="10"/>
      <c r="AK86" s="10"/>
      <c r="AL86" s="10"/>
      <c r="AM86" s="10"/>
      <c r="AN86" s="10"/>
      <c r="AO86" s="10"/>
    </row>
    <row r="87" spans="1:41" ht="14.25" customHeight="1" x14ac:dyDescent="0.25">
      <c r="A87" s="972">
        <f>IF(A86=2,2,0)</f>
        <v>2</v>
      </c>
      <c r="B87" s="16"/>
      <c r="C87" s="130"/>
      <c r="D87" s="520"/>
      <c r="E87" s="1180" t="s">
        <v>166</v>
      </c>
      <c r="F87" s="1818"/>
      <c r="G87" s="1818"/>
      <c r="H87" s="1818"/>
      <c r="I87" s="1818"/>
      <c r="J87" s="1818"/>
      <c r="K87" s="2848"/>
      <c r="L87" s="136"/>
      <c r="M87" s="74"/>
      <c r="N87" s="32"/>
      <c r="O87" s="32"/>
      <c r="P87" s="32"/>
      <c r="Q87" s="32"/>
      <c r="R87" s="32"/>
      <c r="S87" s="32"/>
      <c r="T87" s="10"/>
      <c r="U87" s="10"/>
      <c r="V87" s="10"/>
      <c r="W87" s="10"/>
      <c r="X87" s="10"/>
      <c r="Y87" s="10"/>
      <c r="Z87" s="10"/>
      <c r="AA87" s="10"/>
      <c r="AB87" s="10"/>
      <c r="AC87" s="10"/>
      <c r="AD87" s="10"/>
      <c r="AE87" s="10"/>
      <c r="AF87" s="10"/>
      <c r="AG87" s="10"/>
      <c r="AH87" s="10"/>
      <c r="AI87" s="10"/>
      <c r="AJ87" s="10"/>
      <c r="AK87" s="10"/>
      <c r="AL87" s="10"/>
      <c r="AM87" s="10"/>
      <c r="AN87" s="10"/>
      <c r="AO87" s="10"/>
    </row>
    <row r="88" spans="1:41" ht="14.25" customHeight="1" x14ac:dyDescent="0.25">
      <c r="A88" s="972">
        <f>IF(A87=2,2,0)</f>
        <v>2</v>
      </c>
      <c r="B88" s="16"/>
      <c r="C88" s="130"/>
      <c r="D88" s="520"/>
      <c r="E88" s="1180" t="s">
        <v>167</v>
      </c>
      <c r="F88" s="1819"/>
      <c r="G88" s="1819"/>
      <c r="H88" s="1819"/>
      <c r="I88" s="1819"/>
      <c r="J88" s="1819"/>
      <c r="K88" s="2849"/>
      <c r="L88" s="1152"/>
      <c r="M88" s="74"/>
      <c r="N88" s="32"/>
      <c r="O88" s="32"/>
      <c r="P88" s="32"/>
      <c r="Q88" s="32"/>
      <c r="R88" s="32"/>
      <c r="S88" s="32"/>
      <c r="T88" s="10"/>
      <c r="U88" s="10"/>
      <c r="V88" s="10"/>
      <c r="W88" s="10"/>
      <c r="X88" s="10"/>
      <c r="Y88" s="10"/>
      <c r="Z88" s="10"/>
      <c r="AA88" s="10"/>
      <c r="AB88" s="10"/>
      <c r="AC88" s="10"/>
      <c r="AD88" s="10"/>
      <c r="AE88" s="10"/>
      <c r="AF88" s="10"/>
      <c r="AG88" s="10"/>
      <c r="AH88" s="10"/>
      <c r="AI88" s="10"/>
      <c r="AJ88" s="10"/>
      <c r="AK88" s="10"/>
      <c r="AL88" s="10"/>
      <c r="AM88" s="10"/>
      <c r="AN88" s="10"/>
      <c r="AO88" s="10"/>
    </row>
    <row r="89" spans="1:41" ht="14.25" customHeight="1" x14ac:dyDescent="0.25">
      <c r="A89" s="972">
        <f>IF(A88=2,2,0)</f>
        <v>2</v>
      </c>
      <c r="B89" s="16"/>
      <c r="C89" s="130"/>
      <c r="D89" s="520"/>
      <c r="E89" s="1180" t="str">
        <f>CONCATENATE("Enter $/",dpUnit_Land," Adj.")</f>
        <v>Enter $/per Usable Square Foot Adj.</v>
      </c>
      <c r="F89" s="1820"/>
      <c r="G89" s="1820"/>
      <c r="H89" s="1820"/>
      <c r="I89" s="1820"/>
      <c r="J89" s="1820"/>
      <c r="K89" s="2850"/>
      <c r="L89" s="1153"/>
      <c r="M89" s="74"/>
      <c r="N89" s="32"/>
      <c r="O89" s="32"/>
      <c r="P89" s="32"/>
      <c r="Q89" s="32"/>
      <c r="R89" s="32"/>
      <c r="S89" s="32"/>
      <c r="T89" s="10"/>
      <c r="U89" s="10"/>
      <c r="V89" s="10"/>
      <c r="W89" s="10"/>
      <c r="X89" s="10"/>
      <c r="Y89" s="10"/>
      <c r="Z89" s="10"/>
      <c r="AA89" s="10"/>
      <c r="AB89" s="10"/>
      <c r="AC89" s="10"/>
      <c r="AD89" s="10"/>
      <c r="AE89" s="10"/>
      <c r="AF89" s="10"/>
      <c r="AG89" s="10"/>
      <c r="AH89" s="10"/>
      <c r="AI89" s="10"/>
      <c r="AJ89" s="10"/>
      <c r="AK89" s="10"/>
      <c r="AL89" s="10"/>
      <c r="AM89" s="10"/>
      <c r="AN89" s="10"/>
      <c r="AO89" s="10"/>
    </row>
    <row r="90" spans="1:41" ht="8.1" customHeight="1" x14ac:dyDescent="0.25">
      <c r="A90" s="972">
        <f>A94</f>
        <v>2</v>
      </c>
      <c r="B90" s="16"/>
      <c r="C90" s="130"/>
      <c r="D90" s="520"/>
      <c r="E90" s="765"/>
      <c r="F90" s="1829">
        <f t="shared" ref="F90:K90" si="28">IF(AND(F95=0,F96=0,F97=0),0,IF(F95&lt;&gt;0,F95,IF(F96&lt;&gt;0,IF(dpUnit_Land_1="Per Usable Acre",(F96/F$15)/F$23,IF(dpUnit_Land_1="Per Gross Acre",(F96/F$17)/F$25,IF(dpUnit_Land_1="Per Usable Square Foot",(F96/F$16)/F$24,IF(dpUnit_Land_1="Per Gross Square Foot",(F96/F$18)/F$26,IF(dpUnit_Land_1="Per Front Foot",(F96/F$19)/F$27,IF(dpUnit_Land_1="Per Proposed Square Foot",(F96/F$20)/F$28,IF(dpUnit_Land_1="Per Lot",(F96/F$21)/F$29,(F96/F$22)/F$30))))))),IF(dpUnit_Land_1="Per Usable Acre",F97/F$23,IF(dpUnit_Land_1="Per Gross Acre",F97/F$25,IF(dpUnit_Land_1="Per Usable Square Foot",F97/F$24,IF(dpUnit_Land_1="Per Gross Square Foot",F97/F$26,IF(dpUnit_Land_1="Per Front Foot",F97/F$27,IF(dpUnit_Land_1="Per Proposed Square Foot",F97/F$28,IF(dpUnit_Land_1="Per Lot",F97/F$29,F97/F$30))))))))))</f>
        <v>0</v>
      </c>
      <c r="G90" s="1829">
        <f t="shared" si="28"/>
        <v>0</v>
      </c>
      <c r="H90" s="1829">
        <f t="shared" si="28"/>
        <v>0</v>
      </c>
      <c r="I90" s="1829">
        <f t="shared" si="28"/>
        <v>0</v>
      </c>
      <c r="J90" s="1829">
        <f t="shared" si="28"/>
        <v>0</v>
      </c>
      <c r="K90" s="2856">
        <f t="shared" si="28"/>
        <v>0</v>
      </c>
      <c r="L90" s="1146"/>
      <c r="M90" s="74"/>
      <c r="N90" s="32"/>
      <c r="O90" s="32"/>
      <c r="P90" s="32"/>
      <c r="Q90" s="32"/>
      <c r="R90" s="32"/>
      <c r="S90" s="32"/>
      <c r="T90" s="10"/>
      <c r="U90" s="10"/>
      <c r="V90" s="10"/>
      <c r="W90" s="10"/>
      <c r="X90" s="10"/>
      <c r="Y90" s="10"/>
      <c r="Z90" s="10"/>
      <c r="AA90" s="10"/>
      <c r="AB90" s="10"/>
      <c r="AC90" s="10"/>
      <c r="AD90" s="10"/>
      <c r="AE90" s="10"/>
      <c r="AF90" s="10"/>
      <c r="AG90" s="10"/>
      <c r="AH90" s="10"/>
      <c r="AI90" s="10"/>
      <c r="AJ90" s="10"/>
      <c r="AK90" s="10"/>
      <c r="AL90" s="10"/>
      <c r="AM90" s="10"/>
      <c r="AN90" s="10"/>
      <c r="AO90" s="10"/>
    </row>
    <row r="91" spans="1:41" ht="28.5" x14ac:dyDescent="0.25">
      <c r="A91" s="976">
        <f>A94</f>
        <v>2</v>
      </c>
      <c r="B91" s="140"/>
      <c r="C91" s="522"/>
      <c r="D91" s="1489" t="s">
        <v>101</v>
      </c>
      <c r="E91" s="1665" t="str">
        <f>IF(Subject_SecondaryFrontageFeet=0,CONCATENATE("Primary - ",TEXT(Subject_PrimaryFrontageFeet,"#,#00")," feet"),CONCATENATE("Primary - ",TEXT(Subject_PrimaryFrontageFeet,"#,#00")," feet &amp; Secondary - ",TEXT(Subject_SecondaryFrontageFeet,"#,#00")," feet"))</f>
        <v>Primary - 125 feet</v>
      </c>
      <c r="F91" s="1788" t="str">
        <f t="shared" ref="F91:K91" si="29">IF(F93=0,CONCATENATE("Primary - ",TEXT(F92,"#,#00")," feet"),CONCATENATE("Primary - ",TEXT(F92,"#,#00")," feet &amp; Secondary - ",TEXT(F93,"#,#00")," feet"))</f>
        <v>Primary - 00 feet</v>
      </c>
      <c r="G91" s="1788" t="str">
        <f t="shared" si="29"/>
        <v>Primary - 00 feet</v>
      </c>
      <c r="H91" s="1788" t="str">
        <f t="shared" si="29"/>
        <v>Primary - 00 feet</v>
      </c>
      <c r="I91" s="1788" t="str">
        <f t="shared" si="29"/>
        <v>Primary - 00 feet</v>
      </c>
      <c r="J91" s="1788" t="str">
        <f t="shared" si="29"/>
        <v>Primary - 00 feet</v>
      </c>
      <c r="K91" s="1162" t="str">
        <f t="shared" si="29"/>
        <v>Primary - 00 feet</v>
      </c>
      <c r="L91" s="1163"/>
      <c r="M91" s="141"/>
      <c r="N91" s="295"/>
      <c r="O91" s="295"/>
      <c r="P91" s="295"/>
      <c r="Q91" s="295"/>
      <c r="R91" s="295"/>
      <c r="S91" s="295"/>
      <c r="T91" s="142"/>
      <c r="U91" s="142"/>
      <c r="V91" s="142"/>
      <c r="W91" s="142"/>
      <c r="X91" s="142"/>
      <c r="Y91" s="142"/>
      <c r="Z91" s="142"/>
      <c r="AA91" s="142"/>
      <c r="AB91" s="142"/>
      <c r="AC91" s="142"/>
      <c r="AD91" s="142"/>
      <c r="AE91" s="142"/>
      <c r="AF91" s="142"/>
      <c r="AG91" s="142"/>
      <c r="AH91" s="142"/>
      <c r="AI91" s="142"/>
      <c r="AJ91" s="142"/>
      <c r="AK91" s="142"/>
      <c r="AL91" s="142"/>
      <c r="AM91" s="142"/>
      <c r="AN91" s="142"/>
      <c r="AO91" s="142"/>
    </row>
    <row r="92" spans="1:41" ht="15" customHeight="1" x14ac:dyDescent="0.25">
      <c r="A92" s="972">
        <v>0</v>
      </c>
      <c r="B92" s="16"/>
      <c r="C92" s="130"/>
      <c r="D92" s="1169"/>
      <c r="E92" s="1120" t="s">
        <v>310</v>
      </c>
      <c r="F92" s="1815"/>
      <c r="G92" s="1815"/>
      <c r="H92" s="1815"/>
      <c r="I92" s="1815"/>
      <c r="J92" s="1815"/>
      <c r="K92" s="2846"/>
      <c r="L92" s="1146"/>
      <c r="M92" s="74"/>
      <c r="N92" s="32"/>
      <c r="O92" s="32"/>
      <c r="P92" s="32"/>
      <c r="Q92" s="32"/>
      <c r="R92" s="32"/>
      <c r="S92" s="32"/>
      <c r="T92" s="10"/>
      <c r="U92" s="10"/>
      <c r="V92" s="10"/>
      <c r="W92" s="10"/>
      <c r="X92" s="10"/>
      <c r="Y92" s="10"/>
      <c r="Z92" s="10"/>
      <c r="AA92" s="10"/>
      <c r="AB92" s="10"/>
      <c r="AC92" s="10"/>
      <c r="AD92" s="10"/>
      <c r="AE92" s="10"/>
      <c r="AF92" s="10"/>
      <c r="AG92" s="10"/>
      <c r="AH92" s="10"/>
      <c r="AI92" s="10"/>
      <c r="AJ92" s="10"/>
      <c r="AK92" s="10"/>
      <c r="AL92" s="10"/>
      <c r="AM92" s="10"/>
      <c r="AN92" s="10"/>
      <c r="AO92" s="10"/>
    </row>
    <row r="93" spans="1:41" ht="15" customHeight="1" x14ac:dyDescent="0.25">
      <c r="A93" s="972">
        <v>0</v>
      </c>
      <c r="B93" s="16"/>
      <c r="C93" s="130"/>
      <c r="D93" s="1169"/>
      <c r="E93" s="1120" t="s">
        <v>311</v>
      </c>
      <c r="F93" s="1815"/>
      <c r="G93" s="1815"/>
      <c r="H93" s="1815"/>
      <c r="I93" s="1815"/>
      <c r="J93" s="1815"/>
      <c r="K93" s="2846"/>
      <c r="L93" s="1146"/>
      <c r="M93" s="74"/>
      <c r="N93" s="32"/>
      <c r="O93" s="32"/>
      <c r="P93" s="32"/>
      <c r="Q93" s="32"/>
      <c r="R93" s="32"/>
      <c r="S93" s="32"/>
      <c r="T93" s="10"/>
      <c r="U93" s="10"/>
      <c r="V93" s="10"/>
      <c r="W93" s="10"/>
      <c r="X93" s="10"/>
      <c r="Y93" s="10"/>
      <c r="Z93" s="10"/>
      <c r="AA93" s="10"/>
      <c r="AB93" s="10"/>
      <c r="AC93" s="10"/>
      <c r="AD93" s="10"/>
      <c r="AE93" s="10"/>
      <c r="AF93" s="10"/>
      <c r="AG93" s="10"/>
      <c r="AH93" s="10"/>
      <c r="AI93" s="10"/>
      <c r="AJ93" s="10"/>
      <c r="AK93" s="10"/>
      <c r="AL93" s="10"/>
      <c r="AM93" s="10"/>
      <c r="AN93" s="10"/>
      <c r="AO93" s="10"/>
    </row>
    <row r="94" spans="1:41" ht="14.25" customHeight="1" x14ac:dyDescent="0.25">
      <c r="A94" s="972">
        <f>IF(B94=TRUE,1,2)</f>
        <v>2</v>
      </c>
      <c r="B94" s="16" t="b">
        <v>0</v>
      </c>
      <c r="C94" s="130"/>
      <c r="D94" s="520" t="str">
        <f>IF(Land_AdjType&lt;&gt;"Qualitative","Adjustment","Relative Comparison")</f>
        <v>Adjustment</v>
      </c>
      <c r="E94" s="765"/>
      <c r="F94" s="1796">
        <f t="shared" ref="F94:K94" si="30">IF(Land_AdjType_1="Percent",IF(AND(F95=0,F96=0,F97=0),0,IF(F95&lt;&gt;0,F95,IF(F96&lt;&gt;0,IF(dpUnit_Land_1="Per Usable Acre",(F96/F$15)/F$23,IF(dpUnit_Land_1="Per Gross Acre",(F96/F$17)/F$25,IF(dpUnit_Land_1="Per Usable Square Foot",(F96/F$16)/F$24,IF(dpUnit_Land_1="Per Gross Square Foot",(F96/F$18)/F$26,IF(dpUnit_Land_1="Per Front Foot",(F96/F$19)/F$27,IF(dpUnit_Land_1="Per Proposed Square Foot",(F96/F$20)/F$28,IF(dpUnit_Land_1="Per Lot",(F96/F$21)/F$29,(F96/F$22)/F$30))))))),IF(dpUnit_Land_1="Per Usable Acre",F97/F$23,IF(dpUnit_Land_1="Per Gross Acre",F97/F$25,IF(dpUnit_Land_1="Per Usable Square Foot",F97/F$24,IF(dpUnit_Land_1="Per Gross Square Foot",F97/F$26,IF(dpUnit_Land_1="Per Front Foot",F97/F$27,IF(dpUnit_Land_1="Per Proposed Square Foot",F97/F$28,IF(dpUnit_Land_1="Per Lot",F97/F$29,F97/F$30)))))))))),IF(Land_AdjType_1="$ per Unit",IF(AND(F95=0,F96=0,F97=0),0,IF(F95&lt;&gt;0,IF(dpUnit_Land_1="Per Usable Acre",F95*F$23,IF(dpUnit_Land_1="Per Gross Acre",F95*F$25,IF(dpUnit_Land_1="Per Usable Square Foot",F95*F$24,IF(dpUnit_Land_1="Per Gross Square Foot",F95*F$26,IF(dpUnit_Land_1="Per Front Foot",F95*F$27,IF(dpUnit_Land_1="Per Proposed Square Foot",F95*F$28,IF(dpUnit_Land_1="Per Lot",F95*F$29,F95*F$30))))))),IF(F96&lt;&gt;0,IF(dpUnit_Land_1="Per Usable Acre",F96/F$15,IF(dpUnit_Land_1="Per Gross Acre",F96/F$17,IF(dpUnit_Land_1="Per Usable Square Foot",F96/F$16,IF(dpUnit_Land_1="Per Gross Square Foot",F96/F$18,IF(dpUnit_Land_1="Per Front Foot",F96/F$19,IF(dpUnit_Land_1="Per Proposed Square Foot",F96/F$20,IF(dpUnit_Land_1="Per Lot",F96/F$21,F96/F$22))))))),F97))),IF(OR(F95&gt;0,F96&gt;0,F97&gt;0),"Inferior",IF(OR(F95&lt;0,F96&lt;0,F97&lt;0),"Superior","Similar"))))</f>
        <v>0</v>
      </c>
      <c r="G94" s="1796">
        <f t="shared" si="30"/>
        <v>0</v>
      </c>
      <c r="H94" s="1796">
        <f t="shared" si="30"/>
        <v>0</v>
      </c>
      <c r="I94" s="1796">
        <f t="shared" si="30"/>
        <v>0</v>
      </c>
      <c r="J94" s="1796">
        <f t="shared" si="30"/>
        <v>0</v>
      </c>
      <c r="K94" s="1958">
        <f t="shared" si="30"/>
        <v>0</v>
      </c>
      <c r="L94" s="763"/>
      <c r="M94" s="74"/>
      <c r="N94" s="32"/>
      <c r="O94" s="32"/>
      <c r="P94" s="32"/>
      <c r="Q94" s="32"/>
      <c r="R94" s="32"/>
      <c r="S94" s="32"/>
      <c r="T94" s="10"/>
      <c r="U94" s="10"/>
      <c r="V94" s="10"/>
      <c r="W94" s="10"/>
      <c r="X94" s="10"/>
      <c r="Y94" s="10"/>
      <c r="Z94" s="10"/>
      <c r="AA94" s="10"/>
      <c r="AB94" s="10"/>
      <c r="AC94" s="10"/>
      <c r="AD94" s="10"/>
      <c r="AE94" s="10"/>
      <c r="AF94" s="10"/>
      <c r="AG94" s="10"/>
      <c r="AH94" s="10"/>
      <c r="AI94" s="10"/>
      <c r="AJ94" s="10"/>
      <c r="AK94" s="10"/>
      <c r="AL94" s="10"/>
      <c r="AM94" s="10"/>
      <c r="AN94" s="10"/>
      <c r="AO94" s="10"/>
    </row>
    <row r="95" spans="1:41" ht="14.25" customHeight="1" x14ac:dyDescent="0.25">
      <c r="A95" s="972">
        <f>IF(A94=2,2,0)</f>
        <v>2</v>
      </c>
      <c r="B95" s="16"/>
      <c r="C95" s="130"/>
      <c r="D95" s="520"/>
      <c r="E95" s="1180" t="s">
        <v>166</v>
      </c>
      <c r="F95" s="1818"/>
      <c r="G95" s="1818"/>
      <c r="H95" s="1818"/>
      <c r="I95" s="1818"/>
      <c r="J95" s="1818"/>
      <c r="K95" s="2848"/>
      <c r="L95" s="136"/>
      <c r="M95" s="74"/>
      <c r="N95" s="32"/>
      <c r="O95" s="32"/>
      <c r="P95" s="32"/>
      <c r="Q95" s="32"/>
      <c r="R95" s="32"/>
      <c r="S95" s="32"/>
      <c r="T95" s="10"/>
      <c r="U95" s="10"/>
      <c r="V95" s="10"/>
      <c r="W95" s="10"/>
      <c r="X95" s="10"/>
      <c r="Y95" s="10"/>
      <c r="Z95" s="10"/>
      <c r="AA95" s="10"/>
      <c r="AB95" s="10"/>
      <c r="AC95" s="10"/>
      <c r="AD95" s="10"/>
      <c r="AE95" s="10"/>
      <c r="AF95" s="10"/>
      <c r="AG95" s="10"/>
      <c r="AH95" s="10"/>
      <c r="AI95" s="10"/>
      <c r="AJ95" s="10"/>
      <c r="AK95" s="10"/>
      <c r="AL95" s="10"/>
      <c r="AM95" s="10"/>
      <c r="AN95" s="10"/>
      <c r="AO95" s="10"/>
    </row>
    <row r="96" spans="1:41" ht="14.25" customHeight="1" x14ac:dyDescent="0.25">
      <c r="A96" s="972">
        <f>IF(A95=2,2,0)</f>
        <v>2</v>
      </c>
      <c r="B96" s="16"/>
      <c r="C96" s="130"/>
      <c r="D96" s="520"/>
      <c r="E96" s="1180" t="s">
        <v>167</v>
      </c>
      <c r="F96" s="1819"/>
      <c r="G96" s="1819"/>
      <c r="H96" s="1819"/>
      <c r="I96" s="1819"/>
      <c r="J96" s="1819"/>
      <c r="K96" s="2849"/>
      <c r="L96" s="1152"/>
      <c r="M96" s="74"/>
      <c r="N96" s="32"/>
      <c r="O96" s="32"/>
      <c r="P96" s="32"/>
      <c r="Q96" s="32"/>
      <c r="R96" s="32"/>
      <c r="S96" s="32"/>
      <c r="T96" s="10"/>
      <c r="U96" s="10"/>
      <c r="V96" s="10"/>
      <c r="W96" s="10"/>
      <c r="X96" s="10"/>
      <c r="Y96" s="10"/>
      <c r="Z96" s="10"/>
      <c r="AA96" s="10"/>
      <c r="AB96" s="10"/>
      <c r="AC96" s="10"/>
      <c r="AD96" s="10"/>
      <c r="AE96" s="10"/>
      <c r="AF96" s="10"/>
      <c r="AG96" s="10"/>
      <c r="AH96" s="10"/>
      <c r="AI96" s="10"/>
      <c r="AJ96" s="10"/>
      <c r="AK96" s="10"/>
      <c r="AL96" s="10"/>
      <c r="AM96" s="10"/>
      <c r="AN96" s="10"/>
      <c r="AO96" s="10"/>
    </row>
    <row r="97" spans="1:41" ht="14.25" customHeight="1" x14ac:dyDescent="0.25">
      <c r="A97" s="972">
        <f>IF(A96=2,2,0)</f>
        <v>2</v>
      </c>
      <c r="B97" s="16"/>
      <c r="C97" s="130"/>
      <c r="D97" s="520"/>
      <c r="E97" s="1180" t="str">
        <f>CONCATENATE("Enter $/",dpUnit_Land," Adj.")</f>
        <v>Enter $/per Usable Square Foot Adj.</v>
      </c>
      <c r="F97" s="1820"/>
      <c r="G97" s="1820"/>
      <c r="H97" s="1820"/>
      <c r="I97" s="1820"/>
      <c r="J97" s="1820"/>
      <c r="K97" s="2850"/>
      <c r="L97" s="1153"/>
      <c r="M97" s="74"/>
      <c r="N97" s="32"/>
      <c r="O97" s="32"/>
      <c r="P97" s="32"/>
      <c r="Q97" s="32"/>
      <c r="R97" s="32"/>
      <c r="S97" s="32"/>
      <c r="T97" s="10"/>
      <c r="U97" s="10"/>
      <c r="V97" s="10"/>
      <c r="W97" s="10"/>
      <c r="X97" s="10"/>
      <c r="Y97" s="10"/>
      <c r="Z97" s="10"/>
      <c r="AA97" s="10"/>
      <c r="AB97" s="10"/>
      <c r="AC97" s="10"/>
      <c r="AD97" s="10"/>
      <c r="AE97" s="10"/>
      <c r="AF97" s="10"/>
      <c r="AG97" s="10"/>
      <c r="AH97" s="10"/>
      <c r="AI97" s="10"/>
      <c r="AJ97" s="10"/>
      <c r="AK97" s="10"/>
      <c r="AL97" s="10"/>
      <c r="AM97" s="10"/>
      <c r="AN97" s="10"/>
      <c r="AO97" s="10"/>
    </row>
    <row r="98" spans="1:41" ht="8.1" customHeight="1" x14ac:dyDescent="0.25">
      <c r="A98" s="972">
        <f>A100</f>
        <v>2</v>
      </c>
      <c r="B98" s="16"/>
      <c r="C98" s="130"/>
      <c r="D98" s="520"/>
      <c r="E98" s="765"/>
      <c r="F98" s="1829">
        <f t="shared" ref="F98:K98" si="31">IF(AND(F101=0,F102=0,F103=0),0,IF(F101&lt;&gt;0,F101,IF(F102&lt;&gt;0,IF(dpUnit_Land_1="Per Usable Acre",(F102/F$15)/F$23,IF(dpUnit_Land_1="Per Gross Acre",(F102/F$17)/F$25,IF(dpUnit_Land_1="Per Usable Square Foot",(F102/F$16)/F$24,IF(dpUnit_Land_1="Per Gross Square Foot",(F102/F$18)/F$26,IF(dpUnit_Land_1="Per Front Foot",(F102/F$19)/F$27,IF(dpUnit_Land_1="Per Proposed Square Foot",(F102/F$20)/F$28,IF(dpUnit_Land_1="Per Lot",(F102/F$21)/F$29,(F102/F$22)/F$30))))))),IF(dpUnit_Land_1="Per Usable Acre",F103/F$23,IF(dpUnit_Land_1="Per Gross Acre",F103/F$25,IF(dpUnit_Land_1="Per Usable Square Foot",F103/F$24,IF(dpUnit_Land_1="Per Gross Square Foot",F103/F$26,IF(dpUnit_Land_1="Per Front Foot",F103/F$27,IF(dpUnit_Land_1="Per Proposed Square Foot",F103/F$28,IF(dpUnit_Land_1="Per Lot",F103/F$29,F103/F$30))))))))))</f>
        <v>0</v>
      </c>
      <c r="G98" s="1829">
        <f t="shared" si="31"/>
        <v>0</v>
      </c>
      <c r="H98" s="1829">
        <f t="shared" si="31"/>
        <v>0</v>
      </c>
      <c r="I98" s="1829">
        <f t="shared" si="31"/>
        <v>0</v>
      </c>
      <c r="J98" s="1829">
        <f t="shared" si="31"/>
        <v>0</v>
      </c>
      <c r="K98" s="2856">
        <f t="shared" si="31"/>
        <v>0</v>
      </c>
      <c r="L98" s="1146"/>
      <c r="M98" s="74"/>
      <c r="N98" s="32"/>
      <c r="O98" s="32"/>
      <c r="P98" s="32"/>
      <c r="Q98" s="32"/>
      <c r="R98" s="32"/>
      <c r="S98" s="32"/>
      <c r="T98" s="10"/>
      <c r="U98" s="10"/>
      <c r="V98" s="10"/>
      <c r="W98" s="10"/>
      <c r="X98" s="10"/>
      <c r="Y98" s="10"/>
      <c r="Z98" s="10"/>
      <c r="AA98" s="10"/>
      <c r="AB98" s="10"/>
      <c r="AC98" s="10"/>
      <c r="AD98" s="10"/>
      <c r="AE98" s="10"/>
      <c r="AF98" s="10"/>
      <c r="AG98" s="10"/>
      <c r="AH98" s="10"/>
      <c r="AI98" s="10"/>
      <c r="AJ98" s="10"/>
      <c r="AK98" s="10"/>
      <c r="AL98" s="10"/>
      <c r="AM98" s="10"/>
      <c r="AN98" s="10"/>
      <c r="AO98" s="10"/>
    </row>
    <row r="99" spans="1:41" ht="28.5" x14ac:dyDescent="0.25">
      <c r="A99" s="972">
        <f>A100</f>
        <v>2</v>
      </c>
      <c r="B99" s="16"/>
      <c r="C99" s="130"/>
      <c r="D99" s="1489" t="s">
        <v>92</v>
      </c>
      <c r="E99" s="1665" t="str">
        <f>Subject_LandUtilities</f>
        <v>All public available.</v>
      </c>
      <c r="F99" s="1789"/>
      <c r="G99" s="1789"/>
      <c r="H99" s="1789"/>
      <c r="I99" s="1789"/>
      <c r="J99" s="1789"/>
      <c r="K99" s="1168"/>
      <c r="L99" s="1146"/>
      <c r="M99" s="74"/>
      <c r="N99" s="32"/>
      <c r="O99" s="32"/>
      <c r="P99" s="32"/>
      <c r="Q99" s="32"/>
      <c r="R99" s="32"/>
      <c r="S99" s="32"/>
      <c r="T99" s="10"/>
      <c r="U99" s="10"/>
      <c r="V99" s="10"/>
      <c r="W99" s="10"/>
      <c r="X99" s="10"/>
      <c r="Y99" s="10"/>
      <c r="Z99" s="10"/>
      <c r="AA99" s="10"/>
      <c r="AB99" s="10"/>
      <c r="AC99" s="10"/>
      <c r="AD99" s="10"/>
      <c r="AE99" s="10"/>
      <c r="AF99" s="10"/>
      <c r="AG99" s="10"/>
      <c r="AH99" s="10"/>
      <c r="AI99" s="10"/>
      <c r="AJ99" s="10"/>
      <c r="AK99" s="10"/>
      <c r="AL99" s="10"/>
      <c r="AM99" s="10"/>
      <c r="AN99" s="10"/>
      <c r="AO99" s="10"/>
    </row>
    <row r="100" spans="1:41" ht="14.25" customHeight="1" x14ac:dyDescent="0.25">
      <c r="A100" s="972">
        <f>IF(B100=TRUE,1,2)</f>
        <v>2</v>
      </c>
      <c r="B100" s="16" t="b">
        <v>0</v>
      </c>
      <c r="C100" s="130"/>
      <c r="D100" s="520" t="str">
        <f>IF(Land_AdjType&lt;&gt;"Qualitative","Adjustment","Relative Comparison")</f>
        <v>Adjustment</v>
      </c>
      <c r="E100" s="765"/>
      <c r="F100" s="1796">
        <f t="shared" ref="F100:K100" si="32">IF(Land_AdjType_1="Percent",IF(AND(F101=0,F102=0,F103=0),0,IF(F101&lt;&gt;0,F101,IF(F102&lt;&gt;0,IF(dpUnit_Land_1="Per Usable Acre",(F102/F$15)/F$23,IF(dpUnit_Land_1="Per Gross Acre",(F102/F$17)/F$25,IF(dpUnit_Land_1="Per Usable Square Foot",(F102/F$16)/F$24,IF(dpUnit_Land_1="Per Gross Square Foot",(F102/F$18)/F$26,IF(dpUnit_Land_1="Per Front Foot",(F102/F$19)/F$27,IF(dpUnit_Land_1="Per Proposed Square Foot",(F102/F$20)/F$28,IF(dpUnit_Land_1="Per Lot",(F102/F$21)/F$29,(F102/F$22)/F$30))))))),IF(dpUnit_Land_1="Per Usable Acre",F103/F$23,IF(dpUnit_Land_1="Per Gross Acre",F103/F$25,IF(dpUnit_Land_1="Per Usable Square Foot",F103/F$24,IF(dpUnit_Land_1="Per Gross Square Foot",F103/F$26,IF(dpUnit_Land_1="Per Front Foot",F103/F$27,IF(dpUnit_Land_1="Per Proposed Square Foot",F103/F$28,IF(dpUnit_Land_1="Per Lot",F103/F$29,F103/F$30)))))))))),IF(Land_AdjType_1="$ per Unit",IF(AND(F101=0,F102=0,F103=0),0,IF(F101&lt;&gt;0,IF(dpUnit_Land_1="Per Usable Acre",F101*F$23,IF(dpUnit_Land_1="Per Gross Acre",F101*F$25,IF(dpUnit_Land_1="Per Usable Square Foot",F101*F$24,IF(dpUnit_Land_1="Per Gross Square Foot",F101*F$26,IF(dpUnit_Land_1="Per Front Foot",F101*F$27,IF(dpUnit_Land_1="Per Proposed Square Foot",F101*F$28,IF(dpUnit_Land_1="Per Lot",F101*F$29,F101*F$30))))))),IF(F102&lt;&gt;0,IF(dpUnit_Land_1="Per Usable Acre",F102/F$15,IF(dpUnit_Land_1="Per Gross Acre",F102/F$17,IF(dpUnit_Land_1="Per Usable Square Foot",F102/F$16,IF(dpUnit_Land_1="Per Gross Square Foot",F102/F$18,IF(dpUnit_Land_1="Per Front Foot",F102/F$19,IF(dpUnit_Land_1="Per Proposed Square Foot",F102/F$20,IF(dpUnit_Land_1="Per Lot",F102/F$21,F102/F$22))))))),F103))),IF(OR(F101&gt;0,F102&gt;0,F103&gt;0),"Inferior",IF(OR(F101&lt;0,F102&lt;0,F103&lt;0),"Superior","Similar"))))</f>
        <v>0</v>
      </c>
      <c r="G100" s="1796">
        <f t="shared" si="32"/>
        <v>0</v>
      </c>
      <c r="H100" s="1796">
        <f t="shared" si="32"/>
        <v>0</v>
      </c>
      <c r="I100" s="1796">
        <f t="shared" si="32"/>
        <v>0</v>
      </c>
      <c r="J100" s="1796">
        <f t="shared" si="32"/>
        <v>0</v>
      </c>
      <c r="K100" s="1958">
        <f t="shared" si="32"/>
        <v>0</v>
      </c>
      <c r="L100" s="763"/>
      <c r="M100" s="74"/>
      <c r="N100" s="32"/>
      <c r="O100" s="32"/>
      <c r="P100" s="32"/>
      <c r="Q100" s="32"/>
      <c r="R100" s="32"/>
      <c r="S100" s="32"/>
      <c r="T100" s="10"/>
      <c r="U100" s="10"/>
      <c r="V100" s="10"/>
      <c r="W100" s="10"/>
      <c r="X100" s="10"/>
      <c r="Y100" s="10"/>
      <c r="Z100" s="10"/>
      <c r="AA100" s="10"/>
      <c r="AB100" s="10"/>
      <c r="AC100" s="10"/>
      <c r="AD100" s="10"/>
      <c r="AE100" s="10"/>
      <c r="AF100" s="10"/>
      <c r="AG100" s="10"/>
      <c r="AH100" s="10"/>
      <c r="AI100" s="10"/>
      <c r="AJ100" s="10"/>
      <c r="AK100" s="10"/>
      <c r="AL100" s="10"/>
      <c r="AM100" s="10"/>
      <c r="AN100" s="10"/>
      <c r="AO100" s="10"/>
    </row>
    <row r="101" spans="1:41" ht="14.25" customHeight="1" x14ac:dyDescent="0.25">
      <c r="A101" s="972">
        <f>IF(A100=2,2,0)</f>
        <v>2</v>
      </c>
      <c r="B101" s="16"/>
      <c r="C101" s="130"/>
      <c r="D101" s="520"/>
      <c r="E101" s="1180" t="s">
        <v>166</v>
      </c>
      <c r="F101" s="1818"/>
      <c r="G101" s="1818"/>
      <c r="H101" s="1818"/>
      <c r="I101" s="1818"/>
      <c r="J101" s="1818"/>
      <c r="K101" s="2848"/>
      <c r="L101" s="136"/>
      <c r="M101" s="74"/>
      <c r="N101" s="32"/>
      <c r="O101" s="32"/>
      <c r="P101" s="32"/>
      <c r="Q101" s="32"/>
      <c r="R101" s="32"/>
      <c r="S101" s="32"/>
      <c r="T101" s="10"/>
      <c r="U101" s="10"/>
      <c r="V101" s="10"/>
      <c r="W101" s="10"/>
      <c r="X101" s="10"/>
      <c r="Y101" s="10"/>
      <c r="Z101" s="10"/>
      <c r="AA101" s="10"/>
      <c r="AB101" s="10"/>
      <c r="AC101" s="10"/>
      <c r="AD101" s="10"/>
      <c r="AE101" s="10"/>
      <c r="AF101" s="10"/>
      <c r="AG101" s="10"/>
      <c r="AH101" s="10"/>
      <c r="AI101" s="10"/>
      <c r="AJ101" s="10"/>
      <c r="AK101" s="10"/>
      <c r="AL101" s="10"/>
      <c r="AM101" s="10"/>
      <c r="AN101" s="10"/>
      <c r="AO101" s="10"/>
    </row>
    <row r="102" spans="1:41" ht="14.25" customHeight="1" x14ac:dyDescent="0.25">
      <c r="A102" s="972">
        <f>IF(A101=2,2,0)</f>
        <v>2</v>
      </c>
      <c r="B102" s="16"/>
      <c r="C102" s="130"/>
      <c r="D102" s="520"/>
      <c r="E102" s="1180" t="s">
        <v>167</v>
      </c>
      <c r="F102" s="1819"/>
      <c r="G102" s="1819"/>
      <c r="H102" s="1819"/>
      <c r="I102" s="1819"/>
      <c r="J102" s="1819"/>
      <c r="K102" s="2849"/>
      <c r="L102" s="1152"/>
      <c r="M102" s="74"/>
      <c r="N102" s="32"/>
      <c r="O102" s="32"/>
      <c r="P102" s="32"/>
      <c r="Q102" s="32"/>
      <c r="R102" s="32"/>
      <c r="S102" s="32"/>
      <c r="T102" s="10"/>
      <c r="U102" s="10"/>
      <c r="V102" s="10"/>
      <c r="W102" s="10"/>
      <c r="X102" s="10"/>
      <c r="Y102" s="10"/>
      <c r="Z102" s="10"/>
      <c r="AA102" s="10"/>
      <c r="AB102" s="10"/>
      <c r="AC102" s="10"/>
      <c r="AD102" s="10"/>
      <c r="AE102" s="10"/>
      <c r="AF102" s="10"/>
      <c r="AG102" s="10"/>
      <c r="AH102" s="10"/>
      <c r="AI102" s="10"/>
      <c r="AJ102" s="10"/>
      <c r="AK102" s="10"/>
      <c r="AL102" s="10"/>
      <c r="AM102" s="10"/>
      <c r="AN102" s="10"/>
      <c r="AO102" s="10"/>
    </row>
    <row r="103" spans="1:41" ht="14.25" customHeight="1" x14ac:dyDescent="0.25">
      <c r="A103" s="972">
        <f>IF(A102=2,2,0)</f>
        <v>2</v>
      </c>
      <c r="B103" s="16"/>
      <c r="C103" s="130"/>
      <c r="D103" s="520"/>
      <c r="E103" s="1180" t="str">
        <f>CONCATENATE("Enter $/",dpUnit_Land," Adj.")</f>
        <v>Enter $/per Usable Square Foot Adj.</v>
      </c>
      <c r="F103" s="1820"/>
      <c r="G103" s="1820"/>
      <c r="H103" s="1820"/>
      <c r="I103" s="1820"/>
      <c r="J103" s="1820"/>
      <c r="K103" s="2850"/>
      <c r="L103" s="1153"/>
      <c r="M103" s="74"/>
      <c r="N103" s="32"/>
      <c r="O103" s="32"/>
      <c r="P103" s="32"/>
      <c r="Q103" s="32"/>
      <c r="R103" s="32"/>
      <c r="S103" s="32"/>
      <c r="T103" s="10"/>
      <c r="U103" s="10"/>
      <c r="V103" s="10"/>
      <c r="W103" s="10"/>
      <c r="X103" s="10"/>
      <c r="Y103" s="10"/>
      <c r="Z103" s="10"/>
      <c r="AA103" s="10"/>
      <c r="AB103" s="10"/>
      <c r="AC103" s="10"/>
      <c r="AD103" s="10"/>
      <c r="AE103" s="10"/>
      <c r="AF103" s="10"/>
      <c r="AG103" s="10"/>
      <c r="AH103" s="10"/>
      <c r="AI103" s="10"/>
      <c r="AJ103" s="10"/>
      <c r="AK103" s="10"/>
      <c r="AL103" s="10"/>
      <c r="AM103" s="10"/>
      <c r="AN103" s="10"/>
      <c r="AO103" s="10"/>
    </row>
    <row r="104" spans="1:41" ht="8.1" customHeight="1" x14ac:dyDescent="0.25">
      <c r="A104" s="972">
        <f>A106</f>
        <v>2</v>
      </c>
      <c r="B104" s="16"/>
      <c r="C104" s="130"/>
      <c r="D104" s="520"/>
      <c r="E104" s="765"/>
      <c r="F104" s="1829">
        <f t="shared" ref="F104:K104" si="33">IF(AND(F107=0,F108=0,F109=0),0,IF(F107&lt;&gt;0,F107,IF(F108&lt;&gt;0,IF(dpUnit_Land_1="Per Usable Acre",(F108/F$15)/F$23,IF(dpUnit_Land_1="Per Gross Acre",(F108/F$17)/F$25,IF(dpUnit_Land_1="Per Usable Square Foot",(F108/F$16)/F$24,IF(dpUnit_Land_1="Per Gross Square Foot",(F108/F$18)/F$26,IF(dpUnit_Land_1="Per Front Foot",(F108/F$19)/F$27,IF(dpUnit_Land_1="Per Proposed Square Foot",(F108/F$20)/F$28,IF(dpUnit_Land_1="Per Lot",(F108/F$21)/F$29,(F108/F$22)/F$30))))))),IF(dpUnit_Land_1="Per Usable Acre",F109/F$23,IF(dpUnit_Land_1="Per Gross Acre",F109/F$25,IF(dpUnit_Land_1="Per Usable Square Foot",F109/F$24,IF(dpUnit_Land_1="Per Gross Square Foot",F109/F$26,IF(dpUnit_Land_1="Per Front Foot",F109/F$27,IF(dpUnit_Land_1="Per Proposed Square Foot",F109/F$28,IF(dpUnit_Land_1="Per Lot",F109/F$29,F109/F$30))))))))))</f>
        <v>0</v>
      </c>
      <c r="G104" s="1829">
        <f t="shared" si="33"/>
        <v>0</v>
      </c>
      <c r="H104" s="1829">
        <f t="shared" si="33"/>
        <v>0</v>
      </c>
      <c r="I104" s="1829">
        <f t="shared" si="33"/>
        <v>0</v>
      </c>
      <c r="J104" s="1829">
        <f t="shared" si="33"/>
        <v>0</v>
      </c>
      <c r="K104" s="2856">
        <f t="shared" si="33"/>
        <v>0</v>
      </c>
      <c r="L104" s="1146"/>
      <c r="M104" s="74"/>
      <c r="N104" s="32"/>
      <c r="O104" s="32"/>
      <c r="P104" s="32"/>
      <c r="Q104" s="32"/>
      <c r="R104" s="32"/>
      <c r="S104" s="32"/>
      <c r="T104" s="10"/>
      <c r="U104" s="10"/>
      <c r="V104" s="10"/>
      <c r="W104" s="10"/>
      <c r="X104" s="10"/>
      <c r="Y104" s="10"/>
      <c r="Z104" s="10"/>
      <c r="AA104" s="10"/>
      <c r="AB104" s="10"/>
      <c r="AC104" s="10"/>
      <c r="AD104" s="10"/>
      <c r="AE104" s="10"/>
      <c r="AF104" s="10"/>
      <c r="AG104" s="10"/>
      <c r="AH104" s="10"/>
      <c r="AI104" s="10"/>
      <c r="AJ104" s="10"/>
      <c r="AK104" s="10"/>
      <c r="AL104" s="10"/>
      <c r="AM104" s="10"/>
      <c r="AN104" s="10"/>
      <c r="AO104" s="10"/>
    </row>
    <row r="105" spans="1:41" x14ac:dyDescent="0.25">
      <c r="A105" s="972">
        <f>A106</f>
        <v>2</v>
      </c>
      <c r="B105" s="16"/>
      <c r="C105" s="130"/>
      <c r="D105" s="1489" t="s">
        <v>99</v>
      </c>
      <c r="E105" s="1665" t="str">
        <f>Subject_Topography</f>
        <v>Level</v>
      </c>
      <c r="F105" s="1789"/>
      <c r="G105" s="1789"/>
      <c r="H105" s="1789"/>
      <c r="I105" s="1789"/>
      <c r="J105" s="1789"/>
      <c r="K105" s="1168"/>
      <c r="L105" s="1146"/>
      <c r="M105" s="74"/>
      <c r="N105" s="32"/>
      <c r="O105" s="32"/>
      <c r="P105" s="32"/>
      <c r="Q105" s="32"/>
      <c r="R105" s="32"/>
      <c r="S105" s="32"/>
      <c r="T105" s="10"/>
      <c r="U105" s="10"/>
      <c r="V105" s="10"/>
      <c r="W105" s="10"/>
      <c r="X105" s="10"/>
      <c r="Y105" s="10"/>
      <c r="Z105" s="10"/>
      <c r="AA105" s="10"/>
      <c r="AB105" s="10"/>
      <c r="AC105" s="10"/>
      <c r="AD105" s="10"/>
      <c r="AE105" s="10"/>
      <c r="AF105" s="10"/>
      <c r="AG105" s="10"/>
      <c r="AH105" s="10"/>
      <c r="AI105" s="10"/>
      <c r="AJ105" s="10"/>
      <c r="AK105" s="10"/>
      <c r="AL105" s="10"/>
      <c r="AM105" s="10"/>
      <c r="AN105" s="10"/>
      <c r="AO105" s="10"/>
    </row>
    <row r="106" spans="1:41" ht="14.25" customHeight="1" x14ac:dyDescent="0.25">
      <c r="A106" s="972">
        <f>IF(B106=TRUE,1,2)</f>
        <v>2</v>
      </c>
      <c r="B106" s="16" t="b">
        <v>0</v>
      </c>
      <c r="C106" s="130"/>
      <c r="D106" s="520" t="str">
        <f>IF(Land_AdjType&lt;&gt;"Qualitative","Adjustment","Relative Comparison")</f>
        <v>Adjustment</v>
      </c>
      <c r="E106" s="765"/>
      <c r="F106" s="1796">
        <f t="shared" ref="F106:K106" si="34">IF(Land_AdjType_1="Percent",IF(AND(F107=0,F108=0,F109=0),0,IF(F107&lt;&gt;0,F107,IF(F108&lt;&gt;0,IF(dpUnit_Land_1="Per Usable Acre",(F108/F$15)/F$23,IF(dpUnit_Land_1="Per Gross Acre",(F108/F$17)/F$25,IF(dpUnit_Land_1="Per Usable Square Foot",(F108/F$16)/F$24,IF(dpUnit_Land_1="Per Gross Square Foot",(F108/F$18)/F$26,IF(dpUnit_Land_1="Per Front Foot",(F108/F$19)/F$27,IF(dpUnit_Land_1="Per Proposed Square Foot",(F108/F$20)/F$28,IF(dpUnit_Land_1="Per Lot",(F108/F$21)/F$29,(F108/F$22)/F$30))))))),IF(dpUnit_Land_1="Per Usable Acre",F109/F$23,IF(dpUnit_Land_1="Per Gross Acre",F109/F$25,IF(dpUnit_Land_1="Per Usable Square Foot",F109/F$24,IF(dpUnit_Land_1="Per Gross Square Foot",F109/F$26,IF(dpUnit_Land_1="Per Front Foot",F109/F$27,IF(dpUnit_Land_1="Per Proposed Square Foot",F109/F$28,IF(dpUnit_Land_1="Per Lot",F109/F$29,F109/F$30)))))))))),IF(Land_AdjType_1="$ per Unit",IF(AND(F107=0,F108=0,F109=0),0,IF(F107&lt;&gt;0,IF(dpUnit_Land_1="Per Usable Acre",F107*F$23,IF(dpUnit_Land_1="Per Gross Acre",F107*F$25,IF(dpUnit_Land_1="Per Usable Square Foot",F107*F$24,IF(dpUnit_Land_1="Per Gross Square Foot",F107*F$26,IF(dpUnit_Land_1="Per Front Foot",F107*F$27,IF(dpUnit_Land_1="Per Proposed Square Foot",F107*F$28,IF(dpUnit_Land_1="Per Lot",F107*F$29,F107*F$30))))))),IF(F108&lt;&gt;0,IF(dpUnit_Land_1="Per Usable Acre",F108/F$15,IF(dpUnit_Land_1="Per Gross Acre",F108/F$17,IF(dpUnit_Land_1="Per Usable Square Foot",F108/F$16,IF(dpUnit_Land_1="Per Gross Square Foot",F108/F$18,IF(dpUnit_Land_1="Per Front Foot",F108/F$19,IF(dpUnit_Land_1="Per Proposed Square Foot",F108/F$20,IF(dpUnit_Land_1="Per Lot",F108/F$21,F108/F$22))))))),F109))),IF(OR(F107&gt;0,F108&gt;0,F109&gt;0),"Inferior",IF(OR(F107&lt;0,F108&lt;0,F109&lt;0),"Superior","Similar"))))</f>
        <v>0</v>
      </c>
      <c r="G106" s="1796">
        <f t="shared" si="34"/>
        <v>0</v>
      </c>
      <c r="H106" s="1796">
        <f t="shared" si="34"/>
        <v>0</v>
      </c>
      <c r="I106" s="1796">
        <f t="shared" si="34"/>
        <v>0</v>
      </c>
      <c r="J106" s="1796">
        <f t="shared" si="34"/>
        <v>0</v>
      </c>
      <c r="K106" s="1958">
        <f t="shared" si="34"/>
        <v>0</v>
      </c>
      <c r="L106" s="763"/>
      <c r="M106" s="74"/>
      <c r="N106" s="32"/>
      <c r="O106" s="32"/>
      <c r="P106" s="32"/>
      <c r="Q106" s="32"/>
      <c r="R106" s="32"/>
      <c r="S106" s="32"/>
      <c r="T106" s="10"/>
      <c r="U106" s="10"/>
      <c r="V106" s="10"/>
      <c r="W106" s="10"/>
      <c r="X106" s="10"/>
      <c r="Y106" s="10"/>
      <c r="Z106" s="10"/>
      <c r="AA106" s="10"/>
      <c r="AB106" s="10"/>
      <c r="AC106" s="10"/>
      <c r="AD106" s="10"/>
      <c r="AE106" s="10"/>
      <c r="AF106" s="10"/>
      <c r="AG106" s="10"/>
      <c r="AH106" s="10"/>
      <c r="AI106" s="10"/>
      <c r="AJ106" s="10"/>
      <c r="AK106" s="10"/>
      <c r="AL106" s="10"/>
      <c r="AM106" s="10"/>
      <c r="AN106" s="10"/>
      <c r="AO106" s="10"/>
    </row>
    <row r="107" spans="1:41" ht="14.25" customHeight="1" x14ac:dyDescent="0.25">
      <c r="A107" s="972">
        <f>IF(A106=2,2,0)</f>
        <v>2</v>
      </c>
      <c r="B107" s="16"/>
      <c r="C107" s="130"/>
      <c r="D107" s="520"/>
      <c r="E107" s="1180" t="s">
        <v>166</v>
      </c>
      <c r="F107" s="1818"/>
      <c r="G107" s="1818"/>
      <c r="H107" s="1818"/>
      <c r="I107" s="1818"/>
      <c r="J107" s="1818"/>
      <c r="K107" s="2848"/>
      <c r="L107" s="136"/>
      <c r="M107" s="74"/>
      <c r="N107" s="32"/>
      <c r="O107" s="32"/>
      <c r="P107" s="32"/>
      <c r="Q107" s="32"/>
      <c r="R107" s="32"/>
      <c r="S107" s="32"/>
      <c r="T107" s="10"/>
      <c r="U107" s="10"/>
      <c r="V107" s="10"/>
      <c r="W107" s="10"/>
      <c r="X107" s="10"/>
      <c r="Y107" s="10"/>
      <c r="Z107" s="10"/>
      <c r="AA107" s="10"/>
      <c r="AB107" s="10"/>
      <c r="AC107" s="10"/>
      <c r="AD107" s="10"/>
      <c r="AE107" s="10"/>
      <c r="AF107" s="10"/>
      <c r="AG107" s="10"/>
      <c r="AH107" s="10"/>
      <c r="AI107" s="10"/>
      <c r="AJ107" s="10"/>
      <c r="AK107" s="10"/>
      <c r="AL107" s="10"/>
      <c r="AM107" s="10"/>
      <c r="AN107" s="10"/>
      <c r="AO107" s="10"/>
    </row>
    <row r="108" spans="1:41" ht="14.25" customHeight="1" x14ac:dyDescent="0.25">
      <c r="A108" s="972">
        <f>IF(A107=2,2,0)</f>
        <v>2</v>
      </c>
      <c r="B108" s="16"/>
      <c r="C108" s="130"/>
      <c r="D108" s="520"/>
      <c r="E108" s="1180" t="s">
        <v>167</v>
      </c>
      <c r="F108" s="1819"/>
      <c r="G108" s="1819"/>
      <c r="H108" s="1819"/>
      <c r="I108" s="1819"/>
      <c r="J108" s="1819"/>
      <c r="K108" s="2849"/>
      <c r="L108" s="1152"/>
      <c r="M108" s="74"/>
      <c r="N108" s="32"/>
      <c r="O108" s="32"/>
      <c r="P108" s="32"/>
      <c r="Q108" s="32"/>
      <c r="R108" s="32"/>
      <c r="S108" s="32"/>
      <c r="T108" s="10"/>
      <c r="U108" s="10"/>
      <c r="V108" s="10"/>
      <c r="W108" s="10"/>
      <c r="X108" s="10"/>
      <c r="Y108" s="10"/>
      <c r="Z108" s="10"/>
      <c r="AA108" s="10"/>
      <c r="AB108" s="10"/>
      <c r="AC108" s="10"/>
      <c r="AD108" s="10"/>
      <c r="AE108" s="10"/>
      <c r="AF108" s="10"/>
      <c r="AG108" s="10"/>
      <c r="AH108" s="10"/>
      <c r="AI108" s="10"/>
      <c r="AJ108" s="10"/>
      <c r="AK108" s="10"/>
      <c r="AL108" s="10"/>
      <c r="AM108" s="10"/>
      <c r="AN108" s="10"/>
      <c r="AO108" s="10"/>
    </row>
    <row r="109" spans="1:41" ht="14.25" customHeight="1" x14ac:dyDescent="0.25">
      <c r="A109" s="972">
        <f>IF(A108=2,2,0)</f>
        <v>2</v>
      </c>
      <c r="B109" s="16"/>
      <c r="C109" s="130"/>
      <c r="D109" s="520"/>
      <c r="E109" s="1180" t="str">
        <f>CONCATENATE("Enter $/",dpUnit_Land," Adj.")</f>
        <v>Enter $/per Usable Square Foot Adj.</v>
      </c>
      <c r="F109" s="1820"/>
      <c r="G109" s="1820"/>
      <c r="H109" s="1820"/>
      <c r="I109" s="1820"/>
      <c r="J109" s="1820"/>
      <c r="K109" s="2850"/>
      <c r="L109" s="1153"/>
      <c r="M109" s="74"/>
      <c r="N109" s="32"/>
      <c r="O109" s="32"/>
      <c r="P109" s="32"/>
      <c r="Q109" s="32"/>
      <c r="R109" s="32"/>
      <c r="S109" s="32"/>
      <c r="T109" s="10"/>
      <c r="U109" s="10"/>
      <c r="V109" s="10"/>
      <c r="W109" s="10"/>
      <c r="X109" s="10"/>
      <c r="Y109" s="10"/>
      <c r="Z109" s="10"/>
      <c r="AA109" s="10"/>
      <c r="AB109" s="10"/>
      <c r="AC109" s="10"/>
      <c r="AD109" s="10"/>
      <c r="AE109" s="10"/>
      <c r="AF109" s="10"/>
      <c r="AG109" s="10"/>
      <c r="AH109" s="10"/>
      <c r="AI109" s="10"/>
      <c r="AJ109" s="10"/>
      <c r="AK109" s="10"/>
      <c r="AL109" s="10"/>
      <c r="AM109" s="10"/>
      <c r="AN109" s="10"/>
      <c r="AO109" s="10"/>
    </row>
    <row r="110" spans="1:41" ht="8.1" customHeight="1" x14ac:dyDescent="0.25">
      <c r="A110" s="972">
        <f>A112</f>
        <v>2</v>
      </c>
      <c r="B110" s="16"/>
      <c r="C110" s="130"/>
      <c r="D110" s="520"/>
      <c r="E110" s="765"/>
      <c r="F110" s="1829">
        <f t="shared" ref="F110:K110" si="35">IF(AND(F113=0,F114=0,F115=0),0,IF(F113&lt;&gt;0,F113,IF(F114&lt;&gt;0,IF(dpUnit_Land_1="Per Usable Acre",(F114/F$15)/F$23,IF(dpUnit_Land_1="Per Gross Acre",(F114/F$17)/F$25,IF(dpUnit_Land_1="Per Usable Square Foot",(F114/F$16)/F$24,IF(dpUnit_Land_1="Per Gross Square Foot",(F114/F$18)/F$26,IF(dpUnit_Land_1="Per Front Foot",(F114/F$19)/F$27,IF(dpUnit_Land_1="Per Proposed Square Foot",(F114/F$20)/F$28,IF(dpUnit_Land_1="Per Lot",(F114/F$21)/F$29,(F114/F$22)/F$30))))))),IF(dpUnit_Land_1="Per Usable Acre",F115/F$23,IF(dpUnit_Land_1="Per Gross Acre",F115/F$25,IF(dpUnit_Land_1="Per Usable Square Foot",F115/F$24,IF(dpUnit_Land_1="Per Gross Square Foot",F115/F$26,IF(dpUnit_Land_1="Per Front Foot",F115/F$27,IF(dpUnit_Land_1="Per Proposed Square Foot",F115/F$28,IF(dpUnit_Land_1="Per Lot",F115/F$29,F115/F$30))))))))))</f>
        <v>0</v>
      </c>
      <c r="G110" s="1829">
        <f t="shared" si="35"/>
        <v>0</v>
      </c>
      <c r="H110" s="1829">
        <f t="shared" si="35"/>
        <v>0</v>
      </c>
      <c r="I110" s="1829">
        <f t="shared" si="35"/>
        <v>0</v>
      </c>
      <c r="J110" s="1829">
        <f t="shared" si="35"/>
        <v>0</v>
      </c>
      <c r="K110" s="2856">
        <f t="shared" si="35"/>
        <v>0</v>
      </c>
      <c r="L110" s="1146"/>
      <c r="M110" s="74"/>
      <c r="N110" s="32"/>
      <c r="O110" s="32"/>
      <c r="P110" s="32"/>
      <c r="Q110" s="32"/>
      <c r="R110" s="32"/>
      <c r="S110" s="32"/>
      <c r="T110" s="10"/>
      <c r="U110" s="10"/>
      <c r="V110" s="10"/>
      <c r="W110" s="10"/>
      <c r="X110" s="10"/>
      <c r="Y110" s="10"/>
      <c r="Z110" s="10"/>
      <c r="AA110" s="10"/>
      <c r="AB110" s="10"/>
      <c r="AC110" s="10"/>
      <c r="AD110" s="10"/>
      <c r="AE110" s="10"/>
      <c r="AF110" s="10"/>
      <c r="AG110" s="10"/>
      <c r="AH110" s="10"/>
      <c r="AI110" s="10"/>
      <c r="AJ110" s="10"/>
      <c r="AK110" s="10"/>
      <c r="AL110" s="10"/>
      <c r="AM110" s="10"/>
      <c r="AN110" s="10"/>
      <c r="AO110" s="10"/>
    </row>
    <row r="111" spans="1:41" x14ac:dyDescent="0.25">
      <c r="A111" s="972">
        <f>A112</f>
        <v>2</v>
      </c>
      <c r="B111" s="16"/>
      <c r="C111" s="130"/>
      <c r="D111" s="1489" t="s">
        <v>100</v>
      </c>
      <c r="E111" s="1665" t="str">
        <f>Subject_LandFlood</f>
        <v>Zone AE</v>
      </c>
      <c r="F111" s="1789"/>
      <c r="G111" s="1789"/>
      <c r="H111" s="1789"/>
      <c r="I111" s="1789"/>
      <c r="J111" s="1789"/>
      <c r="K111" s="1168"/>
      <c r="L111" s="1146"/>
      <c r="M111" s="74"/>
      <c r="N111" s="32"/>
      <c r="O111" s="32"/>
      <c r="P111" s="32"/>
      <c r="Q111" s="32"/>
      <c r="R111" s="32"/>
      <c r="S111" s="32"/>
      <c r="T111" s="10"/>
      <c r="U111" s="10"/>
      <c r="V111" s="10"/>
      <c r="W111" s="10"/>
      <c r="X111" s="10"/>
      <c r="Y111" s="10"/>
      <c r="Z111" s="10"/>
      <c r="AA111" s="10"/>
      <c r="AB111" s="10"/>
      <c r="AC111" s="10"/>
      <c r="AD111" s="10"/>
      <c r="AE111" s="10"/>
      <c r="AF111" s="10"/>
      <c r="AG111" s="10"/>
      <c r="AH111" s="10"/>
      <c r="AI111" s="10"/>
      <c r="AJ111" s="10"/>
      <c r="AK111" s="10"/>
      <c r="AL111" s="10"/>
      <c r="AM111" s="10"/>
      <c r="AN111" s="10"/>
      <c r="AO111" s="10"/>
    </row>
    <row r="112" spans="1:41" ht="14.25" customHeight="1" x14ac:dyDescent="0.25">
      <c r="A112" s="972">
        <f>IF(B112=TRUE,1,2)</f>
        <v>2</v>
      </c>
      <c r="B112" s="16" t="b">
        <v>0</v>
      </c>
      <c r="C112" s="130"/>
      <c r="D112" s="520" t="str">
        <f>IF(Land_AdjType&lt;&gt;"Qualitative","Adjustment","Relative Comparison")</f>
        <v>Adjustment</v>
      </c>
      <c r="E112" s="765"/>
      <c r="F112" s="1796">
        <f t="shared" ref="F112:K112" si="36">IF(Land_AdjType_1="Percent",IF(AND(F113=0,F114=0,F115=0),0,IF(F113&lt;&gt;0,F113,IF(F114&lt;&gt;0,IF(dpUnit_Land_1="Per Usable Acre",(F114/F$15)/F$23,IF(dpUnit_Land_1="Per Gross Acre",(F114/F$17)/F$25,IF(dpUnit_Land_1="Per Usable Square Foot",(F114/F$16)/F$24,IF(dpUnit_Land_1="Per Gross Square Foot",(F114/F$18)/F$26,IF(dpUnit_Land_1="Per Front Foot",(F114/F$19)/F$27,IF(dpUnit_Land_1="Per Proposed Square Foot",(F114/F$20)/F$28,IF(dpUnit_Land_1="Per Lot",(F114/F$21)/F$29,(F114/F$22)/F$30))))))),IF(dpUnit_Land_1="Per Usable Acre",F115/F$23,IF(dpUnit_Land_1="Per Gross Acre",F115/F$25,IF(dpUnit_Land_1="Per Usable Square Foot",F115/F$24,IF(dpUnit_Land_1="Per Gross Square Foot",F115/F$26,IF(dpUnit_Land_1="Per Front Foot",F115/F$27,IF(dpUnit_Land_1="Per Proposed Square Foot",F115/F$28,IF(dpUnit_Land_1="Per Lot",F115/F$29,F115/F$30)))))))))),IF(Land_AdjType_1="$ per Unit",IF(AND(F113=0,F114=0,F115=0),0,IF(F113&lt;&gt;0,IF(dpUnit_Land_1="Per Usable Acre",F113*F$23,IF(dpUnit_Land_1="Per Gross Acre",F113*F$25,IF(dpUnit_Land_1="Per Usable Square Foot",F113*F$24,IF(dpUnit_Land_1="Per Gross Square Foot",F113*F$26,IF(dpUnit_Land_1="Per Front Foot",F113*F$27,IF(dpUnit_Land_1="Per Proposed Square Foot",F113*F$28,IF(dpUnit_Land_1="Per Lot",F113*F$29,F113*F$30))))))),IF(F114&lt;&gt;0,IF(dpUnit_Land_1="Per Usable Acre",F114/F$15,IF(dpUnit_Land_1="Per Gross Acre",F114/F$17,IF(dpUnit_Land_1="Per Usable Square Foot",F114/F$16,IF(dpUnit_Land_1="Per Gross Square Foot",F114/F$18,IF(dpUnit_Land_1="Per Front Foot",F114/F$19,IF(dpUnit_Land_1="Per Proposed Square Foot",F114/F$20,IF(dpUnit_Land_1="Per Lot",F114/F$21,F114/F$22))))))),F115))),IF(OR(F113&gt;0,F114&gt;0,F115&gt;0),"Inferior",IF(OR(F113&lt;0,F114&lt;0,F115&lt;0),"Superior","Similar"))))</f>
        <v>0</v>
      </c>
      <c r="G112" s="1796">
        <f t="shared" si="36"/>
        <v>0</v>
      </c>
      <c r="H112" s="1796">
        <f t="shared" si="36"/>
        <v>0</v>
      </c>
      <c r="I112" s="1796">
        <f t="shared" si="36"/>
        <v>0</v>
      </c>
      <c r="J112" s="1796">
        <f t="shared" si="36"/>
        <v>0</v>
      </c>
      <c r="K112" s="1958">
        <f t="shared" si="36"/>
        <v>0</v>
      </c>
      <c r="L112" s="763"/>
      <c r="M112" s="74"/>
      <c r="N112" s="32"/>
      <c r="O112" s="32"/>
      <c r="P112" s="32"/>
      <c r="Q112" s="32"/>
      <c r="R112" s="32"/>
      <c r="S112" s="32"/>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row>
    <row r="113" spans="1:41" ht="14.25" customHeight="1" x14ac:dyDescent="0.25">
      <c r="A113" s="972">
        <f>IF(A112=2,2,0)</f>
        <v>2</v>
      </c>
      <c r="B113" s="16"/>
      <c r="C113" s="130"/>
      <c r="D113" s="520"/>
      <c r="E113" s="1180" t="s">
        <v>166</v>
      </c>
      <c r="F113" s="1818"/>
      <c r="G113" s="1818"/>
      <c r="H113" s="1818"/>
      <c r="I113" s="1818"/>
      <c r="J113" s="1818"/>
      <c r="K113" s="2848"/>
      <c r="L113" s="136"/>
      <c r="M113" s="74"/>
      <c r="N113" s="32"/>
      <c r="O113" s="32"/>
      <c r="P113" s="32"/>
      <c r="Q113" s="32"/>
      <c r="R113" s="32"/>
      <c r="S113" s="32"/>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row>
    <row r="114" spans="1:41" ht="14.25" customHeight="1" x14ac:dyDescent="0.25">
      <c r="A114" s="972">
        <f>IF(A113=2,2,0)</f>
        <v>2</v>
      </c>
      <c r="B114" s="16"/>
      <c r="C114" s="130"/>
      <c r="D114" s="520"/>
      <c r="E114" s="1180" t="s">
        <v>167</v>
      </c>
      <c r="F114" s="1819"/>
      <c r="G114" s="1819"/>
      <c r="H114" s="1819"/>
      <c r="I114" s="1819"/>
      <c r="J114" s="1819"/>
      <c r="K114" s="2849"/>
      <c r="L114" s="1152"/>
      <c r="M114" s="74"/>
      <c r="N114" s="32"/>
      <c r="O114" s="32"/>
      <c r="P114" s="32"/>
      <c r="Q114" s="32"/>
      <c r="R114" s="32"/>
      <c r="S114" s="32"/>
      <c r="T114" s="10"/>
      <c r="U114" s="10"/>
      <c r="V114" s="10"/>
      <c r="W114" s="10"/>
      <c r="X114" s="10"/>
      <c r="Y114" s="10"/>
      <c r="Z114" s="10"/>
      <c r="AA114" s="10"/>
      <c r="AB114" s="10"/>
      <c r="AC114" s="10"/>
      <c r="AD114" s="10"/>
      <c r="AE114" s="10"/>
      <c r="AF114" s="10"/>
      <c r="AG114" s="10"/>
      <c r="AH114" s="10"/>
      <c r="AI114" s="10"/>
      <c r="AJ114" s="10"/>
      <c r="AK114" s="10"/>
      <c r="AL114" s="10"/>
      <c r="AM114" s="10"/>
      <c r="AN114" s="10"/>
      <c r="AO114" s="10"/>
    </row>
    <row r="115" spans="1:41" ht="14.25" customHeight="1" x14ac:dyDescent="0.25">
      <c r="A115" s="972">
        <f>IF(A114=2,2,0)</f>
        <v>2</v>
      </c>
      <c r="B115" s="16"/>
      <c r="C115" s="130"/>
      <c r="D115" s="520"/>
      <c r="E115" s="1180" t="str">
        <f>CONCATENATE("Enter $/",dpUnit_Land," Adj.")</f>
        <v>Enter $/per Usable Square Foot Adj.</v>
      </c>
      <c r="F115" s="1820"/>
      <c r="G115" s="1820"/>
      <c r="H115" s="1820"/>
      <c r="I115" s="1820"/>
      <c r="J115" s="1820"/>
      <c r="K115" s="2850"/>
      <c r="L115" s="1153"/>
      <c r="M115" s="74"/>
      <c r="N115" s="32"/>
      <c r="O115" s="32"/>
      <c r="P115" s="32"/>
      <c r="Q115" s="32"/>
      <c r="R115" s="32"/>
      <c r="S115" s="32"/>
      <c r="T115" s="10"/>
      <c r="U115" s="10"/>
      <c r="V115" s="10"/>
      <c r="W115" s="10"/>
      <c r="X115" s="10"/>
      <c r="Y115" s="10"/>
      <c r="Z115" s="10"/>
      <c r="AA115" s="10"/>
      <c r="AB115" s="10"/>
      <c r="AC115" s="10"/>
      <c r="AD115" s="10"/>
      <c r="AE115" s="10"/>
      <c r="AF115" s="10"/>
      <c r="AG115" s="10"/>
      <c r="AH115" s="10"/>
      <c r="AI115" s="10"/>
      <c r="AJ115" s="10"/>
      <c r="AK115" s="10"/>
      <c r="AL115" s="10"/>
      <c r="AM115" s="10"/>
      <c r="AN115" s="10"/>
      <c r="AO115" s="10"/>
    </row>
    <row r="116" spans="1:41" ht="8.1" customHeight="1" x14ac:dyDescent="0.25">
      <c r="A116" s="972">
        <f>A118</f>
        <v>2</v>
      </c>
      <c r="B116" s="16"/>
      <c r="C116" s="130"/>
      <c r="D116" s="520"/>
      <c r="E116" s="765"/>
      <c r="F116" s="1829">
        <f t="shared" ref="F116:K116" si="37">IF(AND(F119=0,F120=0,F121=0),0,IF(F119&lt;&gt;0,F119,IF(F120&lt;&gt;0,IF(dpUnit_Land_1="Per Usable Acre",(F120/F$15)/F$23,IF(dpUnit_Land_1="Per Gross Acre",(F120/F$17)/F$25,IF(dpUnit_Land_1="Per Usable Square Foot",(F120/F$16)/F$24,IF(dpUnit_Land_1="Per Gross Square Foot",(F120/F$18)/F$26,IF(dpUnit_Land_1="Per Front Foot",(F120/F$19)/F$27,IF(dpUnit_Land_1="Per Proposed Square Foot",(F120/F$20)/F$28,IF(dpUnit_Land_1="Per Lot",(F120/F$21)/F$29,(F120/F$22)/F$30))))))),IF(dpUnit_Land_1="Per Usable Acre",F121/F$23,IF(dpUnit_Land_1="Per Gross Acre",F121/F$25,IF(dpUnit_Land_1="Per Usable Square Foot",F121/F$24,IF(dpUnit_Land_1="Per Gross Square Foot",F121/F$26,IF(dpUnit_Land_1="Per Front Foot",F121/F$27,IF(dpUnit_Land_1="Per Proposed Square Foot",F121/F$28,IF(dpUnit_Land_1="Per Lot",F121/F$29,F121/F$30))))))))))</f>
        <v>0</v>
      </c>
      <c r="G116" s="1829">
        <f t="shared" si="37"/>
        <v>0</v>
      </c>
      <c r="H116" s="1829">
        <f t="shared" si="37"/>
        <v>0</v>
      </c>
      <c r="I116" s="1829">
        <f t="shared" si="37"/>
        <v>0</v>
      </c>
      <c r="J116" s="1829">
        <f t="shared" si="37"/>
        <v>0</v>
      </c>
      <c r="K116" s="2856">
        <f t="shared" si="37"/>
        <v>0</v>
      </c>
      <c r="L116" s="1146"/>
      <c r="M116" s="74"/>
      <c r="N116" s="32"/>
      <c r="O116" s="32"/>
      <c r="P116" s="32"/>
      <c r="Q116" s="32"/>
      <c r="R116" s="32"/>
      <c r="S116" s="32"/>
      <c r="T116" s="10"/>
      <c r="U116" s="10"/>
      <c r="V116" s="10"/>
      <c r="W116" s="10"/>
      <c r="X116" s="10"/>
      <c r="Y116" s="10"/>
      <c r="Z116" s="10"/>
      <c r="AA116" s="10"/>
      <c r="AB116" s="10"/>
      <c r="AC116" s="10"/>
      <c r="AD116" s="10"/>
      <c r="AE116" s="10"/>
      <c r="AF116" s="10"/>
      <c r="AG116" s="10"/>
      <c r="AH116" s="10"/>
      <c r="AI116" s="10"/>
      <c r="AJ116" s="10"/>
      <c r="AK116" s="10"/>
      <c r="AL116" s="10"/>
      <c r="AM116" s="10"/>
      <c r="AN116" s="10"/>
      <c r="AO116" s="10"/>
    </row>
    <row r="117" spans="1:41" x14ac:dyDescent="0.25">
      <c r="A117" s="972">
        <f>A118</f>
        <v>2</v>
      </c>
      <c r="B117" s="16"/>
      <c r="C117" s="130"/>
      <c r="D117" s="1489" t="s">
        <v>76</v>
      </c>
      <c r="E117" s="1665" t="str">
        <f>Subject_ZoningCode</f>
        <v>I-2 (all parcels)</v>
      </c>
      <c r="F117" s="1789"/>
      <c r="G117" s="1789"/>
      <c r="H117" s="1789"/>
      <c r="I117" s="1789"/>
      <c r="J117" s="1789"/>
      <c r="K117" s="1168"/>
      <c r="L117" s="1146"/>
      <c r="M117" s="74"/>
      <c r="N117" s="32"/>
      <c r="O117" s="32"/>
      <c r="P117" s="32"/>
      <c r="Q117" s="32"/>
      <c r="R117" s="32"/>
      <c r="S117" s="32"/>
      <c r="T117" s="10"/>
      <c r="U117" s="10"/>
      <c r="V117" s="10"/>
      <c r="W117" s="10"/>
      <c r="X117" s="10"/>
      <c r="Y117" s="10"/>
      <c r="Z117" s="10"/>
      <c r="AA117" s="10"/>
      <c r="AB117" s="10"/>
      <c r="AC117" s="10"/>
      <c r="AD117" s="10"/>
      <c r="AE117" s="10"/>
      <c r="AF117" s="10"/>
      <c r="AG117" s="10"/>
      <c r="AH117" s="10"/>
      <c r="AI117" s="10"/>
      <c r="AJ117" s="10"/>
      <c r="AK117" s="10"/>
      <c r="AL117" s="10"/>
      <c r="AM117" s="10"/>
      <c r="AN117" s="10"/>
      <c r="AO117" s="10"/>
    </row>
    <row r="118" spans="1:41" ht="14.25" customHeight="1" x14ac:dyDescent="0.25">
      <c r="A118" s="972">
        <f>IF(B118=TRUE,1,2)</f>
        <v>2</v>
      </c>
      <c r="B118" s="16" t="b">
        <v>0</v>
      </c>
      <c r="C118" s="130"/>
      <c r="D118" s="520" t="str">
        <f>IF(Land_AdjType&lt;&gt;"Qualitative","Adjustment","Relative Comparison")</f>
        <v>Adjustment</v>
      </c>
      <c r="E118" s="1127"/>
      <c r="F118" s="1796">
        <f t="shared" ref="F118:K118" si="38">IF(Land_AdjType_1="Percent",IF(AND(F119=0,F120=0,F121=0),0,IF(F119&lt;&gt;0,F119,IF(F120&lt;&gt;0,IF(dpUnit_Land_1="Per Usable Acre",(F120/F$15)/F$23,IF(dpUnit_Land_1="Per Gross Acre",(F120/F$17)/F$25,IF(dpUnit_Land_1="Per Usable Square Foot",(F120/F$16)/F$24,IF(dpUnit_Land_1="Per Gross Square Foot",(F120/F$18)/F$26,IF(dpUnit_Land_1="Per Front Foot",(F120/F$19)/F$27,IF(dpUnit_Land_1="Per Proposed Square Foot",(F120/F$20)/F$28,IF(dpUnit_Land_1="Per Lot",(F120/F$21)/F$29,(F120/F$22)/F$30))))))),IF(dpUnit_Land_1="Per Usable Acre",F121/F$23,IF(dpUnit_Land_1="Per Gross Acre",F121/F$25,IF(dpUnit_Land_1="Per Usable Square Foot",F121/F$24,IF(dpUnit_Land_1="Per Gross Square Foot",F121/F$26,IF(dpUnit_Land_1="Per Front Foot",F121/F$27,IF(dpUnit_Land_1="Per Proposed Square Foot",F121/F$28,IF(dpUnit_Land_1="Per Lot",F121/F$29,F121/F$30)))))))))),IF(Land_AdjType_1="$ per Unit",IF(AND(F119=0,F120=0,F121=0),0,IF(F119&lt;&gt;0,IF(dpUnit_Land_1="Per Usable Acre",F119*F$23,IF(dpUnit_Land_1="Per Gross Acre",F119*F$25,IF(dpUnit_Land_1="Per Usable Square Foot",F119*F$24,IF(dpUnit_Land_1="Per Gross Square Foot",F119*F$26,IF(dpUnit_Land_1="Per Front Foot",F119*F$27,IF(dpUnit_Land_1="Per Proposed Square Foot",F119*F$28,IF(dpUnit_Land_1="Per Lot",F119*F$29,F119*F$30))))))),IF(F120&lt;&gt;0,IF(dpUnit_Land_1="Per Usable Acre",F120/F$15,IF(dpUnit_Land_1="Per Gross Acre",F120/F$17,IF(dpUnit_Land_1="Per Usable Square Foot",F120/F$16,IF(dpUnit_Land_1="Per Gross Square Foot",F120/F$18,IF(dpUnit_Land_1="Per Front Foot",F120/F$19,IF(dpUnit_Land_1="Per Proposed Square Foot",F120/F$20,IF(dpUnit_Land_1="Per Lot",F120/F$21,F120/F$22))))))),F121))),IF(OR(F119&gt;0,F120&gt;0,F121&gt;0),"Inferior",IF(OR(F119&lt;0,F120&lt;0,F121&lt;0),"Superior","Similar"))))</f>
        <v>0</v>
      </c>
      <c r="G118" s="1796">
        <f t="shared" si="38"/>
        <v>0</v>
      </c>
      <c r="H118" s="1796">
        <f t="shared" si="38"/>
        <v>0</v>
      </c>
      <c r="I118" s="1796">
        <f t="shared" si="38"/>
        <v>0</v>
      </c>
      <c r="J118" s="1796">
        <f t="shared" si="38"/>
        <v>0</v>
      </c>
      <c r="K118" s="1958">
        <f t="shared" si="38"/>
        <v>0</v>
      </c>
      <c r="L118" s="763"/>
      <c r="M118" s="74"/>
      <c r="N118" s="32"/>
      <c r="O118" s="32"/>
      <c r="P118" s="32"/>
      <c r="Q118" s="32"/>
      <c r="R118" s="32"/>
      <c r="S118" s="32"/>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row>
    <row r="119" spans="1:41" ht="14.25" customHeight="1" x14ac:dyDescent="0.25">
      <c r="A119" s="972">
        <f>IF(A118=2,2,0)</f>
        <v>2</v>
      </c>
      <c r="B119" s="16"/>
      <c r="C119" s="130"/>
      <c r="D119" s="520"/>
      <c r="E119" s="1180" t="s">
        <v>166</v>
      </c>
      <c r="F119" s="1818"/>
      <c r="G119" s="1818"/>
      <c r="H119" s="1818"/>
      <c r="I119" s="1818"/>
      <c r="J119" s="1818"/>
      <c r="K119" s="2848"/>
      <c r="L119" s="136"/>
      <c r="M119" s="74"/>
      <c r="N119" s="32"/>
      <c r="O119" s="32"/>
      <c r="P119" s="32"/>
      <c r="Q119" s="32"/>
      <c r="R119" s="32"/>
      <c r="S119" s="32"/>
      <c r="T119" s="10"/>
      <c r="U119" s="10"/>
      <c r="V119" s="10"/>
      <c r="W119" s="10"/>
      <c r="X119" s="10"/>
      <c r="Y119" s="10"/>
      <c r="Z119" s="10"/>
      <c r="AA119" s="10"/>
      <c r="AB119" s="10"/>
      <c r="AC119" s="10"/>
      <c r="AD119" s="10"/>
      <c r="AE119" s="10"/>
      <c r="AF119" s="10"/>
      <c r="AG119" s="10"/>
      <c r="AH119" s="10"/>
      <c r="AI119" s="10"/>
      <c r="AJ119" s="10"/>
      <c r="AK119" s="10"/>
      <c r="AL119" s="10"/>
      <c r="AM119" s="10"/>
      <c r="AN119" s="10"/>
      <c r="AO119" s="10"/>
    </row>
    <row r="120" spans="1:41" ht="14.25" customHeight="1" x14ac:dyDescent="0.25">
      <c r="A120" s="972">
        <f>IF(A119=2,2,0)</f>
        <v>2</v>
      </c>
      <c r="B120" s="16"/>
      <c r="C120" s="130"/>
      <c r="D120" s="520"/>
      <c r="E120" s="1180" t="s">
        <v>167</v>
      </c>
      <c r="F120" s="1819"/>
      <c r="G120" s="1819"/>
      <c r="H120" s="1819"/>
      <c r="I120" s="1819"/>
      <c r="J120" s="1819"/>
      <c r="K120" s="2849"/>
      <c r="L120" s="1152"/>
      <c r="M120" s="74"/>
      <c r="N120" s="32"/>
      <c r="O120" s="32"/>
      <c r="P120" s="32"/>
      <c r="Q120" s="32"/>
      <c r="R120" s="32"/>
      <c r="S120" s="32"/>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row>
    <row r="121" spans="1:41" ht="14.25" customHeight="1" x14ac:dyDescent="0.25">
      <c r="A121" s="972">
        <f>IF(A120=2,2,0)</f>
        <v>2</v>
      </c>
      <c r="B121" s="16"/>
      <c r="C121" s="130"/>
      <c r="D121" s="520"/>
      <c r="E121" s="1180" t="str">
        <f>CONCATENATE("Enter $/",dpUnit_Land," Adj.")</f>
        <v>Enter $/per Usable Square Foot Adj.</v>
      </c>
      <c r="F121" s="1820"/>
      <c r="G121" s="1820"/>
      <c r="H121" s="1820"/>
      <c r="I121" s="1820"/>
      <c r="J121" s="1820"/>
      <c r="K121" s="2850"/>
      <c r="L121" s="1153"/>
      <c r="M121" s="74"/>
      <c r="N121" s="32"/>
      <c r="O121" s="32"/>
      <c r="P121" s="32"/>
      <c r="Q121" s="32"/>
      <c r="R121" s="32"/>
      <c r="S121" s="32"/>
      <c r="T121" s="10"/>
      <c r="U121" s="10"/>
      <c r="V121" s="10"/>
      <c r="W121" s="10"/>
      <c r="X121" s="10"/>
      <c r="Y121" s="10"/>
      <c r="Z121" s="10"/>
      <c r="AA121" s="10"/>
      <c r="AB121" s="10"/>
      <c r="AC121" s="10"/>
      <c r="AD121" s="10"/>
      <c r="AE121" s="10"/>
      <c r="AF121" s="10"/>
      <c r="AG121" s="10"/>
      <c r="AH121" s="10"/>
      <c r="AI121" s="10"/>
      <c r="AJ121" s="10"/>
      <c r="AK121" s="10"/>
      <c r="AL121" s="10"/>
      <c r="AM121" s="10"/>
      <c r="AN121" s="10"/>
      <c r="AO121" s="10"/>
    </row>
    <row r="122" spans="1:41" ht="8.1" customHeight="1" x14ac:dyDescent="0.25">
      <c r="A122" s="972">
        <f>A124</f>
        <v>2</v>
      </c>
      <c r="B122" s="16"/>
      <c r="C122" s="130"/>
      <c r="D122" s="520"/>
      <c r="E122" s="765"/>
      <c r="F122" s="1829">
        <f t="shared" ref="F122:K122" si="39">IF(AND(F125=0,F126=0,F127=0),0,IF(F125&lt;&gt;0,F125,IF(F126&lt;&gt;0,IF(dpUnit_Land_1="Per Usable Acre",(F126/F$15)/F$23,IF(dpUnit_Land_1="Per Gross Acre",(F126/F$17)/F$25,IF(dpUnit_Land_1="Per Usable Square Foot",(F126/F$16)/F$24,IF(dpUnit_Land_1="Per Gross Square Foot",(F126/F$18)/F$26,IF(dpUnit_Land_1="Per Front Foot",(F126/F$19)/F$27,IF(dpUnit_Land_1="Per Proposed Square Foot",(F126/F$20)/F$28,IF(dpUnit_Land_1="Per Lot",(F126/F$21)/F$29,(F126/F$22)/F$30))))))),IF(dpUnit_Land_1="Per Usable Acre",F127/F$23,IF(dpUnit_Land_1="Per Gross Acre",F127/F$25,IF(dpUnit_Land_1="Per Usable Square Foot",F127/F$24,IF(dpUnit_Land_1="Per Gross Square Foot",F127/F$26,IF(dpUnit_Land_1="Per Front Foot",F127/F$27,IF(dpUnit_Land_1="Per Proposed Square Foot",F127/F$28,IF(dpUnit_Land_1="Per Lot",F127/F$29,F127/F$30))))))))))</f>
        <v>0</v>
      </c>
      <c r="G122" s="1829">
        <f t="shared" si="39"/>
        <v>0</v>
      </c>
      <c r="H122" s="1829">
        <f t="shared" si="39"/>
        <v>0</v>
      </c>
      <c r="I122" s="1829">
        <f t="shared" si="39"/>
        <v>0</v>
      </c>
      <c r="J122" s="1829">
        <f t="shared" si="39"/>
        <v>0</v>
      </c>
      <c r="K122" s="2856">
        <f t="shared" si="39"/>
        <v>0</v>
      </c>
      <c r="L122" s="1146"/>
      <c r="M122" s="74"/>
      <c r="N122" s="32"/>
      <c r="O122" s="32"/>
      <c r="P122" s="32"/>
      <c r="Q122" s="32"/>
      <c r="R122" s="32"/>
      <c r="S122" s="32"/>
      <c r="T122" s="10"/>
      <c r="U122" s="10"/>
      <c r="V122" s="10"/>
      <c r="W122" s="10"/>
      <c r="X122" s="10"/>
      <c r="Y122" s="10"/>
      <c r="Z122" s="10"/>
      <c r="AA122" s="10"/>
      <c r="AB122" s="10"/>
      <c r="AC122" s="10"/>
      <c r="AD122" s="10"/>
      <c r="AE122" s="10"/>
      <c r="AF122" s="10"/>
      <c r="AG122" s="10"/>
      <c r="AH122" s="10"/>
      <c r="AI122" s="10"/>
      <c r="AJ122" s="10"/>
      <c r="AK122" s="10"/>
      <c r="AL122" s="10"/>
      <c r="AM122" s="10"/>
      <c r="AN122" s="10"/>
      <c r="AO122" s="10"/>
    </row>
    <row r="123" spans="1:41" x14ac:dyDescent="0.25">
      <c r="A123" s="972">
        <f>A124</f>
        <v>2</v>
      </c>
      <c r="B123" s="16"/>
      <c r="C123" s="130"/>
      <c r="D123" s="1489" t="s">
        <v>102</v>
      </c>
      <c r="E123" s="1665">
        <f>Subject_TrafficCounts</f>
        <v>0</v>
      </c>
      <c r="F123" s="1789"/>
      <c r="G123" s="1789"/>
      <c r="H123" s="1789"/>
      <c r="I123" s="1789"/>
      <c r="J123" s="1789"/>
      <c r="K123" s="1168"/>
      <c r="L123" s="1146"/>
      <c r="M123" s="74"/>
      <c r="N123" s="32"/>
      <c r="O123" s="32"/>
      <c r="P123" s="32"/>
      <c r="Q123" s="32"/>
      <c r="R123" s="32"/>
      <c r="S123" s="32"/>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row>
    <row r="124" spans="1:41" ht="14.25" customHeight="1" x14ac:dyDescent="0.25">
      <c r="A124" s="972">
        <f>IF(B124=TRUE,1,2)</f>
        <v>2</v>
      </c>
      <c r="B124" s="16" t="b">
        <v>0</v>
      </c>
      <c r="C124" s="130"/>
      <c r="D124" s="520" t="str">
        <f>IF(Land_AdjType&lt;&gt;"Qualitative","Adjustment","Relative Comparison")</f>
        <v>Adjustment</v>
      </c>
      <c r="E124" s="765"/>
      <c r="F124" s="1796">
        <f t="shared" ref="F124:K124" si="40">IF(Land_AdjType_1="Percent",IF(AND(F125=0,F126=0,F127=0),0,IF(F125&lt;&gt;0,F125,IF(F126&lt;&gt;0,IF(dpUnit_Land_1="Per Usable Acre",(F126/F$15)/F$23,IF(dpUnit_Land_1="Per Gross Acre",(F126/F$17)/F$25,IF(dpUnit_Land_1="Per Usable Square Foot",(F126/F$16)/F$24,IF(dpUnit_Land_1="Per Gross Square Foot",(F126/F$18)/F$26,IF(dpUnit_Land_1="Per Front Foot",(F126/F$19)/F$27,IF(dpUnit_Land_1="Per Proposed Square Foot",(F126/F$20)/F$28,IF(dpUnit_Land_1="Per Lot",(F126/F$21)/F$29,(F126/F$22)/F$30))))))),IF(dpUnit_Land_1="Per Usable Acre",F127/F$23,IF(dpUnit_Land_1="Per Gross Acre",F127/F$25,IF(dpUnit_Land_1="Per Usable Square Foot",F127/F$24,IF(dpUnit_Land_1="Per Gross Square Foot",F127/F$26,IF(dpUnit_Land_1="Per Front Foot",F127/F$27,IF(dpUnit_Land_1="Per Proposed Square Foot",F127/F$28,IF(dpUnit_Land_1="Per Lot",F127/F$29,F127/F$30)))))))))),IF(Land_AdjType_1="$ per Unit",IF(AND(F125=0,F126=0,F127=0),0,IF(F125&lt;&gt;0,IF(dpUnit_Land_1="Per Usable Acre",F125*F$23,IF(dpUnit_Land_1="Per Gross Acre",F125*F$25,IF(dpUnit_Land_1="Per Usable Square Foot",F125*F$24,IF(dpUnit_Land_1="Per Gross Square Foot",F125*F$26,IF(dpUnit_Land_1="Per Front Foot",F125*F$27,IF(dpUnit_Land_1="Per Proposed Square Foot",F125*F$28,IF(dpUnit_Land_1="Per Lot",F125*F$29,F125*F$30))))))),IF(F126&lt;&gt;0,IF(dpUnit_Land_1="Per Usable Acre",F126/F$15,IF(dpUnit_Land_1="Per Gross Acre",F126/F$17,IF(dpUnit_Land_1="Per Usable Square Foot",F126/F$16,IF(dpUnit_Land_1="Per Gross Square Foot",F126/F$18,IF(dpUnit_Land_1="Per Front Foot",F126/F$19,IF(dpUnit_Land_1="Per Proposed Square Foot",F126/F$20,IF(dpUnit_Land_1="Per Lot",F126/F$21,F126/F$22))))))),F127))),IF(OR(F125&gt;0,F126&gt;0,F127&gt;0),"Inferior",IF(OR(F125&lt;0,F126&lt;0,F127&lt;0),"Superior","Similar"))))</f>
        <v>0</v>
      </c>
      <c r="G124" s="1796">
        <f t="shared" si="40"/>
        <v>0</v>
      </c>
      <c r="H124" s="1796">
        <f t="shared" si="40"/>
        <v>0</v>
      </c>
      <c r="I124" s="1796">
        <f t="shared" si="40"/>
        <v>0</v>
      </c>
      <c r="J124" s="1796">
        <f t="shared" si="40"/>
        <v>0</v>
      </c>
      <c r="K124" s="1958">
        <f t="shared" si="40"/>
        <v>0</v>
      </c>
      <c r="L124" s="763"/>
      <c r="M124" s="74"/>
      <c r="N124" s="32"/>
      <c r="O124" s="32"/>
      <c r="P124" s="32"/>
      <c r="Q124" s="32"/>
      <c r="R124" s="32"/>
      <c r="S124" s="32"/>
      <c r="T124" s="10"/>
      <c r="U124" s="10"/>
      <c r="V124" s="10"/>
      <c r="W124" s="10"/>
      <c r="X124" s="10"/>
      <c r="Y124" s="10"/>
      <c r="Z124" s="10"/>
      <c r="AA124" s="10"/>
      <c r="AB124" s="10"/>
      <c r="AC124" s="10"/>
      <c r="AD124" s="10"/>
      <c r="AE124" s="10"/>
      <c r="AF124" s="10"/>
      <c r="AG124" s="10"/>
      <c r="AH124" s="10"/>
      <c r="AI124" s="10"/>
      <c r="AJ124" s="10"/>
      <c r="AK124" s="10"/>
      <c r="AL124" s="10"/>
      <c r="AM124" s="10"/>
      <c r="AN124" s="10"/>
      <c r="AO124" s="10"/>
    </row>
    <row r="125" spans="1:41" ht="14.25" customHeight="1" x14ac:dyDescent="0.25">
      <c r="A125" s="972">
        <f>IF(A124=2,2,0)</f>
        <v>2</v>
      </c>
      <c r="B125" s="16"/>
      <c r="C125" s="130"/>
      <c r="D125" s="520"/>
      <c r="E125" s="1180" t="s">
        <v>166</v>
      </c>
      <c r="F125" s="1818"/>
      <c r="G125" s="1818"/>
      <c r="H125" s="1818"/>
      <c r="I125" s="1818"/>
      <c r="J125" s="1818"/>
      <c r="K125" s="2848"/>
      <c r="L125" s="136"/>
      <c r="M125" s="74"/>
      <c r="N125" s="32"/>
      <c r="O125" s="32"/>
      <c r="P125" s="32"/>
      <c r="Q125" s="32"/>
      <c r="R125" s="32"/>
      <c r="S125" s="32"/>
      <c r="T125" s="10"/>
      <c r="U125" s="10"/>
      <c r="V125" s="10"/>
      <c r="W125" s="10"/>
      <c r="X125" s="10"/>
      <c r="Y125" s="10"/>
      <c r="Z125" s="10"/>
      <c r="AA125" s="10"/>
      <c r="AB125" s="10"/>
      <c r="AC125" s="10"/>
      <c r="AD125" s="10"/>
      <c r="AE125" s="10"/>
      <c r="AF125" s="10"/>
      <c r="AG125" s="10"/>
      <c r="AH125" s="10"/>
      <c r="AI125" s="10"/>
      <c r="AJ125" s="10"/>
      <c r="AK125" s="10"/>
      <c r="AL125" s="10"/>
      <c r="AM125" s="10"/>
      <c r="AN125" s="10"/>
      <c r="AO125" s="10"/>
    </row>
    <row r="126" spans="1:41" ht="14.25" customHeight="1" x14ac:dyDescent="0.25">
      <c r="A126" s="972">
        <f>IF(A125=2,2,0)</f>
        <v>2</v>
      </c>
      <c r="B126" s="16"/>
      <c r="C126" s="130"/>
      <c r="D126" s="520"/>
      <c r="E126" s="1180" t="s">
        <v>167</v>
      </c>
      <c r="F126" s="1819"/>
      <c r="G126" s="1819"/>
      <c r="H126" s="1819"/>
      <c r="I126" s="1819"/>
      <c r="J126" s="1819"/>
      <c r="K126" s="2849"/>
      <c r="L126" s="1152"/>
      <c r="M126" s="74"/>
      <c r="N126" s="32"/>
      <c r="O126" s="32"/>
      <c r="P126" s="32"/>
      <c r="Q126" s="32"/>
      <c r="R126" s="32"/>
      <c r="S126" s="32"/>
      <c r="T126" s="10"/>
      <c r="U126" s="10"/>
      <c r="V126" s="10"/>
      <c r="W126" s="10"/>
      <c r="X126" s="10"/>
      <c r="Y126" s="10"/>
      <c r="Z126" s="10"/>
      <c r="AA126" s="10"/>
      <c r="AB126" s="10"/>
      <c r="AC126" s="10"/>
      <c r="AD126" s="10"/>
      <c r="AE126" s="10"/>
      <c r="AF126" s="10"/>
      <c r="AG126" s="10"/>
      <c r="AH126" s="10"/>
      <c r="AI126" s="10"/>
      <c r="AJ126" s="10"/>
      <c r="AK126" s="10"/>
      <c r="AL126" s="10"/>
      <c r="AM126" s="10"/>
      <c r="AN126" s="10"/>
      <c r="AO126" s="10"/>
    </row>
    <row r="127" spans="1:41" ht="14.25" customHeight="1" x14ac:dyDescent="0.25">
      <c r="A127" s="972">
        <f>IF(A126=2,2,0)</f>
        <v>2</v>
      </c>
      <c r="B127" s="16"/>
      <c r="C127" s="130"/>
      <c r="D127" s="520"/>
      <c r="E127" s="1180" t="str">
        <f>CONCATENATE("Enter $/",dpUnit_Land," Adj.")</f>
        <v>Enter $/per Usable Square Foot Adj.</v>
      </c>
      <c r="F127" s="1820"/>
      <c r="G127" s="1820"/>
      <c r="H127" s="1820"/>
      <c r="I127" s="1820"/>
      <c r="J127" s="1820"/>
      <c r="K127" s="2850"/>
      <c r="L127" s="1153"/>
      <c r="M127" s="74"/>
      <c r="N127" s="32"/>
      <c r="O127" s="32"/>
      <c r="P127" s="32"/>
      <c r="Q127" s="32"/>
      <c r="R127" s="32"/>
      <c r="S127" s="32"/>
      <c r="T127" s="10"/>
      <c r="U127" s="10"/>
      <c r="V127" s="10"/>
      <c r="W127" s="10"/>
      <c r="X127" s="10"/>
      <c r="Y127" s="10"/>
      <c r="Z127" s="10"/>
      <c r="AA127" s="10"/>
      <c r="AB127" s="10"/>
      <c r="AC127" s="10"/>
      <c r="AD127" s="10"/>
      <c r="AE127" s="10"/>
      <c r="AF127" s="10"/>
      <c r="AG127" s="10"/>
      <c r="AH127" s="10"/>
      <c r="AI127" s="10"/>
      <c r="AJ127" s="10"/>
      <c r="AK127" s="10"/>
      <c r="AL127" s="10"/>
      <c r="AM127" s="10"/>
      <c r="AN127" s="10"/>
      <c r="AO127" s="10"/>
    </row>
    <row r="128" spans="1:41" ht="8.1" customHeight="1" x14ac:dyDescent="0.25">
      <c r="A128" s="972">
        <f>A130</f>
        <v>2</v>
      </c>
      <c r="B128" s="16"/>
      <c r="C128" s="130"/>
      <c r="D128" s="520"/>
      <c r="E128" s="765"/>
      <c r="F128" s="1829">
        <f t="shared" ref="F128:K128" si="41">IF(AND(F131=0,F132=0,F133=0),0,IF(F131&lt;&gt;0,F131,IF(F132&lt;&gt;0,IF(dpUnit_Land_1="Per Usable Acre",(F132/F$15)/F$23,IF(dpUnit_Land_1="Per Gross Acre",(F132/F$17)/F$25,IF(dpUnit_Land_1="Per Usable Square Foot",(F132/F$16)/F$24,IF(dpUnit_Land_1="Per Gross Square Foot",(F132/F$18)/F$26,IF(dpUnit_Land_1="Per Front Foot",(F132/F$19)/F$27,IF(dpUnit_Land_1="Per Proposed Square Foot",(F132/F$20)/F$28,IF(dpUnit_Land_1="Per Lot",(F132/F$21)/F$29,(F132/F$22)/F$30))))))),IF(dpUnit_Land_1="Per Usable Acre",F133/F$23,IF(dpUnit_Land_1="Per Gross Acre",F133/F$25,IF(dpUnit_Land_1="Per Usable Square Foot",F133/F$24,IF(dpUnit_Land_1="Per Gross Square Foot",F133/F$26,IF(dpUnit_Land_1="Per Front Foot",F133/F$27,IF(dpUnit_Land_1="Per Proposed Square Foot",F133/F$28,IF(dpUnit_Land_1="Per Lot",F133/F$29,F133/F$30))))))))))</f>
        <v>0</v>
      </c>
      <c r="G128" s="1829">
        <f t="shared" si="41"/>
        <v>0</v>
      </c>
      <c r="H128" s="1829">
        <f t="shared" si="41"/>
        <v>0</v>
      </c>
      <c r="I128" s="1829">
        <f t="shared" si="41"/>
        <v>0</v>
      </c>
      <c r="J128" s="1829">
        <f t="shared" si="41"/>
        <v>0</v>
      </c>
      <c r="K128" s="2856">
        <f t="shared" si="41"/>
        <v>0</v>
      </c>
      <c r="L128" s="1146"/>
      <c r="M128" s="74"/>
      <c r="N128" s="32"/>
      <c r="O128" s="32"/>
      <c r="P128" s="32"/>
      <c r="Q128" s="32"/>
      <c r="R128" s="32"/>
      <c r="S128" s="32"/>
      <c r="T128" s="10"/>
      <c r="U128" s="10"/>
      <c r="V128" s="10"/>
      <c r="W128" s="10"/>
      <c r="X128" s="10"/>
      <c r="Y128" s="10"/>
      <c r="Z128" s="10"/>
      <c r="AA128" s="10"/>
      <c r="AB128" s="10"/>
      <c r="AC128" s="10"/>
      <c r="AD128" s="10"/>
      <c r="AE128" s="10"/>
      <c r="AF128" s="10"/>
      <c r="AG128" s="10"/>
      <c r="AH128" s="10"/>
      <c r="AI128" s="10"/>
      <c r="AJ128" s="10"/>
      <c r="AK128" s="10"/>
      <c r="AL128" s="10"/>
      <c r="AM128" s="10"/>
      <c r="AN128" s="10"/>
      <c r="AO128" s="10"/>
    </row>
    <row r="129" spans="1:41" x14ac:dyDescent="0.25">
      <c r="A129" s="972">
        <f>A130</f>
        <v>2</v>
      </c>
      <c r="B129" s="16"/>
      <c r="C129" s="130"/>
      <c r="D129" s="1493" t="s">
        <v>103</v>
      </c>
      <c r="E129" s="718"/>
      <c r="F129" s="1831"/>
      <c r="G129" s="1831"/>
      <c r="H129" s="1831"/>
      <c r="I129" s="1831"/>
      <c r="J129" s="1831"/>
      <c r="K129" s="1006"/>
      <c r="L129" s="1146"/>
      <c r="M129" s="74"/>
      <c r="N129" s="32"/>
      <c r="O129" s="32"/>
      <c r="P129" s="32"/>
      <c r="Q129" s="32"/>
      <c r="R129" s="32"/>
      <c r="S129" s="32"/>
      <c r="T129" s="10"/>
      <c r="U129" s="10"/>
      <c r="V129" s="10"/>
      <c r="W129" s="10"/>
      <c r="X129" s="10"/>
      <c r="Y129" s="10"/>
      <c r="Z129" s="10"/>
      <c r="AA129" s="10"/>
      <c r="AB129" s="10"/>
      <c r="AC129" s="10"/>
      <c r="AD129" s="10"/>
      <c r="AE129" s="10"/>
      <c r="AF129" s="10"/>
      <c r="AG129" s="10"/>
      <c r="AH129" s="10"/>
      <c r="AI129" s="10"/>
      <c r="AJ129" s="10"/>
      <c r="AK129" s="10"/>
      <c r="AL129" s="10"/>
      <c r="AM129" s="10"/>
      <c r="AN129" s="10"/>
      <c r="AO129" s="10"/>
    </row>
    <row r="130" spans="1:41" ht="14.25" customHeight="1" x14ac:dyDescent="0.25">
      <c r="A130" s="972">
        <f>IF(B130=TRUE,1,2)</f>
        <v>2</v>
      </c>
      <c r="B130" s="16" t="b">
        <v>0</v>
      </c>
      <c r="C130" s="130"/>
      <c r="D130" s="520" t="str">
        <f>IF(Land_AdjType&lt;&gt;"Qualitative","Adjustment","Relative Comparison")</f>
        <v>Adjustment</v>
      </c>
      <c r="E130" s="765"/>
      <c r="F130" s="1796">
        <f t="shared" ref="F130:K130" si="42">IF(Land_AdjType_1="Percent",IF(AND(F131=0,F132=0,F133=0),0,IF(F131&lt;&gt;0,F131,IF(F132&lt;&gt;0,IF(dpUnit_Land_1="Per Usable Acre",(F132/F$15)/F$23,IF(dpUnit_Land_1="Per Gross Acre",(F132/F$17)/F$25,IF(dpUnit_Land_1="Per Usable Square Foot",(F132/F$16)/F$24,IF(dpUnit_Land_1="Per Gross Square Foot",(F132/F$18)/F$26,IF(dpUnit_Land_1="Per Front Foot",(F132/F$19)/F$27,IF(dpUnit_Land_1="Per Proposed Square Foot",(F132/F$20)/F$28,IF(dpUnit_Land_1="Per Lot",(F132/F$21)/F$29,(F132/F$22)/F$30))))))),IF(dpUnit_Land_1="Per Usable Acre",F133/F$23,IF(dpUnit_Land_1="Per Gross Acre",F133/F$25,IF(dpUnit_Land_1="Per Usable Square Foot",F133/F$24,IF(dpUnit_Land_1="Per Gross Square Foot",F133/F$26,IF(dpUnit_Land_1="Per Front Foot",F133/F$27,IF(dpUnit_Land_1="Per Proposed Square Foot",F133/F$28,IF(dpUnit_Land_1="Per Lot",F133/F$29,F133/F$30)))))))))),IF(Land_AdjType_1="$ per Unit",IF(AND(F131=0,F132=0,F133=0),0,IF(F131&lt;&gt;0,IF(dpUnit_Land_1="Per Usable Acre",F131*F$23,IF(dpUnit_Land_1="Per Gross Acre",F131*F$25,IF(dpUnit_Land_1="Per Usable Square Foot",F131*F$24,IF(dpUnit_Land_1="Per Gross Square Foot",F131*F$26,IF(dpUnit_Land_1="Per Front Foot",F131*F$27,IF(dpUnit_Land_1="Per Proposed Square Foot",F131*F$28,IF(dpUnit_Land_1="Per Lot",F131*F$29,F131*F$30))))))),IF(F132&lt;&gt;0,IF(dpUnit_Land_1="Per Usable Acre",F132/F$15,IF(dpUnit_Land_1="Per Gross Acre",F132/F$17,IF(dpUnit_Land_1="Per Usable Square Foot",F132/F$16,IF(dpUnit_Land_1="Per Gross Square Foot",F132/F$18,IF(dpUnit_Land_1="Per Front Foot",F132/F$19,IF(dpUnit_Land_1="Per Proposed Square Foot",F132/F$20,IF(dpUnit_Land_1="Per Lot",F132/F$21,F132/F$22))))))),F133))),IF(OR(F131&gt;0,F132&gt;0,F133&gt;0),"Inferior",IF(OR(F131&lt;0,F132&lt;0,F133&lt;0),"Superior","Similar"))))</f>
        <v>0</v>
      </c>
      <c r="G130" s="1796">
        <f t="shared" si="42"/>
        <v>0</v>
      </c>
      <c r="H130" s="1796">
        <f t="shared" si="42"/>
        <v>0</v>
      </c>
      <c r="I130" s="1796">
        <f t="shared" si="42"/>
        <v>0</v>
      </c>
      <c r="J130" s="1796">
        <f t="shared" si="42"/>
        <v>0</v>
      </c>
      <c r="K130" s="1958">
        <f t="shared" si="42"/>
        <v>0</v>
      </c>
      <c r="L130" s="763"/>
      <c r="M130" s="74"/>
      <c r="N130" s="32"/>
      <c r="O130" s="32"/>
      <c r="P130" s="32"/>
      <c r="Q130" s="32"/>
      <c r="R130" s="32"/>
      <c r="S130" s="32"/>
      <c r="T130" s="10"/>
      <c r="U130" s="10"/>
      <c r="V130" s="10"/>
      <c r="W130" s="10"/>
      <c r="X130" s="10"/>
      <c r="Y130" s="10"/>
      <c r="Z130" s="10"/>
      <c r="AA130" s="10"/>
      <c r="AB130" s="10"/>
      <c r="AC130" s="10"/>
      <c r="AD130" s="10"/>
      <c r="AE130" s="10"/>
      <c r="AF130" s="10"/>
      <c r="AG130" s="10"/>
      <c r="AH130" s="10"/>
      <c r="AI130" s="10"/>
      <c r="AJ130" s="10"/>
      <c r="AK130" s="10"/>
      <c r="AL130" s="10"/>
      <c r="AM130" s="10"/>
      <c r="AN130" s="10"/>
      <c r="AO130" s="10"/>
    </row>
    <row r="131" spans="1:41" ht="14.25" customHeight="1" x14ac:dyDescent="0.25">
      <c r="A131" s="972">
        <f>IF(A130=2,2,0)</f>
        <v>2</v>
      </c>
      <c r="B131" s="16"/>
      <c r="C131" s="130"/>
      <c r="D131" s="520"/>
      <c r="E131" s="1180" t="s">
        <v>166</v>
      </c>
      <c r="F131" s="1818"/>
      <c r="G131" s="1818"/>
      <c r="H131" s="1818"/>
      <c r="I131" s="1818"/>
      <c r="J131" s="1818"/>
      <c r="K131" s="2848"/>
      <c r="L131" s="136"/>
      <c r="M131" s="74"/>
      <c r="N131" s="32"/>
      <c r="O131" s="32"/>
      <c r="P131" s="32"/>
      <c r="Q131" s="32"/>
      <c r="R131" s="32"/>
      <c r="S131" s="32"/>
      <c r="T131" s="10"/>
      <c r="U131" s="10"/>
      <c r="V131" s="10"/>
      <c r="W131" s="10"/>
      <c r="X131" s="10"/>
      <c r="Y131" s="10"/>
      <c r="Z131" s="10"/>
      <c r="AA131" s="10"/>
      <c r="AB131" s="10"/>
      <c r="AC131" s="10"/>
      <c r="AD131" s="10"/>
      <c r="AE131" s="10"/>
      <c r="AF131" s="10"/>
      <c r="AG131" s="10"/>
      <c r="AH131" s="10"/>
      <c r="AI131" s="10"/>
      <c r="AJ131" s="10"/>
      <c r="AK131" s="10"/>
      <c r="AL131" s="10"/>
      <c r="AM131" s="10"/>
      <c r="AN131" s="10"/>
      <c r="AO131" s="10"/>
    </row>
    <row r="132" spans="1:41" ht="14.25" customHeight="1" x14ac:dyDescent="0.25">
      <c r="A132" s="972">
        <f>IF(A131=2,2,0)</f>
        <v>2</v>
      </c>
      <c r="B132" s="16"/>
      <c r="C132" s="130"/>
      <c r="D132" s="520"/>
      <c r="E132" s="1180" t="s">
        <v>167</v>
      </c>
      <c r="F132" s="1819"/>
      <c r="G132" s="1819"/>
      <c r="H132" s="1819"/>
      <c r="I132" s="1819"/>
      <c r="J132" s="1819"/>
      <c r="K132" s="2849"/>
      <c r="L132" s="1152"/>
      <c r="M132" s="74"/>
      <c r="N132" s="32"/>
      <c r="O132" s="32"/>
      <c r="P132" s="32"/>
      <c r="Q132" s="32"/>
      <c r="R132" s="32"/>
      <c r="S132" s="32"/>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row>
    <row r="133" spans="1:41" ht="14.25" customHeight="1" x14ac:dyDescent="0.25">
      <c r="A133" s="972">
        <f>IF(A132=2,2,0)</f>
        <v>2</v>
      </c>
      <c r="B133" s="16"/>
      <c r="C133" s="130"/>
      <c r="D133" s="520"/>
      <c r="E133" s="1180" t="str">
        <f>CONCATENATE("Enter $/",dpUnit_Land," Adj.")</f>
        <v>Enter $/per Usable Square Foot Adj.</v>
      </c>
      <c r="F133" s="1820"/>
      <c r="G133" s="1820"/>
      <c r="H133" s="1820"/>
      <c r="I133" s="1820"/>
      <c r="J133" s="1820"/>
      <c r="K133" s="2850"/>
      <c r="L133" s="1153"/>
      <c r="M133" s="74"/>
      <c r="N133" s="32"/>
      <c r="O133" s="32"/>
      <c r="P133" s="32"/>
      <c r="Q133" s="32"/>
      <c r="R133" s="32"/>
      <c r="S133" s="32"/>
      <c r="T133" s="10"/>
      <c r="U133" s="10"/>
      <c r="V133" s="10"/>
      <c r="W133" s="10"/>
      <c r="X133" s="10"/>
      <c r="Y133" s="10"/>
      <c r="Z133" s="10"/>
      <c r="AA133" s="10"/>
      <c r="AB133" s="10"/>
      <c r="AC133" s="10"/>
      <c r="AD133" s="10"/>
      <c r="AE133" s="10"/>
      <c r="AF133" s="10"/>
      <c r="AG133" s="10"/>
      <c r="AH133" s="10"/>
      <c r="AI133" s="10"/>
      <c r="AJ133" s="10"/>
      <c r="AK133" s="10"/>
      <c r="AL133" s="10"/>
      <c r="AM133" s="10"/>
      <c r="AN133" s="10"/>
      <c r="AO133" s="10"/>
    </row>
    <row r="134" spans="1:41" ht="8.1" customHeight="1" x14ac:dyDescent="0.25">
      <c r="A134" s="972">
        <f>A136</f>
        <v>2</v>
      </c>
      <c r="B134" s="16"/>
      <c r="C134" s="130"/>
      <c r="D134" s="520"/>
      <c r="E134" s="765"/>
      <c r="F134" s="1829">
        <f t="shared" ref="F134:K134" si="43">IF(AND(F137=0,F138=0,F139=0),0,IF(F137&lt;&gt;0,F137,IF(F138&lt;&gt;0,IF(dpUnit_Land_1="Per Usable Acre",(F138/F$15)/F$23,IF(dpUnit_Land_1="Per Gross Acre",(F138/F$17)/F$25,IF(dpUnit_Land_1="Per Usable Square Foot",(F138/F$16)/F$24,IF(dpUnit_Land_1="Per Gross Square Foot",(F138/F$18)/F$26,IF(dpUnit_Land_1="Per Front Foot",(F138/F$19)/F$27,IF(dpUnit_Land_1="Per Proposed Square Foot",(F138/F$20)/F$28,IF(dpUnit_Land_1="Per Lot",(F138/F$21)/F$29,(F138/F$22)/F$30))))))),IF(dpUnit_Land_1="Per Usable Acre",F139/F$23,IF(dpUnit_Land_1="Per Gross Acre",F139/F$25,IF(dpUnit_Land_1="Per Usable Square Foot",F139/F$24,IF(dpUnit_Land_1="Per Gross Square Foot",F139/F$26,IF(dpUnit_Land_1="Per Front Foot",F139/F$27,IF(dpUnit_Land_1="Per Proposed Square Foot",F139/F$28,IF(dpUnit_Land_1="Per Lot",F139/F$29,F139/F$30))))))))))</f>
        <v>0</v>
      </c>
      <c r="G134" s="1829">
        <f t="shared" si="43"/>
        <v>0</v>
      </c>
      <c r="H134" s="1829">
        <f t="shared" si="43"/>
        <v>0</v>
      </c>
      <c r="I134" s="1829">
        <f t="shared" si="43"/>
        <v>0</v>
      </c>
      <c r="J134" s="1829">
        <f t="shared" si="43"/>
        <v>0</v>
      </c>
      <c r="K134" s="2856">
        <f t="shared" si="43"/>
        <v>0</v>
      </c>
      <c r="L134" s="1146"/>
      <c r="M134" s="74"/>
      <c r="N134" s="32"/>
      <c r="O134" s="32"/>
      <c r="P134" s="32"/>
      <c r="Q134" s="32"/>
      <c r="R134" s="32"/>
      <c r="S134" s="32"/>
      <c r="T134" s="10"/>
      <c r="U134" s="10"/>
      <c r="V134" s="10"/>
      <c r="W134" s="10"/>
      <c r="X134" s="10"/>
      <c r="Y134" s="10"/>
      <c r="Z134" s="10"/>
      <c r="AA134" s="10"/>
      <c r="AB134" s="10"/>
      <c r="AC134" s="10"/>
      <c r="AD134" s="10"/>
      <c r="AE134" s="10"/>
      <c r="AF134" s="10"/>
      <c r="AG134" s="10"/>
      <c r="AH134" s="10"/>
      <c r="AI134" s="10"/>
      <c r="AJ134" s="10"/>
      <c r="AK134" s="10"/>
      <c r="AL134" s="10"/>
      <c r="AM134" s="10"/>
      <c r="AN134" s="10"/>
      <c r="AO134" s="10"/>
    </row>
    <row r="135" spans="1:41" x14ac:dyDescent="0.25">
      <c r="A135" s="972">
        <f>A136</f>
        <v>2</v>
      </c>
      <c r="B135" s="16"/>
      <c r="C135" s="130"/>
      <c r="D135" s="1493" t="s">
        <v>104</v>
      </c>
      <c r="E135" s="718"/>
      <c r="F135" s="1831"/>
      <c r="G135" s="1831"/>
      <c r="H135" s="1831"/>
      <c r="I135" s="1831"/>
      <c r="J135" s="1831"/>
      <c r="K135" s="1006"/>
      <c r="L135" s="1146"/>
      <c r="M135" s="74"/>
      <c r="N135" s="32"/>
      <c r="O135" s="32"/>
      <c r="P135" s="32"/>
      <c r="Q135" s="32"/>
      <c r="R135" s="32"/>
      <c r="S135" s="32"/>
      <c r="T135" s="10"/>
      <c r="U135" s="10"/>
      <c r="V135" s="10"/>
      <c r="W135" s="10"/>
      <c r="X135" s="10"/>
      <c r="Y135" s="10"/>
      <c r="Z135" s="10"/>
      <c r="AA135" s="10"/>
      <c r="AB135" s="10"/>
      <c r="AC135" s="10"/>
      <c r="AD135" s="10"/>
      <c r="AE135" s="10"/>
      <c r="AF135" s="10"/>
      <c r="AG135" s="10"/>
      <c r="AH135" s="10"/>
      <c r="AI135" s="10"/>
      <c r="AJ135" s="10"/>
      <c r="AK135" s="10"/>
      <c r="AL135" s="10"/>
      <c r="AM135" s="10"/>
      <c r="AN135" s="10"/>
      <c r="AO135" s="10"/>
    </row>
    <row r="136" spans="1:41" ht="14.25" customHeight="1" x14ac:dyDescent="0.25">
      <c r="A136" s="972">
        <f>IF(B136=TRUE,1,2)</f>
        <v>2</v>
      </c>
      <c r="B136" s="16" t="b">
        <v>0</v>
      </c>
      <c r="C136" s="130"/>
      <c r="D136" s="520" t="str">
        <f>IF(Land_AdjType&lt;&gt;"Qualitative","Adjustment","Relative Comparison")</f>
        <v>Adjustment</v>
      </c>
      <c r="E136" s="765"/>
      <c r="F136" s="1796">
        <f t="shared" ref="F136:K136" si="44">IF(Land_AdjType_1="Percent",IF(AND(F137=0,F138=0,F139=0),0,IF(F137&lt;&gt;0,F137,IF(F138&lt;&gt;0,IF(dpUnit_Land_1="Per Usable Acre",(F138/F$15)/F$23,IF(dpUnit_Land_1="Per Gross Acre",(F138/F$17)/F$25,IF(dpUnit_Land_1="Per Usable Square Foot",(F138/F$16)/F$24,IF(dpUnit_Land_1="Per Gross Square Foot",(F138/F$18)/F$26,IF(dpUnit_Land_1="Per Front Foot",(F138/F$19)/F$27,IF(dpUnit_Land_1="Per Proposed Square Foot",(F138/F$20)/F$28,IF(dpUnit_Land_1="Per Lot",(F138/F$21)/F$29,(F138/F$22)/F$30))))))),IF(dpUnit_Land_1="Per Usable Acre",F139/F$23,IF(dpUnit_Land_1="Per Gross Acre",F139/F$25,IF(dpUnit_Land_1="Per Usable Square Foot",F139/F$24,IF(dpUnit_Land_1="Per Gross Square Foot",F139/F$26,IF(dpUnit_Land_1="Per Front Foot",F139/F$27,IF(dpUnit_Land_1="Per Proposed Square Foot",F139/F$28,IF(dpUnit_Land_1="Per Lot",F139/F$29,F139/F$30)))))))))),IF(Land_AdjType_1="$ per Unit",IF(AND(F137=0,F138=0,F139=0),0,IF(F137&lt;&gt;0,IF(dpUnit_Land_1="Per Usable Acre",F137*F$23,IF(dpUnit_Land_1="Per Gross Acre",F137*F$25,IF(dpUnit_Land_1="Per Usable Square Foot",F137*F$24,IF(dpUnit_Land_1="Per Gross Square Foot",F137*F$26,IF(dpUnit_Land_1="Per Front Foot",F137*F$27,IF(dpUnit_Land_1="Per Proposed Square Foot",F137*F$28,IF(dpUnit_Land_1="Per Lot",F137*F$29,F137*F$30))))))),IF(F138&lt;&gt;0,IF(dpUnit_Land_1="Per Usable Acre",F138/F$15,IF(dpUnit_Land_1="Per Gross Acre",F138/F$17,IF(dpUnit_Land_1="Per Usable Square Foot",F138/F$16,IF(dpUnit_Land_1="Per Gross Square Foot",F138/F$18,IF(dpUnit_Land_1="Per Front Foot",F138/F$19,IF(dpUnit_Land_1="Per Proposed Square Foot",F138/F$20,IF(dpUnit_Land_1="Per Lot",F138/F$21,F138/F$22))))))),F139))),IF(OR(F137&gt;0,F138&gt;0,F139&gt;0),"Inferior",IF(OR(F137&lt;0,F138&lt;0,F139&lt;0),"Superior","Similar"))))</f>
        <v>0</v>
      </c>
      <c r="G136" s="1796">
        <f t="shared" si="44"/>
        <v>0</v>
      </c>
      <c r="H136" s="1796">
        <f t="shared" si="44"/>
        <v>0</v>
      </c>
      <c r="I136" s="1796">
        <f t="shared" si="44"/>
        <v>0</v>
      </c>
      <c r="J136" s="1796">
        <f t="shared" si="44"/>
        <v>0</v>
      </c>
      <c r="K136" s="1958">
        <f t="shared" si="44"/>
        <v>0</v>
      </c>
      <c r="L136" s="763"/>
      <c r="M136" s="74"/>
      <c r="N136" s="32"/>
      <c r="O136" s="32"/>
      <c r="P136" s="32"/>
      <c r="Q136" s="32"/>
      <c r="R136" s="32"/>
      <c r="S136" s="32"/>
      <c r="T136" s="10"/>
      <c r="U136" s="10"/>
      <c r="V136" s="10"/>
      <c r="W136" s="10"/>
      <c r="X136" s="10"/>
      <c r="Y136" s="10"/>
      <c r="Z136" s="10"/>
      <c r="AA136" s="10"/>
      <c r="AB136" s="10"/>
      <c r="AC136" s="10"/>
      <c r="AD136" s="10"/>
      <c r="AE136" s="10"/>
      <c r="AF136" s="10"/>
      <c r="AG136" s="10"/>
      <c r="AH136" s="10"/>
      <c r="AI136" s="10"/>
      <c r="AJ136" s="10"/>
      <c r="AK136" s="10"/>
      <c r="AL136" s="10"/>
      <c r="AM136" s="10"/>
      <c r="AN136" s="10"/>
      <c r="AO136" s="10"/>
    </row>
    <row r="137" spans="1:41" ht="14.25" customHeight="1" x14ac:dyDescent="0.25">
      <c r="A137" s="972">
        <f>IF(A136=2,2,0)</f>
        <v>2</v>
      </c>
      <c r="B137" s="16"/>
      <c r="C137" s="130"/>
      <c r="D137" s="520"/>
      <c r="E137" s="1180" t="s">
        <v>166</v>
      </c>
      <c r="F137" s="1818"/>
      <c r="G137" s="1818"/>
      <c r="H137" s="1818"/>
      <c r="I137" s="1818"/>
      <c r="J137" s="1818"/>
      <c r="K137" s="2848"/>
      <c r="L137" s="136"/>
      <c r="M137" s="74"/>
      <c r="N137" s="32"/>
      <c r="O137" s="32"/>
      <c r="P137" s="32"/>
      <c r="Q137" s="32"/>
      <c r="R137" s="32"/>
      <c r="S137" s="32"/>
      <c r="T137" s="10"/>
      <c r="U137" s="10"/>
      <c r="V137" s="10"/>
      <c r="W137" s="10"/>
      <c r="X137" s="10"/>
      <c r="Y137" s="10"/>
      <c r="Z137" s="10"/>
      <c r="AA137" s="10"/>
      <c r="AB137" s="10"/>
      <c r="AC137" s="10"/>
      <c r="AD137" s="10"/>
      <c r="AE137" s="10"/>
      <c r="AF137" s="10"/>
      <c r="AG137" s="10"/>
      <c r="AH137" s="10"/>
      <c r="AI137" s="10"/>
      <c r="AJ137" s="10"/>
      <c r="AK137" s="10"/>
      <c r="AL137" s="10"/>
      <c r="AM137" s="10"/>
      <c r="AN137" s="10"/>
      <c r="AO137" s="10"/>
    </row>
    <row r="138" spans="1:41" ht="14.25" customHeight="1" x14ac:dyDescent="0.25">
      <c r="A138" s="972">
        <f>IF(A137=2,2,0)</f>
        <v>2</v>
      </c>
      <c r="B138" s="16"/>
      <c r="C138" s="130"/>
      <c r="D138" s="520"/>
      <c r="E138" s="1180" t="s">
        <v>167</v>
      </c>
      <c r="F138" s="1819"/>
      <c r="G138" s="1819"/>
      <c r="H138" s="1819"/>
      <c r="I138" s="1819"/>
      <c r="J138" s="1819"/>
      <c r="K138" s="2849"/>
      <c r="L138" s="1152"/>
      <c r="M138" s="74"/>
      <c r="N138" s="32"/>
      <c r="O138" s="32"/>
      <c r="P138" s="32"/>
      <c r="Q138" s="32"/>
      <c r="R138" s="32"/>
      <c r="S138" s="32"/>
      <c r="T138" s="10"/>
      <c r="U138" s="10"/>
      <c r="V138" s="10"/>
      <c r="W138" s="10"/>
      <c r="X138" s="10"/>
      <c r="Y138" s="10"/>
      <c r="Z138" s="10"/>
      <c r="AA138" s="10"/>
      <c r="AB138" s="10"/>
      <c r="AC138" s="10"/>
      <c r="AD138" s="10"/>
      <c r="AE138" s="10"/>
      <c r="AF138" s="10"/>
      <c r="AG138" s="10"/>
      <c r="AH138" s="10"/>
      <c r="AI138" s="10"/>
      <c r="AJ138" s="10"/>
      <c r="AK138" s="10"/>
      <c r="AL138" s="10"/>
      <c r="AM138" s="10"/>
      <c r="AN138" s="10"/>
      <c r="AO138" s="10"/>
    </row>
    <row r="139" spans="1:41" ht="14.25" customHeight="1" x14ac:dyDescent="0.25">
      <c r="A139" s="972">
        <f>IF(A138=2,2,0)</f>
        <v>2</v>
      </c>
      <c r="B139" s="16"/>
      <c r="C139" s="130"/>
      <c r="D139" s="520"/>
      <c r="E139" s="1180" t="str">
        <f>CONCATENATE("Enter $/",dpUnit_Land," Adj.")</f>
        <v>Enter $/per Usable Square Foot Adj.</v>
      </c>
      <c r="F139" s="1820"/>
      <c r="G139" s="1820"/>
      <c r="H139" s="1820"/>
      <c r="I139" s="1820"/>
      <c r="J139" s="1820"/>
      <c r="K139" s="2850"/>
      <c r="L139" s="1153"/>
      <c r="M139" s="74"/>
      <c r="N139" s="32"/>
      <c r="O139" s="32"/>
      <c r="P139" s="32"/>
      <c r="Q139" s="32"/>
      <c r="R139" s="32"/>
      <c r="S139" s="32"/>
      <c r="T139" s="10"/>
      <c r="U139" s="10"/>
      <c r="V139" s="10"/>
      <c r="W139" s="10"/>
      <c r="X139" s="10"/>
      <c r="Y139" s="10"/>
      <c r="Z139" s="10"/>
      <c r="AA139" s="10"/>
      <c r="AB139" s="10"/>
      <c r="AC139" s="10"/>
      <c r="AD139" s="10"/>
      <c r="AE139" s="10"/>
      <c r="AF139" s="10"/>
      <c r="AG139" s="10"/>
      <c r="AH139" s="10"/>
      <c r="AI139" s="10"/>
      <c r="AJ139" s="10"/>
      <c r="AK139" s="10"/>
      <c r="AL139" s="10"/>
      <c r="AM139" s="10"/>
      <c r="AN139" s="10"/>
      <c r="AO139" s="10"/>
    </row>
    <row r="140" spans="1:41" ht="14.25" customHeight="1" x14ac:dyDescent="0.25">
      <c r="A140" s="972">
        <f>IF(Land_AdjType_1="Qualitative",0,1)</f>
        <v>1</v>
      </c>
      <c r="B140" s="16"/>
      <c r="C140" s="130"/>
      <c r="D140" s="520" t="str">
        <f>IF(Land_AdjType&lt;&gt;"Qualitative","Net Physical Adjustment","Net Relative Comparison")</f>
        <v>Net Physical Adjustment</v>
      </c>
      <c r="E140" s="765"/>
      <c r="F140" s="1832">
        <f t="shared" ref="F140:K140" si="45">IF(Land_AdjType_1&lt;&gt;"Qualitative",SUM(F67,F74,F80,F86,F94,F100,F106,F112,F118,F124,F130,F136),SUM(F63,F71,F78,F84,F90,F98,F104,F110,F116,F128,F134))</f>
        <v>0</v>
      </c>
      <c r="G140" s="1832">
        <f t="shared" si="45"/>
        <v>0</v>
      </c>
      <c r="H140" s="1832">
        <f t="shared" si="45"/>
        <v>0</v>
      </c>
      <c r="I140" s="1832">
        <f t="shared" si="45"/>
        <v>0</v>
      </c>
      <c r="J140" s="1832">
        <f t="shared" si="45"/>
        <v>0</v>
      </c>
      <c r="K140" s="2857">
        <f t="shared" si="45"/>
        <v>0</v>
      </c>
      <c r="L140" s="763"/>
      <c r="M140" s="74"/>
      <c r="N140" s="32"/>
      <c r="O140" s="32"/>
      <c r="P140" s="32"/>
      <c r="Q140" s="32"/>
      <c r="R140" s="32"/>
      <c r="S140" s="32"/>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row>
    <row r="141" spans="1:41" ht="14.25" customHeight="1" x14ac:dyDescent="0.25">
      <c r="A141" s="972">
        <v>0</v>
      </c>
      <c r="B141" s="4"/>
      <c r="C141" s="101"/>
      <c r="D141" s="520" t="str">
        <f>IF(Land_AdjType&lt;&gt;"Qualitative","Gross Physical Adjustment","Gross Relative Comparison")</f>
        <v>Gross Physical Adjustment</v>
      </c>
      <c r="E141" s="137"/>
      <c r="F141" s="1796">
        <f t="shared" ref="F141:K141" si="46">IF(Land_AdjType_1&lt;&gt;"Qualitative",SUM(ABS(F67),ABS(F74),ABS(F80),ABS(F86),ABS(F94),ABS(F100),ABS(F106),ABS(F112),ABS(F118),ABS(F124),ABS(F130),ABS(F136)),SUM(ABS(F63),ABS(F71),ABS(F78),ABS(F84),ABS(F90),ABS(F98),ABS(F104),ABS(F110),ABS(F116),ABS(F128),ABS(F134)))</f>
        <v>0</v>
      </c>
      <c r="G141" s="1796">
        <f t="shared" si="46"/>
        <v>0</v>
      </c>
      <c r="H141" s="1796">
        <f t="shared" si="46"/>
        <v>0</v>
      </c>
      <c r="I141" s="1796">
        <f t="shared" si="46"/>
        <v>0</v>
      </c>
      <c r="J141" s="1796">
        <f t="shared" si="46"/>
        <v>0</v>
      </c>
      <c r="K141" s="1958">
        <f t="shared" si="46"/>
        <v>0</v>
      </c>
      <c r="L141" s="763"/>
      <c r="M141" s="74"/>
      <c r="N141" s="32"/>
      <c r="O141" s="32"/>
      <c r="P141" s="32"/>
      <c r="Q141" s="32"/>
      <c r="R141" s="32"/>
      <c r="S141" s="32"/>
      <c r="T141" s="10"/>
      <c r="U141" s="10"/>
      <c r="V141" s="10"/>
      <c r="W141" s="10"/>
      <c r="X141" s="10"/>
      <c r="Y141" s="10"/>
      <c r="Z141" s="10"/>
      <c r="AA141" s="10"/>
      <c r="AB141" s="10"/>
      <c r="AC141" s="10"/>
      <c r="AD141" s="10"/>
      <c r="AE141" s="10"/>
      <c r="AF141" s="10"/>
      <c r="AG141" s="10"/>
      <c r="AH141" s="10"/>
      <c r="AI141" s="10"/>
      <c r="AJ141" s="10"/>
      <c r="AK141" s="10"/>
      <c r="AL141" s="10"/>
      <c r="AM141" s="10"/>
      <c r="AN141" s="10"/>
      <c r="AO141" s="10"/>
    </row>
    <row r="142" spans="1:41" ht="14.25" customHeight="1" x14ac:dyDescent="0.25">
      <c r="A142" s="972">
        <f>IF(Land_AdjType_1="Qualitative",1,0)</f>
        <v>0</v>
      </c>
      <c r="B142" s="16"/>
      <c r="C142" s="130"/>
      <c r="D142" s="1497" t="s">
        <v>1128</v>
      </c>
      <c r="E142" s="765"/>
      <c r="F142" s="1833" t="str">
        <f t="shared" ref="F142:K142" si="47">IF(SUM(F63,F71,F78,F84,F90,F98,F104,F110,F116,F122,F128,F134)&gt;0,"Inferior",IF(SUM(F63,F71,F78,F84,F90,F98,F104,F110,F116,F122,F128,F134)&lt;0,"Superior","Similar"))</f>
        <v>Similar</v>
      </c>
      <c r="G142" s="1833" t="str">
        <f t="shared" si="47"/>
        <v>Similar</v>
      </c>
      <c r="H142" s="1833" t="str">
        <f t="shared" si="47"/>
        <v>Similar</v>
      </c>
      <c r="I142" s="1833" t="str">
        <f t="shared" si="47"/>
        <v>Similar</v>
      </c>
      <c r="J142" s="1833" t="str">
        <f t="shared" si="47"/>
        <v>Similar</v>
      </c>
      <c r="K142" s="2858" t="str">
        <f t="shared" si="47"/>
        <v>Similar</v>
      </c>
      <c r="L142" s="1171"/>
      <c r="M142" s="74"/>
      <c r="N142" s="32"/>
      <c r="O142" s="32"/>
      <c r="P142" s="32"/>
      <c r="Q142" s="32"/>
      <c r="R142" s="32"/>
      <c r="S142" s="32"/>
      <c r="T142" s="10"/>
      <c r="U142" s="10"/>
      <c r="V142" s="10"/>
      <c r="W142" s="10"/>
      <c r="X142" s="10"/>
      <c r="Y142" s="10"/>
      <c r="Z142" s="10"/>
      <c r="AA142" s="10"/>
      <c r="AB142" s="10"/>
      <c r="AC142" s="10"/>
      <c r="AD142" s="10"/>
      <c r="AE142" s="10"/>
      <c r="AF142" s="10"/>
      <c r="AG142" s="10"/>
      <c r="AH142" s="10"/>
      <c r="AI142" s="10"/>
      <c r="AJ142" s="10"/>
      <c r="AK142" s="10"/>
      <c r="AL142" s="10"/>
      <c r="AM142" s="10"/>
      <c r="AN142" s="10"/>
      <c r="AO142" s="10"/>
    </row>
    <row r="143" spans="1:41" ht="20.100000000000001" customHeight="1" thickBot="1" x14ac:dyDescent="0.3">
      <c r="A143" s="972">
        <f>IF(Land_AdjType_1="Qualitative",0,1)</f>
        <v>1</v>
      </c>
      <c r="B143" s="16"/>
      <c r="C143" s="130"/>
      <c r="D143" s="1504" t="str">
        <f>CONCATENATE("Adjusted Sales Price ",dpUnit_Land_1)</f>
        <v>Adjusted Sales Price per Usable Square Foot</v>
      </c>
      <c r="E143" s="1173"/>
      <c r="F143" s="1834" t="e">
        <f t="shared" ref="F143:K143" si="48">IF(Land_AdjType_1="Percent",F62*(1+F140),IF(Land_AdjType_1="$ per Unit",F62+F140,""))</f>
        <v>#DIV/0!</v>
      </c>
      <c r="G143" s="1834" t="e">
        <f t="shared" si="48"/>
        <v>#DIV/0!</v>
      </c>
      <c r="H143" s="1834" t="e">
        <f t="shared" si="48"/>
        <v>#DIV/0!</v>
      </c>
      <c r="I143" s="1834" t="e">
        <f t="shared" si="48"/>
        <v>#DIV/0!</v>
      </c>
      <c r="J143" s="1834" t="e">
        <f t="shared" si="48"/>
        <v>#DIV/0!</v>
      </c>
      <c r="K143" s="2859" t="e">
        <f t="shared" si="48"/>
        <v>#DIV/0!</v>
      </c>
      <c r="L143" s="1172"/>
      <c r="M143" s="74"/>
      <c r="N143" s="32"/>
      <c r="O143" s="32"/>
      <c r="P143" s="32"/>
      <c r="Q143" s="32"/>
      <c r="R143" s="32"/>
      <c r="S143" s="32"/>
      <c r="T143" s="10"/>
      <c r="U143" s="10"/>
      <c r="V143" s="10"/>
      <c r="W143" s="10"/>
      <c r="X143" s="10"/>
      <c r="Y143" s="10"/>
      <c r="Z143" s="10"/>
      <c r="AA143" s="10"/>
      <c r="AB143" s="10"/>
      <c r="AC143" s="10"/>
      <c r="AD143" s="10"/>
      <c r="AE143" s="10"/>
      <c r="AF143" s="10"/>
      <c r="AG143" s="10"/>
      <c r="AH143" s="10"/>
      <c r="AI143" s="10"/>
      <c r="AJ143" s="10"/>
      <c r="AK143" s="10"/>
      <c r="AL143" s="10"/>
      <c r="AM143" s="10"/>
      <c r="AN143" s="10"/>
      <c r="AO143" s="10"/>
    </row>
    <row r="144" spans="1:41" ht="14.25" customHeight="1" thickBot="1" x14ac:dyDescent="0.3">
      <c r="A144" s="972">
        <v>1</v>
      </c>
      <c r="B144" s="95"/>
      <c r="C144" s="75"/>
      <c r="D144" s="552" t="s">
        <v>1554</v>
      </c>
      <c r="E144" s="78"/>
      <c r="F144" s="1835"/>
      <c r="G144" s="1835"/>
      <c r="H144" s="1835"/>
      <c r="I144" s="1835"/>
      <c r="J144" s="1835"/>
      <c r="K144" s="2860"/>
      <c r="L144" s="78"/>
      <c r="M144" s="76"/>
      <c r="N144" s="32"/>
      <c r="O144" s="32"/>
      <c r="P144" s="32"/>
      <c r="Q144" s="32"/>
      <c r="R144" s="32"/>
      <c r="S144" s="32"/>
      <c r="T144" s="10"/>
      <c r="U144" s="10"/>
      <c r="V144" s="10"/>
      <c r="W144" s="10"/>
      <c r="X144" s="10"/>
      <c r="Y144" s="10"/>
      <c r="Z144" s="10"/>
      <c r="AA144" s="10"/>
      <c r="AB144" s="10"/>
      <c r="AC144" s="10"/>
      <c r="AD144" s="10"/>
      <c r="AE144" s="10"/>
      <c r="AF144" s="10"/>
      <c r="AG144" s="10"/>
      <c r="AH144" s="10"/>
      <c r="AI144" s="10"/>
      <c r="AJ144" s="10"/>
      <c r="AK144" s="10"/>
      <c r="AL144" s="10"/>
      <c r="AM144" s="10"/>
      <c r="AN144" s="10"/>
      <c r="AO144" s="10"/>
    </row>
    <row r="145" spans="1:41" ht="15" customHeight="1" x14ac:dyDescent="0.25">
      <c r="A145" s="972">
        <v>1</v>
      </c>
      <c r="B145" s="11"/>
      <c r="C145" s="42"/>
      <c r="D145" s="569"/>
      <c r="E145" s="54"/>
      <c r="F145" s="1836"/>
      <c r="G145" s="1836"/>
      <c r="H145" s="1836"/>
      <c r="I145" s="1836"/>
      <c r="J145" s="1836"/>
      <c r="K145" s="2861"/>
      <c r="L145" s="54"/>
      <c r="M145" s="42"/>
      <c r="N145" s="32"/>
      <c r="O145" s="561"/>
      <c r="P145" s="562"/>
      <c r="Q145" s="562"/>
      <c r="R145" s="562"/>
      <c r="S145" s="562"/>
      <c r="T145" s="2"/>
      <c r="U145" s="2"/>
      <c r="V145" s="2"/>
      <c r="W145" s="2"/>
      <c r="X145" s="2"/>
      <c r="Y145" s="2"/>
      <c r="Z145" s="3"/>
      <c r="AA145" s="10"/>
      <c r="AB145" s="10"/>
      <c r="AC145" s="10"/>
      <c r="AD145" s="10"/>
      <c r="AE145" s="1"/>
      <c r="AF145" s="2"/>
      <c r="AG145" s="2"/>
      <c r="AH145" s="123"/>
      <c r="AI145" s="2"/>
      <c r="AJ145" s="2"/>
      <c r="AK145" s="3"/>
      <c r="AL145" s="10"/>
      <c r="AM145" s="10"/>
      <c r="AN145" s="10"/>
      <c r="AO145" s="10"/>
    </row>
    <row r="146" spans="1:41" ht="16.5" customHeight="1" x14ac:dyDescent="0.3">
      <c r="A146" s="977">
        <v>1</v>
      </c>
      <c r="B146" s="336"/>
      <c r="C146" s="570"/>
      <c r="D146" s="571"/>
      <c r="E146" s="572"/>
      <c r="F146" s="1837"/>
      <c r="G146" s="1837"/>
      <c r="H146" s="1837"/>
      <c r="I146" s="1837"/>
      <c r="J146" s="1837"/>
      <c r="K146" s="2862"/>
      <c r="L146" s="572"/>
      <c r="M146" s="570"/>
      <c r="N146" s="566"/>
      <c r="O146" s="567"/>
      <c r="P146" s="246"/>
      <c r="Q146" s="568" t="str">
        <f>CONCATENATE("Land Sale Statistics - ",dpLand_TractNameB1)</f>
        <v xml:space="preserve">Land Sale Statistics - </v>
      </c>
      <c r="R146" s="568"/>
      <c r="S146" s="568"/>
      <c r="T146" s="246"/>
      <c r="U146" s="246"/>
      <c r="V146" s="246"/>
      <c r="W146" s="246"/>
      <c r="X146" s="246"/>
      <c r="Y146" s="246"/>
      <c r="Z146" s="338"/>
      <c r="AA146" s="129"/>
      <c r="AB146" s="129"/>
      <c r="AC146" s="129"/>
      <c r="AD146" s="129"/>
      <c r="AE146" s="4"/>
      <c r="AF146" s="5"/>
      <c r="AG146" s="246" t="s">
        <v>1619</v>
      </c>
      <c r="AH146" s="19"/>
      <c r="AI146" s="5"/>
      <c r="AJ146" s="5"/>
      <c r="AK146" s="6"/>
      <c r="AL146" s="129"/>
      <c r="AM146" s="129"/>
      <c r="AN146" s="129"/>
      <c r="AO146" s="129"/>
    </row>
    <row r="147" spans="1:41" ht="15" customHeight="1" x14ac:dyDescent="0.25">
      <c r="A147" s="972">
        <v>1</v>
      </c>
      <c r="B147" s="11"/>
      <c r="C147" s="42"/>
      <c r="D147" s="569"/>
      <c r="E147" s="54"/>
      <c r="F147" s="1836"/>
      <c r="G147" s="1836"/>
      <c r="H147" s="1836"/>
      <c r="I147" s="1836"/>
      <c r="J147" s="1836"/>
      <c r="K147" s="2861"/>
      <c r="L147" s="54"/>
      <c r="M147" s="42"/>
      <c r="N147" s="32"/>
      <c r="O147" s="563"/>
      <c r="P147" s="150"/>
      <c r="Q147" s="12" t="s">
        <v>942</v>
      </c>
      <c r="R147" s="12"/>
      <c r="S147" s="12"/>
      <c r="T147" s="55" t="s">
        <v>655</v>
      </c>
      <c r="U147" s="55"/>
      <c r="V147" s="55" t="s">
        <v>1370</v>
      </c>
      <c r="W147" s="55"/>
      <c r="X147" s="55" t="s">
        <v>128</v>
      </c>
      <c r="Y147" s="150"/>
      <c r="Z147" s="6"/>
      <c r="AA147" s="10"/>
      <c r="AB147" s="10"/>
      <c r="AC147" s="10"/>
      <c r="AD147" s="10"/>
      <c r="AE147" s="4"/>
      <c r="AF147" s="12"/>
      <c r="AG147" s="12" t="s">
        <v>232</v>
      </c>
      <c r="AH147" s="55"/>
      <c r="AI147" s="55" t="s">
        <v>331</v>
      </c>
      <c r="AJ147" s="12"/>
      <c r="AK147" s="6"/>
      <c r="AL147" s="10"/>
      <c r="AM147" s="10"/>
      <c r="AN147" s="10"/>
      <c r="AO147" s="10"/>
    </row>
    <row r="148" spans="1:41" ht="14.25" customHeight="1" x14ac:dyDescent="0.25">
      <c r="A148" s="972">
        <v>1</v>
      </c>
      <c r="B148" s="11"/>
      <c r="C148" s="42"/>
      <c r="D148" s="569"/>
      <c r="E148" s="54"/>
      <c r="F148" s="1836"/>
      <c r="G148" s="1836"/>
      <c r="H148" s="1836"/>
      <c r="I148" s="1836"/>
      <c r="J148" s="1836"/>
      <c r="K148" s="2861"/>
      <c r="L148" s="54"/>
      <c r="M148" s="42"/>
      <c r="N148" s="32"/>
      <c r="O148" s="563"/>
      <c r="P148" s="114"/>
      <c r="Q148" s="130" t="str">
        <f>CONCATENATE("Minimum Sales Price ",dpUnit_Land_1)</f>
        <v>Minimum Sales Price per Usable Square Foot</v>
      </c>
      <c r="R148" s="130"/>
      <c r="S148" s="130"/>
      <c r="T148" s="1174" t="e">
        <f>IF(dpUnit_Land_1="per Usable Acre",TEXT(MIN(Land_UnAdjustedRange_Usable_Per_Acre_1),"$#,000"),IF(dpUnit_Land_1="per Usable Square Foot",TEXT(MIN(Land_UnAdjustedRange_Usable_PSF_1),"$0.00"),IF(dpUnit_Land_1="per Gross Acre",TEXT(MIN(Land_UnAdjustedRange_Gross_Per_Acre_1),"$#,000"),IF(dpUnit_Land_1="per Gross Square Foot",TEXT(MIN(Land_UnAdjustedRange_Gross_PSF_1),"$0.00"),IF(dpUnit_Land_1="per Front Foot",TEXT(MIN(Land_UnAdjustedRange_Front_Foot_1),"$#,000"),IF(dpUnit_Land_1="per Proposed Square Foot",TEXT(MIN(Land_UnAdjustedRange_Proposed_SF_1),"$0.00"),IF(dpUnit_Land_1="per Lot",TEXT(MIN(Land_UnAdjustedRange_Lot_1),"$#,##0"),TEXT(MIN(Land_UnAdjustedRange_Unit_1),"$#,##0"))))))))</f>
        <v>#DIV/0!</v>
      </c>
      <c r="U148" s="1174"/>
      <c r="V148" s="1180" t="e">
        <f>IF(OR(dpUnit_Land_1="per Usable Square Foot",dpUnit_Land_1="per Gross Square Foot",dpUnit_Land_1="per Proposed Square Foot"),TEXT(MIN(Land_AdjPrice2_1),"$0.00"),TEXT(MIN(Land_AdjPrice2_1),"$#,000"))</f>
        <v>#DIV/0!</v>
      </c>
      <c r="W148" s="1180"/>
      <c r="X148" s="1180" t="e">
        <f>IF(Land_AdjType_1="Qualitative","N/A",IF(OR(dpUnit_Land_1="per Usable Square Foot",dpUnit_Land_1="per Gross Square Foot",dpUnit_Land_1="per Proposed Square Foot"),TEXT(MIN(Land_FinalAdjustedRange_1),"$0.00"),TEXT(MIN(Land_FinalAdjustedRange_1),"$#,000")))</f>
        <v>#DIV/0!</v>
      </c>
      <c r="Y148" s="101"/>
      <c r="Z148" s="6"/>
      <c r="AA148" s="10"/>
      <c r="AB148" s="10"/>
      <c r="AC148" s="10"/>
      <c r="AD148" s="10"/>
      <c r="AE148" s="4"/>
      <c r="AF148" s="101"/>
      <c r="AG148" s="1278" t="s">
        <v>1620</v>
      </c>
      <c r="AH148" s="1704"/>
      <c r="AI148" s="1904">
        <f>Subject_GBA</f>
        <v>220514</v>
      </c>
      <c r="AJ148" s="101"/>
      <c r="AK148" s="6"/>
      <c r="AL148" s="10"/>
      <c r="AM148" s="10"/>
      <c r="AN148" s="10"/>
      <c r="AO148" s="10"/>
    </row>
    <row r="149" spans="1:41" ht="14.25" customHeight="1" x14ac:dyDescent="0.25">
      <c r="A149" s="972">
        <v>1</v>
      </c>
      <c r="B149" s="11"/>
      <c r="C149" s="42"/>
      <c r="D149" s="569"/>
      <c r="E149" s="54"/>
      <c r="F149" s="1836"/>
      <c r="G149" s="1836"/>
      <c r="H149" s="1836"/>
      <c r="I149" s="1836"/>
      <c r="J149" s="1836"/>
      <c r="K149" s="2861"/>
      <c r="L149" s="54"/>
      <c r="M149" s="42"/>
      <c r="N149" s="32"/>
      <c r="O149" s="563"/>
      <c r="P149" s="114"/>
      <c r="Q149" s="130" t="str">
        <f>CONCATENATE("Maximum Sales Price ",dpUnit_Land_1)</f>
        <v>Maximum Sales Price per Usable Square Foot</v>
      </c>
      <c r="R149" s="130"/>
      <c r="S149" s="130"/>
      <c r="T149" s="1174" t="e">
        <f>IF(dpUnit_Land_1="per Usable Acre",TEXT(MAX(Land_UnAdjustedRange_Usable_Per_Acre_1),"$#,000"),IF(dpUnit_Land_1="per Usable Square Foot",TEXT(MAX(Land_UnAdjustedRange_Usable_PSF_1),"$0.00"),IF(dpUnit_Land_1="per Gross Acre",TEXT(MAX(Land_UnAdjustedRange_Gross_Per_Acre_1),"$#,000"),IF(dpUnit_Land_1="per Gross Square Foot",TEXT(MAX(Land_UnAdjustedRange_Gross_PSF_1),"$0.00"),IF(dpUnit_Land_1="per Front Foot",TEXT(MAX(Land_UnAdjustedRange_Front_Foot_1),"$#,000"),IF(dpUnit_Land_1="per Proposed Square Foot",TEXT(MAX(Land_UnAdjustedRange_Proposed_SF_1),"$0.00"),IF(dpUnit_Land_1="per Lot",TEXT(MAX(Land_UnAdjustedRange_Lot_1),"$#,##0"),TEXT(MAX(Land_UnAdjustedRange_Unit_1),"$#,##0"))))))))</f>
        <v>#DIV/0!</v>
      </c>
      <c r="U149" s="1174"/>
      <c r="V149" s="1180" t="e">
        <f>IF(OR(dpUnit_Land_1="per Usable Square Foot",dpUnit_Land_1="per Gross Square Foot",dpUnit_Land_1="per Proposed Square Foot"),TEXT(MAX(Land_AdjPrice2_1),"$0.00"),TEXT(MAX(Land_AdjPrice2_1),"$#,000"))</f>
        <v>#DIV/0!</v>
      </c>
      <c r="W149" s="1180"/>
      <c r="X149" s="1180" t="e">
        <f>IF(Land_AdjType_1="Qualitative","N/A",IF(OR(dpUnit_Land_1="Per Usable Square Foot",dpUnit_Land_1="Per Gross Square Foot",dpUnit_Land_1="per Proposed Square Foot"),TEXT(MAX(Land_FinalAdjustedRange_1),"$0.00"),TEXT(MAX(Land_FinalAdjustedRange_1),"$#,000")))</f>
        <v>#DIV/0!</v>
      </c>
      <c r="Y149" s="101"/>
      <c r="Z149" s="6"/>
      <c r="AA149" s="10"/>
      <c r="AB149" s="10"/>
      <c r="AC149" s="10"/>
      <c r="AD149" s="10"/>
      <c r="AE149" s="4"/>
      <c r="AF149" s="101"/>
      <c r="AG149" s="1278" t="s">
        <v>1621</v>
      </c>
      <c r="AH149" s="1704" t="s">
        <v>176</v>
      </c>
      <c r="AI149" s="1905">
        <v>3</v>
      </c>
      <c r="AJ149" s="101"/>
      <c r="AK149" s="6"/>
      <c r="AL149" s="10"/>
      <c r="AM149" s="10"/>
      <c r="AN149" s="10"/>
      <c r="AO149" s="10"/>
    </row>
    <row r="150" spans="1:41" ht="14.25" customHeight="1" thickBot="1" x14ac:dyDescent="0.3">
      <c r="A150" s="972">
        <v>1</v>
      </c>
      <c r="B150" s="11"/>
      <c r="C150" s="42"/>
      <c r="D150" s="569"/>
      <c r="E150" s="54"/>
      <c r="F150" s="1836"/>
      <c r="G150" s="1836"/>
      <c r="H150" s="1836"/>
      <c r="I150" s="1836"/>
      <c r="J150" s="1836"/>
      <c r="K150" s="2861"/>
      <c r="L150" s="54"/>
      <c r="M150" s="42"/>
      <c r="N150" s="32"/>
      <c r="O150" s="563"/>
      <c r="P150" s="114"/>
      <c r="Q150" s="130" t="str">
        <f>CONCATENATE("Median Sales Price ",dpUnit_Land_1)</f>
        <v>Median Sales Price per Usable Square Foot</v>
      </c>
      <c r="R150" s="130"/>
      <c r="S150" s="130"/>
      <c r="T150" s="1174" t="e">
        <f>IF(dpUnit_Land_1="per Usable Acre",TEXT(MEDIAN(Land_UnAdjustedRange_Usable_Per_Acre_1),"$#,000"),IF(dpUnit_Land_1="per Usable Square Foot",TEXT(MEDIAN(Land_UnAdjustedRange_Usable_PSF_1),"$0.00"),IF(dpUnit_Land_1="per Gross Acre",TEXT(MEDIAN(Land_UnAdjustedRange_Gross_Per_Acre_1),"$#,000"),IF(dpUnit_Land_1="per Gross Square Foot",TEXT(MEDIAN(Land_UnAdjustedRange_Gross_PSF_1),"$0.00"),IF(dpUnit_Land_1="per Front Foot",TEXT(MEDIAN(Land_UnAdjustedRange_Front_Foot_1),"$#,000"),IF(dpUnit_Land_1="per Proposed Square Foot",TEXT(MEDIAN(Land_UnAdjustedRange_Proposed_SF_1),"$0.00"),IF(dpUnit_Land_1="per Lot",TEXT(MEDIAN(Land_UnAdjustedRange_Lot_1),"$#,##0"),TEXT(MEDIAN(Land_UnAdjustedRange_Unit_1),"$#,##0"))))))))</f>
        <v>#DIV/0!</v>
      </c>
      <c r="U150" s="1174"/>
      <c r="V150" s="1180" t="e">
        <f>IF(OR(dpUnit_Land_1="per Usable Square Foot",dpUnit_Land_1="per Gross Square Foot",dpUnit_Land_1="per Proposed Square Foot"),TEXT(MEDIAN(Land_AdjPrice2_1),"$0.00"),TEXT(MEDIAN(Land_AdjPrice2_1),"$#,000"))</f>
        <v>#DIV/0!</v>
      </c>
      <c r="W150" s="1180"/>
      <c r="X150" s="1180" t="e">
        <f>IF(Land_AdjType_1="Qualitative","N/A",IF(OR(dpUnit_Land_1="Per Usable Square Foot",dpUnit_Land_1="Per Gross Square Foot",dpUnit_Land_1="per Proposed Square Foot"),TEXT(MEDIAN(Land_FinalAdjustedRange_1),"$0.00"),TEXT(MEDIAN(Land_FinalAdjustedRange_1),"$#,000")))</f>
        <v>#DIV/0!</v>
      </c>
      <c r="Y150" s="101"/>
      <c r="Z150" s="6"/>
      <c r="AA150" s="10"/>
      <c r="AB150" s="10"/>
      <c r="AC150" s="10"/>
      <c r="AD150" s="10"/>
      <c r="AE150" s="4"/>
      <c r="AF150" s="101"/>
      <c r="AG150" s="1713" t="s">
        <v>1622</v>
      </c>
      <c r="AH150" s="1715" t="s">
        <v>176</v>
      </c>
      <c r="AI150" s="1907">
        <v>1.1499999999999999</v>
      </c>
      <c r="AJ150" s="101"/>
      <c r="AK150" s="6"/>
      <c r="AL150" s="10"/>
      <c r="AM150" s="10"/>
      <c r="AN150" s="10"/>
      <c r="AO150" s="10"/>
    </row>
    <row r="151" spans="1:41" ht="14.25" customHeight="1" thickBot="1" x14ac:dyDescent="0.3">
      <c r="A151" s="972">
        <v>1</v>
      </c>
      <c r="B151" s="11"/>
      <c r="C151" s="42"/>
      <c r="D151" s="569"/>
      <c r="E151" s="54"/>
      <c r="F151" s="1836"/>
      <c r="G151" s="1836"/>
      <c r="H151" s="1836"/>
      <c r="I151" s="1836"/>
      <c r="J151" s="1836"/>
      <c r="K151" s="2861"/>
      <c r="L151" s="54"/>
      <c r="M151" s="42"/>
      <c r="N151" s="32"/>
      <c r="O151" s="563"/>
      <c r="P151" s="114"/>
      <c r="Q151" s="99" t="str">
        <f>CONCATENATE("Mean Sales Price ",dpUnit_Land_1)</f>
        <v>Mean Sales Price per Usable Square Foot</v>
      </c>
      <c r="R151" s="99"/>
      <c r="S151" s="99"/>
      <c r="T151" s="1175" t="e">
        <f>IF(dpUnit_Land_1="per Usable Acre",TEXT(AVERAGE(Land_UnAdjustedRange_Usable_Per_Acre_1),"$#,000"),IF(dpUnit_Land_1="per Usable Square Foot",TEXT(AVERAGE(Land_UnAdjustedRange_Usable_PSF_1),"$0.00"),IF(dpUnit_Land_1="per Gross Acre",TEXT(AVERAGE(Land_UnAdjustedRange_Gross_Per_Acre_1),"$#,000"),IF(dpUnit_Land_1="per Gross Square Foot",TEXT(AVERAGE(Land_UnAdjustedRange_Gross_PSF_1),"$0.00"),IF(dpUnit_Land_1="per Front Foot",TEXT(AVERAGE(Land_UnAdjustedRange_Front_Foot_1),"$#,000"),IF(dpUnit_Land_1="per Proposed Square Foot",TEXT(AVERAGE(Land_UnAdjustedRange_Proposed_SF_1),"$0.00"),IF(dpUnit_Land_1="per Lot",TEXT(AVERAGE(Land_UnAdjustedRange_Lot_1),"$#,##0"),TEXT(AVERAGE(Land_UnAdjustedRange_Unit_1),"$#,##0"))))))))</f>
        <v>#DIV/0!</v>
      </c>
      <c r="U151" s="1175"/>
      <c r="V151" s="1633" t="e">
        <f>IF(OR(dpUnit_Land_1="per Usable Square Foot",dpUnit_Land_1="per Gross Square Foot",dpUnit_Land_1="per Proposed Square Foot"),TEXT(AVERAGE(Land_AdjPrice2_1),"$0.00"),TEXT(AVERAGE(Land_AdjPrice2_1),"$#,000"))</f>
        <v>#DIV/0!</v>
      </c>
      <c r="W151" s="1633"/>
      <c r="X151" s="1633" t="e">
        <f>IF(Land_AdjType_1="Qualitative","N/A",IF(OR(dpUnit_Land_1="Per Usable Square Foot",dpUnit_Land_1="Per Gross Square Foot",dpUnit_Land_1="per Proposed Square Foot"),TEXT(AVERAGE(Land_FinalAdjustedRange_1),"$0.00"),TEXT(AVERAGE(Land_FinalAdjustedRange_1),"$#,000")))</f>
        <v>#DIV/0!</v>
      </c>
      <c r="Y151" s="101"/>
      <c r="Z151" s="6"/>
      <c r="AA151" s="10"/>
      <c r="AB151" s="10"/>
      <c r="AC151" s="10"/>
      <c r="AD151" s="10"/>
      <c r="AE151" s="4"/>
      <c r="AF151" s="101"/>
      <c r="AG151" s="1188" t="s">
        <v>1623</v>
      </c>
      <c r="AH151" s="1710"/>
      <c r="AI151" s="1213">
        <f>MROUND(AI148*AI149*AI150,INDEX(Rounding_Options,MATCH(AN151,Rounding_Label,0),2))</f>
        <v>760000</v>
      </c>
      <c r="AJ151" s="101"/>
      <c r="AK151" s="6"/>
      <c r="AL151" s="10"/>
      <c r="AM151" s="150" t="s">
        <v>991</v>
      </c>
      <c r="AN151" s="702" t="s">
        <v>1036</v>
      </c>
      <c r="AO151" s="10"/>
    </row>
    <row r="152" spans="1:41" ht="14.25" customHeight="1" thickBot="1" x14ac:dyDescent="0.3">
      <c r="A152" s="972">
        <v>1</v>
      </c>
      <c r="B152" s="11"/>
      <c r="C152" s="42"/>
      <c r="D152" s="569"/>
      <c r="E152" s="54"/>
      <c r="F152" s="1836"/>
      <c r="G152" s="1836"/>
      <c r="H152" s="1836"/>
      <c r="I152" s="1836"/>
      <c r="J152" s="1836"/>
      <c r="K152" s="2861"/>
      <c r="L152" s="54"/>
      <c r="M152" s="42"/>
      <c r="N152" s="32"/>
      <c r="O152" s="563"/>
      <c r="P152" s="52"/>
      <c r="Q152" s="448" t="s">
        <v>958</v>
      </c>
      <c r="R152" s="18"/>
      <c r="S152" s="18"/>
      <c r="T152" s="892" t="e">
        <f>IF(dpUnit_Land_1="per Usable Acre",STDEV(Land_UnAdjustedRange_Usable_Per_Acre_1),IF(dpUnit_Land_1="per Usable Square Foot",STDEV(Land_UnAdjustedRange_Usable_PSF_1),IF(dpUnit_Land_1="per Gross Acre",STDEV(Land_UnAdjustedRange_Gross_Per_Acre_1),IF(dpUnit_Land_1="per Gross Square Foot",STDEV(Land_UnAdjustedRange_Gross_PSF_1),IF(dpUnit_Land_1="per Front Foot",STDEV(Land_UnAdjustedRange_Front_Foot_1),IF(dpUnit_Land_1="per Proposed Square Foot",STDEV(Land_UnAdjustedRange_Proposed_SF_1),IF(dpUnit_Land_1="per Lot",STDEV(Land_UnAdjustedRange_Lot_1),STDEV(Land_UnAdjustedRange_Unit_1))))))))</f>
        <v>#DIV/0!</v>
      </c>
      <c r="U152" s="892"/>
      <c r="V152" s="893" t="e">
        <f>IF(Land_AdjType_1="Qualitative","N/A",IF(OR(dpUnit_Land_1="per Usable Square Foot",dpUnit_Land_1="per Gross Square Foot"),STDEV(Land_AdjPrice2_1),STDEV(Land_AdjPrice2_1)))</f>
        <v>#DIV/0!</v>
      </c>
      <c r="W152" s="893"/>
      <c r="X152" s="893" t="e">
        <f>IF(Land_AdjType_1="Qualitative","N/A",IF(OR(dpUnit_Land_1="per Usable Square Foot",dpUnit_Land_1="per Gross Square Foot"),STDEV(Land_FinalAdjustedRange_1),STDEV(Land_FinalAdjustedRange_1)))</f>
        <v>#DIV/0!</v>
      </c>
      <c r="Y152" s="5"/>
      <c r="Z152" s="6"/>
      <c r="AA152" s="10"/>
      <c r="AB152" s="10"/>
      <c r="AC152" s="10"/>
      <c r="AD152" s="10"/>
      <c r="AE152" s="8"/>
      <c r="AF152" s="7"/>
      <c r="AG152" s="552" t="s">
        <v>1626</v>
      </c>
      <c r="AH152" s="800"/>
      <c r="AI152" s="7"/>
      <c r="AJ152" s="7"/>
      <c r="AK152" s="9"/>
      <c r="AL152" s="10"/>
      <c r="AM152" s="10"/>
      <c r="AN152" s="10"/>
      <c r="AO152" s="10"/>
    </row>
    <row r="153" spans="1:41" ht="15" customHeight="1" thickBot="1" x14ac:dyDescent="0.3">
      <c r="A153" s="972">
        <v>1</v>
      </c>
      <c r="B153" s="11"/>
      <c r="C153" s="42"/>
      <c r="D153" s="569"/>
      <c r="E153" s="54"/>
      <c r="F153" s="1836"/>
      <c r="G153" s="1836"/>
      <c r="H153" s="1836"/>
      <c r="I153" s="1836"/>
      <c r="J153" s="1836"/>
      <c r="K153" s="2861"/>
      <c r="L153" s="54"/>
      <c r="M153" s="42"/>
      <c r="N153" s="32"/>
      <c r="O153" s="564"/>
      <c r="P153" s="565"/>
      <c r="Q153" s="552" t="s">
        <v>1555</v>
      </c>
      <c r="R153" s="552"/>
      <c r="S153" s="552"/>
      <c r="T153" s="7"/>
      <c r="U153" s="7"/>
      <c r="V153" s="7"/>
      <c r="W153" s="7"/>
      <c r="X153" s="7"/>
      <c r="Y153" s="7"/>
      <c r="Z153" s="9"/>
      <c r="AA153" s="10"/>
      <c r="AB153" s="10"/>
      <c r="AC153" s="10"/>
      <c r="AD153" s="10"/>
      <c r="AE153" s="10"/>
      <c r="AF153" s="10"/>
      <c r="AG153" s="10"/>
      <c r="AH153" s="10"/>
      <c r="AI153" s="10"/>
      <c r="AJ153" s="10"/>
      <c r="AK153" s="10"/>
      <c r="AL153" s="10"/>
      <c r="AM153" s="10"/>
      <c r="AN153" s="10"/>
      <c r="AO153" s="10"/>
    </row>
    <row r="154" spans="1:41" ht="15" customHeight="1" thickBot="1" x14ac:dyDescent="0.3">
      <c r="A154" s="972">
        <v>1</v>
      </c>
      <c r="B154" s="10"/>
      <c r="C154" s="10"/>
      <c r="D154" s="10"/>
      <c r="E154" s="13"/>
      <c r="F154" s="1774"/>
      <c r="G154" s="1774"/>
      <c r="H154" s="1774"/>
      <c r="I154" s="1774"/>
      <c r="J154" s="1774"/>
      <c r="K154" s="1943"/>
      <c r="L154" s="13"/>
      <c r="M154" s="10"/>
      <c r="N154" s="32"/>
      <c r="O154" s="32"/>
      <c r="P154" s="32"/>
      <c r="Q154" s="32"/>
      <c r="R154" s="32"/>
      <c r="S154" s="32"/>
      <c r="T154" s="10"/>
      <c r="U154" s="10"/>
      <c r="V154" s="10"/>
      <c r="W154" s="10"/>
      <c r="X154" s="10"/>
      <c r="Y154" s="10"/>
      <c r="Z154" s="10"/>
      <c r="AA154" s="10"/>
      <c r="AB154" s="10"/>
      <c r="AC154" s="10"/>
      <c r="AD154" s="10"/>
      <c r="AE154" s="10"/>
      <c r="AF154" s="10"/>
      <c r="AG154" s="10"/>
      <c r="AH154" s="10"/>
      <c r="AI154" s="10"/>
      <c r="AJ154" s="10"/>
      <c r="AK154" s="10"/>
      <c r="AL154" s="10"/>
      <c r="AM154" s="10"/>
      <c r="AN154" s="10"/>
      <c r="AO154" s="10"/>
    </row>
    <row r="155" spans="1:41" ht="15" customHeight="1" x14ac:dyDescent="0.25">
      <c r="A155" s="972">
        <v>1</v>
      </c>
      <c r="B155" s="10"/>
      <c r="C155" s="10"/>
      <c r="D155" s="10"/>
      <c r="E155" s="13"/>
      <c r="F155" s="1774"/>
      <c r="G155" s="1774"/>
      <c r="H155" s="1774"/>
      <c r="I155" s="1774"/>
      <c r="J155" s="1774"/>
      <c r="K155" s="1943"/>
      <c r="L155" s="13"/>
      <c r="M155" s="10"/>
      <c r="N155" s="32"/>
      <c r="O155" s="1"/>
      <c r="P155" s="2"/>
      <c r="Q155" s="2"/>
      <c r="R155" s="2"/>
      <c r="S155" s="2"/>
      <c r="T155" s="202"/>
      <c r="U155" s="202"/>
      <c r="V155" s="202"/>
      <c r="W155" s="202"/>
      <c r="X155" s="202"/>
      <c r="Y155" s="202"/>
      <c r="Z155" s="3"/>
      <c r="AA155" s="10"/>
      <c r="AB155" s="10"/>
      <c r="AC155" s="10"/>
      <c r="AD155" s="10"/>
      <c r="AE155" s="10"/>
      <c r="AF155" s="10"/>
      <c r="AG155" s="10"/>
      <c r="AH155" s="10"/>
      <c r="AI155" s="10"/>
      <c r="AJ155" s="10"/>
      <c r="AK155" s="10"/>
      <c r="AL155" s="10"/>
      <c r="AM155" s="10"/>
      <c r="AN155" s="10"/>
      <c r="AO155" s="10"/>
    </row>
    <row r="156" spans="1:41" ht="16.5" customHeight="1" x14ac:dyDescent="0.3">
      <c r="A156" s="972">
        <v>1</v>
      </c>
      <c r="B156" s="10"/>
      <c r="C156" s="10"/>
      <c r="D156" s="10"/>
      <c r="E156" s="13"/>
      <c r="F156" s="1774"/>
      <c r="G156" s="1774"/>
      <c r="H156" s="1774"/>
      <c r="I156" s="1774"/>
      <c r="J156" s="1774"/>
      <c r="K156" s="1943"/>
      <c r="L156" s="13"/>
      <c r="M156" s="10"/>
      <c r="N156" s="32"/>
      <c r="O156" s="4"/>
      <c r="P156" s="17"/>
      <c r="Q156" s="242" t="str">
        <f>CONCATENATE("Land Value Indication - ",dpLand_TractNameB1)</f>
        <v xml:space="preserve">Land Value Indication - </v>
      </c>
      <c r="R156" s="242"/>
      <c r="S156" s="242"/>
      <c r="T156" s="17"/>
      <c r="U156" s="17"/>
      <c r="V156" s="240"/>
      <c r="W156" s="17"/>
      <c r="X156" s="17"/>
      <c r="Y156" s="17"/>
      <c r="Z156" s="6"/>
      <c r="AA156" s="10"/>
      <c r="AB156" s="10"/>
      <c r="AC156" s="10"/>
      <c r="AD156" s="10"/>
      <c r="AE156" s="10"/>
      <c r="AF156" s="10"/>
      <c r="AG156" s="10"/>
      <c r="AH156" s="10"/>
      <c r="AI156" s="10"/>
      <c r="AJ156" s="10"/>
      <c r="AK156" s="10"/>
      <c r="AL156" s="10"/>
      <c r="AM156" s="10"/>
      <c r="AN156" s="10"/>
      <c r="AO156" s="10"/>
    </row>
    <row r="157" spans="1:41" ht="14.25" customHeight="1" x14ac:dyDescent="0.25">
      <c r="A157" s="972">
        <v>1</v>
      </c>
      <c r="B157" s="10"/>
      <c r="C157" s="10"/>
      <c r="D157" s="10"/>
      <c r="E157" s="13"/>
      <c r="F157" s="1774"/>
      <c r="G157" s="1774"/>
      <c r="H157" s="1774"/>
      <c r="I157" s="1774"/>
      <c r="J157" s="1774"/>
      <c r="K157" s="1943"/>
      <c r="L157" s="13"/>
      <c r="M157" s="10"/>
      <c r="N157" s="32"/>
      <c r="O157" s="4"/>
      <c r="P157" s="101"/>
      <c r="Q157" s="717" t="str">
        <f>IF(AND(Subject_LandExcessAcres=0,Subject_LandSurplusAcres=0),"Reasonable Adjusted Comparable Range","Primary Site - Reasonable Adjusted Comparable Range")</f>
        <v>Reasonable Adjusted Comparable Range</v>
      </c>
      <c r="R157" s="717"/>
      <c r="S157" s="717"/>
      <c r="T157" s="137"/>
      <c r="U157" s="137"/>
      <c r="V157" s="241"/>
      <c r="W157" s="137"/>
      <c r="X157" s="137"/>
      <c r="Y157" s="137"/>
      <c r="Z157" s="6"/>
      <c r="AA157" s="10"/>
      <c r="AB157" s="10"/>
      <c r="AC157" s="10"/>
      <c r="AD157" s="10"/>
      <c r="AE157" s="10"/>
      <c r="AF157" s="10"/>
      <c r="AG157" s="10"/>
      <c r="AH157" s="10"/>
      <c r="AI157" s="10"/>
      <c r="AJ157" s="10"/>
      <c r="AK157" s="10"/>
      <c r="AL157" s="10"/>
      <c r="AM157" s="10"/>
      <c r="AN157" s="10"/>
      <c r="AO157" s="10"/>
    </row>
    <row r="158" spans="1:41" ht="14.25" customHeight="1" x14ac:dyDescent="0.25">
      <c r="A158" s="972">
        <v>1</v>
      </c>
      <c r="B158" s="10"/>
      <c r="C158" s="10"/>
      <c r="D158" s="10"/>
      <c r="E158" s="13"/>
      <c r="F158" s="1774"/>
      <c r="G158" s="1774"/>
      <c r="H158" s="1774"/>
      <c r="I158" s="1774"/>
      <c r="J158" s="1774"/>
      <c r="K158" s="1943"/>
      <c r="L158" s="13"/>
      <c r="M158" s="10"/>
      <c r="N158" s="32"/>
      <c r="O158" s="4"/>
      <c r="P158" s="101"/>
      <c r="Q158" s="1533">
        <f>IF(LandUnitDisplay_1="Usable Acres",Subject_Land_UsableAcres_1,IF(LandUnitDisplay_1="Usable Square Feet",Subject_Land_UsableSF_1,IF(LandUnitDisplay_1="Gross Acres",Subject_Land_GrossAcres_1,IF(LandUnitDisplay_1="Gross Square Feet",Subject_Land_GrossSF_1,IF(LandUnitDisplay_1="Front Feet",Subject_Land_FrontageFeet_1,IF(LandUnitDisplay_1="Proposed square foot",Subject_Land_ProposedSF_1,IF(LandUnitDisplay_1="Lots",Subject_Land_Lots_1,Subject_Land_ProposedUnits_1)))))))</f>
        <v>0.99173553719008267</v>
      </c>
      <c r="R158" s="1533"/>
      <c r="S158" s="137" t="s">
        <v>176</v>
      </c>
      <c r="T158" s="137"/>
      <c r="U158" s="137"/>
      <c r="V158" s="1531"/>
      <c r="W158" s="137" t="s">
        <v>177</v>
      </c>
      <c r="X158" s="726">
        <f>IF(OR(dpUnit_Land_1="per Usable Acre",dpUnit_Land_1="per Gross Acre"),IF(OR(LandUnitDisplay_1="Usable Acres",LandUnitDisplay_1="Gross Acres"),Land_IndicationSize_1_1*Land_ReasonableLow_1,Land_IndicationSize_1_1*43560*Land_ReasonableLow_1),IF(OR(dpUnit_Land_1="per Usable Square Foot",dpUnit_Land_1="per Gross Square Foot"),IF(OR(LandUnitDisplay_1="Usable Acres",LandUnitDisplay_1="Gross Acres"),Land_IndicationSize_1_1*43560*Land_ReasonableLow_1,Land_IndicationSize_1_1*Land_ReasonableLow_1),Land_IndicationSize_1_1*Land_ReasonableLow_1))</f>
        <v>0</v>
      </c>
      <c r="Y158" s="137"/>
      <c r="Z158" s="6"/>
      <c r="AA158" s="10"/>
      <c r="AB158" s="10"/>
      <c r="AC158" s="10"/>
      <c r="AD158" s="10"/>
      <c r="AE158" s="10"/>
      <c r="AF158" s="10"/>
      <c r="AG158" s="10"/>
      <c r="AH158" s="10"/>
      <c r="AI158" s="10"/>
      <c r="AJ158" s="10"/>
      <c r="AK158" s="10"/>
      <c r="AL158" s="10"/>
      <c r="AM158" s="10"/>
      <c r="AN158" s="10"/>
      <c r="AO158" s="10"/>
    </row>
    <row r="159" spans="1:41" ht="5.0999999999999996" customHeight="1" x14ac:dyDescent="0.25">
      <c r="A159" s="972">
        <v>1</v>
      </c>
      <c r="B159" s="10"/>
      <c r="C159" s="10"/>
      <c r="D159" s="10"/>
      <c r="E159" s="13"/>
      <c r="F159" s="1774"/>
      <c r="G159" s="1774"/>
      <c r="H159" s="1774"/>
      <c r="I159" s="1774"/>
      <c r="J159" s="1774"/>
      <c r="K159" s="1943"/>
      <c r="L159" s="13"/>
      <c r="M159" s="10"/>
      <c r="N159" s="10"/>
      <c r="O159" s="4"/>
      <c r="P159" s="101"/>
      <c r="Q159" s="101"/>
      <c r="R159" s="101"/>
      <c r="S159" s="137"/>
      <c r="T159" s="137"/>
      <c r="U159" s="137"/>
      <c r="V159" s="137"/>
      <c r="W159" s="137"/>
      <c r="X159" s="726"/>
      <c r="Y159" s="137"/>
      <c r="Z159" s="6"/>
      <c r="AA159" s="10"/>
      <c r="AB159" s="10"/>
      <c r="AC159" s="10"/>
      <c r="AD159" s="10"/>
      <c r="AE159" s="10"/>
      <c r="AF159" s="10"/>
      <c r="AG159" s="10"/>
      <c r="AH159" s="10"/>
      <c r="AI159" s="10"/>
      <c r="AJ159" s="10"/>
      <c r="AK159" s="10"/>
      <c r="AL159" s="10"/>
      <c r="AM159" s="10"/>
      <c r="AN159" s="10"/>
      <c r="AO159" s="10"/>
    </row>
    <row r="160" spans="1:41" ht="14.25" customHeight="1" x14ac:dyDescent="0.25">
      <c r="A160" s="972">
        <v>1</v>
      </c>
      <c r="B160" s="10"/>
      <c r="C160" s="10"/>
      <c r="D160" s="10"/>
      <c r="E160" s="13"/>
      <c r="F160" s="1774"/>
      <c r="G160" s="1774"/>
      <c r="H160" s="1774"/>
      <c r="I160" s="1774"/>
      <c r="J160" s="1774"/>
      <c r="K160" s="1943"/>
      <c r="L160" s="13"/>
      <c r="M160" s="10"/>
      <c r="N160" s="10"/>
      <c r="O160" s="4"/>
      <c r="P160" s="101"/>
      <c r="Q160" s="1533">
        <f>IF(LandUnitDisplay_1="Usable Acres",Subject_Land_UsableAcres_1,IF(LandUnitDisplay_1="Usable Square Feet",Subject_Land_UsableSF_1,IF(LandUnitDisplay_1="Gross Acres",Subject_Land_GrossAcres_1,IF(LandUnitDisplay_1="Gross Square Feet",Subject_Land_GrossSF_1,IF(LandUnitDisplay_1="Front Feet",Subject_Land_FrontageFeet_1,IF(LandUnitDisplay_1="Proposed square foot",Subject_Land_ProposedSF_1,IF(LandUnitDisplay_1="Lots",Subject_Land_Lots_1,Subject_Land_ProposedUnits_1)))))))</f>
        <v>0.99173553719008267</v>
      </c>
      <c r="R160" s="1533"/>
      <c r="S160" s="137" t="s">
        <v>176</v>
      </c>
      <c r="T160" s="137"/>
      <c r="U160" s="137"/>
      <c r="V160" s="1531"/>
      <c r="W160" s="137" t="s">
        <v>177</v>
      </c>
      <c r="X160" s="726">
        <f>IF(OR(dpUnit_Land_1="per Usable Acre",dpUnit_Land_1="per Gross Acre"),IF(OR(LandUnitDisplay_1="Usable Acres",LandUnitDisplay_1="Gross Acres"),Land_IndicationSize_2_1*Land_ReasonableHigh_1,Land_IndicationSize_2_1*43560*Land_ReasonableHigh_1),IF(OR(dpUnit_Land_1="per Usable Square Foot",dpUnit_Land_1="per Gross Square Foot"),IF(OR(LandUnitDisplay_1="Usable Acres",LandUnitDisplay_1="Gross Acres"),Land_IndicationSize_2_1*43560*Land_ReasonableHigh_1,Land_IndicationSize_2_1*Land_ReasonableHigh_1),Land_IndicationSize_2_1*Land_ReasonableHigh_1))</f>
        <v>0</v>
      </c>
      <c r="Y160" s="137"/>
      <c r="Z160" s="6"/>
      <c r="AA160" s="10"/>
      <c r="AB160" s="10"/>
      <c r="AC160" s="10"/>
      <c r="AD160" s="10"/>
      <c r="AE160" s="10"/>
      <c r="AF160" s="10"/>
      <c r="AG160" s="10"/>
      <c r="AH160" s="10"/>
      <c r="AI160" s="10"/>
      <c r="AJ160" s="10"/>
      <c r="AK160" s="10"/>
      <c r="AL160" s="10"/>
      <c r="AM160" s="10"/>
      <c r="AN160" s="10"/>
      <c r="AO160" s="10"/>
    </row>
    <row r="161" spans="1:41" ht="18" customHeight="1" thickBot="1" x14ac:dyDescent="0.3">
      <c r="A161" s="972">
        <v>1</v>
      </c>
      <c r="B161" s="10"/>
      <c r="C161" s="10"/>
      <c r="D161" s="10"/>
      <c r="E161" s="13"/>
      <c r="F161" s="1774"/>
      <c r="G161" s="1774"/>
      <c r="H161" s="1774"/>
      <c r="I161" s="1774"/>
      <c r="J161" s="1774"/>
      <c r="K161" s="1943"/>
      <c r="L161" s="13"/>
      <c r="M161" s="10"/>
      <c r="N161" s="10"/>
      <c r="O161" s="4"/>
      <c r="P161" s="101"/>
      <c r="Q161" s="102" t="str">
        <f>CONCATENATE(Subject_Value1Type," Opinion - ",dpLand_TractNameB1)</f>
        <v xml:space="preserve">Market Value Opinion - </v>
      </c>
      <c r="R161" s="102"/>
      <c r="S161" s="137"/>
      <c r="T161" s="137"/>
      <c r="U161" s="137"/>
      <c r="V161" s="137"/>
      <c r="W161" s="137"/>
      <c r="X161" s="875" t="str">
        <f>IF(AND(dpLand_DemolitionCost_1=0,dpLand_UserDefinedAdj1_1=0,dpLand_UserDefinedAdj2_1=0,dpLand_UserDefinedAdj3_1=0),"(Rounded)","")</f>
        <v/>
      </c>
      <c r="Y161" s="137"/>
      <c r="Z161" s="6"/>
      <c r="AA161" s="10"/>
      <c r="AB161" s="150"/>
      <c r="AC161" s="10"/>
      <c r="AD161" s="10"/>
      <c r="AE161" s="10"/>
      <c r="AF161" s="10"/>
      <c r="AG161" s="10"/>
      <c r="AH161" s="10"/>
      <c r="AI161" s="10"/>
      <c r="AJ161" s="10"/>
      <c r="AK161" s="10"/>
      <c r="AL161" s="10"/>
      <c r="AM161" s="10"/>
      <c r="AN161" s="10"/>
      <c r="AO161" s="10"/>
    </row>
    <row r="162" spans="1:41" ht="15" customHeight="1" thickBot="1" x14ac:dyDescent="0.3">
      <c r="A162" s="972">
        <v>1</v>
      </c>
      <c r="B162" s="10"/>
      <c r="C162" s="10"/>
      <c r="D162" s="10"/>
      <c r="E162" s="13"/>
      <c r="F162" s="1774"/>
      <c r="G162" s="1774"/>
      <c r="H162" s="1774"/>
      <c r="I162" s="1774"/>
      <c r="J162" s="1774"/>
      <c r="K162" s="1943"/>
      <c r="L162" s="13"/>
      <c r="M162" s="10"/>
      <c r="N162" s="10"/>
      <c r="O162" s="4"/>
      <c r="P162" s="101"/>
      <c r="Q162" s="1533">
        <f>IF(LandUnitDisplay_1="Usable Acres",Subject_Land_UsableAcres_1,IF(LandUnitDisplay_1="Usable Square Feet",Subject_Land_UsableSF_1,IF(LandUnitDisplay_1="Gross Acres",Subject_Land_GrossAcres_1,IF(LandUnitDisplay_1="Gross Square Feet",Subject_Land_GrossSF_1,IF(LandUnitDisplay_1="Front Feet",Subject_Land_FrontageFeet_1,IF(LandUnitDisplay_1="Proposed square foot",Subject_Land_ProposedSF_1,IF(LandUnitDisplay_1="Lots",Subject_Land_Lots_1,Subject_Land_ProposedUnits_1)))))))</f>
        <v>0.99173553719008267</v>
      </c>
      <c r="R162" s="1533"/>
      <c r="S162" s="137" t="s">
        <v>176</v>
      </c>
      <c r="T162" s="137"/>
      <c r="U162" s="137"/>
      <c r="V162" s="1532"/>
      <c r="W162" s="137" t="s">
        <v>177</v>
      </c>
      <c r="X162" s="1388">
        <f>IF(OR(dpUnit_Land_1="per Usable Acre",dpUnit_Land_1="per Gross Acre"),IF(OR(LandUnitDisplay_1="Usable Acres",LandUnitDisplay_1="Gross Acres"),MROUND(Land_IndicationSize_3_1*dpLand_PrimaryLandValueUnit_1,INDEX(Rounding_Options,MATCH(AC162,Rounding_Label,0),2)),MROUND(Land_IndicationSize_3_1*43560*dpLand_PrimaryLandValueUnit_1,INDEX(Rounding_Options,MATCH(AC162,Rounding_Label,0),2))),IF(OR(dpUnit_Land_1="per Usable Square Foot",dpUnit_Land_1="per Gross Square Foot"),IF(OR(LandUnitDisplay_1="Usable Acres",LandUnitDisplay_1="Gross Acres"),MROUND(Land_IndicationSize_3_1*43560*dpLand_PrimaryLandValueUnit_1,INDEX(Rounding_Options,MATCH(AC162,Rounding_Label,0),2)),MROUND(Land_IndicationSize_3_1*dpLand_PrimaryLandValueUnit_1,INDEX(Rounding_Options,MATCH(AC162,Rounding_Label,0),2))),MROUND(Land_IndicationSize_3_1*dpLand_PrimaryLandValueUnit_1,INDEX(Rounding_Options,MATCH(AC162,Rounding_Label,0),2))))</f>
        <v>0</v>
      </c>
      <c r="Y162" s="137"/>
      <c r="Z162" s="6"/>
      <c r="AA162" s="10"/>
      <c r="AB162" s="150" t="s">
        <v>991</v>
      </c>
      <c r="AC162" s="702" t="s">
        <v>1037</v>
      </c>
      <c r="AD162" s="11"/>
      <c r="AE162" s="10"/>
      <c r="AF162" s="10"/>
      <c r="AG162" s="10"/>
      <c r="AH162" s="10"/>
      <c r="AI162" s="10"/>
      <c r="AJ162" s="10"/>
      <c r="AK162" s="10"/>
      <c r="AL162" s="10"/>
      <c r="AM162" s="10"/>
      <c r="AN162" s="10"/>
      <c r="AO162" s="10"/>
    </row>
    <row r="163" spans="1:41" ht="14.25" customHeight="1" x14ac:dyDescent="0.25">
      <c r="A163" s="972">
        <f>IF(dpLand_DemolitionCost_1=0,0,1)</f>
        <v>1</v>
      </c>
      <c r="B163" s="10"/>
      <c r="C163" s="10"/>
      <c r="D163" s="10"/>
      <c r="E163" s="13"/>
      <c r="F163" s="1774"/>
      <c r="G163" s="1774"/>
      <c r="H163" s="1774"/>
      <c r="I163" s="1774"/>
      <c r="J163" s="1774"/>
      <c r="K163" s="1943"/>
      <c r="L163" s="13"/>
      <c r="M163" s="10"/>
      <c r="N163" s="10"/>
      <c r="O163" s="4"/>
      <c r="P163" s="101"/>
      <c r="Q163" s="101"/>
      <c r="R163" s="101"/>
      <c r="S163" s="101"/>
      <c r="T163" s="137"/>
      <c r="U163" s="137"/>
      <c r="V163" s="875" t="s">
        <v>179</v>
      </c>
      <c r="W163" s="1372" t="s">
        <v>178</v>
      </c>
      <c r="X163" s="426">
        <f>AI151</f>
        <v>760000</v>
      </c>
      <c r="Y163" s="137"/>
      <c r="Z163" s="6"/>
      <c r="AA163" s="10"/>
      <c r="AB163" s="10"/>
      <c r="AC163" s="10"/>
      <c r="AD163" s="10"/>
      <c r="AE163" s="10"/>
      <c r="AF163" s="10"/>
      <c r="AG163" s="10"/>
      <c r="AH163" s="10"/>
      <c r="AI163" s="10"/>
      <c r="AJ163" s="10"/>
      <c r="AK163" s="10"/>
      <c r="AL163" s="10"/>
      <c r="AM163" s="10"/>
      <c r="AN163" s="10"/>
      <c r="AO163" s="10"/>
    </row>
    <row r="164" spans="1:41" ht="14.25" customHeight="1" x14ac:dyDescent="0.25">
      <c r="A164" s="972">
        <f>IF(dpLand_UserDefinedAdj1_1=0,0,1)</f>
        <v>0</v>
      </c>
      <c r="B164" s="10"/>
      <c r="C164" s="10"/>
      <c r="D164" s="10"/>
      <c r="E164" s="13"/>
      <c r="F164" s="1774"/>
      <c r="G164" s="1774"/>
      <c r="H164" s="1774"/>
      <c r="I164" s="1774"/>
      <c r="J164" s="1774"/>
      <c r="K164" s="1943"/>
      <c r="L164" s="13"/>
      <c r="M164" s="10"/>
      <c r="N164" s="10"/>
      <c r="O164" s="4"/>
      <c r="P164" s="101"/>
      <c r="Q164" s="101"/>
      <c r="R164" s="101"/>
      <c r="S164" s="101"/>
      <c r="T164" s="137"/>
      <c r="U164" s="137"/>
      <c r="V164" s="415" t="s">
        <v>180</v>
      </c>
      <c r="W164" s="1372" t="s">
        <v>178</v>
      </c>
      <c r="X164" s="426"/>
      <c r="Y164" s="137"/>
      <c r="Z164" s="6"/>
      <c r="AA164" s="10"/>
      <c r="AB164" s="10"/>
      <c r="AC164" s="10"/>
      <c r="AD164" s="10"/>
      <c r="AE164" s="10"/>
      <c r="AF164" s="10"/>
      <c r="AG164" s="10"/>
      <c r="AH164" s="10"/>
      <c r="AI164" s="10"/>
      <c r="AJ164" s="10"/>
      <c r="AK164" s="10"/>
      <c r="AL164" s="10"/>
      <c r="AM164" s="10"/>
      <c r="AN164" s="10"/>
      <c r="AO164" s="10"/>
    </row>
    <row r="165" spans="1:41" ht="14.25" customHeight="1" x14ac:dyDescent="0.25">
      <c r="A165" s="972">
        <f>IF(dpLand_UserDefinedAdj2_1=0,0,1)</f>
        <v>0</v>
      </c>
      <c r="B165" s="10"/>
      <c r="C165" s="10"/>
      <c r="D165" s="10"/>
      <c r="E165" s="13"/>
      <c r="F165" s="1774"/>
      <c r="G165" s="1774"/>
      <c r="H165" s="1774"/>
      <c r="I165" s="1774"/>
      <c r="J165" s="1774"/>
      <c r="K165" s="1943"/>
      <c r="L165" s="13"/>
      <c r="M165" s="10"/>
      <c r="N165" s="10"/>
      <c r="O165" s="4"/>
      <c r="P165" s="101"/>
      <c r="Q165" s="101"/>
      <c r="R165" s="101"/>
      <c r="S165" s="101"/>
      <c r="T165" s="137"/>
      <c r="U165" s="137"/>
      <c r="V165" s="415" t="s">
        <v>182</v>
      </c>
      <c r="W165" s="1372" t="s">
        <v>178</v>
      </c>
      <c r="X165" s="426"/>
      <c r="Y165" s="137"/>
      <c r="Z165" s="6"/>
      <c r="AA165" s="10"/>
      <c r="AB165" s="10"/>
      <c r="AC165" s="10"/>
      <c r="AD165" s="10"/>
      <c r="AE165" s="10"/>
      <c r="AF165" s="10"/>
      <c r="AG165" s="10"/>
      <c r="AH165" s="10"/>
      <c r="AI165" s="10"/>
      <c r="AJ165" s="10"/>
      <c r="AK165" s="10"/>
      <c r="AL165" s="10"/>
      <c r="AM165" s="10"/>
      <c r="AN165" s="10"/>
      <c r="AO165" s="10"/>
    </row>
    <row r="166" spans="1:41" ht="14.25" customHeight="1" x14ac:dyDescent="0.25">
      <c r="A166" s="972">
        <f>IF(dpLand_UserDefinedAdj3_1=0,0,1)</f>
        <v>0</v>
      </c>
      <c r="B166" s="10"/>
      <c r="C166" s="10"/>
      <c r="D166" s="10"/>
      <c r="E166" s="13"/>
      <c r="F166" s="1774"/>
      <c r="G166" s="1774"/>
      <c r="H166" s="1774"/>
      <c r="I166" s="1774"/>
      <c r="J166" s="1774"/>
      <c r="K166" s="1943"/>
      <c r="L166" s="13"/>
      <c r="M166" s="10"/>
      <c r="N166" s="10"/>
      <c r="O166" s="4"/>
      <c r="P166" s="101"/>
      <c r="Q166" s="101"/>
      <c r="R166" s="101"/>
      <c r="S166" s="101"/>
      <c r="T166" s="137"/>
      <c r="U166" s="137"/>
      <c r="V166" s="415" t="s">
        <v>181</v>
      </c>
      <c r="W166" s="1372" t="s">
        <v>178</v>
      </c>
      <c r="X166" s="426"/>
      <c r="Y166" s="137"/>
      <c r="Z166" s="6"/>
      <c r="AA166" s="10"/>
      <c r="AB166" s="10"/>
      <c r="AC166" s="10"/>
      <c r="AD166" s="10"/>
      <c r="AE166" s="10"/>
      <c r="AF166" s="10"/>
      <c r="AG166" s="10"/>
      <c r="AH166" s="10"/>
      <c r="AI166" s="10"/>
      <c r="AJ166" s="10"/>
      <c r="AK166" s="10"/>
      <c r="AL166" s="10"/>
      <c r="AM166" s="10"/>
      <c r="AN166" s="10"/>
      <c r="AO166" s="10"/>
    </row>
    <row r="167" spans="1:41" ht="15.95" customHeight="1" thickBot="1" x14ac:dyDescent="0.3">
      <c r="A167" s="972">
        <f>IF(SUM(A163:A166)=0,0,1)</f>
        <v>1</v>
      </c>
      <c r="B167" s="10"/>
      <c r="C167" s="10"/>
      <c r="D167" s="10"/>
      <c r="E167" s="13"/>
      <c r="F167" s="1774"/>
      <c r="G167" s="1774"/>
      <c r="H167" s="1774"/>
      <c r="I167" s="1774"/>
      <c r="J167" s="1774"/>
      <c r="K167" s="1943"/>
      <c r="L167" s="13"/>
      <c r="M167" s="10"/>
      <c r="N167" s="10"/>
      <c r="O167" s="4"/>
      <c r="P167" s="101"/>
      <c r="Q167" s="101"/>
      <c r="R167" s="101"/>
      <c r="S167" s="101"/>
      <c r="T167" s="137"/>
      <c r="U167" s="137"/>
      <c r="V167" s="138"/>
      <c r="W167" s="138"/>
      <c r="X167" s="427">
        <f>MROUND(SUM(X162:X166),INDEX(Rounding_Options,MATCH(AC162,Rounding_Label,0),2))</f>
        <v>760000</v>
      </c>
      <c r="Y167" s="137"/>
      <c r="Z167" s="6"/>
      <c r="AA167" s="10"/>
      <c r="AB167" s="10"/>
      <c r="AC167" s="10"/>
      <c r="AD167" s="10"/>
      <c r="AE167" s="10"/>
      <c r="AF167" s="10"/>
      <c r="AG167" s="10"/>
      <c r="AH167" s="10"/>
      <c r="AI167" s="10"/>
      <c r="AJ167" s="10"/>
      <c r="AK167" s="10"/>
      <c r="AL167" s="10"/>
      <c r="AM167" s="10"/>
      <c r="AN167" s="10"/>
      <c r="AO167" s="10"/>
    </row>
    <row r="168" spans="1:41" ht="15" customHeight="1" thickBot="1" x14ac:dyDescent="0.3">
      <c r="A168" s="972">
        <v>1</v>
      </c>
      <c r="B168" s="10"/>
      <c r="C168" s="10"/>
      <c r="D168" s="10"/>
      <c r="E168" s="13"/>
      <c r="F168" s="1774"/>
      <c r="G168" s="1774"/>
      <c r="H168" s="1774"/>
      <c r="I168" s="1774"/>
      <c r="J168" s="1774"/>
      <c r="K168" s="1943"/>
      <c r="L168" s="13"/>
      <c r="M168" s="10"/>
      <c r="N168" s="10"/>
      <c r="O168" s="8"/>
      <c r="P168" s="7"/>
      <c r="Q168" s="741" t="s">
        <v>1587</v>
      </c>
      <c r="R168" s="741"/>
      <c r="S168" s="741"/>
      <c r="T168" s="475"/>
      <c r="U168" s="475"/>
      <c r="V168" s="475"/>
      <c r="W168" s="475"/>
      <c r="X168" s="475"/>
      <c r="Y168" s="14"/>
      <c r="Z168" s="9"/>
      <c r="AA168" s="10"/>
      <c r="AB168" s="10"/>
      <c r="AC168" s="10"/>
      <c r="AD168" s="10"/>
      <c r="AE168" s="10"/>
      <c r="AF168" s="10"/>
      <c r="AG168" s="10"/>
      <c r="AH168" s="10"/>
      <c r="AI168" s="10"/>
      <c r="AJ168" s="10"/>
      <c r="AK168" s="10"/>
      <c r="AL168" s="10"/>
      <c r="AM168" s="10"/>
      <c r="AN168" s="10"/>
      <c r="AO168" s="10"/>
    </row>
    <row r="169" spans="1:41" ht="14.25" customHeight="1" thickBot="1" x14ac:dyDescent="0.3">
      <c r="A169" s="972">
        <v>1</v>
      </c>
      <c r="B169" s="10"/>
      <c r="C169" s="10"/>
      <c r="D169" s="10"/>
      <c r="E169" s="13"/>
      <c r="F169" s="1774"/>
      <c r="G169" s="1774"/>
      <c r="H169" s="1774"/>
      <c r="I169" s="1774"/>
      <c r="J169" s="1774"/>
      <c r="K169" s="1943"/>
      <c r="L169" s="13"/>
      <c r="M169" s="10"/>
      <c r="N169" s="10"/>
      <c r="O169" s="10"/>
      <c r="P169" s="10"/>
      <c r="Q169" s="10"/>
      <c r="R169" s="10"/>
      <c r="S169" s="10"/>
      <c r="T169" s="10"/>
      <c r="U169" s="10"/>
      <c r="V169" s="10"/>
      <c r="W169" s="10"/>
      <c r="X169" s="10"/>
      <c r="Y169" s="10"/>
      <c r="Z169" s="10"/>
      <c r="AA169" s="10"/>
      <c r="AB169" s="10"/>
      <c r="AC169" s="10"/>
      <c r="AD169" s="10"/>
      <c r="AE169" s="10"/>
      <c r="AF169" s="10"/>
      <c r="AG169" s="10"/>
      <c r="AH169" s="10"/>
      <c r="AI169" s="10"/>
      <c r="AJ169" s="10"/>
      <c r="AK169" s="10"/>
      <c r="AL169" s="10"/>
      <c r="AM169" s="10"/>
      <c r="AN169" s="10"/>
      <c r="AO169" s="10"/>
    </row>
    <row r="170" spans="1:41" ht="14.25" customHeight="1" x14ac:dyDescent="0.25">
      <c r="A170" s="972">
        <v>1</v>
      </c>
      <c r="B170" s="10"/>
      <c r="C170" s="10"/>
      <c r="D170" s="10"/>
      <c r="E170" s="13"/>
      <c r="F170" s="1808"/>
      <c r="G170" s="1808"/>
      <c r="H170" s="1774"/>
      <c r="I170" s="1774"/>
      <c r="J170" s="1774"/>
      <c r="K170" s="1943"/>
      <c r="L170" s="13"/>
      <c r="M170" s="10"/>
      <c r="N170" s="10"/>
      <c r="O170" s="1"/>
      <c r="P170" s="2"/>
      <c r="Q170" s="2"/>
      <c r="R170" s="2"/>
      <c r="S170" s="2"/>
      <c r="T170" s="2"/>
      <c r="U170" s="2"/>
      <c r="V170" s="2"/>
      <c r="W170" s="2"/>
      <c r="X170" s="2"/>
      <c r="Y170" s="2"/>
      <c r="Z170" s="3"/>
      <c r="AA170" s="10"/>
      <c r="AB170" s="10"/>
      <c r="AC170" s="10"/>
      <c r="AD170" s="10"/>
      <c r="AE170" s="10"/>
      <c r="AF170" s="10"/>
      <c r="AG170" s="10"/>
      <c r="AH170" s="10"/>
      <c r="AI170" s="10"/>
      <c r="AJ170" s="10"/>
      <c r="AK170" s="10"/>
      <c r="AL170" s="10"/>
      <c r="AM170" s="10"/>
      <c r="AN170" s="10"/>
      <c r="AO170" s="10"/>
    </row>
    <row r="171" spans="1:41" ht="14.25" customHeight="1" thickBot="1" x14ac:dyDescent="0.35">
      <c r="A171" s="972">
        <v>1</v>
      </c>
      <c r="B171" s="10"/>
      <c r="C171" s="10"/>
      <c r="D171" s="10"/>
      <c r="E171" s="13"/>
      <c r="F171" s="1774"/>
      <c r="G171" s="1774"/>
      <c r="H171" s="1774"/>
      <c r="I171" s="1774"/>
      <c r="J171" s="1774"/>
      <c r="K171" s="1943"/>
      <c r="L171" s="13"/>
      <c r="M171" s="10"/>
      <c r="N171" s="10"/>
      <c r="O171" s="4"/>
      <c r="P171" s="5"/>
      <c r="Q171" s="246" t="s">
        <v>1580</v>
      </c>
      <c r="R171" s="43"/>
      <c r="S171" s="5"/>
      <c r="T171" s="5"/>
      <c r="U171" s="5"/>
      <c r="V171" s="5"/>
      <c r="W171" s="5"/>
      <c r="X171" s="5"/>
      <c r="Y171" s="5"/>
      <c r="Z171" s="6"/>
      <c r="AA171" s="10"/>
      <c r="AB171" s="10"/>
      <c r="AC171" s="10"/>
      <c r="AD171" s="10"/>
      <c r="AE171" s="10"/>
      <c r="AF171" s="10"/>
      <c r="AG171" s="10"/>
      <c r="AH171" s="10"/>
      <c r="AI171" s="10"/>
      <c r="AJ171" s="10"/>
      <c r="AK171" s="10"/>
      <c r="AL171" s="10"/>
      <c r="AM171" s="10"/>
      <c r="AN171" s="10"/>
      <c r="AO171" s="10"/>
    </row>
    <row r="172" spans="1:41" ht="15.95" customHeight="1" thickBot="1" x14ac:dyDescent="0.3">
      <c r="A172" s="972">
        <v>1</v>
      </c>
      <c r="B172" s="10"/>
      <c r="C172" s="10"/>
      <c r="D172" s="10"/>
      <c r="E172" s="13"/>
      <c r="F172" s="1774"/>
      <c r="G172" s="1774"/>
      <c r="H172" s="1774"/>
      <c r="I172" s="1774"/>
      <c r="J172" s="1774"/>
      <c r="K172" s="1943"/>
      <c r="L172" s="13"/>
      <c r="M172" s="10"/>
      <c r="N172" s="10"/>
      <c r="O172" s="4"/>
      <c r="P172" s="10"/>
      <c r="Q172" s="12" t="s">
        <v>1581</v>
      </c>
      <c r="R172" s="150" t="s">
        <v>96</v>
      </c>
      <c r="S172" s="150"/>
      <c r="T172" s="4093" t="s">
        <v>1583</v>
      </c>
      <c r="U172" s="4093"/>
      <c r="V172" s="4093"/>
      <c r="W172" s="150"/>
      <c r="X172" s="634" t="s">
        <v>1582</v>
      </c>
      <c r="Y172" s="10"/>
      <c r="Z172" s="6"/>
      <c r="AA172" s="10"/>
      <c r="AB172" s="150" t="s">
        <v>991</v>
      </c>
      <c r="AC172" s="702" t="s">
        <v>1038</v>
      </c>
      <c r="AD172" s="10"/>
      <c r="AE172" s="10"/>
      <c r="AF172" s="10"/>
      <c r="AG172" s="10"/>
      <c r="AH172" s="10"/>
      <c r="AI172" s="10"/>
      <c r="AJ172" s="10"/>
      <c r="AK172" s="10"/>
      <c r="AL172" s="10"/>
      <c r="AM172" s="10"/>
      <c r="AN172" s="10"/>
      <c r="AO172" s="10"/>
    </row>
    <row r="173" spans="1:41" ht="14.25" customHeight="1" x14ac:dyDescent="0.25">
      <c r="A173" s="972">
        <f>IF(X173&gt;0,1,0)</f>
        <v>0</v>
      </c>
      <c r="B173" s="10"/>
      <c r="C173" s="10"/>
      <c r="D173" s="10"/>
      <c r="E173" s="13"/>
      <c r="F173" s="1774"/>
      <c r="G173" s="1774"/>
      <c r="H173" s="1774"/>
      <c r="I173" s="1774"/>
      <c r="J173" s="1774"/>
      <c r="K173" s="1943"/>
      <c r="L173" s="13"/>
      <c r="M173" s="10"/>
      <c r="N173" s="10"/>
      <c r="O173" s="4"/>
      <c r="P173" s="101"/>
      <c r="Q173" s="1692"/>
      <c r="R173" s="1694"/>
      <c r="S173" s="1524" t="s">
        <v>176</v>
      </c>
      <c r="T173" s="4181"/>
      <c r="U173" s="4181"/>
      <c r="V173" s="4181"/>
      <c r="W173" s="1524" t="s">
        <v>177</v>
      </c>
      <c r="X173" s="1179">
        <f t="shared" ref="X173:X184" si="49">IF(OR(dpUnit_Land_1="per Usable Acre",dpUnit_Land_1="per Gross Acre"),IF(OR(LandUnitDisplay_1="Usable Acres",LandUnitDisplay_1="Gross Acres"),MROUND(R173*T173,INDEX(Rounding_Options,MATCH($AC$172,Rounding_Label,0),2)),MROUND(R173*43560*T173,INDEX(Rounding_Options,MATCH($AC$172,Rounding_Label,0),2))),IF(OR(dpUnit_Land_1="per Usable Square Foot",dpUnit_Land_1="per Gross Square Foot"),IF(OR(LandUnitDisplay_1="Usable Acres",LandUnitDisplay_1="Gross Acres"),MROUND(R173*43560*T173,INDEX(Rounding_Options,MATCH($AC$172,Rounding_Label,0),2)),MROUND(R173*T173,INDEX(Rounding_Options,MATCH($AC$172,Rounding_Label,0),2))),MROUND(R173*T173,INDEX(Rounding_Options,MATCH($AC$172,Rounding_Label,0),2))))</f>
        <v>0</v>
      </c>
      <c r="Y173" s="101"/>
      <c r="Z173" s="6"/>
      <c r="AA173" s="10"/>
      <c r="AB173" s="10"/>
      <c r="AC173" s="10"/>
      <c r="AD173" s="10"/>
      <c r="AE173" s="10"/>
      <c r="AF173" s="10"/>
      <c r="AG173" s="10"/>
      <c r="AH173" s="10"/>
      <c r="AI173" s="10"/>
      <c r="AJ173" s="10"/>
      <c r="AK173" s="10"/>
      <c r="AL173" s="10"/>
      <c r="AM173" s="10"/>
      <c r="AN173" s="10"/>
      <c r="AO173" s="10"/>
    </row>
    <row r="174" spans="1:41" ht="14.25" customHeight="1" x14ac:dyDescent="0.25">
      <c r="A174" s="972">
        <f t="shared" ref="A174:A184" si="50">IF(X174&gt;0,1,0)</f>
        <v>0</v>
      </c>
      <c r="B174" s="10"/>
      <c r="C174" s="10"/>
      <c r="D174" s="10"/>
      <c r="E174" s="13"/>
      <c r="F174" s="1774"/>
      <c r="G174" s="1774"/>
      <c r="H174" s="1774"/>
      <c r="I174" s="1774"/>
      <c r="J174" s="1774"/>
      <c r="K174" s="1943"/>
      <c r="L174" s="13"/>
      <c r="M174" s="10"/>
      <c r="N174" s="10"/>
      <c r="O174" s="4"/>
      <c r="P174" s="101"/>
      <c r="Q174" s="1693"/>
      <c r="R174" s="1695"/>
      <c r="S174" s="1524" t="s">
        <v>176</v>
      </c>
      <c r="T174" s="4182"/>
      <c r="U174" s="4182"/>
      <c r="V174" s="4182"/>
      <c r="W174" s="1524" t="s">
        <v>177</v>
      </c>
      <c r="X174" s="1179">
        <f t="shared" si="49"/>
        <v>0</v>
      </c>
      <c r="Y174" s="101"/>
      <c r="Z174" s="6"/>
      <c r="AA174" s="10"/>
      <c r="AB174" s="10"/>
      <c r="AC174" s="10"/>
      <c r="AD174" s="10"/>
      <c r="AE174" s="10"/>
      <c r="AF174" s="10"/>
      <c r="AG174" s="10"/>
      <c r="AH174" s="10"/>
      <c r="AI174" s="10"/>
      <c r="AJ174" s="10"/>
      <c r="AK174" s="10"/>
      <c r="AL174" s="10"/>
      <c r="AM174" s="10"/>
      <c r="AN174" s="10"/>
      <c r="AO174" s="10"/>
    </row>
    <row r="175" spans="1:41" ht="14.25" customHeight="1" x14ac:dyDescent="0.25">
      <c r="A175" s="972">
        <f t="shared" si="50"/>
        <v>0</v>
      </c>
      <c r="B175" s="10"/>
      <c r="C175" s="10"/>
      <c r="D175" s="10"/>
      <c r="E175" s="13"/>
      <c r="F175" s="1774"/>
      <c r="G175" s="1774"/>
      <c r="H175" s="1774"/>
      <c r="I175" s="1774"/>
      <c r="J175" s="1774"/>
      <c r="K175" s="1943"/>
      <c r="L175" s="13"/>
      <c r="M175" s="10"/>
      <c r="N175" s="10"/>
      <c r="O175" s="4"/>
      <c r="P175" s="101"/>
      <c r="Q175" s="1693"/>
      <c r="R175" s="1695"/>
      <c r="S175" s="1524" t="s">
        <v>176</v>
      </c>
      <c r="T175" s="4182"/>
      <c r="U175" s="4182"/>
      <c r="V175" s="4182"/>
      <c r="W175" s="1524" t="s">
        <v>177</v>
      </c>
      <c r="X175" s="1179">
        <f t="shared" si="49"/>
        <v>0</v>
      </c>
      <c r="Y175" s="101"/>
      <c r="Z175" s="6"/>
      <c r="AA175" s="10"/>
      <c r="AB175" s="10"/>
      <c r="AC175" s="10"/>
      <c r="AD175" s="10"/>
      <c r="AE175" s="10"/>
      <c r="AF175" s="10"/>
      <c r="AG175" s="10"/>
      <c r="AH175" s="10"/>
      <c r="AI175" s="10"/>
      <c r="AJ175" s="10"/>
      <c r="AK175" s="10"/>
      <c r="AL175" s="10"/>
      <c r="AM175" s="10"/>
      <c r="AN175" s="10"/>
      <c r="AO175" s="10"/>
    </row>
    <row r="176" spans="1:41" ht="14.25" customHeight="1" x14ac:dyDescent="0.25">
      <c r="A176" s="972">
        <f t="shared" si="50"/>
        <v>0</v>
      </c>
      <c r="B176" s="10"/>
      <c r="C176" s="10"/>
      <c r="D176" s="10"/>
      <c r="E176" s="13"/>
      <c r="F176" s="1774"/>
      <c r="G176" s="1774"/>
      <c r="H176" s="1774"/>
      <c r="I176" s="1774"/>
      <c r="J176" s="1774"/>
      <c r="K176" s="1943"/>
      <c r="L176" s="13"/>
      <c r="M176" s="10"/>
      <c r="N176" s="10"/>
      <c r="O176" s="4"/>
      <c r="P176" s="101"/>
      <c r="Q176" s="1693"/>
      <c r="R176" s="1695"/>
      <c r="S176" s="1524" t="s">
        <v>176</v>
      </c>
      <c r="T176" s="4182"/>
      <c r="U176" s="4182"/>
      <c r="V176" s="4182"/>
      <c r="W176" s="1524" t="s">
        <v>177</v>
      </c>
      <c r="X176" s="1179">
        <f t="shared" si="49"/>
        <v>0</v>
      </c>
      <c r="Y176" s="101"/>
      <c r="Z176" s="6"/>
      <c r="AA176" s="10"/>
      <c r="AB176" s="10"/>
      <c r="AC176" s="10"/>
      <c r="AD176" s="10"/>
      <c r="AE176" s="10"/>
      <c r="AF176" s="10"/>
      <c r="AG176" s="10"/>
      <c r="AH176" s="10"/>
      <c r="AI176" s="10"/>
      <c r="AJ176" s="10"/>
      <c r="AK176" s="10"/>
      <c r="AL176" s="10"/>
      <c r="AM176" s="10"/>
      <c r="AN176" s="10"/>
      <c r="AO176" s="10"/>
    </row>
    <row r="177" spans="1:41" ht="14.25" customHeight="1" x14ac:dyDescent="0.25">
      <c r="A177" s="972">
        <f t="shared" si="50"/>
        <v>0</v>
      </c>
      <c r="B177" s="10"/>
      <c r="C177" s="10"/>
      <c r="D177" s="10"/>
      <c r="E177" s="13"/>
      <c r="F177" s="1774"/>
      <c r="G177" s="1774"/>
      <c r="H177" s="1774"/>
      <c r="I177" s="1774"/>
      <c r="J177" s="1774"/>
      <c r="K177" s="1943"/>
      <c r="L177" s="13"/>
      <c r="M177" s="10"/>
      <c r="N177" s="10"/>
      <c r="O177" s="4"/>
      <c r="P177" s="101"/>
      <c r="Q177" s="1693"/>
      <c r="R177" s="1695"/>
      <c r="S177" s="1524" t="s">
        <v>176</v>
      </c>
      <c r="T177" s="4182"/>
      <c r="U177" s="4182"/>
      <c r="V177" s="4182"/>
      <c r="W177" s="1524" t="s">
        <v>177</v>
      </c>
      <c r="X177" s="1179">
        <f t="shared" si="49"/>
        <v>0</v>
      </c>
      <c r="Y177" s="101"/>
      <c r="Z177" s="6"/>
      <c r="AA177" s="10"/>
      <c r="AB177" s="10"/>
      <c r="AC177" s="10"/>
      <c r="AD177" s="10"/>
      <c r="AE177" s="10"/>
      <c r="AF177" s="10"/>
      <c r="AG177" s="10"/>
      <c r="AH177" s="10"/>
      <c r="AI177" s="10"/>
      <c r="AJ177" s="10"/>
      <c r="AK177" s="10"/>
      <c r="AL177" s="10"/>
      <c r="AM177" s="10"/>
      <c r="AN177" s="10"/>
      <c r="AO177" s="10"/>
    </row>
    <row r="178" spans="1:41" ht="14.25" customHeight="1" x14ac:dyDescent="0.25">
      <c r="A178" s="972">
        <f t="shared" si="50"/>
        <v>0</v>
      </c>
      <c r="B178" s="10"/>
      <c r="C178" s="10"/>
      <c r="D178" s="10"/>
      <c r="E178" s="13"/>
      <c r="F178" s="1774"/>
      <c r="G178" s="1774"/>
      <c r="H178" s="1774"/>
      <c r="I178" s="1774"/>
      <c r="J178" s="1774"/>
      <c r="K178" s="1943"/>
      <c r="L178" s="13"/>
      <c r="M178" s="10"/>
      <c r="N178" s="10"/>
      <c r="O178" s="4"/>
      <c r="P178" s="101"/>
      <c r="Q178" s="1693"/>
      <c r="R178" s="1695"/>
      <c r="S178" s="1524" t="s">
        <v>176</v>
      </c>
      <c r="T178" s="4182"/>
      <c r="U178" s="4182"/>
      <c r="V178" s="4182"/>
      <c r="W178" s="1524" t="s">
        <v>177</v>
      </c>
      <c r="X178" s="1179">
        <f t="shared" si="49"/>
        <v>0</v>
      </c>
      <c r="Y178" s="101"/>
      <c r="Z178" s="6"/>
      <c r="AA178" s="10"/>
      <c r="AB178" s="10"/>
      <c r="AC178" s="10"/>
      <c r="AD178" s="10"/>
      <c r="AE178" s="10"/>
      <c r="AF178" s="10"/>
      <c r="AG178" s="10"/>
      <c r="AH178" s="10"/>
      <c r="AI178" s="10"/>
      <c r="AJ178" s="10"/>
      <c r="AK178" s="10"/>
      <c r="AL178" s="10"/>
      <c r="AM178" s="10"/>
      <c r="AN178" s="10"/>
      <c r="AO178" s="10"/>
    </row>
    <row r="179" spans="1:41" ht="14.25" customHeight="1" x14ac:dyDescent="0.25">
      <c r="A179" s="972">
        <f t="shared" si="50"/>
        <v>0</v>
      </c>
      <c r="B179" s="10"/>
      <c r="C179" s="10"/>
      <c r="D179" s="10"/>
      <c r="E179" s="13"/>
      <c r="F179" s="1774"/>
      <c r="G179" s="1774"/>
      <c r="H179" s="1774"/>
      <c r="I179" s="1774"/>
      <c r="J179" s="1774"/>
      <c r="K179" s="1943"/>
      <c r="L179" s="13"/>
      <c r="M179" s="10"/>
      <c r="N179" s="10"/>
      <c r="O179" s="4"/>
      <c r="P179" s="101"/>
      <c r="Q179" s="1693"/>
      <c r="R179" s="1695"/>
      <c r="S179" s="1524" t="s">
        <v>176</v>
      </c>
      <c r="T179" s="4182"/>
      <c r="U179" s="4182"/>
      <c r="V179" s="4182"/>
      <c r="W179" s="1524" t="s">
        <v>177</v>
      </c>
      <c r="X179" s="1179">
        <f t="shared" si="49"/>
        <v>0</v>
      </c>
      <c r="Y179" s="101"/>
      <c r="Z179" s="6"/>
      <c r="AA179" s="10"/>
      <c r="AB179" s="10"/>
      <c r="AC179" s="10"/>
      <c r="AD179" s="10"/>
      <c r="AE179" s="10"/>
      <c r="AF179" s="10"/>
      <c r="AG179" s="10"/>
      <c r="AH179" s="10"/>
      <c r="AI179" s="10"/>
      <c r="AJ179" s="10"/>
      <c r="AK179" s="10"/>
      <c r="AL179" s="10"/>
      <c r="AM179" s="10"/>
      <c r="AN179" s="10"/>
      <c r="AO179" s="10"/>
    </row>
    <row r="180" spans="1:41" ht="14.25" customHeight="1" x14ac:dyDescent="0.25">
      <c r="A180" s="972">
        <f t="shared" si="50"/>
        <v>0</v>
      </c>
      <c r="B180" s="10"/>
      <c r="C180" s="10"/>
      <c r="D180" s="10"/>
      <c r="E180" s="13"/>
      <c r="F180" s="1774"/>
      <c r="G180" s="1774"/>
      <c r="H180" s="1774"/>
      <c r="I180" s="1774"/>
      <c r="J180" s="1774"/>
      <c r="K180" s="1943"/>
      <c r="L180" s="13"/>
      <c r="M180" s="10"/>
      <c r="N180" s="10"/>
      <c r="O180" s="4"/>
      <c r="P180" s="101"/>
      <c r="Q180" s="1693"/>
      <c r="R180" s="1695"/>
      <c r="S180" s="1524" t="s">
        <v>176</v>
      </c>
      <c r="T180" s="4182"/>
      <c r="U180" s="4182"/>
      <c r="V180" s="4182"/>
      <c r="W180" s="1524" t="s">
        <v>177</v>
      </c>
      <c r="X180" s="1179">
        <f t="shared" si="49"/>
        <v>0</v>
      </c>
      <c r="Y180" s="101"/>
      <c r="Z180" s="6"/>
      <c r="AA180" s="10"/>
      <c r="AB180" s="10"/>
      <c r="AC180" s="10"/>
      <c r="AD180" s="10"/>
      <c r="AE180" s="10"/>
      <c r="AF180" s="10"/>
      <c r="AG180" s="10"/>
      <c r="AH180" s="10"/>
      <c r="AI180" s="10"/>
      <c r="AJ180" s="10"/>
      <c r="AK180" s="10"/>
      <c r="AL180" s="10"/>
      <c r="AM180" s="10"/>
      <c r="AN180" s="10"/>
      <c r="AO180" s="10"/>
    </row>
    <row r="181" spans="1:41" ht="14.25" customHeight="1" x14ac:dyDescent="0.25">
      <c r="A181" s="972">
        <f t="shared" si="50"/>
        <v>0</v>
      </c>
      <c r="B181" s="10"/>
      <c r="C181" s="10"/>
      <c r="D181" s="10"/>
      <c r="E181" s="13"/>
      <c r="F181" s="1774"/>
      <c r="G181" s="1774"/>
      <c r="H181" s="1774"/>
      <c r="I181" s="1774"/>
      <c r="J181" s="1774"/>
      <c r="K181" s="1943"/>
      <c r="L181" s="13"/>
      <c r="M181" s="10"/>
      <c r="N181" s="10"/>
      <c r="O181" s="4"/>
      <c r="P181" s="101"/>
      <c r="Q181" s="1693"/>
      <c r="R181" s="1695"/>
      <c r="S181" s="1524" t="s">
        <v>176</v>
      </c>
      <c r="T181" s="4182"/>
      <c r="U181" s="4182"/>
      <c r="V181" s="4182"/>
      <c r="W181" s="1524" t="s">
        <v>177</v>
      </c>
      <c r="X181" s="1179">
        <f t="shared" si="49"/>
        <v>0</v>
      </c>
      <c r="Y181" s="101"/>
      <c r="Z181" s="6"/>
      <c r="AA181" s="10"/>
      <c r="AB181" s="10"/>
      <c r="AC181" s="10"/>
      <c r="AD181" s="10"/>
      <c r="AE181" s="10"/>
      <c r="AF181" s="10"/>
      <c r="AG181" s="10"/>
      <c r="AH181" s="10"/>
      <c r="AI181" s="10"/>
      <c r="AJ181" s="10"/>
      <c r="AK181" s="10"/>
      <c r="AL181" s="10"/>
      <c r="AM181" s="10"/>
      <c r="AN181" s="10"/>
      <c r="AO181" s="10"/>
    </row>
    <row r="182" spans="1:41" ht="14.25" customHeight="1" x14ac:dyDescent="0.25">
      <c r="A182" s="972">
        <f t="shared" si="50"/>
        <v>0</v>
      </c>
      <c r="B182" s="10"/>
      <c r="C182" s="10"/>
      <c r="D182" s="10"/>
      <c r="E182" s="13"/>
      <c r="F182" s="1774"/>
      <c r="G182" s="1774"/>
      <c r="H182" s="1774"/>
      <c r="I182" s="1774"/>
      <c r="J182" s="1774"/>
      <c r="K182" s="1943"/>
      <c r="L182" s="13"/>
      <c r="M182" s="10"/>
      <c r="N182" s="10"/>
      <c r="O182" s="4"/>
      <c r="P182" s="101"/>
      <c r="Q182" s="1693"/>
      <c r="R182" s="1695"/>
      <c r="S182" s="1524" t="s">
        <v>176</v>
      </c>
      <c r="T182" s="4182"/>
      <c r="U182" s="4182"/>
      <c r="V182" s="4182"/>
      <c r="W182" s="1524" t="s">
        <v>177</v>
      </c>
      <c r="X182" s="1179">
        <f t="shared" si="49"/>
        <v>0</v>
      </c>
      <c r="Y182" s="101"/>
      <c r="Z182" s="6"/>
      <c r="AA182" s="10"/>
      <c r="AB182" s="10"/>
      <c r="AC182" s="10"/>
      <c r="AD182" s="10"/>
      <c r="AE182" s="10"/>
      <c r="AF182" s="10"/>
      <c r="AG182" s="10"/>
      <c r="AH182" s="10"/>
      <c r="AI182" s="10"/>
      <c r="AJ182" s="10"/>
      <c r="AK182" s="10"/>
      <c r="AL182" s="10"/>
      <c r="AM182" s="10"/>
      <c r="AN182" s="10"/>
      <c r="AO182" s="10"/>
    </row>
    <row r="183" spans="1:41" ht="14.25" customHeight="1" x14ac:dyDescent="0.25">
      <c r="A183" s="972">
        <f t="shared" si="50"/>
        <v>0</v>
      </c>
      <c r="B183" s="10"/>
      <c r="C183" s="10"/>
      <c r="D183" s="10"/>
      <c r="E183" s="13"/>
      <c r="F183" s="1774"/>
      <c r="G183" s="1774"/>
      <c r="H183" s="1774"/>
      <c r="I183" s="1774"/>
      <c r="J183" s="1774"/>
      <c r="K183" s="1943"/>
      <c r="L183" s="13"/>
      <c r="M183" s="10"/>
      <c r="N183" s="10"/>
      <c r="O183" s="4"/>
      <c r="P183" s="101"/>
      <c r="Q183" s="1693"/>
      <c r="R183" s="1695"/>
      <c r="S183" s="1524" t="s">
        <v>176</v>
      </c>
      <c r="T183" s="4182"/>
      <c r="U183" s="4182"/>
      <c r="V183" s="4182"/>
      <c r="W183" s="1524" t="s">
        <v>177</v>
      </c>
      <c r="X183" s="1179">
        <f t="shared" si="49"/>
        <v>0</v>
      </c>
      <c r="Y183" s="101"/>
      <c r="Z183" s="6"/>
      <c r="AA183" s="10"/>
      <c r="AB183" s="10"/>
      <c r="AC183" s="10"/>
      <c r="AD183" s="10"/>
      <c r="AE183" s="10"/>
      <c r="AF183" s="10"/>
      <c r="AG183" s="10"/>
      <c r="AH183" s="10"/>
      <c r="AI183" s="10"/>
      <c r="AJ183" s="10"/>
      <c r="AK183" s="10"/>
      <c r="AL183" s="10"/>
      <c r="AM183" s="10"/>
      <c r="AN183" s="10"/>
      <c r="AO183" s="10"/>
    </row>
    <row r="184" spans="1:41" ht="14.25" customHeight="1" x14ac:dyDescent="0.25">
      <c r="A184" s="972">
        <f t="shared" si="50"/>
        <v>0</v>
      </c>
      <c r="B184" s="10"/>
      <c r="C184" s="10"/>
      <c r="D184" s="10"/>
      <c r="E184" s="13"/>
      <c r="F184" s="1774"/>
      <c r="G184" s="1774"/>
      <c r="H184" s="1774"/>
      <c r="I184" s="1774"/>
      <c r="J184" s="1774"/>
      <c r="K184" s="1943"/>
      <c r="L184" s="13"/>
      <c r="M184" s="10"/>
      <c r="N184" s="10"/>
      <c r="O184" s="4"/>
      <c r="P184" s="101"/>
      <c r="Q184" s="1696"/>
      <c r="R184" s="1697"/>
      <c r="S184" s="1524" t="s">
        <v>176</v>
      </c>
      <c r="T184" s="4183"/>
      <c r="U184" s="4183"/>
      <c r="V184" s="4183"/>
      <c r="W184" s="1524" t="s">
        <v>177</v>
      </c>
      <c r="X184" s="1179">
        <f t="shared" si="49"/>
        <v>0</v>
      </c>
      <c r="Y184" s="101"/>
      <c r="Z184" s="6"/>
      <c r="AA184" s="10"/>
      <c r="AB184" s="10"/>
      <c r="AC184" s="10"/>
      <c r="AD184" s="10"/>
      <c r="AE184" s="10"/>
      <c r="AF184" s="10"/>
      <c r="AG184" s="10"/>
      <c r="AH184" s="10"/>
      <c r="AI184" s="10"/>
      <c r="AJ184" s="10"/>
      <c r="AK184" s="10"/>
      <c r="AL184" s="10"/>
      <c r="AM184" s="10"/>
      <c r="AN184" s="10"/>
      <c r="AO184" s="10"/>
    </row>
    <row r="185" spans="1:41" ht="0.95" customHeight="1" thickBot="1" x14ac:dyDescent="0.3">
      <c r="A185" s="972">
        <v>1</v>
      </c>
      <c r="B185" s="10"/>
      <c r="C185" s="10"/>
      <c r="D185" s="10"/>
      <c r="E185" s="13"/>
      <c r="F185" s="1774"/>
      <c r="G185" s="1774"/>
      <c r="H185" s="1774"/>
      <c r="I185" s="1774"/>
      <c r="J185" s="1774"/>
      <c r="K185" s="1943"/>
      <c r="L185" s="13"/>
      <c r="M185" s="10"/>
      <c r="N185" s="10"/>
      <c r="O185" s="4"/>
      <c r="P185" s="101"/>
      <c r="Q185" s="1688"/>
      <c r="R185" s="1689"/>
      <c r="S185" s="1690"/>
      <c r="T185" s="4180"/>
      <c r="U185" s="4180"/>
      <c r="V185" s="4180"/>
      <c r="W185" s="1690"/>
      <c r="X185" s="1691"/>
      <c r="Y185" s="101"/>
      <c r="Z185" s="6"/>
      <c r="AA185" s="10"/>
      <c r="AB185" s="10"/>
      <c r="AC185" s="10"/>
      <c r="AD185" s="10"/>
      <c r="AE185" s="10"/>
      <c r="AF185" s="10"/>
      <c r="AG185" s="10"/>
      <c r="AH185" s="10"/>
      <c r="AI185" s="10"/>
      <c r="AJ185" s="10"/>
      <c r="AK185" s="10"/>
      <c r="AL185" s="10"/>
      <c r="AM185" s="10"/>
      <c r="AN185" s="10"/>
      <c r="AO185" s="10"/>
    </row>
    <row r="186" spans="1:41" ht="14.25" customHeight="1" thickBot="1" x14ac:dyDescent="0.3">
      <c r="A186" s="243"/>
      <c r="B186" s="10"/>
      <c r="C186" s="10"/>
      <c r="D186" s="10"/>
      <c r="E186" s="13"/>
      <c r="F186" s="1774"/>
      <c r="G186" s="1774"/>
      <c r="H186" s="1774"/>
      <c r="I186" s="1774"/>
      <c r="J186" s="1774"/>
      <c r="K186" s="1943"/>
      <c r="L186" s="13"/>
      <c r="M186" s="10"/>
      <c r="N186" s="10"/>
      <c r="O186" s="8"/>
      <c r="P186" s="7"/>
      <c r="Q186" s="741" t="s">
        <v>1586</v>
      </c>
      <c r="R186" s="133"/>
      <c r="S186" s="133"/>
      <c r="T186" s="133"/>
      <c r="U186" s="133"/>
      <c r="V186" s="133"/>
      <c r="W186" s="133"/>
      <c r="X186" s="133"/>
      <c r="Y186" s="7"/>
      <c r="Z186" s="9"/>
      <c r="AA186" s="10"/>
      <c r="AB186" s="10"/>
      <c r="AC186" s="10"/>
      <c r="AD186" s="10"/>
      <c r="AE186" s="10"/>
      <c r="AF186" s="10"/>
      <c r="AG186" s="10"/>
      <c r="AH186" s="10"/>
      <c r="AI186" s="10"/>
      <c r="AJ186" s="10"/>
      <c r="AK186" s="10"/>
      <c r="AL186" s="10"/>
      <c r="AM186" s="10"/>
      <c r="AN186" s="10"/>
      <c r="AO186" s="10"/>
    </row>
    <row r="187" spans="1:41" ht="14.25" customHeight="1" x14ac:dyDescent="0.25">
      <c r="A187" s="243"/>
      <c r="B187" s="10"/>
      <c r="C187" s="10"/>
      <c r="D187" s="10"/>
      <c r="E187" s="13"/>
      <c r="F187" s="1774"/>
      <c r="G187" s="1774"/>
      <c r="H187" s="1774"/>
      <c r="I187" s="1774"/>
      <c r="J187" s="1774"/>
      <c r="K187" s="1943"/>
      <c r="L187" s="13"/>
      <c r="M187" s="10"/>
      <c r="N187" s="10"/>
      <c r="O187" s="10"/>
      <c r="P187" s="10"/>
      <c r="Q187" s="10"/>
      <c r="R187" s="10"/>
      <c r="S187" s="10"/>
      <c r="T187" s="10"/>
      <c r="U187" s="10"/>
      <c r="V187" s="10"/>
      <c r="W187" s="10"/>
      <c r="X187" s="10"/>
      <c r="Y187" s="10"/>
      <c r="Z187" s="10"/>
      <c r="AA187" s="10"/>
      <c r="AB187" s="10"/>
      <c r="AC187" s="10"/>
      <c r="AD187" s="10"/>
      <c r="AE187" s="10"/>
      <c r="AF187" s="10"/>
      <c r="AG187" s="10"/>
      <c r="AH187" s="10"/>
      <c r="AI187" s="10"/>
      <c r="AJ187" s="10"/>
      <c r="AK187" s="10"/>
      <c r="AL187" s="10"/>
      <c r="AM187" s="10"/>
      <c r="AN187" s="10"/>
      <c r="AO187" s="10"/>
    </row>
    <row r="188" spans="1:41" ht="14.25" customHeight="1" x14ac:dyDescent="0.25">
      <c r="A188" s="243"/>
      <c r="B188" s="10"/>
      <c r="C188" s="10"/>
      <c r="D188" s="10"/>
      <c r="E188" s="13"/>
      <c r="F188" s="1774"/>
      <c r="G188" s="1774"/>
      <c r="H188" s="1774"/>
      <c r="I188" s="1774"/>
      <c r="J188" s="1774"/>
      <c r="K188" s="1943"/>
      <c r="L188" s="13"/>
      <c r="M188" s="10"/>
      <c r="N188" s="10"/>
      <c r="O188" s="10"/>
      <c r="P188" s="10"/>
      <c r="Q188" s="10"/>
      <c r="R188" s="10"/>
      <c r="S188" s="10"/>
      <c r="T188" s="10"/>
      <c r="U188" s="10"/>
      <c r="V188" s="10"/>
      <c r="W188" s="10"/>
      <c r="X188" s="10"/>
      <c r="Y188" s="10"/>
      <c r="Z188" s="10"/>
      <c r="AA188" s="10"/>
      <c r="AB188" s="10"/>
      <c r="AC188" s="10"/>
      <c r="AD188" s="10"/>
      <c r="AE188" s="10"/>
      <c r="AF188" s="10"/>
      <c r="AG188" s="10"/>
      <c r="AH188" s="10"/>
      <c r="AI188" s="10"/>
      <c r="AJ188" s="10"/>
      <c r="AK188" s="10"/>
      <c r="AL188" s="10"/>
      <c r="AM188" s="10"/>
      <c r="AN188" s="10"/>
      <c r="AO188" s="10"/>
    </row>
  </sheetData>
  <mergeCells count="17">
    <mergeCell ref="A5:A8"/>
    <mergeCell ref="O7:O9"/>
    <mergeCell ref="Q58:Q59"/>
    <mergeCell ref="T184:V184"/>
    <mergeCell ref="T185:V185"/>
    <mergeCell ref="T172:V172"/>
    <mergeCell ref="T173:V173"/>
    <mergeCell ref="T179:V179"/>
    <mergeCell ref="T180:V180"/>
    <mergeCell ref="T181:V181"/>
    <mergeCell ref="T182:V182"/>
    <mergeCell ref="T183:V183"/>
    <mergeCell ref="T174:V174"/>
    <mergeCell ref="T175:V175"/>
    <mergeCell ref="T176:V176"/>
    <mergeCell ref="T177:V177"/>
    <mergeCell ref="T178:V178"/>
  </mergeCells>
  <dataValidations disablePrompts="1" count="2">
    <dataValidation type="list" allowBlank="1" showInputMessage="1" showErrorMessage="1" error="Invalid Option - Please Select from the List" prompt="Select Rounding Option" sqref="AC162 AC172 AN151" xr:uid="{00000000-0002-0000-1400-000000000000}">
      <formula1>Rounding_Label</formula1>
    </dataValidation>
    <dataValidation type="list" allowBlank="1" showInputMessage="1" showErrorMessage="1" error="Invalid Option - Please Select from the List" prompt="Select Number of Most Comparable Sale for Narrative" sqref="A9" xr:uid="{00000000-0002-0000-1400-000001000000}">
      <formula1>Land_MostComparableRange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error="Invalid Option - Please Select from the List" prompt="Select Whether Property Name Should Show or Hide" xr:uid="{00000000-0002-0000-1400-000002000000}">
          <x14:formula1>
            <xm:f>'Selection Tables'!$D$25:$D$26</xm:f>
          </x14:formula1>
          <xm:sqref>Q11</xm:sqref>
        </x14:dataValidation>
        <x14:dataValidation type="list" allowBlank="1" showInputMessage="1" showErrorMessage="1" error="Invalid Option - Please Select from the List" prompt="Select Date of Value for Land Valuation to be used in Land Adjustment Grid" xr:uid="{00000000-0002-0000-1400-000003000000}">
          <x14:formula1>
            <xm:f>'Selection Tables'!$G$5:$G$7</xm:f>
          </x14:formula1>
          <xm:sqref>E10</xm:sqref>
        </x14:dataValidation>
      </x14:dataValidations>
    </ext>
  </extLs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0">
    <tabColor rgb="FF00B050"/>
  </sheetPr>
  <dimension ref="A1:AO190"/>
  <sheetViews>
    <sheetView workbookViewId="0">
      <selection activeCell="D4" sqref="D4"/>
    </sheetView>
  </sheetViews>
  <sheetFormatPr defaultRowHeight="14.25" x14ac:dyDescent="0.25"/>
  <cols>
    <col min="1" max="1" width="5.7109375" customWidth="1"/>
    <col min="2" max="2" width="1.7109375" customWidth="1"/>
    <col min="3" max="3" width="0.85546875" customWidth="1"/>
    <col min="4" max="4" width="25.7109375" customWidth="1"/>
    <col min="5" max="5" width="16.28515625" customWidth="1"/>
    <col min="6" max="10" width="15.28515625" style="1875" customWidth="1"/>
    <col min="11" max="11" width="16.28515625" style="2047" customWidth="1"/>
    <col min="12" max="12" width="0.85546875" customWidth="1"/>
    <col min="13" max="13" width="1.7109375" customWidth="1"/>
    <col min="14" max="14" width="5.7109375" customWidth="1"/>
    <col min="15" max="15" width="1.7109375" customWidth="1"/>
    <col min="16" max="16" width="0.85546875" customWidth="1"/>
    <col min="17" max="17" width="20.7109375" customWidth="1"/>
    <col min="18" max="18" width="17.7109375" customWidth="1"/>
    <col min="19" max="19" width="1.7109375" customWidth="1"/>
    <col min="20" max="20" width="12.7109375" customWidth="1"/>
    <col min="21" max="21" width="1.7109375" customWidth="1"/>
    <col min="22" max="22" width="13.7109375" customWidth="1"/>
    <col min="23" max="23" width="1.7109375" customWidth="1"/>
    <col min="24" max="24" width="13.7109375" customWidth="1"/>
    <col min="25" max="25" width="0.85546875" customWidth="1"/>
    <col min="26" max="26" width="1.7109375" customWidth="1"/>
    <col min="27" max="27" width="5.7109375" customWidth="1"/>
    <col min="28" max="29" width="10.7109375" customWidth="1"/>
    <col min="30" max="30" width="5.7109375" customWidth="1"/>
    <col min="31" max="31" width="1.7109375" customWidth="1"/>
    <col min="32" max="32" width="0.85546875" customWidth="1"/>
    <col min="33" max="33" width="35.7109375" customWidth="1"/>
    <col min="34" max="34" width="2.7109375" customWidth="1"/>
    <col min="35" max="35" width="8.7109375" customWidth="1"/>
    <col min="36" max="36" width="0.85546875" customWidth="1"/>
    <col min="37" max="37" width="1.7109375" customWidth="1"/>
    <col min="38" max="38" width="5.7109375" customWidth="1"/>
    <col min="42" max="133" width="8.85546875" customWidth="1"/>
  </cols>
  <sheetData>
    <row r="1" spans="1:41" ht="60" customHeight="1" x14ac:dyDescent="0.25">
      <c r="A1" s="243"/>
      <c r="B1" s="10"/>
      <c r="C1" s="10"/>
      <c r="D1" s="10"/>
      <c r="E1" s="13"/>
      <c r="F1" s="1839"/>
      <c r="G1" s="1839"/>
      <c r="H1" s="1840"/>
      <c r="I1" s="1839"/>
      <c r="J1" s="1839"/>
      <c r="K1" s="37"/>
      <c r="L1" s="13"/>
      <c r="M1" s="10"/>
      <c r="N1" s="32"/>
      <c r="O1" s="32"/>
      <c r="P1" s="32"/>
      <c r="Q1" s="32"/>
      <c r="R1" s="32"/>
      <c r="S1" s="32"/>
      <c r="T1" s="10"/>
      <c r="U1" s="10"/>
      <c r="V1" s="10"/>
      <c r="W1" s="10"/>
      <c r="X1" s="10"/>
      <c r="Y1" s="10"/>
      <c r="Z1" s="10"/>
      <c r="AA1" s="10"/>
      <c r="AB1" s="10"/>
      <c r="AC1" s="10"/>
      <c r="AD1" s="10"/>
      <c r="AE1" s="10"/>
      <c r="AF1" s="10"/>
      <c r="AG1" s="10"/>
      <c r="AH1" s="10"/>
      <c r="AI1" s="10"/>
      <c r="AJ1" s="10"/>
      <c r="AK1" s="10"/>
      <c r="AL1" s="10"/>
      <c r="AM1" s="10"/>
      <c r="AN1" s="10"/>
      <c r="AO1" s="10"/>
    </row>
    <row r="2" spans="1:41" ht="27" customHeight="1" x14ac:dyDescent="0.25">
      <c r="A2" s="243"/>
      <c r="B2" s="10"/>
      <c r="C2" s="10"/>
      <c r="D2" s="10"/>
      <c r="E2" s="667"/>
      <c r="F2" s="1839"/>
      <c r="G2" s="1839"/>
      <c r="H2" s="1840"/>
      <c r="I2" s="1839"/>
      <c r="J2" s="1839"/>
      <c r="K2" s="37"/>
      <c r="L2" s="13"/>
      <c r="M2" s="10"/>
      <c r="N2" s="32"/>
      <c r="O2" s="32"/>
      <c r="P2" s="32"/>
      <c r="Q2" s="32"/>
      <c r="R2" s="32"/>
      <c r="S2" s="32"/>
      <c r="T2" s="10"/>
      <c r="U2" s="10"/>
      <c r="V2" s="10"/>
      <c r="W2" s="10"/>
      <c r="X2" s="10"/>
      <c r="Y2" s="10"/>
      <c r="Z2" s="10"/>
      <c r="AA2" s="10"/>
      <c r="AB2" s="10"/>
      <c r="AC2" s="10"/>
      <c r="AD2" s="10"/>
      <c r="AE2" s="10"/>
      <c r="AF2" s="10"/>
      <c r="AG2" s="10"/>
      <c r="AH2" s="10"/>
      <c r="AI2" s="10"/>
      <c r="AJ2" s="10"/>
      <c r="AK2" s="10"/>
      <c r="AL2" s="10"/>
      <c r="AM2" s="10"/>
      <c r="AN2" s="10"/>
      <c r="AO2" s="10"/>
    </row>
    <row r="3" spans="1:41" ht="27" customHeight="1" x14ac:dyDescent="0.25">
      <c r="A3" s="243"/>
      <c r="B3" s="10"/>
      <c r="C3" s="10"/>
      <c r="D3" s="10"/>
      <c r="E3" s="667"/>
      <c r="F3" s="1839"/>
      <c r="G3" s="1839"/>
      <c r="H3" s="1840"/>
      <c r="I3" s="1839"/>
      <c r="J3" s="1839"/>
      <c r="K3" s="37"/>
      <c r="L3" s="13"/>
      <c r="M3" s="10"/>
      <c r="N3" s="32"/>
      <c r="O3" s="32"/>
      <c r="P3" s="32"/>
      <c r="Q3" s="32"/>
      <c r="R3" s="32"/>
      <c r="S3" s="32"/>
      <c r="T3" s="10"/>
      <c r="U3" s="10"/>
      <c r="V3" s="10"/>
      <c r="W3" s="10"/>
      <c r="X3" s="10"/>
      <c r="Y3" s="10"/>
      <c r="Z3" s="10"/>
      <c r="AA3" s="10"/>
      <c r="AB3" s="10"/>
      <c r="AC3" s="10"/>
      <c r="AD3" s="10"/>
      <c r="AE3" s="10"/>
      <c r="AF3" s="10"/>
      <c r="AG3" s="10"/>
      <c r="AH3" s="10"/>
      <c r="AI3" s="10"/>
      <c r="AJ3" s="10"/>
      <c r="AK3" s="10"/>
      <c r="AL3" s="10"/>
      <c r="AM3" s="10"/>
      <c r="AN3" s="10"/>
      <c r="AO3" s="10"/>
    </row>
    <row r="4" spans="1:41" ht="27" customHeight="1" thickBot="1" x14ac:dyDescent="0.3">
      <c r="A4" s="243"/>
      <c r="B4" s="11"/>
      <c r="C4" s="11"/>
      <c r="D4" s="11"/>
      <c r="E4" s="667"/>
      <c r="F4" s="1841"/>
      <c r="G4" s="1841"/>
      <c r="H4" s="1841"/>
      <c r="I4" s="1841"/>
      <c r="J4" s="1841"/>
      <c r="K4" s="124"/>
      <c r="L4" s="41"/>
      <c r="M4" s="11"/>
      <c r="N4" s="32"/>
      <c r="O4" s="32"/>
      <c r="P4" s="32"/>
      <c r="Q4" s="32"/>
      <c r="R4" s="32"/>
      <c r="S4" s="32"/>
      <c r="T4" s="11"/>
      <c r="U4" s="11"/>
      <c r="V4" s="11"/>
      <c r="W4" s="11"/>
      <c r="X4" s="11"/>
      <c r="Y4" s="11"/>
      <c r="Z4" s="11"/>
      <c r="AA4" s="11"/>
      <c r="AB4" s="11"/>
      <c r="AC4" s="11"/>
      <c r="AD4" s="11"/>
      <c r="AE4" s="11"/>
      <c r="AF4" s="11"/>
      <c r="AG4" s="11"/>
      <c r="AH4" s="11"/>
      <c r="AI4" s="11"/>
      <c r="AJ4" s="11"/>
      <c r="AK4" s="11"/>
      <c r="AL4" s="11"/>
      <c r="AM4" s="11"/>
      <c r="AN4" s="11"/>
      <c r="AO4" s="11"/>
    </row>
    <row r="5" spans="1:41" ht="15" customHeight="1" x14ac:dyDescent="0.25">
      <c r="A5" s="4146" t="s">
        <v>1262</v>
      </c>
      <c r="B5" s="94"/>
      <c r="C5" s="72"/>
      <c r="D5" s="72"/>
      <c r="E5" s="77"/>
      <c r="F5" s="1842"/>
      <c r="G5" s="1842"/>
      <c r="H5" s="1842"/>
      <c r="I5" s="1842"/>
      <c r="J5" s="1842"/>
      <c r="K5" s="1000"/>
      <c r="L5" s="77"/>
      <c r="M5" s="73"/>
      <c r="N5" s="32"/>
      <c r="O5" s="32"/>
      <c r="P5" s="32"/>
      <c r="Q5" s="32"/>
      <c r="R5" s="32"/>
      <c r="S5" s="32"/>
      <c r="T5" s="10"/>
      <c r="U5" s="10"/>
      <c r="V5" s="10"/>
      <c r="W5" s="10"/>
      <c r="X5" s="10"/>
      <c r="Y5" s="10"/>
      <c r="Z5" s="10"/>
      <c r="AA5" s="10"/>
      <c r="AB5" s="10"/>
      <c r="AC5" s="10"/>
      <c r="AD5" s="10"/>
      <c r="AE5" s="10"/>
      <c r="AF5" s="10"/>
      <c r="AG5" s="10"/>
      <c r="AH5" s="10"/>
      <c r="AI5" s="10"/>
      <c r="AJ5" s="10"/>
      <c r="AK5" s="10"/>
      <c r="AL5" s="10"/>
      <c r="AM5" s="10"/>
      <c r="AN5" s="10"/>
      <c r="AO5" s="10"/>
    </row>
    <row r="6" spans="1:41" ht="16.5" customHeight="1" x14ac:dyDescent="0.25">
      <c r="A6" s="4146"/>
      <c r="B6" s="16"/>
      <c r="C6" s="92"/>
      <c r="D6" s="514" t="str">
        <f>CONCATENATE("Land Sales Adjustment Grid - ",dpLand_TractNameB2)</f>
        <v xml:space="preserve">Land Sales Adjustment Grid - </v>
      </c>
      <c r="E6" s="93"/>
      <c r="F6" s="1843">
        <v>1</v>
      </c>
      <c r="G6" s="1843">
        <v>2</v>
      </c>
      <c r="H6" s="1843">
        <v>3</v>
      </c>
      <c r="I6" s="1843">
        <v>4</v>
      </c>
      <c r="J6" s="1843">
        <v>5</v>
      </c>
      <c r="K6" s="98">
        <v>6</v>
      </c>
      <c r="L6" s="98"/>
      <c r="M6" s="74"/>
      <c r="N6" s="32"/>
      <c r="O6" s="32"/>
      <c r="P6" s="32"/>
      <c r="Q6" s="32"/>
      <c r="R6" s="32"/>
      <c r="S6" s="32"/>
      <c r="T6" s="10"/>
      <c r="U6" s="10"/>
      <c r="V6" s="10"/>
      <c r="W6" s="10"/>
      <c r="X6" s="10"/>
      <c r="Y6" s="10"/>
      <c r="Z6" s="10"/>
      <c r="AA6" s="10"/>
      <c r="AB6" s="10"/>
      <c r="AC6" s="10"/>
      <c r="AD6" s="10"/>
      <c r="AE6" s="10"/>
      <c r="AF6" s="10"/>
      <c r="AG6" s="10"/>
      <c r="AH6" s="10"/>
      <c r="AI6" s="10"/>
      <c r="AJ6" s="10"/>
      <c r="AK6" s="10"/>
      <c r="AL6" s="10"/>
      <c r="AM6" s="10"/>
      <c r="AN6" s="10"/>
      <c r="AO6" s="10"/>
    </row>
    <row r="7" spans="1:41" ht="15" customHeight="1" x14ac:dyDescent="0.25">
      <c r="A7" s="4146"/>
      <c r="B7" s="16">
        <v>300</v>
      </c>
      <c r="C7" s="42"/>
      <c r="D7" s="515"/>
      <c r="E7" s="516" t="str">
        <f>CONCATENATE("Subject - ",dpLand_TractNameB2)</f>
        <v xml:space="preserve">Subject - </v>
      </c>
      <c r="F7" s="1844">
        <f t="shared" ref="F7:K7" si="0">F6</f>
        <v>1</v>
      </c>
      <c r="G7" s="1844">
        <f t="shared" si="0"/>
        <v>2</v>
      </c>
      <c r="H7" s="1844">
        <f t="shared" si="0"/>
        <v>3</v>
      </c>
      <c r="I7" s="1844">
        <f t="shared" si="0"/>
        <v>4</v>
      </c>
      <c r="J7" s="1844">
        <f t="shared" si="0"/>
        <v>5</v>
      </c>
      <c r="K7" s="1001">
        <f t="shared" si="0"/>
        <v>6</v>
      </c>
      <c r="L7" s="91"/>
      <c r="M7" s="74"/>
      <c r="N7" s="32"/>
      <c r="O7" s="4145"/>
      <c r="P7" s="32"/>
      <c r="Q7" s="32"/>
      <c r="R7" s="32"/>
      <c r="S7" s="32"/>
      <c r="T7" s="10"/>
      <c r="U7" s="10"/>
      <c r="V7" s="10"/>
      <c r="W7" s="10"/>
      <c r="X7" s="10"/>
      <c r="Y7" s="10"/>
      <c r="Z7" s="10"/>
      <c r="AA7" s="10"/>
      <c r="AB7" s="10"/>
      <c r="AC7" s="10"/>
      <c r="AD7" s="10"/>
      <c r="AE7" s="10"/>
      <c r="AF7" s="10"/>
      <c r="AG7" s="10"/>
      <c r="AH7" s="10"/>
      <c r="AI7" s="10"/>
      <c r="AJ7" s="10"/>
      <c r="AK7" s="10"/>
      <c r="AL7" s="10"/>
      <c r="AM7" s="10"/>
      <c r="AN7" s="10"/>
      <c r="AO7" s="10"/>
    </row>
    <row r="8" spans="1:41" ht="5.0999999999999996" customHeight="1" x14ac:dyDescent="0.25">
      <c r="A8" s="4146"/>
      <c r="B8" s="16"/>
      <c r="C8" s="130"/>
      <c r="D8" s="130"/>
      <c r="E8" s="765"/>
      <c r="F8" s="1845"/>
      <c r="G8" s="1845"/>
      <c r="H8" s="1845"/>
      <c r="I8" s="1845"/>
      <c r="J8" s="1845"/>
      <c r="K8" s="1180"/>
      <c r="L8" s="765"/>
      <c r="M8" s="74"/>
      <c r="N8" s="32"/>
      <c r="O8" s="4145"/>
      <c r="P8" s="32"/>
      <c r="Q8" s="32"/>
      <c r="R8" s="32"/>
      <c r="S8" s="32"/>
      <c r="T8" s="10"/>
      <c r="U8" s="10"/>
      <c r="V8" s="10"/>
      <c r="W8" s="10"/>
      <c r="X8" s="10"/>
      <c r="Y8" s="10"/>
      <c r="Z8" s="10"/>
      <c r="AA8" s="10"/>
      <c r="AB8" s="10"/>
      <c r="AC8" s="10"/>
      <c r="AD8" s="10"/>
      <c r="AE8" s="10"/>
      <c r="AF8" s="10"/>
      <c r="AG8" s="10"/>
      <c r="AH8" s="10"/>
      <c r="AI8" s="10"/>
      <c r="AJ8" s="10"/>
      <c r="AK8" s="10"/>
      <c r="AL8" s="10"/>
      <c r="AM8" s="10"/>
      <c r="AN8" s="10"/>
      <c r="AO8" s="10"/>
    </row>
    <row r="9" spans="1:41" ht="15" customHeight="1" x14ac:dyDescent="0.25">
      <c r="A9" s="15">
        <v>1</v>
      </c>
      <c r="B9" s="16"/>
      <c r="C9" s="130"/>
      <c r="D9" s="522" t="s">
        <v>703</v>
      </c>
      <c r="E9" s="1127"/>
      <c r="F9" s="1846"/>
      <c r="G9" s="1846"/>
      <c r="H9" s="1846"/>
      <c r="I9" s="1846"/>
      <c r="J9" s="1846"/>
      <c r="K9" s="1128"/>
      <c r="L9" s="765"/>
      <c r="M9" s="74"/>
      <c r="N9" s="32"/>
      <c r="O9" s="4145"/>
      <c r="P9" s="32"/>
      <c r="Q9" s="32"/>
      <c r="R9" s="32"/>
      <c r="S9" s="32"/>
      <c r="T9" s="10"/>
      <c r="U9" s="10"/>
      <c r="V9" s="10"/>
      <c r="W9" s="10"/>
      <c r="X9" s="10"/>
      <c r="Y9" s="10"/>
      <c r="Z9" s="10"/>
      <c r="AA9" s="10"/>
      <c r="AB9" s="10"/>
      <c r="AC9" s="10"/>
      <c r="AD9" s="10"/>
      <c r="AE9" s="10"/>
      <c r="AF9" s="10"/>
      <c r="AG9" s="10"/>
      <c r="AH9" s="10"/>
      <c r="AI9" s="10"/>
      <c r="AJ9" s="10"/>
      <c r="AK9" s="10"/>
      <c r="AL9" s="10"/>
      <c r="AM9" s="10"/>
      <c r="AN9" s="10"/>
      <c r="AO9" s="10"/>
    </row>
    <row r="10" spans="1:41" ht="15" customHeight="1" thickBot="1" x14ac:dyDescent="0.3">
      <c r="A10" s="972">
        <v>1</v>
      </c>
      <c r="B10" s="16"/>
      <c r="C10" s="130"/>
      <c r="D10" s="480" t="s">
        <v>830</v>
      </c>
      <c r="E10" s="1039" t="s">
        <v>3</v>
      </c>
      <c r="F10" s="1847"/>
      <c r="G10" s="1847"/>
      <c r="H10" s="1847"/>
      <c r="I10" s="1847"/>
      <c r="J10" s="1847"/>
      <c r="K10" s="1130"/>
      <c r="L10" s="1131"/>
      <c r="M10" s="74"/>
      <c r="N10" s="32"/>
      <c r="O10" s="32"/>
      <c r="P10" s="32"/>
      <c r="Q10" s="150" t="s">
        <v>1022</v>
      </c>
      <c r="R10" s="150"/>
      <c r="S10" s="150"/>
      <c r="T10" s="10"/>
      <c r="U10" s="10"/>
      <c r="V10" s="10"/>
      <c r="W10" s="10"/>
      <c r="X10" s="10"/>
      <c r="Y10" s="10"/>
      <c r="Z10" s="10"/>
      <c r="AA10" s="10"/>
      <c r="AB10" s="10"/>
      <c r="AC10" s="10"/>
      <c r="AD10" s="10"/>
      <c r="AE10" s="10"/>
      <c r="AF10" s="10"/>
      <c r="AG10" s="10"/>
      <c r="AH10" s="10"/>
      <c r="AI10" s="10"/>
      <c r="AJ10" s="10"/>
      <c r="AK10" s="10"/>
      <c r="AL10" s="10"/>
      <c r="AM10" s="10"/>
      <c r="AN10" s="10"/>
      <c r="AO10" s="10"/>
    </row>
    <row r="11" spans="1:41" ht="15" customHeight="1" thickBot="1" x14ac:dyDescent="0.3">
      <c r="A11" s="972">
        <f>IF(Q11="Show",1,0)</f>
        <v>0</v>
      </c>
      <c r="B11" s="16"/>
      <c r="C11" s="130"/>
      <c r="D11" s="480" t="s">
        <v>0</v>
      </c>
      <c r="E11" s="1132" t="str">
        <f>Subject_PropertyName</f>
        <v>FRANKLIN INDUSTRIAL GROUP LTD</v>
      </c>
      <c r="F11" s="1780"/>
      <c r="G11" s="1780"/>
      <c r="H11" s="1780"/>
      <c r="I11" s="1780"/>
      <c r="J11" s="1780"/>
      <c r="K11" s="1119"/>
      <c r="L11" s="1131"/>
      <c r="M11" s="74"/>
      <c r="N11" s="32"/>
      <c r="O11" s="32"/>
      <c r="P11" s="32"/>
      <c r="Q11" s="801" t="s">
        <v>1013</v>
      </c>
      <c r="R11" s="395"/>
      <c r="S11" s="395"/>
      <c r="T11" s="10"/>
      <c r="U11" s="10"/>
      <c r="V11" s="10"/>
      <c r="W11" s="10"/>
      <c r="X11" s="10"/>
      <c r="Y11" s="10"/>
      <c r="Z11" s="10"/>
      <c r="AA11" s="10"/>
      <c r="AB11" s="10"/>
      <c r="AC11" s="10"/>
      <c r="AD11" s="10"/>
      <c r="AE11" s="10"/>
      <c r="AF11" s="10"/>
      <c r="AG11" s="10"/>
      <c r="AH11" s="10"/>
      <c r="AI11" s="10"/>
      <c r="AJ11" s="10"/>
      <c r="AK11" s="10"/>
      <c r="AL11" s="10"/>
      <c r="AM11" s="10"/>
      <c r="AN11" s="10"/>
      <c r="AO11" s="10"/>
    </row>
    <row r="12" spans="1:41" ht="14.25" customHeight="1" x14ac:dyDescent="0.25">
      <c r="A12" s="972">
        <f>IF(D12="",0,1)</f>
        <v>0</v>
      </c>
      <c r="B12" s="16"/>
      <c r="C12" s="130"/>
      <c r="D12" s="527"/>
      <c r="E12" s="423"/>
      <c r="F12" s="1783"/>
      <c r="G12" s="1783"/>
      <c r="H12" s="1783"/>
      <c r="I12" s="1783"/>
      <c r="J12" s="1783"/>
      <c r="K12" s="1002"/>
      <c r="L12" s="1131"/>
      <c r="M12" s="74"/>
      <c r="N12" s="32"/>
      <c r="O12" s="32"/>
      <c r="P12" s="32"/>
      <c r="Q12" s="13"/>
      <c r="R12" s="13"/>
      <c r="S12" s="13"/>
      <c r="T12" s="10"/>
      <c r="U12" s="10"/>
      <c r="V12" s="10"/>
      <c r="W12" s="10"/>
      <c r="X12" s="10"/>
      <c r="Y12" s="10"/>
      <c r="Z12" s="10"/>
      <c r="AA12" s="10"/>
      <c r="AB12" s="10"/>
      <c r="AC12" s="10"/>
      <c r="AD12" s="10"/>
      <c r="AE12" s="10"/>
      <c r="AF12" s="10"/>
      <c r="AG12" s="10"/>
      <c r="AH12" s="10"/>
      <c r="AI12" s="10"/>
      <c r="AJ12" s="10"/>
      <c r="AK12" s="10"/>
      <c r="AL12" s="10"/>
      <c r="AM12" s="10"/>
      <c r="AN12" s="10"/>
      <c r="AO12" s="10"/>
    </row>
    <row r="13" spans="1:41" ht="14.25" customHeight="1" x14ac:dyDescent="0.25">
      <c r="A13" s="972">
        <f>IF(D13="",0,1)</f>
        <v>0</v>
      </c>
      <c r="B13" s="16"/>
      <c r="C13" s="130"/>
      <c r="D13" s="527"/>
      <c r="E13" s="423"/>
      <c r="F13" s="1783"/>
      <c r="G13" s="1783"/>
      <c r="H13" s="1783"/>
      <c r="I13" s="1783"/>
      <c r="J13" s="1783"/>
      <c r="K13" s="1002"/>
      <c r="L13" s="1131"/>
      <c r="M13" s="74"/>
      <c r="N13" s="32"/>
      <c r="O13" s="32"/>
      <c r="P13" s="32"/>
      <c r="Q13" s="13"/>
      <c r="R13" s="13"/>
      <c r="S13" s="13"/>
      <c r="T13" s="10"/>
      <c r="U13" s="10"/>
      <c r="V13" s="10"/>
      <c r="W13" s="10"/>
      <c r="X13" s="10"/>
      <c r="Y13" s="10"/>
      <c r="Z13" s="10"/>
      <c r="AA13" s="10"/>
      <c r="AB13" s="10"/>
      <c r="AC13" s="10"/>
      <c r="AD13" s="10"/>
      <c r="AE13" s="10"/>
      <c r="AF13" s="10"/>
      <c r="AG13" s="10"/>
      <c r="AH13" s="10"/>
      <c r="AI13" s="10"/>
      <c r="AJ13" s="10"/>
      <c r="AK13" s="10"/>
      <c r="AL13" s="10"/>
      <c r="AM13" s="10"/>
      <c r="AN13" s="10"/>
      <c r="AO13" s="10"/>
    </row>
    <row r="14" spans="1:41" ht="14.25" customHeight="1" x14ac:dyDescent="0.25">
      <c r="A14" s="972">
        <v>1</v>
      </c>
      <c r="B14" s="16"/>
      <c r="C14" s="130"/>
      <c r="D14" s="480" t="s">
        <v>1270</v>
      </c>
      <c r="E14" s="1133"/>
      <c r="F14" s="1848"/>
      <c r="G14" s="1848"/>
      <c r="H14" s="1848"/>
      <c r="I14" s="1848"/>
      <c r="J14" s="1848"/>
      <c r="K14" s="925"/>
      <c r="L14" s="1131"/>
      <c r="M14" s="74"/>
      <c r="N14" s="32"/>
      <c r="O14" s="32"/>
      <c r="P14" s="32"/>
      <c r="Q14" s="32"/>
      <c r="R14" s="32"/>
      <c r="S14" s="32"/>
      <c r="T14" s="10"/>
      <c r="U14" s="10"/>
      <c r="V14" s="10"/>
      <c r="W14" s="10"/>
      <c r="X14" s="10"/>
      <c r="Y14" s="10"/>
      <c r="Z14" s="10"/>
      <c r="AA14" s="10"/>
      <c r="AB14" s="10"/>
      <c r="AC14" s="10"/>
      <c r="AD14" s="10"/>
      <c r="AE14" s="10"/>
      <c r="AF14" s="10"/>
      <c r="AG14" s="10"/>
      <c r="AH14" s="10"/>
      <c r="AI14" s="10"/>
      <c r="AJ14" s="10"/>
      <c r="AK14" s="10"/>
      <c r="AL14" s="10"/>
      <c r="AM14" s="10"/>
      <c r="AN14" s="10"/>
      <c r="AO14" s="10"/>
    </row>
    <row r="15" spans="1:41" ht="14.25" customHeight="1" x14ac:dyDescent="0.25">
      <c r="A15" s="972">
        <f>IF(LandUnitDisplay_2="Usable Acres",1,0)</f>
        <v>1</v>
      </c>
      <c r="B15" s="16"/>
      <c r="C15" s="130"/>
      <c r="D15" s="522" t="s">
        <v>836</v>
      </c>
      <c r="E15" s="1661">
        <f>Subject_LandExcessAcres</f>
        <v>0</v>
      </c>
      <c r="F15" s="1849"/>
      <c r="G15" s="1849"/>
      <c r="H15" s="1849"/>
      <c r="I15" s="1849"/>
      <c r="J15" s="1849"/>
      <c r="K15" s="1134"/>
      <c r="L15" s="765"/>
      <c r="M15" s="74"/>
      <c r="N15" s="32"/>
      <c r="O15" s="32"/>
      <c r="P15" s="32"/>
      <c r="Q15" s="32"/>
      <c r="R15" s="32"/>
      <c r="S15" s="32"/>
      <c r="T15" s="10"/>
      <c r="U15" s="10"/>
      <c r="V15" s="10"/>
      <c r="W15" s="10"/>
      <c r="X15" s="10"/>
      <c r="Y15" s="10"/>
      <c r="Z15" s="10"/>
      <c r="AA15" s="10"/>
      <c r="AB15" s="10"/>
      <c r="AC15" s="10"/>
      <c r="AD15" s="10"/>
      <c r="AE15" s="10"/>
      <c r="AF15" s="10"/>
      <c r="AG15" s="10"/>
      <c r="AH15" s="10"/>
      <c r="AI15" s="10"/>
      <c r="AJ15" s="10"/>
      <c r="AK15" s="10"/>
      <c r="AL15" s="10"/>
      <c r="AM15" s="10"/>
      <c r="AN15" s="10"/>
      <c r="AO15" s="10"/>
    </row>
    <row r="16" spans="1:41" ht="14.25" customHeight="1" x14ac:dyDescent="0.25">
      <c r="A16" s="975">
        <f>IF(LandUnitDisplay_2="Usable Square Feet",1,0)</f>
        <v>0</v>
      </c>
      <c r="B16" s="16"/>
      <c r="C16" s="130"/>
      <c r="D16" s="522" t="s">
        <v>837</v>
      </c>
      <c r="E16" s="1662">
        <f>E15*43560</f>
        <v>0</v>
      </c>
      <c r="F16" s="1850"/>
      <c r="G16" s="1850"/>
      <c r="H16" s="1850"/>
      <c r="I16" s="1850"/>
      <c r="J16" s="1850"/>
      <c r="K16" s="1129"/>
      <c r="L16" s="1135"/>
      <c r="M16" s="74"/>
      <c r="N16" s="32"/>
      <c r="O16" s="32"/>
      <c r="P16" s="32"/>
      <c r="Q16" s="32"/>
      <c r="R16" s="32"/>
      <c r="S16" s="32"/>
      <c r="T16" s="10"/>
      <c r="U16" s="10"/>
      <c r="V16" s="10"/>
      <c r="W16" s="10"/>
      <c r="X16" s="10"/>
      <c r="Y16" s="10"/>
      <c r="Z16" s="10"/>
      <c r="AA16" s="10"/>
      <c r="AB16" s="10"/>
      <c r="AC16" s="10"/>
      <c r="AD16" s="10"/>
      <c r="AE16" s="10"/>
      <c r="AF16" s="10"/>
      <c r="AG16" s="10"/>
      <c r="AH16" s="10"/>
      <c r="AI16" s="10"/>
      <c r="AJ16" s="10"/>
      <c r="AK16" s="10"/>
      <c r="AL16" s="10"/>
      <c r="AM16" s="10"/>
      <c r="AN16" s="10"/>
      <c r="AO16" s="10"/>
    </row>
    <row r="17" spans="1:41" ht="14.25" customHeight="1" x14ac:dyDescent="0.25">
      <c r="A17" s="972">
        <f>IF(LandUnitDisplay_2="Gross Acres",1,0)</f>
        <v>0</v>
      </c>
      <c r="B17" s="16"/>
      <c r="C17" s="130"/>
      <c r="D17" s="522" t="s">
        <v>834</v>
      </c>
      <c r="E17" s="1663">
        <f>Subject_LandExcessAcres</f>
        <v>0</v>
      </c>
      <c r="F17" s="1849"/>
      <c r="G17" s="1849"/>
      <c r="H17" s="1849"/>
      <c r="I17" s="1849"/>
      <c r="J17" s="1849"/>
      <c r="K17" s="1134"/>
      <c r="L17" s="1135"/>
      <c r="M17" s="74"/>
      <c r="N17" s="32"/>
      <c r="O17" s="32"/>
      <c r="P17" s="32"/>
      <c r="Q17" s="32"/>
      <c r="R17" s="32"/>
      <c r="S17" s="32"/>
      <c r="T17" s="10"/>
      <c r="U17" s="10"/>
      <c r="V17" s="10"/>
      <c r="W17" s="10"/>
      <c r="X17" s="10"/>
      <c r="Y17" s="10"/>
      <c r="Z17" s="10"/>
      <c r="AA17" s="10"/>
      <c r="AB17" s="10"/>
      <c r="AC17" s="10"/>
      <c r="AD17" s="10"/>
      <c r="AE17" s="10"/>
      <c r="AF17" s="10"/>
      <c r="AG17" s="10"/>
      <c r="AH17" s="10"/>
      <c r="AI17" s="10"/>
      <c r="AJ17" s="10"/>
      <c r="AK17" s="10"/>
      <c r="AL17" s="10"/>
      <c r="AM17" s="10"/>
      <c r="AN17" s="10"/>
      <c r="AO17" s="10"/>
    </row>
    <row r="18" spans="1:41" ht="14.25" customHeight="1" x14ac:dyDescent="0.25">
      <c r="A18" s="975">
        <f>IF(LandUnitDisplay_2="Gross Square Feet",1,0)</f>
        <v>0</v>
      </c>
      <c r="B18" s="16"/>
      <c r="C18" s="130"/>
      <c r="D18" s="522" t="s">
        <v>835</v>
      </c>
      <c r="E18" s="1662">
        <f>E17*43560</f>
        <v>0</v>
      </c>
      <c r="F18" s="1850"/>
      <c r="G18" s="1850"/>
      <c r="H18" s="1850"/>
      <c r="I18" s="1850"/>
      <c r="J18" s="1850"/>
      <c r="K18" s="1129"/>
      <c r="L18" s="1135"/>
      <c r="M18" s="74"/>
      <c r="N18" s="32"/>
      <c r="O18" s="32"/>
      <c r="P18" s="32"/>
      <c r="Q18" s="32"/>
      <c r="R18" s="32"/>
      <c r="S18" s="32"/>
      <c r="T18" s="10"/>
      <c r="U18" s="10"/>
      <c r="V18" s="10"/>
      <c r="W18" s="10"/>
      <c r="X18" s="10"/>
      <c r="Y18" s="10"/>
      <c r="Z18" s="10"/>
      <c r="AA18" s="10"/>
      <c r="AB18" s="10"/>
      <c r="AC18" s="10"/>
      <c r="AD18" s="10"/>
      <c r="AE18" s="10"/>
      <c r="AF18" s="10"/>
      <c r="AG18" s="10"/>
      <c r="AH18" s="10"/>
      <c r="AI18" s="10"/>
      <c r="AJ18" s="10"/>
      <c r="AK18" s="10"/>
      <c r="AL18" s="10"/>
      <c r="AM18" s="10"/>
      <c r="AN18" s="10"/>
      <c r="AO18" s="10"/>
    </row>
    <row r="19" spans="1:41" ht="14.25" customHeight="1" x14ac:dyDescent="0.25">
      <c r="A19" s="972">
        <f>IF(LandUnitDisplay_2="Front Feet",1,0)</f>
        <v>0</v>
      </c>
      <c r="B19" s="16"/>
      <c r="C19" s="130"/>
      <c r="D19" s="522" t="s">
        <v>846</v>
      </c>
      <c r="E19" s="1662">
        <f>Subject_PrimaryFrontageFeet</f>
        <v>125</v>
      </c>
      <c r="F19" s="1850"/>
      <c r="G19" s="1850"/>
      <c r="H19" s="1850"/>
      <c r="I19" s="1850"/>
      <c r="J19" s="1850"/>
      <c r="K19" s="1129"/>
      <c r="L19" s="1135"/>
      <c r="M19" s="74"/>
      <c r="N19" s="32"/>
      <c r="O19" s="32"/>
      <c r="P19" s="32"/>
      <c r="Q19" s="32"/>
      <c r="R19" s="32"/>
      <c r="S19" s="32"/>
      <c r="T19" s="10"/>
      <c r="U19" s="10"/>
      <c r="V19" s="10"/>
      <c r="W19" s="10"/>
      <c r="X19" s="10"/>
      <c r="Y19" s="10"/>
      <c r="Z19" s="10"/>
      <c r="AA19" s="10"/>
      <c r="AB19" s="10"/>
      <c r="AC19" s="10"/>
      <c r="AD19" s="10"/>
      <c r="AE19" s="10"/>
      <c r="AF19" s="10"/>
      <c r="AG19" s="10"/>
      <c r="AH19" s="10"/>
      <c r="AI19" s="10"/>
      <c r="AJ19" s="10"/>
      <c r="AK19" s="10"/>
      <c r="AL19" s="10"/>
      <c r="AM19" s="10"/>
      <c r="AN19" s="10"/>
      <c r="AO19" s="10"/>
    </row>
    <row r="20" spans="1:41" ht="14.25" customHeight="1" x14ac:dyDescent="0.25">
      <c r="A20" s="972">
        <f>IF(LandUnitDisplay_2="Proposed square foot",1,0)</f>
        <v>0</v>
      </c>
      <c r="B20" s="16"/>
      <c r="C20" s="130"/>
      <c r="D20" s="522" t="s">
        <v>841</v>
      </c>
      <c r="E20" s="1662">
        <f>Subject_GBA</f>
        <v>220514</v>
      </c>
      <c r="F20" s="1850"/>
      <c r="G20" s="1850"/>
      <c r="H20" s="1850"/>
      <c r="I20" s="1850"/>
      <c r="J20" s="1850"/>
      <c r="K20" s="1129"/>
      <c r="L20" s="1135"/>
      <c r="M20" s="74"/>
      <c r="N20" s="32"/>
      <c r="O20" s="32"/>
      <c r="P20" s="32"/>
      <c r="Q20" s="32"/>
      <c r="R20" s="32"/>
      <c r="S20" s="32"/>
      <c r="T20" s="10"/>
      <c r="U20" s="10"/>
      <c r="V20" s="10"/>
      <c r="W20" s="10"/>
      <c r="X20" s="10"/>
      <c r="Y20" s="10"/>
      <c r="Z20" s="10"/>
      <c r="AA20" s="10"/>
      <c r="AB20" s="10"/>
      <c r="AC20" s="10"/>
      <c r="AD20" s="10"/>
      <c r="AE20" s="10"/>
      <c r="AF20" s="10"/>
      <c r="AG20" s="10"/>
      <c r="AH20" s="10"/>
      <c r="AI20" s="10"/>
      <c r="AJ20" s="10"/>
      <c r="AK20" s="10"/>
      <c r="AL20" s="10"/>
      <c r="AM20" s="10"/>
      <c r="AN20" s="10"/>
      <c r="AO20" s="10"/>
    </row>
    <row r="21" spans="1:41" ht="14.25" customHeight="1" x14ac:dyDescent="0.25">
      <c r="A21" s="972">
        <f>IF(LandUnitDisplay_2="Lots",1,0)</f>
        <v>0</v>
      </c>
      <c r="B21" s="16"/>
      <c r="C21" s="130"/>
      <c r="D21" s="522" t="s">
        <v>1024</v>
      </c>
      <c r="E21" s="1662">
        <f>Subject_Lots</f>
        <v>1</v>
      </c>
      <c r="F21" s="1850"/>
      <c r="G21" s="1850"/>
      <c r="H21" s="1850"/>
      <c r="I21" s="1850"/>
      <c r="J21" s="1850"/>
      <c r="K21" s="1129"/>
      <c r="L21" s="1135"/>
      <c r="M21" s="74"/>
      <c r="N21" s="32"/>
      <c r="O21" s="32"/>
      <c r="P21" s="32"/>
      <c r="Q21" s="32"/>
      <c r="R21" s="32"/>
      <c r="S21" s="32"/>
      <c r="T21" s="10"/>
      <c r="U21" s="10"/>
      <c r="V21" s="10"/>
      <c r="W21" s="10"/>
      <c r="X21" s="10"/>
      <c r="Y21" s="10"/>
      <c r="Z21" s="10"/>
      <c r="AA21" s="10"/>
      <c r="AB21" s="10"/>
      <c r="AC21" s="10"/>
      <c r="AD21" s="10"/>
      <c r="AE21" s="10"/>
      <c r="AF21" s="10"/>
      <c r="AG21" s="10"/>
      <c r="AH21" s="10"/>
      <c r="AI21" s="10"/>
      <c r="AJ21" s="10"/>
      <c r="AK21" s="10"/>
      <c r="AL21" s="10"/>
      <c r="AM21" s="10"/>
      <c r="AN21" s="10"/>
      <c r="AO21" s="10"/>
    </row>
    <row r="22" spans="1:41" ht="14.25" customHeight="1" x14ac:dyDescent="0.25">
      <c r="A22" s="972">
        <f>IF(LandUnitDisplay_2="Proposed Units",1,0)</f>
        <v>0</v>
      </c>
      <c r="B22" s="16"/>
      <c r="C22" s="130"/>
      <c r="D22" s="522" t="s">
        <v>1059</v>
      </c>
      <c r="E22" s="1662">
        <f>Subject_ProposedUnits</f>
        <v>2</v>
      </c>
      <c r="F22" s="1850"/>
      <c r="G22" s="1850"/>
      <c r="H22" s="1850"/>
      <c r="I22" s="1850"/>
      <c r="J22" s="1850"/>
      <c r="K22" s="1129"/>
      <c r="L22" s="1135"/>
      <c r="M22" s="74"/>
      <c r="N22" s="32"/>
      <c r="O22" s="32"/>
      <c r="P22" s="32"/>
      <c r="Q22" s="32"/>
      <c r="R22" s="32"/>
      <c r="S22" s="32"/>
      <c r="T22" s="10"/>
      <c r="U22" s="10"/>
      <c r="V22" s="10"/>
      <c r="W22" s="10"/>
      <c r="X22" s="10"/>
      <c r="Y22" s="10"/>
      <c r="Z22" s="10"/>
      <c r="AA22" s="10"/>
      <c r="AB22" s="10"/>
      <c r="AC22" s="10"/>
      <c r="AD22" s="10"/>
      <c r="AE22" s="10"/>
      <c r="AF22" s="10"/>
      <c r="AG22" s="10"/>
      <c r="AH22" s="10"/>
      <c r="AI22" s="10"/>
      <c r="AJ22" s="10"/>
      <c r="AK22" s="10"/>
      <c r="AL22" s="10"/>
      <c r="AM22" s="10"/>
      <c r="AN22" s="10"/>
      <c r="AO22" s="10"/>
    </row>
    <row r="23" spans="1:41" ht="14.25" customHeight="1" x14ac:dyDescent="0.25">
      <c r="A23" s="972">
        <f>IF(dpUnit_Land_2="per Usable Acre",1,0)</f>
        <v>0</v>
      </c>
      <c r="B23" s="16"/>
      <c r="C23" s="130"/>
      <c r="D23" s="1137" t="s">
        <v>1295</v>
      </c>
      <c r="E23" s="1138"/>
      <c r="F23" s="1851" t="e">
        <f t="shared" ref="F23:F30" si="1">F$14/F15</f>
        <v>#DIV/0!</v>
      </c>
      <c r="G23" s="1851" t="e">
        <f t="shared" ref="G23:G30" si="2">G$14/G15</f>
        <v>#DIV/0!</v>
      </c>
      <c r="H23" s="1851" t="e">
        <f t="shared" ref="H23:H30" si="3">H$14/H15</f>
        <v>#DIV/0!</v>
      </c>
      <c r="I23" s="1851" t="e">
        <f t="shared" ref="I23:J30" si="4">I$14/I15</f>
        <v>#DIV/0!</v>
      </c>
      <c r="J23" s="1851" t="e">
        <f t="shared" si="4"/>
        <v>#DIV/0!</v>
      </c>
      <c r="K23" s="1139" t="e">
        <f t="shared" ref="K23:K30" si="5">K$14/K15</f>
        <v>#DIV/0!</v>
      </c>
      <c r="L23" s="1141"/>
      <c r="M23" s="74"/>
      <c r="N23" s="32"/>
      <c r="O23" s="32"/>
      <c r="P23" s="32"/>
      <c r="Q23" s="32"/>
      <c r="R23" s="32"/>
      <c r="S23" s="32"/>
      <c r="T23" s="10"/>
      <c r="U23" s="10"/>
      <c r="V23" s="10"/>
      <c r="W23" s="10"/>
      <c r="X23" s="10"/>
      <c r="Y23" s="10"/>
      <c r="Z23" s="10"/>
      <c r="AA23" s="10"/>
      <c r="AB23" s="10"/>
      <c r="AC23" s="10"/>
      <c r="AD23" s="10"/>
      <c r="AE23" s="10"/>
      <c r="AF23" s="10"/>
      <c r="AG23" s="10"/>
      <c r="AH23" s="10"/>
      <c r="AI23" s="10"/>
      <c r="AJ23" s="10"/>
      <c r="AK23" s="10"/>
      <c r="AL23" s="10"/>
      <c r="AM23" s="10"/>
      <c r="AN23" s="10"/>
      <c r="AO23" s="10"/>
    </row>
    <row r="24" spans="1:41" ht="14.25" customHeight="1" x14ac:dyDescent="0.25">
      <c r="A24" s="972">
        <f>IF(dpUnit_Land_2="per Usable Square Foot",1,0)</f>
        <v>1</v>
      </c>
      <c r="B24" s="16"/>
      <c r="C24" s="130"/>
      <c r="D24" s="1137" t="s">
        <v>1296</v>
      </c>
      <c r="E24" s="1142"/>
      <c r="F24" s="1852" t="e">
        <f t="shared" si="1"/>
        <v>#DIV/0!</v>
      </c>
      <c r="G24" s="1852" t="e">
        <f t="shared" si="2"/>
        <v>#DIV/0!</v>
      </c>
      <c r="H24" s="1852" t="e">
        <f t="shared" si="3"/>
        <v>#DIV/0!</v>
      </c>
      <c r="I24" s="1852" t="e">
        <f t="shared" si="4"/>
        <v>#DIV/0!</v>
      </c>
      <c r="J24" s="1852" t="e">
        <f t="shared" si="4"/>
        <v>#DIV/0!</v>
      </c>
      <c r="K24" s="1143" t="e">
        <f t="shared" si="5"/>
        <v>#DIV/0!</v>
      </c>
      <c r="L24" s="1144"/>
      <c r="M24" s="74"/>
      <c r="N24" s="32"/>
      <c r="O24" s="32"/>
      <c r="P24" s="32"/>
      <c r="Q24" s="32"/>
      <c r="R24" s="32"/>
      <c r="S24" s="32"/>
      <c r="T24" s="10"/>
      <c r="U24" s="10"/>
      <c r="V24" s="10"/>
      <c r="W24" s="10"/>
      <c r="X24" s="10"/>
      <c r="Y24" s="10"/>
      <c r="Z24" s="10"/>
      <c r="AA24" s="10"/>
      <c r="AB24" s="10"/>
      <c r="AC24" s="10"/>
      <c r="AD24" s="10"/>
      <c r="AE24" s="10"/>
      <c r="AF24" s="10"/>
      <c r="AG24" s="10"/>
      <c r="AH24" s="10"/>
      <c r="AI24" s="10"/>
      <c r="AJ24" s="10"/>
      <c r="AK24" s="10"/>
      <c r="AL24" s="10"/>
      <c r="AM24" s="10"/>
      <c r="AN24" s="10"/>
      <c r="AO24" s="10"/>
    </row>
    <row r="25" spans="1:41" ht="14.25" customHeight="1" x14ac:dyDescent="0.25">
      <c r="A25" s="972">
        <f>IF(dpUnit_Land_2="per Gross Acre",1,0)</f>
        <v>0</v>
      </c>
      <c r="B25" s="16"/>
      <c r="C25" s="130"/>
      <c r="D25" s="1137" t="s">
        <v>1297</v>
      </c>
      <c r="E25" s="1142"/>
      <c r="F25" s="1851" t="e">
        <f t="shared" si="1"/>
        <v>#DIV/0!</v>
      </c>
      <c r="G25" s="1851" t="e">
        <f t="shared" si="2"/>
        <v>#DIV/0!</v>
      </c>
      <c r="H25" s="1851" t="e">
        <f t="shared" si="3"/>
        <v>#DIV/0!</v>
      </c>
      <c r="I25" s="1851" t="e">
        <f t="shared" si="4"/>
        <v>#DIV/0!</v>
      </c>
      <c r="J25" s="1851" t="e">
        <f t="shared" si="4"/>
        <v>#DIV/0!</v>
      </c>
      <c r="K25" s="1139" t="e">
        <f t="shared" si="5"/>
        <v>#DIV/0!</v>
      </c>
      <c r="L25" s="1144"/>
      <c r="M25" s="74"/>
      <c r="N25" s="32"/>
      <c r="O25" s="32"/>
      <c r="P25" s="32"/>
      <c r="Q25" s="32"/>
      <c r="R25" s="32"/>
      <c r="S25" s="32"/>
      <c r="T25" s="10"/>
      <c r="U25" s="10"/>
      <c r="V25" s="10"/>
      <c r="W25" s="10"/>
      <c r="X25" s="10"/>
      <c r="Y25" s="10"/>
      <c r="Z25" s="10"/>
      <c r="AA25" s="10"/>
      <c r="AB25" s="10"/>
      <c r="AC25" s="10"/>
      <c r="AD25" s="10"/>
      <c r="AE25" s="10"/>
      <c r="AF25" s="10"/>
      <c r="AG25" s="10"/>
      <c r="AH25" s="10"/>
      <c r="AI25" s="10"/>
      <c r="AJ25" s="10"/>
      <c r="AK25" s="10"/>
      <c r="AL25" s="10"/>
      <c r="AM25" s="10"/>
      <c r="AN25" s="10"/>
      <c r="AO25" s="10"/>
    </row>
    <row r="26" spans="1:41" ht="14.25" customHeight="1" x14ac:dyDescent="0.25">
      <c r="A26" s="972">
        <f>IF(dpUnit_Land_2="per Gross Square Foot",1,0)</f>
        <v>0</v>
      </c>
      <c r="B26" s="16"/>
      <c r="C26" s="130"/>
      <c r="D26" s="1137" t="s">
        <v>1298</v>
      </c>
      <c r="E26" s="1142"/>
      <c r="F26" s="1852" t="e">
        <f t="shared" si="1"/>
        <v>#DIV/0!</v>
      </c>
      <c r="G26" s="1852" t="e">
        <f t="shared" si="2"/>
        <v>#DIV/0!</v>
      </c>
      <c r="H26" s="1852" t="e">
        <f t="shared" si="3"/>
        <v>#DIV/0!</v>
      </c>
      <c r="I26" s="1852" t="e">
        <f t="shared" si="4"/>
        <v>#DIV/0!</v>
      </c>
      <c r="J26" s="1852" t="e">
        <f t="shared" si="4"/>
        <v>#DIV/0!</v>
      </c>
      <c r="K26" s="1143" t="e">
        <f t="shared" si="5"/>
        <v>#DIV/0!</v>
      </c>
      <c r="L26" s="1144"/>
      <c r="M26" s="74"/>
      <c r="N26" s="32"/>
      <c r="O26" s="32"/>
      <c r="P26" s="32"/>
      <c r="Q26" s="32"/>
      <c r="R26" s="32"/>
      <c r="S26" s="32"/>
      <c r="T26" s="10"/>
      <c r="U26" s="10"/>
      <c r="V26" s="10"/>
      <c r="W26" s="10"/>
      <c r="X26" s="10"/>
      <c r="Y26" s="10"/>
      <c r="Z26" s="10"/>
      <c r="AA26" s="10"/>
      <c r="AB26" s="10"/>
      <c r="AC26" s="10"/>
      <c r="AD26" s="10"/>
      <c r="AE26" s="10"/>
      <c r="AF26" s="10"/>
      <c r="AG26" s="10"/>
      <c r="AH26" s="10"/>
      <c r="AI26" s="10"/>
      <c r="AJ26" s="10"/>
      <c r="AK26" s="10"/>
      <c r="AL26" s="10"/>
      <c r="AM26" s="10"/>
      <c r="AN26" s="10"/>
      <c r="AO26" s="10"/>
    </row>
    <row r="27" spans="1:41" ht="14.25" customHeight="1" x14ac:dyDescent="0.25">
      <c r="A27" s="972">
        <f>IF(dpUnit_Land_2="per Front Foot",1,0)</f>
        <v>0</v>
      </c>
      <c r="B27" s="16"/>
      <c r="C27" s="130"/>
      <c r="D27" s="1137" t="s">
        <v>1299</v>
      </c>
      <c r="E27" s="1142"/>
      <c r="F27" s="1851" t="e">
        <f t="shared" si="1"/>
        <v>#DIV/0!</v>
      </c>
      <c r="G27" s="1851" t="e">
        <f t="shared" si="2"/>
        <v>#DIV/0!</v>
      </c>
      <c r="H27" s="1851" t="e">
        <f t="shared" si="3"/>
        <v>#DIV/0!</v>
      </c>
      <c r="I27" s="1851" t="e">
        <f t="shared" si="4"/>
        <v>#DIV/0!</v>
      </c>
      <c r="J27" s="1851" t="e">
        <f t="shared" si="4"/>
        <v>#DIV/0!</v>
      </c>
      <c r="K27" s="1139" t="e">
        <f t="shared" si="5"/>
        <v>#DIV/0!</v>
      </c>
      <c r="L27" s="1144"/>
      <c r="M27" s="74"/>
      <c r="N27" s="32"/>
      <c r="O27" s="32"/>
      <c r="P27" s="32"/>
      <c r="Q27" s="32"/>
      <c r="R27" s="32"/>
      <c r="S27" s="32"/>
      <c r="T27" s="10"/>
      <c r="U27" s="10"/>
      <c r="V27" s="10"/>
      <c r="W27" s="10"/>
      <c r="X27" s="10"/>
      <c r="Y27" s="10"/>
      <c r="Z27" s="10"/>
      <c r="AA27" s="10"/>
      <c r="AB27" s="10"/>
      <c r="AC27" s="10"/>
      <c r="AD27" s="10"/>
      <c r="AE27" s="10"/>
      <c r="AF27" s="10"/>
      <c r="AG27" s="10"/>
      <c r="AH27" s="10"/>
      <c r="AI27" s="10"/>
      <c r="AJ27" s="10"/>
      <c r="AK27" s="10"/>
      <c r="AL27" s="10"/>
      <c r="AM27" s="10"/>
      <c r="AN27" s="10"/>
      <c r="AO27" s="10"/>
    </row>
    <row r="28" spans="1:41" ht="14.25" customHeight="1" x14ac:dyDescent="0.25">
      <c r="A28" s="972">
        <f>IF(dpUnit_Land_2="per Proposed Square Foot",1,0)</f>
        <v>0</v>
      </c>
      <c r="B28" s="16"/>
      <c r="C28" s="130"/>
      <c r="D28" s="1137" t="s">
        <v>1300</v>
      </c>
      <c r="E28" s="1142"/>
      <c r="F28" s="1852" t="e">
        <f t="shared" si="1"/>
        <v>#DIV/0!</v>
      </c>
      <c r="G28" s="1852" t="e">
        <f t="shared" si="2"/>
        <v>#DIV/0!</v>
      </c>
      <c r="H28" s="1852" t="e">
        <f t="shared" si="3"/>
        <v>#DIV/0!</v>
      </c>
      <c r="I28" s="1852" t="e">
        <f t="shared" si="4"/>
        <v>#DIV/0!</v>
      </c>
      <c r="J28" s="1852" t="e">
        <f t="shared" si="4"/>
        <v>#DIV/0!</v>
      </c>
      <c r="K28" s="1143" t="e">
        <f t="shared" si="5"/>
        <v>#DIV/0!</v>
      </c>
      <c r="L28" s="1144"/>
      <c r="M28" s="74"/>
      <c r="N28" s="32"/>
      <c r="O28" s="32"/>
      <c r="P28" s="32"/>
      <c r="Q28" s="32"/>
      <c r="R28" s="32"/>
      <c r="S28" s="32"/>
      <c r="T28" s="10"/>
      <c r="U28" s="10"/>
      <c r="V28" s="10"/>
      <c r="W28" s="10"/>
      <c r="X28" s="10"/>
      <c r="Y28" s="10"/>
      <c r="Z28" s="10"/>
      <c r="AA28" s="10"/>
      <c r="AB28" s="10"/>
      <c r="AC28" s="10"/>
      <c r="AD28" s="10"/>
      <c r="AE28" s="10"/>
      <c r="AF28" s="10"/>
      <c r="AG28" s="10"/>
      <c r="AH28" s="10"/>
      <c r="AI28" s="10"/>
      <c r="AJ28" s="10"/>
      <c r="AK28" s="10"/>
      <c r="AL28" s="10"/>
      <c r="AM28" s="10"/>
      <c r="AN28" s="10"/>
      <c r="AO28" s="10"/>
    </row>
    <row r="29" spans="1:41" ht="14.25" customHeight="1" x14ac:dyDescent="0.25">
      <c r="A29" s="972">
        <f>IF(dpUnit_Land_2="per Lot",1,0)</f>
        <v>0</v>
      </c>
      <c r="B29" s="16"/>
      <c r="C29" s="130"/>
      <c r="D29" s="1137" t="s">
        <v>1301</v>
      </c>
      <c r="E29" s="1142"/>
      <c r="F29" s="1851" t="e">
        <f t="shared" si="1"/>
        <v>#DIV/0!</v>
      </c>
      <c r="G29" s="1851" t="e">
        <f t="shared" si="2"/>
        <v>#DIV/0!</v>
      </c>
      <c r="H29" s="1851" t="e">
        <f t="shared" si="3"/>
        <v>#DIV/0!</v>
      </c>
      <c r="I29" s="1851" t="e">
        <f t="shared" si="4"/>
        <v>#DIV/0!</v>
      </c>
      <c r="J29" s="1851" t="e">
        <f t="shared" si="4"/>
        <v>#DIV/0!</v>
      </c>
      <c r="K29" s="1139" t="e">
        <f t="shared" si="5"/>
        <v>#DIV/0!</v>
      </c>
      <c r="L29" s="1144"/>
      <c r="M29" s="74"/>
      <c r="N29" s="32"/>
      <c r="O29" s="32"/>
      <c r="P29" s="32"/>
      <c r="Q29" s="32"/>
      <c r="R29" s="32"/>
      <c r="S29" s="32"/>
      <c r="T29" s="10"/>
      <c r="U29" s="10"/>
      <c r="V29" s="10"/>
      <c r="W29" s="10"/>
      <c r="X29" s="10"/>
      <c r="Y29" s="10"/>
      <c r="Z29" s="10"/>
      <c r="AA29" s="10"/>
      <c r="AB29" s="10"/>
      <c r="AC29" s="10"/>
      <c r="AD29" s="10"/>
      <c r="AE29" s="10"/>
      <c r="AF29" s="10"/>
      <c r="AG29" s="10"/>
      <c r="AH29" s="10"/>
      <c r="AI29" s="10"/>
      <c r="AJ29" s="10"/>
      <c r="AK29" s="10"/>
      <c r="AL29" s="10"/>
      <c r="AM29" s="10"/>
      <c r="AN29" s="10"/>
      <c r="AO29" s="10"/>
    </row>
    <row r="30" spans="1:41" ht="14.25" customHeight="1" x14ac:dyDescent="0.25">
      <c r="A30" s="972">
        <f>IF(dpUnit_Land_2="per Proposed Unit",1,0)</f>
        <v>0</v>
      </c>
      <c r="B30" s="16"/>
      <c r="C30" s="130"/>
      <c r="D30" s="1137" t="s">
        <v>1302</v>
      </c>
      <c r="E30" s="1142"/>
      <c r="F30" s="1851" t="e">
        <f t="shared" si="1"/>
        <v>#DIV/0!</v>
      </c>
      <c r="G30" s="1851" t="e">
        <f t="shared" si="2"/>
        <v>#DIV/0!</v>
      </c>
      <c r="H30" s="1851" t="e">
        <f t="shared" si="3"/>
        <v>#DIV/0!</v>
      </c>
      <c r="I30" s="1851" t="e">
        <f t="shared" si="4"/>
        <v>#DIV/0!</v>
      </c>
      <c r="J30" s="1851" t="e">
        <f t="shared" si="4"/>
        <v>#DIV/0!</v>
      </c>
      <c r="K30" s="1139" t="e">
        <f t="shared" si="5"/>
        <v>#DIV/0!</v>
      </c>
      <c r="L30" s="1144"/>
      <c r="M30" s="74"/>
      <c r="N30" s="32"/>
      <c r="O30" s="32"/>
      <c r="P30" s="32"/>
      <c r="Q30" s="32"/>
      <c r="R30" s="32"/>
      <c r="S30" s="32"/>
      <c r="T30" s="10"/>
      <c r="U30" s="10"/>
      <c r="V30" s="10"/>
      <c r="W30" s="10"/>
      <c r="X30" s="10"/>
      <c r="Y30" s="10"/>
      <c r="Z30" s="10"/>
      <c r="AA30" s="10"/>
      <c r="AB30" s="10"/>
      <c r="AC30" s="10"/>
      <c r="AD30" s="10"/>
      <c r="AE30" s="10"/>
      <c r="AF30" s="10"/>
      <c r="AG30" s="10"/>
      <c r="AH30" s="10"/>
      <c r="AI30" s="10"/>
      <c r="AJ30" s="10"/>
      <c r="AK30" s="10"/>
      <c r="AL30" s="10"/>
      <c r="AM30" s="10"/>
      <c r="AN30" s="10"/>
      <c r="AO30" s="10"/>
    </row>
    <row r="31" spans="1:41" ht="5.0999999999999996" customHeight="1" x14ac:dyDescent="0.25">
      <c r="A31" s="972">
        <v>1</v>
      </c>
      <c r="B31" s="16"/>
      <c r="C31" s="130"/>
      <c r="D31" s="130"/>
      <c r="E31" s="765"/>
      <c r="F31" s="1853"/>
      <c r="G31" s="1853"/>
      <c r="H31" s="1853"/>
      <c r="I31" s="1853"/>
      <c r="J31" s="1853"/>
      <c r="K31" s="1145"/>
      <c r="L31" s="765"/>
      <c r="M31" s="74"/>
      <c r="N31" s="32"/>
      <c r="O31" s="32"/>
      <c r="P31" s="32"/>
      <c r="Q31" s="32"/>
      <c r="R31" s="32"/>
      <c r="S31" s="32"/>
      <c r="T31" s="10"/>
      <c r="U31" s="10"/>
      <c r="V31" s="10"/>
      <c r="W31" s="10"/>
      <c r="X31" s="10"/>
      <c r="Y31" s="10"/>
      <c r="Z31" s="10"/>
      <c r="AA31" s="10"/>
      <c r="AB31" s="10"/>
      <c r="AC31" s="10"/>
      <c r="AD31" s="10"/>
      <c r="AE31" s="10"/>
      <c r="AF31" s="10"/>
      <c r="AG31" s="10"/>
      <c r="AH31" s="10"/>
      <c r="AI31" s="10"/>
      <c r="AJ31" s="10"/>
      <c r="AK31" s="10"/>
      <c r="AL31" s="10"/>
      <c r="AM31" s="10"/>
      <c r="AN31" s="10"/>
      <c r="AO31" s="10"/>
    </row>
    <row r="32" spans="1:41" ht="14.25" customHeight="1" x14ac:dyDescent="0.25">
      <c r="A32" s="972">
        <v>1</v>
      </c>
      <c r="B32" s="16"/>
      <c r="C32" s="130"/>
      <c r="D32" s="1137" t="s">
        <v>161</v>
      </c>
      <c r="E32" s="765"/>
      <c r="F32" s="1854"/>
      <c r="G32" s="1854"/>
      <c r="H32" s="1854"/>
      <c r="I32" s="1854"/>
      <c r="J32" s="1854"/>
      <c r="K32" s="538"/>
      <c r="L32" s="1146"/>
      <c r="M32" s="74"/>
      <c r="N32" s="32"/>
      <c r="O32" s="32"/>
      <c r="P32" s="32"/>
      <c r="Q32" s="32"/>
      <c r="R32" s="32"/>
      <c r="S32" s="32"/>
      <c r="T32" s="10"/>
      <c r="U32" s="10"/>
      <c r="V32" s="10"/>
      <c r="W32" s="10"/>
      <c r="X32" s="10"/>
      <c r="Y32" s="10"/>
      <c r="Z32" s="10"/>
      <c r="AA32" s="10"/>
      <c r="AB32" s="10"/>
      <c r="AC32" s="10"/>
      <c r="AD32" s="10"/>
      <c r="AE32" s="10"/>
      <c r="AF32" s="10"/>
      <c r="AG32" s="10"/>
      <c r="AH32" s="10"/>
      <c r="AI32" s="10"/>
      <c r="AJ32" s="10"/>
      <c r="AK32" s="10"/>
      <c r="AL32" s="10"/>
      <c r="AM32" s="10"/>
      <c r="AN32" s="10"/>
      <c r="AO32" s="10"/>
    </row>
    <row r="33" spans="1:41" x14ac:dyDescent="0.25">
      <c r="A33" s="972">
        <v>1</v>
      </c>
      <c r="B33" s="16"/>
      <c r="C33" s="130"/>
      <c r="D33" s="1489" t="s">
        <v>164</v>
      </c>
      <c r="E33" s="1664" t="str">
        <f>IF(Salient_Sort_NumValues=3,Salient_Sort_Interest_3,IF(Salient_Sort_NumValues=2,Salient_Sort_Interest_2,Salient_Sort_Interest_1))</f>
        <v>Fee Simple</v>
      </c>
      <c r="F33" s="1817"/>
      <c r="G33" s="1817"/>
      <c r="H33" s="1817"/>
      <c r="I33" s="1817"/>
      <c r="J33" s="1817"/>
      <c r="K33" s="1149"/>
      <c r="L33" s="1146"/>
      <c r="M33" s="74"/>
      <c r="N33" s="32"/>
      <c r="O33" s="32"/>
      <c r="P33" s="32"/>
      <c r="Q33" s="32"/>
      <c r="R33" s="32"/>
      <c r="S33" s="32"/>
      <c r="T33" s="10"/>
      <c r="U33" s="10"/>
      <c r="V33" s="10"/>
      <c r="W33" s="10"/>
      <c r="X33" s="10"/>
      <c r="Y33" s="10"/>
      <c r="Z33" s="10"/>
      <c r="AA33" s="10"/>
      <c r="AB33" s="10"/>
      <c r="AC33" s="10"/>
      <c r="AD33" s="10"/>
      <c r="AE33" s="10"/>
      <c r="AF33" s="10"/>
      <c r="AG33" s="10"/>
      <c r="AH33" s="10"/>
      <c r="AI33" s="10"/>
      <c r="AJ33" s="10"/>
      <c r="AK33" s="10"/>
      <c r="AL33" s="10"/>
      <c r="AM33" s="10"/>
      <c r="AN33" s="10"/>
      <c r="AO33" s="10"/>
    </row>
    <row r="34" spans="1:41" ht="14.25" customHeight="1" x14ac:dyDescent="0.25">
      <c r="A34" s="972">
        <f>IF(SUM(Land_PropertyRightsRange_2)=0,0,1)</f>
        <v>0</v>
      </c>
      <c r="B34" s="16"/>
      <c r="C34" s="130"/>
      <c r="D34" s="520" t="s">
        <v>174</v>
      </c>
      <c r="E34" s="765"/>
      <c r="F34" s="1855">
        <f t="shared" ref="F34:K34" si="6">IF(Land_AdjType_2&lt;&gt;"$ per Unit",IF(AND(F35=0,F36=0,F37=0),0,IF(F35&lt;&gt;0,F35,IF(F36&lt;&gt;0,IF(dpUnit_Land_2="Per Usable Acre",(F36/F$15)/F$23,IF(dpUnit_Land_2="Per Gross Acre",(F36/F$17)/F$25,IF(dpUnit_Land_2="Per Usable Square Foot",(F36/F$16)/F$24,IF(dpUnit_Land_2="Per Gross Square Foot",(F36/F$18)/F$26,IF(dpUnit_Land_2="Per Front Foot",(F36/F$19)/F$27,IF(dpUnit_Land_2="Per Proposed Square Foot",(F36/F$20)/F$28,IF(dpUnit_Land_2="Per Lot",(F36/F$21)/F$29,(F36/F$22)/F$30))))))),IF(dpUnit_Land_2="Per Usable Acre",F37/F$23,IF(dpUnit_Land_2="Per Gross Acre",F37/F$25,IF(dpUnit_Land_2="Per Usable Square Foot",F37/F$24,IF(dpUnit_Land_2="Per Gross Square Foot",F37/F$26,IF(dpUnit_Land_2="Per Front Foot",F37/F$27,IF(dpUnit_Land_2="Per Proposed Square Foot",F37/F$28,IF(dpUnit_Land_2="Per Lot",F37/F$29,F37/F$30)))))))))),IF(Land_AdjType_2="$ per Unit",IF(AND(F35=0,F36=0,F37=0),0,IF(F35&lt;&gt;0,IF(dpUnit_Land_2="Per Usable Acre",F35*F$23,IF(dpUnit_Land_2="Per Gross Acre",F35*F$25,IF(dpUnit_Land_2="Per Usable Square Foot",F35*F$24,IF(dpUnit_Land_2="Per Gross Square Foot",F35*F$26,IF(dpUnit_Land_2="Per Front Foot",F35*F$27,IF(dpUnit_Land_2="Per Proposed Square Foot",F35*F$28,IF(dpUnit_Land_2="Per Lot",F35*F$29,F35*F$30))))))),IF(F36&lt;&gt;0,IF(dpUnit_Land_2="Per Usable Acre",F36/F$15,IF(dpUnit_Land_2="Per Gross Acre",F36/F$17,IF(dpUnit_Land_2="Per Usable Square Foot",F36/F$16,IF(dpUnit_Land_2="Per Gross Square Foot",F36/F$18,IF(dpUnit_Land_2="Per Front Foot",F36/F$19,IF(dpUnit_Land_2="Per Proposed Square Foot",F36/F$20,IF(dpUnit_Land_2="Per Lot",F36/F$21,F36/F$22))))))),F37)))))</f>
        <v>0</v>
      </c>
      <c r="G34" s="1855">
        <f t="shared" si="6"/>
        <v>0</v>
      </c>
      <c r="H34" s="1855">
        <f t="shared" si="6"/>
        <v>0</v>
      </c>
      <c r="I34" s="1855">
        <f t="shared" si="6"/>
        <v>0</v>
      </c>
      <c r="J34" s="1855">
        <f t="shared" si="6"/>
        <v>0</v>
      </c>
      <c r="K34" s="1150">
        <f t="shared" si="6"/>
        <v>0</v>
      </c>
      <c r="L34" s="763"/>
      <c r="M34" s="74"/>
      <c r="N34" s="32"/>
      <c r="O34" s="32"/>
      <c r="P34" s="32"/>
      <c r="Q34" s="32"/>
      <c r="R34" s="32"/>
      <c r="S34" s="32"/>
      <c r="T34" s="10"/>
      <c r="U34" s="10"/>
      <c r="V34" s="10"/>
      <c r="W34" s="10"/>
      <c r="X34" s="10"/>
      <c r="Y34" s="10"/>
      <c r="Z34" s="10"/>
      <c r="AA34" s="10"/>
      <c r="AB34" s="10"/>
      <c r="AC34" s="10"/>
      <c r="AD34" s="10"/>
      <c r="AE34" s="10"/>
      <c r="AF34" s="10"/>
      <c r="AG34" s="10"/>
      <c r="AH34" s="10"/>
      <c r="AI34" s="10"/>
      <c r="AJ34" s="10"/>
      <c r="AK34" s="10"/>
      <c r="AL34" s="10"/>
      <c r="AM34" s="10"/>
      <c r="AN34" s="10"/>
      <c r="AO34" s="10"/>
    </row>
    <row r="35" spans="1:41" ht="14.25" customHeight="1" x14ac:dyDescent="0.25">
      <c r="A35" s="972">
        <v>0</v>
      </c>
      <c r="B35" s="16"/>
      <c r="C35" s="130"/>
      <c r="D35" s="1151"/>
      <c r="E35" s="1180" t="s">
        <v>166</v>
      </c>
      <c r="F35" s="1856"/>
      <c r="G35" s="1856"/>
      <c r="H35" s="1856"/>
      <c r="I35" s="1856"/>
      <c r="J35" s="1856"/>
      <c r="K35" s="1003"/>
      <c r="L35" s="136"/>
      <c r="M35" s="74"/>
      <c r="N35" s="32"/>
      <c r="O35" s="32"/>
      <c r="P35" s="32"/>
      <c r="Q35" s="32"/>
      <c r="R35" s="32"/>
      <c r="S35" s="32"/>
      <c r="T35" s="10"/>
      <c r="U35" s="10"/>
      <c r="V35" s="10"/>
      <c r="W35" s="10"/>
      <c r="X35" s="10"/>
      <c r="Y35" s="10"/>
      <c r="Z35" s="10"/>
      <c r="AA35" s="10"/>
      <c r="AB35" s="10"/>
      <c r="AC35" s="10"/>
      <c r="AD35" s="10"/>
      <c r="AE35" s="10"/>
      <c r="AF35" s="10"/>
      <c r="AG35" s="10"/>
      <c r="AH35" s="10"/>
      <c r="AI35" s="10"/>
      <c r="AJ35" s="10"/>
      <c r="AK35" s="10"/>
      <c r="AL35" s="10"/>
      <c r="AM35" s="10"/>
      <c r="AN35" s="10"/>
      <c r="AO35" s="10"/>
    </row>
    <row r="36" spans="1:41" ht="14.25" customHeight="1" x14ac:dyDescent="0.25">
      <c r="A36" s="972">
        <v>0</v>
      </c>
      <c r="B36" s="16"/>
      <c r="C36" s="130"/>
      <c r="D36" s="1151"/>
      <c r="E36" s="1180" t="s">
        <v>167</v>
      </c>
      <c r="F36" s="1857"/>
      <c r="G36" s="1857"/>
      <c r="H36" s="1857"/>
      <c r="I36" s="1857"/>
      <c r="J36" s="1857"/>
      <c r="K36" s="1004"/>
      <c r="L36" s="1152"/>
      <c r="M36" s="74"/>
      <c r="N36" s="32"/>
      <c r="O36" s="32"/>
      <c r="P36" s="32"/>
      <c r="Q36" s="32"/>
      <c r="R36" s="32"/>
      <c r="S36" s="32"/>
      <c r="T36" s="10"/>
      <c r="U36" s="10"/>
      <c r="V36" s="10"/>
      <c r="W36" s="10"/>
      <c r="X36" s="10"/>
      <c r="Y36" s="10"/>
      <c r="Z36" s="10"/>
      <c r="AA36" s="10"/>
      <c r="AB36" s="10"/>
      <c r="AC36" s="10"/>
      <c r="AD36" s="10"/>
      <c r="AE36" s="10"/>
      <c r="AF36" s="10"/>
      <c r="AG36" s="10"/>
      <c r="AH36" s="10"/>
      <c r="AI36" s="10"/>
      <c r="AJ36" s="10"/>
      <c r="AK36" s="10"/>
      <c r="AL36" s="10"/>
      <c r="AM36" s="10"/>
      <c r="AN36" s="10"/>
      <c r="AO36" s="10"/>
    </row>
    <row r="37" spans="1:41" ht="14.25" customHeight="1" x14ac:dyDescent="0.25">
      <c r="A37" s="972">
        <v>0</v>
      </c>
      <c r="B37" s="16"/>
      <c r="C37" s="130"/>
      <c r="D37" s="1151"/>
      <c r="E37" s="1180" t="str">
        <f>CONCATENATE("Enter $/",dpUnit_Land," Adj.")</f>
        <v>Enter $/per Usable Square Foot Adj.</v>
      </c>
      <c r="F37" s="1858"/>
      <c r="G37" s="1858"/>
      <c r="H37" s="1858"/>
      <c r="I37" s="1858"/>
      <c r="J37" s="1858"/>
      <c r="K37" s="1005"/>
      <c r="L37" s="1153"/>
      <c r="M37" s="74"/>
      <c r="N37" s="32"/>
      <c r="O37" s="32"/>
      <c r="P37" s="32"/>
      <c r="Q37" s="32"/>
      <c r="R37" s="32"/>
      <c r="S37" s="32"/>
      <c r="T37" s="10"/>
      <c r="U37" s="10"/>
      <c r="V37" s="10"/>
      <c r="W37" s="10"/>
      <c r="X37" s="10"/>
      <c r="Y37" s="10"/>
      <c r="Z37" s="10"/>
      <c r="AA37" s="10"/>
      <c r="AB37" s="10"/>
      <c r="AC37" s="10"/>
      <c r="AD37" s="10"/>
      <c r="AE37" s="10"/>
      <c r="AF37" s="10"/>
      <c r="AG37" s="10"/>
      <c r="AH37" s="10"/>
      <c r="AI37" s="10"/>
      <c r="AJ37" s="10"/>
      <c r="AK37" s="10"/>
      <c r="AL37" s="10"/>
      <c r="AM37" s="10"/>
      <c r="AN37" s="10"/>
      <c r="AO37" s="10"/>
    </row>
    <row r="38" spans="1:41" ht="14.25" customHeight="1" x14ac:dyDescent="0.25">
      <c r="A38" s="972">
        <f>IF(Land_AdjType_2="Qualitative",0,1)</f>
        <v>1</v>
      </c>
      <c r="B38" s="16"/>
      <c r="C38" s="130"/>
      <c r="D38" s="520" t="s">
        <v>1364</v>
      </c>
      <c r="E38" s="1180"/>
      <c r="F38" s="1859" t="e">
        <f t="shared" ref="F38:K38" si="7">IF(Land_AdjType_2&lt;&gt;"$ per Unit",IF(dpUnit_Land_2="Per Usable Acre",F$23*(1+F34),IF(dpUnit_Land_2="Per Gross Acre",F$25*(1+F34),IF(dpUnit_Land_2="Per Usable Square Foot",F$24*(1+F34),IF(dpUnit_Land_2="Per Gross Square Foot",F$26*(1+F34),IF(dpUnit_Land_2="Per Front Foot",F$27*(1+F34),IF(dpUnit_Land_2="Per Proposed Square Foot",F$28*(1+F34),IF(dpUnit_Land_2="Per Lot",F$29*(1+F34),F$30*(1+F34)))))))),IF(Land_AdjType_2="$ per Unit",IF(dpUnit_Land_2="Per Usable Acre",F$23+F34,IF(dpUnit_Land_2="Per Gross Acre",F$25+F34,IF(dpUnit_Land_2="Per Usable Square Foot",F$24+F34,IF(dpUnit_Land_2="Per Gross Square Foot",F$26+F34,IF(dpUnit_Land_2="Per Front Foot",F$27+F34,IF(dpUnit_Land_2="Per Proposed Square Foot",F$28+F34,IF(dpUnit_Land_2="Per Lot",F$29+F34,F$30+F34))))))),F34))</f>
        <v>#DIV/0!</v>
      </c>
      <c r="G38" s="1859" t="e">
        <f t="shared" si="7"/>
        <v>#DIV/0!</v>
      </c>
      <c r="H38" s="1859" t="e">
        <f t="shared" si="7"/>
        <v>#DIV/0!</v>
      </c>
      <c r="I38" s="1859" t="e">
        <f t="shared" si="7"/>
        <v>#DIV/0!</v>
      </c>
      <c r="J38" s="1859" t="e">
        <f t="shared" si="7"/>
        <v>#DIV/0!</v>
      </c>
      <c r="K38" s="2863" t="e">
        <f t="shared" si="7"/>
        <v>#DIV/0!</v>
      </c>
      <c r="L38" s="1153"/>
      <c r="M38" s="74"/>
      <c r="N38" s="32"/>
      <c r="O38" s="32"/>
      <c r="P38" s="32"/>
      <c r="Q38" s="32"/>
      <c r="R38" s="32"/>
      <c r="S38" s="32"/>
      <c r="T38" s="10"/>
      <c r="U38" s="10"/>
      <c r="V38" s="10"/>
      <c r="W38" s="10"/>
      <c r="X38" s="10"/>
      <c r="Y38" s="10"/>
      <c r="Z38" s="10"/>
      <c r="AA38" s="10"/>
      <c r="AB38" s="10"/>
      <c r="AC38" s="10"/>
      <c r="AD38" s="10"/>
      <c r="AE38" s="10"/>
      <c r="AF38" s="10"/>
      <c r="AG38" s="10"/>
      <c r="AH38" s="10"/>
      <c r="AI38" s="10"/>
      <c r="AJ38" s="10"/>
      <c r="AK38" s="10"/>
      <c r="AL38" s="10"/>
      <c r="AM38" s="10"/>
      <c r="AN38" s="10"/>
      <c r="AO38" s="10"/>
    </row>
    <row r="39" spans="1:41" ht="8.1" customHeight="1" x14ac:dyDescent="0.25">
      <c r="A39" s="972">
        <v>1</v>
      </c>
      <c r="B39" s="16"/>
      <c r="C39" s="130"/>
      <c r="D39" s="766"/>
      <c r="E39" s="765"/>
      <c r="F39" s="1860"/>
      <c r="G39" s="1860"/>
      <c r="H39" s="1860"/>
      <c r="I39" s="1860"/>
      <c r="J39" s="1860"/>
      <c r="K39" s="1154"/>
      <c r="L39" s="1146"/>
      <c r="M39" s="74"/>
      <c r="N39" s="32"/>
      <c r="O39" s="32"/>
      <c r="P39" s="32"/>
      <c r="Q39" s="32"/>
      <c r="R39" s="32"/>
      <c r="S39" s="32"/>
      <c r="T39" s="10"/>
      <c r="U39" s="10"/>
      <c r="V39" s="10"/>
      <c r="W39" s="10"/>
      <c r="X39" s="10"/>
      <c r="Y39" s="10"/>
      <c r="Z39" s="10"/>
      <c r="AA39" s="10"/>
      <c r="AB39" s="10"/>
      <c r="AC39" s="10"/>
      <c r="AD39" s="10"/>
      <c r="AE39" s="10"/>
      <c r="AF39" s="10"/>
      <c r="AG39" s="10"/>
      <c r="AH39" s="10"/>
      <c r="AI39" s="10"/>
      <c r="AJ39" s="10"/>
      <c r="AK39" s="10"/>
      <c r="AL39" s="10"/>
      <c r="AM39" s="10"/>
      <c r="AN39" s="10"/>
      <c r="AO39" s="10"/>
    </row>
    <row r="40" spans="1:41" x14ac:dyDescent="0.25">
      <c r="A40" s="972">
        <v>1</v>
      </c>
      <c r="B40" s="16"/>
      <c r="C40" s="130"/>
      <c r="D40" s="1489" t="s">
        <v>165</v>
      </c>
      <c r="E40" s="1148" t="s">
        <v>969</v>
      </c>
      <c r="F40" s="1823"/>
      <c r="G40" s="1823"/>
      <c r="H40" s="1823"/>
      <c r="I40" s="1823"/>
      <c r="J40" s="1823"/>
      <c r="K40" s="1155"/>
      <c r="L40" s="763"/>
      <c r="M40" s="74"/>
      <c r="N40" s="32"/>
      <c r="O40" s="32"/>
      <c r="P40" s="32"/>
      <c r="Q40" s="32"/>
      <c r="R40" s="32"/>
      <c r="S40" s="32"/>
      <c r="T40" s="10"/>
      <c r="U40" s="10"/>
      <c r="V40" s="10"/>
      <c r="W40" s="10"/>
      <c r="X40" s="10"/>
      <c r="Y40" s="10"/>
      <c r="Z40" s="10"/>
      <c r="AA40" s="10"/>
      <c r="AB40" s="10"/>
      <c r="AC40" s="10"/>
      <c r="AD40" s="10"/>
      <c r="AE40" s="10"/>
      <c r="AF40" s="10"/>
      <c r="AG40" s="10"/>
      <c r="AH40" s="10"/>
      <c r="AI40" s="10"/>
      <c r="AJ40" s="10"/>
      <c r="AK40" s="10"/>
      <c r="AL40" s="10"/>
      <c r="AM40" s="10"/>
      <c r="AN40" s="10"/>
      <c r="AO40" s="10"/>
    </row>
    <row r="41" spans="1:41" ht="14.25" customHeight="1" x14ac:dyDescent="0.25">
      <c r="A41" s="972">
        <f>IF(SUM(Land_FinancingTermsRange_2)=0,0,1)</f>
        <v>0</v>
      </c>
      <c r="B41" s="16"/>
      <c r="C41" s="130"/>
      <c r="D41" s="520" t="s">
        <v>174</v>
      </c>
      <c r="E41" s="765"/>
      <c r="F41" s="1855">
        <f t="shared" ref="F41:K41" si="8">IF(Land_AdjType_2&lt;&gt;"$ per Unit",IF(AND(F42=0,F43=0,F44=0),0,IF(F42&lt;&gt;0,F42,IF(F43&lt;&gt;0,IF(dpUnit_Land_2="Per Usable Acre",(F43/F$15)/F$23,IF(dpUnit_Land_2="Per Gross Acre",(F43/F$17)/F$25,IF(dpUnit_Land_2="Per Usable Square Foot",(F43/F$16)/F$24,IF(dpUnit_Land_2="Per Gross Square Foot",(F43/F$18)/F$26,IF(dpUnit_Land_2="Per Front Foot",(F43/F$19)/F$27,IF(dpUnit_Land_2="Per Proposed Square Foot",(F43/F$20)/F$28,IF(dpUnit_Land_2="Per Lot",(F43/F$21)/F$29,(F43/F$22)/F$30))))))),IF(dpUnit_Land_2="Per Usable Acre",F44/F$23,IF(dpUnit_Land_2="Per Gross Acre",F44/F$25,IF(dpUnit_Land_2="Per Usable Square Foot",F44/F$24,IF(dpUnit_Land_2="Per Gross Square Foot",F44/F$26,IF(dpUnit_Land_2="Per Front Foot",F44/F$27,IF(dpUnit_Land_2="Per Proposed Square Foot",F44/F$28,IF(dpUnit_Land_2="Per Lot",F44/F$29,F44/F$30)))))))))),IF(Land_AdjType_2="$ per Unit",IF(AND(F42=0,F43=0,F44=0),0,IF(F42&lt;&gt;0,IF(dpUnit_Land_2="Per Usable Acre",F42*F$23,IF(dpUnit_Land_2="Per Gross Acre",F42*F$25,IF(dpUnit_Land_2="Per Usable Square Foot",F42*F$24,IF(dpUnit_Land_2="Per Gross Square Foot",F42*F$26,IF(dpUnit_Land_2="Per Front Foot",F42*F$27,IF(dpUnit_Land_2="Per Proposed Square Foot",F42*F$28,IF(dpUnit_Land_2="Per Lot",F42*F$29,F42*F$30))))))),IF(F43&lt;&gt;0,IF(dpUnit_Land_2="Per Usable Acre",F43/F$15,IF(dpUnit_Land_2="Per Gross Acre",F43/F$17,IF(dpUnit_Land_2="Per Usable Square Foot",F43/F$16,IF(dpUnit_Land_2="Per Gross Square Foot",F43/F$18,IF(dpUnit_Land_2="Per Front Foot",F43/F$19,IF(dpUnit_Land_2="Per Proposed Square Foot",F43/F$20,IF(dpUnit_Land_2="Per Lot",F43/F$21,F43/F$22))))))),F44)))))</f>
        <v>0</v>
      </c>
      <c r="G41" s="1855">
        <f t="shared" si="8"/>
        <v>0</v>
      </c>
      <c r="H41" s="1855">
        <f t="shared" si="8"/>
        <v>0</v>
      </c>
      <c r="I41" s="1855">
        <f t="shared" si="8"/>
        <v>0</v>
      </c>
      <c r="J41" s="1855">
        <f t="shared" si="8"/>
        <v>0</v>
      </c>
      <c r="K41" s="1150">
        <f t="shared" si="8"/>
        <v>0</v>
      </c>
      <c r="L41" s="763"/>
      <c r="M41" s="74"/>
      <c r="N41" s="32"/>
      <c r="O41" s="32"/>
      <c r="P41" s="32"/>
      <c r="Q41" s="32"/>
      <c r="R41" s="32"/>
      <c r="S41" s="32"/>
      <c r="T41" s="10"/>
      <c r="U41" s="10"/>
      <c r="V41" s="10"/>
      <c r="W41" s="10"/>
      <c r="X41" s="10"/>
      <c r="Y41" s="10"/>
      <c r="Z41" s="10"/>
      <c r="AA41" s="10"/>
      <c r="AB41" s="10"/>
      <c r="AC41" s="10"/>
      <c r="AD41" s="10"/>
      <c r="AE41" s="10"/>
      <c r="AF41" s="10"/>
      <c r="AG41" s="10"/>
      <c r="AH41" s="10"/>
      <c r="AI41" s="10"/>
      <c r="AJ41" s="10"/>
      <c r="AK41" s="10"/>
      <c r="AL41" s="10"/>
      <c r="AM41" s="10"/>
      <c r="AN41" s="10"/>
      <c r="AO41" s="10"/>
    </row>
    <row r="42" spans="1:41" ht="14.25" customHeight="1" x14ac:dyDescent="0.25">
      <c r="A42" s="972">
        <v>0</v>
      </c>
      <c r="B42" s="16"/>
      <c r="C42" s="130"/>
      <c r="D42" s="766"/>
      <c r="E42" s="1180" t="s">
        <v>166</v>
      </c>
      <c r="F42" s="1856"/>
      <c r="G42" s="1856"/>
      <c r="H42" s="1856"/>
      <c r="I42" s="1856"/>
      <c r="J42" s="1856"/>
      <c r="K42" s="1003"/>
      <c r="L42" s="136"/>
      <c r="M42" s="74"/>
      <c r="N42" s="32"/>
      <c r="O42" s="32"/>
      <c r="P42" s="32"/>
      <c r="Q42" s="32"/>
      <c r="R42" s="32"/>
      <c r="S42" s="32"/>
      <c r="T42" s="10"/>
      <c r="U42" s="10"/>
      <c r="V42" s="10"/>
      <c r="W42" s="10"/>
      <c r="X42" s="10"/>
      <c r="Y42" s="10"/>
      <c r="Z42" s="10"/>
      <c r="AA42" s="10"/>
      <c r="AB42" s="10"/>
      <c r="AC42" s="10"/>
      <c r="AD42" s="10"/>
      <c r="AE42" s="10"/>
      <c r="AF42" s="10"/>
      <c r="AG42" s="10"/>
      <c r="AH42" s="10"/>
      <c r="AI42" s="10"/>
      <c r="AJ42" s="10"/>
      <c r="AK42" s="10"/>
      <c r="AL42" s="10"/>
      <c r="AM42" s="10"/>
      <c r="AN42" s="10"/>
      <c r="AO42" s="10"/>
    </row>
    <row r="43" spans="1:41" ht="14.25" customHeight="1" x14ac:dyDescent="0.25">
      <c r="A43" s="972">
        <v>0</v>
      </c>
      <c r="B43" s="16"/>
      <c r="C43" s="130"/>
      <c r="D43" s="766"/>
      <c r="E43" s="1180" t="s">
        <v>167</v>
      </c>
      <c r="F43" s="1857"/>
      <c r="G43" s="1857"/>
      <c r="H43" s="1857"/>
      <c r="I43" s="1857"/>
      <c r="J43" s="1857"/>
      <c r="K43" s="1004"/>
      <c r="L43" s="1152"/>
      <c r="M43" s="74"/>
      <c r="N43" s="32"/>
      <c r="O43" s="32"/>
      <c r="P43" s="32"/>
      <c r="Q43" s="32"/>
      <c r="R43" s="32"/>
      <c r="S43" s="32"/>
      <c r="T43" s="10"/>
      <c r="U43" s="10"/>
      <c r="V43" s="10"/>
      <c r="W43" s="10"/>
      <c r="X43" s="10"/>
      <c r="Y43" s="10"/>
      <c r="Z43" s="10"/>
      <c r="AA43" s="10"/>
      <c r="AB43" s="10"/>
      <c r="AC43" s="10"/>
      <c r="AD43" s="10"/>
      <c r="AE43" s="10"/>
      <c r="AF43" s="10"/>
      <c r="AG43" s="10"/>
      <c r="AH43" s="10"/>
      <c r="AI43" s="10"/>
      <c r="AJ43" s="10"/>
      <c r="AK43" s="10"/>
      <c r="AL43" s="10"/>
      <c r="AM43" s="10"/>
      <c r="AN43" s="10"/>
      <c r="AO43" s="10"/>
    </row>
    <row r="44" spans="1:41" ht="14.25" customHeight="1" x14ac:dyDescent="0.25">
      <c r="A44" s="972">
        <v>0</v>
      </c>
      <c r="B44" s="16"/>
      <c r="C44" s="130"/>
      <c r="D44" s="766"/>
      <c r="E44" s="1180" t="str">
        <f>CONCATENATE("Enter $/",dpUnit_Land," Adj.")</f>
        <v>Enter $/per Usable Square Foot Adj.</v>
      </c>
      <c r="F44" s="1858"/>
      <c r="G44" s="1858"/>
      <c r="H44" s="1858"/>
      <c r="I44" s="1858"/>
      <c r="J44" s="1858"/>
      <c r="K44" s="1005"/>
      <c r="L44" s="1153"/>
      <c r="M44" s="74"/>
      <c r="N44" s="32"/>
      <c r="O44" s="32"/>
      <c r="P44" s="32"/>
      <c r="Q44" s="32"/>
      <c r="R44" s="32"/>
      <c r="S44" s="32"/>
      <c r="T44" s="10"/>
      <c r="U44" s="10"/>
      <c r="V44" s="10"/>
      <c r="W44" s="10"/>
      <c r="X44" s="10"/>
      <c r="Y44" s="10"/>
      <c r="Z44" s="10"/>
      <c r="AA44" s="10"/>
      <c r="AB44" s="10"/>
      <c r="AC44" s="10"/>
      <c r="AD44" s="10"/>
      <c r="AE44" s="10"/>
      <c r="AF44" s="10"/>
      <c r="AG44" s="10"/>
      <c r="AH44" s="10"/>
      <c r="AI44" s="10"/>
      <c r="AJ44" s="10"/>
      <c r="AK44" s="10"/>
      <c r="AL44" s="10"/>
      <c r="AM44" s="10"/>
      <c r="AN44" s="10"/>
      <c r="AO44" s="10"/>
    </row>
    <row r="45" spans="1:41" ht="14.25" customHeight="1" x14ac:dyDescent="0.25">
      <c r="A45" s="972">
        <f>IF(Land_AdjType_2="Qualitative",0,1)</f>
        <v>1</v>
      </c>
      <c r="B45" s="16"/>
      <c r="C45" s="130"/>
      <c r="D45" s="520" t="s">
        <v>1364</v>
      </c>
      <c r="E45" s="1180"/>
      <c r="F45" s="1859" t="e">
        <f t="shared" ref="F45:K45" si="9">IF(Land_AdjType_2&lt;&gt;"$ per Unit",F38*(1+F41),IF(Land_AdjType_2="$ per Unit",F38+F41,F41))</f>
        <v>#DIV/0!</v>
      </c>
      <c r="G45" s="1859" t="e">
        <f t="shared" si="9"/>
        <v>#DIV/0!</v>
      </c>
      <c r="H45" s="1859" t="e">
        <f t="shared" si="9"/>
        <v>#DIV/0!</v>
      </c>
      <c r="I45" s="1859" t="e">
        <f t="shared" si="9"/>
        <v>#DIV/0!</v>
      </c>
      <c r="J45" s="1859" t="e">
        <f t="shared" si="9"/>
        <v>#DIV/0!</v>
      </c>
      <c r="K45" s="2863" t="e">
        <f t="shared" si="9"/>
        <v>#DIV/0!</v>
      </c>
      <c r="L45" s="1153"/>
      <c r="M45" s="74"/>
      <c r="N45" s="32"/>
      <c r="O45" s="32"/>
      <c r="P45" s="32"/>
      <c r="Q45" s="32"/>
      <c r="R45" s="32"/>
      <c r="S45" s="32"/>
      <c r="T45" s="10"/>
      <c r="U45" s="10"/>
      <c r="V45" s="10"/>
      <c r="W45" s="10"/>
      <c r="X45" s="10"/>
      <c r="Y45" s="10"/>
      <c r="Z45" s="10"/>
      <c r="AA45" s="10"/>
      <c r="AB45" s="10"/>
      <c r="AC45" s="10"/>
      <c r="AD45" s="10"/>
      <c r="AE45" s="10"/>
      <c r="AF45" s="10"/>
      <c r="AG45" s="10"/>
      <c r="AH45" s="10"/>
      <c r="AI45" s="10"/>
      <c r="AJ45" s="10"/>
      <c r="AK45" s="10"/>
      <c r="AL45" s="10"/>
      <c r="AM45" s="10"/>
      <c r="AN45" s="10"/>
      <c r="AO45" s="10"/>
    </row>
    <row r="46" spans="1:41" ht="8.1" customHeight="1" x14ac:dyDescent="0.25">
      <c r="A46" s="972">
        <v>1</v>
      </c>
      <c r="B46" s="16"/>
      <c r="C46" s="130"/>
      <c r="D46" s="766"/>
      <c r="E46" s="765"/>
      <c r="F46" s="1860"/>
      <c r="G46" s="1860"/>
      <c r="H46" s="1860"/>
      <c r="I46" s="1860"/>
      <c r="J46" s="1860"/>
      <c r="K46" s="1154"/>
      <c r="L46" s="1146"/>
      <c r="M46" s="74"/>
      <c r="N46" s="32"/>
      <c r="O46" s="32"/>
      <c r="P46" s="32"/>
      <c r="Q46" s="32"/>
      <c r="R46" s="32"/>
      <c r="S46" s="32"/>
      <c r="T46" s="10"/>
      <c r="U46" s="10"/>
      <c r="V46" s="10"/>
      <c r="W46" s="10"/>
      <c r="X46" s="10"/>
      <c r="Y46" s="10"/>
      <c r="Z46" s="10"/>
      <c r="AA46" s="10"/>
      <c r="AB46" s="10"/>
      <c r="AC46" s="10"/>
      <c r="AD46" s="10"/>
      <c r="AE46" s="10"/>
      <c r="AF46" s="10"/>
      <c r="AG46" s="10"/>
      <c r="AH46" s="10"/>
      <c r="AI46" s="10"/>
      <c r="AJ46" s="10"/>
      <c r="AK46" s="10"/>
      <c r="AL46" s="10"/>
      <c r="AM46" s="10"/>
      <c r="AN46" s="10"/>
      <c r="AO46" s="10"/>
    </row>
    <row r="47" spans="1:41" x14ac:dyDescent="0.25">
      <c r="A47" s="972">
        <v>1</v>
      </c>
      <c r="B47" s="16"/>
      <c r="C47" s="130"/>
      <c r="D47" s="1489" t="s">
        <v>284</v>
      </c>
      <c r="E47" s="1148" t="s">
        <v>175</v>
      </c>
      <c r="F47" s="1823"/>
      <c r="G47" s="1823"/>
      <c r="H47" s="1823"/>
      <c r="I47" s="1823"/>
      <c r="J47" s="1823"/>
      <c r="K47" s="1155"/>
      <c r="L47" s="763"/>
      <c r="M47" s="74"/>
      <c r="N47" s="32"/>
      <c r="O47" s="32"/>
      <c r="P47" s="32"/>
      <c r="Q47" s="32"/>
      <c r="R47" s="32"/>
      <c r="S47" s="32"/>
      <c r="T47" s="10"/>
      <c r="U47" s="10"/>
      <c r="V47" s="10"/>
      <c r="W47" s="10"/>
      <c r="X47" s="10"/>
      <c r="Y47" s="10"/>
      <c r="Z47" s="10"/>
      <c r="AA47" s="10"/>
      <c r="AB47" s="10"/>
      <c r="AC47" s="10"/>
      <c r="AD47" s="10"/>
      <c r="AE47" s="10"/>
      <c r="AF47" s="10"/>
      <c r="AG47" s="10"/>
      <c r="AH47" s="10"/>
      <c r="AI47" s="10"/>
      <c r="AJ47" s="10"/>
      <c r="AK47" s="10"/>
      <c r="AL47" s="10"/>
      <c r="AM47" s="10"/>
      <c r="AN47" s="10"/>
      <c r="AO47" s="10"/>
    </row>
    <row r="48" spans="1:41" ht="14.25" customHeight="1" x14ac:dyDescent="0.25">
      <c r="A48" s="972">
        <f>IF(SUM(Land_ConditionsofSaleRange_2)=0,0,1)</f>
        <v>0</v>
      </c>
      <c r="B48" s="16"/>
      <c r="C48" s="130"/>
      <c r="D48" s="520" t="s">
        <v>174</v>
      </c>
      <c r="E48" s="765"/>
      <c r="F48" s="1855">
        <f t="shared" ref="F48:K48" si="10">IF(Land_AdjType_2&lt;&gt;"$ per Unit",IF(AND(F49=0,F50=0,F51=0),0,IF(F49&lt;&gt;0,F49,IF(F50&lt;&gt;0,IF(dpUnit_Land_2="Per Usable Acre",(F50/F$15)/F$23,IF(dpUnit_Land_2="Per Gross Acre",(F50/F$17)/F$25,IF(dpUnit_Land_2="Per Usable Square Foot",(F50/F$16)/F$24,IF(dpUnit_Land_2="Per Gross Square Foot",(F50/F$18)/F$26,IF(dpUnit_Land_2="Per Front Foot",(F50/F$19)/F$27,IF(dpUnit_Land_2="Per Proposed Square Foot",(F50/F$20)/F$28,IF(dpUnit_Land_2="Per Lot",(F50/F$21)/F$29,(F50/F$22)/F$30))))))),IF(dpUnit_Land_2="Per Usable Acre",F51/F$23,IF(dpUnit_Land_2="Per Gross Acre",F51/F$25,IF(dpUnit_Land_2="Per Usable Square Foot",F51/F$24,IF(dpUnit_Land_2="Per Gross Square Foot",F51/F$26,IF(dpUnit_Land_2="Per Front Foot",F51/F$27,IF(dpUnit_Land_2="Per Proposed Square Foot",F51/F$28,IF(dpUnit_Land_2="Per Lot",F51/F$29,F51/F$30)))))))))),IF(Land_AdjType_2="$ per Unit",IF(AND(F49=0,F50=0,F51=0),0,IF(F49&lt;&gt;0,IF(dpUnit_Land_2="Per Usable Acre",F49*F$23,IF(dpUnit_Land_2="Per Gross Acre",F49*F$25,IF(dpUnit_Land_2="Per Usable Square Foot",F49*F$24,IF(dpUnit_Land_2="Per Gross Square Foot",F49*F$26,IF(dpUnit_Land_2="Per Front Foot",F49*F$27,IF(dpUnit_Land_2="Per Proposed Square Foot",F49*F$28,IF(dpUnit_Land_2="Per Lot",F49*F$29,F49*F$30))))))),IF(F50&lt;&gt;0,IF(dpUnit_Land_2="Per Usable Acre",F50/F$15,IF(dpUnit_Land_2="Per Gross Acre",F50/F$17,IF(dpUnit_Land_2="Per Usable Square Foot",F50/F$16,IF(dpUnit_Land_2="Per Gross Square Foot",F50/F$18,IF(dpUnit_Land_2="Per Front Foot",F50/F$19,IF(dpUnit_Land_2="Per Proposed Square Foot",F50/F$20,IF(dpUnit_Land_2="Per Lot",F50/F$21,F50/F$22))))))),F51)))))</f>
        <v>0</v>
      </c>
      <c r="G48" s="1855">
        <f t="shared" si="10"/>
        <v>0</v>
      </c>
      <c r="H48" s="1855">
        <f t="shared" si="10"/>
        <v>0</v>
      </c>
      <c r="I48" s="1855">
        <f t="shared" si="10"/>
        <v>0</v>
      </c>
      <c r="J48" s="1855">
        <f t="shared" si="10"/>
        <v>0</v>
      </c>
      <c r="K48" s="1150">
        <f t="shared" si="10"/>
        <v>0</v>
      </c>
      <c r="L48" s="763"/>
      <c r="M48" s="74"/>
      <c r="N48" s="32"/>
      <c r="O48" s="32"/>
      <c r="P48" s="32"/>
      <c r="Q48" s="32"/>
      <c r="R48" s="32"/>
      <c r="S48" s="32"/>
      <c r="T48" s="10"/>
      <c r="U48" s="10"/>
      <c r="V48" s="10"/>
      <c r="W48" s="10"/>
      <c r="X48" s="10"/>
      <c r="Y48" s="10"/>
      <c r="Z48" s="10"/>
      <c r="AA48" s="10"/>
      <c r="AB48" s="10"/>
      <c r="AC48" s="10"/>
      <c r="AD48" s="10"/>
      <c r="AE48" s="10"/>
      <c r="AF48" s="10"/>
      <c r="AG48" s="10"/>
      <c r="AH48" s="10"/>
      <c r="AI48" s="10"/>
      <c r="AJ48" s="10"/>
      <c r="AK48" s="10"/>
      <c r="AL48" s="10"/>
      <c r="AM48" s="10"/>
      <c r="AN48" s="10"/>
      <c r="AO48" s="10"/>
    </row>
    <row r="49" spans="1:41" ht="14.25" customHeight="1" x14ac:dyDescent="0.25">
      <c r="A49" s="972">
        <v>0</v>
      </c>
      <c r="B49" s="16"/>
      <c r="C49" s="130"/>
      <c r="D49" s="766"/>
      <c r="E49" s="1180" t="s">
        <v>166</v>
      </c>
      <c r="F49" s="1856"/>
      <c r="G49" s="1856"/>
      <c r="H49" s="1856"/>
      <c r="I49" s="1856"/>
      <c r="J49" s="1856"/>
      <c r="K49" s="1003"/>
      <c r="L49" s="136"/>
      <c r="M49" s="74"/>
      <c r="N49" s="32"/>
      <c r="O49" s="32"/>
      <c r="P49" s="32"/>
      <c r="Q49" s="32"/>
      <c r="R49" s="32"/>
      <c r="S49" s="32"/>
      <c r="T49" s="10"/>
      <c r="U49" s="10"/>
      <c r="V49" s="10"/>
      <c r="W49" s="10"/>
      <c r="X49" s="10"/>
      <c r="Y49" s="10"/>
      <c r="Z49" s="10"/>
      <c r="AA49" s="10"/>
      <c r="AB49" s="10"/>
      <c r="AC49" s="10"/>
      <c r="AD49" s="10"/>
      <c r="AE49" s="10"/>
      <c r="AF49" s="10"/>
      <c r="AG49" s="10"/>
      <c r="AH49" s="10"/>
      <c r="AI49" s="10"/>
      <c r="AJ49" s="10"/>
      <c r="AK49" s="10"/>
      <c r="AL49" s="10"/>
      <c r="AM49" s="10"/>
      <c r="AN49" s="10"/>
      <c r="AO49" s="10"/>
    </row>
    <row r="50" spans="1:41" ht="14.25" customHeight="1" x14ac:dyDescent="0.25">
      <c r="A50" s="972">
        <v>0</v>
      </c>
      <c r="B50" s="16"/>
      <c r="C50" s="130"/>
      <c r="D50" s="766"/>
      <c r="E50" s="1180" t="s">
        <v>167</v>
      </c>
      <c r="F50" s="1857"/>
      <c r="G50" s="1857"/>
      <c r="H50" s="1857"/>
      <c r="I50" s="1857"/>
      <c r="J50" s="1857"/>
      <c r="K50" s="1004"/>
      <c r="L50" s="1152"/>
      <c r="M50" s="74"/>
      <c r="N50" s="32"/>
      <c r="O50" s="32"/>
      <c r="P50" s="32"/>
      <c r="Q50" s="32"/>
      <c r="R50" s="32"/>
      <c r="S50" s="32"/>
      <c r="T50" s="10"/>
      <c r="U50" s="10"/>
      <c r="V50" s="10"/>
      <c r="W50" s="10"/>
      <c r="X50" s="10"/>
      <c r="Y50" s="10"/>
      <c r="Z50" s="10"/>
      <c r="AA50" s="10"/>
      <c r="AB50" s="10"/>
      <c r="AC50" s="10"/>
      <c r="AD50" s="10"/>
      <c r="AE50" s="10"/>
      <c r="AF50" s="10"/>
      <c r="AG50" s="10"/>
      <c r="AH50" s="10"/>
      <c r="AI50" s="10"/>
      <c r="AJ50" s="10"/>
      <c r="AK50" s="10"/>
      <c r="AL50" s="10"/>
      <c r="AM50" s="10"/>
      <c r="AN50" s="10"/>
      <c r="AO50" s="10"/>
    </row>
    <row r="51" spans="1:41" ht="14.25" customHeight="1" x14ac:dyDescent="0.25">
      <c r="A51" s="972">
        <v>0</v>
      </c>
      <c r="B51" s="16"/>
      <c r="C51" s="130"/>
      <c r="D51" s="766"/>
      <c r="E51" s="1180" t="str">
        <f>CONCATENATE("Enter $/",dpUnit_Land," Adj.")</f>
        <v>Enter $/per Usable Square Foot Adj.</v>
      </c>
      <c r="F51" s="1858"/>
      <c r="G51" s="1858"/>
      <c r="H51" s="1858"/>
      <c r="I51" s="1858"/>
      <c r="J51" s="1858"/>
      <c r="K51" s="1005"/>
      <c r="L51" s="1153"/>
      <c r="M51" s="74"/>
      <c r="N51" s="32"/>
      <c r="O51" s="32"/>
      <c r="P51" s="32"/>
      <c r="Q51" s="32"/>
      <c r="R51" s="32"/>
      <c r="S51" s="32"/>
      <c r="T51" s="10"/>
      <c r="U51" s="10"/>
      <c r="V51" s="10"/>
      <c r="W51" s="10"/>
      <c r="X51" s="10"/>
      <c r="Y51" s="10"/>
      <c r="Z51" s="10"/>
      <c r="AA51" s="10"/>
      <c r="AB51" s="10"/>
      <c r="AC51" s="10"/>
      <c r="AD51" s="10"/>
      <c r="AE51" s="10"/>
      <c r="AF51" s="10"/>
      <c r="AG51" s="10"/>
      <c r="AH51" s="10"/>
      <c r="AI51" s="10"/>
      <c r="AJ51" s="10"/>
      <c r="AK51" s="10"/>
      <c r="AL51" s="10"/>
      <c r="AM51" s="10"/>
      <c r="AN51" s="10"/>
      <c r="AO51" s="10"/>
    </row>
    <row r="52" spans="1:41" ht="14.25" customHeight="1" x14ac:dyDescent="0.25">
      <c r="A52" s="972">
        <f>IF(Land_AdjType_2="Qualitative",0,1)</f>
        <v>1</v>
      </c>
      <c r="B52" s="16"/>
      <c r="C52" s="130"/>
      <c r="D52" s="520" t="s">
        <v>1364</v>
      </c>
      <c r="E52" s="1180"/>
      <c r="F52" s="1859" t="e">
        <f t="shared" ref="F52:K52" si="11">IF(Land_AdjType_2&lt;&gt;"$ per Unit",F45*(1+F48),IF(Land_AdjType_2="$ per Unit",F45+F48,F48))</f>
        <v>#DIV/0!</v>
      </c>
      <c r="G52" s="1859" t="e">
        <f t="shared" si="11"/>
        <v>#DIV/0!</v>
      </c>
      <c r="H52" s="1859" t="e">
        <f t="shared" si="11"/>
        <v>#DIV/0!</v>
      </c>
      <c r="I52" s="1859" t="e">
        <f t="shared" si="11"/>
        <v>#DIV/0!</v>
      </c>
      <c r="J52" s="1859" t="e">
        <f t="shared" si="11"/>
        <v>#DIV/0!</v>
      </c>
      <c r="K52" s="2863" t="e">
        <f t="shared" si="11"/>
        <v>#DIV/0!</v>
      </c>
      <c r="L52" s="1153"/>
      <c r="M52" s="74"/>
      <c r="N52" s="32"/>
      <c r="O52" s="32"/>
      <c r="P52" s="32"/>
      <c r="Q52" s="32"/>
      <c r="R52" s="32"/>
      <c r="S52" s="32"/>
      <c r="T52" s="10"/>
      <c r="U52" s="10"/>
      <c r="V52" s="10"/>
      <c r="W52" s="10"/>
      <c r="X52" s="10"/>
      <c r="Y52" s="10"/>
      <c r="Z52" s="10"/>
      <c r="AA52" s="10"/>
      <c r="AB52" s="10"/>
      <c r="AC52" s="10"/>
      <c r="AD52" s="10"/>
      <c r="AE52" s="10"/>
      <c r="AF52" s="10"/>
      <c r="AG52" s="10"/>
      <c r="AH52" s="10"/>
      <c r="AI52" s="10"/>
      <c r="AJ52" s="10"/>
      <c r="AK52" s="10"/>
      <c r="AL52" s="10"/>
      <c r="AM52" s="10"/>
      <c r="AN52" s="10"/>
      <c r="AO52" s="10"/>
    </row>
    <row r="53" spans="1:41" ht="8.1" customHeight="1" x14ac:dyDescent="0.25">
      <c r="A53" s="972">
        <v>1</v>
      </c>
      <c r="B53" s="16"/>
      <c r="C53" s="130"/>
      <c r="D53" s="766"/>
      <c r="E53" s="765"/>
      <c r="F53" s="1860"/>
      <c r="G53" s="1860"/>
      <c r="H53" s="1860"/>
      <c r="I53" s="1860"/>
      <c r="J53" s="1860"/>
      <c r="K53" s="1154"/>
      <c r="L53" s="1146"/>
      <c r="M53" s="74"/>
      <c r="N53" s="32"/>
      <c r="O53" s="32"/>
      <c r="P53" s="32"/>
      <c r="Q53" s="32"/>
      <c r="R53" s="32"/>
      <c r="S53" s="32"/>
      <c r="T53" s="10"/>
      <c r="U53" s="10"/>
      <c r="V53" s="10"/>
      <c r="W53" s="10"/>
      <c r="X53" s="10"/>
      <c r="Y53" s="10"/>
      <c r="Z53" s="10"/>
      <c r="AA53" s="10"/>
      <c r="AB53" s="10"/>
      <c r="AC53" s="10"/>
      <c r="AD53" s="10"/>
      <c r="AE53" s="10"/>
      <c r="AF53" s="10"/>
      <c r="AG53" s="10"/>
      <c r="AH53" s="10"/>
      <c r="AI53" s="10"/>
      <c r="AJ53" s="10"/>
      <c r="AK53" s="10"/>
      <c r="AL53" s="10"/>
      <c r="AM53" s="10"/>
      <c r="AN53" s="10"/>
      <c r="AO53" s="10"/>
    </row>
    <row r="54" spans="1:41" x14ac:dyDescent="0.25">
      <c r="A54" s="972">
        <v>1</v>
      </c>
      <c r="B54" s="16"/>
      <c r="C54" s="130"/>
      <c r="D54" s="1489" t="s">
        <v>264</v>
      </c>
      <c r="E54" s="765"/>
      <c r="F54" s="1861"/>
      <c r="G54" s="1861"/>
      <c r="H54" s="1861"/>
      <c r="I54" s="1861"/>
      <c r="J54" s="1861"/>
      <c r="K54" s="1156"/>
      <c r="L54" s="765"/>
      <c r="M54" s="74"/>
      <c r="N54" s="32"/>
      <c r="O54" s="32"/>
      <c r="P54" s="32"/>
      <c r="Q54" s="32"/>
      <c r="R54" s="32"/>
      <c r="S54" s="32"/>
      <c r="T54" s="10"/>
      <c r="U54" s="10"/>
      <c r="V54" s="10"/>
      <c r="W54" s="10"/>
      <c r="X54" s="10"/>
      <c r="Y54" s="10"/>
      <c r="Z54" s="10"/>
      <c r="AA54" s="10"/>
      <c r="AB54" s="10"/>
      <c r="AC54" s="10"/>
      <c r="AD54" s="10"/>
      <c r="AE54" s="10"/>
      <c r="AF54" s="10"/>
      <c r="AG54" s="10"/>
      <c r="AH54" s="10"/>
      <c r="AI54" s="10"/>
      <c r="AJ54" s="10"/>
      <c r="AK54" s="10"/>
      <c r="AL54" s="10"/>
      <c r="AM54" s="10"/>
      <c r="AN54" s="10"/>
      <c r="AO54" s="10"/>
    </row>
    <row r="55" spans="1:41" ht="14.25" customHeight="1" x14ac:dyDescent="0.25">
      <c r="A55" s="972">
        <f>IFERROR(IF(SUM(Land_ExpendituresAfterSaleRange_2)=0,0,1),0)</f>
        <v>0</v>
      </c>
      <c r="B55" s="16"/>
      <c r="C55" s="130"/>
      <c r="D55" s="520" t="s">
        <v>174</v>
      </c>
      <c r="E55" s="765"/>
      <c r="F55" s="1855" t="e">
        <f t="shared" ref="F55:K55" si="12">IF(Land_AdjType_2&lt;&gt;"$ per Unit",IF(dpUnit_Land_2="Per Usable Acre",F54/(F52*F15),IF(dpUnit_Land_2="Per Gross Acre",F54/(F52*F17),IF(dpUnit_Land_2="Per Usable Square Foot",F54/(F52*F16),IF(dpUnit_Land_2="Per Gross Square Foot",F54/(F52*F18),IF(dpUnit_Land_2="Per Front Foot",F54/(F52*F19),IF(dpUnit_Land_2="Per Proposed Square Foot",F54/(F52*F20),IF(dpUnit_Land_2="Per Lot",F54/(F52*F21),F54/(F52*F22)))))))),IF(Land_AdjType_2="$ per Unit",IF(dpUnit_Land_2="Per Usable Acre",F54/F15,IF(dpUnit_Land_2="Per Gross Acre",F54/F17,IF(dpUnit_Land_2="Per Usable Square Foot",F54/F16,IF(dpUnit_Land_2="Per Gross Square Foot",F54/F18,IF(dpUnit_Land_2="Per Front Foot",F54/F19,IF(dpUnit_Land_2="Per Proposed Square Foot",F54/F20,IF(dpUnit_Land_2="Per Lot",F54/F2,F54/F52)))))))))</f>
        <v>#DIV/0!</v>
      </c>
      <c r="G55" s="1855" t="e">
        <f t="shared" si="12"/>
        <v>#DIV/0!</v>
      </c>
      <c r="H55" s="1855" t="e">
        <f t="shared" si="12"/>
        <v>#DIV/0!</v>
      </c>
      <c r="I55" s="1855" t="e">
        <f t="shared" si="12"/>
        <v>#DIV/0!</v>
      </c>
      <c r="J55" s="1855" t="e">
        <f t="shared" si="12"/>
        <v>#DIV/0!</v>
      </c>
      <c r="K55" s="1150" t="e">
        <f t="shared" si="12"/>
        <v>#DIV/0!</v>
      </c>
      <c r="L55" s="763"/>
      <c r="M55" s="74"/>
      <c r="N55" s="32"/>
      <c r="O55" s="32"/>
      <c r="P55" s="32"/>
      <c r="Q55" s="32"/>
      <c r="R55" s="32"/>
      <c r="S55" s="32"/>
      <c r="T55" s="10"/>
      <c r="U55" s="10"/>
      <c r="V55" s="10"/>
      <c r="W55" s="10"/>
      <c r="X55" s="10"/>
      <c r="Y55" s="10"/>
      <c r="Z55" s="10"/>
      <c r="AA55" s="10"/>
      <c r="AB55" s="10"/>
      <c r="AC55" s="10"/>
      <c r="AD55" s="10"/>
      <c r="AE55" s="10"/>
      <c r="AF55" s="10"/>
      <c r="AG55" s="10"/>
      <c r="AH55" s="10"/>
      <c r="AI55" s="10"/>
      <c r="AJ55" s="10"/>
      <c r="AK55" s="10"/>
      <c r="AL55" s="10"/>
      <c r="AM55" s="10"/>
      <c r="AN55" s="10"/>
      <c r="AO55" s="10"/>
    </row>
    <row r="56" spans="1:41" ht="14.25" customHeight="1" x14ac:dyDescent="0.25">
      <c r="A56" s="972">
        <f>IF(Land_AdjType_2="Qualitative",0,1)</f>
        <v>1</v>
      </c>
      <c r="B56" s="16"/>
      <c r="C56" s="130"/>
      <c r="D56" s="1147" t="s">
        <v>1364</v>
      </c>
      <c r="E56" s="765"/>
      <c r="F56" s="1862" t="e">
        <f t="shared" ref="F56:K56" si="13">IF(Land_AdjType_2&lt;&gt;"$ per Unit",F52*(1+F55),IF(Land_AdjType_2="$ per Unit",F52+F55))</f>
        <v>#DIV/0!</v>
      </c>
      <c r="G56" s="1862" t="e">
        <f t="shared" si="13"/>
        <v>#DIV/0!</v>
      </c>
      <c r="H56" s="1862" t="e">
        <f t="shared" si="13"/>
        <v>#DIV/0!</v>
      </c>
      <c r="I56" s="1862" t="e">
        <f t="shared" si="13"/>
        <v>#DIV/0!</v>
      </c>
      <c r="J56" s="1862" t="e">
        <f t="shared" si="13"/>
        <v>#DIV/0!</v>
      </c>
      <c r="K56" s="2864" t="e">
        <f t="shared" si="13"/>
        <v>#DIV/0!</v>
      </c>
      <c r="L56" s="1526"/>
      <c r="M56" s="74"/>
      <c r="N56" s="32"/>
      <c r="O56" s="32"/>
      <c r="P56" s="32"/>
      <c r="Q56" s="32"/>
      <c r="R56" s="32"/>
      <c r="S56" s="32"/>
      <c r="T56" s="10"/>
      <c r="U56" s="10"/>
      <c r="V56" s="10"/>
      <c r="W56" s="10"/>
      <c r="X56" s="10"/>
      <c r="Y56" s="10"/>
      <c r="Z56" s="10"/>
      <c r="AA56" s="10"/>
      <c r="AB56" s="10"/>
      <c r="AC56" s="10"/>
      <c r="AD56" s="10"/>
      <c r="AE56" s="10"/>
      <c r="AF56" s="10"/>
      <c r="AG56" s="10"/>
      <c r="AH56" s="10"/>
      <c r="AI56" s="10"/>
      <c r="AJ56" s="10"/>
      <c r="AK56" s="10"/>
      <c r="AL56" s="10"/>
      <c r="AM56" s="10"/>
      <c r="AN56" s="10"/>
      <c r="AO56" s="10"/>
    </row>
    <row r="57" spans="1:41" ht="5.0999999999999996" customHeight="1" x14ac:dyDescent="0.25">
      <c r="A57" s="972">
        <v>1</v>
      </c>
      <c r="B57" s="16"/>
      <c r="C57" s="130"/>
      <c r="D57" s="766"/>
      <c r="E57" s="765"/>
      <c r="F57" s="1853"/>
      <c r="G57" s="1845"/>
      <c r="H57" s="1845"/>
      <c r="I57" s="1845"/>
      <c r="J57" s="1845"/>
      <c r="K57" s="1180"/>
      <c r="L57" s="765"/>
      <c r="M57" s="74"/>
      <c r="N57" s="32"/>
      <c r="O57" s="32"/>
      <c r="P57" s="32"/>
      <c r="Q57" s="32"/>
      <c r="R57" s="32"/>
      <c r="S57" s="32"/>
      <c r="T57" s="10"/>
      <c r="U57" s="10"/>
      <c r="V57" s="10"/>
      <c r="W57" s="10"/>
      <c r="X57" s="10"/>
      <c r="Y57" s="10"/>
      <c r="Z57" s="10"/>
      <c r="AA57" s="10"/>
      <c r="AB57" s="10"/>
      <c r="AC57" s="10"/>
      <c r="AD57" s="10"/>
      <c r="AE57" s="10"/>
      <c r="AF57" s="10"/>
      <c r="AG57" s="10"/>
      <c r="AH57" s="10"/>
      <c r="AI57" s="10"/>
      <c r="AJ57" s="10"/>
      <c r="AK57" s="10"/>
      <c r="AL57" s="10"/>
      <c r="AM57" s="10"/>
      <c r="AN57" s="10"/>
      <c r="AO57" s="10"/>
    </row>
    <row r="58" spans="1:41" ht="15" customHeight="1" x14ac:dyDescent="0.25">
      <c r="A58" s="972">
        <v>1</v>
      </c>
      <c r="B58" s="16"/>
      <c r="C58" s="130"/>
      <c r="D58" s="171" t="s">
        <v>162</v>
      </c>
      <c r="E58" s="1526"/>
      <c r="F58" s="1863"/>
      <c r="G58" s="1845"/>
      <c r="H58" s="1845"/>
      <c r="I58" s="1845"/>
      <c r="J58" s="1845"/>
      <c r="K58" s="1180"/>
      <c r="L58" s="765"/>
      <c r="M58" s="74"/>
      <c r="N58" s="32"/>
      <c r="O58" s="32"/>
      <c r="P58" s="32"/>
      <c r="Q58" s="4093" t="s">
        <v>944</v>
      </c>
      <c r="R58" s="290"/>
      <c r="S58" s="290"/>
      <c r="T58" s="10"/>
      <c r="U58" s="10"/>
      <c r="V58" s="10"/>
      <c r="W58" s="10"/>
      <c r="X58" s="10"/>
      <c r="Y58" s="10"/>
      <c r="Z58" s="10"/>
      <c r="AA58" s="10"/>
      <c r="AB58" s="10"/>
      <c r="AC58" s="10"/>
      <c r="AD58" s="10"/>
      <c r="AE58" s="10"/>
      <c r="AF58" s="10"/>
      <c r="AG58" s="10"/>
      <c r="AH58" s="10"/>
      <c r="AI58" s="10"/>
      <c r="AJ58" s="10"/>
      <c r="AK58" s="10"/>
      <c r="AL58" s="10"/>
      <c r="AM58" s="10"/>
      <c r="AN58" s="10"/>
      <c r="AO58" s="10"/>
    </row>
    <row r="59" spans="1:41" ht="15" customHeight="1" thickBot="1" x14ac:dyDescent="0.3">
      <c r="A59" s="972">
        <v>1</v>
      </c>
      <c r="B59" s="16"/>
      <c r="C59" s="130"/>
      <c r="D59" s="1491" t="s">
        <v>171</v>
      </c>
      <c r="E59" s="1158"/>
      <c r="F59" s="1864">
        <f t="shared" ref="F59:K59" si="14">IF(ISERR((dpLand_DOV_2-F10)/365),0,(dpLand_DOV_2-F10)/365)</f>
        <v>0</v>
      </c>
      <c r="G59" s="1864">
        <f t="shared" si="14"/>
        <v>0</v>
      </c>
      <c r="H59" s="1864">
        <f t="shared" si="14"/>
        <v>0</v>
      </c>
      <c r="I59" s="1864">
        <f t="shared" si="14"/>
        <v>0</v>
      </c>
      <c r="J59" s="1864">
        <f t="shared" si="14"/>
        <v>0</v>
      </c>
      <c r="K59" s="1159">
        <f t="shared" si="14"/>
        <v>0</v>
      </c>
      <c r="L59" s="765"/>
      <c r="M59" s="74"/>
      <c r="N59" s="32"/>
      <c r="O59" s="32"/>
      <c r="P59" s="32"/>
      <c r="Q59" s="4114"/>
      <c r="R59" s="10"/>
      <c r="S59" s="290"/>
      <c r="T59" s="10"/>
      <c r="U59" s="10"/>
      <c r="V59" s="10"/>
      <c r="W59" s="10"/>
      <c r="X59" s="10"/>
      <c r="Y59" s="10"/>
      <c r="Z59" s="10"/>
      <c r="AA59" s="10"/>
      <c r="AB59" s="10"/>
      <c r="AC59" s="10"/>
      <c r="AD59" s="10"/>
      <c r="AE59" s="10"/>
      <c r="AF59" s="10"/>
      <c r="AG59" s="10"/>
      <c r="AH59" s="10"/>
      <c r="AI59" s="10"/>
      <c r="AJ59" s="10"/>
      <c r="AK59" s="10"/>
      <c r="AL59" s="10"/>
      <c r="AM59" s="10"/>
      <c r="AN59" s="10"/>
      <c r="AO59" s="10"/>
    </row>
    <row r="60" spans="1:41" ht="14.25" customHeight="1" x14ac:dyDescent="0.25">
      <c r="A60" s="972">
        <v>1</v>
      </c>
      <c r="B60" s="16"/>
      <c r="C60" s="130"/>
      <c r="D60" s="766" t="s">
        <v>172</v>
      </c>
      <c r="E60" s="1176" t="str">
        <f>dpLand_DOV_2</f>
        <v>N/A</v>
      </c>
      <c r="F60" s="1855">
        <f t="shared" ref="F60:K60" si="15">IF(dpLand_MktCondDate1_2="",0,IF(ISERR(IF(AND(dpLand_MktCondDate2_2&lt;&gt;"",F$10&gt;dpLand_MktCondDate1_2),0,(dpLand_MktCondAdj1_2*((dpLand_MktCondDate1_2-F$10)/365)))),0,IF(AND(dpLand_MktCondDate2_2&lt;&gt;"",F$10&gt;dpLand_MktCondDate1_2),0,(dpLand_MktCondAdj1_2*((dpLand_MktCondDate1_2-F$10)/365)))))</f>
        <v>0</v>
      </c>
      <c r="G60" s="1855">
        <f t="shared" si="15"/>
        <v>0</v>
      </c>
      <c r="H60" s="1855">
        <f t="shared" si="15"/>
        <v>0</v>
      </c>
      <c r="I60" s="1855">
        <f t="shared" si="15"/>
        <v>0</v>
      </c>
      <c r="J60" s="1855">
        <f t="shared" si="15"/>
        <v>0</v>
      </c>
      <c r="K60" s="1150">
        <f t="shared" si="15"/>
        <v>0</v>
      </c>
      <c r="L60" s="765"/>
      <c r="M60" s="74"/>
      <c r="N60" s="32"/>
      <c r="O60" s="32"/>
      <c r="P60" s="32"/>
      <c r="Q60" s="573"/>
      <c r="R60" s="10"/>
      <c r="S60" s="1342"/>
      <c r="T60" s="10"/>
      <c r="U60" s="10"/>
      <c r="V60" s="10"/>
      <c r="W60" s="10"/>
      <c r="X60" s="10"/>
      <c r="Y60" s="10"/>
      <c r="Z60" s="10"/>
      <c r="AA60" s="10"/>
      <c r="AB60" s="10"/>
      <c r="AC60" s="10"/>
      <c r="AD60" s="10"/>
      <c r="AE60" s="10"/>
      <c r="AF60" s="10"/>
      <c r="AG60" s="10"/>
      <c r="AH60" s="10"/>
      <c r="AI60" s="10"/>
      <c r="AJ60" s="10"/>
      <c r="AK60" s="10"/>
      <c r="AL60" s="10"/>
      <c r="AM60" s="10"/>
      <c r="AN60" s="10"/>
      <c r="AO60" s="10"/>
    </row>
    <row r="61" spans="1:41" ht="15" customHeight="1" thickBot="1" x14ac:dyDescent="0.3">
      <c r="A61" s="972">
        <f>IF(dpLand_MktCondDate2_2="",0,1)</f>
        <v>0</v>
      </c>
      <c r="B61" s="16"/>
      <c r="C61" s="130"/>
      <c r="D61" s="766" t="s">
        <v>173</v>
      </c>
      <c r="E61" s="1177"/>
      <c r="F61" s="1855">
        <f t="shared" ref="F61:K61" si="16">IF(dpLand_MktCondDate2_2="",0,IF(ISERR(IF(F10&gt;dpLand_MktCondDate1_2,dpLand_MktCondAdj2_2*((dpLand_DOV_2-F$10)/365),IF(F$10&lt;dpLand_DOV_2,dpLand_MktCondAdj2_2*((dpLand_DOV_2-dpLand_MktCondDate1_2)/365),dpLand_MktCondAdj2_2*((dpLand_DOV_2-F$10)/365)))),0,IF(F10&gt;dpLand_MktCondDate1_2,dpLand_MktCondAdj2_2*((dpLand_DOV_2-F$10)/365),IF(F$10&lt;dpLand_DOV_2,dpLand_MktCondAdj2_2*((dpLand_DOV_2-dpLand_MktCondDate1_2)/365),dpLand_MktCondAdj2_2*((dpLand_DOV_2-F$10)/365)))))</f>
        <v>0</v>
      </c>
      <c r="G61" s="1855">
        <f t="shared" si="16"/>
        <v>0</v>
      </c>
      <c r="H61" s="1855">
        <f t="shared" si="16"/>
        <v>0</v>
      </c>
      <c r="I61" s="1855">
        <f t="shared" si="16"/>
        <v>0</v>
      </c>
      <c r="J61" s="1855">
        <f t="shared" si="16"/>
        <v>0</v>
      </c>
      <c r="K61" s="1150">
        <f t="shared" si="16"/>
        <v>0</v>
      </c>
      <c r="L61" s="765"/>
      <c r="M61" s="74"/>
      <c r="N61" s="32"/>
      <c r="O61" s="32"/>
      <c r="P61" s="32"/>
      <c r="Q61" s="574"/>
      <c r="R61" s="12" t="s">
        <v>158</v>
      </c>
      <c r="S61" s="1342"/>
      <c r="T61" s="12"/>
      <c r="U61" s="12"/>
      <c r="V61" s="10"/>
      <c r="W61" s="10"/>
      <c r="X61" s="10"/>
      <c r="Y61" s="10"/>
      <c r="Z61" s="10"/>
      <c r="AA61" s="10"/>
      <c r="AB61" s="10"/>
      <c r="AC61" s="10"/>
      <c r="AD61" s="10"/>
      <c r="AE61" s="10"/>
      <c r="AF61" s="10"/>
      <c r="AG61" s="10"/>
      <c r="AH61" s="10"/>
      <c r="AI61" s="10"/>
      <c r="AJ61" s="10"/>
      <c r="AK61" s="10"/>
      <c r="AL61" s="10"/>
      <c r="AM61" s="10"/>
      <c r="AN61" s="10"/>
      <c r="AO61" s="10"/>
    </row>
    <row r="62" spans="1:41" ht="14.25" customHeight="1" x14ac:dyDescent="0.25">
      <c r="A62" s="972">
        <v>1</v>
      </c>
      <c r="B62" s="16"/>
      <c r="C62" s="130"/>
      <c r="D62" s="1206" t="s">
        <v>1371</v>
      </c>
      <c r="E62" s="765"/>
      <c r="F62" s="1865" t="e">
        <f t="shared" ref="F62:K62" si="17">F56*(1+F60)*(1+F61)</f>
        <v>#DIV/0!</v>
      </c>
      <c r="G62" s="1865" t="e">
        <f t="shared" si="17"/>
        <v>#DIV/0!</v>
      </c>
      <c r="H62" s="1865" t="e">
        <f t="shared" si="17"/>
        <v>#DIV/0!</v>
      </c>
      <c r="I62" s="1865" t="e">
        <f t="shared" si="17"/>
        <v>#DIV/0!</v>
      </c>
      <c r="J62" s="1865" t="e">
        <f t="shared" si="17"/>
        <v>#DIV/0!</v>
      </c>
      <c r="K62" s="2865" t="e">
        <f t="shared" si="17"/>
        <v>#DIV/0!</v>
      </c>
      <c r="L62" s="765"/>
      <c r="M62" s="74"/>
      <c r="N62" s="32"/>
      <c r="O62" s="32"/>
      <c r="P62" s="32"/>
      <c r="Q62" s="32"/>
      <c r="R62" s="32"/>
      <c r="S62" s="32"/>
      <c r="T62" s="10"/>
      <c r="U62" s="10"/>
      <c r="V62" s="10"/>
      <c r="W62" s="10"/>
      <c r="X62" s="10"/>
      <c r="Y62" s="10"/>
      <c r="Z62" s="10"/>
      <c r="AA62" s="10"/>
      <c r="AB62" s="10"/>
      <c r="AC62" s="10"/>
      <c r="AD62" s="10"/>
      <c r="AE62" s="10"/>
      <c r="AF62" s="10"/>
      <c r="AG62" s="10"/>
      <c r="AH62" s="10"/>
      <c r="AI62" s="10"/>
      <c r="AJ62" s="10"/>
      <c r="AK62" s="10"/>
      <c r="AL62" s="10"/>
      <c r="AM62" s="10"/>
      <c r="AN62" s="10"/>
      <c r="AO62" s="10"/>
    </row>
    <row r="63" spans="1:41" ht="4.5" customHeight="1" x14ac:dyDescent="0.25">
      <c r="A63" s="972">
        <v>1</v>
      </c>
      <c r="B63" s="16"/>
      <c r="C63" s="130"/>
      <c r="D63" s="766"/>
      <c r="E63" s="765"/>
      <c r="F63" s="1866">
        <f t="shared" ref="F63:K63" si="18">IF(AND(F68=0,F69=0,F70=0),0,IF(F68&lt;&gt;0,F68,IF(F69&lt;&gt;0,IF(dpUnit_Land_2="Per Usable Acre",(F69/F$15)/F$23,IF(dpUnit_Land_2="Per Gross Acre",(F69/F$17)/F$25,IF(dpUnit_Land_2="Per Usable Square Foot",(F69/F$16)/F$24,IF(dpUnit_Land_2="Per Gross Square Foot",(F69/F$18)/F$26,IF(dpUnit_Land_2="Per Front Foot",(F69/F$19)/F$27,IF(dpUnit_Land_2="Per Proposed Square Foot",(F69/F$20)/F$28,IF(dpUnit_Land_2="Per Lot",(F69/F$21)/F$29,(F69/F$22)/F$30))))))),IF(dpUnit_Land_2="Per Usable Acre",F70/F$23,IF(dpUnit_Land_2="Per Gross Acre",F70/F$25,IF(dpUnit_Land_2="Per Usable Square Foot",F70/F$24,IF(dpUnit_Land_2="Per Gross Square Foot",F70/F$26,IF(dpUnit_Land_2="Per Front Foot",F70/F$27,IF(dpUnit_Land_2="Per Proposed Square Foot",F70/F$28,IF(dpUnit_Land_2="Per Lot",F70/F$29,F70/F$30))))))))))</f>
        <v>0</v>
      </c>
      <c r="G63" s="1866">
        <f t="shared" si="18"/>
        <v>0</v>
      </c>
      <c r="H63" s="1866">
        <f t="shared" si="18"/>
        <v>0</v>
      </c>
      <c r="I63" s="1866">
        <f t="shared" si="18"/>
        <v>0</v>
      </c>
      <c r="J63" s="1866">
        <f t="shared" si="18"/>
        <v>0</v>
      </c>
      <c r="K63" s="1341">
        <f t="shared" si="18"/>
        <v>0</v>
      </c>
      <c r="L63" s="765"/>
      <c r="M63" s="74"/>
      <c r="N63" s="32"/>
      <c r="O63" s="32"/>
      <c r="P63" s="32"/>
      <c r="Q63" s="32"/>
      <c r="R63" s="32"/>
      <c r="S63" s="32"/>
      <c r="T63" s="10"/>
      <c r="U63" s="10"/>
      <c r="V63" s="10"/>
      <c r="W63" s="10"/>
      <c r="X63" s="10"/>
      <c r="Y63" s="10"/>
      <c r="Z63" s="10"/>
      <c r="AA63" s="10"/>
      <c r="AB63" s="10"/>
      <c r="AC63" s="10"/>
      <c r="AD63" s="10"/>
      <c r="AE63" s="10"/>
      <c r="AF63" s="10"/>
      <c r="AG63" s="10"/>
      <c r="AH63" s="10"/>
      <c r="AI63" s="10"/>
      <c r="AJ63" s="10"/>
      <c r="AK63" s="10"/>
      <c r="AL63" s="10"/>
      <c r="AM63" s="10"/>
      <c r="AN63" s="10"/>
      <c r="AO63" s="10"/>
    </row>
    <row r="64" spans="1:41" ht="14.25" customHeight="1" x14ac:dyDescent="0.25">
      <c r="A64" s="972">
        <v>1</v>
      </c>
      <c r="B64" s="16"/>
      <c r="C64" s="130"/>
      <c r="D64" s="171" t="s">
        <v>163</v>
      </c>
      <c r="E64" s="765"/>
      <c r="F64" s="1867"/>
      <c r="G64" s="1867"/>
      <c r="H64" s="1867"/>
      <c r="I64" s="1867"/>
      <c r="J64" s="1867"/>
      <c r="K64" s="875"/>
      <c r="L64" s="1146"/>
      <c r="M64" s="74"/>
      <c r="N64" s="32"/>
      <c r="O64" s="32"/>
      <c r="P64" s="32"/>
      <c r="Q64" s="32"/>
      <c r="R64" s="32"/>
      <c r="S64" s="32"/>
      <c r="T64" s="10"/>
      <c r="U64" s="10"/>
      <c r="V64" s="10"/>
      <c r="W64" s="10"/>
      <c r="X64" s="10"/>
      <c r="Y64" s="10"/>
      <c r="Z64" s="10"/>
      <c r="AA64" s="10"/>
      <c r="AB64" s="10"/>
      <c r="AC64" s="10"/>
      <c r="AD64" s="10"/>
      <c r="AE64" s="10"/>
      <c r="AF64" s="10"/>
      <c r="AG64" s="10"/>
      <c r="AH64" s="10"/>
      <c r="AI64" s="10"/>
      <c r="AJ64" s="10"/>
      <c r="AK64" s="10"/>
      <c r="AL64" s="10"/>
      <c r="AM64" s="10"/>
      <c r="AN64" s="10"/>
      <c r="AO64" s="10"/>
    </row>
    <row r="65" spans="1:41" x14ac:dyDescent="0.25">
      <c r="A65" s="976">
        <f>A67</f>
        <v>2</v>
      </c>
      <c r="B65" s="140"/>
      <c r="C65" s="522"/>
      <c r="D65" s="1489" t="s">
        <v>95</v>
      </c>
      <c r="E65" s="1665" t="str">
        <f>Subject_Address</f>
        <v>4940 Oneida St</v>
      </c>
      <c r="F65" s="1788"/>
      <c r="G65" s="1788"/>
      <c r="H65" s="1788"/>
      <c r="I65" s="1788"/>
      <c r="J65" s="1788"/>
      <c r="K65" s="1162"/>
      <c r="L65" s="1163"/>
      <c r="M65" s="141"/>
      <c r="N65" s="295"/>
      <c r="O65" s="295"/>
      <c r="P65" s="295"/>
      <c r="Q65" s="295"/>
      <c r="R65" s="295"/>
      <c r="S65" s="295"/>
      <c r="T65" s="142"/>
      <c r="U65" s="142"/>
      <c r="V65" s="142"/>
      <c r="W65" s="142"/>
      <c r="X65" s="142"/>
      <c r="Y65" s="142"/>
      <c r="Z65" s="142"/>
      <c r="AA65" s="142"/>
      <c r="AB65" s="142"/>
      <c r="AC65" s="142"/>
      <c r="AD65" s="142"/>
      <c r="AE65" s="142"/>
      <c r="AF65" s="142"/>
      <c r="AG65" s="142"/>
      <c r="AH65" s="142"/>
      <c r="AI65" s="142"/>
      <c r="AJ65" s="142"/>
      <c r="AK65" s="142"/>
      <c r="AL65" s="142"/>
      <c r="AM65" s="142"/>
      <c r="AN65" s="142"/>
      <c r="AO65" s="142"/>
    </row>
    <row r="66" spans="1:41" ht="14.25" customHeight="1" x14ac:dyDescent="0.25">
      <c r="A66" s="976">
        <f>A67</f>
        <v>2</v>
      </c>
      <c r="B66" s="140"/>
      <c r="C66" s="522"/>
      <c r="D66" s="1147"/>
      <c r="E66" s="1650" t="str">
        <f>CONCATENATE(Subject_City,", ",Subject_State)</f>
        <v>Commerce City, Colorado</v>
      </c>
      <c r="F66" s="1788"/>
      <c r="G66" s="1788"/>
      <c r="H66" s="1788"/>
      <c r="I66" s="1788"/>
      <c r="J66" s="1788"/>
      <c r="K66" s="1162"/>
      <c r="L66" s="1163"/>
      <c r="M66" s="141"/>
      <c r="N66" s="295"/>
      <c r="O66" s="295"/>
      <c r="P66" s="295"/>
      <c r="Q66" s="295"/>
      <c r="R66" s="295"/>
      <c r="S66" s="295"/>
      <c r="T66" s="142"/>
      <c r="U66" s="142"/>
      <c r="V66" s="142"/>
      <c r="W66" s="142"/>
      <c r="X66" s="142"/>
      <c r="Y66" s="142"/>
      <c r="Z66" s="142"/>
      <c r="AA66" s="142"/>
      <c r="AB66" s="142"/>
      <c r="AC66" s="142"/>
      <c r="AD66" s="142"/>
      <c r="AE66" s="142"/>
      <c r="AF66" s="142"/>
      <c r="AG66" s="142"/>
      <c r="AH66" s="142"/>
      <c r="AI66" s="142"/>
      <c r="AJ66" s="142"/>
      <c r="AK66" s="142"/>
      <c r="AL66" s="142"/>
      <c r="AM66" s="142"/>
      <c r="AN66" s="142"/>
      <c r="AO66" s="142"/>
    </row>
    <row r="67" spans="1:41" ht="14.25" customHeight="1" x14ac:dyDescent="0.25">
      <c r="A67" s="972">
        <f>IF(B67=TRUE,1,2)</f>
        <v>2</v>
      </c>
      <c r="B67" s="16" t="b">
        <v>0</v>
      </c>
      <c r="C67" s="130"/>
      <c r="D67" s="520" t="str">
        <f>IF(Land_AdjType&lt;&gt;"Qualitative","Adjustment","Relative Comparison")</f>
        <v>Adjustment</v>
      </c>
      <c r="E67" s="765"/>
      <c r="F67" s="1855">
        <f t="shared" ref="F67:K67" si="19">IF(Land_AdjType_2="Percent",IF(AND(F68=0,F69=0,F70=0),0,IF(F68&lt;&gt;0,F68,IF(F69&lt;&gt;0,IF(dpUnit_Land_2="Per Usable Acre",(F69/F$15)/F$23,IF(dpUnit_Land_2="Per Gross Acre",(F69/F$17)/F$25,IF(dpUnit_Land_2="Per Usable Square Foot",(F69/F$16)/F$24,IF(dpUnit_Land_2="Per Gross Square Foot",(F69/F$18)/F$26,IF(dpUnit_Land_2="Per Front Foot",(F69/F$19)/F$27,IF(dpUnit_Land_2="Per Proposed Square Foot",(F69/F$20)/F$28,IF(dpUnit_Land_2="Per Lot",(F69/F$21)/F$29,(F69/F$22)/F$30))))))),IF(dpUnit_Land_2="Per Usable Acre",F70/F$23,IF(dpUnit_Land_2="Per Gross Acre",F70/F$25,IF(dpUnit_Land_2="Per Usable Square Foot",F70/F$24,IF(dpUnit_Land_2="Per Gross Square Foot",F70/F$26,IF(dpUnit_Land_2="Per Front Foot",F70/F$27,IF(dpUnit_Land_2="Per Proposed Square Foot",F70/F$28,IF(dpUnit_Land_2="Per Lot",F70/F$29,F70/F$30)))))))))),IF(Land_AdjType_2="$ per Unit",IF(AND(F68=0,F69=0,F70=0),0,IF(F68&lt;&gt;0,IF(dpUnit_Land_2="Per Usable Acre",F68*F$23,IF(dpUnit_Land_2="Per Gross Acre",F68*F$25,IF(dpUnit_Land_2="Per Usable Square Foot",F68*F$24,IF(dpUnit_Land_2="Per Gross Square Foot",F68*F$26,IF(dpUnit_Land_2="Per Front Foot",F68*F$27,IF(dpUnit_Land_2="Per Proposed Square Foot",F68*F$28,IF(dpUnit_Land_2="Per Lot",F68*F$29,F68*F$30))))))),IF(F69&lt;&gt;0,IF(dpUnit_Land_2="Per Usable Acre",F69/F$15,IF(dpUnit_Land_2="Per Gross Acre",F69/F$17,IF(dpUnit_Land_2="Per Usable Square Foot",F69/F$16,IF(dpUnit_Land_2="Per Gross Square Foot",F69/F$18,IF(dpUnit_Land_2="Per Front Foot",F69/F$19,IF(dpUnit_Land_2="Per Proposed Square Foot",F69/F$20,IF(dpUnit_Land_2="Per Lot",F69/F$21,F69/F$22))))))),F70))),IF(OR(F68&gt;0,F69&gt;0,F70&gt;0),"Inferior",IF(OR(F68&lt;0,F69&lt;0,F70&lt;0),"Superior","Similar"))))</f>
        <v>0</v>
      </c>
      <c r="G67" s="1855">
        <f t="shared" si="19"/>
        <v>0</v>
      </c>
      <c r="H67" s="1855">
        <f t="shared" si="19"/>
        <v>0</v>
      </c>
      <c r="I67" s="1855">
        <f t="shared" si="19"/>
        <v>0</v>
      </c>
      <c r="J67" s="1855">
        <f t="shared" si="19"/>
        <v>0</v>
      </c>
      <c r="K67" s="1150">
        <f t="shared" si="19"/>
        <v>0</v>
      </c>
      <c r="L67" s="763"/>
      <c r="M67" s="74"/>
      <c r="N67" s="32"/>
      <c r="O67" s="32"/>
      <c r="P67" s="32"/>
      <c r="Q67" s="32"/>
      <c r="R67" s="32"/>
      <c r="S67" s="32"/>
      <c r="T67" s="10"/>
      <c r="U67" s="10"/>
      <c r="V67" s="10"/>
      <c r="W67" s="10"/>
      <c r="X67" s="10"/>
      <c r="Y67" s="10"/>
      <c r="Z67" s="10"/>
      <c r="AA67" s="10"/>
      <c r="AB67" s="10"/>
      <c r="AC67" s="10"/>
      <c r="AD67" s="10"/>
      <c r="AE67" s="10"/>
      <c r="AF67" s="10"/>
      <c r="AG67" s="10"/>
      <c r="AH67" s="10"/>
      <c r="AI67" s="10"/>
      <c r="AJ67" s="10"/>
      <c r="AK67" s="10"/>
      <c r="AL67" s="10"/>
      <c r="AM67" s="10"/>
      <c r="AN67" s="10"/>
      <c r="AO67" s="10"/>
    </row>
    <row r="68" spans="1:41" ht="14.25" customHeight="1" x14ac:dyDescent="0.25">
      <c r="A68" s="972">
        <f>IF(A67=2,2,0)</f>
        <v>2</v>
      </c>
      <c r="B68" s="16"/>
      <c r="C68" s="130"/>
      <c r="D68" s="766"/>
      <c r="E68" s="1180" t="s">
        <v>166</v>
      </c>
      <c r="F68" s="1856"/>
      <c r="G68" s="1856"/>
      <c r="H68" s="1856"/>
      <c r="I68" s="1856"/>
      <c r="J68" s="1856"/>
      <c r="K68" s="1003"/>
      <c r="L68" s="136"/>
      <c r="M68" s="74"/>
      <c r="N68" s="32"/>
      <c r="O68" s="32"/>
      <c r="P68" s="32"/>
      <c r="Q68" s="32"/>
      <c r="R68" s="32"/>
      <c r="S68" s="32"/>
      <c r="T68" s="10"/>
      <c r="U68" s="10"/>
      <c r="V68" s="10"/>
      <c r="W68" s="10"/>
      <c r="X68" s="10"/>
      <c r="Y68" s="10"/>
      <c r="Z68" s="10"/>
      <c r="AA68" s="10"/>
      <c r="AB68" s="10"/>
      <c r="AC68" s="10"/>
      <c r="AD68" s="10"/>
      <c r="AE68" s="10"/>
      <c r="AF68" s="10"/>
      <c r="AG68" s="10"/>
      <c r="AH68" s="10"/>
      <c r="AI68" s="10"/>
      <c r="AJ68" s="10"/>
      <c r="AK68" s="10"/>
      <c r="AL68" s="10"/>
      <c r="AM68" s="10"/>
      <c r="AN68" s="10"/>
      <c r="AO68" s="10"/>
    </row>
    <row r="69" spans="1:41" ht="14.25" customHeight="1" x14ac:dyDescent="0.25">
      <c r="A69" s="972">
        <f>IF(A68=2,2,0)</f>
        <v>2</v>
      </c>
      <c r="B69" s="16"/>
      <c r="C69" s="130"/>
      <c r="D69" s="766"/>
      <c r="E69" s="1180" t="s">
        <v>167</v>
      </c>
      <c r="F69" s="1857"/>
      <c r="G69" s="1857"/>
      <c r="H69" s="1857"/>
      <c r="I69" s="1857"/>
      <c r="J69" s="1857"/>
      <c r="K69" s="1004"/>
      <c r="L69" s="1152"/>
      <c r="M69" s="74"/>
      <c r="N69" s="32"/>
      <c r="O69" s="32"/>
      <c r="P69" s="32"/>
      <c r="Q69" s="32"/>
      <c r="R69" s="32"/>
      <c r="S69" s="32"/>
      <c r="T69" s="10"/>
      <c r="U69" s="10"/>
      <c r="V69" s="10"/>
      <c r="W69" s="10"/>
      <c r="X69" s="10"/>
      <c r="Y69" s="10"/>
      <c r="Z69" s="10"/>
      <c r="AA69" s="10"/>
      <c r="AB69" s="10"/>
      <c r="AC69" s="10"/>
      <c r="AD69" s="10"/>
      <c r="AE69" s="10"/>
      <c r="AF69" s="10"/>
      <c r="AG69" s="10"/>
      <c r="AH69" s="10"/>
      <c r="AI69" s="10"/>
      <c r="AJ69" s="10"/>
      <c r="AK69" s="10"/>
      <c r="AL69" s="10"/>
      <c r="AM69" s="10"/>
      <c r="AN69" s="10"/>
      <c r="AO69" s="10"/>
    </row>
    <row r="70" spans="1:41" ht="14.25" customHeight="1" x14ac:dyDescent="0.25">
      <c r="A70" s="972">
        <f>IF(A69=2,2,0)</f>
        <v>2</v>
      </c>
      <c r="B70" s="16"/>
      <c r="C70" s="130"/>
      <c r="D70" s="766"/>
      <c r="E70" s="1180" t="str">
        <f>CONCATENATE("Enter $/",dpUnit_Land," Adj.")</f>
        <v>Enter $/per Usable Square Foot Adj.</v>
      </c>
      <c r="F70" s="1858"/>
      <c r="G70" s="1858"/>
      <c r="H70" s="1858"/>
      <c r="I70" s="1858"/>
      <c r="J70" s="1858"/>
      <c r="K70" s="1005"/>
      <c r="L70" s="1153"/>
      <c r="M70" s="74"/>
      <c r="N70" s="32"/>
      <c r="O70" s="32"/>
      <c r="P70" s="32"/>
      <c r="Q70" s="32"/>
      <c r="R70" s="32"/>
      <c r="S70" s="32"/>
      <c r="T70" s="10"/>
      <c r="U70" s="10"/>
      <c r="V70" s="10"/>
      <c r="W70" s="10"/>
      <c r="X70" s="10"/>
      <c r="Y70" s="10"/>
      <c r="Z70" s="10"/>
      <c r="AA70" s="10"/>
      <c r="AB70" s="10"/>
      <c r="AC70" s="10"/>
      <c r="AD70" s="10"/>
      <c r="AE70" s="10"/>
      <c r="AF70" s="10"/>
      <c r="AG70" s="10"/>
      <c r="AH70" s="10"/>
      <c r="AI70" s="10"/>
      <c r="AJ70" s="10"/>
      <c r="AK70" s="10"/>
      <c r="AL70" s="10"/>
      <c r="AM70" s="10"/>
      <c r="AN70" s="10"/>
      <c r="AO70" s="10"/>
    </row>
    <row r="71" spans="1:41" ht="8.1" customHeight="1" x14ac:dyDescent="0.25">
      <c r="A71" s="972">
        <f>A74</f>
        <v>2</v>
      </c>
      <c r="B71" s="16"/>
      <c r="C71" s="130"/>
      <c r="D71" s="766"/>
      <c r="E71" s="765"/>
      <c r="F71" s="1866">
        <f t="shared" ref="F71:K71" si="20">IF(AND(F75=0,F76=0,F77=0),0,IF(F75&lt;&gt;0,F75,IF(F75&lt;&gt;0,IF(dpUnit_Land_2="Per Usable Acre",(F76/F$15)/F$23,IF(dpUnit_Land_2="Per Gross Acre",(F76/F$17)/F$25,IF(dpUnit_Land_2="Per Usable Square Foot",(F76/F$16)/F$24,IF(dpUnit_Land_2="Per Gross Square Foot",(F76/F$18)/F$26,IF(dpUnit_Land_2="Per Front Foot",(F76/F$19)/F$27,IF(dpUnit_Land_2="Per Proposed Square Foot",(F76/F$20)/F$28,IF(dpUnit_Land_2="Per Lot",(F76/F$21)/F$29,(F76/F$22)/F$30))))))),IF(dpUnit_Land_2="Per Usable Acre",F77/F$23,IF(dpUnit_Land_2="Per Gross Acre",F77/F$25,IF(dpUnit_Land_2="Per Usable Square Foot",F77/F$24,IF(dpUnit_Land_2="Per Gross Square Foot",F77/F$26,IF(dpUnit_Land_2="Per Front Foot",F77/F$27,IF(dpUnit_Land_2="Per Proposed Square Foot",F77/F$28,IF(dpUnit_Land_2="Per Lot",F77/F$29,F77/F$30))))))))))</f>
        <v>0</v>
      </c>
      <c r="G71" s="1866">
        <f t="shared" si="20"/>
        <v>0</v>
      </c>
      <c r="H71" s="1866">
        <f t="shared" si="20"/>
        <v>0</v>
      </c>
      <c r="I71" s="1866">
        <f t="shared" si="20"/>
        <v>0</v>
      </c>
      <c r="J71" s="1866">
        <f t="shared" si="20"/>
        <v>0</v>
      </c>
      <c r="K71" s="1341">
        <f t="shared" si="20"/>
        <v>0</v>
      </c>
      <c r="L71" s="1146"/>
      <c r="M71" s="74"/>
      <c r="N71" s="32"/>
      <c r="O71" s="32"/>
      <c r="P71" s="32"/>
      <c r="Q71" s="32"/>
      <c r="R71" s="32"/>
      <c r="S71" s="32"/>
      <c r="T71" s="10"/>
      <c r="U71" s="10"/>
      <c r="V71" s="10"/>
      <c r="W71" s="10"/>
      <c r="X71" s="10"/>
      <c r="Y71" s="10"/>
      <c r="Z71" s="10"/>
      <c r="AA71" s="10"/>
      <c r="AB71" s="10"/>
      <c r="AC71" s="10"/>
      <c r="AD71" s="10"/>
      <c r="AE71" s="10"/>
      <c r="AF71" s="10"/>
      <c r="AG71" s="10"/>
      <c r="AH71" s="10"/>
      <c r="AI71" s="10"/>
      <c r="AJ71" s="10"/>
      <c r="AK71" s="10"/>
      <c r="AL71" s="10"/>
      <c r="AM71" s="10"/>
      <c r="AN71" s="10"/>
      <c r="AO71" s="10"/>
    </row>
    <row r="72" spans="1:41" x14ac:dyDescent="0.25">
      <c r="A72" s="972">
        <f>A74</f>
        <v>2</v>
      </c>
      <c r="B72" s="16"/>
      <c r="C72" s="130"/>
      <c r="D72" s="1489" t="s">
        <v>96</v>
      </c>
      <c r="E72" s="1164" t="str">
        <f>IF($A$15=1,TEXT(Subject_Land_UsableAcres_2,"#,##0.000")&amp;" acres",IF($A$16=1,TEXT((Subject_Land_UsableSF_2),"#,##0")&amp;" sf",IF($A$17=1,TEXT(Subject_Land_GrossAcres_2,"#,##0.000")&amp;" acres",IF($A$18=1,TEXT((Subject_Land_GrossSF_2),"#,##0")&amp;" sf",IF($A$19=1,TEXT(Subject_Land_FrontageFeet_2,"#,##0")&amp;" lf",IF($A$20=1,TEXT(Subject_Land_ProposedSF_2,"#,##0")&amp;" sf",IF($A$21=1,TEXT(Subject_Land_Lots_2,"#,##0")&amp;" lots",TEXT(Subject_Land_ProposedUnits_2,"#,##0")&amp;" units")))))))</f>
        <v>0.000 acres</v>
      </c>
      <c r="F72" s="1868" t="str">
        <f t="shared" ref="F72:K72" si="21">IF($A$15=1,TEXT(F15,"#,##0.000")&amp;" acres",IF($A$16=1,TEXT(F16,"#,##0")&amp;" sf",IF($A$17=1,TEXT(F17,"#,##0.000")&amp;" acres",IF($A$18=1,TEXT(F18,"#,##0")&amp;" sf",IF($A$19=1,TEXT(F19,"#,##0")&amp;" lf",IF($A$20=1,TEXT(F20,"#,##0") &amp; " sf",IF($A$21=1,TEXT(F21,"#,##0")&amp;" lots",TEXT(F22,"#,##0")&amp;" units")))))))</f>
        <v>0.000 acres</v>
      </c>
      <c r="G72" s="1868" t="str">
        <f t="shared" si="21"/>
        <v>0.000 acres</v>
      </c>
      <c r="H72" s="1868" t="str">
        <f t="shared" si="21"/>
        <v>0.000 acres</v>
      </c>
      <c r="I72" s="1868" t="str">
        <f t="shared" si="21"/>
        <v>0.000 acres</v>
      </c>
      <c r="J72" s="1868" t="str">
        <f t="shared" si="21"/>
        <v>0.000 acres</v>
      </c>
      <c r="K72" s="1165" t="str">
        <f t="shared" si="21"/>
        <v>0.000 acres</v>
      </c>
      <c r="L72" s="1146"/>
      <c r="M72" s="74"/>
      <c r="N72" s="32"/>
      <c r="O72" s="32"/>
      <c r="P72" s="32"/>
      <c r="Q72" s="150" t="s">
        <v>1186</v>
      </c>
      <c r="R72" s="150"/>
      <c r="S72" s="150"/>
      <c r="T72" s="10"/>
      <c r="U72" s="10"/>
      <c r="V72" s="10"/>
      <c r="W72" s="10"/>
      <c r="X72" s="10"/>
      <c r="Y72" s="10"/>
      <c r="Z72" s="10"/>
      <c r="AA72" s="10"/>
      <c r="AB72" s="10"/>
      <c r="AC72" s="10"/>
      <c r="AD72" s="10"/>
      <c r="AE72" s="10"/>
      <c r="AF72" s="10"/>
      <c r="AG72" s="10"/>
      <c r="AH72" s="10"/>
      <c r="AI72" s="10"/>
      <c r="AJ72" s="10"/>
      <c r="AK72" s="10"/>
      <c r="AL72" s="10"/>
      <c r="AM72" s="10"/>
      <c r="AN72" s="10"/>
      <c r="AO72" s="10"/>
    </row>
    <row r="73" spans="1:41" ht="14.25" customHeight="1" x14ac:dyDescent="0.25">
      <c r="A73" s="972">
        <f>IF(A74=2,2,0)</f>
        <v>2</v>
      </c>
      <c r="B73" s="16"/>
      <c r="C73" s="130"/>
      <c r="D73" s="1147"/>
      <c r="E73" s="1167">
        <f>IF($A$15=1,Subject_Land_UsableAcres_2,IF($A$16=1,Subject_Land_UsableSF_2,IF($A$17=1,Subject_Land_GrossAcres_2,IF($A$18=1,Subject_Land_GrossSF_2,IF($A$19=1,Subject_Land_FrontageFeet_2,IF($A$20=1,Subject_Land_ProposedSF_2,IF($A$21=1,Subject_Land_Lots_2,Subject_Land_ProposedUnits_2)))))))</f>
        <v>0</v>
      </c>
      <c r="F73" s="1846">
        <f t="shared" ref="F73:K73" si="22">IF($A$15=1,F15,IF($A$16=1,F16,IF($A$17=1,F17,IF($A$18=1,F18,IF($A$19=1,F19,IF($A$20,F20,IF($A$21=1,F21,IF($A$22=1,F22,"Select Unit"))))))))</f>
        <v>0</v>
      </c>
      <c r="G73" s="1846">
        <f t="shared" si="22"/>
        <v>0</v>
      </c>
      <c r="H73" s="1846">
        <f t="shared" si="22"/>
        <v>0</v>
      </c>
      <c r="I73" s="1846">
        <f t="shared" si="22"/>
        <v>0</v>
      </c>
      <c r="J73" s="1846">
        <f t="shared" si="22"/>
        <v>0</v>
      </c>
      <c r="K73" s="1128">
        <f t="shared" si="22"/>
        <v>0</v>
      </c>
      <c r="L73" s="1146"/>
      <c r="M73" s="74"/>
      <c r="N73" s="32"/>
      <c r="O73" s="32"/>
      <c r="P73" s="32"/>
      <c r="Q73" s="150"/>
      <c r="R73" s="150"/>
      <c r="S73" s="150"/>
      <c r="T73" s="10"/>
      <c r="U73" s="10"/>
      <c r="V73" s="10"/>
      <c r="W73" s="10"/>
      <c r="X73" s="10"/>
      <c r="Y73" s="10"/>
      <c r="Z73" s="10"/>
      <c r="AA73" s="10"/>
      <c r="AB73" s="10"/>
      <c r="AC73" s="10"/>
      <c r="AD73" s="10"/>
      <c r="AE73" s="10"/>
      <c r="AF73" s="10"/>
      <c r="AG73" s="10"/>
      <c r="AH73" s="10"/>
      <c r="AI73" s="10"/>
      <c r="AJ73" s="10"/>
      <c r="AK73" s="10"/>
      <c r="AL73" s="10"/>
      <c r="AM73" s="10"/>
      <c r="AN73" s="10"/>
      <c r="AO73" s="10"/>
    </row>
    <row r="74" spans="1:41" ht="15" customHeight="1" thickBot="1" x14ac:dyDescent="0.3">
      <c r="A74" s="972">
        <f>IF(B74=TRUE,1,2)</f>
        <v>2</v>
      </c>
      <c r="B74" s="16" t="b">
        <v>0</v>
      </c>
      <c r="C74" s="130"/>
      <c r="D74" s="520" t="str">
        <f>IF(Land_AdjType&lt;&gt;"Qualitative","Adjustment","Relative Comparison")</f>
        <v>Adjustment</v>
      </c>
      <c r="E74" s="765"/>
      <c r="F74" s="1855">
        <f t="shared" ref="F74:K74" si="23">IF(Land_AdjType_2="Percent",IF(AND(F75=0,F76=0,F77=0),0,IF(F75&lt;&gt;0,F75,IF(F76&lt;&gt;0,IF(dpUnit_Land_2="Per Usable Acre",(F76/F$15)/F$23,IF(dpUnit_Land_2="Per Gross Acre",(F76/F$17)/F$25,IF(dpUnit_Land_2="Per Usable Square Foot",(F76/F$16)/F$24,IF(dpUnit_Land_2="Per Gross Square Foot",(F76/F$18)/F$26,IF(dpUnit_Land_2="Per Front Foot",(F76/F$19)/F$27,IF(dpUnit_Land_2="Per Proposed Square Foot",(F76/F$20)/F$28,IF(dpUnit_Land_2="Per Lot",(F76/F$21)/F$29,(F76/F$22)/F$30))))))),IF(dpUnit_Land_2="Per Usable Acre",F77/F$23,IF(dpUnit_Land_2="Per Gross Acre",F77/F$25,IF(dpUnit_Land_2="Per Usable Square Foot",F77/F$24,IF(dpUnit_Land_2="Per Gross Square Foot",F77/F$26,IF(dpUnit_Land_2="Per Front Foot",F77/F$27,IF(dpUnit_Land_2="Per Proposed Square Foot",F77/F$28,IF(dpUnit_Land_2="Per Lot",F77/F$29,F77/F$30)))))))))),IF(Land_AdjType_2="$ per Unit",IF(AND(F75=0,F76=0,F77=0),0,IF(F75&lt;&gt;0,IF(dpUnit_Land_2="Per Usable Acre",F75*F$23,IF(dpUnit_Land_2="Per Gross Acre",F75*F$25,IF(dpUnit_Land_2="Per Usable Square Foot",F75*F$24,IF(dpUnit_Land_2="Per Gross Square Foot",F75*F$26,IF(dpUnit_Land_2="Per Front Foot",F75*F$27,IF(dpUnit_Land_2="Per Proposed Square Foot",F75*F$28,IF(dpUnit_Land_2="Per Lot",F75*F$29,F75*F$30))))))),IF(F76&lt;&gt;0,IF(dpUnit_Land_2="Per Usable Acre",F76/F$15,IF(dpUnit_Land_2="Per Gross Acre",F76/F$17,IF(dpUnit_Land_2="Per Usable Square Foot",F76/F$16,IF(dpUnit_Land_2="Per Gross Square Foot",F76/F$18,IF(dpUnit_Land_2="Per Front Foot",F76/F$19,IF(dpUnit_Land_2="Per Proposed Square Foot",F76/F$20,IF(dpUnit_Land_2="Per Lot",F76/F$21,F76/F$22))))))),F77))),IF(OR(F75&gt;0,F76&gt;0,F77&gt;0),"Inferior",IF(OR(F75&lt;0,F76&lt;0,F77&lt;0),"Superior","Similar"))))</f>
        <v>0</v>
      </c>
      <c r="G74" s="1855">
        <f t="shared" si="23"/>
        <v>0</v>
      </c>
      <c r="H74" s="1855">
        <f t="shared" si="23"/>
        <v>0</v>
      </c>
      <c r="I74" s="1855">
        <f t="shared" si="23"/>
        <v>0</v>
      </c>
      <c r="J74" s="1855">
        <f t="shared" si="23"/>
        <v>0</v>
      </c>
      <c r="K74" s="1150">
        <f t="shared" si="23"/>
        <v>0</v>
      </c>
      <c r="L74" s="763"/>
      <c r="M74" s="74"/>
      <c r="N74" s="32"/>
      <c r="O74" s="32"/>
      <c r="P74" s="32"/>
      <c r="Q74" s="150" t="s">
        <v>1187</v>
      </c>
      <c r="R74" s="150"/>
      <c r="S74" s="150"/>
      <c r="T74" s="10"/>
      <c r="U74" s="10"/>
      <c r="V74" s="10"/>
      <c r="W74" s="10"/>
      <c r="X74" s="10"/>
      <c r="Y74" s="10"/>
      <c r="Z74" s="10"/>
      <c r="AA74" s="10"/>
      <c r="AB74" s="10"/>
      <c r="AC74" s="10"/>
      <c r="AD74" s="10"/>
      <c r="AE74" s="10"/>
      <c r="AF74" s="10"/>
      <c r="AG74" s="10"/>
      <c r="AH74" s="10"/>
      <c r="AI74" s="10"/>
      <c r="AJ74" s="10"/>
      <c r="AK74" s="10"/>
      <c r="AL74" s="10"/>
      <c r="AM74" s="10"/>
      <c r="AN74" s="10"/>
      <c r="AO74" s="10"/>
    </row>
    <row r="75" spans="1:41" ht="15" customHeight="1" thickBot="1" x14ac:dyDescent="0.3">
      <c r="A75" s="972">
        <f>IF(A74=2,2,0)</f>
        <v>2</v>
      </c>
      <c r="B75" s="16"/>
      <c r="C75" s="130"/>
      <c r="D75" s="766"/>
      <c r="E75" s="1180" t="s">
        <v>166</v>
      </c>
      <c r="F75" s="1856"/>
      <c r="G75" s="1856"/>
      <c r="H75" s="1856"/>
      <c r="I75" s="1856"/>
      <c r="J75" s="1856"/>
      <c r="K75" s="1003"/>
      <c r="L75" s="136"/>
      <c r="M75" s="74"/>
      <c r="N75" s="32"/>
      <c r="O75" s="32"/>
      <c r="P75" s="32"/>
      <c r="Q75" s="914"/>
      <c r="R75" s="120"/>
      <c r="S75" s="120"/>
      <c r="T75" s="10"/>
      <c r="U75" s="10"/>
      <c r="V75" s="10"/>
      <c r="W75" s="10"/>
      <c r="X75" s="10"/>
      <c r="Y75" s="10"/>
      <c r="Z75" s="10"/>
      <c r="AA75" s="10"/>
      <c r="AB75" s="10"/>
      <c r="AC75" s="10"/>
      <c r="AD75" s="10"/>
      <c r="AE75" s="10"/>
      <c r="AF75" s="10"/>
      <c r="AG75" s="10"/>
      <c r="AH75" s="10"/>
      <c r="AI75" s="10"/>
      <c r="AJ75" s="10"/>
      <c r="AK75" s="10"/>
      <c r="AL75" s="10"/>
      <c r="AM75" s="10"/>
      <c r="AN75" s="10"/>
      <c r="AO75" s="10"/>
    </row>
    <row r="76" spans="1:41" ht="14.25" customHeight="1" x14ac:dyDescent="0.25">
      <c r="A76" s="972">
        <f>IF(A75=2,2,0)</f>
        <v>2</v>
      </c>
      <c r="B76" s="16"/>
      <c r="C76" s="130"/>
      <c r="D76" s="766"/>
      <c r="E76" s="1180" t="s">
        <v>167</v>
      </c>
      <c r="F76" s="1857"/>
      <c r="G76" s="1857"/>
      <c r="H76" s="1857"/>
      <c r="I76" s="1857"/>
      <c r="J76" s="1857"/>
      <c r="K76" s="1004"/>
      <c r="L76" s="1152"/>
      <c r="M76" s="74"/>
      <c r="N76" s="32"/>
      <c r="O76" s="32"/>
      <c r="P76" s="32"/>
      <c r="Q76" s="32"/>
      <c r="R76" s="32"/>
      <c r="S76" s="32"/>
      <c r="T76" s="10"/>
      <c r="U76" s="10"/>
      <c r="V76" s="10"/>
      <c r="W76" s="10"/>
      <c r="X76" s="10"/>
      <c r="Y76" s="10"/>
      <c r="Z76" s="10"/>
      <c r="AA76" s="10"/>
      <c r="AB76" s="10"/>
      <c r="AC76" s="10"/>
      <c r="AD76" s="10"/>
      <c r="AE76" s="10"/>
      <c r="AF76" s="10"/>
      <c r="AG76" s="10"/>
      <c r="AH76" s="10"/>
      <c r="AI76" s="10"/>
      <c r="AJ76" s="10"/>
      <c r="AK76" s="10"/>
      <c r="AL76" s="10"/>
      <c r="AM76" s="10"/>
      <c r="AN76" s="10"/>
      <c r="AO76" s="10"/>
    </row>
    <row r="77" spans="1:41" ht="14.25" customHeight="1" x14ac:dyDescent="0.25">
      <c r="A77" s="972">
        <f>IF(A76=2,2,0)</f>
        <v>2</v>
      </c>
      <c r="B77" s="16"/>
      <c r="C77" s="130"/>
      <c r="D77" s="766"/>
      <c r="E77" s="1180" t="str">
        <f>CONCATENATE("Enter $/",dpUnit_Land," Adj.")</f>
        <v>Enter $/per Usable Square Foot Adj.</v>
      </c>
      <c r="F77" s="1858"/>
      <c r="G77" s="1858"/>
      <c r="H77" s="1858"/>
      <c r="I77" s="1858"/>
      <c r="J77" s="1858"/>
      <c r="K77" s="1005"/>
      <c r="L77" s="1153"/>
      <c r="M77" s="74"/>
      <c r="N77" s="32"/>
      <c r="O77" s="32"/>
      <c r="P77" s="32"/>
      <c r="Q77" s="32"/>
      <c r="R77" s="32"/>
      <c r="S77" s="32"/>
      <c r="T77" s="10"/>
      <c r="U77" s="10"/>
      <c r="V77" s="10"/>
      <c r="W77" s="10"/>
      <c r="X77" s="10"/>
      <c r="Y77" s="10"/>
      <c r="Z77" s="10"/>
      <c r="AA77" s="10"/>
      <c r="AB77" s="10"/>
      <c r="AC77" s="10"/>
      <c r="AD77" s="10"/>
      <c r="AE77" s="10"/>
      <c r="AF77" s="10"/>
      <c r="AG77" s="10"/>
      <c r="AH77" s="10"/>
      <c r="AI77" s="10"/>
      <c r="AJ77" s="10"/>
      <c r="AK77" s="10"/>
      <c r="AL77" s="10"/>
      <c r="AM77" s="10"/>
      <c r="AN77" s="10"/>
      <c r="AO77" s="10"/>
    </row>
    <row r="78" spans="1:41" ht="8.1" customHeight="1" x14ac:dyDescent="0.25">
      <c r="A78" s="972">
        <f>A80</f>
        <v>2</v>
      </c>
      <c r="B78" s="16"/>
      <c r="C78" s="130"/>
      <c r="D78" s="766"/>
      <c r="E78" s="765"/>
      <c r="F78" s="1866">
        <f t="shared" ref="F78:K78" si="24">IF(AND(F81=0,F82=0,F83=0),0,IF(F81&lt;&gt;0,F81,IF(F82&lt;&gt;0,IF(dpUnit_Land_2="Per Usable Acre",(F82/F$15)/F$23,IF(dpUnit_Land_2="Per Gross Acre",(F82/F$17)/F$25,IF(dpUnit_Land_2="Per Usable Square Foot",(F82/F$16)/F$24,IF(dpUnit_Land_2="Per Gross Square Foot",(F82/F$18)/F$26,IF(dpUnit_Land_2="Per Front Foot",(F82/F$19)/F$27,IF(dpUnit_Land_2="Per Proposed Square Foot",(F82/F$20)/F$28,IF(dpUnit_Land_2="Per Lot",(F82/F$21)/F$29,(F82/F$22)/F$30))))))),IF(dpUnit_Land_2="Per Usable Acre",F83/F$23,IF(dpUnit_Land_2="Per Gross Acre",F83/F$25,IF(dpUnit_Land_2="Per Usable Square Foot",F83/F$24,IF(dpUnit_Land_2="Per Gross Square Foot",F83/F$26,IF(dpUnit_Land_2="Per Front Foot",F83/F$27,IF(dpUnit_Land_2="Per Proposed Square Foot",F83/F$28,IF(dpUnit_Land_2="Per Lot",F83/F$29,F83/F$30))))))))))</f>
        <v>0</v>
      </c>
      <c r="G78" s="1866">
        <f t="shared" si="24"/>
        <v>0</v>
      </c>
      <c r="H78" s="1866">
        <f t="shared" si="24"/>
        <v>0</v>
      </c>
      <c r="I78" s="1866">
        <f t="shared" si="24"/>
        <v>0</v>
      </c>
      <c r="J78" s="1866">
        <f t="shared" si="24"/>
        <v>0</v>
      </c>
      <c r="K78" s="1341">
        <f t="shared" si="24"/>
        <v>0</v>
      </c>
      <c r="L78" s="1146"/>
      <c r="M78" s="74"/>
      <c r="N78" s="32"/>
      <c r="O78" s="32"/>
      <c r="P78" s="32"/>
      <c r="Q78" s="32"/>
      <c r="R78" s="32"/>
      <c r="S78" s="32"/>
      <c r="T78" s="10"/>
      <c r="U78" s="10"/>
      <c r="V78" s="10"/>
      <c r="W78" s="10"/>
      <c r="X78" s="10"/>
      <c r="Y78" s="10"/>
      <c r="Z78" s="10"/>
      <c r="AA78" s="10"/>
      <c r="AB78" s="10"/>
      <c r="AC78" s="10"/>
      <c r="AD78" s="10"/>
      <c r="AE78" s="10"/>
      <c r="AF78" s="10"/>
      <c r="AG78" s="10"/>
      <c r="AH78" s="10"/>
      <c r="AI78" s="10"/>
      <c r="AJ78" s="10"/>
      <c r="AK78" s="10"/>
      <c r="AL78" s="10"/>
      <c r="AM78" s="10"/>
      <c r="AN78" s="10"/>
      <c r="AO78" s="10"/>
    </row>
    <row r="79" spans="1:41" x14ac:dyDescent="0.25">
      <c r="A79" s="972">
        <f>A80</f>
        <v>2</v>
      </c>
      <c r="B79" s="16"/>
      <c r="C79" s="130"/>
      <c r="D79" s="1489" t="s">
        <v>97</v>
      </c>
      <c r="E79" s="1665" t="str">
        <f>Subject_LandShape</f>
        <v>Square</v>
      </c>
      <c r="F79" s="1789"/>
      <c r="G79" s="1789"/>
      <c r="H79" s="1789"/>
      <c r="I79" s="1789"/>
      <c r="J79" s="1789"/>
      <c r="K79" s="1168"/>
      <c r="L79" s="1146"/>
      <c r="M79" s="74"/>
      <c r="N79" s="32"/>
      <c r="O79" s="32"/>
      <c r="P79" s="32"/>
      <c r="Q79" s="32"/>
      <c r="R79" s="32"/>
      <c r="S79" s="32"/>
      <c r="T79" s="10"/>
      <c r="U79" s="10"/>
      <c r="V79" s="10"/>
      <c r="W79" s="10"/>
      <c r="X79" s="10"/>
      <c r="Y79" s="10"/>
      <c r="Z79" s="10"/>
      <c r="AA79" s="10"/>
      <c r="AB79" s="10"/>
      <c r="AC79" s="10"/>
      <c r="AD79" s="10"/>
      <c r="AE79" s="10"/>
      <c r="AF79" s="10"/>
      <c r="AG79" s="10"/>
      <c r="AH79" s="10"/>
      <c r="AI79" s="10"/>
      <c r="AJ79" s="10"/>
      <c r="AK79" s="10"/>
      <c r="AL79" s="10"/>
      <c r="AM79" s="10"/>
      <c r="AN79" s="10"/>
      <c r="AO79" s="10"/>
    </row>
    <row r="80" spans="1:41" ht="14.25" customHeight="1" x14ac:dyDescent="0.25">
      <c r="A80" s="972">
        <f>IF(B80=TRUE,1,2)</f>
        <v>2</v>
      </c>
      <c r="B80" s="16" t="b">
        <v>0</v>
      </c>
      <c r="C80" s="130"/>
      <c r="D80" s="520" t="str">
        <f>IF(Land_AdjType&lt;&gt;"Qualitative","Adjustment","Relative Comparison")</f>
        <v>Adjustment</v>
      </c>
      <c r="E80" s="765"/>
      <c r="F80" s="1855">
        <f t="shared" ref="F80:K80" si="25">IF(Land_AdjType_2="Percent",IF(AND(F81=0,F82=0,F83=0),0,IF(F81&lt;&gt;0,F81,IF(F82&lt;&gt;0,IF(dpUnit_Land_2="Per Usable Acre",(F82/F$15)/F$23,IF(dpUnit_Land_2="Per Gross Acre",(F82/F$17)/F$25,IF(dpUnit_Land_2="Per Usable Square Foot",(F82/F$16)/F$24,IF(dpUnit_Land_2="Per Gross Square Foot",(F82/F$18)/F$26,IF(dpUnit_Land_2="Per Front Foot",(F82/F$19)/F$27,IF(dpUnit_Land_2="Per Proposed Square Foot",(F82/F$20)/F$28,IF(dpUnit_Land_2="Per Lot",(F82/F$21)/F$29,(F82/F$22)/F$30))))))),IF(dpUnit_Land_2="Per Usable Acre",F83/F$23,IF(dpUnit_Land_2="Per Gross Acre",F83/F$25,IF(dpUnit_Land_2="Per Usable Square Foot",F83/F$24,IF(dpUnit_Land_2="Per Gross Square Foot",F83/F$26,IF(dpUnit_Land_2="Per Front Foot",F83/F$27,IF(dpUnit_Land_2="Per Proposed Square Foot",F83/F$28,IF(dpUnit_Land_2="Per Lot",F83/F$29,F83/F$30)))))))))),IF(Land_AdjType_2="$ per Unit",IF(AND(F81=0,F82=0,F83=0),0,IF(F81&lt;&gt;0,IF(dpUnit_Land_2="Per Usable Acre",F81*F$23,IF(dpUnit_Land_2="Per Gross Acre",F81*F$25,IF(dpUnit_Land_2="Per Usable Square Foot",F81*F$24,IF(dpUnit_Land_2="Per Gross Square Foot",F81*F$26,IF(dpUnit_Land_2="Per Front Foot",F81*F$27,IF(dpUnit_Land_2="Per Proposed Square Foot",F81*F$28,IF(dpUnit_Land_2="Per Lot",F81*F$29,F81*F$30))))))),IF(F82&lt;&gt;0,IF(dpUnit_Land_2="Per Usable Acre",F82/F$15,IF(dpUnit_Land_2="Per Gross Acre",F82/F$17,IF(dpUnit_Land_2="Per Usable Square Foot",F82/F$16,IF(dpUnit_Land_2="Per Gross Square Foot",F82/F$18,IF(dpUnit_Land_2="Per Front Foot",F82/F$19,IF(dpUnit_Land_2="Per Proposed Square Foot",F82/F$20,IF(dpUnit_Land_2="Per Lot",F82/F$21,F82/F$22))))))),F83))),IF(OR(F81&gt;0,F82&gt;0,F83&gt;0),"Inferior",IF(OR(F81&lt;0,F82&lt;0,F83&lt;0),"Superior","Similar"))))</f>
        <v>0</v>
      </c>
      <c r="G80" s="1855">
        <f t="shared" si="25"/>
        <v>0</v>
      </c>
      <c r="H80" s="1855">
        <f t="shared" si="25"/>
        <v>0</v>
      </c>
      <c r="I80" s="1855">
        <f t="shared" si="25"/>
        <v>0</v>
      </c>
      <c r="J80" s="1855">
        <f t="shared" si="25"/>
        <v>0</v>
      </c>
      <c r="K80" s="1150">
        <f t="shared" si="25"/>
        <v>0</v>
      </c>
      <c r="L80" s="763"/>
      <c r="M80" s="74"/>
      <c r="N80" s="32"/>
      <c r="O80" s="32"/>
      <c r="P80" s="32"/>
      <c r="Q80" s="32"/>
      <c r="R80" s="32"/>
      <c r="S80" s="32"/>
      <c r="T80" s="10"/>
      <c r="U80" s="10"/>
      <c r="V80" s="10"/>
      <c r="W80" s="10"/>
      <c r="X80" s="10"/>
      <c r="Y80" s="10"/>
      <c r="Z80" s="10"/>
      <c r="AA80" s="10"/>
      <c r="AB80" s="10"/>
      <c r="AC80" s="10"/>
      <c r="AD80" s="10"/>
      <c r="AE80" s="10"/>
      <c r="AF80" s="10"/>
      <c r="AG80" s="10"/>
      <c r="AH80" s="10"/>
      <c r="AI80" s="10"/>
      <c r="AJ80" s="10"/>
      <c r="AK80" s="10"/>
      <c r="AL80" s="10"/>
      <c r="AM80" s="10"/>
      <c r="AN80" s="10"/>
      <c r="AO80" s="10"/>
    </row>
    <row r="81" spans="1:41" ht="14.25" customHeight="1" x14ac:dyDescent="0.25">
      <c r="A81" s="972">
        <f>IF(A80=2,2,0)</f>
        <v>2</v>
      </c>
      <c r="B81" s="16"/>
      <c r="C81" s="130"/>
      <c r="D81" s="520"/>
      <c r="E81" s="1180" t="s">
        <v>166</v>
      </c>
      <c r="F81" s="1856"/>
      <c r="G81" s="1856"/>
      <c r="H81" s="1856"/>
      <c r="I81" s="1856"/>
      <c r="J81" s="1856"/>
      <c r="K81" s="1003"/>
      <c r="L81" s="136"/>
      <c r="M81" s="74"/>
      <c r="N81" s="32"/>
      <c r="O81" s="32"/>
      <c r="P81" s="32"/>
      <c r="Q81" s="32"/>
      <c r="R81" s="32"/>
      <c r="S81" s="32"/>
      <c r="T81" s="10"/>
      <c r="U81" s="10"/>
      <c r="V81" s="10"/>
      <c r="W81" s="10"/>
      <c r="X81" s="10"/>
      <c r="Y81" s="10"/>
      <c r="Z81" s="10"/>
      <c r="AA81" s="10"/>
      <c r="AB81" s="10"/>
      <c r="AC81" s="10"/>
      <c r="AD81" s="10"/>
      <c r="AE81" s="10"/>
      <c r="AF81" s="10"/>
      <c r="AG81" s="10"/>
      <c r="AH81" s="10"/>
      <c r="AI81" s="10"/>
      <c r="AJ81" s="10"/>
      <c r="AK81" s="10"/>
      <c r="AL81" s="10"/>
      <c r="AM81" s="10"/>
      <c r="AN81" s="10"/>
      <c r="AO81" s="10"/>
    </row>
    <row r="82" spans="1:41" ht="14.25" customHeight="1" x14ac:dyDescent="0.25">
      <c r="A82" s="972">
        <f>IF(A81=2,2,0)</f>
        <v>2</v>
      </c>
      <c r="B82" s="16"/>
      <c r="C82" s="130"/>
      <c r="D82" s="520"/>
      <c r="E82" s="1180" t="s">
        <v>167</v>
      </c>
      <c r="F82" s="1857"/>
      <c r="G82" s="1857"/>
      <c r="H82" s="1857"/>
      <c r="I82" s="1857"/>
      <c r="J82" s="1857"/>
      <c r="K82" s="1004"/>
      <c r="L82" s="1152"/>
      <c r="M82" s="74"/>
      <c r="N82" s="32"/>
      <c r="O82" s="32"/>
      <c r="P82" s="32"/>
      <c r="Q82" s="32"/>
      <c r="R82" s="32"/>
      <c r="S82" s="32"/>
      <c r="T82" s="10"/>
      <c r="U82" s="10"/>
      <c r="V82" s="10"/>
      <c r="W82" s="10"/>
      <c r="X82" s="10"/>
      <c r="Y82" s="10"/>
      <c r="Z82" s="10"/>
      <c r="AA82" s="10"/>
      <c r="AB82" s="10"/>
      <c r="AC82" s="10"/>
      <c r="AD82" s="10"/>
      <c r="AE82" s="10"/>
      <c r="AF82" s="10"/>
      <c r="AG82" s="10"/>
      <c r="AH82" s="10"/>
      <c r="AI82" s="10"/>
      <c r="AJ82" s="10"/>
      <c r="AK82" s="10"/>
      <c r="AL82" s="10"/>
      <c r="AM82" s="10"/>
      <c r="AN82" s="10"/>
      <c r="AO82" s="10"/>
    </row>
    <row r="83" spans="1:41" ht="14.25" customHeight="1" x14ac:dyDescent="0.25">
      <c r="A83" s="972">
        <f>IF(A82=2,2,0)</f>
        <v>2</v>
      </c>
      <c r="B83" s="16"/>
      <c r="C83" s="130"/>
      <c r="D83" s="520"/>
      <c r="E83" s="1180" t="str">
        <f>CONCATENATE("Enter $/",dpUnit_Land," Adj.")</f>
        <v>Enter $/per Usable Square Foot Adj.</v>
      </c>
      <c r="F83" s="1858"/>
      <c r="G83" s="1858"/>
      <c r="H83" s="1858"/>
      <c r="I83" s="1858"/>
      <c r="J83" s="1858"/>
      <c r="K83" s="1005"/>
      <c r="L83" s="1153"/>
      <c r="M83" s="74"/>
      <c r="N83" s="32"/>
      <c r="O83" s="32"/>
      <c r="P83" s="32"/>
      <c r="Q83" s="32"/>
      <c r="R83" s="32"/>
      <c r="S83" s="32"/>
      <c r="T83" s="10"/>
      <c r="U83" s="10"/>
      <c r="V83" s="10"/>
      <c r="W83" s="10"/>
      <c r="X83" s="10"/>
      <c r="Y83" s="10"/>
      <c r="Z83" s="10"/>
      <c r="AA83" s="10"/>
      <c r="AB83" s="10"/>
      <c r="AC83" s="10"/>
      <c r="AD83" s="10"/>
      <c r="AE83" s="10"/>
      <c r="AF83" s="10"/>
      <c r="AG83" s="10"/>
      <c r="AH83" s="10"/>
      <c r="AI83" s="10"/>
      <c r="AJ83" s="10"/>
      <c r="AK83" s="10"/>
      <c r="AL83" s="10"/>
      <c r="AM83" s="10"/>
      <c r="AN83" s="10"/>
      <c r="AO83" s="10"/>
    </row>
    <row r="84" spans="1:41" ht="8.1" customHeight="1" x14ac:dyDescent="0.25">
      <c r="A84" s="972">
        <f>A86</f>
        <v>2</v>
      </c>
      <c r="B84" s="16"/>
      <c r="C84" s="130"/>
      <c r="D84" s="520"/>
      <c r="E84" s="765"/>
      <c r="F84" s="1866">
        <f t="shared" ref="F84:K84" si="26">IF(AND(F87=0,F88=0,F89=0),0,IF(F87&lt;&gt;0,F87,IF(F88&lt;&gt;0,IF(dpUnit_Land_2="Per Usable Acre",(F88/F$15)/F$23,IF(dpUnit_Land_2="Per Gross Acre",(F88/F$17)/F$25,IF(dpUnit_Land_2="Per Usable Square Foot",(F88/F$16)/F$24,IF(dpUnit_Land_2="Per Gross Square Foot",(F88/F$18)/F$26,IF(dpUnit_Land_2="Per Front Foot",(F88/F$19)/F$27,IF(dpUnit_Land_2="Per Proposed Square Foot",(F88/F$20)/F$28,IF(dpUnit_Land_2="Per Lot",(F88/F$21)/F$29,(F88/F$22)/F$30))))))),IF(dpUnit_Land_2="Per Usable Acre",F89/F$23,IF(dpUnit_Land_2="Per Gross Acre",F89/F$25,IF(dpUnit_Land_2="Per Usable Square Foot",F89/F$24,IF(dpUnit_Land_2="Per Gross Square Foot",F89/F$26,IF(dpUnit_Land_2="Per Front Foot",F89/F$27,IF(dpUnit_Land_2="Per Proposed Square Foot",F89/F$28,IF(dpUnit_Land_2="Per Lot",F89/F$29,F89/F$30))))))))))</f>
        <v>0</v>
      </c>
      <c r="G84" s="1866">
        <f t="shared" si="26"/>
        <v>0</v>
      </c>
      <c r="H84" s="1866">
        <f t="shared" si="26"/>
        <v>0</v>
      </c>
      <c r="I84" s="1866">
        <f t="shared" si="26"/>
        <v>0</v>
      </c>
      <c r="J84" s="1866">
        <f t="shared" si="26"/>
        <v>0</v>
      </c>
      <c r="K84" s="1341">
        <f t="shared" si="26"/>
        <v>0</v>
      </c>
      <c r="L84" s="1146"/>
      <c r="M84" s="74"/>
      <c r="N84" s="32"/>
      <c r="O84" s="32"/>
      <c r="P84" s="32"/>
      <c r="Q84" s="32"/>
      <c r="R84" s="32"/>
      <c r="S84" s="32"/>
      <c r="T84" s="10"/>
      <c r="U84" s="10"/>
      <c r="V84" s="10"/>
      <c r="W84" s="10"/>
      <c r="X84" s="10"/>
      <c r="Y84" s="10"/>
      <c r="Z84" s="10"/>
      <c r="AA84" s="10"/>
      <c r="AB84" s="10"/>
      <c r="AC84" s="10"/>
      <c r="AD84" s="10"/>
      <c r="AE84" s="10"/>
      <c r="AF84" s="10"/>
      <c r="AG84" s="10"/>
      <c r="AH84" s="10"/>
      <c r="AI84" s="10"/>
      <c r="AJ84" s="10"/>
      <c r="AK84" s="10"/>
      <c r="AL84" s="10"/>
      <c r="AM84" s="10"/>
      <c r="AN84" s="10"/>
      <c r="AO84" s="10"/>
    </row>
    <row r="85" spans="1:41" x14ac:dyDescent="0.25">
      <c r="A85" s="972">
        <f>A86</f>
        <v>2</v>
      </c>
      <c r="B85" s="16"/>
      <c r="C85" s="130"/>
      <c r="D85" s="1489" t="s">
        <v>98</v>
      </c>
      <c r="E85" s="1665" t="str">
        <f>Subject_CornerExposure</f>
        <v>Soft Corner</v>
      </c>
      <c r="F85" s="1789"/>
      <c r="G85" s="1789"/>
      <c r="H85" s="1789"/>
      <c r="I85" s="1789"/>
      <c r="J85" s="1789"/>
      <c r="K85" s="1168"/>
      <c r="L85" s="1146"/>
      <c r="M85" s="74"/>
      <c r="N85" s="32"/>
      <c r="O85" s="32"/>
      <c r="P85" s="32"/>
      <c r="Q85" s="32"/>
      <c r="R85" s="32"/>
      <c r="S85" s="32"/>
      <c r="T85" s="10"/>
      <c r="U85" s="10"/>
      <c r="V85" s="10"/>
      <c r="W85" s="10"/>
      <c r="X85" s="10"/>
      <c r="Y85" s="10"/>
      <c r="Z85" s="10"/>
      <c r="AA85" s="10"/>
      <c r="AB85" s="10"/>
      <c r="AC85" s="10"/>
      <c r="AD85" s="10"/>
      <c r="AE85" s="10"/>
      <c r="AF85" s="10"/>
      <c r="AG85" s="10"/>
      <c r="AH85" s="10"/>
      <c r="AI85" s="10"/>
      <c r="AJ85" s="10"/>
      <c r="AK85" s="10"/>
      <c r="AL85" s="10"/>
      <c r="AM85" s="10"/>
      <c r="AN85" s="10"/>
      <c r="AO85" s="10"/>
    </row>
    <row r="86" spans="1:41" ht="14.25" customHeight="1" x14ac:dyDescent="0.25">
      <c r="A86" s="972">
        <f>IF(B86=TRUE,1,2)</f>
        <v>2</v>
      </c>
      <c r="B86" s="16" t="b">
        <v>0</v>
      </c>
      <c r="C86" s="130"/>
      <c r="D86" s="520" t="str">
        <f>IF(Land_AdjType&lt;&gt;"Qualitative","Adjustment","Relative Comparison")</f>
        <v>Adjustment</v>
      </c>
      <c r="E86" s="765"/>
      <c r="F86" s="1855">
        <f t="shared" ref="F86:K86" si="27">IF(Land_AdjType_2="Percent",IF(AND(F87=0,F88=0,F89=0),0,IF(F87&lt;&gt;0,F87,IF(F88&lt;&gt;0,IF(dpUnit_Land_2="Per Usable Acre",(F88/F$15)/F$23,IF(dpUnit_Land_2="Per Gross Acre",(F88/F$17)/F$25,IF(dpUnit_Land_2="Per Usable Square Foot",(F88/F$16)/F$24,IF(dpUnit_Land_2="Per Gross Square Foot",(F88/F$18)/F$26,IF(dpUnit_Land_2="Per Front Foot",(F88/F$19)/F$27,IF(dpUnit_Land_2="Per Proposed Square Foot",(F88/F$20)/F$28,IF(dpUnit_Land_2="Per Lot",(F88/F$21)/F$29,(F88/F$22)/F$30))))))),IF(dpUnit_Land_2="Per Usable Acre",F89/F$23,IF(dpUnit_Land_2="Per Gross Acre",F89/F$25,IF(dpUnit_Land_2="Per Usable Square Foot",F89/F$24,IF(dpUnit_Land_2="Per Gross Square Foot",F89/F$26,IF(dpUnit_Land_2="Per Front Foot",F89/F$27,IF(dpUnit_Land_2="Per Proposed Square Foot",F89/F$28,IF(dpUnit_Land_2="Per Lot",F89/F$29,F89/F$30)))))))))),IF(Land_AdjType_2="$ per Unit",IF(AND(F87=0,F88=0,F89=0),0,IF(F87&lt;&gt;0,IF(dpUnit_Land_2="Per Usable Acre",F87*F$23,IF(dpUnit_Land_2="Per Gross Acre",F87*F$25,IF(dpUnit_Land_2="Per Usable Square Foot",F87*F$24,IF(dpUnit_Land_2="Per Gross Square Foot",F87*F$26,IF(dpUnit_Land_2="Per Front Foot",F87*F$27,IF(dpUnit_Land_2="Per Proposed Square Foot",F87*F$28,IF(dpUnit_Land_2="Per Lot",F87*F$29,F87*F$30))))))),IF(F88&lt;&gt;0,IF(dpUnit_Land_2="Per Usable Acre",F88/F$15,IF(dpUnit_Land_2="Per Gross Acre",F88/F$17,IF(dpUnit_Land_2="Per Usable Square Foot",F88/F$16,IF(dpUnit_Land_2="Per Gross Square Foot",F88/F$18,IF(dpUnit_Land_2="Per Front Foot",F88/F$19,IF(dpUnit_Land_2="Per Proposed Square Foot",F88/F$20,IF(dpUnit_Land_2="Per Lot",F88/F$21,F88/F$22))))))),F89))),IF(OR(F87&gt;0,F88&gt;0,F89&gt;0),"Inferior",IF(OR(F87&lt;0,F88&lt;0,F89&lt;0),"Superior","Similar"))))</f>
        <v>0</v>
      </c>
      <c r="G86" s="1855">
        <f t="shared" si="27"/>
        <v>0</v>
      </c>
      <c r="H86" s="1855">
        <f t="shared" si="27"/>
        <v>0</v>
      </c>
      <c r="I86" s="1855">
        <f t="shared" si="27"/>
        <v>0</v>
      </c>
      <c r="J86" s="1855">
        <f t="shared" si="27"/>
        <v>0</v>
      </c>
      <c r="K86" s="1150">
        <f t="shared" si="27"/>
        <v>0</v>
      </c>
      <c r="L86" s="763"/>
      <c r="M86" s="74"/>
      <c r="N86" s="32"/>
      <c r="O86" s="32"/>
      <c r="P86" s="32"/>
      <c r="Q86" s="32"/>
      <c r="R86" s="32"/>
      <c r="S86" s="32"/>
      <c r="T86" s="10"/>
      <c r="U86" s="10"/>
      <c r="V86" s="10"/>
      <c r="W86" s="10"/>
      <c r="X86" s="10"/>
      <c r="Y86" s="10"/>
      <c r="Z86" s="10"/>
      <c r="AA86" s="10"/>
      <c r="AB86" s="10"/>
      <c r="AC86" s="10"/>
      <c r="AD86" s="10"/>
      <c r="AE86" s="10"/>
      <c r="AF86" s="10"/>
      <c r="AG86" s="10"/>
      <c r="AH86" s="10"/>
      <c r="AI86" s="10"/>
      <c r="AJ86" s="10"/>
      <c r="AK86" s="10"/>
      <c r="AL86" s="10"/>
      <c r="AM86" s="10"/>
      <c r="AN86" s="10"/>
      <c r="AO86" s="10"/>
    </row>
    <row r="87" spans="1:41" ht="14.25" customHeight="1" x14ac:dyDescent="0.25">
      <c r="A87" s="972">
        <f>IF(A86=2,2,0)</f>
        <v>2</v>
      </c>
      <c r="B87" s="16"/>
      <c r="C87" s="130"/>
      <c r="D87" s="520"/>
      <c r="E87" s="1180" t="s">
        <v>166</v>
      </c>
      <c r="F87" s="1856"/>
      <c r="G87" s="1856"/>
      <c r="H87" s="1856"/>
      <c r="I87" s="1856"/>
      <c r="J87" s="1856"/>
      <c r="K87" s="1003"/>
      <c r="L87" s="136"/>
      <c r="M87" s="74"/>
      <c r="N87" s="32"/>
      <c r="O87" s="32"/>
      <c r="P87" s="32"/>
      <c r="Q87" s="32"/>
      <c r="R87" s="32"/>
      <c r="S87" s="32"/>
      <c r="T87" s="10"/>
      <c r="U87" s="10"/>
      <c r="V87" s="10"/>
      <c r="W87" s="10"/>
      <c r="X87" s="10"/>
      <c r="Y87" s="10"/>
      <c r="Z87" s="10"/>
      <c r="AA87" s="10"/>
      <c r="AB87" s="10"/>
      <c r="AC87" s="10"/>
      <c r="AD87" s="10"/>
      <c r="AE87" s="10"/>
      <c r="AF87" s="10"/>
      <c r="AG87" s="10"/>
      <c r="AH87" s="10"/>
      <c r="AI87" s="10"/>
      <c r="AJ87" s="10"/>
      <c r="AK87" s="10"/>
      <c r="AL87" s="10"/>
      <c r="AM87" s="10"/>
      <c r="AN87" s="10"/>
      <c r="AO87" s="10"/>
    </row>
    <row r="88" spans="1:41" ht="14.25" customHeight="1" x14ac:dyDescent="0.25">
      <c r="A88" s="972">
        <f>IF(A87=2,2,0)</f>
        <v>2</v>
      </c>
      <c r="B88" s="16"/>
      <c r="C88" s="130"/>
      <c r="D88" s="520"/>
      <c r="E88" s="1180" t="s">
        <v>167</v>
      </c>
      <c r="F88" s="1857"/>
      <c r="G88" s="1857"/>
      <c r="H88" s="1857"/>
      <c r="I88" s="1857"/>
      <c r="J88" s="1857"/>
      <c r="K88" s="1004"/>
      <c r="L88" s="1152"/>
      <c r="M88" s="74"/>
      <c r="N88" s="32"/>
      <c r="O88" s="32"/>
      <c r="P88" s="32"/>
      <c r="Q88" s="32"/>
      <c r="R88" s="32"/>
      <c r="S88" s="32"/>
      <c r="T88" s="10"/>
      <c r="U88" s="10"/>
      <c r="V88" s="10"/>
      <c r="W88" s="10"/>
      <c r="X88" s="10"/>
      <c r="Y88" s="10"/>
      <c r="Z88" s="10"/>
      <c r="AA88" s="10"/>
      <c r="AB88" s="10"/>
      <c r="AC88" s="10"/>
      <c r="AD88" s="10"/>
      <c r="AE88" s="10"/>
      <c r="AF88" s="10"/>
      <c r="AG88" s="10"/>
      <c r="AH88" s="10"/>
      <c r="AI88" s="10"/>
      <c r="AJ88" s="10"/>
      <c r="AK88" s="10"/>
      <c r="AL88" s="10"/>
      <c r="AM88" s="10"/>
      <c r="AN88" s="10"/>
      <c r="AO88" s="10"/>
    </row>
    <row r="89" spans="1:41" ht="14.25" customHeight="1" x14ac:dyDescent="0.25">
      <c r="A89" s="972">
        <f>IF(A88=2,2,0)</f>
        <v>2</v>
      </c>
      <c r="B89" s="16"/>
      <c r="C89" s="130"/>
      <c r="D89" s="520"/>
      <c r="E89" s="1180" t="str">
        <f>CONCATENATE("Enter $/",dpUnit_Land," Adj.")</f>
        <v>Enter $/per Usable Square Foot Adj.</v>
      </c>
      <c r="F89" s="1858"/>
      <c r="G89" s="1858"/>
      <c r="H89" s="1858"/>
      <c r="I89" s="1858"/>
      <c r="J89" s="1858"/>
      <c r="K89" s="1005"/>
      <c r="L89" s="1153"/>
      <c r="M89" s="74"/>
      <c r="N89" s="32"/>
      <c r="O89" s="32"/>
      <c r="P89" s="32"/>
      <c r="Q89" s="32"/>
      <c r="R89" s="32"/>
      <c r="S89" s="32"/>
      <c r="T89" s="10"/>
      <c r="U89" s="10"/>
      <c r="V89" s="10"/>
      <c r="W89" s="10"/>
      <c r="X89" s="10"/>
      <c r="Y89" s="10"/>
      <c r="Z89" s="10"/>
      <c r="AA89" s="10"/>
      <c r="AB89" s="10"/>
      <c r="AC89" s="10"/>
      <c r="AD89" s="10"/>
      <c r="AE89" s="10"/>
      <c r="AF89" s="10"/>
      <c r="AG89" s="10"/>
      <c r="AH89" s="10"/>
      <c r="AI89" s="10"/>
      <c r="AJ89" s="10"/>
      <c r="AK89" s="10"/>
      <c r="AL89" s="10"/>
      <c r="AM89" s="10"/>
      <c r="AN89" s="10"/>
      <c r="AO89" s="10"/>
    </row>
    <row r="90" spans="1:41" ht="8.1" customHeight="1" x14ac:dyDescent="0.25">
      <c r="A90" s="972">
        <f>A94</f>
        <v>2</v>
      </c>
      <c r="B90" s="16"/>
      <c r="C90" s="130"/>
      <c r="D90" s="520"/>
      <c r="E90" s="765"/>
      <c r="F90" s="1866">
        <f t="shared" ref="F90:K90" si="28">IF(AND(F95=0,F96=0,F97=0),0,IF(F95&lt;&gt;0,F95,IF(F96&lt;&gt;0,IF(dpUnit_Land_2="Per Usable Acre",(F96/F$15)/F$23,IF(dpUnit_Land_2="Per Gross Acre",(F96/F$17)/F$25,IF(dpUnit_Land_2="Per Usable Square Foot",(F96/F$16)/F$24,IF(dpUnit_Land_2="Per Gross Square Foot",(F96/F$18)/F$26,IF(dpUnit_Land_2="Per Front Foot",(F96/F$19)/F$27,IF(dpUnit_Land_2="Per Proposed Square Foot",(F96/F$20)/F$28,IF(dpUnit_Land_2="Per Lot",(F96/F$21)/F$29,(F96/F$22)/F$30))))))),IF(dpUnit_Land_2="Per Usable Acre",F97/F$23,IF(dpUnit_Land_2="Per Gross Acre",F97/F$25,IF(dpUnit_Land_2="Per Usable Square Foot",F97/F$24,IF(dpUnit_Land_2="Per Gross Square Foot",F97/F$26,IF(dpUnit_Land_2="Per Front Foot",F97/F$27,IF(dpUnit_Land_2="Per Proposed Square Foot",F97/F$28,IF(dpUnit_Land_2="Per Lot",F97/F$29,F97/F$30))))))))))</f>
        <v>0</v>
      </c>
      <c r="G90" s="1866">
        <f t="shared" si="28"/>
        <v>0</v>
      </c>
      <c r="H90" s="1866">
        <f t="shared" si="28"/>
        <v>0</v>
      </c>
      <c r="I90" s="1866">
        <f t="shared" si="28"/>
        <v>0</v>
      </c>
      <c r="J90" s="1866">
        <f t="shared" si="28"/>
        <v>0</v>
      </c>
      <c r="K90" s="1341">
        <f t="shared" si="28"/>
        <v>0</v>
      </c>
      <c r="L90" s="1146"/>
      <c r="M90" s="74"/>
      <c r="N90" s="32"/>
      <c r="O90" s="32"/>
      <c r="P90" s="32"/>
      <c r="Q90" s="32"/>
      <c r="R90" s="32"/>
      <c r="S90" s="32"/>
      <c r="T90" s="10"/>
      <c r="U90" s="10"/>
      <c r="V90" s="10"/>
      <c r="W90" s="10"/>
      <c r="X90" s="10"/>
      <c r="Y90" s="10"/>
      <c r="Z90" s="10"/>
      <c r="AA90" s="10"/>
      <c r="AB90" s="10"/>
      <c r="AC90" s="10"/>
      <c r="AD90" s="10"/>
      <c r="AE90" s="10"/>
      <c r="AF90" s="10"/>
      <c r="AG90" s="10"/>
      <c r="AH90" s="10"/>
      <c r="AI90" s="10"/>
      <c r="AJ90" s="10"/>
      <c r="AK90" s="10"/>
      <c r="AL90" s="10"/>
      <c r="AM90" s="10"/>
      <c r="AN90" s="10"/>
      <c r="AO90" s="10"/>
    </row>
    <row r="91" spans="1:41" ht="28.5" x14ac:dyDescent="0.25">
      <c r="A91" s="976">
        <f>A94</f>
        <v>2</v>
      </c>
      <c r="B91" s="140"/>
      <c r="C91" s="522"/>
      <c r="D91" s="1489" t="s">
        <v>101</v>
      </c>
      <c r="E91" s="1665" t="str">
        <f>IF(Subject_SecondaryFrontageFeet=0,CONCATENATE("Primary - ",TEXT(Subject_PrimaryFrontageFeet,"#,#00")," feet"),CONCATENATE("Primary - ",TEXT(Subject_PrimaryFrontageFeet,"#,#00")," feet &amp; Secondary - ",TEXT(Subject_SecondaryFrontageFeet,"#,#00")," feet"))</f>
        <v>Primary - 125 feet</v>
      </c>
      <c r="F91" s="1788" t="str">
        <f t="shared" ref="F91:K91" si="29">IF(F93=0,CONCATENATE("Primary - ",TEXT(F92,"#,#00")," feet"),CONCATENATE("Primary - ",TEXT(F92,"#,#00")," feet &amp; Secondary - ",TEXT(F93,"#,#00")," feet"))</f>
        <v>Primary - 00 feet</v>
      </c>
      <c r="G91" s="1788" t="str">
        <f t="shared" si="29"/>
        <v>Primary - 00 feet</v>
      </c>
      <c r="H91" s="1788" t="str">
        <f t="shared" si="29"/>
        <v>Primary - 00 feet</v>
      </c>
      <c r="I91" s="1788" t="str">
        <f t="shared" si="29"/>
        <v>Primary - 00 feet</v>
      </c>
      <c r="J91" s="1788" t="str">
        <f t="shared" si="29"/>
        <v>Primary - 00 feet</v>
      </c>
      <c r="K91" s="1162" t="str">
        <f t="shared" si="29"/>
        <v>Primary - 00 feet</v>
      </c>
      <c r="L91" s="1163"/>
      <c r="M91" s="141"/>
      <c r="N91" s="295"/>
      <c r="O91" s="295"/>
      <c r="P91" s="295"/>
      <c r="Q91" s="295"/>
      <c r="R91" s="295"/>
      <c r="S91" s="295"/>
      <c r="T91" s="142"/>
      <c r="U91" s="142"/>
      <c r="V91" s="142"/>
      <c r="W91" s="142"/>
      <c r="X91" s="142"/>
      <c r="Y91" s="142"/>
      <c r="Z91" s="142"/>
      <c r="AA91" s="142"/>
      <c r="AB91" s="142"/>
      <c r="AC91" s="142"/>
      <c r="AD91" s="142"/>
      <c r="AE91" s="142"/>
      <c r="AF91" s="142"/>
      <c r="AG91" s="142"/>
      <c r="AH91" s="142"/>
      <c r="AI91" s="142"/>
      <c r="AJ91" s="142"/>
      <c r="AK91" s="142"/>
      <c r="AL91" s="142"/>
      <c r="AM91" s="142"/>
      <c r="AN91" s="142"/>
      <c r="AO91" s="142"/>
    </row>
    <row r="92" spans="1:41" ht="15" customHeight="1" x14ac:dyDescent="0.25">
      <c r="A92" s="972">
        <v>0</v>
      </c>
      <c r="B92" s="16"/>
      <c r="C92" s="130"/>
      <c r="D92" s="1169"/>
      <c r="E92" s="1120" t="s">
        <v>310</v>
      </c>
      <c r="F92" s="1850"/>
      <c r="G92" s="1850"/>
      <c r="H92" s="1850"/>
      <c r="I92" s="1850"/>
      <c r="J92" s="1850"/>
      <c r="K92" s="1129"/>
      <c r="L92" s="1146"/>
      <c r="M92" s="74"/>
      <c r="N92" s="32"/>
      <c r="O92" s="32"/>
      <c r="P92" s="32"/>
      <c r="Q92" s="32"/>
      <c r="R92" s="32"/>
      <c r="S92" s="32"/>
      <c r="T92" s="10"/>
      <c r="U92" s="10"/>
      <c r="V92" s="10"/>
      <c r="W92" s="10"/>
      <c r="X92" s="10"/>
      <c r="Y92" s="10"/>
      <c r="Z92" s="10"/>
      <c r="AA92" s="10"/>
      <c r="AB92" s="10"/>
      <c r="AC92" s="10"/>
      <c r="AD92" s="10"/>
      <c r="AE92" s="10"/>
      <c r="AF92" s="10"/>
      <c r="AG92" s="10"/>
      <c r="AH92" s="10"/>
      <c r="AI92" s="10"/>
      <c r="AJ92" s="10"/>
      <c r="AK92" s="10"/>
      <c r="AL92" s="10"/>
      <c r="AM92" s="10"/>
      <c r="AN92" s="10"/>
      <c r="AO92" s="10"/>
    </row>
    <row r="93" spans="1:41" ht="15" customHeight="1" x14ac:dyDescent="0.25">
      <c r="A93" s="972">
        <v>0</v>
      </c>
      <c r="B93" s="16"/>
      <c r="C93" s="130"/>
      <c r="D93" s="1169"/>
      <c r="E93" s="1120" t="s">
        <v>311</v>
      </c>
      <c r="F93" s="1850"/>
      <c r="G93" s="1850"/>
      <c r="H93" s="1850"/>
      <c r="I93" s="1850"/>
      <c r="J93" s="1850"/>
      <c r="K93" s="1129"/>
      <c r="L93" s="1146"/>
      <c r="M93" s="74"/>
      <c r="N93" s="32"/>
      <c r="O93" s="32"/>
      <c r="P93" s="32"/>
      <c r="Q93" s="32"/>
      <c r="R93" s="32"/>
      <c r="S93" s="32"/>
      <c r="T93" s="10"/>
      <c r="U93" s="10"/>
      <c r="V93" s="10"/>
      <c r="W93" s="10"/>
      <c r="X93" s="10"/>
      <c r="Y93" s="10"/>
      <c r="Z93" s="10"/>
      <c r="AA93" s="10"/>
      <c r="AB93" s="10"/>
      <c r="AC93" s="10"/>
      <c r="AD93" s="10"/>
      <c r="AE93" s="10"/>
      <c r="AF93" s="10"/>
      <c r="AG93" s="10"/>
      <c r="AH93" s="10"/>
      <c r="AI93" s="10"/>
      <c r="AJ93" s="10"/>
      <c r="AK93" s="10"/>
      <c r="AL93" s="10"/>
      <c r="AM93" s="10"/>
      <c r="AN93" s="10"/>
      <c r="AO93" s="10"/>
    </row>
    <row r="94" spans="1:41" ht="14.25" customHeight="1" x14ac:dyDescent="0.25">
      <c r="A94" s="972">
        <f>IF(B94=TRUE,1,2)</f>
        <v>2</v>
      </c>
      <c r="B94" s="16" t="b">
        <v>0</v>
      </c>
      <c r="C94" s="130"/>
      <c r="D94" s="520" t="str">
        <f>IF(Land_AdjType&lt;&gt;"Qualitative","Adjustment","Relative Comparison")</f>
        <v>Adjustment</v>
      </c>
      <c r="E94" s="765"/>
      <c r="F94" s="1855">
        <f t="shared" ref="F94:K94" si="30">IF(Land_AdjType_2="Percent",IF(AND(F95=0,F96=0,F97=0),0,IF(F95&lt;&gt;0,F95,IF(F96&lt;&gt;0,IF(dpUnit_Land_2="Per Usable Acre",(F96/F$15)/F$23,IF(dpUnit_Land_2="Per Gross Acre",(F96/F$17)/F$25,IF(dpUnit_Land_2="Per Usable Square Foot",(F96/F$16)/F$24,IF(dpUnit_Land_2="Per Gross Square Foot",(F96/F$18)/F$26,IF(dpUnit_Land_2="Per Front Foot",(F96/F$19)/F$27,IF(dpUnit_Land_2="Per Proposed Square Foot",(F96/F$20)/F$28,IF(dpUnit_Land_2="Per Lot",(F96/F$21)/F$29,(F96/F$22)/F$30))))))),IF(dpUnit_Land_2="Per Usable Acre",F97/F$23,IF(dpUnit_Land_2="Per Gross Acre",F97/F$25,IF(dpUnit_Land_2="Per Usable Square Foot",F97/F$24,IF(dpUnit_Land_2="Per Gross Square Foot",F97/F$26,IF(dpUnit_Land_2="Per Front Foot",F97/F$27,IF(dpUnit_Land_2="Per Proposed Square Foot",F97/F$28,IF(dpUnit_Land_2="Per Lot",F97/F$29,F97/F$30)))))))))),IF(Land_AdjType_2="$ per Unit",IF(AND(F95=0,F96=0,F97=0),0,IF(F95&lt;&gt;0,IF(dpUnit_Land_2="Per Usable Acre",F95*F$23,IF(dpUnit_Land_2="Per Gross Acre",F95*F$25,IF(dpUnit_Land_2="Per Usable Square Foot",F95*F$24,IF(dpUnit_Land_2="Per Gross Square Foot",F95*F$26,IF(dpUnit_Land_2="Per Front Foot",F95*F$27,IF(dpUnit_Land_2="Per Proposed Square Foot",F95*F$28,IF(dpUnit_Land_2="Per Lot",F95*F$29,F95*F$30))))))),IF(F96&lt;&gt;0,IF(dpUnit_Land_2="Per Usable Acre",F96/F$15,IF(dpUnit_Land_2="Per Gross Acre",F96/F$17,IF(dpUnit_Land_2="Per Usable Square Foot",F96/F$16,IF(dpUnit_Land_2="Per Gross Square Foot",F96/F$18,IF(dpUnit_Land_2="Per Front Foot",F96/F$19,IF(dpUnit_Land_2="Per Proposed Square Foot",F96/F$20,IF(dpUnit_Land_2="Per Lot",F96/F$21,F96/F$22))))))),F97))),IF(OR(F95&gt;0,F96&gt;0,F97&gt;0),"Inferior",IF(OR(F95&lt;0,F96&lt;0,F97&lt;0),"Superior","Similar"))))</f>
        <v>0</v>
      </c>
      <c r="G94" s="1855">
        <f t="shared" si="30"/>
        <v>0</v>
      </c>
      <c r="H94" s="1855">
        <f t="shared" si="30"/>
        <v>0</v>
      </c>
      <c r="I94" s="1855">
        <f t="shared" si="30"/>
        <v>0</v>
      </c>
      <c r="J94" s="1855">
        <f t="shared" si="30"/>
        <v>0</v>
      </c>
      <c r="K94" s="1150">
        <f t="shared" si="30"/>
        <v>0</v>
      </c>
      <c r="L94" s="763"/>
      <c r="M94" s="74"/>
      <c r="N94" s="32"/>
      <c r="O94" s="32"/>
      <c r="P94" s="32"/>
      <c r="Q94" s="32"/>
      <c r="R94" s="32"/>
      <c r="S94" s="32"/>
      <c r="T94" s="10"/>
      <c r="U94" s="10"/>
      <c r="V94" s="10"/>
      <c r="W94" s="10"/>
      <c r="X94" s="10"/>
      <c r="Y94" s="10"/>
      <c r="Z94" s="10"/>
      <c r="AA94" s="10"/>
      <c r="AB94" s="10"/>
      <c r="AC94" s="10"/>
      <c r="AD94" s="10"/>
      <c r="AE94" s="10"/>
      <c r="AF94" s="10"/>
      <c r="AG94" s="10"/>
      <c r="AH94" s="10"/>
      <c r="AI94" s="10"/>
      <c r="AJ94" s="10"/>
      <c r="AK94" s="10"/>
      <c r="AL94" s="10"/>
      <c r="AM94" s="10"/>
      <c r="AN94" s="10"/>
      <c r="AO94" s="10"/>
    </row>
    <row r="95" spans="1:41" ht="14.25" customHeight="1" x14ac:dyDescent="0.25">
      <c r="A95" s="972">
        <f>IF(A94=2,2,0)</f>
        <v>2</v>
      </c>
      <c r="B95" s="16"/>
      <c r="C95" s="130"/>
      <c r="D95" s="520"/>
      <c r="E95" s="1180" t="s">
        <v>166</v>
      </c>
      <c r="F95" s="1856"/>
      <c r="G95" s="1856"/>
      <c r="H95" s="1856"/>
      <c r="I95" s="1856"/>
      <c r="J95" s="1856"/>
      <c r="K95" s="1003"/>
      <c r="L95" s="136"/>
      <c r="M95" s="74"/>
      <c r="N95" s="32"/>
      <c r="O95" s="32"/>
      <c r="P95" s="32"/>
      <c r="Q95" s="32"/>
      <c r="R95" s="32"/>
      <c r="S95" s="32"/>
      <c r="T95" s="10"/>
      <c r="U95" s="10"/>
      <c r="V95" s="10"/>
      <c r="W95" s="10"/>
      <c r="X95" s="10"/>
      <c r="Y95" s="10"/>
      <c r="Z95" s="10"/>
      <c r="AA95" s="10"/>
      <c r="AB95" s="10"/>
      <c r="AC95" s="10"/>
      <c r="AD95" s="10"/>
      <c r="AE95" s="10"/>
      <c r="AF95" s="10"/>
      <c r="AG95" s="10"/>
      <c r="AH95" s="10"/>
      <c r="AI95" s="10"/>
      <c r="AJ95" s="10"/>
      <c r="AK95" s="10"/>
      <c r="AL95" s="10"/>
      <c r="AM95" s="10"/>
      <c r="AN95" s="10"/>
      <c r="AO95" s="10"/>
    </row>
    <row r="96" spans="1:41" ht="14.25" customHeight="1" x14ac:dyDescent="0.25">
      <c r="A96" s="972">
        <f>IF(A95=2,2,0)</f>
        <v>2</v>
      </c>
      <c r="B96" s="16"/>
      <c r="C96" s="130"/>
      <c r="D96" s="520"/>
      <c r="E96" s="1180" t="s">
        <v>167</v>
      </c>
      <c r="F96" s="1857"/>
      <c r="G96" s="1857"/>
      <c r="H96" s="1857"/>
      <c r="I96" s="1857"/>
      <c r="J96" s="1857"/>
      <c r="K96" s="1004"/>
      <c r="L96" s="1152"/>
      <c r="M96" s="74"/>
      <c r="N96" s="32"/>
      <c r="O96" s="32"/>
      <c r="P96" s="32"/>
      <c r="Q96" s="32"/>
      <c r="R96" s="32"/>
      <c r="S96" s="32"/>
      <c r="T96" s="10"/>
      <c r="U96" s="10"/>
      <c r="V96" s="10"/>
      <c r="W96" s="10"/>
      <c r="X96" s="10"/>
      <c r="Y96" s="10"/>
      <c r="Z96" s="10"/>
      <c r="AA96" s="10"/>
      <c r="AB96" s="10"/>
      <c r="AC96" s="10"/>
      <c r="AD96" s="10"/>
      <c r="AE96" s="10"/>
      <c r="AF96" s="10"/>
      <c r="AG96" s="10"/>
      <c r="AH96" s="10"/>
      <c r="AI96" s="10"/>
      <c r="AJ96" s="10"/>
      <c r="AK96" s="10"/>
      <c r="AL96" s="10"/>
      <c r="AM96" s="10"/>
      <c r="AN96" s="10"/>
      <c r="AO96" s="10"/>
    </row>
    <row r="97" spans="1:41" ht="14.25" customHeight="1" x14ac:dyDescent="0.25">
      <c r="A97" s="972">
        <f>IF(A96=2,2,0)</f>
        <v>2</v>
      </c>
      <c r="B97" s="16"/>
      <c r="C97" s="130"/>
      <c r="D97" s="520"/>
      <c r="E97" s="1180" t="str">
        <f>CONCATENATE("Enter $/",dpUnit_Land," Adj.")</f>
        <v>Enter $/per Usable Square Foot Adj.</v>
      </c>
      <c r="F97" s="1858"/>
      <c r="G97" s="1858"/>
      <c r="H97" s="1858"/>
      <c r="I97" s="1858"/>
      <c r="J97" s="1858"/>
      <c r="K97" s="1005"/>
      <c r="L97" s="1153"/>
      <c r="M97" s="74"/>
      <c r="N97" s="32"/>
      <c r="O97" s="32"/>
      <c r="P97" s="32"/>
      <c r="Q97" s="32"/>
      <c r="R97" s="32"/>
      <c r="S97" s="32"/>
      <c r="T97" s="10"/>
      <c r="U97" s="10"/>
      <c r="V97" s="10"/>
      <c r="W97" s="10"/>
      <c r="X97" s="10"/>
      <c r="Y97" s="10"/>
      <c r="Z97" s="10"/>
      <c r="AA97" s="10"/>
      <c r="AB97" s="10"/>
      <c r="AC97" s="10"/>
      <c r="AD97" s="10"/>
      <c r="AE97" s="10"/>
      <c r="AF97" s="10"/>
      <c r="AG97" s="10"/>
      <c r="AH97" s="10"/>
      <c r="AI97" s="10"/>
      <c r="AJ97" s="10"/>
      <c r="AK97" s="10"/>
      <c r="AL97" s="10"/>
      <c r="AM97" s="10"/>
      <c r="AN97" s="10"/>
      <c r="AO97" s="10"/>
    </row>
    <row r="98" spans="1:41" ht="8.1" customHeight="1" x14ac:dyDescent="0.25">
      <c r="A98" s="972">
        <f>A100</f>
        <v>2</v>
      </c>
      <c r="B98" s="16"/>
      <c r="C98" s="130"/>
      <c r="D98" s="520"/>
      <c r="E98" s="765"/>
      <c r="F98" s="1866">
        <f t="shared" ref="F98:K98" si="31">IF(AND(F101=0,F102=0,F103=0),0,IF(F101&lt;&gt;0,F101,IF(F102&lt;&gt;0,IF(dpUnit_Land_2="Per Usable Acre",(F102/F$15)/F$23,IF(dpUnit_Land_2="Per Gross Acre",(F102/F$17)/F$25,IF(dpUnit_Land_2="Per Usable Square Foot",(F102/F$16)/F$24,IF(dpUnit_Land_2="Per Gross Square Foot",(F102/F$18)/F$26,IF(dpUnit_Land_2="Per Front Foot",(F102/F$19)/F$27,IF(dpUnit_Land_2="Per Proposed Square Foot",(F102/F$20)/F$28,IF(dpUnit_Land_2="Per Lot",(F102/F$21)/F$29,(F102/F$22)/F$30))))))),IF(dpUnit_Land_2="Per Usable Acre",F103/F$23,IF(dpUnit_Land_2="Per Gross Acre",F103/F$25,IF(dpUnit_Land_2="Per Usable Square Foot",F103/F$24,IF(dpUnit_Land_2="Per Gross Square Foot",F103/F$26,IF(dpUnit_Land_2="Per Front Foot",F103/F$27,IF(dpUnit_Land_2="Per Proposed Square Foot",F103/F$28,IF(dpUnit_Land_2="Per Lot",F103/F$29,F103/F$30))))))))))</f>
        <v>0</v>
      </c>
      <c r="G98" s="1866">
        <f t="shared" si="31"/>
        <v>0</v>
      </c>
      <c r="H98" s="1866">
        <f t="shared" si="31"/>
        <v>0</v>
      </c>
      <c r="I98" s="1866">
        <f t="shared" si="31"/>
        <v>0</v>
      </c>
      <c r="J98" s="1866">
        <f t="shared" si="31"/>
        <v>0</v>
      </c>
      <c r="K98" s="1341">
        <f t="shared" si="31"/>
        <v>0</v>
      </c>
      <c r="L98" s="1146"/>
      <c r="M98" s="74"/>
      <c r="N98" s="32"/>
      <c r="O98" s="32"/>
      <c r="P98" s="32"/>
      <c r="Q98" s="32"/>
      <c r="R98" s="32"/>
      <c r="S98" s="32"/>
      <c r="T98" s="10"/>
      <c r="U98" s="10"/>
      <c r="V98" s="10"/>
      <c r="W98" s="10"/>
      <c r="X98" s="10"/>
      <c r="Y98" s="10"/>
      <c r="Z98" s="10"/>
      <c r="AA98" s="10"/>
      <c r="AB98" s="10"/>
      <c r="AC98" s="10"/>
      <c r="AD98" s="10"/>
      <c r="AE98" s="10"/>
      <c r="AF98" s="10"/>
      <c r="AG98" s="10"/>
      <c r="AH98" s="10"/>
      <c r="AI98" s="10"/>
      <c r="AJ98" s="10"/>
      <c r="AK98" s="10"/>
      <c r="AL98" s="10"/>
      <c r="AM98" s="10"/>
      <c r="AN98" s="10"/>
      <c r="AO98" s="10"/>
    </row>
    <row r="99" spans="1:41" ht="28.5" x14ac:dyDescent="0.25">
      <c r="A99" s="972">
        <f>A100</f>
        <v>2</v>
      </c>
      <c r="B99" s="16"/>
      <c r="C99" s="130"/>
      <c r="D99" s="1489" t="s">
        <v>92</v>
      </c>
      <c r="E99" s="1665" t="str">
        <f>Subject_LandUtilities</f>
        <v>All public available.</v>
      </c>
      <c r="F99" s="1789"/>
      <c r="G99" s="1789"/>
      <c r="H99" s="1789"/>
      <c r="I99" s="1789"/>
      <c r="J99" s="1789"/>
      <c r="K99" s="1168"/>
      <c r="L99" s="1146"/>
      <c r="M99" s="74"/>
      <c r="N99" s="32"/>
      <c r="O99" s="32"/>
      <c r="P99" s="32"/>
      <c r="Q99" s="32"/>
      <c r="R99" s="32"/>
      <c r="S99" s="32"/>
      <c r="T99" s="10"/>
      <c r="U99" s="10"/>
      <c r="V99" s="10"/>
      <c r="W99" s="10"/>
      <c r="X99" s="10"/>
      <c r="Y99" s="10"/>
      <c r="Z99" s="10"/>
      <c r="AA99" s="10"/>
      <c r="AB99" s="10"/>
      <c r="AC99" s="10"/>
      <c r="AD99" s="10"/>
      <c r="AE99" s="10"/>
      <c r="AF99" s="10"/>
      <c r="AG99" s="10"/>
      <c r="AH99" s="10"/>
      <c r="AI99" s="10"/>
      <c r="AJ99" s="10"/>
      <c r="AK99" s="10"/>
      <c r="AL99" s="10"/>
      <c r="AM99" s="10"/>
      <c r="AN99" s="10"/>
      <c r="AO99" s="10"/>
    </row>
    <row r="100" spans="1:41" ht="14.25" customHeight="1" x14ac:dyDescent="0.25">
      <c r="A100" s="972">
        <f>IF(B100=TRUE,1,2)</f>
        <v>2</v>
      </c>
      <c r="B100" s="16" t="b">
        <v>0</v>
      </c>
      <c r="C100" s="130"/>
      <c r="D100" s="520" t="str">
        <f>IF(Land_AdjType&lt;&gt;"Qualitative","Adjustment","Relative Comparison")</f>
        <v>Adjustment</v>
      </c>
      <c r="E100" s="765"/>
      <c r="F100" s="1855">
        <f t="shared" ref="F100:K100" si="32">IF(Land_AdjType_2="Percent",IF(AND(F101=0,F102=0,F103=0),0,IF(F101&lt;&gt;0,F101,IF(F102&lt;&gt;0,IF(dpUnit_Land_2="Per Usable Acre",(F102/F$15)/F$23,IF(dpUnit_Land_2="Per Gross Acre",(F102/F$17)/F$25,IF(dpUnit_Land_2="Per Usable Square Foot",(F102/F$16)/F$24,IF(dpUnit_Land_2="Per Gross Square Foot",(F102/F$18)/F$26,IF(dpUnit_Land_2="Per Front Foot",(F102/F$19)/F$27,IF(dpUnit_Land_2="Per Proposed Square Foot",(F102/F$20)/F$28,IF(dpUnit_Land_2="Per Lot",(F102/F$21)/F$29,(F102/F$22)/F$30))))))),IF(dpUnit_Land_2="Per Usable Acre",F103/F$23,IF(dpUnit_Land_2="Per Gross Acre",F103/F$25,IF(dpUnit_Land_2="Per Usable Square Foot",F103/F$24,IF(dpUnit_Land_2="Per Gross Square Foot",F103/F$26,IF(dpUnit_Land_2="Per Front Foot",F103/F$27,IF(dpUnit_Land_2="Per Proposed Square Foot",F103/F$28,IF(dpUnit_Land_2="Per Lot",F103/F$29,F103/F$30)))))))))),IF(Land_AdjType_2="$ per Unit",IF(AND(F101=0,F102=0,F103=0),0,IF(F101&lt;&gt;0,IF(dpUnit_Land_2="Per Usable Acre",F101*F$23,IF(dpUnit_Land_2="Per Gross Acre",F101*F$25,IF(dpUnit_Land_2="Per Usable Square Foot",F101*F$24,IF(dpUnit_Land_2="Per Gross Square Foot",F101*F$26,IF(dpUnit_Land_2="Per Front Foot",F101*F$27,IF(dpUnit_Land_2="Per Proposed Square Foot",F101*F$28,IF(dpUnit_Land_2="Per Lot",F101*F$29,F101*F$30))))))),IF(F102&lt;&gt;0,IF(dpUnit_Land_2="Per Usable Acre",F102/F$15,IF(dpUnit_Land_2="Per Gross Acre",F102/F$17,IF(dpUnit_Land_2="Per Usable Square Foot",F102/F$16,IF(dpUnit_Land_2="Per Gross Square Foot",F102/F$18,IF(dpUnit_Land_2="Per Front Foot",F102/F$19,IF(dpUnit_Land_2="Per Proposed Square Foot",F102/F$20,IF(dpUnit_Land_2="Per Lot",F102/F$21,F102/F$22))))))),F103))),IF(OR(F101&gt;0,F102&gt;0,F103&gt;0),"Inferior",IF(OR(F101&lt;0,F102&lt;0,F103&lt;0),"Superior","Similar"))))</f>
        <v>0</v>
      </c>
      <c r="G100" s="1855">
        <f t="shared" si="32"/>
        <v>0</v>
      </c>
      <c r="H100" s="1855">
        <f t="shared" si="32"/>
        <v>0</v>
      </c>
      <c r="I100" s="1855">
        <f t="shared" si="32"/>
        <v>0</v>
      </c>
      <c r="J100" s="1855">
        <f t="shared" si="32"/>
        <v>0</v>
      </c>
      <c r="K100" s="1150">
        <f t="shared" si="32"/>
        <v>0</v>
      </c>
      <c r="L100" s="763"/>
      <c r="M100" s="74"/>
      <c r="N100" s="32"/>
      <c r="O100" s="32"/>
      <c r="P100" s="32"/>
      <c r="Q100" s="32"/>
      <c r="R100" s="32"/>
      <c r="S100" s="32"/>
      <c r="T100" s="10"/>
      <c r="U100" s="10"/>
      <c r="V100" s="10"/>
      <c r="W100" s="10"/>
      <c r="X100" s="10"/>
      <c r="Y100" s="10"/>
      <c r="Z100" s="10"/>
      <c r="AA100" s="10"/>
      <c r="AB100" s="10"/>
      <c r="AC100" s="10"/>
      <c r="AD100" s="10"/>
      <c r="AE100" s="10"/>
      <c r="AF100" s="10"/>
      <c r="AG100" s="10"/>
      <c r="AH100" s="10"/>
      <c r="AI100" s="10"/>
      <c r="AJ100" s="10"/>
      <c r="AK100" s="10"/>
      <c r="AL100" s="10"/>
      <c r="AM100" s="10"/>
      <c r="AN100" s="10"/>
      <c r="AO100" s="10"/>
    </row>
    <row r="101" spans="1:41" ht="14.25" customHeight="1" x14ac:dyDescent="0.25">
      <c r="A101" s="972">
        <f>IF(A100=2,2,0)</f>
        <v>2</v>
      </c>
      <c r="B101" s="16"/>
      <c r="C101" s="130"/>
      <c r="D101" s="520"/>
      <c r="E101" s="1180" t="s">
        <v>166</v>
      </c>
      <c r="F101" s="1856"/>
      <c r="G101" s="1856"/>
      <c r="H101" s="1856"/>
      <c r="I101" s="1856"/>
      <c r="J101" s="1856"/>
      <c r="K101" s="1003"/>
      <c r="L101" s="136"/>
      <c r="M101" s="74"/>
      <c r="N101" s="32"/>
      <c r="O101" s="32"/>
      <c r="P101" s="32"/>
      <c r="Q101" s="32"/>
      <c r="R101" s="32"/>
      <c r="S101" s="32"/>
      <c r="T101" s="10"/>
      <c r="U101" s="10"/>
      <c r="V101" s="10"/>
      <c r="W101" s="10"/>
      <c r="X101" s="10"/>
      <c r="Y101" s="10"/>
      <c r="Z101" s="10"/>
      <c r="AA101" s="10"/>
      <c r="AB101" s="10"/>
      <c r="AC101" s="10"/>
      <c r="AD101" s="10"/>
      <c r="AE101" s="10"/>
      <c r="AF101" s="10"/>
      <c r="AG101" s="10"/>
      <c r="AH101" s="10"/>
      <c r="AI101" s="10"/>
      <c r="AJ101" s="10"/>
      <c r="AK101" s="10"/>
      <c r="AL101" s="10"/>
      <c r="AM101" s="10"/>
      <c r="AN101" s="10"/>
      <c r="AO101" s="10"/>
    </row>
    <row r="102" spans="1:41" ht="14.25" customHeight="1" x14ac:dyDescent="0.25">
      <c r="A102" s="972">
        <f>IF(A101=2,2,0)</f>
        <v>2</v>
      </c>
      <c r="B102" s="16"/>
      <c r="C102" s="130"/>
      <c r="D102" s="520"/>
      <c r="E102" s="1180" t="s">
        <v>167</v>
      </c>
      <c r="F102" s="1857"/>
      <c r="G102" s="1857"/>
      <c r="H102" s="1857"/>
      <c r="I102" s="1857"/>
      <c r="J102" s="1857"/>
      <c r="K102" s="1004"/>
      <c r="L102" s="1152"/>
      <c r="M102" s="74"/>
      <c r="N102" s="32"/>
      <c r="O102" s="32"/>
      <c r="P102" s="32"/>
      <c r="Q102" s="32"/>
      <c r="R102" s="32"/>
      <c r="S102" s="32"/>
      <c r="T102" s="10"/>
      <c r="U102" s="10"/>
      <c r="V102" s="10"/>
      <c r="W102" s="10"/>
      <c r="X102" s="10"/>
      <c r="Y102" s="10"/>
      <c r="Z102" s="10"/>
      <c r="AA102" s="10"/>
      <c r="AB102" s="10"/>
      <c r="AC102" s="10"/>
      <c r="AD102" s="10"/>
      <c r="AE102" s="10"/>
      <c r="AF102" s="10"/>
      <c r="AG102" s="10"/>
      <c r="AH102" s="10"/>
      <c r="AI102" s="10"/>
      <c r="AJ102" s="10"/>
      <c r="AK102" s="10"/>
      <c r="AL102" s="10"/>
      <c r="AM102" s="10"/>
      <c r="AN102" s="10"/>
      <c r="AO102" s="10"/>
    </row>
    <row r="103" spans="1:41" ht="14.25" customHeight="1" x14ac:dyDescent="0.25">
      <c r="A103" s="972">
        <f>IF(A102=2,2,0)</f>
        <v>2</v>
      </c>
      <c r="B103" s="16"/>
      <c r="C103" s="130"/>
      <c r="D103" s="520"/>
      <c r="E103" s="1180" t="str">
        <f>CONCATENATE("Enter $/",dpUnit_Land," Adj.")</f>
        <v>Enter $/per Usable Square Foot Adj.</v>
      </c>
      <c r="F103" s="1858"/>
      <c r="G103" s="1858"/>
      <c r="H103" s="1858"/>
      <c r="I103" s="1858"/>
      <c r="J103" s="1858"/>
      <c r="K103" s="1005"/>
      <c r="L103" s="1153"/>
      <c r="M103" s="74"/>
      <c r="N103" s="32"/>
      <c r="O103" s="32"/>
      <c r="P103" s="32"/>
      <c r="Q103" s="32"/>
      <c r="R103" s="32"/>
      <c r="S103" s="32"/>
      <c r="T103" s="10"/>
      <c r="U103" s="10"/>
      <c r="V103" s="10"/>
      <c r="W103" s="10"/>
      <c r="X103" s="10"/>
      <c r="Y103" s="10"/>
      <c r="Z103" s="10"/>
      <c r="AA103" s="10"/>
      <c r="AB103" s="10"/>
      <c r="AC103" s="10"/>
      <c r="AD103" s="10"/>
      <c r="AE103" s="10"/>
      <c r="AF103" s="10"/>
      <c r="AG103" s="10"/>
      <c r="AH103" s="10"/>
      <c r="AI103" s="10"/>
      <c r="AJ103" s="10"/>
      <c r="AK103" s="10"/>
      <c r="AL103" s="10"/>
      <c r="AM103" s="10"/>
      <c r="AN103" s="10"/>
      <c r="AO103" s="10"/>
    </row>
    <row r="104" spans="1:41" ht="8.1" customHeight="1" x14ac:dyDescent="0.25">
      <c r="A104" s="972">
        <f>A106</f>
        <v>2</v>
      </c>
      <c r="B104" s="16"/>
      <c r="C104" s="130"/>
      <c r="D104" s="520"/>
      <c r="E104" s="765"/>
      <c r="F104" s="1866">
        <f t="shared" ref="F104:K104" si="33">IF(AND(F107=0,F108=0,F109=0),0,IF(F107&lt;&gt;0,F107,IF(F108&lt;&gt;0,IF(dpUnit_Land_2="Per Usable Acre",(F108/F$15)/F$23,IF(dpUnit_Land_2="Per Gross Acre",(F108/F$17)/F$25,IF(dpUnit_Land_2="Per Usable Square Foot",(F108/F$16)/F$24,IF(dpUnit_Land_2="Per Gross Square Foot",(F108/F$18)/F$26,IF(dpUnit_Land_2="Per Front Foot",(F108/F$19)/F$27,IF(dpUnit_Land_2="Per Proposed Square Foot",(F108/F$20)/F$28,IF(dpUnit_Land_2="Per Lot",(F108/F$21)/F$29,(F108/F$22)/F$30))))))),IF(dpUnit_Land_2="Per Usable Acre",F109/F$23,IF(dpUnit_Land_2="Per Gross Acre",F109/F$25,IF(dpUnit_Land_2="Per Usable Square Foot",F109/F$24,IF(dpUnit_Land_2="Per Gross Square Foot",F109/F$26,IF(dpUnit_Land_2="Per Front Foot",F109/F$27,IF(dpUnit_Land_2="Per Proposed Square Foot",F109/F$28,IF(dpUnit_Land_2="Per Lot",F109/F$29,F109/F$30))))))))))</f>
        <v>0</v>
      </c>
      <c r="G104" s="1866">
        <f t="shared" si="33"/>
        <v>0</v>
      </c>
      <c r="H104" s="1866">
        <f t="shared" si="33"/>
        <v>0</v>
      </c>
      <c r="I104" s="1866">
        <f t="shared" si="33"/>
        <v>0</v>
      </c>
      <c r="J104" s="1866">
        <f t="shared" si="33"/>
        <v>0</v>
      </c>
      <c r="K104" s="1341">
        <f t="shared" si="33"/>
        <v>0</v>
      </c>
      <c r="L104" s="1146"/>
      <c r="M104" s="74"/>
      <c r="N104" s="32"/>
      <c r="O104" s="32"/>
      <c r="P104" s="32"/>
      <c r="Q104" s="32"/>
      <c r="R104" s="32"/>
      <c r="S104" s="32"/>
      <c r="T104" s="10"/>
      <c r="U104" s="10"/>
      <c r="V104" s="10"/>
      <c r="W104" s="10"/>
      <c r="X104" s="10"/>
      <c r="Y104" s="10"/>
      <c r="Z104" s="10"/>
      <c r="AA104" s="10"/>
      <c r="AB104" s="10"/>
      <c r="AC104" s="10"/>
      <c r="AD104" s="10"/>
      <c r="AE104" s="10"/>
      <c r="AF104" s="10"/>
      <c r="AG104" s="10"/>
      <c r="AH104" s="10"/>
      <c r="AI104" s="10"/>
      <c r="AJ104" s="10"/>
      <c r="AK104" s="10"/>
      <c r="AL104" s="10"/>
      <c r="AM104" s="10"/>
      <c r="AN104" s="10"/>
      <c r="AO104" s="10"/>
    </row>
    <row r="105" spans="1:41" x14ac:dyDescent="0.25">
      <c r="A105" s="972">
        <f>A106</f>
        <v>2</v>
      </c>
      <c r="B105" s="16"/>
      <c r="C105" s="130"/>
      <c r="D105" s="1489" t="s">
        <v>99</v>
      </c>
      <c r="E105" s="1665" t="str">
        <f>Subject_Topography</f>
        <v>Level</v>
      </c>
      <c r="F105" s="1868"/>
      <c r="G105" s="1868"/>
      <c r="H105" s="1868"/>
      <c r="I105" s="1868"/>
      <c r="J105" s="1868"/>
      <c r="K105" s="1165"/>
      <c r="L105" s="1146"/>
      <c r="M105" s="74"/>
      <c r="N105" s="32"/>
      <c r="O105" s="32"/>
      <c r="P105" s="32"/>
      <c r="Q105" s="32"/>
      <c r="R105" s="32"/>
      <c r="S105" s="32"/>
      <c r="T105" s="10"/>
      <c r="U105" s="10"/>
      <c r="V105" s="10"/>
      <c r="W105" s="10"/>
      <c r="X105" s="10"/>
      <c r="Y105" s="10"/>
      <c r="Z105" s="10"/>
      <c r="AA105" s="10"/>
      <c r="AB105" s="10"/>
      <c r="AC105" s="10"/>
      <c r="AD105" s="10"/>
      <c r="AE105" s="10"/>
      <c r="AF105" s="10"/>
      <c r="AG105" s="10"/>
      <c r="AH105" s="10"/>
      <c r="AI105" s="10"/>
      <c r="AJ105" s="10"/>
      <c r="AK105" s="10"/>
      <c r="AL105" s="10"/>
      <c r="AM105" s="10"/>
      <c r="AN105" s="10"/>
      <c r="AO105" s="10"/>
    </row>
    <row r="106" spans="1:41" ht="14.25" customHeight="1" x14ac:dyDescent="0.25">
      <c r="A106" s="972">
        <f>IF(B106=TRUE,1,2)</f>
        <v>2</v>
      </c>
      <c r="B106" s="16" t="b">
        <v>0</v>
      </c>
      <c r="C106" s="130"/>
      <c r="D106" s="520" t="str">
        <f>IF(Land_AdjType&lt;&gt;"Qualitative","Adjustment","Relative Comparison")</f>
        <v>Adjustment</v>
      </c>
      <c r="E106" s="765"/>
      <c r="F106" s="1855">
        <f t="shared" ref="F106:K106" si="34">IF(Land_AdjType_2="Percent",IF(AND(F107=0,F108=0,F109=0),0,IF(F107&lt;&gt;0,F107,IF(F108&lt;&gt;0,IF(dpUnit_Land_2="Per Usable Acre",(F108/F$15)/F$23,IF(dpUnit_Land_2="Per Gross Acre",(F108/F$17)/F$25,IF(dpUnit_Land_2="Per Usable Square Foot",(F108/F$16)/F$24,IF(dpUnit_Land_2="Per Gross Square Foot",(F108/F$18)/F$26,IF(dpUnit_Land_2="Per Front Foot",(F108/F$19)/F$27,IF(dpUnit_Land_2="Per Proposed Square Foot",(F108/F$20)/F$28,IF(dpUnit_Land_2="Per Lot",(F108/F$21)/F$29,(F108/F$22)/F$30))))))),IF(dpUnit_Land_2="Per Usable Acre",F109/F$23,IF(dpUnit_Land_2="Per Gross Acre",F109/F$25,IF(dpUnit_Land_2="Per Usable Square Foot",F109/F$24,IF(dpUnit_Land_2="Per Gross Square Foot",F109/F$26,IF(dpUnit_Land_2="Per Front Foot",F109/F$27,IF(dpUnit_Land_2="Per Proposed Square Foot",F109/F$28,IF(dpUnit_Land_2="Per Lot",F109/F$29,F109/F$30)))))))))),IF(Land_AdjType_2="$ per Unit",IF(AND(F107=0,F108=0,F109=0),0,IF(F107&lt;&gt;0,IF(dpUnit_Land_2="Per Usable Acre",F107*F$23,IF(dpUnit_Land_2="Per Gross Acre",F107*F$25,IF(dpUnit_Land_2="Per Usable Square Foot",F107*F$24,IF(dpUnit_Land_2="Per Gross Square Foot",F107*F$26,IF(dpUnit_Land_2="Per Front Foot",F107*F$27,IF(dpUnit_Land_2="Per Proposed Square Foot",F107*F$28,IF(dpUnit_Land_2="Per Lot",F107*F$29,F107*F$30))))))),IF(F108&lt;&gt;0,IF(dpUnit_Land_2="Per Usable Acre",F108/F$15,IF(dpUnit_Land_2="Per Gross Acre",F108/F$17,IF(dpUnit_Land_2="Per Usable Square Foot",F108/F$16,IF(dpUnit_Land_2="Per Gross Square Foot",F108/F$18,IF(dpUnit_Land_2="Per Front Foot",F108/F$19,IF(dpUnit_Land_2="Per Proposed Square Foot",F108/F$20,IF(dpUnit_Land_2="Per Lot",F108/F$21,F108/F$22))))))),F109))),IF(OR(F107&gt;0,F108&gt;0,F109&gt;0),"Inferior",IF(OR(F107&lt;0,F108&lt;0,F109&lt;0),"Superior","Similar"))))</f>
        <v>0</v>
      </c>
      <c r="G106" s="1855">
        <f t="shared" si="34"/>
        <v>0</v>
      </c>
      <c r="H106" s="1855">
        <f t="shared" si="34"/>
        <v>0</v>
      </c>
      <c r="I106" s="1855">
        <f t="shared" si="34"/>
        <v>0</v>
      </c>
      <c r="J106" s="1855">
        <f t="shared" si="34"/>
        <v>0</v>
      </c>
      <c r="K106" s="1150">
        <f t="shared" si="34"/>
        <v>0</v>
      </c>
      <c r="L106" s="763"/>
      <c r="M106" s="74"/>
      <c r="N106" s="32"/>
      <c r="O106" s="32"/>
      <c r="P106" s="32"/>
      <c r="Q106" s="32"/>
      <c r="R106" s="32"/>
      <c r="S106" s="32"/>
      <c r="T106" s="10"/>
      <c r="U106" s="10"/>
      <c r="V106" s="10"/>
      <c r="W106" s="10"/>
      <c r="X106" s="10"/>
      <c r="Y106" s="10"/>
      <c r="Z106" s="10"/>
      <c r="AA106" s="10"/>
      <c r="AB106" s="10"/>
      <c r="AC106" s="10"/>
      <c r="AD106" s="10"/>
      <c r="AE106" s="10"/>
      <c r="AF106" s="10"/>
      <c r="AG106" s="10"/>
      <c r="AH106" s="10"/>
      <c r="AI106" s="10"/>
      <c r="AJ106" s="10"/>
      <c r="AK106" s="10"/>
      <c r="AL106" s="10"/>
      <c r="AM106" s="10"/>
      <c r="AN106" s="10"/>
      <c r="AO106" s="10"/>
    </row>
    <row r="107" spans="1:41" ht="14.25" customHeight="1" x14ac:dyDescent="0.25">
      <c r="A107" s="972">
        <f>IF(A106=2,2,0)</f>
        <v>2</v>
      </c>
      <c r="B107" s="16"/>
      <c r="C107" s="130"/>
      <c r="D107" s="520"/>
      <c r="E107" s="1180" t="s">
        <v>166</v>
      </c>
      <c r="F107" s="1856"/>
      <c r="G107" s="1856"/>
      <c r="H107" s="1856"/>
      <c r="I107" s="1856"/>
      <c r="J107" s="1856"/>
      <c r="K107" s="1003"/>
      <c r="L107" s="136"/>
      <c r="M107" s="74"/>
      <c r="N107" s="32"/>
      <c r="O107" s="32"/>
      <c r="P107" s="32"/>
      <c r="Q107" s="32"/>
      <c r="R107" s="32"/>
      <c r="S107" s="32"/>
      <c r="T107" s="10"/>
      <c r="U107" s="10"/>
      <c r="V107" s="10"/>
      <c r="W107" s="10"/>
      <c r="X107" s="10"/>
      <c r="Y107" s="10"/>
      <c r="Z107" s="10"/>
      <c r="AA107" s="10"/>
      <c r="AB107" s="10"/>
      <c r="AC107" s="10"/>
      <c r="AD107" s="10"/>
      <c r="AE107" s="10"/>
      <c r="AF107" s="10"/>
      <c r="AG107" s="10"/>
      <c r="AH107" s="10"/>
      <c r="AI107" s="10"/>
      <c r="AJ107" s="10"/>
      <c r="AK107" s="10"/>
      <c r="AL107" s="10"/>
      <c r="AM107" s="10"/>
      <c r="AN107" s="10"/>
      <c r="AO107" s="10"/>
    </row>
    <row r="108" spans="1:41" ht="14.25" customHeight="1" x14ac:dyDescent="0.25">
      <c r="A108" s="972">
        <f>IF(A107=2,2,0)</f>
        <v>2</v>
      </c>
      <c r="B108" s="16"/>
      <c r="C108" s="130"/>
      <c r="D108" s="520"/>
      <c r="E108" s="1180" t="s">
        <v>167</v>
      </c>
      <c r="F108" s="1857"/>
      <c r="G108" s="1857"/>
      <c r="H108" s="1857"/>
      <c r="I108" s="1857"/>
      <c r="J108" s="1857"/>
      <c r="K108" s="1004"/>
      <c r="L108" s="1152"/>
      <c r="M108" s="74"/>
      <c r="N108" s="32"/>
      <c r="O108" s="32"/>
      <c r="P108" s="32"/>
      <c r="Q108" s="32"/>
      <c r="R108" s="32"/>
      <c r="S108" s="32"/>
      <c r="T108" s="10"/>
      <c r="U108" s="10"/>
      <c r="V108" s="10"/>
      <c r="W108" s="10"/>
      <c r="X108" s="10"/>
      <c r="Y108" s="10"/>
      <c r="Z108" s="10"/>
      <c r="AA108" s="10"/>
      <c r="AB108" s="10"/>
      <c r="AC108" s="10"/>
      <c r="AD108" s="10"/>
      <c r="AE108" s="10"/>
      <c r="AF108" s="10"/>
      <c r="AG108" s="10"/>
      <c r="AH108" s="10"/>
      <c r="AI108" s="10"/>
      <c r="AJ108" s="10"/>
      <c r="AK108" s="10"/>
      <c r="AL108" s="10"/>
      <c r="AM108" s="10"/>
      <c r="AN108" s="10"/>
      <c r="AO108" s="10"/>
    </row>
    <row r="109" spans="1:41" ht="14.25" customHeight="1" x14ac:dyDescent="0.25">
      <c r="A109" s="972">
        <f>IF(A108=2,2,0)</f>
        <v>2</v>
      </c>
      <c r="B109" s="16"/>
      <c r="C109" s="130"/>
      <c r="D109" s="520"/>
      <c r="E109" s="1180" t="str">
        <f>CONCATENATE("Enter $/",dpUnit_Land," Adj.")</f>
        <v>Enter $/per Usable Square Foot Adj.</v>
      </c>
      <c r="F109" s="1858"/>
      <c r="G109" s="1858"/>
      <c r="H109" s="1858"/>
      <c r="I109" s="1858"/>
      <c r="J109" s="1858"/>
      <c r="K109" s="1005"/>
      <c r="L109" s="1153"/>
      <c r="M109" s="74"/>
      <c r="N109" s="32"/>
      <c r="O109" s="32"/>
      <c r="P109" s="32"/>
      <c r="Q109" s="32"/>
      <c r="R109" s="32"/>
      <c r="S109" s="32"/>
      <c r="T109" s="10"/>
      <c r="U109" s="10"/>
      <c r="V109" s="10"/>
      <c r="W109" s="10"/>
      <c r="X109" s="10"/>
      <c r="Y109" s="10"/>
      <c r="Z109" s="10"/>
      <c r="AA109" s="10"/>
      <c r="AB109" s="10"/>
      <c r="AC109" s="10"/>
      <c r="AD109" s="10"/>
      <c r="AE109" s="10"/>
      <c r="AF109" s="10"/>
      <c r="AG109" s="10"/>
      <c r="AH109" s="10"/>
      <c r="AI109" s="10"/>
      <c r="AJ109" s="10"/>
      <c r="AK109" s="10"/>
      <c r="AL109" s="10"/>
      <c r="AM109" s="10"/>
      <c r="AN109" s="10"/>
      <c r="AO109" s="10"/>
    </row>
    <row r="110" spans="1:41" ht="8.1" customHeight="1" x14ac:dyDescent="0.25">
      <c r="A110" s="972">
        <f>A112</f>
        <v>2</v>
      </c>
      <c r="B110" s="16"/>
      <c r="C110" s="130"/>
      <c r="D110" s="520"/>
      <c r="E110" s="765"/>
      <c r="F110" s="1866">
        <f t="shared" ref="F110:K110" si="35">IF(AND(F113=0,F114=0,F115=0),0,IF(F113&lt;&gt;0,F113,IF(F114&lt;&gt;0,IF(dpUnit_Land_2="Per Usable Acre",(F114/F$15)/F$23,IF(dpUnit_Land_2="Per Gross Acre",(F114/F$17)/F$25,IF(dpUnit_Land_2="Per Usable Square Foot",(F114/F$16)/F$24,IF(dpUnit_Land_2="Per Gross Square Foot",(F114/F$18)/F$26,IF(dpUnit_Land_2="Per Front Foot",(F114/F$19)/F$27,IF(dpUnit_Land_2="Per Proposed Square Foot",(F114/F$20)/F$28,IF(dpUnit_Land_2="Per Lot",(F114/F$21)/F$29,(F114/F$22)/F$30))))))),IF(dpUnit_Land_2="Per Usable Acre",F115/F$23,IF(dpUnit_Land_2="Per Gross Acre",F115/F$25,IF(dpUnit_Land_2="Per Usable Square Foot",F115/F$24,IF(dpUnit_Land_2="Per Gross Square Foot",F115/F$26,IF(dpUnit_Land_2="Per Front Foot",F115/F$27,IF(dpUnit_Land_2="Per Proposed Square Foot",F115/F$28,IF(dpUnit_Land_2="Per Lot",F115/F$29,F115/F$30))))))))))</f>
        <v>0</v>
      </c>
      <c r="G110" s="1866">
        <f t="shared" si="35"/>
        <v>0</v>
      </c>
      <c r="H110" s="1866">
        <f t="shared" si="35"/>
        <v>0</v>
      </c>
      <c r="I110" s="1866">
        <f t="shared" si="35"/>
        <v>0</v>
      </c>
      <c r="J110" s="1866">
        <f t="shared" si="35"/>
        <v>0</v>
      </c>
      <c r="K110" s="1341">
        <f t="shared" si="35"/>
        <v>0</v>
      </c>
      <c r="L110" s="1146"/>
      <c r="M110" s="74"/>
      <c r="N110" s="32"/>
      <c r="O110" s="32"/>
      <c r="P110" s="32"/>
      <c r="Q110" s="32"/>
      <c r="R110" s="32"/>
      <c r="S110" s="32"/>
      <c r="T110" s="10"/>
      <c r="U110" s="10"/>
      <c r="V110" s="10"/>
      <c r="W110" s="10"/>
      <c r="X110" s="10"/>
      <c r="Y110" s="10"/>
      <c r="Z110" s="10"/>
      <c r="AA110" s="10"/>
      <c r="AB110" s="10"/>
      <c r="AC110" s="10"/>
      <c r="AD110" s="10"/>
      <c r="AE110" s="10"/>
      <c r="AF110" s="10"/>
      <c r="AG110" s="10"/>
      <c r="AH110" s="10"/>
      <c r="AI110" s="10"/>
      <c r="AJ110" s="10"/>
      <c r="AK110" s="10"/>
      <c r="AL110" s="10"/>
      <c r="AM110" s="10"/>
      <c r="AN110" s="10"/>
      <c r="AO110" s="10"/>
    </row>
    <row r="111" spans="1:41" x14ac:dyDescent="0.25">
      <c r="A111" s="972">
        <f>A112</f>
        <v>2</v>
      </c>
      <c r="B111" s="16"/>
      <c r="C111" s="130"/>
      <c r="D111" s="1489" t="s">
        <v>100</v>
      </c>
      <c r="E111" s="1665" t="str">
        <f>Subject_LandFlood</f>
        <v>Zone AE</v>
      </c>
      <c r="F111" s="1789"/>
      <c r="G111" s="1789"/>
      <c r="H111" s="1789"/>
      <c r="I111" s="1789"/>
      <c r="J111" s="1789"/>
      <c r="K111" s="1168"/>
      <c r="L111" s="1146"/>
      <c r="M111" s="74"/>
      <c r="N111" s="32"/>
      <c r="O111" s="32"/>
      <c r="P111" s="32"/>
      <c r="Q111" s="32"/>
      <c r="R111" s="32"/>
      <c r="S111" s="32"/>
      <c r="T111" s="10"/>
      <c r="U111" s="10"/>
      <c r="V111" s="10"/>
      <c r="W111" s="10"/>
      <c r="X111" s="10"/>
      <c r="Y111" s="10"/>
      <c r="Z111" s="10"/>
      <c r="AA111" s="10"/>
      <c r="AB111" s="10"/>
      <c r="AC111" s="10"/>
      <c r="AD111" s="10"/>
      <c r="AE111" s="10"/>
      <c r="AF111" s="10"/>
      <c r="AG111" s="10"/>
      <c r="AH111" s="10"/>
      <c r="AI111" s="10"/>
      <c r="AJ111" s="10"/>
      <c r="AK111" s="10"/>
      <c r="AL111" s="10"/>
      <c r="AM111" s="10"/>
      <c r="AN111" s="10"/>
      <c r="AO111" s="10"/>
    </row>
    <row r="112" spans="1:41" ht="14.25" customHeight="1" x14ac:dyDescent="0.25">
      <c r="A112" s="972">
        <f>IF(B112=TRUE,1,2)</f>
        <v>2</v>
      </c>
      <c r="B112" s="16" t="b">
        <v>0</v>
      </c>
      <c r="C112" s="130"/>
      <c r="D112" s="520" t="str">
        <f>IF(Land_AdjType&lt;&gt;"Qualitative","Adjustment","Relative Comparison")</f>
        <v>Adjustment</v>
      </c>
      <c r="E112" s="765"/>
      <c r="F112" s="1855">
        <f t="shared" ref="F112:K112" si="36">IF(Land_AdjType_2="Percent",IF(AND(F113=0,F114=0,F115=0),0,IF(F113&lt;&gt;0,F113,IF(F114&lt;&gt;0,IF(dpUnit_Land_2="Per Usable Acre",(F114/F$15)/F$23,IF(dpUnit_Land_2="Per Gross Acre",(F114/F$17)/F$25,IF(dpUnit_Land_2="Per Usable Square Foot",(F114/F$16)/F$24,IF(dpUnit_Land_2="Per Gross Square Foot",(F114/F$18)/F$26,IF(dpUnit_Land_2="Per Front Foot",(F114/F$19)/F$27,IF(dpUnit_Land_2="Per Proposed Square Foot",(F114/F$20)/F$28,IF(dpUnit_Land_2="Per Lot",(F114/F$21)/F$29,(F114/F$22)/F$30))))))),IF(dpUnit_Land_2="Per Usable Acre",F115/F$23,IF(dpUnit_Land_2="Per Gross Acre",F115/F$25,IF(dpUnit_Land_2="Per Usable Square Foot",F115/F$24,IF(dpUnit_Land_2="Per Gross Square Foot",F115/F$26,IF(dpUnit_Land_2="Per Front Foot",F115/F$27,IF(dpUnit_Land_2="Per Proposed Square Foot",F115/F$28,IF(dpUnit_Land_2="Per Lot",F115/F$29,F115/F$30)))))))))),IF(Land_AdjType_2="$ per Unit",IF(AND(F113=0,F114=0,F115=0),0,IF(F113&lt;&gt;0,IF(dpUnit_Land_2="Per Usable Acre",F113*F$23,IF(dpUnit_Land_2="Per Gross Acre",F113*F$25,IF(dpUnit_Land_2="Per Usable Square Foot",F113*F$24,IF(dpUnit_Land_2="Per Gross Square Foot",F113*F$26,IF(dpUnit_Land_2="Per Front Foot",F113*F$27,IF(dpUnit_Land_2="Per Proposed Square Foot",F113*F$28,IF(dpUnit_Land_2="Per Lot",F113*F$29,F113*F$30))))))),IF(F114&lt;&gt;0,IF(dpUnit_Land_2="Per Usable Acre",F114/F$15,IF(dpUnit_Land_2="Per Gross Acre",F114/F$17,IF(dpUnit_Land_2="Per Usable Square Foot",F114/F$16,IF(dpUnit_Land_2="Per Gross Square Foot",F114/F$18,IF(dpUnit_Land_2="Per Front Foot",F114/F$19,IF(dpUnit_Land_2="Per Proposed Square Foot",F114/F$20,IF(dpUnit_Land_2="Per Lot",F114/F$21,F114/F$22))))))),F115))),IF(OR(F113&gt;0,F114&gt;0,F115&gt;0),"Inferior",IF(OR(F113&lt;0,F114&lt;0,F115&lt;0),"Superior","Similar"))))</f>
        <v>0</v>
      </c>
      <c r="G112" s="1855">
        <f t="shared" si="36"/>
        <v>0</v>
      </c>
      <c r="H112" s="1855">
        <f t="shared" si="36"/>
        <v>0</v>
      </c>
      <c r="I112" s="1855">
        <f t="shared" si="36"/>
        <v>0</v>
      </c>
      <c r="J112" s="1855">
        <f t="shared" si="36"/>
        <v>0</v>
      </c>
      <c r="K112" s="1150">
        <f t="shared" si="36"/>
        <v>0</v>
      </c>
      <c r="L112" s="763"/>
      <c r="M112" s="74"/>
      <c r="N112" s="32"/>
      <c r="O112" s="32"/>
      <c r="P112" s="32"/>
      <c r="Q112" s="32"/>
      <c r="R112" s="32"/>
      <c r="S112" s="32"/>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row>
    <row r="113" spans="1:41" ht="14.25" customHeight="1" x14ac:dyDescent="0.25">
      <c r="A113" s="972">
        <f>IF(A112=2,2,0)</f>
        <v>2</v>
      </c>
      <c r="B113" s="16"/>
      <c r="C113" s="130"/>
      <c r="D113" s="520"/>
      <c r="E113" s="1180" t="s">
        <v>166</v>
      </c>
      <c r="F113" s="1856"/>
      <c r="G113" s="1856"/>
      <c r="H113" s="1856"/>
      <c r="I113" s="1856"/>
      <c r="J113" s="1856"/>
      <c r="K113" s="1003"/>
      <c r="L113" s="136"/>
      <c r="M113" s="74"/>
      <c r="N113" s="32"/>
      <c r="O113" s="32"/>
      <c r="P113" s="32"/>
      <c r="Q113" s="32"/>
      <c r="R113" s="32"/>
      <c r="S113" s="32"/>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row>
    <row r="114" spans="1:41" ht="14.25" customHeight="1" x14ac:dyDescent="0.25">
      <c r="A114" s="972">
        <f>IF(A113=2,2,0)</f>
        <v>2</v>
      </c>
      <c r="B114" s="16"/>
      <c r="C114" s="130"/>
      <c r="D114" s="520"/>
      <c r="E114" s="1180" t="s">
        <v>167</v>
      </c>
      <c r="F114" s="1857"/>
      <c r="G114" s="1857"/>
      <c r="H114" s="1857"/>
      <c r="I114" s="1857"/>
      <c r="J114" s="1857"/>
      <c r="K114" s="1004"/>
      <c r="L114" s="1152"/>
      <c r="M114" s="74"/>
      <c r="N114" s="32"/>
      <c r="O114" s="32"/>
      <c r="P114" s="32"/>
      <c r="Q114" s="32"/>
      <c r="R114" s="32"/>
      <c r="S114" s="32"/>
      <c r="T114" s="10"/>
      <c r="U114" s="10"/>
      <c r="V114" s="10"/>
      <c r="W114" s="10"/>
      <c r="X114" s="10"/>
      <c r="Y114" s="10"/>
      <c r="Z114" s="10"/>
      <c r="AA114" s="10"/>
      <c r="AB114" s="10"/>
      <c r="AC114" s="10"/>
      <c r="AD114" s="10"/>
      <c r="AE114" s="10"/>
      <c r="AF114" s="10"/>
      <c r="AG114" s="10"/>
      <c r="AH114" s="10"/>
      <c r="AI114" s="10"/>
      <c r="AJ114" s="10"/>
      <c r="AK114" s="10"/>
      <c r="AL114" s="10"/>
      <c r="AM114" s="10"/>
      <c r="AN114" s="10"/>
      <c r="AO114" s="10"/>
    </row>
    <row r="115" spans="1:41" ht="14.25" customHeight="1" x14ac:dyDescent="0.25">
      <c r="A115" s="972">
        <f>IF(A114=2,2,0)</f>
        <v>2</v>
      </c>
      <c r="B115" s="16"/>
      <c r="C115" s="130"/>
      <c r="D115" s="520"/>
      <c r="E115" s="1180" t="str">
        <f>CONCATENATE("Enter $/",dpUnit_Land," Adj.")</f>
        <v>Enter $/per Usable Square Foot Adj.</v>
      </c>
      <c r="F115" s="1858"/>
      <c r="G115" s="1858"/>
      <c r="H115" s="1858"/>
      <c r="I115" s="1858"/>
      <c r="J115" s="1858"/>
      <c r="K115" s="1005"/>
      <c r="L115" s="1153"/>
      <c r="M115" s="74"/>
      <c r="N115" s="32"/>
      <c r="O115" s="32"/>
      <c r="P115" s="32"/>
      <c r="Q115" s="32"/>
      <c r="R115" s="32"/>
      <c r="S115" s="32"/>
      <c r="T115" s="10"/>
      <c r="U115" s="10"/>
      <c r="V115" s="10"/>
      <c r="W115" s="10"/>
      <c r="X115" s="10"/>
      <c r="Y115" s="10"/>
      <c r="Z115" s="10"/>
      <c r="AA115" s="10"/>
      <c r="AB115" s="10"/>
      <c r="AC115" s="10"/>
      <c r="AD115" s="10"/>
      <c r="AE115" s="10"/>
      <c r="AF115" s="10"/>
      <c r="AG115" s="10"/>
      <c r="AH115" s="10"/>
      <c r="AI115" s="10"/>
      <c r="AJ115" s="10"/>
      <c r="AK115" s="10"/>
      <c r="AL115" s="10"/>
      <c r="AM115" s="10"/>
      <c r="AN115" s="10"/>
      <c r="AO115" s="10"/>
    </row>
    <row r="116" spans="1:41" ht="8.1" customHeight="1" x14ac:dyDescent="0.25">
      <c r="A116" s="972">
        <f>A118</f>
        <v>2</v>
      </c>
      <c r="B116" s="16"/>
      <c r="C116" s="130"/>
      <c r="D116" s="520"/>
      <c r="E116" s="765"/>
      <c r="F116" s="1866">
        <f t="shared" ref="F116:K116" si="37">IF(AND(F119=0,F120=0,F121=0),0,IF(F119&lt;&gt;0,F119,IF(F120&lt;&gt;0,IF(dpUnit_Land_2="Per Usable Acre",(F120/F$15)/F$23,IF(dpUnit_Land_2="Per Gross Acre",(F120/F$17)/F$25,IF(dpUnit_Land_2="Per Usable Square Foot",(F120/F$16)/F$24,IF(dpUnit_Land_2="Per Gross Square Foot",(F120/F$18)/F$26,IF(dpUnit_Land_2="Per Front Foot",(F120/F$19)/F$27,IF(dpUnit_Land_2="Per Proposed Square Foot",(F120/F$20)/F$28,IF(dpUnit_Land_2="Per Lot",(F120/F$21)/F$29,(F120/F$22)/F$30))))))),IF(dpUnit_Land_2="Per Usable Acre",F121/F$23,IF(dpUnit_Land_2="Per Gross Acre",F121/F$25,IF(dpUnit_Land_2="Per Usable Square Foot",F121/F$24,IF(dpUnit_Land_2="Per Gross Square Foot",F121/F$26,IF(dpUnit_Land_2="Per Front Foot",F121/F$27,IF(dpUnit_Land_2="Per Proposed Square Foot",F121/F$28,IF(dpUnit_Land_2="Per Lot",F121/F$29,F121/F$30))))))))))</f>
        <v>0</v>
      </c>
      <c r="G116" s="1866">
        <f t="shared" si="37"/>
        <v>0</v>
      </c>
      <c r="H116" s="1866">
        <f t="shared" si="37"/>
        <v>0</v>
      </c>
      <c r="I116" s="1866">
        <f t="shared" si="37"/>
        <v>0</v>
      </c>
      <c r="J116" s="1866">
        <f t="shared" si="37"/>
        <v>0</v>
      </c>
      <c r="K116" s="1341">
        <f t="shared" si="37"/>
        <v>0</v>
      </c>
      <c r="L116" s="1146"/>
      <c r="M116" s="74"/>
      <c r="N116" s="32"/>
      <c r="O116" s="32"/>
      <c r="P116" s="32"/>
      <c r="Q116" s="32"/>
      <c r="R116" s="32"/>
      <c r="S116" s="32"/>
      <c r="T116" s="10"/>
      <c r="U116" s="10"/>
      <c r="V116" s="10"/>
      <c r="W116" s="10"/>
      <c r="X116" s="10"/>
      <c r="Y116" s="10"/>
      <c r="Z116" s="10"/>
      <c r="AA116" s="10"/>
      <c r="AB116" s="10"/>
      <c r="AC116" s="10"/>
      <c r="AD116" s="10"/>
      <c r="AE116" s="10"/>
      <c r="AF116" s="10"/>
      <c r="AG116" s="10"/>
      <c r="AH116" s="10"/>
      <c r="AI116" s="10"/>
      <c r="AJ116" s="10"/>
      <c r="AK116" s="10"/>
      <c r="AL116" s="10"/>
      <c r="AM116" s="10"/>
      <c r="AN116" s="10"/>
      <c r="AO116" s="10"/>
    </row>
    <row r="117" spans="1:41" x14ac:dyDescent="0.25">
      <c r="A117" s="972">
        <f>A118</f>
        <v>2</v>
      </c>
      <c r="B117" s="16"/>
      <c r="C117" s="130"/>
      <c r="D117" s="1489" t="s">
        <v>76</v>
      </c>
      <c r="E117" s="1665" t="str">
        <f>Subject_ZoningCode</f>
        <v>I-2 (all parcels)</v>
      </c>
      <c r="F117" s="1868"/>
      <c r="G117" s="1868"/>
      <c r="H117" s="1868"/>
      <c r="I117" s="1868"/>
      <c r="J117" s="1868"/>
      <c r="K117" s="1165"/>
      <c r="L117" s="1146"/>
      <c r="M117" s="74"/>
      <c r="N117" s="32"/>
      <c r="O117" s="32"/>
      <c r="P117" s="32"/>
      <c r="Q117" s="32"/>
      <c r="R117" s="32"/>
      <c r="S117" s="32"/>
      <c r="T117" s="10"/>
      <c r="U117" s="10"/>
      <c r="V117" s="10"/>
      <c r="W117" s="10"/>
      <c r="X117" s="10"/>
      <c r="Y117" s="10"/>
      <c r="Z117" s="10"/>
      <c r="AA117" s="10"/>
      <c r="AB117" s="10"/>
      <c r="AC117" s="10"/>
      <c r="AD117" s="10"/>
      <c r="AE117" s="10"/>
      <c r="AF117" s="10"/>
      <c r="AG117" s="10"/>
      <c r="AH117" s="10"/>
      <c r="AI117" s="10"/>
      <c r="AJ117" s="10"/>
      <c r="AK117" s="10"/>
      <c r="AL117" s="10"/>
      <c r="AM117" s="10"/>
      <c r="AN117" s="10"/>
      <c r="AO117" s="10"/>
    </row>
    <row r="118" spans="1:41" ht="14.25" customHeight="1" x14ac:dyDescent="0.25">
      <c r="A118" s="972">
        <f>IF(B118=TRUE,1,2)</f>
        <v>2</v>
      </c>
      <c r="B118" s="16" t="b">
        <v>0</v>
      </c>
      <c r="C118" s="130"/>
      <c r="D118" s="520" t="str">
        <f>IF(Land_AdjType&lt;&gt;"Qualitative","Adjustment","Relative Comparison")</f>
        <v>Adjustment</v>
      </c>
      <c r="E118" s="1127"/>
      <c r="F118" s="1855">
        <f t="shared" ref="F118:K118" si="38">IF(Land_AdjType_2="Percent",IF(AND(F119=0,F120=0,F121=0),0,IF(F119&lt;&gt;0,F119,IF(F120&lt;&gt;0,IF(dpUnit_Land_2="Per Usable Acre",(F120/F$15)/F$23,IF(dpUnit_Land_2="Per Gross Acre",(F120/F$17)/F$25,IF(dpUnit_Land_2="Per Usable Square Foot",(F120/F$16)/F$24,IF(dpUnit_Land_2="Per Gross Square Foot",(F120/F$18)/F$26,IF(dpUnit_Land_2="Per Front Foot",(F120/F$19)/F$27,IF(dpUnit_Land_2="Per Proposed Square Foot",(F120/F$20)/F$28,IF(dpUnit_Land_2="Per Lot",(F120/F$21)/F$29,(F120/F$22)/F$30))))))),IF(dpUnit_Land_2="Per Usable Acre",F121/F$23,IF(dpUnit_Land_2="Per Gross Acre",F121/F$25,IF(dpUnit_Land_2="Per Usable Square Foot",F121/F$24,IF(dpUnit_Land_2="Per Gross Square Foot",F121/F$26,IF(dpUnit_Land_2="Per Front Foot",F121/F$27,IF(dpUnit_Land_2="Per Proposed Square Foot",F121/F$28,IF(dpUnit_Land_2="Per Lot",F121/F$29,F121/F$30)))))))))),IF(Land_AdjType_2="$ per Unit",IF(AND(F119=0,F120=0,F121=0),0,IF(F119&lt;&gt;0,IF(dpUnit_Land_2="Per Usable Acre",F119*F$23,IF(dpUnit_Land_2="Per Gross Acre",F119*F$25,IF(dpUnit_Land_2="Per Usable Square Foot",F119*F$24,IF(dpUnit_Land_2="Per Gross Square Foot",F119*F$26,IF(dpUnit_Land_2="Per Front Foot",F119*F$27,IF(dpUnit_Land_2="Per Proposed Square Foot",F119*F$28,IF(dpUnit_Land_2="Per Lot",F119*F$29,F119*F$30))))))),IF(F120&lt;&gt;0,IF(dpUnit_Land_2="Per Usable Acre",F120/F$15,IF(dpUnit_Land_2="Per Gross Acre",F120/F$17,IF(dpUnit_Land_2="Per Usable Square Foot",F120/F$16,IF(dpUnit_Land_2="Per Gross Square Foot",F120/F$18,IF(dpUnit_Land_2="Per Front Foot",F120/F$19,IF(dpUnit_Land_2="Per Proposed Square Foot",F120/F$20,IF(dpUnit_Land_2="Per Lot",F120/F$21,F120/F$22))))))),F121))),IF(OR(F119&gt;0,F120&gt;0,F121&gt;0),"Inferior",IF(OR(F119&lt;0,F120&lt;0,F121&lt;0),"Superior","Similar"))))</f>
        <v>0</v>
      </c>
      <c r="G118" s="1855">
        <f t="shared" si="38"/>
        <v>0</v>
      </c>
      <c r="H118" s="1855">
        <f t="shared" si="38"/>
        <v>0</v>
      </c>
      <c r="I118" s="1855">
        <f t="shared" si="38"/>
        <v>0</v>
      </c>
      <c r="J118" s="1855">
        <f t="shared" si="38"/>
        <v>0</v>
      </c>
      <c r="K118" s="1150">
        <f t="shared" si="38"/>
        <v>0</v>
      </c>
      <c r="L118" s="763"/>
      <c r="M118" s="74"/>
      <c r="N118" s="32"/>
      <c r="O118" s="32"/>
      <c r="P118" s="32"/>
      <c r="Q118" s="32"/>
      <c r="R118" s="32"/>
      <c r="S118" s="32"/>
      <c r="T118" s="10"/>
      <c r="U118" s="10"/>
      <c r="V118" s="10"/>
      <c r="W118" s="10"/>
      <c r="X118" s="10"/>
      <c r="Y118" s="10"/>
      <c r="Z118" s="10"/>
      <c r="AA118" s="10"/>
      <c r="AB118" s="10"/>
      <c r="AC118" s="10"/>
      <c r="AD118" s="10"/>
      <c r="AE118" s="10"/>
      <c r="AF118" s="10"/>
      <c r="AG118" s="10"/>
      <c r="AH118" s="10"/>
      <c r="AI118" s="10"/>
      <c r="AJ118" s="10"/>
      <c r="AK118" s="10"/>
      <c r="AL118" s="10"/>
      <c r="AM118" s="10"/>
      <c r="AN118" s="10"/>
      <c r="AO118" s="10"/>
    </row>
    <row r="119" spans="1:41" ht="14.25" customHeight="1" x14ac:dyDescent="0.25">
      <c r="A119" s="972">
        <f>IF(A118=2,2,0)</f>
        <v>2</v>
      </c>
      <c r="B119" s="16"/>
      <c r="C119" s="130"/>
      <c r="D119" s="520"/>
      <c r="E119" s="1180" t="s">
        <v>166</v>
      </c>
      <c r="F119" s="1856"/>
      <c r="G119" s="1856"/>
      <c r="H119" s="1856"/>
      <c r="I119" s="1856"/>
      <c r="J119" s="1856"/>
      <c r="K119" s="1003"/>
      <c r="L119" s="136"/>
      <c r="M119" s="74"/>
      <c r="N119" s="32"/>
      <c r="O119" s="32"/>
      <c r="P119" s="32"/>
      <c r="Q119" s="32"/>
      <c r="R119" s="32"/>
      <c r="S119" s="32"/>
      <c r="T119" s="10"/>
      <c r="U119" s="10"/>
      <c r="V119" s="10"/>
      <c r="W119" s="10"/>
      <c r="X119" s="10"/>
      <c r="Y119" s="10"/>
      <c r="Z119" s="10"/>
      <c r="AA119" s="10"/>
      <c r="AB119" s="10"/>
      <c r="AC119" s="10"/>
      <c r="AD119" s="10"/>
      <c r="AE119" s="10"/>
      <c r="AF119" s="10"/>
      <c r="AG119" s="10"/>
      <c r="AH119" s="10"/>
      <c r="AI119" s="10"/>
      <c r="AJ119" s="10"/>
      <c r="AK119" s="10"/>
      <c r="AL119" s="10"/>
      <c r="AM119" s="10"/>
      <c r="AN119" s="10"/>
      <c r="AO119" s="10"/>
    </row>
    <row r="120" spans="1:41" ht="14.25" customHeight="1" x14ac:dyDescent="0.25">
      <c r="A120" s="972">
        <f>IF(A119=2,2,0)</f>
        <v>2</v>
      </c>
      <c r="B120" s="16"/>
      <c r="C120" s="130"/>
      <c r="D120" s="520"/>
      <c r="E120" s="1180" t="s">
        <v>167</v>
      </c>
      <c r="F120" s="1857"/>
      <c r="G120" s="1857"/>
      <c r="H120" s="1857"/>
      <c r="I120" s="1857"/>
      <c r="J120" s="1857"/>
      <c r="K120" s="1004"/>
      <c r="L120" s="1152"/>
      <c r="M120" s="74"/>
      <c r="N120" s="32"/>
      <c r="O120" s="32"/>
      <c r="P120" s="32"/>
      <c r="Q120" s="32"/>
      <c r="R120" s="32"/>
      <c r="S120" s="32"/>
      <c r="T120" s="10"/>
      <c r="U120" s="10"/>
      <c r="V120" s="10"/>
      <c r="W120" s="10"/>
      <c r="X120" s="10"/>
      <c r="Y120" s="10"/>
      <c r="Z120" s="10"/>
      <c r="AA120" s="10"/>
      <c r="AB120" s="10"/>
      <c r="AC120" s="10"/>
      <c r="AD120" s="10"/>
      <c r="AE120" s="10"/>
      <c r="AF120" s="10"/>
      <c r="AG120" s="10"/>
      <c r="AH120" s="10"/>
      <c r="AI120" s="10"/>
      <c r="AJ120" s="10"/>
      <c r="AK120" s="10"/>
      <c r="AL120" s="10"/>
      <c r="AM120" s="10"/>
      <c r="AN120" s="10"/>
      <c r="AO120" s="10"/>
    </row>
    <row r="121" spans="1:41" ht="14.25" customHeight="1" x14ac:dyDescent="0.25">
      <c r="A121" s="972">
        <f>IF(A120=2,2,0)</f>
        <v>2</v>
      </c>
      <c r="B121" s="16"/>
      <c r="C121" s="130"/>
      <c r="D121" s="520"/>
      <c r="E121" s="1180" t="str">
        <f>CONCATENATE("Enter $/",dpUnit_Land," Adj.")</f>
        <v>Enter $/per Usable Square Foot Adj.</v>
      </c>
      <c r="F121" s="1858"/>
      <c r="G121" s="1858"/>
      <c r="H121" s="1858"/>
      <c r="I121" s="1858"/>
      <c r="J121" s="1858"/>
      <c r="K121" s="1005"/>
      <c r="L121" s="1153"/>
      <c r="M121" s="74"/>
      <c r="N121" s="32"/>
      <c r="O121" s="32"/>
      <c r="P121" s="32"/>
      <c r="Q121" s="32"/>
      <c r="R121" s="32"/>
      <c r="S121" s="32"/>
      <c r="T121" s="10"/>
      <c r="U121" s="10"/>
      <c r="V121" s="10"/>
      <c r="W121" s="10"/>
      <c r="X121" s="10"/>
      <c r="Y121" s="10"/>
      <c r="Z121" s="10"/>
      <c r="AA121" s="10"/>
      <c r="AB121" s="10"/>
      <c r="AC121" s="10"/>
      <c r="AD121" s="10"/>
      <c r="AE121" s="10"/>
      <c r="AF121" s="10"/>
      <c r="AG121" s="10"/>
      <c r="AH121" s="10"/>
      <c r="AI121" s="10"/>
      <c r="AJ121" s="10"/>
      <c r="AK121" s="10"/>
      <c r="AL121" s="10"/>
      <c r="AM121" s="10"/>
      <c r="AN121" s="10"/>
      <c r="AO121" s="10"/>
    </row>
    <row r="122" spans="1:41" ht="8.1" customHeight="1" x14ac:dyDescent="0.25">
      <c r="A122" s="972">
        <f>A124</f>
        <v>2</v>
      </c>
      <c r="B122" s="16"/>
      <c r="C122" s="130"/>
      <c r="D122" s="520"/>
      <c r="E122" s="765"/>
      <c r="F122" s="1866">
        <f t="shared" ref="F122:K122" si="39">IF(AND(F125=0,F126=0,F127=0),0,IF(F125&lt;&gt;0,F125,IF(F126&lt;&gt;0,IF(dpUnit_Land_2="Per Usable Acre",(F126/F$15)/F$23,IF(dpUnit_Land_2="Per Gross Acre",(F126/F$17)/F$25,IF(dpUnit_Land_2="Per Usable Square Foot",(F126/F$16)/F$24,IF(dpUnit_Land_2="Per Gross Square Foot",(F126/F$18)/F$26,IF(dpUnit_Land_2="Per Front Foot",(F126/F$19)/F$27,IF(dpUnit_Land_2="Per Proposed Square Foot",(F126/F$20)/F$28,IF(dpUnit_Land_2="Per Lot",(F126/F$21)/F$29,(F126/F$22)/F$30))))))),IF(dpUnit_Land_2="Per Usable Acre",F127/F$23,IF(dpUnit_Land_2="Per Gross Acre",F127/F$25,IF(dpUnit_Land_2="Per Usable Square Foot",F127/F$24,IF(dpUnit_Land_2="Per Gross Square Foot",F127/F$26,IF(dpUnit_Land_2="Per Front Foot",F127/F$27,IF(dpUnit_Land_2="Per Proposed Square Foot",F127/F$28,IF(dpUnit_Land_2="Per Lot",F127/F$29,F127/F$30))))))))))</f>
        <v>0</v>
      </c>
      <c r="G122" s="1866">
        <f t="shared" si="39"/>
        <v>0</v>
      </c>
      <c r="H122" s="1866">
        <f t="shared" si="39"/>
        <v>0</v>
      </c>
      <c r="I122" s="1866">
        <f t="shared" si="39"/>
        <v>0</v>
      </c>
      <c r="J122" s="1866">
        <f t="shared" si="39"/>
        <v>0</v>
      </c>
      <c r="K122" s="1341">
        <f t="shared" si="39"/>
        <v>0</v>
      </c>
      <c r="L122" s="1146"/>
      <c r="M122" s="74"/>
      <c r="N122" s="32"/>
      <c r="O122" s="32"/>
      <c r="P122" s="32"/>
      <c r="Q122" s="32"/>
      <c r="R122" s="32"/>
      <c r="S122" s="32"/>
      <c r="T122" s="10"/>
      <c r="U122" s="10"/>
      <c r="V122" s="10"/>
      <c r="W122" s="10"/>
      <c r="X122" s="10"/>
      <c r="Y122" s="10"/>
      <c r="Z122" s="10"/>
      <c r="AA122" s="10"/>
      <c r="AB122" s="10"/>
      <c r="AC122" s="10"/>
      <c r="AD122" s="10"/>
      <c r="AE122" s="10"/>
      <c r="AF122" s="10"/>
      <c r="AG122" s="10"/>
      <c r="AH122" s="10"/>
      <c r="AI122" s="10"/>
      <c r="AJ122" s="10"/>
      <c r="AK122" s="10"/>
      <c r="AL122" s="10"/>
      <c r="AM122" s="10"/>
      <c r="AN122" s="10"/>
      <c r="AO122" s="10"/>
    </row>
    <row r="123" spans="1:41" x14ac:dyDescent="0.25">
      <c r="A123" s="972">
        <f>A124</f>
        <v>2</v>
      </c>
      <c r="B123" s="16"/>
      <c r="C123" s="130"/>
      <c r="D123" s="1489" t="s">
        <v>102</v>
      </c>
      <c r="E123" s="1665">
        <f>Subject_TrafficCounts</f>
        <v>0</v>
      </c>
      <c r="F123" s="1868"/>
      <c r="G123" s="1868"/>
      <c r="H123" s="1868"/>
      <c r="I123" s="1868"/>
      <c r="J123" s="1868"/>
      <c r="K123" s="1165"/>
      <c r="L123" s="1146"/>
      <c r="M123" s="74"/>
      <c r="N123" s="32"/>
      <c r="O123" s="32"/>
      <c r="P123" s="32"/>
      <c r="Q123" s="32"/>
      <c r="R123" s="32"/>
      <c r="S123" s="32"/>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row>
    <row r="124" spans="1:41" ht="14.25" customHeight="1" x14ac:dyDescent="0.25">
      <c r="A124" s="972">
        <f>IF(B124=TRUE,1,2)</f>
        <v>2</v>
      </c>
      <c r="B124" s="16" t="b">
        <v>0</v>
      </c>
      <c r="C124" s="130"/>
      <c r="D124" s="520" t="str">
        <f>IF(Land_AdjType&lt;&gt;"Qualitative","Adjustment","Relative Comparison")</f>
        <v>Adjustment</v>
      </c>
      <c r="E124" s="765"/>
      <c r="F124" s="1855">
        <f t="shared" ref="F124:K124" si="40">IF(Land_AdjType_2="Percent",IF(AND(F125=0,F126=0,F127=0),0,IF(F125&lt;&gt;0,F125,IF(F126&lt;&gt;0,IF(dpUnit_Land_2="Per Usable Acre",(F126/F$15)/F$23,IF(dpUnit_Land_2="Per Gross Acre",(F126/F$17)/F$25,IF(dpUnit_Land_2="Per Usable Square Foot",(F126/F$16)/F$24,IF(dpUnit_Land_2="Per Gross Square Foot",(F126/F$18)/F$26,IF(dpUnit_Land_2="Per Front Foot",(F126/F$19)/F$27,IF(dpUnit_Land_2="Per Proposed Square Foot",(F126/F$20)/F$28,IF(dpUnit_Land_2="Per Lot",(F126/F$21)/F$29,(F126/F$22)/F$30))))))),IF(dpUnit_Land_2="Per Usable Acre",F127/F$23,IF(dpUnit_Land_2="Per Gross Acre",F127/F$25,IF(dpUnit_Land_2="Per Usable Square Foot",F127/F$24,IF(dpUnit_Land_2="Per Gross Square Foot",F127/F$26,IF(dpUnit_Land_2="Per Front Foot",F127/F$27,IF(dpUnit_Land_2="Per Proposed Square Foot",F127/F$28,IF(dpUnit_Land_2="Per Lot",F127/F$29,F127/F$30)))))))))),IF(Land_AdjType_2="$ per Unit",IF(AND(F125=0,F126=0,F127=0),0,IF(F125&lt;&gt;0,IF(dpUnit_Land_2="Per Usable Acre",F125*F$23,IF(dpUnit_Land_2="Per Gross Acre",F125*F$25,IF(dpUnit_Land_2="Per Usable Square Foot",F125*F$24,IF(dpUnit_Land_2="Per Gross Square Foot",F125*F$26,IF(dpUnit_Land_2="Per Front Foot",F125*F$27,IF(dpUnit_Land_2="Per Proposed Square Foot",F125*F$28,IF(dpUnit_Land_2="Per Lot",F125*F$29,F125*F$30))))))),IF(F126&lt;&gt;0,IF(dpUnit_Land_2="Per Usable Acre",F126/F$15,IF(dpUnit_Land_2="Per Gross Acre",F126/F$17,IF(dpUnit_Land_2="Per Usable Square Foot",F126/F$16,IF(dpUnit_Land_2="Per Gross Square Foot",F126/F$18,IF(dpUnit_Land_2="Per Front Foot",F126/F$19,IF(dpUnit_Land_2="Per Proposed Square Foot",F126/F$20,IF(dpUnit_Land_2="Per Lot",F126/F$21,F126/F$22))))))),F127))),IF(OR(F125&gt;0,F126&gt;0,F127&gt;0),"Inferior",IF(OR(F125&lt;0,F126&lt;0,F127&lt;0),"Superior","Similar"))))</f>
        <v>0</v>
      </c>
      <c r="G124" s="1855">
        <f t="shared" si="40"/>
        <v>0</v>
      </c>
      <c r="H124" s="1855">
        <f t="shared" si="40"/>
        <v>0</v>
      </c>
      <c r="I124" s="1855">
        <f t="shared" si="40"/>
        <v>0</v>
      </c>
      <c r="J124" s="1855">
        <f t="shared" si="40"/>
        <v>0</v>
      </c>
      <c r="K124" s="1150">
        <f t="shared" si="40"/>
        <v>0</v>
      </c>
      <c r="L124" s="763"/>
      <c r="M124" s="74"/>
      <c r="N124" s="32"/>
      <c r="O124" s="32"/>
      <c r="P124" s="32"/>
      <c r="Q124" s="32"/>
      <c r="R124" s="32"/>
      <c r="S124" s="32"/>
      <c r="T124" s="10"/>
      <c r="U124" s="10"/>
      <c r="V124" s="10"/>
      <c r="W124" s="10"/>
      <c r="X124" s="10"/>
      <c r="Y124" s="10"/>
      <c r="Z124" s="10"/>
      <c r="AA124" s="10"/>
      <c r="AB124" s="10"/>
      <c r="AC124" s="10"/>
      <c r="AD124" s="10"/>
      <c r="AE124" s="10"/>
      <c r="AF124" s="10"/>
      <c r="AG124" s="10"/>
      <c r="AH124" s="10"/>
      <c r="AI124" s="10"/>
      <c r="AJ124" s="10"/>
      <c r="AK124" s="10"/>
      <c r="AL124" s="10"/>
      <c r="AM124" s="10"/>
      <c r="AN124" s="10"/>
      <c r="AO124" s="10"/>
    </row>
    <row r="125" spans="1:41" ht="14.25" customHeight="1" x14ac:dyDescent="0.25">
      <c r="A125" s="972">
        <f>IF(A124=2,2,0)</f>
        <v>2</v>
      </c>
      <c r="B125" s="16"/>
      <c r="C125" s="130"/>
      <c r="D125" s="520"/>
      <c r="E125" s="1180" t="s">
        <v>166</v>
      </c>
      <c r="F125" s="1856"/>
      <c r="G125" s="1856"/>
      <c r="H125" s="1856"/>
      <c r="I125" s="1856"/>
      <c r="J125" s="1856"/>
      <c r="K125" s="1003"/>
      <c r="L125" s="136"/>
      <c r="M125" s="74"/>
      <c r="N125" s="32"/>
      <c r="O125" s="32"/>
      <c r="P125" s="32"/>
      <c r="Q125" s="32"/>
      <c r="R125" s="32"/>
      <c r="S125" s="32"/>
      <c r="T125" s="10"/>
      <c r="U125" s="10"/>
      <c r="V125" s="10"/>
      <c r="W125" s="10"/>
      <c r="X125" s="10"/>
      <c r="Y125" s="10"/>
      <c r="Z125" s="10"/>
      <c r="AA125" s="10"/>
      <c r="AB125" s="10"/>
      <c r="AC125" s="10"/>
      <c r="AD125" s="10"/>
      <c r="AE125" s="10"/>
      <c r="AF125" s="10"/>
      <c r="AG125" s="10"/>
      <c r="AH125" s="10"/>
      <c r="AI125" s="10"/>
      <c r="AJ125" s="10"/>
      <c r="AK125" s="10"/>
      <c r="AL125" s="10"/>
      <c r="AM125" s="10"/>
      <c r="AN125" s="10"/>
      <c r="AO125" s="10"/>
    </row>
    <row r="126" spans="1:41" ht="14.25" customHeight="1" x14ac:dyDescent="0.25">
      <c r="A126" s="972">
        <f>IF(A125=2,2,0)</f>
        <v>2</v>
      </c>
      <c r="B126" s="16"/>
      <c r="C126" s="130"/>
      <c r="D126" s="520"/>
      <c r="E126" s="1180" t="s">
        <v>167</v>
      </c>
      <c r="F126" s="1857"/>
      <c r="G126" s="1857"/>
      <c r="H126" s="1857"/>
      <c r="I126" s="1857"/>
      <c r="J126" s="1857"/>
      <c r="K126" s="1004"/>
      <c r="L126" s="1152"/>
      <c r="M126" s="74"/>
      <c r="N126" s="32"/>
      <c r="O126" s="32"/>
      <c r="P126" s="32"/>
      <c r="Q126" s="32"/>
      <c r="R126" s="32"/>
      <c r="S126" s="32"/>
      <c r="T126" s="10"/>
      <c r="U126" s="10"/>
      <c r="V126" s="10"/>
      <c r="W126" s="10"/>
      <c r="X126" s="10"/>
      <c r="Y126" s="10"/>
      <c r="Z126" s="10"/>
      <c r="AA126" s="10"/>
      <c r="AB126" s="10"/>
      <c r="AC126" s="10"/>
      <c r="AD126" s="10"/>
      <c r="AE126" s="10"/>
      <c r="AF126" s="10"/>
      <c r="AG126" s="10"/>
      <c r="AH126" s="10"/>
      <c r="AI126" s="10"/>
      <c r="AJ126" s="10"/>
      <c r="AK126" s="10"/>
      <c r="AL126" s="10"/>
      <c r="AM126" s="10"/>
      <c r="AN126" s="10"/>
      <c r="AO126" s="10"/>
    </row>
    <row r="127" spans="1:41" ht="14.25" customHeight="1" x14ac:dyDescent="0.25">
      <c r="A127" s="972">
        <f>IF(A126=2,2,0)</f>
        <v>2</v>
      </c>
      <c r="B127" s="16"/>
      <c r="C127" s="130"/>
      <c r="D127" s="520"/>
      <c r="E127" s="1180" t="str">
        <f>CONCATENATE("Enter $/",dpUnit_Land," Adj.")</f>
        <v>Enter $/per Usable Square Foot Adj.</v>
      </c>
      <c r="F127" s="1858"/>
      <c r="G127" s="1858"/>
      <c r="H127" s="1858"/>
      <c r="I127" s="1858"/>
      <c r="J127" s="1858"/>
      <c r="K127" s="1005"/>
      <c r="L127" s="1153"/>
      <c r="M127" s="74"/>
      <c r="N127" s="32"/>
      <c r="O127" s="32"/>
      <c r="P127" s="32"/>
      <c r="Q127" s="32"/>
      <c r="R127" s="32"/>
      <c r="S127" s="32"/>
      <c r="T127" s="10"/>
      <c r="U127" s="10"/>
      <c r="V127" s="10"/>
      <c r="W127" s="10"/>
      <c r="X127" s="10"/>
      <c r="Y127" s="10"/>
      <c r="Z127" s="10"/>
      <c r="AA127" s="10"/>
      <c r="AB127" s="10"/>
      <c r="AC127" s="10"/>
      <c r="AD127" s="10"/>
      <c r="AE127" s="10"/>
      <c r="AF127" s="10"/>
      <c r="AG127" s="10"/>
      <c r="AH127" s="10"/>
      <c r="AI127" s="10"/>
      <c r="AJ127" s="10"/>
      <c r="AK127" s="10"/>
      <c r="AL127" s="10"/>
      <c r="AM127" s="10"/>
      <c r="AN127" s="10"/>
      <c r="AO127" s="10"/>
    </row>
    <row r="128" spans="1:41" ht="8.1" customHeight="1" x14ac:dyDescent="0.25">
      <c r="A128" s="972">
        <f>A130</f>
        <v>2</v>
      </c>
      <c r="B128" s="16"/>
      <c r="C128" s="130"/>
      <c r="D128" s="520"/>
      <c r="E128" s="765"/>
      <c r="F128" s="1866">
        <f t="shared" ref="F128:K128" si="41">IF(AND(F131=0,F132=0,F133=0),0,IF(F131&lt;&gt;0,F131,IF(F132&lt;&gt;0,IF(dpUnit_Land_2="Per Usable Acre",(F132/F$15)/F$23,IF(dpUnit_Land_2="Per Gross Acre",(F132/F$17)/F$25,IF(dpUnit_Land_2="Per Usable Square Foot",(F132/F$16)/F$24,IF(dpUnit_Land_2="Per Gross Square Foot",(F132/F$18)/F$26,IF(dpUnit_Land_2="Per Front Foot",(F132/F$19)/F$27,IF(dpUnit_Land_2="Per Proposed Square Foot",(F132/F$20)/F$28,IF(dpUnit_Land_2="Per Lot",(F132/F$21)/F$29,(F132/F$22)/F$30))))))),IF(dpUnit_Land_2="Per Usable Acre",F133/F$23,IF(dpUnit_Land_2="Per Gross Acre",F133/F$25,IF(dpUnit_Land_2="Per Usable Square Foot",F133/F$24,IF(dpUnit_Land_2="Per Gross Square Foot",F133/F$26,IF(dpUnit_Land_2="Per Front Foot",F133/F$27,IF(dpUnit_Land_2="Per Proposed Square Foot",F133/F$28,IF(dpUnit_Land_2="Per Lot",F133/F$29,F133/F$30))))))))))</f>
        <v>0</v>
      </c>
      <c r="G128" s="1866">
        <f t="shared" si="41"/>
        <v>0</v>
      </c>
      <c r="H128" s="1866">
        <f t="shared" si="41"/>
        <v>0</v>
      </c>
      <c r="I128" s="1866">
        <f t="shared" si="41"/>
        <v>0</v>
      </c>
      <c r="J128" s="1866">
        <f t="shared" si="41"/>
        <v>0</v>
      </c>
      <c r="K128" s="1341">
        <f t="shared" si="41"/>
        <v>0</v>
      </c>
      <c r="L128" s="1146"/>
      <c r="M128" s="74"/>
      <c r="N128" s="32"/>
      <c r="O128" s="32"/>
      <c r="P128" s="32"/>
      <c r="Q128" s="32"/>
      <c r="R128" s="32"/>
      <c r="S128" s="32"/>
      <c r="T128" s="10"/>
      <c r="U128" s="10"/>
      <c r="V128" s="10"/>
      <c r="W128" s="10"/>
      <c r="X128" s="10"/>
      <c r="Y128" s="10"/>
      <c r="Z128" s="10"/>
      <c r="AA128" s="10"/>
      <c r="AB128" s="10"/>
      <c r="AC128" s="10"/>
      <c r="AD128" s="10"/>
      <c r="AE128" s="10"/>
      <c r="AF128" s="10"/>
      <c r="AG128" s="10"/>
      <c r="AH128" s="10"/>
      <c r="AI128" s="10"/>
      <c r="AJ128" s="10"/>
      <c r="AK128" s="10"/>
      <c r="AL128" s="10"/>
      <c r="AM128" s="10"/>
      <c r="AN128" s="10"/>
      <c r="AO128" s="10"/>
    </row>
    <row r="129" spans="1:41" x14ac:dyDescent="0.25">
      <c r="A129" s="972">
        <f>A130</f>
        <v>2</v>
      </c>
      <c r="B129" s="16"/>
      <c r="C129" s="130"/>
      <c r="D129" s="1493" t="s">
        <v>103</v>
      </c>
      <c r="E129" s="718"/>
      <c r="F129" s="1831"/>
      <c r="G129" s="1831"/>
      <c r="H129" s="1831"/>
      <c r="I129" s="1831"/>
      <c r="J129" s="1831"/>
      <c r="K129" s="1006"/>
      <c r="L129" s="1146"/>
      <c r="M129" s="74"/>
      <c r="N129" s="32"/>
      <c r="O129" s="32"/>
      <c r="P129" s="32"/>
      <c r="Q129" s="32"/>
      <c r="R129" s="32"/>
      <c r="S129" s="32"/>
      <c r="T129" s="10"/>
      <c r="U129" s="10"/>
      <c r="V129" s="10"/>
      <c r="W129" s="10"/>
      <c r="X129" s="10"/>
      <c r="Y129" s="10"/>
      <c r="Z129" s="10"/>
      <c r="AA129" s="10"/>
      <c r="AB129" s="10"/>
      <c r="AC129" s="10"/>
      <c r="AD129" s="10"/>
      <c r="AE129" s="10"/>
      <c r="AF129" s="10"/>
      <c r="AG129" s="10"/>
      <c r="AH129" s="10"/>
      <c r="AI129" s="10"/>
      <c r="AJ129" s="10"/>
      <c r="AK129" s="10"/>
      <c r="AL129" s="10"/>
      <c r="AM129" s="10"/>
      <c r="AN129" s="10"/>
      <c r="AO129" s="10"/>
    </row>
    <row r="130" spans="1:41" ht="14.25" customHeight="1" x14ac:dyDescent="0.25">
      <c r="A130" s="972">
        <f>IF(B130=TRUE,1,2)</f>
        <v>2</v>
      </c>
      <c r="B130" s="16" t="b">
        <v>0</v>
      </c>
      <c r="C130" s="130"/>
      <c r="D130" s="520" t="str">
        <f>IF(Land_AdjType&lt;&gt;"Qualitative","Adjustment","Relative Comparison")</f>
        <v>Adjustment</v>
      </c>
      <c r="E130" s="765"/>
      <c r="F130" s="1855">
        <f t="shared" ref="F130:K130" si="42">IF(Land_AdjType_2="Percent",IF(AND(F131=0,F132=0,F133=0),0,IF(F131&lt;&gt;0,F131,IF(F132&lt;&gt;0,IF(dpUnit_Land_2="Per Usable Acre",(F132/F$15)/F$23,IF(dpUnit_Land_2="Per Gross Acre",(F132/F$17)/F$25,IF(dpUnit_Land_2="Per Usable Square Foot",(F132/F$16)/F$24,IF(dpUnit_Land_2="Per Gross Square Foot",(F132/F$18)/F$26,IF(dpUnit_Land_2="Per Front Foot",(F132/F$19)/F$27,IF(dpUnit_Land_2="Per Proposed Square Foot",(F132/F$20)/F$28,IF(dpUnit_Land_2="Per Lot",(F132/F$21)/F$29,(F132/F$22)/F$30))))))),IF(dpUnit_Land_2="Per Usable Acre",F133/F$23,IF(dpUnit_Land_2="Per Gross Acre",F133/F$25,IF(dpUnit_Land_2="Per Usable Square Foot",F133/F$24,IF(dpUnit_Land_2="Per Gross Square Foot",F133/F$26,IF(dpUnit_Land_2="Per Front Foot",F133/F$27,IF(dpUnit_Land_2="Per Proposed Square Foot",F133/F$28,IF(dpUnit_Land_2="Per Lot",F133/F$29,F133/F$30)))))))))),IF(Land_AdjType_2="$ per Unit",IF(AND(F131=0,F132=0,F133=0),0,IF(F131&lt;&gt;0,IF(dpUnit_Land_2="Per Usable Acre",F131*F$23,IF(dpUnit_Land_2="Per Gross Acre",F131*F$25,IF(dpUnit_Land_2="Per Usable Square Foot",F131*F$24,IF(dpUnit_Land_2="Per Gross Square Foot",F131*F$26,IF(dpUnit_Land_2="Per Front Foot",F131*F$27,IF(dpUnit_Land_2="Per Proposed Square Foot",F131*F$28,IF(dpUnit_Land_2="Per Lot",F131*F$29,F131*F$30))))))),IF(F132&lt;&gt;0,IF(dpUnit_Land_2="Per Usable Acre",F132/F$15,IF(dpUnit_Land_2="Per Gross Acre",F132/F$17,IF(dpUnit_Land_2="Per Usable Square Foot",F132/F$16,IF(dpUnit_Land_2="Per Gross Square Foot",F132/F$18,IF(dpUnit_Land_2="Per Front Foot",F132/F$19,IF(dpUnit_Land_2="Per Proposed Square Foot",F132/F$20,IF(dpUnit_Land_2="Per Lot",F132/F$21,F132/F$22))))))),F133))),IF(OR(F131&gt;0,F132&gt;0,F133&gt;0),"Inferior",IF(OR(F131&lt;0,F132&lt;0,F133&lt;0),"Superior","Similar"))))</f>
        <v>0</v>
      </c>
      <c r="G130" s="1855">
        <f t="shared" si="42"/>
        <v>0</v>
      </c>
      <c r="H130" s="1855">
        <f t="shared" si="42"/>
        <v>0</v>
      </c>
      <c r="I130" s="1855">
        <f t="shared" si="42"/>
        <v>0</v>
      </c>
      <c r="J130" s="1855">
        <f t="shared" si="42"/>
        <v>0</v>
      </c>
      <c r="K130" s="1150">
        <f t="shared" si="42"/>
        <v>0</v>
      </c>
      <c r="L130" s="763"/>
      <c r="M130" s="74"/>
      <c r="N130" s="32"/>
      <c r="O130" s="32"/>
      <c r="P130" s="32"/>
      <c r="Q130" s="32"/>
      <c r="R130" s="32"/>
      <c r="S130" s="32"/>
      <c r="T130" s="10"/>
      <c r="U130" s="10"/>
      <c r="V130" s="10"/>
      <c r="W130" s="10"/>
      <c r="X130" s="10"/>
      <c r="Y130" s="10"/>
      <c r="Z130" s="10"/>
      <c r="AA130" s="10"/>
      <c r="AB130" s="10"/>
      <c r="AC130" s="10"/>
      <c r="AD130" s="10"/>
      <c r="AE130" s="10"/>
      <c r="AF130" s="10"/>
      <c r="AG130" s="10"/>
      <c r="AH130" s="10"/>
      <c r="AI130" s="10"/>
      <c r="AJ130" s="10"/>
      <c r="AK130" s="10"/>
      <c r="AL130" s="10"/>
      <c r="AM130" s="10"/>
      <c r="AN130" s="10"/>
      <c r="AO130" s="10"/>
    </row>
    <row r="131" spans="1:41" ht="14.25" customHeight="1" x14ac:dyDescent="0.25">
      <c r="A131" s="972">
        <f>IF(A130=2,2,0)</f>
        <v>2</v>
      </c>
      <c r="B131" s="16"/>
      <c r="C131" s="130"/>
      <c r="D131" s="520"/>
      <c r="E131" s="1180" t="s">
        <v>166</v>
      </c>
      <c r="F131" s="1856"/>
      <c r="G131" s="1856"/>
      <c r="H131" s="1856"/>
      <c r="I131" s="1856"/>
      <c r="J131" s="1856"/>
      <c r="K131" s="1003"/>
      <c r="L131" s="136"/>
      <c r="M131" s="74"/>
      <c r="N131" s="32"/>
      <c r="O131" s="32"/>
      <c r="P131" s="32"/>
      <c r="Q131" s="32"/>
      <c r="R131" s="32"/>
      <c r="S131" s="32"/>
      <c r="T131" s="10"/>
      <c r="U131" s="10"/>
      <c r="V131" s="10"/>
      <c r="W131" s="10"/>
      <c r="X131" s="10"/>
      <c r="Y131" s="10"/>
      <c r="Z131" s="10"/>
      <c r="AA131" s="10"/>
      <c r="AB131" s="10"/>
      <c r="AC131" s="10"/>
      <c r="AD131" s="10"/>
      <c r="AE131" s="10"/>
      <c r="AF131" s="10"/>
      <c r="AG131" s="10"/>
      <c r="AH131" s="10"/>
      <c r="AI131" s="10"/>
      <c r="AJ131" s="10"/>
      <c r="AK131" s="10"/>
      <c r="AL131" s="10"/>
      <c r="AM131" s="10"/>
      <c r="AN131" s="10"/>
      <c r="AO131" s="10"/>
    </row>
    <row r="132" spans="1:41" ht="14.25" customHeight="1" x14ac:dyDescent="0.25">
      <c r="A132" s="972">
        <f>IF(A131=2,2,0)</f>
        <v>2</v>
      </c>
      <c r="B132" s="16"/>
      <c r="C132" s="130"/>
      <c r="D132" s="520"/>
      <c r="E132" s="1180" t="s">
        <v>167</v>
      </c>
      <c r="F132" s="1857"/>
      <c r="G132" s="1857"/>
      <c r="H132" s="1857"/>
      <c r="I132" s="1857"/>
      <c r="J132" s="1857"/>
      <c r="K132" s="1004"/>
      <c r="L132" s="1152"/>
      <c r="M132" s="74"/>
      <c r="N132" s="32"/>
      <c r="O132" s="32"/>
      <c r="P132" s="32"/>
      <c r="Q132" s="32"/>
      <c r="R132" s="32"/>
      <c r="S132" s="32"/>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row>
    <row r="133" spans="1:41" ht="14.25" customHeight="1" x14ac:dyDescent="0.25">
      <c r="A133" s="972">
        <f>IF(A132=2,2,0)</f>
        <v>2</v>
      </c>
      <c r="B133" s="16"/>
      <c r="C133" s="130"/>
      <c r="D133" s="520"/>
      <c r="E133" s="1180" t="str">
        <f>CONCATENATE("Enter $/",dpUnit_Land," Adj.")</f>
        <v>Enter $/per Usable Square Foot Adj.</v>
      </c>
      <c r="F133" s="1858"/>
      <c r="G133" s="1858"/>
      <c r="H133" s="1858"/>
      <c r="I133" s="1858"/>
      <c r="J133" s="1858"/>
      <c r="K133" s="1005"/>
      <c r="L133" s="1153"/>
      <c r="M133" s="74"/>
      <c r="N133" s="32"/>
      <c r="O133" s="32"/>
      <c r="P133" s="32"/>
      <c r="Q133" s="32"/>
      <c r="R133" s="32"/>
      <c r="S133" s="32"/>
      <c r="T133" s="10"/>
      <c r="U133" s="10"/>
      <c r="V133" s="10"/>
      <c r="W133" s="10"/>
      <c r="X133" s="10"/>
      <c r="Y133" s="10"/>
      <c r="Z133" s="10"/>
      <c r="AA133" s="10"/>
      <c r="AB133" s="10"/>
      <c r="AC133" s="10"/>
      <c r="AD133" s="10"/>
      <c r="AE133" s="10"/>
      <c r="AF133" s="10"/>
      <c r="AG133" s="10"/>
      <c r="AH133" s="10"/>
      <c r="AI133" s="10"/>
      <c r="AJ133" s="10"/>
      <c r="AK133" s="10"/>
      <c r="AL133" s="10"/>
      <c r="AM133" s="10"/>
      <c r="AN133" s="10"/>
      <c r="AO133" s="10"/>
    </row>
    <row r="134" spans="1:41" ht="8.1" customHeight="1" x14ac:dyDescent="0.25">
      <c r="A134" s="972">
        <f>A136</f>
        <v>2</v>
      </c>
      <c r="B134" s="16"/>
      <c r="C134" s="130"/>
      <c r="D134" s="520"/>
      <c r="E134" s="765"/>
      <c r="F134" s="1866">
        <f t="shared" ref="F134:K134" si="43">IF(AND(F137=0,F138=0,F139=0),0,IF(F137&lt;&gt;0,F137,IF(F138&lt;&gt;0,IF(dpUnit_Land_2="Per Usable Acre",(F138/F$15)/F$23,IF(dpUnit_Land_2="Per Gross Acre",(F138/F$17)/F$25,IF(dpUnit_Land_2="Per Usable Square Foot",(F138/F$16)/F$24,IF(dpUnit_Land_2="Per Gross Square Foot",(F138/F$18)/F$26,IF(dpUnit_Land_2="Per Front Foot",(F138/F$19)/F$27,IF(dpUnit_Land_2="Per Proposed Square Foot",(F138/F$20)/F$28,IF(dpUnit_Land_2="Per Lot",(F138/F$21)/F$29,(F138/F$22)/F$30))))))),IF(dpUnit_Land_2="Per Usable Acre",F139/F$23,IF(dpUnit_Land_2="Per Gross Acre",F139/F$25,IF(dpUnit_Land_2="Per Usable Square Foot",F139/F$24,IF(dpUnit_Land_2="Per Gross Square Foot",F139/F$26,IF(dpUnit_Land_2="Per Front Foot",F139/F$27,IF(dpUnit_Land_2="Per Proposed Square Foot",F139/F$28,IF(dpUnit_Land_2="Per Lot",F139/F$29,F139/F$30))))))))))</f>
        <v>0</v>
      </c>
      <c r="G134" s="1866">
        <f t="shared" si="43"/>
        <v>0</v>
      </c>
      <c r="H134" s="1866">
        <f t="shared" si="43"/>
        <v>0</v>
      </c>
      <c r="I134" s="1866">
        <f t="shared" si="43"/>
        <v>0</v>
      </c>
      <c r="J134" s="1866">
        <f t="shared" si="43"/>
        <v>0</v>
      </c>
      <c r="K134" s="1341">
        <f t="shared" si="43"/>
        <v>0</v>
      </c>
      <c r="L134" s="1146"/>
      <c r="M134" s="74"/>
      <c r="N134" s="32"/>
      <c r="O134" s="32"/>
      <c r="P134" s="32"/>
      <c r="Q134" s="32"/>
      <c r="R134" s="32"/>
      <c r="S134" s="32"/>
      <c r="T134" s="10"/>
      <c r="U134" s="10"/>
      <c r="V134" s="10"/>
      <c r="W134" s="10"/>
      <c r="X134" s="10"/>
      <c r="Y134" s="10"/>
      <c r="Z134" s="10"/>
      <c r="AA134" s="10"/>
      <c r="AB134" s="10"/>
      <c r="AC134" s="10"/>
      <c r="AD134" s="10"/>
      <c r="AE134" s="10"/>
      <c r="AF134" s="10"/>
      <c r="AG134" s="10"/>
      <c r="AH134" s="10"/>
      <c r="AI134" s="10"/>
      <c r="AJ134" s="10"/>
      <c r="AK134" s="10"/>
      <c r="AL134" s="10"/>
      <c r="AM134" s="10"/>
      <c r="AN134" s="10"/>
      <c r="AO134" s="10"/>
    </row>
    <row r="135" spans="1:41" x14ac:dyDescent="0.25">
      <c r="A135" s="972">
        <f>A136</f>
        <v>2</v>
      </c>
      <c r="B135" s="16"/>
      <c r="C135" s="130"/>
      <c r="D135" s="1493" t="s">
        <v>104</v>
      </c>
      <c r="E135" s="718"/>
      <c r="F135" s="1831"/>
      <c r="G135" s="1831"/>
      <c r="H135" s="1831"/>
      <c r="I135" s="1831"/>
      <c r="J135" s="1831"/>
      <c r="K135" s="1006"/>
      <c r="L135" s="1146"/>
      <c r="M135" s="74"/>
      <c r="N135" s="32"/>
      <c r="O135" s="32"/>
      <c r="P135" s="32"/>
      <c r="Q135" s="32"/>
      <c r="R135" s="32"/>
      <c r="S135" s="32"/>
      <c r="T135" s="10"/>
      <c r="U135" s="10"/>
      <c r="V135" s="10"/>
      <c r="W135" s="10"/>
      <c r="X135" s="10"/>
      <c r="Y135" s="10"/>
      <c r="Z135" s="10"/>
      <c r="AA135" s="10"/>
      <c r="AB135" s="10"/>
      <c r="AC135" s="10"/>
      <c r="AD135" s="10"/>
      <c r="AE135" s="10"/>
      <c r="AF135" s="10"/>
      <c r="AG135" s="10"/>
      <c r="AH135" s="10"/>
      <c r="AI135" s="10"/>
      <c r="AJ135" s="10"/>
      <c r="AK135" s="10"/>
      <c r="AL135" s="10"/>
      <c r="AM135" s="10"/>
      <c r="AN135" s="10"/>
      <c r="AO135" s="10"/>
    </row>
    <row r="136" spans="1:41" ht="14.25" customHeight="1" x14ac:dyDescent="0.25">
      <c r="A136" s="972">
        <f>IF(B136=TRUE,1,2)</f>
        <v>2</v>
      </c>
      <c r="B136" s="16" t="b">
        <v>0</v>
      </c>
      <c r="C136" s="130"/>
      <c r="D136" s="520" t="str">
        <f>IF(Land_AdjType&lt;&gt;"Qualitative","Adjustment","Relative Comparison")</f>
        <v>Adjustment</v>
      </c>
      <c r="E136" s="765"/>
      <c r="F136" s="1855">
        <f t="shared" ref="F136:K136" si="44">IF(Land_AdjType_2="Percent",IF(AND(F137=0,F138=0,F139=0),0,IF(F137&lt;&gt;0,F137,IF(F138&lt;&gt;0,IF(dpUnit_Land_2="Per Usable Acre",(F138/F$15)/F$23,IF(dpUnit_Land_2="Per Gross Acre",(F138/F$17)/F$25,IF(dpUnit_Land_2="Per Usable Square Foot",(F138/F$16)/F$24,IF(dpUnit_Land_2="Per Gross Square Foot",(F138/F$18)/F$26,IF(dpUnit_Land_2="Per Front Foot",(F138/F$19)/F$27,IF(dpUnit_Land_2="Per Proposed Square Foot",(F138/F$20)/F$28,IF(dpUnit_Land_2="Per Lot",(F138/F$21)/F$29,(F138/F$22)/F$30))))))),IF(dpUnit_Land_2="Per Usable Acre",F139/F$23,IF(dpUnit_Land_2="Per Gross Acre",F139/F$25,IF(dpUnit_Land_2="Per Usable Square Foot",F139/F$24,IF(dpUnit_Land_2="Per Gross Square Foot",F139/F$26,IF(dpUnit_Land_2="Per Front Foot",F139/F$27,IF(dpUnit_Land_2="Per Proposed Square Foot",F139/F$28,IF(dpUnit_Land_2="Per Lot",F139/F$29,F139/F$30)))))))))),IF(Land_AdjType_2="$ per Unit",IF(AND(F137=0,F138=0,F139=0),0,IF(F137&lt;&gt;0,IF(dpUnit_Land_2="Per Usable Acre",F137*F$23,IF(dpUnit_Land_2="Per Gross Acre",F137*F$25,IF(dpUnit_Land_2="Per Usable Square Foot",F137*F$24,IF(dpUnit_Land_2="Per Gross Square Foot",F137*F$26,IF(dpUnit_Land_2="Per Front Foot",F137*F$27,IF(dpUnit_Land_2="Per Proposed Square Foot",F137*F$28,IF(dpUnit_Land_2="Per Lot",F137*F$29,F137*F$30))))))),IF(F138&lt;&gt;0,IF(dpUnit_Land_2="Per Usable Acre",F138/F$15,IF(dpUnit_Land_2="Per Gross Acre",F138/F$17,IF(dpUnit_Land_2="Per Usable Square Foot",F138/F$16,IF(dpUnit_Land_2="Per Gross Square Foot",F138/F$18,IF(dpUnit_Land_2="Per Front Foot",F138/F$19,IF(dpUnit_Land_2="Per Proposed Square Foot",F138/F$20,IF(dpUnit_Land_2="Per Lot",F138/F$21,F138/F$22))))))),F139))),IF(OR(F137&gt;0,F138&gt;0,F139&gt;0),"Inferior",IF(OR(F137&lt;0,F138&lt;0,F139&lt;0),"Superior","Similar"))))</f>
        <v>0</v>
      </c>
      <c r="G136" s="1855">
        <f t="shared" si="44"/>
        <v>0</v>
      </c>
      <c r="H136" s="1855">
        <f t="shared" si="44"/>
        <v>0</v>
      </c>
      <c r="I136" s="1855">
        <f t="shared" si="44"/>
        <v>0</v>
      </c>
      <c r="J136" s="1855">
        <f t="shared" si="44"/>
        <v>0</v>
      </c>
      <c r="K136" s="1150">
        <f t="shared" si="44"/>
        <v>0</v>
      </c>
      <c r="L136" s="763"/>
      <c r="M136" s="74"/>
      <c r="N136" s="32"/>
      <c r="O136" s="32"/>
      <c r="P136" s="32"/>
      <c r="Q136" s="32"/>
      <c r="R136" s="32"/>
      <c r="S136" s="32"/>
      <c r="T136" s="10"/>
      <c r="U136" s="10"/>
      <c r="V136" s="10"/>
      <c r="W136" s="10"/>
      <c r="X136" s="10"/>
      <c r="Y136" s="10"/>
      <c r="Z136" s="10"/>
      <c r="AA136" s="10"/>
      <c r="AB136" s="10"/>
      <c r="AC136" s="10"/>
      <c r="AD136" s="10"/>
      <c r="AE136" s="10"/>
      <c r="AF136" s="10"/>
      <c r="AG136" s="10"/>
      <c r="AH136" s="10"/>
      <c r="AI136" s="10"/>
      <c r="AJ136" s="10"/>
      <c r="AK136" s="10"/>
      <c r="AL136" s="10"/>
      <c r="AM136" s="10"/>
      <c r="AN136" s="10"/>
      <c r="AO136" s="10"/>
    </row>
    <row r="137" spans="1:41" ht="14.25" customHeight="1" x14ac:dyDescent="0.25">
      <c r="A137" s="972">
        <f>IF(A136=2,2,0)</f>
        <v>2</v>
      </c>
      <c r="B137" s="16"/>
      <c r="C137" s="130"/>
      <c r="D137" s="520"/>
      <c r="E137" s="1180" t="s">
        <v>166</v>
      </c>
      <c r="F137" s="1856"/>
      <c r="G137" s="1856"/>
      <c r="H137" s="1856"/>
      <c r="I137" s="1856"/>
      <c r="J137" s="1856"/>
      <c r="K137" s="1003"/>
      <c r="L137" s="136"/>
      <c r="M137" s="74"/>
      <c r="N137" s="32"/>
      <c r="O137" s="32"/>
      <c r="P137" s="32"/>
      <c r="Q137" s="32"/>
      <c r="R137" s="32"/>
      <c r="S137" s="32"/>
      <c r="T137" s="10"/>
      <c r="U137" s="10"/>
      <c r="V137" s="10"/>
      <c r="W137" s="10"/>
      <c r="X137" s="10"/>
      <c r="Y137" s="10"/>
      <c r="Z137" s="10"/>
      <c r="AA137" s="10"/>
      <c r="AB137" s="10"/>
      <c r="AC137" s="10"/>
      <c r="AD137" s="10"/>
      <c r="AE137" s="10"/>
      <c r="AF137" s="10"/>
      <c r="AG137" s="10"/>
      <c r="AH137" s="10"/>
      <c r="AI137" s="10"/>
      <c r="AJ137" s="10"/>
      <c r="AK137" s="10"/>
      <c r="AL137" s="10"/>
      <c r="AM137" s="10"/>
      <c r="AN137" s="10"/>
      <c r="AO137" s="10"/>
    </row>
    <row r="138" spans="1:41" ht="14.25" customHeight="1" x14ac:dyDescent="0.25">
      <c r="A138" s="972">
        <f>IF(A137=2,2,0)</f>
        <v>2</v>
      </c>
      <c r="B138" s="16"/>
      <c r="C138" s="130"/>
      <c r="D138" s="520"/>
      <c r="E138" s="1180" t="s">
        <v>167</v>
      </c>
      <c r="F138" s="1857"/>
      <c r="G138" s="1857"/>
      <c r="H138" s="1857"/>
      <c r="I138" s="1857"/>
      <c r="J138" s="1857"/>
      <c r="K138" s="1004"/>
      <c r="L138" s="1152"/>
      <c r="M138" s="74"/>
      <c r="N138" s="32"/>
      <c r="O138" s="32"/>
      <c r="P138" s="32"/>
      <c r="Q138" s="32"/>
      <c r="R138" s="32"/>
      <c r="S138" s="32"/>
      <c r="T138" s="10"/>
      <c r="U138" s="10"/>
      <c r="V138" s="10"/>
      <c r="W138" s="10"/>
      <c r="X138" s="10"/>
      <c r="Y138" s="10"/>
      <c r="Z138" s="10"/>
      <c r="AA138" s="10"/>
      <c r="AB138" s="10"/>
      <c r="AC138" s="10"/>
      <c r="AD138" s="10"/>
      <c r="AE138" s="10"/>
      <c r="AF138" s="10"/>
      <c r="AG138" s="10"/>
      <c r="AH138" s="10"/>
      <c r="AI138" s="10"/>
      <c r="AJ138" s="10"/>
      <c r="AK138" s="10"/>
      <c r="AL138" s="10"/>
      <c r="AM138" s="10"/>
      <c r="AN138" s="10"/>
      <c r="AO138" s="10"/>
    </row>
    <row r="139" spans="1:41" ht="14.25" customHeight="1" x14ac:dyDescent="0.25">
      <c r="A139" s="972">
        <f>IF(A138=2,2,0)</f>
        <v>2</v>
      </c>
      <c r="B139" s="16"/>
      <c r="C139" s="130"/>
      <c r="D139" s="520"/>
      <c r="E139" s="1180" t="str">
        <f>CONCATENATE("Enter $/",dpUnit_Land," Adj.")</f>
        <v>Enter $/per Usable Square Foot Adj.</v>
      </c>
      <c r="F139" s="1858"/>
      <c r="G139" s="1858"/>
      <c r="H139" s="1858"/>
      <c r="I139" s="1858"/>
      <c r="J139" s="1858"/>
      <c r="K139" s="1005"/>
      <c r="L139" s="1153"/>
      <c r="M139" s="74"/>
      <c r="N139" s="32"/>
      <c r="O139" s="32"/>
      <c r="P139" s="32"/>
      <c r="Q139" s="32"/>
      <c r="R139" s="32"/>
      <c r="S139" s="32"/>
      <c r="T139" s="10"/>
      <c r="U139" s="10"/>
      <c r="V139" s="10"/>
      <c r="W139" s="10"/>
      <c r="X139" s="10"/>
      <c r="Y139" s="10"/>
      <c r="Z139" s="10"/>
      <c r="AA139" s="10"/>
      <c r="AB139" s="10"/>
      <c r="AC139" s="10"/>
      <c r="AD139" s="10"/>
      <c r="AE139" s="10"/>
      <c r="AF139" s="10"/>
      <c r="AG139" s="10"/>
      <c r="AH139" s="10"/>
      <c r="AI139" s="10"/>
      <c r="AJ139" s="10"/>
      <c r="AK139" s="10"/>
      <c r="AL139" s="10"/>
      <c r="AM139" s="10"/>
      <c r="AN139" s="10"/>
      <c r="AO139" s="10"/>
    </row>
    <row r="140" spans="1:41" ht="14.25" customHeight="1" x14ac:dyDescent="0.25">
      <c r="A140" s="972">
        <f>IF(Land_AdjType_2="Qualitative",0,1)</f>
        <v>1</v>
      </c>
      <c r="B140" s="16"/>
      <c r="C140" s="130"/>
      <c r="D140" s="520" t="str">
        <f>IF(Land_AdjType&lt;&gt;"Qualitative","Net Physical Adjustment","Net Relative Comparison")</f>
        <v>Net Physical Adjustment</v>
      </c>
      <c r="E140" s="765"/>
      <c r="F140" s="1869">
        <f t="shared" ref="F140:K140" si="45">IF(Land_AdjType_2&lt;&gt;"Qualitative",SUM(F67,F74,F80,F86,F94,F100,F106,F112,F118,F124,F130,F136),SUM(F63,F71,F78,F84,F90,F98,F104,F110,F116,F128,F134))</f>
        <v>0</v>
      </c>
      <c r="G140" s="1869">
        <f t="shared" si="45"/>
        <v>0</v>
      </c>
      <c r="H140" s="1869">
        <f t="shared" si="45"/>
        <v>0</v>
      </c>
      <c r="I140" s="1869">
        <f t="shared" si="45"/>
        <v>0</v>
      </c>
      <c r="J140" s="1869">
        <f t="shared" si="45"/>
        <v>0</v>
      </c>
      <c r="K140" s="1234">
        <f t="shared" si="45"/>
        <v>0</v>
      </c>
      <c r="L140" s="763"/>
      <c r="M140" s="74"/>
      <c r="N140" s="32"/>
      <c r="O140" s="32"/>
      <c r="P140" s="32"/>
      <c r="Q140" s="32"/>
      <c r="R140" s="32"/>
      <c r="S140" s="32"/>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row>
    <row r="141" spans="1:41" ht="14.25" customHeight="1" x14ac:dyDescent="0.25">
      <c r="A141" s="972">
        <v>0</v>
      </c>
      <c r="B141" s="4"/>
      <c r="C141" s="101"/>
      <c r="D141" s="520" t="str">
        <f>IF(Land_AdjType&lt;&gt;"Qualitative","Gross Physical Adjustment","Gross Relative Comparison")</f>
        <v>Gross Physical Adjustment</v>
      </c>
      <c r="E141" s="137"/>
      <c r="F141" s="1855">
        <f t="shared" ref="F141:K141" si="46">IF(Land_AdjType_2&lt;&gt;"Qualitative",SUM(ABS(F67),ABS(F74),ABS(F80),ABS(F86),ABS(F94),ABS(F100),ABS(F106),ABS(F112),ABS(F118),ABS(F124),ABS(F130),ABS(F136)),SUM(ABS(F63),ABS(F71),ABS(F78),ABS(F84),ABS(F90),ABS(F98),ABS(F104),ABS(F110),ABS(F116),ABS(F128),ABS(F134)))</f>
        <v>0</v>
      </c>
      <c r="G141" s="1855">
        <f t="shared" si="46"/>
        <v>0</v>
      </c>
      <c r="H141" s="1855">
        <f t="shared" si="46"/>
        <v>0</v>
      </c>
      <c r="I141" s="1855">
        <f t="shared" si="46"/>
        <v>0</v>
      </c>
      <c r="J141" s="1855">
        <f t="shared" si="46"/>
        <v>0</v>
      </c>
      <c r="K141" s="1150">
        <f t="shared" si="46"/>
        <v>0</v>
      </c>
      <c r="L141" s="763"/>
      <c r="M141" s="74"/>
      <c r="N141" s="32"/>
      <c r="O141" s="32"/>
      <c r="P141" s="32"/>
      <c r="Q141" s="32"/>
      <c r="R141" s="32"/>
      <c r="S141" s="32"/>
      <c r="T141" s="10"/>
      <c r="U141" s="10"/>
      <c r="V141" s="10"/>
      <c r="W141" s="10"/>
      <c r="X141" s="10"/>
      <c r="Y141" s="10"/>
      <c r="Z141" s="10"/>
      <c r="AA141" s="10"/>
      <c r="AB141" s="10"/>
      <c r="AC141" s="10"/>
      <c r="AD141" s="10"/>
      <c r="AE141" s="10"/>
      <c r="AF141" s="10"/>
      <c r="AG141" s="10"/>
      <c r="AH141" s="10"/>
      <c r="AI141" s="10"/>
      <c r="AJ141" s="10"/>
      <c r="AK141" s="10"/>
      <c r="AL141" s="10"/>
      <c r="AM141" s="10"/>
      <c r="AN141" s="10"/>
      <c r="AO141" s="10"/>
    </row>
    <row r="142" spans="1:41" ht="14.25" customHeight="1" x14ac:dyDescent="0.25">
      <c r="A142" s="972">
        <f>IF(Land_AdjType_2="Qualitative",1,0)</f>
        <v>0</v>
      </c>
      <c r="B142" s="16"/>
      <c r="C142" s="130"/>
      <c r="D142" s="1497" t="s">
        <v>1128</v>
      </c>
      <c r="E142" s="765"/>
      <c r="F142" s="1870" t="str">
        <f t="shared" ref="F142:K142" si="47">IF(SUM(F63,F71,F78,F84,F90,F98,F104,F110,F116,F122,F128,F134)&gt;0,"Inferior",IF(SUM(F63,F71,F78,F84,F90,F98,F104,F110,F116,F122,F128,F134)&lt;0,"Superior","Similar"))</f>
        <v>Similar</v>
      </c>
      <c r="G142" s="1870" t="str">
        <f t="shared" si="47"/>
        <v>Similar</v>
      </c>
      <c r="H142" s="1870" t="str">
        <f t="shared" si="47"/>
        <v>Similar</v>
      </c>
      <c r="I142" s="1870" t="str">
        <f t="shared" si="47"/>
        <v>Similar</v>
      </c>
      <c r="J142" s="1870" t="str">
        <f t="shared" si="47"/>
        <v>Similar</v>
      </c>
      <c r="K142" s="1203" t="str">
        <f t="shared" si="47"/>
        <v>Similar</v>
      </c>
      <c r="L142" s="1171"/>
      <c r="M142" s="74"/>
      <c r="N142" s="32"/>
      <c r="O142" s="32"/>
      <c r="P142" s="32"/>
      <c r="Q142" s="32"/>
      <c r="R142" s="32"/>
      <c r="S142" s="32"/>
      <c r="T142" s="10"/>
      <c r="U142" s="10"/>
      <c r="V142" s="10"/>
      <c r="W142" s="10"/>
      <c r="X142" s="10"/>
      <c r="Y142" s="10"/>
      <c r="Z142" s="10"/>
      <c r="AA142" s="10"/>
      <c r="AB142" s="10"/>
      <c r="AC142" s="10"/>
      <c r="AD142" s="10"/>
      <c r="AE142" s="10"/>
      <c r="AF142" s="10"/>
      <c r="AG142" s="10"/>
      <c r="AH142" s="10"/>
      <c r="AI142" s="10"/>
      <c r="AJ142" s="10"/>
      <c r="AK142" s="10"/>
      <c r="AL142" s="10"/>
      <c r="AM142" s="10"/>
      <c r="AN142" s="10"/>
      <c r="AO142" s="10"/>
    </row>
    <row r="143" spans="1:41" ht="20.100000000000001" customHeight="1" thickBot="1" x14ac:dyDescent="0.3">
      <c r="A143" s="972">
        <f>IF(Land_AdjType_2="Qualitative",0,1)</f>
        <v>1</v>
      </c>
      <c r="B143" s="16"/>
      <c r="C143" s="130"/>
      <c r="D143" s="1504" t="str">
        <f>CONCATENATE("Adjusted Sales Price ",dpUnit_Land_2)</f>
        <v>Adjusted Sales Price per Usable Square Foot</v>
      </c>
      <c r="E143" s="1173"/>
      <c r="F143" s="1871" t="e">
        <f t="shared" ref="F143:K143" si="48">IF(Land_AdjType_2="Percent",F62*(1+F140),IF(Land_AdjType_2="$ per Unit",F62+F140,""))</f>
        <v>#DIV/0!</v>
      </c>
      <c r="G143" s="1871" t="e">
        <f t="shared" si="48"/>
        <v>#DIV/0!</v>
      </c>
      <c r="H143" s="1871" t="e">
        <f t="shared" si="48"/>
        <v>#DIV/0!</v>
      </c>
      <c r="I143" s="1871" t="e">
        <f t="shared" si="48"/>
        <v>#DIV/0!</v>
      </c>
      <c r="J143" s="1871" t="e">
        <f t="shared" si="48"/>
        <v>#DIV/0!</v>
      </c>
      <c r="K143" s="2866" t="e">
        <f t="shared" si="48"/>
        <v>#DIV/0!</v>
      </c>
      <c r="L143" s="1172"/>
      <c r="M143" s="74"/>
      <c r="N143" s="32"/>
      <c r="O143" s="32"/>
      <c r="P143" s="32"/>
      <c r="Q143" s="32"/>
      <c r="R143" s="32"/>
      <c r="S143" s="32"/>
      <c r="T143" s="10"/>
      <c r="U143" s="10"/>
      <c r="V143" s="10"/>
      <c r="W143" s="10"/>
      <c r="X143" s="10"/>
      <c r="Y143" s="10"/>
      <c r="Z143" s="10"/>
      <c r="AA143" s="10"/>
      <c r="AB143" s="10"/>
      <c r="AC143" s="10"/>
      <c r="AD143" s="10"/>
      <c r="AE143" s="10"/>
      <c r="AF143" s="10"/>
      <c r="AG143" s="10"/>
      <c r="AH143" s="10"/>
      <c r="AI143" s="10"/>
      <c r="AJ143" s="10"/>
      <c r="AK143" s="10"/>
      <c r="AL143" s="10"/>
      <c r="AM143" s="10"/>
      <c r="AN143" s="10"/>
      <c r="AO143" s="10"/>
    </row>
    <row r="144" spans="1:41" ht="14.25" customHeight="1" thickBot="1" x14ac:dyDescent="0.3">
      <c r="A144" s="972">
        <v>1</v>
      </c>
      <c r="B144" s="95"/>
      <c r="C144" s="75"/>
      <c r="D144" s="552" t="s">
        <v>1556</v>
      </c>
      <c r="E144" s="78"/>
      <c r="F144" s="1872"/>
      <c r="G144" s="1872"/>
      <c r="H144" s="1872"/>
      <c r="I144" s="1872"/>
      <c r="J144" s="1872"/>
      <c r="K144" s="836"/>
      <c r="L144" s="78"/>
      <c r="M144" s="76"/>
      <c r="N144" s="32"/>
      <c r="O144" s="32"/>
      <c r="P144" s="32"/>
      <c r="Q144" s="32"/>
      <c r="R144" s="32"/>
      <c r="S144" s="32"/>
      <c r="T144" s="10"/>
      <c r="U144" s="10"/>
      <c r="V144" s="10"/>
      <c r="W144" s="10"/>
      <c r="X144" s="10"/>
      <c r="Y144" s="10"/>
      <c r="Z144" s="10"/>
      <c r="AA144" s="10"/>
      <c r="AB144" s="10"/>
      <c r="AC144" s="10"/>
      <c r="AD144" s="10"/>
      <c r="AE144" s="10"/>
      <c r="AF144" s="10"/>
      <c r="AG144" s="10"/>
      <c r="AH144" s="10"/>
      <c r="AI144" s="10"/>
      <c r="AJ144" s="10"/>
      <c r="AK144" s="10"/>
      <c r="AL144" s="10"/>
      <c r="AM144" s="10"/>
      <c r="AN144" s="10"/>
      <c r="AO144" s="10"/>
    </row>
    <row r="145" spans="1:41" ht="15" customHeight="1" x14ac:dyDescent="0.25">
      <c r="A145" s="972">
        <v>1</v>
      </c>
      <c r="B145" s="11"/>
      <c r="C145" s="42"/>
      <c r="D145" s="569"/>
      <c r="E145" s="54"/>
      <c r="F145" s="1873"/>
      <c r="G145" s="1873"/>
      <c r="H145" s="1873"/>
      <c r="I145" s="1873"/>
      <c r="J145" s="1873"/>
      <c r="K145" s="810"/>
      <c r="L145" s="54"/>
      <c r="M145" s="42"/>
      <c r="N145" s="32"/>
      <c r="O145" s="561"/>
      <c r="P145" s="562"/>
      <c r="Q145" s="562"/>
      <c r="R145" s="562"/>
      <c r="S145" s="562"/>
      <c r="T145" s="2"/>
      <c r="U145" s="2"/>
      <c r="V145" s="2"/>
      <c r="W145" s="2"/>
      <c r="X145" s="2"/>
      <c r="Y145" s="2"/>
      <c r="Z145" s="3"/>
      <c r="AA145" s="10"/>
      <c r="AB145" s="10"/>
      <c r="AC145" s="10"/>
      <c r="AD145" s="10"/>
      <c r="AE145" s="1"/>
      <c r="AF145" s="2"/>
      <c r="AG145" s="2"/>
      <c r="AH145" s="123"/>
      <c r="AI145" s="2"/>
      <c r="AJ145" s="2"/>
      <c r="AK145" s="3"/>
      <c r="AL145" s="10"/>
      <c r="AM145" s="10"/>
      <c r="AN145" s="10"/>
      <c r="AO145" s="10"/>
    </row>
    <row r="146" spans="1:41" ht="16.5" customHeight="1" x14ac:dyDescent="0.3">
      <c r="A146" s="977">
        <v>1</v>
      </c>
      <c r="B146" s="336"/>
      <c r="C146" s="570"/>
      <c r="D146" s="571"/>
      <c r="E146" s="572"/>
      <c r="F146" s="1874"/>
      <c r="G146" s="1874"/>
      <c r="H146" s="1874"/>
      <c r="I146" s="1874"/>
      <c r="J146" s="1874"/>
      <c r="K146" s="1007"/>
      <c r="L146" s="572"/>
      <c r="M146" s="570"/>
      <c r="N146" s="566"/>
      <c r="O146" s="567"/>
      <c r="P146" s="246"/>
      <c r="Q146" s="568" t="str">
        <f>CONCATENATE("Land Sale Statistics - ",dpLand_TractNameB2)</f>
        <v xml:space="preserve">Land Sale Statistics - </v>
      </c>
      <c r="R146" s="568"/>
      <c r="S146" s="568"/>
      <c r="T146" s="246"/>
      <c r="U146" s="246"/>
      <c r="V146" s="246"/>
      <c r="W146" s="246"/>
      <c r="X146" s="246"/>
      <c r="Y146" s="246"/>
      <c r="Z146" s="338"/>
      <c r="AA146" s="129"/>
      <c r="AB146" s="129"/>
      <c r="AC146" s="129"/>
      <c r="AD146" s="129"/>
      <c r="AE146" s="4"/>
      <c r="AF146" s="1080"/>
      <c r="AG146" s="246" t="s">
        <v>1619</v>
      </c>
      <c r="AH146" s="19"/>
      <c r="AI146" s="5"/>
      <c r="AJ146" s="5"/>
      <c r="AK146" s="6"/>
      <c r="AL146" s="129"/>
      <c r="AM146" s="129"/>
      <c r="AN146" s="129"/>
      <c r="AO146" s="129"/>
    </row>
    <row r="147" spans="1:41" ht="15" customHeight="1" x14ac:dyDescent="0.25">
      <c r="A147" s="972">
        <v>1</v>
      </c>
      <c r="B147" s="11"/>
      <c r="C147" s="42"/>
      <c r="D147" s="569"/>
      <c r="E147" s="54"/>
      <c r="F147" s="1873"/>
      <c r="G147" s="1873"/>
      <c r="H147" s="1873"/>
      <c r="I147" s="1873"/>
      <c r="J147" s="1873"/>
      <c r="K147" s="810"/>
      <c r="L147" s="54"/>
      <c r="M147" s="42"/>
      <c r="N147" s="32"/>
      <c r="O147" s="563"/>
      <c r="P147" s="150"/>
      <c r="Q147" s="12" t="s">
        <v>942</v>
      </c>
      <c r="R147" s="12"/>
      <c r="S147" s="12"/>
      <c r="T147" s="55" t="s">
        <v>655</v>
      </c>
      <c r="U147" s="55"/>
      <c r="V147" s="55" t="s">
        <v>1370</v>
      </c>
      <c r="W147" s="55"/>
      <c r="X147" s="55" t="s">
        <v>128</v>
      </c>
      <c r="Y147" s="150"/>
      <c r="Z147" s="6"/>
      <c r="AA147" s="10"/>
      <c r="AB147" s="10"/>
      <c r="AC147" s="10"/>
      <c r="AD147" s="10"/>
      <c r="AE147" s="4"/>
      <c r="AF147" s="12"/>
      <c r="AG147" s="12" t="s">
        <v>232</v>
      </c>
      <c r="AH147" s="55"/>
      <c r="AI147" s="55" t="s">
        <v>331</v>
      </c>
      <c r="AJ147" s="12"/>
      <c r="AK147" s="6"/>
      <c r="AL147" s="10"/>
      <c r="AM147" s="10"/>
      <c r="AN147" s="10"/>
      <c r="AO147" s="10"/>
    </row>
    <row r="148" spans="1:41" ht="14.25" customHeight="1" x14ac:dyDescent="0.25">
      <c r="A148" s="972">
        <v>1</v>
      </c>
      <c r="B148" s="11"/>
      <c r="C148" s="42"/>
      <c r="D148" s="569"/>
      <c r="E148" s="54"/>
      <c r="F148" s="1873"/>
      <c r="G148" s="1873"/>
      <c r="H148" s="1873"/>
      <c r="I148" s="1873"/>
      <c r="J148" s="1873"/>
      <c r="K148" s="810"/>
      <c r="L148" s="54"/>
      <c r="M148" s="42"/>
      <c r="N148" s="32"/>
      <c r="O148" s="563"/>
      <c r="P148" s="114"/>
      <c r="Q148" s="130" t="str">
        <f>CONCATENATE("Minimum Sales Price ",dpUnit_Land_2)</f>
        <v>Minimum Sales Price per Usable Square Foot</v>
      </c>
      <c r="R148" s="130"/>
      <c r="S148" s="130"/>
      <c r="T148" s="1174" t="e">
        <f>IF(dpUnit_Land_2="per Usable Acre",TEXT(MIN(Land_UnAdjustedRange_Usable_Per_Acre_2),"$#,000"),IF(dpUnit_Land_2="per Usable Square Foot",TEXT(MIN(Land_UnAdjustedRange_Usable_PSF_2),"$0.00"),IF(dpUnit_Land_2="per Gross Acre",TEXT(MIN(Land_UnAdjustedRange_Gross_Per_Acre_2),"$#,000"),IF(dpUnit_Land_2="per Gross Square Foot",TEXT(MIN(Land_UnAdjustedRange_Gross_PSF_2),"$0.00"),IF(dpUnit_Land_2="per Front Foot",TEXT(MIN(Land_UnAdjustedRange_Front_Foot_2),"$#,000"),IF(dpUnit_Land_2="per Proposed Square Foot",TEXT(MIN(Land_UnAdjustedRange_Proposed_SF_2),"$0.00"),IF(dpUnit_Land_2="per Lot",TEXT(MIN(Land_UnAdjustedRange_Lot_2),"$#,##0"),TEXT(MIN(Land_UnAdjustedRange_Unit_2),"$#,##0"))))))))</f>
        <v>#DIV/0!</v>
      </c>
      <c r="U148" s="1174"/>
      <c r="V148" s="1180" t="e">
        <f>IF(OR(dpUnit_Land_2="per Usable Square Foot",dpUnit_Land_2="per Gross Square Foot",dpUnit_Land_2="per Proposed Square Foot"),TEXT(MIN(Land_AdjPrice2_2),"$0.00"),TEXT(MIN(Land_AdjPrice2_2),"$#,000"))</f>
        <v>#DIV/0!</v>
      </c>
      <c r="W148" s="1180"/>
      <c r="X148" s="1180" t="e">
        <f>IF(Land_AdjType_2="Qualitative","N/A",IF(OR(dpUnit_Land_2="per Usable Square Foot",dpUnit_Land_2="per Gross Square Foot",dpUnit_Land_2="per Proposed Square Foot"),TEXT(MIN(Land_FinalAdjustedRange_2),"$0.00"),TEXT(MIN(Land_FinalAdjustedRange_2),"$#,000")))</f>
        <v>#DIV/0!</v>
      </c>
      <c r="Y148" s="101"/>
      <c r="Z148" s="6"/>
      <c r="AA148" s="10"/>
      <c r="AB148" s="10"/>
      <c r="AC148" s="10"/>
      <c r="AD148" s="10"/>
      <c r="AE148" s="4"/>
      <c r="AF148" s="101"/>
      <c r="AG148" s="1278" t="s">
        <v>1620</v>
      </c>
      <c r="AH148" s="1704"/>
      <c r="AI148" s="1904">
        <f>Subject_GBA</f>
        <v>220514</v>
      </c>
      <c r="AJ148" s="101"/>
      <c r="AK148" s="6"/>
      <c r="AL148" s="10"/>
      <c r="AM148" s="10"/>
      <c r="AN148" s="10"/>
      <c r="AO148" s="10"/>
    </row>
    <row r="149" spans="1:41" ht="14.25" customHeight="1" x14ac:dyDescent="0.25">
      <c r="A149" s="972">
        <v>1</v>
      </c>
      <c r="B149" s="11"/>
      <c r="C149" s="42"/>
      <c r="D149" s="569"/>
      <c r="E149" s="54"/>
      <c r="F149" s="1873"/>
      <c r="G149" s="1873"/>
      <c r="H149" s="1873"/>
      <c r="I149" s="1873"/>
      <c r="J149" s="1873"/>
      <c r="K149" s="810"/>
      <c r="L149" s="54"/>
      <c r="M149" s="42"/>
      <c r="N149" s="32"/>
      <c r="O149" s="563"/>
      <c r="P149" s="114"/>
      <c r="Q149" s="130" t="str">
        <f>CONCATENATE("Maximum Sales Price ",dpUnit_Land_2)</f>
        <v>Maximum Sales Price per Usable Square Foot</v>
      </c>
      <c r="R149" s="130"/>
      <c r="S149" s="130"/>
      <c r="T149" s="1174" t="e">
        <f>IF(dpUnit_Land_2="per Usable Acre",TEXT(MAX(Land_UnAdjustedRange_Usable_Per_Acre_2),"$#,000"),IF(dpUnit_Land_2="per Usable Square Foot",TEXT(MAX(Land_UnAdjustedRange_Usable_PSF_2),"$0.00"),IF(dpUnit_Land_2="per Gross Acre",TEXT(MAX(Land_UnAdjustedRange_Gross_Per_Acre_2),"$#,000"),IF(dpUnit_Land_2="per Gross Square Foot",TEXT(MAX(Land_UnAdjustedRange_Gross_PSF_2),"$0.00"),IF(dpUnit_Land_2="per Front Foot",TEXT(MAX(Land_UnAdjustedRange_Front_Foot_2),"$#,000"),IF(dpUnit_Land_2="per Proposed Square Foot",TEXT(MAX(Land_UnAdjustedRange_Proposed_SF_2),"$0.00"),IF(dpUnit_Land_2="per Lot",TEXT(MAX(Land_UnAdjustedRange_Lot_2),"$#,##0"),TEXT(MAX(Land_UnAdjustedRange_Unit_2),"$#,##0"))))))))</f>
        <v>#DIV/0!</v>
      </c>
      <c r="U149" s="1174"/>
      <c r="V149" s="1180" t="e">
        <f>IF(OR(dpUnit_Land_2="per Usable Square Foot",dpUnit_Land_2="per Gross Square Foot",dpUnit_Land_2="per Proposed Square Foot"),TEXT(MAX(Land_AdjPrice2_2),"$0.00"),TEXT(MAX(Land_AdjPrice2_2),"$#,000"))</f>
        <v>#DIV/0!</v>
      </c>
      <c r="W149" s="1180"/>
      <c r="X149" s="1180" t="e">
        <f>IF(Land_AdjType_2="Qualitative","N/A",IF(OR(dpUnit_Land_2="Per Usable Square Foot",dpUnit_Land_2="Per Gross Square Foot",dpUnit_Land_2="per Proposed Square Foot"),TEXT(MAX(Land_FinalAdjustedRange_2),"$0.00"),TEXT(MAX(Land_FinalAdjustedRange_2),"$#,000")))</f>
        <v>#DIV/0!</v>
      </c>
      <c r="Y149" s="101"/>
      <c r="Z149" s="6"/>
      <c r="AA149" s="10"/>
      <c r="AB149" s="10"/>
      <c r="AC149" s="10"/>
      <c r="AD149" s="10"/>
      <c r="AE149" s="4"/>
      <c r="AF149" s="101"/>
      <c r="AG149" s="1278" t="s">
        <v>1621</v>
      </c>
      <c r="AH149" s="1704" t="s">
        <v>176</v>
      </c>
      <c r="AI149" s="1905">
        <v>3</v>
      </c>
      <c r="AJ149" s="101"/>
      <c r="AK149" s="6"/>
      <c r="AL149" s="10"/>
      <c r="AM149" s="10"/>
      <c r="AN149" s="10"/>
      <c r="AO149" s="10"/>
    </row>
    <row r="150" spans="1:41" ht="14.25" customHeight="1" thickBot="1" x14ac:dyDescent="0.3">
      <c r="A150" s="972">
        <v>1</v>
      </c>
      <c r="B150" s="11"/>
      <c r="C150" s="42"/>
      <c r="D150" s="569"/>
      <c r="E150" s="54"/>
      <c r="F150" s="1873"/>
      <c r="G150" s="1873"/>
      <c r="H150" s="1873"/>
      <c r="I150" s="1873"/>
      <c r="J150" s="1873"/>
      <c r="K150" s="810"/>
      <c r="L150" s="54"/>
      <c r="M150" s="42"/>
      <c r="N150" s="32"/>
      <c r="O150" s="563"/>
      <c r="P150" s="114"/>
      <c r="Q150" s="130" t="str">
        <f>CONCATENATE("Median Sales Price ",dpUnit_Land_2)</f>
        <v>Median Sales Price per Usable Square Foot</v>
      </c>
      <c r="R150" s="130"/>
      <c r="S150" s="130"/>
      <c r="T150" s="1174" t="e">
        <f>IF(dpUnit_Land_2="per Usable Acre",TEXT(MEDIAN(Land_UnAdjustedRange_Usable_Per_Acre_2),"$#,000"),IF(dpUnit_Land_2="per Usable Square Foot",TEXT(MEDIAN(Land_UnAdjustedRange_Usable_PSF_2),"$0.00"),IF(dpUnit_Land_2="per Gross Acre",TEXT(MEDIAN(Land_UnAdjustedRange_Gross_Per_Acre_2),"$#,000"),IF(dpUnit_Land_2="per Gross Square Foot",TEXT(MEDIAN(Land_UnAdjustedRange_Gross_PSF_2),"$0.00"),IF(dpUnit_Land_2="per Front Foot",TEXT(MEDIAN(Land_UnAdjustedRange_Front_Foot_2),"$#,000"),IF(dpUnit_Land_2="per Proposed Square Foot",TEXT(MEDIAN(Land_UnAdjustedRange_Proposed_SF_2),"$0.00"),IF(dpUnit_Land_2="per Lot",TEXT(MEDIAN(Land_UnAdjustedRange_Lot_2),"$#,##0"),TEXT(MEDIAN(Land_UnAdjustedRange_Unit_2),"$#,##0"))))))))</f>
        <v>#DIV/0!</v>
      </c>
      <c r="U150" s="1174"/>
      <c r="V150" s="1180" t="e">
        <f>IF(OR(dpUnit_Land_2="per Usable Square Foot",dpUnit_Land_2="per Gross Square Foot",dpUnit_Land_2="per Proposed Square Foot"),TEXT(MEDIAN(Land_AdjPrice2_2),"$0.00"),TEXT(MEDIAN(Land_AdjPrice2_2),"$#,000"))</f>
        <v>#DIV/0!</v>
      </c>
      <c r="W150" s="1180"/>
      <c r="X150" s="1180" t="e">
        <f>IF(Land_AdjType_2="Qualitative","N/A",IF(OR(dpUnit_Land_2="Per Usable Square Foot",dpUnit_Land_2="Per Gross Square Foot",dpUnit_Land_2="per Proposed Square Foot"),TEXT(MEDIAN(Land_FinalAdjustedRange_2),"$0.00"),TEXT(MEDIAN(Land_FinalAdjustedRange_2),"$#,000")))</f>
        <v>#DIV/0!</v>
      </c>
      <c r="Y150" s="101"/>
      <c r="Z150" s="6"/>
      <c r="AA150" s="10"/>
      <c r="AB150" s="10"/>
      <c r="AC150" s="10"/>
      <c r="AD150" s="10"/>
      <c r="AE150" s="4"/>
      <c r="AF150" s="101"/>
      <c r="AG150" s="1713" t="s">
        <v>1622</v>
      </c>
      <c r="AH150" s="1715" t="s">
        <v>176</v>
      </c>
      <c r="AI150" s="1907">
        <v>1.1499999999999999</v>
      </c>
      <c r="AJ150" s="101"/>
      <c r="AK150" s="6"/>
      <c r="AL150" s="10"/>
      <c r="AM150" s="10"/>
      <c r="AN150" s="10"/>
      <c r="AO150" s="10"/>
    </row>
    <row r="151" spans="1:41" ht="14.25" customHeight="1" thickBot="1" x14ac:dyDescent="0.3">
      <c r="A151" s="972">
        <v>1</v>
      </c>
      <c r="B151" s="11"/>
      <c r="C151" s="42"/>
      <c r="D151" s="569"/>
      <c r="E151" s="54"/>
      <c r="F151" s="1873"/>
      <c r="G151" s="1873"/>
      <c r="H151" s="1873"/>
      <c r="I151" s="1873"/>
      <c r="J151" s="1873"/>
      <c r="K151" s="810"/>
      <c r="L151" s="54"/>
      <c r="M151" s="42"/>
      <c r="N151" s="32"/>
      <c r="O151" s="563"/>
      <c r="P151" s="114"/>
      <c r="Q151" s="99" t="str">
        <f>CONCATENATE("Mean Sales Price ",dpUnit_Land_2)</f>
        <v>Mean Sales Price per Usable Square Foot</v>
      </c>
      <c r="R151" s="99"/>
      <c r="S151" s="99"/>
      <c r="T151" s="1175" t="e">
        <f>IF(dpUnit_Land_2="per Usable Acre",TEXT(AVERAGE(Land_UnAdjustedRange_Usable_Per_Acre_2),"$#,000"),IF(dpUnit_Land_2="per Usable Square Foot",TEXT(AVERAGE(Land_UnAdjustedRange_Usable_PSF_2),"$0.00"),IF(dpUnit_Land_2="per Gross Acre",TEXT(AVERAGE(Land_UnAdjustedRange_Gross_Per_Acre_2),"$#,000"),IF(dpUnit_Land_2="per Gross Square Foot",TEXT(AVERAGE(Land_UnAdjustedRange_Gross_PSF_2),"$0.00"),IF(dpUnit_Land_2="per Front Foot",TEXT(AVERAGE(Land_UnAdjustedRange_Front_Foot_2),"$#,000"),IF(dpUnit_Land_2="per Proposed Square Foot",TEXT(AVERAGE(Land_UnAdjustedRange_Proposed_SF_2),"$0.00"),IF(dpUnit_Land_2="per Lot",TEXT(AVERAGE(Land_UnAdjustedRange_Lot_2),"$#,##0"),TEXT(AVERAGE(Land_UnAdjustedRange_Unit_2),"$#,##0"))))))))</f>
        <v>#DIV/0!</v>
      </c>
      <c r="U151" s="1175"/>
      <c r="V151" s="1633" t="e">
        <f>IF(OR(dpUnit_Land_2="per Usable Square Foot",dpUnit_Land_2="per Gross Square Foot",dpUnit_Land_2="per Proposed Square Foot"),TEXT(AVERAGE(Land_AdjPrice2_2),"$0.00"),TEXT(AVERAGE(Land_AdjPrice2_2),"$#,000"))</f>
        <v>#DIV/0!</v>
      </c>
      <c r="W151" s="1633"/>
      <c r="X151" s="1633" t="e">
        <f>IF(Land_AdjType_2="Qualitative","N/A",IF(OR(dpUnit_Land_2="Per Usable Square Foot",dpUnit_Land_2="Per Gross Square Foot",dpUnit_Land_2="per Proposed Square Foot"),TEXT(AVERAGE(Land_FinalAdjustedRange_2),"$0.00"),TEXT(AVERAGE(Land_FinalAdjustedRange_2),"$#,000")))</f>
        <v>#DIV/0!</v>
      </c>
      <c r="Y151" s="101"/>
      <c r="Z151" s="6"/>
      <c r="AA151" s="10"/>
      <c r="AB151" s="10"/>
      <c r="AC151" s="10"/>
      <c r="AD151" s="10"/>
      <c r="AE151" s="4"/>
      <c r="AF151" s="101"/>
      <c r="AG151" s="1188" t="s">
        <v>1623</v>
      </c>
      <c r="AH151" s="1710"/>
      <c r="AI151" s="1213">
        <f>MROUND(AI148*AI149*AI150,INDEX(Rounding_Options,MATCH(AN151,Rounding_Label,0),2))</f>
        <v>760000</v>
      </c>
      <c r="AJ151" s="101"/>
      <c r="AK151" s="6"/>
      <c r="AL151" s="10"/>
      <c r="AM151" s="150" t="s">
        <v>991</v>
      </c>
      <c r="AN151" s="702" t="s">
        <v>1036</v>
      </c>
      <c r="AO151" s="10"/>
    </row>
    <row r="152" spans="1:41" ht="14.25" customHeight="1" thickBot="1" x14ac:dyDescent="0.3">
      <c r="A152" s="972">
        <v>1</v>
      </c>
      <c r="B152" s="11"/>
      <c r="C152" s="42"/>
      <c r="D152" s="569"/>
      <c r="E152" s="54"/>
      <c r="F152" s="1873"/>
      <c r="G152" s="1873"/>
      <c r="H152" s="1873"/>
      <c r="I152" s="1873"/>
      <c r="J152" s="1873"/>
      <c r="K152" s="810"/>
      <c r="L152" s="54"/>
      <c r="M152" s="42"/>
      <c r="N152" s="32"/>
      <c r="O152" s="563"/>
      <c r="P152" s="52"/>
      <c r="Q152" s="448" t="s">
        <v>958</v>
      </c>
      <c r="R152" s="18"/>
      <c r="S152" s="18"/>
      <c r="T152" s="892" t="e">
        <f>IF(dpUnit_Land_2="per Usable Acre",STDEV(Land_UnAdjustedRange_Usable_Per_Acre_2),IF(dpUnit_Land_2="per Usable Square Foot",STDEV(Land_UnAdjustedRange_Usable_PSF_2),IF(dpUnit_Land_2="per Gross Acre",STDEV(Land_UnAdjustedRange_Gross_Per_Acre_2),IF(dpUnit_Land_2="per Gross Square Foot",STDEV(Land_UnAdjustedRange_Gross_PSF_2),IF(dpUnit_Land_2="per Front Foot",STDEV(Land_UnAdjustedRange_Front_Foot_2),IF(dpUnit_Land_2="per Proposed Square Foot",STDEV(Land_UnAdjustedRange_Proposed_SF_2),IF(dpUnit_Land_2="per Lot",STDEV(Land_UnAdjustedRange_Lot_2),STDEV(Land_UnAdjustedRange_Unit_2))))))))</f>
        <v>#DIV/0!</v>
      </c>
      <c r="U152" s="892"/>
      <c r="V152" s="893" t="e">
        <f>IF(Land_AdjType_2="Qualitative","N/A",IF(OR(dpUnit_Land_2="per Usable Square Foot",dpUnit_Land_2="per Gross Square Foot"),STDEV(Land_AdjPrice2_2),STDEV(Land_AdjPrice2_2)))</f>
        <v>#DIV/0!</v>
      </c>
      <c r="W152" s="893"/>
      <c r="X152" s="893" t="e">
        <f>IF(Land_AdjType_2="Qualitative","N/A",IF(OR(dpUnit_Land_2="per Usable Square Foot",dpUnit_Land_2="per Gross Square Foot"),STDEV(Land_FinalAdjustedRange_2),STDEV(Land_FinalAdjustedRange_2)))</f>
        <v>#DIV/0!</v>
      </c>
      <c r="Y152" s="5"/>
      <c r="Z152" s="6"/>
      <c r="AA152" s="10"/>
      <c r="AB152" s="10"/>
      <c r="AC152" s="10"/>
      <c r="AD152" s="10"/>
      <c r="AE152" s="8"/>
      <c r="AF152" s="7"/>
      <c r="AG152" s="552" t="s">
        <v>1625</v>
      </c>
      <c r="AH152" s="800"/>
      <c r="AI152" s="7"/>
      <c r="AJ152" s="7"/>
      <c r="AK152" s="9"/>
      <c r="AL152" s="10"/>
      <c r="AM152" s="10"/>
      <c r="AN152" s="10"/>
      <c r="AO152" s="10"/>
    </row>
    <row r="153" spans="1:41" ht="15" customHeight="1" thickBot="1" x14ac:dyDescent="0.3">
      <c r="A153" s="972">
        <v>1</v>
      </c>
      <c r="B153" s="11"/>
      <c r="C153" s="42"/>
      <c r="D153" s="569"/>
      <c r="E153" s="54"/>
      <c r="F153" s="1873"/>
      <c r="G153" s="1873"/>
      <c r="H153" s="1873"/>
      <c r="I153" s="1873"/>
      <c r="J153" s="1873"/>
      <c r="K153" s="810"/>
      <c r="L153" s="54"/>
      <c r="M153" s="42"/>
      <c r="N153" s="32"/>
      <c r="O153" s="564"/>
      <c r="P153" s="565"/>
      <c r="Q153" s="552" t="s">
        <v>1557</v>
      </c>
      <c r="R153" s="552"/>
      <c r="S153" s="552"/>
      <c r="T153" s="7"/>
      <c r="U153" s="7"/>
      <c r="V153" s="7"/>
      <c r="W153" s="7"/>
      <c r="X153" s="7"/>
      <c r="Y153" s="7"/>
      <c r="Z153" s="9"/>
      <c r="AA153" s="10"/>
      <c r="AB153" s="10"/>
      <c r="AC153" s="10"/>
      <c r="AD153" s="10"/>
      <c r="AE153" s="10"/>
      <c r="AF153" s="10"/>
      <c r="AG153" s="10"/>
      <c r="AH153" s="10"/>
      <c r="AI153" s="10"/>
      <c r="AJ153" s="10"/>
      <c r="AK153" s="10"/>
      <c r="AL153" s="10"/>
      <c r="AM153" s="10"/>
      <c r="AN153" s="10"/>
      <c r="AO153" s="10"/>
    </row>
    <row r="154" spans="1:41" ht="15" customHeight="1" thickBot="1" x14ac:dyDescent="0.3">
      <c r="A154" s="972">
        <v>1</v>
      </c>
      <c r="B154" s="10"/>
      <c r="C154" s="10"/>
      <c r="D154" s="10"/>
      <c r="E154" s="13"/>
      <c r="F154" s="1839"/>
      <c r="G154" s="1839"/>
      <c r="H154" s="1839"/>
      <c r="I154" s="1839"/>
      <c r="J154" s="1839"/>
      <c r="K154" s="37"/>
      <c r="L154" s="13"/>
      <c r="M154" s="10"/>
      <c r="N154" s="32"/>
      <c r="O154" s="32"/>
      <c r="P154" s="32"/>
      <c r="Q154" s="32"/>
      <c r="R154" s="32"/>
      <c r="S154" s="32"/>
      <c r="T154" s="10"/>
      <c r="U154" s="10"/>
      <c r="V154" s="10"/>
      <c r="W154" s="10"/>
      <c r="X154" s="10"/>
      <c r="Y154" s="10"/>
      <c r="Z154" s="10"/>
      <c r="AA154" s="10"/>
      <c r="AB154" s="10"/>
      <c r="AC154" s="10"/>
      <c r="AD154" s="10"/>
      <c r="AE154" s="10"/>
      <c r="AF154" s="10"/>
      <c r="AG154" s="10"/>
      <c r="AH154" s="10"/>
      <c r="AI154" s="10"/>
      <c r="AJ154" s="10"/>
      <c r="AK154" s="10"/>
      <c r="AL154" s="10"/>
      <c r="AM154" s="10"/>
      <c r="AN154" s="10"/>
      <c r="AO154" s="10"/>
    </row>
    <row r="155" spans="1:41" ht="15" customHeight="1" x14ac:dyDescent="0.25">
      <c r="A155" s="972">
        <v>1</v>
      </c>
      <c r="B155" s="10"/>
      <c r="C155" s="10"/>
      <c r="D155" s="10"/>
      <c r="E155" s="13"/>
      <c r="F155" s="1839"/>
      <c r="G155" s="1839"/>
      <c r="H155" s="1839"/>
      <c r="I155" s="1839"/>
      <c r="J155" s="1839"/>
      <c r="K155" s="37"/>
      <c r="L155" s="13"/>
      <c r="M155" s="10"/>
      <c r="N155" s="32"/>
      <c r="O155" s="1"/>
      <c r="P155" s="2"/>
      <c r="Q155" s="2"/>
      <c r="R155" s="2"/>
      <c r="S155" s="2"/>
      <c r="T155" s="202"/>
      <c r="U155" s="202"/>
      <c r="V155" s="202"/>
      <c r="W155" s="202"/>
      <c r="X155" s="202"/>
      <c r="Y155" s="202"/>
      <c r="Z155" s="3"/>
      <c r="AA155" s="10"/>
      <c r="AB155" s="10"/>
      <c r="AC155" s="10"/>
      <c r="AD155" s="10"/>
      <c r="AE155" s="10"/>
      <c r="AF155" s="10"/>
      <c r="AG155" s="10"/>
      <c r="AH155" s="10"/>
      <c r="AI155" s="10"/>
      <c r="AJ155" s="10"/>
      <c r="AK155" s="10"/>
      <c r="AL155" s="10"/>
      <c r="AM155" s="10"/>
      <c r="AN155" s="10"/>
      <c r="AO155" s="10"/>
    </row>
    <row r="156" spans="1:41" ht="16.5" customHeight="1" x14ac:dyDescent="0.3">
      <c r="A156" s="972">
        <v>1</v>
      </c>
      <c r="B156" s="10"/>
      <c r="C156" s="10"/>
      <c r="D156" s="10"/>
      <c r="E156" s="13"/>
      <c r="F156" s="1839"/>
      <c r="G156" s="1839"/>
      <c r="H156" s="1839"/>
      <c r="I156" s="1839"/>
      <c r="J156" s="1839"/>
      <c r="K156" s="37"/>
      <c r="L156" s="13"/>
      <c r="M156" s="10"/>
      <c r="N156" s="32"/>
      <c r="O156" s="4"/>
      <c r="P156" s="17"/>
      <c r="Q156" s="242" t="str">
        <f>CONCATENATE("Land Value Indication - ",dpLand_TractNameB2)</f>
        <v xml:space="preserve">Land Value Indication - </v>
      </c>
      <c r="R156" s="242"/>
      <c r="S156" s="242"/>
      <c r="T156" s="17"/>
      <c r="U156" s="17"/>
      <c r="V156" s="240"/>
      <c r="W156" s="17"/>
      <c r="X156" s="17"/>
      <c r="Y156" s="17"/>
      <c r="Z156" s="6"/>
      <c r="AA156" s="10"/>
      <c r="AB156" s="10"/>
      <c r="AC156" s="10"/>
      <c r="AD156" s="10"/>
      <c r="AE156" s="10"/>
      <c r="AF156" s="10"/>
      <c r="AG156" s="10"/>
      <c r="AH156" s="10"/>
      <c r="AI156" s="10"/>
      <c r="AJ156" s="10"/>
      <c r="AK156" s="10"/>
      <c r="AL156" s="10"/>
      <c r="AM156" s="10"/>
      <c r="AN156" s="10"/>
      <c r="AO156" s="10"/>
    </row>
    <row r="157" spans="1:41" ht="14.25" customHeight="1" x14ac:dyDescent="0.25">
      <c r="A157" s="972">
        <v>1</v>
      </c>
      <c r="B157" s="10"/>
      <c r="C157" s="10"/>
      <c r="D157" s="10"/>
      <c r="E157" s="13"/>
      <c r="F157" s="1839"/>
      <c r="G157" s="1839"/>
      <c r="H157" s="1839"/>
      <c r="I157" s="1839"/>
      <c r="J157" s="1839"/>
      <c r="K157" s="37"/>
      <c r="L157" s="13"/>
      <c r="M157" s="10"/>
      <c r="N157" s="32"/>
      <c r="O157" s="4"/>
      <c r="P157" s="101"/>
      <c r="Q157" s="717" t="str">
        <f>IF(AND(Subject_LandExcessAcres=0,Subject_LandSurplusAcres=0),"Reasonable Adjusted Comparable Range","Primary Site - Reasonable Adjusted Comparable Range")</f>
        <v>Reasonable Adjusted Comparable Range</v>
      </c>
      <c r="R157" s="717"/>
      <c r="S157" s="717"/>
      <c r="T157" s="137"/>
      <c r="U157" s="137"/>
      <c r="V157" s="241"/>
      <c r="W157" s="137"/>
      <c r="X157" s="137"/>
      <c r="Y157" s="137"/>
      <c r="Z157" s="6"/>
      <c r="AA157" s="10"/>
      <c r="AB157" s="10"/>
      <c r="AC157" s="10"/>
      <c r="AD157" s="10"/>
      <c r="AE157" s="10"/>
      <c r="AF157" s="10"/>
      <c r="AG157" s="10"/>
      <c r="AH157" s="10"/>
      <c r="AI157" s="10"/>
      <c r="AJ157" s="10"/>
      <c r="AK157" s="10"/>
      <c r="AL157" s="10"/>
      <c r="AM157" s="10"/>
      <c r="AN157" s="10"/>
      <c r="AO157" s="10"/>
    </row>
    <row r="158" spans="1:41" ht="14.25" customHeight="1" x14ac:dyDescent="0.25">
      <c r="A158" s="972">
        <v>1</v>
      </c>
      <c r="B158" s="10"/>
      <c r="C158" s="10"/>
      <c r="D158" s="10"/>
      <c r="E158" s="13"/>
      <c r="F158" s="1839"/>
      <c r="G158" s="1839"/>
      <c r="H158" s="1839"/>
      <c r="I158" s="1839"/>
      <c r="J158" s="1839"/>
      <c r="K158" s="37"/>
      <c r="L158" s="13"/>
      <c r="M158" s="10"/>
      <c r="N158" s="32"/>
      <c r="O158" s="4"/>
      <c r="P158" s="101"/>
      <c r="Q158" s="1533">
        <f>IF(LandUnitDisplay_2="Usable Acres",Subject_Land_UsableAcres_2,IF(LandUnitDisplay_2="Usable Square Feet",Subject_Land_UsableSF_2,IF(LandUnitDisplay_2="Gross Acres",Subject_Land_GrossAcres_2,IF(LandUnitDisplay_2="Gross Square Feet",Subject_Land_GrossSF_2,IF(LandUnitDisplay_2="Front Feet",Subject_Land_FrontageFeet_2,IF(LandUnitDisplay_2="Proposed square foot",Subject_Land_ProposedSF_2,IF(LandUnitDisplay_2="Lots",Subject_Land_Lots_2,Subject_Land_ProposedUnits_2)))))))</f>
        <v>0</v>
      </c>
      <c r="R158" s="1533"/>
      <c r="S158" s="137" t="s">
        <v>176</v>
      </c>
      <c r="T158" s="137"/>
      <c r="U158" s="137"/>
      <c r="V158" s="1531"/>
      <c r="W158" s="137" t="s">
        <v>177</v>
      </c>
      <c r="X158" s="726">
        <f>IF(OR(dpUnit_Land_2="per Usable Acre",dpUnit_Land_2="per Gross Acre"),IF(OR(LandUnitDisplay_2="Usable Acres",LandUnitDisplay_2="Gross Acres"),Land_IndicationSize_1_2*Land_ReasonableLow_2,Land_IndicationSize_1_2*43560*Land_ReasonableLow_2),IF(OR(dpUnit_Land_2="per Usable Square Foot",dpUnit_Land_2="per Gross Square Foot"),IF(OR(LandUnitDisplay_2="Usable Acres",LandUnitDisplay="Gross Acres"),Land_IndicationSize_1_2*43560*Land_ReasonableLow_2,Land_IndicationSize_1_2*Land_ReasonableLow_2),Land_IndicationSize_1_2*Land_ReasonableLow_2))</f>
        <v>0</v>
      </c>
      <c r="Y158" s="137"/>
      <c r="Z158" s="6"/>
      <c r="AA158" s="10"/>
      <c r="AB158" s="10"/>
      <c r="AC158" s="10"/>
      <c r="AD158" s="10"/>
      <c r="AE158" s="10"/>
      <c r="AF158" s="10"/>
      <c r="AG158" s="10"/>
      <c r="AH158" s="10"/>
      <c r="AI158" s="10"/>
      <c r="AJ158" s="10"/>
      <c r="AK158" s="10"/>
      <c r="AL158" s="10"/>
      <c r="AM158" s="10"/>
      <c r="AN158" s="10"/>
      <c r="AO158" s="10"/>
    </row>
    <row r="159" spans="1:41" ht="5.0999999999999996" customHeight="1" x14ac:dyDescent="0.25">
      <c r="A159" s="972">
        <v>1</v>
      </c>
      <c r="B159" s="10"/>
      <c r="C159" s="10"/>
      <c r="D159" s="10"/>
      <c r="E159" s="13"/>
      <c r="F159" s="1839"/>
      <c r="G159" s="1839"/>
      <c r="H159" s="1839"/>
      <c r="I159" s="1839"/>
      <c r="J159" s="1839"/>
      <c r="K159" s="37"/>
      <c r="L159" s="13"/>
      <c r="M159" s="10"/>
      <c r="N159" s="10"/>
      <c r="O159" s="4"/>
      <c r="P159" s="101"/>
      <c r="Q159" s="101"/>
      <c r="R159" s="101"/>
      <c r="S159" s="137"/>
      <c r="T159" s="137"/>
      <c r="U159" s="137"/>
      <c r="V159" s="137"/>
      <c r="W159" s="137"/>
      <c r="X159" s="726"/>
      <c r="Y159" s="137"/>
      <c r="Z159" s="6"/>
      <c r="AA159" s="10"/>
      <c r="AB159" s="10"/>
      <c r="AC159" s="10"/>
      <c r="AD159" s="10"/>
      <c r="AE159" s="10"/>
      <c r="AF159" s="10"/>
      <c r="AG159" s="10"/>
      <c r="AH159" s="10"/>
      <c r="AI159" s="10"/>
      <c r="AJ159" s="10"/>
      <c r="AK159" s="10"/>
      <c r="AL159" s="10"/>
      <c r="AM159" s="10"/>
      <c r="AN159" s="10"/>
      <c r="AO159" s="10"/>
    </row>
    <row r="160" spans="1:41" ht="14.25" customHeight="1" x14ac:dyDescent="0.25">
      <c r="A160" s="972">
        <v>1</v>
      </c>
      <c r="B160" s="10"/>
      <c r="C160" s="10"/>
      <c r="D160" s="10"/>
      <c r="E160" s="13"/>
      <c r="F160" s="1839"/>
      <c r="G160" s="1839"/>
      <c r="H160" s="1839"/>
      <c r="I160" s="1839"/>
      <c r="J160" s="1839"/>
      <c r="K160" s="37"/>
      <c r="L160" s="13"/>
      <c r="M160" s="10"/>
      <c r="N160" s="10"/>
      <c r="O160" s="4"/>
      <c r="P160" s="101"/>
      <c r="Q160" s="1533">
        <f>IF(LandUnitDisplay_2="Usable Acres",Subject_Land_UsableAcres_2,IF(LandUnitDisplay_2="Usable Square Feet",Subject_Land_UsableSF_2,IF(LandUnitDisplay_2="Gross Acres",Subject_Land_GrossAcres_2,IF(LandUnitDisplay_2="Gross Square Feet",Subject_Land_GrossSF_2,IF(LandUnitDisplay_2="Front Feet",Subject_Land_FrontageFeet_2,IF(LandUnitDisplay_2="Proposed square foot",Subject_Land_ProposedSF_2,IF(LandUnitDisplay_2="Lots",Subject_Land_Lots_2,Subject_Land_ProposedUnits_2)))))))</f>
        <v>0</v>
      </c>
      <c r="R160" s="1533"/>
      <c r="S160" s="137" t="s">
        <v>176</v>
      </c>
      <c r="T160" s="137"/>
      <c r="U160" s="137"/>
      <c r="V160" s="1531"/>
      <c r="W160" s="137" t="s">
        <v>177</v>
      </c>
      <c r="X160" s="726">
        <f>IF(OR(dpUnit_Land_2="per Usable Acre",dpUnit_Land_2="per Gross Acre"),IF(OR(LandUnitDisplay_2="Usable Acres",LandUnitDisplay_2="Gross Acres"),Land_IndicationSize_2_2*Land_ReasonableHigh_2,Land_IndicationSize_2_2*43560*Land_ReasonableHigh_2),IF(OR(dpUnit_Land_2="per Usable Square Foot",dpUnit_Land_2="per Gross Square Foot"),IF(OR(LandUnitDisplay_2="Usable Acres",LandUnitDisplay_2="Gross Acres"),Land_IndicationSize_2_2*43560*Land_ReasonableHigh_2,Land_IndicationSize_2_2*Land_ReasonableHigh_2),Land_IndicationSize_2_2*Land_ReasonableHigh_2))</f>
        <v>0</v>
      </c>
      <c r="Y160" s="137"/>
      <c r="Z160" s="6"/>
      <c r="AA160" s="10"/>
      <c r="AB160" s="10"/>
      <c r="AC160" s="10"/>
      <c r="AD160" s="10"/>
      <c r="AE160" s="10"/>
      <c r="AF160" s="10"/>
      <c r="AG160" s="10"/>
      <c r="AH160" s="10"/>
      <c r="AI160" s="10"/>
      <c r="AJ160" s="10"/>
      <c r="AK160" s="10"/>
      <c r="AL160" s="10"/>
      <c r="AM160" s="10"/>
      <c r="AN160" s="10"/>
      <c r="AO160" s="10"/>
    </row>
    <row r="161" spans="1:41" ht="18" customHeight="1" thickBot="1" x14ac:dyDescent="0.3">
      <c r="A161" s="972">
        <v>1</v>
      </c>
      <c r="B161" s="10"/>
      <c r="C161" s="10"/>
      <c r="D161" s="10"/>
      <c r="E161" s="13"/>
      <c r="F161" s="1839"/>
      <c r="G161" s="1839"/>
      <c r="H161" s="1839"/>
      <c r="I161" s="1839"/>
      <c r="J161" s="1839"/>
      <c r="K161" s="37"/>
      <c r="L161" s="13"/>
      <c r="M161" s="10"/>
      <c r="N161" s="10"/>
      <c r="O161" s="4"/>
      <c r="P161" s="101"/>
      <c r="Q161" s="102" t="str">
        <f>IF(AND(Subject_LandExcessAcres=0,Subject_LandSurplusAcres=0),CONCATENATE(Subject_Value1Type," Opinion"),CONCATENATE("Primary Site - ",Subject_Value1Type," Opinion"))</f>
        <v>Market Value Opinion</v>
      </c>
      <c r="R161" s="102"/>
      <c r="S161" s="137"/>
      <c r="T161" s="137"/>
      <c r="U161" s="137"/>
      <c r="V161" s="137"/>
      <c r="W161" s="137"/>
      <c r="X161" s="875" t="str">
        <f>IF(AND(dpLand_DemolitionCost_2=0,dpLand_UserDefinedAdj1_2=0,dpLand_UserDefinedAdj2_2=0,dpLand_UserDefinedAdj3_2=0),"(Rounded)","")</f>
        <v/>
      </c>
      <c r="Y161" s="137"/>
      <c r="Z161" s="6"/>
      <c r="AA161" s="10"/>
      <c r="AB161" s="150"/>
      <c r="AC161" s="10"/>
      <c r="AD161" s="10"/>
      <c r="AE161" s="10"/>
      <c r="AF161" s="10"/>
      <c r="AG161" s="10"/>
      <c r="AH161" s="10"/>
      <c r="AI161" s="10"/>
      <c r="AJ161" s="10"/>
      <c r="AK161" s="10"/>
      <c r="AL161" s="10"/>
      <c r="AM161" s="10"/>
      <c r="AN161" s="10"/>
      <c r="AO161" s="10"/>
    </row>
    <row r="162" spans="1:41" ht="15" customHeight="1" thickBot="1" x14ac:dyDescent="0.3">
      <c r="A162" s="972">
        <v>1</v>
      </c>
      <c r="B162" s="10"/>
      <c r="C162" s="10"/>
      <c r="D162" s="10"/>
      <c r="E162" s="13"/>
      <c r="F162" s="1839"/>
      <c r="G162" s="1839"/>
      <c r="H162" s="1839"/>
      <c r="I162" s="1839"/>
      <c r="J162" s="1839"/>
      <c r="K162" s="37"/>
      <c r="L162" s="13"/>
      <c r="M162" s="10"/>
      <c r="N162" s="10"/>
      <c r="O162" s="4"/>
      <c r="P162" s="101"/>
      <c r="Q162" s="1533">
        <f>IF(LandUnitDisplay_2="Usable Acres",Subject_Land_UsableAcres_2,IF(LandUnitDisplay_2="Usable Square Feet",Subject_Land_UsableSF_2,IF(LandUnitDisplay_2="Gross Acres",Subject_Land_GrossAcres_2,IF(LandUnitDisplay_2="Gross Square Feet",Subject_Land_GrossSF_2,IF(LandUnitDisplay_2="Front Feet",Subject_Land_FrontageFeet_2,IF(LandUnitDisplay_2="Proposed square foot",Subject_Land_ProposedSF_2,IF(LandUnitDisplay_2="Lots",Subject_Land_Lots_2,Subject_Land_ProposedUnits_2)))))))</f>
        <v>0</v>
      </c>
      <c r="R162" s="1533"/>
      <c r="S162" s="137" t="s">
        <v>176</v>
      </c>
      <c r="T162" s="137"/>
      <c r="U162" s="137"/>
      <c r="V162" s="1532"/>
      <c r="W162" s="137" t="s">
        <v>177</v>
      </c>
      <c r="X162" s="1388">
        <f>IF(OR(dpUnit_Land_2="per Usable Acre",dpUnit_Land_2="per Gross Acre"),IF(OR(LandUnitDisplay_2="Usable Acres",LandUnitDisplay_2="Gross Acres"),MROUND(Land_IndicationSize_1_2*dpLand_PrimaryLandValueUnit_2,INDEX(Rounding_Options,MATCH(AC162,Rounding_Label,0),2)),MROUND(Land_IndicationSize_4*43560*dpLand_PrimaryLandValueUnit_2,INDEX(Rounding_Options,MATCH(AC162,Rounding_Label,0),2))),IF(OR(dpUnit_Land_2="per Usable Square Foot",dpUnit_Land_2="per Gross Square Foot"),IF(OR(LandUnitDisplay_2="Usable Acres",LandUnitDisplay_2="Gross Acres"),MROUND(Land_IndicationSize_1_2*43560*dpLand_PrimaryLandValueUnit_2,INDEX(Rounding_Options,MATCH(AC162,Rounding_Label,0),2)),MROUND(Land_IndicationSize_1_2*dpLand_PrimaryLandValueUnit_2,INDEX(Rounding_Options,MATCH(AC162,Rounding_Label,0),2))),MROUND(Land_IndicationSize_1_2*dpLand_PrimaryLandValueUnit_2,INDEX(Rounding_Options,MATCH(AC162,Rounding_Label,0),2))))</f>
        <v>0</v>
      </c>
      <c r="Y162" s="137"/>
      <c r="Z162" s="6"/>
      <c r="AA162" s="10"/>
      <c r="AB162" s="150" t="s">
        <v>991</v>
      </c>
      <c r="AC162" s="702" t="s">
        <v>1037</v>
      </c>
      <c r="AD162" s="11"/>
      <c r="AE162" s="10"/>
      <c r="AF162" s="10"/>
      <c r="AG162" s="10"/>
      <c r="AH162" s="10"/>
      <c r="AI162" s="10"/>
      <c r="AJ162" s="10"/>
      <c r="AK162" s="10"/>
      <c r="AL162" s="10"/>
      <c r="AM162" s="10"/>
      <c r="AN162" s="10"/>
      <c r="AO162" s="10"/>
    </row>
    <row r="163" spans="1:41" ht="5.0999999999999996" customHeight="1" x14ac:dyDescent="0.25">
      <c r="A163" s="972">
        <f>A164</f>
        <v>1</v>
      </c>
      <c r="B163" s="10"/>
      <c r="C163" s="10"/>
      <c r="D163" s="10"/>
      <c r="E163" s="13"/>
      <c r="F163" s="1839"/>
      <c r="G163" s="1839"/>
      <c r="H163" s="1839"/>
      <c r="I163" s="1839"/>
      <c r="J163" s="1839"/>
      <c r="K163" s="37"/>
      <c r="L163" s="13"/>
      <c r="M163" s="10"/>
      <c r="N163" s="10"/>
      <c r="O163" s="4"/>
      <c r="P163" s="101"/>
      <c r="Q163" s="101"/>
      <c r="R163" s="101"/>
      <c r="S163" s="101"/>
      <c r="T163" s="137"/>
      <c r="U163" s="137"/>
      <c r="V163" s="137"/>
      <c r="W163" s="137"/>
      <c r="X163" s="875"/>
      <c r="Y163" s="137"/>
      <c r="Z163" s="6"/>
      <c r="AA163" s="10"/>
      <c r="AB163" s="10"/>
      <c r="AC163" s="10"/>
      <c r="AD163" s="10"/>
      <c r="AE163" s="10"/>
      <c r="AF163" s="10"/>
      <c r="AG163" s="10"/>
      <c r="AH163" s="10"/>
      <c r="AI163" s="10"/>
      <c r="AJ163" s="10"/>
      <c r="AK163" s="10"/>
      <c r="AL163" s="10"/>
      <c r="AM163" s="10"/>
      <c r="AN163" s="10"/>
      <c r="AO163" s="10"/>
    </row>
    <row r="164" spans="1:41" ht="14.25" customHeight="1" x14ac:dyDescent="0.25">
      <c r="A164" s="972">
        <f>IF(dpLand_DemolitionCost_2=0,0,1)</f>
        <v>1</v>
      </c>
      <c r="B164" s="10"/>
      <c r="C164" s="10"/>
      <c r="D164" s="10"/>
      <c r="E164" s="13"/>
      <c r="F164" s="1839"/>
      <c r="G164" s="1839"/>
      <c r="H164" s="1839"/>
      <c r="I164" s="1839"/>
      <c r="J164" s="1839"/>
      <c r="K164" s="37"/>
      <c r="L164" s="13"/>
      <c r="M164" s="10"/>
      <c r="N164" s="10"/>
      <c r="O164" s="4"/>
      <c r="P164" s="101"/>
      <c r="Q164" s="101"/>
      <c r="R164" s="101"/>
      <c r="S164" s="101"/>
      <c r="T164" s="137"/>
      <c r="U164" s="137"/>
      <c r="V164" s="875" t="s">
        <v>179</v>
      </c>
      <c r="W164" s="1372" t="s">
        <v>178</v>
      </c>
      <c r="X164" s="426">
        <f>AI151</f>
        <v>760000</v>
      </c>
      <c r="Y164" s="137"/>
      <c r="Z164" s="6"/>
      <c r="AA164" s="10"/>
      <c r="AB164" s="10"/>
      <c r="AC164" s="10"/>
      <c r="AD164" s="10"/>
      <c r="AE164" s="10"/>
      <c r="AF164" s="10"/>
      <c r="AG164" s="10"/>
      <c r="AH164" s="10"/>
      <c r="AI164" s="10"/>
      <c r="AJ164" s="10"/>
      <c r="AK164" s="10"/>
      <c r="AL164" s="10"/>
      <c r="AM164" s="10"/>
      <c r="AN164" s="10"/>
      <c r="AO164" s="10"/>
    </row>
    <row r="165" spans="1:41" ht="14.25" customHeight="1" x14ac:dyDescent="0.25">
      <c r="A165" s="972">
        <f>IF(dpLand_UserDefinedAdj1_2=0,0,1)</f>
        <v>0</v>
      </c>
      <c r="B165" s="10"/>
      <c r="C165" s="10"/>
      <c r="D165" s="10"/>
      <c r="E165" s="13"/>
      <c r="F165" s="1839"/>
      <c r="G165" s="1839"/>
      <c r="H165" s="1839"/>
      <c r="I165" s="1839"/>
      <c r="J165" s="1839"/>
      <c r="K165" s="37"/>
      <c r="L165" s="13"/>
      <c r="M165" s="10"/>
      <c r="N165" s="10"/>
      <c r="O165" s="4"/>
      <c r="P165" s="101"/>
      <c r="Q165" s="101"/>
      <c r="R165" s="101"/>
      <c r="S165" s="101"/>
      <c r="T165" s="137"/>
      <c r="U165" s="137"/>
      <c r="V165" s="415" t="s">
        <v>180</v>
      </c>
      <c r="W165" s="1372" t="s">
        <v>178</v>
      </c>
      <c r="X165" s="426"/>
      <c r="Y165" s="137"/>
      <c r="Z165" s="6"/>
      <c r="AA165" s="10"/>
      <c r="AB165" s="10"/>
      <c r="AC165" s="10"/>
      <c r="AD165" s="10"/>
      <c r="AE165" s="10"/>
      <c r="AF165" s="10"/>
      <c r="AG165" s="10"/>
      <c r="AH165" s="10"/>
      <c r="AI165" s="10"/>
      <c r="AJ165" s="10"/>
      <c r="AK165" s="10"/>
      <c r="AL165" s="10"/>
      <c r="AM165" s="10"/>
      <c r="AN165" s="10"/>
      <c r="AO165" s="10"/>
    </row>
    <row r="166" spans="1:41" ht="14.25" customHeight="1" x14ac:dyDescent="0.25">
      <c r="A166" s="972">
        <f>IF(dpLand_UserDefinedAdj2_2=0,0,1)</f>
        <v>0</v>
      </c>
      <c r="B166" s="10"/>
      <c r="C166" s="10"/>
      <c r="D166" s="10"/>
      <c r="E166" s="13"/>
      <c r="F166" s="1839"/>
      <c r="G166" s="1839"/>
      <c r="H166" s="1839"/>
      <c r="I166" s="1839"/>
      <c r="J166" s="1839"/>
      <c r="K166" s="37"/>
      <c r="L166" s="13"/>
      <c r="M166" s="10"/>
      <c r="N166" s="10"/>
      <c r="O166" s="4"/>
      <c r="P166" s="101"/>
      <c r="Q166" s="101"/>
      <c r="R166" s="101"/>
      <c r="S166" s="101"/>
      <c r="T166" s="137"/>
      <c r="U166" s="137"/>
      <c r="V166" s="415" t="s">
        <v>182</v>
      </c>
      <c r="W166" s="1372" t="s">
        <v>178</v>
      </c>
      <c r="X166" s="426"/>
      <c r="Y166" s="137"/>
      <c r="Z166" s="6"/>
      <c r="AA166" s="10"/>
      <c r="AB166" s="10"/>
      <c r="AC166" s="10"/>
      <c r="AD166" s="10"/>
      <c r="AE166" s="10"/>
      <c r="AF166" s="10"/>
      <c r="AG166" s="10"/>
      <c r="AH166" s="10"/>
      <c r="AI166" s="10"/>
      <c r="AJ166" s="10"/>
      <c r="AK166" s="10"/>
      <c r="AL166" s="10"/>
      <c r="AM166" s="10"/>
      <c r="AN166" s="10"/>
      <c r="AO166" s="10"/>
    </row>
    <row r="167" spans="1:41" ht="14.25" customHeight="1" x14ac:dyDescent="0.25">
      <c r="A167" s="972">
        <f>IF(dpLand_UserDefinedAdj3_2=0,0,1)</f>
        <v>0</v>
      </c>
      <c r="B167" s="10"/>
      <c r="C167" s="10"/>
      <c r="D167" s="10"/>
      <c r="E167" s="13"/>
      <c r="F167" s="1839"/>
      <c r="G167" s="1839"/>
      <c r="H167" s="1839"/>
      <c r="I167" s="1839"/>
      <c r="J167" s="1839"/>
      <c r="K167" s="37"/>
      <c r="L167" s="13"/>
      <c r="M167" s="10"/>
      <c r="N167" s="10"/>
      <c r="O167" s="4"/>
      <c r="P167" s="101"/>
      <c r="Q167" s="101"/>
      <c r="R167" s="101"/>
      <c r="S167" s="101"/>
      <c r="T167" s="137"/>
      <c r="U167" s="137"/>
      <c r="V167" s="415" t="s">
        <v>181</v>
      </c>
      <c r="W167" s="1372" t="s">
        <v>178</v>
      </c>
      <c r="X167" s="426"/>
      <c r="Y167" s="137"/>
      <c r="Z167" s="6"/>
      <c r="AA167" s="10"/>
      <c r="AB167" s="10"/>
      <c r="AC167" s="10"/>
      <c r="AD167" s="10"/>
      <c r="AE167" s="10"/>
      <c r="AF167" s="10"/>
      <c r="AG167" s="10"/>
      <c r="AH167" s="10"/>
      <c r="AI167" s="10"/>
      <c r="AJ167" s="10"/>
      <c r="AK167" s="10"/>
      <c r="AL167" s="10"/>
      <c r="AM167" s="10"/>
      <c r="AN167" s="10"/>
      <c r="AO167" s="10"/>
    </row>
    <row r="168" spans="1:41" ht="14.25" customHeight="1" x14ac:dyDescent="0.25">
      <c r="A168" s="972">
        <f>IF(SUM(A164:A167)=0,0,1)</f>
        <v>1</v>
      </c>
      <c r="B168" s="10"/>
      <c r="C168" s="10"/>
      <c r="D168" s="10"/>
      <c r="E168" s="13"/>
      <c r="F168" s="1839"/>
      <c r="G168" s="1839"/>
      <c r="H168" s="1839"/>
      <c r="I168" s="1839"/>
      <c r="J168" s="1839"/>
      <c r="K168" s="37"/>
      <c r="L168" s="13"/>
      <c r="M168" s="10"/>
      <c r="N168" s="10"/>
      <c r="O168" s="4"/>
      <c r="P168" s="101"/>
      <c r="Q168" s="101"/>
      <c r="R168" s="101"/>
      <c r="S168" s="101"/>
      <c r="T168" s="137"/>
      <c r="U168" s="137"/>
      <c r="V168" s="138"/>
      <c r="W168" s="138"/>
      <c r="X168" s="427">
        <f>MROUND(SUM(X162:X167),INDEX(Rounding_Options,MATCH(AC162,Rounding_Label,0),2))</f>
        <v>760000</v>
      </c>
      <c r="Y168" s="137"/>
      <c r="Z168" s="6"/>
      <c r="AA168" s="10"/>
      <c r="AB168" s="10"/>
      <c r="AC168" s="10"/>
      <c r="AD168" s="10"/>
      <c r="AE168" s="10"/>
      <c r="AF168" s="10"/>
      <c r="AG168" s="10"/>
      <c r="AH168" s="10"/>
      <c r="AI168" s="10"/>
      <c r="AJ168" s="10"/>
      <c r="AK168" s="10"/>
      <c r="AL168" s="10"/>
      <c r="AM168" s="10"/>
      <c r="AN168" s="10"/>
      <c r="AO168" s="10"/>
    </row>
    <row r="169" spans="1:41" ht="0.95" customHeight="1" thickBot="1" x14ac:dyDescent="0.3">
      <c r="A169" s="972">
        <v>1</v>
      </c>
      <c r="B169" s="10"/>
      <c r="C169" s="10"/>
      <c r="D169" s="10"/>
      <c r="E169" s="13"/>
      <c r="F169" s="1839"/>
      <c r="G169" s="1839"/>
      <c r="H169" s="1839"/>
      <c r="I169" s="1839"/>
      <c r="J169" s="1839"/>
      <c r="K169" s="37"/>
      <c r="L169" s="13"/>
      <c r="M169" s="10"/>
      <c r="N169" s="10"/>
      <c r="O169" s="4"/>
      <c r="P169" s="101"/>
      <c r="Q169" s="139"/>
      <c r="R169" s="139"/>
      <c r="S169" s="139"/>
      <c r="T169" s="131"/>
      <c r="U169" s="131"/>
      <c r="V169" s="131"/>
      <c r="W169" s="131"/>
      <c r="X169" s="131"/>
      <c r="Y169" s="137"/>
      <c r="Z169" s="6"/>
      <c r="AA169" s="10"/>
      <c r="AB169" s="10"/>
      <c r="AC169" s="10"/>
      <c r="AD169" s="10"/>
      <c r="AE169" s="10"/>
      <c r="AF169" s="10"/>
      <c r="AG169" s="10"/>
      <c r="AH169" s="10"/>
      <c r="AI169" s="10"/>
      <c r="AJ169" s="10"/>
      <c r="AK169" s="10"/>
      <c r="AL169" s="10"/>
      <c r="AM169" s="10"/>
      <c r="AN169" s="10"/>
      <c r="AO169" s="10"/>
    </row>
    <row r="170" spans="1:41" ht="15" customHeight="1" thickBot="1" x14ac:dyDescent="0.3">
      <c r="A170" s="972">
        <v>1</v>
      </c>
      <c r="B170" s="10"/>
      <c r="C170" s="10"/>
      <c r="D170" s="10"/>
      <c r="E170" s="13"/>
      <c r="F170" s="1839"/>
      <c r="G170" s="1839"/>
      <c r="H170" s="1839"/>
      <c r="I170" s="1839"/>
      <c r="J170" s="1839"/>
      <c r="K170" s="37"/>
      <c r="L170" s="13"/>
      <c r="M170" s="10"/>
      <c r="N170" s="10"/>
      <c r="O170" s="8"/>
      <c r="P170" s="7"/>
      <c r="Q170" s="552" t="s">
        <v>1589</v>
      </c>
      <c r="R170" s="552"/>
      <c r="S170" s="552"/>
      <c r="T170" s="14"/>
      <c r="U170" s="14"/>
      <c r="V170" s="14"/>
      <c r="W170" s="14"/>
      <c r="X170" s="14"/>
      <c r="Y170" s="14"/>
      <c r="Z170" s="9"/>
      <c r="AA170" s="10"/>
      <c r="AB170" s="10"/>
      <c r="AC170" s="10"/>
      <c r="AD170" s="10"/>
      <c r="AE170" s="10"/>
      <c r="AF170" s="10"/>
      <c r="AG170" s="10"/>
      <c r="AH170" s="10"/>
      <c r="AI170" s="10"/>
      <c r="AJ170" s="10"/>
      <c r="AK170" s="10"/>
      <c r="AL170" s="10"/>
      <c r="AM170" s="10"/>
      <c r="AN170" s="10"/>
      <c r="AO170" s="10"/>
    </row>
    <row r="171" spans="1:41" ht="14.25" customHeight="1" thickBot="1" x14ac:dyDescent="0.3">
      <c r="A171" s="972">
        <v>1</v>
      </c>
      <c r="B171" s="10"/>
      <c r="C171" s="10"/>
      <c r="D171" s="10"/>
      <c r="E171" s="13"/>
      <c r="F171" s="1839"/>
      <c r="G171" s="1839"/>
      <c r="H171" s="1839"/>
      <c r="I171" s="1839"/>
      <c r="J171" s="1839"/>
      <c r="K171" s="37"/>
      <c r="L171" s="13"/>
      <c r="M171" s="10"/>
      <c r="N171" s="10"/>
      <c r="O171" s="10"/>
      <c r="P171" s="10"/>
      <c r="Q171" s="10"/>
      <c r="R171" s="10"/>
      <c r="S171" s="10"/>
      <c r="T171" s="10"/>
      <c r="U171" s="10"/>
      <c r="V171" s="10"/>
      <c r="W171" s="10"/>
      <c r="X171" s="10"/>
      <c r="Y171" s="10"/>
      <c r="Z171" s="10"/>
      <c r="AA171" s="10"/>
      <c r="AB171" s="10"/>
      <c r="AC171" s="10"/>
      <c r="AD171" s="10"/>
      <c r="AE171" s="10"/>
      <c r="AF171" s="10"/>
      <c r="AG171" s="10"/>
      <c r="AH171" s="10"/>
      <c r="AI171" s="10"/>
      <c r="AJ171" s="10"/>
      <c r="AK171" s="10"/>
      <c r="AL171" s="10"/>
      <c r="AM171" s="10"/>
      <c r="AN171" s="10"/>
      <c r="AO171" s="10"/>
    </row>
    <row r="172" spans="1:41" ht="14.25" customHeight="1" x14ac:dyDescent="0.25">
      <c r="A172" s="972">
        <v>1</v>
      </c>
      <c r="B172" s="10"/>
      <c r="C172" s="10"/>
      <c r="D172" s="10"/>
      <c r="E172" s="13"/>
      <c r="F172" s="1841"/>
      <c r="G172" s="1841"/>
      <c r="H172" s="1839"/>
      <c r="I172" s="1839"/>
      <c r="J172" s="1839"/>
      <c r="K172" s="37"/>
      <c r="L172" s="13"/>
      <c r="M172" s="10"/>
      <c r="N172" s="10"/>
      <c r="O172" s="1"/>
      <c r="P172" s="2"/>
      <c r="Q172" s="2"/>
      <c r="R172" s="2"/>
      <c r="S172" s="2"/>
      <c r="T172" s="2"/>
      <c r="U172" s="2"/>
      <c r="V172" s="2"/>
      <c r="W172" s="2"/>
      <c r="X172" s="2"/>
      <c r="Y172" s="2"/>
      <c r="Z172" s="3"/>
      <c r="AA172" s="10"/>
      <c r="AB172" s="10"/>
      <c r="AC172" s="10"/>
      <c r="AD172" s="10"/>
      <c r="AE172" s="10"/>
      <c r="AF172" s="10"/>
      <c r="AG172" s="10"/>
      <c r="AH172" s="10"/>
      <c r="AI172" s="10"/>
      <c r="AJ172" s="10"/>
      <c r="AK172" s="10"/>
      <c r="AL172" s="10"/>
      <c r="AM172" s="10"/>
      <c r="AN172" s="10"/>
      <c r="AO172" s="10"/>
    </row>
    <row r="173" spans="1:41" ht="14.25" customHeight="1" thickBot="1" x14ac:dyDescent="0.35">
      <c r="A173" s="972">
        <v>1</v>
      </c>
      <c r="B173" s="10"/>
      <c r="C173" s="10"/>
      <c r="D173" s="10"/>
      <c r="E173" s="13"/>
      <c r="F173" s="1839"/>
      <c r="G173" s="1839"/>
      <c r="H173" s="1839"/>
      <c r="I173" s="1839"/>
      <c r="J173" s="1839"/>
      <c r="K173" s="37"/>
      <c r="L173" s="13"/>
      <c r="M173" s="10"/>
      <c r="N173" s="10"/>
      <c r="O173" s="4"/>
      <c r="P173" s="5"/>
      <c r="Q173" s="246" t="str">
        <f>CONCATENATE("Land Value Conclusions - ",dpLand_TractNameB2)</f>
        <v xml:space="preserve">Land Value Conclusions - </v>
      </c>
      <c r="R173" s="43"/>
      <c r="S173" s="5"/>
      <c r="T173" s="5"/>
      <c r="U173" s="5"/>
      <c r="V173" s="5"/>
      <c r="W173" s="5"/>
      <c r="X173" s="5"/>
      <c r="Y173" s="5"/>
      <c r="Z173" s="6"/>
      <c r="AA173" s="10"/>
      <c r="AB173" s="10"/>
      <c r="AC173" s="10"/>
      <c r="AD173" s="10"/>
      <c r="AE173" s="10"/>
      <c r="AF173" s="10"/>
      <c r="AG173" s="10"/>
      <c r="AH173" s="10"/>
      <c r="AI173" s="10"/>
      <c r="AJ173" s="10"/>
      <c r="AK173" s="10"/>
      <c r="AL173" s="10"/>
      <c r="AM173" s="10"/>
      <c r="AN173" s="10"/>
      <c r="AO173" s="10"/>
    </row>
    <row r="174" spans="1:41" ht="15.95" customHeight="1" thickBot="1" x14ac:dyDescent="0.3">
      <c r="A174" s="972">
        <v>1</v>
      </c>
      <c r="B174" s="10"/>
      <c r="C174" s="10"/>
      <c r="D174" s="10"/>
      <c r="E174" s="13"/>
      <c r="F174" s="1839"/>
      <c r="G174" s="1839"/>
      <c r="H174" s="1839"/>
      <c r="I174" s="1839"/>
      <c r="J174" s="1839"/>
      <c r="K174" s="37"/>
      <c r="L174" s="13"/>
      <c r="M174" s="10"/>
      <c r="N174" s="10"/>
      <c r="O174" s="4"/>
      <c r="P174" s="10"/>
      <c r="Q174" s="12" t="s">
        <v>1581</v>
      </c>
      <c r="R174" s="150" t="s">
        <v>96</v>
      </c>
      <c r="S174" s="150"/>
      <c r="T174" s="4093" t="s">
        <v>1583</v>
      </c>
      <c r="U174" s="4093"/>
      <c r="V174" s="4093"/>
      <c r="W174" s="150"/>
      <c r="X174" s="634" t="s">
        <v>1582</v>
      </c>
      <c r="Y174" s="10"/>
      <c r="Z174" s="6"/>
      <c r="AA174" s="10"/>
      <c r="AB174" s="150" t="s">
        <v>991</v>
      </c>
      <c r="AC174" s="702" t="s">
        <v>1038</v>
      </c>
      <c r="AD174" s="10"/>
      <c r="AE174" s="10"/>
      <c r="AF174" s="10"/>
      <c r="AG174" s="10"/>
      <c r="AH174" s="10"/>
      <c r="AI174" s="10"/>
      <c r="AJ174" s="10"/>
      <c r="AK174" s="10"/>
      <c r="AL174" s="10"/>
      <c r="AM174" s="10"/>
      <c r="AN174" s="10"/>
      <c r="AO174" s="10"/>
    </row>
    <row r="175" spans="1:41" ht="14.25" customHeight="1" x14ac:dyDescent="0.25">
      <c r="A175" s="972">
        <f>IF(X175&gt;0,1,0)</f>
        <v>0</v>
      </c>
      <c r="B175" s="10"/>
      <c r="C175" s="10"/>
      <c r="D175" s="10"/>
      <c r="E175" s="13"/>
      <c r="F175" s="1839"/>
      <c r="G175" s="1839"/>
      <c r="H175" s="1839"/>
      <c r="I175" s="1839"/>
      <c r="J175" s="1839"/>
      <c r="K175" s="37"/>
      <c r="L175" s="13"/>
      <c r="M175" s="10"/>
      <c r="N175" s="10"/>
      <c r="O175" s="4"/>
      <c r="P175" s="101"/>
      <c r="Q175" s="1692"/>
      <c r="R175" s="1694"/>
      <c r="S175" s="1524" t="s">
        <v>176</v>
      </c>
      <c r="T175" s="4181"/>
      <c r="U175" s="4181"/>
      <c r="V175" s="4181"/>
      <c r="W175" s="1524" t="s">
        <v>177</v>
      </c>
      <c r="X175" s="1179">
        <f t="shared" ref="X175:X186" si="49">IF(OR(dpUnit_Land_2="per Usable Acre",dpUnit_Land_2="per Gross Acre"),IF(OR(LandUnitDisplay_2="Usable Acres",LandUnitDisplay_2="Gross Acres"),MROUND(R175*T175,INDEX(Rounding_Options,MATCH($AC$174,Rounding_Label,0),2)),MROUND(R175*43560*T175,INDEX(Rounding_Options,MATCH($AC$174,Rounding_Label,0),2))),IF(OR(dpUnit_Land_2="per Usable Square Foot",dpUnit_Land_2="per Gross Square Foot"),IF(OR(LandUnitDisplay_2="Usable Acres",LandUnitDisplay_2="Gross Acres"),MROUND(R175*43560*T175,INDEX(Rounding_Options,MATCH($AC$174,Rounding_Label,0),2)),MROUND(R175*T175,INDEX(Rounding_Options,MATCH($AC$174,Rounding_Label,0),2))),MROUND(R175*T175,INDEX(Rounding_Options,MATCH($AC$174,Rounding_Label,0),2))))</f>
        <v>0</v>
      </c>
      <c r="Y175" s="101"/>
      <c r="Z175" s="6"/>
      <c r="AA175" s="10"/>
      <c r="AB175" s="10"/>
      <c r="AC175" s="10"/>
      <c r="AD175" s="10"/>
      <c r="AE175" s="10"/>
      <c r="AF175" s="10"/>
      <c r="AG175" s="10"/>
      <c r="AH175" s="10"/>
      <c r="AI175" s="10"/>
      <c r="AJ175" s="10"/>
      <c r="AK175" s="10"/>
      <c r="AL175" s="10"/>
      <c r="AM175" s="10"/>
      <c r="AN175" s="10"/>
      <c r="AO175" s="10"/>
    </row>
    <row r="176" spans="1:41" ht="14.25" customHeight="1" x14ac:dyDescent="0.25">
      <c r="A176" s="972">
        <f t="shared" ref="A176:A186" si="50">IF(X176&gt;0,1,0)</f>
        <v>0</v>
      </c>
      <c r="B176" s="10"/>
      <c r="C176" s="10"/>
      <c r="D176" s="10"/>
      <c r="E176" s="13"/>
      <c r="F176" s="1839"/>
      <c r="G176" s="1839"/>
      <c r="H176" s="1839"/>
      <c r="I176" s="1839"/>
      <c r="J176" s="1839"/>
      <c r="K176" s="37"/>
      <c r="L176" s="13"/>
      <c r="M176" s="10"/>
      <c r="N176" s="10"/>
      <c r="O176" s="4"/>
      <c r="P176" s="101"/>
      <c r="Q176" s="1693"/>
      <c r="R176" s="1695"/>
      <c r="S176" s="1524" t="s">
        <v>176</v>
      </c>
      <c r="T176" s="4182"/>
      <c r="U176" s="4182"/>
      <c r="V176" s="4182"/>
      <c r="W176" s="1524" t="s">
        <v>177</v>
      </c>
      <c r="X176" s="1179">
        <f t="shared" si="49"/>
        <v>0</v>
      </c>
      <c r="Y176" s="101"/>
      <c r="Z176" s="6"/>
      <c r="AA176" s="10"/>
      <c r="AB176" s="10"/>
      <c r="AC176" s="10"/>
      <c r="AD176" s="10"/>
      <c r="AE176" s="10"/>
      <c r="AF176" s="10"/>
      <c r="AG176" s="10"/>
      <c r="AH176" s="10"/>
      <c r="AI176" s="10"/>
      <c r="AJ176" s="10"/>
      <c r="AK176" s="10"/>
      <c r="AL176" s="10"/>
      <c r="AM176" s="10"/>
      <c r="AN176" s="10"/>
      <c r="AO176" s="10"/>
    </row>
    <row r="177" spans="1:41" ht="14.25" customHeight="1" x14ac:dyDescent="0.25">
      <c r="A177" s="972">
        <f t="shared" si="50"/>
        <v>0</v>
      </c>
      <c r="B177" s="10"/>
      <c r="C177" s="10"/>
      <c r="D177" s="10"/>
      <c r="E177" s="13"/>
      <c r="F177" s="1839"/>
      <c r="G177" s="1839"/>
      <c r="H177" s="1839"/>
      <c r="I177" s="1839"/>
      <c r="J177" s="1839"/>
      <c r="K177" s="37"/>
      <c r="L177" s="13"/>
      <c r="M177" s="10"/>
      <c r="N177" s="10"/>
      <c r="O177" s="4"/>
      <c r="P177" s="101"/>
      <c r="Q177" s="1693"/>
      <c r="R177" s="1695"/>
      <c r="S177" s="1524" t="s">
        <v>176</v>
      </c>
      <c r="T177" s="4182"/>
      <c r="U177" s="4182"/>
      <c r="V177" s="4182"/>
      <c r="W177" s="1524" t="s">
        <v>177</v>
      </c>
      <c r="X177" s="1179">
        <f t="shared" si="49"/>
        <v>0</v>
      </c>
      <c r="Y177" s="101"/>
      <c r="Z177" s="6"/>
      <c r="AA177" s="10"/>
      <c r="AB177" s="10"/>
      <c r="AC177" s="10"/>
      <c r="AD177" s="10"/>
      <c r="AE177" s="10"/>
      <c r="AF177" s="10"/>
      <c r="AG177" s="10"/>
      <c r="AH177" s="10"/>
      <c r="AI177" s="10"/>
      <c r="AJ177" s="10"/>
      <c r="AK177" s="10"/>
      <c r="AL177" s="10"/>
      <c r="AM177" s="10"/>
      <c r="AN177" s="10"/>
      <c r="AO177" s="10"/>
    </row>
    <row r="178" spans="1:41" ht="14.25" customHeight="1" x14ac:dyDescent="0.25">
      <c r="A178" s="972">
        <f t="shared" si="50"/>
        <v>0</v>
      </c>
      <c r="B178" s="10"/>
      <c r="C178" s="10"/>
      <c r="D178" s="10"/>
      <c r="E178" s="13"/>
      <c r="F178" s="1839"/>
      <c r="G178" s="1839"/>
      <c r="H178" s="1839"/>
      <c r="I178" s="1839"/>
      <c r="J178" s="1839"/>
      <c r="K178" s="37"/>
      <c r="L178" s="13"/>
      <c r="M178" s="10"/>
      <c r="N178" s="10"/>
      <c r="O178" s="4"/>
      <c r="P178" s="101"/>
      <c r="Q178" s="1693"/>
      <c r="R178" s="1695"/>
      <c r="S178" s="1524" t="s">
        <v>176</v>
      </c>
      <c r="T178" s="4182"/>
      <c r="U178" s="4182"/>
      <c r="V178" s="4182"/>
      <c r="W178" s="1524" t="s">
        <v>177</v>
      </c>
      <c r="X178" s="1179">
        <f t="shared" si="49"/>
        <v>0</v>
      </c>
      <c r="Y178" s="101"/>
      <c r="Z178" s="6"/>
      <c r="AA178" s="10"/>
      <c r="AB178" s="10"/>
      <c r="AC178" s="10"/>
      <c r="AD178" s="10"/>
      <c r="AE178" s="10"/>
      <c r="AF178" s="10"/>
      <c r="AG178" s="10"/>
      <c r="AH178" s="10"/>
      <c r="AI178" s="10"/>
      <c r="AJ178" s="10"/>
      <c r="AK178" s="10"/>
      <c r="AL178" s="10"/>
      <c r="AM178" s="10"/>
      <c r="AN178" s="10"/>
      <c r="AO178" s="10"/>
    </row>
    <row r="179" spans="1:41" ht="14.25" customHeight="1" x14ac:dyDescent="0.25">
      <c r="A179" s="972">
        <f t="shared" si="50"/>
        <v>0</v>
      </c>
      <c r="B179" s="10"/>
      <c r="C179" s="10"/>
      <c r="D179" s="10"/>
      <c r="E179" s="13"/>
      <c r="F179" s="1839"/>
      <c r="G179" s="1839"/>
      <c r="H179" s="1839"/>
      <c r="I179" s="1839"/>
      <c r="J179" s="1839"/>
      <c r="K179" s="37"/>
      <c r="L179" s="13"/>
      <c r="M179" s="10"/>
      <c r="N179" s="10"/>
      <c r="O179" s="4"/>
      <c r="P179" s="101"/>
      <c r="Q179" s="1693"/>
      <c r="R179" s="1695"/>
      <c r="S179" s="1524" t="s">
        <v>176</v>
      </c>
      <c r="T179" s="4182"/>
      <c r="U179" s="4182"/>
      <c r="V179" s="4182"/>
      <c r="W179" s="1524" t="s">
        <v>177</v>
      </c>
      <c r="X179" s="1179">
        <f t="shared" si="49"/>
        <v>0</v>
      </c>
      <c r="Y179" s="101"/>
      <c r="Z179" s="6"/>
      <c r="AA179" s="10"/>
      <c r="AB179" s="10"/>
      <c r="AC179" s="10"/>
      <c r="AD179" s="10"/>
      <c r="AE179" s="10"/>
      <c r="AF179" s="10"/>
      <c r="AG179" s="10"/>
      <c r="AH179" s="10"/>
      <c r="AI179" s="10"/>
      <c r="AJ179" s="10"/>
      <c r="AK179" s="10"/>
      <c r="AL179" s="10"/>
      <c r="AM179" s="10"/>
      <c r="AN179" s="10"/>
      <c r="AO179" s="10"/>
    </row>
    <row r="180" spans="1:41" ht="14.25" customHeight="1" x14ac:dyDescent="0.25">
      <c r="A180" s="972">
        <f t="shared" si="50"/>
        <v>0</v>
      </c>
      <c r="B180" s="10"/>
      <c r="C180" s="10"/>
      <c r="D180" s="10"/>
      <c r="E180" s="13"/>
      <c r="F180" s="1839"/>
      <c r="G180" s="1839"/>
      <c r="H180" s="1839"/>
      <c r="I180" s="1839"/>
      <c r="J180" s="1839"/>
      <c r="K180" s="37"/>
      <c r="L180" s="13"/>
      <c r="M180" s="10"/>
      <c r="N180" s="10"/>
      <c r="O180" s="4"/>
      <c r="P180" s="101"/>
      <c r="Q180" s="1693"/>
      <c r="R180" s="1695"/>
      <c r="S180" s="1524" t="s">
        <v>176</v>
      </c>
      <c r="T180" s="4182"/>
      <c r="U180" s="4182"/>
      <c r="V180" s="4182"/>
      <c r="W180" s="1524" t="s">
        <v>177</v>
      </c>
      <c r="X180" s="1179">
        <f t="shared" si="49"/>
        <v>0</v>
      </c>
      <c r="Y180" s="101"/>
      <c r="Z180" s="6"/>
      <c r="AA180" s="10"/>
      <c r="AB180" s="10"/>
      <c r="AC180" s="10"/>
      <c r="AD180" s="10"/>
      <c r="AE180" s="10"/>
      <c r="AF180" s="10"/>
      <c r="AG180" s="10"/>
      <c r="AH180" s="10"/>
      <c r="AI180" s="10"/>
      <c r="AJ180" s="10"/>
      <c r="AK180" s="10"/>
      <c r="AL180" s="10"/>
      <c r="AM180" s="10"/>
      <c r="AN180" s="10"/>
      <c r="AO180" s="10"/>
    </row>
    <row r="181" spans="1:41" ht="14.25" customHeight="1" x14ac:dyDescent="0.25">
      <c r="A181" s="972">
        <f t="shared" si="50"/>
        <v>0</v>
      </c>
      <c r="B181" s="10"/>
      <c r="C181" s="10"/>
      <c r="D181" s="10"/>
      <c r="E181" s="13"/>
      <c r="F181" s="1839"/>
      <c r="G181" s="1839"/>
      <c r="H181" s="1839"/>
      <c r="I181" s="1839"/>
      <c r="J181" s="1839"/>
      <c r="K181" s="37"/>
      <c r="L181" s="13"/>
      <c r="M181" s="10"/>
      <c r="N181" s="10"/>
      <c r="O181" s="4"/>
      <c r="P181" s="101"/>
      <c r="Q181" s="1693"/>
      <c r="R181" s="1695"/>
      <c r="S181" s="1524" t="s">
        <v>176</v>
      </c>
      <c r="T181" s="4182"/>
      <c r="U181" s="4182"/>
      <c r="V181" s="4182"/>
      <c r="W181" s="1524" t="s">
        <v>177</v>
      </c>
      <c r="X181" s="1179">
        <f t="shared" si="49"/>
        <v>0</v>
      </c>
      <c r="Y181" s="101"/>
      <c r="Z181" s="6"/>
      <c r="AA181" s="10"/>
      <c r="AB181" s="10"/>
      <c r="AC181" s="10"/>
      <c r="AD181" s="10"/>
      <c r="AE181" s="10"/>
      <c r="AF181" s="10"/>
      <c r="AG181" s="10"/>
      <c r="AH181" s="10"/>
      <c r="AI181" s="10"/>
      <c r="AJ181" s="10"/>
      <c r="AK181" s="10"/>
      <c r="AL181" s="10"/>
      <c r="AM181" s="10"/>
      <c r="AN181" s="10"/>
      <c r="AO181" s="10"/>
    </row>
    <row r="182" spans="1:41" ht="14.25" customHeight="1" x14ac:dyDescent="0.25">
      <c r="A182" s="972">
        <f t="shared" si="50"/>
        <v>0</v>
      </c>
      <c r="B182" s="10"/>
      <c r="C182" s="10"/>
      <c r="D182" s="10"/>
      <c r="E182" s="13"/>
      <c r="F182" s="1839"/>
      <c r="G182" s="1839"/>
      <c r="H182" s="1839"/>
      <c r="I182" s="1839"/>
      <c r="J182" s="1839"/>
      <c r="K182" s="37"/>
      <c r="L182" s="13"/>
      <c r="M182" s="10"/>
      <c r="N182" s="10"/>
      <c r="O182" s="4"/>
      <c r="P182" s="101"/>
      <c r="Q182" s="1693"/>
      <c r="R182" s="1695"/>
      <c r="S182" s="1524" t="s">
        <v>176</v>
      </c>
      <c r="T182" s="4182"/>
      <c r="U182" s="4182"/>
      <c r="V182" s="4182"/>
      <c r="W182" s="1524" t="s">
        <v>177</v>
      </c>
      <c r="X182" s="1179">
        <f t="shared" si="49"/>
        <v>0</v>
      </c>
      <c r="Y182" s="101"/>
      <c r="Z182" s="6"/>
      <c r="AA182" s="10"/>
      <c r="AB182" s="10"/>
      <c r="AC182" s="10"/>
      <c r="AD182" s="10"/>
      <c r="AE182" s="10"/>
      <c r="AF182" s="10"/>
      <c r="AG182" s="10"/>
      <c r="AH182" s="10"/>
      <c r="AI182" s="10"/>
      <c r="AJ182" s="10"/>
      <c r="AK182" s="10"/>
      <c r="AL182" s="10"/>
      <c r="AM182" s="10"/>
      <c r="AN182" s="10"/>
      <c r="AO182" s="10"/>
    </row>
    <row r="183" spans="1:41" ht="14.25" customHeight="1" x14ac:dyDescent="0.25">
      <c r="A183" s="972">
        <f t="shared" si="50"/>
        <v>0</v>
      </c>
      <c r="B183" s="10"/>
      <c r="C183" s="10"/>
      <c r="D183" s="10"/>
      <c r="E183" s="13"/>
      <c r="F183" s="1839"/>
      <c r="G183" s="1839"/>
      <c r="H183" s="1839"/>
      <c r="I183" s="1839"/>
      <c r="J183" s="1839"/>
      <c r="K183" s="37"/>
      <c r="L183" s="13"/>
      <c r="M183" s="10"/>
      <c r="N183" s="10"/>
      <c r="O183" s="4"/>
      <c r="P183" s="101"/>
      <c r="Q183" s="1693"/>
      <c r="R183" s="1695"/>
      <c r="S183" s="1524" t="s">
        <v>176</v>
      </c>
      <c r="T183" s="4182"/>
      <c r="U183" s="4182"/>
      <c r="V183" s="4182"/>
      <c r="W183" s="1524" t="s">
        <v>177</v>
      </c>
      <c r="X183" s="1179">
        <f t="shared" si="49"/>
        <v>0</v>
      </c>
      <c r="Y183" s="101"/>
      <c r="Z183" s="6"/>
      <c r="AA183" s="10"/>
      <c r="AB183" s="10"/>
      <c r="AC183" s="10"/>
      <c r="AD183" s="10"/>
      <c r="AE183" s="10"/>
      <c r="AF183" s="10"/>
      <c r="AG183" s="10"/>
      <c r="AH183" s="10"/>
      <c r="AI183" s="10"/>
      <c r="AJ183" s="10"/>
      <c r="AK183" s="10"/>
      <c r="AL183" s="10"/>
      <c r="AM183" s="10"/>
      <c r="AN183" s="10"/>
      <c r="AO183" s="10"/>
    </row>
    <row r="184" spans="1:41" ht="14.25" customHeight="1" x14ac:dyDescent="0.25">
      <c r="A184" s="972">
        <f t="shared" si="50"/>
        <v>0</v>
      </c>
      <c r="B184" s="10"/>
      <c r="C184" s="10"/>
      <c r="D184" s="10"/>
      <c r="E184" s="13"/>
      <c r="F184" s="1839"/>
      <c r="G184" s="1839"/>
      <c r="H184" s="1839"/>
      <c r="I184" s="1839"/>
      <c r="J184" s="1839"/>
      <c r="K184" s="37"/>
      <c r="L184" s="13"/>
      <c r="M184" s="10"/>
      <c r="N184" s="10"/>
      <c r="O184" s="4"/>
      <c r="P184" s="101"/>
      <c r="Q184" s="1693"/>
      <c r="R184" s="1695"/>
      <c r="S184" s="1524" t="s">
        <v>176</v>
      </c>
      <c r="T184" s="4182"/>
      <c r="U184" s="4182"/>
      <c r="V184" s="4182"/>
      <c r="W184" s="1524" t="s">
        <v>177</v>
      </c>
      <c r="X184" s="1179">
        <f t="shared" si="49"/>
        <v>0</v>
      </c>
      <c r="Y184" s="101"/>
      <c r="Z184" s="6"/>
      <c r="AA184" s="10"/>
      <c r="AB184" s="10"/>
      <c r="AC184" s="10"/>
      <c r="AD184" s="10"/>
      <c r="AE184" s="10"/>
      <c r="AF184" s="10"/>
      <c r="AG184" s="10"/>
      <c r="AH184" s="10"/>
      <c r="AI184" s="10"/>
      <c r="AJ184" s="10"/>
      <c r="AK184" s="10"/>
      <c r="AL184" s="10"/>
      <c r="AM184" s="10"/>
      <c r="AN184" s="10"/>
      <c r="AO184" s="10"/>
    </row>
    <row r="185" spans="1:41" ht="14.25" customHeight="1" x14ac:dyDescent="0.25">
      <c r="A185" s="972">
        <f t="shared" si="50"/>
        <v>0</v>
      </c>
      <c r="B185" s="10"/>
      <c r="C185" s="10"/>
      <c r="D185" s="10"/>
      <c r="E185" s="13"/>
      <c r="F185" s="1839"/>
      <c r="G185" s="1839"/>
      <c r="H185" s="1839"/>
      <c r="I185" s="1839"/>
      <c r="J185" s="1839"/>
      <c r="K185" s="37"/>
      <c r="L185" s="13"/>
      <c r="M185" s="10"/>
      <c r="N185" s="10"/>
      <c r="O185" s="4"/>
      <c r="P185" s="101"/>
      <c r="Q185" s="1693"/>
      <c r="R185" s="1695"/>
      <c r="S185" s="1524" t="s">
        <v>176</v>
      </c>
      <c r="T185" s="4182"/>
      <c r="U185" s="4182"/>
      <c r="V185" s="4182"/>
      <c r="W185" s="1524" t="s">
        <v>177</v>
      </c>
      <c r="X185" s="1179">
        <f t="shared" si="49"/>
        <v>0</v>
      </c>
      <c r="Y185" s="101"/>
      <c r="Z185" s="6"/>
      <c r="AA185" s="10"/>
      <c r="AB185" s="10"/>
      <c r="AC185" s="10"/>
      <c r="AD185" s="10"/>
      <c r="AE185" s="10"/>
      <c r="AF185" s="10"/>
      <c r="AG185" s="10"/>
      <c r="AH185" s="10"/>
      <c r="AI185" s="10"/>
      <c r="AJ185" s="10"/>
      <c r="AK185" s="10"/>
      <c r="AL185" s="10"/>
      <c r="AM185" s="10"/>
      <c r="AN185" s="10"/>
      <c r="AO185" s="10"/>
    </row>
    <row r="186" spans="1:41" ht="14.25" customHeight="1" x14ac:dyDescent="0.25">
      <c r="A186" s="972">
        <f t="shared" si="50"/>
        <v>0</v>
      </c>
      <c r="B186" s="10"/>
      <c r="C186" s="10"/>
      <c r="D186" s="10"/>
      <c r="E186" s="13"/>
      <c r="F186" s="1839"/>
      <c r="G186" s="1839"/>
      <c r="H186" s="1839"/>
      <c r="I186" s="1839"/>
      <c r="J186" s="1839"/>
      <c r="K186" s="37"/>
      <c r="L186" s="13"/>
      <c r="M186" s="10"/>
      <c r="N186" s="10"/>
      <c r="O186" s="4"/>
      <c r="P186" s="101"/>
      <c r="Q186" s="1696"/>
      <c r="R186" s="1697"/>
      <c r="S186" s="1524" t="s">
        <v>176</v>
      </c>
      <c r="T186" s="4183"/>
      <c r="U186" s="4183"/>
      <c r="V186" s="4183"/>
      <c r="W186" s="1524" t="s">
        <v>177</v>
      </c>
      <c r="X186" s="1179">
        <f t="shared" si="49"/>
        <v>0</v>
      </c>
      <c r="Y186" s="101"/>
      <c r="Z186" s="6"/>
      <c r="AA186" s="10"/>
      <c r="AB186" s="10"/>
      <c r="AC186" s="10"/>
      <c r="AD186" s="10"/>
      <c r="AE186" s="10"/>
      <c r="AF186" s="10"/>
      <c r="AG186" s="10"/>
      <c r="AH186" s="10"/>
      <c r="AI186" s="10"/>
      <c r="AJ186" s="10"/>
      <c r="AK186" s="10"/>
      <c r="AL186" s="10"/>
      <c r="AM186" s="10"/>
      <c r="AN186" s="10"/>
      <c r="AO186" s="10"/>
    </row>
    <row r="187" spans="1:41" ht="0.95" customHeight="1" thickBot="1" x14ac:dyDescent="0.3">
      <c r="A187" s="972">
        <v>1</v>
      </c>
      <c r="B187" s="10"/>
      <c r="C187" s="10"/>
      <c r="D187" s="10"/>
      <c r="E187" s="13"/>
      <c r="F187" s="1839"/>
      <c r="G187" s="1839"/>
      <c r="H187" s="1839"/>
      <c r="I187" s="1839"/>
      <c r="J187" s="1839"/>
      <c r="K187" s="37"/>
      <c r="L187" s="13"/>
      <c r="M187" s="10"/>
      <c r="N187" s="10"/>
      <c r="O187" s="4"/>
      <c r="P187" s="101"/>
      <c r="Q187" s="1688"/>
      <c r="R187" s="1689"/>
      <c r="S187" s="1690"/>
      <c r="T187" s="4180"/>
      <c r="U187" s="4180"/>
      <c r="V187" s="4180"/>
      <c r="W187" s="1690"/>
      <c r="X187" s="1691"/>
      <c r="Y187" s="101"/>
      <c r="Z187" s="6"/>
      <c r="AA187" s="10"/>
      <c r="AB187" s="10"/>
      <c r="AC187" s="10"/>
      <c r="AD187" s="10"/>
      <c r="AE187" s="10"/>
      <c r="AF187" s="10"/>
      <c r="AG187" s="10"/>
      <c r="AH187" s="10"/>
      <c r="AI187" s="10"/>
      <c r="AJ187" s="10"/>
      <c r="AK187" s="10"/>
      <c r="AL187" s="10"/>
      <c r="AM187" s="10"/>
      <c r="AN187" s="10"/>
      <c r="AO187" s="10"/>
    </row>
    <row r="188" spans="1:41" ht="14.25" customHeight="1" thickBot="1" x14ac:dyDescent="0.3">
      <c r="A188" s="243"/>
      <c r="B188" s="10"/>
      <c r="C188" s="10"/>
      <c r="D188" s="10"/>
      <c r="E188" s="13"/>
      <c r="F188" s="1839"/>
      <c r="G188" s="1839"/>
      <c r="H188" s="1839"/>
      <c r="I188" s="1839"/>
      <c r="J188" s="1839"/>
      <c r="K188" s="37"/>
      <c r="L188" s="13"/>
      <c r="M188" s="10"/>
      <c r="N188" s="10"/>
      <c r="O188" s="8"/>
      <c r="P188" s="7"/>
      <c r="Q188" s="741" t="s">
        <v>1588</v>
      </c>
      <c r="R188" s="133"/>
      <c r="S188" s="133"/>
      <c r="T188" s="133"/>
      <c r="U188" s="133"/>
      <c r="V188" s="133"/>
      <c r="W188" s="133"/>
      <c r="X188" s="133"/>
      <c r="Y188" s="7"/>
      <c r="Z188" s="9"/>
      <c r="AA188" s="10"/>
      <c r="AB188" s="10"/>
      <c r="AC188" s="10"/>
      <c r="AD188" s="10"/>
      <c r="AE188" s="10"/>
      <c r="AF188" s="10"/>
      <c r="AG188" s="10"/>
      <c r="AH188" s="10"/>
      <c r="AI188" s="10"/>
      <c r="AJ188" s="10"/>
      <c r="AK188" s="10"/>
      <c r="AL188" s="10"/>
      <c r="AM188" s="10"/>
      <c r="AN188" s="10"/>
      <c r="AO188" s="10"/>
    </row>
    <row r="189" spans="1:41" ht="14.25" customHeight="1" x14ac:dyDescent="0.25">
      <c r="A189" s="243"/>
      <c r="B189" s="10"/>
      <c r="C189" s="10"/>
      <c r="D189" s="10"/>
      <c r="E189" s="13"/>
      <c r="F189" s="1839"/>
      <c r="G189" s="1839"/>
      <c r="H189" s="1839"/>
      <c r="I189" s="1839"/>
      <c r="J189" s="1839"/>
      <c r="K189" s="37"/>
      <c r="L189" s="13"/>
      <c r="M189" s="10"/>
      <c r="N189" s="10"/>
      <c r="O189" s="10"/>
      <c r="P189" s="10"/>
      <c r="Q189" s="10"/>
      <c r="R189" s="10"/>
      <c r="S189" s="10"/>
      <c r="T189" s="10"/>
      <c r="U189" s="10"/>
      <c r="V189" s="10"/>
      <c r="W189" s="10"/>
      <c r="X189" s="10"/>
      <c r="Y189" s="10"/>
      <c r="Z189" s="10"/>
      <c r="AA189" s="10"/>
      <c r="AB189" s="10"/>
      <c r="AC189" s="10"/>
      <c r="AD189" s="10"/>
      <c r="AE189" s="10"/>
      <c r="AF189" s="10"/>
      <c r="AG189" s="10"/>
      <c r="AH189" s="10"/>
      <c r="AI189" s="10"/>
      <c r="AJ189" s="10"/>
      <c r="AK189" s="10"/>
      <c r="AL189" s="10"/>
      <c r="AM189" s="10"/>
      <c r="AN189" s="10"/>
      <c r="AO189" s="10"/>
    </row>
    <row r="190" spans="1:41" ht="14.25" customHeight="1" x14ac:dyDescent="0.25">
      <c r="A190" s="243"/>
      <c r="B190" s="10"/>
      <c r="C190" s="10"/>
      <c r="D190" s="10"/>
      <c r="E190" s="13"/>
      <c r="F190" s="1839"/>
      <c r="G190" s="1839"/>
      <c r="H190" s="1839"/>
      <c r="I190" s="1839"/>
      <c r="J190" s="1839"/>
      <c r="K190" s="37"/>
      <c r="L190" s="13"/>
      <c r="M190" s="10"/>
      <c r="N190" s="10"/>
      <c r="O190" s="10"/>
      <c r="P190" s="10"/>
      <c r="Q190" s="10"/>
      <c r="R190" s="10"/>
      <c r="S190" s="10"/>
      <c r="T190" s="10"/>
      <c r="U190" s="10"/>
      <c r="V190" s="10"/>
      <c r="W190" s="10"/>
      <c r="X190" s="10"/>
      <c r="Y190" s="10"/>
      <c r="Z190" s="10"/>
      <c r="AA190" s="10"/>
      <c r="AB190" s="10"/>
      <c r="AC190" s="10"/>
      <c r="AD190" s="10"/>
      <c r="AE190" s="10"/>
      <c r="AF190" s="10"/>
      <c r="AG190" s="10"/>
      <c r="AH190" s="10"/>
      <c r="AI190" s="10"/>
      <c r="AJ190" s="10"/>
      <c r="AK190" s="10"/>
      <c r="AL190" s="10"/>
      <c r="AM190" s="10"/>
      <c r="AN190" s="10"/>
      <c r="AO190" s="10"/>
    </row>
  </sheetData>
  <mergeCells count="17">
    <mergeCell ref="A5:A8"/>
    <mergeCell ref="O7:O9"/>
    <mergeCell ref="Q58:Q59"/>
    <mergeCell ref="T174:V174"/>
    <mergeCell ref="T175:V175"/>
    <mergeCell ref="T176:V176"/>
    <mergeCell ref="T177:V177"/>
    <mergeCell ref="T178:V178"/>
    <mergeCell ref="T179:V179"/>
    <mergeCell ref="T180:V180"/>
    <mergeCell ref="T186:V186"/>
    <mergeCell ref="T187:V187"/>
    <mergeCell ref="T181:V181"/>
    <mergeCell ref="T182:V182"/>
    <mergeCell ref="T183:V183"/>
    <mergeCell ref="T184:V184"/>
    <mergeCell ref="T185:V185"/>
  </mergeCells>
  <dataValidations disablePrompts="1" count="2">
    <dataValidation type="list" allowBlank="1" showInputMessage="1" showErrorMessage="1" error="Invalid Option - Please Select from the List" prompt="Select Number of Most Comparable Sale for Narrative" sqref="A9" xr:uid="{00000000-0002-0000-1500-000000000000}">
      <formula1>Land_MostComparableRange</formula1>
    </dataValidation>
    <dataValidation type="list" allowBlank="1" showInputMessage="1" showErrorMessage="1" error="Invalid Option - Please Select from the List" prompt="Select Rounding Option" sqref="AC162 AC174 AN151" xr:uid="{00000000-0002-0000-1500-000001000000}">
      <formula1>Rounding_Label</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2">
        <x14:dataValidation type="list" allowBlank="1" showInputMessage="1" showErrorMessage="1" error="Invalid Option - Please Select from the List" prompt="Select Date of Value for Land Valuation to be used in Land Adjustment Grid" xr:uid="{00000000-0002-0000-1500-000002000000}">
          <x14:formula1>
            <xm:f>'Selection Tables'!$G$5:$G$7</xm:f>
          </x14:formula1>
          <xm:sqref>E10</xm:sqref>
        </x14:dataValidation>
        <x14:dataValidation type="list" allowBlank="1" showInputMessage="1" showErrorMessage="1" error="Invalid Option - Please Select from the List" prompt="Select Whether Property Name Should Show or Hide" xr:uid="{00000000-0002-0000-1500-000003000000}">
          <x14:formula1>
            <xm:f>'Selection Tables'!$D$25:$D$26</xm:f>
          </x14:formula1>
          <xm:sqref>Q11</xm:sqref>
        </x14:dataValidation>
      </x14:dataValidations>
    </ext>
  </extLs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53">
    <tabColor theme="7"/>
    <pageSetUpPr fitToPage="1"/>
  </sheetPr>
  <dimension ref="B1:BH37"/>
  <sheetViews>
    <sheetView zoomScaleNormal="100" workbookViewId="0">
      <selection activeCell="D4" sqref="D4"/>
    </sheetView>
  </sheetViews>
  <sheetFormatPr defaultColWidth="9.140625" defaultRowHeight="14.25" x14ac:dyDescent="0.25"/>
  <cols>
    <col min="1" max="1" width="5.7109375" style="143" customWidth="1"/>
    <col min="2" max="2" width="1.7109375" style="143" customWidth="1"/>
    <col min="3" max="3" width="0.85546875" style="143" customWidth="1"/>
    <col min="4" max="4" width="6.7109375" style="889" customWidth="1"/>
    <col min="5" max="5" width="12.28515625" style="889" bestFit="1" customWidth="1"/>
    <col min="6" max="6" width="8.5703125" style="889" bestFit="1" customWidth="1"/>
    <col min="7" max="7" width="19.42578125" style="889" bestFit="1" customWidth="1"/>
    <col min="8" max="8" width="13.7109375" style="889" bestFit="1" customWidth="1"/>
    <col min="9" max="9" width="5.140625" style="809" bestFit="1" customWidth="1"/>
    <col min="10" max="10" width="5.140625" style="809" hidden="1" customWidth="1"/>
    <col min="11" max="11" width="6.42578125" style="809" hidden="1" customWidth="1"/>
    <col min="12" max="12" width="6.42578125" style="809" bestFit="1" customWidth="1"/>
    <col min="13" max="13" width="5.42578125" style="809" hidden="1" customWidth="1"/>
    <col min="14" max="14" width="6.5703125" style="809" hidden="1" customWidth="1"/>
    <col min="15" max="15" width="10.42578125" style="809" hidden="1" customWidth="1"/>
    <col min="16" max="16" width="11" style="809" bestFit="1" customWidth="1"/>
    <col min="17" max="17" width="9" style="809" bestFit="1" customWidth="1"/>
    <col min="18" max="18" width="6.7109375" style="809" hidden="1" customWidth="1"/>
    <col min="19" max="19" width="0.85546875" style="143" customWidth="1"/>
    <col min="20" max="20" width="1.7109375" style="143" customWidth="1"/>
    <col min="21" max="21" width="5.7109375" style="143" customWidth="1"/>
    <col min="22" max="22" width="1.7109375" style="143" customWidth="1"/>
    <col min="23" max="23" width="0.85546875" style="143" customWidth="1"/>
    <col min="24" max="24" width="6.7109375" style="143" customWidth="1"/>
    <col min="25" max="25" width="11.7109375" style="143" bestFit="1" customWidth="1"/>
    <col min="26" max="26" width="8.5703125" style="143" bestFit="1" customWidth="1"/>
    <col min="27" max="27" width="7.42578125" style="143" bestFit="1" customWidth="1"/>
    <col min="28" max="28" width="2" style="143" bestFit="1" customWidth="1"/>
    <col min="29" max="29" width="5.140625" style="143" bestFit="1" customWidth="1"/>
    <col min="30" max="30" width="5.140625" style="143" hidden="1" customWidth="1"/>
    <col min="31" max="31" width="6.42578125" style="143" hidden="1" customWidth="1"/>
    <col min="32" max="32" width="3.5703125" style="143" bestFit="1" customWidth="1"/>
    <col min="33" max="33" width="3.42578125" style="143" hidden="1" customWidth="1"/>
    <col min="34" max="34" width="6.5703125" style="143" hidden="1" customWidth="1"/>
    <col min="35" max="35" width="10.42578125" style="143" bestFit="1" customWidth="1"/>
    <col min="36" max="36" width="11" style="143" bestFit="1" customWidth="1"/>
    <col min="37" max="37" width="4.140625" style="143" bestFit="1" customWidth="1"/>
    <col min="38" max="38" width="6.7109375" style="143" hidden="1" customWidth="1"/>
    <col min="39" max="39" width="0.85546875" style="143" customWidth="1"/>
    <col min="40" max="40" width="1.7109375" style="143" customWidth="1"/>
    <col min="41" max="41" width="5.7109375" style="143" customWidth="1"/>
    <col min="42" max="42" width="1.7109375" style="143" customWidth="1"/>
    <col min="43" max="43" width="0.85546875" style="143" customWidth="1"/>
    <col min="44" max="44" width="6.7109375" style="143" customWidth="1"/>
    <col min="45" max="45" width="11.7109375" style="143" bestFit="1" customWidth="1"/>
    <col min="46" max="46" width="8.5703125" style="143" bestFit="1" customWidth="1"/>
    <col min="47" max="47" width="7.42578125" style="143" bestFit="1" customWidth="1"/>
    <col min="48" max="48" width="2" style="143" bestFit="1" customWidth="1"/>
    <col min="49" max="49" width="5.140625" style="143" bestFit="1" customWidth="1"/>
    <col min="50" max="50" width="5.140625" style="143" hidden="1" customWidth="1"/>
    <col min="51" max="51" width="6.42578125" style="143" hidden="1" customWidth="1"/>
    <col min="52" max="52" width="3.5703125" style="143" bestFit="1" customWidth="1"/>
    <col min="53" max="53" width="7.42578125" style="143" hidden="1" customWidth="1"/>
    <col min="54" max="54" width="6.5703125" style="143" hidden="1" customWidth="1"/>
    <col min="55" max="55" width="10.42578125" style="143" bestFit="1" customWidth="1"/>
    <col min="56" max="56" width="11" style="143" bestFit="1" customWidth="1"/>
    <col min="57" max="57" width="4.140625" style="143" bestFit="1" customWidth="1"/>
    <col min="58" max="58" width="6.7109375" style="143" hidden="1" customWidth="1"/>
    <col min="59" max="59" width="0.85546875" style="143" customWidth="1"/>
    <col min="60" max="60" width="1.7109375" style="143" customWidth="1"/>
    <col min="61" max="16384" width="9.140625" style="143"/>
  </cols>
  <sheetData>
    <row r="1" spans="2:40" ht="60" customHeight="1" x14ac:dyDescent="0.25"/>
    <row r="2" spans="2:40" ht="39.950000000000003" customHeight="1" thickBot="1" x14ac:dyDescent="0.3"/>
    <row r="3" spans="2:40" x14ac:dyDescent="0.25">
      <c r="B3" s="1"/>
      <c r="C3" s="2"/>
      <c r="D3" s="25"/>
      <c r="E3" s="25"/>
      <c r="F3" s="25"/>
      <c r="G3" s="25"/>
      <c r="H3" s="25"/>
      <c r="I3" s="123"/>
      <c r="J3" s="123"/>
      <c r="K3" s="123"/>
      <c r="L3" s="123"/>
      <c r="M3" s="123"/>
      <c r="N3" s="123"/>
      <c r="O3" s="123"/>
      <c r="P3" s="123"/>
      <c r="Q3" s="123"/>
      <c r="R3" s="123"/>
      <c r="S3" s="2"/>
      <c r="T3" s="3"/>
    </row>
    <row r="4" spans="2:40" ht="15" customHeight="1" x14ac:dyDescent="0.3">
      <c r="B4" s="4"/>
      <c r="C4" s="51"/>
      <c r="D4" s="3886" t="s">
        <v>514</v>
      </c>
      <c r="E4" s="44"/>
      <c r="F4" s="44"/>
      <c r="G4" s="44"/>
      <c r="H4" s="44"/>
      <c r="I4" s="804"/>
      <c r="J4" s="804"/>
      <c r="K4" s="804"/>
      <c r="L4" s="804"/>
      <c r="M4" s="804"/>
      <c r="N4" s="804"/>
      <c r="O4" s="3960"/>
      <c r="P4" s="3960"/>
      <c r="Q4" s="3960"/>
      <c r="R4" s="3960"/>
      <c r="S4" s="51"/>
      <c r="T4" s="6"/>
    </row>
    <row r="5" spans="2:40" ht="15" customHeight="1" x14ac:dyDescent="0.25">
      <c r="B5" s="4"/>
      <c r="C5" s="3765"/>
      <c r="D5" s="3766" t="s">
        <v>94</v>
      </c>
      <c r="E5" s="3766"/>
      <c r="F5" s="3766" t="s">
        <v>105</v>
      </c>
      <c r="G5" s="3766"/>
      <c r="H5" s="3766"/>
      <c r="I5" s="3767" t="s">
        <v>110</v>
      </c>
      <c r="J5" s="3767" t="s">
        <v>110</v>
      </c>
      <c r="K5" s="3767"/>
      <c r="L5" s="3767"/>
      <c r="M5" s="3767"/>
      <c r="N5" s="3767" t="s">
        <v>1198</v>
      </c>
      <c r="O5" s="3767" t="s">
        <v>268</v>
      </c>
      <c r="P5" s="3767" t="s">
        <v>655</v>
      </c>
      <c r="Q5" s="3767"/>
      <c r="R5" s="3767" t="s">
        <v>702</v>
      </c>
      <c r="S5" s="3765"/>
      <c r="T5" s="6"/>
    </row>
    <row r="6" spans="2:40" ht="15" customHeight="1" x14ac:dyDescent="0.25">
      <c r="B6" s="4"/>
      <c r="C6" s="3765"/>
      <c r="D6" s="3766" t="s">
        <v>113</v>
      </c>
      <c r="E6" s="3766" t="s">
        <v>159</v>
      </c>
      <c r="F6" s="3766" t="s">
        <v>106</v>
      </c>
      <c r="G6" s="3768" t="s">
        <v>95</v>
      </c>
      <c r="H6" s="3766" t="str">
        <f>IF(G12=0,"Location","")</f>
        <v/>
      </c>
      <c r="I6" s="3767" t="s">
        <v>111</v>
      </c>
      <c r="J6" s="3767" t="s">
        <v>111</v>
      </c>
      <c r="K6" s="3767" t="s">
        <v>1061</v>
      </c>
      <c r="L6" s="3887" t="s">
        <v>20</v>
      </c>
      <c r="M6" s="3887" t="s">
        <v>11</v>
      </c>
      <c r="N6" s="3887" t="s">
        <v>1056</v>
      </c>
      <c r="O6" s="3767" t="s">
        <v>1280</v>
      </c>
      <c r="P6" s="3767" t="s">
        <v>127</v>
      </c>
      <c r="Q6" s="3767" t="str">
        <f>IF(dpUnit_Sales="Units","per Unit","PSF")</f>
        <v>PSF</v>
      </c>
      <c r="R6" s="3767" t="s">
        <v>126</v>
      </c>
      <c r="S6" s="3765"/>
      <c r="T6" s="6"/>
    </row>
    <row r="7" spans="2:40" x14ac:dyDescent="0.25">
      <c r="B7" s="305"/>
      <c r="C7" s="306"/>
      <c r="D7" s="327">
        <v>1</v>
      </c>
      <c r="E7" s="523">
        <v>44914</v>
      </c>
      <c r="F7" s="327" t="s">
        <v>19963</v>
      </c>
      <c r="G7" s="523" t="s">
        <v>20077</v>
      </c>
      <c r="H7" s="523" t="s">
        <v>20078</v>
      </c>
      <c r="I7" s="3961">
        <v>1978</v>
      </c>
      <c r="J7" s="526">
        <v>2001</v>
      </c>
      <c r="K7" s="526"/>
      <c r="L7" s="1016">
        <v>22200</v>
      </c>
      <c r="M7" s="1016">
        <v>7776</v>
      </c>
      <c r="N7" s="1016">
        <v>2</v>
      </c>
      <c r="O7" s="1017">
        <v>1</v>
      </c>
      <c r="P7" s="806">
        <v>2450000</v>
      </c>
      <c r="Q7" s="805">
        <f t="shared" ref="Q7:Q9" si="0">IF(dpUnit_Sales="Net Rentable Area",IF(ISERR(P7/L7),"",P7/L7),IF(dpUnit_Sales="Gross Building Area",IF(ISERR(P7/M7),"",P7/M7),IF(ISERR(P7/N7),"",P7/N7)))</f>
        <v>110.36036036036036</v>
      </c>
      <c r="R7" s="1016">
        <v>1629847</v>
      </c>
      <c r="S7" s="88"/>
      <c r="T7" s="307"/>
    </row>
    <row r="8" spans="2:40" x14ac:dyDescent="0.25">
      <c r="B8" s="305"/>
      <c r="C8" s="306"/>
      <c r="D8" s="327">
        <v>2</v>
      </c>
      <c r="E8" s="523">
        <v>44181</v>
      </c>
      <c r="F8" s="327" t="s">
        <v>19963</v>
      </c>
      <c r="G8" s="523" t="s">
        <v>20079</v>
      </c>
      <c r="H8" s="523" t="s">
        <v>19964</v>
      </c>
      <c r="I8" s="3961">
        <v>1974</v>
      </c>
      <c r="J8" s="526">
        <v>2008</v>
      </c>
      <c r="K8" s="526"/>
      <c r="L8" s="1016">
        <v>42060</v>
      </c>
      <c r="M8" s="1016">
        <v>5390</v>
      </c>
      <c r="N8" s="1016">
        <v>1</v>
      </c>
      <c r="O8" s="1017">
        <v>1</v>
      </c>
      <c r="P8" s="806">
        <v>5050000</v>
      </c>
      <c r="Q8" s="805">
        <f t="shared" si="0"/>
        <v>120.06657156443177</v>
      </c>
      <c r="R8" s="1016">
        <v>1723196</v>
      </c>
      <c r="S8" s="88"/>
      <c r="T8" s="307"/>
    </row>
    <row r="9" spans="2:40" x14ac:dyDescent="0.25">
      <c r="B9" s="305"/>
      <c r="C9" s="306"/>
      <c r="D9" s="327">
        <v>3</v>
      </c>
      <c r="E9" s="523">
        <v>43971</v>
      </c>
      <c r="F9" s="327" t="s">
        <v>19963</v>
      </c>
      <c r="G9" s="523" t="s">
        <v>20080</v>
      </c>
      <c r="H9" s="523" t="s">
        <v>20024</v>
      </c>
      <c r="I9" s="3961">
        <v>1966</v>
      </c>
      <c r="J9" s="526">
        <v>2018</v>
      </c>
      <c r="K9" s="526"/>
      <c r="L9" s="1016">
        <v>16320</v>
      </c>
      <c r="M9" s="1016">
        <v>7566</v>
      </c>
      <c r="N9" s="1016" t="s">
        <v>3</v>
      </c>
      <c r="O9" s="1017"/>
      <c r="P9" s="806">
        <v>2500000</v>
      </c>
      <c r="Q9" s="805">
        <f t="shared" si="0"/>
        <v>153.18627450980392</v>
      </c>
      <c r="R9" s="1016">
        <v>1707445</v>
      </c>
      <c r="S9" s="88"/>
      <c r="T9" s="307"/>
    </row>
    <row r="10" spans="2:40" ht="15" thickBot="1" x14ac:dyDescent="0.3">
      <c r="B10" s="305"/>
      <c r="C10" s="306"/>
      <c r="D10" s="513">
        <v>4</v>
      </c>
      <c r="E10" s="524">
        <v>45117</v>
      </c>
      <c r="F10" s="513" t="s">
        <v>19963</v>
      </c>
      <c r="G10" s="524" t="s">
        <v>20081</v>
      </c>
      <c r="H10" s="524" t="s">
        <v>19964</v>
      </c>
      <c r="I10" s="1018">
        <v>1972</v>
      </c>
      <c r="J10" s="1014">
        <v>2014</v>
      </c>
      <c r="K10" s="1014"/>
      <c r="L10" s="1676">
        <v>13613</v>
      </c>
      <c r="M10" s="1676">
        <v>6540</v>
      </c>
      <c r="N10" s="1676" t="s">
        <v>3</v>
      </c>
      <c r="O10" s="1019"/>
      <c r="P10" s="808">
        <v>2225000</v>
      </c>
      <c r="Q10" s="807">
        <f t="shared" ref="Q10" si="1">IF(dpUnit_Sales="Net Rentable Area",IF(ISERR(P10/L10),"",P10/L10),IF(dpUnit_Sales="Gross Building Area",IF(ISERR(P10/M10),"",P10/M10),IF(ISERR(P10/N10),"",P10/N10)))</f>
        <v>163.4467053551752</v>
      </c>
      <c r="R10" s="1676">
        <v>1707439</v>
      </c>
      <c r="S10" s="88"/>
      <c r="T10" s="307"/>
    </row>
    <row r="11" spans="2:40" s="144" customFormat="1" ht="15" thickBot="1" x14ac:dyDescent="0.3">
      <c r="B11" s="638"/>
      <c r="C11" s="639"/>
      <c r="D11" s="643" t="s">
        <v>865</v>
      </c>
      <c r="E11" s="1672"/>
      <c r="F11" s="1672"/>
      <c r="G11" s="1672"/>
      <c r="H11" s="1672"/>
      <c r="I11" s="1673"/>
      <c r="J11" s="1673"/>
      <c r="K11" s="1673"/>
      <c r="L11" s="1673"/>
      <c r="M11" s="1673"/>
      <c r="N11" s="1673"/>
      <c r="O11" s="1673"/>
      <c r="P11" s="1673"/>
      <c r="Q11" s="1673"/>
      <c r="R11" s="1673"/>
      <c r="S11" s="639"/>
      <c r="T11" s="642"/>
    </row>
    <row r="12" spans="2:40" s="11" customFormat="1" x14ac:dyDescent="0.25">
      <c r="B12" s="748"/>
      <c r="C12" s="644"/>
      <c r="D12" s="1674"/>
      <c r="E12" s="979">
        <v>1</v>
      </c>
      <c r="F12" s="979">
        <v>1</v>
      </c>
      <c r="G12" s="979">
        <v>1</v>
      </c>
      <c r="H12" s="979">
        <v>1</v>
      </c>
      <c r="I12" s="979">
        <v>1</v>
      </c>
      <c r="J12" s="979">
        <v>0</v>
      </c>
      <c r="K12" s="979">
        <v>0</v>
      </c>
      <c r="L12" s="979">
        <f>IF(dpUnit_Sales="Net Rentable Area",1,0)</f>
        <v>1</v>
      </c>
      <c r="M12" s="979">
        <f>IF(dpUnit_Sales="Gross Building Area",1,0)</f>
        <v>0</v>
      </c>
      <c r="N12" s="979">
        <f>IF(dpUnit_Sales="Units",1,0)</f>
        <v>0</v>
      </c>
      <c r="O12" s="979">
        <v>0</v>
      </c>
      <c r="P12" s="979">
        <v>1</v>
      </c>
      <c r="Q12" s="979">
        <v>1</v>
      </c>
      <c r="R12" s="979">
        <v>0</v>
      </c>
      <c r="S12" s="644"/>
      <c r="T12" s="644"/>
      <c r="U12" s="32"/>
      <c r="V12" s="32"/>
      <c r="W12" s="32"/>
    </row>
    <row r="13" spans="2:40" s="42" customFormat="1" ht="15" thickBot="1" x14ac:dyDescent="0.3">
      <c r="D13" s="156"/>
      <c r="E13" s="156"/>
      <c r="F13" s="156"/>
      <c r="G13" s="156"/>
      <c r="H13" s="156"/>
      <c r="I13" s="810"/>
      <c r="J13" s="810"/>
      <c r="K13" s="810"/>
      <c r="L13" s="810"/>
      <c r="M13" s="810"/>
      <c r="N13" s="810"/>
      <c r="O13" s="810"/>
      <c r="P13" s="810"/>
      <c r="Q13" s="810"/>
      <c r="R13" s="810"/>
    </row>
    <row r="14" spans="2:40" s="42" customFormat="1" x14ac:dyDescent="0.25">
      <c r="D14" s="156"/>
      <c r="E14" s="156"/>
      <c r="F14" s="156"/>
      <c r="G14" s="156"/>
      <c r="H14" s="156"/>
      <c r="I14" s="810"/>
      <c r="J14" s="810"/>
      <c r="K14" s="810"/>
      <c r="L14" s="810"/>
      <c r="M14" s="810"/>
      <c r="N14" s="810"/>
      <c r="O14" s="810"/>
      <c r="P14" s="810"/>
      <c r="Q14" s="810"/>
      <c r="R14" s="810"/>
      <c r="U14" s="143"/>
      <c r="V14" s="1"/>
      <c r="W14" s="2"/>
      <c r="X14" s="25"/>
      <c r="Y14" s="25"/>
      <c r="Z14" s="25"/>
      <c r="AA14" s="25"/>
      <c r="AB14" s="25"/>
      <c r="AC14" s="123"/>
      <c r="AD14" s="123"/>
      <c r="AE14" s="123"/>
      <c r="AF14" s="123"/>
      <c r="AG14" s="123"/>
      <c r="AH14" s="123"/>
      <c r="AI14" s="123"/>
      <c r="AJ14" s="123"/>
      <c r="AK14" s="123"/>
      <c r="AL14" s="123"/>
      <c r="AM14" s="2"/>
      <c r="AN14" s="3"/>
    </row>
    <row r="15" spans="2:40" s="42" customFormat="1" ht="16.5" x14ac:dyDescent="0.3">
      <c r="D15" s="156"/>
      <c r="E15" s="156"/>
      <c r="F15" s="156"/>
      <c r="G15" s="156"/>
      <c r="H15" s="156"/>
      <c r="I15" s="810"/>
      <c r="J15" s="810"/>
      <c r="K15" s="810"/>
      <c r="L15" s="810"/>
      <c r="M15" s="810"/>
      <c r="N15" s="810"/>
      <c r="O15" s="810"/>
      <c r="P15" s="810"/>
      <c r="Q15" s="810">
        <f>126.12+164.32+97.06+153.01</f>
        <v>540.51</v>
      </c>
      <c r="R15" s="810"/>
      <c r="U15" s="143"/>
      <c r="V15" s="4"/>
      <c r="W15" s="51"/>
      <c r="X15" s="27" t="str">
        <f>CONCATENATE("Improved Sales Summary - ",dpSales_ComponentNameB1," Component")</f>
        <v>Improved Sales Summary -  Component</v>
      </c>
      <c r="Y15" s="44"/>
      <c r="Z15" s="44"/>
      <c r="AA15" s="44"/>
      <c r="AB15" s="44"/>
      <c r="AC15" s="804"/>
      <c r="AD15" s="804"/>
      <c r="AE15" s="804"/>
      <c r="AF15" s="804"/>
      <c r="AG15" s="804"/>
      <c r="AH15" s="804"/>
      <c r="AI15" s="3960"/>
      <c r="AJ15" s="3960"/>
      <c r="AK15" s="3960"/>
      <c r="AL15" s="3960"/>
      <c r="AM15" s="51"/>
      <c r="AN15" s="6"/>
    </row>
    <row r="16" spans="2:40" x14ac:dyDescent="0.25">
      <c r="Q16" s="809">
        <f>+Q15/4</f>
        <v>135.1275</v>
      </c>
      <c r="V16" s="4"/>
      <c r="W16" s="11"/>
      <c r="X16" s="207" t="s">
        <v>94</v>
      </c>
      <c r="Y16" s="207"/>
      <c r="Z16" s="207" t="s">
        <v>105</v>
      </c>
      <c r="AA16" s="207"/>
      <c r="AB16" s="207"/>
      <c r="AC16" s="55" t="s">
        <v>110</v>
      </c>
      <c r="AD16" s="55" t="s">
        <v>110</v>
      </c>
      <c r="AE16" s="55"/>
      <c r="AF16" s="55"/>
      <c r="AG16" s="55"/>
      <c r="AH16" s="55" t="s">
        <v>1198</v>
      </c>
      <c r="AI16" s="55" t="s">
        <v>268</v>
      </c>
      <c r="AJ16" s="55" t="s">
        <v>655</v>
      </c>
      <c r="AK16" s="55"/>
      <c r="AL16" s="55" t="s">
        <v>702</v>
      </c>
      <c r="AM16" s="11"/>
      <c r="AN16" s="6"/>
    </row>
    <row r="17" spans="21:60" ht="28.5" x14ac:dyDescent="0.25">
      <c r="V17" s="4"/>
      <c r="W17" s="11"/>
      <c r="X17" s="207" t="s">
        <v>113</v>
      </c>
      <c r="Y17" s="207" t="s">
        <v>159</v>
      </c>
      <c r="Z17" s="207" t="s">
        <v>106</v>
      </c>
      <c r="AA17" s="1534" t="s">
        <v>95</v>
      </c>
      <c r="AB17" s="207" t="str">
        <f>IF(AA25=0,"Location","")</f>
        <v/>
      </c>
      <c r="AC17" s="55" t="s">
        <v>111</v>
      </c>
      <c r="AD17" s="55" t="s">
        <v>111</v>
      </c>
      <c r="AE17" s="55" t="s">
        <v>1061</v>
      </c>
      <c r="AF17" s="634" t="s">
        <v>20</v>
      </c>
      <c r="AG17" s="634" t="s">
        <v>11</v>
      </c>
      <c r="AH17" s="634" t="s">
        <v>1056</v>
      </c>
      <c r="AI17" s="55" t="s">
        <v>1280</v>
      </c>
      <c r="AJ17" s="55" t="s">
        <v>127</v>
      </c>
      <c r="AK17" s="55" t="str">
        <f>IF(dpUnit_Sales="Units","per Unit","PSF")</f>
        <v>PSF</v>
      </c>
      <c r="AL17" s="55" t="s">
        <v>126</v>
      </c>
      <c r="AM17" s="11"/>
      <c r="AN17" s="6"/>
    </row>
    <row r="18" spans="21:60" x14ac:dyDescent="0.25">
      <c r="V18" s="305"/>
      <c r="W18" s="306"/>
      <c r="X18" s="327">
        <v>1</v>
      </c>
      <c r="Y18" s="523"/>
      <c r="Z18" s="327"/>
      <c r="AA18" s="523"/>
      <c r="AB18" s="523"/>
      <c r="AC18" s="3961">
        <f t="shared" ref="AC18:AC23" si="2">IF(OR(AD18="",AD18="N/A"),AE18,AD18)</f>
        <v>0</v>
      </c>
      <c r="AD18" s="526"/>
      <c r="AE18" s="526"/>
      <c r="AF18" s="1016"/>
      <c r="AG18" s="1016"/>
      <c r="AH18" s="1016"/>
      <c r="AI18" s="1017"/>
      <c r="AJ18" s="806"/>
      <c r="AK18" s="805" t="str">
        <f t="shared" ref="AK18:AK23" si="3">IF(dpUnit_Sales="Net Rentable Area",IF(ISERR(AJ18/AF18),"",AJ18/AF18),IF(dpUnit_Sales="Gross Building Area",IF(ISERR(AJ18/AG18),"",AJ18/AG18),IF(ISERR(AJ18/AH18),"",AJ18/AH18)))</f>
        <v/>
      </c>
      <c r="AL18" s="1016"/>
      <c r="AM18" s="88"/>
      <c r="AN18" s="307"/>
    </row>
    <row r="19" spans="21:60" x14ac:dyDescent="0.25">
      <c r="V19" s="305"/>
      <c r="W19" s="306"/>
      <c r="X19" s="327">
        <v>2</v>
      </c>
      <c r="Y19" s="523"/>
      <c r="Z19" s="327"/>
      <c r="AA19" s="523"/>
      <c r="AB19" s="523"/>
      <c r="AC19" s="3961">
        <f t="shared" si="2"/>
        <v>0</v>
      </c>
      <c r="AD19" s="526"/>
      <c r="AE19" s="526"/>
      <c r="AF19" s="1016"/>
      <c r="AG19" s="1016"/>
      <c r="AH19" s="1016"/>
      <c r="AI19" s="1017"/>
      <c r="AJ19" s="806"/>
      <c r="AK19" s="805" t="str">
        <f t="shared" si="3"/>
        <v/>
      </c>
      <c r="AL19" s="1016"/>
      <c r="AM19" s="88"/>
      <c r="AN19" s="307"/>
    </row>
    <row r="20" spans="21:60" x14ac:dyDescent="0.25">
      <c r="V20" s="305"/>
      <c r="W20" s="306"/>
      <c r="X20" s="327">
        <v>3</v>
      </c>
      <c r="Y20" s="523"/>
      <c r="Z20" s="327"/>
      <c r="AA20" s="523"/>
      <c r="AB20" s="523"/>
      <c r="AC20" s="3961">
        <f t="shared" si="2"/>
        <v>0</v>
      </c>
      <c r="AD20" s="526"/>
      <c r="AE20" s="526"/>
      <c r="AF20" s="1016"/>
      <c r="AG20" s="1016"/>
      <c r="AH20" s="1016"/>
      <c r="AI20" s="1017"/>
      <c r="AJ20" s="806"/>
      <c r="AK20" s="805" t="str">
        <f t="shared" si="3"/>
        <v/>
      </c>
      <c r="AL20" s="1016"/>
      <c r="AM20" s="88"/>
      <c r="AN20" s="307"/>
    </row>
    <row r="21" spans="21:60" x14ac:dyDescent="0.25">
      <c r="V21" s="305"/>
      <c r="W21" s="306"/>
      <c r="X21" s="327">
        <v>4</v>
      </c>
      <c r="Y21" s="523"/>
      <c r="Z21" s="327"/>
      <c r="AA21" s="523"/>
      <c r="AB21" s="523"/>
      <c r="AC21" s="3961">
        <f t="shared" si="2"/>
        <v>0</v>
      </c>
      <c r="AD21" s="526"/>
      <c r="AE21" s="526"/>
      <c r="AF21" s="1016"/>
      <c r="AG21" s="1016"/>
      <c r="AH21" s="1016"/>
      <c r="AI21" s="1017"/>
      <c r="AJ21" s="806"/>
      <c r="AK21" s="805" t="str">
        <f t="shared" si="3"/>
        <v/>
      </c>
      <c r="AL21" s="1016"/>
      <c r="AM21" s="88"/>
      <c r="AN21" s="307"/>
    </row>
    <row r="22" spans="21:60" x14ac:dyDescent="0.25">
      <c r="V22" s="305"/>
      <c r="W22" s="306"/>
      <c r="X22" s="327">
        <v>5</v>
      </c>
      <c r="Y22" s="523"/>
      <c r="Z22" s="327"/>
      <c r="AA22" s="523"/>
      <c r="AB22" s="523"/>
      <c r="AC22" s="3961">
        <f t="shared" si="2"/>
        <v>0</v>
      </c>
      <c r="AD22" s="526"/>
      <c r="AE22" s="526"/>
      <c r="AF22" s="1016"/>
      <c r="AG22" s="1016"/>
      <c r="AH22" s="1016"/>
      <c r="AI22" s="1017"/>
      <c r="AJ22" s="806"/>
      <c r="AK22" s="805" t="str">
        <f t="shared" si="3"/>
        <v/>
      </c>
      <c r="AL22" s="1016"/>
      <c r="AM22" s="88"/>
      <c r="AN22" s="307"/>
    </row>
    <row r="23" spans="21:60" ht="15" thickBot="1" x14ac:dyDescent="0.3">
      <c r="V23" s="305"/>
      <c r="W23" s="306"/>
      <c r="X23" s="513">
        <v>6</v>
      </c>
      <c r="Y23" s="524"/>
      <c r="Z23" s="513"/>
      <c r="AA23" s="524"/>
      <c r="AB23" s="524"/>
      <c r="AC23" s="1018">
        <f t="shared" si="2"/>
        <v>0</v>
      </c>
      <c r="AD23" s="1014"/>
      <c r="AE23" s="1014"/>
      <c r="AF23" s="1676"/>
      <c r="AG23" s="1676"/>
      <c r="AH23" s="1676"/>
      <c r="AI23" s="1019"/>
      <c r="AJ23" s="808"/>
      <c r="AK23" s="807" t="str">
        <f t="shared" si="3"/>
        <v/>
      </c>
      <c r="AL23" s="1676"/>
      <c r="AM23" s="88"/>
      <c r="AN23" s="307"/>
    </row>
    <row r="24" spans="21:60" ht="15" thickBot="1" x14ac:dyDescent="0.3">
      <c r="U24" s="144"/>
      <c r="V24" s="638"/>
      <c r="W24" s="639"/>
      <c r="X24" s="643" t="s">
        <v>1566</v>
      </c>
      <c r="Y24" s="1672"/>
      <c r="Z24" s="1672"/>
      <c r="AA24" s="1672"/>
      <c r="AB24" s="1672"/>
      <c r="AC24" s="1673"/>
      <c r="AD24" s="1673"/>
      <c r="AE24" s="1673"/>
      <c r="AF24" s="1673"/>
      <c r="AG24" s="1673"/>
      <c r="AH24" s="1673"/>
      <c r="AI24" s="1673"/>
      <c r="AJ24" s="1673"/>
      <c r="AK24" s="1673"/>
      <c r="AL24" s="1673"/>
      <c r="AM24" s="639"/>
      <c r="AN24" s="642"/>
    </row>
    <row r="25" spans="21:60" ht="15" thickBot="1" x14ac:dyDescent="0.3">
      <c r="V25" s="1675"/>
      <c r="W25" s="1674"/>
      <c r="X25" s="1674"/>
      <c r="Y25" s="979">
        <v>1</v>
      </c>
      <c r="Z25" s="979">
        <v>1</v>
      </c>
      <c r="AA25" s="979">
        <v>1</v>
      </c>
      <c r="AB25" s="979">
        <v>1</v>
      </c>
      <c r="AC25" s="979">
        <v>1</v>
      </c>
      <c r="AD25" s="979">
        <v>0</v>
      </c>
      <c r="AE25" s="979">
        <v>0</v>
      </c>
      <c r="AF25" s="979">
        <f>IF(dpUnit_Sales_1="Net Rentable Area",1,0)</f>
        <v>1</v>
      </c>
      <c r="AG25" s="979">
        <f>IF(dpUnit_Sales_1="Gross Building Area",1,0)</f>
        <v>0</v>
      </c>
      <c r="AH25" s="979">
        <f>IF(dpUnit_Sales_1="Units",1,0)</f>
        <v>0</v>
      </c>
      <c r="AI25" s="979">
        <v>1</v>
      </c>
      <c r="AJ25" s="979">
        <v>1</v>
      </c>
      <c r="AK25" s="979">
        <v>1</v>
      </c>
      <c r="AL25" s="979">
        <v>0</v>
      </c>
      <c r="AM25" s="1674"/>
      <c r="AN25" s="644"/>
    </row>
    <row r="26" spans="21:60" x14ac:dyDescent="0.25">
      <c r="AP26" s="1"/>
      <c r="AQ26" s="2"/>
      <c r="AR26" s="25"/>
      <c r="AS26" s="25"/>
      <c r="AT26" s="25"/>
      <c r="AU26" s="25"/>
      <c r="AV26" s="25"/>
      <c r="AW26" s="123"/>
      <c r="AX26" s="123"/>
      <c r="AY26" s="123"/>
      <c r="AZ26" s="123"/>
      <c r="BA26" s="123"/>
      <c r="BB26" s="123"/>
      <c r="BC26" s="123"/>
      <c r="BD26" s="123"/>
      <c r="BE26" s="123"/>
      <c r="BF26" s="123"/>
      <c r="BG26" s="2"/>
      <c r="BH26" s="3"/>
    </row>
    <row r="27" spans="21:60" ht="16.5" x14ac:dyDescent="0.3">
      <c r="AP27" s="4"/>
      <c r="AQ27" s="51"/>
      <c r="AR27" s="27" t="str">
        <f>CONCATENATE("Improved Sales Summary - ",dpSales_ComponentNameB2," Component")</f>
        <v>Improved Sales Summary -  Component</v>
      </c>
      <c r="AS27" s="44"/>
      <c r="AT27" s="44"/>
      <c r="AU27" s="44"/>
      <c r="AV27" s="44"/>
      <c r="AW27" s="804"/>
      <c r="AX27" s="804"/>
      <c r="AY27" s="804"/>
      <c r="AZ27" s="804"/>
      <c r="BA27" s="804"/>
      <c r="BB27" s="804"/>
      <c r="BC27" s="3960"/>
      <c r="BD27" s="3960"/>
      <c r="BE27" s="3960"/>
      <c r="BF27" s="3960"/>
      <c r="BG27" s="51"/>
      <c r="BH27" s="6"/>
    </row>
    <row r="28" spans="21:60" x14ac:dyDescent="0.25">
      <c r="AP28" s="4"/>
      <c r="AQ28" s="11"/>
      <c r="AR28" s="207" t="s">
        <v>94</v>
      </c>
      <c r="AS28" s="207"/>
      <c r="AT28" s="207" t="s">
        <v>105</v>
      </c>
      <c r="AU28" s="207"/>
      <c r="AV28" s="207"/>
      <c r="AW28" s="55" t="s">
        <v>110</v>
      </c>
      <c r="AX28" s="55" t="s">
        <v>110</v>
      </c>
      <c r="AY28" s="55"/>
      <c r="AZ28" s="55"/>
      <c r="BA28" s="55"/>
      <c r="BB28" s="55" t="s">
        <v>1198</v>
      </c>
      <c r="BC28" s="55" t="s">
        <v>268</v>
      </c>
      <c r="BD28" s="55" t="s">
        <v>655</v>
      </c>
      <c r="BE28" s="55"/>
      <c r="BF28" s="55" t="s">
        <v>702</v>
      </c>
      <c r="BG28" s="11"/>
      <c r="BH28" s="6"/>
    </row>
    <row r="29" spans="21:60" ht="28.5" x14ac:dyDescent="0.25">
      <c r="AP29" s="4"/>
      <c r="AQ29" s="11"/>
      <c r="AR29" s="207" t="s">
        <v>113</v>
      </c>
      <c r="AS29" s="207" t="s">
        <v>159</v>
      </c>
      <c r="AT29" s="207" t="s">
        <v>106</v>
      </c>
      <c r="AU29" s="1534" t="s">
        <v>95</v>
      </c>
      <c r="AV29" s="207" t="str">
        <f>IF(AU37=0,"Location","")</f>
        <v/>
      </c>
      <c r="AW29" s="55" t="s">
        <v>111</v>
      </c>
      <c r="AX29" s="55" t="s">
        <v>111</v>
      </c>
      <c r="AY29" s="55" t="s">
        <v>1061</v>
      </c>
      <c r="AZ29" s="634" t="s">
        <v>20</v>
      </c>
      <c r="BA29" s="634" t="s">
        <v>11</v>
      </c>
      <c r="BB29" s="634" t="s">
        <v>1056</v>
      </c>
      <c r="BC29" s="55" t="s">
        <v>1280</v>
      </c>
      <c r="BD29" s="55" t="s">
        <v>127</v>
      </c>
      <c r="BE29" s="55" t="str">
        <f>IF(dpUnit_Sales="Units","per Unit","PSF")</f>
        <v>PSF</v>
      </c>
      <c r="BF29" s="55" t="s">
        <v>126</v>
      </c>
      <c r="BG29" s="11"/>
      <c r="BH29" s="6"/>
    </row>
    <row r="30" spans="21:60" x14ac:dyDescent="0.25">
      <c r="AP30" s="305"/>
      <c r="AQ30" s="306"/>
      <c r="AR30" s="327">
        <v>1</v>
      </c>
      <c r="AS30" s="523"/>
      <c r="AT30" s="327"/>
      <c r="AU30" s="523"/>
      <c r="AV30" s="523"/>
      <c r="AW30" s="3961">
        <f t="shared" ref="AW30:AW35" si="4">IF(OR(AX30="",AX30="N/A"),AY30,AX30)</f>
        <v>0</v>
      </c>
      <c r="AX30" s="526"/>
      <c r="AY30" s="526"/>
      <c r="AZ30" s="1016"/>
      <c r="BA30" s="1016">
        <v>105000</v>
      </c>
      <c r="BB30" s="1016"/>
      <c r="BC30" s="1017"/>
      <c r="BD30" s="806"/>
      <c r="BE30" s="805" t="str">
        <f t="shared" ref="BE30:BE35" si="5">IF(dpUnit_Sales="Net Rentable Area",IF(ISERR(BD30/AZ30),"",BD30/AZ30),IF(dpUnit_Sales="Gross Building Area",IF(ISERR(BD30/BA30),"",BD30/BA30),IF(ISERR(BD30/BB30),"",BD30/BB30)))</f>
        <v/>
      </c>
      <c r="BF30" s="1016"/>
      <c r="BG30" s="88"/>
      <c r="BH30" s="307"/>
    </row>
    <row r="31" spans="21:60" x14ac:dyDescent="0.25">
      <c r="AP31" s="305"/>
      <c r="AQ31" s="306"/>
      <c r="AR31" s="327">
        <v>2</v>
      </c>
      <c r="AS31" s="523"/>
      <c r="AT31" s="327"/>
      <c r="AU31" s="523"/>
      <c r="AV31" s="523"/>
      <c r="AW31" s="3961">
        <f t="shared" si="4"/>
        <v>0</v>
      </c>
      <c r="AX31" s="526"/>
      <c r="AY31" s="526"/>
      <c r="AZ31" s="1016"/>
      <c r="BA31" s="1016"/>
      <c r="BB31" s="1016"/>
      <c r="BC31" s="1017"/>
      <c r="BD31" s="806"/>
      <c r="BE31" s="805" t="str">
        <f t="shared" si="5"/>
        <v/>
      </c>
      <c r="BF31" s="1016"/>
      <c r="BG31" s="88"/>
      <c r="BH31" s="307"/>
    </row>
    <row r="32" spans="21:60" x14ac:dyDescent="0.25">
      <c r="AP32" s="305"/>
      <c r="AQ32" s="306"/>
      <c r="AR32" s="327">
        <v>3</v>
      </c>
      <c r="AS32" s="523"/>
      <c r="AT32" s="327"/>
      <c r="AU32" s="523"/>
      <c r="AV32" s="523"/>
      <c r="AW32" s="3961">
        <f t="shared" si="4"/>
        <v>0</v>
      </c>
      <c r="AX32" s="526"/>
      <c r="AY32" s="526"/>
      <c r="AZ32" s="1016"/>
      <c r="BA32" s="1016"/>
      <c r="BB32" s="1016"/>
      <c r="BC32" s="1017"/>
      <c r="BD32" s="806"/>
      <c r="BE32" s="805" t="str">
        <f t="shared" si="5"/>
        <v/>
      </c>
      <c r="BF32" s="1016"/>
      <c r="BG32" s="88"/>
      <c r="BH32" s="307"/>
    </row>
    <row r="33" spans="41:60" x14ac:dyDescent="0.25">
      <c r="AP33" s="305"/>
      <c r="AQ33" s="306"/>
      <c r="AR33" s="327">
        <v>4</v>
      </c>
      <c r="AS33" s="523"/>
      <c r="AT33" s="327"/>
      <c r="AU33" s="523"/>
      <c r="AV33" s="523"/>
      <c r="AW33" s="3961">
        <f t="shared" si="4"/>
        <v>0</v>
      </c>
      <c r="AX33" s="526"/>
      <c r="AY33" s="526"/>
      <c r="AZ33" s="1016"/>
      <c r="BA33" s="1016"/>
      <c r="BB33" s="1016"/>
      <c r="BC33" s="1017"/>
      <c r="BD33" s="806"/>
      <c r="BE33" s="805" t="str">
        <f t="shared" si="5"/>
        <v/>
      </c>
      <c r="BF33" s="1016"/>
      <c r="BG33" s="88"/>
      <c r="BH33" s="307"/>
    </row>
    <row r="34" spans="41:60" x14ac:dyDescent="0.25">
      <c r="AP34" s="305"/>
      <c r="AQ34" s="306"/>
      <c r="AR34" s="327">
        <v>5</v>
      </c>
      <c r="AS34" s="523"/>
      <c r="AT34" s="327"/>
      <c r="AU34" s="523"/>
      <c r="AV34" s="523"/>
      <c r="AW34" s="3961">
        <f t="shared" si="4"/>
        <v>0</v>
      </c>
      <c r="AX34" s="526"/>
      <c r="AY34" s="526"/>
      <c r="AZ34" s="1016"/>
      <c r="BA34" s="1016"/>
      <c r="BB34" s="1016"/>
      <c r="BC34" s="1017"/>
      <c r="BD34" s="806"/>
      <c r="BE34" s="805" t="str">
        <f t="shared" si="5"/>
        <v/>
      </c>
      <c r="BF34" s="1016"/>
      <c r="BG34" s="88"/>
      <c r="BH34" s="307"/>
    </row>
    <row r="35" spans="41:60" ht="15" thickBot="1" x14ac:dyDescent="0.3">
      <c r="AP35" s="305"/>
      <c r="AQ35" s="306"/>
      <c r="AR35" s="513">
        <v>6</v>
      </c>
      <c r="AS35" s="524"/>
      <c r="AT35" s="513"/>
      <c r="AU35" s="524"/>
      <c r="AV35" s="524"/>
      <c r="AW35" s="1018">
        <f t="shared" si="4"/>
        <v>0</v>
      </c>
      <c r="AX35" s="1014"/>
      <c r="AY35" s="1014"/>
      <c r="AZ35" s="1676"/>
      <c r="BA35" s="1676"/>
      <c r="BB35" s="1676"/>
      <c r="BC35" s="1019"/>
      <c r="BD35" s="808"/>
      <c r="BE35" s="807" t="str">
        <f t="shared" si="5"/>
        <v/>
      </c>
      <c r="BF35" s="1676"/>
      <c r="BG35" s="88"/>
      <c r="BH35" s="307"/>
    </row>
    <row r="36" spans="41:60" ht="15" thickBot="1" x14ac:dyDescent="0.3">
      <c r="AO36" s="144"/>
      <c r="AP36" s="638"/>
      <c r="AQ36" s="639"/>
      <c r="AR36" s="643" t="s">
        <v>1567</v>
      </c>
      <c r="AS36" s="1672"/>
      <c r="AT36" s="1672"/>
      <c r="AU36" s="1672"/>
      <c r="AV36" s="1672"/>
      <c r="AW36" s="1673"/>
      <c r="AX36" s="1673"/>
      <c r="AY36" s="1673"/>
      <c r="AZ36" s="1673"/>
      <c r="BA36" s="1673"/>
      <c r="BB36" s="1673"/>
      <c r="BC36" s="1673"/>
      <c r="BD36" s="1673"/>
      <c r="BE36" s="1673"/>
      <c r="BF36" s="1673"/>
      <c r="BG36" s="639"/>
      <c r="BH36" s="642"/>
    </row>
    <row r="37" spans="41:60" x14ac:dyDescent="0.25">
      <c r="AP37" s="748"/>
      <c r="AQ37" s="644"/>
      <c r="AR37" s="1674"/>
      <c r="AS37" s="979">
        <v>1</v>
      </c>
      <c r="AT37" s="979">
        <v>1</v>
      </c>
      <c r="AU37" s="979">
        <v>1</v>
      </c>
      <c r="AV37" s="979">
        <v>1</v>
      </c>
      <c r="AW37" s="979">
        <v>1</v>
      </c>
      <c r="AX37" s="979">
        <v>0</v>
      </c>
      <c r="AY37" s="979">
        <v>0</v>
      </c>
      <c r="AZ37" s="979">
        <f>IF(dpUnit_Sales_2="Net Rentable Area",1,0)</f>
        <v>1</v>
      </c>
      <c r="BA37" s="979">
        <f>IF(dpUnit_Sales_2="Gross Building Area",1,0)</f>
        <v>0</v>
      </c>
      <c r="BB37" s="979">
        <f>IF(dpUnit_Sales_2="Units",1,0)</f>
        <v>0</v>
      </c>
      <c r="BC37" s="979">
        <v>1</v>
      </c>
      <c r="BD37" s="979">
        <v>1</v>
      </c>
      <c r="BE37" s="979">
        <v>1</v>
      </c>
      <c r="BF37" s="979">
        <v>0</v>
      </c>
      <c r="BG37" s="644"/>
      <c r="BH37" s="644"/>
    </row>
  </sheetData>
  <printOptions horizontalCentered="1"/>
  <pageMargins left="0.5" right="0.5" top="0.75" bottom="0.75" header="0.3" footer="0.3"/>
  <pageSetup fitToHeight="0" orientation="landscape" r:id="rId1"/>
  <drawing r:id="rId2"/>
  <legacyDrawing r:id="rId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8">
    <tabColor theme="7"/>
    <pageSetUpPr fitToPage="1"/>
  </sheetPr>
  <dimension ref="A1:AI206"/>
  <sheetViews>
    <sheetView zoomScaleNormal="100" workbookViewId="0">
      <selection activeCell="D4" sqref="D4"/>
    </sheetView>
  </sheetViews>
  <sheetFormatPr defaultColWidth="9.140625" defaultRowHeight="14.25" x14ac:dyDescent="0.25"/>
  <cols>
    <col min="1" max="1" width="5.7109375" style="243" customWidth="1"/>
    <col min="2" max="2" width="1.7109375" style="42" customWidth="1"/>
    <col min="3" max="3" width="0.85546875" style="42" customWidth="1"/>
    <col min="4" max="4" width="28.7109375" style="156" customWidth="1"/>
    <col min="5" max="9" width="17.7109375" style="810" customWidth="1"/>
    <col min="10" max="10" width="0.85546875" style="42" customWidth="1"/>
    <col min="11" max="11" width="1.7109375" style="42" customWidth="1"/>
    <col min="12" max="12" width="5.7109375" style="42" customWidth="1"/>
    <col min="13" max="13" width="1.7109375" style="42" customWidth="1"/>
    <col min="14" max="14" width="0.85546875" style="42" customWidth="1"/>
    <col min="15" max="15" width="28.7109375" style="42" customWidth="1"/>
    <col min="16" max="21" width="17.7109375" style="42" customWidth="1"/>
    <col min="22" max="22" width="0.85546875" style="42" customWidth="1"/>
    <col min="23" max="23" width="1.7109375" style="42" customWidth="1"/>
    <col min="24" max="24" width="5.7109375" style="42" customWidth="1"/>
    <col min="25" max="25" width="1.7109375" style="42" customWidth="1"/>
    <col min="26" max="26" width="0.85546875" style="42" customWidth="1"/>
    <col min="27" max="27" width="28.7109375" style="42" customWidth="1"/>
    <col min="28" max="33" width="17.7109375" style="42" customWidth="1"/>
    <col min="34" max="34" width="0.85546875" style="42" customWidth="1"/>
    <col min="35" max="35" width="1.7109375" style="42" customWidth="1"/>
    <col min="36" max="16384" width="9.140625" style="42"/>
  </cols>
  <sheetData>
    <row r="1" spans="1:11" ht="60" customHeight="1" x14ac:dyDescent="0.25"/>
    <row r="2" spans="1:11" ht="57" customHeight="1" thickBot="1" x14ac:dyDescent="0.3">
      <c r="B2" s="331"/>
      <c r="C2" s="331"/>
      <c r="D2" s="332"/>
      <c r="E2" s="1040"/>
      <c r="F2" s="1040"/>
      <c r="G2" s="1040"/>
      <c r="H2" s="1040"/>
      <c r="I2" s="1040"/>
      <c r="J2" s="331"/>
      <c r="K2" s="331"/>
    </row>
    <row r="3" spans="1:11" x14ac:dyDescent="0.25">
      <c r="B3" s="174"/>
      <c r="C3" s="18"/>
      <c r="D3" s="28"/>
      <c r="E3" s="1020"/>
      <c r="F3" s="1020"/>
      <c r="G3" s="1020"/>
      <c r="H3" s="1020"/>
      <c r="I3" s="1020"/>
      <c r="J3" s="18"/>
      <c r="K3" s="74"/>
    </row>
    <row r="4" spans="1:11" ht="15" customHeight="1" x14ac:dyDescent="0.3">
      <c r="B4" s="174"/>
      <c r="C4" s="18"/>
      <c r="D4" s="27" t="s">
        <v>514</v>
      </c>
      <c r="E4" s="1021"/>
      <c r="F4" s="1021"/>
      <c r="G4" s="1021"/>
      <c r="H4" s="1020"/>
      <c r="I4" s="1021"/>
      <c r="J4" s="18"/>
      <c r="K4" s="74"/>
    </row>
    <row r="5" spans="1:11" ht="15" customHeight="1" x14ac:dyDescent="0.25">
      <c r="B5" s="174"/>
      <c r="C5" s="11"/>
      <c r="D5" s="207"/>
      <c r="E5" s="1041">
        <v>1</v>
      </c>
      <c r="F5" s="1041">
        <v>2</v>
      </c>
      <c r="G5" s="1041">
        <v>3</v>
      </c>
      <c r="H5" s="1041">
        <v>4</v>
      </c>
      <c r="I5" s="1041">
        <v>5</v>
      </c>
      <c r="J5" s="11"/>
      <c r="K5" s="74"/>
    </row>
    <row r="6" spans="1:11" ht="15" customHeight="1" x14ac:dyDescent="0.25">
      <c r="A6" s="972">
        <v>1</v>
      </c>
      <c r="B6" s="174"/>
      <c r="C6" s="18"/>
      <c r="D6" s="327" t="s">
        <v>703</v>
      </c>
      <c r="E6" s="1013">
        <v>1629847</v>
      </c>
      <c r="F6" s="1013">
        <v>1723196</v>
      </c>
      <c r="G6" s="1013">
        <v>1722896</v>
      </c>
      <c r="H6" s="1013">
        <v>1707445</v>
      </c>
      <c r="I6" s="1013">
        <v>1707439</v>
      </c>
      <c r="J6" s="18"/>
      <c r="K6" s="74"/>
    </row>
    <row r="7" spans="1:11" ht="15" customHeight="1" x14ac:dyDescent="0.25">
      <c r="A7" s="972">
        <v>1</v>
      </c>
      <c r="B7" s="174"/>
      <c r="C7" s="18"/>
      <c r="D7" s="327" t="s">
        <v>0</v>
      </c>
      <c r="E7" s="1013" t="s">
        <v>19904</v>
      </c>
      <c r="F7" s="1013" t="s">
        <v>19906</v>
      </c>
      <c r="G7" s="1013" t="s">
        <v>19908</v>
      </c>
      <c r="H7" s="1013" t="s">
        <v>19926</v>
      </c>
      <c r="I7" s="1013" t="s">
        <v>19928</v>
      </c>
      <c r="J7" s="18"/>
      <c r="K7" s="74"/>
    </row>
    <row r="8" spans="1:11" ht="15" customHeight="1" x14ac:dyDescent="0.25">
      <c r="A8" s="972">
        <v>1</v>
      </c>
      <c r="B8" s="174"/>
      <c r="C8" s="18"/>
      <c r="D8" s="327" t="s">
        <v>95</v>
      </c>
      <c r="E8" s="1013" t="s">
        <v>19905</v>
      </c>
      <c r="F8" s="1013" t="s">
        <v>19907</v>
      </c>
      <c r="G8" s="1013" t="s">
        <v>19909</v>
      </c>
      <c r="H8" s="1013" t="s">
        <v>19927</v>
      </c>
      <c r="I8" s="1013" t="s">
        <v>19929</v>
      </c>
      <c r="J8" s="18"/>
      <c r="K8" s="74"/>
    </row>
    <row r="9" spans="1:11" ht="15" customHeight="1" x14ac:dyDescent="0.25">
      <c r="A9" s="972">
        <v>1</v>
      </c>
      <c r="B9" s="174"/>
      <c r="C9" s="18"/>
      <c r="D9" s="327"/>
      <c r="E9" s="1013" t="s">
        <v>19863</v>
      </c>
      <c r="F9" s="1013" t="s">
        <v>19863</v>
      </c>
      <c r="G9" s="1013" t="s">
        <v>19863</v>
      </c>
      <c r="H9" s="1013" t="s">
        <v>19855</v>
      </c>
      <c r="I9" s="1013" t="s">
        <v>19863</v>
      </c>
      <c r="J9" s="18"/>
      <c r="K9" s="74"/>
    </row>
    <row r="10" spans="1:11" ht="15" customHeight="1" x14ac:dyDescent="0.25">
      <c r="A10" s="972">
        <v>1</v>
      </c>
      <c r="B10" s="174"/>
      <c r="C10" s="18"/>
      <c r="D10" s="327" t="s">
        <v>308</v>
      </c>
      <c r="E10" s="1013" t="s">
        <v>1878</v>
      </c>
      <c r="F10" s="1013" t="s">
        <v>2023</v>
      </c>
      <c r="G10" s="1013" t="s">
        <v>2023</v>
      </c>
      <c r="H10" s="1013" t="s">
        <v>1878</v>
      </c>
      <c r="I10" s="1013" t="s">
        <v>1878</v>
      </c>
      <c r="J10" s="18"/>
      <c r="K10" s="74"/>
    </row>
    <row r="11" spans="1:11" ht="15" customHeight="1" x14ac:dyDescent="0.25">
      <c r="A11" s="972">
        <v>1</v>
      </c>
      <c r="B11" s="174"/>
      <c r="C11" s="18"/>
      <c r="D11" s="327" t="s">
        <v>743</v>
      </c>
      <c r="E11" s="1013" t="s">
        <v>18935</v>
      </c>
      <c r="F11" s="1013" t="s">
        <v>19915</v>
      </c>
      <c r="G11" s="1013" t="s">
        <v>19915</v>
      </c>
      <c r="H11" s="1013" t="s">
        <v>18935</v>
      </c>
      <c r="I11" s="1013" t="s">
        <v>18935</v>
      </c>
      <c r="J11" s="18"/>
      <c r="K11" s="74"/>
    </row>
    <row r="12" spans="1:11" ht="15" customHeight="1" x14ac:dyDescent="0.25">
      <c r="A12" s="972">
        <v>1</v>
      </c>
      <c r="B12" s="174"/>
      <c r="C12" s="18"/>
      <c r="D12" s="327" t="s">
        <v>716</v>
      </c>
      <c r="E12" s="1013" t="s">
        <v>19865</v>
      </c>
      <c r="F12" s="1013" t="s">
        <v>19865</v>
      </c>
      <c r="G12" s="1013" t="s">
        <v>19865</v>
      </c>
      <c r="H12" s="1013" t="s">
        <v>19865</v>
      </c>
      <c r="I12" s="1013" t="s">
        <v>19865</v>
      </c>
      <c r="J12" s="18"/>
      <c r="K12" s="74"/>
    </row>
    <row r="13" spans="1:11" ht="15" customHeight="1" x14ac:dyDescent="0.25">
      <c r="A13" s="972">
        <v>1</v>
      </c>
      <c r="B13" s="174"/>
      <c r="C13" s="18"/>
      <c r="D13" s="327" t="s">
        <v>717</v>
      </c>
      <c r="E13" s="1023" t="s">
        <v>19910</v>
      </c>
      <c r="F13" s="1023" t="s">
        <v>19917</v>
      </c>
      <c r="G13" s="1023" t="s">
        <v>19922</v>
      </c>
      <c r="H13" s="1023" t="s">
        <v>19930</v>
      </c>
      <c r="I13" s="1023" t="s">
        <v>19936</v>
      </c>
      <c r="J13" s="18"/>
      <c r="K13" s="74"/>
    </row>
    <row r="14" spans="1:11" ht="20.100000000000001" customHeight="1" x14ac:dyDescent="0.25">
      <c r="A14" s="957">
        <v>1</v>
      </c>
      <c r="B14" s="174"/>
      <c r="C14" s="18"/>
      <c r="D14" s="309" t="s">
        <v>715</v>
      </c>
      <c r="E14" s="1042"/>
      <c r="F14" s="1042"/>
      <c r="G14" s="1042"/>
      <c r="H14" s="1042"/>
      <c r="I14" s="1042"/>
      <c r="J14" s="18"/>
      <c r="K14" s="74"/>
    </row>
    <row r="15" spans="1:11" ht="15" customHeight="1" x14ac:dyDescent="0.25">
      <c r="A15" s="972">
        <v>1</v>
      </c>
      <c r="B15" s="174"/>
      <c r="C15" s="18"/>
      <c r="D15" s="431" t="s">
        <v>159</v>
      </c>
      <c r="E15" s="1022">
        <v>44781</v>
      </c>
      <c r="F15" s="1022">
        <v>45237</v>
      </c>
      <c r="G15" s="1022">
        <v>45138</v>
      </c>
      <c r="H15" s="1022">
        <v>44860</v>
      </c>
      <c r="I15" s="1022">
        <v>44770</v>
      </c>
      <c r="J15" s="18"/>
      <c r="K15" s="74"/>
    </row>
    <row r="16" spans="1:11" ht="15" customHeight="1" x14ac:dyDescent="0.25">
      <c r="A16" s="972">
        <v>1</v>
      </c>
      <c r="B16" s="174"/>
      <c r="C16" s="18"/>
      <c r="D16" s="431" t="s">
        <v>719</v>
      </c>
      <c r="E16" s="1022" t="s">
        <v>19911</v>
      </c>
      <c r="F16" s="1022" t="s">
        <v>19918</v>
      </c>
      <c r="G16" s="1022" t="s">
        <v>19923</v>
      </c>
      <c r="H16" s="1022" t="s">
        <v>19931</v>
      </c>
      <c r="I16" s="1022" t="s">
        <v>19937</v>
      </c>
      <c r="J16" s="18"/>
      <c r="K16" s="74"/>
    </row>
    <row r="17" spans="1:11" ht="15" customHeight="1" x14ac:dyDescent="0.25">
      <c r="A17" s="972">
        <v>1</v>
      </c>
      <c r="B17" s="174"/>
      <c r="C17" s="18"/>
      <c r="D17" s="431" t="s">
        <v>720</v>
      </c>
      <c r="E17" s="1022" t="s">
        <v>19912</v>
      </c>
      <c r="F17" s="1022" t="s">
        <v>19919</v>
      </c>
      <c r="G17" s="1022" t="s">
        <v>19924</v>
      </c>
      <c r="H17" s="1022" t="s">
        <v>19932</v>
      </c>
      <c r="I17" s="1022" t="s">
        <v>19938</v>
      </c>
      <c r="J17" s="18"/>
      <c r="K17" s="74"/>
    </row>
    <row r="18" spans="1:11" ht="15" hidden="1" customHeight="1" x14ac:dyDescent="0.25">
      <c r="A18" s="972">
        <v>0</v>
      </c>
      <c r="B18" s="174"/>
      <c r="C18" s="18"/>
      <c r="D18" s="431" t="s">
        <v>723</v>
      </c>
      <c r="E18" s="1028" t="s">
        <v>19913</v>
      </c>
      <c r="F18" s="1028" t="s">
        <v>19920</v>
      </c>
      <c r="G18" s="1028" t="s">
        <v>19925</v>
      </c>
      <c r="H18" s="1028" t="s">
        <v>19933</v>
      </c>
      <c r="I18" s="1028" t="s">
        <v>19939</v>
      </c>
      <c r="J18" s="18"/>
      <c r="K18" s="74"/>
    </row>
    <row r="19" spans="1:11" ht="15" hidden="1" customHeight="1" x14ac:dyDescent="0.25">
      <c r="A19" s="972">
        <v>0</v>
      </c>
      <c r="B19" s="174"/>
      <c r="C19" s="18"/>
      <c r="D19" s="431" t="s">
        <v>722</v>
      </c>
      <c r="E19" s="1028" t="s">
        <v>545</v>
      </c>
      <c r="F19" s="1028" t="s">
        <v>545</v>
      </c>
      <c r="G19" s="1028" t="s">
        <v>545</v>
      </c>
      <c r="H19" s="1028" t="s">
        <v>545</v>
      </c>
      <c r="I19" s="1028" t="s">
        <v>545</v>
      </c>
      <c r="J19" s="18"/>
      <c r="K19" s="74"/>
    </row>
    <row r="20" spans="1:11" ht="15" customHeight="1" x14ac:dyDescent="0.25">
      <c r="A20" s="972">
        <v>1</v>
      </c>
      <c r="B20" s="174"/>
      <c r="C20" s="18"/>
      <c r="D20" s="431" t="s">
        <v>721</v>
      </c>
      <c r="E20" s="1028" t="str">
        <f t="shared" ref="E20:H20" si="0">IF(AND(E18="",E19=""),"N/A",IF(E18="",E19,E18))</f>
        <v>2022000255814</v>
      </c>
      <c r="F20" s="1028" t="str">
        <f t="shared" si="0"/>
        <v>2023000359887</v>
      </c>
      <c r="G20" s="1028" t="str">
        <f>IF(AND(G18="",G19=""),"N/A",IF(G18="",G19,G18))</f>
        <v>2023000257929</v>
      </c>
      <c r="H20" s="1028" t="str">
        <f t="shared" si="0"/>
        <v>2022000324265</v>
      </c>
      <c r="I20" s="1028" t="str">
        <f t="shared" ref="I20" si="1">IF(AND(I18="",I19=""),"N/A",IF(I18="",I19,I18))</f>
        <v>2022000251181</v>
      </c>
      <c r="J20" s="18"/>
      <c r="K20" s="74"/>
    </row>
    <row r="21" spans="1:11" x14ac:dyDescent="0.25">
      <c r="A21" s="972">
        <v>1</v>
      </c>
      <c r="B21" s="174"/>
      <c r="C21" s="18"/>
      <c r="D21" s="431" t="s">
        <v>164</v>
      </c>
      <c r="E21" s="1013" t="s">
        <v>18229</v>
      </c>
      <c r="F21" s="1013" t="s">
        <v>18229</v>
      </c>
      <c r="G21" s="1013" t="s">
        <v>18260</v>
      </c>
      <c r="H21" s="1013" t="s">
        <v>18229</v>
      </c>
      <c r="I21" s="1013" t="s">
        <v>18229</v>
      </c>
      <c r="J21" s="18"/>
      <c r="K21" s="74"/>
    </row>
    <row r="22" spans="1:11" x14ac:dyDescent="0.25">
      <c r="A22" s="972">
        <v>1</v>
      </c>
      <c r="B22" s="174"/>
      <c r="C22" s="18"/>
      <c r="D22" s="431" t="s">
        <v>736</v>
      </c>
      <c r="E22" s="1013" t="s">
        <v>969</v>
      </c>
      <c r="F22" s="1013" t="s">
        <v>969</v>
      </c>
      <c r="G22" s="1013" t="s">
        <v>969</v>
      </c>
      <c r="H22" s="1013" t="s">
        <v>969</v>
      </c>
      <c r="I22" s="1013" t="s">
        <v>969</v>
      </c>
      <c r="J22" s="18"/>
      <c r="K22" s="74"/>
    </row>
    <row r="23" spans="1:11" x14ac:dyDescent="0.25">
      <c r="A23" s="972">
        <v>1</v>
      </c>
      <c r="B23" s="174"/>
      <c r="C23" s="18"/>
      <c r="D23" s="431" t="s">
        <v>284</v>
      </c>
      <c r="E23" s="1013" t="s">
        <v>19870</v>
      </c>
      <c r="F23" s="1013" t="s">
        <v>175</v>
      </c>
      <c r="G23" s="1013" t="s">
        <v>175</v>
      </c>
      <c r="H23" s="1013" t="s">
        <v>175</v>
      </c>
      <c r="I23" s="1013" t="s">
        <v>175</v>
      </c>
      <c r="J23" s="18"/>
      <c r="K23" s="74"/>
    </row>
    <row r="24" spans="1:11" ht="20.100000000000001" customHeight="1" x14ac:dyDescent="0.25">
      <c r="A24" s="957">
        <v>1</v>
      </c>
      <c r="B24" s="174"/>
      <c r="C24" s="18"/>
      <c r="D24" s="116" t="s">
        <v>516</v>
      </c>
      <c r="E24" s="1020"/>
      <c r="F24" s="1042"/>
      <c r="G24" s="1042"/>
      <c r="H24" s="1020"/>
      <c r="I24" s="1042"/>
      <c r="J24" s="18"/>
      <c r="K24" s="74"/>
    </row>
    <row r="25" spans="1:11" x14ac:dyDescent="0.25">
      <c r="A25" s="972">
        <v>1</v>
      </c>
      <c r="B25" s="174"/>
      <c r="C25" s="18"/>
      <c r="D25" s="431" t="s">
        <v>1303</v>
      </c>
      <c r="E25" s="806">
        <v>2925000</v>
      </c>
      <c r="F25" s="1027">
        <v>2030000</v>
      </c>
      <c r="G25" s="1027">
        <v>1125000</v>
      </c>
      <c r="H25" s="806">
        <v>3497000</v>
      </c>
      <c r="I25" s="1027">
        <v>3825000</v>
      </c>
      <c r="J25" s="18"/>
      <c r="K25" s="74"/>
    </row>
    <row r="26" spans="1:11" x14ac:dyDescent="0.25">
      <c r="A26" s="972">
        <f>IF(dpUnit_Sales="Net Rentable Area",1,0)</f>
        <v>1</v>
      </c>
      <c r="B26" s="174"/>
      <c r="C26" s="18"/>
      <c r="D26" s="431"/>
      <c r="E26" s="1043">
        <f t="shared" ref="E26:H26" si="2">E25/E$58</f>
        <v>376.15740740740739</v>
      </c>
      <c r="F26" s="1043">
        <f t="shared" si="2"/>
        <v>376.6233766233766</v>
      </c>
      <c r="G26" s="1043">
        <f t="shared" si="2"/>
        <v>373.25812873258127</v>
      </c>
      <c r="H26" s="1043">
        <f t="shared" si="2"/>
        <v>456.82560418027435</v>
      </c>
      <c r="I26" s="1043">
        <f t="shared" ref="I26" si="3">I25/I$58</f>
        <v>584.86238532110087</v>
      </c>
      <c r="J26" s="18"/>
      <c r="K26" s="74"/>
    </row>
    <row r="27" spans="1:11" hidden="1" x14ac:dyDescent="0.25">
      <c r="A27" s="972">
        <f>IF(dpUnit_Sales="Net Rentable Area",0,1)</f>
        <v>0</v>
      </c>
      <c r="B27" s="174"/>
      <c r="C27" s="18"/>
      <c r="D27" s="431"/>
      <c r="E27" s="1043">
        <f t="shared" ref="E27:H27" si="4">E25/E$59</f>
        <v>376.15740740740739</v>
      </c>
      <c r="F27" s="1043">
        <f t="shared" si="4"/>
        <v>376.6233766233766</v>
      </c>
      <c r="G27" s="1043">
        <f t="shared" si="4"/>
        <v>373.25812873258127</v>
      </c>
      <c r="H27" s="1043">
        <f t="shared" si="4"/>
        <v>462.19931271477662</v>
      </c>
      <c r="I27" s="1043">
        <f t="shared" ref="I27" si="5">I25/I$59</f>
        <v>584.86238532110087</v>
      </c>
      <c r="J27" s="18"/>
      <c r="K27" s="74"/>
    </row>
    <row r="28" spans="1:11" hidden="1" x14ac:dyDescent="0.25">
      <c r="A28" s="972">
        <f>IF(dpSale_Method="Whole Property",0,1)</f>
        <v>0</v>
      </c>
      <c r="B28" s="174"/>
      <c r="C28" s="18"/>
      <c r="D28" s="431" t="s">
        <v>1568</v>
      </c>
      <c r="E28" s="806"/>
      <c r="F28" s="1027"/>
      <c r="G28" s="1027"/>
      <c r="H28" s="806">
        <v>3497000</v>
      </c>
      <c r="I28" s="1027">
        <v>3825000</v>
      </c>
      <c r="J28" s="18"/>
      <c r="K28" s="74"/>
    </row>
    <row r="29" spans="1:11" hidden="1" x14ac:dyDescent="0.25">
      <c r="A29" s="972">
        <f>IF(dpSale_Method="Whole Property",0,1)</f>
        <v>0</v>
      </c>
      <c r="B29" s="174"/>
      <c r="C29" s="18"/>
      <c r="D29" s="431"/>
      <c r="E29" s="1043">
        <f t="shared" ref="E29:H29" si="6">E28/E$58</f>
        <v>0</v>
      </c>
      <c r="F29" s="1043">
        <f t="shared" si="6"/>
        <v>0</v>
      </c>
      <c r="G29" s="1043">
        <f t="shared" si="6"/>
        <v>0</v>
      </c>
      <c r="H29" s="1043">
        <f t="shared" si="6"/>
        <v>456.82560418027435</v>
      </c>
      <c r="I29" s="1043">
        <f t="shared" ref="I29" si="7">I28/I$58</f>
        <v>584.86238532110087</v>
      </c>
      <c r="J29" s="18"/>
      <c r="K29" s="74"/>
    </row>
    <row r="30" spans="1:11" x14ac:dyDescent="0.25">
      <c r="A30" s="972">
        <v>1</v>
      </c>
      <c r="B30" s="174"/>
      <c r="C30" s="18"/>
      <c r="D30" s="431" t="s">
        <v>547</v>
      </c>
      <c r="E30" s="1017">
        <v>1</v>
      </c>
      <c r="F30" s="1017">
        <v>1</v>
      </c>
      <c r="G30" s="1017"/>
      <c r="H30" s="1017"/>
      <c r="I30" s="1017"/>
      <c r="J30" s="18"/>
      <c r="K30" s="74"/>
    </row>
    <row r="31" spans="1:11" x14ac:dyDescent="0.25">
      <c r="A31" s="972">
        <v>1</v>
      </c>
      <c r="B31" s="174"/>
      <c r="C31" s="18"/>
      <c r="D31" s="431" t="s">
        <v>433</v>
      </c>
      <c r="E31" s="1044" t="s">
        <v>3</v>
      </c>
      <c r="F31" s="1031" t="s">
        <v>3</v>
      </c>
      <c r="G31" s="1031" t="s">
        <v>3</v>
      </c>
      <c r="H31" s="1044" t="s">
        <v>3</v>
      </c>
      <c r="I31" s="1031" t="s">
        <v>3</v>
      </c>
      <c r="J31" s="18"/>
      <c r="K31" s="74"/>
    </row>
    <row r="32" spans="1:11" x14ac:dyDescent="0.25">
      <c r="A32" s="972">
        <v>1</v>
      </c>
      <c r="B32" s="174"/>
      <c r="C32" s="18"/>
      <c r="D32" s="431" t="s">
        <v>518</v>
      </c>
      <c r="E32" s="1045" t="s">
        <v>3</v>
      </c>
      <c r="F32" s="1046" t="s">
        <v>3</v>
      </c>
      <c r="G32" s="1046" t="s">
        <v>3</v>
      </c>
      <c r="H32" s="1045" t="s">
        <v>3</v>
      </c>
      <c r="I32" s="1046" t="s">
        <v>3</v>
      </c>
      <c r="J32" s="18"/>
      <c r="K32" s="74"/>
    </row>
    <row r="33" spans="1:11" x14ac:dyDescent="0.25">
      <c r="A33" s="972">
        <v>1</v>
      </c>
      <c r="B33" s="174"/>
      <c r="C33" s="18"/>
      <c r="D33" s="431" t="s">
        <v>1327</v>
      </c>
      <c r="E33" s="805" t="s">
        <v>3</v>
      </c>
      <c r="F33" s="1026" t="s">
        <v>3</v>
      </c>
      <c r="G33" s="1026" t="s">
        <v>3</v>
      </c>
      <c r="H33" s="805" t="s">
        <v>3</v>
      </c>
      <c r="I33" s="1026" t="s">
        <v>3</v>
      </c>
      <c r="J33" s="18"/>
      <c r="K33" s="74"/>
    </row>
    <row r="34" spans="1:11" hidden="1" x14ac:dyDescent="0.25">
      <c r="A34" s="972">
        <v>0</v>
      </c>
      <c r="B34" s="174"/>
      <c r="C34" s="18"/>
      <c r="D34" s="431" t="s">
        <v>1408</v>
      </c>
      <c r="E34" s="1016"/>
      <c r="F34" s="1029"/>
      <c r="G34" s="1029"/>
      <c r="H34" s="1016"/>
      <c r="I34" s="1029"/>
      <c r="J34" s="18"/>
      <c r="K34" s="74"/>
    </row>
    <row r="35" spans="1:11" hidden="1" x14ac:dyDescent="0.25">
      <c r="A35" s="972">
        <f>IF(SUM(E35:H35)&gt;1,1,0)</f>
        <v>0</v>
      </c>
      <c r="B35" s="174"/>
      <c r="C35" s="18"/>
      <c r="D35" s="431" t="s">
        <v>1409</v>
      </c>
      <c r="E35" s="1373">
        <f t="shared" ref="E35:H35" si="8">E34/12</f>
        <v>0</v>
      </c>
      <c r="F35" s="1373">
        <f t="shared" si="8"/>
        <v>0</v>
      </c>
      <c r="G35" s="1373">
        <f t="shared" si="8"/>
        <v>0</v>
      </c>
      <c r="H35" s="1373">
        <f t="shared" si="8"/>
        <v>0</v>
      </c>
      <c r="I35" s="1373">
        <f t="shared" ref="I35" si="9">I34/12</f>
        <v>0</v>
      </c>
      <c r="J35" s="18"/>
      <c r="K35" s="74"/>
    </row>
    <row r="36" spans="1:11" ht="20.100000000000001" customHeight="1" x14ac:dyDescent="0.25">
      <c r="A36" s="957">
        <v>1</v>
      </c>
      <c r="B36" s="174"/>
      <c r="C36" s="18"/>
      <c r="D36" s="309" t="s">
        <v>517</v>
      </c>
      <c r="E36" s="1020"/>
      <c r="F36" s="1042"/>
      <c r="G36" s="1042"/>
      <c r="H36" s="1020"/>
      <c r="I36" s="1042"/>
      <c r="J36" s="18"/>
      <c r="K36" s="74"/>
    </row>
    <row r="37" spans="1:11" x14ac:dyDescent="0.25">
      <c r="A37" s="972">
        <v>1</v>
      </c>
      <c r="B37" s="174"/>
      <c r="C37" s="18"/>
      <c r="D37" s="431" t="s">
        <v>127</v>
      </c>
      <c r="E37" s="806">
        <v>2925000</v>
      </c>
      <c r="F37" s="1027">
        <v>2030000</v>
      </c>
      <c r="G37" s="1027">
        <v>1125000</v>
      </c>
      <c r="H37" s="806">
        <v>3497000</v>
      </c>
      <c r="I37" s="1027">
        <v>3825000</v>
      </c>
      <c r="J37" s="18"/>
      <c r="K37" s="74"/>
    </row>
    <row r="38" spans="1:11" x14ac:dyDescent="0.25">
      <c r="A38" s="972">
        <f>IF(dpUnit_Sales="Net Rentable Area",1,0)</f>
        <v>1</v>
      </c>
      <c r="B38" s="174"/>
      <c r="C38" s="18"/>
      <c r="D38" s="431"/>
      <c r="E38" s="1043">
        <f t="shared" ref="E38:H38" si="10">E37/E$58</f>
        <v>376.15740740740739</v>
      </c>
      <c r="F38" s="1043">
        <f t="shared" si="10"/>
        <v>376.6233766233766</v>
      </c>
      <c r="G38" s="1043">
        <f t="shared" si="10"/>
        <v>373.25812873258127</v>
      </c>
      <c r="H38" s="1043">
        <f t="shared" si="10"/>
        <v>456.82560418027435</v>
      </c>
      <c r="I38" s="1043">
        <f t="shared" ref="I38" si="11">I37/I$58</f>
        <v>584.86238532110087</v>
      </c>
      <c r="J38" s="18"/>
      <c r="K38" s="74"/>
    </row>
    <row r="39" spans="1:11" hidden="1" x14ac:dyDescent="0.25">
      <c r="A39" s="972">
        <f>IF(dpUnit_Sales="Gross Building Area",1,0)</f>
        <v>0</v>
      </c>
      <c r="B39" s="174"/>
      <c r="C39" s="18"/>
      <c r="D39" s="431"/>
      <c r="E39" s="1043">
        <f t="shared" ref="E39:H39" si="12">E37/E$59</f>
        <v>376.15740740740739</v>
      </c>
      <c r="F39" s="1043">
        <f t="shared" si="12"/>
        <v>376.6233766233766</v>
      </c>
      <c r="G39" s="1043">
        <f t="shared" si="12"/>
        <v>373.25812873258127</v>
      </c>
      <c r="H39" s="1043">
        <f t="shared" si="12"/>
        <v>462.19931271477662</v>
      </c>
      <c r="I39" s="1043">
        <f t="shared" ref="I39" si="13">I37/I$59</f>
        <v>584.86238532110087</v>
      </c>
      <c r="J39" s="18"/>
      <c r="K39" s="74"/>
    </row>
    <row r="40" spans="1:11" hidden="1" x14ac:dyDescent="0.25">
      <c r="A40" s="972">
        <f>IF(dpUnit_Sales="Units",1,0)</f>
        <v>0</v>
      </c>
      <c r="B40" s="174"/>
      <c r="C40" s="18"/>
      <c r="D40" s="431"/>
      <c r="E40" s="526">
        <f t="shared" ref="E40:H40" si="14">E38/E$60</f>
        <v>188.0787037037037</v>
      </c>
      <c r="F40" s="526">
        <f t="shared" si="14"/>
        <v>376.6233766233766</v>
      </c>
      <c r="G40" s="526">
        <f t="shared" si="14"/>
        <v>373.25812873258127</v>
      </c>
      <c r="H40" s="526" t="e">
        <f t="shared" si="14"/>
        <v>#VALUE!</v>
      </c>
      <c r="I40" s="526" t="e">
        <f t="shared" ref="I40" si="15">I38/I$60</f>
        <v>#VALUE!</v>
      </c>
      <c r="J40" s="18"/>
      <c r="K40" s="74"/>
    </row>
    <row r="41" spans="1:11" hidden="1" x14ac:dyDescent="0.25">
      <c r="A41" s="972">
        <f>IF(dpSale_Method="Whole Property",0,1)</f>
        <v>0</v>
      </c>
      <c r="B41" s="174"/>
      <c r="C41" s="18"/>
      <c r="D41" s="431" t="s">
        <v>1568</v>
      </c>
      <c r="E41" s="806">
        <f t="shared" ref="E41:H41" si="16">E37-(E25-E28)</f>
        <v>0</v>
      </c>
      <c r="F41" s="806">
        <f t="shared" si="16"/>
        <v>0</v>
      </c>
      <c r="G41" s="806">
        <f t="shared" si="16"/>
        <v>0</v>
      </c>
      <c r="H41" s="806">
        <f t="shared" si="16"/>
        <v>3497000</v>
      </c>
      <c r="I41" s="806">
        <f t="shared" ref="I41" si="17">I37-(I25-I28)</f>
        <v>3825000</v>
      </c>
      <c r="J41" s="18"/>
      <c r="K41" s="74"/>
    </row>
    <row r="42" spans="1:11" hidden="1" x14ac:dyDescent="0.25">
      <c r="A42" s="972">
        <f>IF(AND(dpSale_Method="Whole Property",dpUnit_Sales="Net Rentable Area"),0,1)</f>
        <v>0</v>
      </c>
      <c r="B42" s="174"/>
      <c r="C42" s="18"/>
      <c r="D42" s="431"/>
      <c r="E42" s="1043">
        <f t="shared" ref="E42:H42" si="18">E41/E$58</f>
        <v>0</v>
      </c>
      <c r="F42" s="1043">
        <f t="shared" si="18"/>
        <v>0</v>
      </c>
      <c r="G42" s="1043">
        <f t="shared" si="18"/>
        <v>0</v>
      </c>
      <c r="H42" s="1043">
        <f t="shared" si="18"/>
        <v>456.82560418027435</v>
      </c>
      <c r="I42" s="1043">
        <f t="shared" ref="I42" si="19">I41/I$58</f>
        <v>584.86238532110087</v>
      </c>
      <c r="J42" s="18"/>
      <c r="K42" s="74"/>
    </row>
    <row r="43" spans="1:11" x14ac:dyDescent="0.25">
      <c r="A43" s="972">
        <f>IF(AND(dpSale_Method="Whole Property",dpUnit_Sales="Gross Building Area"),0,1)</f>
        <v>1</v>
      </c>
      <c r="B43" s="174"/>
      <c r="C43" s="18"/>
      <c r="D43" s="431"/>
      <c r="E43" s="1043">
        <f t="shared" ref="E43:H43" si="20">E41/E$59</f>
        <v>0</v>
      </c>
      <c r="F43" s="1043">
        <f t="shared" si="20"/>
        <v>0</v>
      </c>
      <c r="G43" s="1043">
        <f t="shared" si="20"/>
        <v>0</v>
      </c>
      <c r="H43" s="1043">
        <f t="shared" si="20"/>
        <v>462.19931271477662</v>
      </c>
      <c r="I43" s="1043">
        <f t="shared" ref="I43" si="21">I41/I$59</f>
        <v>584.86238532110087</v>
      </c>
      <c r="J43" s="18"/>
      <c r="K43" s="74"/>
    </row>
    <row r="44" spans="1:11" hidden="1" x14ac:dyDescent="0.25">
      <c r="A44" s="972">
        <f>IF(AND(dpSale_Method="Whole Property",dpUnit_Sales="Units"),1,0)</f>
        <v>0</v>
      </c>
      <c r="B44" s="174"/>
      <c r="C44" s="18"/>
      <c r="D44" s="431"/>
      <c r="E44" s="526">
        <f t="shared" ref="E44:H44" si="22">E42/E$60</f>
        <v>0</v>
      </c>
      <c r="F44" s="526">
        <f t="shared" si="22"/>
        <v>0</v>
      </c>
      <c r="G44" s="526">
        <f t="shared" si="22"/>
        <v>0</v>
      </c>
      <c r="H44" s="526" t="e">
        <f t="shared" si="22"/>
        <v>#VALUE!</v>
      </c>
      <c r="I44" s="526" t="e">
        <f t="shared" ref="I44" si="23">I42/I$60</f>
        <v>#VALUE!</v>
      </c>
      <c r="J44" s="18"/>
      <c r="K44" s="74"/>
    </row>
    <row r="45" spans="1:11" x14ac:dyDescent="0.25">
      <c r="A45" s="972">
        <v>1</v>
      </c>
      <c r="B45" s="174"/>
      <c r="C45" s="18"/>
      <c r="D45" s="431" t="s">
        <v>438</v>
      </c>
      <c r="E45" s="1017"/>
      <c r="F45" s="1017">
        <v>0.02</v>
      </c>
      <c r="G45" s="1017"/>
      <c r="H45" s="1017"/>
      <c r="I45" s="1017"/>
      <c r="J45" s="18"/>
      <c r="K45" s="74"/>
    </row>
    <row r="46" spans="1:11" x14ac:dyDescent="0.25">
      <c r="A46" s="972">
        <v>1</v>
      </c>
      <c r="B46" s="174"/>
      <c r="C46" s="18"/>
      <c r="D46" s="431" t="s">
        <v>433</v>
      </c>
      <c r="E46" s="1044" t="s">
        <v>3</v>
      </c>
      <c r="F46" s="1031">
        <v>6.4899999999999999E-2</v>
      </c>
      <c r="G46" s="1031" t="s">
        <v>3</v>
      </c>
      <c r="H46" s="1044" t="s">
        <v>3</v>
      </c>
      <c r="I46" s="1031" t="s">
        <v>3</v>
      </c>
      <c r="J46" s="18"/>
      <c r="K46" s="74"/>
    </row>
    <row r="47" spans="1:11" x14ac:dyDescent="0.25">
      <c r="A47" s="972">
        <v>1</v>
      </c>
      <c r="B47" s="174"/>
      <c r="C47" s="18"/>
      <c r="D47" s="431" t="s">
        <v>518</v>
      </c>
      <c r="E47" s="1045" t="s">
        <v>3</v>
      </c>
      <c r="F47" s="1046">
        <v>14.795999999999999</v>
      </c>
      <c r="G47" s="1046" t="s">
        <v>3</v>
      </c>
      <c r="H47" s="1045" t="s">
        <v>3</v>
      </c>
      <c r="I47" s="1046" t="s">
        <v>3</v>
      </c>
      <c r="J47" s="18"/>
      <c r="K47" s="74"/>
    </row>
    <row r="48" spans="1:11" x14ac:dyDescent="0.25">
      <c r="A48" s="972">
        <v>1</v>
      </c>
      <c r="B48" s="174"/>
      <c r="C48" s="18"/>
      <c r="D48" s="431" t="s">
        <v>1569</v>
      </c>
      <c r="E48" s="805" t="s">
        <v>3</v>
      </c>
      <c r="F48" s="1026">
        <v>24.45</v>
      </c>
      <c r="G48" s="1026" t="s">
        <v>3</v>
      </c>
      <c r="H48" s="805" t="s">
        <v>3</v>
      </c>
      <c r="I48" s="1026" t="s">
        <v>3</v>
      </c>
      <c r="J48" s="18"/>
      <c r="K48" s="74"/>
    </row>
    <row r="49" spans="1:11" ht="20.100000000000001" customHeight="1" x14ac:dyDescent="0.25">
      <c r="A49" s="957">
        <v>1</v>
      </c>
      <c r="B49" s="174"/>
      <c r="C49" s="18"/>
      <c r="D49" s="309" t="s">
        <v>515</v>
      </c>
      <c r="E49" s="1042"/>
      <c r="F49" s="1042"/>
      <c r="G49" s="1042"/>
      <c r="H49" s="1042"/>
      <c r="I49" s="1042"/>
      <c r="J49" s="18"/>
      <c r="K49" s="74"/>
    </row>
    <row r="50" spans="1:11" s="321" customFormat="1" x14ac:dyDescent="0.25">
      <c r="A50" s="980">
        <v>1</v>
      </c>
      <c r="B50" s="319"/>
      <c r="C50" s="312"/>
      <c r="D50" s="431" t="s">
        <v>6</v>
      </c>
      <c r="E50" s="1013" t="s">
        <v>54</v>
      </c>
      <c r="F50" s="1013" t="s">
        <v>54</v>
      </c>
      <c r="G50" s="1013" t="s">
        <v>54</v>
      </c>
      <c r="H50" s="1013" t="s">
        <v>19934</v>
      </c>
      <c r="I50" s="1013" t="s">
        <v>19934</v>
      </c>
      <c r="J50" s="312"/>
      <c r="K50" s="320"/>
    </row>
    <row r="51" spans="1:11" ht="15" hidden="1" customHeight="1" x14ac:dyDescent="0.25">
      <c r="A51" s="972">
        <v>0</v>
      </c>
      <c r="B51" s="174"/>
      <c r="C51" s="18"/>
      <c r="D51" s="431"/>
      <c r="E51" s="1013" t="s">
        <v>306</v>
      </c>
      <c r="F51" s="1013" t="s">
        <v>306</v>
      </c>
      <c r="G51" s="1013" t="s">
        <v>306</v>
      </c>
      <c r="H51" s="1013" t="s">
        <v>306</v>
      </c>
      <c r="I51" s="1013" t="s">
        <v>306</v>
      </c>
      <c r="J51" s="18"/>
      <c r="K51" s="74"/>
    </row>
    <row r="52" spans="1:11" ht="15" hidden="1" customHeight="1" x14ac:dyDescent="0.25">
      <c r="A52" s="972">
        <v>0</v>
      </c>
      <c r="B52" s="174"/>
      <c r="C52" s="18"/>
      <c r="D52" s="432"/>
      <c r="E52" s="1013" t="s">
        <v>19914</v>
      </c>
      <c r="F52" s="1013" t="s">
        <v>19921</v>
      </c>
      <c r="G52" s="1013" t="s">
        <v>19916</v>
      </c>
      <c r="H52" s="1013" t="s">
        <v>19935</v>
      </c>
      <c r="I52" s="1013" t="s">
        <v>19935</v>
      </c>
      <c r="J52" s="18"/>
      <c r="K52" s="74"/>
    </row>
    <row r="53" spans="1:11" ht="44.25" customHeight="1" x14ac:dyDescent="0.25">
      <c r="A53" s="972">
        <v>1</v>
      </c>
      <c r="B53" s="174"/>
      <c r="C53" s="18"/>
      <c r="D53" s="431" t="s">
        <v>288</v>
      </c>
      <c r="E53" s="1013" t="str">
        <f t="shared" ref="E53:H53" si="24">CONCATENATE(E51," Class ",E52)</f>
        <v xml:space="preserve">Average Class C </v>
      </c>
      <c r="F53" s="1013" t="str">
        <f t="shared" si="24"/>
        <v>Average Class C - Concrete</v>
      </c>
      <c r="G53" s="1013" t="str">
        <f t="shared" si="24"/>
        <v xml:space="preserve">Average Class C - Concrete </v>
      </c>
      <c r="H53" s="1013" t="str">
        <f t="shared" si="24"/>
        <v>Average Class B - Concrete</v>
      </c>
      <c r="I53" s="1013" t="str">
        <f t="shared" ref="I53" si="25">CONCATENATE(I51," Class ",I52)</f>
        <v>Average Class B - Concrete</v>
      </c>
      <c r="J53" s="18"/>
      <c r="K53" s="74"/>
    </row>
    <row r="54" spans="1:11" ht="15" customHeight="1" x14ac:dyDescent="0.25">
      <c r="A54" s="972">
        <v>1</v>
      </c>
      <c r="B54" s="174"/>
      <c r="C54" s="18"/>
      <c r="D54" s="431" t="s">
        <v>10</v>
      </c>
      <c r="E54" s="1023">
        <f t="shared" ref="E54:H54" si="26">IF(OR(E55="",E55="N/A"),E56,E55)</f>
        <v>2001</v>
      </c>
      <c r="F54" s="1023">
        <f t="shared" si="26"/>
        <v>2008</v>
      </c>
      <c r="G54" s="1023">
        <f t="shared" si="26"/>
        <v>2002</v>
      </c>
      <c r="H54" s="1023">
        <f t="shared" si="26"/>
        <v>2018</v>
      </c>
      <c r="I54" s="1023">
        <f t="shared" ref="I54" si="27">IF(OR(I55="",I55="N/A"),I56,I55)</f>
        <v>2014</v>
      </c>
      <c r="J54" s="18"/>
      <c r="K54" s="74"/>
    </row>
    <row r="55" spans="1:11" ht="15" hidden="1" customHeight="1" x14ac:dyDescent="0.25">
      <c r="A55" s="972">
        <v>0</v>
      </c>
      <c r="B55" s="174"/>
      <c r="C55" s="18"/>
      <c r="D55" s="431" t="s">
        <v>10</v>
      </c>
      <c r="E55" s="1013">
        <v>2001</v>
      </c>
      <c r="F55" s="1013">
        <v>2008</v>
      </c>
      <c r="G55" s="1013">
        <v>2002</v>
      </c>
      <c r="H55" s="1013">
        <v>2018</v>
      </c>
      <c r="I55" s="1013">
        <v>2014</v>
      </c>
      <c r="J55" s="18"/>
      <c r="K55" s="74"/>
    </row>
    <row r="56" spans="1:11" ht="15" hidden="1" customHeight="1" x14ac:dyDescent="0.25">
      <c r="A56" s="972">
        <v>0</v>
      </c>
      <c r="B56" s="174"/>
      <c r="C56" s="18"/>
      <c r="D56" s="431" t="s">
        <v>1009</v>
      </c>
      <c r="E56" s="1013"/>
      <c r="F56" s="1013"/>
      <c r="G56" s="1013"/>
      <c r="H56" s="1013"/>
      <c r="I56" s="1013"/>
      <c r="J56" s="18"/>
      <c r="K56" s="74"/>
    </row>
    <row r="57" spans="1:11" ht="15" customHeight="1" x14ac:dyDescent="0.25">
      <c r="A57" s="972">
        <v>1</v>
      </c>
      <c r="B57" s="174"/>
      <c r="C57" s="18"/>
      <c r="D57" s="431" t="s">
        <v>17</v>
      </c>
      <c r="E57" s="1047">
        <v>10</v>
      </c>
      <c r="F57" s="1047">
        <v>10</v>
      </c>
      <c r="G57" s="1047">
        <v>10</v>
      </c>
      <c r="H57" s="1047"/>
      <c r="I57" s="1047"/>
      <c r="J57" s="18"/>
      <c r="K57" s="74"/>
    </row>
    <row r="58" spans="1:11" ht="15" customHeight="1" x14ac:dyDescent="0.25">
      <c r="A58" s="972">
        <f>IF(dpUnit_Sales="Net Rentable Area",1,0)</f>
        <v>1</v>
      </c>
      <c r="B58" s="174"/>
      <c r="C58" s="18"/>
      <c r="D58" s="431" t="s">
        <v>441</v>
      </c>
      <c r="E58" s="1032">
        <v>7776</v>
      </c>
      <c r="F58" s="1032">
        <v>5390</v>
      </c>
      <c r="G58" s="1032">
        <v>3014</v>
      </c>
      <c r="H58" s="1032">
        <v>7655</v>
      </c>
      <c r="I58" s="1032">
        <v>6540</v>
      </c>
      <c r="J58" s="18"/>
      <c r="K58" s="74"/>
    </row>
    <row r="59" spans="1:11" ht="15" hidden="1" customHeight="1" x14ac:dyDescent="0.25">
      <c r="A59" s="972">
        <f>IF(dpUnit_Sales="Gross Building Area",1,0)</f>
        <v>0</v>
      </c>
      <c r="B59" s="174"/>
      <c r="C59" s="18"/>
      <c r="D59" s="431" t="s">
        <v>183</v>
      </c>
      <c r="E59" s="1032">
        <v>7776</v>
      </c>
      <c r="F59" s="1032">
        <v>5390</v>
      </c>
      <c r="G59" s="1032">
        <v>3014</v>
      </c>
      <c r="H59" s="1032">
        <v>7566</v>
      </c>
      <c r="I59" s="1032">
        <v>6540</v>
      </c>
      <c r="J59" s="18"/>
      <c r="K59" s="74"/>
    </row>
    <row r="60" spans="1:11" ht="15" hidden="1" customHeight="1" x14ac:dyDescent="0.25">
      <c r="A60" s="972">
        <f>IF(dpUnit_Sales="Units",1,0)</f>
        <v>0</v>
      </c>
      <c r="B60" s="174"/>
      <c r="C60" s="18"/>
      <c r="D60" s="431" t="s">
        <v>1131</v>
      </c>
      <c r="E60" s="1032">
        <v>2</v>
      </c>
      <c r="F60" s="1032">
        <v>1</v>
      </c>
      <c r="G60" s="1032">
        <v>1</v>
      </c>
      <c r="H60" s="1032" t="s">
        <v>3</v>
      </c>
      <c r="I60" s="1032" t="s">
        <v>3</v>
      </c>
      <c r="J60" s="18"/>
      <c r="K60" s="74"/>
    </row>
    <row r="61" spans="1:11" ht="15" customHeight="1" x14ac:dyDescent="0.25">
      <c r="A61" s="972">
        <v>1</v>
      </c>
      <c r="B61" s="174"/>
      <c r="C61" s="18"/>
      <c r="D61" s="431" t="s">
        <v>745</v>
      </c>
      <c r="E61" s="1029">
        <v>1</v>
      </c>
      <c r="F61" s="1029">
        <v>1</v>
      </c>
      <c r="G61" s="1029">
        <v>1</v>
      </c>
      <c r="H61" s="1029">
        <v>1</v>
      </c>
      <c r="I61" s="1029">
        <v>1</v>
      </c>
      <c r="J61" s="18"/>
      <c r="K61" s="74"/>
    </row>
    <row r="62" spans="1:11" ht="15" customHeight="1" x14ac:dyDescent="0.25">
      <c r="A62" s="972">
        <v>1</v>
      </c>
      <c r="B62" s="174"/>
      <c r="C62" s="18"/>
      <c r="D62" s="431" t="s">
        <v>751</v>
      </c>
      <c r="E62" s="1033">
        <v>0.93501000000000001</v>
      </c>
      <c r="F62" s="1033"/>
      <c r="G62" s="1033"/>
      <c r="H62" s="1033">
        <v>1.0109999999999999</v>
      </c>
      <c r="I62" s="1033">
        <v>0.95867999999999998</v>
      </c>
      <c r="J62" s="18"/>
      <c r="K62" s="74"/>
    </row>
    <row r="63" spans="1:11" ht="15" customHeight="1" x14ac:dyDescent="0.25">
      <c r="A63" s="972">
        <v>1</v>
      </c>
      <c r="B63" s="174"/>
      <c r="C63" s="18"/>
      <c r="D63" s="431" t="s">
        <v>286</v>
      </c>
      <c r="E63" s="1034">
        <v>5.24</v>
      </c>
      <c r="F63" s="1034"/>
      <c r="G63" s="1034"/>
      <c r="H63" s="1034">
        <v>5.82</v>
      </c>
      <c r="I63" s="1034">
        <v>6.39</v>
      </c>
      <c r="J63" s="18"/>
      <c r="K63" s="74"/>
    </row>
    <row r="64" spans="1:11" ht="15" customHeight="1" x14ac:dyDescent="0.25">
      <c r="A64" s="972">
        <v>1</v>
      </c>
      <c r="B64" s="174"/>
      <c r="C64" s="18"/>
      <c r="D64" s="431" t="s">
        <v>1407</v>
      </c>
      <c r="E64" s="1029"/>
      <c r="F64" s="1029"/>
      <c r="G64" s="1029"/>
      <c r="H64" s="1029"/>
      <c r="I64" s="1029"/>
      <c r="J64" s="18"/>
      <c r="K64" s="74"/>
    </row>
    <row r="65" spans="1:23" ht="15" hidden="1" customHeight="1" x14ac:dyDescent="0.25">
      <c r="A65" s="972">
        <f>IF('Improved Sales Adjustments'!B98=TRUE,1,0)</f>
        <v>0</v>
      </c>
      <c r="B65" s="174"/>
      <c r="C65" s="18"/>
      <c r="D65" s="431" t="s">
        <v>191</v>
      </c>
      <c r="E65" s="1035"/>
      <c r="F65" s="1035"/>
      <c r="G65" s="1035"/>
      <c r="H65" s="1035"/>
      <c r="I65" s="1035"/>
      <c r="J65" s="18"/>
      <c r="K65" s="74"/>
    </row>
    <row r="66" spans="1:23" ht="15" hidden="1" customHeight="1" x14ac:dyDescent="0.25">
      <c r="A66" s="972">
        <f>IF('Improved Sales Adjustments'!B104=TRUE,1,0)</f>
        <v>0</v>
      </c>
      <c r="B66" s="174"/>
      <c r="C66" s="18"/>
      <c r="D66" s="431" t="s">
        <v>285</v>
      </c>
      <c r="E66" s="1036"/>
      <c r="F66" s="1036"/>
      <c r="G66" s="1036"/>
      <c r="H66" s="1036"/>
      <c r="I66" s="1036"/>
      <c r="J66" s="18"/>
      <c r="K66" s="74"/>
    </row>
    <row r="67" spans="1:23" ht="15" customHeight="1" thickBot="1" x14ac:dyDescent="0.3">
      <c r="A67" s="972">
        <f>IF(Subject_PropertyType="Industrial",1,0)</f>
        <v>1</v>
      </c>
      <c r="B67" s="174"/>
      <c r="C67" s="18"/>
      <c r="D67" s="431" t="s">
        <v>744</v>
      </c>
      <c r="E67" s="1036"/>
      <c r="F67" s="1036"/>
      <c r="G67" s="1036"/>
      <c r="H67" s="1036"/>
      <c r="I67" s="1036"/>
      <c r="J67" s="18"/>
      <c r="K67" s="74"/>
    </row>
    <row r="68" spans="1:23" ht="15" hidden="1" customHeight="1" thickBot="1" x14ac:dyDescent="0.3">
      <c r="A68" s="972">
        <f>IF(D68="User Defined",0,1)</f>
        <v>0</v>
      </c>
      <c r="B68" s="174"/>
      <c r="C68" s="18"/>
      <c r="D68" s="551" t="s">
        <v>192</v>
      </c>
      <c r="E68" s="1037"/>
      <c r="F68" s="1037"/>
      <c r="G68" s="1037"/>
      <c r="H68" s="1037"/>
      <c r="I68" s="1037"/>
      <c r="J68" s="18"/>
      <c r="K68" s="74"/>
    </row>
    <row r="69" spans="1:23" ht="20.100000000000001" customHeight="1" x14ac:dyDescent="0.25">
      <c r="A69" s="707"/>
      <c r="B69" s="174"/>
      <c r="C69" s="18"/>
      <c r="D69" s="1338" t="s">
        <v>866</v>
      </c>
      <c r="E69" s="1038"/>
      <c r="F69" s="1038"/>
      <c r="G69" s="1038"/>
      <c r="H69" s="1038"/>
      <c r="I69" s="1038"/>
      <c r="J69" s="18"/>
      <c r="K69" s="74"/>
    </row>
    <row r="70" spans="1:23" x14ac:dyDescent="0.25">
      <c r="A70" s="707"/>
    </row>
    <row r="71" spans="1:23" x14ac:dyDescent="0.25">
      <c r="A71" s="707"/>
      <c r="M71" s="174"/>
      <c r="N71" s="18"/>
      <c r="O71" s="28"/>
      <c r="P71" s="1020"/>
      <c r="Q71" s="1020"/>
      <c r="R71" s="1020"/>
      <c r="S71" s="1020"/>
      <c r="T71" s="1020"/>
      <c r="U71" s="1020"/>
      <c r="V71" s="18"/>
      <c r="W71" s="74"/>
    </row>
    <row r="72" spans="1:23" ht="16.5" x14ac:dyDescent="0.3">
      <c r="A72" s="707"/>
      <c r="M72" s="174"/>
      <c r="N72" s="18"/>
      <c r="O72" s="27" t="str">
        <f>CONCATENATE("Improved Sales Summary - ",dpSales_ComponentNameB1," Component")</f>
        <v>Improved Sales Summary -  Component</v>
      </c>
      <c r="P72" s="1021"/>
      <c r="Q72" s="1020"/>
      <c r="R72" s="1021"/>
      <c r="S72" s="1021"/>
      <c r="T72" s="1021"/>
      <c r="U72" s="1020"/>
      <c r="V72" s="18"/>
      <c r="W72" s="74"/>
    </row>
    <row r="73" spans="1:23" x14ac:dyDescent="0.25">
      <c r="A73" s="707"/>
      <c r="M73" s="174"/>
      <c r="N73" s="11"/>
      <c r="O73" s="207"/>
      <c r="P73" s="1041">
        <v>1</v>
      </c>
      <c r="Q73" s="1041">
        <v>2</v>
      </c>
      <c r="R73" s="1041">
        <v>3</v>
      </c>
      <c r="S73" s="1041">
        <v>4</v>
      </c>
      <c r="T73" s="1041">
        <v>5</v>
      </c>
      <c r="U73" s="1041">
        <v>6</v>
      </c>
      <c r="V73" s="11"/>
      <c r="W73" s="74"/>
    </row>
    <row r="74" spans="1:23" x14ac:dyDescent="0.25">
      <c r="A74" s="972">
        <v>1</v>
      </c>
      <c r="M74" s="174"/>
      <c r="N74" s="18"/>
      <c r="O74" s="327" t="s">
        <v>703</v>
      </c>
      <c r="P74" s="1013"/>
      <c r="Q74" s="1013"/>
      <c r="R74" s="1013"/>
      <c r="S74" s="1013"/>
      <c r="T74" s="1013"/>
      <c r="U74" s="1013"/>
      <c r="V74" s="18"/>
      <c r="W74" s="74"/>
    </row>
    <row r="75" spans="1:23" x14ac:dyDescent="0.25">
      <c r="A75" s="972">
        <v>1</v>
      </c>
      <c r="M75" s="174"/>
      <c r="N75" s="18"/>
      <c r="O75" s="327" t="s">
        <v>0</v>
      </c>
      <c r="P75" s="1013"/>
      <c r="Q75" s="1013"/>
      <c r="R75" s="1013"/>
      <c r="S75" s="1013"/>
      <c r="T75" s="1013"/>
      <c r="U75" s="1013"/>
      <c r="V75" s="18"/>
      <c r="W75" s="74"/>
    </row>
    <row r="76" spans="1:23" x14ac:dyDescent="0.25">
      <c r="A76" s="972">
        <v>1</v>
      </c>
      <c r="M76" s="174"/>
      <c r="N76" s="18"/>
      <c r="O76" s="327" t="s">
        <v>95</v>
      </c>
      <c r="P76" s="1013"/>
      <c r="Q76" s="1013"/>
      <c r="R76" s="1013"/>
      <c r="S76" s="1013"/>
      <c r="T76" s="1013"/>
      <c r="U76" s="1013"/>
      <c r="V76" s="18"/>
      <c r="W76" s="74"/>
    </row>
    <row r="77" spans="1:23" x14ac:dyDescent="0.25">
      <c r="A77" s="972">
        <v>1</v>
      </c>
      <c r="M77" s="174"/>
      <c r="N77" s="18"/>
      <c r="O77" s="327"/>
      <c r="P77" s="1013"/>
      <c r="Q77" s="1013"/>
      <c r="R77" s="1013"/>
      <c r="S77" s="1013"/>
      <c r="T77" s="1013"/>
      <c r="U77" s="1013"/>
      <c r="V77" s="18"/>
      <c r="W77" s="74"/>
    </row>
    <row r="78" spans="1:23" x14ac:dyDescent="0.25">
      <c r="A78" s="972">
        <v>1</v>
      </c>
      <c r="M78" s="174"/>
      <c r="N78" s="18"/>
      <c r="O78" s="327" t="s">
        <v>308</v>
      </c>
      <c r="P78" s="1013"/>
      <c r="Q78" s="1013"/>
      <c r="R78" s="1013"/>
      <c r="S78" s="1013"/>
      <c r="T78" s="1013"/>
      <c r="U78" s="1013"/>
      <c r="V78" s="18"/>
      <c r="W78" s="74"/>
    </row>
    <row r="79" spans="1:23" x14ac:dyDescent="0.25">
      <c r="A79" s="972">
        <v>1</v>
      </c>
      <c r="M79" s="174"/>
      <c r="N79" s="18"/>
      <c r="O79" s="327" t="s">
        <v>743</v>
      </c>
      <c r="P79" s="1013"/>
      <c r="Q79" s="1013"/>
      <c r="R79" s="1013"/>
      <c r="S79" s="1013"/>
      <c r="T79" s="1013"/>
      <c r="U79" s="1013"/>
      <c r="V79" s="18"/>
      <c r="W79" s="74"/>
    </row>
    <row r="80" spans="1:23" x14ac:dyDescent="0.25">
      <c r="A80" s="972">
        <v>1</v>
      </c>
      <c r="M80" s="174"/>
      <c r="N80" s="18"/>
      <c r="O80" s="327" t="s">
        <v>716</v>
      </c>
      <c r="P80" s="1013"/>
      <c r="Q80" s="1013"/>
      <c r="R80" s="1013"/>
      <c r="S80" s="1013"/>
      <c r="T80" s="1013"/>
      <c r="U80" s="1013"/>
      <c r="V80" s="18"/>
      <c r="W80" s="74"/>
    </row>
    <row r="81" spans="1:23" x14ac:dyDescent="0.25">
      <c r="A81" s="972">
        <v>1</v>
      </c>
      <c r="M81" s="174"/>
      <c r="N81" s="18"/>
      <c r="O81" s="327" t="s">
        <v>717</v>
      </c>
      <c r="P81" s="1023"/>
      <c r="Q81" s="1023"/>
      <c r="R81" s="1023"/>
      <c r="S81" s="1023"/>
      <c r="T81" s="1023"/>
      <c r="U81" s="1023"/>
      <c r="V81" s="18"/>
      <c r="W81" s="74"/>
    </row>
    <row r="82" spans="1:23" x14ac:dyDescent="0.25">
      <c r="A82" s="957">
        <v>1</v>
      </c>
      <c r="M82" s="174"/>
      <c r="N82" s="18"/>
      <c r="O82" s="309" t="s">
        <v>715</v>
      </c>
      <c r="P82" s="1042"/>
      <c r="Q82" s="1042"/>
      <c r="R82" s="1042"/>
      <c r="S82" s="1042"/>
      <c r="T82" s="1042"/>
      <c r="U82" s="1042"/>
      <c r="V82" s="18"/>
      <c r="W82" s="74"/>
    </row>
    <row r="83" spans="1:23" x14ac:dyDescent="0.25">
      <c r="A83" s="972">
        <v>1</v>
      </c>
      <c r="M83" s="174"/>
      <c r="N83" s="18"/>
      <c r="O83" s="431" t="s">
        <v>159</v>
      </c>
      <c r="P83" s="1022"/>
      <c r="Q83" s="1022"/>
      <c r="R83" s="1022"/>
      <c r="S83" s="1022"/>
      <c r="T83" s="1022"/>
      <c r="U83" s="1022"/>
      <c r="V83" s="18"/>
      <c r="W83" s="74"/>
    </row>
    <row r="84" spans="1:23" x14ac:dyDescent="0.25">
      <c r="A84" s="972">
        <v>1</v>
      </c>
      <c r="M84" s="174"/>
      <c r="N84" s="18"/>
      <c r="O84" s="431" t="s">
        <v>719</v>
      </c>
      <c r="P84" s="1022"/>
      <c r="Q84" s="1022"/>
      <c r="R84" s="1022"/>
      <c r="S84" s="1022"/>
      <c r="T84" s="1022"/>
      <c r="U84" s="1022"/>
      <c r="V84" s="18"/>
      <c r="W84" s="74"/>
    </row>
    <row r="85" spans="1:23" x14ac:dyDescent="0.25">
      <c r="A85" s="972">
        <v>1</v>
      </c>
      <c r="M85" s="174"/>
      <c r="N85" s="18"/>
      <c r="O85" s="431" t="s">
        <v>720</v>
      </c>
      <c r="P85" s="1022"/>
      <c r="Q85" s="1022"/>
      <c r="R85" s="1022"/>
      <c r="S85" s="1022"/>
      <c r="T85" s="1022"/>
      <c r="U85" s="1022"/>
      <c r="V85" s="18"/>
      <c r="W85" s="74"/>
    </row>
    <row r="86" spans="1:23" hidden="1" x14ac:dyDescent="0.25">
      <c r="A86" s="972">
        <v>0</v>
      </c>
      <c r="M86" s="174"/>
      <c r="N86" s="18"/>
      <c r="O86" s="431" t="s">
        <v>723</v>
      </c>
      <c r="P86" s="1028" t="s">
        <v>545</v>
      </c>
      <c r="Q86" s="1028" t="s">
        <v>545</v>
      </c>
      <c r="R86" s="1028" t="s">
        <v>545</v>
      </c>
      <c r="S86" s="1028" t="s">
        <v>545</v>
      </c>
      <c r="T86" s="1028" t="s">
        <v>545</v>
      </c>
      <c r="U86" s="1028" t="s">
        <v>545</v>
      </c>
      <c r="V86" s="18"/>
      <c r="W86" s="74"/>
    </row>
    <row r="87" spans="1:23" hidden="1" x14ac:dyDescent="0.25">
      <c r="A87" s="972">
        <v>0</v>
      </c>
      <c r="M87" s="174"/>
      <c r="N87" s="18"/>
      <c r="O87" s="431" t="s">
        <v>722</v>
      </c>
      <c r="P87" s="1028" t="s">
        <v>545</v>
      </c>
      <c r="Q87" s="1028" t="s">
        <v>545</v>
      </c>
      <c r="R87" s="1028" t="s">
        <v>545</v>
      </c>
      <c r="S87" s="1028" t="s">
        <v>545</v>
      </c>
      <c r="T87" s="1028" t="s">
        <v>545</v>
      </c>
      <c r="U87" s="1028" t="s">
        <v>545</v>
      </c>
      <c r="V87" s="18"/>
      <c r="W87" s="74"/>
    </row>
    <row r="88" spans="1:23" x14ac:dyDescent="0.25">
      <c r="A88" s="972">
        <v>1</v>
      </c>
      <c r="M88" s="174"/>
      <c r="N88" s="18"/>
      <c r="O88" s="431" t="s">
        <v>721</v>
      </c>
      <c r="P88" s="1028" t="str">
        <f t="shared" ref="P88:U88" si="28">IF(AND(P86="",P87=""),"N/A",IF(P86="",P87,P86))</f>
        <v>N/A</v>
      </c>
      <c r="Q88" s="1028" t="str">
        <f t="shared" si="28"/>
        <v>N/A</v>
      </c>
      <c r="R88" s="1028" t="str">
        <f t="shared" si="28"/>
        <v>N/A</v>
      </c>
      <c r="S88" s="1028" t="str">
        <f t="shared" si="28"/>
        <v>N/A</v>
      </c>
      <c r="T88" s="1028" t="str">
        <f t="shared" si="28"/>
        <v>N/A</v>
      </c>
      <c r="U88" s="1028" t="str">
        <f t="shared" si="28"/>
        <v>N/A</v>
      </c>
      <c r="V88" s="18"/>
      <c r="W88" s="74"/>
    </row>
    <row r="89" spans="1:23" x14ac:dyDescent="0.25">
      <c r="A89" s="972">
        <v>1</v>
      </c>
      <c r="M89" s="174"/>
      <c r="N89" s="18"/>
      <c r="O89" s="431" t="s">
        <v>164</v>
      </c>
      <c r="P89" s="1013"/>
      <c r="Q89" s="1013"/>
      <c r="R89" s="1013"/>
      <c r="S89" s="1013"/>
      <c r="T89" s="1013"/>
      <c r="U89" s="1013"/>
      <c r="V89" s="18"/>
      <c r="W89" s="74"/>
    </row>
    <row r="90" spans="1:23" x14ac:dyDescent="0.25">
      <c r="A90" s="972">
        <v>1</v>
      </c>
      <c r="M90" s="174"/>
      <c r="N90" s="18"/>
      <c r="O90" s="431" t="s">
        <v>736</v>
      </c>
      <c r="P90" s="1013"/>
      <c r="Q90" s="1013"/>
      <c r="R90" s="1013"/>
      <c r="S90" s="1013"/>
      <c r="T90" s="1013"/>
      <c r="U90" s="1013"/>
      <c r="V90" s="18"/>
      <c r="W90" s="74"/>
    </row>
    <row r="91" spans="1:23" x14ac:dyDescent="0.25">
      <c r="A91" s="972">
        <v>1</v>
      </c>
      <c r="M91" s="174"/>
      <c r="N91" s="18"/>
      <c r="O91" s="431" t="s">
        <v>284</v>
      </c>
      <c r="P91" s="1013"/>
      <c r="Q91" s="1013"/>
      <c r="R91" s="1013"/>
      <c r="S91" s="1013"/>
      <c r="T91" s="1013"/>
      <c r="U91" s="1013"/>
      <c r="V91" s="18"/>
      <c r="W91" s="74"/>
    </row>
    <row r="92" spans="1:23" x14ac:dyDescent="0.25">
      <c r="A92" s="41">
        <v>1</v>
      </c>
      <c r="M92" s="174"/>
      <c r="N92" s="18"/>
      <c r="O92" s="116" t="s">
        <v>516</v>
      </c>
      <c r="P92" s="1020"/>
      <c r="Q92" s="1020"/>
      <c r="R92" s="1042"/>
      <c r="S92" s="1042"/>
      <c r="T92" s="1042"/>
      <c r="U92" s="1020"/>
      <c r="V92" s="18"/>
      <c r="W92" s="74"/>
    </row>
    <row r="93" spans="1:23" x14ac:dyDescent="0.25">
      <c r="A93" s="707">
        <v>1</v>
      </c>
      <c r="M93" s="174"/>
      <c r="N93" s="18"/>
      <c r="O93" s="431" t="s">
        <v>1303</v>
      </c>
      <c r="P93" s="806"/>
      <c r="Q93" s="806"/>
      <c r="R93" s="1027"/>
      <c r="S93" s="1027"/>
      <c r="T93" s="1027"/>
      <c r="U93" s="806"/>
      <c r="V93" s="18"/>
      <c r="W93" s="74"/>
    </row>
    <row r="94" spans="1:23" x14ac:dyDescent="0.25">
      <c r="A94" s="707">
        <f>IF(dpUnit_Sales_1="Net Rentable Area",1,0)</f>
        <v>1</v>
      </c>
      <c r="M94" s="174"/>
      <c r="N94" s="18"/>
      <c r="O94" s="431"/>
      <c r="P94" s="526" t="e">
        <f t="shared" ref="P94:U94" si="29">P93/P126</f>
        <v>#DIV/0!</v>
      </c>
      <c r="Q94" s="526" t="e">
        <f t="shared" si="29"/>
        <v>#DIV/0!</v>
      </c>
      <c r="R94" s="526" t="e">
        <f t="shared" si="29"/>
        <v>#DIV/0!</v>
      </c>
      <c r="S94" s="526" t="e">
        <f t="shared" si="29"/>
        <v>#DIV/0!</v>
      </c>
      <c r="T94" s="526" t="e">
        <f t="shared" si="29"/>
        <v>#DIV/0!</v>
      </c>
      <c r="U94" s="526" t="e">
        <f t="shared" si="29"/>
        <v>#DIV/0!</v>
      </c>
      <c r="V94" s="18"/>
      <c r="W94" s="74"/>
    </row>
    <row r="95" spans="1:23" hidden="1" x14ac:dyDescent="0.25">
      <c r="A95" s="707">
        <f>IF(dpUnit_Sales_1="Net Rentable Area",0,1)</f>
        <v>0</v>
      </c>
      <c r="M95" s="174"/>
      <c r="N95" s="18"/>
      <c r="O95" s="431"/>
      <c r="P95" s="526" t="e">
        <f t="shared" ref="P95:U95" si="30">P93/P127</f>
        <v>#DIV/0!</v>
      </c>
      <c r="Q95" s="526" t="e">
        <f t="shared" si="30"/>
        <v>#DIV/0!</v>
      </c>
      <c r="R95" s="526" t="e">
        <f t="shared" si="30"/>
        <v>#DIV/0!</v>
      </c>
      <c r="S95" s="526" t="e">
        <f t="shared" si="30"/>
        <v>#DIV/0!</v>
      </c>
      <c r="T95" s="526" t="e">
        <f t="shared" si="30"/>
        <v>#DIV/0!</v>
      </c>
      <c r="U95" s="526" t="e">
        <f t="shared" si="30"/>
        <v>#DIV/0!</v>
      </c>
      <c r="V95" s="18"/>
      <c r="W95" s="74"/>
    </row>
    <row r="96" spans="1:23" hidden="1" x14ac:dyDescent="0.25">
      <c r="A96" s="707">
        <f>IF(dpSale_Method_1="Whole Property",0,1)</f>
        <v>0</v>
      </c>
      <c r="M96" s="174"/>
      <c r="N96" s="18"/>
      <c r="O96" s="431" t="s">
        <v>1568</v>
      </c>
      <c r="P96" s="806"/>
      <c r="Q96" s="806"/>
      <c r="R96" s="1027"/>
      <c r="S96" s="1027"/>
      <c r="T96" s="1027"/>
      <c r="U96" s="806"/>
      <c r="V96" s="18"/>
      <c r="W96" s="74"/>
    </row>
    <row r="97" spans="1:23" hidden="1" x14ac:dyDescent="0.25">
      <c r="A97" s="707">
        <f>IF(dpSale_Method_1="Whole Property",0,1)</f>
        <v>0</v>
      </c>
      <c r="M97" s="174"/>
      <c r="N97" s="18"/>
      <c r="O97" s="431"/>
      <c r="P97" s="526" t="e">
        <f t="shared" ref="P97:U97" si="31">P96/P126</f>
        <v>#DIV/0!</v>
      </c>
      <c r="Q97" s="526" t="e">
        <f t="shared" si="31"/>
        <v>#DIV/0!</v>
      </c>
      <c r="R97" s="526" t="e">
        <f t="shared" si="31"/>
        <v>#DIV/0!</v>
      </c>
      <c r="S97" s="526" t="e">
        <f t="shared" si="31"/>
        <v>#DIV/0!</v>
      </c>
      <c r="T97" s="526" t="e">
        <f t="shared" si="31"/>
        <v>#DIV/0!</v>
      </c>
      <c r="U97" s="526" t="e">
        <f t="shared" si="31"/>
        <v>#DIV/0!</v>
      </c>
      <c r="V97" s="18"/>
      <c r="W97" s="74"/>
    </row>
    <row r="98" spans="1:23" x14ac:dyDescent="0.25">
      <c r="A98" s="707">
        <v>1</v>
      </c>
      <c r="M98" s="174"/>
      <c r="N98" s="18"/>
      <c r="O98" s="431" t="s">
        <v>547</v>
      </c>
      <c r="P98" s="1017"/>
      <c r="Q98" s="1017"/>
      <c r="R98" s="1017"/>
      <c r="S98" s="1017"/>
      <c r="T98" s="1017"/>
      <c r="U98" s="1017"/>
      <c r="V98" s="18"/>
      <c r="W98" s="74"/>
    </row>
    <row r="99" spans="1:23" x14ac:dyDescent="0.25">
      <c r="A99" s="707">
        <v>1</v>
      </c>
      <c r="M99" s="174"/>
      <c r="N99" s="18"/>
      <c r="O99" s="431" t="s">
        <v>433</v>
      </c>
      <c r="P99" s="1044"/>
      <c r="Q99" s="1044"/>
      <c r="R99" s="1031"/>
      <c r="S99" s="1031"/>
      <c r="T99" s="1031"/>
      <c r="U99" s="1044"/>
      <c r="V99" s="18"/>
      <c r="W99" s="74"/>
    </row>
    <row r="100" spans="1:23" x14ac:dyDescent="0.25">
      <c r="A100" s="972">
        <v>1</v>
      </c>
      <c r="M100" s="174"/>
      <c r="N100" s="18"/>
      <c r="O100" s="431" t="s">
        <v>518</v>
      </c>
      <c r="P100" s="1045"/>
      <c r="Q100" s="1045"/>
      <c r="R100" s="1046"/>
      <c r="S100" s="1046"/>
      <c r="T100" s="1046"/>
      <c r="U100" s="1045"/>
      <c r="V100" s="18"/>
      <c r="W100" s="74"/>
    </row>
    <row r="101" spans="1:23" x14ac:dyDescent="0.25">
      <c r="A101" s="972">
        <v>1</v>
      </c>
      <c r="M101" s="174"/>
      <c r="N101" s="18"/>
      <c r="O101" s="431" t="s">
        <v>1327</v>
      </c>
      <c r="P101" s="805"/>
      <c r="Q101" s="805"/>
      <c r="R101" s="1026"/>
      <c r="S101" s="1026"/>
      <c r="T101" s="1026"/>
      <c r="U101" s="805"/>
      <c r="V101" s="18"/>
      <c r="W101" s="74"/>
    </row>
    <row r="102" spans="1:23" hidden="1" x14ac:dyDescent="0.25">
      <c r="A102" s="972">
        <v>0</v>
      </c>
      <c r="M102" s="174"/>
      <c r="N102" s="18"/>
      <c r="O102" s="431" t="s">
        <v>1408</v>
      </c>
      <c r="P102" s="1016"/>
      <c r="Q102" s="1016"/>
      <c r="R102" s="1029"/>
      <c r="S102" s="1029"/>
      <c r="T102" s="1029"/>
      <c r="U102" s="1016"/>
      <c r="V102" s="18"/>
      <c r="W102" s="74"/>
    </row>
    <row r="103" spans="1:23" hidden="1" x14ac:dyDescent="0.25">
      <c r="A103" s="972">
        <f>IF(SUM(P103:U103)&gt;1,1,0)</f>
        <v>0</v>
      </c>
      <c r="M103" s="174"/>
      <c r="N103" s="18"/>
      <c r="O103" s="431" t="s">
        <v>1409</v>
      </c>
      <c r="P103" s="1373">
        <f t="shared" ref="P103:U103" si="32">P102/12</f>
        <v>0</v>
      </c>
      <c r="Q103" s="1373">
        <f t="shared" si="32"/>
        <v>0</v>
      </c>
      <c r="R103" s="1373">
        <f t="shared" si="32"/>
        <v>0</v>
      </c>
      <c r="S103" s="1373">
        <f t="shared" si="32"/>
        <v>0</v>
      </c>
      <c r="T103" s="1373">
        <f t="shared" si="32"/>
        <v>0</v>
      </c>
      <c r="U103" s="1373">
        <f t="shared" si="32"/>
        <v>0</v>
      </c>
      <c r="V103" s="18"/>
      <c r="W103" s="74"/>
    </row>
    <row r="104" spans="1:23" x14ac:dyDescent="0.25">
      <c r="A104" s="41">
        <v>1</v>
      </c>
      <c r="M104" s="174"/>
      <c r="N104" s="18"/>
      <c r="O104" s="309" t="s">
        <v>517</v>
      </c>
      <c r="P104" s="1020"/>
      <c r="Q104" s="1020"/>
      <c r="R104" s="1042"/>
      <c r="S104" s="1042"/>
      <c r="T104" s="1042"/>
      <c r="U104" s="1020"/>
      <c r="V104" s="18"/>
      <c r="W104" s="74"/>
    </row>
    <row r="105" spans="1:23" x14ac:dyDescent="0.25">
      <c r="A105" s="707">
        <v>1</v>
      </c>
      <c r="M105" s="174"/>
      <c r="N105" s="18"/>
      <c r="O105" s="431" t="s">
        <v>127</v>
      </c>
      <c r="P105" s="806"/>
      <c r="Q105" s="806"/>
      <c r="R105" s="1027"/>
      <c r="S105" s="1027"/>
      <c r="T105" s="1027"/>
      <c r="U105" s="806"/>
      <c r="V105" s="18"/>
      <c r="W105" s="74"/>
    </row>
    <row r="106" spans="1:23" x14ac:dyDescent="0.25">
      <c r="A106" s="707">
        <f>IF(dpUnit_Sales_1="Net Rentable Area",1,0)</f>
        <v>1</v>
      </c>
      <c r="M106" s="174"/>
      <c r="N106" s="18"/>
      <c r="O106" s="431"/>
      <c r="P106" s="526" t="e">
        <f t="shared" ref="P106:U106" si="33">P105/P126</f>
        <v>#DIV/0!</v>
      </c>
      <c r="Q106" s="526" t="e">
        <f t="shared" si="33"/>
        <v>#DIV/0!</v>
      </c>
      <c r="R106" s="526" t="e">
        <f t="shared" si="33"/>
        <v>#DIV/0!</v>
      </c>
      <c r="S106" s="526" t="e">
        <f t="shared" si="33"/>
        <v>#DIV/0!</v>
      </c>
      <c r="T106" s="526" t="e">
        <f t="shared" si="33"/>
        <v>#DIV/0!</v>
      </c>
      <c r="U106" s="526" t="e">
        <f t="shared" si="33"/>
        <v>#DIV/0!</v>
      </c>
      <c r="V106" s="18"/>
      <c r="W106" s="74"/>
    </row>
    <row r="107" spans="1:23" hidden="1" x14ac:dyDescent="0.25">
      <c r="A107" s="707">
        <f>IF(dpUnit_Sales_1="Gross Building Area",1,0)</f>
        <v>0</v>
      </c>
      <c r="M107" s="174"/>
      <c r="N107" s="18"/>
      <c r="O107" s="431"/>
      <c r="P107" s="526" t="e">
        <f t="shared" ref="P107:U108" si="34">P105/P127</f>
        <v>#DIV/0!</v>
      </c>
      <c r="Q107" s="526" t="e">
        <f t="shared" si="34"/>
        <v>#DIV/0!</v>
      </c>
      <c r="R107" s="526" t="e">
        <f t="shared" si="34"/>
        <v>#DIV/0!</v>
      </c>
      <c r="S107" s="526" t="e">
        <f t="shared" si="34"/>
        <v>#DIV/0!</v>
      </c>
      <c r="T107" s="526" t="e">
        <f t="shared" si="34"/>
        <v>#DIV/0!</v>
      </c>
      <c r="U107" s="526" t="e">
        <f t="shared" si="34"/>
        <v>#DIV/0!</v>
      </c>
      <c r="V107" s="18"/>
      <c r="W107" s="74"/>
    </row>
    <row r="108" spans="1:23" hidden="1" x14ac:dyDescent="0.25">
      <c r="A108" s="707">
        <f>IF(dpUnit_Sales_1="Units",1,0)</f>
        <v>0</v>
      </c>
      <c r="M108" s="174"/>
      <c r="N108" s="18"/>
      <c r="O108" s="431"/>
      <c r="P108" s="526" t="e">
        <f t="shared" si="34"/>
        <v>#DIV/0!</v>
      </c>
      <c r="Q108" s="526" t="e">
        <f t="shared" si="34"/>
        <v>#DIV/0!</v>
      </c>
      <c r="R108" s="526" t="e">
        <f t="shared" si="34"/>
        <v>#DIV/0!</v>
      </c>
      <c r="S108" s="526" t="e">
        <f t="shared" si="34"/>
        <v>#DIV/0!</v>
      </c>
      <c r="T108" s="526" t="e">
        <f t="shared" si="34"/>
        <v>#DIV/0!</v>
      </c>
      <c r="U108" s="526" t="e">
        <f t="shared" si="34"/>
        <v>#DIV/0!</v>
      </c>
      <c r="V108" s="18"/>
      <c r="W108" s="74"/>
    </row>
    <row r="109" spans="1:23" hidden="1" x14ac:dyDescent="0.25">
      <c r="A109" s="707">
        <f>IF(dpSale_Method_1="Whole Property",0,1)</f>
        <v>0</v>
      </c>
      <c r="M109" s="174"/>
      <c r="N109" s="18"/>
      <c r="O109" s="431" t="s">
        <v>1568</v>
      </c>
      <c r="P109" s="806">
        <f t="shared" ref="P109:U109" si="35">P105-(P93-P96)</f>
        <v>0</v>
      </c>
      <c r="Q109" s="806">
        <f t="shared" si="35"/>
        <v>0</v>
      </c>
      <c r="R109" s="806">
        <f t="shared" si="35"/>
        <v>0</v>
      </c>
      <c r="S109" s="806">
        <f t="shared" si="35"/>
        <v>0</v>
      </c>
      <c r="T109" s="806">
        <f t="shared" si="35"/>
        <v>0</v>
      </c>
      <c r="U109" s="806">
        <f t="shared" si="35"/>
        <v>0</v>
      </c>
      <c r="V109" s="18"/>
      <c r="W109" s="74"/>
    </row>
    <row r="110" spans="1:23" hidden="1" x14ac:dyDescent="0.25">
      <c r="A110" s="707">
        <f>IF(AND(dpSale_Method_1="Whole Property",dpUnit_Sales_1="Net Rentable Area"),0,1)</f>
        <v>0</v>
      </c>
      <c r="M110" s="174"/>
      <c r="N110" s="18"/>
      <c r="O110" s="431"/>
      <c r="P110" s="526" t="e">
        <f t="shared" ref="P110:U110" si="36">P109/P126</f>
        <v>#DIV/0!</v>
      </c>
      <c r="Q110" s="526" t="e">
        <f t="shared" si="36"/>
        <v>#DIV/0!</v>
      </c>
      <c r="R110" s="526" t="e">
        <f t="shared" si="36"/>
        <v>#DIV/0!</v>
      </c>
      <c r="S110" s="526" t="e">
        <f t="shared" si="36"/>
        <v>#DIV/0!</v>
      </c>
      <c r="T110" s="526" t="e">
        <f t="shared" si="36"/>
        <v>#DIV/0!</v>
      </c>
      <c r="U110" s="526" t="e">
        <f t="shared" si="36"/>
        <v>#DIV/0!</v>
      </c>
      <c r="V110" s="18"/>
      <c r="W110" s="74"/>
    </row>
    <row r="111" spans="1:23" x14ac:dyDescent="0.25">
      <c r="A111" s="707">
        <f>IF(AND(dpSale_Method_1="Whole Property",dpUnit_Sales_1="Gross Building Area"),0,1)</f>
        <v>1</v>
      </c>
      <c r="M111" s="174"/>
      <c r="N111" s="18"/>
      <c r="O111" s="431"/>
      <c r="P111" s="526" t="e">
        <f t="shared" ref="P111:U112" si="37">P109/P127</f>
        <v>#DIV/0!</v>
      </c>
      <c r="Q111" s="526" t="e">
        <f t="shared" si="37"/>
        <v>#DIV/0!</v>
      </c>
      <c r="R111" s="526" t="e">
        <f t="shared" si="37"/>
        <v>#DIV/0!</v>
      </c>
      <c r="S111" s="526" t="e">
        <f t="shared" si="37"/>
        <v>#DIV/0!</v>
      </c>
      <c r="T111" s="526" t="e">
        <f t="shared" si="37"/>
        <v>#DIV/0!</v>
      </c>
      <c r="U111" s="526" t="e">
        <f t="shared" si="37"/>
        <v>#DIV/0!</v>
      </c>
      <c r="V111" s="18"/>
      <c r="W111" s="74"/>
    </row>
    <row r="112" spans="1:23" hidden="1" x14ac:dyDescent="0.25">
      <c r="A112" s="707">
        <f>IF(AND(dpSale_Method_1="Whole Property",dpUnit_Sales_1="Units"),1,0)</f>
        <v>0</v>
      </c>
      <c r="M112" s="174"/>
      <c r="N112" s="18"/>
      <c r="O112" s="431"/>
      <c r="P112" s="526" t="e">
        <f t="shared" si="37"/>
        <v>#DIV/0!</v>
      </c>
      <c r="Q112" s="526" t="e">
        <f t="shared" si="37"/>
        <v>#DIV/0!</v>
      </c>
      <c r="R112" s="526" t="e">
        <f t="shared" si="37"/>
        <v>#DIV/0!</v>
      </c>
      <c r="S112" s="526" t="e">
        <f t="shared" si="37"/>
        <v>#DIV/0!</v>
      </c>
      <c r="T112" s="526" t="e">
        <f t="shared" si="37"/>
        <v>#DIV/0!</v>
      </c>
      <c r="U112" s="526" t="e">
        <f t="shared" si="37"/>
        <v>#DIV/0!</v>
      </c>
      <c r="V112" s="18"/>
      <c r="W112" s="74"/>
    </row>
    <row r="113" spans="1:23" x14ac:dyDescent="0.25">
      <c r="A113" s="707">
        <v>1</v>
      </c>
      <c r="M113" s="174"/>
      <c r="N113" s="18"/>
      <c r="O113" s="431" t="s">
        <v>438</v>
      </c>
      <c r="P113" s="1017"/>
      <c r="Q113" s="1017"/>
      <c r="R113" s="1017"/>
      <c r="S113" s="1017"/>
      <c r="T113" s="1017"/>
      <c r="U113" s="1017"/>
      <c r="V113" s="18"/>
      <c r="W113" s="74"/>
    </row>
    <row r="114" spans="1:23" x14ac:dyDescent="0.25">
      <c r="A114" s="707">
        <v>1</v>
      </c>
      <c r="M114" s="174"/>
      <c r="N114" s="18"/>
      <c r="O114" s="431" t="s">
        <v>433</v>
      </c>
      <c r="P114" s="1044"/>
      <c r="Q114" s="1044"/>
      <c r="R114" s="1031"/>
      <c r="S114" s="1031"/>
      <c r="T114" s="1031"/>
      <c r="U114" s="1044"/>
      <c r="V114" s="18"/>
      <c r="W114" s="74"/>
    </row>
    <row r="115" spans="1:23" x14ac:dyDescent="0.25">
      <c r="A115" s="972">
        <v>1</v>
      </c>
      <c r="M115" s="174"/>
      <c r="N115" s="18"/>
      <c r="O115" s="431" t="s">
        <v>518</v>
      </c>
      <c r="P115" s="1045"/>
      <c r="Q115" s="1045"/>
      <c r="R115" s="1046"/>
      <c r="S115" s="1046"/>
      <c r="T115" s="1046"/>
      <c r="U115" s="1045"/>
      <c r="V115" s="18"/>
      <c r="W115" s="74"/>
    </row>
    <row r="116" spans="1:23" x14ac:dyDescent="0.25">
      <c r="A116" s="972">
        <v>1</v>
      </c>
      <c r="M116" s="174"/>
      <c r="N116" s="18"/>
      <c r="O116" s="431" t="s">
        <v>1569</v>
      </c>
      <c r="P116" s="805"/>
      <c r="Q116" s="805"/>
      <c r="R116" s="1026"/>
      <c r="S116" s="1026"/>
      <c r="T116" s="1026"/>
      <c r="U116" s="805"/>
      <c r="V116" s="18"/>
      <c r="W116" s="74"/>
    </row>
    <row r="117" spans="1:23" x14ac:dyDescent="0.25">
      <c r="A117" s="957">
        <v>1</v>
      </c>
      <c r="M117" s="174"/>
      <c r="N117" s="18"/>
      <c r="O117" s="309" t="s">
        <v>515</v>
      </c>
      <c r="P117" s="1042"/>
      <c r="Q117" s="1042"/>
      <c r="R117" s="1042"/>
      <c r="S117" s="1042"/>
      <c r="T117" s="1042"/>
      <c r="U117" s="1042"/>
      <c r="V117" s="18"/>
      <c r="W117" s="74"/>
    </row>
    <row r="118" spans="1:23" x14ac:dyDescent="0.25">
      <c r="A118" s="980">
        <v>1</v>
      </c>
      <c r="M118" s="319"/>
      <c r="N118" s="312"/>
      <c r="O118" s="431" t="s">
        <v>6</v>
      </c>
      <c r="P118" s="1013"/>
      <c r="Q118" s="1013"/>
      <c r="R118" s="1013"/>
      <c r="S118" s="1013"/>
      <c r="T118" s="1013"/>
      <c r="U118" s="1013"/>
      <c r="V118" s="312"/>
      <c r="W118" s="320"/>
    </row>
    <row r="119" spans="1:23" hidden="1" x14ac:dyDescent="0.25">
      <c r="A119" s="972">
        <v>0</v>
      </c>
      <c r="M119" s="174"/>
      <c r="N119" s="18"/>
      <c r="O119" s="431"/>
      <c r="P119" s="1013"/>
      <c r="Q119" s="1013"/>
      <c r="R119" s="1013"/>
      <c r="S119" s="1013"/>
      <c r="T119" s="1013"/>
      <c r="U119" s="1013"/>
      <c r="V119" s="18"/>
      <c r="W119" s="74"/>
    </row>
    <row r="120" spans="1:23" hidden="1" x14ac:dyDescent="0.25">
      <c r="A120" s="972">
        <v>0</v>
      </c>
      <c r="M120" s="174"/>
      <c r="N120" s="18"/>
      <c r="O120" s="432"/>
      <c r="P120" s="1013"/>
      <c r="Q120" s="1013"/>
      <c r="R120" s="1013"/>
      <c r="S120" s="1013"/>
      <c r="T120" s="1013"/>
      <c r="U120" s="1013"/>
      <c r="V120" s="18"/>
      <c r="W120" s="74"/>
    </row>
    <row r="121" spans="1:23" x14ac:dyDescent="0.25">
      <c r="A121" s="972">
        <v>1</v>
      </c>
      <c r="M121" s="174"/>
      <c r="N121" s="18"/>
      <c r="O121" s="431" t="s">
        <v>288</v>
      </c>
      <c r="P121" s="1013"/>
      <c r="Q121" s="1013"/>
      <c r="R121" s="1013"/>
      <c r="S121" s="1013"/>
      <c r="T121" s="1013"/>
      <c r="U121" s="1013"/>
      <c r="V121" s="18"/>
      <c r="W121" s="74"/>
    </row>
    <row r="122" spans="1:23" x14ac:dyDescent="0.25">
      <c r="A122" s="972">
        <v>1</v>
      </c>
      <c r="M122" s="174"/>
      <c r="N122" s="18"/>
      <c r="O122" s="431" t="s">
        <v>10</v>
      </c>
      <c r="P122" s="1023"/>
      <c r="Q122" s="1023"/>
      <c r="R122" s="1023"/>
      <c r="S122" s="1023"/>
      <c r="T122" s="1023"/>
      <c r="U122" s="1023"/>
      <c r="V122" s="18"/>
      <c r="W122" s="74"/>
    </row>
    <row r="123" spans="1:23" hidden="1" x14ac:dyDescent="0.25">
      <c r="A123" s="972">
        <v>0</v>
      </c>
      <c r="M123" s="174"/>
      <c r="N123" s="18"/>
      <c r="O123" s="431" t="s">
        <v>10</v>
      </c>
      <c r="P123" s="1013"/>
      <c r="Q123" s="1013"/>
      <c r="R123" s="1013"/>
      <c r="S123" s="1013"/>
      <c r="T123" s="1013"/>
      <c r="U123" s="1013"/>
      <c r="V123" s="18"/>
      <c r="W123" s="74"/>
    </row>
    <row r="124" spans="1:23" hidden="1" x14ac:dyDescent="0.25">
      <c r="A124" s="707">
        <v>0</v>
      </c>
      <c r="M124" s="174"/>
      <c r="N124" s="18"/>
      <c r="O124" s="431" t="s">
        <v>1009</v>
      </c>
      <c r="P124" s="1013"/>
      <c r="Q124" s="1013"/>
      <c r="R124" s="1013"/>
      <c r="S124" s="1013"/>
      <c r="T124" s="1013"/>
      <c r="U124" s="1013"/>
      <c r="V124" s="18"/>
      <c r="W124" s="74"/>
    </row>
    <row r="125" spans="1:23" x14ac:dyDescent="0.25">
      <c r="A125" s="707">
        <v>1</v>
      </c>
      <c r="M125" s="174"/>
      <c r="N125" s="18"/>
      <c r="O125" s="431" t="s">
        <v>17</v>
      </c>
      <c r="P125" s="1047"/>
      <c r="Q125" s="1047"/>
      <c r="R125" s="1047"/>
      <c r="S125" s="1047"/>
      <c r="T125" s="1047"/>
      <c r="U125" s="1047"/>
      <c r="V125" s="18"/>
      <c r="W125" s="74"/>
    </row>
    <row r="126" spans="1:23" x14ac:dyDescent="0.25">
      <c r="A126" s="707">
        <f>IF(dpUnit_Sales_1="Net Rentable Area",1,0)</f>
        <v>1</v>
      </c>
      <c r="M126" s="174"/>
      <c r="N126" s="18"/>
      <c r="O126" s="431" t="s">
        <v>441</v>
      </c>
      <c r="P126" s="1032"/>
      <c r="Q126" s="1032"/>
      <c r="R126" s="1032"/>
      <c r="S126" s="1032"/>
      <c r="T126" s="1032"/>
      <c r="U126" s="1032"/>
      <c r="V126" s="18"/>
      <c r="W126" s="74"/>
    </row>
    <row r="127" spans="1:23" hidden="1" x14ac:dyDescent="0.25">
      <c r="A127" s="707">
        <f>IF(dpUnit_Sales_1="Gross Building Area",1,0)</f>
        <v>0</v>
      </c>
      <c r="M127" s="174"/>
      <c r="N127" s="18"/>
      <c r="O127" s="431" t="s">
        <v>183</v>
      </c>
      <c r="P127" s="1032"/>
      <c r="Q127" s="1032"/>
      <c r="R127" s="1032"/>
      <c r="S127" s="1032"/>
      <c r="T127" s="1032"/>
      <c r="U127" s="1032"/>
      <c r="V127" s="18"/>
      <c r="W127" s="74"/>
    </row>
    <row r="128" spans="1:23" hidden="1" x14ac:dyDescent="0.25">
      <c r="A128" s="707">
        <f>IF(dpUnit_Sales_1="Units",1,0)</f>
        <v>0</v>
      </c>
      <c r="M128" s="174"/>
      <c r="N128" s="18"/>
      <c r="O128" s="431" t="s">
        <v>1131</v>
      </c>
      <c r="P128" s="1032"/>
      <c r="Q128" s="1032"/>
      <c r="R128" s="1032"/>
      <c r="S128" s="1032"/>
      <c r="T128" s="1032"/>
      <c r="U128" s="1032"/>
      <c r="V128" s="18"/>
      <c r="W128" s="74"/>
    </row>
    <row r="129" spans="1:35" x14ac:dyDescent="0.25">
      <c r="A129" s="707">
        <v>1</v>
      </c>
      <c r="M129" s="174"/>
      <c r="N129" s="18"/>
      <c r="O129" s="431" t="s">
        <v>745</v>
      </c>
      <c r="P129" s="1029"/>
      <c r="Q129" s="1029"/>
      <c r="R129" s="1029"/>
      <c r="S129" s="1029"/>
      <c r="T129" s="1029"/>
      <c r="U129" s="1029"/>
      <c r="V129" s="18"/>
      <c r="W129" s="74"/>
    </row>
    <row r="130" spans="1:35" x14ac:dyDescent="0.25">
      <c r="A130" s="707">
        <v>1</v>
      </c>
      <c r="M130" s="174"/>
      <c r="N130" s="18"/>
      <c r="O130" s="431" t="s">
        <v>751</v>
      </c>
      <c r="P130" s="1033"/>
      <c r="Q130" s="1033"/>
      <c r="R130" s="1033"/>
      <c r="S130" s="1033"/>
      <c r="T130" s="1033"/>
      <c r="U130" s="1033"/>
      <c r="V130" s="18"/>
      <c r="W130" s="74"/>
    </row>
    <row r="131" spans="1:35" x14ac:dyDescent="0.25">
      <c r="A131" s="707">
        <v>1</v>
      </c>
      <c r="M131" s="174"/>
      <c r="N131" s="18"/>
      <c r="O131" s="431" t="s">
        <v>286</v>
      </c>
      <c r="P131" s="1034"/>
      <c r="Q131" s="1034"/>
      <c r="R131" s="1034"/>
      <c r="S131" s="1034"/>
      <c r="T131" s="1034"/>
      <c r="U131" s="1034"/>
      <c r="V131" s="18"/>
      <c r="W131" s="74"/>
    </row>
    <row r="132" spans="1:35" x14ac:dyDescent="0.25">
      <c r="A132" s="707">
        <v>1</v>
      </c>
      <c r="M132" s="174"/>
      <c r="N132" s="18"/>
      <c r="O132" s="431" t="s">
        <v>1407</v>
      </c>
      <c r="P132" s="1029"/>
      <c r="Q132" s="1029"/>
      <c r="R132" s="1029"/>
      <c r="S132" s="1029"/>
      <c r="T132" s="1029"/>
      <c r="U132" s="1029"/>
      <c r="V132" s="18"/>
      <c r="W132" s="74"/>
    </row>
    <row r="133" spans="1:35" hidden="1" x14ac:dyDescent="0.25">
      <c r="A133" s="707">
        <f>IF('Improved Sales Adjustments 1'!B173=TRUE,1,0)</f>
        <v>0</v>
      </c>
      <c r="M133" s="174"/>
      <c r="N133" s="18"/>
      <c r="O133" s="431" t="s">
        <v>191</v>
      </c>
      <c r="P133" s="1035"/>
      <c r="Q133" s="1035"/>
      <c r="R133" s="1035"/>
      <c r="S133" s="1035"/>
      <c r="T133" s="1035"/>
      <c r="U133" s="1035"/>
      <c r="V133" s="18"/>
      <c r="W133" s="74"/>
    </row>
    <row r="134" spans="1:35" hidden="1" x14ac:dyDescent="0.25">
      <c r="A134" s="707">
        <f>IF('Improved Sales Adjustments 1'!B179=TRUE,1,0)</f>
        <v>0</v>
      </c>
      <c r="M134" s="174"/>
      <c r="N134" s="18"/>
      <c r="O134" s="431" t="s">
        <v>285</v>
      </c>
      <c r="P134" s="1036"/>
      <c r="Q134" s="1036"/>
      <c r="R134" s="1036"/>
      <c r="S134" s="1036"/>
      <c r="T134" s="1036"/>
      <c r="U134" s="1036"/>
      <c r="V134" s="18"/>
      <c r="W134" s="74"/>
    </row>
    <row r="135" spans="1:35" ht="15" thickBot="1" x14ac:dyDescent="0.3">
      <c r="A135" s="707">
        <f>IF(Subject_PropertyType="Industrial",1,0)</f>
        <v>1</v>
      </c>
      <c r="M135" s="174"/>
      <c r="N135" s="18"/>
      <c r="O135" s="431" t="s">
        <v>744</v>
      </c>
      <c r="P135" s="1036"/>
      <c r="Q135" s="1036"/>
      <c r="R135" s="1036"/>
      <c r="S135" s="1036"/>
      <c r="T135" s="1036"/>
      <c r="U135" s="1036"/>
      <c r="V135" s="18"/>
      <c r="W135" s="74"/>
    </row>
    <row r="136" spans="1:35" ht="15" hidden="1" thickBot="1" x14ac:dyDescent="0.3">
      <c r="A136" s="707">
        <f>IF(O136="User Defined",0,1)</f>
        <v>0</v>
      </c>
      <c r="M136" s="174"/>
      <c r="N136" s="18"/>
      <c r="O136" s="551" t="s">
        <v>192</v>
      </c>
      <c r="P136" s="1037"/>
      <c r="Q136" s="1037"/>
      <c r="R136" s="1037"/>
      <c r="S136" s="1037"/>
      <c r="T136" s="1037"/>
      <c r="U136" s="1037"/>
      <c r="V136" s="18"/>
      <c r="W136" s="74"/>
    </row>
    <row r="137" spans="1:35" x14ac:dyDescent="0.25">
      <c r="A137" s="707"/>
      <c r="M137" s="174"/>
      <c r="N137" s="18"/>
      <c r="O137" s="1338" t="s">
        <v>1570</v>
      </c>
      <c r="P137" s="1038"/>
      <c r="Q137" s="1038"/>
      <c r="R137" s="1038"/>
      <c r="S137" s="1038"/>
      <c r="T137" s="1038"/>
      <c r="U137" s="1038"/>
      <c r="V137" s="18"/>
      <c r="W137" s="74"/>
    </row>
    <row r="138" spans="1:35" x14ac:dyDescent="0.25">
      <c r="A138" s="707"/>
    </row>
    <row r="139" spans="1:35" x14ac:dyDescent="0.25">
      <c r="A139" s="707"/>
      <c r="Y139" s="174"/>
      <c r="Z139" s="18"/>
      <c r="AA139" s="28"/>
      <c r="AB139" s="1020"/>
      <c r="AC139" s="1020"/>
      <c r="AD139" s="1020"/>
      <c r="AE139" s="1020"/>
      <c r="AF139" s="1020"/>
      <c r="AG139" s="1020"/>
      <c r="AH139" s="18"/>
      <c r="AI139" s="74"/>
    </row>
    <row r="140" spans="1:35" ht="16.5" x14ac:dyDescent="0.3">
      <c r="A140" s="707"/>
      <c r="Y140" s="174"/>
      <c r="Z140" s="18"/>
      <c r="AA140" s="27" t="str">
        <f>CONCATENATE("Improved Sales Summary - ",dpSales_ComponentNameB2," Component")</f>
        <v>Improved Sales Summary -  Component</v>
      </c>
      <c r="AB140" s="1021"/>
      <c r="AC140" s="1020"/>
      <c r="AD140" s="1021"/>
      <c r="AE140" s="1021"/>
      <c r="AF140" s="1021"/>
      <c r="AG140" s="1020"/>
      <c r="AH140" s="18"/>
      <c r="AI140" s="74"/>
    </row>
    <row r="141" spans="1:35" x14ac:dyDescent="0.25">
      <c r="A141" s="707"/>
      <c r="Y141" s="174"/>
      <c r="Z141" s="11"/>
      <c r="AA141" s="207"/>
      <c r="AB141" s="1041">
        <v>1</v>
      </c>
      <c r="AC141" s="1041">
        <v>2</v>
      </c>
      <c r="AD141" s="1041">
        <v>3</v>
      </c>
      <c r="AE141" s="1041">
        <v>4</v>
      </c>
      <c r="AF141" s="1041">
        <v>5</v>
      </c>
      <c r="AG141" s="1041">
        <v>6</v>
      </c>
      <c r="AH141" s="11"/>
      <c r="AI141" s="74"/>
    </row>
    <row r="142" spans="1:35" x14ac:dyDescent="0.25">
      <c r="A142" s="972">
        <v>1</v>
      </c>
      <c r="Y142" s="174"/>
      <c r="Z142" s="18"/>
      <c r="AA142" s="327" t="s">
        <v>703</v>
      </c>
      <c r="AB142" s="1013"/>
      <c r="AC142" s="1013"/>
      <c r="AD142" s="1013"/>
      <c r="AE142" s="1013"/>
      <c r="AF142" s="1013"/>
      <c r="AG142" s="1013"/>
      <c r="AH142" s="18"/>
      <c r="AI142" s="74"/>
    </row>
    <row r="143" spans="1:35" x14ac:dyDescent="0.25">
      <c r="A143" s="972">
        <v>1</v>
      </c>
      <c r="Y143" s="174"/>
      <c r="Z143" s="18"/>
      <c r="AA143" s="327" t="s">
        <v>0</v>
      </c>
      <c r="AB143" s="1013"/>
      <c r="AC143" s="1013"/>
      <c r="AD143" s="1013"/>
      <c r="AE143" s="1013"/>
      <c r="AF143" s="1013"/>
      <c r="AG143" s="1013"/>
      <c r="AH143" s="18"/>
      <c r="AI143" s="74"/>
    </row>
    <row r="144" spans="1:35" x14ac:dyDescent="0.25">
      <c r="A144" s="972">
        <v>1</v>
      </c>
      <c r="Y144" s="174"/>
      <c r="Z144" s="18"/>
      <c r="AA144" s="327" t="s">
        <v>95</v>
      </c>
      <c r="AB144" s="1013"/>
      <c r="AC144" s="1013"/>
      <c r="AD144" s="1013"/>
      <c r="AE144" s="1013"/>
      <c r="AF144" s="1013"/>
      <c r="AG144" s="1013"/>
      <c r="AH144" s="18"/>
      <c r="AI144" s="74"/>
    </row>
    <row r="145" spans="1:35" x14ac:dyDescent="0.25">
      <c r="A145" s="972">
        <v>1</v>
      </c>
      <c r="Y145" s="174"/>
      <c r="Z145" s="18"/>
      <c r="AA145" s="327"/>
      <c r="AB145" s="1013"/>
      <c r="AC145" s="1013"/>
      <c r="AD145" s="1013"/>
      <c r="AE145" s="1013"/>
      <c r="AF145" s="1013"/>
      <c r="AG145" s="1013"/>
      <c r="AH145" s="18"/>
      <c r="AI145" s="74"/>
    </row>
    <row r="146" spans="1:35" x14ac:dyDescent="0.25">
      <c r="A146" s="972">
        <v>1</v>
      </c>
      <c r="Y146" s="174"/>
      <c r="Z146" s="18"/>
      <c r="AA146" s="327" t="s">
        <v>308</v>
      </c>
      <c r="AB146" s="1013"/>
      <c r="AC146" s="1013"/>
      <c r="AD146" s="1013"/>
      <c r="AE146" s="1013"/>
      <c r="AF146" s="1013"/>
      <c r="AG146" s="1013"/>
      <c r="AH146" s="18"/>
      <c r="AI146" s="74"/>
    </row>
    <row r="147" spans="1:35" x14ac:dyDescent="0.25">
      <c r="A147" s="972">
        <v>1</v>
      </c>
      <c r="Y147" s="174"/>
      <c r="Z147" s="18"/>
      <c r="AA147" s="327" t="s">
        <v>743</v>
      </c>
      <c r="AB147" s="1013"/>
      <c r="AC147" s="1013"/>
      <c r="AD147" s="1013"/>
      <c r="AE147" s="1013"/>
      <c r="AF147" s="1013"/>
      <c r="AG147" s="1013"/>
      <c r="AH147" s="18"/>
      <c r="AI147" s="74"/>
    </row>
    <row r="148" spans="1:35" x14ac:dyDescent="0.25">
      <c r="A148" s="972">
        <v>1</v>
      </c>
      <c r="Y148" s="174"/>
      <c r="Z148" s="18"/>
      <c r="AA148" s="327" t="s">
        <v>716</v>
      </c>
      <c r="AB148" s="1013"/>
      <c r="AC148" s="1013"/>
      <c r="AD148" s="1013"/>
      <c r="AE148" s="1013"/>
      <c r="AF148" s="1013"/>
      <c r="AG148" s="1013"/>
      <c r="AH148" s="18"/>
      <c r="AI148" s="74"/>
    </row>
    <row r="149" spans="1:35" x14ac:dyDescent="0.25">
      <c r="A149" s="972">
        <v>1</v>
      </c>
      <c r="Y149" s="174"/>
      <c r="Z149" s="18"/>
      <c r="AA149" s="327" t="s">
        <v>717</v>
      </c>
      <c r="AB149" s="1023"/>
      <c r="AC149" s="1023"/>
      <c r="AD149" s="1023"/>
      <c r="AE149" s="1023"/>
      <c r="AF149" s="1023"/>
      <c r="AG149" s="1023"/>
      <c r="AH149" s="18"/>
      <c r="AI149" s="74"/>
    </row>
    <row r="150" spans="1:35" x14ac:dyDescent="0.25">
      <c r="A150" s="957">
        <v>1</v>
      </c>
      <c r="Y150" s="174"/>
      <c r="Z150" s="18"/>
      <c r="AA150" s="309" t="s">
        <v>715</v>
      </c>
      <c r="AB150" s="1042"/>
      <c r="AC150" s="1042"/>
      <c r="AD150" s="1042"/>
      <c r="AE150" s="1042"/>
      <c r="AF150" s="1042"/>
      <c r="AG150" s="1042"/>
      <c r="AH150" s="18"/>
      <c r="AI150" s="74"/>
    </row>
    <row r="151" spans="1:35" x14ac:dyDescent="0.25">
      <c r="A151" s="972">
        <v>1</v>
      </c>
      <c r="Y151" s="174"/>
      <c r="Z151" s="18"/>
      <c r="AA151" s="431" t="s">
        <v>159</v>
      </c>
      <c r="AB151" s="1022"/>
      <c r="AC151" s="1022"/>
      <c r="AD151" s="1022"/>
      <c r="AE151" s="1022"/>
      <c r="AF151" s="1022"/>
      <c r="AG151" s="1022"/>
      <c r="AH151" s="18"/>
      <c r="AI151" s="74"/>
    </row>
    <row r="152" spans="1:35" x14ac:dyDescent="0.25">
      <c r="A152" s="972">
        <v>1</v>
      </c>
      <c r="Y152" s="174"/>
      <c r="Z152" s="18"/>
      <c r="AA152" s="431" t="s">
        <v>719</v>
      </c>
      <c r="AB152" s="1022"/>
      <c r="AC152" s="1022"/>
      <c r="AD152" s="1022"/>
      <c r="AE152" s="1022"/>
      <c r="AF152" s="1022"/>
      <c r="AG152" s="1022"/>
      <c r="AH152" s="18"/>
      <c r="AI152" s="74"/>
    </row>
    <row r="153" spans="1:35" x14ac:dyDescent="0.25">
      <c r="A153" s="972">
        <v>1</v>
      </c>
      <c r="Y153" s="174"/>
      <c r="Z153" s="18"/>
      <c r="AA153" s="431" t="s">
        <v>720</v>
      </c>
      <c r="AB153" s="1022"/>
      <c r="AC153" s="1022"/>
      <c r="AD153" s="1022"/>
      <c r="AE153" s="1022"/>
      <c r="AF153" s="1022"/>
      <c r="AG153" s="1022"/>
      <c r="AH153" s="18"/>
      <c r="AI153" s="74"/>
    </row>
    <row r="154" spans="1:35" hidden="1" x14ac:dyDescent="0.25">
      <c r="A154" s="972">
        <v>0</v>
      </c>
      <c r="Y154" s="174"/>
      <c r="Z154" s="18"/>
      <c r="AA154" s="431" t="s">
        <v>723</v>
      </c>
      <c r="AB154" s="1028"/>
      <c r="AC154" s="1028"/>
      <c r="AD154" s="1028"/>
      <c r="AE154" s="1028"/>
      <c r="AF154" s="1028"/>
      <c r="AG154" s="1028"/>
      <c r="AH154" s="18"/>
      <c r="AI154" s="74"/>
    </row>
    <row r="155" spans="1:35" hidden="1" x14ac:dyDescent="0.25">
      <c r="A155" s="972">
        <v>0</v>
      </c>
      <c r="Y155" s="174"/>
      <c r="Z155" s="18"/>
      <c r="AA155" s="431" t="s">
        <v>722</v>
      </c>
      <c r="AB155" s="1028"/>
      <c r="AC155" s="1028"/>
      <c r="AD155" s="1028"/>
      <c r="AE155" s="1028"/>
      <c r="AF155" s="1028"/>
      <c r="AG155" s="1028"/>
      <c r="AH155" s="18"/>
      <c r="AI155" s="74"/>
    </row>
    <row r="156" spans="1:35" x14ac:dyDescent="0.25">
      <c r="A156" s="972">
        <v>1</v>
      </c>
      <c r="Y156" s="174"/>
      <c r="Z156" s="18"/>
      <c r="AA156" s="431" t="s">
        <v>721</v>
      </c>
      <c r="AB156" s="1028" t="str">
        <f t="shared" ref="AB156:AG156" si="38">IF(AND(AB154="",AB155=""),"N/A",IF(AB154="",AB155,AB154))</f>
        <v>N/A</v>
      </c>
      <c r="AC156" s="1028" t="str">
        <f t="shared" si="38"/>
        <v>N/A</v>
      </c>
      <c r="AD156" s="1028" t="str">
        <f t="shared" si="38"/>
        <v>N/A</v>
      </c>
      <c r="AE156" s="1028" t="str">
        <f t="shared" si="38"/>
        <v>N/A</v>
      </c>
      <c r="AF156" s="1028" t="str">
        <f t="shared" si="38"/>
        <v>N/A</v>
      </c>
      <c r="AG156" s="1028" t="str">
        <f t="shared" si="38"/>
        <v>N/A</v>
      </c>
      <c r="AH156" s="18"/>
      <c r="AI156" s="74"/>
    </row>
    <row r="157" spans="1:35" x14ac:dyDescent="0.25">
      <c r="A157" s="972">
        <v>1</v>
      </c>
      <c r="Y157" s="174"/>
      <c r="Z157" s="18"/>
      <c r="AA157" s="431" t="s">
        <v>164</v>
      </c>
      <c r="AB157" s="1013"/>
      <c r="AC157" s="1013"/>
      <c r="AD157" s="1013"/>
      <c r="AE157" s="1013"/>
      <c r="AF157" s="1013"/>
      <c r="AG157" s="1013"/>
      <c r="AH157" s="18"/>
      <c r="AI157" s="74"/>
    </row>
    <row r="158" spans="1:35" x14ac:dyDescent="0.25">
      <c r="A158" s="972">
        <v>1</v>
      </c>
      <c r="Y158" s="174"/>
      <c r="Z158" s="18"/>
      <c r="AA158" s="431" t="s">
        <v>736</v>
      </c>
      <c r="AB158" s="1013"/>
      <c r="AC158" s="1013"/>
      <c r="AD158" s="1013"/>
      <c r="AE158" s="1013"/>
      <c r="AF158" s="1013"/>
      <c r="AG158" s="1013"/>
      <c r="AH158" s="18"/>
      <c r="AI158" s="74"/>
    </row>
    <row r="159" spans="1:35" x14ac:dyDescent="0.25">
      <c r="A159" s="972">
        <v>1</v>
      </c>
      <c r="Y159" s="174"/>
      <c r="Z159" s="18"/>
      <c r="AA159" s="431" t="s">
        <v>284</v>
      </c>
      <c r="AB159" s="1013"/>
      <c r="AC159" s="1013"/>
      <c r="AD159" s="1013"/>
      <c r="AE159" s="1013"/>
      <c r="AF159" s="1013"/>
      <c r="AG159" s="1013"/>
      <c r="AH159" s="18"/>
      <c r="AI159" s="74"/>
    </row>
    <row r="160" spans="1:35" x14ac:dyDescent="0.25">
      <c r="A160" s="957">
        <v>1</v>
      </c>
      <c r="Y160" s="174"/>
      <c r="Z160" s="18"/>
      <c r="AA160" s="116" t="s">
        <v>516</v>
      </c>
      <c r="AB160" s="1020"/>
      <c r="AC160" s="1020"/>
      <c r="AD160" s="1042"/>
      <c r="AE160" s="1042"/>
      <c r="AF160" s="1042"/>
      <c r="AG160" s="1020"/>
      <c r="AH160" s="18"/>
      <c r="AI160" s="74"/>
    </row>
    <row r="161" spans="1:35" x14ac:dyDescent="0.25">
      <c r="A161" s="707">
        <v>1</v>
      </c>
      <c r="Y161" s="174"/>
      <c r="Z161" s="18"/>
      <c r="AA161" s="431" t="s">
        <v>1303</v>
      </c>
      <c r="AB161" s="806"/>
      <c r="AC161" s="806"/>
      <c r="AD161" s="1027"/>
      <c r="AE161" s="1027"/>
      <c r="AF161" s="1027"/>
      <c r="AG161" s="806"/>
      <c r="AH161" s="18"/>
      <c r="AI161" s="74"/>
    </row>
    <row r="162" spans="1:35" x14ac:dyDescent="0.25">
      <c r="A162" s="707">
        <f>IF(dpUnit_Sales_2="Net Rentable Area",1,0)</f>
        <v>1</v>
      </c>
      <c r="Y162" s="174"/>
      <c r="Z162" s="18"/>
      <c r="AA162" s="431"/>
      <c r="AB162" s="526" t="e">
        <f t="shared" ref="AB162:AG162" si="39">AB161/AB194</f>
        <v>#DIV/0!</v>
      </c>
      <c r="AC162" s="526" t="e">
        <f t="shared" si="39"/>
        <v>#DIV/0!</v>
      </c>
      <c r="AD162" s="526" t="e">
        <f t="shared" si="39"/>
        <v>#DIV/0!</v>
      </c>
      <c r="AE162" s="526" t="e">
        <f t="shared" si="39"/>
        <v>#DIV/0!</v>
      </c>
      <c r="AF162" s="526" t="e">
        <f t="shared" si="39"/>
        <v>#DIV/0!</v>
      </c>
      <c r="AG162" s="526" t="e">
        <f t="shared" si="39"/>
        <v>#DIV/0!</v>
      </c>
      <c r="AH162" s="18"/>
      <c r="AI162" s="74"/>
    </row>
    <row r="163" spans="1:35" hidden="1" x14ac:dyDescent="0.25">
      <c r="A163" s="707">
        <f>IF(dpUnit_Sales_2="Net Rentable Area",0,1)</f>
        <v>0</v>
      </c>
      <c r="Y163" s="174"/>
      <c r="Z163" s="18"/>
      <c r="AA163" s="431"/>
      <c r="AB163" s="526" t="e">
        <f t="shared" ref="AB163:AG163" si="40">AB161/AB195</f>
        <v>#DIV/0!</v>
      </c>
      <c r="AC163" s="526" t="e">
        <f t="shared" si="40"/>
        <v>#DIV/0!</v>
      </c>
      <c r="AD163" s="526" t="e">
        <f t="shared" si="40"/>
        <v>#DIV/0!</v>
      </c>
      <c r="AE163" s="526" t="e">
        <f t="shared" si="40"/>
        <v>#DIV/0!</v>
      </c>
      <c r="AF163" s="526" t="e">
        <f t="shared" si="40"/>
        <v>#DIV/0!</v>
      </c>
      <c r="AG163" s="526" t="e">
        <f t="shared" si="40"/>
        <v>#DIV/0!</v>
      </c>
      <c r="AH163" s="18"/>
      <c r="AI163" s="74"/>
    </row>
    <row r="164" spans="1:35" hidden="1" x14ac:dyDescent="0.25">
      <c r="A164" s="707">
        <f>IF(dpSale_Method_2="Whole Property",0,1)</f>
        <v>0</v>
      </c>
      <c r="Y164" s="174"/>
      <c r="Z164" s="18"/>
      <c r="AA164" s="431" t="s">
        <v>1568</v>
      </c>
      <c r="AB164" s="806"/>
      <c r="AC164" s="806"/>
      <c r="AD164" s="1027"/>
      <c r="AE164" s="1027"/>
      <c r="AF164" s="1027"/>
      <c r="AG164" s="806"/>
      <c r="AH164" s="18"/>
      <c r="AI164" s="74"/>
    </row>
    <row r="165" spans="1:35" hidden="1" x14ac:dyDescent="0.25">
      <c r="A165" s="707">
        <f>IF(dpSale_Method_2="Whole Property",0,1)</f>
        <v>0</v>
      </c>
      <c r="Y165" s="174"/>
      <c r="Z165" s="18"/>
      <c r="AA165" s="431"/>
      <c r="AB165" s="526" t="e">
        <f t="shared" ref="AB165:AG165" si="41">AB164/AB194</f>
        <v>#DIV/0!</v>
      </c>
      <c r="AC165" s="526" t="e">
        <f t="shared" si="41"/>
        <v>#DIV/0!</v>
      </c>
      <c r="AD165" s="526" t="e">
        <f t="shared" si="41"/>
        <v>#DIV/0!</v>
      </c>
      <c r="AE165" s="526" t="e">
        <f t="shared" si="41"/>
        <v>#DIV/0!</v>
      </c>
      <c r="AF165" s="526" t="e">
        <f t="shared" si="41"/>
        <v>#DIV/0!</v>
      </c>
      <c r="AG165" s="526" t="e">
        <f t="shared" si="41"/>
        <v>#DIV/0!</v>
      </c>
      <c r="AH165" s="18"/>
      <c r="AI165" s="74"/>
    </row>
    <row r="166" spans="1:35" x14ac:dyDescent="0.25">
      <c r="A166" s="707">
        <v>1</v>
      </c>
      <c r="Y166" s="174"/>
      <c r="Z166" s="18"/>
      <c r="AA166" s="431" t="s">
        <v>547</v>
      </c>
      <c r="AB166" s="1017"/>
      <c r="AC166" s="1017"/>
      <c r="AD166" s="1017"/>
      <c r="AE166" s="1017"/>
      <c r="AF166" s="1017"/>
      <c r="AG166" s="1017"/>
      <c r="AH166" s="18"/>
      <c r="AI166" s="74"/>
    </row>
    <row r="167" spans="1:35" x14ac:dyDescent="0.25">
      <c r="A167" s="972">
        <v>1</v>
      </c>
      <c r="Y167" s="174"/>
      <c r="Z167" s="18"/>
      <c r="AA167" s="431" t="s">
        <v>433</v>
      </c>
      <c r="AB167" s="1044"/>
      <c r="AC167" s="1044"/>
      <c r="AD167" s="1031"/>
      <c r="AE167" s="1031"/>
      <c r="AF167" s="1031"/>
      <c r="AG167" s="1044"/>
      <c r="AH167" s="18"/>
      <c r="AI167" s="74"/>
    </row>
    <row r="168" spans="1:35" x14ac:dyDescent="0.25">
      <c r="A168" s="972">
        <v>1</v>
      </c>
      <c r="Y168" s="174"/>
      <c r="Z168" s="18"/>
      <c r="AA168" s="431" t="s">
        <v>518</v>
      </c>
      <c r="AB168" s="1045"/>
      <c r="AC168" s="1045"/>
      <c r="AD168" s="1046"/>
      <c r="AE168" s="1046"/>
      <c r="AF168" s="1046"/>
      <c r="AG168" s="1045"/>
      <c r="AH168" s="18"/>
      <c r="AI168" s="74"/>
    </row>
    <row r="169" spans="1:35" x14ac:dyDescent="0.25">
      <c r="A169" s="972">
        <v>1</v>
      </c>
      <c r="Y169" s="174"/>
      <c r="Z169" s="18"/>
      <c r="AA169" s="431" t="s">
        <v>1327</v>
      </c>
      <c r="AB169" s="805"/>
      <c r="AC169" s="805"/>
      <c r="AD169" s="1026"/>
      <c r="AE169" s="1026"/>
      <c r="AF169" s="1026"/>
      <c r="AG169" s="805"/>
      <c r="AH169" s="18"/>
      <c r="AI169" s="74"/>
    </row>
    <row r="170" spans="1:35" hidden="1" x14ac:dyDescent="0.25">
      <c r="A170" s="972">
        <v>0</v>
      </c>
      <c r="Y170" s="174"/>
      <c r="Z170" s="18"/>
      <c r="AA170" s="431" t="s">
        <v>1408</v>
      </c>
      <c r="AB170" s="1016"/>
      <c r="AC170" s="1016"/>
      <c r="AD170" s="1029"/>
      <c r="AE170" s="1029"/>
      <c r="AF170" s="1029"/>
      <c r="AG170" s="1016"/>
      <c r="AH170" s="18"/>
      <c r="AI170" s="74"/>
    </row>
    <row r="171" spans="1:35" hidden="1" x14ac:dyDescent="0.25">
      <c r="A171" s="972">
        <f>IF(SUM(P171:U171)&gt;1,1,0)</f>
        <v>0</v>
      </c>
      <c r="Y171" s="174"/>
      <c r="Z171" s="18"/>
      <c r="AA171" s="431" t="s">
        <v>1409</v>
      </c>
      <c r="AB171" s="1373">
        <f t="shared" ref="AB171:AG171" si="42">AB170/12</f>
        <v>0</v>
      </c>
      <c r="AC171" s="1373">
        <f t="shared" si="42"/>
        <v>0</v>
      </c>
      <c r="AD171" s="1373">
        <f t="shared" si="42"/>
        <v>0</v>
      </c>
      <c r="AE171" s="1373">
        <f t="shared" si="42"/>
        <v>0</v>
      </c>
      <c r="AF171" s="1373">
        <f t="shared" si="42"/>
        <v>0</v>
      </c>
      <c r="AG171" s="1373">
        <f t="shared" si="42"/>
        <v>0</v>
      </c>
      <c r="AH171" s="18"/>
      <c r="AI171" s="74"/>
    </row>
    <row r="172" spans="1:35" x14ac:dyDescent="0.25">
      <c r="A172" s="957">
        <v>1</v>
      </c>
      <c r="Y172" s="174"/>
      <c r="Z172" s="18"/>
      <c r="AA172" s="309" t="s">
        <v>517</v>
      </c>
      <c r="AB172" s="1020"/>
      <c r="AC172" s="1020"/>
      <c r="AD172" s="1042"/>
      <c r="AE172" s="1042"/>
      <c r="AF172" s="1042"/>
      <c r="AG172" s="1020"/>
      <c r="AH172" s="18"/>
      <c r="AI172" s="74"/>
    </row>
    <row r="173" spans="1:35" x14ac:dyDescent="0.25">
      <c r="A173" s="707">
        <v>1</v>
      </c>
      <c r="Y173" s="174"/>
      <c r="Z173" s="18"/>
      <c r="AA173" s="431" t="s">
        <v>127</v>
      </c>
      <c r="AB173" s="806"/>
      <c r="AC173" s="806"/>
      <c r="AD173" s="1027"/>
      <c r="AE173" s="1027"/>
      <c r="AF173" s="1027"/>
      <c r="AG173" s="806"/>
      <c r="AH173" s="18"/>
      <c r="AI173" s="74"/>
    </row>
    <row r="174" spans="1:35" x14ac:dyDescent="0.25">
      <c r="A174" s="707">
        <f>IF(dpUnit_Sales_2="Net Rentable Area",1,0)</f>
        <v>1</v>
      </c>
      <c r="Y174" s="174"/>
      <c r="Z174" s="18"/>
      <c r="AA174" s="431"/>
      <c r="AB174" s="526" t="e">
        <f t="shared" ref="AB174:AG174" si="43">AB173/AB194</f>
        <v>#DIV/0!</v>
      </c>
      <c r="AC174" s="526" t="e">
        <f t="shared" si="43"/>
        <v>#DIV/0!</v>
      </c>
      <c r="AD174" s="526" t="e">
        <f t="shared" si="43"/>
        <v>#DIV/0!</v>
      </c>
      <c r="AE174" s="526" t="e">
        <f t="shared" si="43"/>
        <v>#DIV/0!</v>
      </c>
      <c r="AF174" s="526" t="e">
        <f t="shared" si="43"/>
        <v>#DIV/0!</v>
      </c>
      <c r="AG174" s="526" t="e">
        <f t="shared" si="43"/>
        <v>#DIV/0!</v>
      </c>
      <c r="AH174" s="18"/>
      <c r="AI174" s="74"/>
    </row>
    <row r="175" spans="1:35" hidden="1" x14ac:dyDescent="0.25">
      <c r="A175" s="707">
        <f>IF(dpUnit_Sales_1="Gross Building Area",1,0)</f>
        <v>0</v>
      </c>
      <c r="Y175" s="174"/>
      <c r="Z175" s="18"/>
      <c r="AA175" s="431"/>
      <c r="AB175" s="526" t="e">
        <f t="shared" ref="AB175:AG176" si="44">AB173/AB195</f>
        <v>#DIV/0!</v>
      </c>
      <c r="AC175" s="526" t="e">
        <f t="shared" si="44"/>
        <v>#DIV/0!</v>
      </c>
      <c r="AD175" s="526" t="e">
        <f t="shared" si="44"/>
        <v>#DIV/0!</v>
      </c>
      <c r="AE175" s="526" t="e">
        <f t="shared" si="44"/>
        <v>#DIV/0!</v>
      </c>
      <c r="AF175" s="526" t="e">
        <f t="shared" si="44"/>
        <v>#DIV/0!</v>
      </c>
      <c r="AG175" s="526" t="e">
        <f t="shared" si="44"/>
        <v>#DIV/0!</v>
      </c>
      <c r="AH175" s="18"/>
      <c r="AI175" s="74"/>
    </row>
    <row r="176" spans="1:35" hidden="1" x14ac:dyDescent="0.25">
      <c r="A176" s="707">
        <f>IF(dpUnit_Sales_1="Units",1,0)</f>
        <v>0</v>
      </c>
      <c r="Y176" s="174"/>
      <c r="Z176" s="18"/>
      <c r="AA176" s="431"/>
      <c r="AB176" s="526" t="e">
        <f t="shared" si="44"/>
        <v>#DIV/0!</v>
      </c>
      <c r="AC176" s="526" t="e">
        <f t="shared" si="44"/>
        <v>#DIV/0!</v>
      </c>
      <c r="AD176" s="526" t="e">
        <f t="shared" si="44"/>
        <v>#DIV/0!</v>
      </c>
      <c r="AE176" s="526" t="e">
        <f t="shared" si="44"/>
        <v>#DIV/0!</v>
      </c>
      <c r="AF176" s="526" t="e">
        <f t="shared" si="44"/>
        <v>#DIV/0!</v>
      </c>
      <c r="AG176" s="526" t="e">
        <f t="shared" si="44"/>
        <v>#DIV/0!</v>
      </c>
      <c r="AH176" s="18"/>
      <c r="AI176" s="74"/>
    </row>
    <row r="177" spans="1:35" hidden="1" x14ac:dyDescent="0.25">
      <c r="A177" s="707">
        <f>IF(dpSale_Method_1="Whole Property",0,1)</f>
        <v>0</v>
      </c>
      <c r="Y177" s="174"/>
      <c r="Z177" s="18"/>
      <c r="AA177" s="431" t="s">
        <v>1568</v>
      </c>
      <c r="AB177" s="806">
        <f t="shared" ref="AB177:AG177" si="45">AB173-(AB161-AB164)</f>
        <v>0</v>
      </c>
      <c r="AC177" s="806">
        <f t="shared" si="45"/>
        <v>0</v>
      </c>
      <c r="AD177" s="806">
        <f t="shared" si="45"/>
        <v>0</v>
      </c>
      <c r="AE177" s="806">
        <f t="shared" si="45"/>
        <v>0</v>
      </c>
      <c r="AF177" s="806">
        <f t="shared" si="45"/>
        <v>0</v>
      </c>
      <c r="AG177" s="806">
        <f t="shared" si="45"/>
        <v>0</v>
      </c>
      <c r="AH177" s="18"/>
      <c r="AI177" s="74"/>
    </row>
    <row r="178" spans="1:35" hidden="1" x14ac:dyDescent="0.25">
      <c r="A178" s="707">
        <f>IF(AND(dpSale_Method_1="Whole Property",dpUnit_Sales_1="Net Rentable Area"),0,1)</f>
        <v>0</v>
      </c>
      <c r="Y178" s="174"/>
      <c r="Z178" s="18"/>
      <c r="AA178" s="431"/>
      <c r="AB178" s="526" t="e">
        <f t="shared" ref="AB178:AG178" si="46">AB177/AB194</f>
        <v>#DIV/0!</v>
      </c>
      <c r="AC178" s="526" t="e">
        <f t="shared" si="46"/>
        <v>#DIV/0!</v>
      </c>
      <c r="AD178" s="526" t="e">
        <f t="shared" si="46"/>
        <v>#DIV/0!</v>
      </c>
      <c r="AE178" s="526" t="e">
        <f t="shared" si="46"/>
        <v>#DIV/0!</v>
      </c>
      <c r="AF178" s="526" t="e">
        <f t="shared" si="46"/>
        <v>#DIV/0!</v>
      </c>
      <c r="AG178" s="526" t="e">
        <f t="shared" si="46"/>
        <v>#DIV/0!</v>
      </c>
      <c r="AH178" s="18"/>
      <c r="AI178" s="74"/>
    </row>
    <row r="179" spans="1:35" x14ac:dyDescent="0.25">
      <c r="A179" s="707">
        <f>IF(AND(dpSale_Method_2="Whole Property",dpUnit_Sales_2="Gross Building Area"),0,1)</f>
        <v>1</v>
      </c>
      <c r="Y179" s="174"/>
      <c r="Z179" s="18"/>
      <c r="AA179" s="431"/>
      <c r="AB179" s="526" t="e">
        <f t="shared" ref="AB179:AG180" si="47">AB177/AB195</f>
        <v>#DIV/0!</v>
      </c>
      <c r="AC179" s="526" t="e">
        <f t="shared" si="47"/>
        <v>#DIV/0!</v>
      </c>
      <c r="AD179" s="526" t="e">
        <f t="shared" si="47"/>
        <v>#DIV/0!</v>
      </c>
      <c r="AE179" s="526" t="e">
        <f t="shared" si="47"/>
        <v>#DIV/0!</v>
      </c>
      <c r="AF179" s="526" t="e">
        <f t="shared" si="47"/>
        <v>#DIV/0!</v>
      </c>
      <c r="AG179" s="526" t="e">
        <f t="shared" si="47"/>
        <v>#DIV/0!</v>
      </c>
      <c r="AH179" s="18"/>
      <c r="AI179" s="74"/>
    </row>
    <row r="180" spans="1:35" hidden="1" x14ac:dyDescent="0.25">
      <c r="A180" s="707">
        <f>IF(AND(dpSale_Method_1="Whole Property",dpUnit_Sales_1="Units"),1,0)</f>
        <v>0</v>
      </c>
      <c r="Y180" s="174"/>
      <c r="Z180" s="18"/>
      <c r="AA180" s="431"/>
      <c r="AB180" s="526" t="e">
        <f t="shared" si="47"/>
        <v>#DIV/0!</v>
      </c>
      <c r="AC180" s="526" t="e">
        <f t="shared" si="47"/>
        <v>#DIV/0!</v>
      </c>
      <c r="AD180" s="526" t="e">
        <f t="shared" si="47"/>
        <v>#DIV/0!</v>
      </c>
      <c r="AE180" s="526" t="e">
        <f t="shared" si="47"/>
        <v>#DIV/0!</v>
      </c>
      <c r="AF180" s="526" t="e">
        <f t="shared" si="47"/>
        <v>#DIV/0!</v>
      </c>
      <c r="AG180" s="526" t="e">
        <f t="shared" si="47"/>
        <v>#DIV/0!</v>
      </c>
      <c r="AH180" s="18"/>
      <c r="AI180" s="74"/>
    </row>
    <row r="181" spans="1:35" x14ac:dyDescent="0.25">
      <c r="A181" s="707">
        <v>1</v>
      </c>
      <c r="Y181" s="174"/>
      <c r="Z181" s="18"/>
      <c r="AA181" s="431" t="s">
        <v>438</v>
      </c>
      <c r="AB181" s="1017"/>
      <c r="AC181" s="1017"/>
      <c r="AD181" s="1017"/>
      <c r="AE181" s="1017"/>
      <c r="AF181" s="1017"/>
      <c r="AG181" s="1017"/>
      <c r="AH181" s="18"/>
      <c r="AI181" s="74"/>
    </row>
    <row r="182" spans="1:35" x14ac:dyDescent="0.25">
      <c r="A182" s="972">
        <v>1</v>
      </c>
      <c r="Y182" s="174"/>
      <c r="Z182" s="18"/>
      <c r="AA182" s="431" t="s">
        <v>433</v>
      </c>
      <c r="AB182" s="1044"/>
      <c r="AC182" s="1044"/>
      <c r="AD182" s="1031"/>
      <c r="AE182" s="1031"/>
      <c r="AF182" s="1031"/>
      <c r="AG182" s="1044"/>
      <c r="AH182" s="18"/>
      <c r="AI182" s="74"/>
    </row>
    <row r="183" spans="1:35" x14ac:dyDescent="0.25">
      <c r="A183" s="972">
        <v>1</v>
      </c>
      <c r="Y183" s="174"/>
      <c r="Z183" s="18"/>
      <c r="AA183" s="431" t="s">
        <v>518</v>
      </c>
      <c r="AB183" s="1045"/>
      <c r="AC183" s="1045"/>
      <c r="AD183" s="1046"/>
      <c r="AE183" s="1046"/>
      <c r="AF183" s="1046"/>
      <c r="AG183" s="1045"/>
      <c r="AH183" s="18"/>
      <c r="AI183" s="74"/>
    </row>
    <row r="184" spans="1:35" x14ac:dyDescent="0.25">
      <c r="A184" s="972">
        <v>1</v>
      </c>
      <c r="Y184" s="174"/>
      <c r="Z184" s="18"/>
      <c r="AA184" s="431" t="s">
        <v>1569</v>
      </c>
      <c r="AB184" s="805"/>
      <c r="AC184" s="805"/>
      <c r="AD184" s="1026"/>
      <c r="AE184" s="1026"/>
      <c r="AF184" s="1026"/>
      <c r="AG184" s="805"/>
      <c r="AH184" s="18"/>
      <c r="AI184" s="74"/>
    </row>
    <row r="185" spans="1:35" x14ac:dyDescent="0.25">
      <c r="A185" s="957">
        <v>1</v>
      </c>
      <c r="Y185" s="174"/>
      <c r="Z185" s="18"/>
      <c r="AA185" s="309" t="s">
        <v>515</v>
      </c>
      <c r="AB185" s="1042"/>
      <c r="AC185" s="1042"/>
      <c r="AD185" s="1042"/>
      <c r="AE185" s="1042"/>
      <c r="AF185" s="1042"/>
      <c r="AG185" s="1042"/>
      <c r="AH185" s="18"/>
      <c r="AI185" s="74"/>
    </row>
    <row r="186" spans="1:35" x14ac:dyDescent="0.25">
      <c r="A186" s="980">
        <v>1</v>
      </c>
      <c r="Y186" s="319"/>
      <c r="Z186" s="312"/>
      <c r="AA186" s="431" t="s">
        <v>6</v>
      </c>
      <c r="AB186" s="1013"/>
      <c r="AC186" s="1013"/>
      <c r="AD186" s="1013"/>
      <c r="AE186" s="1013"/>
      <c r="AF186" s="1013"/>
      <c r="AG186" s="1013"/>
      <c r="AH186" s="312"/>
      <c r="AI186" s="320"/>
    </row>
    <row r="187" spans="1:35" hidden="1" x14ac:dyDescent="0.25">
      <c r="A187" s="972">
        <v>0</v>
      </c>
      <c r="Y187" s="174"/>
      <c r="Z187" s="18"/>
      <c r="AA187" s="431"/>
      <c r="AB187" s="1013"/>
      <c r="AC187" s="1013"/>
      <c r="AD187" s="1013"/>
      <c r="AE187" s="1013"/>
      <c r="AF187" s="1013"/>
      <c r="AG187" s="1013"/>
      <c r="AH187" s="18"/>
      <c r="AI187" s="74"/>
    </row>
    <row r="188" spans="1:35" hidden="1" x14ac:dyDescent="0.25">
      <c r="A188" s="972">
        <v>0</v>
      </c>
      <c r="Y188" s="174"/>
      <c r="Z188" s="18"/>
      <c r="AA188" s="432"/>
      <c r="AB188" s="1013"/>
      <c r="AC188" s="1013"/>
      <c r="AD188" s="1013"/>
      <c r="AE188" s="1013"/>
      <c r="AF188" s="1013"/>
      <c r="AG188" s="1013"/>
      <c r="AH188" s="18"/>
      <c r="AI188" s="74"/>
    </row>
    <row r="189" spans="1:35" x14ac:dyDescent="0.25">
      <c r="A189" s="972">
        <v>1</v>
      </c>
      <c r="Y189" s="174"/>
      <c r="Z189" s="18"/>
      <c r="AA189" s="431" t="s">
        <v>288</v>
      </c>
      <c r="AB189" s="1013" t="str">
        <f t="shared" ref="AB189:AG189" si="48">CONCATENATE(AB187," Class ",AB188)</f>
        <v xml:space="preserve"> Class </v>
      </c>
      <c r="AC189" s="1013" t="str">
        <f t="shared" si="48"/>
        <v xml:space="preserve"> Class </v>
      </c>
      <c r="AD189" s="1013" t="str">
        <f t="shared" si="48"/>
        <v xml:space="preserve"> Class </v>
      </c>
      <c r="AE189" s="1013" t="str">
        <f t="shared" si="48"/>
        <v xml:space="preserve"> Class </v>
      </c>
      <c r="AF189" s="1013" t="str">
        <f t="shared" si="48"/>
        <v xml:space="preserve"> Class </v>
      </c>
      <c r="AG189" s="1013" t="str">
        <f t="shared" si="48"/>
        <v xml:space="preserve"> Class </v>
      </c>
      <c r="AH189" s="18"/>
      <c r="AI189" s="74"/>
    </row>
    <row r="190" spans="1:35" x14ac:dyDescent="0.25">
      <c r="A190" s="972">
        <v>1</v>
      </c>
      <c r="Y190" s="174"/>
      <c r="Z190" s="18"/>
      <c r="AA190" s="431" t="s">
        <v>10</v>
      </c>
      <c r="AB190" s="1023">
        <f t="shared" ref="AB190:AG190" si="49">IF(OR(AB191="",AB191="N/A"),AB192,AB191)</f>
        <v>0</v>
      </c>
      <c r="AC190" s="1023">
        <f t="shared" si="49"/>
        <v>0</v>
      </c>
      <c r="AD190" s="1023">
        <f t="shared" si="49"/>
        <v>0</v>
      </c>
      <c r="AE190" s="1023">
        <f t="shared" si="49"/>
        <v>0</v>
      </c>
      <c r="AF190" s="1023">
        <f t="shared" si="49"/>
        <v>0</v>
      </c>
      <c r="AG190" s="1023">
        <f t="shared" si="49"/>
        <v>0</v>
      </c>
      <c r="AH190" s="18"/>
      <c r="AI190" s="74"/>
    </row>
    <row r="191" spans="1:35" hidden="1" x14ac:dyDescent="0.25">
      <c r="A191" s="972">
        <v>0</v>
      </c>
      <c r="Y191" s="174"/>
      <c r="Z191" s="18"/>
      <c r="AA191" s="431" t="s">
        <v>10</v>
      </c>
      <c r="AB191" s="1013"/>
      <c r="AC191" s="1013"/>
      <c r="AD191" s="1013"/>
      <c r="AE191" s="1013"/>
      <c r="AF191" s="1013"/>
      <c r="AG191" s="1013"/>
      <c r="AH191" s="18"/>
      <c r="AI191" s="74"/>
    </row>
    <row r="192" spans="1:35" hidden="1" x14ac:dyDescent="0.25">
      <c r="A192" s="972">
        <v>0</v>
      </c>
      <c r="Y192" s="174"/>
      <c r="Z192" s="18"/>
      <c r="AA192" s="431" t="s">
        <v>1009</v>
      </c>
      <c r="AB192" s="1013"/>
      <c r="AC192" s="1013"/>
      <c r="AD192" s="1013"/>
      <c r="AE192" s="1013"/>
      <c r="AF192" s="1013"/>
      <c r="AG192" s="1013"/>
      <c r="AH192" s="18"/>
      <c r="AI192" s="74"/>
    </row>
    <row r="193" spans="1:35" x14ac:dyDescent="0.25">
      <c r="A193" s="707">
        <v>1</v>
      </c>
      <c r="Y193" s="174"/>
      <c r="Z193" s="18"/>
      <c r="AA193" s="431" t="s">
        <v>17</v>
      </c>
      <c r="AB193" s="1047"/>
      <c r="AC193" s="1047"/>
      <c r="AD193" s="1047"/>
      <c r="AE193" s="1047"/>
      <c r="AF193" s="1047"/>
      <c r="AG193" s="1047"/>
      <c r="AH193" s="18"/>
      <c r="AI193" s="74"/>
    </row>
    <row r="194" spans="1:35" x14ac:dyDescent="0.25">
      <c r="A194" s="707">
        <f>IF(dpUnit_Sales_2="Net Rentable Area",1,0)</f>
        <v>1</v>
      </c>
      <c r="Y194" s="174"/>
      <c r="Z194" s="18"/>
      <c r="AA194" s="431" t="s">
        <v>441</v>
      </c>
      <c r="AB194" s="1032"/>
      <c r="AC194" s="1032"/>
      <c r="AD194" s="1032"/>
      <c r="AE194" s="1032"/>
      <c r="AF194" s="1032"/>
      <c r="AG194" s="1032"/>
      <c r="AH194" s="18"/>
      <c r="AI194" s="74"/>
    </row>
    <row r="195" spans="1:35" hidden="1" x14ac:dyDescent="0.25">
      <c r="A195" s="707">
        <f>IF(dpUnit_Sales_1="Gross Building Area",1,0)</f>
        <v>0</v>
      </c>
      <c r="Y195" s="174"/>
      <c r="Z195" s="18"/>
      <c r="AA195" s="431" t="s">
        <v>183</v>
      </c>
      <c r="AB195" s="1032"/>
      <c r="AC195" s="1032"/>
      <c r="AD195" s="1032"/>
      <c r="AE195" s="1032"/>
      <c r="AF195" s="1032"/>
      <c r="AG195" s="1032"/>
      <c r="AH195" s="18"/>
      <c r="AI195" s="74"/>
    </row>
    <row r="196" spans="1:35" hidden="1" x14ac:dyDescent="0.25">
      <c r="A196" s="707">
        <f>IF(dpUnit_Sales_1="Units",1,0)</f>
        <v>0</v>
      </c>
      <c r="Y196" s="174"/>
      <c r="Z196" s="18"/>
      <c r="AA196" s="431" t="s">
        <v>1131</v>
      </c>
      <c r="AB196" s="1032"/>
      <c r="AC196" s="1032"/>
      <c r="AD196" s="1032"/>
      <c r="AE196" s="1032"/>
      <c r="AF196" s="1032"/>
      <c r="AG196" s="1032"/>
      <c r="AH196" s="18"/>
      <c r="AI196" s="74"/>
    </row>
    <row r="197" spans="1:35" x14ac:dyDescent="0.25">
      <c r="A197" s="707">
        <v>1</v>
      </c>
      <c r="Y197" s="174"/>
      <c r="Z197" s="18"/>
      <c r="AA197" s="431" t="s">
        <v>745</v>
      </c>
      <c r="AB197" s="1029"/>
      <c r="AC197" s="1029"/>
      <c r="AD197" s="1029"/>
      <c r="AE197" s="1029"/>
      <c r="AF197" s="1029"/>
      <c r="AG197" s="1029"/>
      <c r="AH197" s="18"/>
      <c r="AI197" s="74"/>
    </row>
    <row r="198" spans="1:35" x14ac:dyDescent="0.25">
      <c r="A198" s="707">
        <v>1</v>
      </c>
      <c r="Y198" s="174"/>
      <c r="Z198" s="18"/>
      <c r="AA198" s="431" t="s">
        <v>751</v>
      </c>
      <c r="AB198" s="1033"/>
      <c r="AC198" s="1033"/>
      <c r="AD198" s="1033"/>
      <c r="AE198" s="1033"/>
      <c r="AF198" s="1033"/>
      <c r="AG198" s="1033"/>
      <c r="AH198" s="18"/>
      <c r="AI198" s="74"/>
    </row>
    <row r="199" spans="1:35" x14ac:dyDescent="0.25">
      <c r="A199" s="707">
        <v>1</v>
      </c>
      <c r="Y199" s="174"/>
      <c r="Z199" s="18"/>
      <c r="AA199" s="431" t="s">
        <v>286</v>
      </c>
      <c r="AB199" s="1034"/>
      <c r="AC199" s="1034"/>
      <c r="AD199" s="1034"/>
      <c r="AE199" s="1034"/>
      <c r="AF199" s="1034"/>
      <c r="AG199" s="1034"/>
      <c r="AH199" s="18"/>
      <c r="AI199" s="74"/>
    </row>
    <row r="200" spans="1:35" x14ac:dyDescent="0.25">
      <c r="A200" s="707">
        <v>1</v>
      </c>
      <c r="Y200" s="174"/>
      <c r="Z200" s="18"/>
      <c r="AA200" s="431" t="s">
        <v>1407</v>
      </c>
      <c r="AB200" s="1029"/>
      <c r="AC200" s="1029"/>
      <c r="AD200" s="1029"/>
      <c r="AE200" s="1029"/>
      <c r="AF200" s="1029"/>
      <c r="AG200" s="1029"/>
      <c r="AH200" s="18"/>
      <c r="AI200" s="74"/>
    </row>
    <row r="201" spans="1:35" hidden="1" x14ac:dyDescent="0.25">
      <c r="A201" s="707">
        <f>IF('Improved Sales Adjustments 1'!B245=TRUE,1,0)</f>
        <v>0</v>
      </c>
      <c r="Y201" s="174"/>
      <c r="Z201" s="18"/>
      <c r="AA201" s="431" t="s">
        <v>191</v>
      </c>
      <c r="AB201" s="1035"/>
      <c r="AC201" s="1035"/>
      <c r="AD201" s="1035"/>
      <c r="AE201" s="1035"/>
      <c r="AF201" s="1035"/>
      <c r="AG201" s="1035"/>
      <c r="AH201" s="18"/>
      <c r="AI201" s="74"/>
    </row>
    <row r="202" spans="1:35" hidden="1" x14ac:dyDescent="0.25">
      <c r="A202" s="707">
        <f>IF('Improved Sales Adjustments 1'!B251=TRUE,1,0)</f>
        <v>0</v>
      </c>
      <c r="Y202" s="174"/>
      <c r="Z202" s="18"/>
      <c r="AA202" s="431" t="s">
        <v>285</v>
      </c>
      <c r="AB202" s="1036"/>
      <c r="AC202" s="1036"/>
      <c r="AD202" s="1036"/>
      <c r="AE202" s="1036"/>
      <c r="AF202" s="1036"/>
      <c r="AG202" s="1036"/>
      <c r="AH202" s="18"/>
      <c r="AI202" s="74"/>
    </row>
    <row r="203" spans="1:35" x14ac:dyDescent="0.25">
      <c r="A203" s="707">
        <f>IF(Subject_PropertyType="Industrial",1,0)</f>
        <v>1</v>
      </c>
      <c r="Y203" s="174"/>
      <c r="Z203" s="18"/>
      <c r="AA203" s="431" t="s">
        <v>744</v>
      </c>
      <c r="AB203" s="1036"/>
      <c r="AC203" s="1036"/>
      <c r="AD203" s="1036"/>
      <c r="AE203" s="1036"/>
      <c r="AF203" s="1036"/>
      <c r="AG203" s="1036"/>
      <c r="AH203" s="18"/>
      <c r="AI203" s="74"/>
    </row>
    <row r="204" spans="1:35" ht="15" thickBot="1" x14ac:dyDescent="0.3">
      <c r="A204" s="707">
        <f>IF(O204="User Defined",0,1)</f>
        <v>1</v>
      </c>
      <c r="Y204" s="174"/>
      <c r="Z204" s="18"/>
      <c r="AA204" s="551" t="s">
        <v>192</v>
      </c>
      <c r="AB204" s="1037"/>
      <c r="AC204" s="1037"/>
      <c r="AD204" s="1037"/>
      <c r="AE204" s="1037"/>
      <c r="AF204" s="1037"/>
      <c r="AG204" s="1037"/>
      <c r="AH204" s="18"/>
      <c r="AI204" s="74"/>
    </row>
    <row r="205" spans="1:35" x14ac:dyDescent="0.25">
      <c r="A205" s="707"/>
      <c r="Y205" s="174"/>
      <c r="Z205" s="18"/>
      <c r="AA205" s="1338" t="s">
        <v>1571</v>
      </c>
      <c r="AB205" s="1038"/>
      <c r="AC205" s="1038"/>
      <c r="AD205" s="1038"/>
      <c r="AE205" s="1038"/>
      <c r="AF205" s="1038"/>
      <c r="AG205" s="1038"/>
      <c r="AH205" s="18"/>
      <c r="AI205" s="74"/>
    </row>
    <row r="206" spans="1:35" x14ac:dyDescent="0.25">
      <c r="A206" s="707"/>
    </row>
  </sheetData>
  <printOptions horizontalCentered="1"/>
  <pageMargins left="0.5" right="0.5" top="0.75" bottom="0.75" header="0.3" footer="0.3"/>
  <pageSetup scale="69" orientation="landscape" r:id="rId1"/>
  <drawing r:id="rId2"/>
  <legacyDrawing r:id="rId3"/>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1">
    <tabColor theme="7"/>
    <pageSetUpPr fitToPage="1"/>
  </sheetPr>
  <dimension ref="A1:BR216"/>
  <sheetViews>
    <sheetView zoomScaleNormal="100" workbookViewId="0">
      <selection activeCell="W95" sqref="W95"/>
    </sheetView>
  </sheetViews>
  <sheetFormatPr defaultColWidth="9.140625" defaultRowHeight="15" customHeight="1" x14ac:dyDescent="0.25"/>
  <cols>
    <col min="1" max="1" width="5.7109375" style="41" customWidth="1"/>
    <col min="2" max="2" width="1.7109375" style="10" customWidth="1"/>
    <col min="3" max="3" width="0.85546875" style="10" customWidth="1"/>
    <col min="4" max="4" width="5.7109375" style="13" customWidth="1"/>
    <col min="5" max="6" width="15.7109375" style="10" customWidth="1"/>
    <col min="7" max="7" width="9.7109375" style="10" customWidth="1"/>
    <col min="8" max="8" width="6.7109375" style="10" customWidth="1"/>
    <col min="9" max="9" width="15.7109375" style="10" customWidth="1"/>
    <col min="10" max="10" width="14.7109375" style="10" customWidth="1"/>
    <col min="11" max="11" width="0.85546875" style="10" customWidth="1"/>
    <col min="12" max="12" width="7.7109375" style="10" customWidth="1"/>
    <col min="13" max="13" width="8.28515625" style="10" customWidth="1"/>
    <col min="14" max="14" width="0.85546875" style="10" customWidth="1"/>
    <col min="15" max="15" width="1.7109375" style="10" customWidth="1"/>
    <col min="16" max="16" width="7.7109375" style="10" customWidth="1"/>
    <col min="17" max="17" width="0.85546875" style="10" customWidth="1"/>
    <col min="18" max="18" width="20.7109375" style="10" customWidth="1"/>
    <col min="19" max="19" width="1.7109375" style="10" customWidth="1"/>
    <col min="20" max="20" width="0.85546875" style="11" customWidth="1"/>
    <col min="21" max="21" width="20.7109375" style="10" customWidth="1"/>
    <col min="22" max="22" width="12.7109375" style="10" customWidth="1"/>
    <col min="23" max="32" width="25.7109375" style="10" customWidth="1"/>
    <col min="33" max="33" width="0.85546875" style="10" customWidth="1"/>
    <col min="34" max="34" width="1.7109375" style="10" customWidth="1"/>
    <col min="35" max="35" width="9.140625" style="143"/>
    <col min="36" max="69" width="9.140625" style="32"/>
    <col min="70" max="16384" width="9.140625" style="10"/>
  </cols>
  <sheetData>
    <row r="1" spans="1:69" ht="60" customHeight="1" x14ac:dyDescent="0.25">
      <c r="U1" s="419"/>
    </row>
    <row r="2" spans="1:69" ht="15" customHeight="1" thickBot="1" x14ac:dyDescent="0.3">
      <c r="U2" s="419"/>
    </row>
    <row r="3" spans="1:69" s="36" customFormat="1" ht="15.95" customHeight="1" x14ac:dyDescent="0.25">
      <c r="A3" s="707"/>
      <c r="B3" s="731"/>
      <c r="C3" s="731"/>
      <c r="D3" s="731"/>
      <c r="E3" s="731"/>
      <c r="F3" s="731"/>
      <c r="G3" s="731"/>
      <c r="H3" s="731"/>
      <c r="I3" s="731"/>
      <c r="J3" s="731"/>
      <c r="K3" s="731"/>
      <c r="L3" s="751" t="str">
        <f>IF(dpSales_Adjustment_4="Construction Quality","Construction Class Adjustment","Investment Grade Adjustment")</f>
        <v>Construction Class Adjustment</v>
      </c>
      <c r="M3" s="2098">
        <v>0.05</v>
      </c>
      <c r="N3" s="2091"/>
      <c r="O3" s="750"/>
      <c r="P3" s="11" t="s">
        <v>1856</v>
      </c>
      <c r="Q3" s="750"/>
      <c r="R3" s="2092"/>
      <c r="S3" s="2092"/>
      <c r="T3" s="2092"/>
      <c r="U3" s="2092"/>
      <c r="V3" s="2092"/>
      <c r="W3" s="2092"/>
      <c r="X3" s="2092"/>
      <c r="Y3" s="2092"/>
      <c r="Z3" s="2092"/>
      <c r="AA3" s="2092"/>
      <c r="AB3" s="2092"/>
      <c r="AC3" s="2092"/>
      <c r="AD3" s="2092"/>
      <c r="AE3" s="2092"/>
      <c r="AI3" s="144"/>
      <c r="AJ3" s="750"/>
      <c r="AK3" s="750"/>
      <c r="AL3" s="750"/>
      <c r="AM3" s="750"/>
      <c r="AN3" s="750"/>
      <c r="AO3" s="750"/>
      <c r="AP3" s="750"/>
      <c r="AQ3" s="750"/>
      <c r="AR3" s="750"/>
      <c r="AS3" s="750"/>
      <c r="AT3" s="750"/>
      <c r="AU3" s="750"/>
      <c r="AV3" s="750"/>
      <c r="AW3" s="750"/>
      <c r="AX3" s="750"/>
      <c r="AY3" s="750"/>
      <c r="AZ3" s="750"/>
      <c r="BA3" s="750"/>
      <c r="BB3" s="750"/>
      <c r="BC3" s="750"/>
      <c r="BD3" s="750"/>
      <c r="BE3" s="750"/>
      <c r="BF3" s="750"/>
      <c r="BG3" s="750"/>
      <c r="BH3" s="750"/>
      <c r="BI3" s="750"/>
      <c r="BJ3" s="750"/>
      <c r="BK3" s="750"/>
      <c r="BL3" s="750"/>
      <c r="BM3" s="750"/>
      <c r="BN3" s="750"/>
      <c r="BO3" s="750"/>
      <c r="BP3" s="750"/>
      <c r="BQ3" s="750"/>
    </row>
    <row r="4" spans="1:69" s="36" customFormat="1" ht="15.95" customHeight="1" thickBot="1" x14ac:dyDescent="0.3">
      <c r="A4" s="707"/>
      <c r="B4" s="2093"/>
      <c r="C4" s="2093"/>
      <c r="D4" s="2093"/>
      <c r="E4" s="2093"/>
      <c r="F4" s="2093"/>
      <c r="G4" s="2093"/>
      <c r="H4" s="2093"/>
      <c r="I4" s="2093"/>
      <c r="J4" s="2093"/>
      <c r="K4" s="2093"/>
      <c r="L4" s="1529" t="s">
        <v>1808</v>
      </c>
      <c r="M4" s="2099">
        <v>0.1</v>
      </c>
      <c r="N4" s="2094"/>
      <c r="O4" s="2095"/>
      <c r="P4" s="2199" t="s">
        <v>1856</v>
      </c>
      <c r="Q4" s="2095"/>
      <c r="R4" s="2096"/>
      <c r="S4" s="2092"/>
      <c r="T4" s="2092"/>
      <c r="U4" s="2092"/>
      <c r="V4" s="2092"/>
      <c r="W4" s="2092"/>
      <c r="X4" s="2092"/>
      <c r="Y4" s="2092"/>
      <c r="Z4" s="2092"/>
      <c r="AA4" s="2092"/>
      <c r="AB4" s="2092"/>
      <c r="AC4" s="2092"/>
      <c r="AD4" s="2092"/>
      <c r="AE4" s="2092"/>
      <c r="AI4" s="144"/>
      <c r="AJ4" s="750"/>
      <c r="AK4" s="750"/>
      <c r="AL4" s="750"/>
      <c r="AM4" s="750"/>
      <c r="AN4" s="750"/>
      <c r="AO4" s="750"/>
      <c r="AP4" s="750"/>
      <c r="AQ4" s="750"/>
      <c r="AR4" s="750"/>
      <c r="AS4" s="750"/>
      <c r="AT4" s="750"/>
      <c r="AU4" s="750"/>
      <c r="AV4" s="750"/>
      <c r="AW4" s="750"/>
      <c r="AX4" s="750"/>
      <c r="AY4" s="750"/>
      <c r="AZ4" s="750"/>
      <c r="BA4" s="750"/>
      <c r="BB4" s="750"/>
      <c r="BC4" s="750"/>
      <c r="BD4" s="750"/>
      <c r="BE4" s="750"/>
      <c r="BF4" s="750"/>
      <c r="BG4" s="750"/>
      <c r="BH4" s="750"/>
      <c r="BI4" s="750"/>
      <c r="BJ4" s="750"/>
      <c r="BK4" s="750"/>
      <c r="BL4" s="750"/>
      <c r="BM4" s="750"/>
      <c r="BN4" s="750"/>
      <c r="BO4" s="750"/>
      <c r="BP4" s="750"/>
      <c r="BQ4" s="750"/>
    </row>
    <row r="5" spans="1:69" ht="15" customHeight="1" x14ac:dyDescent="0.3">
      <c r="B5" s="563"/>
      <c r="C5" s="52"/>
      <c r="D5" s="52"/>
      <c r="E5" s="52"/>
      <c r="F5" s="52"/>
      <c r="G5" s="52"/>
      <c r="H5" s="52"/>
      <c r="I5" s="52"/>
      <c r="J5" s="52"/>
      <c r="K5" s="52"/>
      <c r="L5" s="52"/>
      <c r="M5" s="52"/>
      <c r="N5" s="52"/>
      <c r="O5" s="52"/>
      <c r="P5" s="52"/>
      <c r="Q5" s="52"/>
      <c r="R5" s="338"/>
      <c r="S5" s="129"/>
      <c r="T5" s="129"/>
      <c r="U5" s="129"/>
      <c r="V5" s="129"/>
      <c r="W5" s="129"/>
      <c r="X5" s="129"/>
      <c r="Y5" s="129"/>
      <c r="Z5" s="129"/>
      <c r="AA5" s="129"/>
      <c r="AB5" s="129"/>
      <c r="AC5" s="129"/>
      <c r="AD5" s="129"/>
      <c r="AE5" s="129"/>
    </row>
    <row r="6" spans="1:69" ht="15.95" customHeight="1" x14ac:dyDescent="0.3">
      <c r="B6" s="563"/>
      <c r="C6" s="582"/>
      <c r="D6" s="246" t="s">
        <v>1805</v>
      </c>
      <c r="E6" s="246"/>
      <c r="F6" s="246"/>
      <c r="G6" s="582"/>
      <c r="H6" s="582"/>
      <c r="I6" s="2085"/>
      <c r="J6" s="2085"/>
      <c r="K6" s="582"/>
      <c r="L6" s="2085"/>
      <c r="M6" s="582"/>
      <c r="N6" s="582"/>
      <c r="O6" s="582"/>
      <c r="P6" s="582"/>
      <c r="Q6" s="52"/>
      <c r="R6" s="338"/>
      <c r="S6" s="129"/>
      <c r="T6" s="129"/>
      <c r="U6" s="129"/>
      <c r="V6" s="129"/>
      <c r="W6" s="129"/>
      <c r="X6" s="129"/>
      <c r="Y6" s="129"/>
      <c r="Z6" s="129"/>
      <c r="AA6" s="129"/>
      <c r="AB6" s="129"/>
      <c r="AC6" s="129"/>
      <c r="AD6" s="129"/>
      <c r="AE6" s="129"/>
      <c r="AF6" s="337"/>
      <c r="AG6" s="337"/>
      <c r="AH6" s="337"/>
      <c r="AI6" s="337"/>
      <c r="AJ6" s="337"/>
      <c r="AK6" s="337"/>
      <c r="AL6" s="337"/>
      <c r="AM6" s="337"/>
      <c r="AN6" s="337"/>
      <c r="AO6" s="337"/>
      <c r="AP6" s="337"/>
    </row>
    <row r="7" spans="1:69" ht="15.95" customHeight="1" x14ac:dyDescent="0.3">
      <c r="B7" s="563"/>
      <c r="C7" s="12"/>
      <c r="D7" s="12"/>
      <c r="E7" s="12"/>
      <c r="F7" s="4093" t="str">
        <f>IF(dpSales_Adjustment_4="Construction Quality","Construction Class","Investment Grade")</f>
        <v>Construction Class</v>
      </c>
      <c r="G7" s="12"/>
      <c r="H7" s="12"/>
      <c r="I7" s="207"/>
      <c r="J7" s="150"/>
      <c r="K7" s="150"/>
      <c r="L7" s="4088" t="s">
        <v>1800</v>
      </c>
      <c r="M7" s="4088"/>
      <c r="N7" s="4088"/>
      <c r="O7" s="4088"/>
      <c r="P7" s="4088"/>
      <c r="Q7" s="32"/>
      <c r="R7" s="2086"/>
      <c r="S7" s="707"/>
      <c r="T7" s="707"/>
      <c r="U7" s="2088"/>
      <c r="V7" s="4189" t="s">
        <v>1803</v>
      </c>
      <c r="W7" s="2088"/>
      <c r="X7" s="2088"/>
      <c r="Y7" s="2088"/>
      <c r="Z7" s="2088"/>
      <c r="AA7" s="2088"/>
      <c r="AB7" s="2088"/>
      <c r="AC7" s="2088"/>
      <c r="AD7" s="2088"/>
      <c r="AE7" s="2088"/>
      <c r="AF7" s="2088"/>
      <c r="AG7" s="2088"/>
      <c r="AH7" s="2088"/>
      <c r="AI7" s="2088"/>
      <c r="AJ7" s="2088"/>
      <c r="AK7" s="2088"/>
      <c r="AL7" s="2088"/>
      <c r="AM7" s="2088"/>
      <c r="AN7" s="2088"/>
      <c r="AO7" s="2088"/>
      <c r="AP7" s="2088"/>
      <c r="AQ7" s="2088"/>
      <c r="AR7" s="2088"/>
      <c r="AS7" s="2088"/>
      <c r="AT7" s="150" t="s">
        <v>116</v>
      </c>
      <c r="AU7" s="150" t="s">
        <v>1176</v>
      </c>
      <c r="AV7" s="150" t="s">
        <v>1177</v>
      </c>
      <c r="AW7" s="150" t="s">
        <v>1178</v>
      </c>
      <c r="AX7" s="150" t="s">
        <v>1179</v>
      </c>
      <c r="AY7" s="150" t="s">
        <v>1180</v>
      </c>
      <c r="AZ7" s="150" t="s">
        <v>1181</v>
      </c>
      <c r="BA7" s="150" t="s">
        <v>1182</v>
      </c>
      <c r="BB7" s="150" t="s">
        <v>1183</v>
      </c>
      <c r="BC7" s="150" t="s">
        <v>1184</v>
      </c>
      <c r="BD7" s="150" t="s">
        <v>1185</v>
      </c>
    </row>
    <row r="8" spans="1:69" ht="15.95" customHeight="1" x14ac:dyDescent="0.25">
      <c r="A8" s="957">
        <v>1</v>
      </c>
      <c r="B8" s="563"/>
      <c r="C8" s="165"/>
      <c r="D8" s="4192" t="s">
        <v>105</v>
      </c>
      <c r="E8" s="4192"/>
      <c r="F8" s="4093"/>
      <c r="G8" s="165" t="s">
        <v>1453</v>
      </c>
      <c r="H8" s="4192" t="s">
        <v>1801</v>
      </c>
      <c r="I8" s="4192"/>
      <c r="J8" s="4192"/>
      <c r="K8" s="165"/>
      <c r="L8" s="165" t="str">
        <f>IF(dpSales_Adjustment_4="Construction Quality","Class","Grade")</f>
        <v>Class</v>
      </c>
      <c r="M8" s="165" t="s">
        <v>1453</v>
      </c>
      <c r="N8" s="165"/>
      <c r="O8" s="165"/>
      <c r="P8" s="165" t="s">
        <v>93</v>
      </c>
      <c r="Q8" s="32"/>
      <c r="R8" s="2086"/>
      <c r="S8" s="707"/>
      <c r="T8" s="707"/>
      <c r="U8" s="165" t="s">
        <v>1802</v>
      </c>
      <c r="V8" s="4189"/>
      <c r="W8" s="165" t="s">
        <v>1804</v>
      </c>
      <c r="X8" s="165" t="s">
        <v>116</v>
      </c>
      <c r="Y8" s="165">
        <v>1</v>
      </c>
      <c r="Z8" s="165">
        <f>Y8+1</f>
        <v>2</v>
      </c>
      <c r="AA8" s="165">
        <f t="shared" ref="AA8:AH8" si="0">Z8+1</f>
        <v>3</v>
      </c>
      <c r="AB8" s="165">
        <f t="shared" si="0"/>
        <v>4</v>
      </c>
      <c r="AC8" s="165">
        <f t="shared" si="0"/>
        <v>5</v>
      </c>
      <c r="AD8" s="165">
        <f t="shared" si="0"/>
        <v>6</v>
      </c>
      <c r="AE8" s="165">
        <f t="shared" si="0"/>
        <v>7</v>
      </c>
      <c r="AF8" s="165">
        <f t="shared" si="0"/>
        <v>8</v>
      </c>
      <c r="AG8" s="165">
        <f t="shared" si="0"/>
        <v>9</v>
      </c>
      <c r="AH8" s="165">
        <f t="shared" si="0"/>
        <v>10</v>
      </c>
      <c r="AI8" s="165" t="s">
        <v>116</v>
      </c>
      <c r="AJ8" s="165">
        <v>1</v>
      </c>
      <c r="AK8" s="165">
        <f>AJ8+1</f>
        <v>2</v>
      </c>
      <c r="AL8" s="165">
        <f t="shared" ref="AL8:AS8" si="1">AK8+1</f>
        <v>3</v>
      </c>
      <c r="AM8" s="165">
        <f t="shared" si="1"/>
        <v>4</v>
      </c>
      <c r="AN8" s="165">
        <f t="shared" si="1"/>
        <v>5</v>
      </c>
      <c r="AO8" s="165">
        <f t="shared" si="1"/>
        <v>6</v>
      </c>
      <c r="AP8" s="165">
        <f t="shared" si="1"/>
        <v>7</v>
      </c>
      <c r="AQ8" s="165">
        <f t="shared" si="1"/>
        <v>8</v>
      </c>
      <c r="AR8" s="165">
        <f t="shared" si="1"/>
        <v>9</v>
      </c>
      <c r="AS8" s="165">
        <f t="shared" si="1"/>
        <v>10</v>
      </c>
      <c r="AT8" s="165" t="s">
        <v>116</v>
      </c>
      <c r="AU8" s="165">
        <f t="shared" ref="AU8:BD8" si="2">Y8</f>
        <v>1</v>
      </c>
      <c r="AV8" s="165">
        <f t="shared" si="2"/>
        <v>2</v>
      </c>
      <c r="AW8" s="165">
        <f t="shared" si="2"/>
        <v>3</v>
      </c>
      <c r="AX8" s="165">
        <f t="shared" si="2"/>
        <v>4</v>
      </c>
      <c r="AY8" s="165">
        <f t="shared" si="2"/>
        <v>5</v>
      </c>
      <c r="AZ8" s="165">
        <f t="shared" si="2"/>
        <v>6</v>
      </c>
      <c r="BA8" s="165">
        <f t="shared" si="2"/>
        <v>7</v>
      </c>
      <c r="BB8" s="165">
        <f t="shared" si="2"/>
        <v>8</v>
      </c>
      <c r="BC8" s="165">
        <f t="shared" si="2"/>
        <v>9</v>
      </c>
      <c r="BD8" s="165">
        <f t="shared" si="2"/>
        <v>10</v>
      </c>
    </row>
    <row r="9" spans="1:69" ht="69.95" customHeight="1" x14ac:dyDescent="0.25">
      <c r="A9" s="972">
        <f>IF(D9="",0,1)</f>
        <v>0</v>
      </c>
      <c r="B9" s="4"/>
      <c r="C9" s="101"/>
      <c r="D9" s="4185" t="str">
        <f t="shared" ref="D9:D43" si="3">CONCATENATE(AT9,AU9,AV9,AW9,AX9,AY9,AZ9,BA9,BB9,BC9,BD9)</f>
        <v/>
      </c>
      <c r="E9" s="4185"/>
      <c r="F9" s="4067" t="str">
        <f>IF(dpSales_Adjustment_4="Construction Quality","A - Structural Steel","A")</f>
        <v>A - Structural Steel</v>
      </c>
      <c r="G9" s="4207" t="s">
        <v>1462</v>
      </c>
      <c r="H9" s="4198" t="s">
        <v>1810</v>
      </c>
      <c r="I9" s="4198"/>
      <c r="J9" s="4198"/>
      <c r="K9" s="4198"/>
      <c r="L9" s="4068" t="str">
        <f t="shared" ref="L9:L43" si="4">IFERROR(dpSales_Quality_ClassAdj*V9,"")</f>
        <v/>
      </c>
      <c r="M9" s="4193">
        <f>dpSales_Quality_RatingAdj*W9</f>
        <v>-0.70000000000000007</v>
      </c>
      <c r="N9" s="4190" t="s">
        <v>177</v>
      </c>
      <c r="O9" s="4190"/>
      <c r="P9" s="4069" t="str">
        <f>IFERROR(L9+M9,"")</f>
        <v/>
      </c>
      <c r="Q9" s="4070"/>
      <c r="R9" s="2086"/>
      <c r="S9" s="707"/>
      <c r="T9" s="707"/>
      <c r="U9" s="2100">
        <f>IF(dpSales_Adjustment_4="Construction Quality",IF(F9=Subject_ConstructionClass,1,0),IF(F9=Subject_InvestmentClass,1,0))</f>
        <v>0</v>
      </c>
      <c r="V9" s="707" t="str">
        <f>IF(SUM($U$9:$U$43)=0,"",IF(U9=1,0,IF(SUM(U$9:U9)=0,V10-1,V8+1)))</f>
        <v/>
      </c>
      <c r="W9" s="707">
        <f>IF(SUM(X9:X13)=1,0,IF(SUM(X$9:X9)=0,W14-1,W4+1))</f>
        <v>-7</v>
      </c>
      <c r="X9" s="707">
        <f>IF(dpSales_Adjustment_4="Construction Quality",IF(AND(F9=Subject_ConstructionClass,G$9=Subject_ConstructionQuality),1,0),IF(AND(F9=Subject_InvestmentClass,G$9=Subject_ConstructionQuality),1,0))</f>
        <v>0</v>
      </c>
      <c r="Y9" s="707">
        <f>IF(dpSales_Adjustment_4="Construction Quality",IF(OR(ISERROR(HLOOKUP(Y$8,'Improved Sales Adjustments'!$G$7:$ZO$147,77,FALSE)),ISERROR(HLOOKUP(Y$8,'Improved Sales Adjustments'!$G$7:$ZO$147,78,FALSE))),0,IF(HLOOKUP(Y$8,'Improved Sales Adjustments'!$G$7:$ZO$147,77,FALSE)="",0,IF(AND($G9=HLOOKUP(Y$8,'Improved Sales Adjustments'!$G$7:$ZO$147,77,FALSE),$F9=HLOOKUP(Y$8,'Improved Sales Adjustments'!$G$7:$ZO$147,78,FALSE)),1,0))),IF(OR(ISERROR(HLOOKUP(Y$8,'Improved Sales Adjustments'!$G$7:$ZO$147,77,FALSE)),ISERROR(HLOOKUP(Y$8,'Improved Sales Adjustments'!$G$7:$ZO$147,79,FALSE))),0,IF(HLOOKUP(Y$8,'Improved Sales Adjustments'!$G$7:$ZO$147,77,FALSE)="",0,IF(AND($G9=HLOOKUP(Y$8,'Improved Sales Adjustments'!$G$7:$ZO$147,77,FALSE),$F9=HLOOKUP(Y$8,'Improved Sales Adjustments'!$G$7:$ZO$147,79,FALSE)),1,0))))</f>
        <v>0</v>
      </c>
      <c r="Z9" s="707">
        <f>IF(dpSales_Adjustment_4="Construction Quality",IF(OR(ISERROR(HLOOKUP(Z$8,'Improved Sales Adjustments'!$G$7:$ZO$147,77,FALSE)),ISERROR(HLOOKUP(Z$8,'Improved Sales Adjustments'!$G$7:$ZO$147,78,FALSE))),0,IF(HLOOKUP(Z$8,'Improved Sales Adjustments'!$G$7:$ZO$147,77,FALSE)="",0,IF(AND($G9=HLOOKUP(Z$8,'Improved Sales Adjustments'!$G$7:$ZO$147,77,FALSE),$F9=HLOOKUP(Z$8,'Improved Sales Adjustments'!$G$7:$ZO$147,78,FALSE)),1,0))),IF(OR(ISERROR(HLOOKUP(Z$8,'Improved Sales Adjustments'!$G$7:$ZO$147,77,FALSE)),ISERROR(HLOOKUP(Z$8,'Improved Sales Adjustments'!$G$7:$ZO$147,79,FALSE))),0,IF(HLOOKUP(Z$8,'Improved Sales Adjustments'!$G$7:$ZO$147,77,FALSE)="",0,IF(AND($G9=HLOOKUP(Z$8,'Improved Sales Adjustments'!$G$7:$ZO$147,77,FALSE),$F9=HLOOKUP(Z$8,'Improved Sales Adjustments'!$G$7:$ZO$147,79,FALSE)),1,0))))</f>
        <v>0</v>
      </c>
      <c r="AA9" s="707">
        <f>IF(dpSales_Adjustment_4="Construction Quality",IF(OR(ISERROR(HLOOKUP(AA$8,'Improved Sales Adjustments'!$G$7:$ZO$147,77,FALSE)),ISERROR(HLOOKUP(AA$8,'Improved Sales Adjustments'!$G$7:$ZO$147,78,FALSE))),0,IF(HLOOKUP(AA$8,'Improved Sales Adjustments'!$G$7:$ZO$147,77,FALSE)="",0,IF(AND($G9=HLOOKUP(AA$8,'Improved Sales Adjustments'!$G$7:$ZO$147,77,FALSE),$F9=HLOOKUP(AA$8,'Improved Sales Adjustments'!$G$7:$ZO$147,78,FALSE)),1,0))),IF(OR(ISERROR(HLOOKUP(AA$8,'Improved Sales Adjustments'!$G$7:$ZO$147,77,FALSE)),ISERROR(HLOOKUP(AA$8,'Improved Sales Adjustments'!$G$7:$ZO$147,79,FALSE))),0,IF(HLOOKUP(AA$8,'Improved Sales Adjustments'!$G$7:$ZO$147,77,FALSE)="",0,IF(AND($G9=HLOOKUP(AA$8,'Improved Sales Adjustments'!$G$7:$ZO$147,77,FALSE),$F9=HLOOKUP(AA$8,'Improved Sales Adjustments'!$G$7:$ZO$147,79,FALSE)),1,0))))</f>
        <v>0</v>
      </c>
      <c r="AB9" s="707">
        <f>IF(dpSales_Adjustment_4="Construction Quality",IF(OR(ISERROR(HLOOKUP(AB$8,'Improved Sales Adjustments'!$G$7:$ZO$147,77,FALSE)),ISERROR(HLOOKUP(AB$8,'Improved Sales Adjustments'!$G$7:$ZO$147,78,FALSE))),0,IF(HLOOKUP(AB$8,'Improved Sales Adjustments'!$G$7:$ZO$147,77,FALSE)="",0,IF(AND($G9=HLOOKUP(AB$8,'Improved Sales Adjustments'!$G$7:$ZO$147,77,FALSE),$F9=HLOOKUP(AB$8,'Improved Sales Adjustments'!$G$7:$ZO$147,78,FALSE)),1,0))),IF(OR(ISERROR(HLOOKUP(AB$8,'Improved Sales Adjustments'!$G$7:$ZO$147,77,FALSE)),ISERROR(HLOOKUP(AB$8,'Improved Sales Adjustments'!$G$7:$ZO$147,79,FALSE))),0,IF(HLOOKUP(AB$8,'Improved Sales Adjustments'!$G$7:$ZO$147,77,FALSE)="",0,IF(AND($G9=HLOOKUP(AB$8,'Improved Sales Adjustments'!$G$7:$ZO$147,77,FALSE),$F9=HLOOKUP(AB$8,'Improved Sales Adjustments'!$G$7:$ZO$147,79,FALSE)),1,0))))</f>
        <v>0</v>
      </c>
      <c r="AC9" s="707">
        <f>IF(dpSales_Adjustment_4="Construction Quality",IF(OR(ISERROR(HLOOKUP(AC$8,'Improved Sales Adjustments'!$G$7:$ZO$147,77,FALSE)),ISERROR(HLOOKUP(AC$8,'Improved Sales Adjustments'!$G$7:$ZO$147,78,FALSE))),0,IF(HLOOKUP(AC$8,'Improved Sales Adjustments'!$G$7:$ZO$147,77,FALSE)="",0,IF(AND($G9=HLOOKUP(AC$8,'Improved Sales Adjustments'!$G$7:$ZO$147,77,FALSE),$F9=HLOOKUP(AC$8,'Improved Sales Adjustments'!$G$7:$ZO$147,78,FALSE)),1,0))),IF(OR(ISERROR(HLOOKUP(AC$8,'Improved Sales Adjustments'!$G$7:$ZO$147,77,FALSE)),ISERROR(HLOOKUP(AC$8,'Improved Sales Adjustments'!$G$7:$ZO$147,79,FALSE))),0,IF(HLOOKUP(AC$8,'Improved Sales Adjustments'!$G$7:$ZO$147,77,FALSE)="",0,IF(AND($G9=HLOOKUP(AC$8,'Improved Sales Adjustments'!$G$7:$ZO$147,77,FALSE),$F9=HLOOKUP(AC$8,'Improved Sales Adjustments'!$G$7:$ZO$147,79,FALSE)),1,0))))</f>
        <v>0</v>
      </c>
      <c r="AD9" s="707">
        <f>IF(dpSales_Adjustment_4="Construction Quality",IF(OR(ISERROR(HLOOKUP(AD$8,'Improved Sales Adjustments'!$G$7:$ZO$147,77,FALSE)),ISERROR(HLOOKUP(AD$8,'Improved Sales Adjustments'!$G$7:$ZO$147,78,FALSE))),0,IF(HLOOKUP(AD$8,'Improved Sales Adjustments'!$G$7:$ZO$147,77,FALSE)="",0,IF(AND($G9=HLOOKUP(AD$8,'Improved Sales Adjustments'!$G$7:$ZO$147,77,FALSE),$F9=HLOOKUP(AD$8,'Improved Sales Adjustments'!$G$7:$ZO$147,78,FALSE)),1,0))),IF(OR(ISERROR(HLOOKUP(AD$8,'Improved Sales Adjustments'!$G$7:$ZO$147,77,FALSE)),ISERROR(HLOOKUP(AD$8,'Improved Sales Adjustments'!$G$7:$ZO$147,79,FALSE))),0,IF(HLOOKUP(AD$8,'Improved Sales Adjustments'!$G$7:$ZO$147,77,FALSE)="",0,IF(AND($G9=HLOOKUP(AD$8,'Improved Sales Adjustments'!$G$7:$ZO$147,77,FALSE),$F9=HLOOKUP(AD$8,'Improved Sales Adjustments'!$G$7:$ZO$147,79,FALSE)),1,0))))</f>
        <v>0</v>
      </c>
      <c r="AE9" s="707">
        <f>IF(dpSales_Adjustment_4="Construction Quality",IF(OR(ISERROR(HLOOKUP(AE$8,'Improved Sales Adjustments'!$G$7:$ZO$147,77,FALSE)),ISERROR(HLOOKUP(AE$8,'Improved Sales Adjustments'!$G$7:$ZO$147,78,FALSE))),0,IF(HLOOKUP(AE$8,'Improved Sales Adjustments'!$G$7:$ZO$147,77,FALSE)="",0,IF(AND($G9=HLOOKUP(AE$8,'Improved Sales Adjustments'!$G$7:$ZO$147,77,FALSE),$F9=HLOOKUP(AE$8,'Improved Sales Adjustments'!$G$7:$ZO$147,78,FALSE)),1,0))),IF(OR(ISERROR(HLOOKUP(AE$8,'Improved Sales Adjustments'!$G$7:$ZO$147,77,FALSE)),ISERROR(HLOOKUP(AE$8,'Improved Sales Adjustments'!$G$7:$ZO$147,79,FALSE))),0,IF(HLOOKUP(AE$8,'Improved Sales Adjustments'!$G$7:$ZO$147,77,FALSE)="",0,IF(AND($G9=HLOOKUP(AE$8,'Improved Sales Adjustments'!$G$7:$ZO$147,77,FALSE),$F9=HLOOKUP(AE$8,'Improved Sales Adjustments'!$G$7:$ZO$147,79,FALSE)),1,0))))</f>
        <v>0</v>
      </c>
      <c r="AF9" s="707">
        <f>IF(dpSales_Adjustment_4="Construction Quality",IF(OR(ISERROR(HLOOKUP(AF$8,'Improved Sales Adjustments'!$G$7:$ZO$147,77,FALSE)),ISERROR(HLOOKUP(AF$8,'Improved Sales Adjustments'!$G$7:$ZO$147,78,FALSE))),0,IF(HLOOKUP(AF$8,'Improved Sales Adjustments'!$G$7:$ZO$147,77,FALSE)="",0,IF(AND($G9=HLOOKUP(AF$8,'Improved Sales Adjustments'!$G$7:$ZO$147,77,FALSE),$F9=HLOOKUP(AF$8,'Improved Sales Adjustments'!$G$7:$ZO$147,78,FALSE)),1,0))),IF(OR(ISERROR(HLOOKUP(AF$8,'Improved Sales Adjustments'!$G$7:$ZO$147,77,FALSE)),ISERROR(HLOOKUP(AF$8,'Improved Sales Adjustments'!$G$7:$ZO$147,79,FALSE))),0,IF(HLOOKUP(AF$8,'Improved Sales Adjustments'!$G$7:$ZO$147,77,FALSE)="",0,IF(AND($G9=HLOOKUP(AF$8,'Improved Sales Adjustments'!$G$7:$ZO$147,77,FALSE),$F9=HLOOKUP(AF$8,'Improved Sales Adjustments'!$G$7:$ZO$147,79,FALSE)),1,0))))</f>
        <v>0</v>
      </c>
      <c r="AG9" s="707">
        <f>IF(dpSales_Adjustment_4="Construction Quality",IF(OR(ISERROR(HLOOKUP(AG$8,'Improved Sales Adjustments'!$G$7:$ZO$147,77,FALSE)),ISERROR(HLOOKUP(AG$8,'Improved Sales Adjustments'!$G$7:$ZO$147,78,FALSE))),0,IF(HLOOKUP(AG$8,'Improved Sales Adjustments'!$G$7:$ZO$147,77,FALSE)="",0,IF(AND($G9=HLOOKUP(AG$8,'Improved Sales Adjustments'!$G$7:$ZO$147,77,FALSE),$F9=HLOOKUP(AG$8,'Improved Sales Adjustments'!$G$7:$ZO$147,78,FALSE)),1,0))),IF(OR(ISERROR(HLOOKUP(AG$8,'Improved Sales Adjustments'!$G$7:$ZO$147,77,FALSE)),ISERROR(HLOOKUP(AG$8,'Improved Sales Adjustments'!$G$7:$ZO$147,79,FALSE))),0,IF(HLOOKUP(AG$8,'Improved Sales Adjustments'!$G$7:$ZO$147,77,FALSE)="",0,IF(AND($G9=HLOOKUP(AG$8,'Improved Sales Adjustments'!$G$7:$ZO$147,77,FALSE),$F9=HLOOKUP(AG$8,'Improved Sales Adjustments'!$G$7:$ZO$147,79,FALSE)),1,0))))</f>
        <v>0</v>
      </c>
      <c r="AH9" s="707">
        <f>IF(dpSales_Adjustment_4="Construction Quality",IF(OR(ISERROR(HLOOKUP(AH$8,'Improved Sales Adjustments'!$G$7:$ZO$147,77,FALSE)),ISERROR(HLOOKUP(AH$8,'Improved Sales Adjustments'!$G$7:$ZO$147,78,FALSE))),0,IF(HLOOKUP(AH$8,'Improved Sales Adjustments'!$G$7:$ZO$147,77,FALSE)="",0,IF(AND($G9=HLOOKUP(AH$8,'Improved Sales Adjustments'!$G$7:$ZO$147,77,FALSE),$F9=HLOOKUP(AH$8,'Improved Sales Adjustments'!$G$7:$ZO$147,78,FALSE)),1,0))),IF(OR(ISERROR(HLOOKUP(AH$8,'Improved Sales Adjustments'!$G$7:$ZO$147,77,FALSE)),ISERROR(HLOOKUP(AH$8,'Improved Sales Adjustments'!$G$7:$ZO$147,79,FALSE))),0,IF(HLOOKUP(AH$8,'Improved Sales Adjustments'!$G$7:$ZO$147,77,FALSE)="",0,IF(AND($G9=HLOOKUP(AH$8,'Improved Sales Adjustments'!$G$7:$ZO$147,77,FALSE),$F9=HLOOKUP(AH$8,'Improved Sales Adjustments'!$G$7:$ZO$147,79,FALSE)),1,0))))</f>
        <v>0</v>
      </c>
      <c r="AI9" s="707">
        <f>SUM(X9:$X9)</f>
        <v>0</v>
      </c>
      <c r="AJ9" s="707">
        <f>SUM($X9:Y9)</f>
        <v>0</v>
      </c>
      <c r="AK9" s="707">
        <f>SUM($X9:Z9)</f>
        <v>0</v>
      </c>
      <c r="AL9" s="707">
        <f>SUM($X9:AA9)</f>
        <v>0</v>
      </c>
      <c r="AM9" s="707">
        <f>SUM($X9:AB9)</f>
        <v>0</v>
      </c>
      <c r="AN9" s="707">
        <f>SUM($X9:AC9)</f>
        <v>0</v>
      </c>
      <c r="AO9" s="707">
        <f>SUM($X9:AD9)</f>
        <v>0</v>
      </c>
      <c r="AP9" s="707">
        <f>SUM($X9:AE9)</f>
        <v>0</v>
      </c>
      <c r="AQ9" s="707">
        <f>SUM($X9:AF9)</f>
        <v>0</v>
      </c>
      <c r="AR9" s="707">
        <f>SUM($X9:AG9)</f>
        <v>0</v>
      </c>
      <c r="AS9" s="707">
        <f>SUM($X9:AH9)</f>
        <v>0</v>
      </c>
      <c r="AT9" s="707" t="str">
        <f t="shared" ref="AT9:BD9" si="5">IF(X9=1,IF(AND(AI9=$AS9,$AS9&gt;1),IF($AS9&lt;3,CONCATENATE(" and ",AT$7),CONCATENATE("and ",AT$7)),IF($AS9&lt;3,AT$7,CONCATENATE(AT$7,", "))),"")</f>
        <v/>
      </c>
      <c r="AU9" s="707" t="str">
        <f t="shared" si="5"/>
        <v/>
      </c>
      <c r="AV9" s="707" t="str">
        <f t="shared" si="5"/>
        <v/>
      </c>
      <c r="AW9" s="707" t="str">
        <f t="shared" si="5"/>
        <v/>
      </c>
      <c r="AX9" s="707" t="str">
        <f t="shared" si="5"/>
        <v/>
      </c>
      <c r="AY9" s="707" t="str">
        <f t="shared" si="5"/>
        <v/>
      </c>
      <c r="AZ9" s="707" t="str">
        <f t="shared" si="5"/>
        <v/>
      </c>
      <c r="BA9" s="707" t="str">
        <f t="shared" si="5"/>
        <v/>
      </c>
      <c r="BB9" s="707" t="str">
        <f t="shared" si="5"/>
        <v/>
      </c>
      <c r="BC9" s="707" t="str">
        <f t="shared" si="5"/>
        <v/>
      </c>
      <c r="BD9" s="707" t="str">
        <f t="shared" si="5"/>
        <v/>
      </c>
    </row>
    <row r="10" spans="1:69" ht="69.95" customHeight="1" x14ac:dyDescent="0.25">
      <c r="A10" s="972">
        <f t="shared" ref="A10:A43" si="6">IF(D10="",0,1)</f>
        <v>0</v>
      </c>
      <c r="B10" s="4"/>
      <c r="C10" s="101"/>
      <c r="D10" s="4185" t="str">
        <f t="shared" si="3"/>
        <v/>
      </c>
      <c r="E10" s="4185"/>
      <c r="F10" s="4067" t="str">
        <f>IF(dpSales_Adjustment_4="Construction Quality","B - Reinforced Concrete","B")</f>
        <v>B - Reinforced Concrete</v>
      </c>
      <c r="G10" s="4207"/>
      <c r="H10" s="4198"/>
      <c r="I10" s="4198"/>
      <c r="J10" s="4198"/>
      <c r="K10" s="4198"/>
      <c r="L10" s="4068" t="str">
        <f t="shared" si="4"/>
        <v/>
      </c>
      <c r="M10" s="4194"/>
      <c r="N10" s="4190"/>
      <c r="O10" s="4190"/>
      <c r="P10" s="4069" t="str">
        <f>IFERROR(L10+M9,"")</f>
        <v/>
      </c>
      <c r="Q10" s="4070"/>
      <c r="R10" s="2086"/>
      <c r="S10" s="707"/>
      <c r="T10" s="707"/>
      <c r="U10" s="2100">
        <f>IF(dpSales_Adjustment_4="Construction Quality",IF(F10=Subject_ConstructionClass,1,0),IF(F10=Subject_InvestmentClass,1,0))</f>
        <v>0</v>
      </c>
      <c r="V10" s="707" t="str">
        <f>IF(SUM($U$9:$U$43)=0,"",IF(U10=1,0,IF(SUM(U$9:U10)=0,V11-1,V9+1)))</f>
        <v/>
      </c>
      <c r="W10" s="707"/>
      <c r="X10" s="707">
        <f>IF(dpSales_Adjustment_4="Construction Quality",IF(AND(F10=Subject_ConstructionClass,G$9=Subject_ConstructionQuality),1,0),IF(AND(F10=Subject_InvestmentClass,G$9=Subject_ConstructionQuality),1,0))</f>
        <v>0</v>
      </c>
      <c r="Y10" s="707">
        <f>IF(dpSales_Adjustment_4="Construction Quality",IF(OR(ISERROR(HLOOKUP(Y$8,'Improved Sales Adjustments'!$G$7:$ZO$147,77,FALSE)),ISERROR(HLOOKUP(Y$8,'Improved Sales Adjustments'!$G$7:$ZO$147,78,FALSE))),0,IF(HLOOKUP(Y$8,'Improved Sales Adjustments'!$G$7:$ZO$147,77,FALSE)="",0,IF(AND($G9=HLOOKUP(Y$8,'Improved Sales Adjustments'!$G$7:$ZO$147,77,FALSE),$F10=HLOOKUP(Y$8,'Improved Sales Adjustments'!$G$7:$ZO$147,78,FALSE)),1,0))),IF(OR(ISERROR(HLOOKUP(Y$8,'Improved Sales Adjustments'!$G$7:$ZO$147,77,FALSE)),ISERROR(HLOOKUP(Y$8,'Improved Sales Adjustments'!$G$7:$ZO$147,79,FALSE))),0,IF(HLOOKUP(Y$8,'Improved Sales Adjustments'!$G$7:$ZO$147,77,FALSE)="",0,IF(AND($G9=HLOOKUP(Y$8,'Improved Sales Adjustments'!$G$7:$ZO$147,77,FALSE),$F10=HLOOKUP(Y$8,'Improved Sales Adjustments'!$G$7:$ZO$147,79,FALSE)),1,0))))</f>
        <v>0</v>
      </c>
      <c r="Z10" s="707">
        <f>IF(dpSales_Adjustment_4="Construction Quality",IF(OR(ISERROR(HLOOKUP(Z$8,'Improved Sales Adjustments'!$G$7:$ZO$147,77,FALSE)),ISERROR(HLOOKUP(Z$8,'Improved Sales Adjustments'!$G$7:$ZO$147,78,FALSE))),0,IF(HLOOKUP(Z$8,'Improved Sales Adjustments'!$G$7:$ZO$147,77,FALSE)="",0,IF(AND($G9=HLOOKUP(Z$8,'Improved Sales Adjustments'!$G$7:$ZO$147,77,FALSE),$F10=HLOOKUP(Z$8,'Improved Sales Adjustments'!$G$7:$ZO$147,78,FALSE)),1,0))),IF(OR(ISERROR(HLOOKUP(Z$8,'Improved Sales Adjustments'!$G$7:$ZO$147,77,FALSE)),ISERROR(HLOOKUP(Z$8,'Improved Sales Adjustments'!$G$7:$ZO$147,79,FALSE))),0,IF(HLOOKUP(Z$8,'Improved Sales Adjustments'!$G$7:$ZO$147,77,FALSE)="",0,IF(AND($G9=HLOOKUP(Z$8,'Improved Sales Adjustments'!$G$7:$ZO$147,77,FALSE),$F10=HLOOKUP(Z$8,'Improved Sales Adjustments'!$G$7:$ZO$147,79,FALSE)),1,0))))</f>
        <v>0</v>
      </c>
      <c r="AA10" s="707">
        <f>IF(dpSales_Adjustment_4="Construction Quality",IF(OR(ISERROR(HLOOKUP(AA$8,'Improved Sales Adjustments'!$G$7:$ZO$147,77,FALSE)),ISERROR(HLOOKUP(AA$8,'Improved Sales Adjustments'!$G$7:$ZO$147,78,FALSE))),0,IF(HLOOKUP(AA$8,'Improved Sales Adjustments'!$G$7:$ZO$147,77,FALSE)="",0,IF(AND($G9=HLOOKUP(AA$8,'Improved Sales Adjustments'!$G$7:$ZO$147,77,FALSE),$F10=HLOOKUP(AA$8,'Improved Sales Adjustments'!$G$7:$ZO$147,78,FALSE)),1,0))),IF(OR(ISERROR(HLOOKUP(AA$8,'Improved Sales Adjustments'!$G$7:$ZO$147,77,FALSE)),ISERROR(HLOOKUP(AA$8,'Improved Sales Adjustments'!$G$7:$ZO$147,79,FALSE))),0,IF(HLOOKUP(AA$8,'Improved Sales Adjustments'!$G$7:$ZO$147,77,FALSE)="",0,IF(AND($G9=HLOOKUP(AA$8,'Improved Sales Adjustments'!$G$7:$ZO$147,77,FALSE),$F10=HLOOKUP(AA$8,'Improved Sales Adjustments'!$G$7:$ZO$147,79,FALSE)),1,0))))</f>
        <v>0</v>
      </c>
      <c r="AB10" s="707">
        <f>IF(dpSales_Adjustment_4="Construction Quality",IF(OR(ISERROR(HLOOKUP(AB$8,'Improved Sales Adjustments'!$G$7:$ZO$147,77,FALSE)),ISERROR(HLOOKUP(AB$8,'Improved Sales Adjustments'!$G$7:$ZO$147,78,FALSE))),0,IF(HLOOKUP(AB$8,'Improved Sales Adjustments'!$G$7:$ZO$147,77,FALSE)="",0,IF(AND($G9=HLOOKUP(AB$8,'Improved Sales Adjustments'!$G$7:$ZO$147,77,FALSE),$F10=HLOOKUP(AB$8,'Improved Sales Adjustments'!$G$7:$ZO$147,78,FALSE)),1,0))),IF(OR(ISERROR(HLOOKUP(AB$8,'Improved Sales Adjustments'!$G$7:$ZO$147,77,FALSE)),ISERROR(HLOOKUP(AB$8,'Improved Sales Adjustments'!$G$7:$ZO$147,79,FALSE))),0,IF(HLOOKUP(AB$8,'Improved Sales Adjustments'!$G$7:$ZO$147,77,FALSE)="",0,IF(AND($G9=HLOOKUP(AB$8,'Improved Sales Adjustments'!$G$7:$ZO$147,77,FALSE),$F10=HLOOKUP(AB$8,'Improved Sales Adjustments'!$G$7:$ZO$147,79,FALSE)),1,0))))</f>
        <v>0</v>
      </c>
      <c r="AC10" s="707">
        <f>IF(dpSales_Adjustment_4="Construction Quality",IF(OR(ISERROR(HLOOKUP(AC$8,'Improved Sales Adjustments'!$G$7:$ZO$147,77,FALSE)),ISERROR(HLOOKUP(AC$8,'Improved Sales Adjustments'!$G$7:$ZO$147,78,FALSE))),0,IF(HLOOKUP(AC$8,'Improved Sales Adjustments'!$G$7:$ZO$147,77,FALSE)="",0,IF(AND($G9=HLOOKUP(AC$8,'Improved Sales Adjustments'!$G$7:$ZO$147,77,FALSE),$F10=HLOOKUP(AC$8,'Improved Sales Adjustments'!$G$7:$ZO$147,78,FALSE)),1,0))),IF(OR(ISERROR(HLOOKUP(AC$8,'Improved Sales Adjustments'!$G$7:$ZO$147,77,FALSE)),ISERROR(HLOOKUP(AC$8,'Improved Sales Adjustments'!$G$7:$ZO$147,79,FALSE))),0,IF(HLOOKUP(AC$8,'Improved Sales Adjustments'!$G$7:$ZO$147,77,FALSE)="",0,IF(AND($G9=HLOOKUP(AC$8,'Improved Sales Adjustments'!$G$7:$ZO$147,77,FALSE),$F10=HLOOKUP(AC$8,'Improved Sales Adjustments'!$G$7:$ZO$147,79,FALSE)),1,0))))</f>
        <v>0</v>
      </c>
      <c r="AD10" s="707">
        <f>IF(dpSales_Adjustment_4="Construction Quality",IF(OR(ISERROR(HLOOKUP(AD$8,'Improved Sales Adjustments'!$G$7:$ZO$147,77,FALSE)),ISERROR(HLOOKUP(AD$8,'Improved Sales Adjustments'!$G$7:$ZO$147,78,FALSE))),0,IF(HLOOKUP(AD$8,'Improved Sales Adjustments'!$G$7:$ZO$147,77,FALSE)="",0,IF(AND($G9=HLOOKUP(AD$8,'Improved Sales Adjustments'!$G$7:$ZO$147,77,FALSE),$F10=HLOOKUP(AD$8,'Improved Sales Adjustments'!$G$7:$ZO$147,78,FALSE)),1,0))),IF(OR(ISERROR(HLOOKUP(AD$8,'Improved Sales Adjustments'!$G$7:$ZO$147,77,FALSE)),ISERROR(HLOOKUP(AD$8,'Improved Sales Adjustments'!$G$7:$ZO$147,79,FALSE))),0,IF(HLOOKUP(AD$8,'Improved Sales Adjustments'!$G$7:$ZO$147,77,FALSE)="",0,IF(AND($G9=HLOOKUP(AD$8,'Improved Sales Adjustments'!$G$7:$ZO$147,77,FALSE),$F10=HLOOKUP(AD$8,'Improved Sales Adjustments'!$G$7:$ZO$147,79,FALSE)),1,0))))</f>
        <v>0</v>
      </c>
      <c r="AE10" s="707">
        <f>IF(dpSales_Adjustment_4="Construction Quality",IF(OR(ISERROR(HLOOKUP(AE$8,'Improved Sales Adjustments'!$G$7:$ZO$147,77,FALSE)),ISERROR(HLOOKUP(AE$8,'Improved Sales Adjustments'!$G$7:$ZO$147,78,FALSE))),0,IF(HLOOKUP(AE$8,'Improved Sales Adjustments'!$G$7:$ZO$147,77,FALSE)="",0,IF(AND($G9=HLOOKUP(AE$8,'Improved Sales Adjustments'!$G$7:$ZO$147,77,FALSE),$F10=HLOOKUP(AE$8,'Improved Sales Adjustments'!$G$7:$ZO$147,78,FALSE)),1,0))),IF(OR(ISERROR(HLOOKUP(AE$8,'Improved Sales Adjustments'!$G$7:$ZO$147,77,FALSE)),ISERROR(HLOOKUP(AE$8,'Improved Sales Adjustments'!$G$7:$ZO$147,79,FALSE))),0,IF(HLOOKUP(AE$8,'Improved Sales Adjustments'!$G$7:$ZO$147,77,FALSE)="",0,IF(AND($G9=HLOOKUP(AE$8,'Improved Sales Adjustments'!$G$7:$ZO$147,77,FALSE),$F10=HLOOKUP(AE$8,'Improved Sales Adjustments'!$G$7:$ZO$147,79,FALSE)),1,0))))</f>
        <v>0</v>
      </c>
      <c r="AF10" s="707">
        <f>IF(dpSales_Adjustment_4="Construction Quality",IF(OR(ISERROR(HLOOKUP(AF$8,'Improved Sales Adjustments'!$G$7:$ZO$147,77,FALSE)),ISERROR(HLOOKUP(AF$8,'Improved Sales Adjustments'!$G$7:$ZO$147,78,FALSE))),0,IF(HLOOKUP(AF$8,'Improved Sales Adjustments'!$G$7:$ZO$147,77,FALSE)="",0,IF(AND($G9=HLOOKUP(AF$8,'Improved Sales Adjustments'!$G$7:$ZO$147,77,FALSE),$F10=HLOOKUP(AF$8,'Improved Sales Adjustments'!$G$7:$ZO$147,78,FALSE)),1,0))),IF(OR(ISERROR(HLOOKUP(AF$8,'Improved Sales Adjustments'!$G$7:$ZO$147,77,FALSE)),ISERROR(HLOOKUP(AF$8,'Improved Sales Adjustments'!$G$7:$ZO$147,79,FALSE))),0,IF(HLOOKUP(AF$8,'Improved Sales Adjustments'!$G$7:$ZO$147,77,FALSE)="",0,IF(AND($G9=HLOOKUP(AF$8,'Improved Sales Adjustments'!$G$7:$ZO$147,77,FALSE),$F10=HLOOKUP(AF$8,'Improved Sales Adjustments'!$G$7:$ZO$147,79,FALSE)),1,0))))</f>
        <v>0</v>
      </c>
      <c r="AG10" s="707">
        <f>IF(dpSales_Adjustment_4="Construction Quality",IF(OR(ISERROR(HLOOKUP(AG$8,'Improved Sales Adjustments'!$G$7:$ZO$147,77,FALSE)),ISERROR(HLOOKUP(AG$8,'Improved Sales Adjustments'!$G$7:$ZO$147,78,FALSE))),0,IF(HLOOKUP(AG$8,'Improved Sales Adjustments'!$G$7:$ZO$147,77,FALSE)="",0,IF(AND($G9=HLOOKUP(AG$8,'Improved Sales Adjustments'!$G$7:$ZO$147,77,FALSE),$F10=HLOOKUP(AG$8,'Improved Sales Adjustments'!$G$7:$ZO$147,78,FALSE)),1,0))),IF(OR(ISERROR(HLOOKUP(AG$8,'Improved Sales Adjustments'!$G$7:$ZO$147,77,FALSE)),ISERROR(HLOOKUP(AG$8,'Improved Sales Adjustments'!$G$7:$ZO$147,79,FALSE))),0,IF(HLOOKUP(AG$8,'Improved Sales Adjustments'!$G$7:$ZO$147,77,FALSE)="",0,IF(AND($G9=HLOOKUP(AG$8,'Improved Sales Adjustments'!$G$7:$ZO$147,77,FALSE),$F10=HLOOKUP(AG$8,'Improved Sales Adjustments'!$G$7:$ZO$147,79,FALSE)),1,0))))</f>
        <v>0</v>
      </c>
      <c r="AH10" s="707">
        <f>IF(dpSales_Adjustment_4="Construction Quality",IF(OR(ISERROR(HLOOKUP(AH$8,'Improved Sales Adjustments'!$G$7:$ZO$147,77,FALSE)),ISERROR(HLOOKUP(AH$8,'Improved Sales Adjustments'!$G$7:$ZO$147,78,FALSE))),0,IF(HLOOKUP(AH$8,'Improved Sales Adjustments'!$G$7:$ZO$147,77,FALSE)="",0,IF(AND($G9=HLOOKUP(AH$8,'Improved Sales Adjustments'!$G$7:$ZO$147,77,FALSE),$F10=HLOOKUP(AH$8,'Improved Sales Adjustments'!$G$7:$ZO$147,78,FALSE)),1,0))),IF(OR(ISERROR(HLOOKUP(AH$8,'Improved Sales Adjustments'!$G$7:$ZO$147,77,FALSE)),ISERROR(HLOOKUP(AH$8,'Improved Sales Adjustments'!$G$7:$ZO$147,79,FALSE))),0,IF(HLOOKUP(AH$8,'Improved Sales Adjustments'!$G$7:$ZO$147,77,FALSE)="",0,IF(AND($G9=HLOOKUP(AH$8,'Improved Sales Adjustments'!$G$7:$ZO$147,77,FALSE),$F10=HLOOKUP(AH$8,'Improved Sales Adjustments'!$G$7:$ZO$147,79,FALSE)),1,0))))</f>
        <v>0</v>
      </c>
      <c r="AI10" s="707">
        <f>SUM(X10:$X10)</f>
        <v>0</v>
      </c>
      <c r="AJ10" s="707">
        <f>SUM($X10:Y10)</f>
        <v>0</v>
      </c>
      <c r="AK10" s="707">
        <f>SUM($X10:Z10)</f>
        <v>0</v>
      </c>
      <c r="AL10" s="707">
        <f>SUM($X10:AA10)</f>
        <v>0</v>
      </c>
      <c r="AM10" s="707">
        <f>SUM($X10:AB10)</f>
        <v>0</v>
      </c>
      <c r="AN10" s="707">
        <f>SUM($X10:AC10)</f>
        <v>0</v>
      </c>
      <c r="AO10" s="707">
        <f>SUM($X10:AD10)</f>
        <v>0</v>
      </c>
      <c r="AP10" s="707">
        <f>SUM($X10:AE10)</f>
        <v>0</v>
      </c>
      <c r="AQ10" s="707">
        <f>SUM($X10:AF10)</f>
        <v>0</v>
      </c>
      <c r="AR10" s="707">
        <f>SUM($X10:AG10)</f>
        <v>0</v>
      </c>
      <c r="AS10" s="707">
        <f>SUM($X10:AH10)</f>
        <v>0</v>
      </c>
      <c r="AT10" s="707" t="str">
        <f t="shared" ref="AT10:AT43" si="7">IF(X10=1,IF(AND(AI10=$AS10,$AS10&gt;1),IF($AS10&lt;3,CONCATENATE(" and ",AT$7),CONCATENATE("and ",AT$7)),IF($AS10&lt;3,AT$7,CONCATENATE(AT$7,", "))),"")</f>
        <v/>
      </c>
      <c r="AU10" s="707" t="str">
        <f t="shared" ref="AU10:AU43" si="8">IF(Y10=1,IF(AND(AJ10=$AS10,$AS10&gt;1),IF($AS10&lt;3,CONCATENATE(" and ",AU$7),CONCATENATE("and ",AU$7)),IF($AS10&lt;3,AU$7,CONCATENATE(AU$7,", "))),"")</f>
        <v/>
      </c>
      <c r="AV10" s="707" t="str">
        <f t="shared" ref="AV10:AV43" si="9">IF(Z10=1,IF(AND(AK10=$AS10,$AS10&gt;1),IF($AS10&lt;3,CONCATENATE(" and ",AV$7),CONCATENATE("and ",AV$7)),IF($AS10&lt;3,AV$7,CONCATENATE(AV$7,", "))),"")</f>
        <v/>
      </c>
      <c r="AW10" s="707" t="str">
        <f t="shared" ref="AW10:AW43" si="10">IF(AA10=1,IF(AND(AL10=$AS10,$AS10&gt;1),IF($AS10&lt;3,CONCATENATE(" and ",AW$7),CONCATENATE("and ",AW$7)),IF($AS10&lt;3,AW$7,CONCATENATE(AW$7,", "))),"")</f>
        <v/>
      </c>
      <c r="AX10" s="707" t="str">
        <f t="shared" ref="AX10:AX43" si="11">IF(AB10=1,IF(AND(AM10=$AS10,$AS10&gt;1),IF($AS10&lt;3,CONCATENATE(" and ",AX$7),CONCATENATE("and ",AX$7)),IF($AS10&lt;3,AX$7,CONCATENATE(AX$7,", "))),"")</f>
        <v/>
      </c>
      <c r="AY10" s="707" t="str">
        <f t="shared" ref="AY10:AY43" si="12">IF(AC10=1,IF(AND(AN10=$AS10,$AS10&gt;1),IF($AS10&lt;3,CONCATENATE(" and ",AY$7),CONCATENATE("and ",AY$7)),IF($AS10&lt;3,AY$7,CONCATENATE(AY$7,", "))),"")</f>
        <v/>
      </c>
      <c r="AZ10" s="707" t="str">
        <f t="shared" ref="AZ10:AZ43" si="13">IF(AD10=1,IF(AND(AO10=$AS10,$AS10&gt;1),IF($AS10&lt;3,CONCATENATE(" and ",AZ$7),CONCATENATE("and ",AZ$7)),IF($AS10&lt;3,AZ$7,CONCATENATE(AZ$7,", "))),"")</f>
        <v/>
      </c>
      <c r="BA10" s="707" t="str">
        <f t="shared" ref="BA10:BA43" si="14">IF(AE10=1,IF(AND(AP10=$AS10,$AS10&gt;1),IF($AS10&lt;3,CONCATENATE(" and ",BA$7),CONCATENATE("and ",BA$7)),IF($AS10&lt;3,BA$7,CONCATENATE(BA$7,", "))),"")</f>
        <v/>
      </c>
      <c r="BB10" s="707" t="str">
        <f t="shared" ref="BB10:BB43" si="15">IF(AF10=1,IF(AND(AQ10=$AS10,$AS10&gt;1),IF($AS10&lt;3,CONCATENATE(" and ",BB$7),CONCATENATE("and ",BB$7)),IF($AS10&lt;3,BB$7,CONCATENATE(BB$7,", "))),"")</f>
        <v/>
      </c>
      <c r="BC10" s="707" t="str">
        <f t="shared" ref="BC10:BC43" si="16">IF(AG10=1,IF(AND(AR10=$AS10,$AS10&gt;1),IF($AS10&lt;3,CONCATENATE(" and ",BC$7),CONCATENATE("and ",BC$7)),IF($AS10&lt;3,BC$7,CONCATENATE(BC$7,", "))),"")</f>
        <v/>
      </c>
      <c r="BD10" s="707" t="str">
        <f t="shared" ref="BD10:BD43" si="17">IF(AH10=1,IF(AND(AS10=$AS10,$AS10&gt;1),IF($AS10&lt;3,CONCATENATE(" and ",BD$7),CONCATENATE("and ",BD$7)),IF($AS10&lt;3,BD$7,CONCATENATE(BD$7,", "))),"")</f>
        <v/>
      </c>
    </row>
    <row r="11" spans="1:69" ht="69.95" customHeight="1" x14ac:dyDescent="0.25">
      <c r="A11" s="972">
        <f t="shared" si="6"/>
        <v>0</v>
      </c>
      <c r="B11" s="4"/>
      <c r="C11" s="101"/>
      <c r="D11" s="4185" t="str">
        <f t="shared" si="3"/>
        <v/>
      </c>
      <c r="E11" s="4185"/>
      <c r="F11" s="4067" t="str">
        <f>IF(dpSales_Adjustment_4="Construction Quality","C - Masonry","C")</f>
        <v>C - Masonry</v>
      </c>
      <c r="G11" s="4207"/>
      <c r="H11" s="4198"/>
      <c r="I11" s="4198"/>
      <c r="J11" s="4198"/>
      <c r="K11" s="4198"/>
      <c r="L11" s="4068" t="str">
        <f t="shared" si="4"/>
        <v/>
      </c>
      <c r="M11" s="4194"/>
      <c r="N11" s="4190"/>
      <c r="O11" s="4190"/>
      <c r="P11" s="4069" t="str">
        <f>IFERROR(L11+M9,"")</f>
        <v/>
      </c>
      <c r="Q11" s="4070"/>
      <c r="R11" s="2086"/>
      <c r="S11" s="707"/>
      <c r="T11" s="707"/>
      <c r="U11" s="2100">
        <f>IF(dpSales_Adjustment_4="Construction Quality",IF(F11=Subject_ConstructionClass,1,0),IF(F11=Subject_InvestmentClass,1,0))</f>
        <v>0</v>
      </c>
      <c r="V11" s="707" t="str">
        <f>IF(SUM($U$9:$U$43)=0,"",IF(U11=1,0,IF(SUM(U$9:U11)=0,V12-1,V10+1)))</f>
        <v/>
      </c>
      <c r="W11" s="707"/>
      <c r="X11" s="707">
        <f>IF(dpSales_Adjustment_4="Construction Quality",IF(AND(F11=Subject_ConstructionClass,G$9=Subject_ConstructionQuality),1,0),IF(AND(F11=Subject_InvestmentClass,G$9=Subject_ConstructionQuality),1,0))</f>
        <v>0</v>
      </c>
      <c r="Y11" s="707">
        <f>IF(dpSales_Adjustment_4="Construction Quality",IF(OR(ISERROR(HLOOKUP(Y$8,'Improved Sales Adjustments'!$G$7:$ZO$147,77,FALSE)),ISERROR(HLOOKUP(Y$8,'Improved Sales Adjustments'!$G$7:$ZO$147,78,FALSE))),0,IF(HLOOKUP(Y$8,'Improved Sales Adjustments'!$G$7:$ZO$147,77,FALSE)="",0,IF(AND($G9=HLOOKUP(Y$8,'Improved Sales Adjustments'!$G$7:$ZO$147,77,FALSE),$F11=HLOOKUP(Y$8,'Improved Sales Adjustments'!$G$7:$ZO$147,78,FALSE)),1,0))),IF(OR(ISERROR(HLOOKUP(Y$8,'Improved Sales Adjustments'!$G$7:$ZO$147,77,FALSE)),ISERROR(HLOOKUP(Y$8,'Improved Sales Adjustments'!$G$7:$ZO$147,79,FALSE))),0,IF(HLOOKUP(Y$8,'Improved Sales Adjustments'!$G$7:$ZO$147,77,FALSE)="",0,IF(AND($G9=HLOOKUP(Y$8,'Improved Sales Adjustments'!$G$7:$ZO$147,77,FALSE),$F11=HLOOKUP(Y$8,'Improved Sales Adjustments'!$G$7:$ZO$147,79,FALSE)),1,0))))</f>
        <v>0</v>
      </c>
      <c r="Z11" s="707">
        <f>IF(dpSales_Adjustment_4="Construction Quality",IF(OR(ISERROR(HLOOKUP(Z$8,'Improved Sales Adjustments'!$G$7:$ZO$147,77,FALSE)),ISERROR(HLOOKUP(Z$8,'Improved Sales Adjustments'!$G$7:$ZO$147,78,FALSE))),0,IF(HLOOKUP(Z$8,'Improved Sales Adjustments'!$G$7:$ZO$147,77,FALSE)="",0,IF(AND($G9=HLOOKUP(Z$8,'Improved Sales Adjustments'!$G$7:$ZO$147,77,FALSE),$F11=HLOOKUP(Z$8,'Improved Sales Adjustments'!$G$7:$ZO$147,78,FALSE)),1,0))),IF(OR(ISERROR(HLOOKUP(Z$8,'Improved Sales Adjustments'!$G$7:$ZO$147,77,FALSE)),ISERROR(HLOOKUP(Z$8,'Improved Sales Adjustments'!$G$7:$ZO$147,79,FALSE))),0,IF(HLOOKUP(Z$8,'Improved Sales Adjustments'!$G$7:$ZO$147,77,FALSE)="",0,IF(AND($G9=HLOOKUP(Z$8,'Improved Sales Adjustments'!$G$7:$ZO$147,77,FALSE),$F11=HLOOKUP(Z$8,'Improved Sales Adjustments'!$G$7:$ZO$147,79,FALSE)),1,0))))</f>
        <v>0</v>
      </c>
      <c r="AA11" s="707">
        <f>IF(dpSales_Adjustment_4="Construction Quality",IF(OR(ISERROR(HLOOKUP(AA$8,'Improved Sales Adjustments'!$G$7:$ZO$147,77,FALSE)),ISERROR(HLOOKUP(AA$8,'Improved Sales Adjustments'!$G$7:$ZO$147,78,FALSE))),0,IF(HLOOKUP(AA$8,'Improved Sales Adjustments'!$G$7:$ZO$147,77,FALSE)="",0,IF(AND($G9=HLOOKUP(AA$8,'Improved Sales Adjustments'!$G$7:$ZO$147,77,FALSE),$F11=HLOOKUP(AA$8,'Improved Sales Adjustments'!$G$7:$ZO$147,78,FALSE)),1,0))),IF(OR(ISERROR(HLOOKUP(AA$8,'Improved Sales Adjustments'!$G$7:$ZO$147,77,FALSE)),ISERROR(HLOOKUP(AA$8,'Improved Sales Adjustments'!$G$7:$ZO$147,79,FALSE))),0,IF(HLOOKUP(AA$8,'Improved Sales Adjustments'!$G$7:$ZO$147,77,FALSE)="",0,IF(AND($G9=HLOOKUP(AA$8,'Improved Sales Adjustments'!$G$7:$ZO$147,77,FALSE),$F11=HLOOKUP(AA$8,'Improved Sales Adjustments'!$G$7:$ZO$147,79,FALSE)),1,0))))</f>
        <v>0</v>
      </c>
      <c r="AB11" s="707">
        <f>IF(dpSales_Adjustment_4="Construction Quality",IF(OR(ISERROR(HLOOKUP(AB$8,'Improved Sales Adjustments'!$G$7:$ZO$147,77,FALSE)),ISERROR(HLOOKUP(AB$8,'Improved Sales Adjustments'!$G$7:$ZO$147,78,FALSE))),0,IF(HLOOKUP(AB$8,'Improved Sales Adjustments'!$G$7:$ZO$147,77,FALSE)="",0,IF(AND($G9=HLOOKUP(AB$8,'Improved Sales Adjustments'!$G$7:$ZO$147,77,FALSE),$F11=HLOOKUP(AB$8,'Improved Sales Adjustments'!$G$7:$ZO$147,78,FALSE)),1,0))),IF(OR(ISERROR(HLOOKUP(AB$8,'Improved Sales Adjustments'!$G$7:$ZO$147,77,FALSE)),ISERROR(HLOOKUP(AB$8,'Improved Sales Adjustments'!$G$7:$ZO$147,79,FALSE))),0,IF(HLOOKUP(AB$8,'Improved Sales Adjustments'!$G$7:$ZO$147,77,FALSE)="",0,IF(AND($G9=HLOOKUP(AB$8,'Improved Sales Adjustments'!$G$7:$ZO$147,77,FALSE),$F11=HLOOKUP(AB$8,'Improved Sales Adjustments'!$G$7:$ZO$147,79,FALSE)),1,0))))</f>
        <v>0</v>
      </c>
      <c r="AC11" s="707">
        <f>IF(dpSales_Adjustment_4="Construction Quality",IF(OR(ISERROR(HLOOKUP(AC$8,'Improved Sales Adjustments'!$G$7:$ZO$147,77,FALSE)),ISERROR(HLOOKUP(AC$8,'Improved Sales Adjustments'!$G$7:$ZO$147,78,FALSE))),0,IF(HLOOKUP(AC$8,'Improved Sales Adjustments'!$G$7:$ZO$147,77,FALSE)="",0,IF(AND($G9=HLOOKUP(AC$8,'Improved Sales Adjustments'!$G$7:$ZO$147,77,FALSE),$F11=HLOOKUP(AC$8,'Improved Sales Adjustments'!$G$7:$ZO$147,78,FALSE)),1,0))),IF(OR(ISERROR(HLOOKUP(AC$8,'Improved Sales Adjustments'!$G$7:$ZO$147,77,FALSE)),ISERROR(HLOOKUP(AC$8,'Improved Sales Adjustments'!$G$7:$ZO$147,79,FALSE))),0,IF(HLOOKUP(AC$8,'Improved Sales Adjustments'!$G$7:$ZO$147,77,FALSE)="",0,IF(AND($G9=HLOOKUP(AC$8,'Improved Sales Adjustments'!$G$7:$ZO$147,77,FALSE),$F11=HLOOKUP(AC$8,'Improved Sales Adjustments'!$G$7:$ZO$147,79,FALSE)),1,0))))</f>
        <v>0</v>
      </c>
      <c r="AD11" s="707">
        <f>IF(dpSales_Adjustment_4="Construction Quality",IF(OR(ISERROR(HLOOKUP(AD$8,'Improved Sales Adjustments'!$G$7:$ZO$147,77,FALSE)),ISERROR(HLOOKUP(AD$8,'Improved Sales Adjustments'!$G$7:$ZO$147,78,FALSE))),0,IF(HLOOKUP(AD$8,'Improved Sales Adjustments'!$G$7:$ZO$147,77,FALSE)="",0,IF(AND($G9=HLOOKUP(AD$8,'Improved Sales Adjustments'!$G$7:$ZO$147,77,FALSE),$F11=HLOOKUP(AD$8,'Improved Sales Adjustments'!$G$7:$ZO$147,78,FALSE)),1,0))),IF(OR(ISERROR(HLOOKUP(AD$8,'Improved Sales Adjustments'!$G$7:$ZO$147,77,FALSE)),ISERROR(HLOOKUP(AD$8,'Improved Sales Adjustments'!$G$7:$ZO$147,79,FALSE))),0,IF(HLOOKUP(AD$8,'Improved Sales Adjustments'!$G$7:$ZO$147,77,FALSE)="",0,IF(AND($G9=HLOOKUP(AD$8,'Improved Sales Adjustments'!$G$7:$ZO$147,77,FALSE),$F11=HLOOKUP(AD$8,'Improved Sales Adjustments'!$G$7:$ZO$147,79,FALSE)),1,0))))</f>
        <v>0</v>
      </c>
      <c r="AE11" s="707">
        <f>IF(dpSales_Adjustment_4="Construction Quality",IF(OR(ISERROR(HLOOKUP(AE$8,'Improved Sales Adjustments'!$G$7:$ZO$147,77,FALSE)),ISERROR(HLOOKUP(AE$8,'Improved Sales Adjustments'!$G$7:$ZO$147,78,FALSE))),0,IF(HLOOKUP(AE$8,'Improved Sales Adjustments'!$G$7:$ZO$147,77,FALSE)="",0,IF(AND($G9=HLOOKUP(AE$8,'Improved Sales Adjustments'!$G$7:$ZO$147,77,FALSE),$F11=HLOOKUP(AE$8,'Improved Sales Adjustments'!$G$7:$ZO$147,78,FALSE)),1,0))),IF(OR(ISERROR(HLOOKUP(AE$8,'Improved Sales Adjustments'!$G$7:$ZO$147,77,FALSE)),ISERROR(HLOOKUP(AE$8,'Improved Sales Adjustments'!$G$7:$ZO$147,79,FALSE))),0,IF(HLOOKUP(AE$8,'Improved Sales Adjustments'!$G$7:$ZO$147,77,FALSE)="",0,IF(AND($G9=HLOOKUP(AE$8,'Improved Sales Adjustments'!$G$7:$ZO$147,77,FALSE),$F11=HLOOKUP(AE$8,'Improved Sales Adjustments'!$G$7:$ZO$147,79,FALSE)),1,0))))</f>
        <v>0</v>
      </c>
      <c r="AF11" s="707">
        <f>IF(dpSales_Adjustment_4="Construction Quality",IF(OR(ISERROR(HLOOKUP(AF$8,'Improved Sales Adjustments'!$G$7:$ZO$147,77,FALSE)),ISERROR(HLOOKUP(AF$8,'Improved Sales Adjustments'!$G$7:$ZO$147,78,FALSE))),0,IF(HLOOKUP(AF$8,'Improved Sales Adjustments'!$G$7:$ZO$147,77,FALSE)="",0,IF(AND($G9=HLOOKUP(AF$8,'Improved Sales Adjustments'!$G$7:$ZO$147,77,FALSE),$F11=HLOOKUP(AF$8,'Improved Sales Adjustments'!$G$7:$ZO$147,78,FALSE)),1,0))),IF(OR(ISERROR(HLOOKUP(AF$8,'Improved Sales Adjustments'!$G$7:$ZO$147,77,FALSE)),ISERROR(HLOOKUP(AF$8,'Improved Sales Adjustments'!$G$7:$ZO$147,79,FALSE))),0,IF(HLOOKUP(AF$8,'Improved Sales Adjustments'!$G$7:$ZO$147,77,FALSE)="",0,IF(AND($G9=HLOOKUP(AF$8,'Improved Sales Adjustments'!$G$7:$ZO$147,77,FALSE),$F11=HLOOKUP(AF$8,'Improved Sales Adjustments'!$G$7:$ZO$147,79,FALSE)),1,0))))</f>
        <v>0</v>
      </c>
      <c r="AG11" s="707">
        <f>IF(dpSales_Adjustment_4="Construction Quality",IF(OR(ISERROR(HLOOKUP(AG$8,'Improved Sales Adjustments'!$G$7:$ZO$147,77,FALSE)),ISERROR(HLOOKUP(AG$8,'Improved Sales Adjustments'!$G$7:$ZO$147,78,FALSE))),0,IF(HLOOKUP(AG$8,'Improved Sales Adjustments'!$G$7:$ZO$147,77,FALSE)="",0,IF(AND($G9=HLOOKUP(AG$8,'Improved Sales Adjustments'!$G$7:$ZO$147,77,FALSE),$F11=HLOOKUP(AG$8,'Improved Sales Adjustments'!$G$7:$ZO$147,78,FALSE)),1,0))),IF(OR(ISERROR(HLOOKUP(AG$8,'Improved Sales Adjustments'!$G$7:$ZO$147,77,FALSE)),ISERROR(HLOOKUP(AG$8,'Improved Sales Adjustments'!$G$7:$ZO$147,79,FALSE))),0,IF(HLOOKUP(AG$8,'Improved Sales Adjustments'!$G$7:$ZO$147,77,FALSE)="",0,IF(AND($G9=HLOOKUP(AG$8,'Improved Sales Adjustments'!$G$7:$ZO$147,77,FALSE),$F11=HLOOKUP(AG$8,'Improved Sales Adjustments'!$G$7:$ZO$147,79,FALSE)),1,0))))</f>
        <v>0</v>
      </c>
      <c r="AH11" s="707">
        <f>IF(dpSales_Adjustment_4="Construction Quality",IF(OR(ISERROR(HLOOKUP(AH$8,'Improved Sales Adjustments'!$G$7:$ZO$147,77,FALSE)),ISERROR(HLOOKUP(AH$8,'Improved Sales Adjustments'!$G$7:$ZO$147,78,FALSE))),0,IF(HLOOKUP(AH$8,'Improved Sales Adjustments'!$G$7:$ZO$147,77,FALSE)="",0,IF(AND($G9=HLOOKUP(AH$8,'Improved Sales Adjustments'!$G$7:$ZO$147,77,FALSE),$F11=HLOOKUP(AH$8,'Improved Sales Adjustments'!$G$7:$ZO$147,78,FALSE)),1,0))),IF(OR(ISERROR(HLOOKUP(AH$8,'Improved Sales Adjustments'!$G$7:$ZO$147,77,FALSE)),ISERROR(HLOOKUP(AH$8,'Improved Sales Adjustments'!$G$7:$ZO$147,79,FALSE))),0,IF(HLOOKUP(AH$8,'Improved Sales Adjustments'!$G$7:$ZO$147,77,FALSE)="",0,IF(AND($G9=HLOOKUP(AH$8,'Improved Sales Adjustments'!$G$7:$ZO$147,77,FALSE),$F11=HLOOKUP(AH$8,'Improved Sales Adjustments'!$G$7:$ZO$147,79,FALSE)),1,0))))</f>
        <v>0</v>
      </c>
      <c r="AI11" s="707">
        <f>SUM(X11:$X11)</f>
        <v>0</v>
      </c>
      <c r="AJ11" s="707">
        <f>SUM($X11:Y11)</f>
        <v>0</v>
      </c>
      <c r="AK11" s="707">
        <f>SUM($X11:Z11)</f>
        <v>0</v>
      </c>
      <c r="AL11" s="707">
        <f>SUM($X11:AA11)</f>
        <v>0</v>
      </c>
      <c r="AM11" s="707">
        <f>SUM($X11:AB11)</f>
        <v>0</v>
      </c>
      <c r="AN11" s="707">
        <f>SUM($X11:AC11)</f>
        <v>0</v>
      </c>
      <c r="AO11" s="707">
        <f>SUM($X11:AD11)</f>
        <v>0</v>
      </c>
      <c r="AP11" s="707">
        <f>SUM($X11:AE11)</f>
        <v>0</v>
      </c>
      <c r="AQ11" s="707">
        <f>SUM($X11:AF11)</f>
        <v>0</v>
      </c>
      <c r="AR11" s="707">
        <f>SUM($X11:AG11)</f>
        <v>0</v>
      </c>
      <c r="AS11" s="707">
        <f>SUM($X11:AH11)</f>
        <v>0</v>
      </c>
      <c r="AT11" s="707" t="str">
        <f t="shared" si="7"/>
        <v/>
      </c>
      <c r="AU11" s="707" t="str">
        <f t="shared" si="8"/>
        <v/>
      </c>
      <c r="AV11" s="707" t="str">
        <f t="shared" si="9"/>
        <v/>
      </c>
      <c r="AW11" s="707" t="str">
        <f t="shared" si="10"/>
        <v/>
      </c>
      <c r="AX11" s="707" t="str">
        <f t="shared" si="11"/>
        <v/>
      </c>
      <c r="AY11" s="707" t="str">
        <f t="shared" si="12"/>
        <v/>
      </c>
      <c r="AZ11" s="707" t="str">
        <f t="shared" si="13"/>
        <v/>
      </c>
      <c r="BA11" s="707" t="str">
        <f t="shared" si="14"/>
        <v/>
      </c>
      <c r="BB11" s="707" t="str">
        <f t="shared" si="15"/>
        <v/>
      </c>
      <c r="BC11" s="707" t="str">
        <f t="shared" si="16"/>
        <v/>
      </c>
      <c r="BD11" s="707" t="str">
        <f t="shared" si="17"/>
        <v/>
      </c>
    </row>
    <row r="12" spans="1:69" ht="69.95" customHeight="1" x14ac:dyDescent="0.25">
      <c r="A12" s="972">
        <f t="shared" si="6"/>
        <v>0</v>
      </c>
      <c r="B12" s="4"/>
      <c r="C12" s="101"/>
      <c r="D12" s="4185" t="str">
        <f t="shared" si="3"/>
        <v/>
      </c>
      <c r="E12" s="4185"/>
      <c r="F12" s="4067" t="str">
        <f>IF(dpSales_Adjustment_4="Construction Quality","D - Wood Frame","")</f>
        <v>D - Wood Frame</v>
      </c>
      <c r="G12" s="4207"/>
      <c r="H12" s="4198"/>
      <c r="I12" s="4198"/>
      <c r="J12" s="4198"/>
      <c r="K12" s="4198"/>
      <c r="L12" s="4068" t="str">
        <f t="shared" si="4"/>
        <v/>
      </c>
      <c r="M12" s="4194"/>
      <c r="N12" s="4190"/>
      <c r="O12" s="4190"/>
      <c r="P12" s="4069" t="str">
        <f>IFERROR(L12+M9,"")</f>
        <v/>
      </c>
      <c r="Q12" s="4070"/>
      <c r="R12" s="2086"/>
      <c r="S12" s="707"/>
      <c r="T12" s="707"/>
      <c r="U12" s="2100">
        <f>IF(dpSales_Adjustment_4="Construction Quality",IF(F12=Subject_ConstructionClass,1,0),IF(F12=Subject_InvestmentClass,1,0))</f>
        <v>0</v>
      </c>
      <c r="V12" s="707" t="str">
        <f>IF(SUM($U$9:$U$43)=0,"",IF(U12=1,0,IF(SUM(U$9:U12)=0,V13-1,V11+1)))</f>
        <v/>
      </c>
      <c r="W12" s="707"/>
      <c r="X12" s="707">
        <f>IF(dpSales_Adjustment_4="Construction Quality",IF(AND(F12=Subject_ConstructionClass,G$9=Subject_ConstructionQuality),1,0),IF(AND(F12=Subject_InvestmentClass,G$9=Subject_ConstructionQuality),1,0))</f>
        <v>0</v>
      </c>
      <c r="Y12" s="707">
        <f>IF(dpSales_Adjustment_4="Construction Quality",IF(OR(ISERROR(HLOOKUP(Y$8,'Improved Sales Adjustments'!$G$7:$ZO$147,77,FALSE)),ISERROR(HLOOKUP(Y$8,'Improved Sales Adjustments'!$G$7:$ZO$147,78,FALSE))),0,IF(HLOOKUP(Y$8,'Improved Sales Adjustments'!$G$7:$ZO$147,77,FALSE)="",0,IF(AND($G9=HLOOKUP(Y$8,'Improved Sales Adjustments'!$G$7:$ZO$147,77,FALSE),$F12=HLOOKUP(Y$8,'Improved Sales Adjustments'!$G$7:$ZO$147,78,FALSE)),1,0))),IF(OR(ISERROR(HLOOKUP(Y$8,'Improved Sales Adjustments'!$G$7:$ZO$147,77,FALSE)),ISERROR(HLOOKUP(Y$8,'Improved Sales Adjustments'!$G$7:$ZO$147,79,FALSE))),0,IF(HLOOKUP(Y$8,'Improved Sales Adjustments'!$G$7:$ZO$147,77,FALSE)="",0,IF(AND($G9=HLOOKUP(Y$8,'Improved Sales Adjustments'!$G$7:$ZO$147,77,FALSE),$F12=HLOOKUP(Y$8,'Improved Sales Adjustments'!$G$7:$ZO$147,79,FALSE)),1,0))))</f>
        <v>0</v>
      </c>
      <c r="Z12" s="707">
        <f>IF(dpSales_Adjustment_4="Construction Quality",IF(OR(ISERROR(HLOOKUP(Z$8,'Improved Sales Adjustments'!$G$7:$ZO$147,77,FALSE)),ISERROR(HLOOKUP(Z$8,'Improved Sales Adjustments'!$G$7:$ZO$147,78,FALSE))),0,IF(HLOOKUP(Z$8,'Improved Sales Adjustments'!$G$7:$ZO$147,77,FALSE)="",0,IF(AND($G9=HLOOKUP(Z$8,'Improved Sales Adjustments'!$G$7:$ZO$147,77,FALSE),$F12=HLOOKUP(Z$8,'Improved Sales Adjustments'!$G$7:$ZO$147,78,FALSE)),1,0))),IF(OR(ISERROR(HLOOKUP(Z$8,'Improved Sales Adjustments'!$G$7:$ZO$147,77,FALSE)),ISERROR(HLOOKUP(Z$8,'Improved Sales Adjustments'!$G$7:$ZO$147,79,FALSE))),0,IF(HLOOKUP(Z$8,'Improved Sales Adjustments'!$G$7:$ZO$147,77,FALSE)="",0,IF(AND($G9=HLOOKUP(Z$8,'Improved Sales Adjustments'!$G$7:$ZO$147,77,FALSE),$F12=HLOOKUP(Z$8,'Improved Sales Adjustments'!$G$7:$ZO$147,79,FALSE)),1,0))))</f>
        <v>0</v>
      </c>
      <c r="AA12" s="707">
        <f>IF(dpSales_Adjustment_4="Construction Quality",IF(OR(ISERROR(HLOOKUP(AA$8,'Improved Sales Adjustments'!$G$7:$ZO$147,77,FALSE)),ISERROR(HLOOKUP(AA$8,'Improved Sales Adjustments'!$G$7:$ZO$147,78,FALSE))),0,IF(HLOOKUP(AA$8,'Improved Sales Adjustments'!$G$7:$ZO$147,77,FALSE)="",0,IF(AND($G9=HLOOKUP(AA$8,'Improved Sales Adjustments'!$G$7:$ZO$147,77,FALSE),$F12=HLOOKUP(AA$8,'Improved Sales Adjustments'!$G$7:$ZO$147,78,FALSE)),1,0))),IF(OR(ISERROR(HLOOKUP(AA$8,'Improved Sales Adjustments'!$G$7:$ZO$147,77,FALSE)),ISERROR(HLOOKUP(AA$8,'Improved Sales Adjustments'!$G$7:$ZO$147,79,FALSE))),0,IF(HLOOKUP(AA$8,'Improved Sales Adjustments'!$G$7:$ZO$147,77,FALSE)="",0,IF(AND($G9=HLOOKUP(AA$8,'Improved Sales Adjustments'!$G$7:$ZO$147,77,FALSE),$F12=HLOOKUP(AA$8,'Improved Sales Adjustments'!$G$7:$ZO$147,79,FALSE)),1,0))))</f>
        <v>0</v>
      </c>
      <c r="AB12" s="707">
        <f>IF(dpSales_Adjustment_4="Construction Quality",IF(OR(ISERROR(HLOOKUP(AB$8,'Improved Sales Adjustments'!$G$7:$ZO$147,77,FALSE)),ISERROR(HLOOKUP(AB$8,'Improved Sales Adjustments'!$G$7:$ZO$147,78,FALSE))),0,IF(HLOOKUP(AB$8,'Improved Sales Adjustments'!$G$7:$ZO$147,77,FALSE)="",0,IF(AND($G9=HLOOKUP(AB$8,'Improved Sales Adjustments'!$G$7:$ZO$147,77,FALSE),$F12=HLOOKUP(AB$8,'Improved Sales Adjustments'!$G$7:$ZO$147,78,FALSE)),1,0))),IF(OR(ISERROR(HLOOKUP(AB$8,'Improved Sales Adjustments'!$G$7:$ZO$147,77,FALSE)),ISERROR(HLOOKUP(AB$8,'Improved Sales Adjustments'!$G$7:$ZO$147,79,FALSE))),0,IF(HLOOKUP(AB$8,'Improved Sales Adjustments'!$G$7:$ZO$147,77,FALSE)="",0,IF(AND($G9=HLOOKUP(AB$8,'Improved Sales Adjustments'!$G$7:$ZO$147,77,FALSE),$F12=HLOOKUP(AB$8,'Improved Sales Adjustments'!$G$7:$ZO$147,79,FALSE)),1,0))))</f>
        <v>0</v>
      </c>
      <c r="AC12" s="707">
        <f>IF(dpSales_Adjustment_4="Construction Quality",IF(OR(ISERROR(HLOOKUP(AC$8,'Improved Sales Adjustments'!$G$7:$ZO$147,77,FALSE)),ISERROR(HLOOKUP(AC$8,'Improved Sales Adjustments'!$G$7:$ZO$147,78,FALSE))),0,IF(HLOOKUP(AC$8,'Improved Sales Adjustments'!$G$7:$ZO$147,77,FALSE)="",0,IF(AND($G9=HLOOKUP(AC$8,'Improved Sales Adjustments'!$G$7:$ZO$147,77,FALSE),$F12=HLOOKUP(AC$8,'Improved Sales Adjustments'!$G$7:$ZO$147,78,FALSE)),1,0))),IF(OR(ISERROR(HLOOKUP(AC$8,'Improved Sales Adjustments'!$G$7:$ZO$147,77,FALSE)),ISERROR(HLOOKUP(AC$8,'Improved Sales Adjustments'!$G$7:$ZO$147,79,FALSE))),0,IF(HLOOKUP(AC$8,'Improved Sales Adjustments'!$G$7:$ZO$147,77,FALSE)="",0,IF(AND($G9=HLOOKUP(AC$8,'Improved Sales Adjustments'!$G$7:$ZO$147,77,FALSE),$F12=HLOOKUP(AC$8,'Improved Sales Adjustments'!$G$7:$ZO$147,79,FALSE)),1,0))))</f>
        <v>0</v>
      </c>
      <c r="AD12" s="707">
        <f>IF(dpSales_Adjustment_4="Construction Quality",IF(OR(ISERROR(HLOOKUP(AD$8,'Improved Sales Adjustments'!$G$7:$ZO$147,77,FALSE)),ISERROR(HLOOKUP(AD$8,'Improved Sales Adjustments'!$G$7:$ZO$147,78,FALSE))),0,IF(HLOOKUP(AD$8,'Improved Sales Adjustments'!$G$7:$ZO$147,77,FALSE)="",0,IF(AND($G9=HLOOKUP(AD$8,'Improved Sales Adjustments'!$G$7:$ZO$147,77,FALSE),$F12=HLOOKUP(AD$8,'Improved Sales Adjustments'!$G$7:$ZO$147,78,FALSE)),1,0))),IF(OR(ISERROR(HLOOKUP(AD$8,'Improved Sales Adjustments'!$G$7:$ZO$147,77,FALSE)),ISERROR(HLOOKUP(AD$8,'Improved Sales Adjustments'!$G$7:$ZO$147,79,FALSE))),0,IF(HLOOKUP(AD$8,'Improved Sales Adjustments'!$G$7:$ZO$147,77,FALSE)="",0,IF(AND($G9=HLOOKUP(AD$8,'Improved Sales Adjustments'!$G$7:$ZO$147,77,FALSE),$F12=HLOOKUP(AD$8,'Improved Sales Adjustments'!$G$7:$ZO$147,79,FALSE)),1,0))))</f>
        <v>0</v>
      </c>
      <c r="AE12" s="707">
        <f>IF(dpSales_Adjustment_4="Construction Quality",IF(OR(ISERROR(HLOOKUP(AE$8,'Improved Sales Adjustments'!$G$7:$ZO$147,77,FALSE)),ISERROR(HLOOKUP(AE$8,'Improved Sales Adjustments'!$G$7:$ZO$147,78,FALSE))),0,IF(HLOOKUP(AE$8,'Improved Sales Adjustments'!$G$7:$ZO$147,77,FALSE)="",0,IF(AND($G9=HLOOKUP(AE$8,'Improved Sales Adjustments'!$G$7:$ZO$147,77,FALSE),$F12=HLOOKUP(AE$8,'Improved Sales Adjustments'!$G$7:$ZO$147,78,FALSE)),1,0))),IF(OR(ISERROR(HLOOKUP(AE$8,'Improved Sales Adjustments'!$G$7:$ZO$147,77,FALSE)),ISERROR(HLOOKUP(AE$8,'Improved Sales Adjustments'!$G$7:$ZO$147,79,FALSE))),0,IF(HLOOKUP(AE$8,'Improved Sales Adjustments'!$G$7:$ZO$147,77,FALSE)="",0,IF(AND($G9=HLOOKUP(AE$8,'Improved Sales Adjustments'!$G$7:$ZO$147,77,FALSE),$F12=HLOOKUP(AE$8,'Improved Sales Adjustments'!$G$7:$ZO$147,79,FALSE)),1,0))))</f>
        <v>0</v>
      </c>
      <c r="AF12" s="707">
        <f>IF(dpSales_Adjustment_4="Construction Quality",IF(OR(ISERROR(HLOOKUP(AF$8,'Improved Sales Adjustments'!$G$7:$ZO$147,77,FALSE)),ISERROR(HLOOKUP(AF$8,'Improved Sales Adjustments'!$G$7:$ZO$147,78,FALSE))),0,IF(HLOOKUP(AF$8,'Improved Sales Adjustments'!$G$7:$ZO$147,77,FALSE)="",0,IF(AND($G9=HLOOKUP(AF$8,'Improved Sales Adjustments'!$G$7:$ZO$147,77,FALSE),$F12=HLOOKUP(AF$8,'Improved Sales Adjustments'!$G$7:$ZO$147,78,FALSE)),1,0))),IF(OR(ISERROR(HLOOKUP(AF$8,'Improved Sales Adjustments'!$G$7:$ZO$147,77,FALSE)),ISERROR(HLOOKUP(AF$8,'Improved Sales Adjustments'!$G$7:$ZO$147,79,FALSE))),0,IF(HLOOKUP(AF$8,'Improved Sales Adjustments'!$G$7:$ZO$147,77,FALSE)="",0,IF(AND($G9=HLOOKUP(AF$8,'Improved Sales Adjustments'!$G$7:$ZO$147,77,FALSE),$F12=HLOOKUP(AF$8,'Improved Sales Adjustments'!$G$7:$ZO$147,79,FALSE)),1,0))))</f>
        <v>0</v>
      </c>
      <c r="AG12" s="707">
        <f>IF(dpSales_Adjustment_4="Construction Quality",IF(OR(ISERROR(HLOOKUP(AG$8,'Improved Sales Adjustments'!$G$7:$ZO$147,77,FALSE)),ISERROR(HLOOKUP(AG$8,'Improved Sales Adjustments'!$G$7:$ZO$147,78,FALSE))),0,IF(HLOOKUP(AG$8,'Improved Sales Adjustments'!$G$7:$ZO$147,77,FALSE)="",0,IF(AND($G9=HLOOKUP(AG$8,'Improved Sales Adjustments'!$G$7:$ZO$147,77,FALSE),$F12=HLOOKUP(AG$8,'Improved Sales Adjustments'!$G$7:$ZO$147,78,FALSE)),1,0))),IF(OR(ISERROR(HLOOKUP(AG$8,'Improved Sales Adjustments'!$G$7:$ZO$147,77,FALSE)),ISERROR(HLOOKUP(AG$8,'Improved Sales Adjustments'!$G$7:$ZO$147,79,FALSE))),0,IF(HLOOKUP(AG$8,'Improved Sales Adjustments'!$G$7:$ZO$147,77,FALSE)="",0,IF(AND($G9=HLOOKUP(AG$8,'Improved Sales Adjustments'!$G$7:$ZO$147,77,FALSE),$F12=HLOOKUP(AG$8,'Improved Sales Adjustments'!$G$7:$ZO$147,79,FALSE)),1,0))))</f>
        <v>0</v>
      </c>
      <c r="AH12" s="707">
        <f>IF(dpSales_Adjustment_4="Construction Quality",IF(OR(ISERROR(HLOOKUP(AH$8,'Improved Sales Adjustments'!$G$7:$ZO$147,77,FALSE)),ISERROR(HLOOKUP(AH$8,'Improved Sales Adjustments'!$G$7:$ZO$147,78,FALSE))),0,IF(HLOOKUP(AH$8,'Improved Sales Adjustments'!$G$7:$ZO$147,77,FALSE)="",0,IF(AND($G9=HLOOKUP(AH$8,'Improved Sales Adjustments'!$G$7:$ZO$147,77,FALSE),$F12=HLOOKUP(AH$8,'Improved Sales Adjustments'!$G$7:$ZO$147,78,FALSE)),1,0))),IF(OR(ISERROR(HLOOKUP(AH$8,'Improved Sales Adjustments'!$G$7:$ZO$147,77,FALSE)),ISERROR(HLOOKUP(AH$8,'Improved Sales Adjustments'!$G$7:$ZO$147,79,FALSE))),0,IF(HLOOKUP(AH$8,'Improved Sales Adjustments'!$G$7:$ZO$147,77,FALSE)="",0,IF(AND($G9=HLOOKUP(AH$8,'Improved Sales Adjustments'!$G$7:$ZO$147,77,FALSE),$F12=HLOOKUP(AH$8,'Improved Sales Adjustments'!$G$7:$ZO$147,79,FALSE)),1,0))))</f>
        <v>0</v>
      </c>
      <c r="AI12" s="707">
        <f>SUM(X12:$X12)</f>
        <v>0</v>
      </c>
      <c r="AJ12" s="707">
        <f>SUM($X12:Y12)</f>
        <v>0</v>
      </c>
      <c r="AK12" s="707">
        <f>SUM($X12:Z12)</f>
        <v>0</v>
      </c>
      <c r="AL12" s="707">
        <f>SUM($X12:AA12)</f>
        <v>0</v>
      </c>
      <c r="AM12" s="707">
        <f>SUM($X12:AB12)</f>
        <v>0</v>
      </c>
      <c r="AN12" s="707">
        <f>SUM($X12:AC12)</f>
        <v>0</v>
      </c>
      <c r="AO12" s="707">
        <f>SUM($X12:AD12)</f>
        <v>0</v>
      </c>
      <c r="AP12" s="707">
        <f>SUM($X12:AE12)</f>
        <v>0</v>
      </c>
      <c r="AQ12" s="707">
        <f>SUM($X12:AF12)</f>
        <v>0</v>
      </c>
      <c r="AR12" s="707">
        <f>SUM($X12:AG12)</f>
        <v>0</v>
      </c>
      <c r="AS12" s="707">
        <f>SUM($X12:AH12)</f>
        <v>0</v>
      </c>
      <c r="AT12" s="707" t="str">
        <f t="shared" si="7"/>
        <v/>
      </c>
      <c r="AU12" s="707" t="str">
        <f t="shared" si="8"/>
        <v/>
      </c>
      <c r="AV12" s="707" t="str">
        <f t="shared" si="9"/>
        <v/>
      </c>
      <c r="AW12" s="707" t="str">
        <f t="shared" si="10"/>
        <v/>
      </c>
      <c r="AX12" s="707" t="str">
        <f t="shared" si="11"/>
        <v/>
      </c>
      <c r="AY12" s="707" t="str">
        <f t="shared" si="12"/>
        <v/>
      </c>
      <c r="AZ12" s="707" t="str">
        <f t="shared" si="13"/>
        <v/>
      </c>
      <c r="BA12" s="707" t="str">
        <f t="shared" si="14"/>
        <v/>
      </c>
      <c r="BB12" s="707" t="str">
        <f t="shared" si="15"/>
        <v/>
      </c>
      <c r="BC12" s="707" t="str">
        <f t="shared" si="16"/>
        <v/>
      </c>
      <c r="BD12" s="707" t="str">
        <f t="shared" si="17"/>
        <v/>
      </c>
    </row>
    <row r="13" spans="1:69" ht="69.95" customHeight="1" x14ac:dyDescent="0.25">
      <c r="A13" s="972">
        <f t="shared" si="6"/>
        <v>0</v>
      </c>
      <c r="B13" s="4"/>
      <c r="C13" s="101"/>
      <c r="D13" s="4186" t="str">
        <f t="shared" si="3"/>
        <v/>
      </c>
      <c r="E13" s="4186"/>
      <c r="F13" s="4071" t="str">
        <f>IF(dpSales_Adjustment_4="Construction Quality","S - Steel Frame","")</f>
        <v>S - Steel Frame</v>
      </c>
      <c r="G13" s="4208"/>
      <c r="H13" s="4211"/>
      <c r="I13" s="4211"/>
      <c r="J13" s="4211"/>
      <c r="K13" s="4211"/>
      <c r="L13" s="4072" t="str">
        <f t="shared" si="4"/>
        <v/>
      </c>
      <c r="M13" s="4194"/>
      <c r="N13" s="4191"/>
      <c r="O13" s="4191"/>
      <c r="P13" s="4073" t="str">
        <f>IFERROR(L13+M9,"")</f>
        <v/>
      </c>
      <c r="Q13" s="4070"/>
      <c r="R13" s="2086"/>
      <c r="S13" s="707"/>
      <c r="T13" s="707"/>
      <c r="U13" s="2090">
        <f>IF(dpSales_Adjustment_4="Construction Quality",IF(F13=Subject_ConstructionClass,1,0),IF(F13=Subject_InvestmentClass,1,0))</f>
        <v>0</v>
      </c>
      <c r="V13" s="2089" t="str">
        <f>IF(SUM($U$9:$U$43)=0,"",IF(U13=1,0,IF(SUM(U$9:U13)=0,V14-1,V12+1)))</f>
        <v/>
      </c>
      <c r="W13" s="2089"/>
      <c r="X13" s="2089">
        <f>IF(dpSales_Adjustment_4="Construction Quality",IF(AND(F13=Subject_ConstructionClass,G$9=Subject_ConstructionQuality),1,0),IF(AND(F13=Subject_InvestmentClass,G$9=Subject_ConstructionQuality),1,0))</f>
        <v>0</v>
      </c>
      <c r="Y13" s="2089">
        <f>IF(dpSales_Adjustment_4="Construction Quality",IF(OR(ISERROR(HLOOKUP(Y$8,'Improved Sales Adjustments'!$G$7:$ZO$147,77,FALSE)),ISERROR(HLOOKUP(Y$8,'Improved Sales Adjustments'!$G$7:$ZO$147,78,FALSE))),0,IF(HLOOKUP(Y$8,'Improved Sales Adjustments'!$G$7:$ZO$147,77,FALSE)="",0,IF(AND($G9=HLOOKUP(Y$8,'Improved Sales Adjustments'!$G$7:$ZO$147,77,FALSE),$F13=HLOOKUP(Y$8,'Improved Sales Adjustments'!$G$7:$ZO$147,78,FALSE)),1,0))),IF(OR(ISERROR(HLOOKUP(Y$8,'Improved Sales Adjustments'!$G$7:$ZO$147,77,FALSE)),ISERROR(HLOOKUP(Y$8,'Improved Sales Adjustments'!$G$7:$ZO$147,79,FALSE))),0,IF(HLOOKUP(Y$8,'Improved Sales Adjustments'!$G$7:$ZO$147,77,FALSE)="",0,IF(AND($G9=HLOOKUP(Y$8,'Improved Sales Adjustments'!$G$7:$ZO$147,77,FALSE),$F13=HLOOKUP(Y$8,'Improved Sales Adjustments'!$G$7:$ZO$147,79,FALSE)),1,0))))</f>
        <v>0</v>
      </c>
      <c r="Z13" s="2089">
        <f>IF(dpSales_Adjustment_4="Construction Quality",IF(OR(ISERROR(HLOOKUP(Z$8,'Improved Sales Adjustments'!$G$7:$ZO$147,77,FALSE)),ISERROR(HLOOKUP(Z$8,'Improved Sales Adjustments'!$G$7:$ZO$147,78,FALSE))),0,IF(HLOOKUP(Z$8,'Improved Sales Adjustments'!$G$7:$ZO$147,77,FALSE)="",0,IF(AND($G9=HLOOKUP(Z$8,'Improved Sales Adjustments'!$G$7:$ZO$147,77,FALSE),$F13=HLOOKUP(Z$8,'Improved Sales Adjustments'!$G$7:$ZO$147,78,FALSE)),1,0))),IF(OR(ISERROR(HLOOKUP(Z$8,'Improved Sales Adjustments'!$G$7:$ZO$147,77,FALSE)),ISERROR(HLOOKUP(Z$8,'Improved Sales Adjustments'!$G$7:$ZO$147,79,FALSE))),0,IF(HLOOKUP(Z$8,'Improved Sales Adjustments'!$G$7:$ZO$147,77,FALSE)="",0,IF(AND($G9=HLOOKUP(Z$8,'Improved Sales Adjustments'!$G$7:$ZO$147,77,FALSE),$F13=HLOOKUP(Z$8,'Improved Sales Adjustments'!$G$7:$ZO$147,79,FALSE)),1,0))))</f>
        <v>0</v>
      </c>
      <c r="AA13" s="2089">
        <f>IF(dpSales_Adjustment_4="Construction Quality",IF(OR(ISERROR(HLOOKUP(AA$8,'Improved Sales Adjustments'!$G$7:$ZO$147,77,FALSE)),ISERROR(HLOOKUP(AA$8,'Improved Sales Adjustments'!$G$7:$ZO$147,78,FALSE))),0,IF(HLOOKUP(AA$8,'Improved Sales Adjustments'!$G$7:$ZO$147,77,FALSE)="",0,IF(AND($G9=HLOOKUP(AA$8,'Improved Sales Adjustments'!$G$7:$ZO$147,77,FALSE),$F13=HLOOKUP(AA$8,'Improved Sales Adjustments'!$G$7:$ZO$147,78,FALSE)),1,0))),IF(OR(ISERROR(HLOOKUP(AA$8,'Improved Sales Adjustments'!$G$7:$ZO$147,77,FALSE)),ISERROR(HLOOKUP(AA$8,'Improved Sales Adjustments'!$G$7:$ZO$147,79,FALSE))),0,IF(HLOOKUP(AA$8,'Improved Sales Adjustments'!$G$7:$ZO$147,77,FALSE)="",0,IF(AND($G9=HLOOKUP(AA$8,'Improved Sales Adjustments'!$G$7:$ZO$147,77,FALSE),$F13=HLOOKUP(AA$8,'Improved Sales Adjustments'!$G$7:$ZO$147,79,FALSE)),1,0))))</f>
        <v>0</v>
      </c>
      <c r="AB13" s="2089">
        <f>IF(dpSales_Adjustment_4="Construction Quality",IF(OR(ISERROR(HLOOKUP(AB$8,'Improved Sales Adjustments'!$G$7:$ZO$147,77,FALSE)),ISERROR(HLOOKUP(AB$8,'Improved Sales Adjustments'!$G$7:$ZO$147,78,FALSE))),0,IF(HLOOKUP(AB$8,'Improved Sales Adjustments'!$G$7:$ZO$147,77,FALSE)="",0,IF(AND($G9=HLOOKUP(AB$8,'Improved Sales Adjustments'!$G$7:$ZO$147,77,FALSE),$F13=HLOOKUP(AB$8,'Improved Sales Adjustments'!$G$7:$ZO$147,78,FALSE)),1,0))),IF(OR(ISERROR(HLOOKUP(AB$8,'Improved Sales Adjustments'!$G$7:$ZO$147,77,FALSE)),ISERROR(HLOOKUP(AB$8,'Improved Sales Adjustments'!$G$7:$ZO$147,79,FALSE))),0,IF(HLOOKUP(AB$8,'Improved Sales Adjustments'!$G$7:$ZO$147,77,FALSE)="",0,IF(AND($G9=HLOOKUP(AB$8,'Improved Sales Adjustments'!$G$7:$ZO$147,77,FALSE),$F13=HLOOKUP(AB$8,'Improved Sales Adjustments'!$G$7:$ZO$147,79,FALSE)),1,0))))</f>
        <v>0</v>
      </c>
      <c r="AC13" s="2089">
        <f>IF(dpSales_Adjustment_4="Construction Quality",IF(OR(ISERROR(HLOOKUP(AC$8,'Improved Sales Adjustments'!$G$7:$ZO$147,77,FALSE)),ISERROR(HLOOKUP(AC$8,'Improved Sales Adjustments'!$G$7:$ZO$147,78,FALSE))),0,IF(HLOOKUP(AC$8,'Improved Sales Adjustments'!$G$7:$ZO$147,77,FALSE)="",0,IF(AND($G9=HLOOKUP(AC$8,'Improved Sales Adjustments'!$G$7:$ZO$147,77,FALSE),$F13=HLOOKUP(AC$8,'Improved Sales Adjustments'!$G$7:$ZO$147,78,FALSE)),1,0))),IF(OR(ISERROR(HLOOKUP(AC$8,'Improved Sales Adjustments'!$G$7:$ZO$147,77,FALSE)),ISERROR(HLOOKUP(AC$8,'Improved Sales Adjustments'!$G$7:$ZO$147,79,FALSE))),0,IF(HLOOKUP(AC$8,'Improved Sales Adjustments'!$G$7:$ZO$147,77,FALSE)="",0,IF(AND($G9=HLOOKUP(AC$8,'Improved Sales Adjustments'!$G$7:$ZO$147,77,FALSE),$F13=HLOOKUP(AC$8,'Improved Sales Adjustments'!$G$7:$ZO$147,79,FALSE)),1,0))))</f>
        <v>0</v>
      </c>
      <c r="AD13" s="2089">
        <f>IF(dpSales_Adjustment_4="Construction Quality",IF(OR(ISERROR(HLOOKUP(AD$8,'Improved Sales Adjustments'!$G$7:$ZO$147,77,FALSE)),ISERROR(HLOOKUP(AD$8,'Improved Sales Adjustments'!$G$7:$ZO$147,78,FALSE))),0,IF(HLOOKUP(AD$8,'Improved Sales Adjustments'!$G$7:$ZO$147,77,FALSE)="",0,IF(AND($G9=HLOOKUP(AD$8,'Improved Sales Adjustments'!$G$7:$ZO$147,77,FALSE),$F13=HLOOKUP(AD$8,'Improved Sales Adjustments'!$G$7:$ZO$147,78,FALSE)),1,0))),IF(OR(ISERROR(HLOOKUP(AD$8,'Improved Sales Adjustments'!$G$7:$ZO$147,77,FALSE)),ISERROR(HLOOKUP(AD$8,'Improved Sales Adjustments'!$G$7:$ZO$147,79,FALSE))),0,IF(HLOOKUP(AD$8,'Improved Sales Adjustments'!$G$7:$ZO$147,77,FALSE)="",0,IF(AND($G9=HLOOKUP(AD$8,'Improved Sales Adjustments'!$G$7:$ZO$147,77,FALSE),$F13=HLOOKUP(AD$8,'Improved Sales Adjustments'!$G$7:$ZO$147,79,FALSE)),1,0))))</f>
        <v>0</v>
      </c>
      <c r="AE13" s="2089">
        <f>IF(dpSales_Adjustment_4="Construction Quality",IF(OR(ISERROR(HLOOKUP(AE$8,'Improved Sales Adjustments'!$G$7:$ZO$147,77,FALSE)),ISERROR(HLOOKUP(AE$8,'Improved Sales Adjustments'!$G$7:$ZO$147,78,FALSE))),0,IF(HLOOKUP(AE$8,'Improved Sales Adjustments'!$G$7:$ZO$147,77,FALSE)="",0,IF(AND($G9=HLOOKUP(AE$8,'Improved Sales Adjustments'!$G$7:$ZO$147,77,FALSE),$F13=HLOOKUP(AE$8,'Improved Sales Adjustments'!$G$7:$ZO$147,78,FALSE)),1,0))),IF(OR(ISERROR(HLOOKUP(AE$8,'Improved Sales Adjustments'!$G$7:$ZO$147,77,FALSE)),ISERROR(HLOOKUP(AE$8,'Improved Sales Adjustments'!$G$7:$ZO$147,79,FALSE))),0,IF(HLOOKUP(AE$8,'Improved Sales Adjustments'!$G$7:$ZO$147,77,FALSE)="",0,IF(AND($G9=HLOOKUP(AE$8,'Improved Sales Adjustments'!$G$7:$ZO$147,77,FALSE),$F13=HLOOKUP(AE$8,'Improved Sales Adjustments'!$G$7:$ZO$147,79,FALSE)),1,0))))</f>
        <v>0</v>
      </c>
      <c r="AF13" s="2089">
        <f>IF(dpSales_Adjustment_4="Construction Quality",IF(OR(ISERROR(HLOOKUP(AF$8,'Improved Sales Adjustments'!$G$7:$ZO$147,77,FALSE)),ISERROR(HLOOKUP(AF$8,'Improved Sales Adjustments'!$G$7:$ZO$147,78,FALSE))),0,IF(HLOOKUP(AF$8,'Improved Sales Adjustments'!$G$7:$ZO$147,77,FALSE)="",0,IF(AND($G9=HLOOKUP(AF$8,'Improved Sales Adjustments'!$G$7:$ZO$147,77,FALSE),$F13=HLOOKUP(AF$8,'Improved Sales Adjustments'!$G$7:$ZO$147,78,FALSE)),1,0))),IF(OR(ISERROR(HLOOKUP(AF$8,'Improved Sales Adjustments'!$G$7:$ZO$147,77,FALSE)),ISERROR(HLOOKUP(AF$8,'Improved Sales Adjustments'!$G$7:$ZO$147,79,FALSE))),0,IF(HLOOKUP(AF$8,'Improved Sales Adjustments'!$G$7:$ZO$147,77,FALSE)="",0,IF(AND($G9=HLOOKUP(AF$8,'Improved Sales Adjustments'!$G$7:$ZO$147,77,FALSE),$F13=HLOOKUP(AF$8,'Improved Sales Adjustments'!$G$7:$ZO$147,79,FALSE)),1,0))))</f>
        <v>0</v>
      </c>
      <c r="AG13" s="2089">
        <f>IF(dpSales_Adjustment_4="Construction Quality",IF(OR(ISERROR(HLOOKUP(AG$8,'Improved Sales Adjustments'!$G$7:$ZO$147,77,FALSE)),ISERROR(HLOOKUP(AG$8,'Improved Sales Adjustments'!$G$7:$ZO$147,78,FALSE))),0,IF(HLOOKUP(AG$8,'Improved Sales Adjustments'!$G$7:$ZO$147,77,FALSE)="",0,IF(AND($G9=HLOOKUP(AG$8,'Improved Sales Adjustments'!$G$7:$ZO$147,77,FALSE),$F13=HLOOKUP(AG$8,'Improved Sales Adjustments'!$G$7:$ZO$147,78,FALSE)),1,0))),IF(OR(ISERROR(HLOOKUP(AG$8,'Improved Sales Adjustments'!$G$7:$ZO$147,77,FALSE)),ISERROR(HLOOKUP(AG$8,'Improved Sales Adjustments'!$G$7:$ZO$147,79,FALSE))),0,IF(HLOOKUP(AG$8,'Improved Sales Adjustments'!$G$7:$ZO$147,77,FALSE)="",0,IF(AND($G9=HLOOKUP(AG$8,'Improved Sales Adjustments'!$G$7:$ZO$147,77,FALSE),$F13=HLOOKUP(AG$8,'Improved Sales Adjustments'!$G$7:$ZO$147,79,FALSE)),1,0))))</f>
        <v>0</v>
      </c>
      <c r="AH13" s="2089">
        <f>IF(dpSales_Adjustment_4="Construction Quality",IF(OR(ISERROR(HLOOKUP(AH$8,'Improved Sales Adjustments'!$G$7:$ZO$147,77,FALSE)),ISERROR(HLOOKUP(AH$8,'Improved Sales Adjustments'!$G$7:$ZO$147,78,FALSE))),0,IF(HLOOKUP(AH$8,'Improved Sales Adjustments'!$G$7:$ZO$147,77,FALSE)="",0,IF(AND($G9=HLOOKUP(AH$8,'Improved Sales Adjustments'!$G$7:$ZO$147,77,FALSE),$F13=HLOOKUP(AH$8,'Improved Sales Adjustments'!$G$7:$ZO$147,78,FALSE)),1,0))),IF(OR(ISERROR(HLOOKUP(AH$8,'Improved Sales Adjustments'!$G$7:$ZO$147,77,FALSE)),ISERROR(HLOOKUP(AH$8,'Improved Sales Adjustments'!$G$7:$ZO$147,79,FALSE))),0,IF(HLOOKUP(AH$8,'Improved Sales Adjustments'!$G$7:$ZO$147,77,FALSE)="",0,IF(AND($G9=HLOOKUP(AH$8,'Improved Sales Adjustments'!$G$7:$ZO$147,77,FALSE),$F13=HLOOKUP(AH$8,'Improved Sales Adjustments'!$G$7:$ZO$147,79,FALSE)),1,0))))</f>
        <v>0</v>
      </c>
      <c r="AI13" s="2089">
        <f>SUM(X13:$X13)</f>
        <v>0</v>
      </c>
      <c r="AJ13" s="2089">
        <f>SUM($X13:Y13)</f>
        <v>0</v>
      </c>
      <c r="AK13" s="2089">
        <f>SUM($X13:Z13)</f>
        <v>0</v>
      </c>
      <c r="AL13" s="2089">
        <f>SUM($X13:AA13)</f>
        <v>0</v>
      </c>
      <c r="AM13" s="2089">
        <f>SUM($X13:AB13)</f>
        <v>0</v>
      </c>
      <c r="AN13" s="2089">
        <f>SUM($X13:AC13)</f>
        <v>0</v>
      </c>
      <c r="AO13" s="2089">
        <f>SUM($X13:AD13)</f>
        <v>0</v>
      </c>
      <c r="AP13" s="2089">
        <f>SUM($X13:AE13)</f>
        <v>0</v>
      </c>
      <c r="AQ13" s="2089">
        <f>SUM($X13:AF13)</f>
        <v>0</v>
      </c>
      <c r="AR13" s="2089">
        <f>SUM($X13:AG13)</f>
        <v>0</v>
      </c>
      <c r="AS13" s="2089">
        <f>SUM($X13:AH13)</f>
        <v>0</v>
      </c>
      <c r="AT13" s="2089" t="str">
        <f t="shared" si="7"/>
        <v/>
      </c>
      <c r="AU13" s="2089" t="str">
        <f t="shared" si="8"/>
        <v/>
      </c>
      <c r="AV13" s="2089" t="str">
        <f t="shared" si="9"/>
        <v/>
      </c>
      <c r="AW13" s="2089" t="str">
        <f t="shared" si="10"/>
        <v/>
      </c>
      <c r="AX13" s="2089" t="str">
        <f t="shared" si="11"/>
        <v/>
      </c>
      <c r="AY13" s="2089" t="str">
        <f t="shared" si="12"/>
        <v/>
      </c>
      <c r="AZ13" s="2089" t="str">
        <f t="shared" si="13"/>
        <v/>
      </c>
      <c r="BA13" s="2089" t="str">
        <f t="shared" si="14"/>
        <v/>
      </c>
      <c r="BB13" s="2089" t="str">
        <f t="shared" si="15"/>
        <v/>
      </c>
      <c r="BC13" s="2089" t="str">
        <f t="shared" si="16"/>
        <v/>
      </c>
      <c r="BD13" s="2089" t="str">
        <f t="shared" si="17"/>
        <v/>
      </c>
    </row>
    <row r="14" spans="1:69" ht="69.95" customHeight="1" x14ac:dyDescent="0.25">
      <c r="A14" s="972">
        <f t="shared" si="6"/>
        <v>0</v>
      </c>
      <c r="B14" s="4"/>
      <c r="C14" s="101"/>
      <c r="D14" s="4185" t="str">
        <f t="shared" si="3"/>
        <v/>
      </c>
      <c r="E14" s="4185"/>
      <c r="F14" s="4067" t="str">
        <f>IF(dpSales_Adjustment_4="Construction Quality","A - Structural Steel","A")</f>
        <v>A - Structural Steel</v>
      </c>
      <c r="G14" s="4209" t="s">
        <v>1460</v>
      </c>
      <c r="H14" s="4210" t="s">
        <v>1811</v>
      </c>
      <c r="I14" s="4210"/>
      <c r="J14" s="4210"/>
      <c r="K14" s="4210"/>
      <c r="L14" s="4068" t="str">
        <f t="shared" si="4"/>
        <v/>
      </c>
      <c r="M14" s="4193">
        <f>dpSales_Quality_RatingAdj*W14</f>
        <v>-0.60000000000000009</v>
      </c>
      <c r="N14" s="4190" t="s">
        <v>177</v>
      </c>
      <c r="O14" s="4190"/>
      <c r="P14" s="4069" t="str">
        <f>IFERROR(L14+M14,"")</f>
        <v/>
      </c>
      <c r="Q14" s="4070"/>
      <c r="R14" s="2086"/>
      <c r="S14" s="707"/>
      <c r="T14" s="707"/>
      <c r="U14" s="707">
        <f t="shared" ref="U14:V23" si="18">U9</f>
        <v>0</v>
      </c>
      <c r="V14" s="707" t="str">
        <f t="shared" si="18"/>
        <v/>
      </c>
      <c r="W14" s="707">
        <f>IF(SUM(X14:X18)=1,0,IF(SUM(X$9:X14)=0,W19-1,W9+1))</f>
        <v>-6</v>
      </c>
      <c r="X14" s="707">
        <f>IF(dpSales_Adjustment_4="Construction Quality",IF(AND(F14=Subject_ConstructionClass,G$14=Subject_ConstructionQuality),1,0),IF(AND(F14=Subject_InvestmentClass,G$14=Subject_ConstructionQuality),1,0))</f>
        <v>0</v>
      </c>
      <c r="Y14" s="707">
        <f>IF(dpSales_Adjustment_4="Construction Quality",IF(OR(ISERROR(HLOOKUP(Y$8,'Improved Sales Adjustments'!$G$7:$ZO$147,77,FALSE)),ISERROR(HLOOKUP(Y$8,'Improved Sales Adjustments'!$G$7:$ZO$147,78,FALSE))),0,IF(HLOOKUP(Y$8,'Improved Sales Adjustments'!$G$7:$ZO$147,77,FALSE)="",0,IF(AND($G14=HLOOKUP(Y$8,'Improved Sales Adjustments'!$G$7:$ZO$147,77,FALSE),$F14=HLOOKUP(Y$8,'Improved Sales Adjustments'!$G$7:$ZO$147,78,FALSE)),1,0))),IF(OR(ISERROR(HLOOKUP(Y$8,'Improved Sales Adjustments'!$G$7:$ZO$147,77,FALSE)),ISERROR(HLOOKUP(Y$8,'Improved Sales Adjustments'!$G$7:$ZO$147,79,FALSE))),0,IF(HLOOKUP(Y$8,'Improved Sales Adjustments'!$G$7:$ZO$147,77,FALSE)="",0,IF(AND($G14=HLOOKUP(Y$8,'Improved Sales Adjustments'!$G$7:$ZO$147,77,FALSE),$F14=HLOOKUP(Y$8,'Improved Sales Adjustments'!$G$7:$ZO$147,79,FALSE)),1,0))))</f>
        <v>0</v>
      </c>
      <c r="Z14" s="707">
        <f>IF(dpSales_Adjustment_4="Construction Quality",IF(OR(ISERROR(HLOOKUP(Z$8,'Improved Sales Adjustments'!$G$7:$ZO$147,77,FALSE)),ISERROR(HLOOKUP(Z$8,'Improved Sales Adjustments'!$G$7:$ZO$147,78,FALSE))),0,IF(HLOOKUP(Z$8,'Improved Sales Adjustments'!$G$7:$ZO$147,77,FALSE)="",0,IF(AND($G14=HLOOKUP(Z$8,'Improved Sales Adjustments'!$G$7:$ZO$147,77,FALSE),$F14=HLOOKUP(Z$8,'Improved Sales Adjustments'!$G$7:$ZO$147,78,FALSE)),1,0))),IF(OR(ISERROR(HLOOKUP(Z$8,'Improved Sales Adjustments'!$G$7:$ZO$147,77,FALSE)),ISERROR(HLOOKUP(Z$8,'Improved Sales Adjustments'!$G$7:$ZO$147,79,FALSE))),0,IF(HLOOKUP(Z$8,'Improved Sales Adjustments'!$G$7:$ZO$147,77,FALSE)="",0,IF(AND($G14=HLOOKUP(Z$8,'Improved Sales Adjustments'!$G$7:$ZO$147,77,FALSE),$F14=HLOOKUP(Z$8,'Improved Sales Adjustments'!$G$7:$ZO$147,79,FALSE)),1,0))))</f>
        <v>0</v>
      </c>
      <c r="AA14" s="707">
        <f>IF(dpSales_Adjustment_4="Construction Quality",IF(OR(ISERROR(HLOOKUP(AA$8,'Improved Sales Adjustments'!$G$7:$ZO$147,77,FALSE)),ISERROR(HLOOKUP(AA$8,'Improved Sales Adjustments'!$G$7:$ZO$147,78,FALSE))),0,IF(HLOOKUP(AA$8,'Improved Sales Adjustments'!$G$7:$ZO$147,77,FALSE)="",0,IF(AND($G14=HLOOKUP(AA$8,'Improved Sales Adjustments'!$G$7:$ZO$147,77,FALSE),$F14=HLOOKUP(AA$8,'Improved Sales Adjustments'!$G$7:$ZO$147,78,FALSE)),1,0))),IF(OR(ISERROR(HLOOKUP(AA$8,'Improved Sales Adjustments'!$G$7:$ZO$147,77,FALSE)),ISERROR(HLOOKUP(AA$8,'Improved Sales Adjustments'!$G$7:$ZO$147,79,FALSE))),0,IF(HLOOKUP(AA$8,'Improved Sales Adjustments'!$G$7:$ZO$147,77,FALSE)="",0,IF(AND($G14=HLOOKUP(AA$8,'Improved Sales Adjustments'!$G$7:$ZO$147,77,FALSE),$F14=HLOOKUP(AA$8,'Improved Sales Adjustments'!$G$7:$ZO$147,79,FALSE)),1,0))))</f>
        <v>0</v>
      </c>
      <c r="AB14" s="707">
        <f>IF(dpSales_Adjustment_4="Construction Quality",IF(OR(ISERROR(HLOOKUP(AB$8,'Improved Sales Adjustments'!$G$7:$ZO$147,77,FALSE)),ISERROR(HLOOKUP(AB$8,'Improved Sales Adjustments'!$G$7:$ZO$147,78,FALSE))),0,IF(HLOOKUP(AB$8,'Improved Sales Adjustments'!$G$7:$ZO$147,77,FALSE)="",0,IF(AND($G14=HLOOKUP(AB$8,'Improved Sales Adjustments'!$G$7:$ZO$147,77,FALSE),$F14=HLOOKUP(AB$8,'Improved Sales Adjustments'!$G$7:$ZO$147,78,FALSE)),1,0))),IF(OR(ISERROR(HLOOKUP(AB$8,'Improved Sales Adjustments'!$G$7:$ZO$147,77,FALSE)),ISERROR(HLOOKUP(AB$8,'Improved Sales Adjustments'!$G$7:$ZO$147,79,FALSE))),0,IF(HLOOKUP(AB$8,'Improved Sales Adjustments'!$G$7:$ZO$147,77,FALSE)="",0,IF(AND($G14=HLOOKUP(AB$8,'Improved Sales Adjustments'!$G$7:$ZO$147,77,FALSE),$F14=HLOOKUP(AB$8,'Improved Sales Adjustments'!$G$7:$ZO$147,79,FALSE)),1,0))))</f>
        <v>0</v>
      </c>
      <c r="AC14" s="707">
        <f>IF(dpSales_Adjustment_4="Construction Quality",IF(OR(ISERROR(HLOOKUP(AC$8,'Improved Sales Adjustments'!$G$7:$ZO$147,77,FALSE)),ISERROR(HLOOKUP(AC$8,'Improved Sales Adjustments'!$G$7:$ZO$147,78,FALSE))),0,IF(HLOOKUP(AC$8,'Improved Sales Adjustments'!$G$7:$ZO$147,77,FALSE)="",0,IF(AND($G14=HLOOKUP(AC$8,'Improved Sales Adjustments'!$G$7:$ZO$147,77,FALSE),$F14=HLOOKUP(AC$8,'Improved Sales Adjustments'!$G$7:$ZO$147,78,FALSE)),1,0))),IF(OR(ISERROR(HLOOKUP(AC$8,'Improved Sales Adjustments'!$G$7:$ZO$147,77,FALSE)),ISERROR(HLOOKUP(AC$8,'Improved Sales Adjustments'!$G$7:$ZO$147,79,FALSE))),0,IF(HLOOKUP(AC$8,'Improved Sales Adjustments'!$G$7:$ZO$147,77,FALSE)="",0,IF(AND($G14=HLOOKUP(AC$8,'Improved Sales Adjustments'!$G$7:$ZO$147,77,FALSE),$F14=HLOOKUP(AC$8,'Improved Sales Adjustments'!$G$7:$ZO$147,79,FALSE)),1,0))))</f>
        <v>0</v>
      </c>
      <c r="AD14" s="707">
        <f>IF(dpSales_Adjustment_4="Construction Quality",IF(OR(ISERROR(HLOOKUP(AD$8,'Improved Sales Adjustments'!$G$7:$ZO$147,77,FALSE)),ISERROR(HLOOKUP(AD$8,'Improved Sales Adjustments'!$G$7:$ZO$147,78,FALSE))),0,IF(HLOOKUP(AD$8,'Improved Sales Adjustments'!$G$7:$ZO$147,77,FALSE)="",0,IF(AND($G14=HLOOKUP(AD$8,'Improved Sales Adjustments'!$G$7:$ZO$147,77,FALSE),$F14=HLOOKUP(AD$8,'Improved Sales Adjustments'!$G$7:$ZO$147,78,FALSE)),1,0))),IF(OR(ISERROR(HLOOKUP(AD$8,'Improved Sales Adjustments'!$G$7:$ZO$147,77,FALSE)),ISERROR(HLOOKUP(AD$8,'Improved Sales Adjustments'!$G$7:$ZO$147,79,FALSE))),0,IF(HLOOKUP(AD$8,'Improved Sales Adjustments'!$G$7:$ZO$147,77,FALSE)="",0,IF(AND($G14=HLOOKUP(AD$8,'Improved Sales Adjustments'!$G$7:$ZO$147,77,FALSE),$F14=HLOOKUP(AD$8,'Improved Sales Adjustments'!$G$7:$ZO$147,79,FALSE)),1,0))))</f>
        <v>0</v>
      </c>
      <c r="AE14" s="707">
        <f>IF(dpSales_Adjustment_4="Construction Quality",IF(OR(ISERROR(HLOOKUP(AE$8,'Improved Sales Adjustments'!$G$7:$ZO$147,77,FALSE)),ISERROR(HLOOKUP(AE$8,'Improved Sales Adjustments'!$G$7:$ZO$147,78,FALSE))),0,IF(HLOOKUP(AE$8,'Improved Sales Adjustments'!$G$7:$ZO$147,77,FALSE)="",0,IF(AND($G14=HLOOKUP(AE$8,'Improved Sales Adjustments'!$G$7:$ZO$147,77,FALSE),$F14=HLOOKUP(AE$8,'Improved Sales Adjustments'!$G$7:$ZO$147,78,FALSE)),1,0))),IF(OR(ISERROR(HLOOKUP(AE$8,'Improved Sales Adjustments'!$G$7:$ZO$147,77,FALSE)),ISERROR(HLOOKUP(AE$8,'Improved Sales Adjustments'!$G$7:$ZO$147,79,FALSE))),0,IF(HLOOKUP(AE$8,'Improved Sales Adjustments'!$G$7:$ZO$147,77,FALSE)="",0,IF(AND($G14=HLOOKUP(AE$8,'Improved Sales Adjustments'!$G$7:$ZO$147,77,FALSE),$F14=HLOOKUP(AE$8,'Improved Sales Adjustments'!$G$7:$ZO$147,79,FALSE)),1,0))))</f>
        <v>0</v>
      </c>
      <c r="AF14" s="707">
        <f>IF(dpSales_Adjustment_4="Construction Quality",IF(OR(ISERROR(HLOOKUP(AF$8,'Improved Sales Adjustments'!$G$7:$ZO$147,77,FALSE)),ISERROR(HLOOKUP(AF$8,'Improved Sales Adjustments'!$G$7:$ZO$147,78,FALSE))),0,IF(HLOOKUP(AF$8,'Improved Sales Adjustments'!$G$7:$ZO$147,77,FALSE)="",0,IF(AND($G14=HLOOKUP(AF$8,'Improved Sales Adjustments'!$G$7:$ZO$147,77,FALSE),$F14=HLOOKUP(AF$8,'Improved Sales Adjustments'!$G$7:$ZO$147,78,FALSE)),1,0))),IF(OR(ISERROR(HLOOKUP(AF$8,'Improved Sales Adjustments'!$G$7:$ZO$147,77,FALSE)),ISERROR(HLOOKUP(AF$8,'Improved Sales Adjustments'!$G$7:$ZO$147,79,FALSE))),0,IF(HLOOKUP(AF$8,'Improved Sales Adjustments'!$G$7:$ZO$147,77,FALSE)="",0,IF(AND($G14=HLOOKUP(AF$8,'Improved Sales Adjustments'!$G$7:$ZO$147,77,FALSE),$F14=HLOOKUP(AF$8,'Improved Sales Adjustments'!$G$7:$ZO$147,79,FALSE)),1,0))))</f>
        <v>0</v>
      </c>
      <c r="AG14" s="707">
        <f>IF(dpSales_Adjustment_4="Construction Quality",IF(OR(ISERROR(HLOOKUP(AG$8,'Improved Sales Adjustments'!$G$7:$ZO$147,77,FALSE)),ISERROR(HLOOKUP(AG$8,'Improved Sales Adjustments'!$G$7:$ZO$147,78,FALSE))),0,IF(HLOOKUP(AG$8,'Improved Sales Adjustments'!$G$7:$ZO$147,77,FALSE)="",0,IF(AND($G14=HLOOKUP(AG$8,'Improved Sales Adjustments'!$G$7:$ZO$147,77,FALSE),$F14=HLOOKUP(AG$8,'Improved Sales Adjustments'!$G$7:$ZO$147,78,FALSE)),1,0))),IF(OR(ISERROR(HLOOKUP(AG$8,'Improved Sales Adjustments'!$G$7:$ZO$147,77,FALSE)),ISERROR(HLOOKUP(AG$8,'Improved Sales Adjustments'!$G$7:$ZO$147,79,FALSE))),0,IF(HLOOKUP(AG$8,'Improved Sales Adjustments'!$G$7:$ZO$147,77,FALSE)="",0,IF(AND($G14=HLOOKUP(AG$8,'Improved Sales Adjustments'!$G$7:$ZO$147,77,FALSE),$F14=HLOOKUP(AG$8,'Improved Sales Adjustments'!$G$7:$ZO$147,79,FALSE)),1,0))))</f>
        <v>0</v>
      </c>
      <c r="AH14" s="707">
        <f>IF(dpSales_Adjustment_4="Construction Quality",IF(OR(ISERROR(HLOOKUP(AH$8,'Improved Sales Adjustments'!$G$7:$ZO$147,77,FALSE)),ISERROR(HLOOKUP(AH$8,'Improved Sales Adjustments'!$G$7:$ZO$147,78,FALSE))),0,IF(HLOOKUP(AH$8,'Improved Sales Adjustments'!$G$7:$ZO$147,77,FALSE)="",0,IF(AND($G14=HLOOKUP(AH$8,'Improved Sales Adjustments'!$G$7:$ZO$147,77,FALSE),$F14=HLOOKUP(AH$8,'Improved Sales Adjustments'!$G$7:$ZO$147,78,FALSE)),1,0))),IF(OR(ISERROR(HLOOKUP(AH$8,'Improved Sales Adjustments'!$G$7:$ZO$147,77,FALSE)),ISERROR(HLOOKUP(AH$8,'Improved Sales Adjustments'!$G$7:$ZO$147,79,FALSE))),0,IF(HLOOKUP(AH$8,'Improved Sales Adjustments'!$G$7:$ZO$147,77,FALSE)="",0,IF(AND($G14=HLOOKUP(AH$8,'Improved Sales Adjustments'!$G$7:$ZO$147,77,FALSE),$F14=HLOOKUP(AH$8,'Improved Sales Adjustments'!$G$7:$ZO$147,79,FALSE)),1,0))))</f>
        <v>0</v>
      </c>
      <c r="AI14" s="707">
        <f>SUM(X14:$X14)</f>
        <v>0</v>
      </c>
      <c r="AJ14" s="707">
        <f>SUM($X14:Y14)</f>
        <v>0</v>
      </c>
      <c r="AK14" s="707">
        <f>SUM($X14:Z14)</f>
        <v>0</v>
      </c>
      <c r="AL14" s="707">
        <f>SUM($X14:AA14)</f>
        <v>0</v>
      </c>
      <c r="AM14" s="707">
        <f>SUM($X14:AB14)</f>
        <v>0</v>
      </c>
      <c r="AN14" s="707">
        <f>SUM($X14:AC14)</f>
        <v>0</v>
      </c>
      <c r="AO14" s="707">
        <f>SUM($X14:AD14)</f>
        <v>0</v>
      </c>
      <c r="AP14" s="707">
        <f>SUM($X14:AE14)</f>
        <v>0</v>
      </c>
      <c r="AQ14" s="707">
        <f>SUM($X14:AF14)</f>
        <v>0</v>
      </c>
      <c r="AR14" s="707">
        <f>SUM($X14:AG14)</f>
        <v>0</v>
      </c>
      <c r="AS14" s="707">
        <f>SUM($X14:AH14)</f>
        <v>0</v>
      </c>
      <c r="AT14" s="707" t="str">
        <f t="shared" si="7"/>
        <v/>
      </c>
      <c r="AU14" s="707" t="str">
        <f t="shared" si="8"/>
        <v/>
      </c>
      <c r="AV14" s="707" t="str">
        <f t="shared" si="9"/>
        <v/>
      </c>
      <c r="AW14" s="707" t="str">
        <f t="shared" si="10"/>
        <v/>
      </c>
      <c r="AX14" s="707" t="str">
        <f t="shared" si="11"/>
        <v/>
      </c>
      <c r="AY14" s="707" t="str">
        <f t="shared" si="12"/>
        <v/>
      </c>
      <c r="AZ14" s="707" t="str">
        <f t="shared" si="13"/>
        <v/>
      </c>
      <c r="BA14" s="707" t="str">
        <f t="shared" si="14"/>
        <v/>
      </c>
      <c r="BB14" s="707" t="str">
        <f t="shared" si="15"/>
        <v/>
      </c>
      <c r="BC14" s="707" t="str">
        <f t="shared" si="16"/>
        <v/>
      </c>
      <c r="BD14" s="707" t="str">
        <f t="shared" si="17"/>
        <v/>
      </c>
    </row>
    <row r="15" spans="1:69" ht="69.95" customHeight="1" x14ac:dyDescent="0.25">
      <c r="A15" s="972">
        <f t="shared" si="6"/>
        <v>0</v>
      </c>
      <c r="B15" s="4"/>
      <c r="C15" s="101"/>
      <c r="D15" s="4185" t="str">
        <f t="shared" si="3"/>
        <v/>
      </c>
      <c r="E15" s="4185"/>
      <c r="F15" s="4067" t="str">
        <f>IF(dpSales_Adjustment_4="Construction Quality","B - Reinforced Concrete","B")</f>
        <v>B - Reinforced Concrete</v>
      </c>
      <c r="G15" s="4207"/>
      <c r="H15" s="4198"/>
      <c r="I15" s="4198"/>
      <c r="J15" s="4198"/>
      <c r="K15" s="4198"/>
      <c r="L15" s="4068" t="str">
        <f t="shared" si="4"/>
        <v/>
      </c>
      <c r="M15" s="4194"/>
      <c r="N15" s="4190"/>
      <c r="O15" s="4190"/>
      <c r="P15" s="4069" t="str">
        <f>IFERROR(L15+M14,"")</f>
        <v/>
      </c>
      <c r="Q15" s="4070"/>
      <c r="R15" s="2086"/>
      <c r="S15" s="707"/>
      <c r="T15" s="707"/>
      <c r="U15" s="707">
        <f t="shared" si="18"/>
        <v>0</v>
      </c>
      <c r="V15" s="707" t="str">
        <f t="shared" si="18"/>
        <v/>
      </c>
      <c r="W15" s="707"/>
      <c r="X15" s="707">
        <f>IF(dpSales_Adjustment_4="Construction Quality",IF(AND(F15=Subject_ConstructionClass,G$14=Subject_ConstructionQuality),1,0),IF(AND(F15=Subject_InvestmentClass,G$14=Subject_ConstructionQuality),1,0))</f>
        <v>0</v>
      </c>
      <c r="Y15" s="707">
        <f>IF(dpSales_Adjustment_4="Construction Quality",IF(OR(ISERROR(HLOOKUP(Y$8,'Improved Sales Adjustments'!$G$7:$ZO$147,77,FALSE)),ISERROR(HLOOKUP(Y$8,'Improved Sales Adjustments'!$G$7:$ZO$147,78,FALSE))),0,IF(HLOOKUP(Y$8,'Improved Sales Adjustments'!$G$7:$ZO$147,77,FALSE)="",0,IF(AND($G14=HLOOKUP(Y$8,'Improved Sales Adjustments'!$G$7:$ZO$147,77,FALSE),$F15=HLOOKUP(Y$8,'Improved Sales Adjustments'!$G$7:$ZO$147,78,FALSE)),1,0))),IF(OR(ISERROR(HLOOKUP(Y$8,'Improved Sales Adjustments'!$G$7:$ZO$147,77,FALSE)),ISERROR(HLOOKUP(Y$8,'Improved Sales Adjustments'!$G$7:$ZO$147,79,FALSE))),0,IF(HLOOKUP(Y$8,'Improved Sales Adjustments'!$G$7:$ZO$147,77,FALSE)="",0,IF(AND($G14=HLOOKUP(Y$8,'Improved Sales Adjustments'!$G$7:$ZO$147,77,FALSE),$F15=HLOOKUP(Y$8,'Improved Sales Adjustments'!$G$7:$ZO$147,79,FALSE)),1,0))))</f>
        <v>0</v>
      </c>
      <c r="Z15" s="707">
        <f>IF(dpSales_Adjustment_4="Construction Quality",IF(OR(ISERROR(HLOOKUP(Z$8,'Improved Sales Adjustments'!$G$7:$ZO$147,77,FALSE)),ISERROR(HLOOKUP(Z$8,'Improved Sales Adjustments'!$G$7:$ZO$147,78,FALSE))),0,IF(HLOOKUP(Z$8,'Improved Sales Adjustments'!$G$7:$ZO$147,77,FALSE)="",0,IF(AND($G14=HLOOKUP(Z$8,'Improved Sales Adjustments'!$G$7:$ZO$147,77,FALSE),$F15=HLOOKUP(Z$8,'Improved Sales Adjustments'!$G$7:$ZO$147,78,FALSE)),1,0))),IF(OR(ISERROR(HLOOKUP(Z$8,'Improved Sales Adjustments'!$G$7:$ZO$147,77,FALSE)),ISERROR(HLOOKUP(Z$8,'Improved Sales Adjustments'!$G$7:$ZO$147,79,FALSE))),0,IF(HLOOKUP(Z$8,'Improved Sales Adjustments'!$G$7:$ZO$147,77,FALSE)="",0,IF(AND($G14=HLOOKUP(Z$8,'Improved Sales Adjustments'!$G$7:$ZO$147,77,FALSE),$F15=HLOOKUP(Z$8,'Improved Sales Adjustments'!$G$7:$ZO$147,79,FALSE)),1,0))))</f>
        <v>0</v>
      </c>
      <c r="AA15" s="707">
        <f>IF(dpSales_Adjustment_4="Construction Quality",IF(OR(ISERROR(HLOOKUP(AA$8,'Improved Sales Adjustments'!$G$7:$ZO$147,77,FALSE)),ISERROR(HLOOKUP(AA$8,'Improved Sales Adjustments'!$G$7:$ZO$147,78,FALSE))),0,IF(HLOOKUP(AA$8,'Improved Sales Adjustments'!$G$7:$ZO$147,77,FALSE)="",0,IF(AND($G14=HLOOKUP(AA$8,'Improved Sales Adjustments'!$G$7:$ZO$147,77,FALSE),$F15=HLOOKUP(AA$8,'Improved Sales Adjustments'!$G$7:$ZO$147,78,FALSE)),1,0))),IF(OR(ISERROR(HLOOKUP(AA$8,'Improved Sales Adjustments'!$G$7:$ZO$147,77,FALSE)),ISERROR(HLOOKUP(AA$8,'Improved Sales Adjustments'!$G$7:$ZO$147,79,FALSE))),0,IF(HLOOKUP(AA$8,'Improved Sales Adjustments'!$G$7:$ZO$147,77,FALSE)="",0,IF(AND($G14=HLOOKUP(AA$8,'Improved Sales Adjustments'!$G$7:$ZO$147,77,FALSE),$F15=HLOOKUP(AA$8,'Improved Sales Adjustments'!$G$7:$ZO$147,79,FALSE)),1,0))))</f>
        <v>0</v>
      </c>
      <c r="AB15" s="707">
        <f>IF(dpSales_Adjustment_4="Construction Quality",IF(OR(ISERROR(HLOOKUP(AB$8,'Improved Sales Adjustments'!$G$7:$ZO$147,77,FALSE)),ISERROR(HLOOKUP(AB$8,'Improved Sales Adjustments'!$G$7:$ZO$147,78,FALSE))),0,IF(HLOOKUP(AB$8,'Improved Sales Adjustments'!$G$7:$ZO$147,77,FALSE)="",0,IF(AND($G14=HLOOKUP(AB$8,'Improved Sales Adjustments'!$G$7:$ZO$147,77,FALSE),$F15=HLOOKUP(AB$8,'Improved Sales Adjustments'!$G$7:$ZO$147,78,FALSE)),1,0))),IF(OR(ISERROR(HLOOKUP(AB$8,'Improved Sales Adjustments'!$G$7:$ZO$147,77,FALSE)),ISERROR(HLOOKUP(AB$8,'Improved Sales Adjustments'!$G$7:$ZO$147,79,FALSE))),0,IF(HLOOKUP(AB$8,'Improved Sales Adjustments'!$G$7:$ZO$147,77,FALSE)="",0,IF(AND($G14=HLOOKUP(AB$8,'Improved Sales Adjustments'!$G$7:$ZO$147,77,FALSE),$F15=HLOOKUP(AB$8,'Improved Sales Adjustments'!$G$7:$ZO$147,79,FALSE)),1,0))))</f>
        <v>0</v>
      </c>
      <c r="AC15" s="707">
        <f>IF(dpSales_Adjustment_4="Construction Quality",IF(OR(ISERROR(HLOOKUP(AC$8,'Improved Sales Adjustments'!$G$7:$ZO$147,77,FALSE)),ISERROR(HLOOKUP(AC$8,'Improved Sales Adjustments'!$G$7:$ZO$147,78,FALSE))),0,IF(HLOOKUP(AC$8,'Improved Sales Adjustments'!$G$7:$ZO$147,77,FALSE)="",0,IF(AND($G14=HLOOKUP(AC$8,'Improved Sales Adjustments'!$G$7:$ZO$147,77,FALSE),$F15=HLOOKUP(AC$8,'Improved Sales Adjustments'!$G$7:$ZO$147,78,FALSE)),1,0))),IF(OR(ISERROR(HLOOKUP(AC$8,'Improved Sales Adjustments'!$G$7:$ZO$147,77,FALSE)),ISERROR(HLOOKUP(AC$8,'Improved Sales Adjustments'!$G$7:$ZO$147,79,FALSE))),0,IF(HLOOKUP(AC$8,'Improved Sales Adjustments'!$G$7:$ZO$147,77,FALSE)="",0,IF(AND($G14=HLOOKUP(AC$8,'Improved Sales Adjustments'!$G$7:$ZO$147,77,FALSE),$F15=HLOOKUP(AC$8,'Improved Sales Adjustments'!$G$7:$ZO$147,79,FALSE)),1,0))))</f>
        <v>0</v>
      </c>
      <c r="AD15" s="707">
        <f>IF(dpSales_Adjustment_4="Construction Quality",IF(OR(ISERROR(HLOOKUP(AD$8,'Improved Sales Adjustments'!$G$7:$ZO$147,77,FALSE)),ISERROR(HLOOKUP(AD$8,'Improved Sales Adjustments'!$G$7:$ZO$147,78,FALSE))),0,IF(HLOOKUP(AD$8,'Improved Sales Adjustments'!$G$7:$ZO$147,77,FALSE)="",0,IF(AND($G14=HLOOKUP(AD$8,'Improved Sales Adjustments'!$G$7:$ZO$147,77,FALSE),$F15=HLOOKUP(AD$8,'Improved Sales Adjustments'!$G$7:$ZO$147,78,FALSE)),1,0))),IF(OR(ISERROR(HLOOKUP(AD$8,'Improved Sales Adjustments'!$G$7:$ZO$147,77,FALSE)),ISERROR(HLOOKUP(AD$8,'Improved Sales Adjustments'!$G$7:$ZO$147,79,FALSE))),0,IF(HLOOKUP(AD$8,'Improved Sales Adjustments'!$G$7:$ZO$147,77,FALSE)="",0,IF(AND($G14=HLOOKUP(AD$8,'Improved Sales Adjustments'!$G$7:$ZO$147,77,FALSE),$F15=HLOOKUP(AD$8,'Improved Sales Adjustments'!$G$7:$ZO$147,79,FALSE)),1,0))))</f>
        <v>0</v>
      </c>
      <c r="AE15" s="707">
        <f>IF(dpSales_Adjustment_4="Construction Quality",IF(OR(ISERROR(HLOOKUP(AE$8,'Improved Sales Adjustments'!$G$7:$ZO$147,77,FALSE)),ISERROR(HLOOKUP(AE$8,'Improved Sales Adjustments'!$G$7:$ZO$147,78,FALSE))),0,IF(HLOOKUP(AE$8,'Improved Sales Adjustments'!$G$7:$ZO$147,77,FALSE)="",0,IF(AND($G14=HLOOKUP(AE$8,'Improved Sales Adjustments'!$G$7:$ZO$147,77,FALSE),$F15=HLOOKUP(AE$8,'Improved Sales Adjustments'!$G$7:$ZO$147,78,FALSE)),1,0))),IF(OR(ISERROR(HLOOKUP(AE$8,'Improved Sales Adjustments'!$G$7:$ZO$147,77,FALSE)),ISERROR(HLOOKUP(AE$8,'Improved Sales Adjustments'!$G$7:$ZO$147,79,FALSE))),0,IF(HLOOKUP(AE$8,'Improved Sales Adjustments'!$G$7:$ZO$147,77,FALSE)="",0,IF(AND($G14=HLOOKUP(AE$8,'Improved Sales Adjustments'!$G$7:$ZO$147,77,FALSE),$F15=HLOOKUP(AE$8,'Improved Sales Adjustments'!$G$7:$ZO$147,79,FALSE)),1,0))))</f>
        <v>0</v>
      </c>
      <c r="AF15" s="707">
        <f>IF(dpSales_Adjustment_4="Construction Quality",IF(OR(ISERROR(HLOOKUP(AF$8,'Improved Sales Adjustments'!$G$7:$ZO$147,77,FALSE)),ISERROR(HLOOKUP(AF$8,'Improved Sales Adjustments'!$G$7:$ZO$147,78,FALSE))),0,IF(HLOOKUP(AF$8,'Improved Sales Adjustments'!$G$7:$ZO$147,77,FALSE)="",0,IF(AND($G14=HLOOKUP(AF$8,'Improved Sales Adjustments'!$G$7:$ZO$147,77,FALSE),$F15=HLOOKUP(AF$8,'Improved Sales Adjustments'!$G$7:$ZO$147,78,FALSE)),1,0))),IF(OR(ISERROR(HLOOKUP(AF$8,'Improved Sales Adjustments'!$G$7:$ZO$147,77,FALSE)),ISERROR(HLOOKUP(AF$8,'Improved Sales Adjustments'!$G$7:$ZO$147,79,FALSE))),0,IF(HLOOKUP(AF$8,'Improved Sales Adjustments'!$G$7:$ZO$147,77,FALSE)="",0,IF(AND($G14=HLOOKUP(AF$8,'Improved Sales Adjustments'!$G$7:$ZO$147,77,FALSE),$F15=HLOOKUP(AF$8,'Improved Sales Adjustments'!$G$7:$ZO$147,79,FALSE)),1,0))))</f>
        <v>0</v>
      </c>
      <c r="AG15" s="707">
        <f>IF(dpSales_Adjustment_4="Construction Quality",IF(OR(ISERROR(HLOOKUP(AG$8,'Improved Sales Adjustments'!$G$7:$ZO$147,77,FALSE)),ISERROR(HLOOKUP(AG$8,'Improved Sales Adjustments'!$G$7:$ZO$147,78,FALSE))),0,IF(HLOOKUP(AG$8,'Improved Sales Adjustments'!$G$7:$ZO$147,77,FALSE)="",0,IF(AND($G14=HLOOKUP(AG$8,'Improved Sales Adjustments'!$G$7:$ZO$147,77,FALSE),$F15=HLOOKUP(AG$8,'Improved Sales Adjustments'!$G$7:$ZO$147,78,FALSE)),1,0))),IF(OR(ISERROR(HLOOKUP(AG$8,'Improved Sales Adjustments'!$G$7:$ZO$147,77,FALSE)),ISERROR(HLOOKUP(AG$8,'Improved Sales Adjustments'!$G$7:$ZO$147,79,FALSE))),0,IF(HLOOKUP(AG$8,'Improved Sales Adjustments'!$G$7:$ZO$147,77,FALSE)="",0,IF(AND($G14=HLOOKUP(AG$8,'Improved Sales Adjustments'!$G$7:$ZO$147,77,FALSE),$F15=HLOOKUP(AG$8,'Improved Sales Adjustments'!$G$7:$ZO$147,79,FALSE)),1,0))))</f>
        <v>0</v>
      </c>
      <c r="AH15" s="707">
        <f>IF(dpSales_Adjustment_4="Construction Quality",IF(OR(ISERROR(HLOOKUP(AH$8,'Improved Sales Adjustments'!$G$7:$ZO$147,77,FALSE)),ISERROR(HLOOKUP(AH$8,'Improved Sales Adjustments'!$G$7:$ZO$147,78,FALSE))),0,IF(HLOOKUP(AH$8,'Improved Sales Adjustments'!$G$7:$ZO$147,77,FALSE)="",0,IF(AND($G14=HLOOKUP(AH$8,'Improved Sales Adjustments'!$G$7:$ZO$147,77,FALSE),$F15=HLOOKUP(AH$8,'Improved Sales Adjustments'!$G$7:$ZO$147,78,FALSE)),1,0))),IF(OR(ISERROR(HLOOKUP(AH$8,'Improved Sales Adjustments'!$G$7:$ZO$147,77,FALSE)),ISERROR(HLOOKUP(AH$8,'Improved Sales Adjustments'!$G$7:$ZO$147,79,FALSE))),0,IF(HLOOKUP(AH$8,'Improved Sales Adjustments'!$G$7:$ZO$147,77,FALSE)="",0,IF(AND($G14=HLOOKUP(AH$8,'Improved Sales Adjustments'!$G$7:$ZO$147,77,FALSE),$F15=HLOOKUP(AH$8,'Improved Sales Adjustments'!$G$7:$ZO$147,79,FALSE)),1,0))))</f>
        <v>0</v>
      </c>
      <c r="AI15" s="707">
        <f>SUM(X15:$X15)</f>
        <v>0</v>
      </c>
      <c r="AJ15" s="707">
        <f>SUM($X15:Y15)</f>
        <v>0</v>
      </c>
      <c r="AK15" s="707">
        <f>SUM($X15:Z15)</f>
        <v>0</v>
      </c>
      <c r="AL15" s="707">
        <f>SUM($X15:AA15)</f>
        <v>0</v>
      </c>
      <c r="AM15" s="707">
        <f>SUM($X15:AB15)</f>
        <v>0</v>
      </c>
      <c r="AN15" s="707">
        <f>SUM($X15:AC15)</f>
        <v>0</v>
      </c>
      <c r="AO15" s="707">
        <f>SUM($X15:AD15)</f>
        <v>0</v>
      </c>
      <c r="AP15" s="707">
        <f>SUM($X15:AE15)</f>
        <v>0</v>
      </c>
      <c r="AQ15" s="707">
        <f>SUM($X15:AF15)</f>
        <v>0</v>
      </c>
      <c r="AR15" s="707">
        <f>SUM($X15:AG15)</f>
        <v>0</v>
      </c>
      <c r="AS15" s="707">
        <f>SUM($X15:AH15)</f>
        <v>0</v>
      </c>
      <c r="AT15" s="707" t="str">
        <f t="shared" si="7"/>
        <v/>
      </c>
      <c r="AU15" s="707" t="str">
        <f t="shared" si="8"/>
        <v/>
      </c>
      <c r="AV15" s="707" t="str">
        <f t="shared" si="9"/>
        <v/>
      </c>
      <c r="AW15" s="707" t="str">
        <f t="shared" si="10"/>
        <v/>
      </c>
      <c r="AX15" s="707" t="str">
        <f t="shared" si="11"/>
        <v/>
      </c>
      <c r="AY15" s="707" t="str">
        <f t="shared" si="12"/>
        <v/>
      </c>
      <c r="AZ15" s="707" t="str">
        <f t="shared" si="13"/>
        <v/>
      </c>
      <c r="BA15" s="707" t="str">
        <f t="shared" si="14"/>
        <v/>
      </c>
      <c r="BB15" s="707" t="str">
        <f t="shared" si="15"/>
        <v/>
      </c>
      <c r="BC15" s="707" t="str">
        <f t="shared" si="16"/>
        <v/>
      </c>
      <c r="BD15" s="707" t="str">
        <f t="shared" si="17"/>
        <v/>
      </c>
    </row>
    <row r="16" spans="1:69" ht="69.95" customHeight="1" x14ac:dyDescent="0.25">
      <c r="A16" s="972">
        <f t="shared" si="6"/>
        <v>0</v>
      </c>
      <c r="B16" s="4"/>
      <c r="C16" s="101"/>
      <c r="D16" s="4185" t="str">
        <f t="shared" si="3"/>
        <v/>
      </c>
      <c r="E16" s="4185"/>
      <c r="F16" s="4067" t="str">
        <f>IF(dpSales_Adjustment_4="Construction Quality","C - Masonry","C")</f>
        <v>C - Masonry</v>
      </c>
      <c r="G16" s="4207"/>
      <c r="H16" s="4198"/>
      <c r="I16" s="4198"/>
      <c r="J16" s="4198"/>
      <c r="K16" s="4198"/>
      <c r="L16" s="4068" t="str">
        <f t="shared" si="4"/>
        <v/>
      </c>
      <c r="M16" s="4194"/>
      <c r="N16" s="4190"/>
      <c r="O16" s="4190"/>
      <c r="P16" s="4069" t="str">
        <f>IFERROR(L16+M14,"")</f>
        <v/>
      </c>
      <c r="Q16" s="4070"/>
      <c r="R16" s="2086"/>
      <c r="S16" s="707"/>
      <c r="T16" s="707"/>
      <c r="U16" s="707">
        <f t="shared" si="18"/>
        <v>0</v>
      </c>
      <c r="V16" s="707" t="str">
        <f t="shared" si="18"/>
        <v/>
      </c>
      <c r="W16" s="707"/>
      <c r="X16" s="707">
        <f>IF(dpSales_Adjustment_4="Construction Quality",IF(AND(F16=Subject_ConstructionClass,G$14=Subject_ConstructionQuality),1,0),IF(AND(F16=Subject_InvestmentClass,G$14=Subject_ConstructionQuality),1,0))</f>
        <v>0</v>
      </c>
      <c r="Y16" s="707">
        <f>IF(dpSales_Adjustment_4="Construction Quality",IF(OR(ISERROR(HLOOKUP(Y$8,'Improved Sales Adjustments'!$G$7:$ZO$147,77,FALSE)),ISERROR(HLOOKUP(Y$8,'Improved Sales Adjustments'!$G$7:$ZO$147,78,FALSE))),0,IF(HLOOKUP(Y$8,'Improved Sales Adjustments'!$G$7:$ZO$147,77,FALSE)="",0,IF(AND($G14=HLOOKUP(Y$8,'Improved Sales Adjustments'!$G$7:$ZO$147,77,FALSE),$F16=HLOOKUP(Y$8,'Improved Sales Adjustments'!$G$7:$ZO$147,78,FALSE)),1,0))),IF(OR(ISERROR(HLOOKUP(Y$8,'Improved Sales Adjustments'!$G$7:$ZO$147,77,FALSE)),ISERROR(HLOOKUP(Y$8,'Improved Sales Adjustments'!$G$7:$ZO$147,79,FALSE))),0,IF(HLOOKUP(Y$8,'Improved Sales Adjustments'!$G$7:$ZO$147,77,FALSE)="",0,IF(AND($G14=HLOOKUP(Y$8,'Improved Sales Adjustments'!$G$7:$ZO$147,77,FALSE),$F16=HLOOKUP(Y$8,'Improved Sales Adjustments'!$G$7:$ZO$147,79,FALSE)),1,0))))</f>
        <v>0</v>
      </c>
      <c r="Z16" s="707">
        <f>IF(dpSales_Adjustment_4="Construction Quality",IF(OR(ISERROR(HLOOKUP(Z$8,'Improved Sales Adjustments'!$G$7:$ZO$147,77,FALSE)),ISERROR(HLOOKUP(Z$8,'Improved Sales Adjustments'!$G$7:$ZO$147,78,FALSE))),0,IF(HLOOKUP(Z$8,'Improved Sales Adjustments'!$G$7:$ZO$147,77,FALSE)="",0,IF(AND($G14=HLOOKUP(Z$8,'Improved Sales Adjustments'!$G$7:$ZO$147,77,FALSE),$F16=HLOOKUP(Z$8,'Improved Sales Adjustments'!$G$7:$ZO$147,78,FALSE)),1,0))),IF(OR(ISERROR(HLOOKUP(Z$8,'Improved Sales Adjustments'!$G$7:$ZO$147,77,FALSE)),ISERROR(HLOOKUP(Z$8,'Improved Sales Adjustments'!$G$7:$ZO$147,79,FALSE))),0,IF(HLOOKUP(Z$8,'Improved Sales Adjustments'!$G$7:$ZO$147,77,FALSE)="",0,IF(AND($G14=HLOOKUP(Z$8,'Improved Sales Adjustments'!$G$7:$ZO$147,77,FALSE),$F16=HLOOKUP(Z$8,'Improved Sales Adjustments'!$G$7:$ZO$147,79,FALSE)),1,0))))</f>
        <v>0</v>
      </c>
      <c r="AA16" s="707">
        <f>IF(dpSales_Adjustment_4="Construction Quality",IF(OR(ISERROR(HLOOKUP(AA$8,'Improved Sales Adjustments'!$G$7:$ZO$147,77,FALSE)),ISERROR(HLOOKUP(AA$8,'Improved Sales Adjustments'!$G$7:$ZO$147,78,FALSE))),0,IF(HLOOKUP(AA$8,'Improved Sales Adjustments'!$G$7:$ZO$147,77,FALSE)="",0,IF(AND($G14=HLOOKUP(AA$8,'Improved Sales Adjustments'!$G$7:$ZO$147,77,FALSE),$F16=HLOOKUP(AA$8,'Improved Sales Adjustments'!$G$7:$ZO$147,78,FALSE)),1,0))),IF(OR(ISERROR(HLOOKUP(AA$8,'Improved Sales Adjustments'!$G$7:$ZO$147,77,FALSE)),ISERROR(HLOOKUP(AA$8,'Improved Sales Adjustments'!$G$7:$ZO$147,79,FALSE))),0,IF(HLOOKUP(AA$8,'Improved Sales Adjustments'!$G$7:$ZO$147,77,FALSE)="",0,IF(AND($G14=HLOOKUP(AA$8,'Improved Sales Adjustments'!$G$7:$ZO$147,77,FALSE),$F16=HLOOKUP(AA$8,'Improved Sales Adjustments'!$G$7:$ZO$147,79,FALSE)),1,0))))</f>
        <v>0</v>
      </c>
      <c r="AB16" s="707">
        <f>IF(dpSales_Adjustment_4="Construction Quality",IF(OR(ISERROR(HLOOKUP(AB$8,'Improved Sales Adjustments'!$G$7:$ZO$147,77,FALSE)),ISERROR(HLOOKUP(AB$8,'Improved Sales Adjustments'!$G$7:$ZO$147,78,FALSE))),0,IF(HLOOKUP(AB$8,'Improved Sales Adjustments'!$G$7:$ZO$147,77,FALSE)="",0,IF(AND($G14=HLOOKUP(AB$8,'Improved Sales Adjustments'!$G$7:$ZO$147,77,FALSE),$F16=HLOOKUP(AB$8,'Improved Sales Adjustments'!$G$7:$ZO$147,78,FALSE)),1,0))),IF(OR(ISERROR(HLOOKUP(AB$8,'Improved Sales Adjustments'!$G$7:$ZO$147,77,FALSE)),ISERROR(HLOOKUP(AB$8,'Improved Sales Adjustments'!$G$7:$ZO$147,79,FALSE))),0,IF(HLOOKUP(AB$8,'Improved Sales Adjustments'!$G$7:$ZO$147,77,FALSE)="",0,IF(AND($G14=HLOOKUP(AB$8,'Improved Sales Adjustments'!$G$7:$ZO$147,77,FALSE),$F16=HLOOKUP(AB$8,'Improved Sales Adjustments'!$G$7:$ZO$147,79,FALSE)),1,0))))</f>
        <v>0</v>
      </c>
      <c r="AC16" s="707">
        <f>IF(dpSales_Adjustment_4="Construction Quality",IF(OR(ISERROR(HLOOKUP(AC$8,'Improved Sales Adjustments'!$G$7:$ZO$147,77,FALSE)),ISERROR(HLOOKUP(AC$8,'Improved Sales Adjustments'!$G$7:$ZO$147,78,FALSE))),0,IF(HLOOKUP(AC$8,'Improved Sales Adjustments'!$G$7:$ZO$147,77,FALSE)="",0,IF(AND($G14=HLOOKUP(AC$8,'Improved Sales Adjustments'!$G$7:$ZO$147,77,FALSE),$F16=HLOOKUP(AC$8,'Improved Sales Adjustments'!$G$7:$ZO$147,78,FALSE)),1,0))),IF(OR(ISERROR(HLOOKUP(AC$8,'Improved Sales Adjustments'!$G$7:$ZO$147,77,FALSE)),ISERROR(HLOOKUP(AC$8,'Improved Sales Adjustments'!$G$7:$ZO$147,79,FALSE))),0,IF(HLOOKUP(AC$8,'Improved Sales Adjustments'!$G$7:$ZO$147,77,FALSE)="",0,IF(AND($G14=HLOOKUP(AC$8,'Improved Sales Adjustments'!$G$7:$ZO$147,77,FALSE),$F16=HLOOKUP(AC$8,'Improved Sales Adjustments'!$G$7:$ZO$147,79,FALSE)),1,0))))</f>
        <v>0</v>
      </c>
      <c r="AD16" s="707">
        <f>IF(dpSales_Adjustment_4="Construction Quality",IF(OR(ISERROR(HLOOKUP(AD$8,'Improved Sales Adjustments'!$G$7:$ZO$147,77,FALSE)),ISERROR(HLOOKUP(AD$8,'Improved Sales Adjustments'!$G$7:$ZO$147,78,FALSE))),0,IF(HLOOKUP(AD$8,'Improved Sales Adjustments'!$G$7:$ZO$147,77,FALSE)="",0,IF(AND($G14=HLOOKUP(AD$8,'Improved Sales Adjustments'!$G$7:$ZO$147,77,FALSE),$F16=HLOOKUP(AD$8,'Improved Sales Adjustments'!$G$7:$ZO$147,78,FALSE)),1,0))),IF(OR(ISERROR(HLOOKUP(AD$8,'Improved Sales Adjustments'!$G$7:$ZO$147,77,FALSE)),ISERROR(HLOOKUP(AD$8,'Improved Sales Adjustments'!$G$7:$ZO$147,79,FALSE))),0,IF(HLOOKUP(AD$8,'Improved Sales Adjustments'!$G$7:$ZO$147,77,FALSE)="",0,IF(AND($G14=HLOOKUP(AD$8,'Improved Sales Adjustments'!$G$7:$ZO$147,77,FALSE),$F16=HLOOKUP(AD$8,'Improved Sales Adjustments'!$G$7:$ZO$147,79,FALSE)),1,0))))</f>
        <v>0</v>
      </c>
      <c r="AE16" s="707">
        <f>IF(dpSales_Adjustment_4="Construction Quality",IF(OR(ISERROR(HLOOKUP(AE$8,'Improved Sales Adjustments'!$G$7:$ZO$147,77,FALSE)),ISERROR(HLOOKUP(AE$8,'Improved Sales Adjustments'!$G$7:$ZO$147,78,FALSE))),0,IF(HLOOKUP(AE$8,'Improved Sales Adjustments'!$G$7:$ZO$147,77,FALSE)="",0,IF(AND($G14=HLOOKUP(AE$8,'Improved Sales Adjustments'!$G$7:$ZO$147,77,FALSE),$F16=HLOOKUP(AE$8,'Improved Sales Adjustments'!$G$7:$ZO$147,78,FALSE)),1,0))),IF(OR(ISERROR(HLOOKUP(AE$8,'Improved Sales Adjustments'!$G$7:$ZO$147,77,FALSE)),ISERROR(HLOOKUP(AE$8,'Improved Sales Adjustments'!$G$7:$ZO$147,79,FALSE))),0,IF(HLOOKUP(AE$8,'Improved Sales Adjustments'!$G$7:$ZO$147,77,FALSE)="",0,IF(AND($G14=HLOOKUP(AE$8,'Improved Sales Adjustments'!$G$7:$ZO$147,77,FALSE),$F16=HLOOKUP(AE$8,'Improved Sales Adjustments'!$G$7:$ZO$147,79,FALSE)),1,0))))</f>
        <v>0</v>
      </c>
      <c r="AF16" s="707">
        <f>IF(dpSales_Adjustment_4="Construction Quality",IF(OR(ISERROR(HLOOKUP(AF$8,'Improved Sales Adjustments'!$G$7:$ZO$147,77,FALSE)),ISERROR(HLOOKUP(AF$8,'Improved Sales Adjustments'!$G$7:$ZO$147,78,FALSE))),0,IF(HLOOKUP(AF$8,'Improved Sales Adjustments'!$G$7:$ZO$147,77,FALSE)="",0,IF(AND($G14=HLOOKUP(AF$8,'Improved Sales Adjustments'!$G$7:$ZO$147,77,FALSE),$F16=HLOOKUP(AF$8,'Improved Sales Adjustments'!$G$7:$ZO$147,78,FALSE)),1,0))),IF(OR(ISERROR(HLOOKUP(AF$8,'Improved Sales Adjustments'!$G$7:$ZO$147,77,FALSE)),ISERROR(HLOOKUP(AF$8,'Improved Sales Adjustments'!$G$7:$ZO$147,79,FALSE))),0,IF(HLOOKUP(AF$8,'Improved Sales Adjustments'!$G$7:$ZO$147,77,FALSE)="",0,IF(AND($G14=HLOOKUP(AF$8,'Improved Sales Adjustments'!$G$7:$ZO$147,77,FALSE),$F16=HLOOKUP(AF$8,'Improved Sales Adjustments'!$G$7:$ZO$147,79,FALSE)),1,0))))</f>
        <v>0</v>
      </c>
      <c r="AG16" s="707">
        <f>IF(dpSales_Adjustment_4="Construction Quality",IF(OR(ISERROR(HLOOKUP(AG$8,'Improved Sales Adjustments'!$G$7:$ZO$147,77,FALSE)),ISERROR(HLOOKUP(AG$8,'Improved Sales Adjustments'!$G$7:$ZO$147,78,FALSE))),0,IF(HLOOKUP(AG$8,'Improved Sales Adjustments'!$G$7:$ZO$147,77,FALSE)="",0,IF(AND($G14=HLOOKUP(AG$8,'Improved Sales Adjustments'!$G$7:$ZO$147,77,FALSE),$F16=HLOOKUP(AG$8,'Improved Sales Adjustments'!$G$7:$ZO$147,78,FALSE)),1,0))),IF(OR(ISERROR(HLOOKUP(AG$8,'Improved Sales Adjustments'!$G$7:$ZO$147,77,FALSE)),ISERROR(HLOOKUP(AG$8,'Improved Sales Adjustments'!$G$7:$ZO$147,79,FALSE))),0,IF(HLOOKUP(AG$8,'Improved Sales Adjustments'!$G$7:$ZO$147,77,FALSE)="",0,IF(AND($G14=HLOOKUP(AG$8,'Improved Sales Adjustments'!$G$7:$ZO$147,77,FALSE),$F16=HLOOKUP(AG$8,'Improved Sales Adjustments'!$G$7:$ZO$147,79,FALSE)),1,0))))</f>
        <v>0</v>
      </c>
      <c r="AH16" s="707">
        <f>IF(dpSales_Adjustment_4="Construction Quality",IF(OR(ISERROR(HLOOKUP(AH$8,'Improved Sales Adjustments'!$G$7:$ZO$147,77,FALSE)),ISERROR(HLOOKUP(AH$8,'Improved Sales Adjustments'!$G$7:$ZO$147,78,FALSE))),0,IF(HLOOKUP(AH$8,'Improved Sales Adjustments'!$G$7:$ZO$147,77,FALSE)="",0,IF(AND($G14=HLOOKUP(AH$8,'Improved Sales Adjustments'!$G$7:$ZO$147,77,FALSE),$F16=HLOOKUP(AH$8,'Improved Sales Adjustments'!$G$7:$ZO$147,78,FALSE)),1,0))),IF(OR(ISERROR(HLOOKUP(AH$8,'Improved Sales Adjustments'!$G$7:$ZO$147,77,FALSE)),ISERROR(HLOOKUP(AH$8,'Improved Sales Adjustments'!$G$7:$ZO$147,79,FALSE))),0,IF(HLOOKUP(AH$8,'Improved Sales Adjustments'!$G$7:$ZO$147,77,FALSE)="",0,IF(AND($G14=HLOOKUP(AH$8,'Improved Sales Adjustments'!$G$7:$ZO$147,77,FALSE),$F16=HLOOKUP(AH$8,'Improved Sales Adjustments'!$G$7:$ZO$147,79,FALSE)),1,0))))</f>
        <v>0</v>
      </c>
      <c r="AI16" s="707">
        <f>SUM(X16:$X16)</f>
        <v>0</v>
      </c>
      <c r="AJ16" s="707">
        <f>SUM($X16:Y16)</f>
        <v>0</v>
      </c>
      <c r="AK16" s="707">
        <f>SUM($X16:Z16)</f>
        <v>0</v>
      </c>
      <c r="AL16" s="707">
        <f>SUM($X16:AA16)</f>
        <v>0</v>
      </c>
      <c r="AM16" s="707">
        <f>SUM($X16:AB16)</f>
        <v>0</v>
      </c>
      <c r="AN16" s="707">
        <f>SUM($X16:AC16)</f>
        <v>0</v>
      </c>
      <c r="AO16" s="707">
        <f>SUM($X16:AD16)</f>
        <v>0</v>
      </c>
      <c r="AP16" s="707">
        <f>SUM($X16:AE16)</f>
        <v>0</v>
      </c>
      <c r="AQ16" s="707">
        <f>SUM($X16:AF16)</f>
        <v>0</v>
      </c>
      <c r="AR16" s="707">
        <f>SUM($X16:AG16)</f>
        <v>0</v>
      </c>
      <c r="AS16" s="707">
        <f>SUM($X16:AH16)</f>
        <v>0</v>
      </c>
      <c r="AT16" s="707" t="str">
        <f t="shared" si="7"/>
        <v/>
      </c>
      <c r="AU16" s="707" t="str">
        <f t="shared" si="8"/>
        <v/>
      </c>
      <c r="AV16" s="707" t="str">
        <f t="shared" si="9"/>
        <v/>
      </c>
      <c r="AW16" s="707" t="str">
        <f t="shared" si="10"/>
        <v/>
      </c>
      <c r="AX16" s="707" t="str">
        <f t="shared" si="11"/>
        <v/>
      </c>
      <c r="AY16" s="707" t="str">
        <f t="shared" si="12"/>
        <v/>
      </c>
      <c r="AZ16" s="707" t="str">
        <f t="shared" si="13"/>
        <v/>
      </c>
      <c r="BA16" s="707" t="str">
        <f t="shared" si="14"/>
        <v/>
      </c>
      <c r="BB16" s="707" t="str">
        <f t="shared" si="15"/>
        <v/>
      </c>
      <c r="BC16" s="707" t="str">
        <f t="shared" si="16"/>
        <v/>
      </c>
      <c r="BD16" s="707" t="str">
        <f t="shared" si="17"/>
        <v/>
      </c>
    </row>
    <row r="17" spans="1:56" ht="69.95" customHeight="1" x14ac:dyDescent="0.25">
      <c r="A17" s="972">
        <f t="shared" si="6"/>
        <v>0</v>
      </c>
      <c r="B17" s="4"/>
      <c r="C17" s="101"/>
      <c r="D17" s="4185" t="str">
        <f t="shared" si="3"/>
        <v/>
      </c>
      <c r="E17" s="4185"/>
      <c r="F17" s="4067" t="str">
        <f>IF(dpSales_Adjustment_4="Construction Quality","D - Wood Frame","")</f>
        <v>D - Wood Frame</v>
      </c>
      <c r="G17" s="4207"/>
      <c r="H17" s="4198"/>
      <c r="I17" s="4198"/>
      <c r="J17" s="4198"/>
      <c r="K17" s="4198"/>
      <c r="L17" s="4068" t="str">
        <f t="shared" si="4"/>
        <v/>
      </c>
      <c r="M17" s="4194"/>
      <c r="N17" s="4190"/>
      <c r="O17" s="4190"/>
      <c r="P17" s="4069" t="str">
        <f>IFERROR(L17+M14,"")</f>
        <v/>
      </c>
      <c r="Q17" s="4070"/>
      <c r="R17" s="2086"/>
      <c r="S17" s="707"/>
      <c r="T17" s="707"/>
      <c r="U17" s="707">
        <f t="shared" si="18"/>
        <v>0</v>
      </c>
      <c r="V17" s="707" t="str">
        <f t="shared" si="18"/>
        <v/>
      </c>
      <c r="W17" s="707"/>
      <c r="X17" s="707">
        <f>IF(dpSales_Adjustment_4="Construction Quality",IF(AND(F17=Subject_ConstructionClass,G$14=Subject_ConstructionQuality),1,0),IF(AND(F17=Subject_InvestmentClass,G$14=Subject_ConstructionQuality),1,0))</f>
        <v>0</v>
      </c>
      <c r="Y17" s="707">
        <f>IF(dpSales_Adjustment_4="Construction Quality",IF(OR(ISERROR(HLOOKUP(Y$8,'Improved Sales Adjustments'!$G$7:$ZO$147,77,FALSE)),ISERROR(HLOOKUP(Y$8,'Improved Sales Adjustments'!$G$7:$ZO$147,78,FALSE))),0,IF(HLOOKUP(Y$8,'Improved Sales Adjustments'!$G$7:$ZO$147,77,FALSE)="",0,IF(AND($G14=HLOOKUP(Y$8,'Improved Sales Adjustments'!$G$7:$ZO$147,77,FALSE),$F17=HLOOKUP(Y$8,'Improved Sales Adjustments'!$G$7:$ZO$147,78,FALSE)),1,0))),IF(OR(ISERROR(HLOOKUP(Y$8,'Improved Sales Adjustments'!$G$7:$ZO$147,77,FALSE)),ISERROR(HLOOKUP(Y$8,'Improved Sales Adjustments'!$G$7:$ZO$147,79,FALSE))),0,IF(HLOOKUP(Y$8,'Improved Sales Adjustments'!$G$7:$ZO$147,77,FALSE)="",0,IF(AND($G14=HLOOKUP(Y$8,'Improved Sales Adjustments'!$G$7:$ZO$147,77,FALSE),$F17=HLOOKUP(Y$8,'Improved Sales Adjustments'!$G$7:$ZO$147,79,FALSE)),1,0))))</f>
        <v>0</v>
      </c>
      <c r="Z17" s="707">
        <f>IF(dpSales_Adjustment_4="Construction Quality",IF(OR(ISERROR(HLOOKUP(Z$8,'Improved Sales Adjustments'!$G$7:$ZO$147,77,FALSE)),ISERROR(HLOOKUP(Z$8,'Improved Sales Adjustments'!$G$7:$ZO$147,78,FALSE))),0,IF(HLOOKUP(Z$8,'Improved Sales Adjustments'!$G$7:$ZO$147,77,FALSE)="",0,IF(AND($G14=HLOOKUP(Z$8,'Improved Sales Adjustments'!$G$7:$ZO$147,77,FALSE),$F17=HLOOKUP(Z$8,'Improved Sales Adjustments'!$G$7:$ZO$147,78,FALSE)),1,0))),IF(OR(ISERROR(HLOOKUP(Z$8,'Improved Sales Adjustments'!$G$7:$ZO$147,77,FALSE)),ISERROR(HLOOKUP(Z$8,'Improved Sales Adjustments'!$G$7:$ZO$147,79,FALSE))),0,IF(HLOOKUP(Z$8,'Improved Sales Adjustments'!$G$7:$ZO$147,77,FALSE)="",0,IF(AND($G14=HLOOKUP(Z$8,'Improved Sales Adjustments'!$G$7:$ZO$147,77,FALSE),$F17=HLOOKUP(Z$8,'Improved Sales Adjustments'!$G$7:$ZO$147,79,FALSE)),1,0))))</f>
        <v>0</v>
      </c>
      <c r="AA17" s="707">
        <f>IF(dpSales_Adjustment_4="Construction Quality",IF(OR(ISERROR(HLOOKUP(AA$8,'Improved Sales Adjustments'!$G$7:$ZO$147,77,FALSE)),ISERROR(HLOOKUP(AA$8,'Improved Sales Adjustments'!$G$7:$ZO$147,78,FALSE))),0,IF(HLOOKUP(AA$8,'Improved Sales Adjustments'!$G$7:$ZO$147,77,FALSE)="",0,IF(AND($G14=HLOOKUP(AA$8,'Improved Sales Adjustments'!$G$7:$ZO$147,77,FALSE),$F17=HLOOKUP(AA$8,'Improved Sales Adjustments'!$G$7:$ZO$147,78,FALSE)),1,0))),IF(OR(ISERROR(HLOOKUP(AA$8,'Improved Sales Adjustments'!$G$7:$ZO$147,77,FALSE)),ISERROR(HLOOKUP(AA$8,'Improved Sales Adjustments'!$G$7:$ZO$147,79,FALSE))),0,IF(HLOOKUP(AA$8,'Improved Sales Adjustments'!$G$7:$ZO$147,77,FALSE)="",0,IF(AND($G14=HLOOKUP(AA$8,'Improved Sales Adjustments'!$G$7:$ZO$147,77,FALSE),$F17=HLOOKUP(AA$8,'Improved Sales Adjustments'!$G$7:$ZO$147,79,FALSE)),1,0))))</f>
        <v>0</v>
      </c>
      <c r="AB17" s="707">
        <f>IF(dpSales_Adjustment_4="Construction Quality",IF(OR(ISERROR(HLOOKUP(AB$8,'Improved Sales Adjustments'!$G$7:$ZO$147,77,FALSE)),ISERROR(HLOOKUP(AB$8,'Improved Sales Adjustments'!$G$7:$ZO$147,78,FALSE))),0,IF(HLOOKUP(AB$8,'Improved Sales Adjustments'!$G$7:$ZO$147,77,FALSE)="",0,IF(AND($G14=HLOOKUP(AB$8,'Improved Sales Adjustments'!$G$7:$ZO$147,77,FALSE),$F17=HLOOKUP(AB$8,'Improved Sales Adjustments'!$G$7:$ZO$147,78,FALSE)),1,0))),IF(OR(ISERROR(HLOOKUP(AB$8,'Improved Sales Adjustments'!$G$7:$ZO$147,77,FALSE)),ISERROR(HLOOKUP(AB$8,'Improved Sales Adjustments'!$G$7:$ZO$147,79,FALSE))),0,IF(HLOOKUP(AB$8,'Improved Sales Adjustments'!$G$7:$ZO$147,77,FALSE)="",0,IF(AND($G14=HLOOKUP(AB$8,'Improved Sales Adjustments'!$G$7:$ZO$147,77,FALSE),$F17=HLOOKUP(AB$8,'Improved Sales Adjustments'!$G$7:$ZO$147,79,FALSE)),1,0))))</f>
        <v>0</v>
      </c>
      <c r="AC17" s="707">
        <f>IF(dpSales_Adjustment_4="Construction Quality",IF(OR(ISERROR(HLOOKUP(AC$8,'Improved Sales Adjustments'!$G$7:$ZO$147,77,FALSE)),ISERROR(HLOOKUP(AC$8,'Improved Sales Adjustments'!$G$7:$ZO$147,78,FALSE))),0,IF(HLOOKUP(AC$8,'Improved Sales Adjustments'!$G$7:$ZO$147,77,FALSE)="",0,IF(AND($G14=HLOOKUP(AC$8,'Improved Sales Adjustments'!$G$7:$ZO$147,77,FALSE),$F17=HLOOKUP(AC$8,'Improved Sales Adjustments'!$G$7:$ZO$147,78,FALSE)),1,0))),IF(OR(ISERROR(HLOOKUP(AC$8,'Improved Sales Adjustments'!$G$7:$ZO$147,77,FALSE)),ISERROR(HLOOKUP(AC$8,'Improved Sales Adjustments'!$G$7:$ZO$147,79,FALSE))),0,IF(HLOOKUP(AC$8,'Improved Sales Adjustments'!$G$7:$ZO$147,77,FALSE)="",0,IF(AND($G14=HLOOKUP(AC$8,'Improved Sales Adjustments'!$G$7:$ZO$147,77,FALSE),$F17=HLOOKUP(AC$8,'Improved Sales Adjustments'!$G$7:$ZO$147,79,FALSE)),1,0))))</f>
        <v>0</v>
      </c>
      <c r="AD17" s="707">
        <f>IF(dpSales_Adjustment_4="Construction Quality",IF(OR(ISERROR(HLOOKUP(AD$8,'Improved Sales Adjustments'!$G$7:$ZO$147,77,FALSE)),ISERROR(HLOOKUP(AD$8,'Improved Sales Adjustments'!$G$7:$ZO$147,78,FALSE))),0,IF(HLOOKUP(AD$8,'Improved Sales Adjustments'!$G$7:$ZO$147,77,FALSE)="",0,IF(AND($G14=HLOOKUP(AD$8,'Improved Sales Adjustments'!$G$7:$ZO$147,77,FALSE),$F17=HLOOKUP(AD$8,'Improved Sales Adjustments'!$G$7:$ZO$147,78,FALSE)),1,0))),IF(OR(ISERROR(HLOOKUP(AD$8,'Improved Sales Adjustments'!$G$7:$ZO$147,77,FALSE)),ISERROR(HLOOKUP(AD$8,'Improved Sales Adjustments'!$G$7:$ZO$147,79,FALSE))),0,IF(HLOOKUP(AD$8,'Improved Sales Adjustments'!$G$7:$ZO$147,77,FALSE)="",0,IF(AND($G14=HLOOKUP(AD$8,'Improved Sales Adjustments'!$G$7:$ZO$147,77,FALSE),$F17=HLOOKUP(AD$8,'Improved Sales Adjustments'!$G$7:$ZO$147,79,FALSE)),1,0))))</f>
        <v>0</v>
      </c>
      <c r="AE17" s="707">
        <f>IF(dpSales_Adjustment_4="Construction Quality",IF(OR(ISERROR(HLOOKUP(AE$8,'Improved Sales Adjustments'!$G$7:$ZO$147,77,FALSE)),ISERROR(HLOOKUP(AE$8,'Improved Sales Adjustments'!$G$7:$ZO$147,78,FALSE))),0,IF(HLOOKUP(AE$8,'Improved Sales Adjustments'!$G$7:$ZO$147,77,FALSE)="",0,IF(AND($G14=HLOOKUP(AE$8,'Improved Sales Adjustments'!$G$7:$ZO$147,77,FALSE),$F17=HLOOKUP(AE$8,'Improved Sales Adjustments'!$G$7:$ZO$147,78,FALSE)),1,0))),IF(OR(ISERROR(HLOOKUP(AE$8,'Improved Sales Adjustments'!$G$7:$ZO$147,77,FALSE)),ISERROR(HLOOKUP(AE$8,'Improved Sales Adjustments'!$G$7:$ZO$147,79,FALSE))),0,IF(HLOOKUP(AE$8,'Improved Sales Adjustments'!$G$7:$ZO$147,77,FALSE)="",0,IF(AND($G14=HLOOKUP(AE$8,'Improved Sales Adjustments'!$G$7:$ZO$147,77,FALSE),$F17=HLOOKUP(AE$8,'Improved Sales Adjustments'!$G$7:$ZO$147,79,FALSE)),1,0))))</f>
        <v>0</v>
      </c>
      <c r="AF17" s="707">
        <f>IF(dpSales_Adjustment_4="Construction Quality",IF(OR(ISERROR(HLOOKUP(AF$8,'Improved Sales Adjustments'!$G$7:$ZO$147,77,FALSE)),ISERROR(HLOOKUP(AF$8,'Improved Sales Adjustments'!$G$7:$ZO$147,78,FALSE))),0,IF(HLOOKUP(AF$8,'Improved Sales Adjustments'!$G$7:$ZO$147,77,FALSE)="",0,IF(AND($G14=HLOOKUP(AF$8,'Improved Sales Adjustments'!$G$7:$ZO$147,77,FALSE),$F17=HLOOKUP(AF$8,'Improved Sales Adjustments'!$G$7:$ZO$147,78,FALSE)),1,0))),IF(OR(ISERROR(HLOOKUP(AF$8,'Improved Sales Adjustments'!$G$7:$ZO$147,77,FALSE)),ISERROR(HLOOKUP(AF$8,'Improved Sales Adjustments'!$G$7:$ZO$147,79,FALSE))),0,IF(HLOOKUP(AF$8,'Improved Sales Adjustments'!$G$7:$ZO$147,77,FALSE)="",0,IF(AND($G14=HLOOKUP(AF$8,'Improved Sales Adjustments'!$G$7:$ZO$147,77,FALSE),$F17=HLOOKUP(AF$8,'Improved Sales Adjustments'!$G$7:$ZO$147,79,FALSE)),1,0))))</f>
        <v>0</v>
      </c>
      <c r="AG17" s="707">
        <f>IF(dpSales_Adjustment_4="Construction Quality",IF(OR(ISERROR(HLOOKUP(AG$8,'Improved Sales Adjustments'!$G$7:$ZO$147,77,FALSE)),ISERROR(HLOOKUP(AG$8,'Improved Sales Adjustments'!$G$7:$ZO$147,78,FALSE))),0,IF(HLOOKUP(AG$8,'Improved Sales Adjustments'!$G$7:$ZO$147,77,FALSE)="",0,IF(AND($G14=HLOOKUP(AG$8,'Improved Sales Adjustments'!$G$7:$ZO$147,77,FALSE),$F17=HLOOKUP(AG$8,'Improved Sales Adjustments'!$G$7:$ZO$147,78,FALSE)),1,0))),IF(OR(ISERROR(HLOOKUP(AG$8,'Improved Sales Adjustments'!$G$7:$ZO$147,77,FALSE)),ISERROR(HLOOKUP(AG$8,'Improved Sales Adjustments'!$G$7:$ZO$147,79,FALSE))),0,IF(HLOOKUP(AG$8,'Improved Sales Adjustments'!$G$7:$ZO$147,77,FALSE)="",0,IF(AND($G14=HLOOKUP(AG$8,'Improved Sales Adjustments'!$G$7:$ZO$147,77,FALSE),$F17=HLOOKUP(AG$8,'Improved Sales Adjustments'!$G$7:$ZO$147,79,FALSE)),1,0))))</f>
        <v>0</v>
      </c>
      <c r="AH17" s="707">
        <f>IF(dpSales_Adjustment_4="Construction Quality",IF(OR(ISERROR(HLOOKUP(AH$8,'Improved Sales Adjustments'!$G$7:$ZO$147,77,FALSE)),ISERROR(HLOOKUP(AH$8,'Improved Sales Adjustments'!$G$7:$ZO$147,78,FALSE))),0,IF(HLOOKUP(AH$8,'Improved Sales Adjustments'!$G$7:$ZO$147,77,FALSE)="",0,IF(AND($G14=HLOOKUP(AH$8,'Improved Sales Adjustments'!$G$7:$ZO$147,77,FALSE),$F17=HLOOKUP(AH$8,'Improved Sales Adjustments'!$G$7:$ZO$147,78,FALSE)),1,0))),IF(OR(ISERROR(HLOOKUP(AH$8,'Improved Sales Adjustments'!$G$7:$ZO$147,77,FALSE)),ISERROR(HLOOKUP(AH$8,'Improved Sales Adjustments'!$G$7:$ZO$147,79,FALSE))),0,IF(HLOOKUP(AH$8,'Improved Sales Adjustments'!$G$7:$ZO$147,77,FALSE)="",0,IF(AND($G14=HLOOKUP(AH$8,'Improved Sales Adjustments'!$G$7:$ZO$147,77,FALSE),$F17=HLOOKUP(AH$8,'Improved Sales Adjustments'!$G$7:$ZO$147,79,FALSE)),1,0))))</f>
        <v>0</v>
      </c>
      <c r="AI17" s="707">
        <f>SUM(X17:$X17)</f>
        <v>0</v>
      </c>
      <c r="AJ17" s="707">
        <f>SUM($X17:Y17)</f>
        <v>0</v>
      </c>
      <c r="AK17" s="707">
        <f>SUM($X17:Z17)</f>
        <v>0</v>
      </c>
      <c r="AL17" s="707">
        <f>SUM($X17:AA17)</f>
        <v>0</v>
      </c>
      <c r="AM17" s="707">
        <f>SUM($X17:AB17)</f>
        <v>0</v>
      </c>
      <c r="AN17" s="707">
        <f>SUM($X17:AC17)</f>
        <v>0</v>
      </c>
      <c r="AO17" s="707">
        <f>SUM($X17:AD17)</f>
        <v>0</v>
      </c>
      <c r="AP17" s="707">
        <f>SUM($X17:AE17)</f>
        <v>0</v>
      </c>
      <c r="AQ17" s="707">
        <f>SUM($X17:AF17)</f>
        <v>0</v>
      </c>
      <c r="AR17" s="707">
        <f>SUM($X17:AG17)</f>
        <v>0</v>
      </c>
      <c r="AS17" s="707">
        <f>SUM($X17:AH17)</f>
        <v>0</v>
      </c>
      <c r="AT17" s="707" t="str">
        <f t="shared" si="7"/>
        <v/>
      </c>
      <c r="AU17" s="707" t="str">
        <f t="shared" si="8"/>
        <v/>
      </c>
      <c r="AV17" s="707" t="str">
        <f t="shared" si="9"/>
        <v/>
      </c>
      <c r="AW17" s="707" t="str">
        <f t="shared" si="10"/>
        <v/>
      </c>
      <c r="AX17" s="707" t="str">
        <f t="shared" si="11"/>
        <v/>
      </c>
      <c r="AY17" s="707" t="str">
        <f t="shared" si="12"/>
        <v/>
      </c>
      <c r="AZ17" s="707" t="str">
        <f t="shared" si="13"/>
        <v/>
      </c>
      <c r="BA17" s="707" t="str">
        <f t="shared" si="14"/>
        <v/>
      </c>
      <c r="BB17" s="707" t="str">
        <f t="shared" si="15"/>
        <v/>
      </c>
      <c r="BC17" s="707" t="str">
        <f t="shared" si="16"/>
        <v/>
      </c>
      <c r="BD17" s="707" t="str">
        <f t="shared" si="17"/>
        <v/>
      </c>
    </row>
    <row r="18" spans="1:56" ht="69.95" customHeight="1" x14ac:dyDescent="0.25">
      <c r="A18" s="972">
        <f t="shared" si="6"/>
        <v>0</v>
      </c>
      <c r="B18" s="4"/>
      <c r="C18" s="101"/>
      <c r="D18" s="4186" t="str">
        <f t="shared" si="3"/>
        <v/>
      </c>
      <c r="E18" s="4186"/>
      <c r="F18" s="4071" t="str">
        <f>IF(dpSales_Adjustment_4="Construction Quality","S - Steel Frame","")</f>
        <v>S - Steel Frame</v>
      </c>
      <c r="G18" s="4208"/>
      <c r="H18" s="4211"/>
      <c r="I18" s="4211"/>
      <c r="J18" s="4211"/>
      <c r="K18" s="4211"/>
      <c r="L18" s="4072" t="str">
        <f t="shared" si="4"/>
        <v/>
      </c>
      <c r="M18" s="4194"/>
      <c r="N18" s="4191"/>
      <c r="O18" s="4191"/>
      <c r="P18" s="4073" t="str">
        <f>IFERROR(L18+M14,"")</f>
        <v/>
      </c>
      <c r="Q18" s="4070"/>
      <c r="R18" s="2086"/>
      <c r="S18" s="707"/>
      <c r="T18" s="707"/>
      <c r="U18" s="2089">
        <f t="shared" si="18"/>
        <v>0</v>
      </c>
      <c r="V18" s="2089" t="str">
        <f t="shared" si="18"/>
        <v/>
      </c>
      <c r="W18" s="2089"/>
      <c r="X18" s="2089">
        <f>IF(dpSales_Adjustment_4="Construction Quality",IF(AND(F18=Subject_ConstructionClass,G$14=Subject_ConstructionQuality),1,0),IF(AND(F18=Subject_InvestmentClass,G$14=Subject_ConstructionQuality),1,0))</f>
        <v>0</v>
      </c>
      <c r="Y18" s="2089">
        <f>IF(dpSales_Adjustment_4="Construction Quality",IF(OR(ISERROR(HLOOKUP(Y$8,'Improved Sales Adjustments'!$G$7:$ZO$147,77,FALSE)),ISERROR(HLOOKUP(Y$8,'Improved Sales Adjustments'!$G$7:$ZO$147,78,FALSE))),0,IF(HLOOKUP(Y$8,'Improved Sales Adjustments'!$G$7:$ZO$147,77,FALSE)="",0,IF(AND($G14=HLOOKUP(Y$8,'Improved Sales Adjustments'!$G$7:$ZO$147,77,FALSE),$F18=HLOOKUP(Y$8,'Improved Sales Adjustments'!$G$7:$ZO$147,78,FALSE)),1,0))),IF(OR(ISERROR(HLOOKUP(Y$8,'Improved Sales Adjustments'!$G$7:$ZO$147,77,FALSE)),ISERROR(HLOOKUP(Y$8,'Improved Sales Adjustments'!$G$7:$ZO$147,79,FALSE))),0,IF(HLOOKUP(Y$8,'Improved Sales Adjustments'!$G$7:$ZO$147,77,FALSE)="",0,IF(AND($G14=HLOOKUP(Y$8,'Improved Sales Adjustments'!$G$7:$ZO$147,77,FALSE),$F18=HLOOKUP(Y$8,'Improved Sales Adjustments'!$G$7:$ZO$147,79,FALSE)),1,0))))</f>
        <v>0</v>
      </c>
      <c r="Z18" s="2089">
        <f>IF(dpSales_Adjustment_4="Construction Quality",IF(OR(ISERROR(HLOOKUP(Z$8,'Improved Sales Adjustments'!$G$7:$ZO$147,77,FALSE)),ISERROR(HLOOKUP(Z$8,'Improved Sales Adjustments'!$G$7:$ZO$147,78,FALSE))),0,IF(HLOOKUP(Z$8,'Improved Sales Adjustments'!$G$7:$ZO$147,77,FALSE)="",0,IF(AND($G14=HLOOKUP(Z$8,'Improved Sales Adjustments'!$G$7:$ZO$147,77,FALSE),$F18=HLOOKUP(Z$8,'Improved Sales Adjustments'!$G$7:$ZO$147,78,FALSE)),1,0))),IF(OR(ISERROR(HLOOKUP(Z$8,'Improved Sales Adjustments'!$G$7:$ZO$147,77,FALSE)),ISERROR(HLOOKUP(Z$8,'Improved Sales Adjustments'!$G$7:$ZO$147,79,FALSE))),0,IF(HLOOKUP(Z$8,'Improved Sales Adjustments'!$G$7:$ZO$147,77,FALSE)="",0,IF(AND($G14=HLOOKUP(Z$8,'Improved Sales Adjustments'!$G$7:$ZO$147,77,FALSE),$F18=HLOOKUP(Z$8,'Improved Sales Adjustments'!$G$7:$ZO$147,79,FALSE)),1,0))))</f>
        <v>0</v>
      </c>
      <c r="AA18" s="2089">
        <f>IF(dpSales_Adjustment_4="Construction Quality",IF(OR(ISERROR(HLOOKUP(AA$8,'Improved Sales Adjustments'!$G$7:$ZO$147,77,FALSE)),ISERROR(HLOOKUP(AA$8,'Improved Sales Adjustments'!$G$7:$ZO$147,78,FALSE))),0,IF(HLOOKUP(AA$8,'Improved Sales Adjustments'!$G$7:$ZO$147,77,FALSE)="",0,IF(AND($G14=HLOOKUP(AA$8,'Improved Sales Adjustments'!$G$7:$ZO$147,77,FALSE),$F18=HLOOKUP(AA$8,'Improved Sales Adjustments'!$G$7:$ZO$147,78,FALSE)),1,0))),IF(OR(ISERROR(HLOOKUP(AA$8,'Improved Sales Adjustments'!$G$7:$ZO$147,77,FALSE)),ISERROR(HLOOKUP(AA$8,'Improved Sales Adjustments'!$G$7:$ZO$147,79,FALSE))),0,IF(HLOOKUP(AA$8,'Improved Sales Adjustments'!$G$7:$ZO$147,77,FALSE)="",0,IF(AND($G14=HLOOKUP(AA$8,'Improved Sales Adjustments'!$G$7:$ZO$147,77,FALSE),$F18=HLOOKUP(AA$8,'Improved Sales Adjustments'!$G$7:$ZO$147,79,FALSE)),1,0))))</f>
        <v>0</v>
      </c>
      <c r="AB18" s="2089">
        <f>IF(dpSales_Adjustment_4="Construction Quality",IF(OR(ISERROR(HLOOKUP(AB$8,'Improved Sales Adjustments'!$G$7:$ZO$147,77,FALSE)),ISERROR(HLOOKUP(AB$8,'Improved Sales Adjustments'!$G$7:$ZO$147,78,FALSE))),0,IF(HLOOKUP(AB$8,'Improved Sales Adjustments'!$G$7:$ZO$147,77,FALSE)="",0,IF(AND($G14=HLOOKUP(AB$8,'Improved Sales Adjustments'!$G$7:$ZO$147,77,FALSE),$F18=HLOOKUP(AB$8,'Improved Sales Adjustments'!$G$7:$ZO$147,78,FALSE)),1,0))),IF(OR(ISERROR(HLOOKUP(AB$8,'Improved Sales Adjustments'!$G$7:$ZO$147,77,FALSE)),ISERROR(HLOOKUP(AB$8,'Improved Sales Adjustments'!$G$7:$ZO$147,79,FALSE))),0,IF(HLOOKUP(AB$8,'Improved Sales Adjustments'!$G$7:$ZO$147,77,FALSE)="",0,IF(AND($G14=HLOOKUP(AB$8,'Improved Sales Adjustments'!$G$7:$ZO$147,77,FALSE),$F18=HLOOKUP(AB$8,'Improved Sales Adjustments'!$G$7:$ZO$147,79,FALSE)),1,0))))</f>
        <v>0</v>
      </c>
      <c r="AC18" s="2089">
        <f>IF(dpSales_Adjustment_4="Construction Quality",IF(OR(ISERROR(HLOOKUP(AC$8,'Improved Sales Adjustments'!$G$7:$ZO$147,77,FALSE)),ISERROR(HLOOKUP(AC$8,'Improved Sales Adjustments'!$G$7:$ZO$147,78,FALSE))),0,IF(HLOOKUP(AC$8,'Improved Sales Adjustments'!$G$7:$ZO$147,77,FALSE)="",0,IF(AND($G14=HLOOKUP(AC$8,'Improved Sales Adjustments'!$G$7:$ZO$147,77,FALSE),$F18=HLOOKUP(AC$8,'Improved Sales Adjustments'!$G$7:$ZO$147,78,FALSE)),1,0))),IF(OR(ISERROR(HLOOKUP(AC$8,'Improved Sales Adjustments'!$G$7:$ZO$147,77,FALSE)),ISERROR(HLOOKUP(AC$8,'Improved Sales Adjustments'!$G$7:$ZO$147,79,FALSE))),0,IF(HLOOKUP(AC$8,'Improved Sales Adjustments'!$G$7:$ZO$147,77,FALSE)="",0,IF(AND($G14=HLOOKUP(AC$8,'Improved Sales Adjustments'!$G$7:$ZO$147,77,FALSE),$F18=HLOOKUP(AC$8,'Improved Sales Adjustments'!$G$7:$ZO$147,79,FALSE)),1,0))))</f>
        <v>0</v>
      </c>
      <c r="AD18" s="2089">
        <f>IF(dpSales_Adjustment_4="Construction Quality",IF(OR(ISERROR(HLOOKUP(AD$8,'Improved Sales Adjustments'!$G$7:$ZO$147,77,FALSE)),ISERROR(HLOOKUP(AD$8,'Improved Sales Adjustments'!$G$7:$ZO$147,78,FALSE))),0,IF(HLOOKUP(AD$8,'Improved Sales Adjustments'!$G$7:$ZO$147,77,FALSE)="",0,IF(AND($G14=HLOOKUP(AD$8,'Improved Sales Adjustments'!$G$7:$ZO$147,77,FALSE),$F18=HLOOKUP(AD$8,'Improved Sales Adjustments'!$G$7:$ZO$147,78,FALSE)),1,0))),IF(OR(ISERROR(HLOOKUP(AD$8,'Improved Sales Adjustments'!$G$7:$ZO$147,77,FALSE)),ISERROR(HLOOKUP(AD$8,'Improved Sales Adjustments'!$G$7:$ZO$147,79,FALSE))),0,IF(HLOOKUP(AD$8,'Improved Sales Adjustments'!$G$7:$ZO$147,77,FALSE)="",0,IF(AND($G14=HLOOKUP(AD$8,'Improved Sales Adjustments'!$G$7:$ZO$147,77,FALSE),$F18=HLOOKUP(AD$8,'Improved Sales Adjustments'!$G$7:$ZO$147,79,FALSE)),1,0))))</f>
        <v>0</v>
      </c>
      <c r="AE18" s="2089">
        <f>IF(dpSales_Adjustment_4="Construction Quality",IF(OR(ISERROR(HLOOKUP(AE$8,'Improved Sales Adjustments'!$G$7:$ZO$147,77,FALSE)),ISERROR(HLOOKUP(AE$8,'Improved Sales Adjustments'!$G$7:$ZO$147,78,FALSE))),0,IF(HLOOKUP(AE$8,'Improved Sales Adjustments'!$G$7:$ZO$147,77,FALSE)="",0,IF(AND($G14=HLOOKUP(AE$8,'Improved Sales Adjustments'!$G$7:$ZO$147,77,FALSE),$F18=HLOOKUP(AE$8,'Improved Sales Adjustments'!$G$7:$ZO$147,78,FALSE)),1,0))),IF(OR(ISERROR(HLOOKUP(AE$8,'Improved Sales Adjustments'!$G$7:$ZO$147,77,FALSE)),ISERROR(HLOOKUP(AE$8,'Improved Sales Adjustments'!$G$7:$ZO$147,79,FALSE))),0,IF(HLOOKUP(AE$8,'Improved Sales Adjustments'!$G$7:$ZO$147,77,FALSE)="",0,IF(AND($G14=HLOOKUP(AE$8,'Improved Sales Adjustments'!$G$7:$ZO$147,77,FALSE),$F18=HLOOKUP(AE$8,'Improved Sales Adjustments'!$G$7:$ZO$147,79,FALSE)),1,0))))</f>
        <v>0</v>
      </c>
      <c r="AF18" s="2089">
        <f>IF(dpSales_Adjustment_4="Construction Quality",IF(OR(ISERROR(HLOOKUP(AF$8,'Improved Sales Adjustments'!$G$7:$ZO$147,77,FALSE)),ISERROR(HLOOKUP(AF$8,'Improved Sales Adjustments'!$G$7:$ZO$147,78,FALSE))),0,IF(HLOOKUP(AF$8,'Improved Sales Adjustments'!$G$7:$ZO$147,77,FALSE)="",0,IF(AND($G14=HLOOKUP(AF$8,'Improved Sales Adjustments'!$G$7:$ZO$147,77,FALSE),$F18=HLOOKUP(AF$8,'Improved Sales Adjustments'!$G$7:$ZO$147,78,FALSE)),1,0))),IF(OR(ISERROR(HLOOKUP(AF$8,'Improved Sales Adjustments'!$G$7:$ZO$147,77,FALSE)),ISERROR(HLOOKUP(AF$8,'Improved Sales Adjustments'!$G$7:$ZO$147,79,FALSE))),0,IF(HLOOKUP(AF$8,'Improved Sales Adjustments'!$G$7:$ZO$147,77,FALSE)="",0,IF(AND($G14=HLOOKUP(AF$8,'Improved Sales Adjustments'!$G$7:$ZO$147,77,FALSE),$F18=HLOOKUP(AF$8,'Improved Sales Adjustments'!$G$7:$ZO$147,79,FALSE)),1,0))))</f>
        <v>0</v>
      </c>
      <c r="AG18" s="2089">
        <f>IF(dpSales_Adjustment_4="Construction Quality",IF(OR(ISERROR(HLOOKUP(AG$8,'Improved Sales Adjustments'!$G$7:$ZO$147,77,FALSE)),ISERROR(HLOOKUP(AG$8,'Improved Sales Adjustments'!$G$7:$ZO$147,78,FALSE))),0,IF(HLOOKUP(AG$8,'Improved Sales Adjustments'!$G$7:$ZO$147,77,FALSE)="",0,IF(AND($G14=HLOOKUP(AG$8,'Improved Sales Adjustments'!$G$7:$ZO$147,77,FALSE),$F18=HLOOKUP(AG$8,'Improved Sales Adjustments'!$G$7:$ZO$147,78,FALSE)),1,0))),IF(OR(ISERROR(HLOOKUP(AG$8,'Improved Sales Adjustments'!$G$7:$ZO$147,77,FALSE)),ISERROR(HLOOKUP(AG$8,'Improved Sales Adjustments'!$G$7:$ZO$147,79,FALSE))),0,IF(HLOOKUP(AG$8,'Improved Sales Adjustments'!$G$7:$ZO$147,77,FALSE)="",0,IF(AND($G14=HLOOKUP(AG$8,'Improved Sales Adjustments'!$G$7:$ZO$147,77,FALSE),$F18=HLOOKUP(AG$8,'Improved Sales Adjustments'!$G$7:$ZO$147,79,FALSE)),1,0))))</f>
        <v>0</v>
      </c>
      <c r="AH18" s="2089">
        <f>IF(dpSales_Adjustment_4="Construction Quality",IF(OR(ISERROR(HLOOKUP(AH$8,'Improved Sales Adjustments'!$G$7:$ZO$147,77,FALSE)),ISERROR(HLOOKUP(AH$8,'Improved Sales Adjustments'!$G$7:$ZO$147,78,FALSE))),0,IF(HLOOKUP(AH$8,'Improved Sales Adjustments'!$G$7:$ZO$147,77,FALSE)="",0,IF(AND($G14=HLOOKUP(AH$8,'Improved Sales Adjustments'!$G$7:$ZO$147,77,FALSE),$F18=HLOOKUP(AH$8,'Improved Sales Adjustments'!$G$7:$ZO$147,78,FALSE)),1,0))),IF(OR(ISERROR(HLOOKUP(AH$8,'Improved Sales Adjustments'!$G$7:$ZO$147,77,FALSE)),ISERROR(HLOOKUP(AH$8,'Improved Sales Adjustments'!$G$7:$ZO$147,79,FALSE))),0,IF(HLOOKUP(AH$8,'Improved Sales Adjustments'!$G$7:$ZO$147,77,FALSE)="",0,IF(AND($G14=HLOOKUP(AH$8,'Improved Sales Adjustments'!$G$7:$ZO$147,77,FALSE),$F18=HLOOKUP(AH$8,'Improved Sales Adjustments'!$G$7:$ZO$147,79,FALSE)),1,0))))</f>
        <v>0</v>
      </c>
      <c r="AI18" s="2089">
        <f>SUM(X18:$X18)</f>
        <v>0</v>
      </c>
      <c r="AJ18" s="2089">
        <f>SUM($X18:Y18)</f>
        <v>0</v>
      </c>
      <c r="AK18" s="2089">
        <f>SUM($X18:Z18)</f>
        <v>0</v>
      </c>
      <c r="AL18" s="2089">
        <f>SUM($X18:AA18)</f>
        <v>0</v>
      </c>
      <c r="AM18" s="2089">
        <f>SUM($X18:AB18)</f>
        <v>0</v>
      </c>
      <c r="AN18" s="2089">
        <f>SUM($X18:AC18)</f>
        <v>0</v>
      </c>
      <c r="AO18" s="2089">
        <f>SUM($X18:AD18)</f>
        <v>0</v>
      </c>
      <c r="AP18" s="2089">
        <f>SUM($X18:AE18)</f>
        <v>0</v>
      </c>
      <c r="AQ18" s="2089">
        <f>SUM($X18:AF18)</f>
        <v>0</v>
      </c>
      <c r="AR18" s="2089">
        <f>SUM($X18:AG18)</f>
        <v>0</v>
      </c>
      <c r="AS18" s="2089">
        <f>SUM($X18:AH18)</f>
        <v>0</v>
      </c>
      <c r="AT18" s="2089" t="str">
        <f t="shared" si="7"/>
        <v/>
      </c>
      <c r="AU18" s="2089" t="str">
        <f t="shared" si="8"/>
        <v/>
      </c>
      <c r="AV18" s="2089" t="str">
        <f t="shared" si="9"/>
        <v/>
      </c>
      <c r="AW18" s="2089" t="str">
        <f t="shared" si="10"/>
        <v/>
      </c>
      <c r="AX18" s="2089" t="str">
        <f t="shared" si="11"/>
        <v/>
      </c>
      <c r="AY18" s="2089" t="str">
        <f t="shared" si="12"/>
        <v/>
      </c>
      <c r="AZ18" s="2089" t="str">
        <f t="shared" si="13"/>
        <v/>
      </c>
      <c r="BA18" s="2089" t="str">
        <f t="shared" si="14"/>
        <v/>
      </c>
      <c r="BB18" s="2089" t="str">
        <f t="shared" si="15"/>
        <v/>
      </c>
      <c r="BC18" s="2089" t="str">
        <f t="shared" si="16"/>
        <v/>
      </c>
      <c r="BD18" s="2089" t="str">
        <f t="shared" si="17"/>
        <v/>
      </c>
    </row>
    <row r="19" spans="1:56" ht="69.95" customHeight="1" x14ac:dyDescent="0.25">
      <c r="A19" s="972">
        <f>IF(D19="",0,1)</f>
        <v>0</v>
      </c>
      <c r="B19" s="4"/>
      <c r="C19" s="101"/>
      <c r="D19" s="4185" t="str">
        <f t="shared" si="3"/>
        <v/>
      </c>
      <c r="E19" s="4185"/>
      <c r="F19" s="4067" t="str">
        <f>IF(dpSales_Adjustment_4="Construction Quality","A - Structural Steel","A")</f>
        <v>A - Structural Steel</v>
      </c>
      <c r="G19" s="4209" t="s">
        <v>1844</v>
      </c>
      <c r="H19" s="4210" t="s">
        <v>1846</v>
      </c>
      <c r="I19" s="4210"/>
      <c r="J19" s="4210"/>
      <c r="K19" s="4210"/>
      <c r="L19" s="4068" t="str">
        <f>IFERROR(dpSales_Quality_ClassAdj*V19,"")</f>
        <v/>
      </c>
      <c r="M19" s="4193">
        <f>dpSales_Quality_RatingAdj*W19</f>
        <v>-0.5</v>
      </c>
      <c r="N19" s="4190" t="s">
        <v>177</v>
      </c>
      <c r="O19" s="4190"/>
      <c r="P19" s="4069" t="str">
        <f>IFERROR(L19+M19,"")</f>
        <v/>
      </c>
      <c r="Q19" s="4070"/>
      <c r="R19" s="2086"/>
      <c r="S19" s="707"/>
      <c r="T19" s="707"/>
      <c r="U19" s="707">
        <f t="shared" si="18"/>
        <v>0</v>
      </c>
      <c r="V19" s="707" t="str">
        <f t="shared" si="18"/>
        <v/>
      </c>
      <c r="W19" s="707">
        <f>IF(SUM(X19:X23)=1,0,IF(SUM(X$9:X19)=0,W24-1,W14+1))</f>
        <v>-5</v>
      </c>
      <c r="X19" s="707">
        <f>IF(dpSales_Adjustment_4="Construction Quality",IF(AND(F19=Subject_ConstructionClass,G$19=Subject_ConstructionQuality),1,0),IF(AND(F19=Subject_InvestmentClass,G$19=Subject_ConstructionQuality),1,0))</f>
        <v>0</v>
      </c>
      <c r="Y19" s="707">
        <f>IF(dpSales_Adjustment_4="Construction Quality",IF(OR(ISERROR(HLOOKUP(Y$8,'Improved Sales Adjustments'!$G$7:$ZO$147,77,FALSE)),ISERROR(HLOOKUP(Y$8,'Improved Sales Adjustments'!$G$7:$ZO$147,78,FALSE))),0,IF(HLOOKUP(Y$8,'Improved Sales Adjustments'!$G$7:$ZO$147,77,FALSE)="",0,IF(AND($G19=HLOOKUP(Y$8,'Improved Sales Adjustments'!$G$7:$ZO$147,77,FALSE),$F19=HLOOKUP(Y$8,'Improved Sales Adjustments'!$G$7:$ZO$147,78,FALSE)),1,0))),IF(OR(ISERROR(HLOOKUP(Y$8,'Improved Sales Adjustments'!$G$7:$ZO$147,77,FALSE)),ISERROR(HLOOKUP(Y$8,'Improved Sales Adjustments'!$G$7:$ZO$147,79,FALSE))),0,IF(HLOOKUP(Y$8,'Improved Sales Adjustments'!$G$7:$ZO$147,77,FALSE)="",0,IF(AND($G19=HLOOKUP(Y$8,'Improved Sales Adjustments'!$G$7:$ZO$147,77,FALSE),$F19=HLOOKUP(Y$8,'Improved Sales Adjustments'!$G$7:$ZO$147,79,FALSE)),1,0))))</f>
        <v>0</v>
      </c>
      <c r="Z19" s="707">
        <f>IF(dpSales_Adjustment_4="Construction Quality",IF(OR(ISERROR(HLOOKUP(Z$8,'Improved Sales Adjustments'!$G$7:$ZO$147,77,FALSE)),ISERROR(HLOOKUP(Z$8,'Improved Sales Adjustments'!$G$7:$ZO$147,78,FALSE))),0,IF(HLOOKUP(Z$8,'Improved Sales Adjustments'!$G$7:$ZO$147,77,FALSE)="",0,IF(AND($G19=HLOOKUP(Z$8,'Improved Sales Adjustments'!$G$7:$ZO$147,77,FALSE),$F19=HLOOKUP(Z$8,'Improved Sales Adjustments'!$G$7:$ZO$147,78,FALSE)),1,0))),IF(OR(ISERROR(HLOOKUP(Z$8,'Improved Sales Adjustments'!$G$7:$ZO$147,77,FALSE)),ISERROR(HLOOKUP(Z$8,'Improved Sales Adjustments'!$G$7:$ZO$147,79,FALSE))),0,IF(HLOOKUP(Z$8,'Improved Sales Adjustments'!$G$7:$ZO$147,77,FALSE)="",0,IF(AND($G19=HLOOKUP(Z$8,'Improved Sales Adjustments'!$G$7:$ZO$147,77,FALSE),$F19=HLOOKUP(Z$8,'Improved Sales Adjustments'!$G$7:$ZO$147,79,FALSE)),1,0))))</f>
        <v>0</v>
      </c>
      <c r="AA19" s="707">
        <f>IF(dpSales_Adjustment_4="Construction Quality",IF(OR(ISERROR(HLOOKUP(AA$8,'Improved Sales Adjustments'!$G$7:$ZO$147,77,FALSE)),ISERROR(HLOOKUP(AA$8,'Improved Sales Adjustments'!$G$7:$ZO$147,78,FALSE))),0,IF(HLOOKUP(AA$8,'Improved Sales Adjustments'!$G$7:$ZO$147,77,FALSE)="",0,IF(AND($G19=HLOOKUP(AA$8,'Improved Sales Adjustments'!$G$7:$ZO$147,77,FALSE),$F19=HLOOKUP(AA$8,'Improved Sales Adjustments'!$G$7:$ZO$147,78,FALSE)),1,0))),IF(OR(ISERROR(HLOOKUP(AA$8,'Improved Sales Adjustments'!$G$7:$ZO$147,77,FALSE)),ISERROR(HLOOKUP(AA$8,'Improved Sales Adjustments'!$G$7:$ZO$147,79,FALSE))),0,IF(HLOOKUP(AA$8,'Improved Sales Adjustments'!$G$7:$ZO$147,77,FALSE)="",0,IF(AND($G19=HLOOKUP(AA$8,'Improved Sales Adjustments'!$G$7:$ZO$147,77,FALSE),$F19=HLOOKUP(AA$8,'Improved Sales Adjustments'!$G$7:$ZO$147,79,FALSE)),1,0))))</f>
        <v>0</v>
      </c>
      <c r="AB19" s="707">
        <f>IF(dpSales_Adjustment_4="Construction Quality",IF(OR(ISERROR(HLOOKUP(AB$8,'Improved Sales Adjustments'!$G$7:$ZO$147,77,FALSE)),ISERROR(HLOOKUP(AB$8,'Improved Sales Adjustments'!$G$7:$ZO$147,78,FALSE))),0,IF(HLOOKUP(AB$8,'Improved Sales Adjustments'!$G$7:$ZO$147,77,FALSE)="",0,IF(AND($G19=HLOOKUP(AB$8,'Improved Sales Adjustments'!$G$7:$ZO$147,77,FALSE),$F19=HLOOKUP(AB$8,'Improved Sales Adjustments'!$G$7:$ZO$147,78,FALSE)),1,0))),IF(OR(ISERROR(HLOOKUP(AB$8,'Improved Sales Adjustments'!$G$7:$ZO$147,77,FALSE)),ISERROR(HLOOKUP(AB$8,'Improved Sales Adjustments'!$G$7:$ZO$147,79,FALSE))),0,IF(HLOOKUP(AB$8,'Improved Sales Adjustments'!$G$7:$ZO$147,77,FALSE)="",0,IF(AND($G19=HLOOKUP(AB$8,'Improved Sales Adjustments'!$G$7:$ZO$147,77,FALSE),$F19=HLOOKUP(AB$8,'Improved Sales Adjustments'!$G$7:$ZO$147,79,FALSE)),1,0))))</f>
        <v>0</v>
      </c>
      <c r="AC19" s="707">
        <f>IF(dpSales_Adjustment_4="Construction Quality",IF(OR(ISERROR(HLOOKUP(AC$8,'Improved Sales Adjustments'!$G$7:$ZO$147,77,FALSE)),ISERROR(HLOOKUP(AC$8,'Improved Sales Adjustments'!$G$7:$ZO$147,78,FALSE))),0,IF(HLOOKUP(AC$8,'Improved Sales Adjustments'!$G$7:$ZO$147,77,FALSE)="",0,IF(AND($G19=HLOOKUP(AC$8,'Improved Sales Adjustments'!$G$7:$ZO$147,77,FALSE),$F19=HLOOKUP(AC$8,'Improved Sales Adjustments'!$G$7:$ZO$147,78,FALSE)),1,0))),IF(OR(ISERROR(HLOOKUP(AC$8,'Improved Sales Adjustments'!$G$7:$ZO$147,77,FALSE)),ISERROR(HLOOKUP(AC$8,'Improved Sales Adjustments'!$G$7:$ZO$147,79,FALSE))),0,IF(HLOOKUP(AC$8,'Improved Sales Adjustments'!$G$7:$ZO$147,77,FALSE)="",0,IF(AND($G19=HLOOKUP(AC$8,'Improved Sales Adjustments'!$G$7:$ZO$147,77,FALSE),$F19=HLOOKUP(AC$8,'Improved Sales Adjustments'!$G$7:$ZO$147,79,FALSE)),1,0))))</f>
        <v>0</v>
      </c>
      <c r="AD19" s="707">
        <f>IF(dpSales_Adjustment_4="Construction Quality",IF(OR(ISERROR(HLOOKUP(AD$8,'Improved Sales Adjustments'!$G$7:$ZO$147,77,FALSE)),ISERROR(HLOOKUP(AD$8,'Improved Sales Adjustments'!$G$7:$ZO$147,78,FALSE))),0,IF(HLOOKUP(AD$8,'Improved Sales Adjustments'!$G$7:$ZO$147,77,FALSE)="",0,IF(AND($G19=HLOOKUP(AD$8,'Improved Sales Adjustments'!$G$7:$ZO$147,77,FALSE),$F19=HLOOKUP(AD$8,'Improved Sales Adjustments'!$G$7:$ZO$147,78,FALSE)),1,0))),IF(OR(ISERROR(HLOOKUP(AD$8,'Improved Sales Adjustments'!$G$7:$ZO$147,77,FALSE)),ISERROR(HLOOKUP(AD$8,'Improved Sales Adjustments'!$G$7:$ZO$147,79,FALSE))),0,IF(HLOOKUP(AD$8,'Improved Sales Adjustments'!$G$7:$ZO$147,77,FALSE)="",0,IF(AND($G19=HLOOKUP(AD$8,'Improved Sales Adjustments'!$G$7:$ZO$147,77,FALSE),$F19=HLOOKUP(AD$8,'Improved Sales Adjustments'!$G$7:$ZO$147,79,FALSE)),1,0))))</f>
        <v>0</v>
      </c>
      <c r="AE19" s="707">
        <f>IF(dpSales_Adjustment_4="Construction Quality",IF(OR(ISERROR(HLOOKUP(AE$8,'Improved Sales Adjustments'!$G$7:$ZO$147,77,FALSE)),ISERROR(HLOOKUP(AE$8,'Improved Sales Adjustments'!$G$7:$ZO$147,78,FALSE))),0,IF(HLOOKUP(AE$8,'Improved Sales Adjustments'!$G$7:$ZO$147,77,FALSE)="",0,IF(AND($G19=HLOOKUP(AE$8,'Improved Sales Adjustments'!$G$7:$ZO$147,77,FALSE),$F19=HLOOKUP(AE$8,'Improved Sales Adjustments'!$G$7:$ZO$147,78,FALSE)),1,0))),IF(OR(ISERROR(HLOOKUP(AE$8,'Improved Sales Adjustments'!$G$7:$ZO$147,77,FALSE)),ISERROR(HLOOKUP(AE$8,'Improved Sales Adjustments'!$G$7:$ZO$147,79,FALSE))),0,IF(HLOOKUP(AE$8,'Improved Sales Adjustments'!$G$7:$ZO$147,77,FALSE)="",0,IF(AND($G19=HLOOKUP(AE$8,'Improved Sales Adjustments'!$G$7:$ZO$147,77,FALSE),$F19=HLOOKUP(AE$8,'Improved Sales Adjustments'!$G$7:$ZO$147,79,FALSE)),1,0))))</f>
        <v>0</v>
      </c>
      <c r="AF19" s="707">
        <f>IF(dpSales_Adjustment_4="Construction Quality",IF(OR(ISERROR(HLOOKUP(AF$8,'Improved Sales Adjustments'!$G$7:$ZO$147,77,FALSE)),ISERROR(HLOOKUP(AF$8,'Improved Sales Adjustments'!$G$7:$ZO$147,78,FALSE))),0,IF(HLOOKUP(AF$8,'Improved Sales Adjustments'!$G$7:$ZO$147,77,FALSE)="",0,IF(AND($G19=HLOOKUP(AF$8,'Improved Sales Adjustments'!$G$7:$ZO$147,77,FALSE),$F19=HLOOKUP(AF$8,'Improved Sales Adjustments'!$G$7:$ZO$147,78,FALSE)),1,0))),IF(OR(ISERROR(HLOOKUP(AF$8,'Improved Sales Adjustments'!$G$7:$ZO$147,77,FALSE)),ISERROR(HLOOKUP(AF$8,'Improved Sales Adjustments'!$G$7:$ZO$147,79,FALSE))),0,IF(HLOOKUP(AF$8,'Improved Sales Adjustments'!$G$7:$ZO$147,77,FALSE)="",0,IF(AND($G19=HLOOKUP(AF$8,'Improved Sales Adjustments'!$G$7:$ZO$147,77,FALSE),$F19=HLOOKUP(AF$8,'Improved Sales Adjustments'!$G$7:$ZO$147,79,FALSE)),1,0))))</f>
        <v>0</v>
      </c>
      <c r="AG19" s="707">
        <f>IF(dpSales_Adjustment_4="Construction Quality",IF(OR(ISERROR(HLOOKUP(AG$8,'Improved Sales Adjustments'!$G$7:$ZO$147,77,FALSE)),ISERROR(HLOOKUP(AG$8,'Improved Sales Adjustments'!$G$7:$ZO$147,78,FALSE))),0,IF(HLOOKUP(AG$8,'Improved Sales Adjustments'!$G$7:$ZO$147,77,FALSE)="",0,IF(AND($G19=HLOOKUP(AG$8,'Improved Sales Adjustments'!$G$7:$ZO$147,77,FALSE),$F19=HLOOKUP(AG$8,'Improved Sales Adjustments'!$G$7:$ZO$147,78,FALSE)),1,0))),IF(OR(ISERROR(HLOOKUP(AG$8,'Improved Sales Adjustments'!$G$7:$ZO$147,77,FALSE)),ISERROR(HLOOKUP(AG$8,'Improved Sales Adjustments'!$G$7:$ZO$147,79,FALSE))),0,IF(HLOOKUP(AG$8,'Improved Sales Adjustments'!$G$7:$ZO$147,77,FALSE)="",0,IF(AND($G19=HLOOKUP(AG$8,'Improved Sales Adjustments'!$G$7:$ZO$147,77,FALSE),$F19=HLOOKUP(AG$8,'Improved Sales Adjustments'!$G$7:$ZO$147,79,FALSE)),1,0))))</f>
        <v>0</v>
      </c>
      <c r="AH19" s="707">
        <f>IF(dpSales_Adjustment_4="Construction Quality",IF(OR(ISERROR(HLOOKUP(AH$8,'Improved Sales Adjustments'!$G$7:$ZO$147,77,FALSE)),ISERROR(HLOOKUP(AH$8,'Improved Sales Adjustments'!$G$7:$ZO$147,78,FALSE))),0,IF(HLOOKUP(AH$8,'Improved Sales Adjustments'!$G$7:$ZO$147,77,FALSE)="",0,IF(AND($G19=HLOOKUP(AH$8,'Improved Sales Adjustments'!$G$7:$ZO$147,77,FALSE),$F19=HLOOKUP(AH$8,'Improved Sales Adjustments'!$G$7:$ZO$147,78,FALSE)),1,0))),IF(OR(ISERROR(HLOOKUP(AH$8,'Improved Sales Adjustments'!$G$7:$ZO$147,77,FALSE)),ISERROR(HLOOKUP(AH$8,'Improved Sales Adjustments'!$G$7:$ZO$147,79,FALSE))),0,IF(HLOOKUP(AH$8,'Improved Sales Adjustments'!$G$7:$ZO$147,77,FALSE)="",0,IF(AND($G19=HLOOKUP(AH$8,'Improved Sales Adjustments'!$G$7:$ZO$147,77,FALSE),$F19=HLOOKUP(AH$8,'Improved Sales Adjustments'!$G$7:$ZO$147,79,FALSE)),1,0))))</f>
        <v>0</v>
      </c>
      <c r="AI19" s="707">
        <f>SUM(X19:$X19)</f>
        <v>0</v>
      </c>
      <c r="AJ19" s="707">
        <f>SUM($X19:Y19)</f>
        <v>0</v>
      </c>
      <c r="AK19" s="707">
        <f>SUM($X19:Z19)</f>
        <v>0</v>
      </c>
      <c r="AL19" s="707">
        <f>SUM($X19:AA19)</f>
        <v>0</v>
      </c>
      <c r="AM19" s="707">
        <f>SUM($X19:AB19)</f>
        <v>0</v>
      </c>
      <c r="AN19" s="707">
        <f>SUM($X19:AC19)</f>
        <v>0</v>
      </c>
      <c r="AO19" s="707">
        <f>SUM($X19:AD19)</f>
        <v>0</v>
      </c>
      <c r="AP19" s="707">
        <f>SUM($X19:AE19)</f>
        <v>0</v>
      </c>
      <c r="AQ19" s="707">
        <f>SUM($X19:AF19)</f>
        <v>0</v>
      </c>
      <c r="AR19" s="707">
        <f>SUM($X19:AG19)</f>
        <v>0</v>
      </c>
      <c r="AS19" s="707">
        <f>SUM($X19:AH19)</f>
        <v>0</v>
      </c>
      <c r="AT19" s="707" t="str">
        <f t="shared" ref="AT19:BD23" si="19">IF(X19=1,IF(AND(AI19=$AS19,$AS19&gt;1),IF($AS19&lt;3,CONCATENATE(" and ",AT$7),CONCATENATE("and ",AT$7)),IF($AS19&lt;3,AT$7,CONCATENATE(AT$7,", "))),"")</f>
        <v/>
      </c>
      <c r="AU19" s="707" t="str">
        <f t="shared" si="19"/>
        <v/>
      </c>
      <c r="AV19" s="707" t="str">
        <f t="shared" si="19"/>
        <v/>
      </c>
      <c r="AW19" s="707" t="str">
        <f t="shared" si="19"/>
        <v/>
      </c>
      <c r="AX19" s="707" t="str">
        <f t="shared" si="19"/>
        <v/>
      </c>
      <c r="AY19" s="707" t="str">
        <f t="shared" si="19"/>
        <v/>
      </c>
      <c r="AZ19" s="707" t="str">
        <f t="shared" si="19"/>
        <v/>
      </c>
      <c r="BA19" s="707" t="str">
        <f t="shared" si="19"/>
        <v/>
      </c>
      <c r="BB19" s="707" t="str">
        <f t="shared" si="19"/>
        <v/>
      </c>
      <c r="BC19" s="707" t="str">
        <f t="shared" si="19"/>
        <v/>
      </c>
      <c r="BD19" s="707" t="str">
        <f t="shared" si="19"/>
        <v/>
      </c>
    </row>
    <row r="20" spans="1:56" ht="69.95" customHeight="1" x14ac:dyDescent="0.25">
      <c r="A20" s="972">
        <f>IF(D20="",0,1)</f>
        <v>0</v>
      </c>
      <c r="B20" s="4"/>
      <c r="C20" s="101"/>
      <c r="D20" s="4185" t="str">
        <f t="shared" si="3"/>
        <v/>
      </c>
      <c r="E20" s="4185"/>
      <c r="F20" s="4067" t="str">
        <f>IF(dpSales_Adjustment_4="Construction Quality","B - Reinforced Concrete","B")</f>
        <v>B - Reinforced Concrete</v>
      </c>
      <c r="G20" s="4207"/>
      <c r="H20" s="4198"/>
      <c r="I20" s="4198"/>
      <c r="J20" s="4198"/>
      <c r="K20" s="4198"/>
      <c r="L20" s="4068" t="str">
        <f>IFERROR(dpSales_Quality_ClassAdj*V20,"")</f>
        <v/>
      </c>
      <c r="M20" s="4194"/>
      <c r="N20" s="4190"/>
      <c r="O20" s="4190"/>
      <c r="P20" s="4069" t="str">
        <f>IFERROR(L20+M19,"")</f>
        <v/>
      </c>
      <c r="Q20" s="4070"/>
      <c r="R20" s="2086"/>
      <c r="S20" s="707"/>
      <c r="T20" s="707"/>
      <c r="U20" s="707">
        <f t="shared" si="18"/>
        <v>0</v>
      </c>
      <c r="V20" s="707" t="str">
        <f t="shared" si="18"/>
        <v/>
      </c>
      <c r="W20" s="707"/>
      <c r="X20" s="707">
        <f>IF(dpSales_Adjustment_4="Construction Quality",IF(AND(F20=Subject_ConstructionClass,G$19=Subject_ConstructionQuality),1,0),IF(AND(F20=Subject_InvestmentClass,G$19=Subject_ConstructionQuality),1,0))</f>
        <v>0</v>
      </c>
      <c r="Y20" s="707">
        <f>IF(dpSales_Adjustment_4="Construction Quality",IF(OR(ISERROR(HLOOKUP(Y$8,'Improved Sales Adjustments'!$G$7:$ZO$147,77,FALSE)),ISERROR(HLOOKUP(Y$8,'Improved Sales Adjustments'!$G$7:$ZO$147,78,FALSE))),0,IF(HLOOKUP(Y$8,'Improved Sales Adjustments'!$G$7:$ZO$147,77,FALSE)="",0,IF(AND($G19=HLOOKUP(Y$8,'Improved Sales Adjustments'!$G$7:$ZO$147,77,FALSE),$F20=HLOOKUP(Y$8,'Improved Sales Adjustments'!$G$7:$ZO$147,78,FALSE)),1,0))),IF(OR(ISERROR(HLOOKUP(Y$8,'Improved Sales Adjustments'!$G$7:$ZO$147,77,FALSE)),ISERROR(HLOOKUP(Y$8,'Improved Sales Adjustments'!$G$7:$ZO$147,79,FALSE))),0,IF(HLOOKUP(Y$8,'Improved Sales Adjustments'!$G$7:$ZO$147,77,FALSE)="",0,IF(AND($G19=HLOOKUP(Y$8,'Improved Sales Adjustments'!$G$7:$ZO$147,77,FALSE),$F20=HLOOKUP(Y$8,'Improved Sales Adjustments'!$G$7:$ZO$147,79,FALSE)),1,0))))</f>
        <v>0</v>
      </c>
      <c r="Z20" s="707">
        <f>IF(dpSales_Adjustment_4="Construction Quality",IF(OR(ISERROR(HLOOKUP(Z$8,'Improved Sales Adjustments'!$G$7:$ZO$147,77,FALSE)),ISERROR(HLOOKUP(Z$8,'Improved Sales Adjustments'!$G$7:$ZO$147,78,FALSE))),0,IF(HLOOKUP(Z$8,'Improved Sales Adjustments'!$G$7:$ZO$147,77,FALSE)="",0,IF(AND($G19=HLOOKUP(Z$8,'Improved Sales Adjustments'!$G$7:$ZO$147,77,FALSE),$F20=HLOOKUP(Z$8,'Improved Sales Adjustments'!$G$7:$ZO$147,78,FALSE)),1,0))),IF(OR(ISERROR(HLOOKUP(Z$8,'Improved Sales Adjustments'!$G$7:$ZO$147,77,FALSE)),ISERROR(HLOOKUP(Z$8,'Improved Sales Adjustments'!$G$7:$ZO$147,79,FALSE))),0,IF(HLOOKUP(Z$8,'Improved Sales Adjustments'!$G$7:$ZO$147,77,FALSE)="",0,IF(AND($G19=HLOOKUP(Z$8,'Improved Sales Adjustments'!$G$7:$ZO$147,77,FALSE),$F20=HLOOKUP(Z$8,'Improved Sales Adjustments'!$G$7:$ZO$147,79,FALSE)),1,0))))</f>
        <v>0</v>
      </c>
      <c r="AA20" s="707">
        <f>IF(dpSales_Adjustment_4="Construction Quality",IF(OR(ISERROR(HLOOKUP(AA$8,'Improved Sales Adjustments'!$G$7:$ZO$147,77,FALSE)),ISERROR(HLOOKUP(AA$8,'Improved Sales Adjustments'!$G$7:$ZO$147,78,FALSE))),0,IF(HLOOKUP(AA$8,'Improved Sales Adjustments'!$G$7:$ZO$147,77,FALSE)="",0,IF(AND($G19=HLOOKUP(AA$8,'Improved Sales Adjustments'!$G$7:$ZO$147,77,FALSE),$F20=HLOOKUP(AA$8,'Improved Sales Adjustments'!$G$7:$ZO$147,78,FALSE)),1,0))),IF(OR(ISERROR(HLOOKUP(AA$8,'Improved Sales Adjustments'!$G$7:$ZO$147,77,FALSE)),ISERROR(HLOOKUP(AA$8,'Improved Sales Adjustments'!$G$7:$ZO$147,79,FALSE))),0,IF(HLOOKUP(AA$8,'Improved Sales Adjustments'!$G$7:$ZO$147,77,FALSE)="",0,IF(AND($G19=HLOOKUP(AA$8,'Improved Sales Adjustments'!$G$7:$ZO$147,77,FALSE),$F20=HLOOKUP(AA$8,'Improved Sales Adjustments'!$G$7:$ZO$147,79,FALSE)),1,0))))</f>
        <v>0</v>
      </c>
      <c r="AB20" s="707">
        <f>IF(dpSales_Adjustment_4="Construction Quality",IF(OR(ISERROR(HLOOKUP(AB$8,'Improved Sales Adjustments'!$G$7:$ZO$147,77,FALSE)),ISERROR(HLOOKUP(AB$8,'Improved Sales Adjustments'!$G$7:$ZO$147,78,FALSE))),0,IF(HLOOKUP(AB$8,'Improved Sales Adjustments'!$G$7:$ZO$147,77,FALSE)="",0,IF(AND($G19=HLOOKUP(AB$8,'Improved Sales Adjustments'!$G$7:$ZO$147,77,FALSE),$F20=HLOOKUP(AB$8,'Improved Sales Adjustments'!$G$7:$ZO$147,78,FALSE)),1,0))),IF(OR(ISERROR(HLOOKUP(AB$8,'Improved Sales Adjustments'!$G$7:$ZO$147,77,FALSE)),ISERROR(HLOOKUP(AB$8,'Improved Sales Adjustments'!$G$7:$ZO$147,79,FALSE))),0,IF(HLOOKUP(AB$8,'Improved Sales Adjustments'!$G$7:$ZO$147,77,FALSE)="",0,IF(AND($G19=HLOOKUP(AB$8,'Improved Sales Adjustments'!$G$7:$ZO$147,77,FALSE),$F20=HLOOKUP(AB$8,'Improved Sales Adjustments'!$G$7:$ZO$147,79,FALSE)),1,0))))</f>
        <v>0</v>
      </c>
      <c r="AC20" s="707">
        <f>IF(dpSales_Adjustment_4="Construction Quality",IF(OR(ISERROR(HLOOKUP(AC$8,'Improved Sales Adjustments'!$G$7:$ZO$147,77,FALSE)),ISERROR(HLOOKUP(AC$8,'Improved Sales Adjustments'!$G$7:$ZO$147,78,FALSE))),0,IF(HLOOKUP(AC$8,'Improved Sales Adjustments'!$G$7:$ZO$147,77,FALSE)="",0,IF(AND($G19=HLOOKUP(AC$8,'Improved Sales Adjustments'!$G$7:$ZO$147,77,FALSE),$F20=HLOOKUP(AC$8,'Improved Sales Adjustments'!$G$7:$ZO$147,78,FALSE)),1,0))),IF(OR(ISERROR(HLOOKUP(AC$8,'Improved Sales Adjustments'!$G$7:$ZO$147,77,FALSE)),ISERROR(HLOOKUP(AC$8,'Improved Sales Adjustments'!$G$7:$ZO$147,79,FALSE))),0,IF(HLOOKUP(AC$8,'Improved Sales Adjustments'!$G$7:$ZO$147,77,FALSE)="",0,IF(AND($G19=HLOOKUP(AC$8,'Improved Sales Adjustments'!$G$7:$ZO$147,77,FALSE),$F20=HLOOKUP(AC$8,'Improved Sales Adjustments'!$G$7:$ZO$147,79,FALSE)),1,0))))</f>
        <v>0</v>
      </c>
      <c r="AD20" s="707">
        <f>IF(dpSales_Adjustment_4="Construction Quality",IF(OR(ISERROR(HLOOKUP(AD$8,'Improved Sales Adjustments'!$G$7:$ZO$147,77,FALSE)),ISERROR(HLOOKUP(AD$8,'Improved Sales Adjustments'!$G$7:$ZO$147,78,FALSE))),0,IF(HLOOKUP(AD$8,'Improved Sales Adjustments'!$G$7:$ZO$147,77,FALSE)="",0,IF(AND($G19=HLOOKUP(AD$8,'Improved Sales Adjustments'!$G$7:$ZO$147,77,FALSE),$F20=HLOOKUP(AD$8,'Improved Sales Adjustments'!$G$7:$ZO$147,78,FALSE)),1,0))),IF(OR(ISERROR(HLOOKUP(AD$8,'Improved Sales Adjustments'!$G$7:$ZO$147,77,FALSE)),ISERROR(HLOOKUP(AD$8,'Improved Sales Adjustments'!$G$7:$ZO$147,79,FALSE))),0,IF(HLOOKUP(AD$8,'Improved Sales Adjustments'!$G$7:$ZO$147,77,FALSE)="",0,IF(AND($G19=HLOOKUP(AD$8,'Improved Sales Adjustments'!$G$7:$ZO$147,77,FALSE),$F20=HLOOKUP(AD$8,'Improved Sales Adjustments'!$G$7:$ZO$147,79,FALSE)),1,0))))</f>
        <v>0</v>
      </c>
      <c r="AE20" s="707">
        <f>IF(dpSales_Adjustment_4="Construction Quality",IF(OR(ISERROR(HLOOKUP(AE$8,'Improved Sales Adjustments'!$G$7:$ZO$147,77,FALSE)),ISERROR(HLOOKUP(AE$8,'Improved Sales Adjustments'!$G$7:$ZO$147,78,FALSE))),0,IF(HLOOKUP(AE$8,'Improved Sales Adjustments'!$G$7:$ZO$147,77,FALSE)="",0,IF(AND($G19=HLOOKUP(AE$8,'Improved Sales Adjustments'!$G$7:$ZO$147,77,FALSE),$F20=HLOOKUP(AE$8,'Improved Sales Adjustments'!$G$7:$ZO$147,78,FALSE)),1,0))),IF(OR(ISERROR(HLOOKUP(AE$8,'Improved Sales Adjustments'!$G$7:$ZO$147,77,FALSE)),ISERROR(HLOOKUP(AE$8,'Improved Sales Adjustments'!$G$7:$ZO$147,79,FALSE))),0,IF(HLOOKUP(AE$8,'Improved Sales Adjustments'!$G$7:$ZO$147,77,FALSE)="",0,IF(AND($G19=HLOOKUP(AE$8,'Improved Sales Adjustments'!$G$7:$ZO$147,77,FALSE),$F20=HLOOKUP(AE$8,'Improved Sales Adjustments'!$G$7:$ZO$147,79,FALSE)),1,0))))</f>
        <v>0</v>
      </c>
      <c r="AF20" s="707">
        <f>IF(dpSales_Adjustment_4="Construction Quality",IF(OR(ISERROR(HLOOKUP(AF$8,'Improved Sales Adjustments'!$G$7:$ZO$147,77,FALSE)),ISERROR(HLOOKUP(AF$8,'Improved Sales Adjustments'!$G$7:$ZO$147,78,FALSE))),0,IF(HLOOKUP(AF$8,'Improved Sales Adjustments'!$G$7:$ZO$147,77,FALSE)="",0,IF(AND($G19=HLOOKUP(AF$8,'Improved Sales Adjustments'!$G$7:$ZO$147,77,FALSE),$F20=HLOOKUP(AF$8,'Improved Sales Adjustments'!$G$7:$ZO$147,78,FALSE)),1,0))),IF(OR(ISERROR(HLOOKUP(AF$8,'Improved Sales Adjustments'!$G$7:$ZO$147,77,FALSE)),ISERROR(HLOOKUP(AF$8,'Improved Sales Adjustments'!$G$7:$ZO$147,79,FALSE))),0,IF(HLOOKUP(AF$8,'Improved Sales Adjustments'!$G$7:$ZO$147,77,FALSE)="",0,IF(AND($G19=HLOOKUP(AF$8,'Improved Sales Adjustments'!$G$7:$ZO$147,77,FALSE),$F20=HLOOKUP(AF$8,'Improved Sales Adjustments'!$G$7:$ZO$147,79,FALSE)),1,0))))</f>
        <v>0</v>
      </c>
      <c r="AG20" s="707">
        <f>IF(dpSales_Adjustment_4="Construction Quality",IF(OR(ISERROR(HLOOKUP(AG$8,'Improved Sales Adjustments'!$G$7:$ZO$147,77,FALSE)),ISERROR(HLOOKUP(AG$8,'Improved Sales Adjustments'!$G$7:$ZO$147,78,FALSE))),0,IF(HLOOKUP(AG$8,'Improved Sales Adjustments'!$G$7:$ZO$147,77,FALSE)="",0,IF(AND($G19=HLOOKUP(AG$8,'Improved Sales Adjustments'!$G$7:$ZO$147,77,FALSE),$F20=HLOOKUP(AG$8,'Improved Sales Adjustments'!$G$7:$ZO$147,78,FALSE)),1,0))),IF(OR(ISERROR(HLOOKUP(AG$8,'Improved Sales Adjustments'!$G$7:$ZO$147,77,FALSE)),ISERROR(HLOOKUP(AG$8,'Improved Sales Adjustments'!$G$7:$ZO$147,79,FALSE))),0,IF(HLOOKUP(AG$8,'Improved Sales Adjustments'!$G$7:$ZO$147,77,FALSE)="",0,IF(AND($G19=HLOOKUP(AG$8,'Improved Sales Adjustments'!$G$7:$ZO$147,77,FALSE),$F20=HLOOKUP(AG$8,'Improved Sales Adjustments'!$G$7:$ZO$147,79,FALSE)),1,0))))</f>
        <v>0</v>
      </c>
      <c r="AH20" s="707">
        <f>IF(dpSales_Adjustment_4="Construction Quality",IF(OR(ISERROR(HLOOKUP(AH$8,'Improved Sales Adjustments'!$G$7:$ZO$147,77,FALSE)),ISERROR(HLOOKUP(AH$8,'Improved Sales Adjustments'!$G$7:$ZO$147,78,FALSE))),0,IF(HLOOKUP(AH$8,'Improved Sales Adjustments'!$G$7:$ZO$147,77,FALSE)="",0,IF(AND($G19=HLOOKUP(AH$8,'Improved Sales Adjustments'!$G$7:$ZO$147,77,FALSE),$F20=HLOOKUP(AH$8,'Improved Sales Adjustments'!$G$7:$ZO$147,78,FALSE)),1,0))),IF(OR(ISERROR(HLOOKUP(AH$8,'Improved Sales Adjustments'!$G$7:$ZO$147,77,FALSE)),ISERROR(HLOOKUP(AH$8,'Improved Sales Adjustments'!$G$7:$ZO$147,79,FALSE))),0,IF(HLOOKUP(AH$8,'Improved Sales Adjustments'!$G$7:$ZO$147,77,FALSE)="",0,IF(AND($G19=HLOOKUP(AH$8,'Improved Sales Adjustments'!$G$7:$ZO$147,77,FALSE),$F20=HLOOKUP(AH$8,'Improved Sales Adjustments'!$G$7:$ZO$147,79,FALSE)),1,0))))</f>
        <v>0</v>
      </c>
      <c r="AI20" s="707">
        <f>SUM(X20:$X20)</f>
        <v>0</v>
      </c>
      <c r="AJ20" s="707">
        <f>SUM($X20:Y20)</f>
        <v>0</v>
      </c>
      <c r="AK20" s="707">
        <f>SUM($X20:Z20)</f>
        <v>0</v>
      </c>
      <c r="AL20" s="707">
        <f>SUM($X20:AA20)</f>
        <v>0</v>
      </c>
      <c r="AM20" s="707">
        <f>SUM($X20:AB20)</f>
        <v>0</v>
      </c>
      <c r="AN20" s="707">
        <f>SUM($X20:AC20)</f>
        <v>0</v>
      </c>
      <c r="AO20" s="707">
        <f>SUM($X20:AD20)</f>
        <v>0</v>
      </c>
      <c r="AP20" s="707">
        <f>SUM($X20:AE20)</f>
        <v>0</v>
      </c>
      <c r="AQ20" s="707">
        <f>SUM($X20:AF20)</f>
        <v>0</v>
      </c>
      <c r="AR20" s="707">
        <f>SUM($X20:AG20)</f>
        <v>0</v>
      </c>
      <c r="AS20" s="707">
        <f>SUM($X20:AH20)</f>
        <v>0</v>
      </c>
      <c r="AT20" s="707" t="str">
        <f t="shared" si="19"/>
        <v/>
      </c>
      <c r="AU20" s="707" t="str">
        <f t="shared" si="19"/>
        <v/>
      </c>
      <c r="AV20" s="707" t="str">
        <f t="shared" si="19"/>
        <v/>
      </c>
      <c r="AW20" s="707" t="str">
        <f t="shared" si="19"/>
        <v/>
      </c>
      <c r="AX20" s="707" t="str">
        <f t="shared" si="19"/>
        <v/>
      </c>
      <c r="AY20" s="707" t="str">
        <f t="shared" si="19"/>
        <v/>
      </c>
      <c r="AZ20" s="707" t="str">
        <f t="shared" si="19"/>
        <v/>
      </c>
      <c r="BA20" s="707" t="str">
        <f t="shared" si="19"/>
        <v/>
      </c>
      <c r="BB20" s="707" t="str">
        <f t="shared" si="19"/>
        <v/>
      </c>
      <c r="BC20" s="707" t="str">
        <f t="shared" si="19"/>
        <v/>
      </c>
      <c r="BD20" s="707" t="str">
        <f t="shared" si="19"/>
        <v/>
      </c>
    </row>
    <row r="21" spans="1:56" ht="69.95" customHeight="1" x14ac:dyDescent="0.25">
      <c r="A21" s="972">
        <f>IF(D21="",0,1)</f>
        <v>0</v>
      </c>
      <c r="B21" s="4"/>
      <c r="C21" s="101"/>
      <c r="D21" s="4185" t="str">
        <f t="shared" si="3"/>
        <v/>
      </c>
      <c r="E21" s="4185"/>
      <c r="F21" s="4067" t="str">
        <f>IF(dpSales_Adjustment_4="Construction Quality","C - Masonry","C")</f>
        <v>C - Masonry</v>
      </c>
      <c r="G21" s="4207"/>
      <c r="H21" s="4198"/>
      <c r="I21" s="4198"/>
      <c r="J21" s="4198"/>
      <c r="K21" s="4198"/>
      <c r="L21" s="4068" t="str">
        <f>IFERROR(dpSales_Quality_ClassAdj*V21,"")</f>
        <v/>
      </c>
      <c r="M21" s="4194"/>
      <c r="N21" s="4190"/>
      <c r="O21" s="4190"/>
      <c r="P21" s="4069" t="str">
        <f>IFERROR(L21+M19,"")</f>
        <v/>
      </c>
      <c r="Q21" s="4070"/>
      <c r="R21" s="2086"/>
      <c r="S21" s="707"/>
      <c r="T21" s="707"/>
      <c r="U21" s="707">
        <f t="shared" si="18"/>
        <v>0</v>
      </c>
      <c r="V21" s="707" t="str">
        <f t="shared" si="18"/>
        <v/>
      </c>
      <c r="W21" s="707"/>
      <c r="X21" s="707">
        <f>IF(dpSales_Adjustment_4="Construction Quality",IF(AND(F21=Subject_ConstructionClass,G$19=Subject_ConstructionQuality),1,0),IF(AND(F21=Subject_InvestmentClass,G$19=Subject_ConstructionQuality),1,0))</f>
        <v>0</v>
      </c>
      <c r="Y21" s="707">
        <f>IF(dpSales_Adjustment_4="Construction Quality",IF(OR(ISERROR(HLOOKUP(Y$8,'Improved Sales Adjustments'!$G$7:$ZO$147,77,FALSE)),ISERROR(HLOOKUP(Y$8,'Improved Sales Adjustments'!$G$7:$ZO$147,78,FALSE))),0,IF(HLOOKUP(Y$8,'Improved Sales Adjustments'!$G$7:$ZO$147,77,FALSE)="",0,IF(AND($G19=HLOOKUP(Y$8,'Improved Sales Adjustments'!$G$7:$ZO$147,77,FALSE),$F21=HLOOKUP(Y$8,'Improved Sales Adjustments'!$G$7:$ZO$147,78,FALSE)),1,0))),IF(OR(ISERROR(HLOOKUP(Y$8,'Improved Sales Adjustments'!$G$7:$ZO$147,77,FALSE)),ISERROR(HLOOKUP(Y$8,'Improved Sales Adjustments'!$G$7:$ZO$147,79,FALSE))),0,IF(HLOOKUP(Y$8,'Improved Sales Adjustments'!$G$7:$ZO$147,77,FALSE)="",0,IF(AND($G19=HLOOKUP(Y$8,'Improved Sales Adjustments'!$G$7:$ZO$147,77,FALSE),$F21=HLOOKUP(Y$8,'Improved Sales Adjustments'!$G$7:$ZO$147,79,FALSE)),1,0))))</f>
        <v>0</v>
      </c>
      <c r="Z21" s="707">
        <f>IF(dpSales_Adjustment_4="Construction Quality",IF(OR(ISERROR(HLOOKUP(Z$8,'Improved Sales Adjustments'!$G$7:$ZO$147,77,FALSE)),ISERROR(HLOOKUP(Z$8,'Improved Sales Adjustments'!$G$7:$ZO$147,78,FALSE))),0,IF(HLOOKUP(Z$8,'Improved Sales Adjustments'!$G$7:$ZO$147,77,FALSE)="",0,IF(AND($G19=HLOOKUP(Z$8,'Improved Sales Adjustments'!$G$7:$ZO$147,77,FALSE),$F21=HLOOKUP(Z$8,'Improved Sales Adjustments'!$G$7:$ZO$147,78,FALSE)),1,0))),IF(OR(ISERROR(HLOOKUP(Z$8,'Improved Sales Adjustments'!$G$7:$ZO$147,77,FALSE)),ISERROR(HLOOKUP(Z$8,'Improved Sales Adjustments'!$G$7:$ZO$147,79,FALSE))),0,IF(HLOOKUP(Z$8,'Improved Sales Adjustments'!$G$7:$ZO$147,77,FALSE)="",0,IF(AND($G19=HLOOKUP(Z$8,'Improved Sales Adjustments'!$G$7:$ZO$147,77,FALSE),$F21=HLOOKUP(Z$8,'Improved Sales Adjustments'!$G$7:$ZO$147,79,FALSE)),1,0))))</f>
        <v>0</v>
      </c>
      <c r="AA21" s="707">
        <f>IF(dpSales_Adjustment_4="Construction Quality",IF(OR(ISERROR(HLOOKUP(AA$8,'Improved Sales Adjustments'!$G$7:$ZO$147,77,FALSE)),ISERROR(HLOOKUP(AA$8,'Improved Sales Adjustments'!$G$7:$ZO$147,78,FALSE))),0,IF(HLOOKUP(AA$8,'Improved Sales Adjustments'!$G$7:$ZO$147,77,FALSE)="",0,IF(AND($G19=HLOOKUP(AA$8,'Improved Sales Adjustments'!$G$7:$ZO$147,77,FALSE),$F21=HLOOKUP(AA$8,'Improved Sales Adjustments'!$G$7:$ZO$147,78,FALSE)),1,0))),IF(OR(ISERROR(HLOOKUP(AA$8,'Improved Sales Adjustments'!$G$7:$ZO$147,77,FALSE)),ISERROR(HLOOKUP(AA$8,'Improved Sales Adjustments'!$G$7:$ZO$147,79,FALSE))),0,IF(HLOOKUP(AA$8,'Improved Sales Adjustments'!$G$7:$ZO$147,77,FALSE)="",0,IF(AND($G19=HLOOKUP(AA$8,'Improved Sales Adjustments'!$G$7:$ZO$147,77,FALSE),$F21=HLOOKUP(AA$8,'Improved Sales Adjustments'!$G$7:$ZO$147,79,FALSE)),1,0))))</f>
        <v>0</v>
      </c>
      <c r="AB21" s="707">
        <f>IF(dpSales_Adjustment_4="Construction Quality",IF(OR(ISERROR(HLOOKUP(AB$8,'Improved Sales Adjustments'!$G$7:$ZO$147,77,FALSE)),ISERROR(HLOOKUP(AB$8,'Improved Sales Adjustments'!$G$7:$ZO$147,78,FALSE))),0,IF(HLOOKUP(AB$8,'Improved Sales Adjustments'!$G$7:$ZO$147,77,FALSE)="",0,IF(AND($G19=HLOOKUP(AB$8,'Improved Sales Adjustments'!$G$7:$ZO$147,77,FALSE),$F21=HLOOKUP(AB$8,'Improved Sales Adjustments'!$G$7:$ZO$147,78,FALSE)),1,0))),IF(OR(ISERROR(HLOOKUP(AB$8,'Improved Sales Adjustments'!$G$7:$ZO$147,77,FALSE)),ISERROR(HLOOKUP(AB$8,'Improved Sales Adjustments'!$G$7:$ZO$147,79,FALSE))),0,IF(HLOOKUP(AB$8,'Improved Sales Adjustments'!$G$7:$ZO$147,77,FALSE)="",0,IF(AND($G19=HLOOKUP(AB$8,'Improved Sales Adjustments'!$G$7:$ZO$147,77,FALSE),$F21=HLOOKUP(AB$8,'Improved Sales Adjustments'!$G$7:$ZO$147,79,FALSE)),1,0))))</f>
        <v>0</v>
      </c>
      <c r="AC21" s="707">
        <f>IF(dpSales_Adjustment_4="Construction Quality",IF(OR(ISERROR(HLOOKUP(AC$8,'Improved Sales Adjustments'!$G$7:$ZO$147,77,FALSE)),ISERROR(HLOOKUP(AC$8,'Improved Sales Adjustments'!$G$7:$ZO$147,78,FALSE))),0,IF(HLOOKUP(AC$8,'Improved Sales Adjustments'!$G$7:$ZO$147,77,FALSE)="",0,IF(AND($G19=HLOOKUP(AC$8,'Improved Sales Adjustments'!$G$7:$ZO$147,77,FALSE),$F21=HLOOKUP(AC$8,'Improved Sales Adjustments'!$G$7:$ZO$147,78,FALSE)),1,0))),IF(OR(ISERROR(HLOOKUP(AC$8,'Improved Sales Adjustments'!$G$7:$ZO$147,77,FALSE)),ISERROR(HLOOKUP(AC$8,'Improved Sales Adjustments'!$G$7:$ZO$147,79,FALSE))),0,IF(HLOOKUP(AC$8,'Improved Sales Adjustments'!$G$7:$ZO$147,77,FALSE)="",0,IF(AND($G19=HLOOKUP(AC$8,'Improved Sales Adjustments'!$G$7:$ZO$147,77,FALSE),$F21=HLOOKUP(AC$8,'Improved Sales Adjustments'!$G$7:$ZO$147,79,FALSE)),1,0))))</f>
        <v>0</v>
      </c>
      <c r="AD21" s="707">
        <f>IF(dpSales_Adjustment_4="Construction Quality",IF(OR(ISERROR(HLOOKUP(AD$8,'Improved Sales Adjustments'!$G$7:$ZO$147,77,FALSE)),ISERROR(HLOOKUP(AD$8,'Improved Sales Adjustments'!$G$7:$ZO$147,78,FALSE))),0,IF(HLOOKUP(AD$8,'Improved Sales Adjustments'!$G$7:$ZO$147,77,FALSE)="",0,IF(AND($G19=HLOOKUP(AD$8,'Improved Sales Adjustments'!$G$7:$ZO$147,77,FALSE),$F21=HLOOKUP(AD$8,'Improved Sales Adjustments'!$G$7:$ZO$147,78,FALSE)),1,0))),IF(OR(ISERROR(HLOOKUP(AD$8,'Improved Sales Adjustments'!$G$7:$ZO$147,77,FALSE)),ISERROR(HLOOKUP(AD$8,'Improved Sales Adjustments'!$G$7:$ZO$147,79,FALSE))),0,IF(HLOOKUP(AD$8,'Improved Sales Adjustments'!$G$7:$ZO$147,77,FALSE)="",0,IF(AND($G19=HLOOKUP(AD$8,'Improved Sales Adjustments'!$G$7:$ZO$147,77,FALSE),$F21=HLOOKUP(AD$8,'Improved Sales Adjustments'!$G$7:$ZO$147,79,FALSE)),1,0))))</f>
        <v>0</v>
      </c>
      <c r="AE21" s="707">
        <f>IF(dpSales_Adjustment_4="Construction Quality",IF(OR(ISERROR(HLOOKUP(AE$8,'Improved Sales Adjustments'!$G$7:$ZO$147,77,FALSE)),ISERROR(HLOOKUP(AE$8,'Improved Sales Adjustments'!$G$7:$ZO$147,78,FALSE))),0,IF(HLOOKUP(AE$8,'Improved Sales Adjustments'!$G$7:$ZO$147,77,FALSE)="",0,IF(AND($G19=HLOOKUP(AE$8,'Improved Sales Adjustments'!$G$7:$ZO$147,77,FALSE),$F21=HLOOKUP(AE$8,'Improved Sales Adjustments'!$G$7:$ZO$147,78,FALSE)),1,0))),IF(OR(ISERROR(HLOOKUP(AE$8,'Improved Sales Adjustments'!$G$7:$ZO$147,77,FALSE)),ISERROR(HLOOKUP(AE$8,'Improved Sales Adjustments'!$G$7:$ZO$147,79,FALSE))),0,IF(HLOOKUP(AE$8,'Improved Sales Adjustments'!$G$7:$ZO$147,77,FALSE)="",0,IF(AND($G19=HLOOKUP(AE$8,'Improved Sales Adjustments'!$G$7:$ZO$147,77,FALSE),$F21=HLOOKUP(AE$8,'Improved Sales Adjustments'!$G$7:$ZO$147,79,FALSE)),1,0))))</f>
        <v>0</v>
      </c>
      <c r="AF21" s="707">
        <f>IF(dpSales_Adjustment_4="Construction Quality",IF(OR(ISERROR(HLOOKUP(AF$8,'Improved Sales Adjustments'!$G$7:$ZO$147,77,FALSE)),ISERROR(HLOOKUP(AF$8,'Improved Sales Adjustments'!$G$7:$ZO$147,78,FALSE))),0,IF(HLOOKUP(AF$8,'Improved Sales Adjustments'!$G$7:$ZO$147,77,FALSE)="",0,IF(AND($G19=HLOOKUP(AF$8,'Improved Sales Adjustments'!$G$7:$ZO$147,77,FALSE),$F21=HLOOKUP(AF$8,'Improved Sales Adjustments'!$G$7:$ZO$147,78,FALSE)),1,0))),IF(OR(ISERROR(HLOOKUP(AF$8,'Improved Sales Adjustments'!$G$7:$ZO$147,77,FALSE)),ISERROR(HLOOKUP(AF$8,'Improved Sales Adjustments'!$G$7:$ZO$147,79,FALSE))),0,IF(HLOOKUP(AF$8,'Improved Sales Adjustments'!$G$7:$ZO$147,77,FALSE)="",0,IF(AND($G19=HLOOKUP(AF$8,'Improved Sales Adjustments'!$G$7:$ZO$147,77,FALSE),$F21=HLOOKUP(AF$8,'Improved Sales Adjustments'!$G$7:$ZO$147,79,FALSE)),1,0))))</f>
        <v>0</v>
      </c>
      <c r="AG21" s="707">
        <f>IF(dpSales_Adjustment_4="Construction Quality",IF(OR(ISERROR(HLOOKUP(AG$8,'Improved Sales Adjustments'!$G$7:$ZO$147,77,FALSE)),ISERROR(HLOOKUP(AG$8,'Improved Sales Adjustments'!$G$7:$ZO$147,78,FALSE))),0,IF(HLOOKUP(AG$8,'Improved Sales Adjustments'!$G$7:$ZO$147,77,FALSE)="",0,IF(AND($G19=HLOOKUP(AG$8,'Improved Sales Adjustments'!$G$7:$ZO$147,77,FALSE),$F21=HLOOKUP(AG$8,'Improved Sales Adjustments'!$G$7:$ZO$147,78,FALSE)),1,0))),IF(OR(ISERROR(HLOOKUP(AG$8,'Improved Sales Adjustments'!$G$7:$ZO$147,77,FALSE)),ISERROR(HLOOKUP(AG$8,'Improved Sales Adjustments'!$G$7:$ZO$147,79,FALSE))),0,IF(HLOOKUP(AG$8,'Improved Sales Adjustments'!$G$7:$ZO$147,77,FALSE)="",0,IF(AND($G19=HLOOKUP(AG$8,'Improved Sales Adjustments'!$G$7:$ZO$147,77,FALSE),$F21=HLOOKUP(AG$8,'Improved Sales Adjustments'!$G$7:$ZO$147,79,FALSE)),1,0))))</f>
        <v>0</v>
      </c>
      <c r="AH21" s="707">
        <f>IF(dpSales_Adjustment_4="Construction Quality",IF(OR(ISERROR(HLOOKUP(AH$8,'Improved Sales Adjustments'!$G$7:$ZO$147,77,FALSE)),ISERROR(HLOOKUP(AH$8,'Improved Sales Adjustments'!$G$7:$ZO$147,78,FALSE))),0,IF(HLOOKUP(AH$8,'Improved Sales Adjustments'!$G$7:$ZO$147,77,FALSE)="",0,IF(AND($G19=HLOOKUP(AH$8,'Improved Sales Adjustments'!$G$7:$ZO$147,77,FALSE),$F21=HLOOKUP(AH$8,'Improved Sales Adjustments'!$G$7:$ZO$147,78,FALSE)),1,0))),IF(OR(ISERROR(HLOOKUP(AH$8,'Improved Sales Adjustments'!$G$7:$ZO$147,77,FALSE)),ISERROR(HLOOKUP(AH$8,'Improved Sales Adjustments'!$G$7:$ZO$147,79,FALSE))),0,IF(HLOOKUP(AH$8,'Improved Sales Adjustments'!$G$7:$ZO$147,77,FALSE)="",0,IF(AND($G19=HLOOKUP(AH$8,'Improved Sales Adjustments'!$G$7:$ZO$147,77,FALSE),$F21=HLOOKUP(AH$8,'Improved Sales Adjustments'!$G$7:$ZO$147,79,FALSE)),1,0))))</f>
        <v>0</v>
      </c>
      <c r="AI21" s="707">
        <f>SUM(X21:$X21)</f>
        <v>0</v>
      </c>
      <c r="AJ21" s="707">
        <f>SUM($X21:Y21)</f>
        <v>0</v>
      </c>
      <c r="AK21" s="707">
        <f>SUM($X21:Z21)</f>
        <v>0</v>
      </c>
      <c r="AL21" s="707">
        <f>SUM($X21:AA21)</f>
        <v>0</v>
      </c>
      <c r="AM21" s="707">
        <f>SUM($X21:AB21)</f>
        <v>0</v>
      </c>
      <c r="AN21" s="707">
        <f>SUM($X21:AC21)</f>
        <v>0</v>
      </c>
      <c r="AO21" s="707">
        <f>SUM($X21:AD21)</f>
        <v>0</v>
      </c>
      <c r="AP21" s="707">
        <f>SUM($X21:AE21)</f>
        <v>0</v>
      </c>
      <c r="AQ21" s="707">
        <f>SUM($X21:AF21)</f>
        <v>0</v>
      </c>
      <c r="AR21" s="707">
        <f>SUM($X21:AG21)</f>
        <v>0</v>
      </c>
      <c r="AS21" s="707">
        <f>SUM($X21:AH21)</f>
        <v>0</v>
      </c>
      <c r="AT21" s="707" t="str">
        <f t="shared" si="19"/>
        <v/>
      </c>
      <c r="AU21" s="707" t="str">
        <f t="shared" si="19"/>
        <v/>
      </c>
      <c r="AV21" s="707" t="str">
        <f t="shared" si="19"/>
        <v/>
      </c>
      <c r="AW21" s="707" t="str">
        <f t="shared" si="19"/>
        <v/>
      </c>
      <c r="AX21" s="707" t="str">
        <f t="shared" si="19"/>
        <v/>
      </c>
      <c r="AY21" s="707" t="str">
        <f t="shared" si="19"/>
        <v/>
      </c>
      <c r="AZ21" s="707" t="str">
        <f t="shared" si="19"/>
        <v/>
      </c>
      <c r="BA21" s="707" t="str">
        <f t="shared" si="19"/>
        <v/>
      </c>
      <c r="BB21" s="707" t="str">
        <f t="shared" si="19"/>
        <v/>
      </c>
      <c r="BC21" s="707" t="str">
        <f t="shared" si="19"/>
        <v/>
      </c>
      <c r="BD21" s="707" t="str">
        <f t="shared" si="19"/>
        <v/>
      </c>
    </row>
    <row r="22" spans="1:56" ht="69.95" customHeight="1" x14ac:dyDescent="0.25">
      <c r="A22" s="972">
        <f>IF(D22="",0,1)</f>
        <v>0</v>
      </c>
      <c r="B22" s="4"/>
      <c r="C22" s="101"/>
      <c r="D22" s="4185" t="str">
        <f t="shared" si="3"/>
        <v/>
      </c>
      <c r="E22" s="4185"/>
      <c r="F22" s="4067" t="str">
        <f>IF(dpSales_Adjustment_4="Construction Quality","D - Wood Frame","")</f>
        <v>D - Wood Frame</v>
      </c>
      <c r="G22" s="4207"/>
      <c r="H22" s="4198"/>
      <c r="I22" s="4198"/>
      <c r="J22" s="4198"/>
      <c r="K22" s="4198"/>
      <c r="L22" s="4068" t="str">
        <f>IFERROR(dpSales_Quality_ClassAdj*V22,"")</f>
        <v/>
      </c>
      <c r="M22" s="4194"/>
      <c r="N22" s="4190"/>
      <c r="O22" s="4190"/>
      <c r="P22" s="4069" t="str">
        <f>IFERROR(L22+M19,"")</f>
        <v/>
      </c>
      <c r="Q22" s="4070"/>
      <c r="R22" s="2086"/>
      <c r="S22" s="707"/>
      <c r="T22" s="707"/>
      <c r="U22" s="707">
        <f t="shared" si="18"/>
        <v>0</v>
      </c>
      <c r="V22" s="707" t="str">
        <f t="shared" si="18"/>
        <v/>
      </c>
      <c r="W22" s="707"/>
      <c r="X22" s="707">
        <f>IF(dpSales_Adjustment_4="Construction Quality",IF(AND(F22=Subject_ConstructionClass,G$19=Subject_ConstructionQuality),1,0),IF(AND(F22=Subject_InvestmentClass,G$19=Subject_ConstructionQuality),1,0))</f>
        <v>0</v>
      </c>
      <c r="Y22" s="707">
        <f>IF(dpSales_Adjustment_4="Construction Quality",IF(OR(ISERROR(HLOOKUP(Y$8,'Improved Sales Adjustments'!$G$7:$ZO$147,77,FALSE)),ISERROR(HLOOKUP(Y$8,'Improved Sales Adjustments'!$G$7:$ZO$147,78,FALSE))),0,IF(HLOOKUP(Y$8,'Improved Sales Adjustments'!$G$7:$ZO$147,77,FALSE)="",0,IF(AND($G19=HLOOKUP(Y$8,'Improved Sales Adjustments'!$G$7:$ZO$147,77,FALSE),$F22=HLOOKUP(Y$8,'Improved Sales Adjustments'!$G$7:$ZO$147,78,FALSE)),1,0))),IF(OR(ISERROR(HLOOKUP(Y$8,'Improved Sales Adjustments'!$G$7:$ZO$147,77,FALSE)),ISERROR(HLOOKUP(Y$8,'Improved Sales Adjustments'!$G$7:$ZO$147,79,FALSE))),0,IF(HLOOKUP(Y$8,'Improved Sales Adjustments'!$G$7:$ZO$147,77,FALSE)="",0,IF(AND($G19=HLOOKUP(Y$8,'Improved Sales Adjustments'!$G$7:$ZO$147,77,FALSE),$F22=HLOOKUP(Y$8,'Improved Sales Adjustments'!$G$7:$ZO$147,79,FALSE)),1,0))))</f>
        <v>0</v>
      </c>
      <c r="Z22" s="707">
        <f>IF(dpSales_Adjustment_4="Construction Quality",IF(OR(ISERROR(HLOOKUP(Z$8,'Improved Sales Adjustments'!$G$7:$ZO$147,77,FALSE)),ISERROR(HLOOKUP(Z$8,'Improved Sales Adjustments'!$G$7:$ZO$147,78,FALSE))),0,IF(HLOOKUP(Z$8,'Improved Sales Adjustments'!$G$7:$ZO$147,77,FALSE)="",0,IF(AND($G19=HLOOKUP(Z$8,'Improved Sales Adjustments'!$G$7:$ZO$147,77,FALSE),$F22=HLOOKUP(Z$8,'Improved Sales Adjustments'!$G$7:$ZO$147,78,FALSE)),1,0))),IF(OR(ISERROR(HLOOKUP(Z$8,'Improved Sales Adjustments'!$G$7:$ZO$147,77,FALSE)),ISERROR(HLOOKUP(Z$8,'Improved Sales Adjustments'!$G$7:$ZO$147,79,FALSE))),0,IF(HLOOKUP(Z$8,'Improved Sales Adjustments'!$G$7:$ZO$147,77,FALSE)="",0,IF(AND($G19=HLOOKUP(Z$8,'Improved Sales Adjustments'!$G$7:$ZO$147,77,FALSE),$F22=HLOOKUP(Z$8,'Improved Sales Adjustments'!$G$7:$ZO$147,79,FALSE)),1,0))))</f>
        <v>0</v>
      </c>
      <c r="AA22" s="707">
        <f>IF(dpSales_Adjustment_4="Construction Quality",IF(OR(ISERROR(HLOOKUP(AA$8,'Improved Sales Adjustments'!$G$7:$ZO$147,77,FALSE)),ISERROR(HLOOKUP(AA$8,'Improved Sales Adjustments'!$G$7:$ZO$147,78,FALSE))),0,IF(HLOOKUP(AA$8,'Improved Sales Adjustments'!$G$7:$ZO$147,77,FALSE)="",0,IF(AND($G19=HLOOKUP(AA$8,'Improved Sales Adjustments'!$G$7:$ZO$147,77,FALSE),$F22=HLOOKUP(AA$8,'Improved Sales Adjustments'!$G$7:$ZO$147,78,FALSE)),1,0))),IF(OR(ISERROR(HLOOKUP(AA$8,'Improved Sales Adjustments'!$G$7:$ZO$147,77,FALSE)),ISERROR(HLOOKUP(AA$8,'Improved Sales Adjustments'!$G$7:$ZO$147,79,FALSE))),0,IF(HLOOKUP(AA$8,'Improved Sales Adjustments'!$G$7:$ZO$147,77,FALSE)="",0,IF(AND($G19=HLOOKUP(AA$8,'Improved Sales Adjustments'!$G$7:$ZO$147,77,FALSE),$F22=HLOOKUP(AA$8,'Improved Sales Adjustments'!$G$7:$ZO$147,79,FALSE)),1,0))))</f>
        <v>0</v>
      </c>
      <c r="AB22" s="707">
        <f>IF(dpSales_Adjustment_4="Construction Quality",IF(OR(ISERROR(HLOOKUP(AB$8,'Improved Sales Adjustments'!$G$7:$ZO$147,77,FALSE)),ISERROR(HLOOKUP(AB$8,'Improved Sales Adjustments'!$G$7:$ZO$147,78,FALSE))),0,IF(HLOOKUP(AB$8,'Improved Sales Adjustments'!$G$7:$ZO$147,77,FALSE)="",0,IF(AND($G19=HLOOKUP(AB$8,'Improved Sales Adjustments'!$G$7:$ZO$147,77,FALSE),$F22=HLOOKUP(AB$8,'Improved Sales Adjustments'!$G$7:$ZO$147,78,FALSE)),1,0))),IF(OR(ISERROR(HLOOKUP(AB$8,'Improved Sales Adjustments'!$G$7:$ZO$147,77,FALSE)),ISERROR(HLOOKUP(AB$8,'Improved Sales Adjustments'!$G$7:$ZO$147,79,FALSE))),0,IF(HLOOKUP(AB$8,'Improved Sales Adjustments'!$G$7:$ZO$147,77,FALSE)="",0,IF(AND($G19=HLOOKUP(AB$8,'Improved Sales Adjustments'!$G$7:$ZO$147,77,FALSE),$F22=HLOOKUP(AB$8,'Improved Sales Adjustments'!$G$7:$ZO$147,79,FALSE)),1,0))))</f>
        <v>0</v>
      </c>
      <c r="AC22" s="707">
        <f>IF(dpSales_Adjustment_4="Construction Quality",IF(OR(ISERROR(HLOOKUP(AC$8,'Improved Sales Adjustments'!$G$7:$ZO$147,77,FALSE)),ISERROR(HLOOKUP(AC$8,'Improved Sales Adjustments'!$G$7:$ZO$147,78,FALSE))),0,IF(HLOOKUP(AC$8,'Improved Sales Adjustments'!$G$7:$ZO$147,77,FALSE)="",0,IF(AND($G19=HLOOKUP(AC$8,'Improved Sales Adjustments'!$G$7:$ZO$147,77,FALSE),$F22=HLOOKUP(AC$8,'Improved Sales Adjustments'!$G$7:$ZO$147,78,FALSE)),1,0))),IF(OR(ISERROR(HLOOKUP(AC$8,'Improved Sales Adjustments'!$G$7:$ZO$147,77,FALSE)),ISERROR(HLOOKUP(AC$8,'Improved Sales Adjustments'!$G$7:$ZO$147,79,FALSE))),0,IF(HLOOKUP(AC$8,'Improved Sales Adjustments'!$G$7:$ZO$147,77,FALSE)="",0,IF(AND($G19=HLOOKUP(AC$8,'Improved Sales Adjustments'!$G$7:$ZO$147,77,FALSE),$F22=HLOOKUP(AC$8,'Improved Sales Adjustments'!$G$7:$ZO$147,79,FALSE)),1,0))))</f>
        <v>0</v>
      </c>
      <c r="AD22" s="707">
        <f>IF(dpSales_Adjustment_4="Construction Quality",IF(OR(ISERROR(HLOOKUP(AD$8,'Improved Sales Adjustments'!$G$7:$ZO$147,77,FALSE)),ISERROR(HLOOKUP(AD$8,'Improved Sales Adjustments'!$G$7:$ZO$147,78,FALSE))),0,IF(HLOOKUP(AD$8,'Improved Sales Adjustments'!$G$7:$ZO$147,77,FALSE)="",0,IF(AND($G19=HLOOKUP(AD$8,'Improved Sales Adjustments'!$G$7:$ZO$147,77,FALSE),$F22=HLOOKUP(AD$8,'Improved Sales Adjustments'!$G$7:$ZO$147,78,FALSE)),1,0))),IF(OR(ISERROR(HLOOKUP(AD$8,'Improved Sales Adjustments'!$G$7:$ZO$147,77,FALSE)),ISERROR(HLOOKUP(AD$8,'Improved Sales Adjustments'!$G$7:$ZO$147,79,FALSE))),0,IF(HLOOKUP(AD$8,'Improved Sales Adjustments'!$G$7:$ZO$147,77,FALSE)="",0,IF(AND($G19=HLOOKUP(AD$8,'Improved Sales Adjustments'!$G$7:$ZO$147,77,FALSE),$F22=HLOOKUP(AD$8,'Improved Sales Adjustments'!$G$7:$ZO$147,79,FALSE)),1,0))))</f>
        <v>0</v>
      </c>
      <c r="AE22" s="707">
        <f>IF(dpSales_Adjustment_4="Construction Quality",IF(OR(ISERROR(HLOOKUP(AE$8,'Improved Sales Adjustments'!$G$7:$ZO$147,77,FALSE)),ISERROR(HLOOKUP(AE$8,'Improved Sales Adjustments'!$G$7:$ZO$147,78,FALSE))),0,IF(HLOOKUP(AE$8,'Improved Sales Adjustments'!$G$7:$ZO$147,77,FALSE)="",0,IF(AND($G19=HLOOKUP(AE$8,'Improved Sales Adjustments'!$G$7:$ZO$147,77,FALSE),$F22=HLOOKUP(AE$8,'Improved Sales Adjustments'!$G$7:$ZO$147,78,FALSE)),1,0))),IF(OR(ISERROR(HLOOKUP(AE$8,'Improved Sales Adjustments'!$G$7:$ZO$147,77,FALSE)),ISERROR(HLOOKUP(AE$8,'Improved Sales Adjustments'!$G$7:$ZO$147,79,FALSE))),0,IF(HLOOKUP(AE$8,'Improved Sales Adjustments'!$G$7:$ZO$147,77,FALSE)="",0,IF(AND($G19=HLOOKUP(AE$8,'Improved Sales Adjustments'!$G$7:$ZO$147,77,FALSE),$F22=HLOOKUP(AE$8,'Improved Sales Adjustments'!$G$7:$ZO$147,79,FALSE)),1,0))))</f>
        <v>0</v>
      </c>
      <c r="AF22" s="707">
        <f>IF(dpSales_Adjustment_4="Construction Quality",IF(OR(ISERROR(HLOOKUP(AF$8,'Improved Sales Adjustments'!$G$7:$ZO$147,77,FALSE)),ISERROR(HLOOKUP(AF$8,'Improved Sales Adjustments'!$G$7:$ZO$147,78,FALSE))),0,IF(HLOOKUP(AF$8,'Improved Sales Adjustments'!$G$7:$ZO$147,77,FALSE)="",0,IF(AND($G19=HLOOKUP(AF$8,'Improved Sales Adjustments'!$G$7:$ZO$147,77,FALSE),$F22=HLOOKUP(AF$8,'Improved Sales Adjustments'!$G$7:$ZO$147,78,FALSE)),1,0))),IF(OR(ISERROR(HLOOKUP(AF$8,'Improved Sales Adjustments'!$G$7:$ZO$147,77,FALSE)),ISERROR(HLOOKUP(AF$8,'Improved Sales Adjustments'!$G$7:$ZO$147,79,FALSE))),0,IF(HLOOKUP(AF$8,'Improved Sales Adjustments'!$G$7:$ZO$147,77,FALSE)="",0,IF(AND($G19=HLOOKUP(AF$8,'Improved Sales Adjustments'!$G$7:$ZO$147,77,FALSE),$F22=HLOOKUP(AF$8,'Improved Sales Adjustments'!$G$7:$ZO$147,79,FALSE)),1,0))))</f>
        <v>0</v>
      </c>
      <c r="AG22" s="707">
        <f>IF(dpSales_Adjustment_4="Construction Quality",IF(OR(ISERROR(HLOOKUP(AG$8,'Improved Sales Adjustments'!$G$7:$ZO$147,77,FALSE)),ISERROR(HLOOKUP(AG$8,'Improved Sales Adjustments'!$G$7:$ZO$147,78,FALSE))),0,IF(HLOOKUP(AG$8,'Improved Sales Adjustments'!$G$7:$ZO$147,77,FALSE)="",0,IF(AND($G19=HLOOKUP(AG$8,'Improved Sales Adjustments'!$G$7:$ZO$147,77,FALSE),$F22=HLOOKUP(AG$8,'Improved Sales Adjustments'!$G$7:$ZO$147,78,FALSE)),1,0))),IF(OR(ISERROR(HLOOKUP(AG$8,'Improved Sales Adjustments'!$G$7:$ZO$147,77,FALSE)),ISERROR(HLOOKUP(AG$8,'Improved Sales Adjustments'!$G$7:$ZO$147,79,FALSE))),0,IF(HLOOKUP(AG$8,'Improved Sales Adjustments'!$G$7:$ZO$147,77,FALSE)="",0,IF(AND($G19=HLOOKUP(AG$8,'Improved Sales Adjustments'!$G$7:$ZO$147,77,FALSE),$F22=HLOOKUP(AG$8,'Improved Sales Adjustments'!$G$7:$ZO$147,79,FALSE)),1,0))))</f>
        <v>0</v>
      </c>
      <c r="AH22" s="707">
        <f>IF(dpSales_Adjustment_4="Construction Quality",IF(OR(ISERROR(HLOOKUP(AH$8,'Improved Sales Adjustments'!$G$7:$ZO$147,77,FALSE)),ISERROR(HLOOKUP(AH$8,'Improved Sales Adjustments'!$G$7:$ZO$147,78,FALSE))),0,IF(HLOOKUP(AH$8,'Improved Sales Adjustments'!$G$7:$ZO$147,77,FALSE)="",0,IF(AND($G19=HLOOKUP(AH$8,'Improved Sales Adjustments'!$G$7:$ZO$147,77,FALSE),$F22=HLOOKUP(AH$8,'Improved Sales Adjustments'!$G$7:$ZO$147,78,FALSE)),1,0))),IF(OR(ISERROR(HLOOKUP(AH$8,'Improved Sales Adjustments'!$G$7:$ZO$147,77,FALSE)),ISERROR(HLOOKUP(AH$8,'Improved Sales Adjustments'!$G$7:$ZO$147,79,FALSE))),0,IF(HLOOKUP(AH$8,'Improved Sales Adjustments'!$G$7:$ZO$147,77,FALSE)="",0,IF(AND($G19=HLOOKUP(AH$8,'Improved Sales Adjustments'!$G$7:$ZO$147,77,FALSE),$F22=HLOOKUP(AH$8,'Improved Sales Adjustments'!$G$7:$ZO$147,79,FALSE)),1,0))))</f>
        <v>0</v>
      </c>
      <c r="AI22" s="707">
        <f>SUM(X22:$X22)</f>
        <v>0</v>
      </c>
      <c r="AJ22" s="707">
        <f>SUM($X22:Y22)</f>
        <v>0</v>
      </c>
      <c r="AK22" s="707">
        <f>SUM($X22:Z22)</f>
        <v>0</v>
      </c>
      <c r="AL22" s="707">
        <f>SUM($X22:AA22)</f>
        <v>0</v>
      </c>
      <c r="AM22" s="707">
        <f>SUM($X22:AB22)</f>
        <v>0</v>
      </c>
      <c r="AN22" s="707">
        <f>SUM($X22:AC22)</f>
        <v>0</v>
      </c>
      <c r="AO22" s="707">
        <f>SUM($X22:AD22)</f>
        <v>0</v>
      </c>
      <c r="AP22" s="707">
        <f>SUM($X22:AE22)</f>
        <v>0</v>
      </c>
      <c r="AQ22" s="707">
        <f>SUM($X22:AF22)</f>
        <v>0</v>
      </c>
      <c r="AR22" s="707">
        <f>SUM($X22:AG22)</f>
        <v>0</v>
      </c>
      <c r="AS22" s="707">
        <f>SUM($X22:AH22)</f>
        <v>0</v>
      </c>
      <c r="AT22" s="707" t="str">
        <f t="shared" si="19"/>
        <v/>
      </c>
      <c r="AU22" s="707" t="str">
        <f t="shared" si="19"/>
        <v/>
      </c>
      <c r="AV22" s="707" t="str">
        <f t="shared" si="19"/>
        <v/>
      </c>
      <c r="AW22" s="707" t="str">
        <f t="shared" si="19"/>
        <v/>
      </c>
      <c r="AX22" s="707" t="str">
        <f t="shared" si="19"/>
        <v/>
      </c>
      <c r="AY22" s="707" t="str">
        <f t="shared" si="19"/>
        <v/>
      </c>
      <c r="AZ22" s="707" t="str">
        <f t="shared" si="19"/>
        <v/>
      </c>
      <c r="BA22" s="707" t="str">
        <f t="shared" si="19"/>
        <v/>
      </c>
      <c r="BB22" s="707" t="str">
        <f t="shared" si="19"/>
        <v/>
      </c>
      <c r="BC22" s="707" t="str">
        <f t="shared" si="19"/>
        <v/>
      </c>
      <c r="BD22" s="707" t="str">
        <f t="shared" si="19"/>
        <v/>
      </c>
    </row>
    <row r="23" spans="1:56" ht="69.95" customHeight="1" x14ac:dyDescent="0.25">
      <c r="A23" s="972">
        <f>IF(D23="",0,1)</f>
        <v>0</v>
      </c>
      <c r="B23" s="4"/>
      <c r="C23" s="101"/>
      <c r="D23" s="4186" t="str">
        <f t="shared" si="3"/>
        <v/>
      </c>
      <c r="E23" s="4186"/>
      <c r="F23" s="4071" t="str">
        <f>IF(dpSales_Adjustment_4="Construction Quality","S - Steel Frame","")</f>
        <v>S - Steel Frame</v>
      </c>
      <c r="G23" s="4208"/>
      <c r="H23" s="4211"/>
      <c r="I23" s="4211"/>
      <c r="J23" s="4211"/>
      <c r="K23" s="4211"/>
      <c r="L23" s="4072" t="str">
        <f>IFERROR(dpSales_Quality_ClassAdj*V23,"")</f>
        <v/>
      </c>
      <c r="M23" s="4194"/>
      <c r="N23" s="4191"/>
      <c r="O23" s="4191"/>
      <c r="P23" s="4073" t="str">
        <f>IFERROR(L23+M19,"")</f>
        <v/>
      </c>
      <c r="Q23" s="4070"/>
      <c r="R23" s="2086"/>
      <c r="S23" s="707"/>
      <c r="T23" s="707"/>
      <c r="U23" s="2089">
        <f t="shared" si="18"/>
        <v>0</v>
      </c>
      <c r="V23" s="2089" t="str">
        <f t="shared" si="18"/>
        <v/>
      </c>
      <c r="W23" s="2089"/>
      <c r="X23" s="2089">
        <f>IF(dpSales_Adjustment_4="Construction Quality",IF(AND(F23=Subject_ConstructionClass,G$19=Subject_ConstructionQuality),1,0),IF(AND(F23=Subject_InvestmentClass,G$19=Subject_ConstructionQuality),1,0))</f>
        <v>0</v>
      </c>
      <c r="Y23" s="2089">
        <f>IF(dpSales_Adjustment_4="Construction Quality",IF(OR(ISERROR(HLOOKUP(Y$8,'Improved Sales Adjustments'!$G$7:$ZO$147,77,FALSE)),ISERROR(HLOOKUP(Y$8,'Improved Sales Adjustments'!$G$7:$ZO$147,78,FALSE))),0,IF(HLOOKUP(Y$8,'Improved Sales Adjustments'!$G$7:$ZO$147,77,FALSE)="",0,IF(AND($G19=HLOOKUP(Y$8,'Improved Sales Adjustments'!$G$7:$ZO$147,77,FALSE),$F23=HLOOKUP(Y$8,'Improved Sales Adjustments'!$G$7:$ZO$147,78,FALSE)),1,0))),IF(OR(ISERROR(HLOOKUP(Y$8,'Improved Sales Adjustments'!$G$7:$ZO$147,77,FALSE)),ISERROR(HLOOKUP(Y$8,'Improved Sales Adjustments'!$G$7:$ZO$147,79,FALSE))),0,IF(HLOOKUP(Y$8,'Improved Sales Adjustments'!$G$7:$ZO$147,77,FALSE)="",0,IF(AND($G19=HLOOKUP(Y$8,'Improved Sales Adjustments'!$G$7:$ZO$147,77,FALSE),$F23=HLOOKUP(Y$8,'Improved Sales Adjustments'!$G$7:$ZO$147,79,FALSE)),1,0))))</f>
        <v>0</v>
      </c>
      <c r="Z23" s="2089">
        <f>IF(dpSales_Adjustment_4="Construction Quality",IF(OR(ISERROR(HLOOKUP(Z$8,'Improved Sales Adjustments'!$G$7:$ZO$147,77,FALSE)),ISERROR(HLOOKUP(Z$8,'Improved Sales Adjustments'!$G$7:$ZO$147,78,FALSE))),0,IF(HLOOKUP(Z$8,'Improved Sales Adjustments'!$G$7:$ZO$147,77,FALSE)="",0,IF(AND($G19=HLOOKUP(Z$8,'Improved Sales Adjustments'!$G$7:$ZO$147,77,FALSE),$F23=HLOOKUP(Z$8,'Improved Sales Adjustments'!$G$7:$ZO$147,78,FALSE)),1,0))),IF(OR(ISERROR(HLOOKUP(Z$8,'Improved Sales Adjustments'!$G$7:$ZO$147,77,FALSE)),ISERROR(HLOOKUP(Z$8,'Improved Sales Adjustments'!$G$7:$ZO$147,79,FALSE))),0,IF(HLOOKUP(Z$8,'Improved Sales Adjustments'!$G$7:$ZO$147,77,FALSE)="",0,IF(AND($G19=HLOOKUP(Z$8,'Improved Sales Adjustments'!$G$7:$ZO$147,77,FALSE),$F23=HLOOKUP(Z$8,'Improved Sales Adjustments'!$G$7:$ZO$147,79,FALSE)),1,0))))</f>
        <v>0</v>
      </c>
      <c r="AA23" s="2089">
        <f>IF(dpSales_Adjustment_4="Construction Quality",IF(OR(ISERROR(HLOOKUP(AA$8,'Improved Sales Adjustments'!$G$7:$ZO$147,77,FALSE)),ISERROR(HLOOKUP(AA$8,'Improved Sales Adjustments'!$G$7:$ZO$147,78,FALSE))),0,IF(HLOOKUP(AA$8,'Improved Sales Adjustments'!$G$7:$ZO$147,77,FALSE)="",0,IF(AND($G19=HLOOKUP(AA$8,'Improved Sales Adjustments'!$G$7:$ZO$147,77,FALSE),$F23=HLOOKUP(AA$8,'Improved Sales Adjustments'!$G$7:$ZO$147,78,FALSE)),1,0))),IF(OR(ISERROR(HLOOKUP(AA$8,'Improved Sales Adjustments'!$G$7:$ZO$147,77,FALSE)),ISERROR(HLOOKUP(AA$8,'Improved Sales Adjustments'!$G$7:$ZO$147,79,FALSE))),0,IF(HLOOKUP(AA$8,'Improved Sales Adjustments'!$G$7:$ZO$147,77,FALSE)="",0,IF(AND($G19=HLOOKUP(AA$8,'Improved Sales Adjustments'!$G$7:$ZO$147,77,FALSE),$F23=HLOOKUP(AA$8,'Improved Sales Adjustments'!$G$7:$ZO$147,79,FALSE)),1,0))))</f>
        <v>0</v>
      </c>
      <c r="AB23" s="2089">
        <f>IF(dpSales_Adjustment_4="Construction Quality",IF(OR(ISERROR(HLOOKUP(AB$8,'Improved Sales Adjustments'!$G$7:$ZO$147,77,FALSE)),ISERROR(HLOOKUP(AB$8,'Improved Sales Adjustments'!$G$7:$ZO$147,78,FALSE))),0,IF(HLOOKUP(AB$8,'Improved Sales Adjustments'!$G$7:$ZO$147,77,FALSE)="",0,IF(AND($G19=HLOOKUP(AB$8,'Improved Sales Adjustments'!$G$7:$ZO$147,77,FALSE),$F23=HLOOKUP(AB$8,'Improved Sales Adjustments'!$G$7:$ZO$147,78,FALSE)),1,0))),IF(OR(ISERROR(HLOOKUP(AB$8,'Improved Sales Adjustments'!$G$7:$ZO$147,77,FALSE)),ISERROR(HLOOKUP(AB$8,'Improved Sales Adjustments'!$G$7:$ZO$147,79,FALSE))),0,IF(HLOOKUP(AB$8,'Improved Sales Adjustments'!$G$7:$ZO$147,77,FALSE)="",0,IF(AND($G19=HLOOKUP(AB$8,'Improved Sales Adjustments'!$G$7:$ZO$147,77,FALSE),$F23=HLOOKUP(AB$8,'Improved Sales Adjustments'!$G$7:$ZO$147,79,FALSE)),1,0))))</f>
        <v>0</v>
      </c>
      <c r="AC23" s="2089">
        <f>IF(dpSales_Adjustment_4="Construction Quality",IF(OR(ISERROR(HLOOKUP(AC$8,'Improved Sales Adjustments'!$G$7:$ZO$147,77,FALSE)),ISERROR(HLOOKUP(AC$8,'Improved Sales Adjustments'!$G$7:$ZO$147,78,FALSE))),0,IF(HLOOKUP(AC$8,'Improved Sales Adjustments'!$G$7:$ZO$147,77,FALSE)="",0,IF(AND($G19=HLOOKUP(AC$8,'Improved Sales Adjustments'!$G$7:$ZO$147,77,FALSE),$F23=HLOOKUP(AC$8,'Improved Sales Adjustments'!$G$7:$ZO$147,78,FALSE)),1,0))),IF(OR(ISERROR(HLOOKUP(AC$8,'Improved Sales Adjustments'!$G$7:$ZO$147,77,FALSE)),ISERROR(HLOOKUP(AC$8,'Improved Sales Adjustments'!$G$7:$ZO$147,79,FALSE))),0,IF(HLOOKUP(AC$8,'Improved Sales Adjustments'!$G$7:$ZO$147,77,FALSE)="",0,IF(AND($G19=HLOOKUP(AC$8,'Improved Sales Adjustments'!$G$7:$ZO$147,77,FALSE),$F23=HLOOKUP(AC$8,'Improved Sales Adjustments'!$G$7:$ZO$147,79,FALSE)),1,0))))</f>
        <v>0</v>
      </c>
      <c r="AD23" s="2089">
        <f>IF(dpSales_Adjustment_4="Construction Quality",IF(OR(ISERROR(HLOOKUP(AD$8,'Improved Sales Adjustments'!$G$7:$ZO$147,77,FALSE)),ISERROR(HLOOKUP(AD$8,'Improved Sales Adjustments'!$G$7:$ZO$147,78,FALSE))),0,IF(HLOOKUP(AD$8,'Improved Sales Adjustments'!$G$7:$ZO$147,77,FALSE)="",0,IF(AND($G19=HLOOKUP(AD$8,'Improved Sales Adjustments'!$G$7:$ZO$147,77,FALSE),$F23=HLOOKUP(AD$8,'Improved Sales Adjustments'!$G$7:$ZO$147,78,FALSE)),1,0))),IF(OR(ISERROR(HLOOKUP(AD$8,'Improved Sales Adjustments'!$G$7:$ZO$147,77,FALSE)),ISERROR(HLOOKUP(AD$8,'Improved Sales Adjustments'!$G$7:$ZO$147,79,FALSE))),0,IF(HLOOKUP(AD$8,'Improved Sales Adjustments'!$G$7:$ZO$147,77,FALSE)="",0,IF(AND($G19=HLOOKUP(AD$8,'Improved Sales Adjustments'!$G$7:$ZO$147,77,FALSE),$F23=HLOOKUP(AD$8,'Improved Sales Adjustments'!$G$7:$ZO$147,79,FALSE)),1,0))))</f>
        <v>0</v>
      </c>
      <c r="AE23" s="2089">
        <f>IF(dpSales_Adjustment_4="Construction Quality",IF(OR(ISERROR(HLOOKUP(AE$8,'Improved Sales Adjustments'!$G$7:$ZO$147,77,FALSE)),ISERROR(HLOOKUP(AE$8,'Improved Sales Adjustments'!$G$7:$ZO$147,78,FALSE))),0,IF(HLOOKUP(AE$8,'Improved Sales Adjustments'!$G$7:$ZO$147,77,FALSE)="",0,IF(AND($G19=HLOOKUP(AE$8,'Improved Sales Adjustments'!$G$7:$ZO$147,77,FALSE),$F23=HLOOKUP(AE$8,'Improved Sales Adjustments'!$G$7:$ZO$147,78,FALSE)),1,0))),IF(OR(ISERROR(HLOOKUP(AE$8,'Improved Sales Adjustments'!$G$7:$ZO$147,77,FALSE)),ISERROR(HLOOKUP(AE$8,'Improved Sales Adjustments'!$G$7:$ZO$147,79,FALSE))),0,IF(HLOOKUP(AE$8,'Improved Sales Adjustments'!$G$7:$ZO$147,77,FALSE)="",0,IF(AND($G19=HLOOKUP(AE$8,'Improved Sales Adjustments'!$G$7:$ZO$147,77,FALSE),$F23=HLOOKUP(AE$8,'Improved Sales Adjustments'!$G$7:$ZO$147,79,FALSE)),1,0))))</f>
        <v>0</v>
      </c>
      <c r="AF23" s="2089">
        <f>IF(dpSales_Adjustment_4="Construction Quality",IF(OR(ISERROR(HLOOKUP(AF$8,'Improved Sales Adjustments'!$G$7:$ZO$147,77,FALSE)),ISERROR(HLOOKUP(AF$8,'Improved Sales Adjustments'!$G$7:$ZO$147,78,FALSE))),0,IF(HLOOKUP(AF$8,'Improved Sales Adjustments'!$G$7:$ZO$147,77,FALSE)="",0,IF(AND($G19=HLOOKUP(AF$8,'Improved Sales Adjustments'!$G$7:$ZO$147,77,FALSE),$F23=HLOOKUP(AF$8,'Improved Sales Adjustments'!$G$7:$ZO$147,78,FALSE)),1,0))),IF(OR(ISERROR(HLOOKUP(AF$8,'Improved Sales Adjustments'!$G$7:$ZO$147,77,FALSE)),ISERROR(HLOOKUP(AF$8,'Improved Sales Adjustments'!$G$7:$ZO$147,79,FALSE))),0,IF(HLOOKUP(AF$8,'Improved Sales Adjustments'!$G$7:$ZO$147,77,FALSE)="",0,IF(AND($G19=HLOOKUP(AF$8,'Improved Sales Adjustments'!$G$7:$ZO$147,77,FALSE),$F23=HLOOKUP(AF$8,'Improved Sales Adjustments'!$G$7:$ZO$147,79,FALSE)),1,0))))</f>
        <v>0</v>
      </c>
      <c r="AG23" s="2089">
        <f>IF(dpSales_Adjustment_4="Construction Quality",IF(OR(ISERROR(HLOOKUP(AG$8,'Improved Sales Adjustments'!$G$7:$ZO$147,77,FALSE)),ISERROR(HLOOKUP(AG$8,'Improved Sales Adjustments'!$G$7:$ZO$147,78,FALSE))),0,IF(HLOOKUP(AG$8,'Improved Sales Adjustments'!$G$7:$ZO$147,77,FALSE)="",0,IF(AND($G19=HLOOKUP(AG$8,'Improved Sales Adjustments'!$G$7:$ZO$147,77,FALSE),$F23=HLOOKUP(AG$8,'Improved Sales Adjustments'!$G$7:$ZO$147,78,FALSE)),1,0))),IF(OR(ISERROR(HLOOKUP(AG$8,'Improved Sales Adjustments'!$G$7:$ZO$147,77,FALSE)),ISERROR(HLOOKUP(AG$8,'Improved Sales Adjustments'!$G$7:$ZO$147,79,FALSE))),0,IF(HLOOKUP(AG$8,'Improved Sales Adjustments'!$G$7:$ZO$147,77,FALSE)="",0,IF(AND($G19=HLOOKUP(AG$8,'Improved Sales Adjustments'!$G$7:$ZO$147,77,FALSE),$F23=HLOOKUP(AG$8,'Improved Sales Adjustments'!$G$7:$ZO$147,79,FALSE)),1,0))))</f>
        <v>0</v>
      </c>
      <c r="AH23" s="2089">
        <f>IF(dpSales_Adjustment_4="Construction Quality",IF(OR(ISERROR(HLOOKUP(AH$8,'Improved Sales Adjustments'!$G$7:$ZO$147,77,FALSE)),ISERROR(HLOOKUP(AH$8,'Improved Sales Adjustments'!$G$7:$ZO$147,78,FALSE))),0,IF(HLOOKUP(AH$8,'Improved Sales Adjustments'!$G$7:$ZO$147,77,FALSE)="",0,IF(AND($G19=HLOOKUP(AH$8,'Improved Sales Adjustments'!$G$7:$ZO$147,77,FALSE),$F23=HLOOKUP(AH$8,'Improved Sales Adjustments'!$G$7:$ZO$147,78,FALSE)),1,0))),IF(OR(ISERROR(HLOOKUP(AH$8,'Improved Sales Adjustments'!$G$7:$ZO$147,77,FALSE)),ISERROR(HLOOKUP(AH$8,'Improved Sales Adjustments'!$G$7:$ZO$147,79,FALSE))),0,IF(HLOOKUP(AH$8,'Improved Sales Adjustments'!$G$7:$ZO$147,77,FALSE)="",0,IF(AND($G19=HLOOKUP(AH$8,'Improved Sales Adjustments'!$G$7:$ZO$147,77,FALSE),$F23=HLOOKUP(AH$8,'Improved Sales Adjustments'!$G$7:$ZO$147,79,FALSE)),1,0))))</f>
        <v>0</v>
      </c>
      <c r="AI23" s="2089">
        <f>SUM(X23:$X23)</f>
        <v>0</v>
      </c>
      <c r="AJ23" s="2089">
        <f>SUM($X23:Y23)</f>
        <v>0</v>
      </c>
      <c r="AK23" s="2089">
        <f>SUM($X23:Z23)</f>
        <v>0</v>
      </c>
      <c r="AL23" s="2089">
        <f>SUM($X23:AA23)</f>
        <v>0</v>
      </c>
      <c r="AM23" s="2089">
        <f>SUM($X23:AB23)</f>
        <v>0</v>
      </c>
      <c r="AN23" s="2089">
        <f>SUM($X23:AC23)</f>
        <v>0</v>
      </c>
      <c r="AO23" s="2089">
        <f>SUM($X23:AD23)</f>
        <v>0</v>
      </c>
      <c r="AP23" s="2089">
        <f>SUM($X23:AE23)</f>
        <v>0</v>
      </c>
      <c r="AQ23" s="2089">
        <f>SUM($X23:AF23)</f>
        <v>0</v>
      </c>
      <c r="AR23" s="2089">
        <f>SUM($X23:AG23)</f>
        <v>0</v>
      </c>
      <c r="AS23" s="2089">
        <f>SUM($X23:AH23)</f>
        <v>0</v>
      </c>
      <c r="AT23" s="2089" t="str">
        <f t="shared" si="19"/>
        <v/>
      </c>
      <c r="AU23" s="2089" t="str">
        <f t="shared" si="19"/>
        <v/>
      </c>
      <c r="AV23" s="2089" t="str">
        <f t="shared" si="19"/>
        <v/>
      </c>
      <c r="AW23" s="2089" t="str">
        <f t="shared" si="19"/>
        <v/>
      </c>
      <c r="AX23" s="2089" t="str">
        <f t="shared" si="19"/>
        <v/>
      </c>
      <c r="AY23" s="2089" t="str">
        <f t="shared" si="19"/>
        <v/>
      </c>
      <c r="AZ23" s="2089" t="str">
        <f t="shared" si="19"/>
        <v/>
      </c>
      <c r="BA23" s="2089" t="str">
        <f t="shared" si="19"/>
        <v/>
      </c>
      <c r="BB23" s="2089" t="str">
        <f t="shared" si="19"/>
        <v/>
      </c>
      <c r="BC23" s="2089" t="str">
        <f t="shared" si="19"/>
        <v/>
      </c>
      <c r="BD23" s="2089" t="str">
        <f t="shared" si="19"/>
        <v/>
      </c>
    </row>
    <row r="24" spans="1:56" ht="69.95" customHeight="1" x14ac:dyDescent="0.25">
      <c r="A24" s="972">
        <f t="shared" si="6"/>
        <v>0</v>
      </c>
      <c r="B24" s="4"/>
      <c r="C24" s="101"/>
      <c r="D24" s="4185" t="str">
        <f t="shared" si="3"/>
        <v/>
      </c>
      <c r="E24" s="4185"/>
      <c r="F24" s="4067" t="str">
        <f>IF(dpSales_Adjustment_4="Construction Quality","A - Structural Steel","A")</f>
        <v>A - Structural Steel</v>
      </c>
      <c r="G24" s="4209" t="s">
        <v>306</v>
      </c>
      <c r="H24" s="4210" t="s">
        <v>1812</v>
      </c>
      <c r="I24" s="4210"/>
      <c r="J24" s="4210"/>
      <c r="K24" s="4210"/>
      <c r="L24" s="4068" t="str">
        <f t="shared" si="4"/>
        <v/>
      </c>
      <c r="M24" s="4193">
        <f>dpSales_Quality_RatingAdj*W24</f>
        <v>-0.4</v>
      </c>
      <c r="N24" s="4190" t="s">
        <v>177</v>
      </c>
      <c r="O24" s="4190"/>
      <c r="P24" s="4069" t="str">
        <f>IFERROR(L24+M24,"")</f>
        <v/>
      </c>
      <c r="Q24" s="4070"/>
      <c r="R24" s="2086"/>
      <c r="S24" s="707"/>
      <c r="T24" s="707"/>
      <c r="U24" s="707">
        <f t="shared" ref="U24:V28" si="20">U14</f>
        <v>0</v>
      </c>
      <c r="V24" s="707" t="str">
        <f t="shared" si="20"/>
        <v/>
      </c>
      <c r="W24" s="707">
        <f>IF(SUM(X24:X28)=1,0,IF(SUM(X$9:X24)=0,W29-1,W19+1))</f>
        <v>-4</v>
      </c>
      <c r="X24" s="707">
        <f>IF(dpSales_Adjustment_4="Construction Quality",IF(AND(F24=Subject_ConstructionClass,G$24=Subject_ConstructionQuality),1,0),IF(AND(F24=Subject_InvestmentClass,G$24=Subject_ConstructionQuality),1,0))</f>
        <v>0</v>
      </c>
      <c r="Y24" s="707">
        <f>IF(dpSales_Adjustment_4="Construction Quality",IF(OR(ISERROR(HLOOKUP(Y$8,'Improved Sales Adjustments'!$G$7:$ZO$147,77,FALSE)),ISERROR(HLOOKUP(Y$8,'Improved Sales Adjustments'!$G$7:$ZO$147,78,FALSE))),0,IF(HLOOKUP(Y$8,'Improved Sales Adjustments'!$G$7:$ZO$147,77,FALSE)="",0,IF(AND($G24=HLOOKUP(Y$8,'Improved Sales Adjustments'!$G$7:$ZO$147,77,FALSE),$F24=HLOOKUP(Y$8,'Improved Sales Adjustments'!$G$7:$ZO$147,78,FALSE)),1,0))),IF(OR(ISERROR(HLOOKUP(Y$8,'Improved Sales Adjustments'!$G$7:$ZO$147,77,FALSE)),ISERROR(HLOOKUP(Y$8,'Improved Sales Adjustments'!$G$7:$ZO$147,79,FALSE))),0,IF(HLOOKUP(Y$8,'Improved Sales Adjustments'!$G$7:$ZO$147,77,FALSE)="",0,IF(AND($G24=HLOOKUP(Y$8,'Improved Sales Adjustments'!$G$7:$ZO$147,77,FALSE),$F24=HLOOKUP(Y$8,'Improved Sales Adjustments'!$G$7:$ZO$147,79,FALSE)),1,0))))</f>
        <v>0</v>
      </c>
      <c r="Z24" s="707">
        <f>IF(dpSales_Adjustment_4="Construction Quality",IF(OR(ISERROR(HLOOKUP(Z$8,'Improved Sales Adjustments'!$G$7:$ZO$147,77,FALSE)),ISERROR(HLOOKUP(Z$8,'Improved Sales Adjustments'!$G$7:$ZO$147,78,FALSE))),0,IF(HLOOKUP(Z$8,'Improved Sales Adjustments'!$G$7:$ZO$147,77,FALSE)="",0,IF(AND($G24=HLOOKUP(Z$8,'Improved Sales Adjustments'!$G$7:$ZO$147,77,FALSE),$F24=HLOOKUP(Z$8,'Improved Sales Adjustments'!$G$7:$ZO$147,78,FALSE)),1,0))),IF(OR(ISERROR(HLOOKUP(Z$8,'Improved Sales Adjustments'!$G$7:$ZO$147,77,FALSE)),ISERROR(HLOOKUP(Z$8,'Improved Sales Adjustments'!$G$7:$ZO$147,79,FALSE))),0,IF(HLOOKUP(Z$8,'Improved Sales Adjustments'!$G$7:$ZO$147,77,FALSE)="",0,IF(AND($G24=HLOOKUP(Z$8,'Improved Sales Adjustments'!$G$7:$ZO$147,77,FALSE),$F24=HLOOKUP(Z$8,'Improved Sales Adjustments'!$G$7:$ZO$147,79,FALSE)),1,0))))</f>
        <v>0</v>
      </c>
      <c r="AA24" s="707">
        <f>IF(dpSales_Adjustment_4="Construction Quality",IF(OR(ISERROR(HLOOKUP(AA$8,'Improved Sales Adjustments'!$G$7:$ZO$147,77,FALSE)),ISERROR(HLOOKUP(AA$8,'Improved Sales Adjustments'!$G$7:$ZO$147,78,FALSE))),0,IF(HLOOKUP(AA$8,'Improved Sales Adjustments'!$G$7:$ZO$147,77,FALSE)="",0,IF(AND($G24=HLOOKUP(AA$8,'Improved Sales Adjustments'!$G$7:$ZO$147,77,FALSE),$F24=HLOOKUP(AA$8,'Improved Sales Adjustments'!$G$7:$ZO$147,78,FALSE)),1,0))),IF(OR(ISERROR(HLOOKUP(AA$8,'Improved Sales Adjustments'!$G$7:$ZO$147,77,FALSE)),ISERROR(HLOOKUP(AA$8,'Improved Sales Adjustments'!$G$7:$ZO$147,79,FALSE))),0,IF(HLOOKUP(AA$8,'Improved Sales Adjustments'!$G$7:$ZO$147,77,FALSE)="",0,IF(AND($G24=HLOOKUP(AA$8,'Improved Sales Adjustments'!$G$7:$ZO$147,77,FALSE),$F24=HLOOKUP(AA$8,'Improved Sales Adjustments'!$G$7:$ZO$147,79,FALSE)),1,0))))</f>
        <v>0</v>
      </c>
      <c r="AB24" s="707">
        <f>IF(dpSales_Adjustment_4="Construction Quality",IF(OR(ISERROR(HLOOKUP(AB$8,'Improved Sales Adjustments'!$G$7:$ZO$147,77,FALSE)),ISERROR(HLOOKUP(AB$8,'Improved Sales Adjustments'!$G$7:$ZO$147,78,FALSE))),0,IF(HLOOKUP(AB$8,'Improved Sales Adjustments'!$G$7:$ZO$147,77,FALSE)="",0,IF(AND($G24=HLOOKUP(AB$8,'Improved Sales Adjustments'!$G$7:$ZO$147,77,FALSE),$F24=HLOOKUP(AB$8,'Improved Sales Adjustments'!$G$7:$ZO$147,78,FALSE)),1,0))),IF(OR(ISERROR(HLOOKUP(AB$8,'Improved Sales Adjustments'!$G$7:$ZO$147,77,FALSE)),ISERROR(HLOOKUP(AB$8,'Improved Sales Adjustments'!$G$7:$ZO$147,79,FALSE))),0,IF(HLOOKUP(AB$8,'Improved Sales Adjustments'!$G$7:$ZO$147,77,FALSE)="",0,IF(AND($G24=HLOOKUP(AB$8,'Improved Sales Adjustments'!$G$7:$ZO$147,77,FALSE),$F24=HLOOKUP(AB$8,'Improved Sales Adjustments'!$G$7:$ZO$147,79,FALSE)),1,0))))</f>
        <v>0</v>
      </c>
      <c r="AC24" s="707">
        <f>IF(dpSales_Adjustment_4="Construction Quality",IF(OR(ISERROR(HLOOKUP(AC$8,'Improved Sales Adjustments'!$G$7:$ZO$147,77,FALSE)),ISERROR(HLOOKUP(AC$8,'Improved Sales Adjustments'!$G$7:$ZO$147,78,FALSE))),0,IF(HLOOKUP(AC$8,'Improved Sales Adjustments'!$G$7:$ZO$147,77,FALSE)="",0,IF(AND($G24=HLOOKUP(AC$8,'Improved Sales Adjustments'!$G$7:$ZO$147,77,FALSE),$F24=HLOOKUP(AC$8,'Improved Sales Adjustments'!$G$7:$ZO$147,78,FALSE)),1,0))),IF(OR(ISERROR(HLOOKUP(AC$8,'Improved Sales Adjustments'!$G$7:$ZO$147,77,FALSE)),ISERROR(HLOOKUP(AC$8,'Improved Sales Adjustments'!$G$7:$ZO$147,79,FALSE))),0,IF(HLOOKUP(AC$8,'Improved Sales Adjustments'!$G$7:$ZO$147,77,FALSE)="",0,IF(AND($G24=HLOOKUP(AC$8,'Improved Sales Adjustments'!$G$7:$ZO$147,77,FALSE),$F24=HLOOKUP(AC$8,'Improved Sales Adjustments'!$G$7:$ZO$147,79,FALSE)),1,0))))</f>
        <v>0</v>
      </c>
      <c r="AD24" s="707">
        <f>IF(dpSales_Adjustment_4="Construction Quality",IF(OR(ISERROR(HLOOKUP(AD$8,'Improved Sales Adjustments'!$G$7:$ZO$147,77,FALSE)),ISERROR(HLOOKUP(AD$8,'Improved Sales Adjustments'!$G$7:$ZO$147,78,FALSE))),0,IF(HLOOKUP(AD$8,'Improved Sales Adjustments'!$G$7:$ZO$147,77,FALSE)="",0,IF(AND($G24=HLOOKUP(AD$8,'Improved Sales Adjustments'!$G$7:$ZO$147,77,FALSE),$F24=HLOOKUP(AD$8,'Improved Sales Adjustments'!$G$7:$ZO$147,78,FALSE)),1,0))),IF(OR(ISERROR(HLOOKUP(AD$8,'Improved Sales Adjustments'!$G$7:$ZO$147,77,FALSE)),ISERROR(HLOOKUP(AD$8,'Improved Sales Adjustments'!$G$7:$ZO$147,79,FALSE))),0,IF(HLOOKUP(AD$8,'Improved Sales Adjustments'!$G$7:$ZO$147,77,FALSE)="",0,IF(AND($G24=HLOOKUP(AD$8,'Improved Sales Adjustments'!$G$7:$ZO$147,77,FALSE),$F24=HLOOKUP(AD$8,'Improved Sales Adjustments'!$G$7:$ZO$147,79,FALSE)),1,0))))</f>
        <v>0</v>
      </c>
      <c r="AE24" s="707">
        <f>IF(dpSales_Adjustment_4="Construction Quality",IF(OR(ISERROR(HLOOKUP(AE$8,'Improved Sales Adjustments'!$G$7:$ZO$147,77,FALSE)),ISERROR(HLOOKUP(AE$8,'Improved Sales Adjustments'!$G$7:$ZO$147,78,FALSE))),0,IF(HLOOKUP(AE$8,'Improved Sales Adjustments'!$G$7:$ZO$147,77,FALSE)="",0,IF(AND($G24=HLOOKUP(AE$8,'Improved Sales Adjustments'!$G$7:$ZO$147,77,FALSE),$F24=HLOOKUP(AE$8,'Improved Sales Adjustments'!$G$7:$ZO$147,78,FALSE)),1,0))),IF(OR(ISERROR(HLOOKUP(AE$8,'Improved Sales Adjustments'!$G$7:$ZO$147,77,FALSE)),ISERROR(HLOOKUP(AE$8,'Improved Sales Adjustments'!$G$7:$ZO$147,79,FALSE))),0,IF(HLOOKUP(AE$8,'Improved Sales Adjustments'!$G$7:$ZO$147,77,FALSE)="",0,IF(AND($G24=HLOOKUP(AE$8,'Improved Sales Adjustments'!$G$7:$ZO$147,77,FALSE),$F24=HLOOKUP(AE$8,'Improved Sales Adjustments'!$G$7:$ZO$147,79,FALSE)),1,0))))</f>
        <v>0</v>
      </c>
      <c r="AF24" s="707">
        <f>IF(dpSales_Adjustment_4="Construction Quality",IF(OR(ISERROR(HLOOKUP(AF$8,'Improved Sales Adjustments'!$G$7:$ZO$147,77,FALSE)),ISERROR(HLOOKUP(AF$8,'Improved Sales Adjustments'!$G$7:$ZO$147,78,FALSE))),0,IF(HLOOKUP(AF$8,'Improved Sales Adjustments'!$G$7:$ZO$147,77,FALSE)="",0,IF(AND($G24=HLOOKUP(AF$8,'Improved Sales Adjustments'!$G$7:$ZO$147,77,FALSE),$F24=HLOOKUP(AF$8,'Improved Sales Adjustments'!$G$7:$ZO$147,78,FALSE)),1,0))),IF(OR(ISERROR(HLOOKUP(AF$8,'Improved Sales Adjustments'!$G$7:$ZO$147,77,FALSE)),ISERROR(HLOOKUP(AF$8,'Improved Sales Adjustments'!$G$7:$ZO$147,79,FALSE))),0,IF(HLOOKUP(AF$8,'Improved Sales Adjustments'!$G$7:$ZO$147,77,FALSE)="",0,IF(AND($G24=HLOOKUP(AF$8,'Improved Sales Adjustments'!$G$7:$ZO$147,77,FALSE),$F24=HLOOKUP(AF$8,'Improved Sales Adjustments'!$G$7:$ZO$147,79,FALSE)),1,0))))</f>
        <v>0</v>
      </c>
      <c r="AG24" s="707">
        <f>IF(dpSales_Adjustment_4="Construction Quality",IF(OR(ISERROR(HLOOKUP(AG$8,'Improved Sales Adjustments'!$G$7:$ZO$147,77,FALSE)),ISERROR(HLOOKUP(AG$8,'Improved Sales Adjustments'!$G$7:$ZO$147,78,FALSE))),0,IF(HLOOKUP(AG$8,'Improved Sales Adjustments'!$G$7:$ZO$147,77,FALSE)="",0,IF(AND($G24=HLOOKUP(AG$8,'Improved Sales Adjustments'!$G$7:$ZO$147,77,FALSE),$F24=HLOOKUP(AG$8,'Improved Sales Adjustments'!$G$7:$ZO$147,78,FALSE)),1,0))),IF(OR(ISERROR(HLOOKUP(AG$8,'Improved Sales Adjustments'!$G$7:$ZO$147,77,FALSE)),ISERROR(HLOOKUP(AG$8,'Improved Sales Adjustments'!$G$7:$ZO$147,79,FALSE))),0,IF(HLOOKUP(AG$8,'Improved Sales Adjustments'!$G$7:$ZO$147,77,FALSE)="",0,IF(AND($G24=HLOOKUP(AG$8,'Improved Sales Adjustments'!$G$7:$ZO$147,77,FALSE),$F24=HLOOKUP(AG$8,'Improved Sales Adjustments'!$G$7:$ZO$147,79,FALSE)),1,0))))</f>
        <v>0</v>
      </c>
      <c r="AH24" s="707">
        <f>IF(dpSales_Adjustment_4="Construction Quality",IF(OR(ISERROR(HLOOKUP(AH$8,'Improved Sales Adjustments'!$G$7:$ZO$147,77,FALSE)),ISERROR(HLOOKUP(AH$8,'Improved Sales Adjustments'!$G$7:$ZO$147,78,FALSE))),0,IF(HLOOKUP(AH$8,'Improved Sales Adjustments'!$G$7:$ZO$147,77,FALSE)="",0,IF(AND($G24=HLOOKUP(AH$8,'Improved Sales Adjustments'!$G$7:$ZO$147,77,FALSE),$F24=HLOOKUP(AH$8,'Improved Sales Adjustments'!$G$7:$ZO$147,78,FALSE)),1,0))),IF(OR(ISERROR(HLOOKUP(AH$8,'Improved Sales Adjustments'!$G$7:$ZO$147,77,FALSE)),ISERROR(HLOOKUP(AH$8,'Improved Sales Adjustments'!$G$7:$ZO$147,79,FALSE))),0,IF(HLOOKUP(AH$8,'Improved Sales Adjustments'!$G$7:$ZO$147,77,FALSE)="",0,IF(AND($G24=HLOOKUP(AH$8,'Improved Sales Adjustments'!$G$7:$ZO$147,77,FALSE),$F24=HLOOKUP(AH$8,'Improved Sales Adjustments'!$G$7:$ZO$147,79,FALSE)),1,0))))</f>
        <v>0</v>
      </c>
      <c r="AI24" s="707">
        <f>SUM(X24:$X24)</f>
        <v>0</v>
      </c>
      <c r="AJ24" s="707">
        <f>SUM($X24:Y24)</f>
        <v>0</v>
      </c>
      <c r="AK24" s="707">
        <f>SUM($X24:Z24)</f>
        <v>0</v>
      </c>
      <c r="AL24" s="707">
        <f>SUM($X24:AA24)</f>
        <v>0</v>
      </c>
      <c r="AM24" s="707">
        <f>SUM($X24:AB24)</f>
        <v>0</v>
      </c>
      <c r="AN24" s="707">
        <f>SUM($X24:AC24)</f>
        <v>0</v>
      </c>
      <c r="AO24" s="707">
        <f>SUM($X24:AD24)</f>
        <v>0</v>
      </c>
      <c r="AP24" s="707">
        <f>SUM($X24:AE24)</f>
        <v>0</v>
      </c>
      <c r="AQ24" s="707">
        <f>SUM($X24:AF24)</f>
        <v>0</v>
      </c>
      <c r="AR24" s="707">
        <f>SUM($X24:AG24)</f>
        <v>0</v>
      </c>
      <c r="AS24" s="707">
        <f>SUM($X24:AH24)</f>
        <v>0</v>
      </c>
      <c r="AT24" s="707" t="str">
        <f t="shared" si="7"/>
        <v/>
      </c>
      <c r="AU24" s="707" t="str">
        <f t="shared" si="8"/>
        <v/>
      </c>
      <c r="AV24" s="707" t="str">
        <f t="shared" si="9"/>
        <v/>
      </c>
      <c r="AW24" s="707" t="str">
        <f t="shared" si="10"/>
        <v/>
      </c>
      <c r="AX24" s="707" t="str">
        <f t="shared" si="11"/>
        <v/>
      </c>
      <c r="AY24" s="707" t="str">
        <f t="shared" si="12"/>
        <v/>
      </c>
      <c r="AZ24" s="707" t="str">
        <f t="shared" si="13"/>
        <v/>
      </c>
      <c r="BA24" s="707" t="str">
        <f t="shared" si="14"/>
        <v/>
      </c>
      <c r="BB24" s="707" t="str">
        <f t="shared" si="15"/>
        <v/>
      </c>
      <c r="BC24" s="707" t="str">
        <f t="shared" si="16"/>
        <v/>
      </c>
      <c r="BD24" s="707" t="str">
        <f t="shared" si="17"/>
        <v/>
      </c>
    </row>
    <row r="25" spans="1:56" ht="69.95" customHeight="1" x14ac:dyDescent="0.25">
      <c r="A25" s="972">
        <f t="shared" si="6"/>
        <v>0</v>
      </c>
      <c r="B25" s="4"/>
      <c r="C25" s="101"/>
      <c r="D25" s="4185" t="str">
        <f t="shared" si="3"/>
        <v/>
      </c>
      <c r="E25" s="4185"/>
      <c r="F25" s="4067" t="str">
        <f>IF(dpSales_Adjustment_4="Construction Quality","B - Reinforced Concrete","B")</f>
        <v>B - Reinforced Concrete</v>
      </c>
      <c r="G25" s="4207"/>
      <c r="H25" s="4198"/>
      <c r="I25" s="4198"/>
      <c r="J25" s="4198"/>
      <c r="K25" s="4198"/>
      <c r="L25" s="4068" t="str">
        <f t="shared" si="4"/>
        <v/>
      </c>
      <c r="M25" s="4194"/>
      <c r="N25" s="4190"/>
      <c r="O25" s="4190"/>
      <c r="P25" s="4069" t="str">
        <f>IFERROR(L25+M24,"")</f>
        <v/>
      </c>
      <c r="Q25" s="4070"/>
      <c r="R25" s="2086"/>
      <c r="S25" s="707"/>
      <c r="T25" s="707"/>
      <c r="U25" s="707">
        <f t="shared" si="20"/>
        <v>0</v>
      </c>
      <c r="V25" s="707" t="str">
        <f t="shared" si="20"/>
        <v/>
      </c>
      <c r="W25" s="707"/>
      <c r="X25" s="707">
        <f>IF(dpSales_Adjustment_4="Construction Quality",IF(AND(F25=Subject_ConstructionClass,G$24=Subject_ConstructionQuality),1,0),IF(AND(F25=Subject_InvestmentClass,G$24=Subject_ConstructionQuality),1,0))</f>
        <v>0</v>
      </c>
      <c r="Y25" s="707">
        <f>IF(dpSales_Adjustment_4="Construction Quality",IF(OR(ISERROR(HLOOKUP(Y$8,'Improved Sales Adjustments'!$G$7:$ZO$147,77,FALSE)),ISERROR(HLOOKUP(Y$8,'Improved Sales Adjustments'!$G$7:$ZO$147,78,FALSE))),0,IF(HLOOKUP(Y$8,'Improved Sales Adjustments'!$G$7:$ZO$147,77,FALSE)="",0,IF(AND($G24=HLOOKUP(Y$8,'Improved Sales Adjustments'!$G$7:$ZO$147,77,FALSE),$F25=HLOOKUP(Y$8,'Improved Sales Adjustments'!$G$7:$ZO$147,78,FALSE)),1,0))),IF(OR(ISERROR(HLOOKUP(Y$8,'Improved Sales Adjustments'!$G$7:$ZO$147,77,FALSE)),ISERROR(HLOOKUP(Y$8,'Improved Sales Adjustments'!$G$7:$ZO$147,79,FALSE))),0,IF(HLOOKUP(Y$8,'Improved Sales Adjustments'!$G$7:$ZO$147,77,FALSE)="",0,IF(AND($G24=HLOOKUP(Y$8,'Improved Sales Adjustments'!$G$7:$ZO$147,77,FALSE),$F25=HLOOKUP(Y$8,'Improved Sales Adjustments'!$G$7:$ZO$147,79,FALSE)),1,0))))</f>
        <v>0</v>
      </c>
      <c r="Z25" s="707">
        <f>IF(dpSales_Adjustment_4="Construction Quality",IF(OR(ISERROR(HLOOKUP(Z$8,'Improved Sales Adjustments'!$G$7:$ZO$147,77,FALSE)),ISERROR(HLOOKUP(Z$8,'Improved Sales Adjustments'!$G$7:$ZO$147,78,FALSE))),0,IF(HLOOKUP(Z$8,'Improved Sales Adjustments'!$G$7:$ZO$147,77,FALSE)="",0,IF(AND($G24=HLOOKUP(Z$8,'Improved Sales Adjustments'!$G$7:$ZO$147,77,FALSE),$F25=HLOOKUP(Z$8,'Improved Sales Adjustments'!$G$7:$ZO$147,78,FALSE)),1,0))),IF(OR(ISERROR(HLOOKUP(Z$8,'Improved Sales Adjustments'!$G$7:$ZO$147,77,FALSE)),ISERROR(HLOOKUP(Z$8,'Improved Sales Adjustments'!$G$7:$ZO$147,79,FALSE))),0,IF(HLOOKUP(Z$8,'Improved Sales Adjustments'!$G$7:$ZO$147,77,FALSE)="",0,IF(AND($G24=HLOOKUP(Z$8,'Improved Sales Adjustments'!$G$7:$ZO$147,77,FALSE),$F25=HLOOKUP(Z$8,'Improved Sales Adjustments'!$G$7:$ZO$147,79,FALSE)),1,0))))</f>
        <v>0</v>
      </c>
      <c r="AA25" s="707">
        <f>IF(dpSales_Adjustment_4="Construction Quality",IF(OR(ISERROR(HLOOKUP(AA$8,'Improved Sales Adjustments'!$G$7:$ZO$147,77,FALSE)),ISERROR(HLOOKUP(AA$8,'Improved Sales Adjustments'!$G$7:$ZO$147,78,FALSE))),0,IF(HLOOKUP(AA$8,'Improved Sales Adjustments'!$G$7:$ZO$147,77,FALSE)="",0,IF(AND($G24=HLOOKUP(AA$8,'Improved Sales Adjustments'!$G$7:$ZO$147,77,FALSE),$F25=HLOOKUP(AA$8,'Improved Sales Adjustments'!$G$7:$ZO$147,78,FALSE)),1,0))),IF(OR(ISERROR(HLOOKUP(AA$8,'Improved Sales Adjustments'!$G$7:$ZO$147,77,FALSE)),ISERROR(HLOOKUP(AA$8,'Improved Sales Adjustments'!$G$7:$ZO$147,79,FALSE))),0,IF(HLOOKUP(AA$8,'Improved Sales Adjustments'!$G$7:$ZO$147,77,FALSE)="",0,IF(AND($G24=HLOOKUP(AA$8,'Improved Sales Adjustments'!$G$7:$ZO$147,77,FALSE),$F25=HLOOKUP(AA$8,'Improved Sales Adjustments'!$G$7:$ZO$147,79,FALSE)),1,0))))</f>
        <v>0</v>
      </c>
      <c r="AB25" s="707">
        <f>IF(dpSales_Adjustment_4="Construction Quality",IF(OR(ISERROR(HLOOKUP(AB$8,'Improved Sales Adjustments'!$G$7:$ZO$147,77,FALSE)),ISERROR(HLOOKUP(AB$8,'Improved Sales Adjustments'!$G$7:$ZO$147,78,FALSE))),0,IF(HLOOKUP(AB$8,'Improved Sales Adjustments'!$G$7:$ZO$147,77,FALSE)="",0,IF(AND($G24=HLOOKUP(AB$8,'Improved Sales Adjustments'!$G$7:$ZO$147,77,FALSE),$F25=HLOOKUP(AB$8,'Improved Sales Adjustments'!$G$7:$ZO$147,78,FALSE)),1,0))),IF(OR(ISERROR(HLOOKUP(AB$8,'Improved Sales Adjustments'!$G$7:$ZO$147,77,FALSE)),ISERROR(HLOOKUP(AB$8,'Improved Sales Adjustments'!$G$7:$ZO$147,79,FALSE))),0,IF(HLOOKUP(AB$8,'Improved Sales Adjustments'!$G$7:$ZO$147,77,FALSE)="",0,IF(AND($G24=HLOOKUP(AB$8,'Improved Sales Adjustments'!$G$7:$ZO$147,77,FALSE),$F25=HLOOKUP(AB$8,'Improved Sales Adjustments'!$G$7:$ZO$147,79,FALSE)),1,0))))</f>
        <v>0</v>
      </c>
      <c r="AC25" s="707">
        <f>IF(dpSales_Adjustment_4="Construction Quality",IF(OR(ISERROR(HLOOKUP(AC$8,'Improved Sales Adjustments'!$G$7:$ZO$147,77,FALSE)),ISERROR(HLOOKUP(AC$8,'Improved Sales Adjustments'!$G$7:$ZO$147,78,FALSE))),0,IF(HLOOKUP(AC$8,'Improved Sales Adjustments'!$G$7:$ZO$147,77,FALSE)="",0,IF(AND($G24=HLOOKUP(AC$8,'Improved Sales Adjustments'!$G$7:$ZO$147,77,FALSE),$F25=HLOOKUP(AC$8,'Improved Sales Adjustments'!$G$7:$ZO$147,78,FALSE)),1,0))),IF(OR(ISERROR(HLOOKUP(AC$8,'Improved Sales Adjustments'!$G$7:$ZO$147,77,FALSE)),ISERROR(HLOOKUP(AC$8,'Improved Sales Adjustments'!$G$7:$ZO$147,79,FALSE))),0,IF(HLOOKUP(AC$8,'Improved Sales Adjustments'!$G$7:$ZO$147,77,FALSE)="",0,IF(AND($G24=HLOOKUP(AC$8,'Improved Sales Adjustments'!$G$7:$ZO$147,77,FALSE),$F25=HLOOKUP(AC$8,'Improved Sales Adjustments'!$G$7:$ZO$147,79,FALSE)),1,0))))</f>
        <v>0</v>
      </c>
      <c r="AD25" s="707">
        <f>IF(dpSales_Adjustment_4="Construction Quality",IF(OR(ISERROR(HLOOKUP(AD$8,'Improved Sales Adjustments'!$G$7:$ZO$147,77,FALSE)),ISERROR(HLOOKUP(AD$8,'Improved Sales Adjustments'!$G$7:$ZO$147,78,FALSE))),0,IF(HLOOKUP(AD$8,'Improved Sales Adjustments'!$G$7:$ZO$147,77,FALSE)="",0,IF(AND($G24=HLOOKUP(AD$8,'Improved Sales Adjustments'!$G$7:$ZO$147,77,FALSE),$F25=HLOOKUP(AD$8,'Improved Sales Adjustments'!$G$7:$ZO$147,78,FALSE)),1,0))),IF(OR(ISERROR(HLOOKUP(AD$8,'Improved Sales Adjustments'!$G$7:$ZO$147,77,FALSE)),ISERROR(HLOOKUP(AD$8,'Improved Sales Adjustments'!$G$7:$ZO$147,79,FALSE))),0,IF(HLOOKUP(AD$8,'Improved Sales Adjustments'!$G$7:$ZO$147,77,FALSE)="",0,IF(AND($G24=HLOOKUP(AD$8,'Improved Sales Adjustments'!$G$7:$ZO$147,77,FALSE),$F25=HLOOKUP(AD$8,'Improved Sales Adjustments'!$G$7:$ZO$147,79,FALSE)),1,0))))</f>
        <v>0</v>
      </c>
      <c r="AE25" s="707">
        <f>IF(dpSales_Adjustment_4="Construction Quality",IF(OR(ISERROR(HLOOKUP(AE$8,'Improved Sales Adjustments'!$G$7:$ZO$147,77,FALSE)),ISERROR(HLOOKUP(AE$8,'Improved Sales Adjustments'!$G$7:$ZO$147,78,FALSE))),0,IF(HLOOKUP(AE$8,'Improved Sales Adjustments'!$G$7:$ZO$147,77,FALSE)="",0,IF(AND($G24=HLOOKUP(AE$8,'Improved Sales Adjustments'!$G$7:$ZO$147,77,FALSE),$F25=HLOOKUP(AE$8,'Improved Sales Adjustments'!$G$7:$ZO$147,78,FALSE)),1,0))),IF(OR(ISERROR(HLOOKUP(AE$8,'Improved Sales Adjustments'!$G$7:$ZO$147,77,FALSE)),ISERROR(HLOOKUP(AE$8,'Improved Sales Adjustments'!$G$7:$ZO$147,79,FALSE))),0,IF(HLOOKUP(AE$8,'Improved Sales Adjustments'!$G$7:$ZO$147,77,FALSE)="",0,IF(AND($G24=HLOOKUP(AE$8,'Improved Sales Adjustments'!$G$7:$ZO$147,77,FALSE),$F25=HLOOKUP(AE$8,'Improved Sales Adjustments'!$G$7:$ZO$147,79,FALSE)),1,0))))</f>
        <v>0</v>
      </c>
      <c r="AF25" s="707">
        <f>IF(dpSales_Adjustment_4="Construction Quality",IF(OR(ISERROR(HLOOKUP(AF$8,'Improved Sales Adjustments'!$G$7:$ZO$147,77,FALSE)),ISERROR(HLOOKUP(AF$8,'Improved Sales Adjustments'!$G$7:$ZO$147,78,FALSE))),0,IF(HLOOKUP(AF$8,'Improved Sales Adjustments'!$G$7:$ZO$147,77,FALSE)="",0,IF(AND($G24=HLOOKUP(AF$8,'Improved Sales Adjustments'!$G$7:$ZO$147,77,FALSE),$F25=HLOOKUP(AF$8,'Improved Sales Adjustments'!$G$7:$ZO$147,78,FALSE)),1,0))),IF(OR(ISERROR(HLOOKUP(AF$8,'Improved Sales Adjustments'!$G$7:$ZO$147,77,FALSE)),ISERROR(HLOOKUP(AF$8,'Improved Sales Adjustments'!$G$7:$ZO$147,79,FALSE))),0,IF(HLOOKUP(AF$8,'Improved Sales Adjustments'!$G$7:$ZO$147,77,FALSE)="",0,IF(AND($G24=HLOOKUP(AF$8,'Improved Sales Adjustments'!$G$7:$ZO$147,77,FALSE),$F25=HLOOKUP(AF$8,'Improved Sales Adjustments'!$G$7:$ZO$147,79,FALSE)),1,0))))</f>
        <v>0</v>
      </c>
      <c r="AG25" s="707">
        <f>IF(dpSales_Adjustment_4="Construction Quality",IF(OR(ISERROR(HLOOKUP(AG$8,'Improved Sales Adjustments'!$G$7:$ZO$147,77,FALSE)),ISERROR(HLOOKUP(AG$8,'Improved Sales Adjustments'!$G$7:$ZO$147,78,FALSE))),0,IF(HLOOKUP(AG$8,'Improved Sales Adjustments'!$G$7:$ZO$147,77,FALSE)="",0,IF(AND($G24=HLOOKUP(AG$8,'Improved Sales Adjustments'!$G$7:$ZO$147,77,FALSE),$F25=HLOOKUP(AG$8,'Improved Sales Adjustments'!$G$7:$ZO$147,78,FALSE)),1,0))),IF(OR(ISERROR(HLOOKUP(AG$8,'Improved Sales Adjustments'!$G$7:$ZO$147,77,FALSE)),ISERROR(HLOOKUP(AG$8,'Improved Sales Adjustments'!$G$7:$ZO$147,79,FALSE))),0,IF(HLOOKUP(AG$8,'Improved Sales Adjustments'!$G$7:$ZO$147,77,FALSE)="",0,IF(AND($G24=HLOOKUP(AG$8,'Improved Sales Adjustments'!$G$7:$ZO$147,77,FALSE),$F25=HLOOKUP(AG$8,'Improved Sales Adjustments'!$G$7:$ZO$147,79,FALSE)),1,0))))</f>
        <v>0</v>
      </c>
      <c r="AH25" s="707">
        <f>IF(dpSales_Adjustment_4="Construction Quality",IF(OR(ISERROR(HLOOKUP(AH$8,'Improved Sales Adjustments'!$G$7:$ZO$147,77,FALSE)),ISERROR(HLOOKUP(AH$8,'Improved Sales Adjustments'!$G$7:$ZO$147,78,FALSE))),0,IF(HLOOKUP(AH$8,'Improved Sales Adjustments'!$G$7:$ZO$147,77,FALSE)="",0,IF(AND($G24=HLOOKUP(AH$8,'Improved Sales Adjustments'!$G$7:$ZO$147,77,FALSE),$F25=HLOOKUP(AH$8,'Improved Sales Adjustments'!$G$7:$ZO$147,78,FALSE)),1,0))),IF(OR(ISERROR(HLOOKUP(AH$8,'Improved Sales Adjustments'!$G$7:$ZO$147,77,FALSE)),ISERROR(HLOOKUP(AH$8,'Improved Sales Adjustments'!$G$7:$ZO$147,79,FALSE))),0,IF(HLOOKUP(AH$8,'Improved Sales Adjustments'!$G$7:$ZO$147,77,FALSE)="",0,IF(AND($G24=HLOOKUP(AH$8,'Improved Sales Adjustments'!$G$7:$ZO$147,77,FALSE),$F25=HLOOKUP(AH$8,'Improved Sales Adjustments'!$G$7:$ZO$147,79,FALSE)),1,0))))</f>
        <v>0</v>
      </c>
      <c r="AI25" s="707">
        <f>SUM(X25:$X25)</f>
        <v>0</v>
      </c>
      <c r="AJ25" s="707">
        <f>SUM($X25:Y25)</f>
        <v>0</v>
      </c>
      <c r="AK25" s="707">
        <f>SUM($X25:Z25)</f>
        <v>0</v>
      </c>
      <c r="AL25" s="707">
        <f>SUM($X25:AA25)</f>
        <v>0</v>
      </c>
      <c r="AM25" s="707">
        <f>SUM($X25:AB25)</f>
        <v>0</v>
      </c>
      <c r="AN25" s="707">
        <f>SUM($X25:AC25)</f>
        <v>0</v>
      </c>
      <c r="AO25" s="707">
        <f>SUM($X25:AD25)</f>
        <v>0</v>
      </c>
      <c r="AP25" s="707">
        <f>SUM($X25:AE25)</f>
        <v>0</v>
      </c>
      <c r="AQ25" s="707">
        <f>SUM($X25:AF25)</f>
        <v>0</v>
      </c>
      <c r="AR25" s="707">
        <f>SUM($X25:AG25)</f>
        <v>0</v>
      </c>
      <c r="AS25" s="707">
        <f>SUM($X25:AH25)</f>
        <v>0</v>
      </c>
      <c r="AT25" s="707" t="str">
        <f t="shared" si="7"/>
        <v/>
      </c>
      <c r="AU25" s="707" t="str">
        <f t="shared" si="8"/>
        <v/>
      </c>
      <c r="AV25" s="707" t="str">
        <f t="shared" si="9"/>
        <v/>
      </c>
      <c r="AW25" s="707" t="str">
        <f t="shared" si="10"/>
        <v/>
      </c>
      <c r="AX25" s="707" t="str">
        <f t="shared" si="11"/>
        <v/>
      </c>
      <c r="AY25" s="707" t="str">
        <f t="shared" si="12"/>
        <v/>
      </c>
      <c r="AZ25" s="707" t="str">
        <f t="shared" si="13"/>
        <v/>
      </c>
      <c r="BA25" s="707" t="str">
        <f t="shared" si="14"/>
        <v/>
      </c>
      <c r="BB25" s="707" t="str">
        <f t="shared" si="15"/>
        <v/>
      </c>
      <c r="BC25" s="707" t="str">
        <f t="shared" si="16"/>
        <v/>
      </c>
      <c r="BD25" s="707" t="str">
        <f t="shared" si="17"/>
        <v/>
      </c>
    </row>
    <row r="26" spans="1:56" ht="69.95" customHeight="1" x14ac:dyDescent="0.25">
      <c r="A26" s="972">
        <f t="shared" si="6"/>
        <v>0</v>
      </c>
      <c r="B26" s="4"/>
      <c r="C26" s="101"/>
      <c r="D26" s="4185" t="str">
        <f t="shared" si="3"/>
        <v/>
      </c>
      <c r="E26" s="4185"/>
      <c r="F26" s="4067" t="str">
        <f>IF(dpSales_Adjustment_4="Construction Quality","C - Masonry","C")</f>
        <v>C - Masonry</v>
      </c>
      <c r="G26" s="4207"/>
      <c r="H26" s="4198"/>
      <c r="I26" s="4198"/>
      <c r="J26" s="4198"/>
      <c r="K26" s="4198"/>
      <c r="L26" s="4068" t="str">
        <f t="shared" si="4"/>
        <v/>
      </c>
      <c r="M26" s="4194"/>
      <c r="N26" s="4190"/>
      <c r="O26" s="4190"/>
      <c r="P26" s="4069" t="str">
        <f>IFERROR(L26+M24,"")</f>
        <v/>
      </c>
      <c r="Q26" s="4070"/>
      <c r="R26" s="2086"/>
      <c r="S26" s="707"/>
      <c r="T26" s="707"/>
      <c r="U26" s="707">
        <f t="shared" si="20"/>
        <v>0</v>
      </c>
      <c r="V26" s="707" t="str">
        <f t="shared" si="20"/>
        <v/>
      </c>
      <c r="W26" s="707"/>
      <c r="X26" s="707">
        <f>IF(dpSales_Adjustment_4="Construction Quality",IF(AND(F26=Subject_ConstructionClass,G$24=Subject_ConstructionQuality),1,0),IF(AND(F26=Subject_InvestmentClass,G$24=Subject_ConstructionQuality),1,0))</f>
        <v>0</v>
      </c>
      <c r="Y26" s="707">
        <f>IF(dpSales_Adjustment_4="Construction Quality",IF(OR(ISERROR(HLOOKUP(Y$8,'Improved Sales Adjustments'!$G$7:$ZO$147,77,FALSE)),ISERROR(HLOOKUP(Y$8,'Improved Sales Adjustments'!$G$7:$ZO$147,78,FALSE))),0,IF(HLOOKUP(Y$8,'Improved Sales Adjustments'!$G$7:$ZO$147,77,FALSE)="",0,IF(AND($G24=HLOOKUP(Y$8,'Improved Sales Adjustments'!$G$7:$ZO$147,77,FALSE),$F26=HLOOKUP(Y$8,'Improved Sales Adjustments'!$G$7:$ZO$147,78,FALSE)),1,0))),IF(OR(ISERROR(HLOOKUP(Y$8,'Improved Sales Adjustments'!$G$7:$ZO$147,77,FALSE)),ISERROR(HLOOKUP(Y$8,'Improved Sales Adjustments'!$G$7:$ZO$147,79,FALSE))),0,IF(HLOOKUP(Y$8,'Improved Sales Adjustments'!$G$7:$ZO$147,77,FALSE)="",0,IF(AND($G24=HLOOKUP(Y$8,'Improved Sales Adjustments'!$G$7:$ZO$147,77,FALSE),$F26=HLOOKUP(Y$8,'Improved Sales Adjustments'!$G$7:$ZO$147,79,FALSE)),1,0))))</f>
        <v>0</v>
      </c>
      <c r="Z26" s="707">
        <f>IF(dpSales_Adjustment_4="Construction Quality",IF(OR(ISERROR(HLOOKUP(Z$8,'Improved Sales Adjustments'!$G$7:$ZO$147,77,FALSE)),ISERROR(HLOOKUP(Z$8,'Improved Sales Adjustments'!$G$7:$ZO$147,78,FALSE))),0,IF(HLOOKUP(Z$8,'Improved Sales Adjustments'!$G$7:$ZO$147,77,FALSE)="",0,IF(AND($G24=HLOOKUP(Z$8,'Improved Sales Adjustments'!$G$7:$ZO$147,77,FALSE),$F26=HLOOKUP(Z$8,'Improved Sales Adjustments'!$G$7:$ZO$147,78,FALSE)),1,0))),IF(OR(ISERROR(HLOOKUP(Z$8,'Improved Sales Adjustments'!$G$7:$ZO$147,77,FALSE)),ISERROR(HLOOKUP(Z$8,'Improved Sales Adjustments'!$G$7:$ZO$147,79,FALSE))),0,IF(HLOOKUP(Z$8,'Improved Sales Adjustments'!$G$7:$ZO$147,77,FALSE)="",0,IF(AND($G24=HLOOKUP(Z$8,'Improved Sales Adjustments'!$G$7:$ZO$147,77,FALSE),$F26=HLOOKUP(Z$8,'Improved Sales Adjustments'!$G$7:$ZO$147,79,FALSE)),1,0))))</f>
        <v>0</v>
      </c>
      <c r="AA26" s="707">
        <f>IF(dpSales_Adjustment_4="Construction Quality",IF(OR(ISERROR(HLOOKUP(AA$8,'Improved Sales Adjustments'!$G$7:$ZO$147,77,FALSE)),ISERROR(HLOOKUP(AA$8,'Improved Sales Adjustments'!$G$7:$ZO$147,78,FALSE))),0,IF(HLOOKUP(AA$8,'Improved Sales Adjustments'!$G$7:$ZO$147,77,FALSE)="",0,IF(AND($G24=HLOOKUP(AA$8,'Improved Sales Adjustments'!$G$7:$ZO$147,77,FALSE),$F26=HLOOKUP(AA$8,'Improved Sales Adjustments'!$G$7:$ZO$147,78,FALSE)),1,0))),IF(OR(ISERROR(HLOOKUP(AA$8,'Improved Sales Adjustments'!$G$7:$ZO$147,77,FALSE)),ISERROR(HLOOKUP(AA$8,'Improved Sales Adjustments'!$G$7:$ZO$147,79,FALSE))),0,IF(HLOOKUP(AA$8,'Improved Sales Adjustments'!$G$7:$ZO$147,77,FALSE)="",0,IF(AND($G24=HLOOKUP(AA$8,'Improved Sales Adjustments'!$G$7:$ZO$147,77,FALSE),$F26=HLOOKUP(AA$8,'Improved Sales Adjustments'!$G$7:$ZO$147,79,FALSE)),1,0))))</f>
        <v>0</v>
      </c>
      <c r="AB26" s="707">
        <f>IF(dpSales_Adjustment_4="Construction Quality",IF(OR(ISERROR(HLOOKUP(AB$8,'Improved Sales Adjustments'!$G$7:$ZO$147,77,FALSE)),ISERROR(HLOOKUP(AB$8,'Improved Sales Adjustments'!$G$7:$ZO$147,78,FALSE))),0,IF(HLOOKUP(AB$8,'Improved Sales Adjustments'!$G$7:$ZO$147,77,FALSE)="",0,IF(AND($G24=HLOOKUP(AB$8,'Improved Sales Adjustments'!$G$7:$ZO$147,77,FALSE),$F26=HLOOKUP(AB$8,'Improved Sales Adjustments'!$G$7:$ZO$147,78,FALSE)),1,0))),IF(OR(ISERROR(HLOOKUP(AB$8,'Improved Sales Adjustments'!$G$7:$ZO$147,77,FALSE)),ISERROR(HLOOKUP(AB$8,'Improved Sales Adjustments'!$G$7:$ZO$147,79,FALSE))),0,IF(HLOOKUP(AB$8,'Improved Sales Adjustments'!$G$7:$ZO$147,77,FALSE)="",0,IF(AND($G24=HLOOKUP(AB$8,'Improved Sales Adjustments'!$G$7:$ZO$147,77,FALSE),$F26=HLOOKUP(AB$8,'Improved Sales Adjustments'!$G$7:$ZO$147,79,FALSE)),1,0))))</f>
        <v>0</v>
      </c>
      <c r="AC26" s="707">
        <f>IF(dpSales_Adjustment_4="Construction Quality",IF(OR(ISERROR(HLOOKUP(AC$8,'Improved Sales Adjustments'!$G$7:$ZO$147,77,FALSE)),ISERROR(HLOOKUP(AC$8,'Improved Sales Adjustments'!$G$7:$ZO$147,78,FALSE))),0,IF(HLOOKUP(AC$8,'Improved Sales Adjustments'!$G$7:$ZO$147,77,FALSE)="",0,IF(AND($G24=HLOOKUP(AC$8,'Improved Sales Adjustments'!$G$7:$ZO$147,77,FALSE),$F26=HLOOKUP(AC$8,'Improved Sales Adjustments'!$G$7:$ZO$147,78,FALSE)),1,0))),IF(OR(ISERROR(HLOOKUP(AC$8,'Improved Sales Adjustments'!$G$7:$ZO$147,77,FALSE)),ISERROR(HLOOKUP(AC$8,'Improved Sales Adjustments'!$G$7:$ZO$147,79,FALSE))),0,IF(HLOOKUP(AC$8,'Improved Sales Adjustments'!$G$7:$ZO$147,77,FALSE)="",0,IF(AND($G24=HLOOKUP(AC$8,'Improved Sales Adjustments'!$G$7:$ZO$147,77,FALSE),$F26=HLOOKUP(AC$8,'Improved Sales Adjustments'!$G$7:$ZO$147,79,FALSE)),1,0))))</f>
        <v>0</v>
      </c>
      <c r="AD26" s="707">
        <f>IF(dpSales_Adjustment_4="Construction Quality",IF(OR(ISERROR(HLOOKUP(AD$8,'Improved Sales Adjustments'!$G$7:$ZO$147,77,FALSE)),ISERROR(HLOOKUP(AD$8,'Improved Sales Adjustments'!$G$7:$ZO$147,78,FALSE))),0,IF(HLOOKUP(AD$8,'Improved Sales Adjustments'!$G$7:$ZO$147,77,FALSE)="",0,IF(AND($G24=HLOOKUP(AD$8,'Improved Sales Adjustments'!$G$7:$ZO$147,77,FALSE),$F26=HLOOKUP(AD$8,'Improved Sales Adjustments'!$G$7:$ZO$147,78,FALSE)),1,0))),IF(OR(ISERROR(HLOOKUP(AD$8,'Improved Sales Adjustments'!$G$7:$ZO$147,77,FALSE)),ISERROR(HLOOKUP(AD$8,'Improved Sales Adjustments'!$G$7:$ZO$147,79,FALSE))),0,IF(HLOOKUP(AD$8,'Improved Sales Adjustments'!$G$7:$ZO$147,77,FALSE)="",0,IF(AND($G24=HLOOKUP(AD$8,'Improved Sales Adjustments'!$G$7:$ZO$147,77,FALSE),$F26=HLOOKUP(AD$8,'Improved Sales Adjustments'!$G$7:$ZO$147,79,FALSE)),1,0))))</f>
        <v>0</v>
      </c>
      <c r="AE26" s="707">
        <f>IF(dpSales_Adjustment_4="Construction Quality",IF(OR(ISERROR(HLOOKUP(AE$8,'Improved Sales Adjustments'!$G$7:$ZO$147,77,FALSE)),ISERROR(HLOOKUP(AE$8,'Improved Sales Adjustments'!$G$7:$ZO$147,78,FALSE))),0,IF(HLOOKUP(AE$8,'Improved Sales Adjustments'!$G$7:$ZO$147,77,FALSE)="",0,IF(AND($G24=HLOOKUP(AE$8,'Improved Sales Adjustments'!$G$7:$ZO$147,77,FALSE),$F26=HLOOKUP(AE$8,'Improved Sales Adjustments'!$G$7:$ZO$147,78,FALSE)),1,0))),IF(OR(ISERROR(HLOOKUP(AE$8,'Improved Sales Adjustments'!$G$7:$ZO$147,77,FALSE)),ISERROR(HLOOKUP(AE$8,'Improved Sales Adjustments'!$G$7:$ZO$147,79,FALSE))),0,IF(HLOOKUP(AE$8,'Improved Sales Adjustments'!$G$7:$ZO$147,77,FALSE)="",0,IF(AND($G24=HLOOKUP(AE$8,'Improved Sales Adjustments'!$G$7:$ZO$147,77,FALSE),$F26=HLOOKUP(AE$8,'Improved Sales Adjustments'!$G$7:$ZO$147,79,FALSE)),1,0))))</f>
        <v>0</v>
      </c>
      <c r="AF26" s="707">
        <f>IF(dpSales_Adjustment_4="Construction Quality",IF(OR(ISERROR(HLOOKUP(AF$8,'Improved Sales Adjustments'!$G$7:$ZO$147,77,FALSE)),ISERROR(HLOOKUP(AF$8,'Improved Sales Adjustments'!$G$7:$ZO$147,78,FALSE))),0,IF(HLOOKUP(AF$8,'Improved Sales Adjustments'!$G$7:$ZO$147,77,FALSE)="",0,IF(AND($G24=HLOOKUP(AF$8,'Improved Sales Adjustments'!$G$7:$ZO$147,77,FALSE),$F26=HLOOKUP(AF$8,'Improved Sales Adjustments'!$G$7:$ZO$147,78,FALSE)),1,0))),IF(OR(ISERROR(HLOOKUP(AF$8,'Improved Sales Adjustments'!$G$7:$ZO$147,77,FALSE)),ISERROR(HLOOKUP(AF$8,'Improved Sales Adjustments'!$G$7:$ZO$147,79,FALSE))),0,IF(HLOOKUP(AF$8,'Improved Sales Adjustments'!$G$7:$ZO$147,77,FALSE)="",0,IF(AND($G24=HLOOKUP(AF$8,'Improved Sales Adjustments'!$G$7:$ZO$147,77,FALSE),$F26=HLOOKUP(AF$8,'Improved Sales Adjustments'!$G$7:$ZO$147,79,FALSE)),1,0))))</f>
        <v>0</v>
      </c>
      <c r="AG26" s="707">
        <f>IF(dpSales_Adjustment_4="Construction Quality",IF(OR(ISERROR(HLOOKUP(AG$8,'Improved Sales Adjustments'!$G$7:$ZO$147,77,FALSE)),ISERROR(HLOOKUP(AG$8,'Improved Sales Adjustments'!$G$7:$ZO$147,78,FALSE))),0,IF(HLOOKUP(AG$8,'Improved Sales Adjustments'!$G$7:$ZO$147,77,FALSE)="",0,IF(AND($G24=HLOOKUP(AG$8,'Improved Sales Adjustments'!$G$7:$ZO$147,77,FALSE),$F26=HLOOKUP(AG$8,'Improved Sales Adjustments'!$G$7:$ZO$147,78,FALSE)),1,0))),IF(OR(ISERROR(HLOOKUP(AG$8,'Improved Sales Adjustments'!$G$7:$ZO$147,77,FALSE)),ISERROR(HLOOKUP(AG$8,'Improved Sales Adjustments'!$G$7:$ZO$147,79,FALSE))),0,IF(HLOOKUP(AG$8,'Improved Sales Adjustments'!$G$7:$ZO$147,77,FALSE)="",0,IF(AND($G24=HLOOKUP(AG$8,'Improved Sales Adjustments'!$G$7:$ZO$147,77,FALSE),$F26=HLOOKUP(AG$8,'Improved Sales Adjustments'!$G$7:$ZO$147,79,FALSE)),1,0))))</f>
        <v>0</v>
      </c>
      <c r="AH26" s="707">
        <f>IF(dpSales_Adjustment_4="Construction Quality",IF(OR(ISERROR(HLOOKUP(AH$8,'Improved Sales Adjustments'!$G$7:$ZO$147,77,FALSE)),ISERROR(HLOOKUP(AH$8,'Improved Sales Adjustments'!$G$7:$ZO$147,78,FALSE))),0,IF(HLOOKUP(AH$8,'Improved Sales Adjustments'!$G$7:$ZO$147,77,FALSE)="",0,IF(AND($G24=HLOOKUP(AH$8,'Improved Sales Adjustments'!$G$7:$ZO$147,77,FALSE),$F26=HLOOKUP(AH$8,'Improved Sales Adjustments'!$G$7:$ZO$147,78,FALSE)),1,0))),IF(OR(ISERROR(HLOOKUP(AH$8,'Improved Sales Adjustments'!$G$7:$ZO$147,77,FALSE)),ISERROR(HLOOKUP(AH$8,'Improved Sales Adjustments'!$G$7:$ZO$147,79,FALSE))),0,IF(HLOOKUP(AH$8,'Improved Sales Adjustments'!$G$7:$ZO$147,77,FALSE)="",0,IF(AND($G24=HLOOKUP(AH$8,'Improved Sales Adjustments'!$G$7:$ZO$147,77,FALSE),$F26=HLOOKUP(AH$8,'Improved Sales Adjustments'!$G$7:$ZO$147,79,FALSE)),1,0))))</f>
        <v>0</v>
      </c>
      <c r="AI26" s="707">
        <f>SUM(X26:$X26)</f>
        <v>0</v>
      </c>
      <c r="AJ26" s="707">
        <f>SUM($X26:Y26)</f>
        <v>0</v>
      </c>
      <c r="AK26" s="707">
        <f>SUM($X26:Z26)</f>
        <v>0</v>
      </c>
      <c r="AL26" s="707">
        <f>SUM($X26:AA26)</f>
        <v>0</v>
      </c>
      <c r="AM26" s="707">
        <f>SUM($X26:AB26)</f>
        <v>0</v>
      </c>
      <c r="AN26" s="707">
        <f>SUM($X26:AC26)</f>
        <v>0</v>
      </c>
      <c r="AO26" s="707">
        <f>SUM($X26:AD26)</f>
        <v>0</v>
      </c>
      <c r="AP26" s="707">
        <f>SUM($X26:AE26)</f>
        <v>0</v>
      </c>
      <c r="AQ26" s="707">
        <f>SUM($X26:AF26)</f>
        <v>0</v>
      </c>
      <c r="AR26" s="707">
        <f>SUM($X26:AG26)</f>
        <v>0</v>
      </c>
      <c r="AS26" s="707">
        <f>SUM($X26:AH26)</f>
        <v>0</v>
      </c>
      <c r="AT26" s="707" t="str">
        <f t="shared" si="7"/>
        <v/>
      </c>
      <c r="AU26" s="707" t="str">
        <f t="shared" si="8"/>
        <v/>
      </c>
      <c r="AV26" s="707" t="str">
        <f t="shared" si="9"/>
        <v/>
      </c>
      <c r="AW26" s="707" t="str">
        <f t="shared" si="10"/>
        <v/>
      </c>
      <c r="AX26" s="707" t="str">
        <f t="shared" si="11"/>
        <v/>
      </c>
      <c r="AY26" s="707" t="str">
        <f t="shared" si="12"/>
        <v/>
      </c>
      <c r="AZ26" s="707" t="str">
        <f t="shared" si="13"/>
        <v/>
      </c>
      <c r="BA26" s="707" t="str">
        <f t="shared" si="14"/>
        <v/>
      </c>
      <c r="BB26" s="707" t="str">
        <f t="shared" si="15"/>
        <v/>
      </c>
      <c r="BC26" s="707" t="str">
        <f t="shared" si="16"/>
        <v/>
      </c>
      <c r="BD26" s="707" t="str">
        <f t="shared" si="17"/>
        <v/>
      </c>
    </row>
    <row r="27" spans="1:56" ht="69.95" customHeight="1" x14ac:dyDescent="0.25">
      <c r="A27" s="972">
        <f t="shared" si="6"/>
        <v>0</v>
      </c>
      <c r="B27" s="4"/>
      <c r="C27" s="101"/>
      <c r="D27" s="4185" t="str">
        <f t="shared" si="3"/>
        <v/>
      </c>
      <c r="E27" s="4185"/>
      <c r="F27" s="4067" t="str">
        <f>IF(dpSales_Adjustment_4="Construction Quality","D - Wood Frame","")</f>
        <v>D - Wood Frame</v>
      </c>
      <c r="G27" s="4207"/>
      <c r="H27" s="4198"/>
      <c r="I27" s="4198"/>
      <c r="J27" s="4198"/>
      <c r="K27" s="4198"/>
      <c r="L27" s="4068" t="str">
        <f t="shared" si="4"/>
        <v/>
      </c>
      <c r="M27" s="4194"/>
      <c r="N27" s="4190"/>
      <c r="O27" s="4190"/>
      <c r="P27" s="4069" t="str">
        <f>IFERROR(L27+M24,"")</f>
        <v/>
      </c>
      <c r="Q27" s="4070"/>
      <c r="R27" s="2086"/>
      <c r="S27" s="707"/>
      <c r="T27" s="707"/>
      <c r="U27" s="707">
        <f t="shared" si="20"/>
        <v>0</v>
      </c>
      <c r="V27" s="707" t="str">
        <f t="shared" si="20"/>
        <v/>
      </c>
      <c r="W27" s="707"/>
      <c r="X27" s="707">
        <f>IF(dpSales_Adjustment_4="Construction Quality",IF(AND(F27=Subject_ConstructionClass,G$24=Subject_ConstructionQuality),1,0),IF(AND(F27=Subject_InvestmentClass,G$24=Subject_ConstructionQuality),1,0))</f>
        <v>0</v>
      </c>
      <c r="Y27" s="707">
        <f>IF(dpSales_Adjustment_4="Construction Quality",IF(OR(ISERROR(HLOOKUP(Y$8,'Improved Sales Adjustments'!$G$7:$ZO$147,77,FALSE)),ISERROR(HLOOKUP(Y$8,'Improved Sales Adjustments'!$G$7:$ZO$147,78,FALSE))),0,IF(HLOOKUP(Y$8,'Improved Sales Adjustments'!$G$7:$ZO$147,77,FALSE)="",0,IF(AND($G24=HLOOKUP(Y$8,'Improved Sales Adjustments'!$G$7:$ZO$147,77,FALSE),$F27=HLOOKUP(Y$8,'Improved Sales Adjustments'!$G$7:$ZO$147,78,FALSE)),1,0))),IF(OR(ISERROR(HLOOKUP(Y$8,'Improved Sales Adjustments'!$G$7:$ZO$147,77,FALSE)),ISERROR(HLOOKUP(Y$8,'Improved Sales Adjustments'!$G$7:$ZO$147,79,FALSE))),0,IF(HLOOKUP(Y$8,'Improved Sales Adjustments'!$G$7:$ZO$147,77,FALSE)="",0,IF(AND($G24=HLOOKUP(Y$8,'Improved Sales Adjustments'!$G$7:$ZO$147,77,FALSE),$F27=HLOOKUP(Y$8,'Improved Sales Adjustments'!$G$7:$ZO$147,79,FALSE)),1,0))))</f>
        <v>0</v>
      </c>
      <c r="Z27" s="707">
        <f>IF(dpSales_Adjustment_4="Construction Quality",IF(OR(ISERROR(HLOOKUP(Z$8,'Improved Sales Adjustments'!$G$7:$ZO$147,77,FALSE)),ISERROR(HLOOKUP(Z$8,'Improved Sales Adjustments'!$G$7:$ZO$147,78,FALSE))),0,IF(HLOOKUP(Z$8,'Improved Sales Adjustments'!$G$7:$ZO$147,77,FALSE)="",0,IF(AND($G24=HLOOKUP(Z$8,'Improved Sales Adjustments'!$G$7:$ZO$147,77,FALSE),$F27=HLOOKUP(Z$8,'Improved Sales Adjustments'!$G$7:$ZO$147,78,FALSE)),1,0))),IF(OR(ISERROR(HLOOKUP(Z$8,'Improved Sales Adjustments'!$G$7:$ZO$147,77,FALSE)),ISERROR(HLOOKUP(Z$8,'Improved Sales Adjustments'!$G$7:$ZO$147,79,FALSE))),0,IF(HLOOKUP(Z$8,'Improved Sales Adjustments'!$G$7:$ZO$147,77,FALSE)="",0,IF(AND($G24=HLOOKUP(Z$8,'Improved Sales Adjustments'!$G$7:$ZO$147,77,FALSE),$F27=HLOOKUP(Z$8,'Improved Sales Adjustments'!$G$7:$ZO$147,79,FALSE)),1,0))))</f>
        <v>0</v>
      </c>
      <c r="AA27" s="707">
        <f>IF(dpSales_Adjustment_4="Construction Quality",IF(OR(ISERROR(HLOOKUP(AA$8,'Improved Sales Adjustments'!$G$7:$ZO$147,77,FALSE)),ISERROR(HLOOKUP(AA$8,'Improved Sales Adjustments'!$G$7:$ZO$147,78,FALSE))),0,IF(HLOOKUP(AA$8,'Improved Sales Adjustments'!$G$7:$ZO$147,77,FALSE)="",0,IF(AND($G24=HLOOKUP(AA$8,'Improved Sales Adjustments'!$G$7:$ZO$147,77,FALSE),$F27=HLOOKUP(AA$8,'Improved Sales Adjustments'!$G$7:$ZO$147,78,FALSE)),1,0))),IF(OR(ISERROR(HLOOKUP(AA$8,'Improved Sales Adjustments'!$G$7:$ZO$147,77,FALSE)),ISERROR(HLOOKUP(AA$8,'Improved Sales Adjustments'!$G$7:$ZO$147,79,FALSE))),0,IF(HLOOKUP(AA$8,'Improved Sales Adjustments'!$G$7:$ZO$147,77,FALSE)="",0,IF(AND($G24=HLOOKUP(AA$8,'Improved Sales Adjustments'!$G$7:$ZO$147,77,FALSE),$F27=HLOOKUP(AA$8,'Improved Sales Adjustments'!$G$7:$ZO$147,79,FALSE)),1,0))))</f>
        <v>0</v>
      </c>
      <c r="AB27" s="707">
        <f>IF(dpSales_Adjustment_4="Construction Quality",IF(OR(ISERROR(HLOOKUP(AB$8,'Improved Sales Adjustments'!$G$7:$ZO$147,77,FALSE)),ISERROR(HLOOKUP(AB$8,'Improved Sales Adjustments'!$G$7:$ZO$147,78,FALSE))),0,IF(HLOOKUP(AB$8,'Improved Sales Adjustments'!$G$7:$ZO$147,77,FALSE)="",0,IF(AND($G24=HLOOKUP(AB$8,'Improved Sales Adjustments'!$G$7:$ZO$147,77,FALSE),$F27=HLOOKUP(AB$8,'Improved Sales Adjustments'!$G$7:$ZO$147,78,FALSE)),1,0))),IF(OR(ISERROR(HLOOKUP(AB$8,'Improved Sales Adjustments'!$G$7:$ZO$147,77,FALSE)),ISERROR(HLOOKUP(AB$8,'Improved Sales Adjustments'!$G$7:$ZO$147,79,FALSE))),0,IF(HLOOKUP(AB$8,'Improved Sales Adjustments'!$G$7:$ZO$147,77,FALSE)="",0,IF(AND($G24=HLOOKUP(AB$8,'Improved Sales Adjustments'!$G$7:$ZO$147,77,FALSE),$F27=HLOOKUP(AB$8,'Improved Sales Adjustments'!$G$7:$ZO$147,79,FALSE)),1,0))))</f>
        <v>0</v>
      </c>
      <c r="AC27" s="707">
        <f>IF(dpSales_Adjustment_4="Construction Quality",IF(OR(ISERROR(HLOOKUP(AC$8,'Improved Sales Adjustments'!$G$7:$ZO$147,77,FALSE)),ISERROR(HLOOKUP(AC$8,'Improved Sales Adjustments'!$G$7:$ZO$147,78,FALSE))),0,IF(HLOOKUP(AC$8,'Improved Sales Adjustments'!$G$7:$ZO$147,77,FALSE)="",0,IF(AND($G24=HLOOKUP(AC$8,'Improved Sales Adjustments'!$G$7:$ZO$147,77,FALSE),$F27=HLOOKUP(AC$8,'Improved Sales Adjustments'!$G$7:$ZO$147,78,FALSE)),1,0))),IF(OR(ISERROR(HLOOKUP(AC$8,'Improved Sales Adjustments'!$G$7:$ZO$147,77,FALSE)),ISERROR(HLOOKUP(AC$8,'Improved Sales Adjustments'!$G$7:$ZO$147,79,FALSE))),0,IF(HLOOKUP(AC$8,'Improved Sales Adjustments'!$G$7:$ZO$147,77,FALSE)="",0,IF(AND($G24=HLOOKUP(AC$8,'Improved Sales Adjustments'!$G$7:$ZO$147,77,FALSE),$F27=HLOOKUP(AC$8,'Improved Sales Adjustments'!$G$7:$ZO$147,79,FALSE)),1,0))))</f>
        <v>0</v>
      </c>
      <c r="AD27" s="707">
        <f>IF(dpSales_Adjustment_4="Construction Quality",IF(OR(ISERROR(HLOOKUP(AD$8,'Improved Sales Adjustments'!$G$7:$ZO$147,77,FALSE)),ISERROR(HLOOKUP(AD$8,'Improved Sales Adjustments'!$G$7:$ZO$147,78,FALSE))),0,IF(HLOOKUP(AD$8,'Improved Sales Adjustments'!$G$7:$ZO$147,77,FALSE)="",0,IF(AND($G24=HLOOKUP(AD$8,'Improved Sales Adjustments'!$G$7:$ZO$147,77,FALSE),$F27=HLOOKUP(AD$8,'Improved Sales Adjustments'!$G$7:$ZO$147,78,FALSE)),1,0))),IF(OR(ISERROR(HLOOKUP(AD$8,'Improved Sales Adjustments'!$G$7:$ZO$147,77,FALSE)),ISERROR(HLOOKUP(AD$8,'Improved Sales Adjustments'!$G$7:$ZO$147,79,FALSE))),0,IF(HLOOKUP(AD$8,'Improved Sales Adjustments'!$G$7:$ZO$147,77,FALSE)="",0,IF(AND($G24=HLOOKUP(AD$8,'Improved Sales Adjustments'!$G$7:$ZO$147,77,FALSE),$F27=HLOOKUP(AD$8,'Improved Sales Adjustments'!$G$7:$ZO$147,79,FALSE)),1,0))))</f>
        <v>0</v>
      </c>
      <c r="AE27" s="707">
        <f>IF(dpSales_Adjustment_4="Construction Quality",IF(OR(ISERROR(HLOOKUP(AE$8,'Improved Sales Adjustments'!$G$7:$ZO$147,77,FALSE)),ISERROR(HLOOKUP(AE$8,'Improved Sales Adjustments'!$G$7:$ZO$147,78,FALSE))),0,IF(HLOOKUP(AE$8,'Improved Sales Adjustments'!$G$7:$ZO$147,77,FALSE)="",0,IF(AND($G24=HLOOKUP(AE$8,'Improved Sales Adjustments'!$G$7:$ZO$147,77,FALSE),$F27=HLOOKUP(AE$8,'Improved Sales Adjustments'!$G$7:$ZO$147,78,FALSE)),1,0))),IF(OR(ISERROR(HLOOKUP(AE$8,'Improved Sales Adjustments'!$G$7:$ZO$147,77,FALSE)),ISERROR(HLOOKUP(AE$8,'Improved Sales Adjustments'!$G$7:$ZO$147,79,FALSE))),0,IF(HLOOKUP(AE$8,'Improved Sales Adjustments'!$G$7:$ZO$147,77,FALSE)="",0,IF(AND($G24=HLOOKUP(AE$8,'Improved Sales Adjustments'!$G$7:$ZO$147,77,FALSE),$F27=HLOOKUP(AE$8,'Improved Sales Adjustments'!$G$7:$ZO$147,79,FALSE)),1,0))))</f>
        <v>0</v>
      </c>
      <c r="AF27" s="707">
        <f>IF(dpSales_Adjustment_4="Construction Quality",IF(OR(ISERROR(HLOOKUP(AF$8,'Improved Sales Adjustments'!$G$7:$ZO$147,77,FALSE)),ISERROR(HLOOKUP(AF$8,'Improved Sales Adjustments'!$G$7:$ZO$147,78,FALSE))),0,IF(HLOOKUP(AF$8,'Improved Sales Adjustments'!$G$7:$ZO$147,77,FALSE)="",0,IF(AND($G24=HLOOKUP(AF$8,'Improved Sales Adjustments'!$G$7:$ZO$147,77,FALSE),$F27=HLOOKUP(AF$8,'Improved Sales Adjustments'!$G$7:$ZO$147,78,FALSE)),1,0))),IF(OR(ISERROR(HLOOKUP(AF$8,'Improved Sales Adjustments'!$G$7:$ZO$147,77,FALSE)),ISERROR(HLOOKUP(AF$8,'Improved Sales Adjustments'!$G$7:$ZO$147,79,FALSE))),0,IF(HLOOKUP(AF$8,'Improved Sales Adjustments'!$G$7:$ZO$147,77,FALSE)="",0,IF(AND($G24=HLOOKUP(AF$8,'Improved Sales Adjustments'!$G$7:$ZO$147,77,FALSE),$F27=HLOOKUP(AF$8,'Improved Sales Adjustments'!$G$7:$ZO$147,79,FALSE)),1,0))))</f>
        <v>0</v>
      </c>
      <c r="AG27" s="707">
        <f>IF(dpSales_Adjustment_4="Construction Quality",IF(OR(ISERROR(HLOOKUP(AG$8,'Improved Sales Adjustments'!$G$7:$ZO$147,77,FALSE)),ISERROR(HLOOKUP(AG$8,'Improved Sales Adjustments'!$G$7:$ZO$147,78,FALSE))),0,IF(HLOOKUP(AG$8,'Improved Sales Adjustments'!$G$7:$ZO$147,77,FALSE)="",0,IF(AND($G24=HLOOKUP(AG$8,'Improved Sales Adjustments'!$G$7:$ZO$147,77,FALSE),$F27=HLOOKUP(AG$8,'Improved Sales Adjustments'!$G$7:$ZO$147,78,FALSE)),1,0))),IF(OR(ISERROR(HLOOKUP(AG$8,'Improved Sales Adjustments'!$G$7:$ZO$147,77,FALSE)),ISERROR(HLOOKUP(AG$8,'Improved Sales Adjustments'!$G$7:$ZO$147,79,FALSE))),0,IF(HLOOKUP(AG$8,'Improved Sales Adjustments'!$G$7:$ZO$147,77,FALSE)="",0,IF(AND($G24=HLOOKUP(AG$8,'Improved Sales Adjustments'!$G$7:$ZO$147,77,FALSE),$F27=HLOOKUP(AG$8,'Improved Sales Adjustments'!$G$7:$ZO$147,79,FALSE)),1,0))))</f>
        <v>0</v>
      </c>
      <c r="AH27" s="707">
        <f>IF(dpSales_Adjustment_4="Construction Quality",IF(OR(ISERROR(HLOOKUP(AH$8,'Improved Sales Adjustments'!$G$7:$ZO$147,77,FALSE)),ISERROR(HLOOKUP(AH$8,'Improved Sales Adjustments'!$G$7:$ZO$147,78,FALSE))),0,IF(HLOOKUP(AH$8,'Improved Sales Adjustments'!$G$7:$ZO$147,77,FALSE)="",0,IF(AND($G24=HLOOKUP(AH$8,'Improved Sales Adjustments'!$G$7:$ZO$147,77,FALSE),$F27=HLOOKUP(AH$8,'Improved Sales Adjustments'!$G$7:$ZO$147,78,FALSE)),1,0))),IF(OR(ISERROR(HLOOKUP(AH$8,'Improved Sales Adjustments'!$G$7:$ZO$147,77,FALSE)),ISERROR(HLOOKUP(AH$8,'Improved Sales Adjustments'!$G$7:$ZO$147,79,FALSE))),0,IF(HLOOKUP(AH$8,'Improved Sales Adjustments'!$G$7:$ZO$147,77,FALSE)="",0,IF(AND($G24=HLOOKUP(AH$8,'Improved Sales Adjustments'!$G$7:$ZO$147,77,FALSE),$F27=HLOOKUP(AH$8,'Improved Sales Adjustments'!$G$7:$ZO$147,79,FALSE)),1,0))))</f>
        <v>0</v>
      </c>
      <c r="AI27" s="707">
        <f>SUM(X27:$X27)</f>
        <v>0</v>
      </c>
      <c r="AJ27" s="707">
        <f>SUM($X27:Y27)</f>
        <v>0</v>
      </c>
      <c r="AK27" s="707">
        <f>SUM($X27:Z27)</f>
        <v>0</v>
      </c>
      <c r="AL27" s="707">
        <f>SUM($X27:AA27)</f>
        <v>0</v>
      </c>
      <c r="AM27" s="707">
        <f>SUM($X27:AB27)</f>
        <v>0</v>
      </c>
      <c r="AN27" s="707">
        <f>SUM($X27:AC27)</f>
        <v>0</v>
      </c>
      <c r="AO27" s="707">
        <f>SUM($X27:AD27)</f>
        <v>0</v>
      </c>
      <c r="AP27" s="707">
        <f>SUM($X27:AE27)</f>
        <v>0</v>
      </c>
      <c r="AQ27" s="707">
        <f>SUM($X27:AF27)</f>
        <v>0</v>
      </c>
      <c r="AR27" s="707">
        <f>SUM($X27:AG27)</f>
        <v>0</v>
      </c>
      <c r="AS27" s="707">
        <f>SUM($X27:AH27)</f>
        <v>0</v>
      </c>
      <c r="AT27" s="707" t="str">
        <f t="shared" si="7"/>
        <v/>
      </c>
      <c r="AU27" s="707" t="str">
        <f t="shared" si="8"/>
        <v/>
      </c>
      <c r="AV27" s="707" t="str">
        <f t="shared" si="9"/>
        <v/>
      </c>
      <c r="AW27" s="707" t="str">
        <f t="shared" si="10"/>
        <v/>
      </c>
      <c r="AX27" s="707" t="str">
        <f t="shared" si="11"/>
        <v/>
      </c>
      <c r="AY27" s="707" t="str">
        <f t="shared" si="12"/>
        <v/>
      </c>
      <c r="AZ27" s="707" t="str">
        <f t="shared" si="13"/>
        <v/>
      </c>
      <c r="BA27" s="707" t="str">
        <f t="shared" si="14"/>
        <v/>
      </c>
      <c r="BB27" s="707" t="str">
        <f t="shared" si="15"/>
        <v/>
      </c>
      <c r="BC27" s="707" t="str">
        <f t="shared" si="16"/>
        <v/>
      </c>
      <c r="BD27" s="707" t="str">
        <f t="shared" si="17"/>
        <v/>
      </c>
    </row>
    <row r="28" spans="1:56" ht="69.95" customHeight="1" x14ac:dyDescent="0.25">
      <c r="A28" s="972">
        <f t="shared" si="6"/>
        <v>0</v>
      </c>
      <c r="B28" s="4"/>
      <c r="C28" s="101"/>
      <c r="D28" s="4186" t="str">
        <f t="shared" si="3"/>
        <v/>
      </c>
      <c r="E28" s="4186"/>
      <c r="F28" s="4071" t="str">
        <f>IF(dpSales_Adjustment_4="Construction Quality","S - Steel Frame","")</f>
        <v>S - Steel Frame</v>
      </c>
      <c r="G28" s="4208"/>
      <c r="H28" s="4211"/>
      <c r="I28" s="4211"/>
      <c r="J28" s="4211"/>
      <c r="K28" s="4211"/>
      <c r="L28" s="4072" t="str">
        <f t="shared" si="4"/>
        <v/>
      </c>
      <c r="M28" s="4194"/>
      <c r="N28" s="4191"/>
      <c r="O28" s="4191"/>
      <c r="P28" s="4073" t="str">
        <f>IFERROR(L28+M24,"")</f>
        <v/>
      </c>
      <c r="Q28" s="4070"/>
      <c r="R28" s="2086"/>
      <c r="S28" s="707"/>
      <c r="T28" s="707"/>
      <c r="U28" s="2089">
        <f t="shared" si="20"/>
        <v>0</v>
      </c>
      <c r="V28" s="2089" t="str">
        <f t="shared" si="20"/>
        <v/>
      </c>
      <c r="W28" s="2089"/>
      <c r="X28" s="2089">
        <f>IF(dpSales_Adjustment_4="Construction Quality",IF(AND(F28=Subject_ConstructionClass,G$24=Subject_ConstructionQuality),1,0),IF(AND(F28=Subject_InvestmentClass,G$24=Subject_ConstructionQuality),1,0))</f>
        <v>0</v>
      </c>
      <c r="Y28" s="2089">
        <f>IF(dpSales_Adjustment_4="Construction Quality",IF(OR(ISERROR(HLOOKUP(Y$8,'Improved Sales Adjustments'!$G$7:$ZO$147,77,FALSE)),ISERROR(HLOOKUP(Y$8,'Improved Sales Adjustments'!$G$7:$ZO$147,78,FALSE))),0,IF(HLOOKUP(Y$8,'Improved Sales Adjustments'!$G$7:$ZO$147,77,FALSE)="",0,IF(AND($G24=HLOOKUP(Y$8,'Improved Sales Adjustments'!$G$7:$ZO$147,77,FALSE),$F28=HLOOKUP(Y$8,'Improved Sales Adjustments'!$G$7:$ZO$147,78,FALSE)),1,0))),IF(OR(ISERROR(HLOOKUP(Y$8,'Improved Sales Adjustments'!$G$7:$ZO$147,77,FALSE)),ISERROR(HLOOKUP(Y$8,'Improved Sales Adjustments'!$G$7:$ZO$147,79,FALSE))),0,IF(HLOOKUP(Y$8,'Improved Sales Adjustments'!$G$7:$ZO$147,77,FALSE)="",0,IF(AND($G24=HLOOKUP(Y$8,'Improved Sales Adjustments'!$G$7:$ZO$147,77,FALSE),$F28=HLOOKUP(Y$8,'Improved Sales Adjustments'!$G$7:$ZO$147,79,FALSE)),1,0))))</f>
        <v>0</v>
      </c>
      <c r="Z28" s="2089">
        <f>IF(dpSales_Adjustment_4="Construction Quality",IF(OR(ISERROR(HLOOKUP(Z$8,'Improved Sales Adjustments'!$G$7:$ZO$147,77,FALSE)),ISERROR(HLOOKUP(Z$8,'Improved Sales Adjustments'!$G$7:$ZO$147,78,FALSE))),0,IF(HLOOKUP(Z$8,'Improved Sales Adjustments'!$G$7:$ZO$147,77,FALSE)="",0,IF(AND($G24=HLOOKUP(Z$8,'Improved Sales Adjustments'!$G$7:$ZO$147,77,FALSE),$F28=HLOOKUP(Z$8,'Improved Sales Adjustments'!$G$7:$ZO$147,78,FALSE)),1,0))),IF(OR(ISERROR(HLOOKUP(Z$8,'Improved Sales Adjustments'!$G$7:$ZO$147,77,FALSE)),ISERROR(HLOOKUP(Z$8,'Improved Sales Adjustments'!$G$7:$ZO$147,79,FALSE))),0,IF(HLOOKUP(Z$8,'Improved Sales Adjustments'!$G$7:$ZO$147,77,FALSE)="",0,IF(AND($G24=HLOOKUP(Z$8,'Improved Sales Adjustments'!$G$7:$ZO$147,77,FALSE),$F28=HLOOKUP(Z$8,'Improved Sales Adjustments'!$G$7:$ZO$147,79,FALSE)),1,0))))</f>
        <v>0</v>
      </c>
      <c r="AA28" s="2089">
        <f>IF(dpSales_Adjustment_4="Construction Quality",IF(OR(ISERROR(HLOOKUP(AA$8,'Improved Sales Adjustments'!$G$7:$ZO$147,77,FALSE)),ISERROR(HLOOKUP(AA$8,'Improved Sales Adjustments'!$G$7:$ZO$147,78,FALSE))),0,IF(HLOOKUP(AA$8,'Improved Sales Adjustments'!$G$7:$ZO$147,77,FALSE)="",0,IF(AND($G24=HLOOKUP(AA$8,'Improved Sales Adjustments'!$G$7:$ZO$147,77,FALSE),$F28=HLOOKUP(AA$8,'Improved Sales Adjustments'!$G$7:$ZO$147,78,FALSE)),1,0))),IF(OR(ISERROR(HLOOKUP(AA$8,'Improved Sales Adjustments'!$G$7:$ZO$147,77,FALSE)),ISERROR(HLOOKUP(AA$8,'Improved Sales Adjustments'!$G$7:$ZO$147,79,FALSE))),0,IF(HLOOKUP(AA$8,'Improved Sales Adjustments'!$G$7:$ZO$147,77,FALSE)="",0,IF(AND($G24=HLOOKUP(AA$8,'Improved Sales Adjustments'!$G$7:$ZO$147,77,FALSE),$F28=HLOOKUP(AA$8,'Improved Sales Adjustments'!$G$7:$ZO$147,79,FALSE)),1,0))))</f>
        <v>0</v>
      </c>
      <c r="AB28" s="2089">
        <f>IF(dpSales_Adjustment_4="Construction Quality",IF(OR(ISERROR(HLOOKUP(AB$8,'Improved Sales Adjustments'!$G$7:$ZO$147,77,FALSE)),ISERROR(HLOOKUP(AB$8,'Improved Sales Adjustments'!$G$7:$ZO$147,78,FALSE))),0,IF(HLOOKUP(AB$8,'Improved Sales Adjustments'!$G$7:$ZO$147,77,FALSE)="",0,IF(AND($G24=HLOOKUP(AB$8,'Improved Sales Adjustments'!$G$7:$ZO$147,77,FALSE),$F28=HLOOKUP(AB$8,'Improved Sales Adjustments'!$G$7:$ZO$147,78,FALSE)),1,0))),IF(OR(ISERROR(HLOOKUP(AB$8,'Improved Sales Adjustments'!$G$7:$ZO$147,77,FALSE)),ISERROR(HLOOKUP(AB$8,'Improved Sales Adjustments'!$G$7:$ZO$147,79,FALSE))),0,IF(HLOOKUP(AB$8,'Improved Sales Adjustments'!$G$7:$ZO$147,77,FALSE)="",0,IF(AND($G24=HLOOKUP(AB$8,'Improved Sales Adjustments'!$G$7:$ZO$147,77,FALSE),$F28=HLOOKUP(AB$8,'Improved Sales Adjustments'!$G$7:$ZO$147,79,FALSE)),1,0))))</f>
        <v>0</v>
      </c>
      <c r="AC28" s="2089">
        <f>IF(dpSales_Adjustment_4="Construction Quality",IF(OR(ISERROR(HLOOKUP(AC$8,'Improved Sales Adjustments'!$G$7:$ZO$147,77,FALSE)),ISERROR(HLOOKUP(AC$8,'Improved Sales Adjustments'!$G$7:$ZO$147,78,FALSE))),0,IF(HLOOKUP(AC$8,'Improved Sales Adjustments'!$G$7:$ZO$147,77,FALSE)="",0,IF(AND($G24=HLOOKUP(AC$8,'Improved Sales Adjustments'!$G$7:$ZO$147,77,FALSE),$F28=HLOOKUP(AC$8,'Improved Sales Adjustments'!$G$7:$ZO$147,78,FALSE)),1,0))),IF(OR(ISERROR(HLOOKUP(AC$8,'Improved Sales Adjustments'!$G$7:$ZO$147,77,FALSE)),ISERROR(HLOOKUP(AC$8,'Improved Sales Adjustments'!$G$7:$ZO$147,79,FALSE))),0,IF(HLOOKUP(AC$8,'Improved Sales Adjustments'!$G$7:$ZO$147,77,FALSE)="",0,IF(AND($G24=HLOOKUP(AC$8,'Improved Sales Adjustments'!$G$7:$ZO$147,77,FALSE),$F28=HLOOKUP(AC$8,'Improved Sales Adjustments'!$G$7:$ZO$147,79,FALSE)),1,0))))</f>
        <v>0</v>
      </c>
      <c r="AD28" s="2089">
        <f>IF(dpSales_Adjustment_4="Construction Quality",IF(OR(ISERROR(HLOOKUP(AD$8,'Improved Sales Adjustments'!$G$7:$ZO$147,77,FALSE)),ISERROR(HLOOKUP(AD$8,'Improved Sales Adjustments'!$G$7:$ZO$147,78,FALSE))),0,IF(HLOOKUP(AD$8,'Improved Sales Adjustments'!$G$7:$ZO$147,77,FALSE)="",0,IF(AND($G24=HLOOKUP(AD$8,'Improved Sales Adjustments'!$G$7:$ZO$147,77,FALSE),$F28=HLOOKUP(AD$8,'Improved Sales Adjustments'!$G$7:$ZO$147,78,FALSE)),1,0))),IF(OR(ISERROR(HLOOKUP(AD$8,'Improved Sales Adjustments'!$G$7:$ZO$147,77,FALSE)),ISERROR(HLOOKUP(AD$8,'Improved Sales Adjustments'!$G$7:$ZO$147,79,FALSE))),0,IF(HLOOKUP(AD$8,'Improved Sales Adjustments'!$G$7:$ZO$147,77,FALSE)="",0,IF(AND($G24=HLOOKUP(AD$8,'Improved Sales Adjustments'!$G$7:$ZO$147,77,FALSE),$F28=HLOOKUP(AD$8,'Improved Sales Adjustments'!$G$7:$ZO$147,79,FALSE)),1,0))))</f>
        <v>0</v>
      </c>
      <c r="AE28" s="2089">
        <f>IF(dpSales_Adjustment_4="Construction Quality",IF(OR(ISERROR(HLOOKUP(AE$8,'Improved Sales Adjustments'!$G$7:$ZO$147,77,FALSE)),ISERROR(HLOOKUP(AE$8,'Improved Sales Adjustments'!$G$7:$ZO$147,78,FALSE))),0,IF(HLOOKUP(AE$8,'Improved Sales Adjustments'!$G$7:$ZO$147,77,FALSE)="",0,IF(AND($G24=HLOOKUP(AE$8,'Improved Sales Adjustments'!$G$7:$ZO$147,77,FALSE),$F28=HLOOKUP(AE$8,'Improved Sales Adjustments'!$G$7:$ZO$147,78,FALSE)),1,0))),IF(OR(ISERROR(HLOOKUP(AE$8,'Improved Sales Adjustments'!$G$7:$ZO$147,77,FALSE)),ISERROR(HLOOKUP(AE$8,'Improved Sales Adjustments'!$G$7:$ZO$147,79,FALSE))),0,IF(HLOOKUP(AE$8,'Improved Sales Adjustments'!$G$7:$ZO$147,77,FALSE)="",0,IF(AND($G24=HLOOKUP(AE$8,'Improved Sales Adjustments'!$G$7:$ZO$147,77,FALSE),$F28=HLOOKUP(AE$8,'Improved Sales Adjustments'!$G$7:$ZO$147,79,FALSE)),1,0))))</f>
        <v>0</v>
      </c>
      <c r="AF28" s="2089">
        <f>IF(dpSales_Adjustment_4="Construction Quality",IF(OR(ISERROR(HLOOKUP(AF$8,'Improved Sales Adjustments'!$G$7:$ZO$147,77,FALSE)),ISERROR(HLOOKUP(AF$8,'Improved Sales Adjustments'!$G$7:$ZO$147,78,FALSE))),0,IF(HLOOKUP(AF$8,'Improved Sales Adjustments'!$G$7:$ZO$147,77,FALSE)="",0,IF(AND($G24=HLOOKUP(AF$8,'Improved Sales Adjustments'!$G$7:$ZO$147,77,FALSE),$F28=HLOOKUP(AF$8,'Improved Sales Adjustments'!$G$7:$ZO$147,78,FALSE)),1,0))),IF(OR(ISERROR(HLOOKUP(AF$8,'Improved Sales Adjustments'!$G$7:$ZO$147,77,FALSE)),ISERROR(HLOOKUP(AF$8,'Improved Sales Adjustments'!$G$7:$ZO$147,79,FALSE))),0,IF(HLOOKUP(AF$8,'Improved Sales Adjustments'!$G$7:$ZO$147,77,FALSE)="",0,IF(AND($G24=HLOOKUP(AF$8,'Improved Sales Adjustments'!$G$7:$ZO$147,77,FALSE),$F28=HLOOKUP(AF$8,'Improved Sales Adjustments'!$G$7:$ZO$147,79,FALSE)),1,0))))</f>
        <v>0</v>
      </c>
      <c r="AG28" s="2089">
        <f>IF(dpSales_Adjustment_4="Construction Quality",IF(OR(ISERROR(HLOOKUP(AG$8,'Improved Sales Adjustments'!$G$7:$ZO$147,77,FALSE)),ISERROR(HLOOKUP(AG$8,'Improved Sales Adjustments'!$G$7:$ZO$147,78,FALSE))),0,IF(HLOOKUP(AG$8,'Improved Sales Adjustments'!$G$7:$ZO$147,77,FALSE)="",0,IF(AND($G24=HLOOKUP(AG$8,'Improved Sales Adjustments'!$G$7:$ZO$147,77,FALSE),$F28=HLOOKUP(AG$8,'Improved Sales Adjustments'!$G$7:$ZO$147,78,FALSE)),1,0))),IF(OR(ISERROR(HLOOKUP(AG$8,'Improved Sales Adjustments'!$G$7:$ZO$147,77,FALSE)),ISERROR(HLOOKUP(AG$8,'Improved Sales Adjustments'!$G$7:$ZO$147,79,FALSE))),0,IF(HLOOKUP(AG$8,'Improved Sales Adjustments'!$G$7:$ZO$147,77,FALSE)="",0,IF(AND($G24=HLOOKUP(AG$8,'Improved Sales Adjustments'!$G$7:$ZO$147,77,FALSE),$F28=HLOOKUP(AG$8,'Improved Sales Adjustments'!$G$7:$ZO$147,79,FALSE)),1,0))))</f>
        <v>0</v>
      </c>
      <c r="AH28" s="2089">
        <f>IF(dpSales_Adjustment_4="Construction Quality",IF(OR(ISERROR(HLOOKUP(AH$8,'Improved Sales Adjustments'!$G$7:$ZO$147,77,FALSE)),ISERROR(HLOOKUP(AH$8,'Improved Sales Adjustments'!$G$7:$ZO$147,78,FALSE))),0,IF(HLOOKUP(AH$8,'Improved Sales Adjustments'!$G$7:$ZO$147,77,FALSE)="",0,IF(AND($G24=HLOOKUP(AH$8,'Improved Sales Adjustments'!$G$7:$ZO$147,77,FALSE),$F28=HLOOKUP(AH$8,'Improved Sales Adjustments'!$G$7:$ZO$147,78,FALSE)),1,0))),IF(OR(ISERROR(HLOOKUP(AH$8,'Improved Sales Adjustments'!$G$7:$ZO$147,77,FALSE)),ISERROR(HLOOKUP(AH$8,'Improved Sales Adjustments'!$G$7:$ZO$147,79,FALSE))),0,IF(HLOOKUP(AH$8,'Improved Sales Adjustments'!$G$7:$ZO$147,77,FALSE)="",0,IF(AND($G24=HLOOKUP(AH$8,'Improved Sales Adjustments'!$G$7:$ZO$147,77,FALSE),$F28=HLOOKUP(AH$8,'Improved Sales Adjustments'!$G$7:$ZO$147,79,FALSE)),1,0))))</f>
        <v>0</v>
      </c>
      <c r="AI28" s="2089">
        <f>SUM(X28:$X28)</f>
        <v>0</v>
      </c>
      <c r="AJ28" s="2089">
        <f>SUM($X28:Y28)</f>
        <v>0</v>
      </c>
      <c r="AK28" s="2089">
        <f>SUM($X28:Z28)</f>
        <v>0</v>
      </c>
      <c r="AL28" s="2089">
        <f>SUM($X28:AA28)</f>
        <v>0</v>
      </c>
      <c r="AM28" s="2089">
        <f>SUM($X28:AB28)</f>
        <v>0</v>
      </c>
      <c r="AN28" s="2089">
        <f>SUM($X28:AC28)</f>
        <v>0</v>
      </c>
      <c r="AO28" s="2089">
        <f>SUM($X28:AD28)</f>
        <v>0</v>
      </c>
      <c r="AP28" s="2089">
        <f>SUM($X28:AE28)</f>
        <v>0</v>
      </c>
      <c r="AQ28" s="2089">
        <f>SUM($X28:AF28)</f>
        <v>0</v>
      </c>
      <c r="AR28" s="2089">
        <f>SUM($X28:AG28)</f>
        <v>0</v>
      </c>
      <c r="AS28" s="2089">
        <f>SUM($X28:AH28)</f>
        <v>0</v>
      </c>
      <c r="AT28" s="2089" t="str">
        <f t="shared" si="7"/>
        <v/>
      </c>
      <c r="AU28" s="2089" t="str">
        <f t="shared" si="8"/>
        <v/>
      </c>
      <c r="AV28" s="2089" t="str">
        <f t="shared" si="9"/>
        <v/>
      </c>
      <c r="AW28" s="2089" t="str">
        <f t="shared" si="10"/>
        <v/>
      </c>
      <c r="AX28" s="2089" t="str">
        <f t="shared" si="11"/>
        <v/>
      </c>
      <c r="AY28" s="2089" t="str">
        <f t="shared" si="12"/>
        <v/>
      </c>
      <c r="AZ28" s="2089" t="str">
        <f t="shared" si="13"/>
        <v/>
      </c>
      <c r="BA28" s="2089" t="str">
        <f t="shared" si="14"/>
        <v/>
      </c>
      <c r="BB28" s="2089" t="str">
        <f t="shared" si="15"/>
        <v/>
      </c>
      <c r="BC28" s="2089" t="str">
        <f t="shared" si="16"/>
        <v/>
      </c>
      <c r="BD28" s="2089" t="str">
        <f t="shared" si="17"/>
        <v/>
      </c>
    </row>
    <row r="29" spans="1:56" ht="69.95" customHeight="1" x14ac:dyDescent="0.25">
      <c r="A29" s="972">
        <f t="shared" si="6"/>
        <v>0</v>
      </c>
      <c r="B29" s="4"/>
      <c r="C29" s="101"/>
      <c r="D29" s="4185" t="str">
        <f t="shared" si="3"/>
        <v/>
      </c>
      <c r="E29" s="4185"/>
      <c r="F29" s="4067" t="str">
        <f>IF(dpSales_Adjustment_4="Construction Quality","A - Structural Steel","A")</f>
        <v>A - Structural Steel</v>
      </c>
      <c r="G29" s="4209" t="s">
        <v>1841</v>
      </c>
      <c r="H29" s="4210" t="s">
        <v>1845</v>
      </c>
      <c r="I29" s="4210"/>
      <c r="J29" s="4210"/>
      <c r="K29" s="4210"/>
      <c r="L29" s="4068" t="str">
        <f t="shared" si="4"/>
        <v/>
      </c>
      <c r="M29" s="4193">
        <f>dpSales_Quality_RatingAdj*W29</f>
        <v>-0.30000000000000004</v>
      </c>
      <c r="N29" s="4190" t="s">
        <v>177</v>
      </c>
      <c r="O29" s="4190"/>
      <c r="P29" s="4069" t="str">
        <f>IFERROR(L29+M29,"")</f>
        <v/>
      </c>
      <c r="Q29" s="4070"/>
      <c r="R29" s="2086"/>
      <c r="S29" s="707"/>
      <c r="T29" s="707"/>
      <c r="U29" s="707">
        <f t="shared" ref="U29:U43" si="21">U24</f>
        <v>0</v>
      </c>
      <c r="V29" s="707" t="str">
        <f t="shared" ref="V29:V43" si="22">V24</f>
        <v/>
      </c>
      <c r="W29" s="707">
        <f>IF(SUM(X29:X33)=1,0,IF(SUM(X$9:X29)=0,W34-1,W24+1))</f>
        <v>-3</v>
      </c>
      <c r="X29" s="2101">
        <f>IF(dpSales_Adjustment_4="Construction Quality",IF(AND(F29=Subject_ConstructionClass,G$29=Subject_ConstructionQuality),1,0),IF(AND(F29=Subject_InvestmentClass,G$29=Subject_ConstructionQuality),1,0))</f>
        <v>0</v>
      </c>
      <c r="Y29" s="707">
        <f>IF(dpSales_Adjustment_4="Construction Quality",IF(OR(ISERROR(HLOOKUP(Y$8,'Improved Sales Adjustments'!$G$7:$ZO$147,77,FALSE)),ISERROR(HLOOKUP(Y$8,'Improved Sales Adjustments'!$G$7:$ZO$147,78,FALSE))),0,IF(HLOOKUP(Y$8,'Improved Sales Adjustments'!$G$7:$ZO$147,77,FALSE)="",0,IF(AND($G29=HLOOKUP(Y$8,'Improved Sales Adjustments'!$G$7:$ZO$147,77,FALSE),$F29=HLOOKUP(Y$8,'Improved Sales Adjustments'!$G$7:$ZO$147,78,FALSE)),1,0))),IF(OR(ISERROR(HLOOKUP(Y$8,'Improved Sales Adjustments'!$G$7:$ZO$147,77,FALSE)),ISERROR(HLOOKUP(Y$8,'Improved Sales Adjustments'!$G$7:$ZO$147,79,FALSE))),0,IF(HLOOKUP(Y$8,'Improved Sales Adjustments'!$G$7:$ZO$147,77,FALSE)="",0,IF(AND($G29=HLOOKUP(Y$8,'Improved Sales Adjustments'!$G$7:$ZO$147,77,FALSE),$F29=HLOOKUP(Y$8,'Improved Sales Adjustments'!$G$7:$ZO$147,79,FALSE)),1,0))))</f>
        <v>0</v>
      </c>
      <c r="Z29" s="707">
        <f>IF(dpSales_Adjustment_4="Construction Quality",IF(OR(ISERROR(HLOOKUP(Z$8,'Improved Sales Adjustments'!$G$7:$ZO$147,77,FALSE)),ISERROR(HLOOKUP(Z$8,'Improved Sales Adjustments'!$G$7:$ZO$147,78,FALSE))),0,IF(HLOOKUP(Z$8,'Improved Sales Adjustments'!$G$7:$ZO$147,77,FALSE)="",0,IF(AND($G29=HLOOKUP(Z$8,'Improved Sales Adjustments'!$G$7:$ZO$147,77,FALSE),$F29=HLOOKUP(Z$8,'Improved Sales Adjustments'!$G$7:$ZO$147,78,FALSE)),1,0))),IF(OR(ISERROR(HLOOKUP(Z$8,'Improved Sales Adjustments'!$G$7:$ZO$147,77,FALSE)),ISERROR(HLOOKUP(Z$8,'Improved Sales Adjustments'!$G$7:$ZO$147,79,FALSE))),0,IF(HLOOKUP(Z$8,'Improved Sales Adjustments'!$G$7:$ZO$147,77,FALSE)="",0,IF(AND($G29=HLOOKUP(Z$8,'Improved Sales Adjustments'!$G$7:$ZO$147,77,FALSE),$F29=HLOOKUP(Z$8,'Improved Sales Adjustments'!$G$7:$ZO$147,79,FALSE)),1,0))))</f>
        <v>0</v>
      </c>
      <c r="AA29" s="707">
        <f>IF(dpSales_Adjustment_4="Construction Quality",IF(OR(ISERROR(HLOOKUP(AA$8,'Improved Sales Adjustments'!$G$7:$ZO$147,77,FALSE)),ISERROR(HLOOKUP(AA$8,'Improved Sales Adjustments'!$G$7:$ZO$147,78,FALSE))),0,IF(HLOOKUP(AA$8,'Improved Sales Adjustments'!$G$7:$ZO$147,77,FALSE)="",0,IF(AND($G29=HLOOKUP(AA$8,'Improved Sales Adjustments'!$G$7:$ZO$147,77,FALSE),$F29=HLOOKUP(AA$8,'Improved Sales Adjustments'!$G$7:$ZO$147,78,FALSE)),1,0))),IF(OR(ISERROR(HLOOKUP(AA$8,'Improved Sales Adjustments'!$G$7:$ZO$147,77,FALSE)),ISERROR(HLOOKUP(AA$8,'Improved Sales Adjustments'!$G$7:$ZO$147,79,FALSE))),0,IF(HLOOKUP(AA$8,'Improved Sales Adjustments'!$G$7:$ZO$147,77,FALSE)="",0,IF(AND($G29=HLOOKUP(AA$8,'Improved Sales Adjustments'!$G$7:$ZO$147,77,FALSE),$F29=HLOOKUP(AA$8,'Improved Sales Adjustments'!$G$7:$ZO$147,79,FALSE)),1,0))))</f>
        <v>0</v>
      </c>
      <c r="AB29" s="707">
        <f>IF(dpSales_Adjustment_4="Construction Quality",IF(OR(ISERROR(HLOOKUP(AB$8,'Improved Sales Adjustments'!$G$7:$ZO$147,77,FALSE)),ISERROR(HLOOKUP(AB$8,'Improved Sales Adjustments'!$G$7:$ZO$147,78,FALSE))),0,IF(HLOOKUP(AB$8,'Improved Sales Adjustments'!$G$7:$ZO$147,77,FALSE)="",0,IF(AND($G29=HLOOKUP(AB$8,'Improved Sales Adjustments'!$G$7:$ZO$147,77,FALSE),$F29=HLOOKUP(AB$8,'Improved Sales Adjustments'!$G$7:$ZO$147,78,FALSE)),1,0))),IF(OR(ISERROR(HLOOKUP(AB$8,'Improved Sales Adjustments'!$G$7:$ZO$147,77,FALSE)),ISERROR(HLOOKUP(AB$8,'Improved Sales Adjustments'!$G$7:$ZO$147,79,FALSE))),0,IF(HLOOKUP(AB$8,'Improved Sales Adjustments'!$G$7:$ZO$147,77,FALSE)="",0,IF(AND($G29=HLOOKUP(AB$8,'Improved Sales Adjustments'!$G$7:$ZO$147,77,FALSE),$F29=HLOOKUP(AB$8,'Improved Sales Adjustments'!$G$7:$ZO$147,79,FALSE)),1,0))))</f>
        <v>0</v>
      </c>
      <c r="AC29" s="707">
        <f>IF(dpSales_Adjustment_4="Construction Quality",IF(OR(ISERROR(HLOOKUP(AC$8,'Improved Sales Adjustments'!$G$7:$ZO$147,77,FALSE)),ISERROR(HLOOKUP(AC$8,'Improved Sales Adjustments'!$G$7:$ZO$147,78,FALSE))),0,IF(HLOOKUP(AC$8,'Improved Sales Adjustments'!$G$7:$ZO$147,77,FALSE)="",0,IF(AND($G29=HLOOKUP(AC$8,'Improved Sales Adjustments'!$G$7:$ZO$147,77,FALSE),$F29=HLOOKUP(AC$8,'Improved Sales Adjustments'!$G$7:$ZO$147,78,FALSE)),1,0))),IF(OR(ISERROR(HLOOKUP(AC$8,'Improved Sales Adjustments'!$G$7:$ZO$147,77,FALSE)),ISERROR(HLOOKUP(AC$8,'Improved Sales Adjustments'!$G$7:$ZO$147,79,FALSE))),0,IF(HLOOKUP(AC$8,'Improved Sales Adjustments'!$G$7:$ZO$147,77,FALSE)="",0,IF(AND($G29=HLOOKUP(AC$8,'Improved Sales Adjustments'!$G$7:$ZO$147,77,FALSE),$F29=HLOOKUP(AC$8,'Improved Sales Adjustments'!$G$7:$ZO$147,79,FALSE)),1,0))))</f>
        <v>0</v>
      </c>
      <c r="AD29" s="707">
        <f>IF(dpSales_Adjustment_4="Construction Quality",IF(OR(ISERROR(HLOOKUP(AD$8,'Improved Sales Adjustments'!$G$7:$ZO$147,77,FALSE)),ISERROR(HLOOKUP(AD$8,'Improved Sales Adjustments'!$G$7:$ZO$147,78,FALSE))),0,IF(HLOOKUP(AD$8,'Improved Sales Adjustments'!$G$7:$ZO$147,77,FALSE)="",0,IF(AND($G29=HLOOKUP(AD$8,'Improved Sales Adjustments'!$G$7:$ZO$147,77,FALSE),$F29=HLOOKUP(AD$8,'Improved Sales Adjustments'!$G$7:$ZO$147,78,FALSE)),1,0))),IF(OR(ISERROR(HLOOKUP(AD$8,'Improved Sales Adjustments'!$G$7:$ZO$147,77,FALSE)),ISERROR(HLOOKUP(AD$8,'Improved Sales Adjustments'!$G$7:$ZO$147,79,FALSE))),0,IF(HLOOKUP(AD$8,'Improved Sales Adjustments'!$G$7:$ZO$147,77,FALSE)="",0,IF(AND($G29=HLOOKUP(AD$8,'Improved Sales Adjustments'!$G$7:$ZO$147,77,FALSE),$F29=HLOOKUP(AD$8,'Improved Sales Adjustments'!$G$7:$ZO$147,79,FALSE)),1,0))))</f>
        <v>0</v>
      </c>
      <c r="AE29" s="707">
        <f>IF(dpSales_Adjustment_4="Construction Quality",IF(OR(ISERROR(HLOOKUP(AE$8,'Improved Sales Adjustments'!$G$7:$ZO$147,77,FALSE)),ISERROR(HLOOKUP(AE$8,'Improved Sales Adjustments'!$G$7:$ZO$147,78,FALSE))),0,IF(HLOOKUP(AE$8,'Improved Sales Adjustments'!$G$7:$ZO$147,77,FALSE)="",0,IF(AND($G29=HLOOKUP(AE$8,'Improved Sales Adjustments'!$G$7:$ZO$147,77,FALSE),$F29=HLOOKUP(AE$8,'Improved Sales Adjustments'!$G$7:$ZO$147,78,FALSE)),1,0))),IF(OR(ISERROR(HLOOKUP(AE$8,'Improved Sales Adjustments'!$G$7:$ZO$147,77,FALSE)),ISERROR(HLOOKUP(AE$8,'Improved Sales Adjustments'!$G$7:$ZO$147,79,FALSE))),0,IF(HLOOKUP(AE$8,'Improved Sales Adjustments'!$G$7:$ZO$147,77,FALSE)="",0,IF(AND($G29=HLOOKUP(AE$8,'Improved Sales Adjustments'!$G$7:$ZO$147,77,FALSE),$F29=HLOOKUP(AE$8,'Improved Sales Adjustments'!$G$7:$ZO$147,79,FALSE)),1,0))))</f>
        <v>0</v>
      </c>
      <c r="AF29" s="707">
        <f>IF(dpSales_Adjustment_4="Construction Quality",IF(OR(ISERROR(HLOOKUP(AF$8,'Improved Sales Adjustments'!$G$7:$ZO$147,77,FALSE)),ISERROR(HLOOKUP(AF$8,'Improved Sales Adjustments'!$G$7:$ZO$147,78,FALSE))),0,IF(HLOOKUP(AF$8,'Improved Sales Adjustments'!$G$7:$ZO$147,77,FALSE)="",0,IF(AND($G29=HLOOKUP(AF$8,'Improved Sales Adjustments'!$G$7:$ZO$147,77,FALSE),$F29=HLOOKUP(AF$8,'Improved Sales Adjustments'!$G$7:$ZO$147,78,FALSE)),1,0))),IF(OR(ISERROR(HLOOKUP(AF$8,'Improved Sales Adjustments'!$G$7:$ZO$147,77,FALSE)),ISERROR(HLOOKUP(AF$8,'Improved Sales Adjustments'!$G$7:$ZO$147,79,FALSE))),0,IF(HLOOKUP(AF$8,'Improved Sales Adjustments'!$G$7:$ZO$147,77,FALSE)="",0,IF(AND($G29=HLOOKUP(AF$8,'Improved Sales Adjustments'!$G$7:$ZO$147,77,FALSE),$F29=HLOOKUP(AF$8,'Improved Sales Adjustments'!$G$7:$ZO$147,79,FALSE)),1,0))))</f>
        <v>0</v>
      </c>
      <c r="AG29" s="707">
        <f>IF(dpSales_Adjustment_4="Construction Quality",IF(OR(ISERROR(HLOOKUP(AG$8,'Improved Sales Adjustments'!$G$7:$ZO$147,77,FALSE)),ISERROR(HLOOKUP(AG$8,'Improved Sales Adjustments'!$G$7:$ZO$147,78,FALSE))),0,IF(HLOOKUP(AG$8,'Improved Sales Adjustments'!$G$7:$ZO$147,77,FALSE)="",0,IF(AND($G29=HLOOKUP(AG$8,'Improved Sales Adjustments'!$G$7:$ZO$147,77,FALSE),$F29=HLOOKUP(AG$8,'Improved Sales Adjustments'!$G$7:$ZO$147,78,FALSE)),1,0))),IF(OR(ISERROR(HLOOKUP(AG$8,'Improved Sales Adjustments'!$G$7:$ZO$147,77,FALSE)),ISERROR(HLOOKUP(AG$8,'Improved Sales Adjustments'!$G$7:$ZO$147,79,FALSE))),0,IF(HLOOKUP(AG$8,'Improved Sales Adjustments'!$G$7:$ZO$147,77,FALSE)="",0,IF(AND($G29=HLOOKUP(AG$8,'Improved Sales Adjustments'!$G$7:$ZO$147,77,FALSE),$F29=HLOOKUP(AG$8,'Improved Sales Adjustments'!$G$7:$ZO$147,79,FALSE)),1,0))))</f>
        <v>0</v>
      </c>
      <c r="AH29" s="707">
        <f>IF(dpSales_Adjustment_4="Construction Quality",IF(OR(ISERROR(HLOOKUP(AH$8,'Improved Sales Adjustments'!$G$7:$ZO$147,77,FALSE)),ISERROR(HLOOKUP(AH$8,'Improved Sales Adjustments'!$G$7:$ZO$147,78,FALSE))),0,IF(HLOOKUP(AH$8,'Improved Sales Adjustments'!$G$7:$ZO$147,77,FALSE)="",0,IF(AND($G29=HLOOKUP(AH$8,'Improved Sales Adjustments'!$G$7:$ZO$147,77,FALSE),$F29=HLOOKUP(AH$8,'Improved Sales Adjustments'!$G$7:$ZO$147,78,FALSE)),1,0))),IF(OR(ISERROR(HLOOKUP(AH$8,'Improved Sales Adjustments'!$G$7:$ZO$147,77,FALSE)),ISERROR(HLOOKUP(AH$8,'Improved Sales Adjustments'!$G$7:$ZO$147,79,FALSE))),0,IF(HLOOKUP(AH$8,'Improved Sales Adjustments'!$G$7:$ZO$147,77,FALSE)="",0,IF(AND($G29=HLOOKUP(AH$8,'Improved Sales Adjustments'!$G$7:$ZO$147,77,FALSE),$F29=HLOOKUP(AH$8,'Improved Sales Adjustments'!$G$7:$ZO$147,79,FALSE)),1,0))))</f>
        <v>0</v>
      </c>
      <c r="AI29" s="707">
        <f>SUM(X29:$X29)</f>
        <v>0</v>
      </c>
      <c r="AJ29" s="707">
        <f>SUM($X29:Y29)</f>
        <v>0</v>
      </c>
      <c r="AK29" s="707">
        <f>SUM($X29:Z29)</f>
        <v>0</v>
      </c>
      <c r="AL29" s="707">
        <f>SUM($X29:AA29)</f>
        <v>0</v>
      </c>
      <c r="AM29" s="707">
        <f>SUM($X29:AB29)</f>
        <v>0</v>
      </c>
      <c r="AN29" s="707">
        <f>SUM($X29:AC29)</f>
        <v>0</v>
      </c>
      <c r="AO29" s="707">
        <f>SUM($X29:AD29)</f>
        <v>0</v>
      </c>
      <c r="AP29" s="707">
        <f>SUM($X29:AE29)</f>
        <v>0</v>
      </c>
      <c r="AQ29" s="707">
        <f>SUM($X29:AF29)</f>
        <v>0</v>
      </c>
      <c r="AR29" s="707">
        <f>SUM($X29:AG29)</f>
        <v>0</v>
      </c>
      <c r="AS29" s="707">
        <f>SUM($X29:AH29)</f>
        <v>0</v>
      </c>
      <c r="AT29" s="707" t="str">
        <f t="shared" si="7"/>
        <v/>
      </c>
      <c r="AU29" s="707" t="str">
        <f t="shared" si="8"/>
        <v/>
      </c>
      <c r="AV29" s="707" t="str">
        <f t="shared" si="9"/>
        <v/>
      </c>
      <c r="AW29" s="707" t="str">
        <f t="shared" si="10"/>
        <v/>
      </c>
      <c r="AX29" s="707" t="str">
        <f t="shared" si="11"/>
        <v/>
      </c>
      <c r="AY29" s="707" t="str">
        <f t="shared" si="12"/>
        <v/>
      </c>
      <c r="AZ29" s="707" t="str">
        <f t="shared" si="13"/>
        <v/>
      </c>
      <c r="BA29" s="707" t="str">
        <f t="shared" si="14"/>
        <v/>
      </c>
      <c r="BB29" s="707" t="str">
        <f t="shared" si="15"/>
        <v/>
      </c>
      <c r="BC29" s="707" t="str">
        <f t="shared" si="16"/>
        <v/>
      </c>
      <c r="BD29" s="707" t="str">
        <f t="shared" si="17"/>
        <v/>
      </c>
    </row>
    <row r="30" spans="1:56" ht="69.95" customHeight="1" x14ac:dyDescent="0.25">
      <c r="A30" s="972">
        <f t="shared" si="6"/>
        <v>0</v>
      </c>
      <c r="B30" s="4"/>
      <c r="C30" s="101"/>
      <c r="D30" s="4185" t="str">
        <f t="shared" si="3"/>
        <v/>
      </c>
      <c r="E30" s="4185"/>
      <c r="F30" s="4067" t="str">
        <f>IF(dpSales_Adjustment_4="Construction Quality","B - Reinforced Concrete","B")</f>
        <v>B - Reinforced Concrete</v>
      </c>
      <c r="G30" s="4207"/>
      <c r="H30" s="4198"/>
      <c r="I30" s="4198"/>
      <c r="J30" s="4198"/>
      <c r="K30" s="4198"/>
      <c r="L30" s="4068" t="str">
        <f t="shared" si="4"/>
        <v/>
      </c>
      <c r="M30" s="4194"/>
      <c r="N30" s="4190"/>
      <c r="O30" s="4190"/>
      <c r="P30" s="4069" t="str">
        <f>IFERROR(L30+M29,"")</f>
        <v/>
      </c>
      <c r="Q30" s="4070"/>
      <c r="R30" s="2086"/>
      <c r="S30" s="707"/>
      <c r="T30" s="707"/>
      <c r="U30" s="707">
        <f t="shared" si="21"/>
        <v>0</v>
      </c>
      <c r="V30" s="707" t="str">
        <f t="shared" si="22"/>
        <v/>
      </c>
      <c r="W30" s="707"/>
      <c r="X30" s="707">
        <f>IF(dpSales_Adjustment_4="Construction Quality",IF(AND(F30=Subject_ConstructionClass,G$29=Subject_ConstructionQuality),1,0),IF(AND(F30=Subject_InvestmentClass,G$29=Subject_ConstructionQuality),1,0))</f>
        <v>0</v>
      </c>
      <c r="Y30" s="707">
        <f>IF(dpSales_Adjustment_4="Construction Quality",IF(OR(ISERROR(HLOOKUP(Y$8,'Improved Sales Adjustments'!$G$7:$ZO$147,77,FALSE)),ISERROR(HLOOKUP(Y$8,'Improved Sales Adjustments'!$G$7:$ZO$147,78,FALSE))),0,IF(HLOOKUP(Y$8,'Improved Sales Adjustments'!$G$7:$ZO$147,77,FALSE)="",0,IF(AND($G29=HLOOKUP(Y$8,'Improved Sales Adjustments'!$G$7:$ZO$147,77,FALSE),$F30=HLOOKUP(Y$8,'Improved Sales Adjustments'!$G$7:$ZO$147,78,FALSE)),1,0))),IF(OR(ISERROR(HLOOKUP(Y$8,'Improved Sales Adjustments'!$G$7:$ZO$147,77,FALSE)),ISERROR(HLOOKUP(Y$8,'Improved Sales Adjustments'!$G$7:$ZO$147,79,FALSE))),0,IF(HLOOKUP(Y$8,'Improved Sales Adjustments'!$G$7:$ZO$147,77,FALSE)="",0,IF(AND($G29=HLOOKUP(Y$8,'Improved Sales Adjustments'!$G$7:$ZO$147,77,FALSE),$F30=HLOOKUP(Y$8,'Improved Sales Adjustments'!$G$7:$ZO$147,79,FALSE)),1,0))))</f>
        <v>0</v>
      </c>
      <c r="Z30" s="707">
        <f>IF(dpSales_Adjustment_4="Construction Quality",IF(OR(ISERROR(HLOOKUP(Z$8,'Improved Sales Adjustments'!$G$7:$ZO$147,77,FALSE)),ISERROR(HLOOKUP(Z$8,'Improved Sales Adjustments'!$G$7:$ZO$147,78,FALSE))),0,IF(HLOOKUP(Z$8,'Improved Sales Adjustments'!$G$7:$ZO$147,77,FALSE)="",0,IF(AND($G29=HLOOKUP(Z$8,'Improved Sales Adjustments'!$G$7:$ZO$147,77,FALSE),$F30=HLOOKUP(Z$8,'Improved Sales Adjustments'!$G$7:$ZO$147,78,FALSE)),1,0))),IF(OR(ISERROR(HLOOKUP(Z$8,'Improved Sales Adjustments'!$G$7:$ZO$147,77,FALSE)),ISERROR(HLOOKUP(Z$8,'Improved Sales Adjustments'!$G$7:$ZO$147,79,FALSE))),0,IF(HLOOKUP(Z$8,'Improved Sales Adjustments'!$G$7:$ZO$147,77,FALSE)="",0,IF(AND($G29=HLOOKUP(Z$8,'Improved Sales Adjustments'!$G$7:$ZO$147,77,FALSE),$F30=HLOOKUP(Z$8,'Improved Sales Adjustments'!$G$7:$ZO$147,79,FALSE)),1,0))))</f>
        <v>0</v>
      </c>
      <c r="AA30" s="707">
        <f>IF(dpSales_Adjustment_4="Construction Quality",IF(OR(ISERROR(HLOOKUP(AA$8,'Improved Sales Adjustments'!$G$7:$ZO$147,77,FALSE)),ISERROR(HLOOKUP(AA$8,'Improved Sales Adjustments'!$G$7:$ZO$147,78,FALSE))),0,IF(HLOOKUP(AA$8,'Improved Sales Adjustments'!$G$7:$ZO$147,77,FALSE)="",0,IF(AND($G29=HLOOKUP(AA$8,'Improved Sales Adjustments'!$G$7:$ZO$147,77,FALSE),$F30=HLOOKUP(AA$8,'Improved Sales Adjustments'!$G$7:$ZO$147,78,FALSE)),1,0))),IF(OR(ISERROR(HLOOKUP(AA$8,'Improved Sales Adjustments'!$G$7:$ZO$147,77,FALSE)),ISERROR(HLOOKUP(AA$8,'Improved Sales Adjustments'!$G$7:$ZO$147,79,FALSE))),0,IF(HLOOKUP(AA$8,'Improved Sales Adjustments'!$G$7:$ZO$147,77,FALSE)="",0,IF(AND($G29=HLOOKUP(AA$8,'Improved Sales Adjustments'!$G$7:$ZO$147,77,FALSE),$F30=HLOOKUP(AA$8,'Improved Sales Adjustments'!$G$7:$ZO$147,79,FALSE)),1,0))))</f>
        <v>0</v>
      </c>
      <c r="AB30" s="707">
        <f>IF(dpSales_Adjustment_4="Construction Quality",IF(OR(ISERROR(HLOOKUP(AB$8,'Improved Sales Adjustments'!$G$7:$ZO$147,77,FALSE)),ISERROR(HLOOKUP(AB$8,'Improved Sales Adjustments'!$G$7:$ZO$147,78,FALSE))),0,IF(HLOOKUP(AB$8,'Improved Sales Adjustments'!$G$7:$ZO$147,77,FALSE)="",0,IF(AND($G29=HLOOKUP(AB$8,'Improved Sales Adjustments'!$G$7:$ZO$147,77,FALSE),$F30=HLOOKUP(AB$8,'Improved Sales Adjustments'!$G$7:$ZO$147,78,FALSE)),1,0))),IF(OR(ISERROR(HLOOKUP(AB$8,'Improved Sales Adjustments'!$G$7:$ZO$147,77,FALSE)),ISERROR(HLOOKUP(AB$8,'Improved Sales Adjustments'!$G$7:$ZO$147,79,FALSE))),0,IF(HLOOKUP(AB$8,'Improved Sales Adjustments'!$G$7:$ZO$147,77,FALSE)="",0,IF(AND($G29=HLOOKUP(AB$8,'Improved Sales Adjustments'!$G$7:$ZO$147,77,FALSE),$F30=HLOOKUP(AB$8,'Improved Sales Adjustments'!$G$7:$ZO$147,79,FALSE)),1,0))))</f>
        <v>0</v>
      </c>
      <c r="AC30" s="707">
        <f>IF(dpSales_Adjustment_4="Construction Quality",IF(OR(ISERROR(HLOOKUP(AC$8,'Improved Sales Adjustments'!$G$7:$ZO$147,77,FALSE)),ISERROR(HLOOKUP(AC$8,'Improved Sales Adjustments'!$G$7:$ZO$147,78,FALSE))),0,IF(HLOOKUP(AC$8,'Improved Sales Adjustments'!$G$7:$ZO$147,77,FALSE)="",0,IF(AND($G29=HLOOKUP(AC$8,'Improved Sales Adjustments'!$G$7:$ZO$147,77,FALSE),$F30=HLOOKUP(AC$8,'Improved Sales Adjustments'!$G$7:$ZO$147,78,FALSE)),1,0))),IF(OR(ISERROR(HLOOKUP(AC$8,'Improved Sales Adjustments'!$G$7:$ZO$147,77,FALSE)),ISERROR(HLOOKUP(AC$8,'Improved Sales Adjustments'!$G$7:$ZO$147,79,FALSE))),0,IF(HLOOKUP(AC$8,'Improved Sales Adjustments'!$G$7:$ZO$147,77,FALSE)="",0,IF(AND($G29=HLOOKUP(AC$8,'Improved Sales Adjustments'!$G$7:$ZO$147,77,FALSE),$F30=HLOOKUP(AC$8,'Improved Sales Adjustments'!$G$7:$ZO$147,79,FALSE)),1,0))))</f>
        <v>0</v>
      </c>
      <c r="AD30" s="707">
        <f>IF(dpSales_Adjustment_4="Construction Quality",IF(OR(ISERROR(HLOOKUP(AD$8,'Improved Sales Adjustments'!$G$7:$ZO$147,77,FALSE)),ISERROR(HLOOKUP(AD$8,'Improved Sales Adjustments'!$G$7:$ZO$147,78,FALSE))),0,IF(HLOOKUP(AD$8,'Improved Sales Adjustments'!$G$7:$ZO$147,77,FALSE)="",0,IF(AND($G29=HLOOKUP(AD$8,'Improved Sales Adjustments'!$G$7:$ZO$147,77,FALSE),$F30=HLOOKUP(AD$8,'Improved Sales Adjustments'!$G$7:$ZO$147,78,FALSE)),1,0))),IF(OR(ISERROR(HLOOKUP(AD$8,'Improved Sales Adjustments'!$G$7:$ZO$147,77,FALSE)),ISERROR(HLOOKUP(AD$8,'Improved Sales Adjustments'!$G$7:$ZO$147,79,FALSE))),0,IF(HLOOKUP(AD$8,'Improved Sales Adjustments'!$G$7:$ZO$147,77,FALSE)="",0,IF(AND($G29=HLOOKUP(AD$8,'Improved Sales Adjustments'!$G$7:$ZO$147,77,FALSE),$F30=HLOOKUP(AD$8,'Improved Sales Adjustments'!$G$7:$ZO$147,79,FALSE)),1,0))))</f>
        <v>0</v>
      </c>
      <c r="AE30" s="707">
        <f>IF(dpSales_Adjustment_4="Construction Quality",IF(OR(ISERROR(HLOOKUP(AE$8,'Improved Sales Adjustments'!$G$7:$ZO$147,77,FALSE)),ISERROR(HLOOKUP(AE$8,'Improved Sales Adjustments'!$G$7:$ZO$147,78,FALSE))),0,IF(HLOOKUP(AE$8,'Improved Sales Adjustments'!$G$7:$ZO$147,77,FALSE)="",0,IF(AND($G29=HLOOKUP(AE$8,'Improved Sales Adjustments'!$G$7:$ZO$147,77,FALSE),$F30=HLOOKUP(AE$8,'Improved Sales Adjustments'!$G$7:$ZO$147,78,FALSE)),1,0))),IF(OR(ISERROR(HLOOKUP(AE$8,'Improved Sales Adjustments'!$G$7:$ZO$147,77,FALSE)),ISERROR(HLOOKUP(AE$8,'Improved Sales Adjustments'!$G$7:$ZO$147,79,FALSE))),0,IF(HLOOKUP(AE$8,'Improved Sales Adjustments'!$G$7:$ZO$147,77,FALSE)="",0,IF(AND($G29=HLOOKUP(AE$8,'Improved Sales Adjustments'!$G$7:$ZO$147,77,FALSE),$F30=HLOOKUP(AE$8,'Improved Sales Adjustments'!$G$7:$ZO$147,79,FALSE)),1,0))))</f>
        <v>0</v>
      </c>
      <c r="AF30" s="707">
        <f>IF(dpSales_Adjustment_4="Construction Quality",IF(OR(ISERROR(HLOOKUP(AF$8,'Improved Sales Adjustments'!$G$7:$ZO$147,77,FALSE)),ISERROR(HLOOKUP(AF$8,'Improved Sales Adjustments'!$G$7:$ZO$147,78,FALSE))),0,IF(HLOOKUP(AF$8,'Improved Sales Adjustments'!$G$7:$ZO$147,77,FALSE)="",0,IF(AND($G29=HLOOKUP(AF$8,'Improved Sales Adjustments'!$G$7:$ZO$147,77,FALSE),$F30=HLOOKUP(AF$8,'Improved Sales Adjustments'!$G$7:$ZO$147,78,FALSE)),1,0))),IF(OR(ISERROR(HLOOKUP(AF$8,'Improved Sales Adjustments'!$G$7:$ZO$147,77,FALSE)),ISERROR(HLOOKUP(AF$8,'Improved Sales Adjustments'!$G$7:$ZO$147,79,FALSE))),0,IF(HLOOKUP(AF$8,'Improved Sales Adjustments'!$G$7:$ZO$147,77,FALSE)="",0,IF(AND($G29=HLOOKUP(AF$8,'Improved Sales Adjustments'!$G$7:$ZO$147,77,FALSE),$F30=HLOOKUP(AF$8,'Improved Sales Adjustments'!$G$7:$ZO$147,79,FALSE)),1,0))))</f>
        <v>0</v>
      </c>
      <c r="AG30" s="707">
        <f>IF(dpSales_Adjustment_4="Construction Quality",IF(OR(ISERROR(HLOOKUP(AG$8,'Improved Sales Adjustments'!$G$7:$ZO$147,77,FALSE)),ISERROR(HLOOKUP(AG$8,'Improved Sales Adjustments'!$G$7:$ZO$147,78,FALSE))),0,IF(HLOOKUP(AG$8,'Improved Sales Adjustments'!$G$7:$ZO$147,77,FALSE)="",0,IF(AND($G29=HLOOKUP(AG$8,'Improved Sales Adjustments'!$G$7:$ZO$147,77,FALSE),$F30=HLOOKUP(AG$8,'Improved Sales Adjustments'!$G$7:$ZO$147,78,FALSE)),1,0))),IF(OR(ISERROR(HLOOKUP(AG$8,'Improved Sales Adjustments'!$G$7:$ZO$147,77,FALSE)),ISERROR(HLOOKUP(AG$8,'Improved Sales Adjustments'!$G$7:$ZO$147,79,FALSE))),0,IF(HLOOKUP(AG$8,'Improved Sales Adjustments'!$G$7:$ZO$147,77,FALSE)="",0,IF(AND($G29=HLOOKUP(AG$8,'Improved Sales Adjustments'!$G$7:$ZO$147,77,FALSE),$F30=HLOOKUP(AG$8,'Improved Sales Adjustments'!$G$7:$ZO$147,79,FALSE)),1,0))))</f>
        <v>0</v>
      </c>
      <c r="AH30" s="707">
        <f>IF(dpSales_Adjustment_4="Construction Quality",IF(OR(ISERROR(HLOOKUP(AH$8,'Improved Sales Adjustments'!$G$7:$ZO$147,77,FALSE)),ISERROR(HLOOKUP(AH$8,'Improved Sales Adjustments'!$G$7:$ZO$147,78,FALSE))),0,IF(HLOOKUP(AH$8,'Improved Sales Adjustments'!$G$7:$ZO$147,77,FALSE)="",0,IF(AND($G29=HLOOKUP(AH$8,'Improved Sales Adjustments'!$G$7:$ZO$147,77,FALSE),$F30=HLOOKUP(AH$8,'Improved Sales Adjustments'!$G$7:$ZO$147,78,FALSE)),1,0))),IF(OR(ISERROR(HLOOKUP(AH$8,'Improved Sales Adjustments'!$G$7:$ZO$147,77,FALSE)),ISERROR(HLOOKUP(AH$8,'Improved Sales Adjustments'!$G$7:$ZO$147,79,FALSE))),0,IF(HLOOKUP(AH$8,'Improved Sales Adjustments'!$G$7:$ZO$147,77,FALSE)="",0,IF(AND($G29=HLOOKUP(AH$8,'Improved Sales Adjustments'!$G$7:$ZO$147,77,FALSE),$F30=HLOOKUP(AH$8,'Improved Sales Adjustments'!$G$7:$ZO$147,79,FALSE)),1,0))))</f>
        <v>0</v>
      </c>
      <c r="AI30" s="707">
        <f>SUM(X30:$X30)</f>
        <v>0</v>
      </c>
      <c r="AJ30" s="707">
        <f>SUM($X30:Y30)</f>
        <v>0</v>
      </c>
      <c r="AK30" s="707">
        <f>SUM($X30:Z30)</f>
        <v>0</v>
      </c>
      <c r="AL30" s="707">
        <f>SUM($X30:AA30)</f>
        <v>0</v>
      </c>
      <c r="AM30" s="707">
        <f>SUM($X30:AB30)</f>
        <v>0</v>
      </c>
      <c r="AN30" s="707">
        <f>SUM($X30:AC30)</f>
        <v>0</v>
      </c>
      <c r="AO30" s="707">
        <f>SUM($X30:AD30)</f>
        <v>0</v>
      </c>
      <c r="AP30" s="707">
        <f>SUM($X30:AE30)</f>
        <v>0</v>
      </c>
      <c r="AQ30" s="707">
        <f>SUM($X30:AF30)</f>
        <v>0</v>
      </c>
      <c r="AR30" s="707">
        <f>SUM($X30:AG30)</f>
        <v>0</v>
      </c>
      <c r="AS30" s="707">
        <f>SUM($X30:AH30)</f>
        <v>0</v>
      </c>
      <c r="AT30" s="707" t="str">
        <f t="shared" si="7"/>
        <v/>
      </c>
      <c r="AU30" s="707" t="str">
        <f t="shared" si="8"/>
        <v/>
      </c>
      <c r="AV30" s="707" t="str">
        <f t="shared" si="9"/>
        <v/>
      </c>
      <c r="AW30" s="707" t="str">
        <f t="shared" si="10"/>
        <v/>
      </c>
      <c r="AX30" s="707" t="str">
        <f t="shared" si="11"/>
        <v/>
      </c>
      <c r="AY30" s="707" t="str">
        <f t="shared" si="12"/>
        <v/>
      </c>
      <c r="AZ30" s="707" t="str">
        <f t="shared" si="13"/>
        <v/>
      </c>
      <c r="BA30" s="707" t="str">
        <f t="shared" si="14"/>
        <v/>
      </c>
      <c r="BB30" s="707" t="str">
        <f t="shared" si="15"/>
        <v/>
      </c>
      <c r="BC30" s="707" t="str">
        <f t="shared" si="16"/>
        <v/>
      </c>
      <c r="BD30" s="707" t="str">
        <f t="shared" si="17"/>
        <v/>
      </c>
    </row>
    <row r="31" spans="1:56" ht="69.95" customHeight="1" x14ac:dyDescent="0.25">
      <c r="A31" s="972">
        <f t="shared" si="6"/>
        <v>0</v>
      </c>
      <c r="B31" s="4"/>
      <c r="C31" s="101"/>
      <c r="D31" s="4185" t="str">
        <f t="shared" si="3"/>
        <v/>
      </c>
      <c r="E31" s="4185"/>
      <c r="F31" s="4067" t="str">
        <f>IF(dpSales_Adjustment_4="Construction Quality","C - Masonry","C")</f>
        <v>C - Masonry</v>
      </c>
      <c r="G31" s="4207"/>
      <c r="H31" s="4198"/>
      <c r="I31" s="4198"/>
      <c r="J31" s="4198"/>
      <c r="K31" s="4198"/>
      <c r="L31" s="4068" t="str">
        <f t="shared" si="4"/>
        <v/>
      </c>
      <c r="M31" s="4194"/>
      <c r="N31" s="4190"/>
      <c r="O31" s="4190"/>
      <c r="P31" s="4069" t="str">
        <f>IFERROR(L31+M29,"")</f>
        <v/>
      </c>
      <c r="Q31" s="4070"/>
      <c r="R31" s="2086"/>
      <c r="S31" s="707"/>
      <c r="T31" s="707"/>
      <c r="U31" s="707">
        <f t="shared" si="21"/>
        <v>0</v>
      </c>
      <c r="V31" s="707" t="str">
        <f t="shared" si="22"/>
        <v/>
      </c>
      <c r="W31" s="707"/>
      <c r="X31" s="707">
        <f>IF(dpSales_Adjustment_4="Construction Quality",IF(AND(F31=Subject_ConstructionClass,G$29=Subject_ConstructionQuality),1,0),IF(AND(F31=Subject_InvestmentClass,G$29=Subject_ConstructionQuality),1,0))</f>
        <v>0</v>
      </c>
      <c r="Y31" s="707">
        <f>IF(dpSales_Adjustment_4="Construction Quality",IF(OR(ISERROR(HLOOKUP(Y$8,'Improved Sales Adjustments'!$G$7:$ZO$147,77,FALSE)),ISERROR(HLOOKUP(Y$8,'Improved Sales Adjustments'!$G$7:$ZO$147,78,FALSE))),0,IF(HLOOKUP(Y$8,'Improved Sales Adjustments'!$G$7:$ZO$147,77,FALSE)="",0,IF(AND($G29=HLOOKUP(Y$8,'Improved Sales Adjustments'!$G$7:$ZO$147,77,FALSE),$F31=HLOOKUP(Y$8,'Improved Sales Adjustments'!$G$7:$ZO$147,78,FALSE)),1,0))),IF(OR(ISERROR(HLOOKUP(Y$8,'Improved Sales Adjustments'!$G$7:$ZO$147,77,FALSE)),ISERROR(HLOOKUP(Y$8,'Improved Sales Adjustments'!$G$7:$ZO$147,79,FALSE))),0,IF(HLOOKUP(Y$8,'Improved Sales Adjustments'!$G$7:$ZO$147,77,FALSE)="",0,IF(AND($G29=HLOOKUP(Y$8,'Improved Sales Adjustments'!$G$7:$ZO$147,77,FALSE),$F31=HLOOKUP(Y$8,'Improved Sales Adjustments'!$G$7:$ZO$147,79,FALSE)),1,0))))</f>
        <v>0</v>
      </c>
      <c r="Z31" s="707">
        <f>IF(dpSales_Adjustment_4="Construction Quality",IF(OR(ISERROR(HLOOKUP(Z$8,'Improved Sales Adjustments'!$G$7:$ZO$147,77,FALSE)),ISERROR(HLOOKUP(Z$8,'Improved Sales Adjustments'!$G$7:$ZO$147,78,FALSE))),0,IF(HLOOKUP(Z$8,'Improved Sales Adjustments'!$G$7:$ZO$147,77,FALSE)="",0,IF(AND($G29=HLOOKUP(Z$8,'Improved Sales Adjustments'!$G$7:$ZO$147,77,FALSE),$F31=HLOOKUP(Z$8,'Improved Sales Adjustments'!$G$7:$ZO$147,78,FALSE)),1,0))),IF(OR(ISERROR(HLOOKUP(Z$8,'Improved Sales Adjustments'!$G$7:$ZO$147,77,FALSE)),ISERROR(HLOOKUP(Z$8,'Improved Sales Adjustments'!$G$7:$ZO$147,79,FALSE))),0,IF(HLOOKUP(Z$8,'Improved Sales Adjustments'!$G$7:$ZO$147,77,FALSE)="",0,IF(AND($G29=HLOOKUP(Z$8,'Improved Sales Adjustments'!$G$7:$ZO$147,77,FALSE),$F31=HLOOKUP(Z$8,'Improved Sales Adjustments'!$G$7:$ZO$147,79,FALSE)),1,0))))</f>
        <v>0</v>
      </c>
      <c r="AA31" s="707">
        <f>IF(dpSales_Adjustment_4="Construction Quality",IF(OR(ISERROR(HLOOKUP(AA$8,'Improved Sales Adjustments'!$G$7:$ZO$147,77,FALSE)),ISERROR(HLOOKUP(AA$8,'Improved Sales Adjustments'!$G$7:$ZO$147,78,FALSE))),0,IF(HLOOKUP(AA$8,'Improved Sales Adjustments'!$G$7:$ZO$147,77,FALSE)="",0,IF(AND($G29=HLOOKUP(AA$8,'Improved Sales Adjustments'!$G$7:$ZO$147,77,FALSE),$F31=HLOOKUP(AA$8,'Improved Sales Adjustments'!$G$7:$ZO$147,78,FALSE)),1,0))),IF(OR(ISERROR(HLOOKUP(AA$8,'Improved Sales Adjustments'!$G$7:$ZO$147,77,FALSE)),ISERROR(HLOOKUP(AA$8,'Improved Sales Adjustments'!$G$7:$ZO$147,79,FALSE))),0,IF(HLOOKUP(AA$8,'Improved Sales Adjustments'!$G$7:$ZO$147,77,FALSE)="",0,IF(AND($G29=HLOOKUP(AA$8,'Improved Sales Adjustments'!$G$7:$ZO$147,77,FALSE),$F31=HLOOKUP(AA$8,'Improved Sales Adjustments'!$G$7:$ZO$147,79,FALSE)),1,0))))</f>
        <v>0</v>
      </c>
      <c r="AB31" s="707">
        <f>IF(dpSales_Adjustment_4="Construction Quality",IF(OR(ISERROR(HLOOKUP(AB$8,'Improved Sales Adjustments'!$G$7:$ZO$147,77,FALSE)),ISERROR(HLOOKUP(AB$8,'Improved Sales Adjustments'!$G$7:$ZO$147,78,FALSE))),0,IF(HLOOKUP(AB$8,'Improved Sales Adjustments'!$G$7:$ZO$147,77,FALSE)="",0,IF(AND($G29=HLOOKUP(AB$8,'Improved Sales Adjustments'!$G$7:$ZO$147,77,FALSE),$F31=HLOOKUP(AB$8,'Improved Sales Adjustments'!$G$7:$ZO$147,78,FALSE)),1,0))),IF(OR(ISERROR(HLOOKUP(AB$8,'Improved Sales Adjustments'!$G$7:$ZO$147,77,FALSE)),ISERROR(HLOOKUP(AB$8,'Improved Sales Adjustments'!$G$7:$ZO$147,79,FALSE))),0,IF(HLOOKUP(AB$8,'Improved Sales Adjustments'!$G$7:$ZO$147,77,FALSE)="",0,IF(AND($G29=HLOOKUP(AB$8,'Improved Sales Adjustments'!$G$7:$ZO$147,77,FALSE),$F31=HLOOKUP(AB$8,'Improved Sales Adjustments'!$G$7:$ZO$147,79,FALSE)),1,0))))</f>
        <v>0</v>
      </c>
      <c r="AC31" s="707">
        <f>IF(dpSales_Adjustment_4="Construction Quality",IF(OR(ISERROR(HLOOKUP(AC$8,'Improved Sales Adjustments'!$G$7:$ZO$147,77,FALSE)),ISERROR(HLOOKUP(AC$8,'Improved Sales Adjustments'!$G$7:$ZO$147,78,FALSE))),0,IF(HLOOKUP(AC$8,'Improved Sales Adjustments'!$G$7:$ZO$147,77,FALSE)="",0,IF(AND($G29=HLOOKUP(AC$8,'Improved Sales Adjustments'!$G$7:$ZO$147,77,FALSE),$F31=HLOOKUP(AC$8,'Improved Sales Adjustments'!$G$7:$ZO$147,78,FALSE)),1,0))),IF(OR(ISERROR(HLOOKUP(AC$8,'Improved Sales Adjustments'!$G$7:$ZO$147,77,FALSE)),ISERROR(HLOOKUP(AC$8,'Improved Sales Adjustments'!$G$7:$ZO$147,79,FALSE))),0,IF(HLOOKUP(AC$8,'Improved Sales Adjustments'!$G$7:$ZO$147,77,FALSE)="",0,IF(AND($G29=HLOOKUP(AC$8,'Improved Sales Adjustments'!$G$7:$ZO$147,77,FALSE),$F31=HLOOKUP(AC$8,'Improved Sales Adjustments'!$G$7:$ZO$147,79,FALSE)),1,0))))</f>
        <v>0</v>
      </c>
      <c r="AD31" s="707">
        <f>IF(dpSales_Adjustment_4="Construction Quality",IF(OR(ISERROR(HLOOKUP(AD$8,'Improved Sales Adjustments'!$G$7:$ZO$147,77,FALSE)),ISERROR(HLOOKUP(AD$8,'Improved Sales Adjustments'!$G$7:$ZO$147,78,FALSE))),0,IF(HLOOKUP(AD$8,'Improved Sales Adjustments'!$G$7:$ZO$147,77,FALSE)="",0,IF(AND($G29=HLOOKUP(AD$8,'Improved Sales Adjustments'!$G$7:$ZO$147,77,FALSE),$F31=HLOOKUP(AD$8,'Improved Sales Adjustments'!$G$7:$ZO$147,78,FALSE)),1,0))),IF(OR(ISERROR(HLOOKUP(AD$8,'Improved Sales Adjustments'!$G$7:$ZO$147,77,FALSE)),ISERROR(HLOOKUP(AD$8,'Improved Sales Adjustments'!$G$7:$ZO$147,79,FALSE))),0,IF(HLOOKUP(AD$8,'Improved Sales Adjustments'!$G$7:$ZO$147,77,FALSE)="",0,IF(AND($G29=HLOOKUP(AD$8,'Improved Sales Adjustments'!$G$7:$ZO$147,77,FALSE),$F31=HLOOKUP(AD$8,'Improved Sales Adjustments'!$G$7:$ZO$147,79,FALSE)),1,0))))</f>
        <v>0</v>
      </c>
      <c r="AE31" s="707">
        <f>IF(dpSales_Adjustment_4="Construction Quality",IF(OR(ISERROR(HLOOKUP(AE$8,'Improved Sales Adjustments'!$G$7:$ZO$147,77,FALSE)),ISERROR(HLOOKUP(AE$8,'Improved Sales Adjustments'!$G$7:$ZO$147,78,FALSE))),0,IF(HLOOKUP(AE$8,'Improved Sales Adjustments'!$G$7:$ZO$147,77,FALSE)="",0,IF(AND($G29=HLOOKUP(AE$8,'Improved Sales Adjustments'!$G$7:$ZO$147,77,FALSE),$F31=HLOOKUP(AE$8,'Improved Sales Adjustments'!$G$7:$ZO$147,78,FALSE)),1,0))),IF(OR(ISERROR(HLOOKUP(AE$8,'Improved Sales Adjustments'!$G$7:$ZO$147,77,FALSE)),ISERROR(HLOOKUP(AE$8,'Improved Sales Adjustments'!$G$7:$ZO$147,79,FALSE))),0,IF(HLOOKUP(AE$8,'Improved Sales Adjustments'!$G$7:$ZO$147,77,FALSE)="",0,IF(AND($G29=HLOOKUP(AE$8,'Improved Sales Adjustments'!$G$7:$ZO$147,77,FALSE),$F31=HLOOKUP(AE$8,'Improved Sales Adjustments'!$G$7:$ZO$147,79,FALSE)),1,0))))</f>
        <v>0</v>
      </c>
      <c r="AF31" s="707">
        <f>IF(dpSales_Adjustment_4="Construction Quality",IF(OR(ISERROR(HLOOKUP(AF$8,'Improved Sales Adjustments'!$G$7:$ZO$147,77,FALSE)),ISERROR(HLOOKUP(AF$8,'Improved Sales Adjustments'!$G$7:$ZO$147,78,FALSE))),0,IF(HLOOKUP(AF$8,'Improved Sales Adjustments'!$G$7:$ZO$147,77,FALSE)="",0,IF(AND($G29=HLOOKUP(AF$8,'Improved Sales Adjustments'!$G$7:$ZO$147,77,FALSE),$F31=HLOOKUP(AF$8,'Improved Sales Adjustments'!$G$7:$ZO$147,78,FALSE)),1,0))),IF(OR(ISERROR(HLOOKUP(AF$8,'Improved Sales Adjustments'!$G$7:$ZO$147,77,FALSE)),ISERROR(HLOOKUP(AF$8,'Improved Sales Adjustments'!$G$7:$ZO$147,79,FALSE))),0,IF(HLOOKUP(AF$8,'Improved Sales Adjustments'!$G$7:$ZO$147,77,FALSE)="",0,IF(AND($G29=HLOOKUP(AF$8,'Improved Sales Adjustments'!$G$7:$ZO$147,77,FALSE),$F31=HLOOKUP(AF$8,'Improved Sales Adjustments'!$G$7:$ZO$147,79,FALSE)),1,0))))</f>
        <v>0</v>
      </c>
      <c r="AG31" s="707">
        <f>IF(dpSales_Adjustment_4="Construction Quality",IF(OR(ISERROR(HLOOKUP(AG$8,'Improved Sales Adjustments'!$G$7:$ZO$147,77,FALSE)),ISERROR(HLOOKUP(AG$8,'Improved Sales Adjustments'!$G$7:$ZO$147,78,FALSE))),0,IF(HLOOKUP(AG$8,'Improved Sales Adjustments'!$G$7:$ZO$147,77,FALSE)="",0,IF(AND($G29=HLOOKUP(AG$8,'Improved Sales Adjustments'!$G$7:$ZO$147,77,FALSE),$F31=HLOOKUP(AG$8,'Improved Sales Adjustments'!$G$7:$ZO$147,78,FALSE)),1,0))),IF(OR(ISERROR(HLOOKUP(AG$8,'Improved Sales Adjustments'!$G$7:$ZO$147,77,FALSE)),ISERROR(HLOOKUP(AG$8,'Improved Sales Adjustments'!$G$7:$ZO$147,79,FALSE))),0,IF(HLOOKUP(AG$8,'Improved Sales Adjustments'!$G$7:$ZO$147,77,FALSE)="",0,IF(AND($G29=HLOOKUP(AG$8,'Improved Sales Adjustments'!$G$7:$ZO$147,77,FALSE),$F31=HLOOKUP(AG$8,'Improved Sales Adjustments'!$G$7:$ZO$147,79,FALSE)),1,0))))</f>
        <v>0</v>
      </c>
      <c r="AH31" s="707">
        <f>IF(dpSales_Adjustment_4="Construction Quality",IF(OR(ISERROR(HLOOKUP(AH$8,'Improved Sales Adjustments'!$G$7:$ZO$147,77,FALSE)),ISERROR(HLOOKUP(AH$8,'Improved Sales Adjustments'!$G$7:$ZO$147,78,FALSE))),0,IF(HLOOKUP(AH$8,'Improved Sales Adjustments'!$G$7:$ZO$147,77,FALSE)="",0,IF(AND($G29=HLOOKUP(AH$8,'Improved Sales Adjustments'!$G$7:$ZO$147,77,FALSE),$F31=HLOOKUP(AH$8,'Improved Sales Adjustments'!$G$7:$ZO$147,78,FALSE)),1,0))),IF(OR(ISERROR(HLOOKUP(AH$8,'Improved Sales Adjustments'!$G$7:$ZO$147,77,FALSE)),ISERROR(HLOOKUP(AH$8,'Improved Sales Adjustments'!$G$7:$ZO$147,79,FALSE))),0,IF(HLOOKUP(AH$8,'Improved Sales Adjustments'!$G$7:$ZO$147,77,FALSE)="",0,IF(AND($G29=HLOOKUP(AH$8,'Improved Sales Adjustments'!$G$7:$ZO$147,77,FALSE),$F31=HLOOKUP(AH$8,'Improved Sales Adjustments'!$G$7:$ZO$147,79,FALSE)),1,0))))</f>
        <v>0</v>
      </c>
      <c r="AI31" s="707">
        <f>SUM(X31:$X31)</f>
        <v>0</v>
      </c>
      <c r="AJ31" s="707">
        <f>SUM($X31:Y31)</f>
        <v>0</v>
      </c>
      <c r="AK31" s="707">
        <f>SUM($X31:Z31)</f>
        <v>0</v>
      </c>
      <c r="AL31" s="707">
        <f>SUM($X31:AA31)</f>
        <v>0</v>
      </c>
      <c r="AM31" s="707">
        <f>SUM($X31:AB31)</f>
        <v>0</v>
      </c>
      <c r="AN31" s="707">
        <f>SUM($X31:AC31)</f>
        <v>0</v>
      </c>
      <c r="AO31" s="707">
        <f>SUM($X31:AD31)</f>
        <v>0</v>
      </c>
      <c r="AP31" s="707">
        <f>SUM($X31:AE31)</f>
        <v>0</v>
      </c>
      <c r="AQ31" s="707">
        <f>SUM($X31:AF31)</f>
        <v>0</v>
      </c>
      <c r="AR31" s="707">
        <f>SUM($X31:AG31)</f>
        <v>0</v>
      </c>
      <c r="AS31" s="707">
        <f>SUM($X31:AH31)</f>
        <v>0</v>
      </c>
      <c r="AT31" s="707" t="str">
        <f t="shared" si="7"/>
        <v/>
      </c>
      <c r="AU31" s="707" t="str">
        <f t="shared" si="8"/>
        <v/>
      </c>
      <c r="AV31" s="707" t="str">
        <f t="shared" si="9"/>
        <v/>
      </c>
      <c r="AW31" s="707" t="str">
        <f t="shared" si="10"/>
        <v/>
      </c>
      <c r="AX31" s="707" t="str">
        <f t="shared" si="11"/>
        <v/>
      </c>
      <c r="AY31" s="707" t="str">
        <f t="shared" si="12"/>
        <v/>
      </c>
      <c r="AZ31" s="707" t="str">
        <f t="shared" si="13"/>
        <v/>
      </c>
      <c r="BA31" s="707" t="str">
        <f t="shared" si="14"/>
        <v/>
      </c>
      <c r="BB31" s="707" t="str">
        <f t="shared" si="15"/>
        <v/>
      </c>
      <c r="BC31" s="707" t="str">
        <f t="shared" si="16"/>
        <v/>
      </c>
      <c r="BD31" s="707" t="str">
        <f t="shared" si="17"/>
        <v/>
      </c>
    </row>
    <row r="32" spans="1:56" ht="69.95" customHeight="1" x14ac:dyDescent="0.25">
      <c r="A32" s="972">
        <f t="shared" si="6"/>
        <v>0</v>
      </c>
      <c r="B32" s="4"/>
      <c r="C32" s="101"/>
      <c r="D32" s="4185" t="str">
        <f t="shared" si="3"/>
        <v/>
      </c>
      <c r="E32" s="4185"/>
      <c r="F32" s="4067" t="str">
        <f>IF(dpSales_Adjustment_4="Construction Quality","D - Wood Frame","")</f>
        <v>D - Wood Frame</v>
      </c>
      <c r="G32" s="4207"/>
      <c r="H32" s="4198"/>
      <c r="I32" s="4198"/>
      <c r="J32" s="4198"/>
      <c r="K32" s="4198"/>
      <c r="L32" s="4068" t="str">
        <f t="shared" si="4"/>
        <v/>
      </c>
      <c r="M32" s="4194"/>
      <c r="N32" s="4190"/>
      <c r="O32" s="4190"/>
      <c r="P32" s="4069" t="str">
        <f>IFERROR(L32+M29,"")</f>
        <v/>
      </c>
      <c r="Q32" s="4070"/>
      <c r="R32" s="2086"/>
      <c r="S32" s="707"/>
      <c r="T32" s="707"/>
      <c r="U32" s="707">
        <f t="shared" si="21"/>
        <v>0</v>
      </c>
      <c r="V32" s="707" t="str">
        <f t="shared" si="22"/>
        <v/>
      </c>
      <c r="W32" s="707"/>
      <c r="X32" s="707">
        <f>IF(dpSales_Adjustment_4="Construction Quality",IF(AND(F32=Subject_ConstructionClass,G$29=Subject_ConstructionQuality),1,0),IF(AND(F32=Subject_InvestmentClass,G$29=Subject_ConstructionQuality),1,0))</f>
        <v>0</v>
      </c>
      <c r="Y32" s="707">
        <f>IF(dpSales_Adjustment_4="Construction Quality",IF(OR(ISERROR(HLOOKUP(Y$8,'Improved Sales Adjustments'!$G$7:$ZO$147,77,FALSE)),ISERROR(HLOOKUP(Y$8,'Improved Sales Adjustments'!$G$7:$ZO$147,78,FALSE))),0,IF(HLOOKUP(Y$8,'Improved Sales Adjustments'!$G$7:$ZO$147,77,FALSE)="",0,IF(AND($G29=HLOOKUP(Y$8,'Improved Sales Adjustments'!$G$7:$ZO$147,77,FALSE),$F32=HLOOKUP(Y$8,'Improved Sales Adjustments'!$G$7:$ZO$147,78,FALSE)),1,0))),IF(OR(ISERROR(HLOOKUP(Y$8,'Improved Sales Adjustments'!$G$7:$ZO$147,77,FALSE)),ISERROR(HLOOKUP(Y$8,'Improved Sales Adjustments'!$G$7:$ZO$147,79,FALSE))),0,IF(HLOOKUP(Y$8,'Improved Sales Adjustments'!$G$7:$ZO$147,77,FALSE)="",0,IF(AND($G29=HLOOKUP(Y$8,'Improved Sales Adjustments'!$G$7:$ZO$147,77,FALSE),$F32=HLOOKUP(Y$8,'Improved Sales Adjustments'!$G$7:$ZO$147,79,FALSE)),1,0))))</f>
        <v>0</v>
      </c>
      <c r="Z32" s="707">
        <f>IF(dpSales_Adjustment_4="Construction Quality",IF(OR(ISERROR(HLOOKUP(Z$8,'Improved Sales Adjustments'!$G$7:$ZO$147,77,FALSE)),ISERROR(HLOOKUP(Z$8,'Improved Sales Adjustments'!$G$7:$ZO$147,78,FALSE))),0,IF(HLOOKUP(Z$8,'Improved Sales Adjustments'!$G$7:$ZO$147,77,FALSE)="",0,IF(AND($G29=HLOOKUP(Z$8,'Improved Sales Adjustments'!$G$7:$ZO$147,77,FALSE),$F32=HLOOKUP(Z$8,'Improved Sales Adjustments'!$G$7:$ZO$147,78,FALSE)),1,0))),IF(OR(ISERROR(HLOOKUP(Z$8,'Improved Sales Adjustments'!$G$7:$ZO$147,77,FALSE)),ISERROR(HLOOKUP(Z$8,'Improved Sales Adjustments'!$G$7:$ZO$147,79,FALSE))),0,IF(HLOOKUP(Z$8,'Improved Sales Adjustments'!$G$7:$ZO$147,77,FALSE)="",0,IF(AND($G29=HLOOKUP(Z$8,'Improved Sales Adjustments'!$G$7:$ZO$147,77,FALSE),$F32=HLOOKUP(Z$8,'Improved Sales Adjustments'!$G$7:$ZO$147,79,FALSE)),1,0))))</f>
        <v>0</v>
      </c>
      <c r="AA32" s="707">
        <f>IF(dpSales_Adjustment_4="Construction Quality",IF(OR(ISERROR(HLOOKUP(AA$8,'Improved Sales Adjustments'!$G$7:$ZO$147,77,FALSE)),ISERROR(HLOOKUP(AA$8,'Improved Sales Adjustments'!$G$7:$ZO$147,78,FALSE))),0,IF(HLOOKUP(AA$8,'Improved Sales Adjustments'!$G$7:$ZO$147,77,FALSE)="",0,IF(AND($G29=HLOOKUP(AA$8,'Improved Sales Adjustments'!$G$7:$ZO$147,77,FALSE),$F32=HLOOKUP(AA$8,'Improved Sales Adjustments'!$G$7:$ZO$147,78,FALSE)),1,0))),IF(OR(ISERROR(HLOOKUP(AA$8,'Improved Sales Adjustments'!$G$7:$ZO$147,77,FALSE)),ISERROR(HLOOKUP(AA$8,'Improved Sales Adjustments'!$G$7:$ZO$147,79,FALSE))),0,IF(HLOOKUP(AA$8,'Improved Sales Adjustments'!$G$7:$ZO$147,77,FALSE)="",0,IF(AND($G29=HLOOKUP(AA$8,'Improved Sales Adjustments'!$G$7:$ZO$147,77,FALSE),$F32=HLOOKUP(AA$8,'Improved Sales Adjustments'!$G$7:$ZO$147,79,FALSE)),1,0))))</f>
        <v>0</v>
      </c>
      <c r="AB32" s="707">
        <f>IF(dpSales_Adjustment_4="Construction Quality",IF(OR(ISERROR(HLOOKUP(AB$8,'Improved Sales Adjustments'!$G$7:$ZO$147,77,FALSE)),ISERROR(HLOOKUP(AB$8,'Improved Sales Adjustments'!$G$7:$ZO$147,78,FALSE))),0,IF(HLOOKUP(AB$8,'Improved Sales Adjustments'!$G$7:$ZO$147,77,FALSE)="",0,IF(AND($G29=HLOOKUP(AB$8,'Improved Sales Adjustments'!$G$7:$ZO$147,77,FALSE),$F32=HLOOKUP(AB$8,'Improved Sales Adjustments'!$G$7:$ZO$147,78,FALSE)),1,0))),IF(OR(ISERROR(HLOOKUP(AB$8,'Improved Sales Adjustments'!$G$7:$ZO$147,77,FALSE)),ISERROR(HLOOKUP(AB$8,'Improved Sales Adjustments'!$G$7:$ZO$147,79,FALSE))),0,IF(HLOOKUP(AB$8,'Improved Sales Adjustments'!$G$7:$ZO$147,77,FALSE)="",0,IF(AND($G29=HLOOKUP(AB$8,'Improved Sales Adjustments'!$G$7:$ZO$147,77,FALSE),$F32=HLOOKUP(AB$8,'Improved Sales Adjustments'!$G$7:$ZO$147,79,FALSE)),1,0))))</f>
        <v>0</v>
      </c>
      <c r="AC32" s="707">
        <f>IF(dpSales_Adjustment_4="Construction Quality",IF(OR(ISERROR(HLOOKUP(AC$8,'Improved Sales Adjustments'!$G$7:$ZO$147,77,FALSE)),ISERROR(HLOOKUP(AC$8,'Improved Sales Adjustments'!$G$7:$ZO$147,78,FALSE))),0,IF(HLOOKUP(AC$8,'Improved Sales Adjustments'!$G$7:$ZO$147,77,FALSE)="",0,IF(AND($G29=HLOOKUP(AC$8,'Improved Sales Adjustments'!$G$7:$ZO$147,77,FALSE),$F32=HLOOKUP(AC$8,'Improved Sales Adjustments'!$G$7:$ZO$147,78,FALSE)),1,0))),IF(OR(ISERROR(HLOOKUP(AC$8,'Improved Sales Adjustments'!$G$7:$ZO$147,77,FALSE)),ISERROR(HLOOKUP(AC$8,'Improved Sales Adjustments'!$G$7:$ZO$147,79,FALSE))),0,IF(HLOOKUP(AC$8,'Improved Sales Adjustments'!$G$7:$ZO$147,77,FALSE)="",0,IF(AND($G29=HLOOKUP(AC$8,'Improved Sales Adjustments'!$G$7:$ZO$147,77,FALSE),$F32=HLOOKUP(AC$8,'Improved Sales Adjustments'!$G$7:$ZO$147,79,FALSE)),1,0))))</f>
        <v>0</v>
      </c>
      <c r="AD32" s="707">
        <f>IF(dpSales_Adjustment_4="Construction Quality",IF(OR(ISERROR(HLOOKUP(AD$8,'Improved Sales Adjustments'!$G$7:$ZO$147,77,FALSE)),ISERROR(HLOOKUP(AD$8,'Improved Sales Adjustments'!$G$7:$ZO$147,78,FALSE))),0,IF(HLOOKUP(AD$8,'Improved Sales Adjustments'!$G$7:$ZO$147,77,FALSE)="",0,IF(AND($G29=HLOOKUP(AD$8,'Improved Sales Adjustments'!$G$7:$ZO$147,77,FALSE),$F32=HLOOKUP(AD$8,'Improved Sales Adjustments'!$G$7:$ZO$147,78,FALSE)),1,0))),IF(OR(ISERROR(HLOOKUP(AD$8,'Improved Sales Adjustments'!$G$7:$ZO$147,77,FALSE)),ISERROR(HLOOKUP(AD$8,'Improved Sales Adjustments'!$G$7:$ZO$147,79,FALSE))),0,IF(HLOOKUP(AD$8,'Improved Sales Adjustments'!$G$7:$ZO$147,77,FALSE)="",0,IF(AND($G29=HLOOKUP(AD$8,'Improved Sales Adjustments'!$G$7:$ZO$147,77,FALSE),$F32=HLOOKUP(AD$8,'Improved Sales Adjustments'!$G$7:$ZO$147,79,FALSE)),1,0))))</f>
        <v>0</v>
      </c>
      <c r="AE32" s="707">
        <f>IF(dpSales_Adjustment_4="Construction Quality",IF(OR(ISERROR(HLOOKUP(AE$8,'Improved Sales Adjustments'!$G$7:$ZO$147,77,FALSE)),ISERROR(HLOOKUP(AE$8,'Improved Sales Adjustments'!$G$7:$ZO$147,78,FALSE))),0,IF(HLOOKUP(AE$8,'Improved Sales Adjustments'!$G$7:$ZO$147,77,FALSE)="",0,IF(AND($G29=HLOOKUP(AE$8,'Improved Sales Adjustments'!$G$7:$ZO$147,77,FALSE),$F32=HLOOKUP(AE$8,'Improved Sales Adjustments'!$G$7:$ZO$147,78,FALSE)),1,0))),IF(OR(ISERROR(HLOOKUP(AE$8,'Improved Sales Adjustments'!$G$7:$ZO$147,77,FALSE)),ISERROR(HLOOKUP(AE$8,'Improved Sales Adjustments'!$G$7:$ZO$147,79,FALSE))),0,IF(HLOOKUP(AE$8,'Improved Sales Adjustments'!$G$7:$ZO$147,77,FALSE)="",0,IF(AND($G29=HLOOKUP(AE$8,'Improved Sales Adjustments'!$G$7:$ZO$147,77,FALSE),$F32=HLOOKUP(AE$8,'Improved Sales Adjustments'!$G$7:$ZO$147,79,FALSE)),1,0))))</f>
        <v>0</v>
      </c>
      <c r="AF32" s="707">
        <f>IF(dpSales_Adjustment_4="Construction Quality",IF(OR(ISERROR(HLOOKUP(AF$8,'Improved Sales Adjustments'!$G$7:$ZO$147,77,FALSE)),ISERROR(HLOOKUP(AF$8,'Improved Sales Adjustments'!$G$7:$ZO$147,78,FALSE))),0,IF(HLOOKUP(AF$8,'Improved Sales Adjustments'!$G$7:$ZO$147,77,FALSE)="",0,IF(AND($G29=HLOOKUP(AF$8,'Improved Sales Adjustments'!$G$7:$ZO$147,77,FALSE),$F32=HLOOKUP(AF$8,'Improved Sales Adjustments'!$G$7:$ZO$147,78,FALSE)),1,0))),IF(OR(ISERROR(HLOOKUP(AF$8,'Improved Sales Adjustments'!$G$7:$ZO$147,77,FALSE)),ISERROR(HLOOKUP(AF$8,'Improved Sales Adjustments'!$G$7:$ZO$147,79,FALSE))),0,IF(HLOOKUP(AF$8,'Improved Sales Adjustments'!$G$7:$ZO$147,77,FALSE)="",0,IF(AND($G29=HLOOKUP(AF$8,'Improved Sales Adjustments'!$G$7:$ZO$147,77,FALSE),$F32=HLOOKUP(AF$8,'Improved Sales Adjustments'!$G$7:$ZO$147,79,FALSE)),1,0))))</f>
        <v>0</v>
      </c>
      <c r="AG32" s="707">
        <f>IF(dpSales_Adjustment_4="Construction Quality",IF(OR(ISERROR(HLOOKUP(AG$8,'Improved Sales Adjustments'!$G$7:$ZO$147,77,FALSE)),ISERROR(HLOOKUP(AG$8,'Improved Sales Adjustments'!$G$7:$ZO$147,78,FALSE))),0,IF(HLOOKUP(AG$8,'Improved Sales Adjustments'!$G$7:$ZO$147,77,FALSE)="",0,IF(AND($G29=HLOOKUP(AG$8,'Improved Sales Adjustments'!$G$7:$ZO$147,77,FALSE),$F32=HLOOKUP(AG$8,'Improved Sales Adjustments'!$G$7:$ZO$147,78,FALSE)),1,0))),IF(OR(ISERROR(HLOOKUP(AG$8,'Improved Sales Adjustments'!$G$7:$ZO$147,77,FALSE)),ISERROR(HLOOKUP(AG$8,'Improved Sales Adjustments'!$G$7:$ZO$147,79,FALSE))),0,IF(HLOOKUP(AG$8,'Improved Sales Adjustments'!$G$7:$ZO$147,77,FALSE)="",0,IF(AND($G29=HLOOKUP(AG$8,'Improved Sales Adjustments'!$G$7:$ZO$147,77,FALSE),$F32=HLOOKUP(AG$8,'Improved Sales Adjustments'!$G$7:$ZO$147,79,FALSE)),1,0))))</f>
        <v>0</v>
      </c>
      <c r="AH32" s="707">
        <f>IF(dpSales_Adjustment_4="Construction Quality",IF(OR(ISERROR(HLOOKUP(AH$8,'Improved Sales Adjustments'!$G$7:$ZO$147,77,FALSE)),ISERROR(HLOOKUP(AH$8,'Improved Sales Adjustments'!$G$7:$ZO$147,78,FALSE))),0,IF(HLOOKUP(AH$8,'Improved Sales Adjustments'!$G$7:$ZO$147,77,FALSE)="",0,IF(AND($G29=HLOOKUP(AH$8,'Improved Sales Adjustments'!$G$7:$ZO$147,77,FALSE),$F32=HLOOKUP(AH$8,'Improved Sales Adjustments'!$G$7:$ZO$147,78,FALSE)),1,0))),IF(OR(ISERROR(HLOOKUP(AH$8,'Improved Sales Adjustments'!$G$7:$ZO$147,77,FALSE)),ISERROR(HLOOKUP(AH$8,'Improved Sales Adjustments'!$G$7:$ZO$147,79,FALSE))),0,IF(HLOOKUP(AH$8,'Improved Sales Adjustments'!$G$7:$ZO$147,77,FALSE)="",0,IF(AND($G29=HLOOKUP(AH$8,'Improved Sales Adjustments'!$G$7:$ZO$147,77,FALSE),$F32=HLOOKUP(AH$8,'Improved Sales Adjustments'!$G$7:$ZO$147,79,FALSE)),1,0))))</f>
        <v>0</v>
      </c>
      <c r="AI32" s="707">
        <f>SUM(X32:$X32)</f>
        <v>0</v>
      </c>
      <c r="AJ32" s="707">
        <f>SUM($X32:Y32)</f>
        <v>0</v>
      </c>
      <c r="AK32" s="707">
        <f>SUM($X32:Z32)</f>
        <v>0</v>
      </c>
      <c r="AL32" s="707">
        <f>SUM($X32:AA32)</f>
        <v>0</v>
      </c>
      <c r="AM32" s="707">
        <f>SUM($X32:AB32)</f>
        <v>0</v>
      </c>
      <c r="AN32" s="707">
        <f>SUM($X32:AC32)</f>
        <v>0</v>
      </c>
      <c r="AO32" s="707">
        <f>SUM($X32:AD32)</f>
        <v>0</v>
      </c>
      <c r="AP32" s="707">
        <f>SUM($X32:AE32)</f>
        <v>0</v>
      </c>
      <c r="AQ32" s="707">
        <f>SUM($X32:AF32)</f>
        <v>0</v>
      </c>
      <c r="AR32" s="707">
        <f>SUM($X32:AG32)</f>
        <v>0</v>
      </c>
      <c r="AS32" s="707">
        <f>SUM($X32:AH32)</f>
        <v>0</v>
      </c>
      <c r="AT32" s="707" t="str">
        <f t="shared" si="7"/>
        <v/>
      </c>
      <c r="AU32" s="707" t="str">
        <f t="shared" si="8"/>
        <v/>
      </c>
      <c r="AV32" s="707" t="str">
        <f t="shared" si="9"/>
        <v/>
      </c>
      <c r="AW32" s="707" t="str">
        <f t="shared" si="10"/>
        <v/>
      </c>
      <c r="AX32" s="707" t="str">
        <f t="shared" si="11"/>
        <v/>
      </c>
      <c r="AY32" s="707" t="str">
        <f t="shared" si="12"/>
        <v/>
      </c>
      <c r="AZ32" s="707" t="str">
        <f t="shared" si="13"/>
        <v/>
      </c>
      <c r="BA32" s="707" t="str">
        <f t="shared" si="14"/>
        <v/>
      </c>
      <c r="BB32" s="707" t="str">
        <f t="shared" si="15"/>
        <v/>
      </c>
      <c r="BC32" s="707" t="str">
        <f t="shared" si="16"/>
        <v/>
      </c>
      <c r="BD32" s="707" t="str">
        <f t="shared" si="17"/>
        <v/>
      </c>
    </row>
    <row r="33" spans="1:56" ht="69.95" customHeight="1" x14ac:dyDescent="0.25">
      <c r="A33" s="972">
        <f t="shared" si="6"/>
        <v>0</v>
      </c>
      <c r="B33" s="4"/>
      <c r="C33" s="101"/>
      <c r="D33" s="4186" t="str">
        <f t="shared" si="3"/>
        <v/>
      </c>
      <c r="E33" s="4186"/>
      <c r="F33" s="4071" t="str">
        <f>IF(dpSales_Adjustment_4="Construction Quality","S - Steel Frame","")</f>
        <v>S - Steel Frame</v>
      </c>
      <c r="G33" s="4208"/>
      <c r="H33" s="4211"/>
      <c r="I33" s="4211"/>
      <c r="J33" s="4211"/>
      <c r="K33" s="4211"/>
      <c r="L33" s="4072" t="str">
        <f t="shared" si="4"/>
        <v/>
      </c>
      <c r="M33" s="4194"/>
      <c r="N33" s="4191"/>
      <c r="O33" s="4191"/>
      <c r="P33" s="4073" t="str">
        <f>IFERROR(L33+M29,"")</f>
        <v/>
      </c>
      <c r="Q33" s="4070"/>
      <c r="R33" s="2086"/>
      <c r="S33" s="707"/>
      <c r="T33" s="707"/>
      <c r="U33" s="2089">
        <f t="shared" si="21"/>
        <v>0</v>
      </c>
      <c r="V33" s="2089" t="str">
        <f t="shared" si="22"/>
        <v/>
      </c>
      <c r="W33" s="2089"/>
      <c r="X33" s="2089">
        <f>IF(dpSales_Adjustment_4="Construction Quality",IF(AND(F33=Subject_ConstructionClass,G$29=Subject_ConstructionQuality),1,0),IF(AND(F33=Subject_InvestmentClass,G$29=Subject_ConstructionQuality),1,0))</f>
        <v>0</v>
      </c>
      <c r="Y33" s="2089">
        <f>IF(dpSales_Adjustment_4="Construction Quality",IF(OR(ISERROR(HLOOKUP(Y$8,'Improved Sales Adjustments'!$G$7:$ZO$147,77,FALSE)),ISERROR(HLOOKUP(Y$8,'Improved Sales Adjustments'!$G$7:$ZO$147,78,FALSE))),0,IF(HLOOKUP(Y$8,'Improved Sales Adjustments'!$G$7:$ZO$147,77,FALSE)="",0,IF(AND($G29=HLOOKUP(Y$8,'Improved Sales Adjustments'!$G$7:$ZO$147,77,FALSE),$F33=HLOOKUP(Y$8,'Improved Sales Adjustments'!$G$7:$ZO$147,78,FALSE)),1,0))),IF(OR(ISERROR(HLOOKUP(Y$8,'Improved Sales Adjustments'!$G$7:$ZO$147,77,FALSE)),ISERROR(HLOOKUP(Y$8,'Improved Sales Adjustments'!$G$7:$ZO$147,79,FALSE))),0,IF(HLOOKUP(Y$8,'Improved Sales Adjustments'!$G$7:$ZO$147,77,FALSE)="",0,IF(AND($G29=HLOOKUP(Y$8,'Improved Sales Adjustments'!$G$7:$ZO$147,77,FALSE),$F33=HLOOKUP(Y$8,'Improved Sales Adjustments'!$G$7:$ZO$147,79,FALSE)),1,0))))</f>
        <v>0</v>
      </c>
      <c r="Z33" s="2089">
        <f>IF(dpSales_Adjustment_4="Construction Quality",IF(OR(ISERROR(HLOOKUP(Z$8,'Improved Sales Adjustments'!$G$7:$ZO$147,77,FALSE)),ISERROR(HLOOKUP(Z$8,'Improved Sales Adjustments'!$G$7:$ZO$147,78,FALSE))),0,IF(HLOOKUP(Z$8,'Improved Sales Adjustments'!$G$7:$ZO$147,77,FALSE)="",0,IF(AND($G29=HLOOKUP(Z$8,'Improved Sales Adjustments'!$G$7:$ZO$147,77,FALSE),$F33=HLOOKUP(Z$8,'Improved Sales Adjustments'!$G$7:$ZO$147,78,FALSE)),1,0))),IF(OR(ISERROR(HLOOKUP(Z$8,'Improved Sales Adjustments'!$G$7:$ZO$147,77,FALSE)),ISERROR(HLOOKUP(Z$8,'Improved Sales Adjustments'!$G$7:$ZO$147,79,FALSE))),0,IF(HLOOKUP(Z$8,'Improved Sales Adjustments'!$G$7:$ZO$147,77,FALSE)="",0,IF(AND($G29=HLOOKUP(Z$8,'Improved Sales Adjustments'!$G$7:$ZO$147,77,FALSE),$F33=HLOOKUP(Z$8,'Improved Sales Adjustments'!$G$7:$ZO$147,79,FALSE)),1,0))))</f>
        <v>0</v>
      </c>
      <c r="AA33" s="2089">
        <f>IF(dpSales_Adjustment_4="Construction Quality",IF(OR(ISERROR(HLOOKUP(AA$8,'Improved Sales Adjustments'!$G$7:$ZO$147,77,FALSE)),ISERROR(HLOOKUP(AA$8,'Improved Sales Adjustments'!$G$7:$ZO$147,78,FALSE))),0,IF(HLOOKUP(AA$8,'Improved Sales Adjustments'!$G$7:$ZO$147,77,FALSE)="",0,IF(AND($G29=HLOOKUP(AA$8,'Improved Sales Adjustments'!$G$7:$ZO$147,77,FALSE),$F33=HLOOKUP(AA$8,'Improved Sales Adjustments'!$G$7:$ZO$147,78,FALSE)),1,0))),IF(OR(ISERROR(HLOOKUP(AA$8,'Improved Sales Adjustments'!$G$7:$ZO$147,77,FALSE)),ISERROR(HLOOKUP(AA$8,'Improved Sales Adjustments'!$G$7:$ZO$147,79,FALSE))),0,IF(HLOOKUP(AA$8,'Improved Sales Adjustments'!$G$7:$ZO$147,77,FALSE)="",0,IF(AND($G29=HLOOKUP(AA$8,'Improved Sales Adjustments'!$G$7:$ZO$147,77,FALSE),$F33=HLOOKUP(AA$8,'Improved Sales Adjustments'!$G$7:$ZO$147,79,FALSE)),1,0))))</f>
        <v>0</v>
      </c>
      <c r="AB33" s="2089">
        <f>IF(dpSales_Adjustment_4="Construction Quality",IF(OR(ISERROR(HLOOKUP(AB$8,'Improved Sales Adjustments'!$G$7:$ZO$147,77,FALSE)),ISERROR(HLOOKUP(AB$8,'Improved Sales Adjustments'!$G$7:$ZO$147,78,FALSE))),0,IF(HLOOKUP(AB$8,'Improved Sales Adjustments'!$G$7:$ZO$147,77,FALSE)="",0,IF(AND($G29=HLOOKUP(AB$8,'Improved Sales Adjustments'!$G$7:$ZO$147,77,FALSE),$F33=HLOOKUP(AB$8,'Improved Sales Adjustments'!$G$7:$ZO$147,78,FALSE)),1,0))),IF(OR(ISERROR(HLOOKUP(AB$8,'Improved Sales Adjustments'!$G$7:$ZO$147,77,FALSE)),ISERROR(HLOOKUP(AB$8,'Improved Sales Adjustments'!$G$7:$ZO$147,79,FALSE))),0,IF(HLOOKUP(AB$8,'Improved Sales Adjustments'!$G$7:$ZO$147,77,FALSE)="",0,IF(AND($G29=HLOOKUP(AB$8,'Improved Sales Adjustments'!$G$7:$ZO$147,77,FALSE),$F33=HLOOKUP(AB$8,'Improved Sales Adjustments'!$G$7:$ZO$147,79,FALSE)),1,0))))</f>
        <v>0</v>
      </c>
      <c r="AC33" s="2089">
        <f>IF(dpSales_Adjustment_4="Construction Quality",IF(OR(ISERROR(HLOOKUP(AC$8,'Improved Sales Adjustments'!$G$7:$ZO$147,77,FALSE)),ISERROR(HLOOKUP(AC$8,'Improved Sales Adjustments'!$G$7:$ZO$147,78,FALSE))),0,IF(HLOOKUP(AC$8,'Improved Sales Adjustments'!$G$7:$ZO$147,77,FALSE)="",0,IF(AND($G29=HLOOKUP(AC$8,'Improved Sales Adjustments'!$G$7:$ZO$147,77,FALSE),$F33=HLOOKUP(AC$8,'Improved Sales Adjustments'!$G$7:$ZO$147,78,FALSE)),1,0))),IF(OR(ISERROR(HLOOKUP(AC$8,'Improved Sales Adjustments'!$G$7:$ZO$147,77,FALSE)),ISERROR(HLOOKUP(AC$8,'Improved Sales Adjustments'!$G$7:$ZO$147,79,FALSE))),0,IF(HLOOKUP(AC$8,'Improved Sales Adjustments'!$G$7:$ZO$147,77,FALSE)="",0,IF(AND($G29=HLOOKUP(AC$8,'Improved Sales Adjustments'!$G$7:$ZO$147,77,FALSE),$F33=HLOOKUP(AC$8,'Improved Sales Adjustments'!$G$7:$ZO$147,79,FALSE)),1,0))))</f>
        <v>0</v>
      </c>
      <c r="AD33" s="2089">
        <f>IF(dpSales_Adjustment_4="Construction Quality",IF(OR(ISERROR(HLOOKUP(AD$8,'Improved Sales Adjustments'!$G$7:$ZO$147,77,FALSE)),ISERROR(HLOOKUP(AD$8,'Improved Sales Adjustments'!$G$7:$ZO$147,78,FALSE))),0,IF(HLOOKUP(AD$8,'Improved Sales Adjustments'!$G$7:$ZO$147,77,FALSE)="",0,IF(AND($G29=HLOOKUP(AD$8,'Improved Sales Adjustments'!$G$7:$ZO$147,77,FALSE),$F33=HLOOKUP(AD$8,'Improved Sales Adjustments'!$G$7:$ZO$147,78,FALSE)),1,0))),IF(OR(ISERROR(HLOOKUP(AD$8,'Improved Sales Adjustments'!$G$7:$ZO$147,77,FALSE)),ISERROR(HLOOKUP(AD$8,'Improved Sales Adjustments'!$G$7:$ZO$147,79,FALSE))),0,IF(HLOOKUP(AD$8,'Improved Sales Adjustments'!$G$7:$ZO$147,77,FALSE)="",0,IF(AND($G29=HLOOKUP(AD$8,'Improved Sales Adjustments'!$G$7:$ZO$147,77,FALSE),$F33=HLOOKUP(AD$8,'Improved Sales Adjustments'!$G$7:$ZO$147,79,FALSE)),1,0))))</f>
        <v>0</v>
      </c>
      <c r="AE33" s="2089">
        <f>IF(dpSales_Adjustment_4="Construction Quality",IF(OR(ISERROR(HLOOKUP(AE$8,'Improved Sales Adjustments'!$G$7:$ZO$147,77,FALSE)),ISERROR(HLOOKUP(AE$8,'Improved Sales Adjustments'!$G$7:$ZO$147,78,FALSE))),0,IF(HLOOKUP(AE$8,'Improved Sales Adjustments'!$G$7:$ZO$147,77,FALSE)="",0,IF(AND($G29=HLOOKUP(AE$8,'Improved Sales Adjustments'!$G$7:$ZO$147,77,FALSE),$F33=HLOOKUP(AE$8,'Improved Sales Adjustments'!$G$7:$ZO$147,78,FALSE)),1,0))),IF(OR(ISERROR(HLOOKUP(AE$8,'Improved Sales Adjustments'!$G$7:$ZO$147,77,FALSE)),ISERROR(HLOOKUP(AE$8,'Improved Sales Adjustments'!$G$7:$ZO$147,79,FALSE))),0,IF(HLOOKUP(AE$8,'Improved Sales Adjustments'!$G$7:$ZO$147,77,FALSE)="",0,IF(AND($G29=HLOOKUP(AE$8,'Improved Sales Adjustments'!$G$7:$ZO$147,77,FALSE),$F33=HLOOKUP(AE$8,'Improved Sales Adjustments'!$G$7:$ZO$147,79,FALSE)),1,0))))</f>
        <v>0</v>
      </c>
      <c r="AF33" s="2089">
        <f>IF(dpSales_Adjustment_4="Construction Quality",IF(OR(ISERROR(HLOOKUP(AF$8,'Improved Sales Adjustments'!$G$7:$ZO$147,77,FALSE)),ISERROR(HLOOKUP(AF$8,'Improved Sales Adjustments'!$G$7:$ZO$147,78,FALSE))),0,IF(HLOOKUP(AF$8,'Improved Sales Adjustments'!$G$7:$ZO$147,77,FALSE)="",0,IF(AND($G29=HLOOKUP(AF$8,'Improved Sales Adjustments'!$G$7:$ZO$147,77,FALSE),$F33=HLOOKUP(AF$8,'Improved Sales Adjustments'!$G$7:$ZO$147,78,FALSE)),1,0))),IF(OR(ISERROR(HLOOKUP(AF$8,'Improved Sales Adjustments'!$G$7:$ZO$147,77,FALSE)),ISERROR(HLOOKUP(AF$8,'Improved Sales Adjustments'!$G$7:$ZO$147,79,FALSE))),0,IF(HLOOKUP(AF$8,'Improved Sales Adjustments'!$G$7:$ZO$147,77,FALSE)="",0,IF(AND($G29=HLOOKUP(AF$8,'Improved Sales Adjustments'!$G$7:$ZO$147,77,FALSE),$F33=HLOOKUP(AF$8,'Improved Sales Adjustments'!$G$7:$ZO$147,79,FALSE)),1,0))))</f>
        <v>0</v>
      </c>
      <c r="AG33" s="2089">
        <f>IF(dpSales_Adjustment_4="Construction Quality",IF(OR(ISERROR(HLOOKUP(AG$8,'Improved Sales Adjustments'!$G$7:$ZO$147,77,FALSE)),ISERROR(HLOOKUP(AG$8,'Improved Sales Adjustments'!$G$7:$ZO$147,78,FALSE))),0,IF(HLOOKUP(AG$8,'Improved Sales Adjustments'!$G$7:$ZO$147,77,FALSE)="",0,IF(AND($G29=HLOOKUP(AG$8,'Improved Sales Adjustments'!$G$7:$ZO$147,77,FALSE),$F33=HLOOKUP(AG$8,'Improved Sales Adjustments'!$G$7:$ZO$147,78,FALSE)),1,0))),IF(OR(ISERROR(HLOOKUP(AG$8,'Improved Sales Adjustments'!$G$7:$ZO$147,77,FALSE)),ISERROR(HLOOKUP(AG$8,'Improved Sales Adjustments'!$G$7:$ZO$147,79,FALSE))),0,IF(HLOOKUP(AG$8,'Improved Sales Adjustments'!$G$7:$ZO$147,77,FALSE)="",0,IF(AND($G29=HLOOKUP(AG$8,'Improved Sales Adjustments'!$G$7:$ZO$147,77,FALSE),$F33=HLOOKUP(AG$8,'Improved Sales Adjustments'!$G$7:$ZO$147,79,FALSE)),1,0))))</f>
        <v>0</v>
      </c>
      <c r="AH33" s="2089">
        <f>IF(dpSales_Adjustment_4="Construction Quality",IF(OR(ISERROR(HLOOKUP(AH$8,'Improved Sales Adjustments'!$G$7:$ZO$147,77,FALSE)),ISERROR(HLOOKUP(AH$8,'Improved Sales Adjustments'!$G$7:$ZO$147,78,FALSE))),0,IF(HLOOKUP(AH$8,'Improved Sales Adjustments'!$G$7:$ZO$147,77,FALSE)="",0,IF(AND($G29=HLOOKUP(AH$8,'Improved Sales Adjustments'!$G$7:$ZO$147,77,FALSE),$F33=HLOOKUP(AH$8,'Improved Sales Adjustments'!$G$7:$ZO$147,78,FALSE)),1,0))),IF(OR(ISERROR(HLOOKUP(AH$8,'Improved Sales Adjustments'!$G$7:$ZO$147,77,FALSE)),ISERROR(HLOOKUP(AH$8,'Improved Sales Adjustments'!$G$7:$ZO$147,79,FALSE))),0,IF(HLOOKUP(AH$8,'Improved Sales Adjustments'!$G$7:$ZO$147,77,FALSE)="",0,IF(AND($G29=HLOOKUP(AH$8,'Improved Sales Adjustments'!$G$7:$ZO$147,77,FALSE),$F33=HLOOKUP(AH$8,'Improved Sales Adjustments'!$G$7:$ZO$147,79,FALSE)),1,0))))</f>
        <v>0</v>
      </c>
      <c r="AI33" s="2089">
        <f>SUM(X33:$X33)</f>
        <v>0</v>
      </c>
      <c r="AJ33" s="2089">
        <f>SUM($X33:Y33)</f>
        <v>0</v>
      </c>
      <c r="AK33" s="2089">
        <f>SUM($X33:Z33)</f>
        <v>0</v>
      </c>
      <c r="AL33" s="2089">
        <f>SUM($X33:AA33)</f>
        <v>0</v>
      </c>
      <c r="AM33" s="2089">
        <f>SUM($X33:AB33)</f>
        <v>0</v>
      </c>
      <c r="AN33" s="2089">
        <f>SUM($X33:AC33)</f>
        <v>0</v>
      </c>
      <c r="AO33" s="2089">
        <f>SUM($X33:AD33)</f>
        <v>0</v>
      </c>
      <c r="AP33" s="2089">
        <f>SUM($X33:AE33)</f>
        <v>0</v>
      </c>
      <c r="AQ33" s="2089">
        <f>SUM($X33:AF33)</f>
        <v>0</v>
      </c>
      <c r="AR33" s="2089">
        <f>SUM($X33:AG33)</f>
        <v>0</v>
      </c>
      <c r="AS33" s="2089">
        <f>SUM($X33:AH33)</f>
        <v>0</v>
      </c>
      <c r="AT33" s="2089" t="str">
        <f t="shared" si="7"/>
        <v/>
      </c>
      <c r="AU33" s="2089" t="str">
        <f t="shared" si="8"/>
        <v/>
      </c>
      <c r="AV33" s="2089" t="str">
        <f t="shared" si="9"/>
        <v/>
      </c>
      <c r="AW33" s="2089" t="str">
        <f t="shared" si="10"/>
        <v/>
      </c>
      <c r="AX33" s="2089" t="str">
        <f t="shared" si="11"/>
        <v/>
      </c>
      <c r="AY33" s="2089" t="str">
        <f t="shared" si="12"/>
        <v/>
      </c>
      <c r="AZ33" s="2089" t="str">
        <f t="shared" si="13"/>
        <v/>
      </c>
      <c r="BA33" s="2089" t="str">
        <f t="shared" si="14"/>
        <v/>
      </c>
      <c r="BB33" s="2089" t="str">
        <f t="shared" si="15"/>
        <v/>
      </c>
      <c r="BC33" s="2089" t="str">
        <f t="shared" si="16"/>
        <v/>
      </c>
      <c r="BD33" s="2089" t="str">
        <f t="shared" si="17"/>
        <v/>
      </c>
    </row>
    <row r="34" spans="1:56" ht="69.95" customHeight="1" x14ac:dyDescent="0.25">
      <c r="A34" s="972">
        <f t="shared" si="6"/>
        <v>0</v>
      </c>
      <c r="B34" s="4"/>
      <c r="C34" s="101"/>
      <c r="D34" s="4185" t="str">
        <f t="shared" si="3"/>
        <v/>
      </c>
      <c r="E34" s="4185"/>
      <c r="F34" s="4067" t="str">
        <f>IF(dpSales_Adjustment_4="Construction Quality","A - Structural Steel","A")</f>
        <v>A - Structural Steel</v>
      </c>
      <c r="G34" s="4209" t="s">
        <v>1457</v>
      </c>
      <c r="H34" s="4210" t="s">
        <v>1842</v>
      </c>
      <c r="I34" s="4210"/>
      <c r="J34" s="4210"/>
      <c r="K34" s="4210"/>
      <c r="L34" s="4068" t="str">
        <f t="shared" si="4"/>
        <v/>
      </c>
      <c r="M34" s="4193">
        <f>dpSales_Quality_RatingAdj*W34</f>
        <v>-0.2</v>
      </c>
      <c r="N34" s="4190" t="s">
        <v>177</v>
      </c>
      <c r="O34" s="4190"/>
      <c r="P34" s="4069" t="str">
        <f>IFERROR(L34+M34,"")</f>
        <v/>
      </c>
      <c r="Q34" s="4070"/>
      <c r="R34" s="2086"/>
      <c r="S34" s="707"/>
      <c r="T34" s="707"/>
      <c r="U34" s="707">
        <f t="shared" si="21"/>
        <v>0</v>
      </c>
      <c r="V34" s="707" t="str">
        <f t="shared" si="22"/>
        <v/>
      </c>
      <c r="W34" s="707">
        <f>IF(SUM(X34:X38)=1,0,IF(SUM(X$9:X34)=0,W39-1,W29+1))</f>
        <v>-2</v>
      </c>
      <c r="X34" s="2101">
        <f>IF(dpSales_Adjustment_4="Construction Quality",IF(AND(F34=Subject_ConstructionClass,G$34=Subject_ConstructionQuality),1,0),IF(AND(F34=Subject_InvestmentClass,G$34=Subject_ConstructionQuality),1,0))</f>
        <v>0</v>
      </c>
      <c r="Y34" s="707">
        <f>IF(dpSales_Adjustment_4="Construction Quality",IF(OR(ISERROR(HLOOKUP(Y$8,'Improved Sales Adjustments'!$G$7:$ZO$147,77,FALSE)),ISERROR(HLOOKUP(Y$8,'Improved Sales Adjustments'!$G$7:$ZO$147,78,FALSE))),0,IF(HLOOKUP(Y$8,'Improved Sales Adjustments'!$G$7:$ZO$147,77,FALSE)="",0,IF(AND($G34=HLOOKUP(Y$8,'Improved Sales Adjustments'!$G$7:$ZO$147,77,FALSE),$F34=HLOOKUP(Y$8,'Improved Sales Adjustments'!$G$7:$ZO$147,78,FALSE)),1,0))),IF(OR(ISERROR(HLOOKUP(Y$8,'Improved Sales Adjustments'!$G$7:$ZO$147,77,FALSE)),ISERROR(HLOOKUP(Y$8,'Improved Sales Adjustments'!$G$7:$ZO$147,79,FALSE))),0,IF(HLOOKUP(Y$8,'Improved Sales Adjustments'!$G$7:$ZO$147,77,FALSE)="",0,IF(AND($G34=HLOOKUP(Y$8,'Improved Sales Adjustments'!$G$7:$ZO$147,77,FALSE),$F34=HLOOKUP(Y$8,'Improved Sales Adjustments'!$G$7:$ZO$147,79,FALSE)),1,0))))</f>
        <v>0</v>
      </c>
      <c r="Z34" s="707">
        <f>IF(dpSales_Adjustment_4="Construction Quality",IF(OR(ISERROR(HLOOKUP(Z$8,'Improved Sales Adjustments'!$G$7:$ZO$147,77,FALSE)),ISERROR(HLOOKUP(Z$8,'Improved Sales Adjustments'!$G$7:$ZO$147,78,FALSE))),0,IF(HLOOKUP(Z$8,'Improved Sales Adjustments'!$G$7:$ZO$147,77,FALSE)="",0,IF(AND($G34=HLOOKUP(Z$8,'Improved Sales Adjustments'!$G$7:$ZO$147,77,FALSE),$F34=HLOOKUP(Z$8,'Improved Sales Adjustments'!$G$7:$ZO$147,78,FALSE)),1,0))),IF(OR(ISERROR(HLOOKUP(Z$8,'Improved Sales Adjustments'!$G$7:$ZO$147,77,FALSE)),ISERROR(HLOOKUP(Z$8,'Improved Sales Adjustments'!$G$7:$ZO$147,79,FALSE))),0,IF(HLOOKUP(Z$8,'Improved Sales Adjustments'!$G$7:$ZO$147,77,FALSE)="",0,IF(AND($G34=HLOOKUP(Z$8,'Improved Sales Adjustments'!$G$7:$ZO$147,77,FALSE),$F34=HLOOKUP(Z$8,'Improved Sales Adjustments'!$G$7:$ZO$147,79,FALSE)),1,0))))</f>
        <v>0</v>
      </c>
      <c r="AA34" s="707">
        <f>IF(dpSales_Adjustment_4="Construction Quality",IF(OR(ISERROR(HLOOKUP(AA$8,'Improved Sales Adjustments'!$G$7:$ZO$147,77,FALSE)),ISERROR(HLOOKUP(AA$8,'Improved Sales Adjustments'!$G$7:$ZO$147,78,FALSE))),0,IF(HLOOKUP(AA$8,'Improved Sales Adjustments'!$G$7:$ZO$147,77,FALSE)="",0,IF(AND($G34=HLOOKUP(AA$8,'Improved Sales Adjustments'!$G$7:$ZO$147,77,FALSE),$F34=HLOOKUP(AA$8,'Improved Sales Adjustments'!$G$7:$ZO$147,78,FALSE)),1,0))),IF(OR(ISERROR(HLOOKUP(AA$8,'Improved Sales Adjustments'!$G$7:$ZO$147,77,FALSE)),ISERROR(HLOOKUP(AA$8,'Improved Sales Adjustments'!$G$7:$ZO$147,79,FALSE))),0,IF(HLOOKUP(AA$8,'Improved Sales Adjustments'!$G$7:$ZO$147,77,FALSE)="",0,IF(AND($G34=HLOOKUP(AA$8,'Improved Sales Adjustments'!$G$7:$ZO$147,77,FALSE),$F34=HLOOKUP(AA$8,'Improved Sales Adjustments'!$G$7:$ZO$147,79,FALSE)),1,0))))</f>
        <v>0</v>
      </c>
      <c r="AB34" s="707">
        <f>IF(dpSales_Adjustment_4="Construction Quality",IF(OR(ISERROR(HLOOKUP(AB$8,'Improved Sales Adjustments'!$G$7:$ZO$147,77,FALSE)),ISERROR(HLOOKUP(AB$8,'Improved Sales Adjustments'!$G$7:$ZO$147,78,FALSE))),0,IF(HLOOKUP(AB$8,'Improved Sales Adjustments'!$G$7:$ZO$147,77,FALSE)="",0,IF(AND($G34=HLOOKUP(AB$8,'Improved Sales Adjustments'!$G$7:$ZO$147,77,FALSE),$F34=HLOOKUP(AB$8,'Improved Sales Adjustments'!$G$7:$ZO$147,78,FALSE)),1,0))),IF(OR(ISERROR(HLOOKUP(AB$8,'Improved Sales Adjustments'!$G$7:$ZO$147,77,FALSE)),ISERROR(HLOOKUP(AB$8,'Improved Sales Adjustments'!$G$7:$ZO$147,79,FALSE))),0,IF(HLOOKUP(AB$8,'Improved Sales Adjustments'!$G$7:$ZO$147,77,FALSE)="",0,IF(AND($G34=HLOOKUP(AB$8,'Improved Sales Adjustments'!$G$7:$ZO$147,77,FALSE),$F34=HLOOKUP(AB$8,'Improved Sales Adjustments'!$G$7:$ZO$147,79,FALSE)),1,0))))</f>
        <v>0</v>
      </c>
      <c r="AC34" s="707">
        <f>IF(dpSales_Adjustment_4="Construction Quality",IF(OR(ISERROR(HLOOKUP(AC$8,'Improved Sales Adjustments'!$G$7:$ZO$147,77,FALSE)),ISERROR(HLOOKUP(AC$8,'Improved Sales Adjustments'!$G$7:$ZO$147,78,FALSE))),0,IF(HLOOKUP(AC$8,'Improved Sales Adjustments'!$G$7:$ZO$147,77,FALSE)="",0,IF(AND($G34=HLOOKUP(AC$8,'Improved Sales Adjustments'!$G$7:$ZO$147,77,FALSE),$F34=HLOOKUP(AC$8,'Improved Sales Adjustments'!$G$7:$ZO$147,78,FALSE)),1,0))),IF(OR(ISERROR(HLOOKUP(AC$8,'Improved Sales Adjustments'!$G$7:$ZO$147,77,FALSE)),ISERROR(HLOOKUP(AC$8,'Improved Sales Adjustments'!$G$7:$ZO$147,79,FALSE))),0,IF(HLOOKUP(AC$8,'Improved Sales Adjustments'!$G$7:$ZO$147,77,FALSE)="",0,IF(AND($G34=HLOOKUP(AC$8,'Improved Sales Adjustments'!$G$7:$ZO$147,77,FALSE),$F34=HLOOKUP(AC$8,'Improved Sales Adjustments'!$G$7:$ZO$147,79,FALSE)),1,0))))</f>
        <v>0</v>
      </c>
      <c r="AD34" s="707">
        <f>IF(dpSales_Adjustment_4="Construction Quality",IF(OR(ISERROR(HLOOKUP(AD$8,'Improved Sales Adjustments'!$G$7:$ZO$147,77,FALSE)),ISERROR(HLOOKUP(AD$8,'Improved Sales Adjustments'!$G$7:$ZO$147,78,FALSE))),0,IF(HLOOKUP(AD$8,'Improved Sales Adjustments'!$G$7:$ZO$147,77,FALSE)="",0,IF(AND($G34=HLOOKUP(AD$8,'Improved Sales Adjustments'!$G$7:$ZO$147,77,FALSE),$F34=HLOOKUP(AD$8,'Improved Sales Adjustments'!$G$7:$ZO$147,78,FALSE)),1,0))),IF(OR(ISERROR(HLOOKUP(AD$8,'Improved Sales Adjustments'!$G$7:$ZO$147,77,FALSE)),ISERROR(HLOOKUP(AD$8,'Improved Sales Adjustments'!$G$7:$ZO$147,79,FALSE))),0,IF(HLOOKUP(AD$8,'Improved Sales Adjustments'!$G$7:$ZO$147,77,FALSE)="",0,IF(AND($G34=HLOOKUP(AD$8,'Improved Sales Adjustments'!$G$7:$ZO$147,77,FALSE),$F34=HLOOKUP(AD$8,'Improved Sales Adjustments'!$G$7:$ZO$147,79,FALSE)),1,0))))</f>
        <v>0</v>
      </c>
      <c r="AE34" s="707">
        <f>IF(dpSales_Adjustment_4="Construction Quality",IF(OR(ISERROR(HLOOKUP(AE$8,'Improved Sales Adjustments'!$G$7:$ZO$147,77,FALSE)),ISERROR(HLOOKUP(AE$8,'Improved Sales Adjustments'!$G$7:$ZO$147,78,FALSE))),0,IF(HLOOKUP(AE$8,'Improved Sales Adjustments'!$G$7:$ZO$147,77,FALSE)="",0,IF(AND($G34=HLOOKUP(AE$8,'Improved Sales Adjustments'!$G$7:$ZO$147,77,FALSE),$F34=HLOOKUP(AE$8,'Improved Sales Adjustments'!$G$7:$ZO$147,78,FALSE)),1,0))),IF(OR(ISERROR(HLOOKUP(AE$8,'Improved Sales Adjustments'!$G$7:$ZO$147,77,FALSE)),ISERROR(HLOOKUP(AE$8,'Improved Sales Adjustments'!$G$7:$ZO$147,79,FALSE))),0,IF(HLOOKUP(AE$8,'Improved Sales Adjustments'!$G$7:$ZO$147,77,FALSE)="",0,IF(AND($G34=HLOOKUP(AE$8,'Improved Sales Adjustments'!$G$7:$ZO$147,77,FALSE),$F34=HLOOKUP(AE$8,'Improved Sales Adjustments'!$G$7:$ZO$147,79,FALSE)),1,0))))</f>
        <v>0</v>
      </c>
      <c r="AF34" s="707">
        <f>IF(dpSales_Adjustment_4="Construction Quality",IF(OR(ISERROR(HLOOKUP(AF$8,'Improved Sales Adjustments'!$G$7:$ZO$147,77,FALSE)),ISERROR(HLOOKUP(AF$8,'Improved Sales Adjustments'!$G$7:$ZO$147,78,FALSE))),0,IF(HLOOKUP(AF$8,'Improved Sales Adjustments'!$G$7:$ZO$147,77,FALSE)="",0,IF(AND($G34=HLOOKUP(AF$8,'Improved Sales Adjustments'!$G$7:$ZO$147,77,FALSE),$F34=HLOOKUP(AF$8,'Improved Sales Adjustments'!$G$7:$ZO$147,78,FALSE)),1,0))),IF(OR(ISERROR(HLOOKUP(AF$8,'Improved Sales Adjustments'!$G$7:$ZO$147,77,FALSE)),ISERROR(HLOOKUP(AF$8,'Improved Sales Adjustments'!$G$7:$ZO$147,79,FALSE))),0,IF(HLOOKUP(AF$8,'Improved Sales Adjustments'!$G$7:$ZO$147,77,FALSE)="",0,IF(AND($G34=HLOOKUP(AF$8,'Improved Sales Adjustments'!$G$7:$ZO$147,77,FALSE),$F34=HLOOKUP(AF$8,'Improved Sales Adjustments'!$G$7:$ZO$147,79,FALSE)),1,0))))</f>
        <v>0</v>
      </c>
      <c r="AG34" s="707">
        <f>IF(dpSales_Adjustment_4="Construction Quality",IF(OR(ISERROR(HLOOKUP(AG$8,'Improved Sales Adjustments'!$G$7:$ZO$147,77,FALSE)),ISERROR(HLOOKUP(AG$8,'Improved Sales Adjustments'!$G$7:$ZO$147,78,FALSE))),0,IF(HLOOKUP(AG$8,'Improved Sales Adjustments'!$G$7:$ZO$147,77,FALSE)="",0,IF(AND($G34=HLOOKUP(AG$8,'Improved Sales Adjustments'!$G$7:$ZO$147,77,FALSE),$F34=HLOOKUP(AG$8,'Improved Sales Adjustments'!$G$7:$ZO$147,78,FALSE)),1,0))),IF(OR(ISERROR(HLOOKUP(AG$8,'Improved Sales Adjustments'!$G$7:$ZO$147,77,FALSE)),ISERROR(HLOOKUP(AG$8,'Improved Sales Adjustments'!$G$7:$ZO$147,79,FALSE))),0,IF(HLOOKUP(AG$8,'Improved Sales Adjustments'!$G$7:$ZO$147,77,FALSE)="",0,IF(AND($G34=HLOOKUP(AG$8,'Improved Sales Adjustments'!$G$7:$ZO$147,77,FALSE),$F34=HLOOKUP(AG$8,'Improved Sales Adjustments'!$G$7:$ZO$147,79,FALSE)),1,0))))</f>
        <v>0</v>
      </c>
      <c r="AH34" s="707">
        <f>IF(dpSales_Adjustment_4="Construction Quality",IF(OR(ISERROR(HLOOKUP(AH$8,'Improved Sales Adjustments'!$G$7:$ZO$147,77,FALSE)),ISERROR(HLOOKUP(AH$8,'Improved Sales Adjustments'!$G$7:$ZO$147,78,FALSE))),0,IF(HLOOKUP(AH$8,'Improved Sales Adjustments'!$G$7:$ZO$147,77,FALSE)="",0,IF(AND($G34=HLOOKUP(AH$8,'Improved Sales Adjustments'!$G$7:$ZO$147,77,FALSE),$F34=HLOOKUP(AH$8,'Improved Sales Adjustments'!$G$7:$ZO$147,78,FALSE)),1,0))),IF(OR(ISERROR(HLOOKUP(AH$8,'Improved Sales Adjustments'!$G$7:$ZO$147,77,FALSE)),ISERROR(HLOOKUP(AH$8,'Improved Sales Adjustments'!$G$7:$ZO$147,79,FALSE))),0,IF(HLOOKUP(AH$8,'Improved Sales Adjustments'!$G$7:$ZO$147,77,FALSE)="",0,IF(AND($G34=HLOOKUP(AH$8,'Improved Sales Adjustments'!$G$7:$ZO$147,77,FALSE),$F34=HLOOKUP(AH$8,'Improved Sales Adjustments'!$G$7:$ZO$147,79,FALSE)),1,0))))</f>
        <v>0</v>
      </c>
      <c r="AI34" s="707">
        <f>SUM(X34:$X34)</f>
        <v>0</v>
      </c>
      <c r="AJ34" s="707">
        <f>SUM($X34:Y34)</f>
        <v>0</v>
      </c>
      <c r="AK34" s="707">
        <f>SUM($X34:Z34)</f>
        <v>0</v>
      </c>
      <c r="AL34" s="707">
        <f>SUM($X34:AA34)</f>
        <v>0</v>
      </c>
      <c r="AM34" s="707">
        <f>SUM($X34:AB34)</f>
        <v>0</v>
      </c>
      <c r="AN34" s="707">
        <f>SUM($X34:AC34)</f>
        <v>0</v>
      </c>
      <c r="AO34" s="707">
        <f>SUM($X34:AD34)</f>
        <v>0</v>
      </c>
      <c r="AP34" s="707">
        <f>SUM($X34:AE34)</f>
        <v>0</v>
      </c>
      <c r="AQ34" s="707">
        <f>SUM($X34:AF34)</f>
        <v>0</v>
      </c>
      <c r="AR34" s="707">
        <f>SUM($X34:AG34)</f>
        <v>0</v>
      </c>
      <c r="AS34" s="707">
        <f>SUM($X34:AH34)</f>
        <v>0</v>
      </c>
      <c r="AT34" s="707" t="str">
        <f t="shared" si="7"/>
        <v/>
      </c>
      <c r="AU34" s="707" t="str">
        <f t="shared" si="8"/>
        <v/>
      </c>
      <c r="AV34" s="707" t="str">
        <f t="shared" si="9"/>
        <v/>
      </c>
      <c r="AW34" s="707" t="str">
        <f t="shared" si="10"/>
        <v/>
      </c>
      <c r="AX34" s="707" t="str">
        <f t="shared" si="11"/>
        <v/>
      </c>
      <c r="AY34" s="707" t="str">
        <f t="shared" si="12"/>
        <v/>
      </c>
      <c r="AZ34" s="707" t="str">
        <f t="shared" si="13"/>
        <v/>
      </c>
      <c r="BA34" s="707" t="str">
        <f t="shared" si="14"/>
        <v/>
      </c>
      <c r="BB34" s="707" t="str">
        <f t="shared" si="15"/>
        <v/>
      </c>
      <c r="BC34" s="707" t="str">
        <f t="shared" si="16"/>
        <v/>
      </c>
      <c r="BD34" s="707" t="str">
        <f t="shared" si="17"/>
        <v/>
      </c>
    </row>
    <row r="35" spans="1:56" ht="69.95" customHeight="1" x14ac:dyDescent="0.25">
      <c r="A35" s="972">
        <f t="shared" si="6"/>
        <v>0</v>
      </c>
      <c r="B35" s="4"/>
      <c r="C35" s="101"/>
      <c r="D35" s="4185" t="str">
        <f t="shared" si="3"/>
        <v/>
      </c>
      <c r="E35" s="4185"/>
      <c r="F35" s="4067" t="str">
        <f>IF(dpSales_Adjustment_4="Construction Quality","B - Reinforced Concrete","B")</f>
        <v>B - Reinforced Concrete</v>
      </c>
      <c r="G35" s="4207"/>
      <c r="H35" s="4198"/>
      <c r="I35" s="4198"/>
      <c r="J35" s="4198"/>
      <c r="K35" s="4198"/>
      <c r="L35" s="4068" t="str">
        <f t="shared" si="4"/>
        <v/>
      </c>
      <c r="M35" s="4194"/>
      <c r="N35" s="4190"/>
      <c r="O35" s="4190"/>
      <c r="P35" s="4069" t="str">
        <f>IFERROR(L35+M34,"")</f>
        <v/>
      </c>
      <c r="Q35" s="4070"/>
      <c r="R35" s="2086"/>
      <c r="S35" s="707"/>
      <c r="T35" s="707"/>
      <c r="U35" s="707">
        <f t="shared" si="21"/>
        <v>0</v>
      </c>
      <c r="V35" s="707" t="str">
        <f t="shared" si="22"/>
        <v/>
      </c>
      <c r="W35" s="707"/>
      <c r="X35" s="707">
        <f>IF(dpSales_Adjustment_4="Construction Quality",IF(AND(F35=Subject_ConstructionClass,G$34=Subject_ConstructionQuality),1,0),IF(AND(F35=Subject_InvestmentClass,G$34=Subject_ConstructionQuality),1,0))</f>
        <v>0</v>
      </c>
      <c r="Y35" s="707">
        <f>IF(dpSales_Adjustment_4="Construction Quality",IF(OR(ISERROR(HLOOKUP(Y$8,'Improved Sales Adjustments'!$G$7:$ZO$147,77,FALSE)),ISERROR(HLOOKUP(Y$8,'Improved Sales Adjustments'!$G$7:$ZO$147,78,FALSE))),0,IF(HLOOKUP(Y$8,'Improved Sales Adjustments'!$G$7:$ZO$147,77,FALSE)="",0,IF(AND($G34=HLOOKUP(Y$8,'Improved Sales Adjustments'!$G$7:$ZO$147,77,FALSE),$F35=HLOOKUP(Y$8,'Improved Sales Adjustments'!$G$7:$ZO$147,78,FALSE)),1,0))),IF(OR(ISERROR(HLOOKUP(Y$8,'Improved Sales Adjustments'!$G$7:$ZO$147,77,FALSE)),ISERROR(HLOOKUP(Y$8,'Improved Sales Adjustments'!$G$7:$ZO$147,79,FALSE))),0,IF(HLOOKUP(Y$8,'Improved Sales Adjustments'!$G$7:$ZO$147,77,FALSE)="",0,IF(AND($G34=HLOOKUP(Y$8,'Improved Sales Adjustments'!$G$7:$ZO$147,77,FALSE),$F35=HLOOKUP(Y$8,'Improved Sales Adjustments'!$G$7:$ZO$147,79,FALSE)),1,0))))</f>
        <v>0</v>
      </c>
      <c r="Z35" s="707">
        <f>IF(dpSales_Adjustment_4="Construction Quality",IF(OR(ISERROR(HLOOKUP(Z$8,'Improved Sales Adjustments'!$G$7:$ZO$147,77,FALSE)),ISERROR(HLOOKUP(Z$8,'Improved Sales Adjustments'!$G$7:$ZO$147,78,FALSE))),0,IF(HLOOKUP(Z$8,'Improved Sales Adjustments'!$G$7:$ZO$147,77,FALSE)="",0,IF(AND($G34=HLOOKUP(Z$8,'Improved Sales Adjustments'!$G$7:$ZO$147,77,FALSE),$F35=HLOOKUP(Z$8,'Improved Sales Adjustments'!$G$7:$ZO$147,78,FALSE)),1,0))),IF(OR(ISERROR(HLOOKUP(Z$8,'Improved Sales Adjustments'!$G$7:$ZO$147,77,FALSE)),ISERROR(HLOOKUP(Z$8,'Improved Sales Adjustments'!$G$7:$ZO$147,79,FALSE))),0,IF(HLOOKUP(Z$8,'Improved Sales Adjustments'!$G$7:$ZO$147,77,FALSE)="",0,IF(AND($G34=HLOOKUP(Z$8,'Improved Sales Adjustments'!$G$7:$ZO$147,77,FALSE),$F35=HLOOKUP(Z$8,'Improved Sales Adjustments'!$G$7:$ZO$147,79,FALSE)),1,0))))</f>
        <v>0</v>
      </c>
      <c r="AA35" s="707">
        <f>IF(dpSales_Adjustment_4="Construction Quality",IF(OR(ISERROR(HLOOKUP(AA$8,'Improved Sales Adjustments'!$G$7:$ZO$147,77,FALSE)),ISERROR(HLOOKUP(AA$8,'Improved Sales Adjustments'!$G$7:$ZO$147,78,FALSE))),0,IF(HLOOKUP(AA$8,'Improved Sales Adjustments'!$G$7:$ZO$147,77,FALSE)="",0,IF(AND($G34=HLOOKUP(AA$8,'Improved Sales Adjustments'!$G$7:$ZO$147,77,FALSE),$F35=HLOOKUP(AA$8,'Improved Sales Adjustments'!$G$7:$ZO$147,78,FALSE)),1,0))),IF(OR(ISERROR(HLOOKUP(AA$8,'Improved Sales Adjustments'!$G$7:$ZO$147,77,FALSE)),ISERROR(HLOOKUP(AA$8,'Improved Sales Adjustments'!$G$7:$ZO$147,79,FALSE))),0,IF(HLOOKUP(AA$8,'Improved Sales Adjustments'!$G$7:$ZO$147,77,FALSE)="",0,IF(AND($G34=HLOOKUP(AA$8,'Improved Sales Adjustments'!$G$7:$ZO$147,77,FALSE),$F35=HLOOKUP(AA$8,'Improved Sales Adjustments'!$G$7:$ZO$147,79,FALSE)),1,0))))</f>
        <v>0</v>
      </c>
      <c r="AB35" s="707">
        <f>IF(dpSales_Adjustment_4="Construction Quality",IF(OR(ISERROR(HLOOKUP(AB$8,'Improved Sales Adjustments'!$G$7:$ZO$147,77,FALSE)),ISERROR(HLOOKUP(AB$8,'Improved Sales Adjustments'!$G$7:$ZO$147,78,FALSE))),0,IF(HLOOKUP(AB$8,'Improved Sales Adjustments'!$G$7:$ZO$147,77,FALSE)="",0,IF(AND($G34=HLOOKUP(AB$8,'Improved Sales Adjustments'!$G$7:$ZO$147,77,FALSE),$F35=HLOOKUP(AB$8,'Improved Sales Adjustments'!$G$7:$ZO$147,78,FALSE)),1,0))),IF(OR(ISERROR(HLOOKUP(AB$8,'Improved Sales Adjustments'!$G$7:$ZO$147,77,FALSE)),ISERROR(HLOOKUP(AB$8,'Improved Sales Adjustments'!$G$7:$ZO$147,79,FALSE))),0,IF(HLOOKUP(AB$8,'Improved Sales Adjustments'!$G$7:$ZO$147,77,FALSE)="",0,IF(AND($G34=HLOOKUP(AB$8,'Improved Sales Adjustments'!$G$7:$ZO$147,77,FALSE),$F35=HLOOKUP(AB$8,'Improved Sales Adjustments'!$G$7:$ZO$147,79,FALSE)),1,0))))</f>
        <v>0</v>
      </c>
      <c r="AC35" s="707">
        <f>IF(dpSales_Adjustment_4="Construction Quality",IF(OR(ISERROR(HLOOKUP(AC$8,'Improved Sales Adjustments'!$G$7:$ZO$147,77,FALSE)),ISERROR(HLOOKUP(AC$8,'Improved Sales Adjustments'!$G$7:$ZO$147,78,FALSE))),0,IF(HLOOKUP(AC$8,'Improved Sales Adjustments'!$G$7:$ZO$147,77,FALSE)="",0,IF(AND($G34=HLOOKUP(AC$8,'Improved Sales Adjustments'!$G$7:$ZO$147,77,FALSE),$F35=HLOOKUP(AC$8,'Improved Sales Adjustments'!$G$7:$ZO$147,78,FALSE)),1,0))),IF(OR(ISERROR(HLOOKUP(AC$8,'Improved Sales Adjustments'!$G$7:$ZO$147,77,FALSE)),ISERROR(HLOOKUP(AC$8,'Improved Sales Adjustments'!$G$7:$ZO$147,79,FALSE))),0,IF(HLOOKUP(AC$8,'Improved Sales Adjustments'!$G$7:$ZO$147,77,FALSE)="",0,IF(AND($G34=HLOOKUP(AC$8,'Improved Sales Adjustments'!$G$7:$ZO$147,77,FALSE),$F35=HLOOKUP(AC$8,'Improved Sales Adjustments'!$G$7:$ZO$147,79,FALSE)),1,0))))</f>
        <v>0</v>
      </c>
      <c r="AD35" s="707">
        <f>IF(dpSales_Adjustment_4="Construction Quality",IF(OR(ISERROR(HLOOKUP(AD$8,'Improved Sales Adjustments'!$G$7:$ZO$147,77,FALSE)),ISERROR(HLOOKUP(AD$8,'Improved Sales Adjustments'!$G$7:$ZO$147,78,FALSE))),0,IF(HLOOKUP(AD$8,'Improved Sales Adjustments'!$G$7:$ZO$147,77,FALSE)="",0,IF(AND($G34=HLOOKUP(AD$8,'Improved Sales Adjustments'!$G$7:$ZO$147,77,FALSE),$F35=HLOOKUP(AD$8,'Improved Sales Adjustments'!$G$7:$ZO$147,78,FALSE)),1,0))),IF(OR(ISERROR(HLOOKUP(AD$8,'Improved Sales Adjustments'!$G$7:$ZO$147,77,FALSE)),ISERROR(HLOOKUP(AD$8,'Improved Sales Adjustments'!$G$7:$ZO$147,79,FALSE))),0,IF(HLOOKUP(AD$8,'Improved Sales Adjustments'!$G$7:$ZO$147,77,FALSE)="",0,IF(AND($G34=HLOOKUP(AD$8,'Improved Sales Adjustments'!$G$7:$ZO$147,77,FALSE),$F35=HLOOKUP(AD$8,'Improved Sales Adjustments'!$G$7:$ZO$147,79,FALSE)),1,0))))</f>
        <v>0</v>
      </c>
      <c r="AE35" s="707">
        <f>IF(dpSales_Adjustment_4="Construction Quality",IF(OR(ISERROR(HLOOKUP(AE$8,'Improved Sales Adjustments'!$G$7:$ZO$147,77,FALSE)),ISERROR(HLOOKUP(AE$8,'Improved Sales Adjustments'!$G$7:$ZO$147,78,FALSE))),0,IF(HLOOKUP(AE$8,'Improved Sales Adjustments'!$G$7:$ZO$147,77,FALSE)="",0,IF(AND($G34=HLOOKUP(AE$8,'Improved Sales Adjustments'!$G$7:$ZO$147,77,FALSE),$F35=HLOOKUP(AE$8,'Improved Sales Adjustments'!$G$7:$ZO$147,78,FALSE)),1,0))),IF(OR(ISERROR(HLOOKUP(AE$8,'Improved Sales Adjustments'!$G$7:$ZO$147,77,FALSE)),ISERROR(HLOOKUP(AE$8,'Improved Sales Adjustments'!$G$7:$ZO$147,79,FALSE))),0,IF(HLOOKUP(AE$8,'Improved Sales Adjustments'!$G$7:$ZO$147,77,FALSE)="",0,IF(AND($G34=HLOOKUP(AE$8,'Improved Sales Adjustments'!$G$7:$ZO$147,77,FALSE),$F35=HLOOKUP(AE$8,'Improved Sales Adjustments'!$G$7:$ZO$147,79,FALSE)),1,0))))</f>
        <v>0</v>
      </c>
      <c r="AF35" s="707">
        <f>IF(dpSales_Adjustment_4="Construction Quality",IF(OR(ISERROR(HLOOKUP(AF$8,'Improved Sales Adjustments'!$G$7:$ZO$147,77,FALSE)),ISERROR(HLOOKUP(AF$8,'Improved Sales Adjustments'!$G$7:$ZO$147,78,FALSE))),0,IF(HLOOKUP(AF$8,'Improved Sales Adjustments'!$G$7:$ZO$147,77,FALSE)="",0,IF(AND($G34=HLOOKUP(AF$8,'Improved Sales Adjustments'!$G$7:$ZO$147,77,FALSE),$F35=HLOOKUP(AF$8,'Improved Sales Adjustments'!$G$7:$ZO$147,78,FALSE)),1,0))),IF(OR(ISERROR(HLOOKUP(AF$8,'Improved Sales Adjustments'!$G$7:$ZO$147,77,FALSE)),ISERROR(HLOOKUP(AF$8,'Improved Sales Adjustments'!$G$7:$ZO$147,79,FALSE))),0,IF(HLOOKUP(AF$8,'Improved Sales Adjustments'!$G$7:$ZO$147,77,FALSE)="",0,IF(AND($G34=HLOOKUP(AF$8,'Improved Sales Adjustments'!$G$7:$ZO$147,77,FALSE),$F35=HLOOKUP(AF$8,'Improved Sales Adjustments'!$G$7:$ZO$147,79,FALSE)),1,0))))</f>
        <v>0</v>
      </c>
      <c r="AG35" s="707">
        <f>IF(dpSales_Adjustment_4="Construction Quality",IF(OR(ISERROR(HLOOKUP(AG$8,'Improved Sales Adjustments'!$G$7:$ZO$147,77,FALSE)),ISERROR(HLOOKUP(AG$8,'Improved Sales Adjustments'!$G$7:$ZO$147,78,FALSE))),0,IF(HLOOKUP(AG$8,'Improved Sales Adjustments'!$G$7:$ZO$147,77,FALSE)="",0,IF(AND($G34=HLOOKUP(AG$8,'Improved Sales Adjustments'!$G$7:$ZO$147,77,FALSE),$F35=HLOOKUP(AG$8,'Improved Sales Adjustments'!$G$7:$ZO$147,78,FALSE)),1,0))),IF(OR(ISERROR(HLOOKUP(AG$8,'Improved Sales Adjustments'!$G$7:$ZO$147,77,FALSE)),ISERROR(HLOOKUP(AG$8,'Improved Sales Adjustments'!$G$7:$ZO$147,79,FALSE))),0,IF(HLOOKUP(AG$8,'Improved Sales Adjustments'!$G$7:$ZO$147,77,FALSE)="",0,IF(AND($G34=HLOOKUP(AG$8,'Improved Sales Adjustments'!$G$7:$ZO$147,77,FALSE),$F35=HLOOKUP(AG$8,'Improved Sales Adjustments'!$G$7:$ZO$147,79,FALSE)),1,0))))</f>
        <v>0</v>
      </c>
      <c r="AH35" s="707">
        <f>IF(dpSales_Adjustment_4="Construction Quality",IF(OR(ISERROR(HLOOKUP(AH$8,'Improved Sales Adjustments'!$G$7:$ZO$147,77,FALSE)),ISERROR(HLOOKUP(AH$8,'Improved Sales Adjustments'!$G$7:$ZO$147,78,FALSE))),0,IF(HLOOKUP(AH$8,'Improved Sales Adjustments'!$G$7:$ZO$147,77,FALSE)="",0,IF(AND($G34=HLOOKUP(AH$8,'Improved Sales Adjustments'!$G$7:$ZO$147,77,FALSE),$F35=HLOOKUP(AH$8,'Improved Sales Adjustments'!$G$7:$ZO$147,78,FALSE)),1,0))),IF(OR(ISERROR(HLOOKUP(AH$8,'Improved Sales Adjustments'!$G$7:$ZO$147,77,FALSE)),ISERROR(HLOOKUP(AH$8,'Improved Sales Adjustments'!$G$7:$ZO$147,79,FALSE))),0,IF(HLOOKUP(AH$8,'Improved Sales Adjustments'!$G$7:$ZO$147,77,FALSE)="",0,IF(AND($G34=HLOOKUP(AH$8,'Improved Sales Adjustments'!$G$7:$ZO$147,77,FALSE),$F35=HLOOKUP(AH$8,'Improved Sales Adjustments'!$G$7:$ZO$147,79,FALSE)),1,0))))</f>
        <v>0</v>
      </c>
      <c r="AI35" s="707">
        <f>SUM(X35:$X35)</f>
        <v>0</v>
      </c>
      <c r="AJ35" s="707">
        <f>SUM($X35:Y35)</f>
        <v>0</v>
      </c>
      <c r="AK35" s="707">
        <f>SUM($X35:Z35)</f>
        <v>0</v>
      </c>
      <c r="AL35" s="707">
        <f>SUM($X35:AA35)</f>
        <v>0</v>
      </c>
      <c r="AM35" s="707">
        <f>SUM($X35:AB35)</f>
        <v>0</v>
      </c>
      <c r="AN35" s="707">
        <f>SUM($X35:AC35)</f>
        <v>0</v>
      </c>
      <c r="AO35" s="707">
        <f>SUM($X35:AD35)</f>
        <v>0</v>
      </c>
      <c r="AP35" s="707">
        <f>SUM($X35:AE35)</f>
        <v>0</v>
      </c>
      <c r="AQ35" s="707">
        <f>SUM($X35:AF35)</f>
        <v>0</v>
      </c>
      <c r="AR35" s="707">
        <f>SUM($X35:AG35)</f>
        <v>0</v>
      </c>
      <c r="AS35" s="707">
        <f>SUM($X35:AH35)</f>
        <v>0</v>
      </c>
      <c r="AT35" s="707" t="str">
        <f t="shared" si="7"/>
        <v/>
      </c>
      <c r="AU35" s="707" t="str">
        <f t="shared" si="8"/>
        <v/>
      </c>
      <c r="AV35" s="707" t="str">
        <f t="shared" si="9"/>
        <v/>
      </c>
      <c r="AW35" s="707" t="str">
        <f t="shared" si="10"/>
        <v/>
      </c>
      <c r="AX35" s="707" t="str">
        <f t="shared" si="11"/>
        <v/>
      </c>
      <c r="AY35" s="707" t="str">
        <f t="shared" si="12"/>
        <v/>
      </c>
      <c r="AZ35" s="707" t="str">
        <f t="shared" si="13"/>
        <v/>
      </c>
      <c r="BA35" s="707" t="str">
        <f t="shared" si="14"/>
        <v/>
      </c>
      <c r="BB35" s="707" t="str">
        <f t="shared" si="15"/>
        <v/>
      </c>
      <c r="BC35" s="707" t="str">
        <f t="shared" si="16"/>
        <v/>
      </c>
      <c r="BD35" s="707" t="str">
        <f t="shared" si="17"/>
        <v/>
      </c>
    </row>
    <row r="36" spans="1:56" ht="69.95" customHeight="1" x14ac:dyDescent="0.25">
      <c r="A36" s="972">
        <f t="shared" si="6"/>
        <v>0</v>
      </c>
      <c r="B36" s="4"/>
      <c r="C36" s="101"/>
      <c r="D36" s="4185" t="str">
        <f t="shared" si="3"/>
        <v/>
      </c>
      <c r="E36" s="4185"/>
      <c r="F36" s="4067" t="str">
        <f>IF(dpSales_Adjustment_4="Construction Quality","C - Masonry","C")</f>
        <v>C - Masonry</v>
      </c>
      <c r="G36" s="4207"/>
      <c r="H36" s="4198"/>
      <c r="I36" s="4198"/>
      <c r="J36" s="4198"/>
      <c r="K36" s="4198"/>
      <c r="L36" s="4068" t="str">
        <f t="shared" si="4"/>
        <v/>
      </c>
      <c r="M36" s="4194"/>
      <c r="N36" s="4190"/>
      <c r="O36" s="4190"/>
      <c r="P36" s="4069" t="str">
        <f>IFERROR(L36+M34,"")</f>
        <v/>
      </c>
      <c r="Q36" s="4070"/>
      <c r="R36" s="2086"/>
      <c r="S36" s="707"/>
      <c r="T36" s="707"/>
      <c r="U36" s="707">
        <f t="shared" si="21"/>
        <v>0</v>
      </c>
      <c r="V36" s="707" t="str">
        <f t="shared" si="22"/>
        <v/>
      </c>
      <c r="W36" s="707"/>
      <c r="X36" s="707">
        <f>IF(dpSales_Adjustment_4="Construction Quality",IF(AND(F36=Subject_ConstructionClass,G$34=Subject_ConstructionQuality),1,0),IF(AND(F36=Subject_InvestmentClass,G$34=Subject_ConstructionQuality),1,0))</f>
        <v>0</v>
      </c>
      <c r="Y36" s="707">
        <f>IF(dpSales_Adjustment_4="Construction Quality",IF(OR(ISERROR(HLOOKUP(Y$8,'Improved Sales Adjustments'!$G$7:$ZO$147,77,FALSE)),ISERROR(HLOOKUP(Y$8,'Improved Sales Adjustments'!$G$7:$ZO$147,78,FALSE))),0,IF(HLOOKUP(Y$8,'Improved Sales Adjustments'!$G$7:$ZO$147,77,FALSE)="",0,IF(AND($G34=HLOOKUP(Y$8,'Improved Sales Adjustments'!$G$7:$ZO$147,77,FALSE),$F36=HLOOKUP(Y$8,'Improved Sales Adjustments'!$G$7:$ZO$147,78,FALSE)),1,0))),IF(OR(ISERROR(HLOOKUP(Y$8,'Improved Sales Adjustments'!$G$7:$ZO$147,77,FALSE)),ISERROR(HLOOKUP(Y$8,'Improved Sales Adjustments'!$G$7:$ZO$147,79,FALSE))),0,IF(HLOOKUP(Y$8,'Improved Sales Adjustments'!$G$7:$ZO$147,77,FALSE)="",0,IF(AND($G34=HLOOKUP(Y$8,'Improved Sales Adjustments'!$G$7:$ZO$147,77,FALSE),$F36=HLOOKUP(Y$8,'Improved Sales Adjustments'!$G$7:$ZO$147,79,FALSE)),1,0))))</f>
        <v>0</v>
      </c>
      <c r="Z36" s="707">
        <f>IF(dpSales_Adjustment_4="Construction Quality",IF(OR(ISERROR(HLOOKUP(Z$8,'Improved Sales Adjustments'!$G$7:$ZO$147,77,FALSE)),ISERROR(HLOOKUP(Z$8,'Improved Sales Adjustments'!$G$7:$ZO$147,78,FALSE))),0,IF(HLOOKUP(Z$8,'Improved Sales Adjustments'!$G$7:$ZO$147,77,FALSE)="",0,IF(AND($G34=HLOOKUP(Z$8,'Improved Sales Adjustments'!$G$7:$ZO$147,77,FALSE),$F36=HLOOKUP(Z$8,'Improved Sales Adjustments'!$G$7:$ZO$147,78,FALSE)),1,0))),IF(OR(ISERROR(HLOOKUP(Z$8,'Improved Sales Adjustments'!$G$7:$ZO$147,77,FALSE)),ISERROR(HLOOKUP(Z$8,'Improved Sales Adjustments'!$G$7:$ZO$147,79,FALSE))),0,IF(HLOOKUP(Z$8,'Improved Sales Adjustments'!$G$7:$ZO$147,77,FALSE)="",0,IF(AND($G34=HLOOKUP(Z$8,'Improved Sales Adjustments'!$G$7:$ZO$147,77,FALSE),$F36=HLOOKUP(Z$8,'Improved Sales Adjustments'!$G$7:$ZO$147,79,FALSE)),1,0))))</f>
        <v>0</v>
      </c>
      <c r="AA36" s="707">
        <f>IF(dpSales_Adjustment_4="Construction Quality",IF(OR(ISERROR(HLOOKUP(AA$8,'Improved Sales Adjustments'!$G$7:$ZO$147,77,FALSE)),ISERROR(HLOOKUP(AA$8,'Improved Sales Adjustments'!$G$7:$ZO$147,78,FALSE))),0,IF(HLOOKUP(AA$8,'Improved Sales Adjustments'!$G$7:$ZO$147,77,FALSE)="",0,IF(AND($G34=HLOOKUP(AA$8,'Improved Sales Adjustments'!$G$7:$ZO$147,77,FALSE),$F36=HLOOKUP(AA$8,'Improved Sales Adjustments'!$G$7:$ZO$147,78,FALSE)),1,0))),IF(OR(ISERROR(HLOOKUP(AA$8,'Improved Sales Adjustments'!$G$7:$ZO$147,77,FALSE)),ISERROR(HLOOKUP(AA$8,'Improved Sales Adjustments'!$G$7:$ZO$147,79,FALSE))),0,IF(HLOOKUP(AA$8,'Improved Sales Adjustments'!$G$7:$ZO$147,77,FALSE)="",0,IF(AND($G34=HLOOKUP(AA$8,'Improved Sales Adjustments'!$G$7:$ZO$147,77,FALSE),$F36=HLOOKUP(AA$8,'Improved Sales Adjustments'!$G$7:$ZO$147,79,FALSE)),1,0))))</f>
        <v>0</v>
      </c>
      <c r="AB36" s="707">
        <f>IF(dpSales_Adjustment_4="Construction Quality",IF(OR(ISERROR(HLOOKUP(AB$8,'Improved Sales Adjustments'!$G$7:$ZO$147,77,FALSE)),ISERROR(HLOOKUP(AB$8,'Improved Sales Adjustments'!$G$7:$ZO$147,78,FALSE))),0,IF(HLOOKUP(AB$8,'Improved Sales Adjustments'!$G$7:$ZO$147,77,FALSE)="",0,IF(AND($G34=HLOOKUP(AB$8,'Improved Sales Adjustments'!$G$7:$ZO$147,77,FALSE),$F36=HLOOKUP(AB$8,'Improved Sales Adjustments'!$G$7:$ZO$147,78,FALSE)),1,0))),IF(OR(ISERROR(HLOOKUP(AB$8,'Improved Sales Adjustments'!$G$7:$ZO$147,77,FALSE)),ISERROR(HLOOKUP(AB$8,'Improved Sales Adjustments'!$G$7:$ZO$147,79,FALSE))),0,IF(HLOOKUP(AB$8,'Improved Sales Adjustments'!$G$7:$ZO$147,77,FALSE)="",0,IF(AND($G34=HLOOKUP(AB$8,'Improved Sales Adjustments'!$G$7:$ZO$147,77,FALSE),$F36=HLOOKUP(AB$8,'Improved Sales Adjustments'!$G$7:$ZO$147,79,FALSE)),1,0))))</f>
        <v>0</v>
      </c>
      <c r="AC36" s="707">
        <f>IF(dpSales_Adjustment_4="Construction Quality",IF(OR(ISERROR(HLOOKUP(AC$8,'Improved Sales Adjustments'!$G$7:$ZO$147,77,FALSE)),ISERROR(HLOOKUP(AC$8,'Improved Sales Adjustments'!$G$7:$ZO$147,78,FALSE))),0,IF(HLOOKUP(AC$8,'Improved Sales Adjustments'!$G$7:$ZO$147,77,FALSE)="",0,IF(AND($G34=HLOOKUP(AC$8,'Improved Sales Adjustments'!$G$7:$ZO$147,77,FALSE),$F36=HLOOKUP(AC$8,'Improved Sales Adjustments'!$G$7:$ZO$147,78,FALSE)),1,0))),IF(OR(ISERROR(HLOOKUP(AC$8,'Improved Sales Adjustments'!$G$7:$ZO$147,77,FALSE)),ISERROR(HLOOKUP(AC$8,'Improved Sales Adjustments'!$G$7:$ZO$147,79,FALSE))),0,IF(HLOOKUP(AC$8,'Improved Sales Adjustments'!$G$7:$ZO$147,77,FALSE)="",0,IF(AND($G34=HLOOKUP(AC$8,'Improved Sales Adjustments'!$G$7:$ZO$147,77,FALSE),$F36=HLOOKUP(AC$8,'Improved Sales Adjustments'!$G$7:$ZO$147,79,FALSE)),1,0))))</f>
        <v>0</v>
      </c>
      <c r="AD36" s="707">
        <f>IF(dpSales_Adjustment_4="Construction Quality",IF(OR(ISERROR(HLOOKUP(AD$8,'Improved Sales Adjustments'!$G$7:$ZO$147,77,FALSE)),ISERROR(HLOOKUP(AD$8,'Improved Sales Adjustments'!$G$7:$ZO$147,78,FALSE))),0,IF(HLOOKUP(AD$8,'Improved Sales Adjustments'!$G$7:$ZO$147,77,FALSE)="",0,IF(AND($G34=HLOOKUP(AD$8,'Improved Sales Adjustments'!$G$7:$ZO$147,77,FALSE),$F36=HLOOKUP(AD$8,'Improved Sales Adjustments'!$G$7:$ZO$147,78,FALSE)),1,0))),IF(OR(ISERROR(HLOOKUP(AD$8,'Improved Sales Adjustments'!$G$7:$ZO$147,77,FALSE)),ISERROR(HLOOKUP(AD$8,'Improved Sales Adjustments'!$G$7:$ZO$147,79,FALSE))),0,IF(HLOOKUP(AD$8,'Improved Sales Adjustments'!$G$7:$ZO$147,77,FALSE)="",0,IF(AND($G34=HLOOKUP(AD$8,'Improved Sales Adjustments'!$G$7:$ZO$147,77,FALSE),$F36=HLOOKUP(AD$8,'Improved Sales Adjustments'!$G$7:$ZO$147,79,FALSE)),1,0))))</f>
        <v>0</v>
      </c>
      <c r="AE36" s="707">
        <f>IF(dpSales_Adjustment_4="Construction Quality",IF(OR(ISERROR(HLOOKUP(AE$8,'Improved Sales Adjustments'!$G$7:$ZO$147,77,FALSE)),ISERROR(HLOOKUP(AE$8,'Improved Sales Adjustments'!$G$7:$ZO$147,78,FALSE))),0,IF(HLOOKUP(AE$8,'Improved Sales Adjustments'!$G$7:$ZO$147,77,FALSE)="",0,IF(AND($G34=HLOOKUP(AE$8,'Improved Sales Adjustments'!$G$7:$ZO$147,77,FALSE),$F36=HLOOKUP(AE$8,'Improved Sales Adjustments'!$G$7:$ZO$147,78,FALSE)),1,0))),IF(OR(ISERROR(HLOOKUP(AE$8,'Improved Sales Adjustments'!$G$7:$ZO$147,77,FALSE)),ISERROR(HLOOKUP(AE$8,'Improved Sales Adjustments'!$G$7:$ZO$147,79,FALSE))),0,IF(HLOOKUP(AE$8,'Improved Sales Adjustments'!$G$7:$ZO$147,77,FALSE)="",0,IF(AND($G34=HLOOKUP(AE$8,'Improved Sales Adjustments'!$G$7:$ZO$147,77,FALSE),$F36=HLOOKUP(AE$8,'Improved Sales Adjustments'!$G$7:$ZO$147,79,FALSE)),1,0))))</f>
        <v>0</v>
      </c>
      <c r="AF36" s="707">
        <f>IF(dpSales_Adjustment_4="Construction Quality",IF(OR(ISERROR(HLOOKUP(AF$8,'Improved Sales Adjustments'!$G$7:$ZO$147,77,FALSE)),ISERROR(HLOOKUP(AF$8,'Improved Sales Adjustments'!$G$7:$ZO$147,78,FALSE))),0,IF(HLOOKUP(AF$8,'Improved Sales Adjustments'!$G$7:$ZO$147,77,FALSE)="",0,IF(AND($G34=HLOOKUP(AF$8,'Improved Sales Adjustments'!$G$7:$ZO$147,77,FALSE),$F36=HLOOKUP(AF$8,'Improved Sales Adjustments'!$G$7:$ZO$147,78,FALSE)),1,0))),IF(OR(ISERROR(HLOOKUP(AF$8,'Improved Sales Adjustments'!$G$7:$ZO$147,77,FALSE)),ISERROR(HLOOKUP(AF$8,'Improved Sales Adjustments'!$G$7:$ZO$147,79,FALSE))),0,IF(HLOOKUP(AF$8,'Improved Sales Adjustments'!$G$7:$ZO$147,77,FALSE)="",0,IF(AND($G34=HLOOKUP(AF$8,'Improved Sales Adjustments'!$G$7:$ZO$147,77,FALSE),$F36=HLOOKUP(AF$8,'Improved Sales Adjustments'!$G$7:$ZO$147,79,FALSE)),1,0))))</f>
        <v>0</v>
      </c>
      <c r="AG36" s="707">
        <f>IF(dpSales_Adjustment_4="Construction Quality",IF(OR(ISERROR(HLOOKUP(AG$8,'Improved Sales Adjustments'!$G$7:$ZO$147,77,FALSE)),ISERROR(HLOOKUP(AG$8,'Improved Sales Adjustments'!$G$7:$ZO$147,78,FALSE))),0,IF(HLOOKUP(AG$8,'Improved Sales Adjustments'!$G$7:$ZO$147,77,FALSE)="",0,IF(AND($G34=HLOOKUP(AG$8,'Improved Sales Adjustments'!$G$7:$ZO$147,77,FALSE),$F36=HLOOKUP(AG$8,'Improved Sales Adjustments'!$G$7:$ZO$147,78,FALSE)),1,0))),IF(OR(ISERROR(HLOOKUP(AG$8,'Improved Sales Adjustments'!$G$7:$ZO$147,77,FALSE)),ISERROR(HLOOKUP(AG$8,'Improved Sales Adjustments'!$G$7:$ZO$147,79,FALSE))),0,IF(HLOOKUP(AG$8,'Improved Sales Adjustments'!$G$7:$ZO$147,77,FALSE)="",0,IF(AND($G34=HLOOKUP(AG$8,'Improved Sales Adjustments'!$G$7:$ZO$147,77,FALSE),$F36=HLOOKUP(AG$8,'Improved Sales Adjustments'!$G$7:$ZO$147,79,FALSE)),1,0))))</f>
        <v>0</v>
      </c>
      <c r="AH36" s="707">
        <f>IF(dpSales_Adjustment_4="Construction Quality",IF(OR(ISERROR(HLOOKUP(AH$8,'Improved Sales Adjustments'!$G$7:$ZO$147,77,FALSE)),ISERROR(HLOOKUP(AH$8,'Improved Sales Adjustments'!$G$7:$ZO$147,78,FALSE))),0,IF(HLOOKUP(AH$8,'Improved Sales Adjustments'!$G$7:$ZO$147,77,FALSE)="",0,IF(AND($G34=HLOOKUP(AH$8,'Improved Sales Adjustments'!$G$7:$ZO$147,77,FALSE),$F36=HLOOKUP(AH$8,'Improved Sales Adjustments'!$G$7:$ZO$147,78,FALSE)),1,0))),IF(OR(ISERROR(HLOOKUP(AH$8,'Improved Sales Adjustments'!$G$7:$ZO$147,77,FALSE)),ISERROR(HLOOKUP(AH$8,'Improved Sales Adjustments'!$G$7:$ZO$147,79,FALSE))),0,IF(HLOOKUP(AH$8,'Improved Sales Adjustments'!$G$7:$ZO$147,77,FALSE)="",0,IF(AND($G34=HLOOKUP(AH$8,'Improved Sales Adjustments'!$G$7:$ZO$147,77,FALSE),$F36=HLOOKUP(AH$8,'Improved Sales Adjustments'!$G$7:$ZO$147,79,FALSE)),1,0))))</f>
        <v>0</v>
      </c>
      <c r="AI36" s="707">
        <f>SUM(X36:$X36)</f>
        <v>0</v>
      </c>
      <c r="AJ36" s="707">
        <f>SUM($X36:Y36)</f>
        <v>0</v>
      </c>
      <c r="AK36" s="707">
        <f>SUM($X36:Z36)</f>
        <v>0</v>
      </c>
      <c r="AL36" s="707">
        <f>SUM($X36:AA36)</f>
        <v>0</v>
      </c>
      <c r="AM36" s="707">
        <f>SUM($X36:AB36)</f>
        <v>0</v>
      </c>
      <c r="AN36" s="707">
        <f>SUM($X36:AC36)</f>
        <v>0</v>
      </c>
      <c r="AO36" s="707">
        <f>SUM($X36:AD36)</f>
        <v>0</v>
      </c>
      <c r="AP36" s="707">
        <f>SUM($X36:AE36)</f>
        <v>0</v>
      </c>
      <c r="AQ36" s="707">
        <f>SUM($X36:AF36)</f>
        <v>0</v>
      </c>
      <c r="AR36" s="707">
        <f>SUM($X36:AG36)</f>
        <v>0</v>
      </c>
      <c r="AS36" s="707">
        <f>SUM($X36:AH36)</f>
        <v>0</v>
      </c>
      <c r="AT36" s="707" t="str">
        <f t="shared" si="7"/>
        <v/>
      </c>
      <c r="AU36" s="707" t="str">
        <f t="shared" si="8"/>
        <v/>
      </c>
      <c r="AV36" s="707" t="str">
        <f t="shared" si="9"/>
        <v/>
      </c>
      <c r="AW36" s="707" t="str">
        <f t="shared" si="10"/>
        <v/>
      </c>
      <c r="AX36" s="707" t="str">
        <f t="shared" si="11"/>
        <v/>
      </c>
      <c r="AY36" s="707" t="str">
        <f t="shared" si="12"/>
        <v/>
      </c>
      <c r="AZ36" s="707" t="str">
        <f t="shared" si="13"/>
        <v/>
      </c>
      <c r="BA36" s="707" t="str">
        <f t="shared" si="14"/>
        <v/>
      </c>
      <c r="BB36" s="707" t="str">
        <f t="shared" si="15"/>
        <v/>
      </c>
      <c r="BC36" s="707" t="str">
        <f t="shared" si="16"/>
        <v/>
      </c>
      <c r="BD36" s="707" t="str">
        <f t="shared" si="17"/>
        <v/>
      </c>
    </row>
    <row r="37" spans="1:56" ht="69.95" customHeight="1" x14ac:dyDescent="0.25">
      <c r="A37" s="972">
        <f t="shared" si="6"/>
        <v>0</v>
      </c>
      <c r="B37" s="4"/>
      <c r="C37" s="101"/>
      <c r="D37" s="4185" t="str">
        <f t="shared" si="3"/>
        <v/>
      </c>
      <c r="E37" s="4185"/>
      <c r="F37" s="4067" t="str">
        <f>IF(dpSales_Adjustment_4="Construction Quality","D - Wood Frame","")</f>
        <v>D - Wood Frame</v>
      </c>
      <c r="G37" s="4207"/>
      <c r="H37" s="4198"/>
      <c r="I37" s="4198"/>
      <c r="J37" s="4198"/>
      <c r="K37" s="4198"/>
      <c r="L37" s="4068" t="str">
        <f t="shared" si="4"/>
        <v/>
      </c>
      <c r="M37" s="4194"/>
      <c r="N37" s="4190"/>
      <c r="O37" s="4190"/>
      <c r="P37" s="4069" t="str">
        <f>IFERROR(L37+M34,"")</f>
        <v/>
      </c>
      <c r="Q37" s="4070"/>
      <c r="R37" s="2086"/>
      <c r="S37" s="707"/>
      <c r="T37" s="707"/>
      <c r="U37" s="707">
        <f t="shared" si="21"/>
        <v>0</v>
      </c>
      <c r="V37" s="707" t="str">
        <f t="shared" si="22"/>
        <v/>
      </c>
      <c r="W37" s="707"/>
      <c r="X37" s="707">
        <f>IF(dpSales_Adjustment_4="Construction Quality",IF(AND(F37=Subject_ConstructionClass,G$34=Subject_ConstructionQuality),1,0),IF(AND(F37=Subject_InvestmentClass,G$34=Subject_ConstructionQuality),1,0))</f>
        <v>0</v>
      </c>
      <c r="Y37" s="707">
        <f>IF(dpSales_Adjustment_4="Construction Quality",IF(OR(ISERROR(HLOOKUP(Y$8,'Improved Sales Adjustments'!$G$7:$ZO$147,77,FALSE)),ISERROR(HLOOKUP(Y$8,'Improved Sales Adjustments'!$G$7:$ZO$147,78,FALSE))),0,IF(HLOOKUP(Y$8,'Improved Sales Adjustments'!$G$7:$ZO$147,77,FALSE)="",0,IF(AND($G34=HLOOKUP(Y$8,'Improved Sales Adjustments'!$G$7:$ZO$147,77,FALSE),$F37=HLOOKUP(Y$8,'Improved Sales Adjustments'!$G$7:$ZO$147,78,FALSE)),1,0))),IF(OR(ISERROR(HLOOKUP(Y$8,'Improved Sales Adjustments'!$G$7:$ZO$147,77,FALSE)),ISERROR(HLOOKUP(Y$8,'Improved Sales Adjustments'!$G$7:$ZO$147,79,FALSE))),0,IF(HLOOKUP(Y$8,'Improved Sales Adjustments'!$G$7:$ZO$147,77,FALSE)="",0,IF(AND($G34=HLOOKUP(Y$8,'Improved Sales Adjustments'!$G$7:$ZO$147,77,FALSE),$F37=HLOOKUP(Y$8,'Improved Sales Adjustments'!$G$7:$ZO$147,79,FALSE)),1,0))))</f>
        <v>0</v>
      </c>
      <c r="Z37" s="707">
        <f>IF(dpSales_Adjustment_4="Construction Quality",IF(OR(ISERROR(HLOOKUP(Z$8,'Improved Sales Adjustments'!$G$7:$ZO$147,77,FALSE)),ISERROR(HLOOKUP(Z$8,'Improved Sales Adjustments'!$G$7:$ZO$147,78,FALSE))),0,IF(HLOOKUP(Z$8,'Improved Sales Adjustments'!$G$7:$ZO$147,77,FALSE)="",0,IF(AND($G34=HLOOKUP(Z$8,'Improved Sales Adjustments'!$G$7:$ZO$147,77,FALSE),$F37=HLOOKUP(Z$8,'Improved Sales Adjustments'!$G$7:$ZO$147,78,FALSE)),1,0))),IF(OR(ISERROR(HLOOKUP(Z$8,'Improved Sales Adjustments'!$G$7:$ZO$147,77,FALSE)),ISERROR(HLOOKUP(Z$8,'Improved Sales Adjustments'!$G$7:$ZO$147,79,FALSE))),0,IF(HLOOKUP(Z$8,'Improved Sales Adjustments'!$G$7:$ZO$147,77,FALSE)="",0,IF(AND($G34=HLOOKUP(Z$8,'Improved Sales Adjustments'!$G$7:$ZO$147,77,FALSE),$F37=HLOOKUP(Z$8,'Improved Sales Adjustments'!$G$7:$ZO$147,79,FALSE)),1,0))))</f>
        <v>0</v>
      </c>
      <c r="AA37" s="707">
        <f>IF(dpSales_Adjustment_4="Construction Quality",IF(OR(ISERROR(HLOOKUP(AA$8,'Improved Sales Adjustments'!$G$7:$ZO$147,77,FALSE)),ISERROR(HLOOKUP(AA$8,'Improved Sales Adjustments'!$G$7:$ZO$147,78,FALSE))),0,IF(HLOOKUP(AA$8,'Improved Sales Adjustments'!$G$7:$ZO$147,77,FALSE)="",0,IF(AND($G34=HLOOKUP(AA$8,'Improved Sales Adjustments'!$G$7:$ZO$147,77,FALSE),$F37=HLOOKUP(AA$8,'Improved Sales Adjustments'!$G$7:$ZO$147,78,FALSE)),1,0))),IF(OR(ISERROR(HLOOKUP(AA$8,'Improved Sales Adjustments'!$G$7:$ZO$147,77,FALSE)),ISERROR(HLOOKUP(AA$8,'Improved Sales Adjustments'!$G$7:$ZO$147,79,FALSE))),0,IF(HLOOKUP(AA$8,'Improved Sales Adjustments'!$G$7:$ZO$147,77,FALSE)="",0,IF(AND($G34=HLOOKUP(AA$8,'Improved Sales Adjustments'!$G$7:$ZO$147,77,FALSE),$F37=HLOOKUP(AA$8,'Improved Sales Adjustments'!$G$7:$ZO$147,79,FALSE)),1,0))))</f>
        <v>0</v>
      </c>
      <c r="AB37" s="707">
        <f>IF(dpSales_Adjustment_4="Construction Quality",IF(OR(ISERROR(HLOOKUP(AB$8,'Improved Sales Adjustments'!$G$7:$ZO$147,77,FALSE)),ISERROR(HLOOKUP(AB$8,'Improved Sales Adjustments'!$G$7:$ZO$147,78,FALSE))),0,IF(HLOOKUP(AB$8,'Improved Sales Adjustments'!$G$7:$ZO$147,77,FALSE)="",0,IF(AND($G34=HLOOKUP(AB$8,'Improved Sales Adjustments'!$G$7:$ZO$147,77,FALSE),$F37=HLOOKUP(AB$8,'Improved Sales Adjustments'!$G$7:$ZO$147,78,FALSE)),1,0))),IF(OR(ISERROR(HLOOKUP(AB$8,'Improved Sales Adjustments'!$G$7:$ZO$147,77,FALSE)),ISERROR(HLOOKUP(AB$8,'Improved Sales Adjustments'!$G$7:$ZO$147,79,FALSE))),0,IF(HLOOKUP(AB$8,'Improved Sales Adjustments'!$G$7:$ZO$147,77,FALSE)="",0,IF(AND($G34=HLOOKUP(AB$8,'Improved Sales Adjustments'!$G$7:$ZO$147,77,FALSE),$F37=HLOOKUP(AB$8,'Improved Sales Adjustments'!$G$7:$ZO$147,79,FALSE)),1,0))))</f>
        <v>0</v>
      </c>
      <c r="AC37" s="707">
        <f>IF(dpSales_Adjustment_4="Construction Quality",IF(OR(ISERROR(HLOOKUP(AC$8,'Improved Sales Adjustments'!$G$7:$ZO$147,77,FALSE)),ISERROR(HLOOKUP(AC$8,'Improved Sales Adjustments'!$G$7:$ZO$147,78,FALSE))),0,IF(HLOOKUP(AC$8,'Improved Sales Adjustments'!$G$7:$ZO$147,77,FALSE)="",0,IF(AND($G34=HLOOKUP(AC$8,'Improved Sales Adjustments'!$G$7:$ZO$147,77,FALSE),$F37=HLOOKUP(AC$8,'Improved Sales Adjustments'!$G$7:$ZO$147,78,FALSE)),1,0))),IF(OR(ISERROR(HLOOKUP(AC$8,'Improved Sales Adjustments'!$G$7:$ZO$147,77,FALSE)),ISERROR(HLOOKUP(AC$8,'Improved Sales Adjustments'!$G$7:$ZO$147,79,FALSE))),0,IF(HLOOKUP(AC$8,'Improved Sales Adjustments'!$G$7:$ZO$147,77,FALSE)="",0,IF(AND($G34=HLOOKUP(AC$8,'Improved Sales Adjustments'!$G$7:$ZO$147,77,FALSE),$F37=HLOOKUP(AC$8,'Improved Sales Adjustments'!$G$7:$ZO$147,79,FALSE)),1,0))))</f>
        <v>0</v>
      </c>
      <c r="AD37" s="707">
        <f>IF(dpSales_Adjustment_4="Construction Quality",IF(OR(ISERROR(HLOOKUP(AD$8,'Improved Sales Adjustments'!$G$7:$ZO$147,77,FALSE)),ISERROR(HLOOKUP(AD$8,'Improved Sales Adjustments'!$G$7:$ZO$147,78,FALSE))),0,IF(HLOOKUP(AD$8,'Improved Sales Adjustments'!$G$7:$ZO$147,77,FALSE)="",0,IF(AND($G34=HLOOKUP(AD$8,'Improved Sales Adjustments'!$G$7:$ZO$147,77,FALSE),$F37=HLOOKUP(AD$8,'Improved Sales Adjustments'!$G$7:$ZO$147,78,FALSE)),1,0))),IF(OR(ISERROR(HLOOKUP(AD$8,'Improved Sales Adjustments'!$G$7:$ZO$147,77,FALSE)),ISERROR(HLOOKUP(AD$8,'Improved Sales Adjustments'!$G$7:$ZO$147,79,FALSE))),0,IF(HLOOKUP(AD$8,'Improved Sales Adjustments'!$G$7:$ZO$147,77,FALSE)="",0,IF(AND($G34=HLOOKUP(AD$8,'Improved Sales Adjustments'!$G$7:$ZO$147,77,FALSE),$F37=HLOOKUP(AD$8,'Improved Sales Adjustments'!$G$7:$ZO$147,79,FALSE)),1,0))))</f>
        <v>0</v>
      </c>
      <c r="AE37" s="707">
        <f>IF(dpSales_Adjustment_4="Construction Quality",IF(OR(ISERROR(HLOOKUP(AE$8,'Improved Sales Adjustments'!$G$7:$ZO$147,77,FALSE)),ISERROR(HLOOKUP(AE$8,'Improved Sales Adjustments'!$G$7:$ZO$147,78,FALSE))),0,IF(HLOOKUP(AE$8,'Improved Sales Adjustments'!$G$7:$ZO$147,77,FALSE)="",0,IF(AND($G34=HLOOKUP(AE$8,'Improved Sales Adjustments'!$G$7:$ZO$147,77,FALSE),$F37=HLOOKUP(AE$8,'Improved Sales Adjustments'!$G$7:$ZO$147,78,FALSE)),1,0))),IF(OR(ISERROR(HLOOKUP(AE$8,'Improved Sales Adjustments'!$G$7:$ZO$147,77,FALSE)),ISERROR(HLOOKUP(AE$8,'Improved Sales Adjustments'!$G$7:$ZO$147,79,FALSE))),0,IF(HLOOKUP(AE$8,'Improved Sales Adjustments'!$G$7:$ZO$147,77,FALSE)="",0,IF(AND($G34=HLOOKUP(AE$8,'Improved Sales Adjustments'!$G$7:$ZO$147,77,FALSE),$F37=HLOOKUP(AE$8,'Improved Sales Adjustments'!$G$7:$ZO$147,79,FALSE)),1,0))))</f>
        <v>0</v>
      </c>
      <c r="AF37" s="707">
        <f>IF(dpSales_Adjustment_4="Construction Quality",IF(OR(ISERROR(HLOOKUP(AF$8,'Improved Sales Adjustments'!$G$7:$ZO$147,77,FALSE)),ISERROR(HLOOKUP(AF$8,'Improved Sales Adjustments'!$G$7:$ZO$147,78,FALSE))),0,IF(HLOOKUP(AF$8,'Improved Sales Adjustments'!$G$7:$ZO$147,77,FALSE)="",0,IF(AND($G34=HLOOKUP(AF$8,'Improved Sales Adjustments'!$G$7:$ZO$147,77,FALSE),$F37=HLOOKUP(AF$8,'Improved Sales Adjustments'!$G$7:$ZO$147,78,FALSE)),1,0))),IF(OR(ISERROR(HLOOKUP(AF$8,'Improved Sales Adjustments'!$G$7:$ZO$147,77,FALSE)),ISERROR(HLOOKUP(AF$8,'Improved Sales Adjustments'!$G$7:$ZO$147,79,FALSE))),0,IF(HLOOKUP(AF$8,'Improved Sales Adjustments'!$G$7:$ZO$147,77,FALSE)="",0,IF(AND($G34=HLOOKUP(AF$8,'Improved Sales Adjustments'!$G$7:$ZO$147,77,FALSE),$F37=HLOOKUP(AF$8,'Improved Sales Adjustments'!$G$7:$ZO$147,79,FALSE)),1,0))))</f>
        <v>0</v>
      </c>
      <c r="AG37" s="707">
        <f>IF(dpSales_Adjustment_4="Construction Quality",IF(OR(ISERROR(HLOOKUP(AG$8,'Improved Sales Adjustments'!$G$7:$ZO$147,77,FALSE)),ISERROR(HLOOKUP(AG$8,'Improved Sales Adjustments'!$G$7:$ZO$147,78,FALSE))),0,IF(HLOOKUP(AG$8,'Improved Sales Adjustments'!$G$7:$ZO$147,77,FALSE)="",0,IF(AND($G34=HLOOKUP(AG$8,'Improved Sales Adjustments'!$G$7:$ZO$147,77,FALSE),$F37=HLOOKUP(AG$8,'Improved Sales Adjustments'!$G$7:$ZO$147,78,FALSE)),1,0))),IF(OR(ISERROR(HLOOKUP(AG$8,'Improved Sales Adjustments'!$G$7:$ZO$147,77,FALSE)),ISERROR(HLOOKUP(AG$8,'Improved Sales Adjustments'!$G$7:$ZO$147,79,FALSE))),0,IF(HLOOKUP(AG$8,'Improved Sales Adjustments'!$G$7:$ZO$147,77,FALSE)="",0,IF(AND($G34=HLOOKUP(AG$8,'Improved Sales Adjustments'!$G$7:$ZO$147,77,FALSE),$F37=HLOOKUP(AG$8,'Improved Sales Adjustments'!$G$7:$ZO$147,79,FALSE)),1,0))))</f>
        <v>0</v>
      </c>
      <c r="AH37" s="707">
        <f>IF(dpSales_Adjustment_4="Construction Quality",IF(OR(ISERROR(HLOOKUP(AH$8,'Improved Sales Adjustments'!$G$7:$ZO$147,77,FALSE)),ISERROR(HLOOKUP(AH$8,'Improved Sales Adjustments'!$G$7:$ZO$147,78,FALSE))),0,IF(HLOOKUP(AH$8,'Improved Sales Adjustments'!$G$7:$ZO$147,77,FALSE)="",0,IF(AND($G34=HLOOKUP(AH$8,'Improved Sales Adjustments'!$G$7:$ZO$147,77,FALSE),$F37=HLOOKUP(AH$8,'Improved Sales Adjustments'!$G$7:$ZO$147,78,FALSE)),1,0))),IF(OR(ISERROR(HLOOKUP(AH$8,'Improved Sales Adjustments'!$G$7:$ZO$147,77,FALSE)),ISERROR(HLOOKUP(AH$8,'Improved Sales Adjustments'!$G$7:$ZO$147,79,FALSE))),0,IF(HLOOKUP(AH$8,'Improved Sales Adjustments'!$G$7:$ZO$147,77,FALSE)="",0,IF(AND($G34=HLOOKUP(AH$8,'Improved Sales Adjustments'!$G$7:$ZO$147,77,FALSE),$F37=HLOOKUP(AH$8,'Improved Sales Adjustments'!$G$7:$ZO$147,79,FALSE)),1,0))))</f>
        <v>0</v>
      </c>
      <c r="AI37" s="707">
        <f>SUM(X37:$X37)</f>
        <v>0</v>
      </c>
      <c r="AJ37" s="707">
        <f>SUM($X37:Y37)</f>
        <v>0</v>
      </c>
      <c r="AK37" s="707">
        <f>SUM($X37:Z37)</f>
        <v>0</v>
      </c>
      <c r="AL37" s="707">
        <f>SUM($X37:AA37)</f>
        <v>0</v>
      </c>
      <c r="AM37" s="707">
        <f>SUM($X37:AB37)</f>
        <v>0</v>
      </c>
      <c r="AN37" s="707">
        <f>SUM($X37:AC37)</f>
        <v>0</v>
      </c>
      <c r="AO37" s="707">
        <f>SUM($X37:AD37)</f>
        <v>0</v>
      </c>
      <c r="AP37" s="707">
        <f>SUM($X37:AE37)</f>
        <v>0</v>
      </c>
      <c r="AQ37" s="707">
        <f>SUM($X37:AF37)</f>
        <v>0</v>
      </c>
      <c r="AR37" s="707">
        <f>SUM($X37:AG37)</f>
        <v>0</v>
      </c>
      <c r="AS37" s="707">
        <f>SUM($X37:AH37)</f>
        <v>0</v>
      </c>
      <c r="AT37" s="707" t="str">
        <f t="shared" si="7"/>
        <v/>
      </c>
      <c r="AU37" s="707" t="str">
        <f t="shared" si="8"/>
        <v/>
      </c>
      <c r="AV37" s="707" t="str">
        <f t="shared" si="9"/>
        <v/>
      </c>
      <c r="AW37" s="707" t="str">
        <f t="shared" si="10"/>
        <v/>
      </c>
      <c r="AX37" s="707" t="str">
        <f t="shared" si="11"/>
        <v/>
      </c>
      <c r="AY37" s="707" t="str">
        <f t="shared" si="12"/>
        <v/>
      </c>
      <c r="AZ37" s="707" t="str">
        <f t="shared" si="13"/>
        <v/>
      </c>
      <c r="BA37" s="707" t="str">
        <f t="shared" si="14"/>
        <v/>
      </c>
      <c r="BB37" s="707" t="str">
        <f t="shared" si="15"/>
        <v/>
      </c>
      <c r="BC37" s="707" t="str">
        <f t="shared" si="16"/>
        <v/>
      </c>
      <c r="BD37" s="707" t="str">
        <f t="shared" si="17"/>
        <v/>
      </c>
    </row>
    <row r="38" spans="1:56" ht="69.95" customHeight="1" x14ac:dyDescent="0.25">
      <c r="A38" s="972">
        <f t="shared" si="6"/>
        <v>0</v>
      </c>
      <c r="B38" s="4"/>
      <c r="C38" s="101"/>
      <c r="D38" s="4186" t="str">
        <f t="shared" si="3"/>
        <v/>
      </c>
      <c r="E38" s="4186"/>
      <c r="F38" s="4071" t="str">
        <f>IF(dpSales_Adjustment_4="Construction Quality","S - Steel Frame","")</f>
        <v>S - Steel Frame</v>
      </c>
      <c r="G38" s="4208"/>
      <c r="H38" s="4211"/>
      <c r="I38" s="4211"/>
      <c r="J38" s="4211"/>
      <c r="K38" s="4211"/>
      <c r="L38" s="4072" t="str">
        <f t="shared" si="4"/>
        <v/>
      </c>
      <c r="M38" s="4194"/>
      <c r="N38" s="4191"/>
      <c r="O38" s="4191"/>
      <c r="P38" s="4073" t="str">
        <f>IFERROR(L38+M34,"")</f>
        <v/>
      </c>
      <c r="Q38" s="4070"/>
      <c r="R38" s="2086"/>
      <c r="S38" s="707"/>
      <c r="T38" s="707"/>
      <c r="U38" s="2089">
        <f t="shared" si="21"/>
        <v>0</v>
      </c>
      <c r="V38" s="2089" t="str">
        <f t="shared" si="22"/>
        <v/>
      </c>
      <c r="W38" s="2089"/>
      <c r="X38" s="2089">
        <f>IF(dpSales_Adjustment_4="Construction Quality",IF(AND(F38=Subject_ConstructionClass,G$34=Subject_ConstructionQuality),1,0),IF(AND(F38=Subject_InvestmentClass,G$34=Subject_ConstructionQuality),1,0))</f>
        <v>0</v>
      </c>
      <c r="Y38" s="2089">
        <f>IF(dpSales_Adjustment_4="Construction Quality",IF(OR(ISERROR(HLOOKUP(Y$8,'Improved Sales Adjustments'!$G$7:$ZO$147,77,FALSE)),ISERROR(HLOOKUP(Y$8,'Improved Sales Adjustments'!$G$7:$ZO$147,78,FALSE))),0,IF(HLOOKUP(Y$8,'Improved Sales Adjustments'!$G$7:$ZO$147,77,FALSE)="",0,IF(AND($G34=HLOOKUP(Y$8,'Improved Sales Adjustments'!$G$7:$ZO$147,77,FALSE),$F38=HLOOKUP(Y$8,'Improved Sales Adjustments'!$G$7:$ZO$147,78,FALSE)),1,0))),IF(OR(ISERROR(HLOOKUP(Y$8,'Improved Sales Adjustments'!$G$7:$ZO$147,77,FALSE)),ISERROR(HLOOKUP(Y$8,'Improved Sales Adjustments'!$G$7:$ZO$147,79,FALSE))),0,IF(HLOOKUP(Y$8,'Improved Sales Adjustments'!$G$7:$ZO$147,77,FALSE)="",0,IF(AND($G34=HLOOKUP(Y$8,'Improved Sales Adjustments'!$G$7:$ZO$147,77,FALSE),$F38=HLOOKUP(Y$8,'Improved Sales Adjustments'!$G$7:$ZO$147,79,FALSE)),1,0))))</f>
        <v>0</v>
      </c>
      <c r="Z38" s="2089">
        <f>IF(dpSales_Adjustment_4="Construction Quality",IF(OR(ISERROR(HLOOKUP(Z$8,'Improved Sales Adjustments'!$G$7:$ZO$147,77,FALSE)),ISERROR(HLOOKUP(Z$8,'Improved Sales Adjustments'!$G$7:$ZO$147,78,FALSE))),0,IF(HLOOKUP(Z$8,'Improved Sales Adjustments'!$G$7:$ZO$147,77,FALSE)="",0,IF(AND($G34=HLOOKUP(Z$8,'Improved Sales Adjustments'!$G$7:$ZO$147,77,FALSE),$F38=HLOOKUP(Z$8,'Improved Sales Adjustments'!$G$7:$ZO$147,78,FALSE)),1,0))),IF(OR(ISERROR(HLOOKUP(Z$8,'Improved Sales Adjustments'!$G$7:$ZO$147,77,FALSE)),ISERROR(HLOOKUP(Z$8,'Improved Sales Adjustments'!$G$7:$ZO$147,79,FALSE))),0,IF(HLOOKUP(Z$8,'Improved Sales Adjustments'!$G$7:$ZO$147,77,FALSE)="",0,IF(AND($G34=HLOOKUP(Z$8,'Improved Sales Adjustments'!$G$7:$ZO$147,77,FALSE),$F38=HLOOKUP(Z$8,'Improved Sales Adjustments'!$G$7:$ZO$147,79,FALSE)),1,0))))</f>
        <v>0</v>
      </c>
      <c r="AA38" s="2089">
        <f>IF(dpSales_Adjustment_4="Construction Quality",IF(OR(ISERROR(HLOOKUP(AA$8,'Improved Sales Adjustments'!$G$7:$ZO$147,77,FALSE)),ISERROR(HLOOKUP(AA$8,'Improved Sales Adjustments'!$G$7:$ZO$147,78,FALSE))),0,IF(HLOOKUP(AA$8,'Improved Sales Adjustments'!$G$7:$ZO$147,77,FALSE)="",0,IF(AND($G34=HLOOKUP(AA$8,'Improved Sales Adjustments'!$G$7:$ZO$147,77,FALSE),$F38=HLOOKUP(AA$8,'Improved Sales Adjustments'!$G$7:$ZO$147,78,FALSE)),1,0))),IF(OR(ISERROR(HLOOKUP(AA$8,'Improved Sales Adjustments'!$G$7:$ZO$147,77,FALSE)),ISERROR(HLOOKUP(AA$8,'Improved Sales Adjustments'!$G$7:$ZO$147,79,FALSE))),0,IF(HLOOKUP(AA$8,'Improved Sales Adjustments'!$G$7:$ZO$147,77,FALSE)="",0,IF(AND($G34=HLOOKUP(AA$8,'Improved Sales Adjustments'!$G$7:$ZO$147,77,FALSE),$F38=HLOOKUP(AA$8,'Improved Sales Adjustments'!$G$7:$ZO$147,79,FALSE)),1,0))))</f>
        <v>0</v>
      </c>
      <c r="AB38" s="2089">
        <f>IF(dpSales_Adjustment_4="Construction Quality",IF(OR(ISERROR(HLOOKUP(AB$8,'Improved Sales Adjustments'!$G$7:$ZO$147,77,FALSE)),ISERROR(HLOOKUP(AB$8,'Improved Sales Adjustments'!$G$7:$ZO$147,78,FALSE))),0,IF(HLOOKUP(AB$8,'Improved Sales Adjustments'!$G$7:$ZO$147,77,FALSE)="",0,IF(AND($G34=HLOOKUP(AB$8,'Improved Sales Adjustments'!$G$7:$ZO$147,77,FALSE),$F38=HLOOKUP(AB$8,'Improved Sales Adjustments'!$G$7:$ZO$147,78,FALSE)),1,0))),IF(OR(ISERROR(HLOOKUP(AB$8,'Improved Sales Adjustments'!$G$7:$ZO$147,77,FALSE)),ISERROR(HLOOKUP(AB$8,'Improved Sales Adjustments'!$G$7:$ZO$147,79,FALSE))),0,IF(HLOOKUP(AB$8,'Improved Sales Adjustments'!$G$7:$ZO$147,77,FALSE)="",0,IF(AND($G34=HLOOKUP(AB$8,'Improved Sales Adjustments'!$G$7:$ZO$147,77,FALSE),$F38=HLOOKUP(AB$8,'Improved Sales Adjustments'!$G$7:$ZO$147,79,FALSE)),1,0))))</f>
        <v>0</v>
      </c>
      <c r="AC38" s="2089">
        <f>IF(dpSales_Adjustment_4="Construction Quality",IF(OR(ISERROR(HLOOKUP(AC$8,'Improved Sales Adjustments'!$G$7:$ZO$147,77,FALSE)),ISERROR(HLOOKUP(AC$8,'Improved Sales Adjustments'!$G$7:$ZO$147,78,FALSE))),0,IF(HLOOKUP(AC$8,'Improved Sales Adjustments'!$G$7:$ZO$147,77,FALSE)="",0,IF(AND($G34=HLOOKUP(AC$8,'Improved Sales Adjustments'!$G$7:$ZO$147,77,FALSE),$F38=HLOOKUP(AC$8,'Improved Sales Adjustments'!$G$7:$ZO$147,78,FALSE)),1,0))),IF(OR(ISERROR(HLOOKUP(AC$8,'Improved Sales Adjustments'!$G$7:$ZO$147,77,FALSE)),ISERROR(HLOOKUP(AC$8,'Improved Sales Adjustments'!$G$7:$ZO$147,79,FALSE))),0,IF(HLOOKUP(AC$8,'Improved Sales Adjustments'!$G$7:$ZO$147,77,FALSE)="",0,IF(AND($G34=HLOOKUP(AC$8,'Improved Sales Adjustments'!$G$7:$ZO$147,77,FALSE),$F38=HLOOKUP(AC$8,'Improved Sales Adjustments'!$G$7:$ZO$147,79,FALSE)),1,0))))</f>
        <v>0</v>
      </c>
      <c r="AD38" s="2089">
        <f>IF(dpSales_Adjustment_4="Construction Quality",IF(OR(ISERROR(HLOOKUP(AD$8,'Improved Sales Adjustments'!$G$7:$ZO$147,77,FALSE)),ISERROR(HLOOKUP(AD$8,'Improved Sales Adjustments'!$G$7:$ZO$147,78,FALSE))),0,IF(HLOOKUP(AD$8,'Improved Sales Adjustments'!$G$7:$ZO$147,77,FALSE)="",0,IF(AND($G34=HLOOKUP(AD$8,'Improved Sales Adjustments'!$G$7:$ZO$147,77,FALSE),$F38=HLOOKUP(AD$8,'Improved Sales Adjustments'!$G$7:$ZO$147,78,FALSE)),1,0))),IF(OR(ISERROR(HLOOKUP(AD$8,'Improved Sales Adjustments'!$G$7:$ZO$147,77,FALSE)),ISERROR(HLOOKUP(AD$8,'Improved Sales Adjustments'!$G$7:$ZO$147,79,FALSE))),0,IF(HLOOKUP(AD$8,'Improved Sales Adjustments'!$G$7:$ZO$147,77,FALSE)="",0,IF(AND($G34=HLOOKUP(AD$8,'Improved Sales Adjustments'!$G$7:$ZO$147,77,FALSE),$F38=HLOOKUP(AD$8,'Improved Sales Adjustments'!$G$7:$ZO$147,79,FALSE)),1,0))))</f>
        <v>0</v>
      </c>
      <c r="AE38" s="2089">
        <f>IF(dpSales_Adjustment_4="Construction Quality",IF(OR(ISERROR(HLOOKUP(AE$8,'Improved Sales Adjustments'!$G$7:$ZO$147,77,FALSE)),ISERROR(HLOOKUP(AE$8,'Improved Sales Adjustments'!$G$7:$ZO$147,78,FALSE))),0,IF(HLOOKUP(AE$8,'Improved Sales Adjustments'!$G$7:$ZO$147,77,FALSE)="",0,IF(AND($G34=HLOOKUP(AE$8,'Improved Sales Adjustments'!$G$7:$ZO$147,77,FALSE),$F38=HLOOKUP(AE$8,'Improved Sales Adjustments'!$G$7:$ZO$147,78,FALSE)),1,0))),IF(OR(ISERROR(HLOOKUP(AE$8,'Improved Sales Adjustments'!$G$7:$ZO$147,77,FALSE)),ISERROR(HLOOKUP(AE$8,'Improved Sales Adjustments'!$G$7:$ZO$147,79,FALSE))),0,IF(HLOOKUP(AE$8,'Improved Sales Adjustments'!$G$7:$ZO$147,77,FALSE)="",0,IF(AND($G34=HLOOKUP(AE$8,'Improved Sales Adjustments'!$G$7:$ZO$147,77,FALSE),$F38=HLOOKUP(AE$8,'Improved Sales Adjustments'!$G$7:$ZO$147,79,FALSE)),1,0))))</f>
        <v>0</v>
      </c>
      <c r="AF38" s="2089">
        <f>IF(dpSales_Adjustment_4="Construction Quality",IF(OR(ISERROR(HLOOKUP(AF$8,'Improved Sales Adjustments'!$G$7:$ZO$147,77,FALSE)),ISERROR(HLOOKUP(AF$8,'Improved Sales Adjustments'!$G$7:$ZO$147,78,FALSE))),0,IF(HLOOKUP(AF$8,'Improved Sales Adjustments'!$G$7:$ZO$147,77,FALSE)="",0,IF(AND($G34=HLOOKUP(AF$8,'Improved Sales Adjustments'!$G$7:$ZO$147,77,FALSE),$F38=HLOOKUP(AF$8,'Improved Sales Adjustments'!$G$7:$ZO$147,78,FALSE)),1,0))),IF(OR(ISERROR(HLOOKUP(AF$8,'Improved Sales Adjustments'!$G$7:$ZO$147,77,FALSE)),ISERROR(HLOOKUP(AF$8,'Improved Sales Adjustments'!$G$7:$ZO$147,79,FALSE))),0,IF(HLOOKUP(AF$8,'Improved Sales Adjustments'!$G$7:$ZO$147,77,FALSE)="",0,IF(AND($G34=HLOOKUP(AF$8,'Improved Sales Adjustments'!$G$7:$ZO$147,77,FALSE),$F38=HLOOKUP(AF$8,'Improved Sales Adjustments'!$G$7:$ZO$147,79,FALSE)),1,0))))</f>
        <v>0</v>
      </c>
      <c r="AG38" s="2089">
        <f>IF(dpSales_Adjustment_4="Construction Quality",IF(OR(ISERROR(HLOOKUP(AG$8,'Improved Sales Adjustments'!$G$7:$ZO$147,77,FALSE)),ISERROR(HLOOKUP(AG$8,'Improved Sales Adjustments'!$G$7:$ZO$147,78,FALSE))),0,IF(HLOOKUP(AG$8,'Improved Sales Adjustments'!$G$7:$ZO$147,77,FALSE)="",0,IF(AND($G34=HLOOKUP(AG$8,'Improved Sales Adjustments'!$G$7:$ZO$147,77,FALSE),$F38=HLOOKUP(AG$8,'Improved Sales Adjustments'!$G$7:$ZO$147,78,FALSE)),1,0))),IF(OR(ISERROR(HLOOKUP(AG$8,'Improved Sales Adjustments'!$G$7:$ZO$147,77,FALSE)),ISERROR(HLOOKUP(AG$8,'Improved Sales Adjustments'!$G$7:$ZO$147,79,FALSE))),0,IF(HLOOKUP(AG$8,'Improved Sales Adjustments'!$G$7:$ZO$147,77,FALSE)="",0,IF(AND($G34=HLOOKUP(AG$8,'Improved Sales Adjustments'!$G$7:$ZO$147,77,FALSE),$F38=HLOOKUP(AG$8,'Improved Sales Adjustments'!$G$7:$ZO$147,79,FALSE)),1,0))))</f>
        <v>0</v>
      </c>
      <c r="AH38" s="2089">
        <f>IF(dpSales_Adjustment_4="Construction Quality",IF(OR(ISERROR(HLOOKUP(AH$8,'Improved Sales Adjustments'!$G$7:$ZO$147,77,FALSE)),ISERROR(HLOOKUP(AH$8,'Improved Sales Adjustments'!$G$7:$ZO$147,78,FALSE))),0,IF(HLOOKUP(AH$8,'Improved Sales Adjustments'!$G$7:$ZO$147,77,FALSE)="",0,IF(AND($G34=HLOOKUP(AH$8,'Improved Sales Adjustments'!$G$7:$ZO$147,77,FALSE),$F38=HLOOKUP(AH$8,'Improved Sales Adjustments'!$G$7:$ZO$147,78,FALSE)),1,0))),IF(OR(ISERROR(HLOOKUP(AH$8,'Improved Sales Adjustments'!$G$7:$ZO$147,77,FALSE)),ISERROR(HLOOKUP(AH$8,'Improved Sales Adjustments'!$G$7:$ZO$147,79,FALSE))),0,IF(HLOOKUP(AH$8,'Improved Sales Adjustments'!$G$7:$ZO$147,77,FALSE)="",0,IF(AND($G34=HLOOKUP(AH$8,'Improved Sales Adjustments'!$G$7:$ZO$147,77,FALSE),$F38=HLOOKUP(AH$8,'Improved Sales Adjustments'!$G$7:$ZO$147,79,FALSE)),1,0))))</f>
        <v>0</v>
      </c>
      <c r="AI38" s="2089">
        <f>SUM(X38:$X38)</f>
        <v>0</v>
      </c>
      <c r="AJ38" s="2089">
        <f>SUM($X38:Y38)</f>
        <v>0</v>
      </c>
      <c r="AK38" s="2089">
        <f>SUM($X38:Z38)</f>
        <v>0</v>
      </c>
      <c r="AL38" s="2089">
        <f>SUM($X38:AA38)</f>
        <v>0</v>
      </c>
      <c r="AM38" s="2089">
        <f>SUM($X38:AB38)</f>
        <v>0</v>
      </c>
      <c r="AN38" s="2089">
        <f>SUM($X38:AC38)</f>
        <v>0</v>
      </c>
      <c r="AO38" s="2089">
        <f>SUM($X38:AD38)</f>
        <v>0</v>
      </c>
      <c r="AP38" s="2089">
        <f>SUM($X38:AE38)</f>
        <v>0</v>
      </c>
      <c r="AQ38" s="2089">
        <f>SUM($X38:AF38)</f>
        <v>0</v>
      </c>
      <c r="AR38" s="2089">
        <f>SUM($X38:AG38)</f>
        <v>0</v>
      </c>
      <c r="AS38" s="2089">
        <f>SUM($X38:AH38)</f>
        <v>0</v>
      </c>
      <c r="AT38" s="2089" t="str">
        <f t="shared" si="7"/>
        <v/>
      </c>
      <c r="AU38" s="2089" t="str">
        <f t="shared" si="8"/>
        <v/>
      </c>
      <c r="AV38" s="2089" t="str">
        <f t="shared" si="9"/>
        <v/>
      </c>
      <c r="AW38" s="2089" t="str">
        <f t="shared" si="10"/>
        <v/>
      </c>
      <c r="AX38" s="2089" t="str">
        <f t="shared" si="11"/>
        <v/>
      </c>
      <c r="AY38" s="2089" t="str">
        <f t="shared" si="12"/>
        <v/>
      </c>
      <c r="AZ38" s="2089" t="str">
        <f t="shared" si="13"/>
        <v/>
      </c>
      <c r="BA38" s="2089" t="str">
        <f t="shared" si="14"/>
        <v/>
      </c>
      <c r="BB38" s="2089" t="str">
        <f t="shared" si="15"/>
        <v/>
      </c>
      <c r="BC38" s="2089" t="str">
        <f t="shared" si="16"/>
        <v/>
      </c>
      <c r="BD38" s="2089" t="str">
        <f t="shared" si="17"/>
        <v/>
      </c>
    </row>
    <row r="39" spans="1:56" ht="69.95" customHeight="1" x14ac:dyDescent="0.25">
      <c r="A39" s="972">
        <f t="shared" si="6"/>
        <v>0</v>
      </c>
      <c r="B39" s="563"/>
      <c r="C39" s="114"/>
      <c r="D39" s="4185" t="str">
        <f t="shared" si="3"/>
        <v/>
      </c>
      <c r="E39" s="4185"/>
      <c r="F39" s="4067" t="str">
        <f>IF(dpSales_Adjustment_4="Construction Quality","A - Structural Steel","A")</f>
        <v>A - Structural Steel</v>
      </c>
      <c r="G39" s="4212" t="s">
        <v>1455</v>
      </c>
      <c r="H39" s="4198" t="s">
        <v>1843</v>
      </c>
      <c r="I39" s="4198"/>
      <c r="J39" s="4198"/>
      <c r="K39" s="4198"/>
      <c r="L39" s="4068" t="str">
        <f t="shared" si="4"/>
        <v/>
      </c>
      <c r="M39" s="4193">
        <f>dpSales_Quality_RatingAdj*W39</f>
        <v>-0.1</v>
      </c>
      <c r="N39" s="4190" t="s">
        <v>177</v>
      </c>
      <c r="O39" s="4190"/>
      <c r="P39" s="4069" t="str">
        <f>IFERROR(L39+M39,"")</f>
        <v/>
      </c>
      <c r="Q39" s="4070"/>
      <c r="R39" s="2086"/>
      <c r="S39" s="707"/>
      <c r="T39" s="707"/>
      <c r="U39" s="707">
        <f t="shared" si="21"/>
        <v>0</v>
      </c>
      <c r="V39" s="707" t="str">
        <f t="shared" si="22"/>
        <v/>
      </c>
      <c r="W39" s="707">
        <f>IF(SUM(X39:X43)=1,0,IF(SUM(X$9:X39)=0,W44-1,W34+1))</f>
        <v>-1</v>
      </c>
      <c r="X39" s="2101">
        <f>IF(dpSales_Adjustment_4="Construction Quality",IF(AND(F39=Subject_ConstructionClass,G$39=Subject_ConstructionQuality),1,0),IF(AND(F39=Subject_InvestmentClass,G$39=Subject_ConstructionQuality),1,0))</f>
        <v>0</v>
      </c>
      <c r="Y39" s="707">
        <f>IF(dpSales_Adjustment_4="Construction Quality",IF(OR(ISERROR(HLOOKUP(Y$8,'Improved Sales Adjustments'!$G$7:$ZO$147,77,FALSE)),ISERROR(HLOOKUP(Y$8,'Improved Sales Adjustments'!$G$7:$ZO$147,78,FALSE))),0,IF(HLOOKUP(Y$8,'Improved Sales Adjustments'!$G$7:$ZO$147,77,FALSE)="",0,IF(AND($G39=HLOOKUP(Y$8,'Improved Sales Adjustments'!$G$7:$ZO$147,77,FALSE),$F39=HLOOKUP(Y$8,'Improved Sales Adjustments'!$G$7:$ZO$147,78,FALSE)),1,0))),IF(OR(ISERROR(HLOOKUP(Y$8,'Improved Sales Adjustments'!$G$7:$ZO$147,77,FALSE)),ISERROR(HLOOKUP(Y$8,'Improved Sales Adjustments'!$G$7:$ZO$147,79,FALSE))),0,IF(HLOOKUP(Y$8,'Improved Sales Adjustments'!$G$7:$ZO$147,77,FALSE)="",0,IF(AND($G39=HLOOKUP(Y$8,'Improved Sales Adjustments'!$G$7:$ZO$147,77,FALSE),$F39=HLOOKUP(Y$8,'Improved Sales Adjustments'!$G$7:$ZO$147,79,FALSE)),1,0))))</f>
        <v>0</v>
      </c>
      <c r="Z39" s="707">
        <f>IF(dpSales_Adjustment_4="Construction Quality",IF(OR(ISERROR(HLOOKUP(Z$8,'Improved Sales Adjustments'!$G$7:$ZO$147,77,FALSE)),ISERROR(HLOOKUP(Z$8,'Improved Sales Adjustments'!$G$7:$ZO$147,78,FALSE))),0,IF(HLOOKUP(Z$8,'Improved Sales Adjustments'!$G$7:$ZO$147,77,FALSE)="",0,IF(AND($G39=HLOOKUP(Z$8,'Improved Sales Adjustments'!$G$7:$ZO$147,77,FALSE),$F39=HLOOKUP(Z$8,'Improved Sales Adjustments'!$G$7:$ZO$147,78,FALSE)),1,0))),IF(OR(ISERROR(HLOOKUP(Z$8,'Improved Sales Adjustments'!$G$7:$ZO$147,77,FALSE)),ISERROR(HLOOKUP(Z$8,'Improved Sales Adjustments'!$G$7:$ZO$147,79,FALSE))),0,IF(HLOOKUP(Z$8,'Improved Sales Adjustments'!$G$7:$ZO$147,77,FALSE)="",0,IF(AND($G39=HLOOKUP(Z$8,'Improved Sales Adjustments'!$G$7:$ZO$147,77,FALSE),$F39=HLOOKUP(Z$8,'Improved Sales Adjustments'!$G$7:$ZO$147,79,FALSE)),1,0))))</f>
        <v>0</v>
      </c>
      <c r="AA39" s="707">
        <f>IF(dpSales_Adjustment_4="Construction Quality",IF(OR(ISERROR(HLOOKUP(AA$8,'Improved Sales Adjustments'!$G$7:$ZO$147,77,FALSE)),ISERROR(HLOOKUP(AA$8,'Improved Sales Adjustments'!$G$7:$ZO$147,78,FALSE))),0,IF(HLOOKUP(AA$8,'Improved Sales Adjustments'!$G$7:$ZO$147,77,FALSE)="",0,IF(AND($G39=HLOOKUP(AA$8,'Improved Sales Adjustments'!$G$7:$ZO$147,77,FALSE),$F39=HLOOKUP(AA$8,'Improved Sales Adjustments'!$G$7:$ZO$147,78,FALSE)),1,0))),IF(OR(ISERROR(HLOOKUP(AA$8,'Improved Sales Adjustments'!$G$7:$ZO$147,77,FALSE)),ISERROR(HLOOKUP(AA$8,'Improved Sales Adjustments'!$G$7:$ZO$147,79,FALSE))),0,IF(HLOOKUP(AA$8,'Improved Sales Adjustments'!$G$7:$ZO$147,77,FALSE)="",0,IF(AND($G39=HLOOKUP(AA$8,'Improved Sales Adjustments'!$G$7:$ZO$147,77,FALSE),$F39=HLOOKUP(AA$8,'Improved Sales Adjustments'!$G$7:$ZO$147,79,FALSE)),1,0))))</f>
        <v>0</v>
      </c>
      <c r="AB39" s="707">
        <f>IF(dpSales_Adjustment_4="Construction Quality",IF(OR(ISERROR(HLOOKUP(AB$8,'Improved Sales Adjustments'!$G$7:$ZO$147,77,FALSE)),ISERROR(HLOOKUP(AB$8,'Improved Sales Adjustments'!$G$7:$ZO$147,78,FALSE))),0,IF(HLOOKUP(AB$8,'Improved Sales Adjustments'!$G$7:$ZO$147,77,FALSE)="",0,IF(AND($G39=HLOOKUP(AB$8,'Improved Sales Adjustments'!$G$7:$ZO$147,77,FALSE),$F39=HLOOKUP(AB$8,'Improved Sales Adjustments'!$G$7:$ZO$147,78,FALSE)),1,0))),IF(OR(ISERROR(HLOOKUP(AB$8,'Improved Sales Adjustments'!$G$7:$ZO$147,77,FALSE)),ISERROR(HLOOKUP(AB$8,'Improved Sales Adjustments'!$G$7:$ZO$147,79,FALSE))),0,IF(HLOOKUP(AB$8,'Improved Sales Adjustments'!$G$7:$ZO$147,77,FALSE)="",0,IF(AND($G39=HLOOKUP(AB$8,'Improved Sales Adjustments'!$G$7:$ZO$147,77,FALSE),$F39=HLOOKUP(AB$8,'Improved Sales Adjustments'!$G$7:$ZO$147,79,FALSE)),1,0))))</f>
        <v>0</v>
      </c>
      <c r="AC39" s="707">
        <f>IF(dpSales_Adjustment_4="Construction Quality",IF(OR(ISERROR(HLOOKUP(AC$8,'Improved Sales Adjustments'!$G$7:$ZO$147,77,FALSE)),ISERROR(HLOOKUP(AC$8,'Improved Sales Adjustments'!$G$7:$ZO$147,78,FALSE))),0,IF(HLOOKUP(AC$8,'Improved Sales Adjustments'!$G$7:$ZO$147,77,FALSE)="",0,IF(AND($G39=HLOOKUP(AC$8,'Improved Sales Adjustments'!$G$7:$ZO$147,77,FALSE),$F39=HLOOKUP(AC$8,'Improved Sales Adjustments'!$G$7:$ZO$147,78,FALSE)),1,0))),IF(OR(ISERROR(HLOOKUP(AC$8,'Improved Sales Adjustments'!$G$7:$ZO$147,77,FALSE)),ISERROR(HLOOKUP(AC$8,'Improved Sales Adjustments'!$G$7:$ZO$147,79,FALSE))),0,IF(HLOOKUP(AC$8,'Improved Sales Adjustments'!$G$7:$ZO$147,77,FALSE)="",0,IF(AND($G39=HLOOKUP(AC$8,'Improved Sales Adjustments'!$G$7:$ZO$147,77,FALSE),$F39=HLOOKUP(AC$8,'Improved Sales Adjustments'!$G$7:$ZO$147,79,FALSE)),1,0))))</f>
        <v>0</v>
      </c>
      <c r="AD39" s="707">
        <f>IF(dpSales_Adjustment_4="Construction Quality",IF(OR(ISERROR(HLOOKUP(AD$8,'Improved Sales Adjustments'!$G$7:$ZO$147,77,FALSE)),ISERROR(HLOOKUP(AD$8,'Improved Sales Adjustments'!$G$7:$ZO$147,78,FALSE))),0,IF(HLOOKUP(AD$8,'Improved Sales Adjustments'!$G$7:$ZO$147,77,FALSE)="",0,IF(AND($G39=HLOOKUP(AD$8,'Improved Sales Adjustments'!$G$7:$ZO$147,77,FALSE),$F39=HLOOKUP(AD$8,'Improved Sales Adjustments'!$G$7:$ZO$147,78,FALSE)),1,0))),IF(OR(ISERROR(HLOOKUP(AD$8,'Improved Sales Adjustments'!$G$7:$ZO$147,77,FALSE)),ISERROR(HLOOKUP(AD$8,'Improved Sales Adjustments'!$G$7:$ZO$147,79,FALSE))),0,IF(HLOOKUP(AD$8,'Improved Sales Adjustments'!$G$7:$ZO$147,77,FALSE)="",0,IF(AND($G39=HLOOKUP(AD$8,'Improved Sales Adjustments'!$G$7:$ZO$147,77,FALSE),$F39=HLOOKUP(AD$8,'Improved Sales Adjustments'!$G$7:$ZO$147,79,FALSE)),1,0))))</f>
        <v>0</v>
      </c>
      <c r="AE39" s="707">
        <f>IF(dpSales_Adjustment_4="Construction Quality",IF(OR(ISERROR(HLOOKUP(AE$8,'Improved Sales Adjustments'!$G$7:$ZO$147,77,FALSE)),ISERROR(HLOOKUP(AE$8,'Improved Sales Adjustments'!$G$7:$ZO$147,78,FALSE))),0,IF(HLOOKUP(AE$8,'Improved Sales Adjustments'!$G$7:$ZO$147,77,FALSE)="",0,IF(AND($G39=HLOOKUP(AE$8,'Improved Sales Adjustments'!$G$7:$ZO$147,77,FALSE),$F39=HLOOKUP(AE$8,'Improved Sales Adjustments'!$G$7:$ZO$147,78,FALSE)),1,0))),IF(OR(ISERROR(HLOOKUP(AE$8,'Improved Sales Adjustments'!$G$7:$ZO$147,77,FALSE)),ISERROR(HLOOKUP(AE$8,'Improved Sales Adjustments'!$G$7:$ZO$147,79,FALSE))),0,IF(HLOOKUP(AE$8,'Improved Sales Adjustments'!$G$7:$ZO$147,77,FALSE)="",0,IF(AND($G39=HLOOKUP(AE$8,'Improved Sales Adjustments'!$G$7:$ZO$147,77,FALSE),$F39=HLOOKUP(AE$8,'Improved Sales Adjustments'!$G$7:$ZO$147,79,FALSE)),1,0))))</f>
        <v>0</v>
      </c>
      <c r="AF39" s="707">
        <f>IF(dpSales_Adjustment_4="Construction Quality",IF(OR(ISERROR(HLOOKUP(AF$8,'Improved Sales Adjustments'!$G$7:$ZO$147,77,FALSE)),ISERROR(HLOOKUP(AF$8,'Improved Sales Adjustments'!$G$7:$ZO$147,78,FALSE))),0,IF(HLOOKUP(AF$8,'Improved Sales Adjustments'!$G$7:$ZO$147,77,FALSE)="",0,IF(AND($G39=HLOOKUP(AF$8,'Improved Sales Adjustments'!$G$7:$ZO$147,77,FALSE),$F39=HLOOKUP(AF$8,'Improved Sales Adjustments'!$G$7:$ZO$147,78,FALSE)),1,0))),IF(OR(ISERROR(HLOOKUP(AF$8,'Improved Sales Adjustments'!$G$7:$ZO$147,77,FALSE)),ISERROR(HLOOKUP(AF$8,'Improved Sales Adjustments'!$G$7:$ZO$147,79,FALSE))),0,IF(HLOOKUP(AF$8,'Improved Sales Adjustments'!$G$7:$ZO$147,77,FALSE)="",0,IF(AND($G39=HLOOKUP(AF$8,'Improved Sales Adjustments'!$G$7:$ZO$147,77,FALSE),$F39=HLOOKUP(AF$8,'Improved Sales Adjustments'!$G$7:$ZO$147,79,FALSE)),1,0))))</f>
        <v>0</v>
      </c>
      <c r="AG39" s="707">
        <f>IF(dpSales_Adjustment_4="Construction Quality",IF(OR(ISERROR(HLOOKUP(AG$8,'Improved Sales Adjustments'!$G$7:$ZO$147,77,FALSE)),ISERROR(HLOOKUP(AG$8,'Improved Sales Adjustments'!$G$7:$ZO$147,78,FALSE))),0,IF(HLOOKUP(AG$8,'Improved Sales Adjustments'!$G$7:$ZO$147,77,FALSE)="",0,IF(AND($G39=HLOOKUP(AG$8,'Improved Sales Adjustments'!$G$7:$ZO$147,77,FALSE),$F39=HLOOKUP(AG$8,'Improved Sales Adjustments'!$G$7:$ZO$147,78,FALSE)),1,0))),IF(OR(ISERROR(HLOOKUP(AG$8,'Improved Sales Adjustments'!$G$7:$ZO$147,77,FALSE)),ISERROR(HLOOKUP(AG$8,'Improved Sales Adjustments'!$G$7:$ZO$147,79,FALSE))),0,IF(HLOOKUP(AG$8,'Improved Sales Adjustments'!$G$7:$ZO$147,77,FALSE)="",0,IF(AND($G39=HLOOKUP(AG$8,'Improved Sales Adjustments'!$G$7:$ZO$147,77,FALSE),$F39=HLOOKUP(AG$8,'Improved Sales Adjustments'!$G$7:$ZO$147,79,FALSE)),1,0))))</f>
        <v>0</v>
      </c>
      <c r="AH39" s="707">
        <f>IF(dpSales_Adjustment_4="Construction Quality",IF(OR(ISERROR(HLOOKUP(AH$8,'Improved Sales Adjustments'!$G$7:$ZO$147,77,FALSE)),ISERROR(HLOOKUP(AH$8,'Improved Sales Adjustments'!$G$7:$ZO$147,78,FALSE))),0,IF(HLOOKUP(AH$8,'Improved Sales Adjustments'!$G$7:$ZO$147,77,FALSE)="",0,IF(AND($G39=HLOOKUP(AH$8,'Improved Sales Adjustments'!$G$7:$ZO$147,77,FALSE),$F39=HLOOKUP(AH$8,'Improved Sales Adjustments'!$G$7:$ZO$147,78,FALSE)),1,0))),IF(OR(ISERROR(HLOOKUP(AH$8,'Improved Sales Adjustments'!$G$7:$ZO$147,77,FALSE)),ISERROR(HLOOKUP(AH$8,'Improved Sales Adjustments'!$G$7:$ZO$147,79,FALSE))),0,IF(HLOOKUP(AH$8,'Improved Sales Adjustments'!$G$7:$ZO$147,77,FALSE)="",0,IF(AND($G39=HLOOKUP(AH$8,'Improved Sales Adjustments'!$G$7:$ZO$147,77,FALSE),$F39=HLOOKUP(AH$8,'Improved Sales Adjustments'!$G$7:$ZO$147,79,FALSE)),1,0))))</f>
        <v>0</v>
      </c>
      <c r="AI39" s="707">
        <f>SUM(X39:$X39)</f>
        <v>0</v>
      </c>
      <c r="AJ39" s="707">
        <f>SUM($X39:Y39)</f>
        <v>0</v>
      </c>
      <c r="AK39" s="707">
        <f>SUM($X39:Z39)</f>
        <v>0</v>
      </c>
      <c r="AL39" s="707">
        <f>SUM($X39:AA39)</f>
        <v>0</v>
      </c>
      <c r="AM39" s="707">
        <f>SUM($X39:AB39)</f>
        <v>0</v>
      </c>
      <c r="AN39" s="707">
        <f>SUM($X39:AC39)</f>
        <v>0</v>
      </c>
      <c r="AO39" s="707">
        <f>SUM($X39:AD39)</f>
        <v>0</v>
      </c>
      <c r="AP39" s="707">
        <f>SUM($X39:AE39)</f>
        <v>0</v>
      </c>
      <c r="AQ39" s="707">
        <f>SUM($X39:AF39)</f>
        <v>0</v>
      </c>
      <c r="AR39" s="707">
        <f>SUM($X39:AG39)</f>
        <v>0</v>
      </c>
      <c r="AS39" s="707">
        <f>SUM($X39:AH39)</f>
        <v>0</v>
      </c>
      <c r="AT39" s="707" t="str">
        <f t="shared" si="7"/>
        <v/>
      </c>
      <c r="AU39" s="707" t="str">
        <f t="shared" si="8"/>
        <v/>
      </c>
      <c r="AV39" s="707" t="str">
        <f t="shared" si="9"/>
        <v/>
      </c>
      <c r="AW39" s="707" t="str">
        <f t="shared" si="10"/>
        <v/>
      </c>
      <c r="AX39" s="707" t="str">
        <f t="shared" si="11"/>
        <v/>
      </c>
      <c r="AY39" s="707" t="str">
        <f t="shared" si="12"/>
        <v/>
      </c>
      <c r="AZ39" s="707" t="str">
        <f t="shared" si="13"/>
        <v/>
      </c>
      <c r="BA39" s="707" t="str">
        <f t="shared" si="14"/>
        <v/>
      </c>
      <c r="BB39" s="707" t="str">
        <f t="shared" si="15"/>
        <v/>
      </c>
      <c r="BC39" s="707" t="str">
        <f t="shared" si="16"/>
        <v/>
      </c>
      <c r="BD39" s="707" t="str">
        <f t="shared" si="17"/>
        <v/>
      </c>
    </row>
    <row r="40" spans="1:56" ht="69.95" customHeight="1" x14ac:dyDescent="0.25">
      <c r="A40" s="972">
        <f t="shared" si="6"/>
        <v>0</v>
      </c>
      <c r="B40" s="563"/>
      <c r="C40" s="114"/>
      <c r="D40" s="4185" t="str">
        <f t="shared" si="3"/>
        <v/>
      </c>
      <c r="E40" s="4185"/>
      <c r="F40" s="4067" t="str">
        <f>IF(dpSales_Adjustment_4="Construction Quality","B - Reinforced Concrete","B")</f>
        <v>B - Reinforced Concrete</v>
      </c>
      <c r="G40" s="4212"/>
      <c r="H40" s="4198"/>
      <c r="I40" s="4198"/>
      <c r="J40" s="4198"/>
      <c r="K40" s="4198"/>
      <c r="L40" s="4068" t="str">
        <f t="shared" si="4"/>
        <v/>
      </c>
      <c r="M40" s="4194"/>
      <c r="N40" s="4190"/>
      <c r="O40" s="4190"/>
      <c r="P40" s="4069" t="str">
        <f>IFERROR(L40+M39,"")</f>
        <v/>
      </c>
      <c r="Q40" s="4070"/>
      <c r="R40" s="2086"/>
      <c r="S40" s="707"/>
      <c r="T40" s="707"/>
      <c r="U40" s="707">
        <f t="shared" si="21"/>
        <v>0</v>
      </c>
      <c r="V40" s="707" t="str">
        <f t="shared" si="22"/>
        <v/>
      </c>
      <c r="W40" s="707"/>
      <c r="X40" s="707">
        <f>IF(dpSales_Adjustment_4="Construction Quality",IF(AND(F40=Subject_ConstructionClass,G$39=Subject_ConstructionQuality),1,0),IF(AND(F40=Subject_InvestmentClass,G$39=Subject_ConstructionQuality),1,0))</f>
        <v>0</v>
      </c>
      <c r="Y40" s="707">
        <f>IF(dpSales_Adjustment_4="Construction Quality",IF(OR(ISERROR(HLOOKUP(Y$8,'Improved Sales Adjustments'!$G$7:$ZO$147,77,FALSE)),ISERROR(HLOOKUP(Y$8,'Improved Sales Adjustments'!$G$7:$ZO$147,78,FALSE))),0,IF(HLOOKUP(Y$8,'Improved Sales Adjustments'!$G$7:$ZO$147,77,FALSE)="",0,IF(AND($G39=HLOOKUP(Y$8,'Improved Sales Adjustments'!$G$7:$ZO$147,77,FALSE),$F40=HLOOKUP(Y$8,'Improved Sales Adjustments'!$G$7:$ZO$147,78,FALSE)),1,0))),IF(OR(ISERROR(HLOOKUP(Y$8,'Improved Sales Adjustments'!$G$7:$ZO$147,77,FALSE)),ISERROR(HLOOKUP(Y$8,'Improved Sales Adjustments'!$G$7:$ZO$147,79,FALSE))),0,IF(HLOOKUP(Y$8,'Improved Sales Adjustments'!$G$7:$ZO$147,77,FALSE)="",0,IF(AND($G39=HLOOKUP(Y$8,'Improved Sales Adjustments'!$G$7:$ZO$147,77,FALSE),$F40=HLOOKUP(Y$8,'Improved Sales Adjustments'!$G$7:$ZO$147,79,FALSE)),1,0))))</f>
        <v>0</v>
      </c>
      <c r="Z40" s="707">
        <f>IF(dpSales_Adjustment_4="Construction Quality",IF(OR(ISERROR(HLOOKUP(Z$8,'Improved Sales Adjustments'!$G$7:$ZO$147,77,FALSE)),ISERROR(HLOOKUP(Z$8,'Improved Sales Adjustments'!$G$7:$ZO$147,78,FALSE))),0,IF(HLOOKUP(Z$8,'Improved Sales Adjustments'!$G$7:$ZO$147,77,FALSE)="",0,IF(AND($G39=HLOOKUP(Z$8,'Improved Sales Adjustments'!$G$7:$ZO$147,77,FALSE),$F40=HLOOKUP(Z$8,'Improved Sales Adjustments'!$G$7:$ZO$147,78,FALSE)),1,0))),IF(OR(ISERROR(HLOOKUP(Z$8,'Improved Sales Adjustments'!$G$7:$ZO$147,77,FALSE)),ISERROR(HLOOKUP(Z$8,'Improved Sales Adjustments'!$G$7:$ZO$147,79,FALSE))),0,IF(HLOOKUP(Z$8,'Improved Sales Adjustments'!$G$7:$ZO$147,77,FALSE)="",0,IF(AND($G39=HLOOKUP(Z$8,'Improved Sales Adjustments'!$G$7:$ZO$147,77,FALSE),$F40=HLOOKUP(Z$8,'Improved Sales Adjustments'!$G$7:$ZO$147,79,FALSE)),1,0))))</f>
        <v>0</v>
      </c>
      <c r="AA40" s="707">
        <f>IF(dpSales_Adjustment_4="Construction Quality",IF(OR(ISERROR(HLOOKUP(AA$8,'Improved Sales Adjustments'!$G$7:$ZO$147,77,FALSE)),ISERROR(HLOOKUP(AA$8,'Improved Sales Adjustments'!$G$7:$ZO$147,78,FALSE))),0,IF(HLOOKUP(AA$8,'Improved Sales Adjustments'!$G$7:$ZO$147,77,FALSE)="",0,IF(AND($G39=HLOOKUP(AA$8,'Improved Sales Adjustments'!$G$7:$ZO$147,77,FALSE),$F40=HLOOKUP(AA$8,'Improved Sales Adjustments'!$G$7:$ZO$147,78,FALSE)),1,0))),IF(OR(ISERROR(HLOOKUP(AA$8,'Improved Sales Adjustments'!$G$7:$ZO$147,77,FALSE)),ISERROR(HLOOKUP(AA$8,'Improved Sales Adjustments'!$G$7:$ZO$147,79,FALSE))),0,IF(HLOOKUP(AA$8,'Improved Sales Adjustments'!$G$7:$ZO$147,77,FALSE)="",0,IF(AND($G39=HLOOKUP(AA$8,'Improved Sales Adjustments'!$G$7:$ZO$147,77,FALSE),$F40=HLOOKUP(AA$8,'Improved Sales Adjustments'!$G$7:$ZO$147,79,FALSE)),1,0))))</f>
        <v>0</v>
      </c>
      <c r="AB40" s="707">
        <f>IF(dpSales_Adjustment_4="Construction Quality",IF(OR(ISERROR(HLOOKUP(AB$8,'Improved Sales Adjustments'!$G$7:$ZO$147,77,FALSE)),ISERROR(HLOOKUP(AB$8,'Improved Sales Adjustments'!$G$7:$ZO$147,78,FALSE))),0,IF(HLOOKUP(AB$8,'Improved Sales Adjustments'!$G$7:$ZO$147,77,FALSE)="",0,IF(AND($G39=HLOOKUP(AB$8,'Improved Sales Adjustments'!$G$7:$ZO$147,77,FALSE),$F40=HLOOKUP(AB$8,'Improved Sales Adjustments'!$G$7:$ZO$147,78,FALSE)),1,0))),IF(OR(ISERROR(HLOOKUP(AB$8,'Improved Sales Adjustments'!$G$7:$ZO$147,77,FALSE)),ISERROR(HLOOKUP(AB$8,'Improved Sales Adjustments'!$G$7:$ZO$147,79,FALSE))),0,IF(HLOOKUP(AB$8,'Improved Sales Adjustments'!$G$7:$ZO$147,77,FALSE)="",0,IF(AND($G39=HLOOKUP(AB$8,'Improved Sales Adjustments'!$G$7:$ZO$147,77,FALSE),$F40=HLOOKUP(AB$8,'Improved Sales Adjustments'!$G$7:$ZO$147,79,FALSE)),1,0))))</f>
        <v>0</v>
      </c>
      <c r="AC40" s="707">
        <f>IF(dpSales_Adjustment_4="Construction Quality",IF(OR(ISERROR(HLOOKUP(AC$8,'Improved Sales Adjustments'!$G$7:$ZO$147,77,FALSE)),ISERROR(HLOOKUP(AC$8,'Improved Sales Adjustments'!$G$7:$ZO$147,78,FALSE))),0,IF(HLOOKUP(AC$8,'Improved Sales Adjustments'!$G$7:$ZO$147,77,FALSE)="",0,IF(AND($G39=HLOOKUP(AC$8,'Improved Sales Adjustments'!$G$7:$ZO$147,77,FALSE),$F40=HLOOKUP(AC$8,'Improved Sales Adjustments'!$G$7:$ZO$147,78,FALSE)),1,0))),IF(OR(ISERROR(HLOOKUP(AC$8,'Improved Sales Adjustments'!$G$7:$ZO$147,77,FALSE)),ISERROR(HLOOKUP(AC$8,'Improved Sales Adjustments'!$G$7:$ZO$147,79,FALSE))),0,IF(HLOOKUP(AC$8,'Improved Sales Adjustments'!$G$7:$ZO$147,77,FALSE)="",0,IF(AND($G39=HLOOKUP(AC$8,'Improved Sales Adjustments'!$G$7:$ZO$147,77,FALSE),$F40=HLOOKUP(AC$8,'Improved Sales Adjustments'!$G$7:$ZO$147,79,FALSE)),1,0))))</f>
        <v>0</v>
      </c>
      <c r="AD40" s="707">
        <f>IF(dpSales_Adjustment_4="Construction Quality",IF(OR(ISERROR(HLOOKUP(AD$8,'Improved Sales Adjustments'!$G$7:$ZO$147,77,FALSE)),ISERROR(HLOOKUP(AD$8,'Improved Sales Adjustments'!$G$7:$ZO$147,78,FALSE))),0,IF(HLOOKUP(AD$8,'Improved Sales Adjustments'!$G$7:$ZO$147,77,FALSE)="",0,IF(AND($G39=HLOOKUP(AD$8,'Improved Sales Adjustments'!$G$7:$ZO$147,77,FALSE),$F40=HLOOKUP(AD$8,'Improved Sales Adjustments'!$G$7:$ZO$147,78,FALSE)),1,0))),IF(OR(ISERROR(HLOOKUP(AD$8,'Improved Sales Adjustments'!$G$7:$ZO$147,77,FALSE)),ISERROR(HLOOKUP(AD$8,'Improved Sales Adjustments'!$G$7:$ZO$147,79,FALSE))),0,IF(HLOOKUP(AD$8,'Improved Sales Adjustments'!$G$7:$ZO$147,77,FALSE)="",0,IF(AND($G39=HLOOKUP(AD$8,'Improved Sales Adjustments'!$G$7:$ZO$147,77,FALSE),$F40=HLOOKUP(AD$8,'Improved Sales Adjustments'!$G$7:$ZO$147,79,FALSE)),1,0))))</f>
        <v>0</v>
      </c>
      <c r="AE40" s="707">
        <f>IF(dpSales_Adjustment_4="Construction Quality",IF(OR(ISERROR(HLOOKUP(AE$8,'Improved Sales Adjustments'!$G$7:$ZO$147,77,FALSE)),ISERROR(HLOOKUP(AE$8,'Improved Sales Adjustments'!$G$7:$ZO$147,78,FALSE))),0,IF(HLOOKUP(AE$8,'Improved Sales Adjustments'!$G$7:$ZO$147,77,FALSE)="",0,IF(AND($G39=HLOOKUP(AE$8,'Improved Sales Adjustments'!$G$7:$ZO$147,77,FALSE),$F40=HLOOKUP(AE$8,'Improved Sales Adjustments'!$G$7:$ZO$147,78,FALSE)),1,0))),IF(OR(ISERROR(HLOOKUP(AE$8,'Improved Sales Adjustments'!$G$7:$ZO$147,77,FALSE)),ISERROR(HLOOKUP(AE$8,'Improved Sales Adjustments'!$G$7:$ZO$147,79,FALSE))),0,IF(HLOOKUP(AE$8,'Improved Sales Adjustments'!$G$7:$ZO$147,77,FALSE)="",0,IF(AND($G39=HLOOKUP(AE$8,'Improved Sales Adjustments'!$G$7:$ZO$147,77,FALSE),$F40=HLOOKUP(AE$8,'Improved Sales Adjustments'!$G$7:$ZO$147,79,FALSE)),1,0))))</f>
        <v>0</v>
      </c>
      <c r="AF40" s="707">
        <f>IF(dpSales_Adjustment_4="Construction Quality",IF(OR(ISERROR(HLOOKUP(AF$8,'Improved Sales Adjustments'!$G$7:$ZO$147,77,FALSE)),ISERROR(HLOOKUP(AF$8,'Improved Sales Adjustments'!$G$7:$ZO$147,78,FALSE))),0,IF(HLOOKUP(AF$8,'Improved Sales Adjustments'!$G$7:$ZO$147,77,FALSE)="",0,IF(AND($G39=HLOOKUP(AF$8,'Improved Sales Adjustments'!$G$7:$ZO$147,77,FALSE),$F40=HLOOKUP(AF$8,'Improved Sales Adjustments'!$G$7:$ZO$147,78,FALSE)),1,0))),IF(OR(ISERROR(HLOOKUP(AF$8,'Improved Sales Adjustments'!$G$7:$ZO$147,77,FALSE)),ISERROR(HLOOKUP(AF$8,'Improved Sales Adjustments'!$G$7:$ZO$147,79,FALSE))),0,IF(HLOOKUP(AF$8,'Improved Sales Adjustments'!$G$7:$ZO$147,77,FALSE)="",0,IF(AND($G39=HLOOKUP(AF$8,'Improved Sales Adjustments'!$G$7:$ZO$147,77,FALSE),$F40=HLOOKUP(AF$8,'Improved Sales Adjustments'!$G$7:$ZO$147,79,FALSE)),1,0))))</f>
        <v>0</v>
      </c>
      <c r="AG40" s="707">
        <f>IF(dpSales_Adjustment_4="Construction Quality",IF(OR(ISERROR(HLOOKUP(AG$8,'Improved Sales Adjustments'!$G$7:$ZO$147,77,FALSE)),ISERROR(HLOOKUP(AG$8,'Improved Sales Adjustments'!$G$7:$ZO$147,78,FALSE))),0,IF(HLOOKUP(AG$8,'Improved Sales Adjustments'!$G$7:$ZO$147,77,FALSE)="",0,IF(AND($G39=HLOOKUP(AG$8,'Improved Sales Adjustments'!$G$7:$ZO$147,77,FALSE),$F40=HLOOKUP(AG$8,'Improved Sales Adjustments'!$G$7:$ZO$147,78,FALSE)),1,0))),IF(OR(ISERROR(HLOOKUP(AG$8,'Improved Sales Adjustments'!$G$7:$ZO$147,77,FALSE)),ISERROR(HLOOKUP(AG$8,'Improved Sales Adjustments'!$G$7:$ZO$147,79,FALSE))),0,IF(HLOOKUP(AG$8,'Improved Sales Adjustments'!$G$7:$ZO$147,77,FALSE)="",0,IF(AND($G39=HLOOKUP(AG$8,'Improved Sales Adjustments'!$G$7:$ZO$147,77,FALSE),$F40=HLOOKUP(AG$8,'Improved Sales Adjustments'!$G$7:$ZO$147,79,FALSE)),1,0))))</f>
        <v>0</v>
      </c>
      <c r="AH40" s="707">
        <f>IF(dpSales_Adjustment_4="Construction Quality",IF(OR(ISERROR(HLOOKUP(AH$8,'Improved Sales Adjustments'!$G$7:$ZO$147,77,FALSE)),ISERROR(HLOOKUP(AH$8,'Improved Sales Adjustments'!$G$7:$ZO$147,78,FALSE))),0,IF(HLOOKUP(AH$8,'Improved Sales Adjustments'!$G$7:$ZO$147,77,FALSE)="",0,IF(AND($G39=HLOOKUP(AH$8,'Improved Sales Adjustments'!$G$7:$ZO$147,77,FALSE),$F40=HLOOKUP(AH$8,'Improved Sales Adjustments'!$G$7:$ZO$147,78,FALSE)),1,0))),IF(OR(ISERROR(HLOOKUP(AH$8,'Improved Sales Adjustments'!$G$7:$ZO$147,77,FALSE)),ISERROR(HLOOKUP(AH$8,'Improved Sales Adjustments'!$G$7:$ZO$147,79,FALSE))),0,IF(HLOOKUP(AH$8,'Improved Sales Adjustments'!$G$7:$ZO$147,77,FALSE)="",0,IF(AND($G39=HLOOKUP(AH$8,'Improved Sales Adjustments'!$G$7:$ZO$147,77,FALSE),$F40=HLOOKUP(AH$8,'Improved Sales Adjustments'!$G$7:$ZO$147,79,FALSE)),1,0))))</f>
        <v>0</v>
      </c>
      <c r="AI40" s="707">
        <f>SUM(X40:$X40)</f>
        <v>0</v>
      </c>
      <c r="AJ40" s="707">
        <f>SUM($X40:Y40)</f>
        <v>0</v>
      </c>
      <c r="AK40" s="707">
        <f>SUM($X40:Z40)</f>
        <v>0</v>
      </c>
      <c r="AL40" s="707">
        <f>SUM($X40:AA40)</f>
        <v>0</v>
      </c>
      <c r="AM40" s="707">
        <f>SUM($X40:AB40)</f>
        <v>0</v>
      </c>
      <c r="AN40" s="707">
        <f>SUM($X40:AC40)</f>
        <v>0</v>
      </c>
      <c r="AO40" s="707">
        <f>SUM($X40:AD40)</f>
        <v>0</v>
      </c>
      <c r="AP40" s="707">
        <f>SUM($X40:AE40)</f>
        <v>0</v>
      </c>
      <c r="AQ40" s="707">
        <f>SUM($X40:AF40)</f>
        <v>0</v>
      </c>
      <c r="AR40" s="707">
        <f>SUM($X40:AG40)</f>
        <v>0</v>
      </c>
      <c r="AS40" s="707">
        <f>SUM($X40:AH40)</f>
        <v>0</v>
      </c>
      <c r="AT40" s="707" t="str">
        <f t="shared" si="7"/>
        <v/>
      </c>
      <c r="AU40" s="707" t="str">
        <f t="shared" si="8"/>
        <v/>
      </c>
      <c r="AV40" s="707" t="str">
        <f t="shared" si="9"/>
        <v/>
      </c>
      <c r="AW40" s="707" t="str">
        <f t="shared" si="10"/>
        <v/>
      </c>
      <c r="AX40" s="707" t="str">
        <f t="shared" si="11"/>
        <v/>
      </c>
      <c r="AY40" s="707" t="str">
        <f t="shared" si="12"/>
        <v/>
      </c>
      <c r="AZ40" s="707" t="str">
        <f t="shared" si="13"/>
        <v/>
      </c>
      <c r="BA40" s="707" t="str">
        <f t="shared" si="14"/>
        <v/>
      </c>
      <c r="BB40" s="707" t="str">
        <f t="shared" si="15"/>
        <v/>
      </c>
      <c r="BC40" s="707" t="str">
        <f t="shared" si="16"/>
        <v/>
      </c>
      <c r="BD40" s="707" t="str">
        <f t="shared" si="17"/>
        <v/>
      </c>
    </row>
    <row r="41" spans="1:56" ht="69.95" customHeight="1" x14ac:dyDescent="0.25">
      <c r="A41" s="972">
        <f t="shared" si="6"/>
        <v>0</v>
      </c>
      <c r="B41" s="563"/>
      <c r="C41" s="114"/>
      <c r="D41" s="4185" t="str">
        <f t="shared" si="3"/>
        <v/>
      </c>
      <c r="E41" s="4185"/>
      <c r="F41" s="4067" t="str">
        <f>IF(dpSales_Adjustment_4="Construction Quality","C - Masonry","C")</f>
        <v>C - Masonry</v>
      </c>
      <c r="G41" s="4212"/>
      <c r="H41" s="4198"/>
      <c r="I41" s="4198"/>
      <c r="J41" s="4198"/>
      <c r="K41" s="4198"/>
      <c r="L41" s="4068" t="str">
        <f t="shared" si="4"/>
        <v/>
      </c>
      <c r="M41" s="4194"/>
      <c r="N41" s="4190"/>
      <c r="O41" s="4190"/>
      <c r="P41" s="4069" t="str">
        <f>IFERROR(L41+M39,"")</f>
        <v/>
      </c>
      <c r="Q41" s="4070"/>
      <c r="R41" s="2086"/>
      <c r="S41" s="707"/>
      <c r="T41" s="707"/>
      <c r="U41" s="707">
        <f t="shared" si="21"/>
        <v>0</v>
      </c>
      <c r="V41" s="707" t="str">
        <f t="shared" si="22"/>
        <v/>
      </c>
      <c r="W41" s="707"/>
      <c r="X41" s="707">
        <f>IF(dpSales_Adjustment_4="Construction Quality",IF(AND(F41=Subject_ConstructionClass,G$39=Subject_ConstructionQuality),1,0),IF(AND(F41=Subject_InvestmentClass,G$39=Subject_ConstructionQuality),1,0))</f>
        <v>0</v>
      </c>
      <c r="Y41" s="707">
        <f>IF(dpSales_Adjustment_4="Construction Quality",IF(OR(ISERROR(HLOOKUP(Y$8,'Improved Sales Adjustments'!$G$7:$ZO$147,77,FALSE)),ISERROR(HLOOKUP(Y$8,'Improved Sales Adjustments'!$G$7:$ZO$147,78,FALSE))),0,IF(HLOOKUP(Y$8,'Improved Sales Adjustments'!$G$7:$ZO$147,77,FALSE)="",0,IF(AND($G39=HLOOKUP(Y$8,'Improved Sales Adjustments'!$G$7:$ZO$147,77,FALSE),$F41=HLOOKUP(Y$8,'Improved Sales Adjustments'!$G$7:$ZO$147,78,FALSE)),1,0))),IF(OR(ISERROR(HLOOKUP(Y$8,'Improved Sales Adjustments'!$G$7:$ZO$147,77,FALSE)),ISERROR(HLOOKUP(Y$8,'Improved Sales Adjustments'!$G$7:$ZO$147,79,FALSE))),0,IF(HLOOKUP(Y$8,'Improved Sales Adjustments'!$G$7:$ZO$147,77,FALSE)="",0,IF(AND($G39=HLOOKUP(Y$8,'Improved Sales Adjustments'!$G$7:$ZO$147,77,FALSE),$F41=HLOOKUP(Y$8,'Improved Sales Adjustments'!$G$7:$ZO$147,79,FALSE)),1,0))))</f>
        <v>0</v>
      </c>
      <c r="Z41" s="707">
        <f>IF(dpSales_Adjustment_4="Construction Quality",IF(OR(ISERROR(HLOOKUP(Z$8,'Improved Sales Adjustments'!$G$7:$ZO$147,77,FALSE)),ISERROR(HLOOKUP(Z$8,'Improved Sales Adjustments'!$G$7:$ZO$147,78,FALSE))),0,IF(HLOOKUP(Z$8,'Improved Sales Adjustments'!$G$7:$ZO$147,77,FALSE)="",0,IF(AND($G39=HLOOKUP(Z$8,'Improved Sales Adjustments'!$G$7:$ZO$147,77,FALSE),$F41=HLOOKUP(Z$8,'Improved Sales Adjustments'!$G$7:$ZO$147,78,FALSE)),1,0))),IF(OR(ISERROR(HLOOKUP(Z$8,'Improved Sales Adjustments'!$G$7:$ZO$147,77,FALSE)),ISERROR(HLOOKUP(Z$8,'Improved Sales Adjustments'!$G$7:$ZO$147,79,FALSE))),0,IF(HLOOKUP(Z$8,'Improved Sales Adjustments'!$G$7:$ZO$147,77,FALSE)="",0,IF(AND($G39=HLOOKUP(Z$8,'Improved Sales Adjustments'!$G$7:$ZO$147,77,FALSE),$F41=HLOOKUP(Z$8,'Improved Sales Adjustments'!$G$7:$ZO$147,79,FALSE)),1,0))))</f>
        <v>0</v>
      </c>
      <c r="AA41" s="707">
        <f>IF(dpSales_Adjustment_4="Construction Quality",IF(OR(ISERROR(HLOOKUP(AA$8,'Improved Sales Adjustments'!$G$7:$ZO$147,77,FALSE)),ISERROR(HLOOKUP(AA$8,'Improved Sales Adjustments'!$G$7:$ZO$147,78,FALSE))),0,IF(HLOOKUP(AA$8,'Improved Sales Adjustments'!$G$7:$ZO$147,77,FALSE)="",0,IF(AND($G39=HLOOKUP(AA$8,'Improved Sales Adjustments'!$G$7:$ZO$147,77,FALSE),$F41=HLOOKUP(AA$8,'Improved Sales Adjustments'!$G$7:$ZO$147,78,FALSE)),1,0))),IF(OR(ISERROR(HLOOKUP(AA$8,'Improved Sales Adjustments'!$G$7:$ZO$147,77,FALSE)),ISERROR(HLOOKUP(AA$8,'Improved Sales Adjustments'!$G$7:$ZO$147,79,FALSE))),0,IF(HLOOKUP(AA$8,'Improved Sales Adjustments'!$G$7:$ZO$147,77,FALSE)="",0,IF(AND($G39=HLOOKUP(AA$8,'Improved Sales Adjustments'!$G$7:$ZO$147,77,FALSE),$F41=HLOOKUP(AA$8,'Improved Sales Adjustments'!$G$7:$ZO$147,79,FALSE)),1,0))))</f>
        <v>0</v>
      </c>
      <c r="AB41" s="707">
        <f>IF(dpSales_Adjustment_4="Construction Quality",IF(OR(ISERROR(HLOOKUP(AB$8,'Improved Sales Adjustments'!$G$7:$ZO$147,77,FALSE)),ISERROR(HLOOKUP(AB$8,'Improved Sales Adjustments'!$G$7:$ZO$147,78,FALSE))),0,IF(HLOOKUP(AB$8,'Improved Sales Adjustments'!$G$7:$ZO$147,77,FALSE)="",0,IF(AND($G39=HLOOKUP(AB$8,'Improved Sales Adjustments'!$G$7:$ZO$147,77,FALSE),$F41=HLOOKUP(AB$8,'Improved Sales Adjustments'!$G$7:$ZO$147,78,FALSE)),1,0))),IF(OR(ISERROR(HLOOKUP(AB$8,'Improved Sales Adjustments'!$G$7:$ZO$147,77,FALSE)),ISERROR(HLOOKUP(AB$8,'Improved Sales Adjustments'!$G$7:$ZO$147,79,FALSE))),0,IF(HLOOKUP(AB$8,'Improved Sales Adjustments'!$G$7:$ZO$147,77,FALSE)="",0,IF(AND($G39=HLOOKUP(AB$8,'Improved Sales Adjustments'!$G$7:$ZO$147,77,FALSE),$F41=HLOOKUP(AB$8,'Improved Sales Adjustments'!$G$7:$ZO$147,79,FALSE)),1,0))))</f>
        <v>0</v>
      </c>
      <c r="AC41" s="707">
        <f>IF(dpSales_Adjustment_4="Construction Quality",IF(OR(ISERROR(HLOOKUP(AC$8,'Improved Sales Adjustments'!$G$7:$ZO$147,77,FALSE)),ISERROR(HLOOKUP(AC$8,'Improved Sales Adjustments'!$G$7:$ZO$147,78,FALSE))),0,IF(HLOOKUP(AC$8,'Improved Sales Adjustments'!$G$7:$ZO$147,77,FALSE)="",0,IF(AND($G39=HLOOKUP(AC$8,'Improved Sales Adjustments'!$G$7:$ZO$147,77,FALSE),$F41=HLOOKUP(AC$8,'Improved Sales Adjustments'!$G$7:$ZO$147,78,FALSE)),1,0))),IF(OR(ISERROR(HLOOKUP(AC$8,'Improved Sales Adjustments'!$G$7:$ZO$147,77,FALSE)),ISERROR(HLOOKUP(AC$8,'Improved Sales Adjustments'!$G$7:$ZO$147,79,FALSE))),0,IF(HLOOKUP(AC$8,'Improved Sales Adjustments'!$G$7:$ZO$147,77,FALSE)="",0,IF(AND($G39=HLOOKUP(AC$8,'Improved Sales Adjustments'!$G$7:$ZO$147,77,FALSE),$F41=HLOOKUP(AC$8,'Improved Sales Adjustments'!$G$7:$ZO$147,79,FALSE)),1,0))))</f>
        <v>0</v>
      </c>
      <c r="AD41" s="707">
        <f>IF(dpSales_Adjustment_4="Construction Quality",IF(OR(ISERROR(HLOOKUP(AD$8,'Improved Sales Adjustments'!$G$7:$ZO$147,77,FALSE)),ISERROR(HLOOKUP(AD$8,'Improved Sales Adjustments'!$G$7:$ZO$147,78,FALSE))),0,IF(HLOOKUP(AD$8,'Improved Sales Adjustments'!$G$7:$ZO$147,77,FALSE)="",0,IF(AND($G39=HLOOKUP(AD$8,'Improved Sales Adjustments'!$G$7:$ZO$147,77,FALSE),$F41=HLOOKUP(AD$8,'Improved Sales Adjustments'!$G$7:$ZO$147,78,FALSE)),1,0))),IF(OR(ISERROR(HLOOKUP(AD$8,'Improved Sales Adjustments'!$G$7:$ZO$147,77,FALSE)),ISERROR(HLOOKUP(AD$8,'Improved Sales Adjustments'!$G$7:$ZO$147,79,FALSE))),0,IF(HLOOKUP(AD$8,'Improved Sales Adjustments'!$G$7:$ZO$147,77,FALSE)="",0,IF(AND($G39=HLOOKUP(AD$8,'Improved Sales Adjustments'!$G$7:$ZO$147,77,FALSE),$F41=HLOOKUP(AD$8,'Improved Sales Adjustments'!$G$7:$ZO$147,79,FALSE)),1,0))))</f>
        <v>0</v>
      </c>
      <c r="AE41" s="707">
        <f>IF(dpSales_Adjustment_4="Construction Quality",IF(OR(ISERROR(HLOOKUP(AE$8,'Improved Sales Adjustments'!$G$7:$ZO$147,77,FALSE)),ISERROR(HLOOKUP(AE$8,'Improved Sales Adjustments'!$G$7:$ZO$147,78,FALSE))),0,IF(HLOOKUP(AE$8,'Improved Sales Adjustments'!$G$7:$ZO$147,77,FALSE)="",0,IF(AND($G39=HLOOKUP(AE$8,'Improved Sales Adjustments'!$G$7:$ZO$147,77,FALSE),$F41=HLOOKUP(AE$8,'Improved Sales Adjustments'!$G$7:$ZO$147,78,FALSE)),1,0))),IF(OR(ISERROR(HLOOKUP(AE$8,'Improved Sales Adjustments'!$G$7:$ZO$147,77,FALSE)),ISERROR(HLOOKUP(AE$8,'Improved Sales Adjustments'!$G$7:$ZO$147,79,FALSE))),0,IF(HLOOKUP(AE$8,'Improved Sales Adjustments'!$G$7:$ZO$147,77,FALSE)="",0,IF(AND($G39=HLOOKUP(AE$8,'Improved Sales Adjustments'!$G$7:$ZO$147,77,FALSE),$F41=HLOOKUP(AE$8,'Improved Sales Adjustments'!$G$7:$ZO$147,79,FALSE)),1,0))))</f>
        <v>0</v>
      </c>
      <c r="AF41" s="707">
        <f>IF(dpSales_Adjustment_4="Construction Quality",IF(OR(ISERROR(HLOOKUP(AF$8,'Improved Sales Adjustments'!$G$7:$ZO$147,77,FALSE)),ISERROR(HLOOKUP(AF$8,'Improved Sales Adjustments'!$G$7:$ZO$147,78,FALSE))),0,IF(HLOOKUP(AF$8,'Improved Sales Adjustments'!$G$7:$ZO$147,77,FALSE)="",0,IF(AND($G39=HLOOKUP(AF$8,'Improved Sales Adjustments'!$G$7:$ZO$147,77,FALSE),$F41=HLOOKUP(AF$8,'Improved Sales Adjustments'!$G$7:$ZO$147,78,FALSE)),1,0))),IF(OR(ISERROR(HLOOKUP(AF$8,'Improved Sales Adjustments'!$G$7:$ZO$147,77,FALSE)),ISERROR(HLOOKUP(AF$8,'Improved Sales Adjustments'!$G$7:$ZO$147,79,FALSE))),0,IF(HLOOKUP(AF$8,'Improved Sales Adjustments'!$G$7:$ZO$147,77,FALSE)="",0,IF(AND($G39=HLOOKUP(AF$8,'Improved Sales Adjustments'!$G$7:$ZO$147,77,FALSE),$F41=HLOOKUP(AF$8,'Improved Sales Adjustments'!$G$7:$ZO$147,79,FALSE)),1,0))))</f>
        <v>0</v>
      </c>
      <c r="AG41" s="707">
        <f>IF(dpSales_Adjustment_4="Construction Quality",IF(OR(ISERROR(HLOOKUP(AG$8,'Improved Sales Adjustments'!$G$7:$ZO$147,77,FALSE)),ISERROR(HLOOKUP(AG$8,'Improved Sales Adjustments'!$G$7:$ZO$147,78,FALSE))),0,IF(HLOOKUP(AG$8,'Improved Sales Adjustments'!$G$7:$ZO$147,77,FALSE)="",0,IF(AND($G39=HLOOKUP(AG$8,'Improved Sales Adjustments'!$G$7:$ZO$147,77,FALSE),$F41=HLOOKUP(AG$8,'Improved Sales Adjustments'!$G$7:$ZO$147,78,FALSE)),1,0))),IF(OR(ISERROR(HLOOKUP(AG$8,'Improved Sales Adjustments'!$G$7:$ZO$147,77,FALSE)),ISERROR(HLOOKUP(AG$8,'Improved Sales Adjustments'!$G$7:$ZO$147,79,FALSE))),0,IF(HLOOKUP(AG$8,'Improved Sales Adjustments'!$G$7:$ZO$147,77,FALSE)="",0,IF(AND($G39=HLOOKUP(AG$8,'Improved Sales Adjustments'!$G$7:$ZO$147,77,FALSE),$F41=HLOOKUP(AG$8,'Improved Sales Adjustments'!$G$7:$ZO$147,79,FALSE)),1,0))))</f>
        <v>0</v>
      </c>
      <c r="AH41" s="707">
        <f>IF(dpSales_Adjustment_4="Construction Quality",IF(OR(ISERROR(HLOOKUP(AH$8,'Improved Sales Adjustments'!$G$7:$ZO$147,77,FALSE)),ISERROR(HLOOKUP(AH$8,'Improved Sales Adjustments'!$G$7:$ZO$147,78,FALSE))),0,IF(HLOOKUP(AH$8,'Improved Sales Adjustments'!$G$7:$ZO$147,77,FALSE)="",0,IF(AND($G39=HLOOKUP(AH$8,'Improved Sales Adjustments'!$G$7:$ZO$147,77,FALSE),$F41=HLOOKUP(AH$8,'Improved Sales Adjustments'!$G$7:$ZO$147,78,FALSE)),1,0))),IF(OR(ISERROR(HLOOKUP(AH$8,'Improved Sales Adjustments'!$G$7:$ZO$147,77,FALSE)),ISERROR(HLOOKUP(AH$8,'Improved Sales Adjustments'!$G$7:$ZO$147,79,FALSE))),0,IF(HLOOKUP(AH$8,'Improved Sales Adjustments'!$G$7:$ZO$147,77,FALSE)="",0,IF(AND($G39=HLOOKUP(AH$8,'Improved Sales Adjustments'!$G$7:$ZO$147,77,FALSE),$F41=HLOOKUP(AH$8,'Improved Sales Adjustments'!$G$7:$ZO$147,79,FALSE)),1,0))))</f>
        <v>0</v>
      </c>
      <c r="AI41" s="707">
        <f>SUM(X41:$X41)</f>
        <v>0</v>
      </c>
      <c r="AJ41" s="707">
        <f>SUM($X41:Y41)</f>
        <v>0</v>
      </c>
      <c r="AK41" s="707">
        <f>SUM($X41:Z41)</f>
        <v>0</v>
      </c>
      <c r="AL41" s="707">
        <f>SUM($X41:AA41)</f>
        <v>0</v>
      </c>
      <c r="AM41" s="707">
        <f>SUM($X41:AB41)</f>
        <v>0</v>
      </c>
      <c r="AN41" s="707">
        <f>SUM($X41:AC41)</f>
        <v>0</v>
      </c>
      <c r="AO41" s="707">
        <f>SUM($X41:AD41)</f>
        <v>0</v>
      </c>
      <c r="AP41" s="707">
        <f>SUM($X41:AE41)</f>
        <v>0</v>
      </c>
      <c r="AQ41" s="707">
        <f>SUM($X41:AF41)</f>
        <v>0</v>
      </c>
      <c r="AR41" s="707">
        <f>SUM($X41:AG41)</f>
        <v>0</v>
      </c>
      <c r="AS41" s="707">
        <f>SUM($X41:AH41)</f>
        <v>0</v>
      </c>
      <c r="AT41" s="707" t="str">
        <f t="shared" si="7"/>
        <v/>
      </c>
      <c r="AU41" s="707" t="str">
        <f t="shared" si="8"/>
        <v/>
      </c>
      <c r="AV41" s="707" t="str">
        <f t="shared" si="9"/>
        <v/>
      </c>
      <c r="AW41" s="707" t="str">
        <f t="shared" si="10"/>
        <v/>
      </c>
      <c r="AX41" s="707" t="str">
        <f t="shared" si="11"/>
        <v/>
      </c>
      <c r="AY41" s="707" t="str">
        <f t="shared" si="12"/>
        <v/>
      </c>
      <c r="AZ41" s="707" t="str">
        <f t="shared" si="13"/>
        <v/>
      </c>
      <c r="BA41" s="707" t="str">
        <f t="shared" si="14"/>
        <v/>
      </c>
      <c r="BB41" s="707" t="str">
        <f t="shared" si="15"/>
        <v/>
      </c>
      <c r="BC41" s="707" t="str">
        <f t="shared" si="16"/>
        <v/>
      </c>
      <c r="BD41" s="707" t="str">
        <f t="shared" si="17"/>
        <v/>
      </c>
    </row>
    <row r="42" spans="1:56" ht="69.95" customHeight="1" x14ac:dyDescent="0.25">
      <c r="A42" s="972">
        <f t="shared" si="6"/>
        <v>0</v>
      </c>
      <c r="B42" s="563"/>
      <c r="C42" s="114"/>
      <c r="D42" s="4185" t="str">
        <f t="shared" si="3"/>
        <v/>
      </c>
      <c r="E42" s="4185"/>
      <c r="F42" s="4067" t="str">
        <f>IF(dpSales_Adjustment_4="Construction Quality","D - Wood Frame","")</f>
        <v>D - Wood Frame</v>
      </c>
      <c r="G42" s="4212"/>
      <c r="H42" s="4198"/>
      <c r="I42" s="4198"/>
      <c r="J42" s="4198"/>
      <c r="K42" s="4198"/>
      <c r="L42" s="4068" t="str">
        <f t="shared" si="4"/>
        <v/>
      </c>
      <c r="M42" s="4194"/>
      <c r="N42" s="4190"/>
      <c r="O42" s="4190"/>
      <c r="P42" s="4069" t="str">
        <f>IFERROR(L42+M39,"")</f>
        <v/>
      </c>
      <c r="Q42" s="4070"/>
      <c r="R42" s="2086"/>
      <c r="S42" s="707"/>
      <c r="T42" s="707"/>
      <c r="U42" s="707">
        <f t="shared" si="21"/>
        <v>0</v>
      </c>
      <c r="V42" s="707" t="str">
        <f t="shared" si="22"/>
        <v/>
      </c>
      <c r="W42" s="707"/>
      <c r="X42" s="707">
        <f>IF(dpSales_Adjustment_4="Construction Quality",IF(AND(F42=Subject_ConstructionClass,G$39=Subject_ConstructionQuality),1,0),IF(AND(F42=Subject_InvestmentClass,G$39=Subject_ConstructionQuality),1,0))</f>
        <v>0</v>
      </c>
      <c r="Y42" s="707">
        <f>IF(dpSales_Adjustment_4="Construction Quality",IF(OR(ISERROR(HLOOKUP(Y$8,'Improved Sales Adjustments'!$G$7:$ZO$147,77,FALSE)),ISERROR(HLOOKUP(Y$8,'Improved Sales Adjustments'!$G$7:$ZO$147,78,FALSE))),0,IF(HLOOKUP(Y$8,'Improved Sales Adjustments'!$G$7:$ZO$147,77,FALSE)="",0,IF(AND($G39=HLOOKUP(Y$8,'Improved Sales Adjustments'!$G$7:$ZO$147,77,FALSE),$F42=HLOOKUP(Y$8,'Improved Sales Adjustments'!$G$7:$ZO$147,78,FALSE)),1,0))),IF(OR(ISERROR(HLOOKUP(Y$8,'Improved Sales Adjustments'!$G$7:$ZO$147,77,FALSE)),ISERROR(HLOOKUP(Y$8,'Improved Sales Adjustments'!$G$7:$ZO$147,79,FALSE))),0,IF(HLOOKUP(Y$8,'Improved Sales Adjustments'!$G$7:$ZO$147,77,FALSE)="",0,IF(AND($G39=HLOOKUP(Y$8,'Improved Sales Adjustments'!$G$7:$ZO$147,77,FALSE),$F42=HLOOKUP(Y$8,'Improved Sales Adjustments'!$G$7:$ZO$147,79,FALSE)),1,0))))</f>
        <v>0</v>
      </c>
      <c r="Z42" s="707">
        <f>IF(dpSales_Adjustment_4="Construction Quality",IF(OR(ISERROR(HLOOKUP(Z$8,'Improved Sales Adjustments'!$G$7:$ZO$147,77,FALSE)),ISERROR(HLOOKUP(Z$8,'Improved Sales Adjustments'!$G$7:$ZO$147,78,FALSE))),0,IF(HLOOKUP(Z$8,'Improved Sales Adjustments'!$G$7:$ZO$147,77,FALSE)="",0,IF(AND($G39=HLOOKUP(Z$8,'Improved Sales Adjustments'!$G$7:$ZO$147,77,FALSE),$F42=HLOOKUP(Z$8,'Improved Sales Adjustments'!$G$7:$ZO$147,78,FALSE)),1,0))),IF(OR(ISERROR(HLOOKUP(Z$8,'Improved Sales Adjustments'!$G$7:$ZO$147,77,FALSE)),ISERROR(HLOOKUP(Z$8,'Improved Sales Adjustments'!$G$7:$ZO$147,79,FALSE))),0,IF(HLOOKUP(Z$8,'Improved Sales Adjustments'!$G$7:$ZO$147,77,FALSE)="",0,IF(AND($G39=HLOOKUP(Z$8,'Improved Sales Adjustments'!$G$7:$ZO$147,77,FALSE),$F42=HLOOKUP(Z$8,'Improved Sales Adjustments'!$G$7:$ZO$147,79,FALSE)),1,0))))</f>
        <v>0</v>
      </c>
      <c r="AA42" s="707">
        <f>IF(dpSales_Adjustment_4="Construction Quality",IF(OR(ISERROR(HLOOKUP(AA$8,'Improved Sales Adjustments'!$G$7:$ZO$147,77,FALSE)),ISERROR(HLOOKUP(AA$8,'Improved Sales Adjustments'!$G$7:$ZO$147,78,FALSE))),0,IF(HLOOKUP(AA$8,'Improved Sales Adjustments'!$G$7:$ZO$147,77,FALSE)="",0,IF(AND($G39=HLOOKUP(AA$8,'Improved Sales Adjustments'!$G$7:$ZO$147,77,FALSE),$F42=HLOOKUP(AA$8,'Improved Sales Adjustments'!$G$7:$ZO$147,78,FALSE)),1,0))),IF(OR(ISERROR(HLOOKUP(AA$8,'Improved Sales Adjustments'!$G$7:$ZO$147,77,FALSE)),ISERROR(HLOOKUP(AA$8,'Improved Sales Adjustments'!$G$7:$ZO$147,79,FALSE))),0,IF(HLOOKUP(AA$8,'Improved Sales Adjustments'!$G$7:$ZO$147,77,FALSE)="",0,IF(AND($G39=HLOOKUP(AA$8,'Improved Sales Adjustments'!$G$7:$ZO$147,77,FALSE),$F42=HLOOKUP(AA$8,'Improved Sales Adjustments'!$G$7:$ZO$147,79,FALSE)),1,0))))</f>
        <v>0</v>
      </c>
      <c r="AB42" s="707">
        <f>IF(dpSales_Adjustment_4="Construction Quality",IF(OR(ISERROR(HLOOKUP(AB$8,'Improved Sales Adjustments'!$G$7:$ZO$147,77,FALSE)),ISERROR(HLOOKUP(AB$8,'Improved Sales Adjustments'!$G$7:$ZO$147,78,FALSE))),0,IF(HLOOKUP(AB$8,'Improved Sales Adjustments'!$G$7:$ZO$147,77,FALSE)="",0,IF(AND($G39=HLOOKUP(AB$8,'Improved Sales Adjustments'!$G$7:$ZO$147,77,FALSE),$F42=HLOOKUP(AB$8,'Improved Sales Adjustments'!$G$7:$ZO$147,78,FALSE)),1,0))),IF(OR(ISERROR(HLOOKUP(AB$8,'Improved Sales Adjustments'!$G$7:$ZO$147,77,FALSE)),ISERROR(HLOOKUP(AB$8,'Improved Sales Adjustments'!$G$7:$ZO$147,79,FALSE))),0,IF(HLOOKUP(AB$8,'Improved Sales Adjustments'!$G$7:$ZO$147,77,FALSE)="",0,IF(AND($G39=HLOOKUP(AB$8,'Improved Sales Adjustments'!$G$7:$ZO$147,77,FALSE),$F42=HLOOKUP(AB$8,'Improved Sales Adjustments'!$G$7:$ZO$147,79,FALSE)),1,0))))</f>
        <v>0</v>
      </c>
      <c r="AC42" s="707">
        <f>IF(dpSales_Adjustment_4="Construction Quality",IF(OR(ISERROR(HLOOKUP(AC$8,'Improved Sales Adjustments'!$G$7:$ZO$147,77,FALSE)),ISERROR(HLOOKUP(AC$8,'Improved Sales Adjustments'!$G$7:$ZO$147,78,FALSE))),0,IF(HLOOKUP(AC$8,'Improved Sales Adjustments'!$G$7:$ZO$147,77,FALSE)="",0,IF(AND($G39=HLOOKUP(AC$8,'Improved Sales Adjustments'!$G$7:$ZO$147,77,FALSE),$F42=HLOOKUP(AC$8,'Improved Sales Adjustments'!$G$7:$ZO$147,78,FALSE)),1,0))),IF(OR(ISERROR(HLOOKUP(AC$8,'Improved Sales Adjustments'!$G$7:$ZO$147,77,FALSE)),ISERROR(HLOOKUP(AC$8,'Improved Sales Adjustments'!$G$7:$ZO$147,79,FALSE))),0,IF(HLOOKUP(AC$8,'Improved Sales Adjustments'!$G$7:$ZO$147,77,FALSE)="",0,IF(AND($G39=HLOOKUP(AC$8,'Improved Sales Adjustments'!$G$7:$ZO$147,77,FALSE),$F42=HLOOKUP(AC$8,'Improved Sales Adjustments'!$G$7:$ZO$147,79,FALSE)),1,0))))</f>
        <v>0</v>
      </c>
      <c r="AD42" s="707">
        <f>IF(dpSales_Adjustment_4="Construction Quality",IF(OR(ISERROR(HLOOKUP(AD$8,'Improved Sales Adjustments'!$G$7:$ZO$147,77,FALSE)),ISERROR(HLOOKUP(AD$8,'Improved Sales Adjustments'!$G$7:$ZO$147,78,FALSE))),0,IF(HLOOKUP(AD$8,'Improved Sales Adjustments'!$G$7:$ZO$147,77,FALSE)="",0,IF(AND($G39=HLOOKUP(AD$8,'Improved Sales Adjustments'!$G$7:$ZO$147,77,FALSE),$F42=HLOOKUP(AD$8,'Improved Sales Adjustments'!$G$7:$ZO$147,78,FALSE)),1,0))),IF(OR(ISERROR(HLOOKUP(AD$8,'Improved Sales Adjustments'!$G$7:$ZO$147,77,FALSE)),ISERROR(HLOOKUP(AD$8,'Improved Sales Adjustments'!$G$7:$ZO$147,79,FALSE))),0,IF(HLOOKUP(AD$8,'Improved Sales Adjustments'!$G$7:$ZO$147,77,FALSE)="",0,IF(AND($G39=HLOOKUP(AD$8,'Improved Sales Adjustments'!$G$7:$ZO$147,77,FALSE),$F42=HLOOKUP(AD$8,'Improved Sales Adjustments'!$G$7:$ZO$147,79,FALSE)),1,0))))</f>
        <v>0</v>
      </c>
      <c r="AE42" s="707">
        <f>IF(dpSales_Adjustment_4="Construction Quality",IF(OR(ISERROR(HLOOKUP(AE$8,'Improved Sales Adjustments'!$G$7:$ZO$147,77,FALSE)),ISERROR(HLOOKUP(AE$8,'Improved Sales Adjustments'!$G$7:$ZO$147,78,FALSE))),0,IF(HLOOKUP(AE$8,'Improved Sales Adjustments'!$G$7:$ZO$147,77,FALSE)="",0,IF(AND($G39=HLOOKUP(AE$8,'Improved Sales Adjustments'!$G$7:$ZO$147,77,FALSE),$F42=HLOOKUP(AE$8,'Improved Sales Adjustments'!$G$7:$ZO$147,78,FALSE)),1,0))),IF(OR(ISERROR(HLOOKUP(AE$8,'Improved Sales Adjustments'!$G$7:$ZO$147,77,FALSE)),ISERROR(HLOOKUP(AE$8,'Improved Sales Adjustments'!$G$7:$ZO$147,79,FALSE))),0,IF(HLOOKUP(AE$8,'Improved Sales Adjustments'!$G$7:$ZO$147,77,FALSE)="",0,IF(AND($G39=HLOOKUP(AE$8,'Improved Sales Adjustments'!$G$7:$ZO$147,77,FALSE),$F42=HLOOKUP(AE$8,'Improved Sales Adjustments'!$G$7:$ZO$147,79,FALSE)),1,0))))</f>
        <v>0</v>
      </c>
      <c r="AF42" s="707">
        <f>IF(dpSales_Adjustment_4="Construction Quality",IF(OR(ISERROR(HLOOKUP(AF$8,'Improved Sales Adjustments'!$G$7:$ZO$147,77,FALSE)),ISERROR(HLOOKUP(AF$8,'Improved Sales Adjustments'!$G$7:$ZO$147,78,FALSE))),0,IF(HLOOKUP(AF$8,'Improved Sales Adjustments'!$G$7:$ZO$147,77,FALSE)="",0,IF(AND($G39=HLOOKUP(AF$8,'Improved Sales Adjustments'!$G$7:$ZO$147,77,FALSE),$F42=HLOOKUP(AF$8,'Improved Sales Adjustments'!$G$7:$ZO$147,78,FALSE)),1,0))),IF(OR(ISERROR(HLOOKUP(AF$8,'Improved Sales Adjustments'!$G$7:$ZO$147,77,FALSE)),ISERROR(HLOOKUP(AF$8,'Improved Sales Adjustments'!$G$7:$ZO$147,79,FALSE))),0,IF(HLOOKUP(AF$8,'Improved Sales Adjustments'!$G$7:$ZO$147,77,FALSE)="",0,IF(AND($G39=HLOOKUP(AF$8,'Improved Sales Adjustments'!$G$7:$ZO$147,77,FALSE),$F42=HLOOKUP(AF$8,'Improved Sales Adjustments'!$G$7:$ZO$147,79,FALSE)),1,0))))</f>
        <v>0</v>
      </c>
      <c r="AG42" s="707">
        <f>IF(dpSales_Adjustment_4="Construction Quality",IF(OR(ISERROR(HLOOKUP(AG$8,'Improved Sales Adjustments'!$G$7:$ZO$147,77,FALSE)),ISERROR(HLOOKUP(AG$8,'Improved Sales Adjustments'!$G$7:$ZO$147,78,FALSE))),0,IF(HLOOKUP(AG$8,'Improved Sales Adjustments'!$G$7:$ZO$147,77,FALSE)="",0,IF(AND($G39=HLOOKUP(AG$8,'Improved Sales Adjustments'!$G$7:$ZO$147,77,FALSE),$F42=HLOOKUP(AG$8,'Improved Sales Adjustments'!$G$7:$ZO$147,78,FALSE)),1,0))),IF(OR(ISERROR(HLOOKUP(AG$8,'Improved Sales Adjustments'!$G$7:$ZO$147,77,FALSE)),ISERROR(HLOOKUP(AG$8,'Improved Sales Adjustments'!$G$7:$ZO$147,79,FALSE))),0,IF(HLOOKUP(AG$8,'Improved Sales Adjustments'!$G$7:$ZO$147,77,FALSE)="",0,IF(AND($G39=HLOOKUP(AG$8,'Improved Sales Adjustments'!$G$7:$ZO$147,77,FALSE),$F42=HLOOKUP(AG$8,'Improved Sales Adjustments'!$G$7:$ZO$147,79,FALSE)),1,0))))</f>
        <v>0</v>
      </c>
      <c r="AH42" s="707">
        <f>IF(dpSales_Adjustment_4="Construction Quality",IF(OR(ISERROR(HLOOKUP(AH$8,'Improved Sales Adjustments'!$G$7:$ZO$147,77,FALSE)),ISERROR(HLOOKUP(AH$8,'Improved Sales Adjustments'!$G$7:$ZO$147,78,FALSE))),0,IF(HLOOKUP(AH$8,'Improved Sales Adjustments'!$G$7:$ZO$147,77,FALSE)="",0,IF(AND($G39=HLOOKUP(AH$8,'Improved Sales Adjustments'!$G$7:$ZO$147,77,FALSE),$F42=HLOOKUP(AH$8,'Improved Sales Adjustments'!$G$7:$ZO$147,78,FALSE)),1,0))),IF(OR(ISERROR(HLOOKUP(AH$8,'Improved Sales Adjustments'!$G$7:$ZO$147,77,FALSE)),ISERROR(HLOOKUP(AH$8,'Improved Sales Adjustments'!$G$7:$ZO$147,79,FALSE))),0,IF(HLOOKUP(AH$8,'Improved Sales Adjustments'!$G$7:$ZO$147,77,FALSE)="",0,IF(AND($G39=HLOOKUP(AH$8,'Improved Sales Adjustments'!$G$7:$ZO$147,77,FALSE),$F42=HLOOKUP(AH$8,'Improved Sales Adjustments'!$G$7:$ZO$147,79,FALSE)),1,0))))</f>
        <v>0</v>
      </c>
      <c r="AI42" s="707">
        <f>SUM(X42:$X42)</f>
        <v>0</v>
      </c>
      <c r="AJ42" s="707">
        <f>SUM($X42:Y42)</f>
        <v>0</v>
      </c>
      <c r="AK42" s="707">
        <f>SUM($X42:Z42)</f>
        <v>0</v>
      </c>
      <c r="AL42" s="707">
        <f>SUM($X42:AA42)</f>
        <v>0</v>
      </c>
      <c r="AM42" s="707">
        <f>SUM($X42:AB42)</f>
        <v>0</v>
      </c>
      <c r="AN42" s="707">
        <f>SUM($X42:AC42)</f>
        <v>0</v>
      </c>
      <c r="AO42" s="707">
        <f>SUM($X42:AD42)</f>
        <v>0</v>
      </c>
      <c r="AP42" s="707">
        <f>SUM($X42:AE42)</f>
        <v>0</v>
      </c>
      <c r="AQ42" s="707">
        <f>SUM($X42:AF42)</f>
        <v>0</v>
      </c>
      <c r="AR42" s="707">
        <f>SUM($X42:AG42)</f>
        <v>0</v>
      </c>
      <c r="AS42" s="707">
        <f>SUM($X42:AH42)</f>
        <v>0</v>
      </c>
      <c r="AT42" s="707" t="str">
        <f t="shared" si="7"/>
        <v/>
      </c>
      <c r="AU42" s="707" t="str">
        <f t="shared" si="8"/>
        <v/>
      </c>
      <c r="AV42" s="707" t="str">
        <f t="shared" si="9"/>
        <v/>
      </c>
      <c r="AW42" s="707" t="str">
        <f t="shared" si="10"/>
        <v/>
      </c>
      <c r="AX42" s="707" t="str">
        <f t="shared" si="11"/>
        <v/>
      </c>
      <c r="AY42" s="707" t="str">
        <f t="shared" si="12"/>
        <v/>
      </c>
      <c r="AZ42" s="707" t="str">
        <f t="shared" si="13"/>
        <v/>
      </c>
      <c r="BA42" s="707" t="str">
        <f t="shared" si="14"/>
        <v/>
      </c>
      <c r="BB42" s="707" t="str">
        <f t="shared" si="15"/>
        <v/>
      </c>
      <c r="BC42" s="707" t="str">
        <f t="shared" si="16"/>
        <v/>
      </c>
      <c r="BD42" s="707" t="str">
        <f t="shared" si="17"/>
        <v/>
      </c>
    </row>
    <row r="43" spans="1:56" ht="69.95" customHeight="1" thickBot="1" x14ac:dyDescent="0.3">
      <c r="A43" s="972">
        <f t="shared" si="6"/>
        <v>0</v>
      </c>
      <c r="B43" s="563"/>
      <c r="C43" s="114"/>
      <c r="D43" s="4186" t="str">
        <f t="shared" si="3"/>
        <v/>
      </c>
      <c r="E43" s="4186"/>
      <c r="F43" s="4071" t="str">
        <f>IF(dpSales_Adjustment_4="Construction Quality","S - Steel Frame","")</f>
        <v>S - Steel Frame</v>
      </c>
      <c r="G43" s="4213"/>
      <c r="H43" s="4199"/>
      <c r="I43" s="4199"/>
      <c r="J43" s="4199"/>
      <c r="K43" s="4199"/>
      <c r="L43" s="4072" t="str">
        <f t="shared" si="4"/>
        <v/>
      </c>
      <c r="M43" s="4194"/>
      <c r="N43" s="4191"/>
      <c r="O43" s="4191"/>
      <c r="P43" s="4073" t="str">
        <f>IFERROR(L43+M39,"")</f>
        <v/>
      </c>
      <c r="Q43" s="4070"/>
      <c r="R43" s="2086"/>
      <c r="S43" s="707"/>
      <c r="T43" s="707"/>
      <c r="U43" s="707">
        <f t="shared" si="21"/>
        <v>0</v>
      </c>
      <c r="V43" s="707" t="str">
        <f t="shared" si="22"/>
        <v/>
      </c>
      <c r="W43" s="707"/>
      <c r="X43" s="707">
        <f>IF(dpSales_Adjustment_4="Construction Quality",IF(AND(F43=Subject_ConstructionClass,G$39=Subject_ConstructionQuality),1,0),IF(AND(F43=Subject_InvestmentClass,G$39=Subject_ConstructionQuality),1,0))</f>
        <v>0</v>
      </c>
      <c r="Y43" s="707">
        <f>IF(dpSales_Adjustment_4="Construction Quality",IF(OR(ISERROR(HLOOKUP(Y$8,'Improved Sales Adjustments'!$G$7:$ZO$147,77,FALSE)),ISERROR(HLOOKUP(Y$8,'Improved Sales Adjustments'!$G$7:$ZO$147,78,FALSE))),0,IF(HLOOKUP(Y$8,'Improved Sales Adjustments'!$G$7:$ZO$147,77,FALSE)="",0,IF(AND($G39=HLOOKUP(Y$8,'Improved Sales Adjustments'!$G$7:$ZO$147,77,FALSE),$F43=HLOOKUP(Y$8,'Improved Sales Adjustments'!$G$7:$ZO$147,78,FALSE)),1,0))),IF(OR(ISERROR(HLOOKUP(Y$8,'Improved Sales Adjustments'!$G$7:$ZO$147,77,FALSE)),ISERROR(HLOOKUP(Y$8,'Improved Sales Adjustments'!$G$7:$ZO$147,79,FALSE))),0,IF(HLOOKUP(Y$8,'Improved Sales Adjustments'!$G$7:$ZO$147,77,FALSE)="",0,IF(AND($G39=HLOOKUP(Y$8,'Improved Sales Adjustments'!$G$7:$ZO$147,77,FALSE),$F43=HLOOKUP(Y$8,'Improved Sales Adjustments'!$G$7:$ZO$147,79,FALSE)),1,0))))</f>
        <v>0</v>
      </c>
      <c r="Z43" s="707">
        <f>IF(dpSales_Adjustment_4="Construction Quality",IF(OR(ISERROR(HLOOKUP(Z$8,'Improved Sales Adjustments'!$G$7:$ZO$147,77,FALSE)),ISERROR(HLOOKUP(Z$8,'Improved Sales Adjustments'!$G$7:$ZO$147,78,FALSE))),0,IF(HLOOKUP(Z$8,'Improved Sales Adjustments'!$G$7:$ZO$147,77,FALSE)="",0,IF(AND($G39=HLOOKUP(Z$8,'Improved Sales Adjustments'!$G$7:$ZO$147,77,FALSE),$F43=HLOOKUP(Z$8,'Improved Sales Adjustments'!$G$7:$ZO$147,78,FALSE)),1,0))),IF(OR(ISERROR(HLOOKUP(Z$8,'Improved Sales Adjustments'!$G$7:$ZO$147,77,FALSE)),ISERROR(HLOOKUP(Z$8,'Improved Sales Adjustments'!$G$7:$ZO$147,79,FALSE))),0,IF(HLOOKUP(Z$8,'Improved Sales Adjustments'!$G$7:$ZO$147,77,FALSE)="",0,IF(AND($G39=HLOOKUP(Z$8,'Improved Sales Adjustments'!$G$7:$ZO$147,77,FALSE),$F43=HLOOKUP(Z$8,'Improved Sales Adjustments'!$G$7:$ZO$147,79,FALSE)),1,0))))</f>
        <v>0</v>
      </c>
      <c r="AA43" s="707">
        <f>IF(dpSales_Adjustment_4="Construction Quality",IF(OR(ISERROR(HLOOKUP(AA$8,'Improved Sales Adjustments'!$G$7:$ZO$147,77,FALSE)),ISERROR(HLOOKUP(AA$8,'Improved Sales Adjustments'!$G$7:$ZO$147,78,FALSE))),0,IF(HLOOKUP(AA$8,'Improved Sales Adjustments'!$G$7:$ZO$147,77,FALSE)="",0,IF(AND($G39=HLOOKUP(AA$8,'Improved Sales Adjustments'!$G$7:$ZO$147,77,FALSE),$F43=HLOOKUP(AA$8,'Improved Sales Adjustments'!$G$7:$ZO$147,78,FALSE)),1,0))),IF(OR(ISERROR(HLOOKUP(AA$8,'Improved Sales Adjustments'!$G$7:$ZO$147,77,FALSE)),ISERROR(HLOOKUP(AA$8,'Improved Sales Adjustments'!$G$7:$ZO$147,79,FALSE))),0,IF(HLOOKUP(AA$8,'Improved Sales Adjustments'!$G$7:$ZO$147,77,FALSE)="",0,IF(AND($G39=HLOOKUP(AA$8,'Improved Sales Adjustments'!$G$7:$ZO$147,77,FALSE),$F43=HLOOKUP(AA$8,'Improved Sales Adjustments'!$G$7:$ZO$147,79,FALSE)),1,0))))</f>
        <v>0</v>
      </c>
      <c r="AB43" s="707">
        <f>IF(dpSales_Adjustment_4="Construction Quality",IF(OR(ISERROR(HLOOKUP(AB$8,'Improved Sales Adjustments'!$G$7:$ZO$147,77,FALSE)),ISERROR(HLOOKUP(AB$8,'Improved Sales Adjustments'!$G$7:$ZO$147,78,FALSE))),0,IF(HLOOKUP(AB$8,'Improved Sales Adjustments'!$G$7:$ZO$147,77,FALSE)="",0,IF(AND($G39=HLOOKUP(AB$8,'Improved Sales Adjustments'!$G$7:$ZO$147,77,FALSE),$F43=HLOOKUP(AB$8,'Improved Sales Adjustments'!$G$7:$ZO$147,78,FALSE)),1,0))),IF(OR(ISERROR(HLOOKUP(AB$8,'Improved Sales Adjustments'!$G$7:$ZO$147,77,FALSE)),ISERROR(HLOOKUP(AB$8,'Improved Sales Adjustments'!$G$7:$ZO$147,79,FALSE))),0,IF(HLOOKUP(AB$8,'Improved Sales Adjustments'!$G$7:$ZO$147,77,FALSE)="",0,IF(AND($G39=HLOOKUP(AB$8,'Improved Sales Adjustments'!$G$7:$ZO$147,77,FALSE),$F43=HLOOKUP(AB$8,'Improved Sales Adjustments'!$G$7:$ZO$147,79,FALSE)),1,0))))</f>
        <v>0</v>
      </c>
      <c r="AC43" s="707">
        <f>IF(dpSales_Adjustment_4="Construction Quality",IF(OR(ISERROR(HLOOKUP(AC$8,'Improved Sales Adjustments'!$G$7:$ZO$147,77,FALSE)),ISERROR(HLOOKUP(AC$8,'Improved Sales Adjustments'!$G$7:$ZO$147,78,FALSE))),0,IF(HLOOKUP(AC$8,'Improved Sales Adjustments'!$G$7:$ZO$147,77,FALSE)="",0,IF(AND($G39=HLOOKUP(AC$8,'Improved Sales Adjustments'!$G$7:$ZO$147,77,FALSE),$F43=HLOOKUP(AC$8,'Improved Sales Adjustments'!$G$7:$ZO$147,78,FALSE)),1,0))),IF(OR(ISERROR(HLOOKUP(AC$8,'Improved Sales Adjustments'!$G$7:$ZO$147,77,FALSE)),ISERROR(HLOOKUP(AC$8,'Improved Sales Adjustments'!$G$7:$ZO$147,79,FALSE))),0,IF(HLOOKUP(AC$8,'Improved Sales Adjustments'!$G$7:$ZO$147,77,FALSE)="",0,IF(AND($G39=HLOOKUP(AC$8,'Improved Sales Adjustments'!$G$7:$ZO$147,77,FALSE),$F43=HLOOKUP(AC$8,'Improved Sales Adjustments'!$G$7:$ZO$147,79,FALSE)),1,0))))</f>
        <v>0</v>
      </c>
      <c r="AD43" s="707">
        <f>IF(dpSales_Adjustment_4="Construction Quality",IF(OR(ISERROR(HLOOKUP(AD$8,'Improved Sales Adjustments'!$G$7:$ZO$147,77,FALSE)),ISERROR(HLOOKUP(AD$8,'Improved Sales Adjustments'!$G$7:$ZO$147,78,FALSE))),0,IF(HLOOKUP(AD$8,'Improved Sales Adjustments'!$G$7:$ZO$147,77,FALSE)="",0,IF(AND($G39=HLOOKUP(AD$8,'Improved Sales Adjustments'!$G$7:$ZO$147,77,FALSE),$F43=HLOOKUP(AD$8,'Improved Sales Adjustments'!$G$7:$ZO$147,78,FALSE)),1,0))),IF(OR(ISERROR(HLOOKUP(AD$8,'Improved Sales Adjustments'!$G$7:$ZO$147,77,FALSE)),ISERROR(HLOOKUP(AD$8,'Improved Sales Adjustments'!$G$7:$ZO$147,79,FALSE))),0,IF(HLOOKUP(AD$8,'Improved Sales Adjustments'!$G$7:$ZO$147,77,FALSE)="",0,IF(AND($G39=HLOOKUP(AD$8,'Improved Sales Adjustments'!$G$7:$ZO$147,77,FALSE),$F43=HLOOKUP(AD$8,'Improved Sales Adjustments'!$G$7:$ZO$147,79,FALSE)),1,0))))</f>
        <v>0</v>
      </c>
      <c r="AE43" s="707">
        <f>IF(dpSales_Adjustment_4="Construction Quality",IF(OR(ISERROR(HLOOKUP(AE$8,'Improved Sales Adjustments'!$G$7:$ZO$147,77,FALSE)),ISERROR(HLOOKUP(AE$8,'Improved Sales Adjustments'!$G$7:$ZO$147,78,FALSE))),0,IF(HLOOKUP(AE$8,'Improved Sales Adjustments'!$G$7:$ZO$147,77,FALSE)="",0,IF(AND($G39=HLOOKUP(AE$8,'Improved Sales Adjustments'!$G$7:$ZO$147,77,FALSE),$F43=HLOOKUP(AE$8,'Improved Sales Adjustments'!$G$7:$ZO$147,78,FALSE)),1,0))),IF(OR(ISERROR(HLOOKUP(AE$8,'Improved Sales Adjustments'!$G$7:$ZO$147,77,FALSE)),ISERROR(HLOOKUP(AE$8,'Improved Sales Adjustments'!$G$7:$ZO$147,79,FALSE))),0,IF(HLOOKUP(AE$8,'Improved Sales Adjustments'!$G$7:$ZO$147,77,FALSE)="",0,IF(AND($G39=HLOOKUP(AE$8,'Improved Sales Adjustments'!$G$7:$ZO$147,77,FALSE),$F43=HLOOKUP(AE$8,'Improved Sales Adjustments'!$G$7:$ZO$147,79,FALSE)),1,0))))</f>
        <v>0</v>
      </c>
      <c r="AF43" s="707">
        <f>IF(dpSales_Adjustment_4="Construction Quality",IF(OR(ISERROR(HLOOKUP(AF$8,'Improved Sales Adjustments'!$G$7:$ZO$147,77,FALSE)),ISERROR(HLOOKUP(AF$8,'Improved Sales Adjustments'!$G$7:$ZO$147,78,FALSE))),0,IF(HLOOKUP(AF$8,'Improved Sales Adjustments'!$G$7:$ZO$147,77,FALSE)="",0,IF(AND($G39=HLOOKUP(AF$8,'Improved Sales Adjustments'!$G$7:$ZO$147,77,FALSE),$F43=HLOOKUP(AF$8,'Improved Sales Adjustments'!$G$7:$ZO$147,78,FALSE)),1,0))),IF(OR(ISERROR(HLOOKUP(AF$8,'Improved Sales Adjustments'!$G$7:$ZO$147,77,FALSE)),ISERROR(HLOOKUP(AF$8,'Improved Sales Adjustments'!$G$7:$ZO$147,79,FALSE))),0,IF(HLOOKUP(AF$8,'Improved Sales Adjustments'!$G$7:$ZO$147,77,FALSE)="",0,IF(AND($G39=HLOOKUP(AF$8,'Improved Sales Adjustments'!$G$7:$ZO$147,77,FALSE),$F43=HLOOKUP(AF$8,'Improved Sales Adjustments'!$G$7:$ZO$147,79,FALSE)),1,0))))</f>
        <v>0</v>
      </c>
      <c r="AG43" s="707">
        <f>IF(dpSales_Adjustment_4="Construction Quality",IF(OR(ISERROR(HLOOKUP(AG$8,'Improved Sales Adjustments'!$G$7:$ZO$147,77,FALSE)),ISERROR(HLOOKUP(AG$8,'Improved Sales Adjustments'!$G$7:$ZO$147,78,FALSE))),0,IF(HLOOKUP(AG$8,'Improved Sales Adjustments'!$G$7:$ZO$147,77,FALSE)="",0,IF(AND($G39=HLOOKUP(AG$8,'Improved Sales Adjustments'!$G$7:$ZO$147,77,FALSE),$F43=HLOOKUP(AG$8,'Improved Sales Adjustments'!$G$7:$ZO$147,78,FALSE)),1,0))),IF(OR(ISERROR(HLOOKUP(AG$8,'Improved Sales Adjustments'!$G$7:$ZO$147,77,FALSE)),ISERROR(HLOOKUP(AG$8,'Improved Sales Adjustments'!$G$7:$ZO$147,79,FALSE))),0,IF(HLOOKUP(AG$8,'Improved Sales Adjustments'!$G$7:$ZO$147,77,FALSE)="",0,IF(AND($G39=HLOOKUP(AG$8,'Improved Sales Adjustments'!$G$7:$ZO$147,77,FALSE),$F43=HLOOKUP(AG$8,'Improved Sales Adjustments'!$G$7:$ZO$147,79,FALSE)),1,0))))</f>
        <v>0</v>
      </c>
      <c r="AH43" s="707">
        <f>IF(dpSales_Adjustment_4="Construction Quality",IF(OR(ISERROR(HLOOKUP(AH$8,'Improved Sales Adjustments'!$G$7:$ZO$147,77,FALSE)),ISERROR(HLOOKUP(AH$8,'Improved Sales Adjustments'!$G$7:$ZO$147,78,FALSE))),0,IF(HLOOKUP(AH$8,'Improved Sales Adjustments'!$G$7:$ZO$147,77,FALSE)="",0,IF(AND($G39=HLOOKUP(AH$8,'Improved Sales Adjustments'!$G$7:$ZO$147,77,FALSE),$F43=HLOOKUP(AH$8,'Improved Sales Adjustments'!$G$7:$ZO$147,78,FALSE)),1,0))),IF(OR(ISERROR(HLOOKUP(AH$8,'Improved Sales Adjustments'!$G$7:$ZO$147,77,FALSE)),ISERROR(HLOOKUP(AH$8,'Improved Sales Adjustments'!$G$7:$ZO$147,79,FALSE))),0,IF(HLOOKUP(AH$8,'Improved Sales Adjustments'!$G$7:$ZO$147,77,FALSE)="",0,IF(AND($G39=HLOOKUP(AH$8,'Improved Sales Adjustments'!$G$7:$ZO$147,77,FALSE),$F43=HLOOKUP(AH$8,'Improved Sales Adjustments'!$G$7:$ZO$147,79,FALSE)),1,0))))</f>
        <v>0</v>
      </c>
      <c r="AI43" s="707">
        <f>SUM(X43:$X43)</f>
        <v>0</v>
      </c>
      <c r="AJ43" s="707">
        <f>SUM($X43:Y43)</f>
        <v>0</v>
      </c>
      <c r="AK43" s="707">
        <f>SUM($X43:Z43)</f>
        <v>0</v>
      </c>
      <c r="AL43" s="707">
        <f>SUM($X43:AA43)</f>
        <v>0</v>
      </c>
      <c r="AM43" s="707">
        <f>SUM($X43:AB43)</f>
        <v>0</v>
      </c>
      <c r="AN43" s="707">
        <f>SUM($X43:AC43)</f>
        <v>0</v>
      </c>
      <c r="AO43" s="707">
        <f>SUM($X43:AD43)</f>
        <v>0</v>
      </c>
      <c r="AP43" s="707">
        <f>SUM($X43:AE43)</f>
        <v>0</v>
      </c>
      <c r="AQ43" s="707">
        <f>SUM($X43:AF43)</f>
        <v>0</v>
      </c>
      <c r="AR43" s="707">
        <f>SUM($X43:AG43)</f>
        <v>0</v>
      </c>
      <c r="AS43" s="707">
        <f>SUM($X43:AH43)</f>
        <v>0</v>
      </c>
      <c r="AT43" s="707" t="str">
        <f t="shared" si="7"/>
        <v/>
      </c>
      <c r="AU43" s="707" t="str">
        <f t="shared" si="8"/>
        <v/>
      </c>
      <c r="AV43" s="707" t="str">
        <f t="shared" si="9"/>
        <v/>
      </c>
      <c r="AW43" s="707" t="str">
        <f t="shared" si="10"/>
        <v/>
      </c>
      <c r="AX43" s="707" t="str">
        <f t="shared" si="11"/>
        <v/>
      </c>
      <c r="AY43" s="707" t="str">
        <f t="shared" si="12"/>
        <v/>
      </c>
      <c r="AZ43" s="707" t="str">
        <f t="shared" si="13"/>
        <v/>
      </c>
      <c r="BA43" s="707" t="str">
        <f t="shared" si="14"/>
        <v/>
      </c>
      <c r="BB43" s="707" t="str">
        <f t="shared" si="15"/>
        <v/>
      </c>
      <c r="BC43" s="707" t="str">
        <f t="shared" si="16"/>
        <v/>
      </c>
      <c r="BD43" s="707" t="str">
        <f t="shared" si="17"/>
        <v/>
      </c>
    </row>
    <row r="44" spans="1:56" ht="15" customHeight="1" thickBot="1" x14ac:dyDescent="0.3">
      <c r="A44" s="957">
        <v>1</v>
      </c>
      <c r="B44" s="564"/>
      <c r="C44" s="565"/>
      <c r="D44" s="741" t="s">
        <v>1806</v>
      </c>
      <c r="E44" s="2087"/>
      <c r="F44" s="2087"/>
      <c r="G44" s="2087"/>
      <c r="H44" s="2087"/>
      <c r="I44" s="2087"/>
      <c r="J44" s="2087"/>
      <c r="K44" s="2087"/>
      <c r="L44" s="2087"/>
      <c r="M44" s="2087"/>
      <c r="N44" s="2087"/>
      <c r="O44" s="2087"/>
      <c r="P44" s="2087"/>
      <c r="Q44" s="7"/>
      <c r="R44" s="9"/>
      <c r="U44" s="419"/>
    </row>
    <row r="45" spans="1:56" ht="15" customHeight="1" thickBot="1" x14ac:dyDescent="0.3">
      <c r="A45" s="957">
        <v>1</v>
      </c>
    </row>
    <row r="46" spans="1:56" ht="15" customHeight="1" x14ac:dyDescent="0.25">
      <c r="A46" s="957">
        <v>1</v>
      </c>
      <c r="B46" s="1"/>
      <c r="C46" s="2"/>
      <c r="D46" s="202"/>
      <c r="E46" s="2"/>
      <c r="F46" s="2"/>
      <c r="G46" s="2"/>
      <c r="H46" s="2"/>
      <c r="I46" s="2"/>
      <c r="J46" s="2"/>
      <c r="K46" s="2"/>
      <c r="L46" s="2"/>
      <c r="M46" s="2"/>
      <c r="N46" s="2"/>
      <c r="O46" s="2"/>
      <c r="P46" s="228"/>
    </row>
    <row r="47" spans="1:56" ht="15.95" customHeight="1" x14ac:dyDescent="0.25">
      <c r="A47" s="957">
        <v>1</v>
      </c>
      <c r="B47" s="4"/>
      <c r="C47" s="5"/>
      <c r="D47" s="505" t="s">
        <v>555</v>
      </c>
      <c r="E47" s="5"/>
      <c r="F47" s="5"/>
      <c r="G47" s="5"/>
      <c r="H47" s="5"/>
      <c r="I47" s="5"/>
      <c r="J47" s="5"/>
      <c r="K47" s="5"/>
      <c r="L47" s="5"/>
      <c r="M47" s="5"/>
      <c r="N47" s="5"/>
      <c r="O47" s="5"/>
      <c r="P47" s="228"/>
      <c r="T47" s="150"/>
    </row>
    <row r="48" spans="1:56" ht="15" customHeight="1" x14ac:dyDescent="0.25">
      <c r="A48" s="957">
        <v>1</v>
      </c>
      <c r="B48" s="4"/>
      <c r="C48" s="150"/>
      <c r="D48" s="150"/>
      <c r="E48" s="150" t="s">
        <v>128</v>
      </c>
      <c r="F48" s="150" t="s">
        <v>551</v>
      </c>
      <c r="G48" s="4088" t="s">
        <v>116</v>
      </c>
      <c r="H48" s="4088"/>
      <c r="I48" s="150" t="s">
        <v>552</v>
      </c>
      <c r="J48" s="12"/>
      <c r="K48" s="12"/>
      <c r="L48" s="4088" t="s">
        <v>1807</v>
      </c>
      <c r="M48" s="4088"/>
      <c r="N48" s="150"/>
      <c r="O48" s="53"/>
      <c r="P48" s="2084"/>
      <c r="Q48" s="150"/>
      <c r="T48" s="150"/>
    </row>
    <row r="49" spans="1:20" ht="15" customHeight="1" x14ac:dyDescent="0.25">
      <c r="A49" s="957">
        <v>1</v>
      </c>
      <c r="B49" s="4"/>
      <c r="C49" s="150"/>
      <c r="D49" s="150" t="s">
        <v>702</v>
      </c>
      <c r="E49" s="150" t="s">
        <v>1303</v>
      </c>
      <c r="F49" s="150" t="s">
        <v>191</v>
      </c>
      <c r="G49" s="4088" t="s">
        <v>191</v>
      </c>
      <c r="H49" s="4088"/>
      <c r="I49" s="150" t="s">
        <v>191</v>
      </c>
      <c r="J49" s="150" t="s">
        <v>553</v>
      </c>
      <c r="K49" s="150"/>
      <c r="L49" s="4206">
        <v>1.4999999999999999E-2</v>
      </c>
      <c r="M49" s="4206"/>
      <c r="N49" s="150"/>
      <c r="O49" s="53"/>
      <c r="P49" s="2084"/>
      <c r="Q49" s="150"/>
      <c r="T49" s="439"/>
    </row>
    <row r="50" spans="1:20" ht="15" customHeight="1" x14ac:dyDescent="0.25">
      <c r="A50" s="957">
        <f>IF(ISERROR(E50),0,1)</f>
        <v>1</v>
      </c>
      <c r="B50" s="4"/>
      <c r="C50" s="101"/>
      <c r="D50" s="137">
        <v>1</v>
      </c>
      <c r="E50" s="1178">
        <f>HLOOKUP($D50,'Improved Sales Adjustments'!$G$7:$ZP$147,48,FALSE)</f>
        <v>115.45810193755401</v>
      </c>
      <c r="F50" s="2159">
        <f>HLOOKUP($D50,'Improved Sales Adjustments'!$G$7:$ZP$147,91,FALSE)</f>
        <v>0</v>
      </c>
      <c r="G50" s="4197">
        <f t="shared" ref="G50:G64" si="23">Subject_ClearHeight</f>
        <v>0</v>
      </c>
      <c r="H50" s="4197"/>
      <c r="I50" s="351">
        <v>40</v>
      </c>
      <c r="J50" s="2159">
        <f>IF(AND(I50&gt;G50,I50&gt;F50),G50-F50,IF(AND(OR(I50&lt;G50,I50=G50),OR(I50&lt;F50,I50=F50)),0,IF(OR(G50&gt;I50,G50=I50),I50-F50,G50-I50)))</f>
        <v>0</v>
      </c>
      <c r="K50" s="2159"/>
      <c r="L50" s="4195">
        <f>IF(ISERROR(J50*dpSales_ClearHeight_AdjperFoot),"",J50*dpSales_ClearHeight_AdjperFoot)</f>
        <v>0</v>
      </c>
      <c r="M50" s="4195"/>
      <c r="N50" s="101"/>
      <c r="O50" s="5"/>
      <c r="P50" s="228"/>
    </row>
    <row r="51" spans="1:20" ht="15" customHeight="1" x14ac:dyDescent="0.25">
      <c r="A51" s="957">
        <f t="shared" ref="A51:A64" si="24">IF(ISERROR(E51),0,1)</f>
        <v>1</v>
      </c>
      <c r="B51" s="4"/>
      <c r="C51" s="101"/>
      <c r="D51" s="137">
        <f>D50+1</f>
        <v>2</v>
      </c>
      <c r="E51" s="1178">
        <f>HLOOKUP($D51,'Improved Sales Adjustments'!$G$7:$ZP$147,48,FALSE)</f>
        <v>132.81665461604101</v>
      </c>
      <c r="F51" s="2159">
        <f>HLOOKUP($D51,'Improved Sales Adjustments'!$G$7:$ZP$147,91,FALSE)</f>
        <v>0</v>
      </c>
      <c r="G51" s="4197">
        <f t="shared" si="23"/>
        <v>0</v>
      </c>
      <c r="H51" s="4197"/>
      <c r="I51" s="2159">
        <f t="shared" ref="I51:I64" si="25">dpSales_MaxHeightAdj</f>
        <v>40</v>
      </c>
      <c r="J51" s="2159">
        <f t="shared" ref="J51:J64" si="26">IF(AND(I51&gt;G51,I51&gt;F51),G51-F51,IF(AND(OR(I51&lt;G51,I51=G51),OR(I51&lt;F51,I51=F51)),0,IF(OR(G51&gt;I51,G51=I51),I51-F51,G51-I51)))</f>
        <v>0</v>
      </c>
      <c r="K51" s="2159"/>
      <c r="L51" s="4195">
        <f t="shared" ref="L51:L64" si="27">IF(ISERROR(J51*dpSales_ClearHeight_AdjperFoot),"",J51*dpSales_ClearHeight_AdjperFoot)</f>
        <v>0</v>
      </c>
      <c r="M51" s="4195"/>
      <c r="N51" s="101"/>
      <c r="O51" s="5"/>
      <c r="P51" s="228"/>
    </row>
    <row r="52" spans="1:20" ht="15" customHeight="1" x14ac:dyDescent="0.25">
      <c r="A52" s="957">
        <f t="shared" si="24"/>
        <v>1</v>
      </c>
      <c r="B52" s="4"/>
      <c r="C52" s="101"/>
      <c r="D52" s="137">
        <f t="shared" ref="D52:D64" si="28">D51+1</f>
        <v>3</v>
      </c>
      <c r="E52" s="1178">
        <f>HLOOKUP($D52,'Improved Sales Adjustments'!$G$7:$ZP$147,48,FALSE)</f>
        <v>172.33665726564598</v>
      </c>
      <c r="F52" s="2159">
        <f>HLOOKUP($D52,'Improved Sales Adjustments'!$G$7:$ZP$147,91,FALSE)</f>
        <v>0</v>
      </c>
      <c r="G52" s="4197">
        <f t="shared" si="23"/>
        <v>0</v>
      </c>
      <c r="H52" s="4197"/>
      <c r="I52" s="2159">
        <f t="shared" si="25"/>
        <v>40</v>
      </c>
      <c r="J52" s="2159">
        <f t="shared" si="26"/>
        <v>0</v>
      </c>
      <c r="K52" s="2159"/>
      <c r="L52" s="4195">
        <f t="shared" si="27"/>
        <v>0</v>
      </c>
      <c r="M52" s="4195"/>
      <c r="N52" s="101"/>
      <c r="O52" s="5"/>
      <c r="P52" s="228"/>
    </row>
    <row r="53" spans="1:20" ht="15" customHeight="1" x14ac:dyDescent="0.25">
      <c r="A53" s="957">
        <f t="shared" si="24"/>
        <v>1</v>
      </c>
      <c r="B53" s="4"/>
      <c r="C53" s="101"/>
      <c r="D53" s="137">
        <f t="shared" si="28"/>
        <v>4</v>
      </c>
      <c r="E53" s="1178">
        <f>HLOOKUP($D53,'Improved Sales Adjustments'!$G$7:$ZP$147,48,FALSE)</f>
        <v>168.09486097596073</v>
      </c>
      <c r="F53" s="2159">
        <f>HLOOKUP($D53,'Improved Sales Adjustments'!$G$7:$ZP$147,91,FALSE)</f>
        <v>0</v>
      </c>
      <c r="G53" s="4197">
        <f t="shared" si="23"/>
        <v>0</v>
      </c>
      <c r="H53" s="4197"/>
      <c r="I53" s="2159">
        <f t="shared" si="25"/>
        <v>40</v>
      </c>
      <c r="J53" s="2159">
        <f t="shared" si="26"/>
        <v>0</v>
      </c>
      <c r="K53" s="2159"/>
      <c r="L53" s="4195">
        <f t="shared" si="27"/>
        <v>0</v>
      </c>
      <c r="M53" s="4195"/>
      <c r="N53" s="101"/>
      <c r="O53" s="5"/>
      <c r="P53" s="228"/>
    </row>
    <row r="54" spans="1:20" ht="15" customHeight="1" x14ac:dyDescent="0.25">
      <c r="A54" s="957">
        <f t="shared" si="24"/>
        <v>0</v>
      </c>
      <c r="B54" s="4"/>
      <c r="C54" s="101"/>
      <c r="D54" s="137">
        <f t="shared" si="28"/>
        <v>5</v>
      </c>
      <c r="E54" s="1178" t="e">
        <f>HLOOKUP($D54,'Improved Sales Adjustments'!$G$7:$ZP$147,48,FALSE)</f>
        <v>#N/A</v>
      </c>
      <c r="F54" s="2159" t="e">
        <f>HLOOKUP($D54,'Improved Sales Adjustments'!$G$7:$ZP$147,91,FALSE)</f>
        <v>#N/A</v>
      </c>
      <c r="G54" s="4197">
        <f t="shared" si="23"/>
        <v>0</v>
      </c>
      <c r="H54" s="4197"/>
      <c r="I54" s="2159">
        <f t="shared" si="25"/>
        <v>40</v>
      </c>
      <c r="J54" s="2159" t="e">
        <f t="shared" si="26"/>
        <v>#N/A</v>
      </c>
      <c r="K54" s="2159"/>
      <c r="L54" s="4195" t="str">
        <f t="shared" si="27"/>
        <v/>
      </c>
      <c r="M54" s="4195"/>
      <c r="N54" s="101"/>
      <c r="O54" s="5"/>
      <c r="P54" s="228"/>
    </row>
    <row r="55" spans="1:20" ht="15" customHeight="1" x14ac:dyDescent="0.25">
      <c r="A55" s="957">
        <f t="shared" si="24"/>
        <v>0</v>
      </c>
      <c r="B55" s="4"/>
      <c r="C55" s="101"/>
      <c r="D55" s="137">
        <f t="shared" si="28"/>
        <v>6</v>
      </c>
      <c r="E55" s="1178" t="e">
        <f>HLOOKUP($D55,'Improved Sales Adjustments'!$G$7:$ZP$147,48,FALSE)</f>
        <v>#N/A</v>
      </c>
      <c r="F55" s="2159" t="e">
        <f>HLOOKUP($D55,'Improved Sales Adjustments'!$G$7:$ZP$147,91,FALSE)</f>
        <v>#N/A</v>
      </c>
      <c r="G55" s="4197">
        <f t="shared" si="23"/>
        <v>0</v>
      </c>
      <c r="H55" s="4197"/>
      <c r="I55" s="2159">
        <f t="shared" si="25"/>
        <v>40</v>
      </c>
      <c r="J55" s="2159" t="e">
        <f t="shared" si="26"/>
        <v>#N/A</v>
      </c>
      <c r="K55" s="2159"/>
      <c r="L55" s="4195" t="str">
        <f t="shared" si="27"/>
        <v/>
      </c>
      <c r="M55" s="4195"/>
      <c r="N55" s="101"/>
      <c r="O55" s="5"/>
      <c r="P55" s="228"/>
    </row>
    <row r="56" spans="1:20" ht="15" customHeight="1" x14ac:dyDescent="0.25">
      <c r="A56" s="957">
        <f t="shared" si="24"/>
        <v>0</v>
      </c>
      <c r="B56" s="4"/>
      <c r="C56" s="101"/>
      <c r="D56" s="137">
        <f t="shared" si="28"/>
        <v>7</v>
      </c>
      <c r="E56" s="1178" t="e">
        <f>HLOOKUP($D56,'Improved Sales Adjustments'!$G$7:$ZP$147,48,FALSE)</f>
        <v>#N/A</v>
      </c>
      <c r="F56" s="2159" t="e">
        <f>HLOOKUP($D56,'Improved Sales Adjustments'!$G$7:$ZP$147,91,FALSE)</f>
        <v>#N/A</v>
      </c>
      <c r="G56" s="4197">
        <f t="shared" si="23"/>
        <v>0</v>
      </c>
      <c r="H56" s="4197"/>
      <c r="I56" s="2159">
        <f t="shared" si="25"/>
        <v>40</v>
      </c>
      <c r="J56" s="2159" t="e">
        <f t="shared" si="26"/>
        <v>#N/A</v>
      </c>
      <c r="K56" s="2159"/>
      <c r="L56" s="4195" t="str">
        <f t="shared" si="27"/>
        <v/>
      </c>
      <c r="M56" s="4195"/>
      <c r="N56" s="101"/>
      <c r="O56" s="5"/>
      <c r="P56" s="228"/>
    </row>
    <row r="57" spans="1:20" ht="15" customHeight="1" x14ac:dyDescent="0.25">
      <c r="A57" s="957">
        <f t="shared" si="24"/>
        <v>0</v>
      </c>
      <c r="B57" s="4"/>
      <c r="C57" s="101"/>
      <c r="D57" s="137">
        <f>D56+1</f>
        <v>8</v>
      </c>
      <c r="E57" s="1178" t="e">
        <f>HLOOKUP($D57,'Improved Sales Adjustments'!$G$7:$ZP$147,48,FALSE)</f>
        <v>#N/A</v>
      </c>
      <c r="F57" s="2159" t="e">
        <f>HLOOKUP($D57,'Improved Sales Adjustments'!$G$7:$ZP$147,91,FALSE)</f>
        <v>#N/A</v>
      </c>
      <c r="G57" s="4197">
        <f t="shared" si="23"/>
        <v>0</v>
      </c>
      <c r="H57" s="4197"/>
      <c r="I57" s="2159">
        <f t="shared" si="25"/>
        <v>40</v>
      </c>
      <c r="J57" s="2159" t="e">
        <f t="shared" si="26"/>
        <v>#N/A</v>
      </c>
      <c r="K57" s="2159"/>
      <c r="L57" s="4195" t="str">
        <f t="shared" si="27"/>
        <v/>
      </c>
      <c r="M57" s="4195"/>
      <c r="N57" s="101"/>
      <c r="O57" s="5"/>
      <c r="P57" s="228"/>
    </row>
    <row r="58" spans="1:20" ht="15" customHeight="1" x14ac:dyDescent="0.25">
      <c r="A58" s="957">
        <f t="shared" si="24"/>
        <v>0</v>
      </c>
      <c r="B58" s="4"/>
      <c r="C58" s="101"/>
      <c r="D58" s="137">
        <f t="shared" si="28"/>
        <v>9</v>
      </c>
      <c r="E58" s="1178" t="e">
        <f>HLOOKUP($D58,'Improved Sales Adjustments'!$G$7:$ZP$147,48,FALSE)</f>
        <v>#N/A</v>
      </c>
      <c r="F58" s="2159" t="e">
        <f>HLOOKUP($D58,'Improved Sales Adjustments'!$G$7:$ZP$147,91,FALSE)</f>
        <v>#N/A</v>
      </c>
      <c r="G58" s="4197">
        <f t="shared" si="23"/>
        <v>0</v>
      </c>
      <c r="H58" s="4197"/>
      <c r="I58" s="2159">
        <f t="shared" si="25"/>
        <v>40</v>
      </c>
      <c r="J58" s="2159" t="e">
        <f t="shared" si="26"/>
        <v>#N/A</v>
      </c>
      <c r="K58" s="2159"/>
      <c r="L58" s="4195" t="str">
        <f t="shared" si="27"/>
        <v/>
      </c>
      <c r="M58" s="4195"/>
      <c r="N58" s="101"/>
      <c r="O58" s="5"/>
      <c r="P58" s="228"/>
    </row>
    <row r="59" spans="1:20" ht="15" customHeight="1" x14ac:dyDescent="0.25">
      <c r="A59" s="957">
        <f t="shared" si="24"/>
        <v>0</v>
      </c>
      <c r="B59" s="4"/>
      <c r="C59" s="101"/>
      <c r="D59" s="137">
        <f t="shared" si="28"/>
        <v>10</v>
      </c>
      <c r="E59" s="1178" t="e">
        <f>HLOOKUP($D59,'Improved Sales Adjustments'!$G$7:$ZP$147,48,FALSE)</f>
        <v>#N/A</v>
      </c>
      <c r="F59" s="2159" t="e">
        <f>HLOOKUP($D59,'Improved Sales Adjustments'!$G$7:$ZP$147,91,FALSE)</f>
        <v>#N/A</v>
      </c>
      <c r="G59" s="4197">
        <f t="shared" si="23"/>
        <v>0</v>
      </c>
      <c r="H59" s="4197"/>
      <c r="I59" s="2159">
        <f t="shared" si="25"/>
        <v>40</v>
      </c>
      <c r="J59" s="2159" t="e">
        <f t="shared" si="26"/>
        <v>#N/A</v>
      </c>
      <c r="K59" s="2159"/>
      <c r="L59" s="4195" t="str">
        <f t="shared" si="27"/>
        <v/>
      </c>
      <c r="M59" s="4195"/>
      <c r="N59" s="101"/>
      <c r="O59" s="5"/>
      <c r="P59" s="228"/>
    </row>
    <row r="60" spans="1:20" ht="15" customHeight="1" x14ac:dyDescent="0.25">
      <c r="A60" s="957">
        <f t="shared" si="24"/>
        <v>0</v>
      </c>
      <c r="B60" s="4"/>
      <c r="C60" s="101"/>
      <c r="D60" s="137">
        <f t="shared" si="28"/>
        <v>11</v>
      </c>
      <c r="E60" s="1178" t="e">
        <f>HLOOKUP($D60,'Improved Sales Adjustments'!$G$7:$ZP$147,48,FALSE)</f>
        <v>#N/A</v>
      </c>
      <c r="F60" s="2159" t="e">
        <f>HLOOKUP($D60,'Improved Sales Adjustments'!$G$7:$ZP$147,91,FALSE)</f>
        <v>#N/A</v>
      </c>
      <c r="G60" s="4197">
        <f t="shared" si="23"/>
        <v>0</v>
      </c>
      <c r="H60" s="4197"/>
      <c r="I60" s="2159">
        <f t="shared" si="25"/>
        <v>40</v>
      </c>
      <c r="J60" s="2159" t="e">
        <f t="shared" si="26"/>
        <v>#N/A</v>
      </c>
      <c r="K60" s="2159"/>
      <c r="L60" s="4195" t="str">
        <f t="shared" si="27"/>
        <v/>
      </c>
      <c r="M60" s="4195"/>
      <c r="N60" s="101"/>
      <c r="O60" s="5"/>
      <c r="P60" s="228"/>
    </row>
    <row r="61" spans="1:20" ht="15" customHeight="1" x14ac:dyDescent="0.25">
      <c r="A61" s="957">
        <f t="shared" si="24"/>
        <v>0</v>
      </c>
      <c r="B61" s="4"/>
      <c r="C61" s="101"/>
      <c r="D61" s="137">
        <f t="shared" si="28"/>
        <v>12</v>
      </c>
      <c r="E61" s="1178" t="e">
        <f>HLOOKUP($D61,'Improved Sales Adjustments'!$G$7:$ZP$147,48,FALSE)</f>
        <v>#N/A</v>
      </c>
      <c r="F61" s="2159" t="e">
        <f>HLOOKUP($D61,'Improved Sales Adjustments'!$G$7:$ZP$147,91,FALSE)</f>
        <v>#N/A</v>
      </c>
      <c r="G61" s="4197">
        <f t="shared" si="23"/>
        <v>0</v>
      </c>
      <c r="H61" s="4197"/>
      <c r="I61" s="2159">
        <f t="shared" si="25"/>
        <v>40</v>
      </c>
      <c r="J61" s="2159" t="e">
        <f t="shared" si="26"/>
        <v>#N/A</v>
      </c>
      <c r="K61" s="2159"/>
      <c r="L61" s="4195" t="str">
        <f t="shared" si="27"/>
        <v/>
      </c>
      <c r="M61" s="4195"/>
      <c r="N61" s="101"/>
      <c r="O61" s="5"/>
      <c r="P61" s="228"/>
    </row>
    <row r="62" spans="1:20" ht="15" customHeight="1" x14ac:dyDescent="0.25">
      <c r="A62" s="957">
        <f t="shared" si="24"/>
        <v>0</v>
      </c>
      <c r="B62" s="4"/>
      <c r="C62" s="101"/>
      <c r="D62" s="137">
        <f t="shared" si="28"/>
        <v>13</v>
      </c>
      <c r="E62" s="1178" t="e">
        <f>HLOOKUP($D62,'Improved Sales Adjustments'!$G$7:$ZP$147,48,FALSE)</f>
        <v>#N/A</v>
      </c>
      <c r="F62" s="2159" t="e">
        <f>HLOOKUP($D62,'Improved Sales Adjustments'!$G$7:$ZP$147,91,FALSE)</f>
        <v>#N/A</v>
      </c>
      <c r="G62" s="4197">
        <f t="shared" si="23"/>
        <v>0</v>
      </c>
      <c r="H62" s="4197"/>
      <c r="I62" s="2159">
        <f t="shared" si="25"/>
        <v>40</v>
      </c>
      <c r="J62" s="2159" t="e">
        <f t="shared" si="26"/>
        <v>#N/A</v>
      </c>
      <c r="K62" s="2159"/>
      <c r="L62" s="4195" t="str">
        <f t="shared" si="27"/>
        <v/>
      </c>
      <c r="M62" s="4195"/>
      <c r="N62" s="101"/>
      <c r="O62" s="5"/>
      <c r="P62" s="228"/>
    </row>
    <row r="63" spans="1:20" ht="15" customHeight="1" x14ac:dyDescent="0.25">
      <c r="A63" s="957">
        <f t="shared" si="24"/>
        <v>0</v>
      </c>
      <c r="B63" s="4"/>
      <c r="C63" s="101"/>
      <c r="D63" s="137">
        <f t="shared" si="28"/>
        <v>14</v>
      </c>
      <c r="E63" s="1178" t="e">
        <f>HLOOKUP($D63,'Improved Sales Adjustments'!$G$7:$ZP$147,48,FALSE)</f>
        <v>#N/A</v>
      </c>
      <c r="F63" s="2159" t="e">
        <f>HLOOKUP($D63,'Improved Sales Adjustments'!$G$7:$ZP$147,91,FALSE)</f>
        <v>#N/A</v>
      </c>
      <c r="G63" s="4197">
        <f t="shared" si="23"/>
        <v>0</v>
      </c>
      <c r="H63" s="4197"/>
      <c r="I63" s="2159">
        <f t="shared" si="25"/>
        <v>40</v>
      </c>
      <c r="J63" s="2159" t="e">
        <f t="shared" si="26"/>
        <v>#N/A</v>
      </c>
      <c r="K63" s="2159"/>
      <c r="L63" s="4195" t="str">
        <f t="shared" si="27"/>
        <v/>
      </c>
      <c r="M63" s="4195"/>
      <c r="N63" s="101"/>
      <c r="O63" s="5"/>
      <c r="P63" s="228"/>
    </row>
    <row r="64" spans="1:20" ht="15" customHeight="1" thickBot="1" x14ac:dyDescent="0.3">
      <c r="A64" s="957">
        <f t="shared" si="24"/>
        <v>0</v>
      </c>
      <c r="B64" s="4"/>
      <c r="C64" s="101"/>
      <c r="D64" s="137">
        <f t="shared" si="28"/>
        <v>15</v>
      </c>
      <c r="E64" s="1178" t="e">
        <f>HLOOKUP($D64,'Improved Sales Adjustments'!$G$7:$ZP$147,48,FALSE)</f>
        <v>#N/A</v>
      </c>
      <c r="F64" s="2159" t="e">
        <f>HLOOKUP($D64,'Improved Sales Adjustments'!$G$7:$ZP$147,91,FALSE)</f>
        <v>#N/A</v>
      </c>
      <c r="G64" s="4196">
        <f t="shared" si="23"/>
        <v>0</v>
      </c>
      <c r="H64" s="4196"/>
      <c r="I64" s="2159">
        <f t="shared" si="25"/>
        <v>40</v>
      </c>
      <c r="J64" s="2159" t="e">
        <f t="shared" si="26"/>
        <v>#N/A</v>
      </c>
      <c r="K64" s="2159"/>
      <c r="L64" s="4200" t="str">
        <f t="shared" si="27"/>
        <v/>
      </c>
      <c r="M64" s="4200"/>
      <c r="N64" s="101"/>
      <c r="O64" s="5"/>
      <c r="P64" s="228"/>
    </row>
    <row r="65" spans="1:17" ht="15" customHeight="1" thickBot="1" x14ac:dyDescent="0.3">
      <c r="A65" s="957">
        <v>1</v>
      </c>
      <c r="B65" s="8"/>
      <c r="C65" s="7"/>
      <c r="D65" s="555" t="s">
        <v>867</v>
      </c>
      <c r="E65" s="133"/>
      <c r="F65" s="133"/>
      <c r="G65" s="133"/>
      <c r="H65" s="133"/>
      <c r="I65" s="133"/>
      <c r="J65" s="133"/>
      <c r="K65" s="133"/>
      <c r="L65" s="133"/>
      <c r="M65" s="133"/>
      <c r="N65" s="7"/>
      <c r="O65" s="7"/>
      <c r="P65" s="228"/>
    </row>
    <row r="66" spans="1:17" ht="15" customHeight="1" thickBot="1" x14ac:dyDescent="0.3">
      <c r="A66" s="957">
        <v>1</v>
      </c>
    </row>
    <row r="67" spans="1:17" ht="15" customHeight="1" x14ac:dyDescent="0.25">
      <c r="A67" s="957">
        <v>1</v>
      </c>
      <c r="B67" s="1"/>
      <c r="C67" s="2"/>
      <c r="D67" s="202"/>
      <c r="E67" s="2"/>
      <c r="F67" s="2"/>
      <c r="G67" s="2"/>
      <c r="H67" s="2"/>
      <c r="I67" s="2"/>
      <c r="J67" s="2"/>
      <c r="K67" s="2"/>
      <c r="L67" s="2"/>
      <c r="M67" s="228"/>
    </row>
    <row r="68" spans="1:17" ht="15.95" customHeight="1" x14ac:dyDescent="0.25">
      <c r="A68" s="957">
        <v>1</v>
      </c>
      <c r="B68" s="4"/>
      <c r="C68" s="5"/>
      <c r="D68" s="505" t="s">
        <v>556</v>
      </c>
      <c r="E68" s="5"/>
      <c r="F68" s="5"/>
      <c r="G68" s="5"/>
      <c r="H68" s="5"/>
      <c r="I68" s="5"/>
      <c r="J68" s="5"/>
      <c r="K68" s="5"/>
      <c r="L68" s="5"/>
      <c r="M68" s="228"/>
    </row>
    <row r="69" spans="1:17" ht="15" customHeight="1" x14ac:dyDescent="0.25">
      <c r="A69" s="957">
        <v>1</v>
      </c>
      <c r="B69" s="4"/>
      <c r="C69" s="150"/>
      <c r="D69" s="150"/>
      <c r="E69" s="150" t="s">
        <v>128</v>
      </c>
      <c r="F69" s="150" t="s">
        <v>551</v>
      </c>
      <c r="G69" s="4088" t="s">
        <v>116</v>
      </c>
      <c r="H69" s="4088"/>
      <c r="I69" s="12"/>
      <c r="J69" s="150" t="s">
        <v>1807</v>
      </c>
      <c r="K69" s="150"/>
      <c r="L69" s="5"/>
      <c r="M69" s="228"/>
      <c r="N69" s="150"/>
      <c r="O69" s="150"/>
      <c r="P69" s="150"/>
      <c r="Q69" s="150"/>
    </row>
    <row r="70" spans="1:17" ht="15" customHeight="1" x14ac:dyDescent="0.25">
      <c r="A70" s="957">
        <v>1</v>
      </c>
      <c r="B70" s="4"/>
      <c r="C70" s="150"/>
      <c r="D70" s="150" t="s">
        <v>702</v>
      </c>
      <c r="E70" s="150" t="s">
        <v>1303</v>
      </c>
      <c r="F70" s="150" t="s">
        <v>540</v>
      </c>
      <c r="G70" s="4088" t="s">
        <v>540</v>
      </c>
      <c r="H70" s="4088"/>
      <c r="I70" s="150" t="s">
        <v>553</v>
      </c>
      <c r="J70" s="1703">
        <v>40</v>
      </c>
      <c r="K70" s="350"/>
      <c r="L70" s="5"/>
      <c r="M70" s="11" t="s">
        <v>1856</v>
      </c>
      <c r="N70" s="150"/>
      <c r="O70" s="150"/>
      <c r="P70" s="150"/>
      <c r="Q70" s="150"/>
    </row>
    <row r="71" spans="1:17" ht="15" customHeight="1" x14ac:dyDescent="0.25">
      <c r="A71" s="957">
        <f>IF(ISERROR(E71),0,1)</f>
        <v>1</v>
      </c>
      <c r="B71" s="4"/>
      <c r="C71" s="101"/>
      <c r="D71" s="137">
        <v>1</v>
      </c>
      <c r="E71" s="1178">
        <f>HLOOKUP($D71,'Improved Sales Adjustments'!$G$7:$ZP$147,48,FALSE)</f>
        <v>115.45810193755401</v>
      </c>
      <c r="F71" s="2129">
        <f>HLOOKUP($D71,'Improved Sales Adjustments'!$G$7:$ZP$147,97,FALSE)</f>
        <v>0</v>
      </c>
      <c r="G71" s="4195">
        <f t="shared" ref="G71:G85" si="29">Subject_PercentOfficeFinish</f>
        <v>7.4999999999999997E-2</v>
      </c>
      <c r="H71" s="4195"/>
      <c r="I71" s="2130">
        <f>G71-F71</f>
        <v>7.4999999999999997E-2</v>
      </c>
      <c r="J71" s="2130">
        <f t="shared" ref="J71:J85" si="30">IF(ISERROR((Sales_PercentOffice_AdjPSF*I71)/E71),"",ROUND(Sales_PercentOffice_AdjPSF*I71/E71,2))</f>
        <v>0.03</v>
      </c>
      <c r="K71" s="2130"/>
      <c r="L71" s="5"/>
      <c r="M71" s="228"/>
    </row>
    <row r="72" spans="1:17" ht="15" customHeight="1" x14ac:dyDescent="0.25">
      <c r="A72" s="957">
        <f t="shared" ref="A72:A85" si="31">IF(ISERROR(E72),0,1)</f>
        <v>1</v>
      </c>
      <c r="B72" s="4"/>
      <c r="C72" s="101"/>
      <c r="D72" s="137">
        <f t="shared" ref="D72:D78" si="32">D71+1</f>
        <v>2</v>
      </c>
      <c r="E72" s="1178">
        <f>HLOOKUP($D72,'Improved Sales Adjustments'!$G$7:$ZP$147,48,FALSE)</f>
        <v>132.81665461604101</v>
      </c>
      <c r="F72" s="2129">
        <f>HLOOKUP($D72,'Improved Sales Adjustments'!$G$7:$ZP$147,97,FALSE)</f>
        <v>0</v>
      </c>
      <c r="G72" s="4195">
        <f t="shared" si="29"/>
        <v>7.4999999999999997E-2</v>
      </c>
      <c r="H72" s="4195"/>
      <c r="I72" s="2130">
        <f t="shared" ref="I72:I85" si="33">G72-F72</f>
        <v>7.4999999999999997E-2</v>
      </c>
      <c r="J72" s="2130">
        <f t="shared" si="30"/>
        <v>0.02</v>
      </c>
      <c r="K72" s="2130"/>
      <c r="L72" s="5"/>
      <c r="M72" s="228"/>
    </row>
    <row r="73" spans="1:17" ht="15" customHeight="1" x14ac:dyDescent="0.25">
      <c r="A73" s="957">
        <f t="shared" si="31"/>
        <v>1</v>
      </c>
      <c r="B73" s="4"/>
      <c r="C73" s="101"/>
      <c r="D73" s="137">
        <f t="shared" si="32"/>
        <v>3</v>
      </c>
      <c r="E73" s="1178">
        <f>HLOOKUP($D73,'Improved Sales Adjustments'!$G$7:$ZP$147,48,FALSE)</f>
        <v>172.33665726564598</v>
      </c>
      <c r="F73" s="2129">
        <f>HLOOKUP($D73,'Improved Sales Adjustments'!$G$7:$ZP$147,97,FALSE)</f>
        <v>0</v>
      </c>
      <c r="G73" s="4195">
        <f t="shared" si="29"/>
        <v>7.4999999999999997E-2</v>
      </c>
      <c r="H73" s="4195"/>
      <c r="I73" s="2130">
        <f t="shared" si="33"/>
        <v>7.4999999999999997E-2</v>
      </c>
      <c r="J73" s="2130">
        <f t="shared" si="30"/>
        <v>0.02</v>
      </c>
      <c r="K73" s="2130"/>
      <c r="L73" s="5"/>
      <c r="M73" s="228"/>
    </row>
    <row r="74" spans="1:17" ht="15" customHeight="1" x14ac:dyDescent="0.25">
      <c r="A74" s="957">
        <f t="shared" si="31"/>
        <v>1</v>
      </c>
      <c r="B74" s="4"/>
      <c r="C74" s="101"/>
      <c r="D74" s="137">
        <f t="shared" si="32"/>
        <v>4</v>
      </c>
      <c r="E74" s="1178">
        <f>HLOOKUP($D74,'Improved Sales Adjustments'!$G$7:$ZP$147,48,FALSE)</f>
        <v>168.09486097596073</v>
      </c>
      <c r="F74" s="2129">
        <f>HLOOKUP($D74,'Improved Sales Adjustments'!$G$7:$ZP$147,97,FALSE)</f>
        <v>0</v>
      </c>
      <c r="G74" s="4195">
        <f t="shared" si="29"/>
        <v>7.4999999999999997E-2</v>
      </c>
      <c r="H74" s="4195"/>
      <c r="I74" s="2130">
        <f t="shared" si="33"/>
        <v>7.4999999999999997E-2</v>
      </c>
      <c r="J74" s="2130">
        <f t="shared" si="30"/>
        <v>0.02</v>
      </c>
      <c r="K74" s="2130"/>
      <c r="L74" s="5"/>
      <c r="M74" s="228"/>
    </row>
    <row r="75" spans="1:17" ht="15" customHeight="1" x14ac:dyDescent="0.25">
      <c r="A75" s="957">
        <f t="shared" si="31"/>
        <v>0</v>
      </c>
      <c r="B75" s="4"/>
      <c r="C75" s="101"/>
      <c r="D75" s="137">
        <f t="shared" si="32"/>
        <v>5</v>
      </c>
      <c r="E75" s="1178" t="e">
        <f>HLOOKUP($D75,'Improved Sales Adjustments'!$G$7:$ZP$147,48,FALSE)</f>
        <v>#N/A</v>
      </c>
      <c r="F75" s="2129" t="e">
        <f>HLOOKUP($D75,'Improved Sales Adjustments'!$G$7:$ZP$147,97,FALSE)</f>
        <v>#N/A</v>
      </c>
      <c r="G75" s="4195">
        <f t="shared" si="29"/>
        <v>7.4999999999999997E-2</v>
      </c>
      <c r="H75" s="4195"/>
      <c r="I75" s="2130" t="e">
        <f t="shared" si="33"/>
        <v>#N/A</v>
      </c>
      <c r="J75" s="2130" t="str">
        <f t="shared" si="30"/>
        <v/>
      </c>
      <c r="K75" s="2130"/>
      <c r="L75" s="5"/>
      <c r="M75" s="228"/>
    </row>
    <row r="76" spans="1:17" ht="15" customHeight="1" x14ac:dyDescent="0.25">
      <c r="A76" s="957">
        <f t="shared" si="31"/>
        <v>0</v>
      </c>
      <c r="B76" s="4"/>
      <c r="C76" s="101"/>
      <c r="D76" s="137">
        <f t="shared" si="32"/>
        <v>6</v>
      </c>
      <c r="E76" s="1178" t="e">
        <f>HLOOKUP($D76,'Improved Sales Adjustments'!$G$7:$ZP$147,48,FALSE)</f>
        <v>#N/A</v>
      </c>
      <c r="F76" s="2129" t="e">
        <f>HLOOKUP($D76,'Improved Sales Adjustments'!$G$7:$ZP$147,97,FALSE)</f>
        <v>#N/A</v>
      </c>
      <c r="G76" s="4195">
        <f t="shared" si="29"/>
        <v>7.4999999999999997E-2</v>
      </c>
      <c r="H76" s="4195"/>
      <c r="I76" s="2130" t="e">
        <f t="shared" si="33"/>
        <v>#N/A</v>
      </c>
      <c r="J76" s="2130" t="str">
        <f t="shared" si="30"/>
        <v/>
      </c>
      <c r="K76" s="2130"/>
      <c r="L76" s="5"/>
      <c r="M76" s="228"/>
    </row>
    <row r="77" spans="1:17" ht="15" customHeight="1" x14ac:dyDescent="0.25">
      <c r="A77" s="957">
        <f t="shared" si="31"/>
        <v>0</v>
      </c>
      <c r="B77" s="4"/>
      <c r="C77" s="101"/>
      <c r="D77" s="137">
        <f t="shared" si="32"/>
        <v>7</v>
      </c>
      <c r="E77" s="1178" t="e">
        <f>HLOOKUP($D77,'Improved Sales Adjustments'!$G$7:$ZP$147,48,FALSE)</f>
        <v>#N/A</v>
      </c>
      <c r="F77" s="2129" t="e">
        <f>HLOOKUP($D77,'Improved Sales Adjustments'!$G$7:$ZP$147,97,FALSE)</f>
        <v>#N/A</v>
      </c>
      <c r="G77" s="4195">
        <f t="shared" si="29"/>
        <v>7.4999999999999997E-2</v>
      </c>
      <c r="H77" s="4195"/>
      <c r="I77" s="2130" t="e">
        <f t="shared" si="33"/>
        <v>#N/A</v>
      </c>
      <c r="J77" s="2130" t="str">
        <f t="shared" si="30"/>
        <v/>
      </c>
      <c r="K77" s="2130"/>
      <c r="L77" s="5"/>
      <c r="M77" s="228"/>
    </row>
    <row r="78" spans="1:17" ht="15" customHeight="1" x14ac:dyDescent="0.25">
      <c r="A78" s="957">
        <f t="shared" si="31"/>
        <v>0</v>
      </c>
      <c r="B78" s="4"/>
      <c r="C78" s="101"/>
      <c r="D78" s="137">
        <f t="shared" si="32"/>
        <v>8</v>
      </c>
      <c r="E78" s="1178" t="e">
        <f>HLOOKUP($D78,'Improved Sales Adjustments'!$G$7:$ZP$147,48,FALSE)</f>
        <v>#N/A</v>
      </c>
      <c r="F78" s="2129" t="e">
        <f>HLOOKUP($D78,'Improved Sales Adjustments'!$G$7:$ZP$147,97,FALSE)</f>
        <v>#N/A</v>
      </c>
      <c r="G78" s="4195">
        <f t="shared" si="29"/>
        <v>7.4999999999999997E-2</v>
      </c>
      <c r="H78" s="4195"/>
      <c r="I78" s="2130" t="e">
        <f t="shared" si="33"/>
        <v>#N/A</v>
      </c>
      <c r="J78" s="2130" t="str">
        <f t="shared" si="30"/>
        <v/>
      </c>
      <c r="K78" s="2130"/>
      <c r="L78" s="5"/>
      <c r="M78" s="228"/>
    </row>
    <row r="79" spans="1:17" ht="15" customHeight="1" x14ac:dyDescent="0.25">
      <c r="A79" s="957">
        <f t="shared" si="31"/>
        <v>0</v>
      </c>
      <c r="B79" s="4"/>
      <c r="C79" s="101"/>
      <c r="D79" s="137">
        <f t="shared" ref="D79:D85" si="34">D78+1</f>
        <v>9</v>
      </c>
      <c r="E79" s="1178" t="e">
        <f>HLOOKUP($D79,'Improved Sales Adjustments'!$G$7:$ZP$147,48,FALSE)</f>
        <v>#N/A</v>
      </c>
      <c r="F79" s="2129" t="e">
        <f>HLOOKUP($D79,'Improved Sales Adjustments'!$G$7:$ZP$147,97,FALSE)</f>
        <v>#N/A</v>
      </c>
      <c r="G79" s="4195">
        <f t="shared" si="29"/>
        <v>7.4999999999999997E-2</v>
      </c>
      <c r="H79" s="4195"/>
      <c r="I79" s="2130" t="e">
        <f t="shared" si="33"/>
        <v>#N/A</v>
      </c>
      <c r="J79" s="2130" t="str">
        <f t="shared" si="30"/>
        <v/>
      </c>
      <c r="K79" s="2130"/>
      <c r="L79" s="5"/>
      <c r="M79" s="228"/>
    </row>
    <row r="80" spans="1:17" ht="15" customHeight="1" x14ac:dyDescent="0.25">
      <c r="A80" s="957">
        <f t="shared" si="31"/>
        <v>0</v>
      </c>
      <c r="B80" s="4"/>
      <c r="C80" s="101"/>
      <c r="D80" s="137">
        <f t="shared" si="34"/>
        <v>10</v>
      </c>
      <c r="E80" s="1178" t="e">
        <f>HLOOKUP($D80,'Improved Sales Adjustments'!$G$7:$ZP$147,48,FALSE)</f>
        <v>#N/A</v>
      </c>
      <c r="F80" s="2129" t="e">
        <f>HLOOKUP($D80,'Improved Sales Adjustments'!$G$7:$ZP$147,97,FALSE)</f>
        <v>#N/A</v>
      </c>
      <c r="G80" s="4195">
        <f t="shared" si="29"/>
        <v>7.4999999999999997E-2</v>
      </c>
      <c r="H80" s="4195"/>
      <c r="I80" s="2130" t="e">
        <f t="shared" si="33"/>
        <v>#N/A</v>
      </c>
      <c r="J80" s="2130" t="str">
        <f t="shared" si="30"/>
        <v/>
      </c>
      <c r="K80" s="2130"/>
      <c r="L80" s="5"/>
      <c r="M80" s="228"/>
    </row>
    <row r="81" spans="1:18" ht="15" customHeight="1" x14ac:dyDescent="0.25">
      <c r="A81" s="957">
        <f t="shared" si="31"/>
        <v>0</v>
      </c>
      <c r="B81" s="4"/>
      <c r="C81" s="101"/>
      <c r="D81" s="137">
        <f t="shared" si="34"/>
        <v>11</v>
      </c>
      <c r="E81" s="1178" t="e">
        <f>HLOOKUP($D81,'Improved Sales Adjustments'!$G$7:$ZP$147,48,FALSE)</f>
        <v>#N/A</v>
      </c>
      <c r="F81" s="2129" t="e">
        <f>HLOOKUP($D81,'Improved Sales Adjustments'!$G$7:$ZP$147,97,FALSE)</f>
        <v>#N/A</v>
      </c>
      <c r="G81" s="4195">
        <f t="shared" si="29"/>
        <v>7.4999999999999997E-2</v>
      </c>
      <c r="H81" s="4195"/>
      <c r="I81" s="2130" t="e">
        <f t="shared" si="33"/>
        <v>#N/A</v>
      </c>
      <c r="J81" s="2130" t="str">
        <f t="shared" si="30"/>
        <v/>
      </c>
      <c r="K81" s="2130"/>
      <c r="L81" s="5"/>
      <c r="M81" s="228"/>
    </row>
    <row r="82" spans="1:18" ht="15" customHeight="1" x14ac:dyDescent="0.25">
      <c r="A82" s="957">
        <f t="shared" si="31"/>
        <v>0</v>
      </c>
      <c r="B82" s="4"/>
      <c r="C82" s="101"/>
      <c r="D82" s="137">
        <f t="shared" si="34"/>
        <v>12</v>
      </c>
      <c r="E82" s="1178" t="e">
        <f>HLOOKUP($D82,'Improved Sales Adjustments'!$G$7:$ZP$147,48,FALSE)</f>
        <v>#N/A</v>
      </c>
      <c r="F82" s="2129" t="e">
        <f>HLOOKUP($D82,'Improved Sales Adjustments'!$G$7:$ZP$147,97,FALSE)</f>
        <v>#N/A</v>
      </c>
      <c r="G82" s="4195">
        <f t="shared" si="29"/>
        <v>7.4999999999999997E-2</v>
      </c>
      <c r="H82" s="4195"/>
      <c r="I82" s="2130" t="e">
        <f t="shared" si="33"/>
        <v>#N/A</v>
      </c>
      <c r="J82" s="2130" t="str">
        <f t="shared" si="30"/>
        <v/>
      </c>
      <c r="K82" s="2130"/>
      <c r="L82" s="5"/>
      <c r="M82" s="228"/>
    </row>
    <row r="83" spans="1:18" ht="15" customHeight="1" x14ac:dyDescent="0.25">
      <c r="A83" s="957">
        <f t="shared" si="31"/>
        <v>0</v>
      </c>
      <c r="B83" s="4"/>
      <c r="C83" s="101"/>
      <c r="D83" s="137">
        <f t="shared" si="34"/>
        <v>13</v>
      </c>
      <c r="E83" s="1178" t="e">
        <f>HLOOKUP($D83,'Improved Sales Adjustments'!$G$7:$ZP$147,48,FALSE)</f>
        <v>#N/A</v>
      </c>
      <c r="F83" s="2129" t="e">
        <f>HLOOKUP($D83,'Improved Sales Adjustments'!$G$7:$ZP$147,97,FALSE)</f>
        <v>#N/A</v>
      </c>
      <c r="G83" s="4195">
        <f t="shared" si="29"/>
        <v>7.4999999999999997E-2</v>
      </c>
      <c r="H83" s="4195"/>
      <c r="I83" s="2130" t="e">
        <f t="shared" si="33"/>
        <v>#N/A</v>
      </c>
      <c r="J83" s="2130" t="str">
        <f t="shared" si="30"/>
        <v/>
      </c>
      <c r="K83" s="2130"/>
      <c r="L83" s="5"/>
      <c r="M83" s="228"/>
    </row>
    <row r="84" spans="1:18" ht="15" customHeight="1" x14ac:dyDescent="0.25">
      <c r="A84" s="957">
        <f t="shared" si="31"/>
        <v>0</v>
      </c>
      <c r="B84" s="4"/>
      <c r="C84" s="101"/>
      <c r="D84" s="137">
        <f t="shared" si="34"/>
        <v>14</v>
      </c>
      <c r="E84" s="1178" t="e">
        <f>HLOOKUP($D84,'Improved Sales Adjustments'!$G$7:$ZP$147,48,FALSE)</f>
        <v>#N/A</v>
      </c>
      <c r="F84" s="2129" t="e">
        <f>HLOOKUP($D84,'Improved Sales Adjustments'!$G$7:$ZP$147,97,FALSE)</f>
        <v>#N/A</v>
      </c>
      <c r="G84" s="4195">
        <f t="shared" si="29"/>
        <v>7.4999999999999997E-2</v>
      </c>
      <c r="H84" s="4195"/>
      <c r="I84" s="2130" t="e">
        <f t="shared" si="33"/>
        <v>#N/A</v>
      </c>
      <c r="J84" s="2130" t="str">
        <f t="shared" si="30"/>
        <v/>
      </c>
      <c r="K84" s="2130"/>
      <c r="L84" s="5"/>
      <c r="M84" s="228"/>
    </row>
    <row r="85" spans="1:18" ht="15" customHeight="1" thickBot="1" x14ac:dyDescent="0.3">
      <c r="A85" s="957">
        <f t="shared" si="31"/>
        <v>0</v>
      </c>
      <c r="B85" s="4"/>
      <c r="C85" s="101"/>
      <c r="D85" s="137">
        <f t="shared" si="34"/>
        <v>15</v>
      </c>
      <c r="E85" s="1178" t="e">
        <f>HLOOKUP($D85,'Improved Sales Adjustments'!$G$7:$ZP$147,48,FALSE)</f>
        <v>#N/A</v>
      </c>
      <c r="F85" s="2129" t="e">
        <f>HLOOKUP($D85,'Improved Sales Adjustments'!$G$7:$ZP$147,97,FALSE)</f>
        <v>#N/A</v>
      </c>
      <c r="G85" s="4200">
        <f t="shared" si="29"/>
        <v>7.4999999999999997E-2</v>
      </c>
      <c r="H85" s="4200"/>
      <c r="I85" s="2130" t="e">
        <f t="shared" si="33"/>
        <v>#N/A</v>
      </c>
      <c r="J85" s="2130" t="str">
        <f t="shared" si="30"/>
        <v/>
      </c>
      <c r="K85" s="2130"/>
      <c r="L85" s="5"/>
      <c r="M85" s="228"/>
    </row>
    <row r="86" spans="1:18" ht="15" customHeight="1" thickBot="1" x14ac:dyDescent="0.3">
      <c r="A86" s="957">
        <v>1</v>
      </c>
      <c r="B86" s="8"/>
      <c r="C86" s="7"/>
      <c r="D86" s="555" t="s">
        <v>868</v>
      </c>
      <c r="E86" s="133"/>
      <c r="F86" s="133"/>
      <c r="G86" s="133"/>
      <c r="H86" s="133"/>
      <c r="I86" s="133"/>
      <c r="J86" s="133"/>
      <c r="K86" s="7"/>
      <c r="L86" s="7"/>
      <c r="M86" s="228"/>
    </row>
    <row r="87" spans="1:18" ht="15" customHeight="1" thickBot="1" x14ac:dyDescent="0.3">
      <c r="A87" s="957">
        <v>1</v>
      </c>
    </row>
    <row r="88" spans="1:18" ht="15" customHeight="1" x14ac:dyDescent="0.25">
      <c r="A88" s="957">
        <v>1</v>
      </c>
      <c r="B88" s="1"/>
      <c r="C88" s="2"/>
      <c r="D88" s="202"/>
      <c r="E88" s="2"/>
      <c r="F88" s="2"/>
      <c r="G88" s="2"/>
      <c r="H88" s="2"/>
      <c r="I88" s="2"/>
      <c r="J88" s="2"/>
      <c r="K88" s="2"/>
      <c r="L88" s="2"/>
      <c r="M88" s="2"/>
      <c r="N88" s="2"/>
      <c r="O88" s="2"/>
      <c r="P88" s="2"/>
      <c r="Q88" s="228"/>
    </row>
    <row r="89" spans="1:18" ht="15.95" customHeight="1" x14ac:dyDescent="0.25">
      <c r="A89" s="957">
        <v>1</v>
      </c>
      <c r="B89" s="4"/>
      <c r="C89" s="5"/>
      <c r="D89" s="505" t="s">
        <v>557</v>
      </c>
      <c r="E89" s="5"/>
      <c r="F89" s="5"/>
      <c r="G89" s="5"/>
      <c r="H89" s="5"/>
      <c r="I89" s="5"/>
      <c r="J89" s="5"/>
      <c r="K89" s="5"/>
      <c r="L89" s="5"/>
      <c r="M89" s="5"/>
      <c r="N89" s="5"/>
      <c r="O89" s="5"/>
      <c r="P89" s="5"/>
      <c r="Q89" s="228"/>
    </row>
    <row r="90" spans="1:18" ht="15" customHeight="1" x14ac:dyDescent="0.25">
      <c r="A90" s="957">
        <v>1</v>
      </c>
      <c r="B90" s="4"/>
      <c r="C90" s="150"/>
      <c r="D90" s="150"/>
      <c r="E90" s="150" t="s">
        <v>128</v>
      </c>
      <c r="F90" s="150" t="s">
        <v>551</v>
      </c>
      <c r="G90" s="4088" t="s">
        <v>116</v>
      </c>
      <c r="H90" s="4088"/>
      <c r="I90" s="150"/>
      <c r="J90" s="150" t="s">
        <v>73</v>
      </c>
      <c r="K90" s="4088" t="s">
        <v>1807</v>
      </c>
      <c r="L90" s="4088"/>
      <c r="M90" s="4088"/>
      <c r="N90" s="150"/>
      <c r="O90" s="53"/>
      <c r="P90" s="53"/>
      <c r="Q90" s="2084"/>
    </row>
    <row r="91" spans="1:18" ht="15" customHeight="1" x14ac:dyDescent="0.25">
      <c r="A91" s="957">
        <v>1</v>
      </c>
      <c r="B91" s="4"/>
      <c r="C91" s="150"/>
      <c r="D91" s="150" t="s">
        <v>702</v>
      </c>
      <c r="E91" s="150" t="s">
        <v>1303</v>
      </c>
      <c r="F91" s="150" t="s">
        <v>558</v>
      </c>
      <c r="G91" s="4088" t="s">
        <v>558</v>
      </c>
      <c r="H91" s="4088"/>
      <c r="I91" s="150" t="s">
        <v>553</v>
      </c>
      <c r="J91" s="150" t="s">
        <v>559</v>
      </c>
      <c r="K91" s="4205">
        <v>0.8</v>
      </c>
      <c r="L91" s="4205"/>
      <c r="M91" s="4205"/>
      <c r="N91" s="150"/>
      <c r="O91" s="53"/>
      <c r="P91" s="53"/>
      <c r="Q91" s="2084"/>
      <c r="R91" s="11" t="s">
        <v>1856</v>
      </c>
    </row>
    <row r="92" spans="1:18" ht="15" customHeight="1" x14ac:dyDescent="0.25">
      <c r="A92" s="957">
        <f>IF(ISERROR(E92),0,1)</f>
        <v>1</v>
      </c>
      <c r="B92" s="4"/>
      <c r="C92" s="101"/>
      <c r="D92" s="137">
        <v>1</v>
      </c>
      <c r="E92" s="1178">
        <f>HLOOKUP($D92,'Improved Sales Adjustments'!$G$7:$ZP$147,48,FALSE)</f>
        <v>115.45810193755401</v>
      </c>
      <c r="F92" s="2158">
        <f>HLOOKUP($D92,'Improved Sales Adjustments'!$G$7:$ZP$147,103,FALSE)</f>
        <v>3.0413513513513513</v>
      </c>
      <c r="G92" s="4188">
        <f t="shared" ref="G92:G106" si="35">Subject_LtoBRatio_Usable</f>
        <v>20.7</v>
      </c>
      <c r="H92" s="4188"/>
      <c r="I92" s="2158">
        <f>G92-F92</f>
        <v>17.658648648648647</v>
      </c>
      <c r="J92" s="1178">
        <v>10</v>
      </c>
      <c r="K92" s="4195">
        <f>IF(OR(dpSale_Method="Land Extraction",ISERROR(IF(dpUnit_Sales="Net Rentable Area",(I92*J92*HLOOKUP($D92,'Improved Sales Adjustments'!$G$7:$ZN$147,6,FALSE))/HLOOKUP($D92,'Improved Sales Adjustments'!$G$7:$ZN$147,12,FALSE),(I92*J92*HLOOKUP($D92,'Improved Sales Adjustments'!$G$7:$ZN$147,7,FALSE))/HLOOKUP($D92,'Improved Sales Adjustments'!$G$7:$ZN$147,12,FALSE)))),"",IF(dpUnit_Sales="Net Rentable Area",ROUND((I92*J92*HLOOKUP($D92,'Improved Sales Adjustments'!$G$7:$ZN$147,6,FALSE))/(HLOOKUP($D92,'Improved Sales Adjustments'!$G$7:$ZN$147,6,FALSE)*E92)*Sales_LtBAdj_Ratio,2),ROUND((I92*J92*HLOOKUP($D92,'Improved Sales Adjustments'!$G$7:$ZN$147,7,FALSE))/(HLOOKUP($D92,'Improved Sales Adjustments'!$G$7:$ZN$147,7,FALSE)*E92)*Sales_LtBAdj_Ratio,2)))</f>
        <v>1.22</v>
      </c>
      <c r="L92" s="4195"/>
      <c r="M92" s="4195"/>
      <c r="N92" s="101"/>
      <c r="O92" s="5"/>
      <c r="P92" s="5"/>
      <c r="Q92" s="228"/>
    </row>
    <row r="93" spans="1:18" ht="15" customHeight="1" x14ac:dyDescent="0.25">
      <c r="A93" s="957">
        <f t="shared" ref="A93:A106" si="36">IF(ISERROR(E93),0,1)</f>
        <v>1</v>
      </c>
      <c r="B93" s="4"/>
      <c r="C93" s="101"/>
      <c r="D93" s="137">
        <f>D92+1</f>
        <v>2</v>
      </c>
      <c r="E93" s="1178">
        <f>HLOOKUP($D93,'Improved Sales Adjustments'!$G$7:$ZP$147,48,FALSE)</f>
        <v>132.81665461604101</v>
      </c>
      <c r="F93" s="2158">
        <f>HLOOKUP($D93,'Improved Sales Adjustments'!$G$7:$ZP$147,103,FALSE)</f>
        <v>1.6718972895863053</v>
      </c>
      <c r="G93" s="4188">
        <f t="shared" si="35"/>
        <v>20.7</v>
      </c>
      <c r="H93" s="4188"/>
      <c r="I93" s="2158">
        <f t="shared" ref="I93:I106" si="37">G93-F93</f>
        <v>19.028102710413695</v>
      </c>
      <c r="J93" s="1178">
        <v>10</v>
      </c>
      <c r="K93" s="4195">
        <f>IF(OR(dpSale_Method="Land Extraction",ISERROR(IF(dpUnit_Sales="Net Rentable Area",(I93*J93*HLOOKUP($D93,'Improved Sales Adjustments'!$G$7:$ZN$147,6,FALSE))/HLOOKUP($D93,'Improved Sales Adjustments'!$G$7:$ZN$147,12,FALSE),(I93*J93*HLOOKUP($D93,'Improved Sales Adjustments'!$G$7:$ZN$147,7,FALSE))/HLOOKUP($D93,'Improved Sales Adjustments'!$G$7:$ZN$147,12,FALSE)))),"",IF(dpUnit_Sales="Net Rentable Area",ROUND((I93*J93*HLOOKUP($D93,'Improved Sales Adjustments'!$G$7:$ZN$147,6,FALSE))/(HLOOKUP($D93,'Improved Sales Adjustments'!$G$7:$ZN$147,6,FALSE)*E93)*Sales_LtBAdj_Ratio,2),ROUND((I93*J93*HLOOKUP($D93,'Improved Sales Adjustments'!$G$7:$ZN$147,7,FALSE))/(HLOOKUP($D93,'Improved Sales Adjustments'!$G$7:$ZN$147,7,FALSE)*E93)*Sales_LtBAdj_Ratio,2)))</f>
        <v>1.1499999999999999</v>
      </c>
      <c r="L93" s="4195"/>
      <c r="M93" s="4195"/>
      <c r="N93" s="101"/>
      <c r="O93" s="5"/>
      <c r="P93" s="5"/>
      <c r="Q93" s="228"/>
    </row>
    <row r="94" spans="1:18" ht="15" customHeight="1" x14ac:dyDescent="0.25">
      <c r="A94" s="957">
        <f t="shared" si="36"/>
        <v>1</v>
      </c>
      <c r="B94" s="4"/>
      <c r="C94" s="101"/>
      <c r="D94" s="137">
        <f t="shared" ref="D94:D103" si="38">D93+1</f>
        <v>3</v>
      </c>
      <c r="E94" s="1178">
        <f>HLOOKUP($D94,'Improved Sales Adjustments'!$G$7:$ZP$147,48,FALSE)</f>
        <v>172.33665726564598</v>
      </c>
      <c r="F94" s="2158">
        <f>HLOOKUP($D94,'Improved Sales Adjustments'!$G$7:$ZP$147,103,FALSE)</f>
        <v>4.9378676470588232</v>
      </c>
      <c r="G94" s="4188">
        <f t="shared" si="35"/>
        <v>20.7</v>
      </c>
      <c r="H94" s="4188"/>
      <c r="I94" s="2158">
        <f t="shared" si="37"/>
        <v>15.762132352941176</v>
      </c>
      <c r="J94" s="1178">
        <v>10</v>
      </c>
      <c r="K94" s="4195">
        <f>IF(OR(dpSale_Method="Land Extraction",ISERROR(IF(dpUnit_Sales="Net Rentable Area",(I94*J94*HLOOKUP($D94,'Improved Sales Adjustments'!$G$7:$ZN$147,6,FALSE))/HLOOKUP($D94,'Improved Sales Adjustments'!$G$7:$ZN$147,12,FALSE),(I94*J94*HLOOKUP($D94,'Improved Sales Adjustments'!$G$7:$ZN$147,7,FALSE))/HLOOKUP($D94,'Improved Sales Adjustments'!$G$7:$ZN$147,12,FALSE)))),"",IF(dpUnit_Sales="Net Rentable Area",ROUND((I94*J94*HLOOKUP($D94,'Improved Sales Adjustments'!$G$7:$ZN$147,6,FALSE))/(HLOOKUP($D94,'Improved Sales Adjustments'!$G$7:$ZN$147,6,FALSE)*E94)*Sales_LtBAdj_Ratio,2),ROUND((I94*J94*HLOOKUP($D94,'Improved Sales Adjustments'!$G$7:$ZN$147,7,FALSE))/(HLOOKUP($D94,'Improved Sales Adjustments'!$G$7:$ZN$147,7,FALSE)*E94)*Sales_LtBAdj_Ratio,2)))</f>
        <v>0.73</v>
      </c>
      <c r="L94" s="4195"/>
      <c r="M94" s="4195"/>
      <c r="N94" s="101"/>
      <c r="O94" s="5"/>
      <c r="P94" s="5"/>
      <c r="Q94" s="228"/>
    </row>
    <row r="95" spans="1:18" ht="15" customHeight="1" x14ac:dyDescent="0.25">
      <c r="A95" s="957">
        <f t="shared" si="36"/>
        <v>1</v>
      </c>
      <c r="B95" s="4"/>
      <c r="C95" s="101"/>
      <c r="D95" s="137">
        <f t="shared" si="38"/>
        <v>4</v>
      </c>
      <c r="E95" s="1178">
        <f>HLOOKUP($D95,'Improved Sales Adjustments'!$G$7:$ZP$147,48,FALSE)</f>
        <v>168.09486097596073</v>
      </c>
      <c r="F95" s="2158">
        <f>HLOOKUP($D95,'Improved Sales Adjustments'!$G$7:$ZP$147,103,FALSE)</f>
        <v>3.0398883420260048</v>
      </c>
      <c r="G95" s="4188">
        <f t="shared" si="35"/>
        <v>20.7</v>
      </c>
      <c r="H95" s="4188"/>
      <c r="I95" s="2158">
        <f t="shared" si="37"/>
        <v>17.660111657973996</v>
      </c>
      <c r="J95" s="1178">
        <v>10</v>
      </c>
      <c r="K95" s="4195">
        <f>IF(OR(dpSale_Method="Land Extraction",ISERROR(IF(dpUnit_Sales="Net Rentable Area",(I95*J95*HLOOKUP($D95,'Improved Sales Adjustments'!$G$7:$ZN$147,6,FALSE))/HLOOKUP($D95,'Improved Sales Adjustments'!$G$7:$ZN$147,12,FALSE),(I95*J95*HLOOKUP($D95,'Improved Sales Adjustments'!$G$7:$ZN$147,7,FALSE))/HLOOKUP($D95,'Improved Sales Adjustments'!$G$7:$ZN$147,12,FALSE)))),"",IF(dpUnit_Sales="Net Rentable Area",ROUND((I95*J95*HLOOKUP($D95,'Improved Sales Adjustments'!$G$7:$ZN$147,6,FALSE))/(HLOOKUP($D95,'Improved Sales Adjustments'!$G$7:$ZN$147,6,FALSE)*E95)*Sales_LtBAdj_Ratio,2),ROUND((I95*J95*HLOOKUP($D95,'Improved Sales Adjustments'!$G$7:$ZN$147,7,FALSE))/(HLOOKUP($D95,'Improved Sales Adjustments'!$G$7:$ZN$147,7,FALSE)*E95)*Sales_LtBAdj_Ratio,2)))</f>
        <v>0.84</v>
      </c>
      <c r="L95" s="4195"/>
      <c r="M95" s="4195"/>
      <c r="N95" s="101"/>
      <c r="O95" s="5"/>
      <c r="P95" s="5"/>
      <c r="Q95" s="228"/>
    </row>
    <row r="96" spans="1:18" ht="15" customHeight="1" x14ac:dyDescent="0.25">
      <c r="A96" s="957">
        <f t="shared" si="36"/>
        <v>0</v>
      </c>
      <c r="B96" s="4"/>
      <c r="C96" s="101"/>
      <c r="D96" s="137">
        <f t="shared" si="38"/>
        <v>5</v>
      </c>
      <c r="E96" s="1178" t="e">
        <f>HLOOKUP($D96,'Improved Sales Adjustments'!$G$7:$ZP$147,48,FALSE)</f>
        <v>#N/A</v>
      </c>
      <c r="F96" s="2158" t="e">
        <f>HLOOKUP($D96,'Improved Sales Adjustments'!$G$7:$ZP$147,103,FALSE)</f>
        <v>#N/A</v>
      </c>
      <c r="G96" s="4188">
        <f t="shared" si="35"/>
        <v>20.7</v>
      </c>
      <c r="H96" s="4188"/>
      <c r="I96" s="2158" t="e">
        <f t="shared" si="37"/>
        <v>#N/A</v>
      </c>
      <c r="J96" s="1178" t="e">
        <f>HLOOKUP($D96,'Improved Sales Adjustments'!$G$7:$ZP$147,13,FALSE)/(HLOOKUP($D96,'Improved Sales Adjustments'!$G$7:$ZP$147,9,FALSE)*43560)</f>
        <v>#N/A</v>
      </c>
      <c r="K96" s="4195" t="str">
        <f>IF(OR(dpSale_Method="Land Extraction",ISERROR(IF(dpUnit_Sales="Net Rentable Area",(I96*J96*HLOOKUP($D96,'Improved Sales Adjustments'!$G$7:$ZN$147,6,FALSE))/HLOOKUP($D96,'Improved Sales Adjustments'!$G$7:$ZN$147,12,FALSE),(I96*J96*HLOOKUP($D96,'Improved Sales Adjustments'!$G$7:$ZN$147,7,FALSE))/HLOOKUP($D96,'Improved Sales Adjustments'!$G$7:$ZN$147,12,FALSE)))),"",IF(dpUnit_Sales="Net Rentable Area",ROUND((I96*J96*HLOOKUP($D96,'Improved Sales Adjustments'!$G$7:$ZN$147,6,FALSE))/(HLOOKUP($D96,'Improved Sales Adjustments'!$G$7:$ZN$147,6,FALSE)*E96)*Sales_LtBAdj_Ratio,2),ROUND((I96*J96*HLOOKUP($D96,'Improved Sales Adjustments'!$G$7:$ZN$147,7,FALSE))/(HLOOKUP($D96,'Improved Sales Adjustments'!$G$7:$ZN$147,7,FALSE)*E96)*Sales_LtBAdj_Ratio,2)))</f>
        <v/>
      </c>
      <c r="L96" s="4195"/>
      <c r="M96" s="4195"/>
      <c r="N96" s="101"/>
      <c r="O96" s="5"/>
      <c r="P96" s="5"/>
      <c r="Q96" s="228"/>
    </row>
    <row r="97" spans="1:23" ht="15" customHeight="1" x14ac:dyDescent="0.25">
      <c r="A97" s="957">
        <f t="shared" si="36"/>
        <v>0</v>
      </c>
      <c r="B97" s="4"/>
      <c r="C97" s="101"/>
      <c r="D97" s="137">
        <f t="shared" si="38"/>
        <v>6</v>
      </c>
      <c r="E97" s="1178" t="e">
        <f>HLOOKUP($D97,'Improved Sales Adjustments'!$G$7:$ZP$147,48,FALSE)</f>
        <v>#N/A</v>
      </c>
      <c r="F97" s="2158" t="e">
        <f>HLOOKUP($D97,'Improved Sales Adjustments'!$G$7:$ZP$147,103,FALSE)</f>
        <v>#N/A</v>
      </c>
      <c r="G97" s="4188">
        <f t="shared" si="35"/>
        <v>20.7</v>
      </c>
      <c r="H97" s="4188"/>
      <c r="I97" s="2158" t="e">
        <f t="shared" si="37"/>
        <v>#N/A</v>
      </c>
      <c r="J97" s="1178" t="e">
        <f>HLOOKUP($D97,'Improved Sales Adjustments'!$G$7:$ZP$147,13,FALSE)/(HLOOKUP($D97,'Improved Sales Adjustments'!$G$7:$ZP$147,9,FALSE)*43560)</f>
        <v>#N/A</v>
      </c>
      <c r="K97" s="4195" t="str">
        <f>IF(OR(dpSale_Method="Land Extraction",ISERROR(IF(dpUnit_Sales="Net Rentable Area",(I97*J97*HLOOKUP($D97,'Improved Sales Adjustments'!$G$7:$ZN$147,6,FALSE))/HLOOKUP($D97,'Improved Sales Adjustments'!$G$7:$ZN$147,12,FALSE),(I97*J97*HLOOKUP($D97,'Improved Sales Adjustments'!$G$7:$ZN$147,7,FALSE))/HLOOKUP($D97,'Improved Sales Adjustments'!$G$7:$ZN$147,12,FALSE)))),"",IF(dpUnit_Sales="Net Rentable Area",ROUND((I97*J97*HLOOKUP($D97,'Improved Sales Adjustments'!$G$7:$ZN$147,6,FALSE))/(HLOOKUP($D97,'Improved Sales Adjustments'!$G$7:$ZN$147,6,FALSE)*E97)*Sales_LtBAdj_Ratio,2),ROUND((I97*J97*HLOOKUP($D97,'Improved Sales Adjustments'!$G$7:$ZN$147,7,FALSE))/(HLOOKUP($D97,'Improved Sales Adjustments'!$G$7:$ZN$147,7,FALSE)*E97)*Sales_LtBAdj_Ratio,2)))</f>
        <v/>
      </c>
      <c r="L97" s="4195"/>
      <c r="M97" s="4195"/>
      <c r="N97" s="101"/>
      <c r="O97" s="5"/>
      <c r="P97" s="5"/>
      <c r="Q97" s="228"/>
    </row>
    <row r="98" spans="1:23" ht="15" customHeight="1" x14ac:dyDescent="0.25">
      <c r="A98" s="957">
        <f t="shared" si="36"/>
        <v>0</v>
      </c>
      <c r="B98" s="4"/>
      <c r="C98" s="101"/>
      <c r="D98" s="137">
        <f t="shared" si="38"/>
        <v>7</v>
      </c>
      <c r="E98" s="1178" t="e">
        <f>HLOOKUP($D98,'Improved Sales Adjustments'!$G$7:$ZP$147,48,FALSE)</f>
        <v>#N/A</v>
      </c>
      <c r="F98" s="2158" t="e">
        <f>HLOOKUP($D98,'Improved Sales Adjustments'!$G$7:$ZP$147,103,FALSE)</f>
        <v>#N/A</v>
      </c>
      <c r="G98" s="4188">
        <f t="shared" si="35"/>
        <v>20.7</v>
      </c>
      <c r="H98" s="4188"/>
      <c r="I98" s="2158" t="e">
        <f t="shared" si="37"/>
        <v>#N/A</v>
      </c>
      <c r="J98" s="1178" t="e">
        <f>HLOOKUP($D98,'Improved Sales Adjustments'!$G$7:$ZP$147,13,FALSE)/(HLOOKUP($D98,'Improved Sales Adjustments'!$G$7:$ZP$147,9,FALSE)*43560)</f>
        <v>#N/A</v>
      </c>
      <c r="K98" s="4195" t="str">
        <f>IF(OR(dpSale_Method="Land Extraction",ISERROR(IF(dpUnit_Sales="Net Rentable Area",(I98*J98*HLOOKUP($D98,'Improved Sales Adjustments'!$G$7:$ZN$147,6,FALSE))/HLOOKUP($D98,'Improved Sales Adjustments'!$G$7:$ZN$147,12,FALSE),(I98*J98*HLOOKUP($D98,'Improved Sales Adjustments'!$G$7:$ZN$147,7,FALSE))/HLOOKUP($D98,'Improved Sales Adjustments'!$G$7:$ZN$147,12,FALSE)))),"",IF(dpUnit_Sales="Net Rentable Area",ROUND((I98*J98*HLOOKUP($D98,'Improved Sales Adjustments'!$G$7:$ZN$147,6,FALSE))/(HLOOKUP($D98,'Improved Sales Adjustments'!$G$7:$ZN$147,6,FALSE)*E98)*Sales_LtBAdj_Ratio,2),ROUND((I98*J98*HLOOKUP($D98,'Improved Sales Adjustments'!$G$7:$ZN$147,7,FALSE))/(HLOOKUP($D98,'Improved Sales Adjustments'!$G$7:$ZN$147,7,FALSE)*E98)*Sales_LtBAdj_Ratio,2)))</f>
        <v/>
      </c>
      <c r="L98" s="4195"/>
      <c r="M98" s="4195"/>
      <c r="N98" s="101"/>
      <c r="O98" s="5"/>
      <c r="P98" s="5"/>
      <c r="Q98" s="228"/>
    </row>
    <row r="99" spans="1:23" ht="15" customHeight="1" x14ac:dyDescent="0.25">
      <c r="A99" s="957">
        <f t="shared" si="36"/>
        <v>0</v>
      </c>
      <c r="B99" s="4"/>
      <c r="C99" s="101"/>
      <c r="D99" s="137">
        <f t="shared" si="38"/>
        <v>8</v>
      </c>
      <c r="E99" s="1178" t="e">
        <f>HLOOKUP($D99,'Improved Sales Adjustments'!$G$7:$ZP$147,48,FALSE)</f>
        <v>#N/A</v>
      </c>
      <c r="F99" s="2158" t="e">
        <f>HLOOKUP($D99,'Improved Sales Adjustments'!$G$7:$ZP$147,103,FALSE)</f>
        <v>#N/A</v>
      </c>
      <c r="G99" s="4188">
        <f t="shared" si="35"/>
        <v>20.7</v>
      </c>
      <c r="H99" s="4188"/>
      <c r="I99" s="2158" t="e">
        <f t="shared" si="37"/>
        <v>#N/A</v>
      </c>
      <c r="J99" s="1178" t="e">
        <f>HLOOKUP($D99,'Improved Sales Adjustments'!$G$7:$ZP$147,13,FALSE)/(HLOOKUP($D99,'Improved Sales Adjustments'!$G$7:$ZP$147,9,FALSE)*43560)</f>
        <v>#N/A</v>
      </c>
      <c r="K99" s="4195" t="str">
        <f>IF(OR(dpSale_Method="Land Extraction",ISERROR(IF(dpUnit_Sales="Net Rentable Area",(I99*J99*HLOOKUP($D99,'Improved Sales Adjustments'!$G$7:$ZN$147,6,FALSE))/HLOOKUP($D99,'Improved Sales Adjustments'!$G$7:$ZN$147,12,FALSE),(I99*J99*HLOOKUP($D99,'Improved Sales Adjustments'!$G$7:$ZN$147,7,FALSE))/HLOOKUP($D99,'Improved Sales Adjustments'!$G$7:$ZN$147,12,FALSE)))),"",IF(dpUnit_Sales="Net Rentable Area",ROUND((I99*J99*HLOOKUP($D99,'Improved Sales Adjustments'!$G$7:$ZN$147,6,FALSE))/(HLOOKUP($D99,'Improved Sales Adjustments'!$G$7:$ZN$147,6,FALSE)*E99)*Sales_LtBAdj_Ratio,2),ROUND((I99*J99*HLOOKUP($D99,'Improved Sales Adjustments'!$G$7:$ZN$147,7,FALSE))/(HLOOKUP($D99,'Improved Sales Adjustments'!$G$7:$ZN$147,7,FALSE)*E99)*Sales_LtBAdj_Ratio,2)))</f>
        <v/>
      </c>
      <c r="L99" s="4195"/>
      <c r="M99" s="4195"/>
      <c r="N99" s="101"/>
      <c r="O99" s="5"/>
      <c r="P99" s="5"/>
      <c r="Q99" s="228"/>
    </row>
    <row r="100" spans="1:23" ht="15" customHeight="1" x14ac:dyDescent="0.25">
      <c r="A100" s="957">
        <f t="shared" si="36"/>
        <v>0</v>
      </c>
      <c r="B100" s="4"/>
      <c r="C100" s="101"/>
      <c r="D100" s="137">
        <f t="shared" si="38"/>
        <v>9</v>
      </c>
      <c r="E100" s="1178" t="e">
        <f>HLOOKUP($D100,'Improved Sales Adjustments'!$G$7:$ZP$147,48,FALSE)</f>
        <v>#N/A</v>
      </c>
      <c r="F100" s="2158" t="e">
        <f>HLOOKUP($D100,'Improved Sales Adjustments'!$G$7:$ZP$147,103,FALSE)</f>
        <v>#N/A</v>
      </c>
      <c r="G100" s="4188">
        <f t="shared" si="35"/>
        <v>20.7</v>
      </c>
      <c r="H100" s="4188"/>
      <c r="I100" s="2158" t="e">
        <f t="shared" si="37"/>
        <v>#N/A</v>
      </c>
      <c r="J100" s="1178" t="e">
        <f>HLOOKUP($D100,'Improved Sales Adjustments'!$G$7:$ZP$147,13,FALSE)/(HLOOKUP($D100,'Improved Sales Adjustments'!$G$7:$ZP$147,9,FALSE)*43560)</f>
        <v>#N/A</v>
      </c>
      <c r="K100" s="4195" t="str">
        <f>IF(OR(dpSale_Method="Land Extraction",ISERROR(IF(dpUnit_Sales="Net Rentable Area",(I100*J100*HLOOKUP($D100,'Improved Sales Adjustments'!$G$7:$ZN$147,6,FALSE))/HLOOKUP($D100,'Improved Sales Adjustments'!$G$7:$ZN$147,12,FALSE),(I100*J100*HLOOKUP($D100,'Improved Sales Adjustments'!$G$7:$ZN$147,7,FALSE))/HLOOKUP($D100,'Improved Sales Adjustments'!$G$7:$ZN$147,12,FALSE)))),"",IF(dpUnit_Sales="Net Rentable Area",ROUND((I100*J100*HLOOKUP($D100,'Improved Sales Adjustments'!$G$7:$ZN$147,6,FALSE))/(HLOOKUP($D100,'Improved Sales Adjustments'!$G$7:$ZN$147,6,FALSE)*E100)*Sales_LtBAdj_Ratio,2),ROUND((I100*J100*HLOOKUP($D100,'Improved Sales Adjustments'!$G$7:$ZN$147,7,FALSE))/(HLOOKUP($D100,'Improved Sales Adjustments'!$G$7:$ZN$147,7,FALSE)*E100)*Sales_LtBAdj_Ratio,2)))</f>
        <v/>
      </c>
      <c r="L100" s="4195"/>
      <c r="M100" s="4195"/>
      <c r="N100" s="101"/>
      <c r="O100" s="5"/>
      <c r="P100" s="5"/>
      <c r="Q100" s="228"/>
    </row>
    <row r="101" spans="1:23" ht="15" customHeight="1" x14ac:dyDescent="0.25">
      <c r="A101" s="957">
        <f t="shared" si="36"/>
        <v>0</v>
      </c>
      <c r="B101" s="4"/>
      <c r="C101" s="101"/>
      <c r="D101" s="137">
        <f t="shared" si="38"/>
        <v>10</v>
      </c>
      <c r="E101" s="1178" t="e">
        <f>HLOOKUP($D101,'Improved Sales Adjustments'!$G$7:$ZP$147,48,FALSE)</f>
        <v>#N/A</v>
      </c>
      <c r="F101" s="2158" t="e">
        <f>HLOOKUP($D101,'Improved Sales Adjustments'!$G$7:$ZP$147,103,FALSE)</f>
        <v>#N/A</v>
      </c>
      <c r="G101" s="4188">
        <f t="shared" si="35"/>
        <v>20.7</v>
      </c>
      <c r="H101" s="4188"/>
      <c r="I101" s="2158" t="e">
        <f t="shared" si="37"/>
        <v>#N/A</v>
      </c>
      <c r="J101" s="1178" t="e">
        <f>HLOOKUP($D101,'Improved Sales Adjustments'!$G$7:$ZP$147,13,FALSE)/(HLOOKUP($D101,'Improved Sales Adjustments'!$G$7:$ZP$147,9,FALSE)*43560)</f>
        <v>#N/A</v>
      </c>
      <c r="K101" s="4195" t="str">
        <f>IF(OR(dpSale_Method="Land Extraction",ISERROR(IF(dpUnit_Sales="Net Rentable Area",(I101*J101*HLOOKUP($D101,'Improved Sales Adjustments'!$G$7:$ZN$147,6,FALSE))/HLOOKUP($D101,'Improved Sales Adjustments'!$G$7:$ZN$147,12,FALSE),(I101*J101*HLOOKUP($D101,'Improved Sales Adjustments'!$G$7:$ZN$147,7,FALSE))/HLOOKUP($D101,'Improved Sales Adjustments'!$G$7:$ZN$147,12,FALSE)))),"",IF(dpUnit_Sales="Net Rentable Area",ROUND((I101*J101*HLOOKUP($D101,'Improved Sales Adjustments'!$G$7:$ZN$147,6,FALSE))/(HLOOKUP($D101,'Improved Sales Adjustments'!$G$7:$ZN$147,6,FALSE)*E101)*Sales_LtBAdj_Ratio,2),ROUND((I101*J101*HLOOKUP($D101,'Improved Sales Adjustments'!$G$7:$ZN$147,7,FALSE))/(HLOOKUP($D101,'Improved Sales Adjustments'!$G$7:$ZN$147,7,FALSE)*E101)*Sales_LtBAdj_Ratio,2)))</f>
        <v/>
      </c>
      <c r="L101" s="4195"/>
      <c r="M101" s="4195"/>
      <c r="N101" s="101"/>
      <c r="O101" s="5"/>
      <c r="P101" s="5"/>
      <c r="Q101" s="228"/>
    </row>
    <row r="102" spans="1:23" ht="15" customHeight="1" x14ac:dyDescent="0.25">
      <c r="A102" s="957">
        <f t="shared" si="36"/>
        <v>0</v>
      </c>
      <c r="B102" s="4"/>
      <c r="C102" s="101"/>
      <c r="D102" s="137">
        <f t="shared" si="38"/>
        <v>11</v>
      </c>
      <c r="E102" s="1178" t="e">
        <f>HLOOKUP($D124,'Improved Sales Adjustments'!$G$7:$ZP$147,48,FALSE)</f>
        <v>#N/A</v>
      </c>
      <c r="F102" s="2158" t="e">
        <f>HLOOKUP($D102,'Improved Sales Adjustments'!$G$7:$ZP$147,103,FALSE)</f>
        <v>#N/A</v>
      </c>
      <c r="G102" s="4188">
        <f t="shared" si="35"/>
        <v>20.7</v>
      </c>
      <c r="H102" s="4188"/>
      <c r="I102" s="2158" t="e">
        <f t="shared" si="37"/>
        <v>#N/A</v>
      </c>
      <c r="J102" s="1178" t="e">
        <f>HLOOKUP($D124,'Improved Sales Adjustments'!$G$7:$ZP$147,13,FALSE)/(HLOOKUP($D124,'Improved Sales Adjustments'!$G$7:$ZP$147,9,FALSE)*43560)</f>
        <v>#N/A</v>
      </c>
      <c r="K102" s="4195" t="str">
        <f>IF(OR(dpSale_Method="Land Extraction",ISERROR(IF(dpUnit_Sales="Net Rentable Area",(I102*J102*HLOOKUP($D102,'Improved Sales Adjustments'!$G$7:$ZN$147,6,FALSE))/HLOOKUP($D102,'Improved Sales Adjustments'!$G$7:$ZN$147,12,FALSE),(I102*J102*HLOOKUP($D102,'Improved Sales Adjustments'!$G$7:$ZN$147,7,FALSE))/HLOOKUP($D102,'Improved Sales Adjustments'!$G$7:$ZN$147,12,FALSE)))),"",IF(dpUnit_Sales="Net Rentable Area",ROUND((I102*J102*HLOOKUP($D102,'Improved Sales Adjustments'!$G$7:$ZN$147,6,FALSE))/(HLOOKUP($D102,'Improved Sales Adjustments'!$G$7:$ZN$147,6,FALSE)*E102)*Sales_LtBAdj_Ratio,2),ROUND((I102*J102*HLOOKUP($D102,'Improved Sales Adjustments'!$G$7:$ZN$147,7,FALSE))/(HLOOKUP($D102,'Improved Sales Adjustments'!$G$7:$ZN$147,7,FALSE)*E102)*Sales_LtBAdj_Ratio,2)))</f>
        <v/>
      </c>
      <c r="L102" s="4195"/>
      <c r="M102" s="4195"/>
      <c r="N102" s="101"/>
      <c r="O102" s="5"/>
      <c r="P102" s="5"/>
      <c r="Q102" s="228"/>
    </row>
    <row r="103" spans="1:23" ht="15" customHeight="1" x14ac:dyDescent="0.25">
      <c r="A103" s="957">
        <f t="shared" si="36"/>
        <v>0</v>
      </c>
      <c r="B103" s="4"/>
      <c r="C103" s="101"/>
      <c r="D103" s="137">
        <f t="shared" si="38"/>
        <v>12</v>
      </c>
      <c r="E103" s="1178" t="e">
        <f>HLOOKUP($D125,'Improved Sales Adjustments'!$G$7:$ZP$147,48,FALSE)</f>
        <v>#N/A</v>
      </c>
      <c r="F103" s="2158" t="e">
        <f>HLOOKUP($D103,'Improved Sales Adjustments'!$G$7:$ZP$147,103,FALSE)</f>
        <v>#N/A</v>
      </c>
      <c r="G103" s="4188">
        <f t="shared" si="35"/>
        <v>20.7</v>
      </c>
      <c r="H103" s="4188"/>
      <c r="I103" s="2158" t="e">
        <f t="shared" si="37"/>
        <v>#N/A</v>
      </c>
      <c r="J103" s="1178" t="e">
        <f>HLOOKUP($D125,'Improved Sales Adjustments'!$G$7:$ZP$147,13,FALSE)/(HLOOKUP($D125,'Improved Sales Adjustments'!$G$7:$ZP$147,9,FALSE)*43560)</f>
        <v>#N/A</v>
      </c>
      <c r="K103" s="4195" t="str">
        <f>IF(OR(dpSale_Method="Land Extraction",ISERROR(IF(dpUnit_Sales="Net Rentable Area",(I103*J103*HLOOKUP($D103,'Improved Sales Adjustments'!$G$7:$ZN$147,6,FALSE))/HLOOKUP($D103,'Improved Sales Adjustments'!$G$7:$ZN$147,12,FALSE),(I103*J103*HLOOKUP($D103,'Improved Sales Adjustments'!$G$7:$ZN$147,7,FALSE))/HLOOKUP($D103,'Improved Sales Adjustments'!$G$7:$ZN$147,12,FALSE)))),"",IF(dpUnit_Sales="Net Rentable Area",ROUND((I103*J103*HLOOKUP($D103,'Improved Sales Adjustments'!$G$7:$ZN$147,6,FALSE))/(HLOOKUP($D103,'Improved Sales Adjustments'!$G$7:$ZN$147,6,FALSE)*E103)*Sales_LtBAdj_Ratio,2),ROUND((I103*J103*HLOOKUP($D103,'Improved Sales Adjustments'!$G$7:$ZN$147,7,FALSE))/(HLOOKUP($D103,'Improved Sales Adjustments'!$G$7:$ZN$147,7,FALSE)*E103)*Sales_LtBAdj_Ratio,2)))</f>
        <v/>
      </c>
      <c r="L103" s="4195"/>
      <c r="M103" s="4195"/>
      <c r="N103" s="101"/>
      <c r="O103" s="5"/>
      <c r="P103" s="5"/>
      <c r="Q103" s="228"/>
    </row>
    <row r="104" spans="1:23" ht="15" customHeight="1" x14ac:dyDescent="0.25">
      <c r="A104" s="957">
        <f t="shared" si="36"/>
        <v>0</v>
      </c>
      <c r="B104" s="4"/>
      <c r="C104" s="101"/>
      <c r="D104" s="137">
        <f>D103+1</f>
        <v>13</v>
      </c>
      <c r="E104" s="1178" t="e">
        <f>HLOOKUP($D126,'Improved Sales Adjustments'!$G$7:$ZP$147,48,FALSE)</f>
        <v>#N/A</v>
      </c>
      <c r="F104" s="2158" t="e">
        <f>HLOOKUP($D104,'Improved Sales Adjustments'!$G$7:$ZP$147,103,FALSE)</f>
        <v>#N/A</v>
      </c>
      <c r="G104" s="4188">
        <f t="shared" si="35"/>
        <v>20.7</v>
      </c>
      <c r="H104" s="4188"/>
      <c r="I104" s="2158" t="e">
        <f t="shared" si="37"/>
        <v>#N/A</v>
      </c>
      <c r="J104" s="1178" t="e">
        <f>HLOOKUP($D126,'Improved Sales Adjustments'!$G$7:$ZP$147,13,FALSE)/(HLOOKUP($D126,'Improved Sales Adjustments'!$G$7:$ZP$147,9,FALSE)*43560)</f>
        <v>#N/A</v>
      </c>
      <c r="K104" s="4195" t="str">
        <f>IF(OR(dpSale_Method="Land Extraction",ISERROR(IF(dpUnit_Sales="Net Rentable Area",(I104*J104*HLOOKUP($D104,'Improved Sales Adjustments'!$G$7:$ZN$147,6,FALSE))/HLOOKUP($D104,'Improved Sales Adjustments'!$G$7:$ZN$147,12,FALSE),(I104*J104*HLOOKUP($D104,'Improved Sales Adjustments'!$G$7:$ZN$147,7,FALSE))/HLOOKUP($D104,'Improved Sales Adjustments'!$G$7:$ZN$147,12,FALSE)))),"",IF(dpUnit_Sales="Net Rentable Area",ROUND((I104*J104*HLOOKUP($D104,'Improved Sales Adjustments'!$G$7:$ZN$147,6,FALSE))/(HLOOKUP($D104,'Improved Sales Adjustments'!$G$7:$ZN$147,6,FALSE)*E104)*Sales_LtBAdj_Ratio,2),ROUND((I104*J104*HLOOKUP($D104,'Improved Sales Adjustments'!$G$7:$ZN$147,7,FALSE))/(HLOOKUP($D104,'Improved Sales Adjustments'!$G$7:$ZN$147,7,FALSE)*E104)*Sales_LtBAdj_Ratio,2)))</f>
        <v/>
      </c>
      <c r="L104" s="4195"/>
      <c r="M104" s="4195"/>
      <c r="N104" s="101"/>
      <c r="O104" s="5"/>
      <c r="P104" s="5"/>
      <c r="Q104" s="228"/>
    </row>
    <row r="105" spans="1:23" ht="15" customHeight="1" x14ac:dyDescent="0.25">
      <c r="A105" s="957">
        <f t="shared" si="36"/>
        <v>0</v>
      </c>
      <c r="B105" s="4"/>
      <c r="C105" s="101"/>
      <c r="D105" s="137">
        <f>D104+1</f>
        <v>14</v>
      </c>
      <c r="E105" s="1178" t="e">
        <f>HLOOKUP($D127,'Improved Sales Adjustments'!$G$7:$ZP$147,48,FALSE)</f>
        <v>#N/A</v>
      </c>
      <c r="F105" s="2158" t="e">
        <f>HLOOKUP($D105,'Improved Sales Adjustments'!$G$7:$ZP$147,103,FALSE)</f>
        <v>#N/A</v>
      </c>
      <c r="G105" s="4188">
        <f t="shared" si="35"/>
        <v>20.7</v>
      </c>
      <c r="H105" s="4188"/>
      <c r="I105" s="2158" t="e">
        <f t="shared" si="37"/>
        <v>#N/A</v>
      </c>
      <c r="J105" s="1178" t="e">
        <f>HLOOKUP($D127,'Improved Sales Adjustments'!$G$7:$ZP$147,13,FALSE)/(HLOOKUP($D127,'Improved Sales Adjustments'!$G$7:$ZP$147,9,FALSE)*43560)</f>
        <v>#N/A</v>
      </c>
      <c r="K105" s="4195" t="str">
        <f>IF(OR(dpSale_Method="Land Extraction",ISERROR(IF(dpUnit_Sales="Net Rentable Area",(I105*J105*HLOOKUP($D105,'Improved Sales Adjustments'!$G$7:$ZN$147,6,FALSE))/HLOOKUP($D105,'Improved Sales Adjustments'!$G$7:$ZN$147,12,FALSE),(I105*J105*HLOOKUP($D105,'Improved Sales Adjustments'!$G$7:$ZN$147,7,FALSE))/HLOOKUP($D105,'Improved Sales Adjustments'!$G$7:$ZN$147,12,FALSE)))),"",IF(dpUnit_Sales="Net Rentable Area",ROUND((I105*J105*HLOOKUP($D105,'Improved Sales Adjustments'!$G$7:$ZN$147,6,FALSE))/(HLOOKUP($D105,'Improved Sales Adjustments'!$G$7:$ZN$147,6,FALSE)*E105)*Sales_LtBAdj_Ratio,2),ROUND((I105*J105*HLOOKUP($D105,'Improved Sales Adjustments'!$G$7:$ZN$147,7,FALSE))/(HLOOKUP($D105,'Improved Sales Adjustments'!$G$7:$ZN$147,7,FALSE)*E105)*Sales_LtBAdj_Ratio,2)))</f>
        <v/>
      </c>
      <c r="L105" s="4195"/>
      <c r="M105" s="4195"/>
      <c r="N105" s="101"/>
      <c r="O105" s="5"/>
      <c r="P105" s="5"/>
      <c r="Q105" s="228"/>
    </row>
    <row r="106" spans="1:23" ht="15" customHeight="1" thickBot="1" x14ac:dyDescent="0.3">
      <c r="A106" s="957">
        <f t="shared" si="36"/>
        <v>0</v>
      </c>
      <c r="B106" s="4"/>
      <c r="C106" s="101"/>
      <c r="D106" s="137">
        <f>D105+1</f>
        <v>15</v>
      </c>
      <c r="E106" s="1178" t="e">
        <f>HLOOKUP($D128,'Improved Sales Adjustments'!$G$7:$ZP$147,48,FALSE)</f>
        <v>#N/A</v>
      </c>
      <c r="F106" s="2158" t="e">
        <f>HLOOKUP($D106,'Improved Sales Adjustments'!$G$7:$ZP$147,103,FALSE)</f>
        <v>#N/A</v>
      </c>
      <c r="G106" s="4187">
        <f t="shared" si="35"/>
        <v>20.7</v>
      </c>
      <c r="H106" s="4187"/>
      <c r="I106" s="2158" t="e">
        <f t="shared" si="37"/>
        <v>#N/A</v>
      </c>
      <c r="J106" s="1178" t="e">
        <f>HLOOKUP($D128,'Improved Sales Adjustments'!$G$7:$ZP$147,13,FALSE)/(HLOOKUP($D128,'Improved Sales Adjustments'!$G$7:$ZP$147,9,FALSE)*43560)</f>
        <v>#N/A</v>
      </c>
      <c r="K106" s="4195" t="str">
        <f>IF(OR(dpSale_Method="Land Extraction",ISERROR(IF(dpUnit_Sales="Net Rentable Area",(I106*J106*HLOOKUP($D106,'Improved Sales Adjustments'!$G$7:$ZN$147,6,FALSE))/HLOOKUP($D106,'Improved Sales Adjustments'!$G$7:$ZN$147,12,FALSE),(I106*J106*HLOOKUP($D106,'Improved Sales Adjustments'!$G$7:$ZN$147,7,FALSE))/HLOOKUP($D106,'Improved Sales Adjustments'!$G$7:$ZN$147,12,FALSE)))),"",IF(dpUnit_Sales="Net Rentable Area",ROUND((I106*J106*HLOOKUP($D106,'Improved Sales Adjustments'!$G$7:$ZN$147,6,FALSE))/(HLOOKUP($D106,'Improved Sales Adjustments'!$G$7:$ZN$147,6,FALSE)*E106)*Sales_LtBAdj_Ratio,2),ROUND((I106*J106*HLOOKUP($D106,'Improved Sales Adjustments'!$G$7:$ZN$147,7,FALSE))/(HLOOKUP($D106,'Improved Sales Adjustments'!$G$7:$ZN$147,7,FALSE)*E106)*Sales_LtBAdj_Ratio,2)))</f>
        <v/>
      </c>
      <c r="L106" s="4195"/>
      <c r="M106" s="4195"/>
      <c r="N106" s="101"/>
      <c r="O106" s="5"/>
      <c r="P106" s="5"/>
      <c r="Q106" s="228"/>
    </row>
    <row r="107" spans="1:23" ht="15" customHeight="1" thickBot="1" x14ac:dyDescent="0.3">
      <c r="A107" s="957">
        <v>1</v>
      </c>
      <c r="B107" s="8"/>
      <c r="C107" s="7"/>
      <c r="D107" s="555" t="s">
        <v>869</v>
      </c>
      <c r="E107" s="133"/>
      <c r="F107" s="133"/>
      <c r="G107" s="133"/>
      <c r="H107" s="133"/>
      <c r="I107" s="133"/>
      <c r="J107" s="133"/>
      <c r="K107" s="133"/>
      <c r="L107" s="133"/>
      <c r="M107" s="133"/>
      <c r="N107" s="7"/>
      <c r="O107" s="7"/>
      <c r="P107" s="7"/>
      <c r="Q107" s="228"/>
    </row>
    <row r="108" spans="1:23" ht="15" customHeight="1" thickBot="1" x14ac:dyDescent="0.3">
      <c r="A108" s="957">
        <v>1</v>
      </c>
      <c r="D108" s="1260"/>
    </row>
    <row r="109" spans="1:23" ht="15" customHeight="1" x14ac:dyDescent="0.25">
      <c r="A109" s="957">
        <v>1</v>
      </c>
      <c r="B109" s="1"/>
      <c r="C109" s="2"/>
      <c r="D109" s="1261"/>
      <c r="E109" s="2"/>
      <c r="F109" s="2"/>
      <c r="G109" s="2"/>
      <c r="H109" s="2"/>
      <c r="I109" s="2"/>
      <c r="J109" s="2"/>
      <c r="K109" s="2"/>
      <c r="L109" s="2"/>
      <c r="M109" s="2"/>
      <c r="N109" s="2"/>
      <c r="O109" s="2"/>
      <c r="P109" s="2"/>
      <c r="Q109" s="2"/>
      <c r="R109" s="2"/>
      <c r="S109" s="228"/>
      <c r="U109" s="150" t="s">
        <v>116</v>
      </c>
      <c r="V109" s="150" t="s">
        <v>700</v>
      </c>
    </row>
    <row r="110" spans="1:23" ht="15" customHeight="1" thickBot="1" x14ac:dyDescent="0.35">
      <c r="A110" s="957">
        <v>1</v>
      </c>
      <c r="B110" s="4"/>
      <c r="C110" s="5"/>
      <c r="D110" s="246" t="s">
        <v>1313</v>
      </c>
      <c r="E110" s="5"/>
      <c r="F110" s="5"/>
      <c r="G110" s="5"/>
      <c r="H110" s="5"/>
      <c r="I110" s="5"/>
      <c r="J110" s="5"/>
      <c r="K110" s="5"/>
      <c r="L110" s="5"/>
      <c r="M110" s="5"/>
      <c r="N110" s="5"/>
      <c r="O110" s="5"/>
      <c r="P110" s="5"/>
      <c r="Q110" s="5"/>
      <c r="R110" s="5"/>
      <c r="S110" s="228"/>
      <c r="U110" s="150" t="s">
        <v>509</v>
      </c>
      <c r="V110" s="150" t="s">
        <v>119</v>
      </c>
    </row>
    <row r="111" spans="1:23" ht="15" customHeight="1" thickBot="1" x14ac:dyDescent="0.3">
      <c r="A111" s="957">
        <v>1</v>
      </c>
      <c r="B111" s="4"/>
      <c r="C111" s="11"/>
      <c r="D111" s="12"/>
      <c r="E111" s="150" t="s">
        <v>1314</v>
      </c>
      <c r="F111" s="441" t="s">
        <v>116</v>
      </c>
      <c r="G111" s="441"/>
      <c r="H111" s="441"/>
      <c r="I111" s="441" t="s">
        <v>94</v>
      </c>
      <c r="J111" s="441" t="s">
        <v>116</v>
      </c>
      <c r="K111" s="441"/>
      <c r="L111" s="4203"/>
      <c r="M111" s="4203"/>
      <c r="N111" s="11"/>
      <c r="O111" s="11"/>
      <c r="P111" s="441"/>
      <c r="Q111" s="11"/>
      <c r="R111" s="5"/>
      <c r="S111" s="228"/>
      <c r="U111" s="1268">
        <v>0.05</v>
      </c>
      <c r="V111" s="1262">
        <v>0.35</v>
      </c>
      <c r="W111" s="11" t="s">
        <v>1856</v>
      </c>
    </row>
    <row r="112" spans="1:23" ht="15" customHeight="1" thickBot="1" x14ac:dyDescent="0.3">
      <c r="A112" s="957">
        <v>1</v>
      </c>
      <c r="B112" s="4"/>
      <c r="C112" s="11"/>
      <c r="D112" s="12"/>
      <c r="E112" s="150" t="s">
        <v>1315</v>
      </c>
      <c r="F112" s="150" t="s">
        <v>1315</v>
      </c>
      <c r="G112" s="441"/>
      <c r="H112" s="441"/>
      <c r="I112" s="441" t="s">
        <v>529</v>
      </c>
      <c r="J112" s="441" t="s">
        <v>529</v>
      </c>
      <c r="K112" s="4204" t="s">
        <v>44</v>
      </c>
      <c r="L112" s="4204"/>
      <c r="M112" s="4204" t="s">
        <v>560</v>
      </c>
      <c r="N112" s="4204"/>
      <c r="O112" s="4204"/>
      <c r="P112" s="4204"/>
      <c r="Q112" s="11"/>
      <c r="R112" s="5"/>
      <c r="S112" s="228"/>
      <c r="U112" s="150" t="s">
        <v>551</v>
      </c>
      <c r="V112" s="150" t="s">
        <v>550</v>
      </c>
    </row>
    <row r="113" spans="1:23" ht="15" customHeight="1" thickBot="1" x14ac:dyDescent="0.3">
      <c r="A113" s="957">
        <v>1</v>
      </c>
      <c r="B113" s="4"/>
      <c r="C113" s="11"/>
      <c r="D113" s="150" t="s">
        <v>702</v>
      </c>
      <c r="E113" s="150" t="s">
        <v>1316</v>
      </c>
      <c r="F113" s="150" t="s">
        <v>1316</v>
      </c>
      <c r="G113" s="150" t="s">
        <v>1317</v>
      </c>
      <c r="H113" s="150"/>
      <c r="I113" s="150" t="s">
        <v>1318</v>
      </c>
      <c r="J113" s="150" t="s">
        <v>1318</v>
      </c>
      <c r="K113" s="4088" t="s">
        <v>1319</v>
      </c>
      <c r="L113" s="4088"/>
      <c r="M113" s="4088" t="s">
        <v>174</v>
      </c>
      <c r="N113" s="4088"/>
      <c r="O113" s="4088"/>
      <c r="P113" s="4088"/>
      <c r="Q113" s="11"/>
      <c r="R113" s="5"/>
      <c r="S113" s="228"/>
      <c r="U113" s="150" t="s">
        <v>509</v>
      </c>
      <c r="V113" s="1267">
        <v>7.0000000000000007E-2</v>
      </c>
      <c r="W113" s="11" t="s">
        <v>1856</v>
      </c>
    </row>
    <row r="114" spans="1:23" ht="15" customHeight="1" x14ac:dyDescent="0.25">
      <c r="A114" s="957">
        <f>IF(E114="",0,1)</f>
        <v>1</v>
      </c>
      <c r="B114" s="4"/>
      <c r="C114" s="101"/>
      <c r="D114" s="137">
        <v>1</v>
      </c>
      <c r="E114" s="1701">
        <f>IF(ISERROR(HLOOKUP($D114,'Improved Sales Adjustments'!$G$7:$ZP$147,109,FALSE)),"",HLOOKUP($D114,'Improved Sales Adjustments'!$G$7:$ZP$147,109,FALSE))</f>
        <v>4.63</v>
      </c>
      <c r="F114" s="1701">
        <f t="shared" ref="F114:F128" si="39">Subject_ParkingRatio</f>
        <v>2.95</v>
      </c>
      <c r="G114" s="1702">
        <f t="shared" ref="G114:G128" si="40">IF(ISERR(F114-E114),"",F114-E114)</f>
        <v>-1.6799999999999997</v>
      </c>
      <c r="H114" s="1702"/>
      <c r="I114" s="1265"/>
      <c r="J114" s="1265"/>
      <c r="K114" s="4202" t="e">
        <f>(((Subject_NRA/1000)*12*F114*J114)*(1-dpSales_ParkingRatio_SubjectVacancy)*(1-dpSales_ParkingRatio_ExpenseRatio)/Subject_NRA-(('Improved Sales Summary Light'!#REF!/1000)*12*E114*I114)*(1-U114)*(1-dpSales_ParkingRatio_ExpenseRatio)/'Improved Sales Summary Light'!#REF!)/dpSales_ParkingRatio_OAR</f>
        <v>#REF!</v>
      </c>
      <c r="L114" s="4202"/>
      <c r="M114" s="4214" t="str">
        <f>IF(ISERROR(K114/HLOOKUP($D114,'Improved Sales Adjustments'!$G$7:$ZP$147,48,FALSE)),"",ROUND(K114/HLOOKUP($D114,'Improved Sales Adjustments'!$G$7:$ZP$147,48,FALSE),2))</f>
        <v/>
      </c>
      <c r="N114" s="4214"/>
      <c r="O114" s="4214"/>
      <c r="P114" s="4214"/>
      <c r="Q114" s="101"/>
      <c r="R114" s="5"/>
      <c r="S114" s="228"/>
      <c r="U114" s="1266">
        <v>0.05</v>
      </c>
    </row>
    <row r="115" spans="1:23" ht="15" customHeight="1" x14ac:dyDescent="0.25">
      <c r="A115" s="957">
        <f t="shared" ref="A115:A128" si="41">IF(E115="",0,1)</f>
        <v>1</v>
      </c>
      <c r="B115" s="4"/>
      <c r="C115" s="101"/>
      <c r="D115" s="137">
        <f>D114+1</f>
        <v>2</v>
      </c>
      <c r="E115" s="1701">
        <f>IF(ISERROR(HLOOKUP($D115,'Improved Sales Adjustments'!$G$7:$ZP$147,109,FALSE)),"",HLOOKUP($D115,'Improved Sales Adjustments'!$G$7:$ZP$147,109,FALSE))</f>
        <v>5.19</v>
      </c>
      <c r="F115" s="1701">
        <f t="shared" si="39"/>
        <v>2.95</v>
      </c>
      <c r="G115" s="1702">
        <f t="shared" si="40"/>
        <v>-2.2400000000000002</v>
      </c>
      <c r="H115" s="1702"/>
      <c r="I115" s="1265"/>
      <c r="J115" s="2160">
        <f t="shared" ref="J115:J128" si="42">dpSales_ParkingRatio_SubjectRate</f>
        <v>0</v>
      </c>
      <c r="K115" s="4202" t="e">
        <f>(((Subject_NRA/1000)*12*F115*J115)*(1-dpSales_ParkingRatio_SubjectVacancy)*(1-dpSales_ParkingRatio_ExpenseRatio)/Subject_NRA-(('Improved Sales Summary Light'!#REF!/1000)*12*E115*I115)*(1-U115)*(1-dpSales_ParkingRatio_ExpenseRatio)/'Improved Sales Summary Light'!#REF!)/dpSales_ParkingRatio_OAR</f>
        <v>#REF!</v>
      </c>
      <c r="L115" s="4202"/>
      <c r="M115" s="4214" t="str">
        <f>IF(ISERROR(K115/HLOOKUP($D115,'Improved Sales Adjustments'!$G$7:$ZP$147,48,FALSE)),"",ROUND(K115/HLOOKUP($D115,'Improved Sales Adjustments'!$G$7:$ZP$147,48,FALSE),2))</f>
        <v/>
      </c>
      <c r="N115" s="4214"/>
      <c r="O115" s="4214"/>
      <c r="P115" s="4214"/>
      <c r="Q115" s="101"/>
      <c r="R115" s="5"/>
      <c r="S115" s="228"/>
      <c r="U115" s="1263">
        <v>0.05</v>
      </c>
    </row>
    <row r="116" spans="1:23" ht="15" customHeight="1" x14ac:dyDescent="0.25">
      <c r="A116" s="957">
        <f t="shared" si="41"/>
        <v>1</v>
      </c>
      <c r="B116" s="4"/>
      <c r="C116" s="101"/>
      <c r="D116" s="137">
        <f t="shared" ref="D116:D124" si="43">D115+1</f>
        <v>3</v>
      </c>
      <c r="E116" s="1701">
        <f>IF(ISERROR(HLOOKUP($D116,'Improved Sales Adjustments'!$G$7:$ZP$147,109,FALSE)),"",HLOOKUP($D116,'Improved Sales Adjustments'!$G$7:$ZP$147,109,FALSE))</f>
        <v>6.53</v>
      </c>
      <c r="F116" s="1701">
        <f t="shared" si="39"/>
        <v>2.95</v>
      </c>
      <c r="G116" s="1702">
        <f t="shared" si="40"/>
        <v>-3.58</v>
      </c>
      <c r="H116" s="1702"/>
      <c r="I116" s="1265"/>
      <c r="J116" s="2160">
        <f t="shared" si="42"/>
        <v>0</v>
      </c>
      <c r="K116" s="4202">
        <f>(((Subject_NRA/1000)*12*F116*J116)*(1-dpSales_ParkingRatio_SubjectVacancy)*(1-dpSales_ParkingRatio_ExpenseRatio)/Subject_NRA-(('Improved Sales Summary Light'!$L$7/1000)*12*E116*I116)*(1-U116)*(1-dpSales_ParkingRatio_ExpenseRatio)/'Improved Sales Summary Light'!$L$7)/dpSales_ParkingRatio_OAR</f>
        <v>0</v>
      </c>
      <c r="L116" s="4202"/>
      <c r="M116" s="4214">
        <f>IF(ISERROR(K116/HLOOKUP($D116,'Improved Sales Adjustments'!$G$7:$ZP$147,48,FALSE)),"",ROUND(K116/HLOOKUP($D116,'Improved Sales Adjustments'!$G$7:$ZP$147,48,FALSE),2))</f>
        <v>0</v>
      </c>
      <c r="N116" s="4214"/>
      <c r="O116" s="4214"/>
      <c r="P116" s="4214"/>
      <c r="Q116" s="101"/>
      <c r="R116" s="5"/>
      <c r="S116" s="228"/>
      <c r="U116" s="1263">
        <v>0.05</v>
      </c>
    </row>
    <row r="117" spans="1:23" ht="15" customHeight="1" x14ac:dyDescent="0.25">
      <c r="A117" s="957">
        <f t="shared" si="41"/>
        <v>1</v>
      </c>
      <c r="B117" s="4"/>
      <c r="C117" s="101"/>
      <c r="D117" s="137">
        <f t="shared" si="43"/>
        <v>4</v>
      </c>
      <c r="E117" s="1701">
        <f>IF(ISERROR(HLOOKUP($D117,'Improved Sales Adjustments'!$G$7:$ZP$147,109,FALSE)),"",HLOOKUP($D117,'Improved Sales Adjustments'!$G$7:$ZP$147,109,FALSE))</f>
        <v>1.23</v>
      </c>
      <c r="F117" s="1701">
        <f t="shared" si="39"/>
        <v>2.95</v>
      </c>
      <c r="G117" s="1702">
        <f t="shared" si="40"/>
        <v>1.7200000000000002</v>
      </c>
      <c r="H117" s="1702"/>
      <c r="I117" s="1265"/>
      <c r="J117" s="2160">
        <f t="shared" si="42"/>
        <v>0</v>
      </c>
      <c r="K117" s="4202">
        <f>(((Subject_NRA/1000)*12*F117*J117)*(1-dpSales_ParkingRatio_SubjectVacancy)*(1-dpSales_ParkingRatio_ExpenseRatio)/Subject_NRA-(('Improved Sales Summary Light'!$L$8/1000)*12*E117*I117)*(1-U117)*(1-dpSales_ParkingRatio_ExpenseRatio)/'Improved Sales Summary Light'!$L$8)/dpSales_ParkingRatio_OAR</f>
        <v>0</v>
      </c>
      <c r="L117" s="4202"/>
      <c r="M117" s="4214">
        <f>IF(ISERROR(K117/HLOOKUP($D117,'Improved Sales Adjustments'!$G$7:$ZP$147,48,FALSE)),"",ROUND(K117/HLOOKUP($D117,'Improved Sales Adjustments'!$G$7:$ZP$147,48,FALSE),2))</f>
        <v>0</v>
      </c>
      <c r="N117" s="4214"/>
      <c r="O117" s="4214"/>
      <c r="P117" s="4214"/>
      <c r="Q117" s="101"/>
      <c r="R117" s="5"/>
      <c r="S117" s="228"/>
      <c r="U117" s="1263">
        <v>0.05</v>
      </c>
    </row>
    <row r="118" spans="1:23" ht="15" customHeight="1" x14ac:dyDescent="0.25">
      <c r="A118" s="957">
        <f t="shared" si="41"/>
        <v>0</v>
      </c>
      <c r="B118" s="4"/>
      <c r="C118" s="101"/>
      <c r="D118" s="137">
        <f t="shared" si="43"/>
        <v>5</v>
      </c>
      <c r="E118" s="1701" t="str">
        <f>IF(ISERROR(HLOOKUP($D118,'Improved Sales Adjustments'!$G$7:$ZP$147,109,FALSE)),"",HLOOKUP($D118,'Improved Sales Adjustments'!$G$7:$ZP$147,109,FALSE))</f>
        <v/>
      </c>
      <c r="F118" s="1701">
        <f t="shared" si="39"/>
        <v>2.95</v>
      </c>
      <c r="G118" s="1702" t="str">
        <f t="shared" si="40"/>
        <v/>
      </c>
      <c r="H118" s="1702"/>
      <c r="I118" s="1265"/>
      <c r="J118" s="2160">
        <f t="shared" si="42"/>
        <v>0</v>
      </c>
      <c r="K118" s="4202" t="e">
        <f>(((Subject_NRA/1000)*12*F118*J118)*(1-dpSales_ParkingRatio_SubjectVacancy)*(1-dpSales_ParkingRatio_ExpenseRatio)/Subject_NRA-(('Improved Sales Summary Light'!#REF!/1000)*12*E118*I118)*(1-U118)*(1-dpSales_ParkingRatio_ExpenseRatio)/'Improved Sales Summary Light'!#REF!)/dpSales_ParkingRatio_OAR</f>
        <v>#REF!</v>
      </c>
      <c r="L118" s="4202"/>
      <c r="M118" s="4214" t="str">
        <f>IF(ISERROR(K118/HLOOKUP($D118,'Improved Sales Adjustments'!$G$7:$ZP$147,48,FALSE)),"",ROUND(K118/HLOOKUP($D118,'Improved Sales Adjustments'!$G$7:$ZP$147,48,FALSE),2))</f>
        <v/>
      </c>
      <c r="N118" s="4214"/>
      <c r="O118" s="4214"/>
      <c r="P118" s="4214"/>
      <c r="Q118" s="101"/>
      <c r="R118" s="5"/>
      <c r="S118" s="228"/>
      <c r="U118" s="1263">
        <v>0.05</v>
      </c>
    </row>
    <row r="119" spans="1:23" ht="15" customHeight="1" x14ac:dyDescent="0.25">
      <c r="A119" s="957">
        <f t="shared" si="41"/>
        <v>0</v>
      </c>
      <c r="B119" s="4"/>
      <c r="C119" s="101"/>
      <c r="D119" s="137">
        <f t="shared" si="43"/>
        <v>6</v>
      </c>
      <c r="E119" s="1701" t="str">
        <f>IF(ISERROR(HLOOKUP($D119,'Improved Sales Adjustments'!$G$7:$ZP$147,109,FALSE)),"",HLOOKUP($D119,'Improved Sales Adjustments'!$G$7:$ZP$147,109,FALSE))</f>
        <v/>
      </c>
      <c r="F119" s="1701">
        <f t="shared" si="39"/>
        <v>2.95</v>
      </c>
      <c r="G119" s="1702" t="str">
        <f t="shared" si="40"/>
        <v/>
      </c>
      <c r="H119" s="1702"/>
      <c r="I119" s="1265"/>
      <c r="J119" s="2160">
        <f t="shared" si="42"/>
        <v>0</v>
      </c>
      <c r="K119" s="4202" t="e">
        <f>(((Subject_NRA/1000)*12*F119*J119)*(1-dpSales_ParkingRatio_SubjectVacancy)*(1-dpSales_ParkingRatio_ExpenseRatio)/Subject_NRA-(('Improved Sales Summary Light'!$L$9/1000)*12*E119*I119)*(1-U119)*(1-dpSales_ParkingRatio_ExpenseRatio)/'Improved Sales Summary Light'!$L$9)/dpSales_ParkingRatio_OAR</f>
        <v>#VALUE!</v>
      </c>
      <c r="L119" s="4202"/>
      <c r="M119" s="4214" t="str">
        <f>IF(ISERROR(K119/HLOOKUP($D119,'Improved Sales Adjustments'!$G$7:$ZP$147,48,FALSE)),"",ROUND(K119/HLOOKUP($D119,'Improved Sales Adjustments'!$G$7:$ZP$147,48,FALSE),2))</f>
        <v/>
      </c>
      <c r="N119" s="4214"/>
      <c r="O119" s="4214"/>
      <c r="P119" s="4214"/>
      <c r="Q119" s="101"/>
      <c r="R119" s="5"/>
      <c r="S119" s="228"/>
      <c r="U119" s="1263">
        <v>0.05</v>
      </c>
    </row>
    <row r="120" spans="1:23" ht="15" customHeight="1" x14ac:dyDescent="0.25">
      <c r="A120" s="957">
        <f t="shared" si="41"/>
        <v>0</v>
      </c>
      <c r="B120" s="4"/>
      <c r="C120" s="101"/>
      <c r="D120" s="137">
        <f t="shared" si="43"/>
        <v>7</v>
      </c>
      <c r="E120" s="1701" t="str">
        <f>IF(ISERROR(HLOOKUP($D120,'Improved Sales Adjustments'!$G$7:$ZP$147,109,FALSE)),"",HLOOKUP($D120,'Improved Sales Adjustments'!$G$7:$ZP$147,109,FALSE))</f>
        <v/>
      </c>
      <c r="F120" s="1701">
        <f t="shared" si="39"/>
        <v>2.95</v>
      </c>
      <c r="G120" s="1702" t="str">
        <f t="shared" si="40"/>
        <v/>
      </c>
      <c r="H120" s="1702"/>
      <c r="I120" s="1265"/>
      <c r="J120" s="2160">
        <f t="shared" si="42"/>
        <v>0</v>
      </c>
      <c r="K120" s="4202" t="e">
        <f>(((Subject_NRA/1000)*12*F120*J120)*(1-dpSales_ParkingRatio_SubjectVacancy)*(1-dpSales_ParkingRatio_ExpenseRatio)/Subject_NRA-(('Improved Sales Summary Light'!$L$11/1000)*12*E120*I120)*(1-U120)*(1-dpSales_ParkingRatio_ExpenseRatio)/'Improved Sales Summary Light'!$L$11)/dpSales_ParkingRatio_OAR</f>
        <v>#VALUE!</v>
      </c>
      <c r="L120" s="4202"/>
      <c r="M120" s="4214" t="str">
        <f>IF(ISERROR(K120/HLOOKUP($D120,'Improved Sales Adjustments'!$G$7:$ZP$147,48,FALSE)),"",ROUND(K120/HLOOKUP($D120,'Improved Sales Adjustments'!$G$7:$ZP$147,48,FALSE),2))</f>
        <v/>
      </c>
      <c r="N120" s="4214"/>
      <c r="O120" s="4214"/>
      <c r="P120" s="4214"/>
      <c r="Q120" s="101"/>
      <c r="R120" s="5"/>
      <c r="S120" s="228"/>
      <c r="U120" s="1263">
        <v>0.05</v>
      </c>
    </row>
    <row r="121" spans="1:23" ht="15" customHeight="1" x14ac:dyDescent="0.25">
      <c r="A121" s="957">
        <f t="shared" si="41"/>
        <v>0</v>
      </c>
      <c r="B121" s="4"/>
      <c r="C121" s="101"/>
      <c r="D121" s="137">
        <f t="shared" si="43"/>
        <v>8</v>
      </c>
      <c r="E121" s="1701" t="str">
        <f>IF(ISERROR(HLOOKUP($D121,'Improved Sales Adjustments'!$G$7:$ZP$147,109,FALSE)),"",HLOOKUP($D121,'Improved Sales Adjustments'!$G$7:$ZP$147,109,FALSE))</f>
        <v/>
      </c>
      <c r="F121" s="1701">
        <f t="shared" si="39"/>
        <v>2.95</v>
      </c>
      <c r="G121" s="1702" t="str">
        <f t="shared" si="40"/>
        <v/>
      </c>
      <c r="H121" s="1702"/>
      <c r="I121" s="1265"/>
      <c r="J121" s="2160">
        <f t="shared" si="42"/>
        <v>0</v>
      </c>
      <c r="K121" s="4202" t="e">
        <f>(((Subject_NRA/1000)*12*F121*J121)*(1-dpSales_ParkingRatio_SubjectVacancy)*(1-dpSales_ParkingRatio_ExpenseRatio)/Subject_NRA-(('Improved Sales Summary Light'!$L$12/1000)*12*E121*I121)*(1-U121)*(1-dpSales_ParkingRatio_ExpenseRatio)/'Improved Sales Summary Light'!$L$12)/dpSales_ParkingRatio_OAR</f>
        <v>#VALUE!</v>
      </c>
      <c r="L121" s="4202"/>
      <c r="M121" s="4214" t="str">
        <f>IF(ISERROR(K121/HLOOKUP($D121,'Improved Sales Adjustments'!$G$7:$ZP$147,48,FALSE)),"",ROUND(K121/HLOOKUP($D121,'Improved Sales Adjustments'!$G$7:$ZP$147,48,FALSE),2))</f>
        <v/>
      </c>
      <c r="N121" s="4214"/>
      <c r="O121" s="4214"/>
      <c r="P121" s="4214"/>
      <c r="Q121" s="101"/>
      <c r="R121" s="5"/>
      <c r="S121" s="228"/>
      <c r="U121" s="1263">
        <v>0.05</v>
      </c>
    </row>
    <row r="122" spans="1:23" ht="15" customHeight="1" x14ac:dyDescent="0.25">
      <c r="A122" s="957">
        <f t="shared" si="41"/>
        <v>0</v>
      </c>
      <c r="B122" s="4"/>
      <c r="C122" s="101"/>
      <c r="D122" s="137">
        <f t="shared" si="43"/>
        <v>9</v>
      </c>
      <c r="E122" s="1701" t="str">
        <f>IF(ISERROR(HLOOKUP($D122,'Improved Sales Adjustments'!$G$7:$ZP$147,109,FALSE)),"",HLOOKUP($D122,'Improved Sales Adjustments'!$G$7:$ZP$147,109,FALSE))</f>
        <v/>
      </c>
      <c r="F122" s="1701">
        <f t="shared" si="39"/>
        <v>2.95</v>
      </c>
      <c r="G122" s="1702" t="str">
        <f t="shared" si="40"/>
        <v/>
      </c>
      <c r="H122" s="1702"/>
      <c r="I122" s="1265"/>
      <c r="J122" s="2160">
        <f t="shared" si="42"/>
        <v>0</v>
      </c>
      <c r="K122" s="4202" t="e">
        <f>(((Subject_NRA/1000)*12*F122*J122)*(1-dpSales_ParkingRatio_SubjectVacancy)*(1-dpSales_ParkingRatio_ExpenseRatio)/Subject_NRA-(('Improved Sales Summary Light'!$L$13/1000)*12*E122*I122)*(1-U122)*(1-dpSales_ParkingRatio_ExpenseRatio)/'Improved Sales Summary Light'!$L$13)/dpSales_ParkingRatio_OAR</f>
        <v>#VALUE!</v>
      </c>
      <c r="L122" s="4202"/>
      <c r="M122" s="4214" t="str">
        <f>IF(ISERROR(K122/HLOOKUP($D122,'Improved Sales Adjustments'!$G$7:$ZP$147,48,FALSE)),"",ROUND(K122/HLOOKUP($D122,'Improved Sales Adjustments'!$G$7:$ZP$147,48,FALSE),2))</f>
        <v/>
      </c>
      <c r="N122" s="4214"/>
      <c r="O122" s="4214"/>
      <c r="P122" s="4214"/>
      <c r="Q122" s="101"/>
      <c r="R122" s="5"/>
      <c r="S122" s="228"/>
      <c r="U122" s="1263">
        <v>0.05</v>
      </c>
    </row>
    <row r="123" spans="1:23" ht="15" customHeight="1" x14ac:dyDescent="0.25">
      <c r="A123" s="957">
        <f t="shared" si="41"/>
        <v>0</v>
      </c>
      <c r="B123" s="4"/>
      <c r="C123" s="101"/>
      <c r="D123" s="137">
        <f t="shared" si="43"/>
        <v>10</v>
      </c>
      <c r="E123" s="1701" t="str">
        <f>IF(ISERROR(HLOOKUP($D123,'Improved Sales Adjustments'!$G$7:$ZP$147,109,FALSE)),"",HLOOKUP($D123,'Improved Sales Adjustments'!$G$7:$ZP$147,109,FALSE))</f>
        <v/>
      </c>
      <c r="F123" s="1701">
        <f t="shared" si="39"/>
        <v>2.95</v>
      </c>
      <c r="G123" s="1702" t="str">
        <f t="shared" si="40"/>
        <v/>
      </c>
      <c r="H123" s="1702"/>
      <c r="I123" s="1265"/>
      <c r="J123" s="2160">
        <f t="shared" si="42"/>
        <v>0</v>
      </c>
      <c r="K123" s="4202" t="e">
        <f>(((Subject_NRA/1000)*12*F123*J123)*(1-dpSales_ParkingRatio_SubjectVacancy)*(1-dpSales_ParkingRatio_ExpenseRatio)/Subject_NRA-(('Improved Sales Summary Light'!$L$14/1000)*12*E123*I123)*(1-U123)*(1-dpSales_ParkingRatio_ExpenseRatio)/'Improved Sales Summary Light'!$L$14)/dpSales_ParkingRatio_OAR</f>
        <v>#VALUE!</v>
      </c>
      <c r="L123" s="4202"/>
      <c r="M123" s="4214" t="str">
        <f>IF(ISERROR(K123/HLOOKUP($D123,'Improved Sales Adjustments'!$G$7:$ZP$147,48,FALSE)),"",ROUND(K123/HLOOKUP($D123,'Improved Sales Adjustments'!$G$7:$ZP$147,48,FALSE),2))</f>
        <v/>
      </c>
      <c r="N123" s="4214"/>
      <c r="O123" s="4214"/>
      <c r="P123" s="4214"/>
      <c r="Q123" s="101"/>
      <c r="R123" s="5"/>
      <c r="S123" s="228"/>
      <c r="U123" s="1263">
        <v>0.05</v>
      </c>
    </row>
    <row r="124" spans="1:23" ht="15" customHeight="1" x14ac:dyDescent="0.25">
      <c r="A124" s="957">
        <f t="shared" si="41"/>
        <v>0</v>
      </c>
      <c r="B124" s="4"/>
      <c r="C124" s="101"/>
      <c r="D124" s="137">
        <f t="shared" si="43"/>
        <v>11</v>
      </c>
      <c r="E124" s="1701" t="str">
        <f>IF(ISERROR(HLOOKUP($D124,'Improved Sales Adjustments'!$G$7:$ZP$147,109,FALSE)),"",HLOOKUP($D124,'Improved Sales Adjustments'!$G$7:$ZP$147,109,FALSE))</f>
        <v/>
      </c>
      <c r="F124" s="1701">
        <f t="shared" si="39"/>
        <v>2.95</v>
      </c>
      <c r="G124" s="1702" t="str">
        <f t="shared" si="40"/>
        <v/>
      </c>
      <c r="H124" s="1702"/>
      <c r="I124" s="1265"/>
      <c r="J124" s="2160">
        <f t="shared" si="42"/>
        <v>0</v>
      </c>
      <c r="K124" s="4202" t="e">
        <f>(((Subject_NRA/1000)*12*F124*J124)*(1-dpSales_ParkingRatio_SubjectVacancy)*(1-dpSales_ParkingRatio_ExpenseRatio)/Subject_NRA-(('Improved Sales Summary Light'!$L$15/1000)*12*E124*I124)*(1-U124)*(1-dpSales_ParkingRatio_ExpenseRatio)/'Improved Sales Summary Light'!$L$15)/dpSales_ParkingRatio_OAR</f>
        <v>#VALUE!</v>
      </c>
      <c r="L124" s="4202"/>
      <c r="M124" s="4214" t="str">
        <f>IF(ISERROR(K124/HLOOKUP($D124,'Improved Sales Adjustments'!$G$7:$ZP$147,48,FALSE)),"",ROUND(K124/HLOOKUP($D124,'Improved Sales Adjustments'!$G$7:$ZP$147,48,FALSE),2))</f>
        <v/>
      </c>
      <c r="N124" s="4214"/>
      <c r="O124" s="4214"/>
      <c r="P124" s="4214"/>
      <c r="Q124" s="101"/>
      <c r="R124" s="5"/>
      <c r="S124" s="228"/>
      <c r="U124" s="1263">
        <v>0.05</v>
      </c>
    </row>
    <row r="125" spans="1:23" ht="15" customHeight="1" x14ac:dyDescent="0.25">
      <c r="A125" s="957">
        <f t="shared" si="41"/>
        <v>0</v>
      </c>
      <c r="B125" s="4"/>
      <c r="C125" s="101"/>
      <c r="D125" s="137">
        <f>D124+1</f>
        <v>12</v>
      </c>
      <c r="E125" s="1701" t="str">
        <f>IF(ISERROR(HLOOKUP($D125,'Improved Sales Adjustments'!$G$7:$ZP$147,109,FALSE)),"",HLOOKUP($D125,'Improved Sales Adjustments'!$G$7:$ZP$147,109,FALSE))</f>
        <v/>
      </c>
      <c r="F125" s="1701">
        <f t="shared" si="39"/>
        <v>2.95</v>
      </c>
      <c r="G125" s="1702" t="str">
        <f t="shared" si="40"/>
        <v/>
      </c>
      <c r="H125" s="1702"/>
      <c r="I125" s="1265"/>
      <c r="J125" s="2160">
        <f t="shared" si="42"/>
        <v>0</v>
      </c>
      <c r="K125" s="4202" t="e">
        <f>(((Subject_NRA/1000)*12*F125*J125)*(1-dpSales_ParkingRatio_SubjectVacancy)*(1-dpSales_ParkingRatio_ExpenseRatio)/Subject_NRA-(('Improved Sales Summary Light'!$L$16/1000)*12*E125*I125)*(1-U125)*(1-dpSales_ParkingRatio_ExpenseRatio)/'Improved Sales Summary Light'!$L$16)/dpSales_ParkingRatio_OAR</f>
        <v>#VALUE!</v>
      </c>
      <c r="L125" s="4202"/>
      <c r="M125" s="4214" t="str">
        <f>IF(ISERROR(K125/HLOOKUP($D125,'Improved Sales Adjustments'!$G$7:$ZP$147,48,FALSE)),"",ROUND(K125/HLOOKUP($D125,'Improved Sales Adjustments'!$G$7:$ZP$147,48,FALSE),2))</f>
        <v/>
      </c>
      <c r="N125" s="4214"/>
      <c r="O125" s="4214"/>
      <c r="P125" s="4214"/>
      <c r="Q125" s="101"/>
      <c r="R125" s="5"/>
      <c r="S125" s="228"/>
      <c r="U125" s="1263">
        <v>0.05</v>
      </c>
    </row>
    <row r="126" spans="1:23" ht="15" customHeight="1" x14ac:dyDescent="0.25">
      <c r="A126" s="957">
        <f t="shared" si="41"/>
        <v>0</v>
      </c>
      <c r="B126" s="4"/>
      <c r="C126" s="101"/>
      <c r="D126" s="137">
        <f>D125+1</f>
        <v>13</v>
      </c>
      <c r="E126" s="1701" t="str">
        <f>IF(ISERROR(HLOOKUP($D126,'Improved Sales Adjustments'!$G$7:$ZP$147,109,FALSE)),"",HLOOKUP($D126,'Improved Sales Adjustments'!$G$7:$ZP$147,109,FALSE))</f>
        <v/>
      </c>
      <c r="F126" s="1701">
        <f t="shared" si="39"/>
        <v>2.95</v>
      </c>
      <c r="G126" s="1702" t="str">
        <f t="shared" si="40"/>
        <v/>
      </c>
      <c r="H126" s="1702"/>
      <c r="I126" s="1265"/>
      <c r="J126" s="2160">
        <f t="shared" si="42"/>
        <v>0</v>
      </c>
      <c r="K126" s="4202" t="e">
        <f>(((Subject_NRA/1000)*12*F126*J126)*(1-dpSales_ParkingRatio_SubjectVacancy)*(1-dpSales_ParkingRatio_ExpenseRatio)/Subject_NRA-(('Improved Sales Summary Light'!$L$17/1000)*12*E126*I126)*(1-U126)*(1-dpSales_ParkingRatio_ExpenseRatio)/'Improved Sales Summary Light'!$L$17)/dpSales_ParkingRatio_OAR</f>
        <v>#VALUE!</v>
      </c>
      <c r="L126" s="4202"/>
      <c r="M126" s="4214" t="str">
        <f>IF(ISERROR(K126/HLOOKUP($D126,'Improved Sales Adjustments'!$G$7:$ZP$147,48,FALSE)),"",ROUND(K126/HLOOKUP($D126,'Improved Sales Adjustments'!$G$7:$ZP$147,48,FALSE),2))</f>
        <v/>
      </c>
      <c r="N126" s="4214"/>
      <c r="O126" s="4214"/>
      <c r="P126" s="4214"/>
      <c r="Q126" s="101"/>
      <c r="R126" s="5"/>
      <c r="S126" s="228"/>
      <c r="U126" s="1263">
        <v>0.05</v>
      </c>
    </row>
    <row r="127" spans="1:23" ht="15" customHeight="1" x14ac:dyDescent="0.25">
      <c r="A127" s="957">
        <f t="shared" si="41"/>
        <v>0</v>
      </c>
      <c r="B127" s="4"/>
      <c r="C127" s="101"/>
      <c r="D127" s="137">
        <f>D126+1</f>
        <v>14</v>
      </c>
      <c r="E127" s="1701" t="str">
        <f>IF(ISERROR(HLOOKUP($D127,'Improved Sales Adjustments'!$G$7:$ZP$147,109,FALSE)),"",HLOOKUP($D127,'Improved Sales Adjustments'!$G$7:$ZP$147,109,FALSE))</f>
        <v/>
      </c>
      <c r="F127" s="1701">
        <f t="shared" si="39"/>
        <v>2.95</v>
      </c>
      <c r="G127" s="1702" t="str">
        <f t="shared" si="40"/>
        <v/>
      </c>
      <c r="H127" s="1702"/>
      <c r="I127" s="1265"/>
      <c r="J127" s="2160">
        <f t="shared" si="42"/>
        <v>0</v>
      </c>
      <c r="K127" s="4202" t="e">
        <f>(((Subject_NRA/1000)*12*F127*J127)*(1-dpSales_ParkingRatio_SubjectVacancy)*(1-dpSales_ParkingRatio_ExpenseRatio)/Subject_NRA-(('Improved Sales Summary Light'!$L$18/1000)*12*E127*I127)*(1-U127)*(1-dpSales_ParkingRatio_ExpenseRatio)/'Improved Sales Summary Light'!$L$18)/dpSales_ParkingRatio_OAR</f>
        <v>#VALUE!</v>
      </c>
      <c r="L127" s="4202"/>
      <c r="M127" s="4214" t="str">
        <f>IF(ISERROR(K127/HLOOKUP($D127,'Improved Sales Adjustments'!$G$7:$ZP$147,48,FALSE)),"",ROUND(K127/HLOOKUP($D127,'Improved Sales Adjustments'!$G$7:$ZP$147,48,FALSE),2))</f>
        <v/>
      </c>
      <c r="N127" s="4214"/>
      <c r="O127" s="4214"/>
      <c r="P127" s="4214"/>
      <c r="Q127" s="101"/>
      <c r="R127" s="5"/>
      <c r="S127" s="228"/>
      <c r="U127" s="1263">
        <v>0.05</v>
      </c>
    </row>
    <row r="128" spans="1:23" ht="15" customHeight="1" thickBot="1" x14ac:dyDescent="0.3">
      <c r="A128" s="957">
        <f t="shared" si="41"/>
        <v>0</v>
      </c>
      <c r="B128" s="4"/>
      <c r="C128" s="101"/>
      <c r="D128" s="137">
        <f>D127+1</f>
        <v>15</v>
      </c>
      <c r="E128" s="1701" t="str">
        <f>IF(ISERROR(HLOOKUP($D128,'Improved Sales Adjustments'!$G$7:$ZP$147,109,FALSE)),"",HLOOKUP($D128,'Improved Sales Adjustments'!$G$7:$ZP$147,109,FALSE))</f>
        <v/>
      </c>
      <c r="F128" s="1701">
        <f t="shared" si="39"/>
        <v>2.95</v>
      </c>
      <c r="G128" s="1702" t="str">
        <f t="shared" si="40"/>
        <v/>
      </c>
      <c r="H128" s="1702"/>
      <c r="I128" s="1265"/>
      <c r="J128" s="2160">
        <f t="shared" si="42"/>
        <v>0</v>
      </c>
      <c r="K128" s="4201" t="e">
        <f>(((Subject_NRA/1000)*12*F128*J128)*(1-dpSales_ParkingRatio_SubjectVacancy)*(1-dpSales_ParkingRatio_ExpenseRatio)/Subject_NRA-(('Improved Sales Summary Light'!$L$19/1000)*12*E128*I128)*(1-U128)*(1-dpSales_ParkingRatio_ExpenseRatio)/'Improved Sales Summary Light'!$L$19)/dpSales_ParkingRatio_OAR</f>
        <v>#VALUE!</v>
      </c>
      <c r="L128" s="4201"/>
      <c r="M128" s="4214" t="str">
        <f>IF(ISERROR(K128/HLOOKUP($D128,'Improved Sales Adjustments'!$G$7:$ZP$147,48,FALSE)),"",ROUND(K128/HLOOKUP($D128,'Improved Sales Adjustments'!$G$7:$ZP$147,48,FALSE),2))</f>
        <v/>
      </c>
      <c r="N128" s="4214"/>
      <c r="O128" s="4214"/>
      <c r="P128" s="4214"/>
      <c r="Q128" s="101"/>
      <c r="R128" s="5"/>
      <c r="S128" s="228"/>
      <c r="U128" s="1264">
        <v>0.05</v>
      </c>
    </row>
    <row r="129" spans="1:70" ht="15" customHeight="1" thickBot="1" x14ac:dyDescent="0.3">
      <c r="A129" s="957">
        <v>1</v>
      </c>
      <c r="B129" s="8"/>
      <c r="C129" s="7"/>
      <c r="D129" s="741" t="s">
        <v>1320</v>
      </c>
      <c r="E129" s="133"/>
      <c r="F129" s="133"/>
      <c r="G129" s="133"/>
      <c r="H129" s="133"/>
      <c r="I129" s="133"/>
      <c r="J129" s="133"/>
      <c r="K129" s="133"/>
      <c r="L129" s="133"/>
      <c r="M129" s="133"/>
      <c r="N129" s="133"/>
      <c r="O129" s="133"/>
      <c r="P129" s="133"/>
      <c r="Q129" s="7"/>
      <c r="R129" s="7"/>
      <c r="S129" s="228"/>
    </row>
    <row r="130" spans="1:70" s="32" customFormat="1" ht="15" customHeight="1" thickBot="1" x14ac:dyDescent="0.3">
      <c r="A130" s="957">
        <v>1</v>
      </c>
      <c r="D130" s="96"/>
      <c r="W130" s="957">
        <f t="shared" ref="W130:AF130" si="44">IF(COUNTIF(Sales_EconomicLifeRange,W133)&gt;0=TRUE,1,0)</f>
        <v>0</v>
      </c>
      <c r="X130" s="957">
        <f t="shared" si="44"/>
        <v>0</v>
      </c>
      <c r="Y130" s="957">
        <f t="shared" si="44"/>
        <v>0</v>
      </c>
      <c r="Z130" s="957">
        <f t="shared" si="44"/>
        <v>1</v>
      </c>
      <c r="AA130" s="957">
        <f t="shared" si="44"/>
        <v>0</v>
      </c>
      <c r="AB130" s="957">
        <f t="shared" si="44"/>
        <v>0</v>
      </c>
      <c r="AC130" s="957">
        <f t="shared" si="44"/>
        <v>0</v>
      </c>
      <c r="AD130" s="957">
        <f t="shared" si="44"/>
        <v>0</v>
      </c>
      <c r="AE130" s="957">
        <f t="shared" si="44"/>
        <v>0</v>
      </c>
      <c r="AF130" s="957">
        <f t="shared" si="44"/>
        <v>0</v>
      </c>
      <c r="AI130" s="11"/>
      <c r="AJ130" s="11"/>
      <c r="AK130" s="11"/>
      <c r="AL130" s="11"/>
      <c r="AM130" s="11"/>
      <c r="AN130" s="11"/>
      <c r="AO130" s="11"/>
      <c r="AP130" s="11"/>
      <c r="AQ130" s="11"/>
      <c r="AR130" s="11"/>
      <c r="AS130" s="11"/>
      <c r="AT130" s="11"/>
      <c r="AU130" s="11"/>
      <c r="AV130" s="11"/>
      <c r="AW130" s="11"/>
      <c r="AX130" s="11"/>
      <c r="AY130" s="11"/>
      <c r="AZ130" s="11"/>
      <c r="BA130" s="11"/>
      <c r="BB130" s="11"/>
      <c r="BC130" s="11"/>
      <c r="BD130" s="11"/>
      <c r="BE130" s="11"/>
      <c r="BF130" s="11"/>
      <c r="BG130" s="11"/>
      <c r="BH130" s="11"/>
      <c r="BI130" s="11"/>
      <c r="BJ130" s="11"/>
      <c r="BK130" s="11"/>
      <c r="BL130" s="11"/>
      <c r="BM130" s="11"/>
      <c r="BN130" s="11"/>
      <c r="BO130" s="11"/>
      <c r="BP130" s="11"/>
      <c r="BQ130" s="11"/>
      <c r="BR130" s="11"/>
    </row>
    <row r="131" spans="1:70" ht="15" customHeight="1" x14ac:dyDescent="0.25">
      <c r="A131" s="957">
        <v>1</v>
      </c>
      <c r="S131" s="1"/>
      <c r="T131" s="31"/>
      <c r="U131" s="2"/>
      <c r="V131" s="2"/>
      <c r="W131" s="442"/>
      <c r="X131" s="442"/>
      <c r="Y131" s="2"/>
      <c r="Z131" s="2"/>
      <c r="AA131" s="2"/>
      <c r="AB131" s="2"/>
      <c r="AC131" s="2"/>
      <c r="AD131" s="2"/>
      <c r="AE131" s="2"/>
      <c r="AF131" s="2"/>
      <c r="AG131" s="2"/>
      <c r="AH131" s="3"/>
      <c r="AI131" s="11"/>
      <c r="AJ131" s="11"/>
      <c r="AK131" s="11"/>
      <c r="AL131" s="11"/>
      <c r="AM131" s="11"/>
      <c r="AN131" s="11"/>
      <c r="AO131" s="11"/>
      <c r="AP131" s="11"/>
      <c r="AQ131" s="11"/>
      <c r="AR131" s="11"/>
      <c r="AS131" s="11"/>
      <c r="AT131" s="11"/>
      <c r="AU131" s="11"/>
      <c r="AV131" s="11"/>
      <c r="AW131" s="11"/>
      <c r="AX131" s="11"/>
      <c r="AY131" s="11"/>
      <c r="AZ131" s="11"/>
      <c r="BA131" s="11"/>
      <c r="BB131" s="11"/>
      <c r="BC131" s="11"/>
      <c r="BD131" s="11"/>
      <c r="BE131" s="11"/>
      <c r="BF131" s="11"/>
      <c r="BG131" s="11"/>
      <c r="BH131" s="11"/>
      <c r="BI131" s="11"/>
      <c r="BJ131" s="11"/>
      <c r="BK131" s="11"/>
      <c r="BL131" s="11"/>
      <c r="BM131" s="11"/>
      <c r="BN131" s="11"/>
      <c r="BO131" s="11"/>
      <c r="BP131" s="11"/>
      <c r="BQ131" s="11"/>
      <c r="BR131" s="11"/>
    </row>
    <row r="132" spans="1:70" ht="15.95" customHeight="1" x14ac:dyDescent="0.25">
      <c r="A132" s="957">
        <v>1</v>
      </c>
      <c r="J132" s="11"/>
      <c r="S132" s="4"/>
      <c r="T132" s="52"/>
      <c r="U132" s="505" t="s">
        <v>748</v>
      </c>
      <c r="V132" s="43"/>
      <c r="W132" s="43"/>
      <c r="X132" s="52"/>
      <c r="Y132" s="52"/>
      <c r="Z132" s="52"/>
      <c r="AA132" s="52"/>
      <c r="AB132" s="52"/>
      <c r="AC132" s="52"/>
      <c r="AD132" s="52"/>
      <c r="AE132" s="52"/>
      <c r="AF132" s="52"/>
      <c r="AG132" s="5"/>
      <c r="AH132" s="6"/>
      <c r="AI132" s="11"/>
      <c r="AJ132" s="11"/>
      <c r="AK132" s="11"/>
      <c r="AL132" s="11"/>
      <c r="AM132" s="11"/>
      <c r="AN132" s="11"/>
      <c r="AO132" s="11"/>
      <c r="AP132" s="11"/>
      <c r="AQ132" s="11"/>
      <c r="AR132" s="11"/>
      <c r="AS132" s="11"/>
      <c r="AT132" s="11"/>
      <c r="AU132" s="11"/>
      <c r="AV132" s="11"/>
      <c r="AW132" s="11"/>
      <c r="AX132" s="11"/>
      <c r="AY132" s="11"/>
      <c r="AZ132" s="11"/>
      <c r="BA132" s="11"/>
      <c r="BB132" s="11"/>
      <c r="BC132" s="11"/>
      <c r="BD132" s="11"/>
      <c r="BE132" s="11"/>
      <c r="BF132" s="11"/>
      <c r="BG132" s="11"/>
      <c r="BH132" s="11"/>
      <c r="BI132" s="11"/>
      <c r="BJ132" s="11"/>
      <c r="BK132" s="11"/>
      <c r="BL132" s="11"/>
      <c r="BM132" s="11"/>
      <c r="BN132" s="11"/>
      <c r="BO132" s="11"/>
      <c r="BP132" s="11"/>
      <c r="BQ132" s="11"/>
      <c r="BR132" s="11"/>
    </row>
    <row r="133" spans="1:70" ht="15" customHeight="1" x14ac:dyDescent="0.25">
      <c r="A133" s="957">
        <v>1</v>
      </c>
      <c r="S133" s="4"/>
      <c r="T133" s="12"/>
      <c r="U133" s="12"/>
      <c r="V133" s="150" t="s">
        <v>234</v>
      </c>
      <c r="W133" s="441">
        <v>70</v>
      </c>
      <c r="X133" s="441">
        <v>60</v>
      </c>
      <c r="Y133" s="441">
        <v>55</v>
      </c>
      <c r="Z133" s="441">
        <v>50</v>
      </c>
      <c r="AA133" s="441">
        <v>45</v>
      </c>
      <c r="AB133" s="441">
        <v>40</v>
      </c>
      <c r="AC133" s="441">
        <v>35</v>
      </c>
      <c r="AD133" s="441">
        <v>30</v>
      </c>
      <c r="AE133" s="441">
        <v>25</v>
      </c>
      <c r="AF133" s="441">
        <v>20</v>
      </c>
      <c r="AH133" s="6"/>
      <c r="AI133" s="11"/>
      <c r="AJ133" s="41"/>
      <c r="AK133" s="11"/>
      <c r="AL133" s="11"/>
      <c r="AM133" s="11"/>
      <c r="AN133" s="11"/>
      <c r="AO133" s="11"/>
      <c r="AP133" s="11"/>
      <c r="AQ133" s="11"/>
      <c r="AR133" s="11"/>
      <c r="AS133" s="11"/>
      <c r="AT133" s="11"/>
      <c r="AU133" s="11"/>
      <c r="AV133" s="11"/>
      <c r="AW133" s="11"/>
      <c r="AX133" s="11"/>
      <c r="AY133" s="11"/>
      <c r="AZ133" s="11"/>
      <c r="BA133" s="11"/>
      <c r="BB133" s="11"/>
      <c r="BC133" s="11"/>
      <c r="BD133" s="11"/>
      <c r="BE133" s="11"/>
      <c r="BF133" s="41" t="s">
        <v>116</v>
      </c>
      <c r="BG133" s="41" t="s">
        <v>1176</v>
      </c>
      <c r="BH133" s="41" t="s">
        <v>1177</v>
      </c>
      <c r="BI133" s="41" t="s">
        <v>1178</v>
      </c>
      <c r="BJ133" s="41" t="s">
        <v>1179</v>
      </c>
      <c r="BK133" s="41" t="s">
        <v>1180</v>
      </c>
      <c r="BL133" s="41" t="s">
        <v>1181</v>
      </c>
      <c r="BM133" s="41" t="s">
        <v>1182</v>
      </c>
      <c r="BN133" s="41" t="s">
        <v>1183</v>
      </c>
      <c r="BO133" s="41" t="s">
        <v>1184</v>
      </c>
      <c r="BP133" s="41" t="s">
        <v>1185</v>
      </c>
      <c r="BQ133" s="11"/>
      <c r="BR133" s="11"/>
    </row>
    <row r="134" spans="1:70" ht="15" customHeight="1" x14ac:dyDescent="0.25">
      <c r="A134" s="957">
        <v>1</v>
      </c>
      <c r="S134" s="4"/>
      <c r="T134" s="12"/>
      <c r="U134" s="12" t="s">
        <v>105</v>
      </c>
      <c r="V134" s="150" t="s">
        <v>235</v>
      </c>
      <c r="W134" s="150" t="s">
        <v>238</v>
      </c>
      <c r="X134" s="150" t="s">
        <v>238</v>
      </c>
      <c r="Y134" s="150" t="s">
        <v>238</v>
      </c>
      <c r="Z134" s="150" t="s">
        <v>238</v>
      </c>
      <c r="AA134" s="150" t="s">
        <v>238</v>
      </c>
      <c r="AB134" s="150" t="s">
        <v>238</v>
      </c>
      <c r="AC134" s="150" t="s">
        <v>238</v>
      </c>
      <c r="AD134" s="150" t="s">
        <v>238</v>
      </c>
      <c r="AE134" s="150" t="s">
        <v>238</v>
      </c>
      <c r="AF134" s="150" t="s">
        <v>238</v>
      </c>
      <c r="AH134" s="6"/>
      <c r="AI134" s="11"/>
      <c r="AJ134" s="41" t="s">
        <v>116</v>
      </c>
      <c r="AK134" s="41">
        <v>1</v>
      </c>
      <c r="AL134" s="41">
        <f t="shared" ref="AL134:AT134" si="45">AK134+1</f>
        <v>2</v>
      </c>
      <c r="AM134" s="41">
        <f t="shared" si="45"/>
        <v>3</v>
      </c>
      <c r="AN134" s="41">
        <f t="shared" si="45"/>
        <v>4</v>
      </c>
      <c r="AO134" s="41">
        <f t="shared" si="45"/>
        <v>5</v>
      </c>
      <c r="AP134" s="41">
        <f t="shared" si="45"/>
        <v>6</v>
      </c>
      <c r="AQ134" s="41">
        <f t="shared" si="45"/>
        <v>7</v>
      </c>
      <c r="AR134" s="41">
        <f t="shared" si="45"/>
        <v>8</v>
      </c>
      <c r="AS134" s="41">
        <f t="shared" si="45"/>
        <v>9</v>
      </c>
      <c r="AT134" s="41">
        <f t="shared" si="45"/>
        <v>10</v>
      </c>
      <c r="AU134" s="41" t="str">
        <f t="shared" ref="AU134:BA134" si="46">AJ134</f>
        <v>Subject</v>
      </c>
      <c r="AV134" s="41">
        <f t="shared" si="46"/>
        <v>1</v>
      </c>
      <c r="AW134" s="41">
        <f t="shared" si="46"/>
        <v>2</v>
      </c>
      <c r="AX134" s="41">
        <f t="shared" si="46"/>
        <v>3</v>
      </c>
      <c r="AY134" s="41">
        <f t="shared" si="46"/>
        <v>4</v>
      </c>
      <c r="AZ134" s="41">
        <f t="shared" si="46"/>
        <v>5</v>
      </c>
      <c r="BA134" s="41">
        <f t="shared" si="46"/>
        <v>6</v>
      </c>
      <c r="BB134" s="41">
        <f>AQ134</f>
        <v>7</v>
      </c>
      <c r="BC134" s="41">
        <f>AR134</f>
        <v>8</v>
      </c>
      <c r="BD134" s="41">
        <f>AS134</f>
        <v>9</v>
      </c>
      <c r="BE134" s="41">
        <f>AT134</f>
        <v>10</v>
      </c>
      <c r="BF134" s="41" t="s">
        <v>116</v>
      </c>
      <c r="BG134" s="41">
        <f t="shared" ref="BG134:BL134" si="47">AV134</f>
        <v>1</v>
      </c>
      <c r="BH134" s="41">
        <f t="shared" si="47"/>
        <v>2</v>
      </c>
      <c r="BI134" s="41">
        <f t="shared" si="47"/>
        <v>3</v>
      </c>
      <c r="BJ134" s="41">
        <f t="shared" si="47"/>
        <v>4</v>
      </c>
      <c r="BK134" s="41">
        <f t="shared" si="47"/>
        <v>5</v>
      </c>
      <c r="BL134" s="41">
        <f t="shared" si="47"/>
        <v>6</v>
      </c>
      <c r="BM134" s="41">
        <f>BB134</f>
        <v>7</v>
      </c>
      <c r="BN134" s="41">
        <f>BC134</f>
        <v>8</v>
      </c>
      <c r="BO134" s="41">
        <f>BD134</f>
        <v>9</v>
      </c>
      <c r="BP134" s="41">
        <f>BE134</f>
        <v>10</v>
      </c>
      <c r="BQ134" s="11"/>
      <c r="BR134" s="11"/>
    </row>
    <row r="135" spans="1:70" ht="15" customHeight="1" x14ac:dyDescent="0.25">
      <c r="A135" s="957">
        <f>IF(AND(MIN(Sales_EffectiveAgeRange,Subject_AgeEffective)&lt;=V135,MAX(Sales_EffectiveAgeRange,Subject_AgeEffective)&gt;=V135),1,0)</f>
        <v>1</v>
      </c>
      <c r="S135" s="4"/>
      <c r="T135" s="1204"/>
      <c r="U135" s="4074" t="str">
        <f>CONCATENATE(BF135,BG135,BH135,BI135,BJ135,BK135,BL135,BM135,BN135,BO135,BP135)</f>
        <v>Subject</v>
      </c>
      <c r="V135" s="137">
        <v>0</v>
      </c>
      <c r="W135" s="2129">
        <v>0</v>
      </c>
      <c r="X135" s="2130">
        <v>0</v>
      </c>
      <c r="Y135" s="2130">
        <v>0</v>
      </c>
      <c r="Z135" s="2130">
        <v>0</v>
      </c>
      <c r="AA135" s="2130">
        <v>0</v>
      </c>
      <c r="AB135" s="2130">
        <v>0</v>
      </c>
      <c r="AC135" s="2130">
        <v>0</v>
      </c>
      <c r="AD135" s="2130">
        <v>0</v>
      </c>
      <c r="AE135" s="2130">
        <v>0</v>
      </c>
      <c r="AF135" s="2130">
        <v>0</v>
      </c>
      <c r="AG135" s="101"/>
      <c r="AH135" s="6"/>
      <c r="AI135" s="11"/>
      <c r="AJ135" s="41">
        <f t="shared" ref="AJ135:AJ166" si="48">IF(V135=Subject_AgeEffective,1,0)</f>
        <v>1</v>
      </c>
      <c r="AK135" s="41">
        <f>IF(ISERROR(HLOOKUP(AK$134,'Improved Sales Adjustments'!$G$7:$ZP$147,68,FALSE)),0,IF(HLOOKUP(AK$134,'Improved Sales Adjustments'!$G$7:$ZP$147,68,FALSE)="",0,IF($V135=HLOOKUP(AK$134,'Improved Sales Adjustments'!$G$7:$ZP$147,68,FALSE),1,0)))</f>
        <v>0</v>
      </c>
      <c r="AL135" s="41">
        <f>IF(ISERROR(HLOOKUP(AL$134,'Improved Sales Adjustments'!$G$7:$ZP$147,68,FALSE)),0,IF(HLOOKUP(AL$134,'Improved Sales Adjustments'!$G$7:$ZP$147,68,FALSE)="",0,IF($V135=HLOOKUP(AL$134,'Improved Sales Adjustments'!$G$7:$ZP$147,68,FALSE),1,0)))</f>
        <v>0</v>
      </c>
      <c r="AM135" s="41">
        <f>IF(ISERROR(HLOOKUP(AM$134,'Improved Sales Adjustments'!$G$7:$ZP$147,68,FALSE)),0,IF(HLOOKUP(AM$134,'Improved Sales Adjustments'!$G$7:$ZP$147,68,FALSE)="",0,IF($V135=HLOOKUP(AM$134,'Improved Sales Adjustments'!$G$7:$ZP$147,68,FALSE),1,0)))</f>
        <v>0</v>
      </c>
      <c r="AN135" s="41">
        <f>IF(ISERROR(HLOOKUP(AN$134,'Improved Sales Adjustments'!$G$7:$ZP$147,68,FALSE)),0,IF(HLOOKUP(AN$134,'Improved Sales Adjustments'!$G$7:$ZP$147,68,FALSE)="",0,IF($V135=HLOOKUP(AN$134,'Improved Sales Adjustments'!$G$7:$ZP$147,68,FALSE),1,0)))</f>
        <v>0</v>
      </c>
      <c r="AO135" s="41">
        <f>IF(ISERROR(HLOOKUP(AO$134,'Improved Sales Adjustments'!$G$7:$ZP$147,68,FALSE)),0,IF(HLOOKUP(AO$134,'Improved Sales Adjustments'!$G$7:$ZP$147,68,FALSE)="",0,IF($V135=HLOOKUP(AO$134,'Improved Sales Adjustments'!$G$7:$ZP$147,68,FALSE),1,0)))</f>
        <v>0</v>
      </c>
      <c r="AP135" s="41">
        <f>IF(ISERROR(HLOOKUP(AP$134,'Improved Sales Adjustments'!$G$7:$ZP$147,68,FALSE)),0,IF(HLOOKUP(AP$134,'Improved Sales Adjustments'!$G$7:$ZP$147,68,FALSE)="",0,IF($V135=HLOOKUP(AP$134,'Improved Sales Adjustments'!$G$7:$ZP$147,68,FALSE),1,0)))</f>
        <v>0</v>
      </c>
      <c r="AQ135" s="41">
        <f>IF(ISERROR(HLOOKUP(AQ$134,'Improved Sales Adjustments'!$G$7:$ZP$147,68,FALSE)),0,IF(HLOOKUP(AQ$134,'Improved Sales Adjustments'!$G$7:$ZP$147,68,FALSE)="",0,IF($V135=HLOOKUP(AQ$134,'Improved Sales Adjustments'!$G$7:$ZP$147,68,FALSE),1,0)))</f>
        <v>0</v>
      </c>
      <c r="AR135" s="41">
        <f>IF(ISERROR(HLOOKUP(AR$134,'Improved Sales Adjustments'!$G$7:$ZP$147,68,FALSE)),0,IF(HLOOKUP(AR$134,'Improved Sales Adjustments'!$G$7:$ZP$147,68,FALSE)="",0,IF($V135=HLOOKUP(AR$134,'Improved Sales Adjustments'!$G$7:$ZP$147,68,FALSE),1,0)))</f>
        <v>0</v>
      </c>
      <c r="AS135" s="41">
        <f>IF(ISERROR(HLOOKUP(AS$134,'Improved Sales Adjustments'!$G$7:$ZP$147,68,FALSE)),0,IF(HLOOKUP(AS$134,'Improved Sales Adjustments'!$G$7:$ZP$147,68,FALSE)="",0,IF($V135=HLOOKUP(AS$134,'Improved Sales Adjustments'!$G$7:$ZP$147,68,FALSE),1,0)))</f>
        <v>0</v>
      </c>
      <c r="AT135" s="41">
        <f>IF(ISERROR(HLOOKUP(AT$134,'Improved Sales Adjustments'!$G$7:$ZP$147,68,FALSE)),0,IF(HLOOKUP(AT$134,'Improved Sales Adjustments'!$G$7:$ZP$147,68,FALSE)="",0,IF($V135=HLOOKUP(AT$134,'Improved Sales Adjustments'!$G$7:$ZP$147,68,FALSE),1,0)))</f>
        <v>0</v>
      </c>
      <c r="AU135" s="41">
        <f>SUM($AJ135:AJ135)</f>
        <v>1</v>
      </c>
      <c r="AV135" s="41">
        <f>SUM($AJ135:AK135)</f>
        <v>1</v>
      </c>
      <c r="AW135" s="41">
        <f>SUM($AJ135:AL135)</f>
        <v>1</v>
      </c>
      <c r="AX135" s="41">
        <f>SUM($AJ135:AM135)</f>
        <v>1</v>
      </c>
      <c r="AY135" s="41">
        <f>SUM($AJ135:AN135)</f>
        <v>1</v>
      </c>
      <c r="AZ135" s="41">
        <f>SUM($AJ135:AO135)</f>
        <v>1</v>
      </c>
      <c r="BA135" s="41">
        <f>SUM($AJ135:AP135)</f>
        <v>1</v>
      </c>
      <c r="BB135" s="41">
        <f>SUM($AJ135:AQ135)</f>
        <v>1</v>
      </c>
      <c r="BC135" s="41">
        <f>SUM($AJ135:AR135)</f>
        <v>1</v>
      </c>
      <c r="BD135" s="41">
        <f>SUM($AJ135:AS135)</f>
        <v>1</v>
      </c>
      <c r="BE135" s="41">
        <f>SUM($AJ135:AT135)</f>
        <v>1</v>
      </c>
      <c r="BF135" s="41" t="str">
        <f>IF(AJ135=1,IF(AND(AU135=$BE135,$BE135&gt;1),IF($BE135&lt;3,CONCATENATE(" and ",BF$133),CONCATENATE("and ",BF$133)),IF($BE135&lt;3,BF$133,CONCATENATE(BF$133,", "))),"")</f>
        <v>Subject</v>
      </c>
      <c r="BG135" s="41" t="str">
        <f t="shared" ref="BG135:BP135" si="49">IF(AK135=1,IF(AND(AV135=$BE135,$BE135&gt;1),IF($BE135&lt;3,CONCATENATE(" and ",BG$133),CONCATENATE("and ",BG$133)),IF($BE135&lt;3,BG$133,CONCATENATE(BG$133,", "))),"")</f>
        <v/>
      </c>
      <c r="BH135" s="41" t="str">
        <f t="shared" si="49"/>
        <v/>
      </c>
      <c r="BI135" s="41" t="str">
        <f t="shared" si="49"/>
        <v/>
      </c>
      <c r="BJ135" s="41" t="str">
        <f t="shared" si="49"/>
        <v/>
      </c>
      <c r="BK135" s="41" t="str">
        <f t="shared" si="49"/>
        <v/>
      </c>
      <c r="BL135" s="41" t="str">
        <f t="shared" si="49"/>
        <v/>
      </c>
      <c r="BM135" s="41" t="str">
        <f t="shared" si="49"/>
        <v/>
      </c>
      <c r="BN135" s="41" t="str">
        <f t="shared" si="49"/>
        <v/>
      </c>
      <c r="BO135" s="41" t="str">
        <f t="shared" si="49"/>
        <v/>
      </c>
      <c r="BP135" s="41" t="str">
        <f t="shared" si="49"/>
        <v/>
      </c>
      <c r="BQ135" s="11"/>
      <c r="BR135" s="11"/>
    </row>
    <row r="136" spans="1:70" ht="15" customHeight="1" x14ac:dyDescent="0.25">
      <c r="A136" s="957">
        <f t="shared" ref="A136:A167" si="50">IF(AND(MIN(Sales_EffectiveAgeRange,Subject_AgeEffective)&lt;=V136,MAX(Sales_EffectiveAgeRange,Subject_AgeEffective)&gt;=V136),1,0)</f>
        <v>1</v>
      </c>
      <c r="B136" s="32"/>
      <c r="C136" s="32"/>
      <c r="D136" s="96"/>
      <c r="S136" s="4"/>
      <c r="T136" s="1204"/>
      <c r="U136" s="4074" t="str">
        <f t="shared" ref="U136:U199" si="51">CONCATENATE(BF136,BG136,BH136,BI136,BJ136,BK136,BL136,BM136,BN136,BO136,BP136)</f>
        <v/>
      </c>
      <c r="V136" s="137">
        <v>1</v>
      </c>
      <c r="W136" s="2129">
        <v>0</v>
      </c>
      <c r="X136" s="2130">
        <v>0</v>
      </c>
      <c r="Y136" s="2130">
        <v>0</v>
      </c>
      <c r="Z136" s="2130">
        <v>0</v>
      </c>
      <c r="AA136" s="2130">
        <v>0.01</v>
      </c>
      <c r="AB136" s="2130">
        <v>0.01</v>
      </c>
      <c r="AC136" s="2130">
        <v>0.01</v>
      </c>
      <c r="AD136" s="2130">
        <v>0.02</v>
      </c>
      <c r="AE136" s="2130">
        <v>0.02</v>
      </c>
      <c r="AF136" s="2130">
        <v>0.03</v>
      </c>
      <c r="AG136" s="101"/>
      <c r="AH136" s="6"/>
      <c r="AI136" s="11"/>
      <c r="AJ136" s="41">
        <f t="shared" si="48"/>
        <v>0</v>
      </c>
      <c r="AK136" s="41">
        <f>IF(ISERROR(HLOOKUP(AK$134,'Improved Sales Adjustments'!$G$7:$ZP$147,68,FALSE)),0,IF(HLOOKUP(AK$134,'Improved Sales Adjustments'!$G$7:$ZP$147,68,FALSE)="",0,IF($V136=HLOOKUP(AK$134,'Improved Sales Adjustments'!$G$7:$ZP$147,68,FALSE),1,0)))</f>
        <v>0</v>
      </c>
      <c r="AL136" s="41">
        <f>IF(ISERROR(HLOOKUP(AL$134,'Improved Sales Adjustments'!$G$7:$ZP$147,68,FALSE)),0,IF(HLOOKUP(AL$134,'Improved Sales Adjustments'!$G$7:$ZP$147,68,FALSE)="",0,IF($V136=HLOOKUP(AL$134,'Improved Sales Adjustments'!$G$7:$ZP$147,68,FALSE),1,0)))</f>
        <v>0</v>
      </c>
      <c r="AM136" s="41">
        <f>IF(ISERROR(HLOOKUP(AM$134,'Improved Sales Adjustments'!$G$7:$ZP$147,68,FALSE)),0,IF(HLOOKUP(AM$134,'Improved Sales Adjustments'!$G$7:$ZP$147,68,FALSE)="",0,IF($V136=HLOOKUP(AM$134,'Improved Sales Adjustments'!$G$7:$ZP$147,68,FALSE),1,0)))</f>
        <v>0</v>
      </c>
      <c r="AN136" s="41">
        <f>IF(ISERROR(HLOOKUP(AN$134,'Improved Sales Adjustments'!$G$7:$ZP$147,68,FALSE)),0,IF(HLOOKUP(AN$134,'Improved Sales Adjustments'!$G$7:$ZP$147,68,FALSE)="",0,IF($V136=HLOOKUP(AN$134,'Improved Sales Adjustments'!$G$7:$ZP$147,68,FALSE),1,0)))</f>
        <v>0</v>
      </c>
      <c r="AO136" s="41">
        <f>IF(ISERROR(HLOOKUP(AO$134,'Improved Sales Adjustments'!$G$7:$ZP$147,68,FALSE)),0,IF(HLOOKUP(AO$134,'Improved Sales Adjustments'!$G$7:$ZP$147,68,FALSE)="",0,IF($V136=HLOOKUP(AO$134,'Improved Sales Adjustments'!$G$7:$ZP$147,68,FALSE),1,0)))</f>
        <v>0</v>
      </c>
      <c r="AP136" s="41">
        <f>IF(ISERROR(HLOOKUP(AP$134,'Improved Sales Adjustments'!$G$7:$ZP$147,68,FALSE)),0,IF(HLOOKUP(AP$134,'Improved Sales Adjustments'!$G$7:$ZP$147,68,FALSE)="",0,IF($V136=HLOOKUP(AP$134,'Improved Sales Adjustments'!$G$7:$ZP$147,68,FALSE),1,0)))</f>
        <v>0</v>
      </c>
      <c r="AQ136" s="41">
        <f>IF(ISERROR(HLOOKUP(AQ$134,'Improved Sales Adjustments'!$G$7:$ZP$147,68,FALSE)),0,IF(HLOOKUP(AQ$134,'Improved Sales Adjustments'!$G$7:$ZP$147,68,FALSE)="",0,IF($V136=HLOOKUP(AQ$134,'Improved Sales Adjustments'!$G$7:$ZP$147,68,FALSE),1,0)))</f>
        <v>0</v>
      </c>
      <c r="AR136" s="41">
        <f>IF(ISERROR(HLOOKUP(AR$134,'Improved Sales Adjustments'!$G$7:$ZP$147,68,FALSE)),0,IF(HLOOKUP(AR$134,'Improved Sales Adjustments'!$G$7:$ZP$147,68,FALSE)="",0,IF($V136=HLOOKUP(AR$134,'Improved Sales Adjustments'!$G$7:$ZP$147,68,FALSE),1,0)))</f>
        <v>0</v>
      </c>
      <c r="AS136" s="41">
        <f>IF(ISERROR(HLOOKUP(AS$134,'Improved Sales Adjustments'!$G$7:$ZP$147,68,FALSE)),0,IF(HLOOKUP(AS$134,'Improved Sales Adjustments'!$G$7:$ZP$147,68,FALSE)="",0,IF($V136=HLOOKUP(AS$134,'Improved Sales Adjustments'!$G$7:$ZP$147,68,FALSE),1,0)))</f>
        <v>0</v>
      </c>
      <c r="AT136" s="41">
        <f>IF(ISERROR(HLOOKUP(AT$134,'Improved Sales Adjustments'!$G$7:$ZP$147,68,FALSE)),0,IF(HLOOKUP(AT$134,'Improved Sales Adjustments'!$G$7:$ZP$147,68,FALSE)="",0,IF($V136=HLOOKUP(AT$134,'Improved Sales Adjustments'!$G$7:$ZP$147,68,FALSE),1,0)))</f>
        <v>0</v>
      </c>
      <c r="AU136" s="41">
        <f>SUM($AJ136:AJ136)</f>
        <v>0</v>
      </c>
      <c r="AV136" s="41">
        <f>SUM($AJ136:AK136)</f>
        <v>0</v>
      </c>
      <c r="AW136" s="41">
        <f>SUM($AJ136:AL136)</f>
        <v>0</v>
      </c>
      <c r="AX136" s="41">
        <f>SUM($AJ136:AM136)</f>
        <v>0</v>
      </c>
      <c r="AY136" s="41">
        <f>SUM($AJ136:AN136)</f>
        <v>0</v>
      </c>
      <c r="AZ136" s="41">
        <f>SUM($AJ136:AO136)</f>
        <v>0</v>
      </c>
      <c r="BA136" s="41">
        <f>SUM($AJ136:AP136)</f>
        <v>0</v>
      </c>
      <c r="BB136" s="41">
        <f>SUM($AJ136:AQ136)</f>
        <v>0</v>
      </c>
      <c r="BC136" s="41">
        <f>SUM($AJ136:AR136)</f>
        <v>0</v>
      </c>
      <c r="BD136" s="41">
        <f>SUM($AJ136:AS136)</f>
        <v>0</v>
      </c>
      <c r="BE136" s="41">
        <f>SUM($AJ136:AT136)</f>
        <v>0</v>
      </c>
      <c r="BF136" s="41" t="str">
        <f t="shared" ref="BF136:BF199" si="52">IF(AJ136=1,IF(AND(AU136=$BE136,$BE136&gt;1),IF($BE136&lt;3,CONCATENATE(" and ",BF$133),CONCATENATE("and ",BF$133)),IF($BE136&lt;3,BF$133,CONCATENATE(BF$133,", "))),"")</f>
        <v/>
      </c>
      <c r="BG136" s="41" t="str">
        <f t="shared" ref="BG136:BG199" si="53">IF(AK136=1,IF(AND(AV136=$BE136,$BE136&gt;1),IF($BE136&lt;3,CONCATENATE(" and ",BG$133),CONCATENATE("and ",BG$133)),IF($BE136&lt;3,BG$133,CONCATENATE(BG$133,", "))),"")</f>
        <v/>
      </c>
      <c r="BH136" s="41" t="str">
        <f t="shared" ref="BH136:BH199" si="54">IF(AL136=1,IF(AND(AW136=$BE136,$BE136&gt;1),IF($BE136&lt;3,CONCATENATE(" and ",BH$133),CONCATENATE("and ",BH$133)),IF($BE136&lt;3,BH$133,CONCATENATE(BH$133,", "))),"")</f>
        <v/>
      </c>
      <c r="BI136" s="41" t="str">
        <f t="shared" ref="BI136:BI199" si="55">IF(AM136=1,IF(AND(AX136=$BE136,$BE136&gt;1),IF($BE136&lt;3,CONCATENATE(" and ",BI$133),CONCATENATE("and ",BI$133)),IF($BE136&lt;3,BI$133,CONCATENATE(BI$133,", "))),"")</f>
        <v/>
      </c>
      <c r="BJ136" s="41" t="str">
        <f t="shared" ref="BJ136:BJ199" si="56">IF(AN136=1,IF(AND(AY136=$BE136,$BE136&gt;1),IF($BE136&lt;3,CONCATENATE(" and ",BJ$133),CONCATENATE("and ",BJ$133)),IF($BE136&lt;3,BJ$133,CONCATENATE(BJ$133,", "))),"")</f>
        <v/>
      </c>
      <c r="BK136" s="41" t="str">
        <f t="shared" ref="BK136:BK199" si="57">IF(AO136=1,IF(AND(AZ136=$BE136,$BE136&gt;1),IF($BE136&lt;3,CONCATENATE(" and ",BK$133),CONCATENATE("and ",BK$133)),IF($BE136&lt;3,BK$133,CONCATENATE(BK$133,", "))),"")</f>
        <v/>
      </c>
      <c r="BL136" s="41" t="str">
        <f t="shared" ref="BL136:BL199" si="58">IF(AP136=1,IF(AND(BA136=$BE136,$BE136&gt;1),IF($BE136&lt;3,CONCATENATE(" and ",BL$133),CONCATENATE("and ",BL$133)),IF($BE136&lt;3,BL$133,CONCATENATE(BL$133,", "))),"")</f>
        <v/>
      </c>
      <c r="BM136" s="41" t="str">
        <f t="shared" ref="BM136:BM199" si="59">IF(AQ136=1,IF(AND(BB136=$BE136,$BE136&gt;1),IF($BE136&lt;3,CONCATENATE(" and ",BM$133),CONCATENATE("and ",BM$133)),IF($BE136&lt;3,BM$133,CONCATENATE(BM$133,", "))),"")</f>
        <v/>
      </c>
      <c r="BN136" s="41" t="str">
        <f t="shared" ref="BN136:BN199" si="60">IF(AR136=1,IF(AND(BC136=$BE136,$BE136&gt;1),IF($BE136&lt;3,CONCATENATE(" and ",BN$133),CONCATENATE("and ",BN$133)),IF($BE136&lt;3,BN$133,CONCATENATE(BN$133,", "))),"")</f>
        <v/>
      </c>
      <c r="BO136" s="41" t="str">
        <f t="shared" ref="BO136:BO199" si="61">IF(AS136=1,IF(AND(BD136=$BE136,$BE136&gt;1),IF($BE136&lt;3,CONCATENATE(" and ",BO$133),CONCATENATE("and ",BO$133)),IF($BE136&lt;3,BO$133,CONCATENATE(BO$133,", "))),"")</f>
        <v/>
      </c>
      <c r="BP136" s="41" t="str">
        <f t="shared" ref="BP136:BP199" si="62">IF(AT136=1,IF(AND(BE136=$BE136,$BE136&gt;1),IF($BE136&lt;3,CONCATENATE(" and ",BP$133),CONCATENATE("and ",BP$133)),IF($BE136&lt;3,BP$133,CONCATENATE(BP$133,", "))),"")</f>
        <v/>
      </c>
      <c r="BQ136" s="11"/>
      <c r="BR136" s="11"/>
    </row>
    <row r="137" spans="1:70" ht="15" customHeight="1" x14ac:dyDescent="0.25">
      <c r="A137" s="957">
        <f t="shared" si="50"/>
        <v>1</v>
      </c>
      <c r="S137" s="4"/>
      <c r="T137" s="1204"/>
      <c r="U137" s="4074" t="str">
        <f t="shared" si="51"/>
        <v/>
      </c>
      <c r="V137" s="137">
        <f>V136+1</f>
        <v>2</v>
      </c>
      <c r="W137" s="2129">
        <v>0</v>
      </c>
      <c r="X137" s="2130">
        <v>0.01</v>
      </c>
      <c r="Y137" s="2130">
        <v>0.01</v>
      </c>
      <c r="Z137" s="2130">
        <v>0.01</v>
      </c>
      <c r="AA137" s="2130">
        <v>0.01</v>
      </c>
      <c r="AB137" s="2130">
        <v>0.02</v>
      </c>
      <c r="AC137" s="2130">
        <v>0.02</v>
      </c>
      <c r="AD137" s="2130">
        <v>0.03</v>
      </c>
      <c r="AE137" s="2130">
        <v>0.05</v>
      </c>
      <c r="AF137" s="2130">
        <v>7.0000000000000007E-2</v>
      </c>
      <c r="AG137" s="101"/>
      <c r="AH137" s="6"/>
      <c r="AI137" s="11"/>
      <c r="AJ137" s="41">
        <f t="shared" si="48"/>
        <v>0</v>
      </c>
      <c r="AK137" s="41">
        <f>IF(ISERROR(HLOOKUP(AK$134,'Improved Sales Adjustments'!$G$7:$ZP$147,68,FALSE)),0,IF(HLOOKUP(AK$134,'Improved Sales Adjustments'!$G$7:$ZP$147,68,FALSE)="",0,IF($V137=HLOOKUP(AK$134,'Improved Sales Adjustments'!$G$7:$ZP$147,68,FALSE),1,0)))</f>
        <v>0</v>
      </c>
      <c r="AL137" s="41">
        <f>IF(ISERROR(HLOOKUP(AL$134,'Improved Sales Adjustments'!$G$7:$ZP$147,68,FALSE)),0,IF(HLOOKUP(AL$134,'Improved Sales Adjustments'!$G$7:$ZP$147,68,FALSE)="",0,IF($V137=HLOOKUP(AL$134,'Improved Sales Adjustments'!$G$7:$ZP$147,68,FALSE),1,0)))</f>
        <v>0</v>
      </c>
      <c r="AM137" s="41">
        <f>IF(ISERROR(HLOOKUP(AM$134,'Improved Sales Adjustments'!$G$7:$ZP$147,68,FALSE)),0,IF(HLOOKUP(AM$134,'Improved Sales Adjustments'!$G$7:$ZP$147,68,FALSE)="",0,IF($V137=HLOOKUP(AM$134,'Improved Sales Adjustments'!$G$7:$ZP$147,68,FALSE),1,0)))</f>
        <v>0</v>
      </c>
      <c r="AN137" s="41">
        <f>IF(ISERROR(HLOOKUP(AN$134,'Improved Sales Adjustments'!$G$7:$ZP$147,68,FALSE)),0,IF(HLOOKUP(AN$134,'Improved Sales Adjustments'!$G$7:$ZP$147,68,FALSE)="",0,IF($V137=HLOOKUP(AN$134,'Improved Sales Adjustments'!$G$7:$ZP$147,68,FALSE),1,0)))</f>
        <v>0</v>
      </c>
      <c r="AO137" s="41">
        <f>IF(ISERROR(HLOOKUP(AO$134,'Improved Sales Adjustments'!$G$7:$ZP$147,68,FALSE)),0,IF(HLOOKUP(AO$134,'Improved Sales Adjustments'!$G$7:$ZP$147,68,FALSE)="",0,IF($V137=HLOOKUP(AO$134,'Improved Sales Adjustments'!$G$7:$ZP$147,68,FALSE),1,0)))</f>
        <v>0</v>
      </c>
      <c r="AP137" s="41">
        <f>IF(ISERROR(HLOOKUP(AP$134,'Improved Sales Adjustments'!$G$7:$ZP$147,68,FALSE)),0,IF(HLOOKUP(AP$134,'Improved Sales Adjustments'!$G$7:$ZP$147,68,FALSE)="",0,IF($V137=HLOOKUP(AP$134,'Improved Sales Adjustments'!$G$7:$ZP$147,68,FALSE),1,0)))</f>
        <v>0</v>
      </c>
      <c r="AQ137" s="41">
        <f>IF(ISERROR(HLOOKUP(AQ$134,'Improved Sales Adjustments'!$G$7:$ZP$147,68,FALSE)),0,IF(HLOOKUP(AQ$134,'Improved Sales Adjustments'!$G$7:$ZP$147,68,FALSE)="",0,IF($V137=HLOOKUP(AQ$134,'Improved Sales Adjustments'!$G$7:$ZP$147,68,FALSE),1,0)))</f>
        <v>0</v>
      </c>
      <c r="AR137" s="41">
        <f>IF(ISERROR(HLOOKUP(AR$134,'Improved Sales Adjustments'!$G$7:$ZP$147,68,FALSE)),0,IF(HLOOKUP(AR$134,'Improved Sales Adjustments'!$G$7:$ZP$147,68,FALSE)="",0,IF($V137=HLOOKUP(AR$134,'Improved Sales Adjustments'!$G$7:$ZP$147,68,FALSE),1,0)))</f>
        <v>0</v>
      </c>
      <c r="AS137" s="41">
        <f>IF(ISERROR(HLOOKUP(AS$134,'Improved Sales Adjustments'!$G$7:$ZP$147,68,FALSE)),0,IF(HLOOKUP(AS$134,'Improved Sales Adjustments'!$G$7:$ZP$147,68,FALSE)="",0,IF($V137=HLOOKUP(AS$134,'Improved Sales Adjustments'!$G$7:$ZP$147,68,FALSE),1,0)))</f>
        <v>0</v>
      </c>
      <c r="AT137" s="41">
        <f>IF(ISERROR(HLOOKUP(AT$134,'Improved Sales Adjustments'!$G$7:$ZP$147,68,FALSE)),0,IF(HLOOKUP(AT$134,'Improved Sales Adjustments'!$G$7:$ZP$147,68,FALSE)="",0,IF($V137=HLOOKUP(AT$134,'Improved Sales Adjustments'!$G$7:$ZP$147,68,FALSE),1,0)))</f>
        <v>0</v>
      </c>
      <c r="AU137" s="41">
        <f>SUM($AJ137:AJ137)</f>
        <v>0</v>
      </c>
      <c r="AV137" s="41">
        <f>SUM($AJ137:AK137)</f>
        <v>0</v>
      </c>
      <c r="AW137" s="41">
        <f>SUM($AJ137:AL137)</f>
        <v>0</v>
      </c>
      <c r="AX137" s="41">
        <f>SUM($AJ137:AM137)</f>
        <v>0</v>
      </c>
      <c r="AY137" s="41">
        <f>SUM($AJ137:AN137)</f>
        <v>0</v>
      </c>
      <c r="AZ137" s="41">
        <f>SUM($AJ137:AO137)</f>
        <v>0</v>
      </c>
      <c r="BA137" s="41">
        <f>SUM($AJ137:AP137)</f>
        <v>0</v>
      </c>
      <c r="BB137" s="41">
        <f>SUM($AJ137:AQ137)</f>
        <v>0</v>
      </c>
      <c r="BC137" s="41">
        <f>SUM($AJ137:AR137)</f>
        <v>0</v>
      </c>
      <c r="BD137" s="41">
        <f>SUM($AJ137:AS137)</f>
        <v>0</v>
      </c>
      <c r="BE137" s="41">
        <f>SUM($AJ137:AT137)</f>
        <v>0</v>
      </c>
      <c r="BF137" s="41" t="str">
        <f t="shared" si="52"/>
        <v/>
      </c>
      <c r="BG137" s="41" t="str">
        <f t="shared" si="53"/>
        <v/>
      </c>
      <c r="BH137" s="41" t="str">
        <f t="shared" si="54"/>
        <v/>
      </c>
      <c r="BI137" s="41" t="str">
        <f t="shared" si="55"/>
        <v/>
      </c>
      <c r="BJ137" s="41" t="str">
        <f t="shared" si="56"/>
        <v/>
      </c>
      <c r="BK137" s="41" t="str">
        <f t="shared" si="57"/>
        <v/>
      </c>
      <c r="BL137" s="41" t="str">
        <f t="shared" si="58"/>
        <v/>
      </c>
      <c r="BM137" s="41" t="str">
        <f t="shared" si="59"/>
        <v/>
      </c>
      <c r="BN137" s="41" t="str">
        <f t="shared" si="60"/>
        <v/>
      </c>
      <c r="BO137" s="41" t="str">
        <f t="shared" si="61"/>
        <v/>
      </c>
      <c r="BP137" s="41" t="str">
        <f t="shared" si="62"/>
        <v/>
      </c>
      <c r="BQ137" s="11"/>
      <c r="BR137" s="11"/>
    </row>
    <row r="138" spans="1:70" ht="15" customHeight="1" x14ac:dyDescent="0.25">
      <c r="A138" s="957">
        <f t="shared" si="50"/>
        <v>1</v>
      </c>
      <c r="S138" s="4"/>
      <c r="T138" s="1204"/>
      <c r="U138" s="4074" t="str">
        <f t="shared" si="51"/>
        <v/>
      </c>
      <c r="V138" s="137">
        <f t="shared" ref="V138:V201" si="63">V137+1</f>
        <v>3</v>
      </c>
      <c r="W138" s="2129">
        <v>0</v>
      </c>
      <c r="X138" s="2130">
        <v>0.01</v>
      </c>
      <c r="Y138" s="2130">
        <v>0.01</v>
      </c>
      <c r="Z138" s="2130">
        <v>0.01</v>
      </c>
      <c r="AA138" s="2130">
        <v>0.02</v>
      </c>
      <c r="AB138" s="2130">
        <v>0.03</v>
      </c>
      <c r="AC138" s="2130">
        <v>0.04</v>
      </c>
      <c r="AD138" s="2130">
        <v>0.05</v>
      </c>
      <c r="AE138" s="2130">
        <v>7.0000000000000007E-2</v>
      </c>
      <c r="AF138" s="2130">
        <v>0.1</v>
      </c>
      <c r="AG138" s="101"/>
      <c r="AH138" s="6"/>
      <c r="AI138" s="11"/>
      <c r="AJ138" s="41">
        <f t="shared" si="48"/>
        <v>0</v>
      </c>
      <c r="AK138" s="41">
        <f>IF(ISERROR(HLOOKUP(AK$134,'Improved Sales Adjustments'!$G$7:$ZP$147,68,FALSE)),0,IF(HLOOKUP(AK$134,'Improved Sales Adjustments'!$G$7:$ZP$147,68,FALSE)="",0,IF($V138=HLOOKUP(AK$134,'Improved Sales Adjustments'!$G$7:$ZP$147,68,FALSE),1,0)))</f>
        <v>0</v>
      </c>
      <c r="AL138" s="41">
        <f>IF(ISERROR(HLOOKUP(AL$134,'Improved Sales Adjustments'!$G$7:$ZP$147,68,FALSE)),0,IF(HLOOKUP(AL$134,'Improved Sales Adjustments'!$G$7:$ZP$147,68,FALSE)="",0,IF($V138=HLOOKUP(AL$134,'Improved Sales Adjustments'!$G$7:$ZP$147,68,FALSE),1,0)))</f>
        <v>0</v>
      </c>
      <c r="AM138" s="41">
        <f>IF(ISERROR(HLOOKUP(AM$134,'Improved Sales Adjustments'!$G$7:$ZP$147,68,FALSE)),0,IF(HLOOKUP(AM$134,'Improved Sales Adjustments'!$G$7:$ZP$147,68,FALSE)="",0,IF($V138=HLOOKUP(AM$134,'Improved Sales Adjustments'!$G$7:$ZP$147,68,FALSE),1,0)))</f>
        <v>0</v>
      </c>
      <c r="AN138" s="41">
        <f>IF(ISERROR(HLOOKUP(AN$134,'Improved Sales Adjustments'!$G$7:$ZP$147,68,FALSE)),0,IF(HLOOKUP(AN$134,'Improved Sales Adjustments'!$G$7:$ZP$147,68,FALSE)="",0,IF($V138=HLOOKUP(AN$134,'Improved Sales Adjustments'!$G$7:$ZP$147,68,FALSE),1,0)))</f>
        <v>0</v>
      </c>
      <c r="AO138" s="41">
        <f>IF(ISERROR(HLOOKUP(AO$134,'Improved Sales Adjustments'!$G$7:$ZP$147,68,FALSE)),0,IF(HLOOKUP(AO$134,'Improved Sales Adjustments'!$G$7:$ZP$147,68,FALSE)="",0,IF($V138=HLOOKUP(AO$134,'Improved Sales Adjustments'!$G$7:$ZP$147,68,FALSE),1,0)))</f>
        <v>0</v>
      </c>
      <c r="AP138" s="41">
        <f>IF(ISERROR(HLOOKUP(AP$134,'Improved Sales Adjustments'!$G$7:$ZP$147,68,FALSE)),0,IF(HLOOKUP(AP$134,'Improved Sales Adjustments'!$G$7:$ZP$147,68,FALSE)="",0,IF($V138=HLOOKUP(AP$134,'Improved Sales Adjustments'!$G$7:$ZP$147,68,FALSE),1,0)))</f>
        <v>0</v>
      </c>
      <c r="AQ138" s="41">
        <f>IF(ISERROR(HLOOKUP(AQ$134,'Improved Sales Adjustments'!$G$7:$ZP$147,68,FALSE)),0,IF(HLOOKUP(AQ$134,'Improved Sales Adjustments'!$G$7:$ZP$147,68,FALSE)="",0,IF($V138=HLOOKUP(AQ$134,'Improved Sales Adjustments'!$G$7:$ZP$147,68,FALSE),1,0)))</f>
        <v>0</v>
      </c>
      <c r="AR138" s="41">
        <f>IF(ISERROR(HLOOKUP(AR$134,'Improved Sales Adjustments'!$G$7:$ZP$147,68,FALSE)),0,IF(HLOOKUP(AR$134,'Improved Sales Adjustments'!$G$7:$ZP$147,68,FALSE)="",0,IF($V138=HLOOKUP(AR$134,'Improved Sales Adjustments'!$G$7:$ZP$147,68,FALSE),1,0)))</f>
        <v>0</v>
      </c>
      <c r="AS138" s="41">
        <f>IF(ISERROR(HLOOKUP(AS$134,'Improved Sales Adjustments'!$G$7:$ZP$147,68,FALSE)),0,IF(HLOOKUP(AS$134,'Improved Sales Adjustments'!$G$7:$ZP$147,68,FALSE)="",0,IF($V138=HLOOKUP(AS$134,'Improved Sales Adjustments'!$G$7:$ZP$147,68,FALSE),1,0)))</f>
        <v>0</v>
      </c>
      <c r="AT138" s="41">
        <f>IF(ISERROR(HLOOKUP(AT$134,'Improved Sales Adjustments'!$G$7:$ZP$147,68,FALSE)),0,IF(HLOOKUP(AT$134,'Improved Sales Adjustments'!$G$7:$ZP$147,68,FALSE)="",0,IF($V138=HLOOKUP(AT$134,'Improved Sales Adjustments'!$G$7:$ZP$147,68,FALSE),1,0)))</f>
        <v>0</v>
      </c>
      <c r="AU138" s="41">
        <f>SUM($AJ138:AJ138)</f>
        <v>0</v>
      </c>
      <c r="AV138" s="41">
        <f>SUM($AJ138:AK138)</f>
        <v>0</v>
      </c>
      <c r="AW138" s="41">
        <f>SUM($AJ138:AL138)</f>
        <v>0</v>
      </c>
      <c r="AX138" s="41">
        <f>SUM($AJ138:AM138)</f>
        <v>0</v>
      </c>
      <c r="AY138" s="41">
        <f>SUM($AJ138:AN138)</f>
        <v>0</v>
      </c>
      <c r="AZ138" s="41">
        <f>SUM($AJ138:AO138)</f>
        <v>0</v>
      </c>
      <c r="BA138" s="41">
        <f>SUM($AJ138:AP138)</f>
        <v>0</v>
      </c>
      <c r="BB138" s="41">
        <f>SUM($AJ138:AQ138)</f>
        <v>0</v>
      </c>
      <c r="BC138" s="41">
        <f>SUM($AJ138:AR138)</f>
        <v>0</v>
      </c>
      <c r="BD138" s="41">
        <f>SUM($AJ138:AS138)</f>
        <v>0</v>
      </c>
      <c r="BE138" s="41">
        <f>SUM($AJ138:AT138)</f>
        <v>0</v>
      </c>
      <c r="BF138" s="41" t="str">
        <f t="shared" si="52"/>
        <v/>
      </c>
      <c r="BG138" s="41" t="str">
        <f t="shared" si="53"/>
        <v/>
      </c>
      <c r="BH138" s="41" t="str">
        <f t="shared" si="54"/>
        <v/>
      </c>
      <c r="BI138" s="41" t="str">
        <f t="shared" si="55"/>
        <v/>
      </c>
      <c r="BJ138" s="41" t="str">
        <f t="shared" si="56"/>
        <v/>
      </c>
      <c r="BK138" s="41" t="str">
        <f t="shared" si="57"/>
        <v/>
      </c>
      <c r="BL138" s="41" t="str">
        <f t="shared" si="58"/>
        <v/>
      </c>
      <c r="BM138" s="41" t="str">
        <f t="shared" si="59"/>
        <v/>
      </c>
      <c r="BN138" s="41" t="str">
        <f t="shared" si="60"/>
        <v/>
      </c>
      <c r="BO138" s="41" t="str">
        <f t="shared" si="61"/>
        <v/>
      </c>
      <c r="BP138" s="41" t="str">
        <f t="shared" si="62"/>
        <v/>
      </c>
      <c r="BQ138" s="11"/>
      <c r="BR138" s="11"/>
    </row>
    <row r="139" spans="1:70" ht="15" customHeight="1" x14ac:dyDescent="0.25">
      <c r="A139" s="957">
        <f t="shared" si="50"/>
        <v>1</v>
      </c>
      <c r="S139" s="4"/>
      <c r="T139" s="1204"/>
      <c r="U139" s="4074" t="str">
        <f t="shared" si="51"/>
        <v/>
      </c>
      <c r="V139" s="137">
        <f t="shared" si="63"/>
        <v>4</v>
      </c>
      <c r="W139" s="2129">
        <v>0.01</v>
      </c>
      <c r="X139" s="2130">
        <v>0.01</v>
      </c>
      <c r="Y139" s="2130">
        <v>0.01</v>
      </c>
      <c r="Z139" s="2130">
        <v>0.02</v>
      </c>
      <c r="AA139" s="2130">
        <v>0.03</v>
      </c>
      <c r="AB139" s="2130">
        <v>0.04</v>
      </c>
      <c r="AC139" s="2130">
        <v>0.05</v>
      </c>
      <c r="AD139" s="2130">
        <v>7.0000000000000007E-2</v>
      </c>
      <c r="AE139" s="2130">
        <v>0.01</v>
      </c>
      <c r="AF139" s="2130">
        <v>0.14000000000000001</v>
      </c>
      <c r="AG139" s="101"/>
      <c r="AH139" s="6"/>
      <c r="AI139" s="11"/>
      <c r="AJ139" s="41">
        <f t="shared" si="48"/>
        <v>0</v>
      </c>
      <c r="AK139" s="41">
        <f>IF(ISERROR(HLOOKUP(AK$134,'Improved Sales Adjustments'!$G$7:$ZP$147,68,FALSE)),0,IF(HLOOKUP(AK$134,'Improved Sales Adjustments'!$G$7:$ZP$147,68,FALSE)="",0,IF($V139=HLOOKUP(AK$134,'Improved Sales Adjustments'!$G$7:$ZP$147,68,FALSE),1,0)))</f>
        <v>0</v>
      </c>
      <c r="AL139" s="41">
        <f>IF(ISERROR(HLOOKUP(AL$134,'Improved Sales Adjustments'!$G$7:$ZP$147,68,FALSE)),0,IF(HLOOKUP(AL$134,'Improved Sales Adjustments'!$G$7:$ZP$147,68,FALSE)="",0,IF($V139=HLOOKUP(AL$134,'Improved Sales Adjustments'!$G$7:$ZP$147,68,FALSE),1,0)))</f>
        <v>0</v>
      </c>
      <c r="AM139" s="41">
        <f>IF(ISERROR(HLOOKUP(AM$134,'Improved Sales Adjustments'!$G$7:$ZP$147,68,FALSE)),0,IF(HLOOKUP(AM$134,'Improved Sales Adjustments'!$G$7:$ZP$147,68,FALSE)="",0,IF($V139=HLOOKUP(AM$134,'Improved Sales Adjustments'!$G$7:$ZP$147,68,FALSE),1,0)))</f>
        <v>0</v>
      </c>
      <c r="AN139" s="41">
        <f>IF(ISERROR(HLOOKUP(AN$134,'Improved Sales Adjustments'!$G$7:$ZP$147,68,FALSE)),0,IF(HLOOKUP(AN$134,'Improved Sales Adjustments'!$G$7:$ZP$147,68,FALSE)="",0,IF($V139=HLOOKUP(AN$134,'Improved Sales Adjustments'!$G$7:$ZP$147,68,FALSE),1,0)))</f>
        <v>0</v>
      </c>
      <c r="AO139" s="41">
        <f>IF(ISERROR(HLOOKUP(AO$134,'Improved Sales Adjustments'!$G$7:$ZP$147,68,FALSE)),0,IF(HLOOKUP(AO$134,'Improved Sales Adjustments'!$G$7:$ZP$147,68,FALSE)="",0,IF($V139=HLOOKUP(AO$134,'Improved Sales Adjustments'!$G$7:$ZP$147,68,FALSE),1,0)))</f>
        <v>0</v>
      </c>
      <c r="AP139" s="41">
        <f>IF(ISERROR(HLOOKUP(AP$134,'Improved Sales Adjustments'!$G$7:$ZP$147,68,FALSE)),0,IF(HLOOKUP(AP$134,'Improved Sales Adjustments'!$G$7:$ZP$147,68,FALSE)="",0,IF($V139=HLOOKUP(AP$134,'Improved Sales Adjustments'!$G$7:$ZP$147,68,FALSE),1,0)))</f>
        <v>0</v>
      </c>
      <c r="AQ139" s="41">
        <f>IF(ISERROR(HLOOKUP(AQ$134,'Improved Sales Adjustments'!$G$7:$ZP$147,68,FALSE)),0,IF(HLOOKUP(AQ$134,'Improved Sales Adjustments'!$G$7:$ZP$147,68,FALSE)="",0,IF($V139=HLOOKUP(AQ$134,'Improved Sales Adjustments'!$G$7:$ZP$147,68,FALSE),1,0)))</f>
        <v>0</v>
      </c>
      <c r="AR139" s="41">
        <f>IF(ISERROR(HLOOKUP(AR$134,'Improved Sales Adjustments'!$G$7:$ZP$147,68,FALSE)),0,IF(HLOOKUP(AR$134,'Improved Sales Adjustments'!$G$7:$ZP$147,68,FALSE)="",0,IF($V139=HLOOKUP(AR$134,'Improved Sales Adjustments'!$G$7:$ZP$147,68,FALSE),1,0)))</f>
        <v>0</v>
      </c>
      <c r="AS139" s="41">
        <f>IF(ISERROR(HLOOKUP(AS$134,'Improved Sales Adjustments'!$G$7:$ZP$147,68,FALSE)),0,IF(HLOOKUP(AS$134,'Improved Sales Adjustments'!$G$7:$ZP$147,68,FALSE)="",0,IF($V139=HLOOKUP(AS$134,'Improved Sales Adjustments'!$G$7:$ZP$147,68,FALSE),1,0)))</f>
        <v>0</v>
      </c>
      <c r="AT139" s="41">
        <f>IF(ISERROR(HLOOKUP(AT$134,'Improved Sales Adjustments'!$G$7:$ZP$147,68,FALSE)),0,IF(HLOOKUP(AT$134,'Improved Sales Adjustments'!$G$7:$ZP$147,68,FALSE)="",0,IF($V139=HLOOKUP(AT$134,'Improved Sales Adjustments'!$G$7:$ZP$147,68,FALSE),1,0)))</f>
        <v>0</v>
      </c>
      <c r="AU139" s="41">
        <f>SUM($AJ139:AJ139)</f>
        <v>0</v>
      </c>
      <c r="AV139" s="41">
        <f>SUM($AJ139:AK139)</f>
        <v>0</v>
      </c>
      <c r="AW139" s="41">
        <f>SUM($AJ139:AL139)</f>
        <v>0</v>
      </c>
      <c r="AX139" s="41">
        <f>SUM($AJ139:AM139)</f>
        <v>0</v>
      </c>
      <c r="AY139" s="41">
        <f>SUM($AJ139:AN139)</f>
        <v>0</v>
      </c>
      <c r="AZ139" s="41">
        <f>SUM($AJ139:AO139)</f>
        <v>0</v>
      </c>
      <c r="BA139" s="41">
        <f>SUM($AJ139:AP139)</f>
        <v>0</v>
      </c>
      <c r="BB139" s="41">
        <f>SUM($AJ139:AQ139)</f>
        <v>0</v>
      </c>
      <c r="BC139" s="41">
        <f>SUM($AJ139:AR139)</f>
        <v>0</v>
      </c>
      <c r="BD139" s="41">
        <f>SUM($AJ139:AS139)</f>
        <v>0</v>
      </c>
      <c r="BE139" s="41">
        <f>SUM($AJ139:AT139)</f>
        <v>0</v>
      </c>
      <c r="BF139" s="41" t="str">
        <f t="shared" si="52"/>
        <v/>
      </c>
      <c r="BG139" s="41" t="str">
        <f t="shared" si="53"/>
        <v/>
      </c>
      <c r="BH139" s="41" t="str">
        <f t="shared" si="54"/>
        <v/>
      </c>
      <c r="BI139" s="41" t="str">
        <f t="shared" si="55"/>
        <v/>
      </c>
      <c r="BJ139" s="41" t="str">
        <f t="shared" si="56"/>
        <v/>
      </c>
      <c r="BK139" s="41" t="str">
        <f t="shared" si="57"/>
        <v/>
      </c>
      <c r="BL139" s="41" t="str">
        <f t="shared" si="58"/>
        <v/>
      </c>
      <c r="BM139" s="41" t="str">
        <f t="shared" si="59"/>
        <v/>
      </c>
      <c r="BN139" s="41" t="str">
        <f t="shared" si="60"/>
        <v/>
      </c>
      <c r="BO139" s="41" t="str">
        <f t="shared" si="61"/>
        <v/>
      </c>
      <c r="BP139" s="41" t="str">
        <f t="shared" si="62"/>
        <v/>
      </c>
      <c r="BQ139" s="11"/>
      <c r="BR139" s="11"/>
    </row>
    <row r="140" spans="1:70" ht="15" customHeight="1" x14ac:dyDescent="0.25">
      <c r="A140" s="957">
        <f t="shared" si="50"/>
        <v>1</v>
      </c>
      <c r="S140" s="4"/>
      <c r="T140" s="1204"/>
      <c r="U140" s="4074" t="str">
        <f t="shared" si="51"/>
        <v/>
      </c>
      <c r="V140" s="137">
        <f t="shared" si="63"/>
        <v>5</v>
      </c>
      <c r="W140" s="2129">
        <v>0.01</v>
      </c>
      <c r="X140" s="2130">
        <v>0.01</v>
      </c>
      <c r="Y140" s="2130">
        <v>0.02</v>
      </c>
      <c r="Z140" s="2130">
        <v>0.03</v>
      </c>
      <c r="AA140" s="2130">
        <v>0.04</v>
      </c>
      <c r="AB140" s="2130">
        <v>0.05</v>
      </c>
      <c r="AC140" s="2130">
        <v>0.06</v>
      </c>
      <c r="AD140" s="2130">
        <v>0.09</v>
      </c>
      <c r="AE140" s="2130">
        <v>0.13</v>
      </c>
      <c r="AF140" s="2130">
        <v>0.18</v>
      </c>
      <c r="AG140" s="101"/>
      <c r="AH140" s="6"/>
      <c r="AI140" s="11"/>
      <c r="AJ140" s="41">
        <f t="shared" si="48"/>
        <v>0</v>
      </c>
      <c r="AK140" s="41">
        <f>IF(ISERROR(HLOOKUP(AK$134,'Improved Sales Adjustments'!$G$7:$ZP$147,68,FALSE)),0,IF(HLOOKUP(AK$134,'Improved Sales Adjustments'!$G$7:$ZP$147,68,FALSE)="",0,IF($V140=HLOOKUP(AK$134,'Improved Sales Adjustments'!$G$7:$ZP$147,68,FALSE),1,0)))</f>
        <v>0</v>
      </c>
      <c r="AL140" s="41">
        <f>IF(ISERROR(HLOOKUP(AL$134,'Improved Sales Adjustments'!$G$7:$ZP$147,68,FALSE)),0,IF(HLOOKUP(AL$134,'Improved Sales Adjustments'!$G$7:$ZP$147,68,FALSE)="",0,IF($V140=HLOOKUP(AL$134,'Improved Sales Adjustments'!$G$7:$ZP$147,68,FALSE),1,0)))</f>
        <v>0</v>
      </c>
      <c r="AM140" s="41">
        <f>IF(ISERROR(HLOOKUP(AM$134,'Improved Sales Adjustments'!$G$7:$ZP$147,68,FALSE)),0,IF(HLOOKUP(AM$134,'Improved Sales Adjustments'!$G$7:$ZP$147,68,FALSE)="",0,IF($V140=HLOOKUP(AM$134,'Improved Sales Adjustments'!$G$7:$ZP$147,68,FALSE),1,0)))</f>
        <v>0</v>
      </c>
      <c r="AN140" s="41">
        <f>IF(ISERROR(HLOOKUP(AN$134,'Improved Sales Adjustments'!$G$7:$ZP$147,68,FALSE)),0,IF(HLOOKUP(AN$134,'Improved Sales Adjustments'!$G$7:$ZP$147,68,FALSE)="",0,IF($V140=HLOOKUP(AN$134,'Improved Sales Adjustments'!$G$7:$ZP$147,68,FALSE),1,0)))</f>
        <v>0</v>
      </c>
      <c r="AO140" s="41">
        <f>IF(ISERROR(HLOOKUP(AO$134,'Improved Sales Adjustments'!$G$7:$ZP$147,68,FALSE)),0,IF(HLOOKUP(AO$134,'Improved Sales Adjustments'!$G$7:$ZP$147,68,FALSE)="",0,IF($V140=HLOOKUP(AO$134,'Improved Sales Adjustments'!$G$7:$ZP$147,68,FALSE),1,0)))</f>
        <v>0</v>
      </c>
      <c r="AP140" s="41">
        <f>IF(ISERROR(HLOOKUP(AP$134,'Improved Sales Adjustments'!$G$7:$ZP$147,68,FALSE)),0,IF(HLOOKUP(AP$134,'Improved Sales Adjustments'!$G$7:$ZP$147,68,FALSE)="",0,IF($V140=HLOOKUP(AP$134,'Improved Sales Adjustments'!$G$7:$ZP$147,68,FALSE),1,0)))</f>
        <v>0</v>
      </c>
      <c r="AQ140" s="41">
        <f>IF(ISERROR(HLOOKUP(AQ$134,'Improved Sales Adjustments'!$G$7:$ZP$147,68,FALSE)),0,IF(HLOOKUP(AQ$134,'Improved Sales Adjustments'!$G$7:$ZP$147,68,FALSE)="",0,IF($V140=HLOOKUP(AQ$134,'Improved Sales Adjustments'!$G$7:$ZP$147,68,FALSE),1,0)))</f>
        <v>0</v>
      </c>
      <c r="AR140" s="41">
        <f>IF(ISERROR(HLOOKUP(AR$134,'Improved Sales Adjustments'!$G$7:$ZP$147,68,FALSE)),0,IF(HLOOKUP(AR$134,'Improved Sales Adjustments'!$G$7:$ZP$147,68,FALSE)="",0,IF($V140=HLOOKUP(AR$134,'Improved Sales Adjustments'!$G$7:$ZP$147,68,FALSE),1,0)))</f>
        <v>0</v>
      </c>
      <c r="AS140" s="41">
        <f>IF(ISERROR(HLOOKUP(AS$134,'Improved Sales Adjustments'!$G$7:$ZP$147,68,FALSE)),0,IF(HLOOKUP(AS$134,'Improved Sales Adjustments'!$G$7:$ZP$147,68,FALSE)="",0,IF($V140=HLOOKUP(AS$134,'Improved Sales Adjustments'!$G$7:$ZP$147,68,FALSE),1,0)))</f>
        <v>0</v>
      </c>
      <c r="AT140" s="41">
        <f>IF(ISERROR(HLOOKUP(AT$134,'Improved Sales Adjustments'!$G$7:$ZP$147,68,FALSE)),0,IF(HLOOKUP(AT$134,'Improved Sales Adjustments'!$G$7:$ZP$147,68,FALSE)="",0,IF($V140=HLOOKUP(AT$134,'Improved Sales Adjustments'!$G$7:$ZP$147,68,FALSE),1,0)))</f>
        <v>0</v>
      </c>
      <c r="AU140" s="41">
        <f>SUM($AJ140:AJ140)</f>
        <v>0</v>
      </c>
      <c r="AV140" s="41">
        <f>SUM($AJ140:AK140)</f>
        <v>0</v>
      </c>
      <c r="AW140" s="41">
        <f>SUM($AJ140:AL140)</f>
        <v>0</v>
      </c>
      <c r="AX140" s="41">
        <f>SUM($AJ140:AM140)</f>
        <v>0</v>
      </c>
      <c r="AY140" s="41">
        <f>SUM($AJ140:AN140)</f>
        <v>0</v>
      </c>
      <c r="AZ140" s="41">
        <f>SUM($AJ140:AO140)</f>
        <v>0</v>
      </c>
      <c r="BA140" s="41">
        <f>SUM($AJ140:AP140)</f>
        <v>0</v>
      </c>
      <c r="BB140" s="41">
        <f>SUM($AJ140:AQ140)</f>
        <v>0</v>
      </c>
      <c r="BC140" s="41">
        <f>SUM($AJ140:AR140)</f>
        <v>0</v>
      </c>
      <c r="BD140" s="41">
        <f>SUM($AJ140:AS140)</f>
        <v>0</v>
      </c>
      <c r="BE140" s="41">
        <f>SUM($AJ140:AT140)</f>
        <v>0</v>
      </c>
      <c r="BF140" s="41" t="str">
        <f t="shared" si="52"/>
        <v/>
      </c>
      <c r="BG140" s="41" t="str">
        <f t="shared" si="53"/>
        <v/>
      </c>
      <c r="BH140" s="41" t="str">
        <f t="shared" si="54"/>
        <v/>
      </c>
      <c r="BI140" s="41" t="str">
        <f t="shared" si="55"/>
        <v/>
      </c>
      <c r="BJ140" s="41" t="str">
        <f t="shared" si="56"/>
        <v/>
      </c>
      <c r="BK140" s="41" t="str">
        <f t="shared" si="57"/>
        <v/>
      </c>
      <c r="BL140" s="41" t="str">
        <f t="shared" si="58"/>
        <v/>
      </c>
      <c r="BM140" s="41" t="str">
        <f t="shared" si="59"/>
        <v/>
      </c>
      <c r="BN140" s="41" t="str">
        <f t="shared" si="60"/>
        <v/>
      </c>
      <c r="BO140" s="41" t="str">
        <f t="shared" si="61"/>
        <v/>
      </c>
      <c r="BP140" s="41" t="str">
        <f t="shared" si="62"/>
        <v/>
      </c>
      <c r="BQ140" s="11"/>
      <c r="BR140" s="11"/>
    </row>
    <row r="141" spans="1:70" ht="15" customHeight="1" x14ac:dyDescent="0.25">
      <c r="A141" s="957">
        <f t="shared" si="50"/>
        <v>1</v>
      </c>
      <c r="S141" s="4"/>
      <c r="T141" s="1204"/>
      <c r="U141" s="4074" t="str">
        <f t="shared" si="51"/>
        <v/>
      </c>
      <c r="V141" s="137">
        <f t="shared" si="63"/>
        <v>6</v>
      </c>
      <c r="W141" s="2129">
        <v>0.01</v>
      </c>
      <c r="X141" s="2130">
        <v>0.02</v>
      </c>
      <c r="Y141" s="2130">
        <v>0.02</v>
      </c>
      <c r="Z141" s="2130">
        <v>0.03</v>
      </c>
      <c r="AA141" s="2130">
        <v>0.04</v>
      </c>
      <c r="AB141" s="2130">
        <v>0.06</v>
      </c>
      <c r="AC141" s="2130">
        <v>0.08</v>
      </c>
      <c r="AD141" s="2130">
        <v>0.11</v>
      </c>
      <c r="AE141" s="2130">
        <v>0.16</v>
      </c>
      <c r="AF141" s="2130">
        <v>0.22</v>
      </c>
      <c r="AG141" s="101"/>
      <c r="AH141" s="6"/>
      <c r="AI141" s="11"/>
      <c r="AJ141" s="41">
        <f t="shared" si="48"/>
        <v>0</v>
      </c>
      <c r="AK141" s="41">
        <f>IF(ISERROR(HLOOKUP(AK$134,'Improved Sales Adjustments'!$G$7:$ZP$147,68,FALSE)),0,IF(HLOOKUP(AK$134,'Improved Sales Adjustments'!$G$7:$ZP$147,68,FALSE)="",0,IF($V141=HLOOKUP(AK$134,'Improved Sales Adjustments'!$G$7:$ZP$147,68,FALSE),1,0)))</f>
        <v>0</v>
      </c>
      <c r="AL141" s="41">
        <f>IF(ISERROR(HLOOKUP(AL$134,'Improved Sales Adjustments'!$G$7:$ZP$147,68,FALSE)),0,IF(HLOOKUP(AL$134,'Improved Sales Adjustments'!$G$7:$ZP$147,68,FALSE)="",0,IF($V141=HLOOKUP(AL$134,'Improved Sales Adjustments'!$G$7:$ZP$147,68,FALSE),1,0)))</f>
        <v>0</v>
      </c>
      <c r="AM141" s="41">
        <f>IF(ISERROR(HLOOKUP(AM$134,'Improved Sales Adjustments'!$G$7:$ZP$147,68,FALSE)),0,IF(HLOOKUP(AM$134,'Improved Sales Adjustments'!$G$7:$ZP$147,68,FALSE)="",0,IF($V141=HLOOKUP(AM$134,'Improved Sales Adjustments'!$G$7:$ZP$147,68,FALSE),1,0)))</f>
        <v>0</v>
      </c>
      <c r="AN141" s="41">
        <f>IF(ISERROR(HLOOKUP(AN$134,'Improved Sales Adjustments'!$G$7:$ZP$147,68,FALSE)),0,IF(HLOOKUP(AN$134,'Improved Sales Adjustments'!$G$7:$ZP$147,68,FALSE)="",0,IF($V141=HLOOKUP(AN$134,'Improved Sales Adjustments'!$G$7:$ZP$147,68,FALSE),1,0)))</f>
        <v>0</v>
      </c>
      <c r="AO141" s="41">
        <f>IF(ISERROR(HLOOKUP(AO$134,'Improved Sales Adjustments'!$G$7:$ZP$147,68,FALSE)),0,IF(HLOOKUP(AO$134,'Improved Sales Adjustments'!$G$7:$ZP$147,68,FALSE)="",0,IF($V141=HLOOKUP(AO$134,'Improved Sales Adjustments'!$G$7:$ZP$147,68,FALSE),1,0)))</f>
        <v>0</v>
      </c>
      <c r="AP141" s="41">
        <f>IF(ISERROR(HLOOKUP(AP$134,'Improved Sales Adjustments'!$G$7:$ZP$147,68,FALSE)),0,IF(HLOOKUP(AP$134,'Improved Sales Adjustments'!$G$7:$ZP$147,68,FALSE)="",0,IF($V141=HLOOKUP(AP$134,'Improved Sales Adjustments'!$G$7:$ZP$147,68,FALSE),1,0)))</f>
        <v>0</v>
      </c>
      <c r="AQ141" s="41">
        <f>IF(ISERROR(HLOOKUP(AQ$134,'Improved Sales Adjustments'!$G$7:$ZP$147,68,FALSE)),0,IF(HLOOKUP(AQ$134,'Improved Sales Adjustments'!$G$7:$ZP$147,68,FALSE)="",0,IF($V141=HLOOKUP(AQ$134,'Improved Sales Adjustments'!$G$7:$ZP$147,68,FALSE),1,0)))</f>
        <v>0</v>
      </c>
      <c r="AR141" s="41">
        <f>IF(ISERROR(HLOOKUP(AR$134,'Improved Sales Adjustments'!$G$7:$ZP$147,68,FALSE)),0,IF(HLOOKUP(AR$134,'Improved Sales Adjustments'!$G$7:$ZP$147,68,FALSE)="",0,IF($V141=HLOOKUP(AR$134,'Improved Sales Adjustments'!$G$7:$ZP$147,68,FALSE),1,0)))</f>
        <v>0</v>
      </c>
      <c r="AS141" s="41">
        <f>IF(ISERROR(HLOOKUP(AS$134,'Improved Sales Adjustments'!$G$7:$ZP$147,68,FALSE)),0,IF(HLOOKUP(AS$134,'Improved Sales Adjustments'!$G$7:$ZP$147,68,FALSE)="",0,IF($V141=HLOOKUP(AS$134,'Improved Sales Adjustments'!$G$7:$ZP$147,68,FALSE),1,0)))</f>
        <v>0</v>
      </c>
      <c r="AT141" s="41">
        <f>IF(ISERROR(HLOOKUP(AT$134,'Improved Sales Adjustments'!$G$7:$ZP$147,68,FALSE)),0,IF(HLOOKUP(AT$134,'Improved Sales Adjustments'!$G$7:$ZP$147,68,FALSE)="",0,IF($V141=HLOOKUP(AT$134,'Improved Sales Adjustments'!$G$7:$ZP$147,68,FALSE),1,0)))</f>
        <v>0</v>
      </c>
      <c r="AU141" s="41">
        <f>SUM($AJ141:AJ141)</f>
        <v>0</v>
      </c>
      <c r="AV141" s="41">
        <f>SUM($AJ141:AK141)</f>
        <v>0</v>
      </c>
      <c r="AW141" s="41">
        <f>SUM($AJ141:AL141)</f>
        <v>0</v>
      </c>
      <c r="AX141" s="41">
        <f>SUM($AJ141:AM141)</f>
        <v>0</v>
      </c>
      <c r="AY141" s="41">
        <f>SUM($AJ141:AN141)</f>
        <v>0</v>
      </c>
      <c r="AZ141" s="41">
        <f>SUM($AJ141:AO141)</f>
        <v>0</v>
      </c>
      <c r="BA141" s="41">
        <f>SUM($AJ141:AP141)</f>
        <v>0</v>
      </c>
      <c r="BB141" s="41">
        <f>SUM($AJ141:AQ141)</f>
        <v>0</v>
      </c>
      <c r="BC141" s="41">
        <f>SUM($AJ141:AR141)</f>
        <v>0</v>
      </c>
      <c r="BD141" s="41">
        <f>SUM($AJ141:AS141)</f>
        <v>0</v>
      </c>
      <c r="BE141" s="41">
        <f>SUM($AJ141:AT141)</f>
        <v>0</v>
      </c>
      <c r="BF141" s="41" t="str">
        <f t="shared" si="52"/>
        <v/>
      </c>
      <c r="BG141" s="41" t="str">
        <f t="shared" si="53"/>
        <v/>
      </c>
      <c r="BH141" s="41" t="str">
        <f t="shared" si="54"/>
        <v/>
      </c>
      <c r="BI141" s="41" t="str">
        <f t="shared" si="55"/>
        <v/>
      </c>
      <c r="BJ141" s="41" t="str">
        <f t="shared" si="56"/>
        <v/>
      </c>
      <c r="BK141" s="41" t="str">
        <f t="shared" si="57"/>
        <v/>
      </c>
      <c r="BL141" s="41" t="str">
        <f t="shared" si="58"/>
        <v/>
      </c>
      <c r="BM141" s="41" t="str">
        <f t="shared" si="59"/>
        <v/>
      </c>
      <c r="BN141" s="41" t="str">
        <f t="shared" si="60"/>
        <v/>
      </c>
      <c r="BO141" s="41" t="str">
        <f t="shared" si="61"/>
        <v/>
      </c>
      <c r="BP141" s="41" t="str">
        <f t="shared" si="62"/>
        <v/>
      </c>
      <c r="BQ141" s="11"/>
      <c r="BR141" s="11"/>
    </row>
    <row r="142" spans="1:70" ht="15" customHeight="1" x14ac:dyDescent="0.25">
      <c r="A142" s="957">
        <f t="shared" si="50"/>
        <v>1</v>
      </c>
      <c r="S142" s="4"/>
      <c r="T142" s="1204"/>
      <c r="U142" s="4074" t="str">
        <f t="shared" si="51"/>
        <v/>
      </c>
      <c r="V142" s="137">
        <f t="shared" si="63"/>
        <v>7</v>
      </c>
      <c r="W142" s="2129">
        <v>0.01</v>
      </c>
      <c r="X142" s="2130">
        <v>0.02</v>
      </c>
      <c r="Y142" s="2130">
        <v>0.03</v>
      </c>
      <c r="Z142" s="2130">
        <v>0.04</v>
      </c>
      <c r="AA142" s="2130">
        <v>0.05</v>
      </c>
      <c r="AB142" s="2130">
        <v>7.0000000000000007E-2</v>
      </c>
      <c r="AC142" s="2130">
        <v>0.1</v>
      </c>
      <c r="AD142" s="2130">
        <v>0.14000000000000001</v>
      </c>
      <c r="AE142" s="2130">
        <v>0.19</v>
      </c>
      <c r="AF142" s="2130">
        <v>0.26</v>
      </c>
      <c r="AG142" s="101"/>
      <c r="AH142" s="6"/>
      <c r="AI142" s="11"/>
      <c r="AJ142" s="41">
        <f t="shared" si="48"/>
        <v>0</v>
      </c>
      <c r="AK142" s="41">
        <f>IF(ISERROR(HLOOKUP(AK$134,'Improved Sales Adjustments'!$G$7:$ZP$147,68,FALSE)),0,IF(HLOOKUP(AK$134,'Improved Sales Adjustments'!$G$7:$ZP$147,68,FALSE)="",0,IF($V142=HLOOKUP(AK$134,'Improved Sales Adjustments'!$G$7:$ZP$147,68,FALSE),1,0)))</f>
        <v>0</v>
      </c>
      <c r="AL142" s="41">
        <f>IF(ISERROR(HLOOKUP(AL$134,'Improved Sales Adjustments'!$G$7:$ZP$147,68,FALSE)),0,IF(HLOOKUP(AL$134,'Improved Sales Adjustments'!$G$7:$ZP$147,68,FALSE)="",0,IF($V142=HLOOKUP(AL$134,'Improved Sales Adjustments'!$G$7:$ZP$147,68,FALSE),1,0)))</f>
        <v>0</v>
      </c>
      <c r="AM142" s="41">
        <f>IF(ISERROR(HLOOKUP(AM$134,'Improved Sales Adjustments'!$G$7:$ZP$147,68,FALSE)),0,IF(HLOOKUP(AM$134,'Improved Sales Adjustments'!$G$7:$ZP$147,68,FALSE)="",0,IF($V142=HLOOKUP(AM$134,'Improved Sales Adjustments'!$G$7:$ZP$147,68,FALSE),1,0)))</f>
        <v>0</v>
      </c>
      <c r="AN142" s="41">
        <f>IF(ISERROR(HLOOKUP(AN$134,'Improved Sales Adjustments'!$G$7:$ZP$147,68,FALSE)),0,IF(HLOOKUP(AN$134,'Improved Sales Adjustments'!$G$7:$ZP$147,68,FALSE)="",0,IF($V142=HLOOKUP(AN$134,'Improved Sales Adjustments'!$G$7:$ZP$147,68,FALSE),1,0)))</f>
        <v>0</v>
      </c>
      <c r="AO142" s="41">
        <f>IF(ISERROR(HLOOKUP(AO$134,'Improved Sales Adjustments'!$G$7:$ZP$147,68,FALSE)),0,IF(HLOOKUP(AO$134,'Improved Sales Adjustments'!$G$7:$ZP$147,68,FALSE)="",0,IF($V142=HLOOKUP(AO$134,'Improved Sales Adjustments'!$G$7:$ZP$147,68,FALSE),1,0)))</f>
        <v>0</v>
      </c>
      <c r="AP142" s="41">
        <f>IF(ISERROR(HLOOKUP(AP$134,'Improved Sales Adjustments'!$G$7:$ZP$147,68,FALSE)),0,IF(HLOOKUP(AP$134,'Improved Sales Adjustments'!$G$7:$ZP$147,68,FALSE)="",0,IF($V142=HLOOKUP(AP$134,'Improved Sales Adjustments'!$G$7:$ZP$147,68,FALSE),1,0)))</f>
        <v>0</v>
      </c>
      <c r="AQ142" s="41">
        <f>IF(ISERROR(HLOOKUP(AQ$134,'Improved Sales Adjustments'!$G$7:$ZP$147,68,FALSE)),0,IF(HLOOKUP(AQ$134,'Improved Sales Adjustments'!$G$7:$ZP$147,68,FALSE)="",0,IF($V142=HLOOKUP(AQ$134,'Improved Sales Adjustments'!$G$7:$ZP$147,68,FALSE),1,0)))</f>
        <v>0</v>
      </c>
      <c r="AR142" s="41">
        <f>IF(ISERROR(HLOOKUP(AR$134,'Improved Sales Adjustments'!$G$7:$ZP$147,68,FALSE)),0,IF(HLOOKUP(AR$134,'Improved Sales Adjustments'!$G$7:$ZP$147,68,FALSE)="",0,IF($V142=HLOOKUP(AR$134,'Improved Sales Adjustments'!$G$7:$ZP$147,68,FALSE),1,0)))</f>
        <v>0</v>
      </c>
      <c r="AS142" s="41">
        <f>IF(ISERROR(HLOOKUP(AS$134,'Improved Sales Adjustments'!$G$7:$ZP$147,68,FALSE)),0,IF(HLOOKUP(AS$134,'Improved Sales Adjustments'!$G$7:$ZP$147,68,FALSE)="",0,IF($V142=HLOOKUP(AS$134,'Improved Sales Adjustments'!$G$7:$ZP$147,68,FALSE),1,0)))</f>
        <v>0</v>
      </c>
      <c r="AT142" s="41">
        <f>IF(ISERROR(HLOOKUP(AT$134,'Improved Sales Adjustments'!$G$7:$ZP$147,68,FALSE)),0,IF(HLOOKUP(AT$134,'Improved Sales Adjustments'!$G$7:$ZP$147,68,FALSE)="",0,IF($V142=HLOOKUP(AT$134,'Improved Sales Adjustments'!$G$7:$ZP$147,68,FALSE),1,0)))</f>
        <v>0</v>
      </c>
      <c r="AU142" s="41">
        <f>SUM($AJ142:AJ142)</f>
        <v>0</v>
      </c>
      <c r="AV142" s="41">
        <f>SUM($AJ142:AK142)</f>
        <v>0</v>
      </c>
      <c r="AW142" s="41">
        <f>SUM($AJ142:AL142)</f>
        <v>0</v>
      </c>
      <c r="AX142" s="41">
        <f>SUM($AJ142:AM142)</f>
        <v>0</v>
      </c>
      <c r="AY142" s="41">
        <f>SUM($AJ142:AN142)</f>
        <v>0</v>
      </c>
      <c r="AZ142" s="41">
        <f>SUM($AJ142:AO142)</f>
        <v>0</v>
      </c>
      <c r="BA142" s="41">
        <f>SUM($AJ142:AP142)</f>
        <v>0</v>
      </c>
      <c r="BB142" s="41">
        <f>SUM($AJ142:AQ142)</f>
        <v>0</v>
      </c>
      <c r="BC142" s="41">
        <f>SUM($AJ142:AR142)</f>
        <v>0</v>
      </c>
      <c r="BD142" s="41">
        <f>SUM($AJ142:AS142)</f>
        <v>0</v>
      </c>
      <c r="BE142" s="41">
        <f>SUM($AJ142:AT142)</f>
        <v>0</v>
      </c>
      <c r="BF142" s="41" t="str">
        <f t="shared" si="52"/>
        <v/>
      </c>
      <c r="BG142" s="41" t="str">
        <f t="shared" si="53"/>
        <v/>
      </c>
      <c r="BH142" s="41" t="str">
        <f t="shared" si="54"/>
        <v/>
      </c>
      <c r="BI142" s="41" t="str">
        <f t="shared" si="55"/>
        <v/>
      </c>
      <c r="BJ142" s="41" t="str">
        <f t="shared" si="56"/>
        <v/>
      </c>
      <c r="BK142" s="41" t="str">
        <f t="shared" si="57"/>
        <v/>
      </c>
      <c r="BL142" s="41" t="str">
        <f t="shared" si="58"/>
        <v/>
      </c>
      <c r="BM142" s="41" t="str">
        <f t="shared" si="59"/>
        <v/>
      </c>
      <c r="BN142" s="41" t="str">
        <f t="shared" si="60"/>
        <v/>
      </c>
      <c r="BO142" s="41" t="str">
        <f t="shared" si="61"/>
        <v/>
      </c>
      <c r="BP142" s="41" t="str">
        <f t="shared" si="62"/>
        <v/>
      </c>
      <c r="BQ142" s="11"/>
      <c r="BR142" s="11"/>
    </row>
    <row r="143" spans="1:70" ht="15" customHeight="1" x14ac:dyDescent="0.25">
      <c r="A143" s="957">
        <f t="shared" si="50"/>
        <v>1</v>
      </c>
      <c r="S143" s="4"/>
      <c r="T143" s="1204"/>
      <c r="U143" s="4074" t="str">
        <f t="shared" si="51"/>
        <v/>
      </c>
      <c r="V143" s="137">
        <f t="shared" si="63"/>
        <v>8</v>
      </c>
      <c r="W143" s="2129">
        <v>0.01</v>
      </c>
      <c r="X143" s="2130">
        <v>0.02</v>
      </c>
      <c r="Y143" s="2130">
        <v>0.03</v>
      </c>
      <c r="Z143" s="2130">
        <v>0.05</v>
      </c>
      <c r="AA143" s="2130">
        <v>0.06</v>
      </c>
      <c r="AB143" s="2130">
        <v>0.08</v>
      </c>
      <c r="AC143" s="2130">
        <v>0.11</v>
      </c>
      <c r="AD143" s="2130">
        <v>0.16</v>
      </c>
      <c r="AE143" s="2130">
        <v>0.22</v>
      </c>
      <c r="AF143" s="2130">
        <v>0.3</v>
      </c>
      <c r="AG143" s="101"/>
      <c r="AH143" s="6"/>
      <c r="AI143" s="11"/>
      <c r="AJ143" s="41">
        <f t="shared" si="48"/>
        <v>0</v>
      </c>
      <c r="AK143" s="41">
        <f>IF(ISERROR(HLOOKUP(AK$134,'Improved Sales Adjustments'!$G$7:$ZP$147,68,FALSE)),0,IF(HLOOKUP(AK$134,'Improved Sales Adjustments'!$G$7:$ZP$147,68,FALSE)="",0,IF($V143=HLOOKUP(AK$134,'Improved Sales Adjustments'!$G$7:$ZP$147,68,FALSE),1,0)))</f>
        <v>0</v>
      </c>
      <c r="AL143" s="41">
        <f>IF(ISERROR(HLOOKUP(AL$134,'Improved Sales Adjustments'!$G$7:$ZP$147,68,FALSE)),0,IF(HLOOKUP(AL$134,'Improved Sales Adjustments'!$G$7:$ZP$147,68,FALSE)="",0,IF($V143=HLOOKUP(AL$134,'Improved Sales Adjustments'!$G$7:$ZP$147,68,FALSE),1,0)))</f>
        <v>0</v>
      </c>
      <c r="AM143" s="41">
        <f>IF(ISERROR(HLOOKUP(AM$134,'Improved Sales Adjustments'!$G$7:$ZP$147,68,FALSE)),0,IF(HLOOKUP(AM$134,'Improved Sales Adjustments'!$G$7:$ZP$147,68,FALSE)="",0,IF($V143=HLOOKUP(AM$134,'Improved Sales Adjustments'!$G$7:$ZP$147,68,FALSE),1,0)))</f>
        <v>0</v>
      </c>
      <c r="AN143" s="41">
        <f>IF(ISERROR(HLOOKUP(AN$134,'Improved Sales Adjustments'!$G$7:$ZP$147,68,FALSE)),0,IF(HLOOKUP(AN$134,'Improved Sales Adjustments'!$G$7:$ZP$147,68,FALSE)="",0,IF($V143=HLOOKUP(AN$134,'Improved Sales Adjustments'!$G$7:$ZP$147,68,FALSE),1,0)))</f>
        <v>0</v>
      </c>
      <c r="AO143" s="41">
        <f>IF(ISERROR(HLOOKUP(AO$134,'Improved Sales Adjustments'!$G$7:$ZP$147,68,FALSE)),0,IF(HLOOKUP(AO$134,'Improved Sales Adjustments'!$G$7:$ZP$147,68,FALSE)="",0,IF($V143=HLOOKUP(AO$134,'Improved Sales Adjustments'!$G$7:$ZP$147,68,FALSE),1,0)))</f>
        <v>0</v>
      </c>
      <c r="AP143" s="41">
        <f>IF(ISERROR(HLOOKUP(AP$134,'Improved Sales Adjustments'!$G$7:$ZP$147,68,FALSE)),0,IF(HLOOKUP(AP$134,'Improved Sales Adjustments'!$G$7:$ZP$147,68,FALSE)="",0,IF($V143=HLOOKUP(AP$134,'Improved Sales Adjustments'!$G$7:$ZP$147,68,FALSE),1,0)))</f>
        <v>0</v>
      </c>
      <c r="AQ143" s="41">
        <f>IF(ISERROR(HLOOKUP(AQ$134,'Improved Sales Adjustments'!$G$7:$ZP$147,68,FALSE)),0,IF(HLOOKUP(AQ$134,'Improved Sales Adjustments'!$G$7:$ZP$147,68,FALSE)="",0,IF($V143=HLOOKUP(AQ$134,'Improved Sales Adjustments'!$G$7:$ZP$147,68,FALSE),1,0)))</f>
        <v>0</v>
      </c>
      <c r="AR143" s="41">
        <f>IF(ISERROR(HLOOKUP(AR$134,'Improved Sales Adjustments'!$G$7:$ZP$147,68,FALSE)),0,IF(HLOOKUP(AR$134,'Improved Sales Adjustments'!$G$7:$ZP$147,68,FALSE)="",0,IF($V143=HLOOKUP(AR$134,'Improved Sales Adjustments'!$G$7:$ZP$147,68,FALSE),1,0)))</f>
        <v>0</v>
      </c>
      <c r="AS143" s="41">
        <f>IF(ISERROR(HLOOKUP(AS$134,'Improved Sales Adjustments'!$G$7:$ZP$147,68,FALSE)),0,IF(HLOOKUP(AS$134,'Improved Sales Adjustments'!$G$7:$ZP$147,68,FALSE)="",0,IF($V143=HLOOKUP(AS$134,'Improved Sales Adjustments'!$G$7:$ZP$147,68,FALSE),1,0)))</f>
        <v>0</v>
      </c>
      <c r="AT143" s="41">
        <f>IF(ISERROR(HLOOKUP(AT$134,'Improved Sales Adjustments'!$G$7:$ZP$147,68,FALSE)),0,IF(HLOOKUP(AT$134,'Improved Sales Adjustments'!$G$7:$ZP$147,68,FALSE)="",0,IF($V143=HLOOKUP(AT$134,'Improved Sales Adjustments'!$G$7:$ZP$147,68,FALSE),1,0)))</f>
        <v>0</v>
      </c>
      <c r="AU143" s="41">
        <f>SUM($AJ143:AJ143)</f>
        <v>0</v>
      </c>
      <c r="AV143" s="41">
        <f>SUM($AJ143:AK143)</f>
        <v>0</v>
      </c>
      <c r="AW143" s="41">
        <f>SUM($AJ143:AL143)</f>
        <v>0</v>
      </c>
      <c r="AX143" s="41">
        <f>SUM($AJ143:AM143)</f>
        <v>0</v>
      </c>
      <c r="AY143" s="41">
        <f>SUM($AJ143:AN143)</f>
        <v>0</v>
      </c>
      <c r="AZ143" s="41">
        <f>SUM($AJ143:AO143)</f>
        <v>0</v>
      </c>
      <c r="BA143" s="41">
        <f>SUM($AJ143:AP143)</f>
        <v>0</v>
      </c>
      <c r="BB143" s="41">
        <f>SUM($AJ143:AQ143)</f>
        <v>0</v>
      </c>
      <c r="BC143" s="41">
        <f>SUM($AJ143:AR143)</f>
        <v>0</v>
      </c>
      <c r="BD143" s="41">
        <f>SUM($AJ143:AS143)</f>
        <v>0</v>
      </c>
      <c r="BE143" s="41">
        <f>SUM($AJ143:AT143)</f>
        <v>0</v>
      </c>
      <c r="BF143" s="41" t="str">
        <f t="shared" si="52"/>
        <v/>
      </c>
      <c r="BG143" s="41" t="str">
        <f t="shared" si="53"/>
        <v/>
      </c>
      <c r="BH143" s="41" t="str">
        <f t="shared" si="54"/>
        <v/>
      </c>
      <c r="BI143" s="41" t="str">
        <f t="shared" si="55"/>
        <v/>
      </c>
      <c r="BJ143" s="41" t="str">
        <f t="shared" si="56"/>
        <v/>
      </c>
      <c r="BK143" s="41" t="str">
        <f t="shared" si="57"/>
        <v/>
      </c>
      <c r="BL143" s="41" t="str">
        <f t="shared" si="58"/>
        <v/>
      </c>
      <c r="BM143" s="41" t="str">
        <f t="shared" si="59"/>
        <v/>
      </c>
      <c r="BN143" s="41" t="str">
        <f t="shared" si="60"/>
        <v/>
      </c>
      <c r="BO143" s="41" t="str">
        <f t="shared" si="61"/>
        <v/>
      </c>
      <c r="BP143" s="41" t="str">
        <f t="shared" si="62"/>
        <v/>
      </c>
      <c r="BQ143" s="11"/>
      <c r="BR143" s="11"/>
    </row>
    <row r="144" spans="1:70" ht="15" customHeight="1" x14ac:dyDescent="0.25">
      <c r="A144" s="957">
        <f t="shared" si="50"/>
        <v>1</v>
      </c>
      <c r="S144" s="4"/>
      <c r="T144" s="1204"/>
      <c r="U144" s="4074" t="str">
        <f t="shared" si="51"/>
        <v/>
      </c>
      <c r="V144" s="137">
        <f t="shared" si="63"/>
        <v>9</v>
      </c>
      <c r="W144" s="2129">
        <v>0.02</v>
      </c>
      <c r="X144" s="2130">
        <v>0.03</v>
      </c>
      <c r="Y144" s="2130">
        <v>0.04</v>
      </c>
      <c r="Z144" s="2130">
        <v>0.05</v>
      </c>
      <c r="AA144" s="2130">
        <v>7.0000000000000007E-2</v>
      </c>
      <c r="AB144" s="2130">
        <v>0.1</v>
      </c>
      <c r="AC144" s="2130">
        <v>0.13</v>
      </c>
      <c r="AD144" s="2130">
        <v>0.18</v>
      </c>
      <c r="AE144" s="2130">
        <v>0.25</v>
      </c>
      <c r="AF144" s="2130">
        <v>0.35</v>
      </c>
      <c r="AG144" s="101"/>
      <c r="AH144" s="6"/>
      <c r="AI144" s="11"/>
      <c r="AJ144" s="41">
        <f t="shared" si="48"/>
        <v>0</v>
      </c>
      <c r="AK144" s="41">
        <f>IF(ISERROR(HLOOKUP(AK$134,'Improved Sales Adjustments'!$G$7:$ZP$147,68,FALSE)),0,IF(HLOOKUP(AK$134,'Improved Sales Adjustments'!$G$7:$ZP$147,68,FALSE)="",0,IF($V144=HLOOKUP(AK$134,'Improved Sales Adjustments'!$G$7:$ZP$147,68,FALSE),1,0)))</f>
        <v>0</v>
      </c>
      <c r="AL144" s="41">
        <f>IF(ISERROR(HLOOKUP(AL$134,'Improved Sales Adjustments'!$G$7:$ZP$147,68,FALSE)),0,IF(HLOOKUP(AL$134,'Improved Sales Adjustments'!$G$7:$ZP$147,68,FALSE)="",0,IF($V144=HLOOKUP(AL$134,'Improved Sales Adjustments'!$G$7:$ZP$147,68,FALSE),1,0)))</f>
        <v>0</v>
      </c>
      <c r="AM144" s="41">
        <f>IF(ISERROR(HLOOKUP(AM$134,'Improved Sales Adjustments'!$G$7:$ZP$147,68,FALSE)),0,IF(HLOOKUP(AM$134,'Improved Sales Adjustments'!$G$7:$ZP$147,68,FALSE)="",0,IF($V144=HLOOKUP(AM$134,'Improved Sales Adjustments'!$G$7:$ZP$147,68,FALSE),1,0)))</f>
        <v>0</v>
      </c>
      <c r="AN144" s="41">
        <f>IF(ISERROR(HLOOKUP(AN$134,'Improved Sales Adjustments'!$G$7:$ZP$147,68,FALSE)),0,IF(HLOOKUP(AN$134,'Improved Sales Adjustments'!$G$7:$ZP$147,68,FALSE)="",0,IF($V144=HLOOKUP(AN$134,'Improved Sales Adjustments'!$G$7:$ZP$147,68,FALSE),1,0)))</f>
        <v>0</v>
      </c>
      <c r="AO144" s="41">
        <f>IF(ISERROR(HLOOKUP(AO$134,'Improved Sales Adjustments'!$G$7:$ZP$147,68,FALSE)),0,IF(HLOOKUP(AO$134,'Improved Sales Adjustments'!$G$7:$ZP$147,68,FALSE)="",0,IF($V144=HLOOKUP(AO$134,'Improved Sales Adjustments'!$G$7:$ZP$147,68,FALSE),1,0)))</f>
        <v>0</v>
      </c>
      <c r="AP144" s="41">
        <f>IF(ISERROR(HLOOKUP(AP$134,'Improved Sales Adjustments'!$G$7:$ZP$147,68,FALSE)),0,IF(HLOOKUP(AP$134,'Improved Sales Adjustments'!$G$7:$ZP$147,68,FALSE)="",0,IF($V144=HLOOKUP(AP$134,'Improved Sales Adjustments'!$G$7:$ZP$147,68,FALSE),1,0)))</f>
        <v>0</v>
      </c>
      <c r="AQ144" s="41">
        <f>IF(ISERROR(HLOOKUP(AQ$134,'Improved Sales Adjustments'!$G$7:$ZP$147,68,FALSE)),0,IF(HLOOKUP(AQ$134,'Improved Sales Adjustments'!$G$7:$ZP$147,68,FALSE)="",0,IF($V144=HLOOKUP(AQ$134,'Improved Sales Adjustments'!$G$7:$ZP$147,68,FALSE),1,0)))</f>
        <v>0</v>
      </c>
      <c r="AR144" s="41">
        <f>IF(ISERROR(HLOOKUP(AR$134,'Improved Sales Adjustments'!$G$7:$ZP$147,68,FALSE)),0,IF(HLOOKUP(AR$134,'Improved Sales Adjustments'!$G$7:$ZP$147,68,FALSE)="",0,IF($V144=HLOOKUP(AR$134,'Improved Sales Adjustments'!$G$7:$ZP$147,68,FALSE),1,0)))</f>
        <v>0</v>
      </c>
      <c r="AS144" s="41">
        <f>IF(ISERROR(HLOOKUP(AS$134,'Improved Sales Adjustments'!$G$7:$ZP$147,68,FALSE)),0,IF(HLOOKUP(AS$134,'Improved Sales Adjustments'!$G$7:$ZP$147,68,FALSE)="",0,IF($V144=HLOOKUP(AS$134,'Improved Sales Adjustments'!$G$7:$ZP$147,68,FALSE),1,0)))</f>
        <v>0</v>
      </c>
      <c r="AT144" s="41">
        <f>IF(ISERROR(HLOOKUP(AT$134,'Improved Sales Adjustments'!$G$7:$ZP$147,68,FALSE)),0,IF(HLOOKUP(AT$134,'Improved Sales Adjustments'!$G$7:$ZP$147,68,FALSE)="",0,IF($V144=HLOOKUP(AT$134,'Improved Sales Adjustments'!$G$7:$ZP$147,68,FALSE),1,0)))</f>
        <v>0</v>
      </c>
      <c r="AU144" s="41">
        <f>SUM($AJ144:AJ144)</f>
        <v>0</v>
      </c>
      <c r="AV144" s="41">
        <f>SUM($AJ144:AK144)</f>
        <v>0</v>
      </c>
      <c r="AW144" s="41">
        <f>SUM($AJ144:AL144)</f>
        <v>0</v>
      </c>
      <c r="AX144" s="41">
        <f>SUM($AJ144:AM144)</f>
        <v>0</v>
      </c>
      <c r="AY144" s="41">
        <f>SUM($AJ144:AN144)</f>
        <v>0</v>
      </c>
      <c r="AZ144" s="41">
        <f>SUM($AJ144:AO144)</f>
        <v>0</v>
      </c>
      <c r="BA144" s="41">
        <f>SUM($AJ144:AP144)</f>
        <v>0</v>
      </c>
      <c r="BB144" s="41">
        <f>SUM($AJ144:AQ144)</f>
        <v>0</v>
      </c>
      <c r="BC144" s="41">
        <f>SUM($AJ144:AR144)</f>
        <v>0</v>
      </c>
      <c r="BD144" s="41">
        <f>SUM($AJ144:AS144)</f>
        <v>0</v>
      </c>
      <c r="BE144" s="41">
        <f>SUM($AJ144:AT144)</f>
        <v>0</v>
      </c>
      <c r="BF144" s="41" t="str">
        <f t="shared" si="52"/>
        <v/>
      </c>
      <c r="BG144" s="41" t="str">
        <f t="shared" si="53"/>
        <v/>
      </c>
      <c r="BH144" s="41" t="str">
        <f t="shared" si="54"/>
        <v/>
      </c>
      <c r="BI144" s="41" t="str">
        <f t="shared" si="55"/>
        <v/>
      </c>
      <c r="BJ144" s="41" t="str">
        <f t="shared" si="56"/>
        <v/>
      </c>
      <c r="BK144" s="41" t="str">
        <f t="shared" si="57"/>
        <v/>
      </c>
      <c r="BL144" s="41" t="str">
        <f t="shared" si="58"/>
        <v/>
      </c>
      <c r="BM144" s="41" t="str">
        <f t="shared" si="59"/>
        <v/>
      </c>
      <c r="BN144" s="41" t="str">
        <f t="shared" si="60"/>
        <v/>
      </c>
      <c r="BO144" s="41" t="str">
        <f t="shared" si="61"/>
        <v/>
      </c>
      <c r="BP144" s="41" t="str">
        <f t="shared" si="62"/>
        <v/>
      </c>
      <c r="BQ144" s="11"/>
      <c r="BR144" s="11"/>
    </row>
    <row r="145" spans="1:70" ht="15" customHeight="1" x14ac:dyDescent="0.25">
      <c r="A145" s="957">
        <f>IF(AND(MIN(Sales_EffectiveAgeRange,Subject_AgeEffective)&lt;=V145,MAX(Sales_EffectiveAgeRange,Subject_AgeEffective)&gt;=V145),1,0)</f>
        <v>1</v>
      </c>
      <c r="S145" s="4"/>
      <c r="T145" s="1204"/>
      <c r="U145" s="4074" t="str">
        <f t="shared" si="51"/>
        <v>Sale 1 and Sale 2</v>
      </c>
      <c r="V145" s="137">
        <f t="shared" si="63"/>
        <v>10</v>
      </c>
      <c r="W145" s="2129">
        <v>0.02</v>
      </c>
      <c r="X145" s="2130">
        <v>0.03</v>
      </c>
      <c r="Y145" s="2130">
        <v>0.04</v>
      </c>
      <c r="Z145" s="2130">
        <v>0.06</v>
      </c>
      <c r="AA145" s="2130">
        <v>0.08</v>
      </c>
      <c r="AB145" s="2130">
        <v>0.11</v>
      </c>
      <c r="AC145" s="2130">
        <v>0.15</v>
      </c>
      <c r="AD145" s="2130">
        <v>0.21</v>
      </c>
      <c r="AE145" s="2130">
        <v>0.28999999999999998</v>
      </c>
      <c r="AF145" s="2130">
        <v>0.4</v>
      </c>
      <c r="AG145" s="101"/>
      <c r="AH145" s="6"/>
      <c r="AI145" s="11"/>
      <c r="AJ145" s="41">
        <f t="shared" si="48"/>
        <v>0</v>
      </c>
      <c r="AK145" s="41">
        <f>IF(ISERROR(HLOOKUP(AK$134,'Improved Sales Adjustments'!$G$7:$ZP$147,68,FALSE)),0,IF(HLOOKUP(AK$134,'Improved Sales Adjustments'!$G$7:$ZP$147,68,FALSE)="",0,IF($V145=HLOOKUP(AK$134,'Improved Sales Adjustments'!$G$7:$ZP$147,68,FALSE),1,0)))</f>
        <v>1</v>
      </c>
      <c r="AL145" s="41">
        <f>IF(ISERROR(HLOOKUP(AL$134,'Improved Sales Adjustments'!$G$7:$ZP$147,68,FALSE)),0,IF(HLOOKUP(AL$134,'Improved Sales Adjustments'!$G$7:$ZP$147,68,FALSE)="",0,IF($V145=HLOOKUP(AL$134,'Improved Sales Adjustments'!$G$7:$ZP$147,68,FALSE),1,0)))</f>
        <v>1</v>
      </c>
      <c r="AM145" s="41">
        <f>IF(ISERROR(HLOOKUP(AM$134,'Improved Sales Adjustments'!$G$7:$ZP$147,68,FALSE)),0,IF(HLOOKUP(AM$134,'Improved Sales Adjustments'!$G$7:$ZP$147,68,FALSE)="",0,IF($V145=HLOOKUP(AM$134,'Improved Sales Adjustments'!$G$7:$ZP$147,68,FALSE),1,0)))</f>
        <v>0</v>
      </c>
      <c r="AN145" s="41">
        <f>IF(ISERROR(HLOOKUP(AN$134,'Improved Sales Adjustments'!$G$7:$ZP$147,68,FALSE)),0,IF(HLOOKUP(AN$134,'Improved Sales Adjustments'!$G$7:$ZP$147,68,FALSE)="",0,IF($V145=HLOOKUP(AN$134,'Improved Sales Adjustments'!$G$7:$ZP$147,68,FALSE),1,0)))</f>
        <v>0</v>
      </c>
      <c r="AO145" s="41">
        <f>IF(ISERROR(HLOOKUP(AO$134,'Improved Sales Adjustments'!$G$7:$ZP$147,68,FALSE)),0,IF(HLOOKUP(AO$134,'Improved Sales Adjustments'!$G$7:$ZP$147,68,FALSE)="",0,IF($V145=HLOOKUP(AO$134,'Improved Sales Adjustments'!$G$7:$ZP$147,68,FALSE),1,0)))</f>
        <v>0</v>
      </c>
      <c r="AP145" s="41">
        <f>IF(ISERROR(HLOOKUP(AP$134,'Improved Sales Adjustments'!$G$7:$ZP$147,68,FALSE)),0,IF(HLOOKUP(AP$134,'Improved Sales Adjustments'!$G$7:$ZP$147,68,FALSE)="",0,IF($V145=HLOOKUP(AP$134,'Improved Sales Adjustments'!$G$7:$ZP$147,68,FALSE),1,0)))</f>
        <v>0</v>
      </c>
      <c r="AQ145" s="41">
        <f>IF(ISERROR(HLOOKUP(AQ$134,'Improved Sales Adjustments'!$G$7:$ZP$147,68,FALSE)),0,IF(HLOOKUP(AQ$134,'Improved Sales Adjustments'!$G$7:$ZP$147,68,FALSE)="",0,IF($V145=HLOOKUP(AQ$134,'Improved Sales Adjustments'!$G$7:$ZP$147,68,FALSE),1,0)))</f>
        <v>0</v>
      </c>
      <c r="AR145" s="41">
        <f>IF(ISERROR(HLOOKUP(AR$134,'Improved Sales Adjustments'!$G$7:$ZP$147,68,FALSE)),0,IF(HLOOKUP(AR$134,'Improved Sales Adjustments'!$G$7:$ZP$147,68,FALSE)="",0,IF($V145=HLOOKUP(AR$134,'Improved Sales Adjustments'!$G$7:$ZP$147,68,FALSE),1,0)))</f>
        <v>0</v>
      </c>
      <c r="AS145" s="41">
        <f>IF(ISERROR(HLOOKUP(AS$134,'Improved Sales Adjustments'!$G$7:$ZP$147,68,FALSE)),0,IF(HLOOKUP(AS$134,'Improved Sales Adjustments'!$G$7:$ZP$147,68,FALSE)="",0,IF($V145=HLOOKUP(AS$134,'Improved Sales Adjustments'!$G$7:$ZP$147,68,FALSE),1,0)))</f>
        <v>0</v>
      </c>
      <c r="AT145" s="41">
        <f>IF(ISERROR(HLOOKUP(AT$134,'Improved Sales Adjustments'!$G$7:$ZP$147,68,FALSE)),0,IF(HLOOKUP(AT$134,'Improved Sales Adjustments'!$G$7:$ZP$147,68,FALSE)="",0,IF($V145=HLOOKUP(AT$134,'Improved Sales Adjustments'!$G$7:$ZP$147,68,FALSE),1,0)))</f>
        <v>0</v>
      </c>
      <c r="AU145" s="41">
        <f>SUM($AJ145:AJ145)</f>
        <v>0</v>
      </c>
      <c r="AV145" s="41">
        <f>SUM($AJ145:AK145)</f>
        <v>1</v>
      </c>
      <c r="AW145" s="41">
        <f>SUM($AJ145:AL145)</f>
        <v>2</v>
      </c>
      <c r="AX145" s="41">
        <f>SUM($AJ145:AM145)</f>
        <v>2</v>
      </c>
      <c r="AY145" s="41">
        <f>SUM($AJ145:AN145)</f>
        <v>2</v>
      </c>
      <c r="AZ145" s="41">
        <f>SUM($AJ145:AO145)</f>
        <v>2</v>
      </c>
      <c r="BA145" s="41">
        <f>SUM($AJ145:AP145)</f>
        <v>2</v>
      </c>
      <c r="BB145" s="41">
        <f>SUM($AJ145:AQ145)</f>
        <v>2</v>
      </c>
      <c r="BC145" s="41">
        <f>SUM($AJ145:AR145)</f>
        <v>2</v>
      </c>
      <c r="BD145" s="41">
        <f>SUM($AJ145:AS145)</f>
        <v>2</v>
      </c>
      <c r="BE145" s="41">
        <f>SUM($AJ145:AT145)</f>
        <v>2</v>
      </c>
      <c r="BF145" s="41" t="str">
        <f t="shared" si="52"/>
        <v/>
      </c>
      <c r="BG145" s="41" t="str">
        <f t="shared" si="53"/>
        <v>Sale 1</v>
      </c>
      <c r="BH145" s="41" t="str">
        <f t="shared" si="54"/>
        <v xml:space="preserve"> and Sale 2</v>
      </c>
      <c r="BI145" s="41" t="str">
        <f t="shared" si="55"/>
        <v/>
      </c>
      <c r="BJ145" s="41" t="str">
        <f t="shared" si="56"/>
        <v/>
      </c>
      <c r="BK145" s="41" t="str">
        <f t="shared" si="57"/>
        <v/>
      </c>
      <c r="BL145" s="41" t="str">
        <f t="shared" si="58"/>
        <v/>
      </c>
      <c r="BM145" s="41" t="str">
        <f t="shared" si="59"/>
        <v/>
      </c>
      <c r="BN145" s="41" t="str">
        <f t="shared" si="60"/>
        <v/>
      </c>
      <c r="BO145" s="41" t="str">
        <f t="shared" si="61"/>
        <v/>
      </c>
      <c r="BP145" s="41" t="str">
        <f t="shared" si="62"/>
        <v/>
      </c>
      <c r="BQ145" s="11"/>
      <c r="BR145" s="11"/>
    </row>
    <row r="146" spans="1:70" ht="15" customHeight="1" x14ac:dyDescent="0.25">
      <c r="A146" s="957">
        <f t="shared" si="50"/>
        <v>0</v>
      </c>
      <c r="S146" s="4"/>
      <c r="T146" s="1204"/>
      <c r="U146" s="4074" t="str">
        <f t="shared" si="51"/>
        <v/>
      </c>
      <c r="V146" s="137">
        <f t="shared" si="63"/>
        <v>11</v>
      </c>
      <c r="W146" s="2129">
        <v>0.02</v>
      </c>
      <c r="X146" s="2130">
        <v>0.04</v>
      </c>
      <c r="Y146" s="2130">
        <v>0.05</v>
      </c>
      <c r="Z146" s="2130">
        <v>7.0000000000000007E-2</v>
      </c>
      <c r="AA146" s="2130">
        <v>0.09</v>
      </c>
      <c r="AB146" s="2130">
        <v>0.13</v>
      </c>
      <c r="AC146" s="2130">
        <v>0.17</v>
      </c>
      <c r="AD146" s="2130">
        <v>0.24</v>
      </c>
      <c r="AE146" s="2130">
        <v>0.32</v>
      </c>
      <c r="AF146" s="2130">
        <v>0.45</v>
      </c>
      <c r="AG146" s="101"/>
      <c r="AH146" s="6"/>
      <c r="AI146" s="11"/>
      <c r="AJ146" s="41">
        <f t="shared" si="48"/>
        <v>0</v>
      </c>
      <c r="AK146" s="41">
        <f>IF(ISERROR(HLOOKUP(AK$134,'Improved Sales Adjustments'!$G$7:$ZP$147,68,FALSE)),0,IF(HLOOKUP(AK$134,'Improved Sales Adjustments'!$G$7:$ZP$147,68,FALSE)="",0,IF($V146=HLOOKUP(AK$134,'Improved Sales Adjustments'!$G$7:$ZP$147,68,FALSE),1,0)))</f>
        <v>0</v>
      </c>
      <c r="AL146" s="41">
        <f>IF(ISERROR(HLOOKUP(AL$134,'Improved Sales Adjustments'!$G$7:$ZP$147,68,FALSE)),0,IF(HLOOKUP(AL$134,'Improved Sales Adjustments'!$G$7:$ZP$147,68,FALSE)="",0,IF($V146=HLOOKUP(AL$134,'Improved Sales Adjustments'!$G$7:$ZP$147,68,FALSE),1,0)))</f>
        <v>0</v>
      </c>
      <c r="AM146" s="41">
        <f>IF(ISERROR(HLOOKUP(AM$134,'Improved Sales Adjustments'!$G$7:$ZP$147,68,FALSE)),0,IF(HLOOKUP(AM$134,'Improved Sales Adjustments'!$G$7:$ZP$147,68,FALSE)="",0,IF($V146=HLOOKUP(AM$134,'Improved Sales Adjustments'!$G$7:$ZP$147,68,FALSE),1,0)))</f>
        <v>0</v>
      </c>
      <c r="AN146" s="41">
        <f>IF(ISERROR(HLOOKUP(AN$134,'Improved Sales Adjustments'!$G$7:$ZP$147,68,FALSE)),0,IF(HLOOKUP(AN$134,'Improved Sales Adjustments'!$G$7:$ZP$147,68,FALSE)="",0,IF($V146=HLOOKUP(AN$134,'Improved Sales Adjustments'!$G$7:$ZP$147,68,FALSE),1,0)))</f>
        <v>0</v>
      </c>
      <c r="AO146" s="41">
        <f>IF(ISERROR(HLOOKUP(AO$134,'Improved Sales Adjustments'!$G$7:$ZP$147,68,FALSE)),0,IF(HLOOKUP(AO$134,'Improved Sales Adjustments'!$G$7:$ZP$147,68,FALSE)="",0,IF($V146=HLOOKUP(AO$134,'Improved Sales Adjustments'!$G$7:$ZP$147,68,FALSE),1,0)))</f>
        <v>0</v>
      </c>
      <c r="AP146" s="41">
        <f>IF(ISERROR(HLOOKUP(AP$134,'Improved Sales Adjustments'!$G$7:$ZP$147,68,FALSE)),0,IF(HLOOKUP(AP$134,'Improved Sales Adjustments'!$G$7:$ZP$147,68,FALSE)="",0,IF($V146=HLOOKUP(AP$134,'Improved Sales Adjustments'!$G$7:$ZP$147,68,FALSE),1,0)))</f>
        <v>0</v>
      </c>
      <c r="AQ146" s="41">
        <f>IF(ISERROR(HLOOKUP(AQ$134,'Improved Sales Adjustments'!$G$7:$ZP$147,68,FALSE)),0,IF(HLOOKUP(AQ$134,'Improved Sales Adjustments'!$G$7:$ZP$147,68,FALSE)="",0,IF($V146=HLOOKUP(AQ$134,'Improved Sales Adjustments'!$G$7:$ZP$147,68,FALSE),1,0)))</f>
        <v>0</v>
      </c>
      <c r="AR146" s="41">
        <f>IF(ISERROR(HLOOKUP(AR$134,'Improved Sales Adjustments'!$G$7:$ZP$147,68,FALSE)),0,IF(HLOOKUP(AR$134,'Improved Sales Adjustments'!$G$7:$ZP$147,68,FALSE)="",0,IF($V146=HLOOKUP(AR$134,'Improved Sales Adjustments'!$G$7:$ZP$147,68,FALSE),1,0)))</f>
        <v>0</v>
      </c>
      <c r="AS146" s="41">
        <f>IF(ISERROR(HLOOKUP(AS$134,'Improved Sales Adjustments'!$G$7:$ZP$147,68,FALSE)),0,IF(HLOOKUP(AS$134,'Improved Sales Adjustments'!$G$7:$ZP$147,68,FALSE)="",0,IF($V146=HLOOKUP(AS$134,'Improved Sales Adjustments'!$G$7:$ZP$147,68,FALSE),1,0)))</f>
        <v>0</v>
      </c>
      <c r="AT146" s="41">
        <f>IF(ISERROR(HLOOKUP(AT$134,'Improved Sales Adjustments'!$G$7:$ZP$147,68,FALSE)),0,IF(HLOOKUP(AT$134,'Improved Sales Adjustments'!$G$7:$ZP$147,68,FALSE)="",0,IF($V146=HLOOKUP(AT$134,'Improved Sales Adjustments'!$G$7:$ZP$147,68,FALSE),1,0)))</f>
        <v>0</v>
      </c>
      <c r="AU146" s="41">
        <f>SUM($AJ146:AJ146)</f>
        <v>0</v>
      </c>
      <c r="AV146" s="41">
        <f>SUM($AJ146:AK146)</f>
        <v>0</v>
      </c>
      <c r="AW146" s="41">
        <f>SUM($AJ146:AL146)</f>
        <v>0</v>
      </c>
      <c r="AX146" s="41">
        <f>SUM($AJ146:AM146)</f>
        <v>0</v>
      </c>
      <c r="AY146" s="41">
        <f>SUM($AJ146:AN146)</f>
        <v>0</v>
      </c>
      <c r="AZ146" s="41">
        <f>SUM($AJ146:AO146)</f>
        <v>0</v>
      </c>
      <c r="BA146" s="41">
        <f>SUM($AJ146:AP146)</f>
        <v>0</v>
      </c>
      <c r="BB146" s="41">
        <f>SUM($AJ146:AQ146)</f>
        <v>0</v>
      </c>
      <c r="BC146" s="41">
        <f>SUM($AJ146:AR146)</f>
        <v>0</v>
      </c>
      <c r="BD146" s="41">
        <f>SUM($AJ146:AS146)</f>
        <v>0</v>
      </c>
      <c r="BE146" s="41">
        <f>SUM($AJ146:AT146)</f>
        <v>0</v>
      </c>
      <c r="BF146" s="41" t="str">
        <f t="shared" si="52"/>
        <v/>
      </c>
      <c r="BG146" s="41" t="str">
        <f t="shared" si="53"/>
        <v/>
      </c>
      <c r="BH146" s="41" t="str">
        <f t="shared" si="54"/>
        <v/>
      </c>
      <c r="BI146" s="41" t="str">
        <f t="shared" si="55"/>
        <v/>
      </c>
      <c r="BJ146" s="41" t="str">
        <f t="shared" si="56"/>
        <v/>
      </c>
      <c r="BK146" s="41" t="str">
        <f t="shared" si="57"/>
        <v/>
      </c>
      <c r="BL146" s="41" t="str">
        <f t="shared" si="58"/>
        <v/>
      </c>
      <c r="BM146" s="41" t="str">
        <f t="shared" si="59"/>
        <v/>
      </c>
      <c r="BN146" s="41" t="str">
        <f t="shared" si="60"/>
        <v/>
      </c>
      <c r="BO146" s="41" t="str">
        <f t="shared" si="61"/>
        <v/>
      </c>
      <c r="BP146" s="41" t="str">
        <f t="shared" si="62"/>
        <v/>
      </c>
      <c r="BQ146" s="11"/>
      <c r="BR146" s="11"/>
    </row>
    <row r="147" spans="1:70" ht="15" customHeight="1" x14ac:dyDescent="0.25">
      <c r="A147" s="957">
        <f t="shared" si="50"/>
        <v>0</v>
      </c>
      <c r="S147" s="4"/>
      <c r="T147" s="1204"/>
      <c r="U147" s="4074" t="str">
        <f t="shared" si="51"/>
        <v/>
      </c>
      <c r="V147" s="137">
        <f t="shared" si="63"/>
        <v>12</v>
      </c>
      <c r="W147" s="2129">
        <v>0.02</v>
      </c>
      <c r="X147" s="2130">
        <v>0.04</v>
      </c>
      <c r="Y147" s="2130">
        <v>0.06</v>
      </c>
      <c r="Z147" s="2130">
        <v>0.08</v>
      </c>
      <c r="AA147" s="2130">
        <v>0.1</v>
      </c>
      <c r="AB147" s="2130">
        <v>0.14000000000000001</v>
      </c>
      <c r="AC147" s="2130">
        <v>0.19</v>
      </c>
      <c r="AD147" s="2130">
        <v>0.26</v>
      </c>
      <c r="AE147" s="2130">
        <v>0.36</v>
      </c>
      <c r="AF147" s="2130">
        <v>0.5</v>
      </c>
      <c r="AG147" s="101"/>
      <c r="AH147" s="6"/>
      <c r="AI147" s="11"/>
      <c r="AJ147" s="41">
        <f t="shared" si="48"/>
        <v>0</v>
      </c>
      <c r="AK147" s="41">
        <f>IF(ISERROR(HLOOKUP(AK$134,'Improved Sales Adjustments'!$G$7:$ZP$147,68,FALSE)),0,IF(HLOOKUP(AK$134,'Improved Sales Adjustments'!$G$7:$ZP$147,68,FALSE)="",0,IF($V147=HLOOKUP(AK$134,'Improved Sales Adjustments'!$G$7:$ZP$147,68,FALSE),1,0)))</f>
        <v>0</v>
      </c>
      <c r="AL147" s="41">
        <f>IF(ISERROR(HLOOKUP(AL$134,'Improved Sales Adjustments'!$G$7:$ZP$147,68,FALSE)),0,IF(HLOOKUP(AL$134,'Improved Sales Adjustments'!$G$7:$ZP$147,68,FALSE)="",0,IF($V147=HLOOKUP(AL$134,'Improved Sales Adjustments'!$G$7:$ZP$147,68,FALSE),1,0)))</f>
        <v>0</v>
      </c>
      <c r="AM147" s="41">
        <f>IF(ISERROR(HLOOKUP(AM$134,'Improved Sales Adjustments'!$G$7:$ZP$147,68,FALSE)),0,IF(HLOOKUP(AM$134,'Improved Sales Adjustments'!$G$7:$ZP$147,68,FALSE)="",0,IF($V147=HLOOKUP(AM$134,'Improved Sales Adjustments'!$G$7:$ZP$147,68,FALSE),1,0)))</f>
        <v>0</v>
      </c>
      <c r="AN147" s="41">
        <f>IF(ISERROR(HLOOKUP(AN$134,'Improved Sales Adjustments'!$G$7:$ZP$147,68,FALSE)),0,IF(HLOOKUP(AN$134,'Improved Sales Adjustments'!$G$7:$ZP$147,68,FALSE)="",0,IF($V147=HLOOKUP(AN$134,'Improved Sales Adjustments'!$G$7:$ZP$147,68,FALSE),1,0)))</f>
        <v>0</v>
      </c>
      <c r="AO147" s="41">
        <f>IF(ISERROR(HLOOKUP(AO$134,'Improved Sales Adjustments'!$G$7:$ZP$147,68,FALSE)),0,IF(HLOOKUP(AO$134,'Improved Sales Adjustments'!$G$7:$ZP$147,68,FALSE)="",0,IF($V147=HLOOKUP(AO$134,'Improved Sales Adjustments'!$G$7:$ZP$147,68,FALSE),1,0)))</f>
        <v>0</v>
      </c>
      <c r="AP147" s="41">
        <f>IF(ISERROR(HLOOKUP(AP$134,'Improved Sales Adjustments'!$G$7:$ZP$147,68,FALSE)),0,IF(HLOOKUP(AP$134,'Improved Sales Adjustments'!$G$7:$ZP$147,68,FALSE)="",0,IF($V147=HLOOKUP(AP$134,'Improved Sales Adjustments'!$G$7:$ZP$147,68,FALSE),1,0)))</f>
        <v>0</v>
      </c>
      <c r="AQ147" s="41">
        <f>IF(ISERROR(HLOOKUP(AQ$134,'Improved Sales Adjustments'!$G$7:$ZP$147,68,FALSE)),0,IF(HLOOKUP(AQ$134,'Improved Sales Adjustments'!$G$7:$ZP$147,68,FALSE)="",0,IF($V147=HLOOKUP(AQ$134,'Improved Sales Adjustments'!$G$7:$ZP$147,68,FALSE),1,0)))</f>
        <v>0</v>
      </c>
      <c r="AR147" s="41">
        <f>IF(ISERROR(HLOOKUP(AR$134,'Improved Sales Adjustments'!$G$7:$ZP$147,68,FALSE)),0,IF(HLOOKUP(AR$134,'Improved Sales Adjustments'!$G$7:$ZP$147,68,FALSE)="",0,IF($V147=HLOOKUP(AR$134,'Improved Sales Adjustments'!$G$7:$ZP$147,68,FALSE),1,0)))</f>
        <v>0</v>
      </c>
      <c r="AS147" s="41">
        <f>IF(ISERROR(HLOOKUP(AS$134,'Improved Sales Adjustments'!$G$7:$ZP$147,68,FALSE)),0,IF(HLOOKUP(AS$134,'Improved Sales Adjustments'!$G$7:$ZP$147,68,FALSE)="",0,IF($V147=HLOOKUP(AS$134,'Improved Sales Adjustments'!$G$7:$ZP$147,68,FALSE),1,0)))</f>
        <v>0</v>
      </c>
      <c r="AT147" s="41">
        <f>IF(ISERROR(HLOOKUP(AT$134,'Improved Sales Adjustments'!$G$7:$ZP$147,68,FALSE)),0,IF(HLOOKUP(AT$134,'Improved Sales Adjustments'!$G$7:$ZP$147,68,FALSE)="",0,IF($V147=HLOOKUP(AT$134,'Improved Sales Adjustments'!$G$7:$ZP$147,68,FALSE),1,0)))</f>
        <v>0</v>
      </c>
      <c r="AU147" s="41">
        <f>SUM($AJ147:AJ147)</f>
        <v>0</v>
      </c>
      <c r="AV147" s="41">
        <f>SUM($AJ147:AK147)</f>
        <v>0</v>
      </c>
      <c r="AW147" s="41">
        <f>SUM($AJ147:AL147)</f>
        <v>0</v>
      </c>
      <c r="AX147" s="41">
        <f>SUM($AJ147:AM147)</f>
        <v>0</v>
      </c>
      <c r="AY147" s="41">
        <f>SUM($AJ147:AN147)</f>
        <v>0</v>
      </c>
      <c r="AZ147" s="41">
        <f>SUM($AJ147:AO147)</f>
        <v>0</v>
      </c>
      <c r="BA147" s="41">
        <f>SUM($AJ147:AP147)</f>
        <v>0</v>
      </c>
      <c r="BB147" s="41">
        <f>SUM($AJ147:AQ147)</f>
        <v>0</v>
      </c>
      <c r="BC147" s="41">
        <f>SUM($AJ147:AR147)</f>
        <v>0</v>
      </c>
      <c r="BD147" s="41">
        <f>SUM($AJ147:AS147)</f>
        <v>0</v>
      </c>
      <c r="BE147" s="41">
        <f>SUM($AJ147:AT147)</f>
        <v>0</v>
      </c>
      <c r="BF147" s="41" t="str">
        <f t="shared" si="52"/>
        <v/>
      </c>
      <c r="BG147" s="41" t="str">
        <f t="shared" si="53"/>
        <v/>
      </c>
      <c r="BH147" s="41" t="str">
        <f t="shared" si="54"/>
        <v/>
      </c>
      <c r="BI147" s="41" t="str">
        <f t="shared" si="55"/>
        <v/>
      </c>
      <c r="BJ147" s="41" t="str">
        <f t="shared" si="56"/>
        <v/>
      </c>
      <c r="BK147" s="41" t="str">
        <f t="shared" si="57"/>
        <v/>
      </c>
      <c r="BL147" s="41" t="str">
        <f t="shared" si="58"/>
        <v/>
      </c>
      <c r="BM147" s="41" t="str">
        <f t="shared" si="59"/>
        <v/>
      </c>
      <c r="BN147" s="41" t="str">
        <f t="shared" si="60"/>
        <v/>
      </c>
      <c r="BO147" s="41" t="str">
        <f t="shared" si="61"/>
        <v/>
      </c>
      <c r="BP147" s="41" t="str">
        <f t="shared" si="62"/>
        <v/>
      </c>
      <c r="BQ147" s="11"/>
      <c r="BR147" s="11"/>
    </row>
    <row r="148" spans="1:70" ht="15" customHeight="1" x14ac:dyDescent="0.25">
      <c r="A148" s="957">
        <f t="shared" si="50"/>
        <v>0</v>
      </c>
      <c r="S148" s="4"/>
      <c r="T148" s="1204"/>
      <c r="U148" s="4074" t="str">
        <f t="shared" si="51"/>
        <v/>
      </c>
      <c r="V148" s="137">
        <f t="shared" si="63"/>
        <v>13</v>
      </c>
      <c r="W148" s="2129">
        <v>0.02</v>
      </c>
      <c r="X148" s="2130">
        <v>0.05</v>
      </c>
      <c r="Y148" s="2130">
        <v>0.06</v>
      </c>
      <c r="Z148" s="2130">
        <v>0.09</v>
      </c>
      <c r="AA148" s="2130">
        <v>0.12</v>
      </c>
      <c r="AB148" s="2130">
        <v>0.16</v>
      </c>
      <c r="AC148" s="2130">
        <v>0.22</v>
      </c>
      <c r="AD148" s="2130">
        <v>0.28999999999999998</v>
      </c>
      <c r="AE148" s="2130">
        <v>0.4</v>
      </c>
      <c r="AF148" s="2130">
        <v>0.55000000000000004</v>
      </c>
      <c r="AG148" s="101"/>
      <c r="AH148" s="6"/>
      <c r="AI148" s="11"/>
      <c r="AJ148" s="41">
        <f t="shared" si="48"/>
        <v>0</v>
      </c>
      <c r="AK148" s="41">
        <f>IF(ISERROR(HLOOKUP(AK$134,'Improved Sales Adjustments'!$G$7:$ZP$147,68,FALSE)),0,IF(HLOOKUP(AK$134,'Improved Sales Adjustments'!$G$7:$ZP$147,68,FALSE)="",0,IF($V148=HLOOKUP(AK$134,'Improved Sales Adjustments'!$G$7:$ZP$147,68,FALSE),1,0)))</f>
        <v>0</v>
      </c>
      <c r="AL148" s="41">
        <f>IF(ISERROR(HLOOKUP(AL$134,'Improved Sales Adjustments'!$G$7:$ZP$147,68,FALSE)),0,IF(HLOOKUP(AL$134,'Improved Sales Adjustments'!$G$7:$ZP$147,68,FALSE)="",0,IF($V148=HLOOKUP(AL$134,'Improved Sales Adjustments'!$G$7:$ZP$147,68,FALSE),1,0)))</f>
        <v>0</v>
      </c>
      <c r="AM148" s="41">
        <f>IF(ISERROR(HLOOKUP(AM$134,'Improved Sales Adjustments'!$G$7:$ZP$147,68,FALSE)),0,IF(HLOOKUP(AM$134,'Improved Sales Adjustments'!$G$7:$ZP$147,68,FALSE)="",0,IF($V148=HLOOKUP(AM$134,'Improved Sales Adjustments'!$G$7:$ZP$147,68,FALSE),1,0)))</f>
        <v>0</v>
      </c>
      <c r="AN148" s="41">
        <f>IF(ISERROR(HLOOKUP(AN$134,'Improved Sales Adjustments'!$G$7:$ZP$147,68,FALSE)),0,IF(HLOOKUP(AN$134,'Improved Sales Adjustments'!$G$7:$ZP$147,68,FALSE)="",0,IF($V148=HLOOKUP(AN$134,'Improved Sales Adjustments'!$G$7:$ZP$147,68,FALSE),1,0)))</f>
        <v>0</v>
      </c>
      <c r="AO148" s="41">
        <f>IF(ISERROR(HLOOKUP(AO$134,'Improved Sales Adjustments'!$G$7:$ZP$147,68,FALSE)),0,IF(HLOOKUP(AO$134,'Improved Sales Adjustments'!$G$7:$ZP$147,68,FALSE)="",0,IF($V148=HLOOKUP(AO$134,'Improved Sales Adjustments'!$G$7:$ZP$147,68,FALSE),1,0)))</f>
        <v>0</v>
      </c>
      <c r="AP148" s="41">
        <f>IF(ISERROR(HLOOKUP(AP$134,'Improved Sales Adjustments'!$G$7:$ZP$147,68,FALSE)),0,IF(HLOOKUP(AP$134,'Improved Sales Adjustments'!$G$7:$ZP$147,68,FALSE)="",0,IF($V148=HLOOKUP(AP$134,'Improved Sales Adjustments'!$G$7:$ZP$147,68,FALSE),1,0)))</f>
        <v>0</v>
      </c>
      <c r="AQ148" s="41">
        <f>IF(ISERROR(HLOOKUP(AQ$134,'Improved Sales Adjustments'!$G$7:$ZP$147,68,FALSE)),0,IF(HLOOKUP(AQ$134,'Improved Sales Adjustments'!$G$7:$ZP$147,68,FALSE)="",0,IF($V148=HLOOKUP(AQ$134,'Improved Sales Adjustments'!$G$7:$ZP$147,68,FALSE),1,0)))</f>
        <v>0</v>
      </c>
      <c r="AR148" s="41">
        <f>IF(ISERROR(HLOOKUP(AR$134,'Improved Sales Adjustments'!$G$7:$ZP$147,68,FALSE)),0,IF(HLOOKUP(AR$134,'Improved Sales Adjustments'!$G$7:$ZP$147,68,FALSE)="",0,IF($V148=HLOOKUP(AR$134,'Improved Sales Adjustments'!$G$7:$ZP$147,68,FALSE),1,0)))</f>
        <v>0</v>
      </c>
      <c r="AS148" s="41">
        <f>IF(ISERROR(HLOOKUP(AS$134,'Improved Sales Adjustments'!$G$7:$ZP$147,68,FALSE)),0,IF(HLOOKUP(AS$134,'Improved Sales Adjustments'!$G$7:$ZP$147,68,FALSE)="",0,IF($V148=HLOOKUP(AS$134,'Improved Sales Adjustments'!$G$7:$ZP$147,68,FALSE),1,0)))</f>
        <v>0</v>
      </c>
      <c r="AT148" s="41">
        <f>IF(ISERROR(HLOOKUP(AT$134,'Improved Sales Adjustments'!$G$7:$ZP$147,68,FALSE)),0,IF(HLOOKUP(AT$134,'Improved Sales Adjustments'!$G$7:$ZP$147,68,FALSE)="",0,IF($V148=HLOOKUP(AT$134,'Improved Sales Adjustments'!$G$7:$ZP$147,68,FALSE),1,0)))</f>
        <v>0</v>
      </c>
      <c r="AU148" s="41">
        <f>SUM($AJ148:AJ148)</f>
        <v>0</v>
      </c>
      <c r="AV148" s="41">
        <f>SUM($AJ148:AK148)</f>
        <v>0</v>
      </c>
      <c r="AW148" s="41">
        <f>SUM($AJ148:AL148)</f>
        <v>0</v>
      </c>
      <c r="AX148" s="41">
        <f>SUM($AJ148:AM148)</f>
        <v>0</v>
      </c>
      <c r="AY148" s="41">
        <f>SUM($AJ148:AN148)</f>
        <v>0</v>
      </c>
      <c r="AZ148" s="41">
        <f>SUM($AJ148:AO148)</f>
        <v>0</v>
      </c>
      <c r="BA148" s="41">
        <f>SUM($AJ148:AP148)</f>
        <v>0</v>
      </c>
      <c r="BB148" s="41">
        <f>SUM($AJ148:AQ148)</f>
        <v>0</v>
      </c>
      <c r="BC148" s="41">
        <f>SUM($AJ148:AR148)</f>
        <v>0</v>
      </c>
      <c r="BD148" s="41">
        <f>SUM($AJ148:AS148)</f>
        <v>0</v>
      </c>
      <c r="BE148" s="41">
        <f>SUM($AJ148:AT148)</f>
        <v>0</v>
      </c>
      <c r="BF148" s="41" t="str">
        <f t="shared" si="52"/>
        <v/>
      </c>
      <c r="BG148" s="41" t="str">
        <f t="shared" si="53"/>
        <v/>
      </c>
      <c r="BH148" s="41" t="str">
        <f t="shared" si="54"/>
        <v/>
      </c>
      <c r="BI148" s="41" t="str">
        <f t="shared" si="55"/>
        <v/>
      </c>
      <c r="BJ148" s="41" t="str">
        <f t="shared" si="56"/>
        <v/>
      </c>
      <c r="BK148" s="41" t="str">
        <f t="shared" si="57"/>
        <v/>
      </c>
      <c r="BL148" s="41" t="str">
        <f t="shared" si="58"/>
        <v/>
      </c>
      <c r="BM148" s="41" t="str">
        <f t="shared" si="59"/>
        <v/>
      </c>
      <c r="BN148" s="41" t="str">
        <f t="shared" si="60"/>
        <v/>
      </c>
      <c r="BO148" s="41" t="str">
        <f t="shared" si="61"/>
        <v/>
      </c>
      <c r="BP148" s="41" t="str">
        <f t="shared" si="62"/>
        <v/>
      </c>
      <c r="BQ148" s="11"/>
      <c r="BR148" s="11"/>
    </row>
    <row r="149" spans="1:70" ht="15" customHeight="1" x14ac:dyDescent="0.25">
      <c r="A149" s="957">
        <f t="shared" si="50"/>
        <v>0</v>
      </c>
      <c r="S149" s="4"/>
      <c r="T149" s="1204"/>
      <c r="U149" s="4074" t="str">
        <f t="shared" si="51"/>
        <v/>
      </c>
      <c r="V149" s="137">
        <f t="shared" si="63"/>
        <v>14</v>
      </c>
      <c r="W149" s="2129">
        <v>0.03</v>
      </c>
      <c r="X149" s="2130">
        <v>0.05</v>
      </c>
      <c r="Y149" s="2130">
        <v>7.0000000000000007E-2</v>
      </c>
      <c r="Z149" s="2130">
        <v>0.1</v>
      </c>
      <c r="AA149" s="2130">
        <v>0.13</v>
      </c>
      <c r="AB149" s="2130">
        <v>0.18</v>
      </c>
      <c r="AC149" s="2130">
        <v>0.24</v>
      </c>
      <c r="AD149" s="2130">
        <v>0.32</v>
      </c>
      <c r="AE149" s="2130">
        <v>0.44</v>
      </c>
      <c r="AF149" s="2130">
        <v>0.6</v>
      </c>
      <c r="AG149" s="101"/>
      <c r="AH149" s="6"/>
      <c r="AI149" s="11"/>
      <c r="AJ149" s="41">
        <f t="shared" si="48"/>
        <v>0</v>
      </c>
      <c r="AK149" s="41">
        <f>IF(ISERROR(HLOOKUP(AK$134,'Improved Sales Adjustments'!$G$7:$ZP$147,68,FALSE)),0,IF(HLOOKUP(AK$134,'Improved Sales Adjustments'!$G$7:$ZP$147,68,FALSE)="",0,IF($V149=HLOOKUP(AK$134,'Improved Sales Adjustments'!$G$7:$ZP$147,68,FALSE),1,0)))</f>
        <v>0</v>
      </c>
      <c r="AL149" s="41">
        <f>IF(ISERROR(HLOOKUP(AL$134,'Improved Sales Adjustments'!$G$7:$ZP$147,68,FALSE)),0,IF(HLOOKUP(AL$134,'Improved Sales Adjustments'!$G$7:$ZP$147,68,FALSE)="",0,IF($V149=HLOOKUP(AL$134,'Improved Sales Adjustments'!$G$7:$ZP$147,68,FALSE),1,0)))</f>
        <v>0</v>
      </c>
      <c r="AM149" s="41">
        <f>IF(ISERROR(HLOOKUP(AM$134,'Improved Sales Adjustments'!$G$7:$ZP$147,68,FALSE)),0,IF(HLOOKUP(AM$134,'Improved Sales Adjustments'!$G$7:$ZP$147,68,FALSE)="",0,IF($V149=HLOOKUP(AM$134,'Improved Sales Adjustments'!$G$7:$ZP$147,68,FALSE),1,0)))</f>
        <v>0</v>
      </c>
      <c r="AN149" s="41">
        <f>IF(ISERROR(HLOOKUP(AN$134,'Improved Sales Adjustments'!$G$7:$ZP$147,68,FALSE)),0,IF(HLOOKUP(AN$134,'Improved Sales Adjustments'!$G$7:$ZP$147,68,FALSE)="",0,IF($V149=HLOOKUP(AN$134,'Improved Sales Adjustments'!$G$7:$ZP$147,68,FALSE),1,0)))</f>
        <v>0</v>
      </c>
      <c r="AO149" s="41">
        <f>IF(ISERROR(HLOOKUP(AO$134,'Improved Sales Adjustments'!$G$7:$ZP$147,68,FALSE)),0,IF(HLOOKUP(AO$134,'Improved Sales Adjustments'!$G$7:$ZP$147,68,FALSE)="",0,IF($V149=HLOOKUP(AO$134,'Improved Sales Adjustments'!$G$7:$ZP$147,68,FALSE),1,0)))</f>
        <v>0</v>
      </c>
      <c r="AP149" s="41">
        <f>IF(ISERROR(HLOOKUP(AP$134,'Improved Sales Adjustments'!$G$7:$ZP$147,68,FALSE)),0,IF(HLOOKUP(AP$134,'Improved Sales Adjustments'!$G$7:$ZP$147,68,FALSE)="",0,IF($V149=HLOOKUP(AP$134,'Improved Sales Adjustments'!$G$7:$ZP$147,68,FALSE),1,0)))</f>
        <v>0</v>
      </c>
      <c r="AQ149" s="41">
        <f>IF(ISERROR(HLOOKUP(AQ$134,'Improved Sales Adjustments'!$G$7:$ZP$147,68,FALSE)),0,IF(HLOOKUP(AQ$134,'Improved Sales Adjustments'!$G$7:$ZP$147,68,FALSE)="",0,IF($V149=HLOOKUP(AQ$134,'Improved Sales Adjustments'!$G$7:$ZP$147,68,FALSE),1,0)))</f>
        <v>0</v>
      </c>
      <c r="AR149" s="41">
        <f>IF(ISERROR(HLOOKUP(AR$134,'Improved Sales Adjustments'!$G$7:$ZP$147,68,FALSE)),0,IF(HLOOKUP(AR$134,'Improved Sales Adjustments'!$G$7:$ZP$147,68,FALSE)="",0,IF($V149=HLOOKUP(AR$134,'Improved Sales Adjustments'!$G$7:$ZP$147,68,FALSE),1,0)))</f>
        <v>0</v>
      </c>
      <c r="AS149" s="41">
        <f>IF(ISERROR(HLOOKUP(AS$134,'Improved Sales Adjustments'!$G$7:$ZP$147,68,FALSE)),0,IF(HLOOKUP(AS$134,'Improved Sales Adjustments'!$G$7:$ZP$147,68,FALSE)="",0,IF($V149=HLOOKUP(AS$134,'Improved Sales Adjustments'!$G$7:$ZP$147,68,FALSE),1,0)))</f>
        <v>0</v>
      </c>
      <c r="AT149" s="41">
        <f>IF(ISERROR(HLOOKUP(AT$134,'Improved Sales Adjustments'!$G$7:$ZP$147,68,FALSE)),0,IF(HLOOKUP(AT$134,'Improved Sales Adjustments'!$G$7:$ZP$147,68,FALSE)="",0,IF($V149=HLOOKUP(AT$134,'Improved Sales Adjustments'!$G$7:$ZP$147,68,FALSE),1,0)))</f>
        <v>0</v>
      </c>
      <c r="AU149" s="41">
        <f>SUM($AJ149:AJ149)</f>
        <v>0</v>
      </c>
      <c r="AV149" s="41">
        <f>SUM($AJ149:AK149)</f>
        <v>0</v>
      </c>
      <c r="AW149" s="41">
        <f>SUM($AJ149:AL149)</f>
        <v>0</v>
      </c>
      <c r="AX149" s="41">
        <f>SUM($AJ149:AM149)</f>
        <v>0</v>
      </c>
      <c r="AY149" s="41">
        <f>SUM($AJ149:AN149)</f>
        <v>0</v>
      </c>
      <c r="AZ149" s="41">
        <f>SUM($AJ149:AO149)</f>
        <v>0</v>
      </c>
      <c r="BA149" s="41">
        <f>SUM($AJ149:AP149)</f>
        <v>0</v>
      </c>
      <c r="BB149" s="41">
        <f>SUM($AJ149:AQ149)</f>
        <v>0</v>
      </c>
      <c r="BC149" s="41">
        <f>SUM($AJ149:AR149)</f>
        <v>0</v>
      </c>
      <c r="BD149" s="41">
        <f>SUM($AJ149:AS149)</f>
        <v>0</v>
      </c>
      <c r="BE149" s="41">
        <f>SUM($AJ149:AT149)</f>
        <v>0</v>
      </c>
      <c r="BF149" s="41" t="str">
        <f t="shared" si="52"/>
        <v/>
      </c>
      <c r="BG149" s="41" t="str">
        <f t="shared" si="53"/>
        <v/>
      </c>
      <c r="BH149" s="41" t="str">
        <f t="shared" si="54"/>
        <v/>
      </c>
      <c r="BI149" s="41" t="str">
        <f t="shared" si="55"/>
        <v/>
      </c>
      <c r="BJ149" s="41" t="str">
        <f t="shared" si="56"/>
        <v/>
      </c>
      <c r="BK149" s="41" t="str">
        <f t="shared" si="57"/>
        <v/>
      </c>
      <c r="BL149" s="41" t="str">
        <f t="shared" si="58"/>
        <v/>
      </c>
      <c r="BM149" s="41" t="str">
        <f t="shared" si="59"/>
        <v/>
      </c>
      <c r="BN149" s="41" t="str">
        <f t="shared" si="60"/>
        <v/>
      </c>
      <c r="BO149" s="41" t="str">
        <f t="shared" si="61"/>
        <v/>
      </c>
      <c r="BP149" s="41" t="str">
        <f t="shared" si="62"/>
        <v/>
      </c>
      <c r="BQ149" s="11"/>
      <c r="BR149" s="11"/>
    </row>
    <row r="150" spans="1:70" ht="15" customHeight="1" x14ac:dyDescent="0.25">
      <c r="A150" s="957">
        <f t="shared" si="50"/>
        <v>0</v>
      </c>
      <c r="S150" s="4"/>
      <c r="T150" s="1204"/>
      <c r="U150" s="4074" t="str">
        <f t="shared" si="51"/>
        <v/>
      </c>
      <c r="V150" s="137">
        <f t="shared" si="63"/>
        <v>15</v>
      </c>
      <c r="W150" s="2129">
        <v>0.03</v>
      </c>
      <c r="X150" s="2130">
        <v>0.06</v>
      </c>
      <c r="Y150" s="2130">
        <v>0.08</v>
      </c>
      <c r="Z150" s="2130">
        <v>0.11</v>
      </c>
      <c r="AA150" s="2130">
        <v>0.14000000000000001</v>
      </c>
      <c r="AB150" s="2130">
        <v>0.2</v>
      </c>
      <c r="AC150" s="2130">
        <v>0.26</v>
      </c>
      <c r="AD150" s="2130">
        <v>0.35</v>
      </c>
      <c r="AE150" s="2130">
        <v>0.48</v>
      </c>
      <c r="AF150" s="2130">
        <v>0.65</v>
      </c>
      <c r="AG150" s="101"/>
      <c r="AH150" s="6"/>
      <c r="AI150" s="11"/>
      <c r="AJ150" s="41">
        <f t="shared" si="48"/>
        <v>0</v>
      </c>
      <c r="AK150" s="41">
        <f>IF(ISERROR(HLOOKUP(AK$134,'Improved Sales Adjustments'!$G$7:$ZP$147,68,FALSE)),0,IF(HLOOKUP(AK$134,'Improved Sales Adjustments'!$G$7:$ZP$147,68,FALSE)="",0,IF($V150=HLOOKUP(AK$134,'Improved Sales Adjustments'!$G$7:$ZP$147,68,FALSE),1,0)))</f>
        <v>0</v>
      </c>
      <c r="AL150" s="41">
        <f>IF(ISERROR(HLOOKUP(AL$134,'Improved Sales Adjustments'!$G$7:$ZP$147,68,FALSE)),0,IF(HLOOKUP(AL$134,'Improved Sales Adjustments'!$G$7:$ZP$147,68,FALSE)="",0,IF($V150=HLOOKUP(AL$134,'Improved Sales Adjustments'!$G$7:$ZP$147,68,FALSE),1,0)))</f>
        <v>0</v>
      </c>
      <c r="AM150" s="41">
        <f>IF(ISERROR(HLOOKUP(AM$134,'Improved Sales Adjustments'!$G$7:$ZP$147,68,FALSE)),0,IF(HLOOKUP(AM$134,'Improved Sales Adjustments'!$G$7:$ZP$147,68,FALSE)="",0,IF($V150=HLOOKUP(AM$134,'Improved Sales Adjustments'!$G$7:$ZP$147,68,FALSE),1,0)))</f>
        <v>0</v>
      </c>
      <c r="AN150" s="41">
        <f>IF(ISERROR(HLOOKUP(AN$134,'Improved Sales Adjustments'!$G$7:$ZP$147,68,FALSE)),0,IF(HLOOKUP(AN$134,'Improved Sales Adjustments'!$G$7:$ZP$147,68,FALSE)="",0,IF($V150=HLOOKUP(AN$134,'Improved Sales Adjustments'!$G$7:$ZP$147,68,FALSE),1,0)))</f>
        <v>0</v>
      </c>
      <c r="AO150" s="41">
        <f>IF(ISERROR(HLOOKUP(AO$134,'Improved Sales Adjustments'!$G$7:$ZP$147,68,FALSE)),0,IF(HLOOKUP(AO$134,'Improved Sales Adjustments'!$G$7:$ZP$147,68,FALSE)="",0,IF($V150=HLOOKUP(AO$134,'Improved Sales Adjustments'!$G$7:$ZP$147,68,FALSE),1,0)))</f>
        <v>0</v>
      </c>
      <c r="AP150" s="41">
        <f>IF(ISERROR(HLOOKUP(AP$134,'Improved Sales Adjustments'!$G$7:$ZP$147,68,FALSE)),0,IF(HLOOKUP(AP$134,'Improved Sales Adjustments'!$G$7:$ZP$147,68,FALSE)="",0,IF($V150=HLOOKUP(AP$134,'Improved Sales Adjustments'!$G$7:$ZP$147,68,FALSE),1,0)))</f>
        <v>0</v>
      </c>
      <c r="AQ150" s="41">
        <f>IF(ISERROR(HLOOKUP(AQ$134,'Improved Sales Adjustments'!$G$7:$ZP$147,68,FALSE)),0,IF(HLOOKUP(AQ$134,'Improved Sales Adjustments'!$G$7:$ZP$147,68,FALSE)="",0,IF($V150=HLOOKUP(AQ$134,'Improved Sales Adjustments'!$G$7:$ZP$147,68,FALSE),1,0)))</f>
        <v>0</v>
      </c>
      <c r="AR150" s="41">
        <f>IF(ISERROR(HLOOKUP(AR$134,'Improved Sales Adjustments'!$G$7:$ZP$147,68,FALSE)),0,IF(HLOOKUP(AR$134,'Improved Sales Adjustments'!$G$7:$ZP$147,68,FALSE)="",0,IF($V150=HLOOKUP(AR$134,'Improved Sales Adjustments'!$G$7:$ZP$147,68,FALSE),1,0)))</f>
        <v>0</v>
      </c>
      <c r="AS150" s="41">
        <f>IF(ISERROR(HLOOKUP(AS$134,'Improved Sales Adjustments'!$G$7:$ZP$147,68,FALSE)),0,IF(HLOOKUP(AS$134,'Improved Sales Adjustments'!$G$7:$ZP$147,68,FALSE)="",0,IF($V150=HLOOKUP(AS$134,'Improved Sales Adjustments'!$G$7:$ZP$147,68,FALSE),1,0)))</f>
        <v>0</v>
      </c>
      <c r="AT150" s="41">
        <f>IF(ISERROR(HLOOKUP(AT$134,'Improved Sales Adjustments'!$G$7:$ZP$147,68,FALSE)),0,IF(HLOOKUP(AT$134,'Improved Sales Adjustments'!$G$7:$ZP$147,68,FALSE)="",0,IF($V150=HLOOKUP(AT$134,'Improved Sales Adjustments'!$G$7:$ZP$147,68,FALSE),1,0)))</f>
        <v>0</v>
      </c>
      <c r="AU150" s="41">
        <f>SUM($AJ150:AJ150)</f>
        <v>0</v>
      </c>
      <c r="AV150" s="41">
        <f>SUM($AJ150:AK150)</f>
        <v>0</v>
      </c>
      <c r="AW150" s="41">
        <f>SUM($AJ150:AL150)</f>
        <v>0</v>
      </c>
      <c r="AX150" s="41">
        <f>SUM($AJ150:AM150)</f>
        <v>0</v>
      </c>
      <c r="AY150" s="41">
        <f>SUM($AJ150:AN150)</f>
        <v>0</v>
      </c>
      <c r="AZ150" s="41">
        <f>SUM($AJ150:AO150)</f>
        <v>0</v>
      </c>
      <c r="BA150" s="41">
        <f>SUM($AJ150:AP150)</f>
        <v>0</v>
      </c>
      <c r="BB150" s="41">
        <f>SUM($AJ150:AQ150)</f>
        <v>0</v>
      </c>
      <c r="BC150" s="41">
        <f>SUM($AJ150:AR150)</f>
        <v>0</v>
      </c>
      <c r="BD150" s="41">
        <f>SUM($AJ150:AS150)</f>
        <v>0</v>
      </c>
      <c r="BE150" s="41">
        <f>SUM($AJ150:AT150)</f>
        <v>0</v>
      </c>
      <c r="BF150" s="41" t="str">
        <f t="shared" si="52"/>
        <v/>
      </c>
      <c r="BG150" s="41" t="str">
        <f t="shared" si="53"/>
        <v/>
      </c>
      <c r="BH150" s="41" t="str">
        <f t="shared" si="54"/>
        <v/>
      </c>
      <c r="BI150" s="41" t="str">
        <f t="shared" si="55"/>
        <v/>
      </c>
      <c r="BJ150" s="41" t="str">
        <f t="shared" si="56"/>
        <v/>
      </c>
      <c r="BK150" s="41" t="str">
        <f t="shared" si="57"/>
        <v/>
      </c>
      <c r="BL150" s="41" t="str">
        <f t="shared" si="58"/>
        <v/>
      </c>
      <c r="BM150" s="41" t="str">
        <f t="shared" si="59"/>
        <v/>
      </c>
      <c r="BN150" s="41" t="str">
        <f t="shared" si="60"/>
        <v/>
      </c>
      <c r="BO150" s="41" t="str">
        <f t="shared" si="61"/>
        <v/>
      </c>
      <c r="BP150" s="41" t="str">
        <f t="shared" si="62"/>
        <v/>
      </c>
      <c r="BQ150" s="11"/>
      <c r="BR150" s="11"/>
    </row>
    <row r="151" spans="1:70" ht="15" customHeight="1" x14ac:dyDescent="0.25">
      <c r="A151" s="957">
        <f t="shared" si="50"/>
        <v>0</v>
      </c>
      <c r="S151" s="4"/>
      <c r="T151" s="1204"/>
      <c r="U151" s="4074" t="str">
        <f t="shared" si="51"/>
        <v/>
      </c>
      <c r="V151" s="137">
        <f t="shared" si="63"/>
        <v>16</v>
      </c>
      <c r="W151" s="2129">
        <v>0.03</v>
      </c>
      <c r="X151" s="2130">
        <v>7.0000000000000007E-2</v>
      </c>
      <c r="Y151" s="2130">
        <v>0.09</v>
      </c>
      <c r="Z151" s="2130">
        <v>0.12</v>
      </c>
      <c r="AA151" s="2130">
        <v>0.16</v>
      </c>
      <c r="AB151" s="2130">
        <v>0.22</v>
      </c>
      <c r="AC151" s="2130">
        <v>0.28000000000000003</v>
      </c>
      <c r="AD151" s="2130">
        <v>0.39</v>
      </c>
      <c r="AE151" s="2130">
        <v>0.52</v>
      </c>
      <c r="AF151" s="2130">
        <v>0.69</v>
      </c>
      <c r="AG151" s="101"/>
      <c r="AH151" s="6"/>
      <c r="AI151" s="11"/>
      <c r="AJ151" s="41">
        <f t="shared" si="48"/>
        <v>0</v>
      </c>
      <c r="AK151" s="41">
        <f>IF(ISERROR(HLOOKUP(AK$134,'Improved Sales Adjustments'!$G$7:$ZP$147,68,FALSE)),0,IF(HLOOKUP(AK$134,'Improved Sales Adjustments'!$G$7:$ZP$147,68,FALSE)="",0,IF($V151=HLOOKUP(AK$134,'Improved Sales Adjustments'!$G$7:$ZP$147,68,FALSE),1,0)))</f>
        <v>0</v>
      </c>
      <c r="AL151" s="41">
        <f>IF(ISERROR(HLOOKUP(AL$134,'Improved Sales Adjustments'!$G$7:$ZP$147,68,FALSE)),0,IF(HLOOKUP(AL$134,'Improved Sales Adjustments'!$G$7:$ZP$147,68,FALSE)="",0,IF($V151=HLOOKUP(AL$134,'Improved Sales Adjustments'!$G$7:$ZP$147,68,FALSE),1,0)))</f>
        <v>0</v>
      </c>
      <c r="AM151" s="41">
        <f>IF(ISERROR(HLOOKUP(AM$134,'Improved Sales Adjustments'!$G$7:$ZP$147,68,FALSE)),0,IF(HLOOKUP(AM$134,'Improved Sales Adjustments'!$G$7:$ZP$147,68,FALSE)="",0,IF($V151=HLOOKUP(AM$134,'Improved Sales Adjustments'!$G$7:$ZP$147,68,FALSE),1,0)))</f>
        <v>0</v>
      </c>
      <c r="AN151" s="41">
        <f>IF(ISERROR(HLOOKUP(AN$134,'Improved Sales Adjustments'!$G$7:$ZP$147,68,FALSE)),0,IF(HLOOKUP(AN$134,'Improved Sales Adjustments'!$G$7:$ZP$147,68,FALSE)="",0,IF($V151=HLOOKUP(AN$134,'Improved Sales Adjustments'!$G$7:$ZP$147,68,FALSE),1,0)))</f>
        <v>0</v>
      </c>
      <c r="AO151" s="41">
        <f>IF(ISERROR(HLOOKUP(AO$134,'Improved Sales Adjustments'!$G$7:$ZP$147,68,FALSE)),0,IF(HLOOKUP(AO$134,'Improved Sales Adjustments'!$G$7:$ZP$147,68,FALSE)="",0,IF($V151=HLOOKUP(AO$134,'Improved Sales Adjustments'!$G$7:$ZP$147,68,FALSE),1,0)))</f>
        <v>0</v>
      </c>
      <c r="AP151" s="41">
        <f>IF(ISERROR(HLOOKUP(AP$134,'Improved Sales Adjustments'!$G$7:$ZP$147,68,FALSE)),0,IF(HLOOKUP(AP$134,'Improved Sales Adjustments'!$G$7:$ZP$147,68,FALSE)="",0,IF($V151=HLOOKUP(AP$134,'Improved Sales Adjustments'!$G$7:$ZP$147,68,FALSE),1,0)))</f>
        <v>0</v>
      </c>
      <c r="AQ151" s="41">
        <f>IF(ISERROR(HLOOKUP(AQ$134,'Improved Sales Adjustments'!$G$7:$ZP$147,68,FALSE)),0,IF(HLOOKUP(AQ$134,'Improved Sales Adjustments'!$G$7:$ZP$147,68,FALSE)="",0,IF($V151=HLOOKUP(AQ$134,'Improved Sales Adjustments'!$G$7:$ZP$147,68,FALSE),1,0)))</f>
        <v>0</v>
      </c>
      <c r="AR151" s="41">
        <f>IF(ISERROR(HLOOKUP(AR$134,'Improved Sales Adjustments'!$G$7:$ZP$147,68,FALSE)),0,IF(HLOOKUP(AR$134,'Improved Sales Adjustments'!$G$7:$ZP$147,68,FALSE)="",0,IF($V151=HLOOKUP(AR$134,'Improved Sales Adjustments'!$G$7:$ZP$147,68,FALSE),1,0)))</f>
        <v>0</v>
      </c>
      <c r="AS151" s="41">
        <f>IF(ISERROR(HLOOKUP(AS$134,'Improved Sales Adjustments'!$G$7:$ZP$147,68,FALSE)),0,IF(HLOOKUP(AS$134,'Improved Sales Adjustments'!$G$7:$ZP$147,68,FALSE)="",0,IF($V151=HLOOKUP(AS$134,'Improved Sales Adjustments'!$G$7:$ZP$147,68,FALSE),1,0)))</f>
        <v>0</v>
      </c>
      <c r="AT151" s="41">
        <f>IF(ISERROR(HLOOKUP(AT$134,'Improved Sales Adjustments'!$G$7:$ZP$147,68,FALSE)),0,IF(HLOOKUP(AT$134,'Improved Sales Adjustments'!$G$7:$ZP$147,68,FALSE)="",0,IF($V151=HLOOKUP(AT$134,'Improved Sales Adjustments'!$G$7:$ZP$147,68,FALSE),1,0)))</f>
        <v>0</v>
      </c>
      <c r="AU151" s="41">
        <f>SUM($AJ151:AJ151)</f>
        <v>0</v>
      </c>
      <c r="AV151" s="41">
        <f>SUM($AJ151:AK151)</f>
        <v>0</v>
      </c>
      <c r="AW151" s="41">
        <f>SUM($AJ151:AL151)</f>
        <v>0</v>
      </c>
      <c r="AX151" s="41">
        <f>SUM($AJ151:AM151)</f>
        <v>0</v>
      </c>
      <c r="AY151" s="41">
        <f>SUM($AJ151:AN151)</f>
        <v>0</v>
      </c>
      <c r="AZ151" s="41">
        <f>SUM($AJ151:AO151)</f>
        <v>0</v>
      </c>
      <c r="BA151" s="41">
        <f>SUM($AJ151:AP151)</f>
        <v>0</v>
      </c>
      <c r="BB151" s="41">
        <f>SUM($AJ151:AQ151)</f>
        <v>0</v>
      </c>
      <c r="BC151" s="41">
        <f>SUM($AJ151:AR151)</f>
        <v>0</v>
      </c>
      <c r="BD151" s="41">
        <f>SUM($AJ151:AS151)</f>
        <v>0</v>
      </c>
      <c r="BE151" s="41">
        <f>SUM($AJ151:AT151)</f>
        <v>0</v>
      </c>
      <c r="BF151" s="41" t="str">
        <f t="shared" si="52"/>
        <v/>
      </c>
      <c r="BG151" s="41" t="str">
        <f t="shared" si="53"/>
        <v/>
      </c>
      <c r="BH151" s="41" t="str">
        <f t="shared" si="54"/>
        <v/>
      </c>
      <c r="BI151" s="41" t="str">
        <f t="shared" si="55"/>
        <v/>
      </c>
      <c r="BJ151" s="41" t="str">
        <f t="shared" si="56"/>
        <v/>
      </c>
      <c r="BK151" s="41" t="str">
        <f t="shared" si="57"/>
        <v/>
      </c>
      <c r="BL151" s="41" t="str">
        <f t="shared" si="58"/>
        <v/>
      </c>
      <c r="BM151" s="41" t="str">
        <f t="shared" si="59"/>
        <v/>
      </c>
      <c r="BN151" s="41" t="str">
        <f t="shared" si="60"/>
        <v/>
      </c>
      <c r="BO151" s="41" t="str">
        <f t="shared" si="61"/>
        <v/>
      </c>
      <c r="BP151" s="41" t="str">
        <f t="shared" si="62"/>
        <v/>
      </c>
      <c r="BQ151" s="11"/>
      <c r="BR151" s="11"/>
    </row>
    <row r="152" spans="1:70" ht="15" customHeight="1" x14ac:dyDescent="0.25">
      <c r="A152" s="957">
        <f t="shared" si="50"/>
        <v>0</v>
      </c>
      <c r="S152" s="4"/>
      <c r="T152" s="1204"/>
      <c r="U152" s="4074" t="str">
        <f t="shared" si="51"/>
        <v/>
      </c>
      <c r="V152" s="137">
        <f t="shared" si="63"/>
        <v>17</v>
      </c>
      <c r="W152" s="2129">
        <v>0.04</v>
      </c>
      <c r="X152" s="2130">
        <v>7.0000000000000007E-2</v>
      </c>
      <c r="Y152" s="2130">
        <v>0.1</v>
      </c>
      <c r="Z152" s="2130">
        <v>0.13</v>
      </c>
      <c r="AA152" s="2130">
        <v>0.18</v>
      </c>
      <c r="AB152" s="2130">
        <v>0.24</v>
      </c>
      <c r="AC152" s="2130">
        <v>0.31</v>
      </c>
      <c r="AD152" s="2130">
        <v>0.42</v>
      </c>
      <c r="AE152" s="2130">
        <v>0.56000000000000005</v>
      </c>
      <c r="AF152" s="2130">
        <v>0.73</v>
      </c>
      <c r="AG152" s="101"/>
      <c r="AH152" s="6"/>
      <c r="AI152" s="11"/>
      <c r="AJ152" s="41">
        <f t="shared" si="48"/>
        <v>0</v>
      </c>
      <c r="AK152" s="41">
        <f>IF(ISERROR(HLOOKUP(AK$134,'Improved Sales Adjustments'!$G$7:$ZP$147,68,FALSE)),0,IF(HLOOKUP(AK$134,'Improved Sales Adjustments'!$G$7:$ZP$147,68,FALSE)="",0,IF($V152=HLOOKUP(AK$134,'Improved Sales Adjustments'!$G$7:$ZP$147,68,FALSE),1,0)))</f>
        <v>0</v>
      </c>
      <c r="AL152" s="41">
        <f>IF(ISERROR(HLOOKUP(AL$134,'Improved Sales Adjustments'!$G$7:$ZP$147,68,FALSE)),0,IF(HLOOKUP(AL$134,'Improved Sales Adjustments'!$G$7:$ZP$147,68,FALSE)="",0,IF($V152=HLOOKUP(AL$134,'Improved Sales Adjustments'!$G$7:$ZP$147,68,FALSE),1,0)))</f>
        <v>0</v>
      </c>
      <c r="AM152" s="41">
        <f>IF(ISERROR(HLOOKUP(AM$134,'Improved Sales Adjustments'!$G$7:$ZP$147,68,FALSE)),0,IF(HLOOKUP(AM$134,'Improved Sales Adjustments'!$G$7:$ZP$147,68,FALSE)="",0,IF($V152=HLOOKUP(AM$134,'Improved Sales Adjustments'!$G$7:$ZP$147,68,FALSE),1,0)))</f>
        <v>0</v>
      </c>
      <c r="AN152" s="41">
        <f>IF(ISERROR(HLOOKUP(AN$134,'Improved Sales Adjustments'!$G$7:$ZP$147,68,FALSE)),0,IF(HLOOKUP(AN$134,'Improved Sales Adjustments'!$G$7:$ZP$147,68,FALSE)="",0,IF($V152=HLOOKUP(AN$134,'Improved Sales Adjustments'!$G$7:$ZP$147,68,FALSE),1,0)))</f>
        <v>0</v>
      </c>
      <c r="AO152" s="41">
        <f>IF(ISERROR(HLOOKUP(AO$134,'Improved Sales Adjustments'!$G$7:$ZP$147,68,FALSE)),0,IF(HLOOKUP(AO$134,'Improved Sales Adjustments'!$G$7:$ZP$147,68,FALSE)="",0,IF($V152=HLOOKUP(AO$134,'Improved Sales Adjustments'!$G$7:$ZP$147,68,FALSE),1,0)))</f>
        <v>0</v>
      </c>
      <c r="AP152" s="41">
        <f>IF(ISERROR(HLOOKUP(AP$134,'Improved Sales Adjustments'!$G$7:$ZP$147,68,FALSE)),0,IF(HLOOKUP(AP$134,'Improved Sales Adjustments'!$G$7:$ZP$147,68,FALSE)="",0,IF($V152=HLOOKUP(AP$134,'Improved Sales Adjustments'!$G$7:$ZP$147,68,FALSE),1,0)))</f>
        <v>0</v>
      </c>
      <c r="AQ152" s="41">
        <f>IF(ISERROR(HLOOKUP(AQ$134,'Improved Sales Adjustments'!$G$7:$ZP$147,68,FALSE)),0,IF(HLOOKUP(AQ$134,'Improved Sales Adjustments'!$G$7:$ZP$147,68,FALSE)="",0,IF($V152=HLOOKUP(AQ$134,'Improved Sales Adjustments'!$G$7:$ZP$147,68,FALSE),1,0)))</f>
        <v>0</v>
      </c>
      <c r="AR152" s="41">
        <f>IF(ISERROR(HLOOKUP(AR$134,'Improved Sales Adjustments'!$G$7:$ZP$147,68,FALSE)),0,IF(HLOOKUP(AR$134,'Improved Sales Adjustments'!$G$7:$ZP$147,68,FALSE)="",0,IF($V152=HLOOKUP(AR$134,'Improved Sales Adjustments'!$G$7:$ZP$147,68,FALSE),1,0)))</f>
        <v>0</v>
      </c>
      <c r="AS152" s="41">
        <f>IF(ISERROR(HLOOKUP(AS$134,'Improved Sales Adjustments'!$G$7:$ZP$147,68,FALSE)),0,IF(HLOOKUP(AS$134,'Improved Sales Adjustments'!$G$7:$ZP$147,68,FALSE)="",0,IF($V152=HLOOKUP(AS$134,'Improved Sales Adjustments'!$G$7:$ZP$147,68,FALSE),1,0)))</f>
        <v>0</v>
      </c>
      <c r="AT152" s="41">
        <f>IF(ISERROR(HLOOKUP(AT$134,'Improved Sales Adjustments'!$G$7:$ZP$147,68,FALSE)),0,IF(HLOOKUP(AT$134,'Improved Sales Adjustments'!$G$7:$ZP$147,68,FALSE)="",0,IF($V152=HLOOKUP(AT$134,'Improved Sales Adjustments'!$G$7:$ZP$147,68,FALSE),1,0)))</f>
        <v>0</v>
      </c>
      <c r="AU152" s="41">
        <f>SUM($AJ152:AJ152)</f>
        <v>0</v>
      </c>
      <c r="AV152" s="41">
        <f>SUM($AJ152:AK152)</f>
        <v>0</v>
      </c>
      <c r="AW152" s="41">
        <f>SUM($AJ152:AL152)</f>
        <v>0</v>
      </c>
      <c r="AX152" s="41">
        <f>SUM($AJ152:AM152)</f>
        <v>0</v>
      </c>
      <c r="AY152" s="41">
        <f>SUM($AJ152:AN152)</f>
        <v>0</v>
      </c>
      <c r="AZ152" s="41">
        <f>SUM($AJ152:AO152)</f>
        <v>0</v>
      </c>
      <c r="BA152" s="41">
        <f>SUM($AJ152:AP152)</f>
        <v>0</v>
      </c>
      <c r="BB152" s="41">
        <f>SUM($AJ152:AQ152)</f>
        <v>0</v>
      </c>
      <c r="BC152" s="41">
        <f>SUM($AJ152:AR152)</f>
        <v>0</v>
      </c>
      <c r="BD152" s="41">
        <f>SUM($AJ152:AS152)</f>
        <v>0</v>
      </c>
      <c r="BE152" s="41">
        <f>SUM($AJ152:AT152)</f>
        <v>0</v>
      </c>
      <c r="BF152" s="41" t="str">
        <f t="shared" si="52"/>
        <v/>
      </c>
      <c r="BG152" s="41" t="str">
        <f t="shared" si="53"/>
        <v/>
      </c>
      <c r="BH152" s="41" t="str">
        <f t="shared" si="54"/>
        <v/>
      </c>
      <c r="BI152" s="41" t="str">
        <f t="shared" si="55"/>
        <v/>
      </c>
      <c r="BJ152" s="41" t="str">
        <f t="shared" si="56"/>
        <v/>
      </c>
      <c r="BK152" s="41" t="str">
        <f t="shared" si="57"/>
        <v/>
      </c>
      <c r="BL152" s="41" t="str">
        <f t="shared" si="58"/>
        <v/>
      </c>
      <c r="BM152" s="41" t="str">
        <f t="shared" si="59"/>
        <v/>
      </c>
      <c r="BN152" s="41" t="str">
        <f t="shared" si="60"/>
        <v/>
      </c>
      <c r="BO152" s="41" t="str">
        <f t="shared" si="61"/>
        <v/>
      </c>
      <c r="BP152" s="41" t="str">
        <f t="shared" si="62"/>
        <v/>
      </c>
      <c r="BQ152" s="11"/>
      <c r="BR152" s="11"/>
    </row>
    <row r="153" spans="1:70" ht="15" customHeight="1" x14ac:dyDescent="0.25">
      <c r="A153" s="957">
        <f t="shared" si="50"/>
        <v>0</v>
      </c>
      <c r="S153" s="4"/>
      <c r="T153" s="1204"/>
      <c r="U153" s="4074" t="str">
        <f t="shared" si="51"/>
        <v/>
      </c>
      <c r="V153" s="137">
        <f t="shared" si="63"/>
        <v>18</v>
      </c>
      <c r="W153" s="2129">
        <v>0.04</v>
      </c>
      <c r="X153" s="2130">
        <v>0.08</v>
      </c>
      <c r="Y153" s="2130">
        <v>0.11</v>
      </c>
      <c r="Z153" s="2130">
        <v>0.14000000000000001</v>
      </c>
      <c r="AA153" s="2130">
        <v>0.19</v>
      </c>
      <c r="AB153" s="2130">
        <v>0.26</v>
      </c>
      <c r="AC153" s="2130">
        <v>0.34</v>
      </c>
      <c r="AD153" s="2130">
        <v>0.46</v>
      </c>
      <c r="AE153" s="2130">
        <v>0.6</v>
      </c>
      <c r="AF153" s="2130">
        <v>0.76</v>
      </c>
      <c r="AG153" s="101"/>
      <c r="AH153" s="6"/>
      <c r="AI153" s="11"/>
      <c r="AJ153" s="41">
        <f t="shared" si="48"/>
        <v>0</v>
      </c>
      <c r="AK153" s="41">
        <f>IF(ISERROR(HLOOKUP(AK$134,'Improved Sales Adjustments'!$G$7:$ZP$147,68,FALSE)),0,IF(HLOOKUP(AK$134,'Improved Sales Adjustments'!$G$7:$ZP$147,68,FALSE)="",0,IF($V153=HLOOKUP(AK$134,'Improved Sales Adjustments'!$G$7:$ZP$147,68,FALSE),1,0)))</f>
        <v>0</v>
      </c>
      <c r="AL153" s="41">
        <f>IF(ISERROR(HLOOKUP(AL$134,'Improved Sales Adjustments'!$G$7:$ZP$147,68,FALSE)),0,IF(HLOOKUP(AL$134,'Improved Sales Adjustments'!$G$7:$ZP$147,68,FALSE)="",0,IF($V153=HLOOKUP(AL$134,'Improved Sales Adjustments'!$G$7:$ZP$147,68,FALSE),1,0)))</f>
        <v>0</v>
      </c>
      <c r="AM153" s="41">
        <f>IF(ISERROR(HLOOKUP(AM$134,'Improved Sales Adjustments'!$G$7:$ZP$147,68,FALSE)),0,IF(HLOOKUP(AM$134,'Improved Sales Adjustments'!$G$7:$ZP$147,68,FALSE)="",0,IF($V153=HLOOKUP(AM$134,'Improved Sales Adjustments'!$G$7:$ZP$147,68,FALSE),1,0)))</f>
        <v>0</v>
      </c>
      <c r="AN153" s="41">
        <f>IF(ISERROR(HLOOKUP(AN$134,'Improved Sales Adjustments'!$G$7:$ZP$147,68,FALSE)),0,IF(HLOOKUP(AN$134,'Improved Sales Adjustments'!$G$7:$ZP$147,68,FALSE)="",0,IF($V153=HLOOKUP(AN$134,'Improved Sales Adjustments'!$G$7:$ZP$147,68,FALSE),1,0)))</f>
        <v>0</v>
      </c>
      <c r="AO153" s="41">
        <f>IF(ISERROR(HLOOKUP(AO$134,'Improved Sales Adjustments'!$G$7:$ZP$147,68,FALSE)),0,IF(HLOOKUP(AO$134,'Improved Sales Adjustments'!$G$7:$ZP$147,68,FALSE)="",0,IF($V153=HLOOKUP(AO$134,'Improved Sales Adjustments'!$G$7:$ZP$147,68,FALSE),1,0)))</f>
        <v>0</v>
      </c>
      <c r="AP153" s="41">
        <f>IF(ISERROR(HLOOKUP(AP$134,'Improved Sales Adjustments'!$G$7:$ZP$147,68,FALSE)),0,IF(HLOOKUP(AP$134,'Improved Sales Adjustments'!$G$7:$ZP$147,68,FALSE)="",0,IF($V153=HLOOKUP(AP$134,'Improved Sales Adjustments'!$G$7:$ZP$147,68,FALSE),1,0)))</f>
        <v>0</v>
      </c>
      <c r="AQ153" s="41">
        <f>IF(ISERROR(HLOOKUP(AQ$134,'Improved Sales Adjustments'!$G$7:$ZP$147,68,FALSE)),0,IF(HLOOKUP(AQ$134,'Improved Sales Adjustments'!$G$7:$ZP$147,68,FALSE)="",0,IF($V153=HLOOKUP(AQ$134,'Improved Sales Adjustments'!$G$7:$ZP$147,68,FALSE),1,0)))</f>
        <v>0</v>
      </c>
      <c r="AR153" s="41">
        <f>IF(ISERROR(HLOOKUP(AR$134,'Improved Sales Adjustments'!$G$7:$ZP$147,68,FALSE)),0,IF(HLOOKUP(AR$134,'Improved Sales Adjustments'!$G$7:$ZP$147,68,FALSE)="",0,IF($V153=HLOOKUP(AR$134,'Improved Sales Adjustments'!$G$7:$ZP$147,68,FALSE),1,0)))</f>
        <v>0</v>
      </c>
      <c r="AS153" s="41">
        <f>IF(ISERROR(HLOOKUP(AS$134,'Improved Sales Adjustments'!$G$7:$ZP$147,68,FALSE)),0,IF(HLOOKUP(AS$134,'Improved Sales Adjustments'!$G$7:$ZP$147,68,FALSE)="",0,IF($V153=HLOOKUP(AS$134,'Improved Sales Adjustments'!$G$7:$ZP$147,68,FALSE),1,0)))</f>
        <v>0</v>
      </c>
      <c r="AT153" s="41">
        <f>IF(ISERROR(HLOOKUP(AT$134,'Improved Sales Adjustments'!$G$7:$ZP$147,68,FALSE)),0,IF(HLOOKUP(AT$134,'Improved Sales Adjustments'!$G$7:$ZP$147,68,FALSE)="",0,IF($V153=HLOOKUP(AT$134,'Improved Sales Adjustments'!$G$7:$ZP$147,68,FALSE),1,0)))</f>
        <v>0</v>
      </c>
      <c r="AU153" s="41">
        <f>SUM($AJ153:AJ153)</f>
        <v>0</v>
      </c>
      <c r="AV153" s="41">
        <f>SUM($AJ153:AK153)</f>
        <v>0</v>
      </c>
      <c r="AW153" s="41">
        <f>SUM($AJ153:AL153)</f>
        <v>0</v>
      </c>
      <c r="AX153" s="41">
        <f>SUM($AJ153:AM153)</f>
        <v>0</v>
      </c>
      <c r="AY153" s="41">
        <f>SUM($AJ153:AN153)</f>
        <v>0</v>
      </c>
      <c r="AZ153" s="41">
        <f>SUM($AJ153:AO153)</f>
        <v>0</v>
      </c>
      <c r="BA153" s="41">
        <f>SUM($AJ153:AP153)</f>
        <v>0</v>
      </c>
      <c r="BB153" s="41">
        <f>SUM($AJ153:AQ153)</f>
        <v>0</v>
      </c>
      <c r="BC153" s="41">
        <f>SUM($AJ153:AR153)</f>
        <v>0</v>
      </c>
      <c r="BD153" s="41">
        <f>SUM($AJ153:AS153)</f>
        <v>0</v>
      </c>
      <c r="BE153" s="41">
        <f>SUM($AJ153:AT153)</f>
        <v>0</v>
      </c>
      <c r="BF153" s="41" t="str">
        <f t="shared" si="52"/>
        <v/>
      </c>
      <c r="BG153" s="41" t="str">
        <f t="shared" si="53"/>
        <v/>
      </c>
      <c r="BH153" s="41" t="str">
        <f t="shared" si="54"/>
        <v/>
      </c>
      <c r="BI153" s="41" t="str">
        <f t="shared" si="55"/>
        <v/>
      </c>
      <c r="BJ153" s="41" t="str">
        <f t="shared" si="56"/>
        <v/>
      </c>
      <c r="BK153" s="41" t="str">
        <f t="shared" si="57"/>
        <v/>
      </c>
      <c r="BL153" s="41" t="str">
        <f t="shared" si="58"/>
        <v/>
      </c>
      <c r="BM153" s="41" t="str">
        <f t="shared" si="59"/>
        <v/>
      </c>
      <c r="BN153" s="41" t="str">
        <f t="shared" si="60"/>
        <v/>
      </c>
      <c r="BO153" s="41" t="str">
        <f t="shared" si="61"/>
        <v/>
      </c>
      <c r="BP153" s="41" t="str">
        <f t="shared" si="62"/>
        <v/>
      </c>
      <c r="BQ153" s="11"/>
      <c r="BR153" s="11"/>
    </row>
    <row r="154" spans="1:70" ht="15" customHeight="1" x14ac:dyDescent="0.25">
      <c r="A154" s="957">
        <f t="shared" si="50"/>
        <v>0</v>
      </c>
      <c r="S154" s="4"/>
      <c r="T154" s="1204"/>
      <c r="U154" s="4074" t="str">
        <f t="shared" si="51"/>
        <v/>
      </c>
      <c r="V154" s="137">
        <f t="shared" si="63"/>
        <v>19</v>
      </c>
      <c r="W154" s="2129">
        <v>0.04</v>
      </c>
      <c r="X154" s="2130">
        <v>0.09</v>
      </c>
      <c r="Y154" s="2130">
        <v>0.12</v>
      </c>
      <c r="Z154" s="2130">
        <v>0.16</v>
      </c>
      <c r="AA154" s="2130">
        <v>0.21</v>
      </c>
      <c r="AB154" s="2130">
        <v>0.28000000000000003</v>
      </c>
      <c r="AC154" s="2130">
        <v>0.36</v>
      </c>
      <c r="AD154" s="2130">
        <v>0.49</v>
      </c>
      <c r="AE154" s="2130">
        <v>0.64</v>
      </c>
      <c r="AF154" s="2130">
        <v>0.78</v>
      </c>
      <c r="AG154" s="101"/>
      <c r="AH154" s="6"/>
      <c r="AI154" s="11"/>
      <c r="AJ154" s="41">
        <f t="shared" si="48"/>
        <v>0</v>
      </c>
      <c r="AK154" s="41">
        <f>IF(ISERROR(HLOOKUP(AK$134,'Improved Sales Adjustments'!$G$7:$ZP$147,68,FALSE)),0,IF(HLOOKUP(AK$134,'Improved Sales Adjustments'!$G$7:$ZP$147,68,FALSE)="",0,IF($V154=HLOOKUP(AK$134,'Improved Sales Adjustments'!$G$7:$ZP$147,68,FALSE),1,0)))</f>
        <v>0</v>
      </c>
      <c r="AL154" s="41">
        <f>IF(ISERROR(HLOOKUP(AL$134,'Improved Sales Adjustments'!$G$7:$ZP$147,68,FALSE)),0,IF(HLOOKUP(AL$134,'Improved Sales Adjustments'!$G$7:$ZP$147,68,FALSE)="",0,IF($V154=HLOOKUP(AL$134,'Improved Sales Adjustments'!$G$7:$ZP$147,68,FALSE),1,0)))</f>
        <v>0</v>
      </c>
      <c r="AM154" s="41">
        <f>IF(ISERROR(HLOOKUP(AM$134,'Improved Sales Adjustments'!$G$7:$ZP$147,68,FALSE)),0,IF(HLOOKUP(AM$134,'Improved Sales Adjustments'!$G$7:$ZP$147,68,FALSE)="",0,IF($V154=HLOOKUP(AM$134,'Improved Sales Adjustments'!$G$7:$ZP$147,68,FALSE),1,0)))</f>
        <v>0</v>
      </c>
      <c r="AN154" s="41">
        <f>IF(ISERROR(HLOOKUP(AN$134,'Improved Sales Adjustments'!$G$7:$ZP$147,68,FALSE)),0,IF(HLOOKUP(AN$134,'Improved Sales Adjustments'!$G$7:$ZP$147,68,FALSE)="",0,IF($V154=HLOOKUP(AN$134,'Improved Sales Adjustments'!$G$7:$ZP$147,68,FALSE),1,0)))</f>
        <v>0</v>
      </c>
      <c r="AO154" s="41">
        <f>IF(ISERROR(HLOOKUP(AO$134,'Improved Sales Adjustments'!$G$7:$ZP$147,68,FALSE)),0,IF(HLOOKUP(AO$134,'Improved Sales Adjustments'!$G$7:$ZP$147,68,FALSE)="",0,IF($V154=HLOOKUP(AO$134,'Improved Sales Adjustments'!$G$7:$ZP$147,68,FALSE),1,0)))</f>
        <v>0</v>
      </c>
      <c r="AP154" s="41">
        <f>IF(ISERROR(HLOOKUP(AP$134,'Improved Sales Adjustments'!$G$7:$ZP$147,68,FALSE)),0,IF(HLOOKUP(AP$134,'Improved Sales Adjustments'!$G$7:$ZP$147,68,FALSE)="",0,IF($V154=HLOOKUP(AP$134,'Improved Sales Adjustments'!$G$7:$ZP$147,68,FALSE),1,0)))</f>
        <v>0</v>
      </c>
      <c r="AQ154" s="41">
        <f>IF(ISERROR(HLOOKUP(AQ$134,'Improved Sales Adjustments'!$G$7:$ZP$147,68,FALSE)),0,IF(HLOOKUP(AQ$134,'Improved Sales Adjustments'!$G$7:$ZP$147,68,FALSE)="",0,IF($V154=HLOOKUP(AQ$134,'Improved Sales Adjustments'!$G$7:$ZP$147,68,FALSE),1,0)))</f>
        <v>0</v>
      </c>
      <c r="AR154" s="41">
        <f>IF(ISERROR(HLOOKUP(AR$134,'Improved Sales Adjustments'!$G$7:$ZP$147,68,FALSE)),0,IF(HLOOKUP(AR$134,'Improved Sales Adjustments'!$G$7:$ZP$147,68,FALSE)="",0,IF($V154=HLOOKUP(AR$134,'Improved Sales Adjustments'!$G$7:$ZP$147,68,FALSE),1,0)))</f>
        <v>0</v>
      </c>
      <c r="AS154" s="41">
        <f>IF(ISERROR(HLOOKUP(AS$134,'Improved Sales Adjustments'!$G$7:$ZP$147,68,FALSE)),0,IF(HLOOKUP(AS$134,'Improved Sales Adjustments'!$G$7:$ZP$147,68,FALSE)="",0,IF($V154=HLOOKUP(AS$134,'Improved Sales Adjustments'!$G$7:$ZP$147,68,FALSE),1,0)))</f>
        <v>0</v>
      </c>
      <c r="AT154" s="41">
        <f>IF(ISERROR(HLOOKUP(AT$134,'Improved Sales Adjustments'!$G$7:$ZP$147,68,FALSE)),0,IF(HLOOKUP(AT$134,'Improved Sales Adjustments'!$G$7:$ZP$147,68,FALSE)="",0,IF($V154=HLOOKUP(AT$134,'Improved Sales Adjustments'!$G$7:$ZP$147,68,FALSE),1,0)))</f>
        <v>0</v>
      </c>
      <c r="AU154" s="41">
        <f>SUM($AJ154:AJ154)</f>
        <v>0</v>
      </c>
      <c r="AV154" s="41">
        <f>SUM($AJ154:AK154)</f>
        <v>0</v>
      </c>
      <c r="AW154" s="41">
        <f>SUM($AJ154:AL154)</f>
        <v>0</v>
      </c>
      <c r="AX154" s="41">
        <f>SUM($AJ154:AM154)</f>
        <v>0</v>
      </c>
      <c r="AY154" s="41">
        <f>SUM($AJ154:AN154)</f>
        <v>0</v>
      </c>
      <c r="AZ154" s="41">
        <f>SUM($AJ154:AO154)</f>
        <v>0</v>
      </c>
      <c r="BA154" s="41">
        <f>SUM($AJ154:AP154)</f>
        <v>0</v>
      </c>
      <c r="BB154" s="41">
        <f>SUM($AJ154:AQ154)</f>
        <v>0</v>
      </c>
      <c r="BC154" s="41">
        <f>SUM($AJ154:AR154)</f>
        <v>0</v>
      </c>
      <c r="BD154" s="41">
        <f>SUM($AJ154:AS154)</f>
        <v>0</v>
      </c>
      <c r="BE154" s="41">
        <f>SUM($AJ154:AT154)</f>
        <v>0</v>
      </c>
      <c r="BF154" s="41" t="str">
        <f t="shared" si="52"/>
        <v/>
      </c>
      <c r="BG154" s="41" t="str">
        <f t="shared" si="53"/>
        <v/>
      </c>
      <c r="BH154" s="41" t="str">
        <f t="shared" si="54"/>
        <v/>
      </c>
      <c r="BI154" s="41" t="str">
        <f t="shared" si="55"/>
        <v/>
      </c>
      <c r="BJ154" s="41" t="str">
        <f t="shared" si="56"/>
        <v/>
      </c>
      <c r="BK154" s="41" t="str">
        <f t="shared" si="57"/>
        <v/>
      </c>
      <c r="BL154" s="41" t="str">
        <f t="shared" si="58"/>
        <v/>
      </c>
      <c r="BM154" s="41" t="str">
        <f t="shared" si="59"/>
        <v/>
      </c>
      <c r="BN154" s="41" t="str">
        <f t="shared" si="60"/>
        <v/>
      </c>
      <c r="BO154" s="41" t="str">
        <f t="shared" si="61"/>
        <v/>
      </c>
      <c r="BP154" s="41" t="str">
        <f t="shared" si="62"/>
        <v/>
      </c>
      <c r="BQ154" s="11"/>
      <c r="BR154" s="11"/>
    </row>
    <row r="155" spans="1:70" ht="15" customHeight="1" x14ac:dyDescent="0.25">
      <c r="A155" s="957">
        <f t="shared" si="50"/>
        <v>0</v>
      </c>
      <c r="S155" s="4"/>
      <c r="T155" s="1204"/>
      <c r="U155" s="4074" t="str">
        <f t="shared" si="51"/>
        <v/>
      </c>
      <c r="V155" s="137">
        <f t="shared" si="63"/>
        <v>20</v>
      </c>
      <c r="W155" s="2129">
        <v>0.05</v>
      </c>
      <c r="X155" s="2130">
        <v>0.09</v>
      </c>
      <c r="Y155" s="2130">
        <v>0.13</v>
      </c>
      <c r="Z155" s="2130">
        <v>0.17</v>
      </c>
      <c r="AA155" s="2130">
        <v>0.23</v>
      </c>
      <c r="AB155" s="2130">
        <v>0.3</v>
      </c>
      <c r="AC155" s="2130">
        <v>0.39</v>
      </c>
      <c r="AD155" s="2130">
        <v>0.53</v>
      </c>
      <c r="AE155" s="2130">
        <v>0.68</v>
      </c>
      <c r="AF155" s="2130">
        <v>0.79</v>
      </c>
      <c r="AG155" s="101"/>
      <c r="AH155" s="6"/>
      <c r="AI155" s="11"/>
      <c r="AJ155" s="41">
        <f t="shared" si="48"/>
        <v>0</v>
      </c>
      <c r="AK155" s="41">
        <f>IF(ISERROR(HLOOKUP(AK$134,'Improved Sales Adjustments'!$G$7:$ZP$147,68,FALSE)),0,IF(HLOOKUP(AK$134,'Improved Sales Adjustments'!$G$7:$ZP$147,68,FALSE)="",0,IF($V155=HLOOKUP(AK$134,'Improved Sales Adjustments'!$G$7:$ZP$147,68,FALSE),1,0)))</f>
        <v>0</v>
      </c>
      <c r="AL155" s="41">
        <f>IF(ISERROR(HLOOKUP(AL$134,'Improved Sales Adjustments'!$G$7:$ZP$147,68,FALSE)),0,IF(HLOOKUP(AL$134,'Improved Sales Adjustments'!$G$7:$ZP$147,68,FALSE)="",0,IF($V155=HLOOKUP(AL$134,'Improved Sales Adjustments'!$G$7:$ZP$147,68,FALSE),1,0)))</f>
        <v>0</v>
      </c>
      <c r="AM155" s="41">
        <f>IF(ISERROR(HLOOKUP(AM$134,'Improved Sales Adjustments'!$G$7:$ZP$147,68,FALSE)),0,IF(HLOOKUP(AM$134,'Improved Sales Adjustments'!$G$7:$ZP$147,68,FALSE)="",0,IF($V155=HLOOKUP(AM$134,'Improved Sales Adjustments'!$G$7:$ZP$147,68,FALSE),1,0)))</f>
        <v>0</v>
      </c>
      <c r="AN155" s="41">
        <f>IF(ISERROR(HLOOKUP(AN$134,'Improved Sales Adjustments'!$G$7:$ZP$147,68,FALSE)),0,IF(HLOOKUP(AN$134,'Improved Sales Adjustments'!$G$7:$ZP$147,68,FALSE)="",0,IF($V155=HLOOKUP(AN$134,'Improved Sales Adjustments'!$G$7:$ZP$147,68,FALSE),1,0)))</f>
        <v>0</v>
      </c>
      <c r="AO155" s="41">
        <f>IF(ISERROR(HLOOKUP(AO$134,'Improved Sales Adjustments'!$G$7:$ZP$147,68,FALSE)),0,IF(HLOOKUP(AO$134,'Improved Sales Adjustments'!$G$7:$ZP$147,68,FALSE)="",0,IF($V155=HLOOKUP(AO$134,'Improved Sales Adjustments'!$G$7:$ZP$147,68,FALSE),1,0)))</f>
        <v>0</v>
      </c>
      <c r="AP155" s="41">
        <f>IF(ISERROR(HLOOKUP(AP$134,'Improved Sales Adjustments'!$G$7:$ZP$147,68,FALSE)),0,IF(HLOOKUP(AP$134,'Improved Sales Adjustments'!$G$7:$ZP$147,68,FALSE)="",0,IF($V155=HLOOKUP(AP$134,'Improved Sales Adjustments'!$G$7:$ZP$147,68,FALSE),1,0)))</f>
        <v>0</v>
      </c>
      <c r="AQ155" s="41">
        <f>IF(ISERROR(HLOOKUP(AQ$134,'Improved Sales Adjustments'!$G$7:$ZP$147,68,FALSE)),0,IF(HLOOKUP(AQ$134,'Improved Sales Adjustments'!$G$7:$ZP$147,68,FALSE)="",0,IF($V155=HLOOKUP(AQ$134,'Improved Sales Adjustments'!$G$7:$ZP$147,68,FALSE),1,0)))</f>
        <v>0</v>
      </c>
      <c r="AR155" s="41">
        <f>IF(ISERROR(HLOOKUP(AR$134,'Improved Sales Adjustments'!$G$7:$ZP$147,68,FALSE)),0,IF(HLOOKUP(AR$134,'Improved Sales Adjustments'!$G$7:$ZP$147,68,FALSE)="",0,IF($V155=HLOOKUP(AR$134,'Improved Sales Adjustments'!$G$7:$ZP$147,68,FALSE),1,0)))</f>
        <v>0</v>
      </c>
      <c r="AS155" s="41">
        <f>IF(ISERROR(HLOOKUP(AS$134,'Improved Sales Adjustments'!$G$7:$ZP$147,68,FALSE)),0,IF(HLOOKUP(AS$134,'Improved Sales Adjustments'!$G$7:$ZP$147,68,FALSE)="",0,IF($V155=HLOOKUP(AS$134,'Improved Sales Adjustments'!$G$7:$ZP$147,68,FALSE),1,0)))</f>
        <v>0</v>
      </c>
      <c r="AT155" s="41">
        <f>IF(ISERROR(HLOOKUP(AT$134,'Improved Sales Adjustments'!$G$7:$ZP$147,68,FALSE)),0,IF(HLOOKUP(AT$134,'Improved Sales Adjustments'!$G$7:$ZP$147,68,FALSE)="",0,IF($V155=HLOOKUP(AT$134,'Improved Sales Adjustments'!$G$7:$ZP$147,68,FALSE),1,0)))</f>
        <v>0</v>
      </c>
      <c r="AU155" s="41">
        <f>SUM($AJ155:AJ155)</f>
        <v>0</v>
      </c>
      <c r="AV155" s="41">
        <f>SUM($AJ155:AK155)</f>
        <v>0</v>
      </c>
      <c r="AW155" s="41">
        <f>SUM($AJ155:AL155)</f>
        <v>0</v>
      </c>
      <c r="AX155" s="41">
        <f>SUM($AJ155:AM155)</f>
        <v>0</v>
      </c>
      <c r="AY155" s="41">
        <f>SUM($AJ155:AN155)</f>
        <v>0</v>
      </c>
      <c r="AZ155" s="41">
        <f>SUM($AJ155:AO155)</f>
        <v>0</v>
      </c>
      <c r="BA155" s="41">
        <f>SUM($AJ155:AP155)</f>
        <v>0</v>
      </c>
      <c r="BB155" s="41">
        <f>SUM($AJ155:AQ155)</f>
        <v>0</v>
      </c>
      <c r="BC155" s="41">
        <f>SUM($AJ155:AR155)</f>
        <v>0</v>
      </c>
      <c r="BD155" s="41">
        <f>SUM($AJ155:AS155)</f>
        <v>0</v>
      </c>
      <c r="BE155" s="41">
        <f>SUM($AJ155:AT155)</f>
        <v>0</v>
      </c>
      <c r="BF155" s="41" t="str">
        <f t="shared" si="52"/>
        <v/>
      </c>
      <c r="BG155" s="41" t="str">
        <f t="shared" si="53"/>
        <v/>
      </c>
      <c r="BH155" s="41" t="str">
        <f t="shared" si="54"/>
        <v/>
      </c>
      <c r="BI155" s="41" t="str">
        <f t="shared" si="55"/>
        <v/>
      </c>
      <c r="BJ155" s="41" t="str">
        <f t="shared" si="56"/>
        <v/>
      </c>
      <c r="BK155" s="41" t="str">
        <f t="shared" si="57"/>
        <v/>
      </c>
      <c r="BL155" s="41" t="str">
        <f t="shared" si="58"/>
        <v/>
      </c>
      <c r="BM155" s="41" t="str">
        <f t="shared" si="59"/>
        <v/>
      </c>
      <c r="BN155" s="41" t="str">
        <f t="shared" si="60"/>
        <v/>
      </c>
      <c r="BO155" s="41" t="str">
        <f t="shared" si="61"/>
        <v/>
      </c>
      <c r="BP155" s="41" t="str">
        <f t="shared" si="62"/>
        <v/>
      </c>
      <c r="BQ155" s="11"/>
      <c r="BR155" s="11"/>
    </row>
    <row r="156" spans="1:70" ht="15" customHeight="1" x14ac:dyDescent="0.25">
      <c r="A156" s="957">
        <f t="shared" si="50"/>
        <v>0</v>
      </c>
      <c r="S156" s="4"/>
      <c r="T156" s="1204"/>
      <c r="U156" s="4074" t="str">
        <f t="shared" si="51"/>
        <v/>
      </c>
      <c r="V156" s="137">
        <f t="shared" si="63"/>
        <v>21</v>
      </c>
      <c r="W156" s="2129">
        <v>0.05</v>
      </c>
      <c r="X156" s="2130">
        <v>0.1</v>
      </c>
      <c r="Y156" s="2130">
        <v>0.14000000000000001</v>
      </c>
      <c r="Z156" s="2130">
        <v>0.18</v>
      </c>
      <c r="AA156" s="2130">
        <v>0.25</v>
      </c>
      <c r="AB156" s="2130">
        <v>0.32</v>
      </c>
      <c r="AC156" s="2130">
        <v>0.42</v>
      </c>
      <c r="AD156" s="2130">
        <v>0.56999999999999995</v>
      </c>
      <c r="AE156" s="2130">
        <v>0.71</v>
      </c>
      <c r="AF156" s="2130">
        <v>0.8</v>
      </c>
      <c r="AG156" s="101"/>
      <c r="AH156" s="6"/>
      <c r="AI156" s="11"/>
      <c r="AJ156" s="41">
        <f t="shared" si="48"/>
        <v>0</v>
      </c>
      <c r="AK156" s="41">
        <f>IF(ISERROR(HLOOKUP(AK$134,'Improved Sales Adjustments'!$G$7:$ZP$147,68,FALSE)),0,IF(HLOOKUP(AK$134,'Improved Sales Adjustments'!$G$7:$ZP$147,68,FALSE)="",0,IF($V156=HLOOKUP(AK$134,'Improved Sales Adjustments'!$G$7:$ZP$147,68,FALSE),1,0)))</f>
        <v>0</v>
      </c>
      <c r="AL156" s="41">
        <f>IF(ISERROR(HLOOKUP(AL$134,'Improved Sales Adjustments'!$G$7:$ZP$147,68,FALSE)),0,IF(HLOOKUP(AL$134,'Improved Sales Adjustments'!$G$7:$ZP$147,68,FALSE)="",0,IF($V156=HLOOKUP(AL$134,'Improved Sales Adjustments'!$G$7:$ZP$147,68,FALSE),1,0)))</f>
        <v>0</v>
      </c>
      <c r="AM156" s="41">
        <f>IF(ISERROR(HLOOKUP(AM$134,'Improved Sales Adjustments'!$G$7:$ZP$147,68,FALSE)),0,IF(HLOOKUP(AM$134,'Improved Sales Adjustments'!$G$7:$ZP$147,68,FALSE)="",0,IF($V156=HLOOKUP(AM$134,'Improved Sales Adjustments'!$G$7:$ZP$147,68,FALSE),1,0)))</f>
        <v>0</v>
      </c>
      <c r="AN156" s="41">
        <f>IF(ISERROR(HLOOKUP(AN$134,'Improved Sales Adjustments'!$G$7:$ZP$147,68,FALSE)),0,IF(HLOOKUP(AN$134,'Improved Sales Adjustments'!$G$7:$ZP$147,68,FALSE)="",0,IF($V156=HLOOKUP(AN$134,'Improved Sales Adjustments'!$G$7:$ZP$147,68,FALSE),1,0)))</f>
        <v>0</v>
      </c>
      <c r="AO156" s="41">
        <f>IF(ISERROR(HLOOKUP(AO$134,'Improved Sales Adjustments'!$G$7:$ZP$147,68,FALSE)),0,IF(HLOOKUP(AO$134,'Improved Sales Adjustments'!$G$7:$ZP$147,68,FALSE)="",0,IF($V156=HLOOKUP(AO$134,'Improved Sales Adjustments'!$G$7:$ZP$147,68,FALSE),1,0)))</f>
        <v>0</v>
      </c>
      <c r="AP156" s="41">
        <f>IF(ISERROR(HLOOKUP(AP$134,'Improved Sales Adjustments'!$G$7:$ZP$147,68,FALSE)),0,IF(HLOOKUP(AP$134,'Improved Sales Adjustments'!$G$7:$ZP$147,68,FALSE)="",0,IF($V156=HLOOKUP(AP$134,'Improved Sales Adjustments'!$G$7:$ZP$147,68,FALSE),1,0)))</f>
        <v>0</v>
      </c>
      <c r="AQ156" s="41">
        <f>IF(ISERROR(HLOOKUP(AQ$134,'Improved Sales Adjustments'!$G$7:$ZP$147,68,FALSE)),0,IF(HLOOKUP(AQ$134,'Improved Sales Adjustments'!$G$7:$ZP$147,68,FALSE)="",0,IF($V156=HLOOKUP(AQ$134,'Improved Sales Adjustments'!$G$7:$ZP$147,68,FALSE),1,0)))</f>
        <v>0</v>
      </c>
      <c r="AR156" s="41">
        <f>IF(ISERROR(HLOOKUP(AR$134,'Improved Sales Adjustments'!$G$7:$ZP$147,68,FALSE)),0,IF(HLOOKUP(AR$134,'Improved Sales Adjustments'!$G$7:$ZP$147,68,FALSE)="",0,IF($V156=HLOOKUP(AR$134,'Improved Sales Adjustments'!$G$7:$ZP$147,68,FALSE),1,0)))</f>
        <v>0</v>
      </c>
      <c r="AS156" s="41">
        <f>IF(ISERROR(HLOOKUP(AS$134,'Improved Sales Adjustments'!$G$7:$ZP$147,68,FALSE)),0,IF(HLOOKUP(AS$134,'Improved Sales Adjustments'!$G$7:$ZP$147,68,FALSE)="",0,IF($V156=HLOOKUP(AS$134,'Improved Sales Adjustments'!$G$7:$ZP$147,68,FALSE),1,0)))</f>
        <v>0</v>
      </c>
      <c r="AT156" s="41">
        <f>IF(ISERROR(HLOOKUP(AT$134,'Improved Sales Adjustments'!$G$7:$ZP$147,68,FALSE)),0,IF(HLOOKUP(AT$134,'Improved Sales Adjustments'!$G$7:$ZP$147,68,FALSE)="",0,IF($V156=HLOOKUP(AT$134,'Improved Sales Adjustments'!$G$7:$ZP$147,68,FALSE),1,0)))</f>
        <v>0</v>
      </c>
      <c r="AU156" s="41">
        <f>SUM($AJ156:AJ156)</f>
        <v>0</v>
      </c>
      <c r="AV156" s="41">
        <f>SUM($AJ156:AK156)</f>
        <v>0</v>
      </c>
      <c r="AW156" s="41">
        <f>SUM($AJ156:AL156)</f>
        <v>0</v>
      </c>
      <c r="AX156" s="41">
        <f>SUM($AJ156:AM156)</f>
        <v>0</v>
      </c>
      <c r="AY156" s="41">
        <f>SUM($AJ156:AN156)</f>
        <v>0</v>
      </c>
      <c r="AZ156" s="41">
        <f>SUM($AJ156:AO156)</f>
        <v>0</v>
      </c>
      <c r="BA156" s="41">
        <f>SUM($AJ156:AP156)</f>
        <v>0</v>
      </c>
      <c r="BB156" s="41">
        <f>SUM($AJ156:AQ156)</f>
        <v>0</v>
      </c>
      <c r="BC156" s="41">
        <f>SUM($AJ156:AR156)</f>
        <v>0</v>
      </c>
      <c r="BD156" s="41">
        <f>SUM($AJ156:AS156)</f>
        <v>0</v>
      </c>
      <c r="BE156" s="41">
        <f>SUM($AJ156:AT156)</f>
        <v>0</v>
      </c>
      <c r="BF156" s="41" t="str">
        <f t="shared" si="52"/>
        <v/>
      </c>
      <c r="BG156" s="41" t="str">
        <f t="shared" si="53"/>
        <v/>
      </c>
      <c r="BH156" s="41" t="str">
        <f t="shared" si="54"/>
        <v/>
      </c>
      <c r="BI156" s="41" t="str">
        <f t="shared" si="55"/>
        <v/>
      </c>
      <c r="BJ156" s="41" t="str">
        <f t="shared" si="56"/>
        <v/>
      </c>
      <c r="BK156" s="41" t="str">
        <f t="shared" si="57"/>
        <v/>
      </c>
      <c r="BL156" s="41" t="str">
        <f t="shared" si="58"/>
        <v/>
      </c>
      <c r="BM156" s="41" t="str">
        <f t="shared" si="59"/>
        <v/>
      </c>
      <c r="BN156" s="41" t="str">
        <f t="shared" si="60"/>
        <v/>
      </c>
      <c r="BO156" s="41" t="str">
        <f t="shared" si="61"/>
        <v/>
      </c>
      <c r="BP156" s="41" t="str">
        <f t="shared" si="62"/>
        <v/>
      </c>
      <c r="BQ156" s="11"/>
      <c r="BR156" s="11"/>
    </row>
    <row r="157" spans="1:70" ht="15" customHeight="1" x14ac:dyDescent="0.25">
      <c r="A157" s="957">
        <f t="shared" si="50"/>
        <v>0</v>
      </c>
      <c r="S157" s="4"/>
      <c r="T157" s="1204"/>
      <c r="U157" s="4074" t="str">
        <f t="shared" si="51"/>
        <v/>
      </c>
      <c r="V157" s="137">
        <f t="shared" si="63"/>
        <v>22</v>
      </c>
      <c r="W157" s="2129">
        <v>0.06</v>
      </c>
      <c r="X157" s="2130">
        <v>0.11</v>
      </c>
      <c r="Y157" s="2130">
        <v>0.15</v>
      </c>
      <c r="Z157" s="2130">
        <v>0.2</v>
      </c>
      <c r="AA157" s="2130">
        <v>0.27</v>
      </c>
      <c r="AB157" s="2130">
        <v>0.35</v>
      </c>
      <c r="AC157" s="2130">
        <v>0.45</v>
      </c>
      <c r="AD157" s="2130">
        <v>0.6</v>
      </c>
      <c r="AE157" s="2130">
        <v>0.73</v>
      </c>
      <c r="AF157" s="2130"/>
      <c r="AG157" s="101"/>
      <c r="AH157" s="6"/>
      <c r="AI157" s="11"/>
      <c r="AJ157" s="41">
        <f t="shared" si="48"/>
        <v>0</v>
      </c>
      <c r="AK157" s="41">
        <f>IF(ISERROR(HLOOKUP(AK$134,'Improved Sales Adjustments'!$G$7:$ZP$147,68,FALSE)),0,IF(HLOOKUP(AK$134,'Improved Sales Adjustments'!$G$7:$ZP$147,68,FALSE)="",0,IF($V157=HLOOKUP(AK$134,'Improved Sales Adjustments'!$G$7:$ZP$147,68,FALSE),1,0)))</f>
        <v>0</v>
      </c>
      <c r="AL157" s="41">
        <f>IF(ISERROR(HLOOKUP(AL$134,'Improved Sales Adjustments'!$G$7:$ZP$147,68,FALSE)),0,IF(HLOOKUP(AL$134,'Improved Sales Adjustments'!$G$7:$ZP$147,68,FALSE)="",0,IF($V157=HLOOKUP(AL$134,'Improved Sales Adjustments'!$G$7:$ZP$147,68,FALSE),1,0)))</f>
        <v>0</v>
      </c>
      <c r="AM157" s="41">
        <f>IF(ISERROR(HLOOKUP(AM$134,'Improved Sales Adjustments'!$G$7:$ZP$147,68,FALSE)),0,IF(HLOOKUP(AM$134,'Improved Sales Adjustments'!$G$7:$ZP$147,68,FALSE)="",0,IF($V157=HLOOKUP(AM$134,'Improved Sales Adjustments'!$G$7:$ZP$147,68,FALSE),1,0)))</f>
        <v>0</v>
      </c>
      <c r="AN157" s="41">
        <f>IF(ISERROR(HLOOKUP(AN$134,'Improved Sales Adjustments'!$G$7:$ZP$147,68,FALSE)),0,IF(HLOOKUP(AN$134,'Improved Sales Adjustments'!$G$7:$ZP$147,68,FALSE)="",0,IF($V157=HLOOKUP(AN$134,'Improved Sales Adjustments'!$G$7:$ZP$147,68,FALSE),1,0)))</f>
        <v>0</v>
      </c>
      <c r="AO157" s="41">
        <f>IF(ISERROR(HLOOKUP(AO$134,'Improved Sales Adjustments'!$G$7:$ZP$147,68,FALSE)),0,IF(HLOOKUP(AO$134,'Improved Sales Adjustments'!$G$7:$ZP$147,68,FALSE)="",0,IF($V157=HLOOKUP(AO$134,'Improved Sales Adjustments'!$G$7:$ZP$147,68,FALSE),1,0)))</f>
        <v>0</v>
      </c>
      <c r="AP157" s="41">
        <f>IF(ISERROR(HLOOKUP(AP$134,'Improved Sales Adjustments'!$G$7:$ZP$147,68,FALSE)),0,IF(HLOOKUP(AP$134,'Improved Sales Adjustments'!$G$7:$ZP$147,68,FALSE)="",0,IF($V157=HLOOKUP(AP$134,'Improved Sales Adjustments'!$G$7:$ZP$147,68,FALSE),1,0)))</f>
        <v>0</v>
      </c>
      <c r="AQ157" s="41">
        <f>IF(ISERROR(HLOOKUP(AQ$134,'Improved Sales Adjustments'!$G$7:$ZP$147,68,FALSE)),0,IF(HLOOKUP(AQ$134,'Improved Sales Adjustments'!$G$7:$ZP$147,68,FALSE)="",0,IF($V157=HLOOKUP(AQ$134,'Improved Sales Adjustments'!$G$7:$ZP$147,68,FALSE),1,0)))</f>
        <v>0</v>
      </c>
      <c r="AR157" s="41">
        <f>IF(ISERROR(HLOOKUP(AR$134,'Improved Sales Adjustments'!$G$7:$ZP$147,68,FALSE)),0,IF(HLOOKUP(AR$134,'Improved Sales Adjustments'!$G$7:$ZP$147,68,FALSE)="",0,IF($V157=HLOOKUP(AR$134,'Improved Sales Adjustments'!$G$7:$ZP$147,68,FALSE),1,0)))</f>
        <v>0</v>
      </c>
      <c r="AS157" s="41">
        <f>IF(ISERROR(HLOOKUP(AS$134,'Improved Sales Adjustments'!$G$7:$ZP$147,68,FALSE)),0,IF(HLOOKUP(AS$134,'Improved Sales Adjustments'!$G$7:$ZP$147,68,FALSE)="",0,IF($V157=HLOOKUP(AS$134,'Improved Sales Adjustments'!$G$7:$ZP$147,68,FALSE),1,0)))</f>
        <v>0</v>
      </c>
      <c r="AT157" s="41">
        <f>IF(ISERROR(HLOOKUP(AT$134,'Improved Sales Adjustments'!$G$7:$ZP$147,68,FALSE)),0,IF(HLOOKUP(AT$134,'Improved Sales Adjustments'!$G$7:$ZP$147,68,FALSE)="",0,IF($V157=HLOOKUP(AT$134,'Improved Sales Adjustments'!$G$7:$ZP$147,68,FALSE),1,0)))</f>
        <v>0</v>
      </c>
      <c r="AU157" s="41">
        <f>SUM($AJ157:AJ157)</f>
        <v>0</v>
      </c>
      <c r="AV157" s="41">
        <f>SUM($AJ157:AK157)</f>
        <v>0</v>
      </c>
      <c r="AW157" s="41">
        <f>SUM($AJ157:AL157)</f>
        <v>0</v>
      </c>
      <c r="AX157" s="41">
        <f>SUM($AJ157:AM157)</f>
        <v>0</v>
      </c>
      <c r="AY157" s="41">
        <f>SUM($AJ157:AN157)</f>
        <v>0</v>
      </c>
      <c r="AZ157" s="41">
        <f>SUM($AJ157:AO157)</f>
        <v>0</v>
      </c>
      <c r="BA157" s="41">
        <f>SUM($AJ157:AP157)</f>
        <v>0</v>
      </c>
      <c r="BB157" s="41">
        <f>SUM($AJ157:AQ157)</f>
        <v>0</v>
      </c>
      <c r="BC157" s="41">
        <f>SUM($AJ157:AR157)</f>
        <v>0</v>
      </c>
      <c r="BD157" s="41">
        <f>SUM($AJ157:AS157)</f>
        <v>0</v>
      </c>
      <c r="BE157" s="41">
        <f>SUM($AJ157:AT157)</f>
        <v>0</v>
      </c>
      <c r="BF157" s="41" t="str">
        <f t="shared" si="52"/>
        <v/>
      </c>
      <c r="BG157" s="41" t="str">
        <f t="shared" si="53"/>
        <v/>
      </c>
      <c r="BH157" s="41" t="str">
        <f t="shared" si="54"/>
        <v/>
      </c>
      <c r="BI157" s="41" t="str">
        <f t="shared" si="55"/>
        <v/>
      </c>
      <c r="BJ157" s="41" t="str">
        <f t="shared" si="56"/>
        <v/>
      </c>
      <c r="BK157" s="41" t="str">
        <f t="shared" si="57"/>
        <v/>
      </c>
      <c r="BL157" s="41" t="str">
        <f t="shared" si="58"/>
        <v/>
      </c>
      <c r="BM157" s="41" t="str">
        <f t="shared" si="59"/>
        <v/>
      </c>
      <c r="BN157" s="41" t="str">
        <f t="shared" si="60"/>
        <v/>
      </c>
      <c r="BO157" s="41" t="str">
        <f t="shared" si="61"/>
        <v/>
      </c>
      <c r="BP157" s="41" t="str">
        <f t="shared" si="62"/>
        <v/>
      </c>
      <c r="BQ157" s="11"/>
      <c r="BR157" s="11"/>
    </row>
    <row r="158" spans="1:70" ht="15" customHeight="1" x14ac:dyDescent="0.25">
      <c r="A158" s="957">
        <f t="shared" si="50"/>
        <v>0</v>
      </c>
      <c r="S158" s="4"/>
      <c r="T158" s="1204"/>
      <c r="U158" s="4074" t="str">
        <f t="shared" si="51"/>
        <v/>
      </c>
      <c r="V158" s="137">
        <f t="shared" si="63"/>
        <v>23</v>
      </c>
      <c r="W158" s="2129">
        <v>0.06</v>
      </c>
      <c r="X158" s="2130">
        <v>0.12</v>
      </c>
      <c r="Y158" s="2130">
        <v>0.16</v>
      </c>
      <c r="Z158" s="2130">
        <v>0.21</v>
      </c>
      <c r="AA158" s="2130">
        <v>0.28999999999999998</v>
      </c>
      <c r="AB158" s="2130">
        <v>0.37</v>
      </c>
      <c r="AC158" s="2130">
        <v>0.48</v>
      </c>
      <c r="AD158" s="2130">
        <v>0.63</v>
      </c>
      <c r="AE158" s="2130">
        <v>0.75</v>
      </c>
      <c r="AF158" s="2130"/>
      <c r="AG158" s="101"/>
      <c r="AH158" s="6"/>
      <c r="AI158" s="11"/>
      <c r="AJ158" s="41">
        <f t="shared" si="48"/>
        <v>0</v>
      </c>
      <c r="AK158" s="41">
        <f>IF(ISERROR(HLOOKUP(AK$134,'Improved Sales Adjustments'!$G$7:$ZP$147,68,FALSE)),0,IF(HLOOKUP(AK$134,'Improved Sales Adjustments'!$G$7:$ZP$147,68,FALSE)="",0,IF($V158=HLOOKUP(AK$134,'Improved Sales Adjustments'!$G$7:$ZP$147,68,FALSE),1,0)))</f>
        <v>0</v>
      </c>
      <c r="AL158" s="41">
        <f>IF(ISERROR(HLOOKUP(AL$134,'Improved Sales Adjustments'!$G$7:$ZP$147,68,FALSE)),0,IF(HLOOKUP(AL$134,'Improved Sales Adjustments'!$G$7:$ZP$147,68,FALSE)="",0,IF($V158=HLOOKUP(AL$134,'Improved Sales Adjustments'!$G$7:$ZP$147,68,FALSE),1,0)))</f>
        <v>0</v>
      </c>
      <c r="AM158" s="41">
        <f>IF(ISERROR(HLOOKUP(AM$134,'Improved Sales Adjustments'!$G$7:$ZP$147,68,FALSE)),0,IF(HLOOKUP(AM$134,'Improved Sales Adjustments'!$G$7:$ZP$147,68,FALSE)="",0,IF($V158=HLOOKUP(AM$134,'Improved Sales Adjustments'!$G$7:$ZP$147,68,FALSE),1,0)))</f>
        <v>0</v>
      </c>
      <c r="AN158" s="41">
        <f>IF(ISERROR(HLOOKUP(AN$134,'Improved Sales Adjustments'!$G$7:$ZP$147,68,FALSE)),0,IF(HLOOKUP(AN$134,'Improved Sales Adjustments'!$G$7:$ZP$147,68,FALSE)="",0,IF($V158=HLOOKUP(AN$134,'Improved Sales Adjustments'!$G$7:$ZP$147,68,FALSE),1,0)))</f>
        <v>0</v>
      </c>
      <c r="AO158" s="41">
        <f>IF(ISERROR(HLOOKUP(AO$134,'Improved Sales Adjustments'!$G$7:$ZP$147,68,FALSE)),0,IF(HLOOKUP(AO$134,'Improved Sales Adjustments'!$G$7:$ZP$147,68,FALSE)="",0,IF($V158=HLOOKUP(AO$134,'Improved Sales Adjustments'!$G$7:$ZP$147,68,FALSE),1,0)))</f>
        <v>0</v>
      </c>
      <c r="AP158" s="41">
        <f>IF(ISERROR(HLOOKUP(AP$134,'Improved Sales Adjustments'!$G$7:$ZP$147,68,FALSE)),0,IF(HLOOKUP(AP$134,'Improved Sales Adjustments'!$G$7:$ZP$147,68,FALSE)="",0,IF($V158=HLOOKUP(AP$134,'Improved Sales Adjustments'!$G$7:$ZP$147,68,FALSE),1,0)))</f>
        <v>0</v>
      </c>
      <c r="AQ158" s="41">
        <f>IF(ISERROR(HLOOKUP(AQ$134,'Improved Sales Adjustments'!$G$7:$ZP$147,68,FALSE)),0,IF(HLOOKUP(AQ$134,'Improved Sales Adjustments'!$G$7:$ZP$147,68,FALSE)="",0,IF($V158=HLOOKUP(AQ$134,'Improved Sales Adjustments'!$G$7:$ZP$147,68,FALSE),1,0)))</f>
        <v>0</v>
      </c>
      <c r="AR158" s="41">
        <f>IF(ISERROR(HLOOKUP(AR$134,'Improved Sales Adjustments'!$G$7:$ZP$147,68,FALSE)),0,IF(HLOOKUP(AR$134,'Improved Sales Adjustments'!$G$7:$ZP$147,68,FALSE)="",0,IF($V158=HLOOKUP(AR$134,'Improved Sales Adjustments'!$G$7:$ZP$147,68,FALSE),1,0)))</f>
        <v>0</v>
      </c>
      <c r="AS158" s="41">
        <f>IF(ISERROR(HLOOKUP(AS$134,'Improved Sales Adjustments'!$G$7:$ZP$147,68,FALSE)),0,IF(HLOOKUP(AS$134,'Improved Sales Adjustments'!$G$7:$ZP$147,68,FALSE)="",0,IF($V158=HLOOKUP(AS$134,'Improved Sales Adjustments'!$G$7:$ZP$147,68,FALSE),1,0)))</f>
        <v>0</v>
      </c>
      <c r="AT158" s="41">
        <f>IF(ISERROR(HLOOKUP(AT$134,'Improved Sales Adjustments'!$G$7:$ZP$147,68,FALSE)),0,IF(HLOOKUP(AT$134,'Improved Sales Adjustments'!$G$7:$ZP$147,68,FALSE)="",0,IF($V158=HLOOKUP(AT$134,'Improved Sales Adjustments'!$G$7:$ZP$147,68,FALSE),1,0)))</f>
        <v>0</v>
      </c>
      <c r="AU158" s="41">
        <f>SUM($AJ158:AJ158)</f>
        <v>0</v>
      </c>
      <c r="AV158" s="41">
        <f>SUM($AJ158:AK158)</f>
        <v>0</v>
      </c>
      <c r="AW158" s="41">
        <f>SUM($AJ158:AL158)</f>
        <v>0</v>
      </c>
      <c r="AX158" s="41">
        <f>SUM($AJ158:AM158)</f>
        <v>0</v>
      </c>
      <c r="AY158" s="41">
        <f>SUM($AJ158:AN158)</f>
        <v>0</v>
      </c>
      <c r="AZ158" s="41">
        <f>SUM($AJ158:AO158)</f>
        <v>0</v>
      </c>
      <c r="BA158" s="41">
        <f>SUM($AJ158:AP158)</f>
        <v>0</v>
      </c>
      <c r="BB158" s="41">
        <f>SUM($AJ158:AQ158)</f>
        <v>0</v>
      </c>
      <c r="BC158" s="41">
        <f>SUM($AJ158:AR158)</f>
        <v>0</v>
      </c>
      <c r="BD158" s="41">
        <f>SUM($AJ158:AS158)</f>
        <v>0</v>
      </c>
      <c r="BE158" s="41">
        <f>SUM($AJ158:AT158)</f>
        <v>0</v>
      </c>
      <c r="BF158" s="41" t="str">
        <f t="shared" si="52"/>
        <v/>
      </c>
      <c r="BG158" s="41" t="str">
        <f t="shared" si="53"/>
        <v/>
      </c>
      <c r="BH158" s="41" t="str">
        <f t="shared" si="54"/>
        <v/>
      </c>
      <c r="BI158" s="41" t="str">
        <f t="shared" si="55"/>
        <v/>
      </c>
      <c r="BJ158" s="41" t="str">
        <f t="shared" si="56"/>
        <v/>
      </c>
      <c r="BK158" s="41" t="str">
        <f t="shared" si="57"/>
        <v/>
      </c>
      <c r="BL158" s="41" t="str">
        <f t="shared" si="58"/>
        <v/>
      </c>
      <c r="BM158" s="41" t="str">
        <f t="shared" si="59"/>
        <v/>
      </c>
      <c r="BN158" s="41" t="str">
        <f t="shared" si="60"/>
        <v/>
      </c>
      <c r="BO158" s="41" t="str">
        <f t="shared" si="61"/>
        <v/>
      </c>
      <c r="BP158" s="41" t="str">
        <f t="shared" si="62"/>
        <v/>
      </c>
      <c r="BQ158" s="11"/>
      <c r="BR158" s="11"/>
    </row>
    <row r="159" spans="1:70" ht="15" customHeight="1" x14ac:dyDescent="0.25">
      <c r="A159" s="957">
        <f t="shared" si="50"/>
        <v>0</v>
      </c>
      <c r="S159" s="4"/>
      <c r="T159" s="1204"/>
      <c r="U159" s="4074" t="str">
        <f t="shared" si="51"/>
        <v/>
      </c>
      <c r="V159" s="137">
        <f t="shared" si="63"/>
        <v>24</v>
      </c>
      <c r="W159" s="2129">
        <v>7.0000000000000007E-2</v>
      </c>
      <c r="X159" s="2130">
        <v>0.13</v>
      </c>
      <c r="Y159" s="2130">
        <v>0.17</v>
      </c>
      <c r="Z159" s="2130">
        <v>0.23</v>
      </c>
      <c r="AA159" s="2130">
        <v>0.31</v>
      </c>
      <c r="AB159" s="2130">
        <v>0.4</v>
      </c>
      <c r="AC159" s="2130">
        <v>0.52</v>
      </c>
      <c r="AD159" s="2130">
        <v>0.66</v>
      </c>
      <c r="AE159" s="2130">
        <v>0.77</v>
      </c>
      <c r="AF159" s="2130"/>
      <c r="AG159" s="101"/>
      <c r="AH159" s="6"/>
      <c r="AI159" s="11"/>
      <c r="AJ159" s="41">
        <f t="shared" si="48"/>
        <v>0</v>
      </c>
      <c r="AK159" s="41">
        <f>IF(ISERROR(HLOOKUP(AK$134,'Improved Sales Adjustments'!$G$7:$ZP$147,68,FALSE)),0,IF(HLOOKUP(AK$134,'Improved Sales Adjustments'!$G$7:$ZP$147,68,FALSE)="",0,IF($V159=HLOOKUP(AK$134,'Improved Sales Adjustments'!$G$7:$ZP$147,68,FALSE),1,0)))</f>
        <v>0</v>
      </c>
      <c r="AL159" s="41">
        <f>IF(ISERROR(HLOOKUP(AL$134,'Improved Sales Adjustments'!$G$7:$ZP$147,68,FALSE)),0,IF(HLOOKUP(AL$134,'Improved Sales Adjustments'!$G$7:$ZP$147,68,FALSE)="",0,IF($V159=HLOOKUP(AL$134,'Improved Sales Adjustments'!$G$7:$ZP$147,68,FALSE),1,0)))</f>
        <v>0</v>
      </c>
      <c r="AM159" s="41">
        <f>IF(ISERROR(HLOOKUP(AM$134,'Improved Sales Adjustments'!$G$7:$ZP$147,68,FALSE)),0,IF(HLOOKUP(AM$134,'Improved Sales Adjustments'!$G$7:$ZP$147,68,FALSE)="",0,IF($V159=HLOOKUP(AM$134,'Improved Sales Adjustments'!$G$7:$ZP$147,68,FALSE),1,0)))</f>
        <v>0</v>
      </c>
      <c r="AN159" s="41">
        <f>IF(ISERROR(HLOOKUP(AN$134,'Improved Sales Adjustments'!$G$7:$ZP$147,68,FALSE)),0,IF(HLOOKUP(AN$134,'Improved Sales Adjustments'!$G$7:$ZP$147,68,FALSE)="",0,IF($V159=HLOOKUP(AN$134,'Improved Sales Adjustments'!$G$7:$ZP$147,68,FALSE),1,0)))</f>
        <v>0</v>
      </c>
      <c r="AO159" s="41">
        <f>IF(ISERROR(HLOOKUP(AO$134,'Improved Sales Adjustments'!$G$7:$ZP$147,68,FALSE)),0,IF(HLOOKUP(AO$134,'Improved Sales Adjustments'!$G$7:$ZP$147,68,FALSE)="",0,IF($V159=HLOOKUP(AO$134,'Improved Sales Adjustments'!$G$7:$ZP$147,68,FALSE),1,0)))</f>
        <v>0</v>
      </c>
      <c r="AP159" s="41">
        <f>IF(ISERROR(HLOOKUP(AP$134,'Improved Sales Adjustments'!$G$7:$ZP$147,68,FALSE)),0,IF(HLOOKUP(AP$134,'Improved Sales Adjustments'!$G$7:$ZP$147,68,FALSE)="",0,IF($V159=HLOOKUP(AP$134,'Improved Sales Adjustments'!$G$7:$ZP$147,68,FALSE),1,0)))</f>
        <v>0</v>
      </c>
      <c r="AQ159" s="41">
        <f>IF(ISERROR(HLOOKUP(AQ$134,'Improved Sales Adjustments'!$G$7:$ZP$147,68,FALSE)),0,IF(HLOOKUP(AQ$134,'Improved Sales Adjustments'!$G$7:$ZP$147,68,FALSE)="",0,IF($V159=HLOOKUP(AQ$134,'Improved Sales Adjustments'!$G$7:$ZP$147,68,FALSE),1,0)))</f>
        <v>0</v>
      </c>
      <c r="AR159" s="41">
        <f>IF(ISERROR(HLOOKUP(AR$134,'Improved Sales Adjustments'!$G$7:$ZP$147,68,FALSE)),0,IF(HLOOKUP(AR$134,'Improved Sales Adjustments'!$G$7:$ZP$147,68,FALSE)="",0,IF($V159=HLOOKUP(AR$134,'Improved Sales Adjustments'!$G$7:$ZP$147,68,FALSE),1,0)))</f>
        <v>0</v>
      </c>
      <c r="AS159" s="41">
        <f>IF(ISERROR(HLOOKUP(AS$134,'Improved Sales Adjustments'!$G$7:$ZP$147,68,FALSE)),0,IF(HLOOKUP(AS$134,'Improved Sales Adjustments'!$G$7:$ZP$147,68,FALSE)="",0,IF($V159=HLOOKUP(AS$134,'Improved Sales Adjustments'!$G$7:$ZP$147,68,FALSE),1,0)))</f>
        <v>0</v>
      </c>
      <c r="AT159" s="41">
        <f>IF(ISERROR(HLOOKUP(AT$134,'Improved Sales Adjustments'!$G$7:$ZP$147,68,FALSE)),0,IF(HLOOKUP(AT$134,'Improved Sales Adjustments'!$G$7:$ZP$147,68,FALSE)="",0,IF($V159=HLOOKUP(AT$134,'Improved Sales Adjustments'!$G$7:$ZP$147,68,FALSE),1,0)))</f>
        <v>0</v>
      </c>
      <c r="AU159" s="41">
        <f>SUM($AJ159:AJ159)</f>
        <v>0</v>
      </c>
      <c r="AV159" s="41">
        <f>SUM($AJ159:AK159)</f>
        <v>0</v>
      </c>
      <c r="AW159" s="41">
        <f>SUM($AJ159:AL159)</f>
        <v>0</v>
      </c>
      <c r="AX159" s="41">
        <f>SUM($AJ159:AM159)</f>
        <v>0</v>
      </c>
      <c r="AY159" s="41">
        <f>SUM($AJ159:AN159)</f>
        <v>0</v>
      </c>
      <c r="AZ159" s="41">
        <f>SUM($AJ159:AO159)</f>
        <v>0</v>
      </c>
      <c r="BA159" s="41">
        <f>SUM($AJ159:AP159)</f>
        <v>0</v>
      </c>
      <c r="BB159" s="41">
        <f>SUM($AJ159:AQ159)</f>
        <v>0</v>
      </c>
      <c r="BC159" s="41">
        <f>SUM($AJ159:AR159)</f>
        <v>0</v>
      </c>
      <c r="BD159" s="41">
        <f>SUM($AJ159:AS159)</f>
        <v>0</v>
      </c>
      <c r="BE159" s="41">
        <f>SUM($AJ159:AT159)</f>
        <v>0</v>
      </c>
      <c r="BF159" s="41" t="str">
        <f t="shared" si="52"/>
        <v/>
      </c>
      <c r="BG159" s="41" t="str">
        <f t="shared" si="53"/>
        <v/>
      </c>
      <c r="BH159" s="41" t="str">
        <f t="shared" si="54"/>
        <v/>
      </c>
      <c r="BI159" s="41" t="str">
        <f t="shared" si="55"/>
        <v/>
      </c>
      <c r="BJ159" s="41" t="str">
        <f t="shared" si="56"/>
        <v/>
      </c>
      <c r="BK159" s="41" t="str">
        <f t="shared" si="57"/>
        <v/>
      </c>
      <c r="BL159" s="41" t="str">
        <f t="shared" si="58"/>
        <v/>
      </c>
      <c r="BM159" s="41" t="str">
        <f t="shared" si="59"/>
        <v/>
      </c>
      <c r="BN159" s="41" t="str">
        <f t="shared" si="60"/>
        <v/>
      </c>
      <c r="BO159" s="41" t="str">
        <f t="shared" si="61"/>
        <v/>
      </c>
      <c r="BP159" s="41" t="str">
        <f t="shared" si="62"/>
        <v/>
      </c>
      <c r="BQ159" s="11"/>
      <c r="BR159" s="11"/>
    </row>
    <row r="160" spans="1:70" ht="15" customHeight="1" x14ac:dyDescent="0.25">
      <c r="A160" s="957">
        <f t="shared" si="50"/>
        <v>0</v>
      </c>
      <c r="S160" s="4"/>
      <c r="T160" s="1204"/>
      <c r="U160" s="4074" t="str">
        <f t="shared" si="51"/>
        <v/>
      </c>
      <c r="V160" s="137">
        <f t="shared" si="63"/>
        <v>25</v>
      </c>
      <c r="W160" s="2129">
        <v>7.0000000000000007E-2</v>
      </c>
      <c r="X160" s="2130">
        <v>0.14000000000000001</v>
      </c>
      <c r="Y160" s="2130">
        <v>0.19</v>
      </c>
      <c r="Z160" s="2130">
        <v>0.25</v>
      </c>
      <c r="AA160" s="2130">
        <v>0.33</v>
      </c>
      <c r="AB160" s="2130">
        <v>0.43</v>
      </c>
      <c r="AC160" s="2130">
        <v>0.55000000000000004</v>
      </c>
      <c r="AD160" s="2130">
        <v>0.69</v>
      </c>
      <c r="AE160" s="2130">
        <v>0.79</v>
      </c>
      <c r="AF160" s="2130"/>
      <c r="AG160" s="101"/>
      <c r="AH160" s="6"/>
      <c r="AI160" s="11"/>
      <c r="AJ160" s="41">
        <f t="shared" si="48"/>
        <v>0</v>
      </c>
      <c r="AK160" s="41">
        <f>IF(ISERROR(HLOOKUP(AK$134,'Improved Sales Adjustments'!$G$7:$ZP$147,68,FALSE)),0,IF(HLOOKUP(AK$134,'Improved Sales Adjustments'!$G$7:$ZP$147,68,FALSE)="",0,IF($V160=HLOOKUP(AK$134,'Improved Sales Adjustments'!$G$7:$ZP$147,68,FALSE),1,0)))</f>
        <v>0</v>
      </c>
      <c r="AL160" s="41">
        <f>IF(ISERROR(HLOOKUP(AL$134,'Improved Sales Adjustments'!$G$7:$ZP$147,68,FALSE)),0,IF(HLOOKUP(AL$134,'Improved Sales Adjustments'!$G$7:$ZP$147,68,FALSE)="",0,IF($V160=HLOOKUP(AL$134,'Improved Sales Adjustments'!$G$7:$ZP$147,68,FALSE),1,0)))</f>
        <v>0</v>
      </c>
      <c r="AM160" s="41">
        <f>IF(ISERROR(HLOOKUP(AM$134,'Improved Sales Adjustments'!$G$7:$ZP$147,68,FALSE)),0,IF(HLOOKUP(AM$134,'Improved Sales Adjustments'!$G$7:$ZP$147,68,FALSE)="",0,IF($V160=HLOOKUP(AM$134,'Improved Sales Adjustments'!$G$7:$ZP$147,68,FALSE),1,0)))</f>
        <v>0</v>
      </c>
      <c r="AN160" s="41">
        <f>IF(ISERROR(HLOOKUP(AN$134,'Improved Sales Adjustments'!$G$7:$ZP$147,68,FALSE)),0,IF(HLOOKUP(AN$134,'Improved Sales Adjustments'!$G$7:$ZP$147,68,FALSE)="",0,IF($V160=HLOOKUP(AN$134,'Improved Sales Adjustments'!$G$7:$ZP$147,68,FALSE),1,0)))</f>
        <v>0</v>
      </c>
      <c r="AO160" s="41">
        <f>IF(ISERROR(HLOOKUP(AO$134,'Improved Sales Adjustments'!$G$7:$ZP$147,68,FALSE)),0,IF(HLOOKUP(AO$134,'Improved Sales Adjustments'!$G$7:$ZP$147,68,FALSE)="",0,IF($V160=HLOOKUP(AO$134,'Improved Sales Adjustments'!$G$7:$ZP$147,68,FALSE),1,0)))</f>
        <v>0</v>
      </c>
      <c r="AP160" s="41">
        <f>IF(ISERROR(HLOOKUP(AP$134,'Improved Sales Adjustments'!$G$7:$ZP$147,68,FALSE)),0,IF(HLOOKUP(AP$134,'Improved Sales Adjustments'!$G$7:$ZP$147,68,FALSE)="",0,IF($V160=HLOOKUP(AP$134,'Improved Sales Adjustments'!$G$7:$ZP$147,68,FALSE),1,0)))</f>
        <v>0</v>
      </c>
      <c r="AQ160" s="41">
        <f>IF(ISERROR(HLOOKUP(AQ$134,'Improved Sales Adjustments'!$G$7:$ZP$147,68,FALSE)),0,IF(HLOOKUP(AQ$134,'Improved Sales Adjustments'!$G$7:$ZP$147,68,FALSE)="",0,IF($V160=HLOOKUP(AQ$134,'Improved Sales Adjustments'!$G$7:$ZP$147,68,FALSE),1,0)))</f>
        <v>0</v>
      </c>
      <c r="AR160" s="41">
        <f>IF(ISERROR(HLOOKUP(AR$134,'Improved Sales Adjustments'!$G$7:$ZP$147,68,FALSE)),0,IF(HLOOKUP(AR$134,'Improved Sales Adjustments'!$G$7:$ZP$147,68,FALSE)="",0,IF($V160=HLOOKUP(AR$134,'Improved Sales Adjustments'!$G$7:$ZP$147,68,FALSE),1,0)))</f>
        <v>0</v>
      </c>
      <c r="AS160" s="41">
        <f>IF(ISERROR(HLOOKUP(AS$134,'Improved Sales Adjustments'!$G$7:$ZP$147,68,FALSE)),0,IF(HLOOKUP(AS$134,'Improved Sales Adjustments'!$G$7:$ZP$147,68,FALSE)="",0,IF($V160=HLOOKUP(AS$134,'Improved Sales Adjustments'!$G$7:$ZP$147,68,FALSE),1,0)))</f>
        <v>0</v>
      </c>
      <c r="AT160" s="41">
        <f>IF(ISERROR(HLOOKUP(AT$134,'Improved Sales Adjustments'!$G$7:$ZP$147,68,FALSE)),0,IF(HLOOKUP(AT$134,'Improved Sales Adjustments'!$G$7:$ZP$147,68,FALSE)="",0,IF($V160=HLOOKUP(AT$134,'Improved Sales Adjustments'!$G$7:$ZP$147,68,FALSE),1,0)))</f>
        <v>0</v>
      </c>
      <c r="AU160" s="41">
        <f>SUM($AJ160:AJ160)</f>
        <v>0</v>
      </c>
      <c r="AV160" s="41">
        <f>SUM($AJ160:AK160)</f>
        <v>0</v>
      </c>
      <c r="AW160" s="41">
        <f>SUM($AJ160:AL160)</f>
        <v>0</v>
      </c>
      <c r="AX160" s="41">
        <f>SUM($AJ160:AM160)</f>
        <v>0</v>
      </c>
      <c r="AY160" s="41">
        <f>SUM($AJ160:AN160)</f>
        <v>0</v>
      </c>
      <c r="AZ160" s="41">
        <f>SUM($AJ160:AO160)</f>
        <v>0</v>
      </c>
      <c r="BA160" s="41">
        <f>SUM($AJ160:AP160)</f>
        <v>0</v>
      </c>
      <c r="BB160" s="41">
        <f>SUM($AJ160:AQ160)</f>
        <v>0</v>
      </c>
      <c r="BC160" s="41">
        <f>SUM($AJ160:AR160)</f>
        <v>0</v>
      </c>
      <c r="BD160" s="41">
        <f>SUM($AJ160:AS160)</f>
        <v>0</v>
      </c>
      <c r="BE160" s="41">
        <f>SUM($AJ160:AT160)</f>
        <v>0</v>
      </c>
      <c r="BF160" s="41" t="str">
        <f t="shared" si="52"/>
        <v/>
      </c>
      <c r="BG160" s="41" t="str">
        <f t="shared" si="53"/>
        <v/>
      </c>
      <c r="BH160" s="41" t="str">
        <f t="shared" si="54"/>
        <v/>
      </c>
      <c r="BI160" s="41" t="str">
        <f t="shared" si="55"/>
        <v/>
      </c>
      <c r="BJ160" s="41" t="str">
        <f t="shared" si="56"/>
        <v/>
      </c>
      <c r="BK160" s="41" t="str">
        <f t="shared" si="57"/>
        <v/>
      </c>
      <c r="BL160" s="41" t="str">
        <f t="shared" si="58"/>
        <v/>
      </c>
      <c r="BM160" s="41" t="str">
        <f t="shared" si="59"/>
        <v/>
      </c>
      <c r="BN160" s="41" t="str">
        <f t="shared" si="60"/>
        <v/>
      </c>
      <c r="BO160" s="41" t="str">
        <f t="shared" si="61"/>
        <v/>
      </c>
      <c r="BP160" s="41" t="str">
        <f t="shared" si="62"/>
        <v/>
      </c>
      <c r="BQ160" s="11"/>
      <c r="BR160" s="11"/>
    </row>
    <row r="161" spans="1:70" ht="15" customHeight="1" x14ac:dyDescent="0.25">
      <c r="A161" s="957">
        <f t="shared" si="50"/>
        <v>0</v>
      </c>
      <c r="S161" s="4"/>
      <c r="T161" s="1204"/>
      <c r="U161" s="4074" t="str">
        <f t="shared" si="51"/>
        <v/>
      </c>
      <c r="V161" s="137">
        <f t="shared" si="63"/>
        <v>26</v>
      </c>
      <c r="W161" s="2129">
        <v>0.08</v>
      </c>
      <c r="X161" s="2130">
        <v>0.15</v>
      </c>
      <c r="Y161" s="2130">
        <v>0.2</v>
      </c>
      <c r="Z161" s="2130">
        <v>0.27</v>
      </c>
      <c r="AA161" s="2130">
        <v>0.35</v>
      </c>
      <c r="AB161" s="2130">
        <v>0.46</v>
      </c>
      <c r="AC161" s="2130">
        <v>0.57999999999999996</v>
      </c>
      <c r="AD161" s="2130">
        <v>0.72</v>
      </c>
      <c r="AE161" s="2130">
        <v>0.8</v>
      </c>
      <c r="AF161" s="2130"/>
      <c r="AG161" s="101"/>
      <c r="AH161" s="6"/>
      <c r="AI161" s="11"/>
      <c r="AJ161" s="41">
        <f t="shared" si="48"/>
        <v>0</v>
      </c>
      <c r="AK161" s="41">
        <f>IF(ISERROR(HLOOKUP(AK$134,'Improved Sales Adjustments'!$G$7:$ZP$147,68,FALSE)),0,IF(HLOOKUP(AK$134,'Improved Sales Adjustments'!$G$7:$ZP$147,68,FALSE)="",0,IF($V161=HLOOKUP(AK$134,'Improved Sales Adjustments'!$G$7:$ZP$147,68,FALSE),1,0)))</f>
        <v>0</v>
      </c>
      <c r="AL161" s="41">
        <f>IF(ISERROR(HLOOKUP(AL$134,'Improved Sales Adjustments'!$G$7:$ZP$147,68,FALSE)),0,IF(HLOOKUP(AL$134,'Improved Sales Adjustments'!$G$7:$ZP$147,68,FALSE)="",0,IF($V161=HLOOKUP(AL$134,'Improved Sales Adjustments'!$G$7:$ZP$147,68,FALSE),1,0)))</f>
        <v>0</v>
      </c>
      <c r="AM161" s="41">
        <f>IF(ISERROR(HLOOKUP(AM$134,'Improved Sales Adjustments'!$G$7:$ZP$147,68,FALSE)),0,IF(HLOOKUP(AM$134,'Improved Sales Adjustments'!$G$7:$ZP$147,68,FALSE)="",0,IF($V161=HLOOKUP(AM$134,'Improved Sales Adjustments'!$G$7:$ZP$147,68,FALSE),1,0)))</f>
        <v>0</v>
      </c>
      <c r="AN161" s="41">
        <f>IF(ISERROR(HLOOKUP(AN$134,'Improved Sales Adjustments'!$G$7:$ZP$147,68,FALSE)),0,IF(HLOOKUP(AN$134,'Improved Sales Adjustments'!$G$7:$ZP$147,68,FALSE)="",0,IF($V161=HLOOKUP(AN$134,'Improved Sales Adjustments'!$G$7:$ZP$147,68,FALSE),1,0)))</f>
        <v>0</v>
      </c>
      <c r="AO161" s="41">
        <f>IF(ISERROR(HLOOKUP(AO$134,'Improved Sales Adjustments'!$G$7:$ZP$147,68,FALSE)),0,IF(HLOOKUP(AO$134,'Improved Sales Adjustments'!$G$7:$ZP$147,68,FALSE)="",0,IF($V161=HLOOKUP(AO$134,'Improved Sales Adjustments'!$G$7:$ZP$147,68,FALSE),1,0)))</f>
        <v>0</v>
      </c>
      <c r="AP161" s="41">
        <f>IF(ISERROR(HLOOKUP(AP$134,'Improved Sales Adjustments'!$G$7:$ZP$147,68,FALSE)),0,IF(HLOOKUP(AP$134,'Improved Sales Adjustments'!$G$7:$ZP$147,68,FALSE)="",0,IF($V161=HLOOKUP(AP$134,'Improved Sales Adjustments'!$G$7:$ZP$147,68,FALSE),1,0)))</f>
        <v>0</v>
      </c>
      <c r="AQ161" s="41">
        <f>IF(ISERROR(HLOOKUP(AQ$134,'Improved Sales Adjustments'!$G$7:$ZP$147,68,FALSE)),0,IF(HLOOKUP(AQ$134,'Improved Sales Adjustments'!$G$7:$ZP$147,68,FALSE)="",0,IF($V161=HLOOKUP(AQ$134,'Improved Sales Adjustments'!$G$7:$ZP$147,68,FALSE),1,0)))</f>
        <v>0</v>
      </c>
      <c r="AR161" s="41">
        <f>IF(ISERROR(HLOOKUP(AR$134,'Improved Sales Adjustments'!$G$7:$ZP$147,68,FALSE)),0,IF(HLOOKUP(AR$134,'Improved Sales Adjustments'!$G$7:$ZP$147,68,FALSE)="",0,IF($V161=HLOOKUP(AR$134,'Improved Sales Adjustments'!$G$7:$ZP$147,68,FALSE),1,0)))</f>
        <v>0</v>
      </c>
      <c r="AS161" s="41">
        <f>IF(ISERROR(HLOOKUP(AS$134,'Improved Sales Adjustments'!$G$7:$ZP$147,68,FALSE)),0,IF(HLOOKUP(AS$134,'Improved Sales Adjustments'!$G$7:$ZP$147,68,FALSE)="",0,IF($V161=HLOOKUP(AS$134,'Improved Sales Adjustments'!$G$7:$ZP$147,68,FALSE),1,0)))</f>
        <v>0</v>
      </c>
      <c r="AT161" s="41">
        <f>IF(ISERROR(HLOOKUP(AT$134,'Improved Sales Adjustments'!$G$7:$ZP$147,68,FALSE)),0,IF(HLOOKUP(AT$134,'Improved Sales Adjustments'!$G$7:$ZP$147,68,FALSE)="",0,IF($V161=HLOOKUP(AT$134,'Improved Sales Adjustments'!$G$7:$ZP$147,68,FALSE),1,0)))</f>
        <v>0</v>
      </c>
      <c r="AU161" s="41">
        <f>SUM($AJ161:AJ161)</f>
        <v>0</v>
      </c>
      <c r="AV161" s="41">
        <f>SUM($AJ161:AK161)</f>
        <v>0</v>
      </c>
      <c r="AW161" s="41">
        <f>SUM($AJ161:AL161)</f>
        <v>0</v>
      </c>
      <c r="AX161" s="41">
        <f>SUM($AJ161:AM161)</f>
        <v>0</v>
      </c>
      <c r="AY161" s="41">
        <f>SUM($AJ161:AN161)</f>
        <v>0</v>
      </c>
      <c r="AZ161" s="41">
        <f>SUM($AJ161:AO161)</f>
        <v>0</v>
      </c>
      <c r="BA161" s="41">
        <f>SUM($AJ161:AP161)</f>
        <v>0</v>
      </c>
      <c r="BB161" s="41">
        <f>SUM($AJ161:AQ161)</f>
        <v>0</v>
      </c>
      <c r="BC161" s="41">
        <f>SUM($AJ161:AR161)</f>
        <v>0</v>
      </c>
      <c r="BD161" s="41">
        <f>SUM($AJ161:AS161)</f>
        <v>0</v>
      </c>
      <c r="BE161" s="41">
        <f>SUM($AJ161:AT161)</f>
        <v>0</v>
      </c>
      <c r="BF161" s="41" t="str">
        <f t="shared" si="52"/>
        <v/>
      </c>
      <c r="BG161" s="41" t="str">
        <f t="shared" si="53"/>
        <v/>
      </c>
      <c r="BH161" s="41" t="str">
        <f t="shared" si="54"/>
        <v/>
      </c>
      <c r="BI161" s="41" t="str">
        <f t="shared" si="55"/>
        <v/>
      </c>
      <c r="BJ161" s="41" t="str">
        <f t="shared" si="56"/>
        <v/>
      </c>
      <c r="BK161" s="41" t="str">
        <f t="shared" si="57"/>
        <v/>
      </c>
      <c r="BL161" s="41" t="str">
        <f t="shared" si="58"/>
        <v/>
      </c>
      <c r="BM161" s="41" t="str">
        <f t="shared" si="59"/>
        <v/>
      </c>
      <c r="BN161" s="41" t="str">
        <f t="shared" si="60"/>
        <v/>
      </c>
      <c r="BO161" s="41" t="str">
        <f t="shared" si="61"/>
        <v/>
      </c>
      <c r="BP161" s="41" t="str">
        <f t="shared" si="62"/>
        <v/>
      </c>
      <c r="BQ161" s="11"/>
      <c r="BR161" s="11"/>
    </row>
    <row r="162" spans="1:70" ht="15" customHeight="1" x14ac:dyDescent="0.25">
      <c r="A162" s="957">
        <f t="shared" si="50"/>
        <v>0</v>
      </c>
      <c r="S162" s="4"/>
      <c r="T162" s="1204"/>
      <c r="U162" s="4074" t="str">
        <f t="shared" si="51"/>
        <v/>
      </c>
      <c r="V162" s="137">
        <f t="shared" si="63"/>
        <v>27</v>
      </c>
      <c r="W162" s="2129">
        <v>0.09</v>
      </c>
      <c r="X162" s="2130">
        <v>0.16</v>
      </c>
      <c r="Y162" s="2130">
        <v>0.21</v>
      </c>
      <c r="Z162" s="2130">
        <v>0.28000000000000003</v>
      </c>
      <c r="AA162" s="2130">
        <v>0.37</v>
      </c>
      <c r="AB162" s="2130">
        <v>0.49</v>
      </c>
      <c r="AC162" s="2130">
        <v>0.61</v>
      </c>
      <c r="AD162" s="2130">
        <v>0.75</v>
      </c>
      <c r="AE162" s="2130"/>
      <c r="AF162" s="2130"/>
      <c r="AG162" s="101"/>
      <c r="AH162" s="6"/>
      <c r="AI162" s="11"/>
      <c r="AJ162" s="41">
        <f t="shared" si="48"/>
        <v>0</v>
      </c>
      <c r="AK162" s="41">
        <f>IF(ISERROR(HLOOKUP(AK$134,'Improved Sales Adjustments'!$G$7:$ZP$147,68,FALSE)),0,IF(HLOOKUP(AK$134,'Improved Sales Adjustments'!$G$7:$ZP$147,68,FALSE)="",0,IF($V162=HLOOKUP(AK$134,'Improved Sales Adjustments'!$G$7:$ZP$147,68,FALSE),1,0)))</f>
        <v>0</v>
      </c>
      <c r="AL162" s="41">
        <f>IF(ISERROR(HLOOKUP(AL$134,'Improved Sales Adjustments'!$G$7:$ZP$147,68,FALSE)),0,IF(HLOOKUP(AL$134,'Improved Sales Adjustments'!$G$7:$ZP$147,68,FALSE)="",0,IF($V162=HLOOKUP(AL$134,'Improved Sales Adjustments'!$G$7:$ZP$147,68,FALSE),1,0)))</f>
        <v>0</v>
      </c>
      <c r="AM162" s="41">
        <f>IF(ISERROR(HLOOKUP(AM$134,'Improved Sales Adjustments'!$G$7:$ZP$147,68,FALSE)),0,IF(HLOOKUP(AM$134,'Improved Sales Adjustments'!$G$7:$ZP$147,68,FALSE)="",0,IF($V162=HLOOKUP(AM$134,'Improved Sales Adjustments'!$G$7:$ZP$147,68,FALSE),1,0)))</f>
        <v>0</v>
      </c>
      <c r="AN162" s="41">
        <f>IF(ISERROR(HLOOKUP(AN$134,'Improved Sales Adjustments'!$G$7:$ZP$147,68,FALSE)),0,IF(HLOOKUP(AN$134,'Improved Sales Adjustments'!$G$7:$ZP$147,68,FALSE)="",0,IF($V162=HLOOKUP(AN$134,'Improved Sales Adjustments'!$G$7:$ZP$147,68,FALSE),1,0)))</f>
        <v>0</v>
      </c>
      <c r="AO162" s="41">
        <f>IF(ISERROR(HLOOKUP(AO$134,'Improved Sales Adjustments'!$G$7:$ZP$147,68,FALSE)),0,IF(HLOOKUP(AO$134,'Improved Sales Adjustments'!$G$7:$ZP$147,68,FALSE)="",0,IF($V162=HLOOKUP(AO$134,'Improved Sales Adjustments'!$G$7:$ZP$147,68,FALSE),1,0)))</f>
        <v>0</v>
      </c>
      <c r="AP162" s="41">
        <f>IF(ISERROR(HLOOKUP(AP$134,'Improved Sales Adjustments'!$G$7:$ZP$147,68,FALSE)),0,IF(HLOOKUP(AP$134,'Improved Sales Adjustments'!$G$7:$ZP$147,68,FALSE)="",0,IF($V162=HLOOKUP(AP$134,'Improved Sales Adjustments'!$G$7:$ZP$147,68,FALSE),1,0)))</f>
        <v>0</v>
      </c>
      <c r="AQ162" s="41">
        <f>IF(ISERROR(HLOOKUP(AQ$134,'Improved Sales Adjustments'!$G$7:$ZP$147,68,FALSE)),0,IF(HLOOKUP(AQ$134,'Improved Sales Adjustments'!$G$7:$ZP$147,68,FALSE)="",0,IF($V162=HLOOKUP(AQ$134,'Improved Sales Adjustments'!$G$7:$ZP$147,68,FALSE),1,0)))</f>
        <v>0</v>
      </c>
      <c r="AR162" s="41">
        <f>IF(ISERROR(HLOOKUP(AR$134,'Improved Sales Adjustments'!$G$7:$ZP$147,68,FALSE)),0,IF(HLOOKUP(AR$134,'Improved Sales Adjustments'!$G$7:$ZP$147,68,FALSE)="",0,IF($V162=HLOOKUP(AR$134,'Improved Sales Adjustments'!$G$7:$ZP$147,68,FALSE),1,0)))</f>
        <v>0</v>
      </c>
      <c r="AS162" s="41">
        <f>IF(ISERROR(HLOOKUP(AS$134,'Improved Sales Adjustments'!$G$7:$ZP$147,68,FALSE)),0,IF(HLOOKUP(AS$134,'Improved Sales Adjustments'!$G$7:$ZP$147,68,FALSE)="",0,IF($V162=HLOOKUP(AS$134,'Improved Sales Adjustments'!$G$7:$ZP$147,68,FALSE),1,0)))</f>
        <v>0</v>
      </c>
      <c r="AT162" s="41">
        <f>IF(ISERROR(HLOOKUP(AT$134,'Improved Sales Adjustments'!$G$7:$ZP$147,68,FALSE)),0,IF(HLOOKUP(AT$134,'Improved Sales Adjustments'!$G$7:$ZP$147,68,FALSE)="",0,IF($V162=HLOOKUP(AT$134,'Improved Sales Adjustments'!$G$7:$ZP$147,68,FALSE),1,0)))</f>
        <v>0</v>
      </c>
      <c r="AU162" s="41">
        <f>SUM($AJ162:AJ162)</f>
        <v>0</v>
      </c>
      <c r="AV162" s="41">
        <f>SUM($AJ162:AK162)</f>
        <v>0</v>
      </c>
      <c r="AW162" s="41">
        <f>SUM($AJ162:AL162)</f>
        <v>0</v>
      </c>
      <c r="AX162" s="41">
        <f>SUM($AJ162:AM162)</f>
        <v>0</v>
      </c>
      <c r="AY162" s="41">
        <f>SUM($AJ162:AN162)</f>
        <v>0</v>
      </c>
      <c r="AZ162" s="41">
        <f>SUM($AJ162:AO162)</f>
        <v>0</v>
      </c>
      <c r="BA162" s="41">
        <f>SUM($AJ162:AP162)</f>
        <v>0</v>
      </c>
      <c r="BB162" s="41">
        <f>SUM($AJ162:AQ162)</f>
        <v>0</v>
      </c>
      <c r="BC162" s="41">
        <f>SUM($AJ162:AR162)</f>
        <v>0</v>
      </c>
      <c r="BD162" s="41">
        <f>SUM($AJ162:AS162)</f>
        <v>0</v>
      </c>
      <c r="BE162" s="41">
        <f>SUM($AJ162:AT162)</f>
        <v>0</v>
      </c>
      <c r="BF162" s="41" t="str">
        <f t="shared" si="52"/>
        <v/>
      </c>
      <c r="BG162" s="41" t="str">
        <f t="shared" si="53"/>
        <v/>
      </c>
      <c r="BH162" s="41" t="str">
        <f t="shared" si="54"/>
        <v/>
      </c>
      <c r="BI162" s="41" t="str">
        <f t="shared" si="55"/>
        <v/>
      </c>
      <c r="BJ162" s="41" t="str">
        <f t="shared" si="56"/>
        <v/>
      </c>
      <c r="BK162" s="41" t="str">
        <f t="shared" si="57"/>
        <v/>
      </c>
      <c r="BL162" s="41" t="str">
        <f t="shared" si="58"/>
        <v/>
      </c>
      <c r="BM162" s="41" t="str">
        <f t="shared" si="59"/>
        <v/>
      </c>
      <c r="BN162" s="41" t="str">
        <f t="shared" si="60"/>
        <v/>
      </c>
      <c r="BO162" s="41" t="str">
        <f t="shared" si="61"/>
        <v/>
      </c>
      <c r="BP162" s="41" t="str">
        <f t="shared" si="62"/>
        <v/>
      </c>
      <c r="BQ162" s="11"/>
      <c r="BR162" s="11"/>
    </row>
    <row r="163" spans="1:70" ht="15" customHeight="1" x14ac:dyDescent="0.25">
      <c r="A163" s="957">
        <f t="shared" si="50"/>
        <v>0</v>
      </c>
      <c r="S163" s="4"/>
      <c r="T163" s="1204"/>
      <c r="U163" s="4074" t="str">
        <f t="shared" si="51"/>
        <v/>
      </c>
      <c r="V163" s="137">
        <f t="shared" si="63"/>
        <v>28</v>
      </c>
      <c r="W163" s="2129">
        <v>0.09</v>
      </c>
      <c r="X163" s="2130">
        <v>0.17</v>
      </c>
      <c r="Y163" s="2130">
        <v>0.23</v>
      </c>
      <c r="Z163" s="2130">
        <v>0.3</v>
      </c>
      <c r="AA163" s="2130">
        <v>0.4</v>
      </c>
      <c r="AB163" s="2130">
        <v>0.52</v>
      </c>
      <c r="AC163" s="2130">
        <v>0.64</v>
      </c>
      <c r="AD163" s="2130">
        <v>0.77</v>
      </c>
      <c r="AE163" s="2130"/>
      <c r="AF163" s="2130"/>
      <c r="AG163" s="101"/>
      <c r="AH163" s="6"/>
      <c r="AI163" s="11"/>
      <c r="AJ163" s="41">
        <f t="shared" si="48"/>
        <v>0</v>
      </c>
      <c r="AK163" s="41">
        <f>IF(ISERROR(HLOOKUP(AK$134,'Improved Sales Adjustments'!$G$7:$ZP$147,68,FALSE)),0,IF(HLOOKUP(AK$134,'Improved Sales Adjustments'!$G$7:$ZP$147,68,FALSE)="",0,IF($V163=HLOOKUP(AK$134,'Improved Sales Adjustments'!$G$7:$ZP$147,68,FALSE),1,0)))</f>
        <v>0</v>
      </c>
      <c r="AL163" s="41">
        <f>IF(ISERROR(HLOOKUP(AL$134,'Improved Sales Adjustments'!$G$7:$ZP$147,68,FALSE)),0,IF(HLOOKUP(AL$134,'Improved Sales Adjustments'!$G$7:$ZP$147,68,FALSE)="",0,IF($V163=HLOOKUP(AL$134,'Improved Sales Adjustments'!$G$7:$ZP$147,68,FALSE),1,0)))</f>
        <v>0</v>
      </c>
      <c r="AM163" s="41">
        <f>IF(ISERROR(HLOOKUP(AM$134,'Improved Sales Adjustments'!$G$7:$ZP$147,68,FALSE)),0,IF(HLOOKUP(AM$134,'Improved Sales Adjustments'!$G$7:$ZP$147,68,FALSE)="",0,IF($V163=HLOOKUP(AM$134,'Improved Sales Adjustments'!$G$7:$ZP$147,68,FALSE),1,0)))</f>
        <v>0</v>
      </c>
      <c r="AN163" s="41">
        <f>IF(ISERROR(HLOOKUP(AN$134,'Improved Sales Adjustments'!$G$7:$ZP$147,68,FALSE)),0,IF(HLOOKUP(AN$134,'Improved Sales Adjustments'!$G$7:$ZP$147,68,FALSE)="",0,IF($V163=HLOOKUP(AN$134,'Improved Sales Adjustments'!$G$7:$ZP$147,68,FALSE),1,0)))</f>
        <v>0</v>
      </c>
      <c r="AO163" s="41">
        <f>IF(ISERROR(HLOOKUP(AO$134,'Improved Sales Adjustments'!$G$7:$ZP$147,68,FALSE)),0,IF(HLOOKUP(AO$134,'Improved Sales Adjustments'!$G$7:$ZP$147,68,FALSE)="",0,IF($V163=HLOOKUP(AO$134,'Improved Sales Adjustments'!$G$7:$ZP$147,68,FALSE),1,0)))</f>
        <v>0</v>
      </c>
      <c r="AP163" s="41">
        <f>IF(ISERROR(HLOOKUP(AP$134,'Improved Sales Adjustments'!$G$7:$ZP$147,68,FALSE)),0,IF(HLOOKUP(AP$134,'Improved Sales Adjustments'!$G$7:$ZP$147,68,FALSE)="",0,IF($V163=HLOOKUP(AP$134,'Improved Sales Adjustments'!$G$7:$ZP$147,68,FALSE),1,0)))</f>
        <v>0</v>
      </c>
      <c r="AQ163" s="41">
        <f>IF(ISERROR(HLOOKUP(AQ$134,'Improved Sales Adjustments'!$G$7:$ZP$147,68,FALSE)),0,IF(HLOOKUP(AQ$134,'Improved Sales Adjustments'!$G$7:$ZP$147,68,FALSE)="",0,IF($V163=HLOOKUP(AQ$134,'Improved Sales Adjustments'!$G$7:$ZP$147,68,FALSE),1,0)))</f>
        <v>0</v>
      </c>
      <c r="AR163" s="41">
        <f>IF(ISERROR(HLOOKUP(AR$134,'Improved Sales Adjustments'!$G$7:$ZP$147,68,FALSE)),0,IF(HLOOKUP(AR$134,'Improved Sales Adjustments'!$G$7:$ZP$147,68,FALSE)="",0,IF($V163=HLOOKUP(AR$134,'Improved Sales Adjustments'!$G$7:$ZP$147,68,FALSE),1,0)))</f>
        <v>0</v>
      </c>
      <c r="AS163" s="41">
        <f>IF(ISERROR(HLOOKUP(AS$134,'Improved Sales Adjustments'!$G$7:$ZP$147,68,FALSE)),0,IF(HLOOKUP(AS$134,'Improved Sales Adjustments'!$G$7:$ZP$147,68,FALSE)="",0,IF($V163=HLOOKUP(AS$134,'Improved Sales Adjustments'!$G$7:$ZP$147,68,FALSE),1,0)))</f>
        <v>0</v>
      </c>
      <c r="AT163" s="41">
        <f>IF(ISERROR(HLOOKUP(AT$134,'Improved Sales Adjustments'!$G$7:$ZP$147,68,FALSE)),0,IF(HLOOKUP(AT$134,'Improved Sales Adjustments'!$G$7:$ZP$147,68,FALSE)="",0,IF($V163=HLOOKUP(AT$134,'Improved Sales Adjustments'!$G$7:$ZP$147,68,FALSE),1,0)))</f>
        <v>0</v>
      </c>
      <c r="AU163" s="41">
        <f>SUM($AJ163:AJ163)</f>
        <v>0</v>
      </c>
      <c r="AV163" s="41">
        <f>SUM($AJ163:AK163)</f>
        <v>0</v>
      </c>
      <c r="AW163" s="41">
        <f>SUM($AJ163:AL163)</f>
        <v>0</v>
      </c>
      <c r="AX163" s="41">
        <f>SUM($AJ163:AM163)</f>
        <v>0</v>
      </c>
      <c r="AY163" s="41">
        <f>SUM($AJ163:AN163)</f>
        <v>0</v>
      </c>
      <c r="AZ163" s="41">
        <f>SUM($AJ163:AO163)</f>
        <v>0</v>
      </c>
      <c r="BA163" s="41">
        <f>SUM($AJ163:AP163)</f>
        <v>0</v>
      </c>
      <c r="BB163" s="41">
        <f>SUM($AJ163:AQ163)</f>
        <v>0</v>
      </c>
      <c r="BC163" s="41">
        <f>SUM($AJ163:AR163)</f>
        <v>0</v>
      </c>
      <c r="BD163" s="41">
        <f>SUM($AJ163:AS163)</f>
        <v>0</v>
      </c>
      <c r="BE163" s="41">
        <f>SUM($AJ163:AT163)</f>
        <v>0</v>
      </c>
      <c r="BF163" s="41" t="str">
        <f t="shared" si="52"/>
        <v/>
      </c>
      <c r="BG163" s="41" t="str">
        <f t="shared" si="53"/>
        <v/>
      </c>
      <c r="BH163" s="41" t="str">
        <f t="shared" si="54"/>
        <v/>
      </c>
      <c r="BI163" s="41" t="str">
        <f t="shared" si="55"/>
        <v/>
      </c>
      <c r="BJ163" s="41" t="str">
        <f t="shared" si="56"/>
        <v/>
      </c>
      <c r="BK163" s="41" t="str">
        <f t="shared" si="57"/>
        <v/>
      </c>
      <c r="BL163" s="41" t="str">
        <f t="shared" si="58"/>
        <v/>
      </c>
      <c r="BM163" s="41" t="str">
        <f t="shared" si="59"/>
        <v/>
      </c>
      <c r="BN163" s="41" t="str">
        <f t="shared" si="60"/>
        <v/>
      </c>
      <c r="BO163" s="41" t="str">
        <f t="shared" si="61"/>
        <v/>
      </c>
      <c r="BP163" s="41" t="str">
        <f t="shared" si="62"/>
        <v/>
      </c>
      <c r="BQ163" s="11"/>
      <c r="BR163" s="11"/>
    </row>
    <row r="164" spans="1:70" ht="15" customHeight="1" x14ac:dyDescent="0.25">
      <c r="A164" s="957">
        <f t="shared" si="50"/>
        <v>0</v>
      </c>
      <c r="S164" s="4"/>
      <c r="T164" s="1204"/>
      <c r="U164" s="4074" t="str">
        <f t="shared" si="51"/>
        <v/>
      </c>
      <c r="V164" s="137">
        <f t="shared" si="63"/>
        <v>29</v>
      </c>
      <c r="W164" s="2129">
        <v>0.1</v>
      </c>
      <c r="X164" s="2130">
        <v>0.18</v>
      </c>
      <c r="Y164" s="2130">
        <v>0.24</v>
      </c>
      <c r="Z164" s="2130">
        <v>0.32</v>
      </c>
      <c r="AA164" s="2130">
        <v>0.42</v>
      </c>
      <c r="AB164" s="2130">
        <v>0.54</v>
      </c>
      <c r="AC164" s="2130">
        <v>0.68</v>
      </c>
      <c r="AD164" s="2130">
        <v>0.78</v>
      </c>
      <c r="AE164" s="2130"/>
      <c r="AF164" s="2130"/>
      <c r="AG164" s="101"/>
      <c r="AH164" s="6"/>
      <c r="AI164" s="11"/>
      <c r="AJ164" s="41">
        <f t="shared" si="48"/>
        <v>0</v>
      </c>
      <c r="AK164" s="41">
        <f>IF(ISERROR(HLOOKUP(AK$134,'Improved Sales Adjustments'!$G$7:$ZP$147,68,FALSE)),0,IF(HLOOKUP(AK$134,'Improved Sales Adjustments'!$G$7:$ZP$147,68,FALSE)="",0,IF($V164=HLOOKUP(AK$134,'Improved Sales Adjustments'!$G$7:$ZP$147,68,FALSE),1,0)))</f>
        <v>0</v>
      </c>
      <c r="AL164" s="41">
        <f>IF(ISERROR(HLOOKUP(AL$134,'Improved Sales Adjustments'!$G$7:$ZP$147,68,FALSE)),0,IF(HLOOKUP(AL$134,'Improved Sales Adjustments'!$G$7:$ZP$147,68,FALSE)="",0,IF($V164=HLOOKUP(AL$134,'Improved Sales Adjustments'!$G$7:$ZP$147,68,FALSE),1,0)))</f>
        <v>0</v>
      </c>
      <c r="AM164" s="41">
        <f>IF(ISERROR(HLOOKUP(AM$134,'Improved Sales Adjustments'!$G$7:$ZP$147,68,FALSE)),0,IF(HLOOKUP(AM$134,'Improved Sales Adjustments'!$G$7:$ZP$147,68,FALSE)="",0,IF($V164=HLOOKUP(AM$134,'Improved Sales Adjustments'!$G$7:$ZP$147,68,FALSE),1,0)))</f>
        <v>0</v>
      </c>
      <c r="AN164" s="41">
        <f>IF(ISERROR(HLOOKUP(AN$134,'Improved Sales Adjustments'!$G$7:$ZP$147,68,FALSE)),0,IF(HLOOKUP(AN$134,'Improved Sales Adjustments'!$G$7:$ZP$147,68,FALSE)="",0,IF($V164=HLOOKUP(AN$134,'Improved Sales Adjustments'!$G$7:$ZP$147,68,FALSE),1,0)))</f>
        <v>0</v>
      </c>
      <c r="AO164" s="41">
        <f>IF(ISERROR(HLOOKUP(AO$134,'Improved Sales Adjustments'!$G$7:$ZP$147,68,FALSE)),0,IF(HLOOKUP(AO$134,'Improved Sales Adjustments'!$G$7:$ZP$147,68,FALSE)="",0,IF($V164=HLOOKUP(AO$134,'Improved Sales Adjustments'!$G$7:$ZP$147,68,FALSE),1,0)))</f>
        <v>0</v>
      </c>
      <c r="AP164" s="41">
        <f>IF(ISERROR(HLOOKUP(AP$134,'Improved Sales Adjustments'!$G$7:$ZP$147,68,FALSE)),0,IF(HLOOKUP(AP$134,'Improved Sales Adjustments'!$G$7:$ZP$147,68,FALSE)="",0,IF($V164=HLOOKUP(AP$134,'Improved Sales Adjustments'!$G$7:$ZP$147,68,FALSE),1,0)))</f>
        <v>0</v>
      </c>
      <c r="AQ164" s="41">
        <f>IF(ISERROR(HLOOKUP(AQ$134,'Improved Sales Adjustments'!$G$7:$ZP$147,68,FALSE)),0,IF(HLOOKUP(AQ$134,'Improved Sales Adjustments'!$G$7:$ZP$147,68,FALSE)="",0,IF($V164=HLOOKUP(AQ$134,'Improved Sales Adjustments'!$G$7:$ZP$147,68,FALSE),1,0)))</f>
        <v>0</v>
      </c>
      <c r="AR164" s="41">
        <f>IF(ISERROR(HLOOKUP(AR$134,'Improved Sales Adjustments'!$G$7:$ZP$147,68,FALSE)),0,IF(HLOOKUP(AR$134,'Improved Sales Adjustments'!$G$7:$ZP$147,68,FALSE)="",0,IF($V164=HLOOKUP(AR$134,'Improved Sales Adjustments'!$G$7:$ZP$147,68,FALSE),1,0)))</f>
        <v>0</v>
      </c>
      <c r="AS164" s="41">
        <f>IF(ISERROR(HLOOKUP(AS$134,'Improved Sales Adjustments'!$G$7:$ZP$147,68,FALSE)),0,IF(HLOOKUP(AS$134,'Improved Sales Adjustments'!$G$7:$ZP$147,68,FALSE)="",0,IF($V164=HLOOKUP(AS$134,'Improved Sales Adjustments'!$G$7:$ZP$147,68,FALSE),1,0)))</f>
        <v>0</v>
      </c>
      <c r="AT164" s="41">
        <f>IF(ISERROR(HLOOKUP(AT$134,'Improved Sales Adjustments'!$G$7:$ZP$147,68,FALSE)),0,IF(HLOOKUP(AT$134,'Improved Sales Adjustments'!$G$7:$ZP$147,68,FALSE)="",0,IF($V164=HLOOKUP(AT$134,'Improved Sales Adjustments'!$G$7:$ZP$147,68,FALSE),1,0)))</f>
        <v>0</v>
      </c>
      <c r="AU164" s="41">
        <f>SUM($AJ164:AJ164)</f>
        <v>0</v>
      </c>
      <c r="AV164" s="41">
        <f>SUM($AJ164:AK164)</f>
        <v>0</v>
      </c>
      <c r="AW164" s="41">
        <f>SUM($AJ164:AL164)</f>
        <v>0</v>
      </c>
      <c r="AX164" s="41">
        <f>SUM($AJ164:AM164)</f>
        <v>0</v>
      </c>
      <c r="AY164" s="41">
        <f>SUM($AJ164:AN164)</f>
        <v>0</v>
      </c>
      <c r="AZ164" s="41">
        <f>SUM($AJ164:AO164)</f>
        <v>0</v>
      </c>
      <c r="BA164" s="41">
        <f>SUM($AJ164:AP164)</f>
        <v>0</v>
      </c>
      <c r="BB164" s="41">
        <f>SUM($AJ164:AQ164)</f>
        <v>0</v>
      </c>
      <c r="BC164" s="41">
        <f>SUM($AJ164:AR164)</f>
        <v>0</v>
      </c>
      <c r="BD164" s="41">
        <f>SUM($AJ164:AS164)</f>
        <v>0</v>
      </c>
      <c r="BE164" s="41">
        <f>SUM($AJ164:AT164)</f>
        <v>0</v>
      </c>
      <c r="BF164" s="41" t="str">
        <f t="shared" si="52"/>
        <v/>
      </c>
      <c r="BG164" s="41" t="str">
        <f t="shared" si="53"/>
        <v/>
      </c>
      <c r="BH164" s="41" t="str">
        <f t="shared" si="54"/>
        <v/>
      </c>
      <c r="BI164" s="41" t="str">
        <f t="shared" si="55"/>
        <v/>
      </c>
      <c r="BJ164" s="41" t="str">
        <f t="shared" si="56"/>
        <v/>
      </c>
      <c r="BK164" s="41" t="str">
        <f t="shared" si="57"/>
        <v/>
      </c>
      <c r="BL164" s="41" t="str">
        <f t="shared" si="58"/>
        <v/>
      </c>
      <c r="BM164" s="41" t="str">
        <f t="shared" si="59"/>
        <v/>
      </c>
      <c r="BN164" s="41" t="str">
        <f t="shared" si="60"/>
        <v/>
      </c>
      <c r="BO164" s="41" t="str">
        <f t="shared" si="61"/>
        <v/>
      </c>
      <c r="BP164" s="41" t="str">
        <f t="shared" si="62"/>
        <v/>
      </c>
      <c r="BQ164" s="11"/>
      <c r="BR164" s="11"/>
    </row>
    <row r="165" spans="1:70" ht="15" customHeight="1" x14ac:dyDescent="0.25">
      <c r="A165" s="957">
        <f t="shared" si="50"/>
        <v>0</v>
      </c>
      <c r="S165" s="4"/>
      <c r="T165" s="1204"/>
      <c r="U165" s="4074" t="str">
        <f t="shared" si="51"/>
        <v/>
      </c>
      <c r="V165" s="137">
        <f t="shared" si="63"/>
        <v>30</v>
      </c>
      <c r="W165" s="2129">
        <v>0.11</v>
      </c>
      <c r="X165" s="2130">
        <v>0.2</v>
      </c>
      <c r="Y165" s="2130">
        <v>0.26</v>
      </c>
      <c r="Z165" s="2130">
        <v>0.34</v>
      </c>
      <c r="AA165" s="2130">
        <v>0.45</v>
      </c>
      <c r="AB165" s="2130">
        <v>0.56999999999999995</v>
      </c>
      <c r="AC165" s="2130">
        <v>0.72</v>
      </c>
      <c r="AD165" s="2130">
        <v>0.79</v>
      </c>
      <c r="AE165" s="2130"/>
      <c r="AF165" s="2130"/>
      <c r="AG165" s="101"/>
      <c r="AH165" s="6"/>
      <c r="AI165" s="11"/>
      <c r="AJ165" s="41">
        <f t="shared" si="48"/>
        <v>0</v>
      </c>
      <c r="AK165" s="41">
        <f>IF(ISERROR(HLOOKUP(AK$134,'Improved Sales Adjustments'!$G$7:$ZP$147,68,FALSE)),0,IF(HLOOKUP(AK$134,'Improved Sales Adjustments'!$G$7:$ZP$147,68,FALSE)="",0,IF($V165=HLOOKUP(AK$134,'Improved Sales Adjustments'!$G$7:$ZP$147,68,FALSE),1,0)))</f>
        <v>0</v>
      </c>
      <c r="AL165" s="41">
        <f>IF(ISERROR(HLOOKUP(AL$134,'Improved Sales Adjustments'!$G$7:$ZP$147,68,FALSE)),0,IF(HLOOKUP(AL$134,'Improved Sales Adjustments'!$G$7:$ZP$147,68,FALSE)="",0,IF($V165=HLOOKUP(AL$134,'Improved Sales Adjustments'!$G$7:$ZP$147,68,FALSE),1,0)))</f>
        <v>0</v>
      </c>
      <c r="AM165" s="41">
        <f>IF(ISERROR(HLOOKUP(AM$134,'Improved Sales Adjustments'!$G$7:$ZP$147,68,FALSE)),0,IF(HLOOKUP(AM$134,'Improved Sales Adjustments'!$G$7:$ZP$147,68,FALSE)="",0,IF($V165=HLOOKUP(AM$134,'Improved Sales Adjustments'!$G$7:$ZP$147,68,FALSE),1,0)))</f>
        <v>0</v>
      </c>
      <c r="AN165" s="41">
        <f>IF(ISERROR(HLOOKUP(AN$134,'Improved Sales Adjustments'!$G$7:$ZP$147,68,FALSE)),0,IF(HLOOKUP(AN$134,'Improved Sales Adjustments'!$G$7:$ZP$147,68,FALSE)="",0,IF($V165=HLOOKUP(AN$134,'Improved Sales Adjustments'!$G$7:$ZP$147,68,FALSE),1,0)))</f>
        <v>0</v>
      </c>
      <c r="AO165" s="41">
        <f>IF(ISERROR(HLOOKUP(AO$134,'Improved Sales Adjustments'!$G$7:$ZP$147,68,FALSE)),0,IF(HLOOKUP(AO$134,'Improved Sales Adjustments'!$G$7:$ZP$147,68,FALSE)="",0,IF($V165=HLOOKUP(AO$134,'Improved Sales Adjustments'!$G$7:$ZP$147,68,FALSE),1,0)))</f>
        <v>0</v>
      </c>
      <c r="AP165" s="41">
        <f>IF(ISERROR(HLOOKUP(AP$134,'Improved Sales Adjustments'!$G$7:$ZP$147,68,FALSE)),0,IF(HLOOKUP(AP$134,'Improved Sales Adjustments'!$G$7:$ZP$147,68,FALSE)="",0,IF($V165=HLOOKUP(AP$134,'Improved Sales Adjustments'!$G$7:$ZP$147,68,FALSE),1,0)))</f>
        <v>0</v>
      </c>
      <c r="AQ165" s="41">
        <f>IF(ISERROR(HLOOKUP(AQ$134,'Improved Sales Adjustments'!$G$7:$ZP$147,68,FALSE)),0,IF(HLOOKUP(AQ$134,'Improved Sales Adjustments'!$G$7:$ZP$147,68,FALSE)="",0,IF($V165=HLOOKUP(AQ$134,'Improved Sales Adjustments'!$G$7:$ZP$147,68,FALSE),1,0)))</f>
        <v>0</v>
      </c>
      <c r="AR165" s="41">
        <f>IF(ISERROR(HLOOKUP(AR$134,'Improved Sales Adjustments'!$G$7:$ZP$147,68,FALSE)),0,IF(HLOOKUP(AR$134,'Improved Sales Adjustments'!$G$7:$ZP$147,68,FALSE)="",0,IF($V165=HLOOKUP(AR$134,'Improved Sales Adjustments'!$G$7:$ZP$147,68,FALSE),1,0)))</f>
        <v>0</v>
      </c>
      <c r="AS165" s="41">
        <f>IF(ISERROR(HLOOKUP(AS$134,'Improved Sales Adjustments'!$G$7:$ZP$147,68,FALSE)),0,IF(HLOOKUP(AS$134,'Improved Sales Adjustments'!$G$7:$ZP$147,68,FALSE)="",0,IF($V165=HLOOKUP(AS$134,'Improved Sales Adjustments'!$G$7:$ZP$147,68,FALSE),1,0)))</f>
        <v>0</v>
      </c>
      <c r="AT165" s="41">
        <f>IF(ISERROR(HLOOKUP(AT$134,'Improved Sales Adjustments'!$G$7:$ZP$147,68,FALSE)),0,IF(HLOOKUP(AT$134,'Improved Sales Adjustments'!$G$7:$ZP$147,68,FALSE)="",0,IF($V165=HLOOKUP(AT$134,'Improved Sales Adjustments'!$G$7:$ZP$147,68,FALSE),1,0)))</f>
        <v>0</v>
      </c>
      <c r="AU165" s="41">
        <f>SUM($AJ165:AJ165)</f>
        <v>0</v>
      </c>
      <c r="AV165" s="41">
        <f>SUM($AJ165:AK165)</f>
        <v>0</v>
      </c>
      <c r="AW165" s="41">
        <f>SUM($AJ165:AL165)</f>
        <v>0</v>
      </c>
      <c r="AX165" s="41">
        <f>SUM($AJ165:AM165)</f>
        <v>0</v>
      </c>
      <c r="AY165" s="41">
        <f>SUM($AJ165:AN165)</f>
        <v>0</v>
      </c>
      <c r="AZ165" s="41">
        <f>SUM($AJ165:AO165)</f>
        <v>0</v>
      </c>
      <c r="BA165" s="41">
        <f>SUM($AJ165:AP165)</f>
        <v>0</v>
      </c>
      <c r="BB165" s="41">
        <f>SUM($AJ165:AQ165)</f>
        <v>0</v>
      </c>
      <c r="BC165" s="41">
        <f>SUM($AJ165:AR165)</f>
        <v>0</v>
      </c>
      <c r="BD165" s="41">
        <f>SUM($AJ165:AS165)</f>
        <v>0</v>
      </c>
      <c r="BE165" s="41">
        <f>SUM($AJ165:AT165)</f>
        <v>0</v>
      </c>
      <c r="BF165" s="41" t="str">
        <f t="shared" si="52"/>
        <v/>
      </c>
      <c r="BG165" s="41" t="str">
        <f t="shared" si="53"/>
        <v/>
      </c>
      <c r="BH165" s="41" t="str">
        <f t="shared" si="54"/>
        <v/>
      </c>
      <c r="BI165" s="41" t="str">
        <f t="shared" si="55"/>
        <v/>
      </c>
      <c r="BJ165" s="41" t="str">
        <f t="shared" si="56"/>
        <v/>
      </c>
      <c r="BK165" s="41" t="str">
        <f t="shared" si="57"/>
        <v/>
      </c>
      <c r="BL165" s="41" t="str">
        <f t="shared" si="58"/>
        <v/>
      </c>
      <c r="BM165" s="41" t="str">
        <f t="shared" si="59"/>
        <v/>
      </c>
      <c r="BN165" s="41" t="str">
        <f t="shared" si="60"/>
        <v/>
      </c>
      <c r="BO165" s="41" t="str">
        <f t="shared" si="61"/>
        <v/>
      </c>
      <c r="BP165" s="41" t="str">
        <f t="shared" si="62"/>
        <v/>
      </c>
      <c r="BQ165" s="11"/>
      <c r="BR165" s="11"/>
    </row>
    <row r="166" spans="1:70" ht="15" customHeight="1" x14ac:dyDescent="0.25">
      <c r="A166" s="957">
        <f t="shared" si="50"/>
        <v>0</v>
      </c>
      <c r="S166" s="4"/>
      <c r="T166" s="1204"/>
      <c r="U166" s="4074" t="str">
        <f t="shared" si="51"/>
        <v/>
      </c>
      <c r="V166" s="137">
        <f t="shared" si="63"/>
        <v>31</v>
      </c>
      <c r="W166" s="2129">
        <v>0.12</v>
      </c>
      <c r="X166" s="2130">
        <f t="shared" ref="X166:AD166" si="64">(X167+X165)/2</f>
        <v>0.21000000000000002</v>
      </c>
      <c r="Y166" s="2130">
        <f t="shared" si="64"/>
        <v>0.28000000000000003</v>
      </c>
      <c r="Z166" s="2130">
        <f t="shared" si="64"/>
        <v>0.36</v>
      </c>
      <c r="AA166" s="2130">
        <f t="shared" si="64"/>
        <v>0.47499999999999998</v>
      </c>
      <c r="AB166" s="2130">
        <f t="shared" si="64"/>
        <v>0.59499999999999997</v>
      </c>
      <c r="AC166" s="2130">
        <f t="shared" si="64"/>
        <v>0.73499999999999999</v>
      </c>
      <c r="AD166" s="2130">
        <f t="shared" si="64"/>
        <v>0.79500000000000004</v>
      </c>
      <c r="AE166" s="2130"/>
      <c r="AF166" s="2130"/>
      <c r="AG166" s="101"/>
      <c r="AH166" s="6"/>
      <c r="AI166" s="11"/>
      <c r="AJ166" s="41">
        <f t="shared" si="48"/>
        <v>0</v>
      </c>
      <c r="AK166" s="41">
        <f>IF(ISERROR(HLOOKUP(AK$134,'Improved Sales Adjustments'!$G$7:$ZP$147,68,FALSE)),0,IF(HLOOKUP(AK$134,'Improved Sales Adjustments'!$G$7:$ZP$147,68,FALSE)="",0,IF($V166=HLOOKUP(AK$134,'Improved Sales Adjustments'!$G$7:$ZP$147,68,FALSE),1,0)))</f>
        <v>0</v>
      </c>
      <c r="AL166" s="41">
        <f>IF(ISERROR(HLOOKUP(AL$134,'Improved Sales Adjustments'!$G$7:$ZP$147,68,FALSE)),0,IF(HLOOKUP(AL$134,'Improved Sales Adjustments'!$G$7:$ZP$147,68,FALSE)="",0,IF($V166=HLOOKUP(AL$134,'Improved Sales Adjustments'!$G$7:$ZP$147,68,FALSE),1,0)))</f>
        <v>0</v>
      </c>
      <c r="AM166" s="41">
        <f>IF(ISERROR(HLOOKUP(AM$134,'Improved Sales Adjustments'!$G$7:$ZP$147,68,FALSE)),0,IF(HLOOKUP(AM$134,'Improved Sales Adjustments'!$G$7:$ZP$147,68,FALSE)="",0,IF($V166=HLOOKUP(AM$134,'Improved Sales Adjustments'!$G$7:$ZP$147,68,FALSE),1,0)))</f>
        <v>0</v>
      </c>
      <c r="AN166" s="41">
        <f>IF(ISERROR(HLOOKUP(AN$134,'Improved Sales Adjustments'!$G$7:$ZP$147,68,FALSE)),0,IF(HLOOKUP(AN$134,'Improved Sales Adjustments'!$G$7:$ZP$147,68,FALSE)="",0,IF($V166=HLOOKUP(AN$134,'Improved Sales Adjustments'!$G$7:$ZP$147,68,FALSE),1,0)))</f>
        <v>0</v>
      </c>
      <c r="AO166" s="41">
        <f>IF(ISERROR(HLOOKUP(AO$134,'Improved Sales Adjustments'!$G$7:$ZP$147,68,FALSE)),0,IF(HLOOKUP(AO$134,'Improved Sales Adjustments'!$G$7:$ZP$147,68,FALSE)="",0,IF($V166=HLOOKUP(AO$134,'Improved Sales Adjustments'!$G$7:$ZP$147,68,FALSE),1,0)))</f>
        <v>0</v>
      </c>
      <c r="AP166" s="41">
        <f>IF(ISERROR(HLOOKUP(AP$134,'Improved Sales Adjustments'!$G$7:$ZP$147,68,FALSE)),0,IF(HLOOKUP(AP$134,'Improved Sales Adjustments'!$G$7:$ZP$147,68,FALSE)="",0,IF($V166=HLOOKUP(AP$134,'Improved Sales Adjustments'!$G$7:$ZP$147,68,FALSE),1,0)))</f>
        <v>0</v>
      </c>
      <c r="AQ166" s="41">
        <f>IF(ISERROR(HLOOKUP(AQ$134,'Improved Sales Adjustments'!$G$7:$ZP$147,68,FALSE)),0,IF(HLOOKUP(AQ$134,'Improved Sales Adjustments'!$G$7:$ZP$147,68,FALSE)="",0,IF($V166=HLOOKUP(AQ$134,'Improved Sales Adjustments'!$G$7:$ZP$147,68,FALSE),1,0)))</f>
        <v>0</v>
      </c>
      <c r="AR166" s="41">
        <f>IF(ISERROR(HLOOKUP(AR$134,'Improved Sales Adjustments'!$G$7:$ZP$147,68,FALSE)),0,IF(HLOOKUP(AR$134,'Improved Sales Adjustments'!$G$7:$ZP$147,68,FALSE)="",0,IF($V166=HLOOKUP(AR$134,'Improved Sales Adjustments'!$G$7:$ZP$147,68,FALSE),1,0)))</f>
        <v>0</v>
      </c>
      <c r="AS166" s="41">
        <f>IF(ISERROR(HLOOKUP(AS$134,'Improved Sales Adjustments'!$G$7:$ZP$147,68,FALSE)),0,IF(HLOOKUP(AS$134,'Improved Sales Adjustments'!$G$7:$ZP$147,68,FALSE)="",0,IF($V166=HLOOKUP(AS$134,'Improved Sales Adjustments'!$G$7:$ZP$147,68,FALSE),1,0)))</f>
        <v>0</v>
      </c>
      <c r="AT166" s="41">
        <f>IF(ISERROR(HLOOKUP(AT$134,'Improved Sales Adjustments'!$G$7:$ZP$147,68,FALSE)),0,IF(HLOOKUP(AT$134,'Improved Sales Adjustments'!$G$7:$ZP$147,68,FALSE)="",0,IF($V166=HLOOKUP(AT$134,'Improved Sales Adjustments'!$G$7:$ZP$147,68,FALSE),1,0)))</f>
        <v>0</v>
      </c>
      <c r="AU166" s="41">
        <f>SUM($AJ166:AJ166)</f>
        <v>0</v>
      </c>
      <c r="AV166" s="41">
        <f>SUM($AJ166:AK166)</f>
        <v>0</v>
      </c>
      <c r="AW166" s="41">
        <f>SUM($AJ166:AL166)</f>
        <v>0</v>
      </c>
      <c r="AX166" s="41">
        <f>SUM($AJ166:AM166)</f>
        <v>0</v>
      </c>
      <c r="AY166" s="41">
        <f>SUM($AJ166:AN166)</f>
        <v>0</v>
      </c>
      <c r="AZ166" s="41">
        <f>SUM($AJ166:AO166)</f>
        <v>0</v>
      </c>
      <c r="BA166" s="41">
        <f>SUM($AJ166:AP166)</f>
        <v>0</v>
      </c>
      <c r="BB166" s="41">
        <f>SUM($AJ166:AQ166)</f>
        <v>0</v>
      </c>
      <c r="BC166" s="41">
        <f>SUM($AJ166:AR166)</f>
        <v>0</v>
      </c>
      <c r="BD166" s="41">
        <f>SUM($AJ166:AS166)</f>
        <v>0</v>
      </c>
      <c r="BE166" s="41">
        <f>SUM($AJ166:AT166)</f>
        <v>0</v>
      </c>
      <c r="BF166" s="41" t="str">
        <f t="shared" si="52"/>
        <v/>
      </c>
      <c r="BG166" s="41" t="str">
        <f t="shared" si="53"/>
        <v/>
      </c>
      <c r="BH166" s="41" t="str">
        <f t="shared" si="54"/>
        <v/>
      </c>
      <c r="BI166" s="41" t="str">
        <f t="shared" si="55"/>
        <v/>
      </c>
      <c r="BJ166" s="41" t="str">
        <f t="shared" si="56"/>
        <v/>
      </c>
      <c r="BK166" s="41" t="str">
        <f t="shared" si="57"/>
        <v/>
      </c>
      <c r="BL166" s="41" t="str">
        <f t="shared" si="58"/>
        <v/>
      </c>
      <c r="BM166" s="41" t="str">
        <f t="shared" si="59"/>
        <v/>
      </c>
      <c r="BN166" s="41" t="str">
        <f t="shared" si="60"/>
        <v/>
      </c>
      <c r="BO166" s="41" t="str">
        <f t="shared" si="61"/>
        <v/>
      </c>
      <c r="BP166" s="41" t="str">
        <f t="shared" si="62"/>
        <v/>
      </c>
      <c r="BQ166" s="11"/>
      <c r="BR166" s="11"/>
    </row>
    <row r="167" spans="1:70" ht="15" customHeight="1" x14ac:dyDescent="0.25">
      <c r="A167" s="957">
        <f t="shared" si="50"/>
        <v>0</v>
      </c>
      <c r="S167" s="4"/>
      <c r="T167" s="1204"/>
      <c r="U167" s="4074" t="str">
        <f t="shared" si="51"/>
        <v/>
      </c>
      <c r="V167" s="137">
        <f t="shared" si="63"/>
        <v>32</v>
      </c>
      <c r="W167" s="2129">
        <v>0.13</v>
      </c>
      <c r="X167" s="2130">
        <v>0.22</v>
      </c>
      <c r="Y167" s="2130">
        <v>0.3</v>
      </c>
      <c r="Z167" s="2130">
        <v>0.38</v>
      </c>
      <c r="AA167" s="2130">
        <v>0.5</v>
      </c>
      <c r="AB167" s="2130">
        <v>0.62</v>
      </c>
      <c r="AC167" s="2130">
        <v>0.75</v>
      </c>
      <c r="AD167" s="2130">
        <v>0.8</v>
      </c>
      <c r="AE167" s="2130"/>
      <c r="AF167" s="2130"/>
      <c r="AG167" s="101"/>
      <c r="AH167" s="6"/>
      <c r="AI167" s="11"/>
      <c r="AJ167" s="41">
        <f t="shared" ref="AJ167:AJ198" si="65">IF(V167=Subject_AgeEffective,1,0)</f>
        <v>0</v>
      </c>
      <c r="AK167" s="41">
        <f>IF(ISERROR(HLOOKUP(AK$134,'Improved Sales Adjustments'!$G$7:$ZP$147,68,FALSE)),0,IF(HLOOKUP(AK$134,'Improved Sales Adjustments'!$G$7:$ZP$147,68,FALSE)="",0,IF($V167=HLOOKUP(AK$134,'Improved Sales Adjustments'!$G$7:$ZP$147,68,FALSE),1,0)))</f>
        <v>0</v>
      </c>
      <c r="AL167" s="41">
        <f>IF(ISERROR(HLOOKUP(AL$134,'Improved Sales Adjustments'!$G$7:$ZP$147,68,FALSE)),0,IF(HLOOKUP(AL$134,'Improved Sales Adjustments'!$G$7:$ZP$147,68,FALSE)="",0,IF($V167=HLOOKUP(AL$134,'Improved Sales Adjustments'!$G$7:$ZP$147,68,FALSE),1,0)))</f>
        <v>0</v>
      </c>
      <c r="AM167" s="41">
        <f>IF(ISERROR(HLOOKUP(AM$134,'Improved Sales Adjustments'!$G$7:$ZP$147,68,FALSE)),0,IF(HLOOKUP(AM$134,'Improved Sales Adjustments'!$G$7:$ZP$147,68,FALSE)="",0,IF($V167=HLOOKUP(AM$134,'Improved Sales Adjustments'!$G$7:$ZP$147,68,FALSE),1,0)))</f>
        <v>0</v>
      </c>
      <c r="AN167" s="41">
        <f>IF(ISERROR(HLOOKUP(AN$134,'Improved Sales Adjustments'!$G$7:$ZP$147,68,FALSE)),0,IF(HLOOKUP(AN$134,'Improved Sales Adjustments'!$G$7:$ZP$147,68,FALSE)="",0,IF($V167=HLOOKUP(AN$134,'Improved Sales Adjustments'!$G$7:$ZP$147,68,FALSE),1,0)))</f>
        <v>0</v>
      </c>
      <c r="AO167" s="41">
        <f>IF(ISERROR(HLOOKUP(AO$134,'Improved Sales Adjustments'!$G$7:$ZP$147,68,FALSE)),0,IF(HLOOKUP(AO$134,'Improved Sales Adjustments'!$G$7:$ZP$147,68,FALSE)="",0,IF($V167=HLOOKUP(AO$134,'Improved Sales Adjustments'!$G$7:$ZP$147,68,FALSE),1,0)))</f>
        <v>0</v>
      </c>
      <c r="AP167" s="41">
        <f>IF(ISERROR(HLOOKUP(AP$134,'Improved Sales Adjustments'!$G$7:$ZP$147,68,FALSE)),0,IF(HLOOKUP(AP$134,'Improved Sales Adjustments'!$G$7:$ZP$147,68,FALSE)="",0,IF($V167=HLOOKUP(AP$134,'Improved Sales Adjustments'!$G$7:$ZP$147,68,FALSE),1,0)))</f>
        <v>0</v>
      </c>
      <c r="AQ167" s="41">
        <f>IF(ISERROR(HLOOKUP(AQ$134,'Improved Sales Adjustments'!$G$7:$ZP$147,68,FALSE)),0,IF(HLOOKUP(AQ$134,'Improved Sales Adjustments'!$G$7:$ZP$147,68,FALSE)="",0,IF($V167=HLOOKUP(AQ$134,'Improved Sales Adjustments'!$G$7:$ZP$147,68,FALSE),1,0)))</f>
        <v>0</v>
      </c>
      <c r="AR167" s="41">
        <f>IF(ISERROR(HLOOKUP(AR$134,'Improved Sales Adjustments'!$G$7:$ZP$147,68,FALSE)),0,IF(HLOOKUP(AR$134,'Improved Sales Adjustments'!$G$7:$ZP$147,68,FALSE)="",0,IF($V167=HLOOKUP(AR$134,'Improved Sales Adjustments'!$G$7:$ZP$147,68,FALSE),1,0)))</f>
        <v>0</v>
      </c>
      <c r="AS167" s="41">
        <f>IF(ISERROR(HLOOKUP(AS$134,'Improved Sales Adjustments'!$G$7:$ZP$147,68,FALSE)),0,IF(HLOOKUP(AS$134,'Improved Sales Adjustments'!$G$7:$ZP$147,68,FALSE)="",0,IF($V167=HLOOKUP(AS$134,'Improved Sales Adjustments'!$G$7:$ZP$147,68,FALSE),1,0)))</f>
        <v>0</v>
      </c>
      <c r="AT167" s="41">
        <f>IF(ISERROR(HLOOKUP(AT$134,'Improved Sales Adjustments'!$G$7:$ZP$147,68,FALSE)),0,IF(HLOOKUP(AT$134,'Improved Sales Adjustments'!$G$7:$ZP$147,68,FALSE)="",0,IF($V167=HLOOKUP(AT$134,'Improved Sales Adjustments'!$G$7:$ZP$147,68,FALSE),1,0)))</f>
        <v>0</v>
      </c>
      <c r="AU167" s="41">
        <f>SUM($AJ167:AJ167)</f>
        <v>0</v>
      </c>
      <c r="AV167" s="41">
        <f>SUM($AJ167:AK167)</f>
        <v>0</v>
      </c>
      <c r="AW167" s="41">
        <f>SUM($AJ167:AL167)</f>
        <v>0</v>
      </c>
      <c r="AX167" s="41">
        <f>SUM($AJ167:AM167)</f>
        <v>0</v>
      </c>
      <c r="AY167" s="41">
        <f>SUM($AJ167:AN167)</f>
        <v>0</v>
      </c>
      <c r="AZ167" s="41">
        <f>SUM($AJ167:AO167)</f>
        <v>0</v>
      </c>
      <c r="BA167" s="41">
        <f>SUM($AJ167:AP167)</f>
        <v>0</v>
      </c>
      <c r="BB167" s="41">
        <f>SUM($AJ167:AQ167)</f>
        <v>0</v>
      </c>
      <c r="BC167" s="41">
        <f>SUM($AJ167:AR167)</f>
        <v>0</v>
      </c>
      <c r="BD167" s="41">
        <f>SUM($AJ167:AS167)</f>
        <v>0</v>
      </c>
      <c r="BE167" s="41">
        <f>SUM($AJ167:AT167)</f>
        <v>0</v>
      </c>
      <c r="BF167" s="41" t="str">
        <f t="shared" si="52"/>
        <v/>
      </c>
      <c r="BG167" s="41" t="str">
        <f t="shared" si="53"/>
        <v/>
      </c>
      <c r="BH167" s="41" t="str">
        <f t="shared" si="54"/>
        <v/>
      </c>
      <c r="BI167" s="41" t="str">
        <f t="shared" si="55"/>
        <v/>
      </c>
      <c r="BJ167" s="41" t="str">
        <f t="shared" si="56"/>
        <v/>
      </c>
      <c r="BK167" s="41" t="str">
        <f t="shared" si="57"/>
        <v/>
      </c>
      <c r="BL167" s="41" t="str">
        <f t="shared" si="58"/>
        <v/>
      </c>
      <c r="BM167" s="41" t="str">
        <f t="shared" si="59"/>
        <v/>
      </c>
      <c r="BN167" s="41" t="str">
        <f t="shared" si="60"/>
        <v/>
      </c>
      <c r="BO167" s="41" t="str">
        <f t="shared" si="61"/>
        <v/>
      </c>
      <c r="BP167" s="41" t="str">
        <f t="shared" si="62"/>
        <v/>
      </c>
      <c r="BQ167" s="11"/>
      <c r="BR167" s="11"/>
    </row>
    <row r="168" spans="1:70" ht="15" customHeight="1" x14ac:dyDescent="0.25">
      <c r="A168" s="957">
        <f t="shared" ref="A168:A199" si="66">IF(AND(MIN(Sales_EffectiveAgeRange,Subject_AgeEffective)&lt;=V168,MAX(Sales_EffectiveAgeRange,Subject_AgeEffective)&gt;=V168),1,0)</f>
        <v>0</v>
      </c>
      <c r="S168" s="4"/>
      <c r="T168" s="1204"/>
      <c r="U168" s="4074" t="str">
        <f t="shared" si="51"/>
        <v/>
      </c>
      <c r="V168" s="137">
        <f t="shared" si="63"/>
        <v>33</v>
      </c>
      <c r="W168" s="2129">
        <v>0.14000000000000001</v>
      </c>
      <c r="X168" s="2130">
        <f t="shared" ref="X168:AC168" si="67">(X169+X167)/2</f>
        <v>0.23499999999999999</v>
      </c>
      <c r="Y168" s="2130">
        <f t="shared" si="67"/>
        <v>0.32</v>
      </c>
      <c r="Z168" s="2130">
        <f t="shared" si="67"/>
        <v>0.40500000000000003</v>
      </c>
      <c r="AA168" s="2130">
        <f t="shared" si="67"/>
        <v>0.52500000000000002</v>
      </c>
      <c r="AB168" s="2130">
        <f t="shared" si="67"/>
        <v>0.65</v>
      </c>
      <c r="AC168" s="2130">
        <f t="shared" si="67"/>
        <v>0.76</v>
      </c>
      <c r="AD168" s="2130"/>
      <c r="AE168" s="2130"/>
      <c r="AF168" s="2130"/>
      <c r="AG168" s="101"/>
      <c r="AH168" s="6"/>
      <c r="AI168" s="11"/>
      <c r="AJ168" s="41">
        <f t="shared" si="65"/>
        <v>0</v>
      </c>
      <c r="AK168" s="41">
        <f>IF(ISERROR(HLOOKUP(AK$134,'Improved Sales Adjustments'!$G$7:$ZP$147,68,FALSE)),0,IF(HLOOKUP(AK$134,'Improved Sales Adjustments'!$G$7:$ZP$147,68,FALSE)="",0,IF($V168=HLOOKUP(AK$134,'Improved Sales Adjustments'!$G$7:$ZP$147,68,FALSE),1,0)))</f>
        <v>0</v>
      </c>
      <c r="AL168" s="41">
        <f>IF(ISERROR(HLOOKUP(AL$134,'Improved Sales Adjustments'!$G$7:$ZP$147,68,FALSE)),0,IF(HLOOKUP(AL$134,'Improved Sales Adjustments'!$G$7:$ZP$147,68,FALSE)="",0,IF($V168=HLOOKUP(AL$134,'Improved Sales Adjustments'!$G$7:$ZP$147,68,FALSE),1,0)))</f>
        <v>0</v>
      </c>
      <c r="AM168" s="41">
        <f>IF(ISERROR(HLOOKUP(AM$134,'Improved Sales Adjustments'!$G$7:$ZP$147,68,FALSE)),0,IF(HLOOKUP(AM$134,'Improved Sales Adjustments'!$G$7:$ZP$147,68,FALSE)="",0,IF($V168=HLOOKUP(AM$134,'Improved Sales Adjustments'!$G$7:$ZP$147,68,FALSE),1,0)))</f>
        <v>0</v>
      </c>
      <c r="AN168" s="41">
        <f>IF(ISERROR(HLOOKUP(AN$134,'Improved Sales Adjustments'!$G$7:$ZP$147,68,FALSE)),0,IF(HLOOKUP(AN$134,'Improved Sales Adjustments'!$G$7:$ZP$147,68,FALSE)="",0,IF($V168=HLOOKUP(AN$134,'Improved Sales Adjustments'!$G$7:$ZP$147,68,FALSE),1,0)))</f>
        <v>0</v>
      </c>
      <c r="AO168" s="41">
        <f>IF(ISERROR(HLOOKUP(AO$134,'Improved Sales Adjustments'!$G$7:$ZP$147,68,FALSE)),0,IF(HLOOKUP(AO$134,'Improved Sales Adjustments'!$G$7:$ZP$147,68,FALSE)="",0,IF($V168=HLOOKUP(AO$134,'Improved Sales Adjustments'!$G$7:$ZP$147,68,FALSE),1,0)))</f>
        <v>0</v>
      </c>
      <c r="AP168" s="41">
        <f>IF(ISERROR(HLOOKUP(AP$134,'Improved Sales Adjustments'!$G$7:$ZP$147,68,FALSE)),0,IF(HLOOKUP(AP$134,'Improved Sales Adjustments'!$G$7:$ZP$147,68,FALSE)="",0,IF($V168=HLOOKUP(AP$134,'Improved Sales Adjustments'!$G$7:$ZP$147,68,FALSE),1,0)))</f>
        <v>0</v>
      </c>
      <c r="AQ168" s="41">
        <f>IF(ISERROR(HLOOKUP(AQ$134,'Improved Sales Adjustments'!$G$7:$ZP$147,68,FALSE)),0,IF(HLOOKUP(AQ$134,'Improved Sales Adjustments'!$G$7:$ZP$147,68,FALSE)="",0,IF($V168=HLOOKUP(AQ$134,'Improved Sales Adjustments'!$G$7:$ZP$147,68,FALSE),1,0)))</f>
        <v>0</v>
      </c>
      <c r="AR168" s="41">
        <f>IF(ISERROR(HLOOKUP(AR$134,'Improved Sales Adjustments'!$G$7:$ZP$147,68,FALSE)),0,IF(HLOOKUP(AR$134,'Improved Sales Adjustments'!$G$7:$ZP$147,68,FALSE)="",0,IF($V168=HLOOKUP(AR$134,'Improved Sales Adjustments'!$G$7:$ZP$147,68,FALSE),1,0)))</f>
        <v>0</v>
      </c>
      <c r="AS168" s="41">
        <f>IF(ISERROR(HLOOKUP(AS$134,'Improved Sales Adjustments'!$G$7:$ZP$147,68,FALSE)),0,IF(HLOOKUP(AS$134,'Improved Sales Adjustments'!$G$7:$ZP$147,68,FALSE)="",0,IF($V168=HLOOKUP(AS$134,'Improved Sales Adjustments'!$G$7:$ZP$147,68,FALSE),1,0)))</f>
        <v>0</v>
      </c>
      <c r="AT168" s="41">
        <f>IF(ISERROR(HLOOKUP(AT$134,'Improved Sales Adjustments'!$G$7:$ZP$147,68,FALSE)),0,IF(HLOOKUP(AT$134,'Improved Sales Adjustments'!$G$7:$ZP$147,68,FALSE)="",0,IF($V168=HLOOKUP(AT$134,'Improved Sales Adjustments'!$G$7:$ZP$147,68,FALSE),1,0)))</f>
        <v>0</v>
      </c>
      <c r="AU168" s="41">
        <f>SUM($AJ168:AJ168)</f>
        <v>0</v>
      </c>
      <c r="AV168" s="41">
        <f>SUM($AJ168:AK168)</f>
        <v>0</v>
      </c>
      <c r="AW168" s="41">
        <f>SUM($AJ168:AL168)</f>
        <v>0</v>
      </c>
      <c r="AX168" s="41">
        <f>SUM($AJ168:AM168)</f>
        <v>0</v>
      </c>
      <c r="AY168" s="41">
        <f>SUM($AJ168:AN168)</f>
        <v>0</v>
      </c>
      <c r="AZ168" s="41">
        <f>SUM($AJ168:AO168)</f>
        <v>0</v>
      </c>
      <c r="BA168" s="41">
        <f>SUM($AJ168:AP168)</f>
        <v>0</v>
      </c>
      <c r="BB168" s="41">
        <f>SUM($AJ168:AQ168)</f>
        <v>0</v>
      </c>
      <c r="BC168" s="41">
        <f>SUM($AJ168:AR168)</f>
        <v>0</v>
      </c>
      <c r="BD168" s="41">
        <f>SUM($AJ168:AS168)</f>
        <v>0</v>
      </c>
      <c r="BE168" s="41">
        <f>SUM($AJ168:AT168)</f>
        <v>0</v>
      </c>
      <c r="BF168" s="41" t="str">
        <f t="shared" si="52"/>
        <v/>
      </c>
      <c r="BG168" s="41" t="str">
        <f t="shared" si="53"/>
        <v/>
      </c>
      <c r="BH168" s="41" t="str">
        <f t="shared" si="54"/>
        <v/>
      </c>
      <c r="BI168" s="41" t="str">
        <f t="shared" si="55"/>
        <v/>
      </c>
      <c r="BJ168" s="41" t="str">
        <f t="shared" si="56"/>
        <v/>
      </c>
      <c r="BK168" s="41" t="str">
        <f t="shared" si="57"/>
        <v/>
      </c>
      <c r="BL168" s="41" t="str">
        <f t="shared" si="58"/>
        <v/>
      </c>
      <c r="BM168" s="41" t="str">
        <f t="shared" si="59"/>
        <v/>
      </c>
      <c r="BN168" s="41" t="str">
        <f t="shared" si="60"/>
        <v/>
      </c>
      <c r="BO168" s="41" t="str">
        <f t="shared" si="61"/>
        <v/>
      </c>
      <c r="BP168" s="41" t="str">
        <f t="shared" si="62"/>
        <v/>
      </c>
      <c r="BQ168" s="11"/>
      <c r="BR168" s="11"/>
    </row>
    <row r="169" spans="1:70" ht="15" customHeight="1" x14ac:dyDescent="0.25">
      <c r="A169" s="957">
        <f t="shared" si="66"/>
        <v>0</v>
      </c>
      <c r="S169" s="4"/>
      <c r="T169" s="1204"/>
      <c r="U169" s="4074" t="str">
        <f t="shared" si="51"/>
        <v/>
      </c>
      <c r="V169" s="137">
        <f t="shared" si="63"/>
        <v>34</v>
      </c>
      <c r="W169" s="2129">
        <v>0.15</v>
      </c>
      <c r="X169" s="2130">
        <v>0.25</v>
      </c>
      <c r="Y169" s="2130">
        <v>0.34</v>
      </c>
      <c r="Z169" s="2130">
        <v>0.43</v>
      </c>
      <c r="AA169" s="2130">
        <v>0.55000000000000004</v>
      </c>
      <c r="AB169" s="2130">
        <v>0.68</v>
      </c>
      <c r="AC169" s="2130">
        <v>0.77</v>
      </c>
      <c r="AD169" s="2130"/>
      <c r="AE169" s="2130"/>
      <c r="AF169" s="2130"/>
      <c r="AG169" s="101"/>
      <c r="AH169" s="6"/>
      <c r="AI169" s="11"/>
      <c r="AJ169" s="41">
        <f t="shared" si="65"/>
        <v>0</v>
      </c>
      <c r="AK169" s="41">
        <f>IF(ISERROR(HLOOKUP(AK$134,'Improved Sales Adjustments'!$G$7:$ZP$147,68,FALSE)),0,IF(HLOOKUP(AK$134,'Improved Sales Adjustments'!$G$7:$ZP$147,68,FALSE)="",0,IF($V169=HLOOKUP(AK$134,'Improved Sales Adjustments'!$G$7:$ZP$147,68,FALSE),1,0)))</f>
        <v>0</v>
      </c>
      <c r="AL169" s="41">
        <f>IF(ISERROR(HLOOKUP(AL$134,'Improved Sales Adjustments'!$G$7:$ZP$147,68,FALSE)),0,IF(HLOOKUP(AL$134,'Improved Sales Adjustments'!$G$7:$ZP$147,68,FALSE)="",0,IF($V169=HLOOKUP(AL$134,'Improved Sales Adjustments'!$G$7:$ZP$147,68,FALSE),1,0)))</f>
        <v>0</v>
      </c>
      <c r="AM169" s="41">
        <f>IF(ISERROR(HLOOKUP(AM$134,'Improved Sales Adjustments'!$G$7:$ZP$147,68,FALSE)),0,IF(HLOOKUP(AM$134,'Improved Sales Adjustments'!$G$7:$ZP$147,68,FALSE)="",0,IF($V169=HLOOKUP(AM$134,'Improved Sales Adjustments'!$G$7:$ZP$147,68,FALSE),1,0)))</f>
        <v>0</v>
      </c>
      <c r="AN169" s="41">
        <f>IF(ISERROR(HLOOKUP(AN$134,'Improved Sales Adjustments'!$G$7:$ZP$147,68,FALSE)),0,IF(HLOOKUP(AN$134,'Improved Sales Adjustments'!$G$7:$ZP$147,68,FALSE)="",0,IF($V169=HLOOKUP(AN$134,'Improved Sales Adjustments'!$G$7:$ZP$147,68,FALSE),1,0)))</f>
        <v>0</v>
      </c>
      <c r="AO169" s="41">
        <f>IF(ISERROR(HLOOKUP(AO$134,'Improved Sales Adjustments'!$G$7:$ZP$147,68,FALSE)),0,IF(HLOOKUP(AO$134,'Improved Sales Adjustments'!$G$7:$ZP$147,68,FALSE)="",0,IF($V169=HLOOKUP(AO$134,'Improved Sales Adjustments'!$G$7:$ZP$147,68,FALSE),1,0)))</f>
        <v>0</v>
      </c>
      <c r="AP169" s="41">
        <f>IF(ISERROR(HLOOKUP(AP$134,'Improved Sales Adjustments'!$G$7:$ZP$147,68,FALSE)),0,IF(HLOOKUP(AP$134,'Improved Sales Adjustments'!$G$7:$ZP$147,68,FALSE)="",0,IF($V169=HLOOKUP(AP$134,'Improved Sales Adjustments'!$G$7:$ZP$147,68,FALSE),1,0)))</f>
        <v>0</v>
      </c>
      <c r="AQ169" s="41">
        <f>IF(ISERROR(HLOOKUP(AQ$134,'Improved Sales Adjustments'!$G$7:$ZP$147,68,FALSE)),0,IF(HLOOKUP(AQ$134,'Improved Sales Adjustments'!$G$7:$ZP$147,68,FALSE)="",0,IF($V169=HLOOKUP(AQ$134,'Improved Sales Adjustments'!$G$7:$ZP$147,68,FALSE),1,0)))</f>
        <v>0</v>
      </c>
      <c r="AR169" s="41">
        <f>IF(ISERROR(HLOOKUP(AR$134,'Improved Sales Adjustments'!$G$7:$ZP$147,68,FALSE)),0,IF(HLOOKUP(AR$134,'Improved Sales Adjustments'!$G$7:$ZP$147,68,FALSE)="",0,IF($V169=HLOOKUP(AR$134,'Improved Sales Adjustments'!$G$7:$ZP$147,68,FALSE),1,0)))</f>
        <v>0</v>
      </c>
      <c r="AS169" s="41">
        <f>IF(ISERROR(HLOOKUP(AS$134,'Improved Sales Adjustments'!$G$7:$ZP$147,68,FALSE)),0,IF(HLOOKUP(AS$134,'Improved Sales Adjustments'!$G$7:$ZP$147,68,FALSE)="",0,IF($V169=HLOOKUP(AS$134,'Improved Sales Adjustments'!$G$7:$ZP$147,68,FALSE),1,0)))</f>
        <v>0</v>
      </c>
      <c r="AT169" s="41">
        <f>IF(ISERROR(HLOOKUP(AT$134,'Improved Sales Adjustments'!$G$7:$ZP$147,68,FALSE)),0,IF(HLOOKUP(AT$134,'Improved Sales Adjustments'!$G$7:$ZP$147,68,FALSE)="",0,IF($V169=HLOOKUP(AT$134,'Improved Sales Adjustments'!$G$7:$ZP$147,68,FALSE),1,0)))</f>
        <v>0</v>
      </c>
      <c r="AU169" s="41">
        <f>SUM($AJ169:AJ169)</f>
        <v>0</v>
      </c>
      <c r="AV169" s="41">
        <f>SUM($AJ169:AK169)</f>
        <v>0</v>
      </c>
      <c r="AW169" s="41">
        <f>SUM($AJ169:AL169)</f>
        <v>0</v>
      </c>
      <c r="AX169" s="41">
        <f>SUM($AJ169:AM169)</f>
        <v>0</v>
      </c>
      <c r="AY169" s="41">
        <f>SUM($AJ169:AN169)</f>
        <v>0</v>
      </c>
      <c r="AZ169" s="41">
        <f>SUM($AJ169:AO169)</f>
        <v>0</v>
      </c>
      <c r="BA169" s="41">
        <f>SUM($AJ169:AP169)</f>
        <v>0</v>
      </c>
      <c r="BB169" s="41">
        <f>SUM($AJ169:AQ169)</f>
        <v>0</v>
      </c>
      <c r="BC169" s="41">
        <f>SUM($AJ169:AR169)</f>
        <v>0</v>
      </c>
      <c r="BD169" s="41">
        <f>SUM($AJ169:AS169)</f>
        <v>0</v>
      </c>
      <c r="BE169" s="41">
        <f>SUM($AJ169:AT169)</f>
        <v>0</v>
      </c>
      <c r="BF169" s="41" t="str">
        <f t="shared" si="52"/>
        <v/>
      </c>
      <c r="BG169" s="41" t="str">
        <f t="shared" si="53"/>
        <v/>
      </c>
      <c r="BH169" s="41" t="str">
        <f t="shared" si="54"/>
        <v/>
      </c>
      <c r="BI169" s="41" t="str">
        <f t="shared" si="55"/>
        <v/>
      </c>
      <c r="BJ169" s="41" t="str">
        <f t="shared" si="56"/>
        <v/>
      </c>
      <c r="BK169" s="41" t="str">
        <f t="shared" si="57"/>
        <v/>
      </c>
      <c r="BL169" s="41" t="str">
        <f t="shared" si="58"/>
        <v/>
      </c>
      <c r="BM169" s="41" t="str">
        <f t="shared" si="59"/>
        <v/>
      </c>
      <c r="BN169" s="41" t="str">
        <f t="shared" si="60"/>
        <v/>
      </c>
      <c r="BO169" s="41" t="str">
        <f t="shared" si="61"/>
        <v/>
      </c>
      <c r="BP169" s="41" t="str">
        <f t="shared" si="62"/>
        <v/>
      </c>
      <c r="BQ169" s="11"/>
      <c r="BR169" s="11"/>
    </row>
    <row r="170" spans="1:70" ht="15" customHeight="1" x14ac:dyDescent="0.25">
      <c r="A170" s="957">
        <f t="shared" si="66"/>
        <v>0</v>
      </c>
      <c r="S170" s="4"/>
      <c r="T170" s="1204"/>
      <c r="U170" s="4074" t="str">
        <f t="shared" si="51"/>
        <v/>
      </c>
      <c r="V170" s="137">
        <f t="shared" si="63"/>
        <v>35</v>
      </c>
      <c r="W170" s="2129">
        <v>0.16</v>
      </c>
      <c r="X170" s="2130">
        <f t="shared" ref="X170:AC170" si="68">(X171+X169)/2</f>
        <v>0.26500000000000001</v>
      </c>
      <c r="Y170" s="2130">
        <f t="shared" si="68"/>
        <v>0.36</v>
      </c>
      <c r="Z170" s="2130">
        <f t="shared" si="68"/>
        <v>0.45499999999999996</v>
      </c>
      <c r="AA170" s="2130">
        <f t="shared" si="68"/>
        <v>0.58000000000000007</v>
      </c>
      <c r="AB170" s="2130">
        <f t="shared" si="68"/>
        <v>0.70500000000000007</v>
      </c>
      <c r="AC170" s="2130">
        <f t="shared" si="68"/>
        <v>0.78</v>
      </c>
      <c r="AD170" s="2130"/>
      <c r="AE170" s="2130"/>
      <c r="AF170" s="2130"/>
      <c r="AG170" s="101"/>
      <c r="AH170" s="6"/>
      <c r="AI170" s="11"/>
      <c r="AJ170" s="41">
        <f t="shared" si="65"/>
        <v>0</v>
      </c>
      <c r="AK170" s="41">
        <f>IF(ISERROR(HLOOKUP(AK$134,'Improved Sales Adjustments'!$G$7:$ZP$147,68,FALSE)),0,IF(HLOOKUP(AK$134,'Improved Sales Adjustments'!$G$7:$ZP$147,68,FALSE)="",0,IF($V170=HLOOKUP(AK$134,'Improved Sales Adjustments'!$G$7:$ZP$147,68,FALSE),1,0)))</f>
        <v>0</v>
      </c>
      <c r="AL170" s="41">
        <f>IF(ISERROR(HLOOKUP(AL$134,'Improved Sales Adjustments'!$G$7:$ZP$147,68,FALSE)),0,IF(HLOOKUP(AL$134,'Improved Sales Adjustments'!$G$7:$ZP$147,68,FALSE)="",0,IF($V170=HLOOKUP(AL$134,'Improved Sales Adjustments'!$G$7:$ZP$147,68,FALSE),1,0)))</f>
        <v>0</v>
      </c>
      <c r="AM170" s="41">
        <f>IF(ISERROR(HLOOKUP(AM$134,'Improved Sales Adjustments'!$G$7:$ZP$147,68,FALSE)),0,IF(HLOOKUP(AM$134,'Improved Sales Adjustments'!$G$7:$ZP$147,68,FALSE)="",0,IF($V170=HLOOKUP(AM$134,'Improved Sales Adjustments'!$G$7:$ZP$147,68,FALSE),1,0)))</f>
        <v>0</v>
      </c>
      <c r="AN170" s="41">
        <f>IF(ISERROR(HLOOKUP(AN$134,'Improved Sales Adjustments'!$G$7:$ZP$147,68,FALSE)),0,IF(HLOOKUP(AN$134,'Improved Sales Adjustments'!$G$7:$ZP$147,68,FALSE)="",0,IF($V170=HLOOKUP(AN$134,'Improved Sales Adjustments'!$G$7:$ZP$147,68,FALSE),1,0)))</f>
        <v>0</v>
      </c>
      <c r="AO170" s="41">
        <f>IF(ISERROR(HLOOKUP(AO$134,'Improved Sales Adjustments'!$G$7:$ZP$147,68,FALSE)),0,IF(HLOOKUP(AO$134,'Improved Sales Adjustments'!$G$7:$ZP$147,68,FALSE)="",0,IF($V170=HLOOKUP(AO$134,'Improved Sales Adjustments'!$G$7:$ZP$147,68,FALSE),1,0)))</f>
        <v>0</v>
      </c>
      <c r="AP170" s="41">
        <f>IF(ISERROR(HLOOKUP(AP$134,'Improved Sales Adjustments'!$G$7:$ZP$147,68,FALSE)),0,IF(HLOOKUP(AP$134,'Improved Sales Adjustments'!$G$7:$ZP$147,68,FALSE)="",0,IF($V170=HLOOKUP(AP$134,'Improved Sales Adjustments'!$G$7:$ZP$147,68,FALSE),1,0)))</f>
        <v>0</v>
      </c>
      <c r="AQ170" s="41">
        <f>IF(ISERROR(HLOOKUP(AQ$134,'Improved Sales Adjustments'!$G$7:$ZP$147,68,FALSE)),0,IF(HLOOKUP(AQ$134,'Improved Sales Adjustments'!$G$7:$ZP$147,68,FALSE)="",0,IF($V170=HLOOKUP(AQ$134,'Improved Sales Adjustments'!$G$7:$ZP$147,68,FALSE),1,0)))</f>
        <v>0</v>
      </c>
      <c r="AR170" s="41">
        <f>IF(ISERROR(HLOOKUP(AR$134,'Improved Sales Adjustments'!$G$7:$ZP$147,68,FALSE)),0,IF(HLOOKUP(AR$134,'Improved Sales Adjustments'!$G$7:$ZP$147,68,FALSE)="",0,IF($V170=HLOOKUP(AR$134,'Improved Sales Adjustments'!$G$7:$ZP$147,68,FALSE),1,0)))</f>
        <v>0</v>
      </c>
      <c r="AS170" s="41">
        <f>IF(ISERROR(HLOOKUP(AS$134,'Improved Sales Adjustments'!$G$7:$ZP$147,68,FALSE)),0,IF(HLOOKUP(AS$134,'Improved Sales Adjustments'!$G$7:$ZP$147,68,FALSE)="",0,IF($V170=HLOOKUP(AS$134,'Improved Sales Adjustments'!$G$7:$ZP$147,68,FALSE),1,0)))</f>
        <v>0</v>
      </c>
      <c r="AT170" s="41">
        <f>IF(ISERROR(HLOOKUP(AT$134,'Improved Sales Adjustments'!$G$7:$ZP$147,68,FALSE)),0,IF(HLOOKUP(AT$134,'Improved Sales Adjustments'!$G$7:$ZP$147,68,FALSE)="",0,IF($V170=HLOOKUP(AT$134,'Improved Sales Adjustments'!$G$7:$ZP$147,68,FALSE),1,0)))</f>
        <v>0</v>
      </c>
      <c r="AU170" s="41">
        <f>SUM($AJ170:AJ170)</f>
        <v>0</v>
      </c>
      <c r="AV170" s="41">
        <f>SUM($AJ170:AK170)</f>
        <v>0</v>
      </c>
      <c r="AW170" s="41">
        <f>SUM($AJ170:AL170)</f>
        <v>0</v>
      </c>
      <c r="AX170" s="41">
        <f>SUM($AJ170:AM170)</f>
        <v>0</v>
      </c>
      <c r="AY170" s="41">
        <f>SUM($AJ170:AN170)</f>
        <v>0</v>
      </c>
      <c r="AZ170" s="41">
        <f>SUM($AJ170:AO170)</f>
        <v>0</v>
      </c>
      <c r="BA170" s="41">
        <f>SUM($AJ170:AP170)</f>
        <v>0</v>
      </c>
      <c r="BB170" s="41">
        <f>SUM($AJ170:AQ170)</f>
        <v>0</v>
      </c>
      <c r="BC170" s="41">
        <f>SUM($AJ170:AR170)</f>
        <v>0</v>
      </c>
      <c r="BD170" s="41">
        <f>SUM($AJ170:AS170)</f>
        <v>0</v>
      </c>
      <c r="BE170" s="41">
        <f>SUM($AJ170:AT170)</f>
        <v>0</v>
      </c>
      <c r="BF170" s="41" t="str">
        <f t="shared" si="52"/>
        <v/>
      </c>
      <c r="BG170" s="41" t="str">
        <f t="shared" si="53"/>
        <v/>
      </c>
      <c r="BH170" s="41" t="str">
        <f t="shared" si="54"/>
        <v/>
      </c>
      <c r="BI170" s="41" t="str">
        <f t="shared" si="55"/>
        <v/>
      </c>
      <c r="BJ170" s="41" t="str">
        <f t="shared" si="56"/>
        <v/>
      </c>
      <c r="BK170" s="41" t="str">
        <f t="shared" si="57"/>
        <v/>
      </c>
      <c r="BL170" s="41" t="str">
        <f t="shared" si="58"/>
        <v/>
      </c>
      <c r="BM170" s="41" t="str">
        <f t="shared" si="59"/>
        <v/>
      </c>
      <c r="BN170" s="41" t="str">
        <f t="shared" si="60"/>
        <v/>
      </c>
      <c r="BO170" s="41" t="str">
        <f t="shared" si="61"/>
        <v/>
      </c>
      <c r="BP170" s="41" t="str">
        <f t="shared" si="62"/>
        <v/>
      </c>
      <c r="BQ170" s="11"/>
      <c r="BR170" s="11"/>
    </row>
    <row r="171" spans="1:70" ht="15" customHeight="1" x14ac:dyDescent="0.25">
      <c r="A171" s="957">
        <f t="shared" si="66"/>
        <v>0</v>
      </c>
      <c r="S171" s="4"/>
      <c r="T171" s="1204"/>
      <c r="U171" s="4074" t="str">
        <f t="shared" si="51"/>
        <v/>
      </c>
      <c r="V171" s="137">
        <f t="shared" si="63"/>
        <v>36</v>
      </c>
      <c r="W171" s="2129">
        <v>0.17</v>
      </c>
      <c r="X171" s="2130">
        <v>0.28000000000000003</v>
      </c>
      <c r="Y171" s="2130">
        <v>0.38</v>
      </c>
      <c r="Z171" s="2130">
        <v>0.48</v>
      </c>
      <c r="AA171" s="2130">
        <v>0.61</v>
      </c>
      <c r="AB171" s="2130">
        <v>0.73</v>
      </c>
      <c r="AC171" s="2130">
        <v>0.79</v>
      </c>
      <c r="AD171" s="2130"/>
      <c r="AE171" s="2130"/>
      <c r="AF171" s="2130"/>
      <c r="AG171" s="101"/>
      <c r="AH171" s="6"/>
      <c r="AI171" s="11"/>
      <c r="AJ171" s="41">
        <f t="shared" si="65"/>
        <v>0</v>
      </c>
      <c r="AK171" s="41">
        <f>IF(ISERROR(HLOOKUP(AK$134,'Improved Sales Adjustments'!$G$7:$ZP$147,68,FALSE)),0,IF(HLOOKUP(AK$134,'Improved Sales Adjustments'!$G$7:$ZP$147,68,FALSE)="",0,IF($V171=HLOOKUP(AK$134,'Improved Sales Adjustments'!$G$7:$ZP$147,68,FALSE),1,0)))</f>
        <v>0</v>
      </c>
      <c r="AL171" s="41">
        <f>IF(ISERROR(HLOOKUP(AL$134,'Improved Sales Adjustments'!$G$7:$ZP$147,68,FALSE)),0,IF(HLOOKUP(AL$134,'Improved Sales Adjustments'!$G$7:$ZP$147,68,FALSE)="",0,IF($V171=HLOOKUP(AL$134,'Improved Sales Adjustments'!$G$7:$ZP$147,68,FALSE),1,0)))</f>
        <v>0</v>
      </c>
      <c r="AM171" s="41">
        <f>IF(ISERROR(HLOOKUP(AM$134,'Improved Sales Adjustments'!$G$7:$ZP$147,68,FALSE)),0,IF(HLOOKUP(AM$134,'Improved Sales Adjustments'!$G$7:$ZP$147,68,FALSE)="",0,IF($V171=HLOOKUP(AM$134,'Improved Sales Adjustments'!$G$7:$ZP$147,68,FALSE),1,0)))</f>
        <v>0</v>
      </c>
      <c r="AN171" s="41">
        <f>IF(ISERROR(HLOOKUP(AN$134,'Improved Sales Adjustments'!$G$7:$ZP$147,68,FALSE)),0,IF(HLOOKUP(AN$134,'Improved Sales Adjustments'!$G$7:$ZP$147,68,FALSE)="",0,IF($V171=HLOOKUP(AN$134,'Improved Sales Adjustments'!$G$7:$ZP$147,68,FALSE),1,0)))</f>
        <v>0</v>
      </c>
      <c r="AO171" s="41">
        <f>IF(ISERROR(HLOOKUP(AO$134,'Improved Sales Adjustments'!$G$7:$ZP$147,68,FALSE)),0,IF(HLOOKUP(AO$134,'Improved Sales Adjustments'!$G$7:$ZP$147,68,FALSE)="",0,IF($V171=HLOOKUP(AO$134,'Improved Sales Adjustments'!$G$7:$ZP$147,68,FALSE),1,0)))</f>
        <v>0</v>
      </c>
      <c r="AP171" s="41">
        <f>IF(ISERROR(HLOOKUP(AP$134,'Improved Sales Adjustments'!$G$7:$ZP$147,68,FALSE)),0,IF(HLOOKUP(AP$134,'Improved Sales Adjustments'!$G$7:$ZP$147,68,FALSE)="",0,IF($V171=HLOOKUP(AP$134,'Improved Sales Adjustments'!$G$7:$ZP$147,68,FALSE),1,0)))</f>
        <v>0</v>
      </c>
      <c r="AQ171" s="41">
        <f>IF(ISERROR(HLOOKUP(AQ$134,'Improved Sales Adjustments'!$G$7:$ZP$147,68,FALSE)),0,IF(HLOOKUP(AQ$134,'Improved Sales Adjustments'!$G$7:$ZP$147,68,FALSE)="",0,IF($V171=HLOOKUP(AQ$134,'Improved Sales Adjustments'!$G$7:$ZP$147,68,FALSE),1,0)))</f>
        <v>0</v>
      </c>
      <c r="AR171" s="41">
        <f>IF(ISERROR(HLOOKUP(AR$134,'Improved Sales Adjustments'!$G$7:$ZP$147,68,FALSE)),0,IF(HLOOKUP(AR$134,'Improved Sales Adjustments'!$G$7:$ZP$147,68,FALSE)="",0,IF($V171=HLOOKUP(AR$134,'Improved Sales Adjustments'!$G$7:$ZP$147,68,FALSE),1,0)))</f>
        <v>0</v>
      </c>
      <c r="AS171" s="41">
        <f>IF(ISERROR(HLOOKUP(AS$134,'Improved Sales Adjustments'!$G$7:$ZP$147,68,FALSE)),0,IF(HLOOKUP(AS$134,'Improved Sales Adjustments'!$G$7:$ZP$147,68,FALSE)="",0,IF($V171=HLOOKUP(AS$134,'Improved Sales Adjustments'!$G$7:$ZP$147,68,FALSE),1,0)))</f>
        <v>0</v>
      </c>
      <c r="AT171" s="41">
        <f>IF(ISERROR(HLOOKUP(AT$134,'Improved Sales Adjustments'!$G$7:$ZP$147,68,FALSE)),0,IF(HLOOKUP(AT$134,'Improved Sales Adjustments'!$G$7:$ZP$147,68,FALSE)="",0,IF($V171=HLOOKUP(AT$134,'Improved Sales Adjustments'!$G$7:$ZP$147,68,FALSE),1,0)))</f>
        <v>0</v>
      </c>
      <c r="AU171" s="41">
        <f>SUM($AJ171:AJ171)</f>
        <v>0</v>
      </c>
      <c r="AV171" s="41">
        <f>SUM($AJ171:AK171)</f>
        <v>0</v>
      </c>
      <c r="AW171" s="41">
        <f>SUM($AJ171:AL171)</f>
        <v>0</v>
      </c>
      <c r="AX171" s="41">
        <f>SUM($AJ171:AM171)</f>
        <v>0</v>
      </c>
      <c r="AY171" s="41">
        <f>SUM($AJ171:AN171)</f>
        <v>0</v>
      </c>
      <c r="AZ171" s="41">
        <f>SUM($AJ171:AO171)</f>
        <v>0</v>
      </c>
      <c r="BA171" s="41">
        <f>SUM($AJ171:AP171)</f>
        <v>0</v>
      </c>
      <c r="BB171" s="41">
        <f>SUM($AJ171:AQ171)</f>
        <v>0</v>
      </c>
      <c r="BC171" s="41">
        <f>SUM($AJ171:AR171)</f>
        <v>0</v>
      </c>
      <c r="BD171" s="41">
        <f>SUM($AJ171:AS171)</f>
        <v>0</v>
      </c>
      <c r="BE171" s="41">
        <f>SUM($AJ171:AT171)</f>
        <v>0</v>
      </c>
      <c r="BF171" s="41" t="str">
        <f t="shared" si="52"/>
        <v/>
      </c>
      <c r="BG171" s="41" t="str">
        <f t="shared" si="53"/>
        <v/>
      </c>
      <c r="BH171" s="41" t="str">
        <f t="shared" si="54"/>
        <v/>
      </c>
      <c r="BI171" s="41" t="str">
        <f t="shared" si="55"/>
        <v/>
      </c>
      <c r="BJ171" s="41" t="str">
        <f t="shared" si="56"/>
        <v/>
      </c>
      <c r="BK171" s="41" t="str">
        <f t="shared" si="57"/>
        <v/>
      </c>
      <c r="BL171" s="41" t="str">
        <f t="shared" si="58"/>
        <v/>
      </c>
      <c r="BM171" s="41" t="str">
        <f t="shared" si="59"/>
        <v/>
      </c>
      <c r="BN171" s="41" t="str">
        <f t="shared" si="60"/>
        <v/>
      </c>
      <c r="BO171" s="41" t="str">
        <f t="shared" si="61"/>
        <v/>
      </c>
      <c r="BP171" s="41" t="str">
        <f t="shared" si="62"/>
        <v/>
      </c>
      <c r="BQ171" s="11"/>
      <c r="BR171" s="11"/>
    </row>
    <row r="172" spans="1:70" ht="15" customHeight="1" x14ac:dyDescent="0.25">
      <c r="A172" s="957">
        <f t="shared" si="66"/>
        <v>0</v>
      </c>
      <c r="S172" s="4"/>
      <c r="T172" s="1204"/>
      <c r="U172" s="4074" t="str">
        <f t="shared" si="51"/>
        <v/>
      </c>
      <c r="V172" s="137">
        <f t="shared" si="63"/>
        <v>37</v>
      </c>
      <c r="W172" s="2129">
        <v>0.18</v>
      </c>
      <c r="X172" s="2130">
        <f t="shared" ref="X172:AC172" si="69">(X173+X171)/2</f>
        <v>0.30000000000000004</v>
      </c>
      <c r="Y172" s="2130">
        <f t="shared" si="69"/>
        <v>0.4</v>
      </c>
      <c r="Z172" s="2130">
        <f t="shared" si="69"/>
        <v>0.505</v>
      </c>
      <c r="AA172" s="2130">
        <f t="shared" si="69"/>
        <v>0.64</v>
      </c>
      <c r="AB172" s="2130">
        <f t="shared" si="69"/>
        <v>0.75</v>
      </c>
      <c r="AC172" s="2130">
        <f t="shared" si="69"/>
        <v>0.79500000000000004</v>
      </c>
      <c r="AD172" s="2130"/>
      <c r="AE172" s="2130"/>
      <c r="AF172" s="2130"/>
      <c r="AG172" s="101"/>
      <c r="AH172" s="6"/>
      <c r="AI172" s="11"/>
      <c r="AJ172" s="41">
        <f t="shared" si="65"/>
        <v>0</v>
      </c>
      <c r="AK172" s="41">
        <f>IF(ISERROR(HLOOKUP(AK$134,'Improved Sales Adjustments'!$G$7:$ZP$147,68,FALSE)),0,IF(HLOOKUP(AK$134,'Improved Sales Adjustments'!$G$7:$ZP$147,68,FALSE)="",0,IF($V172=HLOOKUP(AK$134,'Improved Sales Adjustments'!$G$7:$ZP$147,68,FALSE),1,0)))</f>
        <v>0</v>
      </c>
      <c r="AL172" s="41">
        <f>IF(ISERROR(HLOOKUP(AL$134,'Improved Sales Adjustments'!$G$7:$ZP$147,68,FALSE)),0,IF(HLOOKUP(AL$134,'Improved Sales Adjustments'!$G$7:$ZP$147,68,FALSE)="",0,IF($V172=HLOOKUP(AL$134,'Improved Sales Adjustments'!$G$7:$ZP$147,68,FALSE),1,0)))</f>
        <v>0</v>
      </c>
      <c r="AM172" s="41">
        <f>IF(ISERROR(HLOOKUP(AM$134,'Improved Sales Adjustments'!$G$7:$ZP$147,68,FALSE)),0,IF(HLOOKUP(AM$134,'Improved Sales Adjustments'!$G$7:$ZP$147,68,FALSE)="",0,IF($V172=HLOOKUP(AM$134,'Improved Sales Adjustments'!$G$7:$ZP$147,68,FALSE),1,0)))</f>
        <v>0</v>
      </c>
      <c r="AN172" s="41">
        <f>IF(ISERROR(HLOOKUP(AN$134,'Improved Sales Adjustments'!$G$7:$ZP$147,68,FALSE)),0,IF(HLOOKUP(AN$134,'Improved Sales Adjustments'!$G$7:$ZP$147,68,FALSE)="",0,IF($V172=HLOOKUP(AN$134,'Improved Sales Adjustments'!$G$7:$ZP$147,68,FALSE),1,0)))</f>
        <v>0</v>
      </c>
      <c r="AO172" s="41">
        <f>IF(ISERROR(HLOOKUP(AO$134,'Improved Sales Adjustments'!$G$7:$ZP$147,68,FALSE)),0,IF(HLOOKUP(AO$134,'Improved Sales Adjustments'!$G$7:$ZP$147,68,FALSE)="",0,IF($V172=HLOOKUP(AO$134,'Improved Sales Adjustments'!$G$7:$ZP$147,68,FALSE),1,0)))</f>
        <v>0</v>
      </c>
      <c r="AP172" s="41">
        <f>IF(ISERROR(HLOOKUP(AP$134,'Improved Sales Adjustments'!$G$7:$ZP$147,68,FALSE)),0,IF(HLOOKUP(AP$134,'Improved Sales Adjustments'!$G$7:$ZP$147,68,FALSE)="",0,IF($V172=HLOOKUP(AP$134,'Improved Sales Adjustments'!$G$7:$ZP$147,68,FALSE),1,0)))</f>
        <v>0</v>
      </c>
      <c r="AQ172" s="41">
        <f>IF(ISERROR(HLOOKUP(AQ$134,'Improved Sales Adjustments'!$G$7:$ZP$147,68,FALSE)),0,IF(HLOOKUP(AQ$134,'Improved Sales Adjustments'!$G$7:$ZP$147,68,FALSE)="",0,IF($V172=HLOOKUP(AQ$134,'Improved Sales Adjustments'!$G$7:$ZP$147,68,FALSE),1,0)))</f>
        <v>0</v>
      </c>
      <c r="AR172" s="41">
        <f>IF(ISERROR(HLOOKUP(AR$134,'Improved Sales Adjustments'!$G$7:$ZP$147,68,FALSE)),0,IF(HLOOKUP(AR$134,'Improved Sales Adjustments'!$G$7:$ZP$147,68,FALSE)="",0,IF($V172=HLOOKUP(AR$134,'Improved Sales Adjustments'!$G$7:$ZP$147,68,FALSE),1,0)))</f>
        <v>0</v>
      </c>
      <c r="AS172" s="41">
        <f>IF(ISERROR(HLOOKUP(AS$134,'Improved Sales Adjustments'!$G$7:$ZP$147,68,FALSE)),0,IF(HLOOKUP(AS$134,'Improved Sales Adjustments'!$G$7:$ZP$147,68,FALSE)="",0,IF($V172=HLOOKUP(AS$134,'Improved Sales Adjustments'!$G$7:$ZP$147,68,FALSE),1,0)))</f>
        <v>0</v>
      </c>
      <c r="AT172" s="41">
        <f>IF(ISERROR(HLOOKUP(AT$134,'Improved Sales Adjustments'!$G$7:$ZP$147,68,FALSE)),0,IF(HLOOKUP(AT$134,'Improved Sales Adjustments'!$G$7:$ZP$147,68,FALSE)="",0,IF($V172=HLOOKUP(AT$134,'Improved Sales Adjustments'!$G$7:$ZP$147,68,FALSE),1,0)))</f>
        <v>0</v>
      </c>
      <c r="AU172" s="41">
        <f>SUM($AJ172:AJ172)</f>
        <v>0</v>
      </c>
      <c r="AV172" s="41">
        <f>SUM($AJ172:AK172)</f>
        <v>0</v>
      </c>
      <c r="AW172" s="41">
        <f>SUM($AJ172:AL172)</f>
        <v>0</v>
      </c>
      <c r="AX172" s="41">
        <f>SUM($AJ172:AM172)</f>
        <v>0</v>
      </c>
      <c r="AY172" s="41">
        <f>SUM($AJ172:AN172)</f>
        <v>0</v>
      </c>
      <c r="AZ172" s="41">
        <f>SUM($AJ172:AO172)</f>
        <v>0</v>
      </c>
      <c r="BA172" s="41">
        <f>SUM($AJ172:AP172)</f>
        <v>0</v>
      </c>
      <c r="BB172" s="41">
        <f>SUM($AJ172:AQ172)</f>
        <v>0</v>
      </c>
      <c r="BC172" s="41">
        <f>SUM($AJ172:AR172)</f>
        <v>0</v>
      </c>
      <c r="BD172" s="41">
        <f>SUM($AJ172:AS172)</f>
        <v>0</v>
      </c>
      <c r="BE172" s="41">
        <f>SUM($AJ172:AT172)</f>
        <v>0</v>
      </c>
      <c r="BF172" s="41" t="str">
        <f t="shared" si="52"/>
        <v/>
      </c>
      <c r="BG172" s="41" t="str">
        <f t="shared" si="53"/>
        <v/>
      </c>
      <c r="BH172" s="41" t="str">
        <f t="shared" si="54"/>
        <v/>
      </c>
      <c r="BI172" s="41" t="str">
        <f t="shared" si="55"/>
        <v/>
      </c>
      <c r="BJ172" s="41" t="str">
        <f t="shared" si="56"/>
        <v/>
      </c>
      <c r="BK172" s="41" t="str">
        <f t="shared" si="57"/>
        <v/>
      </c>
      <c r="BL172" s="41" t="str">
        <f t="shared" si="58"/>
        <v/>
      </c>
      <c r="BM172" s="41" t="str">
        <f t="shared" si="59"/>
        <v/>
      </c>
      <c r="BN172" s="41" t="str">
        <f t="shared" si="60"/>
        <v/>
      </c>
      <c r="BO172" s="41" t="str">
        <f t="shared" si="61"/>
        <v/>
      </c>
      <c r="BP172" s="41" t="str">
        <f t="shared" si="62"/>
        <v/>
      </c>
      <c r="BQ172" s="11"/>
      <c r="BR172" s="11"/>
    </row>
    <row r="173" spans="1:70" ht="15" customHeight="1" x14ac:dyDescent="0.25">
      <c r="A173" s="957">
        <f t="shared" si="66"/>
        <v>0</v>
      </c>
      <c r="S173" s="4"/>
      <c r="T173" s="1204"/>
      <c r="U173" s="4074" t="str">
        <f t="shared" si="51"/>
        <v/>
      </c>
      <c r="V173" s="137">
        <f t="shared" si="63"/>
        <v>38</v>
      </c>
      <c r="W173" s="2129">
        <v>0.19</v>
      </c>
      <c r="X173" s="2130">
        <v>0.32</v>
      </c>
      <c r="Y173" s="2130">
        <v>0.42</v>
      </c>
      <c r="Z173" s="2130">
        <v>0.53</v>
      </c>
      <c r="AA173" s="2130">
        <v>0.67</v>
      </c>
      <c r="AB173" s="2130">
        <v>0.77</v>
      </c>
      <c r="AC173" s="2130">
        <v>0.8</v>
      </c>
      <c r="AD173" s="2130"/>
      <c r="AE173" s="2130"/>
      <c r="AF173" s="2130"/>
      <c r="AG173" s="101"/>
      <c r="AH173" s="6"/>
      <c r="AI173" s="11"/>
      <c r="AJ173" s="41">
        <f t="shared" si="65"/>
        <v>0</v>
      </c>
      <c r="AK173" s="41">
        <f>IF(ISERROR(HLOOKUP(AK$134,'Improved Sales Adjustments'!$G$7:$ZP$147,68,FALSE)),0,IF(HLOOKUP(AK$134,'Improved Sales Adjustments'!$G$7:$ZP$147,68,FALSE)="",0,IF($V173=HLOOKUP(AK$134,'Improved Sales Adjustments'!$G$7:$ZP$147,68,FALSE),1,0)))</f>
        <v>0</v>
      </c>
      <c r="AL173" s="41">
        <f>IF(ISERROR(HLOOKUP(AL$134,'Improved Sales Adjustments'!$G$7:$ZP$147,68,FALSE)),0,IF(HLOOKUP(AL$134,'Improved Sales Adjustments'!$G$7:$ZP$147,68,FALSE)="",0,IF($V173=HLOOKUP(AL$134,'Improved Sales Adjustments'!$G$7:$ZP$147,68,FALSE),1,0)))</f>
        <v>0</v>
      </c>
      <c r="AM173" s="41">
        <f>IF(ISERROR(HLOOKUP(AM$134,'Improved Sales Adjustments'!$G$7:$ZP$147,68,FALSE)),0,IF(HLOOKUP(AM$134,'Improved Sales Adjustments'!$G$7:$ZP$147,68,FALSE)="",0,IF($V173=HLOOKUP(AM$134,'Improved Sales Adjustments'!$G$7:$ZP$147,68,FALSE),1,0)))</f>
        <v>0</v>
      </c>
      <c r="AN173" s="41">
        <f>IF(ISERROR(HLOOKUP(AN$134,'Improved Sales Adjustments'!$G$7:$ZP$147,68,FALSE)),0,IF(HLOOKUP(AN$134,'Improved Sales Adjustments'!$G$7:$ZP$147,68,FALSE)="",0,IF($V173=HLOOKUP(AN$134,'Improved Sales Adjustments'!$G$7:$ZP$147,68,FALSE),1,0)))</f>
        <v>0</v>
      </c>
      <c r="AO173" s="41">
        <f>IF(ISERROR(HLOOKUP(AO$134,'Improved Sales Adjustments'!$G$7:$ZP$147,68,FALSE)),0,IF(HLOOKUP(AO$134,'Improved Sales Adjustments'!$G$7:$ZP$147,68,FALSE)="",0,IF($V173=HLOOKUP(AO$134,'Improved Sales Adjustments'!$G$7:$ZP$147,68,FALSE),1,0)))</f>
        <v>0</v>
      </c>
      <c r="AP173" s="41">
        <f>IF(ISERROR(HLOOKUP(AP$134,'Improved Sales Adjustments'!$G$7:$ZP$147,68,FALSE)),0,IF(HLOOKUP(AP$134,'Improved Sales Adjustments'!$G$7:$ZP$147,68,FALSE)="",0,IF($V173=HLOOKUP(AP$134,'Improved Sales Adjustments'!$G$7:$ZP$147,68,FALSE),1,0)))</f>
        <v>0</v>
      </c>
      <c r="AQ173" s="41">
        <f>IF(ISERROR(HLOOKUP(AQ$134,'Improved Sales Adjustments'!$G$7:$ZP$147,68,FALSE)),0,IF(HLOOKUP(AQ$134,'Improved Sales Adjustments'!$G$7:$ZP$147,68,FALSE)="",0,IF($V173=HLOOKUP(AQ$134,'Improved Sales Adjustments'!$G$7:$ZP$147,68,FALSE),1,0)))</f>
        <v>0</v>
      </c>
      <c r="AR173" s="41">
        <f>IF(ISERROR(HLOOKUP(AR$134,'Improved Sales Adjustments'!$G$7:$ZP$147,68,FALSE)),0,IF(HLOOKUP(AR$134,'Improved Sales Adjustments'!$G$7:$ZP$147,68,FALSE)="",0,IF($V173=HLOOKUP(AR$134,'Improved Sales Adjustments'!$G$7:$ZP$147,68,FALSE),1,0)))</f>
        <v>0</v>
      </c>
      <c r="AS173" s="41">
        <f>IF(ISERROR(HLOOKUP(AS$134,'Improved Sales Adjustments'!$G$7:$ZP$147,68,FALSE)),0,IF(HLOOKUP(AS$134,'Improved Sales Adjustments'!$G$7:$ZP$147,68,FALSE)="",0,IF($V173=HLOOKUP(AS$134,'Improved Sales Adjustments'!$G$7:$ZP$147,68,FALSE),1,0)))</f>
        <v>0</v>
      </c>
      <c r="AT173" s="41">
        <f>IF(ISERROR(HLOOKUP(AT$134,'Improved Sales Adjustments'!$G$7:$ZP$147,68,FALSE)),0,IF(HLOOKUP(AT$134,'Improved Sales Adjustments'!$G$7:$ZP$147,68,FALSE)="",0,IF($V173=HLOOKUP(AT$134,'Improved Sales Adjustments'!$G$7:$ZP$147,68,FALSE),1,0)))</f>
        <v>0</v>
      </c>
      <c r="AU173" s="41">
        <f>SUM($AJ173:AJ173)</f>
        <v>0</v>
      </c>
      <c r="AV173" s="41">
        <f>SUM($AJ173:AK173)</f>
        <v>0</v>
      </c>
      <c r="AW173" s="41">
        <f>SUM($AJ173:AL173)</f>
        <v>0</v>
      </c>
      <c r="AX173" s="41">
        <f>SUM($AJ173:AM173)</f>
        <v>0</v>
      </c>
      <c r="AY173" s="41">
        <f>SUM($AJ173:AN173)</f>
        <v>0</v>
      </c>
      <c r="AZ173" s="41">
        <f>SUM($AJ173:AO173)</f>
        <v>0</v>
      </c>
      <c r="BA173" s="41">
        <f>SUM($AJ173:AP173)</f>
        <v>0</v>
      </c>
      <c r="BB173" s="41">
        <f>SUM($AJ173:AQ173)</f>
        <v>0</v>
      </c>
      <c r="BC173" s="41">
        <f>SUM($AJ173:AR173)</f>
        <v>0</v>
      </c>
      <c r="BD173" s="41">
        <f>SUM($AJ173:AS173)</f>
        <v>0</v>
      </c>
      <c r="BE173" s="41">
        <f>SUM($AJ173:AT173)</f>
        <v>0</v>
      </c>
      <c r="BF173" s="41" t="str">
        <f t="shared" si="52"/>
        <v/>
      </c>
      <c r="BG173" s="41" t="str">
        <f t="shared" si="53"/>
        <v/>
      </c>
      <c r="BH173" s="41" t="str">
        <f t="shared" si="54"/>
        <v/>
      </c>
      <c r="BI173" s="41" t="str">
        <f t="shared" si="55"/>
        <v/>
      </c>
      <c r="BJ173" s="41" t="str">
        <f t="shared" si="56"/>
        <v/>
      </c>
      <c r="BK173" s="41" t="str">
        <f t="shared" si="57"/>
        <v/>
      </c>
      <c r="BL173" s="41" t="str">
        <f t="shared" si="58"/>
        <v/>
      </c>
      <c r="BM173" s="41" t="str">
        <f t="shared" si="59"/>
        <v/>
      </c>
      <c r="BN173" s="41" t="str">
        <f t="shared" si="60"/>
        <v/>
      </c>
      <c r="BO173" s="41" t="str">
        <f t="shared" si="61"/>
        <v/>
      </c>
      <c r="BP173" s="41" t="str">
        <f t="shared" si="62"/>
        <v/>
      </c>
      <c r="BQ173" s="11"/>
      <c r="BR173" s="11"/>
    </row>
    <row r="174" spans="1:70" ht="15" customHeight="1" x14ac:dyDescent="0.25">
      <c r="A174" s="957">
        <f t="shared" si="66"/>
        <v>0</v>
      </c>
      <c r="S174" s="4"/>
      <c r="T174" s="1204"/>
      <c r="U174" s="4074" t="str">
        <f t="shared" si="51"/>
        <v/>
      </c>
      <c r="V174" s="137">
        <f t="shared" si="63"/>
        <v>39</v>
      </c>
      <c r="W174" s="2129">
        <v>0.2</v>
      </c>
      <c r="X174" s="2130">
        <f>(X175+X173)/2</f>
        <v>0.33499999999999996</v>
      </c>
      <c r="Y174" s="2130">
        <f>(Y175+Y173)/2</f>
        <v>0.44</v>
      </c>
      <c r="Z174" s="2130">
        <f>(Z175+Z173)/2</f>
        <v>0.56000000000000005</v>
      </c>
      <c r="AA174" s="2130">
        <f>(AA175+AA173)/2</f>
        <v>0.69500000000000006</v>
      </c>
      <c r="AB174" s="2130">
        <f>(AB175+AB173)/2</f>
        <v>0.78</v>
      </c>
      <c r="AC174" s="2130"/>
      <c r="AD174" s="2130"/>
      <c r="AE174" s="2130"/>
      <c r="AF174" s="2130"/>
      <c r="AG174" s="101"/>
      <c r="AH174" s="6"/>
      <c r="AI174" s="11"/>
      <c r="AJ174" s="41">
        <f t="shared" si="65"/>
        <v>0</v>
      </c>
      <c r="AK174" s="41">
        <f>IF(ISERROR(HLOOKUP(AK$134,'Improved Sales Adjustments'!$G$7:$ZP$147,68,FALSE)),0,IF(HLOOKUP(AK$134,'Improved Sales Adjustments'!$G$7:$ZP$147,68,FALSE)="",0,IF($V174=HLOOKUP(AK$134,'Improved Sales Adjustments'!$G$7:$ZP$147,68,FALSE),1,0)))</f>
        <v>0</v>
      </c>
      <c r="AL174" s="41">
        <f>IF(ISERROR(HLOOKUP(AL$134,'Improved Sales Adjustments'!$G$7:$ZP$147,68,FALSE)),0,IF(HLOOKUP(AL$134,'Improved Sales Adjustments'!$G$7:$ZP$147,68,FALSE)="",0,IF($V174=HLOOKUP(AL$134,'Improved Sales Adjustments'!$G$7:$ZP$147,68,FALSE),1,0)))</f>
        <v>0</v>
      </c>
      <c r="AM174" s="41">
        <f>IF(ISERROR(HLOOKUP(AM$134,'Improved Sales Adjustments'!$G$7:$ZP$147,68,FALSE)),0,IF(HLOOKUP(AM$134,'Improved Sales Adjustments'!$G$7:$ZP$147,68,FALSE)="",0,IF($V174=HLOOKUP(AM$134,'Improved Sales Adjustments'!$G$7:$ZP$147,68,FALSE),1,0)))</f>
        <v>0</v>
      </c>
      <c r="AN174" s="41">
        <f>IF(ISERROR(HLOOKUP(AN$134,'Improved Sales Adjustments'!$G$7:$ZP$147,68,FALSE)),0,IF(HLOOKUP(AN$134,'Improved Sales Adjustments'!$G$7:$ZP$147,68,FALSE)="",0,IF($V174=HLOOKUP(AN$134,'Improved Sales Adjustments'!$G$7:$ZP$147,68,FALSE),1,0)))</f>
        <v>0</v>
      </c>
      <c r="AO174" s="41">
        <f>IF(ISERROR(HLOOKUP(AO$134,'Improved Sales Adjustments'!$G$7:$ZP$147,68,FALSE)),0,IF(HLOOKUP(AO$134,'Improved Sales Adjustments'!$G$7:$ZP$147,68,FALSE)="",0,IF($V174=HLOOKUP(AO$134,'Improved Sales Adjustments'!$G$7:$ZP$147,68,FALSE),1,0)))</f>
        <v>0</v>
      </c>
      <c r="AP174" s="41">
        <f>IF(ISERROR(HLOOKUP(AP$134,'Improved Sales Adjustments'!$G$7:$ZP$147,68,FALSE)),0,IF(HLOOKUP(AP$134,'Improved Sales Adjustments'!$G$7:$ZP$147,68,FALSE)="",0,IF($V174=HLOOKUP(AP$134,'Improved Sales Adjustments'!$G$7:$ZP$147,68,FALSE),1,0)))</f>
        <v>0</v>
      </c>
      <c r="AQ174" s="41">
        <f>IF(ISERROR(HLOOKUP(AQ$134,'Improved Sales Adjustments'!$G$7:$ZP$147,68,FALSE)),0,IF(HLOOKUP(AQ$134,'Improved Sales Adjustments'!$G$7:$ZP$147,68,FALSE)="",0,IF($V174=HLOOKUP(AQ$134,'Improved Sales Adjustments'!$G$7:$ZP$147,68,FALSE),1,0)))</f>
        <v>0</v>
      </c>
      <c r="AR174" s="41">
        <f>IF(ISERROR(HLOOKUP(AR$134,'Improved Sales Adjustments'!$G$7:$ZP$147,68,FALSE)),0,IF(HLOOKUP(AR$134,'Improved Sales Adjustments'!$G$7:$ZP$147,68,FALSE)="",0,IF($V174=HLOOKUP(AR$134,'Improved Sales Adjustments'!$G$7:$ZP$147,68,FALSE),1,0)))</f>
        <v>0</v>
      </c>
      <c r="AS174" s="41">
        <f>IF(ISERROR(HLOOKUP(AS$134,'Improved Sales Adjustments'!$G$7:$ZP$147,68,FALSE)),0,IF(HLOOKUP(AS$134,'Improved Sales Adjustments'!$G$7:$ZP$147,68,FALSE)="",0,IF($V174=HLOOKUP(AS$134,'Improved Sales Adjustments'!$G$7:$ZP$147,68,FALSE),1,0)))</f>
        <v>0</v>
      </c>
      <c r="AT174" s="41">
        <f>IF(ISERROR(HLOOKUP(AT$134,'Improved Sales Adjustments'!$G$7:$ZP$147,68,FALSE)),0,IF(HLOOKUP(AT$134,'Improved Sales Adjustments'!$G$7:$ZP$147,68,FALSE)="",0,IF($V174=HLOOKUP(AT$134,'Improved Sales Adjustments'!$G$7:$ZP$147,68,FALSE),1,0)))</f>
        <v>0</v>
      </c>
      <c r="AU174" s="41">
        <f>SUM($AJ174:AJ174)</f>
        <v>0</v>
      </c>
      <c r="AV174" s="41">
        <f>SUM($AJ174:AK174)</f>
        <v>0</v>
      </c>
      <c r="AW174" s="41">
        <f>SUM($AJ174:AL174)</f>
        <v>0</v>
      </c>
      <c r="AX174" s="41">
        <f>SUM($AJ174:AM174)</f>
        <v>0</v>
      </c>
      <c r="AY174" s="41">
        <f>SUM($AJ174:AN174)</f>
        <v>0</v>
      </c>
      <c r="AZ174" s="41">
        <f>SUM($AJ174:AO174)</f>
        <v>0</v>
      </c>
      <c r="BA174" s="41">
        <f>SUM($AJ174:AP174)</f>
        <v>0</v>
      </c>
      <c r="BB174" s="41">
        <f>SUM($AJ174:AQ174)</f>
        <v>0</v>
      </c>
      <c r="BC174" s="41">
        <f>SUM($AJ174:AR174)</f>
        <v>0</v>
      </c>
      <c r="BD174" s="41">
        <f>SUM($AJ174:AS174)</f>
        <v>0</v>
      </c>
      <c r="BE174" s="41">
        <f>SUM($AJ174:AT174)</f>
        <v>0</v>
      </c>
      <c r="BF174" s="41" t="str">
        <f t="shared" si="52"/>
        <v/>
      </c>
      <c r="BG174" s="41" t="str">
        <f t="shared" si="53"/>
        <v/>
      </c>
      <c r="BH174" s="41" t="str">
        <f t="shared" si="54"/>
        <v/>
      </c>
      <c r="BI174" s="41" t="str">
        <f t="shared" si="55"/>
        <v/>
      </c>
      <c r="BJ174" s="41" t="str">
        <f t="shared" si="56"/>
        <v/>
      </c>
      <c r="BK174" s="41" t="str">
        <f t="shared" si="57"/>
        <v/>
      </c>
      <c r="BL174" s="41" t="str">
        <f t="shared" si="58"/>
        <v/>
      </c>
      <c r="BM174" s="41" t="str">
        <f t="shared" si="59"/>
        <v/>
      </c>
      <c r="BN174" s="41" t="str">
        <f t="shared" si="60"/>
        <v/>
      </c>
      <c r="BO174" s="41" t="str">
        <f t="shared" si="61"/>
        <v/>
      </c>
      <c r="BP174" s="41" t="str">
        <f t="shared" si="62"/>
        <v/>
      </c>
      <c r="BQ174" s="11"/>
      <c r="BR174" s="11"/>
    </row>
    <row r="175" spans="1:70" ht="15" customHeight="1" x14ac:dyDescent="0.25">
      <c r="A175" s="957">
        <f t="shared" si="66"/>
        <v>0</v>
      </c>
      <c r="S175" s="4"/>
      <c r="T175" s="1204"/>
      <c r="U175" s="4074" t="str">
        <f t="shared" si="51"/>
        <v/>
      </c>
      <c r="V175" s="137">
        <f t="shared" si="63"/>
        <v>40</v>
      </c>
      <c r="W175" s="2129">
        <v>0.21</v>
      </c>
      <c r="X175" s="2130">
        <v>0.35</v>
      </c>
      <c r="Y175" s="2130">
        <v>0.46</v>
      </c>
      <c r="Z175" s="2130">
        <v>0.59</v>
      </c>
      <c r="AA175" s="2130">
        <v>0.72</v>
      </c>
      <c r="AB175" s="2130">
        <v>0.79</v>
      </c>
      <c r="AC175" s="2130"/>
      <c r="AD175" s="2130"/>
      <c r="AE175" s="2130"/>
      <c r="AF175" s="2130"/>
      <c r="AG175" s="101"/>
      <c r="AH175" s="6"/>
      <c r="AI175" s="11"/>
      <c r="AJ175" s="41">
        <f t="shared" si="65"/>
        <v>0</v>
      </c>
      <c r="AK175" s="41">
        <f>IF(ISERROR(HLOOKUP(AK$134,'Improved Sales Adjustments'!$G$7:$ZP$147,68,FALSE)),0,IF(HLOOKUP(AK$134,'Improved Sales Adjustments'!$G$7:$ZP$147,68,FALSE)="",0,IF($V175=HLOOKUP(AK$134,'Improved Sales Adjustments'!$G$7:$ZP$147,68,FALSE),1,0)))</f>
        <v>0</v>
      </c>
      <c r="AL175" s="41">
        <f>IF(ISERROR(HLOOKUP(AL$134,'Improved Sales Adjustments'!$G$7:$ZP$147,68,FALSE)),0,IF(HLOOKUP(AL$134,'Improved Sales Adjustments'!$G$7:$ZP$147,68,FALSE)="",0,IF($V175=HLOOKUP(AL$134,'Improved Sales Adjustments'!$G$7:$ZP$147,68,FALSE),1,0)))</f>
        <v>0</v>
      </c>
      <c r="AM175" s="41">
        <f>IF(ISERROR(HLOOKUP(AM$134,'Improved Sales Adjustments'!$G$7:$ZP$147,68,FALSE)),0,IF(HLOOKUP(AM$134,'Improved Sales Adjustments'!$G$7:$ZP$147,68,FALSE)="",0,IF($V175=HLOOKUP(AM$134,'Improved Sales Adjustments'!$G$7:$ZP$147,68,FALSE),1,0)))</f>
        <v>0</v>
      </c>
      <c r="AN175" s="41">
        <f>IF(ISERROR(HLOOKUP(AN$134,'Improved Sales Adjustments'!$G$7:$ZP$147,68,FALSE)),0,IF(HLOOKUP(AN$134,'Improved Sales Adjustments'!$G$7:$ZP$147,68,FALSE)="",0,IF($V175=HLOOKUP(AN$134,'Improved Sales Adjustments'!$G$7:$ZP$147,68,FALSE),1,0)))</f>
        <v>0</v>
      </c>
      <c r="AO175" s="41">
        <f>IF(ISERROR(HLOOKUP(AO$134,'Improved Sales Adjustments'!$G$7:$ZP$147,68,FALSE)),0,IF(HLOOKUP(AO$134,'Improved Sales Adjustments'!$G$7:$ZP$147,68,FALSE)="",0,IF($V175=HLOOKUP(AO$134,'Improved Sales Adjustments'!$G$7:$ZP$147,68,FALSE),1,0)))</f>
        <v>0</v>
      </c>
      <c r="AP175" s="41">
        <f>IF(ISERROR(HLOOKUP(AP$134,'Improved Sales Adjustments'!$G$7:$ZP$147,68,FALSE)),0,IF(HLOOKUP(AP$134,'Improved Sales Adjustments'!$G$7:$ZP$147,68,FALSE)="",0,IF($V175=HLOOKUP(AP$134,'Improved Sales Adjustments'!$G$7:$ZP$147,68,FALSE),1,0)))</f>
        <v>0</v>
      </c>
      <c r="AQ175" s="41">
        <f>IF(ISERROR(HLOOKUP(AQ$134,'Improved Sales Adjustments'!$G$7:$ZP$147,68,FALSE)),0,IF(HLOOKUP(AQ$134,'Improved Sales Adjustments'!$G$7:$ZP$147,68,FALSE)="",0,IF($V175=HLOOKUP(AQ$134,'Improved Sales Adjustments'!$G$7:$ZP$147,68,FALSE),1,0)))</f>
        <v>0</v>
      </c>
      <c r="AR175" s="41">
        <f>IF(ISERROR(HLOOKUP(AR$134,'Improved Sales Adjustments'!$G$7:$ZP$147,68,FALSE)),0,IF(HLOOKUP(AR$134,'Improved Sales Adjustments'!$G$7:$ZP$147,68,FALSE)="",0,IF($V175=HLOOKUP(AR$134,'Improved Sales Adjustments'!$G$7:$ZP$147,68,FALSE),1,0)))</f>
        <v>0</v>
      </c>
      <c r="AS175" s="41">
        <f>IF(ISERROR(HLOOKUP(AS$134,'Improved Sales Adjustments'!$G$7:$ZP$147,68,FALSE)),0,IF(HLOOKUP(AS$134,'Improved Sales Adjustments'!$G$7:$ZP$147,68,FALSE)="",0,IF($V175=HLOOKUP(AS$134,'Improved Sales Adjustments'!$G$7:$ZP$147,68,FALSE),1,0)))</f>
        <v>0</v>
      </c>
      <c r="AT175" s="41">
        <f>IF(ISERROR(HLOOKUP(AT$134,'Improved Sales Adjustments'!$G$7:$ZP$147,68,FALSE)),0,IF(HLOOKUP(AT$134,'Improved Sales Adjustments'!$G$7:$ZP$147,68,FALSE)="",0,IF($V175=HLOOKUP(AT$134,'Improved Sales Adjustments'!$G$7:$ZP$147,68,FALSE),1,0)))</f>
        <v>0</v>
      </c>
      <c r="AU175" s="41">
        <f>SUM($AJ175:AJ175)</f>
        <v>0</v>
      </c>
      <c r="AV175" s="41">
        <f>SUM($AJ175:AK175)</f>
        <v>0</v>
      </c>
      <c r="AW175" s="41">
        <f>SUM($AJ175:AL175)</f>
        <v>0</v>
      </c>
      <c r="AX175" s="41">
        <f>SUM($AJ175:AM175)</f>
        <v>0</v>
      </c>
      <c r="AY175" s="41">
        <f>SUM($AJ175:AN175)</f>
        <v>0</v>
      </c>
      <c r="AZ175" s="41">
        <f>SUM($AJ175:AO175)</f>
        <v>0</v>
      </c>
      <c r="BA175" s="41">
        <f>SUM($AJ175:AP175)</f>
        <v>0</v>
      </c>
      <c r="BB175" s="41">
        <f>SUM($AJ175:AQ175)</f>
        <v>0</v>
      </c>
      <c r="BC175" s="41">
        <f>SUM($AJ175:AR175)</f>
        <v>0</v>
      </c>
      <c r="BD175" s="41">
        <f>SUM($AJ175:AS175)</f>
        <v>0</v>
      </c>
      <c r="BE175" s="41">
        <f>SUM($AJ175:AT175)</f>
        <v>0</v>
      </c>
      <c r="BF175" s="41" t="str">
        <f t="shared" si="52"/>
        <v/>
      </c>
      <c r="BG175" s="41" t="str">
        <f t="shared" si="53"/>
        <v/>
      </c>
      <c r="BH175" s="41" t="str">
        <f t="shared" si="54"/>
        <v/>
      </c>
      <c r="BI175" s="41" t="str">
        <f t="shared" si="55"/>
        <v/>
      </c>
      <c r="BJ175" s="41" t="str">
        <f t="shared" si="56"/>
        <v/>
      </c>
      <c r="BK175" s="41" t="str">
        <f t="shared" si="57"/>
        <v/>
      </c>
      <c r="BL175" s="41" t="str">
        <f t="shared" si="58"/>
        <v/>
      </c>
      <c r="BM175" s="41" t="str">
        <f t="shared" si="59"/>
        <v/>
      </c>
      <c r="BN175" s="41" t="str">
        <f t="shared" si="60"/>
        <v/>
      </c>
      <c r="BO175" s="41" t="str">
        <f t="shared" si="61"/>
        <v/>
      </c>
      <c r="BP175" s="41" t="str">
        <f t="shared" si="62"/>
        <v/>
      </c>
      <c r="BQ175" s="11"/>
      <c r="BR175" s="11"/>
    </row>
    <row r="176" spans="1:70" ht="15" customHeight="1" x14ac:dyDescent="0.25">
      <c r="A176" s="957">
        <f t="shared" si="66"/>
        <v>0</v>
      </c>
      <c r="S176" s="4"/>
      <c r="T176" s="1204"/>
      <c r="U176" s="4074" t="str">
        <f t="shared" si="51"/>
        <v/>
      </c>
      <c r="V176" s="137">
        <f t="shared" si="63"/>
        <v>41</v>
      </c>
      <c r="W176" s="2130">
        <f t="shared" ref="W176:AB176" si="70">(W177+W175)/2</f>
        <v>0.22999999999999998</v>
      </c>
      <c r="X176" s="2130">
        <f t="shared" si="70"/>
        <v>0.37</v>
      </c>
      <c r="Y176" s="2130">
        <f t="shared" si="70"/>
        <v>0.48499999999999999</v>
      </c>
      <c r="Z176" s="2130">
        <f t="shared" si="70"/>
        <v>0.62</v>
      </c>
      <c r="AA176" s="2130">
        <f t="shared" si="70"/>
        <v>0.73499999999999999</v>
      </c>
      <c r="AB176" s="2130">
        <f t="shared" si="70"/>
        <v>0.79500000000000004</v>
      </c>
      <c r="AC176" s="2130"/>
      <c r="AD176" s="2130"/>
      <c r="AE176" s="2130"/>
      <c r="AF176" s="2130"/>
      <c r="AG176" s="101"/>
      <c r="AH176" s="6"/>
      <c r="AI176" s="11"/>
      <c r="AJ176" s="41">
        <f t="shared" si="65"/>
        <v>0</v>
      </c>
      <c r="AK176" s="41">
        <f>IF(ISERROR(HLOOKUP(AK$134,'Improved Sales Adjustments'!$G$7:$ZP$147,68,FALSE)),0,IF(HLOOKUP(AK$134,'Improved Sales Adjustments'!$G$7:$ZP$147,68,FALSE)="",0,IF($V176=HLOOKUP(AK$134,'Improved Sales Adjustments'!$G$7:$ZP$147,68,FALSE),1,0)))</f>
        <v>0</v>
      </c>
      <c r="AL176" s="41">
        <f>IF(ISERROR(HLOOKUP(AL$134,'Improved Sales Adjustments'!$G$7:$ZP$147,68,FALSE)),0,IF(HLOOKUP(AL$134,'Improved Sales Adjustments'!$G$7:$ZP$147,68,FALSE)="",0,IF($V176=HLOOKUP(AL$134,'Improved Sales Adjustments'!$G$7:$ZP$147,68,FALSE),1,0)))</f>
        <v>0</v>
      </c>
      <c r="AM176" s="41">
        <f>IF(ISERROR(HLOOKUP(AM$134,'Improved Sales Adjustments'!$G$7:$ZP$147,68,FALSE)),0,IF(HLOOKUP(AM$134,'Improved Sales Adjustments'!$G$7:$ZP$147,68,FALSE)="",0,IF($V176=HLOOKUP(AM$134,'Improved Sales Adjustments'!$G$7:$ZP$147,68,FALSE),1,0)))</f>
        <v>0</v>
      </c>
      <c r="AN176" s="41">
        <f>IF(ISERROR(HLOOKUP(AN$134,'Improved Sales Adjustments'!$G$7:$ZP$147,68,FALSE)),0,IF(HLOOKUP(AN$134,'Improved Sales Adjustments'!$G$7:$ZP$147,68,FALSE)="",0,IF($V176=HLOOKUP(AN$134,'Improved Sales Adjustments'!$G$7:$ZP$147,68,FALSE),1,0)))</f>
        <v>0</v>
      </c>
      <c r="AO176" s="41">
        <f>IF(ISERROR(HLOOKUP(AO$134,'Improved Sales Adjustments'!$G$7:$ZP$147,68,FALSE)),0,IF(HLOOKUP(AO$134,'Improved Sales Adjustments'!$G$7:$ZP$147,68,FALSE)="",0,IF($V176=HLOOKUP(AO$134,'Improved Sales Adjustments'!$G$7:$ZP$147,68,FALSE),1,0)))</f>
        <v>0</v>
      </c>
      <c r="AP176" s="41">
        <f>IF(ISERROR(HLOOKUP(AP$134,'Improved Sales Adjustments'!$G$7:$ZP$147,68,FALSE)),0,IF(HLOOKUP(AP$134,'Improved Sales Adjustments'!$G$7:$ZP$147,68,FALSE)="",0,IF($V176=HLOOKUP(AP$134,'Improved Sales Adjustments'!$G$7:$ZP$147,68,FALSE),1,0)))</f>
        <v>0</v>
      </c>
      <c r="AQ176" s="41">
        <f>IF(ISERROR(HLOOKUP(AQ$134,'Improved Sales Adjustments'!$G$7:$ZP$147,68,FALSE)),0,IF(HLOOKUP(AQ$134,'Improved Sales Adjustments'!$G$7:$ZP$147,68,FALSE)="",0,IF($V176=HLOOKUP(AQ$134,'Improved Sales Adjustments'!$G$7:$ZP$147,68,FALSE),1,0)))</f>
        <v>0</v>
      </c>
      <c r="AR176" s="41">
        <f>IF(ISERROR(HLOOKUP(AR$134,'Improved Sales Adjustments'!$G$7:$ZP$147,68,FALSE)),0,IF(HLOOKUP(AR$134,'Improved Sales Adjustments'!$G$7:$ZP$147,68,FALSE)="",0,IF($V176=HLOOKUP(AR$134,'Improved Sales Adjustments'!$G$7:$ZP$147,68,FALSE),1,0)))</f>
        <v>0</v>
      </c>
      <c r="AS176" s="41">
        <f>IF(ISERROR(HLOOKUP(AS$134,'Improved Sales Adjustments'!$G$7:$ZP$147,68,FALSE)),0,IF(HLOOKUP(AS$134,'Improved Sales Adjustments'!$G$7:$ZP$147,68,FALSE)="",0,IF($V176=HLOOKUP(AS$134,'Improved Sales Adjustments'!$G$7:$ZP$147,68,FALSE),1,0)))</f>
        <v>0</v>
      </c>
      <c r="AT176" s="41">
        <f>IF(ISERROR(HLOOKUP(AT$134,'Improved Sales Adjustments'!$G$7:$ZP$147,68,FALSE)),0,IF(HLOOKUP(AT$134,'Improved Sales Adjustments'!$G$7:$ZP$147,68,FALSE)="",0,IF($V176=HLOOKUP(AT$134,'Improved Sales Adjustments'!$G$7:$ZP$147,68,FALSE),1,0)))</f>
        <v>0</v>
      </c>
      <c r="AU176" s="41">
        <f>SUM($AJ176:AJ176)</f>
        <v>0</v>
      </c>
      <c r="AV176" s="41">
        <f>SUM($AJ176:AK176)</f>
        <v>0</v>
      </c>
      <c r="AW176" s="41">
        <f>SUM($AJ176:AL176)</f>
        <v>0</v>
      </c>
      <c r="AX176" s="41">
        <f>SUM($AJ176:AM176)</f>
        <v>0</v>
      </c>
      <c r="AY176" s="41">
        <f>SUM($AJ176:AN176)</f>
        <v>0</v>
      </c>
      <c r="AZ176" s="41">
        <f>SUM($AJ176:AO176)</f>
        <v>0</v>
      </c>
      <c r="BA176" s="41">
        <f>SUM($AJ176:AP176)</f>
        <v>0</v>
      </c>
      <c r="BB176" s="41">
        <f>SUM($AJ176:AQ176)</f>
        <v>0</v>
      </c>
      <c r="BC176" s="41">
        <f>SUM($AJ176:AR176)</f>
        <v>0</v>
      </c>
      <c r="BD176" s="41">
        <f>SUM($AJ176:AS176)</f>
        <v>0</v>
      </c>
      <c r="BE176" s="41">
        <f>SUM($AJ176:AT176)</f>
        <v>0</v>
      </c>
      <c r="BF176" s="41" t="str">
        <f t="shared" si="52"/>
        <v/>
      </c>
      <c r="BG176" s="41" t="str">
        <f t="shared" si="53"/>
        <v/>
      </c>
      <c r="BH176" s="41" t="str">
        <f t="shared" si="54"/>
        <v/>
      </c>
      <c r="BI176" s="41" t="str">
        <f t="shared" si="55"/>
        <v/>
      </c>
      <c r="BJ176" s="41" t="str">
        <f t="shared" si="56"/>
        <v/>
      </c>
      <c r="BK176" s="41" t="str">
        <f t="shared" si="57"/>
        <v/>
      </c>
      <c r="BL176" s="41" t="str">
        <f t="shared" si="58"/>
        <v/>
      </c>
      <c r="BM176" s="41" t="str">
        <f t="shared" si="59"/>
        <v/>
      </c>
      <c r="BN176" s="41" t="str">
        <f t="shared" si="60"/>
        <v/>
      </c>
      <c r="BO176" s="41" t="str">
        <f t="shared" si="61"/>
        <v/>
      </c>
      <c r="BP176" s="41" t="str">
        <f t="shared" si="62"/>
        <v/>
      </c>
      <c r="BQ176" s="11"/>
      <c r="BR176" s="11"/>
    </row>
    <row r="177" spans="1:70" ht="15" customHeight="1" x14ac:dyDescent="0.25">
      <c r="A177" s="957">
        <f t="shared" si="66"/>
        <v>0</v>
      </c>
      <c r="S177" s="4"/>
      <c r="T177" s="1204"/>
      <c r="U177" s="4074" t="str">
        <f t="shared" si="51"/>
        <v/>
      </c>
      <c r="V177" s="137">
        <f t="shared" si="63"/>
        <v>42</v>
      </c>
      <c r="W177" s="2129">
        <v>0.25</v>
      </c>
      <c r="X177" s="2130">
        <v>0.39</v>
      </c>
      <c r="Y177" s="2130">
        <v>0.51</v>
      </c>
      <c r="Z177" s="2130">
        <v>0.65</v>
      </c>
      <c r="AA177" s="2130">
        <v>0.75</v>
      </c>
      <c r="AB177" s="2130">
        <v>0.8</v>
      </c>
      <c r="AC177" s="2130"/>
      <c r="AD177" s="2130"/>
      <c r="AE177" s="2130"/>
      <c r="AF177" s="2130"/>
      <c r="AG177" s="101"/>
      <c r="AH177" s="6"/>
      <c r="AI177" s="11"/>
      <c r="AJ177" s="41">
        <f t="shared" si="65"/>
        <v>0</v>
      </c>
      <c r="AK177" s="41">
        <f>IF(ISERROR(HLOOKUP(AK$134,'Improved Sales Adjustments'!$G$7:$ZP$147,68,FALSE)),0,IF(HLOOKUP(AK$134,'Improved Sales Adjustments'!$G$7:$ZP$147,68,FALSE)="",0,IF($V177=HLOOKUP(AK$134,'Improved Sales Adjustments'!$G$7:$ZP$147,68,FALSE),1,0)))</f>
        <v>0</v>
      </c>
      <c r="AL177" s="41">
        <f>IF(ISERROR(HLOOKUP(AL$134,'Improved Sales Adjustments'!$G$7:$ZP$147,68,FALSE)),0,IF(HLOOKUP(AL$134,'Improved Sales Adjustments'!$G$7:$ZP$147,68,FALSE)="",0,IF($V177=HLOOKUP(AL$134,'Improved Sales Adjustments'!$G$7:$ZP$147,68,FALSE),1,0)))</f>
        <v>0</v>
      </c>
      <c r="AM177" s="41">
        <f>IF(ISERROR(HLOOKUP(AM$134,'Improved Sales Adjustments'!$G$7:$ZP$147,68,FALSE)),0,IF(HLOOKUP(AM$134,'Improved Sales Adjustments'!$G$7:$ZP$147,68,FALSE)="",0,IF($V177=HLOOKUP(AM$134,'Improved Sales Adjustments'!$G$7:$ZP$147,68,FALSE),1,0)))</f>
        <v>0</v>
      </c>
      <c r="AN177" s="41">
        <f>IF(ISERROR(HLOOKUP(AN$134,'Improved Sales Adjustments'!$G$7:$ZP$147,68,FALSE)),0,IF(HLOOKUP(AN$134,'Improved Sales Adjustments'!$G$7:$ZP$147,68,FALSE)="",0,IF($V177=HLOOKUP(AN$134,'Improved Sales Adjustments'!$G$7:$ZP$147,68,FALSE),1,0)))</f>
        <v>0</v>
      </c>
      <c r="AO177" s="41">
        <f>IF(ISERROR(HLOOKUP(AO$134,'Improved Sales Adjustments'!$G$7:$ZP$147,68,FALSE)),0,IF(HLOOKUP(AO$134,'Improved Sales Adjustments'!$G$7:$ZP$147,68,FALSE)="",0,IF($V177=HLOOKUP(AO$134,'Improved Sales Adjustments'!$G$7:$ZP$147,68,FALSE),1,0)))</f>
        <v>0</v>
      </c>
      <c r="AP177" s="41">
        <f>IF(ISERROR(HLOOKUP(AP$134,'Improved Sales Adjustments'!$G$7:$ZP$147,68,FALSE)),0,IF(HLOOKUP(AP$134,'Improved Sales Adjustments'!$G$7:$ZP$147,68,FALSE)="",0,IF($V177=HLOOKUP(AP$134,'Improved Sales Adjustments'!$G$7:$ZP$147,68,FALSE),1,0)))</f>
        <v>0</v>
      </c>
      <c r="AQ177" s="41">
        <f>IF(ISERROR(HLOOKUP(AQ$134,'Improved Sales Adjustments'!$G$7:$ZP$147,68,FALSE)),0,IF(HLOOKUP(AQ$134,'Improved Sales Adjustments'!$G$7:$ZP$147,68,FALSE)="",0,IF($V177=HLOOKUP(AQ$134,'Improved Sales Adjustments'!$G$7:$ZP$147,68,FALSE),1,0)))</f>
        <v>0</v>
      </c>
      <c r="AR177" s="41">
        <f>IF(ISERROR(HLOOKUP(AR$134,'Improved Sales Adjustments'!$G$7:$ZP$147,68,FALSE)),0,IF(HLOOKUP(AR$134,'Improved Sales Adjustments'!$G$7:$ZP$147,68,FALSE)="",0,IF($V177=HLOOKUP(AR$134,'Improved Sales Adjustments'!$G$7:$ZP$147,68,FALSE),1,0)))</f>
        <v>0</v>
      </c>
      <c r="AS177" s="41">
        <f>IF(ISERROR(HLOOKUP(AS$134,'Improved Sales Adjustments'!$G$7:$ZP$147,68,FALSE)),0,IF(HLOOKUP(AS$134,'Improved Sales Adjustments'!$G$7:$ZP$147,68,FALSE)="",0,IF($V177=HLOOKUP(AS$134,'Improved Sales Adjustments'!$G$7:$ZP$147,68,FALSE),1,0)))</f>
        <v>0</v>
      </c>
      <c r="AT177" s="41">
        <f>IF(ISERROR(HLOOKUP(AT$134,'Improved Sales Adjustments'!$G$7:$ZP$147,68,FALSE)),0,IF(HLOOKUP(AT$134,'Improved Sales Adjustments'!$G$7:$ZP$147,68,FALSE)="",0,IF($V177=HLOOKUP(AT$134,'Improved Sales Adjustments'!$G$7:$ZP$147,68,FALSE),1,0)))</f>
        <v>0</v>
      </c>
      <c r="AU177" s="41">
        <f>SUM($AJ177:AJ177)</f>
        <v>0</v>
      </c>
      <c r="AV177" s="41">
        <f>SUM($AJ177:AK177)</f>
        <v>0</v>
      </c>
      <c r="AW177" s="41">
        <f>SUM($AJ177:AL177)</f>
        <v>0</v>
      </c>
      <c r="AX177" s="41">
        <f>SUM($AJ177:AM177)</f>
        <v>0</v>
      </c>
      <c r="AY177" s="41">
        <f>SUM($AJ177:AN177)</f>
        <v>0</v>
      </c>
      <c r="AZ177" s="41">
        <f>SUM($AJ177:AO177)</f>
        <v>0</v>
      </c>
      <c r="BA177" s="41">
        <f>SUM($AJ177:AP177)</f>
        <v>0</v>
      </c>
      <c r="BB177" s="41">
        <f>SUM($AJ177:AQ177)</f>
        <v>0</v>
      </c>
      <c r="BC177" s="41">
        <f>SUM($AJ177:AR177)</f>
        <v>0</v>
      </c>
      <c r="BD177" s="41">
        <f>SUM($AJ177:AS177)</f>
        <v>0</v>
      </c>
      <c r="BE177" s="41">
        <f>SUM($AJ177:AT177)</f>
        <v>0</v>
      </c>
      <c r="BF177" s="41" t="str">
        <f t="shared" si="52"/>
        <v/>
      </c>
      <c r="BG177" s="41" t="str">
        <f t="shared" si="53"/>
        <v/>
      </c>
      <c r="BH177" s="41" t="str">
        <f t="shared" si="54"/>
        <v/>
      </c>
      <c r="BI177" s="41" t="str">
        <f t="shared" si="55"/>
        <v/>
      </c>
      <c r="BJ177" s="41" t="str">
        <f t="shared" si="56"/>
        <v/>
      </c>
      <c r="BK177" s="41" t="str">
        <f t="shared" si="57"/>
        <v/>
      </c>
      <c r="BL177" s="41" t="str">
        <f t="shared" si="58"/>
        <v/>
      </c>
      <c r="BM177" s="41" t="str">
        <f t="shared" si="59"/>
        <v/>
      </c>
      <c r="BN177" s="41" t="str">
        <f t="shared" si="60"/>
        <v/>
      </c>
      <c r="BO177" s="41" t="str">
        <f t="shared" si="61"/>
        <v/>
      </c>
      <c r="BP177" s="41" t="str">
        <f t="shared" si="62"/>
        <v/>
      </c>
      <c r="BQ177" s="11"/>
      <c r="BR177" s="11"/>
    </row>
    <row r="178" spans="1:70" ht="15" customHeight="1" x14ac:dyDescent="0.25">
      <c r="A178" s="957">
        <f t="shared" si="66"/>
        <v>0</v>
      </c>
      <c r="S178" s="4"/>
      <c r="T178" s="1204"/>
      <c r="U178" s="4074" t="str">
        <f t="shared" si="51"/>
        <v/>
      </c>
      <c r="V178" s="137">
        <f t="shared" si="63"/>
        <v>43</v>
      </c>
      <c r="W178" s="2130">
        <f>(W179+W177)/2</f>
        <v>0.26500000000000001</v>
      </c>
      <c r="X178" s="2130">
        <f>(X179+X177)/2</f>
        <v>0.41000000000000003</v>
      </c>
      <c r="Y178" s="2130">
        <f>(Y179+Y177)/2</f>
        <v>0.53500000000000003</v>
      </c>
      <c r="Z178" s="2130">
        <f>(Z179+Z177)/2</f>
        <v>0.67500000000000004</v>
      </c>
      <c r="AA178" s="2130">
        <f>(AA179+AA177)/2</f>
        <v>0.76</v>
      </c>
      <c r="AB178" s="2130"/>
      <c r="AC178" s="2130"/>
      <c r="AD178" s="2130"/>
      <c r="AE178" s="2130"/>
      <c r="AF178" s="2130"/>
      <c r="AG178" s="101"/>
      <c r="AH178" s="6"/>
      <c r="AI178" s="11"/>
      <c r="AJ178" s="41">
        <f t="shared" si="65"/>
        <v>0</v>
      </c>
      <c r="AK178" s="41">
        <f>IF(ISERROR(HLOOKUP(AK$134,'Improved Sales Adjustments'!$G$7:$ZP$147,68,FALSE)),0,IF(HLOOKUP(AK$134,'Improved Sales Adjustments'!$G$7:$ZP$147,68,FALSE)="",0,IF($V178=HLOOKUP(AK$134,'Improved Sales Adjustments'!$G$7:$ZP$147,68,FALSE),1,0)))</f>
        <v>0</v>
      </c>
      <c r="AL178" s="41">
        <f>IF(ISERROR(HLOOKUP(AL$134,'Improved Sales Adjustments'!$G$7:$ZP$147,68,FALSE)),0,IF(HLOOKUP(AL$134,'Improved Sales Adjustments'!$G$7:$ZP$147,68,FALSE)="",0,IF($V178=HLOOKUP(AL$134,'Improved Sales Adjustments'!$G$7:$ZP$147,68,FALSE),1,0)))</f>
        <v>0</v>
      </c>
      <c r="AM178" s="41">
        <f>IF(ISERROR(HLOOKUP(AM$134,'Improved Sales Adjustments'!$G$7:$ZP$147,68,FALSE)),0,IF(HLOOKUP(AM$134,'Improved Sales Adjustments'!$G$7:$ZP$147,68,FALSE)="",0,IF($V178=HLOOKUP(AM$134,'Improved Sales Adjustments'!$G$7:$ZP$147,68,FALSE),1,0)))</f>
        <v>0</v>
      </c>
      <c r="AN178" s="41">
        <f>IF(ISERROR(HLOOKUP(AN$134,'Improved Sales Adjustments'!$G$7:$ZP$147,68,FALSE)),0,IF(HLOOKUP(AN$134,'Improved Sales Adjustments'!$G$7:$ZP$147,68,FALSE)="",0,IF($V178=HLOOKUP(AN$134,'Improved Sales Adjustments'!$G$7:$ZP$147,68,FALSE),1,0)))</f>
        <v>0</v>
      </c>
      <c r="AO178" s="41">
        <f>IF(ISERROR(HLOOKUP(AO$134,'Improved Sales Adjustments'!$G$7:$ZP$147,68,FALSE)),0,IF(HLOOKUP(AO$134,'Improved Sales Adjustments'!$G$7:$ZP$147,68,FALSE)="",0,IF($V178=HLOOKUP(AO$134,'Improved Sales Adjustments'!$G$7:$ZP$147,68,FALSE),1,0)))</f>
        <v>0</v>
      </c>
      <c r="AP178" s="41">
        <f>IF(ISERROR(HLOOKUP(AP$134,'Improved Sales Adjustments'!$G$7:$ZP$147,68,FALSE)),0,IF(HLOOKUP(AP$134,'Improved Sales Adjustments'!$G$7:$ZP$147,68,FALSE)="",0,IF($V178=HLOOKUP(AP$134,'Improved Sales Adjustments'!$G$7:$ZP$147,68,FALSE),1,0)))</f>
        <v>0</v>
      </c>
      <c r="AQ178" s="41">
        <f>IF(ISERROR(HLOOKUP(AQ$134,'Improved Sales Adjustments'!$G$7:$ZP$147,68,FALSE)),0,IF(HLOOKUP(AQ$134,'Improved Sales Adjustments'!$G$7:$ZP$147,68,FALSE)="",0,IF($V178=HLOOKUP(AQ$134,'Improved Sales Adjustments'!$G$7:$ZP$147,68,FALSE),1,0)))</f>
        <v>0</v>
      </c>
      <c r="AR178" s="41">
        <f>IF(ISERROR(HLOOKUP(AR$134,'Improved Sales Adjustments'!$G$7:$ZP$147,68,FALSE)),0,IF(HLOOKUP(AR$134,'Improved Sales Adjustments'!$G$7:$ZP$147,68,FALSE)="",0,IF($V178=HLOOKUP(AR$134,'Improved Sales Adjustments'!$G$7:$ZP$147,68,FALSE),1,0)))</f>
        <v>0</v>
      </c>
      <c r="AS178" s="41">
        <f>IF(ISERROR(HLOOKUP(AS$134,'Improved Sales Adjustments'!$G$7:$ZP$147,68,FALSE)),0,IF(HLOOKUP(AS$134,'Improved Sales Adjustments'!$G$7:$ZP$147,68,FALSE)="",0,IF($V178=HLOOKUP(AS$134,'Improved Sales Adjustments'!$G$7:$ZP$147,68,FALSE),1,0)))</f>
        <v>0</v>
      </c>
      <c r="AT178" s="41">
        <f>IF(ISERROR(HLOOKUP(AT$134,'Improved Sales Adjustments'!$G$7:$ZP$147,68,FALSE)),0,IF(HLOOKUP(AT$134,'Improved Sales Adjustments'!$G$7:$ZP$147,68,FALSE)="",0,IF($V178=HLOOKUP(AT$134,'Improved Sales Adjustments'!$G$7:$ZP$147,68,FALSE),1,0)))</f>
        <v>0</v>
      </c>
      <c r="AU178" s="41">
        <f>SUM($AJ178:AJ178)</f>
        <v>0</v>
      </c>
      <c r="AV178" s="41">
        <f>SUM($AJ178:AK178)</f>
        <v>0</v>
      </c>
      <c r="AW178" s="41">
        <f>SUM($AJ178:AL178)</f>
        <v>0</v>
      </c>
      <c r="AX178" s="41">
        <f>SUM($AJ178:AM178)</f>
        <v>0</v>
      </c>
      <c r="AY178" s="41">
        <f>SUM($AJ178:AN178)</f>
        <v>0</v>
      </c>
      <c r="AZ178" s="41">
        <f>SUM($AJ178:AO178)</f>
        <v>0</v>
      </c>
      <c r="BA178" s="41">
        <f>SUM($AJ178:AP178)</f>
        <v>0</v>
      </c>
      <c r="BB178" s="41">
        <f>SUM($AJ178:AQ178)</f>
        <v>0</v>
      </c>
      <c r="BC178" s="41">
        <f>SUM($AJ178:AR178)</f>
        <v>0</v>
      </c>
      <c r="BD178" s="41">
        <f>SUM($AJ178:AS178)</f>
        <v>0</v>
      </c>
      <c r="BE178" s="41">
        <f>SUM($AJ178:AT178)</f>
        <v>0</v>
      </c>
      <c r="BF178" s="41" t="str">
        <f t="shared" si="52"/>
        <v/>
      </c>
      <c r="BG178" s="41" t="str">
        <f t="shared" si="53"/>
        <v/>
      </c>
      <c r="BH178" s="41" t="str">
        <f t="shared" si="54"/>
        <v/>
      </c>
      <c r="BI178" s="41" t="str">
        <f t="shared" si="55"/>
        <v/>
      </c>
      <c r="BJ178" s="41" t="str">
        <f t="shared" si="56"/>
        <v/>
      </c>
      <c r="BK178" s="41" t="str">
        <f t="shared" si="57"/>
        <v/>
      </c>
      <c r="BL178" s="41" t="str">
        <f t="shared" si="58"/>
        <v/>
      </c>
      <c r="BM178" s="41" t="str">
        <f t="shared" si="59"/>
        <v/>
      </c>
      <c r="BN178" s="41" t="str">
        <f t="shared" si="60"/>
        <v/>
      </c>
      <c r="BO178" s="41" t="str">
        <f t="shared" si="61"/>
        <v/>
      </c>
      <c r="BP178" s="41" t="str">
        <f t="shared" si="62"/>
        <v/>
      </c>
      <c r="BQ178" s="11"/>
      <c r="BR178" s="11"/>
    </row>
    <row r="179" spans="1:70" ht="15" customHeight="1" x14ac:dyDescent="0.25">
      <c r="A179" s="957">
        <f t="shared" si="66"/>
        <v>0</v>
      </c>
      <c r="S179" s="4"/>
      <c r="T179" s="1204"/>
      <c r="U179" s="4074" t="str">
        <f t="shared" si="51"/>
        <v/>
      </c>
      <c r="V179" s="137">
        <f t="shared" si="63"/>
        <v>44</v>
      </c>
      <c r="W179" s="2129">
        <v>0.28000000000000003</v>
      </c>
      <c r="X179" s="2130">
        <v>0.43</v>
      </c>
      <c r="Y179" s="2130">
        <v>0.56000000000000005</v>
      </c>
      <c r="Z179" s="2130">
        <v>0.7</v>
      </c>
      <c r="AA179" s="2130">
        <v>0.77</v>
      </c>
      <c r="AB179" s="2130"/>
      <c r="AC179" s="2130"/>
      <c r="AD179" s="2130"/>
      <c r="AE179" s="2130"/>
      <c r="AF179" s="2130"/>
      <c r="AG179" s="101"/>
      <c r="AH179" s="6"/>
      <c r="AI179" s="11"/>
      <c r="AJ179" s="41">
        <f t="shared" si="65"/>
        <v>0</v>
      </c>
      <c r="AK179" s="41">
        <f>IF(ISERROR(HLOOKUP(AK$134,'Improved Sales Adjustments'!$G$7:$ZP$147,68,FALSE)),0,IF(HLOOKUP(AK$134,'Improved Sales Adjustments'!$G$7:$ZP$147,68,FALSE)="",0,IF($V179=HLOOKUP(AK$134,'Improved Sales Adjustments'!$G$7:$ZP$147,68,FALSE),1,0)))</f>
        <v>0</v>
      </c>
      <c r="AL179" s="41">
        <f>IF(ISERROR(HLOOKUP(AL$134,'Improved Sales Adjustments'!$G$7:$ZP$147,68,FALSE)),0,IF(HLOOKUP(AL$134,'Improved Sales Adjustments'!$G$7:$ZP$147,68,FALSE)="",0,IF($V179=HLOOKUP(AL$134,'Improved Sales Adjustments'!$G$7:$ZP$147,68,FALSE),1,0)))</f>
        <v>0</v>
      </c>
      <c r="AM179" s="41">
        <f>IF(ISERROR(HLOOKUP(AM$134,'Improved Sales Adjustments'!$G$7:$ZP$147,68,FALSE)),0,IF(HLOOKUP(AM$134,'Improved Sales Adjustments'!$G$7:$ZP$147,68,FALSE)="",0,IF($V179=HLOOKUP(AM$134,'Improved Sales Adjustments'!$G$7:$ZP$147,68,FALSE),1,0)))</f>
        <v>0</v>
      </c>
      <c r="AN179" s="41">
        <f>IF(ISERROR(HLOOKUP(AN$134,'Improved Sales Adjustments'!$G$7:$ZP$147,68,FALSE)),0,IF(HLOOKUP(AN$134,'Improved Sales Adjustments'!$G$7:$ZP$147,68,FALSE)="",0,IF($V179=HLOOKUP(AN$134,'Improved Sales Adjustments'!$G$7:$ZP$147,68,FALSE),1,0)))</f>
        <v>0</v>
      </c>
      <c r="AO179" s="41">
        <f>IF(ISERROR(HLOOKUP(AO$134,'Improved Sales Adjustments'!$G$7:$ZP$147,68,FALSE)),0,IF(HLOOKUP(AO$134,'Improved Sales Adjustments'!$G$7:$ZP$147,68,FALSE)="",0,IF($V179=HLOOKUP(AO$134,'Improved Sales Adjustments'!$G$7:$ZP$147,68,FALSE),1,0)))</f>
        <v>0</v>
      </c>
      <c r="AP179" s="41">
        <f>IF(ISERROR(HLOOKUP(AP$134,'Improved Sales Adjustments'!$G$7:$ZP$147,68,FALSE)),0,IF(HLOOKUP(AP$134,'Improved Sales Adjustments'!$G$7:$ZP$147,68,FALSE)="",0,IF($V179=HLOOKUP(AP$134,'Improved Sales Adjustments'!$G$7:$ZP$147,68,FALSE),1,0)))</f>
        <v>0</v>
      </c>
      <c r="AQ179" s="41">
        <f>IF(ISERROR(HLOOKUP(AQ$134,'Improved Sales Adjustments'!$G$7:$ZP$147,68,FALSE)),0,IF(HLOOKUP(AQ$134,'Improved Sales Adjustments'!$G$7:$ZP$147,68,FALSE)="",0,IF($V179=HLOOKUP(AQ$134,'Improved Sales Adjustments'!$G$7:$ZP$147,68,FALSE),1,0)))</f>
        <v>0</v>
      </c>
      <c r="AR179" s="41">
        <f>IF(ISERROR(HLOOKUP(AR$134,'Improved Sales Adjustments'!$G$7:$ZP$147,68,FALSE)),0,IF(HLOOKUP(AR$134,'Improved Sales Adjustments'!$G$7:$ZP$147,68,FALSE)="",0,IF($V179=HLOOKUP(AR$134,'Improved Sales Adjustments'!$G$7:$ZP$147,68,FALSE),1,0)))</f>
        <v>0</v>
      </c>
      <c r="AS179" s="41">
        <f>IF(ISERROR(HLOOKUP(AS$134,'Improved Sales Adjustments'!$G$7:$ZP$147,68,FALSE)),0,IF(HLOOKUP(AS$134,'Improved Sales Adjustments'!$G$7:$ZP$147,68,FALSE)="",0,IF($V179=HLOOKUP(AS$134,'Improved Sales Adjustments'!$G$7:$ZP$147,68,FALSE),1,0)))</f>
        <v>0</v>
      </c>
      <c r="AT179" s="41">
        <f>IF(ISERROR(HLOOKUP(AT$134,'Improved Sales Adjustments'!$G$7:$ZP$147,68,FALSE)),0,IF(HLOOKUP(AT$134,'Improved Sales Adjustments'!$G$7:$ZP$147,68,FALSE)="",0,IF($V179=HLOOKUP(AT$134,'Improved Sales Adjustments'!$G$7:$ZP$147,68,FALSE),1,0)))</f>
        <v>0</v>
      </c>
      <c r="AU179" s="41">
        <f>SUM($AJ179:AJ179)</f>
        <v>0</v>
      </c>
      <c r="AV179" s="41">
        <f>SUM($AJ179:AK179)</f>
        <v>0</v>
      </c>
      <c r="AW179" s="41">
        <f>SUM($AJ179:AL179)</f>
        <v>0</v>
      </c>
      <c r="AX179" s="41">
        <f>SUM($AJ179:AM179)</f>
        <v>0</v>
      </c>
      <c r="AY179" s="41">
        <f>SUM($AJ179:AN179)</f>
        <v>0</v>
      </c>
      <c r="AZ179" s="41">
        <f>SUM($AJ179:AO179)</f>
        <v>0</v>
      </c>
      <c r="BA179" s="41">
        <f>SUM($AJ179:AP179)</f>
        <v>0</v>
      </c>
      <c r="BB179" s="41">
        <f>SUM($AJ179:AQ179)</f>
        <v>0</v>
      </c>
      <c r="BC179" s="41">
        <f>SUM($AJ179:AR179)</f>
        <v>0</v>
      </c>
      <c r="BD179" s="41">
        <f>SUM($AJ179:AS179)</f>
        <v>0</v>
      </c>
      <c r="BE179" s="41">
        <f>SUM($AJ179:AT179)</f>
        <v>0</v>
      </c>
      <c r="BF179" s="41" t="str">
        <f t="shared" si="52"/>
        <v/>
      </c>
      <c r="BG179" s="41" t="str">
        <f t="shared" si="53"/>
        <v/>
      </c>
      <c r="BH179" s="41" t="str">
        <f t="shared" si="54"/>
        <v/>
      </c>
      <c r="BI179" s="41" t="str">
        <f t="shared" si="55"/>
        <v/>
      </c>
      <c r="BJ179" s="41" t="str">
        <f t="shared" si="56"/>
        <v/>
      </c>
      <c r="BK179" s="41" t="str">
        <f t="shared" si="57"/>
        <v/>
      </c>
      <c r="BL179" s="41" t="str">
        <f t="shared" si="58"/>
        <v/>
      </c>
      <c r="BM179" s="41" t="str">
        <f t="shared" si="59"/>
        <v/>
      </c>
      <c r="BN179" s="41" t="str">
        <f t="shared" si="60"/>
        <v/>
      </c>
      <c r="BO179" s="41" t="str">
        <f t="shared" si="61"/>
        <v/>
      </c>
      <c r="BP179" s="41" t="str">
        <f t="shared" si="62"/>
        <v/>
      </c>
      <c r="BQ179" s="11"/>
      <c r="BR179" s="11"/>
    </row>
    <row r="180" spans="1:70" ht="15" customHeight="1" x14ac:dyDescent="0.25">
      <c r="A180" s="957">
        <f t="shared" si="66"/>
        <v>0</v>
      </c>
      <c r="S180" s="4"/>
      <c r="T180" s="1204"/>
      <c r="U180" s="4074" t="str">
        <f t="shared" si="51"/>
        <v/>
      </c>
      <c r="V180" s="137">
        <f t="shared" si="63"/>
        <v>45</v>
      </c>
      <c r="W180" s="2130">
        <f>(W181+W179)/2</f>
        <v>0.29500000000000004</v>
      </c>
      <c r="X180" s="2130">
        <f>(X181+X179)/2</f>
        <v>0.45499999999999996</v>
      </c>
      <c r="Y180" s="2130">
        <f>(Y181+Y179)/2</f>
        <v>0.58000000000000007</v>
      </c>
      <c r="Z180" s="2130">
        <f>(Z181+Z179)/2</f>
        <v>0.72</v>
      </c>
      <c r="AA180" s="2130">
        <f>(AA181+AA179)/2</f>
        <v>0.77500000000000002</v>
      </c>
      <c r="AB180" s="2130"/>
      <c r="AC180" s="2130"/>
      <c r="AD180" s="2130"/>
      <c r="AE180" s="2130"/>
      <c r="AF180" s="2130"/>
      <c r="AG180" s="101"/>
      <c r="AH180" s="6"/>
      <c r="AI180" s="11"/>
      <c r="AJ180" s="41">
        <f t="shared" si="65"/>
        <v>0</v>
      </c>
      <c r="AK180" s="41">
        <f>IF(ISERROR(HLOOKUP(AK$134,'Improved Sales Adjustments'!$G$7:$ZP$147,68,FALSE)),0,IF(HLOOKUP(AK$134,'Improved Sales Adjustments'!$G$7:$ZP$147,68,FALSE)="",0,IF($V180=HLOOKUP(AK$134,'Improved Sales Adjustments'!$G$7:$ZP$147,68,FALSE),1,0)))</f>
        <v>0</v>
      </c>
      <c r="AL180" s="41">
        <f>IF(ISERROR(HLOOKUP(AL$134,'Improved Sales Adjustments'!$G$7:$ZP$147,68,FALSE)),0,IF(HLOOKUP(AL$134,'Improved Sales Adjustments'!$G$7:$ZP$147,68,FALSE)="",0,IF($V180=HLOOKUP(AL$134,'Improved Sales Adjustments'!$G$7:$ZP$147,68,FALSE),1,0)))</f>
        <v>0</v>
      </c>
      <c r="AM180" s="41">
        <f>IF(ISERROR(HLOOKUP(AM$134,'Improved Sales Adjustments'!$G$7:$ZP$147,68,FALSE)),0,IF(HLOOKUP(AM$134,'Improved Sales Adjustments'!$G$7:$ZP$147,68,FALSE)="",0,IF($V180=HLOOKUP(AM$134,'Improved Sales Adjustments'!$G$7:$ZP$147,68,FALSE),1,0)))</f>
        <v>0</v>
      </c>
      <c r="AN180" s="41">
        <f>IF(ISERROR(HLOOKUP(AN$134,'Improved Sales Adjustments'!$G$7:$ZP$147,68,FALSE)),0,IF(HLOOKUP(AN$134,'Improved Sales Adjustments'!$G$7:$ZP$147,68,FALSE)="",0,IF($V180=HLOOKUP(AN$134,'Improved Sales Adjustments'!$G$7:$ZP$147,68,FALSE),1,0)))</f>
        <v>0</v>
      </c>
      <c r="AO180" s="41">
        <f>IF(ISERROR(HLOOKUP(AO$134,'Improved Sales Adjustments'!$G$7:$ZP$147,68,FALSE)),0,IF(HLOOKUP(AO$134,'Improved Sales Adjustments'!$G$7:$ZP$147,68,FALSE)="",0,IF($V180=HLOOKUP(AO$134,'Improved Sales Adjustments'!$G$7:$ZP$147,68,FALSE),1,0)))</f>
        <v>0</v>
      </c>
      <c r="AP180" s="41">
        <f>IF(ISERROR(HLOOKUP(AP$134,'Improved Sales Adjustments'!$G$7:$ZP$147,68,FALSE)),0,IF(HLOOKUP(AP$134,'Improved Sales Adjustments'!$G$7:$ZP$147,68,FALSE)="",0,IF($V180=HLOOKUP(AP$134,'Improved Sales Adjustments'!$G$7:$ZP$147,68,FALSE),1,0)))</f>
        <v>0</v>
      </c>
      <c r="AQ180" s="41">
        <f>IF(ISERROR(HLOOKUP(AQ$134,'Improved Sales Adjustments'!$G$7:$ZP$147,68,FALSE)),0,IF(HLOOKUP(AQ$134,'Improved Sales Adjustments'!$G$7:$ZP$147,68,FALSE)="",0,IF($V180=HLOOKUP(AQ$134,'Improved Sales Adjustments'!$G$7:$ZP$147,68,FALSE),1,0)))</f>
        <v>0</v>
      </c>
      <c r="AR180" s="41">
        <f>IF(ISERROR(HLOOKUP(AR$134,'Improved Sales Adjustments'!$G$7:$ZP$147,68,FALSE)),0,IF(HLOOKUP(AR$134,'Improved Sales Adjustments'!$G$7:$ZP$147,68,FALSE)="",0,IF($V180=HLOOKUP(AR$134,'Improved Sales Adjustments'!$G$7:$ZP$147,68,FALSE),1,0)))</f>
        <v>0</v>
      </c>
      <c r="AS180" s="41">
        <f>IF(ISERROR(HLOOKUP(AS$134,'Improved Sales Adjustments'!$G$7:$ZP$147,68,FALSE)),0,IF(HLOOKUP(AS$134,'Improved Sales Adjustments'!$G$7:$ZP$147,68,FALSE)="",0,IF($V180=HLOOKUP(AS$134,'Improved Sales Adjustments'!$G$7:$ZP$147,68,FALSE),1,0)))</f>
        <v>0</v>
      </c>
      <c r="AT180" s="41">
        <f>IF(ISERROR(HLOOKUP(AT$134,'Improved Sales Adjustments'!$G$7:$ZP$147,68,FALSE)),0,IF(HLOOKUP(AT$134,'Improved Sales Adjustments'!$G$7:$ZP$147,68,FALSE)="",0,IF($V180=HLOOKUP(AT$134,'Improved Sales Adjustments'!$G$7:$ZP$147,68,FALSE),1,0)))</f>
        <v>0</v>
      </c>
      <c r="AU180" s="41">
        <f>SUM($AJ180:AJ180)</f>
        <v>0</v>
      </c>
      <c r="AV180" s="41">
        <f>SUM($AJ180:AK180)</f>
        <v>0</v>
      </c>
      <c r="AW180" s="41">
        <f>SUM($AJ180:AL180)</f>
        <v>0</v>
      </c>
      <c r="AX180" s="41">
        <f>SUM($AJ180:AM180)</f>
        <v>0</v>
      </c>
      <c r="AY180" s="41">
        <f>SUM($AJ180:AN180)</f>
        <v>0</v>
      </c>
      <c r="AZ180" s="41">
        <f>SUM($AJ180:AO180)</f>
        <v>0</v>
      </c>
      <c r="BA180" s="41">
        <f>SUM($AJ180:AP180)</f>
        <v>0</v>
      </c>
      <c r="BB180" s="41">
        <f>SUM($AJ180:AQ180)</f>
        <v>0</v>
      </c>
      <c r="BC180" s="41">
        <f>SUM($AJ180:AR180)</f>
        <v>0</v>
      </c>
      <c r="BD180" s="41">
        <f>SUM($AJ180:AS180)</f>
        <v>0</v>
      </c>
      <c r="BE180" s="41">
        <f>SUM($AJ180:AT180)</f>
        <v>0</v>
      </c>
      <c r="BF180" s="41" t="str">
        <f t="shared" si="52"/>
        <v/>
      </c>
      <c r="BG180" s="41" t="str">
        <f t="shared" si="53"/>
        <v/>
      </c>
      <c r="BH180" s="41" t="str">
        <f t="shared" si="54"/>
        <v/>
      </c>
      <c r="BI180" s="41" t="str">
        <f t="shared" si="55"/>
        <v/>
      </c>
      <c r="BJ180" s="41" t="str">
        <f t="shared" si="56"/>
        <v/>
      </c>
      <c r="BK180" s="41" t="str">
        <f t="shared" si="57"/>
        <v/>
      </c>
      <c r="BL180" s="41" t="str">
        <f t="shared" si="58"/>
        <v/>
      </c>
      <c r="BM180" s="41" t="str">
        <f t="shared" si="59"/>
        <v/>
      </c>
      <c r="BN180" s="41" t="str">
        <f t="shared" si="60"/>
        <v/>
      </c>
      <c r="BO180" s="41" t="str">
        <f t="shared" si="61"/>
        <v/>
      </c>
      <c r="BP180" s="41" t="str">
        <f t="shared" si="62"/>
        <v/>
      </c>
      <c r="BQ180" s="11"/>
      <c r="BR180" s="11"/>
    </row>
    <row r="181" spans="1:70" ht="15" customHeight="1" x14ac:dyDescent="0.25">
      <c r="A181" s="957">
        <f t="shared" si="66"/>
        <v>0</v>
      </c>
      <c r="S181" s="4"/>
      <c r="T181" s="1204"/>
      <c r="U181" s="4074" t="str">
        <f t="shared" si="51"/>
        <v/>
      </c>
      <c r="V181" s="137">
        <f t="shared" si="63"/>
        <v>46</v>
      </c>
      <c r="W181" s="2129">
        <v>0.31</v>
      </c>
      <c r="X181" s="2130">
        <v>0.48</v>
      </c>
      <c r="Y181" s="2130">
        <v>0.6</v>
      </c>
      <c r="Z181" s="2130">
        <v>0.74</v>
      </c>
      <c r="AA181" s="2130">
        <v>0.78</v>
      </c>
      <c r="AB181" s="2130"/>
      <c r="AC181" s="2130"/>
      <c r="AD181" s="2130"/>
      <c r="AE181" s="2130"/>
      <c r="AF181" s="2130"/>
      <c r="AG181" s="101"/>
      <c r="AH181" s="6"/>
      <c r="AI181" s="11"/>
      <c r="AJ181" s="41">
        <f t="shared" si="65"/>
        <v>0</v>
      </c>
      <c r="AK181" s="41">
        <f>IF(ISERROR(HLOOKUP(AK$134,'Improved Sales Adjustments'!$G$7:$ZP$147,68,FALSE)),0,IF(HLOOKUP(AK$134,'Improved Sales Adjustments'!$G$7:$ZP$147,68,FALSE)="",0,IF($V181=HLOOKUP(AK$134,'Improved Sales Adjustments'!$G$7:$ZP$147,68,FALSE),1,0)))</f>
        <v>0</v>
      </c>
      <c r="AL181" s="41">
        <f>IF(ISERROR(HLOOKUP(AL$134,'Improved Sales Adjustments'!$G$7:$ZP$147,68,FALSE)),0,IF(HLOOKUP(AL$134,'Improved Sales Adjustments'!$G$7:$ZP$147,68,FALSE)="",0,IF($V181=HLOOKUP(AL$134,'Improved Sales Adjustments'!$G$7:$ZP$147,68,FALSE),1,0)))</f>
        <v>0</v>
      </c>
      <c r="AM181" s="41">
        <f>IF(ISERROR(HLOOKUP(AM$134,'Improved Sales Adjustments'!$G$7:$ZP$147,68,FALSE)),0,IF(HLOOKUP(AM$134,'Improved Sales Adjustments'!$G$7:$ZP$147,68,FALSE)="",0,IF($V181=HLOOKUP(AM$134,'Improved Sales Adjustments'!$G$7:$ZP$147,68,FALSE),1,0)))</f>
        <v>0</v>
      </c>
      <c r="AN181" s="41">
        <f>IF(ISERROR(HLOOKUP(AN$134,'Improved Sales Adjustments'!$G$7:$ZP$147,68,FALSE)),0,IF(HLOOKUP(AN$134,'Improved Sales Adjustments'!$G$7:$ZP$147,68,FALSE)="",0,IF($V181=HLOOKUP(AN$134,'Improved Sales Adjustments'!$G$7:$ZP$147,68,FALSE),1,0)))</f>
        <v>0</v>
      </c>
      <c r="AO181" s="41">
        <f>IF(ISERROR(HLOOKUP(AO$134,'Improved Sales Adjustments'!$G$7:$ZP$147,68,FALSE)),0,IF(HLOOKUP(AO$134,'Improved Sales Adjustments'!$G$7:$ZP$147,68,FALSE)="",0,IF($V181=HLOOKUP(AO$134,'Improved Sales Adjustments'!$G$7:$ZP$147,68,FALSE),1,0)))</f>
        <v>0</v>
      </c>
      <c r="AP181" s="41">
        <f>IF(ISERROR(HLOOKUP(AP$134,'Improved Sales Adjustments'!$G$7:$ZP$147,68,FALSE)),0,IF(HLOOKUP(AP$134,'Improved Sales Adjustments'!$G$7:$ZP$147,68,FALSE)="",0,IF($V181=HLOOKUP(AP$134,'Improved Sales Adjustments'!$G$7:$ZP$147,68,FALSE),1,0)))</f>
        <v>0</v>
      </c>
      <c r="AQ181" s="41">
        <f>IF(ISERROR(HLOOKUP(AQ$134,'Improved Sales Adjustments'!$G$7:$ZP$147,68,FALSE)),0,IF(HLOOKUP(AQ$134,'Improved Sales Adjustments'!$G$7:$ZP$147,68,FALSE)="",0,IF($V181=HLOOKUP(AQ$134,'Improved Sales Adjustments'!$G$7:$ZP$147,68,FALSE),1,0)))</f>
        <v>0</v>
      </c>
      <c r="AR181" s="41">
        <f>IF(ISERROR(HLOOKUP(AR$134,'Improved Sales Adjustments'!$G$7:$ZP$147,68,FALSE)),0,IF(HLOOKUP(AR$134,'Improved Sales Adjustments'!$G$7:$ZP$147,68,FALSE)="",0,IF($V181=HLOOKUP(AR$134,'Improved Sales Adjustments'!$G$7:$ZP$147,68,FALSE),1,0)))</f>
        <v>0</v>
      </c>
      <c r="AS181" s="41">
        <f>IF(ISERROR(HLOOKUP(AS$134,'Improved Sales Adjustments'!$G$7:$ZP$147,68,FALSE)),0,IF(HLOOKUP(AS$134,'Improved Sales Adjustments'!$G$7:$ZP$147,68,FALSE)="",0,IF($V181=HLOOKUP(AS$134,'Improved Sales Adjustments'!$G$7:$ZP$147,68,FALSE),1,0)))</f>
        <v>0</v>
      </c>
      <c r="AT181" s="41">
        <f>IF(ISERROR(HLOOKUP(AT$134,'Improved Sales Adjustments'!$G$7:$ZP$147,68,FALSE)),0,IF(HLOOKUP(AT$134,'Improved Sales Adjustments'!$G$7:$ZP$147,68,FALSE)="",0,IF($V181=HLOOKUP(AT$134,'Improved Sales Adjustments'!$G$7:$ZP$147,68,FALSE),1,0)))</f>
        <v>0</v>
      </c>
      <c r="AU181" s="41">
        <f>SUM($AJ181:AJ181)</f>
        <v>0</v>
      </c>
      <c r="AV181" s="41">
        <f>SUM($AJ181:AK181)</f>
        <v>0</v>
      </c>
      <c r="AW181" s="41">
        <f>SUM($AJ181:AL181)</f>
        <v>0</v>
      </c>
      <c r="AX181" s="41">
        <f>SUM($AJ181:AM181)</f>
        <v>0</v>
      </c>
      <c r="AY181" s="41">
        <f>SUM($AJ181:AN181)</f>
        <v>0</v>
      </c>
      <c r="AZ181" s="41">
        <f>SUM($AJ181:AO181)</f>
        <v>0</v>
      </c>
      <c r="BA181" s="41">
        <f>SUM($AJ181:AP181)</f>
        <v>0</v>
      </c>
      <c r="BB181" s="41">
        <f>SUM($AJ181:AQ181)</f>
        <v>0</v>
      </c>
      <c r="BC181" s="41">
        <f>SUM($AJ181:AR181)</f>
        <v>0</v>
      </c>
      <c r="BD181" s="41">
        <f>SUM($AJ181:AS181)</f>
        <v>0</v>
      </c>
      <c r="BE181" s="41">
        <f>SUM($AJ181:AT181)</f>
        <v>0</v>
      </c>
      <c r="BF181" s="41" t="str">
        <f t="shared" si="52"/>
        <v/>
      </c>
      <c r="BG181" s="41" t="str">
        <f t="shared" si="53"/>
        <v/>
      </c>
      <c r="BH181" s="41" t="str">
        <f t="shared" si="54"/>
        <v/>
      </c>
      <c r="BI181" s="41" t="str">
        <f t="shared" si="55"/>
        <v/>
      </c>
      <c r="BJ181" s="41" t="str">
        <f t="shared" si="56"/>
        <v/>
      </c>
      <c r="BK181" s="41" t="str">
        <f t="shared" si="57"/>
        <v/>
      </c>
      <c r="BL181" s="41" t="str">
        <f t="shared" si="58"/>
        <v/>
      </c>
      <c r="BM181" s="41" t="str">
        <f t="shared" si="59"/>
        <v/>
      </c>
      <c r="BN181" s="41" t="str">
        <f t="shared" si="60"/>
        <v/>
      </c>
      <c r="BO181" s="41" t="str">
        <f t="shared" si="61"/>
        <v/>
      </c>
      <c r="BP181" s="41" t="str">
        <f t="shared" si="62"/>
        <v/>
      </c>
      <c r="BQ181" s="11"/>
      <c r="BR181" s="11"/>
    </row>
    <row r="182" spans="1:70" ht="15" customHeight="1" x14ac:dyDescent="0.25">
      <c r="A182" s="957">
        <f t="shared" si="66"/>
        <v>0</v>
      </c>
      <c r="S182" s="4"/>
      <c r="T182" s="1204"/>
      <c r="U182" s="4074" t="str">
        <f t="shared" si="51"/>
        <v/>
      </c>
      <c r="V182" s="137">
        <f t="shared" si="63"/>
        <v>47</v>
      </c>
      <c r="W182" s="2130">
        <f>(W183+W181)/2</f>
        <v>0.32500000000000001</v>
      </c>
      <c r="X182" s="2130">
        <f>(X183+X181)/2</f>
        <v>0.505</v>
      </c>
      <c r="Y182" s="2130">
        <f>(Y183+Y181)/2</f>
        <v>0.62</v>
      </c>
      <c r="Z182" s="2130">
        <f>(Z183+Z181)/2</f>
        <v>0.755</v>
      </c>
      <c r="AA182" s="2130">
        <f>(AA183+AA181)/2</f>
        <v>0.78500000000000003</v>
      </c>
      <c r="AB182" s="2130"/>
      <c r="AC182" s="2130"/>
      <c r="AD182" s="2130"/>
      <c r="AE182" s="2130"/>
      <c r="AF182" s="2130"/>
      <c r="AG182" s="101"/>
      <c r="AH182" s="6"/>
      <c r="AI182" s="11"/>
      <c r="AJ182" s="41">
        <f t="shared" si="65"/>
        <v>0</v>
      </c>
      <c r="AK182" s="41">
        <f>IF(ISERROR(HLOOKUP(AK$134,'Improved Sales Adjustments'!$G$7:$ZP$147,68,FALSE)),0,IF(HLOOKUP(AK$134,'Improved Sales Adjustments'!$G$7:$ZP$147,68,FALSE)="",0,IF($V182=HLOOKUP(AK$134,'Improved Sales Adjustments'!$G$7:$ZP$147,68,FALSE),1,0)))</f>
        <v>0</v>
      </c>
      <c r="AL182" s="41">
        <f>IF(ISERROR(HLOOKUP(AL$134,'Improved Sales Adjustments'!$G$7:$ZP$147,68,FALSE)),0,IF(HLOOKUP(AL$134,'Improved Sales Adjustments'!$G$7:$ZP$147,68,FALSE)="",0,IF($V182=HLOOKUP(AL$134,'Improved Sales Adjustments'!$G$7:$ZP$147,68,FALSE),1,0)))</f>
        <v>0</v>
      </c>
      <c r="AM182" s="41">
        <f>IF(ISERROR(HLOOKUP(AM$134,'Improved Sales Adjustments'!$G$7:$ZP$147,68,FALSE)),0,IF(HLOOKUP(AM$134,'Improved Sales Adjustments'!$G$7:$ZP$147,68,FALSE)="",0,IF($V182=HLOOKUP(AM$134,'Improved Sales Adjustments'!$G$7:$ZP$147,68,FALSE),1,0)))</f>
        <v>0</v>
      </c>
      <c r="AN182" s="41">
        <f>IF(ISERROR(HLOOKUP(AN$134,'Improved Sales Adjustments'!$G$7:$ZP$147,68,FALSE)),0,IF(HLOOKUP(AN$134,'Improved Sales Adjustments'!$G$7:$ZP$147,68,FALSE)="",0,IF($V182=HLOOKUP(AN$134,'Improved Sales Adjustments'!$G$7:$ZP$147,68,FALSE),1,0)))</f>
        <v>0</v>
      </c>
      <c r="AO182" s="41">
        <f>IF(ISERROR(HLOOKUP(AO$134,'Improved Sales Adjustments'!$G$7:$ZP$147,68,FALSE)),0,IF(HLOOKUP(AO$134,'Improved Sales Adjustments'!$G$7:$ZP$147,68,FALSE)="",0,IF($V182=HLOOKUP(AO$134,'Improved Sales Adjustments'!$G$7:$ZP$147,68,FALSE),1,0)))</f>
        <v>0</v>
      </c>
      <c r="AP182" s="41">
        <f>IF(ISERROR(HLOOKUP(AP$134,'Improved Sales Adjustments'!$G$7:$ZP$147,68,FALSE)),0,IF(HLOOKUP(AP$134,'Improved Sales Adjustments'!$G$7:$ZP$147,68,FALSE)="",0,IF($V182=HLOOKUP(AP$134,'Improved Sales Adjustments'!$G$7:$ZP$147,68,FALSE),1,0)))</f>
        <v>0</v>
      </c>
      <c r="AQ182" s="41">
        <f>IF(ISERROR(HLOOKUP(AQ$134,'Improved Sales Adjustments'!$G$7:$ZP$147,68,FALSE)),0,IF(HLOOKUP(AQ$134,'Improved Sales Adjustments'!$G$7:$ZP$147,68,FALSE)="",0,IF($V182=HLOOKUP(AQ$134,'Improved Sales Adjustments'!$G$7:$ZP$147,68,FALSE),1,0)))</f>
        <v>0</v>
      </c>
      <c r="AR182" s="41">
        <f>IF(ISERROR(HLOOKUP(AR$134,'Improved Sales Adjustments'!$G$7:$ZP$147,68,FALSE)),0,IF(HLOOKUP(AR$134,'Improved Sales Adjustments'!$G$7:$ZP$147,68,FALSE)="",0,IF($V182=HLOOKUP(AR$134,'Improved Sales Adjustments'!$G$7:$ZP$147,68,FALSE),1,0)))</f>
        <v>0</v>
      </c>
      <c r="AS182" s="41">
        <f>IF(ISERROR(HLOOKUP(AS$134,'Improved Sales Adjustments'!$G$7:$ZP$147,68,FALSE)),0,IF(HLOOKUP(AS$134,'Improved Sales Adjustments'!$G$7:$ZP$147,68,FALSE)="",0,IF($V182=HLOOKUP(AS$134,'Improved Sales Adjustments'!$G$7:$ZP$147,68,FALSE),1,0)))</f>
        <v>0</v>
      </c>
      <c r="AT182" s="41">
        <f>IF(ISERROR(HLOOKUP(AT$134,'Improved Sales Adjustments'!$G$7:$ZP$147,68,FALSE)),0,IF(HLOOKUP(AT$134,'Improved Sales Adjustments'!$G$7:$ZP$147,68,FALSE)="",0,IF($V182=HLOOKUP(AT$134,'Improved Sales Adjustments'!$G$7:$ZP$147,68,FALSE),1,0)))</f>
        <v>0</v>
      </c>
      <c r="AU182" s="41">
        <f>SUM($AJ182:AJ182)</f>
        <v>0</v>
      </c>
      <c r="AV182" s="41">
        <f>SUM($AJ182:AK182)</f>
        <v>0</v>
      </c>
      <c r="AW182" s="41">
        <f>SUM($AJ182:AL182)</f>
        <v>0</v>
      </c>
      <c r="AX182" s="41">
        <f>SUM($AJ182:AM182)</f>
        <v>0</v>
      </c>
      <c r="AY182" s="41">
        <f>SUM($AJ182:AN182)</f>
        <v>0</v>
      </c>
      <c r="AZ182" s="41">
        <f>SUM($AJ182:AO182)</f>
        <v>0</v>
      </c>
      <c r="BA182" s="41">
        <f>SUM($AJ182:AP182)</f>
        <v>0</v>
      </c>
      <c r="BB182" s="41">
        <f>SUM($AJ182:AQ182)</f>
        <v>0</v>
      </c>
      <c r="BC182" s="41">
        <f>SUM($AJ182:AR182)</f>
        <v>0</v>
      </c>
      <c r="BD182" s="41">
        <f>SUM($AJ182:AS182)</f>
        <v>0</v>
      </c>
      <c r="BE182" s="41">
        <f>SUM($AJ182:AT182)</f>
        <v>0</v>
      </c>
      <c r="BF182" s="41" t="str">
        <f t="shared" si="52"/>
        <v/>
      </c>
      <c r="BG182" s="41" t="str">
        <f t="shared" si="53"/>
        <v/>
      </c>
      <c r="BH182" s="41" t="str">
        <f t="shared" si="54"/>
        <v/>
      </c>
      <c r="BI182" s="41" t="str">
        <f t="shared" si="55"/>
        <v/>
      </c>
      <c r="BJ182" s="41" t="str">
        <f t="shared" si="56"/>
        <v/>
      </c>
      <c r="BK182" s="41" t="str">
        <f t="shared" si="57"/>
        <v/>
      </c>
      <c r="BL182" s="41" t="str">
        <f t="shared" si="58"/>
        <v/>
      </c>
      <c r="BM182" s="41" t="str">
        <f t="shared" si="59"/>
        <v/>
      </c>
      <c r="BN182" s="41" t="str">
        <f t="shared" si="60"/>
        <v/>
      </c>
      <c r="BO182" s="41" t="str">
        <f t="shared" si="61"/>
        <v/>
      </c>
      <c r="BP182" s="41" t="str">
        <f t="shared" si="62"/>
        <v/>
      </c>
      <c r="BQ182" s="11"/>
      <c r="BR182" s="11"/>
    </row>
    <row r="183" spans="1:70" ht="15" customHeight="1" x14ac:dyDescent="0.25">
      <c r="A183" s="957">
        <f t="shared" si="66"/>
        <v>0</v>
      </c>
      <c r="S183" s="4"/>
      <c r="T183" s="1204"/>
      <c r="U183" s="4074" t="str">
        <f t="shared" si="51"/>
        <v/>
      </c>
      <c r="V183" s="137">
        <f t="shared" si="63"/>
        <v>48</v>
      </c>
      <c r="W183" s="2129">
        <v>0.34</v>
      </c>
      <c r="X183" s="2130">
        <v>0.53</v>
      </c>
      <c r="Y183" s="2130">
        <v>0.64</v>
      </c>
      <c r="Z183" s="2130">
        <v>0.77</v>
      </c>
      <c r="AA183" s="2130">
        <v>0.79</v>
      </c>
      <c r="AB183" s="2130"/>
      <c r="AC183" s="2130"/>
      <c r="AD183" s="2130"/>
      <c r="AE183" s="2130"/>
      <c r="AF183" s="2130"/>
      <c r="AG183" s="101"/>
      <c r="AH183" s="6"/>
      <c r="AI183" s="11"/>
      <c r="AJ183" s="41">
        <f t="shared" si="65"/>
        <v>0</v>
      </c>
      <c r="AK183" s="41">
        <f>IF(ISERROR(HLOOKUP(AK$134,'Improved Sales Adjustments'!$G$7:$ZP$147,68,FALSE)),0,IF(HLOOKUP(AK$134,'Improved Sales Adjustments'!$G$7:$ZP$147,68,FALSE)="",0,IF($V183=HLOOKUP(AK$134,'Improved Sales Adjustments'!$G$7:$ZP$147,68,FALSE),1,0)))</f>
        <v>0</v>
      </c>
      <c r="AL183" s="41">
        <f>IF(ISERROR(HLOOKUP(AL$134,'Improved Sales Adjustments'!$G$7:$ZP$147,68,FALSE)),0,IF(HLOOKUP(AL$134,'Improved Sales Adjustments'!$G$7:$ZP$147,68,FALSE)="",0,IF($V183=HLOOKUP(AL$134,'Improved Sales Adjustments'!$G$7:$ZP$147,68,FALSE),1,0)))</f>
        <v>0</v>
      </c>
      <c r="AM183" s="41">
        <f>IF(ISERROR(HLOOKUP(AM$134,'Improved Sales Adjustments'!$G$7:$ZP$147,68,FALSE)),0,IF(HLOOKUP(AM$134,'Improved Sales Adjustments'!$G$7:$ZP$147,68,FALSE)="",0,IF($V183=HLOOKUP(AM$134,'Improved Sales Adjustments'!$G$7:$ZP$147,68,FALSE),1,0)))</f>
        <v>0</v>
      </c>
      <c r="AN183" s="41">
        <f>IF(ISERROR(HLOOKUP(AN$134,'Improved Sales Adjustments'!$G$7:$ZP$147,68,FALSE)),0,IF(HLOOKUP(AN$134,'Improved Sales Adjustments'!$G$7:$ZP$147,68,FALSE)="",0,IF($V183=HLOOKUP(AN$134,'Improved Sales Adjustments'!$G$7:$ZP$147,68,FALSE),1,0)))</f>
        <v>0</v>
      </c>
      <c r="AO183" s="41">
        <f>IF(ISERROR(HLOOKUP(AO$134,'Improved Sales Adjustments'!$G$7:$ZP$147,68,FALSE)),0,IF(HLOOKUP(AO$134,'Improved Sales Adjustments'!$G$7:$ZP$147,68,FALSE)="",0,IF($V183=HLOOKUP(AO$134,'Improved Sales Adjustments'!$G$7:$ZP$147,68,FALSE),1,0)))</f>
        <v>0</v>
      </c>
      <c r="AP183" s="41">
        <f>IF(ISERROR(HLOOKUP(AP$134,'Improved Sales Adjustments'!$G$7:$ZP$147,68,FALSE)),0,IF(HLOOKUP(AP$134,'Improved Sales Adjustments'!$G$7:$ZP$147,68,FALSE)="",0,IF($V183=HLOOKUP(AP$134,'Improved Sales Adjustments'!$G$7:$ZP$147,68,FALSE),1,0)))</f>
        <v>0</v>
      </c>
      <c r="AQ183" s="41">
        <f>IF(ISERROR(HLOOKUP(AQ$134,'Improved Sales Adjustments'!$G$7:$ZP$147,68,FALSE)),0,IF(HLOOKUP(AQ$134,'Improved Sales Adjustments'!$G$7:$ZP$147,68,FALSE)="",0,IF($V183=HLOOKUP(AQ$134,'Improved Sales Adjustments'!$G$7:$ZP$147,68,FALSE),1,0)))</f>
        <v>0</v>
      </c>
      <c r="AR183" s="41">
        <f>IF(ISERROR(HLOOKUP(AR$134,'Improved Sales Adjustments'!$G$7:$ZP$147,68,FALSE)),0,IF(HLOOKUP(AR$134,'Improved Sales Adjustments'!$G$7:$ZP$147,68,FALSE)="",0,IF($V183=HLOOKUP(AR$134,'Improved Sales Adjustments'!$G$7:$ZP$147,68,FALSE),1,0)))</f>
        <v>0</v>
      </c>
      <c r="AS183" s="41">
        <f>IF(ISERROR(HLOOKUP(AS$134,'Improved Sales Adjustments'!$G$7:$ZP$147,68,FALSE)),0,IF(HLOOKUP(AS$134,'Improved Sales Adjustments'!$G$7:$ZP$147,68,FALSE)="",0,IF($V183=HLOOKUP(AS$134,'Improved Sales Adjustments'!$G$7:$ZP$147,68,FALSE),1,0)))</f>
        <v>0</v>
      </c>
      <c r="AT183" s="41">
        <f>IF(ISERROR(HLOOKUP(AT$134,'Improved Sales Adjustments'!$G$7:$ZP$147,68,FALSE)),0,IF(HLOOKUP(AT$134,'Improved Sales Adjustments'!$G$7:$ZP$147,68,FALSE)="",0,IF($V183=HLOOKUP(AT$134,'Improved Sales Adjustments'!$G$7:$ZP$147,68,FALSE),1,0)))</f>
        <v>0</v>
      </c>
      <c r="AU183" s="41">
        <f>SUM($AJ183:AJ183)</f>
        <v>0</v>
      </c>
      <c r="AV183" s="41">
        <f>SUM($AJ183:AK183)</f>
        <v>0</v>
      </c>
      <c r="AW183" s="41">
        <f>SUM($AJ183:AL183)</f>
        <v>0</v>
      </c>
      <c r="AX183" s="41">
        <f>SUM($AJ183:AM183)</f>
        <v>0</v>
      </c>
      <c r="AY183" s="41">
        <f>SUM($AJ183:AN183)</f>
        <v>0</v>
      </c>
      <c r="AZ183" s="41">
        <f>SUM($AJ183:AO183)</f>
        <v>0</v>
      </c>
      <c r="BA183" s="41">
        <f>SUM($AJ183:AP183)</f>
        <v>0</v>
      </c>
      <c r="BB183" s="41">
        <f>SUM($AJ183:AQ183)</f>
        <v>0</v>
      </c>
      <c r="BC183" s="41">
        <f>SUM($AJ183:AR183)</f>
        <v>0</v>
      </c>
      <c r="BD183" s="41">
        <f>SUM($AJ183:AS183)</f>
        <v>0</v>
      </c>
      <c r="BE183" s="41">
        <f>SUM($AJ183:AT183)</f>
        <v>0</v>
      </c>
      <c r="BF183" s="41" t="str">
        <f t="shared" si="52"/>
        <v/>
      </c>
      <c r="BG183" s="41" t="str">
        <f t="shared" si="53"/>
        <v/>
      </c>
      <c r="BH183" s="41" t="str">
        <f t="shared" si="54"/>
        <v/>
      </c>
      <c r="BI183" s="41" t="str">
        <f t="shared" si="55"/>
        <v/>
      </c>
      <c r="BJ183" s="41" t="str">
        <f t="shared" si="56"/>
        <v/>
      </c>
      <c r="BK183" s="41" t="str">
        <f t="shared" si="57"/>
        <v/>
      </c>
      <c r="BL183" s="41" t="str">
        <f t="shared" si="58"/>
        <v/>
      </c>
      <c r="BM183" s="41" t="str">
        <f t="shared" si="59"/>
        <v/>
      </c>
      <c r="BN183" s="41" t="str">
        <f t="shared" si="60"/>
        <v/>
      </c>
      <c r="BO183" s="41" t="str">
        <f t="shared" si="61"/>
        <v/>
      </c>
      <c r="BP183" s="41" t="str">
        <f t="shared" si="62"/>
        <v/>
      </c>
      <c r="BQ183" s="11"/>
      <c r="BR183" s="11"/>
    </row>
    <row r="184" spans="1:70" ht="15" customHeight="1" x14ac:dyDescent="0.25">
      <c r="A184" s="957">
        <f t="shared" si="66"/>
        <v>0</v>
      </c>
      <c r="S184" s="4"/>
      <c r="T184" s="1204"/>
      <c r="U184" s="4074" t="str">
        <f t="shared" si="51"/>
        <v/>
      </c>
      <c r="V184" s="137">
        <f t="shared" si="63"/>
        <v>49</v>
      </c>
      <c r="W184" s="2130">
        <f>(W185+W183)/2</f>
        <v>0.36</v>
      </c>
      <c r="X184" s="2130">
        <f>(X185+X183)/2</f>
        <v>0.55499999999999994</v>
      </c>
      <c r="Y184" s="2130">
        <f>(Y185+Y183)/2</f>
        <v>0.66</v>
      </c>
      <c r="Z184" s="2130">
        <f>(Z185+Z183)/2</f>
        <v>0.78</v>
      </c>
      <c r="AA184" s="2130">
        <f>(AA185+AA183)/2</f>
        <v>0.79500000000000004</v>
      </c>
      <c r="AB184" s="2130"/>
      <c r="AC184" s="2130"/>
      <c r="AD184" s="2130"/>
      <c r="AE184" s="2130"/>
      <c r="AF184" s="2130"/>
      <c r="AG184" s="101"/>
      <c r="AH184" s="6"/>
      <c r="AI184" s="11"/>
      <c r="AJ184" s="41">
        <f t="shared" si="65"/>
        <v>0</v>
      </c>
      <c r="AK184" s="41">
        <f>IF(ISERROR(HLOOKUP(AK$134,'Improved Sales Adjustments'!$G$7:$ZP$147,68,FALSE)),0,IF(HLOOKUP(AK$134,'Improved Sales Adjustments'!$G$7:$ZP$147,68,FALSE)="",0,IF($V184=HLOOKUP(AK$134,'Improved Sales Adjustments'!$G$7:$ZP$147,68,FALSE),1,0)))</f>
        <v>0</v>
      </c>
      <c r="AL184" s="41">
        <f>IF(ISERROR(HLOOKUP(AL$134,'Improved Sales Adjustments'!$G$7:$ZP$147,68,FALSE)),0,IF(HLOOKUP(AL$134,'Improved Sales Adjustments'!$G$7:$ZP$147,68,FALSE)="",0,IF($V184=HLOOKUP(AL$134,'Improved Sales Adjustments'!$G$7:$ZP$147,68,FALSE),1,0)))</f>
        <v>0</v>
      </c>
      <c r="AM184" s="41">
        <f>IF(ISERROR(HLOOKUP(AM$134,'Improved Sales Adjustments'!$G$7:$ZP$147,68,FALSE)),0,IF(HLOOKUP(AM$134,'Improved Sales Adjustments'!$G$7:$ZP$147,68,FALSE)="",0,IF($V184=HLOOKUP(AM$134,'Improved Sales Adjustments'!$G$7:$ZP$147,68,FALSE),1,0)))</f>
        <v>0</v>
      </c>
      <c r="AN184" s="41">
        <f>IF(ISERROR(HLOOKUP(AN$134,'Improved Sales Adjustments'!$G$7:$ZP$147,68,FALSE)),0,IF(HLOOKUP(AN$134,'Improved Sales Adjustments'!$G$7:$ZP$147,68,FALSE)="",0,IF($V184=HLOOKUP(AN$134,'Improved Sales Adjustments'!$G$7:$ZP$147,68,FALSE),1,0)))</f>
        <v>0</v>
      </c>
      <c r="AO184" s="41">
        <f>IF(ISERROR(HLOOKUP(AO$134,'Improved Sales Adjustments'!$G$7:$ZP$147,68,FALSE)),0,IF(HLOOKUP(AO$134,'Improved Sales Adjustments'!$G$7:$ZP$147,68,FALSE)="",0,IF($V184=HLOOKUP(AO$134,'Improved Sales Adjustments'!$G$7:$ZP$147,68,FALSE),1,0)))</f>
        <v>0</v>
      </c>
      <c r="AP184" s="41">
        <f>IF(ISERROR(HLOOKUP(AP$134,'Improved Sales Adjustments'!$G$7:$ZP$147,68,FALSE)),0,IF(HLOOKUP(AP$134,'Improved Sales Adjustments'!$G$7:$ZP$147,68,FALSE)="",0,IF($V184=HLOOKUP(AP$134,'Improved Sales Adjustments'!$G$7:$ZP$147,68,FALSE),1,0)))</f>
        <v>0</v>
      </c>
      <c r="AQ184" s="41">
        <f>IF(ISERROR(HLOOKUP(AQ$134,'Improved Sales Adjustments'!$G$7:$ZP$147,68,FALSE)),0,IF(HLOOKUP(AQ$134,'Improved Sales Adjustments'!$G$7:$ZP$147,68,FALSE)="",0,IF($V184=HLOOKUP(AQ$134,'Improved Sales Adjustments'!$G$7:$ZP$147,68,FALSE),1,0)))</f>
        <v>0</v>
      </c>
      <c r="AR184" s="41">
        <f>IF(ISERROR(HLOOKUP(AR$134,'Improved Sales Adjustments'!$G$7:$ZP$147,68,FALSE)),0,IF(HLOOKUP(AR$134,'Improved Sales Adjustments'!$G$7:$ZP$147,68,FALSE)="",0,IF($V184=HLOOKUP(AR$134,'Improved Sales Adjustments'!$G$7:$ZP$147,68,FALSE),1,0)))</f>
        <v>0</v>
      </c>
      <c r="AS184" s="41">
        <f>IF(ISERROR(HLOOKUP(AS$134,'Improved Sales Adjustments'!$G$7:$ZP$147,68,FALSE)),0,IF(HLOOKUP(AS$134,'Improved Sales Adjustments'!$G$7:$ZP$147,68,FALSE)="",0,IF($V184=HLOOKUP(AS$134,'Improved Sales Adjustments'!$G$7:$ZP$147,68,FALSE),1,0)))</f>
        <v>0</v>
      </c>
      <c r="AT184" s="41">
        <f>IF(ISERROR(HLOOKUP(AT$134,'Improved Sales Adjustments'!$G$7:$ZP$147,68,FALSE)),0,IF(HLOOKUP(AT$134,'Improved Sales Adjustments'!$G$7:$ZP$147,68,FALSE)="",0,IF($V184=HLOOKUP(AT$134,'Improved Sales Adjustments'!$G$7:$ZP$147,68,FALSE),1,0)))</f>
        <v>0</v>
      </c>
      <c r="AU184" s="41">
        <f>SUM($AJ184:AJ184)</f>
        <v>0</v>
      </c>
      <c r="AV184" s="41">
        <f>SUM($AJ184:AK184)</f>
        <v>0</v>
      </c>
      <c r="AW184" s="41">
        <f>SUM($AJ184:AL184)</f>
        <v>0</v>
      </c>
      <c r="AX184" s="41">
        <f>SUM($AJ184:AM184)</f>
        <v>0</v>
      </c>
      <c r="AY184" s="41">
        <f>SUM($AJ184:AN184)</f>
        <v>0</v>
      </c>
      <c r="AZ184" s="41">
        <f>SUM($AJ184:AO184)</f>
        <v>0</v>
      </c>
      <c r="BA184" s="41">
        <f>SUM($AJ184:AP184)</f>
        <v>0</v>
      </c>
      <c r="BB184" s="41">
        <f>SUM($AJ184:AQ184)</f>
        <v>0</v>
      </c>
      <c r="BC184" s="41">
        <f>SUM($AJ184:AR184)</f>
        <v>0</v>
      </c>
      <c r="BD184" s="41">
        <f>SUM($AJ184:AS184)</f>
        <v>0</v>
      </c>
      <c r="BE184" s="41">
        <f>SUM($AJ184:AT184)</f>
        <v>0</v>
      </c>
      <c r="BF184" s="41" t="str">
        <f t="shared" si="52"/>
        <v/>
      </c>
      <c r="BG184" s="41" t="str">
        <f t="shared" si="53"/>
        <v/>
      </c>
      <c r="BH184" s="41" t="str">
        <f t="shared" si="54"/>
        <v/>
      </c>
      <c r="BI184" s="41" t="str">
        <f t="shared" si="55"/>
        <v/>
      </c>
      <c r="BJ184" s="41" t="str">
        <f t="shared" si="56"/>
        <v/>
      </c>
      <c r="BK184" s="41" t="str">
        <f t="shared" si="57"/>
        <v/>
      </c>
      <c r="BL184" s="41" t="str">
        <f t="shared" si="58"/>
        <v/>
      </c>
      <c r="BM184" s="41" t="str">
        <f t="shared" si="59"/>
        <v/>
      </c>
      <c r="BN184" s="41" t="str">
        <f t="shared" si="60"/>
        <v/>
      </c>
      <c r="BO184" s="41" t="str">
        <f t="shared" si="61"/>
        <v/>
      </c>
      <c r="BP184" s="41" t="str">
        <f t="shared" si="62"/>
        <v/>
      </c>
      <c r="BQ184" s="11"/>
      <c r="BR184" s="11"/>
    </row>
    <row r="185" spans="1:70" ht="15" customHeight="1" x14ac:dyDescent="0.25">
      <c r="A185" s="957">
        <f t="shared" si="66"/>
        <v>0</v>
      </c>
      <c r="S185" s="4"/>
      <c r="T185" s="1204"/>
      <c r="U185" s="4074" t="str">
        <f t="shared" si="51"/>
        <v/>
      </c>
      <c r="V185" s="137">
        <f t="shared" si="63"/>
        <v>50</v>
      </c>
      <c r="W185" s="2129">
        <v>0.38</v>
      </c>
      <c r="X185" s="2130">
        <v>0.57999999999999996</v>
      </c>
      <c r="Y185" s="2130">
        <v>0.68</v>
      </c>
      <c r="Z185" s="2130">
        <v>0.79</v>
      </c>
      <c r="AA185" s="2130">
        <v>0.8</v>
      </c>
      <c r="AB185" s="2130"/>
      <c r="AC185" s="2130"/>
      <c r="AD185" s="2130"/>
      <c r="AE185" s="2130"/>
      <c r="AF185" s="2130"/>
      <c r="AG185" s="101"/>
      <c r="AH185" s="6"/>
      <c r="AI185" s="11"/>
      <c r="AJ185" s="41">
        <f t="shared" si="65"/>
        <v>0</v>
      </c>
      <c r="AK185" s="41">
        <f>IF(ISERROR(HLOOKUP(AK$134,'Improved Sales Adjustments'!$G$7:$ZP$147,68,FALSE)),0,IF(HLOOKUP(AK$134,'Improved Sales Adjustments'!$G$7:$ZP$147,68,FALSE)="",0,IF($V185=HLOOKUP(AK$134,'Improved Sales Adjustments'!$G$7:$ZP$147,68,FALSE),1,0)))</f>
        <v>0</v>
      </c>
      <c r="AL185" s="41">
        <f>IF(ISERROR(HLOOKUP(AL$134,'Improved Sales Adjustments'!$G$7:$ZP$147,68,FALSE)),0,IF(HLOOKUP(AL$134,'Improved Sales Adjustments'!$G$7:$ZP$147,68,FALSE)="",0,IF($V185=HLOOKUP(AL$134,'Improved Sales Adjustments'!$G$7:$ZP$147,68,FALSE),1,0)))</f>
        <v>0</v>
      </c>
      <c r="AM185" s="41">
        <f>IF(ISERROR(HLOOKUP(AM$134,'Improved Sales Adjustments'!$G$7:$ZP$147,68,FALSE)),0,IF(HLOOKUP(AM$134,'Improved Sales Adjustments'!$G$7:$ZP$147,68,FALSE)="",0,IF($V185=HLOOKUP(AM$134,'Improved Sales Adjustments'!$G$7:$ZP$147,68,FALSE),1,0)))</f>
        <v>0</v>
      </c>
      <c r="AN185" s="41">
        <f>IF(ISERROR(HLOOKUP(AN$134,'Improved Sales Adjustments'!$G$7:$ZP$147,68,FALSE)),0,IF(HLOOKUP(AN$134,'Improved Sales Adjustments'!$G$7:$ZP$147,68,FALSE)="",0,IF($V185=HLOOKUP(AN$134,'Improved Sales Adjustments'!$G$7:$ZP$147,68,FALSE),1,0)))</f>
        <v>0</v>
      </c>
      <c r="AO185" s="41">
        <f>IF(ISERROR(HLOOKUP(AO$134,'Improved Sales Adjustments'!$G$7:$ZP$147,68,FALSE)),0,IF(HLOOKUP(AO$134,'Improved Sales Adjustments'!$G$7:$ZP$147,68,FALSE)="",0,IF($V185=HLOOKUP(AO$134,'Improved Sales Adjustments'!$G$7:$ZP$147,68,FALSE),1,0)))</f>
        <v>0</v>
      </c>
      <c r="AP185" s="41">
        <f>IF(ISERROR(HLOOKUP(AP$134,'Improved Sales Adjustments'!$G$7:$ZP$147,68,FALSE)),0,IF(HLOOKUP(AP$134,'Improved Sales Adjustments'!$G$7:$ZP$147,68,FALSE)="",0,IF($V185=HLOOKUP(AP$134,'Improved Sales Adjustments'!$G$7:$ZP$147,68,FALSE),1,0)))</f>
        <v>0</v>
      </c>
      <c r="AQ185" s="41">
        <f>IF(ISERROR(HLOOKUP(AQ$134,'Improved Sales Adjustments'!$G$7:$ZP$147,68,FALSE)),0,IF(HLOOKUP(AQ$134,'Improved Sales Adjustments'!$G$7:$ZP$147,68,FALSE)="",0,IF($V185=HLOOKUP(AQ$134,'Improved Sales Adjustments'!$G$7:$ZP$147,68,FALSE),1,0)))</f>
        <v>0</v>
      </c>
      <c r="AR185" s="41">
        <f>IF(ISERROR(HLOOKUP(AR$134,'Improved Sales Adjustments'!$G$7:$ZP$147,68,FALSE)),0,IF(HLOOKUP(AR$134,'Improved Sales Adjustments'!$G$7:$ZP$147,68,FALSE)="",0,IF($V185=HLOOKUP(AR$134,'Improved Sales Adjustments'!$G$7:$ZP$147,68,FALSE),1,0)))</f>
        <v>0</v>
      </c>
      <c r="AS185" s="41">
        <f>IF(ISERROR(HLOOKUP(AS$134,'Improved Sales Adjustments'!$G$7:$ZP$147,68,FALSE)),0,IF(HLOOKUP(AS$134,'Improved Sales Adjustments'!$G$7:$ZP$147,68,FALSE)="",0,IF($V185=HLOOKUP(AS$134,'Improved Sales Adjustments'!$G$7:$ZP$147,68,FALSE),1,0)))</f>
        <v>0</v>
      </c>
      <c r="AT185" s="41">
        <f>IF(ISERROR(HLOOKUP(AT$134,'Improved Sales Adjustments'!$G$7:$ZP$147,68,FALSE)),0,IF(HLOOKUP(AT$134,'Improved Sales Adjustments'!$G$7:$ZP$147,68,FALSE)="",0,IF($V185=HLOOKUP(AT$134,'Improved Sales Adjustments'!$G$7:$ZP$147,68,FALSE),1,0)))</f>
        <v>0</v>
      </c>
      <c r="AU185" s="41">
        <f>SUM($AJ185:AJ185)</f>
        <v>0</v>
      </c>
      <c r="AV185" s="41">
        <f>SUM($AJ185:AK185)</f>
        <v>0</v>
      </c>
      <c r="AW185" s="41">
        <f>SUM($AJ185:AL185)</f>
        <v>0</v>
      </c>
      <c r="AX185" s="41">
        <f>SUM($AJ185:AM185)</f>
        <v>0</v>
      </c>
      <c r="AY185" s="41">
        <f>SUM($AJ185:AN185)</f>
        <v>0</v>
      </c>
      <c r="AZ185" s="41">
        <f>SUM($AJ185:AO185)</f>
        <v>0</v>
      </c>
      <c r="BA185" s="41">
        <f>SUM($AJ185:AP185)</f>
        <v>0</v>
      </c>
      <c r="BB185" s="41">
        <f>SUM($AJ185:AQ185)</f>
        <v>0</v>
      </c>
      <c r="BC185" s="41">
        <f>SUM($AJ185:AR185)</f>
        <v>0</v>
      </c>
      <c r="BD185" s="41">
        <f>SUM($AJ185:AS185)</f>
        <v>0</v>
      </c>
      <c r="BE185" s="41">
        <f>SUM($AJ185:AT185)</f>
        <v>0</v>
      </c>
      <c r="BF185" s="41" t="str">
        <f t="shared" si="52"/>
        <v/>
      </c>
      <c r="BG185" s="41" t="str">
        <f t="shared" si="53"/>
        <v/>
      </c>
      <c r="BH185" s="41" t="str">
        <f t="shared" si="54"/>
        <v/>
      </c>
      <c r="BI185" s="41" t="str">
        <f t="shared" si="55"/>
        <v/>
      </c>
      <c r="BJ185" s="41" t="str">
        <f t="shared" si="56"/>
        <v/>
      </c>
      <c r="BK185" s="41" t="str">
        <f t="shared" si="57"/>
        <v/>
      </c>
      <c r="BL185" s="41" t="str">
        <f t="shared" si="58"/>
        <v/>
      </c>
      <c r="BM185" s="41" t="str">
        <f t="shared" si="59"/>
        <v/>
      </c>
      <c r="BN185" s="41" t="str">
        <f t="shared" si="60"/>
        <v/>
      </c>
      <c r="BO185" s="41" t="str">
        <f t="shared" si="61"/>
        <v/>
      </c>
      <c r="BP185" s="41" t="str">
        <f t="shared" si="62"/>
        <v/>
      </c>
      <c r="BQ185" s="11"/>
      <c r="BR185" s="11"/>
    </row>
    <row r="186" spans="1:70" ht="15" customHeight="1" x14ac:dyDescent="0.25">
      <c r="A186" s="957">
        <f t="shared" si="66"/>
        <v>0</v>
      </c>
      <c r="S186" s="4"/>
      <c r="T186" s="1204"/>
      <c r="U186" s="4074" t="str">
        <f t="shared" si="51"/>
        <v/>
      </c>
      <c r="V186" s="137">
        <f t="shared" si="63"/>
        <v>51</v>
      </c>
      <c r="W186" s="2130">
        <f>((W$190-W$185)/5)+W185</f>
        <v>0.4</v>
      </c>
      <c r="X186" s="2130">
        <f>((X$190-X$185)/5)+X185</f>
        <v>0.59799999999999998</v>
      </c>
      <c r="Y186" s="2130">
        <f>((Y$190-Y$185)/5)+Y185</f>
        <v>0.69400000000000006</v>
      </c>
      <c r="Z186" s="2130">
        <f>((Z$190-Z$185)/5)+Z185</f>
        <v>0.79200000000000004</v>
      </c>
      <c r="AA186" s="2130"/>
      <c r="AB186" s="2130"/>
      <c r="AC186" s="2130"/>
      <c r="AD186" s="2130"/>
      <c r="AE186" s="2130"/>
      <c r="AF186" s="2130"/>
      <c r="AG186" s="101"/>
      <c r="AH186" s="6"/>
      <c r="AI186" s="11"/>
      <c r="AJ186" s="41">
        <f t="shared" si="65"/>
        <v>0</v>
      </c>
      <c r="AK186" s="41">
        <f>IF(ISERROR(HLOOKUP(AK$134,'Improved Sales Adjustments'!$G$7:$ZP$147,68,FALSE)),0,IF(HLOOKUP(AK$134,'Improved Sales Adjustments'!$G$7:$ZP$147,68,FALSE)="",0,IF($V186=HLOOKUP(AK$134,'Improved Sales Adjustments'!$G$7:$ZP$147,68,FALSE),1,0)))</f>
        <v>0</v>
      </c>
      <c r="AL186" s="41">
        <f>IF(ISERROR(HLOOKUP(AL$134,'Improved Sales Adjustments'!$G$7:$ZP$147,68,FALSE)),0,IF(HLOOKUP(AL$134,'Improved Sales Adjustments'!$G$7:$ZP$147,68,FALSE)="",0,IF($V186=HLOOKUP(AL$134,'Improved Sales Adjustments'!$G$7:$ZP$147,68,FALSE),1,0)))</f>
        <v>0</v>
      </c>
      <c r="AM186" s="41">
        <f>IF(ISERROR(HLOOKUP(AM$134,'Improved Sales Adjustments'!$G$7:$ZP$147,68,FALSE)),0,IF(HLOOKUP(AM$134,'Improved Sales Adjustments'!$G$7:$ZP$147,68,FALSE)="",0,IF($V186=HLOOKUP(AM$134,'Improved Sales Adjustments'!$G$7:$ZP$147,68,FALSE),1,0)))</f>
        <v>0</v>
      </c>
      <c r="AN186" s="41">
        <f>IF(ISERROR(HLOOKUP(AN$134,'Improved Sales Adjustments'!$G$7:$ZP$147,68,FALSE)),0,IF(HLOOKUP(AN$134,'Improved Sales Adjustments'!$G$7:$ZP$147,68,FALSE)="",0,IF($V186=HLOOKUP(AN$134,'Improved Sales Adjustments'!$G$7:$ZP$147,68,FALSE),1,0)))</f>
        <v>0</v>
      </c>
      <c r="AO186" s="41">
        <f>IF(ISERROR(HLOOKUP(AO$134,'Improved Sales Adjustments'!$G$7:$ZP$147,68,FALSE)),0,IF(HLOOKUP(AO$134,'Improved Sales Adjustments'!$G$7:$ZP$147,68,FALSE)="",0,IF($V186=HLOOKUP(AO$134,'Improved Sales Adjustments'!$G$7:$ZP$147,68,FALSE),1,0)))</f>
        <v>0</v>
      </c>
      <c r="AP186" s="41">
        <f>IF(ISERROR(HLOOKUP(AP$134,'Improved Sales Adjustments'!$G$7:$ZP$147,68,FALSE)),0,IF(HLOOKUP(AP$134,'Improved Sales Adjustments'!$G$7:$ZP$147,68,FALSE)="",0,IF($V186=HLOOKUP(AP$134,'Improved Sales Adjustments'!$G$7:$ZP$147,68,FALSE),1,0)))</f>
        <v>0</v>
      </c>
      <c r="AQ186" s="41">
        <f>IF(ISERROR(HLOOKUP(AQ$134,'Improved Sales Adjustments'!$G$7:$ZP$147,68,FALSE)),0,IF(HLOOKUP(AQ$134,'Improved Sales Adjustments'!$G$7:$ZP$147,68,FALSE)="",0,IF($V186=HLOOKUP(AQ$134,'Improved Sales Adjustments'!$G$7:$ZP$147,68,FALSE),1,0)))</f>
        <v>0</v>
      </c>
      <c r="AR186" s="41">
        <f>IF(ISERROR(HLOOKUP(AR$134,'Improved Sales Adjustments'!$G$7:$ZP$147,68,FALSE)),0,IF(HLOOKUP(AR$134,'Improved Sales Adjustments'!$G$7:$ZP$147,68,FALSE)="",0,IF($V186=HLOOKUP(AR$134,'Improved Sales Adjustments'!$G$7:$ZP$147,68,FALSE),1,0)))</f>
        <v>0</v>
      </c>
      <c r="AS186" s="41">
        <f>IF(ISERROR(HLOOKUP(AS$134,'Improved Sales Adjustments'!$G$7:$ZP$147,68,FALSE)),0,IF(HLOOKUP(AS$134,'Improved Sales Adjustments'!$G$7:$ZP$147,68,FALSE)="",0,IF($V186=HLOOKUP(AS$134,'Improved Sales Adjustments'!$G$7:$ZP$147,68,FALSE),1,0)))</f>
        <v>0</v>
      </c>
      <c r="AT186" s="41">
        <f>IF(ISERROR(HLOOKUP(AT$134,'Improved Sales Adjustments'!$G$7:$ZP$147,68,FALSE)),0,IF(HLOOKUP(AT$134,'Improved Sales Adjustments'!$G$7:$ZP$147,68,FALSE)="",0,IF($V186=HLOOKUP(AT$134,'Improved Sales Adjustments'!$G$7:$ZP$147,68,FALSE),1,0)))</f>
        <v>0</v>
      </c>
      <c r="AU186" s="41">
        <f>SUM($AJ186:AJ186)</f>
        <v>0</v>
      </c>
      <c r="AV186" s="41">
        <f>SUM($AJ186:AK186)</f>
        <v>0</v>
      </c>
      <c r="AW186" s="41">
        <f>SUM($AJ186:AL186)</f>
        <v>0</v>
      </c>
      <c r="AX186" s="41">
        <f>SUM($AJ186:AM186)</f>
        <v>0</v>
      </c>
      <c r="AY186" s="41">
        <f>SUM($AJ186:AN186)</f>
        <v>0</v>
      </c>
      <c r="AZ186" s="41">
        <f>SUM($AJ186:AO186)</f>
        <v>0</v>
      </c>
      <c r="BA186" s="41">
        <f>SUM($AJ186:AP186)</f>
        <v>0</v>
      </c>
      <c r="BB186" s="41">
        <f>SUM($AJ186:AQ186)</f>
        <v>0</v>
      </c>
      <c r="BC186" s="41">
        <f>SUM($AJ186:AR186)</f>
        <v>0</v>
      </c>
      <c r="BD186" s="41">
        <f>SUM($AJ186:AS186)</f>
        <v>0</v>
      </c>
      <c r="BE186" s="41">
        <f>SUM($AJ186:AT186)</f>
        <v>0</v>
      </c>
      <c r="BF186" s="41" t="str">
        <f t="shared" si="52"/>
        <v/>
      </c>
      <c r="BG186" s="41" t="str">
        <f t="shared" si="53"/>
        <v/>
      </c>
      <c r="BH186" s="41" t="str">
        <f t="shared" si="54"/>
        <v/>
      </c>
      <c r="BI186" s="41" t="str">
        <f t="shared" si="55"/>
        <v/>
      </c>
      <c r="BJ186" s="41" t="str">
        <f t="shared" si="56"/>
        <v/>
      </c>
      <c r="BK186" s="41" t="str">
        <f t="shared" si="57"/>
        <v/>
      </c>
      <c r="BL186" s="41" t="str">
        <f t="shared" si="58"/>
        <v/>
      </c>
      <c r="BM186" s="41" t="str">
        <f t="shared" si="59"/>
        <v/>
      </c>
      <c r="BN186" s="41" t="str">
        <f t="shared" si="60"/>
        <v/>
      </c>
      <c r="BO186" s="41" t="str">
        <f t="shared" si="61"/>
        <v/>
      </c>
      <c r="BP186" s="41" t="str">
        <f t="shared" si="62"/>
        <v/>
      </c>
      <c r="BQ186" s="11"/>
      <c r="BR186" s="11"/>
    </row>
    <row r="187" spans="1:70" ht="15" customHeight="1" x14ac:dyDescent="0.25">
      <c r="A187" s="957">
        <f t="shared" si="66"/>
        <v>0</v>
      </c>
      <c r="S187" s="4"/>
      <c r="T187" s="1204"/>
      <c r="U187" s="4074" t="str">
        <f t="shared" si="51"/>
        <v/>
      </c>
      <c r="V187" s="137">
        <f t="shared" si="63"/>
        <v>52</v>
      </c>
      <c r="W187" s="2130">
        <f>((W$190-W$185)/5)+W186</f>
        <v>0.42000000000000004</v>
      </c>
      <c r="X187" s="2130">
        <f t="shared" ref="X187:Z189" si="71">((X$190-X$185)/5)+X186</f>
        <v>0.61599999999999999</v>
      </c>
      <c r="Y187" s="2130">
        <f t="shared" si="71"/>
        <v>0.70800000000000007</v>
      </c>
      <c r="Z187" s="2130">
        <f t="shared" si="71"/>
        <v>0.79400000000000004</v>
      </c>
      <c r="AA187" s="2130"/>
      <c r="AB187" s="2130"/>
      <c r="AC187" s="2130"/>
      <c r="AD187" s="2130"/>
      <c r="AE187" s="2130"/>
      <c r="AF187" s="2130"/>
      <c r="AG187" s="101"/>
      <c r="AH187" s="6"/>
      <c r="AI187" s="11"/>
      <c r="AJ187" s="41">
        <f t="shared" si="65"/>
        <v>0</v>
      </c>
      <c r="AK187" s="41">
        <f>IF(ISERROR(HLOOKUP(AK$134,'Improved Sales Adjustments'!$G$7:$ZP$147,68,FALSE)),0,IF(HLOOKUP(AK$134,'Improved Sales Adjustments'!$G$7:$ZP$147,68,FALSE)="",0,IF($V187=HLOOKUP(AK$134,'Improved Sales Adjustments'!$G$7:$ZP$147,68,FALSE),1,0)))</f>
        <v>0</v>
      </c>
      <c r="AL187" s="41">
        <f>IF(ISERROR(HLOOKUP(AL$134,'Improved Sales Adjustments'!$G$7:$ZP$147,68,FALSE)),0,IF(HLOOKUP(AL$134,'Improved Sales Adjustments'!$G$7:$ZP$147,68,FALSE)="",0,IF($V187=HLOOKUP(AL$134,'Improved Sales Adjustments'!$G$7:$ZP$147,68,FALSE),1,0)))</f>
        <v>0</v>
      </c>
      <c r="AM187" s="41">
        <f>IF(ISERROR(HLOOKUP(AM$134,'Improved Sales Adjustments'!$G$7:$ZP$147,68,FALSE)),0,IF(HLOOKUP(AM$134,'Improved Sales Adjustments'!$G$7:$ZP$147,68,FALSE)="",0,IF($V187=HLOOKUP(AM$134,'Improved Sales Adjustments'!$G$7:$ZP$147,68,FALSE),1,0)))</f>
        <v>0</v>
      </c>
      <c r="AN187" s="41">
        <f>IF(ISERROR(HLOOKUP(AN$134,'Improved Sales Adjustments'!$G$7:$ZP$147,68,FALSE)),0,IF(HLOOKUP(AN$134,'Improved Sales Adjustments'!$G$7:$ZP$147,68,FALSE)="",0,IF($V187=HLOOKUP(AN$134,'Improved Sales Adjustments'!$G$7:$ZP$147,68,FALSE),1,0)))</f>
        <v>0</v>
      </c>
      <c r="AO187" s="41">
        <f>IF(ISERROR(HLOOKUP(AO$134,'Improved Sales Adjustments'!$G$7:$ZP$147,68,FALSE)),0,IF(HLOOKUP(AO$134,'Improved Sales Adjustments'!$G$7:$ZP$147,68,FALSE)="",0,IF($V187=HLOOKUP(AO$134,'Improved Sales Adjustments'!$G$7:$ZP$147,68,FALSE),1,0)))</f>
        <v>0</v>
      </c>
      <c r="AP187" s="41">
        <f>IF(ISERROR(HLOOKUP(AP$134,'Improved Sales Adjustments'!$G$7:$ZP$147,68,FALSE)),0,IF(HLOOKUP(AP$134,'Improved Sales Adjustments'!$G$7:$ZP$147,68,FALSE)="",0,IF($V187=HLOOKUP(AP$134,'Improved Sales Adjustments'!$G$7:$ZP$147,68,FALSE),1,0)))</f>
        <v>0</v>
      </c>
      <c r="AQ187" s="41">
        <f>IF(ISERROR(HLOOKUP(AQ$134,'Improved Sales Adjustments'!$G$7:$ZP$147,68,FALSE)),0,IF(HLOOKUP(AQ$134,'Improved Sales Adjustments'!$G$7:$ZP$147,68,FALSE)="",0,IF($V187=HLOOKUP(AQ$134,'Improved Sales Adjustments'!$G$7:$ZP$147,68,FALSE),1,0)))</f>
        <v>0</v>
      </c>
      <c r="AR187" s="41">
        <f>IF(ISERROR(HLOOKUP(AR$134,'Improved Sales Adjustments'!$G$7:$ZP$147,68,FALSE)),0,IF(HLOOKUP(AR$134,'Improved Sales Adjustments'!$G$7:$ZP$147,68,FALSE)="",0,IF($V187=HLOOKUP(AR$134,'Improved Sales Adjustments'!$G$7:$ZP$147,68,FALSE),1,0)))</f>
        <v>0</v>
      </c>
      <c r="AS187" s="41">
        <f>IF(ISERROR(HLOOKUP(AS$134,'Improved Sales Adjustments'!$G$7:$ZP$147,68,FALSE)),0,IF(HLOOKUP(AS$134,'Improved Sales Adjustments'!$G$7:$ZP$147,68,FALSE)="",0,IF($V187=HLOOKUP(AS$134,'Improved Sales Adjustments'!$G$7:$ZP$147,68,FALSE),1,0)))</f>
        <v>0</v>
      </c>
      <c r="AT187" s="41">
        <f>IF(ISERROR(HLOOKUP(AT$134,'Improved Sales Adjustments'!$G$7:$ZP$147,68,FALSE)),0,IF(HLOOKUP(AT$134,'Improved Sales Adjustments'!$G$7:$ZP$147,68,FALSE)="",0,IF($V187=HLOOKUP(AT$134,'Improved Sales Adjustments'!$G$7:$ZP$147,68,FALSE),1,0)))</f>
        <v>0</v>
      </c>
      <c r="AU187" s="41">
        <f>SUM($AJ187:AJ187)</f>
        <v>0</v>
      </c>
      <c r="AV187" s="41">
        <f>SUM($AJ187:AK187)</f>
        <v>0</v>
      </c>
      <c r="AW187" s="41">
        <f>SUM($AJ187:AL187)</f>
        <v>0</v>
      </c>
      <c r="AX187" s="41">
        <f>SUM($AJ187:AM187)</f>
        <v>0</v>
      </c>
      <c r="AY187" s="41">
        <f>SUM($AJ187:AN187)</f>
        <v>0</v>
      </c>
      <c r="AZ187" s="41">
        <f>SUM($AJ187:AO187)</f>
        <v>0</v>
      </c>
      <c r="BA187" s="41">
        <f>SUM($AJ187:AP187)</f>
        <v>0</v>
      </c>
      <c r="BB187" s="41">
        <f>SUM($AJ187:AQ187)</f>
        <v>0</v>
      </c>
      <c r="BC187" s="41">
        <f>SUM($AJ187:AR187)</f>
        <v>0</v>
      </c>
      <c r="BD187" s="41">
        <f>SUM($AJ187:AS187)</f>
        <v>0</v>
      </c>
      <c r="BE187" s="41">
        <f>SUM($AJ187:AT187)</f>
        <v>0</v>
      </c>
      <c r="BF187" s="41" t="str">
        <f t="shared" si="52"/>
        <v/>
      </c>
      <c r="BG187" s="41" t="str">
        <f t="shared" si="53"/>
        <v/>
      </c>
      <c r="BH187" s="41" t="str">
        <f t="shared" si="54"/>
        <v/>
      </c>
      <c r="BI187" s="41" t="str">
        <f t="shared" si="55"/>
        <v/>
      </c>
      <c r="BJ187" s="41" t="str">
        <f t="shared" si="56"/>
        <v/>
      </c>
      <c r="BK187" s="41" t="str">
        <f t="shared" si="57"/>
        <v/>
      </c>
      <c r="BL187" s="41" t="str">
        <f t="shared" si="58"/>
        <v/>
      </c>
      <c r="BM187" s="41" t="str">
        <f t="shared" si="59"/>
        <v/>
      </c>
      <c r="BN187" s="41" t="str">
        <f t="shared" si="60"/>
        <v/>
      </c>
      <c r="BO187" s="41" t="str">
        <f t="shared" si="61"/>
        <v/>
      </c>
      <c r="BP187" s="41" t="str">
        <f t="shared" si="62"/>
        <v/>
      </c>
      <c r="BQ187" s="11"/>
      <c r="BR187" s="11"/>
    </row>
    <row r="188" spans="1:70" ht="15" customHeight="1" x14ac:dyDescent="0.25">
      <c r="A188" s="957">
        <f t="shared" si="66"/>
        <v>0</v>
      </c>
      <c r="S188" s="4"/>
      <c r="T188" s="1204"/>
      <c r="U188" s="4074" t="str">
        <f t="shared" si="51"/>
        <v/>
      </c>
      <c r="V188" s="137">
        <f t="shared" si="63"/>
        <v>53</v>
      </c>
      <c r="W188" s="2130">
        <f>((W$190-W$185)/5)+W187</f>
        <v>0.44000000000000006</v>
      </c>
      <c r="X188" s="2130">
        <f t="shared" si="71"/>
        <v>0.63400000000000001</v>
      </c>
      <c r="Y188" s="2130">
        <f t="shared" si="71"/>
        <v>0.72200000000000009</v>
      </c>
      <c r="Z188" s="2130">
        <f t="shared" si="71"/>
        <v>0.79600000000000004</v>
      </c>
      <c r="AA188" s="2130"/>
      <c r="AB188" s="2130"/>
      <c r="AC188" s="2130"/>
      <c r="AD188" s="2130"/>
      <c r="AE188" s="2130"/>
      <c r="AF188" s="2130"/>
      <c r="AG188" s="101"/>
      <c r="AH188" s="6"/>
      <c r="AI188" s="11"/>
      <c r="AJ188" s="41">
        <f t="shared" si="65"/>
        <v>0</v>
      </c>
      <c r="AK188" s="41">
        <f>IF(ISERROR(HLOOKUP(AK$134,'Improved Sales Adjustments'!$G$7:$ZP$147,68,FALSE)),0,IF(HLOOKUP(AK$134,'Improved Sales Adjustments'!$G$7:$ZP$147,68,FALSE)="",0,IF($V188=HLOOKUP(AK$134,'Improved Sales Adjustments'!$G$7:$ZP$147,68,FALSE),1,0)))</f>
        <v>0</v>
      </c>
      <c r="AL188" s="41">
        <f>IF(ISERROR(HLOOKUP(AL$134,'Improved Sales Adjustments'!$G$7:$ZP$147,68,FALSE)),0,IF(HLOOKUP(AL$134,'Improved Sales Adjustments'!$G$7:$ZP$147,68,FALSE)="",0,IF($V188=HLOOKUP(AL$134,'Improved Sales Adjustments'!$G$7:$ZP$147,68,FALSE),1,0)))</f>
        <v>0</v>
      </c>
      <c r="AM188" s="41">
        <f>IF(ISERROR(HLOOKUP(AM$134,'Improved Sales Adjustments'!$G$7:$ZP$147,68,FALSE)),0,IF(HLOOKUP(AM$134,'Improved Sales Adjustments'!$G$7:$ZP$147,68,FALSE)="",0,IF($V188=HLOOKUP(AM$134,'Improved Sales Adjustments'!$G$7:$ZP$147,68,FALSE),1,0)))</f>
        <v>0</v>
      </c>
      <c r="AN188" s="41">
        <f>IF(ISERROR(HLOOKUP(AN$134,'Improved Sales Adjustments'!$G$7:$ZP$147,68,FALSE)),0,IF(HLOOKUP(AN$134,'Improved Sales Adjustments'!$G$7:$ZP$147,68,FALSE)="",0,IF($V188=HLOOKUP(AN$134,'Improved Sales Adjustments'!$G$7:$ZP$147,68,FALSE),1,0)))</f>
        <v>0</v>
      </c>
      <c r="AO188" s="41">
        <f>IF(ISERROR(HLOOKUP(AO$134,'Improved Sales Adjustments'!$G$7:$ZP$147,68,FALSE)),0,IF(HLOOKUP(AO$134,'Improved Sales Adjustments'!$G$7:$ZP$147,68,FALSE)="",0,IF($V188=HLOOKUP(AO$134,'Improved Sales Adjustments'!$G$7:$ZP$147,68,FALSE),1,0)))</f>
        <v>0</v>
      </c>
      <c r="AP188" s="41">
        <f>IF(ISERROR(HLOOKUP(AP$134,'Improved Sales Adjustments'!$G$7:$ZP$147,68,FALSE)),0,IF(HLOOKUP(AP$134,'Improved Sales Adjustments'!$G$7:$ZP$147,68,FALSE)="",0,IF($V188=HLOOKUP(AP$134,'Improved Sales Adjustments'!$G$7:$ZP$147,68,FALSE),1,0)))</f>
        <v>0</v>
      </c>
      <c r="AQ188" s="41">
        <f>IF(ISERROR(HLOOKUP(AQ$134,'Improved Sales Adjustments'!$G$7:$ZP$147,68,FALSE)),0,IF(HLOOKUP(AQ$134,'Improved Sales Adjustments'!$G$7:$ZP$147,68,FALSE)="",0,IF($V188=HLOOKUP(AQ$134,'Improved Sales Adjustments'!$G$7:$ZP$147,68,FALSE),1,0)))</f>
        <v>0</v>
      </c>
      <c r="AR188" s="41">
        <f>IF(ISERROR(HLOOKUP(AR$134,'Improved Sales Adjustments'!$G$7:$ZP$147,68,FALSE)),0,IF(HLOOKUP(AR$134,'Improved Sales Adjustments'!$G$7:$ZP$147,68,FALSE)="",0,IF($V188=HLOOKUP(AR$134,'Improved Sales Adjustments'!$G$7:$ZP$147,68,FALSE),1,0)))</f>
        <v>0</v>
      </c>
      <c r="AS188" s="41">
        <f>IF(ISERROR(HLOOKUP(AS$134,'Improved Sales Adjustments'!$G$7:$ZP$147,68,FALSE)),0,IF(HLOOKUP(AS$134,'Improved Sales Adjustments'!$G$7:$ZP$147,68,FALSE)="",0,IF($V188=HLOOKUP(AS$134,'Improved Sales Adjustments'!$G$7:$ZP$147,68,FALSE),1,0)))</f>
        <v>0</v>
      </c>
      <c r="AT188" s="41">
        <f>IF(ISERROR(HLOOKUP(AT$134,'Improved Sales Adjustments'!$G$7:$ZP$147,68,FALSE)),0,IF(HLOOKUP(AT$134,'Improved Sales Adjustments'!$G$7:$ZP$147,68,FALSE)="",0,IF($V188=HLOOKUP(AT$134,'Improved Sales Adjustments'!$G$7:$ZP$147,68,FALSE),1,0)))</f>
        <v>0</v>
      </c>
      <c r="AU188" s="41">
        <f>SUM($AJ188:AJ188)</f>
        <v>0</v>
      </c>
      <c r="AV188" s="41">
        <f>SUM($AJ188:AK188)</f>
        <v>0</v>
      </c>
      <c r="AW188" s="41">
        <f>SUM($AJ188:AL188)</f>
        <v>0</v>
      </c>
      <c r="AX188" s="41">
        <f>SUM($AJ188:AM188)</f>
        <v>0</v>
      </c>
      <c r="AY188" s="41">
        <f>SUM($AJ188:AN188)</f>
        <v>0</v>
      </c>
      <c r="AZ188" s="41">
        <f>SUM($AJ188:AO188)</f>
        <v>0</v>
      </c>
      <c r="BA188" s="41">
        <f>SUM($AJ188:AP188)</f>
        <v>0</v>
      </c>
      <c r="BB188" s="41">
        <f>SUM($AJ188:AQ188)</f>
        <v>0</v>
      </c>
      <c r="BC188" s="41">
        <f>SUM($AJ188:AR188)</f>
        <v>0</v>
      </c>
      <c r="BD188" s="41">
        <f>SUM($AJ188:AS188)</f>
        <v>0</v>
      </c>
      <c r="BE188" s="41">
        <f>SUM($AJ188:AT188)</f>
        <v>0</v>
      </c>
      <c r="BF188" s="41" t="str">
        <f t="shared" si="52"/>
        <v/>
      </c>
      <c r="BG188" s="41" t="str">
        <f t="shared" si="53"/>
        <v/>
      </c>
      <c r="BH188" s="41" t="str">
        <f t="shared" si="54"/>
        <v/>
      </c>
      <c r="BI188" s="41" t="str">
        <f t="shared" si="55"/>
        <v/>
      </c>
      <c r="BJ188" s="41" t="str">
        <f t="shared" si="56"/>
        <v/>
      </c>
      <c r="BK188" s="41" t="str">
        <f t="shared" si="57"/>
        <v/>
      </c>
      <c r="BL188" s="41" t="str">
        <f t="shared" si="58"/>
        <v/>
      </c>
      <c r="BM188" s="41" t="str">
        <f t="shared" si="59"/>
        <v/>
      </c>
      <c r="BN188" s="41" t="str">
        <f t="shared" si="60"/>
        <v/>
      </c>
      <c r="BO188" s="41" t="str">
        <f t="shared" si="61"/>
        <v/>
      </c>
      <c r="BP188" s="41" t="str">
        <f t="shared" si="62"/>
        <v/>
      </c>
      <c r="BQ188" s="11"/>
      <c r="BR188" s="11"/>
    </row>
    <row r="189" spans="1:70" ht="15" customHeight="1" x14ac:dyDescent="0.25">
      <c r="A189" s="957">
        <f t="shared" si="66"/>
        <v>0</v>
      </c>
      <c r="S189" s="4"/>
      <c r="T189" s="1204"/>
      <c r="U189" s="4074" t="str">
        <f t="shared" si="51"/>
        <v/>
      </c>
      <c r="V189" s="137">
        <f t="shared" si="63"/>
        <v>54</v>
      </c>
      <c r="W189" s="2130">
        <f>((W$190-W$185)/5)+W188</f>
        <v>0.46000000000000008</v>
      </c>
      <c r="X189" s="2130">
        <f t="shared" si="71"/>
        <v>0.65200000000000002</v>
      </c>
      <c r="Y189" s="2130">
        <f t="shared" si="71"/>
        <v>0.7360000000000001</v>
      </c>
      <c r="Z189" s="2130">
        <f t="shared" si="71"/>
        <v>0.79800000000000004</v>
      </c>
      <c r="AA189" s="2130"/>
      <c r="AB189" s="2130"/>
      <c r="AC189" s="2130"/>
      <c r="AD189" s="2130"/>
      <c r="AE189" s="2130"/>
      <c r="AF189" s="2130"/>
      <c r="AG189" s="101"/>
      <c r="AH189" s="6"/>
      <c r="AI189" s="11"/>
      <c r="AJ189" s="41">
        <f t="shared" si="65"/>
        <v>0</v>
      </c>
      <c r="AK189" s="41">
        <f>IF(ISERROR(HLOOKUP(AK$134,'Improved Sales Adjustments'!$G$7:$ZP$147,68,FALSE)),0,IF(HLOOKUP(AK$134,'Improved Sales Adjustments'!$G$7:$ZP$147,68,FALSE)="",0,IF($V189=HLOOKUP(AK$134,'Improved Sales Adjustments'!$G$7:$ZP$147,68,FALSE),1,0)))</f>
        <v>0</v>
      </c>
      <c r="AL189" s="41">
        <f>IF(ISERROR(HLOOKUP(AL$134,'Improved Sales Adjustments'!$G$7:$ZP$147,68,FALSE)),0,IF(HLOOKUP(AL$134,'Improved Sales Adjustments'!$G$7:$ZP$147,68,FALSE)="",0,IF($V189=HLOOKUP(AL$134,'Improved Sales Adjustments'!$G$7:$ZP$147,68,FALSE),1,0)))</f>
        <v>0</v>
      </c>
      <c r="AM189" s="41">
        <f>IF(ISERROR(HLOOKUP(AM$134,'Improved Sales Adjustments'!$G$7:$ZP$147,68,FALSE)),0,IF(HLOOKUP(AM$134,'Improved Sales Adjustments'!$G$7:$ZP$147,68,FALSE)="",0,IF($V189=HLOOKUP(AM$134,'Improved Sales Adjustments'!$G$7:$ZP$147,68,FALSE),1,0)))</f>
        <v>0</v>
      </c>
      <c r="AN189" s="41">
        <f>IF(ISERROR(HLOOKUP(AN$134,'Improved Sales Adjustments'!$G$7:$ZP$147,68,FALSE)),0,IF(HLOOKUP(AN$134,'Improved Sales Adjustments'!$G$7:$ZP$147,68,FALSE)="",0,IF($V189=HLOOKUP(AN$134,'Improved Sales Adjustments'!$G$7:$ZP$147,68,FALSE),1,0)))</f>
        <v>0</v>
      </c>
      <c r="AO189" s="41">
        <f>IF(ISERROR(HLOOKUP(AO$134,'Improved Sales Adjustments'!$G$7:$ZP$147,68,FALSE)),0,IF(HLOOKUP(AO$134,'Improved Sales Adjustments'!$G$7:$ZP$147,68,FALSE)="",0,IF($V189=HLOOKUP(AO$134,'Improved Sales Adjustments'!$G$7:$ZP$147,68,FALSE),1,0)))</f>
        <v>0</v>
      </c>
      <c r="AP189" s="41">
        <f>IF(ISERROR(HLOOKUP(AP$134,'Improved Sales Adjustments'!$G$7:$ZP$147,68,FALSE)),0,IF(HLOOKUP(AP$134,'Improved Sales Adjustments'!$G$7:$ZP$147,68,FALSE)="",0,IF($V189=HLOOKUP(AP$134,'Improved Sales Adjustments'!$G$7:$ZP$147,68,FALSE),1,0)))</f>
        <v>0</v>
      </c>
      <c r="AQ189" s="41">
        <f>IF(ISERROR(HLOOKUP(AQ$134,'Improved Sales Adjustments'!$G$7:$ZP$147,68,FALSE)),0,IF(HLOOKUP(AQ$134,'Improved Sales Adjustments'!$G$7:$ZP$147,68,FALSE)="",0,IF($V189=HLOOKUP(AQ$134,'Improved Sales Adjustments'!$G$7:$ZP$147,68,FALSE),1,0)))</f>
        <v>0</v>
      </c>
      <c r="AR189" s="41">
        <f>IF(ISERROR(HLOOKUP(AR$134,'Improved Sales Adjustments'!$G$7:$ZP$147,68,FALSE)),0,IF(HLOOKUP(AR$134,'Improved Sales Adjustments'!$G$7:$ZP$147,68,FALSE)="",0,IF($V189=HLOOKUP(AR$134,'Improved Sales Adjustments'!$G$7:$ZP$147,68,FALSE),1,0)))</f>
        <v>0</v>
      </c>
      <c r="AS189" s="41">
        <f>IF(ISERROR(HLOOKUP(AS$134,'Improved Sales Adjustments'!$G$7:$ZP$147,68,FALSE)),0,IF(HLOOKUP(AS$134,'Improved Sales Adjustments'!$G$7:$ZP$147,68,FALSE)="",0,IF($V189=HLOOKUP(AS$134,'Improved Sales Adjustments'!$G$7:$ZP$147,68,FALSE),1,0)))</f>
        <v>0</v>
      </c>
      <c r="AT189" s="41">
        <f>IF(ISERROR(HLOOKUP(AT$134,'Improved Sales Adjustments'!$G$7:$ZP$147,68,FALSE)),0,IF(HLOOKUP(AT$134,'Improved Sales Adjustments'!$G$7:$ZP$147,68,FALSE)="",0,IF($V189=HLOOKUP(AT$134,'Improved Sales Adjustments'!$G$7:$ZP$147,68,FALSE),1,0)))</f>
        <v>0</v>
      </c>
      <c r="AU189" s="41">
        <f>SUM($AJ189:AJ189)</f>
        <v>0</v>
      </c>
      <c r="AV189" s="41">
        <f>SUM($AJ189:AK189)</f>
        <v>0</v>
      </c>
      <c r="AW189" s="41">
        <f>SUM($AJ189:AL189)</f>
        <v>0</v>
      </c>
      <c r="AX189" s="41">
        <f>SUM($AJ189:AM189)</f>
        <v>0</v>
      </c>
      <c r="AY189" s="41">
        <f>SUM($AJ189:AN189)</f>
        <v>0</v>
      </c>
      <c r="AZ189" s="41">
        <f>SUM($AJ189:AO189)</f>
        <v>0</v>
      </c>
      <c r="BA189" s="41">
        <f>SUM($AJ189:AP189)</f>
        <v>0</v>
      </c>
      <c r="BB189" s="41">
        <f>SUM($AJ189:AQ189)</f>
        <v>0</v>
      </c>
      <c r="BC189" s="41">
        <f>SUM($AJ189:AR189)</f>
        <v>0</v>
      </c>
      <c r="BD189" s="41">
        <f>SUM($AJ189:AS189)</f>
        <v>0</v>
      </c>
      <c r="BE189" s="41">
        <f>SUM($AJ189:AT189)</f>
        <v>0</v>
      </c>
      <c r="BF189" s="41" t="str">
        <f t="shared" si="52"/>
        <v/>
      </c>
      <c r="BG189" s="41" t="str">
        <f t="shared" si="53"/>
        <v/>
      </c>
      <c r="BH189" s="41" t="str">
        <f t="shared" si="54"/>
        <v/>
      </c>
      <c r="BI189" s="41" t="str">
        <f t="shared" si="55"/>
        <v/>
      </c>
      <c r="BJ189" s="41" t="str">
        <f t="shared" si="56"/>
        <v/>
      </c>
      <c r="BK189" s="41" t="str">
        <f t="shared" si="57"/>
        <v/>
      </c>
      <c r="BL189" s="41" t="str">
        <f t="shared" si="58"/>
        <v/>
      </c>
      <c r="BM189" s="41" t="str">
        <f t="shared" si="59"/>
        <v/>
      </c>
      <c r="BN189" s="41" t="str">
        <f t="shared" si="60"/>
        <v/>
      </c>
      <c r="BO189" s="41" t="str">
        <f t="shared" si="61"/>
        <v/>
      </c>
      <c r="BP189" s="41" t="str">
        <f t="shared" si="62"/>
        <v/>
      </c>
      <c r="BQ189" s="11"/>
      <c r="BR189" s="11"/>
    </row>
    <row r="190" spans="1:70" ht="15" customHeight="1" x14ac:dyDescent="0.25">
      <c r="A190" s="957">
        <f t="shared" si="66"/>
        <v>0</v>
      </c>
      <c r="S190" s="4"/>
      <c r="T190" s="1204"/>
      <c r="U190" s="4074" t="str">
        <f t="shared" si="51"/>
        <v/>
      </c>
      <c r="V190" s="137">
        <f t="shared" si="63"/>
        <v>55</v>
      </c>
      <c r="W190" s="2129">
        <v>0.48</v>
      </c>
      <c r="X190" s="2130">
        <v>0.67</v>
      </c>
      <c r="Y190" s="2130">
        <v>0.75</v>
      </c>
      <c r="Z190" s="2130">
        <v>0.8</v>
      </c>
      <c r="AA190" s="2130"/>
      <c r="AB190" s="2130"/>
      <c r="AC190" s="2130"/>
      <c r="AD190" s="2130"/>
      <c r="AE190" s="2130"/>
      <c r="AF190" s="2130"/>
      <c r="AG190" s="101"/>
      <c r="AH190" s="6"/>
      <c r="AI190" s="11"/>
      <c r="AJ190" s="41">
        <f t="shared" si="65"/>
        <v>0</v>
      </c>
      <c r="AK190" s="41">
        <f>IF(ISERROR(HLOOKUP(AK$134,'Improved Sales Adjustments'!$G$7:$ZP$147,68,FALSE)),0,IF(HLOOKUP(AK$134,'Improved Sales Adjustments'!$G$7:$ZP$147,68,FALSE)="",0,IF($V190=HLOOKUP(AK$134,'Improved Sales Adjustments'!$G$7:$ZP$147,68,FALSE),1,0)))</f>
        <v>0</v>
      </c>
      <c r="AL190" s="41">
        <f>IF(ISERROR(HLOOKUP(AL$134,'Improved Sales Adjustments'!$G$7:$ZP$147,68,FALSE)),0,IF(HLOOKUP(AL$134,'Improved Sales Adjustments'!$G$7:$ZP$147,68,FALSE)="",0,IF($V190=HLOOKUP(AL$134,'Improved Sales Adjustments'!$G$7:$ZP$147,68,FALSE),1,0)))</f>
        <v>0</v>
      </c>
      <c r="AM190" s="41">
        <f>IF(ISERROR(HLOOKUP(AM$134,'Improved Sales Adjustments'!$G$7:$ZP$147,68,FALSE)),0,IF(HLOOKUP(AM$134,'Improved Sales Adjustments'!$G$7:$ZP$147,68,FALSE)="",0,IF($V190=HLOOKUP(AM$134,'Improved Sales Adjustments'!$G$7:$ZP$147,68,FALSE),1,0)))</f>
        <v>0</v>
      </c>
      <c r="AN190" s="41">
        <f>IF(ISERROR(HLOOKUP(AN$134,'Improved Sales Adjustments'!$G$7:$ZP$147,68,FALSE)),0,IF(HLOOKUP(AN$134,'Improved Sales Adjustments'!$G$7:$ZP$147,68,FALSE)="",0,IF($V190=HLOOKUP(AN$134,'Improved Sales Adjustments'!$G$7:$ZP$147,68,FALSE),1,0)))</f>
        <v>0</v>
      </c>
      <c r="AO190" s="41">
        <f>IF(ISERROR(HLOOKUP(AO$134,'Improved Sales Adjustments'!$G$7:$ZP$147,68,FALSE)),0,IF(HLOOKUP(AO$134,'Improved Sales Adjustments'!$G$7:$ZP$147,68,FALSE)="",0,IF($V190=HLOOKUP(AO$134,'Improved Sales Adjustments'!$G$7:$ZP$147,68,FALSE),1,0)))</f>
        <v>0</v>
      </c>
      <c r="AP190" s="41">
        <f>IF(ISERROR(HLOOKUP(AP$134,'Improved Sales Adjustments'!$G$7:$ZP$147,68,FALSE)),0,IF(HLOOKUP(AP$134,'Improved Sales Adjustments'!$G$7:$ZP$147,68,FALSE)="",0,IF($V190=HLOOKUP(AP$134,'Improved Sales Adjustments'!$G$7:$ZP$147,68,FALSE),1,0)))</f>
        <v>0</v>
      </c>
      <c r="AQ190" s="41">
        <f>IF(ISERROR(HLOOKUP(AQ$134,'Improved Sales Adjustments'!$G$7:$ZP$147,68,FALSE)),0,IF(HLOOKUP(AQ$134,'Improved Sales Adjustments'!$G$7:$ZP$147,68,FALSE)="",0,IF($V190=HLOOKUP(AQ$134,'Improved Sales Adjustments'!$G$7:$ZP$147,68,FALSE),1,0)))</f>
        <v>0</v>
      </c>
      <c r="AR190" s="41">
        <f>IF(ISERROR(HLOOKUP(AR$134,'Improved Sales Adjustments'!$G$7:$ZP$147,68,FALSE)),0,IF(HLOOKUP(AR$134,'Improved Sales Adjustments'!$G$7:$ZP$147,68,FALSE)="",0,IF($V190=HLOOKUP(AR$134,'Improved Sales Adjustments'!$G$7:$ZP$147,68,FALSE),1,0)))</f>
        <v>0</v>
      </c>
      <c r="AS190" s="41">
        <f>IF(ISERROR(HLOOKUP(AS$134,'Improved Sales Adjustments'!$G$7:$ZP$147,68,FALSE)),0,IF(HLOOKUP(AS$134,'Improved Sales Adjustments'!$G$7:$ZP$147,68,FALSE)="",0,IF($V190=HLOOKUP(AS$134,'Improved Sales Adjustments'!$G$7:$ZP$147,68,FALSE),1,0)))</f>
        <v>0</v>
      </c>
      <c r="AT190" s="41">
        <f>IF(ISERROR(HLOOKUP(AT$134,'Improved Sales Adjustments'!$G$7:$ZP$147,68,FALSE)),0,IF(HLOOKUP(AT$134,'Improved Sales Adjustments'!$G$7:$ZP$147,68,FALSE)="",0,IF($V190=HLOOKUP(AT$134,'Improved Sales Adjustments'!$G$7:$ZP$147,68,FALSE),1,0)))</f>
        <v>0</v>
      </c>
      <c r="AU190" s="41">
        <f>SUM($AJ190:AJ190)</f>
        <v>0</v>
      </c>
      <c r="AV190" s="41">
        <f>SUM($AJ190:AK190)</f>
        <v>0</v>
      </c>
      <c r="AW190" s="41">
        <f>SUM($AJ190:AL190)</f>
        <v>0</v>
      </c>
      <c r="AX190" s="41">
        <f>SUM($AJ190:AM190)</f>
        <v>0</v>
      </c>
      <c r="AY190" s="41">
        <f>SUM($AJ190:AN190)</f>
        <v>0</v>
      </c>
      <c r="AZ190" s="41">
        <f>SUM($AJ190:AO190)</f>
        <v>0</v>
      </c>
      <c r="BA190" s="41">
        <f>SUM($AJ190:AP190)</f>
        <v>0</v>
      </c>
      <c r="BB190" s="41">
        <f>SUM($AJ190:AQ190)</f>
        <v>0</v>
      </c>
      <c r="BC190" s="41">
        <f>SUM($AJ190:AR190)</f>
        <v>0</v>
      </c>
      <c r="BD190" s="41">
        <f>SUM($AJ190:AS190)</f>
        <v>0</v>
      </c>
      <c r="BE190" s="41">
        <f>SUM($AJ190:AT190)</f>
        <v>0</v>
      </c>
      <c r="BF190" s="41" t="str">
        <f t="shared" si="52"/>
        <v/>
      </c>
      <c r="BG190" s="41" t="str">
        <f t="shared" si="53"/>
        <v/>
      </c>
      <c r="BH190" s="41" t="str">
        <f t="shared" si="54"/>
        <v/>
      </c>
      <c r="BI190" s="41" t="str">
        <f t="shared" si="55"/>
        <v/>
      </c>
      <c r="BJ190" s="41" t="str">
        <f t="shared" si="56"/>
        <v/>
      </c>
      <c r="BK190" s="41" t="str">
        <f t="shared" si="57"/>
        <v/>
      </c>
      <c r="BL190" s="41" t="str">
        <f t="shared" si="58"/>
        <v/>
      </c>
      <c r="BM190" s="41" t="str">
        <f t="shared" si="59"/>
        <v/>
      </c>
      <c r="BN190" s="41" t="str">
        <f t="shared" si="60"/>
        <v/>
      </c>
      <c r="BO190" s="41" t="str">
        <f t="shared" si="61"/>
        <v/>
      </c>
      <c r="BP190" s="41" t="str">
        <f t="shared" si="62"/>
        <v/>
      </c>
      <c r="BQ190" s="11"/>
      <c r="BR190" s="11"/>
    </row>
    <row r="191" spans="1:70" ht="15" customHeight="1" x14ac:dyDescent="0.25">
      <c r="A191" s="957">
        <f t="shared" si="66"/>
        <v>0</v>
      </c>
      <c r="S191" s="4"/>
      <c r="T191" s="1204"/>
      <c r="U191" s="4074" t="str">
        <f t="shared" si="51"/>
        <v/>
      </c>
      <c r="V191" s="137">
        <f t="shared" si="63"/>
        <v>56</v>
      </c>
      <c r="W191" s="2130">
        <f>((W$195-W$190)/5)+W190</f>
        <v>0.498</v>
      </c>
      <c r="X191" s="2130">
        <f>((X$195-X$190)/5)+X190</f>
        <v>0.68400000000000005</v>
      </c>
      <c r="Y191" s="2130">
        <f>((Y$195-Y$190)/5)+Y190</f>
        <v>0.75600000000000001</v>
      </c>
      <c r="Z191" s="2130"/>
      <c r="AA191" s="2130"/>
      <c r="AB191" s="2130"/>
      <c r="AC191" s="2130"/>
      <c r="AD191" s="2130"/>
      <c r="AE191" s="2130"/>
      <c r="AF191" s="2130"/>
      <c r="AG191" s="101"/>
      <c r="AH191" s="6"/>
      <c r="AI191" s="11"/>
      <c r="AJ191" s="41">
        <f t="shared" si="65"/>
        <v>0</v>
      </c>
      <c r="AK191" s="41">
        <f>IF(ISERROR(HLOOKUP(AK$134,'Improved Sales Adjustments'!$G$7:$ZP$147,68,FALSE)),0,IF(HLOOKUP(AK$134,'Improved Sales Adjustments'!$G$7:$ZP$147,68,FALSE)="",0,IF($V191=HLOOKUP(AK$134,'Improved Sales Adjustments'!$G$7:$ZP$147,68,FALSE),1,0)))</f>
        <v>0</v>
      </c>
      <c r="AL191" s="41">
        <f>IF(ISERROR(HLOOKUP(AL$134,'Improved Sales Adjustments'!$G$7:$ZP$147,68,FALSE)),0,IF(HLOOKUP(AL$134,'Improved Sales Adjustments'!$G$7:$ZP$147,68,FALSE)="",0,IF($V191=HLOOKUP(AL$134,'Improved Sales Adjustments'!$G$7:$ZP$147,68,FALSE),1,0)))</f>
        <v>0</v>
      </c>
      <c r="AM191" s="41">
        <f>IF(ISERROR(HLOOKUP(AM$134,'Improved Sales Adjustments'!$G$7:$ZP$147,68,FALSE)),0,IF(HLOOKUP(AM$134,'Improved Sales Adjustments'!$G$7:$ZP$147,68,FALSE)="",0,IF($V191=HLOOKUP(AM$134,'Improved Sales Adjustments'!$G$7:$ZP$147,68,FALSE),1,0)))</f>
        <v>0</v>
      </c>
      <c r="AN191" s="41">
        <f>IF(ISERROR(HLOOKUP(AN$134,'Improved Sales Adjustments'!$G$7:$ZP$147,68,FALSE)),0,IF(HLOOKUP(AN$134,'Improved Sales Adjustments'!$G$7:$ZP$147,68,FALSE)="",0,IF($V191=HLOOKUP(AN$134,'Improved Sales Adjustments'!$G$7:$ZP$147,68,FALSE),1,0)))</f>
        <v>0</v>
      </c>
      <c r="AO191" s="41">
        <f>IF(ISERROR(HLOOKUP(AO$134,'Improved Sales Adjustments'!$G$7:$ZP$147,68,FALSE)),0,IF(HLOOKUP(AO$134,'Improved Sales Adjustments'!$G$7:$ZP$147,68,FALSE)="",0,IF($V191=HLOOKUP(AO$134,'Improved Sales Adjustments'!$G$7:$ZP$147,68,FALSE),1,0)))</f>
        <v>0</v>
      </c>
      <c r="AP191" s="41">
        <f>IF(ISERROR(HLOOKUP(AP$134,'Improved Sales Adjustments'!$G$7:$ZP$147,68,FALSE)),0,IF(HLOOKUP(AP$134,'Improved Sales Adjustments'!$G$7:$ZP$147,68,FALSE)="",0,IF($V191=HLOOKUP(AP$134,'Improved Sales Adjustments'!$G$7:$ZP$147,68,FALSE),1,0)))</f>
        <v>0</v>
      </c>
      <c r="AQ191" s="41">
        <f>IF(ISERROR(HLOOKUP(AQ$134,'Improved Sales Adjustments'!$G$7:$ZP$147,68,FALSE)),0,IF(HLOOKUP(AQ$134,'Improved Sales Adjustments'!$G$7:$ZP$147,68,FALSE)="",0,IF($V191=HLOOKUP(AQ$134,'Improved Sales Adjustments'!$G$7:$ZP$147,68,FALSE),1,0)))</f>
        <v>0</v>
      </c>
      <c r="AR191" s="41">
        <f>IF(ISERROR(HLOOKUP(AR$134,'Improved Sales Adjustments'!$G$7:$ZP$147,68,FALSE)),0,IF(HLOOKUP(AR$134,'Improved Sales Adjustments'!$G$7:$ZP$147,68,FALSE)="",0,IF($V191=HLOOKUP(AR$134,'Improved Sales Adjustments'!$G$7:$ZP$147,68,FALSE),1,0)))</f>
        <v>0</v>
      </c>
      <c r="AS191" s="41">
        <f>IF(ISERROR(HLOOKUP(AS$134,'Improved Sales Adjustments'!$G$7:$ZP$147,68,FALSE)),0,IF(HLOOKUP(AS$134,'Improved Sales Adjustments'!$G$7:$ZP$147,68,FALSE)="",0,IF($V191=HLOOKUP(AS$134,'Improved Sales Adjustments'!$G$7:$ZP$147,68,FALSE),1,0)))</f>
        <v>0</v>
      </c>
      <c r="AT191" s="41">
        <f>IF(ISERROR(HLOOKUP(AT$134,'Improved Sales Adjustments'!$G$7:$ZP$147,68,FALSE)),0,IF(HLOOKUP(AT$134,'Improved Sales Adjustments'!$G$7:$ZP$147,68,FALSE)="",0,IF($V191=HLOOKUP(AT$134,'Improved Sales Adjustments'!$G$7:$ZP$147,68,FALSE),1,0)))</f>
        <v>0</v>
      </c>
      <c r="AU191" s="41">
        <f>SUM($AJ191:AJ191)</f>
        <v>0</v>
      </c>
      <c r="AV191" s="41">
        <f>SUM($AJ191:AK191)</f>
        <v>0</v>
      </c>
      <c r="AW191" s="41">
        <f>SUM($AJ191:AL191)</f>
        <v>0</v>
      </c>
      <c r="AX191" s="41">
        <f>SUM($AJ191:AM191)</f>
        <v>0</v>
      </c>
      <c r="AY191" s="41">
        <f>SUM($AJ191:AN191)</f>
        <v>0</v>
      </c>
      <c r="AZ191" s="41">
        <f>SUM($AJ191:AO191)</f>
        <v>0</v>
      </c>
      <c r="BA191" s="41">
        <f>SUM($AJ191:AP191)</f>
        <v>0</v>
      </c>
      <c r="BB191" s="41">
        <f>SUM($AJ191:AQ191)</f>
        <v>0</v>
      </c>
      <c r="BC191" s="41">
        <f>SUM($AJ191:AR191)</f>
        <v>0</v>
      </c>
      <c r="BD191" s="41">
        <f>SUM($AJ191:AS191)</f>
        <v>0</v>
      </c>
      <c r="BE191" s="41">
        <f>SUM($AJ191:AT191)</f>
        <v>0</v>
      </c>
      <c r="BF191" s="41" t="str">
        <f t="shared" si="52"/>
        <v/>
      </c>
      <c r="BG191" s="41" t="str">
        <f t="shared" si="53"/>
        <v/>
      </c>
      <c r="BH191" s="41" t="str">
        <f t="shared" si="54"/>
        <v/>
      </c>
      <c r="BI191" s="41" t="str">
        <f t="shared" si="55"/>
        <v/>
      </c>
      <c r="BJ191" s="41" t="str">
        <f t="shared" si="56"/>
        <v/>
      </c>
      <c r="BK191" s="41" t="str">
        <f t="shared" si="57"/>
        <v/>
      </c>
      <c r="BL191" s="41" t="str">
        <f t="shared" si="58"/>
        <v/>
      </c>
      <c r="BM191" s="41" t="str">
        <f t="shared" si="59"/>
        <v/>
      </c>
      <c r="BN191" s="41" t="str">
        <f t="shared" si="60"/>
        <v/>
      </c>
      <c r="BO191" s="41" t="str">
        <f t="shared" si="61"/>
        <v/>
      </c>
      <c r="BP191" s="41" t="str">
        <f t="shared" si="62"/>
        <v/>
      </c>
      <c r="BQ191" s="11"/>
      <c r="BR191" s="11"/>
    </row>
    <row r="192" spans="1:70" ht="15" customHeight="1" x14ac:dyDescent="0.25">
      <c r="A192" s="957">
        <f t="shared" si="66"/>
        <v>0</v>
      </c>
      <c r="S192" s="4"/>
      <c r="T192" s="1204"/>
      <c r="U192" s="4074" t="str">
        <f t="shared" si="51"/>
        <v/>
      </c>
      <c r="V192" s="137">
        <f t="shared" si="63"/>
        <v>57</v>
      </c>
      <c r="W192" s="2130">
        <f t="shared" ref="W192:Y194" si="72">((W$195-W$190)/5)+W191</f>
        <v>0.51600000000000001</v>
      </c>
      <c r="X192" s="2130">
        <f t="shared" si="72"/>
        <v>0.69800000000000006</v>
      </c>
      <c r="Y192" s="2130">
        <f t="shared" si="72"/>
        <v>0.76200000000000001</v>
      </c>
      <c r="Z192" s="2130"/>
      <c r="AA192" s="2130"/>
      <c r="AB192" s="2130"/>
      <c r="AC192" s="2130"/>
      <c r="AD192" s="2130"/>
      <c r="AE192" s="2130"/>
      <c r="AF192" s="2130"/>
      <c r="AG192" s="101"/>
      <c r="AH192" s="6"/>
      <c r="AI192" s="11"/>
      <c r="AJ192" s="41">
        <f t="shared" si="65"/>
        <v>0</v>
      </c>
      <c r="AK192" s="41">
        <f>IF(ISERROR(HLOOKUP(AK$134,'Improved Sales Adjustments'!$G$7:$ZP$147,68,FALSE)),0,IF(HLOOKUP(AK$134,'Improved Sales Adjustments'!$G$7:$ZP$147,68,FALSE)="",0,IF($V192=HLOOKUP(AK$134,'Improved Sales Adjustments'!$G$7:$ZP$147,68,FALSE),1,0)))</f>
        <v>0</v>
      </c>
      <c r="AL192" s="41">
        <f>IF(ISERROR(HLOOKUP(AL$134,'Improved Sales Adjustments'!$G$7:$ZP$147,68,FALSE)),0,IF(HLOOKUP(AL$134,'Improved Sales Adjustments'!$G$7:$ZP$147,68,FALSE)="",0,IF($V192=HLOOKUP(AL$134,'Improved Sales Adjustments'!$G$7:$ZP$147,68,FALSE),1,0)))</f>
        <v>0</v>
      </c>
      <c r="AM192" s="41">
        <f>IF(ISERROR(HLOOKUP(AM$134,'Improved Sales Adjustments'!$G$7:$ZP$147,68,FALSE)),0,IF(HLOOKUP(AM$134,'Improved Sales Adjustments'!$G$7:$ZP$147,68,FALSE)="",0,IF($V192=HLOOKUP(AM$134,'Improved Sales Adjustments'!$G$7:$ZP$147,68,FALSE),1,0)))</f>
        <v>0</v>
      </c>
      <c r="AN192" s="41">
        <f>IF(ISERROR(HLOOKUP(AN$134,'Improved Sales Adjustments'!$G$7:$ZP$147,68,FALSE)),0,IF(HLOOKUP(AN$134,'Improved Sales Adjustments'!$G$7:$ZP$147,68,FALSE)="",0,IF($V192=HLOOKUP(AN$134,'Improved Sales Adjustments'!$G$7:$ZP$147,68,FALSE),1,0)))</f>
        <v>0</v>
      </c>
      <c r="AO192" s="41">
        <f>IF(ISERROR(HLOOKUP(AO$134,'Improved Sales Adjustments'!$G$7:$ZP$147,68,FALSE)),0,IF(HLOOKUP(AO$134,'Improved Sales Adjustments'!$G$7:$ZP$147,68,FALSE)="",0,IF($V192=HLOOKUP(AO$134,'Improved Sales Adjustments'!$G$7:$ZP$147,68,FALSE),1,0)))</f>
        <v>0</v>
      </c>
      <c r="AP192" s="41">
        <f>IF(ISERROR(HLOOKUP(AP$134,'Improved Sales Adjustments'!$G$7:$ZP$147,68,FALSE)),0,IF(HLOOKUP(AP$134,'Improved Sales Adjustments'!$G$7:$ZP$147,68,FALSE)="",0,IF($V192=HLOOKUP(AP$134,'Improved Sales Adjustments'!$G$7:$ZP$147,68,FALSE),1,0)))</f>
        <v>0</v>
      </c>
      <c r="AQ192" s="41">
        <f>IF(ISERROR(HLOOKUP(AQ$134,'Improved Sales Adjustments'!$G$7:$ZP$147,68,FALSE)),0,IF(HLOOKUP(AQ$134,'Improved Sales Adjustments'!$G$7:$ZP$147,68,FALSE)="",0,IF($V192=HLOOKUP(AQ$134,'Improved Sales Adjustments'!$G$7:$ZP$147,68,FALSE),1,0)))</f>
        <v>0</v>
      </c>
      <c r="AR192" s="41">
        <f>IF(ISERROR(HLOOKUP(AR$134,'Improved Sales Adjustments'!$G$7:$ZP$147,68,FALSE)),0,IF(HLOOKUP(AR$134,'Improved Sales Adjustments'!$G$7:$ZP$147,68,FALSE)="",0,IF($V192=HLOOKUP(AR$134,'Improved Sales Adjustments'!$G$7:$ZP$147,68,FALSE),1,0)))</f>
        <v>0</v>
      </c>
      <c r="AS192" s="41">
        <f>IF(ISERROR(HLOOKUP(AS$134,'Improved Sales Adjustments'!$G$7:$ZP$147,68,FALSE)),0,IF(HLOOKUP(AS$134,'Improved Sales Adjustments'!$G$7:$ZP$147,68,FALSE)="",0,IF($V192=HLOOKUP(AS$134,'Improved Sales Adjustments'!$G$7:$ZP$147,68,FALSE),1,0)))</f>
        <v>0</v>
      </c>
      <c r="AT192" s="41">
        <f>IF(ISERROR(HLOOKUP(AT$134,'Improved Sales Adjustments'!$G$7:$ZP$147,68,FALSE)),0,IF(HLOOKUP(AT$134,'Improved Sales Adjustments'!$G$7:$ZP$147,68,FALSE)="",0,IF($V192=HLOOKUP(AT$134,'Improved Sales Adjustments'!$G$7:$ZP$147,68,FALSE),1,0)))</f>
        <v>0</v>
      </c>
      <c r="AU192" s="41">
        <f>SUM($AJ192:AJ192)</f>
        <v>0</v>
      </c>
      <c r="AV192" s="41">
        <f>SUM($AJ192:AK192)</f>
        <v>0</v>
      </c>
      <c r="AW192" s="41">
        <f>SUM($AJ192:AL192)</f>
        <v>0</v>
      </c>
      <c r="AX192" s="41">
        <f>SUM($AJ192:AM192)</f>
        <v>0</v>
      </c>
      <c r="AY192" s="41">
        <f>SUM($AJ192:AN192)</f>
        <v>0</v>
      </c>
      <c r="AZ192" s="41">
        <f>SUM($AJ192:AO192)</f>
        <v>0</v>
      </c>
      <c r="BA192" s="41">
        <f>SUM($AJ192:AP192)</f>
        <v>0</v>
      </c>
      <c r="BB192" s="41">
        <f>SUM($AJ192:AQ192)</f>
        <v>0</v>
      </c>
      <c r="BC192" s="41">
        <f>SUM($AJ192:AR192)</f>
        <v>0</v>
      </c>
      <c r="BD192" s="41">
        <f>SUM($AJ192:AS192)</f>
        <v>0</v>
      </c>
      <c r="BE192" s="41">
        <f>SUM($AJ192:AT192)</f>
        <v>0</v>
      </c>
      <c r="BF192" s="41" t="str">
        <f t="shared" si="52"/>
        <v/>
      </c>
      <c r="BG192" s="41" t="str">
        <f t="shared" si="53"/>
        <v/>
      </c>
      <c r="BH192" s="41" t="str">
        <f t="shared" si="54"/>
        <v/>
      </c>
      <c r="BI192" s="41" t="str">
        <f t="shared" si="55"/>
        <v/>
      </c>
      <c r="BJ192" s="41" t="str">
        <f t="shared" si="56"/>
        <v/>
      </c>
      <c r="BK192" s="41" t="str">
        <f t="shared" si="57"/>
        <v/>
      </c>
      <c r="BL192" s="41" t="str">
        <f t="shared" si="58"/>
        <v/>
      </c>
      <c r="BM192" s="41" t="str">
        <f t="shared" si="59"/>
        <v/>
      </c>
      <c r="BN192" s="41" t="str">
        <f t="shared" si="60"/>
        <v/>
      </c>
      <c r="BO192" s="41" t="str">
        <f t="shared" si="61"/>
        <v/>
      </c>
      <c r="BP192" s="41" t="str">
        <f t="shared" si="62"/>
        <v/>
      </c>
      <c r="BQ192" s="11"/>
      <c r="BR192" s="11"/>
    </row>
    <row r="193" spans="1:70" ht="15" customHeight="1" x14ac:dyDescent="0.25">
      <c r="A193" s="957">
        <f t="shared" si="66"/>
        <v>0</v>
      </c>
      <c r="S193" s="4"/>
      <c r="T193" s="1204"/>
      <c r="U193" s="4074" t="str">
        <f t="shared" si="51"/>
        <v/>
      </c>
      <c r="V193" s="137">
        <f t="shared" si="63"/>
        <v>58</v>
      </c>
      <c r="W193" s="2130">
        <f t="shared" si="72"/>
        <v>0.53400000000000003</v>
      </c>
      <c r="X193" s="2130">
        <f t="shared" si="72"/>
        <v>0.71200000000000008</v>
      </c>
      <c r="Y193" s="2130">
        <f t="shared" si="72"/>
        <v>0.76800000000000002</v>
      </c>
      <c r="Z193" s="2130"/>
      <c r="AA193" s="2130"/>
      <c r="AB193" s="2130"/>
      <c r="AC193" s="2130"/>
      <c r="AD193" s="2130"/>
      <c r="AE193" s="2130"/>
      <c r="AF193" s="2130"/>
      <c r="AG193" s="101"/>
      <c r="AH193" s="6"/>
      <c r="AI193" s="11"/>
      <c r="AJ193" s="41">
        <f t="shared" si="65"/>
        <v>0</v>
      </c>
      <c r="AK193" s="41">
        <f>IF(ISERROR(HLOOKUP(AK$134,'Improved Sales Adjustments'!$G$7:$ZP$147,68,FALSE)),0,IF(HLOOKUP(AK$134,'Improved Sales Adjustments'!$G$7:$ZP$147,68,FALSE)="",0,IF($V193=HLOOKUP(AK$134,'Improved Sales Adjustments'!$G$7:$ZP$147,68,FALSE),1,0)))</f>
        <v>0</v>
      </c>
      <c r="AL193" s="41">
        <f>IF(ISERROR(HLOOKUP(AL$134,'Improved Sales Adjustments'!$G$7:$ZP$147,68,FALSE)),0,IF(HLOOKUP(AL$134,'Improved Sales Adjustments'!$G$7:$ZP$147,68,FALSE)="",0,IF($V193=HLOOKUP(AL$134,'Improved Sales Adjustments'!$G$7:$ZP$147,68,FALSE),1,0)))</f>
        <v>0</v>
      </c>
      <c r="AM193" s="41">
        <f>IF(ISERROR(HLOOKUP(AM$134,'Improved Sales Adjustments'!$G$7:$ZP$147,68,FALSE)),0,IF(HLOOKUP(AM$134,'Improved Sales Adjustments'!$G$7:$ZP$147,68,FALSE)="",0,IF($V193=HLOOKUP(AM$134,'Improved Sales Adjustments'!$G$7:$ZP$147,68,FALSE),1,0)))</f>
        <v>0</v>
      </c>
      <c r="AN193" s="41">
        <f>IF(ISERROR(HLOOKUP(AN$134,'Improved Sales Adjustments'!$G$7:$ZP$147,68,FALSE)),0,IF(HLOOKUP(AN$134,'Improved Sales Adjustments'!$G$7:$ZP$147,68,FALSE)="",0,IF($V193=HLOOKUP(AN$134,'Improved Sales Adjustments'!$G$7:$ZP$147,68,FALSE),1,0)))</f>
        <v>0</v>
      </c>
      <c r="AO193" s="41">
        <f>IF(ISERROR(HLOOKUP(AO$134,'Improved Sales Adjustments'!$G$7:$ZP$147,68,FALSE)),0,IF(HLOOKUP(AO$134,'Improved Sales Adjustments'!$G$7:$ZP$147,68,FALSE)="",0,IF($V193=HLOOKUP(AO$134,'Improved Sales Adjustments'!$G$7:$ZP$147,68,FALSE),1,0)))</f>
        <v>0</v>
      </c>
      <c r="AP193" s="41">
        <f>IF(ISERROR(HLOOKUP(AP$134,'Improved Sales Adjustments'!$G$7:$ZP$147,68,FALSE)),0,IF(HLOOKUP(AP$134,'Improved Sales Adjustments'!$G$7:$ZP$147,68,FALSE)="",0,IF($V193=HLOOKUP(AP$134,'Improved Sales Adjustments'!$G$7:$ZP$147,68,FALSE),1,0)))</f>
        <v>0</v>
      </c>
      <c r="AQ193" s="41">
        <f>IF(ISERROR(HLOOKUP(AQ$134,'Improved Sales Adjustments'!$G$7:$ZP$147,68,FALSE)),0,IF(HLOOKUP(AQ$134,'Improved Sales Adjustments'!$G$7:$ZP$147,68,FALSE)="",0,IF($V193=HLOOKUP(AQ$134,'Improved Sales Adjustments'!$G$7:$ZP$147,68,FALSE),1,0)))</f>
        <v>0</v>
      </c>
      <c r="AR193" s="41">
        <f>IF(ISERROR(HLOOKUP(AR$134,'Improved Sales Adjustments'!$G$7:$ZP$147,68,FALSE)),0,IF(HLOOKUP(AR$134,'Improved Sales Adjustments'!$G$7:$ZP$147,68,FALSE)="",0,IF($V193=HLOOKUP(AR$134,'Improved Sales Adjustments'!$G$7:$ZP$147,68,FALSE),1,0)))</f>
        <v>0</v>
      </c>
      <c r="AS193" s="41">
        <f>IF(ISERROR(HLOOKUP(AS$134,'Improved Sales Adjustments'!$G$7:$ZP$147,68,FALSE)),0,IF(HLOOKUP(AS$134,'Improved Sales Adjustments'!$G$7:$ZP$147,68,FALSE)="",0,IF($V193=HLOOKUP(AS$134,'Improved Sales Adjustments'!$G$7:$ZP$147,68,FALSE),1,0)))</f>
        <v>0</v>
      </c>
      <c r="AT193" s="41">
        <f>IF(ISERROR(HLOOKUP(AT$134,'Improved Sales Adjustments'!$G$7:$ZP$147,68,FALSE)),0,IF(HLOOKUP(AT$134,'Improved Sales Adjustments'!$G$7:$ZP$147,68,FALSE)="",0,IF($V193=HLOOKUP(AT$134,'Improved Sales Adjustments'!$G$7:$ZP$147,68,FALSE),1,0)))</f>
        <v>0</v>
      </c>
      <c r="AU193" s="41">
        <f>SUM($AJ193:AJ193)</f>
        <v>0</v>
      </c>
      <c r="AV193" s="41">
        <f>SUM($AJ193:AK193)</f>
        <v>0</v>
      </c>
      <c r="AW193" s="41">
        <f>SUM($AJ193:AL193)</f>
        <v>0</v>
      </c>
      <c r="AX193" s="41">
        <f>SUM($AJ193:AM193)</f>
        <v>0</v>
      </c>
      <c r="AY193" s="41">
        <f>SUM($AJ193:AN193)</f>
        <v>0</v>
      </c>
      <c r="AZ193" s="41">
        <f>SUM($AJ193:AO193)</f>
        <v>0</v>
      </c>
      <c r="BA193" s="41">
        <f>SUM($AJ193:AP193)</f>
        <v>0</v>
      </c>
      <c r="BB193" s="41">
        <f>SUM($AJ193:AQ193)</f>
        <v>0</v>
      </c>
      <c r="BC193" s="41">
        <f>SUM($AJ193:AR193)</f>
        <v>0</v>
      </c>
      <c r="BD193" s="41">
        <f>SUM($AJ193:AS193)</f>
        <v>0</v>
      </c>
      <c r="BE193" s="41">
        <f>SUM($AJ193:AT193)</f>
        <v>0</v>
      </c>
      <c r="BF193" s="41" t="str">
        <f t="shared" si="52"/>
        <v/>
      </c>
      <c r="BG193" s="41" t="str">
        <f t="shared" si="53"/>
        <v/>
      </c>
      <c r="BH193" s="41" t="str">
        <f t="shared" si="54"/>
        <v/>
      </c>
      <c r="BI193" s="41" t="str">
        <f t="shared" si="55"/>
        <v/>
      </c>
      <c r="BJ193" s="41" t="str">
        <f t="shared" si="56"/>
        <v/>
      </c>
      <c r="BK193" s="41" t="str">
        <f t="shared" si="57"/>
        <v/>
      </c>
      <c r="BL193" s="41" t="str">
        <f t="shared" si="58"/>
        <v/>
      </c>
      <c r="BM193" s="41" t="str">
        <f t="shared" si="59"/>
        <v/>
      </c>
      <c r="BN193" s="41" t="str">
        <f t="shared" si="60"/>
        <v/>
      </c>
      <c r="BO193" s="41" t="str">
        <f t="shared" si="61"/>
        <v/>
      </c>
      <c r="BP193" s="41" t="str">
        <f t="shared" si="62"/>
        <v/>
      </c>
      <c r="BQ193" s="11"/>
      <c r="BR193" s="11"/>
    </row>
    <row r="194" spans="1:70" ht="15" customHeight="1" x14ac:dyDescent="0.25">
      <c r="A194" s="957">
        <f t="shared" si="66"/>
        <v>0</v>
      </c>
      <c r="S194" s="4"/>
      <c r="T194" s="1204"/>
      <c r="U194" s="4074" t="str">
        <f t="shared" si="51"/>
        <v/>
      </c>
      <c r="V194" s="137">
        <f t="shared" si="63"/>
        <v>59</v>
      </c>
      <c r="W194" s="2130">
        <f t="shared" si="72"/>
        <v>0.55200000000000005</v>
      </c>
      <c r="X194" s="2130">
        <f t="shared" si="72"/>
        <v>0.72600000000000009</v>
      </c>
      <c r="Y194" s="2130">
        <f t="shared" si="72"/>
        <v>0.77400000000000002</v>
      </c>
      <c r="Z194" s="2130"/>
      <c r="AA194" s="2130"/>
      <c r="AB194" s="2130"/>
      <c r="AC194" s="2130"/>
      <c r="AD194" s="2130"/>
      <c r="AE194" s="2130"/>
      <c r="AF194" s="2130"/>
      <c r="AG194" s="101"/>
      <c r="AH194" s="6"/>
      <c r="AI194" s="11"/>
      <c r="AJ194" s="41">
        <f t="shared" si="65"/>
        <v>0</v>
      </c>
      <c r="AK194" s="41">
        <f>IF(ISERROR(HLOOKUP(AK$134,'Improved Sales Adjustments'!$G$7:$ZP$147,68,FALSE)),0,IF(HLOOKUP(AK$134,'Improved Sales Adjustments'!$G$7:$ZP$147,68,FALSE)="",0,IF($V194=HLOOKUP(AK$134,'Improved Sales Adjustments'!$G$7:$ZP$147,68,FALSE),1,0)))</f>
        <v>0</v>
      </c>
      <c r="AL194" s="41">
        <f>IF(ISERROR(HLOOKUP(AL$134,'Improved Sales Adjustments'!$G$7:$ZP$147,68,FALSE)),0,IF(HLOOKUP(AL$134,'Improved Sales Adjustments'!$G$7:$ZP$147,68,FALSE)="",0,IF($V194=HLOOKUP(AL$134,'Improved Sales Adjustments'!$G$7:$ZP$147,68,FALSE),1,0)))</f>
        <v>0</v>
      </c>
      <c r="AM194" s="41">
        <f>IF(ISERROR(HLOOKUP(AM$134,'Improved Sales Adjustments'!$G$7:$ZP$147,68,FALSE)),0,IF(HLOOKUP(AM$134,'Improved Sales Adjustments'!$G$7:$ZP$147,68,FALSE)="",0,IF($V194=HLOOKUP(AM$134,'Improved Sales Adjustments'!$G$7:$ZP$147,68,FALSE),1,0)))</f>
        <v>0</v>
      </c>
      <c r="AN194" s="41">
        <f>IF(ISERROR(HLOOKUP(AN$134,'Improved Sales Adjustments'!$G$7:$ZP$147,68,FALSE)),0,IF(HLOOKUP(AN$134,'Improved Sales Adjustments'!$G$7:$ZP$147,68,FALSE)="",0,IF($V194=HLOOKUP(AN$134,'Improved Sales Adjustments'!$G$7:$ZP$147,68,FALSE),1,0)))</f>
        <v>0</v>
      </c>
      <c r="AO194" s="41">
        <f>IF(ISERROR(HLOOKUP(AO$134,'Improved Sales Adjustments'!$G$7:$ZP$147,68,FALSE)),0,IF(HLOOKUP(AO$134,'Improved Sales Adjustments'!$G$7:$ZP$147,68,FALSE)="",0,IF($V194=HLOOKUP(AO$134,'Improved Sales Adjustments'!$G$7:$ZP$147,68,FALSE),1,0)))</f>
        <v>0</v>
      </c>
      <c r="AP194" s="41">
        <f>IF(ISERROR(HLOOKUP(AP$134,'Improved Sales Adjustments'!$G$7:$ZP$147,68,FALSE)),0,IF(HLOOKUP(AP$134,'Improved Sales Adjustments'!$G$7:$ZP$147,68,FALSE)="",0,IF($V194=HLOOKUP(AP$134,'Improved Sales Adjustments'!$G$7:$ZP$147,68,FALSE),1,0)))</f>
        <v>0</v>
      </c>
      <c r="AQ194" s="41">
        <f>IF(ISERROR(HLOOKUP(AQ$134,'Improved Sales Adjustments'!$G$7:$ZP$147,68,FALSE)),0,IF(HLOOKUP(AQ$134,'Improved Sales Adjustments'!$G$7:$ZP$147,68,FALSE)="",0,IF($V194=HLOOKUP(AQ$134,'Improved Sales Adjustments'!$G$7:$ZP$147,68,FALSE),1,0)))</f>
        <v>0</v>
      </c>
      <c r="AR194" s="41">
        <f>IF(ISERROR(HLOOKUP(AR$134,'Improved Sales Adjustments'!$G$7:$ZP$147,68,FALSE)),0,IF(HLOOKUP(AR$134,'Improved Sales Adjustments'!$G$7:$ZP$147,68,FALSE)="",0,IF($V194=HLOOKUP(AR$134,'Improved Sales Adjustments'!$G$7:$ZP$147,68,FALSE),1,0)))</f>
        <v>0</v>
      </c>
      <c r="AS194" s="41">
        <f>IF(ISERROR(HLOOKUP(AS$134,'Improved Sales Adjustments'!$G$7:$ZP$147,68,FALSE)),0,IF(HLOOKUP(AS$134,'Improved Sales Adjustments'!$G$7:$ZP$147,68,FALSE)="",0,IF($V194=HLOOKUP(AS$134,'Improved Sales Adjustments'!$G$7:$ZP$147,68,FALSE),1,0)))</f>
        <v>0</v>
      </c>
      <c r="AT194" s="41">
        <f>IF(ISERROR(HLOOKUP(AT$134,'Improved Sales Adjustments'!$G$7:$ZP$147,68,FALSE)),0,IF(HLOOKUP(AT$134,'Improved Sales Adjustments'!$G$7:$ZP$147,68,FALSE)="",0,IF($V194=HLOOKUP(AT$134,'Improved Sales Adjustments'!$G$7:$ZP$147,68,FALSE),1,0)))</f>
        <v>0</v>
      </c>
      <c r="AU194" s="41">
        <f>SUM($AJ194:AJ194)</f>
        <v>0</v>
      </c>
      <c r="AV194" s="41">
        <f>SUM($AJ194:AK194)</f>
        <v>0</v>
      </c>
      <c r="AW194" s="41">
        <f>SUM($AJ194:AL194)</f>
        <v>0</v>
      </c>
      <c r="AX194" s="41">
        <f>SUM($AJ194:AM194)</f>
        <v>0</v>
      </c>
      <c r="AY194" s="41">
        <f>SUM($AJ194:AN194)</f>
        <v>0</v>
      </c>
      <c r="AZ194" s="41">
        <f>SUM($AJ194:AO194)</f>
        <v>0</v>
      </c>
      <c r="BA194" s="41">
        <f>SUM($AJ194:AP194)</f>
        <v>0</v>
      </c>
      <c r="BB194" s="41">
        <f>SUM($AJ194:AQ194)</f>
        <v>0</v>
      </c>
      <c r="BC194" s="41">
        <f>SUM($AJ194:AR194)</f>
        <v>0</v>
      </c>
      <c r="BD194" s="41">
        <f>SUM($AJ194:AS194)</f>
        <v>0</v>
      </c>
      <c r="BE194" s="41">
        <f>SUM($AJ194:AT194)</f>
        <v>0</v>
      </c>
      <c r="BF194" s="41" t="str">
        <f t="shared" si="52"/>
        <v/>
      </c>
      <c r="BG194" s="41" t="str">
        <f t="shared" si="53"/>
        <v/>
      </c>
      <c r="BH194" s="41" t="str">
        <f t="shared" si="54"/>
        <v/>
      </c>
      <c r="BI194" s="41" t="str">
        <f t="shared" si="55"/>
        <v/>
      </c>
      <c r="BJ194" s="41" t="str">
        <f t="shared" si="56"/>
        <v/>
      </c>
      <c r="BK194" s="41" t="str">
        <f t="shared" si="57"/>
        <v/>
      </c>
      <c r="BL194" s="41" t="str">
        <f t="shared" si="58"/>
        <v/>
      </c>
      <c r="BM194" s="41" t="str">
        <f t="shared" si="59"/>
        <v/>
      </c>
      <c r="BN194" s="41" t="str">
        <f t="shared" si="60"/>
        <v/>
      </c>
      <c r="BO194" s="41" t="str">
        <f t="shared" si="61"/>
        <v/>
      </c>
      <c r="BP194" s="41" t="str">
        <f t="shared" si="62"/>
        <v/>
      </c>
      <c r="BQ194" s="11"/>
      <c r="BR194" s="11"/>
    </row>
    <row r="195" spans="1:70" ht="15" customHeight="1" x14ac:dyDescent="0.25">
      <c r="A195" s="957">
        <f t="shared" si="66"/>
        <v>0</v>
      </c>
      <c r="S195" s="4"/>
      <c r="T195" s="1204"/>
      <c r="U195" s="4074" t="str">
        <f t="shared" si="51"/>
        <v/>
      </c>
      <c r="V195" s="137">
        <f t="shared" si="63"/>
        <v>60</v>
      </c>
      <c r="W195" s="2129">
        <v>0.56999999999999995</v>
      </c>
      <c r="X195" s="2130">
        <v>0.74</v>
      </c>
      <c r="Y195" s="2130">
        <v>0.78</v>
      </c>
      <c r="Z195" s="2130"/>
      <c r="AA195" s="2130"/>
      <c r="AB195" s="2130"/>
      <c r="AC195" s="2130"/>
      <c r="AD195" s="2130"/>
      <c r="AE195" s="2130"/>
      <c r="AF195" s="2130"/>
      <c r="AG195" s="101"/>
      <c r="AH195" s="6"/>
      <c r="AI195" s="11"/>
      <c r="AJ195" s="41">
        <f t="shared" si="65"/>
        <v>0</v>
      </c>
      <c r="AK195" s="41">
        <f>IF(ISERROR(HLOOKUP(AK$134,'Improved Sales Adjustments'!$G$7:$ZP$147,68,FALSE)),0,IF(HLOOKUP(AK$134,'Improved Sales Adjustments'!$G$7:$ZP$147,68,FALSE)="",0,IF($V195=HLOOKUP(AK$134,'Improved Sales Adjustments'!$G$7:$ZP$147,68,FALSE),1,0)))</f>
        <v>0</v>
      </c>
      <c r="AL195" s="41">
        <f>IF(ISERROR(HLOOKUP(AL$134,'Improved Sales Adjustments'!$G$7:$ZP$147,68,FALSE)),0,IF(HLOOKUP(AL$134,'Improved Sales Adjustments'!$G$7:$ZP$147,68,FALSE)="",0,IF($V195=HLOOKUP(AL$134,'Improved Sales Adjustments'!$G$7:$ZP$147,68,FALSE),1,0)))</f>
        <v>0</v>
      </c>
      <c r="AM195" s="41">
        <f>IF(ISERROR(HLOOKUP(AM$134,'Improved Sales Adjustments'!$G$7:$ZP$147,68,FALSE)),0,IF(HLOOKUP(AM$134,'Improved Sales Adjustments'!$G$7:$ZP$147,68,FALSE)="",0,IF($V195=HLOOKUP(AM$134,'Improved Sales Adjustments'!$G$7:$ZP$147,68,FALSE),1,0)))</f>
        <v>0</v>
      </c>
      <c r="AN195" s="41">
        <f>IF(ISERROR(HLOOKUP(AN$134,'Improved Sales Adjustments'!$G$7:$ZP$147,68,FALSE)),0,IF(HLOOKUP(AN$134,'Improved Sales Adjustments'!$G$7:$ZP$147,68,FALSE)="",0,IF($V195=HLOOKUP(AN$134,'Improved Sales Adjustments'!$G$7:$ZP$147,68,FALSE),1,0)))</f>
        <v>0</v>
      </c>
      <c r="AO195" s="41">
        <f>IF(ISERROR(HLOOKUP(AO$134,'Improved Sales Adjustments'!$G$7:$ZP$147,68,FALSE)),0,IF(HLOOKUP(AO$134,'Improved Sales Adjustments'!$G$7:$ZP$147,68,FALSE)="",0,IF($V195=HLOOKUP(AO$134,'Improved Sales Adjustments'!$G$7:$ZP$147,68,FALSE),1,0)))</f>
        <v>0</v>
      </c>
      <c r="AP195" s="41">
        <f>IF(ISERROR(HLOOKUP(AP$134,'Improved Sales Adjustments'!$G$7:$ZP$147,68,FALSE)),0,IF(HLOOKUP(AP$134,'Improved Sales Adjustments'!$G$7:$ZP$147,68,FALSE)="",0,IF($V195=HLOOKUP(AP$134,'Improved Sales Adjustments'!$G$7:$ZP$147,68,FALSE),1,0)))</f>
        <v>0</v>
      </c>
      <c r="AQ195" s="41">
        <f>IF(ISERROR(HLOOKUP(AQ$134,'Improved Sales Adjustments'!$G$7:$ZP$147,68,FALSE)),0,IF(HLOOKUP(AQ$134,'Improved Sales Adjustments'!$G$7:$ZP$147,68,FALSE)="",0,IF($V195=HLOOKUP(AQ$134,'Improved Sales Adjustments'!$G$7:$ZP$147,68,FALSE),1,0)))</f>
        <v>0</v>
      </c>
      <c r="AR195" s="41">
        <f>IF(ISERROR(HLOOKUP(AR$134,'Improved Sales Adjustments'!$G$7:$ZP$147,68,FALSE)),0,IF(HLOOKUP(AR$134,'Improved Sales Adjustments'!$G$7:$ZP$147,68,FALSE)="",0,IF($V195=HLOOKUP(AR$134,'Improved Sales Adjustments'!$G$7:$ZP$147,68,FALSE),1,0)))</f>
        <v>0</v>
      </c>
      <c r="AS195" s="41">
        <f>IF(ISERROR(HLOOKUP(AS$134,'Improved Sales Adjustments'!$G$7:$ZP$147,68,FALSE)),0,IF(HLOOKUP(AS$134,'Improved Sales Adjustments'!$G$7:$ZP$147,68,FALSE)="",0,IF($V195=HLOOKUP(AS$134,'Improved Sales Adjustments'!$G$7:$ZP$147,68,FALSE),1,0)))</f>
        <v>0</v>
      </c>
      <c r="AT195" s="41">
        <f>IF(ISERROR(HLOOKUP(AT$134,'Improved Sales Adjustments'!$G$7:$ZP$147,68,FALSE)),0,IF(HLOOKUP(AT$134,'Improved Sales Adjustments'!$G$7:$ZP$147,68,FALSE)="",0,IF($V195=HLOOKUP(AT$134,'Improved Sales Adjustments'!$G$7:$ZP$147,68,FALSE),1,0)))</f>
        <v>0</v>
      </c>
      <c r="AU195" s="41">
        <f>SUM($AJ195:AJ195)</f>
        <v>0</v>
      </c>
      <c r="AV195" s="41">
        <f>SUM($AJ195:AK195)</f>
        <v>0</v>
      </c>
      <c r="AW195" s="41">
        <f>SUM($AJ195:AL195)</f>
        <v>0</v>
      </c>
      <c r="AX195" s="41">
        <f>SUM($AJ195:AM195)</f>
        <v>0</v>
      </c>
      <c r="AY195" s="41">
        <f>SUM($AJ195:AN195)</f>
        <v>0</v>
      </c>
      <c r="AZ195" s="41">
        <f>SUM($AJ195:AO195)</f>
        <v>0</v>
      </c>
      <c r="BA195" s="41">
        <f>SUM($AJ195:AP195)</f>
        <v>0</v>
      </c>
      <c r="BB195" s="41">
        <f>SUM($AJ195:AQ195)</f>
        <v>0</v>
      </c>
      <c r="BC195" s="41">
        <f>SUM($AJ195:AR195)</f>
        <v>0</v>
      </c>
      <c r="BD195" s="41">
        <f>SUM($AJ195:AS195)</f>
        <v>0</v>
      </c>
      <c r="BE195" s="41">
        <f>SUM($AJ195:AT195)</f>
        <v>0</v>
      </c>
      <c r="BF195" s="41" t="str">
        <f t="shared" si="52"/>
        <v/>
      </c>
      <c r="BG195" s="41" t="str">
        <f t="shared" si="53"/>
        <v/>
      </c>
      <c r="BH195" s="41" t="str">
        <f t="shared" si="54"/>
        <v/>
      </c>
      <c r="BI195" s="41" t="str">
        <f t="shared" si="55"/>
        <v/>
      </c>
      <c r="BJ195" s="41" t="str">
        <f t="shared" si="56"/>
        <v/>
      </c>
      <c r="BK195" s="41" t="str">
        <f t="shared" si="57"/>
        <v/>
      </c>
      <c r="BL195" s="41" t="str">
        <f t="shared" si="58"/>
        <v/>
      </c>
      <c r="BM195" s="41" t="str">
        <f t="shared" si="59"/>
        <v/>
      </c>
      <c r="BN195" s="41" t="str">
        <f t="shared" si="60"/>
        <v/>
      </c>
      <c r="BO195" s="41" t="str">
        <f t="shared" si="61"/>
        <v/>
      </c>
      <c r="BP195" s="41" t="str">
        <f t="shared" si="62"/>
        <v/>
      </c>
      <c r="BQ195" s="11"/>
      <c r="BR195" s="11"/>
    </row>
    <row r="196" spans="1:70" ht="15" customHeight="1" x14ac:dyDescent="0.25">
      <c r="A196" s="957">
        <f t="shared" si="66"/>
        <v>0</v>
      </c>
      <c r="S196" s="4"/>
      <c r="T196" s="1204"/>
      <c r="U196" s="4074" t="str">
        <f t="shared" si="51"/>
        <v/>
      </c>
      <c r="V196" s="137">
        <f t="shared" si="63"/>
        <v>61</v>
      </c>
      <c r="W196" s="2130">
        <f>((W$200-W$195)/5)+W195</f>
        <v>0.58599999999999997</v>
      </c>
      <c r="X196" s="2130">
        <f t="shared" ref="X196:Y199" si="73">((X$200-X$195)/5)+X195</f>
        <v>0.748</v>
      </c>
      <c r="Y196" s="2130">
        <f t="shared" si="73"/>
        <v>0.78400000000000003</v>
      </c>
      <c r="Z196" s="2130"/>
      <c r="AA196" s="2130"/>
      <c r="AB196" s="2130"/>
      <c r="AC196" s="2130"/>
      <c r="AD196" s="2130"/>
      <c r="AE196" s="2130"/>
      <c r="AF196" s="2130"/>
      <c r="AG196" s="101"/>
      <c r="AH196" s="6"/>
      <c r="AI196" s="11"/>
      <c r="AJ196" s="41">
        <f t="shared" si="65"/>
        <v>0</v>
      </c>
      <c r="AK196" s="41">
        <f>IF(ISERROR(HLOOKUP(AK$134,'Improved Sales Adjustments'!$G$7:$ZP$147,68,FALSE)),0,IF(HLOOKUP(AK$134,'Improved Sales Adjustments'!$G$7:$ZP$147,68,FALSE)="",0,IF($V196=HLOOKUP(AK$134,'Improved Sales Adjustments'!$G$7:$ZP$147,68,FALSE),1,0)))</f>
        <v>0</v>
      </c>
      <c r="AL196" s="41">
        <f>IF(ISERROR(HLOOKUP(AL$134,'Improved Sales Adjustments'!$G$7:$ZP$147,68,FALSE)),0,IF(HLOOKUP(AL$134,'Improved Sales Adjustments'!$G$7:$ZP$147,68,FALSE)="",0,IF($V196=HLOOKUP(AL$134,'Improved Sales Adjustments'!$G$7:$ZP$147,68,FALSE),1,0)))</f>
        <v>0</v>
      </c>
      <c r="AM196" s="41">
        <f>IF(ISERROR(HLOOKUP(AM$134,'Improved Sales Adjustments'!$G$7:$ZP$147,68,FALSE)),0,IF(HLOOKUP(AM$134,'Improved Sales Adjustments'!$G$7:$ZP$147,68,FALSE)="",0,IF($V196=HLOOKUP(AM$134,'Improved Sales Adjustments'!$G$7:$ZP$147,68,FALSE),1,0)))</f>
        <v>0</v>
      </c>
      <c r="AN196" s="41">
        <f>IF(ISERROR(HLOOKUP(AN$134,'Improved Sales Adjustments'!$G$7:$ZP$147,68,FALSE)),0,IF(HLOOKUP(AN$134,'Improved Sales Adjustments'!$G$7:$ZP$147,68,FALSE)="",0,IF($V196=HLOOKUP(AN$134,'Improved Sales Adjustments'!$G$7:$ZP$147,68,FALSE),1,0)))</f>
        <v>0</v>
      </c>
      <c r="AO196" s="41">
        <f>IF(ISERROR(HLOOKUP(AO$134,'Improved Sales Adjustments'!$G$7:$ZP$147,68,FALSE)),0,IF(HLOOKUP(AO$134,'Improved Sales Adjustments'!$G$7:$ZP$147,68,FALSE)="",0,IF($V196=HLOOKUP(AO$134,'Improved Sales Adjustments'!$G$7:$ZP$147,68,FALSE),1,0)))</f>
        <v>0</v>
      </c>
      <c r="AP196" s="41">
        <f>IF(ISERROR(HLOOKUP(AP$134,'Improved Sales Adjustments'!$G$7:$ZP$147,68,FALSE)),0,IF(HLOOKUP(AP$134,'Improved Sales Adjustments'!$G$7:$ZP$147,68,FALSE)="",0,IF($V196=HLOOKUP(AP$134,'Improved Sales Adjustments'!$G$7:$ZP$147,68,FALSE),1,0)))</f>
        <v>0</v>
      </c>
      <c r="AQ196" s="41">
        <f>IF(ISERROR(HLOOKUP(AQ$134,'Improved Sales Adjustments'!$G$7:$ZP$147,68,FALSE)),0,IF(HLOOKUP(AQ$134,'Improved Sales Adjustments'!$G$7:$ZP$147,68,FALSE)="",0,IF($V196=HLOOKUP(AQ$134,'Improved Sales Adjustments'!$G$7:$ZP$147,68,FALSE),1,0)))</f>
        <v>0</v>
      </c>
      <c r="AR196" s="41">
        <f>IF(ISERROR(HLOOKUP(AR$134,'Improved Sales Adjustments'!$G$7:$ZP$147,68,FALSE)),0,IF(HLOOKUP(AR$134,'Improved Sales Adjustments'!$G$7:$ZP$147,68,FALSE)="",0,IF($V196=HLOOKUP(AR$134,'Improved Sales Adjustments'!$G$7:$ZP$147,68,FALSE),1,0)))</f>
        <v>0</v>
      </c>
      <c r="AS196" s="41">
        <f>IF(ISERROR(HLOOKUP(AS$134,'Improved Sales Adjustments'!$G$7:$ZP$147,68,FALSE)),0,IF(HLOOKUP(AS$134,'Improved Sales Adjustments'!$G$7:$ZP$147,68,FALSE)="",0,IF($V196=HLOOKUP(AS$134,'Improved Sales Adjustments'!$G$7:$ZP$147,68,FALSE),1,0)))</f>
        <v>0</v>
      </c>
      <c r="AT196" s="41">
        <f>IF(ISERROR(HLOOKUP(AT$134,'Improved Sales Adjustments'!$G$7:$ZP$147,68,FALSE)),0,IF(HLOOKUP(AT$134,'Improved Sales Adjustments'!$G$7:$ZP$147,68,FALSE)="",0,IF($V196=HLOOKUP(AT$134,'Improved Sales Adjustments'!$G$7:$ZP$147,68,FALSE),1,0)))</f>
        <v>0</v>
      </c>
      <c r="AU196" s="41">
        <f>SUM($AJ196:AJ196)</f>
        <v>0</v>
      </c>
      <c r="AV196" s="41">
        <f>SUM($AJ196:AK196)</f>
        <v>0</v>
      </c>
      <c r="AW196" s="41">
        <f>SUM($AJ196:AL196)</f>
        <v>0</v>
      </c>
      <c r="AX196" s="41">
        <f>SUM($AJ196:AM196)</f>
        <v>0</v>
      </c>
      <c r="AY196" s="41">
        <f>SUM($AJ196:AN196)</f>
        <v>0</v>
      </c>
      <c r="AZ196" s="41">
        <f>SUM($AJ196:AO196)</f>
        <v>0</v>
      </c>
      <c r="BA196" s="41">
        <f>SUM($AJ196:AP196)</f>
        <v>0</v>
      </c>
      <c r="BB196" s="41">
        <f>SUM($AJ196:AQ196)</f>
        <v>0</v>
      </c>
      <c r="BC196" s="41">
        <f>SUM($AJ196:AR196)</f>
        <v>0</v>
      </c>
      <c r="BD196" s="41">
        <f>SUM($AJ196:AS196)</f>
        <v>0</v>
      </c>
      <c r="BE196" s="41">
        <f>SUM($AJ196:AT196)</f>
        <v>0</v>
      </c>
      <c r="BF196" s="41" t="str">
        <f t="shared" si="52"/>
        <v/>
      </c>
      <c r="BG196" s="41" t="str">
        <f t="shared" si="53"/>
        <v/>
      </c>
      <c r="BH196" s="41" t="str">
        <f t="shared" si="54"/>
        <v/>
      </c>
      <c r="BI196" s="41" t="str">
        <f t="shared" si="55"/>
        <v/>
      </c>
      <c r="BJ196" s="41" t="str">
        <f t="shared" si="56"/>
        <v/>
      </c>
      <c r="BK196" s="41" t="str">
        <f t="shared" si="57"/>
        <v/>
      </c>
      <c r="BL196" s="41" t="str">
        <f t="shared" si="58"/>
        <v/>
      </c>
      <c r="BM196" s="41" t="str">
        <f t="shared" si="59"/>
        <v/>
      </c>
      <c r="BN196" s="41" t="str">
        <f t="shared" si="60"/>
        <v/>
      </c>
      <c r="BO196" s="41" t="str">
        <f t="shared" si="61"/>
        <v/>
      </c>
      <c r="BP196" s="41" t="str">
        <f t="shared" si="62"/>
        <v/>
      </c>
      <c r="BQ196" s="11"/>
      <c r="BR196" s="11"/>
    </row>
    <row r="197" spans="1:70" ht="15" customHeight="1" x14ac:dyDescent="0.25">
      <c r="A197" s="957">
        <f t="shared" si="66"/>
        <v>0</v>
      </c>
      <c r="S197" s="4"/>
      <c r="T197" s="1204"/>
      <c r="U197" s="4074" t="str">
        <f t="shared" si="51"/>
        <v/>
      </c>
      <c r="V197" s="137">
        <f t="shared" si="63"/>
        <v>62</v>
      </c>
      <c r="W197" s="2130">
        <f>((W$200-W$195)/5)+W196</f>
        <v>0.60199999999999998</v>
      </c>
      <c r="X197" s="2130">
        <f t="shared" si="73"/>
        <v>0.75600000000000001</v>
      </c>
      <c r="Y197" s="2130">
        <f t="shared" si="73"/>
        <v>0.78800000000000003</v>
      </c>
      <c r="Z197" s="2130"/>
      <c r="AA197" s="2130"/>
      <c r="AB197" s="2130"/>
      <c r="AC197" s="2130"/>
      <c r="AD197" s="2130"/>
      <c r="AE197" s="2130"/>
      <c r="AF197" s="2130"/>
      <c r="AG197" s="101"/>
      <c r="AH197" s="6"/>
      <c r="AI197" s="11"/>
      <c r="AJ197" s="41">
        <f t="shared" si="65"/>
        <v>0</v>
      </c>
      <c r="AK197" s="41">
        <f>IF(ISERROR(HLOOKUP(AK$134,'Improved Sales Adjustments'!$G$7:$ZP$147,68,FALSE)),0,IF(HLOOKUP(AK$134,'Improved Sales Adjustments'!$G$7:$ZP$147,68,FALSE)="",0,IF($V197=HLOOKUP(AK$134,'Improved Sales Adjustments'!$G$7:$ZP$147,68,FALSE),1,0)))</f>
        <v>0</v>
      </c>
      <c r="AL197" s="41">
        <f>IF(ISERROR(HLOOKUP(AL$134,'Improved Sales Adjustments'!$G$7:$ZP$147,68,FALSE)),0,IF(HLOOKUP(AL$134,'Improved Sales Adjustments'!$G$7:$ZP$147,68,FALSE)="",0,IF($V197=HLOOKUP(AL$134,'Improved Sales Adjustments'!$G$7:$ZP$147,68,FALSE),1,0)))</f>
        <v>0</v>
      </c>
      <c r="AM197" s="41">
        <f>IF(ISERROR(HLOOKUP(AM$134,'Improved Sales Adjustments'!$G$7:$ZP$147,68,FALSE)),0,IF(HLOOKUP(AM$134,'Improved Sales Adjustments'!$G$7:$ZP$147,68,FALSE)="",0,IF($V197=HLOOKUP(AM$134,'Improved Sales Adjustments'!$G$7:$ZP$147,68,FALSE),1,0)))</f>
        <v>0</v>
      </c>
      <c r="AN197" s="41">
        <f>IF(ISERROR(HLOOKUP(AN$134,'Improved Sales Adjustments'!$G$7:$ZP$147,68,FALSE)),0,IF(HLOOKUP(AN$134,'Improved Sales Adjustments'!$G$7:$ZP$147,68,FALSE)="",0,IF($V197=HLOOKUP(AN$134,'Improved Sales Adjustments'!$G$7:$ZP$147,68,FALSE),1,0)))</f>
        <v>0</v>
      </c>
      <c r="AO197" s="41">
        <f>IF(ISERROR(HLOOKUP(AO$134,'Improved Sales Adjustments'!$G$7:$ZP$147,68,FALSE)),0,IF(HLOOKUP(AO$134,'Improved Sales Adjustments'!$G$7:$ZP$147,68,FALSE)="",0,IF($V197=HLOOKUP(AO$134,'Improved Sales Adjustments'!$G$7:$ZP$147,68,FALSE),1,0)))</f>
        <v>0</v>
      </c>
      <c r="AP197" s="41">
        <f>IF(ISERROR(HLOOKUP(AP$134,'Improved Sales Adjustments'!$G$7:$ZP$147,68,FALSE)),0,IF(HLOOKUP(AP$134,'Improved Sales Adjustments'!$G$7:$ZP$147,68,FALSE)="",0,IF($V197=HLOOKUP(AP$134,'Improved Sales Adjustments'!$G$7:$ZP$147,68,FALSE),1,0)))</f>
        <v>0</v>
      </c>
      <c r="AQ197" s="41">
        <f>IF(ISERROR(HLOOKUP(AQ$134,'Improved Sales Adjustments'!$G$7:$ZP$147,68,FALSE)),0,IF(HLOOKUP(AQ$134,'Improved Sales Adjustments'!$G$7:$ZP$147,68,FALSE)="",0,IF($V197=HLOOKUP(AQ$134,'Improved Sales Adjustments'!$G$7:$ZP$147,68,FALSE),1,0)))</f>
        <v>0</v>
      </c>
      <c r="AR197" s="41">
        <f>IF(ISERROR(HLOOKUP(AR$134,'Improved Sales Adjustments'!$G$7:$ZP$147,68,FALSE)),0,IF(HLOOKUP(AR$134,'Improved Sales Adjustments'!$G$7:$ZP$147,68,FALSE)="",0,IF($V197=HLOOKUP(AR$134,'Improved Sales Adjustments'!$G$7:$ZP$147,68,FALSE),1,0)))</f>
        <v>0</v>
      </c>
      <c r="AS197" s="41">
        <f>IF(ISERROR(HLOOKUP(AS$134,'Improved Sales Adjustments'!$G$7:$ZP$147,68,FALSE)),0,IF(HLOOKUP(AS$134,'Improved Sales Adjustments'!$G$7:$ZP$147,68,FALSE)="",0,IF($V197=HLOOKUP(AS$134,'Improved Sales Adjustments'!$G$7:$ZP$147,68,FALSE),1,0)))</f>
        <v>0</v>
      </c>
      <c r="AT197" s="41">
        <f>IF(ISERROR(HLOOKUP(AT$134,'Improved Sales Adjustments'!$G$7:$ZP$147,68,FALSE)),0,IF(HLOOKUP(AT$134,'Improved Sales Adjustments'!$G$7:$ZP$147,68,FALSE)="",0,IF($V197=HLOOKUP(AT$134,'Improved Sales Adjustments'!$G$7:$ZP$147,68,FALSE),1,0)))</f>
        <v>0</v>
      </c>
      <c r="AU197" s="41">
        <f>SUM($AJ197:AJ197)</f>
        <v>0</v>
      </c>
      <c r="AV197" s="41">
        <f>SUM($AJ197:AK197)</f>
        <v>0</v>
      </c>
      <c r="AW197" s="41">
        <f>SUM($AJ197:AL197)</f>
        <v>0</v>
      </c>
      <c r="AX197" s="41">
        <f>SUM($AJ197:AM197)</f>
        <v>0</v>
      </c>
      <c r="AY197" s="41">
        <f>SUM($AJ197:AN197)</f>
        <v>0</v>
      </c>
      <c r="AZ197" s="41">
        <f>SUM($AJ197:AO197)</f>
        <v>0</v>
      </c>
      <c r="BA197" s="41">
        <f>SUM($AJ197:AP197)</f>
        <v>0</v>
      </c>
      <c r="BB197" s="41">
        <f>SUM($AJ197:AQ197)</f>
        <v>0</v>
      </c>
      <c r="BC197" s="41">
        <f>SUM($AJ197:AR197)</f>
        <v>0</v>
      </c>
      <c r="BD197" s="41">
        <f>SUM($AJ197:AS197)</f>
        <v>0</v>
      </c>
      <c r="BE197" s="41">
        <f>SUM($AJ197:AT197)</f>
        <v>0</v>
      </c>
      <c r="BF197" s="41" t="str">
        <f t="shared" si="52"/>
        <v/>
      </c>
      <c r="BG197" s="41" t="str">
        <f t="shared" si="53"/>
        <v/>
      </c>
      <c r="BH197" s="41" t="str">
        <f t="shared" si="54"/>
        <v/>
      </c>
      <c r="BI197" s="41" t="str">
        <f t="shared" si="55"/>
        <v/>
      </c>
      <c r="BJ197" s="41" t="str">
        <f t="shared" si="56"/>
        <v/>
      </c>
      <c r="BK197" s="41" t="str">
        <f t="shared" si="57"/>
        <v/>
      </c>
      <c r="BL197" s="41" t="str">
        <f t="shared" si="58"/>
        <v/>
      </c>
      <c r="BM197" s="41" t="str">
        <f t="shared" si="59"/>
        <v/>
      </c>
      <c r="BN197" s="41" t="str">
        <f t="shared" si="60"/>
        <v/>
      </c>
      <c r="BO197" s="41" t="str">
        <f t="shared" si="61"/>
        <v/>
      </c>
      <c r="BP197" s="41" t="str">
        <f t="shared" si="62"/>
        <v/>
      </c>
      <c r="BQ197" s="11"/>
      <c r="BR197" s="11"/>
    </row>
    <row r="198" spans="1:70" ht="15" customHeight="1" x14ac:dyDescent="0.25">
      <c r="A198" s="957">
        <f t="shared" si="66"/>
        <v>0</v>
      </c>
      <c r="S198" s="4"/>
      <c r="T198" s="1204"/>
      <c r="U198" s="4074" t="str">
        <f t="shared" si="51"/>
        <v/>
      </c>
      <c r="V198" s="137">
        <f t="shared" si="63"/>
        <v>63</v>
      </c>
      <c r="W198" s="2130">
        <f>((W$200-W$195)/5)+W197</f>
        <v>0.61799999999999999</v>
      </c>
      <c r="X198" s="2130">
        <f t="shared" si="73"/>
        <v>0.76400000000000001</v>
      </c>
      <c r="Y198" s="2130">
        <f t="shared" si="73"/>
        <v>0.79200000000000004</v>
      </c>
      <c r="Z198" s="2130"/>
      <c r="AA198" s="2130"/>
      <c r="AB198" s="2130"/>
      <c r="AC198" s="2130"/>
      <c r="AD198" s="2130"/>
      <c r="AE198" s="2130"/>
      <c r="AF198" s="2130"/>
      <c r="AG198" s="101"/>
      <c r="AH198" s="6"/>
      <c r="AI198" s="11"/>
      <c r="AJ198" s="41">
        <f t="shared" si="65"/>
        <v>0</v>
      </c>
      <c r="AK198" s="41">
        <f>IF(ISERROR(HLOOKUP(AK$134,'Improved Sales Adjustments'!$G$7:$ZP$147,68,FALSE)),0,IF(HLOOKUP(AK$134,'Improved Sales Adjustments'!$G$7:$ZP$147,68,FALSE)="",0,IF($V198=HLOOKUP(AK$134,'Improved Sales Adjustments'!$G$7:$ZP$147,68,FALSE),1,0)))</f>
        <v>0</v>
      </c>
      <c r="AL198" s="41">
        <f>IF(ISERROR(HLOOKUP(AL$134,'Improved Sales Adjustments'!$G$7:$ZP$147,68,FALSE)),0,IF(HLOOKUP(AL$134,'Improved Sales Adjustments'!$G$7:$ZP$147,68,FALSE)="",0,IF($V198=HLOOKUP(AL$134,'Improved Sales Adjustments'!$G$7:$ZP$147,68,FALSE),1,0)))</f>
        <v>0</v>
      </c>
      <c r="AM198" s="41">
        <f>IF(ISERROR(HLOOKUP(AM$134,'Improved Sales Adjustments'!$G$7:$ZP$147,68,FALSE)),0,IF(HLOOKUP(AM$134,'Improved Sales Adjustments'!$G$7:$ZP$147,68,FALSE)="",0,IF($V198=HLOOKUP(AM$134,'Improved Sales Adjustments'!$G$7:$ZP$147,68,FALSE),1,0)))</f>
        <v>0</v>
      </c>
      <c r="AN198" s="41">
        <f>IF(ISERROR(HLOOKUP(AN$134,'Improved Sales Adjustments'!$G$7:$ZP$147,68,FALSE)),0,IF(HLOOKUP(AN$134,'Improved Sales Adjustments'!$G$7:$ZP$147,68,FALSE)="",0,IF($V198=HLOOKUP(AN$134,'Improved Sales Adjustments'!$G$7:$ZP$147,68,FALSE),1,0)))</f>
        <v>0</v>
      </c>
      <c r="AO198" s="41">
        <f>IF(ISERROR(HLOOKUP(AO$134,'Improved Sales Adjustments'!$G$7:$ZP$147,68,FALSE)),0,IF(HLOOKUP(AO$134,'Improved Sales Adjustments'!$G$7:$ZP$147,68,FALSE)="",0,IF($V198=HLOOKUP(AO$134,'Improved Sales Adjustments'!$G$7:$ZP$147,68,FALSE),1,0)))</f>
        <v>0</v>
      </c>
      <c r="AP198" s="41">
        <f>IF(ISERROR(HLOOKUP(AP$134,'Improved Sales Adjustments'!$G$7:$ZP$147,68,FALSE)),0,IF(HLOOKUP(AP$134,'Improved Sales Adjustments'!$G$7:$ZP$147,68,FALSE)="",0,IF($V198=HLOOKUP(AP$134,'Improved Sales Adjustments'!$G$7:$ZP$147,68,FALSE),1,0)))</f>
        <v>0</v>
      </c>
      <c r="AQ198" s="41">
        <f>IF(ISERROR(HLOOKUP(AQ$134,'Improved Sales Adjustments'!$G$7:$ZP$147,68,FALSE)),0,IF(HLOOKUP(AQ$134,'Improved Sales Adjustments'!$G$7:$ZP$147,68,FALSE)="",0,IF($V198=HLOOKUP(AQ$134,'Improved Sales Adjustments'!$G$7:$ZP$147,68,FALSE),1,0)))</f>
        <v>0</v>
      </c>
      <c r="AR198" s="41">
        <f>IF(ISERROR(HLOOKUP(AR$134,'Improved Sales Adjustments'!$G$7:$ZP$147,68,FALSE)),0,IF(HLOOKUP(AR$134,'Improved Sales Adjustments'!$G$7:$ZP$147,68,FALSE)="",0,IF($V198=HLOOKUP(AR$134,'Improved Sales Adjustments'!$G$7:$ZP$147,68,FALSE),1,0)))</f>
        <v>0</v>
      </c>
      <c r="AS198" s="41">
        <f>IF(ISERROR(HLOOKUP(AS$134,'Improved Sales Adjustments'!$G$7:$ZP$147,68,FALSE)),0,IF(HLOOKUP(AS$134,'Improved Sales Adjustments'!$G$7:$ZP$147,68,FALSE)="",0,IF($V198=HLOOKUP(AS$134,'Improved Sales Adjustments'!$G$7:$ZP$147,68,FALSE),1,0)))</f>
        <v>0</v>
      </c>
      <c r="AT198" s="41">
        <f>IF(ISERROR(HLOOKUP(AT$134,'Improved Sales Adjustments'!$G$7:$ZP$147,68,FALSE)),0,IF(HLOOKUP(AT$134,'Improved Sales Adjustments'!$G$7:$ZP$147,68,FALSE)="",0,IF($V198=HLOOKUP(AT$134,'Improved Sales Adjustments'!$G$7:$ZP$147,68,FALSE),1,0)))</f>
        <v>0</v>
      </c>
      <c r="AU198" s="41">
        <f>SUM($AJ198:AJ198)</f>
        <v>0</v>
      </c>
      <c r="AV198" s="41">
        <f>SUM($AJ198:AK198)</f>
        <v>0</v>
      </c>
      <c r="AW198" s="41">
        <f>SUM($AJ198:AL198)</f>
        <v>0</v>
      </c>
      <c r="AX198" s="41">
        <f>SUM($AJ198:AM198)</f>
        <v>0</v>
      </c>
      <c r="AY198" s="41">
        <f>SUM($AJ198:AN198)</f>
        <v>0</v>
      </c>
      <c r="AZ198" s="41">
        <f>SUM($AJ198:AO198)</f>
        <v>0</v>
      </c>
      <c r="BA198" s="41">
        <f>SUM($AJ198:AP198)</f>
        <v>0</v>
      </c>
      <c r="BB198" s="41">
        <f>SUM($AJ198:AQ198)</f>
        <v>0</v>
      </c>
      <c r="BC198" s="41">
        <f>SUM($AJ198:AR198)</f>
        <v>0</v>
      </c>
      <c r="BD198" s="41">
        <f>SUM($AJ198:AS198)</f>
        <v>0</v>
      </c>
      <c r="BE198" s="41">
        <f>SUM($AJ198:AT198)</f>
        <v>0</v>
      </c>
      <c r="BF198" s="41" t="str">
        <f t="shared" si="52"/>
        <v/>
      </c>
      <c r="BG198" s="41" t="str">
        <f t="shared" si="53"/>
        <v/>
      </c>
      <c r="BH198" s="41" t="str">
        <f t="shared" si="54"/>
        <v/>
      </c>
      <c r="BI198" s="41" t="str">
        <f t="shared" si="55"/>
        <v/>
      </c>
      <c r="BJ198" s="41" t="str">
        <f t="shared" si="56"/>
        <v/>
      </c>
      <c r="BK198" s="41" t="str">
        <f t="shared" si="57"/>
        <v/>
      </c>
      <c r="BL198" s="41" t="str">
        <f t="shared" si="58"/>
        <v/>
      </c>
      <c r="BM198" s="41" t="str">
        <f t="shared" si="59"/>
        <v/>
      </c>
      <c r="BN198" s="41" t="str">
        <f t="shared" si="60"/>
        <v/>
      </c>
      <c r="BO198" s="41" t="str">
        <f t="shared" si="61"/>
        <v/>
      </c>
      <c r="BP198" s="41" t="str">
        <f t="shared" si="62"/>
        <v/>
      </c>
      <c r="BQ198" s="11"/>
      <c r="BR198" s="11"/>
    </row>
    <row r="199" spans="1:70" ht="15" customHeight="1" x14ac:dyDescent="0.25">
      <c r="A199" s="957">
        <f t="shared" si="66"/>
        <v>0</v>
      </c>
      <c r="S199" s="4"/>
      <c r="T199" s="1204"/>
      <c r="U199" s="4074" t="str">
        <f t="shared" si="51"/>
        <v/>
      </c>
      <c r="V199" s="137">
        <f t="shared" si="63"/>
        <v>64</v>
      </c>
      <c r="W199" s="2130">
        <f>((W$200-W$195)/5)+W198</f>
        <v>0.63400000000000001</v>
      </c>
      <c r="X199" s="2130">
        <f t="shared" si="73"/>
        <v>0.77200000000000002</v>
      </c>
      <c r="Y199" s="2130">
        <f t="shared" si="73"/>
        <v>0.79600000000000004</v>
      </c>
      <c r="Z199" s="2130"/>
      <c r="AA199" s="2130"/>
      <c r="AB199" s="2130"/>
      <c r="AC199" s="2130"/>
      <c r="AD199" s="2130"/>
      <c r="AE199" s="2130"/>
      <c r="AF199" s="2130"/>
      <c r="AG199" s="101"/>
      <c r="AH199" s="6"/>
      <c r="AI199" s="11"/>
      <c r="AJ199" s="41">
        <f t="shared" ref="AJ199:AJ215" si="74">IF(V199=Subject_AgeEffective,1,0)</f>
        <v>0</v>
      </c>
      <c r="AK199" s="41">
        <f>IF(ISERROR(HLOOKUP(AK$134,'Improved Sales Adjustments'!$G$7:$ZP$147,68,FALSE)),0,IF(HLOOKUP(AK$134,'Improved Sales Adjustments'!$G$7:$ZP$147,68,FALSE)="",0,IF($V199=HLOOKUP(AK$134,'Improved Sales Adjustments'!$G$7:$ZP$147,68,FALSE),1,0)))</f>
        <v>0</v>
      </c>
      <c r="AL199" s="41">
        <f>IF(ISERROR(HLOOKUP(AL$134,'Improved Sales Adjustments'!$G$7:$ZP$147,68,FALSE)),0,IF(HLOOKUP(AL$134,'Improved Sales Adjustments'!$G$7:$ZP$147,68,FALSE)="",0,IF($V199=HLOOKUP(AL$134,'Improved Sales Adjustments'!$G$7:$ZP$147,68,FALSE),1,0)))</f>
        <v>0</v>
      </c>
      <c r="AM199" s="41">
        <f>IF(ISERROR(HLOOKUP(AM$134,'Improved Sales Adjustments'!$G$7:$ZP$147,68,FALSE)),0,IF(HLOOKUP(AM$134,'Improved Sales Adjustments'!$G$7:$ZP$147,68,FALSE)="",0,IF($V199=HLOOKUP(AM$134,'Improved Sales Adjustments'!$G$7:$ZP$147,68,FALSE),1,0)))</f>
        <v>0</v>
      </c>
      <c r="AN199" s="41">
        <f>IF(ISERROR(HLOOKUP(AN$134,'Improved Sales Adjustments'!$G$7:$ZP$147,68,FALSE)),0,IF(HLOOKUP(AN$134,'Improved Sales Adjustments'!$G$7:$ZP$147,68,FALSE)="",0,IF($V199=HLOOKUP(AN$134,'Improved Sales Adjustments'!$G$7:$ZP$147,68,FALSE),1,0)))</f>
        <v>0</v>
      </c>
      <c r="AO199" s="41">
        <f>IF(ISERROR(HLOOKUP(AO$134,'Improved Sales Adjustments'!$G$7:$ZP$147,68,FALSE)),0,IF(HLOOKUP(AO$134,'Improved Sales Adjustments'!$G$7:$ZP$147,68,FALSE)="",0,IF($V199=HLOOKUP(AO$134,'Improved Sales Adjustments'!$G$7:$ZP$147,68,FALSE),1,0)))</f>
        <v>0</v>
      </c>
      <c r="AP199" s="41">
        <f>IF(ISERROR(HLOOKUP(AP$134,'Improved Sales Adjustments'!$G$7:$ZP$147,68,FALSE)),0,IF(HLOOKUP(AP$134,'Improved Sales Adjustments'!$G$7:$ZP$147,68,FALSE)="",0,IF($V199=HLOOKUP(AP$134,'Improved Sales Adjustments'!$G$7:$ZP$147,68,FALSE),1,0)))</f>
        <v>0</v>
      </c>
      <c r="AQ199" s="41">
        <f>IF(ISERROR(HLOOKUP(AQ$134,'Improved Sales Adjustments'!$G$7:$ZP$147,68,FALSE)),0,IF(HLOOKUP(AQ$134,'Improved Sales Adjustments'!$G$7:$ZP$147,68,FALSE)="",0,IF($V199=HLOOKUP(AQ$134,'Improved Sales Adjustments'!$G$7:$ZP$147,68,FALSE),1,0)))</f>
        <v>0</v>
      </c>
      <c r="AR199" s="41">
        <f>IF(ISERROR(HLOOKUP(AR$134,'Improved Sales Adjustments'!$G$7:$ZP$147,68,FALSE)),0,IF(HLOOKUP(AR$134,'Improved Sales Adjustments'!$G$7:$ZP$147,68,FALSE)="",0,IF($V199=HLOOKUP(AR$134,'Improved Sales Adjustments'!$G$7:$ZP$147,68,FALSE),1,0)))</f>
        <v>0</v>
      </c>
      <c r="AS199" s="41">
        <f>IF(ISERROR(HLOOKUP(AS$134,'Improved Sales Adjustments'!$G$7:$ZP$147,68,FALSE)),0,IF(HLOOKUP(AS$134,'Improved Sales Adjustments'!$G$7:$ZP$147,68,FALSE)="",0,IF($V199=HLOOKUP(AS$134,'Improved Sales Adjustments'!$G$7:$ZP$147,68,FALSE),1,0)))</f>
        <v>0</v>
      </c>
      <c r="AT199" s="41">
        <f>IF(ISERROR(HLOOKUP(AT$134,'Improved Sales Adjustments'!$G$7:$ZP$147,68,FALSE)),0,IF(HLOOKUP(AT$134,'Improved Sales Adjustments'!$G$7:$ZP$147,68,FALSE)="",0,IF($V199=HLOOKUP(AT$134,'Improved Sales Adjustments'!$G$7:$ZP$147,68,FALSE),1,0)))</f>
        <v>0</v>
      </c>
      <c r="AU199" s="41">
        <f>SUM($AJ199:AJ199)</f>
        <v>0</v>
      </c>
      <c r="AV199" s="41">
        <f>SUM($AJ199:AK199)</f>
        <v>0</v>
      </c>
      <c r="AW199" s="41">
        <f>SUM($AJ199:AL199)</f>
        <v>0</v>
      </c>
      <c r="AX199" s="41">
        <f>SUM($AJ199:AM199)</f>
        <v>0</v>
      </c>
      <c r="AY199" s="41">
        <f>SUM($AJ199:AN199)</f>
        <v>0</v>
      </c>
      <c r="AZ199" s="41">
        <f>SUM($AJ199:AO199)</f>
        <v>0</v>
      </c>
      <c r="BA199" s="41">
        <f>SUM($AJ199:AP199)</f>
        <v>0</v>
      </c>
      <c r="BB199" s="41">
        <f>SUM($AJ199:AQ199)</f>
        <v>0</v>
      </c>
      <c r="BC199" s="41">
        <f>SUM($AJ199:AR199)</f>
        <v>0</v>
      </c>
      <c r="BD199" s="41">
        <f>SUM($AJ199:AS199)</f>
        <v>0</v>
      </c>
      <c r="BE199" s="41">
        <f>SUM($AJ199:AT199)</f>
        <v>0</v>
      </c>
      <c r="BF199" s="41" t="str">
        <f t="shared" si="52"/>
        <v/>
      </c>
      <c r="BG199" s="41" t="str">
        <f t="shared" si="53"/>
        <v/>
      </c>
      <c r="BH199" s="41" t="str">
        <f t="shared" si="54"/>
        <v/>
      </c>
      <c r="BI199" s="41" t="str">
        <f t="shared" si="55"/>
        <v/>
      </c>
      <c r="BJ199" s="41" t="str">
        <f t="shared" si="56"/>
        <v/>
      </c>
      <c r="BK199" s="41" t="str">
        <f t="shared" si="57"/>
        <v/>
      </c>
      <c r="BL199" s="41" t="str">
        <f t="shared" si="58"/>
        <v/>
      </c>
      <c r="BM199" s="41" t="str">
        <f t="shared" si="59"/>
        <v/>
      </c>
      <c r="BN199" s="41" t="str">
        <f t="shared" si="60"/>
        <v/>
      </c>
      <c r="BO199" s="41" t="str">
        <f t="shared" si="61"/>
        <v/>
      </c>
      <c r="BP199" s="41" t="str">
        <f t="shared" si="62"/>
        <v/>
      </c>
      <c r="BQ199" s="11"/>
      <c r="BR199" s="11"/>
    </row>
    <row r="200" spans="1:70" ht="15" customHeight="1" x14ac:dyDescent="0.25">
      <c r="A200" s="957">
        <f t="shared" ref="A200:A215" si="75">IF(AND(MIN(Sales_EffectiveAgeRange,Subject_AgeEffective)&lt;=V200,MAX(Sales_EffectiveAgeRange,Subject_AgeEffective)&gt;=V200),1,0)</f>
        <v>0</v>
      </c>
      <c r="S200" s="4"/>
      <c r="T200" s="1204"/>
      <c r="U200" s="4074" t="str">
        <f t="shared" ref="U200:U215" si="76">CONCATENATE(BF200,BG200,BH200,BI200,BJ200,BK200,BL200,BM200,BN200,BO200,BP200)</f>
        <v/>
      </c>
      <c r="V200" s="137">
        <f t="shared" si="63"/>
        <v>65</v>
      </c>
      <c r="W200" s="2129">
        <v>0.65</v>
      </c>
      <c r="X200" s="2130">
        <v>0.78</v>
      </c>
      <c r="Y200" s="2130">
        <v>0.8</v>
      </c>
      <c r="Z200" s="2130"/>
      <c r="AA200" s="2130"/>
      <c r="AB200" s="2130"/>
      <c r="AC200" s="2130"/>
      <c r="AD200" s="2130"/>
      <c r="AE200" s="2130"/>
      <c r="AF200" s="2130"/>
      <c r="AG200" s="101"/>
      <c r="AH200" s="6"/>
      <c r="AI200" s="11"/>
      <c r="AJ200" s="41">
        <f t="shared" si="74"/>
        <v>0</v>
      </c>
      <c r="AK200" s="41">
        <f>IF(ISERROR(HLOOKUP(AK$134,'Improved Sales Adjustments'!$G$7:$ZP$147,68,FALSE)),0,IF(HLOOKUP(AK$134,'Improved Sales Adjustments'!$G$7:$ZP$147,68,FALSE)="",0,IF($V200=HLOOKUP(AK$134,'Improved Sales Adjustments'!$G$7:$ZP$147,68,FALSE),1,0)))</f>
        <v>0</v>
      </c>
      <c r="AL200" s="41">
        <f>IF(ISERROR(HLOOKUP(AL$134,'Improved Sales Adjustments'!$G$7:$ZP$147,68,FALSE)),0,IF(HLOOKUP(AL$134,'Improved Sales Adjustments'!$G$7:$ZP$147,68,FALSE)="",0,IF($V200=HLOOKUP(AL$134,'Improved Sales Adjustments'!$G$7:$ZP$147,68,FALSE),1,0)))</f>
        <v>0</v>
      </c>
      <c r="AM200" s="41">
        <f>IF(ISERROR(HLOOKUP(AM$134,'Improved Sales Adjustments'!$G$7:$ZP$147,68,FALSE)),0,IF(HLOOKUP(AM$134,'Improved Sales Adjustments'!$G$7:$ZP$147,68,FALSE)="",0,IF($V200=HLOOKUP(AM$134,'Improved Sales Adjustments'!$G$7:$ZP$147,68,FALSE),1,0)))</f>
        <v>0</v>
      </c>
      <c r="AN200" s="41">
        <f>IF(ISERROR(HLOOKUP(AN$134,'Improved Sales Adjustments'!$G$7:$ZP$147,68,FALSE)),0,IF(HLOOKUP(AN$134,'Improved Sales Adjustments'!$G$7:$ZP$147,68,FALSE)="",0,IF($V200=HLOOKUP(AN$134,'Improved Sales Adjustments'!$G$7:$ZP$147,68,FALSE),1,0)))</f>
        <v>0</v>
      </c>
      <c r="AO200" s="41">
        <f>IF(ISERROR(HLOOKUP(AO$134,'Improved Sales Adjustments'!$G$7:$ZP$147,68,FALSE)),0,IF(HLOOKUP(AO$134,'Improved Sales Adjustments'!$G$7:$ZP$147,68,FALSE)="",0,IF($V200=HLOOKUP(AO$134,'Improved Sales Adjustments'!$G$7:$ZP$147,68,FALSE),1,0)))</f>
        <v>0</v>
      </c>
      <c r="AP200" s="41">
        <f>IF(ISERROR(HLOOKUP(AP$134,'Improved Sales Adjustments'!$G$7:$ZP$147,68,FALSE)),0,IF(HLOOKUP(AP$134,'Improved Sales Adjustments'!$G$7:$ZP$147,68,FALSE)="",0,IF($V200=HLOOKUP(AP$134,'Improved Sales Adjustments'!$G$7:$ZP$147,68,FALSE),1,0)))</f>
        <v>0</v>
      </c>
      <c r="AQ200" s="41">
        <f>IF(ISERROR(HLOOKUP(AQ$134,'Improved Sales Adjustments'!$G$7:$ZP$147,68,FALSE)),0,IF(HLOOKUP(AQ$134,'Improved Sales Adjustments'!$G$7:$ZP$147,68,FALSE)="",0,IF($V200=HLOOKUP(AQ$134,'Improved Sales Adjustments'!$G$7:$ZP$147,68,FALSE),1,0)))</f>
        <v>0</v>
      </c>
      <c r="AR200" s="41">
        <f>IF(ISERROR(HLOOKUP(AR$134,'Improved Sales Adjustments'!$G$7:$ZP$147,68,FALSE)),0,IF(HLOOKUP(AR$134,'Improved Sales Adjustments'!$G$7:$ZP$147,68,FALSE)="",0,IF($V200=HLOOKUP(AR$134,'Improved Sales Adjustments'!$G$7:$ZP$147,68,FALSE),1,0)))</f>
        <v>0</v>
      </c>
      <c r="AS200" s="41">
        <f>IF(ISERROR(HLOOKUP(AS$134,'Improved Sales Adjustments'!$G$7:$ZP$147,68,FALSE)),0,IF(HLOOKUP(AS$134,'Improved Sales Adjustments'!$G$7:$ZP$147,68,FALSE)="",0,IF($V200=HLOOKUP(AS$134,'Improved Sales Adjustments'!$G$7:$ZP$147,68,FALSE),1,0)))</f>
        <v>0</v>
      </c>
      <c r="AT200" s="41">
        <f>IF(ISERROR(HLOOKUP(AT$134,'Improved Sales Adjustments'!$G$7:$ZP$147,68,FALSE)),0,IF(HLOOKUP(AT$134,'Improved Sales Adjustments'!$G$7:$ZP$147,68,FALSE)="",0,IF($V200=HLOOKUP(AT$134,'Improved Sales Adjustments'!$G$7:$ZP$147,68,FALSE),1,0)))</f>
        <v>0</v>
      </c>
      <c r="AU200" s="41">
        <f>SUM($AJ200:AJ200)</f>
        <v>0</v>
      </c>
      <c r="AV200" s="41">
        <f>SUM($AJ200:AK200)</f>
        <v>0</v>
      </c>
      <c r="AW200" s="41">
        <f>SUM($AJ200:AL200)</f>
        <v>0</v>
      </c>
      <c r="AX200" s="41">
        <f>SUM($AJ200:AM200)</f>
        <v>0</v>
      </c>
      <c r="AY200" s="41">
        <f>SUM($AJ200:AN200)</f>
        <v>0</v>
      </c>
      <c r="AZ200" s="41">
        <f>SUM($AJ200:AO200)</f>
        <v>0</v>
      </c>
      <c r="BA200" s="41">
        <f>SUM($AJ200:AP200)</f>
        <v>0</v>
      </c>
      <c r="BB200" s="41">
        <f>SUM($AJ200:AQ200)</f>
        <v>0</v>
      </c>
      <c r="BC200" s="41">
        <f>SUM($AJ200:AR200)</f>
        <v>0</v>
      </c>
      <c r="BD200" s="41">
        <f>SUM($AJ200:AS200)</f>
        <v>0</v>
      </c>
      <c r="BE200" s="41">
        <f>SUM($AJ200:AT200)</f>
        <v>0</v>
      </c>
      <c r="BF200" s="41" t="str">
        <f t="shared" ref="BF200:BF215" si="77">IF(AJ200=1,IF(AND(AU200=$BE200,$BE200&gt;1),IF($BE200&lt;3,CONCATENATE(" and ",BF$133),CONCATENATE("and ",BF$133)),IF($BE200&lt;3,BF$133,CONCATENATE(BF$133,", "))),"")</f>
        <v/>
      </c>
      <c r="BG200" s="41" t="str">
        <f t="shared" ref="BG200:BG215" si="78">IF(AK200=1,IF(AND(AV200=$BE200,$BE200&gt;1),IF($BE200&lt;3,CONCATENATE(" and ",BG$133),CONCATENATE("and ",BG$133)),IF($BE200&lt;3,BG$133,CONCATENATE(BG$133,", "))),"")</f>
        <v/>
      </c>
      <c r="BH200" s="41" t="str">
        <f t="shared" ref="BH200:BH215" si="79">IF(AL200=1,IF(AND(AW200=$BE200,$BE200&gt;1),IF($BE200&lt;3,CONCATENATE(" and ",BH$133),CONCATENATE("and ",BH$133)),IF($BE200&lt;3,BH$133,CONCATENATE(BH$133,", "))),"")</f>
        <v/>
      </c>
      <c r="BI200" s="41" t="str">
        <f t="shared" ref="BI200:BI215" si="80">IF(AM200=1,IF(AND(AX200=$BE200,$BE200&gt;1),IF($BE200&lt;3,CONCATENATE(" and ",BI$133),CONCATENATE("and ",BI$133)),IF($BE200&lt;3,BI$133,CONCATENATE(BI$133,", "))),"")</f>
        <v/>
      </c>
      <c r="BJ200" s="41" t="str">
        <f t="shared" ref="BJ200:BJ215" si="81">IF(AN200=1,IF(AND(AY200=$BE200,$BE200&gt;1),IF($BE200&lt;3,CONCATENATE(" and ",BJ$133),CONCATENATE("and ",BJ$133)),IF($BE200&lt;3,BJ$133,CONCATENATE(BJ$133,", "))),"")</f>
        <v/>
      </c>
      <c r="BK200" s="41" t="str">
        <f t="shared" ref="BK200:BK215" si="82">IF(AO200=1,IF(AND(AZ200=$BE200,$BE200&gt;1),IF($BE200&lt;3,CONCATENATE(" and ",BK$133),CONCATENATE("and ",BK$133)),IF($BE200&lt;3,BK$133,CONCATENATE(BK$133,", "))),"")</f>
        <v/>
      </c>
      <c r="BL200" s="41" t="str">
        <f t="shared" ref="BL200:BL215" si="83">IF(AP200=1,IF(AND(BA200=$BE200,$BE200&gt;1),IF($BE200&lt;3,CONCATENATE(" and ",BL$133),CONCATENATE("and ",BL$133)),IF($BE200&lt;3,BL$133,CONCATENATE(BL$133,", "))),"")</f>
        <v/>
      </c>
      <c r="BM200" s="41" t="str">
        <f t="shared" ref="BM200:BM215" si="84">IF(AQ200=1,IF(AND(BB200=$BE200,$BE200&gt;1),IF($BE200&lt;3,CONCATENATE(" and ",BM$133),CONCATENATE("and ",BM$133)),IF($BE200&lt;3,BM$133,CONCATENATE(BM$133,", "))),"")</f>
        <v/>
      </c>
      <c r="BN200" s="41" t="str">
        <f t="shared" ref="BN200:BN215" si="85">IF(AR200=1,IF(AND(BC200=$BE200,$BE200&gt;1),IF($BE200&lt;3,CONCATENATE(" and ",BN$133),CONCATENATE("and ",BN$133)),IF($BE200&lt;3,BN$133,CONCATENATE(BN$133,", "))),"")</f>
        <v/>
      </c>
      <c r="BO200" s="41" t="str">
        <f t="shared" ref="BO200:BO215" si="86">IF(AS200=1,IF(AND(BD200=$BE200,$BE200&gt;1),IF($BE200&lt;3,CONCATENATE(" and ",BO$133),CONCATENATE("and ",BO$133)),IF($BE200&lt;3,BO$133,CONCATENATE(BO$133,", "))),"")</f>
        <v/>
      </c>
      <c r="BP200" s="41" t="str">
        <f t="shared" ref="BP200:BP215" si="87">IF(AT200=1,IF(AND(BE200=$BE200,$BE200&gt;1),IF($BE200&lt;3,CONCATENATE(" and ",BP$133),CONCATENATE("and ",BP$133)),IF($BE200&lt;3,BP$133,CONCATENATE(BP$133,", "))),"")</f>
        <v/>
      </c>
      <c r="BQ200" s="11"/>
      <c r="BR200" s="11"/>
    </row>
    <row r="201" spans="1:70" ht="15" customHeight="1" x14ac:dyDescent="0.25">
      <c r="A201" s="957">
        <f t="shared" si="75"/>
        <v>0</v>
      </c>
      <c r="S201" s="4"/>
      <c r="T201" s="1204"/>
      <c r="U201" s="4074" t="str">
        <f t="shared" si="76"/>
        <v/>
      </c>
      <c r="V201" s="137">
        <f t="shared" si="63"/>
        <v>66</v>
      </c>
      <c r="W201" s="2130">
        <f t="shared" ref="W201:X204" si="88">((W$205-W$200)/5)+W200</f>
        <v>0.66200000000000003</v>
      </c>
      <c r="X201" s="2130">
        <f t="shared" si="88"/>
        <v>0.78400000000000003</v>
      </c>
      <c r="Y201" s="2130"/>
      <c r="Z201" s="2130"/>
      <c r="AA201" s="2130"/>
      <c r="AB201" s="2130"/>
      <c r="AC201" s="2130"/>
      <c r="AD201" s="2130"/>
      <c r="AE201" s="2130"/>
      <c r="AF201" s="2130"/>
      <c r="AG201" s="101"/>
      <c r="AH201" s="6"/>
      <c r="AI201" s="11"/>
      <c r="AJ201" s="41">
        <f t="shared" si="74"/>
        <v>0</v>
      </c>
      <c r="AK201" s="41">
        <f>IF(ISERROR(HLOOKUP(AK$134,'Improved Sales Adjustments'!$G$7:$ZP$147,68,FALSE)),0,IF(HLOOKUP(AK$134,'Improved Sales Adjustments'!$G$7:$ZP$147,68,FALSE)="",0,IF($V201=HLOOKUP(AK$134,'Improved Sales Adjustments'!$G$7:$ZP$147,68,FALSE),1,0)))</f>
        <v>0</v>
      </c>
      <c r="AL201" s="41">
        <f>IF(ISERROR(HLOOKUP(AL$134,'Improved Sales Adjustments'!$G$7:$ZP$147,68,FALSE)),0,IF(HLOOKUP(AL$134,'Improved Sales Adjustments'!$G$7:$ZP$147,68,FALSE)="",0,IF($V201=HLOOKUP(AL$134,'Improved Sales Adjustments'!$G$7:$ZP$147,68,FALSE),1,0)))</f>
        <v>0</v>
      </c>
      <c r="AM201" s="41">
        <f>IF(ISERROR(HLOOKUP(AM$134,'Improved Sales Adjustments'!$G$7:$ZP$147,68,FALSE)),0,IF(HLOOKUP(AM$134,'Improved Sales Adjustments'!$G$7:$ZP$147,68,FALSE)="",0,IF($V201=HLOOKUP(AM$134,'Improved Sales Adjustments'!$G$7:$ZP$147,68,FALSE),1,0)))</f>
        <v>0</v>
      </c>
      <c r="AN201" s="41">
        <f>IF(ISERROR(HLOOKUP(AN$134,'Improved Sales Adjustments'!$G$7:$ZP$147,68,FALSE)),0,IF(HLOOKUP(AN$134,'Improved Sales Adjustments'!$G$7:$ZP$147,68,FALSE)="",0,IF($V201=HLOOKUP(AN$134,'Improved Sales Adjustments'!$G$7:$ZP$147,68,FALSE),1,0)))</f>
        <v>0</v>
      </c>
      <c r="AO201" s="41">
        <f>IF(ISERROR(HLOOKUP(AO$134,'Improved Sales Adjustments'!$G$7:$ZP$147,68,FALSE)),0,IF(HLOOKUP(AO$134,'Improved Sales Adjustments'!$G$7:$ZP$147,68,FALSE)="",0,IF($V201=HLOOKUP(AO$134,'Improved Sales Adjustments'!$G$7:$ZP$147,68,FALSE),1,0)))</f>
        <v>0</v>
      </c>
      <c r="AP201" s="41">
        <f>IF(ISERROR(HLOOKUP(AP$134,'Improved Sales Adjustments'!$G$7:$ZP$147,68,FALSE)),0,IF(HLOOKUP(AP$134,'Improved Sales Adjustments'!$G$7:$ZP$147,68,FALSE)="",0,IF($V201=HLOOKUP(AP$134,'Improved Sales Adjustments'!$G$7:$ZP$147,68,FALSE),1,0)))</f>
        <v>0</v>
      </c>
      <c r="AQ201" s="41">
        <f>IF(ISERROR(HLOOKUP(AQ$134,'Improved Sales Adjustments'!$G$7:$ZP$147,68,FALSE)),0,IF(HLOOKUP(AQ$134,'Improved Sales Adjustments'!$G$7:$ZP$147,68,FALSE)="",0,IF($V201=HLOOKUP(AQ$134,'Improved Sales Adjustments'!$G$7:$ZP$147,68,FALSE),1,0)))</f>
        <v>0</v>
      </c>
      <c r="AR201" s="41">
        <f>IF(ISERROR(HLOOKUP(AR$134,'Improved Sales Adjustments'!$G$7:$ZP$147,68,FALSE)),0,IF(HLOOKUP(AR$134,'Improved Sales Adjustments'!$G$7:$ZP$147,68,FALSE)="",0,IF($V201=HLOOKUP(AR$134,'Improved Sales Adjustments'!$G$7:$ZP$147,68,FALSE),1,0)))</f>
        <v>0</v>
      </c>
      <c r="AS201" s="41">
        <f>IF(ISERROR(HLOOKUP(AS$134,'Improved Sales Adjustments'!$G$7:$ZP$147,68,FALSE)),0,IF(HLOOKUP(AS$134,'Improved Sales Adjustments'!$G$7:$ZP$147,68,FALSE)="",0,IF($V201=HLOOKUP(AS$134,'Improved Sales Adjustments'!$G$7:$ZP$147,68,FALSE),1,0)))</f>
        <v>0</v>
      </c>
      <c r="AT201" s="41">
        <f>IF(ISERROR(HLOOKUP(AT$134,'Improved Sales Adjustments'!$G$7:$ZP$147,68,FALSE)),0,IF(HLOOKUP(AT$134,'Improved Sales Adjustments'!$G$7:$ZP$147,68,FALSE)="",0,IF($V201=HLOOKUP(AT$134,'Improved Sales Adjustments'!$G$7:$ZP$147,68,FALSE),1,0)))</f>
        <v>0</v>
      </c>
      <c r="AU201" s="41">
        <f>SUM($AJ201:AJ201)</f>
        <v>0</v>
      </c>
      <c r="AV201" s="41">
        <f>SUM($AJ201:AK201)</f>
        <v>0</v>
      </c>
      <c r="AW201" s="41">
        <f>SUM($AJ201:AL201)</f>
        <v>0</v>
      </c>
      <c r="AX201" s="41">
        <f>SUM($AJ201:AM201)</f>
        <v>0</v>
      </c>
      <c r="AY201" s="41">
        <f>SUM($AJ201:AN201)</f>
        <v>0</v>
      </c>
      <c r="AZ201" s="41">
        <f>SUM($AJ201:AO201)</f>
        <v>0</v>
      </c>
      <c r="BA201" s="41">
        <f>SUM($AJ201:AP201)</f>
        <v>0</v>
      </c>
      <c r="BB201" s="41">
        <f>SUM($AJ201:AQ201)</f>
        <v>0</v>
      </c>
      <c r="BC201" s="41">
        <f>SUM($AJ201:AR201)</f>
        <v>0</v>
      </c>
      <c r="BD201" s="41">
        <f>SUM($AJ201:AS201)</f>
        <v>0</v>
      </c>
      <c r="BE201" s="41">
        <f>SUM($AJ201:AT201)</f>
        <v>0</v>
      </c>
      <c r="BF201" s="41" t="str">
        <f t="shared" si="77"/>
        <v/>
      </c>
      <c r="BG201" s="41" t="str">
        <f t="shared" si="78"/>
        <v/>
      </c>
      <c r="BH201" s="41" t="str">
        <f t="shared" si="79"/>
        <v/>
      </c>
      <c r="BI201" s="41" t="str">
        <f t="shared" si="80"/>
        <v/>
      </c>
      <c r="BJ201" s="41" t="str">
        <f t="shared" si="81"/>
        <v/>
      </c>
      <c r="BK201" s="41" t="str">
        <f t="shared" si="82"/>
        <v/>
      </c>
      <c r="BL201" s="41" t="str">
        <f t="shared" si="83"/>
        <v/>
      </c>
      <c r="BM201" s="41" t="str">
        <f t="shared" si="84"/>
        <v/>
      </c>
      <c r="BN201" s="41" t="str">
        <f t="shared" si="85"/>
        <v/>
      </c>
      <c r="BO201" s="41" t="str">
        <f t="shared" si="86"/>
        <v/>
      </c>
      <c r="BP201" s="41" t="str">
        <f t="shared" si="87"/>
        <v/>
      </c>
      <c r="BQ201" s="11"/>
      <c r="BR201" s="11"/>
    </row>
    <row r="202" spans="1:70" ht="15" customHeight="1" x14ac:dyDescent="0.25">
      <c r="A202" s="957">
        <f t="shared" si="75"/>
        <v>0</v>
      </c>
      <c r="S202" s="4"/>
      <c r="T202" s="1204"/>
      <c r="U202" s="4074" t="str">
        <f t="shared" si="76"/>
        <v/>
      </c>
      <c r="V202" s="137">
        <f t="shared" ref="V202:V215" si="89">V201+1</f>
        <v>67</v>
      </c>
      <c r="W202" s="2130">
        <f t="shared" si="88"/>
        <v>0.67400000000000004</v>
      </c>
      <c r="X202" s="2130">
        <f t="shared" si="88"/>
        <v>0.78800000000000003</v>
      </c>
      <c r="Y202" s="2130"/>
      <c r="Z202" s="2130"/>
      <c r="AA202" s="2130"/>
      <c r="AB202" s="2130"/>
      <c r="AC202" s="2130"/>
      <c r="AD202" s="2130"/>
      <c r="AE202" s="2130"/>
      <c r="AF202" s="2130"/>
      <c r="AG202" s="101"/>
      <c r="AH202" s="6"/>
      <c r="AI202" s="11"/>
      <c r="AJ202" s="41">
        <f t="shared" si="74"/>
        <v>0</v>
      </c>
      <c r="AK202" s="41">
        <f>IF(ISERROR(HLOOKUP(AK$134,'Improved Sales Adjustments'!$G$7:$ZP$147,68,FALSE)),0,IF(HLOOKUP(AK$134,'Improved Sales Adjustments'!$G$7:$ZP$147,68,FALSE)="",0,IF($V202=HLOOKUP(AK$134,'Improved Sales Adjustments'!$G$7:$ZP$147,68,FALSE),1,0)))</f>
        <v>0</v>
      </c>
      <c r="AL202" s="41">
        <f>IF(ISERROR(HLOOKUP(AL$134,'Improved Sales Adjustments'!$G$7:$ZP$147,68,FALSE)),0,IF(HLOOKUP(AL$134,'Improved Sales Adjustments'!$G$7:$ZP$147,68,FALSE)="",0,IF($V202=HLOOKUP(AL$134,'Improved Sales Adjustments'!$G$7:$ZP$147,68,FALSE),1,0)))</f>
        <v>0</v>
      </c>
      <c r="AM202" s="41">
        <f>IF(ISERROR(HLOOKUP(AM$134,'Improved Sales Adjustments'!$G$7:$ZP$147,68,FALSE)),0,IF(HLOOKUP(AM$134,'Improved Sales Adjustments'!$G$7:$ZP$147,68,FALSE)="",0,IF($V202=HLOOKUP(AM$134,'Improved Sales Adjustments'!$G$7:$ZP$147,68,FALSE),1,0)))</f>
        <v>0</v>
      </c>
      <c r="AN202" s="41">
        <f>IF(ISERROR(HLOOKUP(AN$134,'Improved Sales Adjustments'!$G$7:$ZP$147,68,FALSE)),0,IF(HLOOKUP(AN$134,'Improved Sales Adjustments'!$G$7:$ZP$147,68,FALSE)="",0,IF($V202=HLOOKUP(AN$134,'Improved Sales Adjustments'!$G$7:$ZP$147,68,FALSE),1,0)))</f>
        <v>0</v>
      </c>
      <c r="AO202" s="41">
        <f>IF(ISERROR(HLOOKUP(AO$134,'Improved Sales Adjustments'!$G$7:$ZP$147,68,FALSE)),0,IF(HLOOKUP(AO$134,'Improved Sales Adjustments'!$G$7:$ZP$147,68,FALSE)="",0,IF($V202=HLOOKUP(AO$134,'Improved Sales Adjustments'!$G$7:$ZP$147,68,FALSE),1,0)))</f>
        <v>0</v>
      </c>
      <c r="AP202" s="41">
        <f>IF(ISERROR(HLOOKUP(AP$134,'Improved Sales Adjustments'!$G$7:$ZP$147,68,FALSE)),0,IF(HLOOKUP(AP$134,'Improved Sales Adjustments'!$G$7:$ZP$147,68,FALSE)="",0,IF($V202=HLOOKUP(AP$134,'Improved Sales Adjustments'!$G$7:$ZP$147,68,FALSE),1,0)))</f>
        <v>0</v>
      </c>
      <c r="AQ202" s="41">
        <f>IF(ISERROR(HLOOKUP(AQ$134,'Improved Sales Adjustments'!$G$7:$ZP$147,68,FALSE)),0,IF(HLOOKUP(AQ$134,'Improved Sales Adjustments'!$G$7:$ZP$147,68,FALSE)="",0,IF($V202=HLOOKUP(AQ$134,'Improved Sales Adjustments'!$G$7:$ZP$147,68,FALSE),1,0)))</f>
        <v>0</v>
      </c>
      <c r="AR202" s="41">
        <f>IF(ISERROR(HLOOKUP(AR$134,'Improved Sales Adjustments'!$G$7:$ZP$147,68,FALSE)),0,IF(HLOOKUP(AR$134,'Improved Sales Adjustments'!$G$7:$ZP$147,68,FALSE)="",0,IF($V202=HLOOKUP(AR$134,'Improved Sales Adjustments'!$G$7:$ZP$147,68,FALSE),1,0)))</f>
        <v>0</v>
      </c>
      <c r="AS202" s="41">
        <f>IF(ISERROR(HLOOKUP(AS$134,'Improved Sales Adjustments'!$G$7:$ZP$147,68,FALSE)),0,IF(HLOOKUP(AS$134,'Improved Sales Adjustments'!$G$7:$ZP$147,68,FALSE)="",0,IF($V202=HLOOKUP(AS$134,'Improved Sales Adjustments'!$G$7:$ZP$147,68,FALSE),1,0)))</f>
        <v>0</v>
      </c>
      <c r="AT202" s="41">
        <f>IF(ISERROR(HLOOKUP(AT$134,'Improved Sales Adjustments'!$G$7:$ZP$147,68,FALSE)),0,IF(HLOOKUP(AT$134,'Improved Sales Adjustments'!$G$7:$ZP$147,68,FALSE)="",0,IF($V202=HLOOKUP(AT$134,'Improved Sales Adjustments'!$G$7:$ZP$147,68,FALSE),1,0)))</f>
        <v>0</v>
      </c>
      <c r="AU202" s="41">
        <f>SUM($AJ202:AJ202)</f>
        <v>0</v>
      </c>
      <c r="AV202" s="41">
        <f>SUM($AJ202:AK202)</f>
        <v>0</v>
      </c>
      <c r="AW202" s="41">
        <f>SUM($AJ202:AL202)</f>
        <v>0</v>
      </c>
      <c r="AX202" s="41">
        <f>SUM($AJ202:AM202)</f>
        <v>0</v>
      </c>
      <c r="AY202" s="41">
        <f>SUM($AJ202:AN202)</f>
        <v>0</v>
      </c>
      <c r="AZ202" s="41">
        <f>SUM($AJ202:AO202)</f>
        <v>0</v>
      </c>
      <c r="BA202" s="41">
        <f>SUM($AJ202:AP202)</f>
        <v>0</v>
      </c>
      <c r="BB202" s="41">
        <f>SUM($AJ202:AQ202)</f>
        <v>0</v>
      </c>
      <c r="BC202" s="41">
        <f>SUM($AJ202:AR202)</f>
        <v>0</v>
      </c>
      <c r="BD202" s="41">
        <f>SUM($AJ202:AS202)</f>
        <v>0</v>
      </c>
      <c r="BE202" s="41">
        <f>SUM($AJ202:AT202)</f>
        <v>0</v>
      </c>
      <c r="BF202" s="41" t="str">
        <f t="shared" si="77"/>
        <v/>
      </c>
      <c r="BG202" s="41" t="str">
        <f t="shared" si="78"/>
        <v/>
      </c>
      <c r="BH202" s="41" t="str">
        <f t="shared" si="79"/>
        <v/>
      </c>
      <c r="BI202" s="41" t="str">
        <f t="shared" si="80"/>
        <v/>
      </c>
      <c r="BJ202" s="41" t="str">
        <f t="shared" si="81"/>
        <v/>
      </c>
      <c r="BK202" s="41" t="str">
        <f t="shared" si="82"/>
        <v/>
      </c>
      <c r="BL202" s="41" t="str">
        <f t="shared" si="83"/>
        <v/>
      </c>
      <c r="BM202" s="41" t="str">
        <f t="shared" si="84"/>
        <v/>
      </c>
      <c r="BN202" s="41" t="str">
        <f t="shared" si="85"/>
        <v/>
      </c>
      <c r="BO202" s="41" t="str">
        <f t="shared" si="86"/>
        <v/>
      </c>
      <c r="BP202" s="41" t="str">
        <f t="shared" si="87"/>
        <v/>
      </c>
      <c r="BQ202" s="11"/>
      <c r="BR202" s="11"/>
    </row>
    <row r="203" spans="1:70" ht="15" customHeight="1" x14ac:dyDescent="0.25">
      <c r="A203" s="957">
        <f t="shared" si="75"/>
        <v>0</v>
      </c>
      <c r="S203" s="4"/>
      <c r="T203" s="1204"/>
      <c r="U203" s="4074" t="str">
        <f t="shared" si="76"/>
        <v/>
      </c>
      <c r="V203" s="137">
        <f t="shared" si="89"/>
        <v>68</v>
      </c>
      <c r="W203" s="2130">
        <f t="shared" si="88"/>
        <v>0.68600000000000005</v>
      </c>
      <c r="X203" s="2130">
        <f t="shared" si="88"/>
        <v>0.79200000000000004</v>
      </c>
      <c r="Y203" s="2130"/>
      <c r="Z203" s="2130"/>
      <c r="AA203" s="2130"/>
      <c r="AB203" s="2130"/>
      <c r="AC203" s="2130"/>
      <c r="AD203" s="2130"/>
      <c r="AE203" s="2130"/>
      <c r="AF203" s="2130"/>
      <c r="AG203" s="101"/>
      <c r="AH203" s="6"/>
      <c r="AI203" s="11"/>
      <c r="AJ203" s="41">
        <f t="shared" si="74"/>
        <v>0</v>
      </c>
      <c r="AK203" s="41">
        <f>IF(ISERROR(HLOOKUP(AK$134,'Improved Sales Adjustments'!$G$7:$ZP$147,68,FALSE)),0,IF(HLOOKUP(AK$134,'Improved Sales Adjustments'!$G$7:$ZP$147,68,FALSE)="",0,IF($V203=HLOOKUP(AK$134,'Improved Sales Adjustments'!$G$7:$ZP$147,68,FALSE),1,0)))</f>
        <v>0</v>
      </c>
      <c r="AL203" s="41">
        <f>IF(ISERROR(HLOOKUP(AL$134,'Improved Sales Adjustments'!$G$7:$ZP$147,68,FALSE)),0,IF(HLOOKUP(AL$134,'Improved Sales Adjustments'!$G$7:$ZP$147,68,FALSE)="",0,IF($V203=HLOOKUP(AL$134,'Improved Sales Adjustments'!$G$7:$ZP$147,68,FALSE),1,0)))</f>
        <v>0</v>
      </c>
      <c r="AM203" s="41">
        <f>IF(ISERROR(HLOOKUP(AM$134,'Improved Sales Adjustments'!$G$7:$ZP$147,68,FALSE)),0,IF(HLOOKUP(AM$134,'Improved Sales Adjustments'!$G$7:$ZP$147,68,FALSE)="",0,IF($V203=HLOOKUP(AM$134,'Improved Sales Adjustments'!$G$7:$ZP$147,68,FALSE),1,0)))</f>
        <v>0</v>
      </c>
      <c r="AN203" s="41">
        <f>IF(ISERROR(HLOOKUP(AN$134,'Improved Sales Adjustments'!$G$7:$ZP$147,68,FALSE)),0,IF(HLOOKUP(AN$134,'Improved Sales Adjustments'!$G$7:$ZP$147,68,FALSE)="",0,IF($V203=HLOOKUP(AN$134,'Improved Sales Adjustments'!$G$7:$ZP$147,68,FALSE),1,0)))</f>
        <v>0</v>
      </c>
      <c r="AO203" s="41">
        <f>IF(ISERROR(HLOOKUP(AO$134,'Improved Sales Adjustments'!$G$7:$ZP$147,68,FALSE)),0,IF(HLOOKUP(AO$134,'Improved Sales Adjustments'!$G$7:$ZP$147,68,FALSE)="",0,IF($V203=HLOOKUP(AO$134,'Improved Sales Adjustments'!$G$7:$ZP$147,68,FALSE),1,0)))</f>
        <v>0</v>
      </c>
      <c r="AP203" s="41">
        <f>IF(ISERROR(HLOOKUP(AP$134,'Improved Sales Adjustments'!$G$7:$ZP$147,68,FALSE)),0,IF(HLOOKUP(AP$134,'Improved Sales Adjustments'!$G$7:$ZP$147,68,FALSE)="",0,IF($V203=HLOOKUP(AP$134,'Improved Sales Adjustments'!$G$7:$ZP$147,68,FALSE),1,0)))</f>
        <v>0</v>
      </c>
      <c r="AQ203" s="41">
        <f>IF(ISERROR(HLOOKUP(AQ$134,'Improved Sales Adjustments'!$G$7:$ZP$147,68,FALSE)),0,IF(HLOOKUP(AQ$134,'Improved Sales Adjustments'!$G$7:$ZP$147,68,FALSE)="",0,IF($V203=HLOOKUP(AQ$134,'Improved Sales Adjustments'!$G$7:$ZP$147,68,FALSE),1,0)))</f>
        <v>0</v>
      </c>
      <c r="AR203" s="41">
        <f>IF(ISERROR(HLOOKUP(AR$134,'Improved Sales Adjustments'!$G$7:$ZP$147,68,FALSE)),0,IF(HLOOKUP(AR$134,'Improved Sales Adjustments'!$G$7:$ZP$147,68,FALSE)="",0,IF($V203=HLOOKUP(AR$134,'Improved Sales Adjustments'!$G$7:$ZP$147,68,FALSE),1,0)))</f>
        <v>0</v>
      </c>
      <c r="AS203" s="41">
        <f>IF(ISERROR(HLOOKUP(AS$134,'Improved Sales Adjustments'!$G$7:$ZP$147,68,FALSE)),0,IF(HLOOKUP(AS$134,'Improved Sales Adjustments'!$G$7:$ZP$147,68,FALSE)="",0,IF($V203=HLOOKUP(AS$134,'Improved Sales Adjustments'!$G$7:$ZP$147,68,FALSE),1,0)))</f>
        <v>0</v>
      </c>
      <c r="AT203" s="41">
        <f>IF(ISERROR(HLOOKUP(AT$134,'Improved Sales Adjustments'!$G$7:$ZP$147,68,FALSE)),0,IF(HLOOKUP(AT$134,'Improved Sales Adjustments'!$G$7:$ZP$147,68,FALSE)="",0,IF($V203=HLOOKUP(AT$134,'Improved Sales Adjustments'!$G$7:$ZP$147,68,FALSE),1,0)))</f>
        <v>0</v>
      </c>
      <c r="AU203" s="41">
        <f>SUM($AJ203:AJ203)</f>
        <v>0</v>
      </c>
      <c r="AV203" s="41">
        <f>SUM($AJ203:AK203)</f>
        <v>0</v>
      </c>
      <c r="AW203" s="41">
        <f>SUM($AJ203:AL203)</f>
        <v>0</v>
      </c>
      <c r="AX203" s="41">
        <f>SUM($AJ203:AM203)</f>
        <v>0</v>
      </c>
      <c r="AY203" s="41">
        <f>SUM($AJ203:AN203)</f>
        <v>0</v>
      </c>
      <c r="AZ203" s="41">
        <f>SUM($AJ203:AO203)</f>
        <v>0</v>
      </c>
      <c r="BA203" s="41">
        <f>SUM($AJ203:AP203)</f>
        <v>0</v>
      </c>
      <c r="BB203" s="41">
        <f>SUM($AJ203:AQ203)</f>
        <v>0</v>
      </c>
      <c r="BC203" s="41">
        <f>SUM($AJ203:AR203)</f>
        <v>0</v>
      </c>
      <c r="BD203" s="41">
        <f>SUM($AJ203:AS203)</f>
        <v>0</v>
      </c>
      <c r="BE203" s="41">
        <f>SUM($AJ203:AT203)</f>
        <v>0</v>
      </c>
      <c r="BF203" s="41" t="str">
        <f t="shared" si="77"/>
        <v/>
      </c>
      <c r="BG203" s="41" t="str">
        <f t="shared" si="78"/>
        <v/>
      </c>
      <c r="BH203" s="41" t="str">
        <f t="shared" si="79"/>
        <v/>
      </c>
      <c r="BI203" s="41" t="str">
        <f t="shared" si="80"/>
        <v/>
      </c>
      <c r="BJ203" s="41" t="str">
        <f t="shared" si="81"/>
        <v/>
      </c>
      <c r="BK203" s="41" t="str">
        <f t="shared" si="82"/>
        <v/>
      </c>
      <c r="BL203" s="41" t="str">
        <f t="shared" si="83"/>
        <v/>
      </c>
      <c r="BM203" s="41" t="str">
        <f t="shared" si="84"/>
        <v/>
      </c>
      <c r="BN203" s="41" t="str">
        <f t="shared" si="85"/>
        <v/>
      </c>
      <c r="BO203" s="41" t="str">
        <f t="shared" si="86"/>
        <v/>
      </c>
      <c r="BP203" s="41" t="str">
        <f t="shared" si="87"/>
        <v/>
      </c>
      <c r="BQ203" s="11"/>
      <c r="BR203" s="11"/>
    </row>
    <row r="204" spans="1:70" ht="15" customHeight="1" x14ac:dyDescent="0.25">
      <c r="A204" s="957">
        <f t="shared" si="75"/>
        <v>0</v>
      </c>
      <c r="S204" s="4"/>
      <c r="T204" s="1204"/>
      <c r="U204" s="4074" t="str">
        <f t="shared" si="76"/>
        <v/>
      </c>
      <c r="V204" s="137">
        <f t="shared" si="89"/>
        <v>69</v>
      </c>
      <c r="W204" s="2130">
        <f t="shared" si="88"/>
        <v>0.69800000000000006</v>
      </c>
      <c r="X204" s="2130">
        <f t="shared" si="88"/>
        <v>0.79600000000000004</v>
      </c>
      <c r="Y204" s="2130"/>
      <c r="Z204" s="2130"/>
      <c r="AA204" s="2130"/>
      <c r="AB204" s="2130"/>
      <c r="AC204" s="2130"/>
      <c r="AD204" s="2130"/>
      <c r="AE204" s="2130"/>
      <c r="AF204" s="2130"/>
      <c r="AG204" s="101"/>
      <c r="AH204" s="6"/>
      <c r="AI204" s="11"/>
      <c r="AJ204" s="41">
        <f t="shared" si="74"/>
        <v>0</v>
      </c>
      <c r="AK204" s="41">
        <f>IF(ISERROR(HLOOKUP(AK$134,'Improved Sales Adjustments'!$G$7:$ZP$147,68,FALSE)),0,IF(HLOOKUP(AK$134,'Improved Sales Adjustments'!$G$7:$ZP$147,68,FALSE)="",0,IF($V204=HLOOKUP(AK$134,'Improved Sales Adjustments'!$G$7:$ZP$147,68,FALSE),1,0)))</f>
        <v>0</v>
      </c>
      <c r="AL204" s="41">
        <f>IF(ISERROR(HLOOKUP(AL$134,'Improved Sales Adjustments'!$G$7:$ZP$147,68,FALSE)),0,IF(HLOOKUP(AL$134,'Improved Sales Adjustments'!$G$7:$ZP$147,68,FALSE)="",0,IF($V204=HLOOKUP(AL$134,'Improved Sales Adjustments'!$G$7:$ZP$147,68,FALSE),1,0)))</f>
        <v>0</v>
      </c>
      <c r="AM204" s="41">
        <f>IF(ISERROR(HLOOKUP(AM$134,'Improved Sales Adjustments'!$G$7:$ZP$147,68,FALSE)),0,IF(HLOOKUP(AM$134,'Improved Sales Adjustments'!$G$7:$ZP$147,68,FALSE)="",0,IF($V204=HLOOKUP(AM$134,'Improved Sales Adjustments'!$G$7:$ZP$147,68,FALSE),1,0)))</f>
        <v>0</v>
      </c>
      <c r="AN204" s="41">
        <f>IF(ISERROR(HLOOKUP(AN$134,'Improved Sales Adjustments'!$G$7:$ZP$147,68,FALSE)),0,IF(HLOOKUP(AN$134,'Improved Sales Adjustments'!$G$7:$ZP$147,68,FALSE)="",0,IF($V204=HLOOKUP(AN$134,'Improved Sales Adjustments'!$G$7:$ZP$147,68,FALSE),1,0)))</f>
        <v>0</v>
      </c>
      <c r="AO204" s="41">
        <f>IF(ISERROR(HLOOKUP(AO$134,'Improved Sales Adjustments'!$G$7:$ZP$147,68,FALSE)),0,IF(HLOOKUP(AO$134,'Improved Sales Adjustments'!$G$7:$ZP$147,68,FALSE)="",0,IF($V204=HLOOKUP(AO$134,'Improved Sales Adjustments'!$G$7:$ZP$147,68,FALSE),1,0)))</f>
        <v>0</v>
      </c>
      <c r="AP204" s="41">
        <f>IF(ISERROR(HLOOKUP(AP$134,'Improved Sales Adjustments'!$G$7:$ZP$147,68,FALSE)),0,IF(HLOOKUP(AP$134,'Improved Sales Adjustments'!$G$7:$ZP$147,68,FALSE)="",0,IF($V204=HLOOKUP(AP$134,'Improved Sales Adjustments'!$G$7:$ZP$147,68,FALSE),1,0)))</f>
        <v>0</v>
      </c>
      <c r="AQ204" s="41">
        <f>IF(ISERROR(HLOOKUP(AQ$134,'Improved Sales Adjustments'!$G$7:$ZP$147,68,FALSE)),0,IF(HLOOKUP(AQ$134,'Improved Sales Adjustments'!$G$7:$ZP$147,68,FALSE)="",0,IF($V204=HLOOKUP(AQ$134,'Improved Sales Adjustments'!$G$7:$ZP$147,68,FALSE),1,0)))</f>
        <v>0</v>
      </c>
      <c r="AR204" s="41">
        <f>IF(ISERROR(HLOOKUP(AR$134,'Improved Sales Adjustments'!$G$7:$ZP$147,68,FALSE)),0,IF(HLOOKUP(AR$134,'Improved Sales Adjustments'!$G$7:$ZP$147,68,FALSE)="",0,IF($V204=HLOOKUP(AR$134,'Improved Sales Adjustments'!$G$7:$ZP$147,68,FALSE),1,0)))</f>
        <v>0</v>
      </c>
      <c r="AS204" s="41">
        <f>IF(ISERROR(HLOOKUP(AS$134,'Improved Sales Adjustments'!$G$7:$ZP$147,68,FALSE)),0,IF(HLOOKUP(AS$134,'Improved Sales Adjustments'!$G$7:$ZP$147,68,FALSE)="",0,IF($V204=HLOOKUP(AS$134,'Improved Sales Adjustments'!$G$7:$ZP$147,68,FALSE),1,0)))</f>
        <v>0</v>
      </c>
      <c r="AT204" s="41">
        <f>IF(ISERROR(HLOOKUP(AT$134,'Improved Sales Adjustments'!$G$7:$ZP$147,68,FALSE)),0,IF(HLOOKUP(AT$134,'Improved Sales Adjustments'!$G$7:$ZP$147,68,FALSE)="",0,IF($V204=HLOOKUP(AT$134,'Improved Sales Adjustments'!$G$7:$ZP$147,68,FALSE),1,0)))</f>
        <v>0</v>
      </c>
      <c r="AU204" s="41">
        <f>SUM($AJ204:AJ204)</f>
        <v>0</v>
      </c>
      <c r="AV204" s="41">
        <f>SUM($AJ204:AK204)</f>
        <v>0</v>
      </c>
      <c r="AW204" s="41">
        <f>SUM($AJ204:AL204)</f>
        <v>0</v>
      </c>
      <c r="AX204" s="41">
        <f>SUM($AJ204:AM204)</f>
        <v>0</v>
      </c>
      <c r="AY204" s="41">
        <f>SUM($AJ204:AN204)</f>
        <v>0</v>
      </c>
      <c r="AZ204" s="41">
        <f>SUM($AJ204:AO204)</f>
        <v>0</v>
      </c>
      <c r="BA204" s="41">
        <f>SUM($AJ204:AP204)</f>
        <v>0</v>
      </c>
      <c r="BB204" s="41">
        <f>SUM($AJ204:AQ204)</f>
        <v>0</v>
      </c>
      <c r="BC204" s="41">
        <f>SUM($AJ204:AR204)</f>
        <v>0</v>
      </c>
      <c r="BD204" s="41">
        <f>SUM($AJ204:AS204)</f>
        <v>0</v>
      </c>
      <c r="BE204" s="41">
        <f>SUM($AJ204:AT204)</f>
        <v>0</v>
      </c>
      <c r="BF204" s="41" t="str">
        <f t="shared" si="77"/>
        <v/>
      </c>
      <c r="BG204" s="41" t="str">
        <f t="shared" si="78"/>
        <v/>
      </c>
      <c r="BH204" s="41" t="str">
        <f t="shared" si="79"/>
        <v/>
      </c>
      <c r="BI204" s="41" t="str">
        <f t="shared" si="80"/>
        <v/>
      </c>
      <c r="BJ204" s="41" t="str">
        <f t="shared" si="81"/>
        <v/>
      </c>
      <c r="BK204" s="41" t="str">
        <f t="shared" si="82"/>
        <v/>
      </c>
      <c r="BL204" s="41" t="str">
        <f t="shared" si="83"/>
        <v/>
      </c>
      <c r="BM204" s="41" t="str">
        <f t="shared" si="84"/>
        <v/>
      </c>
      <c r="BN204" s="41" t="str">
        <f t="shared" si="85"/>
        <v/>
      </c>
      <c r="BO204" s="41" t="str">
        <f t="shared" si="86"/>
        <v/>
      </c>
      <c r="BP204" s="41" t="str">
        <f t="shared" si="87"/>
        <v/>
      </c>
      <c r="BQ204" s="11"/>
      <c r="BR204" s="11"/>
    </row>
    <row r="205" spans="1:70" ht="15" customHeight="1" x14ac:dyDescent="0.25">
      <c r="A205" s="957">
        <f t="shared" si="75"/>
        <v>0</v>
      </c>
      <c r="S205" s="4"/>
      <c r="T205" s="1204"/>
      <c r="U205" s="4074" t="str">
        <f t="shared" si="76"/>
        <v/>
      </c>
      <c r="V205" s="137">
        <f t="shared" si="89"/>
        <v>70</v>
      </c>
      <c r="W205" s="2129">
        <v>0.71</v>
      </c>
      <c r="X205" s="2130">
        <v>0.8</v>
      </c>
      <c r="Y205" s="2130"/>
      <c r="Z205" s="2130"/>
      <c r="AA205" s="2130"/>
      <c r="AB205" s="2130"/>
      <c r="AC205" s="2130"/>
      <c r="AD205" s="2130"/>
      <c r="AE205" s="2130"/>
      <c r="AF205" s="2130"/>
      <c r="AG205" s="101"/>
      <c r="AH205" s="6"/>
      <c r="AI205" s="11"/>
      <c r="AJ205" s="41">
        <f t="shared" si="74"/>
        <v>0</v>
      </c>
      <c r="AK205" s="41">
        <f>IF(ISERROR(HLOOKUP(AK$134,'Improved Sales Adjustments'!$G$7:$ZP$147,68,FALSE)),0,IF(HLOOKUP(AK$134,'Improved Sales Adjustments'!$G$7:$ZP$147,68,FALSE)="",0,IF($V205=HLOOKUP(AK$134,'Improved Sales Adjustments'!$G$7:$ZP$147,68,FALSE),1,0)))</f>
        <v>0</v>
      </c>
      <c r="AL205" s="41">
        <f>IF(ISERROR(HLOOKUP(AL$134,'Improved Sales Adjustments'!$G$7:$ZP$147,68,FALSE)),0,IF(HLOOKUP(AL$134,'Improved Sales Adjustments'!$G$7:$ZP$147,68,FALSE)="",0,IF($V205=HLOOKUP(AL$134,'Improved Sales Adjustments'!$G$7:$ZP$147,68,FALSE),1,0)))</f>
        <v>0</v>
      </c>
      <c r="AM205" s="41">
        <f>IF(ISERROR(HLOOKUP(AM$134,'Improved Sales Adjustments'!$G$7:$ZP$147,68,FALSE)),0,IF(HLOOKUP(AM$134,'Improved Sales Adjustments'!$G$7:$ZP$147,68,FALSE)="",0,IF($V205=HLOOKUP(AM$134,'Improved Sales Adjustments'!$G$7:$ZP$147,68,FALSE),1,0)))</f>
        <v>0</v>
      </c>
      <c r="AN205" s="41">
        <f>IF(ISERROR(HLOOKUP(AN$134,'Improved Sales Adjustments'!$G$7:$ZP$147,68,FALSE)),0,IF(HLOOKUP(AN$134,'Improved Sales Adjustments'!$G$7:$ZP$147,68,FALSE)="",0,IF($V205=HLOOKUP(AN$134,'Improved Sales Adjustments'!$G$7:$ZP$147,68,FALSE),1,0)))</f>
        <v>0</v>
      </c>
      <c r="AO205" s="41">
        <f>IF(ISERROR(HLOOKUP(AO$134,'Improved Sales Adjustments'!$G$7:$ZP$147,68,FALSE)),0,IF(HLOOKUP(AO$134,'Improved Sales Adjustments'!$G$7:$ZP$147,68,FALSE)="",0,IF($V205=HLOOKUP(AO$134,'Improved Sales Adjustments'!$G$7:$ZP$147,68,FALSE),1,0)))</f>
        <v>0</v>
      </c>
      <c r="AP205" s="41">
        <f>IF(ISERROR(HLOOKUP(AP$134,'Improved Sales Adjustments'!$G$7:$ZP$147,68,FALSE)),0,IF(HLOOKUP(AP$134,'Improved Sales Adjustments'!$G$7:$ZP$147,68,FALSE)="",0,IF($V205=HLOOKUP(AP$134,'Improved Sales Adjustments'!$G$7:$ZP$147,68,FALSE),1,0)))</f>
        <v>0</v>
      </c>
      <c r="AQ205" s="41">
        <f>IF(ISERROR(HLOOKUP(AQ$134,'Improved Sales Adjustments'!$G$7:$ZP$147,68,FALSE)),0,IF(HLOOKUP(AQ$134,'Improved Sales Adjustments'!$G$7:$ZP$147,68,FALSE)="",0,IF($V205=HLOOKUP(AQ$134,'Improved Sales Adjustments'!$G$7:$ZP$147,68,FALSE),1,0)))</f>
        <v>0</v>
      </c>
      <c r="AR205" s="41">
        <f>IF(ISERROR(HLOOKUP(AR$134,'Improved Sales Adjustments'!$G$7:$ZP$147,68,FALSE)),0,IF(HLOOKUP(AR$134,'Improved Sales Adjustments'!$G$7:$ZP$147,68,FALSE)="",0,IF($V205=HLOOKUP(AR$134,'Improved Sales Adjustments'!$G$7:$ZP$147,68,FALSE),1,0)))</f>
        <v>0</v>
      </c>
      <c r="AS205" s="41">
        <f>IF(ISERROR(HLOOKUP(AS$134,'Improved Sales Adjustments'!$G$7:$ZP$147,68,FALSE)),0,IF(HLOOKUP(AS$134,'Improved Sales Adjustments'!$G$7:$ZP$147,68,FALSE)="",0,IF($V205=HLOOKUP(AS$134,'Improved Sales Adjustments'!$G$7:$ZP$147,68,FALSE),1,0)))</f>
        <v>0</v>
      </c>
      <c r="AT205" s="41">
        <f>IF(ISERROR(HLOOKUP(AT$134,'Improved Sales Adjustments'!$G$7:$ZP$147,68,FALSE)),0,IF(HLOOKUP(AT$134,'Improved Sales Adjustments'!$G$7:$ZP$147,68,FALSE)="",0,IF($V205=HLOOKUP(AT$134,'Improved Sales Adjustments'!$G$7:$ZP$147,68,FALSE),1,0)))</f>
        <v>0</v>
      </c>
      <c r="AU205" s="41">
        <f>SUM($AJ205:AJ205)</f>
        <v>0</v>
      </c>
      <c r="AV205" s="41">
        <f>SUM($AJ205:AK205)</f>
        <v>0</v>
      </c>
      <c r="AW205" s="41">
        <f>SUM($AJ205:AL205)</f>
        <v>0</v>
      </c>
      <c r="AX205" s="41">
        <f>SUM($AJ205:AM205)</f>
        <v>0</v>
      </c>
      <c r="AY205" s="41">
        <f>SUM($AJ205:AN205)</f>
        <v>0</v>
      </c>
      <c r="AZ205" s="41">
        <f>SUM($AJ205:AO205)</f>
        <v>0</v>
      </c>
      <c r="BA205" s="41">
        <f>SUM($AJ205:AP205)</f>
        <v>0</v>
      </c>
      <c r="BB205" s="41">
        <f>SUM($AJ205:AQ205)</f>
        <v>0</v>
      </c>
      <c r="BC205" s="41">
        <f>SUM($AJ205:AR205)</f>
        <v>0</v>
      </c>
      <c r="BD205" s="41">
        <f>SUM($AJ205:AS205)</f>
        <v>0</v>
      </c>
      <c r="BE205" s="41">
        <f>SUM($AJ205:AT205)</f>
        <v>0</v>
      </c>
      <c r="BF205" s="41" t="str">
        <f t="shared" si="77"/>
        <v/>
      </c>
      <c r="BG205" s="41" t="str">
        <f t="shared" si="78"/>
        <v/>
      </c>
      <c r="BH205" s="41" t="str">
        <f t="shared" si="79"/>
        <v/>
      </c>
      <c r="BI205" s="41" t="str">
        <f t="shared" si="80"/>
        <v/>
      </c>
      <c r="BJ205" s="41" t="str">
        <f t="shared" si="81"/>
        <v/>
      </c>
      <c r="BK205" s="41" t="str">
        <f t="shared" si="82"/>
        <v/>
      </c>
      <c r="BL205" s="41" t="str">
        <f t="shared" si="83"/>
        <v/>
      </c>
      <c r="BM205" s="41" t="str">
        <f t="shared" si="84"/>
        <v/>
      </c>
      <c r="BN205" s="41" t="str">
        <f t="shared" si="85"/>
        <v/>
      </c>
      <c r="BO205" s="41" t="str">
        <f t="shared" si="86"/>
        <v/>
      </c>
      <c r="BP205" s="41" t="str">
        <f t="shared" si="87"/>
        <v/>
      </c>
      <c r="BQ205" s="11"/>
      <c r="BR205" s="11"/>
    </row>
    <row r="206" spans="1:70" ht="15" customHeight="1" x14ac:dyDescent="0.25">
      <c r="A206" s="957">
        <f t="shared" si="75"/>
        <v>0</v>
      </c>
      <c r="S206" s="4"/>
      <c r="T206" s="1204"/>
      <c r="U206" s="4074" t="str">
        <f t="shared" si="76"/>
        <v/>
      </c>
      <c r="V206" s="137">
        <f t="shared" si="89"/>
        <v>71</v>
      </c>
      <c r="W206" s="2130">
        <f>((W$210-W$205)/5)+W205</f>
        <v>0.71799999999999997</v>
      </c>
      <c r="X206" s="2130"/>
      <c r="Y206" s="2130"/>
      <c r="Z206" s="2130"/>
      <c r="AA206" s="2130"/>
      <c r="AB206" s="2130"/>
      <c r="AC206" s="2130"/>
      <c r="AD206" s="2130"/>
      <c r="AE206" s="2130"/>
      <c r="AF206" s="2130"/>
      <c r="AG206" s="101"/>
      <c r="AH206" s="6"/>
      <c r="AI206" s="11"/>
      <c r="AJ206" s="41">
        <f t="shared" si="74"/>
        <v>0</v>
      </c>
      <c r="AK206" s="41">
        <f>IF(ISERROR(HLOOKUP(AK$134,'Improved Sales Adjustments'!$G$7:$ZP$147,68,FALSE)),0,IF(HLOOKUP(AK$134,'Improved Sales Adjustments'!$G$7:$ZP$147,68,FALSE)="",0,IF($V206=HLOOKUP(AK$134,'Improved Sales Adjustments'!$G$7:$ZP$147,68,FALSE),1,0)))</f>
        <v>0</v>
      </c>
      <c r="AL206" s="41">
        <f>IF(ISERROR(HLOOKUP(AL$134,'Improved Sales Adjustments'!$G$7:$ZP$147,68,FALSE)),0,IF(HLOOKUP(AL$134,'Improved Sales Adjustments'!$G$7:$ZP$147,68,FALSE)="",0,IF($V206=HLOOKUP(AL$134,'Improved Sales Adjustments'!$G$7:$ZP$147,68,FALSE),1,0)))</f>
        <v>0</v>
      </c>
      <c r="AM206" s="41">
        <f>IF(ISERROR(HLOOKUP(AM$134,'Improved Sales Adjustments'!$G$7:$ZP$147,68,FALSE)),0,IF(HLOOKUP(AM$134,'Improved Sales Adjustments'!$G$7:$ZP$147,68,FALSE)="",0,IF($V206=HLOOKUP(AM$134,'Improved Sales Adjustments'!$G$7:$ZP$147,68,FALSE),1,0)))</f>
        <v>0</v>
      </c>
      <c r="AN206" s="41">
        <f>IF(ISERROR(HLOOKUP(AN$134,'Improved Sales Adjustments'!$G$7:$ZP$147,68,FALSE)),0,IF(HLOOKUP(AN$134,'Improved Sales Adjustments'!$G$7:$ZP$147,68,FALSE)="",0,IF($V206=HLOOKUP(AN$134,'Improved Sales Adjustments'!$G$7:$ZP$147,68,FALSE),1,0)))</f>
        <v>0</v>
      </c>
      <c r="AO206" s="41">
        <f>IF(ISERROR(HLOOKUP(AO$134,'Improved Sales Adjustments'!$G$7:$ZP$147,68,FALSE)),0,IF(HLOOKUP(AO$134,'Improved Sales Adjustments'!$G$7:$ZP$147,68,FALSE)="",0,IF($V206=HLOOKUP(AO$134,'Improved Sales Adjustments'!$G$7:$ZP$147,68,FALSE),1,0)))</f>
        <v>0</v>
      </c>
      <c r="AP206" s="41">
        <f>IF(ISERROR(HLOOKUP(AP$134,'Improved Sales Adjustments'!$G$7:$ZP$147,68,FALSE)),0,IF(HLOOKUP(AP$134,'Improved Sales Adjustments'!$G$7:$ZP$147,68,FALSE)="",0,IF($V206=HLOOKUP(AP$134,'Improved Sales Adjustments'!$G$7:$ZP$147,68,FALSE),1,0)))</f>
        <v>0</v>
      </c>
      <c r="AQ206" s="41">
        <f>IF(ISERROR(HLOOKUP(AQ$134,'Improved Sales Adjustments'!$G$7:$ZP$147,68,FALSE)),0,IF(HLOOKUP(AQ$134,'Improved Sales Adjustments'!$G$7:$ZP$147,68,FALSE)="",0,IF($V206=HLOOKUP(AQ$134,'Improved Sales Adjustments'!$G$7:$ZP$147,68,FALSE),1,0)))</f>
        <v>0</v>
      </c>
      <c r="AR206" s="41">
        <f>IF(ISERROR(HLOOKUP(AR$134,'Improved Sales Adjustments'!$G$7:$ZP$147,68,FALSE)),0,IF(HLOOKUP(AR$134,'Improved Sales Adjustments'!$G$7:$ZP$147,68,FALSE)="",0,IF($V206=HLOOKUP(AR$134,'Improved Sales Adjustments'!$G$7:$ZP$147,68,FALSE),1,0)))</f>
        <v>0</v>
      </c>
      <c r="AS206" s="41">
        <f>IF(ISERROR(HLOOKUP(AS$134,'Improved Sales Adjustments'!$G$7:$ZP$147,68,FALSE)),0,IF(HLOOKUP(AS$134,'Improved Sales Adjustments'!$G$7:$ZP$147,68,FALSE)="",0,IF($V206=HLOOKUP(AS$134,'Improved Sales Adjustments'!$G$7:$ZP$147,68,FALSE),1,0)))</f>
        <v>0</v>
      </c>
      <c r="AT206" s="41">
        <f>IF(ISERROR(HLOOKUP(AT$134,'Improved Sales Adjustments'!$G$7:$ZP$147,68,FALSE)),0,IF(HLOOKUP(AT$134,'Improved Sales Adjustments'!$G$7:$ZP$147,68,FALSE)="",0,IF($V206=HLOOKUP(AT$134,'Improved Sales Adjustments'!$G$7:$ZP$147,68,FALSE),1,0)))</f>
        <v>0</v>
      </c>
      <c r="AU206" s="41">
        <f>SUM($AJ206:AJ206)</f>
        <v>0</v>
      </c>
      <c r="AV206" s="41">
        <f>SUM($AJ206:AK206)</f>
        <v>0</v>
      </c>
      <c r="AW206" s="41">
        <f>SUM($AJ206:AL206)</f>
        <v>0</v>
      </c>
      <c r="AX206" s="41">
        <f>SUM($AJ206:AM206)</f>
        <v>0</v>
      </c>
      <c r="AY206" s="41">
        <f>SUM($AJ206:AN206)</f>
        <v>0</v>
      </c>
      <c r="AZ206" s="41">
        <f>SUM($AJ206:AO206)</f>
        <v>0</v>
      </c>
      <c r="BA206" s="41">
        <f>SUM($AJ206:AP206)</f>
        <v>0</v>
      </c>
      <c r="BB206" s="41">
        <f>SUM($AJ206:AQ206)</f>
        <v>0</v>
      </c>
      <c r="BC206" s="41">
        <f>SUM($AJ206:AR206)</f>
        <v>0</v>
      </c>
      <c r="BD206" s="41">
        <f>SUM($AJ206:AS206)</f>
        <v>0</v>
      </c>
      <c r="BE206" s="41">
        <f>SUM($AJ206:AT206)</f>
        <v>0</v>
      </c>
      <c r="BF206" s="41" t="str">
        <f t="shared" si="77"/>
        <v/>
      </c>
      <c r="BG206" s="41" t="str">
        <f t="shared" si="78"/>
        <v/>
      </c>
      <c r="BH206" s="41" t="str">
        <f t="shared" si="79"/>
        <v/>
      </c>
      <c r="BI206" s="41" t="str">
        <f t="shared" si="80"/>
        <v/>
      </c>
      <c r="BJ206" s="41" t="str">
        <f t="shared" si="81"/>
        <v/>
      </c>
      <c r="BK206" s="41" t="str">
        <f t="shared" si="82"/>
        <v/>
      </c>
      <c r="BL206" s="41" t="str">
        <f t="shared" si="83"/>
        <v/>
      </c>
      <c r="BM206" s="41" t="str">
        <f t="shared" si="84"/>
        <v/>
      </c>
      <c r="BN206" s="41" t="str">
        <f t="shared" si="85"/>
        <v/>
      </c>
      <c r="BO206" s="41" t="str">
        <f t="shared" si="86"/>
        <v/>
      </c>
      <c r="BP206" s="41" t="str">
        <f t="shared" si="87"/>
        <v/>
      </c>
      <c r="BQ206" s="11"/>
      <c r="BR206" s="11"/>
    </row>
    <row r="207" spans="1:70" ht="15" customHeight="1" x14ac:dyDescent="0.25">
      <c r="A207" s="957">
        <f t="shared" si="75"/>
        <v>0</v>
      </c>
      <c r="S207" s="4"/>
      <c r="T207" s="1204"/>
      <c r="U207" s="4074" t="str">
        <f t="shared" si="76"/>
        <v/>
      </c>
      <c r="V207" s="137">
        <f t="shared" si="89"/>
        <v>72</v>
      </c>
      <c r="W207" s="2130">
        <f>((W$210-W$205)/5)+W206</f>
        <v>0.72599999999999998</v>
      </c>
      <c r="X207" s="2130"/>
      <c r="Y207" s="2130"/>
      <c r="Z207" s="2130"/>
      <c r="AA207" s="2130"/>
      <c r="AB207" s="2130"/>
      <c r="AC207" s="2130"/>
      <c r="AD207" s="2130"/>
      <c r="AE207" s="2130"/>
      <c r="AF207" s="2130"/>
      <c r="AG207" s="101"/>
      <c r="AH207" s="6"/>
      <c r="AI207" s="11"/>
      <c r="AJ207" s="41">
        <f t="shared" si="74"/>
        <v>0</v>
      </c>
      <c r="AK207" s="41">
        <f>IF(ISERROR(HLOOKUP(AK$134,'Improved Sales Adjustments'!$G$7:$ZP$147,68,FALSE)),0,IF(HLOOKUP(AK$134,'Improved Sales Adjustments'!$G$7:$ZP$147,68,FALSE)="",0,IF($V207=HLOOKUP(AK$134,'Improved Sales Adjustments'!$G$7:$ZP$147,68,FALSE),1,0)))</f>
        <v>0</v>
      </c>
      <c r="AL207" s="41">
        <f>IF(ISERROR(HLOOKUP(AL$134,'Improved Sales Adjustments'!$G$7:$ZP$147,68,FALSE)),0,IF(HLOOKUP(AL$134,'Improved Sales Adjustments'!$G$7:$ZP$147,68,FALSE)="",0,IF($V207=HLOOKUP(AL$134,'Improved Sales Adjustments'!$G$7:$ZP$147,68,FALSE),1,0)))</f>
        <v>0</v>
      </c>
      <c r="AM207" s="41">
        <f>IF(ISERROR(HLOOKUP(AM$134,'Improved Sales Adjustments'!$G$7:$ZP$147,68,FALSE)),0,IF(HLOOKUP(AM$134,'Improved Sales Adjustments'!$G$7:$ZP$147,68,FALSE)="",0,IF($V207=HLOOKUP(AM$134,'Improved Sales Adjustments'!$G$7:$ZP$147,68,FALSE),1,0)))</f>
        <v>0</v>
      </c>
      <c r="AN207" s="41">
        <f>IF(ISERROR(HLOOKUP(AN$134,'Improved Sales Adjustments'!$G$7:$ZP$147,68,FALSE)),0,IF(HLOOKUP(AN$134,'Improved Sales Adjustments'!$G$7:$ZP$147,68,FALSE)="",0,IF($V207=HLOOKUP(AN$134,'Improved Sales Adjustments'!$G$7:$ZP$147,68,FALSE),1,0)))</f>
        <v>0</v>
      </c>
      <c r="AO207" s="41">
        <f>IF(ISERROR(HLOOKUP(AO$134,'Improved Sales Adjustments'!$G$7:$ZP$147,68,FALSE)),0,IF(HLOOKUP(AO$134,'Improved Sales Adjustments'!$G$7:$ZP$147,68,FALSE)="",0,IF($V207=HLOOKUP(AO$134,'Improved Sales Adjustments'!$G$7:$ZP$147,68,FALSE),1,0)))</f>
        <v>0</v>
      </c>
      <c r="AP207" s="41">
        <f>IF(ISERROR(HLOOKUP(AP$134,'Improved Sales Adjustments'!$G$7:$ZP$147,68,FALSE)),0,IF(HLOOKUP(AP$134,'Improved Sales Adjustments'!$G$7:$ZP$147,68,FALSE)="",0,IF($V207=HLOOKUP(AP$134,'Improved Sales Adjustments'!$G$7:$ZP$147,68,FALSE),1,0)))</f>
        <v>0</v>
      </c>
      <c r="AQ207" s="41">
        <f>IF(ISERROR(HLOOKUP(AQ$134,'Improved Sales Adjustments'!$G$7:$ZP$147,68,FALSE)),0,IF(HLOOKUP(AQ$134,'Improved Sales Adjustments'!$G$7:$ZP$147,68,FALSE)="",0,IF($V207=HLOOKUP(AQ$134,'Improved Sales Adjustments'!$G$7:$ZP$147,68,FALSE),1,0)))</f>
        <v>0</v>
      </c>
      <c r="AR207" s="41">
        <f>IF(ISERROR(HLOOKUP(AR$134,'Improved Sales Adjustments'!$G$7:$ZP$147,68,FALSE)),0,IF(HLOOKUP(AR$134,'Improved Sales Adjustments'!$G$7:$ZP$147,68,FALSE)="",0,IF($V207=HLOOKUP(AR$134,'Improved Sales Adjustments'!$G$7:$ZP$147,68,FALSE),1,0)))</f>
        <v>0</v>
      </c>
      <c r="AS207" s="41">
        <f>IF(ISERROR(HLOOKUP(AS$134,'Improved Sales Adjustments'!$G$7:$ZP$147,68,FALSE)),0,IF(HLOOKUP(AS$134,'Improved Sales Adjustments'!$G$7:$ZP$147,68,FALSE)="",0,IF($V207=HLOOKUP(AS$134,'Improved Sales Adjustments'!$G$7:$ZP$147,68,FALSE),1,0)))</f>
        <v>0</v>
      </c>
      <c r="AT207" s="41">
        <f>IF(ISERROR(HLOOKUP(AT$134,'Improved Sales Adjustments'!$G$7:$ZP$147,68,FALSE)),0,IF(HLOOKUP(AT$134,'Improved Sales Adjustments'!$G$7:$ZP$147,68,FALSE)="",0,IF($V207=HLOOKUP(AT$134,'Improved Sales Adjustments'!$G$7:$ZP$147,68,FALSE),1,0)))</f>
        <v>0</v>
      </c>
      <c r="AU207" s="41">
        <f>SUM($AJ207:AJ207)</f>
        <v>0</v>
      </c>
      <c r="AV207" s="41">
        <f>SUM($AJ207:AK207)</f>
        <v>0</v>
      </c>
      <c r="AW207" s="41">
        <f>SUM($AJ207:AL207)</f>
        <v>0</v>
      </c>
      <c r="AX207" s="41">
        <f>SUM($AJ207:AM207)</f>
        <v>0</v>
      </c>
      <c r="AY207" s="41">
        <f>SUM($AJ207:AN207)</f>
        <v>0</v>
      </c>
      <c r="AZ207" s="41">
        <f>SUM($AJ207:AO207)</f>
        <v>0</v>
      </c>
      <c r="BA207" s="41">
        <f>SUM($AJ207:AP207)</f>
        <v>0</v>
      </c>
      <c r="BB207" s="41">
        <f>SUM($AJ207:AQ207)</f>
        <v>0</v>
      </c>
      <c r="BC207" s="41">
        <f>SUM($AJ207:AR207)</f>
        <v>0</v>
      </c>
      <c r="BD207" s="41">
        <f>SUM($AJ207:AS207)</f>
        <v>0</v>
      </c>
      <c r="BE207" s="41">
        <f>SUM($AJ207:AT207)</f>
        <v>0</v>
      </c>
      <c r="BF207" s="41" t="str">
        <f t="shared" si="77"/>
        <v/>
      </c>
      <c r="BG207" s="41" t="str">
        <f t="shared" si="78"/>
        <v/>
      </c>
      <c r="BH207" s="41" t="str">
        <f t="shared" si="79"/>
        <v/>
      </c>
      <c r="BI207" s="41" t="str">
        <f t="shared" si="80"/>
        <v/>
      </c>
      <c r="BJ207" s="41" t="str">
        <f t="shared" si="81"/>
        <v/>
      </c>
      <c r="BK207" s="41" t="str">
        <f t="shared" si="82"/>
        <v/>
      </c>
      <c r="BL207" s="41" t="str">
        <f t="shared" si="83"/>
        <v/>
      </c>
      <c r="BM207" s="41" t="str">
        <f t="shared" si="84"/>
        <v/>
      </c>
      <c r="BN207" s="41" t="str">
        <f t="shared" si="85"/>
        <v/>
      </c>
      <c r="BO207" s="41" t="str">
        <f t="shared" si="86"/>
        <v/>
      </c>
      <c r="BP207" s="41" t="str">
        <f t="shared" si="87"/>
        <v/>
      </c>
      <c r="BQ207" s="11"/>
      <c r="BR207" s="11"/>
    </row>
    <row r="208" spans="1:70" ht="15" customHeight="1" x14ac:dyDescent="0.25">
      <c r="A208" s="957">
        <f t="shared" si="75"/>
        <v>0</v>
      </c>
      <c r="S208" s="4"/>
      <c r="T208" s="1204"/>
      <c r="U208" s="4074" t="str">
        <f t="shared" si="76"/>
        <v/>
      </c>
      <c r="V208" s="137">
        <f t="shared" si="89"/>
        <v>73</v>
      </c>
      <c r="W208" s="2130">
        <f>((W$210-W$205)/5)+W207</f>
        <v>0.73399999999999999</v>
      </c>
      <c r="X208" s="2130"/>
      <c r="Y208" s="2130"/>
      <c r="Z208" s="2130"/>
      <c r="AA208" s="2130"/>
      <c r="AB208" s="2130"/>
      <c r="AC208" s="2130"/>
      <c r="AD208" s="2130"/>
      <c r="AE208" s="2130"/>
      <c r="AF208" s="2130"/>
      <c r="AG208" s="101"/>
      <c r="AH208" s="6"/>
      <c r="AI208" s="11"/>
      <c r="AJ208" s="41">
        <f t="shared" si="74"/>
        <v>0</v>
      </c>
      <c r="AK208" s="41">
        <f>IF(ISERROR(HLOOKUP(AK$134,'Improved Sales Adjustments'!$G$7:$ZP$147,68,FALSE)),0,IF(HLOOKUP(AK$134,'Improved Sales Adjustments'!$G$7:$ZP$147,68,FALSE)="",0,IF($V208=HLOOKUP(AK$134,'Improved Sales Adjustments'!$G$7:$ZP$147,68,FALSE),1,0)))</f>
        <v>0</v>
      </c>
      <c r="AL208" s="41">
        <f>IF(ISERROR(HLOOKUP(AL$134,'Improved Sales Adjustments'!$G$7:$ZP$147,68,FALSE)),0,IF(HLOOKUP(AL$134,'Improved Sales Adjustments'!$G$7:$ZP$147,68,FALSE)="",0,IF($V208=HLOOKUP(AL$134,'Improved Sales Adjustments'!$G$7:$ZP$147,68,FALSE),1,0)))</f>
        <v>0</v>
      </c>
      <c r="AM208" s="41">
        <f>IF(ISERROR(HLOOKUP(AM$134,'Improved Sales Adjustments'!$G$7:$ZP$147,68,FALSE)),0,IF(HLOOKUP(AM$134,'Improved Sales Adjustments'!$G$7:$ZP$147,68,FALSE)="",0,IF($V208=HLOOKUP(AM$134,'Improved Sales Adjustments'!$G$7:$ZP$147,68,FALSE),1,0)))</f>
        <v>0</v>
      </c>
      <c r="AN208" s="41">
        <f>IF(ISERROR(HLOOKUP(AN$134,'Improved Sales Adjustments'!$G$7:$ZP$147,68,FALSE)),0,IF(HLOOKUP(AN$134,'Improved Sales Adjustments'!$G$7:$ZP$147,68,FALSE)="",0,IF($V208=HLOOKUP(AN$134,'Improved Sales Adjustments'!$G$7:$ZP$147,68,FALSE),1,0)))</f>
        <v>0</v>
      </c>
      <c r="AO208" s="41">
        <f>IF(ISERROR(HLOOKUP(AO$134,'Improved Sales Adjustments'!$G$7:$ZP$147,68,FALSE)),0,IF(HLOOKUP(AO$134,'Improved Sales Adjustments'!$G$7:$ZP$147,68,FALSE)="",0,IF($V208=HLOOKUP(AO$134,'Improved Sales Adjustments'!$G$7:$ZP$147,68,FALSE),1,0)))</f>
        <v>0</v>
      </c>
      <c r="AP208" s="41">
        <f>IF(ISERROR(HLOOKUP(AP$134,'Improved Sales Adjustments'!$G$7:$ZP$147,68,FALSE)),0,IF(HLOOKUP(AP$134,'Improved Sales Adjustments'!$G$7:$ZP$147,68,FALSE)="",0,IF($V208=HLOOKUP(AP$134,'Improved Sales Adjustments'!$G$7:$ZP$147,68,FALSE),1,0)))</f>
        <v>0</v>
      </c>
      <c r="AQ208" s="41">
        <f>IF(ISERROR(HLOOKUP(AQ$134,'Improved Sales Adjustments'!$G$7:$ZP$147,68,FALSE)),0,IF(HLOOKUP(AQ$134,'Improved Sales Adjustments'!$G$7:$ZP$147,68,FALSE)="",0,IF($V208=HLOOKUP(AQ$134,'Improved Sales Adjustments'!$G$7:$ZP$147,68,FALSE),1,0)))</f>
        <v>0</v>
      </c>
      <c r="AR208" s="41">
        <f>IF(ISERROR(HLOOKUP(AR$134,'Improved Sales Adjustments'!$G$7:$ZP$147,68,FALSE)),0,IF(HLOOKUP(AR$134,'Improved Sales Adjustments'!$G$7:$ZP$147,68,FALSE)="",0,IF($V208=HLOOKUP(AR$134,'Improved Sales Adjustments'!$G$7:$ZP$147,68,FALSE),1,0)))</f>
        <v>0</v>
      </c>
      <c r="AS208" s="41">
        <f>IF(ISERROR(HLOOKUP(AS$134,'Improved Sales Adjustments'!$G$7:$ZP$147,68,FALSE)),0,IF(HLOOKUP(AS$134,'Improved Sales Adjustments'!$G$7:$ZP$147,68,FALSE)="",0,IF($V208=HLOOKUP(AS$134,'Improved Sales Adjustments'!$G$7:$ZP$147,68,FALSE),1,0)))</f>
        <v>0</v>
      </c>
      <c r="AT208" s="41">
        <f>IF(ISERROR(HLOOKUP(AT$134,'Improved Sales Adjustments'!$G$7:$ZP$147,68,FALSE)),0,IF(HLOOKUP(AT$134,'Improved Sales Adjustments'!$G$7:$ZP$147,68,FALSE)="",0,IF($V208=HLOOKUP(AT$134,'Improved Sales Adjustments'!$G$7:$ZP$147,68,FALSE),1,0)))</f>
        <v>0</v>
      </c>
      <c r="AU208" s="41">
        <f>SUM($AJ208:AJ208)</f>
        <v>0</v>
      </c>
      <c r="AV208" s="41">
        <f>SUM($AJ208:AK208)</f>
        <v>0</v>
      </c>
      <c r="AW208" s="41">
        <f>SUM($AJ208:AL208)</f>
        <v>0</v>
      </c>
      <c r="AX208" s="41">
        <f>SUM($AJ208:AM208)</f>
        <v>0</v>
      </c>
      <c r="AY208" s="41">
        <f>SUM($AJ208:AN208)</f>
        <v>0</v>
      </c>
      <c r="AZ208" s="41">
        <f>SUM($AJ208:AO208)</f>
        <v>0</v>
      </c>
      <c r="BA208" s="41">
        <f>SUM($AJ208:AP208)</f>
        <v>0</v>
      </c>
      <c r="BB208" s="41">
        <f>SUM($AJ208:AQ208)</f>
        <v>0</v>
      </c>
      <c r="BC208" s="41">
        <f>SUM($AJ208:AR208)</f>
        <v>0</v>
      </c>
      <c r="BD208" s="41">
        <f>SUM($AJ208:AS208)</f>
        <v>0</v>
      </c>
      <c r="BE208" s="41">
        <f>SUM($AJ208:AT208)</f>
        <v>0</v>
      </c>
      <c r="BF208" s="41" t="str">
        <f t="shared" si="77"/>
        <v/>
      </c>
      <c r="BG208" s="41" t="str">
        <f t="shared" si="78"/>
        <v/>
      </c>
      <c r="BH208" s="41" t="str">
        <f t="shared" si="79"/>
        <v/>
      </c>
      <c r="BI208" s="41" t="str">
        <f t="shared" si="80"/>
        <v/>
      </c>
      <c r="BJ208" s="41" t="str">
        <f t="shared" si="81"/>
        <v/>
      </c>
      <c r="BK208" s="41" t="str">
        <f t="shared" si="82"/>
        <v/>
      </c>
      <c r="BL208" s="41" t="str">
        <f t="shared" si="83"/>
        <v/>
      </c>
      <c r="BM208" s="41" t="str">
        <f t="shared" si="84"/>
        <v/>
      </c>
      <c r="BN208" s="41" t="str">
        <f t="shared" si="85"/>
        <v/>
      </c>
      <c r="BO208" s="41" t="str">
        <f t="shared" si="86"/>
        <v/>
      </c>
      <c r="BP208" s="41" t="str">
        <f t="shared" si="87"/>
        <v/>
      </c>
      <c r="BQ208" s="11"/>
      <c r="BR208" s="11"/>
    </row>
    <row r="209" spans="1:70" ht="15" customHeight="1" x14ac:dyDescent="0.25">
      <c r="A209" s="957">
        <f t="shared" si="75"/>
        <v>0</v>
      </c>
      <c r="S209" s="4"/>
      <c r="T209" s="1204"/>
      <c r="U209" s="4074" t="str">
        <f t="shared" si="76"/>
        <v/>
      </c>
      <c r="V209" s="137">
        <f t="shared" si="89"/>
        <v>74</v>
      </c>
      <c r="W209" s="2130">
        <f>((W$210-W$205)/5)+W208</f>
        <v>0.74199999999999999</v>
      </c>
      <c r="X209" s="2130"/>
      <c r="Y209" s="2130"/>
      <c r="Z209" s="2130"/>
      <c r="AA209" s="2130"/>
      <c r="AB209" s="2130"/>
      <c r="AC209" s="2130"/>
      <c r="AD209" s="2130"/>
      <c r="AE209" s="2130"/>
      <c r="AF209" s="2130"/>
      <c r="AG209" s="101"/>
      <c r="AH209" s="6"/>
      <c r="AI209" s="11"/>
      <c r="AJ209" s="41">
        <f t="shared" si="74"/>
        <v>0</v>
      </c>
      <c r="AK209" s="41">
        <f>IF(ISERROR(HLOOKUP(AK$134,'Improved Sales Adjustments'!$G$7:$ZP$147,68,FALSE)),0,IF(HLOOKUP(AK$134,'Improved Sales Adjustments'!$G$7:$ZP$147,68,FALSE)="",0,IF($V209=HLOOKUP(AK$134,'Improved Sales Adjustments'!$G$7:$ZP$147,68,FALSE),1,0)))</f>
        <v>0</v>
      </c>
      <c r="AL209" s="41">
        <f>IF(ISERROR(HLOOKUP(AL$134,'Improved Sales Adjustments'!$G$7:$ZP$147,68,FALSE)),0,IF(HLOOKUP(AL$134,'Improved Sales Adjustments'!$G$7:$ZP$147,68,FALSE)="",0,IF($V209=HLOOKUP(AL$134,'Improved Sales Adjustments'!$G$7:$ZP$147,68,FALSE),1,0)))</f>
        <v>0</v>
      </c>
      <c r="AM209" s="41">
        <f>IF(ISERROR(HLOOKUP(AM$134,'Improved Sales Adjustments'!$G$7:$ZP$147,68,FALSE)),0,IF(HLOOKUP(AM$134,'Improved Sales Adjustments'!$G$7:$ZP$147,68,FALSE)="",0,IF($V209=HLOOKUP(AM$134,'Improved Sales Adjustments'!$G$7:$ZP$147,68,FALSE),1,0)))</f>
        <v>0</v>
      </c>
      <c r="AN209" s="41">
        <f>IF(ISERROR(HLOOKUP(AN$134,'Improved Sales Adjustments'!$G$7:$ZP$147,68,FALSE)),0,IF(HLOOKUP(AN$134,'Improved Sales Adjustments'!$G$7:$ZP$147,68,FALSE)="",0,IF($V209=HLOOKUP(AN$134,'Improved Sales Adjustments'!$G$7:$ZP$147,68,FALSE),1,0)))</f>
        <v>0</v>
      </c>
      <c r="AO209" s="41">
        <f>IF(ISERROR(HLOOKUP(AO$134,'Improved Sales Adjustments'!$G$7:$ZP$147,68,FALSE)),0,IF(HLOOKUP(AO$134,'Improved Sales Adjustments'!$G$7:$ZP$147,68,FALSE)="",0,IF($V209=HLOOKUP(AO$134,'Improved Sales Adjustments'!$G$7:$ZP$147,68,FALSE),1,0)))</f>
        <v>0</v>
      </c>
      <c r="AP209" s="41">
        <f>IF(ISERROR(HLOOKUP(AP$134,'Improved Sales Adjustments'!$G$7:$ZP$147,68,FALSE)),0,IF(HLOOKUP(AP$134,'Improved Sales Adjustments'!$G$7:$ZP$147,68,FALSE)="",0,IF($V209=HLOOKUP(AP$134,'Improved Sales Adjustments'!$G$7:$ZP$147,68,FALSE),1,0)))</f>
        <v>0</v>
      </c>
      <c r="AQ209" s="41">
        <f>IF(ISERROR(HLOOKUP(AQ$134,'Improved Sales Adjustments'!$G$7:$ZP$147,68,FALSE)),0,IF(HLOOKUP(AQ$134,'Improved Sales Adjustments'!$G$7:$ZP$147,68,FALSE)="",0,IF($V209=HLOOKUP(AQ$134,'Improved Sales Adjustments'!$G$7:$ZP$147,68,FALSE),1,0)))</f>
        <v>0</v>
      </c>
      <c r="AR209" s="41">
        <f>IF(ISERROR(HLOOKUP(AR$134,'Improved Sales Adjustments'!$G$7:$ZP$147,68,FALSE)),0,IF(HLOOKUP(AR$134,'Improved Sales Adjustments'!$G$7:$ZP$147,68,FALSE)="",0,IF($V209=HLOOKUP(AR$134,'Improved Sales Adjustments'!$G$7:$ZP$147,68,FALSE),1,0)))</f>
        <v>0</v>
      </c>
      <c r="AS209" s="41">
        <f>IF(ISERROR(HLOOKUP(AS$134,'Improved Sales Adjustments'!$G$7:$ZP$147,68,FALSE)),0,IF(HLOOKUP(AS$134,'Improved Sales Adjustments'!$G$7:$ZP$147,68,FALSE)="",0,IF($V209=HLOOKUP(AS$134,'Improved Sales Adjustments'!$G$7:$ZP$147,68,FALSE),1,0)))</f>
        <v>0</v>
      </c>
      <c r="AT209" s="41">
        <f>IF(ISERROR(HLOOKUP(AT$134,'Improved Sales Adjustments'!$G$7:$ZP$147,68,FALSE)),0,IF(HLOOKUP(AT$134,'Improved Sales Adjustments'!$G$7:$ZP$147,68,FALSE)="",0,IF($V209=HLOOKUP(AT$134,'Improved Sales Adjustments'!$G$7:$ZP$147,68,FALSE),1,0)))</f>
        <v>0</v>
      </c>
      <c r="AU209" s="41">
        <f>SUM($AJ209:AJ209)</f>
        <v>0</v>
      </c>
      <c r="AV209" s="41">
        <f>SUM($AJ209:AK209)</f>
        <v>0</v>
      </c>
      <c r="AW209" s="41">
        <f>SUM($AJ209:AL209)</f>
        <v>0</v>
      </c>
      <c r="AX209" s="41">
        <f>SUM($AJ209:AM209)</f>
        <v>0</v>
      </c>
      <c r="AY209" s="41">
        <f>SUM($AJ209:AN209)</f>
        <v>0</v>
      </c>
      <c r="AZ209" s="41">
        <f>SUM($AJ209:AO209)</f>
        <v>0</v>
      </c>
      <c r="BA209" s="41">
        <f>SUM($AJ209:AP209)</f>
        <v>0</v>
      </c>
      <c r="BB209" s="41">
        <f>SUM($AJ209:AQ209)</f>
        <v>0</v>
      </c>
      <c r="BC209" s="41">
        <f>SUM($AJ209:AR209)</f>
        <v>0</v>
      </c>
      <c r="BD209" s="41">
        <f>SUM($AJ209:AS209)</f>
        <v>0</v>
      </c>
      <c r="BE209" s="41">
        <f>SUM($AJ209:AT209)</f>
        <v>0</v>
      </c>
      <c r="BF209" s="41" t="str">
        <f t="shared" si="77"/>
        <v/>
      </c>
      <c r="BG209" s="41" t="str">
        <f t="shared" si="78"/>
        <v/>
      </c>
      <c r="BH209" s="41" t="str">
        <f t="shared" si="79"/>
        <v/>
      </c>
      <c r="BI209" s="41" t="str">
        <f t="shared" si="80"/>
        <v/>
      </c>
      <c r="BJ209" s="41" t="str">
        <f t="shared" si="81"/>
        <v/>
      </c>
      <c r="BK209" s="41" t="str">
        <f t="shared" si="82"/>
        <v/>
      </c>
      <c r="BL209" s="41" t="str">
        <f t="shared" si="83"/>
        <v/>
      </c>
      <c r="BM209" s="41" t="str">
        <f t="shared" si="84"/>
        <v/>
      </c>
      <c r="BN209" s="41" t="str">
        <f t="shared" si="85"/>
        <v/>
      </c>
      <c r="BO209" s="41" t="str">
        <f t="shared" si="86"/>
        <v/>
      </c>
      <c r="BP209" s="41" t="str">
        <f t="shared" si="87"/>
        <v/>
      </c>
      <c r="BQ209" s="11"/>
      <c r="BR209" s="11"/>
    </row>
    <row r="210" spans="1:70" ht="15" customHeight="1" x14ac:dyDescent="0.25">
      <c r="A210" s="957">
        <f t="shared" si="75"/>
        <v>0</v>
      </c>
      <c r="S210" s="4"/>
      <c r="T210" s="1204"/>
      <c r="U210" s="4074" t="str">
        <f t="shared" si="76"/>
        <v/>
      </c>
      <c r="V210" s="137">
        <f t="shared" si="89"/>
        <v>75</v>
      </c>
      <c r="W210" s="2129">
        <v>0.75</v>
      </c>
      <c r="X210" s="2130"/>
      <c r="Y210" s="2130"/>
      <c r="Z210" s="2130"/>
      <c r="AA210" s="2130"/>
      <c r="AB210" s="2130"/>
      <c r="AC210" s="2130"/>
      <c r="AD210" s="2130"/>
      <c r="AE210" s="2130"/>
      <c r="AF210" s="2130"/>
      <c r="AG210" s="101"/>
      <c r="AH210" s="6"/>
      <c r="AI210" s="11"/>
      <c r="AJ210" s="41">
        <f t="shared" si="74"/>
        <v>0</v>
      </c>
      <c r="AK210" s="41">
        <f>IF(ISERROR(HLOOKUP(AK$134,'Improved Sales Adjustments'!$G$7:$ZP$147,68,FALSE)),0,IF(HLOOKUP(AK$134,'Improved Sales Adjustments'!$G$7:$ZP$147,68,FALSE)="",0,IF($V210=HLOOKUP(AK$134,'Improved Sales Adjustments'!$G$7:$ZP$147,68,FALSE),1,0)))</f>
        <v>0</v>
      </c>
      <c r="AL210" s="41">
        <f>IF(ISERROR(HLOOKUP(AL$134,'Improved Sales Adjustments'!$G$7:$ZP$147,68,FALSE)),0,IF(HLOOKUP(AL$134,'Improved Sales Adjustments'!$G$7:$ZP$147,68,FALSE)="",0,IF($V210=HLOOKUP(AL$134,'Improved Sales Adjustments'!$G$7:$ZP$147,68,FALSE),1,0)))</f>
        <v>0</v>
      </c>
      <c r="AM210" s="41">
        <f>IF(ISERROR(HLOOKUP(AM$134,'Improved Sales Adjustments'!$G$7:$ZP$147,68,FALSE)),0,IF(HLOOKUP(AM$134,'Improved Sales Adjustments'!$G$7:$ZP$147,68,FALSE)="",0,IF($V210=HLOOKUP(AM$134,'Improved Sales Adjustments'!$G$7:$ZP$147,68,FALSE),1,0)))</f>
        <v>0</v>
      </c>
      <c r="AN210" s="41">
        <f>IF(ISERROR(HLOOKUP(AN$134,'Improved Sales Adjustments'!$G$7:$ZP$147,68,FALSE)),0,IF(HLOOKUP(AN$134,'Improved Sales Adjustments'!$G$7:$ZP$147,68,FALSE)="",0,IF($V210=HLOOKUP(AN$134,'Improved Sales Adjustments'!$G$7:$ZP$147,68,FALSE),1,0)))</f>
        <v>0</v>
      </c>
      <c r="AO210" s="41">
        <f>IF(ISERROR(HLOOKUP(AO$134,'Improved Sales Adjustments'!$G$7:$ZP$147,68,FALSE)),0,IF(HLOOKUP(AO$134,'Improved Sales Adjustments'!$G$7:$ZP$147,68,FALSE)="",0,IF($V210=HLOOKUP(AO$134,'Improved Sales Adjustments'!$G$7:$ZP$147,68,FALSE),1,0)))</f>
        <v>0</v>
      </c>
      <c r="AP210" s="41">
        <f>IF(ISERROR(HLOOKUP(AP$134,'Improved Sales Adjustments'!$G$7:$ZP$147,68,FALSE)),0,IF(HLOOKUP(AP$134,'Improved Sales Adjustments'!$G$7:$ZP$147,68,FALSE)="",0,IF($V210=HLOOKUP(AP$134,'Improved Sales Adjustments'!$G$7:$ZP$147,68,FALSE),1,0)))</f>
        <v>0</v>
      </c>
      <c r="AQ210" s="41">
        <f>IF(ISERROR(HLOOKUP(AQ$134,'Improved Sales Adjustments'!$G$7:$ZP$147,68,FALSE)),0,IF(HLOOKUP(AQ$134,'Improved Sales Adjustments'!$G$7:$ZP$147,68,FALSE)="",0,IF($V210=HLOOKUP(AQ$134,'Improved Sales Adjustments'!$G$7:$ZP$147,68,FALSE),1,0)))</f>
        <v>0</v>
      </c>
      <c r="AR210" s="41">
        <f>IF(ISERROR(HLOOKUP(AR$134,'Improved Sales Adjustments'!$G$7:$ZP$147,68,FALSE)),0,IF(HLOOKUP(AR$134,'Improved Sales Adjustments'!$G$7:$ZP$147,68,FALSE)="",0,IF($V210=HLOOKUP(AR$134,'Improved Sales Adjustments'!$G$7:$ZP$147,68,FALSE),1,0)))</f>
        <v>0</v>
      </c>
      <c r="AS210" s="41">
        <f>IF(ISERROR(HLOOKUP(AS$134,'Improved Sales Adjustments'!$G$7:$ZP$147,68,FALSE)),0,IF(HLOOKUP(AS$134,'Improved Sales Adjustments'!$G$7:$ZP$147,68,FALSE)="",0,IF($V210=HLOOKUP(AS$134,'Improved Sales Adjustments'!$G$7:$ZP$147,68,FALSE),1,0)))</f>
        <v>0</v>
      </c>
      <c r="AT210" s="41">
        <f>IF(ISERROR(HLOOKUP(AT$134,'Improved Sales Adjustments'!$G$7:$ZP$147,68,FALSE)),0,IF(HLOOKUP(AT$134,'Improved Sales Adjustments'!$G$7:$ZP$147,68,FALSE)="",0,IF($V210=HLOOKUP(AT$134,'Improved Sales Adjustments'!$G$7:$ZP$147,68,FALSE),1,0)))</f>
        <v>0</v>
      </c>
      <c r="AU210" s="41">
        <f>SUM($AJ210:AJ210)</f>
        <v>0</v>
      </c>
      <c r="AV210" s="41">
        <f>SUM($AJ210:AK210)</f>
        <v>0</v>
      </c>
      <c r="AW210" s="41">
        <f>SUM($AJ210:AL210)</f>
        <v>0</v>
      </c>
      <c r="AX210" s="41">
        <f>SUM($AJ210:AM210)</f>
        <v>0</v>
      </c>
      <c r="AY210" s="41">
        <f>SUM($AJ210:AN210)</f>
        <v>0</v>
      </c>
      <c r="AZ210" s="41">
        <f>SUM($AJ210:AO210)</f>
        <v>0</v>
      </c>
      <c r="BA210" s="41">
        <f>SUM($AJ210:AP210)</f>
        <v>0</v>
      </c>
      <c r="BB210" s="41">
        <f>SUM($AJ210:AQ210)</f>
        <v>0</v>
      </c>
      <c r="BC210" s="41">
        <f>SUM($AJ210:AR210)</f>
        <v>0</v>
      </c>
      <c r="BD210" s="41">
        <f>SUM($AJ210:AS210)</f>
        <v>0</v>
      </c>
      <c r="BE210" s="41">
        <f>SUM($AJ210:AT210)</f>
        <v>0</v>
      </c>
      <c r="BF210" s="41" t="str">
        <f t="shared" si="77"/>
        <v/>
      </c>
      <c r="BG210" s="41" t="str">
        <f t="shared" si="78"/>
        <v/>
      </c>
      <c r="BH210" s="41" t="str">
        <f t="shared" si="79"/>
        <v/>
      </c>
      <c r="BI210" s="41" t="str">
        <f t="shared" si="80"/>
        <v/>
      </c>
      <c r="BJ210" s="41" t="str">
        <f t="shared" si="81"/>
        <v/>
      </c>
      <c r="BK210" s="41" t="str">
        <f t="shared" si="82"/>
        <v/>
      </c>
      <c r="BL210" s="41" t="str">
        <f t="shared" si="83"/>
        <v/>
      </c>
      <c r="BM210" s="41" t="str">
        <f t="shared" si="84"/>
        <v/>
      </c>
      <c r="BN210" s="41" t="str">
        <f t="shared" si="85"/>
        <v/>
      </c>
      <c r="BO210" s="41" t="str">
        <f t="shared" si="86"/>
        <v/>
      </c>
      <c r="BP210" s="41" t="str">
        <f t="shared" si="87"/>
        <v/>
      </c>
      <c r="BQ210" s="11"/>
      <c r="BR210" s="11"/>
    </row>
    <row r="211" spans="1:70" ht="15" customHeight="1" x14ac:dyDescent="0.25">
      <c r="A211" s="957">
        <f t="shared" si="75"/>
        <v>0</v>
      </c>
      <c r="S211" s="4"/>
      <c r="T211" s="1204"/>
      <c r="U211" s="4074" t="str">
        <f t="shared" si="76"/>
        <v/>
      </c>
      <c r="V211" s="137">
        <f t="shared" si="89"/>
        <v>76</v>
      </c>
      <c r="W211" s="2130">
        <f>((W$215-W$210)/5)+W210</f>
        <v>0.75600000000000001</v>
      </c>
      <c r="X211" s="2130"/>
      <c r="Y211" s="2130"/>
      <c r="Z211" s="2130"/>
      <c r="AA211" s="2130"/>
      <c r="AB211" s="2130"/>
      <c r="AC211" s="2130"/>
      <c r="AD211" s="2130"/>
      <c r="AE211" s="2130"/>
      <c r="AF211" s="2130"/>
      <c r="AG211" s="101"/>
      <c r="AH211" s="6"/>
      <c r="AI211" s="11"/>
      <c r="AJ211" s="41">
        <f t="shared" si="74"/>
        <v>0</v>
      </c>
      <c r="AK211" s="41">
        <f>IF(ISERROR(HLOOKUP(AK$134,'Improved Sales Adjustments'!$G$7:$ZP$147,68,FALSE)),0,IF(HLOOKUP(AK$134,'Improved Sales Adjustments'!$G$7:$ZP$147,68,FALSE)="",0,IF($V211=HLOOKUP(AK$134,'Improved Sales Adjustments'!$G$7:$ZP$147,68,FALSE),1,0)))</f>
        <v>0</v>
      </c>
      <c r="AL211" s="41">
        <f>IF(ISERROR(HLOOKUP(AL$134,'Improved Sales Adjustments'!$G$7:$ZP$147,68,FALSE)),0,IF(HLOOKUP(AL$134,'Improved Sales Adjustments'!$G$7:$ZP$147,68,FALSE)="",0,IF($V211=HLOOKUP(AL$134,'Improved Sales Adjustments'!$G$7:$ZP$147,68,FALSE),1,0)))</f>
        <v>0</v>
      </c>
      <c r="AM211" s="41">
        <f>IF(ISERROR(HLOOKUP(AM$134,'Improved Sales Adjustments'!$G$7:$ZP$147,68,FALSE)),0,IF(HLOOKUP(AM$134,'Improved Sales Adjustments'!$G$7:$ZP$147,68,FALSE)="",0,IF($V211=HLOOKUP(AM$134,'Improved Sales Adjustments'!$G$7:$ZP$147,68,FALSE),1,0)))</f>
        <v>0</v>
      </c>
      <c r="AN211" s="41">
        <f>IF(ISERROR(HLOOKUP(AN$134,'Improved Sales Adjustments'!$G$7:$ZP$147,68,FALSE)),0,IF(HLOOKUP(AN$134,'Improved Sales Adjustments'!$G$7:$ZP$147,68,FALSE)="",0,IF($V211=HLOOKUP(AN$134,'Improved Sales Adjustments'!$G$7:$ZP$147,68,FALSE),1,0)))</f>
        <v>0</v>
      </c>
      <c r="AO211" s="41">
        <f>IF(ISERROR(HLOOKUP(AO$134,'Improved Sales Adjustments'!$G$7:$ZP$147,68,FALSE)),0,IF(HLOOKUP(AO$134,'Improved Sales Adjustments'!$G$7:$ZP$147,68,FALSE)="",0,IF($V211=HLOOKUP(AO$134,'Improved Sales Adjustments'!$G$7:$ZP$147,68,FALSE),1,0)))</f>
        <v>0</v>
      </c>
      <c r="AP211" s="41">
        <f>IF(ISERROR(HLOOKUP(AP$134,'Improved Sales Adjustments'!$G$7:$ZP$147,68,FALSE)),0,IF(HLOOKUP(AP$134,'Improved Sales Adjustments'!$G$7:$ZP$147,68,FALSE)="",0,IF($V211=HLOOKUP(AP$134,'Improved Sales Adjustments'!$G$7:$ZP$147,68,FALSE),1,0)))</f>
        <v>0</v>
      </c>
      <c r="AQ211" s="41">
        <f>IF(ISERROR(HLOOKUP(AQ$134,'Improved Sales Adjustments'!$G$7:$ZP$147,68,FALSE)),0,IF(HLOOKUP(AQ$134,'Improved Sales Adjustments'!$G$7:$ZP$147,68,FALSE)="",0,IF($V211=HLOOKUP(AQ$134,'Improved Sales Adjustments'!$G$7:$ZP$147,68,FALSE),1,0)))</f>
        <v>0</v>
      </c>
      <c r="AR211" s="41">
        <f>IF(ISERROR(HLOOKUP(AR$134,'Improved Sales Adjustments'!$G$7:$ZP$147,68,FALSE)),0,IF(HLOOKUP(AR$134,'Improved Sales Adjustments'!$G$7:$ZP$147,68,FALSE)="",0,IF($V211=HLOOKUP(AR$134,'Improved Sales Adjustments'!$G$7:$ZP$147,68,FALSE),1,0)))</f>
        <v>0</v>
      </c>
      <c r="AS211" s="41">
        <f>IF(ISERROR(HLOOKUP(AS$134,'Improved Sales Adjustments'!$G$7:$ZP$147,68,FALSE)),0,IF(HLOOKUP(AS$134,'Improved Sales Adjustments'!$G$7:$ZP$147,68,FALSE)="",0,IF($V211=HLOOKUP(AS$134,'Improved Sales Adjustments'!$G$7:$ZP$147,68,FALSE),1,0)))</f>
        <v>0</v>
      </c>
      <c r="AT211" s="41">
        <f>IF(ISERROR(HLOOKUP(AT$134,'Improved Sales Adjustments'!$G$7:$ZP$147,68,FALSE)),0,IF(HLOOKUP(AT$134,'Improved Sales Adjustments'!$G$7:$ZP$147,68,FALSE)="",0,IF($V211=HLOOKUP(AT$134,'Improved Sales Adjustments'!$G$7:$ZP$147,68,FALSE),1,0)))</f>
        <v>0</v>
      </c>
      <c r="AU211" s="41">
        <f>SUM($AJ211:AJ211)</f>
        <v>0</v>
      </c>
      <c r="AV211" s="41">
        <f>SUM($AJ211:AK211)</f>
        <v>0</v>
      </c>
      <c r="AW211" s="41">
        <f>SUM($AJ211:AL211)</f>
        <v>0</v>
      </c>
      <c r="AX211" s="41">
        <f>SUM($AJ211:AM211)</f>
        <v>0</v>
      </c>
      <c r="AY211" s="41">
        <f>SUM($AJ211:AN211)</f>
        <v>0</v>
      </c>
      <c r="AZ211" s="41">
        <f>SUM($AJ211:AO211)</f>
        <v>0</v>
      </c>
      <c r="BA211" s="41">
        <f>SUM($AJ211:AP211)</f>
        <v>0</v>
      </c>
      <c r="BB211" s="41">
        <f>SUM($AJ211:AQ211)</f>
        <v>0</v>
      </c>
      <c r="BC211" s="41">
        <f>SUM($AJ211:AR211)</f>
        <v>0</v>
      </c>
      <c r="BD211" s="41">
        <f>SUM($AJ211:AS211)</f>
        <v>0</v>
      </c>
      <c r="BE211" s="41">
        <f>SUM($AJ211:AT211)</f>
        <v>0</v>
      </c>
      <c r="BF211" s="41" t="str">
        <f t="shared" si="77"/>
        <v/>
      </c>
      <c r="BG211" s="41" t="str">
        <f t="shared" si="78"/>
        <v/>
      </c>
      <c r="BH211" s="41" t="str">
        <f t="shared" si="79"/>
        <v/>
      </c>
      <c r="BI211" s="41" t="str">
        <f t="shared" si="80"/>
        <v/>
      </c>
      <c r="BJ211" s="41" t="str">
        <f t="shared" si="81"/>
        <v/>
      </c>
      <c r="BK211" s="41" t="str">
        <f t="shared" si="82"/>
        <v/>
      </c>
      <c r="BL211" s="41" t="str">
        <f t="shared" si="83"/>
        <v/>
      </c>
      <c r="BM211" s="41" t="str">
        <f t="shared" si="84"/>
        <v/>
      </c>
      <c r="BN211" s="41" t="str">
        <f t="shared" si="85"/>
        <v/>
      </c>
      <c r="BO211" s="41" t="str">
        <f t="shared" si="86"/>
        <v/>
      </c>
      <c r="BP211" s="41" t="str">
        <f t="shared" si="87"/>
        <v/>
      </c>
      <c r="BQ211" s="11"/>
      <c r="BR211" s="11"/>
    </row>
    <row r="212" spans="1:70" ht="15" customHeight="1" x14ac:dyDescent="0.25">
      <c r="A212" s="957">
        <f t="shared" si="75"/>
        <v>0</v>
      </c>
      <c r="S212" s="4"/>
      <c r="T212" s="1204"/>
      <c r="U212" s="4074" t="str">
        <f t="shared" si="76"/>
        <v/>
      </c>
      <c r="V212" s="137">
        <f t="shared" si="89"/>
        <v>77</v>
      </c>
      <c r="W212" s="2130">
        <f>((W$215-W$210)/5)+W211</f>
        <v>0.76200000000000001</v>
      </c>
      <c r="X212" s="2130"/>
      <c r="Y212" s="2130"/>
      <c r="Z212" s="2130"/>
      <c r="AA212" s="2130"/>
      <c r="AB212" s="2130"/>
      <c r="AC212" s="2130"/>
      <c r="AD212" s="2130"/>
      <c r="AE212" s="2130"/>
      <c r="AF212" s="2130"/>
      <c r="AG212" s="101"/>
      <c r="AH212" s="6"/>
      <c r="AI212" s="11"/>
      <c r="AJ212" s="41">
        <f t="shared" si="74"/>
        <v>0</v>
      </c>
      <c r="AK212" s="41">
        <f>IF(ISERROR(HLOOKUP(AK$134,'Improved Sales Adjustments'!$G$7:$ZP$147,68,FALSE)),0,IF(HLOOKUP(AK$134,'Improved Sales Adjustments'!$G$7:$ZP$147,68,FALSE)="",0,IF($V212=HLOOKUP(AK$134,'Improved Sales Adjustments'!$G$7:$ZP$147,68,FALSE),1,0)))</f>
        <v>0</v>
      </c>
      <c r="AL212" s="41">
        <f>IF(ISERROR(HLOOKUP(AL$134,'Improved Sales Adjustments'!$G$7:$ZP$147,68,FALSE)),0,IF(HLOOKUP(AL$134,'Improved Sales Adjustments'!$G$7:$ZP$147,68,FALSE)="",0,IF($V212=HLOOKUP(AL$134,'Improved Sales Adjustments'!$G$7:$ZP$147,68,FALSE),1,0)))</f>
        <v>0</v>
      </c>
      <c r="AM212" s="41">
        <f>IF(ISERROR(HLOOKUP(AM$134,'Improved Sales Adjustments'!$G$7:$ZP$147,68,FALSE)),0,IF(HLOOKUP(AM$134,'Improved Sales Adjustments'!$G$7:$ZP$147,68,FALSE)="",0,IF($V212=HLOOKUP(AM$134,'Improved Sales Adjustments'!$G$7:$ZP$147,68,FALSE),1,0)))</f>
        <v>0</v>
      </c>
      <c r="AN212" s="41">
        <f>IF(ISERROR(HLOOKUP(AN$134,'Improved Sales Adjustments'!$G$7:$ZP$147,68,FALSE)),0,IF(HLOOKUP(AN$134,'Improved Sales Adjustments'!$G$7:$ZP$147,68,FALSE)="",0,IF($V212=HLOOKUP(AN$134,'Improved Sales Adjustments'!$G$7:$ZP$147,68,FALSE),1,0)))</f>
        <v>0</v>
      </c>
      <c r="AO212" s="41">
        <f>IF(ISERROR(HLOOKUP(AO$134,'Improved Sales Adjustments'!$G$7:$ZP$147,68,FALSE)),0,IF(HLOOKUP(AO$134,'Improved Sales Adjustments'!$G$7:$ZP$147,68,FALSE)="",0,IF($V212=HLOOKUP(AO$134,'Improved Sales Adjustments'!$G$7:$ZP$147,68,FALSE),1,0)))</f>
        <v>0</v>
      </c>
      <c r="AP212" s="41">
        <f>IF(ISERROR(HLOOKUP(AP$134,'Improved Sales Adjustments'!$G$7:$ZP$147,68,FALSE)),0,IF(HLOOKUP(AP$134,'Improved Sales Adjustments'!$G$7:$ZP$147,68,FALSE)="",0,IF($V212=HLOOKUP(AP$134,'Improved Sales Adjustments'!$G$7:$ZP$147,68,FALSE),1,0)))</f>
        <v>0</v>
      </c>
      <c r="AQ212" s="41">
        <f>IF(ISERROR(HLOOKUP(AQ$134,'Improved Sales Adjustments'!$G$7:$ZP$147,68,FALSE)),0,IF(HLOOKUP(AQ$134,'Improved Sales Adjustments'!$G$7:$ZP$147,68,FALSE)="",0,IF($V212=HLOOKUP(AQ$134,'Improved Sales Adjustments'!$G$7:$ZP$147,68,FALSE),1,0)))</f>
        <v>0</v>
      </c>
      <c r="AR212" s="41">
        <f>IF(ISERROR(HLOOKUP(AR$134,'Improved Sales Adjustments'!$G$7:$ZP$147,68,FALSE)),0,IF(HLOOKUP(AR$134,'Improved Sales Adjustments'!$G$7:$ZP$147,68,FALSE)="",0,IF($V212=HLOOKUP(AR$134,'Improved Sales Adjustments'!$G$7:$ZP$147,68,FALSE),1,0)))</f>
        <v>0</v>
      </c>
      <c r="AS212" s="41">
        <f>IF(ISERROR(HLOOKUP(AS$134,'Improved Sales Adjustments'!$G$7:$ZP$147,68,FALSE)),0,IF(HLOOKUP(AS$134,'Improved Sales Adjustments'!$G$7:$ZP$147,68,FALSE)="",0,IF($V212=HLOOKUP(AS$134,'Improved Sales Adjustments'!$G$7:$ZP$147,68,FALSE),1,0)))</f>
        <v>0</v>
      </c>
      <c r="AT212" s="41">
        <f>IF(ISERROR(HLOOKUP(AT$134,'Improved Sales Adjustments'!$G$7:$ZP$147,68,FALSE)),0,IF(HLOOKUP(AT$134,'Improved Sales Adjustments'!$G$7:$ZP$147,68,FALSE)="",0,IF($V212=HLOOKUP(AT$134,'Improved Sales Adjustments'!$G$7:$ZP$147,68,FALSE),1,0)))</f>
        <v>0</v>
      </c>
      <c r="AU212" s="41">
        <f>SUM($AJ212:AJ212)</f>
        <v>0</v>
      </c>
      <c r="AV212" s="41">
        <f>SUM($AJ212:AK212)</f>
        <v>0</v>
      </c>
      <c r="AW212" s="41">
        <f>SUM($AJ212:AL212)</f>
        <v>0</v>
      </c>
      <c r="AX212" s="41">
        <f>SUM($AJ212:AM212)</f>
        <v>0</v>
      </c>
      <c r="AY212" s="41">
        <f>SUM($AJ212:AN212)</f>
        <v>0</v>
      </c>
      <c r="AZ212" s="41">
        <f>SUM($AJ212:AO212)</f>
        <v>0</v>
      </c>
      <c r="BA212" s="41">
        <f>SUM($AJ212:AP212)</f>
        <v>0</v>
      </c>
      <c r="BB212" s="41">
        <f>SUM($AJ212:AQ212)</f>
        <v>0</v>
      </c>
      <c r="BC212" s="41">
        <f>SUM($AJ212:AR212)</f>
        <v>0</v>
      </c>
      <c r="BD212" s="41">
        <f>SUM($AJ212:AS212)</f>
        <v>0</v>
      </c>
      <c r="BE212" s="41">
        <f>SUM($AJ212:AT212)</f>
        <v>0</v>
      </c>
      <c r="BF212" s="41" t="str">
        <f t="shared" si="77"/>
        <v/>
      </c>
      <c r="BG212" s="41" t="str">
        <f t="shared" si="78"/>
        <v/>
      </c>
      <c r="BH212" s="41" t="str">
        <f t="shared" si="79"/>
        <v/>
      </c>
      <c r="BI212" s="41" t="str">
        <f t="shared" si="80"/>
        <v/>
      </c>
      <c r="BJ212" s="41" t="str">
        <f t="shared" si="81"/>
        <v/>
      </c>
      <c r="BK212" s="41" t="str">
        <f t="shared" si="82"/>
        <v/>
      </c>
      <c r="BL212" s="41" t="str">
        <f t="shared" si="83"/>
        <v/>
      </c>
      <c r="BM212" s="41" t="str">
        <f t="shared" si="84"/>
        <v/>
      </c>
      <c r="BN212" s="41" t="str">
        <f t="shared" si="85"/>
        <v/>
      </c>
      <c r="BO212" s="41" t="str">
        <f t="shared" si="86"/>
        <v/>
      </c>
      <c r="BP212" s="41" t="str">
        <f t="shared" si="87"/>
        <v/>
      </c>
      <c r="BQ212" s="11"/>
      <c r="BR212" s="11"/>
    </row>
    <row r="213" spans="1:70" ht="15" customHeight="1" x14ac:dyDescent="0.25">
      <c r="A213" s="957">
        <f t="shared" si="75"/>
        <v>0</v>
      </c>
      <c r="S213" s="4"/>
      <c r="T213" s="1204"/>
      <c r="U213" s="4074" t="str">
        <f t="shared" si="76"/>
        <v/>
      </c>
      <c r="V213" s="137">
        <f t="shared" si="89"/>
        <v>78</v>
      </c>
      <c r="W213" s="2130">
        <f>((W$215-W$210)/5)+W212</f>
        <v>0.76800000000000002</v>
      </c>
      <c r="X213" s="2130"/>
      <c r="Y213" s="2130"/>
      <c r="Z213" s="2130"/>
      <c r="AA213" s="2130"/>
      <c r="AB213" s="2130"/>
      <c r="AC213" s="2130"/>
      <c r="AD213" s="2130"/>
      <c r="AE213" s="2130"/>
      <c r="AF213" s="2130"/>
      <c r="AG213" s="101"/>
      <c r="AH213" s="6"/>
      <c r="AI213" s="11"/>
      <c r="AJ213" s="41">
        <f t="shared" si="74"/>
        <v>0</v>
      </c>
      <c r="AK213" s="41">
        <f>IF(ISERROR(HLOOKUP(AK$134,'Improved Sales Adjustments'!$G$7:$ZP$147,68,FALSE)),0,IF(HLOOKUP(AK$134,'Improved Sales Adjustments'!$G$7:$ZP$147,68,FALSE)="",0,IF($V213=HLOOKUP(AK$134,'Improved Sales Adjustments'!$G$7:$ZP$147,68,FALSE),1,0)))</f>
        <v>0</v>
      </c>
      <c r="AL213" s="41">
        <f>IF(ISERROR(HLOOKUP(AL$134,'Improved Sales Adjustments'!$G$7:$ZP$147,68,FALSE)),0,IF(HLOOKUP(AL$134,'Improved Sales Adjustments'!$G$7:$ZP$147,68,FALSE)="",0,IF($V213=HLOOKUP(AL$134,'Improved Sales Adjustments'!$G$7:$ZP$147,68,FALSE),1,0)))</f>
        <v>0</v>
      </c>
      <c r="AM213" s="41">
        <f>IF(ISERROR(HLOOKUP(AM$134,'Improved Sales Adjustments'!$G$7:$ZP$147,68,FALSE)),0,IF(HLOOKUP(AM$134,'Improved Sales Adjustments'!$G$7:$ZP$147,68,FALSE)="",0,IF($V213=HLOOKUP(AM$134,'Improved Sales Adjustments'!$G$7:$ZP$147,68,FALSE),1,0)))</f>
        <v>0</v>
      </c>
      <c r="AN213" s="41">
        <f>IF(ISERROR(HLOOKUP(AN$134,'Improved Sales Adjustments'!$G$7:$ZP$147,68,FALSE)),0,IF(HLOOKUP(AN$134,'Improved Sales Adjustments'!$G$7:$ZP$147,68,FALSE)="",0,IF($V213=HLOOKUP(AN$134,'Improved Sales Adjustments'!$G$7:$ZP$147,68,FALSE),1,0)))</f>
        <v>0</v>
      </c>
      <c r="AO213" s="41">
        <f>IF(ISERROR(HLOOKUP(AO$134,'Improved Sales Adjustments'!$G$7:$ZP$147,68,FALSE)),0,IF(HLOOKUP(AO$134,'Improved Sales Adjustments'!$G$7:$ZP$147,68,FALSE)="",0,IF($V213=HLOOKUP(AO$134,'Improved Sales Adjustments'!$G$7:$ZP$147,68,FALSE),1,0)))</f>
        <v>0</v>
      </c>
      <c r="AP213" s="41">
        <f>IF(ISERROR(HLOOKUP(AP$134,'Improved Sales Adjustments'!$G$7:$ZP$147,68,FALSE)),0,IF(HLOOKUP(AP$134,'Improved Sales Adjustments'!$G$7:$ZP$147,68,FALSE)="",0,IF($V213=HLOOKUP(AP$134,'Improved Sales Adjustments'!$G$7:$ZP$147,68,FALSE),1,0)))</f>
        <v>0</v>
      </c>
      <c r="AQ213" s="41">
        <f>IF(ISERROR(HLOOKUP(AQ$134,'Improved Sales Adjustments'!$G$7:$ZP$147,68,FALSE)),0,IF(HLOOKUP(AQ$134,'Improved Sales Adjustments'!$G$7:$ZP$147,68,FALSE)="",0,IF($V213=HLOOKUP(AQ$134,'Improved Sales Adjustments'!$G$7:$ZP$147,68,FALSE),1,0)))</f>
        <v>0</v>
      </c>
      <c r="AR213" s="41">
        <f>IF(ISERROR(HLOOKUP(AR$134,'Improved Sales Adjustments'!$G$7:$ZP$147,68,FALSE)),0,IF(HLOOKUP(AR$134,'Improved Sales Adjustments'!$G$7:$ZP$147,68,FALSE)="",0,IF($V213=HLOOKUP(AR$134,'Improved Sales Adjustments'!$G$7:$ZP$147,68,FALSE),1,0)))</f>
        <v>0</v>
      </c>
      <c r="AS213" s="41">
        <f>IF(ISERROR(HLOOKUP(AS$134,'Improved Sales Adjustments'!$G$7:$ZP$147,68,FALSE)),0,IF(HLOOKUP(AS$134,'Improved Sales Adjustments'!$G$7:$ZP$147,68,FALSE)="",0,IF($V213=HLOOKUP(AS$134,'Improved Sales Adjustments'!$G$7:$ZP$147,68,FALSE),1,0)))</f>
        <v>0</v>
      </c>
      <c r="AT213" s="41">
        <f>IF(ISERROR(HLOOKUP(AT$134,'Improved Sales Adjustments'!$G$7:$ZP$147,68,FALSE)),0,IF(HLOOKUP(AT$134,'Improved Sales Adjustments'!$G$7:$ZP$147,68,FALSE)="",0,IF($V213=HLOOKUP(AT$134,'Improved Sales Adjustments'!$G$7:$ZP$147,68,FALSE),1,0)))</f>
        <v>0</v>
      </c>
      <c r="AU213" s="41">
        <f>SUM($AJ213:AJ213)</f>
        <v>0</v>
      </c>
      <c r="AV213" s="41">
        <f>SUM($AJ213:AK213)</f>
        <v>0</v>
      </c>
      <c r="AW213" s="41">
        <f>SUM($AJ213:AL213)</f>
        <v>0</v>
      </c>
      <c r="AX213" s="41">
        <f>SUM($AJ213:AM213)</f>
        <v>0</v>
      </c>
      <c r="AY213" s="41">
        <f>SUM($AJ213:AN213)</f>
        <v>0</v>
      </c>
      <c r="AZ213" s="41">
        <f>SUM($AJ213:AO213)</f>
        <v>0</v>
      </c>
      <c r="BA213" s="41">
        <f>SUM($AJ213:AP213)</f>
        <v>0</v>
      </c>
      <c r="BB213" s="41">
        <f>SUM($AJ213:AQ213)</f>
        <v>0</v>
      </c>
      <c r="BC213" s="41">
        <f>SUM($AJ213:AR213)</f>
        <v>0</v>
      </c>
      <c r="BD213" s="41">
        <f>SUM($AJ213:AS213)</f>
        <v>0</v>
      </c>
      <c r="BE213" s="41">
        <f>SUM($AJ213:AT213)</f>
        <v>0</v>
      </c>
      <c r="BF213" s="41" t="str">
        <f t="shared" si="77"/>
        <v/>
      </c>
      <c r="BG213" s="41" t="str">
        <f t="shared" si="78"/>
        <v/>
      </c>
      <c r="BH213" s="41" t="str">
        <f t="shared" si="79"/>
        <v/>
      </c>
      <c r="BI213" s="41" t="str">
        <f t="shared" si="80"/>
        <v/>
      </c>
      <c r="BJ213" s="41" t="str">
        <f t="shared" si="81"/>
        <v/>
      </c>
      <c r="BK213" s="41" t="str">
        <f t="shared" si="82"/>
        <v/>
      </c>
      <c r="BL213" s="41" t="str">
        <f t="shared" si="83"/>
        <v/>
      </c>
      <c r="BM213" s="41" t="str">
        <f t="shared" si="84"/>
        <v/>
      </c>
      <c r="BN213" s="41" t="str">
        <f t="shared" si="85"/>
        <v/>
      </c>
      <c r="BO213" s="41" t="str">
        <f t="shared" si="86"/>
        <v/>
      </c>
      <c r="BP213" s="41" t="str">
        <f t="shared" si="87"/>
        <v/>
      </c>
      <c r="BQ213" s="11"/>
      <c r="BR213" s="11"/>
    </row>
    <row r="214" spans="1:70" ht="15" customHeight="1" x14ac:dyDescent="0.25">
      <c r="A214" s="957">
        <f t="shared" si="75"/>
        <v>0</v>
      </c>
      <c r="S214" s="4"/>
      <c r="T214" s="1204"/>
      <c r="U214" s="4074" t="str">
        <f t="shared" si="76"/>
        <v/>
      </c>
      <c r="V214" s="137">
        <f t="shared" si="89"/>
        <v>79</v>
      </c>
      <c r="W214" s="2130">
        <f>((W$215-W$210)/5)+W213</f>
        <v>0.77400000000000002</v>
      </c>
      <c r="X214" s="2130"/>
      <c r="Y214" s="2130"/>
      <c r="Z214" s="2130"/>
      <c r="AA214" s="2130"/>
      <c r="AB214" s="2130"/>
      <c r="AC214" s="2130"/>
      <c r="AD214" s="2130"/>
      <c r="AE214" s="2130"/>
      <c r="AF214" s="2130"/>
      <c r="AG214" s="101"/>
      <c r="AH214" s="6"/>
      <c r="AJ214" s="41">
        <f t="shared" si="74"/>
        <v>0</v>
      </c>
      <c r="AK214" s="41">
        <f>IF(ISERROR(HLOOKUP(AK$134,'Improved Sales Adjustments'!$G$7:$ZP$147,68,FALSE)),0,IF(HLOOKUP(AK$134,'Improved Sales Adjustments'!$G$7:$ZP$147,68,FALSE)="",0,IF($V214=HLOOKUP(AK$134,'Improved Sales Adjustments'!$G$7:$ZP$147,68,FALSE),1,0)))</f>
        <v>0</v>
      </c>
      <c r="AL214" s="41">
        <f>IF(ISERROR(HLOOKUP(AL$134,'Improved Sales Adjustments'!$G$7:$ZP$147,68,FALSE)),0,IF(HLOOKUP(AL$134,'Improved Sales Adjustments'!$G$7:$ZP$147,68,FALSE)="",0,IF($V214=HLOOKUP(AL$134,'Improved Sales Adjustments'!$G$7:$ZP$147,68,FALSE),1,0)))</f>
        <v>0</v>
      </c>
      <c r="AM214" s="41">
        <f>IF(ISERROR(HLOOKUP(AM$134,'Improved Sales Adjustments'!$G$7:$ZP$147,68,FALSE)),0,IF(HLOOKUP(AM$134,'Improved Sales Adjustments'!$G$7:$ZP$147,68,FALSE)="",0,IF($V214=HLOOKUP(AM$134,'Improved Sales Adjustments'!$G$7:$ZP$147,68,FALSE),1,0)))</f>
        <v>0</v>
      </c>
      <c r="AN214" s="41">
        <f>IF(ISERROR(HLOOKUP(AN$134,'Improved Sales Adjustments'!$G$7:$ZP$147,68,FALSE)),0,IF(HLOOKUP(AN$134,'Improved Sales Adjustments'!$G$7:$ZP$147,68,FALSE)="",0,IF($V214=HLOOKUP(AN$134,'Improved Sales Adjustments'!$G$7:$ZP$147,68,FALSE),1,0)))</f>
        <v>0</v>
      </c>
      <c r="AO214" s="41">
        <f>IF(ISERROR(HLOOKUP(AO$134,'Improved Sales Adjustments'!$G$7:$ZP$147,68,FALSE)),0,IF(HLOOKUP(AO$134,'Improved Sales Adjustments'!$G$7:$ZP$147,68,FALSE)="",0,IF($V214=HLOOKUP(AO$134,'Improved Sales Adjustments'!$G$7:$ZP$147,68,FALSE),1,0)))</f>
        <v>0</v>
      </c>
      <c r="AP214" s="41">
        <f>IF(ISERROR(HLOOKUP(AP$134,'Improved Sales Adjustments'!$G$7:$ZP$147,68,FALSE)),0,IF(HLOOKUP(AP$134,'Improved Sales Adjustments'!$G$7:$ZP$147,68,FALSE)="",0,IF($V214=HLOOKUP(AP$134,'Improved Sales Adjustments'!$G$7:$ZP$147,68,FALSE),1,0)))</f>
        <v>0</v>
      </c>
      <c r="AQ214" s="41">
        <f>IF(ISERROR(HLOOKUP(AQ$134,'Improved Sales Adjustments'!$G$7:$ZP$147,68,FALSE)),0,IF(HLOOKUP(AQ$134,'Improved Sales Adjustments'!$G$7:$ZP$147,68,FALSE)="",0,IF($V214=HLOOKUP(AQ$134,'Improved Sales Adjustments'!$G$7:$ZP$147,68,FALSE),1,0)))</f>
        <v>0</v>
      </c>
      <c r="AR214" s="41">
        <f>IF(ISERROR(HLOOKUP(AR$134,'Improved Sales Adjustments'!$G$7:$ZP$147,68,FALSE)),0,IF(HLOOKUP(AR$134,'Improved Sales Adjustments'!$G$7:$ZP$147,68,FALSE)="",0,IF($V214=HLOOKUP(AR$134,'Improved Sales Adjustments'!$G$7:$ZP$147,68,FALSE),1,0)))</f>
        <v>0</v>
      </c>
      <c r="AS214" s="41">
        <f>IF(ISERROR(HLOOKUP(AS$134,'Improved Sales Adjustments'!$G$7:$ZP$147,68,FALSE)),0,IF(HLOOKUP(AS$134,'Improved Sales Adjustments'!$G$7:$ZP$147,68,FALSE)="",0,IF($V214=HLOOKUP(AS$134,'Improved Sales Adjustments'!$G$7:$ZP$147,68,FALSE),1,0)))</f>
        <v>0</v>
      </c>
      <c r="AT214" s="41">
        <f>IF(ISERROR(HLOOKUP(AT$134,'Improved Sales Adjustments'!$G$7:$ZP$147,68,FALSE)),0,IF(HLOOKUP(AT$134,'Improved Sales Adjustments'!$G$7:$ZP$147,68,FALSE)="",0,IF($V214=HLOOKUP(AT$134,'Improved Sales Adjustments'!$G$7:$ZP$147,68,FALSE),1,0)))</f>
        <v>0</v>
      </c>
      <c r="AU214" s="41">
        <f>SUM($AJ214:AJ214)</f>
        <v>0</v>
      </c>
      <c r="AV214" s="41">
        <f>SUM($AJ214:AK214)</f>
        <v>0</v>
      </c>
      <c r="AW214" s="41">
        <f>SUM($AJ214:AL214)</f>
        <v>0</v>
      </c>
      <c r="AX214" s="41">
        <f>SUM($AJ214:AM214)</f>
        <v>0</v>
      </c>
      <c r="AY214" s="41">
        <f>SUM($AJ214:AN214)</f>
        <v>0</v>
      </c>
      <c r="AZ214" s="41">
        <f>SUM($AJ214:AO214)</f>
        <v>0</v>
      </c>
      <c r="BA214" s="41">
        <f>SUM($AJ214:AP214)</f>
        <v>0</v>
      </c>
      <c r="BB214" s="41">
        <f>SUM($AJ214:AQ214)</f>
        <v>0</v>
      </c>
      <c r="BC214" s="41">
        <f>SUM($AJ214:AR214)</f>
        <v>0</v>
      </c>
      <c r="BD214" s="41">
        <f>SUM($AJ214:AS214)</f>
        <v>0</v>
      </c>
      <c r="BE214" s="41">
        <f>SUM($AJ214:AT214)</f>
        <v>0</v>
      </c>
      <c r="BF214" s="96" t="str">
        <f t="shared" si="77"/>
        <v/>
      </c>
      <c r="BG214" s="96" t="str">
        <f t="shared" si="78"/>
        <v/>
      </c>
      <c r="BH214" s="96" t="str">
        <f t="shared" si="79"/>
        <v/>
      </c>
      <c r="BI214" s="96" t="str">
        <f t="shared" si="80"/>
        <v/>
      </c>
      <c r="BJ214" s="96" t="str">
        <f t="shared" si="81"/>
        <v/>
      </c>
      <c r="BK214" s="96" t="str">
        <f t="shared" si="82"/>
        <v/>
      </c>
      <c r="BL214" s="96" t="str">
        <f t="shared" si="83"/>
        <v/>
      </c>
      <c r="BM214" s="96" t="str">
        <f t="shared" si="84"/>
        <v/>
      </c>
      <c r="BN214" s="96" t="str">
        <f t="shared" si="85"/>
        <v/>
      </c>
      <c r="BO214" s="96" t="str">
        <f t="shared" si="86"/>
        <v/>
      </c>
      <c r="BP214" s="96" t="str">
        <f t="shared" si="87"/>
        <v/>
      </c>
    </row>
    <row r="215" spans="1:70" ht="15" customHeight="1" thickBot="1" x14ac:dyDescent="0.3">
      <c r="A215" s="957">
        <f t="shared" si="75"/>
        <v>0</v>
      </c>
      <c r="S215" s="4"/>
      <c r="T215" s="1204"/>
      <c r="U215" s="4074" t="str">
        <f t="shared" si="76"/>
        <v/>
      </c>
      <c r="V215" s="137">
        <f t="shared" si="89"/>
        <v>80</v>
      </c>
      <c r="W215" s="2129">
        <v>0.78</v>
      </c>
      <c r="X215" s="2130"/>
      <c r="Y215" s="2130"/>
      <c r="Z215" s="2130"/>
      <c r="AA215" s="2130"/>
      <c r="AB215" s="2130"/>
      <c r="AC215" s="2130"/>
      <c r="AD215" s="2130"/>
      <c r="AE215" s="2130"/>
      <c r="AF215" s="2130"/>
      <c r="AG215" s="101"/>
      <c r="AH215" s="6"/>
      <c r="AJ215" s="41">
        <f t="shared" si="74"/>
        <v>0</v>
      </c>
      <c r="AK215" s="41">
        <f>IF(ISERROR(HLOOKUP(AK$134,'Improved Sales Adjustments'!$G$7:$ZP$147,68,FALSE)),0,IF(HLOOKUP(AK$134,'Improved Sales Adjustments'!$G$7:$ZP$147,68,FALSE)="",0,IF($V215=HLOOKUP(AK$134,'Improved Sales Adjustments'!$G$7:$ZP$147,68,FALSE),1,0)))</f>
        <v>0</v>
      </c>
      <c r="AL215" s="41">
        <f>IF(ISERROR(HLOOKUP(AL$134,'Improved Sales Adjustments'!$G$7:$ZP$147,68,FALSE)),0,IF(HLOOKUP(AL$134,'Improved Sales Adjustments'!$G$7:$ZP$147,68,FALSE)="",0,IF($V215=HLOOKUP(AL$134,'Improved Sales Adjustments'!$G$7:$ZP$147,68,FALSE),1,0)))</f>
        <v>0</v>
      </c>
      <c r="AM215" s="41">
        <f>IF(ISERROR(HLOOKUP(AM$134,'Improved Sales Adjustments'!$G$7:$ZP$147,68,FALSE)),0,IF(HLOOKUP(AM$134,'Improved Sales Adjustments'!$G$7:$ZP$147,68,FALSE)="",0,IF($V215=HLOOKUP(AM$134,'Improved Sales Adjustments'!$G$7:$ZP$147,68,FALSE),1,0)))</f>
        <v>0</v>
      </c>
      <c r="AN215" s="41">
        <f>IF(ISERROR(HLOOKUP(AN$134,'Improved Sales Adjustments'!$G$7:$ZP$147,68,FALSE)),0,IF(HLOOKUP(AN$134,'Improved Sales Adjustments'!$G$7:$ZP$147,68,FALSE)="",0,IF($V215=HLOOKUP(AN$134,'Improved Sales Adjustments'!$G$7:$ZP$147,68,FALSE),1,0)))</f>
        <v>0</v>
      </c>
      <c r="AO215" s="41">
        <f>IF(ISERROR(HLOOKUP(AO$134,'Improved Sales Adjustments'!$G$7:$ZP$147,68,FALSE)),0,IF(HLOOKUP(AO$134,'Improved Sales Adjustments'!$G$7:$ZP$147,68,FALSE)="",0,IF($V215=HLOOKUP(AO$134,'Improved Sales Adjustments'!$G$7:$ZP$147,68,FALSE),1,0)))</f>
        <v>0</v>
      </c>
      <c r="AP215" s="41">
        <f>IF(ISERROR(HLOOKUP(AP$134,'Improved Sales Adjustments'!$G$7:$ZP$147,68,FALSE)),0,IF(HLOOKUP(AP$134,'Improved Sales Adjustments'!$G$7:$ZP$147,68,FALSE)="",0,IF($V215=HLOOKUP(AP$134,'Improved Sales Adjustments'!$G$7:$ZP$147,68,FALSE),1,0)))</f>
        <v>0</v>
      </c>
      <c r="AQ215" s="41">
        <f>IF(ISERROR(HLOOKUP(AQ$134,'Improved Sales Adjustments'!$G$7:$ZP$147,68,FALSE)),0,IF(HLOOKUP(AQ$134,'Improved Sales Adjustments'!$G$7:$ZP$147,68,FALSE)="",0,IF($V215=HLOOKUP(AQ$134,'Improved Sales Adjustments'!$G$7:$ZP$147,68,FALSE),1,0)))</f>
        <v>0</v>
      </c>
      <c r="AR215" s="41">
        <f>IF(ISERROR(HLOOKUP(AR$134,'Improved Sales Adjustments'!$G$7:$ZP$147,68,FALSE)),0,IF(HLOOKUP(AR$134,'Improved Sales Adjustments'!$G$7:$ZP$147,68,FALSE)="",0,IF($V215=HLOOKUP(AR$134,'Improved Sales Adjustments'!$G$7:$ZP$147,68,FALSE),1,0)))</f>
        <v>0</v>
      </c>
      <c r="AS215" s="41">
        <f>IF(ISERROR(HLOOKUP(AS$134,'Improved Sales Adjustments'!$G$7:$ZP$147,68,FALSE)),0,IF(HLOOKUP(AS$134,'Improved Sales Adjustments'!$G$7:$ZP$147,68,FALSE)="",0,IF($V215=HLOOKUP(AS$134,'Improved Sales Adjustments'!$G$7:$ZP$147,68,FALSE),1,0)))</f>
        <v>0</v>
      </c>
      <c r="AT215" s="41">
        <f>IF(ISERROR(HLOOKUP(AT$134,'Improved Sales Adjustments'!$G$7:$ZP$147,68,FALSE)),0,IF(HLOOKUP(AT$134,'Improved Sales Adjustments'!$G$7:$ZP$147,68,FALSE)="",0,IF($V215=HLOOKUP(AT$134,'Improved Sales Adjustments'!$G$7:$ZP$147,68,FALSE),1,0)))</f>
        <v>0</v>
      </c>
      <c r="AU215" s="41">
        <f>SUM($AJ215:AJ215)</f>
        <v>0</v>
      </c>
      <c r="AV215" s="41">
        <f>SUM($AJ215:AK215)</f>
        <v>0</v>
      </c>
      <c r="AW215" s="41">
        <f>SUM($AJ215:AL215)</f>
        <v>0</v>
      </c>
      <c r="AX215" s="41">
        <f>SUM($AJ215:AM215)</f>
        <v>0</v>
      </c>
      <c r="AY215" s="41">
        <f>SUM($AJ215:AN215)</f>
        <v>0</v>
      </c>
      <c r="AZ215" s="41">
        <f>SUM($AJ215:AO215)</f>
        <v>0</v>
      </c>
      <c r="BA215" s="41">
        <f>SUM($AJ215:AP215)</f>
        <v>0</v>
      </c>
      <c r="BB215" s="41">
        <f>SUM($AJ215:AQ215)</f>
        <v>0</v>
      </c>
      <c r="BC215" s="41">
        <f>SUM($AJ215:AR215)</f>
        <v>0</v>
      </c>
      <c r="BD215" s="41">
        <f>SUM($AJ215:AS215)</f>
        <v>0</v>
      </c>
      <c r="BE215" s="41">
        <f>SUM($AJ215:AT215)</f>
        <v>0</v>
      </c>
      <c r="BF215" s="96" t="str">
        <f t="shared" si="77"/>
        <v/>
      </c>
      <c r="BG215" s="96" t="str">
        <f t="shared" si="78"/>
        <v/>
      </c>
      <c r="BH215" s="96" t="str">
        <f t="shared" si="79"/>
        <v/>
      </c>
      <c r="BI215" s="96" t="str">
        <f t="shared" si="80"/>
        <v/>
      </c>
      <c r="BJ215" s="96" t="str">
        <f t="shared" si="81"/>
        <v/>
      </c>
      <c r="BK215" s="96" t="str">
        <f t="shared" si="82"/>
        <v/>
      </c>
      <c r="BL215" s="96" t="str">
        <f t="shared" si="83"/>
        <v/>
      </c>
      <c r="BM215" s="96" t="str">
        <f t="shared" si="84"/>
        <v/>
      </c>
      <c r="BN215" s="96" t="str">
        <f t="shared" si="85"/>
        <v/>
      </c>
      <c r="BO215" s="96" t="str">
        <f t="shared" si="86"/>
        <v/>
      </c>
      <c r="BP215" s="96" t="str">
        <f t="shared" si="87"/>
        <v/>
      </c>
    </row>
    <row r="216" spans="1:70" ht="15" customHeight="1" thickBot="1" x14ac:dyDescent="0.3">
      <c r="S216" s="8"/>
      <c r="T216" s="440"/>
      <c r="U216" s="4184" t="s">
        <v>870</v>
      </c>
      <c r="V216" s="4184"/>
      <c r="W216" s="133"/>
      <c r="X216" s="133"/>
      <c r="Y216" s="133"/>
      <c r="Z216" s="133"/>
      <c r="AA216" s="133"/>
      <c r="AB216" s="133"/>
      <c r="AC216" s="133"/>
      <c r="AD216" s="133"/>
      <c r="AE216" s="133"/>
      <c r="AF216" s="133"/>
      <c r="AG216" s="7"/>
      <c r="AH216" s="9"/>
    </row>
  </sheetData>
  <mergeCells count="189">
    <mergeCell ref="M114:P114"/>
    <mergeCell ref="M128:P128"/>
    <mergeCell ref="M127:P127"/>
    <mergeCell ref="M126:P126"/>
    <mergeCell ref="M125:P125"/>
    <mergeCell ref="M124:P124"/>
    <mergeCell ref="M123:P123"/>
    <mergeCell ref="M122:P122"/>
    <mergeCell ref="M121:P121"/>
    <mergeCell ref="M120:P120"/>
    <mergeCell ref="M119:P119"/>
    <mergeCell ref="M118:P118"/>
    <mergeCell ref="M117:P117"/>
    <mergeCell ref="M116:P116"/>
    <mergeCell ref="M115:P115"/>
    <mergeCell ref="L49:M49"/>
    <mergeCell ref="L48:M48"/>
    <mergeCell ref="G9:G13"/>
    <mergeCell ref="G14:G18"/>
    <mergeCell ref="G24:G28"/>
    <mergeCell ref="G29:G33"/>
    <mergeCell ref="G34:G38"/>
    <mergeCell ref="H14:K18"/>
    <mergeCell ref="H24:K28"/>
    <mergeCell ref="H29:K33"/>
    <mergeCell ref="H34:K38"/>
    <mergeCell ref="M34:M38"/>
    <mergeCell ref="M39:M43"/>
    <mergeCell ref="M29:M33"/>
    <mergeCell ref="M24:M28"/>
    <mergeCell ref="G39:G43"/>
    <mergeCell ref="G49:H49"/>
    <mergeCell ref="G48:H48"/>
    <mergeCell ref="G19:G23"/>
    <mergeCell ref="H19:K23"/>
    <mergeCell ref="M19:M23"/>
    <mergeCell ref="H9:K13"/>
    <mergeCell ref="K96:M96"/>
    <mergeCell ref="L52:M52"/>
    <mergeCell ref="L51:M51"/>
    <mergeCell ref="L50:M50"/>
    <mergeCell ref="L58:M58"/>
    <mergeCell ref="L57:M57"/>
    <mergeCell ref="L56:M56"/>
    <mergeCell ref="L55:M55"/>
    <mergeCell ref="L54:M54"/>
    <mergeCell ref="L53:M53"/>
    <mergeCell ref="L64:M64"/>
    <mergeCell ref="L63:M63"/>
    <mergeCell ref="L62:M62"/>
    <mergeCell ref="L61:M61"/>
    <mergeCell ref="L60:M60"/>
    <mergeCell ref="L59:M59"/>
    <mergeCell ref="K91:M91"/>
    <mergeCell ref="K92:M92"/>
    <mergeCell ref="K95:M95"/>
    <mergeCell ref="K94:M94"/>
    <mergeCell ref="K93:M93"/>
    <mergeCell ref="K128:L128"/>
    <mergeCell ref="K127:L127"/>
    <mergeCell ref="K126:L126"/>
    <mergeCell ref="K125:L125"/>
    <mergeCell ref="L111:M111"/>
    <mergeCell ref="K106:M106"/>
    <mergeCell ref="K105:M105"/>
    <mergeCell ref="K104:M104"/>
    <mergeCell ref="K103:M103"/>
    <mergeCell ref="K124:L124"/>
    <mergeCell ref="K123:L123"/>
    <mergeCell ref="K122:L122"/>
    <mergeCell ref="K121:L121"/>
    <mergeCell ref="K120:L120"/>
    <mergeCell ref="K119:L119"/>
    <mergeCell ref="K112:L112"/>
    <mergeCell ref="K113:L113"/>
    <mergeCell ref="K114:L114"/>
    <mergeCell ref="K116:L116"/>
    <mergeCell ref="K115:L115"/>
    <mergeCell ref="K118:L118"/>
    <mergeCell ref="K117:L117"/>
    <mergeCell ref="M113:P113"/>
    <mergeCell ref="M112:P112"/>
    <mergeCell ref="N29:O33"/>
    <mergeCell ref="N34:O38"/>
    <mergeCell ref="N39:O43"/>
    <mergeCell ref="K90:M90"/>
    <mergeCell ref="G62:H62"/>
    <mergeCell ref="G61:H61"/>
    <mergeCell ref="G60:H60"/>
    <mergeCell ref="G59:H59"/>
    <mergeCell ref="G58:H58"/>
    <mergeCell ref="G57:H57"/>
    <mergeCell ref="G90:H90"/>
    <mergeCell ref="G54:H54"/>
    <mergeCell ref="G53:H53"/>
    <mergeCell ref="G52:H52"/>
    <mergeCell ref="G51:H51"/>
    <mergeCell ref="G50:H50"/>
    <mergeCell ref="H39:K43"/>
    <mergeCell ref="G85:H85"/>
    <mergeCell ref="G81:H81"/>
    <mergeCell ref="G82:H82"/>
    <mergeCell ref="G83:H83"/>
    <mergeCell ref="G84:H84"/>
    <mergeCell ref="G71:H71"/>
    <mergeCell ref="G70:H70"/>
    <mergeCell ref="K102:M102"/>
    <mergeCell ref="K101:M101"/>
    <mergeCell ref="K100:M100"/>
    <mergeCell ref="K99:M99"/>
    <mergeCell ref="K98:M98"/>
    <mergeCell ref="K97:M97"/>
    <mergeCell ref="G101:H101"/>
    <mergeCell ref="G100:H100"/>
    <mergeCell ref="G99:H99"/>
    <mergeCell ref="G98:H98"/>
    <mergeCell ref="G97:H97"/>
    <mergeCell ref="G64:H64"/>
    <mergeCell ref="G63:H63"/>
    <mergeCell ref="G55:H55"/>
    <mergeCell ref="D22:E22"/>
    <mergeCell ref="D23:E23"/>
    <mergeCell ref="G96:H96"/>
    <mergeCell ref="G91:H91"/>
    <mergeCell ref="G94:H94"/>
    <mergeCell ref="G93:H93"/>
    <mergeCell ref="G92:H92"/>
    <mergeCell ref="G95:H95"/>
    <mergeCell ref="G56:H56"/>
    <mergeCell ref="G79:H79"/>
    <mergeCell ref="G78:H78"/>
    <mergeCell ref="G103:H103"/>
    <mergeCell ref="G102:H102"/>
    <mergeCell ref="G69:H69"/>
    <mergeCell ref="G80:H80"/>
    <mergeCell ref="G77:H77"/>
    <mergeCell ref="G76:H76"/>
    <mergeCell ref="G75:H75"/>
    <mergeCell ref="G74:H74"/>
    <mergeCell ref="G73:H73"/>
    <mergeCell ref="G72:H72"/>
    <mergeCell ref="V7:V8"/>
    <mergeCell ref="N9:O13"/>
    <mergeCell ref="N14:O18"/>
    <mergeCell ref="N24:O28"/>
    <mergeCell ref="D8:E8"/>
    <mergeCell ref="H8:J8"/>
    <mergeCell ref="D17:E17"/>
    <mergeCell ref="D18:E18"/>
    <mergeCell ref="D13:E13"/>
    <mergeCell ref="D12:E12"/>
    <mergeCell ref="D26:E26"/>
    <mergeCell ref="D27:E27"/>
    <mergeCell ref="D28:E28"/>
    <mergeCell ref="F7:F8"/>
    <mergeCell ref="D24:E24"/>
    <mergeCell ref="D25:E25"/>
    <mergeCell ref="D15:E15"/>
    <mergeCell ref="D16:E16"/>
    <mergeCell ref="L7:P7"/>
    <mergeCell ref="M9:M13"/>
    <mergeCell ref="M14:M18"/>
    <mergeCell ref="N19:O23"/>
    <mergeCell ref="D20:E20"/>
    <mergeCell ref="D21:E21"/>
    <mergeCell ref="U216:V216"/>
    <mergeCell ref="D11:E11"/>
    <mergeCell ref="D10:E10"/>
    <mergeCell ref="D9:E9"/>
    <mergeCell ref="D14:E14"/>
    <mergeCell ref="D29:E29"/>
    <mergeCell ref="D30:E30"/>
    <mergeCell ref="D31:E31"/>
    <mergeCell ref="D38:E38"/>
    <mergeCell ref="D39:E39"/>
    <mergeCell ref="D40:E40"/>
    <mergeCell ref="D41:E41"/>
    <mergeCell ref="D42:E42"/>
    <mergeCell ref="D43:E43"/>
    <mergeCell ref="D32:E32"/>
    <mergeCell ref="D33:E33"/>
    <mergeCell ref="D34:E34"/>
    <mergeCell ref="D35:E35"/>
    <mergeCell ref="D36:E36"/>
    <mergeCell ref="D37:E37"/>
    <mergeCell ref="D19:E19"/>
    <mergeCell ref="G106:H106"/>
    <mergeCell ref="G105:H105"/>
    <mergeCell ref="G104:H104"/>
  </mergeCells>
  <printOptions horizontalCentered="1"/>
  <pageMargins left="0.5" right="0.5" top="0.75" bottom="0.75" header="0.3" footer="0.3"/>
  <pageSetup scale="88" orientation="portrait" r:id="rId1"/>
  <drawing r:id="rId2"/>
  <legacyDrawing r:id="rId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
    <tabColor theme="7"/>
    <pageSetUpPr fitToPage="1"/>
  </sheetPr>
  <dimension ref="A1:AK71"/>
  <sheetViews>
    <sheetView zoomScaleNormal="100" workbookViewId="0">
      <selection activeCell="AM7" sqref="AM7"/>
    </sheetView>
  </sheetViews>
  <sheetFormatPr defaultColWidth="9.140625" defaultRowHeight="14.25" x14ac:dyDescent="0.25"/>
  <cols>
    <col min="1" max="1" width="5.7109375" style="911" customWidth="1"/>
    <col min="2" max="2" width="1.7109375" style="911" customWidth="1"/>
    <col min="3" max="3" width="0.85546875" style="911" customWidth="1"/>
    <col min="4" max="4" width="30.7109375" style="911" customWidth="1"/>
    <col min="5" max="5" width="1.7109375" style="911" customWidth="1"/>
    <col min="6" max="6" width="10.7109375" style="1256" customWidth="1"/>
    <col min="7" max="7" width="2.28515625" style="1256" customWidth="1"/>
    <col min="8" max="8" width="10.7109375" style="1256" customWidth="1"/>
    <col min="9" max="9" width="2.28515625" style="1256" hidden="1" customWidth="1"/>
    <col min="10" max="10" width="10.7109375" style="1256" hidden="1" customWidth="1"/>
    <col min="11" max="11" width="2.28515625" style="1256" hidden="1" customWidth="1"/>
    <col min="12" max="12" width="10.7109375" style="1256" hidden="1" customWidth="1"/>
    <col min="13" max="13" width="2.28515625" style="1256" hidden="1" customWidth="1"/>
    <col min="14" max="14" width="10.7109375" style="1256" hidden="1" customWidth="1"/>
    <col min="15" max="15" width="2.28515625" style="1256" hidden="1" customWidth="1"/>
    <col min="16" max="16" width="10.7109375" style="1256" hidden="1" customWidth="1"/>
    <col min="17" max="17" width="2.28515625" style="1256" hidden="1" customWidth="1"/>
    <col min="18" max="18" width="10.7109375" style="911" hidden="1" customWidth="1"/>
    <col min="19" max="19" width="2.28515625" style="911" hidden="1" customWidth="1"/>
    <col min="20" max="20" width="10.7109375" style="911" hidden="1" customWidth="1"/>
    <col min="21" max="21" width="2.28515625" style="911" hidden="1" customWidth="1"/>
    <col min="22" max="22" width="10.7109375" style="911" hidden="1" customWidth="1"/>
    <col min="23" max="23" width="2.28515625" style="911" hidden="1" customWidth="1"/>
    <col min="24" max="24" width="10.7109375" style="911" hidden="1" customWidth="1"/>
    <col min="25" max="25" width="2.28515625" style="911" hidden="1" customWidth="1"/>
    <col min="26" max="26" width="10.7109375" style="911" hidden="1" customWidth="1"/>
    <col min="27" max="27" width="2.28515625" style="911" hidden="1" customWidth="1"/>
    <col min="28" max="28" width="10.7109375" style="911" hidden="1" customWidth="1"/>
    <col min="29" max="29" width="2.28515625" style="911" hidden="1" customWidth="1"/>
    <col min="30" max="30" width="10.7109375" style="911" hidden="1" customWidth="1"/>
    <col min="31" max="31" width="2.28515625" style="911" hidden="1" customWidth="1"/>
    <col min="32" max="32" width="10.7109375" style="911" hidden="1" customWidth="1"/>
    <col min="33" max="33" width="2.28515625" style="911" hidden="1" customWidth="1"/>
    <col min="34" max="34" width="10.7109375" style="911" hidden="1" customWidth="1"/>
    <col min="35" max="35" width="0.85546875" style="911" customWidth="1"/>
    <col min="36" max="36" width="1.7109375" style="911" customWidth="1"/>
    <col min="37" max="37" width="50.7109375" style="911" customWidth="1"/>
    <col min="38" max="16384" width="9.140625" style="911"/>
  </cols>
  <sheetData>
    <row r="1" spans="1:37" ht="60" customHeight="1" x14ac:dyDescent="0.25"/>
    <row r="2" spans="1:37" ht="30" customHeight="1" thickBot="1" x14ac:dyDescent="0.35">
      <c r="D2" s="17" t="s">
        <v>1335</v>
      </c>
    </row>
    <row r="3" spans="1:37" ht="15" customHeight="1" x14ac:dyDescent="0.25">
      <c r="B3" s="1248"/>
      <c r="C3" s="1249"/>
      <c r="D3" s="1249"/>
      <c r="E3" s="1249"/>
      <c r="F3" s="1257"/>
      <c r="G3" s="1257"/>
      <c r="H3" s="1257"/>
      <c r="I3" s="1257"/>
      <c r="J3" s="1257"/>
      <c r="K3" s="1257"/>
      <c r="L3" s="1257"/>
      <c r="M3" s="1257"/>
      <c r="N3" s="1257"/>
      <c r="O3" s="1257"/>
      <c r="P3" s="1257"/>
      <c r="Q3" s="1257"/>
      <c r="R3" s="1249"/>
      <c r="S3" s="1249"/>
      <c r="T3" s="1249"/>
      <c r="U3" s="1249"/>
      <c r="V3" s="1249"/>
      <c r="W3" s="1249"/>
      <c r="X3" s="1249"/>
      <c r="Y3" s="1249"/>
      <c r="Z3" s="1249"/>
      <c r="AA3" s="1249"/>
      <c r="AB3" s="1249"/>
      <c r="AC3" s="1249"/>
      <c r="AD3" s="1249"/>
      <c r="AE3" s="1249"/>
      <c r="AF3" s="1249"/>
      <c r="AG3" s="1249"/>
      <c r="AH3" s="1249"/>
      <c r="AI3" s="1249"/>
      <c r="AJ3" s="1250"/>
    </row>
    <row r="4" spans="1:37" ht="15" customHeight="1" x14ac:dyDescent="0.3">
      <c r="B4" s="1251"/>
      <c r="C4" s="5"/>
      <c r="D4" s="246" t="s">
        <v>1336</v>
      </c>
      <c r="E4" s="5"/>
      <c r="F4" s="5"/>
      <c r="G4" s="5"/>
      <c r="H4" s="5"/>
      <c r="I4" s="5"/>
      <c r="J4" s="5"/>
      <c r="K4" s="5"/>
      <c r="L4" s="5"/>
      <c r="M4" s="5"/>
      <c r="N4" s="5"/>
      <c r="O4" s="5"/>
      <c r="P4" s="1258"/>
      <c r="Q4" s="1258"/>
      <c r="R4" s="1080"/>
      <c r="S4" s="1080"/>
      <c r="T4" s="1080"/>
      <c r="U4" s="1080"/>
      <c r="V4" s="1080"/>
      <c r="W4" s="1080"/>
      <c r="X4" s="1080"/>
      <c r="Y4" s="1080"/>
      <c r="Z4" s="1080"/>
      <c r="AA4" s="1080"/>
      <c r="AB4" s="1080"/>
      <c r="AC4" s="1080"/>
      <c r="AD4" s="1080"/>
      <c r="AE4" s="1080"/>
      <c r="AF4" s="1080"/>
      <c r="AG4" s="1080"/>
      <c r="AH4" s="1080"/>
      <c r="AI4" s="1080"/>
      <c r="AJ4" s="1252"/>
    </row>
    <row r="5" spans="1:37" ht="17.100000000000001" customHeight="1" x14ac:dyDescent="0.25">
      <c r="B5" s="1251"/>
      <c r="C5" s="150"/>
      <c r="D5" s="207" t="s">
        <v>232</v>
      </c>
      <c r="E5" s="150"/>
      <c r="F5" s="1269">
        <v>1</v>
      </c>
      <c r="G5" s="1269"/>
      <c r="H5" s="1269">
        <f>F5+1</f>
        <v>2</v>
      </c>
      <c r="I5" s="1269"/>
      <c r="J5" s="1269">
        <f>H5+1</f>
        <v>3</v>
      </c>
      <c r="K5" s="1269"/>
      <c r="L5" s="1269">
        <f>J5+1</f>
        <v>4</v>
      </c>
      <c r="M5" s="1269"/>
      <c r="N5" s="1269">
        <f>L5+1</f>
        <v>5</v>
      </c>
      <c r="O5" s="11"/>
      <c r="P5" s="1269">
        <f>N5+1</f>
        <v>6</v>
      </c>
      <c r="Q5" s="124"/>
      <c r="R5" s="1269">
        <f>P5+1</f>
        <v>7</v>
      </c>
      <c r="S5" s="11"/>
      <c r="T5" s="1269">
        <f>R5+1</f>
        <v>8</v>
      </c>
      <c r="U5" s="11"/>
      <c r="V5" s="1269">
        <f>T5+1</f>
        <v>9</v>
      </c>
      <c r="W5" s="11"/>
      <c r="X5" s="1269">
        <f>V5+1</f>
        <v>10</v>
      </c>
      <c r="Y5" s="11"/>
      <c r="Z5" s="1269">
        <f>X5+1</f>
        <v>11</v>
      </c>
      <c r="AA5" s="11"/>
      <c r="AB5" s="1269">
        <f>Z5+1</f>
        <v>12</v>
      </c>
      <c r="AC5" s="11"/>
      <c r="AD5" s="1269">
        <f>AB5+1</f>
        <v>13</v>
      </c>
      <c r="AE5" s="11"/>
      <c r="AF5" s="1269">
        <f>AD5+1</f>
        <v>14</v>
      </c>
      <c r="AG5" s="11"/>
      <c r="AH5" s="1269">
        <f>AF5+1</f>
        <v>15</v>
      </c>
      <c r="AI5" s="1269"/>
      <c r="AJ5" s="1252"/>
    </row>
    <row r="6" spans="1:37" ht="17.100000000000001" customHeight="1" x14ac:dyDescent="0.25">
      <c r="B6" s="1251"/>
      <c r="C6" s="258"/>
      <c r="D6" s="1272" t="s">
        <v>1321</v>
      </c>
      <c r="E6" s="1272"/>
      <c r="F6" s="1273"/>
      <c r="G6" s="1272"/>
      <c r="H6" s="1274"/>
      <c r="I6" s="1272"/>
      <c r="J6" s="1273"/>
      <c r="K6" s="1272"/>
      <c r="L6" s="1273"/>
      <c r="M6" s="1272"/>
      <c r="N6" s="1273"/>
      <c r="O6" s="258"/>
      <c r="P6" s="1273"/>
      <c r="Q6" s="1275"/>
      <c r="R6" s="1273"/>
      <c r="S6" s="1272"/>
      <c r="T6" s="1273"/>
      <c r="U6" s="1272"/>
      <c r="V6" s="1273"/>
      <c r="W6" s="1272"/>
      <c r="X6" s="1273"/>
      <c r="Y6" s="1272"/>
      <c r="Z6" s="1273"/>
      <c r="AA6" s="1272"/>
      <c r="AB6" s="1273"/>
      <c r="AC6" s="1272"/>
      <c r="AD6" s="1273"/>
      <c r="AE6" s="1272"/>
      <c r="AF6" s="1273"/>
      <c r="AG6" s="1272"/>
      <c r="AH6" s="1273"/>
      <c r="AI6" s="1272"/>
      <c r="AJ6" s="1252"/>
    </row>
    <row r="7" spans="1:37" ht="17.100000000000001" customHeight="1" x14ac:dyDescent="0.25">
      <c r="B7" s="1251"/>
      <c r="C7" s="258"/>
      <c r="D7" s="1272" t="s">
        <v>1329</v>
      </c>
      <c r="E7" s="3888" t="s">
        <v>439</v>
      </c>
      <c r="F7" s="3889">
        <v>10</v>
      </c>
      <c r="G7" s="3888" t="s">
        <v>439</v>
      </c>
      <c r="H7" s="3889">
        <v>10</v>
      </c>
      <c r="I7" s="3888" t="s">
        <v>439</v>
      </c>
      <c r="J7" s="3889">
        <v>10</v>
      </c>
      <c r="K7" s="3888" t="s">
        <v>439</v>
      </c>
      <c r="L7" s="3889">
        <v>10</v>
      </c>
      <c r="M7" s="3888" t="s">
        <v>439</v>
      </c>
      <c r="N7" s="3889">
        <v>10</v>
      </c>
      <c r="O7" s="3888" t="s">
        <v>439</v>
      </c>
      <c r="P7" s="3889">
        <v>10</v>
      </c>
      <c r="Q7" s="3888" t="s">
        <v>439</v>
      </c>
      <c r="R7" s="3889">
        <v>10</v>
      </c>
      <c r="S7" s="3888" t="s">
        <v>439</v>
      </c>
      <c r="T7" s="3889">
        <v>10</v>
      </c>
      <c r="U7" s="3888" t="s">
        <v>439</v>
      </c>
      <c r="V7" s="3889">
        <v>10</v>
      </c>
      <c r="W7" s="3888" t="s">
        <v>439</v>
      </c>
      <c r="X7" s="3889">
        <v>10</v>
      </c>
      <c r="Y7" s="3888" t="s">
        <v>439</v>
      </c>
      <c r="Z7" s="3889">
        <v>10</v>
      </c>
      <c r="AA7" s="3888" t="s">
        <v>439</v>
      </c>
      <c r="AB7" s="3889">
        <v>10</v>
      </c>
      <c r="AC7" s="3888" t="s">
        <v>439</v>
      </c>
      <c r="AD7" s="3889">
        <v>10</v>
      </c>
      <c r="AE7" s="3888" t="s">
        <v>439</v>
      </c>
      <c r="AF7" s="3889">
        <v>10</v>
      </c>
      <c r="AG7" s="3888" t="s">
        <v>439</v>
      </c>
      <c r="AH7" s="3889">
        <v>10</v>
      </c>
      <c r="AI7" s="1272"/>
      <c r="AJ7" s="1252"/>
    </row>
    <row r="8" spans="1:37" ht="17.100000000000001" customHeight="1" x14ac:dyDescent="0.25">
      <c r="B8" s="1251"/>
      <c r="C8" s="258"/>
      <c r="D8" s="1272" t="s">
        <v>1322</v>
      </c>
      <c r="E8" s="1275" t="s">
        <v>176</v>
      </c>
      <c r="F8" s="3890">
        <f>HLOOKUP(F$5,Sales_SummaryTable_Detailed,26,FALSE)</f>
        <v>1</v>
      </c>
      <c r="G8" s="3888" t="s">
        <v>176</v>
      </c>
      <c r="H8" s="3890">
        <f>HLOOKUP(H$5,Sales_SummaryTable_Detailed,26,FALSE)</f>
        <v>1</v>
      </c>
      <c r="I8" s="1275" t="s">
        <v>176</v>
      </c>
      <c r="J8" s="3890">
        <f>HLOOKUP(J$5,Sales_SummaryTable_Detailed,26,FALSE)</f>
        <v>0</v>
      </c>
      <c r="K8" s="1275" t="s">
        <v>176</v>
      </c>
      <c r="L8" s="3890">
        <f>HLOOKUP(L$5,Sales_SummaryTable_Detailed,26,FALSE)</f>
        <v>0</v>
      </c>
      <c r="M8" s="1275" t="s">
        <v>176</v>
      </c>
      <c r="N8" s="3890">
        <f>HLOOKUP(N$5,Sales_SummaryTable_Detailed,26,FALSE)</f>
        <v>0</v>
      </c>
      <c r="O8" s="1275" t="s">
        <v>176</v>
      </c>
      <c r="P8" s="3890" t="e">
        <f>HLOOKUP(P$5,Sales_SummaryTable_Detailed,26,FALSE)</f>
        <v>#N/A</v>
      </c>
      <c r="Q8" s="1275" t="s">
        <v>176</v>
      </c>
      <c r="R8" s="3890" t="e">
        <f>HLOOKUP(R$5,Sales_SummaryTable_Detailed,26,FALSE)</f>
        <v>#N/A</v>
      </c>
      <c r="S8" s="1275" t="s">
        <v>176</v>
      </c>
      <c r="T8" s="3890" t="e">
        <f>HLOOKUP(T$5,Sales_SummaryTable_Detailed,26,FALSE)</f>
        <v>#N/A</v>
      </c>
      <c r="U8" s="1275" t="s">
        <v>176</v>
      </c>
      <c r="V8" s="3890" t="e">
        <f>HLOOKUP(V$5,Sales_SummaryTable_Detailed,26,FALSE)</f>
        <v>#N/A</v>
      </c>
      <c r="W8" s="1275" t="s">
        <v>176</v>
      </c>
      <c r="X8" s="3890" t="e">
        <f>HLOOKUP(X$5,Sales_SummaryTable_Detailed,26,FALSE)</f>
        <v>#N/A</v>
      </c>
      <c r="Y8" s="1275" t="s">
        <v>176</v>
      </c>
      <c r="Z8" s="3890" t="e">
        <f>HLOOKUP(Z$5,Sales_SummaryTable_Detailed,26,FALSE)</f>
        <v>#N/A</v>
      </c>
      <c r="AA8" s="1275" t="s">
        <v>176</v>
      </c>
      <c r="AB8" s="3890" t="e">
        <f>HLOOKUP(AB$5,Sales_SummaryTable_Detailed,26,FALSE)</f>
        <v>#N/A</v>
      </c>
      <c r="AC8" s="1275" t="s">
        <v>176</v>
      </c>
      <c r="AD8" s="3890" t="e">
        <f>HLOOKUP(AD$5,Sales_SummaryTable_Detailed,26,FALSE)</f>
        <v>#N/A</v>
      </c>
      <c r="AE8" s="1275" t="s">
        <v>176</v>
      </c>
      <c r="AF8" s="3890" t="e">
        <f>HLOOKUP(AF$5,Sales_SummaryTable_Detailed,26,FALSE)</f>
        <v>#N/A</v>
      </c>
      <c r="AG8" s="1275" t="s">
        <v>176</v>
      </c>
      <c r="AH8" s="3890" t="e">
        <f>HLOOKUP(AH$5,Sales_SummaryTable_Detailed,26,FALSE)</f>
        <v>#N/A</v>
      </c>
      <c r="AI8" s="1272"/>
      <c r="AJ8" s="1252"/>
    </row>
    <row r="9" spans="1:37" s="1761" customFormat="1" ht="17.100000000000001" customHeight="1" x14ac:dyDescent="0.25">
      <c r="B9" s="1759"/>
      <c r="C9" s="2984"/>
      <c r="D9" s="3197" t="s">
        <v>1323</v>
      </c>
      <c r="E9" s="2984"/>
      <c r="F9" s="3891">
        <f>F6/F7*F8</f>
        <v>0</v>
      </c>
      <c r="G9" s="2984"/>
      <c r="H9" s="3891">
        <f>H6/H7*H8</f>
        <v>0</v>
      </c>
      <c r="I9" s="2984"/>
      <c r="J9" s="3891">
        <f>J6/J7*J8</f>
        <v>0</v>
      </c>
      <c r="K9" s="2984"/>
      <c r="L9" s="3891">
        <f>L6/L7*L8</f>
        <v>0</v>
      </c>
      <c r="M9" s="2984"/>
      <c r="N9" s="3891">
        <f>N6/N7*N8</f>
        <v>0</v>
      </c>
      <c r="O9" s="2984"/>
      <c r="P9" s="3891" t="e">
        <f>P6/P7*P8</f>
        <v>#N/A</v>
      </c>
      <c r="Q9" s="2984"/>
      <c r="R9" s="3891" t="e">
        <f>R6/R7*R8</f>
        <v>#N/A</v>
      </c>
      <c r="S9" s="2984"/>
      <c r="T9" s="3891" t="e">
        <f>T6/T7*T8</f>
        <v>#N/A</v>
      </c>
      <c r="U9" s="2984"/>
      <c r="V9" s="3891" t="e">
        <f>V6/V7*V8</f>
        <v>#N/A</v>
      </c>
      <c r="W9" s="2984"/>
      <c r="X9" s="3891" t="e">
        <f>X6/X7*X8</f>
        <v>#N/A</v>
      </c>
      <c r="Y9" s="2984"/>
      <c r="Z9" s="3891" t="e">
        <f>Z6/Z7*Z8</f>
        <v>#N/A</v>
      </c>
      <c r="AA9" s="2984"/>
      <c r="AB9" s="3891" t="e">
        <f>AB6/AB7*AB8</f>
        <v>#N/A</v>
      </c>
      <c r="AC9" s="2984"/>
      <c r="AD9" s="3891" t="e">
        <f>AD6/AD7*AD8</f>
        <v>#N/A</v>
      </c>
      <c r="AE9" s="2984"/>
      <c r="AF9" s="3891" t="e">
        <f>AF6/AF7*AF8</f>
        <v>#N/A</v>
      </c>
      <c r="AG9" s="2984"/>
      <c r="AH9" s="3891" t="e">
        <f>AH6/AH7*AH8</f>
        <v>#N/A</v>
      </c>
      <c r="AI9" s="3197"/>
      <c r="AJ9" s="1760"/>
    </row>
    <row r="10" spans="1:37" ht="17.100000000000001" customHeight="1" x14ac:dyDescent="0.25">
      <c r="B10" s="1251"/>
      <c r="C10" s="258"/>
      <c r="D10" s="3335" t="s">
        <v>1324</v>
      </c>
      <c r="E10" s="3336" t="s">
        <v>176</v>
      </c>
      <c r="F10" s="3892">
        <v>0.5</v>
      </c>
      <c r="G10" s="3336" t="s">
        <v>176</v>
      </c>
      <c r="H10" s="3892">
        <v>0.5</v>
      </c>
      <c r="I10" s="3336" t="s">
        <v>176</v>
      </c>
      <c r="J10" s="3892">
        <v>0.5</v>
      </c>
      <c r="K10" s="3336" t="s">
        <v>176</v>
      </c>
      <c r="L10" s="3892">
        <v>0.5</v>
      </c>
      <c r="M10" s="3336" t="s">
        <v>176</v>
      </c>
      <c r="N10" s="3892">
        <v>0.5</v>
      </c>
      <c r="O10" s="3336" t="s">
        <v>176</v>
      </c>
      <c r="P10" s="3892">
        <v>0.5</v>
      </c>
      <c r="Q10" s="3336" t="s">
        <v>176</v>
      </c>
      <c r="R10" s="3892">
        <v>0.5</v>
      </c>
      <c r="S10" s="3336" t="s">
        <v>176</v>
      </c>
      <c r="T10" s="3892">
        <v>0.5</v>
      </c>
      <c r="U10" s="3336" t="s">
        <v>176</v>
      </c>
      <c r="V10" s="3892">
        <v>0.5</v>
      </c>
      <c r="W10" s="3336" t="s">
        <v>176</v>
      </c>
      <c r="X10" s="3892">
        <v>0.5</v>
      </c>
      <c r="Y10" s="3336" t="s">
        <v>176</v>
      </c>
      <c r="Z10" s="3892">
        <v>0.5</v>
      </c>
      <c r="AA10" s="3336" t="s">
        <v>176</v>
      </c>
      <c r="AB10" s="3892">
        <v>0.5</v>
      </c>
      <c r="AC10" s="3336" t="s">
        <v>176</v>
      </c>
      <c r="AD10" s="3892">
        <v>0.5</v>
      </c>
      <c r="AE10" s="3336" t="s">
        <v>176</v>
      </c>
      <c r="AF10" s="3892">
        <v>0.5</v>
      </c>
      <c r="AG10" s="3336" t="s">
        <v>176</v>
      </c>
      <c r="AH10" s="3892">
        <v>0.5</v>
      </c>
      <c r="AI10" s="1272"/>
      <c r="AJ10" s="1252"/>
      <c r="AK10" s="4217" t="s">
        <v>1328</v>
      </c>
    </row>
    <row r="11" spans="1:37" s="1761" customFormat="1" ht="17.100000000000001" customHeight="1" x14ac:dyDescent="0.25">
      <c r="B11" s="1759"/>
      <c r="C11" s="2984"/>
      <c r="D11" s="3197" t="s">
        <v>1325</v>
      </c>
      <c r="E11" s="2984"/>
      <c r="F11" s="3893">
        <f>F9*F10</f>
        <v>0</v>
      </c>
      <c r="G11" s="2984"/>
      <c r="H11" s="3893">
        <f>H9*H10</f>
        <v>0</v>
      </c>
      <c r="I11" s="2984"/>
      <c r="J11" s="3893">
        <f>J9*J10</f>
        <v>0</v>
      </c>
      <c r="K11" s="2984"/>
      <c r="L11" s="3893">
        <f>L9*L10</f>
        <v>0</v>
      </c>
      <c r="M11" s="2984"/>
      <c r="N11" s="3893">
        <f>N9*N10</f>
        <v>0</v>
      </c>
      <c r="O11" s="2984"/>
      <c r="P11" s="3893" t="e">
        <f>P9*P10</f>
        <v>#N/A</v>
      </c>
      <c r="Q11" s="2984"/>
      <c r="R11" s="3893" t="e">
        <f>R9*R10</f>
        <v>#N/A</v>
      </c>
      <c r="S11" s="2984"/>
      <c r="T11" s="3893" t="e">
        <f>T9*T10</f>
        <v>#N/A</v>
      </c>
      <c r="U11" s="2984"/>
      <c r="V11" s="3893" t="e">
        <f>V9*V10</f>
        <v>#N/A</v>
      </c>
      <c r="W11" s="2984"/>
      <c r="X11" s="3893" t="e">
        <f>X9*X10</f>
        <v>#N/A</v>
      </c>
      <c r="Y11" s="2984"/>
      <c r="Z11" s="3893" t="e">
        <f>Z9*Z10</f>
        <v>#N/A</v>
      </c>
      <c r="AA11" s="2984"/>
      <c r="AB11" s="3893" t="e">
        <f>AB9*AB10</f>
        <v>#N/A</v>
      </c>
      <c r="AC11" s="2984"/>
      <c r="AD11" s="3893" t="e">
        <f>AD9*AD10</f>
        <v>#N/A</v>
      </c>
      <c r="AE11" s="2984"/>
      <c r="AF11" s="3893" t="e">
        <f>AF9*AF10</f>
        <v>#N/A</v>
      </c>
      <c r="AG11" s="2984"/>
      <c r="AH11" s="3893" t="e">
        <f>AH9*AH10</f>
        <v>#N/A</v>
      </c>
      <c r="AI11" s="3197"/>
      <c r="AJ11" s="1760"/>
      <c r="AK11" s="4217"/>
    </row>
    <row r="12" spans="1:37" ht="17.100000000000001" customHeight="1" x14ac:dyDescent="0.25">
      <c r="B12" s="1251"/>
      <c r="C12" s="258"/>
      <c r="D12" s="1272" t="s">
        <v>1326</v>
      </c>
      <c r="E12" s="1275" t="s">
        <v>176</v>
      </c>
      <c r="F12" s="1276"/>
      <c r="G12" s="1275" t="s">
        <v>176</v>
      </c>
      <c r="H12" s="1276"/>
      <c r="I12" s="1275" t="s">
        <v>176</v>
      </c>
      <c r="J12" s="1276"/>
      <c r="K12" s="1275" t="s">
        <v>176</v>
      </c>
      <c r="L12" s="1276"/>
      <c r="M12" s="1275" t="s">
        <v>176</v>
      </c>
      <c r="N12" s="1276"/>
      <c r="O12" s="1275" t="s">
        <v>176</v>
      </c>
      <c r="P12" s="1276"/>
      <c r="Q12" s="1275" t="s">
        <v>176</v>
      </c>
      <c r="R12" s="1276"/>
      <c r="S12" s="1275" t="s">
        <v>176</v>
      </c>
      <c r="T12" s="1276"/>
      <c r="U12" s="1275" t="s">
        <v>176</v>
      </c>
      <c r="V12" s="1276"/>
      <c r="W12" s="1275" t="s">
        <v>176</v>
      </c>
      <c r="X12" s="1276"/>
      <c r="Y12" s="1275" t="s">
        <v>176</v>
      </c>
      <c r="Z12" s="1276"/>
      <c r="AA12" s="1275" t="s">
        <v>176</v>
      </c>
      <c r="AB12" s="1276"/>
      <c r="AC12" s="1275" t="s">
        <v>176</v>
      </c>
      <c r="AD12" s="1276"/>
      <c r="AE12" s="1275" t="s">
        <v>176</v>
      </c>
      <c r="AF12" s="1276"/>
      <c r="AG12" s="1275" t="s">
        <v>176</v>
      </c>
      <c r="AH12" s="1276"/>
      <c r="AI12" s="1272"/>
      <c r="AJ12" s="1252"/>
    </row>
    <row r="13" spans="1:37" ht="17.100000000000001" customHeight="1" thickBot="1" x14ac:dyDescent="0.3">
      <c r="B13" s="1251"/>
      <c r="C13" s="258"/>
      <c r="D13" s="3451" t="s">
        <v>1332</v>
      </c>
      <c r="E13" s="3498"/>
      <c r="F13" s="3894">
        <f>IF(ISERROR(-F11*F12),"",-F11*F12)</f>
        <v>0</v>
      </c>
      <c r="G13" s="3498"/>
      <c r="H13" s="3894">
        <f>IF(ISERROR(-H11*H12),"",-H11*H12)</f>
        <v>0</v>
      </c>
      <c r="I13" s="3498"/>
      <c r="J13" s="3894">
        <f>IF(ISERROR(-J11*J12),"",-J11*J12)</f>
        <v>0</v>
      </c>
      <c r="K13" s="3498"/>
      <c r="L13" s="3894">
        <f>IF(ISERROR(-L11*L12),"",-L11*L12)</f>
        <v>0</v>
      </c>
      <c r="M13" s="3498"/>
      <c r="N13" s="3894">
        <f>IF(ISERROR(-N11*N12),"",-N11*N12)</f>
        <v>0</v>
      </c>
      <c r="O13" s="3451"/>
      <c r="P13" s="3894" t="str">
        <f>IF(ISERROR(-P11*P12),"",-P11*P12)</f>
        <v/>
      </c>
      <c r="Q13" s="3499"/>
      <c r="R13" s="3894" t="str">
        <f>IF(ISERROR(-R11*R12),"",-R11*R12)</f>
        <v/>
      </c>
      <c r="S13" s="3451"/>
      <c r="T13" s="3894" t="str">
        <f>IF(ISERROR(-T11*T12),"",-T11*T12)</f>
        <v/>
      </c>
      <c r="U13" s="3451"/>
      <c r="V13" s="3894" t="str">
        <f>IF(ISERROR(-V11*V12),"",-V11*V12)</f>
        <v/>
      </c>
      <c r="W13" s="3451"/>
      <c r="X13" s="3894" t="str">
        <f>IF(ISERROR(-X11*X12),"",-X11*X12)</f>
        <v/>
      </c>
      <c r="Y13" s="3451"/>
      <c r="Z13" s="3894" t="str">
        <f>IF(ISERROR(-Z11*Z12),"",-Z11*Z12)</f>
        <v/>
      </c>
      <c r="AA13" s="3451"/>
      <c r="AB13" s="3894" t="str">
        <f>IF(ISERROR(-AB11*AB12),"",-AB11*AB12)</f>
        <v/>
      </c>
      <c r="AC13" s="3451"/>
      <c r="AD13" s="3894" t="str">
        <f>IF(ISERROR(-AD11*AD12),"",-AD11*AD12)</f>
        <v/>
      </c>
      <c r="AE13" s="3451"/>
      <c r="AF13" s="3894" t="str">
        <f>IF(ISERROR(-AF11*AF12),"",-AF11*AF12)</f>
        <v/>
      </c>
      <c r="AG13" s="3451"/>
      <c r="AH13" s="3894" t="str">
        <f>IF(ISERROR(-AH11*AH12),"",-AH11*AH12)</f>
        <v/>
      </c>
      <c r="AI13" s="1272"/>
      <c r="AJ13" s="1252"/>
    </row>
    <row r="14" spans="1:37" ht="15.95" customHeight="1" thickBot="1" x14ac:dyDescent="0.3">
      <c r="B14" s="1253"/>
      <c r="C14" s="1254"/>
      <c r="D14" s="741" t="s">
        <v>1330</v>
      </c>
      <c r="E14" s="1270"/>
      <c r="F14" s="1271"/>
      <c r="G14" s="1271"/>
      <c r="H14" s="1271"/>
      <c r="I14" s="1271"/>
      <c r="J14" s="1271"/>
      <c r="K14" s="1271"/>
      <c r="L14" s="1271"/>
      <c r="M14" s="1271"/>
      <c r="N14" s="1271"/>
      <c r="O14" s="1271"/>
      <c r="P14" s="1271"/>
      <c r="Q14" s="1271"/>
      <c r="R14" s="1270"/>
      <c r="S14" s="1270"/>
      <c r="T14" s="1270"/>
      <c r="U14" s="1270"/>
      <c r="V14" s="1270"/>
      <c r="W14" s="1270"/>
      <c r="X14" s="1270"/>
      <c r="Y14" s="1270"/>
      <c r="Z14" s="1270"/>
      <c r="AA14" s="1270"/>
      <c r="AB14" s="1270"/>
      <c r="AC14" s="1270"/>
      <c r="AD14" s="1270"/>
      <c r="AE14" s="1270"/>
      <c r="AF14" s="1270"/>
      <c r="AG14" s="1270"/>
      <c r="AH14" s="1270"/>
      <c r="AI14" s="1254"/>
      <c r="AJ14" s="1255"/>
    </row>
    <row r="15" spans="1:37" ht="15" customHeight="1" x14ac:dyDescent="0.25"/>
    <row r="16" spans="1:37" ht="17.25" thickBot="1" x14ac:dyDescent="0.35">
      <c r="D16" s="17" t="s">
        <v>1334</v>
      </c>
      <c r="E16" s="17"/>
    </row>
    <row r="17" spans="1:37" x14ac:dyDescent="0.25">
      <c r="B17" s="1248"/>
      <c r="C17" s="1249"/>
      <c r="D17" s="1249"/>
      <c r="E17" s="1249"/>
      <c r="F17" s="1257"/>
      <c r="G17" s="1257"/>
      <c r="H17" s="1257"/>
      <c r="I17" s="1257"/>
      <c r="J17" s="1257"/>
      <c r="K17" s="1257"/>
      <c r="L17" s="1257"/>
      <c r="M17" s="1257"/>
      <c r="N17" s="1257"/>
      <c r="O17" s="1257"/>
      <c r="P17" s="1257"/>
      <c r="Q17" s="1257"/>
      <c r="R17" s="1249"/>
      <c r="S17" s="1249"/>
      <c r="T17" s="1249"/>
      <c r="U17" s="1249"/>
      <c r="V17" s="1249"/>
      <c r="W17" s="1249"/>
      <c r="X17" s="1249"/>
      <c r="Y17" s="1249"/>
      <c r="Z17" s="1249"/>
      <c r="AA17" s="1249"/>
      <c r="AB17" s="1249"/>
      <c r="AC17" s="1249"/>
      <c r="AD17" s="1249"/>
      <c r="AE17" s="1249"/>
      <c r="AF17" s="1249"/>
      <c r="AG17" s="1249"/>
      <c r="AH17" s="1249"/>
      <c r="AI17" s="1249"/>
      <c r="AJ17" s="1250"/>
    </row>
    <row r="18" spans="1:37" ht="16.5" x14ac:dyDescent="0.3">
      <c r="B18" s="1251"/>
      <c r="C18" s="1080"/>
      <c r="D18" s="246" t="s">
        <v>1309</v>
      </c>
      <c r="E18" s="246"/>
      <c r="F18" s="1258"/>
      <c r="G18" s="1258"/>
      <c r="H18" s="1258"/>
      <c r="I18" s="1258"/>
      <c r="J18" s="1258"/>
      <c r="K18" s="1258"/>
      <c r="L18" s="1258"/>
      <c r="M18" s="1258"/>
      <c r="N18" s="1258"/>
      <c r="O18" s="1258"/>
      <c r="P18" s="1258"/>
      <c r="Q18" s="1258"/>
      <c r="R18" s="1080"/>
      <c r="S18" s="1080"/>
      <c r="T18" s="1080"/>
      <c r="U18" s="1080"/>
      <c r="V18" s="1080"/>
      <c r="W18" s="1080"/>
      <c r="X18" s="1080"/>
      <c r="Y18" s="1080"/>
      <c r="Z18" s="1080"/>
      <c r="AA18" s="1080"/>
      <c r="AB18" s="1080"/>
      <c r="AC18" s="1080"/>
      <c r="AD18" s="1080"/>
      <c r="AE18" s="1080"/>
      <c r="AF18" s="1080"/>
      <c r="AG18" s="1080"/>
      <c r="AH18" s="1080"/>
      <c r="AI18" s="1080"/>
      <c r="AJ18" s="1252"/>
    </row>
    <row r="19" spans="1:37" ht="17.100000000000001" customHeight="1" x14ac:dyDescent="0.25">
      <c r="B19" s="1251"/>
      <c r="D19" s="12" t="s">
        <v>1100</v>
      </c>
      <c r="E19" s="12"/>
      <c r="F19" s="1269">
        <v>1</v>
      </c>
      <c r="G19" s="1269"/>
      <c r="H19" s="1269">
        <f>F19+1</f>
        <v>2</v>
      </c>
      <c r="I19" s="1269"/>
      <c r="J19" s="1269">
        <f>H19+1</f>
        <v>3</v>
      </c>
      <c r="K19" s="1269"/>
      <c r="L19" s="1269">
        <f>J19+1</f>
        <v>4</v>
      </c>
      <c r="M19" s="1269"/>
      <c r="N19" s="1269">
        <f>L19+1</f>
        <v>5</v>
      </c>
      <c r="O19" s="11"/>
      <c r="P19" s="1269">
        <f>N19+1</f>
        <v>6</v>
      </c>
      <c r="Q19" s="124"/>
      <c r="R19" s="1269">
        <f>P19+1</f>
        <v>7</v>
      </c>
      <c r="S19" s="11"/>
      <c r="T19" s="1269">
        <f>R19+1</f>
        <v>8</v>
      </c>
      <c r="U19" s="11"/>
      <c r="V19" s="1269">
        <f>T19+1</f>
        <v>9</v>
      </c>
      <c r="W19" s="11"/>
      <c r="X19" s="1269">
        <f>V19+1</f>
        <v>10</v>
      </c>
      <c r="Y19" s="11"/>
      <c r="Z19" s="1269">
        <f>X19+1</f>
        <v>11</v>
      </c>
      <c r="AA19" s="11"/>
      <c r="AB19" s="1269">
        <f>Z19+1</f>
        <v>12</v>
      </c>
      <c r="AC19" s="11"/>
      <c r="AD19" s="1269">
        <f>AB19+1</f>
        <v>13</v>
      </c>
      <c r="AE19" s="11"/>
      <c r="AF19" s="1269">
        <f>AD19+1</f>
        <v>14</v>
      </c>
      <c r="AG19" s="11"/>
      <c r="AH19" s="1269">
        <f>AF19+1</f>
        <v>15</v>
      </c>
      <c r="AJ19" s="1252"/>
    </row>
    <row r="20" spans="1:37" ht="17.100000000000001" customHeight="1" x14ac:dyDescent="0.25">
      <c r="B20" s="1251"/>
      <c r="C20" s="1272"/>
      <c r="D20" s="1272" t="s">
        <v>1311</v>
      </c>
      <c r="E20" s="1272"/>
      <c r="F20" s="3895">
        <f ca="1">Income_DirectCap_NOI_PSF</f>
        <v>0.65</v>
      </c>
      <c r="G20" s="3895"/>
      <c r="H20" s="3895">
        <f ca="1">Income_DirectCap_NOI_PSF</f>
        <v>0.65</v>
      </c>
      <c r="I20" s="3895"/>
      <c r="J20" s="3895">
        <f ca="1">Income_DirectCap_NOI_PSF</f>
        <v>0.65</v>
      </c>
      <c r="K20" s="3895"/>
      <c r="L20" s="3895">
        <f ca="1">Income_DirectCap_NOI_PSF</f>
        <v>0.65</v>
      </c>
      <c r="M20" s="3895"/>
      <c r="N20" s="3895">
        <f ca="1">Income_DirectCap_NOI_PSF</f>
        <v>0.65</v>
      </c>
      <c r="O20" s="3895"/>
      <c r="P20" s="3895">
        <f ca="1">Income_DirectCap_NOI_PSF</f>
        <v>0.65</v>
      </c>
      <c r="Q20" s="3895"/>
      <c r="R20" s="3895">
        <f ca="1">_xlfn.SINGLE(Income_DirectCap_NOI_PSF)</f>
        <v>0.65</v>
      </c>
      <c r="S20" s="3896"/>
      <c r="T20" s="3895">
        <f ca="1">_xlfn.SINGLE(Income_DirectCap_NOI_PSF)</f>
        <v>0.65</v>
      </c>
      <c r="U20" s="3896"/>
      <c r="V20" s="3895">
        <f ca="1">_xlfn.SINGLE(Income_DirectCap_NOI_PSF)</f>
        <v>0.65</v>
      </c>
      <c r="W20" s="3896"/>
      <c r="X20" s="3895">
        <f ca="1">_xlfn.SINGLE(Income_DirectCap_NOI_PSF)</f>
        <v>0.65</v>
      </c>
      <c r="Y20" s="3896"/>
      <c r="Z20" s="3895">
        <f ca="1">_xlfn.SINGLE(Income_DirectCap_NOI_PSF)</f>
        <v>0.65</v>
      </c>
      <c r="AA20" s="3896"/>
      <c r="AB20" s="3895">
        <f ca="1">_xlfn.SINGLE(Income_DirectCap_NOI_PSF)</f>
        <v>0.65</v>
      </c>
      <c r="AC20" s="3896"/>
      <c r="AD20" s="3895">
        <f ca="1">_xlfn.SINGLE(Income_DirectCap_NOI_PSF)</f>
        <v>0.65</v>
      </c>
      <c r="AE20" s="3896"/>
      <c r="AF20" s="3895">
        <f ca="1">_xlfn.SINGLE(Income_DirectCap_NOI_PSF)</f>
        <v>0.65</v>
      </c>
      <c r="AG20" s="3896"/>
      <c r="AH20" s="3895">
        <f ca="1">_xlfn.SINGLE(Income_DirectCap_NOI_PSF)</f>
        <v>0.65</v>
      </c>
      <c r="AI20" s="1272"/>
      <c r="AJ20" s="1252"/>
    </row>
    <row r="21" spans="1:37" ht="17.100000000000001" customHeight="1" x14ac:dyDescent="0.25">
      <c r="B21" s="1251"/>
      <c r="C21" s="1272"/>
      <c r="D21" s="1272" t="s">
        <v>1310</v>
      </c>
      <c r="E21" s="1272"/>
      <c r="F21" s="3895" t="str">
        <f>HLOOKUP(F$5,Sales_SummaryTable_Detailed,44,FALSE)</f>
        <v>N/A</v>
      </c>
      <c r="G21" s="3895"/>
      <c r="H21" s="3895">
        <f>HLOOKUP(H$5,Sales_SummaryTable_Detailed,44,FALSE)</f>
        <v>24.45</v>
      </c>
      <c r="I21" s="3895"/>
      <c r="J21" s="3895" t="str">
        <f>HLOOKUP(J$5,Sales_SummaryTable_Detailed,44,FALSE)</f>
        <v>N/A</v>
      </c>
      <c r="K21" s="3895"/>
      <c r="L21" s="3895" t="str">
        <f>HLOOKUP(L$5,Sales_SummaryTable_Detailed,44,FALSE)</f>
        <v>N/A</v>
      </c>
      <c r="M21" s="3895"/>
      <c r="N21" s="3895" t="str">
        <f>HLOOKUP(N$5,Sales_SummaryTable_Detailed,44,FALSE)</f>
        <v>N/A</v>
      </c>
      <c r="O21" s="3895"/>
      <c r="P21" s="3895" t="e">
        <f>HLOOKUP(P$5,Sales_SummaryTable_Detailed,44,FALSE)</f>
        <v>#N/A</v>
      </c>
      <c r="Q21" s="3895"/>
      <c r="R21" s="3895" t="e">
        <f>HLOOKUP(R$5,Sales_SummaryTable_Detailed,44,FALSE)</f>
        <v>#N/A</v>
      </c>
      <c r="S21" s="3896"/>
      <c r="T21" s="3895" t="e">
        <f>HLOOKUP(T$5,Sales_SummaryTable_Detailed,44,FALSE)</f>
        <v>#N/A</v>
      </c>
      <c r="U21" s="3896"/>
      <c r="V21" s="3895" t="e">
        <f>HLOOKUP(V$5,Sales_SummaryTable_Detailed,44,FALSE)</f>
        <v>#N/A</v>
      </c>
      <c r="W21" s="3896"/>
      <c r="X21" s="3895" t="e">
        <f>HLOOKUP(X$5,Sales_SummaryTable_Detailed,44,FALSE)</f>
        <v>#N/A</v>
      </c>
      <c r="Y21" s="3896"/>
      <c r="Z21" s="3895" t="e">
        <f>HLOOKUP(Z$5,Sales_SummaryTable_Detailed,44,FALSE)</f>
        <v>#N/A</v>
      </c>
      <c r="AA21" s="3896"/>
      <c r="AB21" s="3895" t="e">
        <f>HLOOKUP(AB$5,Sales_SummaryTable_Detailed,44,FALSE)</f>
        <v>#N/A</v>
      </c>
      <c r="AC21" s="3896"/>
      <c r="AD21" s="3895" t="e">
        <f>HLOOKUP(AD$5,Sales_SummaryTable_Detailed,44,FALSE)</f>
        <v>#N/A</v>
      </c>
      <c r="AE21" s="3896"/>
      <c r="AF21" s="3895" t="e">
        <f>HLOOKUP(AF$5,Sales_SummaryTable_Detailed,44,FALSE)</f>
        <v>#N/A</v>
      </c>
      <c r="AG21" s="3896"/>
      <c r="AH21" s="3895" t="e">
        <f>HLOOKUP(AH$5,Sales_SummaryTable_Detailed,44,FALSE)</f>
        <v>#N/A</v>
      </c>
      <c r="AI21" s="1272"/>
      <c r="AJ21" s="1252"/>
    </row>
    <row r="22" spans="1:37" ht="17.100000000000001" customHeight="1" x14ac:dyDescent="0.25">
      <c r="A22" s="957">
        <v>1</v>
      </c>
      <c r="B22" s="1251"/>
      <c r="C22" s="1272"/>
      <c r="D22" s="1272" t="s">
        <v>553</v>
      </c>
      <c r="E22" s="1272"/>
      <c r="F22" s="1279" t="e">
        <f ca="1">(F20-F21)/F21</f>
        <v>#VALUE!</v>
      </c>
      <c r="G22" s="1275"/>
      <c r="H22" s="1279">
        <f ca="1">(H20-H21)/H21</f>
        <v>-0.97341513292433546</v>
      </c>
      <c r="I22" s="1275"/>
      <c r="J22" s="1279" t="e">
        <f ca="1">(J20-J21)/J21</f>
        <v>#VALUE!</v>
      </c>
      <c r="K22" s="1275"/>
      <c r="L22" s="1279" t="e">
        <f ca="1">(L20-L21)/L21</f>
        <v>#VALUE!</v>
      </c>
      <c r="M22" s="1275"/>
      <c r="N22" s="1279" t="e">
        <f ca="1">(N20-N21)/N21</f>
        <v>#VALUE!</v>
      </c>
      <c r="O22" s="1275"/>
      <c r="P22" s="1279" t="e">
        <f ca="1">(P20-P21)/P21</f>
        <v>#N/A</v>
      </c>
      <c r="Q22" s="1275"/>
      <c r="R22" s="1279" t="e">
        <f ca="1">(R20-R21)/R21</f>
        <v>#N/A</v>
      </c>
      <c r="S22" s="1272"/>
      <c r="T22" s="1279" t="e">
        <f ca="1">(T20-T21)/T21</f>
        <v>#N/A</v>
      </c>
      <c r="U22" s="1272"/>
      <c r="V22" s="1279" t="e">
        <f ca="1">(V20-V21)/V21</f>
        <v>#N/A</v>
      </c>
      <c r="W22" s="1272"/>
      <c r="X22" s="1279" t="e">
        <f ca="1">(X20-X21)/X21</f>
        <v>#N/A</v>
      </c>
      <c r="Y22" s="1272"/>
      <c r="Z22" s="1279" t="e">
        <f ca="1">(Z20-Z21)/Z21</f>
        <v>#N/A</v>
      </c>
      <c r="AA22" s="1272"/>
      <c r="AB22" s="1279" t="e">
        <f ca="1">(AB20-AB21)/AB21</f>
        <v>#N/A</v>
      </c>
      <c r="AC22" s="1272"/>
      <c r="AD22" s="1279" t="e">
        <f ca="1">(AD20-AD21)/AD21</f>
        <v>#N/A</v>
      </c>
      <c r="AE22" s="1272"/>
      <c r="AF22" s="1279" t="e">
        <f ca="1">(AF20-AF21)/AF21</f>
        <v>#N/A</v>
      </c>
      <c r="AG22" s="1272"/>
      <c r="AH22" s="1279" t="e">
        <f ca="1">(AH20-AH21)/AH21</f>
        <v>#N/A</v>
      </c>
      <c r="AI22" s="1272"/>
      <c r="AJ22" s="1252"/>
    </row>
    <row r="23" spans="1:37" ht="17.100000000000001" hidden="1" customHeight="1" x14ac:dyDescent="0.25">
      <c r="A23" s="957">
        <f>IF(AVERAGE(Sales_LocationNOI_VarianceAttributeLoc)=1,0,1)</f>
        <v>0</v>
      </c>
      <c r="B23" s="1251"/>
      <c r="C23" s="1272"/>
      <c r="D23" s="1272" t="s">
        <v>1312</v>
      </c>
      <c r="E23" s="1272"/>
      <c r="F23" s="1279">
        <v>1</v>
      </c>
      <c r="G23" s="1279"/>
      <c r="H23" s="1279">
        <v>1</v>
      </c>
      <c r="I23" s="1279"/>
      <c r="J23" s="1279">
        <v>1</v>
      </c>
      <c r="K23" s="1279"/>
      <c r="L23" s="1279">
        <v>1</v>
      </c>
      <c r="M23" s="1279"/>
      <c r="N23" s="1279">
        <v>1</v>
      </c>
      <c r="O23" s="1279"/>
      <c r="P23" s="1279">
        <v>1</v>
      </c>
      <c r="Q23" s="1279"/>
      <c r="R23" s="1279">
        <v>1</v>
      </c>
      <c r="S23" s="1280"/>
      <c r="T23" s="1279">
        <v>1</v>
      </c>
      <c r="U23" s="1280"/>
      <c r="V23" s="1279">
        <v>1</v>
      </c>
      <c r="W23" s="1280"/>
      <c r="X23" s="1279">
        <v>1</v>
      </c>
      <c r="Y23" s="1280"/>
      <c r="Z23" s="1279">
        <v>1</v>
      </c>
      <c r="AA23" s="1280"/>
      <c r="AB23" s="1279">
        <v>1</v>
      </c>
      <c r="AC23" s="1280"/>
      <c r="AD23" s="1279">
        <v>1</v>
      </c>
      <c r="AE23" s="1280"/>
      <c r="AF23" s="1279">
        <v>1</v>
      </c>
      <c r="AG23" s="1280"/>
      <c r="AH23" s="1279">
        <v>1</v>
      </c>
      <c r="AI23" s="1272"/>
      <c r="AJ23" s="1252"/>
      <c r="AK23" s="4218" t="s">
        <v>1361</v>
      </c>
    </row>
    <row r="24" spans="1:37" ht="17.100000000000001" hidden="1" customHeight="1" x14ac:dyDescent="0.25">
      <c r="A24" s="957">
        <f>A23</f>
        <v>0</v>
      </c>
      <c r="B24" s="1251"/>
      <c r="C24" s="1272"/>
      <c r="D24" s="3353" t="s">
        <v>1332</v>
      </c>
      <c r="E24" s="3353"/>
      <c r="F24" s="3897" t="e">
        <f ca="1">F22*F23</f>
        <v>#VALUE!</v>
      </c>
      <c r="G24" s="3898"/>
      <c r="H24" s="3897">
        <f ca="1">H22*H23</f>
        <v>-0.97341513292433546</v>
      </c>
      <c r="I24" s="3898"/>
      <c r="J24" s="3897" t="e">
        <f ca="1">J22*J23</f>
        <v>#VALUE!</v>
      </c>
      <c r="K24" s="3898"/>
      <c r="L24" s="3897" t="e">
        <f ca="1">L22*L23</f>
        <v>#VALUE!</v>
      </c>
      <c r="M24" s="3898"/>
      <c r="N24" s="3897" t="e">
        <f ca="1">N22*N23</f>
        <v>#VALUE!</v>
      </c>
      <c r="O24" s="3898"/>
      <c r="P24" s="3897" t="e">
        <f ca="1">P22*P23</f>
        <v>#N/A</v>
      </c>
      <c r="Q24" s="1275"/>
      <c r="R24" s="3897" t="e">
        <f ca="1">R22*R23</f>
        <v>#N/A</v>
      </c>
      <c r="S24" s="1272"/>
      <c r="T24" s="3897" t="e">
        <f ca="1">T22*T23</f>
        <v>#N/A</v>
      </c>
      <c r="U24" s="1272"/>
      <c r="V24" s="3897" t="e">
        <f ca="1">V22*V23</f>
        <v>#N/A</v>
      </c>
      <c r="W24" s="1272"/>
      <c r="X24" s="3897" t="e">
        <f ca="1">X22*X23</f>
        <v>#N/A</v>
      </c>
      <c r="Y24" s="1272"/>
      <c r="Z24" s="3897" t="e">
        <f ca="1">Z22*Z23</f>
        <v>#N/A</v>
      </c>
      <c r="AA24" s="1272"/>
      <c r="AB24" s="3897" t="e">
        <f ca="1">AB22*AB23</f>
        <v>#N/A</v>
      </c>
      <c r="AC24" s="1272"/>
      <c r="AD24" s="3897" t="e">
        <f ca="1">AD22*AD23</f>
        <v>#N/A</v>
      </c>
      <c r="AE24" s="1272"/>
      <c r="AF24" s="3897" t="e">
        <f ca="1">AF22*AF23</f>
        <v>#N/A</v>
      </c>
      <c r="AG24" s="1272"/>
      <c r="AH24" s="3897" t="e">
        <f ca="1">AH22*AH23</f>
        <v>#N/A</v>
      </c>
      <c r="AI24" s="1272"/>
      <c r="AJ24" s="1252"/>
      <c r="AK24" s="4218"/>
    </row>
    <row r="25" spans="1:37" ht="17.100000000000001" customHeight="1" thickBot="1" x14ac:dyDescent="0.3">
      <c r="A25" s="957">
        <v>1</v>
      </c>
      <c r="B25" s="1251"/>
      <c r="C25" s="1272"/>
      <c r="D25" s="3451" t="s">
        <v>1333</v>
      </c>
      <c r="E25" s="3341"/>
      <c r="F25" s="1277"/>
      <c r="G25" s="1277"/>
      <c r="H25" s="1277"/>
      <c r="I25" s="1277"/>
      <c r="J25" s="1277"/>
      <c r="K25" s="1277"/>
      <c r="L25" s="1277"/>
      <c r="M25" s="1277"/>
      <c r="N25" s="1277"/>
      <c r="O25" s="1277"/>
      <c r="P25" s="1277"/>
      <c r="Q25" s="1277"/>
      <c r="R25" s="1277"/>
      <c r="S25" s="1277"/>
      <c r="T25" s="1277"/>
      <c r="U25" s="1277"/>
      <c r="V25" s="1277"/>
      <c r="W25" s="1277"/>
      <c r="X25" s="1277"/>
      <c r="Y25" s="1277"/>
      <c r="Z25" s="1277"/>
      <c r="AA25" s="1277"/>
      <c r="AB25" s="1277"/>
      <c r="AC25" s="1277"/>
      <c r="AD25" s="1277"/>
      <c r="AE25" s="1277"/>
      <c r="AF25" s="1277"/>
      <c r="AG25" s="1277"/>
      <c r="AH25" s="1277"/>
      <c r="AI25" s="1272"/>
      <c r="AJ25" s="1252"/>
      <c r="AK25" s="12" t="s">
        <v>18413</v>
      </c>
    </row>
    <row r="26" spans="1:37" ht="15.95" customHeight="1" thickBot="1" x14ac:dyDescent="0.3">
      <c r="A26" s="957">
        <v>1</v>
      </c>
      <c r="B26" s="1253"/>
      <c r="C26" s="1254"/>
      <c r="D26" s="552" t="s">
        <v>1331</v>
      </c>
      <c r="E26" s="1254"/>
      <c r="F26" s="1259"/>
      <c r="G26" s="1259"/>
      <c r="H26" s="1259"/>
      <c r="I26" s="1259"/>
      <c r="J26" s="1259"/>
      <c r="K26" s="1259"/>
      <c r="L26" s="1259"/>
      <c r="M26" s="1259"/>
      <c r="N26" s="1259"/>
      <c r="O26" s="1259"/>
      <c r="P26" s="1259"/>
      <c r="Q26" s="1259"/>
      <c r="R26" s="1254"/>
      <c r="S26" s="1254"/>
      <c r="T26" s="1254"/>
      <c r="U26" s="1254"/>
      <c r="V26" s="1254"/>
      <c r="W26" s="1254"/>
      <c r="X26" s="1254"/>
      <c r="Y26" s="1254"/>
      <c r="Z26" s="1254"/>
      <c r="AA26" s="1254"/>
      <c r="AB26" s="1254"/>
      <c r="AC26" s="1254"/>
      <c r="AD26" s="1254"/>
      <c r="AE26" s="1254"/>
      <c r="AF26" s="1254"/>
      <c r="AG26" s="1254"/>
      <c r="AH26" s="1254"/>
      <c r="AI26" s="1254"/>
      <c r="AJ26" s="1255"/>
    </row>
    <row r="27" spans="1:37" ht="15" thickBot="1" x14ac:dyDescent="0.3">
      <c r="A27" s="957">
        <v>1</v>
      </c>
      <c r="E27" s="41"/>
    </row>
    <row r="28" spans="1:37" x14ac:dyDescent="0.25">
      <c r="A28" s="957">
        <v>1</v>
      </c>
      <c r="B28" s="1248"/>
      <c r="C28" s="1249"/>
      <c r="D28" s="1249"/>
      <c r="E28" s="1249"/>
      <c r="F28" s="1257"/>
      <c r="G28" s="1257"/>
      <c r="H28" s="1257"/>
      <c r="I28" s="1257"/>
      <c r="J28" s="1257"/>
      <c r="K28" s="1257"/>
      <c r="L28" s="1257"/>
      <c r="M28" s="2273"/>
    </row>
    <row r="29" spans="1:37" ht="16.5" x14ac:dyDescent="0.3">
      <c r="A29" s="957">
        <v>1</v>
      </c>
      <c r="B29" s="1251"/>
      <c r="C29" s="1080"/>
      <c r="D29" s="97" t="s">
        <v>17904</v>
      </c>
      <c r="E29" s="1080"/>
      <c r="F29" s="1258"/>
      <c r="G29" s="1258"/>
      <c r="H29" s="1258"/>
      <c r="I29" s="1258"/>
      <c r="J29" s="1258"/>
      <c r="K29" s="1258"/>
      <c r="L29" s="1258"/>
      <c r="M29" s="2274"/>
    </row>
    <row r="30" spans="1:37" ht="28.5" x14ac:dyDescent="0.25">
      <c r="A30" s="957">
        <v>1</v>
      </c>
      <c r="B30" s="1251"/>
      <c r="D30" s="1534" t="s">
        <v>17905</v>
      </c>
      <c r="F30" s="290" t="s">
        <v>17906</v>
      </c>
      <c r="G30" s="4093" t="s">
        <v>17907</v>
      </c>
      <c r="H30" s="4093"/>
      <c r="I30" s="4093"/>
      <c r="J30" s="4093" t="s">
        <v>17908</v>
      </c>
      <c r="K30" s="4093"/>
      <c r="L30" s="4093"/>
      <c r="M30" s="2274"/>
      <c r="N30" s="290" t="s">
        <v>17909</v>
      </c>
      <c r="P30" s="207" t="s">
        <v>17913</v>
      </c>
    </row>
    <row r="31" spans="1:37" x14ac:dyDescent="0.25">
      <c r="A31" s="957">
        <v>1</v>
      </c>
      <c r="B31" s="1251"/>
      <c r="C31" s="1272"/>
      <c r="D31" s="2277">
        <v>20</v>
      </c>
      <c r="E31" s="1272"/>
      <c r="F31" s="2276">
        <v>5.3499999999999999E-2</v>
      </c>
      <c r="G31" s="1275"/>
      <c r="H31" s="2276">
        <f>(F32-F31)/F32</f>
        <v>2.7272727272727296E-2</v>
      </c>
      <c r="I31" s="1275"/>
      <c r="J31" s="4215">
        <f>H31/N31</f>
        <v>5.4545454545454593E-3</v>
      </c>
      <c r="K31" s="4215"/>
      <c r="L31" s="4215"/>
      <c r="M31" s="2274"/>
      <c r="N31" s="2284">
        <v>5</v>
      </c>
    </row>
    <row r="32" spans="1:37" x14ac:dyDescent="0.25">
      <c r="A32" s="957">
        <f>IF(F32="",0,1)</f>
        <v>1</v>
      </c>
      <c r="B32" s="1251"/>
      <c r="C32" s="1272"/>
      <c r="D32" s="2279">
        <v>1519</v>
      </c>
      <c r="E32" s="1272"/>
      <c r="F32" s="2276">
        <v>5.5E-2</v>
      </c>
      <c r="G32" s="1275"/>
      <c r="H32" s="2276">
        <f>(F33-F32)/F33</f>
        <v>5.982905982905988E-2</v>
      </c>
      <c r="I32" s="1275"/>
      <c r="J32" s="4215">
        <f>H32/N32</f>
        <v>1.1965811965811975E-2</v>
      </c>
      <c r="K32" s="4215"/>
      <c r="L32" s="4215"/>
      <c r="M32" s="2274"/>
      <c r="N32" s="2285">
        <f>N31</f>
        <v>5</v>
      </c>
    </row>
    <row r="33" spans="1:37" x14ac:dyDescent="0.25">
      <c r="A33" s="957">
        <f>IF(F33="",0,1)</f>
        <v>1</v>
      </c>
      <c r="B33" s="1251"/>
      <c r="C33" s="1272"/>
      <c r="D33" s="2279">
        <v>1014</v>
      </c>
      <c r="E33" s="1272"/>
      <c r="F33" s="2276">
        <v>5.8500000000000003E-2</v>
      </c>
      <c r="G33" s="1275"/>
      <c r="H33" s="2276">
        <f>(F34-F33)/F34</f>
        <v>9.3023255813953459E-2</v>
      </c>
      <c r="I33" s="1275"/>
      <c r="J33" s="4215">
        <f>H33/N33</f>
        <v>1.860465116279069E-2</v>
      </c>
      <c r="K33" s="4215"/>
      <c r="L33" s="4215"/>
      <c r="M33" s="2274"/>
      <c r="N33" s="2285">
        <f>N32</f>
        <v>5</v>
      </c>
    </row>
    <row r="34" spans="1:37" x14ac:dyDescent="0.25">
      <c r="A34" s="957">
        <f>IF(F34="",0,1)</f>
        <v>1</v>
      </c>
      <c r="B34" s="1251"/>
      <c r="C34" s="1272"/>
      <c r="D34" s="2278">
        <v>59</v>
      </c>
      <c r="E34" s="1272"/>
      <c r="F34" s="2276">
        <v>6.4500000000000002E-2</v>
      </c>
      <c r="G34" s="1275"/>
      <c r="H34" s="2276">
        <f>(F35-F34)/F35</f>
        <v>7.8571428571428639E-2</v>
      </c>
      <c r="I34" s="1275"/>
      <c r="J34" s="4215">
        <f>H34/N34</f>
        <v>1.5714285714285729E-2</v>
      </c>
      <c r="K34" s="4215"/>
      <c r="L34" s="4215"/>
      <c r="M34" s="2274"/>
      <c r="N34" s="2285">
        <f>N33</f>
        <v>5</v>
      </c>
    </row>
    <row r="35" spans="1:37" ht="15" thickBot="1" x14ac:dyDescent="0.3">
      <c r="A35" s="957">
        <v>1</v>
      </c>
      <c r="B35" s="1251"/>
      <c r="C35" s="1272"/>
      <c r="D35" s="2282">
        <v>5</v>
      </c>
      <c r="E35" s="1315"/>
      <c r="F35" s="2283">
        <v>7.0000000000000007E-2</v>
      </c>
      <c r="G35" s="1317"/>
      <c r="H35" s="1316" t="s">
        <v>3</v>
      </c>
      <c r="I35" s="1317"/>
      <c r="J35" s="4216" t="s">
        <v>3</v>
      </c>
      <c r="K35" s="4216"/>
      <c r="L35" s="4216"/>
      <c r="M35" s="2274"/>
      <c r="N35" s="2286">
        <f>N34</f>
        <v>5</v>
      </c>
    </row>
    <row r="36" spans="1:37" x14ac:dyDescent="0.25">
      <c r="A36" s="41"/>
      <c r="B36" s="1251"/>
      <c r="C36" s="1272"/>
      <c r="D36" s="2288" t="s">
        <v>17914</v>
      </c>
      <c r="E36" s="1272"/>
      <c r="F36" s="2287"/>
      <c r="G36" s="1275"/>
      <c r="H36" s="1314"/>
      <c r="I36" s="1275"/>
      <c r="J36" s="1314"/>
      <c r="K36" s="1314"/>
      <c r="L36" s="1314"/>
      <c r="M36" s="2274"/>
      <c r="N36" s="54"/>
    </row>
    <row r="37" spans="1:37" ht="15" thickBot="1" x14ac:dyDescent="0.3">
      <c r="B37" s="1253"/>
      <c r="C37" s="1254"/>
      <c r="D37" s="552" t="s">
        <v>17910</v>
      </c>
      <c r="E37" s="1254"/>
      <c r="F37" s="1259"/>
      <c r="G37" s="1259"/>
      <c r="H37" s="1259"/>
      <c r="I37" s="1259"/>
      <c r="J37" s="1259"/>
      <c r="K37" s="1259"/>
      <c r="L37" s="1259"/>
      <c r="M37" s="2275"/>
    </row>
    <row r="38" spans="1:37" ht="15" thickBot="1" x14ac:dyDescent="0.3">
      <c r="E38" s="41"/>
    </row>
    <row r="39" spans="1:37" x14ac:dyDescent="0.25">
      <c r="B39" s="1248"/>
      <c r="C39" s="1249"/>
      <c r="D39" s="1249"/>
      <c r="E39" s="1249"/>
      <c r="F39" s="1257"/>
      <c r="G39" s="1257"/>
      <c r="H39" s="1257"/>
      <c r="I39" s="1257"/>
      <c r="J39" s="1257"/>
      <c r="K39" s="1257"/>
      <c r="L39" s="1257"/>
      <c r="M39" s="1257"/>
      <c r="N39" s="1257"/>
      <c r="O39" s="1257"/>
      <c r="P39" s="1257"/>
      <c r="Q39" s="1257"/>
      <c r="R39" s="1249"/>
      <c r="S39" s="1249"/>
      <c r="T39" s="1249"/>
      <c r="U39" s="1249"/>
      <c r="V39" s="1249"/>
      <c r="W39" s="1249"/>
      <c r="X39" s="1249"/>
      <c r="Y39" s="1249"/>
      <c r="Z39" s="1249"/>
      <c r="AA39" s="1249"/>
      <c r="AB39" s="1249"/>
      <c r="AC39" s="1249"/>
      <c r="AD39" s="1249"/>
      <c r="AE39" s="1249"/>
      <c r="AF39" s="1249"/>
      <c r="AG39" s="1249"/>
      <c r="AH39" s="1249"/>
      <c r="AI39" s="1249"/>
      <c r="AJ39" s="1250"/>
    </row>
    <row r="40" spans="1:37" ht="16.5" x14ac:dyDescent="0.3">
      <c r="B40" s="1251"/>
      <c r="C40" s="1272"/>
      <c r="D40" s="97" t="s">
        <v>1855</v>
      </c>
      <c r="E40" s="97"/>
      <c r="F40" s="1275"/>
      <c r="G40" s="1275"/>
      <c r="H40" s="1275"/>
      <c r="I40" s="1275"/>
      <c r="J40" s="1275"/>
      <c r="K40" s="1275"/>
      <c r="L40" s="1275"/>
      <c r="M40" s="1275"/>
      <c r="N40" s="1275"/>
      <c r="O40" s="1275"/>
      <c r="P40" s="1275"/>
      <c r="Q40" s="1275"/>
      <c r="R40" s="1272"/>
      <c r="S40" s="1272"/>
      <c r="T40" s="1272"/>
      <c r="U40" s="1272"/>
      <c r="V40" s="1272"/>
      <c r="W40" s="1272"/>
      <c r="X40" s="1272"/>
      <c r="Y40" s="1272"/>
      <c r="Z40" s="1272"/>
      <c r="AA40" s="1272"/>
      <c r="AB40" s="1272"/>
      <c r="AC40" s="1272"/>
      <c r="AD40" s="1272"/>
      <c r="AE40" s="1272"/>
      <c r="AF40" s="1272"/>
      <c r="AG40" s="1272"/>
      <c r="AH40" s="1272"/>
      <c r="AI40" s="1272"/>
      <c r="AJ40" s="1252"/>
    </row>
    <row r="41" spans="1:37" ht="17.100000000000001" customHeight="1" x14ac:dyDescent="0.25">
      <c r="B41" s="1251"/>
      <c r="D41" s="12" t="s">
        <v>1100</v>
      </c>
      <c r="E41" s="12"/>
      <c r="F41" s="1269">
        <v>1</v>
      </c>
      <c r="G41" s="1269"/>
      <c r="H41" s="1269">
        <f>F41+1</f>
        <v>2</v>
      </c>
      <c r="I41" s="1269"/>
      <c r="J41" s="1269">
        <f>H41+1</f>
        <v>3</v>
      </c>
      <c r="K41" s="1269"/>
      <c r="L41" s="1269">
        <f>J41+1</f>
        <v>4</v>
      </c>
      <c r="M41" s="1269"/>
      <c r="N41" s="1269">
        <f>L41+1</f>
        <v>5</v>
      </c>
      <c r="O41" s="11"/>
      <c r="P41" s="1269">
        <f>N41+1</f>
        <v>6</v>
      </c>
      <c r="Q41" s="124"/>
      <c r="R41" s="1269">
        <f>P41+1</f>
        <v>7</v>
      </c>
      <c r="S41" s="11"/>
      <c r="T41" s="1269">
        <f>R41+1</f>
        <v>8</v>
      </c>
      <c r="U41" s="11"/>
      <c r="V41" s="1269">
        <f>T41+1</f>
        <v>9</v>
      </c>
      <c r="W41" s="11"/>
      <c r="X41" s="1269">
        <f>V41+1</f>
        <v>10</v>
      </c>
      <c r="Y41" s="11"/>
      <c r="Z41" s="1269">
        <f>X41+1</f>
        <v>11</v>
      </c>
      <c r="AA41" s="11"/>
      <c r="AB41" s="1269">
        <f>Z41+1</f>
        <v>12</v>
      </c>
      <c r="AC41" s="11"/>
      <c r="AD41" s="1269">
        <f>AB41+1</f>
        <v>13</v>
      </c>
      <c r="AE41" s="11"/>
      <c r="AF41" s="1269">
        <f>AD41+1</f>
        <v>14</v>
      </c>
      <c r="AG41" s="11"/>
      <c r="AH41" s="1269">
        <f>AF41+1</f>
        <v>15</v>
      </c>
      <c r="AJ41" s="1252"/>
    </row>
    <row r="42" spans="1:37" ht="17.100000000000001" customHeight="1" x14ac:dyDescent="0.25">
      <c r="B42" s="1251"/>
      <c r="C42" s="1272"/>
      <c r="D42" s="1272" t="s">
        <v>1852</v>
      </c>
      <c r="E42" s="1272"/>
      <c r="F42" s="2183" t="str">
        <f ca="1">dpIncome_Lease_AvgRemTerm</f>
        <v/>
      </c>
      <c r="G42" s="3895"/>
      <c r="H42" s="2183" t="str">
        <f ca="1">Sales_RemainTerm_Subject</f>
        <v/>
      </c>
      <c r="I42" s="3895"/>
      <c r="J42" s="2183" t="str">
        <f ca="1">Sales_RemainTerm_Subject</f>
        <v/>
      </c>
      <c r="K42" s="3895"/>
      <c r="L42" s="2183" t="str">
        <f ca="1">Sales_RemainTerm_Subject</f>
        <v/>
      </c>
      <c r="M42" s="3895"/>
      <c r="N42" s="2183" t="str">
        <f ca="1">Sales_RemainTerm_Subject</f>
        <v/>
      </c>
      <c r="O42" s="3895"/>
      <c r="P42" s="2183" t="str">
        <f ca="1">Sales_RemainTerm_Subject</f>
        <v/>
      </c>
      <c r="Q42" s="3895"/>
      <c r="R42" s="2183" t="str">
        <f ca="1">Sales_RemainTerm_Subject</f>
        <v/>
      </c>
      <c r="S42" s="3896"/>
      <c r="T42" s="2183" t="str">
        <f ca="1">Sales_RemainTerm_Subject</f>
        <v/>
      </c>
      <c r="U42" s="3896"/>
      <c r="V42" s="2183" t="str">
        <f ca="1">Sales_RemainTerm_Subject</f>
        <v/>
      </c>
      <c r="W42" s="3896"/>
      <c r="X42" s="2183" t="str">
        <f ca="1">Sales_RemainTerm_Subject</f>
        <v/>
      </c>
      <c r="Y42" s="3896"/>
      <c r="Z42" s="2183" t="str">
        <f ca="1">Sales_RemainTerm_Subject</f>
        <v/>
      </c>
      <c r="AA42" s="3896"/>
      <c r="AB42" s="2183" t="str">
        <f ca="1">Sales_RemainTerm_Subject</f>
        <v/>
      </c>
      <c r="AC42" s="3896"/>
      <c r="AD42" s="2183" t="str">
        <f ca="1">Sales_RemainTerm_Subject</f>
        <v/>
      </c>
      <c r="AE42" s="3896"/>
      <c r="AF42" s="2183" t="str">
        <f ca="1">Sales_RemainTerm_Subject</f>
        <v/>
      </c>
      <c r="AG42" s="3896"/>
      <c r="AH42" s="2183" t="str">
        <f ca="1">Sales_RemainTerm_Subject</f>
        <v/>
      </c>
      <c r="AI42" s="1272"/>
      <c r="AJ42" s="1252"/>
    </row>
    <row r="43" spans="1:37" ht="17.100000000000001" customHeight="1" x14ac:dyDescent="0.25">
      <c r="B43" s="1251"/>
      <c r="C43" s="1272"/>
      <c r="D43" s="1272" t="s">
        <v>1853</v>
      </c>
      <c r="E43" s="1272"/>
      <c r="F43" s="2183">
        <f>HLOOKUP(F$41,'Improved Sales Summary Detailed'!$E$5:$J$68,31,FALSE)</f>
        <v>0</v>
      </c>
      <c r="G43" s="2183"/>
      <c r="H43" s="2183">
        <f>HLOOKUP(H$41,'Improved Sales Summary Detailed'!$E$5:$J$68,31,FALSE)</f>
        <v>0</v>
      </c>
      <c r="I43" s="3895"/>
      <c r="J43" s="2183">
        <f>HLOOKUP(J$41,'Improved Sales Summary Detailed'!$E$5:$J$68,31,FALSE)</f>
        <v>0</v>
      </c>
      <c r="K43" s="3895"/>
      <c r="L43" s="2183">
        <f>HLOOKUP(L$41,'Improved Sales Summary Detailed'!$E$5:$J$68,31,FALSE)</f>
        <v>0</v>
      </c>
      <c r="M43" s="3895"/>
      <c r="N43" s="2183">
        <f>HLOOKUP(N$41,'Improved Sales Summary Detailed'!$E$5:$J$68,31,FALSE)</f>
        <v>0</v>
      </c>
      <c r="O43" s="3895"/>
      <c r="P43" s="2183" t="e">
        <f>HLOOKUP(P$41,'Improved Sales Summary Detailed'!$E$5:$J$68,31,FALSE)</f>
        <v>#N/A</v>
      </c>
      <c r="Q43" s="3895"/>
      <c r="R43" s="2183" t="e">
        <f>HLOOKUP(R$41,'Improved Sales Summary Detailed'!$E$5:$J$68,31,FALSE)</f>
        <v>#N/A</v>
      </c>
      <c r="S43" s="3896"/>
      <c r="T43" s="2183" t="e">
        <f>HLOOKUP(T$41,'Improved Sales Summary Detailed'!$E$5:$J$68,31,FALSE)</f>
        <v>#N/A</v>
      </c>
      <c r="U43" s="2183"/>
      <c r="V43" s="2183" t="e">
        <f>HLOOKUP(V$41,'Improved Sales Summary Detailed'!$E$5:$J$68,31,FALSE)</f>
        <v>#N/A</v>
      </c>
      <c r="W43" s="3896"/>
      <c r="X43" s="2183" t="e">
        <f>HLOOKUP(X$41,'Improved Sales Summary Detailed'!$E$5:$J$68,31,FALSE)</f>
        <v>#N/A</v>
      </c>
      <c r="Y43" s="3896"/>
      <c r="Z43" s="2183" t="e">
        <f>HLOOKUP(Z$41,'Improved Sales Summary Detailed'!$E$5:$J$68,31,FALSE)</f>
        <v>#N/A</v>
      </c>
      <c r="AA43" s="3896"/>
      <c r="AB43" s="2183" t="e">
        <f>HLOOKUP(AB$41,'Improved Sales Summary Detailed'!$E$5:$J$68,31,FALSE)</f>
        <v>#N/A</v>
      </c>
      <c r="AC43" s="3896"/>
      <c r="AD43" s="2183" t="e">
        <f>HLOOKUP(AD$41,'Improved Sales Summary Detailed'!$E$5:$J$68,31,FALSE)</f>
        <v>#N/A</v>
      </c>
      <c r="AE43" s="3896"/>
      <c r="AF43" s="2183" t="e">
        <f>HLOOKUP(AF$41,'Improved Sales Summary Detailed'!$E$5:$J$68,31,FALSE)</f>
        <v>#N/A</v>
      </c>
      <c r="AG43" s="3896"/>
      <c r="AH43" s="2183" t="e">
        <f>HLOOKUP(AH$41,'Improved Sales Summary Detailed'!$E$5:$J$68,31,FALSE)</f>
        <v>#N/A</v>
      </c>
      <c r="AI43" s="1272"/>
      <c r="AJ43" s="1252"/>
    </row>
    <row r="44" spans="1:37" ht="17.100000000000001" customHeight="1" x14ac:dyDescent="0.25">
      <c r="B44" s="1251"/>
      <c r="C44" s="1272"/>
      <c r="D44" s="3899" t="s">
        <v>553</v>
      </c>
      <c r="E44" s="3899"/>
      <c r="F44" s="3900" t="e">
        <f ca="1">F42-F43</f>
        <v>#VALUE!</v>
      </c>
      <c r="G44" s="3901"/>
      <c r="H44" s="3900" t="e">
        <f ca="1">H42-H43</f>
        <v>#VALUE!</v>
      </c>
      <c r="I44" s="3901"/>
      <c r="J44" s="3900" t="e">
        <f ca="1">J42-J43</f>
        <v>#VALUE!</v>
      </c>
      <c r="K44" s="3901"/>
      <c r="L44" s="3900" t="e">
        <f ca="1">L42-L43</f>
        <v>#VALUE!</v>
      </c>
      <c r="M44" s="3901"/>
      <c r="N44" s="3900" t="e">
        <f ca="1">N42-N43</f>
        <v>#VALUE!</v>
      </c>
      <c r="O44" s="3901"/>
      <c r="P44" s="3900" t="e">
        <f ca="1">P42-P43</f>
        <v>#VALUE!</v>
      </c>
      <c r="Q44" s="3901"/>
      <c r="R44" s="3900" t="e">
        <f ca="1">R42-R43</f>
        <v>#VALUE!</v>
      </c>
      <c r="S44" s="3899"/>
      <c r="T44" s="3900" t="e">
        <f ca="1">T42-T43</f>
        <v>#VALUE!</v>
      </c>
      <c r="U44" s="3899"/>
      <c r="V44" s="3900" t="e">
        <f ca="1">V42-V43</f>
        <v>#VALUE!</v>
      </c>
      <c r="W44" s="3899"/>
      <c r="X44" s="3900" t="e">
        <f ca="1">X42-X43</f>
        <v>#VALUE!</v>
      </c>
      <c r="Y44" s="3899"/>
      <c r="Z44" s="3900" t="e">
        <f ca="1">Z42-Z43</f>
        <v>#VALUE!</v>
      </c>
      <c r="AA44" s="3899"/>
      <c r="AB44" s="3900" t="e">
        <f ca="1">AB42-AB43</f>
        <v>#VALUE!</v>
      </c>
      <c r="AC44" s="3899"/>
      <c r="AD44" s="3900" t="e">
        <f ca="1">AD42-AD43</f>
        <v>#VALUE!</v>
      </c>
      <c r="AE44" s="3899"/>
      <c r="AF44" s="3900" t="e">
        <f ca="1">AF42-AF43</f>
        <v>#VALUE!</v>
      </c>
      <c r="AG44" s="3899"/>
      <c r="AH44" s="3900" t="e">
        <f ca="1">AH42-AH43</f>
        <v>#VALUE!</v>
      </c>
      <c r="AI44" s="1272"/>
      <c r="AJ44" s="1252"/>
    </row>
    <row r="45" spans="1:37" ht="17.100000000000001" customHeight="1" x14ac:dyDescent="0.25">
      <c r="B45" s="1251"/>
      <c r="C45" s="1272"/>
      <c r="D45" s="3353" t="s">
        <v>1851</v>
      </c>
      <c r="E45" s="3353"/>
      <c r="F45" s="2167">
        <v>0.02</v>
      </c>
      <c r="G45" s="2167"/>
      <c r="H45" s="2167">
        <f>dpSales_RemainTerm_AdjPerYr</f>
        <v>0.02</v>
      </c>
      <c r="I45" s="2168"/>
      <c r="J45" s="2167">
        <f>dpSales_RemainTerm_AdjPerYr</f>
        <v>0.02</v>
      </c>
      <c r="K45" s="2168"/>
      <c r="L45" s="2167">
        <f>dpSales_RemainTerm_AdjPerYr</f>
        <v>0.02</v>
      </c>
      <c r="M45" s="2168"/>
      <c r="N45" s="2167">
        <f>dpSales_RemainTerm_AdjPerYr</f>
        <v>0.02</v>
      </c>
      <c r="O45" s="2168"/>
      <c r="P45" s="2167">
        <f>dpSales_RemainTerm_AdjPerYr</f>
        <v>0.02</v>
      </c>
      <c r="Q45" s="2168"/>
      <c r="R45" s="2167">
        <f>dpSales_RemainTerm_AdjPerYr</f>
        <v>0.02</v>
      </c>
      <c r="S45" s="2169"/>
      <c r="T45" s="2167">
        <f>dpSales_RemainTerm_AdjPerYr</f>
        <v>0.02</v>
      </c>
      <c r="U45" s="2169"/>
      <c r="V45" s="2167">
        <f>dpSales_RemainTerm_AdjPerYr</f>
        <v>0.02</v>
      </c>
      <c r="W45" s="2169"/>
      <c r="X45" s="2167">
        <f>dpSales_RemainTerm_AdjPerYr</f>
        <v>0.02</v>
      </c>
      <c r="Y45" s="2167"/>
      <c r="Z45" s="2167">
        <f>dpSales_RemainTerm_AdjPerYr</f>
        <v>0.02</v>
      </c>
      <c r="AA45" s="2169"/>
      <c r="AB45" s="2167">
        <f>dpSales_RemainTerm_AdjPerYr</f>
        <v>0.02</v>
      </c>
      <c r="AC45" s="2169"/>
      <c r="AD45" s="2167">
        <f>dpSales_RemainTerm_AdjPerYr</f>
        <v>0.02</v>
      </c>
      <c r="AE45" s="2169"/>
      <c r="AF45" s="2167">
        <f>dpSales_RemainTerm_AdjPerYr</f>
        <v>0.02</v>
      </c>
      <c r="AG45" s="2169"/>
      <c r="AH45" s="2167">
        <f>dpSales_RemainTerm_AdjPerYr</f>
        <v>0.02</v>
      </c>
      <c r="AI45" s="1272"/>
      <c r="AJ45" s="1252"/>
      <c r="AK45" s="12" t="s">
        <v>1857</v>
      </c>
    </row>
    <row r="46" spans="1:37" ht="17.100000000000001" customHeight="1" thickBot="1" x14ac:dyDescent="0.3">
      <c r="B46" s="1251"/>
      <c r="C46" s="1272"/>
      <c r="D46" s="3451" t="s">
        <v>1800</v>
      </c>
      <c r="E46" s="3451"/>
      <c r="F46" s="3894" t="str">
        <f ca="1">IF(ISERROR(F44*F45),"",F44*F45)</f>
        <v/>
      </c>
      <c r="G46" s="3894"/>
      <c r="H46" s="3894" t="str">
        <f ca="1">IF(ISERROR(H44*H45),"",H44*H45)</f>
        <v/>
      </c>
      <c r="I46" s="1277"/>
      <c r="J46" s="3894" t="str">
        <f ca="1">IF(ISERROR(J44*J45),"",J44*J45)</f>
        <v/>
      </c>
      <c r="K46" s="1277"/>
      <c r="L46" s="3894" t="str">
        <f ca="1">IF(ISERROR(L44*L45),"",L44*L45)</f>
        <v/>
      </c>
      <c r="M46" s="1277"/>
      <c r="N46" s="3894" t="str">
        <f ca="1">IF(ISERROR(N44*N45),"",N44*N45)</f>
        <v/>
      </c>
      <c r="O46" s="1277"/>
      <c r="P46" s="3894" t="str">
        <f ca="1">IF(ISERROR(P44*P45),"",P44*P45)</f>
        <v/>
      </c>
      <c r="Q46" s="1277"/>
      <c r="R46" s="3894" t="str">
        <f ca="1">IF(ISERROR(R44*R45),"",R44*R45)</f>
        <v/>
      </c>
      <c r="S46" s="1277"/>
      <c r="T46" s="3894" t="str">
        <f ca="1">IF(ISERROR(T44*T45),"",T44*T45)</f>
        <v/>
      </c>
      <c r="U46" s="1277"/>
      <c r="V46" s="3894" t="str">
        <f ca="1">IF(ISERROR(V44*V45),"",V44*V45)</f>
        <v/>
      </c>
      <c r="W46" s="1277"/>
      <c r="X46" s="3894" t="str">
        <f ca="1">IF(ISERROR(X44*X45),"",X44*X45)</f>
        <v/>
      </c>
      <c r="Y46" s="1277"/>
      <c r="Z46" s="3894" t="str">
        <f ca="1">IF(ISERROR(Z44*Z45),"",Z44*Z45)</f>
        <v/>
      </c>
      <c r="AA46" s="1277"/>
      <c r="AB46" s="3894" t="str">
        <f ca="1">IF(ISERROR(AB44*AB45),"",AB44*AB45)</f>
        <v/>
      </c>
      <c r="AC46" s="1277"/>
      <c r="AD46" s="3894" t="str">
        <f ca="1">IF(ISERROR(AD44*AD45),"",AD44*AD45)</f>
        <v/>
      </c>
      <c r="AE46" s="1277"/>
      <c r="AF46" s="3894" t="str">
        <f ca="1">IF(ISERROR(AF44*AF45),"",AF44*AF45)</f>
        <v/>
      </c>
      <c r="AG46" s="1277"/>
      <c r="AH46" s="3894" t="str">
        <f ca="1">IF(ISERROR(AH44*AH45),"",AH44*AH45)</f>
        <v/>
      </c>
      <c r="AI46" s="1272"/>
      <c r="AJ46" s="1252"/>
    </row>
    <row r="47" spans="1:37" ht="15" thickBot="1" x14ac:dyDescent="0.3">
      <c r="B47" s="1253"/>
      <c r="C47" s="1254"/>
      <c r="D47" s="552" t="s">
        <v>1854</v>
      </c>
      <c r="E47" s="1254"/>
      <c r="F47" s="1259"/>
      <c r="G47" s="1259"/>
      <c r="H47" s="1259"/>
      <c r="I47" s="1259"/>
      <c r="J47" s="1259"/>
      <c r="K47" s="1259"/>
      <c r="L47" s="1259"/>
      <c r="M47" s="1259"/>
      <c r="N47" s="1259"/>
      <c r="O47" s="1259"/>
      <c r="P47" s="1259"/>
      <c r="Q47" s="1259"/>
      <c r="R47" s="1254"/>
      <c r="S47" s="1254"/>
      <c r="T47" s="1254"/>
      <c r="U47" s="1254"/>
      <c r="V47" s="1254"/>
      <c r="W47" s="1254"/>
      <c r="X47" s="1254"/>
      <c r="Y47" s="1254"/>
      <c r="Z47" s="1254"/>
      <c r="AA47" s="1254"/>
      <c r="AB47" s="1254"/>
      <c r="AC47" s="1254"/>
      <c r="AD47" s="1254"/>
      <c r="AE47" s="1254"/>
      <c r="AF47" s="1254"/>
      <c r="AG47" s="1254"/>
      <c r="AH47" s="1254"/>
      <c r="AI47" s="1254"/>
      <c r="AJ47" s="1255"/>
    </row>
    <row r="48" spans="1:37" ht="15" thickBot="1" x14ac:dyDescent="0.3">
      <c r="E48" s="41"/>
    </row>
    <row r="49" spans="1:37" x14ac:dyDescent="0.25">
      <c r="B49" s="1248"/>
      <c r="C49" s="1249"/>
      <c r="D49" s="1249"/>
      <c r="E49" s="1249"/>
      <c r="F49" s="1257"/>
      <c r="G49" s="1257"/>
      <c r="H49" s="1257"/>
      <c r="I49" s="1257"/>
      <c r="J49" s="1257"/>
      <c r="K49" s="1257"/>
      <c r="L49" s="1257"/>
      <c r="M49" s="1257"/>
      <c r="N49" s="1257"/>
      <c r="O49" s="1257"/>
      <c r="P49" s="1257"/>
      <c r="Q49" s="1257"/>
      <c r="R49" s="1249"/>
      <c r="S49" s="1249"/>
      <c r="T49" s="1249"/>
      <c r="U49" s="1249"/>
      <c r="V49" s="1249"/>
      <c r="W49" s="1249"/>
      <c r="X49" s="1249"/>
      <c r="Y49" s="1249"/>
      <c r="Z49" s="1249"/>
      <c r="AA49" s="1249"/>
      <c r="AB49" s="1249"/>
      <c r="AC49" s="1249"/>
      <c r="AD49" s="1249"/>
      <c r="AE49" s="1249"/>
      <c r="AF49" s="1249"/>
      <c r="AG49" s="1249"/>
      <c r="AH49" s="1249"/>
      <c r="AI49" s="1249"/>
      <c r="AJ49" s="1250"/>
    </row>
    <row r="50" spans="1:37" ht="16.5" x14ac:dyDescent="0.3">
      <c r="B50" s="1251"/>
      <c r="C50" s="1080"/>
      <c r="D50" s="246" t="s">
        <v>1834</v>
      </c>
      <c r="E50" s="246"/>
      <c r="F50" s="1258"/>
      <c r="G50" s="1258"/>
      <c r="H50" s="1258"/>
      <c r="I50" s="1258"/>
      <c r="J50" s="1258"/>
      <c r="K50" s="1258"/>
      <c r="L50" s="1258"/>
      <c r="M50" s="1258"/>
      <c r="N50" s="1258"/>
      <c r="O50" s="1258"/>
      <c r="P50" s="1258"/>
      <c r="Q50" s="1258"/>
      <c r="R50" s="1080"/>
      <c r="S50" s="1080"/>
      <c r="T50" s="1080"/>
      <c r="U50" s="1080"/>
      <c r="V50" s="1080"/>
      <c r="W50" s="1080"/>
      <c r="X50" s="1080"/>
      <c r="Y50" s="1080"/>
      <c r="Z50" s="1080"/>
      <c r="AA50" s="1080"/>
      <c r="AB50" s="1080"/>
      <c r="AC50" s="1080"/>
      <c r="AD50" s="1080"/>
      <c r="AE50" s="1080"/>
      <c r="AF50" s="1080"/>
      <c r="AG50" s="1080"/>
      <c r="AH50" s="1080"/>
      <c r="AI50" s="1080"/>
      <c r="AJ50" s="1252"/>
    </row>
    <row r="51" spans="1:37" ht="17.100000000000001" customHeight="1" x14ac:dyDescent="0.25">
      <c r="B51" s="1251"/>
      <c r="D51" s="12" t="s">
        <v>1100</v>
      </c>
      <c r="E51" s="12"/>
      <c r="F51" s="1269">
        <v>1</v>
      </c>
      <c r="G51" s="1269"/>
      <c r="H51" s="1269">
        <f>F51+1</f>
        <v>2</v>
      </c>
      <c r="I51" s="1269"/>
      <c r="J51" s="1269">
        <f>H51+1</f>
        <v>3</v>
      </c>
      <c r="K51" s="1269"/>
      <c r="L51" s="1269">
        <f>J51+1</f>
        <v>4</v>
      </c>
      <c r="M51" s="1269"/>
      <c r="N51" s="1269">
        <f>L51+1</f>
        <v>5</v>
      </c>
      <c r="O51" s="11"/>
      <c r="P51" s="1269">
        <f>N51+1</f>
        <v>6</v>
      </c>
      <c r="Q51" s="124"/>
      <c r="R51" s="1269">
        <f>P51+1</f>
        <v>7</v>
      </c>
      <c r="S51" s="11"/>
      <c r="T51" s="1269">
        <f>R51+1</f>
        <v>8</v>
      </c>
      <c r="U51" s="11"/>
      <c r="V51" s="1269">
        <f>T51+1</f>
        <v>9</v>
      </c>
      <c r="W51" s="11"/>
      <c r="X51" s="1269">
        <f>V51+1</f>
        <v>10</v>
      </c>
      <c r="Y51" s="11"/>
      <c r="Z51" s="1269">
        <f>X51+1</f>
        <v>11</v>
      </c>
      <c r="AA51" s="11"/>
      <c r="AB51" s="1269">
        <f>Z51+1</f>
        <v>12</v>
      </c>
      <c r="AC51" s="11"/>
      <c r="AD51" s="1269">
        <f>AB51+1</f>
        <v>13</v>
      </c>
      <c r="AE51" s="11"/>
      <c r="AF51" s="1269">
        <f>AD51+1</f>
        <v>14</v>
      </c>
      <c r="AG51" s="11"/>
      <c r="AH51" s="1269">
        <f>AF51+1</f>
        <v>15</v>
      </c>
      <c r="AJ51" s="1252"/>
    </row>
    <row r="52" spans="1:37" ht="17.100000000000001" customHeight="1" x14ac:dyDescent="0.25">
      <c r="B52" s="1251"/>
      <c r="C52" s="1272"/>
      <c r="D52" s="1272" t="s">
        <v>10</v>
      </c>
      <c r="E52" s="1272"/>
      <c r="F52" s="3902">
        <f>HLOOKUP(F$51,'Improved Sales Adjustments'!$G$7:$ZP$147,64,FALSE)</f>
        <v>1978</v>
      </c>
      <c r="G52" s="3895"/>
      <c r="H52" s="3902">
        <f>HLOOKUP(H$51,'Improved Sales Adjustments'!$G$7:$ZP$147,64,FALSE)</f>
        <v>1974</v>
      </c>
      <c r="I52" s="3895"/>
      <c r="J52" s="3902">
        <f>HLOOKUP(J$51,'Improved Sales Adjustments'!$G$7:$ZP$147,64,FALSE)</f>
        <v>1966</v>
      </c>
      <c r="K52" s="3895"/>
      <c r="L52" s="3902">
        <f>HLOOKUP(L$51,'Improved Sales Adjustments'!$G$7:$ZP$147,64,FALSE)</f>
        <v>1972</v>
      </c>
      <c r="M52" s="3895"/>
      <c r="N52" s="3902" t="e">
        <f>HLOOKUP(N$51,'Improved Sales Adjustments'!$G$7:$ZP$147,64,FALSE)</f>
        <v>#N/A</v>
      </c>
      <c r="O52" s="3895"/>
      <c r="P52" s="3902" t="e">
        <f>HLOOKUP(P$51,'Improved Sales Adjustments'!$G$7:$ZP$147,64,FALSE)</f>
        <v>#N/A</v>
      </c>
      <c r="Q52" s="3895"/>
      <c r="R52" s="3902" t="e">
        <f>HLOOKUP(R$51,'Improved Sales Adjustments'!$G$7:$ZP$147,64,FALSE)</f>
        <v>#N/A</v>
      </c>
      <c r="S52" s="3896"/>
      <c r="T52" s="3902" t="e">
        <f>HLOOKUP(T$51,'Improved Sales Adjustments'!$G$7:$ZP$147,64,FALSE)</f>
        <v>#N/A</v>
      </c>
      <c r="U52" s="3896"/>
      <c r="V52" s="3902" t="e">
        <f>HLOOKUP(V$51,'Improved Sales Adjustments'!$G$7:$ZP$147,64,FALSE)</f>
        <v>#N/A</v>
      </c>
      <c r="W52" s="3896"/>
      <c r="X52" s="3902" t="e">
        <f>HLOOKUP(X$51,'Improved Sales Adjustments'!$G$7:$ZP$147,64,FALSE)</f>
        <v>#N/A</v>
      </c>
      <c r="Y52" s="3896"/>
      <c r="Z52" s="3902" t="e">
        <f>HLOOKUP(Z$51,'Improved Sales Adjustments'!$G$7:$ZP$147,64,FALSE)</f>
        <v>#N/A</v>
      </c>
      <c r="AA52" s="3896"/>
      <c r="AB52" s="3902" t="e">
        <f>HLOOKUP(AB$51,'Improved Sales Adjustments'!$G$7:$ZP$147,64,FALSE)</f>
        <v>#N/A</v>
      </c>
      <c r="AC52" s="3896"/>
      <c r="AD52" s="3902" t="e">
        <f>HLOOKUP(AD$51,'Improved Sales Adjustments'!$G$7:$ZP$147,64,FALSE)</f>
        <v>#N/A</v>
      </c>
      <c r="AE52" s="3896"/>
      <c r="AF52" s="3902" t="e">
        <f>HLOOKUP(AF$51,'Improved Sales Adjustments'!$G$7:$ZP$147,64,FALSE)</f>
        <v>#N/A</v>
      </c>
      <c r="AG52" s="3896"/>
      <c r="AH52" s="3902" t="e">
        <f>HLOOKUP(AH$51,'Improved Sales Adjustments'!$G$7:$ZP$147,64,FALSE)</f>
        <v>#N/A</v>
      </c>
      <c r="AI52" s="1272"/>
      <c r="AJ52" s="1252"/>
    </row>
    <row r="53" spans="1:37" ht="17.100000000000001" customHeight="1" x14ac:dyDescent="0.25">
      <c r="B53" s="1251"/>
      <c r="C53" s="1272"/>
      <c r="D53" s="1272" t="s">
        <v>538</v>
      </c>
      <c r="E53" s="1272"/>
      <c r="F53" s="3903" t="str">
        <f>HLOOKUP(F$51,'Improved Sales Adjustments'!$G$7:$ZP$147,67,FALSE)</f>
        <v>Average</v>
      </c>
      <c r="G53" s="3895"/>
      <c r="H53" s="3903" t="str">
        <f>HLOOKUP(H$51,'Improved Sales Adjustments'!$G$7:$ZP$147,67,FALSE)</f>
        <v>Average</v>
      </c>
      <c r="I53" s="3895"/>
      <c r="J53" s="3903" t="str">
        <f>HLOOKUP(J$51,'Improved Sales Adjustments'!$G$7:$ZP$147,67,FALSE)</f>
        <v>Average</v>
      </c>
      <c r="K53" s="3895"/>
      <c r="L53" s="3903" t="str">
        <f>HLOOKUP(L$51,'Improved Sales Adjustments'!$G$7:$ZP$147,67,FALSE)</f>
        <v>Average</v>
      </c>
      <c r="M53" s="3895"/>
      <c r="N53" s="3903" t="e">
        <f>HLOOKUP(N$51,'Improved Sales Adjustments'!$G$7:$ZP$147,67,FALSE)</f>
        <v>#N/A</v>
      </c>
      <c r="O53" s="3895"/>
      <c r="P53" s="3903" t="e">
        <f>HLOOKUP(P$51,'Improved Sales Adjustments'!$G$7:$ZP$147,67,FALSE)</f>
        <v>#N/A</v>
      </c>
      <c r="Q53" s="3895"/>
      <c r="R53" s="3903" t="e">
        <f>HLOOKUP(R$51,'Improved Sales Adjustments'!$G$7:$ZP$147,67,FALSE)</f>
        <v>#N/A</v>
      </c>
      <c r="S53" s="3896"/>
      <c r="T53" s="3903" t="e">
        <f>HLOOKUP(T$51,'Improved Sales Adjustments'!$G$7:$ZP$147,67,FALSE)</f>
        <v>#N/A</v>
      </c>
      <c r="U53" s="3896"/>
      <c r="V53" s="3903" t="e">
        <f>HLOOKUP(V$51,'Improved Sales Adjustments'!$G$7:$ZP$147,67,FALSE)</f>
        <v>#N/A</v>
      </c>
      <c r="W53" s="3896"/>
      <c r="X53" s="3903" t="e">
        <f>HLOOKUP(X$51,'Improved Sales Adjustments'!$G$7:$ZP$147,67,FALSE)</f>
        <v>#N/A</v>
      </c>
      <c r="Y53" s="3896"/>
      <c r="Z53" s="3903" t="e">
        <f>HLOOKUP(Z$51,'Improved Sales Adjustments'!$G$7:$ZP$147,67,FALSE)</f>
        <v>#N/A</v>
      </c>
      <c r="AA53" s="3896"/>
      <c r="AB53" s="3903" t="e">
        <f>HLOOKUP(AB$51,'Improved Sales Adjustments'!$G$7:$ZP$147,67,FALSE)</f>
        <v>#N/A</v>
      </c>
      <c r="AC53" s="3896"/>
      <c r="AD53" s="3903" t="e">
        <f>HLOOKUP(AD$51,'Improved Sales Adjustments'!$G$7:$ZP$147,67,FALSE)</f>
        <v>#N/A</v>
      </c>
      <c r="AE53" s="3896"/>
      <c r="AF53" s="3903" t="e">
        <f>HLOOKUP(AF$51,'Improved Sales Adjustments'!$G$7:$ZP$147,67,FALSE)</f>
        <v>#N/A</v>
      </c>
      <c r="AG53" s="3896"/>
      <c r="AH53" s="3903" t="e">
        <f>HLOOKUP(AH$51,'Improved Sales Adjustments'!$G$7:$ZP$147,67,FALSE)</f>
        <v>#N/A</v>
      </c>
      <c r="AI53" s="1272"/>
      <c r="AJ53" s="1252"/>
    </row>
    <row r="54" spans="1:37" ht="17.100000000000001" customHeight="1" x14ac:dyDescent="0.25">
      <c r="B54" s="1251"/>
      <c r="C54" s="1272"/>
      <c r="D54" s="1272" t="s">
        <v>17</v>
      </c>
      <c r="E54" s="1272"/>
      <c r="F54" s="3903">
        <f>HLOOKUP(F$51,'Improved Sales Adjustments'!$G$7:$ZP$147,68,FALSE)</f>
        <v>10</v>
      </c>
      <c r="G54" s="3895"/>
      <c r="H54" s="3903">
        <f>HLOOKUP(H$51,'Improved Sales Adjustments'!$G$7:$ZP$147,68,FALSE)</f>
        <v>10</v>
      </c>
      <c r="I54" s="3895"/>
      <c r="J54" s="3903">
        <f>HLOOKUP(J$51,'Improved Sales Adjustments'!$G$7:$ZP$147,68,FALSE)</f>
        <v>0</v>
      </c>
      <c r="K54" s="3895"/>
      <c r="L54" s="3903">
        <f>HLOOKUP(L$51,'Improved Sales Adjustments'!$G$7:$ZP$147,68,FALSE)</f>
        <v>0</v>
      </c>
      <c r="M54" s="3895"/>
      <c r="N54" s="3903" t="e">
        <f>HLOOKUP(N$51,'Improved Sales Adjustments'!$G$7:$ZP$147,68,FALSE)</f>
        <v>#N/A</v>
      </c>
      <c r="O54" s="3895"/>
      <c r="P54" s="3903" t="e">
        <f>HLOOKUP(P$51,'Improved Sales Adjustments'!$G$7:$ZP$147,68,FALSE)</f>
        <v>#N/A</v>
      </c>
      <c r="Q54" s="3895"/>
      <c r="R54" s="3903" t="e">
        <f>HLOOKUP(R$51,'Improved Sales Adjustments'!$G$7:$ZP$147,68,FALSE)</f>
        <v>#N/A</v>
      </c>
      <c r="S54" s="3896"/>
      <c r="T54" s="3903" t="e">
        <f>HLOOKUP(T$51,'Improved Sales Adjustments'!$G$7:$ZP$147,68,FALSE)</f>
        <v>#N/A</v>
      </c>
      <c r="U54" s="3896"/>
      <c r="V54" s="3903" t="e">
        <f>HLOOKUP(V$51,'Improved Sales Adjustments'!$G$7:$ZP$147,68,FALSE)</f>
        <v>#N/A</v>
      </c>
      <c r="W54" s="3896"/>
      <c r="X54" s="3903" t="e">
        <f>HLOOKUP(X$51,'Improved Sales Adjustments'!$G$7:$ZP$147,68,FALSE)</f>
        <v>#N/A</v>
      </c>
      <c r="Y54" s="3896"/>
      <c r="Z54" s="3903" t="e">
        <f>HLOOKUP(Z$51,'Improved Sales Adjustments'!$G$7:$ZP$147,68,FALSE)</f>
        <v>#N/A</v>
      </c>
      <c r="AA54" s="3896"/>
      <c r="AB54" s="3903" t="e">
        <f>HLOOKUP(AB$51,'Improved Sales Adjustments'!$G$7:$ZP$147,68,FALSE)</f>
        <v>#N/A</v>
      </c>
      <c r="AC54" s="3896"/>
      <c r="AD54" s="3903" t="e">
        <f>HLOOKUP(AD$51,'Improved Sales Adjustments'!$G$7:$ZP$147,68,FALSE)</f>
        <v>#N/A</v>
      </c>
      <c r="AE54" s="3896"/>
      <c r="AF54" s="3903" t="e">
        <f>HLOOKUP(AF$51,'Improved Sales Adjustments'!$G$7:$ZP$147,68,FALSE)</f>
        <v>#N/A</v>
      </c>
      <c r="AG54" s="3896"/>
      <c r="AH54" s="3903" t="e">
        <f>HLOOKUP(AH$51,'Improved Sales Adjustments'!$G$7:$ZP$147,68,FALSE)</f>
        <v>#N/A</v>
      </c>
      <c r="AI54" s="1272"/>
      <c r="AJ54" s="1252"/>
    </row>
    <row r="55" spans="1:37" ht="17.100000000000001" customHeight="1" x14ac:dyDescent="0.25">
      <c r="A55" s="41"/>
      <c r="B55" s="1251"/>
      <c r="C55" s="1272"/>
      <c r="D55" s="1272" t="s">
        <v>244</v>
      </c>
      <c r="E55" s="1272"/>
      <c r="F55" s="3903">
        <f>HLOOKUP(F$51,'Improved Sales Adjustments'!$G$7:$ZP$147,70,FALSE)</f>
        <v>50</v>
      </c>
      <c r="G55" s="1275"/>
      <c r="H55" s="3903">
        <f>HLOOKUP(H$51,'Improved Sales Adjustments'!$G$7:$ZP$147,70,FALSE)</f>
        <v>50</v>
      </c>
      <c r="I55" s="1275"/>
      <c r="J55" s="3903">
        <f>HLOOKUP(J$51,'Improved Sales Adjustments'!$G$7:$ZP$147,70,FALSE)</f>
        <v>0</v>
      </c>
      <c r="K55" s="1275"/>
      <c r="L55" s="3903">
        <f>HLOOKUP(L$51,'Improved Sales Adjustments'!$G$7:$ZP$147,70,FALSE)</f>
        <v>0</v>
      </c>
      <c r="M55" s="1275"/>
      <c r="N55" s="3903" t="e">
        <f>HLOOKUP(N$51,'Improved Sales Adjustments'!$G$7:$ZP$147,70,FALSE)</f>
        <v>#N/A</v>
      </c>
      <c r="O55" s="1275"/>
      <c r="P55" s="3903" t="e">
        <f>HLOOKUP(P$51,'Improved Sales Adjustments'!$G$7:$ZP$147,70,FALSE)</f>
        <v>#N/A</v>
      </c>
      <c r="Q55" s="1275"/>
      <c r="R55" s="3903" t="e">
        <f>HLOOKUP(R$51,'Improved Sales Adjustments'!$G$7:$ZP$147,70,FALSE)</f>
        <v>#N/A</v>
      </c>
      <c r="S55" s="1272"/>
      <c r="T55" s="3903" t="e">
        <f>HLOOKUP(T$51,'Improved Sales Adjustments'!$G$7:$ZP$147,70,FALSE)</f>
        <v>#N/A</v>
      </c>
      <c r="U55" s="1272"/>
      <c r="V55" s="3903" t="e">
        <f>HLOOKUP(V$51,'Improved Sales Adjustments'!$G$7:$ZP$147,70,FALSE)</f>
        <v>#N/A</v>
      </c>
      <c r="W55" s="1272"/>
      <c r="X55" s="3903" t="e">
        <f>HLOOKUP(X$51,'Improved Sales Adjustments'!$G$7:$ZP$147,70,FALSE)</f>
        <v>#N/A</v>
      </c>
      <c r="Y55" s="1272"/>
      <c r="Z55" s="3903" t="e">
        <f>HLOOKUP(Z$51,'Improved Sales Adjustments'!$G$7:$ZP$147,70,FALSE)</f>
        <v>#N/A</v>
      </c>
      <c r="AA55" s="1272"/>
      <c r="AB55" s="3903" t="e">
        <f>HLOOKUP(AB$51,'Improved Sales Adjustments'!$G$7:$ZP$147,70,FALSE)</f>
        <v>#N/A</v>
      </c>
      <c r="AC55" s="1272"/>
      <c r="AD55" s="3903" t="e">
        <f>HLOOKUP(AD$51,'Improved Sales Adjustments'!$G$7:$ZP$147,70,FALSE)</f>
        <v>#N/A</v>
      </c>
      <c r="AE55" s="1272"/>
      <c r="AF55" s="3903" t="e">
        <f>HLOOKUP(AF$51,'Improved Sales Adjustments'!$G$7:$ZP$147,70,FALSE)</f>
        <v>#N/A</v>
      </c>
      <c r="AG55" s="1272"/>
      <c r="AH55" s="3903" t="e">
        <f>HLOOKUP(AH$51,'Improved Sales Adjustments'!$G$7:$ZP$147,70,FALSE)</f>
        <v>#N/A</v>
      </c>
      <c r="AI55" s="1272"/>
      <c r="AJ55" s="1252"/>
    </row>
    <row r="56" spans="1:37" ht="17.100000000000001" customHeight="1" x14ac:dyDescent="0.25">
      <c r="A56" s="41"/>
      <c r="B56" s="1251"/>
      <c r="C56" s="1272"/>
      <c r="D56" s="1272" t="s">
        <v>1837</v>
      </c>
      <c r="E56" s="1272"/>
      <c r="F56" s="1279">
        <f>HLOOKUP(F$55,AutoAdj_Marshall_DepreciationTable,F$54+3,FALSE)</f>
        <v>0.06</v>
      </c>
      <c r="G56" s="1275"/>
      <c r="H56" s="1279">
        <f>HLOOKUP(H$55,AutoAdj_Marshall_DepreciationTable,H$54+3,FALSE)</f>
        <v>0.06</v>
      </c>
      <c r="I56" s="1275"/>
      <c r="J56" s="1279" t="e">
        <f>HLOOKUP(J$55,AutoAdj_Marshall_DepreciationTable,J$54+3,FALSE)</f>
        <v>#N/A</v>
      </c>
      <c r="K56" s="1275"/>
      <c r="L56" s="1279" t="e">
        <f>HLOOKUP(L$55,AutoAdj_Marshall_DepreciationTable,L$54+3,FALSE)</f>
        <v>#N/A</v>
      </c>
      <c r="M56" s="1275"/>
      <c r="N56" s="1279" t="e">
        <f>HLOOKUP(N$55,AutoAdj_Marshall_DepreciationTable,N$54+3,FALSE)</f>
        <v>#N/A</v>
      </c>
      <c r="O56" s="1275"/>
      <c r="P56" s="1279" t="e">
        <f>HLOOKUP(P$55,AutoAdj_Marshall_DepreciationTable,P$54+3,FALSE)</f>
        <v>#N/A</v>
      </c>
      <c r="Q56" s="1275"/>
      <c r="R56" s="1279" t="e">
        <f>HLOOKUP(R$55,AutoAdj_Marshall_DepreciationTable,R$54+3,FALSE)</f>
        <v>#N/A</v>
      </c>
      <c r="S56" s="1272"/>
      <c r="T56" s="1279" t="e">
        <f>HLOOKUP(T$55,AutoAdj_Marshall_DepreciationTable,T$54+3,FALSE)</f>
        <v>#N/A</v>
      </c>
      <c r="U56" s="1272"/>
      <c r="V56" s="1279" t="e">
        <f>HLOOKUP(V$55,AutoAdj_Marshall_DepreciationTable,V$54+3,FALSE)</f>
        <v>#N/A</v>
      </c>
      <c r="W56" s="1272"/>
      <c r="X56" s="1279" t="e">
        <f>HLOOKUP(X$55,AutoAdj_Marshall_DepreciationTable,X$54+3,FALSE)</f>
        <v>#N/A</v>
      </c>
      <c r="Y56" s="1272"/>
      <c r="Z56" s="1279" t="e">
        <f>HLOOKUP(Z$55,AutoAdj_Marshall_DepreciationTable,Z$54+3,FALSE)</f>
        <v>#N/A</v>
      </c>
      <c r="AA56" s="1272"/>
      <c r="AB56" s="1279" t="e">
        <f>HLOOKUP(AB$55,AutoAdj_Marshall_DepreciationTable,AB$54+3,FALSE)</f>
        <v>#N/A</v>
      </c>
      <c r="AC56" s="1272"/>
      <c r="AD56" s="1279" t="e">
        <f>HLOOKUP(AD$55,AutoAdj_Marshall_DepreciationTable,AD$54+3,FALSE)</f>
        <v>#N/A</v>
      </c>
      <c r="AE56" s="1272"/>
      <c r="AF56" s="1279" t="e">
        <f>HLOOKUP(AF$55,AutoAdj_Marshall_DepreciationTable,AF$54+3,FALSE)</f>
        <v>#N/A</v>
      </c>
      <c r="AG56" s="1272"/>
      <c r="AH56" s="1279" t="e">
        <f>HLOOKUP(AH$55,AutoAdj_Marshall_DepreciationTable,AH$54+3,FALSE)</f>
        <v>#N/A</v>
      </c>
      <c r="AI56" s="1272"/>
      <c r="AJ56" s="1252"/>
    </row>
    <row r="57" spans="1:37" ht="17.100000000000001" customHeight="1" x14ac:dyDescent="0.25">
      <c r="A57" s="41"/>
      <c r="B57" s="1251"/>
      <c r="C57" s="1272"/>
      <c r="D57" s="3353" t="s">
        <v>1836</v>
      </c>
      <c r="E57" s="3353"/>
      <c r="F57" s="3904">
        <f>HLOOKUP(Subject_AgeTotalEco,AutoAdj_Marshall_DepreciationTable,Subject_AgeEffective+3,FALSE)</f>
        <v>0</v>
      </c>
      <c r="G57" s="3905"/>
      <c r="H57" s="3904">
        <f>HLOOKUP(Subject_AgeTotalEco,AutoAdj_Marshall_DepreciationTable,Subject_AgeEffective+3,FALSE)</f>
        <v>0</v>
      </c>
      <c r="I57" s="3905"/>
      <c r="J57" s="3904">
        <f>HLOOKUP(Subject_AgeTotalEco,AutoAdj_Marshall_DepreciationTable,Subject_AgeEffective+3,FALSE)</f>
        <v>0</v>
      </c>
      <c r="K57" s="3905"/>
      <c r="L57" s="3904">
        <f>HLOOKUP(Subject_AgeTotalEco,AutoAdj_Marshall_DepreciationTable,Subject_AgeEffective+3,FALSE)</f>
        <v>0</v>
      </c>
      <c r="M57" s="3905"/>
      <c r="N57" s="3904">
        <f>HLOOKUP(Subject_AgeTotalEco,AutoAdj_Marshall_DepreciationTable,Subject_AgeEffective+3,FALSE)</f>
        <v>0</v>
      </c>
      <c r="O57" s="3905"/>
      <c r="P57" s="3904">
        <f>HLOOKUP(Subject_AgeTotalEco,AutoAdj_Marshall_DepreciationTable,Subject_AgeEffective+3,FALSE)</f>
        <v>0</v>
      </c>
      <c r="Q57" s="3905"/>
      <c r="R57" s="3904">
        <f>HLOOKUP(Subject_AgeTotalEco,AutoAdj_Marshall_DepreciationTable,Subject_AgeEffective+3,FALSE)</f>
        <v>0</v>
      </c>
      <c r="S57" s="3906"/>
      <c r="T57" s="3904">
        <f>HLOOKUP(Subject_AgeTotalEco,AutoAdj_Marshall_DepreciationTable,Subject_AgeEffective+3,FALSE)</f>
        <v>0</v>
      </c>
      <c r="U57" s="3906"/>
      <c r="V57" s="3904">
        <f>HLOOKUP(Subject_AgeTotalEco,AutoAdj_Marshall_DepreciationTable,Subject_AgeEffective+3,FALSE)</f>
        <v>0</v>
      </c>
      <c r="W57" s="3906"/>
      <c r="X57" s="3904">
        <f>HLOOKUP(Subject_AgeTotalEco,AutoAdj_Marshall_DepreciationTable,Subject_AgeEffective+3,FALSE)</f>
        <v>0</v>
      </c>
      <c r="Y57" s="3906"/>
      <c r="Z57" s="3904">
        <f>HLOOKUP(Subject_AgeTotalEco,AutoAdj_Marshall_DepreciationTable,Subject_AgeEffective+3,FALSE)</f>
        <v>0</v>
      </c>
      <c r="AA57" s="3906"/>
      <c r="AB57" s="3904">
        <f>HLOOKUP(Subject_AgeTotalEco,AutoAdj_Marshall_DepreciationTable,Subject_AgeEffective+3,FALSE)</f>
        <v>0</v>
      </c>
      <c r="AC57" s="3906"/>
      <c r="AD57" s="3904">
        <f>HLOOKUP(Subject_AgeTotalEco,AutoAdj_Marshall_DepreciationTable,Subject_AgeEffective+3,FALSE)</f>
        <v>0</v>
      </c>
      <c r="AE57" s="3906"/>
      <c r="AF57" s="3904">
        <f>HLOOKUP(Subject_AgeTotalEco,AutoAdj_Marshall_DepreciationTable,Subject_AgeEffective+3,FALSE)</f>
        <v>0</v>
      </c>
      <c r="AG57" s="3906"/>
      <c r="AH57" s="3904">
        <f>HLOOKUP(Subject_AgeTotalEco,AutoAdj_Marshall_DepreciationTable,Subject_AgeEffective+3,FALSE)</f>
        <v>0</v>
      </c>
      <c r="AI57" s="1272"/>
      <c r="AJ57" s="1252"/>
    </row>
    <row r="58" spans="1:37" ht="17.100000000000001" customHeight="1" x14ac:dyDescent="0.25">
      <c r="A58" s="41"/>
      <c r="B58" s="1251"/>
      <c r="C58" s="1272"/>
      <c r="D58" s="1272" t="s">
        <v>553</v>
      </c>
      <c r="E58" s="1272"/>
      <c r="F58" s="1279">
        <f>F56-F57</f>
        <v>0.06</v>
      </c>
      <c r="G58" s="1275"/>
      <c r="H58" s="1279">
        <f>H56-H57</f>
        <v>0.06</v>
      </c>
      <c r="I58" s="1275"/>
      <c r="J58" s="1279" t="e">
        <f>J56-J57</f>
        <v>#N/A</v>
      </c>
      <c r="K58" s="1275"/>
      <c r="L58" s="1279" t="e">
        <f>L56-L57</f>
        <v>#N/A</v>
      </c>
      <c r="M58" s="1275"/>
      <c r="N58" s="1279" t="e">
        <f>N56-N57</f>
        <v>#N/A</v>
      </c>
      <c r="O58" s="1275"/>
      <c r="P58" s="1279" t="e">
        <f>P56-P57</f>
        <v>#N/A</v>
      </c>
      <c r="Q58" s="1275"/>
      <c r="R58" s="1279" t="e">
        <f>R56-R57</f>
        <v>#N/A</v>
      </c>
      <c r="S58" s="1272"/>
      <c r="T58" s="1279" t="e">
        <f>T56-T57</f>
        <v>#N/A</v>
      </c>
      <c r="U58" s="1272"/>
      <c r="V58" s="1279" t="e">
        <f>V56-V57</f>
        <v>#N/A</v>
      </c>
      <c r="W58" s="1272"/>
      <c r="X58" s="1279" t="e">
        <f>X56-X57</f>
        <v>#N/A</v>
      </c>
      <c r="Y58" s="1272"/>
      <c r="Z58" s="1279" t="e">
        <f>Z56-Z57</f>
        <v>#N/A</v>
      </c>
      <c r="AA58" s="1272"/>
      <c r="AB58" s="1279" t="e">
        <f>AB56-AB57</f>
        <v>#N/A</v>
      </c>
      <c r="AC58" s="1272"/>
      <c r="AD58" s="1279" t="e">
        <f>AD56-AD57</f>
        <v>#N/A</v>
      </c>
      <c r="AE58" s="1272"/>
      <c r="AF58" s="1279" t="e">
        <f>AF56-AF57</f>
        <v>#N/A</v>
      </c>
      <c r="AG58" s="1272"/>
      <c r="AH58" s="1279" t="e">
        <f>AH56-AH57</f>
        <v>#N/A</v>
      </c>
      <c r="AI58" s="1272"/>
      <c r="AJ58" s="1252"/>
    </row>
    <row r="59" spans="1:37" ht="17.100000000000001" customHeight="1" x14ac:dyDescent="0.25">
      <c r="A59" s="41"/>
      <c r="B59" s="1251"/>
      <c r="C59" s="1272"/>
      <c r="D59" s="3353" t="s">
        <v>1835</v>
      </c>
      <c r="E59" s="3353"/>
      <c r="F59" s="2167">
        <v>0.8</v>
      </c>
      <c r="G59" s="2167"/>
      <c r="H59" s="2167">
        <f>dpSales_AgeCondition_Ratio</f>
        <v>0.8</v>
      </c>
      <c r="I59" s="2168"/>
      <c r="J59" s="2167">
        <f>dpSales_AgeCondition_Ratio</f>
        <v>0.8</v>
      </c>
      <c r="K59" s="2168"/>
      <c r="L59" s="2167">
        <f>dpSales_AgeCondition_Ratio</f>
        <v>0.8</v>
      </c>
      <c r="M59" s="2168"/>
      <c r="N59" s="2167">
        <f>dpSales_AgeCondition_Ratio</f>
        <v>0.8</v>
      </c>
      <c r="O59" s="2168"/>
      <c r="P59" s="2167">
        <f>dpSales_AgeCondition_Ratio</f>
        <v>0.8</v>
      </c>
      <c r="Q59" s="2168"/>
      <c r="R59" s="2167">
        <f>dpSales_AgeCondition_Ratio</f>
        <v>0.8</v>
      </c>
      <c r="S59" s="2169"/>
      <c r="T59" s="2167">
        <f>dpSales_AgeCondition_Ratio</f>
        <v>0.8</v>
      </c>
      <c r="U59" s="2169"/>
      <c r="V59" s="2167">
        <f>dpSales_AgeCondition_Ratio</f>
        <v>0.8</v>
      </c>
      <c r="W59" s="2169"/>
      <c r="X59" s="2167">
        <f>dpSales_AgeCondition_Ratio</f>
        <v>0.8</v>
      </c>
      <c r="Y59" s="2167"/>
      <c r="Z59" s="2167">
        <f>dpSales_AgeCondition_Ratio</f>
        <v>0.8</v>
      </c>
      <c r="AA59" s="2169"/>
      <c r="AB59" s="2167">
        <f>dpSales_AgeCondition_Ratio</f>
        <v>0.8</v>
      </c>
      <c r="AC59" s="2169"/>
      <c r="AD59" s="2167">
        <f>dpSales_AgeCondition_Ratio</f>
        <v>0.8</v>
      </c>
      <c r="AE59" s="2169"/>
      <c r="AF59" s="2167">
        <f>dpSales_AgeCondition_Ratio</f>
        <v>0.8</v>
      </c>
      <c r="AG59" s="2169"/>
      <c r="AH59" s="2167">
        <f>dpSales_AgeCondition_Ratio</f>
        <v>0.8</v>
      </c>
      <c r="AI59" s="1272"/>
      <c r="AJ59" s="1252"/>
      <c r="AK59" s="12" t="s">
        <v>1856</v>
      </c>
    </row>
    <row r="60" spans="1:37" ht="17.100000000000001" customHeight="1" thickBot="1" x14ac:dyDescent="0.3">
      <c r="B60" s="1251"/>
      <c r="C60" s="1272"/>
      <c r="D60" s="3451" t="s">
        <v>1834</v>
      </c>
      <c r="E60" s="3451"/>
      <c r="F60" s="3894">
        <f>IF(ISERROR(F58*F59),"",F58*F59)</f>
        <v>4.8000000000000001E-2</v>
      </c>
      <c r="G60" s="3894"/>
      <c r="H60" s="3894">
        <f>IF(ISERROR(H58*H59),"",H58*H59)</f>
        <v>4.8000000000000001E-2</v>
      </c>
      <c r="I60" s="1277"/>
      <c r="J60" s="3894" t="str">
        <f>IF(ISERROR(J58*J59),"",J58*J59)</f>
        <v/>
      </c>
      <c r="K60" s="1277"/>
      <c r="L60" s="3894" t="str">
        <f>IF(ISERROR(L58*L59),"",L58*L59)</f>
        <v/>
      </c>
      <c r="M60" s="1277"/>
      <c r="N60" s="3894" t="str">
        <f>IF(ISERROR(N58*N59),"",N58*N59)</f>
        <v/>
      </c>
      <c r="O60" s="1277"/>
      <c r="P60" s="3894" t="str">
        <f>IF(ISERROR(P58*P59),"",P58*P59)</f>
        <v/>
      </c>
      <c r="Q60" s="1277"/>
      <c r="R60" s="3894" t="str">
        <f>IF(ISERROR(R58*R59),"",R58*R59)</f>
        <v/>
      </c>
      <c r="S60" s="1277"/>
      <c r="T60" s="3894" t="str">
        <f>IF(ISERROR(T58*T59),"",T58*T59)</f>
        <v/>
      </c>
      <c r="U60" s="1277"/>
      <c r="V60" s="3894" t="str">
        <f>IF(ISERROR(V58*V59),"",V58*V59)</f>
        <v/>
      </c>
      <c r="W60" s="1277"/>
      <c r="X60" s="3894" t="str">
        <f>IF(ISERROR(X58*X59),"",X58*X59)</f>
        <v/>
      </c>
      <c r="Y60" s="1277"/>
      <c r="Z60" s="3894" t="str">
        <f>IF(ISERROR(Z58*Z59),"",Z58*Z59)</f>
        <v/>
      </c>
      <c r="AA60" s="1277"/>
      <c r="AB60" s="3894" t="str">
        <f>IF(ISERROR(AB58*AB59),"",AB58*AB59)</f>
        <v/>
      </c>
      <c r="AC60" s="1277"/>
      <c r="AD60" s="3894" t="str">
        <f>IF(ISERROR(AD58*AD59),"",AD58*AD59)</f>
        <v/>
      </c>
      <c r="AE60" s="1277"/>
      <c r="AF60" s="3894" t="str">
        <f>IF(ISERROR(AF58*AF59),"",AF58*AF59)</f>
        <v/>
      </c>
      <c r="AG60" s="1277"/>
      <c r="AH60" s="3894" t="str">
        <f>IF(ISERROR(AH58*AH59),"",AH58*AH59)</f>
        <v/>
      </c>
      <c r="AI60" s="1272"/>
      <c r="AJ60" s="1252"/>
    </row>
    <row r="61" spans="1:37" ht="15" thickBot="1" x14ac:dyDescent="0.3">
      <c r="B61" s="1253"/>
      <c r="C61" s="1254"/>
      <c r="D61" s="552" t="s">
        <v>1838</v>
      </c>
      <c r="E61" s="1254"/>
      <c r="F61" s="1259"/>
      <c r="G61" s="1259"/>
      <c r="H61" s="1259"/>
      <c r="I61" s="1259"/>
      <c r="J61" s="1259"/>
      <c r="K61" s="1259"/>
      <c r="L61" s="1259"/>
      <c r="M61" s="1259"/>
      <c r="N61" s="1259"/>
      <c r="O61" s="1259"/>
      <c r="P61" s="1259"/>
      <c r="Q61" s="1259"/>
      <c r="R61" s="1254"/>
      <c r="S61" s="1254"/>
      <c r="T61" s="1254"/>
      <c r="U61" s="1254"/>
      <c r="V61" s="1254"/>
      <c r="W61" s="1254"/>
      <c r="X61" s="1254"/>
      <c r="Y61" s="1254"/>
      <c r="Z61" s="1254"/>
      <c r="AA61" s="1254"/>
      <c r="AB61" s="1254"/>
      <c r="AC61" s="1254"/>
      <c r="AD61" s="1254"/>
      <c r="AE61" s="1254"/>
      <c r="AF61" s="1254"/>
      <c r="AG61" s="1254"/>
      <c r="AH61" s="1254"/>
      <c r="AI61" s="1254"/>
      <c r="AJ61" s="1255"/>
    </row>
    <row r="62" spans="1:37" x14ac:dyDescent="0.25">
      <c r="E62" s="41"/>
      <c r="F62" s="957">
        <f>IF(F60="",0,1)</f>
        <v>1</v>
      </c>
      <c r="G62" s="957">
        <f>H62</f>
        <v>1</v>
      </c>
      <c r="H62" s="957">
        <f>IF(H60="",0,1)</f>
        <v>1</v>
      </c>
      <c r="I62" s="957">
        <f>J62</f>
        <v>0</v>
      </c>
      <c r="J62" s="957">
        <f>IF(J60="",0,1)</f>
        <v>0</v>
      </c>
      <c r="K62" s="957">
        <f>L62</f>
        <v>0</v>
      </c>
      <c r="L62" s="957">
        <f>IF(L60="",0,1)</f>
        <v>0</v>
      </c>
      <c r="M62" s="957">
        <f>N62</f>
        <v>0</v>
      </c>
      <c r="N62" s="957">
        <f>IF(N60="",0,1)</f>
        <v>0</v>
      </c>
      <c r="O62" s="957">
        <f>P62</f>
        <v>0</v>
      </c>
      <c r="P62" s="957">
        <f>IF(P60="",0,1)</f>
        <v>0</v>
      </c>
      <c r="Q62" s="957">
        <f>R62</f>
        <v>0</v>
      </c>
      <c r="R62" s="957">
        <f>IF(R60="",0,1)</f>
        <v>0</v>
      </c>
      <c r="S62" s="957">
        <f>T62</f>
        <v>0</v>
      </c>
      <c r="T62" s="957">
        <f>IF(T60="",0,1)</f>
        <v>0</v>
      </c>
      <c r="U62" s="957">
        <f>V62</f>
        <v>0</v>
      </c>
      <c r="V62" s="957">
        <f>IF(V60="",0,1)</f>
        <v>0</v>
      </c>
      <c r="W62" s="957">
        <f>X62</f>
        <v>0</v>
      </c>
      <c r="X62" s="957">
        <f>IF(X60="",0,1)</f>
        <v>0</v>
      </c>
      <c r="Y62" s="957">
        <f>Z62</f>
        <v>0</v>
      </c>
      <c r="Z62" s="957">
        <f>IF(Z60="",0,1)</f>
        <v>0</v>
      </c>
      <c r="AA62" s="957">
        <f>AB62</f>
        <v>0</v>
      </c>
      <c r="AB62" s="957">
        <f>IF(AB60="",0,1)</f>
        <v>0</v>
      </c>
      <c r="AC62" s="957">
        <f>AD62</f>
        <v>0</v>
      </c>
      <c r="AD62" s="957">
        <f>IF(AD60="",0,1)</f>
        <v>0</v>
      </c>
      <c r="AE62" s="957">
        <f>AF62</f>
        <v>0</v>
      </c>
      <c r="AF62" s="957">
        <f>IF(AF60="",0,1)</f>
        <v>0</v>
      </c>
      <c r="AG62" s="957">
        <f>AH62</f>
        <v>0</v>
      </c>
      <c r="AH62" s="957">
        <f>IF(AH60="",0,1)</f>
        <v>0</v>
      </c>
    </row>
    <row r="63" spans="1:37" x14ac:dyDescent="0.25">
      <c r="F63" s="911"/>
      <c r="G63" s="911"/>
      <c r="H63" s="911"/>
      <c r="I63" s="911"/>
      <c r="J63" s="911"/>
      <c r="K63" s="911"/>
      <c r="L63" s="911"/>
      <c r="M63" s="911"/>
      <c r="N63" s="911"/>
      <c r="O63" s="911"/>
    </row>
    <row r="64" spans="1:37" x14ac:dyDescent="0.25">
      <c r="F64" s="911"/>
      <c r="G64" s="911"/>
      <c r="H64" s="911"/>
      <c r="I64" s="911"/>
      <c r="J64" s="911"/>
      <c r="K64" s="911"/>
      <c r="L64" s="911"/>
      <c r="M64" s="911"/>
      <c r="N64" s="911"/>
      <c r="O64" s="911"/>
    </row>
    <row r="65" spans="6:15" ht="28.5" customHeight="1" x14ac:dyDescent="0.25">
      <c r="F65" s="911"/>
      <c r="G65" s="911"/>
      <c r="H65" s="911"/>
      <c r="I65" s="911"/>
      <c r="J65" s="911"/>
      <c r="K65" s="911"/>
      <c r="L65" s="911"/>
      <c r="M65" s="911"/>
      <c r="N65" s="911"/>
      <c r="O65" s="911"/>
    </row>
    <row r="66" spans="6:15" x14ac:dyDescent="0.25">
      <c r="F66" s="911"/>
      <c r="G66" s="911"/>
      <c r="H66" s="911"/>
      <c r="I66" s="911"/>
      <c r="J66" s="911"/>
      <c r="K66" s="911"/>
      <c r="L66" s="911"/>
      <c r="M66" s="911"/>
      <c r="N66" s="911"/>
      <c r="O66" s="911"/>
    </row>
    <row r="67" spans="6:15" x14ac:dyDescent="0.25">
      <c r="F67" s="911"/>
      <c r="G67" s="911"/>
      <c r="H67" s="911"/>
      <c r="I67" s="911"/>
      <c r="J67" s="911"/>
      <c r="K67" s="911"/>
      <c r="L67" s="911"/>
      <c r="M67" s="911"/>
      <c r="N67" s="911"/>
      <c r="O67" s="911"/>
    </row>
    <row r="68" spans="6:15" x14ac:dyDescent="0.25">
      <c r="F68" s="911"/>
      <c r="G68" s="911"/>
      <c r="H68" s="911"/>
      <c r="I68" s="911"/>
      <c r="J68" s="911"/>
      <c r="K68" s="911"/>
      <c r="L68" s="911"/>
      <c r="M68" s="911"/>
      <c r="N68" s="911"/>
      <c r="O68" s="911"/>
    </row>
    <row r="69" spans="6:15" x14ac:dyDescent="0.25">
      <c r="F69" s="911"/>
      <c r="G69" s="911"/>
      <c r="H69" s="911"/>
      <c r="I69" s="911"/>
      <c r="J69" s="911"/>
      <c r="K69" s="911"/>
      <c r="L69" s="911"/>
      <c r="M69" s="911"/>
      <c r="N69" s="911"/>
      <c r="O69" s="911"/>
    </row>
    <row r="70" spans="6:15" x14ac:dyDescent="0.25">
      <c r="F70" s="911"/>
      <c r="G70" s="911"/>
      <c r="H70" s="911"/>
      <c r="I70" s="911"/>
      <c r="J70" s="911"/>
      <c r="K70" s="911"/>
      <c r="L70" s="911"/>
      <c r="M70" s="911"/>
      <c r="N70" s="911"/>
      <c r="O70" s="911"/>
    </row>
    <row r="71" spans="6:15" x14ac:dyDescent="0.25">
      <c r="F71" s="911"/>
      <c r="G71" s="911"/>
      <c r="H71" s="911"/>
      <c r="I71" s="911"/>
      <c r="J71" s="911"/>
      <c r="K71" s="911"/>
      <c r="L71" s="911"/>
      <c r="M71" s="911"/>
      <c r="N71" s="911"/>
      <c r="O71" s="911"/>
    </row>
  </sheetData>
  <mergeCells count="9">
    <mergeCell ref="J34:L34"/>
    <mergeCell ref="J35:L35"/>
    <mergeCell ref="AK10:AK11"/>
    <mergeCell ref="AK23:AK24"/>
    <mergeCell ref="G30:I30"/>
    <mergeCell ref="J30:L30"/>
    <mergeCell ref="J31:L31"/>
    <mergeCell ref="J32:L32"/>
    <mergeCell ref="J33:L33"/>
  </mergeCells>
  <printOptions horizontalCentered="1"/>
  <pageMargins left="0.5" right="0.5" top="0.75" bottom="0.75" header="0.3" footer="0.3"/>
  <pageSetup orientation="portrait" r:id="rId1"/>
  <drawing r:id="rId2"/>
  <legacyDrawing r:id="rId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9" filterMode="1">
    <tabColor theme="7"/>
    <pageSetUpPr fitToPage="1"/>
  </sheetPr>
  <dimension ref="A1:AA192"/>
  <sheetViews>
    <sheetView zoomScaleNormal="100" workbookViewId="0"/>
  </sheetViews>
  <sheetFormatPr defaultColWidth="9.140625" defaultRowHeight="15" customHeight="1" x14ac:dyDescent="0.25"/>
  <cols>
    <col min="1" max="1" width="5.7109375" style="707" customWidth="1"/>
    <col min="2" max="2" width="1.7109375" style="10" customWidth="1"/>
    <col min="3" max="3" width="0.85546875" style="10" customWidth="1"/>
    <col min="4" max="4" width="24.85546875" style="10" customWidth="1"/>
    <col min="5" max="5" width="8.7109375" style="10" customWidth="1"/>
    <col min="6" max="6" width="15.7109375" style="10" customWidth="1"/>
    <col min="7" max="8" width="15.7109375" style="1774" customWidth="1"/>
    <col min="9" max="9" width="14.7109375" style="1943" customWidth="1"/>
    <col min="10" max="10" width="15.7109375" style="1943" customWidth="1"/>
    <col min="11" max="11" width="0.85546875" style="10" customWidth="1"/>
    <col min="12" max="12" width="1.7109375" style="10" customWidth="1"/>
    <col min="13" max="13" width="5.7109375" style="10" customWidth="1"/>
    <col min="14" max="14" width="1.7109375" style="10" customWidth="1"/>
    <col min="15" max="15" width="0.85546875" style="10" customWidth="1"/>
    <col min="16" max="16" width="1.7109375" style="10" customWidth="1"/>
    <col min="17" max="17" width="26.7109375" style="10" customWidth="1"/>
    <col min="18" max="20" width="14.7109375" style="10" customWidth="1"/>
    <col min="21" max="21" width="0.85546875" style="10" customWidth="1"/>
    <col min="22" max="22" width="12.28515625" style="10" customWidth="1"/>
    <col min="23" max="23" width="0.85546875" style="10" customWidth="1"/>
    <col min="24" max="24" width="1.7109375" style="10" customWidth="1"/>
    <col min="25" max="25" width="5.7109375" style="10" customWidth="1"/>
    <col min="26" max="26" width="9.7109375" style="10" customWidth="1"/>
    <col min="27" max="27" width="10.7109375" style="10" customWidth="1"/>
    <col min="28" max="16384" width="9.140625" style="10"/>
  </cols>
  <sheetData>
    <row r="1" spans="1:18" ht="60" customHeight="1" x14ac:dyDescent="0.25"/>
    <row r="2" spans="1:18" ht="21.95" customHeight="1" x14ac:dyDescent="0.25">
      <c r="D2" s="32"/>
      <c r="E2" s="751"/>
    </row>
    <row r="3" spans="1:18" ht="21.95" customHeight="1" x14ac:dyDescent="0.25">
      <c r="D3" s="32" t="s">
        <v>20082</v>
      </c>
      <c r="E3" s="751"/>
    </row>
    <row r="4" spans="1:18" ht="21.95" customHeight="1" thickBot="1" x14ac:dyDescent="0.3">
      <c r="D4" s="32"/>
      <c r="E4" s="751"/>
    </row>
    <row r="5" spans="1:18" ht="14.25" customHeight="1" x14ac:dyDescent="0.25">
      <c r="A5" s="1086"/>
      <c r="B5" s="94"/>
      <c r="C5" s="2"/>
      <c r="D5" s="2"/>
      <c r="E5" s="2"/>
      <c r="F5" s="2"/>
      <c r="G5" s="1876">
        <f t="shared" ref="G5:I5" si="0">G7</f>
        <v>1</v>
      </c>
      <c r="H5" s="1876">
        <f t="shared" si="0"/>
        <v>2</v>
      </c>
      <c r="I5" s="1969">
        <f t="shared" si="0"/>
        <v>3</v>
      </c>
      <c r="J5" s="1969">
        <f t="shared" ref="J5" si="1">J7</f>
        <v>4</v>
      </c>
      <c r="K5" s="2"/>
      <c r="L5" s="3"/>
    </row>
    <row r="6" spans="1:18" ht="16.5" customHeight="1" x14ac:dyDescent="0.25">
      <c r="A6" s="4146" t="s">
        <v>1262</v>
      </c>
      <c r="B6" s="16"/>
      <c r="C6" s="5"/>
      <c r="D6" s="3755" t="s">
        <v>525</v>
      </c>
      <c r="E6" s="5"/>
      <c r="F6" s="5"/>
      <c r="G6" s="1877"/>
      <c r="H6" s="1877"/>
      <c r="I6" s="1970"/>
      <c r="J6" s="1970"/>
      <c r="K6" s="51"/>
      <c r="L6" s="6"/>
    </row>
    <row r="7" spans="1:18" ht="16.5" customHeight="1" x14ac:dyDescent="0.25">
      <c r="A7" s="4146"/>
      <c r="B7" s="16"/>
      <c r="C7" s="3765"/>
      <c r="D7" s="3765"/>
      <c r="E7" s="3781"/>
      <c r="F7" s="3781" t="s">
        <v>116</v>
      </c>
      <c r="G7" s="3782">
        <v>1</v>
      </c>
      <c r="H7" s="3782">
        <v>2</v>
      </c>
      <c r="I7" s="3783">
        <v>3</v>
      </c>
      <c r="J7" s="3783">
        <v>4</v>
      </c>
      <c r="K7" s="3781"/>
      <c r="L7" s="6"/>
    </row>
    <row r="8" spans="1:18" ht="5.0999999999999996" customHeight="1" x14ac:dyDescent="0.25">
      <c r="B8" s="16"/>
      <c r="C8" s="258"/>
      <c r="D8" s="258"/>
      <c r="E8" s="258"/>
      <c r="F8" s="258"/>
      <c r="G8" s="3792"/>
      <c r="H8" s="3792"/>
      <c r="I8" s="3793"/>
      <c r="J8" s="3793"/>
      <c r="K8" s="258"/>
      <c r="L8" s="6"/>
    </row>
    <row r="9" spans="1:18" ht="15" hidden="1" customHeight="1" x14ac:dyDescent="0.25">
      <c r="A9" s="1374">
        <v>1</v>
      </c>
      <c r="B9" s="16"/>
      <c r="C9" s="258"/>
      <c r="D9" s="527" t="s">
        <v>703</v>
      </c>
      <c r="E9" s="742"/>
      <c r="F9" s="517"/>
      <c r="G9" s="3501">
        <v>1629847</v>
      </c>
      <c r="H9" s="3501">
        <v>1723196</v>
      </c>
      <c r="I9" s="3502">
        <v>1707445</v>
      </c>
      <c r="J9" s="3502">
        <v>1707439</v>
      </c>
      <c r="K9" s="258"/>
      <c r="L9" s="6"/>
    </row>
    <row r="10" spans="1:18" ht="15" customHeight="1" x14ac:dyDescent="0.25">
      <c r="A10" s="972">
        <v>1</v>
      </c>
      <c r="B10" s="16"/>
      <c r="C10" s="258"/>
      <c r="D10" s="527" t="s">
        <v>830</v>
      </c>
      <c r="E10" s="2984"/>
      <c r="F10" s="1048">
        <v>45473</v>
      </c>
      <c r="G10" s="3794">
        <v>44911</v>
      </c>
      <c r="H10" s="3794">
        <v>44181</v>
      </c>
      <c r="I10" s="3795">
        <v>43952</v>
      </c>
      <c r="J10" s="3795">
        <v>45127</v>
      </c>
      <c r="K10" s="3796"/>
      <c r="L10" s="6"/>
      <c r="R10" s="10">
        <f>200000/43560</f>
        <v>4.5913682277318637</v>
      </c>
    </row>
    <row r="11" spans="1:18" ht="14.25" x14ac:dyDescent="0.25">
      <c r="A11" s="972">
        <v>1</v>
      </c>
      <c r="B11" s="16"/>
      <c r="C11" s="258"/>
      <c r="D11" s="527" t="s">
        <v>0</v>
      </c>
      <c r="E11" s="2984"/>
      <c r="F11" s="3503" t="s">
        <v>19963</v>
      </c>
      <c r="G11" s="3501" t="s">
        <v>19963</v>
      </c>
      <c r="H11" s="3501" t="s">
        <v>19963</v>
      </c>
      <c r="I11" s="3502" t="s">
        <v>19963</v>
      </c>
      <c r="J11" s="3502" t="s">
        <v>19963</v>
      </c>
      <c r="K11" s="3181"/>
      <c r="L11" s="6"/>
    </row>
    <row r="12" spans="1:18" ht="15" customHeight="1" x14ac:dyDescent="0.25">
      <c r="A12" s="972">
        <f>IF(dpUnit_Sales="Net Rentable Area",1,0)</f>
        <v>1</v>
      </c>
      <c r="B12" s="16"/>
      <c r="C12" s="258"/>
      <c r="D12" s="527" t="s">
        <v>441</v>
      </c>
      <c r="E12" s="742"/>
      <c r="F12" s="3463">
        <v>34442</v>
      </c>
      <c r="G12" s="3797">
        <v>22200</v>
      </c>
      <c r="H12" s="3797">
        <v>42060</v>
      </c>
      <c r="I12" s="3798">
        <v>16320</v>
      </c>
      <c r="J12" s="3798">
        <v>13613</v>
      </c>
      <c r="K12" s="258"/>
      <c r="L12" s="6"/>
    </row>
    <row r="13" spans="1:18" ht="15" hidden="1" customHeight="1" x14ac:dyDescent="0.25">
      <c r="A13" s="972">
        <f>IF(dpUnit_Sales="Net Rentable Area",0,1)</f>
        <v>0</v>
      </c>
      <c r="B13" s="16"/>
      <c r="C13" s="258"/>
      <c r="D13" s="527" t="s">
        <v>183</v>
      </c>
      <c r="E13" s="742"/>
      <c r="F13" s="3799">
        <f>Subject_GBA</f>
        <v>220514</v>
      </c>
      <c r="G13" s="3797">
        <v>7776</v>
      </c>
      <c r="H13" s="3797">
        <v>5390</v>
      </c>
      <c r="I13" s="3798">
        <v>7566</v>
      </c>
      <c r="J13" s="3798">
        <v>6540</v>
      </c>
      <c r="K13" s="258"/>
      <c r="L13" s="6"/>
      <c r="R13" s="10">
        <v>5</v>
      </c>
    </row>
    <row r="14" spans="1:18" ht="15" hidden="1" customHeight="1" x14ac:dyDescent="0.25">
      <c r="A14" s="972">
        <f>IF(dpUnit_Sales="Units",1,0)</f>
        <v>0</v>
      </c>
      <c r="B14" s="16"/>
      <c r="C14" s="258"/>
      <c r="D14" s="527" t="s">
        <v>1131</v>
      </c>
      <c r="E14" s="742"/>
      <c r="F14" s="3800">
        <f>Subject_Units</f>
        <v>77</v>
      </c>
      <c r="G14" s="3797">
        <v>2</v>
      </c>
      <c r="H14" s="3797">
        <v>1</v>
      </c>
      <c r="I14" s="3798" t="s">
        <v>3</v>
      </c>
      <c r="J14" s="3798" t="s">
        <v>3</v>
      </c>
      <c r="K14" s="258"/>
      <c r="L14" s="6"/>
      <c r="R14" s="10">
        <f>11.43-5</f>
        <v>6.43</v>
      </c>
    </row>
    <row r="15" spans="1:18" ht="15" customHeight="1" x14ac:dyDescent="0.25">
      <c r="A15" s="972">
        <v>1</v>
      </c>
      <c r="B15" s="16"/>
      <c r="C15" s="258"/>
      <c r="D15" s="527" t="s">
        <v>20066</v>
      </c>
      <c r="E15" s="742"/>
      <c r="F15" s="743">
        <v>2.31</v>
      </c>
      <c r="G15" s="1882">
        <v>1.55</v>
      </c>
      <c r="H15" s="1882">
        <f>70320/43560</f>
        <v>1.6143250688705235</v>
      </c>
      <c r="I15" s="1975">
        <v>1.85</v>
      </c>
      <c r="J15" s="1975">
        <v>0.95</v>
      </c>
      <c r="K15" s="3801"/>
      <c r="L15" s="6"/>
      <c r="R15" s="10">
        <f>+R14*43560</f>
        <v>280090.8</v>
      </c>
    </row>
    <row r="16" spans="1:18" ht="15" hidden="1" customHeight="1" x14ac:dyDescent="0.25">
      <c r="A16" s="972">
        <f>IF(D16="",0,1)</f>
        <v>0</v>
      </c>
      <c r="B16" s="16"/>
      <c r="C16" s="258"/>
      <c r="D16" s="527"/>
      <c r="E16" s="742"/>
      <c r="F16" s="743"/>
      <c r="G16" s="1882"/>
      <c r="H16" s="1882"/>
      <c r="I16" s="1975"/>
      <c r="J16" s="1975"/>
      <c r="K16" s="3801"/>
      <c r="L16" s="6"/>
      <c r="R16" s="10">
        <f>+R15*7</f>
        <v>1960635.5999999999</v>
      </c>
    </row>
    <row r="17" spans="1:27" ht="15" hidden="1" customHeight="1" x14ac:dyDescent="0.25">
      <c r="A17" s="972">
        <f>IF(D17="",0,1)</f>
        <v>0</v>
      </c>
      <c r="B17" s="16"/>
      <c r="C17" s="258"/>
      <c r="D17" s="527"/>
      <c r="E17" s="742"/>
      <c r="F17" s="743"/>
      <c r="G17" s="1882"/>
      <c r="H17" s="1882"/>
      <c r="I17" s="1975"/>
      <c r="J17" s="1975"/>
      <c r="K17" s="3801"/>
      <c r="L17" s="6"/>
    </row>
    <row r="18" spans="1:27" ht="15" customHeight="1" x14ac:dyDescent="0.25">
      <c r="A18" s="972">
        <v>1</v>
      </c>
      <c r="B18" s="16"/>
      <c r="C18" s="258"/>
      <c r="D18" s="3183" t="s">
        <v>1270</v>
      </c>
      <c r="E18" s="2984"/>
      <c r="F18" s="517"/>
      <c r="G18" s="3802">
        <v>2450000</v>
      </c>
      <c r="H18" s="3802">
        <v>5050000</v>
      </c>
      <c r="I18" s="3803">
        <v>2500000</v>
      </c>
      <c r="J18" s="3803">
        <v>2225000</v>
      </c>
      <c r="K18" s="258"/>
      <c r="L18" s="6"/>
    </row>
    <row r="19" spans="1:27" ht="15" hidden="1" customHeight="1" x14ac:dyDescent="0.25">
      <c r="A19" s="972">
        <f>IF(dpSale_Method="Whole Property",0,1)</f>
        <v>0</v>
      </c>
      <c r="B19" s="16"/>
      <c r="C19" s="258"/>
      <c r="D19" s="3180" t="s">
        <v>1016</v>
      </c>
      <c r="E19" s="2984"/>
      <c r="F19" s="517"/>
      <c r="G19" s="3804"/>
      <c r="H19" s="3804"/>
      <c r="I19" s="3805"/>
      <c r="J19" s="3805"/>
      <c r="K19" s="258"/>
      <c r="L19" s="6"/>
    </row>
    <row r="20" spans="1:27" ht="15" hidden="1" customHeight="1" x14ac:dyDescent="0.25">
      <c r="A20" s="972">
        <f>IF(dpSale_Method="Whole Property",0,1)</f>
        <v>0</v>
      </c>
      <c r="B20" s="16"/>
      <c r="C20" s="258"/>
      <c r="D20" s="3180" t="s">
        <v>519</v>
      </c>
      <c r="E20" s="2984"/>
      <c r="F20" s="517"/>
      <c r="G20" s="3802">
        <f t="shared" ref="G20:I20" si="2">G18-G19</f>
        <v>2450000</v>
      </c>
      <c r="H20" s="3802">
        <f t="shared" si="2"/>
        <v>5050000</v>
      </c>
      <c r="I20" s="3803">
        <f t="shared" si="2"/>
        <v>2500000</v>
      </c>
      <c r="J20" s="3803">
        <f t="shared" ref="J20" si="3">J18-J19</f>
        <v>2225000</v>
      </c>
      <c r="K20" s="258"/>
      <c r="L20" s="6"/>
    </row>
    <row r="21" spans="1:27" ht="15" customHeight="1" x14ac:dyDescent="0.25">
      <c r="A21" s="972">
        <v>1</v>
      </c>
      <c r="B21" s="16"/>
      <c r="C21" s="258"/>
      <c r="D21" s="3231" t="str">
        <f>IF(dpSale_Method="Whole Property",IF(dpUnit_Sales="Net Rentable Area","Unadjusted Sales Price PSF of NRA",IF(dpUnit_Sales="Gross Building Area","Unadjusted Sales Price PSF of GBA","Unadjusted Sales Price per Unit")),IF(dpUnit_Sales="Net Rentable Area","Unadjusted Contributory Value of Imp. PSF of NRA",IF(dpUnit_Sales="Gross Building Area","Unadjusted Contributory Value of Imp. PSF of GBA","Unadjusted Contributory Value of Imp. per Unit")))</f>
        <v>Unadjusted Sales Price PSF of NRA</v>
      </c>
      <c r="E21" s="3199"/>
      <c r="F21" s="3199"/>
      <c r="G21" s="3806">
        <f t="shared" ref="G21:I21" si="4">IF(dpSale_Method="Whole Property",IF(dpUnit_Sales="Net Rentable Area",G18/G12,IF(dpUnit_Sales="Gross Building Area",G18/G13,G18/G14)),IF(dpUnit_Sales="Net Rentable Area",G20/G12,IF(dpUnit_Sales="Gross Building Area",G20/G13,G20/G14)))</f>
        <v>110.36036036036036</v>
      </c>
      <c r="H21" s="3806">
        <f t="shared" si="4"/>
        <v>120.06657156443177</v>
      </c>
      <c r="I21" s="3807">
        <f t="shared" si="4"/>
        <v>153.18627450980392</v>
      </c>
      <c r="J21" s="3807">
        <f t="shared" ref="J21" si="5">IF(dpSale_Method="Whole Property",IF(dpUnit_Sales="Net Rentable Area",J18/J12,IF(dpUnit_Sales="Gross Building Area",J18/J13,J18/J14)),IF(dpUnit_Sales="Net Rentable Area",J20/J12,IF(dpUnit_Sales="Gross Building Area",J20/J13,J20/J14)))</f>
        <v>163.4467053551752</v>
      </c>
      <c r="K21" s="3335"/>
      <c r="L21" s="6"/>
    </row>
    <row r="22" spans="1:27" ht="5.0999999999999996" customHeight="1" x14ac:dyDescent="0.25">
      <c r="A22" s="972">
        <v>1</v>
      </c>
      <c r="B22" s="16"/>
      <c r="C22" s="92"/>
      <c r="D22" s="92"/>
      <c r="E22" s="258"/>
      <c r="F22" s="258"/>
      <c r="G22" s="3808" t="b">
        <f t="shared" ref="G22:I22" si="6">IF(Sales_AdjType="Qualitative",IF(G25="Inferior",-1,IF(G25="Superior",1,0)))</f>
        <v>0</v>
      </c>
      <c r="H22" s="3808" t="b">
        <f t="shared" si="6"/>
        <v>0</v>
      </c>
      <c r="I22" s="3809" t="b">
        <f t="shared" si="6"/>
        <v>0</v>
      </c>
      <c r="J22" s="3809" t="b">
        <f t="shared" ref="J22" si="7">IF(Sales_AdjType="Qualitative",IF(J25="Inferior",-1,IF(J25="Superior",1,0)))</f>
        <v>0</v>
      </c>
      <c r="K22" s="258"/>
      <c r="L22" s="6"/>
    </row>
    <row r="23" spans="1:27" ht="15" customHeight="1" x14ac:dyDescent="0.25">
      <c r="A23" s="972">
        <v>1</v>
      </c>
      <c r="B23" s="16"/>
      <c r="C23" s="92"/>
      <c r="D23" s="3268" t="s">
        <v>161</v>
      </c>
      <c r="E23" s="258"/>
      <c r="F23" s="258"/>
      <c r="G23" s="3792"/>
      <c r="H23" s="3792"/>
      <c r="I23" s="3793"/>
      <c r="J23" s="3793"/>
      <c r="K23" s="258"/>
      <c r="L23" s="6"/>
      <c r="AA23" s="10">
        <f>243000/43560</f>
        <v>5.5785123966942152</v>
      </c>
    </row>
    <row r="24" spans="1:27" ht="14.25" x14ac:dyDescent="0.25">
      <c r="A24" s="972">
        <v>1</v>
      </c>
      <c r="B24" s="16"/>
      <c r="C24" s="92"/>
      <c r="D24" s="1493" t="s">
        <v>164</v>
      </c>
      <c r="E24" s="2984"/>
      <c r="F24" s="718" t="str">
        <f>dpSort_Interest_1</f>
        <v>Fee Simple</v>
      </c>
      <c r="G24" s="1831" t="s">
        <v>19941</v>
      </c>
      <c r="H24" s="1831" t="s">
        <v>19941</v>
      </c>
      <c r="I24" s="1006" t="s">
        <v>19941</v>
      </c>
      <c r="J24" s="1006" t="s">
        <v>19941</v>
      </c>
      <c r="K24" s="2984"/>
      <c r="L24" s="6"/>
      <c r="S24" s="10">
        <f>4.23*43560</f>
        <v>184258.80000000002</v>
      </c>
    </row>
    <row r="25" spans="1:27" ht="15" hidden="1" customHeight="1" x14ac:dyDescent="0.25">
      <c r="A25" s="972">
        <f>IF(SUM(Sales_PropertyRightsRange)=0,0,1)</f>
        <v>0</v>
      </c>
      <c r="B25" s="16"/>
      <c r="C25" s="92"/>
      <c r="D25" s="3504" t="s">
        <v>174</v>
      </c>
      <c r="E25" s="258"/>
      <c r="F25" s="517"/>
      <c r="G25" s="3505">
        <f>IF(AND(G26=0,G27=0,G28=0),0,IF(G26&lt;&gt;0,IF(Sales_AdjType="$ per Unit",G26*'Improved Sales Adjustments'!G21,G26),IF(G27&lt;&gt;0,IF(dpUnit_Sales="Net Rentable Area",G27/(G21*G12),IF(dpUnit_Sales="Gross Building Area",G27/(G21*G13),G27/(G21*G14))),G28)))</f>
        <v>0</v>
      </c>
      <c r="H25" s="3505">
        <f>IF(AND(H26=0,H27=0,H28=0),0,IF(H26&lt;&gt;0,IF(Sales_AdjType="$ per Unit",H26*'Improved Sales Adjustments'!H21,H26),IF(H27&lt;&gt;0,IF(dpUnit_Sales="Net Rentable Area",H27/(H21*H12),IF(dpUnit_Sales="Gross Building Area",H27/(H21*H13),H27/(H21*H14))),H28)))</f>
        <v>0</v>
      </c>
      <c r="I25" s="3506">
        <f>IF(AND(I26=0,I27=0,I28=0),0,IF(I26&lt;&gt;0,IF(Sales_AdjType="$ per Unit",I26*'Improved Sales Adjustments'!I21,I26),IF(I27&lt;&gt;0,IF(dpUnit_Sales="Net Rentable Area",I27/(I21*I12),IF(dpUnit_Sales="Gross Building Area",I27/(I21*I13),I27/(I21*I14))),I28)))</f>
        <v>0</v>
      </c>
      <c r="J25" s="3506">
        <f>IF(AND(J26=0,J27=0,J28=0),0,IF(J26&lt;&gt;0,IF(Sales_AdjType="$ per Unit",J26*'Improved Sales Adjustments'!J21,J26),IF(J27&lt;&gt;0,IF(dpUnit_Sales="Net Rentable Area",J27/(J21*J12),IF(dpUnit_Sales="Gross Building Area",J27/(J21*J13),J27/(J21*J14))),J28)))</f>
        <v>0</v>
      </c>
      <c r="K25" s="3507"/>
      <c r="L25" s="6"/>
    </row>
    <row r="26" spans="1:27" ht="15" hidden="1" customHeight="1" x14ac:dyDescent="0.25">
      <c r="A26" s="972">
        <v>0</v>
      </c>
      <c r="B26" s="16"/>
      <c r="C26" s="92"/>
      <c r="D26" s="3287"/>
      <c r="E26" s="258"/>
      <c r="F26" s="2022" t="s">
        <v>166</v>
      </c>
      <c r="G26" s="1793">
        <v>0</v>
      </c>
      <c r="H26" s="1793">
        <v>0</v>
      </c>
      <c r="I26" s="1955">
        <v>0</v>
      </c>
      <c r="J26" s="1955">
        <v>0</v>
      </c>
      <c r="K26" s="258"/>
      <c r="L26" s="6"/>
    </row>
    <row r="27" spans="1:27" ht="15" hidden="1" customHeight="1" x14ac:dyDescent="0.25">
      <c r="A27" s="972">
        <v>0</v>
      </c>
      <c r="B27" s="16"/>
      <c r="C27" s="92"/>
      <c r="D27" s="3287"/>
      <c r="E27" s="258"/>
      <c r="F27" s="2022" t="s">
        <v>167</v>
      </c>
      <c r="G27" s="1794"/>
      <c r="H27" s="1794"/>
      <c r="I27" s="1956"/>
      <c r="J27" s="1956"/>
      <c r="K27" s="258"/>
      <c r="L27" s="6"/>
    </row>
    <row r="28" spans="1:27" ht="15" hidden="1" customHeight="1" x14ac:dyDescent="0.25">
      <c r="A28" s="972">
        <v>0</v>
      </c>
      <c r="B28" s="16"/>
      <c r="C28" s="92"/>
      <c r="D28" s="3287"/>
      <c r="E28" s="258"/>
      <c r="F28" s="2022" t="s">
        <v>710</v>
      </c>
      <c r="G28" s="1791"/>
      <c r="H28" s="1791"/>
      <c r="I28" s="1953"/>
      <c r="J28" s="1953"/>
      <c r="K28" s="258"/>
      <c r="L28" s="6"/>
    </row>
    <row r="29" spans="1:27" ht="15" customHeight="1" x14ac:dyDescent="0.25">
      <c r="A29" s="972">
        <f>IF(Sales_AdjType="Qualitative",0,1)</f>
        <v>1</v>
      </c>
      <c r="B29" s="16"/>
      <c r="C29" s="92"/>
      <c r="D29" s="3504" t="s">
        <v>1364</v>
      </c>
      <c r="E29" s="258"/>
      <c r="F29" s="2022"/>
      <c r="G29" s="3810">
        <f t="shared" ref="G29:I29" si="8">IF(Sales_AdjType&lt;&gt;"$ per Unit",G21*(1+G25),IF(Sales_AdjType="$ per Unit",G21+G25,G25))</f>
        <v>110.36036036036036</v>
      </c>
      <c r="H29" s="3810">
        <f t="shared" si="8"/>
        <v>120.06657156443177</v>
      </c>
      <c r="I29" s="3811">
        <f t="shared" si="8"/>
        <v>153.18627450980392</v>
      </c>
      <c r="J29" s="3811">
        <f t="shared" ref="J29" si="9">IF(Sales_AdjType&lt;&gt;"$ per Unit",J21*(1+J25),IF(Sales_AdjType="$ per Unit",J21+J25,J25))</f>
        <v>163.4467053551752</v>
      </c>
      <c r="K29" s="258"/>
      <c r="L29" s="6"/>
      <c r="Q29" s="10">
        <f>8.601*43560</f>
        <v>374659.56000000006</v>
      </c>
      <c r="S29" s="10">
        <f>+S24/J12</f>
        <v>13.535502828178949</v>
      </c>
    </row>
    <row r="30" spans="1:27" ht="8.1" customHeight="1" x14ac:dyDescent="0.25">
      <c r="A30" s="972">
        <v>1</v>
      </c>
      <c r="B30" s="16"/>
      <c r="C30" s="92"/>
      <c r="D30" s="3292"/>
      <c r="E30" s="258"/>
      <c r="F30" s="517"/>
      <c r="G30" s="3508" t="b">
        <f t="shared" ref="G30:I30" si="10">IF(Sales_AdjType="Qualitative",IF(G32="Inferior",-1,IF(G32="Superior",1,0)))</f>
        <v>0</v>
      </c>
      <c r="H30" s="3508" t="b">
        <f t="shared" si="10"/>
        <v>0</v>
      </c>
      <c r="I30" s="3509" t="b">
        <f t="shared" si="10"/>
        <v>0</v>
      </c>
      <c r="J30" s="3509" t="b">
        <f t="shared" ref="J30" si="11">IF(Sales_AdjType="Qualitative",IF(J32="Inferior",-1,IF(J32="Superior",1,0)))</f>
        <v>0</v>
      </c>
      <c r="K30" s="258"/>
      <c r="L30" s="6"/>
    </row>
    <row r="31" spans="1:27" ht="14.25" x14ac:dyDescent="0.25">
      <c r="A31" s="972">
        <v>1</v>
      </c>
      <c r="B31" s="16"/>
      <c r="C31" s="92"/>
      <c r="D31" s="1493" t="s">
        <v>165</v>
      </c>
      <c r="E31" s="258"/>
      <c r="F31" s="718" t="s">
        <v>969</v>
      </c>
      <c r="G31" s="1831" t="s">
        <v>969</v>
      </c>
      <c r="H31" s="1831" t="s">
        <v>969</v>
      </c>
      <c r="I31" s="1006" t="s">
        <v>969</v>
      </c>
      <c r="J31" s="1006" t="s">
        <v>969</v>
      </c>
      <c r="K31" s="258"/>
      <c r="L31" s="6"/>
    </row>
    <row r="32" spans="1:27" ht="15" hidden="1" customHeight="1" x14ac:dyDescent="0.25">
      <c r="A32" s="972">
        <f>IF(SUM(Sales_FinancingTermsRange)=0,0,1)</f>
        <v>0</v>
      </c>
      <c r="B32" s="16"/>
      <c r="C32" s="92"/>
      <c r="D32" s="3504" t="s">
        <v>174</v>
      </c>
      <c r="E32" s="258"/>
      <c r="F32" s="517"/>
      <c r="G32" s="3505">
        <f>IF(AND(G33=0,G34=0,G35=0),0,IF(G33&lt;&gt;0,IF(Sales_AdjType="$ per Unit",G33*'Improved Sales Adjustments'!G29,G33),IF(G34&lt;&gt;0,IF(dpUnit_Sales="Net Rentable Area",G34/(G29*G$12),IF(dpUnit_Sales="Gross Building Area",G34/(G29*G$13),G34/(G29*G$14))),G35)))</f>
        <v>0</v>
      </c>
      <c r="H32" s="3505">
        <f>IF(AND(H33=0,H34=0,H35=0),0,IF(H33&lt;&gt;0,IF(Sales_AdjType="$ per Unit",H33*'Improved Sales Adjustments'!H29,H33),IF(H34&lt;&gt;0,IF(dpUnit_Sales="Net Rentable Area",H34/(H29*H$12),IF(dpUnit_Sales="Gross Building Area",H34/(H29*H$13),H34/(H29*H$14))),H35)))</f>
        <v>0</v>
      </c>
      <c r="I32" s="3506">
        <f>IF(AND(I33=0,I34=0,I35=0),0,IF(I33&lt;&gt;0,IF(Sales_AdjType="$ per Unit",I33*'Improved Sales Adjustments'!I29,I33),IF(I34&lt;&gt;0,IF(dpUnit_Sales="Net Rentable Area",I34/(I29*I$12),IF(dpUnit_Sales="Gross Building Area",I34/(I29*I$13),I34/(I29*I$14))),I35)))</f>
        <v>0</v>
      </c>
      <c r="J32" s="3506">
        <f>IF(AND(J33=0,J34=0,J35=0),0,IF(J33&lt;&gt;0,IF(Sales_AdjType="$ per Unit",J33*'Improved Sales Adjustments'!J29,J33),IF(J34&lt;&gt;0,IF(dpUnit_Sales="Net Rentable Area",J34/(J29*J$12),IF(dpUnit_Sales="Gross Building Area",J34/(J29*J$13),J34/(J29*J$14))),J35)))</f>
        <v>0</v>
      </c>
      <c r="K32" s="3507"/>
      <c r="L32" s="6"/>
    </row>
    <row r="33" spans="1:19" ht="15" hidden="1" customHeight="1" x14ac:dyDescent="0.25">
      <c r="A33" s="972">
        <v>0</v>
      </c>
      <c r="B33" s="16"/>
      <c r="C33" s="92"/>
      <c r="D33" s="3292"/>
      <c r="E33" s="258"/>
      <c r="F33" s="2022" t="s">
        <v>166</v>
      </c>
      <c r="G33" s="1793"/>
      <c r="H33" s="1793"/>
      <c r="I33" s="1955"/>
      <c r="J33" s="1955"/>
      <c r="K33" s="258"/>
      <c r="L33" s="6"/>
    </row>
    <row r="34" spans="1:19" ht="15" hidden="1" customHeight="1" x14ac:dyDescent="0.25">
      <c r="A34" s="972">
        <v>0</v>
      </c>
      <c r="B34" s="16"/>
      <c r="C34" s="92"/>
      <c r="D34" s="3292"/>
      <c r="E34" s="258"/>
      <c r="F34" s="2022" t="s">
        <v>167</v>
      </c>
      <c r="G34" s="1794"/>
      <c r="H34" s="1794"/>
      <c r="I34" s="1956"/>
      <c r="J34" s="1956"/>
      <c r="K34" s="258"/>
      <c r="L34" s="6"/>
    </row>
    <row r="35" spans="1:19" ht="15" hidden="1" customHeight="1" x14ac:dyDescent="0.25">
      <c r="A35" s="972">
        <v>0</v>
      </c>
      <c r="B35" s="16"/>
      <c r="C35" s="92"/>
      <c r="D35" s="3292"/>
      <c r="E35" s="258"/>
      <c r="F35" s="2022" t="s">
        <v>710</v>
      </c>
      <c r="G35" s="1791"/>
      <c r="H35" s="1791"/>
      <c r="I35" s="1953"/>
      <c r="J35" s="1953"/>
      <c r="K35" s="258"/>
      <c r="L35" s="6"/>
    </row>
    <row r="36" spans="1:19" ht="15" customHeight="1" x14ac:dyDescent="0.25">
      <c r="A36" s="972">
        <f>IF(Sales_AdjType="Qualitative",0,1)</f>
        <v>1</v>
      </c>
      <c r="B36" s="16"/>
      <c r="C36" s="92"/>
      <c r="D36" s="3504" t="s">
        <v>1364</v>
      </c>
      <c r="E36" s="258"/>
      <c r="F36" s="2022"/>
      <c r="G36" s="3810">
        <f t="shared" ref="G36:I36" si="12">IF(Sales_AdjType&lt;&gt;"$ per Unit",G29*(1+G32),IF(Sales_AdjType="$ per Unit",G29+G32,G32))</f>
        <v>110.36036036036036</v>
      </c>
      <c r="H36" s="3810">
        <f t="shared" si="12"/>
        <v>120.06657156443177</v>
      </c>
      <c r="I36" s="3811">
        <f t="shared" si="12"/>
        <v>153.18627450980392</v>
      </c>
      <c r="J36" s="3811">
        <f t="shared" ref="J36" si="13">IF(Sales_AdjType&lt;&gt;"$ per Unit",J29*(1+J32),IF(Sales_AdjType="$ per Unit",J29+J32,J32))</f>
        <v>163.4467053551752</v>
      </c>
      <c r="K36" s="258"/>
      <c r="L36" s="6"/>
    </row>
    <row r="37" spans="1:19" ht="8.1" customHeight="1" x14ac:dyDescent="0.25">
      <c r="A37" s="972">
        <v>1</v>
      </c>
      <c r="B37" s="16"/>
      <c r="C37" s="92"/>
      <c r="D37" s="3292"/>
      <c r="E37" s="258"/>
      <c r="F37" s="517"/>
      <c r="G37" s="3508" t="b">
        <f t="shared" ref="G37:I37" si="14">IF(Sales_AdjType="Qualitative",IF(G39="Inferior",-1,IF(G39="Superior",1,0)))</f>
        <v>0</v>
      </c>
      <c r="H37" s="3508" t="b">
        <f t="shared" si="14"/>
        <v>0</v>
      </c>
      <c r="I37" s="3509" t="b">
        <f t="shared" si="14"/>
        <v>0</v>
      </c>
      <c r="J37" s="3509" t="b">
        <f t="shared" ref="J37" si="15">IF(Sales_AdjType="Qualitative",IF(J39="Inferior",-1,IF(J39="Superior",1,0)))</f>
        <v>0</v>
      </c>
      <c r="K37" s="258"/>
      <c r="L37" s="6"/>
    </row>
    <row r="38" spans="1:19" ht="14.25" x14ac:dyDescent="0.25">
      <c r="A38" s="972">
        <v>1</v>
      </c>
      <c r="B38" s="16"/>
      <c r="C38" s="92"/>
      <c r="D38" s="1493" t="s">
        <v>284</v>
      </c>
      <c r="E38" s="258"/>
      <c r="F38" s="718" t="s">
        <v>175</v>
      </c>
      <c r="G38" s="1831" t="s">
        <v>175</v>
      </c>
      <c r="H38" s="1831" t="s">
        <v>175</v>
      </c>
      <c r="I38" s="1006" t="s">
        <v>175</v>
      </c>
      <c r="J38" s="1006" t="s">
        <v>175</v>
      </c>
      <c r="K38" s="2984"/>
      <c r="L38" s="6"/>
      <c r="Q38" s="10">
        <f>+Q29/H12</f>
        <v>8.9077403708987166</v>
      </c>
      <c r="S38" s="10">
        <f>11.43-3</f>
        <v>8.43</v>
      </c>
    </row>
    <row r="39" spans="1:19" ht="15" hidden="1" customHeight="1" x14ac:dyDescent="0.25">
      <c r="A39" s="972">
        <f>IF(SUM(Sales_ConditionsofSaleRange)=0,0,1)</f>
        <v>0</v>
      </c>
      <c r="B39" s="16"/>
      <c r="C39" s="92"/>
      <c r="D39" s="3504" t="s">
        <v>174</v>
      </c>
      <c r="E39" s="258"/>
      <c r="F39" s="517"/>
      <c r="G39" s="3505">
        <f>IF(AND(G40=0,G41=0,G42=0,G43=0),0,IF(G40&lt;&gt;0,IF(Sales_AdjType="$ per Unit",G40*'Improved Sales Adjustments'!G36,G40),IF(G43&lt;&gt;0,G43,IF(dpUnit_Sales="Net Rentable Area",(G41-G42)/(G36*G$12),IF(dpUnit_Sales="Gross Building Area",(G41-G42)/(G36*G$13),(G41-G42)/(G36*G$14))))))</f>
        <v>0</v>
      </c>
      <c r="H39" s="3505">
        <f>IF(AND(H40=0,H41=0,H42=0,H43=0),0,IF(H40&lt;&gt;0,IF(Sales_AdjType="$ per Unit",H40*'Improved Sales Adjustments'!H36,H40),IF(H43&lt;&gt;0,H43,IF(dpUnit_Sales="Net Rentable Area",(H41-H42)/(H36*H$12),IF(dpUnit_Sales="Gross Building Area",(H41-H42)/(H36*H$13),(H41-H42)/(H36*H$14))))))</f>
        <v>0</v>
      </c>
      <c r="I39" s="3506">
        <f>IF(AND(I40=0,I41=0,I42=0,I43=0),0,IF(I40&lt;&gt;0,IF(Sales_AdjType="$ per Unit",I40*'Improved Sales Adjustments'!I36,I40),IF(I43&lt;&gt;0,I43,IF(dpUnit_Sales="Net Rentable Area",(I41-I42)/(I36*I$12),IF(dpUnit_Sales="Gross Building Area",(I41-I42)/(I36*I$13),(I41-I42)/(I36*I$14))))))</f>
        <v>0</v>
      </c>
      <c r="J39" s="3506">
        <f>IF(AND(J40=0,J41=0,J42=0,J43=0),0,IF(J40&lt;&gt;0,IF(Sales_AdjType="$ per Unit",J40*'Improved Sales Adjustments'!J36,J40),IF(J43&lt;&gt;0,J43,IF(dpUnit_Sales="Net Rentable Area",(J41-J42)/(J36*J$12),IF(dpUnit_Sales="Gross Building Area",(J41-J42)/(J36*J$13),(J41-J42)/(J36*J$14))))))</f>
        <v>0</v>
      </c>
      <c r="K39" s="3507"/>
      <c r="L39" s="6"/>
    </row>
    <row r="40" spans="1:19" ht="15" hidden="1" customHeight="1" x14ac:dyDescent="0.25">
      <c r="A40" s="972">
        <v>0</v>
      </c>
      <c r="B40" s="16"/>
      <c r="C40" s="92"/>
      <c r="D40" s="3292"/>
      <c r="E40" s="258"/>
      <c r="F40" s="2022" t="s">
        <v>166</v>
      </c>
      <c r="G40" s="1793"/>
      <c r="H40" s="1793"/>
      <c r="I40" s="1955"/>
      <c r="J40" s="1955"/>
      <c r="K40" s="258"/>
      <c r="L40" s="6"/>
    </row>
    <row r="41" spans="1:19" ht="15" hidden="1" customHeight="1" x14ac:dyDescent="0.25">
      <c r="A41" s="972">
        <v>0</v>
      </c>
      <c r="B41" s="16"/>
      <c r="C41" s="92"/>
      <c r="D41" s="3292"/>
      <c r="E41" s="258"/>
      <c r="F41" s="2022" t="s">
        <v>167</v>
      </c>
      <c r="G41" s="1794"/>
      <c r="H41" s="1794"/>
      <c r="I41" s="1956"/>
      <c r="J41" s="1956"/>
      <c r="K41" s="258"/>
      <c r="L41" s="6"/>
    </row>
    <row r="42" spans="1:19" ht="15" hidden="1" customHeight="1" x14ac:dyDescent="0.25">
      <c r="A42" s="972">
        <v>0</v>
      </c>
      <c r="B42" s="16"/>
      <c r="C42" s="92"/>
      <c r="D42" s="3292"/>
      <c r="E42" s="258"/>
      <c r="F42" s="2022" t="s">
        <v>1066</v>
      </c>
      <c r="G42" s="1794"/>
      <c r="H42" s="1794"/>
      <c r="I42" s="1956"/>
      <c r="J42" s="1956"/>
      <c r="K42" s="258"/>
      <c r="L42" s="6"/>
    </row>
    <row r="43" spans="1:19" ht="15" hidden="1" customHeight="1" x14ac:dyDescent="0.25">
      <c r="A43" s="972">
        <v>0</v>
      </c>
      <c r="B43" s="16"/>
      <c r="C43" s="92"/>
      <c r="D43" s="3292"/>
      <c r="E43" s="258"/>
      <c r="F43" s="2022" t="s">
        <v>710</v>
      </c>
      <c r="G43" s="1791"/>
      <c r="H43" s="1791"/>
      <c r="I43" s="1953"/>
      <c r="J43" s="1953"/>
      <c r="K43" s="258"/>
      <c r="L43" s="6"/>
    </row>
    <row r="44" spans="1:19" ht="15" customHeight="1" x14ac:dyDescent="0.25">
      <c r="A44" s="972">
        <f>IF(Sales_AdjType="Qualitative",0,1)</f>
        <v>1</v>
      </c>
      <c r="B44" s="16"/>
      <c r="C44" s="92"/>
      <c r="D44" s="3504" t="s">
        <v>1364</v>
      </c>
      <c r="E44" s="258"/>
      <c r="F44" s="2022"/>
      <c r="G44" s="3810">
        <f t="shared" ref="G44:I44" si="16">IF(Sales_AdjType&lt;&gt;"$ per Unit",G36*(1+G39),IF(Sales_AdjType="$ per Unit",G36+G39,G39))</f>
        <v>110.36036036036036</v>
      </c>
      <c r="H44" s="3810">
        <f t="shared" si="16"/>
        <v>120.06657156443177</v>
      </c>
      <c r="I44" s="3811">
        <f t="shared" si="16"/>
        <v>153.18627450980392</v>
      </c>
      <c r="J44" s="3811">
        <f t="shared" ref="J44" si="17">IF(Sales_AdjType&lt;&gt;"$ per Unit",J36*(1+J39),IF(Sales_AdjType="$ per Unit",J36+J39,J39))</f>
        <v>163.4467053551752</v>
      </c>
      <c r="K44" s="258"/>
      <c r="L44" s="6"/>
      <c r="S44" s="10">
        <f>+S38*43560</f>
        <v>367210.8</v>
      </c>
    </row>
    <row r="45" spans="1:19" ht="8.1" customHeight="1" x14ac:dyDescent="0.25">
      <c r="A45" s="972">
        <v>1</v>
      </c>
      <c r="B45" s="16"/>
      <c r="C45" s="92"/>
      <c r="D45" s="3292"/>
      <c r="E45" s="258"/>
      <c r="F45" s="517"/>
      <c r="G45" s="3508" t="b">
        <f t="shared" ref="G45:I45" si="18">IF(Sales_AdjType="Qualitative",IF(G47="Inferior",-1,IF(G47="Superior",1,0)))</f>
        <v>0</v>
      </c>
      <c r="H45" s="3508" t="b">
        <f t="shared" si="18"/>
        <v>0</v>
      </c>
      <c r="I45" s="3509" t="b">
        <f t="shared" si="18"/>
        <v>0</v>
      </c>
      <c r="J45" s="3509" t="b">
        <f t="shared" ref="J45" si="19">IF(Sales_AdjType="Qualitative",IF(J47="Inferior",-1,IF(J47="Superior",1,0)))</f>
        <v>0</v>
      </c>
      <c r="K45" s="258"/>
      <c r="L45" s="6"/>
    </row>
    <row r="46" spans="1:19" ht="14.25" x14ac:dyDescent="0.25">
      <c r="A46" s="972">
        <v>1</v>
      </c>
      <c r="B46" s="16"/>
      <c r="C46" s="92"/>
      <c r="D46" s="1493" t="s">
        <v>264</v>
      </c>
      <c r="E46" s="258"/>
      <c r="F46" s="517"/>
      <c r="G46" s="3812">
        <v>0</v>
      </c>
      <c r="H46" s="3812">
        <v>0</v>
      </c>
      <c r="I46" s="3813">
        <v>0</v>
      </c>
      <c r="J46" s="3813">
        <v>0</v>
      </c>
      <c r="K46" s="3288"/>
      <c r="L46" s="6"/>
    </row>
    <row r="47" spans="1:19" ht="15" customHeight="1" x14ac:dyDescent="0.25">
      <c r="A47" s="972">
        <v>1</v>
      </c>
      <c r="B47" s="16"/>
      <c r="C47" s="92"/>
      <c r="D47" s="3504" t="s">
        <v>174</v>
      </c>
      <c r="E47" s="258"/>
      <c r="F47" s="517"/>
      <c r="G47" s="3814">
        <f t="shared" ref="G47:I47" si="20">IF(Sales_AdjType&lt;&gt;"$ per Unit",IF(dpUnit_Sales="Net Rentable Area",G46/(G12*G44),IF(dpUnit_Sales="Gross Building Area",G46/(G13*G44),G46/(G14*G44))),IF(Sales_AdjType="$ per Unit",IF(dpUnit_Sales="Net Rentable Area",G46/G$12,G46/G$13)))</f>
        <v>0</v>
      </c>
      <c r="H47" s="3814">
        <f t="shared" si="20"/>
        <v>0</v>
      </c>
      <c r="I47" s="3815">
        <f t="shared" si="20"/>
        <v>0</v>
      </c>
      <c r="J47" s="3815">
        <f t="shared" ref="J47" si="21">IF(Sales_AdjType&lt;&gt;"$ per Unit",IF(dpUnit_Sales="Net Rentable Area",J46/(J12*J44),IF(dpUnit_Sales="Gross Building Area",J46/(J13*J44),J46/(J14*J44))),IF(Sales_AdjType="$ per Unit",IF(dpUnit_Sales="Net Rentable Area",J46/J$12,J46/J$13)))</f>
        <v>0</v>
      </c>
      <c r="K47" s="3286"/>
      <c r="L47" s="6"/>
    </row>
    <row r="48" spans="1:19" ht="15" customHeight="1" x14ac:dyDescent="0.25">
      <c r="A48" s="972">
        <f>IF(Sales_AdjType="Qualitative",0,1)</f>
        <v>1</v>
      </c>
      <c r="B48" s="16"/>
      <c r="C48" s="92"/>
      <c r="D48" s="3510" t="s">
        <v>1364</v>
      </c>
      <c r="E48" s="258"/>
      <c r="F48" s="517"/>
      <c r="G48" s="3816">
        <f t="shared" ref="G48:I48" si="22">IF(Sales_AdjType&lt;&gt;"$ per Unit",G44*(1+G47),IF(Sales_AdjType="$ per Unit",G44+G47))</f>
        <v>110.36036036036036</v>
      </c>
      <c r="H48" s="3816">
        <f t="shared" si="22"/>
        <v>120.06657156443177</v>
      </c>
      <c r="I48" s="3817">
        <f t="shared" si="22"/>
        <v>153.18627450980392</v>
      </c>
      <c r="J48" s="3817">
        <f t="shared" ref="J48" si="23">IF(Sales_AdjType&lt;&gt;"$ per Unit",J44*(1+J47),IF(Sales_AdjType="$ per Unit",J44+J47))</f>
        <v>163.4467053551752</v>
      </c>
      <c r="K48" s="258"/>
      <c r="L48" s="6"/>
      <c r="S48" s="10">
        <f>+S44*3</f>
        <v>1101632.3999999999</v>
      </c>
    </row>
    <row r="49" spans="1:20" ht="5.0999999999999996" hidden="1" customHeight="1" x14ac:dyDescent="0.25">
      <c r="A49" s="972"/>
      <c r="B49" s="16"/>
      <c r="C49" s="92"/>
      <c r="D49" s="3292"/>
      <c r="E49" s="258"/>
      <c r="F49" s="258"/>
      <c r="G49" s="3508" t="b">
        <f t="shared" ref="G49:I49" si="24">IF(Sales_AdjType="Qualitative",IF(G54="Inferior",-1,IF(G54="Superior",1,0)))</f>
        <v>0</v>
      </c>
      <c r="H49" s="3508" t="b">
        <f t="shared" si="24"/>
        <v>0</v>
      </c>
      <c r="I49" s="3509" t="b">
        <f t="shared" si="24"/>
        <v>0</v>
      </c>
      <c r="J49" s="3509" t="b">
        <f t="shared" ref="J49" si="25">IF(Sales_AdjType="Qualitative",IF(J54="Inferior",-1,IF(J54="Superior",1,0)))</f>
        <v>0</v>
      </c>
      <c r="K49" s="258"/>
      <c r="L49" s="6"/>
    </row>
    <row r="50" spans="1:20" ht="15" customHeight="1" x14ac:dyDescent="0.25">
      <c r="A50" s="972">
        <v>1</v>
      </c>
      <c r="B50" s="16"/>
      <c r="C50" s="92"/>
      <c r="D50" s="3268" t="s">
        <v>162</v>
      </c>
      <c r="E50" s="258"/>
      <c r="F50" s="258"/>
      <c r="G50" s="3792"/>
      <c r="H50" s="3792"/>
      <c r="I50" s="3793"/>
      <c r="J50" s="3793"/>
      <c r="K50" s="258"/>
      <c r="L50" s="6"/>
      <c r="Q50" s="4093" t="s">
        <v>944</v>
      </c>
      <c r="R50" s="290"/>
    </row>
    <row r="51" spans="1:20" ht="15" customHeight="1" thickBot="1" x14ac:dyDescent="0.3">
      <c r="A51" s="972">
        <v>1</v>
      </c>
      <c r="B51" s="16"/>
      <c r="C51" s="92"/>
      <c r="D51" s="1493" t="s">
        <v>171</v>
      </c>
      <c r="E51" s="258"/>
      <c r="F51" s="2984"/>
      <c r="G51" s="3511">
        <f t="shared" ref="G51:I51" si="26">IF(ISERR((dpSale_DOV-G10)/365),0,(dpSale_DOV-G10)/365)</f>
        <v>1.5397260273972602</v>
      </c>
      <c r="H51" s="3511">
        <f t="shared" si="26"/>
        <v>3.5397260273972604</v>
      </c>
      <c r="I51" s="3512">
        <f t="shared" si="26"/>
        <v>4.1671232876712327</v>
      </c>
      <c r="J51" s="3512">
        <f t="shared" ref="J51" si="27">IF(ISERR((dpSale_DOV-J10)/365),0,(dpSale_DOV-J10)/365)</f>
        <v>0.94794520547945205</v>
      </c>
      <c r="K51" s="258"/>
      <c r="L51" s="6"/>
      <c r="Q51" s="4114"/>
      <c r="R51" s="290"/>
    </row>
    <row r="52" spans="1:20" ht="15" customHeight="1" x14ac:dyDescent="0.25">
      <c r="A52" s="972">
        <v>1</v>
      </c>
      <c r="B52" s="16"/>
      <c r="C52" s="92"/>
      <c r="D52" s="3504" t="s">
        <v>172</v>
      </c>
      <c r="E52" s="258"/>
      <c r="F52" s="3254">
        <f>dpSale_DOV</f>
        <v>45473</v>
      </c>
      <c r="G52" s="3505">
        <f t="shared" ref="G52:J52" si="28">IF(dpSales_MktCondDate1="",0,IF(ISERR(IF(AND(dpSales_MktCondDate2&lt;&gt;"",G$10&gt;dpSales_MktCondDate1),0,(dpSales_MktCondAdj1*((dpSales_MktCondDate1-G$10)/365)))),0,IF(AND(dpSales_MktCondDate2&lt;&gt;"",G$10&gt;dpSales_MktCondDate1),0,(dpSales_MktCondAdj1*((dpSales_MktCondDate1-G$10)/365)))))</f>
        <v>4.6191780821917806E-2</v>
      </c>
      <c r="H52" s="3505">
        <f t="shared" si="28"/>
        <v>0.10619178082191781</v>
      </c>
      <c r="I52" s="3506">
        <f t="shared" si="28"/>
        <v>0.12501369863013698</v>
      </c>
      <c r="J52" s="3506">
        <f t="shared" si="28"/>
        <v>2.843835616438356E-2</v>
      </c>
      <c r="K52" s="258"/>
      <c r="L52" s="6"/>
      <c r="Q52" s="573">
        <v>0.03</v>
      </c>
    </row>
    <row r="53" spans="1:20" ht="15" hidden="1" customHeight="1" thickBot="1" x14ac:dyDescent="0.3">
      <c r="A53" s="972">
        <f>IF(dpSales_MktCondDate2="",0,1)</f>
        <v>0</v>
      </c>
      <c r="B53" s="16"/>
      <c r="C53" s="92"/>
      <c r="D53" s="3504" t="s">
        <v>173</v>
      </c>
      <c r="E53" s="258"/>
      <c r="F53" s="3254"/>
      <c r="G53" s="3505">
        <f t="shared" ref="G53:J53" si="29">IF(dpSales_MktCondDate2="",0,IF(ISERR(IF(AND(G$10&lt;dpSale_DOV,G$10&gt;dpSales_MktCondDate1),dpSales_MktCondAdj2*((dpSale_DOV-G$10)/365),IF(G$10&lt;dpSale_DOV,dpSales_MktCondAdj2*((dpSale_DOV-dpSales_MktCondDate1)/365),dpSales_MktCondAdj2*((dpSale_DOV-G$10)/365)))),0,IF(AND(G$10&lt;dpSale_DOV,G$10&gt;dpSales_MktCondDate1),dpSales_MktCondAdj2*((dpSale_DOV-G$10)/365),IF(G$10&lt;dpSale_DOV,dpSales_MktCondAdj2*((dpSale_DOV-dpSales_MktCondDate1)/365),dpSales_MktCondAdj2*((dpSale_DOV-G$10)/365)))))</f>
        <v>0</v>
      </c>
      <c r="H53" s="3505">
        <f t="shared" si="29"/>
        <v>0</v>
      </c>
      <c r="I53" s="3506">
        <f t="shared" si="29"/>
        <v>0</v>
      </c>
      <c r="J53" s="3506">
        <f t="shared" si="29"/>
        <v>0</v>
      </c>
      <c r="K53" s="258"/>
      <c r="L53" s="6"/>
      <c r="Q53" s="574"/>
      <c r="R53" s="12" t="s">
        <v>158</v>
      </c>
    </row>
    <row r="54" spans="1:20" ht="15" customHeight="1" x14ac:dyDescent="0.25">
      <c r="A54" s="972">
        <v>1</v>
      </c>
      <c r="B54" s="16"/>
      <c r="C54" s="92"/>
      <c r="D54" s="3227" t="s">
        <v>1371</v>
      </c>
      <c r="E54" s="258"/>
      <c r="F54" s="2984"/>
      <c r="G54" s="3513">
        <f t="shared" ref="G54:I54" si="30">G48*(1+G52)*(1+G53)</f>
        <v>115.45810193755401</v>
      </c>
      <c r="H54" s="3513">
        <f t="shared" si="30"/>
        <v>132.81665461604101</v>
      </c>
      <c r="I54" s="3514">
        <f t="shared" si="30"/>
        <v>172.33665726564598</v>
      </c>
      <c r="J54" s="3514">
        <f t="shared" ref="J54" si="31">J48*(1+J52)*(1+J53)</f>
        <v>168.09486097596073</v>
      </c>
      <c r="K54" s="258"/>
      <c r="L54" s="6"/>
    </row>
    <row r="55" spans="1:20" ht="5.0999999999999996" customHeight="1" x14ac:dyDescent="0.25">
      <c r="A55" s="972">
        <v>1</v>
      </c>
      <c r="B55" s="16"/>
      <c r="C55" s="92"/>
      <c r="D55" s="3292"/>
      <c r="E55" s="258"/>
      <c r="F55" s="258"/>
      <c r="G55" s="3515">
        <f t="shared" ref="G55:I55" si="32">IF(AND(G60=0,G61=0,G62=0),0,IF(G60&lt;&gt;0,G60,IF(G59&lt;&gt;0,IF(dpUnit_Sales="Net Rentable Area",(G61/G$12)/G$54,(G61/G$13)/G$54),IF(dpUnit_Sales="Net Rentable Area",G62/G$54,G62/G$54))))</f>
        <v>0</v>
      </c>
      <c r="H55" s="3515">
        <f t="shared" si="32"/>
        <v>0</v>
      </c>
      <c r="I55" s="3516">
        <f t="shared" si="32"/>
        <v>0</v>
      </c>
      <c r="J55" s="3516">
        <f t="shared" ref="J55" si="33">IF(AND(J60=0,J61=0,J62=0),0,IF(J60&lt;&gt;0,J60,IF(J59&lt;&gt;0,IF(dpUnit_Sales="Net Rentable Area",(J61/J$12)/J$54,(J61/J$13)/J$54),IF(dpUnit_Sales="Net Rentable Area",J62/J$54,J62/J$54))))</f>
        <v>0</v>
      </c>
      <c r="K55" s="258"/>
      <c r="L55" s="6"/>
    </row>
    <row r="56" spans="1:20" ht="15" customHeight="1" x14ac:dyDescent="0.25">
      <c r="A56" s="972">
        <v>1</v>
      </c>
      <c r="B56" s="16"/>
      <c r="C56" s="92"/>
      <c r="D56" s="3268" t="s">
        <v>312</v>
      </c>
      <c r="E56" s="258"/>
      <c r="F56" s="258"/>
      <c r="G56" s="3792"/>
      <c r="H56" s="3792"/>
      <c r="I56" s="3793"/>
      <c r="J56" s="3793"/>
      <c r="K56" s="258"/>
      <c r="L56" s="6"/>
    </row>
    <row r="57" spans="1:20" ht="28.5" x14ac:dyDescent="0.25">
      <c r="A57" s="972">
        <f>A59</f>
        <v>1</v>
      </c>
      <c r="B57" s="16"/>
      <c r="C57" s="742"/>
      <c r="D57" s="1493" t="s">
        <v>95</v>
      </c>
      <c r="E57" s="2984"/>
      <c r="F57" s="1665" t="s">
        <v>20072</v>
      </c>
      <c r="G57" s="1831" t="s">
        <v>20077</v>
      </c>
      <c r="H57" s="1831" t="s">
        <v>20079</v>
      </c>
      <c r="I57" s="1006" t="s">
        <v>20080</v>
      </c>
      <c r="J57" s="1006" t="s">
        <v>20081</v>
      </c>
      <c r="K57" s="258"/>
      <c r="L57" s="6"/>
    </row>
    <row r="58" spans="1:20" ht="14.25" x14ac:dyDescent="0.25">
      <c r="A58" s="972">
        <f>A59</f>
        <v>1</v>
      </c>
      <c r="B58" s="16"/>
      <c r="C58" s="742"/>
      <c r="D58" s="3283"/>
      <c r="E58" s="2984"/>
      <c r="F58" s="3314" t="s">
        <v>19964</v>
      </c>
      <c r="G58" s="1831" t="s">
        <v>20078</v>
      </c>
      <c r="H58" s="1831" t="s">
        <v>19964</v>
      </c>
      <c r="I58" s="1006" t="s">
        <v>20024</v>
      </c>
      <c r="J58" s="1006" t="s">
        <v>19964</v>
      </c>
      <c r="K58" s="258"/>
      <c r="L58" s="6"/>
    </row>
    <row r="59" spans="1:20" ht="15" customHeight="1" x14ac:dyDescent="0.25">
      <c r="A59" s="972">
        <f>IF(AND(B59=TRUE,dpSale_Method="Whole Property"),1,2)</f>
        <v>1</v>
      </c>
      <c r="B59" s="16" t="b">
        <v>1</v>
      </c>
      <c r="C59" s="92"/>
      <c r="D59" s="3504" t="str">
        <f>IF(Sales_AdjType&lt;&gt;"Qualitative","Adjustment","Relative Comparison")</f>
        <v>Adjustment</v>
      </c>
      <c r="E59" s="2984"/>
      <c r="F59" s="2984"/>
      <c r="G59" s="3505">
        <f t="shared" ref="G59:I59" si="34">IF(Sales_AdjType="Percent",IF(AND(G60=0,G61=0,G62=0),0,IF(G60&lt;&gt;0,G60,IF(G61&lt;&gt;0,IF(dpUnit_Sales="Net Rentable Area",(G61/G$12)/G$54,(G61/G$13)/G$54),IF(dpUnit_Sales="Net Rentable Area",G62/G$54,G62/G$54)))),IF(Sales_AdjType="$ per Unit",IF(AND(G60=0,G61=0,G62=0),0,IF(G60&lt;&gt;0,G60*G$54,IF(G61&lt;&gt;0,IF(dpUnit_Sales="Net Rentable Area",G61/G$12,G61/G$13),G62))),IF(OR(G60&gt;0,G61&gt;0,G62&gt;0),"Inferior",IF(OR(G60&lt;0,G61&lt;0,G62&lt;0),"Superior","Similar"))))</f>
        <v>0</v>
      </c>
      <c r="H59" s="3505">
        <f t="shared" si="34"/>
        <v>0</v>
      </c>
      <c r="I59" s="3506">
        <f t="shared" si="34"/>
        <v>0</v>
      </c>
      <c r="J59" s="3506">
        <f t="shared" ref="J59" si="35">IF(Sales_AdjType="Percent",IF(AND(J60=0,J61=0,J62=0),0,IF(J60&lt;&gt;0,J60,IF(J61&lt;&gt;0,IF(dpUnit_Sales="Net Rentable Area",(J61/J$12)/J$54,(J61/J$13)/J$54),IF(dpUnit_Sales="Net Rentable Area",J62/J$54,J62/J$54)))),IF(Sales_AdjType="$ per Unit",IF(AND(J60=0,J61=0,J62=0),0,IF(J60&lt;&gt;0,J60*J$54,IF(J61&lt;&gt;0,IF(dpUnit_Sales="Net Rentable Area",J61/J$12,J61/J$13),J62))),IF(OR(J60&gt;0,J61&gt;0,J62&gt;0),"Inferior",IF(OR(J60&lt;0,J61&lt;0,J62&lt;0),"Superior","Similar"))))</f>
        <v>0</v>
      </c>
      <c r="K59" s="3507"/>
      <c r="L59" s="6"/>
    </row>
    <row r="60" spans="1:20" ht="15" hidden="1" customHeight="1" x14ac:dyDescent="0.25">
      <c r="A60" s="972">
        <f>IF(A59=2,2,0)</f>
        <v>0</v>
      </c>
      <c r="B60" s="575"/>
      <c r="C60" s="92"/>
      <c r="D60" s="3283"/>
      <c r="E60" s="2984"/>
      <c r="F60" s="2022" t="s">
        <v>166</v>
      </c>
      <c r="G60" s="1793"/>
      <c r="H60" s="1793"/>
      <c r="I60" s="1955"/>
      <c r="J60" s="1955"/>
      <c r="K60" s="775"/>
      <c r="L60" s="6"/>
    </row>
    <row r="61" spans="1:20" ht="15" hidden="1" customHeight="1" x14ac:dyDescent="0.25">
      <c r="A61" s="972">
        <f>IF(A60=2,2,0)</f>
        <v>0</v>
      </c>
      <c r="B61" s="575"/>
      <c r="C61" s="92"/>
      <c r="D61" s="3283"/>
      <c r="E61" s="2984"/>
      <c r="F61" s="2022" t="s">
        <v>167</v>
      </c>
      <c r="G61" s="1794"/>
      <c r="H61" s="1794"/>
      <c r="I61" s="1956"/>
      <c r="J61" s="1956"/>
      <c r="K61" s="3288"/>
      <c r="L61" s="6"/>
    </row>
    <row r="62" spans="1:20" ht="15" hidden="1" customHeight="1" x14ac:dyDescent="0.25">
      <c r="A62" s="972">
        <f>IF(A61=2,2,0)</f>
        <v>0</v>
      </c>
      <c r="B62" s="575"/>
      <c r="C62" s="92"/>
      <c r="D62" s="3283"/>
      <c r="E62" s="2984"/>
      <c r="F62" s="2022" t="s">
        <v>710</v>
      </c>
      <c r="G62" s="1791"/>
      <c r="H62" s="1791"/>
      <c r="I62" s="1953"/>
      <c r="J62" s="1953"/>
      <c r="K62" s="3289"/>
      <c r="L62" s="6"/>
    </row>
    <row r="63" spans="1:20" ht="8.1" customHeight="1" x14ac:dyDescent="0.25">
      <c r="A63" s="972">
        <f>A65</f>
        <v>1</v>
      </c>
      <c r="B63" s="16"/>
      <c r="C63" s="92"/>
      <c r="D63" s="3283"/>
      <c r="E63" s="2984"/>
      <c r="F63" s="2984"/>
      <c r="G63" s="3515">
        <f t="shared" ref="G63:I63" si="36">IF(AND(G66=0,G67=0,G68=0),0,IF(G66&lt;&gt;0,G66,IF(G67&lt;&gt;0,IF(dpUnit_Sales="Net Rentable Area",(G67/G$12)/G$54,(G67/G$13)/G$54),IF(dpUnit_Sales="Net Rentable Area",G68/G$54,G68/G$54))))</f>
        <v>0</v>
      </c>
      <c r="H63" s="3515">
        <f t="shared" si="36"/>
        <v>0</v>
      </c>
      <c r="I63" s="3516">
        <f t="shared" si="36"/>
        <v>-0.1</v>
      </c>
      <c r="J63" s="3516">
        <f t="shared" ref="J63" si="37">IF(AND(J66=0,J67=0,J68=0),0,IF(J66&lt;&gt;0,J66,IF(J67&lt;&gt;0,IF(dpUnit_Sales="Net Rentable Area",(J67/J$12)/J$54,(J67/J$13)/J$54),IF(dpUnit_Sales="Net Rentable Area",J68/J$54,J68/J$54))))</f>
        <v>-0.1</v>
      </c>
      <c r="K63" s="258"/>
      <c r="L63" s="6"/>
    </row>
    <row r="64" spans="1:20" ht="14.25" x14ac:dyDescent="0.25">
      <c r="A64" s="972">
        <f>A65</f>
        <v>1</v>
      </c>
      <c r="B64" s="16"/>
      <c r="C64" s="92"/>
      <c r="D64" s="1493" t="s">
        <v>96</v>
      </c>
      <c r="E64" s="2984"/>
      <c r="F64" s="3818">
        <f>+F12</f>
        <v>34442</v>
      </c>
      <c r="G64" s="3819">
        <f t="shared" ref="G64:I64" si="38">IF(dpUnit_Sales="Net Rentable Area",G12,IF(dpUnit_Sales="Gross Building Area",G13,G14))</f>
        <v>22200</v>
      </c>
      <c r="H64" s="3819">
        <f t="shared" si="38"/>
        <v>42060</v>
      </c>
      <c r="I64" s="3820">
        <f t="shared" si="38"/>
        <v>16320</v>
      </c>
      <c r="J64" s="3820">
        <f t="shared" ref="J64" si="39">IF(dpUnit_Sales="Net Rentable Area",J12,IF(dpUnit_Sales="Gross Building Area",J13,J14))</f>
        <v>13613</v>
      </c>
      <c r="K64" s="258"/>
      <c r="L64" s="6"/>
      <c r="Q64" s="150" t="s">
        <v>1186</v>
      </c>
      <c r="T64" s="10">
        <f>9.33*43560</f>
        <v>406414.8</v>
      </c>
    </row>
    <row r="65" spans="1:20" ht="15" customHeight="1" x14ac:dyDescent="0.25">
      <c r="A65" s="972">
        <f>IF(B65=TRUE,1,2)</f>
        <v>1</v>
      </c>
      <c r="B65" s="16" t="b">
        <v>1</v>
      </c>
      <c r="C65" s="92"/>
      <c r="D65" s="3504" t="str">
        <f>IF(Sales_AdjType&lt;&gt;"Qualitative","Adjustment","Relative Comparison")</f>
        <v>Adjustment</v>
      </c>
      <c r="E65" s="2984"/>
      <c r="F65" s="2984"/>
      <c r="G65" s="3505">
        <f t="shared" ref="G65:I65" si="40">IF(Sales_AdjType="Percent",IF(AND(G66=0,G67=0,G68=0),0,IF(G66&lt;&gt;0,G66,IF(G67&lt;&gt;0,IF(dpUnit_Sales="Net Rentable Area",(G67/G$12)/G$54,(G67/G$13)/G$54),IF(dpUnit_Sales="Net Rentable Area",G68/G$54,G68/G$54)))),IF(Sales_AdjType="$ per Unit",IF(AND(G66=0,G67=0,G68=0),0,IF(G66&lt;&gt;0,G66*G$54,IF(G67&lt;&gt;0,IF(dpUnit_Sales="Net Rentable Area",G67/G$12,G67/G$13),G68))),IF(OR(G66&gt;0,G67&gt;0,G68&gt;0),"Inferior",IF(OR(G66&lt;0,G67&lt;0,G68&lt;0),"Superior","Similar"))))</f>
        <v>0</v>
      </c>
      <c r="H65" s="3505">
        <f t="shared" si="40"/>
        <v>0</v>
      </c>
      <c r="I65" s="3506">
        <f t="shared" si="40"/>
        <v>-0.1</v>
      </c>
      <c r="J65" s="3506">
        <f t="shared" ref="J65" si="41">IF(Sales_AdjType="Percent",IF(AND(J66=0,J67=0,J68=0),0,IF(J66&lt;&gt;0,J66,IF(J67&lt;&gt;0,IF(dpUnit_Sales="Net Rentable Area",(J67/J$12)/J$54,(J67/J$13)/J$54),IF(dpUnit_Sales="Net Rentable Area",J68/J$54,J68/J$54)))),IF(Sales_AdjType="$ per Unit",IF(AND(J66=0,J67=0,J68=0),0,IF(J66&lt;&gt;0,J66*J$54,IF(J67&lt;&gt;0,IF(dpUnit_Sales="Net Rentable Area",J67/J$12,J67/J$13),J68))),IF(OR(J66&gt;0,J67&gt;0,J68&gt;0),"Inferior",IF(OR(J66&lt;0,J67&lt;0,J68&lt;0),"Superior","Similar"))))</f>
        <v>-0.1</v>
      </c>
      <c r="K65" s="3507"/>
      <c r="L65" s="6"/>
      <c r="Q65" s="150" t="s">
        <v>1187</v>
      </c>
      <c r="T65" s="10">
        <f>+T64/157501</f>
        <v>2.5803950451108246</v>
      </c>
    </row>
    <row r="66" spans="1:20" ht="15" hidden="1" customHeight="1" thickBot="1" x14ac:dyDescent="0.3">
      <c r="A66" s="972">
        <f>IF(A65=2,2,0)</f>
        <v>0</v>
      </c>
      <c r="B66" s="575"/>
      <c r="C66" s="92"/>
      <c r="D66" s="3283"/>
      <c r="E66" s="2984"/>
      <c r="F66" s="2022" t="s">
        <v>166</v>
      </c>
      <c r="G66" s="1793"/>
      <c r="H66" s="1793"/>
      <c r="I66" s="1955">
        <v>-0.1</v>
      </c>
      <c r="J66" s="1955">
        <v>-0.1</v>
      </c>
      <c r="K66" s="775"/>
      <c r="L66" s="6"/>
      <c r="Q66" s="914"/>
    </row>
    <row r="67" spans="1:20" ht="15" hidden="1" customHeight="1" x14ac:dyDescent="0.25">
      <c r="A67" s="972">
        <f>IF(A66=2,2,0)</f>
        <v>0</v>
      </c>
      <c r="B67" s="575"/>
      <c r="C67" s="92"/>
      <c r="D67" s="3283"/>
      <c r="E67" s="2984"/>
      <c r="F67" s="2022" t="s">
        <v>167</v>
      </c>
      <c r="G67" s="1794"/>
      <c r="H67" s="1794"/>
      <c r="I67" s="1956"/>
      <c r="J67" s="1956"/>
      <c r="K67" s="3288"/>
      <c r="L67" s="6"/>
      <c r="Q67" s="150" t="s">
        <v>1188</v>
      </c>
    </row>
    <row r="68" spans="1:20" ht="15" hidden="1" customHeight="1" x14ac:dyDescent="0.25">
      <c r="A68" s="972">
        <f>IF(A67=2,2,0)</f>
        <v>0</v>
      </c>
      <c r="B68" s="575"/>
      <c r="C68" s="92"/>
      <c r="D68" s="3283"/>
      <c r="E68" s="2984"/>
      <c r="F68" s="2022" t="s">
        <v>710</v>
      </c>
      <c r="G68" s="1791"/>
      <c r="H68" s="1791"/>
      <c r="I68" s="1953"/>
      <c r="J68" s="1953"/>
      <c r="K68" s="3289"/>
      <c r="L68" s="6"/>
    </row>
    <row r="69" spans="1:20" ht="8.1" customHeight="1" x14ac:dyDescent="0.25">
      <c r="A69" s="972">
        <f>A77</f>
        <v>1</v>
      </c>
      <c r="B69" s="16"/>
      <c r="C69" s="92"/>
      <c r="D69" s="3283"/>
      <c r="E69" s="2984"/>
      <c r="F69" s="2984"/>
      <c r="G69" s="3515">
        <f t="shared" ref="G69:I69" si="42">IF(AND(G78=0,G79=0,G80=0),0,IF(G78&lt;&gt;0,G78,IF(G79&lt;&gt;0,IF(dpUnit_Sales="Net Rentable Area",(G79/G$12)/G$54,(G79/G$13)/G$54),IF(dpUnit_Sales="Net Rentable Area",G80/G$54,G80/G$54))))</f>
        <v>0</v>
      </c>
      <c r="H69" s="3515">
        <f t="shared" si="42"/>
        <v>0</v>
      </c>
      <c r="I69" s="3516">
        <f t="shared" si="42"/>
        <v>0</v>
      </c>
      <c r="J69" s="3516">
        <f t="shared" ref="J69" si="43">IF(AND(J78=0,J79=0,J80=0),0,IF(J78&lt;&gt;0,J78,IF(J79&lt;&gt;0,IF(dpUnit_Sales="Net Rentable Area",(J79/J$12)/J$54,(J79/J$13)/J$54),IF(dpUnit_Sales="Net Rentable Area",J80/J$54,J80/J$54))))</f>
        <v>0</v>
      </c>
      <c r="K69" s="258"/>
      <c r="L69" s="6"/>
    </row>
    <row r="70" spans="1:20" ht="14.25" x14ac:dyDescent="0.25">
      <c r="A70" s="972">
        <f>A77</f>
        <v>1</v>
      </c>
      <c r="B70" s="16"/>
      <c r="C70" s="92"/>
      <c r="D70" s="1493" t="s">
        <v>294</v>
      </c>
      <c r="E70" s="2022" t="s">
        <v>10</v>
      </c>
      <c r="F70" s="1741">
        <v>1988</v>
      </c>
      <c r="G70" s="1831">
        <v>1978</v>
      </c>
      <c r="H70" s="1831">
        <v>1974</v>
      </c>
      <c r="I70" s="1006">
        <v>1966</v>
      </c>
      <c r="J70" s="1006">
        <v>1972</v>
      </c>
      <c r="K70" s="258"/>
      <c r="L70" s="6"/>
    </row>
    <row r="71" spans="1:20" ht="14.25" hidden="1" x14ac:dyDescent="0.25">
      <c r="A71" s="972">
        <f>IF(A77=2,2,0)</f>
        <v>0</v>
      </c>
      <c r="B71" s="16"/>
      <c r="C71" s="92"/>
      <c r="D71" s="3283"/>
      <c r="E71" s="2022" t="s">
        <v>10</v>
      </c>
      <c r="F71" s="1742">
        <f>Subject_Year_Built</f>
        <v>2021</v>
      </c>
      <c r="G71" s="3501">
        <v>2001</v>
      </c>
      <c r="H71" s="3501">
        <v>2008</v>
      </c>
      <c r="I71" s="3502">
        <v>1999</v>
      </c>
      <c r="J71" s="3502">
        <v>2014</v>
      </c>
      <c r="K71" s="258"/>
      <c r="L71" s="6"/>
    </row>
    <row r="72" spans="1:20" ht="14.25" hidden="1" x14ac:dyDescent="0.25">
      <c r="A72" s="972">
        <f>IF(A77=2,2,0)</f>
        <v>0</v>
      </c>
      <c r="B72" s="16"/>
      <c r="C72" s="92"/>
      <c r="D72" s="3283"/>
      <c r="E72" s="2022" t="s">
        <v>1009</v>
      </c>
      <c r="F72" s="1742">
        <f>Subject_Year_Built_Range</f>
        <v>0</v>
      </c>
      <c r="G72" s="3501"/>
      <c r="H72" s="3501"/>
      <c r="I72" s="3502"/>
      <c r="J72" s="3502"/>
      <c r="K72" s="258"/>
      <c r="L72" s="6"/>
    </row>
    <row r="73" spans="1:20" ht="14.25" x14ac:dyDescent="0.25">
      <c r="A73" s="972">
        <f>A77</f>
        <v>1</v>
      </c>
      <c r="B73" s="16"/>
      <c r="C73" s="92"/>
      <c r="D73" s="3283"/>
      <c r="E73" s="2022" t="s">
        <v>538</v>
      </c>
      <c r="F73" s="1665" t="s">
        <v>306</v>
      </c>
      <c r="G73" s="1831" t="s">
        <v>306</v>
      </c>
      <c r="H73" s="1831" t="s">
        <v>306</v>
      </c>
      <c r="I73" s="1006" t="s">
        <v>306</v>
      </c>
      <c r="J73" s="1006" t="s">
        <v>306</v>
      </c>
      <c r="K73" s="258"/>
      <c r="L73" s="6"/>
      <c r="T73" s="10">
        <f>9.33*43560</f>
        <v>406414.8</v>
      </c>
    </row>
    <row r="74" spans="1:20" ht="15" hidden="1" customHeight="1" x14ac:dyDescent="0.25">
      <c r="A74" s="972">
        <v>0</v>
      </c>
      <c r="B74" s="16"/>
      <c r="C74" s="92"/>
      <c r="D74" s="3821"/>
      <c r="E74" s="2022" t="s">
        <v>17</v>
      </c>
      <c r="F74" s="1743">
        <f>Subject_AgeEffective</f>
        <v>0</v>
      </c>
      <c r="G74" s="3517">
        <v>10</v>
      </c>
      <c r="H74" s="3517">
        <v>10</v>
      </c>
      <c r="I74" s="3518"/>
      <c r="J74" s="3518"/>
      <c r="K74" s="258"/>
      <c r="L74" s="6"/>
    </row>
    <row r="75" spans="1:20" ht="15" hidden="1" customHeight="1" x14ac:dyDescent="0.25">
      <c r="A75" s="972">
        <f>IF(A77=2,2,0)</f>
        <v>0</v>
      </c>
      <c r="B75" s="16"/>
      <c r="C75" s="92"/>
      <c r="D75" s="3821"/>
      <c r="E75" s="2022" t="s">
        <v>19</v>
      </c>
      <c r="F75" s="1744">
        <f>Subject_AgeRemainEco</f>
        <v>45</v>
      </c>
      <c r="G75" s="3822">
        <v>40</v>
      </c>
      <c r="H75" s="3822">
        <v>40</v>
      </c>
      <c r="I75" s="3823"/>
      <c r="J75" s="3823"/>
      <c r="K75" s="258"/>
      <c r="L75" s="6"/>
    </row>
    <row r="76" spans="1:20" ht="15" hidden="1" customHeight="1" x14ac:dyDescent="0.25">
      <c r="A76" s="972">
        <v>0</v>
      </c>
      <c r="B76" s="16"/>
      <c r="C76" s="92"/>
      <c r="D76" s="3821"/>
      <c r="E76" s="2022" t="s">
        <v>244</v>
      </c>
      <c r="F76" s="1745">
        <f>Subject_AgeTotalEco</f>
        <v>45</v>
      </c>
      <c r="G76" s="3824">
        <f t="shared" ref="G76:I76" si="44">G74+G75</f>
        <v>50</v>
      </c>
      <c r="H76" s="3824">
        <f t="shared" si="44"/>
        <v>50</v>
      </c>
      <c r="I76" s="3825">
        <f t="shared" si="44"/>
        <v>0</v>
      </c>
      <c r="J76" s="3825">
        <f t="shared" ref="J76" si="45">J74+J75</f>
        <v>0</v>
      </c>
      <c r="K76" s="258"/>
      <c r="L76" s="6"/>
    </row>
    <row r="77" spans="1:20" ht="15" customHeight="1" x14ac:dyDescent="0.25">
      <c r="A77" s="972">
        <f>IF(B77=TRUE,1,2)</f>
        <v>1</v>
      </c>
      <c r="B77" s="16" t="b">
        <v>1</v>
      </c>
      <c r="C77" s="92"/>
      <c r="D77" s="3504" t="str">
        <f>IF(Sales_AdjType&lt;&gt;"Qualitative","Adjustment","Relative Comparison")</f>
        <v>Adjustment</v>
      </c>
      <c r="E77" s="2984"/>
      <c r="F77" s="2984"/>
      <c r="G77" s="3505">
        <f t="shared" ref="G77:I77" si="46">IF(Sales_AdjType="Percent",IF(AND(G78=0,G79=0,G80=0),0,IF(G78&lt;&gt;0,G78,IF(G79&lt;&gt;0,IF(dpUnit_Sales="Net Rentable Area",(G79/G$12)/G$54,(G79/G$13)/G$54),IF(dpUnit_Sales="Net Rentable Area",G80/G$54,G80/G$54)))),IF(Sales_AdjType="$ per Unit",IF(AND(G78=0,G79=0,G80=0),0,IF(G78&lt;&gt;0,G78*G$54,IF(G79&lt;&gt;0,IF(dpUnit_Sales="Net Rentable Area",G79/G$12,G79/G$13),G80))),IF(OR(G78&gt;0,G79&gt;0,G80&gt;0),"Inferior",IF(OR(G78&lt;0,G79&lt;0,G80&lt;0),"Superior","Similar"))))</f>
        <v>0</v>
      </c>
      <c r="H77" s="3505">
        <f t="shared" si="46"/>
        <v>0</v>
      </c>
      <c r="I77" s="3506">
        <f t="shared" si="46"/>
        <v>0</v>
      </c>
      <c r="J77" s="3506">
        <f t="shared" ref="J77" si="47">IF(Sales_AdjType="Percent",IF(AND(J78=0,J79=0,J80=0),0,IF(J78&lt;&gt;0,J78,IF(J79&lt;&gt;0,IF(dpUnit_Sales="Net Rentable Area",(J79/J$12)/J$54,(J79/J$13)/J$54),IF(dpUnit_Sales="Net Rentable Area",J80/J$54,J80/J$54)))),IF(Sales_AdjType="$ per Unit",IF(AND(J78=0,J79=0,J80=0),0,IF(J78&lt;&gt;0,J78*J$54,IF(J79&lt;&gt;0,IF(dpUnit_Sales="Net Rentable Area",J79/J$12,J79/J$13),J80))),IF(OR(J78&gt;0,J79&gt;0,J80&gt;0),"Inferior",IF(OR(J78&lt;0,J79&lt;0,J80&lt;0),"Superior","Similar"))))</f>
        <v>0</v>
      </c>
      <c r="K77" s="3507"/>
      <c r="L77" s="6"/>
    </row>
    <row r="78" spans="1:20" ht="15" hidden="1" customHeight="1" x14ac:dyDescent="0.25">
      <c r="A78" s="972">
        <f>IF(A77=2,2,0)</f>
        <v>0</v>
      </c>
      <c r="B78" s="575"/>
      <c r="C78" s="92"/>
      <c r="D78" s="3283"/>
      <c r="E78" s="2984"/>
      <c r="F78" s="2022" t="s">
        <v>166</v>
      </c>
      <c r="G78" s="1793"/>
      <c r="H78" s="1793"/>
      <c r="I78" s="1955"/>
      <c r="J78" s="1955"/>
      <c r="K78" s="775"/>
      <c r="L78" s="6"/>
    </row>
    <row r="79" spans="1:20" ht="15" hidden="1" customHeight="1" x14ac:dyDescent="0.25">
      <c r="A79" s="972">
        <f>IF(A78=2,2,0)</f>
        <v>0</v>
      </c>
      <c r="B79" s="575"/>
      <c r="C79" s="92"/>
      <c r="D79" s="3283"/>
      <c r="E79" s="2984"/>
      <c r="F79" s="2022" t="s">
        <v>167</v>
      </c>
      <c r="G79" s="1794"/>
      <c r="H79" s="1794"/>
      <c r="I79" s="1956"/>
      <c r="J79" s="1956"/>
      <c r="K79" s="3288"/>
      <c r="L79" s="6"/>
    </row>
    <row r="80" spans="1:20" ht="15" hidden="1" customHeight="1" x14ac:dyDescent="0.25">
      <c r="A80" s="972">
        <f>IF(A79=2,2,0)</f>
        <v>0</v>
      </c>
      <c r="B80" s="575"/>
      <c r="C80" s="92"/>
      <c r="D80" s="3283"/>
      <c r="E80" s="2984"/>
      <c r="F80" s="2022" t="s">
        <v>710</v>
      </c>
      <c r="G80" s="1791"/>
      <c r="H80" s="1791"/>
      <c r="I80" s="1953"/>
      <c r="J80" s="1953"/>
      <c r="K80" s="3289"/>
      <c r="L80" s="6"/>
    </row>
    <row r="81" spans="1:17" ht="8.1" hidden="1" customHeight="1" x14ac:dyDescent="0.25">
      <c r="A81" s="972">
        <f>A86</f>
        <v>2</v>
      </c>
      <c r="B81" s="16"/>
      <c r="C81" s="92"/>
      <c r="D81" s="3283"/>
      <c r="E81" s="2984"/>
      <c r="F81" s="2984"/>
      <c r="G81" s="3515">
        <f t="shared" ref="G81:I81" si="48">IF(AND(G87=0,G88=0,G89=0),0,IF(G87&lt;&gt;0,G87,IF(G88&lt;&gt;0,IF(dpUnit_Sales="Net Rentable Area",(G88/G$12)/G$54,(G88/G$13)/G$54),IF(dpUnit_Sales="Net Rentable Area",G89/G$54,G87/G$54))))</f>
        <v>0</v>
      </c>
      <c r="H81" s="3515">
        <f t="shared" si="48"/>
        <v>0</v>
      </c>
      <c r="I81" s="3516">
        <f t="shared" si="48"/>
        <v>0</v>
      </c>
      <c r="J81" s="3516">
        <f t="shared" ref="J81" si="49">IF(AND(J87=0,J88=0,J89=0),0,IF(J87&lt;&gt;0,J87,IF(J88&lt;&gt;0,IF(dpUnit_Sales="Net Rentable Area",(J88/J$12)/J$54,(J88/J$13)/J$54),IF(dpUnit_Sales="Net Rentable Area",J89/J$54,J87/J$54))))</f>
        <v>0</v>
      </c>
      <c r="K81" s="258"/>
      <c r="L81" s="6"/>
    </row>
    <row r="82" spans="1:17" ht="28.5" hidden="1" x14ac:dyDescent="0.25">
      <c r="A82" s="972">
        <f>A86</f>
        <v>2</v>
      </c>
      <c r="B82" s="16"/>
      <c r="C82" s="92"/>
      <c r="D82" s="1493" t="s">
        <v>288</v>
      </c>
      <c r="E82" s="1002"/>
      <c r="F82" s="1665" t="str">
        <f>IF(dpSales_Adjustment_4="Construction Quality",CONCATENATE(Subject_ConstructionQuality," Class ",Subject_ConstructionClass),CONCATENATE(Subject_ConstructionQuality," Class ",Subject_InvestmentClass))</f>
        <v>Good Class B</v>
      </c>
      <c r="G82" s="1831" t="str">
        <f t="shared" ref="G82:I82" si="50">IF(dpSales_Adjustment_4="Construction Quality",CONCATENATE(G83," Class ",G84),CONCATENATE(G83," Class ",G85))</f>
        <v xml:space="preserve">Average Class C </v>
      </c>
      <c r="H82" s="1831" t="str">
        <f t="shared" si="50"/>
        <v>Average Class C - Concrete</v>
      </c>
      <c r="I82" s="1006" t="str">
        <f t="shared" si="50"/>
        <v>Average Class B - Concrete</v>
      </c>
      <c r="J82" s="1006" t="str">
        <f t="shared" ref="J82" si="51">IF(dpSales_Adjustment_4="Construction Quality",CONCATENATE(J83," Class ",J84),CONCATENATE(J83," Class ",J85))</f>
        <v>Average Class B - Concrete</v>
      </c>
      <c r="K82" s="258"/>
      <c r="L82" s="6"/>
    </row>
    <row r="83" spans="1:17" ht="15" hidden="1" customHeight="1" x14ac:dyDescent="0.25">
      <c r="A83" s="972">
        <f>IF(A86=2,2,0)</f>
        <v>2</v>
      </c>
      <c r="B83" s="16"/>
      <c r="C83" s="92"/>
      <c r="D83" s="3519"/>
      <c r="E83" s="3519"/>
      <c r="F83" s="2022" t="s">
        <v>288</v>
      </c>
      <c r="G83" s="3826" t="s">
        <v>306</v>
      </c>
      <c r="H83" s="3826" t="s">
        <v>306</v>
      </c>
      <c r="I83" s="3827" t="s">
        <v>306</v>
      </c>
      <c r="J83" s="3827" t="s">
        <v>306</v>
      </c>
      <c r="K83" s="258"/>
      <c r="L83" s="6"/>
    </row>
    <row r="84" spans="1:17" ht="15" hidden="1" customHeight="1" x14ac:dyDescent="0.25">
      <c r="A84" s="972">
        <f>IF(A86=2,2,0)</f>
        <v>2</v>
      </c>
      <c r="B84" s="16"/>
      <c r="C84" s="92"/>
      <c r="D84" s="3519"/>
      <c r="E84" s="3519"/>
      <c r="F84" s="2022" t="s">
        <v>307</v>
      </c>
      <c r="G84" s="3826" t="s">
        <v>19914</v>
      </c>
      <c r="H84" s="3826" t="s">
        <v>19921</v>
      </c>
      <c r="I84" s="3827" t="s">
        <v>19935</v>
      </c>
      <c r="J84" s="3827" t="s">
        <v>19935</v>
      </c>
      <c r="K84" s="258"/>
      <c r="L84" s="6"/>
    </row>
    <row r="85" spans="1:17" ht="15" hidden="1" customHeight="1" x14ac:dyDescent="0.25">
      <c r="A85" s="972">
        <f>IF(A86=2,2,0)</f>
        <v>2</v>
      </c>
      <c r="B85" s="16" t="b">
        <v>0</v>
      </c>
      <c r="C85" s="92"/>
      <c r="D85" s="3519"/>
      <c r="E85" s="3519"/>
      <c r="F85" s="2022" t="s">
        <v>308</v>
      </c>
      <c r="G85" s="3826" t="s">
        <v>1878</v>
      </c>
      <c r="H85" s="3501" t="s">
        <v>2023</v>
      </c>
      <c r="I85" s="3502" t="s">
        <v>1878</v>
      </c>
      <c r="J85" s="3502" t="s">
        <v>1878</v>
      </c>
      <c r="K85" s="258"/>
      <c r="L85" s="6"/>
    </row>
    <row r="86" spans="1:17" ht="15" hidden="1" customHeight="1" x14ac:dyDescent="0.25">
      <c r="A86" s="972">
        <f>IF(B86=TRUE,1,2)</f>
        <v>2</v>
      </c>
      <c r="B86" s="16" t="b">
        <v>0</v>
      </c>
      <c r="C86" s="92"/>
      <c r="D86" s="3504" t="str">
        <f>IF(Sales_AdjType&lt;&gt;"Qualitative","Adjustment","Relative Comparison")</f>
        <v>Adjustment</v>
      </c>
      <c r="E86" s="527"/>
      <c r="F86" s="2984"/>
      <c r="G86" s="3505">
        <f t="shared" ref="G86:I86" si="52">IF(Sales_AdjType="Percent",IF(AND(G87=0,G88=0,G89=0),0,IF(G87&lt;&gt;0,G87,IF(G88&lt;&gt;0,IF(dpUnit_Sales="Net Rentable Area",(G88/G$12)/G$54,(G88/G$13)/G$54),IF(dpUnit_Sales="Net Rentable Area",G89/G$54,G89/G$54)))),IF(Sales_AdjType="$ per Unit",IF(AND(G87=0,G88=0,G89=0),0,IF(G87&lt;&gt;0,G87*G$54,IF(G88&lt;&gt;0,IF(dpUnit_Sales="Net Rentable Area",G88/G$12,G88/G$13),G89))),IF(OR(G87&gt;0,G88&gt;0,G89&gt;0),"Inferior",IF(OR(G87&lt;0,G88&lt;0,G89&lt;0),"Superior","Similar"))))</f>
        <v>0</v>
      </c>
      <c r="H86" s="3505">
        <f t="shared" si="52"/>
        <v>0</v>
      </c>
      <c r="I86" s="3506">
        <f t="shared" si="52"/>
        <v>0</v>
      </c>
      <c r="J86" s="3506">
        <f t="shared" ref="J86" si="53">IF(Sales_AdjType="Percent",IF(AND(J87=0,J88=0,J89=0),0,IF(J87&lt;&gt;0,J87,IF(J88&lt;&gt;0,IF(dpUnit_Sales="Net Rentable Area",(J88/J$12)/J$54,(J88/J$13)/J$54),IF(dpUnit_Sales="Net Rentable Area",J89/J$54,J89/J$54)))),IF(Sales_AdjType="$ per Unit",IF(AND(J87=0,J88=0,J89=0),0,IF(J87&lt;&gt;0,J87*J$54,IF(J88&lt;&gt;0,IF(dpUnit_Sales="Net Rentable Area",J88/J$12,J88/J$13),J89))),IF(OR(J87&gt;0,J88&gt;0,J89&gt;0),"Inferior",IF(OR(J87&lt;0,J88&lt;0,J89&lt;0),"Superior","Similar"))))</f>
        <v>0</v>
      </c>
      <c r="K86" s="3507"/>
      <c r="L86" s="6"/>
    </row>
    <row r="87" spans="1:17" ht="15" hidden="1" customHeight="1" x14ac:dyDescent="0.25">
      <c r="A87" s="972">
        <f>IF(A86=2,2,0)</f>
        <v>2</v>
      </c>
      <c r="B87" s="575"/>
      <c r="C87" s="92"/>
      <c r="D87" s="3283"/>
      <c r="E87" s="2984"/>
      <c r="F87" s="2022" t="s">
        <v>166</v>
      </c>
      <c r="G87" s="1793"/>
      <c r="H87" s="1793"/>
      <c r="I87" s="1955"/>
      <c r="J87" s="1955"/>
      <c r="K87" s="775"/>
      <c r="L87" s="6"/>
    </row>
    <row r="88" spans="1:17" ht="15" hidden="1" customHeight="1" x14ac:dyDescent="0.25">
      <c r="A88" s="972">
        <f>IF(A87=2,2,0)</f>
        <v>2</v>
      </c>
      <c r="B88" s="575"/>
      <c r="C88" s="92"/>
      <c r="D88" s="3283"/>
      <c r="E88" s="2984"/>
      <c r="F88" s="2022" t="s">
        <v>167</v>
      </c>
      <c r="G88" s="1794"/>
      <c r="H88" s="1794"/>
      <c r="I88" s="1956"/>
      <c r="J88" s="1956"/>
      <c r="K88" s="3288"/>
      <c r="L88" s="6"/>
    </row>
    <row r="89" spans="1:17" ht="15" hidden="1" customHeight="1" x14ac:dyDescent="0.25">
      <c r="A89" s="972">
        <f>IF(A88=2,2,0)</f>
        <v>2</v>
      </c>
      <c r="B89" s="575"/>
      <c r="C89" s="92"/>
      <c r="D89" s="3283"/>
      <c r="E89" s="2984"/>
      <c r="F89" s="2022" t="s">
        <v>710</v>
      </c>
      <c r="G89" s="1791"/>
      <c r="H89" s="1791"/>
      <c r="I89" s="1953"/>
      <c r="J89" s="1953"/>
      <c r="K89" s="3289"/>
      <c r="L89" s="6"/>
    </row>
    <row r="90" spans="1:17" ht="8.1" hidden="1" customHeight="1" x14ac:dyDescent="0.25">
      <c r="A90" s="972">
        <f>A92</f>
        <v>2</v>
      </c>
      <c r="B90" s="16"/>
      <c r="C90" s="92"/>
      <c r="D90" s="3283"/>
      <c r="E90" s="2984"/>
      <c r="F90" s="2984"/>
      <c r="G90" s="3515">
        <f t="shared" ref="G90:I90" si="54">IF(AND(G93=0,G94=0,G95=0),0,IF(G93&lt;&gt;0,G93,IF(G94&lt;&gt;0,IF(dpUnit_Sales="Net Rentable Area",(G94/G$12)/G$54,(G94/G$13)/G$54),IF(dpUnit_Sales="Net Rentable Area",G95/G$54,G95/G$54))))</f>
        <v>0</v>
      </c>
      <c r="H90" s="3515">
        <f t="shared" si="54"/>
        <v>0</v>
      </c>
      <c r="I90" s="3516">
        <f t="shared" si="54"/>
        <v>0</v>
      </c>
      <c r="J90" s="3516">
        <f t="shared" ref="J90" si="55">IF(AND(J93=0,J94=0,J95=0),0,IF(J93&lt;&gt;0,J93,IF(J94&lt;&gt;0,IF(dpUnit_Sales="Net Rentable Area",(J94/J$12)/J$54,(J94/J$13)/J$54),IF(dpUnit_Sales="Net Rentable Area",J95/J$54,J95/J$54))))</f>
        <v>0</v>
      </c>
      <c r="K90" s="258"/>
      <c r="L90" s="6"/>
    </row>
    <row r="91" spans="1:17" ht="14.25" hidden="1" x14ac:dyDescent="0.25">
      <c r="A91" s="972">
        <f>A92</f>
        <v>2</v>
      </c>
      <c r="B91" s="16"/>
      <c r="C91" s="742"/>
      <c r="D91" s="1493" t="s">
        <v>305</v>
      </c>
      <c r="E91" s="3519"/>
      <c r="F91" s="3828" t="s">
        <v>19940</v>
      </c>
      <c r="G91" s="3829" t="s">
        <v>19941</v>
      </c>
      <c r="H91" s="3829" t="s">
        <v>19942</v>
      </c>
      <c r="I91" s="3830" t="s">
        <v>19942</v>
      </c>
      <c r="J91" s="3830" t="s">
        <v>19942</v>
      </c>
      <c r="K91" s="93"/>
      <c r="L91" s="6"/>
      <c r="Q91" s="3756">
        <f>+H147+I147+J147</f>
        <v>389.90420361524207</v>
      </c>
    </row>
    <row r="92" spans="1:17" ht="15" hidden="1" customHeight="1" x14ac:dyDescent="0.25">
      <c r="A92" s="972">
        <f>IF(B92=TRUE,1,2)</f>
        <v>2</v>
      </c>
      <c r="B92" s="16" t="b">
        <v>0</v>
      </c>
      <c r="C92" s="92"/>
      <c r="D92" s="3504" t="str">
        <f>IF(Sales_AdjType&lt;&gt;"Qualitative","Adjustment","Relative Comparison")</f>
        <v>Adjustment</v>
      </c>
      <c r="E92" s="527"/>
      <c r="F92" s="517"/>
      <c r="G92" s="3505">
        <f t="shared" ref="G92:I92" si="56">IF(Sales_AdjType="Percent",IF(AND(G93=0,G94=0,G95=0),0,IF(G93&lt;&gt;0,G93,IF(G94&lt;&gt;0,IF(dpUnit_Sales="Net Rentable Area",(G94/G$12)/G$54,(G94/G$13)/G$54),IF(dpUnit_Sales="Net Rentable Area",G95/G$54,G95/G$54)))),IF(Sales_AdjType="$ per Unit",IF(AND(G93=0,G94=0,G95=0),0,IF(G93&lt;&gt;0,G93*G$54,IF(G94&lt;&gt;0,IF(dpUnit_Sales="Net Rentable Area",G94/G$12,G94/G$13),G95))),IF(OR(G93&gt;0,G94&gt;0,G95&gt;0),"Inferior",IF(OR(G93&lt;0,G94&lt;0,G95&lt;0),"Superior","Similar"))))</f>
        <v>0</v>
      </c>
      <c r="H92" s="3505">
        <f t="shared" si="56"/>
        <v>0</v>
      </c>
      <c r="I92" s="3506">
        <f t="shared" si="56"/>
        <v>0</v>
      </c>
      <c r="J92" s="3506">
        <f t="shared" ref="J92" si="57">IF(Sales_AdjType="Percent",IF(AND(J93=0,J94=0,J95=0),0,IF(J93&lt;&gt;0,J93,IF(J94&lt;&gt;0,IF(dpUnit_Sales="Net Rentable Area",(J94/J$12)/J$54,(J94/J$13)/J$54),IF(dpUnit_Sales="Net Rentable Area",J95/J$54,J95/J$54)))),IF(Sales_AdjType="$ per Unit",IF(AND(J93=0,J94=0,J95=0),0,IF(J93&lt;&gt;0,J93*J$54,IF(J94&lt;&gt;0,IF(dpUnit_Sales="Net Rentable Area",J94/J$12,J94/J$13),J95))),IF(OR(J93&gt;0,J94&gt;0,J95&gt;0),"Inferior",IF(OR(J93&lt;0,J94&lt;0,J95&lt;0),"Superior","Similar"))))</f>
        <v>0</v>
      </c>
      <c r="K92" s="3507"/>
      <c r="L92" s="6"/>
      <c r="Q92" s="10">
        <f>+Q91/3</f>
        <v>129.96806787174737</v>
      </c>
    </row>
    <row r="93" spans="1:17" ht="15" hidden="1" customHeight="1" x14ac:dyDescent="0.25">
      <c r="A93" s="972">
        <f>IF(A92=2,2,0)</f>
        <v>2</v>
      </c>
      <c r="B93" s="575"/>
      <c r="C93" s="92"/>
      <c r="D93" s="3283"/>
      <c r="E93" s="527"/>
      <c r="F93" s="2022" t="s">
        <v>166</v>
      </c>
      <c r="G93" s="1793"/>
      <c r="H93" s="1793"/>
      <c r="I93" s="1955"/>
      <c r="J93" s="1955"/>
      <c r="K93" s="775"/>
      <c r="L93" s="6"/>
    </row>
    <row r="94" spans="1:17" ht="15" hidden="1" customHeight="1" x14ac:dyDescent="0.25">
      <c r="A94" s="972">
        <f>IF(A93=2,2,0)</f>
        <v>2</v>
      </c>
      <c r="B94" s="575"/>
      <c r="C94" s="92"/>
      <c r="D94" s="3283"/>
      <c r="E94" s="527"/>
      <c r="F94" s="2022" t="s">
        <v>167</v>
      </c>
      <c r="G94" s="1794"/>
      <c r="H94" s="1794"/>
      <c r="I94" s="1956"/>
      <c r="J94" s="1956"/>
      <c r="K94" s="3288"/>
      <c r="L94" s="6"/>
    </row>
    <row r="95" spans="1:17" ht="15" hidden="1" customHeight="1" x14ac:dyDescent="0.25">
      <c r="A95" s="972">
        <f>IF(A94=2,2,0)</f>
        <v>2</v>
      </c>
      <c r="B95" s="575"/>
      <c r="C95" s="92"/>
      <c r="D95" s="3283"/>
      <c r="E95" s="527"/>
      <c r="F95" s="2022" t="s">
        <v>710</v>
      </c>
      <c r="G95" s="1791"/>
      <c r="H95" s="1791"/>
      <c r="I95" s="1953"/>
      <c r="J95" s="1953"/>
      <c r="K95" s="3289"/>
      <c r="L95" s="6"/>
    </row>
    <row r="96" spans="1:17" ht="8.1" hidden="1" customHeight="1" x14ac:dyDescent="0.25">
      <c r="A96" s="972">
        <f>A98</f>
        <v>2</v>
      </c>
      <c r="B96" s="16"/>
      <c r="C96" s="92"/>
      <c r="D96" s="3283"/>
      <c r="E96" s="527"/>
      <c r="F96" s="517"/>
      <c r="G96" s="3515">
        <f t="shared" ref="G96:I96" si="58">IF(AND(G99=0,G100=0,G101=0),0,IF(G99&lt;&gt;0,G99,IF(G100&lt;&gt;0,IF(dpUnit_Sales="Net Rentable Area",(G100/G$12)/G$54,(G100/G$13)/G$54),IF(dpUnit_Sales="Net Rentable Area",G101/G$54,G101/G$54))))</f>
        <v>0</v>
      </c>
      <c r="H96" s="3515">
        <f t="shared" si="58"/>
        <v>0</v>
      </c>
      <c r="I96" s="3516">
        <f t="shared" si="58"/>
        <v>0</v>
      </c>
      <c r="J96" s="3516">
        <f t="shared" ref="J96" si="59">IF(AND(J99=0,J100=0,J101=0),0,IF(J99&lt;&gt;0,J99,IF(J100&lt;&gt;0,IF(dpUnit_Sales="Net Rentable Area",(J100/J$12)/J$54,(J100/J$13)/J$54),IF(dpUnit_Sales="Net Rentable Area",J101/J$54,J101/J$54))))</f>
        <v>0</v>
      </c>
      <c r="K96" s="258"/>
      <c r="L96" s="6"/>
    </row>
    <row r="97" spans="1:20" ht="14.25" hidden="1" x14ac:dyDescent="0.25">
      <c r="A97" s="972">
        <f>A98</f>
        <v>2</v>
      </c>
      <c r="B97" s="16"/>
      <c r="C97" s="92"/>
      <c r="D97" s="1493" t="s">
        <v>191</v>
      </c>
      <c r="E97" s="527"/>
      <c r="F97" s="1746">
        <f>Subject_ClearHeight</f>
        <v>0</v>
      </c>
      <c r="G97" s="3520"/>
      <c r="H97" s="3520"/>
      <c r="I97" s="3521"/>
      <c r="J97" s="3521"/>
      <c r="K97" s="258"/>
      <c r="L97" s="6"/>
    </row>
    <row r="98" spans="1:20" ht="15" hidden="1" customHeight="1" x14ac:dyDescent="0.25">
      <c r="A98" s="972">
        <f>IF(B98=TRUE,1,2)</f>
        <v>2</v>
      </c>
      <c r="B98" s="16" t="b">
        <v>0</v>
      </c>
      <c r="C98" s="92"/>
      <c r="D98" s="3504" t="str">
        <f>IF(Sales_AdjType&lt;&gt;"Qualitative","Adjustment","Relative Comparison")</f>
        <v>Adjustment</v>
      </c>
      <c r="E98" s="2984"/>
      <c r="F98" s="517"/>
      <c r="G98" s="3505">
        <f t="shared" ref="G98:I98" si="60">IF(Sales_AdjType="Percent",IF(AND(G99=0,G100=0,G101=0),0,IF(G99&lt;&gt;0,G99,IF(G100&lt;&gt;0,IF(dpUnit_Sales="Net Rentable Area",(G100/G$12)/G$54,(G100/G$13)/G$54),IF(dpUnit_Sales="Net Rentable Area",G101/G$54,G101/G$54)))),IF(Sales_AdjType="$ per Unit",IF(AND(G99=0,G100=0,G101=0),0,IF(G99&lt;&gt;0,G99*G$54,IF(G100&lt;&gt;0,IF(dpUnit_Sales="Net Rentable Area",G100/G$12,G100/G$13),G101))),IF(OR(G99&gt;0,G100&gt;0,G101&gt;0),"Inferior",IF(OR(G99&lt;0,G100&lt;0,G101&lt;0),"Superior","Similar"))))</f>
        <v>0</v>
      </c>
      <c r="H98" s="3505">
        <f t="shared" si="60"/>
        <v>0</v>
      </c>
      <c r="I98" s="3506">
        <f t="shared" si="60"/>
        <v>0</v>
      </c>
      <c r="J98" s="3506">
        <f t="shared" ref="J98" si="61">IF(Sales_AdjType="Percent",IF(AND(J99=0,J100=0,J101=0),0,IF(J99&lt;&gt;0,J99,IF(J100&lt;&gt;0,IF(dpUnit_Sales="Net Rentable Area",(J100/J$12)/J$54,(J100/J$13)/J$54),IF(dpUnit_Sales="Net Rentable Area",J101/J$54,J101/J$54)))),IF(Sales_AdjType="$ per Unit",IF(AND(J99=0,J100=0,J101=0),0,IF(J99&lt;&gt;0,J99*J$54,IF(J100&lt;&gt;0,IF(dpUnit_Sales="Net Rentable Area",J100/J$12,J100/J$13),J101))),IF(OR(J99&gt;0,J100&gt;0,J101&gt;0),"Inferior",IF(OR(J99&lt;0,J100&lt;0,J101&lt;0),"Superior","Similar"))))</f>
        <v>0</v>
      </c>
      <c r="K98" s="3507"/>
      <c r="L98" s="6"/>
    </row>
    <row r="99" spans="1:20" ht="15" hidden="1" customHeight="1" x14ac:dyDescent="0.25">
      <c r="A99" s="972">
        <f>IF(A98=2,2,0)</f>
        <v>2</v>
      </c>
      <c r="B99" s="575"/>
      <c r="C99" s="92"/>
      <c r="D99" s="3283"/>
      <c r="E99" s="2984"/>
      <c r="F99" s="2022" t="s">
        <v>166</v>
      </c>
      <c r="G99" s="1793"/>
      <c r="H99" s="1793"/>
      <c r="I99" s="1955"/>
      <c r="J99" s="1955"/>
      <c r="K99" s="775"/>
      <c r="L99" s="6"/>
    </row>
    <row r="100" spans="1:20" ht="15" hidden="1" customHeight="1" x14ac:dyDescent="0.25">
      <c r="A100" s="972">
        <f>IF(A99=2,2,0)</f>
        <v>2</v>
      </c>
      <c r="B100" s="575"/>
      <c r="C100" s="92"/>
      <c r="D100" s="3821"/>
      <c r="E100" s="2984"/>
      <c r="F100" s="2022" t="s">
        <v>167</v>
      </c>
      <c r="G100" s="1794"/>
      <c r="H100" s="1794"/>
      <c r="I100" s="1956"/>
      <c r="J100" s="1956"/>
      <c r="K100" s="3288"/>
      <c r="L100" s="6"/>
    </row>
    <row r="101" spans="1:20" ht="15" hidden="1" customHeight="1" x14ac:dyDescent="0.25">
      <c r="A101" s="972">
        <f>IF(A100=2,2,0)</f>
        <v>2</v>
      </c>
      <c r="B101" s="575"/>
      <c r="C101" s="92"/>
      <c r="D101" s="3283"/>
      <c r="E101" s="2984"/>
      <c r="F101" s="2022" t="s">
        <v>710</v>
      </c>
      <c r="G101" s="1791"/>
      <c r="H101" s="1791"/>
      <c r="I101" s="1953"/>
      <c r="J101" s="1953"/>
      <c r="K101" s="3289"/>
      <c r="L101" s="6"/>
    </row>
    <row r="102" spans="1:20" ht="8.1" hidden="1" customHeight="1" x14ac:dyDescent="0.25">
      <c r="A102" s="972">
        <f>A104</f>
        <v>2</v>
      </c>
      <c r="B102" s="16"/>
      <c r="C102" s="92"/>
      <c r="D102" s="3283"/>
      <c r="E102" s="2984"/>
      <c r="F102" s="517"/>
      <c r="G102" s="3515">
        <f t="shared" ref="G102:I102" si="62">IF(AND(G105=0,G106=0,G107=0),0,IF(G105&lt;&gt;0,G105,IF(G106&lt;&gt;0,IF(dpUnit_Sales="Net Rentable Area",(G106/G$12)/G$54,(G106/G$13)/G$54),IF(dpUnit_Sales="Net Rentable Area",G107/G$54,G107/G$54))))</f>
        <v>0</v>
      </c>
      <c r="H102" s="3515">
        <f t="shared" si="62"/>
        <v>0</v>
      </c>
      <c r="I102" s="3516">
        <f t="shared" si="62"/>
        <v>0</v>
      </c>
      <c r="J102" s="3516">
        <f t="shared" ref="J102" si="63">IF(AND(J105=0,J106=0,J107=0),0,IF(J105&lt;&gt;0,J105,IF(J106&lt;&gt;0,IF(dpUnit_Sales="Net Rentable Area",(J106/J$12)/J$54,(J106/J$13)/J$54),IF(dpUnit_Sales="Net Rentable Area",J107/J$54,J107/J$54))))</f>
        <v>0</v>
      </c>
      <c r="K102" s="258"/>
      <c r="L102" s="6"/>
    </row>
    <row r="103" spans="1:20" ht="14.25" hidden="1" x14ac:dyDescent="0.25">
      <c r="A103" s="972">
        <f>A104</f>
        <v>2</v>
      </c>
      <c r="B103" s="16"/>
      <c r="C103" s="92"/>
      <c r="D103" s="1493" t="s">
        <v>285</v>
      </c>
      <c r="E103" s="527"/>
      <c r="F103" s="1747">
        <f>Subject_PercentOfficeFinish</f>
        <v>7.4999999999999997E-2</v>
      </c>
      <c r="G103" s="3831"/>
      <c r="H103" s="3831"/>
      <c r="I103" s="3832"/>
      <c r="J103" s="3832"/>
      <c r="K103" s="775"/>
      <c r="L103" s="6"/>
    </row>
    <row r="104" spans="1:20" ht="15" hidden="1" customHeight="1" x14ac:dyDescent="0.25">
      <c r="A104" s="972">
        <f>IF(B104=TRUE,1,2)</f>
        <v>2</v>
      </c>
      <c r="B104" s="16" t="b">
        <v>0</v>
      </c>
      <c r="C104" s="92"/>
      <c r="D104" s="3504" t="str">
        <f>IF(Sales_AdjType&lt;&gt;"Qualitative","Adjustment","Relative Comparison")</f>
        <v>Adjustment</v>
      </c>
      <c r="E104" s="527"/>
      <c r="F104" s="517"/>
      <c r="G104" s="3505">
        <f t="shared" ref="G104:I104" si="64">IF(Sales_AdjType="Percent",IF(AND(G105=0,G106=0,G107=0),0,IF(G105&lt;&gt;0,G105,IF(G106&lt;&gt;0,IF(dpUnit_Sales="Net Rentable Area",(G106/G$12)/G$54,(G106/G$13)/G$54),IF(dpUnit_Sales="Net Rentable Area",G107/G$54,G107/G$54)))),IF(Sales_AdjType="$ per Unit",IF(AND(G105=0,G106=0,G107=0),0,IF(G105&lt;&gt;0,G105*G$54,IF(G106&lt;&gt;0,IF(dpUnit_Sales="Net Rentable Area",G106/G$12,G106/G$13),G107))),IF(OR(G105&gt;0,G106&gt;0,G107&gt;0),"Inferior",IF(OR(G105&lt;0,G106&lt;0,G107&lt;0),"Superior","Similar"))))</f>
        <v>0</v>
      </c>
      <c r="H104" s="3505">
        <f t="shared" si="64"/>
        <v>0</v>
      </c>
      <c r="I104" s="3506">
        <f t="shared" si="64"/>
        <v>0</v>
      </c>
      <c r="J104" s="3506">
        <f t="shared" ref="J104" si="65">IF(Sales_AdjType="Percent",IF(AND(J105=0,J106=0,J107=0),0,IF(J105&lt;&gt;0,J105,IF(J106&lt;&gt;0,IF(dpUnit_Sales="Net Rentable Area",(J106/J$12)/J$54,(J106/J$13)/J$54),IF(dpUnit_Sales="Net Rentable Area",J107/J$54,J107/J$54)))),IF(Sales_AdjType="$ per Unit",IF(AND(J105=0,J106=0,J107=0),0,IF(J105&lt;&gt;0,J105*J$54,IF(J106&lt;&gt;0,IF(dpUnit_Sales="Net Rentable Area",J106/J$12,J106/J$13),J107))),IF(OR(J105&gt;0,J106&gt;0,J107&gt;0),"Inferior",IF(OR(J105&lt;0,J106&lt;0,J107&lt;0),"Superior","Similar"))))</f>
        <v>0</v>
      </c>
      <c r="K104" s="3507"/>
      <c r="L104" s="6"/>
    </row>
    <row r="105" spans="1:20" ht="15" hidden="1" customHeight="1" x14ac:dyDescent="0.25">
      <c r="A105" s="972">
        <f>IF(A104=2,2,0)</f>
        <v>2</v>
      </c>
      <c r="B105" s="575"/>
      <c r="C105" s="92"/>
      <c r="D105" s="3283"/>
      <c r="E105" s="527"/>
      <c r="F105" s="2022" t="s">
        <v>166</v>
      </c>
      <c r="G105" s="1793"/>
      <c r="H105" s="1793"/>
      <c r="I105" s="1955"/>
      <c r="J105" s="1955"/>
      <c r="K105" s="775"/>
      <c r="L105" s="6"/>
    </row>
    <row r="106" spans="1:20" ht="15" hidden="1" customHeight="1" x14ac:dyDescent="0.25">
      <c r="A106" s="972">
        <f>IF(A105=2,2,0)</f>
        <v>2</v>
      </c>
      <c r="B106" s="575"/>
      <c r="C106" s="92"/>
      <c r="D106" s="3283"/>
      <c r="E106" s="527"/>
      <c r="F106" s="2022" t="s">
        <v>167</v>
      </c>
      <c r="G106" s="1794"/>
      <c r="H106" s="1794"/>
      <c r="I106" s="1956"/>
      <c r="J106" s="1956"/>
      <c r="K106" s="3288"/>
      <c r="L106" s="6"/>
    </row>
    <row r="107" spans="1:20" ht="15" hidden="1" customHeight="1" x14ac:dyDescent="0.25">
      <c r="A107" s="972">
        <f>IF(A106=2,2,0)</f>
        <v>2</v>
      </c>
      <c r="B107" s="575"/>
      <c r="C107" s="92"/>
      <c r="D107" s="3283"/>
      <c r="E107" s="527"/>
      <c r="F107" s="2022" t="s">
        <v>710</v>
      </c>
      <c r="G107" s="1791"/>
      <c r="H107" s="1791"/>
      <c r="I107" s="1953"/>
      <c r="J107" s="1953"/>
      <c r="K107" s="3289"/>
      <c r="L107" s="6"/>
    </row>
    <row r="108" spans="1:20" ht="8.1" customHeight="1" x14ac:dyDescent="0.25">
      <c r="A108" s="972">
        <f>A110</f>
        <v>1</v>
      </c>
      <c r="B108" s="16"/>
      <c r="C108" s="92"/>
      <c r="D108" s="3283"/>
      <c r="E108" s="2984"/>
      <c r="F108" s="2984"/>
      <c r="G108" s="3515">
        <f t="shared" ref="G108:I108" si="66">IF(AND(G111=0,G112=0,G113=0),0,IF(G111&lt;&gt;0,G111,IF(G112&lt;&gt;0,IF(dpUnit_Sales="Net Rentable Area",(G112/G$12)/G$54,(G112/G$13)/G$54),IF(dpUnit_Sales="Net Rentable Area",G113/G$54,G113/G$54))))</f>
        <v>0</v>
      </c>
      <c r="H108" s="3515">
        <f t="shared" si="66"/>
        <v>0.05</v>
      </c>
      <c r="I108" s="3516">
        <f t="shared" si="66"/>
        <v>-0.05</v>
      </c>
      <c r="J108" s="3516">
        <f t="shared" ref="J108" si="67">IF(AND(J111=0,J112=0,J113=0),0,IF(J111&lt;&gt;0,J111,IF(J112&lt;&gt;0,IF(dpUnit_Sales="Net Rentable Area",(J112/J$12)/J$54,(J112/J$13)/J$54),IF(dpUnit_Sales="Net Rentable Area",J113/J$54,J113/J$54))))</f>
        <v>0</v>
      </c>
      <c r="K108" s="258"/>
      <c r="L108" s="6"/>
    </row>
    <row r="109" spans="1:20" ht="14.25" x14ac:dyDescent="0.25">
      <c r="A109" s="972">
        <f>A110</f>
        <v>1</v>
      </c>
      <c r="B109" s="16"/>
      <c r="C109" s="92"/>
      <c r="D109" s="1493" t="s">
        <v>286</v>
      </c>
      <c r="E109" s="527"/>
      <c r="F109" s="1748">
        <f>+F152</f>
        <v>2.9215376575111782</v>
      </c>
      <c r="G109" s="3522">
        <f>G152</f>
        <v>3.0413513513513513</v>
      </c>
      <c r="H109" s="3522">
        <f>+H152</f>
        <v>1.6718972895863053</v>
      </c>
      <c r="I109" s="3523">
        <f>+I152</f>
        <v>4.9378676470588232</v>
      </c>
      <c r="J109" s="3523">
        <f>+J152</f>
        <v>3.0398883420260048</v>
      </c>
      <c r="K109" s="3833"/>
      <c r="L109" s="6"/>
    </row>
    <row r="110" spans="1:20" ht="15" customHeight="1" x14ac:dyDescent="0.25">
      <c r="A110" s="972">
        <f>IF(AND(B110=TRUE,dpSale_Method="Whole Property"),1,2)</f>
        <v>1</v>
      </c>
      <c r="B110" s="16" t="b">
        <v>1</v>
      </c>
      <c r="C110" s="92"/>
      <c r="D110" s="3504" t="str">
        <f>IF(Sales_AdjType&lt;&gt;"Qualitative","Adjustment","Relative Comparison")</f>
        <v>Adjustment</v>
      </c>
      <c r="E110" s="527"/>
      <c r="F110" s="517"/>
      <c r="G110" s="3505">
        <f t="shared" ref="G110:I110" si="68">IF(Sales_AdjType="Percent",IF(AND(G111=0,G112=0,G113=0),0,IF(G111&lt;&gt;0,G111,IF(G112&lt;&gt;0,IF(dpUnit_Sales="Net Rentable Area",(G112/G$12)/G$54,(G112/G$13)/G$54),IF(dpUnit_Sales="Net Rentable Area",G113/G$54,G113/G$54)))),IF(Sales_AdjType="$ per Unit",IF(AND(G111=0,G112=0,G113=0),0,IF(G111&lt;&gt;0,G111*G$54,IF(G112&lt;&gt;0,IF(dpUnit_Sales="Net Rentable Area",G112/G$12,G112/G$13),G113))),IF(OR(G111&gt;0,G112&gt;0,G113&gt;0),"Inferior",IF(OR(G111&lt;0,G112&lt;0,G113&lt;0),"Superior","Similar"))))</f>
        <v>0</v>
      </c>
      <c r="H110" s="3505">
        <f t="shared" si="68"/>
        <v>0.05</v>
      </c>
      <c r="I110" s="3506">
        <f t="shared" si="68"/>
        <v>-0.05</v>
      </c>
      <c r="J110" s="3506">
        <f t="shared" ref="J110" si="69">IF(Sales_AdjType="Percent",IF(AND(J111=0,J112=0,J113=0),0,IF(J111&lt;&gt;0,J111,IF(J112&lt;&gt;0,IF(dpUnit_Sales="Net Rentable Area",(J112/J$12)/J$54,(J112/J$13)/J$54),IF(dpUnit_Sales="Net Rentable Area",J113/J$54,J113/J$54)))),IF(Sales_AdjType="$ per Unit",IF(AND(J111=0,J112=0,J113=0),0,IF(J111&lt;&gt;0,J111*J$54,IF(J112&lt;&gt;0,IF(dpUnit_Sales="Net Rentable Area",J112/J$12,J112/J$13),J113))),IF(OR(J111&gt;0,J112&gt;0,J113&gt;0),"Inferior",IF(OR(J111&lt;0,J112&lt;0,J113&lt;0),"Superior","Similar"))))</f>
        <v>0</v>
      </c>
      <c r="K110" s="3507"/>
      <c r="L110" s="6"/>
      <c r="T110" s="10">
        <f>497896-163350-40000</f>
        <v>294546</v>
      </c>
    </row>
    <row r="111" spans="1:20" ht="15" hidden="1" customHeight="1" x14ac:dyDescent="0.25">
      <c r="A111" s="972">
        <f>IF(A110=2,2,0)</f>
        <v>0</v>
      </c>
      <c r="B111" s="575"/>
      <c r="C111" s="92"/>
      <c r="D111" s="3283"/>
      <c r="E111" s="2984"/>
      <c r="F111" s="2022" t="s">
        <v>166</v>
      </c>
      <c r="G111" s="1793"/>
      <c r="H111" s="1793">
        <v>0.05</v>
      </c>
      <c r="I111" s="1955">
        <v>-0.05</v>
      </c>
      <c r="J111" s="1955"/>
      <c r="K111" s="775"/>
      <c r="L111" s="6"/>
    </row>
    <row r="112" spans="1:20" ht="15" hidden="1" customHeight="1" x14ac:dyDescent="0.25">
      <c r="A112" s="972">
        <f>IF(A111=2,2,0)</f>
        <v>0</v>
      </c>
      <c r="B112" s="575"/>
      <c r="C112" s="92"/>
      <c r="D112" s="3821"/>
      <c r="E112" s="2984"/>
      <c r="F112" s="2022" t="s">
        <v>167</v>
      </c>
      <c r="G112" s="1794"/>
      <c r="H112" s="1794"/>
      <c r="I112" s="1956"/>
      <c r="J112" s="1956"/>
      <c r="K112" s="3288"/>
      <c r="L112" s="6"/>
      <c r="Q112" s="10">
        <f>5.54*43560</f>
        <v>241322.4</v>
      </c>
    </row>
    <row r="113" spans="1:17" ht="15" hidden="1" customHeight="1" x14ac:dyDescent="0.25">
      <c r="A113" s="972">
        <f>IF(A112=2,2,0)</f>
        <v>0</v>
      </c>
      <c r="B113" s="575"/>
      <c r="C113" s="92"/>
      <c r="D113" s="3283"/>
      <c r="E113" s="2984"/>
      <c r="F113" s="2022" t="s">
        <v>710</v>
      </c>
      <c r="G113" s="1791"/>
      <c r="H113" s="1791"/>
      <c r="I113" s="1953"/>
      <c r="J113" s="1953"/>
      <c r="K113" s="3289"/>
      <c r="L113" s="6"/>
      <c r="Q113" s="10">
        <f>+Q112/195179</f>
        <v>1.2364158029296184</v>
      </c>
    </row>
    <row r="114" spans="1:17" ht="7.5" hidden="1" customHeight="1" x14ac:dyDescent="0.25">
      <c r="A114" s="972">
        <f>A116</f>
        <v>2</v>
      </c>
      <c r="B114" s="16"/>
      <c r="C114" s="92"/>
      <c r="D114" s="3283"/>
      <c r="E114" s="2984"/>
      <c r="F114" s="2984"/>
      <c r="G114" s="3515">
        <f t="shared" ref="G114:I114" si="70">IF(AND(G117=0,G118=0,G119=0),0,IF(G117&lt;&gt;0,G117,IF(G118&lt;&gt;0,IF(dpUnit_Sales="Net Rentable Area",(G118/G$12)/G$54,(G118/G$13)/G$54),IF(dpUnit_Sales="Net Rentable Area",G119/G$54,G119/G$54))))</f>
        <v>0</v>
      </c>
      <c r="H114" s="3515">
        <f>IF(AND(H117=0,H118=0,H119=0),0,IF(H117&lt;&gt;0,H117,IF(H118&lt;&gt;0,IF(dpUnit_Sales="Net Rentable Area",(H118/H$12)/H$54,(H118/H$13)/H$54),IF(dpUnit_Sales="Net Rentable Area",H119/H$54,H119/H$54))))</f>
        <v>0</v>
      </c>
      <c r="I114" s="3516">
        <f t="shared" si="70"/>
        <v>0</v>
      </c>
      <c r="J114" s="3516">
        <f>IF(AND(J117=0,J118=0,J119=0),0,IF(J117&lt;&gt;0,J117,IF(J118&lt;&gt;0,IF(dpUnit_Sales="Net Rentable Area",(J118/J$12)/J$54,(J118/J$13)/J$54),IF(dpUnit_Sales="Net Rentable Area",J119/J$54,J119/J$54))))</f>
        <v>0</v>
      </c>
      <c r="K114" s="258"/>
      <c r="L114" s="6"/>
    </row>
    <row r="115" spans="1:17" ht="14.25" hidden="1" x14ac:dyDescent="0.25">
      <c r="A115" s="972">
        <f>A116</f>
        <v>2</v>
      </c>
      <c r="B115" s="16"/>
      <c r="C115" s="92"/>
      <c r="D115" s="1493" t="s">
        <v>1018</v>
      </c>
      <c r="E115" s="2984"/>
      <c r="F115" s="1749">
        <f>Subject_ParkingRatio</f>
        <v>2.95</v>
      </c>
      <c r="G115" s="3524">
        <v>4.63</v>
      </c>
      <c r="H115" s="3524">
        <v>5.19</v>
      </c>
      <c r="I115" s="3525">
        <v>6.53</v>
      </c>
      <c r="J115" s="3525">
        <v>1.23</v>
      </c>
      <c r="K115" s="258"/>
      <c r="L115" s="6"/>
    </row>
    <row r="116" spans="1:17" ht="14.25" hidden="1" customHeight="1" x14ac:dyDescent="0.25">
      <c r="A116" s="972">
        <f>IF(B116=TRUE,1,2)</f>
        <v>2</v>
      </c>
      <c r="B116" s="16" t="b">
        <v>0</v>
      </c>
      <c r="C116" s="92"/>
      <c r="D116" s="3504" t="str">
        <f>IF(Sales_AdjType&lt;&gt;"Qualitative","Adjustment","Relative Comparison")</f>
        <v>Adjustment</v>
      </c>
      <c r="E116" s="2984"/>
      <c r="F116" s="517"/>
      <c r="G116" s="3505">
        <f t="shared" ref="G116:I116" si="71">IF(Sales_AdjType="Percent",IF(AND(G117=0,G118=0,G119=0),0,IF(G117&lt;&gt;0,G117,IF(G118&lt;&gt;0,IF(dpUnit_Sales="Net Rentable Area",(G118/G$12)/G$54,(G118/G$13)/G$54),IF(dpUnit_Sales="Net Rentable Area",G119/G$54,G119/G$54)))),IF(Sales_AdjType="$ per Unit",IF(AND(G117=0,G118=0,G119=0),0,IF(G117&lt;&gt;0,G117*G$54,IF(G118&lt;&gt;0,IF(dpUnit_Sales="Net Rentable Area",G118/G$12,G118/G$13),G119))),IF(OR(G117&gt;0,G118&gt;0,G119&gt;0),"Inferior",IF(OR(G117&lt;0,G118&lt;0,G119&lt;0),"Superior","Similar"))))</f>
        <v>0</v>
      </c>
      <c r="H116" s="3505">
        <f>IF(Sales_AdjType="Percent",IF(AND(H117=0,H118=0,H119=0),0,IF(H117&lt;&gt;0,H117,IF(H118&lt;&gt;0,IF(dpUnit_Sales="Net Rentable Area",(H118/H$12)/H$54,(H118/H$13)/H$54),IF(dpUnit_Sales="Net Rentable Area",H119/H$54,H119/H$54)))),IF(Sales_AdjType="$ per Unit",IF(AND(H117=0,H118=0,H119=0),0,IF(H117&lt;&gt;0,H117*H$54,IF(H118&lt;&gt;0,IF(dpUnit_Sales="Net Rentable Area",H118/H$12,H118/H$13),H119))),IF(OR(H117&gt;0,H118&gt;0,H119&gt;0),"Inferior",IF(OR(H117&lt;0,H118&lt;0,H119&lt;0),"Superior","Similar"))))</f>
        <v>0</v>
      </c>
      <c r="I116" s="3506">
        <f t="shared" si="71"/>
        <v>0</v>
      </c>
      <c r="J116" s="3506">
        <f>IF(Sales_AdjType="Percent",IF(AND(J117=0,J118=0,J119=0),0,IF(J117&lt;&gt;0,J117,IF(J118&lt;&gt;0,IF(dpUnit_Sales="Net Rentable Area",(J118/J$12)/J$54,(J118/J$13)/J$54),IF(dpUnit_Sales="Net Rentable Area",J119/J$54,J119/J$54)))),IF(Sales_AdjType="$ per Unit",IF(AND(J117=0,J118=0,J119=0),0,IF(J117&lt;&gt;0,J117*J$54,IF(J118&lt;&gt;0,IF(dpUnit_Sales="Net Rentable Area",J118/J$12,J118/J$13),J119))),IF(OR(J117&gt;0,J118&gt;0,J119&gt;0),"Inferior",IF(OR(J117&lt;0,J118&lt;0,J119&lt;0),"Superior","Similar"))))</f>
        <v>0</v>
      </c>
      <c r="K116" s="258"/>
      <c r="L116" s="6"/>
    </row>
    <row r="117" spans="1:17" ht="14.25" hidden="1" customHeight="1" x14ac:dyDescent="0.25">
      <c r="A117" s="972">
        <f>IF(A116=2,2,0)</f>
        <v>2</v>
      </c>
      <c r="B117" s="16"/>
      <c r="C117" s="92"/>
      <c r="D117" s="3283"/>
      <c r="E117" s="2984"/>
      <c r="F117" s="2022" t="s">
        <v>166</v>
      </c>
      <c r="G117" s="1793"/>
      <c r="H117" s="1793"/>
      <c r="I117" s="1955"/>
      <c r="J117" s="1955"/>
      <c r="K117" s="258"/>
      <c r="L117" s="6"/>
    </row>
    <row r="118" spans="1:17" ht="14.25" hidden="1" customHeight="1" x14ac:dyDescent="0.25">
      <c r="A118" s="972">
        <f>IF(A117=2,2,0)</f>
        <v>2</v>
      </c>
      <c r="B118" s="16"/>
      <c r="C118" s="92"/>
      <c r="D118" s="3283"/>
      <c r="E118" s="2984"/>
      <c r="F118" s="2022" t="s">
        <v>167</v>
      </c>
      <c r="G118" s="1794"/>
      <c r="H118" s="1794"/>
      <c r="I118" s="1956"/>
      <c r="J118" s="1956"/>
      <c r="K118" s="258"/>
      <c r="L118" s="6"/>
    </row>
    <row r="119" spans="1:17" ht="14.25" hidden="1" customHeight="1" x14ac:dyDescent="0.25">
      <c r="A119" s="972">
        <f>IF(A118=2,2,0)</f>
        <v>2</v>
      </c>
      <c r="B119" s="16"/>
      <c r="C119" s="92"/>
      <c r="D119" s="3283"/>
      <c r="E119" s="2984"/>
      <c r="F119" s="2022" t="s">
        <v>710</v>
      </c>
      <c r="G119" s="1791"/>
      <c r="H119" s="1791"/>
      <c r="I119" s="1953"/>
      <c r="J119" s="1953"/>
      <c r="K119" s="258"/>
      <c r="L119" s="6"/>
    </row>
    <row r="120" spans="1:17" ht="8.1" hidden="1" customHeight="1" x14ac:dyDescent="0.25">
      <c r="A120" s="972">
        <f>A122</f>
        <v>2</v>
      </c>
      <c r="B120" s="16"/>
      <c r="C120" s="92"/>
      <c r="D120" s="3283"/>
      <c r="E120" s="2984"/>
      <c r="F120" s="2984"/>
      <c r="G120" s="3515">
        <f t="shared" ref="G120:I120" si="72">IF(AND(G123=0,G124=0,G125=0),0,IF(G123&lt;&gt;0,G123,IF(G124&lt;&gt;0,IF(dpUnit_Sales="Net Rentable Area",(G124/G$12)/G$54,(G124/G$13)/G$54),IF(dpUnit_Sales="Net Rentable Area",G125/G$54,G125/G$54))))</f>
        <v>0</v>
      </c>
      <c r="H120" s="3515">
        <f t="shared" si="72"/>
        <v>0</v>
      </c>
      <c r="I120" s="3516">
        <f t="shared" si="72"/>
        <v>0</v>
      </c>
      <c r="J120" s="3516">
        <f t="shared" ref="J120" si="73">IF(AND(J123=0,J124=0,J125=0),0,IF(J123&lt;&gt;0,J123,IF(J124&lt;&gt;0,IF(dpUnit_Sales="Net Rentable Area",(J124/J$12)/J$54,(J124/J$13)/J$54),IF(dpUnit_Sales="Net Rentable Area",J125/J$54,J125/J$54))))</f>
        <v>0</v>
      </c>
      <c r="K120" s="258"/>
      <c r="L120" s="6"/>
    </row>
    <row r="121" spans="1:17" ht="14.25" hidden="1" x14ac:dyDescent="0.25">
      <c r="A121" s="972">
        <f>A122</f>
        <v>2</v>
      </c>
      <c r="B121" s="16"/>
      <c r="C121" s="92"/>
      <c r="D121" s="1493" t="s">
        <v>1409</v>
      </c>
      <c r="E121" s="2984"/>
      <c r="F121" s="3834" t="str">
        <f ca="1">IF(dpSales_Adjustment_10="Remaining Lease Term",dpIncome_Lease_AvgRemTerm,CONCATENATE(ROUND(dpIncome_Lease_AvgRemTerm,0),"-Yr. WALT w/ Contract Rent ",'Income Support'!P12))</f>
        <v/>
      </c>
      <c r="G121" s="3835">
        <f t="shared" ref="G121:J121" ca="1" si="74">HLOOKUP(G$7,OFFSET(dpSales_SummaryTable_Detailed,1,),31,FALSE)</f>
        <v>0</v>
      </c>
      <c r="H121" s="3835">
        <f t="shared" ca="1" si="74"/>
        <v>0</v>
      </c>
      <c r="I121" s="3836">
        <f t="shared" ca="1" si="74"/>
        <v>0</v>
      </c>
      <c r="J121" s="3836">
        <f t="shared" ca="1" si="74"/>
        <v>0</v>
      </c>
      <c r="K121" s="258"/>
      <c r="L121" s="6"/>
    </row>
    <row r="122" spans="1:17" ht="14.25" hidden="1" customHeight="1" x14ac:dyDescent="0.25">
      <c r="A122" s="972">
        <f>IF(B122=TRUE,1,2)</f>
        <v>2</v>
      </c>
      <c r="B122" s="16" t="b">
        <v>0</v>
      </c>
      <c r="C122" s="92"/>
      <c r="D122" s="3504" t="str">
        <f>IF(Sales_AdjType&lt;&gt;"Qualitative","Adjustment","Relative Comparison")</f>
        <v>Adjustment</v>
      </c>
      <c r="E122" s="2984"/>
      <c r="F122" s="517"/>
      <c r="G122" s="3505">
        <f t="shared" ref="G122:I122" si="75">IF(Sales_AdjType="Percent",IF(AND(G123=0,G124=0,G125=0),0,IF(G123&lt;&gt;0,G123,IF(G124&lt;&gt;0,IF(dpUnit_Sales="Net Rentable Area",(G124/G$12)/G$54,(G124/G$13)/G$54),IF(dpUnit_Sales="Net Rentable Area",G125/G$54,G125/G$54)))),IF(Sales_AdjType="$ per Unit",IF(AND(G123=0,G124=0,G125=0),0,IF(G123&lt;&gt;0,G123*G$54,IF(G124&lt;&gt;0,IF(dpUnit_Sales="Net Rentable Area",G124/G$12,G124/G$13),G125))),IF(OR(G123&gt;0,G124&gt;0,G125&gt;0),"Inferior",IF(OR(G123&lt;0,G124&lt;0,G125&lt;0),"Superior","Similar"))))</f>
        <v>0</v>
      </c>
      <c r="H122" s="3505">
        <f t="shared" si="75"/>
        <v>0</v>
      </c>
      <c r="I122" s="3506">
        <f t="shared" si="75"/>
        <v>0</v>
      </c>
      <c r="J122" s="3506">
        <f t="shared" ref="J122" si="76">IF(Sales_AdjType="Percent",IF(AND(J123=0,J124=0,J125=0),0,IF(J123&lt;&gt;0,J123,IF(J124&lt;&gt;0,IF(dpUnit_Sales="Net Rentable Area",(J124/J$12)/J$54,(J124/J$13)/J$54),IF(dpUnit_Sales="Net Rentable Area",J125/J$54,J125/J$54)))),IF(Sales_AdjType="$ per Unit",IF(AND(J123=0,J124=0,J125=0),0,IF(J123&lt;&gt;0,J123*J$54,IF(J124&lt;&gt;0,IF(dpUnit_Sales="Net Rentable Area",J124/J$12,J124/J$13),J125))),IF(OR(J123&gt;0,J124&gt;0,J125&gt;0),"Inferior",IF(OR(J123&lt;0,J124&lt;0,J125&lt;0),"Superior","Similar"))))</f>
        <v>0</v>
      </c>
      <c r="K122" s="258"/>
      <c r="L122" s="6"/>
    </row>
    <row r="123" spans="1:17" ht="14.25" hidden="1" customHeight="1" x14ac:dyDescent="0.25">
      <c r="A123" s="972">
        <f>IF(A122=2,2,0)</f>
        <v>2</v>
      </c>
      <c r="B123" s="16"/>
      <c r="C123" s="92"/>
      <c r="D123" s="3821"/>
      <c r="E123" s="2984"/>
      <c r="F123" s="2022" t="s">
        <v>166</v>
      </c>
      <c r="G123" s="1793"/>
      <c r="H123" s="1793"/>
      <c r="I123" s="1955"/>
      <c r="J123" s="1955"/>
      <c r="K123" s="258"/>
      <c r="L123" s="6"/>
    </row>
    <row r="124" spans="1:17" ht="14.25" hidden="1" customHeight="1" x14ac:dyDescent="0.25">
      <c r="A124" s="972">
        <f>IF(A123=2,2,0)</f>
        <v>2</v>
      </c>
      <c r="B124" s="16"/>
      <c r="C124" s="92"/>
      <c r="D124" s="3821"/>
      <c r="E124" s="2984"/>
      <c r="F124" s="2022" t="s">
        <v>167</v>
      </c>
      <c r="G124" s="1794"/>
      <c r="H124" s="1794"/>
      <c r="I124" s="1956"/>
      <c r="J124" s="1956"/>
      <c r="K124" s="258"/>
      <c r="L124" s="6"/>
    </row>
    <row r="125" spans="1:17" ht="14.25" hidden="1" customHeight="1" x14ac:dyDescent="0.25">
      <c r="A125" s="972">
        <f>IF(A124=2,2,0)</f>
        <v>2</v>
      </c>
      <c r="B125" s="16"/>
      <c r="C125" s="92"/>
      <c r="D125" s="3283"/>
      <c r="E125" s="2984"/>
      <c r="F125" s="2022" t="s">
        <v>710</v>
      </c>
      <c r="G125" s="1791"/>
      <c r="H125" s="1791"/>
      <c r="I125" s="1953"/>
      <c r="J125" s="1953"/>
      <c r="K125" s="258"/>
      <c r="L125" s="6"/>
    </row>
    <row r="126" spans="1:17" ht="8.1" hidden="1" customHeight="1" x14ac:dyDescent="0.25">
      <c r="A126" s="972">
        <f>A128</f>
        <v>2</v>
      </c>
      <c r="B126" s="16"/>
      <c r="C126" s="92"/>
      <c r="D126" s="3283"/>
      <c r="E126" s="2984"/>
      <c r="F126" s="2984"/>
      <c r="G126" s="3515">
        <f t="shared" ref="G126:I126" si="77">IF(AND(G129=0,G130=0,G131=0),0,IF(G129&lt;&gt;0,G129,IF(G130&lt;&gt;0,IF(dpUnit_Sales="Net Rentable Area",(G130/G$12)/G$54,(G130/G$13)/G$54),IF(dpUnit_Sales="Net Rentable Area",G131/G$54,G131/G$54))))</f>
        <v>0</v>
      </c>
      <c r="H126" s="3515">
        <f t="shared" si="77"/>
        <v>0</v>
      </c>
      <c r="I126" s="3516">
        <f t="shared" si="77"/>
        <v>0</v>
      </c>
      <c r="J126" s="3516">
        <f t="shared" ref="J126" si="78">IF(AND(J129=0,J130=0,J131=0),0,IF(J129&lt;&gt;0,J129,IF(J130&lt;&gt;0,IF(dpUnit_Sales="Net Rentable Area",(J130/J$12)/J$54,(J130/J$13)/J$54),IF(dpUnit_Sales="Net Rentable Area",J131/J$54,J131/J$54))))</f>
        <v>0</v>
      </c>
      <c r="K126" s="258"/>
      <c r="L126" s="6"/>
    </row>
    <row r="127" spans="1:17" ht="14.25" hidden="1" x14ac:dyDescent="0.25">
      <c r="A127" s="972">
        <f>A128</f>
        <v>2</v>
      </c>
      <c r="B127" s="16"/>
      <c r="C127" s="92"/>
      <c r="D127" s="1493" t="s">
        <v>1019</v>
      </c>
      <c r="E127" s="2984"/>
      <c r="F127" s="718" t="str">
        <f ca="1">dpIncome_Lease_AvgRemTerm</f>
        <v/>
      </c>
      <c r="G127" s="1831"/>
      <c r="H127" s="1831"/>
      <c r="I127" s="1006"/>
      <c r="J127" s="1006"/>
      <c r="K127" s="258"/>
      <c r="L127" s="6"/>
    </row>
    <row r="128" spans="1:17" ht="14.25" hidden="1" customHeight="1" x14ac:dyDescent="0.25">
      <c r="A128" s="972">
        <f>IF(B128=TRUE,1,2)</f>
        <v>2</v>
      </c>
      <c r="B128" s="16" t="b">
        <v>0</v>
      </c>
      <c r="C128" s="92"/>
      <c r="D128" s="3504" t="str">
        <f>IF(Sales_AdjType&lt;&gt;"Qualitative","Adjustment","Relative Comparison")</f>
        <v>Adjustment</v>
      </c>
      <c r="E128" s="2984"/>
      <c r="F128" s="517"/>
      <c r="G128" s="3505">
        <f t="shared" ref="G128:I128" si="79">IF(Sales_AdjType="Percent",IF(AND(G129=0,G130=0,G131=0),0,IF(G129&lt;&gt;0,G129,IF(G130&lt;&gt;0,IF(dpUnit_Sales="Net Rentable Area",(G130/G$12)/G$54,(G130/G$13)/G$54),IF(dpUnit_Sales="Net Rentable Area",G131/G$54,G131/G$54)))),IF(Sales_AdjType="$ per Unit",IF(AND(G129=0,G130=0,G131=0),0,IF(G129&lt;&gt;0,G129*G$54,IF(G130&lt;&gt;0,IF(dpUnit_Sales="Net Rentable Area",G130/G$12,G130/G$13),G131))),IF(OR(G129&gt;0,G130&gt;0,G131&gt;0),"Inferior",IF(OR(G129&lt;0,G130&lt;0,G131&lt;0),"Superior","Similar"))))</f>
        <v>0</v>
      </c>
      <c r="H128" s="3505">
        <f t="shared" si="79"/>
        <v>0</v>
      </c>
      <c r="I128" s="3506">
        <f t="shared" si="79"/>
        <v>0</v>
      </c>
      <c r="J128" s="3506">
        <f t="shared" ref="J128" si="80">IF(Sales_AdjType="Percent",IF(AND(J129=0,J130=0,J131=0),0,IF(J129&lt;&gt;0,J129,IF(J130&lt;&gt;0,IF(dpUnit_Sales="Net Rentable Area",(J130/J$12)/J$54,(J130/J$13)/J$54),IF(dpUnit_Sales="Net Rentable Area",J131/J$54,J131/J$54)))),IF(Sales_AdjType="$ per Unit",IF(AND(J129=0,J130=0,J131=0),0,IF(J129&lt;&gt;0,J129*J$54,IF(J130&lt;&gt;0,IF(dpUnit_Sales="Net Rentable Area",J130/J$12,J130/J$13),J131))),IF(OR(J129&gt;0,J130&gt;0,J131&gt;0),"Inferior",IF(OR(J129&lt;0,J130&lt;0,J131&lt;0),"Superior","Similar"))))</f>
        <v>0</v>
      </c>
      <c r="K128" s="258"/>
      <c r="L128" s="6"/>
    </row>
    <row r="129" spans="1:20" ht="14.25" hidden="1" customHeight="1" x14ac:dyDescent="0.25">
      <c r="A129" s="972">
        <f>IF(A128=2,2,0)</f>
        <v>2</v>
      </c>
      <c r="B129" s="16"/>
      <c r="C129" s="92"/>
      <c r="D129" s="3821"/>
      <c r="E129" s="2984"/>
      <c r="F129" s="2022" t="s">
        <v>166</v>
      </c>
      <c r="G129" s="1793"/>
      <c r="H129" s="1793"/>
      <c r="I129" s="1955"/>
      <c r="J129" s="1955"/>
      <c r="K129" s="258"/>
      <c r="L129" s="6"/>
    </row>
    <row r="130" spans="1:20" ht="14.25" hidden="1" customHeight="1" x14ac:dyDescent="0.25">
      <c r="A130" s="972">
        <f>IF(A129=2,2,0)</f>
        <v>2</v>
      </c>
      <c r="B130" s="16"/>
      <c r="C130" s="92"/>
      <c r="D130" s="3821"/>
      <c r="E130" s="2984"/>
      <c r="F130" s="2022" t="s">
        <v>167</v>
      </c>
      <c r="G130" s="1794"/>
      <c r="H130" s="1794"/>
      <c r="I130" s="1956"/>
      <c r="J130" s="1956"/>
      <c r="K130" s="258"/>
      <c r="L130" s="6"/>
    </row>
    <row r="131" spans="1:20" ht="14.25" hidden="1" customHeight="1" x14ac:dyDescent="0.25">
      <c r="A131" s="972">
        <f>IF(A130=2,2,0)</f>
        <v>2</v>
      </c>
      <c r="B131" s="16"/>
      <c r="C131" s="92"/>
      <c r="D131" s="3283"/>
      <c r="E131" s="2984"/>
      <c r="F131" s="2022" t="s">
        <v>710</v>
      </c>
      <c r="G131" s="1791"/>
      <c r="H131" s="1791"/>
      <c r="I131" s="1953"/>
      <c r="J131" s="1953"/>
      <c r="K131" s="258"/>
      <c r="L131" s="6"/>
    </row>
    <row r="132" spans="1:20" ht="8.1" customHeight="1" x14ac:dyDescent="0.25">
      <c r="A132" s="972">
        <f>A134</f>
        <v>1</v>
      </c>
      <c r="B132" s="16"/>
      <c r="C132" s="92"/>
      <c r="D132" s="3283"/>
      <c r="E132" s="2984"/>
      <c r="F132" s="2984"/>
      <c r="G132" s="3515">
        <f t="shared" ref="G132:I132" si="81">IF(AND(G135=0,G136=0,G137=0),0,IF(G135&lt;&gt;0,G135,IF(G136&lt;&gt;0,IF(dpUnit_Sales="Net Rentable Area",(G136/G$12)/G$54,(G136/G$13)/G$54),IF(dpUnit_Sales="Net Rentable Area",G137/G$54,G137/G$54))))</f>
        <v>0</v>
      </c>
      <c r="H132" s="3515">
        <f t="shared" si="81"/>
        <v>-0.1</v>
      </c>
      <c r="I132" s="3516">
        <f t="shared" si="81"/>
        <v>-0.1</v>
      </c>
      <c r="J132" s="3516">
        <f t="shared" ref="J132" si="82">IF(AND(J135=0,J136=0,J137=0),0,IF(J135&lt;&gt;0,J135,IF(J136&lt;&gt;0,IF(dpUnit_Sales="Net Rentable Area",(J136/J$12)/J$54,(J136/J$13)/J$54),IF(dpUnit_Sales="Net Rentable Area",J137/J$54,J137/J$54))))</f>
        <v>-0.1</v>
      </c>
      <c r="K132" s="258"/>
      <c r="L132" s="6"/>
    </row>
    <row r="133" spans="1:20" ht="14.25" x14ac:dyDescent="0.25">
      <c r="A133" s="972">
        <f>A134</f>
        <v>1</v>
      </c>
      <c r="B133" s="575"/>
      <c r="C133" s="92"/>
      <c r="D133" s="1493" t="s">
        <v>20067</v>
      </c>
      <c r="E133" s="2984"/>
      <c r="F133" s="718" t="s">
        <v>306</v>
      </c>
      <c r="G133" s="1897" t="s">
        <v>19941</v>
      </c>
      <c r="H133" s="1897" t="s">
        <v>1464</v>
      </c>
      <c r="I133" s="1989" t="s">
        <v>1464</v>
      </c>
      <c r="J133" s="1989" t="s">
        <v>1464</v>
      </c>
      <c r="K133" s="93"/>
      <c r="L133" s="6"/>
      <c r="T133" s="10">
        <f>+T110*3</f>
        <v>883638</v>
      </c>
    </row>
    <row r="134" spans="1:20" ht="15" customHeight="1" x14ac:dyDescent="0.25">
      <c r="A134" s="972">
        <f>IF(B134=TRUE,1,2)</f>
        <v>1</v>
      </c>
      <c r="B134" s="16" t="b">
        <v>1</v>
      </c>
      <c r="C134" s="92"/>
      <c r="D134" s="3504" t="str">
        <f>IF(Sales_AdjType&lt;&gt;"Qualitative","Adjustment","Relative Comparison")</f>
        <v>Adjustment</v>
      </c>
      <c r="E134" s="2984"/>
      <c r="F134" s="517"/>
      <c r="G134" s="3505">
        <f t="shared" ref="G134:I134" si="83">IF(Sales_AdjType="Percent",IF(AND(G135=0,G136=0,G137=0),0,IF(G135&lt;&gt;0,G135,IF(G136&lt;&gt;0,IF(dpUnit_Sales="Net Rentable Area",(G136/G$12)/G$54,(G136/G$13)/G$54),IF(dpUnit_Sales="Net Rentable Area",G137/G$54,G137/G$54)))),IF(Sales_AdjType="$ per Unit",IF(AND(G135=0,G136=0,G137=0),0,IF(G135&lt;&gt;0,G135*G$54,IF(G136&lt;&gt;0,IF(dpUnit_Sales="Net Rentable Area",G136/G$12,G136/G$13),G137))),IF(OR(G135&gt;0,G136&gt;0,G137&gt;0),"Inferior",IF(OR(G135&lt;0,G136&lt;0,G137&lt;0),"Superior","Similar"))))</f>
        <v>0</v>
      </c>
      <c r="H134" s="3505">
        <f t="shared" si="83"/>
        <v>-0.1</v>
      </c>
      <c r="I134" s="3506">
        <f t="shared" si="83"/>
        <v>-0.1</v>
      </c>
      <c r="J134" s="3506">
        <f t="shared" ref="J134" si="84">IF(Sales_AdjType="Percent",IF(AND(J135=0,J136=0,J137=0),0,IF(J135&lt;&gt;0,J135,IF(J136&lt;&gt;0,IF(dpUnit_Sales="Net Rentable Area",(J136/J$12)/J$54,(J136/J$13)/J$54),IF(dpUnit_Sales="Net Rentable Area",J137/J$54,J137/J$54)))),IF(Sales_AdjType="$ per Unit",IF(AND(J135=0,J136=0,J137=0),0,IF(J135&lt;&gt;0,J135*J$54,IF(J136&lt;&gt;0,IF(dpUnit_Sales="Net Rentable Area",J136/J$12,J136/J$13),J137))),IF(OR(J135&gt;0,J136&gt;0,J137&gt;0),"Inferior",IF(OR(J135&lt;0,J136&lt;0,J137&lt;0),"Superior","Similar"))))</f>
        <v>-0.1</v>
      </c>
      <c r="K134" s="3507"/>
      <c r="L134" s="6"/>
    </row>
    <row r="135" spans="1:20" ht="15" hidden="1" customHeight="1" x14ac:dyDescent="0.25">
      <c r="A135" s="972">
        <f>IF(A134=2,2,0)</f>
        <v>0</v>
      </c>
      <c r="B135" s="575"/>
      <c r="C135" s="92"/>
      <c r="D135" s="3283"/>
      <c r="E135" s="2984"/>
      <c r="F135" s="2022" t="s">
        <v>166</v>
      </c>
      <c r="G135" s="1793"/>
      <c r="H135" s="1793">
        <v>-0.1</v>
      </c>
      <c r="I135" s="1955">
        <v>-0.1</v>
      </c>
      <c r="J135" s="1955">
        <v>-0.1</v>
      </c>
      <c r="K135" s="775"/>
      <c r="L135" s="6"/>
    </row>
    <row r="136" spans="1:20" ht="15" hidden="1" customHeight="1" x14ac:dyDescent="0.25">
      <c r="A136" s="972">
        <f>IF(A135=2,2,0)</f>
        <v>0</v>
      </c>
      <c r="B136" s="575"/>
      <c r="C136" s="92"/>
      <c r="D136" s="3821"/>
      <c r="E136" s="2984"/>
      <c r="F136" s="2022" t="s">
        <v>167</v>
      </c>
      <c r="G136" s="1794"/>
      <c r="H136" s="1794"/>
      <c r="I136" s="1956"/>
      <c r="J136" s="1956"/>
      <c r="K136" s="3288"/>
      <c r="L136" s="6"/>
    </row>
    <row r="137" spans="1:20" ht="15" hidden="1" customHeight="1" x14ac:dyDescent="0.25">
      <c r="A137" s="972">
        <f>IF(A136=2,2,0)</f>
        <v>0</v>
      </c>
      <c r="B137" s="575"/>
      <c r="C137" s="92"/>
      <c r="D137" s="3283"/>
      <c r="E137" s="2984"/>
      <c r="F137" s="2022" t="s">
        <v>710</v>
      </c>
      <c r="G137" s="1791"/>
      <c r="H137" s="1791"/>
      <c r="I137" s="1953"/>
      <c r="J137" s="1953"/>
      <c r="K137" s="3289"/>
      <c r="L137" s="6"/>
    </row>
    <row r="138" spans="1:20" ht="7.5" hidden="1" customHeight="1" x14ac:dyDescent="0.25">
      <c r="A138" s="972">
        <f>A140</f>
        <v>2</v>
      </c>
      <c r="B138" s="16"/>
      <c r="C138" s="92"/>
      <c r="D138" s="3283"/>
      <c r="E138" s="2984"/>
      <c r="F138" s="517"/>
      <c r="G138" s="3515">
        <f t="shared" ref="G138:I138" si="85">IF(AND(G141=0,G142=0,G143=0),0,IF(G141&lt;&gt;0,G141,IF(G142&lt;&gt;0,IF(dpUnit_Sales="Net Rentable Area",(G142/G$12)/G$54,(G142/G$13)/G$54),IF(dpUnit_Sales="Net Rentable Area",G143/G$54,G143/G$54))))</f>
        <v>0</v>
      </c>
      <c r="H138" s="3515">
        <f t="shared" si="85"/>
        <v>0</v>
      </c>
      <c r="I138" s="3516">
        <f t="shared" si="85"/>
        <v>0</v>
      </c>
      <c r="J138" s="3516">
        <f t="shared" ref="J138" si="86">IF(AND(J141=0,J142=0,J143=0),0,IF(J141&lt;&gt;0,J141,IF(J142&lt;&gt;0,IF(dpUnit_Sales="Net Rentable Area",(J142/J$12)/J$54,(J142/J$13)/J$54),IF(dpUnit_Sales="Net Rentable Area",J143/J$54,J143/J$54))))</f>
        <v>0</v>
      </c>
      <c r="K138" s="258"/>
      <c r="L138" s="6"/>
    </row>
    <row r="139" spans="1:20" ht="14.25" hidden="1" x14ac:dyDescent="0.25">
      <c r="A139" s="972">
        <f>A140</f>
        <v>2</v>
      </c>
      <c r="B139" s="575"/>
      <c r="C139" s="92"/>
      <c r="D139" s="1493" t="s">
        <v>20020</v>
      </c>
      <c r="E139" s="2984"/>
      <c r="F139" s="718" t="s">
        <v>19881</v>
      </c>
      <c r="G139" s="1799" t="s">
        <v>19881</v>
      </c>
      <c r="H139" s="1799" t="s">
        <v>20021</v>
      </c>
      <c r="I139" s="1961" t="s">
        <v>20021</v>
      </c>
      <c r="J139" s="1961" t="s">
        <v>20021</v>
      </c>
      <c r="K139" s="93"/>
      <c r="L139" s="6"/>
    </row>
    <row r="140" spans="1:20" ht="15" hidden="1" customHeight="1" x14ac:dyDescent="0.25">
      <c r="A140" s="972">
        <f>IF(B140=TRUE,1,2)</f>
        <v>2</v>
      </c>
      <c r="B140" s="16" t="b">
        <v>0</v>
      </c>
      <c r="C140" s="92"/>
      <c r="D140" s="3504" t="str">
        <f>IF(Sales_AdjType&lt;&gt;"Qualitative","Adjustment","Relative Comparison")</f>
        <v>Adjustment</v>
      </c>
      <c r="E140" s="2984"/>
      <c r="F140" s="517"/>
      <c r="G140" s="3505">
        <f t="shared" ref="G140:I140" si="87">IF(Sales_AdjType="Percent",IF(AND(G141=0,G142=0,G143=0),0,IF(G141&lt;&gt;0,G141,IF(G142&lt;&gt;0,IF(dpUnit_Sales="Net Rentable Area",(G142/G$12)/G$54,(G142/G$13)/G$54),IF(dpUnit_Sales="Net Rentable Area",G143/G$54,G143/G$54)))),IF(Sales_AdjType="$ per Unit",IF(AND(G141=0,G142=0,G143=0),0,IF(G141&lt;&gt;0,G141*G$54,IF(G142&lt;&gt;0,IF(dpUnit_Sales="Net Rentable Area",G142/G$12,G142/G$13),G143))),IF(OR(G141&gt;0,G142&gt;0,G143&gt;0),"Inferior",IF(OR(G141&lt;0,G142&lt;0,G143&lt;0),"Superior","Similar"))))</f>
        <v>0</v>
      </c>
      <c r="H140" s="3505">
        <f t="shared" si="87"/>
        <v>0</v>
      </c>
      <c r="I140" s="3506">
        <f t="shared" si="87"/>
        <v>0</v>
      </c>
      <c r="J140" s="3506">
        <f t="shared" ref="J140" si="88">IF(Sales_AdjType="Percent",IF(AND(J141=0,J142=0,J143=0),0,IF(J141&lt;&gt;0,J141,IF(J142&lt;&gt;0,IF(dpUnit_Sales="Net Rentable Area",(J142/J$12)/J$54,(J142/J$13)/J$54),IF(dpUnit_Sales="Net Rentable Area",J143/J$54,J143/J$54)))),IF(Sales_AdjType="$ per Unit",IF(AND(J141=0,J142=0,J143=0),0,IF(J141&lt;&gt;0,J141*J$54,IF(J142&lt;&gt;0,IF(dpUnit_Sales="Net Rentable Area",J142/J$12,J142/J$13),J143))),IF(OR(J141&gt;0,J142&gt;0,J143&gt;0),"Inferior",IF(OR(J141&lt;0,J142&lt;0,J143&lt;0),"Superior","Similar"))))</f>
        <v>0</v>
      </c>
      <c r="K140" s="3507"/>
      <c r="L140" s="6"/>
    </row>
    <row r="141" spans="1:20" ht="15" hidden="1" customHeight="1" x14ac:dyDescent="0.25">
      <c r="A141" s="972">
        <f>IF(A140=2,2,0)</f>
        <v>2</v>
      </c>
      <c r="B141" s="575"/>
      <c r="C141" s="92"/>
      <c r="D141" s="3283"/>
      <c r="E141" s="2984"/>
      <c r="F141" s="2022" t="s">
        <v>166</v>
      </c>
      <c r="G141" s="1793"/>
      <c r="H141" s="1793"/>
      <c r="I141" s="1955"/>
      <c r="J141" s="1955"/>
      <c r="K141" s="775"/>
      <c r="L141" s="6"/>
    </row>
    <row r="142" spans="1:20" ht="15" hidden="1" customHeight="1" x14ac:dyDescent="0.25">
      <c r="A142" s="972">
        <f>IF(A141=2,2,0)</f>
        <v>2</v>
      </c>
      <c r="B142" s="575"/>
      <c r="C142" s="92"/>
      <c r="D142" s="3821"/>
      <c r="E142" s="2984"/>
      <c r="F142" s="2022" t="s">
        <v>167</v>
      </c>
      <c r="G142" s="1794"/>
      <c r="H142" s="1794"/>
      <c r="I142" s="1956"/>
      <c r="J142" s="1956"/>
      <c r="K142" s="3288"/>
      <c r="L142" s="6"/>
    </row>
    <row r="143" spans="1:20" ht="15" hidden="1" customHeight="1" x14ac:dyDescent="0.25">
      <c r="A143" s="972">
        <f>IF(A142=2,2,0)</f>
        <v>2</v>
      </c>
      <c r="B143" s="16"/>
      <c r="C143" s="92"/>
      <c r="D143" s="3283"/>
      <c r="E143" s="2984"/>
      <c r="F143" s="2022" t="s">
        <v>710</v>
      </c>
      <c r="G143" s="1791"/>
      <c r="H143" s="1791"/>
      <c r="I143" s="1953"/>
      <c r="J143" s="1953"/>
      <c r="K143" s="3289"/>
      <c r="L143" s="6"/>
    </row>
    <row r="144" spans="1:20" ht="15" customHeight="1" x14ac:dyDescent="0.25">
      <c r="A144" s="972">
        <f>IF(Sales_AdjType="Qualitative",0,1)</f>
        <v>1</v>
      </c>
      <c r="B144" s="16"/>
      <c r="C144" s="92"/>
      <c r="D144" s="3504" t="str">
        <f>IF(Sales_AdjType&lt;&gt;"Qualitative","Net Physical Adjustment","Net Relative Comparison")</f>
        <v>Net Physical Adjustment</v>
      </c>
      <c r="E144" s="258"/>
      <c r="F144" s="93"/>
      <c r="G144" s="3837">
        <f t="shared" ref="G144:I144" si="89">IF(Sales_AdjType&lt;&gt;"Qualitative",SUM(G59,G65,G77,G86,G92,G98,G104,G110,G116,G122,G128,G134,G140),SUM(G55,G63,G69,G81,G90,G96,G102,G108,G114,G120,G126,G132,G138))</f>
        <v>0</v>
      </c>
      <c r="H144" s="3837">
        <f t="shared" si="89"/>
        <v>-0.05</v>
      </c>
      <c r="I144" s="3838">
        <f t="shared" si="89"/>
        <v>-0.25</v>
      </c>
      <c r="J144" s="3838">
        <f t="shared" ref="J144" si="90">IF(Sales_AdjType&lt;&gt;"Qualitative",SUM(J59,J65,J77,J86,J92,J98,J104,J110,J116,J122,J128,J134,J140),SUM(J55,J63,J69,J81,J90,J96,J102,J108,J114,J120,J126,J132,J138))</f>
        <v>-0.2</v>
      </c>
      <c r="K144" s="3507"/>
      <c r="L144" s="6"/>
    </row>
    <row r="145" spans="1:24" ht="15" hidden="1" customHeight="1" x14ac:dyDescent="0.25">
      <c r="A145" s="972">
        <v>0</v>
      </c>
      <c r="B145" s="4"/>
      <c r="C145" s="258"/>
      <c r="D145" s="3283" t="str">
        <f>IF(Sales_AdjType&lt;&gt;"Qualitative","Gross Physical Adjustment","Gross Relative Comparison")</f>
        <v>Gross Physical Adjustment</v>
      </c>
      <c r="E145" s="258"/>
      <c r="F145" s="258"/>
      <c r="G145" s="3839">
        <f t="shared" ref="G145:I145" si="91">IF(Sales_AdjType&lt;&gt;"Qualitative",SUM(ABS(G59),ABS(G65),ABS(G77),ABS(G86),ABS(G92),ABS(G98),ABS(G104),ABS(G110),ABS(G116),ABS(G122),ABS(G128),ABS(G134),ABS(G140)),SUM(ABS(G55),ABS(G63),ABS(G69),ABS(G81),ABS(G90),ABS(G96),ABS(G102),ABS(G108),ABS(G114),ABS(G120),ABS(G126),ABS(G132),ABS(G138)))</f>
        <v>0</v>
      </c>
      <c r="H145" s="3839">
        <f t="shared" si="91"/>
        <v>0.15000000000000002</v>
      </c>
      <c r="I145" s="3840">
        <f t="shared" si="91"/>
        <v>0.25</v>
      </c>
      <c r="J145" s="3840">
        <f t="shared" ref="J145" si="92">IF(Sales_AdjType&lt;&gt;"Qualitative",SUM(ABS(J59),ABS(J65),ABS(J77),ABS(J86),ABS(J92),ABS(J98),ABS(J104),ABS(J110),ABS(J116),ABS(J122),ABS(J128),ABS(J134),ABS(J140)),SUM(ABS(J55),ABS(J63),ABS(J69),ABS(J81),ABS(J90),ABS(J96),ABS(J102),ABS(J108),ABS(J114),ABS(J120),ABS(J126),ABS(J132),ABS(J138)))</f>
        <v>0.2</v>
      </c>
      <c r="K145" s="258"/>
      <c r="L145" s="6"/>
    </row>
    <row r="146" spans="1:24" ht="14.25" hidden="1" customHeight="1" x14ac:dyDescent="0.25">
      <c r="A146" s="972">
        <f>IF(Sales_AdjType="Qualitative",1,2)</f>
        <v>2</v>
      </c>
      <c r="B146" s="16"/>
      <c r="C146" s="92"/>
      <c r="D146" s="3526" t="s">
        <v>1128</v>
      </c>
      <c r="E146" s="3336"/>
      <c r="F146" s="3302"/>
      <c r="G146" s="3527" t="str">
        <f t="shared" ref="G146:I146" si="93">IF(G144&gt;0,"Inferior",IF(G144&lt;0,"Superior","Similar"))</f>
        <v>Similar</v>
      </c>
      <c r="H146" s="3527" t="str">
        <f t="shared" si="93"/>
        <v>Superior</v>
      </c>
      <c r="I146" s="3528" t="str">
        <f t="shared" si="93"/>
        <v>Superior</v>
      </c>
      <c r="J146" s="3528" t="str">
        <f t="shared" ref="J146" si="94">IF(J144&gt;0,"Inferior",IF(J144&lt;0,"Superior","Similar"))</f>
        <v>Superior</v>
      </c>
      <c r="K146" s="3507"/>
      <c r="L146" s="6"/>
    </row>
    <row r="147" spans="1:24" ht="20.100000000000001" customHeight="1" thickBot="1" x14ac:dyDescent="0.3">
      <c r="A147" s="957">
        <f>IF(Sales_AdjType="Qualitative",0,1)</f>
        <v>1</v>
      </c>
      <c r="B147" s="16"/>
      <c r="C147" s="92"/>
      <c r="D147" s="3841" t="str">
        <f>IF(dpSale_Method="Whole Property",IF(dpUnit_Sales="Net Rentable Area","Adjusted Sales Price PSF of NRA",IF(dpUnit_Sales="Gross Building Area","Adjusted Sales Price PSF of GBA","Adjusted Sales Price per Unit")),IF(dpUnit_Sales="Net Rentable Area","Adjusted Contributory Value of Imp. PSF of NRA",IF(dpUnit_Sales="Gross Building Area","Adjusted Contributory Value of Imp. PSF of GBA","Adjusted Contributory Value of Imp. per Unit")))</f>
        <v>Adjusted Sales Price PSF of NRA</v>
      </c>
      <c r="E147" s="2888"/>
      <c r="F147" s="2888"/>
      <c r="G147" s="3842">
        <f t="shared" ref="G147:I147" si="95">IF(Sales_AdjType="Percent",G54*(1+G144),IF(Sales_AdjType="$ per Unit",G54+G144,""))</f>
        <v>115.45810193755401</v>
      </c>
      <c r="H147" s="3842">
        <f t="shared" si="95"/>
        <v>126.17582188523895</v>
      </c>
      <c r="I147" s="3843">
        <f t="shared" si="95"/>
        <v>129.25249294923449</v>
      </c>
      <c r="J147" s="3843">
        <f t="shared" ref="J147" si="96">IF(Sales_AdjType="Percent",J54*(1+J144),IF(Sales_AdjType="$ per Unit",J54+J144,""))</f>
        <v>134.4758887807686</v>
      </c>
      <c r="K147" s="258"/>
      <c r="L147" s="6"/>
    </row>
    <row r="148" spans="1:24" ht="14.25" customHeight="1" thickBot="1" x14ac:dyDescent="0.3">
      <c r="A148" s="972">
        <v>1</v>
      </c>
      <c r="B148" s="95"/>
      <c r="C148" s="7"/>
      <c r="D148" s="553" t="s">
        <v>871</v>
      </c>
      <c r="E148" s="7"/>
      <c r="F148" s="7"/>
      <c r="G148" s="1901"/>
      <c r="H148" s="1901"/>
      <c r="I148" s="1993"/>
      <c r="J148" s="1993"/>
      <c r="K148" s="7"/>
      <c r="L148" s="9"/>
    </row>
    <row r="149" spans="1:24" ht="9.9499999999999993" customHeight="1" thickBot="1" x14ac:dyDescent="0.3">
      <c r="A149" s="972">
        <v>1</v>
      </c>
    </row>
    <row r="150" spans="1:24" ht="15" customHeight="1" x14ac:dyDescent="0.25">
      <c r="A150" s="972">
        <v>1</v>
      </c>
      <c r="G150" s="1902"/>
      <c r="N150" s="561"/>
      <c r="O150" s="562"/>
      <c r="P150" s="562"/>
      <c r="Q150" s="562"/>
      <c r="R150" s="2"/>
      <c r="S150" s="2"/>
      <c r="T150" s="2"/>
      <c r="U150" s="2"/>
      <c r="V150" s="2"/>
      <c r="W150" s="2"/>
      <c r="X150" s="3"/>
    </row>
    <row r="151" spans="1:24" ht="15" customHeight="1" x14ac:dyDescent="0.3">
      <c r="A151" s="972">
        <v>1</v>
      </c>
      <c r="F151" s="10">
        <f>+F15*43560</f>
        <v>100623.6</v>
      </c>
      <c r="G151" s="1774">
        <f>+G15*43560</f>
        <v>67518</v>
      </c>
      <c r="H151" s="1774">
        <f>+H15*43560</f>
        <v>70320</v>
      </c>
      <c r="I151" s="1943">
        <f>+I15*43560</f>
        <v>80586</v>
      </c>
      <c r="J151" s="1943">
        <f>+J15*43560</f>
        <v>41382</v>
      </c>
      <c r="N151" s="567"/>
      <c r="O151" s="246"/>
      <c r="P151" s="3757" t="s">
        <v>1097</v>
      </c>
      <c r="Q151" s="568"/>
      <c r="R151" s="246"/>
      <c r="S151" s="246"/>
      <c r="T151" s="246"/>
      <c r="U151" s="246"/>
      <c r="V151" s="246"/>
      <c r="W151" s="582"/>
      <c r="X151" s="6"/>
    </row>
    <row r="152" spans="1:24" ht="15" customHeight="1" x14ac:dyDescent="0.25">
      <c r="A152" s="972">
        <v>1</v>
      </c>
      <c r="F152" s="10">
        <f>+F151/Sales_Size_Subject</f>
        <v>2.9215376575111782</v>
      </c>
      <c r="G152" s="10">
        <f>+G151/G64</f>
        <v>3.0413513513513513</v>
      </c>
      <c r="H152" s="10">
        <f>+H151/H64</f>
        <v>1.6718972895863053</v>
      </c>
      <c r="I152" s="10">
        <f>+I151/I64</f>
        <v>4.9378676470588232</v>
      </c>
      <c r="J152" s="10">
        <f>+J151/J64</f>
        <v>3.0398883420260048</v>
      </c>
      <c r="N152" s="563"/>
      <c r="O152" s="3781"/>
      <c r="P152" s="3777" t="s">
        <v>942</v>
      </c>
      <c r="Q152" s="3777"/>
      <c r="R152" s="3767" t="s">
        <v>655</v>
      </c>
      <c r="S152" s="3767" t="s">
        <v>1370</v>
      </c>
      <c r="T152" s="3767" t="s">
        <v>128</v>
      </c>
      <c r="U152" s="3781"/>
      <c r="V152" s="53"/>
      <c r="W152" s="5"/>
      <c r="X152" s="6"/>
    </row>
    <row r="153" spans="1:24" ht="15" customHeight="1" x14ac:dyDescent="0.25">
      <c r="A153" s="972">
        <v>1</v>
      </c>
      <c r="N153" s="563"/>
      <c r="O153" s="2987"/>
      <c r="P153" s="92" t="str">
        <f>IF(dpUnit_Sales="Units","Minimum Sale Price per Unit","Minimum Sale Price per Sq. Ft.")</f>
        <v>Minimum Sale Price per Sq. Ft.</v>
      </c>
      <c r="Q153" s="92"/>
      <c r="R153" s="3329">
        <f>MIN(Sales_UnAdjustedRange)</f>
        <v>110.36036036036036</v>
      </c>
      <c r="S153" s="3329">
        <f>MIN(Sales_AdjPrice2)</f>
        <v>115.45810193755401</v>
      </c>
      <c r="T153" s="3529">
        <f>IF(Sales_AdjType="Qualitative","N/A",MIN(Sales_FinalAdjustedRange))</f>
        <v>115.45810193755401</v>
      </c>
      <c r="U153" s="92"/>
      <c r="V153" s="5"/>
      <c r="W153" s="5"/>
      <c r="X153" s="6"/>
    </row>
    <row r="154" spans="1:24" ht="15" customHeight="1" x14ac:dyDescent="0.25">
      <c r="A154" s="972">
        <v>1</v>
      </c>
      <c r="G154" s="1774">
        <v>5.34</v>
      </c>
      <c r="I154" s="1943">
        <v>311752</v>
      </c>
      <c r="N154" s="563"/>
      <c r="O154" s="2987"/>
      <c r="P154" s="92" t="str">
        <f>IF(dpUnit_Sales="Units","Maximum Sale Price per Unit","Maximum Sale Price per Sq. Ft.")</f>
        <v>Maximum Sale Price per Sq. Ft.</v>
      </c>
      <c r="Q154" s="92"/>
      <c r="R154" s="3329">
        <f>MAX(Sales_UnAdjustedRange)</f>
        <v>163.4467053551752</v>
      </c>
      <c r="S154" s="3329">
        <f>MAX(Sales_AdjPrice2)</f>
        <v>172.33665726564598</v>
      </c>
      <c r="T154" s="3529">
        <f>IF(Sales_AdjType="Qualitative","N/A",MAX(Sales_FinalAdjustedRange))</f>
        <v>134.4758887807686</v>
      </c>
      <c r="U154" s="92"/>
      <c r="V154" s="5"/>
      <c r="W154" s="5"/>
      <c r="X154" s="6"/>
    </row>
    <row r="155" spans="1:24" ht="15" customHeight="1" x14ac:dyDescent="0.25">
      <c r="A155" s="972">
        <v>1</v>
      </c>
      <c r="G155" s="1774">
        <v>7.94</v>
      </c>
      <c r="N155" s="563"/>
      <c r="O155" s="2987"/>
      <c r="P155" s="92" t="str">
        <f>IF(dpUnit_Sales="Units","Median Sale Price per Unit","Median Sale Price per Sq. Ft.")</f>
        <v>Median Sale Price per Sq. Ft.</v>
      </c>
      <c r="Q155" s="92"/>
      <c r="R155" s="3329">
        <f>MEDIAN(Sales_UnAdjustedRange)</f>
        <v>136.62642303711783</v>
      </c>
      <c r="S155" s="3329">
        <f>MEDIAN(Sales_AdjPrice2)</f>
        <v>150.45575779600085</v>
      </c>
      <c r="T155" s="3529">
        <f>IF(Sales_AdjType="Qualitative","N/A",MEDIAN(Sales_FinalAdjustedRange))</f>
        <v>127.71415741723672</v>
      </c>
      <c r="U155" s="92"/>
      <c r="V155" s="5"/>
      <c r="W155" s="5"/>
      <c r="X155" s="6"/>
    </row>
    <row r="156" spans="1:24" ht="15" customHeight="1" thickBot="1" x14ac:dyDescent="0.3">
      <c r="A156" s="972">
        <v>1</v>
      </c>
      <c r="G156" s="1774">
        <v>5.0999999999999996</v>
      </c>
      <c r="N156" s="563"/>
      <c r="O156" s="2987"/>
      <c r="P156" s="1772" t="str">
        <f>IF(dpUnit_Sales="Units","Mean Sale Price per Unit","Mean Sale Price per Sq. Ft.")</f>
        <v>Mean Sale Price per Sq. Ft.</v>
      </c>
      <c r="Q156" s="1772"/>
      <c r="R156" s="3844">
        <f>AVERAGE(Sales_UnAdjustedRange)</f>
        <v>136.76497794744282</v>
      </c>
      <c r="S156" s="3844">
        <f>AVERAGE(Sales_AdjPrice2)</f>
        <v>147.17656869880042</v>
      </c>
      <c r="T156" s="3845">
        <f>IF(Sales_AdjType="Qualitative","N/A",AVERAGE(Sales_FinalAdjustedRange))</f>
        <v>126.34057638819903</v>
      </c>
      <c r="U156" s="92"/>
      <c r="V156" s="5"/>
      <c r="W156" s="5"/>
      <c r="X156" s="6"/>
    </row>
    <row r="157" spans="1:24" ht="15" customHeight="1" x14ac:dyDescent="0.25">
      <c r="A157" s="972">
        <v>1</v>
      </c>
      <c r="G157" s="1774">
        <v>5.27</v>
      </c>
      <c r="N157" s="563"/>
      <c r="O157" s="52"/>
      <c r="P157" s="18" t="s">
        <v>958</v>
      </c>
      <c r="Q157" s="11"/>
      <c r="R157" s="894">
        <f>STDEV(Sales_UnAdjustedRange)</f>
        <v>25.544824419712288</v>
      </c>
      <c r="S157" s="894">
        <f>STDEV(Sales_AdjPrice2)</f>
        <v>27.585462805813492</v>
      </c>
      <c r="T157" s="894">
        <f>IF(Sales_AdjType="Qualitative","N/A",STDEV(Sales_FinalAdjustedRange))</f>
        <v>8.0232570277146174</v>
      </c>
      <c r="U157" s="18"/>
      <c r="V157" s="5"/>
      <c r="W157" s="5"/>
      <c r="X157" s="6"/>
    </row>
    <row r="158" spans="1:24" ht="15.95" customHeight="1" thickBot="1" x14ac:dyDescent="0.3">
      <c r="A158" s="972">
        <v>1</v>
      </c>
      <c r="G158" s="1774">
        <f>+G154+G155+G156+G157</f>
        <v>23.650000000000002</v>
      </c>
      <c r="N158" s="564"/>
      <c r="O158" s="565"/>
      <c r="P158" s="552" t="s">
        <v>949</v>
      </c>
      <c r="Q158" s="552"/>
      <c r="R158" s="7"/>
      <c r="S158" s="7"/>
      <c r="T158" s="7"/>
      <c r="U158" s="7"/>
      <c r="V158" s="7"/>
      <c r="W158" s="7"/>
      <c r="X158" s="9"/>
    </row>
    <row r="159" spans="1:24" ht="9.9499999999999993" customHeight="1" thickBot="1" x14ac:dyDescent="0.3">
      <c r="A159" s="972">
        <v>1</v>
      </c>
      <c r="I159" s="1943">
        <v>171880</v>
      </c>
      <c r="N159" s="32"/>
      <c r="O159" s="32"/>
      <c r="P159" s="569"/>
      <c r="Q159" s="569"/>
    </row>
    <row r="160" spans="1:24" ht="15" customHeight="1" x14ac:dyDescent="0.25">
      <c r="A160" s="972">
        <v>1</v>
      </c>
      <c r="G160" s="1774">
        <v>83688</v>
      </c>
      <c r="N160" s="1"/>
      <c r="O160" s="2"/>
      <c r="P160" s="2"/>
      <c r="Q160" s="2"/>
      <c r="R160" s="2"/>
      <c r="S160" s="2"/>
      <c r="T160" s="202"/>
      <c r="U160" s="2"/>
      <c r="V160" s="202"/>
      <c r="W160" s="2"/>
      <c r="X160" s="3"/>
    </row>
    <row r="161" spans="1:27" ht="15.95" customHeight="1" x14ac:dyDescent="0.3">
      <c r="A161" s="972">
        <v>1</v>
      </c>
      <c r="G161" s="1774">
        <v>161900</v>
      </c>
      <c r="N161" s="4"/>
      <c r="O161" s="3784"/>
      <c r="P161" s="3785" t="str">
        <f>IF(AND(dpSort_DOV_2="N/A",dpSort_DOV_3="N/A"),"Improved Sales Comparison Approach Value Indication","Improved Sales Comparison Approach Value Indications")</f>
        <v>Improved Sales Comparison Approach Value Indication</v>
      </c>
      <c r="Q161" s="3785"/>
      <c r="R161" s="3784"/>
      <c r="S161" s="3786"/>
      <c r="T161" s="3784"/>
      <c r="U161" s="3784"/>
      <c r="V161" s="3784"/>
      <c r="W161" s="3776"/>
      <c r="X161" s="6"/>
    </row>
    <row r="162" spans="1:27" ht="15" customHeight="1" x14ac:dyDescent="0.25">
      <c r="A162" s="972">
        <v>1</v>
      </c>
      <c r="G162" s="1774">
        <v>79535</v>
      </c>
      <c r="N162" s="4"/>
      <c r="O162" s="258"/>
      <c r="P162" s="3333" t="s">
        <v>1196</v>
      </c>
      <c r="Q162" s="3333"/>
      <c r="R162" s="423"/>
      <c r="S162" s="100"/>
      <c r="T162" s="423"/>
      <c r="U162" s="423"/>
      <c r="V162" s="423"/>
      <c r="W162" s="258"/>
      <c r="X162" s="6"/>
    </row>
    <row r="163" spans="1:27" ht="15" customHeight="1" x14ac:dyDescent="0.25">
      <c r="A163" s="972">
        <v>1</v>
      </c>
      <c r="G163" s="1774">
        <v>57350</v>
      </c>
      <c r="N163" s="4"/>
      <c r="O163" s="258"/>
      <c r="P163" s="258"/>
      <c r="Q163" s="3846">
        <v>34442</v>
      </c>
      <c r="R163" s="423" t="s">
        <v>176</v>
      </c>
      <c r="S163" s="100">
        <v>116</v>
      </c>
      <c r="T163" s="423" t="s">
        <v>177</v>
      </c>
      <c r="U163" s="258"/>
      <c r="V163" s="426">
        <f>Q163*S163</f>
        <v>3995272</v>
      </c>
      <c r="W163" s="258"/>
      <c r="X163" s="6"/>
    </row>
    <row r="164" spans="1:27" ht="9.9499999999999993" customHeight="1" x14ac:dyDescent="0.25">
      <c r="A164" s="972">
        <v>1</v>
      </c>
      <c r="N164" s="4"/>
      <c r="O164" s="258"/>
      <c r="P164" s="258"/>
      <c r="Q164" s="2893"/>
      <c r="R164" s="423"/>
      <c r="S164" s="423"/>
      <c r="T164" s="423"/>
      <c r="U164" s="258"/>
      <c r="V164" s="415"/>
      <c r="W164" s="258"/>
      <c r="X164" s="6"/>
    </row>
    <row r="165" spans="1:27" ht="15" customHeight="1" x14ac:dyDescent="0.25">
      <c r="A165" s="972">
        <v>1</v>
      </c>
      <c r="G165" s="1774">
        <f>+G160+G161+G162+G163</f>
        <v>382473</v>
      </c>
      <c r="N165" s="4"/>
      <c r="O165" s="258"/>
      <c r="P165" s="258"/>
      <c r="Q165" s="3846">
        <v>34442</v>
      </c>
      <c r="R165" s="423" t="s">
        <v>176</v>
      </c>
      <c r="S165" s="100">
        <v>120</v>
      </c>
      <c r="T165" s="423" t="s">
        <v>177</v>
      </c>
      <c r="U165" s="258"/>
      <c r="V165" s="426">
        <f>Q165*S165</f>
        <v>4133040</v>
      </c>
      <c r="W165" s="258"/>
      <c r="X165" s="6"/>
    </row>
    <row r="166" spans="1:27" ht="20.100000000000001" customHeight="1" thickBot="1" x14ac:dyDescent="0.3">
      <c r="A166" s="972">
        <v>1</v>
      </c>
      <c r="N166" s="4"/>
      <c r="O166" s="258"/>
      <c r="P166" s="3531" t="str">
        <f>IF(dpSale_Method="Whole Property",IF(SUM(A170:A174)=0,dpSort_ValueScenario_1,CONCATENATE("Preliminary ",dpSort_ValueScenario_1)),"Preliminary Contributory Value of the Subject Improvements Indication")</f>
        <v>Retrospective Fee Simple Market Value Indication</v>
      </c>
      <c r="Q166" s="3531"/>
      <c r="R166" s="423"/>
      <c r="S166" s="423"/>
      <c r="T166" s="423"/>
      <c r="U166" s="258"/>
      <c r="V166" s="415"/>
      <c r="W166" s="258"/>
      <c r="X166" s="6"/>
    </row>
    <row r="167" spans="1:27" s="36" customFormat="1" ht="20.100000000000001" customHeight="1" thickBot="1" x14ac:dyDescent="0.3">
      <c r="A167" s="972">
        <v>1</v>
      </c>
      <c r="G167" s="1903"/>
      <c r="H167" s="1903"/>
      <c r="I167" s="1994"/>
      <c r="J167" s="1994"/>
      <c r="N167" s="87"/>
      <c r="O167" s="259"/>
      <c r="P167" s="3204"/>
      <c r="Q167" s="3858">
        <v>34442</v>
      </c>
      <c r="R167" s="3406" t="s">
        <v>176</v>
      </c>
      <c r="S167" s="3859">
        <v>116</v>
      </c>
      <c r="T167" s="3406" t="s">
        <v>177</v>
      </c>
      <c r="U167" s="3204"/>
      <c r="V167" s="3860">
        <f>MROUND(Q167*dpSales_PreliminaryValue_PSF,INDEX(Rounding_Options,MATCH(AA167,Rounding_Label,0),2))</f>
        <v>4000000</v>
      </c>
      <c r="W167" s="259"/>
      <c r="X167" s="89"/>
      <c r="Z167" s="165" t="s">
        <v>991</v>
      </c>
      <c r="AA167" s="801" t="s">
        <v>1038</v>
      </c>
    </row>
    <row r="168" spans="1:27" ht="15" hidden="1" customHeight="1" thickBot="1" x14ac:dyDescent="0.3">
      <c r="A168" s="972">
        <f>IF(dpSale_Method="Whole Property",0,1)</f>
        <v>0</v>
      </c>
      <c r="J168" s="10"/>
      <c r="N168" s="4"/>
      <c r="O168" s="258"/>
      <c r="P168" s="258"/>
      <c r="Q168" s="2893" t="s">
        <v>531</v>
      </c>
      <c r="R168" s="423"/>
      <c r="S168" s="415"/>
      <c r="T168" s="415"/>
      <c r="U168" s="2893"/>
      <c r="V168" s="3847">
        <f>IF(dpSale_Method="Whole Property",0,dpLand_PrimaryLandValue)</f>
        <v>0</v>
      </c>
      <c r="W168" s="258"/>
      <c r="X168" s="6"/>
    </row>
    <row r="169" spans="1:27" ht="15" hidden="1" customHeight="1" thickBot="1" x14ac:dyDescent="0.3">
      <c r="A169" s="972">
        <f>IF(dpSale_Method="Whole Property",0,1)</f>
        <v>0</v>
      </c>
      <c r="N169" s="4"/>
      <c r="O169" s="258"/>
      <c r="P169" s="3335" t="str">
        <f>IF(SUM(A170:A174)=0,dpSort_ValueScenario_1,CONCATENATE("Preliminary ",dpSort_ValueScenario_1))</f>
        <v>Retrospective Fee Simple Market Value Indication</v>
      </c>
      <c r="Q169" s="3531"/>
      <c r="R169" s="423"/>
      <c r="S169" s="415"/>
      <c r="T169" s="2893"/>
      <c r="U169" s="258"/>
      <c r="V169" s="2886">
        <f>MROUND(V167+V168,INDEX(Rounding_Options,MATCH(AA169,Rounding_Label,0),2))</f>
        <v>4000000</v>
      </c>
      <c r="W169" s="258"/>
      <c r="X169" s="6"/>
      <c r="Z169" s="150" t="s">
        <v>991</v>
      </c>
      <c r="AA169" s="702" t="s">
        <v>407</v>
      </c>
    </row>
    <row r="170" spans="1:27" ht="15" hidden="1" customHeight="1" x14ac:dyDescent="0.25">
      <c r="A170" s="957">
        <v>0</v>
      </c>
      <c r="N170" s="4"/>
      <c r="O170" s="258"/>
      <c r="P170" s="3449" t="str">
        <f>IF(ValueAdj_Select1=1,1,"")</f>
        <v/>
      </c>
      <c r="Q170" s="2893" t="s">
        <v>259</v>
      </c>
      <c r="R170" s="423"/>
      <c r="S170" s="415"/>
      <c r="T170" s="2893"/>
      <c r="U170" s="258"/>
      <c r="V170" s="3848">
        <v>0</v>
      </c>
      <c r="W170" s="258"/>
      <c r="X170" s="6"/>
    </row>
    <row r="171" spans="1:27" ht="15" hidden="1" customHeight="1" x14ac:dyDescent="0.25">
      <c r="A171" s="957">
        <f>IF(ValueAdj_Select2=1,1,0)</f>
        <v>0</v>
      </c>
      <c r="N171" s="4"/>
      <c r="O171" s="258"/>
      <c r="P171" s="3449"/>
      <c r="Q171" s="1241" t="str">
        <f>IF('Selection Tables'!$M$16=TRUE,IF(ValueAdj_Select2=1,"Less Lease-Up Discount:","N/A"),"N/A")</f>
        <v>N/A</v>
      </c>
      <c r="R171" s="423"/>
      <c r="S171" s="415"/>
      <c r="T171" s="2893"/>
      <c r="U171" s="258"/>
      <c r="V171" s="3848">
        <f>IF('Selection Tables'!$M$16=TRUE,IF(ValueAdj_Select2=1,-dpValue_LUD_Reconciled,0),0)</f>
        <v>0</v>
      </c>
      <c r="W171" s="258"/>
      <c r="X171" s="6"/>
    </row>
    <row r="172" spans="1:27" ht="15" hidden="1" customHeight="1" x14ac:dyDescent="0.25">
      <c r="A172" s="957">
        <f>IF(AdjSelect_LeaseHold_SCA=TRUE,IF(ValueAdj_Select3=1,1,0),0)</f>
        <v>0</v>
      </c>
      <c r="N172" s="4"/>
      <c r="O172" s="258"/>
      <c r="P172" s="3449" t="str">
        <f>IF(AdjSelect_LeaseHold_SCA=TRUE,IF(ValueAdj_Select3=1,COUNT(P170:P171)+1,""),"")</f>
        <v/>
      </c>
      <c r="Q172" s="2893" t="str">
        <f>IF('Selection Tables'!$N$16=TRUE,IF(ValueAdj_Select3=1,IF(dpValue_LeaseholdAdjustment&lt;0,"Less Positive Leasehold Estate:","Plus Negative Leasehold Estate:"),"N/A"),"N/A")</f>
        <v>N/A</v>
      </c>
      <c r="R172" s="423"/>
      <c r="S172" s="415"/>
      <c r="T172" s="2893"/>
      <c r="U172" s="258"/>
      <c r="V172" s="3455">
        <f>IF('Selection Tables'!$N$16=TRUE,IF(ValueAdj_Select3=1,dpValue_LeaseholdAdjustment,0),0)</f>
        <v>0</v>
      </c>
      <c r="W172" s="258"/>
      <c r="X172" s="6"/>
    </row>
    <row r="173" spans="1:27" ht="15" hidden="1" customHeight="1" x14ac:dyDescent="0.25">
      <c r="A173" s="957">
        <f>IF(AdjSelect_UserDef1_SCA=TRUE,IF(ValueAdj_Select4=1,1,0),0)</f>
        <v>0</v>
      </c>
      <c r="N173" s="4"/>
      <c r="O173" s="258"/>
      <c r="P173" s="3449" t="str">
        <f>IF(AdjSelect_UserDef1_SCA=TRUE,IF(ValueAdj_Select4=1,COUNT(P170:P172)+1,""),"")</f>
        <v/>
      </c>
      <c r="Q173" s="1241" t="str">
        <f>IF('Selection Tables'!$O$16=TRUE,IF(ValueAdj_Select4=1,IF(dpValue_UserDef1Adjustment_Value&lt;0,CONCATENATE("Less ",dpValue_UserDef1Adjustment_Name,":"),CONCATENATE("Plus ",dpValue_UserDef1Adjustment_Name,":")),"N/A"),"N/A")</f>
        <v>N/A</v>
      </c>
      <c r="R173" s="423"/>
      <c r="S173" s="415"/>
      <c r="T173" s="2893"/>
      <c r="U173" s="258"/>
      <c r="V173" s="3455">
        <f>IF('Selection Tables'!$O$16=TRUE,IF(ValueAdj_Select4=1,dpValue_UserDef1Adjustment_Value,0),0)</f>
        <v>0</v>
      </c>
      <c r="W173" s="258"/>
      <c r="X173" s="6"/>
    </row>
    <row r="174" spans="1:27" ht="15" hidden="1" customHeight="1" thickBot="1" x14ac:dyDescent="0.3">
      <c r="A174" s="957">
        <f>IF(AdjSelect_UserDef2_SCA=TRUE,IF(ValueAdj_Select5=1,1,0),0)</f>
        <v>0</v>
      </c>
      <c r="N174" s="4"/>
      <c r="O174" s="258"/>
      <c r="P174" s="3449" t="str">
        <f>IF(AdjSelect_UserDef2_SCA=TRUE,IF(ValueAdj_Select5=1,COUNT(P170:P173)+1,""),"")</f>
        <v/>
      </c>
      <c r="Q174" s="1241" t="str">
        <f>IF('Selection Tables'!$P$16=TRUE,IF(ValueAdj_Select5=1,IF(dpValue_UserDef2Adjustment_Value&lt;0,CONCATENATE("Less ",dpValue_UserDef2Adjustment_Name,":"),CONCATENATE("Plus ",dpValue_UserDef2Adjustment_Name,":")),"N/A"),"N/A")</f>
        <v>N/A</v>
      </c>
      <c r="R174" s="423"/>
      <c r="S174" s="415"/>
      <c r="T174" s="2893"/>
      <c r="U174" s="258"/>
      <c r="V174" s="3455">
        <f>IF('Selection Tables'!$P$16=TRUE,IF(ValueAdj_Select5=1,dpValue_UserDef2Adjustment_Value,0),0)</f>
        <v>0</v>
      </c>
      <c r="W174" s="258"/>
      <c r="X174" s="6"/>
    </row>
    <row r="175" spans="1:27" ht="15" hidden="1" customHeight="1" thickBot="1" x14ac:dyDescent="0.3">
      <c r="A175" s="957">
        <f>IF(SUM(A170:A174)=0,0,1)</f>
        <v>0</v>
      </c>
      <c r="N175" s="4"/>
      <c r="O175" s="258"/>
      <c r="P175" s="3849" t="str">
        <f>dpSort_ValueScenario_1</f>
        <v>Retrospective Fee Simple Market Value Indication</v>
      </c>
      <c r="Q175" s="3850"/>
      <c r="R175" s="3851"/>
      <c r="S175" s="3852"/>
      <c r="T175" s="3852"/>
      <c r="U175" s="3853"/>
      <c r="V175" s="3854">
        <f>MROUND(SUM(V169:V174),INDEX(Rounding_Options,MATCH(AA175,Rounding_Label,0),2))</f>
        <v>4000000</v>
      </c>
      <c r="W175" s="258"/>
      <c r="X175" s="6"/>
      <c r="Z175" s="150" t="s">
        <v>991</v>
      </c>
      <c r="AA175" s="702" t="s">
        <v>1038</v>
      </c>
    </row>
    <row r="176" spans="1:27" ht="15" hidden="1" customHeight="1" x14ac:dyDescent="0.25">
      <c r="A176" s="957">
        <f>IF(ValueAdj_Select1=2,1,0)</f>
        <v>0</v>
      </c>
      <c r="N176" s="4"/>
      <c r="O176" s="258"/>
      <c r="P176" s="3450" t="str">
        <f>IF(ValueAdj_Select1=2,COUNT(P170:P174)+1,"")</f>
        <v/>
      </c>
      <c r="Q176" s="2893" t="s">
        <v>259</v>
      </c>
      <c r="R176" s="423"/>
      <c r="S176" s="3336"/>
      <c r="T176" s="3336"/>
      <c r="U176" s="258"/>
      <c r="V176" s="3455">
        <f>IF(ValueAdj_Select1=2,-dpCost_CurableItemCost_Total,0)</f>
        <v>0</v>
      </c>
      <c r="W176" s="258"/>
      <c r="X176" s="6"/>
    </row>
    <row r="177" spans="1:27" ht="15" hidden="1" customHeight="1" x14ac:dyDescent="0.25">
      <c r="A177" s="957">
        <f>IF(ValueAdj_Select2=2,1,0)</f>
        <v>0</v>
      </c>
      <c r="N177" s="4"/>
      <c r="O177" s="258"/>
      <c r="P177" s="3450" t="str">
        <f>IF(ValueAdj_Select2=2,COUNT(P170:P174,P176)+1,"")</f>
        <v/>
      </c>
      <c r="Q177" s="1241" t="str">
        <f>IF('Selection Tables'!$M$16=TRUE,IF(ValueAdj_Select2=2,"Less Lease-Up Discount:","N/A"),"N/A")</f>
        <v>N/A</v>
      </c>
      <c r="R177" s="423"/>
      <c r="S177" s="3336"/>
      <c r="T177" s="3336"/>
      <c r="U177" s="258"/>
      <c r="V177" s="3848">
        <f>IF('Selection Tables'!$M$16=TRUE,IF(ValueAdj_Select2=2,-dpValue_LUD_Reconciled,0),0)</f>
        <v>0</v>
      </c>
      <c r="W177" s="258"/>
      <c r="X177" s="6"/>
    </row>
    <row r="178" spans="1:27" ht="15" hidden="1" customHeight="1" x14ac:dyDescent="0.25">
      <c r="A178" s="957">
        <f>IF(AdjSelect_LeaseHold_SCA=TRUE,IF(ValueAdj_Select3=2,1,0),0)</f>
        <v>0</v>
      </c>
      <c r="N178" s="4"/>
      <c r="O178" s="258"/>
      <c r="P178" s="3450" t="str">
        <f>IF(AdjSelect_LeaseHold_SCA=TRUE,IF(ValueAdj_Select3=2,COUNT(P170:P174,P176:P177)+1,""),"")</f>
        <v/>
      </c>
      <c r="Q178" s="2893" t="str">
        <f>IF('Selection Tables'!$N$16=TRUE,IF(ValueAdj_Select3=2,IF(dpValue_LeaseholdAdjustment&lt;0,"Less Positive Leasehold Estate:","Plus Negative Leasehold Estate:"),"N/A"),"N/A")</f>
        <v>N/A</v>
      </c>
      <c r="R178" s="423"/>
      <c r="S178" s="3336"/>
      <c r="T178" s="3336"/>
      <c r="U178" s="258"/>
      <c r="V178" s="3455">
        <f>IF('Selection Tables'!$N$16=TRUE,IF(ValueAdj_Select3=2,dpValue_LeaseholdAdjustment,0),0)</f>
        <v>0</v>
      </c>
      <c r="W178" s="258"/>
      <c r="X178" s="6"/>
    </row>
    <row r="179" spans="1:27" ht="15" hidden="1" customHeight="1" x14ac:dyDescent="0.25">
      <c r="A179" s="957">
        <f>IF(AdjSelect_UserDef1_SCA=TRUE,IF(ValueAdj_Select4=2,1,0),0)</f>
        <v>0</v>
      </c>
      <c r="N179" s="4"/>
      <c r="O179" s="258"/>
      <c r="P179" s="3450" t="str">
        <f>IF(AdjSelect_UserDef1_SCA=TRUE,IF(ValueAdj_Select4=2,COUNT(P170:P174,P176:P178)+1,""),"")</f>
        <v/>
      </c>
      <c r="Q179" s="1241" t="str">
        <f>IF('Selection Tables'!$O$16=TRUE,IF(ValueAdj_Select4=2,IF(dpValue_UserDef1Adjustment_Value&lt;0,CONCATENATE("Less ",dpValue_UserDef1Adjustment_Name,":"),CONCATENATE("Plus ",dpValue_UserDef1Adjustment_Name,":")),"N/A"),"N/A")</f>
        <v>N/A</v>
      </c>
      <c r="R179" s="423"/>
      <c r="S179" s="3336"/>
      <c r="T179" s="3336"/>
      <c r="U179" s="258"/>
      <c r="V179" s="3455">
        <f>IF('Selection Tables'!$O$16=TRUE,IF(ValueAdj_Select4=2,dpValue_UserDef1Adjustment_Value,0),0)</f>
        <v>0</v>
      </c>
      <c r="W179" s="258"/>
      <c r="X179" s="6"/>
    </row>
    <row r="180" spans="1:27" ht="15" hidden="1" customHeight="1" thickBot="1" x14ac:dyDescent="0.3">
      <c r="A180" s="957">
        <f>IF(AdjSelect_UserDef2_SCA=TRUE,IF(ValueAdj_Select5=2,1,0),0)</f>
        <v>0</v>
      </c>
      <c r="N180" s="4"/>
      <c r="O180" s="258"/>
      <c r="P180" s="3450" t="str">
        <f>IF(AdjSelect_UserDef2_SCA=TRUE,IF(ValueAdj_Select5=2,COUNT(P170:P174,P176:P179)+1,""),"")</f>
        <v/>
      </c>
      <c r="Q180" s="1241" t="str">
        <f>IF('Selection Tables'!$P$16=TRUE,IF(ValueAdj_Select5=2,IF(dpValue_UserDef2Adjustment_Value&lt;0,CONCATENATE("Less ",dpValue_UserDef2Adjustment_Name,":"),CONCATENATE("Plus ",dpValue_UserDef2Adjustment_Name,":")),"N/A"),"N/A")</f>
        <v>N/A</v>
      </c>
      <c r="R180" s="423"/>
      <c r="S180" s="3336"/>
      <c r="T180" s="3336"/>
      <c r="U180" s="258"/>
      <c r="V180" s="3455">
        <f>IF('Selection Tables'!$P$16=TRUE,IF(ValueAdj_Select5=2,dpValue_UserDef2Adjustment_Value,0),0)</f>
        <v>0</v>
      </c>
      <c r="W180" s="258"/>
      <c r="X180" s="6"/>
    </row>
    <row r="181" spans="1:27" ht="15" hidden="1" customHeight="1" thickBot="1" x14ac:dyDescent="0.3">
      <c r="A181" s="957">
        <f>IF(Sort_NumValues&gt;1,1,0)</f>
        <v>0</v>
      </c>
      <c r="N181" s="4"/>
      <c r="O181" s="258"/>
      <c r="P181" s="3177" t="str">
        <f>IF(Sort_NumValues&gt;1,dpSort_ValueScenario_2,"N/A")</f>
        <v>N/A</v>
      </c>
      <c r="Q181" s="3379"/>
      <c r="R181" s="423"/>
      <c r="S181" s="3336"/>
      <c r="T181" s="3336"/>
      <c r="U181" s="258"/>
      <c r="V181" s="3337" t="str">
        <f>IF(Sort_NumValues&gt;1,MROUND(SUM(V175:V180),INDEX(Rounding_Options,MATCH(AA181,Rounding_Label,0),2)),"N/A")</f>
        <v>N/A</v>
      </c>
      <c r="W181" s="258"/>
      <c r="X181" s="6"/>
      <c r="Z181" s="150" t="s">
        <v>991</v>
      </c>
      <c r="AA181" s="702" t="s">
        <v>1037</v>
      </c>
    </row>
    <row r="182" spans="1:27" ht="15" hidden="1" customHeight="1" x14ac:dyDescent="0.25">
      <c r="A182" s="957">
        <f>IF(ValueAdj_Select1=3,1,0)</f>
        <v>0</v>
      </c>
      <c r="N182" s="4"/>
      <c r="O182" s="258"/>
      <c r="P182" s="3450" t="str">
        <f>IF(ValueAdj_Select1=3,COUNT(P170:P174,P176:P180)+1,"")</f>
        <v/>
      </c>
      <c r="Q182" s="1241" t="s">
        <v>259</v>
      </c>
      <c r="R182" s="423"/>
      <c r="S182" s="3336"/>
      <c r="T182" s="3336"/>
      <c r="U182" s="258"/>
      <c r="V182" s="3455">
        <f>IF(ValueAdj_Select1=3,-dpCost_CurableItemCost_Total,0)</f>
        <v>0</v>
      </c>
      <c r="W182" s="258"/>
      <c r="X182" s="6"/>
    </row>
    <row r="183" spans="1:27" ht="15" hidden="1" customHeight="1" x14ac:dyDescent="0.25">
      <c r="A183" s="957">
        <f>IF(ValueAdj_Select2=3,1,0)</f>
        <v>0</v>
      </c>
      <c r="N183" s="4"/>
      <c r="O183" s="258"/>
      <c r="P183" s="3450" t="str">
        <f>IF(ValueAdj_Select2=3,COUNT(P170:P174,P176:P180,P182)+1,"")</f>
        <v/>
      </c>
      <c r="Q183" s="1241" t="str">
        <f>IF('Selection Tables'!$M$16=TRUE,IF(ValueAdj_Select2=3,"Less Lease-Up Discount:","N/A"),"N/A")</f>
        <v>N/A</v>
      </c>
      <c r="R183" s="423"/>
      <c r="S183" s="3336"/>
      <c r="T183" s="3336"/>
      <c r="U183" s="258"/>
      <c r="V183" s="3848">
        <f>IF('Selection Tables'!$M$16=TRUE,IF(ValueAdj_Select2=3,-dpValue_LUD_Reconciled,0),0)</f>
        <v>0</v>
      </c>
      <c r="W183" s="258"/>
      <c r="X183" s="6"/>
    </row>
    <row r="184" spans="1:27" ht="15" hidden="1" customHeight="1" x14ac:dyDescent="0.25">
      <c r="A184" s="957">
        <f>IF(AdjSelect_UserDef1_SCA=TRUE,IF(ValueAdj_Select4=3,1,0),0)</f>
        <v>0</v>
      </c>
      <c r="N184" s="4"/>
      <c r="O184" s="258"/>
      <c r="P184" s="3450" t="str">
        <f>IF(AdjSelect_UserDef1_SCA=TRUE,IF(ValueAdj_Select4=3,COUNT(P170:P174,P176:P180,P182:P183)+1,""),"")</f>
        <v/>
      </c>
      <c r="Q184" s="1241" t="str">
        <f>IF('Selection Tables'!$O$16=TRUE,IF(ValueAdj_Select4=3,IF(dpValue_UserDef1Adjustment_Value&lt;0,CONCATENATE("Less ",dpValue_UserDef1Adjustment_Name,":"),CONCATENATE("Plus ",dpValue_UserDef1Adjustment_Name,":")),"N/A"),"N/A")</f>
        <v>N/A</v>
      </c>
      <c r="R184" s="423"/>
      <c r="S184" s="3336"/>
      <c r="T184" s="3336"/>
      <c r="U184" s="258"/>
      <c r="V184" s="3455">
        <f>IF('Selection Tables'!$O$16=TRUE,IF(ValueAdj_Select4=3,dpValue_UserDef1Adjustment_Value,0),0)</f>
        <v>0</v>
      </c>
      <c r="W184" s="258"/>
      <c r="X184" s="6"/>
    </row>
    <row r="185" spans="1:27" ht="15" hidden="1" customHeight="1" thickBot="1" x14ac:dyDescent="0.3">
      <c r="A185" s="957">
        <f>IF(AdjSelect_UserDef2_SCA=TRUE,IF(ValueAdj_Select5=3,1,0),0)</f>
        <v>0</v>
      </c>
      <c r="N185" s="4"/>
      <c r="O185" s="258"/>
      <c r="P185" s="3450" t="str">
        <f>IF(AdjSelect_UserDef2_SCA=TRUE,IF(ValueAdj_Select5=3,COUNT(P170:P174,P176:P180,P182:P184)+1,""),"")</f>
        <v/>
      </c>
      <c r="Q185" s="1241" t="str">
        <f>IF('Selection Tables'!$P$16=TRUE,IF(ValueAdj_Select5=3,IF(dpValue_UserDef2Adjustment_Value&lt;0,CONCATENATE("Less ",dpValue_UserDef2Adjustment_Name,":"),CONCATENATE("Plus ",dpValue_UserDef2Adjustment_Name,":")),"N/A"),"N/A")</f>
        <v>N/A</v>
      </c>
      <c r="R185" s="423"/>
      <c r="S185" s="3336"/>
      <c r="T185" s="3336"/>
      <c r="U185" s="258"/>
      <c r="V185" s="3455">
        <f>IF('Selection Tables'!$P$16=TRUE,IF(ValueAdj_Select5=3,dpValue_UserDef2Adjustment_Value,0),0)</f>
        <v>0</v>
      </c>
      <c r="W185" s="258"/>
      <c r="X185" s="6"/>
    </row>
    <row r="186" spans="1:27" ht="15" hidden="1" customHeight="1" thickBot="1" x14ac:dyDescent="0.3">
      <c r="A186" s="957">
        <f>IF(Sort_NumValues&gt;2,1,0)</f>
        <v>0</v>
      </c>
      <c r="N186" s="4"/>
      <c r="O186" s="258"/>
      <c r="P186" s="3532" t="str">
        <f>IF(Sort_NumValues&gt;2,dpSort_ValueScenario_3,"N/A")</f>
        <v>N/A</v>
      </c>
      <c r="Q186" s="3532"/>
      <c r="R186" s="3437"/>
      <c r="S186" s="3499"/>
      <c r="T186" s="3499"/>
      <c r="U186" s="2888"/>
      <c r="V186" s="3452" t="str">
        <f>IF(Sort_NumValues&gt;2,MROUND(SUM(V181:V185),INDEX(Rounding_Options,MATCH(AA186,Rounding_Label,0),2)),"N/A")</f>
        <v>N/A</v>
      </c>
      <c r="W186" s="258"/>
      <c r="X186" s="6"/>
      <c r="Z186" s="150" t="s">
        <v>991</v>
      </c>
      <c r="AA186" s="702" t="s">
        <v>1037</v>
      </c>
    </row>
    <row r="187" spans="1:27" ht="15" hidden="1" customHeight="1" x14ac:dyDescent="0.25">
      <c r="A187" s="957">
        <f>IF(COUNT(Analysis_ID_1_Sales,Analysis_ID_2_Sales,Analysis_ID_3_Sales)&gt;0,1,0)</f>
        <v>0</v>
      </c>
      <c r="I187" s="55" t="s">
        <v>1829</v>
      </c>
      <c r="N187" s="4"/>
      <c r="O187" s="258"/>
      <c r="P187" s="3453"/>
      <c r="Q187" s="2122"/>
      <c r="R187" s="2126"/>
      <c r="S187" s="3855"/>
      <c r="T187" s="3855"/>
      <c r="U187" s="2986"/>
      <c r="V187" s="3533"/>
      <c r="W187" s="258"/>
      <c r="X187" s="6"/>
      <c r="Z187" s="207"/>
    </row>
    <row r="188" spans="1:27" ht="15" hidden="1" customHeight="1" x14ac:dyDescent="0.25">
      <c r="A188" s="957">
        <f>IF(COUNT(P170:P174,P176:P180,P182:P185)&gt;1,1,0)</f>
        <v>0</v>
      </c>
      <c r="N188" s="4"/>
      <c r="O188" s="258"/>
      <c r="P188" s="3449">
        <f>P187+1</f>
        <v>1</v>
      </c>
      <c r="Q188" s="2123" t="s">
        <v>1827</v>
      </c>
      <c r="R188" s="423"/>
      <c r="S188" s="3336"/>
      <c r="T188" s="3336"/>
      <c r="U188" s="258"/>
      <c r="V188" s="2886"/>
      <c r="W188" s="258"/>
      <c r="X188" s="6"/>
      <c r="Z188" s="150"/>
    </row>
    <row r="189" spans="1:27" ht="15" hidden="1" customHeight="1" x14ac:dyDescent="0.25">
      <c r="A189" s="957">
        <f>IF(COUNT(P170:P174,P176:P180,P182:P185)&gt;2,1,0)</f>
        <v>0</v>
      </c>
      <c r="N189" s="4"/>
      <c r="O189" s="258"/>
      <c r="P189" s="3449">
        <f>P188+1</f>
        <v>2</v>
      </c>
      <c r="Q189" s="2123" t="s">
        <v>1828</v>
      </c>
      <c r="R189" s="423"/>
      <c r="S189" s="3336"/>
      <c r="T189" s="3336"/>
      <c r="U189" s="258"/>
      <c r="V189" s="2886"/>
      <c r="W189" s="258"/>
      <c r="X189" s="6"/>
      <c r="Z189" s="150"/>
    </row>
    <row r="190" spans="1:27" ht="15" hidden="1" customHeight="1" x14ac:dyDescent="0.25">
      <c r="A190" s="957">
        <f>IF(COUNT(P170:P174,P176:P180,P182:P185)&gt;3,1,0)</f>
        <v>0</v>
      </c>
      <c r="N190" s="4"/>
      <c r="O190" s="258"/>
      <c r="P190" s="3449">
        <f>P189+1</f>
        <v>3</v>
      </c>
      <c r="Q190" s="2123" t="s">
        <v>1828</v>
      </c>
      <c r="R190" s="423"/>
      <c r="S190" s="3336"/>
      <c r="T190" s="3336"/>
      <c r="U190" s="258"/>
      <c r="V190" s="2886"/>
      <c r="W190" s="258"/>
      <c r="X190" s="6"/>
      <c r="Z190" s="150"/>
    </row>
    <row r="191" spans="1:27" ht="15" hidden="1" customHeight="1" x14ac:dyDescent="0.25">
      <c r="A191" s="957">
        <f>IF(COUNT(P170:P174,P176:P180,P182:P185)&gt;4,1,0)</f>
        <v>0</v>
      </c>
      <c r="N191" s="4"/>
      <c r="O191" s="258"/>
      <c r="P191" s="3449">
        <f>P190+1</f>
        <v>4</v>
      </c>
      <c r="Q191" s="2123" t="s">
        <v>1828</v>
      </c>
      <c r="R191" s="423"/>
      <c r="S191" s="3336"/>
      <c r="T191" s="3336"/>
      <c r="U191" s="258"/>
      <c r="V191" s="2886"/>
      <c r="W191" s="258"/>
      <c r="X191" s="6"/>
      <c r="Z191" s="150"/>
    </row>
    <row r="192" spans="1:27" ht="15.95" customHeight="1" thickBot="1" x14ac:dyDescent="0.3">
      <c r="N192" s="8"/>
      <c r="O192" s="7"/>
      <c r="P192" s="553" t="s">
        <v>872</v>
      </c>
      <c r="Q192" s="553"/>
      <c r="R192" s="7"/>
      <c r="S192" s="7"/>
      <c r="T192" s="14"/>
      <c r="U192" s="7"/>
      <c r="V192" s="14"/>
      <c r="W192" s="7"/>
      <c r="X192" s="9"/>
    </row>
  </sheetData>
  <autoFilter ref="A9:A191" xr:uid="{00000000-0001-0000-1B00-000000000000}">
    <filterColumn colId="0" hiddenButton="1">
      <filters>
        <filter val="1"/>
      </filters>
    </filterColumn>
  </autoFilter>
  <mergeCells count="2">
    <mergeCell ref="A6:A7"/>
    <mergeCell ref="Q50:Q51"/>
  </mergeCells>
  <dataValidations count="5">
    <dataValidation type="list" allowBlank="1" showInputMessage="1" showErrorMessage="1" error="Invalid Option - Please Select from the List" prompt="Select Most Comparable Sale Number for Narrative" sqref="A9" xr:uid="{00000000-0002-0000-1B00-000000000000}">
      <formula1>Sales_MostComparableRange</formula1>
    </dataValidation>
    <dataValidation type="list" allowBlank="1" showInputMessage="1" showErrorMessage="1" error="Invalid Option - Please Select from the List" prompt="Select Rounding Option" sqref="AA175 AA181 AA186 AA167 AA169" xr:uid="{00000000-0002-0000-1B00-000001000000}">
      <formula1>Rounding_Label</formula1>
    </dataValidation>
    <dataValidation type="list" allowBlank="1" showInputMessage="1" showErrorMessage="1" error="Invalid Option - Please Select from the List" prompt="Select Preferred Quality Rating Type" sqref="D82" xr:uid="{00000000-0002-0000-1B00-000002000000}">
      <formula1>QualityList</formula1>
    </dataValidation>
    <dataValidation type="list" allowBlank="1" showInputMessage="1" showErrorMessage="1" error="Invalid Option - Please Select from the List" prompt="Select Adjustment Category Name" sqref="D121" xr:uid="{CEB54024-9A54-4231-8C99-360AFD29C92D}">
      <formula1>RemTermList</formula1>
    </dataValidation>
    <dataValidation type="list" allowBlank="1" showInputMessage="1" showErrorMessage="1" error="Invalid Option - Please Select from the List" prompt="Select Adjustment Category Name" sqref="D127" xr:uid="{173CCBD4-ACAE-456C-AA93-562909AB5D89}">
      <formula1>NonRealtyCreditList</formula1>
    </dataValidation>
  </dataValidations>
  <hyperlinks>
    <hyperlink ref="V170" location="dpCost_CurableItemCost_Total" tooltip="Click for Input Cell &amp; Hold to Select Cell" display="dpCost_CurableItemCost_Total" xr:uid="{00000000-0004-0000-1B00-000000000000}"/>
    <hyperlink ref="V176" location="dpCost_CurableItemCost_Total" tooltip="Click for Input Cell &amp; Hold to Select Cell" display="dpCost_CurableItemCost_Total" xr:uid="{00000000-0004-0000-1B00-000001000000}"/>
    <hyperlink ref="V182" location="dpCost_CurableItemCost_Total" tooltip="Click for Input Cell &amp; Hold to Select Cell" display="dpCost_CurableItemCost_Total" xr:uid="{00000000-0004-0000-1B00-000002000000}"/>
    <hyperlink ref="V171" location="dpValue_LUD_Reconciled" tooltip="Click for Input Cell &amp; Hold to Select Cell" display="dpValue_LUD_Reconciled" xr:uid="{00000000-0004-0000-1B00-000003000000}"/>
    <hyperlink ref="V177" location="dpValue_LUD_Reconciled" tooltip="Click for Input Cell &amp; Hold to Select Cell" display="dpValue_LUD_Reconciled" xr:uid="{00000000-0004-0000-1B00-000004000000}"/>
    <hyperlink ref="V183" location="dpValue_LUD_Reconciled" tooltip="Click for Input Cell &amp; Hold to Select Cell" display="dpValue_LUD_Reconciled" xr:uid="{00000000-0004-0000-1B00-000005000000}"/>
  </hyperlinks>
  <printOptions horizontalCentered="1"/>
  <pageMargins left="0.5" right="0.5" top="0.75" bottom="0.75" header="0.3" footer="0.3"/>
  <pageSetup scale="75"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56" id="{F77B1998-7D2E-4D24-9FF6-04839B398A21}">
            <xm:f>'Selection Tables'!$AL$10="Units"</xm:f>
            <x14:dxf>
              <numFmt numFmtId="164" formatCode="&quot;$&quot;#,##0"/>
            </x14:dxf>
          </x14:cfRule>
          <xm:sqref>S163 S165 S167 R153:T156 G21:J21 G147:J147 G29:J29 G36:J36 G44:J44 G48:J48 G54:J54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Invalid Option - Please Select from the List" prompt="Select Date of Value for Market Rent to be used in Rent Adjustment Grid" xr:uid="{00000000-0002-0000-1B00-000003000000}">
          <x14:formula1>
            <xm:f>'Selection Tables'!$G$9:$G$11</xm:f>
          </x14:formula1>
          <xm:sqref>F10</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2">
    <tabColor theme="7"/>
  </sheetPr>
  <dimension ref="A1:BM175"/>
  <sheetViews>
    <sheetView workbookViewId="0">
      <selection activeCell="I28" sqref="I28"/>
    </sheetView>
  </sheetViews>
  <sheetFormatPr defaultRowHeight="14.25" x14ac:dyDescent="0.25"/>
  <cols>
    <col min="1" max="1" width="5.7109375" customWidth="1"/>
    <col min="2" max="2" width="1.7109375" customWidth="1"/>
    <col min="3" max="3" width="0.85546875" customWidth="1"/>
    <col min="4" max="4" width="5.7109375" customWidth="1"/>
    <col min="5" max="9" width="15.7109375" customWidth="1"/>
    <col min="10" max="10" width="0.85546875" customWidth="1"/>
    <col min="11" max="11" width="15.7109375" customWidth="1"/>
    <col min="12" max="12" width="0.85546875" customWidth="1"/>
    <col min="13" max="13" width="11.7109375" customWidth="1"/>
    <col min="14" max="14" width="0.85546875" customWidth="1"/>
    <col min="15" max="16" width="1.7109375" customWidth="1"/>
    <col min="17" max="17" width="0.85546875" customWidth="1"/>
    <col min="18" max="18" width="20.7109375" customWidth="1"/>
    <col min="19" max="19" width="12.7109375" customWidth="1"/>
    <col min="20" max="29" width="25.7109375" customWidth="1"/>
    <col min="30" max="30" width="0.85546875" customWidth="1"/>
    <col min="31" max="31" width="1.7109375" customWidth="1"/>
  </cols>
  <sheetData>
    <row r="1" spans="1:65" ht="60" customHeight="1" x14ac:dyDescent="0.25">
      <c r="A1" s="32"/>
      <c r="B1" s="10"/>
      <c r="C1" s="10"/>
      <c r="D1" s="13"/>
      <c r="E1" s="10"/>
      <c r="F1" s="10"/>
      <c r="G1" s="10"/>
      <c r="H1" s="10"/>
      <c r="I1" s="10"/>
      <c r="J1" s="10"/>
      <c r="K1" s="10"/>
      <c r="L1" s="10"/>
      <c r="M1" s="10"/>
      <c r="N1" s="10"/>
      <c r="O1" s="10"/>
      <c r="P1" s="10"/>
      <c r="Q1" s="11"/>
      <c r="R1" s="419"/>
      <c r="S1" s="10"/>
      <c r="T1" s="10"/>
      <c r="U1" s="10"/>
      <c r="V1" s="10"/>
      <c r="W1" s="10"/>
      <c r="X1" s="10"/>
      <c r="Y1" s="10"/>
      <c r="Z1" s="10"/>
      <c r="AA1" s="10"/>
      <c r="AB1" s="10"/>
      <c r="AC1" s="10"/>
      <c r="AD1" s="10"/>
      <c r="AE1" s="10"/>
      <c r="AF1" s="143"/>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row>
    <row r="2" spans="1:65" ht="20.100000000000001" customHeight="1" thickBot="1" x14ac:dyDescent="0.3">
      <c r="A2" s="32"/>
      <c r="B2" s="10"/>
      <c r="C2" s="10"/>
      <c r="D2" s="13"/>
      <c r="E2" s="10"/>
      <c r="F2" s="10"/>
      <c r="G2" s="10"/>
      <c r="H2" s="10"/>
      <c r="I2" s="10"/>
      <c r="J2" s="10"/>
      <c r="K2" s="10"/>
      <c r="L2" s="10"/>
      <c r="M2" s="10"/>
      <c r="N2" s="10"/>
      <c r="O2" s="10"/>
      <c r="P2" s="10"/>
      <c r="Q2" s="11"/>
      <c r="R2" s="10"/>
      <c r="S2" s="10"/>
      <c r="T2" s="10"/>
      <c r="U2" s="10"/>
      <c r="V2" s="10"/>
      <c r="W2" s="10"/>
      <c r="X2" s="10"/>
      <c r="Y2" s="10"/>
      <c r="Z2" s="10"/>
      <c r="AA2" s="10"/>
      <c r="AB2" s="10"/>
      <c r="AC2" s="10"/>
      <c r="AD2" s="10"/>
      <c r="AE2" s="10"/>
      <c r="AF2" s="143"/>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row>
    <row r="3" spans="1:65" ht="15" customHeight="1" x14ac:dyDescent="0.25">
      <c r="A3" s="32"/>
      <c r="B3" s="1"/>
      <c r="C3" s="2"/>
      <c r="D3" s="202"/>
      <c r="E3" s="2"/>
      <c r="F3" s="2"/>
      <c r="G3" s="2"/>
      <c r="H3" s="2"/>
      <c r="I3" s="2"/>
      <c r="J3" s="2"/>
      <c r="K3" s="2"/>
      <c r="L3" s="2"/>
      <c r="M3" s="2"/>
      <c r="N3" s="2"/>
      <c r="O3" s="3"/>
      <c r="P3" s="10"/>
      <c r="Q3" s="11"/>
      <c r="R3" s="10"/>
      <c r="S3" s="10"/>
      <c r="T3" s="10"/>
      <c r="U3" s="10"/>
      <c r="V3" s="10"/>
      <c r="W3" s="10"/>
      <c r="X3" s="10"/>
      <c r="Y3" s="10"/>
      <c r="Z3" s="10"/>
      <c r="AA3" s="10"/>
      <c r="AB3" s="10"/>
      <c r="AC3" s="10"/>
      <c r="AD3" s="10"/>
      <c r="AE3" s="10"/>
      <c r="AF3" s="143"/>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row>
    <row r="4" spans="1:65" ht="15.95" customHeight="1" x14ac:dyDescent="0.25">
      <c r="A4" s="32"/>
      <c r="B4" s="4"/>
      <c r="C4" s="5"/>
      <c r="D4" s="505" t="str">
        <f>CONCATENATE("Clear Height Adjustment Calculations - ",dpSales_ComponentNameB1," Component")</f>
        <v>Clear Height Adjustment Calculations -  Component</v>
      </c>
      <c r="E4" s="5"/>
      <c r="F4" s="5"/>
      <c r="G4" s="5"/>
      <c r="H4" s="5"/>
      <c r="I4" s="5"/>
      <c r="J4" s="5"/>
      <c r="K4" s="5"/>
      <c r="L4" s="5"/>
      <c r="M4" s="5"/>
      <c r="N4" s="5"/>
      <c r="O4" s="6"/>
      <c r="P4" s="10"/>
      <c r="Q4" s="150"/>
      <c r="R4" s="10"/>
      <c r="S4" s="10"/>
      <c r="T4" s="10"/>
      <c r="U4" s="10"/>
      <c r="V4" s="10"/>
      <c r="W4" s="10"/>
      <c r="X4" s="10"/>
      <c r="Y4" s="10"/>
      <c r="Z4" s="10"/>
      <c r="AA4" s="10"/>
      <c r="AB4" s="10"/>
      <c r="AC4" s="10"/>
      <c r="AD4" s="10"/>
      <c r="AE4" s="10"/>
      <c r="AF4" s="143"/>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row>
    <row r="5" spans="1:65" ht="15" customHeight="1" x14ac:dyDescent="0.25">
      <c r="A5" s="32"/>
      <c r="B5" s="4"/>
      <c r="C5" s="150"/>
      <c r="D5" s="150"/>
      <c r="E5" s="150" t="s">
        <v>128</v>
      </c>
      <c r="F5" s="150" t="s">
        <v>551</v>
      </c>
      <c r="G5" s="150" t="s">
        <v>116</v>
      </c>
      <c r="H5" s="150" t="s">
        <v>552</v>
      </c>
      <c r="I5" s="150"/>
      <c r="J5" s="150"/>
      <c r="K5" s="150" t="s">
        <v>554</v>
      </c>
      <c r="L5" s="150"/>
      <c r="M5" s="53"/>
      <c r="N5" s="53"/>
      <c r="O5" s="6"/>
      <c r="P5" s="10"/>
      <c r="Q5" s="150"/>
      <c r="R5" s="10"/>
      <c r="S5" s="10"/>
      <c r="T5" s="10"/>
      <c r="U5" s="10"/>
      <c r="V5" s="10"/>
      <c r="W5" s="10"/>
      <c r="X5" s="10"/>
      <c r="Y5" s="10"/>
      <c r="Z5" s="10"/>
      <c r="AA5" s="10"/>
      <c r="AB5" s="10"/>
      <c r="AC5" s="10"/>
      <c r="AD5" s="10"/>
      <c r="AE5" s="10"/>
      <c r="AF5" s="143"/>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row>
    <row r="6" spans="1:65" ht="15" customHeight="1" x14ac:dyDescent="0.25">
      <c r="A6" s="32"/>
      <c r="B6" s="4"/>
      <c r="C6" s="150"/>
      <c r="D6" s="150" t="s">
        <v>702</v>
      </c>
      <c r="E6" s="150" t="s">
        <v>1303</v>
      </c>
      <c r="F6" s="150" t="s">
        <v>191</v>
      </c>
      <c r="G6" s="150" t="s">
        <v>191</v>
      </c>
      <c r="H6" s="150" t="s">
        <v>191</v>
      </c>
      <c r="I6" s="150" t="s">
        <v>553</v>
      </c>
      <c r="J6" s="150"/>
      <c r="K6" s="2162">
        <v>1.4999999999999999E-2</v>
      </c>
      <c r="L6" s="150"/>
      <c r="M6" s="53"/>
      <c r="N6" s="53"/>
      <c r="O6" s="6"/>
      <c r="P6" s="10"/>
      <c r="Q6" s="439"/>
      <c r="R6" s="10"/>
      <c r="S6" s="10"/>
      <c r="T6" s="10"/>
      <c r="U6" s="10"/>
      <c r="V6" s="10"/>
      <c r="W6" s="10"/>
      <c r="X6" s="10"/>
      <c r="Y6" s="10"/>
      <c r="Z6" s="10"/>
      <c r="AA6" s="10"/>
      <c r="AB6" s="10"/>
      <c r="AC6" s="10"/>
      <c r="AD6" s="10"/>
      <c r="AE6" s="10"/>
      <c r="AF6" s="143"/>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row>
    <row r="7" spans="1:65" ht="15" customHeight="1" x14ac:dyDescent="0.25">
      <c r="A7" s="957">
        <f>IF(ISERROR(E7),0,1)</f>
        <v>0</v>
      </c>
      <c r="B7" s="4"/>
      <c r="C7" s="101"/>
      <c r="D7" s="137">
        <v>1</v>
      </c>
      <c r="E7" s="1178" t="e">
        <f>HLOOKUP($D7,'Improved Sales Adjustments 1'!$G$7:$WV$147,48,FALSE)</f>
        <v>#DIV/0!</v>
      </c>
      <c r="F7" s="2159">
        <f>HLOOKUP($D7,'Improved Sales Adjustments 1'!$G$7:$WV$147,91,FALSE)</f>
        <v>0</v>
      </c>
      <c r="G7" s="2159">
        <f t="shared" ref="G7:G21" si="0">Sales_AdjGrid_ClearHeight_1</f>
        <v>0</v>
      </c>
      <c r="H7" s="351">
        <v>40</v>
      </c>
      <c r="I7" s="2159">
        <f>IF(AND(H7&gt;G7,H7&gt;F7),G7-F7,IF(AND(OR(H7&lt;G7,H7=G7),OR(H7&lt;F7,H7=F7)),0,IF(OR(G7&gt;H7,G7=H7),H7-F7,G7-H7)))</f>
        <v>0</v>
      </c>
      <c r="J7" s="2159"/>
      <c r="K7" s="2130">
        <f t="shared" ref="K7:K21" si="1">IF(ISERROR(I7*dpSales_ClearHeight_AdjperFoot_1),"",I7*dpSales_ClearHeight_AdjperFoot_1)</f>
        <v>0</v>
      </c>
      <c r="L7" s="101"/>
      <c r="M7" s="5"/>
      <c r="N7" s="5"/>
      <c r="O7" s="6"/>
      <c r="P7" s="10"/>
      <c r="Q7" s="11"/>
      <c r="R7" s="10"/>
      <c r="S7" s="10"/>
      <c r="T7" s="10"/>
      <c r="U7" s="10"/>
      <c r="V7" s="10"/>
      <c r="W7" s="10"/>
      <c r="X7" s="10"/>
      <c r="Y7" s="10"/>
      <c r="Z7" s="10"/>
      <c r="AA7" s="10"/>
      <c r="AB7" s="10"/>
      <c r="AC7" s="10"/>
      <c r="AD7" s="10"/>
      <c r="AE7" s="10"/>
      <c r="AF7" s="143"/>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row>
    <row r="8" spans="1:65" ht="15" customHeight="1" x14ac:dyDescent="0.25">
      <c r="A8" s="957">
        <f t="shared" ref="A8:A21" si="2">IF(ISERROR(E8),0,1)</f>
        <v>0</v>
      </c>
      <c r="B8" s="4"/>
      <c r="C8" s="101"/>
      <c r="D8" s="137">
        <f>D7+1</f>
        <v>2</v>
      </c>
      <c r="E8" s="1178" t="e">
        <f>HLOOKUP($D8,'Improved Sales Adjustments 1'!$G$7:$WV$147,48,FALSE)</f>
        <v>#DIV/0!</v>
      </c>
      <c r="F8" s="2159">
        <f>HLOOKUP($D8,'Improved Sales Adjustments 1'!$G$7:$WV$147,91,FALSE)</f>
        <v>0</v>
      </c>
      <c r="G8" s="2159">
        <f t="shared" si="0"/>
        <v>0</v>
      </c>
      <c r="H8" s="2159">
        <f t="shared" ref="H8:H21" si="3">dpSales_MaxHeightAdj_1</f>
        <v>40</v>
      </c>
      <c r="I8" s="2159">
        <f t="shared" ref="I8:I21" si="4">IF(AND(H8&gt;G8,H8&gt;F8),G8-F8,IF(AND(OR(H8&lt;G8,H8=G8),OR(H8&lt;F8,H8=F8)),0,IF(OR(G8&gt;H8,G8=H8),H8-F8,G8-H8)))</f>
        <v>0</v>
      </c>
      <c r="J8" s="2159"/>
      <c r="K8" s="2130">
        <f t="shared" si="1"/>
        <v>0</v>
      </c>
      <c r="L8" s="101"/>
      <c r="M8" s="5"/>
      <c r="N8" s="5"/>
      <c r="O8" s="6"/>
      <c r="P8" s="10"/>
      <c r="Q8" s="11"/>
      <c r="R8" s="10"/>
      <c r="S8" s="10"/>
      <c r="T8" s="10"/>
      <c r="U8" s="10"/>
      <c r="V8" s="10"/>
      <c r="W8" s="10"/>
      <c r="X8" s="10"/>
      <c r="Y8" s="10"/>
      <c r="Z8" s="10"/>
      <c r="AA8" s="10"/>
      <c r="AB8" s="10"/>
      <c r="AC8" s="10"/>
      <c r="AD8" s="10"/>
      <c r="AE8" s="10"/>
      <c r="AF8" s="143"/>
      <c r="AG8" s="32"/>
      <c r="AH8" s="32"/>
      <c r="AI8" s="32"/>
      <c r="AJ8" s="32"/>
      <c r="AK8" s="32"/>
      <c r="AL8" s="32"/>
      <c r="AM8" s="32"/>
      <c r="AN8" s="32"/>
      <c r="AO8" s="32"/>
      <c r="AP8" s="32"/>
      <c r="AQ8" s="32"/>
      <c r="AR8" s="32"/>
      <c r="AS8" s="32"/>
      <c r="AT8" s="32"/>
      <c r="AU8" s="32"/>
      <c r="AV8" s="32"/>
      <c r="AW8" s="32"/>
      <c r="AX8" s="32"/>
      <c r="AY8" s="32"/>
      <c r="AZ8" s="32"/>
      <c r="BA8" s="32"/>
      <c r="BB8" s="32"/>
      <c r="BC8" s="32"/>
      <c r="BD8" s="32"/>
      <c r="BE8" s="32"/>
      <c r="BF8" s="32"/>
      <c r="BG8" s="32"/>
      <c r="BH8" s="32"/>
      <c r="BI8" s="32"/>
      <c r="BJ8" s="32"/>
      <c r="BK8" s="32"/>
      <c r="BL8" s="32"/>
      <c r="BM8" s="32"/>
    </row>
    <row r="9" spans="1:65" ht="15" customHeight="1" x14ac:dyDescent="0.25">
      <c r="A9" s="957">
        <f t="shared" si="2"/>
        <v>0</v>
      </c>
      <c r="B9" s="4"/>
      <c r="C9" s="101"/>
      <c r="D9" s="137">
        <f t="shared" ref="D9:D21" si="5">D8+1</f>
        <v>3</v>
      </c>
      <c r="E9" s="1178" t="e">
        <f>HLOOKUP($D9,'Improved Sales Adjustments 1'!$G$7:$WV$147,48,FALSE)</f>
        <v>#DIV/0!</v>
      </c>
      <c r="F9" s="2159">
        <f>HLOOKUP($D9,'Improved Sales Adjustments 1'!$G$7:$WV$147,91,FALSE)</f>
        <v>0</v>
      </c>
      <c r="G9" s="2159">
        <f t="shared" si="0"/>
        <v>0</v>
      </c>
      <c r="H9" s="2159">
        <f t="shared" si="3"/>
        <v>40</v>
      </c>
      <c r="I9" s="2159">
        <f t="shared" si="4"/>
        <v>0</v>
      </c>
      <c r="J9" s="2159"/>
      <c r="K9" s="2130">
        <f t="shared" si="1"/>
        <v>0</v>
      </c>
      <c r="L9" s="101"/>
      <c r="M9" s="5"/>
      <c r="N9" s="5"/>
      <c r="O9" s="6"/>
      <c r="P9" s="10"/>
      <c r="Q9" s="11"/>
      <c r="R9" s="10"/>
      <c r="S9" s="10"/>
      <c r="T9" s="10"/>
      <c r="U9" s="10"/>
      <c r="V9" s="10"/>
      <c r="W9" s="10"/>
      <c r="X9" s="10"/>
      <c r="Y9" s="10"/>
      <c r="Z9" s="10"/>
      <c r="AA9" s="10"/>
      <c r="AB9" s="10"/>
      <c r="AC9" s="10"/>
      <c r="AD9" s="10"/>
      <c r="AE9" s="10"/>
      <c r="AF9" s="143"/>
      <c r="AG9" s="32"/>
      <c r="AH9" s="32"/>
      <c r="AI9" s="32"/>
      <c r="AJ9" s="32"/>
      <c r="AK9" s="32"/>
      <c r="AL9" s="32"/>
      <c r="AM9" s="32"/>
      <c r="AN9" s="32"/>
      <c r="AO9" s="32"/>
      <c r="AP9" s="32"/>
      <c r="AQ9" s="32"/>
      <c r="AR9" s="32"/>
      <c r="AS9" s="32"/>
      <c r="AT9" s="32"/>
      <c r="AU9" s="32"/>
      <c r="AV9" s="32"/>
      <c r="AW9" s="32"/>
      <c r="AX9" s="32"/>
      <c r="AY9" s="32"/>
      <c r="AZ9" s="32"/>
      <c r="BA9" s="32"/>
      <c r="BB9" s="32"/>
      <c r="BC9" s="32"/>
      <c r="BD9" s="32"/>
      <c r="BE9" s="32"/>
      <c r="BF9" s="32"/>
      <c r="BG9" s="32"/>
      <c r="BH9" s="32"/>
      <c r="BI9" s="32"/>
      <c r="BJ9" s="32"/>
      <c r="BK9" s="32"/>
      <c r="BL9" s="32"/>
      <c r="BM9" s="32"/>
    </row>
    <row r="10" spans="1:65" ht="15" customHeight="1" x14ac:dyDescent="0.25">
      <c r="A10" s="957">
        <f t="shared" si="2"/>
        <v>0</v>
      </c>
      <c r="B10" s="4"/>
      <c r="C10" s="101"/>
      <c r="D10" s="137">
        <f t="shared" si="5"/>
        <v>4</v>
      </c>
      <c r="E10" s="1178" t="e">
        <f>HLOOKUP($D10,'Improved Sales Adjustments 1'!$G$7:$WV$147,48,FALSE)</f>
        <v>#DIV/0!</v>
      </c>
      <c r="F10" s="2159">
        <f>HLOOKUP($D10,'Improved Sales Adjustments 1'!$G$7:$WV$147,91,FALSE)</f>
        <v>0</v>
      </c>
      <c r="G10" s="2159">
        <f t="shared" si="0"/>
        <v>0</v>
      </c>
      <c r="H10" s="2159">
        <f t="shared" si="3"/>
        <v>40</v>
      </c>
      <c r="I10" s="2159">
        <f t="shared" si="4"/>
        <v>0</v>
      </c>
      <c r="J10" s="2159"/>
      <c r="K10" s="2130">
        <f t="shared" si="1"/>
        <v>0</v>
      </c>
      <c r="L10" s="101"/>
      <c r="M10" s="5"/>
      <c r="N10" s="5"/>
      <c r="O10" s="6"/>
      <c r="P10" s="10"/>
      <c r="Q10" s="11"/>
      <c r="R10" s="10"/>
      <c r="S10" s="10"/>
      <c r="T10" s="10"/>
      <c r="U10" s="10"/>
      <c r="V10" s="10"/>
      <c r="W10" s="10"/>
      <c r="X10" s="10"/>
      <c r="Y10" s="10"/>
      <c r="Z10" s="10"/>
      <c r="AA10" s="10"/>
      <c r="AB10" s="10"/>
      <c r="AC10" s="10"/>
      <c r="AD10" s="10"/>
      <c r="AE10" s="10"/>
      <c r="AF10" s="143"/>
      <c r="AG10" s="32"/>
      <c r="AH10" s="32"/>
      <c r="AI10" s="32"/>
      <c r="AJ10" s="32"/>
      <c r="AK10" s="32"/>
      <c r="AL10" s="32"/>
      <c r="AM10" s="32"/>
      <c r="AN10" s="32"/>
      <c r="AO10" s="32"/>
      <c r="AP10" s="32"/>
      <c r="AQ10" s="32"/>
      <c r="AR10" s="32"/>
      <c r="AS10" s="32"/>
      <c r="AT10" s="32"/>
      <c r="AU10" s="32"/>
      <c r="AV10" s="32"/>
      <c r="AW10" s="32"/>
      <c r="AX10" s="32"/>
      <c r="AY10" s="32"/>
      <c r="AZ10" s="32"/>
      <c r="BA10" s="32"/>
      <c r="BB10" s="32"/>
      <c r="BC10" s="32"/>
      <c r="BD10" s="32"/>
      <c r="BE10" s="32"/>
      <c r="BF10" s="32"/>
      <c r="BG10" s="32"/>
      <c r="BH10" s="32"/>
      <c r="BI10" s="32"/>
      <c r="BJ10" s="32"/>
      <c r="BK10" s="32"/>
      <c r="BL10" s="32"/>
      <c r="BM10" s="32"/>
    </row>
    <row r="11" spans="1:65" ht="15" customHeight="1" x14ac:dyDescent="0.25">
      <c r="A11" s="957">
        <f t="shared" si="2"/>
        <v>0</v>
      </c>
      <c r="B11" s="4"/>
      <c r="C11" s="101"/>
      <c r="D11" s="137">
        <f t="shared" si="5"/>
        <v>5</v>
      </c>
      <c r="E11" s="1178" t="e">
        <f>HLOOKUP($D11,'Improved Sales Adjustments 1'!$G$7:$WV$147,48,FALSE)</f>
        <v>#DIV/0!</v>
      </c>
      <c r="F11" s="2159">
        <f>HLOOKUP($D11,'Improved Sales Adjustments 1'!$G$7:$WV$147,91,FALSE)</f>
        <v>0</v>
      </c>
      <c r="G11" s="2159">
        <f t="shared" si="0"/>
        <v>0</v>
      </c>
      <c r="H11" s="2159">
        <f t="shared" si="3"/>
        <v>40</v>
      </c>
      <c r="I11" s="2159">
        <f t="shared" si="4"/>
        <v>0</v>
      </c>
      <c r="J11" s="2159"/>
      <c r="K11" s="2130">
        <f t="shared" si="1"/>
        <v>0</v>
      </c>
      <c r="L11" s="101"/>
      <c r="M11" s="5"/>
      <c r="N11" s="5"/>
      <c r="O11" s="6"/>
      <c r="P11" s="10"/>
      <c r="Q11" s="11"/>
      <c r="R11" s="10"/>
      <c r="S11" s="10"/>
      <c r="T11" s="10"/>
      <c r="U11" s="10"/>
      <c r="V11" s="10"/>
      <c r="W11" s="10"/>
      <c r="X11" s="10"/>
      <c r="Y11" s="10"/>
      <c r="Z11" s="10"/>
      <c r="AA11" s="10"/>
      <c r="AB11" s="10"/>
      <c r="AC11" s="10"/>
      <c r="AD11" s="10"/>
      <c r="AE11" s="10"/>
      <c r="AF11" s="143"/>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row>
    <row r="12" spans="1:65" ht="15" customHeight="1" x14ac:dyDescent="0.25">
      <c r="A12" s="957">
        <f t="shared" si="2"/>
        <v>0</v>
      </c>
      <c r="B12" s="4"/>
      <c r="C12" s="101"/>
      <c r="D12" s="137">
        <f t="shared" si="5"/>
        <v>6</v>
      </c>
      <c r="E12" s="1178" t="e">
        <f>HLOOKUP($D12,'Improved Sales Adjustments 1'!$G$7:$WV$147,48,FALSE)</f>
        <v>#DIV/0!</v>
      </c>
      <c r="F12" s="2159">
        <f>HLOOKUP($D12,'Improved Sales Adjustments 1'!$G$7:$WV$147,91,FALSE)</f>
        <v>0</v>
      </c>
      <c r="G12" s="2159">
        <f t="shared" si="0"/>
        <v>0</v>
      </c>
      <c r="H12" s="2159">
        <f t="shared" si="3"/>
        <v>40</v>
      </c>
      <c r="I12" s="2159">
        <f t="shared" si="4"/>
        <v>0</v>
      </c>
      <c r="J12" s="2159"/>
      <c r="K12" s="2130">
        <f t="shared" si="1"/>
        <v>0</v>
      </c>
      <c r="L12" s="101"/>
      <c r="M12" s="5"/>
      <c r="N12" s="5"/>
      <c r="O12" s="6"/>
      <c r="P12" s="10"/>
      <c r="Q12" s="11"/>
      <c r="R12" s="10"/>
      <c r="S12" s="10"/>
      <c r="T12" s="10"/>
      <c r="U12" s="10"/>
      <c r="V12" s="10"/>
      <c r="W12" s="10"/>
      <c r="X12" s="10"/>
      <c r="Y12" s="10"/>
      <c r="Z12" s="10"/>
      <c r="AA12" s="10"/>
      <c r="AB12" s="10"/>
      <c r="AC12" s="10"/>
      <c r="AD12" s="10"/>
      <c r="AE12" s="10"/>
      <c r="AF12" s="143"/>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row>
    <row r="13" spans="1:65" ht="15" customHeight="1" x14ac:dyDescent="0.25">
      <c r="A13" s="957">
        <f t="shared" si="2"/>
        <v>0</v>
      </c>
      <c r="B13" s="4"/>
      <c r="C13" s="101"/>
      <c r="D13" s="137">
        <f t="shared" si="5"/>
        <v>7</v>
      </c>
      <c r="E13" s="1178" t="e">
        <f>HLOOKUP($D13,'Improved Sales Adjustments 1'!$G$7:$WV$147,48,FALSE)</f>
        <v>#N/A</v>
      </c>
      <c r="F13" s="2159" t="e">
        <f>HLOOKUP($D13,'Improved Sales Adjustments 1'!$G$7:$WV$147,91,FALSE)</f>
        <v>#N/A</v>
      </c>
      <c r="G13" s="2159">
        <f t="shared" si="0"/>
        <v>0</v>
      </c>
      <c r="H13" s="2159">
        <f t="shared" si="3"/>
        <v>40</v>
      </c>
      <c r="I13" s="2159" t="e">
        <f t="shared" si="4"/>
        <v>#N/A</v>
      </c>
      <c r="J13" s="2159"/>
      <c r="K13" s="2130" t="str">
        <f t="shared" si="1"/>
        <v/>
      </c>
      <c r="L13" s="101"/>
      <c r="M13" s="5"/>
      <c r="N13" s="5"/>
      <c r="O13" s="6"/>
      <c r="P13" s="10"/>
      <c r="Q13" s="11"/>
      <c r="R13" s="10"/>
      <c r="S13" s="10"/>
      <c r="T13" s="10"/>
      <c r="U13" s="10"/>
      <c r="V13" s="10"/>
      <c r="W13" s="10"/>
      <c r="X13" s="10"/>
      <c r="Y13" s="10"/>
      <c r="Z13" s="10"/>
      <c r="AA13" s="10"/>
      <c r="AB13" s="10"/>
      <c r="AC13" s="10"/>
      <c r="AD13" s="10"/>
      <c r="AE13" s="10"/>
      <c r="AF13" s="143"/>
      <c r="AG13" s="32"/>
      <c r="AH13" s="32"/>
      <c r="AI13" s="32"/>
      <c r="AJ13" s="32"/>
      <c r="AK13" s="32"/>
      <c r="AL13" s="32"/>
      <c r="AM13" s="32"/>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row>
    <row r="14" spans="1:65" ht="15" customHeight="1" x14ac:dyDescent="0.25">
      <c r="A14" s="957">
        <f t="shared" si="2"/>
        <v>0</v>
      </c>
      <c r="B14" s="4"/>
      <c r="C14" s="101"/>
      <c r="D14" s="137">
        <f>D13+1</f>
        <v>8</v>
      </c>
      <c r="E14" s="1178" t="e">
        <f>HLOOKUP($D14,'Improved Sales Adjustments 1'!$G$7:$WV$147,48,FALSE)</f>
        <v>#N/A</v>
      </c>
      <c r="F14" s="2159" t="e">
        <f>HLOOKUP($D14,'Improved Sales Adjustments 1'!$G$7:$WV$147,91,FALSE)</f>
        <v>#N/A</v>
      </c>
      <c r="G14" s="2159">
        <f t="shared" si="0"/>
        <v>0</v>
      </c>
      <c r="H14" s="2159">
        <f t="shared" si="3"/>
        <v>40</v>
      </c>
      <c r="I14" s="2159" t="e">
        <f t="shared" si="4"/>
        <v>#N/A</v>
      </c>
      <c r="J14" s="2159"/>
      <c r="K14" s="2130" t="str">
        <f t="shared" si="1"/>
        <v/>
      </c>
      <c r="L14" s="101"/>
      <c r="M14" s="5"/>
      <c r="N14" s="5"/>
      <c r="O14" s="6"/>
      <c r="P14" s="10"/>
      <c r="Q14" s="11"/>
      <c r="R14" s="10"/>
      <c r="S14" s="10"/>
      <c r="T14" s="10"/>
      <c r="U14" s="10"/>
      <c r="V14" s="10"/>
      <c r="W14" s="10"/>
      <c r="X14" s="10"/>
      <c r="Y14" s="10"/>
      <c r="Z14" s="10"/>
      <c r="AA14" s="10"/>
      <c r="AB14" s="10"/>
      <c r="AC14" s="10"/>
      <c r="AD14" s="10"/>
      <c r="AE14" s="10"/>
      <c r="AF14" s="143"/>
      <c r="AG14" s="32"/>
      <c r="AH14" s="32"/>
      <c r="AI14" s="32"/>
      <c r="AJ14" s="32"/>
      <c r="AK14" s="32"/>
      <c r="AL14" s="32"/>
      <c r="AM14" s="32"/>
      <c r="AN14" s="32"/>
      <c r="AO14" s="32"/>
      <c r="AP14" s="32"/>
      <c r="AQ14" s="32"/>
      <c r="AR14" s="32"/>
      <c r="AS14" s="32"/>
      <c r="AT14" s="32"/>
      <c r="AU14" s="32"/>
      <c r="AV14" s="32"/>
      <c r="AW14" s="32"/>
      <c r="AX14" s="32"/>
      <c r="AY14" s="32"/>
      <c r="AZ14" s="32"/>
      <c r="BA14" s="32"/>
      <c r="BB14" s="32"/>
      <c r="BC14" s="32"/>
      <c r="BD14" s="32"/>
      <c r="BE14" s="32"/>
      <c r="BF14" s="32"/>
      <c r="BG14" s="32"/>
      <c r="BH14" s="32"/>
      <c r="BI14" s="32"/>
      <c r="BJ14" s="32"/>
      <c r="BK14" s="32"/>
      <c r="BL14" s="32"/>
      <c r="BM14" s="32"/>
    </row>
    <row r="15" spans="1:65" ht="15" customHeight="1" x14ac:dyDescent="0.25">
      <c r="A15" s="957">
        <f t="shared" si="2"/>
        <v>0</v>
      </c>
      <c r="B15" s="4"/>
      <c r="C15" s="101"/>
      <c r="D15" s="137">
        <f t="shared" si="5"/>
        <v>9</v>
      </c>
      <c r="E15" s="1178" t="e">
        <f>HLOOKUP($D15,'Improved Sales Adjustments 1'!$G$7:$WV$147,48,FALSE)</f>
        <v>#N/A</v>
      </c>
      <c r="F15" s="2159" t="e">
        <f>HLOOKUP($D15,'Improved Sales Adjustments 1'!$G$7:$WV$147,91,FALSE)</f>
        <v>#N/A</v>
      </c>
      <c r="G15" s="2159">
        <f t="shared" si="0"/>
        <v>0</v>
      </c>
      <c r="H15" s="2159">
        <f t="shared" si="3"/>
        <v>40</v>
      </c>
      <c r="I15" s="2159" t="e">
        <f t="shared" si="4"/>
        <v>#N/A</v>
      </c>
      <c r="J15" s="2159"/>
      <c r="K15" s="2130" t="str">
        <f t="shared" si="1"/>
        <v/>
      </c>
      <c r="L15" s="101"/>
      <c r="M15" s="5"/>
      <c r="N15" s="5"/>
      <c r="O15" s="6"/>
      <c r="P15" s="10"/>
      <c r="Q15" s="11"/>
      <c r="R15" s="10"/>
      <c r="S15" s="10"/>
      <c r="T15" s="10"/>
      <c r="U15" s="10"/>
      <c r="V15" s="10"/>
      <c r="W15" s="10"/>
      <c r="X15" s="10"/>
      <c r="Y15" s="10"/>
      <c r="Z15" s="10"/>
      <c r="AA15" s="10"/>
      <c r="AB15" s="10"/>
      <c r="AC15" s="10"/>
      <c r="AD15" s="10"/>
      <c r="AE15" s="10"/>
      <c r="AF15" s="143"/>
      <c r="AG15" s="32"/>
      <c r="AH15" s="32"/>
      <c r="AI15" s="32"/>
      <c r="AJ15" s="32"/>
      <c r="AK15" s="32"/>
      <c r="AL15" s="32"/>
      <c r="AM15" s="32"/>
      <c r="AN15" s="32"/>
      <c r="AO15" s="32"/>
      <c r="AP15" s="32"/>
      <c r="AQ15" s="32"/>
      <c r="AR15" s="32"/>
      <c r="AS15" s="32"/>
      <c r="AT15" s="32"/>
      <c r="AU15" s="32"/>
      <c r="AV15" s="32"/>
      <c r="AW15" s="32"/>
      <c r="AX15" s="32"/>
      <c r="AY15" s="32"/>
      <c r="AZ15" s="32"/>
      <c r="BA15" s="32"/>
      <c r="BB15" s="32"/>
      <c r="BC15" s="32"/>
      <c r="BD15" s="32"/>
      <c r="BE15" s="32"/>
      <c r="BF15" s="32"/>
      <c r="BG15" s="32"/>
      <c r="BH15" s="32"/>
      <c r="BI15" s="32"/>
      <c r="BJ15" s="32"/>
      <c r="BK15" s="32"/>
      <c r="BL15" s="32"/>
      <c r="BM15" s="32"/>
    </row>
    <row r="16" spans="1:65" ht="15" customHeight="1" x14ac:dyDescent="0.25">
      <c r="A16" s="957">
        <f t="shared" si="2"/>
        <v>0</v>
      </c>
      <c r="B16" s="4"/>
      <c r="C16" s="101"/>
      <c r="D16" s="137">
        <f t="shared" si="5"/>
        <v>10</v>
      </c>
      <c r="E16" s="1178" t="e">
        <f>HLOOKUP($D16,'Improved Sales Adjustments 1'!$G$7:$WV$147,48,FALSE)</f>
        <v>#N/A</v>
      </c>
      <c r="F16" s="2159" t="e">
        <f>HLOOKUP($D16,'Improved Sales Adjustments 1'!$G$7:$WV$147,91,FALSE)</f>
        <v>#N/A</v>
      </c>
      <c r="G16" s="2159">
        <f t="shared" si="0"/>
        <v>0</v>
      </c>
      <c r="H16" s="2159">
        <f t="shared" si="3"/>
        <v>40</v>
      </c>
      <c r="I16" s="2159" t="e">
        <f t="shared" si="4"/>
        <v>#N/A</v>
      </c>
      <c r="J16" s="2159"/>
      <c r="K16" s="2130" t="str">
        <f t="shared" si="1"/>
        <v/>
      </c>
      <c r="L16" s="101"/>
      <c r="M16" s="5"/>
      <c r="N16" s="5"/>
      <c r="O16" s="6"/>
      <c r="P16" s="10"/>
      <c r="Q16" s="11"/>
      <c r="R16" s="10"/>
      <c r="S16" s="10"/>
      <c r="T16" s="10"/>
      <c r="U16" s="10"/>
      <c r="V16" s="10"/>
      <c r="W16" s="10"/>
      <c r="X16" s="10"/>
      <c r="Y16" s="10"/>
      <c r="Z16" s="10"/>
      <c r="AA16" s="10"/>
      <c r="AB16" s="10"/>
      <c r="AC16" s="10"/>
      <c r="AD16" s="10"/>
      <c r="AE16" s="10"/>
      <c r="AF16" s="143"/>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row>
    <row r="17" spans="1:65" ht="15" customHeight="1" x14ac:dyDescent="0.25">
      <c r="A17" s="957">
        <f t="shared" si="2"/>
        <v>0</v>
      </c>
      <c r="B17" s="4"/>
      <c r="C17" s="101"/>
      <c r="D17" s="137">
        <f t="shared" si="5"/>
        <v>11</v>
      </c>
      <c r="E17" s="1178" t="e">
        <f>HLOOKUP($D17,'Improved Sales Adjustments 1'!$G$7:$WV$147,48,FALSE)</f>
        <v>#N/A</v>
      </c>
      <c r="F17" s="2159" t="e">
        <f>HLOOKUP($D17,'Improved Sales Adjustments 1'!$G$7:$WV$147,91,FALSE)</f>
        <v>#N/A</v>
      </c>
      <c r="G17" s="2159">
        <f t="shared" si="0"/>
        <v>0</v>
      </c>
      <c r="H17" s="2159">
        <f t="shared" si="3"/>
        <v>40</v>
      </c>
      <c r="I17" s="2159" t="e">
        <f t="shared" si="4"/>
        <v>#N/A</v>
      </c>
      <c r="J17" s="2159"/>
      <c r="K17" s="2130" t="str">
        <f t="shared" si="1"/>
        <v/>
      </c>
      <c r="L17" s="101"/>
      <c r="M17" s="5"/>
      <c r="N17" s="5"/>
      <c r="O17" s="6"/>
      <c r="P17" s="10"/>
      <c r="Q17" s="11"/>
      <c r="R17" s="10"/>
      <c r="S17" s="10"/>
      <c r="T17" s="10"/>
      <c r="U17" s="10"/>
      <c r="V17" s="10"/>
      <c r="W17" s="10"/>
      <c r="X17" s="10"/>
      <c r="Y17" s="10"/>
      <c r="Z17" s="10"/>
      <c r="AA17" s="10"/>
      <c r="AB17" s="10"/>
      <c r="AC17" s="10"/>
      <c r="AD17" s="10"/>
      <c r="AE17" s="10"/>
      <c r="AF17" s="143"/>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row>
    <row r="18" spans="1:65" ht="15" customHeight="1" x14ac:dyDescent="0.25">
      <c r="A18" s="957">
        <f t="shared" si="2"/>
        <v>0</v>
      </c>
      <c r="B18" s="4"/>
      <c r="C18" s="101"/>
      <c r="D18" s="137">
        <f t="shared" si="5"/>
        <v>12</v>
      </c>
      <c r="E18" s="1178" t="e">
        <f>HLOOKUP($D18,'Improved Sales Adjustments 1'!$G$7:$WV$147,48,FALSE)</f>
        <v>#N/A</v>
      </c>
      <c r="F18" s="2159" t="e">
        <f>HLOOKUP($D18,'Improved Sales Adjustments 1'!$G$7:$WV$147,91,FALSE)</f>
        <v>#N/A</v>
      </c>
      <c r="G18" s="2159">
        <f t="shared" si="0"/>
        <v>0</v>
      </c>
      <c r="H18" s="2159">
        <f t="shared" si="3"/>
        <v>40</v>
      </c>
      <c r="I18" s="2159" t="e">
        <f t="shared" si="4"/>
        <v>#N/A</v>
      </c>
      <c r="J18" s="2159"/>
      <c r="K18" s="2130" t="str">
        <f t="shared" si="1"/>
        <v/>
      </c>
      <c r="L18" s="101"/>
      <c r="M18" s="5"/>
      <c r="N18" s="5"/>
      <c r="O18" s="6"/>
      <c r="P18" s="10"/>
      <c r="Q18" s="11"/>
      <c r="R18" s="10"/>
      <c r="S18" s="10"/>
      <c r="T18" s="10"/>
      <c r="U18" s="10"/>
      <c r="V18" s="10"/>
      <c r="W18" s="10"/>
      <c r="X18" s="10"/>
      <c r="Y18" s="10"/>
      <c r="Z18" s="10"/>
      <c r="AA18" s="10"/>
      <c r="AB18" s="10"/>
      <c r="AC18" s="10"/>
      <c r="AD18" s="10"/>
      <c r="AE18" s="10"/>
      <c r="AF18" s="143"/>
      <c r="AG18" s="32"/>
      <c r="AH18" s="32"/>
      <c r="AI18" s="32"/>
      <c r="AJ18" s="32"/>
      <c r="AK18" s="32"/>
      <c r="AL18" s="32"/>
      <c r="AM18" s="32"/>
      <c r="AN18" s="32"/>
      <c r="AO18" s="32"/>
      <c r="AP18" s="32"/>
      <c r="AQ18" s="32"/>
      <c r="AR18" s="32"/>
      <c r="AS18" s="32"/>
      <c r="AT18" s="32"/>
      <c r="AU18" s="32"/>
      <c r="AV18" s="32"/>
      <c r="AW18" s="32"/>
      <c r="AX18" s="32"/>
      <c r="AY18" s="32"/>
      <c r="AZ18" s="32"/>
      <c r="BA18" s="32"/>
      <c r="BB18" s="32"/>
      <c r="BC18" s="32"/>
      <c r="BD18" s="32"/>
      <c r="BE18" s="32"/>
      <c r="BF18" s="32"/>
      <c r="BG18" s="32"/>
      <c r="BH18" s="32"/>
      <c r="BI18" s="32"/>
      <c r="BJ18" s="32"/>
      <c r="BK18" s="32"/>
      <c r="BL18" s="32"/>
      <c r="BM18" s="32"/>
    </row>
    <row r="19" spans="1:65" ht="15" customHeight="1" x14ac:dyDescent="0.25">
      <c r="A19" s="957">
        <f t="shared" si="2"/>
        <v>0</v>
      </c>
      <c r="B19" s="4"/>
      <c r="C19" s="101"/>
      <c r="D19" s="137">
        <f t="shared" si="5"/>
        <v>13</v>
      </c>
      <c r="E19" s="1178" t="e">
        <f>HLOOKUP($D19,'Improved Sales Adjustments 1'!$G$7:$WV$147,48,FALSE)</f>
        <v>#N/A</v>
      </c>
      <c r="F19" s="2159" t="e">
        <f>HLOOKUP($D19,'Improved Sales Adjustments 1'!$G$7:$WV$147,91,FALSE)</f>
        <v>#N/A</v>
      </c>
      <c r="G19" s="2159">
        <f t="shared" si="0"/>
        <v>0</v>
      </c>
      <c r="H19" s="2159">
        <f t="shared" si="3"/>
        <v>40</v>
      </c>
      <c r="I19" s="2159" t="e">
        <f t="shared" si="4"/>
        <v>#N/A</v>
      </c>
      <c r="J19" s="2159"/>
      <c r="K19" s="2130" t="str">
        <f t="shared" si="1"/>
        <v/>
      </c>
      <c r="L19" s="101"/>
      <c r="M19" s="5"/>
      <c r="N19" s="5"/>
      <c r="O19" s="6"/>
      <c r="P19" s="10"/>
      <c r="Q19" s="11"/>
      <c r="R19" s="10"/>
      <c r="S19" s="10"/>
      <c r="T19" s="10"/>
      <c r="U19" s="10"/>
      <c r="V19" s="10"/>
      <c r="W19" s="10"/>
      <c r="X19" s="10"/>
      <c r="Y19" s="10"/>
      <c r="Z19" s="10"/>
      <c r="AA19" s="10"/>
      <c r="AB19" s="10"/>
      <c r="AC19" s="10"/>
      <c r="AD19" s="10"/>
      <c r="AE19" s="10"/>
      <c r="AF19" s="143"/>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32"/>
      <c r="BF19" s="32"/>
      <c r="BG19" s="32"/>
      <c r="BH19" s="32"/>
      <c r="BI19" s="32"/>
      <c r="BJ19" s="32"/>
      <c r="BK19" s="32"/>
      <c r="BL19" s="32"/>
      <c r="BM19" s="32"/>
    </row>
    <row r="20" spans="1:65" ht="15" customHeight="1" x14ac:dyDescent="0.25">
      <c r="A20" s="957">
        <f t="shared" si="2"/>
        <v>0</v>
      </c>
      <c r="B20" s="4"/>
      <c r="C20" s="101"/>
      <c r="D20" s="137">
        <f t="shared" si="5"/>
        <v>14</v>
      </c>
      <c r="E20" s="1178" t="e">
        <f>HLOOKUP($D20,'Improved Sales Adjustments 1'!$G$7:$WV$147,48,FALSE)</f>
        <v>#N/A</v>
      </c>
      <c r="F20" s="2159" t="e">
        <f>HLOOKUP($D20,'Improved Sales Adjustments 1'!$G$7:$WV$147,91,FALSE)</f>
        <v>#N/A</v>
      </c>
      <c r="G20" s="2159">
        <f t="shared" si="0"/>
        <v>0</v>
      </c>
      <c r="H20" s="2159">
        <f t="shared" si="3"/>
        <v>40</v>
      </c>
      <c r="I20" s="2159" t="e">
        <f t="shared" si="4"/>
        <v>#N/A</v>
      </c>
      <c r="J20" s="2159"/>
      <c r="K20" s="2130" t="str">
        <f t="shared" si="1"/>
        <v/>
      </c>
      <c r="L20" s="101"/>
      <c r="M20" s="5"/>
      <c r="N20" s="5"/>
      <c r="O20" s="6"/>
      <c r="P20" s="10"/>
      <c r="Q20" s="11"/>
      <c r="R20" s="10"/>
      <c r="S20" s="10"/>
      <c r="T20" s="10"/>
      <c r="U20" s="10"/>
      <c r="V20" s="10"/>
      <c r="W20" s="10"/>
      <c r="X20" s="10"/>
      <c r="Y20" s="10"/>
      <c r="Z20" s="10"/>
      <c r="AA20" s="10"/>
      <c r="AB20" s="10"/>
      <c r="AC20" s="10"/>
      <c r="AD20" s="10"/>
      <c r="AE20" s="10"/>
      <c r="AF20" s="143"/>
      <c r="AG20" s="32"/>
      <c r="AH20" s="32"/>
      <c r="AI20" s="32"/>
      <c r="AJ20" s="32"/>
      <c r="AK20" s="32"/>
      <c r="AL20" s="32"/>
      <c r="AM20" s="32"/>
      <c r="AN20" s="32"/>
      <c r="AO20" s="32"/>
      <c r="AP20" s="32"/>
      <c r="AQ20" s="32"/>
      <c r="AR20" s="32"/>
      <c r="AS20" s="32"/>
      <c r="AT20" s="32"/>
      <c r="AU20" s="32"/>
      <c r="AV20" s="32"/>
      <c r="AW20" s="32"/>
      <c r="AX20" s="32"/>
      <c r="AY20" s="32"/>
      <c r="AZ20" s="32"/>
      <c r="BA20" s="32"/>
      <c r="BB20" s="32"/>
      <c r="BC20" s="32"/>
      <c r="BD20" s="32"/>
      <c r="BE20" s="32"/>
      <c r="BF20" s="32"/>
      <c r="BG20" s="32"/>
      <c r="BH20" s="32"/>
      <c r="BI20" s="32"/>
      <c r="BJ20" s="32"/>
      <c r="BK20" s="32"/>
      <c r="BL20" s="32"/>
      <c r="BM20" s="32"/>
    </row>
    <row r="21" spans="1:65" ht="15" customHeight="1" thickBot="1" x14ac:dyDescent="0.3">
      <c r="A21" s="957">
        <f t="shared" si="2"/>
        <v>0</v>
      </c>
      <c r="B21" s="4"/>
      <c r="C21" s="101"/>
      <c r="D21" s="137">
        <f t="shared" si="5"/>
        <v>15</v>
      </c>
      <c r="E21" s="1178" t="e">
        <f>HLOOKUP($D21,'Improved Sales Adjustments 1'!$G$7:$WV$147,48,FALSE)</f>
        <v>#N/A</v>
      </c>
      <c r="F21" s="2159" t="e">
        <f>HLOOKUP($D21,'Improved Sales Adjustments 1'!$G$7:$WV$147,91,FALSE)</f>
        <v>#N/A</v>
      </c>
      <c r="G21" s="2159">
        <f t="shared" si="0"/>
        <v>0</v>
      </c>
      <c r="H21" s="2159">
        <f t="shared" si="3"/>
        <v>40</v>
      </c>
      <c r="I21" s="2159" t="e">
        <f t="shared" si="4"/>
        <v>#N/A</v>
      </c>
      <c r="J21" s="2159"/>
      <c r="K21" s="2130" t="str">
        <f t="shared" si="1"/>
        <v/>
      </c>
      <c r="L21" s="101"/>
      <c r="M21" s="5"/>
      <c r="N21" s="5"/>
      <c r="O21" s="6"/>
      <c r="P21" s="10"/>
      <c r="Q21" s="11"/>
      <c r="R21" s="10"/>
      <c r="S21" s="10"/>
      <c r="T21" s="10"/>
      <c r="U21" s="10"/>
      <c r="V21" s="10"/>
      <c r="W21" s="10"/>
      <c r="X21" s="10"/>
      <c r="Y21" s="10"/>
      <c r="Z21" s="10"/>
      <c r="AA21" s="10"/>
      <c r="AB21" s="10"/>
      <c r="AC21" s="10"/>
      <c r="AD21" s="10"/>
      <c r="AE21" s="10"/>
      <c r="AF21" s="143"/>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row>
    <row r="22" spans="1:65" ht="15" customHeight="1" thickBot="1" x14ac:dyDescent="0.3">
      <c r="A22" s="957">
        <v>1</v>
      </c>
      <c r="B22" s="8"/>
      <c r="C22" s="7"/>
      <c r="D22" s="555" t="s">
        <v>1605</v>
      </c>
      <c r="E22" s="133"/>
      <c r="F22" s="133"/>
      <c r="G22" s="133"/>
      <c r="H22" s="133"/>
      <c r="I22" s="133"/>
      <c r="J22" s="133"/>
      <c r="K22" s="133"/>
      <c r="L22" s="7"/>
      <c r="M22" s="7"/>
      <c r="N22" s="7"/>
      <c r="O22" s="9"/>
      <c r="P22" s="10"/>
      <c r="Q22" s="11"/>
      <c r="R22" s="10"/>
      <c r="S22" s="10"/>
      <c r="T22" s="10"/>
      <c r="U22" s="10"/>
      <c r="V22" s="10"/>
      <c r="W22" s="10"/>
      <c r="X22" s="10"/>
      <c r="Y22" s="10"/>
      <c r="Z22" s="10"/>
      <c r="AA22" s="10"/>
      <c r="AB22" s="10"/>
      <c r="AC22" s="10"/>
      <c r="AD22" s="10"/>
      <c r="AE22" s="10"/>
      <c r="AF22" s="143"/>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row>
    <row r="23" spans="1:65" ht="15" customHeight="1" thickBot="1" x14ac:dyDescent="0.3">
      <c r="A23" s="957">
        <v>1</v>
      </c>
      <c r="B23" s="10"/>
      <c r="C23" s="10"/>
      <c r="D23" s="13"/>
      <c r="E23" s="10"/>
      <c r="F23" s="10"/>
      <c r="G23" s="10"/>
      <c r="H23" s="10"/>
      <c r="I23" s="10"/>
      <c r="J23" s="10"/>
      <c r="K23" s="10"/>
      <c r="L23" s="10"/>
      <c r="M23" s="10"/>
      <c r="N23" s="10"/>
      <c r="O23" s="10"/>
      <c r="P23" s="10"/>
      <c r="Q23" s="11"/>
      <c r="R23" s="10"/>
      <c r="S23" s="10"/>
      <c r="T23" s="10"/>
      <c r="U23" s="10"/>
      <c r="V23" s="10"/>
      <c r="W23" s="10"/>
      <c r="X23" s="10"/>
      <c r="Y23" s="10"/>
      <c r="Z23" s="10"/>
      <c r="AA23" s="10"/>
      <c r="AB23" s="10"/>
      <c r="AC23" s="10"/>
      <c r="AD23" s="10"/>
      <c r="AE23" s="10"/>
      <c r="AF23" s="143"/>
      <c r="AG23" s="32"/>
      <c r="AH23" s="32"/>
      <c r="AI23" s="32"/>
      <c r="AJ23" s="32"/>
      <c r="AK23" s="32"/>
      <c r="AL23" s="32"/>
      <c r="AM23" s="32"/>
      <c r="AN23" s="32"/>
      <c r="AO23" s="32"/>
      <c r="AP23" s="32"/>
      <c r="AQ23" s="32"/>
      <c r="AR23" s="32"/>
      <c r="AS23" s="32"/>
      <c r="AT23" s="32"/>
      <c r="AU23" s="32"/>
      <c r="AV23" s="32"/>
      <c r="AW23" s="32"/>
      <c r="AX23" s="32"/>
      <c r="AY23" s="32"/>
      <c r="AZ23" s="32"/>
      <c r="BA23" s="32"/>
      <c r="BB23" s="32"/>
      <c r="BC23" s="32"/>
      <c r="BD23" s="32"/>
      <c r="BE23" s="32"/>
      <c r="BF23" s="32"/>
      <c r="BG23" s="32"/>
      <c r="BH23" s="32"/>
      <c r="BI23" s="32"/>
      <c r="BJ23" s="32"/>
      <c r="BK23" s="32"/>
      <c r="BL23" s="32"/>
      <c r="BM23" s="32"/>
    </row>
    <row r="24" spans="1:65" ht="15" customHeight="1" x14ac:dyDescent="0.25">
      <c r="A24" s="957">
        <v>1</v>
      </c>
      <c r="B24" s="1"/>
      <c r="C24" s="2"/>
      <c r="D24" s="202"/>
      <c r="E24" s="2"/>
      <c r="F24" s="2"/>
      <c r="G24" s="2"/>
      <c r="H24" s="2"/>
      <c r="I24" s="2"/>
      <c r="J24" s="2"/>
      <c r="K24" s="2"/>
      <c r="L24" s="2"/>
      <c r="M24" s="2"/>
      <c r="N24" s="3"/>
      <c r="O24" s="228"/>
      <c r="P24" s="10"/>
      <c r="Q24" s="11"/>
      <c r="R24" s="10"/>
      <c r="S24" s="10"/>
      <c r="T24" s="10"/>
      <c r="U24" s="10"/>
      <c r="V24" s="10"/>
      <c r="W24" s="10"/>
      <c r="X24" s="10"/>
      <c r="Y24" s="10"/>
      <c r="Z24" s="10"/>
      <c r="AA24" s="10"/>
      <c r="AB24" s="10"/>
      <c r="AC24" s="10"/>
      <c r="AD24" s="10"/>
      <c r="AE24" s="10"/>
      <c r="AF24" s="143"/>
      <c r="AG24" s="32"/>
      <c r="AH24" s="32"/>
      <c r="AI24" s="32"/>
      <c r="AJ24" s="32"/>
      <c r="AK24" s="32"/>
      <c r="AL24" s="32"/>
      <c r="AM24" s="32"/>
      <c r="AN24" s="32"/>
      <c r="AO24" s="32"/>
      <c r="AP24" s="32"/>
      <c r="AQ24" s="32"/>
      <c r="AR24" s="32"/>
      <c r="AS24" s="32"/>
      <c r="AT24" s="32"/>
      <c r="AU24" s="32"/>
      <c r="AV24" s="32"/>
      <c r="AW24" s="32"/>
      <c r="AX24" s="32"/>
      <c r="AY24" s="32"/>
      <c r="AZ24" s="32"/>
      <c r="BA24" s="32"/>
      <c r="BB24" s="32"/>
      <c r="BC24" s="32"/>
      <c r="BD24" s="32"/>
      <c r="BE24" s="32"/>
      <c r="BF24" s="32"/>
      <c r="BG24" s="32"/>
      <c r="BH24" s="32"/>
      <c r="BI24" s="32"/>
      <c r="BJ24" s="32"/>
      <c r="BK24" s="32"/>
      <c r="BL24" s="32"/>
      <c r="BM24" s="32"/>
    </row>
    <row r="25" spans="1:65" ht="15.95" customHeight="1" x14ac:dyDescent="0.25">
      <c r="A25" s="957">
        <v>1</v>
      </c>
      <c r="B25" s="4"/>
      <c r="C25" s="5"/>
      <c r="D25" s="505" t="str">
        <f>CONCATENATE("Percent Office Adjustment Calculations - ",dpSales_ComponentNameB1," Component")</f>
        <v>Percent Office Adjustment Calculations -  Component</v>
      </c>
      <c r="E25" s="5"/>
      <c r="F25" s="5"/>
      <c r="G25" s="5"/>
      <c r="H25" s="5"/>
      <c r="I25" s="5"/>
      <c r="J25" s="5"/>
      <c r="K25" s="5"/>
      <c r="L25" s="5"/>
      <c r="M25" s="5"/>
      <c r="N25" s="6"/>
      <c r="O25" s="228"/>
      <c r="P25" s="10"/>
      <c r="Q25" s="11"/>
      <c r="R25" s="10"/>
      <c r="S25" s="10"/>
      <c r="T25" s="10"/>
      <c r="U25" s="10"/>
      <c r="V25" s="10"/>
      <c r="W25" s="10"/>
      <c r="X25" s="10"/>
      <c r="Y25" s="10"/>
      <c r="Z25" s="10"/>
      <c r="AA25" s="10"/>
      <c r="AB25" s="10"/>
      <c r="AC25" s="10"/>
      <c r="AD25" s="10"/>
      <c r="AE25" s="10"/>
      <c r="AF25" s="143"/>
      <c r="AG25" s="32"/>
      <c r="AH25" s="32"/>
      <c r="AI25" s="32"/>
      <c r="AJ25" s="32"/>
      <c r="AK25" s="32"/>
      <c r="AL25" s="32"/>
      <c r="AM25" s="32"/>
      <c r="AN25" s="32"/>
      <c r="AO25" s="32"/>
      <c r="AP25" s="32"/>
      <c r="AQ25" s="32"/>
      <c r="AR25" s="32"/>
      <c r="AS25" s="32"/>
      <c r="AT25" s="32"/>
      <c r="AU25" s="32"/>
      <c r="AV25" s="32"/>
      <c r="AW25" s="32"/>
      <c r="AX25" s="32"/>
      <c r="AY25" s="32"/>
      <c r="AZ25" s="32"/>
      <c r="BA25" s="32"/>
      <c r="BB25" s="32"/>
      <c r="BC25" s="32"/>
      <c r="BD25" s="32"/>
      <c r="BE25" s="32"/>
      <c r="BF25" s="32"/>
      <c r="BG25" s="32"/>
      <c r="BH25" s="32"/>
      <c r="BI25" s="32"/>
      <c r="BJ25" s="32"/>
      <c r="BK25" s="32"/>
      <c r="BL25" s="32"/>
      <c r="BM25" s="32"/>
    </row>
    <row r="26" spans="1:65" ht="15" customHeight="1" x14ac:dyDescent="0.25">
      <c r="A26" s="957">
        <v>1</v>
      </c>
      <c r="B26" s="4"/>
      <c r="C26" s="150"/>
      <c r="D26" s="150"/>
      <c r="E26" s="150" t="s">
        <v>128</v>
      </c>
      <c r="F26" s="150" t="s">
        <v>551</v>
      </c>
      <c r="G26" s="150" t="s">
        <v>116</v>
      </c>
      <c r="H26" s="150"/>
      <c r="I26" s="150" t="s">
        <v>554</v>
      </c>
      <c r="J26" s="150"/>
      <c r="K26" s="5"/>
      <c r="L26" s="53"/>
      <c r="M26" s="53"/>
      <c r="N26" s="128"/>
      <c r="O26" s="228"/>
      <c r="P26" s="10"/>
      <c r="Q26" s="11"/>
      <c r="R26" s="10"/>
      <c r="S26" s="10"/>
      <c r="T26" s="10"/>
      <c r="U26" s="10"/>
      <c r="V26" s="10"/>
      <c r="W26" s="10"/>
      <c r="X26" s="10"/>
      <c r="Y26" s="10"/>
      <c r="Z26" s="10"/>
      <c r="AA26" s="10"/>
      <c r="AB26" s="10"/>
      <c r="AC26" s="10"/>
      <c r="AD26" s="10"/>
      <c r="AE26" s="10"/>
      <c r="AF26" s="143"/>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row>
    <row r="27" spans="1:65" ht="15" customHeight="1" x14ac:dyDescent="0.25">
      <c r="A27" s="957">
        <v>1</v>
      </c>
      <c r="B27" s="4"/>
      <c r="C27" s="150"/>
      <c r="D27" s="150" t="s">
        <v>702</v>
      </c>
      <c r="E27" s="150" t="s">
        <v>1303</v>
      </c>
      <c r="F27" s="150" t="s">
        <v>540</v>
      </c>
      <c r="G27" s="150" t="s">
        <v>540</v>
      </c>
      <c r="H27" s="150" t="s">
        <v>553</v>
      </c>
      <c r="I27" s="1703">
        <v>40</v>
      </c>
      <c r="J27" s="350"/>
      <c r="K27" s="5"/>
      <c r="L27" s="53"/>
      <c r="M27" s="53"/>
      <c r="N27" s="128"/>
      <c r="O27" s="228"/>
      <c r="P27" s="10"/>
      <c r="Q27" s="11"/>
      <c r="R27" s="10"/>
      <c r="S27" s="10"/>
      <c r="T27" s="10"/>
      <c r="U27" s="10"/>
      <c r="V27" s="10"/>
      <c r="W27" s="10"/>
      <c r="X27" s="10"/>
      <c r="Y27" s="10"/>
      <c r="Z27" s="10"/>
      <c r="AA27" s="10"/>
      <c r="AB27" s="10"/>
      <c r="AC27" s="10"/>
      <c r="AD27" s="10"/>
      <c r="AE27" s="10"/>
      <c r="AF27" s="143"/>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row>
    <row r="28" spans="1:65" ht="15" customHeight="1" x14ac:dyDescent="0.25">
      <c r="A28" s="957">
        <f>IF(ISERROR(E28),0,1)</f>
        <v>0</v>
      </c>
      <c r="B28" s="4"/>
      <c r="C28" s="101"/>
      <c r="D28" s="137">
        <v>1</v>
      </c>
      <c r="E28" s="1178" t="e">
        <f>HLOOKUP($D28,'Improved Sales Adjustments 1'!$G$7:$WV$147,48,FALSE)</f>
        <v>#DIV/0!</v>
      </c>
      <c r="F28" s="2129">
        <f>HLOOKUP($D28,'Improved Sales Adjustments 1'!$G$7:$WV$147,97,FALSE)</f>
        <v>0</v>
      </c>
      <c r="G28" s="2130">
        <f t="shared" ref="G28:G42" si="6">Sales_AdjGrid_PercentOffice_1</f>
        <v>7.4999999999999997E-2</v>
      </c>
      <c r="H28" s="2130">
        <f>G28-F28</f>
        <v>7.4999999999999997E-2</v>
      </c>
      <c r="I28" s="2130" t="str">
        <f t="shared" ref="I28:I42" si="7">IF(ISERROR((Sales_PercentOffice_AdjPSF_1*H28)/E28),"",Sales_PercentOffice_AdjPSF_1*H28/E28)</f>
        <v/>
      </c>
      <c r="J28" s="2130"/>
      <c r="K28" s="5"/>
      <c r="L28" s="5"/>
      <c r="M28" s="5"/>
      <c r="N28" s="6"/>
      <c r="O28" s="228"/>
      <c r="P28" s="10"/>
      <c r="Q28" s="11"/>
      <c r="R28" s="10"/>
      <c r="S28" s="10"/>
      <c r="T28" s="10"/>
      <c r="U28" s="10"/>
      <c r="V28" s="10"/>
      <c r="W28" s="10"/>
      <c r="X28" s="10"/>
      <c r="Y28" s="10"/>
      <c r="Z28" s="10"/>
      <c r="AA28" s="10"/>
      <c r="AB28" s="10"/>
      <c r="AC28" s="10"/>
      <c r="AD28" s="10"/>
      <c r="AE28" s="10"/>
      <c r="AF28" s="143"/>
      <c r="AG28" s="32"/>
      <c r="AH28" s="32"/>
      <c r="AI28" s="32"/>
      <c r="AJ28" s="32"/>
      <c r="AK28" s="32"/>
      <c r="AL28" s="32"/>
      <c r="AM28" s="32"/>
      <c r="AN28" s="32"/>
      <c r="AO28" s="32"/>
      <c r="AP28" s="32"/>
      <c r="AQ28" s="32"/>
      <c r="AR28" s="32"/>
      <c r="AS28" s="32"/>
      <c r="AT28" s="32"/>
      <c r="AU28" s="32"/>
      <c r="AV28" s="32"/>
      <c r="AW28" s="32"/>
      <c r="AX28" s="32"/>
      <c r="AY28" s="32"/>
      <c r="AZ28" s="32"/>
      <c r="BA28" s="32"/>
      <c r="BB28" s="32"/>
      <c r="BC28" s="32"/>
      <c r="BD28" s="32"/>
      <c r="BE28" s="32"/>
      <c r="BF28" s="32"/>
      <c r="BG28" s="32"/>
      <c r="BH28" s="32"/>
      <c r="BI28" s="32"/>
      <c r="BJ28" s="32"/>
      <c r="BK28" s="32"/>
      <c r="BL28" s="32"/>
      <c r="BM28" s="32"/>
    </row>
    <row r="29" spans="1:65" ht="15" customHeight="1" x14ac:dyDescent="0.25">
      <c r="A29" s="957">
        <f t="shared" ref="A29:A42" si="8">IF(ISERROR(E29),0,1)</f>
        <v>0</v>
      </c>
      <c r="B29" s="4"/>
      <c r="C29" s="101"/>
      <c r="D29" s="137">
        <f t="shared" ref="D29:D35" si="9">D28+1</f>
        <v>2</v>
      </c>
      <c r="E29" s="1178" t="e">
        <f>HLOOKUP($D29,'Improved Sales Adjustments 1'!$G$7:$WV$147,48,FALSE)</f>
        <v>#DIV/0!</v>
      </c>
      <c r="F29" s="2129">
        <f>HLOOKUP($D29,'Improved Sales Adjustments 1'!$G$7:$WV$147,97,FALSE)</f>
        <v>0</v>
      </c>
      <c r="G29" s="2130">
        <f t="shared" si="6"/>
        <v>7.4999999999999997E-2</v>
      </c>
      <c r="H29" s="2130">
        <f t="shared" ref="H29:H42" si="10">G29-F29</f>
        <v>7.4999999999999997E-2</v>
      </c>
      <c r="I29" s="2130" t="str">
        <f t="shared" si="7"/>
        <v/>
      </c>
      <c r="J29" s="2130"/>
      <c r="K29" s="5"/>
      <c r="L29" s="5"/>
      <c r="M29" s="5"/>
      <c r="N29" s="6"/>
      <c r="O29" s="228"/>
      <c r="P29" s="10"/>
      <c r="Q29" s="11"/>
      <c r="R29" s="10"/>
      <c r="S29" s="10"/>
      <c r="T29" s="10"/>
      <c r="U29" s="10"/>
      <c r="V29" s="10"/>
      <c r="W29" s="10"/>
      <c r="X29" s="10"/>
      <c r="Y29" s="10"/>
      <c r="Z29" s="10"/>
      <c r="AA29" s="10"/>
      <c r="AB29" s="10"/>
      <c r="AC29" s="10"/>
      <c r="AD29" s="10"/>
      <c r="AE29" s="10"/>
      <c r="AF29" s="143"/>
      <c r="AG29" s="32"/>
      <c r="AH29" s="32"/>
      <c r="AI29" s="32"/>
      <c r="AJ29" s="32"/>
      <c r="AK29" s="32"/>
      <c r="AL29" s="32"/>
      <c r="AM29" s="32"/>
      <c r="AN29" s="32"/>
      <c r="AO29" s="32"/>
      <c r="AP29" s="32"/>
      <c r="AQ29" s="32"/>
      <c r="AR29" s="32"/>
      <c r="AS29" s="32"/>
      <c r="AT29" s="32"/>
      <c r="AU29" s="32"/>
      <c r="AV29" s="32"/>
      <c r="AW29" s="32"/>
      <c r="AX29" s="32"/>
      <c r="AY29" s="32"/>
      <c r="AZ29" s="32"/>
      <c r="BA29" s="32"/>
      <c r="BB29" s="32"/>
      <c r="BC29" s="32"/>
      <c r="BD29" s="32"/>
      <c r="BE29" s="32"/>
      <c r="BF29" s="32"/>
      <c r="BG29" s="32"/>
      <c r="BH29" s="32"/>
      <c r="BI29" s="32"/>
      <c r="BJ29" s="32"/>
      <c r="BK29" s="32"/>
      <c r="BL29" s="32"/>
      <c r="BM29" s="32"/>
    </row>
    <row r="30" spans="1:65" ht="15" customHeight="1" x14ac:dyDescent="0.25">
      <c r="A30" s="957">
        <f t="shared" si="8"/>
        <v>0</v>
      </c>
      <c r="B30" s="4"/>
      <c r="C30" s="101"/>
      <c r="D30" s="137">
        <f t="shared" si="9"/>
        <v>3</v>
      </c>
      <c r="E30" s="1178" t="e">
        <f>HLOOKUP($D30,'Improved Sales Adjustments 1'!$G$7:$WV$147,48,FALSE)</f>
        <v>#DIV/0!</v>
      </c>
      <c r="F30" s="2129">
        <f>HLOOKUP($D30,'Improved Sales Adjustments 1'!$G$7:$WV$147,97,FALSE)</f>
        <v>0</v>
      </c>
      <c r="G30" s="2130">
        <f t="shared" si="6"/>
        <v>7.4999999999999997E-2</v>
      </c>
      <c r="H30" s="2130">
        <f t="shared" si="10"/>
        <v>7.4999999999999997E-2</v>
      </c>
      <c r="I30" s="2130" t="str">
        <f t="shared" si="7"/>
        <v/>
      </c>
      <c r="J30" s="2130"/>
      <c r="K30" s="5"/>
      <c r="L30" s="5"/>
      <c r="M30" s="5"/>
      <c r="N30" s="6"/>
      <c r="O30" s="228"/>
      <c r="P30" s="10"/>
      <c r="Q30" s="11"/>
      <c r="R30" s="10"/>
      <c r="S30" s="10"/>
      <c r="T30" s="10"/>
      <c r="U30" s="10"/>
      <c r="V30" s="10"/>
      <c r="W30" s="10"/>
      <c r="X30" s="10"/>
      <c r="Y30" s="10"/>
      <c r="Z30" s="10"/>
      <c r="AA30" s="10"/>
      <c r="AB30" s="10"/>
      <c r="AC30" s="10"/>
      <c r="AD30" s="10"/>
      <c r="AE30" s="10"/>
      <c r="AF30" s="143"/>
      <c r="AG30" s="32"/>
      <c r="AH30" s="32"/>
      <c r="AI30" s="32"/>
      <c r="AJ30" s="32"/>
      <c r="AK30" s="32"/>
      <c r="AL30" s="32"/>
      <c r="AM30" s="32"/>
      <c r="AN30" s="32"/>
      <c r="AO30" s="32"/>
      <c r="AP30" s="32"/>
      <c r="AQ30" s="32"/>
      <c r="AR30" s="32"/>
      <c r="AS30" s="32"/>
      <c r="AT30" s="32"/>
      <c r="AU30" s="32"/>
      <c r="AV30" s="32"/>
      <c r="AW30" s="32"/>
      <c r="AX30" s="32"/>
      <c r="AY30" s="32"/>
      <c r="AZ30" s="32"/>
      <c r="BA30" s="32"/>
      <c r="BB30" s="32"/>
      <c r="BC30" s="32"/>
      <c r="BD30" s="32"/>
      <c r="BE30" s="32"/>
      <c r="BF30" s="32"/>
      <c r="BG30" s="32"/>
      <c r="BH30" s="32"/>
      <c r="BI30" s="32"/>
      <c r="BJ30" s="32"/>
      <c r="BK30" s="32"/>
      <c r="BL30" s="32"/>
      <c r="BM30" s="32"/>
    </row>
    <row r="31" spans="1:65" ht="15" customHeight="1" x14ac:dyDescent="0.25">
      <c r="A31" s="957">
        <f t="shared" si="8"/>
        <v>0</v>
      </c>
      <c r="B31" s="4"/>
      <c r="C31" s="101"/>
      <c r="D31" s="137">
        <f t="shared" si="9"/>
        <v>4</v>
      </c>
      <c r="E31" s="1178" t="e">
        <f>HLOOKUP($D31,'Improved Sales Adjustments 1'!$G$7:$WV$147,48,FALSE)</f>
        <v>#DIV/0!</v>
      </c>
      <c r="F31" s="2129">
        <f>HLOOKUP($D31,'Improved Sales Adjustments 1'!$G$7:$WV$147,97,FALSE)</f>
        <v>0</v>
      </c>
      <c r="G31" s="2130">
        <f t="shared" si="6"/>
        <v>7.4999999999999997E-2</v>
      </c>
      <c r="H31" s="2130">
        <f t="shared" si="10"/>
        <v>7.4999999999999997E-2</v>
      </c>
      <c r="I31" s="2130" t="str">
        <f t="shared" si="7"/>
        <v/>
      </c>
      <c r="J31" s="2130"/>
      <c r="K31" s="5"/>
      <c r="L31" s="5"/>
      <c r="M31" s="5"/>
      <c r="N31" s="6"/>
      <c r="O31" s="228"/>
      <c r="P31" s="10"/>
      <c r="Q31" s="11"/>
      <c r="R31" s="10"/>
      <c r="S31" s="10"/>
      <c r="T31" s="10"/>
      <c r="U31" s="10"/>
      <c r="V31" s="10"/>
      <c r="W31" s="10"/>
      <c r="X31" s="10"/>
      <c r="Y31" s="10"/>
      <c r="Z31" s="10"/>
      <c r="AA31" s="10"/>
      <c r="AB31" s="10"/>
      <c r="AC31" s="10"/>
      <c r="AD31" s="10"/>
      <c r="AE31" s="10"/>
      <c r="AF31" s="143"/>
      <c r="AG31" s="32"/>
      <c r="AH31" s="32"/>
      <c r="AI31" s="32"/>
      <c r="AJ31" s="32"/>
      <c r="AK31" s="32"/>
      <c r="AL31" s="32"/>
      <c r="AM31" s="32"/>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row>
    <row r="32" spans="1:65" ht="15" customHeight="1" x14ac:dyDescent="0.25">
      <c r="A32" s="957">
        <f t="shared" si="8"/>
        <v>0</v>
      </c>
      <c r="B32" s="4"/>
      <c r="C32" s="101"/>
      <c r="D32" s="137">
        <f t="shared" si="9"/>
        <v>5</v>
      </c>
      <c r="E32" s="1178" t="e">
        <f>HLOOKUP($D32,'Improved Sales Adjustments 1'!$G$7:$WV$147,48,FALSE)</f>
        <v>#DIV/0!</v>
      </c>
      <c r="F32" s="2129">
        <f>HLOOKUP($D32,'Improved Sales Adjustments 1'!$G$7:$WV$147,97,FALSE)</f>
        <v>0</v>
      </c>
      <c r="G32" s="2130">
        <f t="shared" si="6"/>
        <v>7.4999999999999997E-2</v>
      </c>
      <c r="H32" s="2130">
        <f t="shared" si="10"/>
        <v>7.4999999999999997E-2</v>
      </c>
      <c r="I32" s="2130" t="str">
        <f t="shared" si="7"/>
        <v/>
      </c>
      <c r="J32" s="2130"/>
      <c r="K32" s="5"/>
      <c r="L32" s="5"/>
      <c r="M32" s="5"/>
      <c r="N32" s="6"/>
      <c r="O32" s="228"/>
      <c r="P32" s="10"/>
      <c r="Q32" s="11"/>
      <c r="R32" s="10"/>
      <c r="S32" s="10"/>
      <c r="T32" s="10"/>
      <c r="U32" s="10"/>
      <c r="V32" s="10"/>
      <c r="W32" s="10"/>
      <c r="X32" s="10"/>
      <c r="Y32" s="10"/>
      <c r="Z32" s="10"/>
      <c r="AA32" s="10"/>
      <c r="AB32" s="10"/>
      <c r="AC32" s="10"/>
      <c r="AD32" s="10"/>
      <c r="AE32" s="10"/>
      <c r="AF32" s="143"/>
      <c r="AG32" s="32"/>
      <c r="AH32" s="32"/>
      <c r="AI32" s="32"/>
      <c r="AJ32" s="32"/>
      <c r="AK32" s="32"/>
      <c r="AL32" s="32"/>
      <c r="AM32" s="32"/>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row>
    <row r="33" spans="1:65" ht="15" customHeight="1" x14ac:dyDescent="0.25">
      <c r="A33" s="957">
        <f t="shared" si="8"/>
        <v>0</v>
      </c>
      <c r="B33" s="4"/>
      <c r="C33" s="101"/>
      <c r="D33" s="137">
        <f t="shared" si="9"/>
        <v>6</v>
      </c>
      <c r="E33" s="1178" t="e">
        <f>HLOOKUP($D33,'Improved Sales Adjustments 1'!$G$7:$WV$147,48,FALSE)</f>
        <v>#DIV/0!</v>
      </c>
      <c r="F33" s="2129">
        <f>HLOOKUP($D33,'Improved Sales Adjustments 1'!$G$7:$WV$147,97,FALSE)</f>
        <v>0</v>
      </c>
      <c r="G33" s="2130">
        <f t="shared" si="6"/>
        <v>7.4999999999999997E-2</v>
      </c>
      <c r="H33" s="2130">
        <f t="shared" si="10"/>
        <v>7.4999999999999997E-2</v>
      </c>
      <c r="I33" s="2130" t="str">
        <f t="shared" si="7"/>
        <v/>
      </c>
      <c r="J33" s="2130"/>
      <c r="K33" s="5"/>
      <c r="L33" s="5"/>
      <c r="M33" s="5"/>
      <c r="N33" s="6"/>
      <c r="O33" s="228"/>
      <c r="P33" s="10"/>
      <c r="Q33" s="11"/>
      <c r="R33" s="10"/>
      <c r="S33" s="10"/>
      <c r="T33" s="10"/>
      <c r="U33" s="10"/>
      <c r="V33" s="10"/>
      <c r="W33" s="10"/>
      <c r="X33" s="10"/>
      <c r="Y33" s="10"/>
      <c r="Z33" s="10"/>
      <c r="AA33" s="10"/>
      <c r="AB33" s="10"/>
      <c r="AC33" s="10"/>
      <c r="AD33" s="10"/>
      <c r="AE33" s="10"/>
      <c r="AF33" s="143"/>
      <c r="AG33" s="32"/>
      <c r="AH33" s="32"/>
      <c r="AI33" s="32"/>
      <c r="AJ33" s="32"/>
      <c r="AK33" s="32"/>
      <c r="AL33" s="32"/>
      <c r="AM33" s="32"/>
      <c r="AN33" s="32"/>
      <c r="AO33" s="32"/>
      <c r="AP33" s="32"/>
      <c r="AQ33" s="32"/>
      <c r="AR33" s="32"/>
      <c r="AS33" s="32"/>
      <c r="AT33" s="32"/>
      <c r="AU33" s="32"/>
      <c r="AV33" s="32"/>
      <c r="AW33" s="32"/>
      <c r="AX33" s="32"/>
      <c r="AY33" s="32"/>
      <c r="AZ33" s="32"/>
      <c r="BA33" s="32"/>
      <c r="BB33" s="32"/>
      <c r="BC33" s="32"/>
      <c r="BD33" s="32"/>
      <c r="BE33" s="32"/>
      <c r="BF33" s="32"/>
      <c r="BG33" s="32"/>
      <c r="BH33" s="32"/>
      <c r="BI33" s="32"/>
      <c r="BJ33" s="32"/>
      <c r="BK33" s="32"/>
      <c r="BL33" s="32"/>
      <c r="BM33" s="32"/>
    </row>
    <row r="34" spans="1:65" ht="15" customHeight="1" x14ac:dyDescent="0.25">
      <c r="A34" s="957">
        <f t="shared" si="8"/>
        <v>0</v>
      </c>
      <c r="B34" s="4"/>
      <c r="C34" s="101"/>
      <c r="D34" s="137">
        <f t="shared" si="9"/>
        <v>7</v>
      </c>
      <c r="E34" s="1178" t="e">
        <f>HLOOKUP($D34,'Improved Sales Adjustments 1'!$G$7:$WV$147,48,FALSE)</f>
        <v>#N/A</v>
      </c>
      <c r="F34" s="2129" t="e">
        <f>HLOOKUP($D34,'Improved Sales Adjustments 1'!$G$7:$WV$147,97,FALSE)</f>
        <v>#N/A</v>
      </c>
      <c r="G34" s="2130">
        <f t="shared" si="6"/>
        <v>7.4999999999999997E-2</v>
      </c>
      <c r="H34" s="2130" t="e">
        <f t="shared" si="10"/>
        <v>#N/A</v>
      </c>
      <c r="I34" s="2130" t="str">
        <f t="shared" si="7"/>
        <v/>
      </c>
      <c r="J34" s="2130"/>
      <c r="K34" s="5"/>
      <c r="L34" s="5"/>
      <c r="M34" s="5"/>
      <c r="N34" s="6"/>
      <c r="O34" s="228"/>
      <c r="P34" s="10"/>
      <c r="Q34" s="11"/>
      <c r="R34" s="10"/>
      <c r="S34" s="10"/>
      <c r="T34" s="10"/>
      <c r="U34" s="10"/>
      <c r="V34" s="10"/>
      <c r="W34" s="10"/>
      <c r="X34" s="10"/>
      <c r="Y34" s="10"/>
      <c r="Z34" s="10"/>
      <c r="AA34" s="10"/>
      <c r="AB34" s="10"/>
      <c r="AC34" s="10"/>
      <c r="AD34" s="10"/>
      <c r="AE34" s="10"/>
      <c r="AF34" s="143"/>
      <c r="AG34" s="32"/>
      <c r="AH34" s="32"/>
      <c r="AI34" s="32"/>
      <c r="AJ34" s="32"/>
      <c r="AK34" s="32"/>
      <c r="AL34" s="32"/>
      <c r="AM34" s="32"/>
      <c r="AN34" s="32"/>
      <c r="AO34" s="32"/>
      <c r="AP34" s="32"/>
      <c r="AQ34" s="32"/>
      <c r="AR34" s="32"/>
      <c r="AS34" s="32"/>
      <c r="AT34" s="32"/>
      <c r="AU34" s="32"/>
      <c r="AV34" s="32"/>
      <c r="AW34" s="32"/>
      <c r="AX34" s="32"/>
      <c r="AY34" s="32"/>
      <c r="AZ34" s="32"/>
      <c r="BA34" s="32"/>
      <c r="BB34" s="32"/>
      <c r="BC34" s="32"/>
      <c r="BD34" s="32"/>
      <c r="BE34" s="32"/>
      <c r="BF34" s="32"/>
      <c r="BG34" s="32"/>
      <c r="BH34" s="32"/>
      <c r="BI34" s="32"/>
      <c r="BJ34" s="32"/>
      <c r="BK34" s="32"/>
      <c r="BL34" s="32"/>
      <c r="BM34" s="32"/>
    </row>
    <row r="35" spans="1:65" ht="15" customHeight="1" x14ac:dyDescent="0.25">
      <c r="A35" s="957">
        <f t="shared" si="8"/>
        <v>0</v>
      </c>
      <c r="B35" s="4"/>
      <c r="C35" s="101"/>
      <c r="D35" s="137">
        <f t="shared" si="9"/>
        <v>8</v>
      </c>
      <c r="E35" s="1178" t="e">
        <f>HLOOKUP($D35,'Improved Sales Adjustments 1'!$G$7:$WV$147,48,FALSE)</f>
        <v>#N/A</v>
      </c>
      <c r="F35" s="2129" t="e">
        <f>HLOOKUP($D35,'Improved Sales Adjustments 1'!$G$7:$WV$147,97,FALSE)</f>
        <v>#N/A</v>
      </c>
      <c r="G35" s="2130">
        <f t="shared" si="6"/>
        <v>7.4999999999999997E-2</v>
      </c>
      <c r="H35" s="2130" t="e">
        <f t="shared" si="10"/>
        <v>#N/A</v>
      </c>
      <c r="I35" s="2130" t="str">
        <f t="shared" si="7"/>
        <v/>
      </c>
      <c r="J35" s="2130"/>
      <c r="K35" s="5"/>
      <c r="L35" s="5"/>
      <c r="M35" s="5"/>
      <c r="N35" s="6"/>
      <c r="O35" s="228"/>
      <c r="P35" s="10"/>
      <c r="Q35" s="11"/>
      <c r="R35" s="10"/>
      <c r="S35" s="10"/>
      <c r="T35" s="10"/>
      <c r="U35" s="10"/>
      <c r="V35" s="10"/>
      <c r="W35" s="10"/>
      <c r="X35" s="10"/>
      <c r="Y35" s="10"/>
      <c r="Z35" s="10"/>
      <c r="AA35" s="10"/>
      <c r="AB35" s="10"/>
      <c r="AC35" s="10"/>
      <c r="AD35" s="10"/>
      <c r="AE35" s="10"/>
      <c r="AF35" s="143"/>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row>
    <row r="36" spans="1:65" ht="15" customHeight="1" x14ac:dyDescent="0.25">
      <c r="A36" s="957">
        <f t="shared" si="8"/>
        <v>0</v>
      </c>
      <c r="B36" s="4"/>
      <c r="C36" s="101"/>
      <c r="D36" s="137">
        <f t="shared" ref="D36:D42" si="11">D35+1</f>
        <v>9</v>
      </c>
      <c r="E36" s="1178" t="e">
        <f>HLOOKUP($D36,'Improved Sales Adjustments 1'!$G$7:$WV$147,48,FALSE)</f>
        <v>#N/A</v>
      </c>
      <c r="F36" s="2129" t="e">
        <f>HLOOKUP($D36,'Improved Sales Adjustments 1'!$G$7:$WV$147,97,FALSE)</f>
        <v>#N/A</v>
      </c>
      <c r="G36" s="2130">
        <f t="shared" si="6"/>
        <v>7.4999999999999997E-2</v>
      </c>
      <c r="H36" s="2130" t="e">
        <f t="shared" si="10"/>
        <v>#N/A</v>
      </c>
      <c r="I36" s="2130" t="str">
        <f t="shared" si="7"/>
        <v/>
      </c>
      <c r="J36" s="2130"/>
      <c r="K36" s="5"/>
      <c r="L36" s="5"/>
      <c r="M36" s="5"/>
      <c r="N36" s="6"/>
      <c r="O36" s="228"/>
      <c r="P36" s="10"/>
      <c r="Q36" s="11"/>
      <c r="R36" s="10"/>
      <c r="S36" s="10"/>
      <c r="T36" s="10"/>
      <c r="U36" s="10"/>
      <c r="V36" s="10"/>
      <c r="W36" s="10"/>
      <c r="X36" s="10"/>
      <c r="Y36" s="10"/>
      <c r="Z36" s="10"/>
      <c r="AA36" s="10"/>
      <c r="AB36" s="10"/>
      <c r="AC36" s="10"/>
      <c r="AD36" s="10"/>
      <c r="AE36" s="10"/>
      <c r="AF36" s="143"/>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row>
    <row r="37" spans="1:65" ht="15" customHeight="1" x14ac:dyDescent="0.25">
      <c r="A37" s="957">
        <f t="shared" si="8"/>
        <v>0</v>
      </c>
      <c r="B37" s="4"/>
      <c r="C37" s="101"/>
      <c r="D37" s="137">
        <f t="shared" si="11"/>
        <v>10</v>
      </c>
      <c r="E37" s="1178" t="e">
        <f>HLOOKUP($D37,'Improved Sales Adjustments 1'!$G$7:$WV$147,48,FALSE)</f>
        <v>#N/A</v>
      </c>
      <c r="F37" s="2129" t="e">
        <f>HLOOKUP($D37,'Improved Sales Adjustments 1'!$G$7:$WV$147,97,FALSE)</f>
        <v>#N/A</v>
      </c>
      <c r="G37" s="2130">
        <f t="shared" si="6"/>
        <v>7.4999999999999997E-2</v>
      </c>
      <c r="H37" s="2130" t="e">
        <f t="shared" si="10"/>
        <v>#N/A</v>
      </c>
      <c r="I37" s="2130" t="str">
        <f t="shared" si="7"/>
        <v/>
      </c>
      <c r="J37" s="2130"/>
      <c r="K37" s="5"/>
      <c r="L37" s="5"/>
      <c r="M37" s="5"/>
      <c r="N37" s="6"/>
      <c r="O37" s="228"/>
      <c r="P37" s="10"/>
      <c r="Q37" s="11"/>
      <c r="R37" s="10"/>
      <c r="S37" s="10"/>
      <c r="T37" s="10"/>
      <c r="U37" s="10"/>
      <c r="V37" s="10"/>
      <c r="W37" s="10"/>
      <c r="X37" s="10"/>
      <c r="Y37" s="10"/>
      <c r="Z37" s="10"/>
      <c r="AA37" s="10"/>
      <c r="AB37" s="10"/>
      <c r="AC37" s="10"/>
      <c r="AD37" s="10"/>
      <c r="AE37" s="10"/>
      <c r="AF37" s="143"/>
      <c r="AG37" s="32"/>
      <c r="AH37" s="32"/>
      <c r="AI37" s="32"/>
      <c r="AJ37" s="32"/>
      <c r="AK37" s="32"/>
      <c r="AL37" s="32"/>
      <c r="AM37" s="32"/>
      <c r="AN37" s="32"/>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row>
    <row r="38" spans="1:65" ht="15" customHeight="1" x14ac:dyDescent="0.25">
      <c r="A38" s="957">
        <f t="shared" si="8"/>
        <v>0</v>
      </c>
      <c r="B38" s="4"/>
      <c r="C38" s="101"/>
      <c r="D38" s="137">
        <f t="shared" si="11"/>
        <v>11</v>
      </c>
      <c r="E38" s="1178" t="e">
        <f>HLOOKUP($D38,'Improved Sales Adjustments 1'!$G$7:$WV$147,48,FALSE)</f>
        <v>#N/A</v>
      </c>
      <c r="F38" s="2129" t="e">
        <f>HLOOKUP($D38,'Improved Sales Adjustments 1'!$G$7:$WV$147,97,FALSE)</f>
        <v>#N/A</v>
      </c>
      <c r="G38" s="2130">
        <f t="shared" si="6"/>
        <v>7.4999999999999997E-2</v>
      </c>
      <c r="H38" s="2130" t="e">
        <f t="shared" si="10"/>
        <v>#N/A</v>
      </c>
      <c r="I38" s="2130" t="str">
        <f t="shared" si="7"/>
        <v/>
      </c>
      <c r="J38" s="2130"/>
      <c r="K38" s="5"/>
      <c r="L38" s="5"/>
      <c r="M38" s="5"/>
      <c r="N38" s="6"/>
      <c r="O38" s="228"/>
      <c r="P38" s="10"/>
      <c r="Q38" s="11"/>
      <c r="R38" s="10"/>
      <c r="S38" s="10"/>
      <c r="T38" s="10"/>
      <c r="U38" s="10"/>
      <c r="V38" s="10"/>
      <c r="W38" s="10"/>
      <c r="X38" s="10"/>
      <c r="Y38" s="10"/>
      <c r="Z38" s="10"/>
      <c r="AA38" s="10"/>
      <c r="AB38" s="10"/>
      <c r="AC38" s="10"/>
      <c r="AD38" s="10"/>
      <c r="AE38" s="10"/>
      <c r="AF38" s="143"/>
      <c r="AG38" s="32"/>
      <c r="AH38" s="32"/>
      <c r="AI38" s="32"/>
      <c r="AJ38" s="32"/>
      <c r="AK38" s="32"/>
      <c r="AL38" s="32"/>
      <c r="AM38" s="32"/>
      <c r="AN38" s="32"/>
      <c r="AO38" s="32"/>
      <c r="AP38" s="32"/>
      <c r="AQ38" s="32"/>
      <c r="AR38" s="32"/>
      <c r="AS38" s="32"/>
      <c r="AT38" s="32"/>
      <c r="AU38" s="32"/>
      <c r="AV38" s="32"/>
      <c r="AW38" s="32"/>
      <c r="AX38" s="32"/>
      <c r="AY38" s="32"/>
      <c r="AZ38" s="32"/>
      <c r="BA38" s="32"/>
      <c r="BB38" s="32"/>
      <c r="BC38" s="32"/>
      <c r="BD38" s="32"/>
      <c r="BE38" s="32"/>
      <c r="BF38" s="32"/>
      <c r="BG38" s="32"/>
      <c r="BH38" s="32"/>
      <c r="BI38" s="32"/>
      <c r="BJ38" s="32"/>
      <c r="BK38" s="32"/>
      <c r="BL38" s="32"/>
      <c r="BM38" s="32"/>
    </row>
    <row r="39" spans="1:65" ht="15" customHeight="1" x14ac:dyDescent="0.25">
      <c r="A39" s="957">
        <f t="shared" si="8"/>
        <v>0</v>
      </c>
      <c r="B39" s="4"/>
      <c r="C39" s="101"/>
      <c r="D39" s="137">
        <f t="shared" si="11"/>
        <v>12</v>
      </c>
      <c r="E39" s="1178" t="e">
        <f>HLOOKUP($D39,'Improved Sales Adjustments 1'!$G$7:$WV$147,48,FALSE)</f>
        <v>#N/A</v>
      </c>
      <c r="F39" s="2129" t="e">
        <f>HLOOKUP($D39,'Improved Sales Adjustments 1'!$G$7:$WV$147,97,FALSE)</f>
        <v>#N/A</v>
      </c>
      <c r="G39" s="2130">
        <f t="shared" si="6"/>
        <v>7.4999999999999997E-2</v>
      </c>
      <c r="H39" s="2130" t="e">
        <f t="shared" si="10"/>
        <v>#N/A</v>
      </c>
      <c r="I39" s="2130" t="str">
        <f t="shared" si="7"/>
        <v/>
      </c>
      <c r="J39" s="2130"/>
      <c r="K39" s="5"/>
      <c r="L39" s="5"/>
      <c r="M39" s="5"/>
      <c r="N39" s="6"/>
      <c r="O39" s="228"/>
      <c r="P39" s="10"/>
      <c r="Q39" s="11"/>
      <c r="R39" s="10"/>
      <c r="S39" s="10"/>
      <c r="T39" s="10"/>
      <c r="U39" s="10"/>
      <c r="V39" s="10"/>
      <c r="W39" s="10"/>
      <c r="X39" s="10"/>
      <c r="Y39" s="10"/>
      <c r="Z39" s="10"/>
      <c r="AA39" s="10"/>
      <c r="AB39" s="10"/>
      <c r="AC39" s="10"/>
      <c r="AD39" s="10"/>
      <c r="AE39" s="10"/>
      <c r="AF39" s="143"/>
      <c r="AG39" s="32"/>
      <c r="AH39" s="32"/>
      <c r="AI39" s="32"/>
      <c r="AJ39" s="32"/>
      <c r="AK39" s="32"/>
      <c r="AL39" s="32"/>
      <c r="AM39" s="32"/>
      <c r="AN39" s="32"/>
      <c r="AO39" s="32"/>
      <c r="AP39" s="32"/>
      <c r="AQ39" s="32"/>
      <c r="AR39" s="32"/>
      <c r="AS39" s="32"/>
      <c r="AT39" s="32"/>
      <c r="AU39" s="32"/>
      <c r="AV39" s="32"/>
      <c r="AW39" s="32"/>
      <c r="AX39" s="32"/>
      <c r="AY39" s="32"/>
      <c r="AZ39" s="32"/>
      <c r="BA39" s="32"/>
      <c r="BB39" s="32"/>
      <c r="BC39" s="32"/>
      <c r="BD39" s="32"/>
      <c r="BE39" s="32"/>
      <c r="BF39" s="32"/>
      <c r="BG39" s="32"/>
      <c r="BH39" s="32"/>
      <c r="BI39" s="32"/>
      <c r="BJ39" s="32"/>
      <c r="BK39" s="32"/>
      <c r="BL39" s="32"/>
      <c r="BM39" s="32"/>
    </row>
    <row r="40" spans="1:65" ht="15" customHeight="1" x14ac:dyDescent="0.25">
      <c r="A40" s="957">
        <f t="shared" si="8"/>
        <v>0</v>
      </c>
      <c r="B40" s="4"/>
      <c r="C40" s="101"/>
      <c r="D40" s="137">
        <f t="shared" si="11"/>
        <v>13</v>
      </c>
      <c r="E40" s="1178" t="e">
        <f>HLOOKUP($D40,'Improved Sales Adjustments 1'!$G$7:$WV$147,48,FALSE)</f>
        <v>#N/A</v>
      </c>
      <c r="F40" s="2129" t="e">
        <f>HLOOKUP($D40,'Improved Sales Adjustments 1'!$G$7:$WV$147,97,FALSE)</f>
        <v>#N/A</v>
      </c>
      <c r="G40" s="2130">
        <f t="shared" si="6"/>
        <v>7.4999999999999997E-2</v>
      </c>
      <c r="H40" s="2130" t="e">
        <f t="shared" si="10"/>
        <v>#N/A</v>
      </c>
      <c r="I40" s="2130" t="str">
        <f t="shared" si="7"/>
        <v/>
      </c>
      <c r="J40" s="2130"/>
      <c r="K40" s="5"/>
      <c r="L40" s="5"/>
      <c r="M40" s="5"/>
      <c r="N40" s="6"/>
      <c r="O40" s="228"/>
      <c r="P40" s="10"/>
      <c r="Q40" s="11"/>
      <c r="R40" s="10"/>
      <c r="S40" s="10"/>
      <c r="T40" s="10"/>
      <c r="U40" s="10"/>
      <c r="V40" s="10"/>
      <c r="W40" s="10"/>
      <c r="X40" s="10"/>
      <c r="Y40" s="10"/>
      <c r="Z40" s="10"/>
      <c r="AA40" s="10"/>
      <c r="AB40" s="10"/>
      <c r="AC40" s="10"/>
      <c r="AD40" s="10"/>
      <c r="AE40" s="10"/>
      <c r="AF40" s="143"/>
      <c r="AG40" s="32"/>
      <c r="AH40" s="32"/>
      <c r="AI40" s="32"/>
      <c r="AJ40" s="32"/>
      <c r="AK40" s="32"/>
      <c r="AL40" s="32"/>
      <c r="AM40" s="32"/>
      <c r="AN40" s="32"/>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row>
    <row r="41" spans="1:65" ht="15" customHeight="1" x14ac:dyDescent="0.25">
      <c r="A41" s="957">
        <f t="shared" si="8"/>
        <v>0</v>
      </c>
      <c r="B41" s="4"/>
      <c r="C41" s="101"/>
      <c r="D41" s="137">
        <f t="shared" si="11"/>
        <v>14</v>
      </c>
      <c r="E41" s="1178" t="e">
        <f>HLOOKUP($D41,'Improved Sales Adjustments 1'!$G$7:$WV$147,48,FALSE)</f>
        <v>#N/A</v>
      </c>
      <c r="F41" s="2129" t="e">
        <f>HLOOKUP($D41,'Improved Sales Adjustments 1'!$G$7:$WV$147,97,FALSE)</f>
        <v>#N/A</v>
      </c>
      <c r="G41" s="2130">
        <f t="shared" si="6"/>
        <v>7.4999999999999997E-2</v>
      </c>
      <c r="H41" s="2130" t="e">
        <f t="shared" si="10"/>
        <v>#N/A</v>
      </c>
      <c r="I41" s="2130" t="str">
        <f t="shared" si="7"/>
        <v/>
      </c>
      <c r="J41" s="2130"/>
      <c r="K41" s="5"/>
      <c r="L41" s="5"/>
      <c r="M41" s="5"/>
      <c r="N41" s="6"/>
      <c r="O41" s="228"/>
      <c r="P41" s="10"/>
      <c r="Q41" s="11"/>
      <c r="R41" s="10"/>
      <c r="S41" s="10"/>
      <c r="T41" s="10"/>
      <c r="U41" s="10"/>
      <c r="V41" s="10"/>
      <c r="W41" s="10"/>
      <c r="X41" s="10"/>
      <c r="Y41" s="10"/>
      <c r="Z41" s="10"/>
      <c r="AA41" s="10"/>
      <c r="AB41" s="10"/>
      <c r="AC41" s="10"/>
      <c r="AD41" s="10"/>
      <c r="AE41" s="10"/>
      <c r="AF41" s="143"/>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row>
    <row r="42" spans="1:65" ht="15" customHeight="1" thickBot="1" x14ac:dyDescent="0.3">
      <c r="A42" s="957">
        <f t="shared" si="8"/>
        <v>0</v>
      </c>
      <c r="B42" s="4"/>
      <c r="C42" s="101"/>
      <c r="D42" s="137">
        <f t="shared" si="11"/>
        <v>15</v>
      </c>
      <c r="E42" s="1178" t="e">
        <f>HLOOKUP($D42,'Improved Sales Adjustments 1'!$G$7:$WV$147,48,FALSE)</f>
        <v>#N/A</v>
      </c>
      <c r="F42" s="2129" t="e">
        <f>HLOOKUP($D42,'Improved Sales Adjustments 1'!$G$7:$WV$147,97,FALSE)</f>
        <v>#N/A</v>
      </c>
      <c r="G42" s="2130">
        <f t="shared" si="6"/>
        <v>7.4999999999999997E-2</v>
      </c>
      <c r="H42" s="2130" t="e">
        <f t="shared" si="10"/>
        <v>#N/A</v>
      </c>
      <c r="I42" s="2130" t="str">
        <f t="shared" si="7"/>
        <v/>
      </c>
      <c r="J42" s="2130"/>
      <c r="K42" s="5"/>
      <c r="L42" s="5"/>
      <c r="M42" s="5"/>
      <c r="N42" s="6"/>
      <c r="O42" s="228"/>
      <c r="P42" s="10"/>
      <c r="Q42" s="11"/>
      <c r="R42" s="10"/>
      <c r="S42" s="10"/>
      <c r="T42" s="10"/>
      <c r="U42" s="10"/>
      <c r="V42" s="10"/>
      <c r="W42" s="10"/>
      <c r="X42" s="10"/>
      <c r="Y42" s="10"/>
      <c r="Z42" s="10"/>
      <c r="AA42" s="10"/>
      <c r="AB42" s="10"/>
      <c r="AC42" s="10"/>
      <c r="AD42" s="10"/>
      <c r="AE42" s="10"/>
      <c r="AF42" s="143"/>
      <c r="AG42" s="32"/>
      <c r="AH42" s="32"/>
      <c r="AI42" s="32"/>
      <c r="AJ42" s="32"/>
      <c r="AK42" s="32"/>
      <c r="AL42" s="32"/>
      <c r="AM42" s="32"/>
      <c r="AN42" s="32"/>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row>
    <row r="43" spans="1:65" ht="15" customHeight="1" thickBot="1" x14ac:dyDescent="0.3">
      <c r="A43" s="957">
        <v>1</v>
      </c>
      <c r="B43" s="8"/>
      <c r="C43" s="7"/>
      <c r="D43" s="555" t="s">
        <v>1606</v>
      </c>
      <c r="E43" s="133"/>
      <c r="F43" s="133"/>
      <c r="G43" s="133"/>
      <c r="H43" s="133"/>
      <c r="I43" s="133"/>
      <c r="J43" s="7"/>
      <c r="K43" s="7"/>
      <c r="L43" s="7"/>
      <c r="M43" s="7"/>
      <c r="N43" s="9"/>
      <c r="O43" s="228"/>
      <c r="P43" s="10"/>
      <c r="Q43" s="11"/>
      <c r="R43" s="10"/>
      <c r="S43" s="10"/>
      <c r="T43" s="10"/>
      <c r="U43" s="10"/>
      <c r="V43" s="10"/>
      <c r="W43" s="10"/>
      <c r="X43" s="10"/>
      <c r="Y43" s="10"/>
      <c r="Z43" s="10"/>
      <c r="AA43" s="10"/>
      <c r="AB43" s="10"/>
      <c r="AC43" s="10"/>
      <c r="AD43" s="10"/>
      <c r="AE43" s="10"/>
      <c r="AF43" s="143"/>
      <c r="AG43" s="32"/>
      <c r="AH43" s="32"/>
      <c r="AI43" s="32"/>
      <c r="AJ43" s="32"/>
      <c r="AK43" s="32"/>
      <c r="AL43" s="32"/>
      <c r="AM43" s="32"/>
      <c r="AN43" s="32"/>
      <c r="AO43" s="32"/>
      <c r="AP43" s="32"/>
      <c r="AQ43" s="32"/>
      <c r="AR43" s="32"/>
      <c r="AS43" s="32"/>
      <c r="AT43" s="32"/>
      <c r="AU43" s="32"/>
      <c r="AV43" s="32"/>
      <c r="AW43" s="32"/>
      <c r="AX43" s="32"/>
      <c r="AY43" s="32"/>
      <c r="AZ43" s="32"/>
      <c r="BA43" s="32"/>
      <c r="BB43" s="32"/>
      <c r="BC43" s="32"/>
      <c r="BD43" s="32"/>
      <c r="BE43" s="32"/>
      <c r="BF43" s="32"/>
      <c r="BG43" s="32"/>
      <c r="BH43" s="32"/>
      <c r="BI43" s="32"/>
      <c r="BJ43" s="32"/>
      <c r="BK43" s="32"/>
      <c r="BL43" s="32"/>
      <c r="BM43" s="32"/>
    </row>
    <row r="44" spans="1:65" ht="15" customHeight="1" thickBot="1" x14ac:dyDescent="0.3">
      <c r="A44" s="957">
        <v>1</v>
      </c>
      <c r="B44" s="10"/>
      <c r="C44" s="10"/>
      <c r="D44" s="13"/>
      <c r="E44" s="10"/>
      <c r="F44" s="10"/>
      <c r="G44" s="10"/>
      <c r="H44" s="10"/>
      <c r="I44" s="10"/>
      <c r="J44" s="10"/>
      <c r="K44" s="10"/>
      <c r="L44" s="10"/>
      <c r="M44" s="10"/>
      <c r="N44" s="10"/>
      <c r="O44" s="10"/>
      <c r="P44" s="10"/>
      <c r="Q44" s="11"/>
      <c r="R44" s="10"/>
      <c r="S44" s="10"/>
      <c r="T44" s="10"/>
      <c r="U44" s="10"/>
      <c r="V44" s="10"/>
      <c r="W44" s="10"/>
      <c r="X44" s="10"/>
      <c r="Y44" s="10"/>
      <c r="Z44" s="10"/>
      <c r="AA44" s="10"/>
      <c r="AB44" s="10"/>
      <c r="AC44" s="10"/>
      <c r="AD44" s="10"/>
      <c r="AE44" s="10"/>
      <c r="AF44" s="143"/>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row>
    <row r="45" spans="1:65" ht="15" customHeight="1" x14ac:dyDescent="0.25">
      <c r="A45" s="957">
        <v>1</v>
      </c>
      <c r="B45" s="1"/>
      <c r="C45" s="2"/>
      <c r="D45" s="202"/>
      <c r="E45" s="2"/>
      <c r="F45" s="2"/>
      <c r="G45" s="2"/>
      <c r="H45" s="2"/>
      <c r="I45" s="2"/>
      <c r="J45" s="2"/>
      <c r="K45" s="2"/>
      <c r="L45" s="2"/>
      <c r="M45" s="2"/>
      <c r="N45" s="2"/>
      <c r="O45" s="3"/>
      <c r="P45" s="10"/>
      <c r="Q45" s="11"/>
      <c r="R45" s="10"/>
      <c r="S45" s="10"/>
      <c r="T45" s="10"/>
      <c r="U45" s="10"/>
      <c r="V45" s="10"/>
      <c r="W45" s="10"/>
      <c r="X45" s="10"/>
      <c r="Y45" s="10"/>
      <c r="Z45" s="10"/>
      <c r="AA45" s="10"/>
      <c r="AB45" s="10"/>
      <c r="AC45" s="10"/>
      <c r="AD45" s="10"/>
      <c r="AE45" s="10"/>
      <c r="AF45" s="143"/>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row>
    <row r="46" spans="1:65" ht="15.95" customHeight="1" x14ac:dyDescent="0.25">
      <c r="A46" s="957">
        <v>1</v>
      </c>
      <c r="B46" s="4"/>
      <c r="C46" s="5"/>
      <c r="D46" s="505" t="str">
        <f>CONCATENATE("Land-to-Building Ratio Adjustment Calculations - ",dpSales_ComponentNameB1," Component")</f>
        <v>Land-to-Building Ratio Adjustment Calculations -  Component</v>
      </c>
      <c r="E46" s="5"/>
      <c r="F46" s="5"/>
      <c r="G46" s="5"/>
      <c r="H46" s="5"/>
      <c r="I46" s="5"/>
      <c r="J46" s="5"/>
      <c r="K46" s="5"/>
      <c r="L46" s="5"/>
      <c r="M46" s="5"/>
      <c r="N46" s="5"/>
      <c r="O46" s="6"/>
      <c r="P46" s="10"/>
      <c r="Q46" s="11"/>
      <c r="R46" s="10"/>
      <c r="S46" s="10"/>
      <c r="T46" s="10"/>
      <c r="U46" s="10"/>
      <c r="V46" s="10"/>
      <c r="W46" s="10"/>
      <c r="X46" s="10"/>
      <c r="Y46" s="10"/>
      <c r="Z46" s="10"/>
      <c r="AA46" s="10"/>
      <c r="AB46" s="10"/>
      <c r="AC46" s="10"/>
      <c r="AD46" s="10"/>
      <c r="AE46" s="10"/>
      <c r="AF46" s="143"/>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row>
    <row r="47" spans="1:65" ht="15" customHeight="1" x14ac:dyDescent="0.25">
      <c r="A47" s="957">
        <v>1</v>
      </c>
      <c r="B47" s="4"/>
      <c r="C47" s="150"/>
      <c r="D47" s="150"/>
      <c r="E47" s="150" t="s">
        <v>128</v>
      </c>
      <c r="F47" s="150" t="s">
        <v>551</v>
      </c>
      <c r="G47" s="150" t="s">
        <v>116</v>
      </c>
      <c r="H47" s="150"/>
      <c r="I47" s="150" t="s">
        <v>73</v>
      </c>
      <c r="J47" s="150"/>
      <c r="K47" s="150" t="s">
        <v>554</v>
      </c>
      <c r="L47" s="150"/>
      <c r="M47" s="53"/>
      <c r="N47" s="53"/>
      <c r="O47" s="6"/>
      <c r="P47" s="10"/>
      <c r="Q47" s="11"/>
      <c r="R47" s="10"/>
      <c r="S47" s="10"/>
      <c r="T47" s="10"/>
      <c r="U47" s="10"/>
      <c r="V47" s="10"/>
      <c r="W47" s="10"/>
      <c r="X47" s="10"/>
      <c r="Y47" s="10"/>
      <c r="Z47" s="10"/>
      <c r="AA47" s="10"/>
      <c r="AB47" s="10"/>
      <c r="AC47" s="10"/>
      <c r="AD47" s="10"/>
      <c r="AE47" s="10"/>
      <c r="AF47" s="143"/>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row>
    <row r="48" spans="1:65" ht="15" customHeight="1" x14ac:dyDescent="0.25">
      <c r="A48" s="957">
        <v>1</v>
      </c>
      <c r="B48" s="4"/>
      <c r="C48" s="150"/>
      <c r="D48" s="150" t="s">
        <v>702</v>
      </c>
      <c r="E48" s="150" t="s">
        <v>1303</v>
      </c>
      <c r="F48" s="150" t="s">
        <v>558</v>
      </c>
      <c r="G48" s="150" t="s">
        <v>558</v>
      </c>
      <c r="H48" s="150" t="s">
        <v>553</v>
      </c>
      <c r="I48" s="150" t="s">
        <v>559</v>
      </c>
      <c r="J48" s="150"/>
      <c r="K48" s="2161">
        <v>1</v>
      </c>
      <c r="L48" s="150"/>
      <c r="M48" s="53"/>
      <c r="N48" s="53"/>
      <c r="O48" s="6"/>
      <c r="P48" s="10"/>
      <c r="Q48" s="11"/>
      <c r="R48" s="10"/>
      <c r="S48" s="10"/>
      <c r="T48" s="10"/>
      <c r="U48" s="10"/>
      <c r="V48" s="10"/>
      <c r="W48" s="10"/>
      <c r="X48" s="10"/>
      <c r="Y48" s="10"/>
      <c r="Z48" s="10"/>
      <c r="AA48" s="10"/>
      <c r="AB48" s="10"/>
      <c r="AC48" s="10"/>
      <c r="AD48" s="10"/>
      <c r="AE48" s="10"/>
      <c r="AF48" s="143"/>
      <c r="AG48" s="32"/>
      <c r="AH48" s="32"/>
      <c r="AI48" s="32"/>
      <c r="AJ48" s="32"/>
      <c r="AK48" s="32"/>
      <c r="AL48" s="32"/>
      <c r="AM48" s="32"/>
      <c r="AN48" s="32"/>
      <c r="AO48" s="32"/>
      <c r="AP48" s="32"/>
      <c r="AQ48" s="32"/>
      <c r="AR48" s="32"/>
      <c r="AS48" s="32"/>
      <c r="AT48" s="32"/>
      <c r="AU48" s="32"/>
      <c r="AV48" s="32"/>
      <c r="AW48" s="32"/>
      <c r="AX48" s="32"/>
      <c r="AY48" s="32"/>
      <c r="AZ48" s="32"/>
      <c r="BA48" s="32"/>
      <c r="BB48" s="32"/>
      <c r="BC48" s="32"/>
      <c r="BD48" s="32"/>
      <c r="BE48" s="32"/>
      <c r="BF48" s="32"/>
      <c r="BG48" s="32"/>
      <c r="BH48" s="32"/>
      <c r="BI48" s="32"/>
      <c r="BJ48" s="32"/>
      <c r="BK48" s="32"/>
      <c r="BL48" s="32"/>
      <c r="BM48" s="32"/>
    </row>
    <row r="49" spans="1:65" ht="15" customHeight="1" x14ac:dyDescent="0.25">
      <c r="A49" s="957">
        <f>IF(ISERROR(E49),0,1)</f>
        <v>0</v>
      </c>
      <c r="B49" s="4"/>
      <c r="C49" s="101"/>
      <c r="D49" s="137">
        <v>1</v>
      </c>
      <c r="E49" s="1178" t="e">
        <f>HLOOKUP($D49,'Improved Sales Adjustments 1'!$G$7:$WV$147,48,FALSE)</f>
        <v>#DIV/0!</v>
      </c>
      <c r="F49" s="2158">
        <f>HLOOKUP($D49,'Improved Sales Adjustments 1'!$G$7:$WV$147,103,FALSE)</f>
        <v>0</v>
      </c>
      <c r="G49" s="2158">
        <f t="shared" ref="G49:G63" si="12">Sales_AdjGrid_LtoBRatio_1</f>
        <v>20.7</v>
      </c>
      <c r="H49" s="2158">
        <f>G49-F49</f>
        <v>20.7</v>
      </c>
      <c r="I49" s="1178" t="e">
        <f>HLOOKUP($D49,'Improved Sales Adjustments 1'!$G$7:$WV$147,13,FALSE)/(HLOOKUP($D49,'Improved Sales Adjustments 1'!$G$7:$WV$147,9,FALSE)*43560)</f>
        <v>#DIV/0!</v>
      </c>
      <c r="J49" s="2159"/>
      <c r="K49" s="2130" t="str">
        <f>IF(OR(dpSale_Method_1="Land Extraction",ISERROR(IF(dpUnit_Sales_1="Net Rentable Area",(H49*I49*HLOOKUP($D49,'Improved Sales Adjustments 1'!$G$7:$WT$147,6,FALSE))/HLOOKUP($D49,'Improved Sales Adjustments 1'!$G$7:$WT$147,12,FALSE),(H49*I49*HLOOKUP($D49,'Improved Sales Adjustments 1'!$G$7:$WT$147,7,FALSE))/HLOOKUP($D49,'Improved Sales Adjustments 1'!$G$7:$WT$147,12,FALSE)))),"",IF(dpUnit_Sales_1="Net Rentable Area",(H49*I49*HLOOKUP($D49,'Improved Sales Adjustments 1'!$G$7:$WT$147,6,FALSE))/(HLOOKUP($D49,'Improved Sales Adjustments 1'!$G$7:$WT$147,6,FALSE)*E49)*Sales_LtBAdj_Ratio_1,(H49*I49*HLOOKUP($D49,'Improved Sales Adjustments 1'!$G$7:$WT$147,7,FALSE))/(HLOOKUP($D49,'Improved Sales Adjustments 1'!$G$7:$WT$147,7,FALSE)*E49)*Sales_LtBAdj_Ratio_1))</f>
        <v/>
      </c>
      <c r="L49" s="101"/>
      <c r="M49" s="5"/>
      <c r="N49" s="5"/>
      <c r="O49" s="6"/>
      <c r="P49" s="10"/>
      <c r="Q49" s="11"/>
      <c r="R49" s="10"/>
      <c r="S49" s="10"/>
      <c r="T49" s="10"/>
      <c r="U49" s="10"/>
      <c r="V49" s="10"/>
      <c r="W49" s="10"/>
      <c r="X49" s="10"/>
      <c r="Y49" s="10"/>
      <c r="Z49" s="10"/>
      <c r="AA49" s="10"/>
      <c r="AB49" s="10"/>
      <c r="AC49" s="10"/>
      <c r="AD49" s="10"/>
      <c r="AE49" s="10"/>
      <c r="AF49" s="143"/>
      <c r="AG49" s="32"/>
      <c r="AH49" s="32"/>
      <c r="AI49" s="32"/>
      <c r="AJ49" s="32"/>
      <c r="AK49" s="32"/>
      <c r="AL49" s="32"/>
      <c r="AM49" s="32"/>
      <c r="AN49" s="32"/>
      <c r="AO49" s="32"/>
      <c r="AP49" s="32"/>
      <c r="AQ49" s="32"/>
      <c r="AR49" s="32"/>
      <c r="AS49" s="32"/>
      <c r="AT49" s="32"/>
      <c r="AU49" s="32"/>
      <c r="AV49" s="32"/>
      <c r="AW49" s="32"/>
      <c r="AX49" s="32"/>
      <c r="AY49" s="32"/>
      <c r="AZ49" s="32"/>
      <c r="BA49" s="32"/>
      <c r="BB49" s="32"/>
      <c r="BC49" s="32"/>
      <c r="BD49" s="32"/>
      <c r="BE49" s="32"/>
      <c r="BF49" s="32"/>
      <c r="BG49" s="32"/>
      <c r="BH49" s="32"/>
      <c r="BI49" s="32"/>
      <c r="BJ49" s="32"/>
      <c r="BK49" s="32"/>
      <c r="BL49" s="32"/>
      <c r="BM49" s="32"/>
    </row>
    <row r="50" spans="1:65" ht="15" customHeight="1" x14ac:dyDescent="0.25">
      <c r="A50" s="957">
        <f t="shared" ref="A50:A63" si="13">IF(ISERROR(E50),0,1)</f>
        <v>0</v>
      </c>
      <c r="B50" s="4"/>
      <c r="C50" s="101"/>
      <c r="D50" s="137">
        <f>D49+1</f>
        <v>2</v>
      </c>
      <c r="E50" s="1178" t="e">
        <f>HLOOKUP($D50,'Improved Sales Adjustments 1'!$G$7:$WV$147,48,FALSE)</f>
        <v>#DIV/0!</v>
      </c>
      <c r="F50" s="2158">
        <f>HLOOKUP($D50,'Improved Sales Adjustments 1'!$G$7:$WV$147,103,FALSE)</f>
        <v>0</v>
      </c>
      <c r="G50" s="2158">
        <f t="shared" si="12"/>
        <v>20.7</v>
      </c>
      <c r="H50" s="2158">
        <f t="shared" ref="H50:H63" si="14">G50-F50</f>
        <v>20.7</v>
      </c>
      <c r="I50" s="1178" t="e">
        <f>HLOOKUP($D50,'Improved Sales Adjustments 1'!$G$7:$WV$147,13,FALSE)/(HLOOKUP($D50,'Improved Sales Adjustments 1'!$G$7:$WV$147,9,FALSE)*43560)</f>
        <v>#DIV/0!</v>
      </c>
      <c r="J50" s="2159"/>
      <c r="K50" s="2130" t="str">
        <f>IF(OR(dpSale_Method_1="Land Extraction",ISERROR(IF(dpUnit_Sales_1="Net Rentable Area",(H50*I50*HLOOKUP($D50,'Improved Sales Adjustments 1'!$G$7:$WT$147,6,FALSE))/HLOOKUP($D50,'Improved Sales Adjustments 1'!$G$7:$WT$147,12,FALSE),(H50*I50*HLOOKUP($D50,'Improved Sales Adjustments 1'!$G$7:$WT$147,7,FALSE))/HLOOKUP($D50,'Improved Sales Adjustments 1'!$G$7:$WT$147,12,FALSE)))),"",IF(dpUnit_Sales_1="Net Rentable Area",(H50*I50*HLOOKUP($D50,'Improved Sales Adjustments 1'!$G$7:$WT$147,6,FALSE))/(HLOOKUP($D50,'Improved Sales Adjustments 1'!$G$7:$WT$147,6,FALSE)*E50)*Sales_LtBAdj_Ratio_1,(H50*I50*HLOOKUP($D50,'Improved Sales Adjustments 1'!$G$7:$WT$147,7,FALSE))/(HLOOKUP($D50,'Improved Sales Adjustments 1'!$G$7:$WT$147,7,FALSE)*E50)*Sales_LtBAdj_Ratio_1))</f>
        <v/>
      </c>
      <c r="L50" s="101"/>
      <c r="M50" s="5"/>
      <c r="N50" s="5"/>
      <c r="O50" s="6"/>
      <c r="P50" s="10"/>
      <c r="Q50" s="11"/>
      <c r="R50" s="10"/>
      <c r="S50" s="10"/>
      <c r="T50" s="10"/>
      <c r="U50" s="10"/>
      <c r="V50" s="10"/>
      <c r="W50" s="10"/>
      <c r="X50" s="10"/>
      <c r="Y50" s="10"/>
      <c r="Z50" s="10"/>
      <c r="AA50" s="10"/>
      <c r="AB50" s="10"/>
      <c r="AC50" s="10"/>
      <c r="AD50" s="10"/>
      <c r="AE50" s="10"/>
      <c r="AF50" s="143"/>
      <c r="AG50" s="32"/>
      <c r="AH50" s="32"/>
      <c r="AI50" s="32"/>
      <c r="AJ50" s="32"/>
      <c r="AK50" s="32"/>
      <c r="AL50" s="32"/>
      <c r="AM50" s="32"/>
      <c r="AN50" s="32"/>
      <c r="AO50" s="32"/>
      <c r="AP50" s="32"/>
      <c r="AQ50" s="32"/>
      <c r="AR50" s="32"/>
      <c r="AS50" s="32"/>
      <c r="AT50" s="32"/>
      <c r="AU50" s="32"/>
      <c r="AV50" s="32"/>
      <c r="AW50" s="32"/>
      <c r="AX50" s="32"/>
      <c r="AY50" s="32"/>
      <c r="AZ50" s="32"/>
      <c r="BA50" s="32"/>
      <c r="BB50" s="32"/>
      <c r="BC50" s="32"/>
      <c r="BD50" s="32"/>
      <c r="BE50" s="32"/>
      <c r="BF50" s="32"/>
      <c r="BG50" s="32"/>
      <c r="BH50" s="32"/>
      <c r="BI50" s="32"/>
      <c r="BJ50" s="32"/>
      <c r="BK50" s="32"/>
      <c r="BL50" s="32"/>
      <c r="BM50" s="32"/>
    </row>
    <row r="51" spans="1:65" ht="15" customHeight="1" x14ac:dyDescent="0.25">
      <c r="A51" s="957">
        <f t="shared" si="13"/>
        <v>0</v>
      </c>
      <c r="B51" s="4"/>
      <c r="C51" s="101"/>
      <c r="D51" s="137">
        <f t="shared" ref="D51:D60" si="15">D50+1</f>
        <v>3</v>
      </c>
      <c r="E51" s="1178" t="e">
        <f>HLOOKUP($D51,'Improved Sales Adjustments 1'!$G$7:$WV$147,48,FALSE)</f>
        <v>#DIV/0!</v>
      </c>
      <c r="F51" s="2158">
        <f>HLOOKUP($D51,'Improved Sales Adjustments 1'!$G$7:$WV$147,103,FALSE)</f>
        <v>0</v>
      </c>
      <c r="G51" s="2158">
        <f t="shared" si="12"/>
        <v>20.7</v>
      </c>
      <c r="H51" s="2158">
        <f t="shared" si="14"/>
        <v>20.7</v>
      </c>
      <c r="I51" s="1178" t="e">
        <f>HLOOKUP($D51,'Improved Sales Adjustments 1'!$G$7:$WV$147,13,FALSE)/(HLOOKUP($D51,'Improved Sales Adjustments 1'!$G$7:$WV$147,9,FALSE)*43560)</f>
        <v>#DIV/0!</v>
      </c>
      <c r="J51" s="2159"/>
      <c r="K51" s="2130" t="str">
        <f>IF(OR(dpSale_Method_1="Land Extraction",ISERROR(IF(dpUnit_Sales_1="Net Rentable Area",(H51*I51*HLOOKUP($D51,'Improved Sales Adjustments 1'!$G$7:$WT$147,6,FALSE))/HLOOKUP($D51,'Improved Sales Adjustments 1'!$G$7:$WT$147,12,FALSE),(H51*I51*HLOOKUP($D51,'Improved Sales Adjustments 1'!$G$7:$WT$147,7,FALSE))/HLOOKUP($D51,'Improved Sales Adjustments 1'!$G$7:$WT$147,12,FALSE)))),"",IF(dpUnit_Sales_1="Net Rentable Area",(H51*I51*HLOOKUP($D51,'Improved Sales Adjustments 1'!$G$7:$WT$147,6,FALSE))/(HLOOKUP($D51,'Improved Sales Adjustments 1'!$G$7:$WT$147,6,FALSE)*E51)*Sales_LtBAdj_Ratio_1,(H51*I51*HLOOKUP($D51,'Improved Sales Adjustments 1'!$G$7:$WT$147,7,FALSE))/(HLOOKUP($D51,'Improved Sales Adjustments 1'!$G$7:$WT$147,7,FALSE)*E51)*Sales_LtBAdj_Ratio_1))</f>
        <v/>
      </c>
      <c r="L51" s="101"/>
      <c r="M51" s="5"/>
      <c r="N51" s="5"/>
      <c r="O51" s="6"/>
      <c r="P51" s="10"/>
      <c r="Q51" s="11"/>
      <c r="R51" s="10"/>
      <c r="S51" s="10"/>
      <c r="T51" s="10"/>
      <c r="U51" s="10"/>
      <c r="V51" s="10"/>
      <c r="W51" s="10"/>
      <c r="X51" s="10"/>
      <c r="Y51" s="10"/>
      <c r="Z51" s="10"/>
      <c r="AA51" s="10"/>
      <c r="AB51" s="10"/>
      <c r="AC51" s="10"/>
      <c r="AD51" s="10"/>
      <c r="AE51" s="10"/>
      <c r="AF51" s="143"/>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row>
    <row r="52" spans="1:65" ht="15" customHeight="1" x14ac:dyDescent="0.25">
      <c r="A52" s="957">
        <f t="shared" si="13"/>
        <v>0</v>
      </c>
      <c r="B52" s="4"/>
      <c r="C52" s="101"/>
      <c r="D52" s="137">
        <f t="shared" si="15"/>
        <v>4</v>
      </c>
      <c r="E52" s="1178" t="e">
        <f>HLOOKUP($D52,'Improved Sales Adjustments 1'!$G$7:$WV$147,48,FALSE)</f>
        <v>#DIV/0!</v>
      </c>
      <c r="F52" s="2158">
        <f>HLOOKUP($D52,'Improved Sales Adjustments 1'!$G$7:$WV$147,103,FALSE)</f>
        <v>0</v>
      </c>
      <c r="G52" s="2158">
        <f t="shared" si="12"/>
        <v>20.7</v>
      </c>
      <c r="H52" s="2158">
        <f t="shared" si="14"/>
        <v>20.7</v>
      </c>
      <c r="I52" s="1178" t="e">
        <f>HLOOKUP($D52,'Improved Sales Adjustments 1'!$G$7:$WV$147,13,FALSE)/(HLOOKUP($D52,'Improved Sales Adjustments 1'!$G$7:$WV$147,9,FALSE)*43560)</f>
        <v>#DIV/0!</v>
      </c>
      <c r="J52" s="2159"/>
      <c r="K52" s="2130" t="str">
        <f>IF(OR(dpSale_Method_1="Land Extraction",ISERROR(IF(dpUnit_Sales_1="Net Rentable Area",(H52*I52*HLOOKUP($D52,'Improved Sales Adjustments 1'!$G$7:$WT$147,6,FALSE))/HLOOKUP($D52,'Improved Sales Adjustments 1'!$G$7:$WT$147,12,FALSE),(H52*I52*HLOOKUP($D52,'Improved Sales Adjustments 1'!$G$7:$WT$147,7,FALSE))/HLOOKUP($D52,'Improved Sales Adjustments 1'!$G$7:$WT$147,12,FALSE)))),"",IF(dpUnit_Sales_1="Net Rentable Area",(H52*I52*HLOOKUP($D52,'Improved Sales Adjustments 1'!$G$7:$WT$147,6,FALSE))/(HLOOKUP($D52,'Improved Sales Adjustments 1'!$G$7:$WT$147,6,FALSE)*E52)*Sales_LtBAdj_Ratio_1,(H52*I52*HLOOKUP($D52,'Improved Sales Adjustments 1'!$G$7:$WT$147,7,FALSE))/(HLOOKUP($D52,'Improved Sales Adjustments 1'!$G$7:$WT$147,7,FALSE)*E52)*Sales_LtBAdj_Ratio_1))</f>
        <v/>
      </c>
      <c r="L52" s="101"/>
      <c r="M52" s="5"/>
      <c r="N52" s="5"/>
      <c r="O52" s="6"/>
      <c r="P52" s="10"/>
      <c r="Q52" s="11"/>
      <c r="R52" s="10"/>
      <c r="S52" s="10"/>
      <c r="T52" s="10"/>
      <c r="U52" s="10"/>
      <c r="V52" s="10"/>
      <c r="W52" s="10"/>
      <c r="X52" s="10"/>
      <c r="Y52" s="10"/>
      <c r="Z52" s="10"/>
      <c r="AA52" s="10"/>
      <c r="AB52" s="10"/>
      <c r="AC52" s="10"/>
      <c r="AD52" s="10"/>
      <c r="AE52" s="10"/>
      <c r="AF52" s="143"/>
      <c r="AG52" s="32"/>
      <c r="AH52" s="32"/>
      <c r="AI52" s="32"/>
      <c r="AJ52" s="32"/>
      <c r="AK52" s="32"/>
      <c r="AL52" s="32"/>
      <c r="AM52" s="32"/>
      <c r="AN52" s="32"/>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row>
    <row r="53" spans="1:65" ht="15" customHeight="1" x14ac:dyDescent="0.25">
      <c r="A53" s="957">
        <f t="shared" si="13"/>
        <v>0</v>
      </c>
      <c r="B53" s="4"/>
      <c r="C53" s="101"/>
      <c r="D53" s="137">
        <f t="shared" si="15"/>
        <v>5</v>
      </c>
      <c r="E53" s="1178" t="e">
        <f>HLOOKUP($D53,'Improved Sales Adjustments 1'!$G$7:$WV$147,48,FALSE)</f>
        <v>#DIV/0!</v>
      </c>
      <c r="F53" s="2158">
        <f>HLOOKUP($D53,'Improved Sales Adjustments 1'!$G$7:$WV$147,103,FALSE)</f>
        <v>0</v>
      </c>
      <c r="G53" s="2158">
        <f t="shared" si="12"/>
        <v>20.7</v>
      </c>
      <c r="H53" s="2158">
        <f t="shared" si="14"/>
        <v>20.7</v>
      </c>
      <c r="I53" s="1178" t="e">
        <f>HLOOKUP($D53,'Improved Sales Adjustments 1'!$G$7:$WV$147,13,FALSE)/(HLOOKUP($D53,'Improved Sales Adjustments 1'!$G$7:$WV$147,9,FALSE)*43560)</f>
        <v>#DIV/0!</v>
      </c>
      <c r="J53" s="2159"/>
      <c r="K53" s="2130" t="str">
        <f>IF(OR(dpSale_Method_1="Land Extraction",ISERROR(IF(dpUnit_Sales_1="Net Rentable Area",(H53*I53*HLOOKUP($D53,'Improved Sales Adjustments 1'!$G$7:$WT$147,6,FALSE))/HLOOKUP($D53,'Improved Sales Adjustments 1'!$G$7:$WT$147,12,FALSE),(H53*I53*HLOOKUP($D53,'Improved Sales Adjustments 1'!$G$7:$WT$147,7,FALSE))/HLOOKUP($D53,'Improved Sales Adjustments 1'!$G$7:$WT$147,12,FALSE)))),"",IF(dpUnit_Sales_1="Net Rentable Area",(H53*I53*HLOOKUP($D53,'Improved Sales Adjustments 1'!$G$7:$WT$147,6,FALSE))/(HLOOKUP($D53,'Improved Sales Adjustments 1'!$G$7:$WT$147,6,FALSE)*E53)*Sales_LtBAdj_Ratio_1,(H53*I53*HLOOKUP($D53,'Improved Sales Adjustments 1'!$G$7:$WT$147,7,FALSE))/(HLOOKUP($D53,'Improved Sales Adjustments 1'!$G$7:$WT$147,7,FALSE)*E53)*Sales_LtBAdj_Ratio_1))</f>
        <v/>
      </c>
      <c r="L53" s="101"/>
      <c r="M53" s="5"/>
      <c r="N53" s="5"/>
      <c r="O53" s="6"/>
      <c r="P53" s="10"/>
      <c r="Q53" s="11"/>
      <c r="R53" s="10"/>
      <c r="S53" s="10"/>
      <c r="T53" s="10"/>
      <c r="U53" s="10"/>
      <c r="V53" s="10"/>
      <c r="W53" s="10"/>
      <c r="X53" s="10"/>
      <c r="Y53" s="10"/>
      <c r="Z53" s="10"/>
      <c r="AA53" s="10"/>
      <c r="AB53" s="10"/>
      <c r="AC53" s="10"/>
      <c r="AD53" s="10"/>
      <c r="AE53" s="10"/>
      <c r="AF53" s="143"/>
      <c r="AG53" s="32"/>
      <c r="AH53" s="32"/>
      <c r="AI53" s="32"/>
      <c r="AJ53" s="32"/>
      <c r="AK53" s="32"/>
      <c r="AL53" s="32"/>
      <c r="AM53" s="32"/>
      <c r="AN53" s="32"/>
      <c r="AO53" s="32"/>
      <c r="AP53" s="32"/>
      <c r="AQ53" s="32"/>
      <c r="AR53" s="32"/>
      <c r="AS53" s="32"/>
      <c r="AT53" s="32"/>
      <c r="AU53" s="32"/>
      <c r="AV53" s="32"/>
      <c r="AW53" s="32"/>
      <c r="AX53" s="32"/>
      <c r="AY53" s="32"/>
      <c r="AZ53" s="32"/>
      <c r="BA53" s="32"/>
      <c r="BB53" s="32"/>
      <c r="BC53" s="32"/>
      <c r="BD53" s="32"/>
      <c r="BE53" s="32"/>
      <c r="BF53" s="32"/>
      <c r="BG53" s="32"/>
      <c r="BH53" s="32"/>
      <c r="BI53" s="32"/>
      <c r="BJ53" s="32"/>
      <c r="BK53" s="32"/>
      <c r="BL53" s="32"/>
      <c r="BM53" s="32"/>
    </row>
    <row r="54" spans="1:65" ht="15" customHeight="1" x14ac:dyDescent="0.25">
      <c r="A54" s="957">
        <f t="shared" si="13"/>
        <v>0</v>
      </c>
      <c r="B54" s="4"/>
      <c r="C54" s="101"/>
      <c r="D54" s="137">
        <f t="shared" si="15"/>
        <v>6</v>
      </c>
      <c r="E54" s="1178" t="e">
        <f>HLOOKUP($D54,'Improved Sales Adjustments 1'!$G$7:$WV$147,48,FALSE)</f>
        <v>#DIV/0!</v>
      </c>
      <c r="F54" s="2158">
        <f>HLOOKUP($D54,'Improved Sales Adjustments 1'!$G$7:$WV$147,103,FALSE)</f>
        <v>0</v>
      </c>
      <c r="G54" s="2158">
        <f t="shared" si="12"/>
        <v>20.7</v>
      </c>
      <c r="H54" s="2158">
        <f t="shared" si="14"/>
        <v>20.7</v>
      </c>
      <c r="I54" s="1178" t="e">
        <f>HLOOKUP($D54,'Improved Sales Adjustments 1'!$G$7:$WV$147,13,FALSE)/(HLOOKUP($D54,'Improved Sales Adjustments 1'!$G$7:$WV$147,9,FALSE)*43560)</f>
        <v>#DIV/0!</v>
      </c>
      <c r="J54" s="2159"/>
      <c r="K54" s="2130" t="str">
        <f>IF(OR(dpSale_Method_1="Land Extraction",ISERROR(IF(dpUnit_Sales_1="Net Rentable Area",(H54*I54*HLOOKUP($D54,'Improved Sales Adjustments 1'!$G$7:$WT$147,6,FALSE))/HLOOKUP($D54,'Improved Sales Adjustments 1'!$G$7:$WT$147,12,FALSE),(H54*I54*HLOOKUP($D54,'Improved Sales Adjustments 1'!$G$7:$WT$147,7,FALSE))/HLOOKUP($D54,'Improved Sales Adjustments 1'!$G$7:$WT$147,12,FALSE)))),"",IF(dpUnit_Sales_1="Net Rentable Area",(H54*I54*HLOOKUP($D54,'Improved Sales Adjustments 1'!$G$7:$WT$147,6,FALSE))/(HLOOKUP($D54,'Improved Sales Adjustments 1'!$G$7:$WT$147,6,FALSE)*E54)*Sales_LtBAdj_Ratio_1,(H54*I54*HLOOKUP($D54,'Improved Sales Adjustments 1'!$G$7:$WT$147,7,FALSE))/(HLOOKUP($D54,'Improved Sales Adjustments 1'!$G$7:$WT$147,7,FALSE)*E54)*Sales_LtBAdj_Ratio_1))</f>
        <v/>
      </c>
      <c r="L54" s="101"/>
      <c r="M54" s="5"/>
      <c r="N54" s="5"/>
      <c r="O54" s="6"/>
      <c r="P54" s="10"/>
      <c r="Q54" s="11"/>
      <c r="R54" s="10"/>
      <c r="S54" s="10"/>
      <c r="T54" s="10"/>
      <c r="U54" s="10"/>
      <c r="V54" s="10"/>
      <c r="W54" s="10"/>
      <c r="X54" s="10"/>
      <c r="Y54" s="10"/>
      <c r="Z54" s="10"/>
      <c r="AA54" s="10"/>
      <c r="AB54" s="10"/>
      <c r="AC54" s="10"/>
      <c r="AD54" s="10"/>
      <c r="AE54" s="10"/>
      <c r="AF54" s="143"/>
      <c r="AG54" s="32"/>
      <c r="AH54" s="32"/>
      <c r="AI54" s="32"/>
      <c r="AJ54" s="32"/>
      <c r="AK54" s="32"/>
      <c r="AL54" s="32"/>
      <c r="AM54" s="32"/>
      <c r="AN54" s="32"/>
      <c r="AO54" s="32"/>
      <c r="AP54" s="32"/>
      <c r="AQ54" s="32"/>
      <c r="AR54" s="32"/>
      <c r="AS54" s="32"/>
      <c r="AT54" s="32"/>
      <c r="AU54" s="32"/>
      <c r="AV54" s="32"/>
      <c r="AW54" s="32"/>
      <c r="AX54" s="32"/>
      <c r="AY54" s="32"/>
      <c r="AZ54" s="32"/>
      <c r="BA54" s="32"/>
      <c r="BB54" s="32"/>
      <c r="BC54" s="32"/>
      <c r="BD54" s="32"/>
      <c r="BE54" s="32"/>
      <c r="BF54" s="32"/>
      <c r="BG54" s="32"/>
      <c r="BH54" s="32"/>
      <c r="BI54" s="32"/>
      <c r="BJ54" s="32"/>
      <c r="BK54" s="32"/>
      <c r="BL54" s="32"/>
      <c r="BM54" s="32"/>
    </row>
    <row r="55" spans="1:65" ht="15" customHeight="1" x14ac:dyDescent="0.25">
      <c r="A55" s="957">
        <f t="shared" si="13"/>
        <v>0</v>
      </c>
      <c r="B55" s="4"/>
      <c r="C55" s="101"/>
      <c r="D55" s="137">
        <f t="shared" si="15"/>
        <v>7</v>
      </c>
      <c r="E55" s="1178" t="e">
        <f>HLOOKUP($D55,'Improved Sales Adjustments 1'!$G$7:$WV$147,48,FALSE)</f>
        <v>#N/A</v>
      </c>
      <c r="F55" s="2158" t="e">
        <f>HLOOKUP($D55,'Improved Sales Adjustments 1'!$G$7:$WV$147,103,FALSE)</f>
        <v>#N/A</v>
      </c>
      <c r="G55" s="2158">
        <f t="shared" si="12"/>
        <v>20.7</v>
      </c>
      <c r="H55" s="2158" t="e">
        <f t="shared" si="14"/>
        <v>#N/A</v>
      </c>
      <c r="I55" s="1178" t="e">
        <f>HLOOKUP($D55,'Improved Sales Adjustments 1'!$G$7:$WV$147,13,FALSE)/(HLOOKUP($D55,'Improved Sales Adjustments 1'!$G$7:$WV$147,9,FALSE)*43560)</f>
        <v>#N/A</v>
      </c>
      <c r="J55" s="2159"/>
      <c r="K55" s="2130" t="str">
        <f>IF(OR(dpSale_Method_1="Land Extraction",ISERROR(IF(dpUnit_Sales_1="Net Rentable Area",(H55*I55*HLOOKUP($D55,'Improved Sales Adjustments 1'!$G$7:$WT$147,6,FALSE))/HLOOKUP($D55,'Improved Sales Adjustments 1'!$G$7:$WT$147,12,FALSE),(H55*I55*HLOOKUP($D55,'Improved Sales Adjustments 1'!$G$7:$WT$147,7,FALSE))/HLOOKUP($D55,'Improved Sales Adjustments 1'!$G$7:$WT$147,12,FALSE)))),"",IF(dpUnit_Sales_1="Net Rentable Area",(H55*I55*HLOOKUP($D55,'Improved Sales Adjustments 1'!$G$7:$WT$147,6,FALSE))/(HLOOKUP($D55,'Improved Sales Adjustments 1'!$G$7:$WT$147,6,FALSE)*E55)*Sales_LtBAdj_Ratio_1,(H55*I55*HLOOKUP($D55,'Improved Sales Adjustments 1'!$G$7:$WT$147,7,FALSE))/(HLOOKUP($D55,'Improved Sales Adjustments 1'!$G$7:$WT$147,7,FALSE)*E55)*Sales_LtBAdj_Ratio_1))</f>
        <v/>
      </c>
      <c r="L55" s="101"/>
      <c r="M55" s="5"/>
      <c r="N55" s="5"/>
      <c r="O55" s="6"/>
      <c r="P55" s="10"/>
      <c r="Q55" s="11"/>
      <c r="R55" s="10"/>
      <c r="S55" s="10"/>
      <c r="T55" s="10"/>
      <c r="U55" s="10"/>
      <c r="V55" s="10"/>
      <c r="W55" s="10"/>
      <c r="X55" s="10"/>
      <c r="Y55" s="10"/>
      <c r="Z55" s="10"/>
      <c r="AA55" s="10"/>
      <c r="AB55" s="10"/>
      <c r="AC55" s="10"/>
      <c r="AD55" s="10"/>
      <c r="AE55" s="10"/>
      <c r="AF55" s="143"/>
      <c r="AG55" s="32"/>
      <c r="AH55" s="32"/>
      <c r="AI55" s="32"/>
      <c r="AJ55" s="32"/>
      <c r="AK55" s="32"/>
      <c r="AL55" s="32"/>
      <c r="AM55" s="32"/>
      <c r="AN55" s="32"/>
      <c r="AO55" s="32"/>
      <c r="AP55" s="32"/>
      <c r="AQ55" s="32"/>
      <c r="AR55" s="32"/>
      <c r="AS55" s="32"/>
      <c r="AT55" s="32"/>
      <c r="AU55" s="32"/>
      <c r="AV55" s="32"/>
      <c r="AW55" s="32"/>
      <c r="AX55" s="32"/>
      <c r="AY55" s="32"/>
      <c r="AZ55" s="32"/>
      <c r="BA55" s="32"/>
      <c r="BB55" s="32"/>
      <c r="BC55" s="32"/>
      <c r="BD55" s="32"/>
      <c r="BE55" s="32"/>
      <c r="BF55" s="32"/>
      <c r="BG55" s="32"/>
      <c r="BH55" s="32"/>
      <c r="BI55" s="32"/>
      <c r="BJ55" s="32"/>
      <c r="BK55" s="32"/>
      <c r="BL55" s="32"/>
      <c r="BM55" s="32"/>
    </row>
    <row r="56" spans="1:65" ht="15" customHeight="1" x14ac:dyDescent="0.25">
      <c r="A56" s="957">
        <f t="shared" si="13"/>
        <v>0</v>
      </c>
      <c r="B56" s="4"/>
      <c r="C56" s="101"/>
      <c r="D56" s="137">
        <f t="shared" si="15"/>
        <v>8</v>
      </c>
      <c r="E56" s="1178" t="e">
        <f>HLOOKUP($D56,'Improved Sales Adjustments 1'!$G$7:$WV$147,48,FALSE)</f>
        <v>#N/A</v>
      </c>
      <c r="F56" s="2158" t="e">
        <f>HLOOKUP($D56,'Improved Sales Adjustments 1'!$G$7:$WV$147,103,FALSE)</f>
        <v>#N/A</v>
      </c>
      <c r="G56" s="2158">
        <f t="shared" si="12"/>
        <v>20.7</v>
      </c>
      <c r="H56" s="2158" t="e">
        <f t="shared" si="14"/>
        <v>#N/A</v>
      </c>
      <c r="I56" s="1178" t="e">
        <f>HLOOKUP($D56,'Improved Sales Adjustments 1'!$G$7:$WV$147,13,FALSE)/(HLOOKUP($D56,'Improved Sales Adjustments 1'!$G$7:$WV$147,9,FALSE)*43560)</f>
        <v>#N/A</v>
      </c>
      <c r="J56" s="2159"/>
      <c r="K56" s="2130" t="str">
        <f>IF(OR(dpSale_Method_1="Land Extraction",ISERROR(IF(dpUnit_Sales_1="Net Rentable Area",(H56*I56*HLOOKUP($D56,'Improved Sales Adjustments 1'!$G$7:$WT$147,6,FALSE))/HLOOKUP($D56,'Improved Sales Adjustments 1'!$G$7:$WT$147,12,FALSE),(H56*I56*HLOOKUP($D56,'Improved Sales Adjustments 1'!$G$7:$WT$147,7,FALSE))/HLOOKUP($D56,'Improved Sales Adjustments 1'!$G$7:$WT$147,12,FALSE)))),"",IF(dpUnit_Sales_1="Net Rentable Area",(H56*I56*HLOOKUP($D56,'Improved Sales Adjustments 1'!$G$7:$WT$147,6,FALSE))/(HLOOKUP($D56,'Improved Sales Adjustments 1'!$G$7:$WT$147,6,FALSE)*E56)*Sales_LtBAdj_Ratio_1,(H56*I56*HLOOKUP($D56,'Improved Sales Adjustments 1'!$G$7:$WT$147,7,FALSE))/(HLOOKUP($D56,'Improved Sales Adjustments 1'!$G$7:$WT$147,7,FALSE)*E56)*Sales_LtBAdj_Ratio_1))</f>
        <v/>
      </c>
      <c r="L56" s="101"/>
      <c r="M56" s="5"/>
      <c r="N56" s="5"/>
      <c r="O56" s="6"/>
      <c r="P56" s="10"/>
      <c r="Q56" s="11"/>
      <c r="R56" s="10"/>
      <c r="S56" s="10"/>
      <c r="T56" s="10"/>
      <c r="U56" s="10"/>
      <c r="V56" s="10"/>
      <c r="W56" s="10"/>
      <c r="X56" s="10"/>
      <c r="Y56" s="10"/>
      <c r="Z56" s="10"/>
      <c r="AA56" s="10"/>
      <c r="AB56" s="10"/>
      <c r="AC56" s="10"/>
      <c r="AD56" s="10"/>
      <c r="AE56" s="10"/>
      <c r="AF56" s="143"/>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row>
    <row r="57" spans="1:65" ht="15" customHeight="1" x14ac:dyDescent="0.25">
      <c r="A57" s="957">
        <f t="shared" si="13"/>
        <v>0</v>
      </c>
      <c r="B57" s="4"/>
      <c r="C57" s="101"/>
      <c r="D57" s="137">
        <f t="shared" si="15"/>
        <v>9</v>
      </c>
      <c r="E57" s="1178" t="e">
        <f>HLOOKUP($D57,'Improved Sales Adjustments 1'!$G$7:$WV$147,48,FALSE)</f>
        <v>#N/A</v>
      </c>
      <c r="F57" s="2158" t="e">
        <f>HLOOKUP($D57,'Improved Sales Adjustments 1'!$G$7:$WV$147,103,FALSE)</f>
        <v>#N/A</v>
      </c>
      <c r="G57" s="2158">
        <f t="shared" si="12"/>
        <v>20.7</v>
      </c>
      <c r="H57" s="2158" t="e">
        <f t="shared" si="14"/>
        <v>#N/A</v>
      </c>
      <c r="I57" s="1178" t="e">
        <f>HLOOKUP($D57,'Improved Sales Adjustments 1'!$G$7:$WV$147,13,FALSE)/(HLOOKUP($D57,'Improved Sales Adjustments 1'!$G$7:$WV$147,9,FALSE)*43560)</f>
        <v>#N/A</v>
      </c>
      <c r="J57" s="2159"/>
      <c r="K57" s="2130" t="str">
        <f>IF(OR(dpSale_Method_1="Land Extraction",ISERROR(IF(dpUnit_Sales_1="Net Rentable Area",(H57*I57*HLOOKUP($D57,'Improved Sales Adjustments 1'!$G$7:$WT$147,6,FALSE))/HLOOKUP($D57,'Improved Sales Adjustments 1'!$G$7:$WT$147,12,FALSE),(H57*I57*HLOOKUP($D57,'Improved Sales Adjustments 1'!$G$7:$WT$147,7,FALSE))/HLOOKUP($D57,'Improved Sales Adjustments 1'!$G$7:$WT$147,12,FALSE)))),"",IF(dpUnit_Sales_1="Net Rentable Area",(H57*I57*HLOOKUP($D57,'Improved Sales Adjustments 1'!$G$7:$WT$147,6,FALSE))/(HLOOKUP($D57,'Improved Sales Adjustments 1'!$G$7:$WT$147,6,FALSE)*E57)*Sales_LtBAdj_Ratio_1,(H57*I57*HLOOKUP($D57,'Improved Sales Adjustments 1'!$G$7:$WT$147,7,FALSE))/(HLOOKUP($D57,'Improved Sales Adjustments 1'!$G$7:$WT$147,7,FALSE)*E57)*Sales_LtBAdj_Ratio_1))</f>
        <v/>
      </c>
      <c r="L57" s="101"/>
      <c r="M57" s="5"/>
      <c r="N57" s="5"/>
      <c r="O57" s="6"/>
      <c r="P57" s="10"/>
      <c r="Q57" s="11"/>
      <c r="R57" s="10"/>
      <c r="S57" s="10"/>
      <c r="T57" s="10"/>
      <c r="U57" s="10"/>
      <c r="V57" s="10"/>
      <c r="W57" s="10"/>
      <c r="X57" s="10"/>
      <c r="Y57" s="10"/>
      <c r="Z57" s="10"/>
      <c r="AA57" s="10"/>
      <c r="AB57" s="10"/>
      <c r="AC57" s="10"/>
      <c r="AD57" s="10"/>
      <c r="AE57" s="10"/>
      <c r="AF57" s="143"/>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row>
    <row r="58" spans="1:65" ht="15" customHeight="1" x14ac:dyDescent="0.25">
      <c r="A58" s="957">
        <f t="shared" si="13"/>
        <v>0</v>
      </c>
      <c r="B58" s="4"/>
      <c r="C58" s="101"/>
      <c r="D58" s="137">
        <f t="shared" si="15"/>
        <v>10</v>
      </c>
      <c r="E58" s="1178" t="e">
        <f>HLOOKUP($D58,'Improved Sales Adjustments 1'!$G$7:$WV$147,48,FALSE)</f>
        <v>#N/A</v>
      </c>
      <c r="F58" s="2158" t="e">
        <f>HLOOKUP($D58,'Improved Sales Adjustments 1'!$G$7:$WV$147,103,FALSE)</f>
        <v>#N/A</v>
      </c>
      <c r="G58" s="2158">
        <f t="shared" si="12"/>
        <v>20.7</v>
      </c>
      <c r="H58" s="2158" t="e">
        <f t="shared" si="14"/>
        <v>#N/A</v>
      </c>
      <c r="I58" s="1178" t="e">
        <f>HLOOKUP($D58,'Improved Sales Adjustments 1'!$G$7:$WV$147,13,FALSE)/(HLOOKUP($D58,'Improved Sales Adjustments 1'!$G$7:$WV$147,9,FALSE)*43560)</f>
        <v>#N/A</v>
      </c>
      <c r="J58" s="2159"/>
      <c r="K58" s="2130" t="str">
        <f>IF(OR(dpSale_Method_1="Land Extraction",ISERROR(IF(dpUnit_Sales_1="Net Rentable Area",(H58*I58*HLOOKUP($D58,'Improved Sales Adjustments 1'!$G$7:$WT$147,6,FALSE))/HLOOKUP($D58,'Improved Sales Adjustments 1'!$G$7:$WT$147,12,FALSE),(H58*I58*HLOOKUP($D58,'Improved Sales Adjustments 1'!$G$7:$WT$147,7,FALSE))/HLOOKUP($D58,'Improved Sales Adjustments 1'!$G$7:$WT$147,12,FALSE)))),"",IF(dpUnit_Sales_1="Net Rentable Area",(H58*I58*HLOOKUP($D58,'Improved Sales Adjustments 1'!$G$7:$WT$147,6,FALSE))/(HLOOKUP($D58,'Improved Sales Adjustments 1'!$G$7:$WT$147,6,FALSE)*E58)*Sales_LtBAdj_Ratio_1,(H58*I58*HLOOKUP($D58,'Improved Sales Adjustments 1'!$G$7:$WT$147,7,FALSE))/(HLOOKUP($D58,'Improved Sales Adjustments 1'!$G$7:$WT$147,7,FALSE)*E58)*Sales_LtBAdj_Ratio_1))</f>
        <v/>
      </c>
      <c r="L58" s="101"/>
      <c r="M58" s="5"/>
      <c r="N58" s="5"/>
      <c r="O58" s="6"/>
      <c r="P58" s="10"/>
      <c r="Q58" s="11"/>
      <c r="R58" s="10"/>
      <c r="S58" s="10"/>
      <c r="T58" s="10"/>
      <c r="U58" s="10"/>
      <c r="V58" s="10"/>
      <c r="W58" s="10"/>
      <c r="X58" s="10"/>
      <c r="Y58" s="10"/>
      <c r="Z58" s="10"/>
      <c r="AA58" s="10"/>
      <c r="AB58" s="10"/>
      <c r="AC58" s="10"/>
      <c r="AD58" s="10"/>
      <c r="AE58" s="10"/>
      <c r="AF58" s="143"/>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row>
    <row r="59" spans="1:65" ht="15" customHeight="1" x14ac:dyDescent="0.25">
      <c r="A59" s="957">
        <f t="shared" si="13"/>
        <v>0</v>
      </c>
      <c r="B59" s="4"/>
      <c r="C59" s="101"/>
      <c r="D59" s="137">
        <f t="shared" si="15"/>
        <v>11</v>
      </c>
      <c r="E59" s="1178" t="e">
        <f>HLOOKUP($D59,'Improved Sales Adjustments 1'!$G$7:$WV$147,48,FALSE)</f>
        <v>#N/A</v>
      </c>
      <c r="F59" s="2158" t="e">
        <f>HLOOKUP($D59,'Improved Sales Adjustments 1'!$G$7:$WV$147,103,FALSE)</f>
        <v>#N/A</v>
      </c>
      <c r="G59" s="2158">
        <f t="shared" si="12"/>
        <v>20.7</v>
      </c>
      <c r="H59" s="2158" t="e">
        <f t="shared" si="14"/>
        <v>#N/A</v>
      </c>
      <c r="I59" s="1178" t="e">
        <f>HLOOKUP($D59,'Improved Sales Adjustments 1'!$G$7:$WV$147,13,FALSE)/(HLOOKUP($D59,'Improved Sales Adjustments 1'!$G$7:$WV$147,9,FALSE)*43560)</f>
        <v>#N/A</v>
      </c>
      <c r="J59" s="2159"/>
      <c r="K59" s="2130" t="str">
        <f>IF(OR(dpSale_Method_1="Land Extraction",ISERROR(IF(dpUnit_Sales_1="Net Rentable Area",(H59*I59*HLOOKUP($D59,'Improved Sales Adjustments 1'!$G$7:$WT$147,6,FALSE))/HLOOKUP($D59,'Improved Sales Adjustments 1'!$G$7:$WT$147,12,FALSE),(H59*I59*HLOOKUP($D59,'Improved Sales Adjustments 1'!$G$7:$WT$147,7,FALSE))/HLOOKUP($D59,'Improved Sales Adjustments 1'!$G$7:$WT$147,12,FALSE)))),"",IF(dpUnit_Sales_1="Net Rentable Area",(H59*I59*HLOOKUP($D59,'Improved Sales Adjustments 1'!$G$7:$WT$147,6,FALSE))/(HLOOKUP($D59,'Improved Sales Adjustments 1'!$G$7:$WT$147,6,FALSE)*E59)*Sales_LtBAdj_Ratio_1,(H59*I59*HLOOKUP($D59,'Improved Sales Adjustments 1'!$G$7:$WT$147,7,FALSE))/(HLOOKUP($D59,'Improved Sales Adjustments 1'!$G$7:$WT$147,7,FALSE)*E59)*Sales_LtBAdj_Ratio_1))</f>
        <v/>
      </c>
      <c r="L59" s="101"/>
      <c r="M59" s="5"/>
      <c r="N59" s="5"/>
      <c r="O59" s="6"/>
      <c r="P59" s="10"/>
      <c r="Q59" s="11"/>
      <c r="R59" s="10"/>
      <c r="S59" s="10"/>
      <c r="T59" s="10"/>
      <c r="U59" s="10"/>
      <c r="V59" s="10"/>
      <c r="W59" s="10"/>
      <c r="X59" s="10"/>
      <c r="Y59" s="10"/>
      <c r="Z59" s="10"/>
      <c r="AA59" s="10"/>
      <c r="AB59" s="10"/>
      <c r="AC59" s="10"/>
      <c r="AD59" s="10"/>
      <c r="AE59" s="10"/>
      <c r="AF59" s="143"/>
      <c r="AG59" s="32"/>
      <c r="AH59" s="32"/>
      <c r="AI59" s="32"/>
      <c r="AJ59" s="32"/>
      <c r="AK59" s="32"/>
      <c r="AL59" s="32"/>
      <c r="AM59" s="32"/>
      <c r="AN59" s="32"/>
      <c r="AO59" s="32"/>
      <c r="AP59" s="32"/>
      <c r="AQ59" s="32"/>
      <c r="AR59" s="32"/>
      <c r="AS59" s="32"/>
      <c r="AT59" s="32"/>
      <c r="AU59" s="32"/>
      <c r="AV59" s="32"/>
      <c r="AW59" s="32"/>
      <c r="AX59" s="32"/>
      <c r="AY59" s="32"/>
      <c r="AZ59" s="32"/>
      <c r="BA59" s="32"/>
      <c r="BB59" s="32"/>
      <c r="BC59" s="32"/>
      <c r="BD59" s="32"/>
      <c r="BE59" s="32"/>
      <c r="BF59" s="32"/>
      <c r="BG59" s="32"/>
      <c r="BH59" s="32"/>
      <c r="BI59" s="32"/>
      <c r="BJ59" s="32"/>
      <c r="BK59" s="32"/>
      <c r="BL59" s="32"/>
      <c r="BM59" s="32"/>
    </row>
    <row r="60" spans="1:65" ht="15" customHeight="1" x14ac:dyDescent="0.25">
      <c r="A60" s="957">
        <f t="shared" si="13"/>
        <v>0</v>
      </c>
      <c r="B60" s="4"/>
      <c r="C60" s="101"/>
      <c r="D60" s="137">
        <f t="shared" si="15"/>
        <v>12</v>
      </c>
      <c r="E60" s="1178" t="e">
        <f>HLOOKUP($D60,'Improved Sales Adjustments 1'!$G$7:$WV$147,48,FALSE)</f>
        <v>#N/A</v>
      </c>
      <c r="F60" s="2158" t="e">
        <f>HLOOKUP($D60,'Improved Sales Adjustments 1'!$G$7:$WV$147,103,FALSE)</f>
        <v>#N/A</v>
      </c>
      <c r="G60" s="2158">
        <f t="shared" si="12"/>
        <v>20.7</v>
      </c>
      <c r="H60" s="2158" t="e">
        <f t="shared" si="14"/>
        <v>#N/A</v>
      </c>
      <c r="I60" s="1178" t="e">
        <f>HLOOKUP($D60,'Improved Sales Adjustments 1'!$G$7:$WV$147,13,FALSE)/(HLOOKUP($D60,'Improved Sales Adjustments 1'!$G$7:$WV$147,9,FALSE)*43560)</f>
        <v>#N/A</v>
      </c>
      <c r="J60" s="2159"/>
      <c r="K60" s="2130" t="str">
        <f>IF(OR(dpSale_Method_1="Land Extraction",ISERROR(IF(dpUnit_Sales_1="Net Rentable Area",(H60*I60*HLOOKUP($D60,'Improved Sales Adjustments 1'!$G$7:$WT$147,6,FALSE))/HLOOKUP($D60,'Improved Sales Adjustments 1'!$G$7:$WT$147,12,FALSE),(H60*I60*HLOOKUP($D60,'Improved Sales Adjustments 1'!$G$7:$WT$147,7,FALSE))/HLOOKUP($D60,'Improved Sales Adjustments 1'!$G$7:$WT$147,12,FALSE)))),"",IF(dpUnit_Sales_1="Net Rentable Area",(H60*I60*HLOOKUP($D60,'Improved Sales Adjustments 1'!$G$7:$WT$147,6,FALSE))/(HLOOKUP($D60,'Improved Sales Adjustments 1'!$G$7:$WT$147,6,FALSE)*E60)*Sales_LtBAdj_Ratio_1,(H60*I60*HLOOKUP($D60,'Improved Sales Adjustments 1'!$G$7:$WT$147,7,FALSE))/(HLOOKUP($D60,'Improved Sales Adjustments 1'!$G$7:$WT$147,7,FALSE)*E60)*Sales_LtBAdj_Ratio_1))</f>
        <v/>
      </c>
      <c r="L60" s="101"/>
      <c r="M60" s="5"/>
      <c r="N60" s="5"/>
      <c r="O60" s="6"/>
      <c r="P60" s="10"/>
      <c r="Q60" s="11"/>
      <c r="R60" s="10"/>
      <c r="S60" s="10"/>
      <c r="T60" s="10"/>
      <c r="U60" s="10"/>
      <c r="V60" s="10"/>
      <c r="W60" s="10"/>
      <c r="X60" s="10"/>
      <c r="Y60" s="10"/>
      <c r="Z60" s="10"/>
      <c r="AA60" s="10"/>
      <c r="AB60" s="10"/>
      <c r="AC60" s="10"/>
      <c r="AD60" s="10"/>
      <c r="AE60" s="10"/>
      <c r="AF60" s="143"/>
      <c r="AG60" s="32"/>
      <c r="AH60" s="32"/>
      <c r="AI60" s="32"/>
      <c r="AJ60" s="32"/>
      <c r="AK60" s="32"/>
      <c r="AL60" s="32"/>
      <c r="AM60" s="32"/>
      <c r="AN60" s="32"/>
      <c r="AO60" s="32"/>
      <c r="AP60" s="32"/>
      <c r="AQ60" s="32"/>
      <c r="AR60" s="32"/>
      <c r="AS60" s="32"/>
      <c r="AT60" s="32"/>
      <c r="AU60" s="32"/>
      <c r="AV60" s="32"/>
      <c r="AW60" s="32"/>
      <c r="AX60" s="32"/>
      <c r="AY60" s="32"/>
      <c r="AZ60" s="32"/>
      <c r="BA60" s="32"/>
      <c r="BB60" s="32"/>
      <c r="BC60" s="32"/>
      <c r="BD60" s="32"/>
      <c r="BE60" s="32"/>
      <c r="BF60" s="32"/>
      <c r="BG60" s="32"/>
      <c r="BH60" s="32"/>
      <c r="BI60" s="32"/>
      <c r="BJ60" s="32"/>
      <c r="BK60" s="32"/>
      <c r="BL60" s="32"/>
      <c r="BM60" s="32"/>
    </row>
    <row r="61" spans="1:65" ht="15" customHeight="1" x14ac:dyDescent="0.25">
      <c r="A61" s="957">
        <f t="shared" si="13"/>
        <v>0</v>
      </c>
      <c r="B61" s="4"/>
      <c r="C61" s="101"/>
      <c r="D61" s="137">
        <f>D60+1</f>
        <v>13</v>
      </c>
      <c r="E61" s="1178" t="e">
        <f>HLOOKUP($D61,'Improved Sales Adjustments 1'!$G$7:$WV$147,48,FALSE)</f>
        <v>#N/A</v>
      </c>
      <c r="F61" s="2158" t="e">
        <f>HLOOKUP($D61,'Improved Sales Adjustments 1'!$G$7:$WV$147,103,FALSE)</f>
        <v>#N/A</v>
      </c>
      <c r="G61" s="2158">
        <f t="shared" si="12"/>
        <v>20.7</v>
      </c>
      <c r="H61" s="2158" t="e">
        <f t="shared" si="14"/>
        <v>#N/A</v>
      </c>
      <c r="I61" s="1178" t="e">
        <f>HLOOKUP($D61,'Improved Sales Adjustments 1'!$G$7:$WV$147,13,FALSE)/(HLOOKUP($D61,'Improved Sales Adjustments 1'!$G$7:$WV$147,9,FALSE)*43560)</f>
        <v>#N/A</v>
      </c>
      <c r="J61" s="2159"/>
      <c r="K61" s="2130" t="str">
        <f>IF(OR(dpSale_Method_1="Land Extraction",ISERROR(IF(dpUnit_Sales_1="Net Rentable Area",(H61*I61*HLOOKUP($D61,'Improved Sales Adjustments 1'!$G$7:$WT$147,6,FALSE))/HLOOKUP($D61,'Improved Sales Adjustments 1'!$G$7:$WT$147,12,FALSE),(H61*I61*HLOOKUP($D61,'Improved Sales Adjustments 1'!$G$7:$WT$147,7,FALSE))/HLOOKUP($D61,'Improved Sales Adjustments 1'!$G$7:$WT$147,12,FALSE)))),"",IF(dpUnit_Sales_1="Net Rentable Area",(H61*I61*HLOOKUP($D61,'Improved Sales Adjustments 1'!$G$7:$WT$147,6,FALSE))/(HLOOKUP($D61,'Improved Sales Adjustments 1'!$G$7:$WT$147,6,FALSE)*E61)*Sales_LtBAdj_Ratio_1,(H61*I61*HLOOKUP($D61,'Improved Sales Adjustments 1'!$G$7:$WT$147,7,FALSE))/(HLOOKUP($D61,'Improved Sales Adjustments 1'!$G$7:$WT$147,7,FALSE)*E61)*Sales_LtBAdj_Ratio_1))</f>
        <v/>
      </c>
      <c r="L61" s="101"/>
      <c r="M61" s="5"/>
      <c r="N61" s="5"/>
      <c r="O61" s="6"/>
      <c r="P61" s="10"/>
      <c r="Q61" s="11"/>
      <c r="R61" s="10"/>
      <c r="S61" s="10"/>
      <c r="T61" s="10"/>
      <c r="U61" s="10"/>
      <c r="V61" s="10"/>
      <c r="W61" s="10"/>
      <c r="X61" s="10"/>
      <c r="Y61" s="10"/>
      <c r="Z61" s="10"/>
      <c r="AA61" s="10"/>
      <c r="AB61" s="10"/>
      <c r="AC61" s="10"/>
      <c r="AD61" s="10"/>
      <c r="AE61" s="10"/>
      <c r="AF61" s="143"/>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row>
    <row r="62" spans="1:65" ht="15" customHeight="1" x14ac:dyDescent="0.25">
      <c r="A62" s="957">
        <f t="shared" si="13"/>
        <v>0</v>
      </c>
      <c r="B62" s="4"/>
      <c r="C62" s="101"/>
      <c r="D62" s="137">
        <f>D61+1</f>
        <v>14</v>
      </c>
      <c r="E62" s="1178" t="e">
        <f>HLOOKUP($D62,'Improved Sales Adjustments 1'!$G$7:$WV$147,48,FALSE)</f>
        <v>#N/A</v>
      </c>
      <c r="F62" s="2158" t="e">
        <f>HLOOKUP($D62,'Improved Sales Adjustments 1'!$G$7:$WV$147,103,FALSE)</f>
        <v>#N/A</v>
      </c>
      <c r="G62" s="2158">
        <f t="shared" si="12"/>
        <v>20.7</v>
      </c>
      <c r="H62" s="2158" t="e">
        <f t="shared" si="14"/>
        <v>#N/A</v>
      </c>
      <c r="I62" s="1178" t="e">
        <f>HLOOKUP($D62,'Improved Sales Adjustments 1'!$G$7:$WV$147,13,FALSE)/(HLOOKUP($D62,'Improved Sales Adjustments 1'!$G$7:$WV$147,9,FALSE)*43560)</f>
        <v>#N/A</v>
      </c>
      <c r="J62" s="2159"/>
      <c r="K62" s="2130" t="str">
        <f>IF(OR(dpSale_Method_1="Land Extraction",ISERROR(IF(dpUnit_Sales_1="Net Rentable Area",(H62*I62*HLOOKUP($D62,'Improved Sales Adjustments 1'!$G$7:$WT$147,6,FALSE))/HLOOKUP($D62,'Improved Sales Adjustments 1'!$G$7:$WT$147,12,FALSE),(H62*I62*HLOOKUP($D62,'Improved Sales Adjustments 1'!$G$7:$WT$147,7,FALSE))/HLOOKUP($D62,'Improved Sales Adjustments 1'!$G$7:$WT$147,12,FALSE)))),"",IF(dpUnit_Sales_1="Net Rentable Area",(H62*I62*HLOOKUP($D62,'Improved Sales Adjustments 1'!$G$7:$WT$147,6,FALSE))/(HLOOKUP($D62,'Improved Sales Adjustments 1'!$G$7:$WT$147,6,FALSE)*E62)*Sales_LtBAdj_Ratio_1,(H62*I62*HLOOKUP($D62,'Improved Sales Adjustments 1'!$G$7:$WT$147,7,FALSE))/(HLOOKUP($D62,'Improved Sales Adjustments 1'!$G$7:$WT$147,7,FALSE)*E62)*Sales_LtBAdj_Ratio_1))</f>
        <v/>
      </c>
      <c r="L62" s="101"/>
      <c r="M62" s="5"/>
      <c r="N62" s="5"/>
      <c r="O62" s="6"/>
      <c r="P62" s="10"/>
      <c r="Q62" s="11"/>
      <c r="R62" s="10"/>
      <c r="S62" s="10"/>
      <c r="T62" s="10"/>
      <c r="U62" s="10"/>
      <c r="V62" s="10"/>
      <c r="W62" s="10"/>
      <c r="X62" s="10"/>
      <c r="Y62" s="10"/>
      <c r="Z62" s="10"/>
      <c r="AA62" s="10"/>
      <c r="AB62" s="10"/>
      <c r="AC62" s="10"/>
      <c r="AD62" s="10"/>
      <c r="AE62" s="10"/>
      <c r="AF62" s="143"/>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row>
    <row r="63" spans="1:65" ht="15" customHeight="1" thickBot="1" x14ac:dyDescent="0.3">
      <c r="A63" s="957">
        <f t="shared" si="13"/>
        <v>0</v>
      </c>
      <c r="B63" s="4"/>
      <c r="C63" s="101"/>
      <c r="D63" s="137">
        <f>D62+1</f>
        <v>15</v>
      </c>
      <c r="E63" s="1178" t="e">
        <f>HLOOKUP($D63,'Improved Sales Adjustments 1'!$G$7:$WV$147,48,FALSE)</f>
        <v>#N/A</v>
      </c>
      <c r="F63" s="2158" t="e">
        <f>HLOOKUP($D63,'Improved Sales Adjustments 1'!$G$7:$WV$147,103,FALSE)</f>
        <v>#N/A</v>
      </c>
      <c r="G63" s="2158">
        <f t="shared" si="12"/>
        <v>20.7</v>
      </c>
      <c r="H63" s="2158" t="e">
        <f t="shared" si="14"/>
        <v>#N/A</v>
      </c>
      <c r="I63" s="1178" t="e">
        <f>HLOOKUP($D63,'Improved Sales Adjustments 1'!$G$7:$WV$147,13,FALSE)/(HLOOKUP($D63,'Improved Sales Adjustments 1'!$G$7:$WV$147,9,FALSE)*43560)</f>
        <v>#N/A</v>
      </c>
      <c r="J63" s="2159"/>
      <c r="K63" s="2130" t="str">
        <f>IF(OR(dpSale_Method_1="Land Extraction",ISERROR(IF(dpUnit_Sales_1="Net Rentable Area",(H63*I63*HLOOKUP($D63,'Improved Sales Adjustments 1'!$G$7:$WT$147,6,FALSE))/HLOOKUP($D63,'Improved Sales Adjustments 1'!$G$7:$WT$147,12,FALSE),(H63*I63*HLOOKUP($D63,'Improved Sales Adjustments 1'!$G$7:$WT$147,7,FALSE))/HLOOKUP($D63,'Improved Sales Adjustments 1'!$G$7:$WT$147,12,FALSE)))),"",IF(dpUnit_Sales_1="Net Rentable Area",(H63*I63*HLOOKUP($D63,'Improved Sales Adjustments 1'!$G$7:$WT$147,6,FALSE))/(HLOOKUP($D63,'Improved Sales Adjustments 1'!$G$7:$WT$147,6,FALSE)*E63)*Sales_LtBAdj_Ratio_1,(H63*I63*HLOOKUP($D63,'Improved Sales Adjustments 1'!$G$7:$WT$147,7,FALSE))/(HLOOKUP($D63,'Improved Sales Adjustments 1'!$G$7:$WT$147,7,FALSE)*E63)*Sales_LtBAdj_Ratio_1))</f>
        <v/>
      </c>
      <c r="L63" s="101"/>
      <c r="M63" s="5"/>
      <c r="N63" s="5"/>
      <c r="O63" s="6"/>
      <c r="P63" s="10"/>
      <c r="Q63" s="11"/>
      <c r="R63" s="10"/>
      <c r="S63" s="10"/>
      <c r="T63" s="10"/>
      <c r="U63" s="10"/>
      <c r="V63" s="10"/>
      <c r="W63" s="10"/>
      <c r="X63" s="10"/>
      <c r="Y63" s="10"/>
      <c r="Z63" s="10"/>
      <c r="AA63" s="10"/>
      <c r="AB63" s="10"/>
      <c r="AC63" s="10"/>
      <c r="AD63" s="10"/>
      <c r="AE63" s="10"/>
      <c r="AF63" s="143"/>
      <c r="AG63" s="32"/>
      <c r="AH63" s="32"/>
      <c r="AI63" s="32"/>
      <c r="AJ63" s="32"/>
      <c r="AK63" s="32"/>
      <c r="AL63" s="32"/>
      <c r="AM63" s="32"/>
      <c r="AN63" s="32"/>
      <c r="AO63" s="32"/>
      <c r="AP63" s="32"/>
      <c r="AQ63" s="32"/>
      <c r="AR63" s="32"/>
      <c r="AS63" s="32"/>
      <c r="AT63" s="32"/>
      <c r="AU63" s="32"/>
      <c r="AV63" s="32"/>
      <c r="AW63" s="32"/>
      <c r="AX63" s="32"/>
      <c r="AY63" s="32"/>
      <c r="AZ63" s="32"/>
      <c r="BA63" s="32"/>
      <c r="BB63" s="32"/>
      <c r="BC63" s="32"/>
      <c r="BD63" s="32"/>
      <c r="BE63" s="32"/>
      <c r="BF63" s="32"/>
      <c r="BG63" s="32"/>
      <c r="BH63" s="32"/>
      <c r="BI63" s="32"/>
      <c r="BJ63" s="32"/>
      <c r="BK63" s="32"/>
      <c r="BL63" s="32"/>
      <c r="BM63" s="32"/>
    </row>
    <row r="64" spans="1:65" ht="15" customHeight="1" thickBot="1" x14ac:dyDescent="0.3">
      <c r="A64" s="957">
        <v>1</v>
      </c>
      <c r="B64" s="8"/>
      <c r="C64" s="7"/>
      <c r="D64" s="555" t="s">
        <v>1607</v>
      </c>
      <c r="E64" s="133"/>
      <c r="F64" s="133"/>
      <c r="G64" s="133"/>
      <c r="H64" s="133"/>
      <c r="I64" s="133"/>
      <c r="J64" s="133"/>
      <c r="K64" s="133"/>
      <c r="L64" s="7"/>
      <c r="M64" s="7"/>
      <c r="N64" s="7"/>
      <c r="O64" s="9"/>
      <c r="P64" s="10"/>
      <c r="Q64" s="11"/>
      <c r="R64" s="10"/>
      <c r="S64" s="10"/>
      <c r="T64" s="10"/>
      <c r="U64" s="10"/>
      <c r="V64" s="10"/>
      <c r="W64" s="10"/>
      <c r="X64" s="10"/>
      <c r="Y64" s="10"/>
      <c r="Z64" s="10"/>
      <c r="AA64" s="10"/>
      <c r="AB64" s="10"/>
      <c r="AC64" s="10"/>
      <c r="AD64" s="10"/>
      <c r="AE64" s="10"/>
      <c r="AF64" s="143"/>
      <c r="AG64" s="32"/>
      <c r="AH64" s="32"/>
      <c r="AI64" s="32"/>
      <c r="AJ64" s="32"/>
      <c r="AK64" s="32"/>
      <c r="AL64" s="32"/>
      <c r="AM64" s="32"/>
      <c r="AN64" s="32"/>
      <c r="AO64" s="32"/>
      <c r="AP64" s="32"/>
      <c r="AQ64" s="32"/>
      <c r="AR64" s="32"/>
      <c r="AS64" s="32"/>
      <c r="AT64" s="32"/>
      <c r="AU64" s="32"/>
      <c r="AV64" s="32"/>
      <c r="AW64" s="32"/>
      <c r="AX64" s="32"/>
      <c r="AY64" s="32"/>
      <c r="AZ64" s="32"/>
      <c r="BA64" s="32"/>
      <c r="BB64" s="32"/>
      <c r="BC64" s="32"/>
      <c r="BD64" s="32"/>
      <c r="BE64" s="32"/>
      <c r="BF64" s="32"/>
      <c r="BG64" s="32"/>
      <c r="BH64" s="32"/>
      <c r="BI64" s="32"/>
      <c r="BJ64" s="32"/>
      <c r="BK64" s="32"/>
      <c r="BL64" s="32"/>
      <c r="BM64" s="32"/>
    </row>
    <row r="65" spans="1:65" ht="15" customHeight="1" thickBot="1" x14ac:dyDescent="0.3">
      <c r="A65" s="957">
        <v>1</v>
      </c>
      <c r="B65" s="10"/>
      <c r="C65" s="10"/>
      <c r="D65" s="1260"/>
      <c r="E65" s="10"/>
      <c r="F65" s="10"/>
      <c r="G65" s="10"/>
      <c r="H65" s="10"/>
      <c r="I65" s="10"/>
      <c r="J65" s="10"/>
      <c r="K65" s="10"/>
      <c r="L65" s="10"/>
      <c r="M65" s="10"/>
      <c r="N65" s="10"/>
      <c r="O65" s="10"/>
      <c r="P65" s="10"/>
      <c r="Q65" s="11"/>
      <c r="R65" s="10"/>
      <c r="S65" s="10"/>
      <c r="T65" s="10"/>
      <c r="U65" s="10"/>
      <c r="V65" s="10"/>
      <c r="W65" s="10"/>
      <c r="X65" s="10"/>
      <c r="Y65" s="10"/>
      <c r="Z65" s="10"/>
      <c r="AA65" s="10"/>
      <c r="AB65" s="10"/>
      <c r="AC65" s="10"/>
      <c r="AD65" s="10"/>
      <c r="AE65" s="10"/>
      <c r="AF65" s="143"/>
      <c r="AG65" s="32"/>
      <c r="AH65" s="32"/>
      <c r="AI65" s="32"/>
      <c r="AJ65" s="32"/>
      <c r="AK65" s="32"/>
      <c r="AL65" s="32"/>
      <c r="AM65" s="32"/>
      <c r="AN65" s="32"/>
      <c r="AO65" s="32"/>
      <c r="AP65" s="32"/>
      <c r="AQ65" s="32"/>
      <c r="AR65" s="32"/>
      <c r="AS65" s="32"/>
      <c r="AT65" s="32"/>
      <c r="AU65" s="32"/>
      <c r="AV65" s="32"/>
      <c r="AW65" s="32"/>
      <c r="AX65" s="32"/>
      <c r="AY65" s="32"/>
      <c r="AZ65" s="32"/>
      <c r="BA65" s="32"/>
      <c r="BB65" s="32"/>
      <c r="BC65" s="32"/>
      <c r="BD65" s="32"/>
      <c r="BE65" s="32"/>
      <c r="BF65" s="32"/>
      <c r="BG65" s="32"/>
      <c r="BH65" s="32"/>
      <c r="BI65" s="32"/>
      <c r="BJ65" s="32"/>
      <c r="BK65" s="32"/>
      <c r="BL65" s="32"/>
      <c r="BM65" s="32"/>
    </row>
    <row r="66" spans="1:65" ht="15" customHeight="1" x14ac:dyDescent="0.25">
      <c r="A66" s="957">
        <v>1</v>
      </c>
      <c r="B66" s="1"/>
      <c r="C66" s="2"/>
      <c r="D66" s="1261"/>
      <c r="E66" s="2"/>
      <c r="F66" s="2"/>
      <c r="G66" s="2"/>
      <c r="H66" s="2"/>
      <c r="I66" s="2"/>
      <c r="J66" s="2"/>
      <c r="K66" s="2"/>
      <c r="L66" s="2"/>
      <c r="M66" s="2"/>
      <c r="N66" s="2"/>
      <c r="O66" s="2"/>
      <c r="P66" s="3"/>
      <c r="Q66" s="11"/>
      <c r="R66" s="150" t="s">
        <v>116</v>
      </c>
      <c r="S66" s="150" t="s">
        <v>700</v>
      </c>
      <c r="T66" s="10"/>
      <c r="U66" s="10"/>
      <c r="V66" s="10"/>
      <c r="W66" s="10"/>
      <c r="X66" s="10"/>
      <c r="Y66" s="10"/>
      <c r="Z66" s="10"/>
      <c r="AA66" s="10"/>
      <c r="AB66" s="10"/>
      <c r="AC66" s="10"/>
      <c r="AD66" s="10"/>
      <c r="AE66" s="10"/>
      <c r="AF66" s="143"/>
      <c r="AG66" s="32"/>
      <c r="AH66" s="32"/>
      <c r="AI66" s="32"/>
      <c r="AJ66" s="32"/>
      <c r="AK66" s="32"/>
      <c r="AL66" s="32"/>
      <c r="AM66" s="32"/>
      <c r="AN66" s="32"/>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row>
    <row r="67" spans="1:65" ht="15" customHeight="1" thickBot="1" x14ac:dyDescent="0.3">
      <c r="A67" s="957">
        <v>1</v>
      </c>
      <c r="B67" s="4"/>
      <c r="C67" s="5"/>
      <c r="D67" s="505" t="str">
        <f>CONCATENATE("Paid Parking Ratio &amp; Rate Adjustment Calculations - ",dpSales_ComponentNameB1," Component")</f>
        <v>Paid Parking Ratio &amp; Rate Adjustment Calculations -  Component</v>
      </c>
      <c r="E67" s="5"/>
      <c r="F67" s="5"/>
      <c r="G67" s="5"/>
      <c r="H67" s="5"/>
      <c r="I67" s="5"/>
      <c r="J67" s="5"/>
      <c r="K67" s="5"/>
      <c r="L67" s="5"/>
      <c r="M67" s="5"/>
      <c r="N67" s="5"/>
      <c r="O67" s="5"/>
      <c r="P67" s="6"/>
      <c r="Q67" s="11"/>
      <c r="R67" s="150" t="s">
        <v>509</v>
      </c>
      <c r="S67" s="150" t="s">
        <v>119</v>
      </c>
      <c r="T67" s="10"/>
      <c r="U67" s="10"/>
      <c r="V67" s="10"/>
      <c r="W67" s="10"/>
      <c r="X67" s="10"/>
      <c r="Y67" s="10"/>
      <c r="Z67" s="10"/>
      <c r="AA67" s="10"/>
      <c r="AB67" s="10"/>
      <c r="AC67" s="10"/>
      <c r="AD67" s="10"/>
      <c r="AE67" s="10"/>
      <c r="AF67" s="143"/>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row>
    <row r="68" spans="1:65" ht="15" customHeight="1" thickBot="1" x14ac:dyDescent="0.3">
      <c r="A68" s="957">
        <v>1</v>
      </c>
      <c r="B68" s="4"/>
      <c r="C68" s="11"/>
      <c r="D68" s="12"/>
      <c r="E68" s="150" t="s">
        <v>1314</v>
      </c>
      <c r="F68" s="441" t="s">
        <v>116</v>
      </c>
      <c r="G68" s="441"/>
      <c r="H68" s="441" t="s">
        <v>94</v>
      </c>
      <c r="I68" s="441" t="s">
        <v>116</v>
      </c>
      <c r="J68" s="441"/>
      <c r="K68" s="11"/>
      <c r="L68" s="11"/>
      <c r="M68" s="441"/>
      <c r="N68" s="11"/>
      <c r="O68" s="5"/>
      <c r="P68" s="6"/>
      <c r="Q68" s="11"/>
      <c r="R68" s="1268">
        <v>0.05</v>
      </c>
      <c r="S68" s="1262">
        <v>0.35</v>
      </c>
      <c r="T68" s="10"/>
      <c r="U68" s="10"/>
      <c r="V68" s="10"/>
      <c r="W68" s="10"/>
      <c r="X68" s="10"/>
      <c r="Y68" s="10"/>
      <c r="Z68" s="10"/>
      <c r="AA68" s="10"/>
      <c r="AB68" s="10"/>
      <c r="AC68" s="10"/>
      <c r="AD68" s="10"/>
      <c r="AE68" s="10"/>
      <c r="AF68" s="143"/>
      <c r="AG68" s="32"/>
      <c r="AH68" s="32"/>
      <c r="AI68" s="32"/>
      <c r="AJ68" s="32"/>
      <c r="AK68" s="32"/>
      <c r="AL68" s="32"/>
      <c r="AM68" s="32"/>
      <c r="AN68" s="32"/>
      <c r="AO68" s="32"/>
      <c r="AP68" s="32"/>
      <c r="AQ68" s="32"/>
      <c r="AR68" s="32"/>
      <c r="AS68" s="32"/>
      <c r="AT68" s="32"/>
      <c r="AU68" s="32"/>
      <c r="AV68" s="32"/>
      <c r="AW68" s="32"/>
      <c r="AX68" s="32"/>
      <c r="AY68" s="32"/>
      <c r="AZ68" s="32"/>
      <c r="BA68" s="32"/>
      <c r="BB68" s="32"/>
      <c r="BC68" s="32"/>
      <c r="BD68" s="32"/>
      <c r="BE68" s="32"/>
      <c r="BF68" s="32"/>
      <c r="BG68" s="32"/>
      <c r="BH68" s="32"/>
      <c r="BI68" s="32"/>
      <c r="BJ68" s="32"/>
      <c r="BK68" s="32"/>
      <c r="BL68" s="32"/>
      <c r="BM68" s="32"/>
    </row>
    <row r="69" spans="1:65" ht="15" customHeight="1" thickBot="1" x14ac:dyDescent="0.3">
      <c r="A69" s="957">
        <v>1</v>
      </c>
      <c r="B69" s="4"/>
      <c r="C69" s="11"/>
      <c r="D69" s="12"/>
      <c r="E69" s="150" t="s">
        <v>1315</v>
      </c>
      <c r="F69" s="150" t="s">
        <v>1315</v>
      </c>
      <c r="G69" s="441"/>
      <c r="H69" s="441" t="s">
        <v>529</v>
      </c>
      <c r="I69" s="441" t="s">
        <v>529</v>
      </c>
      <c r="J69" s="441"/>
      <c r="K69" s="441" t="s">
        <v>44</v>
      </c>
      <c r="L69" s="11"/>
      <c r="M69" s="441" t="s">
        <v>560</v>
      </c>
      <c r="N69" s="11"/>
      <c r="O69" s="5"/>
      <c r="P69" s="6"/>
      <c r="Q69" s="11"/>
      <c r="R69" s="150" t="s">
        <v>551</v>
      </c>
      <c r="S69" s="150" t="s">
        <v>550</v>
      </c>
      <c r="T69" s="10"/>
      <c r="U69" s="10"/>
      <c r="V69" s="10"/>
      <c r="W69" s="10"/>
      <c r="X69" s="10"/>
      <c r="Y69" s="10"/>
      <c r="Z69" s="10"/>
      <c r="AA69" s="10"/>
      <c r="AB69" s="10"/>
      <c r="AC69" s="10"/>
      <c r="AD69" s="10"/>
      <c r="AE69" s="10"/>
      <c r="AF69" s="143"/>
      <c r="AG69" s="32"/>
      <c r="AH69" s="32"/>
      <c r="AI69" s="32"/>
      <c r="AJ69" s="32"/>
      <c r="AK69" s="32"/>
      <c r="AL69" s="32"/>
      <c r="AM69" s="32"/>
      <c r="AN69" s="32"/>
      <c r="AO69" s="32"/>
      <c r="AP69" s="32"/>
      <c r="AQ69" s="32"/>
      <c r="AR69" s="32"/>
      <c r="AS69" s="32"/>
      <c r="AT69" s="32"/>
      <c r="AU69" s="32"/>
      <c r="AV69" s="32"/>
      <c r="AW69" s="32"/>
      <c r="AX69" s="32"/>
      <c r="AY69" s="32"/>
      <c r="AZ69" s="32"/>
      <c r="BA69" s="32"/>
      <c r="BB69" s="32"/>
      <c r="BC69" s="32"/>
      <c r="BD69" s="32"/>
      <c r="BE69" s="32"/>
      <c r="BF69" s="32"/>
      <c r="BG69" s="32"/>
      <c r="BH69" s="32"/>
      <c r="BI69" s="32"/>
      <c r="BJ69" s="32"/>
      <c r="BK69" s="32"/>
      <c r="BL69" s="32"/>
      <c r="BM69" s="32"/>
    </row>
    <row r="70" spans="1:65" ht="15" customHeight="1" thickBot="1" x14ac:dyDescent="0.3">
      <c r="A70" s="957">
        <v>1</v>
      </c>
      <c r="B70" s="4"/>
      <c r="C70" s="11"/>
      <c r="D70" s="150" t="s">
        <v>702</v>
      </c>
      <c r="E70" s="150" t="s">
        <v>1316</v>
      </c>
      <c r="F70" s="150" t="s">
        <v>1316</v>
      </c>
      <c r="G70" s="150" t="s">
        <v>1317</v>
      </c>
      <c r="H70" s="150" t="s">
        <v>1318</v>
      </c>
      <c r="I70" s="150" t="s">
        <v>1318</v>
      </c>
      <c r="J70" s="150"/>
      <c r="K70" s="150" t="s">
        <v>1319</v>
      </c>
      <c r="L70" s="11"/>
      <c r="M70" s="150" t="s">
        <v>174</v>
      </c>
      <c r="N70" s="11"/>
      <c r="O70" s="5"/>
      <c r="P70" s="6"/>
      <c r="Q70" s="11"/>
      <c r="R70" s="150" t="s">
        <v>509</v>
      </c>
      <c r="S70" s="1267">
        <v>7.0000000000000007E-2</v>
      </c>
      <c r="T70" s="10"/>
      <c r="U70" s="10"/>
      <c r="V70" s="10"/>
      <c r="W70" s="10"/>
      <c r="X70" s="10"/>
      <c r="Y70" s="10"/>
      <c r="Z70" s="10"/>
      <c r="AA70" s="10"/>
      <c r="AB70" s="10"/>
      <c r="AC70" s="10"/>
      <c r="AD70" s="10"/>
      <c r="AE70" s="10"/>
      <c r="AF70" s="143"/>
      <c r="AG70" s="32"/>
      <c r="AH70" s="32"/>
      <c r="AI70" s="32"/>
      <c r="AJ70" s="32"/>
      <c r="AK70" s="32"/>
      <c r="AL70" s="32"/>
      <c r="AM70" s="32"/>
      <c r="AN70" s="32"/>
      <c r="AO70" s="32"/>
      <c r="AP70" s="32"/>
      <c r="AQ70" s="32"/>
      <c r="AR70" s="32"/>
      <c r="AS70" s="32"/>
      <c r="AT70" s="32"/>
      <c r="AU70" s="32"/>
      <c r="AV70" s="32"/>
      <c r="AW70" s="32"/>
      <c r="AX70" s="32"/>
      <c r="AY70" s="32"/>
      <c r="AZ70" s="32"/>
      <c r="BA70" s="32"/>
      <c r="BB70" s="32"/>
      <c r="BC70" s="32"/>
      <c r="BD70" s="32"/>
      <c r="BE70" s="32"/>
      <c r="BF70" s="32"/>
      <c r="BG70" s="32"/>
      <c r="BH70" s="32"/>
      <c r="BI70" s="32"/>
      <c r="BJ70" s="32"/>
      <c r="BK70" s="32"/>
      <c r="BL70" s="32"/>
      <c r="BM70" s="32"/>
    </row>
    <row r="71" spans="1:65" ht="15" customHeight="1" x14ac:dyDescent="0.25">
      <c r="A71" s="957">
        <f>IF(E71="",0,1)</f>
        <v>1</v>
      </c>
      <c r="B71" s="4"/>
      <c r="C71" s="101"/>
      <c r="D71" s="137">
        <v>1</v>
      </c>
      <c r="E71" s="1701">
        <f>IF(ISERROR(HLOOKUP($D71,'Improved Sales Adjustments 1'!$G$7:$WV$147,109,FALSE)),"",HLOOKUP($D71,'Improved Sales Adjustments 1'!$G$7:$WV$147,109,FALSE))</f>
        <v>0</v>
      </c>
      <c r="F71" s="1701">
        <f t="shared" ref="F71:F85" si="16">Sales_AdjGrid_ParkingRatio_1</f>
        <v>2.95</v>
      </c>
      <c r="G71" s="1702">
        <f t="shared" ref="G71:G85" si="17">IF(ISERR(F71-E71),"",F71-E71)</f>
        <v>2.95</v>
      </c>
      <c r="H71" s="1265"/>
      <c r="I71" s="1265"/>
      <c r="J71" s="137"/>
      <c r="K71" s="2160" t="e">
        <f>(((dpSubject_Sales_NRA_1/1000)*12*F71*I71)*(1-dpSales_ParkingRatio_SubjectVacancy_1)*(1-dpSales_ParkingRatio_ExpenseRatio_1)/dpSubject_Sales_NRA_1-(('Improved Sales Summary Light'!$AF$18/1000)*12*E71*H71)*(1-R71)*(1-dpSales_ParkingRatio_ExpenseRatio_1)/'Improved Sales Summary Light'!$AF$18)/dpSales_ParkingRatio_OAR_1</f>
        <v>#DIV/0!</v>
      </c>
      <c r="L71" s="137"/>
      <c r="M71" s="2129" t="str">
        <f>IF(ISERROR(K71/HLOOKUP($D71,'Improved Sales Adjustments 1'!$G$7:$WV$147,48,FALSE)),"",K71/HLOOKUP($D71,'Improved Sales Adjustments 1'!$G$7:$WV$147,48,FALSE))</f>
        <v/>
      </c>
      <c r="N71" s="101"/>
      <c r="O71" s="5"/>
      <c r="P71" s="6"/>
      <c r="Q71" s="11"/>
      <c r="R71" s="1266">
        <v>0.05</v>
      </c>
      <c r="S71" s="10"/>
      <c r="T71" s="10"/>
      <c r="U71" s="10"/>
      <c r="V71" s="10"/>
      <c r="W71" s="10"/>
      <c r="X71" s="10"/>
      <c r="Y71" s="10"/>
      <c r="Z71" s="10"/>
      <c r="AA71" s="10"/>
      <c r="AB71" s="10"/>
      <c r="AC71" s="10"/>
      <c r="AD71" s="10"/>
      <c r="AE71" s="10"/>
      <c r="AF71" s="143"/>
      <c r="AG71" s="32"/>
      <c r="AH71" s="32"/>
      <c r="AI71" s="32"/>
      <c r="AJ71" s="32"/>
      <c r="AK71" s="32"/>
      <c r="AL71" s="32"/>
      <c r="AM71" s="32"/>
      <c r="AN71" s="32"/>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row>
    <row r="72" spans="1:65" ht="15" customHeight="1" x14ac:dyDescent="0.25">
      <c r="A72" s="957">
        <f t="shared" ref="A72:A85" si="18">IF(E72="",0,1)</f>
        <v>1</v>
      </c>
      <c r="B72" s="4"/>
      <c r="C72" s="101"/>
      <c r="D72" s="137">
        <f>D71+1</f>
        <v>2</v>
      </c>
      <c r="E72" s="1701">
        <f>IF(ISERROR(HLOOKUP($D72,'Improved Sales Adjustments 1'!$G$7:$WV$147,109,FALSE)),"",HLOOKUP($D72,'Improved Sales Adjustments 1'!$G$7:$WV$147,109,FALSE))</f>
        <v>0</v>
      </c>
      <c r="F72" s="1701">
        <f t="shared" si="16"/>
        <v>2.95</v>
      </c>
      <c r="G72" s="1702">
        <f t="shared" si="17"/>
        <v>2.95</v>
      </c>
      <c r="H72" s="1265"/>
      <c r="I72" s="2160">
        <f t="shared" ref="I72:I85" si="19">dpSales_ParkingRatio_SubjectRate_1</f>
        <v>0</v>
      </c>
      <c r="J72" s="137"/>
      <c r="K72" s="2160" t="e">
        <f>(((dpSubject_Sales_NRA_1/1000)*12*F72*I72)*(1-dpSales_ParkingRatio_SubjectVacancy_1)*(1-dpSales_ParkingRatio_ExpenseRatio_1)/dpSubject_Sales_NRA_1-(('Improved Sales Summary Light'!$AF$19/1000)*12*E72*H72)*(1-R72)*(1-dpSales_ParkingRatio_ExpenseRatio_1)/'Improved Sales Summary Light'!$AF$19)/dpSales_ParkingRatio_OAR_1</f>
        <v>#DIV/0!</v>
      </c>
      <c r="L72" s="137"/>
      <c r="M72" s="2129" t="str">
        <f>IF(ISERROR(K72/HLOOKUP($D72,'Improved Sales Adjustments 1'!$G$7:$WV$147,48,FALSE)),"",K72/HLOOKUP($D72,'Improved Sales Adjustments 1'!$G$7:$WV$147,48,FALSE))</f>
        <v/>
      </c>
      <c r="N72" s="101"/>
      <c r="O72" s="5"/>
      <c r="P72" s="6"/>
      <c r="Q72" s="11"/>
      <c r="R72" s="1263">
        <v>0.05</v>
      </c>
      <c r="S72" s="10"/>
      <c r="T72" s="10"/>
      <c r="U72" s="10"/>
      <c r="V72" s="10"/>
      <c r="W72" s="10"/>
      <c r="X72" s="10"/>
      <c r="Y72" s="10"/>
      <c r="Z72" s="10"/>
      <c r="AA72" s="10"/>
      <c r="AB72" s="10"/>
      <c r="AC72" s="10"/>
      <c r="AD72" s="10"/>
      <c r="AE72" s="10"/>
      <c r="AF72" s="143"/>
      <c r="AG72" s="32"/>
      <c r="AH72" s="32"/>
      <c r="AI72" s="32"/>
      <c r="AJ72" s="32"/>
      <c r="AK72" s="32"/>
      <c r="AL72" s="32"/>
      <c r="AM72" s="32"/>
      <c r="AN72" s="32"/>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row>
    <row r="73" spans="1:65" ht="15" customHeight="1" x14ac:dyDescent="0.25">
      <c r="A73" s="957">
        <f t="shared" si="18"/>
        <v>1</v>
      </c>
      <c r="B73" s="4"/>
      <c r="C73" s="101"/>
      <c r="D73" s="137">
        <f t="shared" ref="D73:D81" si="20">D72+1</f>
        <v>3</v>
      </c>
      <c r="E73" s="1701">
        <f>IF(ISERROR(HLOOKUP($D73,'Improved Sales Adjustments 1'!$G$7:$WV$147,109,FALSE)),"",HLOOKUP($D73,'Improved Sales Adjustments 1'!$G$7:$WV$147,109,FALSE))</f>
        <v>0</v>
      </c>
      <c r="F73" s="1701">
        <f t="shared" si="16"/>
        <v>2.95</v>
      </c>
      <c r="G73" s="1702">
        <f t="shared" si="17"/>
        <v>2.95</v>
      </c>
      <c r="H73" s="1265"/>
      <c r="I73" s="2160">
        <f t="shared" si="19"/>
        <v>0</v>
      </c>
      <c r="J73" s="137"/>
      <c r="K73" s="2160" t="e">
        <f>(((dpSubject_Sales_NRA_1/1000)*12*F73*I73)*(1-dpSales_ParkingRatio_SubjectVacancy_1)*(1-dpSales_ParkingRatio_ExpenseRatio_1)/dpSubject_Sales_NRA_1-(('Improved Sales Summary Light'!$AF$20/1000)*12*E73*H73)*(1-R73)*(1-dpSales_ParkingRatio_ExpenseRatio_1)/'Improved Sales Summary Light'!$AF$20)/dpSales_ParkingRatio_OAR_1</f>
        <v>#DIV/0!</v>
      </c>
      <c r="L73" s="137"/>
      <c r="M73" s="2129" t="str">
        <f>IF(ISERROR(K73/HLOOKUP($D73,'Improved Sales Adjustments 1'!$G$7:$WV$147,48,FALSE)),"",K73/HLOOKUP($D73,'Improved Sales Adjustments 1'!$G$7:$WV$147,48,FALSE))</f>
        <v/>
      </c>
      <c r="N73" s="101"/>
      <c r="O73" s="5"/>
      <c r="P73" s="6"/>
      <c r="Q73" s="11"/>
      <c r="R73" s="1263">
        <v>0.05</v>
      </c>
      <c r="S73" s="10"/>
      <c r="T73" s="10"/>
      <c r="U73" s="10"/>
      <c r="V73" s="10"/>
      <c r="W73" s="10"/>
      <c r="X73" s="10"/>
      <c r="Y73" s="10"/>
      <c r="Z73" s="10"/>
      <c r="AA73" s="10"/>
      <c r="AB73" s="10"/>
      <c r="AC73" s="10"/>
      <c r="AD73" s="10"/>
      <c r="AE73" s="10"/>
      <c r="AF73" s="143"/>
      <c r="AG73" s="32"/>
      <c r="AH73" s="32"/>
      <c r="AI73" s="32"/>
      <c r="AJ73" s="32"/>
      <c r="AK73" s="32"/>
      <c r="AL73" s="32"/>
      <c r="AM73" s="32"/>
      <c r="AN73" s="32"/>
      <c r="AO73" s="32"/>
      <c r="AP73" s="32"/>
      <c r="AQ73" s="32"/>
      <c r="AR73" s="32"/>
      <c r="AS73" s="32"/>
      <c r="AT73" s="32"/>
      <c r="AU73" s="32"/>
      <c r="AV73" s="32"/>
      <c r="AW73" s="32"/>
      <c r="AX73" s="32"/>
      <c r="AY73" s="32"/>
      <c r="AZ73" s="32"/>
      <c r="BA73" s="32"/>
      <c r="BB73" s="32"/>
      <c r="BC73" s="32"/>
      <c r="BD73" s="32"/>
      <c r="BE73" s="32"/>
      <c r="BF73" s="32"/>
      <c r="BG73" s="32"/>
      <c r="BH73" s="32"/>
      <c r="BI73" s="32"/>
      <c r="BJ73" s="32"/>
      <c r="BK73" s="32"/>
      <c r="BL73" s="32"/>
      <c r="BM73" s="32"/>
    </row>
    <row r="74" spans="1:65" ht="15" customHeight="1" x14ac:dyDescent="0.25">
      <c r="A74" s="957">
        <f t="shared" si="18"/>
        <v>1</v>
      </c>
      <c r="B74" s="4"/>
      <c r="C74" s="101"/>
      <c r="D74" s="137">
        <f t="shared" si="20"/>
        <v>4</v>
      </c>
      <c r="E74" s="1701">
        <f>IF(ISERROR(HLOOKUP($D74,'Improved Sales Adjustments 1'!$G$7:$WV$147,109,FALSE)),"",HLOOKUP($D74,'Improved Sales Adjustments 1'!$G$7:$WV$147,109,FALSE))</f>
        <v>0</v>
      </c>
      <c r="F74" s="1701">
        <f t="shared" si="16"/>
        <v>2.95</v>
      </c>
      <c r="G74" s="1702">
        <f t="shared" si="17"/>
        <v>2.95</v>
      </c>
      <c r="H74" s="1265"/>
      <c r="I74" s="2160">
        <f t="shared" si="19"/>
        <v>0</v>
      </c>
      <c r="J74" s="137"/>
      <c r="K74" s="2160" t="e">
        <f>(((dpSubject_Sales_NRA_1/1000)*12*F74*I74)*(1-dpSales_ParkingRatio_SubjectVacancy_1)*(1-dpSales_ParkingRatio_ExpenseRatio_1)/dpSubject_Sales_NRA_1-(('Improved Sales Summary Light'!$AF$21/1000)*12*E74*H74)*(1-R74)*(1-dpSales_ParkingRatio_ExpenseRatio_1)/'Improved Sales Summary Light'!$AF$21)/dpSales_ParkingRatio_OAR_1</f>
        <v>#DIV/0!</v>
      </c>
      <c r="L74" s="137"/>
      <c r="M74" s="2129" t="str">
        <f>IF(ISERROR(K74/HLOOKUP($D74,'Improved Sales Adjustments 1'!$G$7:$WV$147,48,FALSE)),"",K74/HLOOKUP($D74,'Improved Sales Adjustments 1'!$G$7:$WV$147,48,FALSE))</f>
        <v/>
      </c>
      <c r="N74" s="101"/>
      <c r="O74" s="5"/>
      <c r="P74" s="6"/>
      <c r="Q74" s="11"/>
      <c r="R74" s="1263">
        <v>0.05</v>
      </c>
      <c r="S74" s="10"/>
      <c r="T74" s="10"/>
      <c r="U74" s="10"/>
      <c r="V74" s="10"/>
      <c r="W74" s="10"/>
      <c r="X74" s="10"/>
      <c r="Y74" s="10"/>
      <c r="Z74" s="10"/>
      <c r="AA74" s="10"/>
      <c r="AB74" s="10"/>
      <c r="AC74" s="10"/>
      <c r="AD74" s="10"/>
      <c r="AE74" s="10"/>
      <c r="AF74" s="143"/>
      <c r="AG74" s="32"/>
      <c r="AH74" s="32"/>
      <c r="AI74" s="32"/>
      <c r="AJ74" s="32"/>
      <c r="AK74" s="32"/>
      <c r="AL74" s="32"/>
      <c r="AM74" s="32"/>
      <c r="AN74" s="32"/>
      <c r="AO74" s="32"/>
      <c r="AP74" s="32"/>
      <c r="AQ74" s="32"/>
      <c r="AR74" s="32"/>
      <c r="AS74" s="32"/>
      <c r="AT74" s="32"/>
      <c r="AU74" s="32"/>
      <c r="AV74" s="32"/>
      <c r="AW74" s="32"/>
      <c r="AX74" s="32"/>
      <c r="AY74" s="32"/>
      <c r="AZ74" s="32"/>
      <c r="BA74" s="32"/>
      <c r="BB74" s="32"/>
      <c r="BC74" s="32"/>
      <c r="BD74" s="32"/>
      <c r="BE74" s="32"/>
      <c r="BF74" s="32"/>
      <c r="BG74" s="32"/>
      <c r="BH74" s="32"/>
      <c r="BI74" s="32"/>
      <c r="BJ74" s="32"/>
      <c r="BK74" s="32"/>
      <c r="BL74" s="32"/>
      <c r="BM74" s="32"/>
    </row>
    <row r="75" spans="1:65" ht="15" customHeight="1" x14ac:dyDescent="0.25">
      <c r="A75" s="957">
        <f t="shared" si="18"/>
        <v>1</v>
      </c>
      <c r="B75" s="4"/>
      <c r="C75" s="101"/>
      <c r="D75" s="137">
        <f t="shared" si="20"/>
        <v>5</v>
      </c>
      <c r="E75" s="1701">
        <f>IF(ISERROR(HLOOKUP($D75,'Improved Sales Adjustments 1'!$G$7:$WV$147,109,FALSE)),"",HLOOKUP($D75,'Improved Sales Adjustments 1'!$G$7:$WV$147,109,FALSE))</f>
        <v>0</v>
      </c>
      <c r="F75" s="1701">
        <f t="shared" si="16"/>
        <v>2.95</v>
      </c>
      <c r="G75" s="1702">
        <f t="shared" si="17"/>
        <v>2.95</v>
      </c>
      <c r="H75" s="1265"/>
      <c r="I75" s="2160">
        <f t="shared" si="19"/>
        <v>0</v>
      </c>
      <c r="J75" s="137"/>
      <c r="K75" s="2160" t="e">
        <f>(((dpSubject_Sales_NRA_1/1000)*12*F75*I75)*(1-dpSales_ParkingRatio_SubjectVacancy_1)*(1-dpSales_ParkingRatio_ExpenseRatio_1)/dpSubject_Sales_NRA_1-(('Improved Sales Summary Light'!$AF$22/1000)*12*E75*H75)*(1-R75)*(1-dpSales_ParkingRatio_ExpenseRatio_1)/'Improved Sales Summary Light'!$AF$22)/dpSales_ParkingRatio_OAR_1</f>
        <v>#DIV/0!</v>
      </c>
      <c r="L75" s="137"/>
      <c r="M75" s="2129" t="str">
        <f>IF(ISERROR(K75/HLOOKUP($D75,'Improved Sales Adjustments 1'!$G$7:$WV$147,48,FALSE)),"",K75/HLOOKUP($D75,'Improved Sales Adjustments 1'!$G$7:$WV$147,48,FALSE))</f>
        <v/>
      </c>
      <c r="N75" s="101"/>
      <c r="O75" s="5"/>
      <c r="P75" s="6"/>
      <c r="Q75" s="11"/>
      <c r="R75" s="1263">
        <v>0.05</v>
      </c>
      <c r="S75" s="10"/>
      <c r="T75" s="10"/>
      <c r="U75" s="10"/>
      <c r="V75" s="10"/>
      <c r="W75" s="10"/>
      <c r="X75" s="10"/>
      <c r="Y75" s="10"/>
      <c r="Z75" s="10"/>
      <c r="AA75" s="10"/>
      <c r="AB75" s="10"/>
      <c r="AC75" s="10"/>
      <c r="AD75" s="10"/>
      <c r="AE75" s="10"/>
      <c r="AF75" s="143"/>
      <c r="AG75" s="32"/>
      <c r="AH75" s="32"/>
      <c r="AI75" s="32"/>
      <c r="AJ75" s="32"/>
      <c r="AK75" s="32"/>
      <c r="AL75" s="32"/>
      <c r="AM75" s="32"/>
      <c r="AN75" s="32"/>
      <c r="AO75" s="32"/>
      <c r="AP75" s="32"/>
      <c r="AQ75" s="32"/>
      <c r="AR75" s="32"/>
      <c r="AS75" s="32"/>
      <c r="AT75" s="32"/>
      <c r="AU75" s="32"/>
      <c r="AV75" s="32"/>
      <c r="AW75" s="32"/>
      <c r="AX75" s="32"/>
      <c r="AY75" s="32"/>
      <c r="AZ75" s="32"/>
      <c r="BA75" s="32"/>
      <c r="BB75" s="32"/>
      <c r="BC75" s="32"/>
      <c r="BD75" s="32"/>
      <c r="BE75" s="32"/>
      <c r="BF75" s="32"/>
      <c r="BG75" s="32"/>
      <c r="BH75" s="32"/>
      <c r="BI75" s="32"/>
      <c r="BJ75" s="32"/>
      <c r="BK75" s="32"/>
      <c r="BL75" s="32"/>
      <c r="BM75" s="32"/>
    </row>
    <row r="76" spans="1:65" ht="15" customHeight="1" x14ac:dyDescent="0.25">
      <c r="A76" s="957">
        <f t="shared" si="18"/>
        <v>1</v>
      </c>
      <c r="B76" s="4"/>
      <c r="C76" s="101"/>
      <c r="D76" s="137">
        <f t="shared" si="20"/>
        <v>6</v>
      </c>
      <c r="E76" s="1701">
        <f>IF(ISERROR(HLOOKUP($D76,'Improved Sales Adjustments 1'!$G$7:$WV$147,109,FALSE)),"",HLOOKUP($D76,'Improved Sales Adjustments 1'!$G$7:$WV$147,109,FALSE))</f>
        <v>0</v>
      </c>
      <c r="F76" s="1701">
        <f t="shared" si="16"/>
        <v>2.95</v>
      </c>
      <c r="G76" s="1702">
        <f t="shared" si="17"/>
        <v>2.95</v>
      </c>
      <c r="H76" s="1265"/>
      <c r="I76" s="2160">
        <f t="shared" si="19"/>
        <v>0</v>
      </c>
      <c r="J76" s="137"/>
      <c r="K76" s="2160" t="e">
        <f>(((dpSubject_Sales_NRA_1/1000)*12*F76*I76)*(1-dpSales_ParkingRatio_SubjectVacancy_1)*(1-dpSales_ParkingRatio_ExpenseRatio_1)/dpSubject_Sales_NRA_1-(('Improved Sales Summary Light'!$AF$23/1000)*12*E76*H76)*(1-R76)*(1-dpSales_ParkingRatio_ExpenseRatio_1)/'Improved Sales Summary Light'!$AF$23)/dpSales_ParkingRatio_OAR_1</f>
        <v>#DIV/0!</v>
      </c>
      <c r="L76" s="137"/>
      <c r="M76" s="2129" t="str">
        <f>IF(ISERROR(K76/HLOOKUP($D76,'Improved Sales Adjustments 1'!$G$7:$WV$147,48,FALSE)),"",K76/HLOOKUP($D76,'Improved Sales Adjustments 1'!$G$7:$WV$147,48,FALSE))</f>
        <v/>
      </c>
      <c r="N76" s="101"/>
      <c r="O76" s="5"/>
      <c r="P76" s="6"/>
      <c r="Q76" s="11"/>
      <c r="R76" s="1263">
        <v>0.05</v>
      </c>
      <c r="S76" s="10"/>
      <c r="T76" s="10"/>
      <c r="U76" s="10"/>
      <c r="V76" s="10"/>
      <c r="W76" s="10"/>
      <c r="X76" s="10"/>
      <c r="Y76" s="10"/>
      <c r="Z76" s="10"/>
      <c r="AA76" s="10"/>
      <c r="AB76" s="10"/>
      <c r="AC76" s="10"/>
      <c r="AD76" s="10"/>
      <c r="AE76" s="10"/>
      <c r="AF76" s="143"/>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row>
    <row r="77" spans="1:65" ht="15" customHeight="1" x14ac:dyDescent="0.25">
      <c r="A77" s="957">
        <f t="shared" si="18"/>
        <v>0</v>
      </c>
      <c r="B77" s="4"/>
      <c r="C77" s="101"/>
      <c r="D77" s="137">
        <f t="shared" si="20"/>
        <v>7</v>
      </c>
      <c r="E77" s="1701" t="str">
        <f>IF(ISERROR(HLOOKUP($D77,'Improved Sales Adjustments 1'!$G$7:$WV$147,109,FALSE)),"",HLOOKUP($D77,'Improved Sales Adjustments 1'!$G$7:$WV$147,109,FALSE))</f>
        <v/>
      </c>
      <c r="F77" s="1701">
        <f t="shared" si="16"/>
        <v>2.95</v>
      </c>
      <c r="G77" s="1702" t="str">
        <f t="shared" si="17"/>
        <v/>
      </c>
      <c r="H77" s="1265"/>
      <c r="I77" s="2160">
        <f t="shared" si="19"/>
        <v>0</v>
      </c>
      <c r="J77" s="137"/>
      <c r="K77" s="2160" t="e">
        <f>(((dpSubject_Sales_NRA_1/1000)*12*F77*I77)*(1-dpSales_ParkingRatio_SubjectVacancy_1)*(1-dpSales_ParkingRatio_ExpenseRatio_1)/dpSubject_Sales_NRA_1-(('Improved Sales Summary Light'!$AF$24/1000)*12*E77*H77)*(1-R77)*(1-dpSales_ParkingRatio_ExpenseRatio_1)/'Improved Sales Summary Light'!$AF$24)/dpSales_ParkingRatio_OAR_1</f>
        <v>#VALUE!</v>
      </c>
      <c r="L77" s="137"/>
      <c r="M77" s="2129" t="str">
        <f>IF(ISERROR(K77/HLOOKUP($D77,'Improved Sales Adjustments 1'!$G$7:$WV$147,48,FALSE)),"",K77/HLOOKUP($D77,'Improved Sales Adjustments 1'!$G$7:$WV$147,48,FALSE))</f>
        <v/>
      </c>
      <c r="N77" s="101"/>
      <c r="O77" s="5"/>
      <c r="P77" s="6"/>
      <c r="Q77" s="11"/>
      <c r="R77" s="1263">
        <v>0.05</v>
      </c>
      <c r="S77" s="10"/>
      <c r="T77" s="10"/>
      <c r="U77" s="10"/>
      <c r="V77" s="10"/>
      <c r="W77" s="10"/>
      <c r="X77" s="10"/>
      <c r="Y77" s="10"/>
      <c r="Z77" s="10"/>
      <c r="AA77" s="10"/>
      <c r="AB77" s="10"/>
      <c r="AC77" s="10"/>
      <c r="AD77" s="10"/>
      <c r="AE77" s="10"/>
      <c r="AF77" s="143"/>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row>
    <row r="78" spans="1:65" ht="15" customHeight="1" x14ac:dyDescent="0.25">
      <c r="A78" s="957">
        <f t="shared" si="18"/>
        <v>0</v>
      </c>
      <c r="B78" s="4"/>
      <c r="C78" s="101"/>
      <c r="D78" s="137">
        <f t="shared" si="20"/>
        <v>8</v>
      </c>
      <c r="E78" s="1701" t="str">
        <f>IF(ISERROR(HLOOKUP($D78,'Improved Sales Adjustments 1'!$G$7:$WV$147,109,FALSE)),"",HLOOKUP($D78,'Improved Sales Adjustments 1'!$G$7:$WV$147,109,FALSE))</f>
        <v/>
      </c>
      <c r="F78" s="1701">
        <f t="shared" si="16"/>
        <v>2.95</v>
      </c>
      <c r="G78" s="1702" t="str">
        <f t="shared" si="17"/>
        <v/>
      </c>
      <c r="H78" s="1265"/>
      <c r="I78" s="2160">
        <f t="shared" si="19"/>
        <v>0</v>
      </c>
      <c r="J78" s="137"/>
      <c r="K78" s="2160" t="e">
        <f>(((dpSubject_Sales_NRA_1/1000)*12*F78*I78)*(1-dpSales_ParkingRatio_SubjectVacancy_1)*(1-dpSales_ParkingRatio_ExpenseRatio_1)/dpSubject_Sales_NRA_1-(('Improved Sales Summary Light'!$AF$25/1000)*12*E78*H78)*(1-R78)*(1-dpSales_ParkingRatio_ExpenseRatio_1)/'Improved Sales Summary Light'!$AF$25)/dpSales_ParkingRatio_OAR_1</f>
        <v>#VALUE!</v>
      </c>
      <c r="L78" s="137"/>
      <c r="M78" s="2129" t="str">
        <f>IF(ISERROR(K78/HLOOKUP($D78,'Improved Sales Adjustments 1'!$G$7:$WV$147,48,FALSE)),"",K78/HLOOKUP($D78,'Improved Sales Adjustments 1'!$G$7:$WV$147,48,FALSE))</f>
        <v/>
      </c>
      <c r="N78" s="101"/>
      <c r="O78" s="5"/>
      <c r="P78" s="6"/>
      <c r="Q78" s="11"/>
      <c r="R78" s="1263">
        <v>0.05</v>
      </c>
      <c r="S78" s="10"/>
      <c r="T78" s="10"/>
      <c r="U78" s="10"/>
      <c r="V78" s="10"/>
      <c r="W78" s="10"/>
      <c r="X78" s="10"/>
      <c r="Y78" s="10"/>
      <c r="Z78" s="10"/>
      <c r="AA78" s="10"/>
      <c r="AB78" s="10"/>
      <c r="AC78" s="10"/>
      <c r="AD78" s="10"/>
      <c r="AE78" s="10"/>
      <c r="AF78" s="143"/>
      <c r="AG78" s="32"/>
      <c r="AH78" s="32"/>
      <c r="AI78" s="32"/>
      <c r="AJ78" s="32"/>
      <c r="AK78" s="32"/>
      <c r="AL78" s="32"/>
      <c r="AM78" s="32"/>
      <c r="AN78" s="32"/>
      <c r="AO78" s="32"/>
      <c r="AP78" s="32"/>
      <c r="AQ78" s="32"/>
      <c r="AR78" s="32"/>
      <c r="AS78" s="32"/>
      <c r="AT78" s="32"/>
      <c r="AU78" s="32"/>
      <c r="AV78" s="32"/>
      <c r="AW78" s="32"/>
      <c r="AX78" s="32"/>
      <c r="AY78" s="32"/>
      <c r="AZ78" s="32"/>
      <c r="BA78" s="32"/>
      <c r="BB78" s="32"/>
      <c r="BC78" s="32"/>
      <c r="BD78" s="32"/>
      <c r="BE78" s="32"/>
      <c r="BF78" s="32"/>
      <c r="BG78" s="32"/>
      <c r="BH78" s="32"/>
      <c r="BI78" s="32"/>
      <c r="BJ78" s="32"/>
      <c r="BK78" s="32"/>
      <c r="BL78" s="32"/>
      <c r="BM78" s="32"/>
    </row>
    <row r="79" spans="1:65" ht="15" customHeight="1" x14ac:dyDescent="0.25">
      <c r="A79" s="957">
        <f t="shared" si="18"/>
        <v>0</v>
      </c>
      <c r="B79" s="4"/>
      <c r="C79" s="101"/>
      <c r="D79" s="137">
        <f t="shared" si="20"/>
        <v>9</v>
      </c>
      <c r="E79" s="1701" t="str">
        <f>IF(ISERROR(HLOOKUP($D79,'Improved Sales Adjustments 1'!$G$7:$WV$147,109,FALSE)),"",HLOOKUP($D79,'Improved Sales Adjustments 1'!$G$7:$WV$147,109,FALSE))</f>
        <v/>
      </c>
      <c r="F79" s="1701">
        <f t="shared" si="16"/>
        <v>2.95</v>
      </c>
      <c r="G79" s="1702" t="str">
        <f t="shared" si="17"/>
        <v/>
      </c>
      <c r="H79" s="1265"/>
      <c r="I79" s="2160">
        <f t="shared" si="19"/>
        <v>0</v>
      </c>
      <c r="J79" s="137"/>
      <c r="K79" s="2160" t="e">
        <f>(((dpSubject_Sales_NRA_1/1000)*12*F79*I79)*(1-dpSales_ParkingRatio_SubjectVacancy_1)*(1-dpSales_ParkingRatio_ExpenseRatio_1)/dpSubject_Sales_NRA_1-(('Improved Sales Summary Light'!$AF$26/1000)*12*E79*H79)*(1-R79)*(1-dpSales_ParkingRatio_ExpenseRatio_1)/'Improved Sales Summary Light'!$AF$26)/dpSales_ParkingRatio_OAR_1</f>
        <v>#VALUE!</v>
      </c>
      <c r="L79" s="137"/>
      <c r="M79" s="2129" t="str">
        <f>IF(ISERROR(K79/HLOOKUP($D79,'Improved Sales Adjustments 1'!$G$7:$WV$147,48,FALSE)),"",K79/HLOOKUP($D79,'Improved Sales Adjustments 1'!$G$7:$WV$147,48,FALSE))</f>
        <v/>
      </c>
      <c r="N79" s="101"/>
      <c r="O79" s="5"/>
      <c r="P79" s="6"/>
      <c r="Q79" s="11"/>
      <c r="R79" s="1263">
        <v>0.05</v>
      </c>
      <c r="S79" s="10"/>
      <c r="T79" s="10"/>
      <c r="U79" s="10"/>
      <c r="V79" s="10"/>
      <c r="W79" s="10"/>
      <c r="X79" s="10"/>
      <c r="Y79" s="10"/>
      <c r="Z79" s="10"/>
      <c r="AA79" s="10"/>
      <c r="AB79" s="10"/>
      <c r="AC79" s="10"/>
      <c r="AD79" s="10"/>
      <c r="AE79" s="10"/>
      <c r="AF79" s="143"/>
      <c r="AG79" s="32"/>
      <c r="AH79" s="32"/>
      <c r="AI79" s="32"/>
      <c r="AJ79" s="32"/>
      <c r="AK79" s="32"/>
      <c r="AL79" s="32"/>
      <c r="AM79" s="32"/>
      <c r="AN79" s="32"/>
      <c r="AO79" s="32"/>
      <c r="AP79" s="32"/>
      <c r="AQ79" s="32"/>
      <c r="AR79" s="32"/>
      <c r="AS79" s="32"/>
      <c r="AT79" s="32"/>
      <c r="AU79" s="32"/>
      <c r="AV79" s="32"/>
      <c r="AW79" s="32"/>
      <c r="AX79" s="32"/>
      <c r="AY79" s="32"/>
      <c r="AZ79" s="32"/>
      <c r="BA79" s="32"/>
      <c r="BB79" s="32"/>
      <c r="BC79" s="32"/>
      <c r="BD79" s="32"/>
      <c r="BE79" s="32"/>
      <c r="BF79" s="32"/>
      <c r="BG79" s="32"/>
      <c r="BH79" s="32"/>
      <c r="BI79" s="32"/>
      <c r="BJ79" s="32"/>
      <c r="BK79" s="32"/>
      <c r="BL79" s="32"/>
      <c r="BM79" s="32"/>
    </row>
    <row r="80" spans="1:65" ht="15" customHeight="1" x14ac:dyDescent="0.25">
      <c r="A80" s="957">
        <f t="shared" si="18"/>
        <v>0</v>
      </c>
      <c r="B80" s="4"/>
      <c r="C80" s="101"/>
      <c r="D80" s="137">
        <f t="shared" si="20"/>
        <v>10</v>
      </c>
      <c r="E80" s="1701" t="str">
        <f>IF(ISERROR(HLOOKUP($D80,'Improved Sales Adjustments 1'!$G$7:$WV$147,109,FALSE)),"",HLOOKUP($D80,'Improved Sales Adjustments 1'!$G$7:$WV$147,109,FALSE))</f>
        <v/>
      </c>
      <c r="F80" s="1701">
        <f t="shared" si="16"/>
        <v>2.95</v>
      </c>
      <c r="G80" s="1702" t="str">
        <f t="shared" si="17"/>
        <v/>
      </c>
      <c r="H80" s="1265"/>
      <c r="I80" s="2160">
        <f t="shared" si="19"/>
        <v>0</v>
      </c>
      <c r="J80" s="137"/>
      <c r="K80" s="2160" t="e">
        <f>(((dpSubject_Sales_NRA_1/1000)*12*F80*I80)*(1-dpSales_ParkingRatio_SubjectVacancy_1)*(1-dpSales_ParkingRatio_ExpenseRatio_1)/dpSubject_Sales_NRA_1-(('Improved Sales Summary Light'!$AF$27/1000)*12*E80*H80)*(1-R80)*(1-dpSales_ParkingRatio_ExpenseRatio_1)/'Improved Sales Summary Light'!$AF$27)/dpSales_ParkingRatio_OAR_1</f>
        <v>#VALUE!</v>
      </c>
      <c r="L80" s="137"/>
      <c r="M80" s="2129" t="str">
        <f>IF(ISERROR(K80/HLOOKUP($D80,'Improved Sales Adjustments 1'!$G$7:$WV$147,48,FALSE)),"",K80/HLOOKUP($D80,'Improved Sales Adjustments 1'!$G$7:$WV$147,48,FALSE))</f>
        <v/>
      </c>
      <c r="N80" s="101"/>
      <c r="O80" s="5"/>
      <c r="P80" s="6"/>
      <c r="Q80" s="11"/>
      <c r="R80" s="1263">
        <v>0.05</v>
      </c>
      <c r="S80" s="10"/>
      <c r="T80" s="10"/>
      <c r="U80" s="10"/>
      <c r="V80" s="10"/>
      <c r="W80" s="10"/>
      <c r="X80" s="10"/>
      <c r="Y80" s="10"/>
      <c r="Z80" s="10"/>
      <c r="AA80" s="10"/>
      <c r="AB80" s="10"/>
      <c r="AC80" s="10"/>
      <c r="AD80" s="10"/>
      <c r="AE80" s="10"/>
      <c r="AF80" s="143"/>
      <c r="AG80" s="32"/>
      <c r="AH80" s="32"/>
      <c r="AI80" s="32"/>
      <c r="AJ80" s="32"/>
      <c r="AK80" s="32"/>
      <c r="AL80" s="32"/>
      <c r="AM80" s="32"/>
      <c r="AN80" s="32"/>
      <c r="AO80" s="32"/>
      <c r="AP80" s="32"/>
      <c r="AQ80" s="32"/>
      <c r="AR80" s="32"/>
      <c r="AS80" s="32"/>
      <c r="AT80" s="32"/>
      <c r="AU80" s="32"/>
      <c r="AV80" s="32"/>
      <c r="AW80" s="32"/>
      <c r="AX80" s="32"/>
      <c r="AY80" s="32"/>
      <c r="AZ80" s="32"/>
      <c r="BA80" s="32"/>
      <c r="BB80" s="32"/>
      <c r="BC80" s="32"/>
      <c r="BD80" s="32"/>
      <c r="BE80" s="32"/>
      <c r="BF80" s="32"/>
      <c r="BG80" s="32"/>
      <c r="BH80" s="32"/>
      <c r="BI80" s="32"/>
      <c r="BJ80" s="32"/>
      <c r="BK80" s="32"/>
      <c r="BL80" s="32"/>
      <c r="BM80" s="32"/>
    </row>
    <row r="81" spans="1:65" ht="15" customHeight="1" x14ac:dyDescent="0.25">
      <c r="A81" s="957">
        <f t="shared" si="18"/>
        <v>0</v>
      </c>
      <c r="B81" s="4"/>
      <c r="C81" s="101"/>
      <c r="D81" s="137">
        <f t="shared" si="20"/>
        <v>11</v>
      </c>
      <c r="E81" s="1701" t="str">
        <f>IF(ISERROR(HLOOKUP($D81,'Improved Sales Adjustments 1'!$G$7:$WV$147,109,FALSE)),"",HLOOKUP($D81,'Improved Sales Adjustments 1'!$G$7:$WV$147,109,FALSE))</f>
        <v/>
      </c>
      <c r="F81" s="1701">
        <f t="shared" si="16"/>
        <v>2.95</v>
      </c>
      <c r="G81" s="1702" t="str">
        <f t="shared" si="17"/>
        <v/>
      </c>
      <c r="H81" s="1265"/>
      <c r="I81" s="2160">
        <f t="shared" si="19"/>
        <v>0</v>
      </c>
      <c r="J81" s="137"/>
      <c r="K81" s="2160" t="e">
        <f>(((dpSubject_Sales_NRA_1/1000)*12*F81*I81)*(1-dpSales_ParkingRatio_SubjectVacancy_1)*(1-dpSales_ParkingRatio_ExpenseRatio_1)/dpSubject_Sales_NRA_1-(('Improved Sales Summary Light'!$AF$28/1000)*12*E81*H81)*(1-R81)*(1-dpSales_ParkingRatio_ExpenseRatio_1)/'Improved Sales Summary Light'!$AF$28)/dpSales_ParkingRatio_OAR_1</f>
        <v>#VALUE!</v>
      </c>
      <c r="L81" s="137"/>
      <c r="M81" s="2129" t="str">
        <f>IF(ISERROR(K81/HLOOKUP($D81,'Improved Sales Adjustments 1'!$G$7:$WV$147,48,FALSE)),"",K81/HLOOKUP($D81,'Improved Sales Adjustments 1'!$G$7:$WV$147,48,FALSE))</f>
        <v/>
      </c>
      <c r="N81" s="101"/>
      <c r="O81" s="5"/>
      <c r="P81" s="6"/>
      <c r="Q81" s="11"/>
      <c r="R81" s="1263">
        <v>0.05</v>
      </c>
      <c r="S81" s="10"/>
      <c r="T81" s="10"/>
      <c r="U81" s="10"/>
      <c r="V81" s="10"/>
      <c r="W81" s="10"/>
      <c r="X81" s="10"/>
      <c r="Y81" s="10"/>
      <c r="Z81" s="10"/>
      <c r="AA81" s="10"/>
      <c r="AB81" s="10"/>
      <c r="AC81" s="10"/>
      <c r="AD81" s="10"/>
      <c r="AE81" s="10"/>
      <c r="AF81" s="143"/>
      <c r="AG81" s="32"/>
      <c r="AH81" s="32"/>
      <c r="AI81" s="32"/>
      <c r="AJ81" s="32"/>
      <c r="AK81" s="32"/>
      <c r="AL81" s="32"/>
      <c r="AM81" s="32"/>
      <c r="AN81" s="32"/>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row>
    <row r="82" spans="1:65" ht="15" customHeight="1" x14ac:dyDescent="0.25">
      <c r="A82" s="957">
        <f t="shared" si="18"/>
        <v>0</v>
      </c>
      <c r="B82" s="4"/>
      <c r="C82" s="101"/>
      <c r="D82" s="137">
        <f>D81+1</f>
        <v>12</v>
      </c>
      <c r="E82" s="1701" t="str">
        <f>IF(ISERROR(HLOOKUP($D82,'Improved Sales Adjustments 1'!$G$7:$WV$147,109,FALSE)),"",HLOOKUP($D82,'Improved Sales Adjustments 1'!$G$7:$WV$147,109,FALSE))</f>
        <v/>
      </c>
      <c r="F82" s="1701">
        <f t="shared" si="16"/>
        <v>2.95</v>
      </c>
      <c r="G82" s="1702" t="str">
        <f t="shared" si="17"/>
        <v/>
      </c>
      <c r="H82" s="1265"/>
      <c r="I82" s="2160">
        <f t="shared" si="19"/>
        <v>0</v>
      </c>
      <c r="J82" s="137"/>
      <c r="K82" s="2160" t="e">
        <f>(((dpSubject_Sales_NRA_1/1000)*12*F82*I82)*(1-dpSales_ParkingRatio_SubjectVacancy_1)*(1-dpSales_ParkingRatio_ExpenseRatio_1)/dpSubject_Sales_NRA_1-(('Improved Sales Summary Light'!$AF$29/1000)*12*E82*H82)*(1-R82)*(1-dpSales_ParkingRatio_ExpenseRatio_1)/'Improved Sales Summary Light'!$AF$29)/dpSales_ParkingRatio_OAR_1</f>
        <v>#VALUE!</v>
      </c>
      <c r="L82" s="137"/>
      <c r="M82" s="2129" t="str">
        <f>IF(ISERROR(K82/HLOOKUP($D82,'Improved Sales Adjustments 1'!$G$7:$WV$147,48,FALSE)),"",K82/HLOOKUP($D82,'Improved Sales Adjustments 1'!$G$7:$WV$147,48,FALSE))</f>
        <v/>
      </c>
      <c r="N82" s="101"/>
      <c r="O82" s="5"/>
      <c r="P82" s="6"/>
      <c r="Q82" s="11"/>
      <c r="R82" s="1263">
        <v>0.05</v>
      </c>
      <c r="S82" s="10"/>
      <c r="T82" s="10"/>
      <c r="U82" s="10"/>
      <c r="V82" s="10"/>
      <c r="W82" s="10"/>
      <c r="X82" s="10"/>
      <c r="Y82" s="10"/>
      <c r="Z82" s="10"/>
      <c r="AA82" s="10"/>
      <c r="AB82" s="10"/>
      <c r="AC82" s="10"/>
      <c r="AD82" s="10"/>
      <c r="AE82" s="10"/>
      <c r="AF82" s="143"/>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row>
    <row r="83" spans="1:65" ht="15" customHeight="1" x14ac:dyDescent="0.25">
      <c r="A83" s="957">
        <f t="shared" si="18"/>
        <v>0</v>
      </c>
      <c r="B83" s="4"/>
      <c r="C83" s="101"/>
      <c r="D83" s="137">
        <f>D82+1</f>
        <v>13</v>
      </c>
      <c r="E83" s="1701" t="str">
        <f>IF(ISERROR(HLOOKUP($D83,'Improved Sales Adjustments 1'!$G$7:$WV$147,109,FALSE)),"",HLOOKUP($D83,'Improved Sales Adjustments 1'!$G$7:$WV$147,109,FALSE))</f>
        <v/>
      </c>
      <c r="F83" s="1701">
        <f t="shared" si="16"/>
        <v>2.95</v>
      </c>
      <c r="G83" s="1702" t="str">
        <f t="shared" si="17"/>
        <v/>
      </c>
      <c r="H83" s="1265"/>
      <c r="I83" s="2160">
        <f t="shared" si="19"/>
        <v>0</v>
      </c>
      <c r="J83" s="137"/>
      <c r="K83" s="2160" t="e">
        <f>(((dpSubject_Sales_NRA_1/1000)*12*F83*I83)*(1-dpSales_ParkingRatio_SubjectVacancy_1)*(1-dpSales_ParkingRatio_ExpenseRatio_1)/dpSubject_Sales_NRA_1-(('Improved Sales Summary Light'!$AF$30/1000)*12*E83*H83)*(1-R83)*(1-dpSales_ParkingRatio_ExpenseRatio_1)/'Improved Sales Summary Light'!$AF$30)/dpSales_ParkingRatio_OAR_1</f>
        <v>#VALUE!</v>
      </c>
      <c r="L83" s="137"/>
      <c r="M83" s="2129" t="str">
        <f>IF(ISERROR(K83/HLOOKUP($D83,'Improved Sales Adjustments 1'!$G$7:$WV$147,48,FALSE)),"",K83/HLOOKUP($D83,'Improved Sales Adjustments 1'!$G$7:$WV$147,48,FALSE))</f>
        <v/>
      </c>
      <c r="N83" s="101"/>
      <c r="O83" s="5"/>
      <c r="P83" s="6"/>
      <c r="Q83" s="11"/>
      <c r="R83" s="1263">
        <v>0.05</v>
      </c>
      <c r="S83" s="10"/>
      <c r="T83" s="10"/>
      <c r="U83" s="10"/>
      <c r="V83" s="10"/>
      <c r="W83" s="10"/>
      <c r="X83" s="10"/>
      <c r="Y83" s="10"/>
      <c r="Z83" s="10"/>
      <c r="AA83" s="10"/>
      <c r="AB83" s="10"/>
      <c r="AC83" s="10"/>
      <c r="AD83" s="10"/>
      <c r="AE83" s="10"/>
      <c r="AF83" s="143"/>
      <c r="AG83" s="32"/>
      <c r="AH83" s="32"/>
      <c r="AI83" s="32"/>
      <c r="AJ83" s="32"/>
      <c r="AK83" s="32"/>
      <c r="AL83" s="32"/>
      <c r="AM83" s="32"/>
      <c r="AN83" s="32"/>
      <c r="AO83" s="32"/>
      <c r="AP83" s="32"/>
      <c r="AQ83" s="32"/>
      <c r="AR83" s="32"/>
      <c r="AS83" s="32"/>
      <c r="AT83" s="32"/>
      <c r="AU83" s="32"/>
      <c r="AV83" s="32"/>
      <c r="AW83" s="32"/>
      <c r="AX83" s="32"/>
      <c r="AY83" s="32"/>
      <c r="AZ83" s="32"/>
      <c r="BA83" s="32"/>
      <c r="BB83" s="32"/>
      <c r="BC83" s="32"/>
      <c r="BD83" s="32"/>
      <c r="BE83" s="32"/>
      <c r="BF83" s="32"/>
      <c r="BG83" s="32"/>
      <c r="BH83" s="32"/>
      <c r="BI83" s="32"/>
      <c r="BJ83" s="32"/>
      <c r="BK83" s="32"/>
      <c r="BL83" s="32"/>
      <c r="BM83" s="32"/>
    </row>
    <row r="84" spans="1:65" ht="15" customHeight="1" x14ac:dyDescent="0.25">
      <c r="A84" s="957">
        <f t="shared" si="18"/>
        <v>0</v>
      </c>
      <c r="B84" s="4"/>
      <c r="C84" s="101"/>
      <c r="D84" s="137">
        <f>D83+1</f>
        <v>14</v>
      </c>
      <c r="E84" s="1701" t="str">
        <f>IF(ISERROR(HLOOKUP($D84,'Improved Sales Adjustments 1'!$G$7:$WV$147,109,FALSE)),"",HLOOKUP($D84,'Improved Sales Adjustments 1'!$G$7:$WV$147,109,FALSE))</f>
        <v/>
      </c>
      <c r="F84" s="1701">
        <f t="shared" si="16"/>
        <v>2.95</v>
      </c>
      <c r="G84" s="1702" t="str">
        <f t="shared" si="17"/>
        <v/>
      </c>
      <c r="H84" s="1265"/>
      <c r="I84" s="2160">
        <f t="shared" si="19"/>
        <v>0</v>
      </c>
      <c r="J84" s="137"/>
      <c r="K84" s="2160" t="e">
        <f>(((dpSubject_Sales_NRA_1/1000)*12*F84*I84)*(1-dpSales_ParkingRatio_SubjectVacancy_1)*(1-dpSales_ParkingRatio_ExpenseRatio_1)/dpSubject_Sales_NRA_1-(('Improved Sales Summary Light'!$AF$31/1000)*12*E84*H84)*(1-R84)*(1-dpSales_ParkingRatio_ExpenseRatio_1)/'Improved Sales Summary Light'!$AF$31)/dpSales_ParkingRatio_OAR_1</f>
        <v>#VALUE!</v>
      </c>
      <c r="L84" s="137"/>
      <c r="M84" s="2129" t="str">
        <f>IF(ISERROR(K84/HLOOKUP($D84,'Improved Sales Adjustments 1'!$G$7:$WV$147,48,FALSE)),"",K84/HLOOKUP($D84,'Improved Sales Adjustments 1'!$G$7:$WV$147,48,FALSE))</f>
        <v/>
      </c>
      <c r="N84" s="101"/>
      <c r="O84" s="5"/>
      <c r="P84" s="6"/>
      <c r="Q84" s="11"/>
      <c r="R84" s="1263">
        <v>0.05</v>
      </c>
      <c r="S84" s="10"/>
      <c r="T84" s="10"/>
      <c r="U84" s="10"/>
      <c r="V84" s="10"/>
      <c r="W84" s="10"/>
      <c r="X84" s="10"/>
      <c r="Y84" s="10"/>
      <c r="Z84" s="10"/>
      <c r="AA84" s="10"/>
      <c r="AB84" s="10"/>
      <c r="AC84" s="10"/>
      <c r="AD84" s="10"/>
      <c r="AE84" s="10"/>
      <c r="AF84" s="143"/>
      <c r="AG84" s="32"/>
      <c r="AH84" s="32"/>
      <c r="AI84" s="32"/>
      <c r="AJ84" s="32"/>
      <c r="AK84" s="32"/>
      <c r="AL84" s="32"/>
      <c r="AM84" s="32"/>
      <c r="AN84" s="32"/>
      <c r="AO84" s="32"/>
      <c r="AP84" s="32"/>
      <c r="AQ84" s="32"/>
      <c r="AR84" s="32"/>
      <c r="AS84" s="32"/>
      <c r="AT84" s="32"/>
      <c r="AU84" s="32"/>
      <c r="AV84" s="32"/>
      <c r="AW84" s="32"/>
      <c r="AX84" s="32"/>
      <c r="AY84" s="32"/>
      <c r="AZ84" s="32"/>
      <c r="BA84" s="32"/>
      <c r="BB84" s="32"/>
      <c r="BC84" s="32"/>
      <c r="BD84" s="32"/>
      <c r="BE84" s="32"/>
      <c r="BF84" s="32"/>
      <c r="BG84" s="32"/>
      <c r="BH84" s="32"/>
      <c r="BI84" s="32"/>
      <c r="BJ84" s="32"/>
      <c r="BK84" s="32"/>
      <c r="BL84" s="32"/>
      <c r="BM84" s="32"/>
    </row>
    <row r="85" spans="1:65" ht="15" customHeight="1" thickBot="1" x14ac:dyDescent="0.3">
      <c r="A85" s="957">
        <f t="shared" si="18"/>
        <v>0</v>
      </c>
      <c r="B85" s="4"/>
      <c r="C85" s="101"/>
      <c r="D85" s="137">
        <f>D84+1</f>
        <v>15</v>
      </c>
      <c r="E85" s="1701" t="str">
        <f>IF(ISERROR(HLOOKUP($D85,'Improved Sales Adjustments 1'!$G$7:$WV$147,109,FALSE)),"",HLOOKUP($D85,'Improved Sales Adjustments 1'!$G$7:$WV$147,109,FALSE))</f>
        <v/>
      </c>
      <c r="F85" s="1701">
        <f t="shared" si="16"/>
        <v>2.95</v>
      </c>
      <c r="G85" s="1702" t="str">
        <f t="shared" si="17"/>
        <v/>
      </c>
      <c r="H85" s="1265"/>
      <c r="I85" s="2160">
        <f t="shared" si="19"/>
        <v>0</v>
      </c>
      <c r="J85" s="137"/>
      <c r="K85" s="2160" t="e">
        <f>(((dpSubject_Sales_NRA_1/1000)*12*F85*I85)*(1-dpSales_ParkingRatio_SubjectVacancy_1)*(1-dpSales_ParkingRatio_ExpenseRatio_1)/dpSubject_Sales_NRA_1-(('Improved Sales Summary Light'!$AF$32/1000)*12*E85*H85)*(1-R85)*(1-dpSales_ParkingRatio_ExpenseRatio_1)/'Improved Sales Summary Light'!$AF$32)/dpSales_ParkingRatio_OAR_1</f>
        <v>#VALUE!</v>
      </c>
      <c r="L85" s="137"/>
      <c r="M85" s="2129" t="str">
        <f>IF(ISERROR(K85/HLOOKUP($D85,'Improved Sales Adjustments 1'!$G$7:$WV$147,48,FALSE)),"",K85/HLOOKUP($D85,'Improved Sales Adjustments 1'!$G$7:$WV$147,48,FALSE))</f>
        <v/>
      </c>
      <c r="N85" s="101"/>
      <c r="O85" s="5"/>
      <c r="P85" s="6"/>
      <c r="Q85" s="11"/>
      <c r="R85" s="1264">
        <v>0.05</v>
      </c>
      <c r="S85" s="10"/>
      <c r="T85" s="10"/>
      <c r="U85" s="10"/>
      <c r="V85" s="10"/>
      <c r="W85" s="10"/>
      <c r="X85" s="10"/>
      <c r="Y85" s="10"/>
      <c r="Z85" s="10"/>
      <c r="AA85" s="10"/>
      <c r="AB85" s="10"/>
      <c r="AC85" s="10"/>
      <c r="AD85" s="10"/>
      <c r="AE85" s="10"/>
      <c r="AF85" s="143"/>
      <c r="AG85" s="32"/>
      <c r="AH85" s="32"/>
      <c r="AI85" s="32"/>
      <c r="AJ85" s="32"/>
      <c r="AK85" s="32"/>
      <c r="AL85" s="32"/>
      <c r="AM85" s="32"/>
      <c r="AN85" s="32"/>
      <c r="AO85" s="3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row>
    <row r="86" spans="1:65" ht="15" customHeight="1" thickBot="1" x14ac:dyDescent="0.3">
      <c r="A86" s="957">
        <v>1</v>
      </c>
      <c r="B86" s="8"/>
      <c r="C86" s="7"/>
      <c r="D86" s="741" t="s">
        <v>1608</v>
      </c>
      <c r="E86" s="133"/>
      <c r="F86" s="133"/>
      <c r="G86" s="133"/>
      <c r="H86" s="133"/>
      <c r="I86" s="133"/>
      <c r="J86" s="133"/>
      <c r="K86" s="133"/>
      <c r="L86" s="133"/>
      <c r="M86" s="133"/>
      <c r="N86" s="7"/>
      <c r="O86" s="7"/>
      <c r="P86" s="9"/>
      <c r="Q86" s="11"/>
      <c r="R86" s="10"/>
      <c r="S86" s="10"/>
      <c r="T86" s="10"/>
      <c r="U86" s="10"/>
      <c r="V86" s="10"/>
      <c r="W86" s="10"/>
      <c r="X86" s="10"/>
      <c r="Y86" s="10"/>
      <c r="Z86" s="10"/>
      <c r="AA86" s="10"/>
      <c r="AB86" s="10"/>
      <c r="AC86" s="10"/>
      <c r="AD86" s="10"/>
      <c r="AE86" s="10"/>
      <c r="AF86" s="143"/>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row>
    <row r="87" spans="1:65" ht="15" customHeight="1" thickBot="1" x14ac:dyDescent="0.3">
      <c r="A87" s="957">
        <v>1</v>
      </c>
      <c r="B87" s="32"/>
      <c r="C87" s="32"/>
      <c r="D87" s="96"/>
      <c r="E87" s="32"/>
      <c r="F87" s="32"/>
      <c r="G87" s="32"/>
      <c r="H87" s="32"/>
      <c r="I87" s="32"/>
      <c r="J87" s="32"/>
      <c r="K87" s="32"/>
      <c r="L87" s="32"/>
      <c r="M87" s="32"/>
      <c r="N87" s="32"/>
      <c r="O87" s="32"/>
      <c r="P87" s="32"/>
      <c r="Q87" s="32"/>
      <c r="R87" s="32"/>
      <c r="S87" s="32"/>
      <c r="T87" s="957">
        <f t="shared" ref="T87:AC87" si="21">IF(COUNTIF(Sales_EconomicLifeRange_1,T90)&gt;0=TRUE,1,0)</f>
        <v>0</v>
      </c>
      <c r="U87" s="957">
        <f t="shared" si="21"/>
        <v>0</v>
      </c>
      <c r="V87" s="957">
        <f t="shared" si="21"/>
        <v>0</v>
      </c>
      <c r="W87" s="957">
        <f t="shared" si="21"/>
        <v>0</v>
      </c>
      <c r="X87" s="957">
        <f t="shared" si="21"/>
        <v>0</v>
      </c>
      <c r="Y87" s="957">
        <f t="shared" si="21"/>
        <v>0</v>
      </c>
      <c r="Z87" s="957">
        <f t="shared" si="21"/>
        <v>0</v>
      </c>
      <c r="AA87" s="957">
        <f t="shared" si="21"/>
        <v>0</v>
      </c>
      <c r="AB87" s="957">
        <f t="shared" si="21"/>
        <v>0</v>
      </c>
      <c r="AC87" s="957">
        <f t="shared" si="21"/>
        <v>0</v>
      </c>
      <c r="AD87" s="32"/>
      <c r="AE87" s="32"/>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row>
    <row r="88" spans="1:65" ht="15" customHeight="1" x14ac:dyDescent="0.25">
      <c r="A88" s="957">
        <v>1</v>
      </c>
      <c r="B88" s="10"/>
      <c r="C88" s="10"/>
      <c r="D88" s="13"/>
      <c r="E88" s="10"/>
      <c r="F88" s="10"/>
      <c r="G88" s="10"/>
      <c r="H88" s="10"/>
      <c r="I88" s="10"/>
      <c r="J88" s="10"/>
      <c r="K88" s="10"/>
      <c r="L88" s="10"/>
      <c r="M88" s="10"/>
      <c r="N88" s="10"/>
      <c r="O88" s="10"/>
      <c r="P88" s="1"/>
      <c r="Q88" s="31"/>
      <c r="R88" s="2"/>
      <c r="S88" s="2"/>
      <c r="T88" s="442"/>
      <c r="U88" s="442"/>
      <c r="V88" s="2"/>
      <c r="W88" s="2"/>
      <c r="X88" s="2"/>
      <c r="Y88" s="2"/>
      <c r="Z88" s="2"/>
      <c r="AA88" s="2"/>
      <c r="AB88" s="2"/>
      <c r="AC88" s="2"/>
      <c r="AD88" s="2"/>
      <c r="AE88" s="3"/>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row>
    <row r="89" spans="1:65" ht="15.95" customHeight="1" x14ac:dyDescent="0.25">
      <c r="A89" s="957">
        <v>1</v>
      </c>
      <c r="B89" s="10"/>
      <c r="C89" s="10"/>
      <c r="D89" s="13"/>
      <c r="E89" s="10"/>
      <c r="F89" s="10"/>
      <c r="G89" s="10"/>
      <c r="H89" s="10"/>
      <c r="I89" s="11"/>
      <c r="J89" s="10"/>
      <c r="K89" s="10"/>
      <c r="L89" s="10"/>
      <c r="M89" s="10"/>
      <c r="N89" s="10"/>
      <c r="O89" s="10"/>
      <c r="P89" s="4"/>
      <c r="Q89" s="52"/>
      <c r="R89" s="505" t="str">
        <f>CONCATENATE("Marshall Valuation Service Depreciation Schedule - ",dpSales_ComponentNameB1," Component")</f>
        <v>Marshall Valuation Service Depreciation Schedule -  Component</v>
      </c>
      <c r="S89" s="43"/>
      <c r="T89" s="43"/>
      <c r="U89" s="52"/>
      <c r="V89" s="52"/>
      <c r="W89" s="52"/>
      <c r="X89" s="52"/>
      <c r="Y89" s="52"/>
      <c r="Z89" s="52"/>
      <c r="AA89" s="52"/>
      <c r="AB89" s="52"/>
      <c r="AC89" s="52"/>
      <c r="AD89" s="5"/>
      <c r="AE89" s="6"/>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row>
    <row r="90" spans="1:65" ht="15" customHeight="1" x14ac:dyDescent="0.25">
      <c r="A90" s="957">
        <v>1</v>
      </c>
      <c r="B90" s="10"/>
      <c r="C90" s="10"/>
      <c r="D90" s="13"/>
      <c r="E90" s="10"/>
      <c r="F90" s="10"/>
      <c r="G90" s="10"/>
      <c r="H90" s="10"/>
      <c r="I90" s="10"/>
      <c r="J90" s="10"/>
      <c r="K90" s="10"/>
      <c r="L90" s="10"/>
      <c r="M90" s="10"/>
      <c r="N90" s="10"/>
      <c r="O90" s="10"/>
      <c r="P90" s="4"/>
      <c r="Q90" s="12"/>
      <c r="R90" s="12"/>
      <c r="S90" s="150" t="s">
        <v>234</v>
      </c>
      <c r="T90" s="441">
        <v>70</v>
      </c>
      <c r="U90" s="441">
        <v>60</v>
      </c>
      <c r="V90" s="441">
        <v>55</v>
      </c>
      <c r="W90" s="441">
        <v>50</v>
      </c>
      <c r="X90" s="441">
        <v>45</v>
      </c>
      <c r="Y90" s="441">
        <v>40</v>
      </c>
      <c r="Z90" s="441">
        <v>35</v>
      </c>
      <c r="AA90" s="441">
        <v>30</v>
      </c>
      <c r="AB90" s="441">
        <v>25</v>
      </c>
      <c r="AC90" s="441">
        <v>20</v>
      </c>
      <c r="AD90" s="10"/>
      <c r="AE90" s="6"/>
      <c r="AF90" s="11"/>
      <c r="AG90" s="41"/>
      <c r="AH90" s="11"/>
      <c r="AI90" s="11"/>
      <c r="AJ90" s="11"/>
      <c r="AK90" s="11"/>
      <c r="AL90" s="11"/>
      <c r="AM90" s="11"/>
      <c r="AN90" s="11"/>
      <c r="AO90" s="11"/>
      <c r="AP90" s="11"/>
      <c r="AQ90" s="11"/>
      <c r="AR90" s="11"/>
      <c r="AS90" s="11"/>
      <c r="AT90" s="11"/>
      <c r="AU90" s="11"/>
      <c r="AV90" s="11"/>
      <c r="AW90" s="11"/>
      <c r="AX90" s="11"/>
      <c r="AY90" s="11"/>
      <c r="AZ90" s="11"/>
      <c r="BA90" s="11"/>
      <c r="BB90" s="11"/>
      <c r="BC90" s="41" t="s">
        <v>116</v>
      </c>
      <c r="BD90" s="41" t="s">
        <v>1176</v>
      </c>
      <c r="BE90" s="41" t="s">
        <v>1177</v>
      </c>
      <c r="BF90" s="41" t="s">
        <v>1178</v>
      </c>
      <c r="BG90" s="41" t="s">
        <v>1179</v>
      </c>
      <c r="BH90" s="41" t="s">
        <v>1180</v>
      </c>
      <c r="BI90" s="41" t="s">
        <v>1181</v>
      </c>
      <c r="BJ90" s="41" t="s">
        <v>1182</v>
      </c>
      <c r="BK90" s="41" t="s">
        <v>1183</v>
      </c>
      <c r="BL90" s="41" t="s">
        <v>1184</v>
      </c>
      <c r="BM90" s="41" t="s">
        <v>1185</v>
      </c>
    </row>
    <row r="91" spans="1:65" ht="15" customHeight="1" x14ac:dyDescent="0.25">
      <c r="A91" s="957">
        <v>1</v>
      </c>
      <c r="B91" s="10"/>
      <c r="C91" s="10"/>
      <c r="D91" s="13"/>
      <c r="E91" s="10"/>
      <c r="F91" s="10"/>
      <c r="G91" s="10"/>
      <c r="H91" s="10"/>
      <c r="I91" s="10"/>
      <c r="J91" s="10"/>
      <c r="K91" s="10"/>
      <c r="L91" s="10"/>
      <c r="M91" s="10"/>
      <c r="N91" s="10"/>
      <c r="O91" s="10"/>
      <c r="P91" s="4"/>
      <c r="Q91" s="12"/>
      <c r="R91" s="12" t="s">
        <v>105</v>
      </c>
      <c r="S91" s="150" t="s">
        <v>235</v>
      </c>
      <c r="T91" s="150" t="s">
        <v>238</v>
      </c>
      <c r="U91" s="150" t="s">
        <v>238</v>
      </c>
      <c r="V91" s="150" t="s">
        <v>238</v>
      </c>
      <c r="W91" s="150" t="s">
        <v>238</v>
      </c>
      <c r="X91" s="150" t="s">
        <v>238</v>
      </c>
      <c r="Y91" s="150" t="s">
        <v>238</v>
      </c>
      <c r="Z91" s="150" t="s">
        <v>238</v>
      </c>
      <c r="AA91" s="150" t="s">
        <v>238</v>
      </c>
      <c r="AB91" s="150" t="s">
        <v>238</v>
      </c>
      <c r="AC91" s="150" t="s">
        <v>238</v>
      </c>
      <c r="AD91" s="10"/>
      <c r="AE91" s="6"/>
      <c r="AF91" s="11"/>
      <c r="AG91" s="41" t="s">
        <v>116</v>
      </c>
      <c r="AH91" s="41">
        <v>1</v>
      </c>
      <c r="AI91" s="41">
        <f>AH91+1</f>
        <v>2</v>
      </c>
      <c r="AJ91" s="41">
        <f t="shared" ref="AJ91:AQ91" si="22">AI91+1</f>
        <v>3</v>
      </c>
      <c r="AK91" s="41">
        <f t="shared" si="22"/>
        <v>4</v>
      </c>
      <c r="AL91" s="41">
        <f t="shared" si="22"/>
        <v>5</v>
      </c>
      <c r="AM91" s="41">
        <f t="shared" si="22"/>
        <v>6</v>
      </c>
      <c r="AN91" s="41">
        <f t="shared" si="22"/>
        <v>7</v>
      </c>
      <c r="AO91" s="41">
        <f t="shared" si="22"/>
        <v>8</v>
      </c>
      <c r="AP91" s="41">
        <f t="shared" si="22"/>
        <v>9</v>
      </c>
      <c r="AQ91" s="41">
        <f t="shared" si="22"/>
        <v>10</v>
      </c>
      <c r="AR91" s="41" t="str">
        <f t="shared" ref="AR91:BB91" si="23">AG91</f>
        <v>Subject</v>
      </c>
      <c r="AS91" s="41">
        <f t="shared" si="23"/>
        <v>1</v>
      </c>
      <c r="AT91" s="41">
        <f t="shared" si="23"/>
        <v>2</v>
      </c>
      <c r="AU91" s="41">
        <f t="shared" si="23"/>
        <v>3</v>
      </c>
      <c r="AV91" s="41">
        <f t="shared" si="23"/>
        <v>4</v>
      </c>
      <c r="AW91" s="41">
        <f t="shared" si="23"/>
        <v>5</v>
      </c>
      <c r="AX91" s="41">
        <f t="shared" si="23"/>
        <v>6</v>
      </c>
      <c r="AY91" s="41">
        <f t="shared" si="23"/>
        <v>7</v>
      </c>
      <c r="AZ91" s="41">
        <f t="shared" si="23"/>
        <v>8</v>
      </c>
      <c r="BA91" s="41">
        <f t="shared" si="23"/>
        <v>9</v>
      </c>
      <c r="BB91" s="41">
        <f t="shared" si="23"/>
        <v>10</v>
      </c>
      <c r="BC91" s="41" t="s">
        <v>116</v>
      </c>
      <c r="BD91" s="41">
        <f t="shared" ref="BD91:BM91" si="24">AS91</f>
        <v>1</v>
      </c>
      <c r="BE91" s="41">
        <f t="shared" si="24"/>
        <v>2</v>
      </c>
      <c r="BF91" s="41">
        <f t="shared" si="24"/>
        <v>3</v>
      </c>
      <c r="BG91" s="41">
        <f t="shared" si="24"/>
        <v>4</v>
      </c>
      <c r="BH91" s="41">
        <f t="shared" si="24"/>
        <v>5</v>
      </c>
      <c r="BI91" s="41">
        <f t="shared" si="24"/>
        <v>6</v>
      </c>
      <c r="BJ91" s="41">
        <f t="shared" si="24"/>
        <v>7</v>
      </c>
      <c r="BK91" s="41">
        <f t="shared" si="24"/>
        <v>8</v>
      </c>
      <c r="BL91" s="41">
        <f t="shared" si="24"/>
        <v>9</v>
      </c>
      <c r="BM91" s="41">
        <f t="shared" si="24"/>
        <v>10</v>
      </c>
    </row>
    <row r="92" spans="1:65" ht="15" customHeight="1" x14ac:dyDescent="0.25">
      <c r="A92" s="957">
        <f t="shared" ref="A92:A123" si="25">IF(AND(MIN(Sales_EffectiveAgeRange_1,Sales_AdjGrid_AgeEffective_1)&lt;=S92,MAX(Sales_EffectiveAgeRange_1,Sales_AdjGrid_AgeEffective_1)&gt;=S92),1,0)</f>
        <v>1</v>
      </c>
      <c r="B92" s="10"/>
      <c r="C92" s="10"/>
      <c r="D92" s="13"/>
      <c r="E92" s="10"/>
      <c r="F92" s="10"/>
      <c r="G92" s="10"/>
      <c r="H92" s="10"/>
      <c r="I92" s="10"/>
      <c r="J92" s="10"/>
      <c r="K92" s="10"/>
      <c r="L92" s="10"/>
      <c r="M92" s="10"/>
      <c r="N92" s="10"/>
      <c r="O92" s="10"/>
      <c r="P92" s="4"/>
      <c r="Q92" s="1204"/>
      <c r="R92" s="101" t="str">
        <f>CONCATENATE(BC92,BD92,BE92,BF92,BG92,BH92,BI92,BJ92,BK92,BL92,BM92)</f>
        <v>Subject</v>
      </c>
      <c r="S92" s="137">
        <v>0</v>
      </c>
      <c r="T92" s="2129">
        <v>0</v>
      </c>
      <c r="U92" s="2130">
        <v>0</v>
      </c>
      <c r="V92" s="2130">
        <v>0</v>
      </c>
      <c r="W92" s="2130">
        <v>0</v>
      </c>
      <c r="X92" s="2130">
        <v>0</v>
      </c>
      <c r="Y92" s="2130">
        <v>0</v>
      </c>
      <c r="Z92" s="2130">
        <v>0</v>
      </c>
      <c r="AA92" s="2130">
        <v>0</v>
      </c>
      <c r="AB92" s="2130">
        <v>0</v>
      </c>
      <c r="AC92" s="2130">
        <v>0</v>
      </c>
      <c r="AD92" s="101"/>
      <c r="AE92" s="6"/>
      <c r="AF92" s="11"/>
      <c r="AG92" s="41">
        <f t="shared" ref="AG92:AG123" si="26">IF(S92=Sales_AdjGrid_AgeEffective_1,1,0)</f>
        <v>1</v>
      </c>
      <c r="AH92" s="41">
        <f>IF(ISERROR(HLOOKUP(AH$91,'Improved Sales Adjustments 1'!$G$7:$WV$147,68,FALSE)),0,IF(HLOOKUP(AH$91,'Improved Sales Adjustments 1'!$G$7:$WV$147,68,FALSE)="",0,IF($S92=HLOOKUP(AH$91,'Improved Sales Adjustments 1'!$G$7:$WV$147,68,FALSE),1,0)))</f>
        <v>0</v>
      </c>
      <c r="AI92" s="41">
        <f>IF(ISERROR(HLOOKUP(AI$91,'Improved Sales Adjustments 1'!$G$7:$WV$147,68,FALSE)),0,IF(HLOOKUP(AI$91,'Improved Sales Adjustments 1'!$G$7:$WV$147,68,FALSE)="",0,IF($S92=HLOOKUP(AI$91,'Improved Sales Adjustments 1'!$G$7:$WV$147,68,FALSE),1,0)))</f>
        <v>0</v>
      </c>
      <c r="AJ92" s="41">
        <f>IF(ISERROR(HLOOKUP(AJ$91,'Improved Sales Adjustments 1'!$G$7:$WV$147,68,FALSE)),0,IF(HLOOKUP(AJ$91,'Improved Sales Adjustments 1'!$G$7:$WV$147,68,FALSE)="",0,IF($S92=HLOOKUP(AJ$91,'Improved Sales Adjustments 1'!$G$7:$WV$147,68,FALSE),1,0)))</f>
        <v>0</v>
      </c>
      <c r="AK92" s="41">
        <f>IF(ISERROR(HLOOKUP(AK$91,'Improved Sales Adjustments 1'!$G$7:$WV$147,68,FALSE)),0,IF(HLOOKUP(AK$91,'Improved Sales Adjustments 1'!$G$7:$WV$147,68,FALSE)="",0,IF($S92=HLOOKUP(AK$91,'Improved Sales Adjustments 1'!$G$7:$WV$147,68,FALSE),1,0)))</f>
        <v>0</v>
      </c>
      <c r="AL92" s="41">
        <f>IF(ISERROR(HLOOKUP(AL$91,'Improved Sales Adjustments 1'!$G$7:$WV$147,68,FALSE)),0,IF(HLOOKUP(AL$91,'Improved Sales Adjustments 1'!$G$7:$WV$147,68,FALSE)="",0,IF($S92=HLOOKUP(AL$91,'Improved Sales Adjustments 1'!$G$7:$WV$147,68,FALSE),1,0)))</f>
        <v>0</v>
      </c>
      <c r="AM92" s="41">
        <f>IF(ISERROR(HLOOKUP(AM$91,'Improved Sales Adjustments 1'!$G$7:$WV$147,68,FALSE)),0,IF(HLOOKUP(AM$91,'Improved Sales Adjustments 1'!$G$7:$WV$147,68,FALSE)="",0,IF($S92=HLOOKUP(AM$91,'Improved Sales Adjustments 1'!$G$7:$WV$147,68,FALSE),1,0)))</f>
        <v>0</v>
      </c>
      <c r="AN92" s="41">
        <f>IF(ISERROR(HLOOKUP(AN$91,'Improved Sales Adjustments 1'!$G$7:$WV$147,68,FALSE)),0,IF(HLOOKUP(AN$91,'Improved Sales Adjustments 1'!$G$7:$WV$147,68,FALSE)="",0,IF($S92=HLOOKUP(AN$91,'Improved Sales Adjustments 1'!$G$7:$WV$147,68,FALSE),1,0)))</f>
        <v>0</v>
      </c>
      <c r="AO92" s="41">
        <f>IF(ISERROR(HLOOKUP(AO$91,'Improved Sales Adjustments 1'!$G$7:$WV$147,68,FALSE)),0,IF(HLOOKUP(AO$91,'Improved Sales Adjustments 1'!$G$7:$WV$147,68,FALSE)="",0,IF($S92=HLOOKUP(AO$91,'Improved Sales Adjustments 1'!$G$7:$WV$147,68,FALSE),1,0)))</f>
        <v>0</v>
      </c>
      <c r="AP92" s="41">
        <f>IF(ISERROR(HLOOKUP(AP$91,'Improved Sales Adjustments 1'!$G$7:$WV$147,68,FALSE)),0,IF(HLOOKUP(AP$91,'Improved Sales Adjustments 1'!$G$7:$WV$147,68,FALSE)="",0,IF($S92=HLOOKUP(AP$91,'Improved Sales Adjustments 1'!$G$7:$WV$147,68,FALSE),1,0)))</f>
        <v>0</v>
      </c>
      <c r="AQ92" s="41">
        <f>IF(ISERROR(HLOOKUP(AQ$91,'Improved Sales Adjustments 1'!$G$7:$WV$147,68,FALSE)),0,IF(HLOOKUP(AQ$91,'Improved Sales Adjustments 1'!$G$7:$WV$147,68,FALSE)="",0,IF($S92=HLOOKUP(AQ$91,'Improved Sales Adjustments 1'!$G$7:$WV$147,68,FALSE),1,0)))</f>
        <v>0</v>
      </c>
      <c r="AR92" s="41">
        <f>SUM($AG92:AG92)</f>
        <v>1</v>
      </c>
      <c r="AS92" s="41">
        <f>SUM($AG92:AH92)</f>
        <v>1</v>
      </c>
      <c r="AT92" s="41">
        <f>SUM($AG92:AI92)</f>
        <v>1</v>
      </c>
      <c r="AU92" s="41">
        <f>SUM($AG92:AJ92)</f>
        <v>1</v>
      </c>
      <c r="AV92" s="41">
        <f>SUM($AG92:AK92)</f>
        <v>1</v>
      </c>
      <c r="AW92" s="41">
        <f>SUM($AG92:AL92)</f>
        <v>1</v>
      </c>
      <c r="AX92" s="41">
        <f>SUM($AG92:AM92)</f>
        <v>1</v>
      </c>
      <c r="AY92" s="41">
        <f>SUM($AG92:AN92)</f>
        <v>1</v>
      </c>
      <c r="AZ92" s="41">
        <f>SUM($AG92:AO92)</f>
        <v>1</v>
      </c>
      <c r="BA92" s="41">
        <f>SUM($AG92:AP92)</f>
        <v>1</v>
      </c>
      <c r="BB92" s="41">
        <f>SUM($AG92:AQ92)</f>
        <v>1</v>
      </c>
      <c r="BC92" s="41" t="str">
        <f>IF(AG92=1,IF(AND(AR92=$BB92,$BB92&gt;1),IF($BB92&lt;3,CONCATENATE(" and ",BC$90),CONCATENATE("and ",BC$90)),IF($BB92&lt;3,BC$90,CONCATENATE(BC$90,", "))),"")</f>
        <v>Subject</v>
      </c>
      <c r="BD92" s="41" t="str">
        <f t="shared" ref="BD92:BM107" si="27">IF(AH92=1,IF(AND(AS92=$BB92,$BB92&gt;1),IF($BB92&lt;3,CONCATENATE(" and ",BD$90),CONCATENATE("and ",BD$90)),IF($BB92&lt;3,BD$90,CONCATENATE(BD$90,", "))),"")</f>
        <v/>
      </c>
      <c r="BE92" s="41" t="str">
        <f t="shared" si="27"/>
        <v/>
      </c>
      <c r="BF92" s="41" t="str">
        <f t="shared" si="27"/>
        <v/>
      </c>
      <c r="BG92" s="41" t="str">
        <f t="shared" si="27"/>
        <v/>
      </c>
      <c r="BH92" s="41" t="str">
        <f t="shared" si="27"/>
        <v/>
      </c>
      <c r="BI92" s="41" t="str">
        <f t="shared" si="27"/>
        <v/>
      </c>
      <c r="BJ92" s="41" t="str">
        <f t="shared" si="27"/>
        <v/>
      </c>
      <c r="BK92" s="41" t="str">
        <f t="shared" si="27"/>
        <v/>
      </c>
      <c r="BL92" s="41" t="str">
        <f t="shared" si="27"/>
        <v/>
      </c>
      <c r="BM92" s="41" t="str">
        <f t="shared" si="27"/>
        <v/>
      </c>
    </row>
    <row r="93" spans="1:65" ht="15" customHeight="1" x14ac:dyDescent="0.25">
      <c r="A93" s="957">
        <f t="shared" si="25"/>
        <v>0</v>
      </c>
      <c r="B93" s="32"/>
      <c r="C93" s="32"/>
      <c r="D93" s="96"/>
      <c r="E93" s="10"/>
      <c r="F93" s="10"/>
      <c r="G93" s="10"/>
      <c r="H93" s="10"/>
      <c r="I93" s="10"/>
      <c r="J93" s="10"/>
      <c r="K93" s="10"/>
      <c r="L93" s="10"/>
      <c r="M93" s="10"/>
      <c r="N93" s="10"/>
      <c r="O93" s="10"/>
      <c r="P93" s="4"/>
      <c r="Q93" s="1204"/>
      <c r="R93" s="101" t="str">
        <f t="shared" ref="R93:R156" si="28">CONCATENATE(BC93,BD93,BE93,BF93,BG93,BH93,BI93,BJ93,BK93,BL93,BM93)</f>
        <v/>
      </c>
      <c r="S93" s="137">
        <v>1</v>
      </c>
      <c r="T93" s="2129">
        <v>0</v>
      </c>
      <c r="U93" s="2130">
        <v>0</v>
      </c>
      <c r="V93" s="2130">
        <v>0</v>
      </c>
      <c r="W93" s="2130">
        <v>0</v>
      </c>
      <c r="X93" s="2130">
        <v>0.01</v>
      </c>
      <c r="Y93" s="2130">
        <v>0.01</v>
      </c>
      <c r="Z93" s="2130">
        <v>0.01</v>
      </c>
      <c r="AA93" s="2130">
        <v>0.02</v>
      </c>
      <c r="AB93" s="2130">
        <v>0.02</v>
      </c>
      <c r="AC93" s="2130">
        <v>0.03</v>
      </c>
      <c r="AD93" s="101"/>
      <c r="AE93" s="6"/>
      <c r="AF93" s="11"/>
      <c r="AG93" s="41">
        <f t="shared" si="26"/>
        <v>0</v>
      </c>
      <c r="AH93" s="41">
        <f>IF(ISERROR(HLOOKUP(AH$91,'Improved Sales Adjustments 1'!$G$7:$WV$147,68,FALSE)),0,IF(HLOOKUP(AH$91,'Improved Sales Adjustments 1'!$G$7:$WV$147,68,FALSE)="",0,IF($S93=HLOOKUP(AH$91,'Improved Sales Adjustments 1'!$G$7:$WV$147,68,FALSE),1,0)))</f>
        <v>0</v>
      </c>
      <c r="AI93" s="41">
        <f>IF(ISERROR(HLOOKUP(AI$91,'Improved Sales Adjustments 1'!$G$7:$WV$147,68,FALSE)),0,IF(HLOOKUP(AI$91,'Improved Sales Adjustments 1'!$G$7:$WV$147,68,FALSE)="",0,IF($S93=HLOOKUP(AI$91,'Improved Sales Adjustments 1'!$G$7:$WV$147,68,FALSE),1,0)))</f>
        <v>0</v>
      </c>
      <c r="AJ93" s="41">
        <f>IF(ISERROR(HLOOKUP(AJ$91,'Improved Sales Adjustments 1'!$G$7:$WV$147,68,FALSE)),0,IF(HLOOKUP(AJ$91,'Improved Sales Adjustments 1'!$G$7:$WV$147,68,FALSE)="",0,IF($S93=HLOOKUP(AJ$91,'Improved Sales Adjustments 1'!$G$7:$WV$147,68,FALSE),1,0)))</f>
        <v>0</v>
      </c>
      <c r="AK93" s="41">
        <f>IF(ISERROR(HLOOKUP(AK$91,'Improved Sales Adjustments 1'!$G$7:$WV$147,68,FALSE)),0,IF(HLOOKUP(AK$91,'Improved Sales Adjustments 1'!$G$7:$WV$147,68,FALSE)="",0,IF($S93=HLOOKUP(AK$91,'Improved Sales Adjustments 1'!$G$7:$WV$147,68,FALSE),1,0)))</f>
        <v>0</v>
      </c>
      <c r="AL93" s="41">
        <f>IF(ISERROR(HLOOKUP(AL$91,'Improved Sales Adjustments 1'!$G$7:$WV$147,68,FALSE)),0,IF(HLOOKUP(AL$91,'Improved Sales Adjustments 1'!$G$7:$WV$147,68,FALSE)="",0,IF($S93=HLOOKUP(AL$91,'Improved Sales Adjustments 1'!$G$7:$WV$147,68,FALSE),1,0)))</f>
        <v>0</v>
      </c>
      <c r="AM93" s="41">
        <f>IF(ISERROR(HLOOKUP(AM$91,'Improved Sales Adjustments 1'!$G$7:$WV$147,68,FALSE)),0,IF(HLOOKUP(AM$91,'Improved Sales Adjustments 1'!$G$7:$WV$147,68,FALSE)="",0,IF($S93=HLOOKUP(AM$91,'Improved Sales Adjustments 1'!$G$7:$WV$147,68,FALSE),1,0)))</f>
        <v>0</v>
      </c>
      <c r="AN93" s="41">
        <f>IF(ISERROR(HLOOKUP(AN$91,'Improved Sales Adjustments 1'!$G$7:$WV$147,68,FALSE)),0,IF(HLOOKUP(AN$91,'Improved Sales Adjustments 1'!$G$7:$WV$147,68,FALSE)="",0,IF($S93=HLOOKUP(AN$91,'Improved Sales Adjustments 1'!$G$7:$WV$147,68,FALSE),1,0)))</f>
        <v>0</v>
      </c>
      <c r="AO93" s="41">
        <f>IF(ISERROR(HLOOKUP(AO$91,'Improved Sales Adjustments 1'!$G$7:$WV$147,68,FALSE)),0,IF(HLOOKUP(AO$91,'Improved Sales Adjustments 1'!$G$7:$WV$147,68,FALSE)="",0,IF($S93=HLOOKUP(AO$91,'Improved Sales Adjustments 1'!$G$7:$WV$147,68,FALSE),1,0)))</f>
        <v>0</v>
      </c>
      <c r="AP93" s="41">
        <f>IF(ISERROR(HLOOKUP(AP$91,'Improved Sales Adjustments 1'!$G$7:$WV$147,68,FALSE)),0,IF(HLOOKUP(AP$91,'Improved Sales Adjustments 1'!$G$7:$WV$147,68,FALSE)="",0,IF($S93=HLOOKUP(AP$91,'Improved Sales Adjustments 1'!$G$7:$WV$147,68,FALSE),1,0)))</f>
        <v>0</v>
      </c>
      <c r="AQ93" s="41">
        <f>IF(ISERROR(HLOOKUP(AQ$91,'Improved Sales Adjustments 1'!$G$7:$WV$147,68,FALSE)),0,IF(HLOOKUP(AQ$91,'Improved Sales Adjustments 1'!$G$7:$WV$147,68,FALSE)="",0,IF($S93=HLOOKUP(AQ$91,'Improved Sales Adjustments 1'!$G$7:$WV$147,68,FALSE),1,0)))</f>
        <v>0</v>
      </c>
      <c r="AR93" s="41">
        <f>SUM($AG93:AG93)</f>
        <v>0</v>
      </c>
      <c r="AS93" s="41">
        <f>SUM($AG93:AH93)</f>
        <v>0</v>
      </c>
      <c r="AT93" s="41">
        <f>SUM($AG93:AI93)</f>
        <v>0</v>
      </c>
      <c r="AU93" s="41">
        <f>SUM($AG93:AJ93)</f>
        <v>0</v>
      </c>
      <c r="AV93" s="41">
        <f>SUM($AG93:AK93)</f>
        <v>0</v>
      </c>
      <c r="AW93" s="41">
        <f>SUM($AG93:AL93)</f>
        <v>0</v>
      </c>
      <c r="AX93" s="41">
        <f>SUM($AG93:AM93)</f>
        <v>0</v>
      </c>
      <c r="AY93" s="41">
        <f>SUM($AG93:AN93)</f>
        <v>0</v>
      </c>
      <c r="AZ93" s="41">
        <f>SUM($AG93:AO93)</f>
        <v>0</v>
      </c>
      <c r="BA93" s="41">
        <f>SUM($AG93:AP93)</f>
        <v>0</v>
      </c>
      <c r="BB93" s="41">
        <f>SUM($AG93:AQ93)</f>
        <v>0</v>
      </c>
      <c r="BC93" s="41" t="str">
        <f t="shared" ref="BC93:BM129" si="29">IF(AG93=1,IF(AND(AR93=$BB93,$BB93&gt;1),IF($BB93&lt;3,CONCATENATE(" and ",BC$90),CONCATENATE("and ",BC$90)),IF($BB93&lt;3,BC$90,CONCATENATE(BC$90,", "))),"")</f>
        <v/>
      </c>
      <c r="BD93" s="41" t="str">
        <f t="shared" si="27"/>
        <v/>
      </c>
      <c r="BE93" s="41" t="str">
        <f t="shared" si="27"/>
        <v/>
      </c>
      <c r="BF93" s="41" t="str">
        <f t="shared" si="27"/>
        <v/>
      </c>
      <c r="BG93" s="41" t="str">
        <f t="shared" si="27"/>
        <v/>
      </c>
      <c r="BH93" s="41" t="str">
        <f t="shared" si="27"/>
        <v/>
      </c>
      <c r="BI93" s="41" t="str">
        <f t="shared" si="27"/>
        <v/>
      </c>
      <c r="BJ93" s="41" t="str">
        <f t="shared" si="27"/>
        <v/>
      </c>
      <c r="BK93" s="41" t="str">
        <f t="shared" si="27"/>
        <v/>
      </c>
      <c r="BL93" s="41" t="str">
        <f t="shared" si="27"/>
        <v/>
      </c>
      <c r="BM93" s="41" t="str">
        <f t="shared" si="27"/>
        <v/>
      </c>
    </row>
    <row r="94" spans="1:65" ht="15" customHeight="1" x14ac:dyDescent="0.25">
      <c r="A94" s="957">
        <f t="shared" si="25"/>
        <v>0</v>
      </c>
      <c r="B94" s="10"/>
      <c r="C94" s="10"/>
      <c r="D94" s="13"/>
      <c r="E94" s="10"/>
      <c r="F94" s="10"/>
      <c r="G94" s="10"/>
      <c r="H94" s="10"/>
      <c r="I94" s="10"/>
      <c r="J94" s="10"/>
      <c r="K94" s="10"/>
      <c r="L94" s="10"/>
      <c r="M94" s="10"/>
      <c r="N94" s="10"/>
      <c r="O94" s="10"/>
      <c r="P94" s="4"/>
      <c r="Q94" s="1204"/>
      <c r="R94" s="101" t="str">
        <f t="shared" si="28"/>
        <v/>
      </c>
      <c r="S94" s="137">
        <f>S93+1</f>
        <v>2</v>
      </c>
      <c r="T94" s="2129">
        <v>0</v>
      </c>
      <c r="U94" s="2130">
        <v>0.01</v>
      </c>
      <c r="V94" s="2130">
        <v>0.01</v>
      </c>
      <c r="W94" s="2130">
        <v>0.01</v>
      </c>
      <c r="X94" s="2130">
        <v>0.01</v>
      </c>
      <c r="Y94" s="2130">
        <v>0.02</v>
      </c>
      <c r="Z94" s="2130">
        <v>0.02</v>
      </c>
      <c r="AA94" s="2130">
        <v>0.03</v>
      </c>
      <c r="AB94" s="2130">
        <v>0.05</v>
      </c>
      <c r="AC94" s="2130">
        <v>7.0000000000000007E-2</v>
      </c>
      <c r="AD94" s="101"/>
      <c r="AE94" s="6"/>
      <c r="AF94" s="11"/>
      <c r="AG94" s="41">
        <f t="shared" si="26"/>
        <v>0</v>
      </c>
      <c r="AH94" s="41">
        <f>IF(ISERROR(HLOOKUP(AH$91,'Improved Sales Adjustments 1'!$G$7:$WV$147,68,FALSE)),0,IF(HLOOKUP(AH$91,'Improved Sales Adjustments 1'!$G$7:$WV$147,68,FALSE)="",0,IF($S94=HLOOKUP(AH$91,'Improved Sales Adjustments 1'!$G$7:$WV$147,68,FALSE),1,0)))</f>
        <v>0</v>
      </c>
      <c r="AI94" s="41">
        <f>IF(ISERROR(HLOOKUP(AI$91,'Improved Sales Adjustments 1'!$G$7:$WV$147,68,FALSE)),0,IF(HLOOKUP(AI$91,'Improved Sales Adjustments 1'!$G$7:$WV$147,68,FALSE)="",0,IF($S94=HLOOKUP(AI$91,'Improved Sales Adjustments 1'!$G$7:$WV$147,68,FALSE),1,0)))</f>
        <v>0</v>
      </c>
      <c r="AJ94" s="41">
        <f>IF(ISERROR(HLOOKUP(AJ$91,'Improved Sales Adjustments 1'!$G$7:$WV$147,68,FALSE)),0,IF(HLOOKUP(AJ$91,'Improved Sales Adjustments 1'!$G$7:$WV$147,68,FALSE)="",0,IF($S94=HLOOKUP(AJ$91,'Improved Sales Adjustments 1'!$G$7:$WV$147,68,FALSE),1,0)))</f>
        <v>0</v>
      </c>
      <c r="AK94" s="41">
        <f>IF(ISERROR(HLOOKUP(AK$91,'Improved Sales Adjustments 1'!$G$7:$WV$147,68,FALSE)),0,IF(HLOOKUP(AK$91,'Improved Sales Adjustments 1'!$G$7:$WV$147,68,FALSE)="",0,IF($S94=HLOOKUP(AK$91,'Improved Sales Adjustments 1'!$G$7:$WV$147,68,FALSE),1,0)))</f>
        <v>0</v>
      </c>
      <c r="AL94" s="41">
        <f>IF(ISERROR(HLOOKUP(AL$91,'Improved Sales Adjustments 1'!$G$7:$WV$147,68,FALSE)),0,IF(HLOOKUP(AL$91,'Improved Sales Adjustments 1'!$G$7:$WV$147,68,FALSE)="",0,IF($S94=HLOOKUP(AL$91,'Improved Sales Adjustments 1'!$G$7:$WV$147,68,FALSE),1,0)))</f>
        <v>0</v>
      </c>
      <c r="AM94" s="41">
        <f>IF(ISERROR(HLOOKUP(AM$91,'Improved Sales Adjustments 1'!$G$7:$WV$147,68,FALSE)),0,IF(HLOOKUP(AM$91,'Improved Sales Adjustments 1'!$G$7:$WV$147,68,FALSE)="",0,IF($S94=HLOOKUP(AM$91,'Improved Sales Adjustments 1'!$G$7:$WV$147,68,FALSE),1,0)))</f>
        <v>0</v>
      </c>
      <c r="AN94" s="41">
        <f>IF(ISERROR(HLOOKUP(AN$91,'Improved Sales Adjustments 1'!$G$7:$WV$147,68,FALSE)),0,IF(HLOOKUP(AN$91,'Improved Sales Adjustments 1'!$G$7:$WV$147,68,FALSE)="",0,IF($S94=HLOOKUP(AN$91,'Improved Sales Adjustments 1'!$G$7:$WV$147,68,FALSE),1,0)))</f>
        <v>0</v>
      </c>
      <c r="AO94" s="41">
        <f>IF(ISERROR(HLOOKUP(AO$91,'Improved Sales Adjustments 1'!$G$7:$WV$147,68,FALSE)),0,IF(HLOOKUP(AO$91,'Improved Sales Adjustments 1'!$G$7:$WV$147,68,FALSE)="",0,IF($S94=HLOOKUP(AO$91,'Improved Sales Adjustments 1'!$G$7:$WV$147,68,FALSE),1,0)))</f>
        <v>0</v>
      </c>
      <c r="AP94" s="41">
        <f>IF(ISERROR(HLOOKUP(AP$91,'Improved Sales Adjustments 1'!$G$7:$WV$147,68,FALSE)),0,IF(HLOOKUP(AP$91,'Improved Sales Adjustments 1'!$G$7:$WV$147,68,FALSE)="",0,IF($S94=HLOOKUP(AP$91,'Improved Sales Adjustments 1'!$G$7:$WV$147,68,FALSE),1,0)))</f>
        <v>0</v>
      </c>
      <c r="AQ94" s="41">
        <f>IF(ISERROR(HLOOKUP(AQ$91,'Improved Sales Adjustments 1'!$G$7:$WV$147,68,FALSE)),0,IF(HLOOKUP(AQ$91,'Improved Sales Adjustments 1'!$G$7:$WV$147,68,FALSE)="",0,IF($S94=HLOOKUP(AQ$91,'Improved Sales Adjustments 1'!$G$7:$WV$147,68,FALSE),1,0)))</f>
        <v>0</v>
      </c>
      <c r="AR94" s="41">
        <f>SUM($AG94:AG94)</f>
        <v>0</v>
      </c>
      <c r="AS94" s="41">
        <f>SUM($AG94:AH94)</f>
        <v>0</v>
      </c>
      <c r="AT94" s="41">
        <f>SUM($AG94:AI94)</f>
        <v>0</v>
      </c>
      <c r="AU94" s="41">
        <f>SUM($AG94:AJ94)</f>
        <v>0</v>
      </c>
      <c r="AV94" s="41">
        <f>SUM($AG94:AK94)</f>
        <v>0</v>
      </c>
      <c r="AW94" s="41">
        <f>SUM($AG94:AL94)</f>
        <v>0</v>
      </c>
      <c r="AX94" s="41">
        <f>SUM($AG94:AM94)</f>
        <v>0</v>
      </c>
      <c r="AY94" s="41">
        <f>SUM($AG94:AN94)</f>
        <v>0</v>
      </c>
      <c r="AZ94" s="41">
        <f>SUM($AG94:AO94)</f>
        <v>0</v>
      </c>
      <c r="BA94" s="41">
        <f>SUM($AG94:AP94)</f>
        <v>0</v>
      </c>
      <c r="BB94" s="41">
        <f>SUM($AG94:AQ94)</f>
        <v>0</v>
      </c>
      <c r="BC94" s="41" t="str">
        <f t="shared" si="29"/>
        <v/>
      </c>
      <c r="BD94" s="41" t="str">
        <f t="shared" si="27"/>
        <v/>
      </c>
      <c r="BE94" s="41" t="str">
        <f t="shared" si="27"/>
        <v/>
      </c>
      <c r="BF94" s="41" t="str">
        <f t="shared" si="27"/>
        <v/>
      </c>
      <c r="BG94" s="41" t="str">
        <f t="shared" si="27"/>
        <v/>
      </c>
      <c r="BH94" s="41" t="str">
        <f t="shared" si="27"/>
        <v/>
      </c>
      <c r="BI94" s="41" t="str">
        <f t="shared" si="27"/>
        <v/>
      </c>
      <c r="BJ94" s="41" t="str">
        <f t="shared" si="27"/>
        <v/>
      </c>
      <c r="BK94" s="41" t="str">
        <f t="shared" si="27"/>
        <v/>
      </c>
      <c r="BL94" s="41" t="str">
        <f t="shared" si="27"/>
        <v/>
      </c>
      <c r="BM94" s="41" t="str">
        <f t="shared" si="27"/>
        <v/>
      </c>
    </row>
    <row r="95" spans="1:65" ht="15" customHeight="1" x14ac:dyDescent="0.25">
      <c r="A95" s="957">
        <f t="shared" si="25"/>
        <v>0</v>
      </c>
      <c r="B95" s="10"/>
      <c r="C95" s="10"/>
      <c r="D95" s="13"/>
      <c r="E95" s="10"/>
      <c r="F95" s="10"/>
      <c r="G95" s="10"/>
      <c r="H95" s="10"/>
      <c r="I95" s="10"/>
      <c r="J95" s="10"/>
      <c r="K95" s="10"/>
      <c r="L95" s="10"/>
      <c r="M95" s="10"/>
      <c r="N95" s="10"/>
      <c r="O95" s="10"/>
      <c r="P95" s="4"/>
      <c r="Q95" s="1204"/>
      <c r="R95" s="101" t="str">
        <f t="shared" si="28"/>
        <v/>
      </c>
      <c r="S95" s="137">
        <f t="shared" ref="S95:S158" si="30">S94+1</f>
        <v>3</v>
      </c>
      <c r="T95" s="2129">
        <v>0</v>
      </c>
      <c r="U95" s="2130">
        <v>0.01</v>
      </c>
      <c r="V95" s="2130">
        <v>0.01</v>
      </c>
      <c r="W95" s="2130">
        <v>0.01</v>
      </c>
      <c r="X95" s="2130">
        <v>0.02</v>
      </c>
      <c r="Y95" s="2130">
        <v>0.03</v>
      </c>
      <c r="Z95" s="2130">
        <v>0.04</v>
      </c>
      <c r="AA95" s="2130">
        <v>0.05</v>
      </c>
      <c r="AB95" s="2130">
        <v>7.0000000000000007E-2</v>
      </c>
      <c r="AC95" s="2130">
        <v>0.1</v>
      </c>
      <c r="AD95" s="101"/>
      <c r="AE95" s="6"/>
      <c r="AF95" s="11"/>
      <c r="AG95" s="41">
        <f t="shared" si="26"/>
        <v>0</v>
      </c>
      <c r="AH95" s="41">
        <f>IF(ISERROR(HLOOKUP(AH$91,'Improved Sales Adjustments 1'!$G$7:$WV$147,68,FALSE)),0,IF(HLOOKUP(AH$91,'Improved Sales Adjustments 1'!$G$7:$WV$147,68,FALSE)="",0,IF($S95=HLOOKUP(AH$91,'Improved Sales Adjustments 1'!$G$7:$WV$147,68,FALSE),1,0)))</f>
        <v>0</v>
      </c>
      <c r="AI95" s="41">
        <f>IF(ISERROR(HLOOKUP(AI$91,'Improved Sales Adjustments 1'!$G$7:$WV$147,68,FALSE)),0,IF(HLOOKUP(AI$91,'Improved Sales Adjustments 1'!$G$7:$WV$147,68,FALSE)="",0,IF($S95=HLOOKUP(AI$91,'Improved Sales Adjustments 1'!$G$7:$WV$147,68,FALSE),1,0)))</f>
        <v>0</v>
      </c>
      <c r="AJ95" s="41">
        <f>IF(ISERROR(HLOOKUP(AJ$91,'Improved Sales Adjustments 1'!$G$7:$WV$147,68,FALSE)),0,IF(HLOOKUP(AJ$91,'Improved Sales Adjustments 1'!$G$7:$WV$147,68,FALSE)="",0,IF($S95=HLOOKUP(AJ$91,'Improved Sales Adjustments 1'!$G$7:$WV$147,68,FALSE),1,0)))</f>
        <v>0</v>
      </c>
      <c r="AK95" s="41">
        <f>IF(ISERROR(HLOOKUP(AK$91,'Improved Sales Adjustments 1'!$G$7:$WV$147,68,FALSE)),0,IF(HLOOKUP(AK$91,'Improved Sales Adjustments 1'!$G$7:$WV$147,68,FALSE)="",0,IF($S95=HLOOKUP(AK$91,'Improved Sales Adjustments 1'!$G$7:$WV$147,68,FALSE),1,0)))</f>
        <v>0</v>
      </c>
      <c r="AL95" s="41">
        <f>IF(ISERROR(HLOOKUP(AL$91,'Improved Sales Adjustments 1'!$G$7:$WV$147,68,FALSE)),0,IF(HLOOKUP(AL$91,'Improved Sales Adjustments 1'!$G$7:$WV$147,68,FALSE)="",0,IF($S95=HLOOKUP(AL$91,'Improved Sales Adjustments 1'!$G$7:$WV$147,68,FALSE),1,0)))</f>
        <v>0</v>
      </c>
      <c r="AM95" s="41">
        <f>IF(ISERROR(HLOOKUP(AM$91,'Improved Sales Adjustments 1'!$G$7:$WV$147,68,FALSE)),0,IF(HLOOKUP(AM$91,'Improved Sales Adjustments 1'!$G$7:$WV$147,68,FALSE)="",0,IF($S95=HLOOKUP(AM$91,'Improved Sales Adjustments 1'!$G$7:$WV$147,68,FALSE),1,0)))</f>
        <v>0</v>
      </c>
      <c r="AN95" s="41">
        <f>IF(ISERROR(HLOOKUP(AN$91,'Improved Sales Adjustments 1'!$G$7:$WV$147,68,FALSE)),0,IF(HLOOKUP(AN$91,'Improved Sales Adjustments 1'!$G$7:$WV$147,68,FALSE)="",0,IF($S95=HLOOKUP(AN$91,'Improved Sales Adjustments 1'!$G$7:$WV$147,68,FALSE),1,0)))</f>
        <v>0</v>
      </c>
      <c r="AO95" s="41">
        <f>IF(ISERROR(HLOOKUP(AO$91,'Improved Sales Adjustments 1'!$G$7:$WV$147,68,FALSE)),0,IF(HLOOKUP(AO$91,'Improved Sales Adjustments 1'!$G$7:$WV$147,68,FALSE)="",0,IF($S95=HLOOKUP(AO$91,'Improved Sales Adjustments 1'!$G$7:$WV$147,68,FALSE),1,0)))</f>
        <v>0</v>
      </c>
      <c r="AP95" s="41">
        <f>IF(ISERROR(HLOOKUP(AP$91,'Improved Sales Adjustments 1'!$G$7:$WV$147,68,FALSE)),0,IF(HLOOKUP(AP$91,'Improved Sales Adjustments 1'!$G$7:$WV$147,68,FALSE)="",0,IF($S95=HLOOKUP(AP$91,'Improved Sales Adjustments 1'!$G$7:$WV$147,68,FALSE),1,0)))</f>
        <v>0</v>
      </c>
      <c r="AQ95" s="41">
        <f>IF(ISERROR(HLOOKUP(AQ$91,'Improved Sales Adjustments 1'!$G$7:$WV$147,68,FALSE)),0,IF(HLOOKUP(AQ$91,'Improved Sales Adjustments 1'!$G$7:$WV$147,68,FALSE)="",0,IF($S95=HLOOKUP(AQ$91,'Improved Sales Adjustments 1'!$G$7:$WV$147,68,FALSE),1,0)))</f>
        <v>0</v>
      </c>
      <c r="AR95" s="41">
        <f>SUM($AG95:AG95)</f>
        <v>0</v>
      </c>
      <c r="AS95" s="41">
        <f>SUM($AG95:AH95)</f>
        <v>0</v>
      </c>
      <c r="AT95" s="41">
        <f>SUM($AG95:AI95)</f>
        <v>0</v>
      </c>
      <c r="AU95" s="41">
        <f>SUM($AG95:AJ95)</f>
        <v>0</v>
      </c>
      <c r="AV95" s="41">
        <f>SUM($AG95:AK95)</f>
        <v>0</v>
      </c>
      <c r="AW95" s="41">
        <f>SUM($AG95:AL95)</f>
        <v>0</v>
      </c>
      <c r="AX95" s="41">
        <f>SUM($AG95:AM95)</f>
        <v>0</v>
      </c>
      <c r="AY95" s="41">
        <f>SUM($AG95:AN95)</f>
        <v>0</v>
      </c>
      <c r="AZ95" s="41">
        <f>SUM($AG95:AO95)</f>
        <v>0</v>
      </c>
      <c r="BA95" s="41">
        <f>SUM($AG95:AP95)</f>
        <v>0</v>
      </c>
      <c r="BB95" s="41">
        <f>SUM($AG95:AQ95)</f>
        <v>0</v>
      </c>
      <c r="BC95" s="41" t="str">
        <f t="shared" si="29"/>
        <v/>
      </c>
      <c r="BD95" s="41" t="str">
        <f t="shared" si="27"/>
        <v/>
      </c>
      <c r="BE95" s="41" t="str">
        <f t="shared" si="27"/>
        <v/>
      </c>
      <c r="BF95" s="41" t="str">
        <f t="shared" si="27"/>
        <v/>
      </c>
      <c r="BG95" s="41" t="str">
        <f t="shared" si="27"/>
        <v/>
      </c>
      <c r="BH95" s="41" t="str">
        <f t="shared" si="27"/>
        <v/>
      </c>
      <c r="BI95" s="41" t="str">
        <f t="shared" si="27"/>
        <v/>
      </c>
      <c r="BJ95" s="41" t="str">
        <f t="shared" si="27"/>
        <v/>
      </c>
      <c r="BK95" s="41" t="str">
        <f t="shared" si="27"/>
        <v/>
      </c>
      <c r="BL95" s="41" t="str">
        <f t="shared" si="27"/>
        <v/>
      </c>
      <c r="BM95" s="41" t="str">
        <f t="shared" si="27"/>
        <v/>
      </c>
    </row>
    <row r="96" spans="1:65" ht="15" customHeight="1" x14ac:dyDescent="0.25">
      <c r="A96" s="957">
        <f t="shared" si="25"/>
        <v>0</v>
      </c>
      <c r="B96" s="10"/>
      <c r="C96" s="10"/>
      <c r="D96" s="13"/>
      <c r="E96" s="10"/>
      <c r="F96" s="10"/>
      <c r="G96" s="10"/>
      <c r="H96" s="10"/>
      <c r="I96" s="10"/>
      <c r="J96" s="10"/>
      <c r="K96" s="10"/>
      <c r="L96" s="10"/>
      <c r="M96" s="10"/>
      <c r="N96" s="10"/>
      <c r="O96" s="10"/>
      <c r="P96" s="4"/>
      <c r="Q96" s="1204"/>
      <c r="R96" s="101" t="str">
        <f t="shared" si="28"/>
        <v/>
      </c>
      <c r="S96" s="137">
        <f t="shared" si="30"/>
        <v>4</v>
      </c>
      <c r="T96" s="2129">
        <v>0.01</v>
      </c>
      <c r="U96" s="2130">
        <v>0.01</v>
      </c>
      <c r="V96" s="2130">
        <v>0.01</v>
      </c>
      <c r="W96" s="2130">
        <v>0.02</v>
      </c>
      <c r="X96" s="2130">
        <v>0.03</v>
      </c>
      <c r="Y96" s="2130">
        <v>0.04</v>
      </c>
      <c r="Z96" s="2130">
        <v>0.05</v>
      </c>
      <c r="AA96" s="2130">
        <v>7.0000000000000007E-2</v>
      </c>
      <c r="AB96" s="2130">
        <v>0.01</v>
      </c>
      <c r="AC96" s="2130">
        <v>0.14000000000000001</v>
      </c>
      <c r="AD96" s="101"/>
      <c r="AE96" s="6"/>
      <c r="AF96" s="11"/>
      <c r="AG96" s="41">
        <f t="shared" si="26"/>
        <v>0</v>
      </c>
      <c r="AH96" s="41">
        <f>IF(ISERROR(HLOOKUP(AH$91,'Improved Sales Adjustments 1'!$G$7:$WV$147,68,FALSE)),0,IF(HLOOKUP(AH$91,'Improved Sales Adjustments 1'!$G$7:$WV$147,68,FALSE)="",0,IF($S96=HLOOKUP(AH$91,'Improved Sales Adjustments 1'!$G$7:$WV$147,68,FALSE),1,0)))</f>
        <v>0</v>
      </c>
      <c r="AI96" s="41">
        <f>IF(ISERROR(HLOOKUP(AI$91,'Improved Sales Adjustments 1'!$G$7:$WV$147,68,FALSE)),0,IF(HLOOKUP(AI$91,'Improved Sales Adjustments 1'!$G$7:$WV$147,68,FALSE)="",0,IF($S96=HLOOKUP(AI$91,'Improved Sales Adjustments 1'!$G$7:$WV$147,68,FALSE),1,0)))</f>
        <v>0</v>
      </c>
      <c r="AJ96" s="41">
        <f>IF(ISERROR(HLOOKUP(AJ$91,'Improved Sales Adjustments 1'!$G$7:$WV$147,68,FALSE)),0,IF(HLOOKUP(AJ$91,'Improved Sales Adjustments 1'!$G$7:$WV$147,68,FALSE)="",0,IF($S96=HLOOKUP(AJ$91,'Improved Sales Adjustments 1'!$G$7:$WV$147,68,FALSE),1,0)))</f>
        <v>0</v>
      </c>
      <c r="AK96" s="41">
        <f>IF(ISERROR(HLOOKUP(AK$91,'Improved Sales Adjustments 1'!$G$7:$WV$147,68,FALSE)),0,IF(HLOOKUP(AK$91,'Improved Sales Adjustments 1'!$G$7:$WV$147,68,FALSE)="",0,IF($S96=HLOOKUP(AK$91,'Improved Sales Adjustments 1'!$G$7:$WV$147,68,FALSE),1,0)))</f>
        <v>0</v>
      </c>
      <c r="AL96" s="41">
        <f>IF(ISERROR(HLOOKUP(AL$91,'Improved Sales Adjustments 1'!$G$7:$WV$147,68,FALSE)),0,IF(HLOOKUP(AL$91,'Improved Sales Adjustments 1'!$G$7:$WV$147,68,FALSE)="",0,IF($S96=HLOOKUP(AL$91,'Improved Sales Adjustments 1'!$G$7:$WV$147,68,FALSE),1,0)))</f>
        <v>0</v>
      </c>
      <c r="AM96" s="41">
        <f>IF(ISERROR(HLOOKUP(AM$91,'Improved Sales Adjustments 1'!$G$7:$WV$147,68,FALSE)),0,IF(HLOOKUP(AM$91,'Improved Sales Adjustments 1'!$G$7:$WV$147,68,FALSE)="",0,IF($S96=HLOOKUP(AM$91,'Improved Sales Adjustments 1'!$G$7:$WV$147,68,FALSE),1,0)))</f>
        <v>0</v>
      </c>
      <c r="AN96" s="41">
        <f>IF(ISERROR(HLOOKUP(AN$91,'Improved Sales Adjustments 1'!$G$7:$WV$147,68,FALSE)),0,IF(HLOOKUP(AN$91,'Improved Sales Adjustments 1'!$G$7:$WV$147,68,FALSE)="",0,IF($S96=HLOOKUP(AN$91,'Improved Sales Adjustments 1'!$G$7:$WV$147,68,FALSE),1,0)))</f>
        <v>0</v>
      </c>
      <c r="AO96" s="41">
        <f>IF(ISERROR(HLOOKUP(AO$91,'Improved Sales Adjustments 1'!$G$7:$WV$147,68,FALSE)),0,IF(HLOOKUP(AO$91,'Improved Sales Adjustments 1'!$G$7:$WV$147,68,FALSE)="",0,IF($S96=HLOOKUP(AO$91,'Improved Sales Adjustments 1'!$G$7:$WV$147,68,FALSE),1,0)))</f>
        <v>0</v>
      </c>
      <c r="AP96" s="41">
        <f>IF(ISERROR(HLOOKUP(AP$91,'Improved Sales Adjustments 1'!$G$7:$WV$147,68,FALSE)),0,IF(HLOOKUP(AP$91,'Improved Sales Adjustments 1'!$G$7:$WV$147,68,FALSE)="",0,IF($S96=HLOOKUP(AP$91,'Improved Sales Adjustments 1'!$G$7:$WV$147,68,FALSE),1,0)))</f>
        <v>0</v>
      </c>
      <c r="AQ96" s="41">
        <f>IF(ISERROR(HLOOKUP(AQ$91,'Improved Sales Adjustments 1'!$G$7:$WV$147,68,FALSE)),0,IF(HLOOKUP(AQ$91,'Improved Sales Adjustments 1'!$G$7:$WV$147,68,FALSE)="",0,IF($S96=HLOOKUP(AQ$91,'Improved Sales Adjustments 1'!$G$7:$WV$147,68,FALSE),1,0)))</f>
        <v>0</v>
      </c>
      <c r="AR96" s="41">
        <f>SUM($AG96:AG96)</f>
        <v>0</v>
      </c>
      <c r="AS96" s="41">
        <f>SUM($AG96:AH96)</f>
        <v>0</v>
      </c>
      <c r="AT96" s="41">
        <f>SUM($AG96:AI96)</f>
        <v>0</v>
      </c>
      <c r="AU96" s="41">
        <f>SUM($AG96:AJ96)</f>
        <v>0</v>
      </c>
      <c r="AV96" s="41">
        <f>SUM($AG96:AK96)</f>
        <v>0</v>
      </c>
      <c r="AW96" s="41">
        <f>SUM($AG96:AL96)</f>
        <v>0</v>
      </c>
      <c r="AX96" s="41">
        <f>SUM($AG96:AM96)</f>
        <v>0</v>
      </c>
      <c r="AY96" s="41">
        <f>SUM($AG96:AN96)</f>
        <v>0</v>
      </c>
      <c r="AZ96" s="41">
        <f>SUM($AG96:AO96)</f>
        <v>0</v>
      </c>
      <c r="BA96" s="41">
        <f>SUM($AG96:AP96)</f>
        <v>0</v>
      </c>
      <c r="BB96" s="41">
        <f>SUM($AG96:AQ96)</f>
        <v>0</v>
      </c>
      <c r="BC96" s="41" t="str">
        <f t="shared" si="29"/>
        <v/>
      </c>
      <c r="BD96" s="41" t="str">
        <f t="shared" si="27"/>
        <v/>
      </c>
      <c r="BE96" s="41" t="str">
        <f t="shared" si="27"/>
        <v/>
      </c>
      <c r="BF96" s="41" t="str">
        <f t="shared" si="27"/>
        <v/>
      </c>
      <c r="BG96" s="41" t="str">
        <f t="shared" si="27"/>
        <v/>
      </c>
      <c r="BH96" s="41" t="str">
        <f t="shared" si="27"/>
        <v/>
      </c>
      <c r="BI96" s="41" t="str">
        <f t="shared" si="27"/>
        <v/>
      </c>
      <c r="BJ96" s="41" t="str">
        <f t="shared" si="27"/>
        <v/>
      </c>
      <c r="BK96" s="41" t="str">
        <f t="shared" si="27"/>
        <v/>
      </c>
      <c r="BL96" s="41" t="str">
        <f t="shared" si="27"/>
        <v/>
      </c>
      <c r="BM96" s="41" t="str">
        <f t="shared" si="27"/>
        <v/>
      </c>
    </row>
    <row r="97" spans="1:65" ht="15" customHeight="1" x14ac:dyDescent="0.25">
      <c r="A97" s="957">
        <f t="shared" si="25"/>
        <v>0</v>
      </c>
      <c r="B97" s="10"/>
      <c r="C97" s="10"/>
      <c r="D97" s="13"/>
      <c r="E97" s="10"/>
      <c r="F97" s="10"/>
      <c r="G97" s="10"/>
      <c r="H97" s="10"/>
      <c r="I97" s="10"/>
      <c r="J97" s="10"/>
      <c r="K97" s="10"/>
      <c r="L97" s="10"/>
      <c r="M97" s="10"/>
      <c r="N97" s="10"/>
      <c r="O97" s="10"/>
      <c r="P97" s="4"/>
      <c r="Q97" s="1204"/>
      <c r="R97" s="101" t="str">
        <f t="shared" si="28"/>
        <v/>
      </c>
      <c r="S97" s="137">
        <f t="shared" si="30"/>
        <v>5</v>
      </c>
      <c r="T97" s="2129">
        <v>0.01</v>
      </c>
      <c r="U97" s="2130">
        <v>0.01</v>
      </c>
      <c r="V97" s="2130">
        <v>0.02</v>
      </c>
      <c r="W97" s="2130">
        <v>0.03</v>
      </c>
      <c r="X97" s="2130">
        <v>0.04</v>
      </c>
      <c r="Y97" s="2130">
        <v>0.05</v>
      </c>
      <c r="Z97" s="2130">
        <v>0.06</v>
      </c>
      <c r="AA97" s="2130">
        <v>0.09</v>
      </c>
      <c r="AB97" s="2130">
        <v>0.13</v>
      </c>
      <c r="AC97" s="2130">
        <v>0.18</v>
      </c>
      <c r="AD97" s="101"/>
      <c r="AE97" s="6"/>
      <c r="AF97" s="11"/>
      <c r="AG97" s="41">
        <f t="shared" si="26"/>
        <v>0</v>
      </c>
      <c r="AH97" s="41">
        <f>IF(ISERROR(HLOOKUP(AH$91,'Improved Sales Adjustments 1'!$G$7:$WV$147,68,FALSE)),0,IF(HLOOKUP(AH$91,'Improved Sales Adjustments 1'!$G$7:$WV$147,68,FALSE)="",0,IF($S97=HLOOKUP(AH$91,'Improved Sales Adjustments 1'!$G$7:$WV$147,68,FALSE),1,0)))</f>
        <v>0</v>
      </c>
      <c r="AI97" s="41">
        <f>IF(ISERROR(HLOOKUP(AI$91,'Improved Sales Adjustments 1'!$G$7:$WV$147,68,FALSE)),0,IF(HLOOKUP(AI$91,'Improved Sales Adjustments 1'!$G$7:$WV$147,68,FALSE)="",0,IF($S97=HLOOKUP(AI$91,'Improved Sales Adjustments 1'!$G$7:$WV$147,68,FALSE),1,0)))</f>
        <v>0</v>
      </c>
      <c r="AJ97" s="41">
        <f>IF(ISERROR(HLOOKUP(AJ$91,'Improved Sales Adjustments 1'!$G$7:$WV$147,68,FALSE)),0,IF(HLOOKUP(AJ$91,'Improved Sales Adjustments 1'!$G$7:$WV$147,68,FALSE)="",0,IF($S97=HLOOKUP(AJ$91,'Improved Sales Adjustments 1'!$G$7:$WV$147,68,FALSE),1,0)))</f>
        <v>0</v>
      </c>
      <c r="AK97" s="41">
        <f>IF(ISERROR(HLOOKUP(AK$91,'Improved Sales Adjustments 1'!$G$7:$WV$147,68,FALSE)),0,IF(HLOOKUP(AK$91,'Improved Sales Adjustments 1'!$G$7:$WV$147,68,FALSE)="",0,IF($S97=HLOOKUP(AK$91,'Improved Sales Adjustments 1'!$G$7:$WV$147,68,FALSE),1,0)))</f>
        <v>0</v>
      </c>
      <c r="AL97" s="41">
        <f>IF(ISERROR(HLOOKUP(AL$91,'Improved Sales Adjustments 1'!$G$7:$WV$147,68,FALSE)),0,IF(HLOOKUP(AL$91,'Improved Sales Adjustments 1'!$G$7:$WV$147,68,FALSE)="",0,IF($S97=HLOOKUP(AL$91,'Improved Sales Adjustments 1'!$G$7:$WV$147,68,FALSE),1,0)))</f>
        <v>0</v>
      </c>
      <c r="AM97" s="41">
        <f>IF(ISERROR(HLOOKUP(AM$91,'Improved Sales Adjustments 1'!$G$7:$WV$147,68,FALSE)),0,IF(HLOOKUP(AM$91,'Improved Sales Adjustments 1'!$G$7:$WV$147,68,FALSE)="",0,IF($S97=HLOOKUP(AM$91,'Improved Sales Adjustments 1'!$G$7:$WV$147,68,FALSE),1,0)))</f>
        <v>0</v>
      </c>
      <c r="AN97" s="41">
        <f>IF(ISERROR(HLOOKUP(AN$91,'Improved Sales Adjustments 1'!$G$7:$WV$147,68,FALSE)),0,IF(HLOOKUP(AN$91,'Improved Sales Adjustments 1'!$G$7:$WV$147,68,FALSE)="",0,IF($S97=HLOOKUP(AN$91,'Improved Sales Adjustments 1'!$G$7:$WV$147,68,FALSE),1,0)))</f>
        <v>0</v>
      </c>
      <c r="AO97" s="41">
        <f>IF(ISERROR(HLOOKUP(AO$91,'Improved Sales Adjustments 1'!$G$7:$WV$147,68,FALSE)),0,IF(HLOOKUP(AO$91,'Improved Sales Adjustments 1'!$G$7:$WV$147,68,FALSE)="",0,IF($S97=HLOOKUP(AO$91,'Improved Sales Adjustments 1'!$G$7:$WV$147,68,FALSE),1,0)))</f>
        <v>0</v>
      </c>
      <c r="AP97" s="41">
        <f>IF(ISERROR(HLOOKUP(AP$91,'Improved Sales Adjustments 1'!$G$7:$WV$147,68,FALSE)),0,IF(HLOOKUP(AP$91,'Improved Sales Adjustments 1'!$G$7:$WV$147,68,FALSE)="",0,IF($S97=HLOOKUP(AP$91,'Improved Sales Adjustments 1'!$G$7:$WV$147,68,FALSE),1,0)))</f>
        <v>0</v>
      </c>
      <c r="AQ97" s="41">
        <f>IF(ISERROR(HLOOKUP(AQ$91,'Improved Sales Adjustments 1'!$G$7:$WV$147,68,FALSE)),0,IF(HLOOKUP(AQ$91,'Improved Sales Adjustments 1'!$G$7:$WV$147,68,FALSE)="",0,IF($S97=HLOOKUP(AQ$91,'Improved Sales Adjustments 1'!$G$7:$WV$147,68,FALSE),1,0)))</f>
        <v>0</v>
      </c>
      <c r="AR97" s="41">
        <f>SUM($AG97:AG97)</f>
        <v>0</v>
      </c>
      <c r="AS97" s="41">
        <f>SUM($AG97:AH97)</f>
        <v>0</v>
      </c>
      <c r="AT97" s="41">
        <f>SUM($AG97:AI97)</f>
        <v>0</v>
      </c>
      <c r="AU97" s="41">
        <f>SUM($AG97:AJ97)</f>
        <v>0</v>
      </c>
      <c r="AV97" s="41">
        <f>SUM($AG97:AK97)</f>
        <v>0</v>
      </c>
      <c r="AW97" s="41">
        <f>SUM($AG97:AL97)</f>
        <v>0</v>
      </c>
      <c r="AX97" s="41">
        <f>SUM($AG97:AM97)</f>
        <v>0</v>
      </c>
      <c r="AY97" s="41">
        <f>SUM($AG97:AN97)</f>
        <v>0</v>
      </c>
      <c r="AZ97" s="41">
        <f>SUM($AG97:AO97)</f>
        <v>0</v>
      </c>
      <c r="BA97" s="41">
        <f>SUM($AG97:AP97)</f>
        <v>0</v>
      </c>
      <c r="BB97" s="41">
        <f>SUM($AG97:AQ97)</f>
        <v>0</v>
      </c>
      <c r="BC97" s="41" t="str">
        <f t="shared" si="29"/>
        <v/>
      </c>
      <c r="BD97" s="41" t="str">
        <f t="shared" si="27"/>
        <v/>
      </c>
      <c r="BE97" s="41" t="str">
        <f t="shared" si="27"/>
        <v/>
      </c>
      <c r="BF97" s="41" t="str">
        <f t="shared" si="27"/>
        <v/>
      </c>
      <c r="BG97" s="41" t="str">
        <f t="shared" si="27"/>
        <v/>
      </c>
      <c r="BH97" s="41" t="str">
        <f t="shared" si="27"/>
        <v/>
      </c>
      <c r="BI97" s="41" t="str">
        <f t="shared" si="27"/>
        <v/>
      </c>
      <c r="BJ97" s="41" t="str">
        <f t="shared" si="27"/>
        <v/>
      </c>
      <c r="BK97" s="41" t="str">
        <f t="shared" si="27"/>
        <v/>
      </c>
      <c r="BL97" s="41" t="str">
        <f t="shared" si="27"/>
        <v/>
      </c>
      <c r="BM97" s="41" t="str">
        <f t="shared" si="27"/>
        <v/>
      </c>
    </row>
    <row r="98" spans="1:65" ht="15" customHeight="1" x14ac:dyDescent="0.25">
      <c r="A98" s="957">
        <f t="shared" si="25"/>
        <v>0</v>
      </c>
      <c r="B98" s="10"/>
      <c r="C98" s="10"/>
      <c r="D98" s="13"/>
      <c r="E98" s="10"/>
      <c r="F98" s="10"/>
      <c r="G98" s="10"/>
      <c r="H98" s="10"/>
      <c r="I98" s="10"/>
      <c r="J98" s="10"/>
      <c r="K98" s="10"/>
      <c r="L98" s="10"/>
      <c r="M98" s="10"/>
      <c r="N98" s="10"/>
      <c r="O98" s="10"/>
      <c r="P98" s="4"/>
      <c r="Q98" s="1204"/>
      <c r="R98" s="101" t="str">
        <f t="shared" si="28"/>
        <v/>
      </c>
      <c r="S98" s="137">
        <f t="shared" si="30"/>
        <v>6</v>
      </c>
      <c r="T98" s="2129">
        <v>0.01</v>
      </c>
      <c r="U98" s="2130">
        <v>0.02</v>
      </c>
      <c r="V98" s="2130">
        <v>0.02</v>
      </c>
      <c r="W98" s="2130">
        <v>0.03</v>
      </c>
      <c r="X98" s="2130">
        <v>0.04</v>
      </c>
      <c r="Y98" s="2130">
        <v>0.06</v>
      </c>
      <c r="Z98" s="2130">
        <v>0.08</v>
      </c>
      <c r="AA98" s="2130">
        <v>0.11</v>
      </c>
      <c r="AB98" s="2130">
        <v>0.16</v>
      </c>
      <c r="AC98" s="2130">
        <v>0.22</v>
      </c>
      <c r="AD98" s="101"/>
      <c r="AE98" s="6"/>
      <c r="AF98" s="11"/>
      <c r="AG98" s="41">
        <f t="shared" si="26"/>
        <v>0</v>
      </c>
      <c r="AH98" s="41">
        <f>IF(ISERROR(HLOOKUP(AH$91,'Improved Sales Adjustments 1'!$G$7:$WV$147,68,FALSE)),0,IF(HLOOKUP(AH$91,'Improved Sales Adjustments 1'!$G$7:$WV$147,68,FALSE)="",0,IF($S98=HLOOKUP(AH$91,'Improved Sales Adjustments 1'!$G$7:$WV$147,68,FALSE),1,0)))</f>
        <v>0</v>
      </c>
      <c r="AI98" s="41">
        <f>IF(ISERROR(HLOOKUP(AI$91,'Improved Sales Adjustments 1'!$G$7:$WV$147,68,FALSE)),0,IF(HLOOKUP(AI$91,'Improved Sales Adjustments 1'!$G$7:$WV$147,68,FALSE)="",0,IF($S98=HLOOKUP(AI$91,'Improved Sales Adjustments 1'!$G$7:$WV$147,68,FALSE),1,0)))</f>
        <v>0</v>
      </c>
      <c r="AJ98" s="41">
        <f>IF(ISERROR(HLOOKUP(AJ$91,'Improved Sales Adjustments 1'!$G$7:$WV$147,68,FALSE)),0,IF(HLOOKUP(AJ$91,'Improved Sales Adjustments 1'!$G$7:$WV$147,68,FALSE)="",0,IF($S98=HLOOKUP(AJ$91,'Improved Sales Adjustments 1'!$G$7:$WV$147,68,FALSE),1,0)))</f>
        <v>0</v>
      </c>
      <c r="AK98" s="41">
        <f>IF(ISERROR(HLOOKUP(AK$91,'Improved Sales Adjustments 1'!$G$7:$WV$147,68,FALSE)),0,IF(HLOOKUP(AK$91,'Improved Sales Adjustments 1'!$G$7:$WV$147,68,FALSE)="",0,IF($S98=HLOOKUP(AK$91,'Improved Sales Adjustments 1'!$G$7:$WV$147,68,FALSE),1,0)))</f>
        <v>0</v>
      </c>
      <c r="AL98" s="41">
        <f>IF(ISERROR(HLOOKUP(AL$91,'Improved Sales Adjustments 1'!$G$7:$WV$147,68,FALSE)),0,IF(HLOOKUP(AL$91,'Improved Sales Adjustments 1'!$G$7:$WV$147,68,FALSE)="",0,IF($S98=HLOOKUP(AL$91,'Improved Sales Adjustments 1'!$G$7:$WV$147,68,FALSE),1,0)))</f>
        <v>0</v>
      </c>
      <c r="AM98" s="41">
        <f>IF(ISERROR(HLOOKUP(AM$91,'Improved Sales Adjustments 1'!$G$7:$WV$147,68,FALSE)),0,IF(HLOOKUP(AM$91,'Improved Sales Adjustments 1'!$G$7:$WV$147,68,FALSE)="",0,IF($S98=HLOOKUP(AM$91,'Improved Sales Adjustments 1'!$G$7:$WV$147,68,FALSE),1,0)))</f>
        <v>0</v>
      </c>
      <c r="AN98" s="41">
        <f>IF(ISERROR(HLOOKUP(AN$91,'Improved Sales Adjustments 1'!$G$7:$WV$147,68,FALSE)),0,IF(HLOOKUP(AN$91,'Improved Sales Adjustments 1'!$G$7:$WV$147,68,FALSE)="",0,IF($S98=HLOOKUP(AN$91,'Improved Sales Adjustments 1'!$G$7:$WV$147,68,FALSE),1,0)))</f>
        <v>0</v>
      </c>
      <c r="AO98" s="41">
        <f>IF(ISERROR(HLOOKUP(AO$91,'Improved Sales Adjustments 1'!$G$7:$WV$147,68,FALSE)),0,IF(HLOOKUP(AO$91,'Improved Sales Adjustments 1'!$G$7:$WV$147,68,FALSE)="",0,IF($S98=HLOOKUP(AO$91,'Improved Sales Adjustments 1'!$G$7:$WV$147,68,FALSE),1,0)))</f>
        <v>0</v>
      </c>
      <c r="AP98" s="41">
        <f>IF(ISERROR(HLOOKUP(AP$91,'Improved Sales Adjustments 1'!$G$7:$WV$147,68,FALSE)),0,IF(HLOOKUP(AP$91,'Improved Sales Adjustments 1'!$G$7:$WV$147,68,FALSE)="",0,IF($S98=HLOOKUP(AP$91,'Improved Sales Adjustments 1'!$G$7:$WV$147,68,FALSE),1,0)))</f>
        <v>0</v>
      </c>
      <c r="AQ98" s="41">
        <f>IF(ISERROR(HLOOKUP(AQ$91,'Improved Sales Adjustments 1'!$G$7:$WV$147,68,FALSE)),0,IF(HLOOKUP(AQ$91,'Improved Sales Adjustments 1'!$G$7:$WV$147,68,FALSE)="",0,IF($S98=HLOOKUP(AQ$91,'Improved Sales Adjustments 1'!$G$7:$WV$147,68,FALSE),1,0)))</f>
        <v>0</v>
      </c>
      <c r="AR98" s="41">
        <f>SUM($AG98:AG98)</f>
        <v>0</v>
      </c>
      <c r="AS98" s="41">
        <f>SUM($AG98:AH98)</f>
        <v>0</v>
      </c>
      <c r="AT98" s="41">
        <f>SUM($AG98:AI98)</f>
        <v>0</v>
      </c>
      <c r="AU98" s="41">
        <f>SUM($AG98:AJ98)</f>
        <v>0</v>
      </c>
      <c r="AV98" s="41">
        <f>SUM($AG98:AK98)</f>
        <v>0</v>
      </c>
      <c r="AW98" s="41">
        <f>SUM($AG98:AL98)</f>
        <v>0</v>
      </c>
      <c r="AX98" s="41">
        <f>SUM($AG98:AM98)</f>
        <v>0</v>
      </c>
      <c r="AY98" s="41">
        <f>SUM($AG98:AN98)</f>
        <v>0</v>
      </c>
      <c r="AZ98" s="41">
        <f>SUM($AG98:AO98)</f>
        <v>0</v>
      </c>
      <c r="BA98" s="41">
        <f>SUM($AG98:AP98)</f>
        <v>0</v>
      </c>
      <c r="BB98" s="41">
        <f>SUM($AG98:AQ98)</f>
        <v>0</v>
      </c>
      <c r="BC98" s="41" t="str">
        <f t="shared" si="29"/>
        <v/>
      </c>
      <c r="BD98" s="41" t="str">
        <f t="shared" si="27"/>
        <v/>
      </c>
      <c r="BE98" s="41" t="str">
        <f t="shared" si="27"/>
        <v/>
      </c>
      <c r="BF98" s="41" t="str">
        <f t="shared" si="27"/>
        <v/>
      </c>
      <c r="BG98" s="41" t="str">
        <f t="shared" si="27"/>
        <v/>
      </c>
      <c r="BH98" s="41" t="str">
        <f t="shared" si="27"/>
        <v/>
      </c>
      <c r="BI98" s="41" t="str">
        <f t="shared" si="27"/>
        <v/>
      </c>
      <c r="BJ98" s="41" t="str">
        <f t="shared" si="27"/>
        <v/>
      </c>
      <c r="BK98" s="41" t="str">
        <f t="shared" si="27"/>
        <v/>
      </c>
      <c r="BL98" s="41" t="str">
        <f t="shared" si="27"/>
        <v/>
      </c>
      <c r="BM98" s="41" t="str">
        <f t="shared" si="27"/>
        <v/>
      </c>
    </row>
    <row r="99" spans="1:65" ht="15" customHeight="1" x14ac:dyDescent="0.25">
      <c r="A99" s="957">
        <f t="shared" si="25"/>
        <v>0</v>
      </c>
      <c r="B99" s="10"/>
      <c r="C99" s="10"/>
      <c r="D99" s="13"/>
      <c r="E99" s="10"/>
      <c r="F99" s="10"/>
      <c r="G99" s="10"/>
      <c r="H99" s="10"/>
      <c r="I99" s="10"/>
      <c r="J99" s="10"/>
      <c r="K99" s="10"/>
      <c r="L99" s="10"/>
      <c r="M99" s="10"/>
      <c r="N99" s="10"/>
      <c r="O99" s="10"/>
      <c r="P99" s="4"/>
      <c r="Q99" s="1204"/>
      <c r="R99" s="101" t="str">
        <f t="shared" si="28"/>
        <v/>
      </c>
      <c r="S99" s="137">
        <f t="shared" si="30"/>
        <v>7</v>
      </c>
      <c r="T99" s="2129">
        <v>0.01</v>
      </c>
      <c r="U99" s="2130">
        <v>0.02</v>
      </c>
      <c r="V99" s="2130">
        <v>0.03</v>
      </c>
      <c r="W99" s="2130">
        <v>0.04</v>
      </c>
      <c r="X99" s="2130">
        <v>0.05</v>
      </c>
      <c r="Y99" s="2130">
        <v>7.0000000000000007E-2</v>
      </c>
      <c r="Z99" s="2130">
        <v>0.1</v>
      </c>
      <c r="AA99" s="2130">
        <v>0.14000000000000001</v>
      </c>
      <c r="AB99" s="2130">
        <v>0.19</v>
      </c>
      <c r="AC99" s="2130">
        <v>0.26</v>
      </c>
      <c r="AD99" s="101"/>
      <c r="AE99" s="6"/>
      <c r="AF99" s="11"/>
      <c r="AG99" s="41">
        <f t="shared" si="26"/>
        <v>0</v>
      </c>
      <c r="AH99" s="41">
        <f>IF(ISERROR(HLOOKUP(AH$91,'Improved Sales Adjustments 1'!$G$7:$WV$147,68,FALSE)),0,IF(HLOOKUP(AH$91,'Improved Sales Adjustments 1'!$G$7:$WV$147,68,FALSE)="",0,IF($S99=HLOOKUP(AH$91,'Improved Sales Adjustments 1'!$G$7:$WV$147,68,FALSE),1,0)))</f>
        <v>0</v>
      </c>
      <c r="AI99" s="41">
        <f>IF(ISERROR(HLOOKUP(AI$91,'Improved Sales Adjustments 1'!$G$7:$WV$147,68,FALSE)),0,IF(HLOOKUP(AI$91,'Improved Sales Adjustments 1'!$G$7:$WV$147,68,FALSE)="",0,IF($S99=HLOOKUP(AI$91,'Improved Sales Adjustments 1'!$G$7:$WV$147,68,FALSE),1,0)))</f>
        <v>0</v>
      </c>
      <c r="AJ99" s="41">
        <f>IF(ISERROR(HLOOKUP(AJ$91,'Improved Sales Adjustments 1'!$G$7:$WV$147,68,FALSE)),0,IF(HLOOKUP(AJ$91,'Improved Sales Adjustments 1'!$G$7:$WV$147,68,FALSE)="",0,IF($S99=HLOOKUP(AJ$91,'Improved Sales Adjustments 1'!$G$7:$WV$147,68,FALSE),1,0)))</f>
        <v>0</v>
      </c>
      <c r="AK99" s="41">
        <f>IF(ISERROR(HLOOKUP(AK$91,'Improved Sales Adjustments 1'!$G$7:$WV$147,68,FALSE)),0,IF(HLOOKUP(AK$91,'Improved Sales Adjustments 1'!$G$7:$WV$147,68,FALSE)="",0,IF($S99=HLOOKUP(AK$91,'Improved Sales Adjustments 1'!$G$7:$WV$147,68,FALSE),1,0)))</f>
        <v>0</v>
      </c>
      <c r="AL99" s="41">
        <f>IF(ISERROR(HLOOKUP(AL$91,'Improved Sales Adjustments 1'!$G$7:$WV$147,68,FALSE)),0,IF(HLOOKUP(AL$91,'Improved Sales Adjustments 1'!$G$7:$WV$147,68,FALSE)="",0,IF($S99=HLOOKUP(AL$91,'Improved Sales Adjustments 1'!$G$7:$WV$147,68,FALSE),1,0)))</f>
        <v>0</v>
      </c>
      <c r="AM99" s="41">
        <f>IF(ISERROR(HLOOKUP(AM$91,'Improved Sales Adjustments 1'!$G$7:$WV$147,68,FALSE)),0,IF(HLOOKUP(AM$91,'Improved Sales Adjustments 1'!$G$7:$WV$147,68,FALSE)="",0,IF($S99=HLOOKUP(AM$91,'Improved Sales Adjustments 1'!$G$7:$WV$147,68,FALSE),1,0)))</f>
        <v>0</v>
      </c>
      <c r="AN99" s="41">
        <f>IF(ISERROR(HLOOKUP(AN$91,'Improved Sales Adjustments 1'!$G$7:$WV$147,68,FALSE)),0,IF(HLOOKUP(AN$91,'Improved Sales Adjustments 1'!$G$7:$WV$147,68,FALSE)="",0,IF($S99=HLOOKUP(AN$91,'Improved Sales Adjustments 1'!$G$7:$WV$147,68,FALSE),1,0)))</f>
        <v>0</v>
      </c>
      <c r="AO99" s="41">
        <f>IF(ISERROR(HLOOKUP(AO$91,'Improved Sales Adjustments 1'!$G$7:$WV$147,68,FALSE)),0,IF(HLOOKUP(AO$91,'Improved Sales Adjustments 1'!$G$7:$WV$147,68,FALSE)="",0,IF($S99=HLOOKUP(AO$91,'Improved Sales Adjustments 1'!$G$7:$WV$147,68,FALSE),1,0)))</f>
        <v>0</v>
      </c>
      <c r="AP99" s="41">
        <f>IF(ISERROR(HLOOKUP(AP$91,'Improved Sales Adjustments 1'!$G$7:$WV$147,68,FALSE)),0,IF(HLOOKUP(AP$91,'Improved Sales Adjustments 1'!$G$7:$WV$147,68,FALSE)="",0,IF($S99=HLOOKUP(AP$91,'Improved Sales Adjustments 1'!$G$7:$WV$147,68,FALSE),1,0)))</f>
        <v>0</v>
      </c>
      <c r="AQ99" s="41">
        <f>IF(ISERROR(HLOOKUP(AQ$91,'Improved Sales Adjustments 1'!$G$7:$WV$147,68,FALSE)),0,IF(HLOOKUP(AQ$91,'Improved Sales Adjustments 1'!$G$7:$WV$147,68,FALSE)="",0,IF($S99=HLOOKUP(AQ$91,'Improved Sales Adjustments 1'!$G$7:$WV$147,68,FALSE),1,0)))</f>
        <v>0</v>
      </c>
      <c r="AR99" s="41">
        <f>SUM($AG99:AG99)</f>
        <v>0</v>
      </c>
      <c r="AS99" s="41">
        <f>SUM($AG99:AH99)</f>
        <v>0</v>
      </c>
      <c r="AT99" s="41">
        <f>SUM($AG99:AI99)</f>
        <v>0</v>
      </c>
      <c r="AU99" s="41">
        <f>SUM($AG99:AJ99)</f>
        <v>0</v>
      </c>
      <c r="AV99" s="41">
        <f>SUM($AG99:AK99)</f>
        <v>0</v>
      </c>
      <c r="AW99" s="41">
        <f>SUM($AG99:AL99)</f>
        <v>0</v>
      </c>
      <c r="AX99" s="41">
        <f>SUM($AG99:AM99)</f>
        <v>0</v>
      </c>
      <c r="AY99" s="41">
        <f>SUM($AG99:AN99)</f>
        <v>0</v>
      </c>
      <c r="AZ99" s="41">
        <f>SUM($AG99:AO99)</f>
        <v>0</v>
      </c>
      <c r="BA99" s="41">
        <f>SUM($AG99:AP99)</f>
        <v>0</v>
      </c>
      <c r="BB99" s="41">
        <f>SUM($AG99:AQ99)</f>
        <v>0</v>
      </c>
      <c r="BC99" s="41" t="str">
        <f t="shared" si="29"/>
        <v/>
      </c>
      <c r="BD99" s="41" t="str">
        <f t="shared" si="27"/>
        <v/>
      </c>
      <c r="BE99" s="41" t="str">
        <f t="shared" si="27"/>
        <v/>
      </c>
      <c r="BF99" s="41" t="str">
        <f t="shared" si="27"/>
        <v/>
      </c>
      <c r="BG99" s="41" t="str">
        <f t="shared" si="27"/>
        <v/>
      </c>
      <c r="BH99" s="41" t="str">
        <f t="shared" si="27"/>
        <v/>
      </c>
      <c r="BI99" s="41" t="str">
        <f t="shared" si="27"/>
        <v/>
      </c>
      <c r="BJ99" s="41" t="str">
        <f t="shared" si="27"/>
        <v/>
      </c>
      <c r="BK99" s="41" t="str">
        <f t="shared" si="27"/>
        <v/>
      </c>
      <c r="BL99" s="41" t="str">
        <f t="shared" si="27"/>
        <v/>
      </c>
      <c r="BM99" s="41" t="str">
        <f t="shared" si="27"/>
        <v/>
      </c>
    </row>
    <row r="100" spans="1:65" ht="15" customHeight="1" x14ac:dyDescent="0.25">
      <c r="A100" s="957">
        <f t="shared" si="25"/>
        <v>0</v>
      </c>
      <c r="B100" s="10"/>
      <c r="C100" s="10"/>
      <c r="D100" s="13"/>
      <c r="E100" s="10"/>
      <c r="F100" s="10"/>
      <c r="G100" s="10"/>
      <c r="H100" s="10"/>
      <c r="I100" s="10"/>
      <c r="J100" s="10"/>
      <c r="K100" s="10"/>
      <c r="L100" s="10"/>
      <c r="M100" s="10"/>
      <c r="N100" s="10"/>
      <c r="O100" s="10"/>
      <c r="P100" s="4"/>
      <c r="Q100" s="1204"/>
      <c r="R100" s="101" t="str">
        <f t="shared" si="28"/>
        <v/>
      </c>
      <c r="S100" s="137">
        <f t="shared" si="30"/>
        <v>8</v>
      </c>
      <c r="T100" s="2129">
        <v>0.01</v>
      </c>
      <c r="U100" s="2130">
        <v>0.02</v>
      </c>
      <c r="V100" s="2130">
        <v>0.03</v>
      </c>
      <c r="W100" s="2130">
        <v>0.05</v>
      </c>
      <c r="X100" s="2130">
        <v>0.06</v>
      </c>
      <c r="Y100" s="2130">
        <v>0.08</v>
      </c>
      <c r="Z100" s="2130">
        <v>0.11</v>
      </c>
      <c r="AA100" s="2130">
        <v>0.16</v>
      </c>
      <c r="AB100" s="2130">
        <v>0.22</v>
      </c>
      <c r="AC100" s="2130">
        <v>0.3</v>
      </c>
      <c r="AD100" s="101"/>
      <c r="AE100" s="6"/>
      <c r="AF100" s="11"/>
      <c r="AG100" s="41">
        <f t="shared" si="26"/>
        <v>0</v>
      </c>
      <c r="AH100" s="41">
        <f>IF(ISERROR(HLOOKUP(AH$91,'Improved Sales Adjustments 1'!$G$7:$WV$147,68,FALSE)),0,IF(HLOOKUP(AH$91,'Improved Sales Adjustments 1'!$G$7:$WV$147,68,FALSE)="",0,IF($S100=HLOOKUP(AH$91,'Improved Sales Adjustments 1'!$G$7:$WV$147,68,FALSE),1,0)))</f>
        <v>0</v>
      </c>
      <c r="AI100" s="41">
        <f>IF(ISERROR(HLOOKUP(AI$91,'Improved Sales Adjustments 1'!$G$7:$WV$147,68,FALSE)),0,IF(HLOOKUP(AI$91,'Improved Sales Adjustments 1'!$G$7:$WV$147,68,FALSE)="",0,IF($S100=HLOOKUP(AI$91,'Improved Sales Adjustments 1'!$G$7:$WV$147,68,FALSE),1,0)))</f>
        <v>0</v>
      </c>
      <c r="AJ100" s="41">
        <f>IF(ISERROR(HLOOKUP(AJ$91,'Improved Sales Adjustments 1'!$G$7:$WV$147,68,FALSE)),0,IF(HLOOKUP(AJ$91,'Improved Sales Adjustments 1'!$G$7:$WV$147,68,FALSE)="",0,IF($S100=HLOOKUP(AJ$91,'Improved Sales Adjustments 1'!$G$7:$WV$147,68,FALSE),1,0)))</f>
        <v>0</v>
      </c>
      <c r="AK100" s="41">
        <f>IF(ISERROR(HLOOKUP(AK$91,'Improved Sales Adjustments 1'!$G$7:$WV$147,68,FALSE)),0,IF(HLOOKUP(AK$91,'Improved Sales Adjustments 1'!$G$7:$WV$147,68,FALSE)="",0,IF($S100=HLOOKUP(AK$91,'Improved Sales Adjustments 1'!$G$7:$WV$147,68,FALSE),1,0)))</f>
        <v>0</v>
      </c>
      <c r="AL100" s="41">
        <f>IF(ISERROR(HLOOKUP(AL$91,'Improved Sales Adjustments 1'!$G$7:$WV$147,68,FALSE)),0,IF(HLOOKUP(AL$91,'Improved Sales Adjustments 1'!$G$7:$WV$147,68,FALSE)="",0,IF($S100=HLOOKUP(AL$91,'Improved Sales Adjustments 1'!$G$7:$WV$147,68,FALSE),1,0)))</f>
        <v>0</v>
      </c>
      <c r="AM100" s="41">
        <f>IF(ISERROR(HLOOKUP(AM$91,'Improved Sales Adjustments 1'!$G$7:$WV$147,68,FALSE)),0,IF(HLOOKUP(AM$91,'Improved Sales Adjustments 1'!$G$7:$WV$147,68,FALSE)="",0,IF($S100=HLOOKUP(AM$91,'Improved Sales Adjustments 1'!$G$7:$WV$147,68,FALSE),1,0)))</f>
        <v>0</v>
      </c>
      <c r="AN100" s="41">
        <f>IF(ISERROR(HLOOKUP(AN$91,'Improved Sales Adjustments 1'!$G$7:$WV$147,68,FALSE)),0,IF(HLOOKUP(AN$91,'Improved Sales Adjustments 1'!$G$7:$WV$147,68,FALSE)="",0,IF($S100=HLOOKUP(AN$91,'Improved Sales Adjustments 1'!$G$7:$WV$147,68,FALSE),1,0)))</f>
        <v>0</v>
      </c>
      <c r="AO100" s="41">
        <f>IF(ISERROR(HLOOKUP(AO$91,'Improved Sales Adjustments 1'!$G$7:$WV$147,68,FALSE)),0,IF(HLOOKUP(AO$91,'Improved Sales Adjustments 1'!$G$7:$WV$147,68,FALSE)="",0,IF($S100=HLOOKUP(AO$91,'Improved Sales Adjustments 1'!$G$7:$WV$147,68,FALSE),1,0)))</f>
        <v>0</v>
      </c>
      <c r="AP100" s="41">
        <f>IF(ISERROR(HLOOKUP(AP$91,'Improved Sales Adjustments 1'!$G$7:$WV$147,68,FALSE)),0,IF(HLOOKUP(AP$91,'Improved Sales Adjustments 1'!$G$7:$WV$147,68,FALSE)="",0,IF($S100=HLOOKUP(AP$91,'Improved Sales Adjustments 1'!$G$7:$WV$147,68,FALSE),1,0)))</f>
        <v>0</v>
      </c>
      <c r="AQ100" s="41">
        <f>IF(ISERROR(HLOOKUP(AQ$91,'Improved Sales Adjustments 1'!$G$7:$WV$147,68,FALSE)),0,IF(HLOOKUP(AQ$91,'Improved Sales Adjustments 1'!$G$7:$WV$147,68,FALSE)="",0,IF($S100=HLOOKUP(AQ$91,'Improved Sales Adjustments 1'!$G$7:$WV$147,68,FALSE),1,0)))</f>
        <v>0</v>
      </c>
      <c r="AR100" s="41">
        <f>SUM($AG100:AG100)</f>
        <v>0</v>
      </c>
      <c r="AS100" s="41">
        <f>SUM($AG100:AH100)</f>
        <v>0</v>
      </c>
      <c r="AT100" s="41">
        <f>SUM($AG100:AI100)</f>
        <v>0</v>
      </c>
      <c r="AU100" s="41">
        <f>SUM($AG100:AJ100)</f>
        <v>0</v>
      </c>
      <c r="AV100" s="41">
        <f>SUM($AG100:AK100)</f>
        <v>0</v>
      </c>
      <c r="AW100" s="41">
        <f>SUM($AG100:AL100)</f>
        <v>0</v>
      </c>
      <c r="AX100" s="41">
        <f>SUM($AG100:AM100)</f>
        <v>0</v>
      </c>
      <c r="AY100" s="41">
        <f>SUM($AG100:AN100)</f>
        <v>0</v>
      </c>
      <c r="AZ100" s="41">
        <f>SUM($AG100:AO100)</f>
        <v>0</v>
      </c>
      <c r="BA100" s="41">
        <f>SUM($AG100:AP100)</f>
        <v>0</v>
      </c>
      <c r="BB100" s="41">
        <f>SUM($AG100:AQ100)</f>
        <v>0</v>
      </c>
      <c r="BC100" s="41" t="str">
        <f t="shared" si="29"/>
        <v/>
      </c>
      <c r="BD100" s="41" t="str">
        <f t="shared" si="27"/>
        <v/>
      </c>
      <c r="BE100" s="41" t="str">
        <f t="shared" si="27"/>
        <v/>
      </c>
      <c r="BF100" s="41" t="str">
        <f t="shared" si="27"/>
        <v/>
      </c>
      <c r="BG100" s="41" t="str">
        <f t="shared" si="27"/>
        <v/>
      </c>
      <c r="BH100" s="41" t="str">
        <f t="shared" si="27"/>
        <v/>
      </c>
      <c r="BI100" s="41" t="str">
        <f t="shared" si="27"/>
        <v/>
      </c>
      <c r="BJ100" s="41" t="str">
        <f t="shared" si="27"/>
        <v/>
      </c>
      <c r="BK100" s="41" t="str">
        <f t="shared" si="27"/>
        <v/>
      </c>
      <c r="BL100" s="41" t="str">
        <f t="shared" si="27"/>
        <v/>
      </c>
      <c r="BM100" s="41" t="str">
        <f t="shared" si="27"/>
        <v/>
      </c>
    </row>
    <row r="101" spans="1:65" ht="15" customHeight="1" x14ac:dyDescent="0.25">
      <c r="A101" s="957">
        <f t="shared" si="25"/>
        <v>0</v>
      </c>
      <c r="B101" s="10"/>
      <c r="C101" s="10"/>
      <c r="D101" s="13"/>
      <c r="E101" s="10"/>
      <c r="F101" s="10"/>
      <c r="G101" s="10"/>
      <c r="H101" s="10"/>
      <c r="I101" s="10"/>
      <c r="J101" s="10"/>
      <c r="K101" s="10"/>
      <c r="L101" s="10"/>
      <c r="M101" s="10"/>
      <c r="N101" s="10"/>
      <c r="O101" s="10"/>
      <c r="P101" s="4"/>
      <c r="Q101" s="1204"/>
      <c r="R101" s="101" t="str">
        <f t="shared" si="28"/>
        <v/>
      </c>
      <c r="S101" s="137">
        <f t="shared" si="30"/>
        <v>9</v>
      </c>
      <c r="T101" s="2129">
        <v>0.02</v>
      </c>
      <c r="U101" s="2130">
        <v>0.03</v>
      </c>
      <c r="V101" s="2130">
        <v>0.04</v>
      </c>
      <c r="W101" s="2130">
        <v>0.05</v>
      </c>
      <c r="X101" s="2130">
        <v>7.0000000000000007E-2</v>
      </c>
      <c r="Y101" s="2130">
        <v>0.1</v>
      </c>
      <c r="Z101" s="2130">
        <v>0.13</v>
      </c>
      <c r="AA101" s="2130">
        <v>0.18</v>
      </c>
      <c r="AB101" s="2130">
        <v>0.25</v>
      </c>
      <c r="AC101" s="2130">
        <v>0.35</v>
      </c>
      <c r="AD101" s="101"/>
      <c r="AE101" s="6"/>
      <c r="AF101" s="11"/>
      <c r="AG101" s="41">
        <f t="shared" si="26"/>
        <v>0</v>
      </c>
      <c r="AH101" s="41">
        <f>IF(ISERROR(HLOOKUP(AH$91,'Improved Sales Adjustments 1'!$G$7:$WV$147,68,FALSE)),0,IF(HLOOKUP(AH$91,'Improved Sales Adjustments 1'!$G$7:$WV$147,68,FALSE)="",0,IF($S101=HLOOKUP(AH$91,'Improved Sales Adjustments 1'!$G$7:$WV$147,68,FALSE),1,0)))</f>
        <v>0</v>
      </c>
      <c r="AI101" s="41">
        <f>IF(ISERROR(HLOOKUP(AI$91,'Improved Sales Adjustments 1'!$G$7:$WV$147,68,FALSE)),0,IF(HLOOKUP(AI$91,'Improved Sales Adjustments 1'!$G$7:$WV$147,68,FALSE)="",0,IF($S101=HLOOKUP(AI$91,'Improved Sales Adjustments 1'!$G$7:$WV$147,68,FALSE),1,0)))</f>
        <v>0</v>
      </c>
      <c r="AJ101" s="41">
        <f>IF(ISERROR(HLOOKUP(AJ$91,'Improved Sales Adjustments 1'!$G$7:$WV$147,68,FALSE)),0,IF(HLOOKUP(AJ$91,'Improved Sales Adjustments 1'!$G$7:$WV$147,68,FALSE)="",0,IF($S101=HLOOKUP(AJ$91,'Improved Sales Adjustments 1'!$G$7:$WV$147,68,FALSE),1,0)))</f>
        <v>0</v>
      </c>
      <c r="AK101" s="41">
        <f>IF(ISERROR(HLOOKUP(AK$91,'Improved Sales Adjustments 1'!$G$7:$WV$147,68,FALSE)),0,IF(HLOOKUP(AK$91,'Improved Sales Adjustments 1'!$G$7:$WV$147,68,FALSE)="",0,IF($S101=HLOOKUP(AK$91,'Improved Sales Adjustments 1'!$G$7:$WV$147,68,FALSE),1,0)))</f>
        <v>0</v>
      </c>
      <c r="AL101" s="41">
        <f>IF(ISERROR(HLOOKUP(AL$91,'Improved Sales Adjustments 1'!$G$7:$WV$147,68,FALSE)),0,IF(HLOOKUP(AL$91,'Improved Sales Adjustments 1'!$G$7:$WV$147,68,FALSE)="",0,IF($S101=HLOOKUP(AL$91,'Improved Sales Adjustments 1'!$G$7:$WV$147,68,FALSE),1,0)))</f>
        <v>0</v>
      </c>
      <c r="AM101" s="41">
        <f>IF(ISERROR(HLOOKUP(AM$91,'Improved Sales Adjustments 1'!$G$7:$WV$147,68,FALSE)),0,IF(HLOOKUP(AM$91,'Improved Sales Adjustments 1'!$G$7:$WV$147,68,FALSE)="",0,IF($S101=HLOOKUP(AM$91,'Improved Sales Adjustments 1'!$G$7:$WV$147,68,FALSE),1,0)))</f>
        <v>0</v>
      </c>
      <c r="AN101" s="41">
        <f>IF(ISERROR(HLOOKUP(AN$91,'Improved Sales Adjustments 1'!$G$7:$WV$147,68,FALSE)),0,IF(HLOOKUP(AN$91,'Improved Sales Adjustments 1'!$G$7:$WV$147,68,FALSE)="",0,IF($S101=HLOOKUP(AN$91,'Improved Sales Adjustments 1'!$G$7:$WV$147,68,FALSE),1,0)))</f>
        <v>0</v>
      </c>
      <c r="AO101" s="41">
        <f>IF(ISERROR(HLOOKUP(AO$91,'Improved Sales Adjustments 1'!$G$7:$WV$147,68,FALSE)),0,IF(HLOOKUP(AO$91,'Improved Sales Adjustments 1'!$G$7:$WV$147,68,FALSE)="",0,IF($S101=HLOOKUP(AO$91,'Improved Sales Adjustments 1'!$G$7:$WV$147,68,FALSE),1,0)))</f>
        <v>0</v>
      </c>
      <c r="AP101" s="41">
        <f>IF(ISERROR(HLOOKUP(AP$91,'Improved Sales Adjustments 1'!$G$7:$WV$147,68,FALSE)),0,IF(HLOOKUP(AP$91,'Improved Sales Adjustments 1'!$G$7:$WV$147,68,FALSE)="",0,IF($S101=HLOOKUP(AP$91,'Improved Sales Adjustments 1'!$G$7:$WV$147,68,FALSE),1,0)))</f>
        <v>0</v>
      </c>
      <c r="AQ101" s="41">
        <f>IF(ISERROR(HLOOKUP(AQ$91,'Improved Sales Adjustments 1'!$G$7:$WV$147,68,FALSE)),0,IF(HLOOKUP(AQ$91,'Improved Sales Adjustments 1'!$G$7:$WV$147,68,FALSE)="",0,IF($S101=HLOOKUP(AQ$91,'Improved Sales Adjustments 1'!$G$7:$WV$147,68,FALSE),1,0)))</f>
        <v>0</v>
      </c>
      <c r="AR101" s="41">
        <f>SUM($AG101:AG101)</f>
        <v>0</v>
      </c>
      <c r="AS101" s="41">
        <f>SUM($AG101:AH101)</f>
        <v>0</v>
      </c>
      <c r="AT101" s="41">
        <f>SUM($AG101:AI101)</f>
        <v>0</v>
      </c>
      <c r="AU101" s="41">
        <f>SUM($AG101:AJ101)</f>
        <v>0</v>
      </c>
      <c r="AV101" s="41">
        <f>SUM($AG101:AK101)</f>
        <v>0</v>
      </c>
      <c r="AW101" s="41">
        <f>SUM($AG101:AL101)</f>
        <v>0</v>
      </c>
      <c r="AX101" s="41">
        <f>SUM($AG101:AM101)</f>
        <v>0</v>
      </c>
      <c r="AY101" s="41">
        <f>SUM($AG101:AN101)</f>
        <v>0</v>
      </c>
      <c r="AZ101" s="41">
        <f>SUM($AG101:AO101)</f>
        <v>0</v>
      </c>
      <c r="BA101" s="41">
        <f>SUM($AG101:AP101)</f>
        <v>0</v>
      </c>
      <c r="BB101" s="41">
        <f>SUM($AG101:AQ101)</f>
        <v>0</v>
      </c>
      <c r="BC101" s="41" t="str">
        <f t="shared" si="29"/>
        <v/>
      </c>
      <c r="BD101" s="41" t="str">
        <f t="shared" si="27"/>
        <v/>
      </c>
      <c r="BE101" s="41" t="str">
        <f t="shared" si="27"/>
        <v/>
      </c>
      <c r="BF101" s="41" t="str">
        <f t="shared" si="27"/>
        <v/>
      </c>
      <c r="BG101" s="41" t="str">
        <f t="shared" si="27"/>
        <v/>
      </c>
      <c r="BH101" s="41" t="str">
        <f t="shared" si="27"/>
        <v/>
      </c>
      <c r="BI101" s="41" t="str">
        <f t="shared" si="27"/>
        <v/>
      </c>
      <c r="BJ101" s="41" t="str">
        <f t="shared" si="27"/>
        <v/>
      </c>
      <c r="BK101" s="41" t="str">
        <f t="shared" si="27"/>
        <v/>
      </c>
      <c r="BL101" s="41" t="str">
        <f t="shared" si="27"/>
        <v/>
      </c>
      <c r="BM101" s="41" t="str">
        <f t="shared" si="27"/>
        <v/>
      </c>
    </row>
    <row r="102" spans="1:65" ht="15" customHeight="1" x14ac:dyDescent="0.25">
      <c r="A102" s="957">
        <f t="shared" si="25"/>
        <v>0</v>
      </c>
      <c r="B102" s="10"/>
      <c r="C102" s="10"/>
      <c r="D102" s="13"/>
      <c r="E102" s="10"/>
      <c r="F102" s="10"/>
      <c r="G102" s="10"/>
      <c r="H102" s="10"/>
      <c r="I102" s="10"/>
      <c r="J102" s="10"/>
      <c r="K102" s="10"/>
      <c r="L102" s="10"/>
      <c r="M102" s="10"/>
      <c r="N102" s="10"/>
      <c r="O102" s="10"/>
      <c r="P102" s="4"/>
      <c r="Q102" s="1204"/>
      <c r="R102" s="101" t="str">
        <f t="shared" si="28"/>
        <v/>
      </c>
      <c r="S102" s="137">
        <f t="shared" si="30"/>
        <v>10</v>
      </c>
      <c r="T102" s="2129">
        <v>0.02</v>
      </c>
      <c r="U102" s="2130">
        <v>0.03</v>
      </c>
      <c r="V102" s="2130">
        <v>0.04</v>
      </c>
      <c r="W102" s="2130">
        <v>0.06</v>
      </c>
      <c r="X102" s="2130">
        <v>0.08</v>
      </c>
      <c r="Y102" s="2130">
        <v>0.11</v>
      </c>
      <c r="Z102" s="2130">
        <v>0.15</v>
      </c>
      <c r="AA102" s="2130">
        <v>0.21</v>
      </c>
      <c r="AB102" s="2130">
        <v>0.28999999999999998</v>
      </c>
      <c r="AC102" s="2130">
        <v>0.4</v>
      </c>
      <c r="AD102" s="101"/>
      <c r="AE102" s="6"/>
      <c r="AF102" s="11"/>
      <c r="AG102" s="41">
        <f t="shared" si="26"/>
        <v>0</v>
      </c>
      <c r="AH102" s="41">
        <f>IF(ISERROR(HLOOKUP(AH$91,'Improved Sales Adjustments 1'!$G$7:$WV$147,68,FALSE)),0,IF(HLOOKUP(AH$91,'Improved Sales Adjustments 1'!$G$7:$WV$147,68,FALSE)="",0,IF($S102=HLOOKUP(AH$91,'Improved Sales Adjustments 1'!$G$7:$WV$147,68,FALSE),1,0)))</f>
        <v>0</v>
      </c>
      <c r="AI102" s="41">
        <f>IF(ISERROR(HLOOKUP(AI$91,'Improved Sales Adjustments 1'!$G$7:$WV$147,68,FALSE)),0,IF(HLOOKUP(AI$91,'Improved Sales Adjustments 1'!$G$7:$WV$147,68,FALSE)="",0,IF($S102=HLOOKUP(AI$91,'Improved Sales Adjustments 1'!$G$7:$WV$147,68,FALSE),1,0)))</f>
        <v>0</v>
      </c>
      <c r="AJ102" s="41">
        <f>IF(ISERROR(HLOOKUP(AJ$91,'Improved Sales Adjustments 1'!$G$7:$WV$147,68,FALSE)),0,IF(HLOOKUP(AJ$91,'Improved Sales Adjustments 1'!$G$7:$WV$147,68,FALSE)="",0,IF($S102=HLOOKUP(AJ$91,'Improved Sales Adjustments 1'!$G$7:$WV$147,68,FALSE),1,0)))</f>
        <v>0</v>
      </c>
      <c r="AK102" s="41">
        <f>IF(ISERROR(HLOOKUP(AK$91,'Improved Sales Adjustments 1'!$G$7:$WV$147,68,FALSE)),0,IF(HLOOKUP(AK$91,'Improved Sales Adjustments 1'!$G$7:$WV$147,68,FALSE)="",0,IF($S102=HLOOKUP(AK$91,'Improved Sales Adjustments 1'!$G$7:$WV$147,68,FALSE),1,0)))</f>
        <v>0</v>
      </c>
      <c r="AL102" s="41">
        <f>IF(ISERROR(HLOOKUP(AL$91,'Improved Sales Adjustments 1'!$G$7:$WV$147,68,FALSE)),0,IF(HLOOKUP(AL$91,'Improved Sales Adjustments 1'!$G$7:$WV$147,68,FALSE)="",0,IF($S102=HLOOKUP(AL$91,'Improved Sales Adjustments 1'!$G$7:$WV$147,68,FALSE),1,0)))</f>
        <v>0</v>
      </c>
      <c r="AM102" s="41">
        <f>IF(ISERROR(HLOOKUP(AM$91,'Improved Sales Adjustments 1'!$G$7:$WV$147,68,FALSE)),0,IF(HLOOKUP(AM$91,'Improved Sales Adjustments 1'!$G$7:$WV$147,68,FALSE)="",0,IF($S102=HLOOKUP(AM$91,'Improved Sales Adjustments 1'!$G$7:$WV$147,68,FALSE),1,0)))</f>
        <v>0</v>
      </c>
      <c r="AN102" s="41">
        <f>IF(ISERROR(HLOOKUP(AN$91,'Improved Sales Adjustments 1'!$G$7:$WV$147,68,FALSE)),0,IF(HLOOKUP(AN$91,'Improved Sales Adjustments 1'!$G$7:$WV$147,68,FALSE)="",0,IF($S102=HLOOKUP(AN$91,'Improved Sales Adjustments 1'!$G$7:$WV$147,68,FALSE),1,0)))</f>
        <v>0</v>
      </c>
      <c r="AO102" s="41">
        <f>IF(ISERROR(HLOOKUP(AO$91,'Improved Sales Adjustments 1'!$G$7:$WV$147,68,FALSE)),0,IF(HLOOKUP(AO$91,'Improved Sales Adjustments 1'!$G$7:$WV$147,68,FALSE)="",0,IF($S102=HLOOKUP(AO$91,'Improved Sales Adjustments 1'!$G$7:$WV$147,68,FALSE),1,0)))</f>
        <v>0</v>
      </c>
      <c r="AP102" s="41">
        <f>IF(ISERROR(HLOOKUP(AP$91,'Improved Sales Adjustments 1'!$G$7:$WV$147,68,FALSE)),0,IF(HLOOKUP(AP$91,'Improved Sales Adjustments 1'!$G$7:$WV$147,68,FALSE)="",0,IF($S102=HLOOKUP(AP$91,'Improved Sales Adjustments 1'!$G$7:$WV$147,68,FALSE),1,0)))</f>
        <v>0</v>
      </c>
      <c r="AQ102" s="41">
        <f>IF(ISERROR(HLOOKUP(AQ$91,'Improved Sales Adjustments 1'!$G$7:$WV$147,68,FALSE)),0,IF(HLOOKUP(AQ$91,'Improved Sales Adjustments 1'!$G$7:$WV$147,68,FALSE)="",0,IF($S102=HLOOKUP(AQ$91,'Improved Sales Adjustments 1'!$G$7:$WV$147,68,FALSE),1,0)))</f>
        <v>0</v>
      </c>
      <c r="AR102" s="41">
        <f>SUM($AG102:AG102)</f>
        <v>0</v>
      </c>
      <c r="AS102" s="41">
        <f>SUM($AG102:AH102)</f>
        <v>0</v>
      </c>
      <c r="AT102" s="41">
        <f>SUM($AG102:AI102)</f>
        <v>0</v>
      </c>
      <c r="AU102" s="41">
        <f>SUM($AG102:AJ102)</f>
        <v>0</v>
      </c>
      <c r="AV102" s="41">
        <f>SUM($AG102:AK102)</f>
        <v>0</v>
      </c>
      <c r="AW102" s="41">
        <f>SUM($AG102:AL102)</f>
        <v>0</v>
      </c>
      <c r="AX102" s="41">
        <f>SUM($AG102:AM102)</f>
        <v>0</v>
      </c>
      <c r="AY102" s="41">
        <f>SUM($AG102:AN102)</f>
        <v>0</v>
      </c>
      <c r="AZ102" s="41">
        <f>SUM($AG102:AO102)</f>
        <v>0</v>
      </c>
      <c r="BA102" s="41">
        <f>SUM($AG102:AP102)</f>
        <v>0</v>
      </c>
      <c r="BB102" s="41">
        <f>SUM($AG102:AQ102)</f>
        <v>0</v>
      </c>
      <c r="BC102" s="41" t="str">
        <f t="shared" si="29"/>
        <v/>
      </c>
      <c r="BD102" s="41" t="str">
        <f t="shared" si="27"/>
        <v/>
      </c>
      <c r="BE102" s="41" t="str">
        <f t="shared" si="27"/>
        <v/>
      </c>
      <c r="BF102" s="41" t="str">
        <f t="shared" si="27"/>
        <v/>
      </c>
      <c r="BG102" s="41" t="str">
        <f t="shared" si="27"/>
        <v/>
      </c>
      <c r="BH102" s="41" t="str">
        <f t="shared" si="27"/>
        <v/>
      </c>
      <c r="BI102" s="41" t="str">
        <f t="shared" si="27"/>
        <v/>
      </c>
      <c r="BJ102" s="41" t="str">
        <f t="shared" si="27"/>
        <v/>
      </c>
      <c r="BK102" s="41" t="str">
        <f t="shared" si="27"/>
        <v/>
      </c>
      <c r="BL102" s="41" t="str">
        <f t="shared" si="27"/>
        <v/>
      </c>
      <c r="BM102" s="41" t="str">
        <f t="shared" si="27"/>
        <v/>
      </c>
    </row>
    <row r="103" spans="1:65" ht="15" customHeight="1" x14ac:dyDescent="0.25">
      <c r="A103" s="957">
        <f t="shared" si="25"/>
        <v>0</v>
      </c>
      <c r="B103" s="10"/>
      <c r="C103" s="10"/>
      <c r="D103" s="13"/>
      <c r="E103" s="10"/>
      <c r="F103" s="10"/>
      <c r="G103" s="10"/>
      <c r="H103" s="10"/>
      <c r="I103" s="10"/>
      <c r="J103" s="10"/>
      <c r="K103" s="10"/>
      <c r="L103" s="10"/>
      <c r="M103" s="10"/>
      <c r="N103" s="10"/>
      <c r="O103" s="10"/>
      <c r="P103" s="4"/>
      <c r="Q103" s="1204"/>
      <c r="R103" s="101" t="str">
        <f t="shared" si="28"/>
        <v/>
      </c>
      <c r="S103" s="137">
        <f t="shared" si="30"/>
        <v>11</v>
      </c>
      <c r="T103" s="2129">
        <v>0.02</v>
      </c>
      <c r="U103" s="2130">
        <v>0.04</v>
      </c>
      <c r="V103" s="2130">
        <v>0.05</v>
      </c>
      <c r="W103" s="2130">
        <v>7.0000000000000007E-2</v>
      </c>
      <c r="X103" s="2130">
        <v>0.09</v>
      </c>
      <c r="Y103" s="2130">
        <v>0.13</v>
      </c>
      <c r="Z103" s="2130">
        <v>0.17</v>
      </c>
      <c r="AA103" s="2130">
        <v>0.24</v>
      </c>
      <c r="AB103" s="2130">
        <v>0.32</v>
      </c>
      <c r="AC103" s="2130">
        <v>0.45</v>
      </c>
      <c r="AD103" s="101"/>
      <c r="AE103" s="6"/>
      <c r="AF103" s="11"/>
      <c r="AG103" s="41">
        <f t="shared" si="26"/>
        <v>0</v>
      </c>
      <c r="AH103" s="41">
        <f>IF(ISERROR(HLOOKUP(AH$91,'Improved Sales Adjustments 1'!$G$7:$WV$147,68,FALSE)),0,IF(HLOOKUP(AH$91,'Improved Sales Adjustments 1'!$G$7:$WV$147,68,FALSE)="",0,IF($S103=HLOOKUP(AH$91,'Improved Sales Adjustments 1'!$G$7:$WV$147,68,FALSE),1,0)))</f>
        <v>0</v>
      </c>
      <c r="AI103" s="41">
        <f>IF(ISERROR(HLOOKUP(AI$91,'Improved Sales Adjustments 1'!$G$7:$WV$147,68,FALSE)),0,IF(HLOOKUP(AI$91,'Improved Sales Adjustments 1'!$G$7:$WV$147,68,FALSE)="",0,IF($S103=HLOOKUP(AI$91,'Improved Sales Adjustments 1'!$G$7:$WV$147,68,FALSE),1,0)))</f>
        <v>0</v>
      </c>
      <c r="AJ103" s="41">
        <f>IF(ISERROR(HLOOKUP(AJ$91,'Improved Sales Adjustments 1'!$G$7:$WV$147,68,FALSE)),0,IF(HLOOKUP(AJ$91,'Improved Sales Adjustments 1'!$G$7:$WV$147,68,FALSE)="",0,IF($S103=HLOOKUP(AJ$91,'Improved Sales Adjustments 1'!$G$7:$WV$147,68,FALSE),1,0)))</f>
        <v>0</v>
      </c>
      <c r="AK103" s="41">
        <f>IF(ISERROR(HLOOKUP(AK$91,'Improved Sales Adjustments 1'!$G$7:$WV$147,68,FALSE)),0,IF(HLOOKUP(AK$91,'Improved Sales Adjustments 1'!$G$7:$WV$147,68,FALSE)="",0,IF($S103=HLOOKUP(AK$91,'Improved Sales Adjustments 1'!$G$7:$WV$147,68,FALSE),1,0)))</f>
        <v>0</v>
      </c>
      <c r="AL103" s="41">
        <f>IF(ISERROR(HLOOKUP(AL$91,'Improved Sales Adjustments 1'!$G$7:$WV$147,68,FALSE)),0,IF(HLOOKUP(AL$91,'Improved Sales Adjustments 1'!$G$7:$WV$147,68,FALSE)="",0,IF($S103=HLOOKUP(AL$91,'Improved Sales Adjustments 1'!$G$7:$WV$147,68,FALSE),1,0)))</f>
        <v>0</v>
      </c>
      <c r="AM103" s="41">
        <f>IF(ISERROR(HLOOKUP(AM$91,'Improved Sales Adjustments 1'!$G$7:$WV$147,68,FALSE)),0,IF(HLOOKUP(AM$91,'Improved Sales Adjustments 1'!$G$7:$WV$147,68,FALSE)="",0,IF($S103=HLOOKUP(AM$91,'Improved Sales Adjustments 1'!$G$7:$WV$147,68,FALSE),1,0)))</f>
        <v>0</v>
      </c>
      <c r="AN103" s="41">
        <f>IF(ISERROR(HLOOKUP(AN$91,'Improved Sales Adjustments 1'!$G$7:$WV$147,68,FALSE)),0,IF(HLOOKUP(AN$91,'Improved Sales Adjustments 1'!$G$7:$WV$147,68,FALSE)="",0,IF($S103=HLOOKUP(AN$91,'Improved Sales Adjustments 1'!$G$7:$WV$147,68,FALSE),1,0)))</f>
        <v>0</v>
      </c>
      <c r="AO103" s="41">
        <f>IF(ISERROR(HLOOKUP(AO$91,'Improved Sales Adjustments 1'!$G$7:$WV$147,68,FALSE)),0,IF(HLOOKUP(AO$91,'Improved Sales Adjustments 1'!$G$7:$WV$147,68,FALSE)="",0,IF($S103=HLOOKUP(AO$91,'Improved Sales Adjustments 1'!$G$7:$WV$147,68,FALSE),1,0)))</f>
        <v>0</v>
      </c>
      <c r="AP103" s="41">
        <f>IF(ISERROR(HLOOKUP(AP$91,'Improved Sales Adjustments 1'!$G$7:$WV$147,68,FALSE)),0,IF(HLOOKUP(AP$91,'Improved Sales Adjustments 1'!$G$7:$WV$147,68,FALSE)="",0,IF($S103=HLOOKUP(AP$91,'Improved Sales Adjustments 1'!$G$7:$WV$147,68,FALSE),1,0)))</f>
        <v>0</v>
      </c>
      <c r="AQ103" s="41">
        <f>IF(ISERROR(HLOOKUP(AQ$91,'Improved Sales Adjustments 1'!$G$7:$WV$147,68,FALSE)),0,IF(HLOOKUP(AQ$91,'Improved Sales Adjustments 1'!$G$7:$WV$147,68,FALSE)="",0,IF($S103=HLOOKUP(AQ$91,'Improved Sales Adjustments 1'!$G$7:$WV$147,68,FALSE),1,0)))</f>
        <v>0</v>
      </c>
      <c r="AR103" s="41">
        <f>SUM($AG103:AG103)</f>
        <v>0</v>
      </c>
      <c r="AS103" s="41">
        <f>SUM($AG103:AH103)</f>
        <v>0</v>
      </c>
      <c r="AT103" s="41">
        <f>SUM($AG103:AI103)</f>
        <v>0</v>
      </c>
      <c r="AU103" s="41">
        <f>SUM($AG103:AJ103)</f>
        <v>0</v>
      </c>
      <c r="AV103" s="41">
        <f>SUM($AG103:AK103)</f>
        <v>0</v>
      </c>
      <c r="AW103" s="41">
        <f>SUM($AG103:AL103)</f>
        <v>0</v>
      </c>
      <c r="AX103" s="41">
        <f>SUM($AG103:AM103)</f>
        <v>0</v>
      </c>
      <c r="AY103" s="41">
        <f>SUM($AG103:AN103)</f>
        <v>0</v>
      </c>
      <c r="AZ103" s="41">
        <f>SUM($AG103:AO103)</f>
        <v>0</v>
      </c>
      <c r="BA103" s="41">
        <f>SUM($AG103:AP103)</f>
        <v>0</v>
      </c>
      <c r="BB103" s="41">
        <f>SUM($AG103:AQ103)</f>
        <v>0</v>
      </c>
      <c r="BC103" s="41" t="str">
        <f t="shared" si="29"/>
        <v/>
      </c>
      <c r="BD103" s="41" t="str">
        <f t="shared" si="27"/>
        <v/>
      </c>
      <c r="BE103" s="41" t="str">
        <f t="shared" si="27"/>
        <v/>
      </c>
      <c r="BF103" s="41" t="str">
        <f t="shared" si="27"/>
        <v/>
      </c>
      <c r="BG103" s="41" t="str">
        <f t="shared" si="27"/>
        <v/>
      </c>
      <c r="BH103" s="41" t="str">
        <f t="shared" si="27"/>
        <v/>
      </c>
      <c r="BI103" s="41" t="str">
        <f t="shared" si="27"/>
        <v/>
      </c>
      <c r="BJ103" s="41" t="str">
        <f t="shared" si="27"/>
        <v/>
      </c>
      <c r="BK103" s="41" t="str">
        <f t="shared" si="27"/>
        <v/>
      </c>
      <c r="BL103" s="41" t="str">
        <f t="shared" si="27"/>
        <v/>
      </c>
      <c r="BM103" s="41" t="str">
        <f t="shared" si="27"/>
        <v/>
      </c>
    </row>
    <row r="104" spans="1:65" ht="15" customHeight="1" x14ac:dyDescent="0.25">
      <c r="A104" s="957">
        <f t="shared" si="25"/>
        <v>0</v>
      </c>
      <c r="B104" s="10"/>
      <c r="C104" s="10"/>
      <c r="D104" s="13"/>
      <c r="E104" s="10"/>
      <c r="F104" s="10"/>
      <c r="G104" s="10"/>
      <c r="H104" s="10"/>
      <c r="I104" s="10"/>
      <c r="J104" s="10"/>
      <c r="K104" s="10"/>
      <c r="L104" s="10"/>
      <c r="M104" s="10"/>
      <c r="N104" s="10"/>
      <c r="O104" s="10"/>
      <c r="P104" s="4"/>
      <c r="Q104" s="1204"/>
      <c r="R104" s="101" t="str">
        <f t="shared" si="28"/>
        <v/>
      </c>
      <c r="S104" s="137">
        <f t="shared" si="30"/>
        <v>12</v>
      </c>
      <c r="T104" s="2129">
        <v>0.02</v>
      </c>
      <c r="U104" s="2130">
        <v>0.04</v>
      </c>
      <c r="V104" s="2130">
        <v>0.06</v>
      </c>
      <c r="W104" s="2130">
        <v>0.08</v>
      </c>
      <c r="X104" s="2130">
        <v>0.1</v>
      </c>
      <c r="Y104" s="2130">
        <v>0.14000000000000001</v>
      </c>
      <c r="Z104" s="2130">
        <v>0.19</v>
      </c>
      <c r="AA104" s="2130">
        <v>0.26</v>
      </c>
      <c r="AB104" s="2130">
        <v>0.36</v>
      </c>
      <c r="AC104" s="2130">
        <v>0.5</v>
      </c>
      <c r="AD104" s="101"/>
      <c r="AE104" s="6"/>
      <c r="AF104" s="11"/>
      <c r="AG104" s="41">
        <f t="shared" si="26"/>
        <v>0</v>
      </c>
      <c r="AH104" s="41">
        <f>IF(ISERROR(HLOOKUP(AH$91,'Improved Sales Adjustments 1'!$G$7:$WV$147,68,FALSE)),0,IF(HLOOKUP(AH$91,'Improved Sales Adjustments 1'!$G$7:$WV$147,68,FALSE)="",0,IF($S104=HLOOKUP(AH$91,'Improved Sales Adjustments 1'!$G$7:$WV$147,68,FALSE),1,0)))</f>
        <v>0</v>
      </c>
      <c r="AI104" s="41">
        <f>IF(ISERROR(HLOOKUP(AI$91,'Improved Sales Adjustments 1'!$G$7:$WV$147,68,FALSE)),0,IF(HLOOKUP(AI$91,'Improved Sales Adjustments 1'!$G$7:$WV$147,68,FALSE)="",0,IF($S104=HLOOKUP(AI$91,'Improved Sales Adjustments 1'!$G$7:$WV$147,68,FALSE),1,0)))</f>
        <v>0</v>
      </c>
      <c r="AJ104" s="41">
        <f>IF(ISERROR(HLOOKUP(AJ$91,'Improved Sales Adjustments 1'!$G$7:$WV$147,68,FALSE)),0,IF(HLOOKUP(AJ$91,'Improved Sales Adjustments 1'!$G$7:$WV$147,68,FALSE)="",0,IF($S104=HLOOKUP(AJ$91,'Improved Sales Adjustments 1'!$G$7:$WV$147,68,FALSE),1,0)))</f>
        <v>0</v>
      </c>
      <c r="AK104" s="41">
        <f>IF(ISERROR(HLOOKUP(AK$91,'Improved Sales Adjustments 1'!$G$7:$WV$147,68,FALSE)),0,IF(HLOOKUP(AK$91,'Improved Sales Adjustments 1'!$G$7:$WV$147,68,FALSE)="",0,IF($S104=HLOOKUP(AK$91,'Improved Sales Adjustments 1'!$G$7:$WV$147,68,FALSE),1,0)))</f>
        <v>0</v>
      </c>
      <c r="AL104" s="41">
        <f>IF(ISERROR(HLOOKUP(AL$91,'Improved Sales Adjustments 1'!$G$7:$WV$147,68,FALSE)),0,IF(HLOOKUP(AL$91,'Improved Sales Adjustments 1'!$G$7:$WV$147,68,FALSE)="",0,IF($S104=HLOOKUP(AL$91,'Improved Sales Adjustments 1'!$G$7:$WV$147,68,FALSE),1,0)))</f>
        <v>0</v>
      </c>
      <c r="AM104" s="41">
        <f>IF(ISERROR(HLOOKUP(AM$91,'Improved Sales Adjustments 1'!$G$7:$WV$147,68,FALSE)),0,IF(HLOOKUP(AM$91,'Improved Sales Adjustments 1'!$G$7:$WV$147,68,FALSE)="",0,IF($S104=HLOOKUP(AM$91,'Improved Sales Adjustments 1'!$G$7:$WV$147,68,FALSE),1,0)))</f>
        <v>0</v>
      </c>
      <c r="AN104" s="41">
        <f>IF(ISERROR(HLOOKUP(AN$91,'Improved Sales Adjustments 1'!$G$7:$WV$147,68,FALSE)),0,IF(HLOOKUP(AN$91,'Improved Sales Adjustments 1'!$G$7:$WV$147,68,FALSE)="",0,IF($S104=HLOOKUP(AN$91,'Improved Sales Adjustments 1'!$G$7:$WV$147,68,FALSE),1,0)))</f>
        <v>0</v>
      </c>
      <c r="AO104" s="41">
        <f>IF(ISERROR(HLOOKUP(AO$91,'Improved Sales Adjustments 1'!$G$7:$WV$147,68,FALSE)),0,IF(HLOOKUP(AO$91,'Improved Sales Adjustments 1'!$G$7:$WV$147,68,FALSE)="",0,IF($S104=HLOOKUP(AO$91,'Improved Sales Adjustments 1'!$G$7:$WV$147,68,FALSE),1,0)))</f>
        <v>0</v>
      </c>
      <c r="AP104" s="41">
        <f>IF(ISERROR(HLOOKUP(AP$91,'Improved Sales Adjustments 1'!$G$7:$WV$147,68,FALSE)),0,IF(HLOOKUP(AP$91,'Improved Sales Adjustments 1'!$G$7:$WV$147,68,FALSE)="",0,IF($S104=HLOOKUP(AP$91,'Improved Sales Adjustments 1'!$G$7:$WV$147,68,FALSE),1,0)))</f>
        <v>0</v>
      </c>
      <c r="AQ104" s="41">
        <f>IF(ISERROR(HLOOKUP(AQ$91,'Improved Sales Adjustments 1'!$G$7:$WV$147,68,FALSE)),0,IF(HLOOKUP(AQ$91,'Improved Sales Adjustments 1'!$G$7:$WV$147,68,FALSE)="",0,IF($S104=HLOOKUP(AQ$91,'Improved Sales Adjustments 1'!$G$7:$WV$147,68,FALSE),1,0)))</f>
        <v>0</v>
      </c>
      <c r="AR104" s="41">
        <f>SUM($AG104:AG104)</f>
        <v>0</v>
      </c>
      <c r="AS104" s="41">
        <f>SUM($AG104:AH104)</f>
        <v>0</v>
      </c>
      <c r="AT104" s="41">
        <f>SUM($AG104:AI104)</f>
        <v>0</v>
      </c>
      <c r="AU104" s="41">
        <f>SUM($AG104:AJ104)</f>
        <v>0</v>
      </c>
      <c r="AV104" s="41">
        <f>SUM($AG104:AK104)</f>
        <v>0</v>
      </c>
      <c r="AW104" s="41">
        <f>SUM($AG104:AL104)</f>
        <v>0</v>
      </c>
      <c r="AX104" s="41">
        <f>SUM($AG104:AM104)</f>
        <v>0</v>
      </c>
      <c r="AY104" s="41">
        <f>SUM($AG104:AN104)</f>
        <v>0</v>
      </c>
      <c r="AZ104" s="41">
        <f>SUM($AG104:AO104)</f>
        <v>0</v>
      </c>
      <c r="BA104" s="41">
        <f>SUM($AG104:AP104)</f>
        <v>0</v>
      </c>
      <c r="BB104" s="41">
        <f>SUM($AG104:AQ104)</f>
        <v>0</v>
      </c>
      <c r="BC104" s="41" t="str">
        <f t="shared" si="29"/>
        <v/>
      </c>
      <c r="BD104" s="41" t="str">
        <f t="shared" si="27"/>
        <v/>
      </c>
      <c r="BE104" s="41" t="str">
        <f t="shared" si="27"/>
        <v/>
      </c>
      <c r="BF104" s="41" t="str">
        <f t="shared" si="27"/>
        <v/>
      </c>
      <c r="BG104" s="41" t="str">
        <f t="shared" si="27"/>
        <v/>
      </c>
      <c r="BH104" s="41" t="str">
        <f t="shared" si="27"/>
        <v/>
      </c>
      <c r="BI104" s="41" t="str">
        <f t="shared" si="27"/>
        <v/>
      </c>
      <c r="BJ104" s="41" t="str">
        <f t="shared" si="27"/>
        <v/>
      </c>
      <c r="BK104" s="41" t="str">
        <f t="shared" si="27"/>
        <v/>
      </c>
      <c r="BL104" s="41" t="str">
        <f t="shared" si="27"/>
        <v/>
      </c>
      <c r="BM104" s="41" t="str">
        <f t="shared" si="27"/>
        <v/>
      </c>
    </row>
    <row r="105" spans="1:65" ht="15" customHeight="1" x14ac:dyDescent="0.25">
      <c r="A105" s="957">
        <f t="shared" si="25"/>
        <v>0</v>
      </c>
      <c r="B105" s="10"/>
      <c r="C105" s="10"/>
      <c r="D105" s="13"/>
      <c r="E105" s="10"/>
      <c r="F105" s="10"/>
      <c r="G105" s="10"/>
      <c r="H105" s="10"/>
      <c r="I105" s="10"/>
      <c r="J105" s="10"/>
      <c r="K105" s="10"/>
      <c r="L105" s="10"/>
      <c r="M105" s="10"/>
      <c r="N105" s="10"/>
      <c r="O105" s="10"/>
      <c r="P105" s="4"/>
      <c r="Q105" s="1204"/>
      <c r="R105" s="101" t="str">
        <f t="shared" si="28"/>
        <v/>
      </c>
      <c r="S105" s="137">
        <f t="shared" si="30"/>
        <v>13</v>
      </c>
      <c r="T105" s="2129">
        <v>0.02</v>
      </c>
      <c r="U105" s="2130">
        <v>0.05</v>
      </c>
      <c r="V105" s="2130">
        <v>0.06</v>
      </c>
      <c r="W105" s="2130">
        <v>0.09</v>
      </c>
      <c r="X105" s="2130">
        <v>0.12</v>
      </c>
      <c r="Y105" s="2130">
        <v>0.16</v>
      </c>
      <c r="Z105" s="2130">
        <v>0.22</v>
      </c>
      <c r="AA105" s="2130">
        <v>0.28999999999999998</v>
      </c>
      <c r="AB105" s="2130">
        <v>0.4</v>
      </c>
      <c r="AC105" s="2130">
        <v>0.55000000000000004</v>
      </c>
      <c r="AD105" s="101"/>
      <c r="AE105" s="6"/>
      <c r="AF105" s="11"/>
      <c r="AG105" s="41">
        <f t="shared" si="26"/>
        <v>0</v>
      </c>
      <c r="AH105" s="41">
        <f>IF(ISERROR(HLOOKUP(AH$91,'Improved Sales Adjustments 1'!$G$7:$WV$147,68,FALSE)),0,IF(HLOOKUP(AH$91,'Improved Sales Adjustments 1'!$G$7:$WV$147,68,FALSE)="",0,IF($S105=HLOOKUP(AH$91,'Improved Sales Adjustments 1'!$G$7:$WV$147,68,FALSE),1,0)))</f>
        <v>0</v>
      </c>
      <c r="AI105" s="41">
        <f>IF(ISERROR(HLOOKUP(AI$91,'Improved Sales Adjustments 1'!$G$7:$WV$147,68,FALSE)),0,IF(HLOOKUP(AI$91,'Improved Sales Adjustments 1'!$G$7:$WV$147,68,FALSE)="",0,IF($S105=HLOOKUP(AI$91,'Improved Sales Adjustments 1'!$G$7:$WV$147,68,FALSE),1,0)))</f>
        <v>0</v>
      </c>
      <c r="AJ105" s="41">
        <f>IF(ISERROR(HLOOKUP(AJ$91,'Improved Sales Adjustments 1'!$G$7:$WV$147,68,FALSE)),0,IF(HLOOKUP(AJ$91,'Improved Sales Adjustments 1'!$G$7:$WV$147,68,FALSE)="",0,IF($S105=HLOOKUP(AJ$91,'Improved Sales Adjustments 1'!$G$7:$WV$147,68,FALSE),1,0)))</f>
        <v>0</v>
      </c>
      <c r="AK105" s="41">
        <f>IF(ISERROR(HLOOKUP(AK$91,'Improved Sales Adjustments 1'!$G$7:$WV$147,68,FALSE)),0,IF(HLOOKUP(AK$91,'Improved Sales Adjustments 1'!$G$7:$WV$147,68,FALSE)="",0,IF($S105=HLOOKUP(AK$91,'Improved Sales Adjustments 1'!$G$7:$WV$147,68,FALSE),1,0)))</f>
        <v>0</v>
      </c>
      <c r="AL105" s="41">
        <f>IF(ISERROR(HLOOKUP(AL$91,'Improved Sales Adjustments 1'!$G$7:$WV$147,68,FALSE)),0,IF(HLOOKUP(AL$91,'Improved Sales Adjustments 1'!$G$7:$WV$147,68,FALSE)="",0,IF($S105=HLOOKUP(AL$91,'Improved Sales Adjustments 1'!$G$7:$WV$147,68,FALSE),1,0)))</f>
        <v>0</v>
      </c>
      <c r="AM105" s="41">
        <f>IF(ISERROR(HLOOKUP(AM$91,'Improved Sales Adjustments 1'!$G$7:$WV$147,68,FALSE)),0,IF(HLOOKUP(AM$91,'Improved Sales Adjustments 1'!$G$7:$WV$147,68,FALSE)="",0,IF($S105=HLOOKUP(AM$91,'Improved Sales Adjustments 1'!$G$7:$WV$147,68,FALSE),1,0)))</f>
        <v>0</v>
      </c>
      <c r="AN105" s="41">
        <f>IF(ISERROR(HLOOKUP(AN$91,'Improved Sales Adjustments 1'!$G$7:$WV$147,68,FALSE)),0,IF(HLOOKUP(AN$91,'Improved Sales Adjustments 1'!$G$7:$WV$147,68,FALSE)="",0,IF($S105=HLOOKUP(AN$91,'Improved Sales Adjustments 1'!$G$7:$WV$147,68,FALSE),1,0)))</f>
        <v>0</v>
      </c>
      <c r="AO105" s="41">
        <f>IF(ISERROR(HLOOKUP(AO$91,'Improved Sales Adjustments 1'!$G$7:$WV$147,68,FALSE)),0,IF(HLOOKUP(AO$91,'Improved Sales Adjustments 1'!$G$7:$WV$147,68,FALSE)="",0,IF($S105=HLOOKUP(AO$91,'Improved Sales Adjustments 1'!$G$7:$WV$147,68,FALSE),1,0)))</f>
        <v>0</v>
      </c>
      <c r="AP105" s="41">
        <f>IF(ISERROR(HLOOKUP(AP$91,'Improved Sales Adjustments 1'!$G$7:$WV$147,68,FALSE)),0,IF(HLOOKUP(AP$91,'Improved Sales Adjustments 1'!$G$7:$WV$147,68,FALSE)="",0,IF($S105=HLOOKUP(AP$91,'Improved Sales Adjustments 1'!$G$7:$WV$147,68,FALSE),1,0)))</f>
        <v>0</v>
      </c>
      <c r="AQ105" s="41">
        <f>IF(ISERROR(HLOOKUP(AQ$91,'Improved Sales Adjustments 1'!$G$7:$WV$147,68,FALSE)),0,IF(HLOOKUP(AQ$91,'Improved Sales Adjustments 1'!$G$7:$WV$147,68,FALSE)="",0,IF($S105=HLOOKUP(AQ$91,'Improved Sales Adjustments 1'!$G$7:$WV$147,68,FALSE),1,0)))</f>
        <v>0</v>
      </c>
      <c r="AR105" s="41">
        <f>SUM($AG105:AG105)</f>
        <v>0</v>
      </c>
      <c r="AS105" s="41">
        <f>SUM($AG105:AH105)</f>
        <v>0</v>
      </c>
      <c r="AT105" s="41">
        <f>SUM($AG105:AI105)</f>
        <v>0</v>
      </c>
      <c r="AU105" s="41">
        <f>SUM($AG105:AJ105)</f>
        <v>0</v>
      </c>
      <c r="AV105" s="41">
        <f>SUM($AG105:AK105)</f>
        <v>0</v>
      </c>
      <c r="AW105" s="41">
        <f>SUM($AG105:AL105)</f>
        <v>0</v>
      </c>
      <c r="AX105" s="41">
        <f>SUM($AG105:AM105)</f>
        <v>0</v>
      </c>
      <c r="AY105" s="41">
        <f>SUM($AG105:AN105)</f>
        <v>0</v>
      </c>
      <c r="AZ105" s="41">
        <f>SUM($AG105:AO105)</f>
        <v>0</v>
      </c>
      <c r="BA105" s="41">
        <f>SUM($AG105:AP105)</f>
        <v>0</v>
      </c>
      <c r="BB105" s="41">
        <f>SUM($AG105:AQ105)</f>
        <v>0</v>
      </c>
      <c r="BC105" s="41" t="str">
        <f t="shared" si="29"/>
        <v/>
      </c>
      <c r="BD105" s="41" t="str">
        <f t="shared" si="27"/>
        <v/>
      </c>
      <c r="BE105" s="41" t="str">
        <f t="shared" si="27"/>
        <v/>
      </c>
      <c r="BF105" s="41" t="str">
        <f t="shared" si="27"/>
        <v/>
      </c>
      <c r="BG105" s="41" t="str">
        <f t="shared" si="27"/>
        <v/>
      </c>
      <c r="BH105" s="41" t="str">
        <f t="shared" si="27"/>
        <v/>
      </c>
      <c r="BI105" s="41" t="str">
        <f t="shared" si="27"/>
        <v/>
      </c>
      <c r="BJ105" s="41" t="str">
        <f t="shared" si="27"/>
        <v/>
      </c>
      <c r="BK105" s="41" t="str">
        <f t="shared" si="27"/>
        <v/>
      </c>
      <c r="BL105" s="41" t="str">
        <f t="shared" si="27"/>
        <v/>
      </c>
      <c r="BM105" s="41" t="str">
        <f t="shared" si="27"/>
        <v/>
      </c>
    </row>
    <row r="106" spans="1:65" ht="15" customHeight="1" x14ac:dyDescent="0.25">
      <c r="A106" s="957">
        <f t="shared" si="25"/>
        <v>0</v>
      </c>
      <c r="B106" s="10"/>
      <c r="C106" s="10"/>
      <c r="D106" s="13"/>
      <c r="E106" s="10"/>
      <c r="F106" s="10"/>
      <c r="G106" s="10"/>
      <c r="H106" s="10"/>
      <c r="I106" s="10"/>
      <c r="J106" s="10"/>
      <c r="K106" s="10"/>
      <c r="L106" s="10"/>
      <c r="M106" s="10"/>
      <c r="N106" s="10"/>
      <c r="O106" s="10"/>
      <c r="P106" s="4"/>
      <c r="Q106" s="1204"/>
      <c r="R106" s="101" t="str">
        <f t="shared" si="28"/>
        <v/>
      </c>
      <c r="S106" s="137">
        <f t="shared" si="30"/>
        <v>14</v>
      </c>
      <c r="T106" s="2129">
        <v>0.03</v>
      </c>
      <c r="U106" s="2130">
        <v>0.05</v>
      </c>
      <c r="V106" s="2130">
        <v>7.0000000000000007E-2</v>
      </c>
      <c r="W106" s="2130">
        <v>0.1</v>
      </c>
      <c r="X106" s="2130">
        <v>0.13</v>
      </c>
      <c r="Y106" s="2130">
        <v>0.18</v>
      </c>
      <c r="Z106" s="2130">
        <v>0.24</v>
      </c>
      <c r="AA106" s="2130">
        <v>0.32</v>
      </c>
      <c r="AB106" s="2130">
        <v>0.44</v>
      </c>
      <c r="AC106" s="2130">
        <v>0.6</v>
      </c>
      <c r="AD106" s="101"/>
      <c r="AE106" s="6"/>
      <c r="AF106" s="11"/>
      <c r="AG106" s="41">
        <f t="shared" si="26"/>
        <v>0</v>
      </c>
      <c r="AH106" s="41">
        <f>IF(ISERROR(HLOOKUP(AH$91,'Improved Sales Adjustments 1'!$G$7:$WV$147,68,FALSE)),0,IF(HLOOKUP(AH$91,'Improved Sales Adjustments 1'!$G$7:$WV$147,68,FALSE)="",0,IF($S106=HLOOKUP(AH$91,'Improved Sales Adjustments 1'!$G$7:$WV$147,68,FALSE),1,0)))</f>
        <v>0</v>
      </c>
      <c r="AI106" s="41">
        <f>IF(ISERROR(HLOOKUP(AI$91,'Improved Sales Adjustments 1'!$G$7:$WV$147,68,FALSE)),0,IF(HLOOKUP(AI$91,'Improved Sales Adjustments 1'!$G$7:$WV$147,68,FALSE)="",0,IF($S106=HLOOKUP(AI$91,'Improved Sales Adjustments 1'!$G$7:$WV$147,68,FALSE),1,0)))</f>
        <v>0</v>
      </c>
      <c r="AJ106" s="41">
        <f>IF(ISERROR(HLOOKUP(AJ$91,'Improved Sales Adjustments 1'!$G$7:$WV$147,68,FALSE)),0,IF(HLOOKUP(AJ$91,'Improved Sales Adjustments 1'!$G$7:$WV$147,68,FALSE)="",0,IF($S106=HLOOKUP(AJ$91,'Improved Sales Adjustments 1'!$G$7:$WV$147,68,FALSE),1,0)))</f>
        <v>0</v>
      </c>
      <c r="AK106" s="41">
        <f>IF(ISERROR(HLOOKUP(AK$91,'Improved Sales Adjustments 1'!$G$7:$WV$147,68,FALSE)),0,IF(HLOOKUP(AK$91,'Improved Sales Adjustments 1'!$G$7:$WV$147,68,FALSE)="",0,IF($S106=HLOOKUP(AK$91,'Improved Sales Adjustments 1'!$G$7:$WV$147,68,FALSE),1,0)))</f>
        <v>0</v>
      </c>
      <c r="AL106" s="41">
        <f>IF(ISERROR(HLOOKUP(AL$91,'Improved Sales Adjustments 1'!$G$7:$WV$147,68,FALSE)),0,IF(HLOOKUP(AL$91,'Improved Sales Adjustments 1'!$G$7:$WV$147,68,FALSE)="",0,IF($S106=HLOOKUP(AL$91,'Improved Sales Adjustments 1'!$G$7:$WV$147,68,FALSE),1,0)))</f>
        <v>0</v>
      </c>
      <c r="AM106" s="41">
        <f>IF(ISERROR(HLOOKUP(AM$91,'Improved Sales Adjustments 1'!$G$7:$WV$147,68,FALSE)),0,IF(HLOOKUP(AM$91,'Improved Sales Adjustments 1'!$G$7:$WV$147,68,FALSE)="",0,IF($S106=HLOOKUP(AM$91,'Improved Sales Adjustments 1'!$G$7:$WV$147,68,FALSE),1,0)))</f>
        <v>0</v>
      </c>
      <c r="AN106" s="41">
        <f>IF(ISERROR(HLOOKUP(AN$91,'Improved Sales Adjustments 1'!$G$7:$WV$147,68,FALSE)),0,IF(HLOOKUP(AN$91,'Improved Sales Adjustments 1'!$G$7:$WV$147,68,FALSE)="",0,IF($S106=HLOOKUP(AN$91,'Improved Sales Adjustments 1'!$G$7:$WV$147,68,FALSE),1,0)))</f>
        <v>0</v>
      </c>
      <c r="AO106" s="41">
        <f>IF(ISERROR(HLOOKUP(AO$91,'Improved Sales Adjustments 1'!$G$7:$WV$147,68,FALSE)),0,IF(HLOOKUP(AO$91,'Improved Sales Adjustments 1'!$G$7:$WV$147,68,FALSE)="",0,IF($S106=HLOOKUP(AO$91,'Improved Sales Adjustments 1'!$G$7:$WV$147,68,FALSE),1,0)))</f>
        <v>0</v>
      </c>
      <c r="AP106" s="41">
        <f>IF(ISERROR(HLOOKUP(AP$91,'Improved Sales Adjustments 1'!$G$7:$WV$147,68,FALSE)),0,IF(HLOOKUP(AP$91,'Improved Sales Adjustments 1'!$G$7:$WV$147,68,FALSE)="",0,IF($S106=HLOOKUP(AP$91,'Improved Sales Adjustments 1'!$G$7:$WV$147,68,FALSE),1,0)))</f>
        <v>0</v>
      </c>
      <c r="AQ106" s="41">
        <f>IF(ISERROR(HLOOKUP(AQ$91,'Improved Sales Adjustments 1'!$G$7:$WV$147,68,FALSE)),0,IF(HLOOKUP(AQ$91,'Improved Sales Adjustments 1'!$G$7:$WV$147,68,FALSE)="",0,IF($S106=HLOOKUP(AQ$91,'Improved Sales Adjustments 1'!$G$7:$WV$147,68,FALSE),1,0)))</f>
        <v>0</v>
      </c>
      <c r="AR106" s="41">
        <f>SUM($AG106:AG106)</f>
        <v>0</v>
      </c>
      <c r="AS106" s="41">
        <f>SUM($AG106:AH106)</f>
        <v>0</v>
      </c>
      <c r="AT106" s="41">
        <f>SUM($AG106:AI106)</f>
        <v>0</v>
      </c>
      <c r="AU106" s="41">
        <f>SUM($AG106:AJ106)</f>
        <v>0</v>
      </c>
      <c r="AV106" s="41">
        <f>SUM($AG106:AK106)</f>
        <v>0</v>
      </c>
      <c r="AW106" s="41">
        <f>SUM($AG106:AL106)</f>
        <v>0</v>
      </c>
      <c r="AX106" s="41">
        <f>SUM($AG106:AM106)</f>
        <v>0</v>
      </c>
      <c r="AY106" s="41">
        <f>SUM($AG106:AN106)</f>
        <v>0</v>
      </c>
      <c r="AZ106" s="41">
        <f>SUM($AG106:AO106)</f>
        <v>0</v>
      </c>
      <c r="BA106" s="41">
        <f>SUM($AG106:AP106)</f>
        <v>0</v>
      </c>
      <c r="BB106" s="41">
        <f>SUM($AG106:AQ106)</f>
        <v>0</v>
      </c>
      <c r="BC106" s="41" t="str">
        <f t="shared" si="29"/>
        <v/>
      </c>
      <c r="BD106" s="41" t="str">
        <f t="shared" si="27"/>
        <v/>
      </c>
      <c r="BE106" s="41" t="str">
        <f t="shared" si="27"/>
        <v/>
      </c>
      <c r="BF106" s="41" t="str">
        <f t="shared" si="27"/>
        <v/>
      </c>
      <c r="BG106" s="41" t="str">
        <f t="shared" si="27"/>
        <v/>
      </c>
      <c r="BH106" s="41" t="str">
        <f t="shared" si="27"/>
        <v/>
      </c>
      <c r="BI106" s="41" t="str">
        <f t="shared" si="27"/>
        <v/>
      </c>
      <c r="BJ106" s="41" t="str">
        <f t="shared" si="27"/>
        <v/>
      </c>
      <c r="BK106" s="41" t="str">
        <f t="shared" si="27"/>
        <v/>
      </c>
      <c r="BL106" s="41" t="str">
        <f t="shared" si="27"/>
        <v/>
      </c>
      <c r="BM106" s="41" t="str">
        <f t="shared" si="27"/>
        <v/>
      </c>
    </row>
    <row r="107" spans="1:65" ht="15" customHeight="1" x14ac:dyDescent="0.25">
      <c r="A107" s="957">
        <f t="shared" si="25"/>
        <v>0</v>
      </c>
      <c r="B107" s="10"/>
      <c r="C107" s="10"/>
      <c r="D107" s="13"/>
      <c r="E107" s="10"/>
      <c r="F107" s="10"/>
      <c r="G107" s="10"/>
      <c r="H107" s="10"/>
      <c r="I107" s="10"/>
      <c r="J107" s="10"/>
      <c r="K107" s="10"/>
      <c r="L107" s="10"/>
      <c r="M107" s="10"/>
      <c r="N107" s="10"/>
      <c r="O107" s="10"/>
      <c r="P107" s="4"/>
      <c r="Q107" s="1204"/>
      <c r="R107" s="101" t="str">
        <f t="shared" si="28"/>
        <v/>
      </c>
      <c r="S107" s="137">
        <f t="shared" si="30"/>
        <v>15</v>
      </c>
      <c r="T107" s="2129">
        <v>0.03</v>
      </c>
      <c r="U107" s="2130">
        <v>0.06</v>
      </c>
      <c r="V107" s="2130">
        <v>0.08</v>
      </c>
      <c r="W107" s="2130">
        <v>0.11</v>
      </c>
      <c r="X107" s="2130">
        <v>0.14000000000000001</v>
      </c>
      <c r="Y107" s="2130">
        <v>0.2</v>
      </c>
      <c r="Z107" s="2130">
        <v>0.26</v>
      </c>
      <c r="AA107" s="2130">
        <v>0.35</v>
      </c>
      <c r="AB107" s="2130">
        <v>0.48</v>
      </c>
      <c r="AC107" s="2130">
        <v>0.65</v>
      </c>
      <c r="AD107" s="101"/>
      <c r="AE107" s="6"/>
      <c r="AF107" s="11"/>
      <c r="AG107" s="41">
        <f t="shared" si="26"/>
        <v>0</v>
      </c>
      <c r="AH107" s="41">
        <f>IF(ISERROR(HLOOKUP(AH$91,'Improved Sales Adjustments 1'!$G$7:$WV$147,68,FALSE)),0,IF(HLOOKUP(AH$91,'Improved Sales Adjustments 1'!$G$7:$WV$147,68,FALSE)="",0,IF($S107=HLOOKUP(AH$91,'Improved Sales Adjustments 1'!$G$7:$WV$147,68,FALSE),1,0)))</f>
        <v>0</v>
      </c>
      <c r="AI107" s="41">
        <f>IF(ISERROR(HLOOKUP(AI$91,'Improved Sales Adjustments 1'!$G$7:$WV$147,68,FALSE)),0,IF(HLOOKUP(AI$91,'Improved Sales Adjustments 1'!$G$7:$WV$147,68,FALSE)="",0,IF($S107=HLOOKUP(AI$91,'Improved Sales Adjustments 1'!$G$7:$WV$147,68,FALSE),1,0)))</f>
        <v>0</v>
      </c>
      <c r="AJ107" s="41">
        <f>IF(ISERROR(HLOOKUP(AJ$91,'Improved Sales Adjustments 1'!$G$7:$WV$147,68,FALSE)),0,IF(HLOOKUP(AJ$91,'Improved Sales Adjustments 1'!$G$7:$WV$147,68,FALSE)="",0,IF($S107=HLOOKUP(AJ$91,'Improved Sales Adjustments 1'!$G$7:$WV$147,68,FALSE),1,0)))</f>
        <v>0</v>
      </c>
      <c r="AK107" s="41">
        <f>IF(ISERROR(HLOOKUP(AK$91,'Improved Sales Adjustments 1'!$G$7:$WV$147,68,FALSE)),0,IF(HLOOKUP(AK$91,'Improved Sales Adjustments 1'!$G$7:$WV$147,68,FALSE)="",0,IF($S107=HLOOKUP(AK$91,'Improved Sales Adjustments 1'!$G$7:$WV$147,68,FALSE),1,0)))</f>
        <v>0</v>
      </c>
      <c r="AL107" s="41">
        <f>IF(ISERROR(HLOOKUP(AL$91,'Improved Sales Adjustments 1'!$G$7:$WV$147,68,FALSE)),0,IF(HLOOKUP(AL$91,'Improved Sales Adjustments 1'!$G$7:$WV$147,68,FALSE)="",0,IF($S107=HLOOKUP(AL$91,'Improved Sales Adjustments 1'!$G$7:$WV$147,68,FALSE),1,0)))</f>
        <v>0</v>
      </c>
      <c r="AM107" s="41">
        <f>IF(ISERROR(HLOOKUP(AM$91,'Improved Sales Adjustments 1'!$G$7:$WV$147,68,FALSE)),0,IF(HLOOKUP(AM$91,'Improved Sales Adjustments 1'!$G$7:$WV$147,68,FALSE)="",0,IF($S107=HLOOKUP(AM$91,'Improved Sales Adjustments 1'!$G$7:$WV$147,68,FALSE),1,0)))</f>
        <v>0</v>
      </c>
      <c r="AN107" s="41">
        <f>IF(ISERROR(HLOOKUP(AN$91,'Improved Sales Adjustments 1'!$G$7:$WV$147,68,FALSE)),0,IF(HLOOKUP(AN$91,'Improved Sales Adjustments 1'!$G$7:$WV$147,68,FALSE)="",0,IF($S107=HLOOKUP(AN$91,'Improved Sales Adjustments 1'!$G$7:$WV$147,68,FALSE),1,0)))</f>
        <v>0</v>
      </c>
      <c r="AO107" s="41">
        <f>IF(ISERROR(HLOOKUP(AO$91,'Improved Sales Adjustments 1'!$G$7:$WV$147,68,FALSE)),0,IF(HLOOKUP(AO$91,'Improved Sales Adjustments 1'!$G$7:$WV$147,68,FALSE)="",0,IF($S107=HLOOKUP(AO$91,'Improved Sales Adjustments 1'!$G$7:$WV$147,68,FALSE),1,0)))</f>
        <v>0</v>
      </c>
      <c r="AP107" s="41">
        <f>IF(ISERROR(HLOOKUP(AP$91,'Improved Sales Adjustments 1'!$G$7:$WV$147,68,FALSE)),0,IF(HLOOKUP(AP$91,'Improved Sales Adjustments 1'!$G$7:$WV$147,68,FALSE)="",0,IF($S107=HLOOKUP(AP$91,'Improved Sales Adjustments 1'!$G$7:$WV$147,68,FALSE),1,0)))</f>
        <v>0</v>
      </c>
      <c r="AQ107" s="41">
        <f>IF(ISERROR(HLOOKUP(AQ$91,'Improved Sales Adjustments 1'!$G$7:$WV$147,68,FALSE)),0,IF(HLOOKUP(AQ$91,'Improved Sales Adjustments 1'!$G$7:$WV$147,68,FALSE)="",0,IF($S107=HLOOKUP(AQ$91,'Improved Sales Adjustments 1'!$G$7:$WV$147,68,FALSE),1,0)))</f>
        <v>0</v>
      </c>
      <c r="AR107" s="41">
        <f>SUM($AG107:AG107)</f>
        <v>0</v>
      </c>
      <c r="AS107" s="41">
        <f>SUM($AG107:AH107)</f>
        <v>0</v>
      </c>
      <c r="AT107" s="41">
        <f>SUM($AG107:AI107)</f>
        <v>0</v>
      </c>
      <c r="AU107" s="41">
        <f>SUM($AG107:AJ107)</f>
        <v>0</v>
      </c>
      <c r="AV107" s="41">
        <f>SUM($AG107:AK107)</f>
        <v>0</v>
      </c>
      <c r="AW107" s="41">
        <f>SUM($AG107:AL107)</f>
        <v>0</v>
      </c>
      <c r="AX107" s="41">
        <f>SUM($AG107:AM107)</f>
        <v>0</v>
      </c>
      <c r="AY107" s="41">
        <f>SUM($AG107:AN107)</f>
        <v>0</v>
      </c>
      <c r="AZ107" s="41">
        <f>SUM($AG107:AO107)</f>
        <v>0</v>
      </c>
      <c r="BA107" s="41">
        <f>SUM($AG107:AP107)</f>
        <v>0</v>
      </c>
      <c r="BB107" s="41">
        <f>SUM($AG107:AQ107)</f>
        <v>0</v>
      </c>
      <c r="BC107" s="41" t="str">
        <f t="shared" si="29"/>
        <v/>
      </c>
      <c r="BD107" s="41" t="str">
        <f t="shared" si="27"/>
        <v/>
      </c>
      <c r="BE107" s="41" t="str">
        <f t="shared" si="27"/>
        <v/>
      </c>
      <c r="BF107" s="41" t="str">
        <f t="shared" si="27"/>
        <v/>
      </c>
      <c r="BG107" s="41" t="str">
        <f t="shared" si="27"/>
        <v/>
      </c>
      <c r="BH107" s="41" t="str">
        <f t="shared" si="27"/>
        <v/>
      </c>
      <c r="BI107" s="41" t="str">
        <f t="shared" si="27"/>
        <v/>
      </c>
      <c r="BJ107" s="41" t="str">
        <f t="shared" si="27"/>
        <v/>
      </c>
      <c r="BK107" s="41" t="str">
        <f t="shared" si="27"/>
        <v/>
      </c>
      <c r="BL107" s="41" t="str">
        <f t="shared" si="27"/>
        <v/>
      </c>
      <c r="BM107" s="41" t="str">
        <f t="shared" si="27"/>
        <v/>
      </c>
    </row>
    <row r="108" spans="1:65" ht="15" customHeight="1" x14ac:dyDescent="0.25">
      <c r="A108" s="957">
        <f t="shared" si="25"/>
        <v>0</v>
      </c>
      <c r="B108" s="10"/>
      <c r="C108" s="10"/>
      <c r="D108" s="13"/>
      <c r="E108" s="10"/>
      <c r="F108" s="10"/>
      <c r="G108" s="10"/>
      <c r="H108" s="10"/>
      <c r="I108" s="10"/>
      <c r="J108" s="10"/>
      <c r="K108" s="10"/>
      <c r="L108" s="10"/>
      <c r="M108" s="10"/>
      <c r="N108" s="10"/>
      <c r="O108" s="10"/>
      <c r="P108" s="4"/>
      <c r="Q108" s="1204"/>
      <c r="R108" s="101" t="str">
        <f t="shared" si="28"/>
        <v/>
      </c>
      <c r="S108" s="137">
        <f t="shared" si="30"/>
        <v>16</v>
      </c>
      <c r="T108" s="2129">
        <v>0.03</v>
      </c>
      <c r="U108" s="2130">
        <v>7.0000000000000007E-2</v>
      </c>
      <c r="V108" s="2130">
        <v>0.09</v>
      </c>
      <c r="W108" s="2130">
        <v>0.12</v>
      </c>
      <c r="X108" s="2130">
        <v>0.16</v>
      </c>
      <c r="Y108" s="2130">
        <v>0.22</v>
      </c>
      <c r="Z108" s="2130">
        <v>0.28000000000000003</v>
      </c>
      <c r="AA108" s="2130">
        <v>0.39</v>
      </c>
      <c r="AB108" s="2130">
        <v>0.52</v>
      </c>
      <c r="AC108" s="2130">
        <v>0.69</v>
      </c>
      <c r="AD108" s="101"/>
      <c r="AE108" s="6"/>
      <c r="AF108" s="11"/>
      <c r="AG108" s="41">
        <f t="shared" si="26"/>
        <v>0</v>
      </c>
      <c r="AH108" s="41">
        <f>IF(ISERROR(HLOOKUP(AH$91,'Improved Sales Adjustments 1'!$G$7:$WV$147,68,FALSE)),0,IF(HLOOKUP(AH$91,'Improved Sales Adjustments 1'!$G$7:$WV$147,68,FALSE)="",0,IF($S108=HLOOKUP(AH$91,'Improved Sales Adjustments 1'!$G$7:$WV$147,68,FALSE),1,0)))</f>
        <v>0</v>
      </c>
      <c r="AI108" s="41">
        <f>IF(ISERROR(HLOOKUP(AI$91,'Improved Sales Adjustments 1'!$G$7:$WV$147,68,FALSE)),0,IF(HLOOKUP(AI$91,'Improved Sales Adjustments 1'!$G$7:$WV$147,68,FALSE)="",0,IF($S108=HLOOKUP(AI$91,'Improved Sales Adjustments 1'!$G$7:$WV$147,68,FALSE),1,0)))</f>
        <v>0</v>
      </c>
      <c r="AJ108" s="41">
        <f>IF(ISERROR(HLOOKUP(AJ$91,'Improved Sales Adjustments 1'!$G$7:$WV$147,68,FALSE)),0,IF(HLOOKUP(AJ$91,'Improved Sales Adjustments 1'!$G$7:$WV$147,68,FALSE)="",0,IF($S108=HLOOKUP(AJ$91,'Improved Sales Adjustments 1'!$G$7:$WV$147,68,FALSE),1,0)))</f>
        <v>0</v>
      </c>
      <c r="AK108" s="41">
        <f>IF(ISERROR(HLOOKUP(AK$91,'Improved Sales Adjustments 1'!$G$7:$WV$147,68,FALSE)),0,IF(HLOOKUP(AK$91,'Improved Sales Adjustments 1'!$G$7:$WV$147,68,FALSE)="",0,IF($S108=HLOOKUP(AK$91,'Improved Sales Adjustments 1'!$G$7:$WV$147,68,FALSE),1,0)))</f>
        <v>0</v>
      </c>
      <c r="AL108" s="41">
        <f>IF(ISERROR(HLOOKUP(AL$91,'Improved Sales Adjustments 1'!$G$7:$WV$147,68,FALSE)),0,IF(HLOOKUP(AL$91,'Improved Sales Adjustments 1'!$G$7:$WV$147,68,FALSE)="",0,IF($S108=HLOOKUP(AL$91,'Improved Sales Adjustments 1'!$G$7:$WV$147,68,FALSE),1,0)))</f>
        <v>0</v>
      </c>
      <c r="AM108" s="41">
        <f>IF(ISERROR(HLOOKUP(AM$91,'Improved Sales Adjustments 1'!$G$7:$WV$147,68,FALSE)),0,IF(HLOOKUP(AM$91,'Improved Sales Adjustments 1'!$G$7:$WV$147,68,FALSE)="",0,IF($S108=HLOOKUP(AM$91,'Improved Sales Adjustments 1'!$G$7:$WV$147,68,FALSE),1,0)))</f>
        <v>0</v>
      </c>
      <c r="AN108" s="41">
        <f>IF(ISERROR(HLOOKUP(AN$91,'Improved Sales Adjustments 1'!$G$7:$WV$147,68,FALSE)),0,IF(HLOOKUP(AN$91,'Improved Sales Adjustments 1'!$G$7:$WV$147,68,FALSE)="",0,IF($S108=HLOOKUP(AN$91,'Improved Sales Adjustments 1'!$G$7:$WV$147,68,FALSE),1,0)))</f>
        <v>0</v>
      </c>
      <c r="AO108" s="41">
        <f>IF(ISERROR(HLOOKUP(AO$91,'Improved Sales Adjustments 1'!$G$7:$WV$147,68,FALSE)),0,IF(HLOOKUP(AO$91,'Improved Sales Adjustments 1'!$G$7:$WV$147,68,FALSE)="",0,IF($S108=HLOOKUP(AO$91,'Improved Sales Adjustments 1'!$G$7:$WV$147,68,FALSE),1,0)))</f>
        <v>0</v>
      </c>
      <c r="AP108" s="41">
        <f>IF(ISERROR(HLOOKUP(AP$91,'Improved Sales Adjustments 1'!$G$7:$WV$147,68,FALSE)),0,IF(HLOOKUP(AP$91,'Improved Sales Adjustments 1'!$G$7:$WV$147,68,FALSE)="",0,IF($S108=HLOOKUP(AP$91,'Improved Sales Adjustments 1'!$G$7:$WV$147,68,FALSE),1,0)))</f>
        <v>0</v>
      </c>
      <c r="AQ108" s="41">
        <f>IF(ISERROR(HLOOKUP(AQ$91,'Improved Sales Adjustments 1'!$G$7:$WV$147,68,FALSE)),0,IF(HLOOKUP(AQ$91,'Improved Sales Adjustments 1'!$G$7:$WV$147,68,FALSE)="",0,IF($S108=HLOOKUP(AQ$91,'Improved Sales Adjustments 1'!$G$7:$WV$147,68,FALSE),1,0)))</f>
        <v>0</v>
      </c>
      <c r="AR108" s="41">
        <f>SUM($AG108:AG108)</f>
        <v>0</v>
      </c>
      <c r="AS108" s="41">
        <f>SUM($AG108:AH108)</f>
        <v>0</v>
      </c>
      <c r="AT108" s="41">
        <f>SUM($AG108:AI108)</f>
        <v>0</v>
      </c>
      <c r="AU108" s="41">
        <f>SUM($AG108:AJ108)</f>
        <v>0</v>
      </c>
      <c r="AV108" s="41">
        <f>SUM($AG108:AK108)</f>
        <v>0</v>
      </c>
      <c r="AW108" s="41">
        <f>SUM($AG108:AL108)</f>
        <v>0</v>
      </c>
      <c r="AX108" s="41">
        <f>SUM($AG108:AM108)</f>
        <v>0</v>
      </c>
      <c r="AY108" s="41">
        <f>SUM($AG108:AN108)</f>
        <v>0</v>
      </c>
      <c r="AZ108" s="41">
        <f>SUM($AG108:AO108)</f>
        <v>0</v>
      </c>
      <c r="BA108" s="41">
        <f>SUM($AG108:AP108)</f>
        <v>0</v>
      </c>
      <c r="BB108" s="41">
        <f>SUM($AG108:AQ108)</f>
        <v>0</v>
      </c>
      <c r="BC108" s="41" t="str">
        <f t="shared" si="29"/>
        <v/>
      </c>
      <c r="BD108" s="41" t="str">
        <f t="shared" si="29"/>
        <v/>
      </c>
      <c r="BE108" s="41" t="str">
        <f t="shared" si="29"/>
        <v/>
      </c>
      <c r="BF108" s="41" t="str">
        <f t="shared" si="29"/>
        <v/>
      </c>
      <c r="BG108" s="41" t="str">
        <f t="shared" si="29"/>
        <v/>
      </c>
      <c r="BH108" s="41" t="str">
        <f t="shared" si="29"/>
        <v/>
      </c>
      <c r="BI108" s="41" t="str">
        <f t="shared" si="29"/>
        <v/>
      </c>
      <c r="BJ108" s="41" t="str">
        <f t="shared" si="29"/>
        <v/>
      </c>
      <c r="BK108" s="41" t="str">
        <f t="shared" si="29"/>
        <v/>
      </c>
      <c r="BL108" s="41" t="str">
        <f t="shared" si="29"/>
        <v/>
      </c>
      <c r="BM108" s="41" t="str">
        <f t="shared" si="29"/>
        <v/>
      </c>
    </row>
    <row r="109" spans="1:65" ht="15" customHeight="1" x14ac:dyDescent="0.25">
      <c r="A109" s="957">
        <f t="shared" si="25"/>
        <v>0</v>
      </c>
      <c r="B109" s="10"/>
      <c r="C109" s="10"/>
      <c r="D109" s="13"/>
      <c r="E109" s="10"/>
      <c r="F109" s="10"/>
      <c r="G109" s="10"/>
      <c r="H109" s="10"/>
      <c r="I109" s="10"/>
      <c r="J109" s="10"/>
      <c r="K109" s="10"/>
      <c r="L109" s="10"/>
      <c r="M109" s="10"/>
      <c r="N109" s="10"/>
      <c r="O109" s="10"/>
      <c r="P109" s="4"/>
      <c r="Q109" s="1204"/>
      <c r="R109" s="101" t="str">
        <f t="shared" si="28"/>
        <v/>
      </c>
      <c r="S109" s="137">
        <f t="shared" si="30"/>
        <v>17</v>
      </c>
      <c r="T109" s="2129">
        <v>0.04</v>
      </c>
      <c r="U109" s="2130">
        <v>7.0000000000000007E-2</v>
      </c>
      <c r="V109" s="2130">
        <v>0.1</v>
      </c>
      <c r="W109" s="2130">
        <v>0.13</v>
      </c>
      <c r="X109" s="2130">
        <v>0.18</v>
      </c>
      <c r="Y109" s="2130">
        <v>0.24</v>
      </c>
      <c r="Z109" s="2130">
        <v>0.31</v>
      </c>
      <c r="AA109" s="2130">
        <v>0.42</v>
      </c>
      <c r="AB109" s="2130">
        <v>0.56000000000000005</v>
      </c>
      <c r="AC109" s="2130">
        <v>0.73</v>
      </c>
      <c r="AD109" s="101"/>
      <c r="AE109" s="6"/>
      <c r="AF109" s="11"/>
      <c r="AG109" s="41">
        <f t="shared" si="26"/>
        <v>0</v>
      </c>
      <c r="AH109" s="41">
        <f>IF(ISERROR(HLOOKUP(AH$91,'Improved Sales Adjustments 1'!$G$7:$WV$147,68,FALSE)),0,IF(HLOOKUP(AH$91,'Improved Sales Adjustments 1'!$G$7:$WV$147,68,FALSE)="",0,IF($S109=HLOOKUP(AH$91,'Improved Sales Adjustments 1'!$G$7:$WV$147,68,FALSE),1,0)))</f>
        <v>0</v>
      </c>
      <c r="AI109" s="41">
        <f>IF(ISERROR(HLOOKUP(AI$91,'Improved Sales Adjustments 1'!$G$7:$WV$147,68,FALSE)),0,IF(HLOOKUP(AI$91,'Improved Sales Adjustments 1'!$G$7:$WV$147,68,FALSE)="",0,IF($S109=HLOOKUP(AI$91,'Improved Sales Adjustments 1'!$G$7:$WV$147,68,FALSE),1,0)))</f>
        <v>0</v>
      </c>
      <c r="AJ109" s="41">
        <f>IF(ISERROR(HLOOKUP(AJ$91,'Improved Sales Adjustments 1'!$G$7:$WV$147,68,FALSE)),0,IF(HLOOKUP(AJ$91,'Improved Sales Adjustments 1'!$G$7:$WV$147,68,FALSE)="",0,IF($S109=HLOOKUP(AJ$91,'Improved Sales Adjustments 1'!$G$7:$WV$147,68,FALSE),1,0)))</f>
        <v>0</v>
      </c>
      <c r="AK109" s="41">
        <f>IF(ISERROR(HLOOKUP(AK$91,'Improved Sales Adjustments 1'!$G$7:$WV$147,68,FALSE)),0,IF(HLOOKUP(AK$91,'Improved Sales Adjustments 1'!$G$7:$WV$147,68,FALSE)="",0,IF($S109=HLOOKUP(AK$91,'Improved Sales Adjustments 1'!$G$7:$WV$147,68,FALSE),1,0)))</f>
        <v>0</v>
      </c>
      <c r="AL109" s="41">
        <f>IF(ISERROR(HLOOKUP(AL$91,'Improved Sales Adjustments 1'!$G$7:$WV$147,68,FALSE)),0,IF(HLOOKUP(AL$91,'Improved Sales Adjustments 1'!$G$7:$WV$147,68,FALSE)="",0,IF($S109=HLOOKUP(AL$91,'Improved Sales Adjustments 1'!$G$7:$WV$147,68,FALSE),1,0)))</f>
        <v>0</v>
      </c>
      <c r="AM109" s="41">
        <f>IF(ISERROR(HLOOKUP(AM$91,'Improved Sales Adjustments 1'!$G$7:$WV$147,68,FALSE)),0,IF(HLOOKUP(AM$91,'Improved Sales Adjustments 1'!$G$7:$WV$147,68,FALSE)="",0,IF($S109=HLOOKUP(AM$91,'Improved Sales Adjustments 1'!$G$7:$WV$147,68,FALSE),1,0)))</f>
        <v>0</v>
      </c>
      <c r="AN109" s="41">
        <f>IF(ISERROR(HLOOKUP(AN$91,'Improved Sales Adjustments 1'!$G$7:$WV$147,68,FALSE)),0,IF(HLOOKUP(AN$91,'Improved Sales Adjustments 1'!$G$7:$WV$147,68,FALSE)="",0,IF($S109=HLOOKUP(AN$91,'Improved Sales Adjustments 1'!$G$7:$WV$147,68,FALSE),1,0)))</f>
        <v>0</v>
      </c>
      <c r="AO109" s="41">
        <f>IF(ISERROR(HLOOKUP(AO$91,'Improved Sales Adjustments 1'!$G$7:$WV$147,68,FALSE)),0,IF(HLOOKUP(AO$91,'Improved Sales Adjustments 1'!$G$7:$WV$147,68,FALSE)="",0,IF($S109=HLOOKUP(AO$91,'Improved Sales Adjustments 1'!$G$7:$WV$147,68,FALSE),1,0)))</f>
        <v>0</v>
      </c>
      <c r="AP109" s="41">
        <f>IF(ISERROR(HLOOKUP(AP$91,'Improved Sales Adjustments 1'!$G$7:$WV$147,68,FALSE)),0,IF(HLOOKUP(AP$91,'Improved Sales Adjustments 1'!$G$7:$WV$147,68,FALSE)="",0,IF($S109=HLOOKUP(AP$91,'Improved Sales Adjustments 1'!$G$7:$WV$147,68,FALSE),1,0)))</f>
        <v>0</v>
      </c>
      <c r="AQ109" s="41">
        <f>IF(ISERROR(HLOOKUP(AQ$91,'Improved Sales Adjustments 1'!$G$7:$WV$147,68,FALSE)),0,IF(HLOOKUP(AQ$91,'Improved Sales Adjustments 1'!$G$7:$WV$147,68,FALSE)="",0,IF($S109=HLOOKUP(AQ$91,'Improved Sales Adjustments 1'!$G$7:$WV$147,68,FALSE),1,0)))</f>
        <v>0</v>
      </c>
      <c r="AR109" s="41">
        <f>SUM($AG109:AG109)</f>
        <v>0</v>
      </c>
      <c r="AS109" s="41">
        <f>SUM($AG109:AH109)</f>
        <v>0</v>
      </c>
      <c r="AT109" s="41">
        <f>SUM($AG109:AI109)</f>
        <v>0</v>
      </c>
      <c r="AU109" s="41">
        <f>SUM($AG109:AJ109)</f>
        <v>0</v>
      </c>
      <c r="AV109" s="41">
        <f>SUM($AG109:AK109)</f>
        <v>0</v>
      </c>
      <c r="AW109" s="41">
        <f>SUM($AG109:AL109)</f>
        <v>0</v>
      </c>
      <c r="AX109" s="41">
        <f>SUM($AG109:AM109)</f>
        <v>0</v>
      </c>
      <c r="AY109" s="41">
        <f>SUM($AG109:AN109)</f>
        <v>0</v>
      </c>
      <c r="AZ109" s="41">
        <f>SUM($AG109:AO109)</f>
        <v>0</v>
      </c>
      <c r="BA109" s="41">
        <f>SUM($AG109:AP109)</f>
        <v>0</v>
      </c>
      <c r="BB109" s="41">
        <f>SUM($AG109:AQ109)</f>
        <v>0</v>
      </c>
      <c r="BC109" s="41" t="str">
        <f t="shared" si="29"/>
        <v/>
      </c>
      <c r="BD109" s="41" t="str">
        <f t="shared" si="29"/>
        <v/>
      </c>
      <c r="BE109" s="41" t="str">
        <f t="shared" si="29"/>
        <v/>
      </c>
      <c r="BF109" s="41" t="str">
        <f t="shared" si="29"/>
        <v/>
      </c>
      <c r="BG109" s="41" t="str">
        <f t="shared" si="29"/>
        <v/>
      </c>
      <c r="BH109" s="41" t="str">
        <f t="shared" si="29"/>
        <v/>
      </c>
      <c r="BI109" s="41" t="str">
        <f t="shared" si="29"/>
        <v/>
      </c>
      <c r="BJ109" s="41" t="str">
        <f t="shared" si="29"/>
        <v/>
      </c>
      <c r="BK109" s="41" t="str">
        <f t="shared" si="29"/>
        <v/>
      </c>
      <c r="BL109" s="41" t="str">
        <f t="shared" si="29"/>
        <v/>
      </c>
      <c r="BM109" s="41" t="str">
        <f t="shared" si="29"/>
        <v/>
      </c>
    </row>
    <row r="110" spans="1:65" ht="15" customHeight="1" x14ac:dyDescent="0.25">
      <c r="A110" s="957">
        <f t="shared" si="25"/>
        <v>0</v>
      </c>
      <c r="B110" s="10"/>
      <c r="C110" s="10"/>
      <c r="D110" s="13"/>
      <c r="E110" s="10"/>
      <c r="F110" s="10"/>
      <c r="G110" s="10"/>
      <c r="H110" s="10"/>
      <c r="I110" s="10"/>
      <c r="J110" s="10"/>
      <c r="K110" s="10"/>
      <c r="L110" s="10"/>
      <c r="M110" s="10"/>
      <c r="N110" s="10"/>
      <c r="O110" s="10"/>
      <c r="P110" s="4"/>
      <c r="Q110" s="1204"/>
      <c r="R110" s="101" t="str">
        <f t="shared" si="28"/>
        <v/>
      </c>
      <c r="S110" s="137">
        <f t="shared" si="30"/>
        <v>18</v>
      </c>
      <c r="T110" s="2129">
        <v>0.04</v>
      </c>
      <c r="U110" s="2130">
        <v>0.08</v>
      </c>
      <c r="V110" s="2130">
        <v>0.11</v>
      </c>
      <c r="W110" s="2130">
        <v>0.14000000000000001</v>
      </c>
      <c r="X110" s="2130">
        <v>0.19</v>
      </c>
      <c r="Y110" s="2130">
        <v>0.26</v>
      </c>
      <c r="Z110" s="2130">
        <v>0.34</v>
      </c>
      <c r="AA110" s="2130">
        <v>0.46</v>
      </c>
      <c r="AB110" s="2130">
        <v>0.6</v>
      </c>
      <c r="AC110" s="2130">
        <v>0.76</v>
      </c>
      <c r="AD110" s="101"/>
      <c r="AE110" s="6"/>
      <c r="AF110" s="11"/>
      <c r="AG110" s="41">
        <f t="shared" si="26"/>
        <v>0</v>
      </c>
      <c r="AH110" s="41">
        <f>IF(ISERROR(HLOOKUP(AH$91,'Improved Sales Adjustments 1'!$G$7:$WV$147,68,FALSE)),0,IF(HLOOKUP(AH$91,'Improved Sales Adjustments 1'!$G$7:$WV$147,68,FALSE)="",0,IF($S110=HLOOKUP(AH$91,'Improved Sales Adjustments 1'!$G$7:$WV$147,68,FALSE),1,0)))</f>
        <v>0</v>
      </c>
      <c r="AI110" s="41">
        <f>IF(ISERROR(HLOOKUP(AI$91,'Improved Sales Adjustments 1'!$G$7:$WV$147,68,FALSE)),0,IF(HLOOKUP(AI$91,'Improved Sales Adjustments 1'!$G$7:$WV$147,68,FALSE)="",0,IF($S110=HLOOKUP(AI$91,'Improved Sales Adjustments 1'!$G$7:$WV$147,68,FALSE),1,0)))</f>
        <v>0</v>
      </c>
      <c r="AJ110" s="41">
        <f>IF(ISERROR(HLOOKUP(AJ$91,'Improved Sales Adjustments 1'!$G$7:$WV$147,68,FALSE)),0,IF(HLOOKUP(AJ$91,'Improved Sales Adjustments 1'!$G$7:$WV$147,68,FALSE)="",0,IF($S110=HLOOKUP(AJ$91,'Improved Sales Adjustments 1'!$G$7:$WV$147,68,FALSE),1,0)))</f>
        <v>0</v>
      </c>
      <c r="AK110" s="41">
        <f>IF(ISERROR(HLOOKUP(AK$91,'Improved Sales Adjustments 1'!$G$7:$WV$147,68,FALSE)),0,IF(HLOOKUP(AK$91,'Improved Sales Adjustments 1'!$G$7:$WV$147,68,FALSE)="",0,IF($S110=HLOOKUP(AK$91,'Improved Sales Adjustments 1'!$G$7:$WV$147,68,FALSE),1,0)))</f>
        <v>0</v>
      </c>
      <c r="AL110" s="41">
        <f>IF(ISERROR(HLOOKUP(AL$91,'Improved Sales Adjustments 1'!$G$7:$WV$147,68,FALSE)),0,IF(HLOOKUP(AL$91,'Improved Sales Adjustments 1'!$G$7:$WV$147,68,FALSE)="",0,IF($S110=HLOOKUP(AL$91,'Improved Sales Adjustments 1'!$G$7:$WV$147,68,FALSE),1,0)))</f>
        <v>0</v>
      </c>
      <c r="AM110" s="41">
        <f>IF(ISERROR(HLOOKUP(AM$91,'Improved Sales Adjustments 1'!$G$7:$WV$147,68,FALSE)),0,IF(HLOOKUP(AM$91,'Improved Sales Adjustments 1'!$G$7:$WV$147,68,FALSE)="",0,IF($S110=HLOOKUP(AM$91,'Improved Sales Adjustments 1'!$G$7:$WV$147,68,FALSE),1,0)))</f>
        <v>0</v>
      </c>
      <c r="AN110" s="41">
        <f>IF(ISERROR(HLOOKUP(AN$91,'Improved Sales Adjustments 1'!$G$7:$WV$147,68,FALSE)),0,IF(HLOOKUP(AN$91,'Improved Sales Adjustments 1'!$G$7:$WV$147,68,FALSE)="",0,IF($S110=HLOOKUP(AN$91,'Improved Sales Adjustments 1'!$G$7:$WV$147,68,FALSE),1,0)))</f>
        <v>0</v>
      </c>
      <c r="AO110" s="41">
        <f>IF(ISERROR(HLOOKUP(AO$91,'Improved Sales Adjustments 1'!$G$7:$WV$147,68,FALSE)),0,IF(HLOOKUP(AO$91,'Improved Sales Adjustments 1'!$G$7:$WV$147,68,FALSE)="",0,IF($S110=HLOOKUP(AO$91,'Improved Sales Adjustments 1'!$G$7:$WV$147,68,FALSE),1,0)))</f>
        <v>0</v>
      </c>
      <c r="AP110" s="41">
        <f>IF(ISERROR(HLOOKUP(AP$91,'Improved Sales Adjustments 1'!$G$7:$WV$147,68,FALSE)),0,IF(HLOOKUP(AP$91,'Improved Sales Adjustments 1'!$G$7:$WV$147,68,FALSE)="",0,IF($S110=HLOOKUP(AP$91,'Improved Sales Adjustments 1'!$G$7:$WV$147,68,FALSE),1,0)))</f>
        <v>0</v>
      </c>
      <c r="AQ110" s="41">
        <f>IF(ISERROR(HLOOKUP(AQ$91,'Improved Sales Adjustments 1'!$G$7:$WV$147,68,FALSE)),0,IF(HLOOKUP(AQ$91,'Improved Sales Adjustments 1'!$G$7:$WV$147,68,FALSE)="",0,IF($S110=HLOOKUP(AQ$91,'Improved Sales Adjustments 1'!$G$7:$WV$147,68,FALSE),1,0)))</f>
        <v>0</v>
      </c>
      <c r="AR110" s="41">
        <f>SUM($AG110:AG110)</f>
        <v>0</v>
      </c>
      <c r="AS110" s="41">
        <f>SUM($AG110:AH110)</f>
        <v>0</v>
      </c>
      <c r="AT110" s="41">
        <f>SUM($AG110:AI110)</f>
        <v>0</v>
      </c>
      <c r="AU110" s="41">
        <f>SUM($AG110:AJ110)</f>
        <v>0</v>
      </c>
      <c r="AV110" s="41">
        <f>SUM($AG110:AK110)</f>
        <v>0</v>
      </c>
      <c r="AW110" s="41">
        <f>SUM($AG110:AL110)</f>
        <v>0</v>
      </c>
      <c r="AX110" s="41">
        <f>SUM($AG110:AM110)</f>
        <v>0</v>
      </c>
      <c r="AY110" s="41">
        <f>SUM($AG110:AN110)</f>
        <v>0</v>
      </c>
      <c r="AZ110" s="41">
        <f>SUM($AG110:AO110)</f>
        <v>0</v>
      </c>
      <c r="BA110" s="41">
        <f>SUM($AG110:AP110)</f>
        <v>0</v>
      </c>
      <c r="BB110" s="41">
        <f>SUM($AG110:AQ110)</f>
        <v>0</v>
      </c>
      <c r="BC110" s="41" t="str">
        <f t="shared" si="29"/>
        <v/>
      </c>
      <c r="BD110" s="41" t="str">
        <f t="shared" si="29"/>
        <v/>
      </c>
      <c r="BE110" s="41" t="str">
        <f t="shared" si="29"/>
        <v/>
      </c>
      <c r="BF110" s="41" t="str">
        <f t="shared" si="29"/>
        <v/>
      </c>
      <c r="BG110" s="41" t="str">
        <f t="shared" si="29"/>
        <v/>
      </c>
      <c r="BH110" s="41" t="str">
        <f t="shared" si="29"/>
        <v/>
      </c>
      <c r="BI110" s="41" t="str">
        <f t="shared" si="29"/>
        <v/>
      </c>
      <c r="BJ110" s="41" t="str">
        <f t="shared" si="29"/>
        <v/>
      </c>
      <c r="BK110" s="41" t="str">
        <f t="shared" si="29"/>
        <v/>
      </c>
      <c r="BL110" s="41" t="str">
        <f t="shared" si="29"/>
        <v/>
      </c>
      <c r="BM110" s="41" t="str">
        <f t="shared" si="29"/>
        <v/>
      </c>
    </row>
    <row r="111" spans="1:65" ht="15" customHeight="1" x14ac:dyDescent="0.25">
      <c r="A111" s="957">
        <f t="shared" si="25"/>
        <v>0</v>
      </c>
      <c r="B111" s="10"/>
      <c r="C111" s="10"/>
      <c r="D111" s="13"/>
      <c r="E111" s="10"/>
      <c r="F111" s="10"/>
      <c r="G111" s="10"/>
      <c r="H111" s="10"/>
      <c r="I111" s="10"/>
      <c r="J111" s="10"/>
      <c r="K111" s="10"/>
      <c r="L111" s="10"/>
      <c r="M111" s="10"/>
      <c r="N111" s="10"/>
      <c r="O111" s="10"/>
      <c r="P111" s="4"/>
      <c r="Q111" s="1204"/>
      <c r="R111" s="101" t="str">
        <f t="shared" si="28"/>
        <v/>
      </c>
      <c r="S111" s="137">
        <f t="shared" si="30"/>
        <v>19</v>
      </c>
      <c r="T111" s="2129">
        <v>0.04</v>
      </c>
      <c r="U111" s="2130">
        <v>0.09</v>
      </c>
      <c r="V111" s="2130">
        <v>0.12</v>
      </c>
      <c r="W111" s="2130">
        <v>0.16</v>
      </c>
      <c r="X111" s="2130">
        <v>0.21</v>
      </c>
      <c r="Y111" s="2130">
        <v>0.28000000000000003</v>
      </c>
      <c r="Z111" s="2130">
        <v>0.36</v>
      </c>
      <c r="AA111" s="2130">
        <v>0.49</v>
      </c>
      <c r="AB111" s="2130">
        <v>0.64</v>
      </c>
      <c r="AC111" s="2130">
        <v>0.78</v>
      </c>
      <c r="AD111" s="101"/>
      <c r="AE111" s="6"/>
      <c r="AF111" s="11"/>
      <c r="AG111" s="41">
        <f t="shared" si="26"/>
        <v>0</v>
      </c>
      <c r="AH111" s="41">
        <f>IF(ISERROR(HLOOKUP(AH$91,'Improved Sales Adjustments 1'!$G$7:$WV$147,68,FALSE)),0,IF(HLOOKUP(AH$91,'Improved Sales Adjustments 1'!$G$7:$WV$147,68,FALSE)="",0,IF($S111=HLOOKUP(AH$91,'Improved Sales Adjustments 1'!$G$7:$WV$147,68,FALSE),1,0)))</f>
        <v>0</v>
      </c>
      <c r="AI111" s="41">
        <f>IF(ISERROR(HLOOKUP(AI$91,'Improved Sales Adjustments 1'!$G$7:$WV$147,68,FALSE)),0,IF(HLOOKUP(AI$91,'Improved Sales Adjustments 1'!$G$7:$WV$147,68,FALSE)="",0,IF($S111=HLOOKUP(AI$91,'Improved Sales Adjustments 1'!$G$7:$WV$147,68,FALSE),1,0)))</f>
        <v>0</v>
      </c>
      <c r="AJ111" s="41">
        <f>IF(ISERROR(HLOOKUP(AJ$91,'Improved Sales Adjustments 1'!$G$7:$WV$147,68,FALSE)),0,IF(HLOOKUP(AJ$91,'Improved Sales Adjustments 1'!$G$7:$WV$147,68,FALSE)="",0,IF($S111=HLOOKUP(AJ$91,'Improved Sales Adjustments 1'!$G$7:$WV$147,68,FALSE),1,0)))</f>
        <v>0</v>
      </c>
      <c r="AK111" s="41">
        <f>IF(ISERROR(HLOOKUP(AK$91,'Improved Sales Adjustments 1'!$G$7:$WV$147,68,FALSE)),0,IF(HLOOKUP(AK$91,'Improved Sales Adjustments 1'!$G$7:$WV$147,68,FALSE)="",0,IF($S111=HLOOKUP(AK$91,'Improved Sales Adjustments 1'!$G$7:$WV$147,68,FALSE),1,0)))</f>
        <v>0</v>
      </c>
      <c r="AL111" s="41">
        <f>IF(ISERROR(HLOOKUP(AL$91,'Improved Sales Adjustments 1'!$G$7:$WV$147,68,FALSE)),0,IF(HLOOKUP(AL$91,'Improved Sales Adjustments 1'!$G$7:$WV$147,68,FALSE)="",0,IF($S111=HLOOKUP(AL$91,'Improved Sales Adjustments 1'!$G$7:$WV$147,68,FALSE),1,0)))</f>
        <v>0</v>
      </c>
      <c r="AM111" s="41">
        <f>IF(ISERROR(HLOOKUP(AM$91,'Improved Sales Adjustments 1'!$G$7:$WV$147,68,FALSE)),0,IF(HLOOKUP(AM$91,'Improved Sales Adjustments 1'!$G$7:$WV$147,68,FALSE)="",0,IF($S111=HLOOKUP(AM$91,'Improved Sales Adjustments 1'!$G$7:$WV$147,68,FALSE),1,0)))</f>
        <v>0</v>
      </c>
      <c r="AN111" s="41">
        <f>IF(ISERROR(HLOOKUP(AN$91,'Improved Sales Adjustments 1'!$G$7:$WV$147,68,FALSE)),0,IF(HLOOKUP(AN$91,'Improved Sales Adjustments 1'!$G$7:$WV$147,68,FALSE)="",0,IF($S111=HLOOKUP(AN$91,'Improved Sales Adjustments 1'!$G$7:$WV$147,68,FALSE),1,0)))</f>
        <v>0</v>
      </c>
      <c r="AO111" s="41">
        <f>IF(ISERROR(HLOOKUP(AO$91,'Improved Sales Adjustments 1'!$G$7:$WV$147,68,FALSE)),0,IF(HLOOKUP(AO$91,'Improved Sales Adjustments 1'!$G$7:$WV$147,68,FALSE)="",0,IF($S111=HLOOKUP(AO$91,'Improved Sales Adjustments 1'!$G$7:$WV$147,68,FALSE),1,0)))</f>
        <v>0</v>
      </c>
      <c r="AP111" s="41">
        <f>IF(ISERROR(HLOOKUP(AP$91,'Improved Sales Adjustments 1'!$G$7:$WV$147,68,FALSE)),0,IF(HLOOKUP(AP$91,'Improved Sales Adjustments 1'!$G$7:$WV$147,68,FALSE)="",0,IF($S111=HLOOKUP(AP$91,'Improved Sales Adjustments 1'!$G$7:$WV$147,68,FALSE),1,0)))</f>
        <v>0</v>
      </c>
      <c r="AQ111" s="41">
        <f>IF(ISERROR(HLOOKUP(AQ$91,'Improved Sales Adjustments 1'!$G$7:$WV$147,68,FALSE)),0,IF(HLOOKUP(AQ$91,'Improved Sales Adjustments 1'!$G$7:$WV$147,68,FALSE)="",0,IF($S111=HLOOKUP(AQ$91,'Improved Sales Adjustments 1'!$G$7:$WV$147,68,FALSE),1,0)))</f>
        <v>0</v>
      </c>
      <c r="AR111" s="41">
        <f>SUM($AG111:AG111)</f>
        <v>0</v>
      </c>
      <c r="AS111" s="41">
        <f>SUM($AG111:AH111)</f>
        <v>0</v>
      </c>
      <c r="AT111" s="41">
        <f>SUM($AG111:AI111)</f>
        <v>0</v>
      </c>
      <c r="AU111" s="41">
        <f>SUM($AG111:AJ111)</f>
        <v>0</v>
      </c>
      <c r="AV111" s="41">
        <f>SUM($AG111:AK111)</f>
        <v>0</v>
      </c>
      <c r="AW111" s="41">
        <f>SUM($AG111:AL111)</f>
        <v>0</v>
      </c>
      <c r="AX111" s="41">
        <f>SUM($AG111:AM111)</f>
        <v>0</v>
      </c>
      <c r="AY111" s="41">
        <f>SUM($AG111:AN111)</f>
        <v>0</v>
      </c>
      <c r="AZ111" s="41">
        <f>SUM($AG111:AO111)</f>
        <v>0</v>
      </c>
      <c r="BA111" s="41">
        <f>SUM($AG111:AP111)</f>
        <v>0</v>
      </c>
      <c r="BB111" s="41">
        <f>SUM($AG111:AQ111)</f>
        <v>0</v>
      </c>
      <c r="BC111" s="41" t="str">
        <f t="shared" si="29"/>
        <v/>
      </c>
      <c r="BD111" s="41" t="str">
        <f t="shared" si="29"/>
        <v/>
      </c>
      <c r="BE111" s="41" t="str">
        <f t="shared" si="29"/>
        <v/>
      </c>
      <c r="BF111" s="41" t="str">
        <f t="shared" si="29"/>
        <v/>
      </c>
      <c r="BG111" s="41" t="str">
        <f t="shared" si="29"/>
        <v/>
      </c>
      <c r="BH111" s="41" t="str">
        <f t="shared" si="29"/>
        <v/>
      </c>
      <c r="BI111" s="41" t="str">
        <f t="shared" si="29"/>
        <v/>
      </c>
      <c r="BJ111" s="41" t="str">
        <f t="shared" si="29"/>
        <v/>
      </c>
      <c r="BK111" s="41" t="str">
        <f t="shared" si="29"/>
        <v/>
      </c>
      <c r="BL111" s="41" t="str">
        <f t="shared" si="29"/>
        <v/>
      </c>
      <c r="BM111" s="41" t="str">
        <f t="shared" si="29"/>
        <v/>
      </c>
    </row>
    <row r="112" spans="1:65" ht="15" customHeight="1" x14ac:dyDescent="0.25">
      <c r="A112" s="957">
        <f t="shared" si="25"/>
        <v>0</v>
      </c>
      <c r="B112" s="10"/>
      <c r="C112" s="10"/>
      <c r="D112" s="13"/>
      <c r="E112" s="10"/>
      <c r="F112" s="10"/>
      <c r="G112" s="10"/>
      <c r="H112" s="10"/>
      <c r="I112" s="10"/>
      <c r="J112" s="10"/>
      <c r="K112" s="10"/>
      <c r="L112" s="10"/>
      <c r="M112" s="10"/>
      <c r="N112" s="10"/>
      <c r="O112" s="10"/>
      <c r="P112" s="4"/>
      <c r="Q112" s="1204"/>
      <c r="R112" s="101" t="str">
        <f t="shared" si="28"/>
        <v/>
      </c>
      <c r="S112" s="137">
        <f t="shared" si="30"/>
        <v>20</v>
      </c>
      <c r="T112" s="2129">
        <v>0.05</v>
      </c>
      <c r="U112" s="2130">
        <v>0.09</v>
      </c>
      <c r="V112" s="2130">
        <v>0.13</v>
      </c>
      <c r="W112" s="2130">
        <v>0.17</v>
      </c>
      <c r="X112" s="2130">
        <v>0.23</v>
      </c>
      <c r="Y112" s="2130">
        <v>0.3</v>
      </c>
      <c r="Z112" s="2130">
        <v>0.39</v>
      </c>
      <c r="AA112" s="2130">
        <v>0.53</v>
      </c>
      <c r="AB112" s="2130">
        <v>0.68</v>
      </c>
      <c r="AC112" s="2130">
        <v>0.79</v>
      </c>
      <c r="AD112" s="101"/>
      <c r="AE112" s="6"/>
      <c r="AF112" s="11"/>
      <c r="AG112" s="41">
        <f t="shared" si="26"/>
        <v>0</v>
      </c>
      <c r="AH112" s="41">
        <f>IF(ISERROR(HLOOKUP(AH$91,'Improved Sales Adjustments 1'!$G$7:$WV$147,68,FALSE)),0,IF(HLOOKUP(AH$91,'Improved Sales Adjustments 1'!$G$7:$WV$147,68,FALSE)="",0,IF($S112=HLOOKUP(AH$91,'Improved Sales Adjustments 1'!$G$7:$WV$147,68,FALSE),1,0)))</f>
        <v>0</v>
      </c>
      <c r="AI112" s="41">
        <f>IF(ISERROR(HLOOKUP(AI$91,'Improved Sales Adjustments 1'!$G$7:$WV$147,68,FALSE)),0,IF(HLOOKUP(AI$91,'Improved Sales Adjustments 1'!$G$7:$WV$147,68,FALSE)="",0,IF($S112=HLOOKUP(AI$91,'Improved Sales Adjustments 1'!$G$7:$WV$147,68,FALSE),1,0)))</f>
        <v>0</v>
      </c>
      <c r="AJ112" s="41">
        <f>IF(ISERROR(HLOOKUP(AJ$91,'Improved Sales Adjustments 1'!$G$7:$WV$147,68,FALSE)),0,IF(HLOOKUP(AJ$91,'Improved Sales Adjustments 1'!$G$7:$WV$147,68,FALSE)="",0,IF($S112=HLOOKUP(AJ$91,'Improved Sales Adjustments 1'!$G$7:$WV$147,68,FALSE),1,0)))</f>
        <v>0</v>
      </c>
      <c r="AK112" s="41">
        <f>IF(ISERROR(HLOOKUP(AK$91,'Improved Sales Adjustments 1'!$G$7:$WV$147,68,FALSE)),0,IF(HLOOKUP(AK$91,'Improved Sales Adjustments 1'!$G$7:$WV$147,68,FALSE)="",0,IF($S112=HLOOKUP(AK$91,'Improved Sales Adjustments 1'!$G$7:$WV$147,68,FALSE),1,0)))</f>
        <v>0</v>
      </c>
      <c r="AL112" s="41">
        <f>IF(ISERROR(HLOOKUP(AL$91,'Improved Sales Adjustments 1'!$G$7:$WV$147,68,FALSE)),0,IF(HLOOKUP(AL$91,'Improved Sales Adjustments 1'!$G$7:$WV$147,68,FALSE)="",0,IF($S112=HLOOKUP(AL$91,'Improved Sales Adjustments 1'!$G$7:$WV$147,68,FALSE),1,0)))</f>
        <v>0</v>
      </c>
      <c r="AM112" s="41">
        <f>IF(ISERROR(HLOOKUP(AM$91,'Improved Sales Adjustments 1'!$G$7:$WV$147,68,FALSE)),0,IF(HLOOKUP(AM$91,'Improved Sales Adjustments 1'!$G$7:$WV$147,68,FALSE)="",0,IF($S112=HLOOKUP(AM$91,'Improved Sales Adjustments 1'!$G$7:$WV$147,68,FALSE),1,0)))</f>
        <v>0</v>
      </c>
      <c r="AN112" s="41">
        <f>IF(ISERROR(HLOOKUP(AN$91,'Improved Sales Adjustments 1'!$G$7:$WV$147,68,FALSE)),0,IF(HLOOKUP(AN$91,'Improved Sales Adjustments 1'!$G$7:$WV$147,68,FALSE)="",0,IF($S112=HLOOKUP(AN$91,'Improved Sales Adjustments 1'!$G$7:$WV$147,68,FALSE),1,0)))</f>
        <v>0</v>
      </c>
      <c r="AO112" s="41">
        <f>IF(ISERROR(HLOOKUP(AO$91,'Improved Sales Adjustments 1'!$G$7:$WV$147,68,FALSE)),0,IF(HLOOKUP(AO$91,'Improved Sales Adjustments 1'!$G$7:$WV$147,68,FALSE)="",0,IF($S112=HLOOKUP(AO$91,'Improved Sales Adjustments 1'!$G$7:$WV$147,68,FALSE),1,0)))</f>
        <v>0</v>
      </c>
      <c r="AP112" s="41">
        <f>IF(ISERROR(HLOOKUP(AP$91,'Improved Sales Adjustments 1'!$G$7:$WV$147,68,FALSE)),0,IF(HLOOKUP(AP$91,'Improved Sales Adjustments 1'!$G$7:$WV$147,68,FALSE)="",0,IF($S112=HLOOKUP(AP$91,'Improved Sales Adjustments 1'!$G$7:$WV$147,68,FALSE),1,0)))</f>
        <v>0</v>
      </c>
      <c r="AQ112" s="41">
        <f>IF(ISERROR(HLOOKUP(AQ$91,'Improved Sales Adjustments 1'!$G$7:$WV$147,68,FALSE)),0,IF(HLOOKUP(AQ$91,'Improved Sales Adjustments 1'!$G$7:$WV$147,68,FALSE)="",0,IF($S112=HLOOKUP(AQ$91,'Improved Sales Adjustments 1'!$G$7:$WV$147,68,FALSE),1,0)))</f>
        <v>0</v>
      </c>
      <c r="AR112" s="41">
        <f>SUM($AG112:AG112)</f>
        <v>0</v>
      </c>
      <c r="AS112" s="41">
        <f>SUM($AG112:AH112)</f>
        <v>0</v>
      </c>
      <c r="AT112" s="41">
        <f>SUM($AG112:AI112)</f>
        <v>0</v>
      </c>
      <c r="AU112" s="41">
        <f>SUM($AG112:AJ112)</f>
        <v>0</v>
      </c>
      <c r="AV112" s="41">
        <f>SUM($AG112:AK112)</f>
        <v>0</v>
      </c>
      <c r="AW112" s="41">
        <f>SUM($AG112:AL112)</f>
        <v>0</v>
      </c>
      <c r="AX112" s="41">
        <f>SUM($AG112:AM112)</f>
        <v>0</v>
      </c>
      <c r="AY112" s="41">
        <f>SUM($AG112:AN112)</f>
        <v>0</v>
      </c>
      <c r="AZ112" s="41">
        <f>SUM($AG112:AO112)</f>
        <v>0</v>
      </c>
      <c r="BA112" s="41">
        <f>SUM($AG112:AP112)</f>
        <v>0</v>
      </c>
      <c r="BB112" s="41">
        <f>SUM($AG112:AQ112)</f>
        <v>0</v>
      </c>
      <c r="BC112" s="41" t="str">
        <f t="shared" si="29"/>
        <v/>
      </c>
      <c r="BD112" s="41" t="str">
        <f t="shared" si="29"/>
        <v/>
      </c>
      <c r="BE112" s="41" t="str">
        <f t="shared" si="29"/>
        <v/>
      </c>
      <c r="BF112" s="41" t="str">
        <f t="shared" si="29"/>
        <v/>
      </c>
      <c r="BG112" s="41" t="str">
        <f t="shared" si="29"/>
        <v/>
      </c>
      <c r="BH112" s="41" t="str">
        <f t="shared" si="29"/>
        <v/>
      </c>
      <c r="BI112" s="41" t="str">
        <f t="shared" si="29"/>
        <v/>
      </c>
      <c r="BJ112" s="41" t="str">
        <f t="shared" si="29"/>
        <v/>
      </c>
      <c r="BK112" s="41" t="str">
        <f t="shared" si="29"/>
        <v/>
      </c>
      <c r="BL112" s="41" t="str">
        <f t="shared" si="29"/>
        <v/>
      </c>
      <c r="BM112" s="41" t="str">
        <f t="shared" si="29"/>
        <v/>
      </c>
    </row>
    <row r="113" spans="1:65" ht="15" customHeight="1" x14ac:dyDescent="0.25">
      <c r="A113" s="957">
        <f t="shared" si="25"/>
        <v>0</v>
      </c>
      <c r="B113" s="10"/>
      <c r="C113" s="10"/>
      <c r="D113" s="13"/>
      <c r="E113" s="10"/>
      <c r="F113" s="10"/>
      <c r="G113" s="10"/>
      <c r="H113" s="10"/>
      <c r="I113" s="10"/>
      <c r="J113" s="10"/>
      <c r="K113" s="10"/>
      <c r="L113" s="10"/>
      <c r="M113" s="10"/>
      <c r="N113" s="10"/>
      <c r="O113" s="10"/>
      <c r="P113" s="4"/>
      <c r="Q113" s="1204"/>
      <c r="R113" s="101" t="str">
        <f t="shared" si="28"/>
        <v/>
      </c>
      <c r="S113" s="137">
        <f t="shared" si="30"/>
        <v>21</v>
      </c>
      <c r="T113" s="2129">
        <v>0.05</v>
      </c>
      <c r="U113" s="2130">
        <v>0.1</v>
      </c>
      <c r="V113" s="2130">
        <v>0.14000000000000001</v>
      </c>
      <c r="W113" s="2130">
        <v>0.18</v>
      </c>
      <c r="X113" s="2130">
        <v>0.25</v>
      </c>
      <c r="Y113" s="2130">
        <v>0.32</v>
      </c>
      <c r="Z113" s="2130">
        <v>0.42</v>
      </c>
      <c r="AA113" s="2130">
        <v>0.56999999999999995</v>
      </c>
      <c r="AB113" s="2130">
        <v>0.71</v>
      </c>
      <c r="AC113" s="2130">
        <v>0.8</v>
      </c>
      <c r="AD113" s="101"/>
      <c r="AE113" s="6"/>
      <c r="AF113" s="11"/>
      <c r="AG113" s="41">
        <f t="shared" si="26"/>
        <v>0</v>
      </c>
      <c r="AH113" s="41">
        <f>IF(ISERROR(HLOOKUP(AH$91,'Improved Sales Adjustments 1'!$G$7:$WV$147,68,FALSE)),0,IF(HLOOKUP(AH$91,'Improved Sales Adjustments 1'!$G$7:$WV$147,68,FALSE)="",0,IF($S113=HLOOKUP(AH$91,'Improved Sales Adjustments 1'!$G$7:$WV$147,68,FALSE),1,0)))</f>
        <v>0</v>
      </c>
      <c r="AI113" s="41">
        <f>IF(ISERROR(HLOOKUP(AI$91,'Improved Sales Adjustments 1'!$G$7:$WV$147,68,FALSE)),0,IF(HLOOKUP(AI$91,'Improved Sales Adjustments 1'!$G$7:$WV$147,68,FALSE)="",0,IF($S113=HLOOKUP(AI$91,'Improved Sales Adjustments 1'!$G$7:$WV$147,68,FALSE),1,0)))</f>
        <v>0</v>
      </c>
      <c r="AJ113" s="41">
        <f>IF(ISERROR(HLOOKUP(AJ$91,'Improved Sales Adjustments 1'!$G$7:$WV$147,68,FALSE)),0,IF(HLOOKUP(AJ$91,'Improved Sales Adjustments 1'!$G$7:$WV$147,68,FALSE)="",0,IF($S113=HLOOKUP(AJ$91,'Improved Sales Adjustments 1'!$G$7:$WV$147,68,FALSE),1,0)))</f>
        <v>0</v>
      </c>
      <c r="AK113" s="41">
        <f>IF(ISERROR(HLOOKUP(AK$91,'Improved Sales Adjustments 1'!$G$7:$WV$147,68,FALSE)),0,IF(HLOOKUP(AK$91,'Improved Sales Adjustments 1'!$G$7:$WV$147,68,FALSE)="",0,IF($S113=HLOOKUP(AK$91,'Improved Sales Adjustments 1'!$G$7:$WV$147,68,FALSE),1,0)))</f>
        <v>0</v>
      </c>
      <c r="AL113" s="41">
        <f>IF(ISERROR(HLOOKUP(AL$91,'Improved Sales Adjustments 1'!$G$7:$WV$147,68,FALSE)),0,IF(HLOOKUP(AL$91,'Improved Sales Adjustments 1'!$G$7:$WV$147,68,FALSE)="",0,IF($S113=HLOOKUP(AL$91,'Improved Sales Adjustments 1'!$G$7:$WV$147,68,FALSE),1,0)))</f>
        <v>0</v>
      </c>
      <c r="AM113" s="41">
        <f>IF(ISERROR(HLOOKUP(AM$91,'Improved Sales Adjustments 1'!$G$7:$WV$147,68,FALSE)),0,IF(HLOOKUP(AM$91,'Improved Sales Adjustments 1'!$G$7:$WV$147,68,FALSE)="",0,IF($S113=HLOOKUP(AM$91,'Improved Sales Adjustments 1'!$G$7:$WV$147,68,FALSE),1,0)))</f>
        <v>0</v>
      </c>
      <c r="AN113" s="41">
        <f>IF(ISERROR(HLOOKUP(AN$91,'Improved Sales Adjustments 1'!$G$7:$WV$147,68,FALSE)),0,IF(HLOOKUP(AN$91,'Improved Sales Adjustments 1'!$G$7:$WV$147,68,FALSE)="",0,IF($S113=HLOOKUP(AN$91,'Improved Sales Adjustments 1'!$G$7:$WV$147,68,FALSE),1,0)))</f>
        <v>0</v>
      </c>
      <c r="AO113" s="41">
        <f>IF(ISERROR(HLOOKUP(AO$91,'Improved Sales Adjustments 1'!$G$7:$WV$147,68,FALSE)),0,IF(HLOOKUP(AO$91,'Improved Sales Adjustments 1'!$G$7:$WV$147,68,FALSE)="",0,IF($S113=HLOOKUP(AO$91,'Improved Sales Adjustments 1'!$G$7:$WV$147,68,FALSE),1,0)))</f>
        <v>0</v>
      </c>
      <c r="AP113" s="41">
        <f>IF(ISERROR(HLOOKUP(AP$91,'Improved Sales Adjustments 1'!$G$7:$WV$147,68,FALSE)),0,IF(HLOOKUP(AP$91,'Improved Sales Adjustments 1'!$G$7:$WV$147,68,FALSE)="",0,IF($S113=HLOOKUP(AP$91,'Improved Sales Adjustments 1'!$G$7:$WV$147,68,FALSE),1,0)))</f>
        <v>0</v>
      </c>
      <c r="AQ113" s="41">
        <f>IF(ISERROR(HLOOKUP(AQ$91,'Improved Sales Adjustments 1'!$G$7:$WV$147,68,FALSE)),0,IF(HLOOKUP(AQ$91,'Improved Sales Adjustments 1'!$G$7:$WV$147,68,FALSE)="",0,IF($S113=HLOOKUP(AQ$91,'Improved Sales Adjustments 1'!$G$7:$WV$147,68,FALSE),1,0)))</f>
        <v>0</v>
      </c>
      <c r="AR113" s="41">
        <f>SUM($AG113:AG113)</f>
        <v>0</v>
      </c>
      <c r="AS113" s="41">
        <f>SUM($AG113:AH113)</f>
        <v>0</v>
      </c>
      <c r="AT113" s="41">
        <f>SUM($AG113:AI113)</f>
        <v>0</v>
      </c>
      <c r="AU113" s="41">
        <f>SUM($AG113:AJ113)</f>
        <v>0</v>
      </c>
      <c r="AV113" s="41">
        <f>SUM($AG113:AK113)</f>
        <v>0</v>
      </c>
      <c r="AW113" s="41">
        <f>SUM($AG113:AL113)</f>
        <v>0</v>
      </c>
      <c r="AX113" s="41">
        <f>SUM($AG113:AM113)</f>
        <v>0</v>
      </c>
      <c r="AY113" s="41">
        <f>SUM($AG113:AN113)</f>
        <v>0</v>
      </c>
      <c r="AZ113" s="41">
        <f>SUM($AG113:AO113)</f>
        <v>0</v>
      </c>
      <c r="BA113" s="41">
        <f>SUM($AG113:AP113)</f>
        <v>0</v>
      </c>
      <c r="BB113" s="41">
        <f>SUM($AG113:AQ113)</f>
        <v>0</v>
      </c>
      <c r="BC113" s="41" t="str">
        <f t="shared" si="29"/>
        <v/>
      </c>
      <c r="BD113" s="41" t="str">
        <f t="shared" si="29"/>
        <v/>
      </c>
      <c r="BE113" s="41" t="str">
        <f t="shared" si="29"/>
        <v/>
      </c>
      <c r="BF113" s="41" t="str">
        <f t="shared" si="29"/>
        <v/>
      </c>
      <c r="BG113" s="41" t="str">
        <f t="shared" si="29"/>
        <v/>
      </c>
      <c r="BH113" s="41" t="str">
        <f t="shared" si="29"/>
        <v/>
      </c>
      <c r="BI113" s="41" t="str">
        <f t="shared" si="29"/>
        <v/>
      </c>
      <c r="BJ113" s="41" t="str">
        <f t="shared" si="29"/>
        <v/>
      </c>
      <c r="BK113" s="41" t="str">
        <f t="shared" si="29"/>
        <v/>
      </c>
      <c r="BL113" s="41" t="str">
        <f t="shared" si="29"/>
        <v/>
      </c>
      <c r="BM113" s="41" t="str">
        <f t="shared" si="29"/>
        <v/>
      </c>
    </row>
    <row r="114" spans="1:65" ht="15" customHeight="1" x14ac:dyDescent="0.25">
      <c r="A114" s="957">
        <f t="shared" si="25"/>
        <v>0</v>
      </c>
      <c r="B114" s="10"/>
      <c r="C114" s="10"/>
      <c r="D114" s="13"/>
      <c r="E114" s="10"/>
      <c r="F114" s="10"/>
      <c r="G114" s="10"/>
      <c r="H114" s="10"/>
      <c r="I114" s="10"/>
      <c r="J114" s="10"/>
      <c r="K114" s="10"/>
      <c r="L114" s="10"/>
      <c r="M114" s="10"/>
      <c r="N114" s="10"/>
      <c r="O114" s="10"/>
      <c r="P114" s="4"/>
      <c r="Q114" s="1204"/>
      <c r="R114" s="101" t="str">
        <f t="shared" si="28"/>
        <v/>
      </c>
      <c r="S114" s="137">
        <f t="shared" si="30"/>
        <v>22</v>
      </c>
      <c r="T114" s="2129">
        <v>0.06</v>
      </c>
      <c r="U114" s="2130">
        <v>0.11</v>
      </c>
      <c r="V114" s="2130">
        <v>0.15</v>
      </c>
      <c r="W114" s="2130">
        <v>0.2</v>
      </c>
      <c r="X114" s="2130">
        <v>0.27</v>
      </c>
      <c r="Y114" s="2130">
        <v>0.35</v>
      </c>
      <c r="Z114" s="2130">
        <v>0.45</v>
      </c>
      <c r="AA114" s="2130">
        <v>0.6</v>
      </c>
      <c r="AB114" s="2130">
        <v>0.73</v>
      </c>
      <c r="AC114" s="2130"/>
      <c r="AD114" s="101"/>
      <c r="AE114" s="6"/>
      <c r="AF114" s="11"/>
      <c r="AG114" s="41">
        <f t="shared" si="26"/>
        <v>0</v>
      </c>
      <c r="AH114" s="41">
        <f>IF(ISERROR(HLOOKUP(AH$91,'Improved Sales Adjustments 1'!$G$7:$WV$147,68,FALSE)),0,IF(HLOOKUP(AH$91,'Improved Sales Adjustments 1'!$G$7:$WV$147,68,FALSE)="",0,IF($S114=HLOOKUP(AH$91,'Improved Sales Adjustments 1'!$G$7:$WV$147,68,FALSE),1,0)))</f>
        <v>0</v>
      </c>
      <c r="AI114" s="41">
        <f>IF(ISERROR(HLOOKUP(AI$91,'Improved Sales Adjustments 1'!$G$7:$WV$147,68,FALSE)),0,IF(HLOOKUP(AI$91,'Improved Sales Adjustments 1'!$G$7:$WV$147,68,FALSE)="",0,IF($S114=HLOOKUP(AI$91,'Improved Sales Adjustments 1'!$G$7:$WV$147,68,FALSE),1,0)))</f>
        <v>0</v>
      </c>
      <c r="AJ114" s="41">
        <f>IF(ISERROR(HLOOKUP(AJ$91,'Improved Sales Adjustments 1'!$G$7:$WV$147,68,FALSE)),0,IF(HLOOKUP(AJ$91,'Improved Sales Adjustments 1'!$G$7:$WV$147,68,FALSE)="",0,IF($S114=HLOOKUP(AJ$91,'Improved Sales Adjustments 1'!$G$7:$WV$147,68,FALSE),1,0)))</f>
        <v>0</v>
      </c>
      <c r="AK114" s="41">
        <f>IF(ISERROR(HLOOKUP(AK$91,'Improved Sales Adjustments 1'!$G$7:$WV$147,68,FALSE)),0,IF(HLOOKUP(AK$91,'Improved Sales Adjustments 1'!$G$7:$WV$147,68,FALSE)="",0,IF($S114=HLOOKUP(AK$91,'Improved Sales Adjustments 1'!$G$7:$WV$147,68,FALSE),1,0)))</f>
        <v>0</v>
      </c>
      <c r="AL114" s="41">
        <f>IF(ISERROR(HLOOKUP(AL$91,'Improved Sales Adjustments 1'!$G$7:$WV$147,68,FALSE)),0,IF(HLOOKUP(AL$91,'Improved Sales Adjustments 1'!$G$7:$WV$147,68,FALSE)="",0,IF($S114=HLOOKUP(AL$91,'Improved Sales Adjustments 1'!$G$7:$WV$147,68,FALSE),1,0)))</f>
        <v>0</v>
      </c>
      <c r="AM114" s="41">
        <f>IF(ISERROR(HLOOKUP(AM$91,'Improved Sales Adjustments 1'!$G$7:$WV$147,68,FALSE)),0,IF(HLOOKUP(AM$91,'Improved Sales Adjustments 1'!$G$7:$WV$147,68,FALSE)="",0,IF($S114=HLOOKUP(AM$91,'Improved Sales Adjustments 1'!$G$7:$WV$147,68,FALSE),1,0)))</f>
        <v>0</v>
      </c>
      <c r="AN114" s="41">
        <f>IF(ISERROR(HLOOKUP(AN$91,'Improved Sales Adjustments 1'!$G$7:$WV$147,68,FALSE)),0,IF(HLOOKUP(AN$91,'Improved Sales Adjustments 1'!$G$7:$WV$147,68,FALSE)="",0,IF($S114=HLOOKUP(AN$91,'Improved Sales Adjustments 1'!$G$7:$WV$147,68,FALSE),1,0)))</f>
        <v>0</v>
      </c>
      <c r="AO114" s="41">
        <f>IF(ISERROR(HLOOKUP(AO$91,'Improved Sales Adjustments 1'!$G$7:$WV$147,68,FALSE)),0,IF(HLOOKUP(AO$91,'Improved Sales Adjustments 1'!$G$7:$WV$147,68,FALSE)="",0,IF($S114=HLOOKUP(AO$91,'Improved Sales Adjustments 1'!$G$7:$WV$147,68,FALSE),1,0)))</f>
        <v>0</v>
      </c>
      <c r="AP114" s="41">
        <f>IF(ISERROR(HLOOKUP(AP$91,'Improved Sales Adjustments 1'!$G$7:$WV$147,68,FALSE)),0,IF(HLOOKUP(AP$91,'Improved Sales Adjustments 1'!$G$7:$WV$147,68,FALSE)="",0,IF($S114=HLOOKUP(AP$91,'Improved Sales Adjustments 1'!$G$7:$WV$147,68,FALSE),1,0)))</f>
        <v>0</v>
      </c>
      <c r="AQ114" s="41">
        <f>IF(ISERROR(HLOOKUP(AQ$91,'Improved Sales Adjustments 1'!$G$7:$WV$147,68,FALSE)),0,IF(HLOOKUP(AQ$91,'Improved Sales Adjustments 1'!$G$7:$WV$147,68,FALSE)="",0,IF($S114=HLOOKUP(AQ$91,'Improved Sales Adjustments 1'!$G$7:$WV$147,68,FALSE),1,0)))</f>
        <v>0</v>
      </c>
      <c r="AR114" s="41">
        <f>SUM($AG114:AG114)</f>
        <v>0</v>
      </c>
      <c r="AS114" s="41">
        <f>SUM($AG114:AH114)</f>
        <v>0</v>
      </c>
      <c r="AT114" s="41">
        <f>SUM($AG114:AI114)</f>
        <v>0</v>
      </c>
      <c r="AU114" s="41">
        <f>SUM($AG114:AJ114)</f>
        <v>0</v>
      </c>
      <c r="AV114" s="41">
        <f>SUM($AG114:AK114)</f>
        <v>0</v>
      </c>
      <c r="AW114" s="41">
        <f>SUM($AG114:AL114)</f>
        <v>0</v>
      </c>
      <c r="AX114" s="41">
        <f>SUM($AG114:AM114)</f>
        <v>0</v>
      </c>
      <c r="AY114" s="41">
        <f>SUM($AG114:AN114)</f>
        <v>0</v>
      </c>
      <c r="AZ114" s="41">
        <f>SUM($AG114:AO114)</f>
        <v>0</v>
      </c>
      <c r="BA114" s="41">
        <f>SUM($AG114:AP114)</f>
        <v>0</v>
      </c>
      <c r="BB114" s="41">
        <f>SUM($AG114:AQ114)</f>
        <v>0</v>
      </c>
      <c r="BC114" s="41" t="str">
        <f t="shared" si="29"/>
        <v/>
      </c>
      <c r="BD114" s="41" t="str">
        <f t="shared" si="29"/>
        <v/>
      </c>
      <c r="BE114" s="41" t="str">
        <f t="shared" si="29"/>
        <v/>
      </c>
      <c r="BF114" s="41" t="str">
        <f t="shared" si="29"/>
        <v/>
      </c>
      <c r="BG114" s="41" t="str">
        <f t="shared" si="29"/>
        <v/>
      </c>
      <c r="BH114" s="41" t="str">
        <f t="shared" si="29"/>
        <v/>
      </c>
      <c r="BI114" s="41" t="str">
        <f t="shared" si="29"/>
        <v/>
      </c>
      <c r="BJ114" s="41" t="str">
        <f t="shared" si="29"/>
        <v/>
      </c>
      <c r="BK114" s="41" t="str">
        <f t="shared" si="29"/>
        <v/>
      </c>
      <c r="BL114" s="41" t="str">
        <f t="shared" si="29"/>
        <v/>
      </c>
      <c r="BM114" s="41" t="str">
        <f t="shared" si="29"/>
        <v/>
      </c>
    </row>
    <row r="115" spans="1:65" ht="15" customHeight="1" x14ac:dyDescent="0.25">
      <c r="A115" s="957">
        <f t="shared" si="25"/>
        <v>0</v>
      </c>
      <c r="B115" s="10"/>
      <c r="C115" s="10"/>
      <c r="D115" s="13"/>
      <c r="E115" s="10"/>
      <c r="F115" s="10"/>
      <c r="G115" s="10"/>
      <c r="H115" s="10"/>
      <c r="I115" s="10"/>
      <c r="J115" s="10"/>
      <c r="K115" s="10"/>
      <c r="L115" s="10"/>
      <c r="M115" s="10"/>
      <c r="N115" s="10"/>
      <c r="O115" s="10"/>
      <c r="P115" s="4"/>
      <c r="Q115" s="1204"/>
      <c r="R115" s="101" t="str">
        <f t="shared" si="28"/>
        <v/>
      </c>
      <c r="S115" s="137">
        <f t="shared" si="30"/>
        <v>23</v>
      </c>
      <c r="T115" s="2129">
        <v>0.06</v>
      </c>
      <c r="U115" s="2130">
        <v>0.12</v>
      </c>
      <c r="V115" s="2130">
        <v>0.16</v>
      </c>
      <c r="W115" s="2130">
        <v>0.21</v>
      </c>
      <c r="X115" s="2130">
        <v>0.28999999999999998</v>
      </c>
      <c r="Y115" s="2130">
        <v>0.37</v>
      </c>
      <c r="Z115" s="2130">
        <v>0.48</v>
      </c>
      <c r="AA115" s="2130">
        <v>0.63</v>
      </c>
      <c r="AB115" s="2130">
        <v>0.75</v>
      </c>
      <c r="AC115" s="2130"/>
      <c r="AD115" s="101"/>
      <c r="AE115" s="6"/>
      <c r="AF115" s="11"/>
      <c r="AG115" s="41">
        <f t="shared" si="26"/>
        <v>0</v>
      </c>
      <c r="AH115" s="41">
        <f>IF(ISERROR(HLOOKUP(AH$91,'Improved Sales Adjustments 1'!$G$7:$WV$147,68,FALSE)),0,IF(HLOOKUP(AH$91,'Improved Sales Adjustments 1'!$G$7:$WV$147,68,FALSE)="",0,IF($S115=HLOOKUP(AH$91,'Improved Sales Adjustments 1'!$G$7:$WV$147,68,FALSE),1,0)))</f>
        <v>0</v>
      </c>
      <c r="AI115" s="41">
        <f>IF(ISERROR(HLOOKUP(AI$91,'Improved Sales Adjustments 1'!$G$7:$WV$147,68,FALSE)),0,IF(HLOOKUP(AI$91,'Improved Sales Adjustments 1'!$G$7:$WV$147,68,FALSE)="",0,IF($S115=HLOOKUP(AI$91,'Improved Sales Adjustments 1'!$G$7:$WV$147,68,FALSE),1,0)))</f>
        <v>0</v>
      </c>
      <c r="AJ115" s="41">
        <f>IF(ISERROR(HLOOKUP(AJ$91,'Improved Sales Adjustments 1'!$G$7:$WV$147,68,FALSE)),0,IF(HLOOKUP(AJ$91,'Improved Sales Adjustments 1'!$G$7:$WV$147,68,FALSE)="",0,IF($S115=HLOOKUP(AJ$91,'Improved Sales Adjustments 1'!$G$7:$WV$147,68,FALSE),1,0)))</f>
        <v>0</v>
      </c>
      <c r="AK115" s="41">
        <f>IF(ISERROR(HLOOKUP(AK$91,'Improved Sales Adjustments 1'!$G$7:$WV$147,68,FALSE)),0,IF(HLOOKUP(AK$91,'Improved Sales Adjustments 1'!$G$7:$WV$147,68,FALSE)="",0,IF($S115=HLOOKUP(AK$91,'Improved Sales Adjustments 1'!$G$7:$WV$147,68,FALSE),1,0)))</f>
        <v>0</v>
      </c>
      <c r="AL115" s="41">
        <f>IF(ISERROR(HLOOKUP(AL$91,'Improved Sales Adjustments 1'!$G$7:$WV$147,68,FALSE)),0,IF(HLOOKUP(AL$91,'Improved Sales Adjustments 1'!$G$7:$WV$147,68,FALSE)="",0,IF($S115=HLOOKUP(AL$91,'Improved Sales Adjustments 1'!$G$7:$WV$147,68,FALSE),1,0)))</f>
        <v>0</v>
      </c>
      <c r="AM115" s="41">
        <f>IF(ISERROR(HLOOKUP(AM$91,'Improved Sales Adjustments 1'!$G$7:$WV$147,68,FALSE)),0,IF(HLOOKUP(AM$91,'Improved Sales Adjustments 1'!$G$7:$WV$147,68,FALSE)="",0,IF($S115=HLOOKUP(AM$91,'Improved Sales Adjustments 1'!$G$7:$WV$147,68,FALSE),1,0)))</f>
        <v>0</v>
      </c>
      <c r="AN115" s="41">
        <f>IF(ISERROR(HLOOKUP(AN$91,'Improved Sales Adjustments 1'!$G$7:$WV$147,68,FALSE)),0,IF(HLOOKUP(AN$91,'Improved Sales Adjustments 1'!$G$7:$WV$147,68,FALSE)="",0,IF($S115=HLOOKUP(AN$91,'Improved Sales Adjustments 1'!$G$7:$WV$147,68,FALSE),1,0)))</f>
        <v>0</v>
      </c>
      <c r="AO115" s="41">
        <f>IF(ISERROR(HLOOKUP(AO$91,'Improved Sales Adjustments 1'!$G$7:$WV$147,68,FALSE)),0,IF(HLOOKUP(AO$91,'Improved Sales Adjustments 1'!$G$7:$WV$147,68,FALSE)="",0,IF($S115=HLOOKUP(AO$91,'Improved Sales Adjustments 1'!$G$7:$WV$147,68,FALSE),1,0)))</f>
        <v>0</v>
      </c>
      <c r="AP115" s="41">
        <f>IF(ISERROR(HLOOKUP(AP$91,'Improved Sales Adjustments 1'!$G$7:$WV$147,68,FALSE)),0,IF(HLOOKUP(AP$91,'Improved Sales Adjustments 1'!$G$7:$WV$147,68,FALSE)="",0,IF($S115=HLOOKUP(AP$91,'Improved Sales Adjustments 1'!$G$7:$WV$147,68,FALSE),1,0)))</f>
        <v>0</v>
      </c>
      <c r="AQ115" s="41">
        <f>IF(ISERROR(HLOOKUP(AQ$91,'Improved Sales Adjustments 1'!$G$7:$WV$147,68,FALSE)),0,IF(HLOOKUP(AQ$91,'Improved Sales Adjustments 1'!$G$7:$WV$147,68,FALSE)="",0,IF($S115=HLOOKUP(AQ$91,'Improved Sales Adjustments 1'!$G$7:$WV$147,68,FALSE),1,0)))</f>
        <v>0</v>
      </c>
      <c r="AR115" s="41">
        <f>SUM($AG115:AG115)</f>
        <v>0</v>
      </c>
      <c r="AS115" s="41">
        <f>SUM($AG115:AH115)</f>
        <v>0</v>
      </c>
      <c r="AT115" s="41">
        <f>SUM($AG115:AI115)</f>
        <v>0</v>
      </c>
      <c r="AU115" s="41">
        <f>SUM($AG115:AJ115)</f>
        <v>0</v>
      </c>
      <c r="AV115" s="41">
        <f>SUM($AG115:AK115)</f>
        <v>0</v>
      </c>
      <c r="AW115" s="41">
        <f>SUM($AG115:AL115)</f>
        <v>0</v>
      </c>
      <c r="AX115" s="41">
        <f>SUM($AG115:AM115)</f>
        <v>0</v>
      </c>
      <c r="AY115" s="41">
        <f>SUM($AG115:AN115)</f>
        <v>0</v>
      </c>
      <c r="AZ115" s="41">
        <f>SUM($AG115:AO115)</f>
        <v>0</v>
      </c>
      <c r="BA115" s="41">
        <f>SUM($AG115:AP115)</f>
        <v>0</v>
      </c>
      <c r="BB115" s="41">
        <f>SUM($AG115:AQ115)</f>
        <v>0</v>
      </c>
      <c r="BC115" s="41" t="str">
        <f t="shared" si="29"/>
        <v/>
      </c>
      <c r="BD115" s="41" t="str">
        <f t="shared" si="29"/>
        <v/>
      </c>
      <c r="BE115" s="41" t="str">
        <f t="shared" si="29"/>
        <v/>
      </c>
      <c r="BF115" s="41" t="str">
        <f t="shared" si="29"/>
        <v/>
      </c>
      <c r="BG115" s="41" t="str">
        <f t="shared" si="29"/>
        <v/>
      </c>
      <c r="BH115" s="41" t="str">
        <f t="shared" si="29"/>
        <v/>
      </c>
      <c r="BI115" s="41" t="str">
        <f t="shared" si="29"/>
        <v/>
      </c>
      <c r="BJ115" s="41" t="str">
        <f t="shared" si="29"/>
        <v/>
      </c>
      <c r="BK115" s="41" t="str">
        <f t="shared" si="29"/>
        <v/>
      </c>
      <c r="BL115" s="41" t="str">
        <f t="shared" si="29"/>
        <v/>
      </c>
      <c r="BM115" s="41" t="str">
        <f t="shared" si="29"/>
        <v/>
      </c>
    </row>
    <row r="116" spans="1:65" ht="15" customHeight="1" x14ac:dyDescent="0.25">
      <c r="A116" s="957">
        <f t="shared" si="25"/>
        <v>0</v>
      </c>
      <c r="B116" s="10"/>
      <c r="C116" s="10"/>
      <c r="D116" s="13"/>
      <c r="E116" s="10"/>
      <c r="F116" s="10"/>
      <c r="G116" s="10"/>
      <c r="H116" s="10"/>
      <c r="I116" s="10"/>
      <c r="J116" s="10"/>
      <c r="K116" s="10"/>
      <c r="L116" s="10"/>
      <c r="M116" s="10"/>
      <c r="N116" s="10"/>
      <c r="O116" s="10"/>
      <c r="P116" s="4"/>
      <c r="Q116" s="1204"/>
      <c r="R116" s="101" t="str">
        <f t="shared" si="28"/>
        <v/>
      </c>
      <c r="S116" s="137">
        <f t="shared" si="30"/>
        <v>24</v>
      </c>
      <c r="T116" s="2129">
        <v>7.0000000000000007E-2</v>
      </c>
      <c r="U116" s="2130">
        <v>0.13</v>
      </c>
      <c r="V116" s="2130">
        <v>0.17</v>
      </c>
      <c r="W116" s="2130">
        <v>0.23</v>
      </c>
      <c r="X116" s="2130">
        <v>0.31</v>
      </c>
      <c r="Y116" s="2130">
        <v>0.4</v>
      </c>
      <c r="Z116" s="2130">
        <v>0.52</v>
      </c>
      <c r="AA116" s="2130">
        <v>0.66</v>
      </c>
      <c r="AB116" s="2130">
        <v>0.77</v>
      </c>
      <c r="AC116" s="2130"/>
      <c r="AD116" s="101"/>
      <c r="AE116" s="6"/>
      <c r="AF116" s="11"/>
      <c r="AG116" s="41">
        <f t="shared" si="26"/>
        <v>0</v>
      </c>
      <c r="AH116" s="41">
        <f>IF(ISERROR(HLOOKUP(AH$91,'Improved Sales Adjustments 1'!$G$7:$WV$147,68,FALSE)),0,IF(HLOOKUP(AH$91,'Improved Sales Adjustments 1'!$G$7:$WV$147,68,FALSE)="",0,IF($S116=HLOOKUP(AH$91,'Improved Sales Adjustments 1'!$G$7:$WV$147,68,FALSE),1,0)))</f>
        <v>0</v>
      </c>
      <c r="AI116" s="41">
        <f>IF(ISERROR(HLOOKUP(AI$91,'Improved Sales Adjustments 1'!$G$7:$WV$147,68,FALSE)),0,IF(HLOOKUP(AI$91,'Improved Sales Adjustments 1'!$G$7:$WV$147,68,FALSE)="",0,IF($S116=HLOOKUP(AI$91,'Improved Sales Adjustments 1'!$G$7:$WV$147,68,FALSE),1,0)))</f>
        <v>0</v>
      </c>
      <c r="AJ116" s="41">
        <f>IF(ISERROR(HLOOKUP(AJ$91,'Improved Sales Adjustments 1'!$G$7:$WV$147,68,FALSE)),0,IF(HLOOKUP(AJ$91,'Improved Sales Adjustments 1'!$G$7:$WV$147,68,FALSE)="",0,IF($S116=HLOOKUP(AJ$91,'Improved Sales Adjustments 1'!$G$7:$WV$147,68,FALSE),1,0)))</f>
        <v>0</v>
      </c>
      <c r="AK116" s="41">
        <f>IF(ISERROR(HLOOKUP(AK$91,'Improved Sales Adjustments 1'!$G$7:$WV$147,68,FALSE)),0,IF(HLOOKUP(AK$91,'Improved Sales Adjustments 1'!$G$7:$WV$147,68,FALSE)="",0,IF($S116=HLOOKUP(AK$91,'Improved Sales Adjustments 1'!$G$7:$WV$147,68,FALSE),1,0)))</f>
        <v>0</v>
      </c>
      <c r="AL116" s="41">
        <f>IF(ISERROR(HLOOKUP(AL$91,'Improved Sales Adjustments 1'!$G$7:$WV$147,68,FALSE)),0,IF(HLOOKUP(AL$91,'Improved Sales Adjustments 1'!$G$7:$WV$147,68,FALSE)="",0,IF($S116=HLOOKUP(AL$91,'Improved Sales Adjustments 1'!$G$7:$WV$147,68,FALSE),1,0)))</f>
        <v>0</v>
      </c>
      <c r="AM116" s="41">
        <f>IF(ISERROR(HLOOKUP(AM$91,'Improved Sales Adjustments 1'!$G$7:$WV$147,68,FALSE)),0,IF(HLOOKUP(AM$91,'Improved Sales Adjustments 1'!$G$7:$WV$147,68,FALSE)="",0,IF($S116=HLOOKUP(AM$91,'Improved Sales Adjustments 1'!$G$7:$WV$147,68,FALSE),1,0)))</f>
        <v>0</v>
      </c>
      <c r="AN116" s="41">
        <f>IF(ISERROR(HLOOKUP(AN$91,'Improved Sales Adjustments 1'!$G$7:$WV$147,68,FALSE)),0,IF(HLOOKUP(AN$91,'Improved Sales Adjustments 1'!$G$7:$WV$147,68,FALSE)="",0,IF($S116=HLOOKUP(AN$91,'Improved Sales Adjustments 1'!$G$7:$WV$147,68,FALSE),1,0)))</f>
        <v>0</v>
      </c>
      <c r="AO116" s="41">
        <f>IF(ISERROR(HLOOKUP(AO$91,'Improved Sales Adjustments 1'!$G$7:$WV$147,68,FALSE)),0,IF(HLOOKUP(AO$91,'Improved Sales Adjustments 1'!$G$7:$WV$147,68,FALSE)="",0,IF($S116=HLOOKUP(AO$91,'Improved Sales Adjustments 1'!$G$7:$WV$147,68,FALSE),1,0)))</f>
        <v>0</v>
      </c>
      <c r="AP116" s="41">
        <f>IF(ISERROR(HLOOKUP(AP$91,'Improved Sales Adjustments 1'!$G$7:$WV$147,68,FALSE)),0,IF(HLOOKUP(AP$91,'Improved Sales Adjustments 1'!$G$7:$WV$147,68,FALSE)="",0,IF($S116=HLOOKUP(AP$91,'Improved Sales Adjustments 1'!$G$7:$WV$147,68,FALSE),1,0)))</f>
        <v>0</v>
      </c>
      <c r="AQ116" s="41">
        <f>IF(ISERROR(HLOOKUP(AQ$91,'Improved Sales Adjustments 1'!$G$7:$WV$147,68,FALSE)),0,IF(HLOOKUP(AQ$91,'Improved Sales Adjustments 1'!$G$7:$WV$147,68,FALSE)="",0,IF($S116=HLOOKUP(AQ$91,'Improved Sales Adjustments 1'!$G$7:$WV$147,68,FALSE),1,0)))</f>
        <v>0</v>
      </c>
      <c r="AR116" s="41">
        <f>SUM($AG116:AG116)</f>
        <v>0</v>
      </c>
      <c r="AS116" s="41">
        <f>SUM($AG116:AH116)</f>
        <v>0</v>
      </c>
      <c r="AT116" s="41">
        <f>SUM($AG116:AI116)</f>
        <v>0</v>
      </c>
      <c r="AU116" s="41">
        <f>SUM($AG116:AJ116)</f>
        <v>0</v>
      </c>
      <c r="AV116" s="41">
        <f>SUM($AG116:AK116)</f>
        <v>0</v>
      </c>
      <c r="AW116" s="41">
        <f>SUM($AG116:AL116)</f>
        <v>0</v>
      </c>
      <c r="AX116" s="41">
        <f>SUM($AG116:AM116)</f>
        <v>0</v>
      </c>
      <c r="AY116" s="41">
        <f>SUM($AG116:AN116)</f>
        <v>0</v>
      </c>
      <c r="AZ116" s="41">
        <f>SUM($AG116:AO116)</f>
        <v>0</v>
      </c>
      <c r="BA116" s="41">
        <f>SUM($AG116:AP116)</f>
        <v>0</v>
      </c>
      <c r="BB116" s="41">
        <f>SUM($AG116:AQ116)</f>
        <v>0</v>
      </c>
      <c r="BC116" s="41" t="str">
        <f t="shared" si="29"/>
        <v/>
      </c>
      <c r="BD116" s="41" t="str">
        <f t="shared" si="29"/>
        <v/>
      </c>
      <c r="BE116" s="41" t="str">
        <f t="shared" si="29"/>
        <v/>
      </c>
      <c r="BF116" s="41" t="str">
        <f t="shared" si="29"/>
        <v/>
      </c>
      <c r="BG116" s="41" t="str">
        <f t="shared" si="29"/>
        <v/>
      </c>
      <c r="BH116" s="41" t="str">
        <f t="shared" si="29"/>
        <v/>
      </c>
      <c r="BI116" s="41" t="str">
        <f t="shared" si="29"/>
        <v/>
      </c>
      <c r="BJ116" s="41" t="str">
        <f t="shared" si="29"/>
        <v/>
      </c>
      <c r="BK116" s="41" t="str">
        <f t="shared" si="29"/>
        <v/>
      </c>
      <c r="BL116" s="41" t="str">
        <f t="shared" si="29"/>
        <v/>
      </c>
      <c r="BM116" s="41" t="str">
        <f t="shared" si="29"/>
        <v/>
      </c>
    </row>
    <row r="117" spans="1:65" ht="15" customHeight="1" x14ac:dyDescent="0.25">
      <c r="A117" s="957">
        <f t="shared" si="25"/>
        <v>0</v>
      </c>
      <c r="B117" s="10"/>
      <c r="C117" s="10"/>
      <c r="D117" s="13"/>
      <c r="E117" s="10"/>
      <c r="F117" s="10"/>
      <c r="G117" s="10"/>
      <c r="H117" s="10"/>
      <c r="I117" s="10"/>
      <c r="J117" s="10"/>
      <c r="K117" s="10"/>
      <c r="L117" s="10"/>
      <c r="M117" s="10"/>
      <c r="N117" s="10"/>
      <c r="O117" s="10"/>
      <c r="P117" s="4"/>
      <c r="Q117" s="1204"/>
      <c r="R117" s="101" t="str">
        <f t="shared" si="28"/>
        <v/>
      </c>
      <c r="S117" s="137">
        <f t="shared" si="30"/>
        <v>25</v>
      </c>
      <c r="T117" s="2129">
        <v>7.0000000000000007E-2</v>
      </c>
      <c r="U117" s="2130">
        <v>0.14000000000000001</v>
      </c>
      <c r="V117" s="2130">
        <v>0.19</v>
      </c>
      <c r="W117" s="2130">
        <v>0.25</v>
      </c>
      <c r="X117" s="2130">
        <v>0.33</v>
      </c>
      <c r="Y117" s="2130">
        <v>0.43</v>
      </c>
      <c r="Z117" s="2130">
        <v>0.55000000000000004</v>
      </c>
      <c r="AA117" s="2130">
        <v>0.69</v>
      </c>
      <c r="AB117" s="2130">
        <v>0.79</v>
      </c>
      <c r="AC117" s="2130"/>
      <c r="AD117" s="101"/>
      <c r="AE117" s="6"/>
      <c r="AF117" s="11"/>
      <c r="AG117" s="41">
        <f t="shared" si="26"/>
        <v>0</v>
      </c>
      <c r="AH117" s="41">
        <f>IF(ISERROR(HLOOKUP(AH$91,'Improved Sales Adjustments 1'!$G$7:$WV$147,68,FALSE)),0,IF(HLOOKUP(AH$91,'Improved Sales Adjustments 1'!$G$7:$WV$147,68,FALSE)="",0,IF($S117=HLOOKUP(AH$91,'Improved Sales Adjustments 1'!$G$7:$WV$147,68,FALSE),1,0)))</f>
        <v>0</v>
      </c>
      <c r="AI117" s="41">
        <f>IF(ISERROR(HLOOKUP(AI$91,'Improved Sales Adjustments 1'!$G$7:$WV$147,68,FALSE)),0,IF(HLOOKUP(AI$91,'Improved Sales Adjustments 1'!$G$7:$WV$147,68,FALSE)="",0,IF($S117=HLOOKUP(AI$91,'Improved Sales Adjustments 1'!$G$7:$WV$147,68,FALSE),1,0)))</f>
        <v>0</v>
      </c>
      <c r="AJ117" s="41">
        <f>IF(ISERROR(HLOOKUP(AJ$91,'Improved Sales Adjustments 1'!$G$7:$WV$147,68,FALSE)),0,IF(HLOOKUP(AJ$91,'Improved Sales Adjustments 1'!$G$7:$WV$147,68,FALSE)="",0,IF($S117=HLOOKUP(AJ$91,'Improved Sales Adjustments 1'!$G$7:$WV$147,68,FALSE),1,0)))</f>
        <v>0</v>
      </c>
      <c r="AK117" s="41">
        <f>IF(ISERROR(HLOOKUP(AK$91,'Improved Sales Adjustments 1'!$G$7:$WV$147,68,FALSE)),0,IF(HLOOKUP(AK$91,'Improved Sales Adjustments 1'!$G$7:$WV$147,68,FALSE)="",0,IF($S117=HLOOKUP(AK$91,'Improved Sales Adjustments 1'!$G$7:$WV$147,68,FALSE),1,0)))</f>
        <v>0</v>
      </c>
      <c r="AL117" s="41">
        <f>IF(ISERROR(HLOOKUP(AL$91,'Improved Sales Adjustments 1'!$G$7:$WV$147,68,FALSE)),0,IF(HLOOKUP(AL$91,'Improved Sales Adjustments 1'!$G$7:$WV$147,68,FALSE)="",0,IF($S117=HLOOKUP(AL$91,'Improved Sales Adjustments 1'!$G$7:$WV$147,68,FALSE),1,0)))</f>
        <v>0</v>
      </c>
      <c r="AM117" s="41">
        <f>IF(ISERROR(HLOOKUP(AM$91,'Improved Sales Adjustments 1'!$G$7:$WV$147,68,FALSE)),0,IF(HLOOKUP(AM$91,'Improved Sales Adjustments 1'!$G$7:$WV$147,68,FALSE)="",0,IF($S117=HLOOKUP(AM$91,'Improved Sales Adjustments 1'!$G$7:$WV$147,68,FALSE),1,0)))</f>
        <v>0</v>
      </c>
      <c r="AN117" s="41">
        <f>IF(ISERROR(HLOOKUP(AN$91,'Improved Sales Adjustments 1'!$G$7:$WV$147,68,FALSE)),0,IF(HLOOKUP(AN$91,'Improved Sales Adjustments 1'!$G$7:$WV$147,68,FALSE)="",0,IF($S117=HLOOKUP(AN$91,'Improved Sales Adjustments 1'!$G$7:$WV$147,68,FALSE),1,0)))</f>
        <v>0</v>
      </c>
      <c r="AO117" s="41">
        <f>IF(ISERROR(HLOOKUP(AO$91,'Improved Sales Adjustments 1'!$G$7:$WV$147,68,FALSE)),0,IF(HLOOKUP(AO$91,'Improved Sales Adjustments 1'!$G$7:$WV$147,68,FALSE)="",0,IF($S117=HLOOKUP(AO$91,'Improved Sales Adjustments 1'!$G$7:$WV$147,68,FALSE),1,0)))</f>
        <v>0</v>
      </c>
      <c r="AP117" s="41">
        <f>IF(ISERROR(HLOOKUP(AP$91,'Improved Sales Adjustments 1'!$G$7:$WV$147,68,FALSE)),0,IF(HLOOKUP(AP$91,'Improved Sales Adjustments 1'!$G$7:$WV$147,68,FALSE)="",0,IF($S117=HLOOKUP(AP$91,'Improved Sales Adjustments 1'!$G$7:$WV$147,68,FALSE),1,0)))</f>
        <v>0</v>
      </c>
      <c r="AQ117" s="41">
        <f>IF(ISERROR(HLOOKUP(AQ$91,'Improved Sales Adjustments 1'!$G$7:$WV$147,68,FALSE)),0,IF(HLOOKUP(AQ$91,'Improved Sales Adjustments 1'!$G$7:$WV$147,68,FALSE)="",0,IF($S117=HLOOKUP(AQ$91,'Improved Sales Adjustments 1'!$G$7:$WV$147,68,FALSE),1,0)))</f>
        <v>0</v>
      </c>
      <c r="AR117" s="41">
        <f>SUM($AG117:AG117)</f>
        <v>0</v>
      </c>
      <c r="AS117" s="41">
        <f>SUM($AG117:AH117)</f>
        <v>0</v>
      </c>
      <c r="AT117" s="41">
        <f>SUM($AG117:AI117)</f>
        <v>0</v>
      </c>
      <c r="AU117" s="41">
        <f>SUM($AG117:AJ117)</f>
        <v>0</v>
      </c>
      <c r="AV117" s="41">
        <f>SUM($AG117:AK117)</f>
        <v>0</v>
      </c>
      <c r="AW117" s="41">
        <f>SUM($AG117:AL117)</f>
        <v>0</v>
      </c>
      <c r="AX117" s="41">
        <f>SUM($AG117:AM117)</f>
        <v>0</v>
      </c>
      <c r="AY117" s="41">
        <f>SUM($AG117:AN117)</f>
        <v>0</v>
      </c>
      <c r="AZ117" s="41">
        <f>SUM($AG117:AO117)</f>
        <v>0</v>
      </c>
      <c r="BA117" s="41">
        <f>SUM($AG117:AP117)</f>
        <v>0</v>
      </c>
      <c r="BB117" s="41">
        <f>SUM($AG117:AQ117)</f>
        <v>0</v>
      </c>
      <c r="BC117" s="41" t="str">
        <f t="shared" si="29"/>
        <v/>
      </c>
      <c r="BD117" s="41" t="str">
        <f t="shared" si="29"/>
        <v/>
      </c>
      <c r="BE117" s="41" t="str">
        <f t="shared" si="29"/>
        <v/>
      </c>
      <c r="BF117" s="41" t="str">
        <f t="shared" si="29"/>
        <v/>
      </c>
      <c r="BG117" s="41" t="str">
        <f t="shared" si="29"/>
        <v/>
      </c>
      <c r="BH117" s="41" t="str">
        <f t="shared" si="29"/>
        <v/>
      </c>
      <c r="BI117" s="41" t="str">
        <f t="shared" si="29"/>
        <v/>
      </c>
      <c r="BJ117" s="41" t="str">
        <f t="shared" si="29"/>
        <v/>
      </c>
      <c r="BK117" s="41" t="str">
        <f t="shared" si="29"/>
        <v/>
      </c>
      <c r="BL117" s="41" t="str">
        <f t="shared" si="29"/>
        <v/>
      </c>
      <c r="BM117" s="41" t="str">
        <f t="shared" si="29"/>
        <v/>
      </c>
    </row>
    <row r="118" spans="1:65" ht="15" customHeight="1" x14ac:dyDescent="0.25">
      <c r="A118" s="957">
        <f t="shared" si="25"/>
        <v>0</v>
      </c>
      <c r="B118" s="10"/>
      <c r="C118" s="10"/>
      <c r="D118" s="13"/>
      <c r="E118" s="10"/>
      <c r="F118" s="10"/>
      <c r="G118" s="10"/>
      <c r="H118" s="10"/>
      <c r="I118" s="10"/>
      <c r="J118" s="10"/>
      <c r="K118" s="10"/>
      <c r="L118" s="10"/>
      <c r="M118" s="10"/>
      <c r="N118" s="10"/>
      <c r="O118" s="10"/>
      <c r="P118" s="4"/>
      <c r="Q118" s="1204"/>
      <c r="R118" s="101" t="str">
        <f t="shared" si="28"/>
        <v/>
      </c>
      <c r="S118" s="137">
        <f t="shared" si="30"/>
        <v>26</v>
      </c>
      <c r="T118" s="2129">
        <v>0.08</v>
      </c>
      <c r="U118" s="2130">
        <v>0.15</v>
      </c>
      <c r="V118" s="2130">
        <v>0.2</v>
      </c>
      <c r="W118" s="2130">
        <v>0.27</v>
      </c>
      <c r="X118" s="2130">
        <v>0.35</v>
      </c>
      <c r="Y118" s="2130">
        <v>0.46</v>
      </c>
      <c r="Z118" s="2130">
        <v>0.57999999999999996</v>
      </c>
      <c r="AA118" s="2130">
        <v>0.72</v>
      </c>
      <c r="AB118" s="2130">
        <v>0.8</v>
      </c>
      <c r="AC118" s="2130"/>
      <c r="AD118" s="101"/>
      <c r="AE118" s="6"/>
      <c r="AF118" s="11"/>
      <c r="AG118" s="41">
        <f t="shared" si="26"/>
        <v>0</v>
      </c>
      <c r="AH118" s="41">
        <f>IF(ISERROR(HLOOKUP(AH$91,'Improved Sales Adjustments 1'!$G$7:$WV$147,68,FALSE)),0,IF(HLOOKUP(AH$91,'Improved Sales Adjustments 1'!$G$7:$WV$147,68,FALSE)="",0,IF($S118=HLOOKUP(AH$91,'Improved Sales Adjustments 1'!$G$7:$WV$147,68,FALSE),1,0)))</f>
        <v>0</v>
      </c>
      <c r="AI118" s="41">
        <f>IF(ISERROR(HLOOKUP(AI$91,'Improved Sales Adjustments 1'!$G$7:$WV$147,68,FALSE)),0,IF(HLOOKUP(AI$91,'Improved Sales Adjustments 1'!$G$7:$WV$147,68,FALSE)="",0,IF($S118=HLOOKUP(AI$91,'Improved Sales Adjustments 1'!$G$7:$WV$147,68,FALSE),1,0)))</f>
        <v>0</v>
      </c>
      <c r="AJ118" s="41">
        <f>IF(ISERROR(HLOOKUP(AJ$91,'Improved Sales Adjustments 1'!$G$7:$WV$147,68,FALSE)),0,IF(HLOOKUP(AJ$91,'Improved Sales Adjustments 1'!$G$7:$WV$147,68,FALSE)="",0,IF($S118=HLOOKUP(AJ$91,'Improved Sales Adjustments 1'!$G$7:$WV$147,68,FALSE),1,0)))</f>
        <v>0</v>
      </c>
      <c r="AK118" s="41">
        <f>IF(ISERROR(HLOOKUP(AK$91,'Improved Sales Adjustments 1'!$G$7:$WV$147,68,FALSE)),0,IF(HLOOKUP(AK$91,'Improved Sales Adjustments 1'!$G$7:$WV$147,68,FALSE)="",0,IF($S118=HLOOKUP(AK$91,'Improved Sales Adjustments 1'!$G$7:$WV$147,68,FALSE),1,0)))</f>
        <v>0</v>
      </c>
      <c r="AL118" s="41">
        <f>IF(ISERROR(HLOOKUP(AL$91,'Improved Sales Adjustments 1'!$G$7:$WV$147,68,FALSE)),0,IF(HLOOKUP(AL$91,'Improved Sales Adjustments 1'!$G$7:$WV$147,68,FALSE)="",0,IF($S118=HLOOKUP(AL$91,'Improved Sales Adjustments 1'!$G$7:$WV$147,68,FALSE),1,0)))</f>
        <v>0</v>
      </c>
      <c r="AM118" s="41">
        <f>IF(ISERROR(HLOOKUP(AM$91,'Improved Sales Adjustments 1'!$G$7:$WV$147,68,FALSE)),0,IF(HLOOKUP(AM$91,'Improved Sales Adjustments 1'!$G$7:$WV$147,68,FALSE)="",0,IF($S118=HLOOKUP(AM$91,'Improved Sales Adjustments 1'!$G$7:$WV$147,68,FALSE),1,0)))</f>
        <v>0</v>
      </c>
      <c r="AN118" s="41">
        <f>IF(ISERROR(HLOOKUP(AN$91,'Improved Sales Adjustments 1'!$G$7:$WV$147,68,FALSE)),0,IF(HLOOKUP(AN$91,'Improved Sales Adjustments 1'!$G$7:$WV$147,68,FALSE)="",0,IF($S118=HLOOKUP(AN$91,'Improved Sales Adjustments 1'!$G$7:$WV$147,68,FALSE),1,0)))</f>
        <v>0</v>
      </c>
      <c r="AO118" s="41">
        <f>IF(ISERROR(HLOOKUP(AO$91,'Improved Sales Adjustments 1'!$G$7:$WV$147,68,FALSE)),0,IF(HLOOKUP(AO$91,'Improved Sales Adjustments 1'!$G$7:$WV$147,68,FALSE)="",0,IF($S118=HLOOKUP(AO$91,'Improved Sales Adjustments 1'!$G$7:$WV$147,68,FALSE),1,0)))</f>
        <v>0</v>
      </c>
      <c r="AP118" s="41">
        <f>IF(ISERROR(HLOOKUP(AP$91,'Improved Sales Adjustments 1'!$G$7:$WV$147,68,FALSE)),0,IF(HLOOKUP(AP$91,'Improved Sales Adjustments 1'!$G$7:$WV$147,68,FALSE)="",0,IF($S118=HLOOKUP(AP$91,'Improved Sales Adjustments 1'!$G$7:$WV$147,68,FALSE),1,0)))</f>
        <v>0</v>
      </c>
      <c r="AQ118" s="41">
        <f>IF(ISERROR(HLOOKUP(AQ$91,'Improved Sales Adjustments 1'!$G$7:$WV$147,68,FALSE)),0,IF(HLOOKUP(AQ$91,'Improved Sales Adjustments 1'!$G$7:$WV$147,68,FALSE)="",0,IF($S118=HLOOKUP(AQ$91,'Improved Sales Adjustments 1'!$G$7:$WV$147,68,FALSE),1,0)))</f>
        <v>0</v>
      </c>
      <c r="AR118" s="41">
        <f>SUM($AG118:AG118)</f>
        <v>0</v>
      </c>
      <c r="AS118" s="41">
        <f>SUM($AG118:AH118)</f>
        <v>0</v>
      </c>
      <c r="AT118" s="41">
        <f>SUM($AG118:AI118)</f>
        <v>0</v>
      </c>
      <c r="AU118" s="41">
        <f>SUM($AG118:AJ118)</f>
        <v>0</v>
      </c>
      <c r="AV118" s="41">
        <f>SUM($AG118:AK118)</f>
        <v>0</v>
      </c>
      <c r="AW118" s="41">
        <f>SUM($AG118:AL118)</f>
        <v>0</v>
      </c>
      <c r="AX118" s="41">
        <f>SUM($AG118:AM118)</f>
        <v>0</v>
      </c>
      <c r="AY118" s="41">
        <f>SUM($AG118:AN118)</f>
        <v>0</v>
      </c>
      <c r="AZ118" s="41">
        <f>SUM($AG118:AO118)</f>
        <v>0</v>
      </c>
      <c r="BA118" s="41">
        <f>SUM($AG118:AP118)</f>
        <v>0</v>
      </c>
      <c r="BB118" s="41">
        <f>SUM($AG118:AQ118)</f>
        <v>0</v>
      </c>
      <c r="BC118" s="41" t="str">
        <f t="shared" si="29"/>
        <v/>
      </c>
      <c r="BD118" s="41" t="str">
        <f t="shared" si="29"/>
        <v/>
      </c>
      <c r="BE118" s="41" t="str">
        <f t="shared" si="29"/>
        <v/>
      </c>
      <c r="BF118" s="41" t="str">
        <f t="shared" si="29"/>
        <v/>
      </c>
      <c r="BG118" s="41" t="str">
        <f t="shared" si="29"/>
        <v/>
      </c>
      <c r="BH118" s="41" t="str">
        <f t="shared" si="29"/>
        <v/>
      </c>
      <c r="BI118" s="41" t="str">
        <f t="shared" si="29"/>
        <v/>
      </c>
      <c r="BJ118" s="41" t="str">
        <f t="shared" si="29"/>
        <v/>
      </c>
      <c r="BK118" s="41" t="str">
        <f t="shared" si="29"/>
        <v/>
      </c>
      <c r="BL118" s="41" t="str">
        <f t="shared" si="29"/>
        <v/>
      </c>
      <c r="BM118" s="41" t="str">
        <f t="shared" si="29"/>
        <v/>
      </c>
    </row>
    <row r="119" spans="1:65" ht="15" customHeight="1" x14ac:dyDescent="0.25">
      <c r="A119" s="957">
        <f t="shared" si="25"/>
        <v>0</v>
      </c>
      <c r="B119" s="10"/>
      <c r="C119" s="10"/>
      <c r="D119" s="13"/>
      <c r="E119" s="10"/>
      <c r="F119" s="10"/>
      <c r="G119" s="10"/>
      <c r="H119" s="10"/>
      <c r="I119" s="10"/>
      <c r="J119" s="10"/>
      <c r="K119" s="10"/>
      <c r="L119" s="10"/>
      <c r="M119" s="10"/>
      <c r="N119" s="10"/>
      <c r="O119" s="10"/>
      <c r="P119" s="4"/>
      <c r="Q119" s="1204"/>
      <c r="R119" s="101" t="str">
        <f t="shared" si="28"/>
        <v/>
      </c>
      <c r="S119" s="137">
        <f t="shared" si="30"/>
        <v>27</v>
      </c>
      <c r="T119" s="2129">
        <v>0.09</v>
      </c>
      <c r="U119" s="2130">
        <v>0.16</v>
      </c>
      <c r="V119" s="2130">
        <v>0.21</v>
      </c>
      <c r="W119" s="2130">
        <v>0.28000000000000003</v>
      </c>
      <c r="X119" s="2130">
        <v>0.37</v>
      </c>
      <c r="Y119" s="2130">
        <v>0.49</v>
      </c>
      <c r="Z119" s="2130">
        <v>0.61</v>
      </c>
      <c r="AA119" s="2130">
        <v>0.75</v>
      </c>
      <c r="AB119" s="2130"/>
      <c r="AC119" s="2130"/>
      <c r="AD119" s="101"/>
      <c r="AE119" s="6"/>
      <c r="AF119" s="11"/>
      <c r="AG119" s="41">
        <f t="shared" si="26"/>
        <v>0</v>
      </c>
      <c r="AH119" s="41">
        <f>IF(ISERROR(HLOOKUP(AH$91,'Improved Sales Adjustments 1'!$G$7:$WV$147,68,FALSE)),0,IF(HLOOKUP(AH$91,'Improved Sales Adjustments 1'!$G$7:$WV$147,68,FALSE)="",0,IF($S119=HLOOKUP(AH$91,'Improved Sales Adjustments 1'!$G$7:$WV$147,68,FALSE),1,0)))</f>
        <v>0</v>
      </c>
      <c r="AI119" s="41">
        <f>IF(ISERROR(HLOOKUP(AI$91,'Improved Sales Adjustments 1'!$G$7:$WV$147,68,FALSE)),0,IF(HLOOKUP(AI$91,'Improved Sales Adjustments 1'!$G$7:$WV$147,68,FALSE)="",0,IF($S119=HLOOKUP(AI$91,'Improved Sales Adjustments 1'!$G$7:$WV$147,68,FALSE),1,0)))</f>
        <v>0</v>
      </c>
      <c r="AJ119" s="41">
        <f>IF(ISERROR(HLOOKUP(AJ$91,'Improved Sales Adjustments 1'!$G$7:$WV$147,68,FALSE)),0,IF(HLOOKUP(AJ$91,'Improved Sales Adjustments 1'!$G$7:$WV$147,68,FALSE)="",0,IF($S119=HLOOKUP(AJ$91,'Improved Sales Adjustments 1'!$G$7:$WV$147,68,FALSE),1,0)))</f>
        <v>0</v>
      </c>
      <c r="AK119" s="41">
        <f>IF(ISERROR(HLOOKUP(AK$91,'Improved Sales Adjustments 1'!$G$7:$WV$147,68,FALSE)),0,IF(HLOOKUP(AK$91,'Improved Sales Adjustments 1'!$G$7:$WV$147,68,FALSE)="",0,IF($S119=HLOOKUP(AK$91,'Improved Sales Adjustments 1'!$G$7:$WV$147,68,FALSE),1,0)))</f>
        <v>0</v>
      </c>
      <c r="AL119" s="41">
        <f>IF(ISERROR(HLOOKUP(AL$91,'Improved Sales Adjustments 1'!$G$7:$WV$147,68,FALSE)),0,IF(HLOOKUP(AL$91,'Improved Sales Adjustments 1'!$G$7:$WV$147,68,FALSE)="",0,IF($S119=HLOOKUP(AL$91,'Improved Sales Adjustments 1'!$G$7:$WV$147,68,FALSE),1,0)))</f>
        <v>0</v>
      </c>
      <c r="AM119" s="41">
        <f>IF(ISERROR(HLOOKUP(AM$91,'Improved Sales Adjustments 1'!$G$7:$WV$147,68,FALSE)),0,IF(HLOOKUP(AM$91,'Improved Sales Adjustments 1'!$G$7:$WV$147,68,FALSE)="",0,IF($S119=HLOOKUP(AM$91,'Improved Sales Adjustments 1'!$G$7:$WV$147,68,FALSE),1,0)))</f>
        <v>0</v>
      </c>
      <c r="AN119" s="41">
        <f>IF(ISERROR(HLOOKUP(AN$91,'Improved Sales Adjustments 1'!$G$7:$WV$147,68,FALSE)),0,IF(HLOOKUP(AN$91,'Improved Sales Adjustments 1'!$G$7:$WV$147,68,FALSE)="",0,IF($S119=HLOOKUP(AN$91,'Improved Sales Adjustments 1'!$G$7:$WV$147,68,FALSE),1,0)))</f>
        <v>0</v>
      </c>
      <c r="AO119" s="41">
        <f>IF(ISERROR(HLOOKUP(AO$91,'Improved Sales Adjustments 1'!$G$7:$WV$147,68,FALSE)),0,IF(HLOOKUP(AO$91,'Improved Sales Adjustments 1'!$G$7:$WV$147,68,FALSE)="",0,IF($S119=HLOOKUP(AO$91,'Improved Sales Adjustments 1'!$G$7:$WV$147,68,FALSE),1,0)))</f>
        <v>0</v>
      </c>
      <c r="AP119" s="41">
        <f>IF(ISERROR(HLOOKUP(AP$91,'Improved Sales Adjustments 1'!$G$7:$WV$147,68,FALSE)),0,IF(HLOOKUP(AP$91,'Improved Sales Adjustments 1'!$G$7:$WV$147,68,FALSE)="",0,IF($S119=HLOOKUP(AP$91,'Improved Sales Adjustments 1'!$G$7:$WV$147,68,FALSE),1,0)))</f>
        <v>0</v>
      </c>
      <c r="AQ119" s="41">
        <f>IF(ISERROR(HLOOKUP(AQ$91,'Improved Sales Adjustments 1'!$G$7:$WV$147,68,FALSE)),0,IF(HLOOKUP(AQ$91,'Improved Sales Adjustments 1'!$G$7:$WV$147,68,FALSE)="",0,IF($S119=HLOOKUP(AQ$91,'Improved Sales Adjustments 1'!$G$7:$WV$147,68,FALSE),1,0)))</f>
        <v>0</v>
      </c>
      <c r="AR119" s="41">
        <f>SUM($AG119:AG119)</f>
        <v>0</v>
      </c>
      <c r="AS119" s="41">
        <f>SUM($AG119:AH119)</f>
        <v>0</v>
      </c>
      <c r="AT119" s="41">
        <f>SUM($AG119:AI119)</f>
        <v>0</v>
      </c>
      <c r="AU119" s="41">
        <f>SUM($AG119:AJ119)</f>
        <v>0</v>
      </c>
      <c r="AV119" s="41">
        <f>SUM($AG119:AK119)</f>
        <v>0</v>
      </c>
      <c r="AW119" s="41">
        <f>SUM($AG119:AL119)</f>
        <v>0</v>
      </c>
      <c r="AX119" s="41">
        <f>SUM($AG119:AM119)</f>
        <v>0</v>
      </c>
      <c r="AY119" s="41">
        <f>SUM($AG119:AN119)</f>
        <v>0</v>
      </c>
      <c r="AZ119" s="41">
        <f>SUM($AG119:AO119)</f>
        <v>0</v>
      </c>
      <c r="BA119" s="41">
        <f>SUM($AG119:AP119)</f>
        <v>0</v>
      </c>
      <c r="BB119" s="41">
        <f>SUM($AG119:AQ119)</f>
        <v>0</v>
      </c>
      <c r="BC119" s="41" t="str">
        <f t="shared" si="29"/>
        <v/>
      </c>
      <c r="BD119" s="41" t="str">
        <f t="shared" si="29"/>
        <v/>
      </c>
      <c r="BE119" s="41" t="str">
        <f t="shared" si="29"/>
        <v/>
      </c>
      <c r="BF119" s="41" t="str">
        <f t="shared" si="29"/>
        <v/>
      </c>
      <c r="BG119" s="41" t="str">
        <f t="shared" si="29"/>
        <v/>
      </c>
      <c r="BH119" s="41" t="str">
        <f t="shared" si="29"/>
        <v/>
      </c>
      <c r="BI119" s="41" t="str">
        <f t="shared" si="29"/>
        <v/>
      </c>
      <c r="BJ119" s="41" t="str">
        <f t="shared" si="29"/>
        <v/>
      </c>
      <c r="BK119" s="41" t="str">
        <f t="shared" si="29"/>
        <v/>
      </c>
      <c r="BL119" s="41" t="str">
        <f t="shared" si="29"/>
        <v/>
      </c>
      <c r="BM119" s="41" t="str">
        <f t="shared" si="29"/>
        <v/>
      </c>
    </row>
    <row r="120" spans="1:65" ht="15" customHeight="1" x14ac:dyDescent="0.25">
      <c r="A120" s="957">
        <f t="shared" si="25"/>
        <v>0</v>
      </c>
      <c r="B120" s="10"/>
      <c r="C120" s="10"/>
      <c r="D120" s="13"/>
      <c r="E120" s="10"/>
      <c r="F120" s="10"/>
      <c r="G120" s="10"/>
      <c r="H120" s="10"/>
      <c r="I120" s="10"/>
      <c r="J120" s="10"/>
      <c r="K120" s="10"/>
      <c r="L120" s="10"/>
      <c r="M120" s="10"/>
      <c r="N120" s="10"/>
      <c r="O120" s="10"/>
      <c r="P120" s="4"/>
      <c r="Q120" s="1204"/>
      <c r="R120" s="101" t="str">
        <f t="shared" si="28"/>
        <v/>
      </c>
      <c r="S120" s="137">
        <f t="shared" si="30"/>
        <v>28</v>
      </c>
      <c r="T120" s="2129">
        <v>0.09</v>
      </c>
      <c r="U120" s="2130">
        <v>0.17</v>
      </c>
      <c r="V120" s="2130">
        <v>0.23</v>
      </c>
      <c r="W120" s="2130">
        <v>0.3</v>
      </c>
      <c r="X120" s="2130">
        <v>0.4</v>
      </c>
      <c r="Y120" s="2130">
        <v>0.52</v>
      </c>
      <c r="Z120" s="2130">
        <v>0.64</v>
      </c>
      <c r="AA120" s="2130">
        <v>0.77</v>
      </c>
      <c r="AB120" s="2130"/>
      <c r="AC120" s="2130"/>
      <c r="AD120" s="101"/>
      <c r="AE120" s="6"/>
      <c r="AF120" s="11"/>
      <c r="AG120" s="41">
        <f t="shared" si="26"/>
        <v>0</v>
      </c>
      <c r="AH120" s="41">
        <f>IF(ISERROR(HLOOKUP(AH$91,'Improved Sales Adjustments 1'!$G$7:$WV$147,68,FALSE)),0,IF(HLOOKUP(AH$91,'Improved Sales Adjustments 1'!$G$7:$WV$147,68,FALSE)="",0,IF($S120=HLOOKUP(AH$91,'Improved Sales Adjustments 1'!$G$7:$WV$147,68,FALSE),1,0)))</f>
        <v>0</v>
      </c>
      <c r="AI120" s="41">
        <f>IF(ISERROR(HLOOKUP(AI$91,'Improved Sales Adjustments 1'!$G$7:$WV$147,68,FALSE)),0,IF(HLOOKUP(AI$91,'Improved Sales Adjustments 1'!$G$7:$WV$147,68,FALSE)="",0,IF($S120=HLOOKUP(AI$91,'Improved Sales Adjustments 1'!$G$7:$WV$147,68,FALSE),1,0)))</f>
        <v>0</v>
      </c>
      <c r="AJ120" s="41">
        <f>IF(ISERROR(HLOOKUP(AJ$91,'Improved Sales Adjustments 1'!$G$7:$WV$147,68,FALSE)),0,IF(HLOOKUP(AJ$91,'Improved Sales Adjustments 1'!$G$7:$WV$147,68,FALSE)="",0,IF($S120=HLOOKUP(AJ$91,'Improved Sales Adjustments 1'!$G$7:$WV$147,68,FALSE),1,0)))</f>
        <v>0</v>
      </c>
      <c r="AK120" s="41">
        <f>IF(ISERROR(HLOOKUP(AK$91,'Improved Sales Adjustments 1'!$G$7:$WV$147,68,FALSE)),0,IF(HLOOKUP(AK$91,'Improved Sales Adjustments 1'!$G$7:$WV$147,68,FALSE)="",0,IF($S120=HLOOKUP(AK$91,'Improved Sales Adjustments 1'!$G$7:$WV$147,68,FALSE),1,0)))</f>
        <v>0</v>
      </c>
      <c r="AL120" s="41">
        <f>IF(ISERROR(HLOOKUP(AL$91,'Improved Sales Adjustments 1'!$G$7:$WV$147,68,FALSE)),0,IF(HLOOKUP(AL$91,'Improved Sales Adjustments 1'!$G$7:$WV$147,68,FALSE)="",0,IF($S120=HLOOKUP(AL$91,'Improved Sales Adjustments 1'!$G$7:$WV$147,68,FALSE),1,0)))</f>
        <v>0</v>
      </c>
      <c r="AM120" s="41">
        <f>IF(ISERROR(HLOOKUP(AM$91,'Improved Sales Adjustments 1'!$G$7:$WV$147,68,FALSE)),0,IF(HLOOKUP(AM$91,'Improved Sales Adjustments 1'!$G$7:$WV$147,68,FALSE)="",0,IF($S120=HLOOKUP(AM$91,'Improved Sales Adjustments 1'!$G$7:$WV$147,68,FALSE),1,0)))</f>
        <v>0</v>
      </c>
      <c r="AN120" s="41">
        <f>IF(ISERROR(HLOOKUP(AN$91,'Improved Sales Adjustments 1'!$G$7:$WV$147,68,FALSE)),0,IF(HLOOKUP(AN$91,'Improved Sales Adjustments 1'!$G$7:$WV$147,68,FALSE)="",0,IF($S120=HLOOKUP(AN$91,'Improved Sales Adjustments 1'!$G$7:$WV$147,68,FALSE),1,0)))</f>
        <v>0</v>
      </c>
      <c r="AO120" s="41">
        <f>IF(ISERROR(HLOOKUP(AO$91,'Improved Sales Adjustments 1'!$G$7:$WV$147,68,FALSE)),0,IF(HLOOKUP(AO$91,'Improved Sales Adjustments 1'!$G$7:$WV$147,68,FALSE)="",0,IF($S120=HLOOKUP(AO$91,'Improved Sales Adjustments 1'!$G$7:$WV$147,68,FALSE),1,0)))</f>
        <v>0</v>
      </c>
      <c r="AP120" s="41">
        <f>IF(ISERROR(HLOOKUP(AP$91,'Improved Sales Adjustments 1'!$G$7:$WV$147,68,FALSE)),0,IF(HLOOKUP(AP$91,'Improved Sales Adjustments 1'!$G$7:$WV$147,68,FALSE)="",0,IF($S120=HLOOKUP(AP$91,'Improved Sales Adjustments 1'!$G$7:$WV$147,68,FALSE),1,0)))</f>
        <v>0</v>
      </c>
      <c r="AQ120" s="41">
        <f>IF(ISERROR(HLOOKUP(AQ$91,'Improved Sales Adjustments 1'!$G$7:$WV$147,68,FALSE)),0,IF(HLOOKUP(AQ$91,'Improved Sales Adjustments 1'!$G$7:$WV$147,68,FALSE)="",0,IF($S120=HLOOKUP(AQ$91,'Improved Sales Adjustments 1'!$G$7:$WV$147,68,FALSE),1,0)))</f>
        <v>0</v>
      </c>
      <c r="AR120" s="41">
        <f>SUM($AG120:AG120)</f>
        <v>0</v>
      </c>
      <c r="AS120" s="41">
        <f>SUM($AG120:AH120)</f>
        <v>0</v>
      </c>
      <c r="AT120" s="41">
        <f>SUM($AG120:AI120)</f>
        <v>0</v>
      </c>
      <c r="AU120" s="41">
        <f>SUM($AG120:AJ120)</f>
        <v>0</v>
      </c>
      <c r="AV120" s="41">
        <f>SUM($AG120:AK120)</f>
        <v>0</v>
      </c>
      <c r="AW120" s="41">
        <f>SUM($AG120:AL120)</f>
        <v>0</v>
      </c>
      <c r="AX120" s="41">
        <f>SUM($AG120:AM120)</f>
        <v>0</v>
      </c>
      <c r="AY120" s="41">
        <f>SUM($AG120:AN120)</f>
        <v>0</v>
      </c>
      <c r="AZ120" s="41">
        <f>SUM($AG120:AO120)</f>
        <v>0</v>
      </c>
      <c r="BA120" s="41">
        <f>SUM($AG120:AP120)</f>
        <v>0</v>
      </c>
      <c r="BB120" s="41">
        <f>SUM($AG120:AQ120)</f>
        <v>0</v>
      </c>
      <c r="BC120" s="41" t="str">
        <f t="shared" si="29"/>
        <v/>
      </c>
      <c r="BD120" s="41" t="str">
        <f t="shared" si="29"/>
        <v/>
      </c>
      <c r="BE120" s="41" t="str">
        <f t="shared" si="29"/>
        <v/>
      </c>
      <c r="BF120" s="41" t="str">
        <f t="shared" si="29"/>
        <v/>
      </c>
      <c r="BG120" s="41" t="str">
        <f t="shared" si="29"/>
        <v/>
      </c>
      <c r="BH120" s="41" t="str">
        <f t="shared" si="29"/>
        <v/>
      </c>
      <c r="BI120" s="41" t="str">
        <f t="shared" si="29"/>
        <v/>
      </c>
      <c r="BJ120" s="41" t="str">
        <f t="shared" si="29"/>
        <v/>
      </c>
      <c r="BK120" s="41" t="str">
        <f t="shared" si="29"/>
        <v/>
      </c>
      <c r="BL120" s="41" t="str">
        <f t="shared" si="29"/>
        <v/>
      </c>
      <c r="BM120" s="41" t="str">
        <f t="shared" si="29"/>
        <v/>
      </c>
    </row>
    <row r="121" spans="1:65" ht="15" customHeight="1" x14ac:dyDescent="0.25">
      <c r="A121" s="957">
        <f t="shared" si="25"/>
        <v>0</v>
      </c>
      <c r="B121" s="10"/>
      <c r="C121" s="10"/>
      <c r="D121" s="13"/>
      <c r="E121" s="10"/>
      <c r="F121" s="10"/>
      <c r="G121" s="10"/>
      <c r="H121" s="10"/>
      <c r="I121" s="10"/>
      <c r="J121" s="10"/>
      <c r="K121" s="10"/>
      <c r="L121" s="10"/>
      <c r="M121" s="10"/>
      <c r="N121" s="10"/>
      <c r="O121" s="10"/>
      <c r="P121" s="4"/>
      <c r="Q121" s="1204"/>
      <c r="R121" s="101" t="str">
        <f t="shared" si="28"/>
        <v/>
      </c>
      <c r="S121" s="137">
        <f t="shared" si="30"/>
        <v>29</v>
      </c>
      <c r="T121" s="2129">
        <v>0.1</v>
      </c>
      <c r="U121" s="2130">
        <v>0.18</v>
      </c>
      <c r="V121" s="2130">
        <v>0.24</v>
      </c>
      <c r="W121" s="2130">
        <v>0.32</v>
      </c>
      <c r="X121" s="2130">
        <v>0.42</v>
      </c>
      <c r="Y121" s="2130">
        <v>0.54</v>
      </c>
      <c r="Z121" s="2130">
        <v>0.68</v>
      </c>
      <c r="AA121" s="2130">
        <v>0.78</v>
      </c>
      <c r="AB121" s="2130"/>
      <c r="AC121" s="2130"/>
      <c r="AD121" s="101"/>
      <c r="AE121" s="6"/>
      <c r="AF121" s="11"/>
      <c r="AG121" s="41">
        <f t="shared" si="26"/>
        <v>0</v>
      </c>
      <c r="AH121" s="41">
        <f>IF(ISERROR(HLOOKUP(AH$91,'Improved Sales Adjustments 1'!$G$7:$WV$147,68,FALSE)),0,IF(HLOOKUP(AH$91,'Improved Sales Adjustments 1'!$G$7:$WV$147,68,FALSE)="",0,IF($S121=HLOOKUP(AH$91,'Improved Sales Adjustments 1'!$G$7:$WV$147,68,FALSE),1,0)))</f>
        <v>0</v>
      </c>
      <c r="AI121" s="41">
        <f>IF(ISERROR(HLOOKUP(AI$91,'Improved Sales Adjustments 1'!$G$7:$WV$147,68,FALSE)),0,IF(HLOOKUP(AI$91,'Improved Sales Adjustments 1'!$G$7:$WV$147,68,FALSE)="",0,IF($S121=HLOOKUP(AI$91,'Improved Sales Adjustments 1'!$G$7:$WV$147,68,FALSE),1,0)))</f>
        <v>0</v>
      </c>
      <c r="AJ121" s="41">
        <f>IF(ISERROR(HLOOKUP(AJ$91,'Improved Sales Adjustments 1'!$G$7:$WV$147,68,FALSE)),0,IF(HLOOKUP(AJ$91,'Improved Sales Adjustments 1'!$G$7:$WV$147,68,FALSE)="",0,IF($S121=HLOOKUP(AJ$91,'Improved Sales Adjustments 1'!$G$7:$WV$147,68,FALSE),1,0)))</f>
        <v>0</v>
      </c>
      <c r="AK121" s="41">
        <f>IF(ISERROR(HLOOKUP(AK$91,'Improved Sales Adjustments 1'!$G$7:$WV$147,68,FALSE)),0,IF(HLOOKUP(AK$91,'Improved Sales Adjustments 1'!$G$7:$WV$147,68,FALSE)="",0,IF($S121=HLOOKUP(AK$91,'Improved Sales Adjustments 1'!$G$7:$WV$147,68,FALSE),1,0)))</f>
        <v>0</v>
      </c>
      <c r="AL121" s="41">
        <f>IF(ISERROR(HLOOKUP(AL$91,'Improved Sales Adjustments 1'!$G$7:$WV$147,68,FALSE)),0,IF(HLOOKUP(AL$91,'Improved Sales Adjustments 1'!$G$7:$WV$147,68,FALSE)="",0,IF($S121=HLOOKUP(AL$91,'Improved Sales Adjustments 1'!$G$7:$WV$147,68,FALSE),1,0)))</f>
        <v>0</v>
      </c>
      <c r="AM121" s="41">
        <f>IF(ISERROR(HLOOKUP(AM$91,'Improved Sales Adjustments 1'!$G$7:$WV$147,68,FALSE)),0,IF(HLOOKUP(AM$91,'Improved Sales Adjustments 1'!$G$7:$WV$147,68,FALSE)="",0,IF($S121=HLOOKUP(AM$91,'Improved Sales Adjustments 1'!$G$7:$WV$147,68,FALSE),1,0)))</f>
        <v>0</v>
      </c>
      <c r="AN121" s="41">
        <f>IF(ISERROR(HLOOKUP(AN$91,'Improved Sales Adjustments 1'!$G$7:$WV$147,68,FALSE)),0,IF(HLOOKUP(AN$91,'Improved Sales Adjustments 1'!$G$7:$WV$147,68,FALSE)="",0,IF($S121=HLOOKUP(AN$91,'Improved Sales Adjustments 1'!$G$7:$WV$147,68,FALSE),1,0)))</f>
        <v>0</v>
      </c>
      <c r="AO121" s="41">
        <f>IF(ISERROR(HLOOKUP(AO$91,'Improved Sales Adjustments 1'!$G$7:$WV$147,68,FALSE)),0,IF(HLOOKUP(AO$91,'Improved Sales Adjustments 1'!$G$7:$WV$147,68,FALSE)="",0,IF($S121=HLOOKUP(AO$91,'Improved Sales Adjustments 1'!$G$7:$WV$147,68,FALSE),1,0)))</f>
        <v>0</v>
      </c>
      <c r="AP121" s="41">
        <f>IF(ISERROR(HLOOKUP(AP$91,'Improved Sales Adjustments 1'!$G$7:$WV$147,68,FALSE)),0,IF(HLOOKUP(AP$91,'Improved Sales Adjustments 1'!$G$7:$WV$147,68,FALSE)="",0,IF($S121=HLOOKUP(AP$91,'Improved Sales Adjustments 1'!$G$7:$WV$147,68,FALSE),1,0)))</f>
        <v>0</v>
      </c>
      <c r="AQ121" s="41">
        <f>IF(ISERROR(HLOOKUP(AQ$91,'Improved Sales Adjustments 1'!$G$7:$WV$147,68,FALSE)),0,IF(HLOOKUP(AQ$91,'Improved Sales Adjustments 1'!$G$7:$WV$147,68,FALSE)="",0,IF($S121=HLOOKUP(AQ$91,'Improved Sales Adjustments 1'!$G$7:$WV$147,68,FALSE),1,0)))</f>
        <v>0</v>
      </c>
      <c r="AR121" s="41">
        <f>SUM($AG121:AG121)</f>
        <v>0</v>
      </c>
      <c r="AS121" s="41">
        <f>SUM($AG121:AH121)</f>
        <v>0</v>
      </c>
      <c r="AT121" s="41">
        <f>SUM($AG121:AI121)</f>
        <v>0</v>
      </c>
      <c r="AU121" s="41">
        <f>SUM($AG121:AJ121)</f>
        <v>0</v>
      </c>
      <c r="AV121" s="41">
        <f>SUM($AG121:AK121)</f>
        <v>0</v>
      </c>
      <c r="AW121" s="41">
        <f>SUM($AG121:AL121)</f>
        <v>0</v>
      </c>
      <c r="AX121" s="41">
        <f>SUM($AG121:AM121)</f>
        <v>0</v>
      </c>
      <c r="AY121" s="41">
        <f>SUM($AG121:AN121)</f>
        <v>0</v>
      </c>
      <c r="AZ121" s="41">
        <f>SUM($AG121:AO121)</f>
        <v>0</v>
      </c>
      <c r="BA121" s="41">
        <f>SUM($AG121:AP121)</f>
        <v>0</v>
      </c>
      <c r="BB121" s="41">
        <f>SUM($AG121:AQ121)</f>
        <v>0</v>
      </c>
      <c r="BC121" s="41" t="str">
        <f t="shared" si="29"/>
        <v/>
      </c>
      <c r="BD121" s="41" t="str">
        <f t="shared" si="29"/>
        <v/>
      </c>
      <c r="BE121" s="41" t="str">
        <f t="shared" si="29"/>
        <v/>
      </c>
      <c r="BF121" s="41" t="str">
        <f t="shared" si="29"/>
        <v/>
      </c>
      <c r="BG121" s="41" t="str">
        <f t="shared" si="29"/>
        <v/>
      </c>
      <c r="BH121" s="41" t="str">
        <f t="shared" si="29"/>
        <v/>
      </c>
      <c r="BI121" s="41" t="str">
        <f t="shared" si="29"/>
        <v/>
      </c>
      <c r="BJ121" s="41" t="str">
        <f t="shared" si="29"/>
        <v/>
      </c>
      <c r="BK121" s="41" t="str">
        <f t="shared" si="29"/>
        <v/>
      </c>
      <c r="BL121" s="41" t="str">
        <f t="shared" si="29"/>
        <v/>
      </c>
      <c r="BM121" s="41" t="str">
        <f t="shared" si="29"/>
        <v/>
      </c>
    </row>
    <row r="122" spans="1:65" ht="15" customHeight="1" x14ac:dyDescent="0.25">
      <c r="A122" s="957">
        <f t="shared" si="25"/>
        <v>0</v>
      </c>
      <c r="B122" s="10"/>
      <c r="C122" s="10"/>
      <c r="D122" s="13"/>
      <c r="E122" s="10"/>
      <c r="F122" s="10"/>
      <c r="G122" s="10"/>
      <c r="H122" s="10"/>
      <c r="I122" s="10"/>
      <c r="J122" s="10"/>
      <c r="K122" s="10"/>
      <c r="L122" s="10"/>
      <c r="M122" s="10"/>
      <c r="N122" s="10"/>
      <c r="O122" s="10"/>
      <c r="P122" s="4"/>
      <c r="Q122" s="1204"/>
      <c r="R122" s="101" t="str">
        <f t="shared" si="28"/>
        <v/>
      </c>
      <c r="S122" s="137">
        <f t="shared" si="30"/>
        <v>30</v>
      </c>
      <c r="T122" s="2129">
        <v>0.11</v>
      </c>
      <c r="U122" s="2130">
        <v>0.2</v>
      </c>
      <c r="V122" s="2130">
        <v>0.26</v>
      </c>
      <c r="W122" s="2130">
        <v>0.34</v>
      </c>
      <c r="X122" s="2130">
        <v>0.45</v>
      </c>
      <c r="Y122" s="2130">
        <v>0.56999999999999995</v>
      </c>
      <c r="Z122" s="2130">
        <v>0.72</v>
      </c>
      <c r="AA122" s="2130">
        <v>0.79</v>
      </c>
      <c r="AB122" s="2130"/>
      <c r="AC122" s="2130"/>
      <c r="AD122" s="101"/>
      <c r="AE122" s="6"/>
      <c r="AF122" s="11"/>
      <c r="AG122" s="41">
        <f t="shared" si="26"/>
        <v>0</v>
      </c>
      <c r="AH122" s="41">
        <f>IF(ISERROR(HLOOKUP(AH$91,'Improved Sales Adjustments 1'!$G$7:$WV$147,68,FALSE)),0,IF(HLOOKUP(AH$91,'Improved Sales Adjustments 1'!$G$7:$WV$147,68,FALSE)="",0,IF($S122=HLOOKUP(AH$91,'Improved Sales Adjustments 1'!$G$7:$WV$147,68,FALSE),1,0)))</f>
        <v>0</v>
      </c>
      <c r="AI122" s="41">
        <f>IF(ISERROR(HLOOKUP(AI$91,'Improved Sales Adjustments 1'!$G$7:$WV$147,68,FALSE)),0,IF(HLOOKUP(AI$91,'Improved Sales Adjustments 1'!$G$7:$WV$147,68,FALSE)="",0,IF($S122=HLOOKUP(AI$91,'Improved Sales Adjustments 1'!$G$7:$WV$147,68,FALSE),1,0)))</f>
        <v>0</v>
      </c>
      <c r="AJ122" s="41">
        <f>IF(ISERROR(HLOOKUP(AJ$91,'Improved Sales Adjustments 1'!$G$7:$WV$147,68,FALSE)),0,IF(HLOOKUP(AJ$91,'Improved Sales Adjustments 1'!$G$7:$WV$147,68,FALSE)="",0,IF($S122=HLOOKUP(AJ$91,'Improved Sales Adjustments 1'!$G$7:$WV$147,68,FALSE),1,0)))</f>
        <v>0</v>
      </c>
      <c r="AK122" s="41">
        <f>IF(ISERROR(HLOOKUP(AK$91,'Improved Sales Adjustments 1'!$G$7:$WV$147,68,FALSE)),0,IF(HLOOKUP(AK$91,'Improved Sales Adjustments 1'!$G$7:$WV$147,68,FALSE)="",0,IF($S122=HLOOKUP(AK$91,'Improved Sales Adjustments 1'!$G$7:$WV$147,68,FALSE),1,0)))</f>
        <v>0</v>
      </c>
      <c r="AL122" s="41">
        <f>IF(ISERROR(HLOOKUP(AL$91,'Improved Sales Adjustments 1'!$G$7:$WV$147,68,FALSE)),0,IF(HLOOKUP(AL$91,'Improved Sales Adjustments 1'!$G$7:$WV$147,68,FALSE)="",0,IF($S122=HLOOKUP(AL$91,'Improved Sales Adjustments 1'!$G$7:$WV$147,68,FALSE),1,0)))</f>
        <v>0</v>
      </c>
      <c r="AM122" s="41">
        <f>IF(ISERROR(HLOOKUP(AM$91,'Improved Sales Adjustments 1'!$G$7:$WV$147,68,FALSE)),0,IF(HLOOKUP(AM$91,'Improved Sales Adjustments 1'!$G$7:$WV$147,68,FALSE)="",0,IF($S122=HLOOKUP(AM$91,'Improved Sales Adjustments 1'!$G$7:$WV$147,68,FALSE),1,0)))</f>
        <v>0</v>
      </c>
      <c r="AN122" s="41">
        <f>IF(ISERROR(HLOOKUP(AN$91,'Improved Sales Adjustments 1'!$G$7:$WV$147,68,FALSE)),0,IF(HLOOKUP(AN$91,'Improved Sales Adjustments 1'!$G$7:$WV$147,68,FALSE)="",0,IF($S122=HLOOKUP(AN$91,'Improved Sales Adjustments 1'!$G$7:$WV$147,68,FALSE),1,0)))</f>
        <v>0</v>
      </c>
      <c r="AO122" s="41">
        <f>IF(ISERROR(HLOOKUP(AO$91,'Improved Sales Adjustments 1'!$G$7:$WV$147,68,FALSE)),0,IF(HLOOKUP(AO$91,'Improved Sales Adjustments 1'!$G$7:$WV$147,68,FALSE)="",0,IF($S122=HLOOKUP(AO$91,'Improved Sales Adjustments 1'!$G$7:$WV$147,68,FALSE),1,0)))</f>
        <v>0</v>
      </c>
      <c r="AP122" s="41">
        <f>IF(ISERROR(HLOOKUP(AP$91,'Improved Sales Adjustments 1'!$G$7:$WV$147,68,FALSE)),0,IF(HLOOKUP(AP$91,'Improved Sales Adjustments 1'!$G$7:$WV$147,68,FALSE)="",0,IF($S122=HLOOKUP(AP$91,'Improved Sales Adjustments 1'!$G$7:$WV$147,68,FALSE),1,0)))</f>
        <v>0</v>
      </c>
      <c r="AQ122" s="41">
        <f>IF(ISERROR(HLOOKUP(AQ$91,'Improved Sales Adjustments 1'!$G$7:$WV$147,68,FALSE)),0,IF(HLOOKUP(AQ$91,'Improved Sales Adjustments 1'!$G$7:$WV$147,68,FALSE)="",0,IF($S122=HLOOKUP(AQ$91,'Improved Sales Adjustments 1'!$G$7:$WV$147,68,FALSE),1,0)))</f>
        <v>0</v>
      </c>
      <c r="AR122" s="41">
        <f>SUM($AG122:AG122)</f>
        <v>0</v>
      </c>
      <c r="AS122" s="41">
        <f>SUM($AG122:AH122)</f>
        <v>0</v>
      </c>
      <c r="AT122" s="41">
        <f>SUM($AG122:AI122)</f>
        <v>0</v>
      </c>
      <c r="AU122" s="41">
        <f>SUM($AG122:AJ122)</f>
        <v>0</v>
      </c>
      <c r="AV122" s="41">
        <f>SUM($AG122:AK122)</f>
        <v>0</v>
      </c>
      <c r="AW122" s="41">
        <f>SUM($AG122:AL122)</f>
        <v>0</v>
      </c>
      <c r="AX122" s="41">
        <f>SUM($AG122:AM122)</f>
        <v>0</v>
      </c>
      <c r="AY122" s="41">
        <f>SUM($AG122:AN122)</f>
        <v>0</v>
      </c>
      <c r="AZ122" s="41">
        <f>SUM($AG122:AO122)</f>
        <v>0</v>
      </c>
      <c r="BA122" s="41">
        <f>SUM($AG122:AP122)</f>
        <v>0</v>
      </c>
      <c r="BB122" s="41">
        <f>SUM($AG122:AQ122)</f>
        <v>0</v>
      </c>
      <c r="BC122" s="41" t="str">
        <f t="shared" si="29"/>
        <v/>
      </c>
      <c r="BD122" s="41" t="str">
        <f t="shared" si="29"/>
        <v/>
      </c>
      <c r="BE122" s="41" t="str">
        <f t="shared" si="29"/>
        <v/>
      </c>
      <c r="BF122" s="41" t="str">
        <f t="shared" si="29"/>
        <v/>
      </c>
      <c r="BG122" s="41" t="str">
        <f t="shared" si="29"/>
        <v/>
      </c>
      <c r="BH122" s="41" t="str">
        <f t="shared" si="29"/>
        <v/>
      </c>
      <c r="BI122" s="41" t="str">
        <f t="shared" si="29"/>
        <v/>
      </c>
      <c r="BJ122" s="41" t="str">
        <f t="shared" si="29"/>
        <v/>
      </c>
      <c r="BK122" s="41" t="str">
        <f t="shared" si="29"/>
        <v/>
      </c>
      <c r="BL122" s="41" t="str">
        <f t="shared" si="29"/>
        <v/>
      </c>
      <c r="BM122" s="41" t="str">
        <f t="shared" si="29"/>
        <v/>
      </c>
    </row>
    <row r="123" spans="1:65" ht="15" customHeight="1" x14ac:dyDescent="0.25">
      <c r="A123" s="957">
        <f t="shared" si="25"/>
        <v>0</v>
      </c>
      <c r="B123" s="10"/>
      <c r="C123" s="10"/>
      <c r="D123" s="13"/>
      <c r="E123" s="10"/>
      <c r="F123" s="10"/>
      <c r="G123" s="10"/>
      <c r="H123" s="10"/>
      <c r="I123" s="10"/>
      <c r="J123" s="10"/>
      <c r="K123" s="10"/>
      <c r="L123" s="10"/>
      <c r="M123" s="10"/>
      <c r="N123" s="10"/>
      <c r="O123" s="10"/>
      <c r="P123" s="4"/>
      <c r="Q123" s="1204"/>
      <c r="R123" s="101" t="str">
        <f t="shared" si="28"/>
        <v/>
      </c>
      <c r="S123" s="137">
        <f t="shared" si="30"/>
        <v>31</v>
      </c>
      <c r="T123" s="2129">
        <v>0.12</v>
      </c>
      <c r="U123" s="2130">
        <f t="shared" ref="U123:AA123" si="31">(U124+U122)/2</f>
        <v>0.21000000000000002</v>
      </c>
      <c r="V123" s="2130">
        <f t="shared" si="31"/>
        <v>0.28000000000000003</v>
      </c>
      <c r="W123" s="2130">
        <f t="shared" si="31"/>
        <v>0.36</v>
      </c>
      <c r="X123" s="2130">
        <f t="shared" si="31"/>
        <v>0.47499999999999998</v>
      </c>
      <c r="Y123" s="2130">
        <f t="shared" si="31"/>
        <v>0.59499999999999997</v>
      </c>
      <c r="Z123" s="2130">
        <f t="shared" si="31"/>
        <v>0.73499999999999999</v>
      </c>
      <c r="AA123" s="2130">
        <f t="shared" si="31"/>
        <v>0.79500000000000004</v>
      </c>
      <c r="AB123" s="2130"/>
      <c r="AC123" s="2130"/>
      <c r="AD123" s="101"/>
      <c r="AE123" s="6"/>
      <c r="AF123" s="11"/>
      <c r="AG123" s="41">
        <f t="shared" si="26"/>
        <v>0</v>
      </c>
      <c r="AH123" s="41">
        <f>IF(ISERROR(HLOOKUP(AH$91,'Improved Sales Adjustments 1'!$G$7:$WV$147,68,FALSE)),0,IF(HLOOKUP(AH$91,'Improved Sales Adjustments 1'!$G$7:$WV$147,68,FALSE)="",0,IF($S123=HLOOKUP(AH$91,'Improved Sales Adjustments 1'!$G$7:$WV$147,68,FALSE),1,0)))</f>
        <v>0</v>
      </c>
      <c r="AI123" s="41">
        <f>IF(ISERROR(HLOOKUP(AI$91,'Improved Sales Adjustments 1'!$G$7:$WV$147,68,FALSE)),0,IF(HLOOKUP(AI$91,'Improved Sales Adjustments 1'!$G$7:$WV$147,68,FALSE)="",0,IF($S123=HLOOKUP(AI$91,'Improved Sales Adjustments 1'!$G$7:$WV$147,68,FALSE),1,0)))</f>
        <v>0</v>
      </c>
      <c r="AJ123" s="41">
        <f>IF(ISERROR(HLOOKUP(AJ$91,'Improved Sales Adjustments 1'!$G$7:$WV$147,68,FALSE)),0,IF(HLOOKUP(AJ$91,'Improved Sales Adjustments 1'!$G$7:$WV$147,68,FALSE)="",0,IF($S123=HLOOKUP(AJ$91,'Improved Sales Adjustments 1'!$G$7:$WV$147,68,FALSE),1,0)))</f>
        <v>0</v>
      </c>
      <c r="AK123" s="41">
        <f>IF(ISERROR(HLOOKUP(AK$91,'Improved Sales Adjustments 1'!$G$7:$WV$147,68,FALSE)),0,IF(HLOOKUP(AK$91,'Improved Sales Adjustments 1'!$G$7:$WV$147,68,FALSE)="",0,IF($S123=HLOOKUP(AK$91,'Improved Sales Adjustments 1'!$G$7:$WV$147,68,FALSE),1,0)))</f>
        <v>0</v>
      </c>
      <c r="AL123" s="41">
        <f>IF(ISERROR(HLOOKUP(AL$91,'Improved Sales Adjustments 1'!$G$7:$WV$147,68,FALSE)),0,IF(HLOOKUP(AL$91,'Improved Sales Adjustments 1'!$G$7:$WV$147,68,FALSE)="",0,IF($S123=HLOOKUP(AL$91,'Improved Sales Adjustments 1'!$G$7:$WV$147,68,FALSE),1,0)))</f>
        <v>0</v>
      </c>
      <c r="AM123" s="41">
        <f>IF(ISERROR(HLOOKUP(AM$91,'Improved Sales Adjustments 1'!$G$7:$WV$147,68,FALSE)),0,IF(HLOOKUP(AM$91,'Improved Sales Adjustments 1'!$G$7:$WV$147,68,FALSE)="",0,IF($S123=HLOOKUP(AM$91,'Improved Sales Adjustments 1'!$G$7:$WV$147,68,FALSE),1,0)))</f>
        <v>0</v>
      </c>
      <c r="AN123" s="41">
        <f>IF(ISERROR(HLOOKUP(AN$91,'Improved Sales Adjustments 1'!$G$7:$WV$147,68,FALSE)),0,IF(HLOOKUP(AN$91,'Improved Sales Adjustments 1'!$G$7:$WV$147,68,FALSE)="",0,IF($S123=HLOOKUP(AN$91,'Improved Sales Adjustments 1'!$G$7:$WV$147,68,FALSE),1,0)))</f>
        <v>0</v>
      </c>
      <c r="AO123" s="41">
        <f>IF(ISERROR(HLOOKUP(AO$91,'Improved Sales Adjustments 1'!$G$7:$WV$147,68,FALSE)),0,IF(HLOOKUP(AO$91,'Improved Sales Adjustments 1'!$G$7:$WV$147,68,FALSE)="",0,IF($S123=HLOOKUP(AO$91,'Improved Sales Adjustments 1'!$G$7:$WV$147,68,FALSE),1,0)))</f>
        <v>0</v>
      </c>
      <c r="AP123" s="41">
        <f>IF(ISERROR(HLOOKUP(AP$91,'Improved Sales Adjustments 1'!$G$7:$WV$147,68,FALSE)),0,IF(HLOOKUP(AP$91,'Improved Sales Adjustments 1'!$G$7:$WV$147,68,FALSE)="",0,IF($S123=HLOOKUP(AP$91,'Improved Sales Adjustments 1'!$G$7:$WV$147,68,FALSE),1,0)))</f>
        <v>0</v>
      </c>
      <c r="AQ123" s="41">
        <f>IF(ISERROR(HLOOKUP(AQ$91,'Improved Sales Adjustments 1'!$G$7:$WV$147,68,FALSE)),0,IF(HLOOKUP(AQ$91,'Improved Sales Adjustments 1'!$G$7:$WV$147,68,FALSE)="",0,IF($S123=HLOOKUP(AQ$91,'Improved Sales Adjustments 1'!$G$7:$WV$147,68,FALSE),1,0)))</f>
        <v>0</v>
      </c>
      <c r="AR123" s="41">
        <f>SUM($AG123:AG123)</f>
        <v>0</v>
      </c>
      <c r="AS123" s="41">
        <f>SUM($AG123:AH123)</f>
        <v>0</v>
      </c>
      <c r="AT123" s="41">
        <f>SUM($AG123:AI123)</f>
        <v>0</v>
      </c>
      <c r="AU123" s="41">
        <f>SUM($AG123:AJ123)</f>
        <v>0</v>
      </c>
      <c r="AV123" s="41">
        <f>SUM($AG123:AK123)</f>
        <v>0</v>
      </c>
      <c r="AW123" s="41">
        <f>SUM($AG123:AL123)</f>
        <v>0</v>
      </c>
      <c r="AX123" s="41">
        <f>SUM($AG123:AM123)</f>
        <v>0</v>
      </c>
      <c r="AY123" s="41">
        <f>SUM($AG123:AN123)</f>
        <v>0</v>
      </c>
      <c r="AZ123" s="41">
        <f>SUM($AG123:AO123)</f>
        <v>0</v>
      </c>
      <c r="BA123" s="41">
        <f>SUM($AG123:AP123)</f>
        <v>0</v>
      </c>
      <c r="BB123" s="41">
        <f>SUM($AG123:AQ123)</f>
        <v>0</v>
      </c>
      <c r="BC123" s="41" t="str">
        <f t="shared" si="29"/>
        <v/>
      </c>
      <c r="BD123" s="41" t="str">
        <f t="shared" si="29"/>
        <v/>
      </c>
      <c r="BE123" s="41" t="str">
        <f t="shared" si="29"/>
        <v/>
      </c>
      <c r="BF123" s="41" t="str">
        <f t="shared" si="29"/>
        <v/>
      </c>
      <c r="BG123" s="41" t="str">
        <f t="shared" si="29"/>
        <v/>
      </c>
      <c r="BH123" s="41" t="str">
        <f t="shared" si="29"/>
        <v/>
      </c>
      <c r="BI123" s="41" t="str">
        <f t="shared" si="29"/>
        <v/>
      </c>
      <c r="BJ123" s="41" t="str">
        <f t="shared" si="29"/>
        <v/>
      </c>
      <c r="BK123" s="41" t="str">
        <f t="shared" si="29"/>
        <v/>
      </c>
      <c r="BL123" s="41" t="str">
        <f t="shared" si="29"/>
        <v/>
      </c>
      <c r="BM123" s="41" t="str">
        <f t="shared" si="29"/>
        <v/>
      </c>
    </row>
    <row r="124" spans="1:65" ht="15" customHeight="1" x14ac:dyDescent="0.25">
      <c r="A124" s="957">
        <f t="shared" ref="A124:A155" si="32">IF(AND(MIN(Sales_EffectiveAgeRange_1,Sales_AdjGrid_AgeEffective_1)&lt;=S124,MAX(Sales_EffectiveAgeRange_1,Sales_AdjGrid_AgeEffective_1)&gt;=S124),1,0)</f>
        <v>0</v>
      </c>
      <c r="B124" s="10"/>
      <c r="C124" s="10"/>
      <c r="D124" s="13"/>
      <c r="E124" s="10"/>
      <c r="F124" s="10"/>
      <c r="G124" s="10"/>
      <c r="H124" s="10"/>
      <c r="I124" s="10"/>
      <c r="J124" s="10"/>
      <c r="K124" s="10"/>
      <c r="L124" s="10"/>
      <c r="M124" s="10"/>
      <c r="N124" s="10"/>
      <c r="O124" s="10"/>
      <c r="P124" s="4"/>
      <c r="Q124" s="1204"/>
      <c r="R124" s="101" t="str">
        <f t="shared" si="28"/>
        <v/>
      </c>
      <c r="S124" s="137">
        <f t="shared" si="30"/>
        <v>32</v>
      </c>
      <c r="T124" s="2129">
        <v>0.13</v>
      </c>
      <c r="U124" s="2130">
        <v>0.22</v>
      </c>
      <c r="V124" s="2130">
        <v>0.3</v>
      </c>
      <c r="W124" s="2130">
        <v>0.38</v>
      </c>
      <c r="X124" s="2130">
        <v>0.5</v>
      </c>
      <c r="Y124" s="2130">
        <v>0.62</v>
      </c>
      <c r="Z124" s="2130">
        <v>0.75</v>
      </c>
      <c r="AA124" s="2130">
        <v>0.8</v>
      </c>
      <c r="AB124" s="2130"/>
      <c r="AC124" s="2130"/>
      <c r="AD124" s="101"/>
      <c r="AE124" s="6"/>
      <c r="AF124" s="11"/>
      <c r="AG124" s="41">
        <f t="shared" ref="AG124:AG155" si="33">IF(S124=Sales_AdjGrid_AgeEffective_1,1,0)</f>
        <v>0</v>
      </c>
      <c r="AH124" s="41">
        <f>IF(ISERROR(HLOOKUP(AH$91,'Improved Sales Adjustments 1'!$G$7:$WV$147,68,FALSE)),0,IF(HLOOKUP(AH$91,'Improved Sales Adjustments 1'!$G$7:$WV$147,68,FALSE)="",0,IF($S124=HLOOKUP(AH$91,'Improved Sales Adjustments 1'!$G$7:$WV$147,68,FALSE),1,0)))</f>
        <v>0</v>
      </c>
      <c r="AI124" s="41">
        <f>IF(ISERROR(HLOOKUP(AI$91,'Improved Sales Adjustments 1'!$G$7:$WV$147,68,FALSE)),0,IF(HLOOKUP(AI$91,'Improved Sales Adjustments 1'!$G$7:$WV$147,68,FALSE)="",0,IF($S124=HLOOKUP(AI$91,'Improved Sales Adjustments 1'!$G$7:$WV$147,68,FALSE),1,0)))</f>
        <v>0</v>
      </c>
      <c r="AJ124" s="41">
        <f>IF(ISERROR(HLOOKUP(AJ$91,'Improved Sales Adjustments 1'!$G$7:$WV$147,68,FALSE)),0,IF(HLOOKUP(AJ$91,'Improved Sales Adjustments 1'!$G$7:$WV$147,68,FALSE)="",0,IF($S124=HLOOKUP(AJ$91,'Improved Sales Adjustments 1'!$G$7:$WV$147,68,FALSE),1,0)))</f>
        <v>0</v>
      </c>
      <c r="AK124" s="41">
        <f>IF(ISERROR(HLOOKUP(AK$91,'Improved Sales Adjustments 1'!$G$7:$WV$147,68,FALSE)),0,IF(HLOOKUP(AK$91,'Improved Sales Adjustments 1'!$G$7:$WV$147,68,FALSE)="",0,IF($S124=HLOOKUP(AK$91,'Improved Sales Adjustments 1'!$G$7:$WV$147,68,FALSE),1,0)))</f>
        <v>0</v>
      </c>
      <c r="AL124" s="41">
        <f>IF(ISERROR(HLOOKUP(AL$91,'Improved Sales Adjustments 1'!$G$7:$WV$147,68,FALSE)),0,IF(HLOOKUP(AL$91,'Improved Sales Adjustments 1'!$G$7:$WV$147,68,FALSE)="",0,IF($S124=HLOOKUP(AL$91,'Improved Sales Adjustments 1'!$G$7:$WV$147,68,FALSE),1,0)))</f>
        <v>0</v>
      </c>
      <c r="AM124" s="41">
        <f>IF(ISERROR(HLOOKUP(AM$91,'Improved Sales Adjustments 1'!$G$7:$WV$147,68,FALSE)),0,IF(HLOOKUP(AM$91,'Improved Sales Adjustments 1'!$G$7:$WV$147,68,FALSE)="",0,IF($S124=HLOOKUP(AM$91,'Improved Sales Adjustments 1'!$G$7:$WV$147,68,FALSE),1,0)))</f>
        <v>0</v>
      </c>
      <c r="AN124" s="41">
        <f>IF(ISERROR(HLOOKUP(AN$91,'Improved Sales Adjustments 1'!$G$7:$WV$147,68,FALSE)),0,IF(HLOOKUP(AN$91,'Improved Sales Adjustments 1'!$G$7:$WV$147,68,FALSE)="",0,IF($S124=HLOOKUP(AN$91,'Improved Sales Adjustments 1'!$G$7:$WV$147,68,FALSE),1,0)))</f>
        <v>0</v>
      </c>
      <c r="AO124" s="41">
        <f>IF(ISERROR(HLOOKUP(AO$91,'Improved Sales Adjustments 1'!$G$7:$WV$147,68,FALSE)),0,IF(HLOOKUP(AO$91,'Improved Sales Adjustments 1'!$G$7:$WV$147,68,FALSE)="",0,IF($S124=HLOOKUP(AO$91,'Improved Sales Adjustments 1'!$G$7:$WV$147,68,FALSE),1,0)))</f>
        <v>0</v>
      </c>
      <c r="AP124" s="41">
        <f>IF(ISERROR(HLOOKUP(AP$91,'Improved Sales Adjustments 1'!$G$7:$WV$147,68,FALSE)),0,IF(HLOOKUP(AP$91,'Improved Sales Adjustments 1'!$G$7:$WV$147,68,FALSE)="",0,IF($S124=HLOOKUP(AP$91,'Improved Sales Adjustments 1'!$G$7:$WV$147,68,FALSE),1,0)))</f>
        <v>0</v>
      </c>
      <c r="AQ124" s="41">
        <f>IF(ISERROR(HLOOKUP(AQ$91,'Improved Sales Adjustments 1'!$G$7:$WV$147,68,FALSE)),0,IF(HLOOKUP(AQ$91,'Improved Sales Adjustments 1'!$G$7:$WV$147,68,FALSE)="",0,IF($S124=HLOOKUP(AQ$91,'Improved Sales Adjustments 1'!$G$7:$WV$147,68,FALSE),1,0)))</f>
        <v>0</v>
      </c>
      <c r="AR124" s="41">
        <f>SUM($AG124:AG124)</f>
        <v>0</v>
      </c>
      <c r="AS124" s="41">
        <f>SUM($AG124:AH124)</f>
        <v>0</v>
      </c>
      <c r="AT124" s="41">
        <f>SUM($AG124:AI124)</f>
        <v>0</v>
      </c>
      <c r="AU124" s="41">
        <f>SUM($AG124:AJ124)</f>
        <v>0</v>
      </c>
      <c r="AV124" s="41">
        <f>SUM($AG124:AK124)</f>
        <v>0</v>
      </c>
      <c r="AW124" s="41">
        <f>SUM($AG124:AL124)</f>
        <v>0</v>
      </c>
      <c r="AX124" s="41">
        <f>SUM($AG124:AM124)</f>
        <v>0</v>
      </c>
      <c r="AY124" s="41">
        <f>SUM($AG124:AN124)</f>
        <v>0</v>
      </c>
      <c r="AZ124" s="41">
        <f>SUM($AG124:AO124)</f>
        <v>0</v>
      </c>
      <c r="BA124" s="41">
        <f>SUM($AG124:AP124)</f>
        <v>0</v>
      </c>
      <c r="BB124" s="41">
        <f>SUM($AG124:AQ124)</f>
        <v>0</v>
      </c>
      <c r="BC124" s="41" t="str">
        <f t="shared" si="29"/>
        <v/>
      </c>
      <c r="BD124" s="41" t="str">
        <f t="shared" si="29"/>
        <v/>
      </c>
      <c r="BE124" s="41" t="str">
        <f t="shared" si="29"/>
        <v/>
      </c>
      <c r="BF124" s="41" t="str">
        <f t="shared" si="29"/>
        <v/>
      </c>
      <c r="BG124" s="41" t="str">
        <f t="shared" si="29"/>
        <v/>
      </c>
      <c r="BH124" s="41" t="str">
        <f t="shared" si="29"/>
        <v/>
      </c>
      <c r="BI124" s="41" t="str">
        <f t="shared" si="29"/>
        <v/>
      </c>
      <c r="BJ124" s="41" t="str">
        <f t="shared" si="29"/>
        <v/>
      </c>
      <c r="BK124" s="41" t="str">
        <f t="shared" si="29"/>
        <v/>
      </c>
      <c r="BL124" s="41" t="str">
        <f t="shared" si="29"/>
        <v/>
      </c>
      <c r="BM124" s="41" t="str">
        <f t="shared" si="29"/>
        <v/>
      </c>
    </row>
    <row r="125" spans="1:65" ht="15" customHeight="1" x14ac:dyDescent="0.25">
      <c r="A125" s="957">
        <f t="shared" si="32"/>
        <v>0</v>
      </c>
      <c r="B125" s="10"/>
      <c r="C125" s="10"/>
      <c r="D125" s="13"/>
      <c r="E125" s="10"/>
      <c r="F125" s="10"/>
      <c r="G125" s="10"/>
      <c r="H125" s="10"/>
      <c r="I125" s="10"/>
      <c r="J125" s="10"/>
      <c r="K125" s="10"/>
      <c r="L125" s="10"/>
      <c r="M125" s="10"/>
      <c r="N125" s="10"/>
      <c r="O125" s="10"/>
      <c r="P125" s="4"/>
      <c r="Q125" s="1204"/>
      <c r="R125" s="101" t="str">
        <f t="shared" si="28"/>
        <v/>
      </c>
      <c r="S125" s="137">
        <f t="shared" si="30"/>
        <v>33</v>
      </c>
      <c r="T125" s="2129">
        <v>0.14000000000000001</v>
      </c>
      <c r="U125" s="2130">
        <f t="shared" ref="U125:Z125" si="34">(U126+U124)/2</f>
        <v>0.23499999999999999</v>
      </c>
      <c r="V125" s="2130">
        <f t="shared" si="34"/>
        <v>0.32</v>
      </c>
      <c r="W125" s="2130">
        <f t="shared" si="34"/>
        <v>0.40500000000000003</v>
      </c>
      <c r="X125" s="2130">
        <f t="shared" si="34"/>
        <v>0.52500000000000002</v>
      </c>
      <c r="Y125" s="2130">
        <f t="shared" si="34"/>
        <v>0.65</v>
      </c>
      <c r="Z125" s="2130">
        <f t="shared" si="34"/>
        <v>0.76</v>
      </c>
      <c r="AA125" s="2130"/>
      <c r="AB125" s="2130"/>
      <c r="AC125" s="2130"/>
      <c r="AD125" s="101"/>
      <c r="AE125" s="6"/>
      <c r="AF125" s="11"/>
      <c r="AG125" s="41">
        <f t="shared" si="33"/>
        <v>0</v>
      </c>
      <c r="AH125" s="41">
        <f>IF(ISERROR(HLOOKUP(AH$91,'Improved Sales Adjustments 1'!$G$7:$WV$147,68,FALSE)),0,IF(HLOOKUP(AH$91,'Improved Sales Adjustments 1'!$G$7:$WV$147,68,FALSE)="",0,IF($S125=HLOOKUP(AH$91,'Improved Sales Adjustments 1'!$G$7:$WV$147,68,FALSE),1,0)))</f>
        <v>0</v>
      </c>
      <c r="AI125" s="41">
        <f>IF(ISERROR(HLOOKUP(AI$91,'Improved Sales Adjustments 1'!$G$7:$WV$147,68,FALSE)),0,IF(HLOOKUP(AI$91,'Improved Sales Adjustments 1'!$G$7:$WV$147,68,FALSE)="",0,IF($S125=HLOOKUP(AI$91,'Improved Sales Adjustments 1'!$G$7:$WV$147,68,FALSE),1,0)))</f>
        <v>0</v>
      </c>
      <c r="AJ125" s="41">
        <f>IF(ISERROR(HLOOKUP(AJ$91,'Improved Sales Adjustments 1'!$G$7:$WV$147,68,FALSE)),0,IF(HLOOKUP(AJ$91,'Improved Sales Adjustments 1'!$G$7:$WV$147,68,FALSE)="",0,IF($S125=HLOOKUP(AJ$91,'Improved Sales Adjustments 1'!$G$7:$WV$147,68,FALSE),1,0)))</f>
        <v>0</v>
      </c>
      <c r="AK125" s="41">
        <f>IF(ISERROR(HLOOKUP(AK$91,'Improved Sales Adjustments 1'!$G$7:$WV$147,68,FALSE)),0,IF(HLOOKUP(AK$91,'Improved Sales Adjustments 1'!$G$7:$WV$147,68,FALSE)="",0,IF($S125=HLOOKUP(AK$91,'Improved Sales Adjustments 1'!$G$7:$WV$147,68,FALSE),1,0)))</f>
        <v>0</v>
      </c>
      <c r="AL125" s="41">
        <f>IF(ISERROR(HLOOKUP(AL$91,'Improved Sales Adjustments 1'!$G$7:$WV$147,68,FALSE)),0,IF(HLOOKUP(AL$91,'Improved Sales Adjustments 1'!$G$7:$WV$147,68,FALSE)="",0,IF($S125=HLOOKUP(AL$91,'Improved Sales Adjustments 1'!$G$7:$WV$147,68,FALSE),1,0)))</f>
        <v>0</v>
      </c>
      <c r="AM125" s="41">
        <f>IF(ISERROR(HLOOKUP(AM$91,'Improved Sales Adjustments 1'!$G$7:$WV$147,68,FALSE)),0,IF(HLOOKUP(AM$91,'Improved Sales Adjustments 1'!$G$7:$WV$147,68,FALSE)="",0,IF($S125=HLOOKUP(AM$91,'Improved Sales Adjustments 1'!$G$7:$WV$147,68,FALSE),1,0)))</f>
        <v>0</v>
      </c>
      <c r="AN125" s="41">
        <f>IF(ISERROR(HLOOKUP(AN$91,'Improved Sales Adjustments 1'!$G$7:$WV$147,68,FALSE)),0,IF(HLOOKUP(AN$91,'Improved Sales Adjustments 1'!$G$7:$WV$147,68,FALSE)="",0,IF($S125=HLOOKUP(AN$91,'Improved Sales Adjustments 1'!$G$7:$WV$147,68,FALSE),1,0)))</f>
        <v>0</v>
      </c>
      <c r="AO125" s="41">
        <f>IF(ISERROR(HLOOKUP(AO$91,'Improved Sales Adjustments 1'!$G$7:$WV$147,68,FALSE)),0,IF(HLOOKUP(AO$91,'Improved Sales Adjustments 1'!$G$7:$WV$147,68,FALSE)="",0,IF($S125=HLOOKUP(AO$91,'Improved Sales Adjustments 1'!$G$7:$WV$147,68,FALSE),1,0)))</f>
        <v>0</v>
      </c>
      <c r="AP125" s="41">
        <f>IF(ISERROR(HLOOKUP(AP$91,'Improved Sales Adjustments 1'!$G$7:$WV$147,68,FALSE)),0,IF(HLOOKUP(AP$91,'Improved Sales Adjustments 1'!$G$7:$WV$147,68,FALSE)="",0,IF($S125=HLOOKUP(AP$91,'Improved Sales Adjustments 1'!$G$7:$WV$147,68,FALSE),1,0)))</f>
        <v>0</v>
      </c>
      <c r="AQ125" s="41">
        <f>IF(ISERROR(HLOOKUP(AQ$91,'Improved Sales Adjustments 1'!$G$7:$WV$147,68,FALSE)),0,IF(HLOOKUP(AQ$91,'Improved Sales Adjustments 1'!$G$7:$WV$147,68,FALSE)="",0,IF($S125=HLOOKUP(AQ$91,'Improved Sales Adjustments 1'!$G$7:$WV$147,68,FALSE),1,0)))</f>
        <v>0</v>
      </c>
      <c r="AR125" s="41">
        <f>SUM($AG125:AG125)</f>
        <v>0</v>
      </c>
      <c r="AS125" s="41">
        <f>SUM($AG125:AH125)</f>
        <v>0</v>
      </c>
      <c r="AT125" s="41">
        <f>SUM($AG125:AI125)</f>
        <v>0</v>
      </c>
      <c r="AU125" s="41">
        <f>SUM($AG125:AJ125)</f>
        <v>0</v>
      </c>
      <c r="AV125" s="41">
        <f>SUM($AG125:AK125)</f>
        <v>0</v>
      </c>
      <c r="AW125" s="41">
        <f>SUM($AG125:AL125)</f>
        <v>0</v>
      </c>
      <c r="AX125" s="41">
        <f>SUM($AG125:AM125)</f>
        <v>0</v>
      </c>
      <c r="AY125" s="41">
        <f>SUM($AG125:AN125)</f>
        <v>0</v>
      </c>
      <c r="AZ125" s="41">
        <f>SUM($AG125:AO125)</f>
        <v>0</v>
      </c>
      <c r="BA125" s="41">
        <f>SUM($AG125:AP125)</f>
        <v>0</v>
      </c>
      <c r="BB125" s="41">
        <f>SUM($AG125:AQ125)</f>
        <v>0</v>
      </c>
      <c r="BC125" s="41" t="str">
        <f t="shared" si="29"/>
        <v/>
      </c>
      <c r="BD125" s="41" t="str">
        <f t="shared" si="29"/>
        <v/>
      </c>
      <c r="BE125" s="41" t="str">
        <f t="shared" si="29"/>
        <v/>
      </c>
      <c r="BF125" s="41" t="str">
        <f t="shared" si="29"/>
        <v/>
      </c>
      <c r="BG125" s="41" t="str">
        <f t="shared" si="29"/>
        <v/>
      </c>
      <c r="BH125" s="41" t="str">
        <f t="shared" si="29"/>
        <v/>
      </c>
      <c r="BI125" s="41" t="str">
        <f t="shared" si="29"/>
        <v/>
      </c>
      <c r="BJ125" s="41" t="str">
        <f t="shared" si="29"/>
        <v/>
      </c>
      <c r="BK125" s="41" t="str">
        <f t="shared" si="29"/>
        <v/>
      </c>
      <c r="BL125" s="41" t="str">
        <f t="shared" si="29"/>
        <v/>
      </c>
      <c r="BM125" s="41" t="str">
        <f t="shared" si="29"/>
        <v/>
      </c>
    </row>
    <row r="126" spans="1:65" ht="15" customHeight="1" x14ac:dyDescent="0.25">
      <c r="A126" s="957">
        <f t="shared" si="32"/>
        <v>0</v>
      </c>
      <c r="B126" s="10"/>
      <c r="C126" s="10"/>
      <c r="D126" s="13"/>
      <c r="E126" s="10"/>
      <c r="F126" s="10"/>
      <c r="G126" s="10"/>
      <c r="H126" s="10"/>
      <c r="I126" s="10"/>
      <c r="J126" s="10"/>
      <c r="K126" s="10"/>
      <c r="L126" s="10"/>
      <c r="M126" s="10"/>
      <c r="N126" s="10"/>
      <c r="O126" s="10"/>
      <c r="P126" s="4"/>
      <c r="Q126" s="1204"/>
      <c r="R126" s="101" t="str">
        <f t="shared" si="28"/>
        <v/>
      </c>
      <c r="S126" s="137">
        <f t="shared" si="30"/>
        <v>34</v>
      </c>
      <c r="T126" s="2129">
        <v>0.15</v>
      </c>
      <c r="U126" s="2130">
        <v>0.25</v>
      </c>
      <c r="V126" s="2130">
        <v>0.34</v>
      </c>
      <c r="W126" s="2130">
        <v>0.43</v>
      </c>
      <c r="X126" s="2130">
        <v>0.55000000000000004</v>
      </c>
      <c r="Y126" s="2130">
        <v>0.68</v>
      </c>
      <c r="Z126" s="2130">
        <v>0.77</v>
      </c>
      <c r="AA126" s="2130"/>
      <c r="AB126" s="2130"/>
      <c r="AC126" s="2130"/>
      <c r="AD126" s="101"/>
      <c r="AE126" s="6"/>
      <c r="AF126" s="11"/>
      <c r="AG126" s="41">
        <f t="shared" si="33"/>
        <v>0</v>
      </c>
      <c r="AH126" s="41">
        <f>IF(ISERROR(HLOOKUP(AH$91,'Improved Sales Adjustments 1'!$G$7:$WV$147,68,FALSE)),0,IF(HLOOKUP(AH$91,'Improved Sales Adjustments 1'!$G$7:$WV$147,68,FALSE)="",0,IF($S126=HLOOKUP(AH$91,'Improved Sales Adjustments 1'!$G$7:$WV$147,68,FALSE),1,0)))</f>
        <v>0</v>
      </c>
      <c r="AI126" s="41">
        <f>IF(ISERROR(HLOOKUP(AI$91,'Improved Sales Adjustments 1'!$G$7:$WV$147,68,FALSE)),0,IF(HLOOKUP(AI$91,'Improved Sales Adjustments 1'!$G$7:$WV$147,68,FALSE)="",0,IF($S126=HLOOKUP(AI$91,'Improved Sales Adjustments 1'!$G$7:$WV$147,68,FALSE),1,0)))</f>
        <v>0</v>
      </c>
      <c r="AJ126" s="41">
        <f>IF(ISERROR(HLOOKUP(AJ$91,'Improved Sales Adjustments 1'!$G$7:$WV$147,68,FALSE)),0,IF(HLOOKUP(AJ$91,'Improved Sales Adjustments 1'!$G$7:$WV$147,68,FALSE)="",0,IF($S126=HLOOKUP(AJ$91,'Improved Sales Adjustments 1'!$G$7:$WV$147,68,FALSE),1,0)))</f>
        <v>0</v>
      </c>
      <c r="AK126" s="41">
        <f>IF(ISERROR(HLOOKUP(AK$91,'Improved Sales Adjustments 1'!$G$7:$WV$147,68,FALSE)),0,IF(HLOOKUP(AK$91,'Improved Sales Adjustments 1'!$G$7:$WV$147,68,FALSE)="",0,IF($S126=HLOOKUP(AK$91,'Improved Sales Adjustments 1'!$G$7:$WV$147,68,FALSE),1,0)))</f>
        <v>0</v>
      </c>
      <c r="AL126" s="41">
        <f>IF(ISERROR(HLOOKUP(AL$91,'Improved Sales Adjustments 1'!$G$7:$WV$147,68,FALSE)),0,IF(HLOOKUP(AL$91,'Improved Sales Adjustments 1'!$G$7:$WV$147,68,FALSE)="",0,IF($S126=HLOOKUP(AL$91,'Improved Sales Adjustments 1'!$G$7:$WV$147,68,FALSE),1,0)))</f>
        <v>0</v>
      </c>
      <c r="AM126" s="41">
        <f>IF(ISERROR(HLOOKUP(AM$91,'Improved Sales Adjustments 1'!$G$7:$WV$147,68,FALSE)),0,IF(HLOOKUP(AM$91,'Improved Sales Adjustments 1'!$G$7:$WV$147,68,FALSE)="",0,IF($S126=HLOOKUP(AM$91,'Improved Sales Adjustments 1'!$G$7:$WV$147,68,FALSE),1,0)))</f>
        <v>0</v>
      </c>
      <c r="AN126" s="41">
        <f>IF(ISERROR(HLOOKUP(AN$91,'Improved Sales Adjustments 1'!$G$7:$WV$147,68,FALSE)),0,IF(HLOOKUP(AN$91,'Improved Sales Adjustments 1'!$G$7:$WV$147,68,FALSE)="",0,IF($S126=HLOOKUP(AN$91,'Improved Sales Adjustments 1'!$G$7:$WV$147,68,FALSE),1,0)))</f>
        <v>0</v>
      </c>
      <c r="AO126" s="41">
        <f>IF(ISERROR(HLOOKUP(AO$91,'Improved Sales Adjustments 1'!$G$7:$WV$147,68,FALSE)),0,IF(HLOOKUP(AO$91,'Improved Sales Adjustments 1'!$G$7:$WV$147,68,FALSE)="",0,IF($S126=HLOOKUP(AO$91,'Improved Sales Adjustments 1'!$G$7:$WV$147,68,FALSE),1,0)))</f>
        <v>0</v>
      </c>
      <c r="AP126" s="41">
        <f>IF(ISERROR(HLOOKUP(AP$91,'Improved Sales Adjustments 1'!$G$7:$WV$147,68,FALSE)),0,IF(HLOOKUP(AP$91,'Improved Sales Adjustments 1'!$G$7:$WV$147,68,FALSE)="",0,IF($S126=HLOOKUP(AP$91,'Improved Sales Adjustments 1'!$G$7:$WV$147,68,FALSE),1,0)))</f>
        <v>0</v>
      </c>
      <c r="AQ126" s="41">
        <f>IF(ISERROR(HLOOKUP(AQ$91,'Improved Sales Adjustments 1'!$G$7:$WV$147,68,FALSE)),0,IF(HLOOKUP(AQ$91,'Improved Sales Adjustments 1'!$G$7:$WV$147,68,FALSE)="",0,IF($S126=HLOOKUP(AQ$91,'Improved Sales Adjustments 1'!$G$7:$WV$147,68,FALSE),1,0)))</f>
        <v>0</v>
      </c>
      <c r="AR126" s="41">
        <f>SUM($AG126:AG126)</f>
        <v>0</v>
      </c>
      <c r="AS126" s="41">
        <f>SUM($AG126:AH126)</f>
        <v>0</v>
      </c>
      <c r="AT126" s="41">
        <f>SUM($AG126:AI126)</f>
        <v>0</v>
      </c>
      <c r="AU126" s="41">
        <f>SUM($AG126:AJ126)</f>
        <v>0</v>
      </c>
      <c r="AV126" s="41">
        <f>SUM($AG126:AK126)</f>
        <v>0</v>
      </c>
      <c r="AW126" s="41">
        <f>SUM($AG126:AL126)</f>
        <v>0</v>
      </c>
      <c r="AX126" s="41">
        <f>SUM($AG126:AM126)</f>
        <v>0</v>
      </c>
      <c r="AY126" s="41">
        <f>SUM($AG126:AN126)</f>
        <v>0</v>
      </c>
      <c r="AZ126" s="41">
        <f>SUM($AG126:AO126)</f>
        <v>0</v>
      </c>
      <c r="BA126" s="41">
        <f>SUM($AG126:AP126)</f>
        <v>0</v>
      </c>
      <c r="BB126" s="41">
        <f>SUM($AG126:AQ126)</f>
        <v>0</v>
      </c>
      <c r="BC126" s="41" t="str">
        <f t="shared" si="29"/>
        <v/>
      </c>
      <c r="BD126" s="41" t="str">
        <f t="shared" si="29"/>
        <v/>
      </c>
      <c r="BE126" s="41" t="str">
        <f t="shared" si="29"/>
        <v/>
      </c>
      <c r="BF126" s="41" t="str">
        <f t="shared" si="29"/>
        <v/>
      </c>
      <c r="BG126" s="41" t="str">
        <f t="shared" si="29"/>
        <v/>
      </c>
      <c r="BH126" s="41" t="str">
        <f t="shared" si="29"/>
        <v/>
      </c>
      <c r="BI126" s="41" t="str">
        <f t="shared" si="29"/>
        <v/>
      </c>
      <c r="BJ126" s="41" t="str">
        <f t="shared" si="29"/>
        <v/>
      </c>
      <c r="BK126" s="41" t="str">
        <f t="shared" si="29"/>
        <v/>
      </c>
      <c r="BL126" s="41" t="str">
        <f t="shared" si="29"/>
        <v/>
      </c>
      <c r="BM126" s="41" t="str">
        <f t="shared" si="29"/>
        <v/>
      </c>
    </row>
    <row r="127" spans="1:65" ht="15" customHeight="1" x14ac:dyDescent="0.25">
      <c r="A127" s="957">
        <f t="shared" si="32"/>
        <v>0</v>
      </c>
      <c r="B127" s="10"/>
      <c r="C127" s="10"/>
      <c r="D127" s="13"/>
      <c r="E127" s="10"/>
      <c r="F127" s="10"/>
      <c r="G127" s="10"/>
      <c r="H127" s="10"/>
      <c r="I127" s="10"/>
      <c r="J127" s="10"/>
      <c r="K127" s="10"/>
      <c r="L127" s="10"/>
      <c r="M127" s="10"/>
      <c r="N127" s="10"/>
      <c r="O127" s="10"/>
      <c r="P127" s="4"/>
      <c r="Q127" s="1204"/>
      <c r="R127" s="101" t="str">
        <f t="shared" si="28"/>
        <v/>
      </c>
      <c r="S127" s="137">
        <f t="shared" si="30"/>
        <v>35</v>
      </c>
      <c r="T127" s="2129">
        <v>0.16</v>
      </c>
      <c r="U127" s="2130">
        <f t="shared" ref="U127:Z127" si="35">(U128+U126)/2</f>
        <v>0.26500000000000001</v>
      </c>
      <c r="V127" s="2130">
        <f t="shared" si="35"/>
        <v>0.36</v>
      </c>
      <c r="W127" s="2130">
        <f t="shared" si="35"/>
        <v>0.45499999999999996</v>
      </c>
      <c r="X127" s="2130">
        <f t="shared" si="35"/>
        <v>0.58000000000000007</v>
      </c>
      <c r="Y127" s="2130">
        <f t="shared" si="35"/>
        <v>0.70500000000000007</v>
      </c>
      <c r="Z127" s="2130">
        <f t="shared" si="35"/>
        <v>0.78</v>
      </c>
      <c r="AA127" s="2130"/>
      <c r="AB127" s="2130"/>
      <c r="AC127" s="2130"/>
      <c r="AD127" s="101"/>
      <c r="AE127" s="6"/>
      <c r="AF127" s="11"/>
      <c r="AG127" s="41">
        <f t="shared" si="33"/>
        <v>0</v>
      </c>
      <c r="AH127" s="41">
        <f>IF(ISERROR(HLOOKUP(AH$91,'Improved Sales Adjustments 1'!$G$7:$WV$147,68,FALSE)),0,IF(HLOOKUP(AH$91,'Improved Sales Adjustments 1'!$G$7:$WV$147,68,FALSE)="",0,IF($S127=HLOOKUP(AH$91,'Improved Sales Adjustments 1'!$G$7:$WV$147,68,FALSE),1,0)))</f>
        <v>0</v>
      </c>
      <c r="AI127" s="41">
        <f>IF(ISERROR(HLOOKUP(AI$91,'Improved Sales Adjustments 1'!$G$7:$WV$147,68,FALSE)),0,IF(HLOOKUP(AI$91,'Improved Sales Adjustments 1'!$G$7:$WV$147,68,FALSE)="",0,IF($S127=HLOOKUP(AI$91,'Improved Sales Adjustments 1'!$G$7:$WV$147,68,FALSE),1,0)))</f>
        <v>0</v>
      </c>
      <c r="AJ127" s="41">
        <f>IF(ISERROR(HLOOKUP(AJ$91,'Improved Sales Adjustments 1'!$G$7:$WV$147,68,FALSE)),0,IF(HLOOKUP(AJ$91,'Improved Sales Adjustments 1'!$G$7:$WV$147,68,FALSE)="",0,IF($S127=HLOOKUP(AJ$91,'Improved Sales Adjustments 1'!$G$7:$WV$147,68,FALSE),1,0)))</f>
        <v>0</v>
      </c>
      <c r="AK127" s="41">
        <f>IF(ISERROR(HLOOKUP(AK$91,'Improved Sales Adjustments 1'!$G$7:$WV$147,68,FALSE)),0,IF(HLOOKUP(AK$91,'Improved Sales Adjustments 1'!$G$7:$WV$147,68,FALSE)="",0,IF($S127=HLOOKUP(AK$91,'Improved Sales Adjustments 1'!$G$7:$WV$147,68,FALSE),1,0)))</f>
        <v>0</v>
      </c>
      <c r="AL127" s="41">
        <f>IF(ISERROR(HLOOKUP(AL$91,'Improved Sales Adjustments 1'!$G$7:$WV$147,68,FALSE)),0,IF(HLOOKUP(AL$91,'Improved Sales Adjustments 1'!$G$7:$WV$147,68,FALSE)="",0,IF($S127=HLOOKUP(AL$91,'Improved Sales Adjustments 1'!$G$7:$WV$147,68,FALSE),1,0)))</f>
        <v>0</v>
      </c>
      <c r="AM127" s="41">
        <f>IF(ISERROR(HLOOKUP(AM$91,'Improved Sales Adjustments 1'!$G$7:$WV$147,68,FALSE)),0,IF(HLOOKUP(AM$91,'Improved Sales Adjustments 1'!$G$7:$WV$147,68,FALSE)="",0,IF($S127=HLOOKUP(AM$91,'Improved Sales Adjustments 1'!$G$7:$WV$147,68,FALSE),1,0)))</f>
        <v>0</v>
      </c>
      <c r="AN127" s="41">
        <f>IF(ISERROR(HLOOKUP(AN$91,'Improved Sales Adjustments 1'!$G$7:$WV$147,68,FALSE)),0,IF(HLOOKUP(AN$91,'Improved Sales Adjustments 1'!$G$7:$WV$147,68,FALSE)="",0,IF($S127=HLOOKUP(AN$91,'Improved Sales Adjustments 1'!$G$7:$WV$147,68,FALSE),1,0)))</f>
        <v>0</v>
      </c>
      <c r="AO127" s="41">
        <f>IF(ISERROR(HLOOKUP(AO$91,'Improved Sales Adjustments 1'!$G$7:$WV$147,68,FALSE)),0,IF(HLOOKUP(AO$91,'Improved Sales Adjustments 1'!$G$7:$WV$147,68,FALSE)="",0,IF($S127=HLOOKUP(AO$91,'Improved Sales Adjustments 1'!$G$7:$WV$147,68,FALSE),1,0)))</f>
        <v>0</v>
      </c>
      <c r="AP127" s="41">
        <f>IF(ISERROR(HLOOKUP(AP$91,'Improved Sales Adjustments 1'!$G$7:$WV$147,68,FALSE)),0,IF(HLOOKUP(AP$91,'Improved Sales Adjustments 1'!$G$7:$WV$147,68,FALSE)="",0,IF($S127=HLOOKUP(AP$91,'Improved Sales Adjustments 1'!$G$7:$WV$147,68,FALSE),1,0)))</f>
        <v>0</v>
      </c>
      <c r="AQ127" s="41">
        <f>IF(ISERROR(HLOOKUP(AQ$91,'Improved Sales Adjustments 1'!$G$7:$WV$147,68,FALSE)),0,IF(HLOOKUP(AQ$91,'Improved Sales Adjustments 1'!$G$7:$WV$147,68,FALSE)="",0,IF($S127=HLOOKUP(AQ$91,'Improved Sales Adjustments 1'!$G$7:$WV$147,68,FALSE),1,0)))</f>
        <v>0</v>
      </c>
      <c r="AR127" s="41">
        <f>SUM($AG127:AG127)</f>
        <v>0</v>
      </c>
      <c r="AS127" s="41">
        <f>SUM($AG127:AH127)</f>
        <v>0</v>
      </c>
      <c r="AT127" s="41">
        <f>SUM($AG127:AI127)</f>
        <v>0</v>
      </c>
      <c r="AU127" s="41">
        <f>SUM($AG127:AJ127)</f>
        <v>0</v>
      </c>
      <c r="AV127" s="41">
        <f>SUM($AG127:AK127)</f>
        <v>0</v>
      </c>
      <c r="AW127" s="41">
        <f>SUM($AG127:AL127)</f>
        <v>0</v>
      </c>
      <c r="AX127" s="41">
        <f>SUM($AG127:AM127)</f>
        <v>0</v>
      </c>
      <c r="AY127" s="41">
        <f>SUM($AG127:AN127)</f>
        <v>0</v>
      </c>
      <c r="AZ127" s="41">
        <f>SUM($AG127:AO127)</f>
        <v>0</v>
      </c>
      <c r="BA127" s="41">
        <f>SUM($AG127:AP127)</f>
        <v>0</v>
      </c>
      <c r="BB127" s="41">
        <f>SUM($AG127:AQ127)</f>
        <v>0</v>
      </c>
      <c r="BC127" s="41" t="str">
        <f t="shared" si="29"/>
        <v/>
      </c>
      <c r="BD127" s="41" t="str">
        <f t="shared" si="29"/>
        <v/>
      </c>
      <c r="BE127" s="41" t="str">
        <f t="shared" si="29"/>
        <v/>
      </c>
      <c r="BF127" s="41" t="str">
        <f t="shared" si="29"/>
        <v/>
      </c>
      <c r="BG127" s="41" t="str">
        <f t="shared" si="29"/>
        <v/>
      </c>
      <c r="BH127" s="41" t="str">
        <f t="shared" si="29"/>
        <v/>
      </c>
      <c r="BI127" s="41" t="str">
        <f t="shared" si="29"/>
        <v/>
      </c>
      <c r="BJ127" s="41" t="str">
        <f t="shared" si="29"/>
        <v/>
      </c>
      <c r="BK127" s="41" t="str">
        <f t="shared" si="29"/>
        <v/>
      </c>
      <c r="BL127" s="41" t="str">
        <f t="shared" si="29"/>
        <v/>
      </c>
      <c r="BM127" s="41" t="str">
        <f t="shared" si="29"/>
        <v/>
      </c>
    </row>
    <row r="128" spans="1:65" ht="15" customHeight="1" x14ac:dyDescent="0.25">
      <c r="A128" s="957">
        <f t="shared" si="32"/>
        <v>0</v>
      </c>
      <c r="B128" s="10"/>
      <c r="C128" s="10"/>
      <c r="D128" s="13"/>
      <c r="E128" s="10"/>
      <c r="F128" s="10"/>
      <c r="G128" s="10"/>
      <c r="H128" s="10"/>
      <c r="I128" s="10"/>
      <c r="J128" s="10"/>
      <c r="K128" s="10"/>
      <c r="L128" s="10"/>
      <c r="M128" s="10"/>
      <c r="N128" s="10"/>
      <c r="O128" s="10"/>
      <c r="P128" s="4"/>
      <c r="Q128" s="1204"/>
      <c r="R128" s="101" t="str">
        <f t="shared" si="28"/>
        <v/>
      </c>
      <c r="S128" s="137">
        <f t="shared" si="30"/>
        <v>36</v>
      </c>
      <c r="T128" s="2129">
        <v>0.17</v>
      </c>
      <c r="U128" s="2130">
        <v>0.28000000000000003</v>
      </c>
      <c r="V128" s="2130">
        <v>0.38</v>
      </c>
      <c r="W128" s="2130">
        <v>0.48</v>
      </c>
      <c r="X128" s="2130">
        <v>0.61</v>
      </c>
      <c r="Y128" s="2130">
        <v>0.73</v>
      </c>
      <c r="Z128" s="2130">
        <v>0.79</v>
      </c>
      <c r="AA128" s="2130"/>
      <c r="AB128" s="2130"/>
      <c r="AC128" s="2130"/>
      <c r="AD128" s="101"/>
      <c r="AE128" s="6"/>
      <c r="AF128" s="11"/>
      <c r="AG128" s="41">
        <f t="shared" si="33"/>
        <v>0</v>
      </c>
      <c r="AH128" s="41">
        <f>IF(ISERROR(HLOOKUP(AH$91,'Improved Sales Adjustments 1'!$G$7:$WV$147,68,FALSE)),0,IF(HLOOKUP(AH$91,'Improved Sales Adjustments 1'!$G$7:$WV$147,68,FALSE)="",0,IF($S128=HLOOKUP(AH$91,'Improved Sales Adjustments 1'!$G$7:$WV$147,68,FALSE),1,0)))</f>
        <v>0</v>
      </c>
      <c r="AI128" s="41">
        <f>IF(ISERROR(HLOOKUP(AI$91,'Improved Sales Adjustments 1'!$G$7:$WV$147,68,FALSE)),0,IF(HLOOKUP(AI$91,'Improved Sales Adjustments 1'!$G$7:$WV$147,68,FALSE)="",0,IF($S128=HLOOKUP(AI$91,'Improved Sales Adjustments 1'!$G$7:$WV$147,68,FALSE),1,0)))</f>
        <v>0</v>
      </c>
      <c r="AJ128" s="41">
        <f>IF(ISERROR(HLOOKUP(AJ$91,'Improved Sales Adjustments 1'!$G$7:$WV$147,68,FALSE)),0,IF(HLOOKUP(AJ$91,'Improved Sales Adjustments 1'!$G$7:$WV$147,68,FALSE)="",0,IF($S128=HLOOKUP(AJ$91,'Improved Sales Adjustments 1'!$G$7:$WV$147,68,FALSE),1,0)))</f>
        <v>0</v>
      </c>
      <c r="AK128" s="41">
        <f>IF(ISERROR(HLOOKUP(AK$91,'Improved Sales Adjustments 1'!$G$7:$WV$147,68,FALSE)),0,IF(HLOOKUP(AK$91,'Improved Sales Adjustments 1'!$G$7:$WV$147,68,FALSE)="",0,IF($S128=HLOOKUP(AK$91,'Improved Sales Adjustments 1'!$G$7:$WV$147,68,FALSE),1,0)))</f>
        <v>0</v>
      </c>
      <c r="AL128" s="41">
        <f>IF(ISERROR(HLOOKUP(AL$91,'Improved Sales Adjustments 1'!$G$7:$WV$147,68,FALSE)),0,IF(HLOOKUP(AL$91,'Improved Sales Adjustments 1'!$G$7:$WV$147,68,FALSE)="",0,IF($S128=HLOOKUP(AL$91,'Improved Sales Adjustments 1'!$G$7:$WV$147,68,FALSE),1,0)))</f>
        <v>0</v>
      </c>
      <c r="AM128" s="41">
        <f>IF(ISERROR(HLOOKUP(AM$91,'Improved Sales Adjustments 1'!$G$7:$WV$147,68,FALSE)),0,IF(HLOOKUP(AM$91,'Improved Sales Adjustments 1'!$G$7:$WV$147,68,FALSE)="",0,IF($S128=HLOOKUP(AM$91,'Improved Sales Adjustments 1'!$G$7:$WV$147,68,FALSE),1,0)))</f>
        <v>0</v>
      </c>
      <c r="AN128" s="41">
        <f>IF(ISERROR(HLOOKUP(AN$91,'Improved Sales Adjustments 1'!$G$7:$WV$147,68,FALSE)),0,IF(HLOOKUP(AN$91,'Improved Sales Adjustments 1'!$G$7:$WV$147,68,FALSE)="",0,IF($S128=HLOOKUP(AN$91,'Improved Sales Adjustments 1'!$G$7:$WV$147,68,FALSE),1,0)))</f>
        <v>0</v>
      </c>
      <c r="AO128" s="41">
        <f>IF(ISERROR(HLOOKUP(AO$91,'Improved Sales Adjustments 1'!$G$7:$WV$147,68,FALSE)),0,IF(HLOOKUP(AO$91,'Improved Sales Adjustments 1'!$G$7:$WV$147,68,FALSE)="",0,IF($S128=HLOOKUP(AO$91,'Improved Sales Adjustments 1'!$G$7:$WV$147,68,FALSE),1,0)))</f>
        <v>0</v>
      </c>
      <c r="AP128" s="41">
        <f>IF(ISERROR(HLOOKUP(AP$91,'Improved Sales Adjustments 1'!$G$7:$WV$147,68,FALSE)),0,IF(HLOOKUP(AP$91,'Improved Sales Adjustments 1'!$G$7:$WV$147,68,FALSE)="",0,IF($S128=HLOOKUP(AP$91,'Improved Sales Adjustments 1'!$G$7:$WV$147,68,FALSE),1,0)))</f>
        <v>0</v>
      </c>
      <c r="AQ128" s="41">
        <f>IF(ISERROR(HLOOKUP(AQ$91,'Improved Sales Adjustments 1'!$G$7:$WV$147,68,FALSE)),0,IF(HLOOKUP(AQ$91,'Improved Sales Adjustments 1'!$G$7:$WV$147,68,FALSE)="",0,IF($S128=HLOOKUP(AQ$91,'Improved Sales Adjustments 1'!$G$7:$WV$147,68,FALSE),1,0)))</f>
        <v>0</v>
      </c>
      <c r="AR128" s="41">
        <f>SUM($AG128:AG128)</f>
        <v>0</v>
      </c>
      <c r="AS128" s="41">
        <f>SUM($AG128:AH128)</f>
        <v>0</v>
      </c>
      <c r="AT128" s="41">
        <f>SUM($AG128:AI128)</f>
        <v>0</v>
      </c>
      <c r="AU128" s="41">
        <f>SUM($AG128:AJ128)</f>
        <v>0</v>
      </c>
      <c r="AV128" s="41">
        <f>SUM($AG128:AK128)</f>
        <v>0</v>
      </c>
      <c r="AW128" s="41">
        <f>SUM($AG128:AL128)</f>
        <v>0</v>
      </c>
      <c r="AX128" s="41">
        <f>SUM($AG128:AM128)</f>
        <v>0</v>
      </c>
      <c r="AY128" s="41">
        <f>SUM($AG128:AN128)</f>
        <v>0</v>
      </c>
      <c r="AZ128" s="41">
        <f>SUM($AG128:AO128)</f>
        <v>0</v>
      </c>
      <c r="BA128" s="41">
        <f>SUM($AG128:AP128)</f>
        <v>0</v>
      </c>
      <c r="BB128" s="41">
        <f>SUM($AG128:AQ128)</f>
        <v>0</v>
      </c>
      <c r="BC128" s="41" t="str">
        <f t="shared" si="29"/>
        <v/>
      </c>
      <c r="BD128" s="41" t="str">
        <f t="shared" si="29"/>
        <v/>
      </c>
      <c r="BE128" s="41" t="str">
        <f t="shared" si="29"/>
        <v/>
      </c>
      <c r="BF128" s="41" t="str">
        <f t="shared" si="29"/>
        <v/>
      </c>
      <c r="BG128" s="41" t="str">
        <f t="shared" si="29"/>
        <v/>
      </c>
      <c r="BH128" s="41" t="str">
        <f t="shared" si="29"/>
        <v/>
      </c>
      <c r="BI128" s="41" t="str">
        <f t="shared" si="29"/>
        <v/>
      </c>
      <c r="BJ128" s="41" t="str">
        <f t="shared" si="29"/>
        <v/>
      </c>
      <c r="BK128" s="41" t="str">
        <f t="shared" si="29"/>
        <v/>
      </c>
      <c r="BL128" s="41" t="str">
        <f t="shared" si="29"/>
        <v/>
      </c>
      <c r="BM128" s="41" t="str">
        <f t="shared" si="29"/>
        <v/>
      </c>
    </row>
    <row r="129" spans="1:65" ht="15" customHeight="1" x14ac:dyDescent="0.25">
      <c r="A129" s="957">
        <f t="shared" si="32"/>
        <v>0</v>
      </c>
      <c r="B129" s="10"/>
      <c r="C129" s="10"/>
      <c r="D129" s="13"/>
      <c r="E129" s="10"/>
      <c r="F129" s="10"/>
      <c r="G129" s="10"/>
      <c r="H129" s="10"/>
      <c r="I129" s="10"/>
      <c r="J129" s="10"/>
      <c r="K129" s="10"/>
      <c r="L129" s="10"/>
      <c r="M129" s="10"/>
      <c r="N129" s="10"/>
      <c r="O129" s="10"/>
      <c r="P129" s="4"/>
      <c r="Q129" s="1204"/>
      <c r="R129" s="101" t="str">
        <f t="shared" si="28"/>
        <v/>
      </c>
      <c r="S129" s="137">
        <f t="shared" si="30"/>
        <v>37</v>
      </c>
      <c r="T129" s="2129">
        <v>0.18</v>
      </c>
      <c r="U129" s="2130">
        <f t="shared" ref="U129:Z129" si="36">(U130+U128)/2</f>
        <v>0.30000000000000004</v>
      </c>
      <c r="V129" s="2130">
        <f t="shared" si="36"/>
        <v>0.4</v>
      </c>
      <c r="W129" s="2130">
        <f t="shared" si="36"/>
        <v>0.505</v>
      </c>
      <c r="X129" s="2130">
        <f t="shared" si="36"/>
        <v>0.64</v>
      </c>
      <c r="Y129" s="2130">
        <f t="shared" si="36"/>
        <v>0.75</v>
      </c>
      <c r="Z129" s="2130">
        <f t="shared" si="36"/>
        <v>0.79500000000000004</v>
      </c>
      <c r="AA129" s="2130"/>
      <c r="AB129" s="2130"/>
      <c r="AC129" s="2130"/>
      <c r="AD129" s="101"/>
      <c r="AE129" s="6"/>
      <c r="AF129" s="11"/>
      <c r="AG129" s="41">
        <f t="shared" si="33"/>
        <v>0</v>
      </c>
      <c r="AH129" s="41">
        <f>IF(ISERROR(HLOOKUP(AH$91,'Improved Sales Adjustments 1'!$G$7:$WV$147,68,FALSE)),0,IF(HLOOKUP(AH$91,'Improved Sales Adjustments 1'!$G$7:$WV$147,68,FALSE)="",0,IF($S129=HLOOKUP(AH$91,'Improved Sales Adjustments 1'!$G$7:$WV$147,68,FALSE),1,0)))</f>
        <v>0</v>
      </c>
      <c r="AI129" s="41">
        <f>IF(ISERROR(HLOOKUP(AI$91,'Improved Sales Adjustments 1'!$G$7:$WV$147,68,FALSE)),0,IF(HLOOKUP(AI$91,'Improved Sales Adjustments 1'!$G$7:$WV$147,68,FALSE)="",0,IF($S129=HLOOKUP(AI$91,'Improved Sales Adjustments 1'!$G$7:$WV$147,68,FALSE),1,0)))</f>
        <v>0</v>
      </c>
      <c r="AJ129" s="41">
        <f>IF(ISERROR(HLOOKUP(AJ$91,'Improved Sales Adjustments 1'!$G$7:$WV$147,68,FALSE)),0,IF(HLOOKUP(AJ$91,'Improved Sales Adjustments 1'!$G$7:$WV$147,68,FALSE)="",0,IF($S129=HLOOKUP(AJ$91,'Improved Sales Adjustments 1'!$G$7:$WV$147,68,FALSE),1,0)))</f>
        <v>0</v>
      </c>
      <c r="AK129" s="41">
        <f>IF(ISERROR(HLOOKUP(AK$91,'Improved Sales Adjustments 1'!$G$7:$WV$147,68,FALSE)),0,IF(HLOOKUP(AK$91,'Improved Sales Adjustments 1'!$G$7:$WV$147,68,FALSE)="",0,IF($S129=HLOOKUP(AK$91,'Improved Sales Adjustments 1'!$G$7:$WV$147,68,FALSE),1,0)))</f>
        <v>0</v>
      </c>
      <c r="AL129" s="41">
        <f>IF(ISERROR(HLOOKUP(AL$91,'Improved Sales Adjustments 1'!$G$7:$WV$147,68,FALSE)),0,IF(HLOOKUP(AL$91,'Improved Sales Adjustments 1'!$G$7:$WV$147,68,FALSE)="",0,IF($S129=HLOOKUP(AL$91,'Improved Sales Adjustments 1'!$G$7:$WV$147,68,FALSE),1,0)))</f>
        <v>0</v>
      </c>
      <c r="AM129" s="41">
        <f>IF(ISERROR(HLOOKUP(AM$91,'Improved Sales Adjustments 1'!$G$7:$WV$147,68,FALSE)),0,IF(HLOOKUP(AM$91,'Improved Sales Adjustments 1'!$G$7:$WV$147,68,FALSE)="",0,IF($S129=HLOOKUP(AM$91,'Improved Sales Adjustments 1'!$G$7:$WV$147,68,FALSE),1,0)))</f>
        <v>0</v>
      </c>
      <c r="AN129" s="41">
        <f>IF(ISERROR(HLOOKUP(AN$91,'Improved Sales Adjustments 1'!$G$7:$WV$147,68,FALSE)),0,IF(HLOOKUP(AN$91,'Improved Sales Adjustments 1'!$G$7:$WV$147,68,FALSE)="",0,IF($S129=HLOOKUP(AN$91,'Improved Sales Adjustments 1'!$G$7:$WV$147,68,FALSE),1,0)))</f>
        <v>0</v>
      </c>
      <c r="AO129" s="41">
        <f>IF(ISERROR(HLOOKUP(AO$91,'Improved Sales Adjustments 1'!$G$7:$WV$147,68,FALSE)),0,IF(HLOOKUP(AO$91,'Improved Sales Adjustments 1'!$G$7:$WV$147,68,FALSE)="",0,IF($S129=HLOOKUP(AO$91,'Improved Sales Adjustments 1'!$G$7:$WV$147,68,FALSE),1,0)))</f>
        <v>0</v>
      </c>
      <c r="AP129" s="41">
        <f>IF(ISERROR(HLOOKUP(AP$91,'Improved Sales Adjustments 1'!$G$7:$WV$147,68,FALSE)),0,IF(HLOOKUP(AP$91,'Improved Sales Adjustments 1'!$G$7:$WV$147,68,FALSE)="",0,IF($S129=HLOOKUP(AP$91,'Improved Sales Adjustments 1'!$G$7:$WV$147,68,FALSE),1,0)))</f>
        <v>0</v>
      </c>
      <c r="AQ129" s="41">
        <f>IF(ISERROR(HLOOKUP(AQ$91,'Improved Sales Adjustments 1'!$G$7:$WV$147,68,FALSE)),0,IF(HLOOKUP(AQ$91,'Improved Sales Adjustments 1'!$G$7:$WV$147,68,FALSE)="",0,IF($S129=HLOOKUP(AQ$91,'Improved Sales Adjustments 1'!$G$7:$WV$147,68,FALSE),1,0)))</f>
        <v>0</v>
      </c>
      <c r="AR129" s="41">
        <f>SUM($AG129:AG129)</f>
        <v>0</v>
      </c>
      <c r="AS129" s="41">
        <f>SUM($AG129:AH129)</f>
        <v>0</v>
      </c>
      <c r="AT129" s="41">
        <f>SUM($AG129:AI129)</f>
        <v>0</v>
      </c>
      <c r="AU129" s="41">
        <f>SUM($AG129:AJ129)</f>
        <v>0</v>
      </c>
      <c r="AV129" s="41">
        <f>SUM($AG129:AK129)</f>
        <v>0</v>
      </c>
      <c r="AW129" s="41">
        <f>SUM($AG129:AL129)</f>
        <v>0</v>
      </c>
      <c r="AX129" s="41">
        <f>SUM($AG129:AM129)</f>
        <v>0</v>
      </c>
      <c r="AY129" s="41">
        <f>SUM($AG129:AN129)</f>
        <v>0</v>
      </c>
      <c r="AZ129" s="41">
        <f>SUM($AG129:AO129)</f>
        <v>0</v>
      </c>
      <c r="BA129" s="41">
        <f>SUM($AG129:AP129)</f>
        <v>0</v>
      </c>
      <c r="BB129" s="41">
        <f>SUM($AG129:AQ129)</f>
        <v>0</v>
      </c>
      <c r="BC129" s="41" t="str">
        <f t="shared" si="29"/>
        <v/>
      </c>
      <c r="BD129" s="41" t="str">
        <f t="shared" si="29"/>
        <v/>
      </c>
      <c r="BE129" s="41" t="str">
        <f t="shared" si="29"/>
        <v/>
      </c>
      <c r="BF129" s="41" t="str">
        <f t="shared" si="29"/>
        <v/>
      </c>
      <c r="BG129" s="41" t="str">
        <f t="shared" si="29"/>
        <v/>
      </c>
      <c r="BH129" s="41" t="str">
        <f t="shared" si="29"/>
        <v/>
      </c>
      <c r="BI129" s="41" t="str">
        <f t="shared" si="29"/>
        <v/>
      </c>
      <c r="BJ129" s="41" t="str">
        <f t="shared" si="29"/>
        <v/>
      </c>
      <c r="BK129" s="41" t="str">
        <f t="shared" si="29"/>
        <v/>
      </c>
      <c r="BL129" s="41" t="str">
        <f t="shared" ref="BL129:BM172" si="37">IF(AP129=1,IF(AND(BA129=$BB129,$BB129&gt;1),IF($BB129&lt;3,CONCATENATE(" and ",BL$90),CONCATENATE("and ",BL$90)),IF($BB129&lt;3,BL$90,CONCATENATE(BL$90,", "))),"")</f>
        <v/>
      </c>
      <c r="BM129" s="41" t="str">
        <f t="shared" si="37"/>
        <v/>
      </c>
    </row>
    <row r="130" spans="1:65" ht="15" customHeight="1" x14ac:dyDescent="0.25">
      <c r="A130" s="957">
        <f t="shared" si="32"/>
        <v>0</v>
      </c>
      <c r="B130" s="10"/>
      <c r="C130" s="10"/>
      <c r="D130" s="13"/>
      <c r="E130" s="10"/>
      <c r="F130" s="10"/>
      <c r="G130" s="10"/>
      <c r="H130" s="10"/>
      <c r="I130" s="10"/>
      <c r="J130" s="10"/>
      <c r="K130" s="10"/>
      <c r="L130" s="10"/>
      <c r="M130" s="10"/>
      <c r="N130" s="10"/>
      <c r="O130" s="10"/>
      <c r="P130" s="4"/>
      <c r="Q130" s="1204"/>
      <c r="R130" s="101" t="str">
        <f t="shared" si="28"/>
        <v/>
      </c>
      <c r="S130" s="137">
        <f t="shared" si="30"/>
        <v>38</v>
      </c>
      <c r="T130" s="2129">
        <v>0.19</v>
      </c>
      <c r="U130" s="2130">
        <v>0.32</v>
      </c>
      <c r="V130" s="2130">
        <v>0.42</v>
      </c>
      <c r="W130" s="2130">
        <v>0.53</v>
      </c>
      <c r="X130" s="2130">
        <v>0.67</v>
      </c>
      <c r="Y130" s="2130">
        <v>0.77</v>
      </c>
      <c r="Z130" s="2130">
        <v>0.8</v>
      </c>
      <c r="AA130" s="2130"/>
      <c r="AB130" s="2130"/>
      <c r="AC130" s="2130"/>
      <c r="AD130" s="101"/>
      <c r="AE130" s="6"/>
      <c r="AF130" s="11"/>
      <c r="AG130" s="41">
        <f t="shared" si="33"/>
        <v>0</v>
      </c>
      <c r="AH130" s="41">
        <f>IF(ISERROR(HLOOKUP(AH$91,'Improved Sales Adjustments 1'!$G$7:$WV$147,68,FALSE)),0,IF(HLOOKUP(AH$91,'Improved Sales Adjustments 1'!$G$7:$WV$147,68,FALSE)="",0,IF($S130=HLOOKUP(AH$91,'Improved Sales Adjustments 1'!$G$7:$WV$147,68,FALSE),1,0)))</f>
        <v>0</v>
      </c>
      <c r="AI130" s="41">
        <f>IF(ISERROR(HLOOKUP(AI$91,'Improved Sales Adjustments 1'!$G$7:$WV$147,68,FALSE)),0,IF(HLOOKUP(AI$91,'Improved Sales Adjustments 1'!$G$7:$WV$147,68,FALSE)="",0,IF($S130=HLOOKUP(AI$91,'Improved Sales Adjustments 1'!$G$7:$WV$147,68,FALSE),1,0)))</f>
        <v>0</v>
      </c>
      <c r="AJ130" s="41">
        <f>IF(ISERROR(HLOOKUP(AJ$91,'Improved Sales Adjustments 1'!$G$7:$WV$147,68,FALSE)),0,IF(HLOOKUP(AJ$91,'Improved Sales Adjustments 1'!$G$7:$WV$147,68,FALSE)="",0,IF($S130=HLOOKUP(AJ$91,'Improved Sales Adjustments 1'!$G$7:$WV$147,68,FALSE),1,0)))</f>
        <v>0</v>
      </c>
      <c r="AK130" s="41">
        <f>IF(ISERROR(HLOOKUP(AK$91,'Improved Sales Adjustments 1'!$G$7:$WV$147,68,FALSE)),0,IF(HLOOKUP(AK$91,'Improved Sales Adjustments 1'!$G$7:$WV$147,68,FALSE)="",0,IF($S130=HLOOKUP(AK$91,'Improved Sales Adjustments 1'!$G$7:$WV$147,68,FALSE),1,0)))</f>
        <v>0</v>
      </c>
      <c r="AL130" s="41">
        <f>IF(ISERROR(HLOOKUP(AL$91,'Improved Sales Adjustments 1'!$G$7:$WV$147,68,FALSE)),0,IF(HLOOKUP(AL$91,'Improved Sales Adjustments 1'!$G$7:$WV$147,68,FALSE)="",0,IF($S130=HLOOKUP(AL$91,'Improved Sales Adjustments 1'!$G$7:$WV$147,68,FALSE),1,0)))</f>
        <v>0</v>
      </c>
      <c r="AM130" s="41">
        <f>IF(ISERROR(HLOOKUP(AM$91,'Improved Sales Adjustments 1'!$G$7:$WV$147,68,FALSE)),0,IF(HLOOKUP(AM$91,'Improved Sales Adjustments 1'!$G$7:$WV$147,68,FALSE)="",0,IF($S130=HLOOKUP(AM$91,'Improved Sales Adjustments 1'!$G$7:$WV$147,68,FALSE),1,0)))</f>
        <v>0</v>
      </c>
      <c r="AN130" s="41">
        <f>IF(ISERROR(HLOOKUP(AN$91,'Improved Sales Adjustments 1'!$G$7:$WV$147,68,FALSE)),0,IF(HLOOKUP(AN$91,'Improved Sales Adjustments 1'!$G$7:$WV$147,68,FALSE)="",0,IF($S130=HLOOKUP(AN$91,'Improved Sales Adjustments 1'!$G$7:$WV$147,68,FALSE),1,0)))</f>
        <v>0</v>
      </c>
      <c r="AO130" s="41">
        <f>IF(ISERROR(HLOOKUP(AO$91,'Improved Sales Adjustments 1'!$G$7:$WV$147,68,FALSE)),0,IF(HLOOKUP(AO$91,'Improved Sales Adjustments 1'!$G$7:$WV$147,68,FALSE)="",0,IF($S130=HLOOKUP(AO$91,'Improved Sales Adjustments 1'!$G$7:$WV$147,68,FALSE),1,0)))</f>
        <v>0</v>
      </c>
      <c r="AP130" s="41">
        <f>IF(ISERROR(HLOOKUP(AP$91,'Improved Sales Adjustments 1'!$G$7:$WV$147,68,FALSE)),0,IF(HLOOKUP(AP$91,'Improved Sales Adjustments 1'!$G$7:$WV$147,68,FALSE)="",0,IF($S130=HLOOKUP(AP$91,'Improved Sales Adjustments 1'!$G$7:$WV$147,68,FALSE),1,0)))</f>
        <v>0</v>
      </c>
      <c r="AQ130" s="41">
        <f>IF(ISERROR(HLOOKUP(AQ$91,'Improved Sales Adjustments 1'!$G$7:$WV$147,68,FALSE)),0,IF(HLOOKUP(AQ$91,'Improved Sales Adjustments 1'!$G$7:$WV$147,68,FALSE)="",0,IF($S130=HLOOKUP(AQ$91,'Improved Sales Adjustments 1'!$G$7:$WV$147,68,FALSE),1,0)))</f>
        <v>0</v>
      </c>
      <c r="AR130" s="41">
        <f>SUM($AG130:AG130)</f>
        <v>0</v>
      </c>
      <c r="AS130" s="41">
        <f>SUM($AG130:AH130)</f>
        <v>0</v>
      </c>
      <c r="AT130" s="41">
        <f>SUM($AG130:AI130)</f>
        <v>0</v>
      </c>
      <c r="AU130" s="41">
        <f>SUM($AG130:AJ130)</f>
        <v>0</v>
      </c>
      <c r="AV130" s="41">
        <f>SUM($AG130:AK130)</f>
        <v>0</v>
      </c>
      <c r="AW130" s="41">
        <f>SUM($AG130:AL130)</f>
        <v>0</v>
      </c>
      <c r="AX130" s="41">
        <f>SUM($AG130:AM130)</f>
        <v>0</v>
      </c>
      <c r="AY130" s="41">
        <f>SUM($AG130:AN130)</f>
        <v>0</v>
      </c>
      <c r="AZ130" s="41">
        <f>SUM($AG130:AO130)</f>
        <v>0</v>
      </c>
      <c r="BA130" s="41">
        <f>SUM($AG130:AP130)</f>
        <v>0</v>
      </c>
      <c r="BB130" s="41">
        <f>SUM($AG130:AQ130)</f>
        <v>0</v>
      </c>
      <c r="BC130" s="41" t="str">
        <f t="shared" ref="BC130:BK158" si="38">IF(AG130=1,IF(AND(AR130=$BB130,$BB130&gt;1),IF($BB130&lt;3,CONCATENATE(" and ",BC$90),CONCATENATE("and ",BC$90)),IF($BB130&lt;3,BC$90,CONCATENATE(BC$90,", "))),"")</f>
        <v/>
      </c>
      <c r="BD130" s="41" t="str">
        <f t="shared" si="38"/>
        <v/>
      </c>
      <c r="BE130" s="41" t="str">
        <f t="shared" si="38"/>
        <v/>
      </c>
      <c r="BF130" s="41" t="str">
        <f t="shared" si="38"/>
        <v/>
      </c>
      <c r="BG130" s="41" t="str">
        <f t="shared" si="38"/>
        <v/>
      </c>
      <c r="BH130" s="41" t="str">
        <f t="shared" si="38"/>
        <v/>
      </c>
      <c r="BI130" s="41" t="str">
        <f t="shared" si="38"/>
        <v/>
      </c>
      <c r="BJ130" s="41" t="str">
        <f t="shared" si="38"/>
        <v/>
      </c>
      <c r="BK130" s="41" t="str">
        <f t="shared" si="38"/>
        <v/>
      </c>
      <c r="BL130" s="41" t="str">
        <f t="shared" si="37"/>
        <v/>
      </c>
      <c r="BM130" s="41" t="str">
        <f t="shared" si="37"/>
        <v/>
      </c>
    </row>
    <row r="131" spans="1:65" ht="15" customHeight="1" x14ac:dyDescent="0.25">
      <c r="A131" s="957">
        <f t="shared" si="32"/>
        <v>0</v>
      </c>
      <c r="B131" s="10"/>
      <c r="C131" s="10"/>
      <c r="D131" s="13"/>
      <c r="E131" s="10"/>
      <c r="F131" s="10"/>
      <c r="G131" s="10"/>
      <c r="H131" s="10"/>
      <c r="I131" s="10"/>
      <c r="J131" s="10"/>
      <c r="K131" s="10"/>
      <c r="L131" s="10"/>
      <c r="M131" s="10"/>
      <c r="N131" s="10"/>
      <c r="O131" s="10"/>
      <c r="P131" s="4"/>
      <c r="Q131" s="1204"/>
      <c r="R131" s="101" t="str">
        <f t="shared" si="28"/>
        <v/>
      </c>
      <c r="S131" s="137">
        <f t="shared" si="30"/>
        <v>39</v>
      </c>
      <c r="T131" s="2129">
        <v>0.2</v>
      </c>
      <c r="U131" s="2130">
        <f>(U132+U130)/2</f>
        <v>0.33499999999999996</v>
      </c>
      <c r="V131" s="2130">
        <f>(V132+V130)/2</f>
        <v>0.44</v>
      </c>
      <c r="W131" s="2130">
        <f>(W132+W130)/2</f>
        <v>0.56000000000000005</v>
      </c>
      <c r="X131" s="2130">
        <f>(X132+X130)/2</f>
        <v>0.69500000000000006</v>
      </c>
      <c r="Y131" s="2130">
        <f>(Y132+Y130)/2</f>
        <v>0.78</v>
      </c>
      <c r="Z131" s="2130"/>
      <c r="AA131" s="2130"/>
      <c r="AB131" s="2130"/>
      <c r="AC131" s="2130"/>
      <c r="AD131" s="101"/>
      <c r="AE131" s="6"/>
      <c r="AF131" s="11"/>
      <c r="AG131" s="41">
        <f t="shared" si="33"/>
        <v>0</v>
      </c>
      <c r="AH131" s="41">
        <f>IF(ISERROR(HLOOKUP(AH$91,'Improved Sales Adjustments 1'!$G$7:$WV$147,68,FALSE)),0,IF(HLOOKUP(AH$91,'Improved Sales Adjustments 1'!$G$7:$WV$147,68,FALSE)="",0,IF($S131=HLOOKUP(AH$91,'Improved Sales Adjustments 1'!$G$7:$WV$147,68,FALSE),1,0)))</f>
        <v>0</v>
      </c>
      <c r="AI131" s="41">
        <f>IF(ISERROR(HLOOKUP(AI$91,'Improved Sales Adjustments 1'!$G$7:$WV$147,68,FALSE)),0,IF(HLOOKUP(AI$91,'Improved Sales Adjustments 1'!$G$7:$WV$147,68,FALSE)="",0,IF($S131=HLOOKUP(AI$91,'Improved Sales Adjustments 1'!$G$7:$WV$147,68,FALSE),1,0)))</f>
        <v>0</v>
      </c>
      <c r="AJ131" s="41">
        <f>IF(ISERROR(HLOOKUP(AJ$91,'Improved Sales Adjustments 1'!$G$7:$WV$147,68,FALSE)),0,IF(HLOOKUP(AJ$91,'Improved Sales Adjustments 1'!$G$7:$WV$147,68,FALSE)="",0,IF($S131=HLOOKUP(AJ$91,'Improved Sales Adjustments 1'!$G$7:$WV$147,68,FALSE),1,0)))</f>
        <v>0</v>
      </c>
      <c r="AK131" s="41">
        <f>IF(ISERROR(HLOOKUP(AK$91,'Improved Sales Adjustments 1'!$G$7:$WV$147,68,FALSE)),0,IF(HLOOKUP(AK$91,'Improved Sales Adjustments 1'!$G$7:$WV$147,68,FALSE)="",0,IF($S131=HLOOKUP(AK$91,'Improved Sales Adjustments 1'!$G$7:$WV$147,68,FALSE),1,0)))</f>
        <v>0</v>
      </c>
      <c r="AL131" s="41">
        <f>IF(ISERROR(HLOOKUP(AL$91,'Improved Sales Adjustments 1'!$G$7:$WV$147,68,FALSE)),0,IF(HLOOKUP(AL$91,'Improved Sales Adjustments 1'!$G$7:$WV$147,68,FALSE)="",0,IF($S131=HLOOKUP(AL$91,'Improved Sales Adjustments 1'!$G$7:$WV$147,68,FALSE),1,0)))</f>
        <v>0</v>
      </c>
      <c r="AM131" s="41">
        <f>IF(ISERROR(HLOOKUP(AM$91,'Improved Sales Adjustments 1'!$G$7:$WV$147,68,FALSE)),0,IF(HLOOKUP(AM$91,'Improved Sales Adjustments 1'!$G$7:$WV$147,68,FALSE)="",0,IF($S131=HLOOKUP(AM$91,'Improved Sales Adjustments 1'!$G$7:$WV$147,68,FALSE),1,0)))</f>
        <v>0</v>
      </c>
      <c r="AN131" s="41">
        <f>IF(ISERROR(HLOOKUP(AN$91,'Improved Sales Adjustments 1'!$G$7:$WV$147,68,FALSE)),0,IF(HLOOKUP(AN$91,'Improved Sales Adjustments 1'!$G$7:$WV$147,68,FALSE)="",0,IF($S131=HLOOKUP(AN$91,'Improved Sales Adjustments 1'!$G$7:$WV$147,68,FALSE),1,0)))</f>
        <v>0</v>
      </c>
      <c r="AO131" s="41">
        <f>IF(ISERROR(HLOOKUP(AO$91,'Improved Sales Adjustments 1'!$G$7:$WV$147,68,FALSE)),0,IF(HLOOKUP(AO$91,'Improved Sales Adjustments 1'!$G$7:$WV$147,68,FALSE)="",0,IF($S131=HLOOKUP(AO$91,'Improved Sales Adjustments 1'!$G$7:$WV$147,68,FALSE),1,0)))</f>
        <v>0</v>
      </c>
      <c r="AP131" s="41">
        <f>IF(ISERROR(HLOOKUP(AP$91,'Improved Sales Adjustments 1'!$G$7:$WV$147,68,FALSE)),0,IF(HLOOKUP(AP$91,'Improved Sales Adjustments 1'!$G$7:$WV$147,68,FALSE)="",0,IF($S131=HLOOKUP(AP$91,'Improved Sales Adjustments 1'!$G$7:$WV$147,68,FALSE),1,0)))</f>
        <v>0</v>
      </c>
      <c r="AQ131" s="41">
        <f>IF(ISERROR(HLOOKUP(AQ$91,'Improved Sales Adjustments 1'!$G$7:$WV$147,68,FALSE)),0,IF(HLOOKUP(AQ$91,'Improved Sales Adjustments 1'!$G$7:$WV$147,68,FALSE)="",0,IF($S131=HLOOKUP(AQ$91,'Improved Sales Adjustments 1'!$G$7:$WV$147,68,FALSE),1,0)))</f>
        <v>0</v>
      </c>
      <c r="AR131" s="41">
        <f>SUM($AG131:AG131)</f>
        <v>0</v>
      </c>
      <c r="AS131" s="41">
        <f>SUM($AG131:AH131)</f>
        <v>0</v>
      </c>
      <c r="AT131" s="41">
        <f>SUM($AG131:AI131)</f>
        <v>0</v>
      </c>
      <c r="AU131" s="41">
        <f>SUM($AG131:AJ131)</f>
        <v>0</v>
      </c>
      <c r="AV131" s="41">
        <f>SUM($AG131:AK131)</f>
        <v>0</v>
      </c>
      <c r="AW131" s="41">
        <f>SUM($AG131:AL131)</f>
        <v>0</v>
      </c>
      <c r="AX131" s="41">
        <f>SUM($AG131:AM131)</f>
        <v>0</v>
      </c>
      <c r="AY131" s="41">
        <f>SUM($AG131:AN131)</f>
        <v>0</v>
      </c>
      <c r="AZ131" s="41">
        <f>SUM($AG131:AO131)</f>
        <v>0</v>
      </c>
      <c r="BA131" s="41">
        <f>SUM($AG131:AP131)</f>
        <v>0</v>
      </c>
      <c r="BB131" s="41">
        <f>SUM($AG131:AQ131)</f>
        <v>0</v>
      </c>
      <c r="BC131" s="41" t="str">
        <f t="shared" si="38"/>
        <v/>
      </c>
      <c r="BD131" s="41" t="str">
        <f t="shared" si="38"/>
        <v/>
      </c>
      <c r="BE131" s="41" t="str">
        <f t="shared" si="38"/>
        <v/>
      </c>
      <c r="BF131" s="41" t="str">
        <f t="shared" si="38"/>
        <v/>
      </c>
      <c r="BG131" s="41" t="str">
        <f t="shared" si="38"/>
        <v/>
      </c>
      <c r="BH131" s="41" t="str">
        <f t="shared" si="38"/>
        <v/>
      </c>
      <c r="BI131" s="41" t="str">
        <f t="shared" si="38"/>
        <v/>
      </c>
      <c r="BJ131" s="41" t="str">
        <f t="shared" si="38"/>
        <v/>
      </c>
      <c r="BK131" s="41" t="str">
        <f t="shared" si="38"/>
        <v/>
      </c>
      <c r="BL131" s="41" t="str">
        <f t="shared" si="37"/>
        <v/>
      </c>
      <c r="BM131" s="41" t="str">
        <f t="shared" si="37"/>
        <v/>
      </c>
    </row>
    <row r="132" spans="1:65" ht="15" customHeight="1" x14ac:dyDescent="0.25">
      <c r="A132" s="957">
        <f t="shared" si="32"/>
        <v>0</v>
      </c>
      <c r="B132" s="10"/>
      <c r="C132" s="10"/>
      <c r="D132" s="13"/>
      <c r="E132" s="10"/>
      <c r="F132" s="10"/>
      <c r="G132" s="10"/>
      <c r="H132" s="10"/>
      <c r="I132" s="10"/>
      <c r="J132" s="10"/>
      <c r="K132" s="10"/>
      <c r="L132" s="10"/>
      <c r="M132" s="10"/>
      <c r="N132" s="10"/>
      <c r="O132" s="10"/>
      <c r="P132" s="4"/>
      <c r="Q132" s="1204"/>
      <c r="R132" s="101" t="str">
        <f t="shared" si="28"/>
        <v/>
      </c>
      <c r="S132" s="137">
        <f t="shared" si="30"/>
        <v>40</v>
      </c>
      <c r="T132" s="2129">
        <v>0.21</v>
      </c>
      <c r="U132" s="2130">
        <v>0.35</v>
      </c>
      <c r="V132" s="2130">
        <v>0.46</v>
      </c>
      <c r="W132" s="2130">
        <v>0.59</v>
      </c>
      <c r="X132" s="2130">
        <v>0.72</v>
      </c>
      <c r="Y132" s="2130">
        <v>0.79</v>
      </c>
      <c r="Z132" s="2130"/>
      <c r="AA132" s="2130"/>
      <c r="AB132" s="2130"/>
      <c r="AC132" s="2130"/>
      <c r="AD132" s="101"/>
      <c r="AE132" s="6"/>
      <c r="AF132" s="11"/>
      <c r="AG132" s="41">
        <f t="shared" si="33"/>
        <v>0</v>
      </c>
      <c r="AH132" s="41">
        <f>IF(ISERROR(HLOOKUP(AH$91,'Improved Sales Adjustments 1'!$G$7:$WV$147,68,FALSE)),0,IF(HLOOKUP(AH$91,'Improved Sales Adjustments 1'!$G$7:$WV$147,68,FALSE)="",0,IF($S132=HLOOKUP(AH$91,'Improved Sales Adjustments 1'!$G$7:$WV$147,68,FALSE),1,0)))</f>
        <v>0</v>
      </c>
      <c r="AI132" s="41">
        <f>IF(ISERROR(HLOOKUP(AI$91,'Improved Sales Adjustments 1'!$G$7:$WV$147,68,FALSE)),0,IF(HLOOKUP(AI$91,'Improved Sales Adjustments 1'!$G$7:$WV$147,68,FALSE)="",0,IF($S132=HLOOKUP(AI$91,'Improved Sales Adjustments 1'!$G$7:$WV$147,68,FALSE),1,0)))</f>
        <v>0</v>
      </c>
      <c r="AJ132" s="41">
        <f>IF(ISERROR(HLOOKUP(AJ$91,'Improved Sales Adjustments 1'!$G$7:$WV$147,68,FALSE)),0,IF(HLOOKUP(AJ$91,'Improved Sales Adjustments 1'!$G$7:$WV$147,68,FALSE)="",0,IF($S132=HLOOKUP(AJ$91,'Improved Sales Adjustments 1'!$G$7:$WV$147,68,FALSE),1,0)))</f>
        <v>0</v>
      </c>
      <c r="AK132" s="41">
        <f>IF(ISERROR(HLOOKUP(AK$91,'Improved Sales Adjustments 1'!$G$7:$WV$147,68,FALSE)),0,IF(HLOOKUP(AK$91,'Improved Sales Adjustments 1'!$G$7:$WV$147,68,FALSE)="",0,IF($S132=HLOOKUP(AK$91,'Improved Sales Adjustments 1'!$G$7:$WV$147,68,FALSE),1,0)))</f>
        <v>0</v>
      </c>
      <c r="AL132" s="41">
        <f>IF(ISERROR(HLOOKUP(AL$91,'Improved Sales Adjustments 1'!$G$7:$WV$147,68,FALSE)),0,IF(HLOOKUP(AL$91,'Improved Sales Adjustments 1'!$G$7:$WV$147,68,FALSE)="",0,IF($S132=HLOOKUP(AL$91,'Improved Sales Adjustments 1'!$G$7:$WV$147,68,FALSE),1,0)))</f>
        <v>0</v>
      </c>
      <c r="AM132" s="41">
        <f>IF(ISERROR(HLOOKUP(AM$91,'Improved Sales Adjustments 1'!$G$7:$WV$147,68,FALSE)),0,IF(HLOOKUP(AM$91,'Improved Sales Adjustments 1'!$G$7:$WV$147,68,FALSE)="",0,IF($S132=HLOOKUP(AM$91,'Improved Sales Adjustments 1'!$G$7:$WV$147,68,FALSE),1,0)))</f>
        <v>0</v>
      </c>
      <c r="AN132" s="41">
        <f>IF(ISERROR(HLOOKUP(AN$91,'Improved Sales Adjustments 1'!$G$7:$WV$147,68,FALSE)),0,IF(HLOOKUP(AN$91,'Improved Sales Adjustments 1'!$G$7:$WV$147,68,FALSE)="",0,IF($S132=HLOOKUP(AN$91,'Improved Sales Adjustments 1'!$G$7:$WV$147,68,FALSE),1,0)))</f>
        <v>0</v>
      </c>
      <c r="AO132" s="41">
        <f>IF(ISERROR(HLOOKUP(AO$91,'Improved Sales Adjustments 1'!$G$7:$WV$147,68,FALSE)),0,IF(HLOOKUP(AO$91,'Improved Sales Adjustments 1'!$G$7:$WV$147,68,FALSE)="",0,IF($S132=HLOOKUP(AO$91,'Improved Sales Adjustments 1'!$G$7:$WV$147,68,FALSE),1,0)))</f>
        <v>0</v>
      </c>
      <c r="AP132" s="41">
        <f>IF(ISERROR(HLOOKUP(AP$91,'Improved Sales Adjustments 1'!$G$7:$WV$147,68,FALSE)),0,IF(HLOOKUP(AP$91,'Improved Sales Adjustments 1'!$G$7:$WV$147,68,FALSE)="",0,IF($S132=HLOOKUP(AP$91,'Improved Sales Adjustments 1'!$G$7:$WV$147,68,FALSE),1,0)))</f>
        <v>0</v>
      </c>
      <c r="AQ132" s="41">
        <f>IF(ISERROR(HLOOKUP(AQ$91,'Improved Sales Adjustments 1'!$G$7:$WV$147,68,FALSE)),0,IF(HLOOKUP(AQ$91,'Improved Sales Adjustments 1'!$G$7:$WV$147,68,FALSE)="",0,IF($S132=HLOOKUP(AQ$91,'Improved Sales Adjustments 1'!$G$7:$WV$147,68,FALSE),1,0)))</f>
        <v>0</v>
      </c>
      <c r="AR132" s="41">
        <f>SUM($AG132:AG132)</f>
        <v>0</v>
      </c>
      <c r="AS132" s="41">
        <f>SUM($AG132:AH132)</f>
        <v>0</v>
      </c>
      <c r="AT132" s="41">
        <f>SUM($AG132:AI132)</f>
        <v>0</v>
      </c>
      <c r="AU132" s="41">
        <f>SUM($AG132:AJ132)</f>
        <v>0</v>
      </c>
      <c r="AV132" s="41">
        <f>SUM($AG132:AK132)</f>
        <v>0</v>
      </c>
      <c r="AW132" s="41">
        <f>SUM($AG132:AL132)</f>
        <v>0</v>
      </c>
      <c r="AX132" s="41">
        <f>SUM($AG132:AM132)</f>
        <v>0</v>
      </c>
      <c r="AY132" s="41">
        <f>SUM($AG132:AN132)</f>
        <v>0</v>
      </c>
      <c r="AZ132" s="41">
        <f>SUM($AG132:AO132)</f>
        <v>0</v>
      </c>
      <c r="BA132" s="41">
        <f>SUM($AG132:AP132)</f>
        <v>0</v>
      </c>
      <c r="BB132" s="41">
        <f>SUM($AG132:AQ132)</f>
        <v>0</v>
      </c>
      <c r="BC132" s="41" t="str">
        <f t="shared" si="38"/>
        <v/>
      </c>
      <c r="BD132" s="41" t="str">
        <f t="shared" si="38"/>
        <v/>
      </c>
      <c r="BE132" s="41" t="str">
        <f t="shared" si="38"/>
        <v/>
      </c>
      <c r="BF132" s="41" t="str">
        <f t="shared" si="38"/>
        <v/>
      </c>
      <c r="BG132" s="41" t="str">
        <f t="shared" si="38"/>
        <v/>
      </c>
      <c r="BH132" s="41" t="str">
        <f t="shared" si="38"/>
        <v/>
      </c>
      <c r="BI132" s="41" t="str">
        <f t="shared" si="38"/>
        <v/>
      </c>
      <c r="BJ132" s="41" t="str">
        <f t="shared" si="38"/>
        <v/>
      </c>
      <c r="BK132" s="41" t="str">
        <f t="shared" si="38"/>
        <v/>
      </c>
      <c r="BL132" s="41" t="str">
        <f t="shared" si="37"/>
        <v/>
      </c>
      <c r="BM132" s="41" t="str">
        <f t="shared" si="37"/>
        <v/>
      </c>
    </row>
    <row r="133" spans="1:65" ht="15" customHeight="1" x14ac:dyDescent="0.25">
      <c r="A133" s="957">
        <f t="shared" si="32"/>
        <v>0</v>
      </c>
      <c r="B133" s="10"/>
      <c r="C133" s="10"/>
      <c r="D133" s="13"/>
      <c r="E133" s="10"/>
      <c r="F133" s="10"/>
      <c r="G133" s="10"/>
      <c r="H133" s="10"/>
      <c r="I133" s="10"/>
      <c r="J133" s="10"/>
      <c r="K133" s="10"/>
      <c r="L133" s="10"/>
      <c r="M133" s="10"/>
      <c r="N133" s="10"/>
      <c r="O133" s="10"/>
      <c r="P133" s="4"/>
      <c r="Q133" s="1204"/>
      <c r="R133" s="101" t="str">
        <f t="shared" si="28"/>
        <v/>
      </c>
      <c r="S133" s="137">
        <f t="shared" si="30"/>
        <v>41</v>
      </c>
      <c r="T133" s="2130">
        <f t="shared" ref="T133:Y133" si="39">(T134+T132)/2</f>
        <v>0.22999999999999998</v>
      </c>
      <c r="U133" s="2130">
        <f t="shared" si="39"/>
        <v>0.37</v>
      </c>
      <c r="V133" s="2130">
        <f t="shared" si="39"/>
        <v>0.48499999999999999</v>
      </c>
      <c r="W133" s="2130">
        <f t="shared" si="39"/>
        <v>0.62</v>
      </c>
      <c r="X133" s="2130">
        <f t="shared" si="39"/>
        <v>0.73499999999999999</v>
      </c>
      <c r="Y133" s="2130">
        <f t="shared" si="39"/>
        <v>0.79500000000000004</v>
      </c>
      <c r="Z133" s="2130"/>
      <c r="AA133" s="2130"/>
      <c r="AB133" s="2130"/>
      <c r="AC133" s="2130"/>
      <c r="AD133" s="101"/>
      <c r="AE133" s="6"/>
      <c r="AF133" s="11"/>
      <c r="AG133" s="41">
        <f t="shared" si="33"/>
        <v>0</v>
      </c>
      <c r="AH133" s="41">
        <f>IF(ISERROR(HLOOKUP(AH$91,'Improved Sales Adjustments 1'!$G$7:$WV$147,68,FALSE)),0,IF(HLOOKUP(AH$91,'Improved Sales Adjustments 1'!$G$7:$WV$147,68,FALSE)="",0,IF($S133=HLOOKUP(AH$91,'Improved Sales Adjustments 1'!$G$7:$WV$147,68,FALSE),1,0)))</f>
        <v>0</v>
      </c>
      <c r="AI133" s="41">
        <f>IF(ISERROR(HLOOKUP(AI$91,'Improved Sales Adjustments 1'!$G$7:$WV$147,68,FALSE)),0,IF(HLOOKUP(AI$91,'Improved Sales Adjustments 1'!$G$7:$WV$147,68,FALSE)="",0,IF($S133=HLOOKUP(AI$91,'Improved Sales Adjustments 1'!$G$7:$WV$147,68,FALSE),1,0)))</f>
        <v>0</v>
      </c>
      <c r="AJ133" s="41">
        <f>IF(ISERROR(HLOOKUP(AJ$91,'Improved Sales Adjustments 1'!$G$7:$WV$147,68,FALSE)),0,IF(HLOOKUP(AJ$91,'Improved Sales Adjustments 1'!$G$7:$WV$147,68,FALSE)="",0,IF($S133=HLOOKUP(AJ$91,'Improved Sales Adjustments 1'!$G$7:$WV$147,68,FALSE),1,0)))</f>
        <v>0</v>
      </c>
      <c r="AK133" s="41">
        <f>IF(ISERROR(HLOOKUP(AK$91,'Improved Sales Adjustments 1'!$G$7:$WV$147,68,FALSE)),0,IF(HLOOKUP(AK$91,'Improved Sales Adjustments 1'!$G$7:$WV$147,68,FALSE)="",0,IF($S133=HLOOKUP(AK$91,'Improved Sales Adjustments 1'!$G$7:$WV$147,68,FALSE),1,0)))</f>
        <v>0</v>
      </c>
      <c r="AL133" s="41">
        <f>IF(ISERROR(HLOOKUP(AL$91,'Improved Sales Adjustments 1'!$G$7:$WV$147,68,FALSE)),0,IF(HLOOKUP(AL$91,'Improved Sales Adjustments 1'!$G$7:$WV$147,68,FALSE)="",0,IF($S133=HLOOKUP(AL$91,'Improved Sales Adjustments 1'!$G$7:$WV$147,68,FALSE),1,0)))</f>
        <v>0</v>
      </c>
      <c r="AM133" s="41">
        <f>IF(ISERROR(HLOOKUP(AM$91,'Improved Sales Adjustments 1'!$G$7:$WV$147,68,FALSE)),0,IF(HLOOKUP(AM$91,'Improved Sales Adjustments 1'!$G$7:$WV$147,68,FALSE)="",0,IF($S133=HLOOKUP(AM$91,'Improved Sales Adjustments 1'!$G$7:$WV$147,68,FALSE),1,0)))</f>
        <v>0</v>
      </c>
      <c r="AN133" s="41">
        <f>IF(ISERROR(HLOOKUP(AN$91,'Improved Sales Adjustments 1'!$G$7:$WV$147,68,FALSE)),0,IF(HLOOKUP(AN$91,'Improved Sales Adjustments 1'!$G$7:$WV$147,68,FALSE)="",0,IF($S133=HLOOKUP(AN$91,'Improved Sales Adjustments 1'!$G$7:$WV$147,68,FALSE),1,0)))</f>
        <v>0</v>
      </c>
      <c r="AO133" s="41">
        <f>IF(ISERROR(HLOOKUP(AO$91,'Improved Sales Adjustments 1'!$G$7:$WV$147,68,FALSE)),0,IF(HLOOKUP(AO$91,'Improved Sales Adjustments 1'!$G$7:$WV$147,68,FALSE)="",0,IF($S133=HLOOKUP(AO$91,'Improved Sales Adjustments 1'!$G$7:$WV$147,68,FALSE),1,0)))</f>
        <v>0</v>
      </c>
      <c r="AP133" s="41">
        <f>IF(ISERROR(HLOOKUP(AP$91,'Improved Sales Adjustments 1'!$G$7:$WV$147,68,FALSE)),0,IF(HLOOKUP(AP$91,'Improved Sales Adjustments 1'!$G$7:$WV$147,68,FALSE)="",0,IF($S133=HLOOKUP(AP$91,'Improved Sales Adjustments 1'!$G$7:$WV$147,68,FALSE),1,0)))</f>
        <v>0</v>
      </c>
      <c r="AQ133" s="41">
        <f>IF(ISERROR(HLOOKUP(AQ$91,'Improved Sales Adjustments 1'!$G$7:$WV$147,68,FALSE)),0,IF(HLOOKUP(AQ$91,'Improved Sales Adjustments 1'!$G$7:$WV$147,68,FALSE)="",0,IF($S133=HLOOKUP(AQ$91,'Improved Sales Adjustments 1'!$G$7:$WV$147,68,FALSE),1,0)))</f>
        <v>0</v>
      </c>
      <c r="AR133" s="41">
        <f>SUM($AG133:AG133)</f>
        <v>0</v>
      </c>
      <c r="AS133" s="41">
        <f>SUM($AG133:AH133)</f>
        <v>0</v>
      </c>
      <c r="AT133" s="41">
        <f>SUM($AG133:AI133)</f>
        <v>0</v>
      </c>
      <c r="AU133" s="41">
        <f>SUM($AG133:AJ133)</f>
        <v>0</v>
      </c>
      <c r="AV133" s="41">
        <f>SUM($AG133:AK133)</f>
        <v>0</v>
      </c>
      <c r="AW133" s="41">
        <f>SUM($AG133:AL133)</f>
        <v>0</v>
      </c>
      <c r="AX133" s="41">
        <f>SUM($AG133:AM133)</f>
        <v>0</v>
      </c>
      <c r="AY133" s="41">
        <f>SUM($AG133:AN133)</f>
        <v>0</v>
      </c>
      <c r="AZ133" s="41">
        <f>SUM($AG133:AO133)</f>
        <v>0</v>
      </c>
      <c r="BA133" s="41">
        <f>SUM($AG133:AP133)</f>
        <v>0</v>
      </c>
      <c r="BB133" s="41">
        <f>SUM($AG133:AQ133)</f>
        <v>0</v>
      </c>
      <c r="BC133" s="41" t="str">
        <f t="shared" si="38"/>
        <v/>
      </c>
      <c r="BD133" s="41" t="str">
        <f t="shared" si="38"/>
        <v/>
      </c>
      <c r="BE133" s="41" t="str">
        <f t="shared" si="38"/>
        <v/>
      </c>
      <c r="BF133" s="41" t="str">
        <f t="shared" si="38"/>
        <v/>
      </c>
      <c r="BG133" s="41" t="str">
        <f t="shared" si="38"/>
        <v/>
      </c>
      <c r="BH133" s="41" t="str">
        <f t="shared" si="38"/>
        <v/>
      </c>
      <c r="BI133" s="41" t="str">
        <f t="shared" si="38"/>
        <v/>
      </c>
      <c r="BJ133" s="41" t="str">
        <f t="shared" si="38"/>
        <v/>
      </c>
      <c r="BK133" s="41" t="str">
        <f t="shared" si="38"/>
        <v/>
      </c>
      <c r="BL133" s="41" t="str">
        <f t="shared" si="37"/>
        <v/>
      </c>
      <c r="BM133" s="41" t="str">
        <f t="shared" si="37"/>
        <v/>
      </c>
    </row>
    <row r="134" spans="1:65" ht="15" customHeight="1" x14ac:dyDescent="0.25">
      <c r="A134" s="957">
        <f t="shared" si="32"/>
        <v>0</v>
      </c>
      <c r="B134" s="10"/>
      <c r="C134" s="10"/>
      <c r="D134" s="13"/>
      <c r="E134" s="10"/>
      <c r="F134" s="10"/>
      <c r="G134" s="10"/>
      <c r="H134" s="10"/>
      <c r="I134" s="10"/>
      <c r="J134" s="10"/>
      <c r="K134" s="10"/>
      <c r="L134" s="10"/>
      <c r="M134" s="10"/>
      <c r="N134" s="10"/>
      <c r="O134" s="10"/>
      <c r="P134" s="4"/>
      <c r="Q134" s="1204"/>
      <c r="R134" s="101" t="str">
        <f t="shared" si="28"/>
        <v/>
      </c>
      <c r="S134" s="137">
        <f t="shared" si="30"/>
        <v>42</v>
      </c>
      <c r="T134" s="2129">
        <v>0.25</v>
      </c>
      <c r="U134" s="2130">
        <v>0.39</v>
      </c>
      <c r="V134" s="2130">
        <v>0.51</v>
      </c>
      <c r="W134" s="2130">
        <v>0.65</v>
      </c>
      <c r="X134" s="2130">
        <v>0.75</v>
      </c>
      <c r="Y134" s="2130">
        <v>0.8</v>
      </c>
      <c r="Z134" s="2130"/>
      <c r="AA134" s="2130"/>
      <c r="AB134" s="2130"/>
      <c r="AC134" s="2130"/>
      <c r="AD134" s="101"/>
      <c r="AE134" s="6"/>
      <c r="AF134" s="11"/>
      <c r="AG134" s="41">
        <f t="shared" si="33"/>
        <v>0</v>
      </c>
      <c r="AH134" s="41">
        <f>IF(ISERROR(HLOOKUP(AH$91,'Improved Sales Adjustments 1'!$G$7:$WV$147,68,FALSE)),0,IF(HLOOKUP(AH$91,'Improved Sales Adjustments 1'!$G$7:$WV$147,68,FALSE)="",0,IF($S134=HLOOKUP(AH$91,'Improved Sales Adjustments 1'!$G$7:$WV$147,68,FALSE),1,0)))</f>
        <v>0</v>
      </c>
      <c r="AI134" s="41">
        <f>IF(ISERROR(HLOOKUP(AI$91,'Improved Sales Adjustments 1'!$G$7:$WV$147,68,FALSE)),0,IF(HLOOKUP(AI$91,'Improved Sales Adjustments 1'!$G$7:$WV$147,68,FALSE)="",0,IF($S134=HLOOKUP(AI$91,'Improved Sales Adjustments 1'!$G$7:$WV$147,68,FALSE),1,0)))</f>
        <v>0</v>
      </c>
      <c r="AJ134" s="41">
        <f>IF(ISERROR(HLOOKUP(AJ$91,'Improved Sales Adjustments 1'!$G$7:$WV$147,68,FALSE)),0,IF(HLOOKUP(AJ$91,'Improved Sales Adjustments 1'!$G$7:$WV$147,68,FALSE)="",0,IF($S134=HLOOKUP(AJ$91,'Improved Sales Adjustments 1'!$G$7:$WV$147,68,FALSE),1,0)))</f>
        <v>0</v>
      </c>
      <c r="AK134" s="41">
        <f>IF(ISERROR(HLOOKUP(AK$91,'Improved Sales Adjustments 1'!$G$7:$WV$147,68,FALSE)),0,IF(HLOOKUP(AK$91,'Improved Sales Adjustments 1'!$G$7:$WV$147,68,FALSE)="",0,IF($S134=HLOOKUP(AK$91,'Improved Sales Adjustments 1'!$G$7:$WV$147,68,FALSE),1,0)))</f>
        <v>0</v>
      </c>
      <c r="AL134" s="41">
        <f>IF(ISERROR(HLOOKUP(AL$91,'Improved Sales Adjustments 1'!$G$7:$WV$147,68,FALSE)),0,IF(HLOOKUP(AL$91,'Improved Sales Adjustments 1'!$G$7:$WV$147,68,FALSE)="",0,IF($S134=HLOOKUP(AL$91,'Improved Sales Adjustments 1'!$G$7:$WV$147,68,FALSE),1,0)))</f>
        <v>0</v>
      </c>
      <c r="AM134" s="41">
        <f>IF(ISERROR(HLOOKUP(AM$91,'Improved Sales Adjustments 1'!$G$7:$WV$147,68,FALSE)),0,IF(HLOOKUP(AM$91,'Improved Sales Adjustments 1'!$G$7:$WV$147,68,FALSE)="",0,IF($S134=HLOOKUP(AM$91,'Improved Sales Adjustments 1'!$G$7:$WV$147,68,FALSE),1,0)))</f>
        <v>0</v>
      </c>
      <c r="AN134" s="41">
        <f>IF(ISERROR(HLOOKUP(AN$91,'Improved Sales Adjustments 1'!$G$7:$WV$147,68,FALSE)),0,IF(HLOOKUP(AN$91,'Improved Sales Adjustments 1'!$G$7:$WV$147,68,FALSE)="",0,IF($S134=HLOOKUP(AN$91,'Improved Sales Adjustments 1'!$G$7:$WV$147,68,FALSE),1,0)))</f>
        <v>0</v>
      </c>
      <c r="AO134" s="41">
        <f>IF(ISERROR(HLOOKUP(AO$91,'Improved Sales Adjustments 1'!$G$7:$WV$147,68,FALSE)),0,IF(HLOOKUP(AO$91,'Improved Sales Adjustments 1'!$G$7:$WV$147,68,FALSE)="",0,IF($S134=HLOOKUP(AO$91,'Improved Sales Adjustments 1'!$G$7:$WV$147,68,FALSE),1,0)))</f>
        <v>0</v>
      </c>
      <c r="AP134" s="41">
        <f>IF(ISERROR(HLOOKUP(AP$91,'Improved Sales Adjustments 1'!$G$7:$WV$147,68,FALSE)),0,IF(HLOOKUP(AP$91,'Improved Sales Adjustments 1'!$G$7:$WV$147,68,FALSE)="",0,IF($S134=HLOOKUP(AP$91,'Improved Sales Adjustments 1'!$G$7:$WV$147,68,FALSE),1,0)))</f>
        <v>0</v>
      </c>
      <c r="AQ134" s="41">
        <f>IF(ISERROR(HLOOKUP(AQ$91,'Improved Sales Adjustments 1'!$G$7:$WV$147,68,FALSE)),0,IF(HLOOKUP(AQ$91,'Improved Sales Adjustments 1'!$G$7:$WV$147,68,FALSE)="",0,IF($S134=HLOOKUP(AQ$91,'Improved Sales Adjustments 1'!$G$7:$WV$147,68,FALSE),1,0)))</f>
        <v>0</v>
      </c>
      <c r="AR134" s="41">
        <f>SUM($AG134:AG134)</f>
        <v>0</v>
      </c>
      <c r="AS134" s="41">
        <f>SUM($AG134:AH134)</f>
        <v>0</v>
      </c>
      <c r="AT134" s="41">
        <f>SUM($AG134:AI134)</f>
        <v>0</v>
      </c>
      <c r="AU134" s="41">
        <f>SUM($AG134:AJ134)</f>
        <v>0</v>
      </c>
      <c r="AV134" s="41">
        <f>SUM($AG134:AK134)</f>
        <v>0</v>
      </c>
      <c r="AW134" s="41">
        <f>SUM($AG134:AL134)</f>
        <v>0</v>
      </c>
      <c r="AX134" s="41">
        <f>SUM($AG134:AM134)</f>
        <v>0</v>
      </c>
      <c r="AY134" s="41">
        <f>SUM($AG134:AN134)</f>
        <v>0</v>
      </c>
      <c r="AZ134" s="41">
        <f>SUM($AG134:AO134)</f>
        <v>0</v>
      </c>
      <c r="BA134" s="41">
        <f>SUM($AG134:AP134)</f>
        <v>0</v>
      </c>
      <c r="BB134" s="41">
        <f>SUM($AG134:AQ134)</f>
        <v>0</v>
      </c>
      <c r="BC134" s="41" t="str">
        <f t="shared" si="38"/>
        <v/>
      </c>
      <c r="BD134" s="41" t="str">
        <f t="shared" si="38"/>
        <v/>
      </c>
      <c r="BE134" s="41" t="str">
        <f t="shared" si="38"/>
        <v/>
      </c>
      <c r="BF134" s="41" t="str">
        <f t="shared" si="38"/>
        <v/>
      </c>
      <c r="BG134" s="41" t="str">
        <f t="shared" si="38"/>
        <v/>
      </c>
      <c r="BH134" s="41" t="str">
        <f t="shared" si="38"/>
        <v/>
      </c>
      <c r="BI134" s="41" t="str">
        <f t="shared" si="38"/>
        <v/>
      </c>
      <c r="BJ134" s="41" t="str">
        <f t="shared" si="38"/>
        <v/>
      </c>
      <c r="BK134" s="41" t="str">
        <f t="shared" si="38"/>
        <v/>
      </c>
      <c r="BL134" s="41" t="str">
        <f t="shared" si="37"/>
        <v/>
      </c>
      <c r="BM134" s="41" t="str">
        <f t="shared" si="37"/>
        <v/>
      </c>
    </row>
    <row r="135" spans="1:65" ht="15" customHeight="1" x14ac:dyDescent="0.25">
      <c r="A135" s="957">
        <f t="shared" si="32"/>
        <v>0</v>
      </c>
      <c r="B135" s="10"/>
      <c r="C135" s="10"/>
      <c r="D135" s="13"/>
      <c r="E135" s="10"/>
      <c r="F135" s="10"/>
      <c r="G135" s="10"/>
      <c r="H135" s="10"/>
      <c r="I135" s="10"/>
      <c r="J135" s="10"/>
      <c r="K135" s="10"/>
      <c r="L135" s="10"/>
      <c r="M135" s="10"/>
      <c r="N135" s="10"/>
      <c r="O135" s="10"/>
      <c r="P135" s="4"/>
      <c r="Q135" s="1204"/>
      <c r="R135" s="101" t="str">
        <f t="shared" si="28"/>
        <v/>
      </c>
      <c r="S135" s="137">
        <f t="shared" si="30"/>
        <v>43</v>
      </c>
      <c r="T135" s="2130">
        <f>(T136+T134)/2</f>
        <v>0.26500000000000001</v>
      </c>
      <c r="U135" s="2130">
        <f>(U136+U134)/2</f>
        <v>0.41000000000000003</v>
      </c>
      <c r="V135" s="2130">
        <f>(V136+V134)/2</f>
        <v>0.53500000000000003</v>
      </c>
      <c r="W135" s="2130">
        <f>(W136+W134)/2</f>
        <v>0.67500000000000004</v>
      </c>
      <c r="X135" s="2130">
        <f>(X136+X134)/2</f>
        <v>0.76</v>
      </c>
      <c r="Y135" s="2130"/>
      <c r="Z135" s="2130"/>
      <c r="AA135" s="2130"/>
      <c r="AB135" s="2130"/>
      <c r="AC135" s="2130"/>
      <c r="AD135" s="101"/>
      <c r="AE135" s="6"/>
      <c r="AF135" s="11"/>
      <c r="AG135" s="41">
        <f t="shared" si="33"/>
        <v>0</v>
      </c>
      <c r="AH135" s="41">
        <f>IF(ISERROR(HLOOKUP(AH$91,'Improved Sales Adjustments 1'!$G$7:$WV$147,68,FALSE)),0,IF(HLOOKUP(AH$91,'Improved Sales Adjustments 1'!$G$7:$WV$147,68,FALSE)="",0,IF($S135=HLOOKUP(AH$91,'Improved Sales Adjustments 1'!$G$7:$WV$147,68,FALSE),1,0)))</f>
        <v>0</v>
      </c>
      <c r="AI135" s="41">
        <f>IF(ISERROR(HLOOKUP(AI$91,'Improved Sales Adjustments 1'!$G$7:$WV$147,68,FALSE)),0,IF(HLOOKUP(AI$91,'Improved Sales Adjustments 1'!$G$7:$WV$147,68,FALSE)="",0,IF($S135=HLOOKUP(AI$91,'Improved Sales Adjustments 1'!$G$7:$WV$147,68,FALSE),1,0)))</f>
        <v>0</v>
      </c>
      <c r="AJ135" s="41">
        <f>IF(ISERROR(HLOOKUP(AJ$91,'Improved Sales Adjustments 1'!$G$7:$WV$147,68,FALSE)),0,IF(HLOOKUP(AJ$91,'Improved Sales Adjustments 1'!$G$7:$WV$147,68,FALSE)="",0,IF($S135=HLOOKUP(AJ$91,'Improved Sales Adjustments 1'!$G$7:$WV$147,68,FALSE),1,0)))</f>
        <v>0</v>
      </c>
      <c r="AK135" s="41">
        <f>IF(ISERROR(HLOOKUP(AK$91,'Improved Sales Adjustments 1'!$G$7:$WV$147,68,FALSE)),0,IF(HLOOKUP(AK$91,'Improved Sales Adjustments 1'!$G$7:$WV$147,68,FALSE)="",0,IF($S135=HLOOKUP(AK$91,'Improved Sales Adjustments 1'!$G$7:$WV$147,68,FALSE),1,0)))</f>
        <v>0</v>
      </c>
      <c r="AL135" s="41">
        <f>IF(ISERROR(HLOOKUP(AL$91,'Improved Sales Adjustments 1'!$G$7:$WV$147,68,FALSE)),0,IF(HLOOKUP(AL$91,'Improved Sales Adjustments 1'!$G$7:$WV$147,68,FALSE)="",0,IF($S135=HLOOKUP(AL$91,'Improved Sales Adjustments 1'!$G$7:$WV$147,68,FALSE),1,0)))</f>
        <v>0</v>
      </c>
      <c r="AM135" s="41">
        <f>IF(ISERROR(HLOOKUP(AM$91,'Improved Sales Adjustments 1'!$G$7:$WV$147,68,FALSE)),0,IF(HLOOKUP(AM$91,'Improved Sales Adjustments 1'!$G$7:$WV$147,68,FALSE)="",0,IF($S135=HLOOKUP(AM$91,'Improved Sales Adjustments 1'!$G$7:$WV$147,68,FALSE),1,0)))</f>
        <v>0</v>
      </c>
      <c r="AN135" s="41">
        <f>IF(ISERROR(HLOOKUP(AN$91,'Improved Sales Adjustments 1'!$G$7:$WV$147,68,FALSE)),0,IF(HLOOKUP(AN$91,'Improved Sales Adjustments 1'!$G$7:$WV$147,68,FALSE)="",0,IF($S135=HLOOKUP(AN$91,'Improved Sales Adjustments 1'!$G$7:$WV$147,68,FALSE),1,0)))</f>
        <v>0</v>
      </c>
      <c r="AO135" s="41">
        <f>IF(ISERROR(HLOOKUP(AO$91,'Improved Sales Adjustments 1'!$G$7:$WV$147,68,FALSE)),0,IF(HLOOKUP(AO$91,'Improved Sales Adjustments 1'!$G$7:$WV$147,68,FALSE)="",0,IF($S135=HLOOKUP(AO$91,'Improved Sales Adjustments 1'!$G$7:$WV$147,68,FALSE),1,0)))</f>
        <v>0</v>
      </c>
      <c r="AP135" s="41">
        <f>IF(ISERROR(HLOOKUP(AP$91,'Improved Sales Adjustments 1'!$G$7:$WV$147,68,FALSE)),0,IF(HLOOKUP(AP$91,'Improved Sales Adjustments 1'!$G$7:$WV$147,68,FALSE)="",0,IF($S135=HLOOKUP(AP$91,'Improved Sales Adjustments 1'!$G$7:$WV$147,68,FALSE),1,0)))</f>
        <v>0</v>
      </c>
      <c r="AQ135" s="41">
        <f>IF(ISERROR(HLOOKUP(AQ$91,'Improved Sales Adjustments 1'!$G$7:$WV$147,68,FALSE)),0,IF(HLOOKUP(AQ$91,'Improved Sales Adjustments 1'!$G$7:$WV$147,68,FALSE)="",0,IF($S135=HLOOKUP(AQ$91,'Improved Sales Adjustments 1'!$G$7:$WV$147,68,FALSE),1,0)))</f>
        <v>0</v>
      </c>
      <c r="AR135" s="41">
        <f>SUM($AG135:AG135)</f>
        <v>0</v>
      </c>
      <c r="AS135" s="41">
        <f>SUM($AG135:AH135)</f>
        <v>0</v>
      </c>
      <c r="AT135" s="41">
        <f>SUM($AG135:AI135)</f>
        <v>0</v>
      </c>
      <c r="AU135" s="41">
        <f>SUM($AG135:AJ135)</f>
        <v>0</v>
      </c>
      <c r="AV135" s="41">
        <f>SUM($AG135:AK135)</f>
        <v>0</v>
      </c>
      <c r="AW135" s="41">
        <f>SUM($AG135:AL135)</f>
        <v>0</v>
      </c>
      <c r="AX135" s="41">
        <f>SUM($AG135:AM135)</f>
        <v>0</v>
      </c>
      <c r="AY135" s="41">
        <f>SUM($AG135:AN135)</f>
        <v>0</v>
      </c>
      <c r="AZ135" s="41">
        <f>SUM($AG135:AO135)</f>
        <v>0</v>
      </c>
      <c r="BA135" s="41">
        <f>SUM($AG135:AP135)</f>
        <v>0</v>
      </c>
      <c r="BB135" s="41">
        <f>SUM($AG135:AQ135)</f>
        <v>0</v>
      </c>
      <c r="BC135" s="41" t="str">
        <f t="shared" si="38"/>
        <v/>
      </c>
      <c r="BD135" s="41" t="str">
        <f t="shared" si="38"/>
        <v/>
      </c>
      <c r="BE135" s="41" t="str">
        <f t="shared" si="38"/>
        <v/>
      </c>
      <c r="BF135" s="41" t="str">
        <f t="shared" si="38"/>
        <v/>
      </c>
      <c r="BG135" s="41" t="str">
        <f t="shared" si="38"/>
        <v/>
      </c>
      <c r="BH135" s="41" t="str">
        <f t="shared" si="38"/>
        <v/>
      </c>
      <c r="BI135" s="41" t="str">
        <f t="shared" si="38"/>
        <v/>
      </c>
      <c r="BJ135" s="41" t="str">
        <f t="shared" si="38"/>
        <v/>
      </c>
      <c r="BK135" s="41" t="str">
        <f t="shared" si="38"/>
        <v/>
      </c>
      <c r="BL135" s="41" t="str">
        <f t="shared" si="37"/>
        <v/>
      </c>
      <c r="BM135" s="41" t="str">
        <f t="shared" si="37"/>
        <v/>
      </c>
    </row>
    <row r="136" spans="1:65" ht="15" customHeight="1" x14ac:dyDescent="0.25">
      <c r="A136" s="957">
        <f t="shared" si="32"/>
        <v>0</v>
      </c>
      <c r="B136" s="10"/>
      <c r="C136" s="10"/>
      <c r="D136" s="13"/>
      <c r="E136" s="10"/>
      <c r="F136" s="10"/>
      <c r="G136" s="10"/>
      <c r="H136" s="10"/>
      <c r="I136" s="10"/>
      <c r="J136" s="10"/>
      <c r="K136" s="10"/>
      <c r="L136" s="10"/>
      <c r="M136" s="10"/>
      <c r="N136" s="10"/>
      <c r="O136" s="10"/>
      <c r="P136" s="4"/>
      <c r="Q136" s="1204"/>
      <c r="R136" s="101" t="str">
        <f t="shared" si="28"/>
        <v/>
      </c>
      <c r="S136" s="137">
        <f t="shared" si="30"/>
        <v>44</v>
      </c>
      <c r="T136" s="2129">
        <v>0.28000000000000003</v>
      </c>
      <c r="U136" s="2130">
        <v>0.43</v>
      </c>
      <c r="V136" s="2130">
        <v>0.56000000000000005</v>
      </c>
      <c r="W136" s="2130">
        <v>0.7</v>
      </c>
      <c r="X136" s="2130">
        <v>0.77</v>
      </c>
      <c r="Y136" s="2130"/>
      <c r="Z136" s="2130"/>
      <c r="AA136" s="2130"/>
      <c r="AB136" s="2130"/>
      <c r="AC136" s="2130"/>
      <c r="AD136" s="101"/>
      <c r="AE136" s="6"/>
      <c r="AF136" s="11"/>
      <c r="AG136" s="41">
        <f t="shared" si="33"/>
        <v>0</v>
      </c>
      <c r="AH136" s="41">
        <f>IF(ISERROR(HLOOKUP(AH$91,'Improved Sales Adjustments 1'!$G$7:$WV$147,68,FALSE)),0,IF(HLOOKUP(AH$91,'Improved Sales Adjustments 1'!$G$7:$WV$147,68,FALSE)="",0,IF($S136=HLOOKUP(AH$91,'Improved Sales Adjustments 1'!$G$7:$WV$147,68,FALSE),1,0)))</f>
        <v>0</v>
      </c>
      <c r="AI136" s="41">
        <f>IF(ISERROR(HLOOKUP(AI$91,'Improved Sales Adjustments 1'!$G$7:$WV$147,68,FALSE)),0,IF(HLOOKUP(AI$91,'Improved Sales Adjustments 1'!$G$7:$WV$147,68,FALSE)="",0,IF($S136=HLOOKUP(AI$91,'Improved Sales Adjustments 1'!$G$7:$WV$147,68,FALSE),1,0)))</f>
        <v>0</v>
      </c>
      <c r="AJ136" s="41">
        <f>IF(ISERROR(HLOOKUP(AJ$91,'Improved Sales Adjustments 1'!$G$7:$WV$147,68,FALSE)),0,IF(HLOOKUP(AJ$91,'Improved Sales Adjustments 1'!$G$7:$WV$147,68,FALSE)="",0,IF($S136=HLOOKUP(AJ$91,'Improved Sales Adjustments 1'!$G$7:$WV$147,68,FALSE),1,0)))</f>
        <v>0</v>
      </c>
      <c r="AK136" s="41">
        <f>IF(ISERROR(HLOOKUP(AK$91,'Improved Sales Adjustments 1'!$G$7:$WV$147,68,FALSE)),0,IF(HLOOKUP(AK$91,'Improved Sales Adjustments 1'!$G$7:$WV$147,68,FALSE)="",0,IF($S136=HLOOKUP(AK$91,'Improved Sales Adjustments 1'!$G$7:$WV$147,68,FALSE),1,0)))</f>
        <v>0</v>
      </c>
      <c r="AL136" s="41">
        <f>IF(ISERROR(HLOOKUP(AL$91,'Improved Sales Adjustments 1'!$G$7:$WV$147,68,FALSE)),0,IF(HLOOKUP(AL$91,'Improved Sales Adjustments 1'!$G$7:$WV$147,68,FALSE)="",0,IF($S136=HLOOKUP(AL$91,'Improved Sales Adjustments 1'!$G$7:$WV$147,68,FALSE),1,0)))</f>
        <v>0</v>
      </c>
      <c r="AM136" s="41">
        <f>IF(ISERROR(HLOOKUP(AM$91,'Improved Sales Adjustments 1'!$G$7:$WV$147,68,FALSE)),0,IF(HLOOKUP(AM$91,'Improved Sales Adjustments 1'!$G$7:$WV$147,68,FALSE)="",0,IF($S136=HLOOKUP(AM$91,'Improved Sales Adjustments 1'!$G$7:$WV$147,68,FALSE),1,0)))</f>
        <v>0</v>
      </c>
      <c r="AN136" s="41">
        <f>IF(ISERROR(HLOOKUP(AN$91,'Improved Sales Adjustments 1'!$G$7:$WV$147,68,FALSE)),0,IF(HLOOKUP(AN$91,'Improved Sales Adjustments 1'!$G$7:$WV$147,68,FALSE)="",0,IF($S136=HLOOKUP(AN$91,'Improved Sales Adjustments 1'!$G$7:$WV$147,68,FALSE),1,0)))</f>
        <v>0</v>
      </c>
      <c r="AO136" s="41">
        <f>IF(ISERROR(HLOOKUP(AO$91,'Improved Sales Adjustments 1'!$G$7:$WV$147,68,FALSE)),0,IF(HLOOKUP(AO$91,'Improved Sales Adjustments 1'!$G$7:$WV$147,68,FALSE)="",0,IF($S136=HLOOKUP(AO$91,'Improved Sales Adjustments 1'!$G$7:$WV$147,68,FALSE),1,0)))</f>
        <v>0</v>
      </c>
      <c r="AP136" s="41">
        <f>IF(ISERROR(HLOOKUP(AP$91,'Improved Sales Adjustments 1'!$G$7:$WV$147,68,FALSE)),0,IF(HLOOKUP(AP$91,'Improved Sales Adjustments 1'!$G$7:$WV$147,68,FALSE)="",0,IF($S136=HLOOKUP(AP$91,'Improved Sales Adjustments 1'!$G$7:$WV$147,68,FALSE),1,0)))</f>
        <v>0</v>
      </c>
      <c r="AQ136" s="41">
        <f>IF(ISERROR(HLOOKUP(AQ$91,'Improved Sales Adjustments 1'!$G$7:$WV$147,68,FALSE)),0,IF(HLOOKUP(AQ$91,'Improved Sales Adjustments 1'!$G$7:$WV$147,68,FALSE)="",0,IF($S136=HLOOKUP(AQ$91,'Improved Sales Adjustments 1'!$G$7:$WV$147,68,FALSE),1,0)))</f>
        <v>0</v>
      </c>
      <c r="AR136" s="41">
        <f>SUM($AG136:AG136)</f>
        <v>0</v>
      </c>
      <c r="AS136" s="41">
        <f>SUM($AG136:AH136)</f>
        <v>0</v>
      </c>
      <c r="AT136" s="41">
        <f>SUM($AG136:AI136)</f>
        <v>0</v>
      </c>
      <c r="AU136" s="41">
        <f>SUM($AG136:AJ136)</f>
        <v>0</v>
      </c>
      <c r="AV136" s="41">
        <f>SUM($AG136:AK136)</f>
        <v>0</v>
      </c>
      <c r="AW136" s="41">
        <f>SUM($AG136:AL136)</f>
        <v>0</v>
      </c>
      <c r="AX136" s="41">
        <f>SUM($AG136:AM136)</f>
        <v>0</v>
      </c>
      <c r="AY136" s="41">
        <f>SUM($AG136:AN136)</f>
        <v>0</v>
      </c>
      <c r="AZ136" s="41">
        <f>SUM($AG136:AO136)</f>
        <v>0</v>
      </c>
      <c r="BA136" s="41">
        <f>SUM($AG136:AP136)</f>
        <v>0</v>
      </c>
      <c r="BB136" s="41">
        <f>SUM($AG136:AQ136)</f>
        <v>0</v>
      </c>
      <c r="BC136" s="41" t="str">
        <f t="shared" si="38"/>
        <v/>
      </c>
      <c r="BD136" s="41" t="str">
        <f t="shared" si="38"/>
        <v/>
      </c>
      <c r="BE136" s="41" t="str">
        <f t="shared" si="38"/>
        <v/>
      </c>
      <c r="BF136" s="41" t="str">
        <f t="shared" si="38"/>
        <v/>
      </c>
      <c r="BG136" s="41" t="str">
        <f t="shared" si="38"/>
        <v/>
      </c>
      <c r="BH136" s="41" t="str">
        <f t="shared" si="38"/>
        <v/>
      </c>
      <c r="BI136" s="41" t="str">
        <f t="shared" si="38"/>
        <v/>
      </c>
      <c r="BJ136" s="41" t="str">
        <f t="shared" si="38"/>
        <v/>
      </c>
      <c r="BK136" s="41" t="str">
        <f t="shared" si="38"/>
        <v/>
      </c>
      <c r="BL136" s="41" t="str">
        <f t="shared" si="37"/>
        <v/>
      </c>
      <c r="BM136" s="41" t="str">
        <f t="shared" si="37"/>
        <v/>
      </c>
    </row>
    <row r="137" spans="1:65" ht="15" customHeight="1" x14ac:dyDescent="0.25">
      <c r="A137" s="957">
        <f t="shared" si="32"/>
        <v>0</v>
      </c>
      <c r="B137" s="10"/>
      <c r="C137" s="10"/>
      <c r="D137" s="13"/>
      <c r="E137" s="10"/>
      <c r="F137" s="10"/>
      <c r="G137" s="10"/>
      <c r="H137" s="10"/>
      <c r="I137" s="10"/>
      <c r="J137" s="10"/>
      <c r="K137" s="10"/>
      <c r="L137" s="10"/>
      <c r="M137" s="10"/>
      <c r="N137" s="10"/>
      <c r="O137" s="10"/>
      <c r="P137" s="4"/>
      <c r="Q137" s="1204"/>
      <c r="R137" s="101" t="str">
        <f t="shared" si="28"/>
        <v/>
      </c>
      <c r="S137" s="137">
        <f t="shared" si="30"/>
        <v>45</v>
      </c>
      <c r="T137" s="2130">
        <f>(T138+T136)/2</f>
        <v>0.29500000000000004</v>
      </c>
      <c r="U137" s="2130">
        <f>(U138+U136)/2</f>
        <v>0.45499999999999996</v>
      </c>
      <c r="V137" s="2130">
        <f>(V138+V136)/2</f>
        <v>0.58000000000000007</v>
      </c>
      <c r="W137" s="2130">
        <f>(W138+W136)/2</f>
        <v>0.72</v>
      </c>
      <c r="X137" s="2130">
        <f>(X138+X136)/2</f>
        <v>0.77500000000000002</v>
      </c>
      <c r="Y137" s="2130"/>
      <c r="Z137" s="2130"/>
      <c r="AA137" s="2130"/>
      <c r="AB137" s="2130"/>
      <c r="AC137" s="2130"/>
      <c r="AD137" s="101"/>
      <c r="AE137" s="6"/>
      <c r="AF137" s="11"/>
      <c r="AG137" s="41">
        <f t="shared" si="33"/>
        <v>0</v>
      </c>
      <c r="AH137" s="41">
        <f>IF(ISERROR(HLOOKUP(AH$91,'Improved Sales Adjustments 1'!$G$7:$WV$147,68,FALSE)),0,IF(HLOOKUP(AH$91,'Improved Sales Adjustments 1'!$G$7:$WV$147,68,FALSE)="",0,IF($S137=HLOOKUP(AH$91,'Improved Sales Adjustments 1'!$G$7:$WV$147,68,FALSE),1,0)))</f>
        <v>0</v>
      </c>
      <c r="AI137" s="41">
        <f>IF(ISERROR(HLOOKUP(AI$91,'Improved Sales Adjustments 1'!$G$7:$WV$147,68,FALSE)),0,IF(HLOOKUP(AI$91,'Improved Sales Adjustments 1'!$G$7:$WV$147,68,FALSE)="",0,IF($S137=HLOOKUP(AI$91,'Improved Sales Adjustments 1'!$G$7:$WV$147,68,FALSE),1,0)))</f>
        <v>0</v>
      </c>
      <c r="AJ137" s="41">
        <f>IF(ISERROR(HLOOKUP(AJ$91,'Improved Sales Adjustments 1'!$G$7:$WV$147,68,FALSE)),0,IF(HLOOKUP(AJ$91,'Improved Sales Adjustments 1'!$G$7:$WV$147,68,FALSE)="",0,IF($S137=HLOOKUP(AJ$91,'Improved Sales Adjustments 1'!$G$7:$WV$147,68,FALSE),1,0)))</f>
        <v>0</v>
      </c>
      <c r="AK137" s="41">
        <f>IF(ISERROR(HLOOKUP(AK$91,'Improved Sales Adjustments 1'!$G$7:$WV$147,68,FALSE)),0,IF(HLOOKUP(AK$91,'Improved Sales Adjustments 1'!$G$7:$WV$147,68,FALSE)="",0,IF($S137=HLOOKUP(AK$91,'Improved Sales Adjustments 1'!$G$7:$WV$147,68,FALSE),1,0)))</f>
        <v>0</v>
      </c>
      <c r="AL137" s="41">
        <f>IF(ISERROR(HLOOKUP(AL$91,'Improved Sales Adjustments 1'!$G$7:$WV$147,68,FALSE)),0,IF(HLOOKUP(AL$91,'Improved Sales Adjustments 1'!$G$7:$WV$147,68,FALSE)="",0,IF($S137=HLOOKUP(AL$91,'Improved Sales Adjustments 1'!$G$7:$WV$147,68,FALSE),1,0)))</f>
        <v>0</v>
      </c>
      <c r="AM137" s="41">
        <f>IF(ISERROR(HLOOKUP(AM$91,'Improved Sales Adjustments 1'!$G$7:$WV$147,68,FALSE)),0,IF(HLOOKUP(AM$91,'Improved Sales Adjustments 1'!$G$7:$WV$147,68,FALSE)="",0,IF($S137=HLOOKUP(AM$91,'Improved Sales Adjustments 1'!$G$7:$WV$147,68,FALSE),1,0)))</f>
        <v>0</v>
      </c>
      <c r="AN137" s="41">
        <f>IF(ISERROR(HLOOKUP(AN$91,'Improved Sales Adjustments 1'!$G$7:$WV$147,68,FALSE)),0,IF(HLOOKUP(AN$91,'Improved Sales Adjustments 1'!$G$7:$WV$147,68,FALSE)="",0,IF($S137=HLOOKUP(AN$91,'Improved Sales Adjustments 1'!$G$7:$WV$147,68,FALSE),1,0)))</f>
        <v>0</v>
      </c>
      <c r="AO137" s="41">
        <f>IF(ISERROR(HLOOKUP(AO$91,'Improved Sales Adjustments 1'!$G$7:$WV$147,68,FALSE)),0,IF(HLOOKUP(AO$91,'Improved Sales Adjustments 1'!$G$7:$WV$147,68,FALSE)="",0,IF($S137=HLOOKUP(AO$91,'Improved Sales Adjustments 1'!$G$7:$WV$147,68,FALSE),1,0)))</f>
        <v>0</v>
      </c>
      <c r="AP137" s="41">
        <f>IF(ISERROR(HLOOKUP(AP$91,'Improved Sales Adjustments 1'!$G$7:$WV$147,68,FALSE)),0,IF(HLOOKUP(AP$91,'Improved Sales Adjustments 1'!$G$7:$WV$147,68,FALSE)="",0,IF($S137=HLOOKUP(AP$91,'Improved Sales Adjustments 1'!$G$7:$WV$147,68,FALSE),1,0)))</f>
        <v>0</v>
      </c>
      <c r="AQ137" s="41">
        <f>IF(ISERROR(HLOOKUP(AQ$91,'Improved Sales Adjustments 1'!$G$7:$WV$147,68,FALSE)),0,IF(HLOOKUP(AQ$91,'Improved Sales Adjustments 1'!$G$7:$WV$147,68,FALSE)="",0,IF($S137=HLOOKUP(AQ$91,'Improved Sales Adjustments 1'!$G$7:$WV$147,68,FALSE),1,0)))</f>
        <v>0</v>
      </c>
      <c r="AR137" s="41">
        <f>SUM($AG137:AG137)</f>
        <v>0</v>
      </c>
      <c r="AS137" s="41">
        <f>SUM($AG137:AH137)</f>
        <v>0</v>
      </c>
      <c r="AT137" s="41">
        <f>SUM($AG137:AI137)</f>
        <v>0</v>
      </c>
      <c r="AU137" s="41">
        <f>SUM($AG137:AJ137)</f>
        <v>0</v>
      </c>
      <c r="AV137" s="41">
        <f>SUM($AG137:AK137)</f>
        <v>0</v>
      </c>
      <c r="AW137" s="41">
        <f>SUM($AG137:AL137)</f>
        <v>0</v>
      </c>
      <c r="AX137" s="41">
        <f>SUM($AG137:AM137)</f>
        <v>0</v>
      </c>
      <c r="AY137" s="41">
        <f>SUM($AG137:AN137)</f>
        <v>0</v>
      </c>
      <c r="AZ137" s="41">
        <f>SUM($AG137:AO137)</f>
        <v>0</v>
      </c>
      <c r="BA137" s="41">
        <f>SUM($AG137:AP137)</f>
        <v>0</v>
      </c>
      <c r="BB137" s="41">
        <f>SUM($AG137:AQ137)</f>
        <v>0</v>
      </c>
      <c r="BC137" s="41" t="str">
        <f t="shared" si="38"/>
        <v/>
      </c>
      <c r="BD137" s="41" t="str">
        <f t="shared" si="38"/>
        <v/>
      </c>
      <c r="BE137" s="41" t="str">
        <f t="shared" si="38"/>
        <v/>
      </c>
      <c r="BF137" s="41" t="str">
        <f t="shared" si="38"/>
        <v/>
      </c>
      <c r="BG137" s="41" t="str">
        <f t="shared" si="38"/>
        <v/>
      </c>
      <c r="BH137" s="41" t="str">
        <f t="shared" si="38"/>
        <v/>
      </c>
      <c r="BI137" s="41" t="str">
        <f t="shared" si="38"/>
        <v/>
      </c>
      <c r="BJ137" s="41" t="str">
        <f t="shared" si="38"/>
        <v/>
      </c>
      <c r="BK137" s="41" t="str">
        <f t="shared" si="38"/>
        <v/>
      </c>
      <c r="BL137" s="41" t="str">
        <f t="shared" si="37"/>
        <v/>
      </c>
      <c r="BM137" s="41" t="str">
        <f t="shared" si="37"/>
        <v/>
      </c>
    </row>
    <row r="138" spans="1:65" ht="15" customHeight="1" x14ac:dyDescent="0.25">
      <c r="A138" s="957">
        <f t="shared" si="32"/>
        <v>0</v>
      </c>
      <c r="B138" s="10"/>
      <c r="C138" s="10"/>
      <c r="D138" s="13"/>
      <c r="E138" s="10"/>
      <c r="F138" s="10"/>
      <c r="G138" s="10"/>
      <c r="H138" s="10"/>
      <c r="I138" s="10"/>
      <c r="J138" s="10"/>
      <c r="K138" s="10"/>
      <c r="L138" s="10"/>
      <c r="M138" s="10"/>
      <c r="N138" s="10"/>
      <c r="O138" s="10"/>
      <c r="P138" s="4"/>
      <c r="Q138" s="1204"/>
      <c r="R138" s="101" t="str">
        <f t="shared" si="28"/>
        <v/>
      </c>
      <c r="S138" s="137">
        <f t="shared" si="30"/>
        <v>46</v>
      </c>
      <c r="T138" s="2129">
        <v>0.31</v>
      </c>
      <c r="U138" s="2130">
        <v>0.48</v>
      </c>
      <c r="V138" s="2130">
        <v>0.6</v>
      </c>
      <c r="W138" s="2130">
        <v>0.74</v>
      </c>
      <c r="X138" s="2130">
        <v>0.78</v>
      </c>
      <c r="Y138" s="2130"/>
      <c r="Z138" s="2130"/>
      <c r="AA138" s="2130"/>
      <c r="AB138" s="2130"/>
      <c r="AC138" s="2130"/>
      <c r="AD138" s="101"/>
      <c r="AE138" s="6"/>
      <c r="AF138" s="11"/>
      <c r="AG138" s="41">
        <f t="shared" si="33"/>
        <v>0</v>
      </c>
      <c r="AH138" s="41">
        <f>IF(ISERROR(HLOOKUP(AH$91,'Improved Sales Adjustments 1'!$G$7:$WV$147,68,FALSE)),0,IF(HLOOKUP(AH$91,'Improved Sales Adjustments 1'!$G$7:$WV$147,68,FALSE)="",0,IF($S138=HLOOKUP(AH$91,'Improved Sales Adjustments 1'!$G$7:$WV$147,68,FALSE),1,0)))</f>
        <v>0</v>
      </c>
      <c r="AI138" s="41">
        <f>IF(ISERROR(HLOOKUP(AI$91,'Improved Sales Adjustments 1'!$G$7:$WV$147,68,FALSE)),0,IF(HLOOKUP(AI$91,'Improved Sales Adjustments 1'!$G$7:$WV$147,68,FALSE)="",0,IF($S138=HLOOKUP(AI$91,'Improved Sales Adjustments 1'!$G$7:$WV$147,68,FALSE),1,0)))</f>
        <v>0</v>
      </c>
      <c r="AJ138" s="41">
        <f>IF(ISERROR(HLOOKUP(AJ$91,'Improved Sales Adjustments 1'!$G$7:$WV$147,68,FALSE)),0,IF(HLOOKUP(AJ$91,'Improved Sales Adjustments 1'!$G$7:$WV$147,68,FALSE)="",0,IF($S138=HLOOKUP(AJ$91,'Improved Sales Adjustments 1'!$G$7:$WV$147,68,FALSE),1,0)))</f>
        <v>0</v>
      </c>
      <c r="AK138" s="41">
        <f>IF(ISERROR(HLOOKUP(AK$91,'Improved Sales Adjustments 1'!$G$7:$WV$147,68,FALSE)),0,IF(HLOOKUP(AK$91,'Improved Sales Adjustments 1'!$G$7:$WV$147,68,FALSE)="",0,IF($S138=HLOOKUP(AK$91,'Improved Sales Adjustments 1'!$G$7:$WV$147,68,FALSE),1,0)))</f>
        <v>0</v>
      </c>
      <c r="AL138" s="41">
        <f>IF(ISERROR(HLOOKUP(AL$91,'Improved Sales Adjustments 1'!$G$7:$WV$147,68,FALSE)),0,IF(HLOOKUP(AL$91,'Improved Sales Adjustments 1'!$G$7:$WV$147,68,FALSE)="",0,IF($S138=HLOOKUP(AL$91,'Improved Sales Adjustments 1'!$G$7:$WV$147,68,FALSE),1,0)))</f>
        <v>0</v>
      </c>
      <c r="AM138" s="41">
        <f>IF(ISERROR(HLOOKUP(AM$91,'Improved Sales Adjustments 1'!$G$7:$WV$147,68,FALSE)),0,IF(HLOOKUP(AM$91,'Improved Sales Adjustments 1'!$G$7:$WV$147,68,FALSE)="",0,IF($S138=HLOOKUP(AM$91,'Improved Sales Adjustments 1'!$G$7:$WV$147,68,FALSE),1,0)))</f>
        <v>0</v>
      </c>
      <c r="AN138" s="41">
        <f>IF(ISERROR(HLOOKUP(AN$91,'Improved Sales Adjustments 1'!$G$7:$WV$147,68,FALSE)),0,IF(HLOOKUP(AN$91,'Improved Sales Adjustments 1'!$G$7:$WV$147,68,FALSE)="",0,IF($S138=HLOOKUP(AN$91,'Improved Sales Adjustments 1'!$G$7:$WV$147,68,FALSE),1,0)))</f>
        <v>0</v>
      </c>
      <c r="AO138" s="41">
        <f>IF(ISERROR(HLOOKUP(AO$91,'Improved Sales Adjustments 1'!$G$7:$WV$147,68,FALSE)),0,IF(HLOOKUP(AO$91,'Improved Sales Adjustments 1'!$G$7:$WV$147,68,FALSE)="",0,IF($S138=HLOOKUP(AO$91,'Improved Sales Adjustments 1'!$G$7:$WV$147,68,FALSE),1,0)))</f>
        <v>0</v>
      </c>
      <c r="AP138" s="41">
        <f>IF(ISERROR(HLOOKUP(AP$91,'Improved Sales Adjustments 1'!$G$7:$WV$147,68,FALSE)),0,IF(HLOOKUP(AP$91,'Improved Sales Adjustments 1'!$G$7:$WV$147,68,FALSE)="",0,IF($S138=HLOOKUP(AP$91,'Improved Sales Adjustments 1'!$G$7:$WV$147,68,FALSE),1,0)))</f>
        <v>0</v>
      </c>
      <c r="AQ138" s="41">
        <f>IF(ISERROR(HLOOKUP(AQ$91,'Improved Sales Adjustments 1'!$G$7:$WV$147,68,FALSE)),0,IF(HLOOKUP(AQ$91,'Improved Sales Adjustments 1'!$G$7:$WV$147,68,FALSE)="",0,IF($S138=HLOOKUP(AQ$91,'Improved Sales Adjustments 1'!$G$7:$WV$147,68,FALSE),1,0)))</f>
        <v>0</v>
      </c>
      <c r="AR138" s="41">
        <f>SUM($AG138:AG138)</f>
        <v>0</v>
      </c>
      <c r="AS138" s="41">
        <f>SUM($AG138:AH138)</f>
        <v>0</v>
      </c>
      <c r="AT138" s="41">
        <f>SUM($AG138:AI138)</f>
        <v>0</v>
      </c>
      <c r="AU138" s="41">
        <f>SUM($AG138:AJ138)</f>
        <v>0</v>
      </c>
      <c r="AV138" s="41">
        <f>SUM($AG138:AK138)</f>
        <v>0</v>
      </c>
      <c r="AW138" s="41">
        <f>SUM($AG138:AL138)</f>
        <v>0</v>
      </c>
      <c r="AX138" s="41">
        <f>SUM($AG138:AM138)</f>
        <v>0</v>
      </c>
      <c r="AY138" s="41">
        <f>SUM($AG138:AN138)</f>
        <v>0</v>
      </c>
      <c r="AZ138" s="41">
        <f>SUM($AG138:AO138)</f>
        <v>0</v>
      </c>
      <c r="BA138" s="41">
        <f>SUM($AG138:AP138)</f>
        <v>0</v>
      </c>
      <c r="BB138" s="41">
        <f>SUM($AG138:AQ138)</f>
        <v>0</v>
      </c>
      <c r="BC138" s="41" t="str">
        <f t="shared" si="38"/>
        <v/>
      </c>
      <c r="BD138" s="41" t="str">
        <f t="shared" si="38"/>
        <v/>
      </c>
      <c r="BE138" s="41" t="str">
        <f t="shared" si="38"/>
        <v/>
      </c>
      <c r="BF138" s="41" t="str">
        <f t="shared" si="38"/>
        <v/>
      </c>
      <c r="BG138" s="41" t="str">
        <f t="shared" si="38"/>
        <v/>
      </c>
      <c r="BH138" s="41" t="str">
        <f t="shared" si="38"/>
        <v/>
      </c>
      <c r="BI138" s="41" t="str">
        <f t="shared" si="38"/>
        <v/>
      </c>
      <c r="BJ138" s="41" t="str">
        <f t="shared" si="38"/>
        <v/>
      </c>
      <c r="BK138" s="41" t="str">
        <f t="shared" si="38"/>
        <v/>
      </c>
      <c r="BL138" s="41" t="str">
        <f t="shared" si="37"/>
        <v/>
      </c>
      <c r="BM138" s="41" t="str">
        <f t="shared" si="37"/>
        <v/>
      </c>
    </row>
    <row r="139" spans="1:65" ht="15" customHeight="1" x14ac:dyDescent="0.25">
      <c r="A139" s="957">
        <f t="shared" si="32"/>
        <v>0</v>
      </c>
      <c r="B139" s="10"/>
      <c r="C139" s="10"/>
      <c r="D139" s="13"/>
      <c r="E139" s="10"/>
      <c r="F139" s="10"/>
      <c r="G139" s="10"/>
      <c r="H139" s="10"/>
      <c r="I139" s="10"/>
      <c r="J139" s="10"/>
      <c r="K139" s="10"/>
      <c r="L139" s="10"/>
      <c r="M139" s="10"/>
      <c r="N139" s="10"/>
      <c r="O139" s="10"/>
      <c r="P139" s="4"/>
      <c r="Q139" s="1204"/>
      <c r="R139" s="101" t="str">
        <f t="shared" si="28"/>
        <v/>
      </c>
      <c r="S139" s="137">
        <f t="shared" si="30"/>
        <v>47</v>
      </c>
      <c r="T139" s="2130">
        <f>(T140+T138)/2</f>
        <v>0.32500000000000001</v>
      </c>
      <c r="U139" s="2130">
        <f>(U140+U138)/2</f>
        <v>0.505</v>
      </c>
      <c r="V139" s="2130">
        <f>(V140+V138)/2</f>
        <v>0.62</v>
      </c>
      <c r="W139" s="2130">
        <f>(W140+W138)/2</f>
        <v>0.755</v>
      </c>
      <c r="X139" s="2130">
        <f>(X140+X138)/2</f>
        <v>0.78500000000000003</v>
      </c>
      <c r="Y139" s="2130"/>
      <c r="Z139" s="2130"/>
      <c r="AA139" s="2130"/>
      <c r="AB139" s="2130"/>
      <c r="AC139" s="2130"/>
      <c r="AD139" s="101"/>
      <c r="AE139" s="6"/>
      <c r="AF139" s="11"/>
      <c r="AG139" s="41">
        <f t="shared" si="33"/>
        <v>0</v>
      </c>
      <c r="AH139" s="41">
        <f>IF(ISERROR(HLOOKUP(AH$91,'Improved Sales Adjustments 1'!$G$7:$WV$147,68,FALSE)),0,IF(HLOOKUP(AH$91,'Improved Sales Adjustments 1'!$G$7:$WV$147,68,FALSE)="",0,IF($S139=HLOOKUP(AH$91,'Improved Sales Adjustments 1'!$G$7:$WV$147,68,FALSE),1,0)))</f>
        <v>0</v>
      </c>
      <c r="AI139" s="41">
        <f>IF(ISERROR(HLOOKUP(AI$91,'Improved Sales Adjustments 1'!$G$7:$WV$147,68,FALSE)),0,IF(HLOOKUP(AI$91,'Improved Sales Adjustments 1'!$G$7:$WV$147,68,FALSE)="",0,IF($S139=HLOOKUP(AI$91,'Improved Sales Adjustments 1'!$G$7:$WV$147,68,FALSE),1,0)))</f>
        <v>0</v>
      </c>
      <c r="AJ139" s="41">
        <f>IF(ISERROR(HLOOKUP(AJ$91,'Improved Sales Adjustments 1'!$G$7:$WV$147,68,FALSE)),0,IF(HLOOKUP(AJ$91,'Improved Sales Adjustments 1'!$G$7:$WV$147,68,FALSE)="",0,IF($S139=HLOOKUP(AJ$91,'Improved Sales Adjustments 1'!$G$7:$WV$147,68,FALSE),1,0)))</f>
        <v>0</v>
      </c>
      <c r="AK139" s="41">
        <f>IF(ISERROR(HLOOKUP(AK$91,'Improved Sales Adjustments 1'!$G$7:$WV$147,68,FALSE)),0,IF(HLOOKUP(AK$91,'Improved Sales Adjustments 1'!$G$7:$WV$147,68,FALSE)="",0,IF($S139=HLOOKUP(AK$91,'Improved Sales Adjustments 1'!$G$7:$WV$147,68,FALSE),1,0)))</f>
        <v>0</v>
      </c>
      <c r="AL139" s="41">
        <f>IF(ISERROR(HLOOKUP(AL$91,'Improved Sales Adjustments 1'!$G$7:$WV$147,68,FALSE)),0,IF(HLOOKUP(AL$91,'Improved Sales Adjustments 1'!$G$7:$WV$147,68,FALSE)="",0,IF($S139=HLOOKUP(AL$91,'Improved Sales Adjustments 1'!$G$7:$WV$147,68,FALSE),1,0)))</f>
        <v>0</v>
      </c>
      <c r="AM139" s="41">
        <f>IF(ISERROR(HLOOKUP(AM$91,'Improved Sales Adjustments 1'!$G$7:$WV$147,68,FALSE)),0,IF(HLOOKUP(AM$91,'Improved Sales Adjustments 1'!$G$7:$WV$147,68,FALSE)="",0,IF($S139=HLOOKUP(AM$91,'Improved Sales Adjustments 1'!$G$7:$WV$147,68,FALSE),1,0)))</f>
        <v>0</v>
      </c>
      <c r="AN139" s="41">
        <f>IF(ISERROR(HLOOKUP(AN$91,'Improved Sales Adjustments 1'!$G$7:$WV$147,68,FALSE)),0,IF(HLOOKUP(AN$91,'Improved Sales Adjustments 1'!$G$7:$WV$147,68,FALSE)="",0,IF($S139=HLOOKUP(AN$91,'Improved Sales Adjustments 1'!$G$7:$WV$147,68,FALSE),1,0)))</f>
        <v>0</v>
      </c>
      <c r="AO139" s="41">
        <f>IF(ISERROR(HLOOKUP(AO$91,'Improved Sales Adjustments 1'!$G$7:$WV$147,68,FALSE)),0,IF(HLOOKUP(AO$91,'Improved Sales Adjustments 1'!$G$7:$WV$147,68,FALSE)="",0,IF($S139=HLOOKUP(AO$91,'Improved Sales Adjustments 1'!$G$7:$WV$147,68,FALSE),1,0)))</f>
        <v>0</v>
      </c>
      <c r="AP139" s="41">
        <f>IF(ISERROR(HLOOKUP(AP$91,'Improved Sales Adjustments 1'!$G$7:$WV$147,68,FALSE)),0,IF(HLOOKUP(AP$91,'Improved Sales Adjustments 1'!$G$7:$WV$147,68,FALSE)="",0,IF($S139=HLOOKUP(AP$91,'Improved Sales Adjustments 1'!$G$7:$WV$147,68,FALSE),1,0)))</f>
        <v>0</v>
      </c>
      <c r="AQ139" s="41">
        <f>IF(ISERROR(HLOOKUP(AQ$91,'Improved Sales Adjustments 1'!$G$7:$WV$147,68,FALSE)),0,IF(HLOOKUP(AQ$91,'Improved Sales Adjustments 1'!$G$7:$WV$147,68,FALSE)="",0,IF($S139=HLOOKUP(AQ$91,'Improved Sales Adjustments 1'!$G$7:$WV$147,68,FALSE),1,0)))</f>
        <v>0</v>
      </c>
      <c r="AR139" s="41">
        <f>SUM($AG139:AG139)</f>
        <v>0</v>
      </c>
      <c r="AS139" s="41">
        <f>SUM($AG139:AH139)</f>
        <v>0</v>
      </c>
      <c r="AT139" s="41">
        <f>SUM($AG139:AI139)</f>
        <v>0</v>
      </c>
      <c r="AU139" s="41">
        <f>SUM($AG139:AJ139)</f>
        <v>0</v>
      </c>
      <c r="AV139" s="41">
        <f>SUM($AG139:AK139)</f>
        <v>0</v>
      </c>
      <c r="AW139" s="41">
        <f>SUM($AG139:AL139)</f>
        <v>0</v>
      </c>
      <c r="AX139" s="41">
        <f>SUM($AG139:AM139)</f>
        <v>0</v>
      </c>
      <c r="AY139" s="41">
        <f>SUM($AG139:AN139)</f>
        <v>0</v>
      </c>
      <c r="AZ139" s="41">
        <f>SUM($AG139:AO139)</f>
        <v>0</v>
      </c>
      <c r="BA139" s="41">
        <f>SUM($AG139:AP139)</f>
        <v>0</v>
      </c>
      <c r="BB139" s="41">
        <f>SUM($AG139:AQ139)</f>
        <v>0</v>
      </c>
      <c r="BC139" s="41" t="str">
        <f t="shared" si="38"/>
        <v/>
      </c>
      <c r="BD139" s="41" t="str">
        <f t="shared" si="38"/>
        <v/>
      </c>
      <c r="BE139" s="41" t="str">
        <f t="shared" si="38"/>
        <v/>
      </c>
      <c r="BF139" s="41" t="str">
        <f t="shared" si="38"/>
        <v/>
      </c>
      <c r="BG139" s="41" t="str">
        <f t="shared" si="38"/>
        <v/>
      </c>
      <c r="BH139" s="41" t="str">
        <f t="shared" si="38"/>
        <v/>
      </c>
      <c r="BI139" s="41" t="str">
        <f t="shared" si="38"/>
        <v/>
      </c>
      <c r="BJ139" s="41" t="str">
        <f t="shared" si="38"/>
        <v/>
      </c>
      <c r="BK139" s="41" t="str">
        <f t="shared" si="38"/>
        <v/>
      </c>
      <c r="BL139" s="41" t="str">
        <f t="shared" si="37"/>
        <v/>
      </c>
      <c r="BM139" s="41" t="str">
        <f t="shared" si="37"/>
        <v/>
      </c>
    </row>
    <row r="140" spans="1:65" ht="15" customHeight="1" x14ac:dyDescent="0.25">
      <c r="A140" s="957">
        <f t="shared" si="32"/>
        <v>0</v>
      </c>
      <c r="B140" s="10"/>
      <c r="C140" s="10"/>
      <c r="D140" s="13"/>
      <c r="E140" s="10"/>
      <c r="F140" s="10"/>
      <c r="G140" s="10"/>
      <c r="H140" s="10"/>
      <c r="I140" s="10"/>
      <c r="J140" s="10"/>
      <c r="K140" s="10"/>
      <c r="L140" s="10"/>
      <c r="M140" s="10"/>
      <c r="N140" s="10"/>
      <c r="O140" s="10"/>
      <c r="P140" s="4"/>
      <c r="Q140" s="1204"/>
      <c r="R140" s="101" t="str">
        <f t="shared" si="28"/>
        <v/>
      </c>
      <c r="S140" s="137">
        <f t="shared" si="30"/>
        <v>48</v>
      </c>
      <c r="T140" s="2129">
        <v>0.34</v>
      </c>
      <c r="U140" s="2130">
        <v>0.53</v>
      </c>
      <c r="V140" s="2130">
        <v>0.64</v>
      </c>
      <c r="W140" s="2130">
        <v>0.77</v>
      </c>
      <c r="X140" s="2130">
        <v>0.79</v>
      </c>
      <c r="Y140" s="2130"/>
      <c r="Z140" s="2130"/>
      <c r="AA140" s="2130"/>
      <c r="AB140" s="2130"/>
      <c r="AC140" s="2130"/>
      <c r="AD140" s="101"/>
      <c r="AE140" s="6"/>
      <c r="AF140" s="11"/>
      <c r="AG140" s="41">
        <f t="shared" si="33"/>
        <v>0</v>
      </c>
      <c r="AH140" s="41">
        <f>IF(ISERROR(HLOOKUP(AH$91,'Improved Sales Adjustments 1'!$G$7:$WV$147,68,FALSE)),0,IF(HLOOKUP(AH$91,'Improved Sales Adjustments 1'!$G$7:$WV$147,68,FALSE)="",0,IF($S140=HLOOKUP(AH$91,'Improved Sales Adjustments 1'!$G$7:$WV$147,68,FALSE),1,0)))</f>
        <v>0</v>
      </c>
      <c r="AI140" s="41">
        <f>IF(ISERROR(HLOOKUP(AI$91,'Improved Sales Adjustments 1'!$G$7:$WV$147,68,FALSE)),0,IF(HLOOKUP(AI$91,'Improved Sales Adjustments 1'!$G$7:$WV$147,68,FALSE)="",0,IF($S140=HLOOKUP(AI$91,'Improved Sales Adjustments 1'!$G$7:$WV$147,68,FALSE),1,0)))</f>
        <v>0</v>
      </c>
      <c r="AJ140" s="41">
        <f>IF(ISERROR(HLOOKUP(AJ$91,'Improved Sales Adjustments 1'!$G$7:$WV$147,68,FALSE)),0,IF(HLOOKUP(AJ$91,'Improved Sales Adjustments 1'!$G$7:$WV$147,68,FALSE)="",0,IF($S140=HLOOKUP(AJ$91,'Improved Sales Adjustments 1'!$G$7:$WV$147,68,FALSE),1,0)))</f>
        <v>0</v>
      </c>
      <c r="AK140" s="41">
        <f>IF(ISERROR(HLOOKUP(AK$91,'Improved Sales Adjustments 1'!$G$7:$WV$147,68,FALSE)),0,IF(HLOOKUP(AK$91,'Improved Sales Adjustments 1'!$G$7:$WV$147,68,FALSE)="",0,IF($S140=HLOOKUP(AK$91,'Improved Sales Adjustments 1'!$G$7:$WV$147,68,FALSE),1,0)))</f>
        <v>0</v>
      </c>
      <c r="AL140" s="41">
        <f>IF(ISERROR(HLOOKUP(AL$91,'Improved Sales Adjustments 1'!$G$7:$WV$147,68,FALSE)),0,IF(HLOOKUP(AL$91,'Improved Sales Adjustments 1'!$G$7:$WV$147,68,FALSE)="",0,IF($S140=HLOOKUP(AL$91,'Improved Sales Adjustments 1'!$G$7:$WV$147,68,FALSE),1,0)))</f>
        <v>0</v>
      </c>
      <c r="AM140" s="41">
        <f>IF(ISERROR(HLOOKUP(AM$91,'Improved Sales Adjustments 1'!$G$7:$WV$147,68,FALSE)),0,IF(HLOOKUP(AM$91,'Improved Sales Adjustments 1'!$G$7:$WV$147,68,FALSE)="",0,IF($S140=HLOOKUP(AM$91,'Improved Sales Adjustments 1'!$G$7:$WV$147,68,FALSE),1,0)))</f>
        <v>0</v>
      </c>
      <c r="AN140" s="41">
        <f>IF(ISERROR(HLOOKUP(AN$91,'Improved Sales Adjustments 1'!$G$7:$WV$147,68,FALSE)),0,IF(HLOOKUP(AN$91,'Improved Sales Adjustments 1'!$G$7:$WV$147,68,FALSE)="",0,IF($S140=HLOOKUP(AN$91,'Improved Sales Adjustments 1'!$G$7:$WV$147,68,FALSE),1,0)))</f>
        <v>0</v>
      </c>
      <c r="AO140" s="41">
        <f>IF(ISERROR(HLOOKUP(AO$91,'Improved Sales Adjustments 1'!$G$7:$WV$147,68,FALSE)),0,IF(HLOOKUP(AO$91,'Improved Sales Adjustments 1'!$G$7:$WV$147,68,FALSE)="",0,IF($S140=HLOOKUP(AO$91,'Improved Sales Adjustments 1'!$G$7:$WV$147,68,FALSE),1,0)))</f>
        <v>0</v>
      </c>
      <c r="AP140" s="41">
        <f>IF(ISERROR(HLOOKUP(AP$91,'Improved Sales Adjustments 1'!$G$7:$WV$147,68,FALSE)),0,IF(HLOOKUP(AP$91,'Improved Sales Adjustments 1'!$G$7:$WV$147,68,FALSE)="",0,IF($S140=HLOOKUP(AP$91,'Improved Sales Adjustments 1'!$G$7:$WV$147,68,FALSE),1,0)))</f>
        <v>0</v>
      </c>
      <c r="AQ140" s="41">
        <f>IF(ISERROR(HLOOKUP(AQ$91,'Improved Sales Adjustments 1'!$G$7:$WV$147,68,FALSE)),0,IF(HLOOKUP(AQ$91,'Improved Sales Adjustments 1'!$G$7:$WV$147,68,FALSE)="",0,IF($S140=HLOOKUP(AQ$91,'Improved Sales Adjustments 1'!$G$7:$WV$147,68,FALSE),1,0)))</f>
        <v>0</v>
      </c>
      <c r="AR140" s="41">
        <f>SUM($AG140:AG140)</f>
        <v>0</v>
      </c>
      <c r="AS140" s="41">
        <f>SUM($AG140:AH140)</f>
        <v>0</v>
      </c>
      <c r="AT140" s="41">
        <f>SUM($AG140:AI140)</f>
        <v>0</v>
      </c>
      <c r="AU140" s="41">
        <f>SUM($AG140:AJ140)</f>
        <v>0</v>
      </c>
      <c r="AV140" s="41">
        <f>SUM($AG140:AK140)</f>
        <v>0</v>
      </c>
      <c r="AW140" s="41">
        <f>SUM($AG140:AL140)</f>
        <v>0</v>
      </c>
      <c r="AX140" s="41">
        <f>SUM($AG140:AM140)</f>
        <v>0</v>
      </c>
      <c r="AY140" s="41">
        <f>SUM($AG140:AN140)</f>
        <v>0</v>
      </c>
      <c r="AZ140" s="41">
        <f>SUM($AG140:AO140)</f>
        <v>0</v>
      </c>
      <c r="BA140" s="41">
        <f>SUM($AG140:AP140)</f>
        <v>0</v>
      </c>
      <c r="BB140" s="41">
        <f>SUM($AG140:AQ140)</f>
        <v>0</v>
      </c>
      <c r="BC140" s="41" t="str">
        <f t="shared" si="38"/>
        <v/>
      </c>
      <c r="BD140" s="41" t="str">
        <f t="shared" si="38"/>
        <v/>
      </c>
      <c r="BE140" s="41" t="str">
        <f t="shared" si="38"/>
        <v/>
      </c>
      <c r="BF140" s="41" t="str">
        <f t="shared" si="38"/>
        <v/>
      </c>
      <c r="BG140" s="41" t="str">
        <f t="shared" si="38"/>
        <v/>
      </c>
      <c r="BH140" s="41" t="str">
        <f t="shared" si="38"/>
        <v/>
      </c>
      <c r="BI140" s="41" t="str">
        <f t="shared" si="38"/>
        <v/>
      </c>
      <c r="BJ140" s="41" t="str">
        <f t="shared" si="38"/>
        <v/>
      </c>
      <c r="BK140" s="41" t="str">
        <f t="shared" si="38"/>
        <v/>
      </c>
      <c r="BL140" s="41" t="str">
        <f t="shared" si="37"/>
        <v/>
      </c>
      <c r="BM140" s="41" t="str">
        <f t="shared" si="37"/>
        <v/>
      </c>
    </row>
    <row r="141" spans="1:65" ht="15" customHeight="1" x14ac:dyDescent="0.25">
      <c r="A141" s="957">
        <f t="shared" si="32"/>
        <v>0</v>
      </c>
      <c r="B141" s="10"/>
      <c r="C141" s="10"/>
      <c r="D141" s="13"/>
      <c r="E141" s="10"/>
      <c r="F141" s="10"/>
      <c r="G141" s="10"/>
      <c r="H141" s="10"/>
      <c r="I141" s="10"/>
      <c r="J141" s="10"/>
      <c r="K141" s="10"/>
      <c r="L141" s="10"/>
      <c r="M141" s="10"/>
      <c r="N141" s="10"/>
      <c r="O141" s="10"/>
      <c r="P141" s="4"/>
      <c r="Q141" s="1204"/>
      <c r="R141" s="101" t="str">
        <f t="shared" si="28"/>
        <v/>
      </c>
      <c r="S141" s="137">
        <f t="shared" si="30"/>
        <v>49</v>
      </c>
      <c r="T141" s="2130">
        <f>(T142+T140)/2</f>
        <v>0.36</v>
      </c>
      <c r="U141" s="2130">
        <f>(U142+U140)/2</f>
        <v>0.55499999999999994</v>
      </c>
      <c r="V141" s="2130">
        <f>(V142+V140)/2</f>
        <v>0.66</v>
      </c>
      <c r="W141" s="2130">
        <f>(W142+W140)/2</f>
        <v>0.78</v>
      </c>
      <c r="X141" s="2130">
        <f>(X142+X140)/2</f>
        <v>0.79500000000000004</v>
      </c>
      <c r="Y141" s="2130"/>
      <c r="Z141" s="2130"/>
      <c r="AA141" s="2130"/>
      <c r="AB141" s="2130"/>
      <c r="AC141" s="2130"/>
      <c r="AD141" s="101"/>
      <c r="AE141" s="6"/>
      <c r="AF141" s="11"/>
      <c r="AG141" s="41">
        <f t="shared" si="33"/>
        <v>0</v>
      </c>
      <c r="AH141" s="41">
        <f>IF(ISERROR(HLOOKUP(AH$91,'Improved Sales Adjustments 1'!$G$7:$WV$147,68,FALSE)),0,IF(HLOOKUP(AH$91,'Improved Sales Adjustments 1'!$G$7:$WV$147,68,FALSE)="",0,IF($S141=HLOOKUP(AH$91,'Improved Sales Adjustments 1'!$G$7:$WV$147,68,FALSE),1,0)))</f>
        <v>0</v>
      </c>
      <c r="AI141" s="41">
        <f>IF(ISERROR(HLOOKUP(AI$91,'Improved Sales Adjustments 1'!$G$7:$WV$147,68,FALSE)),0,IF(HLOOKUP(AI$91,'Improved Sales Adjustments 1'!$G$7:$WV$147,68,FALSE)="",0,IF($S141=HLOOKUP(AI$91,'Improved Sales Adjustments 1'!$G$7:$WV$147,68,FALSE),1,0)))</f>
        <v>0</v>
      </c>
      <c r="AJ141" s="41">
        <f>IF(ISERROR(HLOOKUP(AJ$91,'Improved Sales Adjustments 1'!$G$7:$WV$147,68,FALSE)),0,IF(HLOOKUP(AJ$91,'Improved Sales Adjustments 1'!$G$7:$WV$147,68,FALSE)="",0,IF($S141=HLOOKUP(AJ$91,'Improved Sales Adjustments 1'!$G$7:$WV$147,68,FALSE),1,0)))</f>
        <v>0</v>
      </c>
      <c r="AK141" s="41">
        <f>IF(ISERROR(HLOOKUP(AK$91,'Improved Sales Adjustments 1'!$G$7:$WV$147,68,FALSE)),0,IF(HLOOKUP(AK$91,'Improved Sales Adjustments 1'!$G$7:$WV$147,68,FALSE)="",0,IF($S141=HLOOKUP(AK$91,'Improved Sales Adjustments 1'!$G$7:$WV$147,68,FALSE),1,0)))</f>
        <v>0</v>
      </c>
      <c r="AL141" s="41">
        <f>IF(ISERROR(HLOOKUP(AL$91,'Improved Sales Adjustments 1'!$G$7:$WV$147,68,FALSE)),0,IF(HLOOKUP(AL$91,'Improved Sales Adjustments 1'!$G$7:$WV$147,68,FALSE)="",0,IF($S141=HLOOKUP(AL$91,'Improved Sales Adjustments 1'!$G$7:$WV$147,68,FALSE),1,0)))</f>
        <v>0</v>
      </c>
      <c r="AM141" s="41">
        <f>IF(ISERROR(HLOOKUP(AM$91,'Improved Sales Adjustments 1'!$G$7:$WV$147,68,FALSE)),0,IF(HLOOKUP(AM$91,'Improved Sales Adjustments 1'!$G$7:$WV$147,68,FALSE)="",0,IF($S141=HLOOKUP(AM$91,'Improved Sales Adjustments 1'!$G$7:$WV$147,68,FALSE),1,0)))</f>
        <v>0</v>
      </c>
      <c r="AN141" s="41">
        <f>IF(ISERROR(HLOOKUP(AN$91,'Improved Sales Adjustments 1'!$G$7:$WV$147,68,FALSE)),0,IF(HLOOKUP(AN$91,'Improved Sales Adjustments 1'!$G$7:$WV$147,68,FALSE)="",0,IF($S141=HLOOKUP(AN$91,'Improved Sales Adjustments 1'!$G$7:$WV$147,68,FALSE),1,0)))</f>
        <v>0</v>
      </c>
      <c r="AO141" s="41">
        <f>IF(ISERROR(HLOOKUP(AO$91,'Improved Sales Adjustments 1'!$G$7:$WV$147,68,FALSE)),0,IF(HLOOKUP(AO$91,'Improved Sales Adjustments 1'!$G$7:$WV$147,68,FALSE)="",0,IF($S141=HLOOKUP(AO$91,'Improved Sales Adjustments 1'!$G$7:$WV$147,68,FALSE),1,0)))</f>
        <v>0</v>
      </c>
      <c r="AP141" s="41">
        <f>IF(ISERROR(HLOOKUP(AP$91,'Improved Sales Adjustments 1'!$G$7:$WV$147,68,FALSE)),0,IF(HLOOKUP(AP$91,'Improved Sales Adjustments 1'!$G$7:$WV$147,68,FALSE)="",0,IF($S141=HLOOKUP(AP$91,'Improved Sales Adjustments 1'!$G$7:$WV$147,68,FALSE),1,0)))</f>
        <v>0</v>
      </c>
      <c r="AQ141" s="41">
        <f>IF(ISERROR(HLOOKUP(AQ$91,'Improved Sales Adjustments 1'!$G$7:$WV$147,68,FALSE)),0,IF(HLOOKUP(AQ$91,'Improved Sales Adjustments 1'!$G$7:$WV$147,68,FALSE)="",0,IF($S141=HLOOKUP(AQ$91,'Improved Sales Adjustments 1'!$G$7:$WV$147,68,FALSE),1,0)))</f>
        <v>0</v>
      </c>
      <c r="AR141" s="41">
        <f>SUM($AG141:AG141)</f>
        <v>0</v>
      </c>
      <c r="AS141" s="41">
        <f>SUM($AG141:AH141)</f>
        <v>0</v>
      </c>
      <c r="AT141" s="41">
        <f>SUM($AG141:AI141)</f>
        <v>0</v>
      </c>
      <c r="AU141" s="41">
        <f>SUM($AG141:AJ141)</f>
        <v>0</v>
      </c>
      <c r="AV141" s="41">
        <f>SUM($AG141:AK141)</f>
        <v>0</v>
      </c>
      <c r="AW141" s="41">
        <f>SUM($AG141:AL141)</f>
        <v>0</v>
      </c>
      <c r="AX141" s="41">
        <f>SUM($AG141:AM141)</f>
        <v>0</v>
      </c>
      <c r="AY141" s="41">
        <f>SUM($AG141:AN141)</f>
        <v>0</v>
      </c>
      <c r="AZ141" s="41">
        <f>SUM($AG141:AO141)</f>
        <v>0</v>
      </c>
      <c r="BA141" s="41">
        <f>SUM($AG141:AP141)</f>
        <v>0</v>
      </c>
      <c r="BB141" s="41">
        <f>SUM($AG141:AQ141)</f>
        <v>0</v>
      </c>
      <c r="BC141" s="41" t="str">
        <f t="shared" si="38"/>
        <v/>
      </c>
      <c r="BD141" s="41" t="str">
        <f t="shared" si="38"/>
        <v/>
      </c>
      <c r="BE141" s="41" t="str">
        <f t="shared" si="38"/>
        <v/>
      </c>
      <c r="BF141" s="41" t="str">
        <f t="shared" si="38"/>
        <v/>
      </c>
      <c r="BG141" s="41" t="str">
        <f t="shared" si="38"/>
        <v/>
      </c>
      <c r="BH141" s="41" t="str">
        <f t="shared" si="38"/>
        <v/>
      </c>
      <c r="BI141" s="41" t="str">
        <f t="shared" si="38"/>
        <v/>
      </c>
      <c r="BJ141" s="41" t="str">
        <f t="shared" si="38"/>
        <v/>
      </c>
      <c r="BK141" s="41" t="str">
        <f t="shared" si="38"/>
        <v/>
      </c>
      <c r="BL141" s="41" t="str">
        <f t="shared" si="37"/>
        <v/>
      </c>
      <c r="BM141" s="41" t="str">
        <f t="shared" si="37"/>
        <v/>
      </c>
    </row>
    <row r="142" spans="1:65" ht="15" customHeight="1" x14ac:dyDescent="0.25">
      <c r="A142" s="957">
        <f t="shared" si="32"/>
        <v>0</v>
      </c>
      <c r="B142" s="10"/>
      <c r="C142" s="10"/>
      <c r="D142" s="13"/>
      <c r="E142" s="10"/>
      <c r="F142" s="10"/>
      <c r="G142" s="10"/>
      <c r="H142" s="10"/>
      <c r="I142" s="10"/>
      <c r="J142" s="10"/>
      <c r="K142" s="10"/>
      <c r="L142" s="10"/>
      <c r="M142" s="10"/>
      <c r="N142" s="10"/>
      <c r="O142" s="10"/>
      <c r="P142" s="4"/>
      <c r="Q142" s="1204"/>
      <c r="R142" s="101" t="str">
        <f t="shared" si="28"/>
        <v/>
      </c>
      <c r="S142" s="137">
        <f t="shared" si="30"/>
        <v>50</v>
      </c>
      <c r="T142" s="2129">
        <v>0.38</v>
      </c>
      <c r="U142" s="2130">
        <v>0.57999999999999996</v>
      </c>
      <c r="V142" s="2130">
        <v>0.68</v>
      </c>
      <c r="W142" s="2130">
        <v>0.79</v>
      </c>
      <c r="X142" s="2130">
        <v>0.8</v>
      </c>
      <c r="Y142" s="2130"/>
      <c r="Z142" s="2130"/>
      <c r="AA142" s="2130"/>
      <c r="AB142" s="2130"/>
      <c r="AC142" s="2130"/>
      <c r="AD142" s="101"/>
      <c r="AE142" s="6"/>
      <c r="AF142" s="11"/>
      <c r="AG142" s="41">
        <f t="shared" si="33"/>
        <v>0</v>
      </c>
      <c r="AH142" s="41">
        <f>IF(ISERROR(HLOOKUP(AH$91,'Improved Sales Adjustments 1'!$G$7:$WV$147,68,FALSE)),0,IF(HLOOKUP(AH$91,'Improved Sales Adjustments 1'!$G$7:$WV$147,68,FALSE)="",0,IF($S142=HLOOKUP(AH$91,'Improved Sales Adjustments 1'!$G$7:$WV$147,68,FALSE),1,0)))</f>
        <v>0</v>
      </c>
      <c r="AI142" s="41">
        <f>IF(ISERROR(HLOOKUP(AI$91,'Improved Sales Adjustments 1'!$G$7:$WV$147,68,FALSE)),0,IF(HLOOKUP(AI$91,'Improved Sales Adjustments 1'!$G$7:$WV$147,68,FALSE)="",0,IF($S142=HLOOKUP(AI$91,'Improved Sales Adjustments 1'!$G$7:$WV$147,68,FALSE),1,0)))</f>
        <v>0</v>
      </c>
      <c r="AJ142" s="41">
        <f>IF(ISERROR(HLOOKUP(AJ$91,'Improved Sales Adjustments 1'!$G$7:$WV$147,68,FALSE)),0,IF(HLOOKUP(AJ$91,'Improved Sales Adjustments 1'!$G$7:$WV$147,68,FALSE)="",0,IF($S142=HLOOKUP(AJ$91,'Improved Sales Adjustments 1'!$G$7:$WV$147,68,FALSE),1,0)))</f>
        <v>0</v>
      </c>
      <c r="AK142" s="41">
        <f>IF(ISERROR(HLOOKUP(AK$91,'Improved Sales Adjustments 1'!$G$7:$WV$147,68,FALSE)),0,IF(HLOOKUP(AK$91,'Improved Sales Adjustments 1'!$G$7:$WV$147,68,FALSE)="",0,IF($S142=HLOOKUP(AK$91,'Improved Sales Adjustments 1'!$G$7:$WV$147,68,FALSE),1,0)))</f>
        <v>0</v>
      </c>
      <c r="AL142" s="41">
        <f>IF(ISERROR(HLOOKUP(AL$91,'Improved Sales Adjustments 1'!$G$7:$WV$147,68,FALSE)),0,IF(HLOOKUP(AL$91,'Improved Sales Adjustments 1'!$G$7:$WV$147,68,FALSE)="",0,IF($S142=HLOOKUP(AL$91,'Improved Sales Adjustments 1'!$G$7:$WV$147,68,FALSE),1,0)))</f>
        <v>0</v>
      </c>
      <c r="AM142" s="41">
        <f>IF(ISERROR(HLOOKUP(AM$91,'Improved Sales Adjustments 1'!$G$7:$WV$147,68,FALSE)),0,IF(HLOOKUP(AM$91,'Improved Sales Adjustments 1'!$G$7:$WV$147,68,FALSE)="",0,IF($S142=HLOOKUP(AM$91,'Improved Sales Adjustments 1'!$G$7:$WV$147,68,FALSE),1,0)))</f>
        <v>0</v>
      </c>
      <c r="AN142" s="41">
        <f>IF(ISERROR(HLOOKUP(AN$91,'Improved Sales Adjustments 1'!$G$7:$WV$147,68,FALSE)),0,IF(HLOOKUP(AN$91,'Improved Sales Adjustments 1'!$G$7:$WV$147,68,FALSE)="",0,IF($S142=HLOOKUP(AN$91,'Improved Sales Adjustments 1'!$G$7:$WV$147,68,FALSE),1,0)))</f>
        <v>0</v>
      </c>
      <c r="AO142" s="41">
        <f>IF(ISERROR(HLOOKUP(AO$91,'Improved Sales Adjustments 1'!$G$7:$WV$147,68,FALSE)),0,IF(HLOOKUP(AO$91,'Improved Sales Adjustments 1'!$G$7:$WV$147,68,FALSE)="",0,IF($S142=HLOOKUP(AO$91,'Improved Sales Adjustments 1'!$G$7:$WV$147,68,FALSE),1,0)))</f>
        <v>0</v>
      </c>
      <c r="AP142" s="41">
        <f>IF(ISERROR(HLOOKUP(AP$91,'Improved Sales Adjustments 1'!$G$7:$WV$147,68,FALSE)),0,IF(HLOOKUP(AP$91,'Improved Sales Adjustments 1'!$G$7:$WV$147,68,FALSE)="",0,IF($S142=HLOOKUP(AP$91,'Improved Sales Adjustments 1'!$G$7:$WV$147,68,FALSE),1,0)))</f>
        <v>0</v>
      </c>
      <c r="AQ142" s="41">
        <f>IF(ISERROR(HLOOKUP(AQ$91,'Improved Sales Adjustments 1'!$G$7:$WV$147,68,FALSE)),0,IF(HLOOKUP(AQ$91,'Improved Sales Adjustments 1'!$G$7:$WV$147,68,FALSE)="",0,IF($S142=HLOOKUP(AQ$91,'Improved Sales Adjustments 1'!$G$7:$WV$147,68,FALSE),1,0)))</f>
        <v>0</v>
      </c>
      <c r="AR142" s="41">
        <f>SUM($AG142:AG142)</f>
        <v>0</v>
      </c>
      <c r="AS142" s="41">
        <f>SUM($AG142:AH142)</f>
        <v>0</v>
      </c>
      <c r="AT142" s="41">
        <f>SUM($AG142:AI142)</f>
        <v>0</v>
      </c>
      <c r="AU142" s="41">
        <f>SUM($AG142:AJ142)</f>
        <v>0</v>
      </c>
      <c r="AV142" s="41">
        <f>SUM($AG142:AK142)</f>
        <v>0</v>
      </c>
      <c r="AW142" s="41">
        <f>SUM($AG142:AL142)</f>
        <v>0</v>
      </c>
      <c r="AX142" s="41">
        <f>SUM($AG142:AM142)</f>
        <v>0</v>
      </c>
      <c r="AY142" s="41">
        <f>SUM($AG142:AN142)</f>
        <v>0</v>
      </c>
      <c r="AZ142" s="41">
        <f>SUM($AG142:AO142)</f>
        <v>0</v>
      </c>
      <c r="BA142" s="41">
        <f>SUM($AG142:AP142)</f>
        <v>0</v>
      </c>
      <c r="BB142" s="41">
        <f>SUM($AG142:AQ142)</f>
        <v>0</v>
      </c>
      <c r="BC142" s="41" t="str">
        <f t="shared" si="38"/>
        <v/>
      </c>
      <c r="BD142" s="41" t="str">
        <f t="shared" si="38"/>
        <v/>
      </c>
      <c r="BE142" s="41" t="str">
        <f t="shared" si="38"/>
        <v/>
      </c>
      <c r="BF142" s="41" t="str">
        <f t="shared" si="38"/>
        <v/>
      </c>
      <c r="BG142" s="41" t="str">
        <f t="shared" si="38"/>
        <v/>
      </c>
      <c r="BH142" s="41" t="str">
        <f t="shared" si="38"/>
        <v/>
      </c>
      <c r="BI142" s="41" t="str">
        <f t="shared" si="38"/>
        <v/>
      </c>
      <c r="BJ142" s="41" t="str">
        <f t="shared" si="38"/>
        <v/>
      </c>
      <c r="BK142" s="41" t="str">
        <f t="shared" si="38"/>
        <v/>
      </c>
      <c r="BL142" s="41" t="str">
        <f t="shared" si="37"/>
        <v/>
      </c>
      <c r="BM142" s="41" t="str">
        <f t="shared" si="37"/>
        <v/>
      </c>
    </row>
    <row r="143" spans="1:65" ht="15" customHeight="1" x14ac:dyDescent="0.25">
      <c r="A143" s="957">
        <f t="shared" si="32"/>
        <v>0</v>
      </c>
      <c r="B143" s="10"/>
      <c r="C143" s="10"/>
      <c r="D143" s="13"/>
      <c r="E143" s="10"/>
      <c r="F143" s="10"/>
      <c r="G143" s="10"/>
      <c r="H143" s="10"/>
      <c r="I143" s="10"/>
      <c r="J143" s="10"/>
      <c r="K143" s="10"/>
      <c r="L143" s="10"/>
      <c r="M143" s="10"/>
      <c r="N143" s="10"/>
      <c r="O143" s="10"/>
      <c r="P143" s="4"/>
      <c r="Q143" s="1204"/>
      <c r="R143" s="101" t="str">
        <f t="shared" si="28"/>
        <v/>
      </c>
      <c r="S143" s="137">
        <f t="shared" si="30"/>
        <v>51</v>
      </c>
      <c r="T143" s="2130">
        <f>((T$147-T$142)/5)+T142</f>
        <v>0.4</v>
      </c>
      <c r="U143" s="2130">
        <f>((U$147-U$142)/5)+U142</f>
        <v>0.59799999999999998</v>
      </c>
      <c r="V143" s="2130">
        <f>((V$147-V$142)/5)+V142</f>
        <v>0.69400000000000006</v>
      </c>
      <c r="W143" s="2130">
        <f>((W$147-W$142)/5)+W142</f>
        <v>0.79200000000000004</v>
      </c>
      <c r="X143" s="2130"/>
      <c r="Y143" s="2130"/>
      <c r="Z143" s="2130"/>
      <c r="AA143" s="2130"/>
      <c r="AB143" s="2130"/>
      <c r="AC143" s="2130"/>
      <c r="AD143" s="101"/>
      <c r="AE143" s="6"/>
      <c r="AF143" s="11"/>
      <c r="AG143" s="41">
        <f t="shared" si="33"/>
        <v>0</v>
      </c>
      <c r="AH143" s="41">
        <f>IF(ISERROR(HLOOKUP(AH$91,'Improved Sales Adjustments 1'!$G$7:$WV$147,68,FALSE)),0,IF(HLOOKUP(AH$91,'Improved Sales Adjustments 1'!$G$7:$WV$147,68,FALSE)="",0,IF($S143=HLOOKUP(AH$91,'Improved Sales Adjustments 1'!$G$7:$WV$147,68,FALSE),1,0)))</f>
        <v>0</v>
      </c>
      <c r="AI143" s="41">
        <f>IF(ISERROR(HLOOKUP(AI$91,'Improved Sales Adjustments 1'!$G$7:$WV$147,68,FALSE)),0,IF(HLOOKUP(AI$91,'Improved Sales Adjustments 1'!$G$7:$WV$147,68,FALSE)="",0,IF($S143=HLOOKUP(AI$91,'Improved Sales Adjustments 1'!$G$7:$WV$147,68,FALSE),1,0)))</f>
        <v>0</v>
      </c>
      <c r="AJ143" s="41">
        <f>IF(ISERROR(HLOOKUP(AJ$91,'Improved Sales Adjustments 1'!$G$7:$WV$147,68,FALSE)),0,IF(HLOOKUP(AJ$91,'Improved Sales Adjustments 1'!$G$7:$WV$147,68,FALSE)="",0,IF($S143=HLOOKUP(AJ$91,'Improved Sales Adjustments 1'!$G$7:$WV$147,68,FALSE),1,0)))</f>
        <v>0</v>
      </c>
      <c r="AK143" s="41">
        <f>IF(ISERROR(HLOOKUP(AK$91,'Improved Sales Adjustments 1'!$G$7:$WV$147,68,FALSE)),0,IF(HLOOKUP(AK$91,'Improved Sales Adjustments 1'!$G$7:$WV$147,68,FALSE)="",0,IF($S143=HLOOKUP(AK$91,'Improved Sales Adjustments 1'!$G$7:$WV$147,68,FALSE),1,0)))</f>
        <v>0</v>
      </c>
      <c r="AL143" s="41">
        <f>IF(ISERROR(HLOOKUP(AL$91,'Improved Sales Adjustments 1'!$G$7:$WV$147,68,FALSE)),0,IF(HLOOKUP(AL$91,'Improved Sales Adjustments 1'!$G$7:$WV$147,68,FALSE)="",0,IF($S143=HLOOKUP(AL$91,'Improved Sales Adjustments 1'!$G$7:$WV$147,68,FALSE),1,0)))</f>
        <v>0</v>
      </c>
      <c r="AM143" s="41">
        <f>IF(ISERROR(HLOOKUP(AM$91,'Improved Sales Adjustments 1'!$G$7:$WV$147,68,FALSE)),0,IF(HLOOKUP(AM$91,'Improved Sales Adjustments 1'!$G$7:$WV$147,68,FALSE)="",0,IF($S143=HLOOKUP(AM$91,'Improved Sales Adjustments 1'!$G$7:$WV$147,68,FALSE),1,0)))</f>
        <v>0</v>
      </c>
      <c r="AN143" s="41">
        <f>IF(ISERROR(HLOOKUP(AN$91,'Improved Sales Adjustments 1'!$G$7:$WV$147,68,FALSE)),0,IF(HLOOKUP(AN$91,'Improved Sales Adjustments 1'!$G$7:$WV$147,68,FALSE)="",0,IF($S143=HLOOKUP(AN$91,'Improved Sales Adjustments 1'!$G$7:$WV$147,68,FALSE),1,0)))</f>
        <v>0</v>
      </c>
      <c r="AO143" s="41">
        <f>IF(ISERROR(HLOOKUP(AO$91,'Improved Sales Adjustments 1'!$G$7:$WV$147,68,FALSE)),0,IF(HLOOKUP(AO$91,'Improved Sales Adjustments 1'!$G$7:$WV$147,68,FALSE)="",0,IF($S143=HLOOKUP(AO$91,'Improved Sales Adjustments 1'!$G$7:$WV$147,68,FALSE),1,0)))</f>
        <v>0</v>
      </c>
      <c r="AP143" s="41">
        <f>IF(ISERROR(HLOOKUP(AP$91,'Improved Sales Adjustments 1'!$G$7:$WV$147,68,FALSE)),0,IF(HLOOKUP(AP$91,'Improved Sales Adjustments 1'!$G$7:$WV$147,68,FALSE)="",0,IF($S143=HLOOKUP(AP$91,'Improved Sales Adjustments 1'!$G$7:$WV$147,68,FALSE),1,0)))</f>
        <v>0</v>
      </c>
      <c r="AQ143" s="41">
        <f>IF(ISERROR(HLOOKUP(AQ$91,'Improved Sales Adjustments 1'!$G$7:$WV$147,68,FALSE)),0,IF(HLOOKUP(AQ$91,'Improved Sales Adjustments 1'!$G$7:$WV$147,68,FALSE)="",0,IF($S143=HLOOKUP(AQ$91,'Improved Sales Adjustments 1'!$G$7:$WV$147,68,FALSE),1,0)))</f>
        <v>0</v>
      </c>
      <c r="AR143" s="41">
        <f>SUM($AG143:AG143)</f>
        <v>0</v>
      </c>
      <c r="AS143" s="41">
        <f>SUM($AG143:AH143)</f>
        <v>0</v>
      </c>
      <c r="AT143" s="41">
        <f>SUM($AG143:AI143)</f>
        <v>0</v>
      </c>
      <c r="AU143" s="41">
        <f>SUM($AG143:AJ143)</f>
        <v>0</v>
      </c>
      <c r="AV143" s="41">
        <f>SUM($AG143:AK143)</f>
        <v>0</v>
      </c>
      <c r="AW143" s="41">
        <f>SUM($AG143:AL143)</f>
        <v>0</v>
      </c>
      <c r="AX143" s="41">
        <f>SUM($AG143:AM143)</f>
        <v>0</v>
      </c>
      <c r="AY143" s="41">
        <f>SUM($AG143:AN143)</f>
        <v>0</v>
      </c>
      <c r="AZ143" s="41">
        <f>SUM($AG143:AO143)</f>
        <v>0</v>
      </c>
      <c r="BA143" s="41">
        <f>SUM($AG143:AP143)</f>
        <v>0</v>
      </c>
      <c r="BB143" s="41">
        <f>SUM($AG143:AQ143)</f>
        <v>0</v>
      </c>
      <c r="BC143" s="41" t="str">
        <f t="shared" si="38"/>
        <v/>
      </c>
      <c r="BD143" s="41" t="str">
        <f t="shared" si="38"/>
        <v/>
      </c>
      <c r="BE143" s="41" t="str">
        <f t="shared" si="38"/>
        <v/>
      </c>
      <c r="BF143" s="41" t="str">
        <f t="shared" si="38"/>
        <v/>
      </c>
      <c r="BG143" s="41" t="str">
        <f t="shared" si="38"/>
        <v/>
      </c>
      <c r="BH143" s="41" t="str">
        <f t="shared" si="38"/>
        <v/>
      </c>
      <c r="BI143" s="41" t="str">
        <f t="shared" si="38"/>
        <v/>
      </c>
      <c r="BJ143" s="41" t="str">
        <f t="shared" si="38"/>
        <v/>
      </c>
      <c r="BK143" s="41" t="str">
        <f t="shared" si="38"/>
        <v/>
      </c>
      <c r="BL143" s="41" t="str">
        <f t="shared" si="37"/>
        <v/>
      </c>
      <c r="BM143" s="41" t="str">
        <f t="shared" si="37"/>
        <v/>
      </c>
    </row>
    <row r="144" spans="1:65" ht="15" customHeight="1" x14ac:dyDescent="0.25">
      <c r="A144" s="957">
        <f t="shared" si="32"/>
        <v>0</v>
      </c>
      <c r="B144" s="10"/>
      <c r="C144" s="10"/>
      <c r="D144" s="13"/>
      <c r="E144" s="10"/>
      <c r="F144" s="10"/>
      <c r="G144" s="10"/>
      <c r="H144" s="10"/>
      <c r="I144" s="10"/>
      <c r="J144" s="10"/>
      <c r="K144" s="10"/>
      <c r="L144" s="10"/>
      <c r="M144" s="10"/>
      <c r="N144" s="10"/>
      <c r="O144" s="10"/>
      <c r="P144" s="4"/>
      <c r="Q144" s="1204"/>
      <c r="R144" s="101" t="str">
        <f t="shared" si="28"/>
        <v/>
      </c>
      <c r="S144" s="137">
        <f t="shared" si="30"/>
        <v>52</v>
      </c>
      <c r="T144" s="2130">
        <f>((T$147-T$142)/5)+T143</f>
        <v>0.42000000000000004</v>
      </c>
      <c r="U144" s="2130">
        <f t="shared" ref="U144:W146" si="40">((U$147-U$142)/5)+U143</f>
        <v>0.61599999999999999</v>
      </c>
      <c r="V144" s="2130">
        <f t="shared" si="40"/>
        <v>0.70800000000000007</v>
      </c>
      <c r="W144" s="2130">
        <f t="shared" si="40"/>
        <v>0.79400000000000004</v>
      </c>
      <c r="X144" s="2130"/>
      <c r="Y144" s="2130"/>
      <c r="Z144" s="2130"/>
      <c r="AA144" s="2130"/>
      <c r="AB144" s="2130"/>
      <c r="AC144" s="2130"/>
      <c r="AD144" s="101"/>
      <c r="AE144" s="6"/>
      <c r="AF144" s="11"/>
      <c r="AG144" s="41">
        <f t="shared" si="33"/>
        <v>0</v>
      </c>
      <c r="AH144" s="41">
        <f>IF(ISERROR(HLOOKUP(AH$91,'Improved Sales Adjustments 1'!$G$7:$WV$147,68,FALSE)),0,IF(HLOOKUP(AH$91,'Improved Sales Adjustments 1'!$G$7:$WV$147,68,FALSE)="",0,IF($S144=HLOOKUP(AH$91,'Improved Sales Adjustments 1'!$G$7:$WV$147,68,FALSE),1,0)))</f>
        <v>0</v>
      </c>
      <c r="AI144" s="41">
        <f>IF(ISERROR(HLOOKUP(AI$91,'Improved Sales Adjustments 1'!$G$7:$WV$147,68,FALSE)),0,IF(HLOOKUP(AI$91,'Improved Sales Adjustments 1'!$G$7:$WV$147,68,FALSE)="",0,IF($S144=HLOOKUP(AI$91,'Improved Sales Adjustments 1'!$G$7:$WV$147,68,FALSE),1,0)))</f>
        <v>0</v>
      </c>
      <c r="AJ144" s="41">
        <f>IF(ISERROR(HLOOKUP(AJ$91,'Improved Sales Adjustments 1'!$G$7:$WV$147,68,FALSE)),0,IF(HLOOKUP(AJ$91,'Improved Sales Adjustments 1'!$G$7:$WV$147,68,FALSE)="",0,IF($S144=HLOOKUP(AJ$91,'Improved Sales Adjustments 1'!$G$7:$WV$147,68,FALSE),1,0)))</f>
        <v>0</v>
      </c>
      <c r="AK144" s="41">
        <f>IF(ISERROR(HLOOKUP(AK$91,'Improved Sales Adjustments 1'!$G$7:$WV$147,68,FALSE)),0,IF(HLOOKUP(AK$91,'Improved Sales Adjustments 1'!$G$7:$WV$147,68,FALSE)="",0,IF($S144=HLOOKUP(AK$91,'Improved Sales Adjustments 1'!$G$7:$WV$147,68,FALSE),1,0)))</f>
        <v>0</v>
      </c>
      <c r="AL144" s="41">
        <f>IF(ISERROR(HLOOKUP(AL$91,'Improved Sales Adjustments 1'!$G$7:$WV$147,68,FALSE)),0,IF(HLOOKUP(AL$91,'Improved Sales Adjustments 1'!$G$7:$WV$147,68,FALSE)="",0,IF($S144=HLOOKUP(AL$91,'Improved Sales Adjustments 1'!$G$7:$WV$147,68,FALSE),1,0)))</f>
        <v>0</v>
      </c>
      <c r="AM144" s="41">
        <f>IF(ISERROR(HLOOKUP(AM$91,'Improved Sales Adjustments 1'!$G$7:$WV$147,68,FALSE)),0,IF(HLOOKUP(AM$91,'Improved Sales Adjustments 1'!$G$7:$WV$147,68,FALSE)="",0,IF($S144=HLOOKUP(AM$91,'Improved Sales Adjustments 1'!$G$7:$WV$147,68,FALSE),1,0)))</f>
        <v>0</v>
      </c>
      <c r="AN144" s="41">
        <f>IF(ISERROR(HLOOKUP(AN$91,'Improved Sales Adjustments 1'!$G$7:$WV$147,68,FALSE)),0,IF(HLOOKUP(AN$91,'Improved Sales Adjustments 1'!$G$7:$WV$147,68,FALSE)="",0,IF($S144=HLOOKUP(AN$91,'Improved Sales Adjustments 1'!$G$7:$WV$147,68,FALSE),1,0)))</f>
        <v>0</v>
      </c>
      <c r="AO144" s="41">
        <f>IF(ISERROR(HLOOKUP(AO$91,'Improved Sales Adjustments 1'!$G$7:$WV$147,68,FALSE)),0,IF(HLOOKUP(AO$91,'Improved Sales Adjustments 1'!$G$7:$WV$147,68,FALSE)="",0,IF($S144=HLOOKUP(AO$91,'Improved Sales Adjustments 1'!$G$7:$WV$147,68,FALSE),1,0)))</f>
        <v>0</v>
      </c>
      <c r="AP144" s="41">
        <f>IF(ISERROR(HLOOKUP(AP$91,'Improved Sales Adjustments 1'!$G$7:$WV$147,68,FALSE)),0,IF(HLOOKUP(AP$91,'Improved Sales Adjustments 1'!$G$7:$WV$147,68,FALSE)="",0,IF($S144=HLOOKUP(AP$91,'Improved Sales Adjustments 1'!$G$7:$WV$147,68,FALSE),1,0)))</f>
        <v>0</v>
      </c>
      <c r="AQ144" s="41">
        <f>IF(ISERROR(HLOOKUP(AQ$91,'Improved Sales Adjustments 1'!$G$7:$WV$147,68,FALSE)),0,IF(HLOOKUP(AQ$91,'Improved Sales Adjustments 1'!$G$7:$WV$147,68,FALSE)="",0,IF($S144=HLOOKUP(AQ$91,'Improved Sales Adjustments 1'!$G$7:$WV$147,68,FALSE),1,0)))</f>
        <v>0</v>
      </c>
      <c r="AR144" s="41">
        <f>SUM($AG144:AG144)</f>
        <v>0</v>
      </c>
      <c r="AS144" s="41">
        <f>SUM($AG144:AH144)</f>
        <v>0</v>
      </c>
      <c r="AT144" s="41">
        <f>SUM($AG144:AI144)</f>
        <v>0</v>
      </c>
      <c r="AU144" s="41">
        <f>SUM($AG144:AJ144)</f>
        <v>0</v>
      </c>
      <c r="AV144" s="41">
        <f>SUM($AG144:AK144)</f>
        <v>0</v>
      </c>
      <c r="AW144" s="41">
        <f>SUM($AG144:AL144)</f>
        <v>0</v>
      </c>
      <c r="AX144" s="41">
        <f>SUM($AG144:AM144)</f>
        <v>0</v>
      </c>
      <c r="AY144" s="41">
        <f>SUM($AG144:AN144)</f>
        <v>0</v>
      </c>
      <c r="AZ144" s="41">
        <f>SUM($AG144:AO144)</f>
        <v>0</v>
      </c>
      <c r="BA144" s="41">
        <f>SUM($AG144:AP144)</f>
        <v>0</v>
      </c>
      <c r="BB144" s="41">
        <f>SUM($AG144:AQ144)</f>
        <v>0</v>
      </c>
      <c r="BC144" s="41" t="str">
        <f t="shared" si="38"/>
        <v/>
      </c>
      <c r="BD144" s="41" t="str">
        <f t="shared" si="38"/>
        <v/>
      </c>
      <c r="BE144" s="41" t="str">
        <f t="shared" si="38"/>
        <v/>
      </c>
      <c r="BF144" s="41" t="str">
        <f t="shared" si="38"/>
        <v/>
      </c>
      <c r="BG144" s="41" t="str">
        <f t="shared" si="38"/>
        <v/>
      </c>
      <c r="BH144" s="41" t="str">
        <f t="shared" si="38"/>
        <v/>
      </c>
      <c r="BI144" s="41" t="str">
        <f t="shared" si="38"/>
        <v/>
      </c>
      <c r="BJ144" s="41" t="str">
        <f t="shared" si="38"/>
        <v/>
      </c>
      <c r="BK144" s="41" t="str">
        <f t="shared" si="38"/>
        <v/>
      </c>
      <c r="BL144" s="41" t="str">
        <f t="shared" si="37"/>
        <v/>
      </c>
      <c r="BM144" s="41" t="str">
        <f t="shared" si="37"/>
        <v/>
      </c>
    </row>
    <row r="145" spans="1:65" ht="15" customHeight="1" x14ac:dyDescent="0.25">
      <c r="A145" s="957">
        <f t="shared" si="32"/>
        <v>0</v>
      </c>
      <c r="B145" s="10"/>
      <c r="C145" s="10"/>
      <c r="D145" s="13"/>
      <c r="E145" s="10"/>
      <c r="F145" s="10"/>
      <c r="G145" s="10"/>
      <c r="H145" s="10"/>
      <c r="I145" s="10"/>
      <c r="J145" s="10"/>
      <c r="K145" s="10"/>
      <c r="L145" s="10"/>
      <c r="M145" s="10"/>
      <c r="N145" s="10"/>
      <c r="O145" s="10"/>
      <c r="P145" s="4"/>
      <c r="Q145" s="1204"/>
      <c r="R145" s="101" t="str">
        <f t="shared" si="28"/>
        <v/>
      </c>
      <c r="S145" s="137">
        <f t="shared" si="30"/>
        <v>53</v>
      </c>
      <c r="T145" s="2130">
        <f>((T$147-T$142)/5)+T144</f>
        <v>0.44000000000000006</v>
      </c>
      <c r="U145" s="2130">
        <f t="shared" si="40"/>
        <v>0.63400000000000001</v>
      </c>
      <c r="V145" s="2130">
        <f t="shared" si="40"/>
        <v>0.72200000000000009</v>
      </c>
      <c r="W145" s="2130">
        <f t="shared" si="40"/>
        <v>0.79600000000000004</v>
      </c>
      <c r="X145" s="2130"/>
      <c r="Y145" s="2130"/>
      <c r="Z145" s="2130"/>
      <c r="AA145" s="2130"/>
      <c r="AB145" s="2130"/>
      <c r="AC145" s="2130"/>
      <c r="AD145" s="101"/>
      <c r="AE145" s="6"/>
      <c r="AF145" s="11"/>
      <c r="AG145" s="41">
        <f t="shared" si="33"/>
        <v>0</v>
      </c>
      <c r="AH145" s="41">
        <f>IF(ISERROR(HLOOKUP(AH$91,'Improved Sales Adjustments 1'!$G$7:$WV$147,68,FALSE)),0,IF(HLOOKUP(AH$91,'Improved Sales Adjustments 1'!$G$7:$WV$147,68,FALSE)="",0,IF($S145=HLOOKUP(AH$91,'Improved Sales Adjustments 1'!$G$7:$WV$147,68,FALSE),1,0)))</f>
        <v>0</v>
      </c>
      <c r="AI145" s="41">
        <f>IF(ISERROR(HLOOKUP(AI$91,'Improved Sales Adjustments 1'!$G$7:$WV$147,68,FALSE)),0,IF(HLOOKUP(AI$91,'Improved Sales Adjustments 1'!$G$7:$WV$147,68,FALSE)="",0,IF($S145=HLOOKUP(AI$91,'Improved Sales Adjustments 1'!$G$7:$WV$147,68,FALSE),1,0)))</f>
        <v>0</v>
      </c>
      <c r="AJ145" s="41">
        <f>IF(ISERROR(HLOOKUP(AJ$91,'Improved Sales Adjustments 1'!$G$7:$WV$147,68,FALSE)),0,IF(HLOOKUP(AJ$91,'Improved Sales Adjustments 1'!$G$7:$WV$147,68,FALSE)="",0,IF($S145=HLOOKUP(AJ$91,'Improved Sales Adjustments 1'!$G$7:$WV$147,68,FALSE),1,0)))</f>
        <v>0</v>
      </c>
      <c r="AK145" s="41">
        <f>IF(ISERROR(HLOOKUP(AK$91,'Improved Sales Adjustments 1'!$G$7:$WV$147,68,FALSE)),0,IF(HLOOKUP(AK$91,'Improved Sales Adjustments 1'!$G$7:$WV$147,68,FALSE)="",0,IF($S145=HLOOKUP(AK$91,'Improved Sales Adjustments 1'!$G$7:$WV$147,68,FALSE),1,0)))</f>
        <v>0</v>
      </c>
      <c r="AL145" s="41">
        <f>IF(ISERROR(HLOOKUP(AL$91,'Improved Sales Adjustments 1'!$G$7:$WV$147,68,FALSE)),0,IF(HLOOKUP(AL$91,'Improved Sales Adjustments 1'!$G$7:$WV$147,68,FALSE)="",0,IF($S145=HLOOKUP(AL$91,'Improved Sales Adjustments 1'!$G$7:$WV$147,68,FALSE),1,0)))</f>
        <v>0</v>
      </c>
      <c r="AM145" s="41">
        <f>IF(ISERROR(HLOOKUP(AM$91,'Improved Sales Adjustments 1'!$G$7:$WV$147,68,FALSE)),0,IF(HLOOKUP(AM$91,'Improved Sales Adjustments 1'!$G$7:$WV$147,68,FALSE)="",0,IF($S145=HLOOKUP(AM$91,'Improved Sales Adjustments 1'!$G$7:$WV$147,68,FALSE),1,0)))</f>
        <v>0</v>
      </c>
      <c r="AN145" s="41">
        <f>IF(ISERROR(HLOOKUP(AN$91,'Improved Sales Adjustments 1'!$G$7:$WV$147,68,FALSE)),0,IF(HLOOKUP(AN$91,'Improved Sales Adjustments 1'!$G$7:$WV$147,68,FALSE)="",0,IF($S145=HLOOKUP(AN$91,'Improved Sales Adjustments 1'!$G$7:$WV$147,68,FALSE),1,0)))</f>
        <v>0</v>
      </c>
      <c r="AO145" s="41">
        <f>IF(ISERROR(HLOOKUP(AO$91,'Improved Sales Adjustments 1'!$G$7:$WV$147,68,FALSE)),0,IF(HLOOKUP(AO$91,'Improved Sales Adjustments 1'!$G$7:$WV$147,68,FALSE)="",0,IF($S145=HLOOKUP(AO$91,'Improved Sales Adjustments 1'!$G$7:$WV$147,68,FALSE),1,0)))</f>
        <v>0</v>
      </c>
      <c r="AP145" s="41">
        <f>IF(ISERROR(HLOOKUP(AP$91,'Improved Sales Adjustments 1'!$G$7:$WV$147,68,FALSE)),0,IF(HLOOKUP(AP$91,'Improved Sales Adjustments 1'!$G$7:$WV$147,68,FALSE)="",0,IF($S145=HLOOKUP(AP$91,'Improved Sales Adjustments 1'!$G$7:$WV$147,68,FALSE),1,0)))</f>
        <v>0</v>
      </c>
      <c r="AQ145" s="41">
        <f>IF(ISERROR(HLOOKUP(AQ$91,'Improved Sales Adjustments 1'!$G$7:$WV$147,68,FALSE)),0,IF(HLOOKUP(AQ$91,'Improved Sales Adjustments 1'!$G$7:$WV$147,68,FALSE)="",0,IF($S145=HLOOKUP(AQ$91,'Improved Sales Adjustments 1'!$G$7:$WV$147,68,FALSE),1,0)))</f>
        <v>0</v>
      </c>
      <c r="AR145" s="41">
        <f>SUM($AG145:AG145)</f>
        <v>0</v>
      </c>
      <c r="AS145" s="41">
        <f>SUM($AG145:AH145)</f>
        <v>0</v>
      </c>
      <c r="AT145" s="41">
        <f>SUM($AG145:AI145)</f>
        <v>0</v>
      </c>
      <c r="AU145" s="41">
        <f>SUM($AG145:AJ145)</f>
        <v>0</v>
      </c>
      <c r="AV145" s="41">
        <f>SUM($AG145:AK145)</f>
        <v>0</v>
      </c>
      <c r="AW145" s="41">
        <f>SUM($AG145:AL145)</f>
        <v>0</v>
      </c>
      <c r="AX145" s="41">
        <f>SUM($AG145:AM145)</f>
        <v>0</v>
      </c>
      <c r="AY145" s="41">
        <f>SUM($AG145:AN145)</f>
        <v>0</v>
      </c>
      <c r="AZ145" s="41">
        <f>SUM($AG145:AO145)</f>
        <v>0</v>
      </c>
      <c r="BA145" s="41">
        <f>SUM($AG145:AP145)</f>
        <v>0</v>
      </c>
      <c r="BB145" s="41">
        <f>SUM($AG145:AQ145)</f>
        <v>0</v>
      </c>
      <c r="BC145" s="41" t="str">
        <f t="shared" si="38"/>
        <v/>
      </c>
      <c r="BD145" s="41" t="str">
        <f t="shared" si="38"/>
        <v/>
      </c>
      <c r="BE145" s="41" t="str">
        <f t="shared" si="38"/>
        <v/>
      </c>
      <c r="BF145" s="41" t="str">
        <f t="shared" si="38"/>
        <v/>
      </c>
      <c r="BG145" s="41" t="str">
        <f t="shared" si="38"/>
        <v/>
      </c>
      <c r="BH145" s="41" t="str">
        <f t="shared" si="38"/>
        <v/>
      </c>
      <c r="BI145" s="41" t="str">
        <f t="shared" si="38"/>
        <v/>
      </c>
      <c r="BJ145" s="41" t="str">
        <f t="shared" si="38"/>
        <v/>
      </c>
      <c r="BK145" s="41" t="str">
        <f t="shared" si="38"/>
        <v/>
      </c>
      <c r="BL145" s="41" t="str">
        <f t="shared" si="37"/>
        <v/>
      </c>
      <c r="BM145" s="41" t="str">
        <f t="shared" si="37"/>
        <v/>
      </c>
    </row>
    <row r="146" spans="1:65" ht="15" customHeight="1" x14ac:dyDescent="0.25">
      <c r="A146" s="957">
        <f t="shared" si="32"/>
        <v>0</v>
      </c>
      <c r="B146" s="10"/>
      <c r="C146" s="10"/>
      <c r="D146" s="13"/>
      <c r="E146" s="10"/>
      <c r="F146" s="10"/>
      <c r="G146" s="10"/>
      <c r="H146" s="10"/>
      <c r="I146" s="10"/>
      <c r="J146" s="10"/>
      <c r="K146" s="10"/>
      <c r="L146" s="10"/>
      <c r="M146" s="10"/>
      <c r="N146" s="10"/>
      <c r="O146" s="10"/>
      <c r="P146" s="4"/>
      <c r="Q146" s="1204"/>
      <c r="R146" s="101" t="str">
        <f t="shared" si="28"/>
        <v/>
      </c>
      <c r="S146" s="137">
        <f t="shared" si="30"/>
        <v>54</v>
      </c>
      <c r="T146" s="2130">
        <f>((T$147-T$142)/5)+T145</f>
        <v>0.46000000000000008</v>
      </c>
      <c r="U146" s="2130">
        <f t="shared" si="40"/>
        <v>0.65200000000000002</v>
      </c>
      <c r="V146" s="2130">
        <f t="shared" si="40"/>
        <v>0.7360000000000001</v>
      </c>
      <c r="W146" s="2130">
        <f t="shared" si="40"/>
        <v>0.79800000000000004</v>
      </c>
      <c r="X146" s="2130"/>
      <c r="Y146" s="2130"/>
      <c r="Z146" s="2130"/>
      <c r="AA146" s="2130"/>
      <c r="AB146" s="2130"/>
      <c r="AC146" s="2130"/>
      <c r="AD146" s="101"/>
      <c r="AE146" s="6"/>
      <c r="AF146" s="11"/>
      <c r="AG146" s="41">
        <f t="shared" si="33"/>
        <v>0</v>
      </c>
      <c r="AH146" s="41">
        <f>IF(ISERROR(HLOOKUP(AH$91,'Improved Sales Adjustments 1'!$G$7:$WV$147,68,FALSE)),0,IF(HLOOKUP(AH$91,'Improved Sales Adjustments 1'!$G$7:$WV$147,68,FALSE)="",0,IF($S146=HLOOKUP(AH$91,'Improved Sales Adjustments 1'!$G$7:$WV$147,68,FALSE),1,0)))</f>
        <v>0</v>
      </c>
      <c r="AI146" s="41">
        <f>IF(ISERROR(HLOOKUP(AI$91,'Improved Sales Adjustments 1'!$G$7:$WV$147,68,FALSE)),0,IF(HLOOKUP(AI$91,'Improved Sales Adjustments 1'!$G$7:$WV$147,68,FALSE)="",0,IF($S146=HLOOKUP(AI$91,'Improved Sales Adjustments 1'!$G$7:$WV$147,68,FALSE),1,0)))</f>
        <v>0</v>
      </c>
      <c r="AJ146" s="41">
        <f>IF(ISERROR(HLOOKUP(AJ$91,'Improved Sales Adjustments 1'!$G$7:$WV$147,68,FALSE)),0,IF(HLOOKUP(AJ$91,'Improved Sales Adjustments 1'!$G$7:$WV$147,68,FALSE)="",0,IF($S146=HLOOKUP(AJ$91,'Improved Sales Adjustments 1'!$G$7:$WV$147,68,FALSE),1,0)))</f>
        <v>0</v>
      </c>
      <c r="AK146" s="41">
        <f>IF(ISERROR(HLOOKUP(AK$91,'Improved Sales Adjustments 1'!$G$7:$WV$147,68,FALSE)),0,IF(HLOOKUP(AK$91,'Improved Sales Adjustments 1'!$G$7:$WV$147,68,FALSE)="",0,IF($S146=HLOOKUP(AK$91,'Improved Sales Adjustments 1'!$G$7:$WV$147,68,FALSE),1,0)))</f>
        <v>0</v>
      </c>
      <c r="AL146" s="41">
        <f>IF(ISERROR(HLOOKUP(AL$91,'Improved Sales Adjustments 1'!$G$7:$WV$147,68,FALSE)),0,IF(HLOOKUP(AL$91,'Improved Sales Adjustments 1'!$G$7:$WV$147,68,FALSE)="",0,IF($S146=HLOOKUP(AL$91,'Improved Sales Adjustments 1'!$G$7:$WV$147,68,FALSE),1,0)))</f>
        <v>0</v>
      </c>
      <c r="AM146" s="41">
        <f>IF(ISERROR(HLOOKUP(AM$91,'Improved Sales Adjustments 1'!$G$7:$WV$147,68,FALSE)),0,IF(HLOOKUP(AM$91,'Improved Sales Adjustments 1'!$G$7:$WV$147,68,FALSE)="",0,IF($S146=HLOOKUP(AM$91,'Improved Sales Adjustments 1'!$G$7:$WV$147,68,FALSE),1,0)))</f>
        <v>0</v>
      </c>
      <c r="AN146" s="41">
        <f>IF(ISERROR(HLOOKUP(AN$91,'Improved Sales Adjustments 1'!$G$7:$WV$147,68,FALSE)),0,IF(HLOOKUP(AN$91,'Improved Sales Adjustments 1'!$G$7:$WV$147,68,FALSE)="",0,IF($S146=HLOOKUP(AN$91,'Improved Sales Adjustments 1'!$G$7:$WV$147,68,FALSE),1,0)))</f>
        <v>0</v>
      </c>
      <c r="AO146" s="41">
        <f>IF(ISERROR(HLOOKUP(AO$91,'Improved Sales Adjustments 1'!$G$7:$WV$147,68,FALSE)),0,IF(HLOOKUP(AO$91,'Improved Sales Adjustments 1'!$G$7:$WV$147,68,FALSE)="",0,IF($S146=HLOOKUP(AO$91,'Improved Sales Adjustments 1'!$G$7:$WV$147,68,FALSE),1,0)))</f>
        <v>0</v>
      </c>
      <c r="AP146" s="41">
        <f>IF(ISERROR(HLOOKUP(AP$91,'Improved Sales Adjustments 1'!$G$7:$WV$147,68,FALSE)),0,IF(HLOOKUP(AP$91,'Improved Sales Adjustments 1'!$G$7:$WV$147,68,FALSE)="",0,IF($S146=HLOOKUP(AP$91,'Improved Sales Adjustments 1'!$G$7:$WV$147,68,FALSE),1,0)))</f>
        <v>0</v>
      </c>
      <c r="AQ146" s="41">
        <f>IF(ISERROR(HLOOKUP(AQ$91,'Improved Sales Adjustments 1'!$G$7:$WV$147,68,FALSE)),0,IF(HLOOKUP(AQ$91,'Improved Sales Adjustments 1'!$G$7:$WV$147,68,FALSE)="",0,IF($S146=HLOOKUP(AQ$91,'Improved Sales Adjustments 1'!$G$7:$WV$147,68,FALSE),1,0)))</f>
        <v>0</v>
      </c>
      <c r="AR146" s="41">
        <f>SUM($AG146:AG146)</f>
        <v>0</v>
      </c>
      <c r="AS146" s="41">
        <f>SUM($AG146:AH146)</f>
        <v>0</v>
      </c>
      <c r="AT146" s="41">
        <f>SUM($AG146:AI146)</f>
        <v>0</v>
      </c>
      <c r="AU146" s="41">
        <f>SUM($AG146:AJ146)</f>
        <v>0</v>
      </c>
      <c r="AV146" s="41">
        <f>SUM($AG146:AK146)</f>
        <v>0</v>
      </c>
      <c r="AW146" s="41">
        <f>SUM($AG146:AL146)</f>
        <v>0</v>
      </c>
      <c r="AX146" s="41">
        <f>SUM($AG146:AM146)</f>
        <v>0</v>
      </c>
      <c r="AY146" s="41">
        <f>SUM($AG146:AN146)</f>
        <v>0</v>
      </c>
      <c r="AZ146" s="41">
        <f>SUM($AG146:AO146)</f>
        <v>0</v>
      </c>
      <c r="BA146" s="41">
        <f>SUM($AG146:AP146)</f>
        <v>0</v>
      </c>
      <c r="BB146" s="41">
        <f>SUM($AG146:AQ146)</f>
        <v>0</v>
      </c>
      <c r="BC146" s="41" t="str">
        <f t="shared" si="38"/>
        <v/>
      </c>
      <c r="BD146" s="41" t="str">
        <f t="shared" si="38"/>
        <v/>
      </c>
      <c r="BE146" s="41" t="str">
        <f t="shared" si="38"/>
        <v/>
      </c>
      <c r="BF146" s="41" t="str">
        <f t="shared" si="38"/>
        <v/>
      </c>
      <c r="BG146" s="41" t="str">
        <f t="shared" si="38"/>
        <v/>
      </c>
      <c r="BH146" s="41" t="str">
        <f t="shared" si="38"/>
        <v/>
      </c>
      <c r="BI146" s="41" t="str">
        <f t="shared" si="38"/>
        <v/>
      </c>
      <c r="BJ146" s="41" t="str">
        <f t="shared" si="38"/>
        <v/>
      </c>
      <c r="BK146" s="41" t="str">
        <f t="shared" si="38"/>
        <v/>
      </c>
      <c r="BL146" s="41" t="str">
        <f t="shared" si="37"/>
        <v/>
      </c>
      <c r="BM146" s="41" t="str">
        <f t="shared" si="37"/>
        <v/>
      </c>
    </row>
    <row r="147" spans="1:65" ht="15" customHeight="1" x14ac:dyDescent="0.25">
      <c r="A147" s="957">
        <f t="shared" si="32"/>
        <v>0</v>
      </c>
      <c r="B147" s="10"/>
      <c r="C147" s="10"/>
      <c r="D147" s="13"/>
      <c r="E147" s="10"/>
      <c r="F147" s="10"/>
      <c r="G147" s="10"/>
      <c r="H147" s="10"/>
      <c r="I147" s="10"/>
      <c r="J147" s="10"/>
      <c r="K147" s="10"/>
      <c r="L147" s="10"/>
      <c r="M147" s="10"/>
      <c r="N147" s="10"/>
      <c r="O147" s="10"/>
      <c r="P147" s="4"/>
      <c r="Q147" s="1204"/>
      <c r="R147" s="101" t="str">
        <f t="shared" si="28"/>
        <v/>
      </c>
      <c r="S147" s="137">
        <f t="shared" si="30"/>
        <v>55</v>
      </c>
      <c r="T147" s="2129">
        <v>0.48</v>
      </c>
      <c r="U147" s="2130">
        <v>0.67</v>
      </c>
      <c r="V147" s="2130">
        <v>0.75</v>
      </c>
      <c r="W147" s="2130">
        <v>0.8</v>
      </c>
      <c r="X147" s="2130"/>
      <c r="Y147" s="2130"/>
      <c r="Z147" s="2130"/>
      <c r="AA147" s="2130"/>
      <c r="AB147" s="2130"/>
      <c r="AC147" s="2130"/>
      <c r="AD147" s="101"/>
      <c r="AE147" s="6"/>
      <c r="AF147" s="11"/>
      <c r="AG147" s="41">
        <f t="shared" si="33"/>
        <v>0</v>
      </c>
      <c r="AH147" s="41">
        <f>IF(ISERROR(HLOOKUP(AH$91,'Improved Sales Adjustments 1'!$G$7:$WV$147,68,FALSE)),0,IF(HLOOKUP(AH$91,'Improved Sales Adjustments 1'!$G$7:$WV$147,68,FALSE)="",0,IF($S147=HLOOKUP(AH$91,'Improved Sales Adjustments 1'!$G$7:$WV$147,68,FALSE),1,0)))</f>
        <v>0</v>
      </c>
      <c r="AI147" s="41">
        <f>IF(ISERROR(HLOOKUP(AI$91,'Improved Sales Adjustments 1'!$G$7:$WV$147,68,FALSE)),0,IF(HLOOKUP(AI$91,'Improved Sales Adjustments 1'!$G$7:$WV$147,68,FALSE)="",0,IF($S147=HLOOKUP(AI$91,'Improved Sales Adjustments 1'!$G$7:$WV$147,68,FALSE),1,0)))</f>
        <v>0</v>
      </c>
      <c r="AJ147" s="41">
        <f>IF(ISERROR(HLOOKUP(AJ$91,'Improved Sales Adjustments 1'!$G$7:$WV$147,68,FALSE)),0,IF(HLOOKUP(AJ$91,'Improved Sales Adjustments 1'!$G$7:$WV$147,68,FALSE)="",0,IF($S147=HLOOKUP(AJ$91,'Improved Sales Adjustments 1'!$G$7:$WV$147,68,FALSE),1,0)))</f>
        <v>0</v>
      </c>
      <c r="AK147" s="41">
        <f>IF(ISERROR(HLOOKUP(AK$91,'Improved Sales Adjustments 1'!$G$7:$WV$147,68,FALSE)),0,IF(HLOOKUP(AK$91,'Improved Sales Adjustments 1'!$G$7:$WV$147,68,FALSE)="",0,IF($S147=HLOOKUP(AK$91,'Improved Sales Adjustments 1'!$G$7:$WV$147,68,FALSE),1,0)))</f>
        <v>0</v>
      </c>
      <c r="AL147" s="41">
        <f>IF(ISERROR(HLOOKUP(AL$91,'Improved Sales Adjustments 1'!$G$7:$WV$147,68,FALSE)),0,IF(HLOOKUP(AL$91,'Improved Sales Adjustments 1'!$G$7:$WV$147,68,FALSE)="",0,IF($S147=HLOOKUP(AL$91,'Improved Sales Adjustments 1'!$G$7:$WV$147,68,FALSE),1,0)))</f>
        <v>0</v>
      </c>
      <c r="AM147" s="41">
        <f>IF(ISERROR(HLOOKUP(AM$91,'Improved Sales Adjustments 1'!$G$7:$WV$147,68,FALSE)),0,IF(HLOOKUP(AM$91,'Improved Sales Adjustments 1'!$G$7:$WV$147,68,FALSE)="",0,IF($S147=HLOOKUP(AM$91,'Improved Sales Adjustments 1'!$G$7:$WV$147,68,FALSE),1,0)))</f>
        <v>0</v>
      </c>
      <c r="AN147" s="41">
        <f>IF(ISERROR(HLOOKUP(AN$91,'Improved Sales Adjustments 1'!$G$7:$WV$147,68,FALSE)),0,IF(HLOOKUP(AN$91,'Improved Sales Adjustments 1'!$G$7:$WV$147,68,FALSE)="",0,IF($S147=HLOOKUP(AN$91,'Improved Sales Adjustments 1'!$G$7:$WV$147,68,FALSE),1,0)))</f>
        <v>0</v>
      </c>
      <c r="AO147" s="41">
        <f>IF(ISERROR(HLOOKUP(AO$91,'Improved Sales Adjustments 1'!$G$7:$WV$147,68,FALSE)),0,IF(HLOOKUP(AO$91,'Improved Sales Adjustments 1'!$G$7:$WV$147,68,FALSE)="",0,IF($S147=HLOOKUP(AO$91,'Improved Sales Adjustments 1'!$G$7:$WV$147,68,FALSE),1,0)))</f>
        <v>0</v>
      </c>
      <c r="AP147" s="41">
        <f>IF(ISERROR(HLOOKUP(AP$91,'Improved Sales Adjustments 1'!$G$7:$WV$147,68,FALSE)),0,IF(HLOOKUP(AP$91,'Improved Sales Adjustments 1'!$G$7:$WV$147,68,FALSE)="",0,IF($S147=HLOOKUP(AP$91,'Improved Sales Adjustments 1'!$G$7:$WV$147,68,FALSE),1,0)))</f>
        <v>0</v>
      </c>
      <c r="AQ147" s="41">
        <f>IF(ISERROR(HLOOKUP(AQ$91,'Improved Sales Adjustments 1'!$G$7:$WV$147,68,FALSE)),0,IF(HLOOKUP(AQ$91,'Improved Sales Adjustments 1'!$G$7:$WV$147,68,FALSE)="",0,IF($S147=HLOOKUP(AQ$91,'Improved Sales Adjustments 1'!$G$7:$WV$147,68,FALSE),1,0)))</f>
        <v>0</v>
      </c>
      <c r="AR147" s="41">
        <f>SUM($AG147:AG147)</f>
        <v>0</v>
      </c>
      <c r="AS147" s="41">
        <f>SUM($AG147:AH147)</f>
        <v>0</v>
      </c>
      <c r="AT147" s="41">
        <f>SUM($AG147:AI147)</f>
        <v>0</v>
      </c>
      <c r="AU147" s="41">
        <f>SUM($AG147:AJ147)</f>
        <v>0</v>
      </c>
      <c r="AV147" s="41">
        <f>SUM($AG147:AK147)</f>
        <v>0</v>
      </c>
      <c r="AW147" s="41">
        <f>SUM($AG147:AL147)</f>
        <v>0</v>
      </c>
      <c r="AX147" s="41">
        <f>SUM($AG147:AM147)</f>
        <v>0</v>
      </c>
      <c r="AY147" s="41">
        <f>SUM($AG147:AN147)</f>
        <v>0</v>
      </c>
      <c r="AZ147" s="41">
        <f>SUM($AG147:AO147)</f>
        <v>0</v>
      </c>
      <c r="BA147" s="41">
        <f>SUM($AG147:AP147)</f>
        <v>0</v>
      </c>
      <c r="BB147" s="41">
        <f>SUM($AG147:AQ147)</f>
        <v>0</v>
      </c>
      <c r="BC147" s="41" t="str">
        <f t="shared" si="38"/>
        <v/>
      </c>
      <c r="BD147" s="41" t="str">
        <f t="shared" si="38"/>
        <v/>
      </c>
      <c r="BE147" s="41" t="str">
        <f t="shared" si="38"/>
        <v/>
      </c>
      <c r="BF147" s="41" t="str">
        <f t="shared" si="38"/>
        <v/>
      </c>
      <c r="BG147" s="41" t="str">
        <f t="shared" si="38"/>
        <v/>
      </c>
      <c r="BH147" s="41" t="str">
        <f t="shared" si="38"/>
        <v/>
      </c>
      <c r="BI147" s="41" t="str">
        <f t="shared" si="38"/>
        <v/>
      </c>
      <c r="BJ147" s="41" t="str">
        <f t="shared" si="38"/>
        <v/>
      </c>
      <c r="BK147" s="41" t="str">
        <f t="shared" si="38"/>
        <v/>
      </c>
      <c r="BL147" s="41" t="str">
        <f t="shared" si="37"/>
        <v/>
      </c>
      <c r="BM147" s="41" t="str">
        <f t="shared" si="37"/>
        <v/>
      </c>
    </row>
    <row r="148" spans="1:65" ht="15" customHeight="1" x14ac:dyDescent="0.25">
      <c r="A148" s="957">
        <f t="shared" si="32"/>
        <v>0</v>
      </c>
      <c r="B148" s="10"/>
      <c r="C148" s="10"/>
      <c r="D148" s="13"/>
      <c r="E148" s="10"/>
      <c r="F148" s="10"/>
      <c r="G148" s="10"/>
      <c r="H148" s="10"/>
      <c r="I148" s="10"/>
      <c r="J148" s="10"/>
      <c r="K148" s="10"/>
      <c r="L148" s="10"/>
      <c r="M148" s="10"/>
      <c r="N148" s="10"/>
      <c r="O148" s="10"/>
      <c r="P148" s="4"/>
      <c r="Q148" s="1204"/>
      <c r="R148" s="101" t="str">
        <f t="shared" si="28"/>
        <v/>
      </c>
      <c r="S148" s="137">
        <f t="shared" si="30"/>
        <v>56</v>
      </c>
      <c r="T148" s="2130">
        <f>((T$152-T$147)/5)+T147</f>
        <v>0.498</v>
      </c>
      <c r="U148" s="2130">
        <f>((U$152-U$147)/5)+U147</f>
        <v>0.68400000000000005</v>
      </c>
      <c r="V148" s="2130">
        <f>((V$152-V$147)/5)+V147</f>
        <v>0.75600000000000001</v>
      </c>
      <c r="W148" s="2130"/>
      <c r="X148" s="2130"/>
      <c r="Y148" s="2130"/>
      <c r="Z148" s="2130"/>
      <c r="AA148" s="2130"/>
      <c r="AB148" s="2130"/>
      <c r="AC148" s="2130"/>
      <c r="AD148" s="101"/>
      <c r="AE148" s="6"/>
      <c r="AF148" s="11"/>
      <c r="AG148" s="41">
        <f t="shared" si="33"/>
        <v>0</v>
      </c>
      <c r="AH148" s="41">
        <f>IF(ISERROR(HLOOKUP(AH$91,'Improved Sales Adjustments 1'!$G$7:$WV$147,68,FALSE)),0,IF(HLOOKUP(AH$91,'Improved Sales Adjustments 1'!$G$7:$WV$147,68,FALSE)="",0,IF($S148=HLOOKUP(AH$91,'Improved Sales Adjustments 1'!$G$7:$WV$147,68,FALSE),1,0)))</f>
        <v>0</v>
      </c>
      <c r="AI148" s="41">
        <f>IF(ISERROR(HLOOKUP(AI$91,'Improved Sales Adjustments 1'!$G$7:$WV$147,68,FALSE)),0,IF(HLOOKUP(AI$91,'Improved Sales Adjustments 1'!$G$7:$WV$147,68,FALSE)="",0,IF($S148=HLOOKUP(AI$91,'Improved Sales Adjustments 1'!$G$7:$WV$147,68,FALSE),1,0)))</f>
        <v>0</v>
      </c>
      <c r="AJ148" s="41">
        <f>IF(ISERROR(HLOOKUP(AJ$91,'Improved Sales Adjustments 1'!$G$7:$WV$147,68,FALSE)),0,IF(HLOOKUP(AJ$91,'Improved Sales Adjustments 1'!$G$7:$WV$147,68,FALSE)="",0,IF($S148=HLOOKUP(AJ$91,'Improved Sales Adjustments 1'!$G$7:$WV$147,68,FALSE),1,0)))</f>
        <v>0</v>
      </c>
      <c r="AK148" s="41">
        <f>IF(ISERROR(HLOOKUP(AK$91,'Improved Sales Adjustments 1'!$G$7:$WV$147,68,FALSE)),0,IF(HLOOKUP(AK$91,'Improved Sales Adjustments 1'!$G$7:$WV$147,68,FALSE)="",0,IF($S148=HLOOKUP(AK$91,'Improved Sales Adjustments 1'!$G$7:$WV$147,68,FALSE),1,0)))</f>
        <v>0</v>
      </c>
      <c r="AL148" s="41">
        <f>IF(ISERROR(HLOOKUP(AL$91,'Improved Sales Adjustments 1'!$G$7:$WV$147,68,FALSE)),0,IF(HLOOKUP(AL$91,'Improved Sales Adjustments 1'!$G$7:$WV$147,68,FALSE)="",0,IF($S148=HLOOKUP(AL$91,'Improved Sales Adjustments 1'!$G$7:$WV$147,68,FALSE),1,0)))</f>
        <v>0</v>
      </c>
      <c r="AM148" s="41">
        <f>IF(ISERROR(HLOOKUP(AM$91,'Improved Sales Adjustments 1'!$G$7:$WV$147,68,FALSE)),0,IF(HLOOKUP(AM$91,'Improved Sales Adjustments 1'!$G$7:$WV$147,68,FALSE)="",0,IF($S148=HLOOKUP(AM$91,'Improved Sales Adjustments 1'!$G$7:$WV$147,68,FALSE),1,0)))</f>
        <v>0</v>
      </c>
      <c r="AN148" s="41">
        <f>IF(ISERROR(HLOOKUP(AN$91,'Improved Sales Adjustments 1'!$G$7:$WV$147,68,FALSE)),0,IF(HLOOKUP(AN$91,'Improved Sales Adjustments 1'!$G$7:$WV$147,68,FALSE)="",0,IF($S148=HLOOKUP(AN$91,'Improved Sales Adjustments 1'!$G$7:$WV$147,68,FALSE),1,0)))</f>
        <v>0</v>
      </c>
      <c r="AO148" s="41">
        <f>IF(ISERROR(HLOOKUP(AO$91,'Improved Sales Adjustments 1'!$G$7:$WV$147,68,FALSE)),0,IF(HLOOKUP(AO$91,'Improved Sales Adjustments 1'!$G$7:$WV$147,68,FALSE)="",0,IF($S148=HLOOKUP(AO$91,'Improved Sales Adjustments 1'!$G$7:$WV$147,68,FALSE),1,0)))</f>
        <v>0</v>
      </c>
      <c r="AP148" s="41">
        <f>IF(ISERROR(HLOOKUP(AP$91,'Improved Sales Adjustments 1'!$G$7:$WV$147,68,FALSE)),0,IF(HLOOKUP(AP$91,'Improved Sales Adjustments 1'!$G$7:$WV$147,68,FALSE)="",0,IF($S148=HLOOKUP(AP$91,'Improved Sales Adjustments 1'!$G$7:$WV$147,68,FALSE),1,0)))</f>
        <v>0</v>
      </c>
      <c r="AQ148" s="41">
        <f>IF(ISERROR(HLOOKUP(AQ$91,'Improved Sales Adjustments 1'!$G$7:$WV$147,68,FALSE)),0,IF(HLOOKUP(AQ$91,'Improved Sales Adjustments 1'!$G$7:$WV$147,68,FALSE)="",0,IF($S148=HLOOKUP(AQ$91,'Improved Sales Adjustments 1'!$G$7:$WV$147,68,FALSE),1,0)))</f>
        <v>0</v>
      </c>
      <c r="AR148" s="41">
        <f>SUM($AG148:AG148)</f>
        <v>0</v>
      </c>
      <c r="AS148" s="41">
        <f>SUM($AG148:AH148)</f>
        <v>0</v>
      </c>
      <c r="AT148" s="41">
        <f>SUM($AG148:AI148)</f>
        <v>0</v>
      </c>
      <c r="AU148" s="41">
        <f>SUM($AG148:AJ148)</f>
        <v>0</v>
      </c>
      <c r="AV148" s="41">
        <f>SUM($AG148:AK148)</f>
        <v>0</v>
      </c>
      <c r="AW148" s="41">
        <f>SUM($AG148:AL148)</f>
        <v>0</v>
      </c>
      <c r="AX148" s="41">
        <f>SUM($AG148:AM148)</f>
        <v>0</v>
      </c>
      <c r="AY148" s="41">
        <f>SUM($AG148:AN148)</f>
        <v>0</v>
      </c>
      <c r="AZ148" s="41">
        <f>SUM($AG148:AO148)</f>
        <v>0</v>
      </c>
      <c r="BA148" s="41">
        <f>SUM($AG148:AP148)</f>
        <v>0</v>
      </c>
      <c r="BB148" s="41">
        <f>SUM($AG148:AQ148)</f>
        <v>0</v>
      </c>
      <c r="BC148" s="41" t="str">
        <f t="shared" si="38"/>
        <v/>
      </c>
      <c r="BD148" s="41" t="str">
        <f t="shared" si="38"/>
        <v/>
      </c>
      <c r="BE148" s="41" t="str">
        <f t="shared" si="38"/>
        <v/>
      </c>
      <c r="BF148" s="41" t="str">
        <f t="shared" si="38"/>
        <v/>
      </c>
      <c r="BG148" s="41" t="str">
        <f t="shared" si="38"/>
        <v/>
      </c>
      <c r="BH148" s="41" t="str">
        <f t="shared" si="38"/>
        <v/>
      </c>
      <c r="BI148" s="41" t="str">
        <f t="shared" si="38"/>
        <v/>
      </c>
      <c r="BJ148" s="41" t="str">
        <f t="shared" si="38"/>
        <v/>
      </c>
      <c r="BK148" s="41" t="str">
        <f t="shared" si="38"/>
        <v/>
      </c>
      <c r="BL148" s="41" t="str">
        <f t="shared" si="37"/>
        <v/>
      </c>
      <c r="BM148" s="41" t="str">
        <f t="shared" si="37"/>
        <v/>
      </c>
    </row>
    <row r="149" spans="1:65" ht="15" customHeight="1" x14ac:dyDescent="0.25">
      <c r="A149" s="957">
        <f t="shared" si="32"/>
        <v>0</v>
      </c>
      <c r="B149" s="10"/>
      <c r="C149" s="10"/>
      <c r="D149" s="13"/>
      <c r="E149" s="10"/>
      <c r="F149" s="10"/>
      <c r="G149" s="10"/>
      <c r="H149" s="10"/>
      <c r="I149" s="10"/>
      <c r="J149" s="10"/>
      <c r="K149" s="10"/>
      <c r="L149" s="10"/>
      <c r="M149" s="10"/>
      <c r="N149" s="10"/>
      <c r="O149" s="10"/>
      <c r="P149" s="4"/>
      <c r="Q149" s="1204"/>
      <c r="R149" s="101" t="str">
        <f t="shared" si="28"/>
        <v/>
      </c>
      <c r="S149" s="137">
        <f t="shared" si="30"/>
        <v>57</v>
      </c>
      <c r="T149" s="2130">
        <f t="shared" ref="T149:V151" si="41">((T$152-T$147)/5)+T148</f>
        <v>0.51600000000000001</v>
      </c>
      <c r="U149" s="2130">
        <f t="shared" si="41"/>
        <v>0.69800000000000006</v>
      </c>
      <c r="V149" s="2130">
        <f t="shared" si="41"/>
        <v>0.76200000000000001</v>
      </c>
      <c r="W149" s="2130"/>
      <c r="X149" s="2130"/>
      <c r="Y149" s="2130"/>
      <c r="Z149" s="2130"/>
      <c r="AA149" s="2130"/>
      <c r="AB149" s="2130"/>
      <c r="AC149" s="2130"/>
      <c r="AD149" s="101"/>
      <c r="AE149" s="6"/>
      <c r="AF149" s="11"/>
      <c r="AG149" s="41">
        <f t="shared" si="33"/>
        <v>0</v>
      </c>
      <c r="AH149" s="41">
        <f>IF(ISERROR(HLOOKUP(AH$91,'Improved Sales Adjustments 1'!$G$7:$WV$147,68,FALSE)),0,IF(HLOOKUP(AH$91,'Improved Sales Adjustments 1'!$G$7:$WV$147,68,FALSE)="",0,IF($S149=HLOOKUP(AH$91,'Improved Sales Adjustments 1'!$G$7:$WV$147,68,FALSE),1,0)))</f>
        <v>0</v>
      </c>
      <c r="AI149" s="41">
        <f>IF(ISERROR(HLOOKUP(AI$91,'Improved Sales Adjustments 1'!$G$7:$WV$147,68,FALSE)),0,IF(HLOOKUP(AI$91,'Improved Sales Adjustments 1'!$G$7:$WV$147,68,FALSE)="",0,IF($S149=HLOOKUP(AI$91,'Improved Sales Adjustments 1'!$G$7:$WV$147,68,FALSE),1,0)))</f>
        <v>0</v>
      </c>
      <c r="AJ149" s="41">
        <f>IF(ISERROR(HLOOKUP(AJ$91,'Improved Sales Adjustments 1'!$G$7:$WV$147,68,FALSE)),0,IF(HLOOKUP(AJ$91,'Improved Sales Adjustments 1'!$G$7:$WV$147,68,FALSE)="",0,IF($S149=HLOOKUP(AJ$91,'Improved Sales Adjustments 1'!$G$7:$WV$147,68,FALSE),1,0)))</f>
        <v>0</v>
      </c>
      <c r="AK149" s="41">
        <f>IF(ISERROR(HLOOKUP(AK$91,'Improved Sales Adjustments 1'!$G$7:$WV$147,68,FALSE)),0,IF(HLOOKUP(AK$91,'Improved Sales Adjustments 1'!$G$7:$WV$147,68,FALSE)="",0,IF($S149=HLOOKUP(AK$91,'Improved Sales Adjustments 1'!$G$7:$WV$147,68,FALSE),1,0)))</f>
        <v>0</v>
      </c>
      <c r="AL149" s="41">
        <f>IF(ISERROR(HLOOKUP(AL$91,'Improved Sales Adjustments 1'!$G$7:$WV$147,68,FALSE)),0,IF(HLOOKUP(AL$91,'Improved Sales Adjustments 1'!$G$7:$WV$147,68,FALSE)="",0,IF($S149=HLOOKUP(AL$91,'Improved Sales Adjustments 1'!$G$7:$WV$147,68,FALSE),1,0)))</f>
        <v>0</v>
      </c>
      <c r="AM149" s="41">
        <f>IF(ISERROR(HLOOKUP(AM$91,'Improved Sales Adjustments 1'!$G$7:$WV$147,68,FALSE)),0,IF(HLOOKUP(AM$91,'Improved Sales Adjustments 1'!$G$7:$WV$147,68,FALSE)="",0,IF($S149=HLOOKUP(AM$91,'Improved Sales Adjustments 1'!$G$7:$WV$147,68,FALSE),1,0)))</f>
        <v>0</v>
      </c>
      <c r="AN149" s="41">
        <f>IF(ISERROR(HLOOKUP(AN$91,'Improved Sales Adjustments 1'!$G$7:$WV$147,68,FALSE)),0,IF(HLOOKUP(AN$91,'Improved Sales Adjustments 1'!$G$7:$WV$147,68,FALSE)="",0,IF($S149=HLOOKUP(AN$91,'Improved Sales Adjustments 1'!$G$7:$WV$147,68,FALSE),1,0)))</f>
        <v>0</v>
      </c>
      <c r="AO149" s="41">
        <f>IF(ISERROR(HLOOKUP(AO$91,'Improved Sales Adjustments 1'!$G$7:$WV$147,68,FALSE)),0,IF(HLOOKUP(AO$91,'Improved Sales Adjustments 1'!$G$7:$WV$147,68,FALSE)="",0,IF($S149=HLOOKUP(AO$91,'Improved Sales Adjustments 1'!$G$7:$WV$147,68,FALSE),1,0)))</f>
        <v>0</v>
      </c>
      <c r="AP149" s="41">
        <f>IF(ISERROR(HLOOKUP(AP$91,'Improved Sales Adjustments 1'!$G$7:$WV$147,68,FALSE)),0,IF(HLOOKUP(AP$91,'Improved Sales Adjustments 1'!$G$7:$WV$147,68,FALSE)="",0,IF($S149=HLOOKUP(AP$91,'Improved Sales Adjustments 1'!$G$7:$WV$147,68,FALSE),1,0)))</f>
        <v>0</v>
      </c>
      <c r="AQ149" s="41">
        <f>IF(ISERROR(HLOOKUP(AQ$91,'Improved Sales Adjustments 1'!$G$7:$WV$147,68,FALSE)),0,IF(HLOOKUP(AQ$91,'Improved Sales Adjustments 1'!$G$7:$WV$147,68,FALSE)="",0,IF($S149=HLOOKUP(AQ$91,'Improved Sales Adjustments 1'!$G$7:$WV$147,68,FALSE),1,0)))</f>
        <v>0</v>
      </c>
      <c r="AR149" s="41">
        <f>SUM($AG149:AG149)</f>
        <v>0</v>
      </c>
      <c r="AS149" s="41">
        <f>SUM($AG149:AH149)</f>
        <v>0</v>
      </c>
      <c r="AT149" s="41">
        <f>SUM($AG149:AI149)</f>
        <v>0</v>
      </c>
      <c r="AU149" s="41">
        <f>SUM($AG149:AJ149)</f>
        <v>0</v>
      </c>
      <c r="AV149" s="41">
        <f>SUM($AG149:AK149)</f>
        <v>0</v>
      </c>
      <c r="AW149" s="41">
        <f>SUM($AG149:AL149)</f>
        <v>0</v>
      </c>
      <c r="AX149" s="41">
        <f>SUM($AG149:AM149)</f>
        <v>0</v>
      </c>
      <c r="AY149" s="41">
        <f>SUM($AG149:AN149)</f>
        <v>0</v>
      </c>
      <c r="AZ149" s="41">
        <f>SUM($AG149:AO149)</f>
        <v>0</v>
      </c>
      <c r="BA149" s="41">
        <f>SUM($AG149:AP149)</f>
        <v>0</v>
      </c>
      <c r="BB149" s="41">
        <f>SUM($AG149:AQ149)</f>
        <v>0</v>
      </c>
      <c r="BC149" s="41" t="str">
        <f t="shared" si="38"/>
        <v/>
      </c>
      <c r="BD149" s="41" t="str">
        <f t="shared" si="38"/>
        <v/>
      </c>
      <c r="BE149" s="41" t="str">
        <f t="shared" si="38"/>
        <v/>
      </c>
      <c r="BF149" s="41" t="str">
        <f t="shared" si="38"/>
        <v/>
      </c>
      <c r="BG149" s="41" t="str">
        <f t="shared" si="38"/>
        <v/>
      </c>
      <c r="BH149" s="41" t="str">
        <f t="shared" si="38"/>
        <v/>
      </c>
      <c r="BI149" s="41" t="str">
        <f t="shared" si="38"/>
        <v/>
      </c>
      <c r="BJ149" s="41" t="str">
        <f t="shared" si="38"/>
        <v/>
      </c>
      <c r="BK149" s="41" t="str">
        <f t="shared" si="38"/>
        <v/>
      </c>
      <c r="BL149" s="41" t="str">
        <f t="shared" si="37"/>
        <v/>
      </c>
      <c r="BM149" s="41" t="str">
        <f t="shared" si="37"/>
        <v/>
      </c>
    </row>
    <row r="150" spans="1:65" ht="15" customHeight="1" x14ac:dyDescent="0.25">
      <c r="A150" s="957">
        <f t="shared" si="32"/>
        <v>0</v>
      </c>
      <c r="B150" s="10"/>
      <c r="C150" s="10"/>
      <c r="D150" s="13"/>
      <c r="E150" s="10"/>
      <c r="F150" s="10"/>
      <c r="G150" s="10"/>
      <c r="H150" s="10"/>
      <c r="I150" s="10"/>
      <c r="J150" s="10"/>
      <c r="K150" s="10"/>
      <c r="L150" s="10"/>
      <c r="M150" s="10"/>
      <c r="N150" s="10"/>
      <c r="O150" s="10"/>
      <c r="P150" s="4"/>
      <c r="Q150" s="1204"/>
      <c r="R150" s="101" t="str">
        <f t="shared" si="28"/>
        <v/>
      </c>
      <c r="S150" s="137">
        <f t="shared" si="30"/>
        <v>58</v>
      </c>
      <c r="T150" s="2130">
        <f t="shared" si="41"/>
        <v>0.53400000000000003</v>
      </c>
      <c r="U150" s="2130">
        <f t="shared" si="41"/>
        <v>0.71200000000000008</v>
      </c>
      <c r="V150" s="2130">
        <f t="shared" si="41"/>
        <v>0.76800000000000002</v>
      </c>
      <c r="W150" s="2130"/>
      <c r="X150" s="2130"/>
      <c r="Y150" s="2130"/>
      <c r="Z150" s="2130"/>
      <c r="AA150" s="2130"/>
      <c r="AB150" s="2130"/>
      <c r="AC150" s="2130"/>
      <c r="AD150" s="101"/>
      <c r="AE150" s="6"/>
      <c r="AF150" s="11"/>
      <c r="AG150" s="41">
        <f t="shared" si="33"/>
        <v>0</v>
      </c>
      <c r="AH150" s="41">
        <f>IF(ISERROR(HLOOKUP(AH$91,'Improved Sales Adjustments 1'!$G$7:$WV$147,68,FALSE)),0,IF(HLOOKUP(AH$91,'Improved Sales Adjustments 1'!$G$7:$WV$147,68,FALSE)="",0,IF($S150=HLOOKUP(AH$91,'Improved Sales Adjustments 1'!$G$7:$WV$147,68,FALSE),1,0)))</f>
        <v>0</v>
      </c>
      <c r="AI150" s="41">
        <f>IF(ISERROR(HLOOKUP(AI$91,'Improved Sales Adjustments 1'!$G$7:$WV$147,68,FALSE)),0,IF(HLOOKUP(AI$91,'Improved Sales Adjustments 1'!$G$7:$WV$147,68,FALSE)="",0,IF($S150=HLOOKUP(AI$91,'Improved Sales Adjustments 1'!$G$7:$WV$147,68,FALSE),1,0)))</f>
        <v>0</v>
      </c>
      <c r="AJ150" s="41">
        <f>IF(ISERROR(HLOOKUP(AJ$91,'Improved Sales Adjustments 1'!$G$7:$WV$147,68,FALSE)),0,IF(HLOOKUP(AJ$91,'Improved Sales Adjustments 1'!$G$7:$WV$147,68,FALSE)="",0,IF($S150=HLOOKUP(AJ$91,'Improved Sales Adjustments 1'!$G$7:$WV$147,68,FALSE),1,0)))</f>
        <v>0</v>
      </c>
      <c r="AK150" s="41">
        <f>IF(ISERROR(HLOOKUP(AK$91,'Improved Sales Adjustments 1'!$G$7:$WV$147,68,FALSE)),0,IF(HLOOKUP(AK$91,'Improved Sales Adjustments 1'!$G$7:$WV$147,68,FALSE)="",0,IF($S150=HLOOKUP(AK$91,'Improved Sales Adjustments 1'!$G$7:$WV$147,68,FALSE),1,0)))</f>
        <v>0</v>
      </c>
      <c r="AL150" s="41">
        <f>IF(ISERROR(HLOOKUP(AL$91,'Improved Sales Adjustments 1'!$G$7:$WV$147,68,FALSE)),0,IF(HLOOKUP(AL$91,'Improved Sales Adjustments 1'!$G$7:$WV$147,68,FALSE)="",0,IF($S150=HLOOKUP(AL$91,'Improved Sales Adjustments 1'!$G$7:$WV$147,68,FALSE),1,0)))</f>
        <v>0</v>
      </c>
      <c r="AM150" s="41">
        <f>IF(ISERROR(HLOOKUP(AM$91,'Improved Sales Adjustments 1'!$G$7:$WV$147,68,FALSE)),0,IF(HLOOKUP(AM$91,'Improved Sales Adjustments 1'!$G$7:$WV$147,68,FALSE)="",0,IF($S150=HLOOKUP(AM$91,'Improved Sales Adjustments 1'!$G$7:$WV$147,68,FALSE),1,0)))</f>
        <v>0</v>
      </c>
      <c r="AN150" s="41">
        <f>IF(ISERROR(HLOOKUP(AN$91,'Improved Sales Adjustments 1'!$G$7:$WV$147,68,FALSE)),0,IF(HLOOKUP(AN$91,'Improved Sales Adjustments 1'!$G$7:$WV$147,68,FALSE)="",0,IF($S150=HLOOKUP(AN$91,'Improved Sales Adjustments 1'!$G$7:$WV$147,68,FALSE),1,0)))</f>
        <v>0</v>
      </c>
      <c r="AO150" s="41">
        <f>IF(ISERROR(HLOOKUP(AO$91,'Improved Sales Adjustments 1'!$G$7:$WV$147,68,FALSE)),0,IF(HLOOKUP(AO$91,'Improved Sales Adjustments 1'!$G$7:$WV$147,68,FALSE)="",0,IF($S150=HLOOKUP(AO$91,'Improved Sales Adjustments 1'!$G$7:$WV$147,68,FALSE),1,0)))</f>
        <v>0</v>
      </c>
      <c r="AP150" s="41">
        <f>IF(ISERROR(HLOOKUP(AP$91,'Improved Sales Adjustments 1'!$G$7:$WV$147,68,FALSE)),0,IF(HLOOKUP(AP$91,'Improved Sales Adjustments 1'!$G$7:$WV$147,68,FALSE)="",0,IF($S150=HLOOKUP(AP$91,'Improved Sales Adjustments 1'!$G$7:$WV$147,68,FALSE),1,0)))</f>
        <v>0</v>
      </c>
      <c r="AQ150" s="41">
        <f>IF(ISERROR(HLOOKUP(AQ$91,'Improved Sales Adjustments 1'!$G$7:$WV$147,68,FALSE)),0,IF(HLOOKUP(AQ$91,'Improved Sales Adjustments 1'!$G$7:$WV$147,68,FALSE)="",0,IF($S150=HLOOKUP(AQ$91,'Improved Sales Adjustments 1'!$G$7:$WV$147,68,FALSE),1,0)))</f>
        <v>0</v>
      </c>
      <c r="AR150" s="41">
        <f>SUM($AG150:AG150)</f>
        <v>0</v>
      </c>
      <c r="AS150" s="41">
        <f>SUM($AG150:AH150)</f>
        <v>0</v>
      </c>
      <c r="AT150" s="41">
        <f>SUM($AG150:AI150)</f>
        <v>0</v>
      </c>
      <c r="AU150" s="41">
        <f>SUM($AG150:AJ150)</f>
        <v>0</v>
      </c>
      <c r="AV150" s="41">
        <f>SUM($AG150:AK150)</f>
        <v>0</v>
      </c>
      <c r="AW150" s="41">
        <f>SUM($AG150:AL150)</f>
        <v>0</v>
      </c>
      <c r="AX150" s="41">
        <f>SUM($AG150:AM150)</f>
        <v>0</v>
      </c>
      <c r="AY150" s="41">
        <f>SUM($AG150:AN150)</f>
        <v>0</v>
      </c>
      <c r="AZ150" s="41">
        <f>SUM($AG150:AO150)</f>
        <v>0</v>
      </c>
      <c r="BA150" s="41">
        <f>SUM($AG150:AP150)</f>
        <v>0</v>
      </c>
      <c r="BB150" s="41">
        <f>SUM($AG150:AQ150)</f>
        <v>0</v>
      </c>
      <c r="BC150" s="41" t="str">
        <f t="shared" si="38"/>
        <v/>
      </c>
      <c r="BD150" s="41" t="str">
        <f t="shared" si="38"/>
        <v/>
      </c>
      <c r="BE150" s="41" t="str">
        <f t="shared" si="38"/>
        <v/>
      </c>
      <c r="BF150" s="41" t="str">
        <f t="shared" si="38"/>
        <v/>
      </c>
      <c r="BG150" s="41" t="str">
        <f t="shared" si="38"/>
        <v/>
      </c>
      <c r="BH150" s="41" t="str">
        <f t="shared" si="38"/>
        <v/>
      </c>
      <c r="BI150" s="41" t="str">
        <f t="shared" si="38"/>
        <v/>
      </c>
      <c r="BJ150" s="41" t="str">
        <f t="shared" si="38"/>
        <v/>
      </c>
      <c r="BK150" s="41" t="str">
        <f t="shared" si="38"/>
        <v/>
      </c>
      <c r="BL150" s="41" t="str">
        <f t="shared" si="37"/>
        <v/>
      </c>
      <c r="BM150" s="41" t="str">
        <f t="shared" si="37"/>
        <v/>
      </c>
    </row>
    <row r="151" spans="1:65" ht="15" customHeight="1" x14ac:dyDescent="0.25">
      <c r="A151" s="957">
        <f t="shared" si="32"/>
        <v>0</v>
      </c>
      <c r="B151" s="10"/>
      <c r="C151" s="10"/>
      <c r="D151" s="13"/>
      <c r="E151" s="10"/>
      <c r="F151" s="10"/>
      <c r="G151" s="10"/>
      <c r="H151" s="10"/>
      <c r="I151" s="10"/>
      <c r="J151" s="10"/>
      <c r="K151" s="10"/>
      <c r="L151" s="10"/>
      <c r="M151" s="10"/>
      <c r="N151" s="10"/>
      <c r="O151" s="10"/>
      <c r="P151" s="4"/>
      <c r="Q151" s="1204"/>
      <c r="R151" s="101" t="str">
        <f t="shared" si="28"/>
        <v/>
      </c>
      <c r="S151" s="137">
        <f t="shared" si="30"/>
        <v>59</v>
      </c>
      <c r="T151" s="2130">
        <f t="shared" si="41"/>
        <v>0.55200000000000005</v>
      </c>
      <c r="U151" s="2130">
        <f t="shared" si="41"/>
        <v>0.72600000000000009</v>
      </c>
      <c r="V151" s="2130">
        <f t="shared" si="41"/>
        <v>0.77400000000000002</v>
      </c>
      <c r="W151" s="2130"/>
      <c r="X151" s="2130"/>
      <c r="Y151" s="2130"/>
      <c r="Z151" s="2130"/>
      <c r="AA151" s="2130"/>
      <c r="AB151" s="2130"/>
      <c r="AC151" s="2130"/>
      <c r="AD151" s="101"/>
      <c r="AE151" s="6"/>
      <c r="AF151" s="11"/>
      <c r="AG151" s="41">
        <f t="shared" si="33"/>
        <v>0</v>
      </c>
      <c r="AH151" s="41">
        <f>IF(ISERROR(HLOOKUP(AH$91,'Improved Sales Adjustments 1'!$G$7:$WV$147,68,FALSE)),0,IF(HLOOKUP(AH$91,'Improved Sales Adjustments 1'!$G$7:$WV$147,68,FALSE)="",0,IF($S151=HLOOKUP(AH$91,'Improved Sales Adjustments 1'!$G$7:$WV$147,68,FALSE),1,0)))</f>
        <v>0</v>
      </c>
      <c r="AI151" s="41">
        <f>IF(ISERROR(HLOOKUP(AI$91,'Improved Sales Adjustments 1'!$G$7:$WV$147,68,FALSE)),0,IF(HLOOKUP(AI$91,'Improved Sales Adjustments 1'!$G$7:$WV$147,68,FALSE)="",0,IF($S151=HLOOKUP(AI$91,'Improved Sales Adjustments 1'!$G$7:$WV$147,68,FALSE),1,0)))</f>
        <v>0</v>
      </c>
      <c r="AJ151" s="41">
        <f>IF(ISERROR(HLOOKUP(AJ$91,'Improved Sales Adjustments 1'!$G$7:$WV$147,68,FALSE)),0,IF(HLOOKUP(AJ$91,'Improved Sales Adjustments 1'!$G$7:$WV$147,68,FALSE)="",0,IF($S151=HLOOKUP(AJ$91,'Improved Sales Adjustments 1'!$G$7:$WV$147,68,FALSE),1,0)))</f>
        <v>0</v>
      </c>
      <c r="AK151" s="41">
        <f>IF(ISERROR(HLOOKUP(AK$91,'Improved Sales Adjustments 1'!$G$7:$WV$147,68,FALSE)),0,IF(HLOOKUP(AK$91,'Improved Sales Adjustments 1'!$G$7:$WV$147,68,FALSE)="",0,IF($S151=HLOOKUP(AK$91,'Improved Sales Adjustments 1'!$G$7:$WV$147,68,FALSE),1,0)))</f>
        <v>0</v>
      </c>
      <c r="AL151" s="41">
        <f>IF(ISERROR(HLOOKUP(AL$91,'Improved Sales Adjustments 1'!$G$7:$WV$147,68,FALSE)),0,IF(HLOOKUP(AL$91,'Improved Sales Adjustments 1'!$G$7:$WV$147,68,FALSE)="",0,IF($S151=HLOOKUP(AL$91,'Improved Sales Adjustments 1'!$G$7:$WV$147,68,FALSE),1,0)))</f>
        <v>0</v>
      </c>
      <c r="AM151" s="41">
        <f>IF(ISERROR(HLOOKUP(AM$91,'Improved Sales Adjustments 1'!$G$7:$WV$147,68,FALSE)),0,IF(HLOOKUP(AM$91,'Improved Sales Adjustments 1'!$G$7:$WV$147,68,FALSE)="",0,IF($S151=HLOOKUP(AM$91,'Improved Sales Adjustments 1'!$G$7:$WV$147,68,FALSE),1,0)))</f>
        <v>0</v>
      </c>
      <c r="AN151" s="41">
        <f>IF(ISERROR(HLOOKUP(AN$91,'Improved Sales Adjustments 1'!$G$7:$WV$147,68,FALSE)),0,IF(HLOOKUP(AN$91,'Improved Sales Adjustments 1'!$G$7:$WV$147,68,FALSE)="",0,IF($S151=HLOOKUP(AN$91,'Improved Sales Adjustments 1'!$G$7:$WV$147,68,FALSE),1,0)))</f>
        <v>0</v>
      </c>
      <c r="AO151" s="41">
        <f>IF(ISERROR(HLOOKUP(AO$91,'Improved Sales Adjustments 1'!$G$7:$WV$147,68,FALSE)),0,IF(HLOOKUP(AO$91,'Improved Sales Adjustments 1'!$G$7:$WV$147,68,FALSE)="",0,IF($S151=HLOOKUP(AO$91,'Improved Sales Adjustments 1'!$G$7:$WV$147,68,FALSE),1,0)))</f>
        <v>0</v>
      </c>
      <c r="AP151" s="41">
        <f>IF(ISERROR(HLOOKUP(AP$91,'Improved Sales Adjustments 1'!$G$7:$WV$147,68,FALSE)),0,IF(HLOOKUP(AP$91,'Improved Sales Adjustments 1'!$G$7:$WV$147,68,FALSE)="",0,IF($S151=HLOOKUP(AP$91,'Improved Sales Adjustments 1'!$G$7:$WV$147,68,FALSE),1,0)))</f>
        <v>0</v>
      </c>
      <c r="AQ151" s="41">
        <f>IF(ISERROR(HLOOKUP(AQ$91,'Improved Sales Adjustments 1'!$G$7:$WV$147,68,FALSE)),0,IF(HLOOKUP(AQ$91,'Improved Sales Adjustments 1'!$G$7:$WV$147,68,FALSE)="",0,IF($S151=HLOOKUP(AQ$91,'Improved Sales Adjustments 1'!$G$7:$WV$147,68,FALSE),1,0)))</f>
        <v>0</v>
      </c>
      <c r="AR151" s="41">
        <f>SUM($AG151:AG151)</f>
        <v>0</v>
      </c>
      <c r="AS151" s="41">
        <f>SUM($AG151:AH151)</f>
        <v>0</v>
      </c>
      <c r="AT151" s="41">
        <f>SUM($AG151:AI151)</f>
        <v>0</v>
      </c>
      <c r="AU151" s="41">
        <f>SUM($AG151:AJ151)</f>
        <v>0</v>
      </c>
      <c r="AV151" s="41">
        <f>SUM($AG151:AK151)</f>
        <v>0</v>
      </c>
      <c r="AW151" s="41">
        <f>SUM($AG151:AL151)</f>
        <v>0</v>
      </c>
      <c r="AX151" s="41">
        <f>SUM($AG151:AM151)</f>
        <v>0</v>
      </c>
      <c r="AY151" s="41">
        <f>SUM($AG151:AN151)</f>
        <v>0</v>
      </c>
      <c r="AZ151" s="41">
        <f>SUM($AG151:AO151)</f>
        <v>0</v>
      </c>
      <c r="BA151" s="41">
        <f>SUM($AG151:AP151)</f>
        <v>0</v>
      </c>
      <c r="BB151" s="41">
        <f>SUM($AG151:AQ151)</f>
        <v>0</v>
      </c>
      <c r="BC151" s="41" t="str">
        <f t="shared" si="38"/>
        <v/>
      </c>
      <c r="BD151" s="41" t="str">
        <f t="shared" si="38"/>
        <v/>
      </c>
      <c r="BE151" s="41" t="str">
        <f t="shared" si="38"/>
        <v/>
      </c>
      <c r="BF151" s="41" t="str">
        <f t="shared" si="38"/>
        <v/>
      </c>
      <c r="BG151" s="41" t="str">
        <f t="shared" si="38"/>
        <v/>
      </c>
      <c r="BH151" s="41" t="str">
        <f t="shared" si="38"/>
        <v/>
      </c>
      <c r="BI151" s="41" t="str">
        <f t="shared" si="38"/>
        <v/>
      </c>
      <c r="BJ151" s="41" t="str">
        <f t="shared" si="38"/>
        <v/>
      </c>
      <c r="BK151" s="41" t="str">
        <f t="shared" si="38"/>
        <v/>
      </c>
      <c r="BL151" s="41" t="str">
        <f t="shared" si="37"/>
        <v/>
      </c>
      <c r="BM151" s="41" t="str">
        <f t="shared" si="37"/>
        <v/>
      </c>
    </row>
    <row r="152" spans="1:65" ht="15" customHeight="1" x14ac:dyDescent="0.25">
      <c r="A152" s="957">
        <f t="shared" si="32"/>
        <v>0</v>
      </c>
      <c r="B152" s="10"/>
      <c r="C152" s="10"/>
      <c r="D152" s="13"/>
      <c r="E152" s="10"/>
      <c r="F152" s="10"/>
      <c r="G152" s="10"/>
      <c r="H152" s="10"/>
      <c r="I152" s="10"/>
      <c r="J152" s="10"/>
      <c r="K152" s="10"/>
      <c r="L152" s="10"/>
      <c r="M152" s="10"/>
      <c r="N152" s="10"/>
      <c r="O152" s="10"/>
      <c r="P152" s="4"/>
      <c r="Q152" s="1204"/>
      <c r="R152" s="101" t="str">
        <f t="shared" si="28"/>
        <v/>
      </c>
      <c r="S152" s="137">
        <f t="shared" si="30"/>
        <v>60</v>
      </c>
      <c r="T152" s="2129">
        <v>0.56999999999999995</v>
      </c>
      <c r="U152" s="2130">
        <v>0.74</v>
      </c>
      <c r="V152" s="2130">
        <v>0.78</v>
      </c>
      <c r="W152" s="2130"/>
      <c r="X152" s="2130"/>
      <c r="Y152" s="2130"/>
      <c r="Z152" s="2130"/>
      <c r="AA152" s="2130"/>
      <c r="AB152" s="2130"/>
      <c r="AC152" s="2130"/>
      <c r="AD152" s="101"/>
      <c r="AE152" s="6"/>
      <c r="AF152" s="11"/>
      <c r="AG152" s="41">
        <f t="shared" si="33"/>
        <v>0</v>
      </c>
      <c r="AH152" s="41">
        <f>IF(ISERROR(HLOOKUP(AH$91,'Improved Sales Adjustments 1'!$G$7:$WV$147,68,FALSE)),0,IF(HLOOKUP(AH$91,'Improved Sales Adjustments 1'!$G$7:$WV$147,68,FALSE)="",0,IF($S152=HLOOKUP(AH$91,'Improved Sales Adjustments 1'!$G$7:$WV$147,68,FALSE),1,0)))</f>
        <v>0</v>
      </c>
      <c r="AI152" s="41">
        <f>IF(ISERROR(HLOOKUP(AI$91,'Improved Sales Adjustments 1'!$G$7:$WV$147,68,FALSE)),0,IF(HLOOKUP(AI$91,'Improved Sales Adjustments 1'!$G$7:$WV$147,68,FALSE)="",0,IF($S152=HLOOKUP(AI$91,'Improved Sales Adjustments 1'!$G$7:$WV$147,68,FALSE),1,0)))</f>
        <v>0</v>
      </c>
      <c r="AJ152" s="41">
        <f>IF(ISERROR(HLOOKUP(AJ$91,'Improved Sales Adjustments 1'!$G$7:$WV$147,68,FALSE)),0,IF(HLOOKUP(AJ$91,'Improved Sales Adjustments 1'!$G$7:$WV$147,68,FALSE)="",0,IF($S152=HLOOKUP(AJ$91,'Improved Sales Adjustments 1'!$G$7:$WV$147,68,FALSE),1,0)))</f>
        <v>0</v>
      </c>
      <c r="AK152" s="41">
        <f>IF(ISERROR(HLOOKUP(AK$91,'Improved Sales Adjustments 1'!$G$7:$WV$147,68,FALSE)),0,IF(HLOOKUP(AK$91,'Improved Sales Adjustments 1'!$G$7:$WV$147,68,FALSE)="",0,IF($S152=HLOOKUP(AK$91,'Improved Sales Adjustments 1'!$G$7:$WV$147,68,FALSE),1,0)))</f>
        <v>0</v>
      </c>
      <c r="AL152" s="41">
        <f>IF(ISERROR(HLOOKUP(AL$91,'Improved Sales Adjustments 1'!$G$7:$WV$147,68,FALSE)),0,IF(HLOOKUP(AL$91,'Improved Sales Adjustments 1'!$G$7:$WV$147,68,FALSE)="",0,IF($S152=HLOOKUP(AL$91,'Improved Sales Adjustments 1'!$G$7:$WV$147,68,FALSE),1,0)))</f>
        <v>0</v>
      </c>
      <c r="AM152" s="41">
        <f>IF(ISERROR(HLOOKUP(AM$91,'Improved Sales Adjustments 1'!$G$7:$WV$147,68,FALSE)),0,IF(HLOOKUP(AM$91,'Improved Sales Adjustments 1'!$G$7:$WV$147,68,FALSE)="",0,IF($S152=HLOOKUP(AM$91,'Improved Sales Adjustments 1'!$G$7:$WV$147,68,FALSE),1,0)))</f>
        <v>0</v>
      </c>
      <c r="AN152" s="41">
        <f>IF(ISERROR(HLOOKUP(AN$91,'Improved Sales Adjustments 1'!$G$7:$WV$147,68,FALSE)),0,IF(HLOOKUP(AN$91,'Improved Sales Adjustments 1'!$G$7:$WV$147,68,FALSE)="",0,IF($S152=HLOOKUP(AN$91,'Improved Sales Adjustments 1'!$G$7:$WV$147,68,FALSE),1,0)))</f>
        <v>0</v>
      </c>
      <c r="AO152" s="41">
        <f>IF(ISERROR(HLOOKUP(AO$91,'Improved Sales Adjustments 1'!$G$7:$WV$147,68,FALSE)),0,IF(HLOOKUP(AO$91,'Improved Sales Adjustments 1'!$G$7:$WV$147,68,FALSE)="",0,IF($S152=HLOOKUP(AO$91,'Improved Sales Adjustments 1'!$G$7:$WV$147,68,FALSE),1,0)))</f>
        <v>0</v>
      </c>
      <c r="AP152" s="41">
        <f>IF(ISERROR(HLOOKUP(AP$91,'Improved Sales Adjustments 1'!$G$7:$WV$147,68,FALSE)),0,IF(HLOOKUP(AP$91,'Improved Sales Adjustments 1'!$G$7:$WV$147,68,FALSE)="",0,IF($S152=HLOOKUP(AP$91,'Improved Sales Adjustments 1'!$G$7:$WV$147,68,FALSE),1,0)))</f>
        <v>0</v>
      </c>
      <c r="AQ152" s="41">
        <f>IF(ISERROR(HLOOKUP(AQ$91,'Improved Sales Adjustments 1'!$G$7:$WV$147,68,FALSE)),0,IF(HLOOKUP(AQ$91,'Improved Sales Adjustments 1'!$G$7:$WV$147,68,FALSE)="",0,IF($S152=HLOOKUP(AQ$91,'Improved Sales Adjustments 1'!$G$7:$WV$147,68,FALSE),1,0)))</f>
        <v>0</v>
      </c>
      <c r="AR152" s="41">
        <f>SUM($AG152:AG152)</f>
        <v>0</v>
      </c>
      <c r="AS152" s="41">
        <f>SUM($AG152:AH152)</f>
        <v>0</v>
      </c>
      <c r="AT152" s="41">
        <f>SUM($AG152:AI152)</f>
        <v>0</v>
      </c>
      <c r="AU152" s="41">
        <f>SUM($AG152:AJ152)</f>
        <v>0</v>
      </c>
      <c r="AV152" s="41">
        <f>SUM($AG152:AK152)</f>
        <v>0</v>
      </c>
      <c r="AW152" s="41">
        <f>SUM($AG152:AL152)</f>
        <v>0</v>
      </c>
      <c r="AX152" s="41">
        <f>SUM($AG152:AM152)</f>
        <v>0</v>
      </c>
      <c r="AY152" s="41">
        <f>SUM($AG152:AN152)</f>
        <v>0</v>
      </c>
      <c r="AZ152" s="41">
        <f>SUM($AG152:AO152)</f>
        <v>0</v>
      </c>
      <c r="BA152" s="41">
        <f>SUM($AG152:AP152)</f>
        <v>0</v>
      </c>
      <c r="BB152" s="41">
        <f>SUM($AG152:AQ152)</f>
        <v>0</v>
      </c>
      <c r="BC152" s="41" t="str">
        <f t="shared" si="38"/>
        <v/>
      </c>
      <c r="BD152" s="41" t="str">
        <f t="shared" si="38"/>
        <v/>
      </c>
      <c r="BE152" s="41" t="str">
        <f t="shared" si="38"/>
        <v/>
      </c>
      <c r="BF152" s="41" t="str">
        <f t="shared" si="38"/>
        <v/>
      </c>
      <c r="BG152" s="41" t="str">
        <f t="shared" si="38"/>
        <v/>
      </c>
      <c r="BH152" s="41" t="str">
        <f t="shared" si="38"/>
        <v/>
      </c>
      <c r="BI152" s="41" t="str">
        <f t="shared" si="38"/>
        <v/>
      </c>
      <c r="BJ152" s="41" t="str">
        <f t="shared" si="38"/>
        <v/>
      </c>
      <c r="BK152" s="41" t="str">
        <f t="shared" si="38"/>
        <v/>
      </c>
      <c r="BL152" s="41" t="str">
        <f t="shared" si="37"/>
        <v/>
      </c>
      <c r="BM152" s="41" t="str">
        <f t="shared" si="37"/>
        <v/>
      </c>
    </row>
    <row r="153" spans="1:65" ht="15" customHeight="1" x14ac:dyDescent="0.25">
      <c r="A153" s="957">
        <f t="shared" si="32"/>
        <v>0</v>
      </c>
      <c r="B153" s="10"/>
      <c r="C153" s="10"/>
      <c r="D153" s="13"/>
      <c r="E153" s="10"/>
      <c r="F153" s="10"/>
      <c r="G153" s="10"/>
      <c r="H153" s="10"/>
      <c r="I153" s="10"/>
      <c r="J153" s="10"/>
      <c r="K153" s="10"/>
      <c r="L153" s="10"/>
      <c r="M153" s="10"/>
      <c r="N153" s="10"/>
      <c r="O153" s="10"/>
      <c r="P153" s="4"/>
      <c r="Q153" s="1204"/>
      <c r="R153" s="101" t="str">
        <f t="shared" si="28"/>
        <v/>
      </c>
      <c r="S153" s="137">
        <f t="shared" si="30"/>
        <v>61</v>
      </c>
      <c r="T153" s="2130">
        <f>((T$157-T$152)/5)+T152</f>
        <v>0.58599999999999997</v>
      </c>
      <c r="U153" s="2130">
        <f t="shared" ref="U153:V156" si="42">((U$157-U$152)/5)+U152</f>
        <v>0.748</v>
      </c>
      <c r="V153" s="2130">
        <f t="shared" si="42"/>
        <v>0.78400000000000003</v>
      </c>
      <c r="W153" s="2130"/>
      <c r="X153" s="2130"/>
      <c r="Y153" s="2130"/>
      <c r="Z153" s="2130"/>
      <c r="AA153" s="2130"/>
      <c r="AB153" s="2130"/>
      <c r="AC153" s="2130"/>
      <c r="AD153" s="101"/>
      <c r="AE153" s="6"/>
      <c r="AF153" s="11"/>
      <c r="AG153" s="41">
        <f t="shared" si="33"/>
        <v>0</v>
      </c>
      <c r="AH153" s="41">
        <f>IF(ISERROR(HLOOKUP(AH$91,'Improved Sales Adjustments 1'!$G$7:$WV$147,68,FALSE)),0,IF(HLOOKUP(AH$91,'Improved Sales Adjustments 1'!$G$7:$WV$147,68,FALSE)="",0,IF($S153=HLOOKUP(AH$91,'Improved Sales Adjustments 1'!$G$7:$WV$147,68,FALSE),1,0)))</f>
        <v>0</v>
      </c>
      <c r="AI153" s="41">
        <f>IF(ISERROR(HLOOKUP(AI$91,'Improved Sales Adjustments 1'!$G$7:$WV$147,68,FALSE)),0,IF(HLOOKUP(AI$91,'Improved Sales Adjustments 1'!$G$7:$WV$147,68,FALSE)="",0,IF($S153=HLOOKUP(AI$91,'Improved Sales Adjustments 1'!$G$7:$WV$147,68,FALSE),1,0)))</f>
        <v>0</v>
      </c>
      <c r="AJ153" s="41">
        <f>IF(ISERROR(HLOOKUP(AJ$91,'Improved Sales Adjustments 1'!$G$7:$WV$147,68,FALSE)),0,IF(HLOOKUP(AJ$91,'Improved Sales Adjustments 1'!$G$7:$WV$147,68,FALSE)="",0,IF($S153=HLOOKUP(AJ$91,'Improved Sales Adjustments 1'!$G$7:$WV$147,68,FALSE),1,0)))</f>
        <v>0</v>
      </c>
      <c r="AK153" s="41">
        <f>IF(ISERROR(HLOOKUP(AK$91,'Improved Sales Adjustments 1'!$G$7:$WV$147,68,FALSE)),0,IF(HLOOKUP(AK$91,'Improved Sales Adjustments 1'!$G$7:$WV$147,68,FALSE)="",0,IF($S153=HLOOKUP(AK$91,'Improved Sales Adjustments 1'!$G$7:$WV$147,68,FALSE),1,0)))</f>
        <v>0</v>
      </c>
      <c r="AL153" s="41">
        <f>IF(ISERROR(HLOOKUP(AL$91,'Improved Sales Adjustments 1'!$G$7:$WV$147,68,FALSE)),0,IF(HLOOKUP(AL$91,'Improved Sales Adjustments 1'!$G$7:$WV$147,68,FALSE)="",0,IF($S153=HLOOKUP(AL$91,'Improved Sales Adjustments 1'!$G$7:$WV$147,68,FALSE),1,0)))</f>
        <v>0</v>
      </c>
      <c r="AM153" s="41">
        <f>IF(ISERROR(HLOOKUP(AM$91,'Improved Sales Adjustments 1'!$G$7:$WV$147,68,FALSE)),0,IF(HLOOKUP(AM$91,'Improved Sales Adjustments 1'!$G$7:$WV$147,68,FALSE)="",0,IF($S153=HLOOKUP(AM$91,'Improved Sales Adjustments 1'!$G$7:$WV$147,68,FALSE),1,0)))</f>
        <v>0</v>
      </c>
      <c r="AN153" s="41">
        <f>IF(ISERROR(HLOOKUP(AN$91,'Improved Sales Adjustments 1'!$G$7:$WV$147,68,FALSE)),0,IF(HLOOKUP(AN$91,'Improved Sales Adjustments 1'!$G$7:$WV$147,68,FALSE)="",0,IF($S153=HLOOKUP(AN$91,'Improved Sales Adjustments 1'!$G$7:$WV$147,68,FALSE),1,0)))</f>
        <v>0</v>
      </c>
      <c r="AO153" s="41">
        <f>IF(ISERROR(HLOOKUP(AO$91,'Improved Sales Adjustments 1'!$G$7:$WV$147,68,FALSE)),0,IF(HLOOKUP(AO$91,'Improved Sales Adjustments 1'!$G$7:$WV$147,68,FALSE)="",0,IF($S153=HLOOKUP(AO$91,'Improved Sales Adjustments 1'!$G$7:$WV$147,68,FALSE),1,0)))</f>
        <v>0</v>
      </c>
      <c r="AP153" s="41">
        <f>IF(ISERROR(HLOOKUP(AP$91,'Improved Sales Adjustments 1'!$G$7:$WV$147,68,FALSE)),0,IF(HLOOKUP(AP$91,'Improved Sales Adjustments 1'!$G$7:$WV$147,68,FALSE)="",0,IF($S153=HLOOKUP(AP$91,'Improved Sales Adjustments 1'!$G$7:$WV$147,68,FALSE),1,0)))</f>
        <v>0</v>
      </c>
      <c r="AQ153" s="41">
        <f>IF(ISERROR(HLOOKUP(AQ$91,'Improved Sales Adjustments 1'!$G$7:$WV$147,68,FALSE)),0,IF(HLOOKUP(AQ$91,'Improved Sales Adjustments 1'!$G$7:$WV$147,68,FALSE)="",0,IF($S153=HLOOKUP(AQ$91,'Improved Sales Adjustments 1'!$G$7:$WV$147,68,FALSE),1,0)))</f>
        <v>0</v>
      </c>
      <c r="AR153" s="41">
        <f>SUM($AG153:AG153)</f>
        <v>0</v>
      </c>
      <c r="AS153" s="41">
        <f>SUM($AG153:AH153)</f>
        <v>0</v>
      </c>
      <c r="AT153" s="41">
        <f>SUM($AG153:AI153)</f>
        <v>0</v>
      </c>
      <c r="AU153" s="41">
        <f>SUM($AG153:AJ153)</f>
        <v>0</v>
      </c>
      <c r="AV153" s="41">
        <f>SUM($AG153:AK153)</f>
        <v>0</v>
      </c>
      <c r="AW153" s="41">
        <f>SUM($AG153:AL153)</f>
        <v>0</v>
      </c>
      <c r="AX153" s="41">
        <f>SUM($AG153:AM153)</f>
        <v>0</v>
      </c>
      <c r="AY153" s="41">
        <f>SUM($AG153:AN153)</f>
        <v>0</v>
      </c>
      <c r="AZ153" s="41">
        <f>SUM($AG153:AO153)</f>
        <v>0</v>
      </c>
      <c r="BA153" s="41">
        <f>SUM($AG153:AP153)</f>
        <v>0</v>
      </c>
      <c r="BB153" s="41">
        <f>SUM($AG153:AQ153)</f>
        <v>0</v>
      </c>
      <c r="BC153" s="41" t="str">
        <f t="shared" si="38"/>
        <v/>
      </c>
      <c r="BD153" s="41" t="str">
        <f t="shared" si="38"/>
        <v/>
      </c>
      <c r="BE153" s="41" t="str">
        <f t="shared" si="38"/>
        <v/>
      </c>
      <c r="BF153" s="41" t="str">
        <f t="shared" si="38"/>
        <v/>
      </c>
      <c r="BG153" s="41" t="str">
        <f t="shared" si="38"/>
        <v/>
      </c>
      <c r="BH153" s="41" t="str">
        <f t="shared" si="38"/>
        <v/>
      </c>
      <c r="BI153" s="41" t="str">
        <f t="shared" si="38"/>
        <v/>
      </c>
      <c r="BJ153" s="41" t="str">
        <f t="shared" si="38"/>
        <v/>
      </c>
      <c r="BK153" s="41" t="str">
        <f t="shared" si="38"/>
        <v/>
      </c>
      <c r="BL153" s="41" t="str">
        <f t="shared" si="37"/>
        <v/>
      </c>
      <c r="BM153" s="41" t="str">
        <f t="shared" si="37"/>
        <v/>
      </c>
    </row>
    <row r="154" spans="1:65" ht="15" customHeight="1" x14ac:dyDescent="0.25">
      <c r="A154" s="957">
        <f t="shared" si="32"/>
        <v>0</v>
      </c>
      <c r="B154" s="10"/>
      <c r="C154" s="10"/>
      <c r="D154" s="13"/>
      <c r="E154" s="10"/>
      <c r="F154" s="10"/>
      <c r="G154" s="10"/>
      <c r="H154" s="10"/>
      <c r="I154" s="10"/>
      <c r="J154" s="10"/>
      <c r="K154" s="10"/>
      <c r="L154" s="10"/>
      <c r="M154" s="10"/>
      <c r="N154" s="10"/>
      <c r="O154" s="10"/>
      <c r="P154" s="4"/>
      <c r="Q154" s="1204"/>
      <c r="R154" s="101" t="str">
        <f t="shared" si="28"/>
        <v/>
      </c>
      <c r="S154" s="137">
        <f t="shared" si="30"/>
        <v>62</v>
      </c>
      <c r="T154" s="2130">
        <f>((T$157-T$152)/5)+T153</f>
        <v>0.60199999999999998</v>
      </c>
      <c r="U154" s="2130">
        <f t="shared" si="42"/>
        <v>0.75600000000000001</v>
      </c>
      <c r="V154" s="2130">
        <f t="shared" si="42"/>
        <v>0.78800000000000003</v>
      </c>
      <c r="W154" s="2130"/>
      <c r="X154" s="2130"/>
      <c r="Y154" s="2130"/>
      <c r="Z154" s="2130"/>
      <c r="AA154" s="2130"/>
      <c r="AB154" s="2130"/>
      <c r="AC154" s="2130"/>
      <c r="AD154" s="101"/>
      <c r="AE154" s="6"/>
      <c r="AF154" s="11"/>
      <c r="AG154" s="41">
        <f t="shared" si="33"/>
        <v>0</v>
      </c>
      <c r="AH154" s="41">
        <f>IF(ISERROR(HLOOKUP(AH$91,'Improved Sales Adjustments 1'!$G$7:$WV$147,68,FALSE)),0,IF(HLOOKUP(AH$91,'Improved Sales Adjustments 1'!$G$7:$WV$147,68,FALSE)="",0,IF($S154=HLOOKUP(AH$91,'Improved Sales Adjustments 1'!$G$7:$WV$147,68,FALSE),1,0)))</f>
        <v>0</v>
      </c>
      <c r="AI154" s="41">
        <f>IF(ISERROR(HLOOKUP(AI$91,'Improved Sales Adjustments 1'!$G$7:$WV$147,68,FALSE)),0,IF(HLOOKUP(AI$91,'Improved Sales Adjustments 1'!$G$7:$WV$147,68,FALSE)="",0,IF($S154=HLOOKUP(AI$91,'Improved Sales Adjustments 1'!$G$7:$WV$147,68,FALSE),1,0)))</f>
        <v>0</v>
      </c>
      <c r="AJ154" s="41">
        <f>IF(ISERROR(HLOOKUP(AJ$91,'Improved Sales Adjustments 1'!$G$7:$WV$147,68,FALSE)),0,IF(HLOOKUP(AJ$91,'Improved Sales Adjustments 1'!$G$7:$WV$147,68,FALSE)="",0,IF($S154=HLOOKUP(AJ$91,'Improved Sales Adjustments 1'!$G$7:$WV$147,68,FALSE),1,0)))</f>
        <v>0</v>
      </c>
      <c r="AK154" s="41">
        <f>IF(ISERROR(HLOOKUP(AK$91,'Improved Sales Adjustments 1'!$G$7:$WV$147,68,FALSE)),0,IF(HLOOKUP(AK$91,'Improved Sales Adjustments 1'!$G$7:$WV$147,68,FALSE)="",0,IF($S154=HLOOKUP(AK$91,'Improved Sales Adjustments 1'!$G$7:$WV$147,68,FALSE),1,0)))</f>
        <v>0</v>
      </c>
      <c r="AL154" s="41">
        <f>IF(ISERROR(HLOOKUP(AL$91,'Improved Sales Adjustments 1'!$G$7:$WV$147,68,FALSE)),0,IF(HLOOKUP(AL$91,'Improved Sales Adjustments 1'!$G$7:$WV$147,68,FALSE)="",0,IF($S154=HLOOKUP(AL$91,'Improved Sales Adjustments 1'!$G$7:$WV$147,68,FALSE),1,0)))</f>
        <v>0</v>
      </c>
      <c r="AM154" s="41">
        <f>IF(ISERROR(HLOOKUP(AM$91,'Improved Sales Adjustments 1'!$G$7:$WV$147,68,FALSE)),0,IF(HLOOKUP(AM$91,'Improved Sales Adjustments 1'!$G$7:$WV$147,68,FALSE)="",0,IF($S154=HLOOKUP(AM$91,'Improved Sales Adjustments 1'!$G$7:$WV$147,68,FALSE),1,0)))</f>
        <v>0</v>
      </c>
      <c r="AN154" s="41">
        <f>IF(ISERROR(HLOOKUP(AN$91,'Improved Sales Adjustments 1'!$G$7:$WV$147,68,FALSE)),0,IF(HLOOKUP(AN$91,'Improved Sales Adjustments 1'!$G$7:$WV$147,68,FALSE)="",0,IF($S154=HLOOKUP(AN$91,'Improved Sales Adjustments 1'!$G$7:$WV$147,68,FALSE),1,0)))</f>
        <v>0</v>
      </c>
      <c r="AO154" s="41">
        <f>IF(ISERROR(HLOOKUP(AO$91,'Improved Sales Adjustments 1'!$G$7:$WV$147,68,FALSE)),0,IF(HLOOKUP(AO$91,'Improved Sales Adjustments 1'!$G$7:$WV$147,68,FALSE)="",0,IF($S154=HLOOKUP(AO$91,'Improved Sales Adjustments 1'!$G$7:$WV$147,68,FALSE),1,0)))</f>
        <v>0</v>
      </c>
      <c r="AP154" s="41">
        <f>IF(ISERROR(HLOOKUP(AP$91,'Improved Sales Adjustments 1'!$G$7:$WV$147,68,FALSE)),0,IF(HLOOKUP(AP$91,'Improved Sales Adjustments 1'!$G$7:$WV$147,68,FALSE)="",0,IF($S154=HLOOKUP(AP$91,'Improved Sales Adjustments 1'!$G$7:$WV$147,68,FALSE),1,0)))</f>
        <v>0</v>
      </c>
      <c r="AQ154" s="41">
        <f>IF(ISERROR(HLOOKUP(AQ$91,'Improved Sales Adjustments 1'!$G$7:$WV$147,68,FALSE)),0,IF(HLOOKUP(AQ$91,'Improved Sales Adjustments 1'!$G$7:$WV$147,68,FALSE)="",0,IF($S154=HLOOKUP(AQ$91,'Improved Sales Adjustments 1'!$G$7:$WV$147,68,FALSE),1,0)))</f>
        <v>0</v>
      </c>
      <c r="AR154" s="41">
        <f>SUM($AG154:AG154)</f>
        <v>0</v>
      </c>
      <c r="AS154" s="41">
        <f>SUM($AG154:AH154)</f>
        <v>0</v>
      </c>
      <c r="AT154" s="41">
        <f>SUM($AG154:AI154)</f>
        <v>0</v>
      </c>
      <c r="AU154" s="41">
        <f>SUM($AG154:AJ154)</f>
        <v>0</v>
      </c>
      <c r="AV154" s="41">
        <f>SUM($AG154:AK154)</f>
        <v>0</v>
      </c>
      <c r="AW154" s="41">
        <f>SUM($AG154:AL154)</f>
        <v>0</v>
      </c>
      <c r="AX154" s="41">
        <f>SUM($AG154:AM154)</f>
        <v>0</v>
      </c>
      <c r="AY154" s="41">
        <f>SUM($AG154:AN154)</f>
        <v>0</v>
      </c>
      <c r="AZ154" s="41">
        <f>SUM($AG154:AO154)</f>
        <v>0</v>
      </c>
      <c r="BA154" s="41">
        <f>SUM($AG154:AP154)</f>
        <v>0</v>
      </c>
      <c r="BB154" s="41">
        <f>SUM($AG154:AQ154)</f>
        <v>0</v>
      </c>
      <c r="BC154" s="41" t="str">
        <f t="shared" si="38"/>
        <v/>
      </c>
      <c r="BD154" s="41" t="str">
        <f t="shared" si="38"/>
        <v/>
      </c>
      <c r="BE154" s="41" t="str">
        <f t="shared" si="38"/>
        <v/>
      </c>
      <c r="BF154" s="41" t="str">
        <f t="shared" si="38"/>
        <v/>
      </c>
      <c r="BG154" s="41" t="str">
        <f t="shared" si="38"/>
        <v/>
      </c>
      <c r="BH154" s="41" t="str">
        <f t="shared" si="38"/>
        <v/>
      </c>
      <c r="BI154" s="41" t="str">
        <f t="shared" si="38"/>
        <v/>
      </c>
      <c r="BJ154" s="41" t="str">
        <f t="shared" si="38"/>
        <v/>
      </c>
      <c r="BK154" s="41" t="str">
        <f t="shared" si="38"/>
        <v/>
      </c>
      <c r="BL154" s="41" t="str">
        <f t="shared" si="37"/>
        <v/>
      </c>
      <c r="BM154" s="41" t="str">
        <f t="shared" si="37"/>
        <v/>
      </c>
    </row>
    <row r="155" spans="1:65" ht="15" customHeight="1" x14ac:dyDescent="0.25">
      <c r="A155" s="957">
        <f t="shared" si="32"/>
        <v>0</v>
      </c>
      <c r="B155" s="10"/>
      <c r="C155" s="10"/>
      <c r="D155" s="13"/>
      <c r="E155" s="10"/>
      <c r="F155" s="10"/>
      <c r="G155" s="10"/>
      <c r="H155" s="10"/>
      <c r="I155" s="10"/>
      <c r="J155" s="10"/>
      <c r="K155" s="10"/>
      <c r="L155" s="10"/>
      <c r="M155" s="10"/>
      <c r="N155" s="10"/>
      <c r="O155" s="10"/>
      <c r="P155" s="4"/>
      <c r="Q155" s="1204"/>
      <c r="R155" s="101" t="str">
        <f t="shared" si="28"/>
        <v/>
      </c>
      <c r="S155" s="137">
        <f t="shared" si="30"/>
        <v>63</v>
      </c>
      <c r="T155" s="2130">
        <f>((T$157-T$152)/5)+T154</f>
        <v>0.61799999999999999</v>
      </c>
      <c r="U155" s="2130">
        <f t="shared" si="42"/>
        <v>0.76400000000000001</v>
      </c>
      <c r="V155" s="2130">
        <f t="shared" si="42"/>
        <v>0.79200000000000004</v>
      </c>
      <c r="W155" s="2130"/>
      <c r="X155" s="2130"/>
      <c r="Y155" s="2130"/>
      <c r="Z155" s="2130"/>
      <c r="AA155" s="2130"/>
      <c r="AB155" s="2130"/>
      <c r="AC155" s="2130"/>
      <c r="AD155" s="101"/>
      <c r="AE155" s="6"/>
      <c r="AF155" s="11"/>
      <c r="AG155" s="41">
        <f t="shared" si="33"/>
        <v>0</v>
      </c>
      <c r="AH155" s="41">
        <f>IF(ISERROR(HLOOKUP(AH$91,'Improved Sales Adjustments 1'!$G$7:$WV$147,68,FALSE)),0,IF(HLOOKUP(AH$91,'Improved Sales Adjustments 1'!$G$7:$WV$147,68,FALSE)="",0,IF($S155=HLOOKUP(AH$91,'Improved Sales Adjustments 1'!$G$7:$WV$147,68,FALSE),1,0)))</f>
        <v>0</v>
      </c>
      <c r="AI155" s="41">
        <f>IF(ISERROR(HLOOKUP(AI$91,'Improved Sales Adjustments 1'!$G$7:$WV$147,68,FALSE)),0,IF(HLOOKUP(AI$91,'Improved Sales Adjustments 1'!$G$7:$WV$147,68,FALSE)="",0,IF($S155=HLOOKUP(AI$91,'Improved Sales Adjustments 1'!$G$7:$WV$147,68,FALSE),1,0)))</f>
        <v>0</v>
      </c>
      <c r="AJ155" s="41">
        <f>IF(ISERROR(HLOOKUP(AJ$91,'Improved Sales Adjustments 1'!$G$7:$WV$147,68,FALSE)),0,IF(HLOOKUP(AJ$91,'Improved Sales Adjustments 1'!$G$7:$WV$147,68,FALSE)="",0,IF($S155=HLOOKUP(AJ$91,'Improved Sales Adjustments 1'!$G$7:$WV$147,68,FALSE),1,0)))</f>
        <v>0</v>
      </c>
      <c r="AK155" s="41">
        <f>IF(ISERROR(HLOOKUP(AK$91,'Improved Sales Adjustments 1'!$G$7:$WV$147,68,FALSE)),0,IF(HLOOKUP(AK$91,'Improved Sales Adjustments 1'!$G$7:$WV$147,68,FALSE)="",0,IF($S155=HLOOKUP(AK$91,'Improved Sales Adjustments 1'!$G$7:$WV$147,68,FALSE),1,0)))</f>
        <v>0</v>
      </c>
      <c r="AL155" s="41">
        <f>IF(ISERROR(HLOOKUP(AL$91,'Improved Sales Adjustments 1'!$G$7:$WV$147,68,FALSE)),0,IF(HLOOKUP(AL$91,'Improved Sales Adjustments 1'!$G$7:$WV$147,68,FALSE)="",0,IF($S155=HLOOKUP(AL$91,'Improved Sales Adjustments 1'!$G$7:$WV$147,68,FALSE),1,0)))</f>
        <v>0</v>
      </c>
      <c r="AM155" s="41">
        <f>IF(ISERROR(HLOOKUP(AM$91,'Improved Sales Adjustments 1'!$G$7:$WV$147,68,FALSE)),0,IF(HLOOKUP(AM$91,'Improved Sales Adjustments 1'!$G$7:$WV$147,68,FALSE)="",0,IF($S155=HLOOKUP(AM$91,'Improved Sales Adjustments 1'!$G$7:$WV$147,68,FALSE),1,0)))</f>
        <v>0</v>
      </c>
      <c r="AN155" s="41">
        <f>IF(ISERROR(HLOOKUP(AN$91,'Improved Sales Adjustments 1'!$G$7:$WV$147,68,FALSE)),0,IF(HLOOKUP(AN$91,'Improved Sales Adjustments 1'!$G$7:$WV$147,68,FALSE)="",0,IF($S155=HLOOKUP(AN$91,'Improved Sales Adjustments 1'!$G$7:$WV$147,68,FALSE),1,0)))</f>
        <v>0</v>
      </c>
      <c r="AO155" s="41">
        <f>IF(ISERROR(HLOOKUP(AO$91,'Improved Sales Adjustments 1'!$G$7:$WV$147,68,FALSE)),0,IF(HLOOKUP(AO$91,'Improved Sales Adjustments 1'!$G$7:$WV$147,68,FALSE)="",0,IF($S155=HLOOKUP(AO$91,'Improved Sales Adjustments 1'!$G$7:$WV$147,68,FALSE),1,0)))</f>
        <v>0</v>
      </c>
      <c r="AP155" s="41">
        <f>IF(ISERROR(HLOOKUP(AP$91,'Improved Sales Adjustments 1'!$G$7:$WV$147,68,FALSE)),0,IF(HLOOKUP(AP$91,'Improved Sales Adjustments 1'!$G$7:$WV$147,68,FALSE)="",0,IF($S155=HLOOKUP(AP$91,'Improved Sales Adjustments 1'!$G$7:$WV$147,68,FALSE),1,0)))</f>
        <v>0</v>
      </c>
      <c r="AQ155" s="41">
        <f>IF(ISERROR(HLOOKUP(AQ$91,'Improved Sales Adjustments 1'!$G$7:$WV$147,68,FALSE)),0,IF(HLOOKUP(AQ$91,'Improved Sales Adjustments 1'!$G$7:$WV$147,68,FALSE)="",0,IF($S155=HLOOKUP(AQ$91,'Improved Sales Adjustments 1'!$G$7:$WV$147,68,FALSE),1,0)))</f>
        <v>0</v>
      </c>
      <c r="AR155" s="41">
        <f>SUM($AG155:AG155)</f>
        <v>0</v>
      </c>
      <c r="AS155" s="41">
        <f>SUM($AG155:AH155)</f>
        <v>0</v>
      </c>
      <c r="AT155" s="41">
        <f>SUM($AG155:AI155)</f>
        <v>0</v>
      </c>
      <c r="AU155" s="41">
        <f>SUM($AG155:AJ155)</f>
        <v>0</v>
      </c>
      <c r="AV155" s="41">
        <f>SUM($AG155:AK155)</f>
        <v>0</v>
      </c>
      <c r="AW155" s="41">
        <f>SUM($AG155:AL155)</f>
        <v>0</v>
      </c>
      <c r="AX155" s="41">
        <f>SUM($AG155:AM155)</f>
        <v>0</v>
      </c>
      <c r="AY155" s="41">
        <f>SUM($AG155:AN155)</f>
        <v>0</v>
      </c>
      <c r="AZ155" s="41">
        <f>SUM($AG155:AO155)</f>
        <v>0</v>
      </c>
      <c r="BA155" s="41">
        <f>SUM($AG155:AP155)</f>
        <v>0</v>
      </c>
      <c r="BB155" s="41">
        <f>SUM($AG155:AQ155)</f>
        <v>0</v>
      </c>
      <c r="BC155" s="41" t="str">
        <f t="shared" si="38"/>
        <v/>
      </c>
      <c r="BD155" s="41" t="str">
        <f t="shared" si="38"/>
        <v/>
      </c>
      <c r="BE155" s="41" t="str">
        <f t="shared" si="38"/>
        <v/>
      </c>
      <c r="BF155" s="41" t="str">
        <f t="shared" si="38"/>
        <v/>
      </c>
      <c r="BG155" s="41" t="str">
        <f t="shared" si="38"/>
        <v/>
      </c>
      <c r="BH155" s="41" t="str">
        <f t="shared" si="38"/>
        <v/>
      </c>
      <c r="BI155" s="41" t="str">
        <f t="shared" si="38"/>
        <v/>
      </c>
      <c r="BJ155" s="41" t="str">
        <f t="shared" si="38"/>
        <v/>
      </c>
      <c r="BK155" s="41" t="str">
        <f t="shared" si="38"/>
        <v/>
      </c>
      <c r="BL155" s="41" t="str">
        <f t="shared" si="37"/>
        <v/>
      </c>
      <c r="BM155" s="41" t="str">
        <f t="shared" si="37"/>
        <v/>
      </c>
    </row>
    <row r="156" spans="1:65" ht="15" customHeight="1" x14ac:dyDescent="0.25">
      <c r="A156" s="957">
        <f t="shared" ref="A156:A172" si="43">IF(AND(MIN(Sales_EffectiveAgeRange_1,Sales_AdjGrid_AgeEffective_1)&lt;=S156,MAX(Sales_EffectiveAgeRange_1,Sales_AdjGrid_AgeEffective_1)&gt;=S156),1,0)</f>
        <v>0</v>
      </c>
      <c r="B156" s="10"/>
      <c r="C156" s="10"/>
      <c r="D156" s="13"/>
      <c r="E156" s="10"/>
      <c r="F156" s="10"/>
      <c r="G156" s="10"/>
      <c r="H156" s="10"/>
      <c r="I156" s="10"/>
      <c r="J156" s="10"/>
      <c r="K156" s="10"/>
      <c r="L156" s="10"/>
      <c r="M156" s="10"/>
      <c r="N156" s="10"/>
      <c r="O156" s="10"/>
      <c r="P156" s="4"/>
      <c r="Q156" s="1204"/>
      <c r="R156" s="101" t="str">
        <f t="shared" si="28"/>
        <v/>
      </c>
      <c r="S156" s="137">
        <f t="shared" si="30"/>
        <v>64</v>
      </c>
      <c r="T156" s="2130">
        <f>((T$157-T$152)/5)+T155</f>
        <v>0.63400000000000001</v>
      </c>
      <c r="U156" s="2130">
        <f t="shared" si="42"/>
        <v>0.77200000000000002</v>
      </c>
      <c r="V156" s="2130">
        <f t="shared" si="42"/>
        <v>0.79600000000000004</v>
      </c>
      <c r="W156" s="2130"/>
      <c r="X156" s="2130"/>
      <c r="Y156" s="2130"/>
      <c r="Z156" s="2130"/>
      <c r="AA156" s="2130"/>
      <c r="AB156" s="2130"/>
      <c r="AC156" s="2130"/>
      <c r="AD156" s="101"/>
      <c r="AE156" s="6"/>
      <c r="AF156" s="11"/>
      <c r="AG156" s="41">
        <f t="shared" ref="AG156:AG172" si="44">IF(S156=Sales_AdjGrid_AgeEffective_1,1,0)</f>
        <v>0</v>
      </c>
      <c r="AH156" s="41">
        <f>IF(ISERROR(HLOOKUP(AH$91,'Improved Sales Adjustments 1'!$G$7:$WV$147,68,FALSE)),0,IF(HLOOKUP(AH$91,'Improved Sales Adjustments 1'!$G$7:$WV$147,68,FALSE)="",0,IF($S156=HLOOKUP(AH$91,'Improved Sales Adjustments 1'!$G$7:$WV$147,68,FALSE),1,0)))</f>
        <v>0</v>
      </c>
      <c r="AI156" s="41">
        <f>IF(ISERROR(HLOOKUP(AI$91,'Improved Sales Adjustments 1'!$G$7:$WV$147,68,FALSE)),0,IF(HLOOKUP(AI$91,'Improved Sales Adjustments 1'!$G$7:$WV$147,68,FALSE)="",0,IF($S156=HLOOKUP(AI$91,'Improved Sales Adjustments 1'!$G$7:$WV$147,68,FALSE),1,0)))</f>
        <v>0</v>
      </c>
      <c r="AJ156" s="41">
        <f>IF(ISERROR(HLOOKUP(AJ$91,'Improved Sales Adjustments 1'!$G$7:$WV$147,68,FALSE)),0,IF(HLOOKUP(AJ$91,'Improved Sales Adjustments 1'!$G$7:$WV$147,68,FALSE)="",0,IF($S156=HLOOKUP(AJ$91,'Improved Sales Adjustments 1'!$G$7:$WV$147,68,FALSE),1,0)))</f>
        <v>0</v>
      </c>
      <c r="AK156" s="41">
        <f>IF(ISERROR(HLOOKUP(AK$91,'Improved Sales Adjustments 1'!$G$7:$WV$147,68,FALSE)),0,IF(HLOOKUP(AK$91,'Improved Sales Adjustments 1'!$G$7:$WV$147,68,FALSE)="",0,IF($S156=HLOOKUP(AK$91,'Improved Sales Adjustments 1'!$G$7:$WV$147,68,FALSE),1,0)))</f>
        <v>0</v>
      </c>
      <c r="AL156" s="41">
        <f>IF(ISERROR(HLOOKUP(AL$91,'Improved Sales Adjustments 1'!$G$7:$WV$147,68,FALSE)),0,IF(HLOOKUP(AL$91,'Improved Sales Adjustments 1'!$G$7:$WV$147,68,FALSE)="",0,IF($S156=HLOOKUP(AL$91,'Improved Sales Adjustments 1'!$G$7:$WV$147,68,FALSE),1,0)))</f>
        <v>0</v>
      </c>
      <c r="AM156" s="41">
        <f>IF(ISERROR(HLOOKUP(AM$91,'Improved Sales Adjustments 1'!$G$7:$WV$147,68,FALSE)),0,IF(HLOOKUP(AM$91,'Improved Sales Adjustments 1'!$G$7:$WV$147,68,FALSE)="",0,IF($S156=HLOOKUP(AM$91,'Improved Sales Adjustments 1'!$G$7:$WV$147,68,FALSE),1,0)))</f>
        <v>0</v>
      </c>
      <c r="AN156" s="41">
        <f>IF(ISERROR(HLOOKUP(AN$91,'Improved Sales Adjustments 1'!$G$7:$WV$147,68,FALSE)),0,IF(HLOOKUP(AN$91,'Improved Sales Adjustments 1'!$G$7:$WV$147,68,FALSE)="",0,IF($S156=HLOOKUP(AN$91,'Improved Sales Adjustments 1'!$G$7:$WV$147,68,FALSE),1,0)))</f>
        <v>0</v>
      </c>
      <c r="AO156" s="41">
        <f>IF(ISERROR(HLOOKUP(AO$91,'Improved Sales Adjustments 1'!$G$7:$WV$147,68,FALSE)),0,IF(HLOOKUP(AO$91,'Improved Sales Adjustments 1'!$G$7:$WV$147,68,FALSE)="",0,IF($S156=HLOOKUP(AO$91,'Improved Sales Adjustments 1'!$G$7:$WV$147,68,FALSE),1,0)))</f>
        <v>0</v>
      </c>
      <c r="AP156" s="41">
        <f>IF(ISERROR(HLOOKUP(AP$91,'Improved Sales Adjustments 1'!$G$7:$WV$147,68,FALSE)),0,IF(HLOOKUP(AP$91,'Improved Sales Adjustments 1'!$G$7:$WV$147,68,FALSE)="",0,IF($S156=HLOOKUP(AP$91,'Improved Sales Adjustments 1'!$G$7:$WV$147,68,FALSE),1,0)))</f>
        <v>0</v>
      </c>
      <c r="AQ156" s="41">
        <f>IF(ISERROR(HLOOKUP(AQ$91,'Improved Sales Adjustments 1'!$G$7:$WV$147,68,FALSE)),0,IF(HLOOKUP(AQ$91,'Improved Sales Adjustments 1'!$G$7:$WV$147,68,FALSE)="",0,IF($S156=HLOOKUP(AQ$91,'Improved Sales Adjustments 1'!$G$7:$WV$147,68,FALSE),1,0)))</f>
        <v>0</v>
      </c>
      <c r="AR156" s="41">
        <f>SUM($AG156:AG156)</f>
        <v>0</v>
      </c>
      <c r="AS156" s="41">
        <f>SUM($AG156:AH156)</f>
        <v>0</v>
      </c>
      <c r="AT156" s="41">
        <f>SUM($AG156:AI156)</f>
        <v>0</v>
      </c>
      <c r="AU156" s="41">
        <f>SUM($AG156:AJ156)</f>
        <v>0</v>
      </c>
      <c r="AV156" s="41">
        <f>SUM($AG156:AK156)</f>
        <v>0</v>
      </c>
      <c r="AW156" s="41">
        <f>SUM($AG156:AL156)</f>
        <v>0</v>
      </c>
      <c r="AX156" s="41">
        <f>SUM($AG156:AM156)</f>
        <v>0</v>
      </c>
      <c r="AY156" s="41">
        <f>SUM($AG156:AN156)</f>
        <v>0</v>
      </c>
      <c r="AZ156" s="41">
        <f>SUM($AG156:AO156)</f>
        <v>0</v>
      </c>
      <c r="BA156" s="41">
        <f>SUM($AG156:AP156)</f>
        <v>0</v>
      </c>
      <c r="BB156" s="41">
        <f>SUM($AG156:AQ156)</f>
        <v>0</v>
      </c>
      <c r="BC156" s="41" t="str">
        <f t="shared" si="38"/>
        <v/>
      </c>
      <c r="BD156" s="41" t="str">
        <f t="shared" si="38"/>
        <v/>
      </c>
      <c r="BE156" s="41" t="str">
        <f t="shared" si="38"/>
        <v/>
      </c>
      <c r="BF156" s="41" t="str">
        <f t="shared" si="38"/>
        <v/>
      </c>
      <c r="BG156" s="41" t="str">
        <f t="shared" si="38"/>
        <v/>
      </c>
      <c r="BH156" s="41" t="str">
        <f t="shared" si="38"/>
        <v/>
      </c>
      <c r="BI156" s="41" t="str">
        <f t="shared" si="38"/>
        <v/>
      </c>
      <c r="BJ156" s="41" t="str">
        <f t="shared" si="38"/>
        <v/>
      </c>
      <c r="BK156" s="41" t="str">
        <f t="shared" si="38"/>
        <v/>
      </c>
      <c r="BL156" s="41" t="str">
        <f t="shared" si="37"/>
        <v/>
      </c>
      <c r="BM156" s="41" t="str">
        <f t="shared" si="37"/>
        <v/>
      </c>
    </row>
    <row r="157" spans="1:65" ht="15" customHeight="1" x14ac:dyDescent="0.25">
      <c r="A157" s="957">
        <f t="shared" si="43"/>
        <v>0</v>
      </c>
      <c r="B157" s="10"/>
      <c r="C157" s="10"/>
      <c r="D157" s="13"/>
      <c r="E157" s="10"/>
      <c r="F157" s="10"/>
      <c r="G157" s="10"/>
      <c r="H157" s="10"/>
      <c r="I157" s="10"/>
      <c r="J157" s="10"/>
      <c r="K157" s="10"/>
      <c r="L157" s="10"/>
      <c r="M157" s="10"/>
      <c r="N157" s="10"/>
      <c r="O157" s="10"/>
      <c r="P157" s="4"/>
      <c r="Q157" s="1204"/>
      <c r="R157" s="101" t="str">
        <f t="shared" ref="R157:R172" si="45">CONCATENATE(BC157,BD157,BE157,BF157,BG157,BH157,BI157,BJ157,BK157,BL157,BM157)</f>
        <v/>
      </c>
      <c r="S157" s="137">
        <f t="shared" si="30"/>
        <v>65</v>
      </c>
      <c r="T157" s="2129">
        <v>0.65</v>
      </c>
      <c r="U157" s="2130">
        <v>0.78</v>
      </c>
      <c r="V157" s="2130">
        <v>0.8</v>
      </c>
      <c r="W157" s="2130"/>
      <c r="X157" s="2130"/>
      <c r="Y157" s="2130"/>
      <c r="Z157" s="2130"/>
      <c r="AA157" s="2130"/>
      <c r="AB157" s="2130"/>
      <c r="AC157" s="2130"/>
      <c r="AD157" s="101"/>
      <c r="AE157" s="6"/>
      <c r="AF157" s="11"/>
      <c r="AG157" s="41">
        <f t="shared" si="44"/>
        <v>0</v>
      </c>
      <c r="AH157" s="41">
        <f>IF(ISERROR(HLOOKUP(AH$91,'Improved Sales Adjustments 1'!$G$7:$WV$147,68,FALSE)),0,IF(HLOOKUP(AH$91,'Improved Sales Adjustments 1'!$G$7:$WV$147,68,FALSE)="",0,IF($S157=HLOOKUP(AH$91,'Improved Sales Adjustments 1'!$G$7:$WV$147,68,FALSE),1,0)))</f>
        <v>0</v>
      </c>
      <c r="AI157" s="41">
        <f>IF(ISERROR(HLOOKUP(AI$91,'Improved Sales Adjustments 1'!$G$7:$WV$147,68,FALSE)),0,IF(HLOOKUP(AI$91,'Improved Sales Adjustments 1'!$G$7:$WV$147,68,FALSE)="",0,IF($S157=HLOOKUP(AI$91,'Improved Sales Adjustments 1'!$G$7:$WV$147,68,FALSE),1,0)))</f>
        <v>0</v>
      </c>
      <c r="AJ157" s="41">
        <f>IF(ISERROR(HLOOKUP(AJ$91,'Improved Sales Adjustments 1'!$G$7:$WV$147,68,FALSE)),0,IF(HLOOKUP(AJ$91,'Improved Sales Adjustments 1'!$G$7:$WV$147,68,FALSE)="",0,IF($S157=HLOOKUP(AJ$91,'Improved Sales Adjustments 1'!$G$7:$WV$147,68,FALSE),1,0)))</f>
        <v>0</v>
      </c>
      <c r="AK157" s="41">
        <f>IF(ISERROR(HLOOKUP(AK$91,'Improved Sales Adjustments 1'!$G$7:$WV$147,68,FALSE)),0,IF(HLOOKUP(AK$91,'Improved Sales Adjustments 1'!$G$7:$WV$147,68,FALSE)="",0,IF($S157=HLOOKUP(AK$91,'Improved Sales Adjustments 1'!$G$7:$WV$147,68,FALSE),1,0)))</f>
        <v>0</v>
      </c>
      <c r="AL157" s="41">
        <f>IF(ISERROR(HLOOKUP(AL$91,'Improved Sales Adjustments 1'!$G$7:$WV$147,68,FALSE)),0,IF(HLOOKUP(AL$91,'Improved Sales Adjustments 1'!$G$7:$WV$147,68,FALSE)="",0,IF($S157=HLOOKUP(AL$91,'Improved Sales Adjustments 1'!$G$7:$WV$147,68,FALSE),1,0)))</f>
        <v>0</v>
      </c>
      <c r="AM157" s="41">
        <f>IF(ISERROR(HLOOKUP(AM$91,'Improved Sales Adjustments 1'!$G$7:$WV$147,68,FALSE)),0,IF(HLOOKUP(AM$91,'Improved Sales Adjustments 1'!$G$7:$WV$147,68,FALSE)="",0,IF($S157=HLOOKUP(AM$91,'Improved Sales Adjustments 1'!$G$7:$WV$147,68,FALSE),1,0)))</f>
        <v>0</v>
      </c>
      <c r="AN157" s="41">
        <f>IF(ISERROR(HLOOKUP(AN$91,'Improved Sales Adjustments 1'!$G$7:$WV$147,68,FALSE)),0,IF(HLOOKUP(AN$91,'Improved Sales Adjustments 1'!$G$7:$WV$147,68,FALSE)="",0,IF($S157=HLOOKUP(AN$91,'Improved Sales Adjustments 1'!$G$7:$WV$147,68,FALSE),1,0)))</f>
        <v>0</v>
      </c>
      <c r="AO157" s="41">
        <f>IF(ISERROR(HLOOKUP(AO$91,'Improved Sales Adjustments 1'!$G$7:$WV$147,68,FALSE)),0,IF(HLOOKUP(AO$91,'Improved Sales Adjustments 1'!$G$7:$WV$147,68,FALSE)="",0,IF($S157=HLOOKUP(AO$91,'Improved Sales Adjustments 1'!$G$7:$WV$147,68,FALSE),1,0)))</f>
        <v>0</v>
      </c>
      <c r="AP157" s="41">
        <f>IF(ISERROR(HLOOKUP(AP$91,'Improved Sales Adjustments 1'!$G$7:$WV$147,68,FALSE)),0,IF(HLOOKUP(AP$91,'Improved Sales Adjustments 1'!$G$7:$WV$147,68,FALSE)="",0,IF($S157=HLOOKUP(AP$91,'Improved Sales Adjustments 1'!$G$7:$WV$147,68,FALSE),1,0)))</f>
        <v>0</v>
      </c>
      <c r="AQ157" s="41">
        <f>IF(ISERROR(HLOOKUP(AQ$91,'Improved Sales Adjustments 1'!$G$7:$WV$147,68,FALSE)),0,IF(HLOOKUP(AQ$91,'Improved Sales Adjustments 1'!$G$7:$WV$147,68,FALSE)="",0,IF($S157=HLOOKUP(AQ$91,'Improved Sales Adjustments 1'!$G$7:$WV$147,68,FALSE),1,0)))</f>
        <v>0</v>
      </c>
      <c r="AR157" s="41">
        <f>SUM($AG157:AG157)</f>
        <v>0</v>
      </c>
      <c r="AS157" s="41">
        <f>SUM($AG157:AH157)</f>
        <v>0</v>
      </c>
      <c r="AT157" s="41">
        <f>SUM($AG157:AI157)</f>
        <v>0</v>
      </c>
      <c r="AU157" s="41">
        <f>SUM($AG157:AJ157)</f>
        <v>0</v>
      </c>
      <c r="AV157" s="41">
        <f>SUM($AG157:AK157)</f>
        <v>0</v>
      </c>
      <c r="AW157" s="41">
        <f>SUM($AG157:AL157)</f>
        <v>0</v>
      </c>
      <c r="AX157" s="41">
        <f>SUM($AG157:AM157)</f>
        <v>0</v>
      </c>
      <c r="AY157" s="41">
        <f>SUM($AG157:AN157)</f>
        <v>0</v>
      </c>
      <c r="AZ157" s="41">
        <f>SUM($AG157:AO157)</f>
        <v>0</v>
      </c>
      <c r="BA157" s="41">
        <f>SUM($AG157:AP157)</f>
        <v>0</v>
      </c>
      <c r="BB157" s="41">
        <f>SUM($AG157:AQ157)</f>
        <v>0</v>
      </c>
      <c r="BC157" s="41" t="str">
        <f t="shared" si="38"/>
        <v/>
      </c>
      <c r="BD157" s="41" t="str">
        <f t="shared" si="38"/>
        <v/>
      </c>
      <c r="BE157" s="41" t="str">
        <f t="shared" si="38"/>
        <v/>
      </c>
      <c r="BF157" s="41" t="str">
        <f t="shared" si="38"/>
        <v/>
      </c>
      <c r="BG157" s="41" t="str">
        <f t="shared" si="38"/>
        <v/>
      </c>
      <c r="BH157" s="41" t="str">
        <f t="shared" si="38"/>
        <v/>
      </c>
      <c r="BI157" s="41" t="str">
        <f t="shared" si="38"/>
        <v/>
      </c>
      <c r="BJ157" s="41" t="str">
        <f t="shared" si="38"/>
        <v/>
      </c>
      <c r="BK157" s="41" t="str">
        <f t="shared" si="38"/>
        <v/>
      </c>
      <c r="BL157" s="41" t="str">
        <f t="shared" si="37"/>
        <v/>
      </c>
      <c r="BM157" s="41" t="str">
        <f t="shared" si="37"/>
        <v/>
      </c>
    </row>
    <row r="158" spans="1:65" ht="15" customHeight="1" x14ac:dyDescent="0.25">
      <c r="A158" s="957">
        <f t="shared" si="43"/>
        <v>0</v>
      </c>
      <c r="B158" s="10"/>
      <c r="C158" s="10"/>
      <c r="D158" s="13"/>
      <c r="E158" s="10"/>
      <c r="F158" s="10"/>
      <c r="G158" s="10"/>
      <c r="H158" s="10"/>
      <c r="I158" s="10"/>
      <c r="J158" s="10"/>
      <c r="K158" s="10"/>
      <c r="L158" s="10"/>
      <c r="M158" s="10"/>
      <c r="N158" s="10"/>
      <c r="O158" s="10"/>
      <c r="P158" s="4"/>
      <c r="Q158" s="1204"/>
      <c r="R158" s="101" t="str">
        <f t="shared" si="45"/>
        <v/>
      </c>
      <c r="S158" s="137">
        <f t="shared" si="30"/>
        <v>66</v>
      </c>
      <c r="T158" s="2130">
        <f t="shared" ref="T158:U161" si="46">((T$162-T$157)/5)+T157</f>
        <v>0.66200000000000003</v>
      </c>
      <c r="U158" s="2130">
        <f t="shared" si="46"/>
        <v>0.78400000000000003</v>
      </c>
      <c r="V158" s="2130"/>
      <c r="W158" s="2130"/>
      <c r="X158" s="2130"/>
      <c r="Y158" s="2130"/>
      <c r="Z158" s="2130"/>
      <c r="AA158" s="2130"/>
      <c r="AB158" s="2130"/>
      <c r="AC158" s="2130"/>
      <c r="AD158" s="101"/>
      <c r="AE158" s="6"/>
      <c r="AF158" s="11"/>
      <c r="AG158" s="41">
        <f t="shared" si="44"/>
        <v>0</v>
      </c>
      <c r="AH158" s="41">
        <f>IF(ISERROR(HLOOKUP(AH$91,'Improved Sales Adjustments 1'!$G$7:$WV$147,68,FALSE)),0,IF(HLOOKUP(AH$91,'Improved Sales Adjustments 1'!$G$7:$WV$147,68,FALSE)="",0,IF($S158=HLOOKUP(AH$91,'Improved Sales Adjustments 1'!$G$7:$WV$147,68,FALSE),1,0)))</f>
        <v>0</v>
      </c>
      <c r="AI158" s="41">
        <f>IF(ISERROR(HLOOKUP(AI$91,'Improved Sales Adjustments 1'!$G$7:$WV$147,68,FALSE)),0,IF(HLOOKUP(AI$91,'Improved Sales Adjustments 1'!$G$7:$WV$147,68,FALSE)="",0,IF($S158=HLOOKUP(AI$91,'Improved Sales Adjustments 1'!$G$7:$WV$147,68,FALSE),1,0)))</f>
        <v>0</v>
      </c>
      <c r="AJ158" s="41">
        <f>IF(ISERROR(HLOOKUP(AJ$91,'Improved Sales Adjustments 1'!$G$7:$WV$147,68,FALSE)),0,IF(HLOOKUP(AJ$91,'Improved Sales Adjustments 1'!$G$7:$WV$147,68,FALSE)="",0,IF($S158=HLOOKUP(AJ$91,'Improved Sales Adjustments 1'!$G$7:$WV$147,68,FALSE),1,0)))</f>
        <v>0</v>
      </c>
      <c r="AK158" s="41">
        <f>IF(ISERROR(HLOOKUP(AK$91,'Improved Sales Adjustments 1'!$G$7:$WV$147,68,FALSE)),0,IF(HLOOKUP(AK$91,'Improved Sales Adjustments 1'!$G$7:$WV$147,68,FALSE)="",0,IF($S158=HLOOKUP(AK$91,'Improved Sales Adjustments 1'!$G$7:$WV$147,68,FALSE),1,0)))</f>
        <v>0</v>
      </c>
      <c r="AL158" s="41">
        <f>IF(ISERROR(HLOOKUP(AL$91,'Improved Sales Adjustments 1'!$G$7:$WV$147,68,FALSE)),0,IF(HLOOKUP(AL$91,'Improved Sales Adjustments 1'!$G$7:$WV$147,68,FALSE)="",0,IF($S158=HLOOKUP(AL$91,'Improved Sales Adjustments 1'!$G$7:$WV$147,68,FALSE),1,0)))</f>
        <v>0</v>
      </c>
      <c r="AM158" s="41">
        <f>IF(ISERROR(HLOOKUP(AM$91,'Improved Sales Adjustments 1'!$G$7:$WV$147,68,FALSE)),0,IF(HLOOKUP(AM$91,'Improved Sales Adjustments 1'!$G$7:$WV$147,68,FALSE)="",0,IF($S158=HLOOKUP(AM$91,'Improved Sales Adjustments 1'!$G$7:$WV$147,68,FALSE),1,0)))</f>
        <v>0</v>
      </c>
      <c r="AN158" s="41">
        <f>IF(ISERROR(HLOOKUP(AN$91,'Improved Sales Adjustments 1'!$G$7:$WV$147,68,FALSE)),0,IF(HLOOKUP(AN$91,'Improved Sales Adjustments 1'!$G$7:$WV$147,68,FALSE)="",0,IF($S158=HLOOKUP(AN$91,'Improved Sales Adjustments 1'!$G$7:$WV$147,68,FALSE),1,0)))</f>
        <v>0</v>
      </c>
      <c r="AO158" s="41">
        <f>IF(ISERROR(HLOOKUP(AO$91,'Improved Sales Adjustments 1'!$G$7:$WV$147,68,FALSE)),0,IF(HLOOKUP(AO$91,'Improved Sales Adjustments 1'!$G$7:$WV$147,68,FALSE)="",0,IF($S158=HLOOKUP(AO$91,'Improved Sales Adjustments 1'!$G$7:$WV$147,68,FALSE),1,0)))</f>
        <v>0</v>
      </c>
      <c r="AP158" s="41">
        <f>IF(ISERROR(HLOOKUP(AP$91,'Improved Sales Adjustments 1'!$G$7:$WV$147,68,FALSE)),0,IF(HLOOKUP(AP$91,'Improved Sales Adjustments 1'!$G$7:$WV$147,68,FALSE)="",0,IF($S158=HLOOKUP(AP$91,'Improved Sales Adjustments 1'!$G$7:$WV$147,68,FALSE),1,0)))</f>
        <v>0</v>
      </c>
      <c r="AQ158" s="41">
        <f>IF(ISERROR(HLOOKUP(AQ$91,'Improved Sales Adjustments 1'!$G$7:$WV$147,68,FALSE)),0,IF(HLOOKUP(AQ$91,'Improved Sales Adjustments 1'!$G$7:$WV$147,68,FALSE)="",0,IF($S158=HLOOKUP(AQ$91,'Improved Sales Adjustments 1'!$G$7:$WV$147,68,FALSE),1,0)))</f>
        <v>0</v>
      </c>
      <c r="AR158" s="41">
        <f>SUM($AG158:AG158)</f>
        <v>0</v>
      </c>
      <c r="AS158" s="41">
        <f>SUM($AG158:AH158)</f>
        <v>0</v>
      </c>
      <c r="AT158" s="41">
        <f>SUM($AG158:AI158)</f>
        <v>0</v>
      </c>
      <c r="AU158" s="41">
        <f>SUM($AG158:AJ158)</f>
        <v>0</v>
      </c>
      <c r="AV158" s="41">
        <f>SUM($AG158:AK158)</f>
        <v>0</v>
      </c>
      <c r="AW158" s="41">
        <f>SUM($AG158:AL158)</f>
        <v>0</v>
      </c>
      <c r="AX158" s="41">
        <f>SUM($AG158:AM158)</f>
        <v>0</v>
      </c>
      <c r="AY158" s="41">
        <f>SUM($AG158:AN158)</f>
        <v>0</v>
      </c>
      <c r="AZ158" s="41">
        <f>SUM($AG158:AO158)</f>
        <v>0</v>
      </c>
      <c r="BA158" s="41">
        <f>SUM($AG158:AP158)</f>
        <v>0</v>
      </c>
      <c r="BB158" s="41">
        <f>SUM($AG158:AQ158)</f>
        <v>0</v>
      </c>
      <c r="BC158" s="41" t="str">
        <f t="shared" si="38"/>
        <v/>
      </c>
      <c r="BD158" s="41" t="str">
        <f t="shared" si="38"/>
        <v/>
      </c>
      <c r="BE158" s="41" t="str">
        <f t="shared" si="38"/>
        <v/>
      </c>
      <c r="BF158" s="41" t="str">
        <f t="shared" ref="BF158:BK172" si="47">IF(AJ158=1,IF(AND(AU158=$BB158,$BB158&gt;1),IF($BB158&lt;3,CONCATENATE(" and ",BF$90),CONCATENATE("and ",BF$90)),IF($BB158&lt;3,BF$90,CONCATENATE(BF$90,", "))),"")</f>
        <v/>
      </c>
      <c r="BG158" s="41" t="str">
        <f t="shared" si="47"/>
        <v/>
      </c>
      <c r="BH158" s="41" t="str">
        <f t="shared" si="47"/>
        <v/>
      </c>
      <c r="BI158" s="41" t="str">
        <f t="shared" si="47"/>
        <v/>
      </c>
      <c r="BJ158" s="41" t="str">
        <f t="shared" si="47"/>
        <v/>
      </c>
      <c r="BK158" s="41" t="str">
        <f t="shared" si="47"/>
        <v/>
      </c>
      <c r="BL158" s="41" t="str">
        <f t="shared" si="37"/>
        <v/>
      </c>
      <c r="BM158" s="41" t="str">
        <f t="shared" si="37"/>
        <v/>
      </c>
    </row>
    <row r="159" spans="1:65" ht="15" customHeight="1" x14ac:dyDescent="0.25">
      <c r="A159" s="957">
        <f t="shared" si="43"/>
        <v>0</v>
      </c>
      <c r="B159" s="10"/>
      <c r="C159" s="10"/>
      <c r="D159" s="13"/>
      <c r="E159" s="10"/>
      <c r="F159" s="10"/>
      <c r="G159" s="10"/>
      <c r="H159" s="10"/>
      <c r="I159" s="10"/>
      <c r="J159" s="10"/>
      <c r="K159" s="10"/>
      <c r="L159" s="10"/>
      <c r="M159" s="10"/>
      <c r="N159" s="10"/>
      <c r="O159" s="10"/>
      <c r="P159" s="4"/>
      <c r="Q159" s="1204"/>
      <c r="R159" s="101" t="str">
        <f t="shared" si="45"/>
        <v/>
      </c>
      <c r="S159" s="137">
        <f t="shared" ref="S159:S172" si="48">S158+1</f>
        <v>67</v>
      </c>
      <c r="T159" s="2130">
        <f t="shared" si="46"/>
        <v>0.67400000000000004</v>
      </c>
      <c r="U159" s="2130">
        <f t="shared" si="46"/>
        <v>0.78800000000000003</v>
      </c>
      <c r="V159" s="2130"/>
      <c r="W159" s="2130"/>
      <c r="X159" s="2130"/>
      <c r="Y159" s="2130"/>
      <c r="Z159" s="2130"/>
      <c r="AA159" s="2130"/>
      <c r="AB159" s="2130"/>
      <c r="AC159" s="2130"/>
      <c r="AD159" s="101"/>
      <c r="AE159" s="6"/>
      <c r="AF159" s="11"/>
      <c r="AG159" s="41">
        <f t="shared" si="44"/>
        <v>0</v>
      </c>
      <c r="AH159" s="41">
        <f>IF(ISERROR(HLOOKUP(AH$91,'Improved Sales Adjustments 1'!$G$7:$WV$147,68,FALSE)),0,IF(HLOOKUP(AH$91,'Improved Sales Adjustments 1'!$G$7:$WV$147,68,FALSE)="",0,IF($S159=HLOOKUP(AH$91,'Improved Sales Adjustments 1'!$G$7:$WV$147,68,FALSE),1,0)))</f>
        <v>0</v>
      </c>
      <c r="AI159" s="41">
        <f>IF(ISERROR(HLOOKUP(AI$91,'Improved Sales Adjustments 1'!$G$7:$WV$147,68,FALSE)),0,IF(HLOOKUP(AI$91,'Improved Sales Adjustments 1'!$G$7:$WV$147,68,FALSE)="",0,IF($S159=HLOOKUP(AI$91,'Improved Sales Adjustments 1'!$G$7:$WV$147,68,FALSE),1,0)))</f>
        <v>0</v>
      </c>
      <c r="AJ159" s="41">
        <f>IF(ISERROR(HLOOKUP(AJ$91,'Improved Sales Adjustments 1'!$G$7:$WV$147,68,FALSE)),0,IF(HLOOKUP(AJ$91,'Improved Sales Adjustments 1'!$G$7:$WV$147,68,FALSE)="",0,IF($S159=HLOOKUP(AJ$91,'Improved Sales Adjustments 1'!$G$7:$WV$147,68,FALSE),1,0)))</f>
        <v>0</v>
      </c>
      <c r="AK159" s="41">
        <f>IF(ISERROR(HLOOKUP(AK$91,'Improved Sales Adjustments 1'!$G$7:$WV$147,68,FALSE)),0,IF(HLOOKUP(AK$91,'Improved Sales Adjustments 1'!$G$7:$WV$147,68,FALSE)="",0,IF($S159=HLOOKUP(AK$91,'Improved Sales Adjustments 1'!$G$7:$WV$147,68,FALSE),1,0)))</f>
        <v>0</v>
      </c>
      <c r="AL159" s="41">
        <f>IF(ISERROR(HLOOKUP(AL$91,'Improved Sales Adjustments 1'!$G$7:$WV$147,68,FALSE)),0,IF(HLOOKUP(AL$91,'Improved Sales Adjustments 1'!$G$7:$WV$147,68,FALSE)="",0,IF($S159=HLOOKUP(AL$91,'Improved Sales Adjustments 1'!$G$7:$WV$147,68,FALSE),1,0)))</f>
        <v>0</v>
      </c>
      <c r="AM159" s="41">
        <f>IF(ISERROR(HLOOKUP(AM$91,'Improved Sales Adjustments 1'!$G$7:$WV$147,68,FALSE)),0,IF(HLOOKUP(AM$91,'Improved Sales Adjustments 1'!$G$7:$WV$147,68,FALSE)="",0,IF($S159=HLOOKUP(AM$91,'Improved Sales Adjustments 1'!$G$7:$WV$147,68,FALSE),1,0)))</f>
        <v>0</v>
      </c>
      <c r="AN159" s="41">
        <f>IF(ISERROR(HLOOKUP(AN$91,'Improved Sales Adjustments 1'!$G$7:$WV$147,68,FALSE)),0,IF(HLOOKUP(AN$91,'Improved Sales Adjustments 1'!$G$7:$WV$147,68,FALSE)="",0,IF($S159=HLOOKUP(AN$91,'Improved Sales Adjustments 1'!$G$7:$WV$147,68,FALSE),1,0)))</f>
        <v>0</v>
      </c>
      <c r="AO159" s="41">
        <f>IF(ISERROR(HLOOKUP(AO$91,'Improved Sales Adjustments 1'!$G$7:$WV$147,68,FALSE)),0,IF(HLOOKUP(AO$91,'Improved Sales Adjustments 1'!$G$7:$WV$147,68,FALSE)="",0,IF($S159=HLOOKUP(AO$91,'Improved Sales Adjustments 1'!$G$7:$WV$147,68,FALSE),1,0)))</f>
        <v>0</v>
      </c>
      <c r="AP159" s="41">
        <f>IF(ISERROR(HLOOKUP(AP$91,'Improved Sales Adjustments 1'!$G$7:$WV$147,68,FALSE)),0,IF(HLOOKUP(AP$91,'Improved Sales Adjustments 1'!$G$7:$WV$147,68,FALSE)="",0,IF($S159=HLOOKUP(AP$91,'Improved Sales Adjustments 1'!$G$7:$WV$147,68,FALSE),1,0)))</f>
        <v>0</v>
      </c>
      <c r="AQ159" s="41">
        <f>IF(ISERROR(HLOOKUP(AQ$91,'Improved Sales Adjustments 1'!$G$7:$WV$147,68,FALSE)),0,IF(HLOOKUP(AQ$91,'Improved Sales Adjustments 1'!$G$7:$WV$147,68,FALSE)="",0,IF($S159=HLOOKUP(AQ$91,'Improved Sales Adjustments 1'!$G$7:$WV$147,68,FALSE),1,0)))</f>
        <v>0</v>
      </c>
      <c r="AR159" s="41">
        <f>SUM($AG159:AG159)</f>
        <v>0</v>
      </c>
      <c r="AS159" s="41">
        <f>SUM($AG159:AH159)</f>
        <v>0</v>
      </c>
      <c r="AT159" s="41">
        <f>SUM($AG159:AI159)</f>
        <v>0</v>
      </c>
      <c r="AU159" s="41">
        <f>SUM($AG159:AJ159)</f>
        <v>0</v>
      </c>
      <c r="AV159" s="41">
        <f>SUM($AG159:AK159)</f>
        <v>0</v>
      </c>
      <c r="AW159" s="41">
        <f>SUM($AG159:AL159)</f>
        <v>0</v>
      </c>
      <c r="AX159" s="41">
        <f>SUM($AG159:AM159)</f>
        <v>0</v>
      </c>
      <c r="AY159" s="41">
        <f>SUM($AG159:AN159)</f>
        <v>0</v>
      </c>
      <c r="AZ159" s="41">
        <f>SUM($AG159:AO159)</f>
        <v>0</v>
      </c>
      <c r="BA159" s="41">
        <f>SUM($AG159:AP159)</f>
        <v>0</v>
      </c>
      <c r="BB159" s="41">
        <f>SUM($AG159:AQ159)</f>
        <v>0</v>
      </c>
      <c r="BC159" s="41" t="str">
        <f t="shared" ref="BC159:BE172" si="49">IF(AG159=1,IF(AND(AR159=$BB159,$BB159&gt;1),IF($BB159&lt;3,CONCATENATE(" and ",BC$90),CONCATENATE("and ",BC$90)),IF($BB159&lt;3,BC$90,CONCATENATE(BC$90,", "))),"")</f>
        <v/>
      </c>
      <c r="BD159" s="41" t="str">
        <f t="shared" si="49"/>
        <v/>
      </c>
      <c r="BE159" s="41" t="str">
        <f t="shared" si="49"/>
        <v/>
      </c>
      <c r="BF159" s="41" t="str">
        <f t="shared" si="47"/>
        <v/>
      </c>
      <c r="BG159" s="41" t="str">
        <f t="shared" si="47"/>
        <v/>
      </c>
      <c r="BH159" s="41" t="str">
        <f t="shared" si="47"/>
        <v/>
      </c>
      <c r="BI159" s="41" t="str">
        <f t="shared" si="47"/>
        <v/>
      </c>
      <c r="BJ159" s="41" t="str">
        <f t="shared" si="47"/>
        <v/>
      </c>
      <c r="BK159" s="41" t="str">
        <f t="shared" si="47"/>
        <v/>
      </c>
      <c r="BL159" s="41" t="str">
        <f t="shared" si="37"/>
        <v/>
      </c>
      <c r="BM159" s="41" t="str">
        <f t="shared" si="37"/>
        <v/>
      </c>
    </row>
    <row r="160" spans="1:65" ht="15" customHeight="1" x14ac:dyDescent="0.25">
      <c r="A160" s="957">
        <f t="shared" si="43"/>
        <v>0</v>
      </c>
      <c r="B160" s="10"/>
      <c r="C160" s="10"/>
      <c r="D160" s="13"/>
      <c r="E160" s="10"/>
      <c r="F160" s="10"/>
      <c r="G160" s="10"/>
      <c r="H160" s="10"/>
      <c r="I160" s="10"/>
      <c r="J160" s="10"/>
      <c r="K160" s="10"/>
      <c r="L160" s="10"/>
      <c r="M160" s="10"/>
      <c r="N160" s="10"/>
      <c r="O160" s="10"/>
      <c r="P160" s="4"/>
      <c r="Q160" s="1204"/>
      <c r="R160" s="101" t="str">
        <f t="shared" si="45"/>
        <v/>
      </c>
      <c r="S160" s="137">
        <f t="shared" si="48"/>
        <v>68</v>
      </c>
      <c r="T160" s="2130">
        <f t="shared" si="46"/>
        <v>0.68600000000000005</v>
      </c>
      <c r="U160" s="2130">
        <f t="shared" si="46"/>
        <v>0.79200000000000004</v>
      </c>
      <c r="V160" s="2130"/>
      <c r="W160" s="2130"/>
      <c r="X160" s="2130"/>
      <c r="Y160" s="2130"/>
      <c r="Z160" s="2130"/>
      <c r="AA160" s="2130"/>
      <c r="AB160" s="2130"/>
      <c r="AC160" s="2130"/>
      <c r="AD160" s="101"/>
      <c r="AE160" s="6"/>
      <c r="AF160" s="11"/>
      <c r="AG160" s="41">
        <f t="shared" si="44"/>
        <v>0</v>
      </c>
      <c r="AH160" s="41">
        <f>IF(ISERROR(HLOOKUP(AH$91,'Improved Sales Adjustments 1'!$G$7:$WV$147,68,FALSE)),0,IF(HLOOKUP(AH$91,'Improved Sales Adjustments 1'!$G$7:$WV$147,68,FALSE)="",0,IF($S160=HLOOKUP(AH$91,'Improved Sales Adjustments 1'!$G$7:$WV$147,68,FALSE),1,0)))</f>
        <v>0</v>
      </c>
      <c r="AI160" s="41">
        <f>IF(ISERROR(HLOOKUP(AI$91,'Improved Sales Adjustments 1'!$G$7:$WV$147,68,FALSE)),0,IF(HLOOKUP(AI$91,'Improved Sales Adjustments 1'!$G$7:$WV$147,68,FALSE)="",0,IF($S160=HLOOKUP(AI$91,'Improved Sales Adjustments 1'!$G$7:$WV$147,68,FALSE),1,0)))</f>
        <v>0</v>
      </c>
      <c r="AJ160" s="41">
        <f>IF(ISERROR(HLOOKUP(AJ$91,'Improved Sales Adjustments 1'!$G$7:$WV$147,68,FALSE)),0,IF(HLOOKUP(AJ$91,'Improved Sales Adjustments 1'!$G$7:$WV$147,68,FALSE)="",0,IF($S160=HLOOKUP(AJ$91,'Improved Sales Adjustments 1'!$G$7:$WV$147,68,FALSE),1,0)))</f>
        <v>0</v>
      </c>
      <c r="AK160" s="41">
        <f>IF(ISERROR(HLOOKUP(AK$91,'Improved Sales Adjustments 1'!$G$7:$WV$147,68,FALSE)),0,IF(HLOOKUP(AK$91,'Improved Sales Adjustments 1'!$G$7:$WV$147,68,FALSE)="",0,IF($S160=HLOOKUP(AK$91,'Improved Sales Adjustments 1'!$G$7:$WV$147,68,FALSE),1,0)))</f>
        <v>0</v>
      </c>
      <c r="AL160" s="41">
        <f>IF(ISERROR(HLOOKUP(AL$91,'Improved Sales Adjustments 1'!$G$7:$WV$147,68,FALSE)),0,IF(HLOOKUP(AL$91,'Improved Sales Adjustments 1'!$G$7:$WV$147,68,FALSE)="",0,IF($S160=HLOOKUP(AL$91,'Improved Sales Adjustments 1'!$G$7:$WV$147,68,FALSE),1,0)))</f>
        <v>0</v>
      </c>
      <c r="AM160" s="41">
        <f>IF(ISERROR(HLOOKUP(AM$91,'Improved Sales Adjustments 1'!$G$7:$WV$147,68,FALSE)),0,IF(HLOOKUP(AM$91,'Improved Sales Adjustments 1'!$G$7:$WV$147,68,FALSE)="",0,IF($S160=HLOOKUP(AM$91,'Improved Sales Adjustments 1'!$G$7:$WV$147,68,FALSE),1,0)))</f>
        <v>0</v>
      </c>
      <c r="AN160" s="41">
        <f>IF(ISERROR(HLOOKUP(AN$91,'Improved Sales Adjustments 1'!$G$7:$WV$147,68,FALSE)),0,IF(HLOOKUP(AN$91,'Improved Sales Adjustments 1'!$G$7:$WV$147,68,FALSE)="",0,IF($S160=HLOOKUP(AN$91,'Improved Sales Adjustments 1'!$G$7:$WV$147,68,FALSE),1,0)))</f>
        <v>0</v>
      </c>
      <c r="AO160" s="41">
        <f>IF(ISERROR(HLOOKUP(AO$91,'Improved Sales Adjustments 1'!$G$7:$WV$147,68,FALSE)),0,IF(HLOOKUP(AO$91,'Improved Sales Adjustments 1'!$G$7:$WV$147,68,FALSE)="",0,IF($S160=HLOOKUP(AO$91,'Improved Sales Adjustments 1'!$G$7:$WV$147,68,FALSE),1,0)))</f>
        <v>0</v>
      </c>
      <c r="AP160" s="41">
        <f>IF(ISERROR(HLOOKUP(AP$91,'Improved Sales Adjustments 1'!$G$7:$WV$147,68,FALSE)),0,IF(HLOOKUP(AP$91,'Improved Sales Adjustments 1'!$G$7:$WV$147,68,FALSE)="",0,IF($S160=HLOOKUP(AP$91,'Improved Sales Adjustments 1'!$G$7:$WV$147,68,FALSE),1,0)))</f>
        <v>0</v>
      </c>
      <c r="AQ160" s="41">
        <f>IF(ISERROR(HLOOKUP(AQ$91,'Improved Sales Adjustments 1'!$G$7:$WV$147,68,FALSE)),0,IF(HLOOKUP(AQ$91,'Improved Sales Adjustments 1'!$G$7:$WV$147,68,FALSE)="",0,IF($S160=HLOOKUP(AQ$91,'Improved Sales Adjustments 1'!$G$7:$WV$147,68,FALSE),1,0)))</f>
        <v>0</v>
      </c>
      <c r="AR160" s="41">
        <f>SUM($AG160:AG160)</f>
        <v>0</v>
      </c>
      <c r="AS160" s="41">
        <f>SUM($AG160:AH160)</f>
        <v>0</v>
      </c>
      <c r="AT160" s="41">
        <f>SUM($AG160:AI160)</f>
        <v>0</v>
      </c>
      <c r="AU160" s="41">
        <f>SUM($AG160:AJ160)</f>
        <v>0</v>
      </c>
      <c r="AV160" s="41">
        <f>SUM($AG160:AK160)</f>
        <v>0</v>
      </c>
      <c r="AW160" s="41">
        <f>SUM($AG160:AL160)</f>
        <v>0</v>
      </c>
      <c r="AX160" s="41">
        <f>SUM($AG160:AM160)</f>
        <v>0</v>
      </c>
      <c r="AY160" s="41">
        <f>SUM($AG160:AN160)</f>
        <v>0</v>
      </c>
      <c r="AZ160" s="41">
        <f>SUM($AG160:AO160)</f>
        <v>0</v>
      </c>
      <c r="BA160" s="41">
        <f>SUM($AG160:AP160)</f>
        <v>0</v>
      </c>
      <c r="BB160" s="41">
        <f>SUM($AG160:AQ160)</f>
        <v>0</v>
      </c>
      <c r="BC160" s="41" t="str">
        <f t="shared" si="49"/>
        <v/>
      </c>
      <c r="BD160" s="41" t="str">
        <f t="shared" si="49"/>
        <v/>
      </c>
      <c r="BE160" s="41" t="str">
        <f t="shared" si="49"/>
        <v/>
      </c>
      <c r="BF160" s="41" t="str">
        <f t="shared" si="47"/>
        <v/>
      </c>
      <c r="BG160" s="41" t="str">
        <f t="shared" si="47"/>
        <v/>
      </c>
      <c r="BH160" s="41" t="str">
        <f t="shared" si="47"/>
        <v/>
      </c>
      <c r="BI160" s="41" t="str">
        <f t="shared" si="47"/>
        <v/>
      </c>
      <c r="BJ160" s="41" t="str">
        <f t="shared" si="47"/>
        <v/>
      </c>
      <c r="BK160" s="41" t="str">
        <f t="shared" si="47"/>
        <v/>
      </c>
      <c r="BL160" s="41" t="str">
        <f t="shared" si="37"/>
        <v/>
      </c>
      <c r="BM160" s="41" t="str">
        <f t="shared" si="37"/>
        <v/>
      </c>
    </row>
    <row r="161" spans="1:65" ht="15" customHeight="1" x14ac:dyDescent="0.25">
      <c r="A161" s="957">
        <f t="shared" si="43"/>
        <v>0</v>
      </c>
      <c r="B161" s="10"/>
      <c r="C161" s="10"/>
      <c r="D161" s="13"/>
      <c r="E161" s="10"/>
      <c r="F161" s="10"/>
      <c r="G161" s="10"/>
      <c r="H161" s="10"/>
      <c r="I161" s="10"/>
      <c r="J161" s="10"/>
      <c r="K161" s="10"/>
      <c r="L161" s="10"/>
      <c r="M161" s="10"/>
      <c r="N161" s="10"/>
      <c r="O161" s="10"/>
      <c r="P161" s="4"/>
      <c r="Q161" s="1204"/>
      <c r="R161" s="101" t="str">
        <f t="shared" si="45"/>
        <v/>
      </c>
      <c r="S161" s="137">
        <f t="shared" si="48"/>
        <v>69</v>
      </c>
      <c r="T161" s="2130">
        <f t="shared" si="46"/>
        <v>0.69800000000000006</v>
      </c>
      <c r="U161" s="2130">
        <f t="shared" si="46"/>
        <v>0.79600000000000004</v>
      </c>
      <c r="V161" s="2130"/>
      <c r="W161" s="2130"/>
      <c r="X161" s="2130"/>
      <c r="Y161" s="2130"/>
      <c r="Z161" s="2130"/>
      <c r="AA161" s="2130"/>
      <c r="AB161" s="2130"/>
      <c r="AC161" s="2130"/>
      <c r="AD161" s="101"/>
      <c r="AE161" s="6"/>
      <c r="AF161" s="11"/>
      <c r="AG161" s="41">
        <f t="shared" si="44"/>
        <v>0</v>
      </c>
      <c r="AH161" s="41">
        <f>IF(ISERROR(HLOOKUP(AH$91,'Improved Sales Adjustments 1'!$G$7:$WV$147,68,FALSE)),0,IF(HLOOKUP(AH$91,'Improved Sales Adjustments 1'!$G$7:$WV$147,68,FALSE)="",0,IF($S161=HLOOKUP(AH$91,'Improved Sales Adjustments 1'!$G$7:$WV$147,68,FALSE),1,0)))</f>
        <v>0</v>
      </c>
      <c r="AI161" s="41">
        <f>IF(ISERROR(HLOOKUP(AI$91,'Improved Sales Adjustments 1'!$G$7:$WV$147,68,FALSE)),0,IF(HLOOKUP(AI$91,'Improved Sales Adjustments 1'!$G$7:$WV$147,68,FALSE)="",0,IF($S161=HLOOKUP(AI$91,'Improved Sales Adjustments 1'!$G$7:$WV$147,68,FALSE),1,0)))</f>
        <v>0</v>
      </c>
      <c r="AJ161" s="41">
        <f>IF(ISERROR(HLOOKUP(AJ$91,'Improved Sales Adjustments 1'!$G$7:$WV$147,68,FALSE)),0,IF(HLOOKUP(AJ$91,'Improved Sales Adjustments 1'!$G$7:$WV$147,68,FALSE)="",0,IF($S161=HLOOKUP(AJ$91,'Improved Sales Adjustments 1'!$G$7:$WV$147,68,FALSE),1,0)))</f>
        <v>0</v>
      </c>
      <c r="AK161" s="41">
        <f>IF(ISERROR(HLOOKUP(AK$91,'Improved Sales Adjustments 1'!$G$7:$WV$147,68,FALSE)),0,IF(HLOOKUP(AK$91,'Improved Sales Adjustments 1'!$G$7:$WV$147,68,FALSE)="",0,IF($S161=HLOOKUP(AK$91,'Improved Sales Adjustments 1'!$G$7:$WV$147,68,FALSE),1,0)))</f>
        <v>0</v>
      </c>
      <c r="AL161" s="41">
        <f>IF(ISERROR(HLOOKUP(AL$91,'Improved Sales Adjustments 1'!$G$7:$WV$147,68,FALSE)),0,IF(HLOOKUP(AL$91,'Improved Sales Adjustments 1'!$G$7:$WV$147,68,FALSE)="",0,IF($S161=HLOOKUP(AL$91,'Improved Sales Adjustments 1'!$G$7:$WV$147,68,FALSE),1,0)))</f>
        <v>0</v>
      </c>
      <c r="AM161" s="41">
        <f>IF(ISERROR(HLOOKUP(AM$91,'Improved Sales Adjustments 1'!$G$7:$WV$147,68,FALSE)),0,IF(HLOOKUP(AM$91,'Improved Sales Adjustments 1'!$G$7:$WV$147,68,FALSE)="",0,IF($S161=HLOOKUP(AM$91,'Improved Sales Adjustments 1'!$G$7:$WV$147,68,FALSE),1,0)))</f>
        <v>0</v>
      </c>
      <c r="AN161" s="41">
        <f>IF(ISERROR(HLOOKUP(AN$91,'Improved Sales Adjustments 1'!$G$7:$WV$147,68,FALSE)),0,IF(HLOOKUP(AN$91,'Improved Sales Adjustments 1'!$G$7:$WV$147,68,FALSE)="",0,IF($S161=HLOOKUP(AN$91,'Improved Sales Adjustments 1'!$G$7:$WV$147,68,FALSE),1,0)))</f>
        <v>0</v>
      </c>
      <c r="AO161" s="41">
        <f>IF(ISERROR(HLOOKUP(AO$91,'Improved Sales Adjustments 1'!$G$7:$WV$147,68,FALSE)),0,IF(HLOOKUP(AO$91,'Improved Sales Adjustments 1'!$G$7:$WV$147,68,FALSE)="",0,IF($S161=HLOOKUP(AO$91,'Improved Sales Adjustments 1'!$G$7:$WV$147,68,FALSE),1,0)))</f>
        <v>0</v>
      </c>
      <c r="AP161" s="41">
        <f>IF(ISERROR(HLOOKUP(AP$91,'Improved Sales Adjustments 1'!$G$7:$WV$147,68,FALSE)),0,IF(HLOOKUP(AP$91,'Improved Sales Adjustments 1'!$G$7:$WV$147,68,FALSE)="",0,IF($S161=HLOOKUP(AP$91,'Improved Sales Adjustments 1'!$G$7:$WV$147,68,FALSE),1,0)))</f>
        <v>0</v>
      </c>
      <c r="AQ161" s="41">
        <f>IF(ISERROR(HLOOKUP(AQ$91,'Improved Sales Adjustments 1'!$G$7:$WV$147,68,FALSE)),0,IF(HLOOKUP(AQ$91,'Improved Sales Adjustments 1'!$G$7:$WV$147,68,FALSE)="",0,IF($S161=HLOOKUP(AQ$91,'Improved Sales Adjustments 1'!$G$7:$WV$147,68,FALSE),1,0)))</f>
        <v>0</v>
      </c>
      <c r="AR161" s="41">
        <f>SUM($AG161:AG161)</f>
        <v>0</v>
      </c>
      <c r="AS161" s="41">
        <f>SUM($AG161:AH161)</f>
        <v>0</v>
      </c>
      <c r="AT161" s="41">
        <f>SUM($AG161:AI161)</f>
        <v>0</v>
      </c>
      <c r="AU161" s="41">
        <f>SUM($AG161:AJ161)</f>
        <v>0</v>
      </c>
      <c r="AV161" s="41">
        <f>SUM($AG161:AK161)</f>
        <v>0</v>
      </c>
      <c r="AW161" s="41">
        <f>SUM($AG161:AL161)</f>
        <v>0</v>
      </c>
      <c r="AX161" s="41">
        <f>SUM($AG161:AM161)</f>
        <v>0</v>
      </c>
      <c r="AY161" s="41">
        <f>SUM($AG161:AN161)</f>
        <v>0</v>
      </c>
      <c r="AZ161" s="41">
        <f>SUM($AG161:AO161)</f>
        <v>0</v>
      </c>
      <c r="BA161" s="41">
        <f>SUM($AG161:AP161)</f>
        <v>0</v>
      </c>
      <c r="BB161" s="41">
        <f>SUM($AG161:AQ161)</f>
        <v>0</v>
      </c>
      <c r="BC161" s="41" t="str">
        <f t="shared" si="49"/>
        <v/>
      </c>
      <c r="BD161" s="41" t="str">
        <f t="shared" si="49"/>
        <v/>
      </c>
      <c r="BE161" s="41" t="str">
        <f t="shared" si="49"/>
        <v/>
      </c>
      <c r="BF161" s="41" t="str">
        <f t="shared" si="47"/>
        <v/>
      </c>
      <c r="BG161" s="41" t="str">
        <f t="shared" si="47"/>
        <v/>
      </c>
      <c r="BH161" s="41" t="str">
        <f t="shared" si="47"/>
        <v/>
      </c>
      <c r="BI161" s="41" t="str">
        <f t="shared" si="47"/>
        <v/>
      </c>
      <c r="BJ161" s="41" t="str">
        <f t="shared" si="47"/>
        <v/>
      </c>
      <c r="BK161" s="41" t="str">
        <f t="shared" si="47"/>
        <v/>
      </c>
      <c r="BL161" s="41" t="str">
        <f t="shared" si="37"/>
        <v/>
      </c>
      <c r="BM161" s="41" t="str">
        <f t="shared" si="37"/>
        <v/>
      </c>
    </row>
    <row r="162" spans="1:65" ht="15" customHeight="1" x14ac:dyDescent="0.25">
      <c r="A162" s="957">
        <f t="shared" si="43"/>
        <v>0</v>
      </c>
      <c r="B162" s="10"/>
      <c r="C162" s="10"/>
      <c r="D162" s="13"/>
      <c r="E162" s="10"/>
      <c r="F162" s="10"/>
      <c r="G162" s="10"/>
      <c r="H162" s="10"/>
      <c r="I162" s="10"/>
      <c r="J162" s="10"/>
      <c r="K162" s="10"/>
      <c r="L162" s="10"/>
      <c r="M162" s="10"/>
      <c r="N162" s="10"/>
      <c r="O162" s="10"/>
      <c r="P162" s="4"/>
      <c r="Q162" s="1204"/>
      <c r="R162" s="101" t="str">
        <f t="shared" si="45"/>
        <v/>
      </c>
      <c r="S162" s="137">
        <f t="shared" si="48"/>
        <v>70</v>
      </c>
      <c r="T162" s="2129">
        <v>0.71</v>
      </c>
      <c r="U162" s="2130">
        <v>0.8</v>
      </c>
      <c r="V162" s="2130"/>
      <c r="W162" s="2130"/>
      <c r="X162" s="2130"/>
      <c r="Y162" s="2130"/>
      <c r="Z162" s="2130"/>
      <c r="AA162" s="2130"/>
      <c r="AB162" s="2130"/>
      <c r="AC162" s="2130"/>
      <c r="AD162" s="101"/>
      <c r="AE162" s="6"/>
      <c r="AF162" s="11"/>
      <c r="AG162" s="41">
        <f t="shared" si="44"/>
        <v>0</v>
      </c>
      <c r="AH162" s="41">
        <f>IF(ISERROR(HLOOKUP(AH$91,'Improved Sales Adjustments 1'!$G$7:$WV$147,68,FALSE)),0,IF(HLOOKUP(AH$91,'Improved Sales Adjustments 1'!$G$7:$WV$147,68,FALSE)="",0,IF($S162=HLOOKUP(AH$91,'Improved Sales Adjustments 1'!$G$7:$WV$147,68,FALSE),1,0)))</f>
        <v>0</v>
      </c>
      <c r="AI162" s="41">
        <f>IF(ISERROR(HLOOKUP(AI$91,'Improved Sales Adjustments 1'!$G$7:$WV$147,68,FALSE)),0,IF(HLOOKUP(AI$91,'Improved Sales Adjustments 1'!$G$7:$WV$147,68,FALSE)="",0,IF($S162=HLOOKUP(AI$91,'Improved Sales Adjustments 1'!$G$7:$WV$147,68,FALSE),1,0)))</f>
        <v>0</v>
      </c>
      <c r="AJ162" s="41">
        <f>IF(ISERROR(HLOOKUP(AJ$91,'Improved Sales Adjustments 1'!$G$7:$WV$147,68,FALSE)),0,IF(HLOOKUP(AJ$91,'Improved Sales Adjustments 1'!$G$7:$WV$147,68,FALSE)="",0,IF($S162=HLOOKUP(AJ$91,'Improved Sales Adjustments 1'!$G$7:$WV$147,68,FALSE),1,0)))</f>
        <v>0</v>
      </c>
      <c r="AK162" s="41">
        <f>IF(ISERROR(HLOOKUP(AK$91,'Improved Sales Adjustments 1'!$G$7:$WV$147,68,FALSE)),0,IF(HLOOKUP(AK$91,'Improved Sales Adjustments 1'!$G$7:$WV$147,68,FALSE)="",0,IF($S162=HLOOKUP(AK$91,'Improved Sales Adjustments 1'!$G$7:$WV$147,68,FALSE),1,0)))</f>
        <v>0</v>
      </c>
      <c r="AL162" s="41">
        <f>IF(ISERROR(HLOOKUP(AL$91,'Improved Sales Adjustments 1'!$G$7:$WV$147,68,FALSE)),0,IF(HLOOKUP(AL$91,'Improved Sales Adjustments 1'!$G$7:$WV$147,68,FALSE)="",0,IF($S162=HLOOKUP(AL$91,'Improved Sales Adjustments 1'!$G$7:$WV$147,68,FALSE),1,0)))</f>
        <v>0</v>
      </c>
      <c r="AM162" s="41">
        <f>IF(ISERROR(HLOOKUP(AM$91,'Improved Sales Adjustments 1'!$G$7:$WV$147,68,FALSE)),0,IF(HLOOKUP(AM$91,'Improved Sales Adjustments 1'!$G$7:$WV$147,68,FALSE)="",0,IF($S162=HLOOKUP(AM$91,'Improved Sales Adjustments 1'!$G$7:$WV$147,68,FALSE),1,0)))</f>
        <v>0</v>
      </c>
      <c r="AN162" s="41">
        <f>IF(ISERROR(HLOOKUP(AN$91,'Improved Sales Adjustments 1'!$G$7:$WV$147,68,FALSE)),0,IF(HLOOKUP(AN$91,'Improved Sales Adjustments 1'!$G$7:$WV$147,68,FALSE)="",0,IF($S162=HLOOKUP(AN$91,'Improved Sales Adjustments 1'!$G$7:$WV$147,68,FALSE),1,0)))</f>
        <v>0</v>
      </c>
      <c r="AO162" s="41">
        <f>IF(ISERROR(HLOOKUP(AO$91,'Improved Sales Adjustments 1'!$G$7:$WV$147,68,FALSE)),0,IF(HLOOKUP(AO$91,'Improved Sales Adjustments 1'!$G$7:$WV$147,68,FALSE)="",0,IF($S162=HLOOKUP(AO$91,'Improved Sales Adjustments 1'!$G$7:$WV$147,68,FALSE),1,0)))</f>
        <v>0</v>
      </c>
      <c r="AP162" s="41">
        <f>IF(ISERROR(HLOOKUP(AP$91,'Improved Sales Adjustments 1'!$G$7:$WV$147,68,FALSE)),0,IF(HLOOKUP(AP$91,'Improved Sales Adjustments 1'!$G$7:$WV$147,68,FALSE)="",0,IF($S162=HLOOKUP(AP$91,'Improved Sales Adjustments 1'!$G$7:$WV$147,68,FALSE),1,0)))</f>
        <v>0</v>
      </c>
      <c r="AQ162" s="41">
        <f>IF(ISERROR(HLOOKUP(AQ$91,'Improved Sales Adjustments 1'!$G$7:$WV$147,68,FALSE)),0,IF(HLOOKUP(AQ$91,'Improved Sales Adjustments 1'!$G$7:$WV$147,68,FALSE)="",0,IF($S162=HLOOKUP(AQ$91,'Improved Sales Adjustments 1'!$G$7:$WV$147,68,FALSE),1,0)))</f>
        <v>0</v>
      </c>
      <c r="AR162" s="41">
        <f>SUM($AG162:AG162)</f>
        <v>0</v>
      </c>
      <c r="AS162" s="41">
        <f>SUM($AG162:AH162)</f>
        <v>0</v>
      </c>
      <c r="AT162" s="41">
        <f>SUM($AG162:AI162)</f>
        <v>0</v>
      </c>
      <c r="AU162" s="41">
        <f>SUM($AG162:AJ162)</f>
        <v>0</v>
      </c>
      <c r="AV162" s="41">
        <f>SUM($AG162:AK162)</f>
        <v>0</v>
      </c>
      <c r="AW162" s="41">
        <f>SUM($AG162:AL162)</f>
        <v>0</v>
      </c>
      <c r="AX162" s="41">
        <f>SUM($AG162:AM162)</f>
        <v>0</v>
      </c>
      <c r="AY162" s="41">
        <f>SUM($AG162:AN162)</f>
        <v>0</v>
      </c>
      <c r="AZ162" s="41">
        <f>SUM($AG162:AO162)</f>
        <v>0</v>
      </c>
      <c r="BA162" s="41">
        <f>SUM($AG162:AP162)</f>
        <v>0</v>
      </c>
      <c r="BB162" s="41">
        <f>SUM($AG162:AQ162)</f>
        <v>0</v>
      </c>
      <c r="BC162" s="41" t="str">
        <f t="shared" si="49"/>
        <v/>
      </c>
      <c r="BD162" s="41" t="str">
        <f t="shared" si="49"/>
        <v/>
      </c>
      <c r="BE162" s="41" t="str">
        <f t="shared" si="49"/>
        <v/>
      </c>
      <c r="BF162" s="41" t="str">
        <f t="shared" si="47"/>
        <v/>
      </c>
      <c r="BG162" s="41" t="str">
        <f t="shared" si="47"/>
        <v/>
      </c>
      <c r="BH162" s="41" t="str">
        <f t="shared" si="47"/>
        <v/>
      </c>
      <c r="BI162" s="41" t="str">
        <f t="shared" si="47"/>
        <v/>
      </c>
      <c r="BJ162" s="41" t="str">
        <f t="shared" si="47"/>
        <v/>
      </c>
      <c r="BK162" s="41" t="str">
        <f t="shared" si="47"/>
        <v/>
      </c>
      <c r="BL162" s="41" t="str">
        <f t="shared" si="37"/>
        <v/>
      </c>
      <c r="BM162" s="41" t="str">
        <f t="shared" si="37"/>
        <v/>
      </c>
    </row>
    <row r="163" spans="1:65" ht="15" customHeight="1" x14ac:dyDescent="0.25">
      <c r="A163" s="957">
        <f t="shared" si="43"/>
        <v>0</v>
      </c>
      <c r="B163" s="10"/>
      <c r="C163" s="10"/>
      <c r="D163" s="13"/>
      <c r="E163" s="10"/>
      <c r="F163" s="10"/>
      <c r="G163" s="10"/>
      <c r="H163" s="10"/>
      <c r="I163" s="10"/>
      <c r="J163" s="10"/>
      <c r="K163" s="10"/>
      <c r="L163" s="10"/>
      <c r="M163" s="10"/>
      <c r="N163" s="10"/>
      <c r="O163" s="10"/>
      <c r="P163" s="4"/>
      <c r="Q163" s="1204"/>
      <c r="R163" s="101" t="str">
        <f t="shared" si="45"/>
        <v/>
      </c>
      <c r="S163" s="137">
        <f t="shared" si="48"/>
        <v>71</v>
      </c>
      <c r="T163" s="2130">
        <f>((T$167-T$162)/5)+T162</f>
        <v>0.71799999999999997</v>
      </c>
      <c r="U163" s="2130"/>
      <c r="V163" s="2130"/>
      <c r="W163" s="2130"/>
      <c r="X163" s="2130"/>
      <c r="Y163" s="2130"/>
      <c r="Z163" s="2130"/>
      <c r="AA163" s="2130"/>
      <c r="AB163" s="2130"/>
      <c r="AC163" s="2130"/>
      <c r="AD163" s="101"/>
      <c r="AE163" s="6"/>
      <c r="AF163" s="11"/>
      <c r="AG163" s="41">
        <f t="shared" si="44"/>
        <v>0</v>
      </c>
      <c r="AH163" s="41">
        <f>IF(ISERROR(HLOOKUP(AH$91,'Improved Sales Adjustments 1'!$G$7:$WV$147,68,FALSE)),0,IF(HLOOKUP(AH$91,'Improved Sales Adjustments 1'!$G$7:$WV$147,68,FALSE)="",0,IF($S163=HLOOKUP(AH$91,'Improved Sales Adjustments 1'!$G$7:$WV$147,68,FALSE),1,0)))</f>
        <v>0</v>
      </c>
      <c r="AI163" s="41">
        <f>IF(ISERROR(HLOOKUP(AI$91,'Improved Sales Adjustments 1'!$G$7:$WV$147,68,FALSE)),0,IF(HLOOKUP(AI$91,'Improved Sales Adjustments 1'!$G$7:$WV$147,68,FALSE)="",0,IF($S163=HLOOKUP(AI$91,'Improved Sales Adjustments 1'!$G$7:$WV$147,68,FALSE),1,0)))</f>
        <v>0</v>
      </c>
      <c r="AJ163" s="41">
        <f>IF(ISERROR(HLOOKUP(AJ$91,'Improved Sales Adjustments 1'!$G$7:$WV$147,68,FALSE)),0,IF(HLOOKUP(AJ$91,'Improved Sales Adjustments 1'!$G$7:$WV$147,68,FALSE)="",0,IF($S163=HLOOKUP(AJ$91,'Improved Sales Adjustments 1'!$G$7:$WV$147,68,FALSE),1,0)))</f>
        <v>0</v>
      </c>
      <c r="AK163" s="41">
        <f>IF(ISERROR(HLOOKUP(AK$91,'Improved Sales Adjustments 1'!$G$7:$WV$147,68,FALSE)),0,IF(HLOOKUP(AK$91,'Improved Sales Adjustments 1'!$G$7:$WV$147,68,FALSE)="",0,IF($S163=HLOOKUP(AK$91,'Improved Sales Adjustments 1'!$G$7:$WV$147,68,FALSE),1,0)))</f>
        <v>0</v>
      </c>
      <c r="AL163" s="41">
        <f>IF(ISERROR(HLOOKUP(AL$91,'Improved Sales Adjustments 1'!$G$7:$WV$147,68,FALSE)),0,IF(HLOOKUP(AL$91,'Improved Sales Adjustments 1'!$G$7:$WV$147,68,FALSE)="",0,IF($S163=HLOOKUP(AL$91,'Improved Sales Adjustments 1'!$G$7:$WV$147,68,FALSE),1,0)))</f>
        <v>0</v>
      </c>
      <c r="AM163" s="41">
        <f>IF(ISERROR(HLOOKUP(AM$91,'Improved Sales Adjustments 1'!$G$7:$WV$147,68,FALSE)),0,IF(HLOOKUP(AM$91,'Improved Sales Adjustments 1'!$G$7:$WV$147,68,FALSE)="",0,IF($S163=HLOOKUP(AM$91,'Improved Sales Adjustments 1'!$G$7:$WV$147,68,FALSE),1,0)))</f>
        <v>0</v>
      </c>
      <c r="AN163" s="41">
        <f>IF(ISERROR(HLOOKUP(AN$91,'Improved Sales Adjustments 1'!$G$7:$WV$147,68,FALSE)),0,IF(HLOOKUP(AN$91,'Improved Sales Adjustments 1'!$G$7:$WV$147,68,FALSE)="",0,IF($S163=HLOOKUP(AN$91,'Improved Sales Adjustments 1'!$G$7:$WV$147,68,FALSE),1,0)))</f>
        <v>0</v>
      </c>
      <c r="AO163" s="41">
        <f>IF(ISERROR(HLOOKUP(AO$91,'Improved Sales Adjustments 1'!$G$7:$WV$147,68,FALSE)),0,IF(HLOOKUP(AO$91,'Improved Sales Adjustments 1'!$G$7:$WV$147,68,FALSE)="",0,IF($S163=HLOOKUP(AO$91,'Improved Sales Adjustments 1'!$G$7:$WV$147,68,FALSE),1,0)))</f>
        <v>0</v>
      </c>
      <c r="AP163" s="41">
        <f>IF(ISERROR(HLOOKUP(AP$91,'Improved Sales Adjustments 1'!$G$7:$WV$147,68,FALSE)),0,IF(HLOOKUP(AP$91,'Improved Sales Adjustments 1'!$G$7:$WV$147,68,FALSE)="",0,IF($S163=HLOOKUP(AP$91,'Improved Sales Adjustments 1'!$G$7:$WV$147,68,FALSE),1,0)))</f>
        <v>0</v>
      </c>
      <c r="AQ163" s="41">
        <f>IF(ISERROR(HLOOKUP(AQ$91,'Improved Sales Adjustments 1'!$G$7:$WV$147,68,FALSE)),0,IF(HLOOKUP(AQ$91,'Improved Sales Adjustments 1'!$G$7:$WV$147,68,FALSE)="",0,IF($S163=HLOOKUP(AQ$91,'Improved Sales Adjustments 1'!$G$7:$WV$147,68,FALSE),1,0)))</f>
        <v>0</v>
      </c>
      <c r="AR163" s="41">
        <f>SUM($AG163:AG163)</f>
        <v>0</v>
      </c>
      <c r="AS163" s="41">
        <f>SUM($AG163:AH163)</f>
        <v>0</v>
      </c>
      <c r="AT163" s="41">
        <f>SUM($AG163:AI163)</f>
        <v>0</v>
      </c>
      <c r="AU163" s="41">
        <f>SUM($AG163:AJ163)</f>
        <v>0</v>
      </c>
      <c r="AV163" s="41">
        <f>SUM($AG163:AK163)</f>
        <v>0</v>
      </c>
      <c r="AW163" s="41">
        <f>SUM($AG163:AL163)</f>
        <v>0</v>
      </c>
      <c r="AX163" s="41">
        <f>SUM($AG163:AM163)</f>
        <v>0</v>
      </c>
      <c r="AY163" s="41">
        <f>SUM($AG163:AN163)</f>
        <v>0</v>
      </c>
      <c r="AZ163" s="41">
        <f>SUM($AG163:AO163)</f>
        <v>0</v>
      </c>
      <c r="BA163" s="41">
        <f>SUM($AG163:AP163)</f>
        <v>0</v>
      </c>
      <c r="BB163" s="41">
        <f>SUM($AG163:AQ163)</f>
        <v>0</v>
      </c>
      <c r="BC163" s="41" t="str">
        <f t="shared" si="49"/>
        <v/>
      </c>
      <c r="BD163" s="41" t="str">
        <f t="shared" si="49"/>
        <v/>
      </c>
      <c r="BE163" s="41" t="str">
        <f t="shared" si="49"/>
        <v/>
      </c>
      <c r="BF163" s="41" t="str">
        <f t="shared" si="47"/>
        <v/>
      </c>
      <c r="BG163" s="41" t="str">
        <f t="shared" si="47"/>
        <v/>
      </c>
      <c r="BH163" s="41" t="str">
        <f t="shared" si="47"/>
        <v/>
      </c>
      <c r="BI163" s="41" t="str">
        <f t="shared" si="47"/>
        <v/>
      </c>
      <c r="BJ163" s="41" t="str">
        <f t="shared" si="47"/>
        <v/>
      </c>
      <c r="BK163" s="41" t="str">
        <f t="shared" si="47"/>
        <v/>
      </c>
      <c r="BL163" s="41" t="str">
        <f t="shared" si="37"/>
        <v/>
      </c>
      <c r="BM163" s="41" t="str">
        <f t="shared" si="37"/>
        <v/>
      </c>
    </row>
    <row r="164" spans="1:65" ht="15" customHeight="1" x14ac:dyDescent="0.25">
      <c r="A164" s="957">
        <f t="shared" si="43"/>
        <v>0</v>
      </c>
      <c r="B164" s="10"/>
      <c r="C164" s="10"/>
      <c r="D164" s="13"/>
      <c r="E164" s="10"/>
      <c r="F164" s="10"/>
      <c r="G164" s="10"/>
      <c r="H164" s="10"/>
      <c r="I164" s="10"/>
      <c r="J164" s="10"/>
      <c r="K164" s="10"/>
      <c r="L164" s="10"/>
      <c r="M164" s="10"/>
      <c r="N164" s="10"/>
      <c r="O164" s="10"/>
      <c r="P164" s="4"/>
      <c r="Q164" s="1204"/>
      <c r="R164" s="101" t="str">
        <f t="shared" si="45"/>
        <v/>
      </c>
      <c r="S164" s="137">
        <f t="shared" si="48"/>
        <v>72</v>
      </c>
      <c r="T164" s="2130">
        <f>((T$167-T$162)/5)+T163</f>
        <v>0.72599999999999998</v>
      </c>
      <c r="U164" s="2130"/>
      <c r="V164" s="2130"/>
      <c r="W164" s="2130"/>
      <c r="X164" s="2130"/>
      <c r="Y164" s="2130"/>
      <c r="Z164" s="2130"/>
      <c r="AA164" s="2130"/>
      <c r="AB164" s="2130"/>
      <c r="AC164" s="2130"/>
      <c r="AD164" s="101"/>
      <c r="AE164" s="6"/>
      <c r="AF164" s="11"/>
      <c r="AG164" s="41">
        <f t="shared" si="44"/>
        <v>0</v>
      </c>
      <c r="AH164" s="41">
        <f>IF(ISERROR(HLOOKUP(AH$91,'Improved Sales Adjustments 1'!$G$7:$WV$147,68,FALSE)),0,IF(HLOOKUP(AH$91,'Improved Sales Adjustments 1'!$G$7:$WV$147,68,FALSE)="",0,IF($S164=HLOOKUP(AH$91,'Improved Sales Adjustments 1'!$G$7:$WV$147,68,FALSE),1,0)))</f>
        <v>0</v>
      </c>
      <c r="AI164" s="41">
        <f>IF(ISERROR(HLOOKUP(AI$91,'Improved Sales Adjustments 1'!$G$7:$WV$147,68,FALSE)),0,IF(HLOOKUP(AI$91,'Improved Sales Adjustments 1'!$G$7:$WV$147,68,FALSE)="",0,IF($S164=HLOOKUP(AI$91,'Improved Sales Adjustments 1'!$G$7:$WV$147,68,FALSE),1,0)))</f>
        <v>0</v>
      </c>
      <c r="AJ164" s="41">
        <f>IF(ISERROR(HLOOKUP(AJ$91,'Improved Sales Adjustments 1'!$G$7:$WV$147,68,FALSE)),0,IF(HLOOKUP(AJ$91,'Improved Sales Adjustments 1'!$G$7:$WV$147,68,FALSE)="",0,IF($S164=HLOOKUP(AJ$91,'Improved Sales Adjustments 1'!$G$7:$WV$147,68,FALSE),1,0)))</f>
        <v>0</v>
      </c>
      <c r="AK164" s="41">
        <f>IF(ISERROR(HLOOKUP(AK$91,'Improved Sales Adjustments 1'!$G$7:$WV$147,68,FALSE)),0,IF(HLOOKUP(AK$91,'Improved Sales Adjustments 1'!$G$7:$WV$147,68,FALSE)="",0,IF($S164=HLOOKUP(AK$91,'Improved Sales Adjustments 1'!$G$7:$WV$147,68,FALSE),1,0)))</f>
        <v>0</v>
      </c>
      <c r="AL164" s="41">
        <f>IF(ISERROR(HLOOKUP(AL$91,'Improved Sales Adjustments 1'!$G$7:$WV$147,68,FALSE)),0,IF(HLOOKUP(AL$91,'Improved Sales Adjustments 1'!$G$7:$WV$147,68,FALSE)="",0,IF($S164=HLOOKUP(AL$91,'Improved Sales Adjustments 1'!$G$7:$WV$147,68,FALSE),1,0)))</f>
        <v>0</v>
      </c>
      <c r="AM164" s="41">
        <f>IF(ISERROR(HLOOKUP(AM$91,'Improved Sales Adjustments 1'!$G$7:$WV$147,68,FALSE)),0,IF(HLOOKUP(AM$91,'Improved Sales Adjustments 1'!$G$7:$WV$147,68,FALSE)="",0,IF($S164=HLOOKUP(AM$91,'Improved Sales Adjustments 1'!$G$7:$WV$147,68,FALSE),1,0)))</f>
        <v>0</v>
      </c>
      <c r="AN164" s="41">
        <f>IF(ISERROR(HLOOKUP(AN$91,'Improved Sales Adjustments 1'!$G$7:$WV$147,68,FALSE)),0,IF(HLOOKUP(AN$91,'Improved Sales Adjustments 1'!$G$7:$WV$147,68,FALSE)="",0,IF($S164=HLOOKUP(AN$91,'Improved Sales Adjustments 1'!$G$7:$WV$147,68,FALSE),1,0)))</f>
        <v>0</v>
      </c>
      <c r="AO164" s="41">
        <f>IF(ISERROR(HLOOKUP(AO$91,'Improved Sales Adjustments 1'!$G$7:$WV$147,68,FALSE)),0,IF(HLOOKUP(AO$91,'Improved Sales Adjustments 1'!$G$7:$WV$147,68,FALSE)="",0,IF($S164=HLOOKUP(AO$91,'Improved Sales Adjustments 1'!$G$7:$WV$147,68,FALSE),1,0)))</f>
        <v>0</v>
      </c>
      <c r="AP164" s="41">
        <f>IF(ISERROR(HLOOKUP(AP$91,'Improved Sales Adjustments 1'!$G$7:$WV$147,68,FALSE)),0,IF(HLOOKUP(AP$91,'Improved Sales Adjustments 1'!$G$7:$WV$147,68,FALSE)="",0,IF($S164=HLOOKUP(AP$91,'Improved Sales Adjustments 1'!$G$7:$WV$147,68,FALSE),1,0)))</f>
        <v>0</v>
      </c>
      <c r="AQ164" s="41">
        <f>IF(ISERROR(HLOOKUP(AQ$91,'Improved Sales Adjustments 1'!$G$7:$WV$147,68,FALSE)),0,IF(HLOOKUP(AQ$91,'Improved Sales Adjustments 1'!$G$7:$WV$147,68,FALSE)="",0,IF($S164=HLOOKUP(AQ$91,'Improved Sales Adjustments 1'!$G$7:$WV$147,68,FALSE),1,0)))</f>
        <v>0</v>
      </c>
      <c r="AR164" s="41">
        <f>SUM($AG164:AG164)</f>
        <v>0</v>
      </c>
      <c r="AS164" s="41">
        <f>SUM($AG164:AH164)</f>
        <v>0</v>
      </c>
      <c r="AT164" s="41">
        <f>SUM($AG164:AI164)</f>
        <v>0</v>
      </c>
      <c r="AU164" s="41">
        <f>SUM($AG164:AJ164)</f>
        <v>0</v>
      </c>
      <c r="AV164" s="41">
        <f>SUM($AG164:AK164)</f>
        <v>0</v>
      </c>
      <c r="AW164" s="41">
        <f>SUM($AG164:AL164)</f>
        <v>0</v>
      </c>
      <c r="AX164" s="41">
        <f>SUM($AG164:AM164)</f>
        <v>0</v>
      </c>
      <c r="AY164" s="41">
        <f>SUM($AG164:AN164)</f>
        <v>0</v>
      </c>
      <c r="AZ164" s="41">
        <f>SUM($AG164:AO164)</f>
        <v>0</v>
      </c>
      <c r="BA164" s="41">
        <f>SUM($AG164:AP164)</f>
        <v>0</v>
      </c>
      <c r="BB164" s="41">
        <f>SUM($AG164:AQ164)</f>
        <v>0</v>
      </c>
      <c r="BC164" s="41" t="str">
        <f t="shared" si="49"/>
        <v/>
      </c>
      <c r="BD164" s="41" t="str">
        <f t="shared" si="49"/>
        <v/>
      </c>
      <c r="BE164" s="41" t="str">
        <f t="shared" si="49"/>
        <v/>
      </c>
      <c r="BF164" s="41" t="str">
        <f t="shared" si="47"/>
        <v/>
      </c>
      <c r="BG164" s="41" t="str">
        <f t="shared" si="47"/>
        <v/>
      </c>
      <c r="BH164" s="41" t="str">
        <f t="shared" si="47"/>
        <v/>
      </c>
      <c r="BI164" s="41" t="str">
        <f t="shared" si="47"/>
        <v/>
      </c>
      <c r="BJ164" s="41" t="str">
        <f t="shared" si="47"/>
        <v/>
      </c>
      <c r="BK164" s="41" t="str">
        <f t="shared" si="47"/>
        <v/>
      </c>
      <c r="BL164" s="41" t="str">
        <f t="shared" si="37"/>
        <v/>
      </c>
      <c r="BM164" s="41" t="str">
        <f t="shared" si="37"/>
        <v/>
      </c>
    </row>
    <row r="165" spans="1:65" ht="15" customHeight="1" x14ac:dyDescent="0.25">
      <c r="A165" s="957">
        <f t="shared" si="43"/>
        <v>0</v>
      </c>
      <c r="B165" s="10"/>
      <c r="C165" s="10"/>
      <c r="D165" s="13"/>
      <c r="E165" s="10"/>
      <c r="F165" s="10"/>
      <c r="G165" s="10"/>
      <c r="H165" s="10"/>
      <c r="I165" s="10"/>
      <c r="J165" s="10"/>
      <c r="K165" s="10"/>
      <c r="L165" s="10"/>
      <c r="M165" s="10"/>
      <c r="N165" s="10"/>
      <c r="O165" s="10"/>
      <c r="P165" s="4"/>
      <c r="Q165" s="1204"/>
      <c r="R165" s="101" t="str">
        <f t="shared" si="45"/>
        <v/>
      </c>
      <c r="S165" s="137">
        <f t="shared" si="48"/>
        <v>73</v>
      </c>
      <c r="T165" s="2130">
        <f>((T$167-T$162)/5)+T164</f>
        <v>0.73399999999999999</v>
      </c>
      <c r="U165" s="2130"/>
      <c r="V165" s="2130"/>
      <c r="W165" s="2130"/>
      <c r="X165" s="2130"/>
      <c r="Y165" s="2130"/>
      <c r="Z165" s="2130"/>
      <c r="AA165" s="2130"/>
      <c r="AB165" s="2130"/>
      <c r="AC165" s="2130"/>
      <c r="AD165" s="101"/>
      <c r="AE165" s="6"/>
      <c r="AF165" s="11"/>
      <c r="AG165" s="41">
        <f t="shared" si="44"/>
        <v>0</v>
      </c>
      <c r="AH165" s="41">
        <f>IF(ISERROR(HLOOKUP(AH$91,'Improved Sales Adjustments 1'!$G$7:$WV$147,68,FALSE)),0,IF(HLOOKUP(AH$91,'Improved Sales Adjustments 1'!$G$7:$WV$147,68,FALSE)="",0,IF($S165=HLOOKUP(AH$91,'Improved Sales Adjustments 1'!$G$7:$WV$147,68,FALSE),1,0)))</f>
        <v>0</v>
      </c>
      <c r="AI165" s="41">
        <f>IF(ISERROR(HLOOKUP(AI$91,'Improved Sales Adjustments 1'!$G$7:$WV$147,68,FALSE)),0,IF(HLOOKUP(AI$91,'Improved Sales Adjustments 1'!$G$7:$WV$147,68,FALSE)="",0,IF($S165=HLOOKUP(AI$91,'Improved Sales Adjustments 1'!$G$7:$WV$147,68,FALSE),1,0)))</f>
        <v>0</v>
      </c>
      <c r="AJ165" s="41">
        <f>IF(ISERROR(HLOOKUP(AJ$91,'Improved Sales Adjustments 1'!$G$7:$WV$147,68,FALSE)),0,IF(HLOOKUP(AJ$91,'Improved Sales Adjustments 1'!$G$7:$WV$147,68,FALSE)="",0,IF($S165=HLOOKUP(AJ$91,'Improved Sales Adjustments 1'!$G$7:$WV$147,68,FALSE),1,0)))</f>
        <v>0</v>
      </c>
      <c r="AK165" s="41">
        <f>IF(ISERROR(HLOOKUP(AK$91,'Improved Sales Adjustments 1'!$G$7:$WV$147,68,FALSE)),0,IF(HLOOKUP(AK$91,'Improved Sales Adjustments 1'!$G$7:$WV$147,68,FALSE)="",0,IF($S165=HLOOKUP(AK$91,'Improved Sales Adjustments 1'!$G$7:$WV$147,68,FALSE),1,0)))</f>
        <v>0</v>
      </c>
      <c r="AL165" s="41">
        <f>IF(ISERROR(HLOOKUP(AL$91,'Improved Sales Adjustments 1'!$G$7:$WV$147,68,FALSE)),0,IF(HLOOKUP(AL$91,'Improved Sales Adjustments 1'!$G$7:$WV$147,68,FALSE)="",0,IF($S165=HLOOKUP(AL$91,'Improved Sales Adjustments 1'!$G$7:$WV$147,68,FALSE),1,0)))</f>
        <v>0</v>
      </c>
      <c r="AM165" s="41">
        <f>IF(ISERROR(HLOOKUP(AM$91,'Improved Sales Adjustments 1'!$G$7:$WV$147,68,FALSE)),0,IF(HLOOKUP(AM$91,'Improved Sales Adjustments 1'!$G$7:$WV$147,68,FALSE)="",0,IF($S165=HLOOKUP(AM$91,'Improved Sales Adjustments 1'!$G$7:$WV$147,68,FALSE),1,0)))</f>
        <v>0</v>
      </c>
      <c r="AN165" s="41">
        <f>IF(ISERROR(HLOOKUP(AN$91,'Improved Sales Adjustments 1'!$G$7:$WV$147,68,FALSE)),0,IF(HLOOKUP(AN$91,'Improved Sales Adjustments 1'!$G$7:$WV$147,68,FALSE)="",0,IF($S165=HLOOKUP(AN$91,'Improved Sales Adjustments 1'!$G$7:$WV$147,68,FALSE),1,0)))</f>
        <v>0</v>
      </c>
      <c r="AO165" s="41">
        <f>IF(ISERROR(HLOOKUP(AO$91,'Improved Sales Adjustments 1'!$G$7:$WV$147,68,FALSE)),0,IF(HLOOKUP(AO$91,'Improved Sales Adjustments 1'!$G$7:$WV$147,68,FALSE)="",0,IF($S165=HLOOKUP(AO$91,'Improved Sales Adjustments 1'!$G$7:$WV$147,68,FALSE),1,0)))</f>
        <v>0</v>
      </c>
      <c r="AP165" s="41">
        <f>IF(ISERROR(HLOOKUP(AP$91,'Improved Sales Adjustments 1'!$G$7:$WV$147,68,FALSE)),0,IF(HLOOKUP(AP$91,'Improved Sales Adjustments 1'!$G$7:$WV$147,68,FALSE)="",0,IF($S165=HLOOKUP(AP$91,'Improved Sales Adjustments 1'!$G$7:$WV$147,68,FALSE),1,0)))</f>
        <v>0</v>
      </c>
      <c r="AQ165" s="41">
        <f>IF(ISERROR(HLOOKUP(AQ$91,'Improved Sales Adjustments 1'!$G$7:$WV$147,68,FALSE)),0,IF(HLOOKUP(AQ$91,'Improved Sales Adjustments 1'!$G$7:$WV$147,68,FALSE)="",0,IF($S165=HLOOKUP(AQ$91,'Improved Sales Adjustments 1'!$G$7:$WV$147,68,FALSE),1,0)))</f>
        <v>0</v>
      </c>
      <c r="AR165" s="41">
        <f>SUM($AG165:AG165)</f>
        <v>0</v>
      </c>
      <c r="AS165" s="41">
        <f>SUM($AG165:AH165)</f>
        <v>0</v>
      </c>
      <c r="AT165" s="41">
        <f>SUM($AG165:AI165)</f>
        <v>0</v>
      </c>
      <c r="AU165" s="41">
        <f>SUM($AG165:AJ165)</f>
        <v>0</v>
      </c>
      <c r="AV165" s="41">
        <f>SUM($AG165:AK165)</f>
        <v>0</v>
      </c>
      <c r="AW165" s="41">
        <f>SUM($AG165:AL165)</f>
        <v>0</v>
      </c>
      <c r="AX165" s="41">
        <f>SUM($AG165:AM165)</f>
        <v>0</v>
      </c>
      <c r="AY165" s="41">
        <f>SUM($AG165:AN165)</f>
        <v>0</v>
      </c>
      <c r="AZ165" s="41">
        <f>SUM($AG165:AO165)</f>
        <v>0</v>
      </c>
      <c r="BA165" s="41">
        <f>SUM($AG165:AP165)</f>
        <v>0</v>
      </c>
      <c r="BB165" s="41">
        <f>SUM($AG165:AQ165)</f>
        <v>0</v>
      </c>
      <c r="BC165" s="41" t="str">
        <f t="shared" si="49"/>
        <v/>
      </c>
      <c r="BD165" s="41" t="str">
        <f t="shared" si="49"/>
        <v/>
      </c>
      <c r="BE165" s="41" t="str">
        <f t="shared" si="49"/>
        <v/>
      </c>
      <c r="BF165" s="41" t="str">
        <f t="shared" si="47"/>
        <v/>
      </c>
      <c r="BG165" s="41" t="str">
        <f t="shared" si="47"/>
        <v/>
      </c>
      <c r="BH165" s="41" t="str">
        <f t="shared" si="47"/>
        <v/>
      </c>
      <c r="BI165" s="41" t="str">
        <f t="shared" si="47"/>
        <v/>
      </c>
      <c r="BJ165" s="41" t="str">
        <f t="shared" si="47"/>
        <v/>
      </c>
      <c r="BK165" s="41" t="str">
        <f t="shared" si="47"/>
        <v/>
      </c>
      <c r="BL165" s="41" t="str">
        <f t="shared" si="37"/>
        <v/>
      </c>
      <c r="BM165" s="41" t="str">
        <f t="shared" si="37"/>
        <v/>
      </c>
    </row>
    <row r="166" spans="1:65" ht="15" customHeight="1" x14ac:dyDescent="0.25">
      <c r="A166" s="957">
        <f t="shared" si="43"/>
        <v>0</v>
      </c>
      <c r="B166" s="10"/>
      <c r="C166" s="10"/>
      <c r="D166" s="13"/>
      <c r="E166" s="10"/>
      <c r="F166" s="10"/>
      <c r="G166" s="10"/>
      <c r="H166" s="10"/>
      <c r="I166" s="10"/>
      <c r="J166" s="10"/>
      <c r="K166" s="10"/>
      <c r="L166" s="10"/>
      <c r="M166" s="10"/>
      <c r="N166" s="10"/>
      <c r="O166" s="10"/>
      <c r="P166" s="4"/>
      <c r="Q166" s="1204"/>
      <c r="R166" s="101" t="str">
        <f t="shared" si="45"/>
        <v/>
      </c>
      <c r="S166" s="137">
        <f t="shared" si="48"/>
        <v>74</v>
      </c>
      <c r="T166" s="2130">
        <f>((T$167-T$162)/5)+T165</f>
        <v>0.74199999999999999</v>
      </c>
      <c r="U166" s="2130"/>
      <c r="V166" s="2130"/>
      <c r="W166" s="2130"/>
      <c r="X166" s="2130"/>
      <c r="Y166" s="2130"/>
      <c r="Z166" s="2130"/>
      <c r="AA166" s="2130"/>
      <c r="AB166" s="2130"/>
      <c r="AC166" s="2130"/>
      <c r="AD166" s="101"/>
      <c r="AE166" s="6"/>
      <c r="AF166" s="11"/>
      <c r="AG166" s="41">
        <f t="shared" si="44"/>
        <v>0</v>
      </c>
      <c r="AH166" s="41">
        <f>IF(ISERROR(HLOOKUP(AH$91,'Improved Sales Adjustments 1'!$G$7:$WV$147,68,FALSE)),0,IF(HLOOKUP(AH$91,'Improved Sales Adjustments 1'!$G$7:$WV$147,68,FALSE)="",0,IF($S166=HLOOKUP(AH$91,'Improved Sales Adjustments 1'!$G$7:$WV$147,68,FALSE),1,0)))</f>
        <v>0</v>
      </c>
      <c r="AI166" s="41">
        <f>IF(ISERROR(HLOOKUP(AI$91,'Improved Sales Adjustments 1'!$G$7:$WV$147,68,FALSE)),0,IF(HLOOKUP(AI$91,'Improved Sales Adjustments 1'!$G$7:$WV$147,68,FALSE)="",0,IF($S166=HLOOKUP(AI$91,'Improved Sales Adjustments 1'!$G$7:$WV$147,68,FALSE),1,0)))</f>
        <v>0</v>
      </c>
      <c r="AJ166" s="41">
        <f>IF(ISERROR(HLOOKUP(AJ$91,'Improved Sales Adjustments 1'!$G$7:$WV$147,68,FALSE)),0,IF(HLOOKUP(AJ$91,'Improved Sales Adjustments 1'!$G$7:$WV$147,68,FALSE)="",0,IF($S166=HLOOKUP(AJ$91,'Improved Sales Adjustments 1'!$G$7:$WV$147,68,FALSE),1,0)))</f>
        <v>0</v>
      </c>
      <c r="AK166" s="41">
        <f>IF(ISERROR(HLOOKUP(AK$91,'Improved Sales Adjustments 1'!$G$7:$WV$147,68,FALSE)),0,IF(HLOOKUP(AK$91,'Improved Sales Adjustments 1'!$G$7:$WV$147,68,FALSE)="",0,IF($S166=HLOOKUP(AK$91,'Improved Sales Adjustments 1'!$G$7:$WV$147,68,FALSE),1,0)))</f>
        <v>0</v>
      </c>
      <c r="AL166" s="41">
        <f>IF(ISERROR(HLOOKUP(AL$91,'Improved Sales Adjustments 1'!$G$7:$WV$147,68,FALSE)),0,IF(HLOOKUP(AL$91,'Improved Sales Adjustments 1'!$G$7:$WV$147,68,FALSE)="",0,IF($S166=HLOOKUP(AL$91,'Improved Sales Adjustments 1'!$G$7:$WV$147,68,FALSE),1,0)))</f>
        <v>0</v>
      </c>
      <c r="AM166" s="41">
        <f>IF(ISERROR(HLOOKUP(AM$91,'Improved Sales Adjustments 1'!$G$7:$WV$147,68,FALSE)),0,IF(HLOOKUP(AM$91,'Improved Sales Adjustments 1'!$G$7:$WV$147,68,FALSE)="",0,IF($S166=HLOOKUP(AM$91,'Improved Sales Adjustments 1'!$G$7:$WV$147,68,FALSE),1,0)))</f>
        <v>0</v>
      </c>
      <c r="AN166" s="41">
        <f>IF(ISERROR(HLOOKUP(AN$91,'Improved Sales Adjustments 1'!$G$7:$WV$147,68,FALSE)),0,IF(HLOOKUP(AN$91,'Improved Sales Adjustments 1'!$G$7:$WV$147,68,FALSE)="",0,IF($S166=HLOOKUP(AN$91,'Improved Sales Adjustments 1'!$G$7:$WV$147,68,FALSE),1,0)))</f>
        <v>0</v>
      </c>
      <c r="AO166" s="41">
        <f>IF(ISERROR(HLOOKUP(AO$91,'Improved Sales Adjustments 1'!$G$7:$WV$147,68,FALSE)),0,IF(HLOOKUP(AO$91,'Improved Sales Adjustments 1'!$G$7:$WV$147,68,FALSE)="",0,IF($S166=HLOOKUP(AO$91,'Improved Sales Adjustments 1'!$G$7:$WV$147,68,FALSE),1,0)))</f>
        <v>0</v>
      </c>
      <c r="AP166" s="41">
        <f>IF(ISERROR(HLOOKUP(AP$91,'Improved Sales Adjustments 1'!$G$7:$WV$147,68,FALSE)),0,IF(HLOOKUP(AP$91,'Improved Sales Adjustments 1'!$G$7:$WV$147,68,FALSE)="",0,IF($S166=HLOOKUP(AP$91,'Improved Sales Adjustments 1'!$G$7:$WV$147,68,FALSE),1,0)))</f>
        <v>0</v>
      </c>
      <c r="AQ166" s="41">
        <f>IF(ISERROR(HLOOKUP(AQ$91,'Improved Sales Adjustments 1'!$G$7:$WV$147,68,FALSE)),0,IF(HLOOKUP(AQ$91,'Improved Sales Adjustments 1'!$G$7:$WV$147,68,FALSE)="",0,IF($S166=HLOOKUP(AQ$91,'Improved Sales Adjustments 1'!$G$7:$WV$147,68,FALSE),1,0)))</f>
        <v>0</v>
      </c>
      <c r="AR166" s="41">
        <f>SUM($AG166:AG166)</f>
        <v>0</v>
      </c>
      <c r="AS166" s="41">
        <f>SUM($AG166:AH166)</f>
        <v>0</v>
      </c>
      <c r="AT166" s="41">
        <f>SUM($AG166:AI166)</f>
        <v>0</v>
      </c>
      <c r="AU166" s="41">
        <f>SUM($AG166:AJ166)</f>
        <v>0</v>
      </c>
      <c r="AV166" s="41">
        <f>SUM($AG166:AK166)</f>
        <v>0</v>
      </c>
      <c r="AW166" s="41">
        <f>SUM($AG166:AL166)</f>
        <v>0</v>
      </c>
      <c r="AX166" s="41">
        <f>SUM($AG166:AM166)</f>
        <v>0</v>
      </c>
      <c r="AY166" s="41">
        <f>SUM($AG166:AN166)</f>
        <v>0</v>
      </c>
      <c r="AZ166" s="41">
        <f>SUM($AG166:AO166)</f>
        <v>0</v>
      </c>
      <c r="BA166" s="41">
        <f>SUM($AG166:AP166)</f>
        <v>0</v>
      </c>
      <c r="BB166" s="41">
        <f>SUM($AG166:AQ166)</f>
        <v>0</v>
      </c>
      <c r="BC166" s="41" t="str">
        <f t="shared" si="49"/>
        <v/>
      </c>
      <c r="BD166" s="41" t="str">
        <f t="shared" si="49"/>
        <v/>
      </c>
      <c r="BE166" s="41" t="str">
        <f t="shared" si="49"/>
        <v/>
      </c>
      <c r="BF166" s="41" t="str">
        <f t="shared" si="47"/>
        <v/>
      </c>
      <c r="BG166" s="41" t="str">
        <f t="shared" si="47"/>
        <v/>
      </c>
      <c r="BH166" s="41" t="str">
        <f t="shared" si="47"/>
        <v/>
      </c>
      <c r="BI166" s="41" t="str">
        <f t="shared" si="47"/>
        <v/>
      </c>
      <c r="BJ166" s="41" t="str">
        <f t="shared" si="47"/>
        <v/>
      </c>
      <c r="BK166" s="41" t="str">
        <f t="shared" si="47"/>
        <v/>
      </c>
      <c r="BL166" s="41" t="str">
        <f t="shared" si="37"/>
        <v/>
      </c>
      <c r="BM166" s="41" t="str">
        <f t="shared" si="37"/>
        <v/>
      </c>
    </row>
    <row r="167" spans="1:65" ht="15" customHeight="1" x14ac:dyDescent="0.25">
      <c r="A167" s="957">
        <f t="shared" si="43"/>
        <v>0</v>
      </c>
      <c r="B167" s="10"/>
      <c r="C167" s="10"/>
      <c r="D167" s="13"/>
      <c r="E167" s="10"/>
      <c r="F167" s="10"/>
      <c r="G167" s="10"/>
      <c r="H167" s="10"/>
      <c r="I167" s="10"/>
      <c r="J167" s="10"/>
      <c r="K167" s="10"/>
      <c r="L167" s="10"/>
      <c r="M167" s="10"/>
      <c r="N167" s="10"/>
      <c r="O167" s="10"/>
      <c r="P167" s="4"/>
      <c r="Q167" s="1204"/>
      <c r="R167" s="101" t="str">
        <f t="shared" si="45"/>
        <v/>
      </c>
      <c r="S167" s="137">
        <f t="shared" si="48"/>
        <v>75</v>
      </c>
      <c r="T167" s="2129">
        <v>0.75</v>
      </c>
      <c r="U167" s="2130"/>
      <c r="V167" s="2130"/>
      <c r="W167" s="2130"/>
      <c r="X167" s="2130"/>
      <c r="Y167" s="2130"/>
      <c r="Z167" s="2130"/>
      <c r="AA167" s="2130"/>
      <c r="AB167" s="2130"/>
      <c r="AC167" s="2130"/>
      <c r="AD167" s="101"/>
      <c r="AE167" s="6"/>
      <c r="AF167" s="11"/>
      <c r="AG167" s="41">
        <f t="shared" si="44"/>
        <v>0</v>
      </c>
      <c r="AH167" s="41">
        <f>IF(ISERROR(HLOOKUP(AH$91,'Improved Sales Adjustments 1'!$G$7:$WV$147,68,FALSE)),0,IF(HLOOKUP(AH$91,'Improved Sales Adjustments 1'!$G$7:$WV$147,68,FALSE)="",0,IF($S167=HLOOKUP(AH$91,'Improved Sales Adjustments 1'!$G$7:$WV$147,68,FALSE),1,0)))</f>
        <v>0</v>
      </c>
      <c r="AI167" s="41">
        <f>IF(ISERROR(HLOOKUP(AI$91,'Improved Sales Adjustments 1'!$G$7:$WV$147,68,FALSE)),0,IF(HLOOKUP(AI$91,'Improved Sales Adjustments 1'!$G$7:$WV$147,68,FALSE)="",0,IF($S167=HLOOKUP(AI$91,'Improved Sales Adjustments 1'!$G$7:$WV$147,68,FALSE),1,0)))</f>
        <v>0</v>
      </c>
      <c r="AJ167" s="41">
        <f>IF(ISERROR(HLOOKUP(AJ$91,'Improved Sales Adjustments 1'!$G$7:$WV$147,68,FALSE)),0,IF(HLOOKUP(AJ$91,'Improved Sales Adjustments 1'!$G$7:$WV$147,68,FALSE)="",0,IF($S167=HLOOKUP(AJ$91,'Improved Sales Adjustments 1'!$G$7:$WV$147,68,FALSE),1,0)))</f>
        <v>0</v>
      </c>
      <c r="AK167" s="41">
        <f>IF(ISERROR(HLOOKUP(AK$91,'Improved Sales Adjustments 1'!$G$7:$WV$147,68,FALSE)),0,IF(HLOOKUP(AK$91,'Improved Sales Adjustments 1'!$G$7:$WV$147,68,FALSE)="",0,IF($S167=HLOOKUP(AK$91,'Improved Sales Adjustments 1'!$G$7:$WV$147,68,FALSE),1,0)))</f>
        <v>0</v>
      </c>
      <c r="AL167" s="41">
        <f>IF(ISERROR(HLOOKUP(AL$91,'Improved Sales Adjustments 1'!$G$7:$WV$147,68,FALSE)),0,IF(HLOOKUP(AL$91,'Improved Sales Adjustments 1'!$G$7:$WV$147,68,FALSE)="",0,IF($S167=HLOOKUP(AL$91,'Improved Sales Adjustments 1'!$G$7:$WV$147,68,FALSE),1,0)))</f>
        <v>0</v>
      </c>
      <c r="AM167" s="41">
        <f>IF(ISERROR(HLOOKUP(AM$91,'Improved Sales Adjustments 1'!$G$7:$WV$147,68,FALSE)),0,IF(HLOOKUP(AM$91,'Improved Sales Adjustments 1'!$G$7:$WV$147,68,FALSE)="",0,IF($S167=HLOOKUP(AM$91,'Improved Sales Adjustments 1'!$G$7:$WV$147,68,FALSE),1,0)))</f>
        <v>0</v>
      </c>
      <c r="AN167" s="41">
        <f>IF(ISERROR(HLOOKUP(AN$91,'Improved Sales Adjustments 1'!$G$7:$WV$147,68,FALSE)),0,IF(HLOOKUP(AN$91,'Improved Sales Adjustments 1'!$G$7:$WV$147,68,FALSE)="",0,IF($S167=HLOOKUP(AN$91,'Improved Sales Adjustments 1'!$G$7:$WV$147,68,FALSE),1,0)))</f>
        <v>0</v>
      </c>
      <c r="AO167" s="41">
        <f>IF(ISERROR(HLOOKUP(AO$91,'Improved Sales Adjustments 1'!$G$7:$WV$147,68,FALSE)),0,IF(HLOOKUP(AO$91,'Improved Sales Adjustments 1'!$G$7:$WV$147,68,FALSE)="",0,IF($S167=HLOOKUP(AO$91,'Improved Sales Adjustments 1'!$G$7:$WV$147,68,FALSE),1,0)))</f>
        <v>0</v>
      </c>
      <c r="AP167" s="41">
        <f>IF(ISERROR(HLOOKUP(AP$91,'Improved Sales Adjustments 1'!$G$7:$WV$147,68,FALSE)),0,IF(HLOOKUP(AP$91,'Improved Sales Adjustments 1'!$G$7:$WV$147,68,FALSE)="",0,IF($S167=HLOOKUP(AP$91,'Improved Sales Adjustments 1'!$G$7:$WV$147,68,FALSE),1,0)))</f>
        <v>0</v>
      </c>
      <c r="AQ167" s="41">
        <f>IF(ISERROR(HLOOKUP(AQ$91,'Improved Sales Adjustments 1'!$G$7:$WV$147,68,FALSE)),0,IF(HLOOKUP(AQ$91,'Improved Sales Adjustments 1'!$G$7:$WV$147,68,FALSE)="",0,IF($S167=HLOOKUP(AQ$91,'Improved Sales Adjustments 1'!$G$7:$WV$147,68,FALSE),1,0)))</f>
        <v>0</v>
      </c>
      <c r="AR167" s="41">
        <f>SUM($AG167:AG167)</f>
        <v>0</v>
      </c>
      <c r="AS167" s="41">
        <f>SUM($AG167:AH167)</f>
        <v>0</v>
      </c>
      <c r="AT167" s="41">
        <f>SUM($AG167:AI167)</f>
        <v>0</v>
      </c>
      <c r="AU167" s="41">
        <f>SUM($AG167:AJ167)</f>
        <v>0</v>
      </c>
      <c r="AV167" s="41">
        <f>SUM($AG167:AK167)</f>
        <v>0</v>
      </c>
      <c r="AW167" s="41">
        <f>SUM($AG167:AL167)</f>
        <v>0</v>
      </c>
      <c r="AX167" s="41">
        <f>SUM($AG167:AM167)</f>
        <v>0</v>
      </c>
      <c r="AY167" s="41">
        <f>SUM($AG167:AN167)</f>
        <v>0</v>
      </c>
      <c r="AZ167" s="41">
        <f>SUM($AG167:AO167)</f>
        <v>0</v>
      </c>
      <c r="BA167" s="41">
        <f>SUM($AG167:AP167)</f>
        <v>0</v>
      </c>
      <c r="BB167" s="41">
        <f>SUM($AG167:AQ167)</f>
        <v>0</v>
      </c>
      <c r="BC167" s="41" t="str">
        <f t="shared" si="49"/>
        <v/>
      </c>
      <c r="BD167" s="41" t="str">
        <f t="shared" si="49"/>
        <v/>
      </c>
      <c r="BE167" s="41" t="str">
        <f t="shared" si="49"/>
        <v/>
      </c>
      <c r="BF167" s="41" t="str">
        <f t="shared" si="47"/>
        <v/>
      </c>
      <c r="BG167" s="41" t="str">
        <f t="shared" si="47"/>
        <v/>
      </c>
      <c r="BH167" s="41" t="str">
        <f t="shared" si="47"/>
        <v/>
      </c>
      <c r="BI167" s="41" t="str">
        <f t="shared" si="47"/>
        <v/>
      </c>
      <c r="BJ167" s="41" t="str">
        <f t="shared" si="47"/>
        <v/>
      </c>
      <c r="BK167" s="41" t="str">
        <f t="shared" si="47"/>
        <v/>
      </c>
      <c r="BL167" s="41" t="str">
        <f t="shared" si="37"/>
        <v/>
      </c>
      <c r="BM167" s="41" t="str">
        <f t="shared" si="37"/>
        <v/>
      </c>
    </row>
    <row r="168" spans="1:65" ht="15" customHeight="1" x14ac:dyDescent="0.25">
      <c r="A168" s="957">
        <f t="shared" si="43"/>
        <v>0</v>
      </c>
      <c r="B168" s="10"/>
      <c r="C168" s="10"/>
      <c r="D168" s="13"/>
      <c r="E168" s="10"/>
      <c r="F168" s="10"/>
      <c r="G168" s="10"/>
      <c r="H168" s="10"/>
      <c r="I168" s="10"/>
      <c r="J168" s="10"/>
      <c r="K168" s="10"/>
      <c r="L168" s="10"/>
      <c r="M168" s="10"/>
      <c r="N168" s="10"/>
      <c r="O168" s="10"/>
      <c r="P168" s="4"/>
      <c r="Q168" s="1204"/>
      <c r="R168" s="101" t="str">
        <f t="shared" si="45"/>
        <v/>
      </c>
      <c r="S168" s="137">
        <f t="shared" si="48"/>
        <v>76</v>
      </c>
      <c r="T168" s="2130">
        <f>((T$172-T$167)/5)+T167</f>
        <v>0.75600000000000001</v>
      </c>
      <c r="U168" s="2130"/>
      <c r="V168" s="2130"/>
      <c r="W168" s="2130"/>
      <c r="X168" s="2130"/>
      <c r="Y168" s="2130"/>
      <c r="Z168" s="2130"/>
      <c r="AA168" s="2130"/>
      <c r="AB168" s="2130"/>
      <c r="AC168" s="2130"/>
      <c r="AD168" s="101"/>
      <c r="AE168" s="6"/>
      <c r="AF168" s="11"/>
      <c r="AG168" s="41">
        <f t="shared" si="44"/>
        <v>0</v>
      </c>
      <c r="AH168" s="41">
        <f>IF(ISERROR(HLOOKUP(AH$91,'Improved Sales Adjustments 1'!$G$7:$WV$147,68,FALSE)),0,IF(HLOOKUP(AH$91,'Improved Sales Adjustments 1'!$G$7:$WV$147,68,FALSE)="",0,IF($S168=HLOOKUP(AH$91,'Improved Sales Adjustments 1'!$G$7:$WV$147,68,FALSE),1,0)))</f>
        <v>0</v>
      </c>
      <c r="AI168" s="41">
        <f>IF(ISERROR(HLOOKUP(AI$91,'Improved Sales Adjustments 1'!$G$7:$WV$147,68,FALSE)),0,IF(HLOOKUP(AI$91,'Improved Sales Adjustments 1'!$G$7:$WV$147,68,FALSE)="",0,IF($S168=HLOOKUP(AI$91,'Improved Sales Adjustments 1'!$G$7:$WV$147,68,FALSE),1,0)))</f>
        <v>0</v>
      </c>
      <c r="AJ168" s="41">
        <f>IF(ISERROR(HLOOKUP(AJ$91,'Improved Sales Adjustments 1'!$G$7:$WV$147,68,FALSE)),0,IF(HLOOKUP(AJ$91,'Improved Sales Adjustments 1'!$G$7:$WV$147,68,FALSE)="",0,IF($S168=HLOOKUP(AJ$91,'Improved Sales Adjustments 1'!$G$7:$WV$147,68,FALSE),1,0)))</f>
        <v>0</v>
      </c>
      <c r="AK168" s="41">
        <f>IF(ISERROR(HLOOKUP(AK$91,'Improved Sales Adjustments 1'!$G$7:$WV$147,68,FALSE)),0,IF(HLOOKUP(AK$91,'Improved Sales Adjustments 1'!$G$7:$WV$147,68,FALSE)="",0,IF($S168=HLOOKUP(AK$91,'Improved Sales Adjustments 1'!$G$7:$WV$147,68,FALSE),1,0)))</f>
        <v>0</v>
      </c>
      <c r="AL168" s="41">
        <f>IF(ISERROR(HLOOKUP(AL$91,'Improved Sales Adjustments 1'!$G$7:$WV$147,68,FALSE)),0,IF(HLOOKUP(AL$91,'Improved Sales Adjustments 1'!$G$7:$WV$147,68,FALSE)="",0,IF($S168=HLOOKUP(AL$91,'Improved Sales Adjustments 1'!$G$7:$WV$147,68,FALSE),1,0)))</f>
        <v>0</v>
      </c>
      <c r="AM168" s="41">
        <f>IF(ISERROR(HLOOKUP(AM$91,'Improved Sales Adjustments 1'!$G$7:$WV$147,68,FALSE)),0,IF(HLOOKUP(AM$91,'Improved Sales Adjustments 1'!$G$7:$WV$147,68,FALSE)="",0,IF($S168=HLOOKUP(AM$91,'Improved Sales Adjustments 1'!$G$7:$WV$147,68,FALSE),1,0)))</f>
        <v>0</v>
      </c>
      <c r="AN168" s="41">
        <f>IF(ISERROR(HLOOKUP(AN$91,'Improved Sales Adjustments 1'!$G$7:$WV$147,68,FALSE)),0,IF(HLOOKUP(AN$91,'Improved Sales Adjustments 1'!$G$7:$WV$147,68,FALSE)="",0,IF($S168=HLOOKUP(AN$91,'Improved Sales Adjustments 1'!$G$7:$WV$147,68,FALSE),1,0)))</f>
        <v>0</v>
      </c>
      <c r="AO168" s="41">
        <f>IF(ISERROR(HLOOKUP(AO$91,'Improved Sales Adjustments 1'!$G$7:$WV$147,68,FALSE)),0,IF(HLOOKUP(AO$91,'Improved Sales Adjustments 1'!$G$7:$WV$147,68,FALSE)="",0,IF($S168=HLOOKUP(AO$91,'Improved Sales Adjustments 1'!$G$7:$WV$147,68,FALSE),1,0)))</f>
        <v>0</v>
      </c>
      <c r="AP168" s="41">
        <f>IF(ISERROR(HLOOKUP(AP$91,'Improved Sales Adjustments 1'!$G$7:$WV$147,68,FALSE)),0,IF(HLOOKUP(AP$91,'Improved Sales Adjustments 1'!$G$7:$WV$147,68,FALSE)="",0,IF($S168=HLOOKUP(AP$91,'Improved Sales Adjustments 1'!$G$7:$WV$147,68,FALSE),1,0)))</f>
        <v>0</v>
      </c>
      <c r="AQ168" s="41">
        <f>IF(ISERROR(HLOOKUP(AQ$91,'Improved Sales Adjustments 1'!$G$7:$WV$147,68,FALSE)),0,IF(HLOOKUP(AQ$91,'Improved Sales Adjustments 1'!$G$7:$WV$147,68,FALSE)="",0,IF($S168=HLOOKUP(AQ$91,'Improved Sales Adjustments 1'!$G$7:$WV$147,68,FALSE),1,0)))</f>
        <v>0</v>
      </c>
      <c r="AR168" s="41">
        <f>SUM($AG168:AG168)</f>
        <v>0</v>
      </c>
      <c r="AS168" s="41">
        <f>SUM($AG168:AH168)</f>
        <v>0</v>
      </c>
      <c r="AT168" s="41">
        <f>SUM($AG168:AI168)</f>
        <v>0</v>
      </c>
      <c r="AU168" s="41">
        <f>SUM($AG168:AJ168)</f>
        <v>0</v>
      </c>
      <c r="AV168" s="41">
        <f>SUM($AG168:AK168)</f>
        <v>0</v>
      </c>
      <c r="AW168" s="41">
        <f>SUM($AG168:AL168)</f>
        <v>0</v>
      </c>
      <c r="AX168" s="41">
        <f>SUM($AG168:AM168)</f>
        <v>0</v>
      </c>
      <c r="AY168" s="41">
        <f>SUM($AG168:AN168)</f>
        <v>0</v>
      </c>
      <c r="AZ168" s="41">
        <f>SUM($AG168:AO168)</f>
        <v>0</v>
      </c>
      <c r="BA168" s="41">
        <f>SUM($AG168:AP168)</f>
        <v>0</v>
      </c>
      <c r="BB168" s="41">
        <f>SUM($AG168:AQ168)</f>
        <v>0</v>
      </c>
      <c r="BC168" s="41" t="str">
        <f t="shared" si="49"/>
        <v/>
      </c>
      <c r="BD168" s="41" t="str">
        <f t="shared" si="49"/>
        <v/>
      </c>
      <c r="BE168" s="41" t="str">
        <f t="shared" si="49"/>
        <v/>
      </c>
      <c r="BF168" s="41" t="str">
        <f t="shared" si="47"/>
        <v/>
      </c>
      <c r="BG168" s="41" t="str">
        <f t="shared" si="47"/>
        <v/>
      </c>
      <c r="BH168" s="41" t="str">
        <f t="shared" si="47"/>
        <v/>
      </c>
      <c r="BI168" s="41" t="str">
        <f t="shared" si="47"/>
        <v/>
      </c>
      <c r="BJ168" s="41" t="str">
        <f t="shared" si="47"/>
        <v/>
      </c>
      <c r="BK168" s="41" t="str">
        <f t="shared" si="47"/>
        <v/>
      </c>
      <c r="BL168" s="41" t="str">
        <f t="shared" si="37"/>
        <v/>
      </c>
      <c r="BM168" s="41" t="str">
        <f t="shared" si="37"/>
        <v/>
      </c>
    </row>
    <row r="169" spans="1:65" ht="15" customHeight="1" x14ac:dyDescent="0.25">
      <c r="A169" s="957">
        <f t="shared" si="43"/>
        <v>0</v>
      </c>
      <c r="B169" s="10"/>
      <c r="C169" s="10"/>
      <c r="D169" s="13"/>
      <c r="E169" s="10"/>
      <c r="F169" s="10"/>
      <c r="G169" s="10"/>
      <c r="H169" s="10"/>
      <c r="I169" s="10"/>
      <c r="J169" s="10"/>
      <c r="K169" s="10"/>
      <c r="L169" s="10"/>
      <c r="M169" s="10"/>
      <c r="N169" s="10"/>
      <c r="O169" s="10"/>
      <c r="P169" s="4"/>
      <c r="Q169" s="1204"/>
      <c r="R169" s="101" t="str">
        <f t="shared" si="45"/>
        <v/>
      </c>
      <c r="S169" s="137">
        <f t="shared" si="48"/>
        <v>77</v>
      </c>
      <c r="T169" s="2130">
        <f>((T$172-T$167)/5)+T168</f>
        <v>0.76200000000000001</v>
      </c>
      <c r="U169" s="2130"/>
      <c r="V169" s="2130"/>
      <c r="W169" s="2130"/>
      <c r="X169" s="2130"/>
      <c r="Y169" s="2130"/>
      <c r="Z169" s="2130"/>
      <c r="AA169" s="2130"/>
      <c r="AB169" s="2130"/>
      <c r="AC169" s="2130"/>
      <c r="AD169" s="101"/>
      <c r="AE169" s="6"/>
      <c r="AF169" s="11"/>
      <c r="AG169" s="41">
        <f t="shared" si="44"/>
        <v>0</v>
      </c>
      <c r="AH169" s="41">
        <f>IF(ISERROR(HLOOKUP(AH$91,'Improved Sales Adjustments 1'!$G$7:$WV$147,68,FALSE)),0,IF(HLOOKUP(AH$91,'Improved Sales Adjustments 1'!$G$7:$WV$147,68,FALSE)="",0,IF($S169=HLOOKUP(AH$91,'Improved Sales Adjustments 1'!$G$7:$WV$147,68,FALSE),1,0)))</f>
        <v>0</v>
      </c>
      <c r="AI169" s="41">
        <f>IF(ISERROR(HLOOKUP(AI$91,'Improved Sales Adjustments 1'!$G$7:$WV$147,68,FALSE)),0,IF(HLOOKUP(AI$91,'Improved Sales Adjustments 1'!$G$7:$WV$147,68,FALSE)="",0,IF($S169=HLOOKUP(AI$91,'Improved Sales Adjustments 1'!$G$7:$WV$147,68,FALSE),1,0)))</f>
        <v>0</v>
      </c>
      <c r="AJ169" s="41">
        <f>IF(ISERROR(HLOOKUP(AJ$91,'Improved Sales Adjustments 1'!$G$7:$WV$147,68,FALSE)),0,IF(HLOOKUP(AJ$91,'Improved Sales Adjustments 1'!$G$7:$WV$147,68,FALSE)="",0,IF($S169=HLOOKUP(AJ$91,'Improved Sales Adjustments 1'!$G$7:$WV$147,68,FALSE),1,0)))</f>
        <v>0</v>
      </c>
      <c r="AK169" s="41">
        <f>IF(ISERROR(HLOOKUP(AK$91,'Improved Sales Adjustments 1'!$G$7:$WV$147,68,FALSE)),0,IF(HLOOKUP(AK$91,'Improved Sales Adjustments 1'!$G$7:$WV$147,68,FALSE)="",0,IF($S169=HLOOKUP(AK$91,'Improved Sales Adjustments 1'!$G$7:$WV$147,68,FALSE),1,0)))</f>
        <v>0</v>
      </c>
      <c r="AL169" s="41">
        <f>IF(ISERROR(HLOOKUP(AL$91,'Improved Sales Adjustments 1'!$G$7:$WV$147,68,FALSE)),0,IF(HLOOKUP(AL$91,'Improved Sales Adjustments 1'!$G$7:$WV$147,68,FALSE)="",0,IF($S169=HLOOKUP(AL$91,'Improved Sales Adjustments 1'!$G$7:$WV$147,68,FALSE),1,0)))</f>
        <v>0</v>
      </c>
      <c r="AM169" s="41">
        <f>IF(ISERROR(HLOOKUP(AM$91,'Improved Sales Adjustments 1'!$G$7:$WV$147,68,FALSE)),0,IF(HLOOKUP(AM$91,'Improved Sales Adjustments 1'!$G$7:$WV$147,68,FALSE)="",0,IF($S169=HLOOKUP(AM$91,'Improved Sales Adjustments 1'!$G$7:$WV$147,68,FALSE),1,0)))</f>
        <v>0</v>
      </c>
      <c r="AN169" s="41">
        <f>IF(ISERROR(HLOOKUP(AN$91,'Improved Sales Adjustments 1'!$G$7:$WV$147,68,FALSE)),0,IF(HLOOKUP(AN$91,'Improved Sales Adjustments 1'!$G$7:$WV$147,68,FALSE)="",0,IF($S169=HLOOKUP(AN$91,'Improved Sales Adjustments 1'!$G$7:$WV$147,68,FALSE),1,0)))</f>
        <v>0</v>
      </c>
      <c r="AO169" s="41">
        <f>IF(ISERROR(HLOOKUP(AO$91,'Improved Sales Adjustments 1'!$G$7:$WV$147,68,FALSE)),0,IF(HLOOKUP(AO$91,'Improved Sales Adjustments 1'!$G$7:$WV$147,68,FALSE)="",0,IF($S169=HLOOKUP(AO$91,'Improved Sales Adjustments 1'!$G$7:$WV$147,68,FALSE),1,0)))</f>
        <v>0</v>
      </c>
      <c r="AP169" s="41">
        <f>IF(ISERROR(HLOOKUP(AP$91,'Improved Sales Adjustments 1'!$G$7:$WV$147,68,FALSE)),0,IF(HLOOKUP(AP$91,'Improved Sales Adjustments 1'!$G$7:$WV$147,68,FALSE)="",0,IF($S169=HLOOKUP(AP$91,'Improved Sales Adjustments 1'!$G$7:$WV$147,68,FALSE),1,0)))</f>
        <v>0</v>
      </c>
      <c r="AQ169" s="41">
        <f>IF(ISERROR(HLOOKUP(AQ$91,'Improved Sales Adjustments 1'!$G$7:$WV$147,68,FALSE)),0,IF(HLOOKUP(AQ$91,'Improved Sales Adjustments 1'!$G$7:$WV$147,68,FALSE)="",0,IF($S169=HLOOKUP(AQ$91,'Improved Sales Adjustments 1'!$G$7:$WV$147,68,FALSE),1,0)))</f>
        <v>0</v>
      </c>
      <c r="AR169" s="41">
        <f>SUM($AG169:AG169)</f>
        <v>0</v>
      </c>
      <c r="AS169" s="41">
        <f>SUM($AG169:AH169)</f>
        <v>0</v>
      </c>
      <c r="AT169" s="41">
        <f>SUM($AG169:AI169)</f>
        <v>0</v>
      </c>
      <c r="AU169" s="41">
        <f>SUM($AG169:AJ169)</f>
        <v>0</v>
      </c>
      <c r="AV169" s="41">
        <f>SUM($AG169:AK169)</f>
        <v>0</v>
      </c>
      <c r="AW169" s="41">
        <f>SUM($AG169:AL169)</f>
        <v>0</v>
      </c>
      <c r="AX169" s="41">
        <f>SUM($AG169:AM169)</f>
        <v>0</v>
      </c>
      <c r="AY169" s="41">
        <f>SUM($AG169:AN169)</f>
        <v>0</v>
      </c>
      <c r="AZ169" s="41">
        <f>SUM($AG169:AO169)</f>
        <v>0</v>
      </c>
      <c r="BA169" s="41">
        <f>SUM($AG169:AP169)</f>
        <v>0</v>
      </c>
      <c r="BB169" s="41">
        <f>SUM($AG169:AQ169)</f>
        <v>0</v>
      </c>
      <c r="BC169" s="41" t="str">
        <f t="shared" si="49"/>
        <v/>
      </c>
      <c r="BD169" s="41" t="str">
        <f t="shared" si="49"/>
        <v/>
      </c>
      <c r="BE169" s="41" t="str">
        <f t="shared" si="49"/>
        <v/>
      </c>
      <c r="BF169" s="41" t="str">
        <f t="shared" si="47"/>
        <v/>
      </c>
      <c r="BG169" s="41" t="str">
        <f t="shared" si="47"/>
        <v/>
      </c>
      <c r="BH169" s="41" t="str">
        <f t="shared" si="47"/>
        <v/>
      </c>
      <c r="BI169" s="41" t="str">
        <f t="shared" si="47"/>
        <v/>
      </c>
      <c r="BJ169" s="41" t="str">
        <f t="shared" si="47"/>
        <v/>
      </c>
      <c r="BK169" s="41" t="str">
        <f t="shared" si="47"/>
        <v/>
      </c>
      <c r="BL169" s="41" t="str">
        <f t="shared" si="37"/>
        <v/>
      </c>
      <c r="BM169" s="41" t="str">
        <f t="shared" si="37"/>
        <v/>
      </c>
    </row>
    <row r="170" spans="1:65" ht="15" customHeight="1" x14ac:dyDescent="0.25">
      <c r="A170" s="957">
        <f t="shared" si="43"/>
        <v>0</v>
      </c>
      <c r="B170" s="10"/>
      <c r="C170" s="10"/>
      <c r="D170" s="13"/>
      <c r="E170" s="10"/>
      <c r="F170" s="10"/>
      <c r="G170" s="10"/>
      <c r="H170" s="10"/>
      <c r="I170" s="10"/>
      <c r="J170" s="10"/>
      <c r="K170" s="10"/>
      <c r="L170" s="10"/>
      <c r="M170" s="10"/>
      <c r="N170" s="10"/>
      <c r="O170" s="10"/>
      <c r="P170" s="4"/>
      <c r="Q170" s="1204"/>
      <c r="R170" s="101" t="str">
        <f t="shared" si="45"/>
        <v/>
      </c>
      <c r="S170" s="137">
        <f t="shared" si="48"/>
        <v>78</v>
      </c>
      <c r="T170" s="2130">
        <f>((T$172-T$167)/5)+T169</f>
        <v>0.76800000000000002</v>
      </c>
      <c r="U170" s="2130"/>
      <c r="V170" s="2130"/>
      <c r="W170" s="2130"/>
      <c r="X170" s="2130"/>
      <c r="Y170" s="2130"/>
      <c r="Z170" s="2130"/>
      <c r="AA170" s="2130"/>
      <c r="AB170" s="2130"/>
      <c r="AC170" s="2130"/>
      <c r="AD170" s="101"/>
      <c r="AE170" s="6"/>
      <c r="AF170" s="11"/>
      <c r="AG170" s="41">
        <f t="shared" si="44"/>
        <v>0</v>
      </c>
      <c r="AH170" s="41">
        <f>IF(ISERROR(HLOOKUP(AH$91,'Improved Sales Adjustments 1'!$G$7:$WV$147,68,FALSE)),0,IF(HLOOKUP(AH$91,'Improved Sales Adjustments 1'!$G$7:$WV$147,68,FALSE)="",0,IF($S170=HLOOKUP(AH$91,'Improved Sales Adjustments 1'!$G$7:$WV$147,68,FALSE),1,0)))</f>
        <v>0</v>
      </c>
      <c r="AI170" s="41">
        <f>IF(ISERROR(HLOOKUP(AI$91,'Improved Sales Adjustments 1'!$G$7:$WV$147,68,FALSE)),0,IF(HLOOKUP(AI$91,'Improved Sales Adjustments 1'!$G$7:$WV$147,68,FALSE)="",0,IF($S170=HLOOKUP(AI$91,'Improved Sales Adjustments 1'!$G$7:$WV$147,68,FALSE),1,0)))</f>
        <v>0</v>
      </c>
      <c r="AJ170" s="41">
        <f>IF(ISERROR(HLOOKUP(AJ$91,'Improved Sales Adjustments 1'!$G$7:$WV$147,68,FALSE)),0,IF(HLOOKUP(AJ$91,'Improved Sales Adjustments 1'!$G$7:$WV$147,68,FALSE)="",0,IF($S170=HLOOKUP(AJ$91,'Improved Sales Adjustments 1'!$G$7:$WV$147,68,FALSE),1,0)))</f>
        <v>0</v>
      </c>
      <c r="AK170" s="41">
        <f>IF(ISERROR(HLOOKUP(AK$91,'Improved Sales Adjustments 1'!$G$7:$WV$147,68,FALSE)),0,IF(HLOOKUP(AK$91,'Improved Sales Adjustments 1'!$G$7:$WV$147,68,FALSE)="",0,IF($S170=HLOOKUP(AK$91,'Improved Sales Adjustments 1'!$G$7:$WV$147,68,FALSE),1,0)))</f>
        <v>0</v>
      </c>
      <c r="AL170" s="41">
        <f>IF(ISERROR(HLOOKUP(AL$91,'Improved Sales Adjustments 1'!$G$7:$WV$147,68,FALSE)),0,IF(HLOOKUP(AL$91,'Improved Sales Adjustments 1'!$G$7:$WV$147,68,FALSE)="",0,IF($S170=HLOOKUP(AL$91,'Improved Sales Adjustments 1'!$G$7:$WV$147,68,FALSE),1,0)))</f>
        <v>0</v>
      </c>
      <c r="AM170" s="41">
        <f>IF(ISERROR(HLOOKUP(AM$91,'Improved Sales Adjustments 1'!$G$7:$WV$147,68,FALSE)),0,IF(HLOOKUP(AM$91,'Improved Sales Adjustments 1'!$G$7:$WV$147,68,FALSE)="",0,IF($S170=HLOOKUP(AM$91,'Improved Sales Adjustments 1'!$G$7:$WV$147,68,FALSE),1,0)))</f>
        <v>0</v>
      </c>
      <c r="AN170" s="41">
        <f>IF(ISERROR(HLOOKUP(AN$91,'Improved Sales Adjustments 1'!$G$7:$WV$147,68,FALSE)),0,IF(HLOOKUP(AN$91,'Improved Sales Adjustments 1'!$G$7:$WV$147,68,FALSE)="",0,IF($S170=HLOOKUP(AN$91,'Improved Sales Adjustments 1'!$G$7:$WV$147,68,FALSE),1,0)))</f>
        <v>0</v>
      </c>
      <c r="AO170" s="41">
        <f>IF(ISERROR(HLOOKUP(AO$91,'Improved Sales Adjustments 1'!$G$7:$WV$147,68,FALSE)),0,IF(HLOOKUP(AO$91,'Improved Sales Adjustments 1'!$G$7:$WV$147,68,FALSE)="",0,IF($S170=HLOOKUP(AO$91,'Improved Sales Adjustments 1'!$G$7:$WV$147,68,FALSE),1,0)))</f>
        <v>0</v>
      </c>
      <c r="AP170" s="41">
        <f>IF(ISERROR(HLOOKUP(AP$91,'Improved Sales Adjustments 1'!$G$7:$WV$147,68,FALSE)),0,IF(HLOOKUP(AP$91,'Improved Sales Adjustments 1'!$G$7:$WV$147,68,FALSE)="",0,IF($S170=HLOOKUP(AP$91,'Improved Sales Adjustments 1'!$G$7:$WV$147,68,FALSE),1,0)))</f>
        <v>0</v>
      </c>
      <c r="AQ170" s="41">
        <f>IF(ISERROR(HLOOKUP(AQ$91,'Improved Sales Adjustments 1'!$G$7:$WV$147,68,FALSE)),0,IF(HLOOKUP(AQ$91,'Improved Sales Adjustments 1'!$G$7:$WV$147,68,FALSE)="",0,IF($S170=HLOOKUP(AQ$91,'Improved Sales Adjustments 1'!$G$7:$WV$147,68,FALSE),1,0)))</f>
        <v>0</v>
      </c>
      <c r="AR170" s="41">
        <f>SUM($AG170:AG170)</f>
        <v>0</v>
      </c>
      <c r="AS170" s="41">
        <f>SUM($AG170:AH170)</f>
        <v>0</v>
      </c>
      <c r="AT170" s="41">
        <f>SUM($AG170:AI170)</f>
        <v>0</v>
      </c>
      <c r="AU170" s="41">
        <f>SUM($AG170:AJ170)</f>
        <v>0</v>
      </c>
      <c r="AV170" s="41">
        <f>SUM($AG170:AK170)</f>
        <v>0</v>
      </c>
      <c r="AW170" s="41">
        <f>SUM($AG170:AL170)</f>
        <v>0</v>
      </c>
      <c r="AX170" s="41">
        <f>SUM($AG170:AM170)</f>
        <v>0</v>
      </c>
      <c r="AY170" s="41">
        <f>SUM($AG170:AN170)</f>
        <v>0</v>
      </c>
      <c r="AZ170" s="41">
        <f>SUM($AG170:AO170)</f>
        <v>0</v>
      </c>
      <c r="BA170" s="41">
        <f>SUM($AG170:AP170)</f>
        <v>0</v>
      </c>
      <c r="BB170" s="41">
        <f>SUM($AG170:AQ170)</f>
        <v>0</v>
      </c>
      <c r="BC170" s="41" t="str">
        <f t="shared" si="49"/>
        <v/>
      </c>
      <c r="BD170" s="41" t="str">
        <f t="shared" si="49"/>
        <v/>
      </c>
      <c r="BE170" s="41" t="str">
        <f t="shared" si="49"/>
        <v/>
      </c>
      <c r="BF170" s="41" t="str">
        <f t="shared" si="47"/>
        <v/>
      </c>
      <c r="BG170" s="41" t="str">
        <f t="shared" si="47"/>
        <v/>
      </c>
      <c r="BH170" s="41" t="str">
        <f t="shared" si="47"/>
        <v/>
      </c>
      <c r="BI170" s="41" t="str">
        <f t="shared" si="47"/>
        <v/>
      </c>
      <c r="BJ170" s="41" t="str">
        <f t="shared" si="47"/>
        <v/>
      </c>
      <c r="BK170" s="41" t="str">
        <f t="shared" si="47"/>
        <v/>
      </c>
      <c r="BL170" s="41" t="str">
        <f t="shared" si="37"/>
        <v/>
      </c>
      <c r="BM170" s="41" t="str">
        <f t="shared" si="37"/>
        <v/>
      </c>
    </row>
    <row r="171" spans="1:65" ht="15" customHeight="1" x14ac:dyDescent="0.25">
      <c r="A171" s="957">
        <f t="shared" si="43"/>
        <v>0</v>
      </c>
      <c r="B171" s="10"/>
      <c r="C171" s="10"/>
      <c r="D171" s="13"/>
      <c r="E171" s="10"/>
      <c r="F171" s="10"/>
      <c r="G171" s="10"/>
      <c r="H171" s="10"/>
      <c r="I171" s="10"/>
      <c r="J171" s="10"/>
      <c r="K171" s="10"/>
      <c r="L171" s="10"/>
      <c r="M171" s="10"/>
      <c r="N171" s="10"/>
      <c r="O171" s="10"/>
      <c r="P171" s="4"/>
      <c r="Q171" s="1204"/>
      <c r="R171" s="101" t="str">
        <f t="shared" si="45"/>
        <v/>
      </c>
      <c r="S171" s="137">
        <f t="shared" si="48"/>
        <v>79</v>
      </c>
      <c r="T171" s="2130">
        <f>((T$172-T$167)/5)+T170</f>
        <v>0.77400000000000002</v>
      </c>
      <c r="U171" s="2130"/>
      <c r="V171" s="2130"/>
      <c r="W171" s="2130"/>
      <c r="X171" s="2130"/>
      <c r="Y171" s="2130"/>
      <c r="Z171" s="2130"/>
      <c r="AA171" s="2130"/>
      <c r="AB171" s="2130"/>
      <c r="AC171" s="2130"/>
      <c r="AD171" s="101"/>
      <c r="AE171" s="6"/>
      <c r="AF171" s="143"/>
      <c r="AG171" s="41">
        <f t="shared" si="44"/>
        <v>0</v>
      </c>
      <c r="AH171" s="41">
        <f>IF(ISERROR(HLOOKUP(AH$91,'Improved Sales Adjustments 1'!$G$7:$WV$147,68,FALSE)),0,IF(HLOOKUP(AH$91,'Improved Sales Adjustments 1'!$G$7:$WV$147,68,FALSE)="",0,IF($S171=HLOOKUP(AH$91,'Improved Sales Adjustments 1'!$G$7:$WV$147,68,FALSE),1,0)))</f>
        <v>0</v>
      </c>
      <c r="AI171" s="41">
        <f>IF(ISERROR(HLOOKUP(AI$91,'Improved Sales Adjustments 1'!$G$7:$WV$147,68,FALSE)),0,IF(HLOOKUP(AI$91,'Improved Sales Adjustments 1'!$G$7:$WV$147,68,FALSE)="",0,IF($S171=HLOOKUP(AI$91,'Improved Sales Adjustments 1'!$G$7:$WV$147,68,FALSE),1,0)))</f>
        <v>0</v>
      </c>
      <c r="AJ171" s="41">
        <f>IF(ISERROR(HLOOKUP(AJ$91,'Improved Sales Adjustments 1'!$G$7:$WV$147,68,FALSE)),0,IF(HLOOKUP(AJ$91,'Improved Sales Adjustments 1'!$G$7:$WV$147,68,FALSE)="",0,IF($S171=HLOOKUP(AJ$91,'Improved Sales Adjustments 1'!$G$7:$WV$147,68,FALSE),1,0)))</f>
        <v>0</v>
      </c>
      <c r="AK171" s="41">
        <f>IF(ISERROR(HLOOKUP(AK$91,'Improved Sales Adjustments 1'!$G$7:$WV$147,68,FALSE)),0,IF(HLOOKUP(AK$91,'Improved Sales Adjustments 1'!$G$7:$WV$147,68,FALSE)="",0,IF($S171=HLOOKUP(AK$91,'Improved Sales Adjustments 1'!$G$7:$WV$147,68,FALSE),1,0)))</f>
        <v>0</v>
      </c>
      <c r="AL171" s="41">
        <f>IF(ISERROR(HLOOKUP(AL$91,'Improved Sales Adjustments 1'!$G$7:$WV$147,68,FALSE)),0,IF(HLOOKUP(AL$91,'Improved Sales Adjustments 1'!$G$7:$WV$147,68,FALSE)="",0,IF($S171=HLOOKUP(AL$91,'Improved Sales Adjustments 1'!$G$7:$WV$147,68,FALSE),1,0)))</f>
        <v>0</v>
      </c>
      <c r="AM171" s="41">
        <f>IF(ISERROR(HLOOKUP(AM$91,'Improved Sales Adjustments 1'!$G$7:$WV$147,68,FALSE)),0,IF(HLOOKUP(AM$91,'Improved Sales Adjustments 1'!$G$7:$WV$147,68,FALSE)="",0,IF($S171=HLOOKUP(AM$91,'Improved Sales Adjustments 1'!$G$7:$WV$147,68,FALSE),1,0)))</f>
        <v>0</v>
      </c>
      <c r="AN171" s="41">
        <f>IF(ISERROR(HLOOKUP(AN$91,'Improved Sales Adjustments 1'!$G$7:$WV$147,68,FALSE)),0,IF(HLOOKUP(AN$91,'Improved Sales Adjustments 1'!$G$7:$WV$147,68,FALSE)="",0,IF($S171=HLOOKUP(AN$91,'Improved Sales Adjustments 1'!$G$7:$WV$147,68,FALSE),1,0)))</f>
        <v>0</v>
      </c>
      <c r="AO171" s="41">
        <f>IF(ISERROR(HLOOKUP(AO$91,'Improved Sales Adjustments 1'!$G$7:$WV$147,68,FALSE)),0,IF(HLOOKUP(AO$91,'Improved Sales Adjustments 1'!$G$7:$WV$147,68,FALSE)="",0,IF($S171=HLOOKUP(AO$91,'Improved Sales Adjustments 1'!$G$7:$WV$147,68,FALSE),1,0)))</f>
        <v>0</v>
      </c>
      <c r="AP171" s="41">
        <f>IF(ISERROR(HLOOKUP(AP$91,'Improved Sales Adjustments 1'!$G$7:$WV$147,68,FALSE)),0,IF(HLOOKUP(AP$91,'Improved Sales Adjustments 1'!$G$7:$WV$147,68,FALSE)="",0,IF($S171=HLOOKUP(AP$91,'Improved Sales Adjustments 1'!$G$7:$WV$147,68,FALSE),1,0)))</f>
        <v>0</v>
      </c>
      <c r="AQ171" s="41">
        <f>IF(ISERROR(HLOOKUP(AQ$91,'Improved Sales Adjustments 1'!$G$7:$WV$147,68,FALSE)),0,IF(HLOOKUP(AQ$91,'Improved Sales Adjustments 1'!$G$7:$WV$147,68,FALSE)="",0,IF($S171=HLOOKUP(AQ$91,'Improved Sales Adjustments 1'!$G$7:$WV$147,68,FALSE),1,0)))</f>
        <v>0</v>
      </c>
      <c r="AR171" s="41">
        <f>SUM($AG171:AG171)</f>
        <v>0</v>
      </c>
      <c r="AS171" s="41">
        <f>SUM($AG171:AH171)</f>
        <v>0</v>
      </c>
      <c r="AT171" s="41">
        <f>SUM($AG171:AI171)</f>
        <v>0</v>
      </c>
      <c r="AU171" s="41">
        <f>SUM($AG171:AJ171)</f>
        <v>0</v>
      </c>
      <c r="AV171" s="41">
        <f>SUM($AG171:AK171)</f>
        <v>0</v>
      </c>
      <c r="AW171" s="41">
        <f>SUM($AG171:AL171)</f>
        <v>0</v>
      </c>
      <c r="AX171" s="41">
        <f>SUM($AG171:AM171)</f>
        <v>0</v>
      </c>
      <c r="AY171" s="41">
        <f>SUM($AG171:AN171)</f>
        <v>0</v>
      </c>
      <c r="AZ171" s="41">
        <f>SUM($AG171:AO171)</f>
        <v>0</v>
      </c>
      <c r="BA171" s="41">
        <f>SUM($AG171:AP171)</f>
        <v>0</v>
      </c>
      <c r="BB171" s="41">
        <f>SUM($AG171:AQ171)</f>
        <v>0</v>
      </c>
      <c r="BC171" s="96" t="str">
        <f t="shared" si="49"/>
        <v/>
      </c>
      <c r="BD171" s="96" t="str">
        <f t="shared" si="49"/>
        <v/>
      </c>
      <c r="BE171" s="96" t="str">
        <f t="shared" si="49"/>
        <v/>
      </c>
      <c r="BF171" s="96" t="str">
        <f t="shared" si="47"/>
        <v/>
      </c>
      <c r="BG171" s="96" t="str">
        <f t="shared" si="47"/>
        <v/>
      </c>
      <c r="BH171" s="96" t="str">
        <f t="shared" si="47"/>
        <v/>
      </c>
      <c r="BI171" s="96" t="str">
        <f t="shared" si="47"/>
        <v/>
      </c>
      <c r="BJ171" s="96" t="str">
        <f t="shared" si="47"/>
        <v/>
      </c>
      <c r="BK171" s="96" t="str">
        <f t="shared" si="47"/>
        <v/>
      </c>
      <c r="BL171" s="96" t="str">
        <f t="shared" si="37"/>
        <v/>
      </c>
      <c r="BM171" s="96" t="str">
        <f t="shared" si="37"/>
        <v/>
      </c>
    </row>
    <row r="172" spans="1:65" ht="15" customHeight="1" thickBot="1" x14ac:dyDescent="0.3">
      <c r="A172" s="957">
        <f t="shared" si="43"/>
        <v>0</v>
      </c>
      <c r="B172" s="10"/>
      <c r="C172" s="10"/>
      <c r="D172" s="13"/>
      <c r="E172" s="10"/>
      <c r="F172" s="10"/>
      <c r="G172" s="10"/>
      <c r="H172" s="10"/>
      <c r="I172" s="10"/>
      <c r="J172" s="10"/>
      <c r="K172" s="10"/>
      <c r="L172" s="10"/>
      <c r="M172" s="10"/>
      <c r="N172" s="10"/>
      <c r="O172" s="10"/>
      <c r="P172" s="4"/>
      <c r="Q172" s="1204"/>
      <c r="R172" s="101" t="str">
        <f t="shared" si="45"/>
        <v/>
      </c>
      <c r="S172" s="137">
        <f t="shared" si="48"/>
        <v>80</v>
      </c>
      <c r="T172" s="2129">
        <v>0.78</v>
      </c>
      <c r="U172" s="2130"/>
      <c r="V172" s="2130"/>
      <c r="W172" s="2130"/>
      <c r="X172" s="2130"/>
      <c r="Y172" s="2130"/>
      <c r="Z172" s="2130"/>
      <c r="AA172" s="2130"/>
      <c r="AB172" s="2130"/>
      <c r="AC172" s="2130"/>
      <c r="AD172" s="101"/>
      <c r="AE172" s="6"/>
      <c r="AF172" s="143"/>
      <c r="AG172" s="41">
        <f t="shared" si="44"/>
        <v>0</v>
      </c>
      <c r="AH172" s="41">
        <f>IF(ISERROR(HLOOKUP(AH$91,'Improved Sales Adjustments 1'!$G$7:$WV$147,68,FALSE)),0,IF(HLOOKUP(AH$91,'Improved Sales Adjustments 1'!$G$7:$WV$147,68,FALSE)="",0,IF($S172=HLOOKUP(AH$91,'Improved Sales Adjustments 1'!$G$7:$WV$147,68,FALSE),1,0)))</f>
        <v>0</v>
      </c>
      <c r="AI172" s="41">
        <f>IF(ISERROR(HLOOKUP(AI$91,'Improved Sales Adjustments 1'!$G$7:$WV$147,68,FALSE)),0,IF(HLOOKUP(AI$91,'Improved Sales Adjustments 1'!$G$7:$WV$147,68,FALSE)="",0,IF($S172=HLOOKUP(AI$91,'Improved Sales Adjustments 1'!$G$7:$WV$147,68,FALSE),1,0)))</f>
        <v>0</v>
      </c>
      <c r="AJ172" s="41">
        <f>IF(ISERROR(HLOOKUP(AJ$91,'Improved Sales Adjustments 1'!$G$7:$WV$147,68,FALSE)),0,IF(HLOOKUP(AJ$91,'Improved Sales Adjustments 1'!$G$7:$WV$147,68,FALSE)="",0,IF($S172=HLOOKUP(AJ$91,'Improved Sales Adjustments 1'!$G$7:$WV$147,68,FALSE),1,0)))</f>
        <v>0</v>
      </c>
      <c r="AK172" s="41">
        <f>IF(ISERROR(HLOOKUP(AK$91,'Improved Sales Adjustments 1'!$G$7:$WV$147,68,FALSE)),0,IF(HLOOKUP(AK$91,'Improved Sales Adjustments 1'!$G$7:$WV$147,68,FALSE)="",0,IF($S172=HLOOKUP(AK$91,'Improved Sales Adjustments 1'!$G$7:$WV$147,68,FALSE),1,0)))</f>
        <v>0</v>
      </c>
      <c r="AL172" s="41">
        <f>IF(ISERROR(HLOOKUP(AL$91,'Improved Sales Adjustments 1'!$G$7:$WV$147,68,FALSE)),0,IF(HLOOKUP(AL$91,'Improved Sales Adjustments 1'!$G$7:$WV$147,68,FALSE)="",0,IF($S172=HLOOKUP(AL$91,'Improved Sales Adjustments 1'!$G$7:$WV$147,68,FALSE),1,0)))</f>
        <v>0</v>
      </c>
      <c r="AM172" s="41">
        <f>IF(ISERROR(HLOOKUP(AM$91,'Improved Sales Adjustments 1'!$G$7:$WV$147,68,FALSE)),0,IF(HLOOKUP(AM$91,'Improved Sales Adjustments 1'!$G$7:$WV$147,68,FALSE)="",0,IF($S172=HLOOKUP(AM$91,'Improved Sales Adjustments 1'!$G$7:$WV$147,68,FALSE),1,0)))</f>
        <v>0</v>
      </c>
      <c r="AN172" s="41">
        <f>IF(ISERROR(HLOOKUP(AN$91,'Improved Sales Adjustments 1'!$G$7:$WV$147,68,FALSE)),0,IF(HLOOKUP(AN$91,'Improved Sales Adjustments 1'!$G$7:$WV$147,68,FALSE)="",0,IF($S172=HLOOKUP(AN$91,'Improved Sales Adjustments 1'!$G$7:$WV$147,68,FALSE),1,0)))</f>
        <v>0</v>
      </c>
      <c r="AO172" s="41">
        <f>IF(ISERROR(HLOOKUP(AO$91,'Improved Sales Adjustments 1'!$G$7:$WV$147,68,FALSE)),0,IF(HLOOKUP(AO$91,'Improved Sales Adjustments 1'!$G$7:$WV$147,68,FALSE)="",0,IF($S172=HLOOKUP(AO$91,'Improved Sales Adjustments 1'!$G$7:$WV$147,68,FALSE),1,0)))</f>
        <v>0</v>
      </c>
      <c r="AP172" s="41">
        <f>IF(ISERROR(HLOOKUP(AP$91,'Improved Sales Adjustments 1'!$G$7:$WV$147,68,FALSE)),0,IF(HLOOKUP(AP$91,'Improved Sales Adjustments 1'!$G$7:$WV$147,68,FALSE)="",0,IF($S172=HLOOKUP(AP$91,'Improved Sales Adjustments 1'!$G$7:$WV$147,68,FALSE),1,0)))</f>
        <v>0</v>
      </c>
      <c r="AQ172" s="41">
        <f>IF(ISERROR(HLOOKUP(AQ$91,'Improved Sales Adjustments 1'!$G$7:$WV$147,68,FALSE)),0,IF(HLOOKUP(AQ$91,'Improved Sales Adjustments 1'!$G$7:$WV$147,68,FALSE)="",0,IF($S172=HLOOKUP(AQ$91,'Improved Sales Adjustments 1'!$G$7:$WV$147,68,FALSE),1,0)))</f>
        <v>0</v>
      </c>
      <c r="AR172" s="41">
        <f>SUM($AG172:AG172)</f>
        <v>0</v>
      </c>
      <c r="AS172" s="41">
        <f>SUM($AG172:AH172)</f>
        <v>0</v>
      </c>
      <c r="AT172" s="41">
        <f>SUM($AG172:AI172)</f>
        <v>0</v>
      </c>
      <c r="AU172" s="41">
        <f>SUM($AG172:AJ172)</f>
        <v>0</v>
      </c>
      <c r="AV172" s="41">
        <f>SUM($AG172:AK172)</f>
        <v>0</v>
      </c>
      <c r="AW172" s="41">
        <f>SUM($AG172:AL172)</f>
        <v>0</v>
      </c>
      <c r="AX172" s="41">
        <f>SUM($AG172:AM172)</f>
        <v>0</v>
      </c>
      <c r="AY172" s="41">
        <f>SUM($AG172:AN172)</f>
        <v>0</v>
      </c>
      <c r="AZ172" s="41">
        <f>SUM($AG172:AO172)</f>
        <v>0</v>
      </c>
      <c r="BA172" s="41">
        <f>SUM($AG172:AP172)</f>
        <v>0</v>
      </c>
      <c r="BB172" s="41">
        <f>SUM($AG172:AQ172)</f>
        <v>0</v>
      </c>
      <c r="BC172" s="96" t="str">
        <f t="shared" si="49"/>
        <v/>
      </c>
      <c r="BD172" s="96" t="str">
        <f t="shared" si="49"/>
        <v/>
      </c>
      <c r="BE172" s="96" t="str">
        <f t="shared" si="49"/>
        <v/>
      </c>
      <c r="BF172" s="96" t="str">
        <f t="shared" si="47"/>
        <v/>
      </c>
      <c r="BG172" s="96" t="str">
        <f t="shared" si="47"/>
        <v/>
      </c>
      <c r="BH172" s="96" t="str">
        <f t="shared" si="47"/>
        <v/>
      </c>
      <c r="BI172" s="96" t="str">
        <f t="shared" si="47"/>
        <v/>
      </c>
      <c r="BJ172" s="96" t="str">
        <f t="shared" si="47"/>
        <v/>
      </c>
      <c r="BK172" s="96" t="str">
        <f t="shared" si="47"/>
        <v/>
      </c>
      <c r="BL172" s="96" t="str">
        <f t="shared" si="37"/>
        <v/>
      </c>
      <c r="BM172" s="96" t="str">
        <f t="shared" si="37"/>
        <v/>
      </c>
    </row>
    <row r="173" spans="1:65" ht="15" customHeight="1" thickBot="1" x14ac:dyDescent="0.3">
      <c r="A173" s="32"/>
      <c r="B173" s="10"/>
      <c r="C173" s="10"/>
      <c r="D173" s="13"/>
      <c r="E173" s="10"/>
      <c r="F173" s="10"/>
      <c r="G173" s="10"/>
      <c r="H173" s="10"/>
      <c r="I173" s="10"/>
      <c r="J173" s="10"/>
      <c r="K173" s="10"/>
      <c r="L173" s="10"/>
      <c r="M173" s="10"/>
      <c r="N173" s="10"/>
      <c r="O173" s="10"/>
      <c r="P173" s="8"/>
      <c r="Q173" s="440"/>
      <c r="R173" s="4184" t="s">
        <v>1609</v>
      </c>
      <c r="S173" s="4184"/>
      <c r="T173" s="133"/>
      <c r="U173" s="133"/>
      <c r="V173" s="133"/>
      <c r="W173" s="133"/>
      <c r="X173" s="133"/>
      <c r="Y173" s="133"/>
      <c r="Z173" s="133"/>
      <c r="AA173" s="133"/>
      <c r="AB173" s="133"/>
      <c r="AC173" s="133"/>
      <c r="AD173" s="7"/>
      <c r="AE173" s="9"/>
      <c r="AF173" s="143"/>
      <c r="AG173" s="32"/>
      <c r="AH173" s="32"/>
      <c r="AI173" s="32"/>
      <c r="AJ173" s="32"/>
      <c r="AK173" s="32"/>
      <c r="AL173" s="32"/>
      <c r="AM173" s="32"/>
      <c r="AN173" s="32"/>
      <c r="AO173" s="32"/>
      <c r="AP173" s="32"/>
      <c r="AQ173" s="32"/>
      <c r="AR173" s="32"/>
      <c r="AS173" s="32"/>
      <c r="AT173" s="32"/>
      <c r="AU173" s="32"/>
      <c r="AV173" s="32"/>
      <c r="AW173" s="32"/>
      <c r="AX173" s="32"/>
      <c r="AY173" s="32"/>
      <c r="AZ173" s="32"/>
      <c r="BA173" s="32"/>
      <c r="BB173" s="32"/>
      <c r="BC173" s="32"/>
      <c r="BD173" s="32"/>
      <c r="BE173" s="32"/>
      <c r="BF173" s="32"/>
      <c r="BG173" s="32"/>
      <c r="BH173" s="32"/>
      <c r="BI173" s="32"/>
      <c r="BJ173" s="32"/>
      <c r="BK173" s="32"/>
      <c r="BL173" s="32"/>
      <c r="BM173" s="32"/>
    </row>
    <row r="174" spans="1:65" ht="15" customHeight="1" x14ac:dyDescent="0.25">
      <c r="A174" s="32"/>
      <c r="B174" s="10"/>
      <c r="C174" s="10"/>
      <c r="D174" s="13"/>
      <c r="E174" s="10"/>
      <c r="F174" s="10"/>
      <c r="G174" s="10"/>
      <c r="H174" s="10"/>
      <c r="I174" s="10"/>
      <c r="J174" s="10"/>
      <c r="K174" s="10"/>
      <c r="L174" s="10"/>
      <c r="M174" s="10"/>
      <c r="N174" s="10"/>
      <c r="O174" s="10"/>
      <c r="P174" s="10"/>
      <c r="Q174" s="11"/>
      <c r="R174" s="10"/>
      <c r="S174" s="10"/>
      <c r="T174" s="10"/>
      <c r="U174" s="10"/>
      <c r="V174" s="10"/>
      <c r="W174" s="10"/>
      <c r="X174" s="10"/>
      <c r="Y174" s="10"/>
      <c r="Z174" s="10"/>
      <c r="AA174" s="10"/>
      <c r="AB174" s="10"/>
      <c r="AC174" s="10"/>
      <c r="AD174" s="10"/>
      <c r="AE174" s="10"/>
      <c r="AF174" s="143"/>
      <c r="AG174" s="32"/>
      <c r="AH174" s="32"/>
      <c r="AI174" s="32"/>
      <c r="AJ174" s="32"/>
      <c r="AK174" s="32"/>
      <c r="AL174" s="32"/>
      <c r="AM174" s="32"/>
      <c r="AN174" s="32"/>
      <c r="AO174" s="32"/>
      <c r="AP174" s="32"/>
      <c r="AQ174" s="32"/>
      <c r="AR174" s="32"/>
      <c r="AS174" s="32"/>
      <c r="AT174" s="32"/>
      <c r="AU174" s="32"/>
      <c r="AV174" s="32"/>
      <c r="AW174" s="32"/>
      <c r="AX174" s="32"/>
      <c r="AY174" s="32"/>
      <c r="AZ174" s="32"/>
      <c r="BA174" s="32"/>
      <c r="BB174" s="32"/>
      <c r="BC174" s="32"/>
      <c r="BD174" s="32"/>
      <c r="BE174" s="32"/>
      <c r="BF174" s="32"/>
      <c r="BG174" s="32"/>
      <c r="BH174" s="32"/>
      <c r="BI174" s="32"/>
      <c r="BJ174" s="32"/>
      <c r="BK174" s="32"/>
      <c r="BL174" s="32"/>
      <c r="BM174" s="32"/>
    </row>
    <row r="175" spans="1:65" ht="15" customHeight="1" x14ac:dyDescent="0.25">
      <c r="A175" s="32"/>
      <c r="B175" s="10"/>
      <c r="C175" s="10"/>
      <c r="D175" s="13"/>
      <c r="E175" s="10"/>
      <c r="F175" s="10"/>
      <c r="G175" s="10"/>
      <c r="H175" s="10"/>
      <c r="I175" s="10"/>
      <c r="J175" s="10"/>
      <c r="K175" s="10"/>
      <c r="L175" s="10"/>
      <c r="M175" s="10"/>
      <c r="N175" s="10"/>
      <c r="O175" s="10"/>
      <c r="P175" s="10"/>
      <c r="Q175" s="11"/>
      <c r="R175" s="10"/>
      <c r="S175" s="10"/>
      <c r="T175" s="10"/>
      <c r="U175" s="10"/>
      <c r="V175" s="10"/>
      <c r="W175" s="10"/>
      <c r="X175" s="10"/>
      <c r="Y175" s="10"/>
      <c r="Z175" s="10"/>
      <c r="AA175" s="10"/>
      <c r="AB175" s="10"/>
      <c r="AC175" s="10"/>
      <c r="AD175" s="10"/>
      <c r="AE175" s="10"/>
      <c r="AF175" s="143"/>
      <c r="AG175" s="32"/>
      <c r="AH175" s="32"/>
      <c r="AI175" s="32"/>
      <c r="AJ175" s="32"/>
      <c r="AK175" s="32"/>
      <c r="AL175" s="32"/>
      <c r="AM175" s="32"/>
      <c r="AN175" s="32"/>
      <c r="AO175" s="32"/>
      <c r="AP175" s="32"/>
      <c r="AQ175" s="32"/>
      <c r="AR175" s="32"/>
      <c r="AS175" s="32"/>
      <c r="AT175" s="32"/>
      <c r="AU175" s="32"/>
      <c r="AV175" s="32"/>
      <c r="AW175" s="32"/>
      <c r="AX175" s="32"/>
      <c r="AY175" s="32"/>
      <c r="AZ175" s="32"/>
      <c r="BA175" s="32"/>
      <c r="BB175" s="32"/>
      <c r="BC175" s="32"/>
      <c r="BD175" s="32"/>
      <c r="BE175" s="32"/>
      <c r="BF175" s="32"/>
      <c r="BG175" s="32"/>
      <c r="BH175" s="32"/>
      <c r="BI175" s="32"/>
      <c r="BJ175" s="32"/>
      <c r="BK175" s="32"/>
      <c r="BL175" s="32"/>
      <c r="BM175" s="32"/>
    </row>
  </sheetData>
  <mergeCells count="1">
    <mergeCell ref="R173:S173"/>
  </mergeCells>
  <pageMargins left="0.7" right="0.7" top="0.75" bottom="0.75" header="0.3" footer="0.3"/>
  <drawing r:id="rId1"/>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6">
    <tabColor theme="7"/>
  </sheetPr>
  <dimension ref="A1:AO62"/>
  <sheetViews>
    <sheetView workbookViewId="0">
      <selection activeCell="AH57" sqref="AH57"/>
    </sheetView>
  </sheetViews>
  <sheetFormatPr defaultRowHeight="14.25" x14ac:dyDescent="0.25"/>
  <cols>
    <col min="1" max="1" width="5.7109375" customWidth="1"/>
    <col min="2" max="2" width="1.7109375" customWidth="1"/>
    <col min="3" max="3" width="0.85546875" customWidth="1"/>
    <col min="4" max="4" width="30.7109375" customWidth="1"/>
    <col min="5" max="5" width="1.7109375" customWidth="1"/>
    <col min="6" max="6" width="10.7109375" customWidth="1"/>
    <col min="7" max="7" width="2" customWidth="1"/>
    <col min="8" max="8" width="10.7109375" customWidth="1"/>
    <col min="9" max="9" width="2" customWidth="1"/>
    <col min="10" max="10" width="10.7109375" customWidth="1"/>
    <col min="11" max="11" width="2" customWidth="1"/>
    <col min="12" max="12" width="10.7109375" customWidth="1"/>
    <col min="13" max="13" width="2" customWidth="1"/>
    <col min="14" max="14" width="10.7109375" customWidth="1"/>
    <col min="15" max="15" width="2" customWidth="1"/>
    <col min="16" max="16" width="10.7109375" customWidth="1"/>
    <col min="17" max="17" width="2" customWidth="1"/>
    <col min="18" max="18" width="10.7109375" customWidth="1"/>
    <col min="19" max="19" width="2" customWidth="1"/>
    <col min="20" max="20" width="9.140625" customWidth="1"/>
    <col min="21" max="21" width="2" customWidth="1"/>
    <col min="22" max="22" width="9.140625" customWidth="1"/>
    <col min="23" max="23" width="2" customWidth="1"/>
    <col min="24" max="24" width="9.140625" customWidth="1"/>
    <col min="25" max="25" width="2" customWidth="1"/>
    <col min="26" max="26" width="9.140625" customWidth="1"/>
    <col min="27" max="27" width="2" customWidth="1"/>
    <col min="28" max="28" width="9.140625" customWidth="1"/>
    <col min="29" max="29" width="2" customWidth="1"/>
    <col min="30" max="30" width="9.140625" customWidth="1"/>
    <col min="31" max="31" width="2" customWidth="1"/>
    <col min="32" max="32" width="9.140625" customWidth="1"/>
    <col min="33" max="33" width="2" customWidth="1"/>
    <col min="34" max="34" width="9.140625" customWidth="1"/>
    <col min="35" max="35" width="0.85546875" customWidth="1"/>
    <col min="36" max="36" width="1.7109375" customWidth="1"/>
    <col min="37" max="37" width="60.7109375" customWidth="1"/>
  </cols>
  <sheetData>
    <row r="1" spans="1:41" ht="60" customHeight="1" x14ac:dyDescent="0.25">
      <c r="A1" s="911"/>
      <c r="B1" s="911"/>
      <c r="C1" s="911"/>
      <c r="D1" s="911"/>
      <c r="E1" s="911"/>
      <c r="F1" s="1256"/>
      <c r="G1" s="1256"/>
      <c r="H1" s="1256"/>
      <c r="I1" s="1256"/>
      <c r="J1" s="1256"/>
      <c r="K1" s="1256"/>
      <c r="L1" s="1256"/>
      <c r="M1" s="1256"/>
      <c r="N1" s="1256"/>
      <c r="O1" s="1256"/>
      <c r="P1" s="1256"/>
      <c r="Q1" s="1256"/>
      <c r="R1" s="911"/>
      <c r="S1" s="911"/>
      <c r="T1" s="911"/>
      <c r="U1" s="911"/>
      <c r="V1" s="911"/>
      <c r="W1" s="911"/>
      <c r="X1" s="911"/>
      <c r="Y1" s="911"/>
      <c r="Z1" s="911"/>
      <c r="AA1" s="911"/>
      <c r="AB1" s="911"/>
      <c r="AC1" s="911"/>
      <c r="AD1" s="911"/>
      <c r="AE1" s="911"/>
      <c r="AF1" s="911"/>
      <c r="AG1" s="911"/>
      <c r="AH1" s="911"/>
      <c r="AI1" s="911"/>
      <c r="AJ1" s="911"/>
      <c r="AK1" s="911"/>
      <c r="AL1" s="911"/>
      <c r="AM1" s="911"/>
      <c r="AN1" s="911"/>
      <c r="AO1" s="911"/>
    </row>
    <row r="2" spans="1:41" ht="30" customHeight="1" thickBot="1" x14ac:dyDescent="0.35">
      <c r="A2" s="911"/>
      <c r="B2" s="911"/>
      <c r="C2" s="911"/>
      <c r="D2" s="17" t="s">
        <v>1335</v>
      </c>
      <c r="E2" s="911"/>
      <c r="F2" s="1256"/>
      <c r="G2" s="1256"/>
      <c r="H2" s="1256"/>
      <c r="I2" s="1256"/>
      <c r="J2" s="1256"/>
      <c r="K2" s="1256"/>
      <c r="L2" s="1256"/>
      <c r="M2" s="1256"/>
      <c r="N2" s="1256"/>
      <c r="O2" s="1256"/>
      <c r="P2" s="1256"/>
      <c r="Q2" s="1256"/>
      <c r="R2" s="911"/>
      <c r="S2" s="911"/>
      <c r="T2" s="911"/>
      <c r="U2" s="911"/>
      <c r="V2" s="911"/>
      <c r="W2" s="911"/>
      <c r="X2" s="911"/>
      <c r="Y2" s="911"/>
      <c r="Z2" s="911"/>
      <c r="AA2" s="911"/>
      <c r="AB2" s="911"/>
      <c r="AC2" s="911"/>
      <c r="AD2" s="911"/>
      <c r="AE2" s="911"/>
      <c r="AF2" s="911"/>
      <c r="AG2" s="911"/>
      <c r="AH2" s="911"/>
      <c r="AI2" s="911"/>
      <c r="AJ2" s="911"/>
      <c r="AK2" s="911"/>
      <c r="AL2" s="911"/>
      <c r="AM2" s="911"/>
      <c r="AN2" s="911"/>
      <c r="AO2" s="911"/>
    </row>
    <row r="3" spans="1:41" ht="15" customHeight="1" x14ac:dyDescent="0.25">
      <c r="A3" s="911"/>
      <c r="B3" s="1248"/>
      <c r="C3" s="1249"/>
      <c r="D3" s="1249"/>
      <c r="E3" s="1249"/>
      <c r="F3" s="1257"/>
      <c r="G3" s="1257"/>
      <c r="H3" s="1257"/>
      <c r="I3" s="1257"/>
      <c r="J3" s="1257"/>
      <c r="K3" s="1257"/>
      <c r="L3" s="1257"/>
      <c r="M3" s="1257"/>
      <c r="N3" s="1257"/>
      <c r="O3" s="1257"/>
      <c r="P3" s="1257"/>
      <c r="Q3" s="1257"/>
      <c r="R3" s="1249"/>
      <c r="S3" s="1249"/>
      <c r="T3" s="1249"/>
      <c r="U3" s="1249"/>
      <c r="V3" s="1249"/>
      <c r="W3" s="1249"/>
      <c r="X3" s="1249"/>
      <c r="Y3" s="1249"/>
      <c r="Z3" s="1249"/>
      <c r="AA3" s="1249"/>
      <c r="AB3" s="1249"/>
      <c r="AC3" s="1249"/>
      <c r="AD3" s="1249"/>
      <c r="AE3" s="1249"/>
      <c r="AF3" s="1249"/>
      <c r="AG3" s="1249"/>
      <c r="AH3" s="1249"/>
      <c r="AI3" s="1249"/>
      <c r="AJ3" s="1250"/>
      <c r="AK3" s="911"/>
      <c r="AL3" s="911"/>
      <c r="AM3" s="911"/>
      <c r="AN3" s="911"/>
      <c r="AO3" s="911"/>
    </row>
    <row r="4" spans="1:41" ht="15" customHeight="1" x14ac:dyDescent="0.3">
      <c r="A4" s="911"/>
      <c r="B4" s="1251"/>
      <c r="C4" s="5"/>
      <c r="D4" s="246" t="str">
        <f>CONCATENATE("Property Rights Conveyed - Market vs. Contract Rent Adjustment - ",dpSales_ComponentNameB1," Component")</f>
        <v>Property Rights Conveyed - Market vs. Contract Rent Adjustment -  Component</v>
      </c>
      <c r="E4" s="5"/>
      <c r="F4" s="5"/>
      <c r="G4" s="5"/>
      <c r="H4" s="5"/>
      <c r="I4" s="5"/>
      <c r="J4" s="5"/>
      <c r="K4" s="5"/>
      <c r="L4" s="5"/>
      <c r="M4" s="5"/>
      <c r="N4" s="5"/>
      <c r="O4" s="5"/>
      <c r="P4" s="1258"/>
      <c r="Q4" s="1258"/>
      <c r="R4" s="1080"/>
      <c r="S4" s="1080"/>
      <c r="T4" s="1080"/>
      <c r="U4" s="1080"/>
      <c r="V4" s="1080"/>
      <c r="W4" s="1080"/>
      <c r="X4" s="1080"/>
      <c r="Y4" s="1080"/>
      <c r="Z4" s="1080"/>
      <c r="AA4" s="1080"/>
      <c r="AB4" s="1080"/>
      <c r="AC4" s="1080"/>
      <c r="AD4" s="1080"/>
      <c r="AE4" s="1080"/>
      <c r="AF4" s="1080"/>
      <c r="AG4" s="1080"/>
      <c r="AH4" s="1080"/>
      <c r="AI4" s="1080"/>
      <c r="AJ4" s="1252"/>
      <c r="AK4" s="911"/>
      <c r="AL4" s="911"/>
      <c r="AM4" s="911"/>
      <c r="AN4" s="911"/>
      <c r="AO4" s="911"/>
    </row>
    <row r="5" spans="1:41" ht="17.100000000000001" customHeight="1" x14ac:dyDescent="0.25">
      <c r="A5" s="911"/>
      <c r="B5" s="1251"/>
      <c r="C5" s="150"/>
      <c r="D5" s="207" t="s">
        <v>232</v>
      </c>
      <c r="E5" s="150"/>
      <c r="F5" s="1269">
        <v>1</v>
      </c>
      <c r="G5" s="1269"/>
      <c r="H5" s="1269">
        <f>F5+1</f>
        <v>2</v>
      </c>
      <c r="I5" s="1269"/>
      <c r="J5" s="1269">
        <f>H5+1</f>
        <v>3</v>
      </c>
      <c r="K5" s="1269"/>
      <c r="L5" s="1269">
        <f>J5+1</f>
        <v>4</v>
      </c>
      <c r="M5" s="1269"/>
      <c r="N5" s="1269">
        <f>L5+1</f>
        <v>5</v>
      </c>
      <c r="O5" s="11"/>
      <c r="P5" s="1269">
        <f>N5+1</f>
        <v>6</v>
      </c>
      <c r="Q5" s="124"/>
      <c r="R5" s="1269">
        <f>P5+1</f>
        <v>7</v>
      </c>
      <c r="S5" s="11"/>
      <c r="T5" s="1269">
        <f>R5+1</f>
        <v>8</v>
      </c>
      <c r="U5" s="11"/>
      <c r="V5" s="1269">
        <f>T5+1</f>
        <v>9</v>
      </c>
      <c r="W5" s="11"/>
      <c r="X5" s="1269">
        <f>V5+1</f>
        <v>10</v>
      </c>
      <c r="Y5" s="11"/>
      <c r="Z5" s="1269">
        <f>X5+1</f>
        <v>11</v>
      </c>
      <c r="AA5" s="11"/>
      <c r="AB5" s="1269">
        <f>Z5+1</f>
        <v>12</v>
      </c>
      <c r="AC5" s="11"/>
      <c r="AD5" s="1269">
        <f>AB5+1</f>
        <v>13</v>
      </c>
      <c r="AE5" s="11"/>
      <c r="AF5" s="1269">
        <f>AD5+1</f>
        <v>14</v>
      </c>
      <c r="AG5" s="11"/>
      <c r="AH5" s="1269">
        <f>AF5+1</f>
        <v>15</v>
      </c>
      <c r="AI5" s="1269"/>
      <c r="AJ5" s="1252"/>
      <c r="AK5" s="911"/>
      <c r="AL5" s="911"/>
      <c r="AM5" s="911"/>
      <c r="AN5" s="911"/>
      <c r="AO5" s="911"/>
    </row>
    <row r="6" spans="1:41" ht="17.100000000000001" customHeight="1" x14ac:dyDescent="0.25">
      <c r="A6" s="911"/>
      <c r="B6" s="1251"/>
      <c r="C6" s="101"/>
      <c r="D6" s="1278" t="s">
        <v>1321</v>
      </c>
      <c r="E6" s="1278"/>
      <c r="F6" s="1273"/>
      <c r="G6" s="1272"/>
      <c r="H6" s="1274"/>
      <c r="I6" s="1272"/>
      <c r="J6" s="1273"/>
      <c r="K6" s="1272"/>
      <c r="L6" s="1273"/>
      <c r="M6" s="1272"/>
      <c r="N6" s="1273"/>
      <c r="O6" s="258"/>
      <c r="P6" s="1273"/>
      <c r="Q6" s="1275"/>
      <c r="R6" s="1273"/>
      <c r="S6" s="1272"/>
      <c r="T6" s="1273"/>
      <c r="U6" s="1272"/>
      <c r="V6" s="1273"/>
      <c r="W6" s="1272"/>
      <c r="X6" s="1273"/>
      <c r="Y6" s="1272"/>
      <c r="Z6" s="1273"/>
      <c r="AA6" s="1272"/>
      <c r="AB6" s="1273"/>
      <c r="AC6" s="1272"/>
      <c r="AD6" s="1273"/>
      <c r="AE6" s="1272"/>
      <c r="AF6" s="1273"/>
      <c r="AG6" s="1272"/>
      <c r="AH6" s="1273"/>
      <c r="AI6" s="1278"/>
      <c r="AJ6" s="1252"/>
      <c r="AK6" s="911"/>
      <c r="AL6" s="911"/>
      <c r="AM6" s="911"/>
      <c r="AN6" s="911"/>
      <c r="AO6" s="911"/>
    </row>
    <row r="7" spans="1:41" ht="17.100000000000001" customHeight="1" x14ac:dyDescent="0.25">
      <c r="A7" s="911"/>
      <c r="B7" s="1251"/>
      <c r="C7" s="101"/>
      <c r="D7" s="1278" t="s">
        <v>1329</v>
      </c>
      <c r="E7" s="1705" t="s">
        <v>439</v>
      </c>
      <c r="F7" s="1706">
        <v>10</v>
      </c>
      <c r="G7" s="1705" t="s">
        <v>439</v>
      </c>
      <c r="H7" s="1706">
        <v>10</v>
      </c>
      <c r="I7" s="1705" t="s">
        <v>439</v>
      </c>
      <c r="J7" s="1706">
        <v>10</v>
      </c>
      <c r="K7" s="1705" t="s">
        <v>439</v>
      </c>
      <c r="L7" s="1706">
        <v>10</v>
      </c>
      <c r="M7" s="1705" t="s">
        <v>439</v>
      </c>
      <c r="N7" s="1706">
        <v>10</v>
      </c>
      <c r="O7" s="1705" t="s">
        <v>439</v>
      </c>
      <c r="P7" s="1706">
        <v>10</v>
      </c>
      <c r="Q7" s="1705" t="s">
        <v>439</v>
      </c>
      <c r="R7" s="1706">
        <v>10</v>
      </c>
      <c r="S7" s="1705" t="s">
        <v>439</v>
      </c>
      <c r="T7" s="1706">
        <v>10</v>
      </c>
      <c r="U7" s="1705" t="s">
        <v>439</v>
      </c>
      <c r="V7" s="1706">
        <v>10</v>
      </c>
      <c r="W7" s="1705" t="s">
        <v>439</v>
      </c>
      <c r="X7" s="1706">
        <v>10</v>
      </c>
      <c r="Y7" s="1705" t="s">
        <v>439</v>
      </c>
      <c r="Z7" s="1706">
        <v>10</v>
      </c>
      <c r="AA7" s="1705" t="s">
        <v>439</v>
      </c>
      <c r="AB7" s="1706">
        <v>10</v>
      </c>
      <c r="AC7" s="1705" t="s">
        <v>439</v>
      </c>
      <c r="AD7" s="1706">
        <v>10</v>
      </c>
      <c r="AE7" s="1705" t="s">
        <v>439</v>
      </c>
      <c r="AF7" s="1706">
        <v>10</v>
      </c>
      <c r="AG7" s="1705" t="s">
        <v>439</v>
      </c>
      <c r="AH7" s="1706">
        <v>10</v>
      </c>
      <c r="AI7" s="1278"/>
      <c r="AJ7" s="1252"/>
      <c r="AK7" s="911"/>
      <c r="AL7" s="911"/>
      <c r="AM7" s="911"/>
      <c r="AN7" s="911"/>
      <c r="AO7" s="911"/>
    </row>
    <row r="8" spans="1:41" ht="17.100000000000001" customHeight="1" x14ac:dyDescent="0.25">
      <c r="A8" s="911"/>
      <c r="B8" s="1251"/>
      <c r="C8" s="101"/>
      <c r="D8" s="1278" t="s">
        <v>1322</v>
      </c>
      <c r="E8" s="1704" t="s">
        <v>176</v>
      </c>
      <c r="F8" s="1707">
        <f>HLOOKUP(F$5,Sales_SummaryTableB1_Detailed,26,FALSE)</f>
        <v>0</v>
      </c>
      <c r="G8" s="1704" t="s">
        <v>176</v>
      </c>
      <c r="H8" s="1707">
        <f>HLOOKUP(H$5,Sales_SummaryTableB1_Detailed,26,FALSE)</f>
        <v>0</v>
      </c>
      <c r="I8" s="1704" t="s">
        <v>176</v>
      </c>
      <c r="J8" s="1707">
        <f>HLOOKUP(J$5,Sales_SummaryTableB1_Detailed,26,FALSE)</f>
        <v>0</v>
      </c>
      <c r="K8" s="1704" t="s">
        <v>176</v>
      </c>
      <c r="L8" s="1707">
        <f>HLOOKUP(L$5,Sales_SummaryTableB1_Detailed,26,FALSE)</f>
        <v>0</v>
      </c>
      <c r="M8" s="1704" t="s">
        <v>176</v>
      </c>
      <c r="N8" s="1707">
        <f>HLOOKUP(N$5,Sales_SummaryTableB1_Detailed,26,FALSE)</f>
        <v>0</v>
      </c>
      <c r="O8" s="1704" t="s">
        <v>176</v>
      </c>
      <c r="P8" s="1707">
        <f>HLOOKUP(P$5,Sales_SummaryTableB1_Detailed,26,FALSE)</f>
        <v>0</v>
      </c>
      <c r="Q8" s="1704" t="s">
        <v>176</v>
      </c>
      <c r="R8" s="1707" t="e">
        <f>HLOOKUP(R$5,Sales_SummaryTableB1_Detailed,26,FALSE)</f>
        <v>#N/A</v>
      </c>
      <c r="S8" s="1704" t="s">
        <v>176</v>
      </c>
      <c r="T8" s="1707" t="e">
        <f>HLOOKUP(T$5,Sales_SummaryTableB1_Detailed,26,FALSE)</f>
        <v>#N/A</v>
      </c>
      <c r="U8" s="1704" t="s">
        <v>176</v>
      </c>
      <c r="V8" s="1707" t="e">
        <f>HLOOKUP(V$5,Sales_SummaryTableB1_Detailed,26,FALSE)</f>
        <v>#N/A</v>
      </c>
      <c r="W8" s="1704" t="s">
        <v>176</v>
      </c>
      <c r="X8" s="1707" t="e">
        <f>HLOOKUP(X$5,Sales_SummaryTableB1_Detailed,26,FALSE)</f>
        <v>#N/A</v>
      </c>
      <c r="Y8" s="1704" t="s">
        <v>176</v>
      </c>
      <c r="Z8" s="1707" t="e">
        <f>HLOOKUP(Z$5,Sales_SummaryTableB1_Detailed,26,FALSE)</f>
        <v>#N/A</v>
      </c>
      <c r="AA8" s="1704" t="s">
        <v>176</v>
      </c>
      <c r="AB8" s="1707" t="e">
        <f>HLOOKUP(AB$5,Sales_SummaryTableB1_Detailed,26,FALSE)</f>
        <v>#N/A</v>
      </c>
      <c r="AC8" s="1704" t="s">
        <v>176</v>
      </c>
      <c r="AD8" s="1707" t="e">
        <f>HLOOKUP(AD$5,Sales_SummaryTableB1_Detailed,26,FALSE)</f>
        <v>#N/A</v>
      </c>
      <c r="AE8" s="1704" t="s">
        <v>176</v>
      </c>
      <c r="AF8" s="1707" t="e">
        <f>HLOOKUP(AF$5,Sales_SummaryTableB1_Detailed,26,FALSE)</f>
        <v>#N/A</v>
      </c>
      <c r="AG8" s="1704" t="s">
        <v>176</v>
      </c>
      <c r="AH8" s="1707" t="e">
        <f>HLOOKUP(AH$5,Sales_SummaryTableB1_Detailed,26,FALSE)</f>
        <v>#N/A</v>
      </c>
      <c r="AI8" s="1278"/>
      <c r="AJ8" s="1252"/>
      <c r="AK8" s="911"/>
      <c r="AL8" s="911"/>
      <c r="AM8" s="911"/>
      <c r="AN8" s="911"/>
      <c r="AO8" s="911"/>
    </row>
    <row r="9" spans="1:41" s="1763" customFormat="1" ht="17.100000000000001" customHeight="1" x14ac:dyDescent="0.25">
      <c r="A9" s="1761"/>
      <c r="B9" s="1759"/>
      <c r="C9" s="802"/>
      <c r="D9" s="482" t="s">
        <v>1323</v>
      </c>
      <c r="E9" s="802"/>
      <c r="F9" s="1724">
        <f>F6/F7*F8</f>
        <v>0</v>
      </c>
      <c r="G9" s="802"/>
      <c r="H9" s="1724">
        <f>H6/H7*H8</f>
        <v>0</v>
      </c>
      <c r="I9" s="802"/>
      <c r="J9" s="1724">
        <f>J6/J7*J8</f>
        <v>0</v>
      </c>
      <c r="K9" s="802"/>
      <c r="L9" s="1724">
        <f>L6/L7*L8</f>
        <v>0</v>
      </c>
      <c r="M9" s="802"/>
      <c r="N9" s="1724">
        <f>N6/N7*N8</f>
        <v>0</v>
      </c>
      <c r="O9" s="802"/>
      <c r="P9" s="1724">
        <f>P6/P7*P8</f>
        <v>0</v>
      </c>
      <c r="Q9" s="802"/>
      <c r="R9" s="1724" t="e">
        <f>R6/R7*R8</f>
        <v>#N/A</v>
      </c>
      <c r="S9" s="802"/>
      <c r="T9" s="1724" t="e">
        <f>T6/T7*T8</f>
        <v>#N/A</v>
      </c>
      <c r="U9" s="802"/>
      <c r="V9" s="1724" t="e">
        <f>V6/V7*V8</f>
        <v>#N/A</v>
      </c>
      <c r="W9" s="802"/>
      <c r="X9" s="1724" t="e">
        <f>X6/X7*X8</f>
        <v>#N/A</v>
      </c>
      <c r="Y9" s="802"/>
      <c r="Z9" s="1724" t="e">
        <f>Z6/Z7*Z8</f>
        <v>#N/A</v>
      </c>
      <c r="AA9" s="802"/>
      <c r="AB9" s="1724" t="e">
        <f>AB6/AB7*AB8</f>
        <v>#N/A</v>
      </c>
      <c r="AC9" s="802"/>
      <c r="AD9" s="1724" t="e">
        <f>AD6/AD7*AD8</f>
        <v>#N/A</v>
      </c>
      <c r="AE9" s="802"/>
      <c r="AF9" s="1724" t="e">
        <f>AF6/AF7*AF8</f>
        <v>#N/A</v>
      </c>
      <c r="AG9" s="802"/>
      <c r="AH9" s="1724" t="e">
        <f>AH6/AH7*AH8</f>
        <v>#N/A</v>
      </c>
      <c r="AI9" s="482"/>
      <c r="AJ9" s="1760"/>
      <c r="AK9" s="1761"/>
      <c r="AL9" s="1761"/>
      <c r="AM9" s="1761"/>
      <c r="AN9" s="1761"/>
      <c r="AO9" s="1761"/>
    </row>
    <row r="10" spans="1:41" ht="17.100000000000001" customHeight="1" x14ac:dyDescent="0.25">
      <c r="A10" s="911"/>
      <c r="B10" s="1251"/>
      <c r="C10" s="101"/>
      <c r="D10" s="102" t="s">
        <v>1324</v>
      </c>
      <c r="E10" s="138" t="s">
        <v>176</v>
      </c>
      <c r="F10" s="1708">
        <v>0.5</v>
      </c>
      <c r="G10" s="138" t="s">
        <v>176</v>
      </c>
      <c r="H10" s="1708">
        <v>0.5</v>
      </c>
      <c r="I10" s="138" t="s">
        <v>176</v>
      </c>
      <c r="J10" s="1708">
        <v>0.5</v>
      </c>
      <c r="K10" s="138" t="s">
        <v>176</v>
      </c>
      <c r="L10" s="1708">
        <v>0.5</v>
      </c>
      <c r="M10" s="138" t="s">
        <v>176</v>
      </c>
      <c r="N10" s="1708">
        <v>0.5</v>
      </c>
      <c r="O10" s="138" t="s">
        <v>176</v>
      </c>
      <c r="P10" s="1708">
        <v>0.5</v>
      </c>
      <c r="Q10" s="138" t="s">
        <v>176</v>
      </c>
      <c r="R10" s="1708">
        <v>0.5</v>
      </c>
      <c r="S10" s="138" t="s">
        <v>176</v>
      </c>
      <c r="T10" s="1708">
        <v>0.5</v>
      </c>
      <c r="U10" s="138" t="s">
        <v>176</v>
      </c>
      <c r="V10" s="1708">
        <v>0.5</v>
      </c>
      <c r="W10" s="138" t="s">
        <v>176</v>
      </c>
      <c r="X10" s="1708">
        <v>0.5</v>
      </c>
      <c r="Y10" s="138" t="s">
        <v>176</v>
      </c>
      <c r="Z10" s="1708">
        <v>0.5</v>
      </c>
      <c r="AA10" s="138" t="s">
        <v>176</v>
      </c>
      <c r="AB10" s="1708">
        <v>0.5</v>
      </c>
      <c r="AC10" s="138" t="s">
        <v>176</v>
      </c>
      <c r="AD10" s="1708">
        <v>0.5</v>
      </c>
      <c r="AE10" s="138" t="s">
        <v>176</v>
      </c>
      <c r="AF10" s="1708">
        <v>0.5</v>
      </c>
      <c r="AG10" s="138" t="s">
        <v>176</v>
      </c>
      <c r="AH10" s="1708">
        <v>0.5</v>
      </c>
      <c r="AI10" s="1278"/>
      <c r="AJ10" s="1252"/>
      <c r="AK10" s="4217" t="s">
        <v>1328</v>
      </c>
      <c r="AL10" s="911"/>
      <c r="AM10" s="911"/>
      <c r="AN10" s="911"/>
      <c r="AO10" s="911"/>
    </row>
    <row r="11" spans="1:41" s="1763" customFormat="1" ht="17.100000000000001" customHeight="1" x14ac:dyDescent="0.25">
      <c r="A11" s="1761"/>
      <c r="B11" s="1759"/>
      <c r="C11" s="802"/>
      <c r="D11" s="482" t="s">
        <v>1325</v>
      </c>
      <c r="E11" s="802"/>
      <c r="F11" s="1762">
        <f>F9*F10</f>
        <v>0</v>
      </c>
      <c r="G11" s="802"/>
      <c r="H11" s="1762">
        <f>H9*H10</f>
        <v>0</v>
      </c>
      <c r="I11" s="802"/>
      <c r="J11" s="1762">
        <f>J9*J10</f>
        <v>0</v>
      </c>
      <c r="K11" s="802"/>
      <c r="L11" s="1762">
        <f>L9*L10</f>
        <v>0</v>
      </c>
      <c r="M11" s="802"/>
      <c r="N11" s="1762">
        <f>N9*N10</f>
        <v>0</v>
      </c>
      <c r="O11" s="802"/>
      <c r="P11" s="1762">
        <f>P9*P10</f>
        <v>0</v>
      </c>
      <c r="Q11" s="802"/>
      <c r="R11" s="1762" t="e">
        <f>R9*R10</f>
        <v>#N/A</v>
      </c>
      <c r="S11" s="802"/>
      <c r="T11" s="1762" t="e">
        <f>T9*T10</f>
        <v>#N/A</v>
      </c>
      <c r="U11" s="802"/>
      <c r="V11" s="1762" t="e">
        <f>V9*V10</f>
        <v>#N/A</v>
      </c>
      <c r="W11" s="802"/>
      <c r="X11" s="1762" t="e">
        <f>X9*X10</f>
        <v>#N/A</v>
      </c>
      <c r="Y11" s="802"/>
      <c r="Z11" s="1762" t="e">
        <f>Z9*Z10</f>
        <v>#N/A</v>
      </c>
      <c r="AA11" s="802"/>
      <c r="AB11" s="1762" t="e">
        <f>AB9*AB10</f>
        <v>#N/A</v>
      </c>
      <c r="AC11" s="802"/>
      <c r="AD11" s="1762" t="e">
        <f>AD9*AD10</f>
        <v>#N/A</v>
      </c>
      <c r="AE11" s="802"/>
      <c r="AF11" s="1762" t="e">
        <f>AF9*AF10</f>
        <v>#N/A</v>
      </c>
      <c r="AG11" s="802"/>
      <c r="AH11" s="1762" t="e">
        <f>AH9*AH10</f>
        <v>#N/A</v>
      </c>
      <c r="AI11" s="482"/>
      <c r="AJ11" s="1760"/>
      <c r="AK11" s="4217"/>
      <c r="AL11" s="1761"/>
      <c r="AM11" s="1761"/>
      <c r="AN11" s="1761"/>
      <c r="AO11" s="1761"/>
    </row>
    <row r="12" spans="1:41" ht="17.100000000000001" customHeight="1" x14ac:dyDescent="0.25">
      <c r="A12" s="911"/>
      <c r="B12" s="1251"/>
      <c r="C12" s="101"/>
      <c r="D12" s="1278" t="s">
        <v>1326</v>
      </c>
      <c r="E12" s="1704" t="s">
        <v>176</v>
      </c>
      <c r="F12" s="1276"/>
      <c r="G12" s="1275" t="s">
        <v>176</v>
      </c>
      <c r="H12" s="1276"/>
      <c r="I12" s="1275" t="s">
        <v>176</v>
      </c>
      <c r="J12" s="1276"/>
      <c r="K12" s="1275" t="s">
        <v>176</v>
      </c>
      <c r="L12" s="1276"/>
      <c r="M12" s="1275" t="s">
        <v>176</v>
      </c>
      <c r="N12" s="1276"/>
      <c r="O12" s="1275" t="s">
        <v>176</v>
      </c>
      <c r="P12" s="1276"/>
      <c r="Q12" s="1275" t="s">
        <v>176</v>
      </c>
      <c r="R12" s="1276"/>
      <c r="S12" s="1275" t="s">
        <v>176</v>
      </c>
      <c r="T12" s="1276"/>
      <c r="U12" s="1275" t="s">
        <v>176</v>
      </c>
      <c r="V12" s="1276"/>
      <c r="W12" s="1275" t="s">
        <v>176</v>
      </c>
      <c r="X12" s="1276"/>
      <c r="Y12" s="1275" t="s">
        <v>176</v>
      </c>
      <c r="Z12" s="1276"/>
      <c r="AA12" s="1275" t="s">
        <v>176</v>
      </c>
      <c r="AB12" s="1276"/>
      <c r="AC12" s="1275" t="s">
        <v>176</v>
      </c>
      <c r="AD12" s="1276"/>
      <c r="AE12" s="1275" t="s">
        <v>176</v>
      </c>
      <c r="AF12" s="1276"/>
      <c r="AG12" s="1275" t="s">
        <v>176</v>
      </c>
      <c r="AH12" s="1276"/>
      <c r="AI12" s="1278"/>
      <c r="AJ12" s="1252"/>
      <c r="AK12" s="911"/>
      <c r="AL12" s="911"/>
      <c r="AM12" s="911"/>
      <c r="AN12" s="911"/>
      <c r="AO12" s="911"/>
    </row>
    <row r="13" spans="1:41" ht="17.100000000000001" customHeight="1" thickBot="1" x14ac:dyDescent="0.3">
      <c r="A13" s="911"/>
      <c r="B13" s="1251"/>
      <c r="C13" s="101"/>
      <c r="D13" s="1188" t="s">
        <v>1332</v>
      </c>
      <c r="E13" s="1214"/>
      <c r="F13" s="1709">
        <f>IF(ISERROR(-F11*F12),"",-F11*F12)</f>
        <v>0</v>
      </c>
      <c r="G13" s="1214"/>
      <c r="H13" s="1709">
        <f>IF(ISERROR(-H11*H12),"",-H11*H12)</f>
        <v>0</v>
      </c>
      <c r="I13" s="1214"/>
      <c r="J13" s="1709">
        <f>IF(ISERROR(-J11*J12),"",-J11*J12)</f>
        <v>0</v>
      </c>
      <c r="K13" s="1214"/>
      <c r="L13" s="1709">
        <f>IF(ISERROR(-L11*L12),"",-L11*L12)</f>
        <v>0</v>
      </c>
      <c r="M13" s="1214"/>
      <c r="N13" s="1709">
        <f>IF(ISERROR(-N11*N12),"",-N11*N12)</f>
        <v>0</v>
      </c>
      <c r="O13" s="1188"/>
      <c r="P13" s="1709">
        <f>IF(ISERROR(-P11*P12),"",-P11*P12)</f>
        <v>0</v>
      </c>
      <c r="Q13" s="1710"/>
      <c r="R13" s="1709" t="str">
        <f>IF(ISERROR(-R11*R12),"",-R11*R12)</f>
        <v/>
      </c>
      <c r="S13" s="1188"/>
      <c r="T13" s="1709" t="str">
        <f>IF(ISERROR(-T11*T12),"",-T11*T12)</f>
        <v/>
      </c>
      <c r="U13" s="1188"/>
      <c r="V13" s="1709" t="str">
        <f>IF(ISERROR(-V11*V12),"",-V11*V12)</f>
        <v/>
      </c>
      <c r="W13" s="1188"/>
      <c r="X13" s="1709" t="str">
        <f>IF(ISERROR(-X11*X12),"",-X11*X12)</f>
        <v/>
      </c>
      <c r="Y13" s="1188"/>
      <c r="Z13" s="1709" t="str">
        <f>IF(ISERROR(-Z11*Z12),"",-Z11*Z12)</f>
        <v/>
      </c>
      <c r="AA13" s="1188"/>
      <c r="AB13" s="1709" t="str">
        <f>IF(ISERROR(-AB11*AB12),"",-AB11*AB12)</f>
        <v/>
      </c>
      <c r="AC13" s="1188"/>
      <c r="AD13" s="1709" t="str">
        <f>IF(ISERROR(-AD11*AD12),"",-AD11*AD12)</f>
        <v/>
      </c>
      <c r="AE13" s="1188"/>
      <c r="AF13" s="1709" t="str">
        <f>IF(ISERROR(-AF11*AF12),"",-AF11*AF12)</f>
        <v/>
      </c>
      <c r="AG13" s="1188"/>
      <c r="AH13" s="1709" t="str">
        <f>IF(ISERROR(-AH11*AH12),"",-AH11*AH12)</f>
        <v/>
      </c>
      <c r="AI13" s="1278"/>
      <c r="AJ13" s="1252"/>
      <c r="AK13" s="911"/>
      <c r="AL13" s="911"/>
      <c r="AM13" s="911"/>
      <c r="AN13" s="911"/>
      <c r="AO13" s="911"/>
    </row>
    <row r="14" spans="1:41" ht="15.95" customHeight="1" thickBot="1" x14ac:dyDescent="0.3">
      <c r="A14" s="911"/>
      <c r="B14" s="1253"/>
      <c r="C14" s="1254"/>
      <c r="D14" s="741" t="s">
        <v>1615</v>
      </c>
      <c r="E14" s="1270"/>
      <c r="F14" s="1271"/>
      <c r="G14" s="1271"/>
      <c r="H14" s="1271"/>
      <c r="I14" s="1271"/>
      <c r="J14" s="1271"/>
      <c r="K14" s="1271"/>
      <c r="L14" s="1271"/>
      <c r="M14" s="1271"/>
      <c r="N14" s="1271"/>
      <c r="O14" s="1271"/>
      <c r="P14" s="1271"/>
      <c r="Q14" s="1271"/>
      <c r="R14" s="1270"/>
      <c r="S14" s="1270"/>
      <c r="T14" s="1270"/>
      <c r="U14" s="1270"/>
      <c r="V14" s="1270"/>
      <c r="W14" s="1270"/>
      <c r="X14" s="1270"/>
      <c r="Y14" s="1270"/>
      <c r="Z14" s="1270"/>
      <c r="AA14" s="1270"/>
      <c r="AB14" s="1270"/>
      <c r="AC14" s="1270"/>
      <c r="AD14" s="1270"/>
      <c r="AE14" s="1270"/>
      <c r="AF14" s="1270"/>
      <c r="AG14" s="1270"/>
      <c r="AH14" s="1270"/>
      <c r="AI14" s="1254"/>
      <c r="AJ14" s="1255"/>
      <c r="AK14" s="911"/>
      <c r="AL14" s="911"/>
      <c r="AM14" s="911"/>
      <c r="AN14" s="911"/>
      <c r="AO14" s="911"/>
    </row>
    <row r="15" spans="1:41" ht="15" customHeight="1" x14ac:dyDescent="0.25">
      <c r="A15" s="911"/>
      <c r="B15" s="911"/>
      <c r="C15" s="911"/>
      <c r="D15" s="911"/>
      <c r="E15" s="911"/>
      <c r="F15" s="1256"/>
      <c r="G15" s="1256"/>
      <c r="H15" s="1256"/>
      <c r="I15" s="1256"/>
      <c r="J15" s="1256"/>
      <c r="K15" s="1256"/>
      <c r="L15" s="1256"/>
      <c r="M15" s="1256"/>
      <c r="N15" s="1256"/>
      <c r="O15" s="1256"/>
      <c r="P15" s="1256"/>
      <c r="Q15" s="1256"/>
      <c r="R15" s="911"/>
      <c r="S15" s="911"/>
      <c r="T15" s="911"/>
      <c r="U15" s="911"/>
      <c r="V15" s="911"/>
      <c r="W15" s="911"/>
      <c r="X15" s="911"/>
      <c r="Y15" s="911"/>
      <c r="Z15" s="911"/>
      <c r="AA15" s="911"/>
      <c r="AB15" s="911"/>
      <c r="AC15" s="911"/>
      <c r="AD15" s="911"/>
      <c r="AE15" s="911"/>
      <c r="AF15" s="911"/>
      <c r="AG15" s="911"/>
      <c r="AH15" s="911"/>
      <c r="AI15" s="911"/>
      <c r="AJ15" s="911"/>
      <c r="AK15" s="911"/>
      <c r="AL15" s="911"/>
      <c r="AM15" s="911"/>
      <c r="AN15" s="911"/>
      <c r="AO15" s="911"/>
    </row>
    <row r="16" spans="1:41" ht="17.25" customHeight="1" thickBot="1" x14ac:dyDescent="0.35">
      <c r="A16" s="911"/>
      <c r="B16" s="911"/>
      <c r="C16" s="911"/>
      <c r="D16" s="17" t="s">
        <v>1334</v>
      </c>
      <c r="E16" s="17"/>
      <c r="F16" s="1256"/>
      <c r="G16" s="1256"/>
      <c r="H16" s="1256"/>
      <c r="I16" s="1256"/>
      <c r="J16" s="1256"/>
      <c r="K16" s="1256"/>
      <c r="L16" s="1256"/>
      <c r="M16" s="1256"/>
      <c r="N16" s="1256"/>
      <c r="O16" s="1256"/>
      <c r="P16" s="1256"/>
      <c r="Q16" s="1256"/>
      <c r="R16" s="911"/>
      <c r="S16" s="911"/>
      <c r="T16" s="911"/>
      <c r="U16" s="911"/>
      <c r="V16" s="911"/>
      <c r="W16" s="911"/>
      <c r="X16" s="911"/>
      <c r="Y16" s="911"/>
      <c r="Z16" s="911"/>
      <c r="AA16" s="911"/>
      <c r="AB16" s="911"/>
      <c r="AC16" s="911"/>
      <c r="AD16" s="911"/>
      <c r="AE16" s="911"/>
      <c r="AF16" s="911"/>
      <c r="AG16" s="911"/>
      <c r="AH16" s="911"/>
      <c r="AI16" s="911"/>
      <c r="AJ16" s="911"/>
      <c r="AK16" s="911"/>
      <c r="AL16" s="911"/>
      <c r="AM16" s="911"/>
      <c r="AN16" s="911"/>
      <c r="AO16" s="911"/>
    </row>
    <row r="17" spans="1:41" ht="14.25" customHeight="1" x14ac:dyDescent="0.25">
      <c r="A17" s="911"/>
      <c r="B17" s="1248"/>
      <c r="C17" s="1249"/>
      <c r="D17" s="1249"/>
      <c r="E17" s="1249"/>
      <c r="F17" s="1257"/>
      <c r="G17" s="1257"/>
      <c r="H17" s="1257"/>
      <c r="I17" s="1257"/>
      <c r="J17" s="1257"/>
      <c r="K17" s="1257"/>
      <c r="L17" s="1257"/>
      <c r="M17" s="1257"/>
      <c r="N17" s="1257"/>
      <c r="O17" s="1257"/>
      <c r="P17" s="1257"/>
      <c r="Q17" s="1257"/>
      <c r="R17" s="1249"/>
      <c r="S17" s="1249"/>
      <c r="T17" s="1249"/>
      <c r="U17" s="1249"/>
      <c r="V17" s="1249"/>
      <c r="W17" s="1249"/>
      <c r="X17" s="1249"/>
      <c r="Y17" s="1249"/>
      <c r="Z17" s="1249"/>
      <c r="AA17" s="1249"/>
      <c r="AB17" s="1249"/>
      <c r="AC17" s="1249"/>
      <c r="AD17" s="1249"/>
      <c r="AE17" s="1249"/>
      <c r="AF17" s="1249"/>
      <c r="AG17" s="1249"/>
      <c r="AH17" s="1249"/>
      <c r="AI17" s="1249"/>
      <c r="AJ17" s="1250"/>
      <c r="AK17" s="911"/>
      <c r="AL17" s="911"/>
      <c r="AM17" s="911"/>
      <c r="AN17" s="911"/>
      <c r="AO17" s="911"/>
    </row>
    <row r="18" spans="1:41" ht="16.5" customHeight="1" x14ac:dyDescent="0.3">
      <c r="A18" s="911"/>
      <c r="B18" s="1251"/>
      <c r="C18" s="1080"/>
      <c r="D18" s="246" t="str">
        <f>CONCATENATE("NOI Location Adjustment - ",dpSales_ComponentNameB1," Component")</f>
        <v>NOI Location Adjustment -  Component</v>
      </c>
      <c r="E18" s="246"/>
      <c r="F18" s="1258"/>
      <c r="G18" s="1258"/>
      <c r="H18" s="1258"/>
      <c r="I18" s="1258"/>
      <c r="J18" s="1258"/>
      <c r="K18" s="1258"/>
      <c r="L18" s="1258"/>
      <c r="M18" s="1258"/>
      <c r="N18" s="1258"/>
      <c r="O18" s="1258"/>
      <c r="P18" s="1258"/>
      <c r="Q18" s="1258"/>
      <c r="R18" s="1080"/>
      <c r="S18" s="1080"/>
      <c r="T18" s="1080"/>
      <c r="U18" s="1080"/>
      <c r="V18" s="1080"/>
      <c r="W18" s="1080"/>
      <c r="X18" s="1080"/>
      <c r="Y18" s="1080"/>
      <c r="Z18" s="1080"/>
      <c r="AA18" s="1080"/>
      <c r="AB18" s="1080"/>
      <c r="AC18" s="1080"/>
      <c r="AD18" s="1080"/>
      <c r="AE18" s="1080"/>
      <c r="AF18" s="1080"/>
      <c r="AG18" s="1080"/>
      <c r="AH18" s="1080"/>
      <c r="AI18" s="1080"/>
      <c r="AJ18" s="1252"/>
      <c r="AK18" s="911"/>
      <c r="AL18" s="911"/>
      <c r="AM18" s="911"/>
      <c r="AN18" s="911"/>
      <c r="AO18" s="911"/>
    </row>
    <row r="19" spans="1:41" ht="17.100000000000001" customHeight="1" x14ac:dyDescent="0.25">
      <c r="A19" s="911"/>
      <c r="B19" s="1251"/>
      <c r="C19" s="911"/>
      <c r="D19" s="12" t="s">
        <v>1100</v>
      </c>
      <c r="E19" s="12"/>
      <c r="F19" s="1269">
        <v>1</v>
      </c>
      <c r="G19" s="1269"/>
      <c r="H19" s="1269">
        <f>F19+1</f>
        <v>2</v>
      </c>
      <c r="I19" s="1269"/>
      <c r="J19" s="1269">
        <f>H19+1</f>
        <v>3</v>
      </c>
      <c r="K19" s="1269"/>
      <c r="L19" s="1269">
        <f>J19+1</f>
        <v>4</v>
      </c>
      <c r="M19" s="1269"/>
      <c r="N19" s="1269">
        <f>L19+1</f>
        <v>5</v>
      </c>
      <c r="O19" s="11"/>
      <c r="P19" s="1269">
        <f>N19+1</f>
        <v>6</v>
      </c>
      <c r="Q19" s="124"/>
      <c r="R19" s="1269">
        <f>P19+1</f>
        <v>7</v>
      </c>
      <c r="S19" s="11"/>
      <c r="T19" s="1269">
        <f>R19+1</f>
        <v>8</v>
      </c>
      <c r="U19" s="11"/>
      <c r="V19" s="1269">
        <f>T19+1</f>
        <v>9</v>
      </c>
      <c r="W19" s="11"/>
      <c r="X19" s="1269">
        <f>V19+1</f>
        <v>10</v>
      </c>
      <c r="Y19" s="11"/>
      <c r="Z19" s="1269">
        <f>X19+1</f>
        <v>11</v>
      </c>
      <c r="AA19" s="11"/>
      <c r="AB19" s="1269">
        <f>Z19+1</f>
        <v>12</v>
      </c>
      <c r="AC19" s="11"/>
      <c r="AD19" s="1269">
        <f>AB19+1</f>
        <v>13</v>
      </c>
      <c r="AE19" s="11"/>
      <c r="AF19" s="1269">
        <f>AD19+1</f>
        <v>14</v>
      </c>
      <c r="AG19" s="11"/>
      <c r="AH19" s="1269">
        <f>AF19+1</f>
        <v>15</v>
      </c>
      <c r="AI19" s="911"/>
      <c r="AJ19" s="1252"/>
      <c r="AK19" s="911"/>
      <c r="AL19" s="911"/>
      <c r="AM19" s="911"/>
      <c r="AN19" s="911"/>
      <c r="AO19" s="911"/>
    </row>
    <row r="20" spans="1:41" ht="17.100000000000001" customHeight="1" x14ac:dyDescent="0.25">
      <c r="A20" s="911"/>
      <c r="B20" s="1251"/>
      <c r="C20" s="1278"/>
      <c r="D20" s="1278" t="s">
        <v>1311</v>
      </c>
      <c r="E20" s="1278"/>
      <c r="F20" s="1361">
        <f ca="1">_xlfn.SINGLE(Income_DirectCap_NOI_PSF)</f>
        <v>0.65</v>
      </c>
      <c r="G20" s="1361"/>
      <c r="H20" s="1361">
        <f ca="1">_xlfn.SINGLE(Income_DirectCap_NOI_PSF)</f>
        <v>0.65</v>
      </c>
      <c r="I20" s="1361"/>
      <c r="J20" s="1361">
        <f ca="1">_xlfn.SINGLE(Income_DirectCap_NOI_PSF)</f>
        <v>0.65</v>
      </c>
      <c r="K20" s="1361"/>
      <c r="L20" s="1361">
        <f ca="1">_xlfn.SINGLE(Income_DirectCap_NOI_PSF)</f>
        <v>0.65</v>
      </c>
      <c r="M20" s="1361"/>
      <c r="N20" s="1361">
        <f ca="1">_xlfn.SINGLE(Income_DirectCap_NOI_PSF)</f>
        <v>0.65</v>
      </c>
      <c r="O20" s="1361"/>
      <c r="P20" s="1361">
        <f ca="1">_xlfn.SINGLE(Income_DirectCap_NOI_PSF)</f>
        <v>0.65</v>
      </c>
      <c r="Q20" s="1361"/>
      <c r="R20" s="1361">
        <f ca="1">_xlfn.SINGLE(Income_DirectCap_NOI_PSF)</f>
        <v>0.65</v>
      </c>
      <c r="S20" s="1711"/>
      <c r="T20" s="1361">
        <f ca="1">_xlfn.SINGLE(Income_DirectCap_NOI_PSF)</f>
        <v>0.65</v>
      </c>
      <c r="U20" s="1711"/>
      <c r="V20" s="1361">
        <f ca="1">_xlfn.SINGLE(Income_DirectCap_NOI_PSF)</f>
        <v>0.65</v>
      </c>
      <c r="W20" s="1711"/>
      <c r="X20" s="1361">
        <f ca="1">_xlfn.SINGLE(Income_DirectCap_NOI_PSF)</f>
        <v>0.65</v>
      </c>
      <c r="Y20" s="1711"/>
      <c r="Z20" s="1361">
        <f ca="1">_xlfn.SINGLE(Income_DirectCap_NOI_PSF)</f>
        <v>0.65</v>
      </c>
      <c r="AA20" s="1711"/>
      <c r="AB20" s="1361">
        <f ca="1">_xlfn.SINGLE(Income_DirectCap_NOI_PSF)</f>
        <v>0.65</v>
      </c>
      <c r="AC20" s="1711"/>
      <c r="AD20" s="1361">
        <f ca="1">_xlfn.SINGLE(Income_DirectCap_NOI_PSF)</f>
        <v>0.65</v>
      </c>
      <c r="AE20" s="1711"/>
      <c r="AF20" s="1361">
        <f ca="1">_xlfn.SINGLE(Income_DirectCap_NOI_PSF)</f>
        <v>0.65</v>
      </c>
      <c r="AG20" s="1711"/>
      <c r="AH20" s="1361">
        <f ca="1">_xlfn.SINGLE(Income_DirectCap_NOI_PSF)</f>
        <v>0.65</v>
      </c>
      <c r="AI20" s="1278"/>
      <c r="AJ20" s="1252"/>
      <c r="AK20" s="911"/>
      <c r="AL20" s="911"/>
      <c r="AM20" s="911"/>
      <c r="AN20" s="911"/>
      <c r="AO20" s="911"/>
    </row>
    <row r="21" spans="1:41" ht="17.100000000000001" customHeight="1" x14ac:dyDescent="0.25">
      <c r="A21" s="911"/>
      <c r="B21" s="1251"/>
      <c r="C21" s="1278"/>
      <c r="D21" s="1278" t="s">
        <v>1310</v>
      </c>
      <c r="E21" s="1278"/>
      <c r="F21" s="1361">
        <f>HLOOKUP(F$5,Sales_SummaryTableB1_Detailed,44,FALSE)</f>
        <v>0</v>
      </c>
      <c r="G21" s="1361"/>
      <c r="H21" s="1361">
        <f>HLOOKUP(H$5,Sales_SummaryTableB1_Detailed,44,FALSE)</f>
        <v>0</v>
      </c>
      <c r="I21" s="1361"/>
      <c r="J21" s="1361">
        <f>HLOOKUP(J$5,Sales_SummaryTableB1_Detailed,44,FALSE)</f>
        <v>0</v>
      </c>
      <c r="K21" s="1361"/>
      <c r="L21" s="1361">
        <f>HLOOKUP(L$5,Sales_SummaryTableB1_Detailed,44,FALSE)</f>
        <v>0</v>
      </c>
      <c r="M21" s="1361"/>
      <c r="N21" s="1361">
        <f>HLOOKUP(N$5,Sales_SummaryTableB1_Detailed,44,FALSE)</f>
        <v>0</v>
      </c>
      <c r="O21" s="1361"/>
      <c r="P21" s="1361">
        <f>HLOOKUP(P$5,Sales_SummaryTableB1_Detailed,44,FALSE)</f>
        <v>0</v>
      </c>
      <c r="Q21" s="1361"/>
      <c r="R21" s="1361" t="e">
        <f>HLOOKUP(R$5,Sales_SummaryTableB1_Detailed,44,FALSE)</f>
        <v>#N/A</v>
      </c>
      <c r="S21" s="1711"/>
      <c r="T21" s="1361" t="e">
        <f>HLOOKUP(T$5,Sales_SummaryTableB1_Detailed,44,FALSE)</f>
        <v>#N/A</v>
      </c>
      <c r="U21" s="1711"/>
      <c r="V21" s="1361" t="e">
        <f>HLOOKUP(V$5,Sales_SummaryTableB1_Detailed,44,FALSE)</f>
        <v>#N/A</v>
      </c>
      <c r="W21" s="1711"/>
      <c r="X21" s="1361" t="e">
        <f>HLOOKUP(X$5,Sales_SummaryTableB1_Detailed,44,FALSE)</f>
        <v>#N/A</v>
      </c>
      <c r="Y21" s="1711"/>
      <c r="Z21" s="1361" t="e">
        <f>HLOOKUP(Z$5,Sales_SummaryTableB1_Detailed,44,FALSE)</f>
        <v>#N/A</v>
      </c>
      <c r="AA21" s="1711"/>
      <c r="AB21" s="1361" t="e">
        <f>HLOOKUP(AB$5,Sales_SummaryTableB1_Detailed,44,FALSE)</f>
        <v>#N/A</v>
      </c>
      <c r="AC21" s="1711"/>
      <c r="AD21" s="1361" t="e">
        <f>HLOOKUP(AD$5,Sales_SummaryTableB1_Detailed,44,FALSE)</f>
        <v>#N/A</v>
      </c>
      <c r="AE21" s="1711"/>
      <c r="AF21" s="1361" t="e">
        <f>HLOOKUP(AF$5,Sales_SummaryTableB1_Detailed,44,FALSE)</f>
        <v>#N/A</v>
      </c>
      <c r="AG21" s="1711"/>
      <c r="AH21" s="1361" t="e">
        <f>HLOOKUP(AH$5,Sales_SummaryTableB1_Detailed,44,FALSE)</f>
        <v>#N/A</v>
      </c>
      <c r="AI21" s="1278"/>
      <c r="AJ21" s="1252"/>
      <c r="AK21" s="911"/>
      <c r="AL21" s="911"/>
      <c r="AM21" s="911"/>
      <c r="AN21" s="911"/>
      <c r="AO21" s="911"/>
    </row>
    <row r="22" spans="1:41" ht="17.100000000000001" customHeight="1" x14ac:dyDescent="0.25">
      <c r="A22" s="41">
        <v>1</v>
      </c>
      <c r="B22" s="1251"/>
      <c r="C22" s="1278"/>
      <c r="D22" s="1278" t="s">
        <v>553</v>
      </c>
      <c r="E22" s="1278"/>
      <c r="F22" s="1712" t="e">
        <f ca="1">(F20-F21)/F21</f>
        <v>#DIV/0!</v>
      </c>
      <c r="G22" s="1704"/>
      <c r="H22" s="1712" t="e">
        <f ca="1">(H20-H21)/H21</f>
        <v>#DIV/0!</v>
      </c>
      <c r="I22" s="1704"/>
      <c r="J22" s="1712" t="e">
        <f ca="1">(J20-J21)/J21</f>
        <v>#DIV/0!</v>
      </c>
      <c r="K22" s="1704"/>
      <c r="L22" s="1712" t="e">
        <f ca="1">(L20-L21)/L21</f>
        <v>#DIV/0!</v>
      </c>
      <c r="M22" s="1704"/>
      <c r="N22" s="1712" t="e">
        <f ca="1">(N20-N21)/N21</f>
        <v>#DIV/0!</v>
      </c>
      <c r="O22" s="1704"/>
      <c r="P22" s="1712" t="e">
        <f ca="1">(P20-P21)/P21</f>
        <v>#DIV/0!</v>
      </c>
      <c r="Q22" s="1704"/>
      <c r="R22" s="1712" t="e">
        <f ca="1">(R20-R21)/R21</f>
        <v>#N/A</v>
      </c>
      <c r="S22" s="1278"/>
      <c r="T22" s="1712" t="e">
        <f ca="1">(T20-T21)/T21</f>
        <v>#N/A</v>
      </c>
      <c r="U22" s="1278"/>
      <c r="V22" s="1712" t="e">
        <f ca="1">(V20-V21)/V21</f>
        <v>#N/A</v>
      </c>
      <c r="W22" s="1278"/>
      <c r="X22" s="1712" t="e">
        <f ca="1">(X20-X21)/X21</f>
        <v>#N/A</v>
      </c>
      <c r="Y22" s="1278"/>
      <c r="Z22" s="1712" t="e">
        <f ca="1">(Z20-Z21)/Z21</f>
        <v>#N/A</v>
      </c>
      <c r="AA22" s="1278"/>
      <c r="AB22" s="1712" t="e">
        <f ca="1">(AB20-AB21)/AB21</f>
        <v>#N/A</v>
      </c>
      <c r="AC22" s="1278"/>
      <c r="AD22" s="1712" t="e">
        <f ca="1">(AD20-AD21)/AD21</f>
        <v>#N/A</v>
      </c>
      <c r="AE22" s="1278"/>
      <c r="AF22" s="1712" t="e">
        <f ca="1">(AF20-AF21)/AF21</f>
        <v>#N/A</v>
      </c>
      <c r="AG22" s="1278"/>
      <c r="AH22" s="1712" t="e">
        <f ca="1">(AH20-AH21)/AH21</f>
        <v>#N/A</v>
      </c>
      <c r="AI22" s="1278"/>
      <c r="AJ22" s="1252"/>
      <c r="AK22" s="911"/>
      <c r="AL22" s="911"/>
      <c r="AM22" s="911"/>
      <c r="AN22" s="911"/>
      <c r="AO22" s="911"/>
    </row>
    <row r="23" spans="1:41" ht="17.100000000000001" customHeight="1" x14ac:dyDescent="0.25">
      <c r="A23" s="41">
        <f>IF(AVERAGE(Sales_LocationNOI_VarianceAttributeLoc_1)=1,0,1)</f>
        <v>0</v>
      </c>
      <c r="B23" s="1251"/>
      <c r="C23" s="1278"/>
      <c r="D23" s="1278" t="s">
        <v>1312</v>
      </c>
      <c r="E23" s="1278"/>
      <c r="F23" s="1279">
        <v>1</v>
      </c>
      <c r="G23" s="1279"/>
      <c r="H23" s="1279">
        <v>1</v>
      </c>
      <c r="I23" s="1279"/>
      <c r="J23" s="1279">
        <v>1</v>
      </c>
      <c r="K23" s="1279"/>
      <c r="L23" s="1279">
        <v>1</v>
      </c>
      <c r="M23" s="1279"/>
      <c r="N23" s="1279">
        <v>1</v>
      </c>
      <c r="O23" s="1279"/>
      <c r="P23" s="1279">
        <v>1</v>
      </c>
      <c r="Q23" s="1279"/>
      <c r="R23" s="1279">
        <v>1</v>
      </c>
      <c r="S23" s="1280"/>
      <c r="T23" s="1279">
        <v>1</v>
      </c>
      <c r="U23" s="1280"/>
      <c r="V23" s="1279">
        <v>1</v>
      </c>
      <c r="W23" s="1280"/>
      <c r="X23" s="1279">
        <v>1</v>
      </c>
      <c r="Y23" s="1280"/>
      <c r="Z23" s="1279">
        <v>1</v>
      </c>
      <c r="AA23" s="1280"/>
      <c r="AB23" s="1279">
        <v>1</v>
      </c>
      <c r="AC23" s="1280"/>
      <c r="AD23" s="1279">
        <v>1</v>
      </c>
      <c r="AE23" s="1280"/>
      <c r="AF23" s="1279">
        <v>1</v>
      </c>
      <c r="AG23" s="1280"/>
      <c r="AH23" s="1279">
        <v>1</v>
      </c>
      <c r="AI23" s="1278"/>
      <c r="AJ23" s="1252"/>
      <c r="AK23" s="4218" t="s">
        <v>1361</v>
      </c>
      <c r="AL23" s="911"/>
      <c r="AM23" s="911"/>
      <c r="AN23" s="911"/>
      <c r="AO23" s="911"/>
    </row>
    <row r="24" spans="1:41" ht="17.100000000000001" customHeight="1" x14ac:dyDescent="0.25">
      <c r="A24" s="41">
        <f>A23</f>
        <v>0</v>
      </c>
      <c r="B24" s="1251"/>
      <c r="C24" s="1278"/>
      <c r="D24" s="1713" t="s">
        <v>1332</v>
      </c>
      <c r="E24" s="1713"/>
      <c r="F24" s="1714" t="e">
        <f ca="1">F22*F23</f>
        <v>#DIV/0!</v>
      </c>
      <c r="G24" s="1715"/>
      <c r="H24" s="1714" t="e">
        <f ca="1">H22*H23</f>
        <v>#DIV/0!</v>
      </c>
      <c r="I24" s="1715"/>
      <c r="J24" s="1714" t="e">
        <f ca="1">J22*J23</f>
        <v>#DIV/0!</v>
      </c>
      <c r="K24" s="1715"/>
      <c r="L24" s="1714" t="e">
        <f ca="1">L22*L23</f>
        <v>#DIV/0!</v>
      </c>
      <c r="M24" s="1715"/>
      <c r="N24" s="1714" t="e">
        <f ca="1">N22*N23</f>
        <v>#DIV/0!</v>
      </c>
      <c r="O24" s="1715"/>
      <c r="P24" s="1714" t="e">
        <f ca="1">P22*P23</f>
        <v>#DIV/0!</v>
      </c>
      <c r="Q24" s="1704"/>
      <c r="R24" s="1714" t="e">
        <f ca="1">R22*R23</f>
        <v>#N/A</v>
      </c>
      <c r="S24" s="1278"/>
      <c r="T24" s="1714" t="e">
        <f ca="1">T22*T23</f>
        <v>#N/A</v>
      </c>
      <c r="U24" s="1278"/>
      <c r="V24" s="1714" t="e">
        <f ca="1">V22*V23</f>
        <v>#N/A</v>
      </c>
      <c r="W24" s="1278"/>
      <c r="X24" s="1714" t="e">
        <f ca="1">X22*X23</f>
        <v>#N/A</v>
      </c>
      <c r="Y24" s="1278"/>
      <c r="Z24" s="1714" t="e">
        <f ca="1">Z22*Z23</f>
        <v>#N/A</v>
      </c>
      <c r="AA24" s="1278"/>
      <c r="AB24" s="1714" t="e">
        <f ca="1">AB22*AB23</f>
        <v>#N/A</v>
      </c>
      <c r="AC24" s="1278"/>
      <c r="AD24" s="1714" t="e">
        <f ca="1">AD22*AD23</f>
        <v>#N/A</v>
      </c>
      <c r="AE24" s="1278"/>
      <c r="AF24" s="1714" t="e">
        <f ca="1">AF22*AF23</f>
        <v>#N/A</v>
      </c>
      <c r="AG24" s="1278"/>
      <c r="AH24" s="1714" t="e">
        <f ca="1">AH22*AH23</f>
        <v>#N/A</v>
      </c>
      <c r="AI24" s="1278"/>
      <c r="AJ24" s="1252"/>
      <c r="AK24" s="4218"/>
      <c r="AL24" s="911"/>
      <c r="AM24" s="911"/>
      <c r="AN24" s="911"/>
      <c r="AO24" s="911"/>
    </row>
    <row r="25" spans="1:41" ht="17.100000000000001" customHeight="1" thickBot="1" x14ac:dyDescent="0.3">
      <c r="A25" s="41">
        <v>1</v>
      </c>
      <c r="B25" s="1251"/>
      <c r="C25" s="1278"/>
      <c r="D25" s="1188" t="s">
        <v>1333</v>
      </c>
      <c r="E25" s="1182"/>
      <c r="F25" s="1277"/>
      <c r="G25" s="1277"/>
      <c r="H25" s="1277"/>
      <c r="I25" s="1277"/>
      <c r="J25" s="1277"/>
      <c r="K25" s="1277"/>
      <c r="L25" s="1277"/>
      <c r="M25" s="1277"/>
      <c r="N25" s="1277"/>
      <c r="O25" s="1277"/>
      <c r="P25" s="1277"/>
      <c r="Q25" s="1277"/>
      <c r="R25" s="1277"/>
      <c r="S25" s="1277"/>
      <c r="T25" s="1277"/>
      <c r="U25" s="1277"/>
      <c r="V25" s="1277"/>
      <c r="W25" s="1277"/>
      <c r="X25" s="1277"/>
      <c r="Y25" s="1277"/>
      <c r="Z25" s="1277"/>
      <c r="AA25" s="1277"/>
      <c r="AB25" s="1277"/>
      <c r="AC25" s="1277"/>
      <c r="AD25" s="1277"/>
      <c r="AE25" s="1277"/>
      <c r="AF25" s="1277"/>
      <c r="AG25" s="1277"/>
      <c r="AH25" s="1277"/>
      <c r="AI25" s="1278"/>
      <c r="AJ25" s="1252"/>
      <c r="AK25" s="911"/>
      <c r="AL25" s="911"/>
      <c r="AM25" s="911"/>
      <c r="AN25" s="911"/>
      <c r="AO25" s="911"/>
    </row>
    <row r="26" spans="1:41" ht="15.95" customHeight="1" thickBot="1" x14ac:dyDescent="0.3">
      <c r="A26" s="41">
        <v>1</v>
      </c>
      <c r="B26" s="1253"/>
      <c r="C26" s="1254"/>
      <c r="D26" s="552" t="s">
        <v>1616</v>
      </c>
      <c r="E26" s="1254"/>
      <c r="F26" s="1259"/>
      <c r="G26" s="1259"/>
      <c r="H26" s="1259"/>
      <c r="I26" s="1259"/>
      <c r="J26" s="1259"/>
      <c r="K26" s="1259"/>
      <c r="L26" s="1259"/>
      <c r="M26" s="1259"/>
      <c r="N26" s="1259"/>
      <c r="O26" s="1259"/>
      <c r="P26" s="1259"/>
      <c r="Q26" s="1259"/>
      <c r="R26" s="1254"/>
      <c r="S26" s="1254"/>
      <c r="T26" s="1254"/>
      <c r="U26" s="1254"/>
      <c r="V26" s="1254"/>
      <c r="W26" s="1254"/>
      <c r="X26" s="1254"/>
      <c r="Y26" s="1254"/>
      <c r="Z26" s="1254"/>
      <c r="AA26" s="1254"/>
      <c r="AB26" s="1254"/>
      <c r="AC26" s="1254"/>
      <c r="AD26" s="1254"/>
      <c r="AE26" s="1254"/>
      <c r="AF26" s="1254"/>
      <c r="AG26" s="1254"/>
      <c r="AH26" s="1254"/>
      <c r="AI26" s="1254"/>
      <c r="AJ26" s="1255"/>
      <c r="AK26" s="911"/>
      <c r="AL26" s="911"/>
      <c r="AM26" s="911"/>
      <c r="AN26" s="911"/>
      <c r="AO26" s="911"/>
    </row>
    <row r="27" spans="1:41" ht="14.25" customHeight="1" thickBot="1" x14ac:dyDescent="0.3">
      <c r="A27" s="41">
        <v>1</v>
      </c>
      <c r="B27" s="911"/>
      <c r="C27" s="911"/>
      <c r="D27" s="911"/>
      <c r="E27" s="41"/>
      <c r="F27" s="1256"/>
      <c r="G27" s="1256"/>
      <c r="H27" s="1256"/>
      <c r="I27" s="1256"/>
      <c r="J27" s="1256"/>
      <c r="K27" s="1256"/>
      <c r="L27" s="1256"/>
      <c r="M27" s="1256"/>
      <c r="N27" s="1256"/>
      <c r="O27" s="1256"/>
      <c r="P27" s="1256"/>
      <c r="Q27" s="1256"/>
      <c r="R27" s="911"/>
      <c r="S27" s="911"/>
      <c r="T27" s="911"/>
      <c r="U27" s="911"/>
      <c r="V27" s="911"/>
      <c r="W27" s="911"/>
      <c r="X27" s="911"/>
      <c r="Y27" s="911"/>
      <c r="Z27" s="911"/>
      <c r="AA27" s="911"/>
      <c r="AB27" s="911"/>
      <c r="AC27" s="911"/>
      <c r="AD27" s="911"/>
      <c r="AE27" s="911"/>
      <c r="AF27" s="911"/>
      <c r="AG27" s="911"/>
      <c r="AH27" s="911"/>
      <c r="AI27" s="911"/>
      <c r="AJ27" s="911"/>
      <c r="AK27" s="911"/>
      <c r="AL27" s="911"/>
      <c r="AM27" s="911"/>
      <c r="AN27" s="911"/>
      <c r="AO27" s="911"/>
    </row>
    <row r="28" spans="1:41" ht="14.25" customHeight="1" x14ac:dyDescent="0.25">
      <c r="A28" s="41">
        <v>1</v>
      </c>
      <c r="B28" s="1248"/>
      <c r="C28" s="1249"/>
      <c r="D28" s="1249"/>
      <c r="E28" s="1249"/>
      <c r="F28" s="1257"/>
      <c r="G28" s="1257"/>
      <c r="H28" s="1257"/>
      <c r="I28" s="1257"/>
      <c r="J28" s="1257"/>
      <c r="K28" s="1257"/>
      <c r="L28" s="1257"/>
      <c r="M28" s="2273"/>
      <c r="N28" s="1256"/>
      <c r="O28" s="1256"/>
      <c r="P28" s="1256"/>
      <c r="Q28" s="1256"/>
      <c r="R28" s="911"/>
      <c r="S28" s="911"/>
      <c r="T28" s="911"/>
      <c r="U28" s="911"/>
      <c r="V28" s="911"/>
      <c r="W28" s="911"/>
      <c r="X28" s="911"/>
      <c r="Y28" s="911"/>
      <c r="Z28" s="911"/>
      <c r="AA28" s="911"/>
      <c r="AB28" s="911"/>
      <c r="AC28" s="911"/>
      <c r="AD28" s="911"/>
      <c r="AE28" s="911"/>
      <c r="AF28" s="911"/>
      <c r="AG28" s="911"/>
      <c r="AH28" s="911"/>
      <c r="AI28" s="911"/>
      <c r="AJ28" s="911"/>
      <c r="AK28" s="911"/>
      <c r="AL28" s="911"/>
      <c r="AM28" s="911"/>
      <c r="AN28" s="911"/>
      <c r="AO28" s="911"/>
    </row>
    <row r="29" spans="1:41" ht="14.25" customHeight="1" x14ac:dyDescent="0.3">
      <c r="A29" s="41">
        <v>1</v>
      </c>
      <c r="B29" s="1251"/>
      <c r="C29" s="1080"/>
      <c r="D29" s="97" t="str">
        <f>CONCATENATE("Median Asking OAR by Remaining Lease Term - ",dpSales_ComponentNameB1," Component")</f>
        <v>Median Asking OAR by Remaining Lease Term -  Component</v>
      </c>
      <c r="E29" s="1080"/>
      <c r="F29" s="1258"/>
      <c r="G29" s="1258"/>
      <c r="H29" s="1258"/>
      <c r="I29" s="1258"/>
      <c r="J29" s="1258"/>
      <c r="K29" s="1258"/>
      <c r="L29" s="1258"/>
      <c r="M29" s="2274"/>
      <c r="N29" s="1256"/>
      <c r="O29" s="1256"/>
      <c r="P29" s="1256"/>
      <c r="Q29" s="1256"/>
      <c r="R29" s="911"/>
      <c r="S29" s="911"/>
      <c r="T29" s="911"/>
      <c r="U29" s="911"/>
      <c r="V29" s="911"/>
      <c r="W29" s="911"/>
      <c r="X29" s="911"/>
      <c r="Y29" s="911"/>
      <c r="Z29" s="911"/>
      <c r="AA29" s="911"/>
      <c r="AB29" s="911"/>
      <c r="AC29" s="911"/>
      <c r="AD29" s="911"/>
      <c r="AE29" s="911"/>
      <c r="AF29" s="911"/>
      <c r="AG29" s="911"/>
      <c r="AH29" s="911"/>
      <c r="AI29" s="911"/>
      <c r="AJ29" s="911"/>
      <c r="AK29" s="911"/>
      <c r="AL29" s="911"/>
      <c r="AM29" s="911"/>
      <c r="AN29" s="911"/>
      <c r="AO29" s="911"/>
    </row>
    <row r="30" spans="1:41" ht="28.5" x14ac:dyDescent="0.25">
      <c r="A30" s="41">
        <v>1</v>
      </c>
      <c r="B30" s="1251"/>
      <c r="C30" s="911"/>
      <c r="D30" s="1534" t="s">
        <v>17905</v>
      </c>
      <c r="E30" s="911"/>
      <c r="F30" s="290" t="s">
        <v>17906</v>
      </c>
      <c r="G30" s="4093" t="s">
        <v>17907</v>
      </c>
      <c r="H30" s="4093"/>
      <c r="I30" s="4093"/>
      <c r="J30" s="4093" t="s">
        <v>17908</v>
      </c>
      <c r="K30" s="4093"/>
      <c r="L30" s="4093"/>
      <c r="M30" s="2274"/>
      <c r="N30" s="290" t="s">
        <v>17909</v>
      </c>
      <c r="O30" s="1256"/>
      <c r="P30" s="207" t="s">
        <v>17913</v>
      </c>
      <c r="Q30" s="1256"/>
      <c r="R30" s="911"/>
      <c r="S30" s="911"/>
      <c r="T30" s="911"/>
      <c r="U30" s="911"/>
      <c r="V30" s="911"/>
      <c r="W30" s="911"/>
      <c r="X30" s="911"/>
      <c r="Y30" s="911"/>
      <c r="Z30" s="911"/>
      <c r="AA30" s="911"/>
      <c r="AB30" s="911"/>
      <c r="AC30" s="911"/>
      <c r="AD30" s="911"/>
      <c r="AE30" s="911"/>
      <c r="AF30" s="911"/>
      <c r="AG30" s="911"/>
      <c r="AH30" s="911"/>
      <c r="AI30" s="911"/>
      <c r="AJ30" s="911"/>
      <c r="AK30" s="911"/>
      <c r="AL30" s="911"/>
      <c r="AM30" s="911"/>
      <c r="AN30" s="911"/>
      <c r="AO30" s="911"/>
    </row>
    <row r="31" spans="1:41" ht="14.25" customHeight="1" x14ac:dyDescent="0.25">
      <c r="A31" s="41">
        <v>1</v>
      </c>
      <c r="B31" s="1251"/>
      <c r="C31" s="1272"/>
      <c r="D31" s="2277">
        <v>20</v>
      </c>
      <c r="E31" s="1272"/>
      <c r="F31" s="2276">
        <v>5.3499999999999999E-2</v>
      </c>
      <c r="G31" s="1704"/>
      <c r="H31" s="2280">
        <f>(F32-F31)/F32</f>
        <v>2.7272727272727296E-2</v>
      </c>
      <c r="I31" s="1704"/>
      <c r="J31" s="4219">
        <f>H31/N31</f>
        <v>5.4545454545454593E-3</v>
      </c>
      <c r="K31" s="4219"/>
      <c r="L31" s="4219"/>
      <c r="M31" s="2274"/>
      <c r="N31" s="2284">
        <v>5</v>
      </c>
      <c r="O31" s="1256"/>
      <c r="P31" s="1256"/>
      <c r="Q31" s="1256"/>
      <c r="R31" s="911"/>
      <c r="S31" s="911"/>
      <c r="T31" s="911"/>
      <c r="U31" s="911"/>
      <c r="V31" s="911"/>
      <c r="W31" s="911"/>
      <c r="X31" s="911"/>
      <c r="Y31" s="911"/>
      <c r="Z31" s="911"/>
      <c r="AA31" s="911"/>
      <c r="AB31" s="911"/>
      <c r="AC31" s="911"/>
      <c r="AD31" s="911"/>
      <c r="AE31" s="911"/>
      <c r="AF31" s="911"/>
      <c r="AG31" s="911"/>
      <c r="AH31" s="911"/>
      <c r="AI31" s="911"/>
      <c r="AJ31" s="911"/>
      <c r="AK31" s="911"/>
      <c r="AL31" s="911"/>
      <c r="AM31" s="911"/>
      <c r="AN31" s="911"/>
      <c r="AO31" s="911"/>
    </row>
    <row r="32" spans="1:41" ht="14.25" customHeight="1" x14ac:dyDescent="0.25">
      <c r="A32" s="41">
        <f>IF(F32="",0,1)</f>
        <v>1</v>
      </c>
      <c r="B32" s="1251"/>
      <c r="C32" s="1272"/>
      <c r="D32" s="2279">
        <v>1519</v>
      </c>
      <c r="E32" s="1272"/>
      <c r="F32" s="2276">
        <v>5.5E-2</v>
      </c>
      <c r="G32" s="1704"/>
      <c r="H32" s="2280">
        <f>(F33-F32)/F33</f>
        <v>5.982905982905988E-2</v>
      </c>
      <c r="I32" s="1704"/>
      <c r="J32" s="4219">
        <f>H32/N32</f>
        <v>1.1965811965811975E-2</v>
      </c>
      <c r="K32" s="4219"/>
      <c r="L32" s="4219"/>
      <c r="M32" s="2274"/>
      <c r="N32" s="2285">
        <f>N31</f>
        <v>5</v>
      </c>
      <c r="O32" s="1256"/>
      <c r="P32" s="1256"/>
      <c r="Q32" s="1256"/>
      <c r="R32" s="911"/>
      <c r="S32" s="911"/>
      <c r="T32" s="911"/>
      <c r="U32" s="911"/>
      <c r="V32" s="911"/>
      <c r="W32" s="911"/>
      <c r="X32" s="911"/>
      <c r="Y32" s="911"/>
      <c r="Z32" s="911"/>
      <c r="AA32" s="911"/>
      <c r="AB32" s="911"/>
      <c r="AC32" s="911"/>
      <c r="AD32" s="911"/>
      <c r="AE32" s="911"/>
      <c r="AF32" s="911"/>
      <c r="AG32" s="911"/>
      <c r="AH32" s="911"/>
      <c r="AI32" s="911"/>
      <c r="AJ32" s="911"/>
      <c r="AK32" s="911"/>
      <c r="AL32" s="911"/>
      <c r="AM32" s="911"/>
      <c r="AN32" s="911"/>
      <c r="AO32" s="911"/>
    </row>
    <row r="33" spans="1:41" ht="14.25" customHeight="1" x14ac:dyDescent="0.25">
      <c r="A33" s="41">
        <f>IF(F33="",0,1)</f>
        <v>1</v>
      </c>
      <c r="B33" s="1251"/>
      <c r="C33" s="1272"/>
      <c r="D33" s="2279">
        <v>1014</v>
      </c>
      <c r="E33" s="1272"/>
      <c r="F33" s="2276">
        <v>5.8500000000000003E-2</v>
      </c>
      <c r="G33" s="1704"/>
      <c r="H33" s="2280">
        <f>(F34-F33)/F34</f>
        <v>9.3023255813953459E-2</v>
      </c>
      <c r="I33" s="1704"/>
      <c r="J33" s="4219">
        <f>H33/N33</f>
        <v>1.860465116279069E-2</v>
      </c>
      <c r="K33" s="4219"/>
      <c r="L33" s="4219"/>
      <c r="M33" s="2274"/>
      <c r="N33" s="2285">
        <f>N32</f>
        <v>5</v>
      </c>
      <c r="O33" s="1256"/>
      <c r="P33" s="1256"/>
      <c r="Q33" s="1256"/>
      <c r="R33" s="911"/>
      <c r="S33" s="911"/>
      <c r="T33" s="911"/>
      <c r="U33" s="911"/>
      <c r="V33" s="911"/>
      <c r="W33" s="911"/>
      <c r="X33" s="911"/>
      <c r="Y33" s="911"/>
      <c r="Z33" s="911"/>
      <c r="AA33" s="911"/>
      <c r="AB33" s="911"/>
      <c r="AC33" s="911"/>
      <c r="AD33" s="911"/>
      <c r="AE33" s="911"/>
      <c r="AF33" s="911"/>
      <c r="AG33" s="911"/>
      <c r="AH33" s="911"/>
      <c r="AI33" s="911"/>
      <c r="AJ33" s="911"/>
      <c r="AK33" s="911"/>
      <c r="AL33" s="911"/>
      <c r="AM33" s="911"/>
      <c r="AN33" s="911"/>
      <c r="AO33" s="911"/>
    </row>
    <row r="34" spans="1:41" ht="14.25" customHeight="1" x14ac:dyDescent="0.25">
      <c r="A34" s="41">
        <f>IF(F34="",0,1)</f>
        <v>1</v>
      </c>
      <c r="B34" s="1251"/>
      <c r="C34" s="1272"/>
      <c r="D34" s="2278">
        <v>59</v>
      </c>
      <c r="E34" s="1272"/>
      <c r="F34" s="2276">
        <v>6.4500000000000002E-2</v>
      </c>
      <c r="G34" s="1704"/>
      <c r="H34" s="2280">
        <f>(F35-F34)/F35</f>
        <v>7.8571428571428639E-2</v>
      </c>
      <c r="I34" s="1704"/>
      <c r="J34" s="4219">
        <f>H34/N34</f>
        <v>1.5714285714285729E-2</v>
      </c>
      <c r="K34" s="4219"/>
      <c r="L34" s="4219"/>
      <c r="M34" s="2274"/>
      <c r="N34" s="2285">
        <f>N33</f>
        <v>5</v>
      </c>
      <c r="O34" s="1256"/>
      <c r="P34" s="1256"/>
      <c r="Q34" s="1256"/>
      <c r="R34" s="911"/>
      <c r="S34" s="911"/>
      <c r="T34" s="911"/>
      <c r="U34" s="911"/>
      <c r="V34" s="911"/>
      <c r="W34" s="911"/>
      <c r="X34" s="911"/>
      <c r="Y34" s="911"/>
      <c r="Z34" s="911"/>
      <c r="AA34" s="911"/>
      <c r="AB34" s="911"/>
      <c r="AC34" s="911"/>
      <c r="AD34" s="911"/>
      <c r="AE34" s="911"/>
      <c r="AF34" s="911"/>
      <c r="AG34" s="911"/>
      <c r="AH34" s="911"/>
      <c r="AI34" s="911"/>
      <c r="AJ34" s="911"/>
      <c r="AK34" s="911"/>
      <c r="AL34" s="911"/>
      <c r="AM34" s="911"/>
      <c r="AN34" s="911"/>
      <c r="AO34" s="911"/>
    </row>
    <row r="35" spans="1:41" ht="14.25" customHeight="1" thickBot="1" x14ac:dyDescent="0.3">
      <c r="A35" s="41">
        <v>1</v>
      </c>
      <c r="B35" s="1251"/>
      <c r="C35" s="1272"/>
      <c r="D35" s="2282">
        <v>5</v>
      </c>
      <c r="E35" s="1315"/>
      <c r="F35" s="2283">
        <v>7.0000000000000007E-2</v>
      </c>
      <c r="G35" s="2281"/>
      <c r="H35" s="1690" t="s">
        <v>3</v>
      </c>
      <c r="I35" s="2281"/>
      <c r="J35" s="4220" t="s">
        <v>3</v>
      </c>
      <c r="K35" s="4220"/>
      <c r="L35" s="4220"/>
      <c r="M35" s="2274"/>
      <c r="N35" s="2286">
        <f>N34</f>
        <v>5</v>
      </c>
      <c r="O35" s="1256"/>
      <c r="P35" s="1256"/>
      <c r="Q35" s="1256"/>
      <c r="R35" s="911"/>
      <c r="S35" s="911"/>
      <c r="T35" s="911"/>
      <c r="U35" s="911"/>
      <c r="V35" s="911"/>
      <c r="W35" s="911"/>
      <c r="X35" s="911"/>
      <c r="Y35" s="911"/>
      <c r="Z35" s="911"/>
      <c r="AA35" s="911"/>
      <c r="AB35" s="911"/>
      <c r="AC35" s="911"/>
      <c r="AD35" s="911"/>
      <c r="AE35" s="911"/>
      <c r="AF35" s="911"/>
      <c r="AG35" s="911"/>
      <c r="AH35" s="911"/>
      <c r="AI35" s="911"/>
      <c r="AJ35" s="911"/>
      <c r="AK35" s="911"/>
      <c r="AL35" s="911"/>
      <c r="AM35" s="911"/>
      <c r="AN35" s="911"/>
      <c r="AO35" s="911"/>
    </row>
    <row r="36" spans="1:41" ht="14.25" customHeight="1" x14ac:dyDescent="0.25">
      <c r="A36" s="41"/>
      <c r="B36" s="1251"/>
      <c r="C36" s="1272"/>
      <c r="D36" s="2288" t="s">
        <v>17914</v>
      </c>
      <c r="E36" s="1272"/>
      <c r="F36" s="2287"/>
      <c r="G36" s="1704"/>
      <c r="H36" s="1524"/>
      <c r="I36" s="1704"/>
      <c r="J36" s="1524"/>
      <c r="K36" s="1524"/>
      <c r="L36" s="1524"/>
      <c r="M36" s="2274"/>
      <c r="N36" s="54"/>
      <c r="O36" s="1256"/>
      <c r="P36" s="1256"/>
      <c r="Q36" s="1256"/>
      <c r="R36" s="911"/>
      <c r="S36" s="911"/>
      <c r="T36" s="911"/>
      <c r="U36" s="911"/>
      <c r="V36" s="911"/>
      <c r="W36" s="911"/>
      <c r="X36" s="911"/>
      <c r="Y36" s="911"/>
      <c r="Z36" s="911"/>
      <c r="AA36" s="911"/>
      <c r="AB36" s="911"/>
      <c r="AC36" s="911"/>
      <c r="AD36" s="911"/>
      <c r="AE36" s="911"/>
      <c r="AF36" s="911"/>
      <c r="AG36" s="911"/>
      <c r="AH36" s="911"/>
      <c r="AI36" s="911"/>
      <c r="AJ36" s="911"/>
      <c r="AK36" s="911"/>
      <c r="AL36" s="911"/>
      <c r="AM36" s="911"/>
      <c r="AN36" s="911"/>
      <c r="AO36" s="911"/>
    </row>
    <row r="37" spans="1:41" ht="14.25" customHeight="1" thickBot="1" x14ac:dyDescent="0.3">
      <c r="A37" s="911"/>
      <c r="B37" s="1253"/>
      <c r="C37" s="1254"/>
      <c r="D37" s="552" t="s">
        <v>17911</v>
      </c>
      <c r="E37" s="1254"/>
      <c r="F37" s="1259"/>
      <c r="G37" s="1259"/>
      <c r="H37" s="1259"/>
      <c r="I37" s="1259"/>
      <c r="J37" s="1259"/>
      <c r="K37" s="1259"/>
      <c r="L37" s="1259"/>
      <c r="M37" s="2275"/>
      <c r="N37" s="1256"/>
      <c r="O37" s="1256"/>
      <c r="P37" s="1256"/>
      <c r="Q37" s="1256"/>
      <c r="R37" s="911"/>
      <c r="S37" s="911"/>
      <c r="T37" s="911"/>
      <c r="U37" s="911"/>
      <c r="V37" s="911"/>
      <c r="W37" s="911"/>
      <c r="X37" s="911"/>
      <c r="Y37" s="911"/>
      <c r="Z37" s="911"/>
      <c r="AA37" s="911"/>
      <c r="AB37" s="911"/>
      <c r="AC37" s="911"/>
      <c r="AD37" s="911"/>
      <c r="AE37" s="911"/>
      <c r="AF37" s="911"/>
      <c r="AG37" s="911"/>
      <c r="AH37" s="911"/>
      <c r="AI37" s="911"/>
      <c r="AJ37" s="911"/>
      <c r="AK37" s="911"/>
      <c r="AL37" s="911"/>
      <c r="AM37" s="911"/>
      <c r="AN37" s="911"/>
      <c r="AO37" s="911"/>
    </row>
    <row r="38" spans="1:41" ht="14.25" customHeight="1" thickBot="1" x14ac:dyDescent="0.3">
      <c r="A38" s="911"/>
      <c r="B38" s="911"/>
      <c r="C38" s="911"/>
      <c r="D38" s="911"/>
      <c r="E38" s="41"/>
      <c r="F38" s="1256"/>
      <c r="G38" s="1256"/>
      <c r="H38" s="1256"/>
      <c r="I38" s="1256"/>
      <c r="J38" s="1256"/>
      <c r="K38" s="1256"/>
      <c r="L38" s="1256"/>
      <c r="M38" s="1256"/>
      <c r="N38" s="1256"/>
      <c r="O38" s="1256"/>
      <c r="P38" s="1256"/>
      <c r="Q38" s="1256"/>
      <c r="R38" s="911"/>
      <c r="S38" s="911"/>
      <c r="T38" s="911"/>
      <c r="U38" s="911"/>
      <c r="V38" s="911"/>
      <c r="W38" s="911"/>
      <c r="X38" s="911"/>
      <c r="Y38" s="911"/>
      <c r="Z38" s="911"/>
      <c r="AA38" s="911"/>
      <c r="AB38" s="911"/>
      <c r="AC38" s="911"/>
      <c r="AD38" s="911"/>
      <c r="AE38" s="911"/>
      <c r="AF38" s="911"/>
      <c r="AG38" s="911"/>
      <c r="AH38" s="911"/>
      <c r="AI38" s="911"/>
      <c r="AJ38" s="911"/>
      <c r="AK38" s="911"/>
      <c r="AL38" s="911"/>
      <c r="AM38" s="911"/>
      <c r="AN38" s="911"/>
      <c r="AO38" s="911"/>
    </row>
    <row r="39" spans="1:41" ht="14.25" customHeight="1" x14ac:dyDescent="0.25">
      <c r="A39" s="911"/>
      <c r="B39" s="1248"/>
      <c r="C39" s="1249"/>
      <c r="D39" s="1249"/>
      <c r="E39" s="1249"/>
      <c r="F39" s="1257"/>
      <c r="G39" s="1257"/>
      <c r="H39" s="1257"/>
      <c r="I39" s="1257"/>
      <c r="J39" s="1257"/>
      <c r="K39" s="1257"/>
      <c r="L39" s="1257"/>
      <c r="M39" s="1257"/>
      <c r="N39" s="1257"/>
      <c r="O39" s="1257"/>
      <c r="P39" s="1257"/>
      <c r="Q39" s="1257"/>
      <c r="R39" s="1249"/>
      <c r="S39" s="1249"/>
      <c r="T39" s="1249"/>
      <c r="U39" s="1249"/>
      <c r="V39" s="1249"/>
      <c r="W39" s="1249"/>
      <c r="X39" s="1249"/>
      <c r="Y39" s="1249"/>
      <c r="Z39" s="1249"/>
      <c r="AA39" s="1249"/>
      <c r="AB39" s="1249"/>
      <c r="AC39" s="1249"/>
      <c r="AD39" s="1249"/>
      <c r="AE39" s="1249"/>
      <c r="AF39" s="1249"/>
      <c r="AG39" s="1249"/>
      <c r="AH39" s="1249"/>
      <c r="AI39" s="1249"/>
      <c r="AJ39" s="1250"/>
      <c r="AK39" s="911"/>
      <c r="AL39" s="911"/>
      <c r="AM39" s="911"/>
      <c r="AN39" s="911"/>
      <c r="AO39" s="911"/>
    </row>
    <row r="40" spans="1:41" ht="14.25" customHeight="1" x14ac:dyDescent="0.3">
      <c r="A40" s="911"/>
      <c r="B40" s="1251"/>
      <c r="C40" s="1272"/>
      <c r="D40" s="246" t="str">
        <f>CONCATENATE("Remaining Lease Term Adjustment - ",dpSales_ComponentNameB1," Component")</f>
        <v>Remaining Lease Term Adjustment -  Component</v>
      </c>
      <c r="E40" s="97"/>
      <c r="F40" s="1275"/>
      <c r="G40" s="1275"/>
      <c r="H40" s="1275"/>
      <c r="I40" s="1275"/>
      <c r="J40" s="1275"/>
      <c r="K40" s="1275"/>
      <c r="L40" s="1275"/>
      <c r="M40" s="1275"/>
      <c r="N40" s="1275"/>
      <c r="O40" s="1275"/>
      <c r="P40" s="1275"/>
      <c r="Q40" s="1275"/>
      <c r="R40" s="1272"/>
      <c r="S40" s="1272"/>
      <c r="T40" s="1272"/>
      <c r="U40" s="1272"/>
      <c r="V40" s="1272"/>
      <c r="W40" s="1272"/>
      <c r="X40" s="1272"/>
      <c r="Y40" s="1272"/>
      <c r="Z40" s="1272"/>
      <c r="AA40" s="1272"/>
      <c r="AB40" s="1272"/>
      <c r="AC40" s="1272"/>
      <c r="AD40" s="1272"/>
      <c r="AE40" s="1272"/>
      <c r="AF40" s="1272"/>
      <c r="AG40" s="1272"/>
      <c r="AH40" s="1272"/>
      <c r="AI40" s="1272"/>
      <c r="AJ40" s="1252"/>
      <c r="AK40" s="911"/>
      <c r="AL40" s="911"/>
      <c r="AM40" s="911"/>
      <c r="AN40" s="911"/>
      <c r="AO40" s="911"/>
    </row>
    <row r="41" spans="1:41" ht="17.100000000000001" customHeight="1" x14ac:dyDescent="0.25">
      <c r="A41" s="911"/>
      <c r="B41" s="1251"/>
      <c r="C41" s="911"/>
      <c r="D41" s="12" t="s">
        <v>1100</v>
      </c>
      <c r="E41" s="12"/>
      <c r="F41" s="1269">
        <v>1</v>
      </c>
      <c r="G41" s="1269"/>
      <c r="H41" s="1269">
        <f>F41+1</f>
        <v>2</v>
      </c>
      <c r="I41" s="1269"/>
      <c r="J41" s="1269">
        <f>H41+1</f>
        <v>3</v>
      </c>
      <c r="K41" s="1269"/>
      <c r="L41" s="1269">
        <f>J41+1</f>
        <v>4</v>
      </c>
      <c r="M41" s="1269"/>
      <c r="N41" s="1269">
        <f>L41+1</f>
        <v>5</v>
      </c>
      <c r="O41" s="11"/>
      <c r="P41" s="1269">
        <f>N41+1</f>
        <v>6</v>
      </c>
      <c r="Q41" s="124"/>
      <c r="R41" s="1269">
        <f>P41+1</f>
        <v>7</v>
      </c>
      <c r="S41" s="11"/>
      <c r="T41" s="1269">
        <f>R41+1</f>
        <v>8</v>
      </c>
      <c r="U41" s="11"/>
      <c r="V41" s="1269">
        <f>T41+1</f>
        <v>9</v>
      </c>
      <c r="W41" s="11"/>
      <c r="X41" s="1269">
        <f>V41+1</f>
        <v>10</v>
      </c>
      <c r="Y41" s="11"/>
      <c r="Z41" s="1269">
        <f>X41+1</f>
        <v>11</v>
      </c>
      <c r="AA41" s="11"/>
      <c r="AB41" s="1269">
        <f>Z41+1</f>
        <v>12</v>
      </c>
      <c r="AC41" s="11"/>
      <c r="AD41" s="1269">
        <f>AB41+1</f>
        <v>13</v>
      </c>
      <c r="AE41" s="11"/>
      <c r="AF41" s="1269">
        <f>AD41+1</f>
        <v>14</v>
      </c>
      <c r="AG41" s="11"/>
      <c r="AH41" s="1269">
        <f>AF41+1</f>
        <v>15</v>
      </c>
      <c r="AI41" s="911"/>
      <c r="AJ41" s="1252"/>
      <c r="AK41" s="911"/>
      <c r="AL41" s="911"/>
      <c r="AM41" s="911"/>
      <c r="AN41" s="911"/>
      <c r="AO41" s="911"/>
    </row>
    <row r="42" spans="1:41" ht="17.100000000000001" customHeight="1" x14ac:dyDescent="0.25">
      <c r="A42" s="911"/>
      <c r="B42" s="1251"/>
      <c r="C42" s="1278"/>
      <c r="D42" s="1278" t="s">
        <v>1852</v>
      </c>
      <c r="E42" s="1278"/>
      <c r="F42" s="2183" t="str">
        <f ca="1">dpIncome_Lease_AvgRemTerm</f>
        <v/>
      </c>
      <c r="G42" s="1361"/>
      <c r="H42" s="2182" t="str">
        <f ca="1">Sales_RemainTerm_Subject_1</f>
        <v/>
      </c>
      <c r="I42" s="1361"/>
      <c r="J42" s="2182" t="str">
        <f ca="1">Sales_RemainTerm_Subject_1</f>
        <v/>
      </c>
      <c r="K42" s="1361"/>
      <c r="L42" s="2182" t="str">
        <f ca="1">Sales_RemainTerm_Subject_1</f>
        <v/>
      </c>
      <c r="M42" s="1361"/>
      <c r="N42" s="2182" t="str">
        <f ca="1">Sales_RemainTerm_Subject_1</f>
        <v/>
      </c>
      <c r="O42" s="1361"/>
      <c r="P42" s="2182" t="str">
        <f ca="1">Sales_RemainTerm_Subject_1</f>
        <v/>
      </c>
      <c r="Q42" s="1361"/>
      <c r="R42" s="2182" t="str">
        <f ca="1">Sales_RemainTerm_Subject_1</f>
        <v/>
      </c>
      <c r="S42" s="1711"/>
      <c r="T42" s="2182" t="str">
        <f ca="1">Sales_RemainTerm_Subject_1</f>
        <v/>
      </c>
      <c r="U42" s="1711"/>
      <c r="V42" s="2182" t="str">
        <f ca="1">Sales_RemainTerm_Subject_1</f>
        <v/>
      </c>
      <c r="W42" s="1711"/>
      <c r="X42" s="2182" t="str">
        <f ca="1">Sales_RemainTerm_Subject_1</f>
        <v/>
      </c>
      <c r="Y42" s="1711"/>
      <c r="Z42" s="2182" t="str">
        <f ca="1">Sales_RemainTerm_Subject_1</f>
        <v/>
      </c>
      <c r="AA42" s="1711"/>
      <c r="AB42" s="2182" t="str">
        <f ca="1">Sales_RemainTerm_Subject_1</f>
        <v/>
      </c>
      <c r="AC42" s="1711"/>
      <c r="AD42" s="2182" t="str">
        <f ca="1">Sales_RemainTerm_Subject_1</f>
        <v/>
      </c>
      <c r="AE42" s="1711"/>
      <c r="AF42" s="2182" t="str">
        <f ca="1">Sales_RemainTerm_Subject_1</f>
        <v/>
      </c>
      <c r="AG42" s="1711"/>
      <c r="AH42" s="2182" t="str">
        <f ca="1">Sales_RemainTerm_Subject_1</f>
        <v/>
      </c>
      <c r="AI42" s="1278"/>
      <c r="AJ42" s="1252"/>
      <c r="AK42" s="911"/>
      <c r="AL42" s="911"/>
      <c r="AM42" s="911"/>
      <c r="AN42" s="911"/>
      <c r="AO42" s="911"/>
    </row>
    <row r="43" spans="1:41" ht="17.100000000000001" customHeight="1" x14ac:dyDescent="0.25">
      <c r="A43" s="911"/>
      <c r="B43" s="1251"/>
      <c r="C43" s="1278"/>
      <c r="D43" s="1278" t="s">
        <v>1853</v>
      </c>
      <c r="E43" s="1278"/>
      <c r="F43" s="2182">
        <f>HLOOKUP(F$41,'Improved Sales Summary Detailed'!$P$73:$V$132,31,FALSE)</f>
        <v>0</v>
      </c>
      <c r="G43" s="1361"/>
      <c r="H43" s="2182">
        <f>HLOOKUP(H$41,'Improved Sales Summary Detailed'!$P$73:$V$132,31,FALSE)</f>
        <v>0</v>
      </c>
      <c r="I43" s="1361"/>
      <c r="J43" s="2182">
        <f>HLOOKUP(J$41,'Improved Sales Summary Detailed'!$P$73:$V$132,31,FALSE)</f>
        <v>0</v>
      </c>
      <c r="K43" s="1361"/>
      <c r="L43" s="2182">
        <f>HLOOKUP(L$41,'Improved Sales Summary Detailed'!$P$73:$V$132,31,FALSE)</f>
        <v>0</v>
      </c>
      <c r="M43" s="1361"/>
      <c r="N43" s="2182">
        <f>HLOOKUP(N$41,'Improved Sales Summary Detailed'!$P$73:$V$132,31,FALSE)</f>
        <v>0</v>
      </c>
      <c r="O43" s="1361"/>
      <c r="P43" s="2182">
        <f>HLOOKUP(P$41,'Improved Sales Summary Detailed'!$P$73:$V$132,31,FALSE)</f>
        <v>0</v>
      </c>
      <c r="Q43" s="1361"/>
      <c r="R43" s="2182" t="e">
        <f>HLOOKUP(R$41,'Improved Sales Summary Detailed'!$P$73:$V$132,31,FALSE)</f>
        <v>#N/A</v>
      </c>
      <c r="S43" s="1711"/>
      <c r="T43" s="2182" t="e">
        <f>HLOOKUP(T$41,'Improved Sales Summary Detailed'!$P$73:$V$132,31,FALSE)</f>
        <v>#N/A</v>
      </c>
      <c r="U43" s="1711"/>
      <c r="V43" s="2182" t="e">
        <f>HLOOKUP(V$41,'Improved Sales Summary Detailed'!$P$73:$V$132,31,FALSE)</f>
        <v>#N/A</v>
      </c>
      <c r="W43" s="1711"/>
      <c r="X43" s="2182" t="e">
        <f>HLOOKUP(X$41,'Improved Sales Summary Detailed'!$P$73:$V$132,31,FALSE)</f>
        <v>#N/A</v>
      </c>
      <c r="Y43" s="1711"/>
      <c r="Z43" s="2182" t="e">
        <f>HLOOKUP(Z$41,'Improved Sales Summary Detailed'!$P$73:$V$132,31,FALSE)</f>
        <v>#N/A</v>
      </c>
      <c r="AA43" s="1711"/>
      <c r="AB43" s="2182" t="e">
        <f>HLOOKUP(AB$41,'Improved Sales Summary Detailed'!$P$73:$V$132,31,FALSE)</f>
        <v>#N/A</v>
      </c>
      <c r="AC43" s="1711"/>
      <c r="AD43" s="2182" t="e">
        <f>HLOOKUP(AD$41,'Improved Sales Summary Detailed'!$P$73:$V$132,31,FALSE)</f>
        <v>#N/A</v>
      </c>
      <c r="AE43" s="1711"/>
      <c r="AF43" s="2182" t="e">
        <f>HLOOKUP(AF$41,'Improved Sales Summary Detailed'!$P$73:$V$132,31,FALSE)</f>
        <v>#N/A</v>
      </c>
      <c r="AG43" s="1711"/>
      <c r="AH43" s="2182" t="e">
        <f>HLOOKUP(AH$41,'Improved Sales Summary Detailed'!$P$73:$V$132,31,FALSE)</f>
        <v>#N/A</v>
      </c>
      <c r="AI43" s="1278"/>
      <c r="AJ43" s="1252"/>
      <c r="AK43" s="911"/>
      <c r="AL43" s="911"/>
      <c r="AM43" s="911"/>
      <c r="AN43" s="911"/>
      <c r="AO43" s="911"/>
    </row>
    <row r="44" spans="1:41" ht="17.100000000000001" customHeight="1" x14ac:dyDescent="0.25">
      <c r="A44" s="911"/>
      <c r="B44" s="1251"/>
      <c r="C44" s="1278"/>
      <c r="D44" s="2181" t="s">
        <v>553</v>
      </c>
      <c r="E44" s="2181"/>
      <c r="F44" s="2267" t="e">
        <f ca="1">F42-F43</f>
        <v>#VALUE!</v>
      </c>
      <c r="G44" s="2180"/>
      <c r="H44" s="2267" t="e">
        <f ca="1">H42-H43</f>
        <v>#VALUE!</v>
      </c>
      <c r="I44" s="2180"/>
      <c r="J44" s="2267" t="e">
        <f ca="1">J42-J43</f>
        <v>#VALUE!</v>
      </c>
      <c r="K44" s="2180"/>
      <c r="L44" s="2267" t="e">
        <f ca="1">L42-L43</f>
        <v>#VALUE!</v>
      </c>
      <c r="M44" s="2180"/>
      <c r="N44" s="2267" t="e">
        <f ca="1">N42-N43</f>
        <v>#VALUE!</v>
      </c>
      <c r="O44" s="2180"/>
      <c r="P44" s="2267" t="e">
        <f ca="1">P42-P43</f>
        <v>#VALUE!</v>
      </c>
      <c r="Q44" s="2180"/>
      <c r="R44" s="2267" t="e">
        <f ca="1">R42-R43</f>
        <v>#VALUE!</v>
      </c>
      <c r="S44" s="2181"/>
      <c r="T44" s="2267" t="e">
        <f ca="1">T42-T43</f>
        <v>#VALUE!</v>
      </c>
      <c r="U44" s="2181"/>
      <c r="V44" s="2267" t="e">
        <f ca="1">V42-V43</f>
        <v>#VALUE!</v>
      </c>
      <c r="W44" s="2181"/>
      <c r="X44" s="2267" t="e">
        <f ca="1">X42-X43</f>
        <v>#VALUE!</v>
      </c>
      <c r="Y44" s="2181"/>
      <c r="Z44" s="2267" t="e">
        <f ca="1">Z42-Z43</f>
        <v>#VALUE!</v>
      </c>
      <c r="AA44" s="2181"/>
      <c r="AB44" s="2267" t="e">
        <f ca="1">AB42-AB43</f>
        <v>#VALUE!</v>
      </c>
      <c r="AC44" s="2181"/>
      <c r="AD44" s="2267" t="e">
        <f ca="1">AD42-AD43</f>
        <v>#VALUE!</v>
      </c>
      <c r="AE44" s="2181"/>
      <c r="AF44" s="2267" t="e">
        <f ca="1">AF42-AF43</f>
        <v>#VALUE!</v>
      </c>
      <c r="AG44" s="2181"/>
      <c r="AH44" s="2267" t="e">
        <f ca="1">AH42-AH43</f>
        <v>#VALUE!</v>
      </c>
      <c r="AI44" s="1278"/>
      <c r="AJ44" s="1252"/>
      <c r="AK44" s="911"/>
      <c r="AL44" s="911"/>
      <c r="AM44" s="911"/>
      <c r="AN44" s="911"/>
      <c r="AO44" s="911"/>
    </row>
    <row r="45" spans="1:41" ht="17.100000000000001" customHeight="1" x14ac:dyDescent="0.25">
      <c r="A45" s="911"/>
      <c r="B45" s="1251"/>
      <c r="C45" s="1278"/>
      <c r="D45" s="1713" t="s">
        <v>1851</v>
      </c>
      <c r="E45" s="1713"/>
      <c r="F45" s="2167">
        <v>0.02</v>
      </c>
      <c r="G45" s="2167"/>
      <c r="H45" s="2167">
        <f>dpSales_RemainTerm_AdjPerYr</f>
        <v>0.02</v>
      </c>
      <c r="I45" s="2168"/>
      <c r="J45" s="2167">
        <f>dpSales_RemainTerm_AdjPerYr</f>
        <v>0.02</v>
      </c>
      <c r="K45" s="2168"/>
      <c r="L45" s="2167">
        <f>dpSales_RemainTerm_AdjPerYr</f>
        <v>0.02</v>
      </c>
      <c r="M45" s="2168"/>
      <c r="N45" s="2167">
        <f>dpSales_RemainTerm_AdjPerYr</f>
        <v>0.02</v>
      </c>
      <c r="O45" s="2168"/>
      <c r="P45" s="2167">
        <f>dpSales_RemainTerm_AdjPerYr</f>
        <v>0.02</v>
      </c>
      <c r="Q45" s="2168"/>
      <c r="R45" s="2167">
        <f>dpSales_RemainTerm_AdjPerYr</f>
        <v>0.02</v>
      </c>
      <c r="S45" s="2169"/>
      <c r="T45" s="2167">
        <f>dpSales_RemainTerm_AdjPerYr</f>
        <v>0.02</v>
      </c>
      <c r="U45" s="2169"/>
      <c r="V45" s="2167">
        <f>dpSales_RemainTerm_AdjPerYr</f>
        <v>0.02</v>
      </c>
      <c r="W45" s="2169"/>
      <c r="X45" s="2167">
        <f>dpSales_RemainTerm_AdjPerYr</f>
        <v>0.02</v>
      </c>
      <c r="Y45" s="2167"/>
      <c r="Z45" s="2167">
        <f>dpSales_RemainTerm_AdjPerYr</f>
        <v>0.02</v>
      </c>
      <c r="AA45" s="2169"/>
      <c r="AB45" s="2167">
        <f>dpSales_RemainTerm_AdjPerYr</f>
        <v>0.02</v>
      </c>
      <c r="AC45" s="2169"/>
      <c r="AD45" s="2167">
        <f>dpSales_RemainTerm_AdjPerYr</f>
        <v>0.02</v>
      </c>
      <c r="AE45" s="2169"/>
      <c r="AF45" s="2167">
        <f>dpSales_RemainTerm_AdjPerYr</f>
        <v>0.02</v>
      </c>
      <c r="AG45" s="2169"/>
      <c r="AH45" s="2167">
        <f>dpSales_RemainTerm_AdjPerYr</f>
        <v>0.02</v>
      </c>
      <c r="AI45" s="1278"/>
      <c r="AJ45" s="1252"/>
      <c r="AK45" s="12" t="s">
        <v>1857</v>
      </c>
      <c r="AL45" s="911"/>
      <c r="AM45" s="911"/>
      <c r="AN45" s="911"/>
      <c r="AO45" s="911"/>
    </row>
    <row r="46" spans="1:41" ht="17.100000000000001" customHeight="1" thickBot="1" x14ac:dyDescent="0.3">
      <c r="A46" s="911"/>
      <c r="B46" s="1251"/>
      <c r="C46" s="1278"/>
      <c r="D46" s="1188" t="s">
        <v>1800</v>
      </c>
      <c r="E46" s="1188"/>
      <c r="F46" s="1709" t="str">
        <f ca="1">IF(ISERROR(F44*F45),"",F44*F45)</f>
        <v/>
      </c>
      <c r="G46" s="1709"/>
      <c r="H46" s="1709" t="str">
        <f ca="1">IF(ISERROR(H44*H45),"",H44*H45)</f>
        <v/>
      </c>
      <c r="I46" s="1564"/>
      <c r="J46" s="1709" t="str">
        <f ca="1">IF(ISERROR(J44*J45),"",J44*J45)</f>
        <v/>
      </c>
      <c r="K46" s="1564"/>
      <c r="L46" s="1709" t="str">
        <f ca="1">IF(ISERROR(L44*L45),"",L44*L45)</f>
        <v/>
      </c>
      <c r="M46" s="1564"/>
      <c r="N46" s="1709" t="str">
        <f ca="1">IF(ISERROR(N44*N45),"",N44*N45)</f>
        <v/>
      </c>
      <c r="O46" s="1564"/>
      <c r="P46" s="1709" t="str">
        <f ca="1">IF(ISERROR(P44*P45),"",P44*P45)</f>
        <v/>
      </c>
      <c r="Q46" s="1564"/>
      <c r="R46" s="1709" t="str">
        <f ca="1">IF(ISERROR(R44*R45),"",R44*R45)</f>
        <v/>
      </c>
      <c r="S46" s="1564"/>
      <c r="T46" s="1709" t="str">
        <f ca="1">IF(ISERROR(T44*T45),"",T44*T45)</f>
        <v/>
      </c>
      <c r="U46" s="1564"/>
      <c r="V46" s="1709" t="str">
        <f ca="1">IF(ISERROR(V44*V45),"",V44*V45)</f>
        <v/>
      </c>
      <c r="W46" s="1564"/>
      <c r="X46" s="1709" t="str">
        <f ca="1">IF(ISERROR(X44*X45),"",X44*X45)</f>
        <v/>
      </c>
      <c r="Y46" s="1564"/>
      <c r="Z46" s="1709" t="str">
        <f ca="1">IF(ISERROR(Z44*Z45),"",Z44*Z45)</f>
        <v/>
      </c>
      <c r="AA46" s="1564"/>
      <c r="AB46" s="1709" t="str">
        <f ca="1">IF(ISERROR(AB44*AB45),"",AB44*AB45)</f>
        <v/>
      </c>
      <c r="AC46" s="1564"/>
      <c r="AD46" s="1709" t="str">
        <f ca="1">IF(ISERROR(AD44*AD45),"",AD44*AD45)</f>
        <v/>
      </c>
      <c r="AE46" s="1564"/>
      <c r="AF46" s="1709" t="str">
        <f ca="1">IF(ISERROR(AF44*AF45),"",AF44*AF45)</f>
        <v/>
      </c>
      <c r="AG46" s="1564"/>
      <c r="AH46" s="1709" t="str">
        <f ca="1">IF(ISERROR(AH44*AH45),"",AH44*AH45)</f>
        <v/>
      </c>
      <c r="AI46" s="1278"/>
      <c r="AJ46" s="1252"/>
      <c r="AK46" s="911"/>
      <c r="AL46" s="911"/>
      <c r="AM46" s="911"/>
      <c r="AN46" s="911"/>
      <c r="AO46" s="911"/>
    </row>
    <row r="47" spans="1:41" ht="14.25" customHeight="1" thickBot="1" x14ac:dyDescent="0.3">
      <c r="A47" s="911"/>
      <c r="B47" s="1253"/>
      <c r="C47" s="1254"/>
      <c r="D47" s="552" t="s">
        <v>1858</v>
      </c>
      <c r="E47" s="1254"/>
      <c r="F47" s="1259"/>
      <c r="G47" s="1259"/>
      <c r="H47" s="1259"/>
      <c r="I47" s="1259"/>
      <c r="J47" s="1259"/>
      <c r="K47" s="1259"/>
      <c r="L47" s="1259"/>
      <c r="M47" s="1259"/>
      <c r="N47" s="1259"/>
      <c r="O47" s="1259"/>
      <c r="P47" s="1259"/>
      <c r="Q47" s="1259"/>
      <c r="R47" s="1254"/>
      <c r="S47" s="1254"/>
      <c r="T47" s="1254"/>
      <c r="U47" s="1254"/>
      <c r="V47" s="1254"/>
      <c r="W47" s="1254"/>
      <c r="X47" s="1254"/>
      <c r="Y47" s="1254"/>
      <c r="Z47" s="1254"/>
      <c r="AA47" s="1254"/>
      <c r="AB47" s="1254"/>
      <c r="AC47" s="1254"/>
      <c r="AD47" s="1254"/>
      <c r="AE47" s="1254"/>
      <c r="AF47" s="1254"/>
      <c r="AG47" s="1254"/>
      <c r="AH47" s="1254"/>
      <c r="AI47" s="1254"/>
      <c r="AJ47" s="1255"/>
      <c r="AK47" s="911"/>
      <c r="AL47" s="911"/>
      <c r="AM47" s="911"/>
      <c r="AN47" s="911"/>
      <c r="AO47" s="911"/>
    </row>
    <row r="48" spans="1:41" ht="14.25" customHeight="1" thickBot="1" x14ac:dyDescent="0.3">
      <c r="A48" s="911"/>
      <c r="B48" s="911"/>
      <c r="C48" s="911"/>
      <c r="D48" s="911"/>
      <c r="E48" s="41"/>
      <c r="F48" s="1256"/>
      <c r="G48" s="1256"/>
      <c r="H48" s="1256"/>
      <c r="I48" s="1256"/>
      <c r="J48" s="1256"/>
      <c r="K48" s="1256"/>
      <c r="L48" s="1256"/>
      <c r="M48" s="1256"/>
      <c r="N48" s="1256"/>
      <c r="O48" s="1256"/>
      <c r="P48" s="1256"/>
      <c r="Q48" s="1256"/>
      <c r="R48" s="911"/>
      <c r="S48" s="911"/>
      <c r="T48" s="911"/>
      <c r="U48" s="911"/>
      <c r="V48" s="911"/>
      <c r="W48" s="911"/>
      <c r="X48" s="911"/>
      <c r="Y48" s="911"/>
      <c r="Z48" s="911"/>
      <c r="AA48" s="911"/>
      <c r="AB48" s="911"/>
      <c r="AC48" s="911"/>
      <c r="AD48" s="911"/>
      <c r="AE48" s="911"/>
      <c r="AF48" s="911"/>
      <c r="AG48" s="911"/>
      <c r="AH48" s="911"/>
      <c r="AI48" s="911"/>
      <c r="AJ48" s="911"/>
      <c r="AK48" s="911"/>
      <c r="AL48" s="911"/>
      <c r="AM48" s="911"/>
      <c r="AN48" s="911"/>
      <c r="AO48" s="911"/>
    </row>
    <row r="49" spans="1:41" ht="14.25" customHeight="1" x14ac:dyDescent="0.25">
      <c r="A49" s="911"/>
      <c r="B49" s="1248"/>
      <c r="C49" s="1249"/>
      <c r="D49" s="1249"/>
      <c r="E49" s="1249"/>
      <c r="F49" s="1257"/>
      <c r="G49" s="1257"/>
      <c r="H49" s="1257"/>
      <c r="I49" s="1257"/>
      <c r="J49" s="1257"/>
      <c r="K49" s="1257"/>
      <c r="L49" s="1257"/>
      <c r="M49" s="1257"/>
      <c r="N49" s="1257"/>
      <c r="O49" s="1257"/>
      <c r="P49" s="1257"/>
      <c r="Q49" s="1257"/>
      <c r="R49" s="1249"/>
      <c r="S49" s="1249"/>
      <c r="T49" s="1249"/>
      <c r="U49" s="1249"/>
      <c r="V49" s="1249"/>
      <c r="W49" s="1249"/>
      <c r="X49" s="1249"/>
      <c r="Y49" s="1249"/>
      <c r="Z49" s="1249"/>
      <c r="AA49" s="1249"/>
      <c r="AB49" s="1249"/>
      <c r="AC49" s="1249"/>
      <c r="AD49" s="1249"/>
      <c r="AE49" s="1249"/>
      <c r="AF49" s="1249"/>
      <c r="AG49" s="1249"/>
      <c r="AH49" s="1249"/>
      <c r="AI49" s="1249"/>
      <c r="AJ49" s="1250"/>
      <c r="AK49" s="911"/>
      <c r="AL49" s="911"/>
      <c r="AM49" s="911"/>
      <c r="AN49" s="911"/>
      <c r="AO49" s="911"/>
    </row>
    <row r="50" spans="1:41" ht="14.25" customHeight="1" x14ac:dyDescent="0.3">
      <c r="A50" s="911"/>
      <c r="B50" s="1251"/>
      <c r="C50" s="1080"/>
      <c r="D50" s="246" t="str">
        <f>CONCATENATE("Age/Condition Adjustment - ",dpSales_ComponentNameB1," Component")</f>
        <v>Age/Condition Adjustment -  Component</v>
      </c>
      <c r="E50" s="246"/>
      <c r="F50" s="1258"/>
      <c r="G50" s="1258"/>
      <c r="H50" s="1258"/>
      <c r="I50" s="1258"/>
      <c r="J50" s="1258"/>
      <c r="K50" s="1258"/>
      <c r="L50" s="1258"/>
      <c r="M50" s="1258"/>
      <c r="N50" s="1258"/>
      <c r="O50" s="1258"/>
      <c r="P50" s="1258"/>
      <c r="Q50" s="1258"/>
      <c r="R50" s="1080"/>
      <c r="S50" s="1080"/>
      <c r="T50" s="1080"/>
      <c r="U50" s="1080"/>
      <c r="V50" s="1080"/>
      <c r="W50" s="1080"/>
      <c r="X50" s="1080"/>
      <c r="Y50" s="1080"/>
      <c r="Z50" s="1080"/>
      <c r="AA50" s="1080"/>
      <c r="AB50" s="1080"/>
      <c r="AC50" s="1080"/>
      <c r="AD50" s="1080"/>
      <c r="AE50" s="1080"/>
      <c r="AF50" s="1080"/>
      <c r="AG50" s="1080"/>
      <c r="AH50" s="1080"/>
      <c r="AI50" s="1080"/>
      <c r="AJ50" s="1252"/>
      <c r="AK50" s="911"/>
      <c r="AL50" s="911"/>
      <c r="AM50" s="911"/>
      <c r="AN50" s="911"/>
      <c r="AO50" s="911"/>
    </row>
    <row r="51" spans="1:41" ht="17.100000000000001" customHeight="1" x14ac:dyDescent="0.25">
      <c r="A51" s="911"/>
      <c r="B51" s="1251"/>
      <c r="C51" s="911"/>
      <c r="D51" s="12" t="s">
        <v>1100</v>
      </c>
      <c r="E51" s="12"/>
      <c r="F51" s="1269">
        <v>1</v>
      </c>
      <c r="G51" s="1269"/>
      <c r="H51" s="1269">
        <f>F51+1</f>
        <v>2</v>
      </c>
      <c r="I51" s="1269"/>
      <c r="J51" s="1269">
        <f>H51+1</f>
        <v>3</v>
      </c>
      <c r="K51" s="1269"/>
      <c r="L51" s="1269">
        <f>J51+1</f>
        <v>4</v>
      </c>
      <c r="M51" s="1269"/>
      <c r="N51" s="1269">
        <f>L51+1</f>
        <v>5</v>
      </c>
      <c r="O51" s="11"/>
      <c r="P51" s="1269">
        <f>N51+1</f>
        <v>6</v>
      </c>
      <c r="Q51" s="124"/>
      <c r="R51" s="1269">
        <f>P51+1</f>
        <v>7</v>
      </c>
      <c r="S51" s="11"/>
      <c r="T51" s="1269">
        <f>R51+1</f>
        <v>8</v>
      </c>
      <c r="U51" s="11"/>
      <c r="V51" s="1269">
        <f>T51+1</f>
        <v>9</v>
      </c>
      <c r="W51" s="11"/>
      <c r="X51" s="1269">
        <f>V51+1</f>
        <v>10</v>
      </c>
      <c r="Y51" s="11"/>
      <c r="Z51" s="1269">
        <f>X51+1</f>
        <v>11</v>
      </c>
      <c r="AA51" s="11"/>
      <c r="AB51" s="1269">
        <f>Z51+1</f>
        <v>12</v>
      </c>
      <c r="AC51" s="11"/>
      <c r="AD51" s="1269">
        <f>AB51+1</f>
        <v>13</v>
      </c>
      <c r="AE51" s="11"/>
      <c r="AF51" s="1269">
        <f>AD51+1</f>
        <v>14</v>
      </c>
      <c r="AG51" s="11"/>
      <c r="AH51" s="1269">
        <f>AF51+1</f>
        <v>15</v>
      </c>
      <c r="AI51" s="911"/>
      <c r="AJ51" s="1252"/>
      <c r="AK51" s="911"/>
      <c r="AL51" s="911"/>
      <c r="AM51" s="911"/>
      <c r="AN51" s="911"/>
      <c r="AO51" s="911"/>
    </row>
    <row r="52" spans="1:41" ht="17.100000000000001" customHeight="1" x14ac:dyDescent="0.25">
      <c r="A52" s="911"/>
      <c r="B52" s="1251"/>
      <c r="C52" s="1278"/>
      <c r="D52" s="1278" t="s">
        <v>10</v>
      </c>
      <c r="E52" s="1278"/>
      <c r="F52" s="2164">
        <f>HLOOKUP(F$51,'Improved Sales Adjustments 1'!$G$7:$WV$147,64,FALSE)</f>
        <v>0</v>
      </c>
      <c r="G52" s="1361"/>
      <c r="H52" s="2164">
        <f>HLOOKUP(H$51,'Improved Sales Adjustments 1'!$G$7:$WV$147,64,FALSE)</f>
        <v>0</v>
      </c>
      <c r="I52" s="1361"/>
      <c r="J52" s="2164">
        <f>HLOOKUP(J$51,'Improved Sales Adjustments 1'!$G$7:$WV$147,64,FALSE)</f>
        <v>0</v>
      </c>
      <c r="K52" s="1361"/>
      <c r="L52" s="2164">
        <f>HLOOKUP(L$51,'Improved Sales Adjustments 1'!$G$7:$WV$147,64,FALSE)</f>
        <v>0</v>
      </c>
      <c r="M52" s="1361"/>
      <c r="N52" s="2164">
        <f>HLOOKUP(N$51,'Improved Sales Adjustments 1'!$G$7:$WV$147,64,FALSE)</f>
        <v>0</v>
      </c>
      <c r="O52" s="1361"/>
      <c r="P52" s="2164">
        <f>HLOOKUP(P$51,'Improved Sales Adjustments 1'!$G$7:$WV$147,64,FALSE)</f>
        <v>0</v>
      </c>
      <c r="Q52" s="1361"/>
      <c r="R52" s="2164" t="e">
        <f>HLOOKUP(R$51,'Improved Sales Adjustments 1'!$G$7:$WV$147,64,FALSE)</f>
        <v>#N/A</v>
      </c>
      <c r="S52" s="1711"/>
      <c r="T52" s="2164" t="e">
        <f>HLOOKUP(T$51,'Improved Sales Adjustments 1'!$G$7:$WV$147,64,FALSE)</f>
        <v>#N/A</v>
      </c>
      <c r="U52" s="1711"/>
      <c r="V52" s="2164" t="e">
        <f>HLOOKUP(V$51,'Improved Sales Adjustments 1'!$G$7:$WV$147,64,FALSE)</f>
        <v>#N/A</v>
      </c>
      <c r="W52" s="1711"/>
      <c r="X52" s="2164" t="e">
        <f>HLOOKUP(X$51,'Improved Sales Adjustments 1'!$G$7:$WV$147,64,FALSE)</f>
        <v>#N/A</v>
      </c>
      <c r="Y52" s="1711"/>
      <c r="Z52" s="2164" t="e">
        <f>HLOOKUP(Z$51,'Improved Sales Adjustments 1'!$G$7:$WV$147,64,FALSE)</f>
        <v>#N/A</v>
      </c>
      <c r="AA52" s="1711"/>
      <c r="AB52" s="2164" t="e">
        <f>HLOOKUP(AB$51,'Improved Sales Adjustments 1'!$G$7:$WV$147,64,FALSE)</f>
        <v>#N/A</v>
      </c>
      <c r="AC52" s="1711"/>
      <c r="AD52" s="2164" t="e">
        <f>HLOOKUP(AD$51,'Improved Sales Adjustments 1'!$G$7:$WV$147,64,FALSE)</f>
        <v>#N/A</v>
      </c>
      <c r="AE52" s="1711"/>
      <c r="AF52" s="2164" t="e">
        <f>HLOOKUP(AF$51,'Improved Sales Adjustments 1'!$G$7:$WV$147,64,FALSE)</f>
        <v>#N/A</v>
      </c>
      <c r="AG52" s="1711"/>
      <c r="AH52" s="2164" t="e">
        <f>HLOOKUP(AH$51,'Improved Sales Adjustments 1'!$G$7:$WV$147,64,FALSE)</f>
        <v>#N/A</v>
      </c>
      <c r="AI52" s="1278"/>
      <c r="AJ52" s="1252"/>
      <c r="AK52" s="911"/>
      <c r="AL52" s="911"/>
      <c r="AM52" s="911"/>
      <c r="AN52" s="911"/>
      <c r="AO52" s="911"/>
    </row>
    <row r="53" spans="1:41" ht="17.100000000000001" customHeight="1" x14ac:dyDescent="0.25">
      <c r="A53" s="911"/>
      <c r="B53" s="1251"/>
      <c r="C53" s="1278"/>
      <c r="D53" s="1278" t="s">
        <v>538</v>
      </c>
      <c r="E53" s="1278"/>
      <c r="F53" s="2163">
        <f>HLOOKUP(F$51,'Improved Sales Adjustments 1'!$G$7:$WV$147,67,FALSE)</f>
        <v>0</v>
      </c>
      <c r="G53" s="1361"/>
      <c r="H53" s="2163">
        <f>HLOOKUP(H$51,'Improved Sales Adjustments 1'!$G$7:$WV$147,67,FALSE)</f>
        <v>0</v>
      </c>
      <c r="I53" s="1361"/>
      <c r="J53" s="2163">
        <f>HLOOKUP(J$51,'Improved Sales Adjustments 1'!$G$7:$WV$147,67,FALSE)</f>
        <v>0</v>
      </c>
      <c r="K53" s="1361"/>
      <c r="L53" s="2163">
        <f>HLOOKUP(L$51,'Improved Sales Adjustments 1'!$G$7:$WV$147,67,FALSE)</f>
        <v>0</v>
      </c>
      <c r="M53" s="1361"/>
      <c r="N53" s="2163">
        <f>HLOOKUP(N$51,'Improved Sales Adjustments 1'!$G$7:$WV$147,67,FALSE)</f>
        <v>0</v>
      </c>
      <c r="O53" s="1361"/>
      <c r="P53" s="2163">
        <f>HLOOKUP(P$51,'Improved Sales Adjustments 1'!$G$7:$WV$147,67,FALSE)</f>
        <v>0</v>
      </c>
      <c r="Q53" s="1361"/>
      <c r="R53" s="2163" t="e">
        <f>HLOOKUP(R$51,'Improved Sales Adjustments 1'!$G$7:$WV$147,67,FALSE)</f>
        <v>#N/A</v>
      </c>
      <c r="S53" s="1711"/>
      <c r="T53" s="2163" t="e">
        <f>HLOOKUP(T$51,'Improved Sales Adjustments 1'!$G$7:$WV$147,67,FALSE)</f>
        <v>#N/A</v>
      </c>
      <c r="U53" s="1711"/>
      <c r="V53" s="2163" t="e">
        <f>HLOOKUP(V$51,'Improved Sales Adjustments 1'!$G$7:$WV$147,67,FALSE)</f>
        <v>#N/A</v>
      </c>
      <c r="W53" s="1711"/>
      <c r="X53" s="2163" t="e">
        <f>HLOOKUP(X$51,'Improved Sales Adjustments 1'!$G$7:$WV$147,67,FALSE)</f>
        <v>#N/A</v>
      </c>
      <c r="Y53" s="1711"/>
      <c r="Z53" s="2163" t="e">
        <f>HLOOKUP(Z$51,'Improved Sales Adjustments 1'!$G$7:$WV$147,67,FALSE)</f>
        <v>#N/A</v>
      </c>
      <c r="AA53" s="1711"/>
      <c r="AB53" s="2163" t="e">
        <f>HLOOKUP(AB$51,'Improved Sales Adjustments 1'!$G$7:$WV$147,67,FALSE)</f>
        <v>#N/A</v>
      </c>
      <c r="AC53" s="1711"/>
      <c r="AD53" s="2163" t="e">
        <f>HLOOKUP(AD$51,'Improved Sales Adjustments 1'!$G$7:$WV$147,67,FALSE)</f>
        <v>#N/A</v>
      </c>
      <c r="AE53" s="1711"/>
      <c r="AF53" s="2163" t="e">
        <f>HLOOKUP(AF$51,'Improved Sales Adjustments 1'!$G$7:$WV$147,67,FALSE)</f>
        <v>#N/A</v>
      </c>
      <c r="AG53" s="1711"/>
      <c r="AH53" s="2163" t="e">
        <f>HLOOKUP(AH$51,'Improved Sales Adjustments 1'!$G$7:$WV$147,67,FALSE)</f>
        <v>#N/A</v>
      </c>
      <c r="AI53" s="1278"/>
      <c r="AJ53" s="1252"/>
      <c r="AK53" s="911"/>
      <c r="AL53" s="911"/>
      <c r="AM53" s="911"/>
      <c r="AN53" s="911"/>
      <c r="AO53" s="911"/>
    </row>
    <row r="54" spans="1:41" ht="17.100000000000001" customHeight="1" x14ac:dyDescent="0.25">
      <c r="A54" s="911"/>
      <c r="B54" s="1251"/>
      <c r="C54" s="1278"/>
      <c r="D54" s="1278" t="s">
        <v>17</v>
      </c>
      <c r="E54" s="1278"/>
      <c r="F54" s="2163">
        <f>HLOOKUP(F$51,'Improved Sales Adjustments 1'!$G$7:$WV$147,68,FALSE)</f>
        <v>0</v>
      </c>
      <c r="G54" s="1361"/>
      <c r="H54" s="2163">
        <f>HLOOKUP(H$51,'Improved Sales Adjustments 1'!$G$7:$WV$147,68,FALSE)</f>
        <v>0</v>
      </c>
      <c r="I54" s="1361"/>
      <c r="J54" s="2163">
        <f>HLOOKUP(J$51,'Improved Sales Adjustments 1'!$G$7:$WV$147,68,FALSE)</f>
        <v>0</v>
      </c>
      <c r="K54" s="1361"/>
      <c r="L54" s="2163">
        <f>HLOOKUP(L$51,'Improved Sales Adjustments 1'!$G$7:$WV$147,68,FALSE)</f>
        <v>0</v>
      </c>
      <c r="M54" s="1361"/>
      <c r="N54" s="2163">
        <f>HLOOKUP(N$51,'Improved Sales Adjustments 1'!$G$7:$WV$147,68,FALSE)</f>
        <v>0</v>
      </c>
      <c r="O54" s="1361"/>
      <c r="P54" s="2163">
        <f>HLOOKUP(P$51,'Improved Sales Adjustments 1'!$G$7:$WV$147,68,FALSE)</f>
        <v>0</v>
      </c>
      <c r="Q54" s="1361"/>
      <c r="R54" s="2163" t="e">
        <f>HLOOKUP(R$51,'Improved Sales Adjustments 1'!$G$7:$WV$147,68,FALSE)</f>
        <v>#N/A</v>
      </c>
      <c r="S54" s="1711"/>
      <c r="T54" s="2163" t="e">
        <f>HLOOKUP(T$51,'Improved Sales Adjustments 1'!$G$7:$WV$147,68,FALSE)</f>
        <v>#N/A</v>
      </c>
      <c r="U54" s="1711"/>
      <c r="V54" s="2163" t="e">
        <f>HLOOKUP(V$51,'Improved Sales Adjustments 1'!$G$7:$WV$147,68,FALSE)</f>
        <v>#N/A</v>
      </c>
      <c r="W54" s="1711"/>
      <c r="X54" s="2163" t="e">
        <f>HLOOKUP(X$51,'Improved Sales Adjustments 1'!$G$7:$WV$147,68,FALSE)</f>
        <v>#N/A</v>
      </c>
      <c r="Y54" s="1711"/>
      <c r="Z54" s="2163" t="e">
        <f>HLOOKUP(Z$51,'Improved Sales Adjustments 1'!$G$7:$WV$147,68,FALSE)</f>
        <v>#N/A</v>
      </c>
      <c r="AA54" s="1711"/>
      <c r="AB54" s="2163" t="e">
        <f>HLOOKUP(AB$51,'Improved Sales Adjustments 1'!$G$7:$WV$147,68,FALSE)</f>
        <v>#N/A</v>
      </c>
      <c r="AC54" s="1711"/>
      <c r="AD54" s="2163" t="e">
        <f>HLOOKUP(AD$51,'Improved Sales Adjustments 1'!$G$7:$WV$147,68,FALSE)</f>
        <v>#N/A</v>
      </c>
      <c r="AE54" s="1711"/>
      <c r="AF54" s="2163" t="e">
        <f>HLOOKUP(AF$51,'Improved Sales Adjustments 1'!$G$7:$WV$147,68,FALSE)</f>
        <v>#N/A</v>
      </c>
      <c r="AG54" s="1711"/>
      <c r="AH54" s="2163" t="e">
        <f>HLOOKUP(AH$51,'Improved Sales Adjustments 1'!$G$7:$WV$147,68,FALSE)</f>
        <v>#N/A</v>
      </c>
      <c r="AI54" s="1278"/>
      <c r="AJ54" s="1252"/>
      <c r="AK54" s="911"/>
      <c r="AL54" s="911"/>
      <c r="AM54" s="911"/>
      <c r="AN54" s="911"/>
      <c r="AO54" s="911"/>
    </row>
    <row r="55" spans="1:41" ht="17.100000000000001" customHeight="1" x14ac:dyDescent="0.25">
      <c r="A55" s="911"/>
      <c r="B55" s="1251"/>
      <c r="C55" s="1278"/>
      <c r="D55" s="1278" t="s">
        <v>244</v>
      </c>
      <c r="E55" s="1278"/>
      <c r="F55" s="2163">
        <f>HLOOKUP(F$51,'Improved Sales Adjustments 1'!$G$7:$WV$147,70,FALSE)</f>
        <v>0</v>
      </c>
      <c r="G55" s="1704"/>
      <c r="H55" s="2163">
        <f>HLOOKUP(H$51,'Improved Sales Adjustments 1'!$G$7:$WV$147,70,FALSE)</f>
        <v>0</v>
      </c>
      <c r="I55" s="1704"/>
      <c r="J55" s="2163">
        <f>HLOOKUP(J$51,'Improved Sales Adjustments 1'!$G$7:$WV$147,70,FALSE)</f>
        <v>0</v>
      </c>
      <c r="K55" s="1704"/>
      <c r="L55" s="2163">
        <f>HLOOKUP(L$51,'Improved Sales Adjustments 1'!$G$7:$WV$147,70,FALSE)</f>
        <v>0</v>
      </c>
      <c r="M55" s="1704"/>
      <c r="N55" s="2163">
        <f>HLOOKUP(N$51,'Improved Sales Adjustments 1'!$G$7:$WV$147,70,FALSE)</f>
        <v>0</v>
      </c>
      <c r="O55" s="1704"/>
      <c r="P55" s="2163">
        <f>HLOOKUP(P$51,'Improved Sales Adjustments 1'!$G$7:$WV$147,70,FALSE)</f>
        <v>0</v>
      </c>
      <c r="Q55" s="1704"/>
      <c r="R55" s="2163" t="e">
        <f>HLOOKUP(R$51,'Improved Sales Adjustments 1'!$G$7:$WV$147,70,FALSE)</f>
        <v>#N/A</v>
      </c>
      <c r="S55" s="1278"/>
      <c r="T55" s="2163" t="e">
        <f>HLOOKUP(T$51,'Improved Sales Adjustments 1'!$G$7:$WV$147,70,FALSE)</f>
        <v>#N/A</v>
      </c>
      <c r="U55" s="1278"/>
      <c r="V55" s="2163" t="e">
        <f>HLOOKUP(V$51,'Improved Sales Adjustments 1'!$G$7:$WV$147,70,FALSE)</f>
        <v>#N/A</v>
      </c>
      <c r="W55" s="1278"/>
      <c r="X55" s="2163" t="e">
        <f>HLOOKUP(X$51,'Improved Sales Adjustments 1'!$G$7:$WV$147,70,FALSE)</f>
        <v>#N/A</v>
      </c>
      <c r="Y55" s="1278"/>
      <c r="Z55" s="2163" t="e">
        <f>HLOOKUP(Z$51,'Improved Sales Adjustments 1'!$G$7:$WV$147,70,FALSE)</f>
        <v>#N/A</v>
      </c>
      <c r="AA55" s="1278"/>
      <c r="AB55" s="2163" t="e">
        <f>HLOOKUP(AB$51,'Improved Sales Adjustments 1'!$G$7:$WV$147,70,FALSE)</f>
        <v>#N/A</v>
      </c>
      <c r="AC55" s="1278"/>
      <c r="AD55" s="2163" t="e">
        <f>HLOOKUP(AD$51,'Improved Sales Adjustments 1'!$G$7:$WV$147,70,FALSE)</f>
        <v>#N/A</v>
      </c>
      <c r="AE55" s="1278"/>
      <c r="AF55" s="2163" t="e">
        <f>HLOOKUP(AF$51,'Improved Sales Adjustments 1'!$G$7:$WV$147,70,FALSE)</f>
        <v>#N/A</v>
      </c>
      <c r="AG55" s="1278"/>
      <c r="AH55" s="2163" t="e">
        <f>HLOOKUP(AH$51,'Improved Sales Adjustments 1'!$G$7:$WV$147,70,FALSE)</f>
        <v>#N/A</v>
      </c>
      <c r="AI55" s="1278"/>
      <c r="AJ55" s="1252"/>
      <c r="AK55" s="911"/>
      <c r="AL55" s="911"/>
      <c r="AM55" s="911"/>
      <c r="AN55" s="911"/>
      <c r="AO55" s="911"/>
    </row>
    <row r="56" spans="1:41" ht="17.100000000000001" customHeight="1" x14ac:dyDescent="0.25">
      <c r="A56" s="911"/>
      <c r="B56" s="1251"/>
      <c r="C56" s="1278"/>
      <c r="D56" s="1278" t="s">
        <v>1837</v>
      </c>
      <c r="E56" s="1278"/>
      <c r="F56" s="1712" t="e">
        <f>HLOOKUP(F$55,AutoAdj_Marshall_DepreciationTable_1,F$54+3,FALSE)</f>
        <v>#N/A</v>
      </c>
      <c r="G56" s="1704"/>
      <c r="H56" s="1712" t="e">
        <f>HLOOKUP(H$55,AutoAdj_Marshall_DepreciationTable_1,H$54+3,FALSE)</f>
        <v>#N/A</v>
      </c>
      <c r="I56" s="1704"/>
      <c r="J56" s="1712" t="e">
        <f>HLOOKUP(J$55,AutoAdj_Marshall_DepreciationTable_1,J$54+3,FALSE)</f>
        <v>#N/A</v>
      </c>
      <c r="K56" s="1704"/>
      <c r="L56" s="1712" t="e">
        <f>HLOOKUP(L$55,AutoAdj_Marshall_DepreciationTable_1,L$54+3,FALSE)</f>
        <v>#N/A</v>
      </c>
      <c r="M56" s="1704"/>
      <c r="N56" s="1712" t="e">
        <f>HLOOKUP(N$55,AutoAdj_Marshall_DepreciationTable_1,N$54+3,FALSE)</f>
        <v>#N/A</v>
      </c>
      <c r="O56" s="1704"/>
      <c r="P56" s="1712" t="e">
        <f>HLOOKUP(P$55,AutoAdj_Marshall_DepreciationTable_1,P$54+3,FALSE)</f>
        <v>#N/A</v>
      </c>
      <c r="Q56" s="1704"/>
      <c r="R56" s="1712" t="e">
        <f>HLOOKUP(R$55,AutoAdj_Marshall_DepreciationTable_1,R$54+3,FALSE)</f>
        <v>#N/A</v>
      </c>
      <c r="S56" s="1278"/>
      <c r="T56" s="1712" t="e">
        <f>HLOOKUP(T$55,AutoAdj_Marshall_DepreciationTable_1,T$54+3,FALSE)</f>
        <v>#N/A</v>
      </c>
      <c r="U56" s="1278"/>
      <c r="V56" s="1712" t="e">
        <f>HLOOKUP(V$55,AutoAdj_Marshall_DepreciationTable_1,V$54+3,FALSE)</f>
        <v>#N/A</v>
      </c>
      <c r="W56" s="1278"/>
      <c r="X56" s="1712" t="e">
        <f>HLOOKUP(X$55,AutoAdj_Marshall_DepreciationTable_1,X$54+3,FALSE)</f>
        <v>#N/A</v>
      </c>
      <c r="Y56" s="1278"/>
      <c r="Z56" s="1712" t="e">
        <f>HLOOKUP(Z$55,AutoAdj_Marshall_DepreciationTable_1,Z$54+3,FALSE)</f>
        <v>#N/A</v>
      </c>
      <c r="AA56" s="1278"/>
      <c r="AB56" s="1712" t="e">
        <f>HLOOKUP(AB$55,AutoAdj_Marshall_DepreciationTable_1,AB$54+3,FALSE)</f>
        <v>#N/A</v>
      </c>
      <c r="AC56" s="1278"/>
      <c r="AD56" s="1712" t="e">
        <f>HLOOKUP(AD$55,AutoAdj_Marshall_DepreciationTable_1,AD$54+3,FALSE)</f>
        <v>#N/A</v>
      </c>
      <c r="AE56" s="1278"/>
      <c r="AF56" s="1712" t="e">
        <f>HLOOKUP(AF$55,AutoAdj_Marshall_DepreciationTable_1,AF$54+3,FALSE)</f>
        <v>#N/A</v>
      </c>
      <c r="AG56" s="1278"/>
      <c r="AH56" s="1712" t="e">
        <f>HLOOKUP(AH$55,AutoAdj_Marshall_DepreciationTable_1,AH$54+3,FALSE)</f>
        <v>#N/A</v>
      </c>
      <c r="AI56" s="1278"/>
      <c r="AJ56" s="1252"/>
      <c r="AK56" s="911"/>
      <c r="AL56" s="911"/>
      <c r="AM56" s="911"/>
      <c r="AN56" s="911"/>
      <c r="AO56" s="911"/>
    </row>
    <row r="57" spans="1:41" ht="17.100000000000001" customHeight="1" x14ac:dyDescent="0.25">
      <c r="A57" s="911"/>
      <c r="B57" s="1251"/>
      <c r="C57" s="1278"/>
      <c r="D57" s="1713" t="s">
        <v>1836</v>
      </c>
      <c r="E57" s="1713"/>
      <c r="F57" s="2165">
        <f>HLOOKUP(Sales_AdjGrid_AgeTotalEco_1,AutoAdj_Marshall_DepreciationTable_1,Sales_AdjGrid_AgeEffective_1+3,FALSE)</f>
        <v>0</v>
      </c>
      <c r="G57" s="1715"/>
      <c r="H57" s="2165">
        <f>HLOOKUP(Sales_AdjGrid_AgeTotalEco_1,AutoAdj_Marshall_DepreciationTable_1,Sales_AdjGrid_AgeEffective_1+3,FALSE)</f>
        <v>0</v>
      </c>
      <c r="I57" s="1715"/>
      <c r="J57" s="2165">
        <f>HLOOKUP(Sales_AdjGrid_AgeTotalEco_1,AutoAdj_Marshall_DepreciationTable_1,Sales_AdjGrid_AgeEffective_1+3,FALSE)</f>
        <v>0</v>
      </c>
      <c r="K57" s="1715"/>
      <c r="L57" s="2165">
        <f>HLOOKUP(Sales_AdjGrid_AgeTotalEco_1,AutoAdj_Marshall_DepreciationTable_1,Sales_AdjGrid_AgeEffective_1+3,FALSE)</f>
        <v>0</v>
      </c>
      <c r="M57" s="1715"/>
      <c r="N57" s="2165">
        <f>HLOOKUP(Sales_AdjGrid_AgeTotalEco_1,AutoAdj_Marshall_DepreciationTable_1,Sales_AdjGrid_AgeEffective_1+3,FALSE)</f>
        <v>0</v>
      </c>
      <c r="O57" s="1715"/>
      <c r="P57" s="2165">
        <f>HLOOKUP(Sales_AdjGrid_AgeTotalEco_1,AutoAdj_Marshall_DepreciationTable_1,Sales_AdjGrid_AgeEffective_1+3,FALSE)</f>
        <v>0</v>
      </c>
      <c r="Q57" s="1715"/>
      <c r="R57" s="2165">
        <f>HLOOKUP(Sales_AdjGrid_AgeTotalEco_1,AutoAdj_Marshall_DepreciationTable_1,Sales_AdjGrid_AgeEffective_1+3,FALSE)</f>
        <v>0</v>
      </c>
      <c r="S57" s="1713"/>
      <c r="T57" s="2165">
        <f>HLOOKUP(Sales_AdjGrid_AgeTotalEco_1,AutoAdj_Marshall_DepreciationTable_1,Sales_AdjGrid_AgeEffective_1+3,FALSE)</f>
        <v>0</v>
      </c>
      <c r="U57" s="1713"/>
      <c r="V57" s="2165">
        <f>HLOOKUP(Sales_AdjGrid_AgeTotalEco_1,AutoAdj_Marshall_DepreciationTable_1,Sales_AdjGrid_AgeEffective_1+3,FALSE)</f>
        <v>0</v>
      </c>
      <c r="W57" s="1713"/>
      <c r="X57" s="2165">
        <f>HLOOKUP(Sales_AdjGrid_AgeTotalEco_1,AutoAdj_Marshall_DepreciationTable_1,Sales_AdjGrid_AgeEffective_1+3,FALSE)</f>
        <v>0</v>
      </c>
      <c r="Y57" s="1713"/>
      <c r="Z57" s="2165">
        <f>HLOOKUP(Sales_AdjGrid_AgeTotalEco_1,AutoAdj_Marshall_DepreciationTable_1,Sales_AdjGrid_AgeEffective_1+3,FALSE)</f>
        <v>0</v>
      </c>
      <c r="AA57" s="1713"/>
      <c r="AB57" s="2165">
        <f>HLOOKUP(Sales_AdjGrid_AgeTotalEco_1,AutoAdj_Marshall_DepreciationTable_1,Sales_AdjGrid_AgeEffective_1+3,FALSE)</f>
        <v>0</v>
      </c>
      <c r="AC57" s="1713"/>
      <c r="AD57" s="2165">
        <f>HLOOKUP(Sales_AdjGrid_AgeTotalEco_1,AutoAdj_Marshall_DepreciationTable_1,Sales_AdjGrid_AgeEffective_1+3,FALSE)</f>
        <v>0</v>
      </c>
      <c r="AE57" s="1713"/>
      <c r="AF57" s="2165">
        <f>HLOOKUP(Sales_AdjGrid_AgeTotalEco_1,AutoAdj_Marshall_DepreciationTable_1,Sales_AdjGrid_AgeEffective_1+3,FALSE)</f>
        <v>0</v>
      </c>
      <c r="AG57" s="1713"/>
      <c r="AH57" s="2165">
        <f>HLOOKUP(Sales_AdjGrid_AgeTotalEco_1,AutoAdj_Marshall_DepreciationTable_1,Sales_AdjGrid_AgeEffective_1+3,FALSE)</f>
        <v>0</v>
      </c>
      <c r="AI57" s="1278"/>
      <c r="AJ57" s="1252"/>
      <c r="AK57" s="911"/>
      <c r="AL57" s="911"/>
      <c r="AM57" s="911"/>
      <c r="AN57" s="911"/>
      <c r="AO57" s="911"/>
    </row>
    <row r="58" spans="1:41" ht="17.100000000000001" customHeight="1" x14ac:dyDescent="0.25">
      <c r="A58" s="911"/>
      <c r="B58" s="1251"/>
      <c r="C58" s="1278"/>
      <c r="D58" s="1278" t="s">
        <v>553</v>
      </c>
      <c r="E58" s="1278"/>
      <c r="F58" s="1712" t="e">
        <f>F56-F57</f>
        <v>#N/A</v>
      </c>
      <c r="G58" s="1704"/>
      <c r="H58" s="1712" t="e">
        <f>H56-H57</f>
        <v>#N/A</v>
      </c>
      <c r="I58" s="1704"/>
      <c r="J58" s="1712" t="e">
        <f>J56-J57</f>
        <v>#N/A</v>
      </c>
      <c r="K58" s="1704"/>
      <c r="L58" s="1712" t="e">
        <f>L56-L57</f>
        <v>#N/A</v>
      </c>
      <c r="M58" s="1704"/>
      <c r="N58" s="1712" t="e">
        <f>N56-N57</f>
        <v>#N/A</v>
      </c>
      <c r="O58" s="1704"/>
      <c r="P58" s="1712" t="e">
        <f>P56-P57</f>
        <v>#N/A</v>
      </c>
      <c r="Q58" s="1704"/>
      <c r="R58" s="1712" t="e">
        <f>R56-R57</f>
        <v>#N/A</v>
      </c>
      <c r="S58" s="1278"/>
      <c r="T58" s="1712" t="e">
        <f>T56-T57</f>
        <v>#N/A</v>
      </c>
      <c r="U58" s="1278"/>
      <c r="V58" s="1712" t="e">
        <f>V56-V57</f>
        <v>#N/A</v>
      </c>
      <c r="W58" s="1278"/>
      <c r="X58" s="1712" t="e">
        <f>X56-X57</f>
        <v>#N/A</v>
      </c>
      <c r="Y58" s="1278"/>
      <c r="Z58" s="1712" t="e">
        <f>Z56-Z57</f>
        <v>#N/A</v>
      </c>
      <c r="AA58" s="1278"/>
      <c r="AB58" s="1712" t="e">
        <f>AB56-AB57</f>
        <v>#N/A</v>
      </c>
      <c r="AC58" s="1278"/>
      <c r="AD58" s="1712" t="e">
        <f>AD56-AD57</f>
        <v>#N/A</v>
      </c>
      <c r="AE58" s="1278"/>
      <c r="AF58" s="1712" t="e">
        <f>AF56-AF57</f>
        <v>#N/A</v>
      </c>
      <c r="AG58" s="1278"/>
      <c r="AH58" s="1712" t="e">
        <f>AH56-AH57</f>
        <v>#N/A</v>
      </c>
      <c r="AI58" s="1278"/>
      <c r="AJ58" s="1252"/>
      <c r="AK58" s="911"/>
      <c r="AL58" s="911"/>
      <c r="AM58" s="911"/>
      <c r="AN58" s="911"/>
      <c r="AO58" s="911"/>
    </row>
    <row r="59" spans="1:41" ht="17.100000000000001" customHeight="1" x14ac:dyDescent="0.25">
      <c r="A59" s="911"/>
      <c r="B59" s="1251"/>
      <c r="C59" s="1278"/>
      <c r="D59" s="1713" t="s">
        <v>1835</v>
      </c>
      <c r="E59" s="1713"/>
      <c r="F59" s="2166">
        <v>0.8</v>
      </c>
      <c r="G59" s="2166"/>
      <c r="H59" s="2166">
        <f>dpSales_AgeCondition_Ratio_1</f>
        <v>0.8</v>
      </c>
      <c r="I59" s="1279"/>
      <c r="J59" s="2166">
        <f>dpSales_AgeCondition_Ratio_1</f>
        <v>0.8</v>
      </c>
      <c r="K59" s="1279"/>
      <c r="L59" s="2166">
        <f>dpSales_AgeCondition_Ratio_1</f>
        <v>0.8</v>
      </c>
      <c r="M59" s="1279"/>
      <c r="N59" s="2166">
        <f>dpSales_AgeCondition_Ratio_1</f>
        <v>0.8</v>
      </c>
      <c r="O59" s="1279"/>
      <c r="P59" s="2166">
        <f>dpSales_AgeCondition_Ratio_1</f>
        <v>0.8</v>
      </c>
      <c r="Q59" s="1279"/>
      <c r="R59" s="2166">
        <f>dpSales_AgeCondition_Ratio_1</f>
        <v>0.8</v>
      </c>
      <c r="S59" s="1280"/>
      <c r="T59" s="2166">
        <f>dpSales_AgeCondition_Ratio_1</f>
        <v>0.8</v>
      </c>
      <c r="U59" s="1280"/>
      <c r="V59" s="2166">
        <f>dpSales_AgeCondition_Ratio_1</f>
        <v>0.8</v>
      </c>
      <c r="W59" s="1280"/>
      <c r="X59" s="2166">
        <f>dpSales_AgeCondition_Ratio_1</f>
        <v>0.8</v>
      </c>
      <c r="Y59" s="1280"/>
      <c r="Z59" s="2166">
        <f>dpSales_AgeCondition_Ratio_1</f>
        <v>0.8</v>
      </c>
      <c r="AA59" s="1280"/>
      <c r="AB59" s="2166">
        <f>dpSales_AgeCondition_Ratio_1</f>
        <v>0.8</v>
      </c>
      <c r="AC59" s="1280"/>
      <c r="AD59" s="2166">
        <f>dpSales_AgeCondition_Ratio_1</f>
        <v>0.8</v>
      </c>
      <c r="AE59" s="1280"/>
      <c r="AF59" s="2166">
        <f>dpSales_AgeCondition_Ratio_1</f>
        <v>0.8</v>
      </c>
      <c r="AG59" s="1280"/>
      <c r="AH59" s="2166">
        <f>dpSales_AgeCondition_Ratio_1</f>
        <v>0.8</v>
      </c>
      <c r="AI59" s="1278"/>
      <c r="AJ59" s="1252"/>
      <c r="AK59" s="911"/>
      <c r="AL59" s="911"/>
      <c r="AM59" s="911"/>
      <c r="AN59" s="911"/>
      <c r="AO59" s="911"/>
    </row>
    <row r="60" spans="1:41" ht="17.100000000000001" customHeight="1" thickBot="1" x14ac:dyDescent="0.3">
      <c r="A60" s="911"/>
      <c r="B60" s="1251"/>
      <c r="C60" s="1278"/>
      <c r="D60" s="1188" t="s">
        <v>1834</v>
      </c>
      <c r="E60" s="1188"/>
      <c r="F60" s="1709" t="str">
        <f>IF(ISERROR(F58*F59),"",F58*F59)</f>
        <v/>
      </c>
      <c r="G60" s="1709"/>
      <c r="H60" s="1709" t="str">
        <f>IF(ISERROR(H58*H59),"",H58*H59)</f>
        <v/>
      </c>
      <c r="I60" s="1564"/>
      <c r="J60" s="1709" t="str">
        <f>IF(ISERROR(J58*J59),"",J58*J59)</f>
        <v/>
      </c>
      <c r="K60" s="1564"/>
      <c r="L60" s="1709" t="str">
        <f>IF(ISERROR(L58*L59),"",L58*L59)</f>
        <v/>
      </c>
      <c r="M60" s="1564"/>
      <c r="N60" s="1709" t="str">
        <f>IF(ISERROR(N58*N59),"",N58*N59)</f>
        <v/>
      </c>
      <c r="O60" s="1564"/>
      <c r="P60" s="1709" t="str">
        <f>IF(ISERROR(P58*P59),"",P58*P59)</f>
        <v/>
      </c>
      <c r="Q60" s="1564"/>
      <c r="R60" s="1709" t="str">
        <f>IF(ISERROR(R58*R59),"",R58*R59)</f>
        <v/>
      </c>
      <c r="S60" s="1564"/>
      <c r="T60" s="1709" t="str">
        <f>IF(ISERROR(T58*T59),"",T58*T59)</f>
        <v/>
      </c>
      <c r="U60" s="1564"/>
      <c r="V60" s="1709" t="str">
        <f>IF(ISERROR(V58*V59),"",V58*V59)</f>
        <v/>
      </c>
      <c r="W60" s="1564"/>
      <c r="X60" s="1709" t="str">
        <f>IF(ISERROR(X58*X59),"",X58*X59)</f>
        <v/>
      </c>
      <c r="Y60" s="1564"/>
      <c r="Z60" s="1709" t="str">
        <f>IF(ISERROR(Z58*Z59),"",Z58*Z59)</f>
        <v/>
      </c>
      <c r="AA60" s="1564"/>
      <c r="AB60" s="1709" t="str">
        <f>IF(ISERROR(AB58*AB59),"",AB58*AB59)</f>
        <v/>
      </c>
      <c r="AC60" s="1564"/>
      <c r="AD60" s="1709" t="str">
        <f>IF(ISERROR(AD58*AD59),"",AD58*AD59)</f>
        <v/>
      </c>
      <c r="AE60" s="1564"/>
      <c r="AF60" s="1709" t="str">
        <f>IF(ISERROR(AF58*AF59),"",AF58*AF59)</f>
        <v/>
      </c>
      <c r="AG60" s="1564"/>
      <c r="AH60" s="1709" t="str">
        <f>IF(ISERROR(AH58*AH59),"",AH58*AH59)</f>
        <v/>
      </c>
      <c r="AI60" s="1278"/>
      <c r="AJ60" s="1252"/>
      <c r="AK60" s="911"/>
      <c r="AL60" s="911"/>
      <c r="AM60" s="911"/>
      <c r="AN60" s="911"/>
      <c r="AO60" s="911"/>
    </row>
    <row r="61" spans="1:41" ht="14.25" customHeight="1" thickBot="1" x14ac:dyDescent="0.3">
      <c r="A61" s="911"/>
      <c r="B61" s="1253"/>
      <c r="C61" s="1254"/>
      <c r="D61" s="552" t="s">
        <v>1839</v>
      </c>
      <c r="E61" s="1254"/>
      <c r="F61" s="1259"/>
      <c r="G61" s="1259"/>
      <c r="H61" s="1259"/>
      <c r="I61" s="1259"/>
      <c r="J61" s="1259"/>
      <c r="K61" s="1259"/>
      <c r="L61" s="1259"/>
      <c r="M61" s="1259"/>
      <c r="N61" s="1259"/>
      <c r="O61" s="1259"/>
      <c r="P61" s="1259"/>
      <c r="Q61" s="1259"/>
      <c r="R61" s="1254"/>
      <c r="S61" s="1254"/>
      <c r="T61" s="1254"/>
      <c r="U61" s="1254"/>
      <c r="V61" s="1254"/>
      <c r="W61" s="1254"/>
      <c r="X61" s="1254"/>
      <c r="Y61" s="1254"/>
      <c r="Z61" s="1254"/>
      <c r="AA61" s="1254"/>
      <c r="AB61" s="1254"/>
      <c r="AC61" s="1254"/>
      <c r="AD61" s="1254"/>
      <c r="AE61" s="1254"/>
      <c r="AF61" s="1254"/>
      <c r="AG61" s="1254"/>
      <c r="AH61" s="1254"/>
      <c r="AI61" s="1254"/>
      <c r="AJ61" s="1255"/>
      <c r="AK61" s="911"/>
      <c r="AL61" s="911"/>
      <c r="AM61" s="911"/>
      <c r="AN61" s="911"/>
      <c r="AO61" s="911"/>
    </row>
    <row r="62" spans="1:41" ht="14.25" customHeight="1" x14ac:dyDescent="0.25">
      <c r="A62" s="911"/>
      <c r="B62" s="911"/>
      <c r="C62" s="911"/>
      <c r="D62" s="911"/>
      <c r="E62" s="41"/>
      <c r="F62" s="957">
        <f>IF(ISERROR(F8),0,1)</f>
        <v>1</v>
      </c>
      <c r="G62" s="957">
        <f>H62</f>
        <v>1</v>
      </c>
      <c r="H62" s="957">
        <f>IF(ISERROR(H8),0,1)</f>
        <v>1</v>
      </c>
      <c r="I62" s="957">
        <f>J62</f>
        <v>1</v>
      </c>
      <c r="J62" s="957">
        <f>IF(ISERROR(J8),0,1)</f>
        <v>1</v>
      </c>
      <c r="K62" s="957">
        <f>L62</f>
        <v>1</v>
      </c>
      <c r="L62" s="957">
        <f>IF(ISERROR(L8),0,1)</f>
        <v>1</v>
      </c>
      <c r="M62" s="957">
        <f>N62</f>
        <v>1</v>
      </c>
      <c r="N62" s="957">
        <f>IF(ISERROR(N8),0,1)</f>
        <v>1</v>
      </c>
      <c r="O62" s="957">
        <f>P62</f>
        <v>1</v>
      </c>
      <c r="P62" s="957">
        <f>IF(ISERROR(P8),0,1)</f>
        <v>1</v>
      </c>
      <c r="Q62" s="957">
        <f>R62</f>
        <v>0</v>
      </c>
      <c r="R62" s="957">
        <f>IF(ISERROR(R8),0,1)</f>
        <v>0</v>
      </c>
      <c r="S62" s="957">
        <f>T62</f>
        <v>0</v>
      </c>
      <c r="T62" s="957">
        <f>IF(ISERROR(T8),0,1)</f>
        <v>0</v>
      </c>
      <c r="U62" s="957">
        <f>V62</f>
        <v>0</v>
      </c>
      <c r="V62" s="957">
        <f>IF(ISERROR(V8),0,1)</f>
        <v>0</v>
      </c>
      <c r="W62" s="957">
        <f>X62</f>
        <v>0</v>
      </c>
      <c r="X62" s="957">
        <f>IF(ISERROR(X8),0,1)</f>
        <v>0</v>
      </c>
      <c r="Y62" s="957">
        <f>Z62</f>
        <v>0</v>
      </c>
      <c r="Z62" s="957">
        <f>IF(ISERROR(Z8),0,1)</f>
        <v>0</v>
      </c>
      <c r="AA62" s="957">
        <f>AB62</f>
        <v>0</v>
      </c>
      <c r="AB62" s="957">
        <f>IF(ISERROR(AB8),0,1)</f>
        <v>0</v>
      </c>
      <c r="AC62" s="957">
        <f>AD62</f>
        <v>0</v>
      </c>
      <c r="AD62" s="957">
        <f>IF(ISERROR(AD8),0,1)</f>
        <v>0</v>
      </c>
      <c r="AE62" s="957">
        <f>AF62</f>
        <v>0</v>
      </c>
      <c r="AF62" s="957">
        <f>IF(ISERROR(AF8),0,1)</f>
        <v>0</v>
      </c>
      <c r="AG62" s="957">
        <f>AH62</f>
        <v>0</v>
      </c>
      <c r="AH62" s="957">
        <f>IF(ISERROR(AH8),0,1)</f>
        <v>0</v>
      </c>
      <c r="AI62" s="911"/>
      <c r="AJ62" s="911"/>
      <c r="AK62" s="911"/>
      <c r="AL62" s="911"/>
      <c r="AM62" s="911"/>
      <c r="AN62" s="911"/>
      <c r="AO62" s="911"/>
    </row>
  </sheetData>
  <mergeCells count="9">
    <mergeCell ref="J34:L34"/>
    <mergeCell ref="J35:L35"/>
    <mergeCell ref="AK10:AK11"/>
    <mergeCell ref="AK23:AK24"/>
    <mergeCell ref="G30:I30"/>
    <mergeCell ref="J30:L30"/>
    <mergeCell ref="J31:L31"/>
    <mergeCell ref="J32:L32"/>
    <mergeCell ref="J33:L33"/>
  </mergeCells>
  <pageMargins left="0.7" right="0.7" top="0.75" bottom="0.75" header="0.3" footer="0.3"/>
  <drawing r:id="rId1"/>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5">
    <tabColor theme="7"/>
  </sheetPr>
  <dimension ref="A1:AD229"/>
  <sheetViews>
    <sheetView workbookViewId="0">
      <selection activeCell="T137" sqref="T137"/>
    </sheetView>
  </sheetViews>
  <sheetFormatPr defaultRowHeight="14.25" x14ac:dyDescent="0.25"/>
  <cols>
    <col min="1" max="1" width="5.7109375" style="911" customWidth="1"/>
    <col min="2" max="2" width="1.7109375" customWidth="1"/>
    <col min="3" max="3" width="0.85546875" customWidth="1"/>
    <col min="4" max="4" width="17.7109375" customWidth="1"/>
    <col min="5" max="5" width="8.7109375" customWidth="1"/>
    <col min="6" max="6" width="15.7109375" customWidth="1"/>
    <col min="7" max="11" width="15.7109375" style="1838" customWidth="1"/>
    <col min="12" max="12" width="14.7109375" style="1995" customWidth="1"/>
    <col min="13" max="13" width="0.85546875" customWidth="1"/>
    <col min="14" max="14" width="1.7109375" customWidth="1"/>
    <col min="15" max="15" width="5.7109375" customWidth="1"/>
    <col min="16" max="16" width="1.7109375" customWidth="1"/>
    <col min="17" max="17" width="0.85546875" customWidth="1"/>
    <col min="18" max="18" width="1.7109375" customWidth="1"/>
    <col min="19" max="19" width="26.7109375" customWidth="1"/>
    <col min="20" max="22" width="14.7109375" customWidth="1"/>
    <col min="23" max="23" width="0.85546875" customWidth="1"/>
    <col min="24" max="24" width="12.28515625" customWidth="1"/>
    <col min="25" max="25" width="0.85546875" customWidth="1"/>
    <col min="26" max="26" width="1.7109375" customWidth="1"/>
    <col min="27" max="27" width="5.7109375" customWidth="1"/>
    <col min="28" max="28" width="9.7109375" customWidth="1"/>
    <col min="29" max="29" width="10.7109375" customWidth="1"/>
  </cols>
  <sheetData>
    <row r="1" spans="1:30" ht="60" customHeight="1" x14ac:dyDescent="0.25">
      <c r="A1" s="707"/>
      <c r="B1" s="10"/>
      <c r="C1" s="10"/>
      <c r="D1" s="10"/>
      <c r="E1" s="10"/>
      <c r="F1" s="10"/>
      <c r="G1" s="1774"/>
      <c r="H1" s="1774"/>
      <c r="I1" s="1774"/>
      <c r="J1" s="1774"/>
      <c r="K1" s="1774"/>
      <c r="L1" s="1943"/>
      <c r="M1" s="10"/>
      <c r="N1" s="10"/>
      <c r="O1" s="10"/>
      <c r="P1" s="10"/>
      <c r="Q1" s="10"/>
      <c r="R1" s="10"/>
      <c r="S1" s="10"/>
      <c r="T1" s="10"/>
      <c r="U1" s="10"/>
      <c r="V1" s="10"/>
      <c r="W1" s="10"/>
      <c r="X1" s="10"/>
      <c r="Y1" s="10"/>
      <c r="Z1" s="10"/>
      <c r="AA1" s="10"/>
      <c r="AB1" s="10"/>
      <c r="AC1" s="10"/>
      <c r="AD1" s="10"/>
    </row>
    <row r="2" spans="1:30" ht="21.95" customHeight="1" x14ac:dyDescent="0.25">
      <c r="A2" s="707"/>
      <c r="B2" s="10"/>
      <c r="C2" s="10"/>
      <c r="D2" s="32"/>
      <c r="E2" s="751"/>
      <c r="F2" s="10"/>
      <c r="G2" s="1774"/>
      <c r="H2" s="1774"/>
      <c r="I2" s="1774"/>
      <c r="J2" s="1774"/>
      <c r="K2" s="1774"/>
      <c r="L2" s="1943"/>
      <c r="M2" s="10"/>
      <c r="N2" s="10"/>
      <c r="O2" s="10"/>
      <c r="P2" s="10"/>
      <c r="Q2" s="10"/>
      <c r="R2" s="10"/>
      <c r="S2" s="10"/>
      <c r="T2" s="10"/>
      <c r="U2" s="10"/>
      <c r="V2" s="10"/>
      <c r="W2" s="10"/>
      <c r="X2" s="10"/>
      <c r="Y2" s="10"/>
      <c r="Z2" s="10"/>
      <c r="AA2" s="10"/>
      <c r="AB2" s="10"/>
      <c r="AC2" s="10"/>
      <c r="AD2" s="10"/>
    </row>
    <row r="3" spans="1:30" ht="21.95" customHeight="1" x14ac:dyDescent="0.25">
      <c r="A3" s="707"/>
      <c r="B3" s="10"/>
      <c r="C3" s="10"/>
      <c r="D3" s="32"/>
      <c r="E3" s="751"/>
      <c r="F3" s="10"/>
      <c r="G3" s="1774"/>
      <c r="H3" s="1774"/>
      <c r="I3" s="1774"/>
      <c r="J3" s="1774"/>
      <c r="K3" s="1774"/>
      <c r="L3" s="1943"/>
      <c r="M3" s="10"/>
      <c r="N3" s="10"/>
      <c r="O3" s="10"/>
      <c r="P3" s="10"/>
      <c r="Q3" s="10"/>
      <c r="R3" s="10"/>
      <c r="S3" s="10"/>
      <c r="T3" s="10"/>
      <c r="U3" s="10"/>
      <c r="V3" s="10"/>
      <c r="W3" s="10"/>
      <c r="X3" s="10"/>
      <c r="Y3" s="10"/>
      <c r="Z3" s="10"/>
      <c r="AA3" s="10"/>
      <c r="AB3" s="10"/>
      <c r="AC3" s="10"/>
      <c r="AD3" s="10"/>
    </row>
    <row r="4" spans="1:30" ht="21.95" customHeight="1" thickBot="1" x14ac:dyDescent="0.3">
      <c r="A4" s="707"/>
      <c r="B4" s="10"/>
      <c r="C4" s="10"/>
      <c r="D4" s="32"/>
      <c r="E4" s="751"/>
      <c r="F4" s="10"/>
      <c r="G4" s="1774"/>
      <c r="H4" s="1774"/>
      <c r="I4" s="1774"/>
      <c r="J4" s="1774"/>
      <c r="K4" s="1774"/>
      <c r="L4" s="1943"/>
      <c r="M4" s="10"/>
      <c r="N4" s="10"/>
      <c r="O4" s="10"/>
      <c r="P4" s="10"/>
      <c r="Q4" s="10"/>
      <c r="R4" s="10"/>
      <c r="S4" s="10"/>
      <c r="T4" s="10"/>
      <c r="U4" s="10"/>
      <c r="V4" s="10"/>
      <c r="W4" s="10"/>
      <c r="X4" s="10"/>
      <c r="Y4" s="10"/>
      <c r="Z4" s="10"/>
      <c r="AA4" s="10"/>
      <c r="AB4" s="10"/>
      <c r="AC4" s="10"/>
      <c r="AD4" s="10"/>
    </row>
    <row r="5" spans="1:30" ht="14.25" customHeight="1" x14ac:dyDescent="0.25">
      <c r="A5" s="1086"/>
      <c r="B5" s="94"/>
      <c r="C5" s="2"/>
      <c r="D5" s="2"/>
      <c r="E5" s="2"/>
      <c r="F5" s="2"/>
      <c r="G5" s="1876">
        <f t="shared" ref="G5:L5" si="0">G7</f>
        <v>1</v>
      </c>
      <c r="H5" s="1876">
        <f t="shared" si="0"/>
        <v>2</v>
      </c>
      <c r="I5" s="1876">
        <f t="shared" si="0"/>
        <v>3</v>
      </c>
      <c r="J5" s="1876">
        <f t="shared" si="0"/>
        <v>4</v>
      </c>
      <c r="K5" s="1876">
        <f t="shared" si="0"/>
        <v>5</v>
      </c>
      <c r="L5" s="1969">
        <f t="shared" si="0"/>
        <v>6</v>
      </c>
      <c r="M5" s="2"/>
      <c r="N5" s="3"/>
      <c r="O5" s="10"/>
      <c r="P5" s="10"/>
      <c r="Q5" s="10"/>
      <c r="R5" s="10"/>
      <c r="S5" s="10"/>
      <c r="T5" s="10"/>
      <c r="U5" s="10"/>
      <c r="V5" s="10"/>
      <c r="W5" s="10"/>
      <c r="X5" s="10"/>
      <c r="Y5" s="10"/>
      <c r="Z5" s="10"/>
      <c r="AA5" s="10"/>
      <c r="AB5" s="10"/>
      <c r="AC5" s="10"/>
      <c r="AD5" s="10"/>
    </row>
    <row r="6" spans="1:30" ht="16.5" customHeight="1" x14ac:dyDescent="0.25">
      <c r="A6" s="4146" t="s">
        <v>1262</v>
      </c>
      <c r="B6" s="16"/>
      <c r="C6" s="5"/>
      <c r="D6" s="505" t="str">
        <f>CONCATENATE("Improved Sales Comparison Approach Adjustment Grid - ",dpSales_ComponentNameB1," Component")</f>
        <v>Improved Sales Comparison Approach Adjustment Grid -  Component</v>
      </c>
      <c r="E6" s="5"/>
      <c r="F6" s="5"/>
      <c r="G6" s="1877"/>
      <c r="H6" s="1877"/>
      <c r="I6" s="1877"/>
      <c r="J6" s="1877"/>
      <c r="K6" s="1877"/>
      <c r="L6" s="1970"/>
      <c r="M6" s="51"/>
      <c r="N6" s="6"/>
      <c r="O6" s="10"/>
      <c r="P6" s="10"/>
      <c r="Q6" s="10"/>
      <c r="R6" s="10"/>
      <c r="S6" s="10"/>
      <c r="T6" s="10"/>
      <c r="U6" s="10"/>
      <c r="V6" s="10"/>
      <c r="W6" s="10"/>
      <c r="X6" s="10"/>
      <c r="Y6" s="10"/>
      <c r="Z6" s="10"/>
      <c r="AA6" s="10"/>
      <c r="AB6" s="10"/>
      <c r="AC6" s="10"/>
      <c r="AD6" s="10"/>
    </row>
    <row r="7" spans="1:30" ht="16.5" customHeight="1" x14ac:dyDescent="0.25">
      <c r="A7" s="4146"/>
      <c r="B7" s="16"/>
      <c r="C7" s="11"/>
      <c r="D7" s="11"/>
      <c r="E7" s="150"/>
      <c r="F7" s="150" t="s">
        <v>116</v>
      </c>
      <c r="G7" s="1878">
        <v>1</v>
      </c>
      <c r="H7" s="1878">
        <v>2</v>
      </c>
      <c r="I7" s="1878">
        <v>3</v>
      </c>
      <c r="J7" s="1878">
        <v>4</v>
      </c>
      <c r="K7" s="1878">
        <v>5</v>
      </c>
      <c r="L7" s="1971">
        <v>6</v>
      </c>
      <c r="M7" s="150"/>
      <c r="N7" s="6"/>
      <c r="O7" s="10"/>
      <c r="P7" s="10"/>
      <c r="Q7" s="10"/>
      <c r="R7" s="10"/>
      <c r="S7" s="10"/>
      <c r="T7" s="10"/>
      <c r="U7" s="10"/>
      <c r="V7" s="10"/>
      <c r="W7" s="10"/>
      <c r="X7" s="10"/>
      <c r="Y7" s="10"/>
      <c r="Z7" s="10"/>
      <c r="AA7" s="10"/>
      <c r="AB7" s="10"/>
      <c r="AC7" s="10"/>
      <c r="AD7" s="10"/>
    </row>
    <row r="8" spans="1:30" ht="5.0999999999999996" customHeight="1" x14ac:dyDescent="0.25">
      <c r="A8" s="707"/>
      <c r="B8" s="16"/>
      <c r="C8" s="101"/>
      <c r="D8" s="101"/>
      <c r="E8" s="101"/>
      <c r="F8" s="101"/>
      <c r="G8" s="1830"/>
      <c r="H8" s="1830"/>
      <c r="I8" s="1830"/>
      <c r="J8" s="1830"/>
      <c r="K8" s="1830"/>
      <c r="L8" s="1972"/>
      <c r="M8" s="101"/>
      <c r="N8" s="6"/>
      <c r="O8" s="10"/>
      <c r="P8" s="10"/>
      <c r="Q8" s="10"/>
      <c r="R8" s="10"/>
      <c r="S8" s="10"/>
      <c r="T8" s="10"/>
      <c r="U8" s="10"/>
      <c r="V8" s="10"/>
      <c r="W8" s="10"/>
      <c r="X8" s="10"/>
      <c r="Y8" s="10"/>
      <c r="Z8" s="10"/>
      <c r="AA8" s="10"/>
      <c r="AB8" s="10"/>
      <c r="AC8" s="10"/>
      <c r="AD8" s="10"/>
    </row>
    <row r="9" spans="1:30" ht="15" customHeight="1" x14ac:dyDescent="0.25">
      <c r="A9" s="1374">
        <v>1</v>
      </c>
      <c r="B9" s="16"/>
      <c r="C9" s="101"/>
      <c r="D9" s="480" t="s">
        <v>703</v>
      </c>
      <c r="E9" s="522"/>
      <c r="F9" s="1127"/>
      <c r="G9" s="1787"/>
      <c r="H9" s="1787"/>
      <c r="I9" s="1787"/>
      <c r="J9" s="1787"/>
      <c r="K9" s="1787"/>
      <c r="L9" s="1193"/>
      <c r="M9" s="101"/>
      <c r="N9" s="6"/>
      <c r="O9" s="10"/>
      <c r="P9" s="10"/>
      <c r="Q9" s="10"/>
      <c r="R9" s="10"/>
      <c r="S9" s="10"/>
      <c r="T9" s="10"/>
      <c r="U9" s="10"/>
      <c r="V9" s="10"/>
      <c r="W9" s="10"/>
      <c r="X9" s="10"/>
      <c r="Y9" s="10"/>
      <c r="Z9" s="10"/>
      <c r="AA9" s="10"/>
      <c r="AB9" s="10"/>
      <c r="AC9" s="10"/>
      <c r="AD9" s="10"/>
    </row>
    <row r="10" spans="1:30" ht="15" customHeight="1" x14ac:dyDescent="0.25">
      <c r="A10" s="972">
        <v>1</v>
      </c>
      <c r="B10" s="16"/>
      <c r="C10" s="101"/>
      <c r="D10" s="480" t="s">
        <v>830</v>
      </c>
      <c r="E10" s="802"/>
      <c r="F10" s="1048" t="s">
        <v>17901</v>
      </c>
      <c r="G10" s="1879"/>
      <c r="H10" s="1879"/>
      <c r="I10" s="1879"/>
      <c r="J10" s="1879"/>
      <c r="K10" s="1879"/>
      <c r="L10" s="1973"/>
      <c r="M10" s="1716"/>
      <c r="N10" s="6"/>
      <c r="O10" s="10"/>
      <c r="P10" s="10"/>
      <c r="Q10" s="10"/>
      <c r="R10" s="10"/>
      <c r="S10" s="10"/>
      <c r="T10" s="10"/>
      <c r="U10" s="10"/>
      <c r="V10" s="10"/>
      <c r="W10" s="10"/>
      <c r="X10" s="10"/>
      <c r="Y10" s="10"/>
      <c r="Z10" s="10"/>
      <c r="AA10" s="10"/>
      <c r="AB10" s="10"/>
      <c r="AC10" s="10"/>
      <c r="AD10" s="10"/>
    </row>
    <row r="11" spans="1:30" ht="14.25" customHeight="1" x14ac:dyDescent="0.25">
      <c r="A11" s="972">
        <v>1</v>
      </c>
      <c r="B11" s="16"/>
      <c r="C11" s="101"/>
      <c r="D11" s="480" t="s">
        <v>0</v>
      </c>
      <c r="E11" s="802"/>
      <c r="F11" s="1187" t="str">
        <f>CONCATENATE(dpSales_ComponentNameB1," Component")</f>
        <v xml:space="preserve"> Component</v>
      </c>
      <c r="G11" s="1787"/>
      <c r="H11" s="1787"/>
      <c r="I11" s="1787"/>
      <c r="J11" s="1787"/>
      <c r="K11" s="1787"/>
      <c r="L11" s="1193"/>
      <c r="M11" s="1717"/>
      <c r="N11" s="6"/>
      <c r="O11" s="10"/>
      <c r="P11" s="10"/>
      <c r="Q11" s="10"/>
      <c r="R11" s="10"/>
      <c r="S11" s="10"/>
      <c r="T11" s="10"/>
      <c r="U11" s="10"/>
      <c r="V11" s="10"/>
      <c r="W11" s="10"/>
      <c r="X11" s="10"/>
      <c r="Y11" s="10"/>
      <c r="Z11" s="10"/>
      <c r="AA11" s="10"/>
      <c r="AB11" s="10"/>
      <c r="AC11" s="10"/>
      <c r="AD11" s="10"/>
    </row>
    <row r="12" spans="1:30" ht="15" customHeight="1" x14ac:dyDescent="0.25">
      <c r="A12" s="972">
        <f>IF(dpUnit_Sales_1="Net Rentable Area",1,0)</f>
        <v>1</v>
      </c>
      <c r="B12" s="16"/>
      <c r="C12" s="101"/>
      <c r="D12" s="480" t="s">
        <v>441</v>
      </c>
      <c r="E12" s="522"/>
      <c r="F12" s="1737">
        <f>Subject_NRA</f>
        <v>209208</v>
      </c>
      <c r="G12" s="1880"/>
      <c r="H12" s="1880"/>
      <c r="I12" s="1880"/>
      <c r="J12" s="1880"/>
      <c r="K12" s="1880"/>
      <c r="L12" s="1482"/>
      <c r="M12" s="101"/>
      <c r="N12" s="6"/>
      <c r="O12" s="10"/>
      <c r="P12" s="10"/>
      <c r="Q12" s="10"/>
      <c r="R12" s="10"/>
      <c r="S12" s="10"/>
      <c r="T12" s="10"/>
      <c r="U12" s="10"/>
      <c r="V12" s="10"/>
      <c r="W12" s="10"/>
      <c r="X12" s="10"/>
      <c r="Y12" s="10"/>
      <c r="Z12" s="10"/>
      <c r="AA12" s="10"/>
      <c r="AB12" s="10"/>
      <c r="AC12" s="10"/>
      <c r="AD12" s="10"/>
    </row>
    <row r="13" spans="1:30" ht="15" customHeight="1" x14ac:dyDescent="0.25">
      <c r="A13" s="972">
        <f>IF(dpUnit_Sales_1="Net Rentable Area",0,1)</f>
        <v>0</v>
      </c>
      <c r="B13" s="16"/>
      <c r="C13" s="101"/>
      <c r="D13" s="480" t="s">
        <v>183</v>
      </c>
      <c r="E13" s="522"/>
      <c r="F13" s="1738">
        <f>Subject_GBA</f>
        <v>220514</v>
      </c>
      <c r="G13" s="1880"/>
      <c r="H13" s="1880"/>
      <c r="I13" s="1880"/>
      <c r="J13" s="1880"/>
      <c r="K13" s="1880"/>
      <c r="L13" s="1482"/>
      <c r="M13" s="101"/>
      <c r="N13" s="6"/>
      <c r="O13" s="10"/>
      <c r="P13" s="10"/>
      <c r="Q13" s="10"/>
      <c r="R13" s="10"/>
      <c r="S13" s="10"/>
      <c r="T13" s="10"/>
      <c r="U13" s="10"/>
      <c r="V13" s="10"/>
      <c r="W13" s="10"/>
      <c r="X13" s="10"/>
      <c r="Y13" s="10"/>
      <c r="Z13" s="10"/>
      <c r="AA13" s="10"/>
      <c r="AB13" s="10"/>
      <c r="AC13" s="10"/>
      <c r="AD13" s="10"/>
    </row>
    <row r="14" spans="1:30" ht="15" customHeight="1" x14ac:dyDescent="0.25">
      <c r="A14" s="972">
        <f>IF(dpUnit_Sales_1="Units",1,0)</f>
        <v>0</v>
      </c>
      <c r="B14" s="16"/>
      <c r="C14" s="101"/>
      <c r="D14" s="480" t="s">
        <v>1131</v>
      </c>
      <c r="E14" s="522"/>
      <c r="F14" s="1739">
        <f>Subject_Units</f>
        <v>77</v>
      </c>
      <c r="G14" s="1880"/>
      <c r="H14" s="1880"/>
      <c r="I14" s="1880"/>
      <c r="J14" s="1880"/>
      <c r="K14" s="1880"/>
      <c r="L14" s="1482"/>
      <c r="M14" s="101"/>
      <c r="N14" s="6"/>
      <c r="O14" s="10"/>
      <c r="P14" s="10"/>
      <c r="Q14" s="10"/>
      <c r="R14" s="10"/>
      <c r="S14" s="10"/>
      <c r="T14" s="10"/>
      <c r="U14" s="10"/>
      <c r="V14" s="10"/>
      <c r="W14" s="10"/>
      <c r="X14" s="10"/>
      <c r="Y14" s="10"/>
      <c r="Z14" s="10"/>
      <c r="AA14" s="10"/>
      <c r="AB14" s="10"/>
      <c r="AC14" s="10"/>
      <c r="AD14" s="10"/>
    </row>
    <row r="15" spans="1:30" ht="15" customHeight="1" x14ac:dyDescent="0.25">
      <c r="A15" s="972">
        <v>1</v>
      </c>
      <c r="B15" s="16"/>
      <c r="C15" s="101"/>
      <c r="D15" s="480" t="s">
        <v>1067</v>
      </c>
      <c r="E15" s="522"/>
      <c r="F15" s="1740">
        <f>Subject_LandPrimary_UsableAcres</f>
        <v>0.99173553719008267</v>
      </c>
      <c r="G15" s="1881"/>
      <c r="H15" s="1881"/>
      <c r="I15" s="1881"/>
      <c r="J15" s="1881"/>
      <c r="K15" s="1881"/>
      <c r="L15" s="1974"/>
      <c r="M15" s="1718"/>
      <c r="N15" s="6"/>
      <c r="O15" s="10"/>
      <c r="P15" s="10"/>
      <c r="Q15" s="10"/>
      <c r="R15" s="10"/>
      <c r="S15" s="10"/>
      <c r="T15" s="10"/>
      <c r="U15" s="10"/>
      <c r="V15" s="10"/>
      <c r="W15" s="10"/>
      <c r="X15" s="10"/>
      <c r="Y15" s="10"/>
      <c r="Z15" s="10"/>
      <c r="AA15" s="10"/>
      <c r="AB15" s="10"/>
      <c r="AC15" s="10"/>
      <c r="AD15" s="10"/>
    </row>
    <row r="16" spans="1:30" ht="15" customHeight="1" x14ac:dyDescent="0.25">
      <c r="A16" s="972">
        <f>IF(D16="",0,1)</f>
        <v>0</v>
      </c>
      <c r="B16" s="16"/>
      <c r="C16" s="101"/>
      <c r="D16" s="527"/>
      <c r="E16" s="742"/>
      <c r="F16" s="743"/>
      <c r="G16" s="1882"/>
      <c r="H16" s="1882"/>
      <c r="I16" s="1882"/>
      <c r="J16" s="1882"/>
      <c r="K16" s="1882"/>
      <c r="L16" s="1975"/>
      <c r="M16" s="1718"/>
      <c r="N16" s="6"/>
      <c r="O16" s="10"/>
      <c r="P16" s="10"/>
      <c r="Q16" s="10"/>
      <c r="R16" s="10"/>
      <c r="S16" s="10"/>
      <c r="T16" s="10"/>
      <c r="U16" s="10"/>
      <c r="V16" s="10"/>
      <c r="W16" s="10"/>
      <c r="X16" s="10"/>
      <c r="Y16" s="10"/>
      <c r="Z16" s="10"/>
      <c r="AA16" s="10"/>
      <c r="AB16" s="10"/>
      <c r="AC16" s="10"/>
      <c r="AD16" s="10"/>
    </row>
    <row r="17" spans="1:30" ht="15" customHeight="1" x14ac:dyDescent="0.25">
      <c r="A17" s="972">
        <f>IF(D17="",0,1)</f>
        <v>0</v>
      </c>
      <c r="B17" s="16"/>
      <c r="C17" s="101"/>
      <c r="D17" s="527"/>
      <c r="E17" s="742"/>
      <c r="F17" s="743"/>
      <c r="G17" s="1882"/>
      <c r="H17" s="1882"/>
      <c r="I17" s="1882"/>
      <c r="J17" s="1882"/>
      <c r="K17" s="1882"/>
      <c r="L17" s="1975"/>
      <c r="M17" s="1718"/>
      <c r="N17" s="6"/>
      <c r="O17" s="10"/>
      <c r="P17" s="10"/>
      <c r="Q17" s="10"/>
      <c r="R17" s="10"/>
      <c r="S17" s="10"/>
      <c r="T17" s="10"/>
      <c r="U17" s="10"/>
      <c r="V17" s="10"/>
      <c r="W17" s="10"/>
      <c r="X17" s="10"/>
      <c r="Y17" s="10"/>
      <c r="Z17" s="10"/>
      <c r="AA17" s="10"/>
      <c r="AB17" s="10"/>
      <c r="AC17" s="10"/>
      <c r="AD17" s="10"/>
    </row>
    <row r="18" spans="1:30" ht="15" customHeight="1" x14ac:dyDescent="0.25">
      <c r="A18" s="972">
        <v>1</v>
      </c>
      <c r="B18" s="16"/>
      <c r="C18" s="101"/>
      <c r="D18" s="637" t="s">
        <v>1270</v>
      </c>
      <c r="E18" s="802"/>
      <c r="F18" s="1127"/>
      <c r="G18" s="1883"/>
      <c r="H18" s="1883"/>
      <c r="I18" s="1883"/>
      <c r="J18" s="1883"/>
      <c r="K18" s="1883"/>
      <c r="L18" s="1480"/>
      <c r="M18" s="101"/>
      <c r="N18" s="6"/>
      <c r="O18" s="10"/>
      <c r="P18" s="10"/>
      <c r="Q18" s="10"/>
      <c r="R18" s="10"/>
      <c r="S18" s="10"/>
      <c r="T18" s="10"/>
      <c r="U18" s="10"/>
      <c r="V18" s="10"/>
      <c r="W18" s="10"/>
      <c r="X18" s="10"/>
      <c r="Y18" s="10"/>
      <c r="Z18" s="10"/>
      <c r="AA18" s="10"/>
      <c r="AB18" s="10"/>
      <c r="AC18" s="10"/>
      <c r="AD18" s="10"/>
    </row>
    <row r="19" spans="1:30" ht="15" customHeight="1" x14ac:dyDescent="0.25">
      <c r="A19" s="972">
        <f>IF(dpSale_Method_1="Whole Property",0,1)</f>
        <v>0</v>
      </c>
      <c r="B19" s="16"/>
      <c r="C19" s="101"/>
      <c r="D19" s="488" t="s">
        <v>1016</v>
      </c>
      <c r="E19" s="802"/>
      <c r="F19" s="1127"/>
      <c r="G19" s="1884"/>
      <c r="H19" s="1884"/>
      <c r="I19" s="1884"/>
      <c r="J19" s="1884"/>
      <c r="K19" s="1884"/>
      <c r="L19" s="1976"/>
      <c r="M19" s="101"/>
      <c r="N19" s="6"/>
      <c r="O19" s="10"/>
      <c r="P19" s="10"/>
      <c r="Q19" s="10"/>
      <c r="R19" s="10"/>
      <c r="S19" s="10"/>
      <c r="T19" s="10"/>
      <c r="U19" s="10"/>
      <c r="V19" s="10"/>
      <c r="W19" s="10"/>
      <c r="X19" s="10"/>
      <c r="Y19" s="10"/>
      <c r="Z19" s="10"/>
      <c r="AA19" s="10"/>
      <c r="AB19" s="10"/>
      <c r="AC19" s="10"/>
      <c r="AD19" s="10"/>
    </row>
    <row r="20" spans="1:30" ht="15" customHeight="1" x14ac:dyDescent="0.25">
      <c r="A20" s="972">
        <f>IF(dpSale_Method_1="Whole Property",0,1)</f>
        <v>0</v>
      </c>
      <c r="B20" s="16"/>
      <c r="C20" s="101"/>
      <c r="D20" s="488" t="s">
        <v>519</v>
      </c>
      <c r="E20" s="802"/>
      <c r="F20" s="1127"/>
      <c r="G20" s="1883">
        <f t="shared" ref="G20:L20" si="1">G18-G19</f>
        <v>0</v>
      </c>
      <c r="H20" s="1883">
        <f t="shared" si="1"/>
        <v>0</v>
      </c>
      <c r="I20" s="1883">
        <f t="shared" si="1"/>
        <v>0</v>
      </c>
      <c r="J20" s="1883">
        <f t="shared" si="1"/>
        <v>0</v>
      </c>
      <c r="K20" s="1883">
        <f t="shared" si="1"/>
        <v>0</v>
      </c>
      <c r="L20" s="1480">
        <f t="shared" si="1"/>
        <v>0</v>
      </c>
      <c r="M20" s="101"/>
      <c r="N20" s="6"/>
      <c r="O20" s="10"/>
      <c r="P20" s="10"/>
      <c r="Q20" s="10"/>
      <c r="R20" s="10"/>
      <c r="S20" s="10"/>
      <c r="T20" s="10"/>
      <c r="U20" s="10"/>
      <c r="V20" s="10"/>
      <c r="W20" s="10"/>
      <c r="X20" s="10"/>
      <c r="Y20" s="10"/>
      <c r="Z20" s="10"/>
      <c r="AA20" s="10"/>
      <c r="AB20" s="10"/>
      <c r="AC20" s="10"/>
      <c r="AD20" s="10"/>
    </row>
    <row r="21" spans="1:30" ht="15" customHeight="1" x14ac:dyDescent="0.25">
      <c r="A21" s="972">
        <v>1</v>
      </c>
      <c r="B21" s="16"/>
      <c r="C21" s="101"/>
      <c r="D21" s="1126" t="str">
        <f>IF(dpSale_Method_1="Whole Property",IF(dpUnit_Sales_1="Net Rentable Area","Unadjusted Sales Price PSF of NRA",IF(dpUnit_Sales_1="Gross Building Area","Unadjusted Sales Price PSF of GBA","Unadjusted Sales Price per Unit")),IF(dpUnit_Sales_1="Net Rentable Area","Unadjusted Contributory Value of Imp. PSF of NRA",IF(dpUnit_Sales_1="Gross Building Area","Unadjusted Contributory Value of Imp. PSF of GBA","Unadjusted Contributory Value of Imp. per Unit")))</f>
        <v>Unadjusted Sales Price PSF of NRA</v>
      </c>
      <c r="E21" s="489"/>
      <c r="F21" s="489"/>
      <c r="G21" s="1885" t="e">
        <f t="shared" ref="G21:L21" si="2">IF(dpSale_Method_1="Whole Property",IF(dpUnit_Sales_1="Net Rentable Area",G18/G12,IF(dpUnit_Sales_1="Gross Building Area",G18/G13,G18/G14)),IF(dpUnit_Sales_1="Net Rentable Area",G20/G12,IF(dpUnit_Sales_1="Gross Building Area",G20/G13,G20/G14)))</f>
        <v>#DIV/0!</v>
      </c>
      <c r="H21" s="1885" t="e">
        <f t="shared" si="2"/>
        <v>#DIV/0!</v>
      </c>
      <c r="I21" s="1885" t="e">
        <f t="shared" si="2"/>
        <v>#DIV/0!</v>
      </c>
      <c r="J21" s="1885" t="e">
        <f t="shared" si="2"/>
        <v>#DIV/0!</v>
      </c>
      <c r="K21" s="1885" t="e">
        <f t="shared" si="2"/>
        <v>#DIV/0!</v>
      </c>
      <c r="L21" s="1977" t="e">
        <f t="shared" si="2"/>
        <v>#DIV/0!</v>
      </c>
      <c r="M21" s="102"/>
      <c r="N21" s="6"/>
      <c r="O21" s="10"/>
      <c r="P21" s="10"/>
      <c r="Q21" s="10"/>
      <c r="R21" s="10"/>
      <c r="S21" s="10"/>
      <c r="T21" s="10"/>
      <c r="U21" s="10"/>
      <c r="V21" s="10"/>
      <c r="W21" s="10"/>
      <c r="X21" s="10"/>
      <c r="Y21" s="10"/>
      <c r="Z21" s="10"/>
      <c r="AA21" s="10"/>
      <c r="AB21" s="10"/>
      <c r="AC21" s="10"/>
      <c r="AD21" s="10"/>
    </row>
    <row r="22" spans="1:30" ht="5.0999999999999996" customHeight="1" x14ac:dyDescent="0.25">
      <c r="A22" s="972">
        <v>1</v>
      </c>
      <c r="B22" s="16"/>
      <c r="C22" s="130"/>
      <c r="D22" s="130"/>
      <c r="E22" s="101"/>
      <c r="F22" s="101"/>
      <c r="G22" s="1822" t="b">
        <f t="shared" ref="G22:L22" si="3">IF(Sales_AdjType_1="Qualitative",IF(G25="Inferior",-1,IF(G25="Superior",1,0)))</f>
        <v>0</v>
      </c>
      <c r="H22" s="1822" t="b">
        <f t="shared" si="3"/>
        <v>0</v>
      </c>
      <c r="I22" s="1822" t="b">
        <f t="shared" si="3"/>
        <v>0</v>
      </c>
      <c r="J22" s="1822" t="b">
        <f t="shared" si="3"/>
        <v>0</v>
      </c>
      <c r="K22" s="1822" t="b">
        <f t="shared" si="3"/>
        <v>0</v>
      </c>
      <c r="L22" s="1978" t="b">
        <f t="shared" si="3"/>
        <v>0</v>
      </c>
      <c r="M22" s="101"/>
      <c r="N22" s="6"/>
      <c r="O22" s="10"/>
      <c r="P22" s="10"/>
      <c r="Q22" s="10"/>
      <c r="R22" s="10"/>
      <c r="S22" s="10"/>
      <c r="T22" s="10"/>
      <c r="U22" s="10"/>
      <c r="V22" s="10"/>
      <c r="W22" s="10"/>
      <c r="X22" s="10"/>
      <c r="Y22" s="10"/>
      <c r="Z22" s="10"/>
      <c r="AA22" s="10"/>
      <c r="AB22" s="10"/>
      <c r="AC22" s="10"/>
      <c r="AD22" s="10"/>
    </row>
    <row r="23" spans="1:30" ht="15" customHeight="1" x14ac:dyDescent="0.25">
      <c r="A23" s="972">
        <v>1</v>
      </c>
      <c r="B23" s="16"/>
      <c r="C23" s="130"/>
      <c r="D23" s="1137" t="s">
        <v>161</v>
      </c>
      <c r="E23" s="101"/>
      <c r="F23" s="101"/>
      <c r="G23" s="1830"/>
      <c r="H23" s="1830"/>
      <c r="I23" s="1830"/>
      <c r="J23" s="1830"/>
      <c r="K23" s="1830"/>
      <c r="L23" s="1972"/>
      <c r="M23" s="101"/>
      <c r="N23" s="6"/>
      <c r="O23" s="10"/>
      <c r="P23" s="10"/>
      <c r="Q23" s="10"/>
      <c r="R23" s="10"/>
      <c r="S23" s="10"/>
      <c r="T23" s="10"/>
      <c r="U23" s="10"/>
      <c r="V23" s="10"/>
      <c r="W23" s="10"/>
      <c r="X23" s="10"/>
      <c r="Y23" s="10"/>
      <c r="Z23" s="10"/>
      <c r="AA23" s="10"/>
      <c r="AB23" s="10"/>
      <c r="AC23" s="10"/>
      <c r="AD23" s="10"/>
    </row>
    <row r="24" spans="1:30" x14ac:dyDescent="0.25">
      <c r="A24" s="972">
        <v>1</v>
      </c>
      <c r="B24" s="16"/>
      <c r="C24" s="130"/>
      <c r="D24" s="1489" t="s">
        <v>164</v>
      </c>
      <c r="E24" s="802"/>
      <c r="F24" s="1170" t="str">
        <f>dpSort_Interest_1</f>
        <v>Fee Simple</v>
      </c>
      <c r="G24" s="1788"/>
      <c r="H24" s="1788"/>
      <c r="I24" s="1788"/>
      <c r="J24" s="1788"/>
      <c r="K24" s="1788"/>
      <c r="L24" s="1162"/>
      <c r="M24" s="802"/>
      <c r="N24" s="6"/>
      <c r="O24" s="10"/>
      <c r="P24" s="10"/>
      <c r="Q24" s="10"/>
      <c r="R24" s="10"/>
      <c r="S24" s="10"/>
      <c r="T24" s="10"/>
      <c r="U24" s="10"/>
      <c r="V24" s="10"/>
      <c r="W24" s="10"/>
      <c r="X24" s="10"/>
      <c r="Y24" s="10"/>
      <c r="Z24" s="10"/>
      <c r="AA24" s="10"/>
      <c r="AB24" s="10"/>
      <c r="AC24" s="10"/>
      <c r="AD24" s="10"/>
    </row>
    <row r="25" spans="1:30" ht="15" customHeight="1" x14ac:dyDescent="0.25">
      <c r="A25" s="972">
        <f>IF(SUM(Sales_PropertyRightsRange_1)=0,0,1)</f>
        <v>0</v>
      </c>
      <c r="B25" s="16"/>
      <c r="C25" s="130"/>
      <c r="D25" s="1490" t="s">
        <v>174</v>
      </c>
      <c r="E25" s="101"/>
      <c r="F25" s="1127"/>
      <c r="G25" s="1796">
        <f>IF(AND(G26=0,G27=0,G28=0),0,IF(G26&lt;&gt;0,IF(Sales_AdjType_1="$ per Unit",G26*'Improved Sales Adjustments'!G21,G26),IF(G27&lt;&gt;0,IF(dpUnit_Sales_1="Net Rentable Area",G27/(G21*G12),IF(dpUnit_Sales_1="Gross Building Area",G27/(G21*G13),G27/(G21*G14))),G28/G21)))</f>
        <v>0</v>
      </c>
      <c r="H25" s="1796">
        <f>IF(AND(H26=0,H27=0,H28=0),0,IF(H26&lt;&gt;0,IF(Sales_AdjType_1="$ per Unit",H26*'Improved Sales Adjustments'!#REF!,H26),IF(H27&lt;&gt;0,IF(dpUnit_Sales_1="Net Rentable Area",H27/(H21*H12),IF(dpUnit_Sales_1="Gross Building Area",H27/(H21*H13),H27/(H21*H14))),H28/H21)))</f>
        <v>0</v>
      </c>
      <c r="I25" s="1796">
        <f>IF(AND(I26=0,I27=0,I28=0),0,IF(I26&lt;&gt;0,IF(Sales_AdjType_1="$ per Unit",I26*'Improved Sales Adjustments'!#REF!,I26),IF(I27&lt;&gt;0,IF(dpUnit_Sales_1="Net Rentable Area",I27/(I21*I12),IF(dpUnit_Sales_1="Gross Building Area",I27/(I21*I13),I27/(I21*I14))),I28/I21)))</f>
        <v>0</v>
      </c>
      <c r="J25" s="1796">
        <f>IF(AND(J26=0,J27=0,J28=0),0,IF(J26&lt;&gt;0,IF(Sales_AdjType_1="$ per Unit",J26*'Improved Sales Adjustments'!H21,J26),IF(J27&lt;&gt;0,IF(dpUnit_Sales_1="Net Rentable Area",J27/(J21*J12),IF(dpUnit_Sales_1="Gross Building Area",J27/(J21*J13),J27/(J21*J14))),J28/J21)))</f>
        <v>0</v>
      </c>
      <c r="K25" s="1796">
        <f>IF(AND(K26=0,K27=0,K28=0),0,IF(K26&lt;&gt;0,IF(Sales_AdjType_1="$ per Unit",K26*'Improved Sales Adjustments'!#REF!,K26),IF(K27&lt;&gt;0,IF(dpUnit_Sales_1="Net Rentable Area",K27/(K21*K12),IF(dpUnit_Sales_1="Gross Building Area",K27/(K21*K13),K27/(K21*K14))),K28/K21)))</f>
        <v>0</v>
      </c>
      <c r="L25" s="1958">
        <f>IF(AND(L26=0,L27=0,L28=0),0,IF(L26&lt;&gt;0,IF(Sales_AdjType_1="$ per Unit",L26*'Improved Sales Adjustments'!I21,L26),IF(L27&lt;&gt;0,IF(dpUnit_Sales_1="Net Rentable Area",L27/(L21*L12),IF(dpUnit_Sales_1="Gross Building Area",L27/(L21*L13),L27/(L21*L14))),L28/L21)))</f>
        <v>0</v>
      </c>
      <c r="M25" s="1194"/>
      <c r="N25" s="6"/>
      <c r="O25" s="10"/>
      <c r="P25" s="10"/>
      <c r="Q25" s="10"/>
      <c r="R25" s="10"/>
      <c r="S25" s="10"/>
      <c r="T25" s="10"/>
      <c r="U25" s="10"/>
      <c r="V25" s="10"/>
      <c r="W25" s="10"/>
      <c r="X25" s="10"/>
      <c r="Y25" s="10"/>
      <c r="Z25" s="10"/>
      <c r="AA25" s="10"/>
      <c r="AB25" s="10"/>
      <c r="AC25" s="10"/>
      <c r="AD25" s="10"/>
    </row>
    <row r="26" spans="1:30" ht="15" customHeight="1" x14ac:dyDescent="0.25">
      <c r="A26" s="972">
        <v>0</v>
      </c>
      <c r="B26" s="16"/>
      <c r="C26" s="130"/>
      <c r="D26" s="1151"/>
      <c r="E26" s="101"/>
      <c r="F26" s="1120" t="s">
        <v>166</v>
      </c>
      <c r="G26" s="1793"/>
      <c r="H26" s="1793"/>
      <c r="I26" s="1793"/>
      <c r="J26" s="1793"/>
      <c r="K26" s="1793"/>
      <c r="L26" s="1955"/>
      <c r="M26" s="101"/>
      <c r="N26" s="6"/>
      <c r="O26" s="10"/>
      <c r="P26" s="10"/>
      <c r="Q26" s="10"/>
      <c r="R26" s="10"/>
      <c r="S26" s="10"/>
      <c r="T26" s="10"/>
      <c r="U26" s="10"/>
      <c r="V26" s="10"/>
      <c r="W26" s="10"/>
      <c r="X26" s="10"/>
      <c r="Y26" s="10"/>
      <c r="Z26" s="10"/>
      <c r="AA26" s="10"/>
      <c r="AB26" s="10"/>
      <c r="AC26" s="10"/>
      <c r="AD26" s="10"/>
    </row>
    <row r="27" spans="1:30" ht="15" customHeight="1" x14ac:dyDescent="0.25">
      <c r="A27" s="972">
        <v>0</v>
      </c>
      <c r="B27" s="16"/>
      <c r="C27" s="130"/>
      <c r="D27" s="1151"/>
      <c r="E27" s="101"/>
      <c r="F27" s="1120" t="s">
        <v>167</v>
      </c>
      <c r="G27" s="1794"/>
      <c r="H27" s="1794"/>
      <c r="I27" s="1794"/>
      <c r="J27" s="1794"/>
      <c r="K27" s="1794"/>
      <c r="L27" s="1956"/>
      <c r="M27" s="101"/>
      <c r="N27" s="6"/>
      <c r="O27" s="10"/>
      <c r="P27" s="10"/>
      <c r="Q27" s="10"/>
      <c r="R27" s="10"/>
      <c r="S27" s="10"/>
      <c r="T27" s="10"/>
      <c r="U27" s="10"/>
      <c r="V27" s="10"/>
      <c r="W27" s="10"/>
      <c r="X27" s="10"/>
      <c r="Y27" s="10"/>
      <c r="Z27" s="10"/>
      <c r="AA27" s="10"/>
      <c r="AB27" s="10"/>
      <c r="AC27" s="10"/>
      <c r="AD27" s="10"/>
    </row>
    <row r="28" spans="1:30" ht="15" customHeight="1" x14ac:dyDescent="0.25">
      <c r="A28" s="972">
        <v>0</v>
      </c>
      <c r="B28" s="16"/>
      <c r="C28" s="130"/>
      <c r="D28" s="1151"/>
      <c r="E28" s="101"/>
      <c r="F28" s="1120" t="s">
        <v>710</v>
      </c>
      <c r="G28" s="1791"/>
      <c r="H28" s="1791"/>
      <c r="I28" s="1791"/>
      <c r="J28" s="1791"/>
      <c r="K28" s="1791"/>
      <c r="L28" s="1953"/>
      <c r="M28" s="101"/>
      <c r="N28" s="6"/>
      <c r="O28" s="10"/>
      <c r="P28" s="10"/>
      <c r="Q28" s="10"/>
      <c r="R28" s="10"/>
      <c r="S28" s="10"/>
      <c r="T28" s="10"/>
      <c r="U28" s="10"/>
      <c r="V28" s="10"/>
      <c r="W28" s="10"/>
      <c r="X28" s="10"/>
      <c r="Y28" s="10"/>
      <c r="Z28" s="10"/>
      <c r="AA28" s="10"/>
      <c r="AB28" s="10"/>
      <c r="AC28" s="10"/>
      <c r="AD28" s="10"/>
    </row>
    <row r="29" spans="1:30" ht="15" customHeight="1" x14ac:dyDescent="0.25">
      <c r="A29" s="972">
        <f>IF(Sales_AdjType_1="Qualitative",0,1)</f>
        <v>1</v>
      </c>
      <c r="B29" s="16"/>
      <c r="C29" s="130"/>
      <c r="D29" s="1490" t="s">
        <v>1364</v>
      </c>
      <c r="E29" s="101"/>
      <c r="F29" s="1120"/>
      <c r="G29" s="1886" t="e">
        <f t="shared" ref="G29:L29" si="4">IF(Sales_AdjType_1&lt;&gt;"$ per Unit",G21*(1+G25),IF(Sales_AdjType_1="$ per Unit",G21+G25,G25))</f>
        <v>#DIV/0!</v>
      </c>
      <c r="H29" s="1886" t="e">
        <f t="shared" si="4"/>
        <v>#DIV/0!</v>
      </c>
      <c r="I29" s="1886" t="e">
        <f t="shared" si="4"/>
        <v>#DIV/0!</v>
      </c>
      <c r="J29" s="1886" t="e">
        <f t="shared" si="4"/>
        <v>#DIV/0!</v>
      </c>
      <c r="K29" s="1886" t="e">
        <f t="shared" si="4"/>
        <v>#DIV/0!</v>
      </c>
      <c r="L29" s="1979" t="e">
        <f t="shared" si="4"/>
        <v>#DIV/0!</v>
      </c>
      <c r="M29" s="101"/>
      <c r="N29" s="6"/>
      <c r="O29" s="10"/>
      <c r="P29" s="10"/>
      <c r="Q29" s="10"/>
      <c r="R29" s="10"/>
      <c r="S29" s="10"/>
      <c r="T29" s="10"/>
      <c r="U29" s="10"/>
      <c r="V29" s="10"/>
      <c r="W29" s="10"/>
      <c r="X29" s="10"/>
      <c r="Y29" s="10"/>
      <c r="Z29" s="10"/>
      <c r="AA29" s="10"/>
      <c r="AB29" s="10"/>
      <c r="AC29" s="10"/>
      <c r="AD29" s="10"/>
    </row>
    <row r="30" spans="1:30" ht="8.1" customHeight="1" x14ac:dyDescent="0.25">
      <c r="A30" s="972">
        <v>1</v>
      </c>
      <c r="B30" s="16"/>
      <c r="C30" s="130"/>
      <c r="D30" s="766"/>
      <c r="E30" s="101"/>
      <c r="F30" s="1127"/>
      <c r="G30" s="1786" t="b">
        <f t="shared" ref="G30:L30" si="5">IF(Sales_AdjType_1="Qualitative",IF(G32="Inferior",-1,IF(G32="Superior",1,0)))</f>
        <v>0</v>
      </c>
      <c r="H30" s="1786" t="b">
        <f t="shared" si="5"/>
        <v>0</v>
      </c>
      <c r="I30" s="1786" t="b">
        <f t="shared" si="5"/>
        <v>0</v>
      </c>
      <c r="J30" s="1786" t="b">
        <f t="shared" si="5"/>
        <v>0</v>
      </c>
      <c r="K30" s="1786" t="b">
        <f t="shared" si="5"/>
        <v>0</v>
      </c>
      <c r="L30" s="1951" t="b">
        <f t="shared" si="5"/>
        <v>0</v>
      </c>
      <c r="M30" s="101"/>
      <c r="N30" s="6"/>
      <c r="O30" s="10"/>
      <c r="P30" s="10"/>
      <c r="Q30" s="10"/>
      <c r="R30" s="10"/>
      <c r="S30" s="10"/>
      <c r="T30" s="10"/>
      <c r="U30" s="10"/>
      <c r="V30" s="10"/>
      <c r="W30" s="10"/>
      <c r="X30" s="10"/>
      <c r="Y30" s="10"/>
      <c r="Z30" s="10"/>
      <c r="AA30" s="10"/>
      <c r="AB30" s="10"/>
      <c r="AC30" s="10"/>
      <c r="AD30" s="10"/>
    </row>
    <row r="31" spans="1:30" x14ac:dyDescent="0.25">
      <c r="A31" s="972">
        <v>1</v>
      </c>
      <c r="B31" s="16"/>
      <c r="C31" s="130"/>
      <c r="D31" s="1489" t="s">
        <v>165</v>
      </c>
      <c r="E31" s="101"/>
      <c r="F31" s="1170" t="s">
        <v>969</v>
      </c>
      <c r="G31" s="1788"/>
      <c r="H31" s="1788"/>
      <c r="I31" s="1788"/>
      <c r="J31" s="1788"/>
      <c r="K31" s="1788"/>
      <c r="L31" s="1162"/>
      <c r="M31" s="101"/>
      <c r="N31" s="6"/>
      <c r="O31" s="10"/>
      <c r="P31" s="10"/>
      <c r="Q31" s="10"/>
      <c r="R31" s="10"/>
      <c r="S31" s="10"/>
      <c r="T31" s="10"/>
      <c r="U31" s="10"/>
      <c r="V31" s="10"/>
      <c r="W31" s="10"/>
      <c r="X31" s="10"/>
      <c r="Y31" s="10"/>
      <c r="Z31" s="10"/>
      <c r="AA31" s="10"/>
      <c r="AB31" s="10"/>
      <c r="AC31" s="10"/>
      <c r="AD31" s="10"/>
    </row>
    <row r="32" spans="1:30" ht="15" customHeight="1" x14ac:dyDescent="0.25">
      <c r="A32" s="972">
        <f>IF(SUM(Sales_FinancingTermsRange_1)=0,0,1)</f>
        <v>0</v>
      </c>
      <c r="B32" s="16"/>
      <c r="C32" s="130"/>
      <c r="D32" s="1490" t="s">
        <v>174</v>
      </c>
      <c r="E32" s="101"/>
      <c r="F32" s="1127"/>
      <c r="G32" s="1796">
        <f>IF(AND(G33=0,G34=0,G35=0),0,IF(G33&lt;&gt;0,IF(Sales_AdjType_1="$ per Unit",G33*'Improved Sales Adjustments'!G29,G33),IF(G34&lt;&gt;0,IF(dpUnit_Sales_1="Net Rentable Area",G34/(G29*G$12),IF(dpUnit_Sales_1="Gross Building Area",G34/(G29*G$13),G34/(G29*G$14))),G35/G29)))</f>
        <v>0</v>
      </c>
      <c r="H32" s="1796">
        <f>IF(AND(H33=0,H34=0,H35=0),0,IF(H33&lt;&gt;0,IF(Sales_AdjType_1="$ per Unit",H33*'Improved Sales Adjustments'!#REF!,H33),IF(H34&lt;&gt;0,IF(dpUnit_Sales_1="Net Rentable Area",H34/(H29*H$12),IF(dpUnit_Sales_1="Gross Building Area",H34/(H29*H$13),H34/(H29*H$14))),H35/H29)))</f>
        <v>0</v>
      </c>
      <c r="I32" s="1796">
        <f>IF(AND(I33=0,I34=0,I35=0),0,IF(I33&lt;&gt;0,IF(Sales_AdjType_1="$ per Unit",I33*'Improved Sales Adjustments'!#REF!,I33),IF(I34&lt;&gt;0,IF(dpUnit_Sales_1="Net Rentable Area",I34/(I29*I$12),IF(dpUnit_Sales_1="Gross Building Area",I34/(I29*I$13),I34/(I29*I$14))),I35/I29)))</f>
        <v>0</v>
      </c>
      <c r="J32" s="1796">
        <f>IF(AND(J33=0,J34=0,J35=0),0,IF(J33&lt;&gt;0,IF(Sales_AdjType_1="$ per Unit",J33*'Improved Sales Adjustments'!H29,J33),IF(J34&lt;&gt;0,IF(dpUnit_Sales_1="Net Rentable Area",J34/(J29*J$12),IF(dpUnit_Sales_1="Gross Building Area",J34/(J29*J$13),J34/(J29*J$14))),J35/J29)))</f>
        <v>0</v>
      </c>
      <c r="K32" s="1796">
        <f>IF(AND(K33=0,K34=0,K35=0),0,IF(K33&lt;&gt;0,IF(Sales_AdjType_1="$ per Unit",K33*'Improved Sales Adjustments'!#REF!,K33),IF(K34&lt;&gt;0,IF(dpUnit_Sales_1="Net Rentable Area",K34/(K29*K$12),IF(dpUnit_Sales_1="Gross Building Area",K34/(K29*K$13),K34/(K29*K$14))),K35/K29)))</f>
        <v>0</v>
      </c>
      <c r="L32" s="1958">
        <f>IF(AND(L33=0,L34=0,L35=0),0,IF(L33&lt;&gt;0,IF(Sales_AdjType_1="$ per Unit",L33*'Improved Sales Adjustments'!I29,L33),IF(L34&lt;&gt;0,IF(dpUnit_Sales_1="Net Rentable Area",L34/(L29*L$12),IF(dpUnit_Sales_1="Gross Building Area",L34/(L29*L$13),L34/(L29*L$14))),L35/L29)))</f>
        <v>0</v>
      </c>
      <c r="M32" s="1194"/>
      <c r="N32" s="6"/>
      <c r="O32" s="10"/>
      <c r="P32" s="10"/>
      <c r="Q32" s="10"/>
      <c r="R32" s="10"/>
      <c r="S32" s="10"/>
      <c r="T32" s="10"/>
      <c r="U32" s="10"/>
      <c r="V32" s="10"/>
      <c r="W32" s="10"/>
      <c r="X32" s="10"/>
      <c r="Y32" s="10"/>
      <c r="Z32" s="10"/>
      <c r="AA32" s="10"/>
      <c r="AB32" s="10"/>
      <c r="AC32" s="10"/>
      <c r="AD32" s="10"/>
    </row>
    <row r="33" spans="1:30" ht="15" customHeight="1" x14ac:dyDescent="0.25">
      <c r="A33" s="972">
        <v>0</v>
      </c>
      <c r="B33" s="16"/>
      <c r="C33" s="130"/>
      <c r="D33" s="766"/>
      <c r="E33" s="101"/>
      <c r="F33" s="1120" t="s">
        <v>166</v>
      </c>
      <c r="G33" s="1793"/>
      <c r="H33" s="1793"/>
      <c r="I33" s="1793"/>
      <c r="J33" s="1793"/>
      <c r="K33" s="1793"/>
      <c r="L33" s="1955"/>
      <c r="M33" s="101"/>
      <c r="N33" s="6"/>
      <c r="O33" s="10"/>
      <c r="P33" s="10"/>
      <c r="Q33" s="10"/>
      <c r="R33" s="10"/>
      <c r="S33" s="10"/>
      <c r="T33" s="10"/>
      <c r="U33" s="10"/>
      <c r="V33" s="10"/>
      <c r="W33" s="10"/>
      <c r="X33" s="10"/>
      <c r="Y33" s="10"/>
      <c r="Z33" s="10"/>
      <c r="AA33" s="10"/>
      <c r="AB33" s="10"/>
      <c r="AC33" s="10"/>
      <c r="AD33" s="10"/>
    </row>
    <row r="34" spans="1:30" ht="15" customHeight="1" x14ac:dyDescent="0.25">
      <c r="A34" s="972">
        <v>0</v>
      </c>
      <c r="B34" s="16"/>
      <c r="C34" s="130"/>
      <c r="D34" s="766"/>
      <c r="E34" s="101"/>
      <c r="F34" s="1120" t="s">
        <v>167</v>
      </c>
      <c r="G34" s="1794"/>
      <c r="H34" s="1794"/>
      <c r="I34" s="1794"/>
      <c r="J34" s="1794"/>
      <c r="K34" s="1794"/>
      <c r="L34" s="1956"/>
      <c r="M34" s="101"/>
      <c r="N34" s="6"/>
      <c r="O34" s="10"/>
      <c r="P34" s="10"/>
      <c r="Q34" s="10"/>
      <c r="R34" s="10"/>
      <c r="S34" s="10"/>
      <c r="T34" s="10"/>
      <c r="U34" s="10"/>
      <c r="V34" s="10"/>
      <c r="W34" s="10"/>
      <c r="X34" s="10"/>
      <c r="Y34" s="10"/>
      <c r="Z34" s="10"/>
      <c r="AA34" s="10"/>
      <c r="AB34" s="10"/>
      <c r="AC34" s="10"/>
      <c r="AD34" s="10"/>
    </row>
    <row r="35" spans="1:30" ht="15" customHeight="1" x14ac:dyDescent="0.25">
      <c r="A35" s="972">
        <v>0</v>
      </c>
      <c r="B35" s="16"/>
      <c r="C35" s="130"/>
      <c r="D35" s="766"/>
      <c r="E35" s="101"/>
      <c r="F35" s="1120" t="s">
        <v>710</v>
      </c>
      <c r="G35" s="1791"/>
      <c r="H35" s="1791"/>
      <c r="I35" s="1791"/>
      <c r="J35" s="1791"/>
      <c r="K35" s="1791"/>
      <c r="L35" s="1953"/>
      <c r="M35" s="101"/>
      <c r="N35" s="6"/>
      <c r="O35" s="10"/>
      <c r="P35" s="10"/>
      <c r="Q35" s="10"/>
      <c r="R35" s="10"/>
      <c r="S35" s="10"/>
      <c r="T35" s="10"/>
      <c r="U35" s="10"/>
      <c r="V35" s="10"/>
      <c r="W35" s="10"/>
      <c r="X35" s="10"/>
      <c r="Y35" s="10"/>
      <c r="Z35" s="10"/>
      <c r="AA35" s="10"/>
      <c r="AB35" s="10"/>
      <c r="AC35" s="10"/>
      <c r="AD35" s="10"/>
    </row>
    <row r="36" spans="1:30" ht="15" customHeight="1" x14ac:dyDescent="0.25">
      <c r="A36" s="972">
        <f>IF(Sales_AdjType_1="Qualitative",0,1)</f>
        <v>1</v>
      </c>
      <c r="B36" s="16"/>
      <c r="C36" s="130"/>
      <c r="D36" s="1490" t="s">
        <v>1364</v>
      </c>
      <c r="E36" s="101"/>
      <c r="F36" s="1120"/>
      <c r="G36" s="1886" t="e">
        <f t="shared" ref="G36:L36" si="6">IF(Sales_AdjType_1&lt;&gt;"$ per Unit",G29*(1+G32),IF(Sales_AdjType_1="$ per Unit",G29+G32,G32))</f>
        <v>#DIV/0!</v>
      </c>
      <c r="H36" s="1886" t="e">
        <f t="shared" si="6"/>
        <v>#DIV/0!</v>
      </c>
      <c r="I36" s="1886" t="e">
        <f t="shared" si="6"/>
        <v>#DIV/0!</v>
      </c>
      <c r="J36" s="1886" t="e">
        <f t="shared" si="6"/>
        <v>#DIV/0!</v>
      </c>
      <c r="K36" s="1886" t="e">
        <f t="shared" si="6"/>
        <v>#DIV/0!</v>
      </c>
      <c r="L36" s="1979" t="e">
        <f t="shared" si="6"/>
        <v>#DIV/0!</v>
      </c>
      <c r="M36" s="101"/>
      <c r="N36" s="6"/>
      <c r="O36" s="10"/>
      <c r="P36" s="10"/>
      <c r="Q36" s="10"/>
      <c r="R36" s="10"/>
      <c r="S36" s="10"/>
      <c r="T36" s="10"/>
      <c r="U36" s="10"/>
      <c r="V36" s="10"/>
      <c r="W36" s="10"/>
      <c r="X36" s="10"/>
      <c r="Y36" s="10"/>
      <c r="Z36" s="10"/>
      <c r="AA36" s="10"/>
      <c r="AB36" s="10"/>
      <c r="AC36" s="10"/>
      <c r="AD36" s="10"/>
    </row>
    <row r="37" spans="1:30" ht="8.1" customHeight="1" x14ac:dyDescent="0.25">
      <c r="A37" s="972">
        <v>1</v>
      </c>
      <c r="B37" s="16"/>
      <c r="C37" s="130"/>
      <c r="D37" s="766"/>
      <c r="E37" s="101"/>
      <c r="F37" s="1127"/>
      <c r="G37" s="1786" t="b">
        <f t="shared" ref="G37:L37" si="7">IF(Sales_AdjType_1="Qualitative",IF(G39="Inferior",-1,IF(G39="Superior",1,0)))</f>
        <v>0</v>
      </c>
      <c r="H37" s="1786" t="b">
        <f t="shared" si="7"/>
        <v>0</v>
      </c>
      <c r="I37" s="1786" t="b">
        <f t="shared" si="7"/>
        <v>0</v>
      </c>
      <c r="J37" s="1786" t="b">
        <f t="shared" si="7"/>
        <v>0</v>
      </c>
      <c r="K37" s="1786" t="b">
        <f t="shared" si="7"/>
        <v>0</v>
      </c>
      <c r="L37" s="1951" t="b">
        <f t="shared" si="7"/>
        <v>0</v>
      </c>
      <c r="M37" s="101"/>
      <c r="N37" s="6"/>
      <c r="O37" s="10"/>
      <c r="P37" s="10"/>
      <c r="Q37" s="10"/>
      <c r="R37" s="10"/>
      <c r="S37" s="10"/>
      <c r="T37" s="10"/>
      <c r="U37" s="10"/>
      <c r="V37" s="10"/>
      <c r="W37" s="10"/>
      <c r="X37" s="10"/>
      <c r="Y37" s="10"/>
      <c r="Z37" s="10"/>
      <c r="AA37" s="10"/>
      <c r="AB37" s="10"/>
      <c r="AC37" s="10"/>
      <c r="AD37" s="10"/>
    </row>
    <row r="38" spans="1:30" x14ac:dyDescent="0.25">
      <c r="A38" s="972">
        <v>1</v>
      </c>
      <c r="B38" s="16"/>
      <c r="C38" s="130"/>
      <c r="D38" s="1489" t="s">
        <v>284</v>
      </c>
      <c r="E38" s="101"/>
      <c r="F38" s="1170" t="s">
        <v>175</v>
      </c>
      <c r="G38" s="1788"/>
      <c r="H38" s="1788"/>
      <c r="I38" s="1788"/>
      <c r="J38" s="1788"/>
      <c r="K38" s="1788"/>
      <c r="L38" s="1162"/>
      <c r="M38" s="802"/>
      <c r="N38" s="6"/>
      <c r="O38" s="10"/>
      <c r="P38" s="10"/>
      <c r="Q38" s="10"/>
      <c r="R38" s="10"/>
      <c r="S38" s="10"/>
      <c r="T38" s="10"/>
      <c r="U38" s="10"/>
      <c r="V38" s="10"/>
      <c r="W38" s="10"/>
      <c r="X38" s="10"/>
      <c r="Y38" s="10"/>
      <c r="Z38" s="10"/>
      <c r="AA38" s="10"/>
      <c r="AB38" s="10"/>
      <c r="AC38" s="10"/>
      <c r="AD38" s="10"/>
    </row>
    <row r="39" spans="1:30" ht="15" customHeight="1" x14ac:dyDescent="0.25">
      <c r="A39" s="972">
        <f>IF(SUM(Sales_ConditionsofSaleRange_1)=0,0,1)</f>
        <v>0</v>
      </c>
      <c r="B39" s="16"/>
      <c r="C39" s="130"/>
      <c r="D39" s="1490" t="s">
        <v>174</v>
      </c>
      <c r="E39" s="101"/>
      <c r="F39" s="1127"/>
      <c r="G39" s="1796">
        <f>IF(AND(G40=0,G41=0,G42=0,G43=0),0,IF(G40&lt;&gt;0,IF(Sales_AdjType="$ per Unit",G40*'Improved Sales Adjustments'!G36,G40),IF(G43&lt;&gt;0,G43/G36,IF(dpUnit_Sales="Net Rentable Area",(G41-G42)/(G36*G$12),IF(dpUnit_Sales="Gross Building Area",(G41-G42)/(G36*G$13),(G41-G42)/(G36*G$14))))))</f>
        <v>0</v>
      </c>
      <c r="H39" s="1796">
        <f>IF(AND(H40=0,H41=0,H42=0,H43=0),0,IF(H40&lt;&gt;0,IF(Sales_AdjType="$ per Unit",H40*'Improved Sales Adjustments'!#REF!,H40),IF(H43&lt;&gt;0,H43/H36,IF(dpUnit_Sales="Net Rentable Area",(H41-H42)/(H36*H$12),IF(dpUnit_Sales="Gross Building Area",(H41-H42)/(H36*H$13),(H41-H42)/(H36*H$14))))))</f>
        <v>0</v>
      </c>
      <c r="I39" s="1796">
        <f>IF(AND(I40=0,I41=0,I42=0,I43=0),0,IF(I40&lt;&gt;0,IF(Sales_AdjType="$ per Unit",I40*'Improved Sales Adjustments'!#REF!,I40),IF(I43&lt;&gt;0,I43/I36,IF(dpUnit_Sales="Net Rentable Area",(I41-I42)/(I36*I$12),IF(dpUnit_Sales="Gross Building Area",(I41-I42)/(I36*I$13),(I41-I42)/(I36*I$14))))))</f>
        <v>0</v>
      </c>
      <c r="J39" s="1796">
        <f>IF(AND(J40=0,J41=0,J42=0,J43=0),0,IF(J40&lt;&gt;0,IF(Sales_AdjType="$ per Unit",J40*'Improved Sales Adjustments'!H36,J40),IF(J43&lt;&gt;0,J43/J36,IF(dpUnit_Sales="Net Rentable Area",(J41-J42)/(J36*J$12),IF(dpUnit_Sales="Gross Building Area",(J41-J42)/(J36*J$13),(J41-J42)/(J36*J$14))))))</f>
        <v>0</v>
      </c>
      <c r="K39" s="1796">
        <f>IF(AND(K40=0,K41=0,K42=0,K43=0),0,IF(K40&lt;&gt;0,IF(Sales_AdjType="$ per Unit",K40*'Improved Sales Adjustments'!#REF!,K40),IF(K43&lt;&gt;0,K43/K36,IF(dpUnit_Sales="Net Rentable Area",(K41-K42)/(K36*K$12),IF(dpUnit_Sales="Gross Building Area",(K41-K42)/(K36*K$13),(K41-K42)/(K36*K$14))))))</f>
        <v>0</v>
      </c>
      <c r="L39" s="1958">
        <f>IF(AND(L40=0,L41=0,L42=0,L43=0),0,IF(L40&lt;&gt;0,IF(Sales_AdjType="$ per Unit",L40*'Improved Sales Adjustments'!I36,L40),IF(L43&lt;&gt;0,L43/L36,IF(dpUnit_Sales="Net Rentable Area",(L41-L42)/(L36*L$12),IF(dpUnit_Sales="Gross Building Area",(L41-L42)/(L36*L$13),(L41-L42)/(L36*L$14))))))</f>
        <v>0</v>
      </c>
      <c r="M39" s="1194"/>
      <c r="N39" s="6"/>
      <c r="O39" s="10"/>
      <c r="P39" s="10"/>
      <c r="Q39" s="10"/>
      <c r="R39" s="10"/>
      <c r="S39" s="10"/>
      <c r="T39" s="10"/>
      <c r="U39" s="10"/>
      <c r="V39" s="10"/>
      <c r="W39" s="10"/>
      <c r="X39" s="10"/>
      <c r="Y39" s="10"/>
      <c r="Z39" s="10"/>
      <c r="AA39" s="10"/>
      <c r="AB39" s="10"/>
      <c r="AC39" s="10"/>
      <c r="AD39" s="10"/>
    </row>
    <row r="40" spans="1:30" ht="15" customHeight="1" x14ac:dyDescent="0.25">
      <c r="A40" s="972">
        <v>0</v>
      </c>
      <c r="B40" s="16"/>
      <c r="C40" s="130"/>
      <c r="D40" s="766"/>
      <c r="E40" s="101"/>
      <c r="F40" s="1120" t="s">
        <v>166</v>
      </c>
      <c r="G40" s="1793"/>
      <c r="H40" s="1793"/>
      <c r="I40" s="1793"/>
      <c r="J40" s="1793"/>
      <c r="K40" s="1793"/>
      <c r="L40" s="1955"/>
      <c r="M40" s="101"/>
      <c r="N40" s="6"/>
      <c r="O40" s="10"/>
      <c r="P40" s="10"/>
      <c r="Q40" s="10"/>
      <c r="R40" s="10"/>
      <c r="S40" s="10"/>
      <c r="T40" s="10"/>
      <c r="U40" s="10"/>
      <c r="V40" s="10"/>
      <c r="W40" s="10"/>
      <c r="X40" s="10"/>
      <c r="Y40" s="10"/>
      <c r="Z40" s="10"/>
      <c r="AA40" s="10"/>
      <c r="AB40" s="10"/>
      <c r="AC40" s="10"/>
      <c r="AD40" s="10"/>
    </row>
    <row r="41" spans="1:30" ht="15" customHeight="1" x14ac:dyDescent="0.25">
      <c r="A41" s="972">
        <v>0</v>
      </c>
      <c r="B41" s="16"/>
      <c r="C41" s="130"/>
      <c r="D41" s="766"/>
      <c r="E41" s="101"/>
      <c r="F41" s="1120" t="s">
        <v>167</v>
      </c>
      <c r="G41" s="1794"/>
      <c r="H41" s="1794"/>
      <c r="I41" s="1794"/>
      <c r="J41" s="1794"/>
      <c r="K41" s="1794"/>
      <c r="L41" s="1956"/>
      <c r="M41" s="101"/>
      <c r="N41" s="6"/>
      <c r="O41" s="10"/>
      <c r="P41" s="10"/>
      <c r="Q41" s="10"/>
      <c r="R41" s="10"/>
      <c r="S41" s="10"/>
      <c r="T41" s="10"/>
      <c r="U41" s="10"/>
      <c r="V41" s="10"/>
      <c r="W41" s="10"/>
      <c r="X41" s="10"/>
      <c r="Y41" s="10"/>
      <c r="Z41" s="10"/>
      <c r="AA41" s="10"/>
      <c r="AB41" s="10"/>
      <c r="AC41" s="10"/>
      <c r="AD41" s="10"/>
    </row>
    <row r="42" spans="1:30" ht="15" customHeight="1" x14ac:dyDescent="0.25">
      <c r="A42" s="972">
        <v>0</v>
      </c>
      <c r="B42" s="16"/>
      <c r="C42" s="130"/>
      <c r="D42" s="766"/>
      <c r="E42" s="101"/>
      <c r="F42" s="1120" t="s">
        <v>1066</v>
      </c>
      <c r="G42" s="1794"/>
      <c r="H42" s="1794"/>
      <c r="I42" s="1794"/>
      <c r="J42" s="1794"/>
      <c r="K42" s="1794"/>
      <c r="L42" s="1956"/>
      <c r="M42" s="101"/>
      <c r="N42" s="6"/>
      <c r="O42" s="10"/>
      <c r="P42" s="10"/>
      <c r="Q42" s="10"/>
      <c r="R42" s="10"/>
      <c r="S42" s="10"/>
      <c r="T42" s="10"/>
      <c r="U42" s="10"/>
      <c r="V42" s="10"/>
      <c r="W42" s="10"/>
      <c r="X42" s="10"/>
      <c r="Y42" s="10"/>
      <c r="Z42" s="10"/>
      <c r="AA42" s="10"/>
      <c r="AB42" s="10"/>
      <c r="AC42" s="10"/>
      <c r="AD42" s="10"/>
    </row>
    <row r="43" spans="1:30" ht="15" customHeight="1" x14ac:dyDescent="0.25">
      <c r="A43" s="972">
        <v>0</v>
      </c>
      <c r="B43" s="16"/>
      <c r="C43" s="130"/>
      <c r="D43" s="766"/>
      <c r="E43" s="101"/>
      <c r="F43" s="1120" t="s">
        <v>710</v>
      </c>
      <c r="G43" s="1791"/>
      <c r="H43" s="1791"/>
      <c r="I43" s="1791"/>
      <c r="J43" s="1791"/>
      <c r="K43" s="1791"/>
      <c r="L43" s="1953"/>
      <c r="M43" s="101"/>
      <c r="N43" s="6"/>
      <c r="O43" s="10"/>
      <c r="P43" s="10"/>
      <c r="Q43" s="10"/>
      <c r="R43" s="10"/>
      <c r="S43" s="10"/>
      <c r="T43" s="10"/>
      <c r="U43" s="10"/>
      <c r="V43" s="10"/>
      <c r="W43" s="10"/>
      <c r="X43" s="10"/>
      <c r="Y43" s="10"/>
      <c r="Z43" s="10"/>
      <c r="AA43" s="10"/>
      <c r="AB43" s="10"/>
      <c r="AC43" s="10"/>
      <c r="AD43" s="10"/>
    </row>
    <row r="44" spans="1:30" ht="15" customHeight="1" x14ac:dyDescent="0.25">
      <c r="A44" s="972">
        <f>IF(Sales_AdjType_1="Qualitative",0,1)</f>
        <v>1</v>
      </c>
      <c r="B44" s="16"/>
      <c r="C44" s="130"/>
      <c r="D44" s="1490" t="s">
        <v>1364</v>
      </c>
      <c r="E44" s="101"/>
      <c r="F44" s="1120"/>
      <c r="G44" s="1886" t="e">
        <f t="shared" ref="G44:L44" si="8">IF(Sales_AdjType_1&lt;&gt;"$ per Unit",G36*(1+G39),IF(Sales_AdjType_1="$ per Unit",G36+G39,G39))</f>
        <v>#DIV/0!</v>
      </c>
      <c r="H44" s="1886" t="e">
        <f t="shared" si="8"/>
        <v>#DIV/0!</v>
      </c>
      <c r="I44" s="1886" t="e">
        <f t="shared" si="8"/>
        <v>#DIV/0!</v>
      </c>
      <c r="J44" s="1886" t="e">
        <f t="shared" si="8"/>
        <v>#DIV/0!</v>
      </c>
      <c r="K44" s="1886" t="e">
        <f t="shared" si="8"/>
        <v>#DIV/0!</v>
      </c>
      <c r="L44" s="1979" t="e">
        <f t="shared" si="8"/>
        <v>#DIV/0!</v>
      </c>
      <c r="M44" s="101"/>
      <c r="N44" s="6"/>
      <c r="O44" s="10"/>
      <c r="P44" s="10"/>
      <c r="Q44" s="10"/>
      <c r="R44" s="10"/>
      <c r="S44" s="10"/>
      <c r="T44" s="10"/>
      <c r="U44" s="10"/>
      <c r="V44" s="10"/>
      <c r="W44" s="10"/>
      <c r="X44" s="10"/>
      <c r="Y44" s="10"/>
      <c r="Z44" s="10"/>
      <c r="AA44" s="10"/>
      <c r="AB44" s="10"/>
      <c r="AC44" s="10"/>
      <c r="AD44" s="10"/>
    </row>
    <row r="45" spans="1:30" ht="8.1" customHeight="1" x14ac:dyDescent="0.25">
      <c r="A45" s="972">
        <v>1</v>
      </c>
      <c r="B45" s="16"/>
      <c r="C45" s="130"/>
      <c r="D45" s="766"/>
      <c r="E45" s="101"/>
      <c r="F45" s="1127"/>
      <c r="G45" s="1786" t="b">
        <f t="shared" ref="G45:L45" si="9">IF(Sales_AdjType_1="Qualitative",IF(G47="Inferior",-1,IF(G47="Superior",1,0)))</f>
        <v>0</v>
      </c>
      <c r="H45" s="1786" t="b">
        <f t="shared" si="9"/>
        <v>0</v>
      </c>
      <c r="I45" s="1786" t="b">
        <f t="shared" si="9"/>
        <v>0</v>
      </c>
      <c r="J45" s="1786" t="b">
        <f t="shared" si="9"/>
        <v>0</v>
      </c>
      <c r="K45" s="1786" t="b">
        <f t="shared" si="9"/>
        <v>0</v>
      </c>
      <c r="L45" s="1951" t="b">
        <f t="shared" si="9"/>
        <v>0</v>
      </c>
      <c r="M45" s="101"/>
      <c r="N45" s="6"/>
      <c r="O45" s="10"/>
      <c r="P45" s="10"/>
      <c r="Q45" s="10"/>
      <c r="R45" s="10"/>
      <c r="S45" s="10"/>
      <c r="T45" s="10"/>
      <c r="U45" s="10"/>
      <c r="V45" s="10"/>
      <c r="W45" s="10"/>
      <c r="X45" s="10"/>
      <c r="Y45" s="10"/>
      <c r="Z45" s="10"/>
      <c r="AA45" s="10"/>
      <c r="AB45" s="10"/>
      <c r="AC45" s="10"/>
      <c r="AD45" s="10"/>
    </row>
    <row r="46" spans="1:30" x14ac:dyDescent="0.25">
      <c r="A46" s="972">
        <v>1</v>
      </c>
      <c r="B46" s="16"/>
      <c r="C46" s="130"/>
      <c r="D46" s="1489" t="s">
        <v>264</v>
      </c>
      <c r="E46" s="101"/>
      <c r="F46" s="1127"/>
      <c r="G46" s="1887"/>
      <c r="H46" s="1887"/>
      <c r="I46" s="1887"/>
      <c r="J46" s="1887"/>
      <c r="K46" s="1887"/>
      <c r="L46" s="1980"/>
      <c r="M46" s="1152"/>
      <c r="N46" s="6"/>
      <c r="O46" s="10"/>
      <c r="P46" s="10"/>
      <c r="Q46" s="10"/>
      <c r="R46" s="10"/>
      <c r="S46" s="10"/>
      <c r="T46" s="10"/>
      <c r="U46" s="10"/>
      <c r="V46" s="10"/>
      <c r="W46" s="10"/>
      <c r="X46" s="10"/>
      <c r="Y46" s="10"/>
      <c r="Z46" s="10"/>
      <c r="AA46" s="10"/>
      <c r="AB46" s="10"/>
      <c r="AC46" s="10"/>
      <c r="AD46" s="10"/>
    </row>
    <row r="47" spans="1:30" ht="15" customHeight="1" x14ac:dyDescent="0.25">
      <c r="A47" s="972">
        <v>1</v>
      </c>
      <c r="B47" s="16"/>
      <c r="C47" s="130"/>
      <c r="D47" s="1490" t="s">
        <v>174</v>
      </c>
      <c r="E47" s="101"/>
      <c r="F47" s="1127"/>
      <c r="G47" s="1888" t="e">
        <f t="shared" ref="G47:L47" si="10">IF(Sales_AdjType_1&lt;&gt;"$ per Unit",IF(dpUnit_Sales_1="Net Rentable Area",G46/(G12*G44),IF(dpUnit_Sales_1="Gross Building Area",G46/(G13*G44),G46/(G14*G44))),IF(Sales_AdjType_1="$ per Unit",IF(dpUnit_Sales_1="Net Rentable Area",G46/G$12,G46/G$13)))</f>
        <v>#DIV/0!</v>
      </c>
      <c r="H47" s="1888" t="e">
        <f t="shared" si="10"/>
        <v>#DIV/0!</v>
      </c>
      <c r="I47" s="1888" t="e">
        <f t="shared" si="10"/>
        <v>#DIV/0!</v>
      </c>
      <c r="J47" s="1888" t="e">
        <f t="shared" si="10"/>
        <v>#DIV/0!</v>
      </c>
      <c r="K47" s="1888" t="e">
        <f t="shared" si="10"/>
        <v>#DIV/0!</v>
      </c>
      <c r="L47" s="1981" t="e">
        <f t="shared" si="10"/>
        <v>#DIV/0!</v>
      </c>
      <c r="M47" s="763"/>
      <c r="N47" s="6"/>
      <c r="O47" s="10"/>
      <c r="P47" s="10"/>
      <c r="Q47" s="10"/>
      <c r="R47" s="10"/>
      <c r="S47" s="10"/>
      <c r="T47" s="10"/>
      <c r="U47" s="10"/>
      <c r="V47" s="10"/>
      <c r="W47" s="10"/>
      <c r="X47" s="10"/>
      <c r="Y47" s="10"/>
      <c r="Z47" s="10"/>
      <c r="AA47" s="10"/>
      <c r="AB47" s="10"/>
      <c r="AC47" s="10"/>
      <c r="AD47" s="10"/>
    </row>
    <row r="48" spans="1:30" ht="15" customHeight="1" x14ac:dyDescent="0.25">
      <c r="A48" s="972">
        <f>IF(Sales_AdjType_1="Qualitative",0,1)</f>
        <v>1</v>
      </c>
      <c r="B48" s="16"/>
      <c r="C48" s="130"/>
      <c r="D48" s="1492" t="s">
        <v>1364</v>
      </c>
      <c r="E48" s="101"/>
      <c r="F48" s="1127"/>
      <c r="G48" s="1889" t="e">
        <f t="shared" ref="G48:L48" si="11">IF(Sales_AdjType_1&lt;&gt;"$ per Unit",G44*(1+G47),IF(Sales_AdjType_1="$ per Unit",G44+G47))</f>
        <v>#DIV/0!</v>
      </c>
      <c r="H48" s="1889" t="e">
        <f t="shared" si="11"/>
        <v>#DIV/0!</v>
      </c>
      <c r="I48" s="1889" t="e">
        <f t="shared" si="11"/>
        <v>#DIV/0!</v>
      </c>
      <c r="J48" s="1889" t="e">
        <f t="shared" si="11"/>
        <v>#DIV/0!</v>
      </c>
      <c r="K48" s="1889" t="e">
        <f t="shared" si="11"/>
        <v>#DIV/0!</v>
      </c>
      <c r="L48" s="1982" t="e">
        <f t="shared" si="11"/>
        <v>#DIV/0!</v>
      </c>
      <c r="M48" s="101"/>
      <c r="N48" s="6"/>
      <c r="O48" s="10"/>
      <c r="P48" s="10"/>
      <c r="Q48" s="10"/>
      <c r="R48" s="10"/>
      <c r="S48" s="10"/>
      <c r="T48" s="10"/>
      <c r="U48" s="10"/>
      <c r="V48" s="10"/>
      <c r="W48" s="10"/>
      <c r="X48" s="10"/>
      <c r="Y48" s="10"/>
      <c r="Z48" s="10"/>
      <c r="AA48" s="10"/>
      <c r="AB48" s="10"/>
      <c r="AC48" s="10"/>
      <c r="AD48" s="10"/>
    </row>
    <row r="49" spans="1:30" ht="5.0999999999999996" customHeight="1" x14ac:dyDescent="0.25">
      <c r="A49" s="972"/>
      <c r="B49" s="16"/>
      <c r="C49" s="130"/>
      <c r="D49" s="766"/>
      <c r="E49" s="101"/>
      <c r="F49" s="101"/>
      <c r="G49" s="1786" t="b">
        <f t="shared" ref="G49:L49" si="12">IF(Sales_AdjType_1="Qualitative",IF(G54="Inferior",-1,IF(G54="Superior",1,0)))</f>
        <v>0</v>
      </c>
      <c r="H49" s="1786" t="b">
        <f t="shared" si="12"/>
        <v>0</v>
      </c>
      <c r="I49" s="1786" t="b">
        <f t="shared" si="12"/>
        <v>0</v>
      </c>
      <c r="J49" s="1786" t="b">
        <f t="shared" si="12"/>
        <v>0</v>
      </c>
      <c r="K49" s="1786" t="b">
        <f t="shared" si="12"/>
        <v>0</v>
      </c>
      <c r="L49" s="1951" t="b">
        <f t="shared" si="12"/>
        <v>0</v>
      </c>
      <c r="M49" s="101"/>
      <c r="N49" s="6"/>
      <c r="O49" s="10"/>
      <c r="P49" s="10"/>
      <c r="Q49" s="10"/>
      <c r="R49" s="10"/>
      <c r="S49" s="10"/>
      <c r="T49" s="10"/>
      <c r="U49" s="10"/>
      <c r="V49" s="10"/>
      <c r="W49" s="10"/>
      <c r="X49" s="10"/>
      <c r="Y49" s="10"/>
      <c r="Z49" s="10"/>
      <c r="AA49" s="10"/>
      <c r="AB49" s="10"/>
      <c r="AC49" s="10"/>
      <c r="AD49" s="10"/>
    </row>
    <row r="50" spans="1:30" ht="15" customHeight="1" x14ac:dyDescent="0.25">
      <c r="A50" s="972">
        <v>1</v>
      </c>
      <c r="B50" s="16"/>
      <c r="C50" s="130"/>
      <c r="D50" s="1137" t="s">
        <v>162</v>
      </c>
      <c r="E50" s="101"/>
      <c r="F50" s="101"/>
      <c r="G50" s="1830"/>
      <c r="H50" s="1830"/>
      <c r="I50" s="1830"/>
      <c r="J50" s="1830"/>
      <c r="K50" s="1830"/>
      <c r="L50" s="1972"/>
      <c r="M50" s="101"/>
      <c r="N50" s="6"/>
      <c r="O50" s="10"/>
      <c r="P50" s="10"/>
      <c r="Q50" s="10"/>
      <c r="R50" s="911"/>
      <c r="S50" s="4093" t="s">
        <v>944</v>
      </c>
      <c r="T50" s="10"/>
      <c r="U50" s="10"/>
      <c r="V50" s="10"/>
      <c r="W50" s="10"/>
      <c r="X50" s="10"/>
      <c r="Y50" s="10"/>
      <c r="Z50" s="10"/>
      <c r="AA50" s="10"/>
      <c r="AB50" s="10"/>
      <c r="AC50" s="10"/>
      <c r="AD50" s="10"/>
    </row>
    <row r="51" spans="1:30" ht="15" customHeight="1" thickBot="1" x14ac:dyDescent="0.3">
      <c r="A51" s="972">
        <v>1</v>
      </c>
      <c r="B51" s="16"/>
      <c r="C51" s="130"/>
      <c r="D51" s="1489" t="s">
        <v>171</v>
      </c>
      <c r="E51" s="101"/>
      <c r="F51" s="802"/>
      <c r="G51" s="1795">
        <f t="shared" ref="G51:L51" si="13">IF(ISERR((dpSale_DOV_1-G10)/365),0,(dpSale_DOV_1-G10)/365)</f>
        <v>0</v>
      </c>
      <c r="H51" s="1795">
        <f t="shared" si="13"/>
        <v>0</v>
      </c>
      <c r="I51" s="1795">
        <f t="shared" si="13"/>
        <v>0</v>
      </c>
      <c r="J51" s="1795">
        <f t="shared" si="13"/>
        <v>0</v>
      </c>
      <c r="K51" s="1795">
        <f t="shared" si="13"/>
        <v>0</v>
      </c>
      <c r="L51" s="1957">
        <f t="shared" si="13"/>
        <v>0</v>
      </c>
      <c r="M51" s="101"/>
      <c r="N51" s="6"/>
      <c r="O51" s="10"/>
      <c r="P51" s="10"/>
      <c r="Q51" s="10"/>
      <c r="R51" s="911"/>
      <c r="S51" s="4114"/>
      <c r="T51" s="10"/>
      <c r="U51" s="10"/>
      <c r="V51" s="10"/>
      <c r="W51" s="10"/>
      <c r="X51" s="10"/>
      <c r="Y51" s="10"/>
      <c r="Z51" s="10"/>
      <c r="AA51" s="10"/>
      <c r="AB51" s="10"/>
      <c r="AC51" s="10"/>
      <c r="AD51" s="10"/>
    </row>
    <row r="52" spans="1:30" ht="15" customHeight="1" x14ac:dyDescent="0.25">
      <c r="A52" s="972">
        <v>1</v>
      </c>
      <c r="B52" s="16"/>
      <c r="C52" s="130"/>
      <c r="D52" s="1490" t="s">
        <v>172</v>
      </c>
      <c r="E52" s="101"/>
      <c r="F52" s="1176" t="str">
        <f>dpSale_DOV_1</f>
        <v>December 30, 1899</v>
      </c>
      <c r="G52" s="1796">
        <f t="shared" ref="G52:L52" si="14">IF(dpSales_MktCondDate1_1="",0,IF(ISERR(IF(AND(dpSales_MktCondDate2_1&lt;&gt;"",G$10&gt;dpSales_MktCondDate1_1),0,(dpSales_MktCondAdj1_1*((dpSales_MktCondDate1_1-G$10)/365)))),0,IF(AND(dpSales_MktCondDate2_1&lt;&gt;"",G$10&gt;dpSales_MktCondDate1_1),0,(dpSales_MktCondAdj1_1*((dpSales_MktCondDate1_1-G$10)/365)))))</f>
        <v>0</v>
      </c>
      <c r="H52" s="1796">
        <f t="shared" si="14"/>
        <v>0</v>
      </c>
      <c r="I52" s="1796">
        <f t="shared" si="14"/>
        <v>0</v>
      </c>
      <c r="J52" s="1796">
        <f t="shared" si="14"/>
        <v>0</v>
      </c>
      <c r="K52" s="1796">
        <f t="shared" si="14"/>
        <v>0</v>
      </c>
      <c r="L52" s="1958">
        <f t="shared" si="14"/>
        <v>0</v>
      </c>
      <c r="M52" s="101"/>
      <c r="N52" s="6"/>
      <c r="O52" s="10"/>
      <c r="P52" s="10"/>
      <c r="Q52" s="10"/>
      <c r="R52" s="911"/>
      <c r="S52" s="573"/>
      <c r="T52" s="10"/>
      <c r="U52" s="10"/>
      <c r="V52" s="10"/>
      <c r="W52" s="10"/>
      <c r="X52" s="10"/>
      <c r="Y52" s="10"/>
      <c r="Z52" s="10"/>
      <c r="AA52" s="10"/>
      <c r="AB52" s="10"/>
      <c r="AC52" s="10"/>
      <c r="AD52" s="10"/>
    </row>
    <row r="53" spans="1:30" ht="15" customHeight="1" thickBot="1" x14ac:dyDescent="0.3">
      <c r="A53" s="972">
        <f>IF(dpSales_MktCondDate2_1="",0,1)</f>
        <v>0</v>
      </c>
      <c r="B53" s="16"/>
      <c r="C53" s="130"/>
      <c r="D53" s="1490" t="s">
        <v>173</v>
      </c>
      <c r="E53" s="101"/>
      <c r="F53" s="1177"/>
      <c r="G53" s="1796">
        <f t="shared" ref="G53:L53" si="15">IF(dpSales_MktCondDate2_1="",0,IF(ISERR(IF(AND(G$10&lt;dpSale_DOV_1,G$10&gt;dpSales_MktCondDate1_1),dpSales_MktCondAdj2_1*((dpSale_DOV_1-G$10)/365),IF(G$10&lt;dpSale_DOV_1,dpSales_MktCondAdj2_1*((dpSale_DOV_1-dpSales_MktCondDate1_1)/365),dpSales_MktCondAdj2_1*((dpSale_DOV_1-G$10)/365)))),0,IF(AND(G$10&lt;dpSale_DOV_1,G$10&gt;dpSales_MktCondDate1_1),dpSales_MktCondAdj2_1*((dpSale_DOV_1-G$10)/365),IF(G$10&lt;dpSale_DOV_1,dpSales_MktCondAdj2_1*((dpSale_DOV_1-dpSales_MktCondDate1_1)/365),dpSales_MktCondAdj2_1*((dpSale_DOV_1-G$10)/365)))))</f>
        <v>0</v>
      </c>
      <c r="H53" s="1796">
        <f t="shared" si="15"/>
        <v>0</v>
      </c>
      <c r="I53" s="1796">
        <f t="shared" si="15"/>
        <v>0</v>
      </c>
      <c r="J53" s="1796">
        <f t="shared" si="15"/>
        <v>0</v>
      </c>
      <c r="K53" s="1796">
        <f t="shared" si="15"/>
        <v>0</v>
      </c>
      <c r="L53" s="1958">
        <f t="shared" si="15"/>
        <v>0</v>
      </c>
      <c r="M53" s="101"/>
      <c r="N53" s="6"/>
      <c r="O53" s="10"/>
      <c r="P53" s="10"/>
      <c r="Q53" s="10"/>
      <c r="R53" s="911"/>
      <c r="S53" s="574"/>
      <c r="T53" s="12" t="s">
        <v>158</v>
      </c>
      <c r="U53" s="10"/>
      <c r="V53" s="10"/>
      <c r="W53" s="10"/>
      <c r="X53" s="10"/>
      <c r="Y53" s="10"/>
      <c r="Z53" s="10"/>
      <c r="AA53" s="10"/>
      <c r="AB53" s="10"/>
      <c r="AC53" s="10"/>
      <c r="AD53" s="10"/>
    </row>
    <row r="54" spans="1:30" ht="15" customHeight="1" x14ac:dyDescent="0.25">
      <c r="A54" s="972">
        <v>1</v>
      </c>
      <c r="B54" s="16"/>
      <c r="C54" s="130"/>
      <c r="D54" s="1206" t="s">
        <v>1371</v>
      </c>
      <c r="E54" s="101"/>
      <c r="F54" s="802"/>
      <c r="G54" s="1784" t="e">
        <f t="shared" ref="G54:L54" si="16">G48*(1+G52)*(1+G53)</f>
        <v>#DIV/0!</v>
      </c>
      <c r="H54" s="1784" t="e">
        <f t="shared" si="16"/>
        <v>#DIV/0!</v>
      </c>
      <c r="I54" s="1784" t="e">
        <f t="shared" si="16"/>
        <v>#DIV/0!</v>
      </c>
      <c r="J54" s="1784" t="e">
        <f t="shared" si="16"/>
        <v>#DIV/0!</v>
      </c>
      <c r="K54" s="1784" t="e">
        <f t="shared" si="16"/>
        <v>#DIV/0!</v>
      </c>
      <c r="L54" s="1949" t="e">
        <f t="shared" si="16"/>
        <v>#DIV/0!</v>
      </c>
      <c r="M54" s="101"/>
      <c r="N54" s="6"/>
      <c r="O54" s="10"/>
      <c r="P54" s="10"/>
      <c r="Q54" s="10"/>
      <c r="R54" s="10"/>
      <c r="S54" s="10"/>
      <c r="T54" s="10"/>
      <c r="U54" s="10"/>
      <c r="V54" s="10"/>
      <c r="W54" s="10"/>
      <c r="X54" s="10"/>
      <c r="Y54" s="10"/>
      <c r="Z54" s="10"/>
      <c r="AA54" s="10"/>
      <c r="AB54" s="10"/>
      <c r="AC54" s="10"/>
      <c r="AD54" s="10"/>
    </row>
    <row r="55" spans="1:30" ht="5.0999999999999996" customHeight="1" x14ac:dyDescent="0.25">
      <c r="A55" s="972">
        <v>1</v>
      </c>
      <c r="B55" s="16"/>
      <c r="C55" s="130"/>
      <c r="D55" s="766"/>
      <c r="E55" s="101"/>
      <c r="F55" s="101"/>
      <c r="G55" s="1797">
        <f t="shared" ref="G55:L55" si="17">IF(AND(G60=0,G61=0,G62=0),0,IF(G60&lt;&gt;0,G60,IF(G59&lt;&gt;0,IF(dpUnit_Sales_1="Net Rentable Area",(G61/G$12)/G$54,(G61/G$13)/G$54),IF(dpUnit_Sales_1="Net Rentable Area",G62/G$54,G62/G$54))))</f>
        <v>0</v>
      </c>
      <c r="H55" s="1797">
        <f t="shared" si="17"/>
        <v>0</v>
      </c>
      <c r="I55" s="1797">
        <f t="shared" si="17"/>
        <v>0</v>
      </c>
      <c r="J55" s="1797">
        <f t="shared" si="17"/>
        <v>0</v>
      </c>
      <c r="K55" s="1797">
        <f t="shared" si="17"/>
        <v>0</v>
      </c>
      <c r="L55" s="1959">
        <f t="shared" si="17"/>
        <v>0</v>
      </c>
      <c r="M55" s="101"/>
      <c r="N55" s="6"/>
      <c r="O55" s="10"/>
      <c r="P55" s="10"/>
      <c r="Q55" s="10"/>
      <c r="R55" s="10"/>
      <c r="S55" s="10"/>
      <c r="T55" s="10"/>
      <c r="U55" s="10"/>
      <c r="V55" s="10"/>
      <c r="W55" s="10"/>
      <c r="X55" s="10"/>
      <c r="Y55" s="10"/>
      <c r="Z55" s="10"/>
      <c r="AA55" s="10"/>
      <c r="AB55" s="10"/>
      <c r="AC55" s="10"/>
      <c r="AD55" s="10"/>
    </row>
    <row r="56" spans="1:30" ht="15" customHeight="1" x14ac:dyDescent="0.25">
      <c r="A56" s="972">
        <v>1</v>
      </c>
      <c r="B56" s="16"/>
      <c r="C56" s="130"/>
      <c r="D56" s="1137" t="s">
        <v>312</v>
      </c>
      <c r="E56" s="101"/>
      <c r="F56" s="101"/>
      <c r="G56" s="1830"/>
      <c r="H56" s="1830"/>
      <c r="I56" s="1830"/>
      <c r="J56" s="1830"/>
      <c r="K56" s="1830"/>
      <c r="L56" s="1972"/>
      <c r="M56" s="101"/>
      <c r="N56" s="6"/>
      <c r="O56" s="10"/>
      <c r="P56" s="10"/>
      <c r="Q56" s="10"/>
      <c r="R56" s="10"/>
      <c r="S56" s="10"/>
      <c r="T56" s="10"/>
      <c r="U56" s="10"/>
      <c r="V56" s="10"/>
      <c r="W56" s="10"/>
      <c r="X56" s="10"/>
      <c r="Y56" s="10"/>
      <c r="Z56" s="10"/>
      <c r="AA56" s="10"/>
      <c r="AB56" s="10"/>
      <c r="AC56" s="10"/>
      <c r="AD56" s="10"/>
    </row>
    <row r="57" spans="1:30" x14ac:dyDescent="0.25">
      <c r="A57" s="972">
        <f>A59</f>
        <v>2</v>
      </c>
      <c r="B57" s="16"/>
      <c r="C57" s="522"/>
      <c r="D57" s="1489" t="s">
        <v>95</v>
      </c>
      <c r="E57" s="802"/>
      <c r="F57" s="1665" t="str">
        <f>Subject_Address</f>
        <v>4940 Oneida St</v>
      </c>
      <c r="G57" s="1788"/>
      <c r="H57" s="1788"/>
      <c r="I57" s="1788"/>
      <c r="J57" s="1788"/>
      <c r="K57" s="1788"/>
      <c r="L57" s="1162"/>
      <c r="M57" s="101"/>
      <c r="N57" s="6"/>
      <c r="O57" s="10"/>
      <c r="P57" s="10"/>
      <c r="Q57" s="10"/>
      <c r="R57" s="10"/>
      <c r="S57" s="10"/>
      <c r="T57" s="10"/>
      <c r="U57" s="10"/>
      <c r="V57" s="10"/>
      <c r="W57" s="10"/>
      <c r="X57" s="10"/>
      <c r="Y57" s="10"/>
      <c r="Z57" s="10"/>
      <c r="AA57" s="10"/>
      <c r="AB57" s="10"/>
      <c r="AC57" s="10"/>
      <c r="AD57" s="10"/>
    </row>
    <row r="58" spans="1:30" ht="14.25" customHeight="1" x14ac:dyDescent="0.25">
      <c r="A58" s="972">
        <f>A59</f>
        <v>2</v>
      </c>
      <c r="B58" s="16"/>
      <c r="C58" s="522"/>
      <c r="D58" s="520"/>
      <c r="E58" s="802"/>
      <c r="F58" s="1650" t="str">
        <f>CONCATENATE(Subject_City,", ",Subject_State)</f>
        <v>Commerce City, Colorado</v>
      </c>
      <c r="G58" s="1788"/>
      <c r="H58" s="1788"/>
      <c r="I58" s="1788"/>
      <c r="J58" s="1788"/>
      <c r="K58" s="1788"/>
      <c r="L58" s="1162"/>
      <c r="M58" s="101"/>
      <c r="N58" s="6"/>
      <c r="O58" s="10"/>
      <c r="P58" s="10"/>
      <c r="Q58" s="10"/>
      <c r="R58" s="10"/>
      <c r="S58" s="10"/>
      <c r="T58" s="10"/>
      <c r="U58" s="10"/>
      <c r="V58" s="10"/>
      <c r="W58" s="10"/>
      <c r="X58" s="10"/>
      <c r="Y58" s="10"/>
      <c r="Z58" s="10"/>
      <c r="AA58" s="10"/>
      <c r="AB58" s="10"/>
      <c r="AC58" s="10"/>
      <c r="AD58" s="10"/>
    </row>
    <row r="59" spans="1:30" ht="15" customHeight="1" x14ac:dyDescent="0.25">
      <c r="A59" s="972">
        <f>IF(AND(B59=TRUE,dpSale_Method_1="Whole Property"),1,2)</f>
        <v>2</v>
      </c>
      <c r="B59" s="16" t="b">
        <v>0</v>
      </c>
      <c r="C59" s="130"/>
      <c r="D59" s="1490" t="str">
        <f>IF(Sales_AdjType&lt;&gt;"Qualitative","Adjustment","Relative Comparison")</f>
        <v>Adjustment</v>
      </c>
      <c r="E59" s="802"/>
      <c r="F59" s="802"/>
      <c r="G59" s="1796">
        <f t="shared" ref="G59:L59" si="18">IF(Sales_AdjType_1="Percent",IF(AND(G60=0,G61=0,G62=0),0,IF(G60&lt;&gt;0,G60,IF(G61&lt;&gt;0,IF(Sales_AdjType_1="Net Rentable Area",(G61/G$12)/G$54,(G61/G$13)/G$54),IF(Sales_AdjType_1="Net Rentable Area",G62/G$54,G62/G$54)))),IF(Sales_AdjType_1="$ per Unit",IF(AND(G60=0,G61=0,G62=0),0,IF(G60&lt;&gt;0,G60*G$54,IF(G61&lt;&gt;0,IF(Sales_AdjType_1="Net Rentable Area",G61/G$12,G61/G$13),G62))),IF(OR(G60&gt;0,G61&gt;0,G62&gt;0),"Inferior",IF(OR(G60&lt;0,G61&lt;0,G62&lt;0),"Superior","Similar"))))</f>
        <v>0</v>
      </c>
      <c r="H59" s="1796">
        <f t="shared" si="18"/>
        <v>0</v>
      </c>
      <c r="I59" s="1796">
        <f t="shared" si="18"/>
        <v>0</v>
      </c>
      <c r="J59" s="1796">
        <f t="shared" si="18"/>
        <v>0</v>
      </c>
      <c r="K59" s="1796">
        <f t="shared" si="18"/>
        <v>0</v>
      </c>
      <c r="L59" s="1958">
        <f t="shared" si="18"/>
        <v>0</v>
      </c>
      <c r="M59" s="1194"/>
      <c r="N59" s="6"/>
      <c r="O59" s="10"/>
      <c r="P59" s="10"/>
      <c r="Q59" s="10"/>
      <c r="R59" s="10"/>
      <c r="S59" s="10"/>
      <c r="T59" s="10"/>
      <c r="U59" s="10"/>
      <c r="V59" s="10"/>
      <c r="W59" s="10"/>
      <c r="X59" s="10"/>
      <c r="Y59" s="10"/>
      <c r="Z59" s="10"/>
      <c r="AA59" s="10"/>
      <c r="AB59" s="10"/>
      <c r="AC59" s="10"/>
      <c r="AD59" s="10"/>
    </row>
    <row r="60" spans="1:30" ht="15" customHeight="1" x14ac:dyDescent="0.25">
      <c r="A60" s="972">
        <f>IF(A59=2,2,0)</f>
        <v>2</v>
      </c>
      <c r="B60" s="575"/>
      <c r="C60" s="130"/>
      <c r="D60" s="520"/>
      <c r="E60" s="802"/>
      <c r="F60" s="1120" t="s">
        <v>166</v>
      </c>
      <c r="G60" s="1793"/>
      <c r="H60" s="1793"/>
      <c r="I60" s="1793"/>
      <c r="J60" s="1793"/>
      <c r="K60" s="1793"/>
      <c r="L60" s="1955"/>
      <c r="M60" s="136"/>
      <c r="N60" s="6"/>
      <c r="O60" s="10"/>
      <c r="P60" s="10"/>
      <c r="Q60" s="10"/>
      <c r="R60" s="10"/>
      <c r="S60" s="10"/>
      <c r="T60" s="10"/>
      <c r="U60" s="10"/>
      <c r="V60" s="10"/>
      <c r="W60" s="10"/>
      <c r="X60" s="10"/>
      <c r="Y60" s="10"/>
      <c r="Z60" s="10"/>
      <c r="AA60" s="10"/>
      <c r="AB60" s="10"/>
      <c r="AC60" s="10"/>
      <c r="AD60" s="10"/>
    </row>
    <row r="61" spans="1:30" ht="15" customHeight="1" x14ac:dyDescent="0.25">
      <c r="A61" s="972">
        <f>IF(A60=2,2,0)</f>
        <v>2</v>
      </c>
      <c r="B61" s="575"/>
      <c r="C61" s="130"/>
      <c r="D61" s="520"/>
      <c r="E61" s="802"/>
      <c r="F61" s="1120" t="s">
        <v>167</v>
      </c>
      <c r="G61" s="1794"/>
      <c r="H61" s="1794"/>
      <c r="I61" s="1794"/>
      <c r="J61" s="1794"/>
      <c r="K61" s="1794"/>
      <c r="L61" s="1956"/>
      <c r="M61" s="1152"/>
      <c r="N61" s="6"/>
      <c r="O61" s="10"/>
      <c r="P61" s="10"/>
      <c r="Q61" s="10"/>
      <c r="R61" s="10"/>
      <c r="S61" s="10"/>
      <c r="T61" s="10"/>
      <c r="U61" s="10"/>
      <c r="V61" s="10"/>
      <c r="W61" s="10"/>
      <c r="X61" s="10"/>
      <c r="Y61" s="10"/>
      <c r="Z61" s="10"/>
      <c r="AA61" s="10"/>
      <c r="AB61" s="10"/>
      <c r="AC61" s="10"/>
      <c r="AD61" s="10"/>
    </row>
    <row r="62" spans="1:30" ht="15" customHeight="1" x14ac:dyDescent="0.25">
      <c r="A62" s="972">
        <f>IF(A61=2,2,0)</f>
        <v>2</v>
      </c>
      <c r="B62" s="575"/>
      <c r="C62" s="130"/>
      <c r="D62" s="520"/>
      <c r="E62" s="802"/>
      <c r="F62" s="1120" t="s">
        <v>710</v>
      </c>
      <c r="G62" s="1791"/>
      <c r="H62" s="1791"/>
      <c r="I62" s="1791"/>
      <c r="J62" s="1791"/>
      <c r="K62" s="1791"/>
      <c r="L62" s="1953"/>
      <c r="M62" s="1153"/>
      <c r="N62" s="6"/>
      <c r="O62" s="10"/>
      <c r="P62" s="10"/>
      <c r="Q62" s="10"/>
      <c r="R62" s="10"/>
      <c r="S62" s="10"/>
      <c r="T62" s="10"/>
      <c r="U62" s="10"/>
      <c r="V62" s="10"/>
      <c r="W62" s="10"/>
      <c r="X62" s="10"/>
      <c r="Y62" s="10"/>
      <c r="Z62" s="10"/>
      <c r="AA62" s="10"/>
      <c r="AB62" s="10"/>
      <c r="AC62" s="10"/>
      <c r="AD62" s="10"/>
    </row>
    <row r="63" spans="1:30" ht="8.1" customHeight="1" x14ac:dyDescent="0.25">
      <c r="A63" s="972">
        <f>A65</f>
        <v>2</v>
      </c>
      <c r="B63" s="16"/>
      <c r="C63" s="130"/>
      <c r="D63" s="520"/>
      <c r="E63" s="802"/>
      <c r="F63" s="802"/>
      <c r="G63" s="1797">
        <f t="shared" ref="G63:L63" si="19">IF(AND(G66=0,G67=0,G68=0),0,IF(G66&lt;&gt;0,G66,IF(G67&lt;&gt;0,IF(dpUnit_Sales_1="Net Rentable Area",(G67/G$12)/G$54,(G67/G$13)/G$54),IF(dpUnit_Sales_1="Net Rentable Area",G68/G$54,G68/G$54))))</f>
        <v>0</v>
      </c>
      <c r="H63" s="1797">
        <f t="shared" si="19"/>
        <v>0</v>
      </c>
      <c r="I63" s="1797">
        <f t="shared" si="19"/>
        <v>0</v>
      </c>
      <c r="J63" s="1797">
        <f t="shared" si="19"/>
        <v>0</v>
      </c>
      <c r="K63" s="1797">
        <f t="shared" si="19"/>
        <v>0</v>
      </c>
      <c r="L63" s="1959">
        <f t="shared" si="19"/>
        <v>0</v>
      </c>
      <c r="M63" s="101"/>
      <c r="N63" s="6"/>
      <c r="O63" s="10"/>
      <c r="P63" s="10"/>
      <c r="Q63" s="10"/>
      <c r="R63" s="10"/>
      <c r="S63" s="10"/>
      <c r="T63" s="10"/>
      <c r="U63" s="10"/>
      <c r="V63" s="10"/>
      <c r="W63" s="10"/>
      <c r="X63" s="10"/>
      <c r="Y63" s="10"/>
      <c r="Z63" s="10"/>
      <c r="AA63" s="10"/>
      <c r="AB63" s="10"/>
      <c r="AC63" s="10"/>
      <c r="AD63" s="10"/>
    </row>
    <row r="64" spans="1:30" x14ac:dyDescent="0.25">
      <c r="A64" s="972">
        <f>A65</f>
        <v>2</v>
      </c>
      <c r="B64" s="16"/>
      <c r="C64" s="130"/>
      <c r="D64" s="1489" t="s">
        <v>96</v>
      </c>
      <c r="E64" s="802"/>
      <c r="F64" s="1719">
        <f>IF(dpUnit_Sales_1="Net Rentable Area",dpSubject_Sales_NRA_1,IF(dpUnit_Sales="Gross Building Area",dpSubject_Sales_GBA_1,dpSubject_Sales_Units_1))</f>
        <v>209208</v>
      </c>
      <c r="G64" s="1890">
        <f t="shared" ref="G64:L64" si="20">IF(dpUnit_Sales_1="Net Rentable Area",G12,IF(dpUnit_Sales_1="Gross Building Area",G13,G14))</f>
        <v>0</v>
      </c>
      <c r="H64" s="1890">
        <f t="shared" si="20"/>
        <v>0</v>
      </c>
      <c r="I64" s="1890">
        <f t="shared" si="20"/>
        <v>0</v>
      </c>
      <c r="J64" s="1890">
        <f t="shared" si="20"/>
        <v>0</v>
      </c>
      <c r="K64" s="1890">
        <f t="shared" si="20"/>
        <v>0</v>
      </c>
      <c r="L64" s="1983">
        <f t="shared" si="20"/>
        <v>0</v>
      </c>
      <c r="M64" s="101"/>
      <c r="N64" s="6"/>
      <c r="O64" s="10"/>
      <c r="P64" s="10"/>
      <c r="Q64" s="10"/>
      <c r="R64" s="911"/>
      <c r="S64" s="150" t="s">
        <v>1186</v>
      </c>
      <c r="T64" s="10"/>
      <c r="U64" s="10"/>
      <c r="V64" s="10"/>
      <c r="W64" s="10"/>
      <c r="X64" s="10"/>
      <c r="Y64" s="10"/>
      <c r="Z64" s="10"/>
      <c r="AA64" s="10"/>
      <c r="AB64" s="10"/>
      <c r="AC64" s="10"/>
      <c r="AD64" s="10"/>
    </row>
    <row r="65" spans="1:30" ht="15" customHeight="1" thickBot="1" x14ac:dyDescent="0.3">
      <c r="A65" s="972">
        <f>IF(B65=TRUE,1,2)</f>
        <v>2</v>
      </c>
      <c r="B65" s="16" t="b">
        <v>0</v>
      </c>
      <c r="C65" s="130"/>
      <c r="D65" s="1490" t="str">
        <f>IF(Sales_AdjType&lt;&gt;"Qualitative","Adjustment","Relative Comparison")</f>
        <v>Adjustment</v>
      </c>
      <c r="E65" s="802"/>
      <c r="F65" s="802"/>
      <c r="G65" s="1796">
        <f t="shared" ref="G65:L65" si="21">IF(Sales_AdjType_1="Percent",IF(AND(G66=0,G67=0,G68=0),0,IF(G66&lt;&gt;0,G66,IF(G67&lt;&gt;0,IF(Sales_AdjType_1="Net Rentable Area",(G67/G$12)/G$54,(G67/G$13)/G$54),IF(Sales_AdjType_1="Net Rentable Area",G68/G$54,G68/G$54)))),IF(Sales_AdjType_1="$ per Unit",IF(AND(G66=0,G67=0,G68=0),0,IF(G66&lt;&gt;0,G66*G$54,IF(G67&lt;&gt;0,IF(Sales_AdjType_1="Net Rentable Area",G67/G$12,G67/G$13),G68))),IF(OR(G66&gt;0,G67&gt;0,G68&gt;0),"Inferior",IF(OR(G66&lt;0,G67&lt;0,G68&lt;0),"Superior","Similar"))))</f>
        <v>0</v>
      </c>
      <c r="H65" s="1796">
        <f t="shared" si="21"/>
        <v>0</v>
      </c>
      <c r="I65" s="1796">
        <f t="shared" si="21"/>
        <v>0</v>
      </c>
      <c r="J65" s="1796">
        <f t="shared" si="21"/>
        <v>0</v>
      </c>
      <c r="K65" s="1796">
        <f t="shared" si="21"/>
        <v>0</v>
      </c>
      <c r="L65" s="1958">
        <f t="shared" si="21"/>
        <v>0</v>
      </c>
      <c r="M65" s="1194"/>
      <c r="N65" s="6"/>
      <c r="O65" s="10"/>
      <c r="P65" s="10"/>
      <c r="Q65" s="10"/>
      <c r="R65" s="911"/>
      <c r="S65" s="150" t="s">
        <v>1187</v>
      </c>
      <c r="T65" s="10"/>
      <c r="U65" s="10"/>
      <c r="V65" s="10"/>
      <c r="W65" s="10"/>
      <c r="X65" s="10"/>
      <c r="Y65" s="10"/>
      <c r="Z65" s="10"/>
      <c r="AA65" s="10"/>
      <c r="AB65" s="10"/>
      <c r="AC65" s="10"/>
      <c r="AD65" s="10"/>
    </row>
    <row r="66" spans="1:30" ht="15" customHeight="1" thickBot="1" x14ac:dyDescent="0.3">
      <c r="A66" s="972">
        <f>IF(A65=2,2,0)</f>
        <v>2</v>
      </c>
      <c r="B66" s="575"/>
      <c r="C66" s="130"/>
      <c r="D66" s="520"/>
      <c r="E66" s="802"/>
      <c r="F66" s="1120" t="s">
        <v>166</v>
      </c>
      <c r="G66" s="1793"/>
      <c r="H66" s="1793"/>
      <c r="I66" s="1793"/>
      <c r="J66" s="1793"/>
      <c r="K66" s="1793"/>
      <c r="L66" s="1955"/>
      <c r="M66" s="136">
        <f>IF(ISERROR((INT(LN(J64/$F$64)/LN(2))+2^(MOD(LN(J64/$F$64)/LN(2),1))-1)*dpSales_SizeFactor_1),0,ROUND((INT(LN(J64/$F$64)/LN(2))+2^(MOD(LN(J64/$F$64)/LN(2),1))-1)*dpSales_SizeFactor_1,2))</f>
        <v>0</v>
      </c>
      <c r="N66" s="6"/>
      <c r="O66" s="10"/>
      <c r="P66" s="10"/>
      <c r="Q66" s="10"/>
      <c r="R66" s="911"/>
      <c r="S66" s="914"/>
      <c r="T66" s="10"/>
      <c r="U66" s="10"/>
      <c r="V66" s="10"/>
      <c r="W66" s="10"/>
      <c r="X66" s="10"/>
      <c r="Y66" s="10"/>
      <c r="Z66" s="10"/>
      <c r="AA66" s="10"/>
      <c r="AB66" s="10"/>
      <c r="AC66" s="10"/>
      <c r="AD66" s="10"/>
    </row>
    <row r="67" spans="1:30" ht="15" customHeight="1" x14ac:dyDescent="0.25">
      <c r="A67" s="972">
        <f>IF(A66=2,2,0)</f>
        <v>2</v>
      </c>
      <c r="B67" s="575"/>
      <c r="C67" s="130"/>
      <c r="D67" s="520"/>
      <c r="E67" s="802"/>
      <c r="F67" s="1120" t="s">
        <v>167</v>
      </c>
      <c r="G67" s="1794"/>
      <c r="H67" s="1794"/>
      <c r="I67" s="1794"/>
      <c r="J67" s="1794"/>
      <c r="K67" s="1794"/>
      <c r="L67" s="1956"/>
      <c r="M67" s="1152"/>
      <c r="N67" s="6"/>
      <c r="O67" s="10"/>
      <c r="P67" s="10"/>
      <c r="Q67" s="10"/>
      <c r="R67" s="911"/>
      <c r="S67" s="150" t="s">
        <v>1188</v>
      </c>
      <c r="T67" s="10"/>
      <c r="U67" s="10"/>
      <c r="V67" s="10"/>
      <c r="W67" s="10"/>
      <c r="X67" s="10"/>
      <c r="Y67" s="10"/>
      <c r="Z67" s="10"/>
      <c r="AA67" s="10"/>
      <c r="AB67" s="10"/>
      <c r="AC67" s="10"/>
      <c r="AD67" s="10"/>
    </row>
    <row r="68" spans="1:30" ht="15" customHeight="1" x14ac:dyDescent="0.25">
      <c r="A68" s="972">
        <f>IF(A67=2,2,0)</f>
        <v>2</v>
      </c>
      <c r="B68" s="575"/>
      <c r="C68" s="130"/>
      <c r="D68" s="520"/>
      <c r="E68" s="802"/>
      <c r="F68" s="1120" t="s">
        <v>710</v>
      </c>
      <c r="G68" s="1791"/>
      <c r="H68" s="1791"/>
      <c r="I68" s="1791"/>
      <c r="J68" s="1791"/>
      <c r="K68" s="1791"/>
      <c r="L68" s="1953"/>
      <c r="M68" s="1153"/>
      <c r="N68" s="6"/>
      <c r="O68" s="10"/>
      <c r="P68" s="10"/>
      <c r="Q68" s="10"/>
      <c r="R68" s="10"/>
      <c r="S68" s="10"/>
      <c r="T68" s="10"/>
      <c r="U68" s="10"/>
      <c r="V68" s="10"/>
      <c r="W68" s="10"/>
      <c r="X68" s="10"/>
      <c r="Y68" s="10"/>
      <c r="Z68" s="10"/>
      <c r="AA68" s="10"/>
      <c r="AB68" s="10"/>
      <c r="AC68" s="10"/>
      <c r="AD68" s="10"/>
    </row>
    <row r="69" spans="1:30" ht="8.1" customHeight="1" x14ac:dyDescent="0.25">
      <c r="A69" s="972">
        <f>A77</f>
        <v>2</v>
      </c>
      <c r="B69" s="16"/>
      <c r="C69" s="130"/>
      <c r="D69" s="520"/>
      <c r="E69" s="802"/>
      <c r="F69" s="802"/>
      <c r="G69" s="1797">
        <f t="shared" ref="G69:L69" si="22">IF(AND(G78=0,G79=0,G80=0),0,IF(G78&lt;&gt;0,G78,IF(G79&lt;&gt;0,IF(dpUnit_Sales_1="Net Rentable Area",(G79/G$12)/G$54,(G79/G$13)/G$54),IF(dpUnit_Sales_1="Net Rentable Area",G80/G$54,G80/G$54))))</f>
        <v>0</v>
      </c>
      <c r="H69" s="1797">
        <f t="shared" si="22"/>
        <v>0</v>
      </c>
      <c r="I69" s="1797">
        <f t="shared" si="22"/>
        <v>0</v>
      </c>
      <c r="J69" s="1797">
        <f t="shared" si="22"/>
        <v>0</v>
      </c>
      <c r="K69" s="1797">
        <f t="shared" si="22"/>
        <v>0</v>
      </c>
      <c r="L69" s="1959">
        <f t="shared" si="22"/>
        <v>0</v>
      </c>
      <c r="M69" s="101"/>
      <c r="N69" s="6"/>
      <c r="O69" s="10"/>
      <c r="P69" s="10"/>
      <c r="Q69" s="10"/>
      <c r="R69" s="10"/>
      <c r="S69" s="10"/>
      <c r="T69" s="10"/>
      <c r="U69" s="10"/>
      <c r="V69" s="10"/>
      <c r="W69" s="10"/>
      <c r="X69" s="10"/>
      <c r="Y69" s="10"/>
      <c r="Z69" s="10"/>
      <c r="AA69" s="10"/>
      <c r="AB69" s="10"/>
      <c r="AC69" s="10"/>
      <c r="AD69" s="10"/>
    </row>
    <row r="70" spans="1:30" x14ac:dyDescent="0.25">
      <c r="A70" s="972">
        <f>A77</f>
        <v>2</v>
      </c>
      <c r="B70" s="16"/>
      <c r="C70" s="130"/>
      <c r="D70" s="1489" t="s">
        <v>294</v>
      </c>
      <c r="E70" s="1120" t="s">
        <v>10</v>
      </c>
      <c r="F70" s="1741">
        <f>IF(Subject_Year_Built="",Subject_Year_Built_Range,Subject_Year_Built)</f>
        <v>2021</v>
      </c>
      <c r="G70" s="1788">
        <f t="shared" ref="G70:L70" si="23">IF(OR(G71="",G71="N/A"),G72,G71)</f>
        <v>0</v>
      </c>
      <c r="H70" s="1788">
        <f t="shared" si="23"/>
        <v>0</v>
      </c>
      <c r="I70" s="1788">
        <f t="shared" si="23"/>
        <v>0</v>
      </c>
      <c r="J70" s="1788">
        <f t="shared" si="23"/>
        <v>0</v>
      </c>
      <c r="K70" s="1788">
        <f t="shared" si="23"/>
        <v>0</v>
      </c>
      <c r="L70" s="1162">
        <f t="shared" si="23"/>
        <v>0</v>
      </c>
      <c r="M70" s="101"/>
      <c r="N70" s="6"/>
      <c r="O70" s="10"/>
      <c r="P70" s="10"/>
      <c r="Q70" s="10"/>
      <c r="R70" s="10"/>
      <c r="S70" s="10"/>
      <c r="T70" s="10"/>
      <c r="U70" s="10"/>
      <c r="V70" s="10"/>
      <c r="W70" s="10"/>
      <c r="X70" s="10"/>
      <c r="Y70" s="10"/>
      <c r="Z70" s="10"/>
      <c r="AA70" s="10"/>
      <c r="AB70" s="10"/>
      <c r="AC70" s="10"/>
      <c r="AD70" s="10"/>
    </row>
    <row r="71" spans="1:30" ht="14.25" customHeight="1" x14ac:dyDescent="0.25">
      <c r="A71" s="972">
        <f>IF(A77=2,2,0)</f>
        <v>2</v>
      </c>
      <c r="B71" s="16"/>
      <c r="C71" s="130"/>
      <c r="D71" s="520"/>
      <c r="E71" s="1120" t="s">
        <v>10</v>
      </c>
      <c r="F71" s="1742">
        <f>Subject_Year_Built</f>
        <v>2021</v>
      </c>
      <c r="G71" s="1787"/>
      <c r="H71" s="1787"/>
      <c r="I71" s="1787"/>
      <c r="J71" s="1787"/>
      <c r="K71" s="1787"/>
      <c r="L71" s="1193"/>
      <c r="M71" s="101"/>
      <c r="N71" s="6"/>
      <c r="O71" s="10"/>
      <c r="P71" s="10"/>
      <c r="Q71" s="10"/>
      <c r="R71" s="10"/>
      <c r="S71" s="10"/>
      <c r="T71" s="10"/>
      <c r="U71" s="10"/>
      <c r="V71" s="10"/>
      <c r="W71" s="10"/>
      <c r="X71" s="10"/>
      <c r="Y71" s="10"/>
      <c r="Z71" s="10"/>
      <c r="AA71" s="10"/>
      <c r="AB71" s="10"/>
      <c r="AC71" s="10"/>
      <c r="AD71" s="10"/>
    </row>
    <row r="72" spans="1:30" ht="14.25" customHeight="1" x14ac:dyDescent="0.25">
      <c r="A72" s="972">
        <f>IF(A77=2,2,0)</f>
        <v>2</v>
      </c>
      <c r="B72" s="16"/>
      <c r="C72" s="130"/>
      <c r="D72" s="520"/>
      <c r="E72" s="1120" t="s">
        <v>1009</v>
      </c>
      <c r="F72" s="1742">
        <f>Subject_Year_Built_Range</f>
        <v>0</v>
      </c>
      <c r="G72" s="1787"/>
      <c r="H72" s="1787"/>
      <c r="I72" s="1787"/>
      <c r="J72" s="1787"/>
      <c r="K72" s="1787"/>
      <c r="L72" s="1193"/>
      <c r="M72" s="101"/>
      <c r="N72" s="6"/>
      <c r="O72" s="10"/>
      <c r="P72" s="10"/>
      <c r="Q72" s="10"/>
      <c r="R72" s="10"/>
      <c r="S72" s="10"/>
      <c r="T72" s="10"/>
      <c r="U72" s="10"/>
      <c r="V72" s="10"/>
      <c r="W72" s="10"/>
      <c r="X72" s="10"/>
      <c r="Y72" s="10"/>
      <c r="Z72" s="10"/>
      <c r="AA72" s="10"/>
      <c r="AB72" s="10"/>
      <c r="AC72" s="10"/>
      <c r="AD72" s="10"/>
    </row>
    <row r="73" spans="1:30" ht="14.25" customHeight="1" x14ac:dyDescent="0.25">
      <c r="A73" s="972">
        <f>A77</f>
        <v>2</v>
      </c>
      <c r="B73" s="16"/>
      <c r="C73" s="130"/>
      <c r="D73" s="520"/>
      <c r="E73" s="1120" t="s">
        <v>538</v>
      </c>
      <c r="F73" s="1665" t="str">
        <f>Subject_Condition</f>
        <v>Average</v>
      </c>
      <c r="G73" s="1788"/>
      <c r="H73" s="1788"/>
      <c r="I73" s="1788"/>
      <c r="J73" s="1788"/>
      <c r="K73" s="1788"/>
      <c r="L73" s="1162"/>
      <c r="M73" s="101"/>
      <c r="N73" s="6"/>
      <c r="O73" s="10"/>
      <c r="P73" s="10"/>
      <c r="Q73" s="10"/>
      <c r="R73" s="10"/>
      <c r="S73" s="10"/>
      <c r="T73" s="10"/>
      <c r="U73" s="10"/>
      <c r="V73" s="10"/>
      <c r="W73" s="10"/>
      <c r="X73" s="10"/>
      <c r="Y73" s="10"/>
      <c r="Z73" s="10"/>
      <c r="AA73" s="10"/>
      <c r="AB73" s="10"/>
      <c r="AC73" s="10"/>
      <c r="AD73" s="10"/>
    </row>
    <row r="74" spans="1:30" ht="15" customHeight="1" x14ac:dyDescent="0.25">
      <c r="A74" s="972">
        <f>A77</f>
        <v>2</v>
      </c>
      <c r="B74" s="16"/>
      <c r="C74" s="130"/>
      <c r="D74" s="1720"/>
      <c r="E74" s="1120" t="s">
        <v>17</v>
      </c>
      <c r="F74" s="1743">
        <f>Subject_AgeEffective</f>
        <v>0</v>
      </c>
      <c r="G74" s="1798"/>
      <c r="H74" s="1798"/>
      <c r="I74" s="1798"/>
      <c r="J74" s="1798"/>
      <c r="K74" s="1798"/>
      <c r="L74" s="1960"/>
      <c r="M74" s="101"/>
      <c r="N74" s="6"/>
      <c r="O74" s="10"/>
      <c r="P74" s="10"/>
      <c r="Q74" s="10"/>
      <c r="R74" s="10"/>
      <c r="S74" s="10"/>
      <c r="T74" s="10"/>
      <c r="U74" s="10"/>
      <c r="V74" s="10"/>
      <c r="W74" s="10"/>
      <c r="X74" s="10"/>
      <c r="Y74" s="10"/>
      <c r="Z74" s="10"/>
      <c r="AA74" s="10"/>
      <c r="AB74" s="10"/>
      <c r="AC74" s="10"/>
      <c r="AD74" s="10"/>
    </row>
    <row r="75" spans="1:30" ht="15" customHeight="1" x14ac:dyDescent="0.25">
      <c r="A75" s="972">
        <f>IF(A77=2,2,0)</f>
        <v>2</v>
      </c>
      <c r="B75" s="16"/>
      <c r="C75" s="130"/>
      <c r="D75" s="1720"/>
      <c r="E75" s="1120" t="s">
        <v>19</v>
      </c>
      <c r="F75" s="1744">
        <f>Subject_AgeRemainEco</f>
        <v>45</v>
      </c>
      <c r="G75" s="1891"/>
      <c r="H75" s="1891"/>
      <c r="I75" s="1891"/>
      <c r="J75" s="1891"/>
      <c r="K75" s="1891"/>
      <c r="L75" s="1984"/>
      <c r="M75" s="101"/>
      <c r="N75" s="6"/>
      <c r="O75" s="10"/>
      <c r="P75" s="10"/>
      <c r="Q75" s="10"/>
      <c r="R75" s="10"/>
      <c r="S75" s="10"/>
      <c r="T75" s="10"/>
      <c r="U75" s="10"/>
      <c r="V75" s="10"/>
      <c r="W75" s="10"/>
      <c r="X75" s="10"/>
      <c r="Y75" s="10"/>
      <c r="Z75" s="10"/>
      <c r="AA75" s="10"/>
      <c r="AB75" s="10"/>
      <c r="AC75" s="10"/>
      <c r="AD75" s="10"/>
    </row>
    <row r="76" spans="1:30" ht="15" customHeight="1" x14ac:dyDescent="0.25">
      <c r="A76" s="972">
        <v>1</v>
      </c>
      <c r="B76" s="16"/>
      <c r="C76" s="130"/>
      <c r="D76" s="1720"/>
      <c r="E76" s="1120" t="s">
        <v>244</v>
      </c>
      <c r="F76" s="1745">
        <f>Subject_AgeTotalEco</f>
        <v>45</v>
      </c>
      <c r="G76" s="1892">
        <f t="shared" ref="G76:L76" si="24">G74+G75</f>
        <v>0</v>
      </c>
      <c r="H76" s="1892">
        <f t="shared" si="24"/>
        <v>0</v>
      </c>
      <c r="I76" s="1892">
        <f t="shared" si="24"/>
        <v>0</v>
      </c>
      <c r="J76" s="1892">
        <f t="shared" si="24"/>
        <v>0</v>
      </c>
      <c r="K76" s="1892">
        <f t="shared" si="24"/>
        <v>0</v>
      </c>
      <c r="L76" s="1985">
        <f t="shared" si="24"/>
        <v>0</v>
      </c>
      <c r="M76" s="101"/>
      <c r="N76" s="6"/>
      <c r="O76" s="10"/>
      <c r="P76" s="10"/>
      <c r="Q76" s="10"/>
      <c r="R76" s="10"/>
      <c r="S76" s="10"/>
      <c r="T76" s="10"/>
      <c r="U76" s="10"/>
      <c r="V76" s="10"/>
      <c r="W76" s="10"/>
      <c r="X76" s="10"/>
      <c r="Y76" s="10"/>
      <c r="Z76" s="10"/>
      <c r="AA76" s="10"/>
      <c r="AB76" s="10"/>
      <c r="AC76" s="10"/>
      <c r="AD76" s="10"/>
    </row>
    <row r="77" spans="1:30" ht="15" customHeight="1" x14ac:dyDescent="0.25">
      <c r="A77" s="972">
        <f>IF(B77=TRUE,1,2)</f>
        <v>2</v>
      </c>
      <c r="B77" s="16" t="b">
        <v>0</v>
      </c>
      <c r="C77" s="130"/>
      <c r="D77" s="1490" t="str">
        <f>IF(Sales_AdjType&lt;&gt;"Qualitative","Adjustment","Relative Comparison")</f>
        <v>Adjustment</v>
      </c>
      <c r="E77" s="802"/>
      <c r="F77" s="802"/>
      <c r="G77" s="1796">
        <f t="shared" ref="G77:L77" si="25">IF(Sales_AdjType_1="Percent",IF(AND(G78=0,G79=0,G80=0),0,IF(G78&lt;&gt;0,G78,IF(G79&lt;&gt;0,IF(Sales_AdjType_1="Net Rentable Area",(G79/G$12)/G$54,(G79/G$13)/G$54),IF(Sales_AdjType_1="Net Rentable Area",G80/G$54,G80/G$54)))),IF(Sales_AdjType_1="$ per Unit",IF(AND(G78=0,G79=0,G80=0),0,IF(G78&lt;&gt;0,G78*G$54,IF(G79&lt;&gt;0,IF(Sales_AdjType_1="Net Rentable Area",G79/G$12,G79/G$13),G80))),IF(OR(G78&gt;0,G79&gt;0,G80&gt;0),"Inferior",IF(OR(G78&lt;0,G79&lt;0,G80&lt;0),"Superior","Similar"))))</f>
        <v>0</v>
      </c>
      <c r="H77" s="1796">
        <f t="shared" si="25"/>
        <v>0</v>
      </c>
      <c r="I77" s="1796">
        <f t="shared" si="25"/>
        <v>0</v>
      </c>
      <c r="J77" s="1796">
        <f t="shared" si="25"/>
        <v>0</v>
      </c>
      <c r="K77" s="1796">
        <f t="shared" si="25"/>
        <v>0</v>
      </c>
      <c r="L77" s="1958">
        <f t="shared" si="25"/>
        <v>0</v>
      </c>
      <c r="M77" s="1194"/>
      <c r="N77" s="6"/>
      <c r="O77" s="10"/>
      <c r="P77" s="10"/>
      <c r="Q77" s="10"/>
      <c r="R77" s="10"/>
      <c r="S77" s="10"/>
      <c r="T77" s="10"/>
      <c r="U77" s="10"/>
      <c r="V77" s="10"/>
      <c r="W77" s="10"/>
      <c r="X77" s="10"/>
      <c r="Y77" s="10"/>
      <c r="Z77" s="10"/>
      <c r="AA77" s="10"/>
      <c r="AB77" s="10"/>
      <c r="AC77" s="10"/>
      <c r="AD77" s="10"/>
    </row>
    <row r="78" spans="1:30" ht="15" customHeight="1" x14ac:dyDescent="0.25">
      <c r="A78" s="972">
        <f>IF(A77=2,2,0)</f>
        <v>2</v>
      </c>
      <c r="B78" s="575"/>
      <c r="C78" s="130"/>
      <c r="D78" s="520"/>
      <c r="E78" s="802"/>
      <c r="F78" s="1120" t="s">
        <v>166</v>
      </c>
      <c r="G78" s="1793"/>
      <c r="H78" s="1793"/>
      <c r="I78" s="1793"/>
      <c r="J78" s="1793"/>
      <c r="K78" s="1793"/>
      <c r="L78" s="1955"/>
      <c r="M78" s="136"/>
      <c r="N78" s="6"/>
      <c r="O78" s="10"/>
      <c r="P78" s="10"/>
      <c r="Q78" s="10"/>
      <c r="R78" s="10"/>
      <c r="S78" s="10"/>
      <c r="T78" s="10"/>
      <c r="U78" s="10"/>
      <c r="V78" s="10"/>
      <c r="W78" s="10"/>
      <c r="X78" s="10"/>
      <c r="Y78" s="10"/>
      <c r="Z78" s="10"/>
      <c r="AA78" s="10"/>
      <c r="AB78" s="10"/>
      <c r="AC78" s="10"/>
      <c r="AD78" s="10"/>
    </row>
    <row r="79" spans="1:30" ht="15" customHeight="1" x14ac:dyDescent="0.25">
      <c r="A79" s="972">
        <f>IF(A78=2,2,0)</f>
        <v>2</v>
      </c>
      <c r="B79" s="575"/>
      <c r="C79" s="130"/>
      <c r="D79" s="520"/>
      <c r="E79" s="802"/>
      <c r="F79" s="1120" t="s">
        <v>167</v>
      </c>
      <c r="G79" s="1794"/>
      <c r="H79" s="1794"/>
      <c r="I79" s="1794"/>
      <c r="J79" s="1794"/>
      <c r="K79" s="1794"/>
      <c r="L79" s="1956"/>
      <c r="M79" s="1152"/>
      <c r="N79" s="6"/>
      <c r="O79" s="10"/>
      <c r="P79" s="10"/>
      <c r="Q79" s="10"/>
      <c r="R79" s="10"/>
      <c r="S79" s="10"/>
      <c r="T79" s="10"/>
      <c r="U79" s="10"/>
      <c r="V79" s="10"/>
      <c r="W79" s="10"/>
      <c r="X79" s="10"/>
      <c r="Y79" s="10"/>
      <c r="Z79" s="10"/>
      <c r="AA79" s="10"/>
      <c r="AB79" s="10"/>
      <c r="AC79" s="10"/>
      <c r="AD79" s="10"/>
    </row>
    <row r="80" spans="1:30" ht="15" customHeight="1" x14ac:dyDescent="0.25">
      <c r="A80" s="972">
        <f>IF(A79=2,2,0)</f>
        <v>2</v>
      </c>
      <c r="B80" s="575"/>
      <c r="C80" s="130"/>
      <c r="D80" s="520"/>
      <c r="E80" s="802"/>
      <c r="F80" s="1120" t="s">
        <v>710</v>
      </c>
      <c r="G80" s="1791"/>
      <c r="H80" s="1791"/>
      <c r="I80" s="1791"/>
      <c r="J80" s="1791"/>
      <c r="K80" s="1791"/>
      <c r="L80" s="1953"/>
      <c r="M80" s="1153"/>
      <c r="N80" s="6"/>
      <c r="O80" s="10"/>
      <c r="P80" s="10"/>
      <c r="Q80" s="10"/>
      <c r="R80" s="10"/>
      <c r="S80" s="10"/>
      <c r="T80" s="10"/>
      <c r="U80" s="10"/>
      <c r="V80" s="10"/>
      <c r="W80" s="10"/>
      <c r="X80" s="10"/>
      <c r="Y80" s="10"/>
      <c r="Z80" s="10"/>
      <c r="AA80" s="10"/>
      <c r="AB80" s="10"/>
      <c r="AC80" s="10"/>
      <c r="AD80" s="10"/>
    </row>
    <row r="81" spans="1:30" ht="8.1" customHeight="1" x14ac:dyDescent="0.25">
      <c r="A81" s="972">
        <f>A86</f>
        <v>2</v>
      </c>
      <c r="B81" s="16"/>
      <c r="C81" s="130"/>
      <c r="D81" s="520"/>
      <c r="E81" s="802"/>
      <c r="F81" s="802"/>
      <c r="G81" s="1797">
        <f t="shared" ref="G81:L81" si="26">IF(AND(G87=0,G88=0,G89=0),0,IF(G87&lt;&gt;0,G87,IF(G88&lt;&gt;0,IF(dpUnit_Sales_1="Net Rentable Area",(G88/G$12)/G$54,(G88/G$13)/G$54),IF(dpUnit_Sales_1="Net Rentable Area",G89/G$54,G87/G$54))))</f>
        <v>0</v>
      </c>
      <c r="H81" s="1797">
        <f t="shared" si="26"/>
        <v>0</v>
      </c>
      <c r="I81" s="1797">
        <f t="shared" si="26"/>
        <v>0</v>
      </c>
      <c r="J81" s="1797">
        <f t="shared" si="26"/>
        <v>0</v>
      </c>
      <c r="K81" s="1797">
        <f t="shared" si="26"/>
        <v>0</v>
      </c>
      <c r="L81" s="1959">
        <f t="shared" si="26"/>
        <v>0</v>
      </c>
      <c r="M81" s="101"/>
      <c r="N81" s="6"/>
      <c r="O81" s="10"/>
      <c r="P81" s="10"/>
      <c r="Q81" s="10"/>
      <c r="R81" s="10"/>
      <c r="S81" s="10"/>
      <c r="T81" s="10"/>
      <c r="U81" s="10"/>
      <c r="V81" s="10"/>
      <c r="W81" s="10"/>
      <c r="X81" s="10"/>
      <c r="Y81" s="10"/>
      <c r="Z81" s="10"/>
      <c r="AA81" s="10"/>
      <c r="AB81" s="10"/>
      <c r="AC81" s="10"/>
      <c r="AD81" s="10"/>
    </row>
    <row r="82" spans="1:30" x14ac:dyDescent="0.25">
      <c r="A82" s="972">
        <f>A86</f>
        <v>2</v>
      </c>
      <c r="B82" s="16"/>
      <c r="C82" s="130"/>
      <c r="D82" s="1489" t="s">
        <v>288</v>
      </c>
      <c r="E82" s="1119"/>
      <c r="F82" s="1665" t="str">
        <f>IF(dpSales_Adjustment_4_1="Construction Quality",CONCATENATE(Subject_ConstructionQuality," Class ",Subject_ConstructionClass),CONCATENATE(Subject_ConstructionQuality," Class ",Subject_InvestmentClass))</f>
        <v>Good Class B</v>
      </c>
      <c r="G82" s="1788" t="str">
        <f t="shared" ref="G82:L82" si="27">IF(dpSales_Adjustment_4_1="Construction Quality",CONCATENATE(G83," Class ",G84),CONCATENATE(G83," Class ",G85))</f>
        <v xml:space="preserve"> Class </v>
      </c>
      <c r="H82" s="1788" t="str">
        <f t="shared" si="27"/>
        <v xml:space="preserve"> Class </v>
      </c>
      <c r="I82" s="1788" t="str">
        <f t="shared" si="27"/>
        <v xml:space="preserve"> Class </v>
      </c>
      <c r="J82" s="1788" t="str">
        <f t="shared" si="27"/>
        <v xml:space="preserve"> Class </v>
      </c>
      <c r="K82" s="1788" t="str">
        <f t="shared" si="27"/>
        <v xml:space="preserve"> Class </v>
      </c>
      <c r="L82" s="1162" t="str">
        <f t="shared" si="27"/>
        <v xml:space="preserve"> Class </v>
      </c>
      <c r="M82" s="101"/>
      <c r="N82" s="6"/>
      <c r="O82" s="10"/>
      <c r="P82" s="10"/>
      <c r="Q82" s="10"/>
      <c r="R82" s="10"/>
      <c r="S82" s="10"/>
      <c r="T82" s="10"/>
      <c r="U82" s="10"/>
      <c r="V82" s="10"/>
      <c r="W82" s="10"/>
      <c r="X82" s="10"/>
      <c r="Y82" s="10"/>
      <c r="Z82" s="10"/>
      <c r="AA82" s="10"/>
      <c r="AB82" s="10"/>
      <c r="AC82" s="10"/>
      <c r="AD82" s="10"/>
    </row>
    <row r="83" spans="1:30" ht="15" customHeight="1" x14ac:dyDescent="0.25">
      <c r="A83" s="972">
        <f>IF(A86=2,2,0)</f>
        <v>2</v>
      </c>
      <c r="B83" s="16"/>
      <c r="C83" s="130"/>
      <c r="D83" s="1198"/>
      <c r="E83" s="1198"/>
      <c r="F83" s="1120" t="s">
        <v>288</v>
      </c>
      <c r="G83" s="1893"/>
      <c r="H83" s="1787"/>
      <c r="I83" s="1787"/>
      <c r="J83" s="1787"/>
      <c r="K83" s="1787"/>
      <c r="L83" s="1193"/>
      <c r="M83" s="101"/>
      <c r="N83" s="6"/>
      <c r="O83" s="10"/>
      <c r="P83" s="10"/>
      <c r="Q83" s="10"/>
      <c r="R83" s="10"/>
      <c r="S83" s="10"/>
      <c r="T83" s="10"/>
      <c r="U83" s="10"/>
      <c r="V83" s="10"/>
      <c r="W83" s="10"/>
      <c r="X83" s="10"/>
      <c r="Y83" s="10"/>
      <c r="Z83" s="10"/>
      <c r="AA83" s="10"/>
      <c r="AB83" s="10"/>
      <c r="AC83" s="10"/>
      <c r="AD83" s="10"/>
    </row>
    <row r="84" spans="1:30" ht="15" customHeight="1" x14ac:dyDescent="0.25">
      <c r="A84" s="972">
        <f>IF(A86=2,2,0)</f>
        <v>2</v>
      </c>
      <c r="B84" s="16"/>
      <c r="C84" s="130"/>
      <c r="D84" s="1198"/>
      <c r="E84" s="1198"/>
      <c r="F84" s="1120" t="s">
        <v>307</v>
      </c>
      <c r="G84" s="1893"/>
      <c r="H84" s="1787"/>
      <c r="I84" s="1787"/>
      <c r="J84" s="1787"/>
      <c r="K84" s="1787"/>
      <c r="L84" s="1193"/>
      <c r="M84" s="101"/>
      <c r="N84" s="6"/>
      <c r="O84" s="10"/>
      <c r="P84" s="10"/>
      <c r="Q84" s="10"/>
      <c r="R84" s="10"/>
      <c r="S84" s="10"/>
      <c r="T84" s="10"/>
      <c r="U84" s="10"/>
      <c r="V84" s="10"/>
      <c r="W84" s="10"/>
      <c r="X84" s="10"/>
      <c r="Y84" s="10"/>
      <c r="Z84" s="10"/>
      <c r="AA84" s="10"/>
      <c r="AB84" s="10"/>
      <c r="AC84" s="10"/>
      <c r="AD84" s="10"/>
    </row>
    <row r="85" spans="1:30" ht="15" customHeight="1" x14ac:dyDescent="0.25">
      <c r="A85" s="972">
        <f>IF(A86=2,2,0)</f>
        <v>2</v>
      </c>
      <c r="B85" s="16" t="b">
        <v>0</v>
      </c>
      <c r="C85" s="130"/>
      <c r="D85" s="1198"/>
      <c r="E85" s="1198"/>
      <c r="F85" s="1120" t="s">
        <v>308</v>
      </c>
      <c r="G85" s="1893"/>
      <c r="H85" s="1787"/>
      <c r="I85" s="1787"/>
      <c r="J85" s="1787"/>
      <c r="K85" s="1787"/>
      <c r="L85" s="1193"/>
      <c r="M85" s="101"/>
      <c r="N85" s="6"/>
      <c r="O85" s="10"/>
      <c r="P85" s="10"/>
      <c r="Q85" s="10"/>
      <c r="R85" s="10"/>
      <c r="S85" s="10"/>
      <c r="T85" s="10"/>
      <c r="U85" s="10"/>
      <c r="V85" s="10"/>
      <c r="W85" s="10"/>
      <c r="X85" s="10"/>
      <c r="Y85" s="10"/>
      <c r="Z85" s="10"/>
      <c r="AA85" s="10"/>
      <c r="AB85" s="10"/>
      <c r="AC85" s="10"/>
      <c r="AD85" s="10"/>
    </row>
    <row r="86" spans="1:30" ht="15" customHeight="1" x14ac:dyDescent="0.25">
      <c r="A86" s="972">
        <f>IF(B86=TRUE,1,2)</f>
        <v>2</v>
      </c>
      <c r="B86" s="16" t="b">
        <v>0</v>
      </c>
      <c r="C86" s="130"/>
      <c r="D86" s="1490" t="str">
        <f>IF(Sales_AdjType&lt;&gt;"Qualitative","Adjustment","Relative Comparison")</f>
        <v>Adjustment</v>
      </c>
      <c r="E86" s="480"/>
      <c r="F86" s="802"/>
      <c r="G86" s="1796">
        <f t="shared" ref="G86:L86" si="28">IF(Sales_AdjType_1="Percent",IF(AND(G87=0,G88=0,G89=0),0,IF(G87&lt;&gt;0,G87,IF(G88&lt;&gt;0,IF(Sales_AdjType_1="Net Rentable Area",(G88/G$12)/G$54,(G88/G$13)/G$54),IF(Sales_AdjType_1="Net Rentable Area",G89/G$54,G89/G$54)))),IF(Sales_AdjType_1="$ per Unit",IF(AND(G87=0,G88=0,G89=0),0,IF(G87&lt;&gt;0,G87*G$54,IF(G88&lt;&gt;0,IF(Sales_AdjType_1="Net Rentable Area",G88/G$12,G88/G$13),G89))),IF(OR(G87&gt;0,G88&gt;0,G89&gt;0),"Inferior",IF(OR(G87&lt;0,G88&lt;0,G89&lt;0),"Superior","Similar"))))</f>
        <v>0</v>
      </c>
      <c r="H86" s="1796">
        <f t="shared" si="28"/>
        <v>0</v>
      </c>
      <c r="I86" s="1796">
        <f t="shared" si="28"/>
        <v>0</v>
      </c>
      <c r="J86" s="1796">
        <f t="shared" si="28"/>
        <v>0</v>
      </c>
      <c r="K86" s="1796">
        <f t="shared" si="28"/>
        <v>0</v>
      </c>
      <c r="L86" s="1958">
        <f t="shared" si="28"/>
        <v>0</v>
      </c>
      <c r="M86" s="1194"/>
      <c r="N86" s="6"/>
      <c r="O86" s="10"/>
      <c r="P86" s="10"/>
      <c r="Q86" s="10"/>
      <c r="R86" s="10"/>
      <c r="S86" s="10"/>
      <c r="T86" s="10"/>
      <c r="U86" s="10"/>
      <c r="V86" s="10"/>
      <c r="W86" s="10"/>
      <c r="X86" s="10"/>
      <c r="Y86" s="10"/>
      <c r="Z86" s="10"/>
      <c r="AA86" s="10"/>
      <c r="AB86" s="10"/>
      <c r="AC86" s="10"/>
      <c r="AD86" s="10"/>
    </row>
    <row r="87" spans="1:30" ht="15" customHeight="1" x14ac:dyDescent="0.25">
      <c r="A87" s="972">
        <f>IF(A86=2,2,0)</f>
        <v>2</v>
      </c>
      <c r="B87" s="575"/>
      <c r="C87" s="130"/>
      <c r="D87" s="520"/>
      <c r="E87" s="802"/>
      <c r="F87" s="1120" t="s">
        <v>166</v>
      </c>
      <c r="G87" s="1793"/>
      <c r="H87" s="1793"/>
      <c r="I87" s="1793"/>
      <c r="J87" s="1793"/>
      <c r="K87" s="1793"/>
      <c r="L87" s="1955"/>
      <c r="M87" s="136"/>
      <c r="N87" s="6"/>
      <c r="O87" s="10"/>
      <c r="P87" s="10"/>
      <c r="Q87" s="10"/>
      <c r="R87" s="10"/>
      <c r="S87" s="10"/>
      <c r="T87" s="10"/>
      <c r="U87" s="10"/>
      <c r="V87" s="10"/>
      <c r="W87" s="10"/>
      <c r="X87" s="10"/>
      <c r="Y87" s="10"/>
      <c r="Z87" s="10"/>
      <c r="AA87" s="10"/>
      <c r="AB87" s="10"/>
      <c r="AC87" s="10"/>
      <c r="AD87" s="10"/>
    </row>
    <row r="88" spans="1:30" ht="15" customHeight="1" x14ac:dyDescent="0.25">
      <c r="A88" s="972">
        <f>IF(A87=2,2,0)</f>
        <v>2</v>
      </c>
      <c r="B88" s="575"/>
      <c r="C88" s="130"/>
      <c r="D88" s="520"/>
      <c r="E88" s="802"/>
      <c r="F88" s="1120" t="s">
        <v>167</v>
      </c>
      <c r="G88" s="1794"/>
      <c r="H88" s="1794"/>
      <c r="I88" s="1794"/>
      <c r="J88" s="1794"/>
      <c r="K88" s="1794"/>
      <c r="L88" s="1956"/>
      <c r="M88" s="1152"/>
      <c r="N88" s="6"/>
      <c r="O88" s="10"/>
      <c r="P88" s="10"/>
      <c r="Q88" s="10"/>
      <c r="R88" s="10"/>
      <c r="S88" s="10"/>
      <c r="T88" s="10"/>
      <c r="U88" s="10"/>
      <c r="V88" s="10"/>
      <c r="W88" s="10"/>
      <c r="X88" s="10"/>
      <c r="Y88" s="10"/>
      <c r="Z88" s="10"/>
      <c r="AA88" s="10"/>
      <c r="AB88" s="10"/>
      <c r="AC88" s="10"/>
      <c r="AD88" s="10"/>
    </row>
    <row r="89" spans="1:30" ht="15" customHeight="1" x14ac:dyDescent="0.25">
      <c r="A89" s="972">
        <f>IF(A88=2,2,0)</f>
        <v>2</v>
      </c>
      <c r="B89" s="575"/>
      <c r="C89" s="130"/>
      <c r="D89" s="520"/>
      <c r="E89" s="802"/>
      <c r="F89" s="1120" t="s">
        <v>710</v>
      </c>
      <c r="G89" s="1791"/>
      <c r="H89" s="1791"/>
      <c r="I89" s="1791"/>
      <c r="J89" s="1791"/>
      <c r="K89" s="1791"/>
      <c r="L89" s="1953"/>
      <c r="M89" s="1153"/>
      <c r="N89" s="6"/>
      <c r="O89" s="10"/>
      <c r="P89" s="10"/>
      <c r="Q89" s="10"/>
      <c r="R89" s="10"/>
      <c r="S89" s="10"/>
      <c r="T89" s="10"/>
      <c r="U89" s="10"/>
      <c r="V89" s="10"/>
      <c r="W89" s="10"/>
      <c r="X89" s="10"/>
      <c r="Y89" s="10"/>
      <c r="Z89" s="10"/>
      <c r="AA89" s="10"/>
      <c r="AB89" s="10"/>
      <c r="AC89" s="10"/>
      <c r="AD89" s="10"/>
    </row>
    <row r="90" spans="1:30" ht="8.1" customHeight="1" x14ac:dyDescent="0.25">
      <c r="A90" s="972">
        <f>A92</f>
        <v>2</v>
      </c>
      <c r="B90" s="16"/>
      <c r="C90" s="130"/>
      <c r="D90" s="520"/>
      <c r="E90" s="802"/>
      <c r="F90" s="802"/>
      <c r="G90" s="1797">
        <f t="shared" ref="G90:L90" si="29">IF(AND(G93=0,G94=0,G95=0),0,IF(G93&lt;&gt;0,G93,IF(G94&lt;&gt;0,IF(dpUnit_Sales_1="Net Rentable Area",(G94/G$12)/G$54,(G94/G$13)/G$54),IF(dpUnit_Sales_1="Net Rentable Area",G95/G$54,G95/G$54))))</f>
        <v>0</v>
      </c>
      <c r="H90" s="1797">
        <f t="shared" si="29"/>
        <v>0</v>
      </c>
      <c r="I90" s="1797">
        <f t="shared" si="29"/>
        <v>0</v>
      </c>
      <c r="J90" s="1797">
        <f t="shared" si="29"/>
        <v>0</v>
      </c>
      <c r="K90" s="1797">
        <f t="shared" si="29"/>
        <v>0</v>
      </c>
      <c r="L90" s="1959">
        <f t="shared" si="29"/>
        <v>0</v>
      </c>
      <c r="M90" s="101"/>
      <c r="N90" s="6"/>
      <c r="O90" s="10"/>
      <c r="P90" s="10"/>
      <c r="Q90" s="10"/>
      <c r="R90" s="10"/>
      <c r="S90" s="10"/>
      <c r="T90" s="10"/>
      <c r="U90" s="10"/>
      <c r="V90" s="10"/>
      <c r="W90" s="10"/>
      <c r="X90" s="10"/>
      <c r="Y90" s="10"/>
      <c r="Z90" s="10"/>
      <c r="AA90" s="10"/>
      <c r="AB90" s="10"/>
      <c r="AC90" s="10"/>
      <c r="AD90" s="10"/>
    </row>
    <row r="91" spans="1:30" x14ac:dyDescent="0.25">
      <c r="A91" s="972">
        <f>A92</f>
        <v>2</v>
      </c>
      <c r="B91" s="16"/>
      <c r="C91" s="522"/>
      <c r="D91" s="1489" t="s">
        <v>305</v>
      </c>
      <c r="E91" s="1198"/>
      <c r="F91" s="1721"/>
      <c r="G91" s="1894"/>
      <c r="H91" s="1894"/>
      <c r="I91" s="1894"/>
      <c r="J91" s="1894"/>
      <c r="K91" s="1894"/>
      <c r="L91" s="1986"/>
      <c r="M91" s="765"/>
      <c r="N91" s="6"/>
      <c r="O91" s="10"/>
      <c r="P91" s="10"/>
      <c r="Q91" s="10"/>
      <c r="R91" s="10"/>
      <c r="S91" s="10"/>
      <c r="T91" s="10"/>
      <c r="U91" s="10"/>
      <c r="V91" s="10"/>
      <c r="W91" s="10"/>
      <c r="X91" s="10"/>
      <c r="Y91" s="10"/>
      <c r="Z91" s="10"/>
      <c r="AA91" s="10"/>
      <c r="AB91" s="10"/>
      <c r="AC91" s="10"/>
      <c r="AD91" s="10"/>
    </row>
    <row r="92" spans="1:30" ht="15" customHeight="1" x14ac:dyDescent="0.25">
      <c r="A92" s="972">
        <f>IF(B92=TRUE,1,2)</f>
        <v>2</v>
      </c>
      <c r="B92" s="16" t="b">
        <v>0</v>
      </c>
      <c r="C92" s="130"/>
      <c r="D92" s="1490" t="str">
        <f>IF(Sales_AdjType&lt;&gt;"Qualitative","Adjustment","Relative Comparison")</f>
        <v>Adjustment</v>
      </c>
      <c r="E92" s="480"/>
      <c r="F92" s="1127"/>
      <c r="G92" s="1796">
        <f t="shared" ref="G92:L92" si="30">IF(Sales_AdjType_1="Percent",IF(AND(G93=0,G94=0,G95=0),0,IF(G93&lt;&gt;0,G93,IF(G94&lt;&gt;0,IF(Sales_AdjType_1="Net Rentable Area",(G94/G$12)/G$54,(G94/G$13)/G$54),IF(Sales_AdjType_1="Net Rentable Area",G95/G$54,G95/G$54)))),IF(Sales_AdjType_1="$ per Unit",IF(AND(G93=0,G94=0,G95=0),0,IF(G93&lt;&gt;0,G93*G$54,IF(G94&lt;&gt;0,IF(Sales_AdjType_1="Net Rentable Area",G94/G$12,G94/G$13),G95))),IF(OR(G93&gt;0,G94&gt;0,G95&gt;0),"Inferior",IF(OR(G93&lt;0,G94&lt;0,G95&lt;0),"Superior","Similar"))))</f>
        <v>0</v>
      </c>
      <c r="H92" s="1796">
        <f t="shared" si="30"/>
        <v>0</v>
      </c>
      <c r="I92" s="1796">
        <f t="shared" si="30"/>
        <v>0</v>
      </c>
      <c r="J92" s="1796">
        <f t="shared" si="30"/>
        <v>0</v>
      </c>
      <c r="K92" s="1796">
        <f t="shared" si="30"/>
        <v>0</v>
      </c>
      <c r="L92" s="1958">
        <f t="shared" si="30"/>
        <v>0</v>
      </c>
      <c r="M92" s="1194"/>
      <c r="N92" s="6"/>
      <c r="O92" s="10"/>
      <c r="P92" s="10"/>
      <c r="Q92" s="10"/>
      <c r="R92" s="10"/>
      <c r="S92" s="10"/>
      <c r="T92" s="10"/>
      <c r="U92" s="10"/>
      <c r="V92" s="10"/>
      <c r="W92" s="10"/>
      <c r="X92" s="10"/>
      <c r="Y92" s="10"/>
      <c r="Z92" s="10"/>
      <c r="AA92" s="10"/>
      <c r="AB92" s="10"/>
      <c r="AC92" s="10"/>
      <c r="AD92" s="10"/>
    </row>
    <row r="93" spans="1:30" ht="15" customHeight="1" x14ac:dyDescent="0.25">
      <c r="A93" s="972">
        <f>IF(A92=2,2,0)</f>
        <v>2</v>
      </c>
      <c r="B93" s="575"/>
      <c r="C93" s="130"/>
      <c r="D93" s="520"/>
      <c r="E93" s="480"/>
      <c r="F93" s="1120" t="s">
        <v>166</v>
      </c>
      <c r="G93" s="1793"/>
      <c r="H93" s="1793"/>
      <c r="I93" s="1793"/>
      <c r="J93" s="1793"/>
      <c r="K93" s="1793"/>
      <c r="L93" s="1955"/>
      <c r="M93" s="136"/>
      <c r="N93" s="6"/>
      <c r="O93" s="10"/>
      <c r="P93" s="10"/>
      <c r="Q93" s="10"/>
      <c r="R93" s="10"/>
      <c r="S93" s="10"/>
      <c r="T93" s="10"/>
      <c r="U93" s="10"/>
      <c r="V93" s="10"/>
      <c r="W93" s="10"/>
      <c r="X93" s="10"/>
      <c r="Y93" s="10"/>
      <c r="Z93" s="10"/>
      <c r="AA93" s="10"/>
      <c r="AB93" s="10"/>
      <c r="AC93" s="10"/>
      <c r="AD93" s="10"/>
    </row>
    <row r="94" spans="1:30" ht="15" customHeight="1" x14ac:dyDescent="0.25">
      <c r="A94" s="972">
        <f>IF(A93=2,2,0)</f>
        <v>2</v>
      </c>
      <c r="B94" s="575"/>
      <c r="C94" s="130"/>
      <c r="D94" s="520"/>
      <c r="E94" s="480"/>
      <c r="F94" s="1120" t="s">
        <v>167</v>
      </c>
      <c r="G94" s="1794"/>
      <c r="H94" s="1794"/>
      <c r="I94" s="1794"/>
      <c r="J94" s="1794"/>
      <c r="K94" s="1794"/>
      <c r="L94" s="1956"/>
      <c r="M94" s="1152"/>
      <c r="N94" s="6"/>
      <c r="O94" s="10"/>
      <c r="P94" s="10"/>
      <c r="Q94" s="10"/>
      <c r="R94" s="10"/>
      <c r="S94" s="10"/>
      <c r="T94" s="10"/>
      <c r="U94" s="10"/>
      <c r="V94" s="10"/>
      <c r="W94" s="10"/>
      <c r="X94" s="10"/>
      <c r="Y94" s="10"/>
      <c r="Z94" s="10"/>
      <c r="AA94" s="10"/>
      <c r="AB94" s="10"/>
      <c r="AC94" s="10"/>
      <c r="AD94" s="10"/>
    </row>
    <row r="95" spans="1:30" ht="15" customHeight="1" x14ac:dyDescent="0.25">
      <c r="A95" s="972">
        <f>IF(A94=2,2,0)</f>
        <v>2</v>
      </c>
      <c r="B95" s="575"/>
      <c r="C95" s="130"/>
      <c r="D95" s="520"/>
      <c r="E95" s="480"/>
      <c r="F95" s="1120" t="s">
        <v>710</v>
      </c>
      <c r="G95" s="1791"/>
      <c r="H95" s="1791"/>
      <c r="I95" s="1791"/>
      <c r="J95" s="1791"/>
      <c r="K95" s="1791"/>
      <c r="L95" s="1953"/>
      <c r="M95" s="1153"/>
      <c r="N95" s="6"/>
      <c r="O95" s="10"/>
      <c r="P95" s="10"/>
      <c r="Q95" s="10"/>
      <c r="R95" s="10"/>
      <c r="S95" s="10"/>
      <c r="T95" s="10"/>
      <c r="U95" s="10"/>
      <c r="V95" s="10"/>
      <c r="W95" s="10"/>
      <c r="X95" s="10"/>
      <c r="Y95" s="10"/>
      <c r="Z95" s="10"/>
      <c r="AA95" s="10"/>
      <c r="AB95" s="10"/>
      <c r="AC95" s="10"/>
      <c r="AD95" s="10"/>
    </row>
    <row r="96" spans="1:30" ht="8.1" customHeight="1" x14ac:dyDescent="0.25">
      <c r="A96" s="972">
        <f>A98</f>
        <v>2</v>
      </c>
      <c r="B96" s="16"/>
      <c r="C96" s="130"/>
      <c r="D96" s="520"/>
      <c r="E96" s="480"/>
      <c r="F96" s="1127"/>
      <c r="G96" s="1797">
        <f t="shared" ref="G96:L96" si="31">IF(AND(G99=0,G100=0,G101=0),0,IF(G99&lt;&gt;0,G99,IF(G100&lt;&gt;0,IF(dpUnit_Sales_1="Net Rentable Area",(G100/G$12)/G$54,(G100/G$13)/G$54),IF(dpUnit_Sales_1="Net Rentable Area",G101/G$54,G101/G$54))))</f>
        <v>0</v>
      </c>
      <c r="H96" s="1797">
        <f t="shared" si="31"/>
        <v>0</v>
      </c>
      <c r="I96" s="1797">
        <f t="shared" si="31"/>
        <v>0</v>
      </c>
      <c r="J96" s="1797">
        <f t="shared" si="31"/>
        <v>0</v>
      </c>
      <c r="K96" s="1797">
        <f t="shared" si="31"/>
        <v>0</v>
      </c>
      <c r="L96" s="1959">
        <f t="shared" si="31"/>
        <v>0</v>
      </c>
      <c r="M96" s="101"/>
      <c r="N96" s="6"/>
      <c r="O96" s="10"/>
      <c r="P96" s="10"/>
      <c r="Q96" s="10"/>
      <c r="R96" s="10"/>
      <c r="S96" s="10"/>
      <c r="T96" s="10"/>
      <c r="U96" s="10"/>
      <c r="V96" s="10"/>
      <c r="W96" s="10"/>
      <c r="X96" s="10"/>
      <c r="Y96" s="10"/>
      <c r="Z96" s="10"/>
      <c r="AA96" s="10"/>
      <c r="AB96" s="10"/>
      <c r="AC96" s="10"/>
      <c r="AD96" s="10"/>
    </row>
    <row r="97" spans="1:30" x14ac:dyDescent="0.25">
      <c r="A97" s="972">
        <f>A98</f>
        <v>2</v>
      </c>
      <c r="B97" s="16"/>
      <c r="C97" s="130"/>
      <c r="D97" s="1489" t="s">
        <v>191</v>
      </c>
      <c r="E97" s="480"/>
      <c r="F97" s="1746">
        <f>Subject_ClearHeight</f>
        <v>0</v>
      </c>
      <c r="G97" s="1800"/>
      <c r="H97" s="1800"/>
      <c r="I97" s="1800"/>
      <c r="J97" s="1800"/>
      <c r="K97" s="1800"/>
      <c r="L97" s="1962"/>
      <c r="M97" s="101"/>
      <c r="N97" s="6"/>
      <c r="O97" s="10"/>
      <c r="P97" s="10"/>
      <c r="Q97" s="10"/>
      <c r="R97" s="10"/>
      <c r="S97" s="10"/>
      <c r="T97" s="10"/>
      <c r="U97" s="10"/>
      <c r="V97" s="10"/>
      <c r="W97" s="10"/>
      <c r="X97" s="10"/>
      <c r="Y97" s="10"/>
      <c r="Z97" s="10"/>
      <c r="AA97" s="10"/>
      <c r="AB97" s="10"/>
      <c r="AC97" s="10"/>
      <c r="AD97" s="10"/>
    </row>
    <row r="98" spans="1:30" ht="15" customHeight="1" x14ac:dyDescent="0.25">
      <c r="A98" s="972">
        <f>IF(B98=TRUE,1,2)</f>
        <v>2</v>
      </c>
      <c r="B98" s="16" t="b">
        <v>0</v>
      </c>
      <c r="C98" s="130"/>
      <c r="D98" s="1490" t="str">
        <f>IF(Sales_AdjType&lt;&gt;"Qualitative","Adjustment","Relative Comparison")</f>
        <v>Adjustment</v>
      </c>
      <c r="E98" s="802"/>
      <c r="F98" s="1127"/>
      <c r="G98" s="1796">
        <f t="shared" ref="G98:L98" si="32">IF(Sales_AdjType_1="Percent",IF(AND(G99=0,G100=0,G101=0),0,IF(G99&lt;&gt;0,G99,IF(G100&lt;&gt;0,IF(Sales_AdjType_1="Net Rentable Area",(G100/G$12)/G$54,(G100/G$13)/G$54),IF(Sales_AdjType_1="Net Rentable Area",G101/G$54,G101/G$54)))),IF(Sales_AdjType_1="$ per Unit",IF(AND(G99=0,G100=0,G101=0),0,IF(G99&lt;&gt;0,G99*G$54,IF(G100&lt;&gt;0,IF(Sales_AdjType_1="Net Rentable Area",G100/G$12,G100/G$13),G101))),IF(OR(G99&gt;0,G100&gt;0,G101&gt;0),"Inferior",IF(OR(G99&lt;0,G100&lt;0,G101&lt;0),"Superior","Similar"))))</f>
        <v>0</v>
      </c>
      <c r="H98" s="1796">
        <f t="shared" si="32"/>
        <v>0</v>
      </c>
      <c r="I98" s="1796">
        <f t="shared" si="32"/>
        <v>0</v>
      </c>
      <c r="J98" s="1796">
        <f t="shared" si="32"/>
        <v>0</v>
      </c>
      <c r="K98" s="1796">
        <f t="shared" si="32"/>
        <v>0</v>
      </c>
      <c r="L98" s="1958">
        <f t="shared" si="32"/>
        <v>0</v>
      </c>
      <c r="M98" s="1194"/>
      <c r="N98" s="6"/>
      <c r="O98" s="10"/>
      <c r="P98" s="10"/>
      <c r="Q98" s="10"/>
      <c r="R98" s="10"/>
      <c r="S98" s="10"/>
      <c r="T98" s="10"/>
      <c r="U98" s="10"/>
      <c r="V98" s="10"/>
      <c r="W98" s="10"/>
      <c r="X98" s="10"/>
      <c r="Y98" s="10"/>
      <c r="Z98" s="10"/>
      <c r="AA98" s="10"/>
      <c r="AB98" s="10"/>
      <c r="AC98" s="10"/>
      <c r="AD98" s="10"/>
    </row>
    <row r="99" spans="1:30" ht="15" customHeight="1" x14ac:dyDescent="0.25">
      <c r="A99" s="972">
        <f>IF(A98=2,2,0)</f>
        <v>2</v>
      </c>
      <c r="B99" s="575"/>
      <c r="C99" s="130"/>
      <c r="D99" s="520"/>
      <c r="E99" s="802"/>
      <c r="F99" s="1120" t="s">
        <v>166</v>
      </c>
      <c r="G99" s="1793"/>
      <c r="H99" s="1793"/>
      <c r="I99" s="1793"/>
      <c r="J99" s="1793"/>
      <c r="K99" s="1793"/>
      <c r="L99" s="1955"/>
      <c r="M99" s="136"/>
      <c r="N99" s="6"/>
      <c r="O99" s="10"/>
      <c r="P99" s="10"/>
      <c r="Q99" s="10"/>
      <c r="R99" s="10"/>
      <c r="S99" s="10"/>
      <c r="T99" s="10"/>
      <c r="U99" s="10"/>
      <c r="V99" s="10"/>
      <c r="W99" s="10"/>
      <c r="X99" s="10"/>
      <c r="Y99" s="10"/>
      <c r="Z99" s="10"/>
      <c r="AA99" s="10"/>
      <c r="AB99" s="10"/>
      <c r="AC99" s="10"/>
      <c r="AD99" s="10"/>
    </row>
    <row r="100" spans="1:30" ht="15" customHeight="1" x14ac:dyDescent="0.25">
      <c r="A100" s="972">
        <f>IF(A99=2,2,0)</f>
        <v>2</v>
      </c>
      <c r="B100" s="575"/>
      <c r="C100" s="130"/>
      <c r="D100" s="1720"/>
      <c r="E100" s="802"/>
      <c r="F100" s="1120" t="s">
        <v>167</v>
      </c>
      <c r="G100" s="1794"/>
      <c r="H100" s="1794"/>
      <c r="I100" s="1794"/>
      <c r="J100" s="1794"/>
      <c r="K100" s="1794"/>
      <c r="L100" s="1956"/>
      <c r="M100" s="1152"/>
      <c r="N100" s="6"/>
      <c r="O100" s="10"/>
      <c r="P100" s="10"/>
      <c r="Q100" s="10"/>
      <c r="R100" s="10"/>
      <c r="S100" s="10"/>
      <c r="T100" s="10"/>
      <c r="U100" s="10"/>
      <c r="V100" s="10"/>
      <c r="W100" s="10"/>
      <c r="X100" s="10"/>
      <c r="Y100" s="10"/>
      <c r="Z100" s="10"/>
      <c r="AA100" s="10"/>
      <c r="AB100" s="10"/>
      <c r="AC100" s="10"/>
      <c r="AD100" s="10"/>
    </row>
    <row r="101" spans="1:30" ht="15" customHeight="1" x14ac:dyDescent="0.25">
      <c r="A101" s="972">
        <f>IF(A100=2,2,0)</f>
        <v>2</v>
      </c>
      <c r="B101" s="575"/>
      <c r="C101" s="130"/>
      <c r="D101" s="520"/>
      <c r="E101" s="802"/>
      <c r="F101" s="1120" t="s">
        <v>710</v>
      </c>
      <c r="G101" s="1791"/>
      <c r="H101" s="1791"/>
      <c r="I101" s="1791"/>
      <c r="J101" s="1791"/>
      <c r="K101" s="1791"/>
      <c r="L101" s="1953"/>
      <c r="M101" s="1153"/>
      <c r="N101" s="6"/>
      <c r="O101" s="10"/>
      <c r="P101" s="10"/>
      <c r="Q101" s="10"/>
      <c r="R101" s="10"/>
      <c r="S101" s="10"/>
      <c r="T101" s="10"/>
      <c r="U101" s="10"/>
      <c r="V101" s="10"/>
      <c r="W101" s="10"/>
      <c r="X101" s="10"/>
      <c r="Y101" s="10"/>
      <c r="Z101" s="10"/>
      <c r="AA101" s="10"/>
      <c r="AB101" s="10"/>
      <c r="AC101" s="10"/>
      <c r="AD101" s="10"/>
    </row>
    <row r="102" spans="1:30" ht="8.1" customHeight="1" x14ac:dyDescent="0.25">
      <c r="A102" s="972">
        <f>A104</f>
        <v>2</v>
      </c>
      <c r="B102" s="16"/>
      <c r="C102" s="130"/>
      <c r="D102" s="520"/>
      <c r="E102" s="802"/>
      <c r="F102" s="1127"/>
      <c r="G102" s="1797">
        <f t="shared" ref="G102:L102" si="33">IF(AND(G105=0,G106=0,G107=0),0,IF(G105&lt;&gt;0,G105,IF(G106&lt;&gt;0,IF(dpUnit_Sales_1="Net Rentable Area",(G106/G$12)/G$54,(G106/G$13)/G$54),IF(dpUnit_Sales_1="Net Rentable Area",G107/G$54,G107/G$54))))</f>
        <v>0</v>
      </c>
      <c r="H102" s="1797">
        <f t="shared" si="33"/>
        <v>0</v>
      </c>
      <c r="I102" s="1797">
        <f t="shared" si="33"/>
        <v>0</v>
      </c>
      <c r="J102" s="1797">
        <f t="shared" si="33"/>
        <v>0</v>
      </c>
      <c r="K102" s="1797">
        <f t="shared" si="33"/>
        <v>0</v>
      </c>
      <c r="L102" s="1959">
        <f t="shared" si="33"/>
        <v>0</v>
      </c>
      <c r="M102" s="101"/>
      <c r="N102" s="6"/>
      <c r="O102" s="10"/>
      <c r="P102" s="10"/>
      <c r="Q102" s="10"/>
      <c r="R102" s="10"/>
      <c r="S102" s="10"/>
      <c r="T102" s="10"/>
      <c r="U102" s="10"/>
      <c r="V102" s="10"/>
      <c r="W102" s="10"/>
      <c r="X102" s="10"/>
      <c r="Y102" s="10"/>
      <c r="Z102" s="10"/>
      <c r="AA102" s="10"/>
      <c r="AB102" s="10"/>
      <c r="AC102" s="10"/>
      <c r="AD102" s="10"/>
    </row>
    <row r="103" spans="1:30" x14ac:dyDescent="0.25">
      <c r="A103" s="972">
        <f>A104</f>
        <v>2</v>
      </c>
      <c r="B103" s="16"/>
      <c r="C103" s="130"/>
      <c r="D103" s="1489" t="s">
        <v>285</v>
      </c>
      <c r="E103" s="480"/>
      <c r="F103" s="1747">
        <f>Subject_PercentOfficeFinish</f>
        <v>7.4999999999999997E-2</v>
      </c>
      <c r="G103" s="1895"/>
      <c r="H103" s="1895"/>
      <c r="I103" s="1895"/>
      <c r="J103" s="1895"/>
      <c r="K103" s="1895"/>
      <c r="L103" s="1987"/>
      <c r="M103" s="136"/>
      <c r="N103" s="6"/>
      <c r="O103" s="10"/>
      <c r="P103" s="10"/>
      <c r="Q103" s="10"/>
      <c r="R103" s="10"/>
      <c r="S103" s="10"/>
      <c r="T103" s="10"/>
      <c r="U103" s="10"/>
      <c r="V103" s="10"/>
      <c r="W103" s="10"/>
      <c r="X103" s="10"/>
      <c r="Y103" s="10"/>
      <c r="Z103" s="10"/>
      <c r="AA103" s="10"/>
      <c r="AB103" s="10"/>
      <c r="AC103" s="10"/>
      <c r="AD103" s="10"/>
    </row>
    <row r="104" spans="1:30" ht="15" customHeight="1" x14ac:dyDescent="0.25">
      <c r="A104" s="972">
        <f>IF(B104=TRUE,1,2)</f>
        <v>2</v>
      </c>
      <c r="B104" s="16" t="b">
        <v>0</v>
      </c>
      <c r="C104" s="130"/>
      <c r="D104" s="1490" t="str">
        <f>IF(Sales_AdjType&lt;&gt;"Qualitative","Adjustment","Relative Comparison")</f>
        <v>Adjustment</v>
      </c>
      <c r="E104" s="480"/>
      <c r="F104" s="1127"/>
      <c r="G104" s="1796">
        <f t="shared" ref="G104:L104" si="34">IF(Sales_AdjType_1="Percent",IF(AND(G105=0,G106=0,G107=0),0,IF(G105&lt;&gt;0,G105,IF(G106&lt;&gt;0,IF(Sales_AdjType_1="Net Rentable Area",(G106/G$12)/G$54,(G106/G$13)/G$54),IF(Sales_AdjType_1="Net Rentable Area",G107/G$54,G107/G$54)))),IF(Sales_AdjType_1="$ per Unit",IF(AND(G105=0,G106=0,G107=0),0,IF(G105&lt;&gt;0,G105*G$54,IF(G106&lt;&gt;0,IF(Sales_AdjType_1="Net Rentable Area",G106/G$12,G106/G$13),G107))),IF(OR(G105&gt;0,G106&gt;0,G107&gt;0),"Inferior",IF(OR(G105&lt;0,G106&lt;0,G107&lt;0),"Superior","Similar"))))</f>
        <v>0</v>
      </c>
      <c r="H104" s="1796">
        <f t="shared" si="34"/>
        <v>0</v>
      </c>
      <c r="I104" s="1796">
        <f t="shared" si="34"/>
        <v>0</v>
      </c>
      <c r="J104" s="1796">
        <f t="shared" si="34"/>
        <v>0</v>
      </c>
      <c r="K104" s="1796">
        <f t="shared" si="34"/>
        <v>0</v>
      </c>
      <c r="L104" s="1958">
        <f t="shared" si="34"/>
        <v>0</v>
      </c>
      <c r="M104" s="1194"/>
      <c r="N104" s="6"/>
      <c r="O104" s="10"/>
      <c r="P104" s="10"/>
      <c r="Q104" s="10"/>
      <c r="R104" s="10"/>
      <c r="S104" s="10"/>
      <c r="T104" s="10"/>
      <c r="U104" s="10"/>
      <c r="V104" s="10"/>
      <c r="W104" s="10"/>
      <c r="X104" s="10"/>
      <c r="Y104" s="10"/>
      <c r="Z104" s="10"/>
      <c r="AA104" s="10"/>
      <c r="AB104" s="10"/>
      <c r="AC104" s="10"/>
      <c r="AD104" s="10"/>
    </row>
    <row r="105" spans="1:30" ht="15" customHeight="1" x14ac:dyDescent="0.25">
      <c r="A105" s="972">
        <f>IF(A104=2,2,0)</f>
        <v>2</v>
      </c>
      <c r="B105" s="575"/>
      <c r="C105" s="130"/>
      <c r="D105" s="520"/>
      <c r="E105" s="480"/>
      <c r="F105" s="1120" t="s">
        <v>166</v>
      </c>
      <c r="G105" s="1793"/>
      <c r="H105" s="1793"/>
      <c r="I105" s="1793"/>
      <c r="J105" s="1793"/>
      <c r="K105" s="1793"/>
      <c r="L105" s="1955"/>
      <c r="M105" s="136"/>
      <c r="N105" s="6"/>
      <c r="O105" s="10"/>
      <c r="P105" s="10"/>
      <c r="Q105" s="10"/>
      <c r="R105" s="10"/>
      <c r="S105" s="10"/>
      <c r="T105" s="10"/>
      <c r="U105" s="10"/>
      <c r="V105" s="10"/>
      <c r="W105" s="10"/>
      <c r="X105" s="10"/>
      <c r="Y105" s="10"/>
      <c r="Z105" s="10"/>
      <c r="AA105" s="10"/>
      <c r="AB105" s="10"/>
      <c r="AC105" s="10"/>
      <c r="AD105" s="10"/>
    </row>
    <row r="106" spans="1:30" ht="15" customHeight="1" x14ac:dyDescent="0.25">
      <c r="A106" s="972">
        <f>IF(A105=2,2,0)</f>
        <v>2</v>
      </c>
      <c r="B106" s="575"/>
      <c r="C106" s="130"/>
      <c r="D106" s="520"/>
      <c r="E106" s="480"/>
      <c r="F106" s="1120" t="s">
        <v>167</v>
      </c>
      <c r="G106" s="1794"/>
      <c r="H106" s="1794"/>
      <c r="I106" s="1794"/>
      <c r="J106" s="1794"/>
      <c r="K106" s="1794"/>
      <c r="L106" s="1956"/>
      <c r="M106" s="1152"/>
      <c r="N106" s="6"/>
      <c r="O106" s="10"/>
      <c r="P106" s="10"/>
      <c r="Q106" s="10"/>
      <c r="R106" s="10"/>
      <c r="S106" s="10"/>
      <c r="T106" s="10"/>
      <c r="U106" s="10"/>
      <c r="V106" s="10"/>
      <c r="W106" s="10"/>
      <c r="X106" s="10"/>
      <c r="Y106" s="10"/>
      <c r="Z106" s="10"/>
      <c r="AA106" s="10"/>
      <c r="AB106" s="10"/>
      <c r="AC106" s="10"/>
      <c r="AD106" s="10"/>
    </row>
    <row r="107" spans="1:30" ht="15" customHeight="1" x14ac:dyDescent="0.25">
      <c r="A107" s="972">
        <f>IF(A106=2,2,0)</f>
        <v>2</v>
      </c>
      <c r="B107" s="575"/>
      <c r="C107" s="130"/>
      <c r="D107" s="520"/>
      <c r="E107" s="480"/>
      <c r="F107" s="1120" t="s">
        <v>710</v>
      </c>
      <c r="G107" s="1791"/>
      <c r="H107" s="1791"/>
      <c r="I107" s="1791"/>
      <c r="J107" s="1791"/>
      <c r="K107" s="1791"/>
      <c r="L107" s="1953"/>
      <c r="M107" s="1153"/>
      <c r="N107" s="6"/>
      <c r="O107" s="10"/>
      <c r="P107" s="10"/>
      <c r="Q107" s="10"/>
      <c r="R107" s="10"/>
      <c r="S107" s="10"/>
      <c r="T107" s="10"/>
      <c r="U107" s="10"/>
      <c r="V107" s="10"/>
      <c r="W107" s="10"/>
      <c r="X107" s="10"/>
      <c r="Y107" s="10"/>
      <c r="Z107" s="10"/>
      <c r="AA107" s="10"/>
      <c r="AB107" s="10"/>
      <c r="AC107" s="10"/>
      <c r="AD107" s="10"/>
    </row>
    <row r="108" spans="1:30" ht="8.1" customHeight="1" x14ac:dyDescent="0.25">
      <c r="A108" s="972">
        <f>A110</f>
        <v>2</v>
      </c>
      <c r="B108" s="16"/>
      <c r="C108" s="130"/>
      <c r="D108" s="520"/>
      <c r="E108" s="802"/>
      <c r="F108" s="802"/>
      <c r="G108" s="1797">
        <f t="shared" ref="G108:L108" si="35">IF(AND(G111=0,G112=0,G113=0),0,IF(G111&lt;&gt;0,G111,IF(G112&lt;&gt;0,IF(dpUnit_Sales_1="Net Rentable Area",(G112/G$12)/G$54,(G112/G$13)/G$54),IF(dpUnit_Sales_1="Net Rentable Area",G113/G$54,G113/G$54))))</f>
        <v>0</v>
      </c>
      <c r="H108" s="1797">
        <f t="shared" si="35"/>
        <v>0</v>
      </c>
      <c r="I108" s="1797">
        <f t="shared" si="35"/>
        <v>0</v>
      </c>
      <c r="J108" s="1797">
        <f t="shared" si="35"/>
        <v>0</v>
      </c>
      <c r="K108" s="1797">
        <f t="shared" si="35"/>
        <v>0</v>
      </c>
      <c r="L108" s="1959">
        <f t="shared" si="35"/>
        <v>0</v>
      </c>
      <c r="M108" s="101"/>
      <c r="N108" s="6"/>
      <c r="O108" s="10"/>
      <c r="P108" s="10"/>
      <c r="Q108" s="10"/>
      <c r="R108" s="10"/>
      <c r="S108" s="10"/>
      <c r="T108" s="10"/>
      <c r="U108" s="10"/>
      <c r="V108" s="10"/>
      <c r="W108" s="10"/>
      <c r="X108" s="10"/>
      <c r="Y108" s="10"/>
      <c r="Z108" s="10"/>
      <c r="AA108" s="10"/>
      <c r="AB108" s="10"/>
      <c r="AC108" s="10"/>
      <c r="AD108" s="10"/>
    </row>
    <row r="109" spans="1:30" x14ac:dyDescent="0.25">
      <c r="A109" s="972">
        <f>A110</f>
        <v>2</v>
      </c>
      <c r="B109" s="16"/>
      <c r="C109" s="130"/>
      <c r="D109" s="1489" t="s">
        <v>286</v>
      </c>
      <c r="E109" s="480"/>
      <c r="F109" s="1748">
        <f>Subject_LtoBRatio_Usable</f>
        <v>20.7</v>
      </c>
      <c r="G109" s="1802"/>
      <c r="H109" s="1802"/>
      <c r="I109" s="1802"/>
      <c r="J109" s="1802"/>
      <c r="K109" s="1802"/>
      <c r="L109" s="1964"/>
      <c r="M109" s="1722"/>
      <c r="N109" s="6"/>
      <c r="O109" s="10"/>
      <c r="P109" s="10"/>
      <c r="Q109" s="10"/>
      <c r="R109" s="10"/>
      <c r="S109" s="10"/>
      <c r="T109" s="10"/>
      <c r="U109" s="10"/>
      <c r="V109" s="10"/>
      <c r="W109" s="10"/>
      <c r="X109" s="10"/>
      <c r="Y109" s="10"/>
      <c r="Z109" s="10"/>
      <c r="AA109" s="10"/>
      <c r="AB109" s="10"/>
      <c r="AC109" s="10"/>
      <c r="AD109" s="10"/>
    </row>
    <row r="110" spans="1:30" ht="15" customHeight="1" x14ac:dyDescent="0.25">
      <c r="A110" s="972">
        <f>IF(AND(B110=TRUE,dpSale_Method_1="Whole Property"),1,2)</f>
        <v>2</v>
      </c>
      <c r="B110" s="16" t="b">
        <v>0</v>
      </c>
      <c r="C110" s="130"/>
      <c r="D110" s="1490" t="str">
        <f>IF(Sales_AdjType&lt;&gt;"Qualitative","Adjustment","Relative Comparison")</f>
        <v>Adjustment</v>
      </c>
      <c r="E110" s="480"/>
      <c r="F110" s="1127"/>
      <c r="G110" s="1796">
        <f t="shared" ref="G110:L110" si="36">IF(Sales_AdjType_1="Percent",IF(AND(G111=0,G112=0,G113=0),0,IF(G111&lt;&gt;0,G111,IF(G112&lt;&gt;0,IF(Sales_AdjType_1="Net Rentable Area",(G112/G$12)/G$54,(G112/G$13)/G$54),IF(Sales_AdjType_1="Net Rentable Area",G113/G$54,G113/G$54)))),IF(Sales_AdjType_1="$ per Unit",IF(AND(G111=0,G112=0,G113=0),0,IF(G111&lt;&gt;0,G111*G$54,IF(G112&lt;&gt;0,IF(Sales_AdjType_1="Net Rentable Area",G112/G$12,G112/G$13),G113))),IF(OR(G111&gt;0,G112&gt;0,G113&gt;0),"Inferior",IF(OR(G111&lt;0,G112&lt;0,G113&lt;0),"Superior","Similar"))))</f>
        <v>0</v>
      </c>
      <c r="H110" s="1796">
        <f t="shared" si="36"/>
        <v>0</v>
      </c>
      <c r="I110" s="1796">
        <f t="shared" si="36"/>
        <v>0</v>
      </c>
      <c r="J110" s="1796">
        <f t="shared" si="36"/>
        <v>0</v>
      </c>
      <c r="K110" s="1796">
        <f t="shared" si="36"/>
        <v>0</v>
      </c>
      <c r="L110" s="1958">
        <f t="shared" si="36"/>
        <v>0</v>
      </c>
      <c r="M110" s="1194"/>
      <c r="N110" s="6"/>
      <c r="O110" s="10"/>
      <c r="P110" s="10"/>
      <c r="Q110" s="10"/>
      <c r="R110" s="10"/>
      <c r="S110" s="10"/>
      <c r="T110" s="10"/>
      <c r="U110" s="10"/>
      <c r="V110" s="10"/>
      <c r="W110" s="10"/>
      <c r="X110" s="10"/>
      <c r="Y110" s="10"/>
      <c r="Z110" s="10"/>
      <c r="AA110" s="10"/>
      <c r="AB110" s="10"/>
      <c r="AC110" s="10"/>
      <c r="AD110" s="10"/>
    </row>
    <row r="111" spans="1:30" ht="15" customHeight="1" x14ac:dyDescent="0.25">
      <c r="A111" s="972">
        <f>IF(A110=2,2,0)</f>
        <v>2</v>
      </c>
      <c r="B111" s="575"/>
      <c r="C111" s="130"/>
      <c r="D111" s="520"/>
      <c r="E111" s="802"/>
      <c r="F111" s="1120" t="s">
        <v>166</v>
      </c>
      <c r="G111" s="1793"/>
      <c r="H111" s="1793"/>
      <c r="I111" s="1793"/>
      <c r="J111" s="1793"/>
      <c r="K111" s="1793"/>
      <c r="L111" s="1955"/>
      <c r="M111" s="136"/>
      <c r="N111" s="6"/>
      <c r="O111" s="10"/>
      <c r="P111" s="10"/>
      <c r="Q111" s="10"/>
      <c r="R111" s="10"/>
      <c r="S111" s="10"/>
      <c r="T111" s="10"/>
      <c r="U111" s="10"/>
      <c r="V111" s="10"/>
      <c r="W111" s="10"/>
      <c r="X111" s="10"/>
      <c r="Y111" s="10"/>
      <c r="Z111" s="10"/>
      <c r="AA111" s="10"/>
      <c r="AB111" s="10"/>
      <c r="AC111" s="10"/>
      <c r="AD111" s="10"/>
    </row>
    <row r="112" spans="1:30" ht="15" customHeight="1" x14ac:dyDescent="0.25">
      <c r="A112" s="972">
        <f>IF(A111=2,2,0)</f>
        <v>2</v>
      </c>
      <c r="B112" s="575"/>
      <c r="C112" s="130"/>
      <c r="D112" s="1720"/>
      <c r="E112" s="802"/>
      <c r="F112" s="1120" t="s">
        <v>167</v>
      </c>
      <c r="G112" s="1794"/>
      <c r="H112" s="1794"/>
      <c r="I112" s="1794"/>
      <c r="J112" s="1794"/>
      <c r="K112" s="1794"/>
      <c r="L112" s="1956"/>
      <c r="M112" s="1152"/>
      <c r="N112" s="6"/>
      <c r="O112" s="10"/>
      <c r="P112" s="10"/>
      <c r="Q112" s="10"/>
      <c r="R112" s="10"/>
      <c r="S112" s="10"/>
      <c r="T112" s="10"/>
      <c r="U112" s="10"/>
      <c r="V112" s="10"/>
      <c r="W112" s="10"/>
      <c r="X112" s="10"/>
      <c r="Y112" s="10"/>
      <c r="Z112" s="10"/>
      <c r="AA112" s="10"/>
      <c r="AB112" s="10"/>
      <c r="AC112" s="10"/>
      <c r="AD112" s="10"/>
    </row>
    <row r="113" spans="1:30" ht="15" customHeight="1" x14ac:dyDescent="0.25">
      <c r="A113" s="972">
        <f>IF(A112=2,2,0)</f>
        <v>2</v>
      </c>
      <c r="B113" s="575"/>
      <c r="C113" s="130"/>
      <c r="D113" s="520"/>
      <c r="E113" s="802"/>
      <c r="F113" s="1120" t="s">
        <v>710</v>
      </c>
      <c r="G113" s="1791"/>
      <c r="H113" s="1791"/>
      <c r="I113" s="1791"/>
      <c r="J113" s="1791"/>
      <c r="K113" s="1791"/>
      <c r="L113" s="1953"/>
      <c r="M113" s="1153"/>
      <c r="N113" s="6"/>
      <c r="O113" s="10"/>
      <c r="P113" s="10"/>
      <c r="Q113" s="10"/>
      <c r="R113" s="10"/>
      <c r="S113" s="10"/>
      <c r="T113" s="10"/>
      <c r="U113" s="10"/>
      <c r="V113" s="10"/>
      <c r="W113" s="10"/>
      <c r="X113" s="10"/>
      <c r="Y113" s="10"/>
      <c r="Z113" s="10"/>
      <c r="AA113" s="10"/>
      <c r="AB113" s="10"/>
      <c r="AC113" s="10"/>
      <c r="AD113" s="10"/>
    </row>
    <row r="114" spans="1:30" ht="8.1" customHeight="1" x14ac:dyDescent="0.25">
      <c r="A114" s="972">
        <f>A116</f>
        <v>2</v>
      </c>
      <c r="B114" s="16"/>
      <c r="C114" s="130"/>
      <c r="D114" s="520"/>
      <c r="E114" s="802"/>
      <c r="F114" s="802"/>
      <c r="G114" s="1797">
        <f t="shared" ref="G114:L114" si="37">IF(AND(G117=0,G118=0,G119=0),0,IF(G117&lt;&gt;0,G117,IF(G118&lt;&gt;0,IF(dpUnit_Sales_1="Net Rentable Area",(G118/G$12)/G$54,(G118/G$13)/G$54),IF(dpUnit_Sales_1="Net Rentable Area",G119/G$54,G119/G$54))))</f>
        <v>0</v>
      </c>
      <c r="H114" s="1797">
        <f t="shared" si="37"/>
        <v>0</v>
      </c>
      <c r="I114" s="1797">
        <f t="shared" si="37"/>
        <v>0</v>
      </c>
      <c r="J114" s="1797">
        <f t="shared" si="37"/>
        <v>0</v>
      </c>
      <c r="K114" s="1797">
        <f t="shared" si="37"/>
        <v>0</v>
      </c>
      <c r="L114" s="1959">
        <f t="shared" si="37"/>
        <v>0</v>
      </c>
      <c r="M114" s="101"/>
      <c r="N114" s="6"/>
      <c r="O114" s="10"/>
      <c r="P114" s="10"/>
      <c r="Q114" s="10"/>
      <c r="R114" s="10"/>
      <c r="S114" s="10"/>
      <c r="T114" s="10"/>
      <c r="U114" s="10"/>
      <c r="V114" s="10"/>
      <c r="W114" s="10"/>
      <c r="X114" s="10"/>
      <c r="Y114" s="10"/>
      <c r="Z114" s="10"/>
      <c r="AA114" s="10"/>
      <c r="AB114" s="10"/>
      <c r="AC114" s="10"/>
      <c r="AD114" s="10"/>
    </row>
    <row r="115" spans="1:30" x14ac:dyDescent="0.25">
      <c r="A115" s="972">
        <f>A116</f>
        <v>2</v>
      </c>
      <c r="B115" s="16"/>
      <c r="C115" s="130"/>
      <c r="D115" s="1489" t="s">
        <v>1018</v>
      </c>
      <c r="E115" s="802"/>
      <c r="F115" s="1749">
        <f>Subject_ParkingRatio</f>
        <v>2.95</v>
      </c>
      <c r="G115" s="1896"/>
      <c r="H115" s="1896"/>
      <c r="I115" s="1896"/>
      <c r="J115" s="1896"/>
      <c r="K115" s="1896"/>
      <c r="L115" s="1988"/>
      <c r="M115" s="101"/>
      <c r="N115" s="6"/>
      <c r="O115" s="10"/>
      <c r="P115" s="10"/>
      <c r="Q115" s="10"/>
      <c r="R115" s="10"/>
      <c r="S115" s="10"/>
      <c r="T115" s="10"/>
      <c r="U115" s="10"/>
      <c r="V115" s="10"/>
      <c r="W115" s="10"/>
      <c r="X115" s="10"/>
      <c r="Y115" s="10"/>
      <c r="Z115" s="10"/>
      <c r="AA115" s="10"/>
      <c r="AB115" s="10"/>
      <c r="AC115" s="10"/>
      <c r="AD115" s="10"/>
    </row>
    <row r="116" spans="1:30" ht="14.25" customHeight="1" x14ac:dyDescent="0.25">
      <c r="A116" s="972">
        <f>IF(B116=TRUE,1,2)</f>
        <v>2</v>
      </c>
      <c r="B116" s="16" t="b">
        <v>0</v>
      </c>
      <c r="C116" s="130"/>
      <c r="D116" s="1490" t="str">
        <f>IF(Sales_AdjType&lt;&gt;"Qualitative","Adjustment","Relative Comparison")</f>
        <v>Adjustment</v>
      </c>
      <c r="E116" s="802"/>
      <c r="F116" s="1127"/>
      <c r="G116" s="1796">
        <f t="shared" ref="G116:L116" si="38">IF(Sales_AdjType_1="Percent",IF(AND(G117=0,G118=0,G119=0),0,IF(G117&lt;&gt;0,G117,IF(G118&lt;&gt;0,IF(Sales_AdjType_1="Net Rentable Area",(G118/G$12)/G$54,(G118/G$13)/G$54),IF(Sales_AdjType_1="Net Rentable Area",G119/G$54,G119/G$54)))),IF(Sales_AdjType_1="$ per Unit",IF(AND(G117=0,G118=0,G119=0),0,IF(G117&lt;&gt;0,G117*G$54,IF(G118&lt;&gt;0,IF(Sales_AdjType_1="Net Rentable Area",G118/G$12,G118/G$13),G119))),IF(OR(G117&gt;0,G118&gt;0,G119&gt;0),"Inferior",IF(OR(G117&lt;0,G118&lt;0,G119&lt;0),"Superior","Similar"))))</f>
        <v>0</v>
      </c>
      <c r="H116" s="1796">
        <f t="shared" si="38"/>
        <v>0</v>
      </c>
      <c r="I116" s="1796">
        <f t="shared" si="38"/>
        <v>0</v>
      </c>
      <c r="J116" s="1796">
        <f t="shared" si="38"/>
        <v>0</v>
      </c>
      <c r="K116" s="1796">
        <f t="shared" si="38"/>
        <v>0</v>
      </c>
      <c r="L116" s="1958">
        <f t="shared" si="38"/>
        <v>0</v>
      </c>
      <c r="M116" s="101"/>
      <c r="N116" s="6"/>
      <c r="O116" s="10"/>
      <c r="P116" s="10"/>
      <c r="Q116" s="10"/>
      <c r="R116" s="10"/>
      <c r="S116" s="10"/>
      <c r="T116" s="10"/>
      <c r="U116" s="10"/>
      <c r="V116" s="10"/>
      <c r="W116" s="10"/>
      <c r="X116" s="10"/>
      <c r="Y116" s="10"/>
      <c r="Z116" s="10"/>
      <c r="AA116" s="10"/>
      <c r="AB116" s="10"/>
      <c r="AC116" s="10"/>
      <c r="AD116" s="10"/>
    </row>
    <row r="117" spans="1:30" ht="14.25" customHeight="1" x14ac:dyDescent="0.25">
      <c r="A117" s="972">
        <f>IF(A116=2,2,0)</f>
        <v>2</v>
      </c>
      <c r="B117" s="16"/>
      <c r="C117" s="130"/>
      <c r="D117" s="520"/>
      <c r="E117" s="802"/>
      <c r="F117" s="1120" t="s">
        <v>166</v>
      </c>
      <c r="G117" s="1793"/>
      <c r="H117" s="1793"/>
      <c r="I117" s="1793"/>
      <c r="J117" s="1793"/>
      <c r="K117" s="1793"/>
      <c r="L117" s="1955"/>
      <c r="M117" s="101"/>
      <c r="N117" s="6"/>
      <c r="O117" s="10"/>
      <c r="P117" s="10"/>
      <c r="Q117" s="10"/>
      <c r="R117" s="10"/>
      <c r="S117" s="10"/>
      <c r="T117" s="10"/>
      <c r="U117" s="10"/>
      <c r="V117" s="10"/>
      <c r="W117" s="10"/>
      <c r="X117" s="10"/>
      <c r="Y117" s="10"/>
      <c r="Z117" s="10"/>
      <c r="AA117" s="10"/>
      <c r="AB117" s="10"/>
      <c r="AC117" s="10"/>
      <c r="AD117" s="10"/>
    </row>
    <row r="118" spans="1:30" ht="14.25" customHeight="1" x14ac:dyDescent="0.25">
      <c r="A118" s="972">
        <f>IF(A117=2,2,0)</f>
        <v>2</v>
      </c>
      <c r="B118" s="16"/>
      <c r="C118" s="130"/>
      <c r="D118" s="520"/>
      <c r="E118" s="802"/>
      <c r="F118" s="1120" t="s">
        <v>167</v>
      </c>
      <c r="G118" s="1794"/>
      <c r="H118" s="1794"/>
      <c r="I118" s="1794"/>
      <c r="J118" s="1794"/>
      <c r="K118" s="1794"/>
      <c r="L118" s="1956"/>
      <c r="M118" s="101"/>
      <c r="N118" s="6"/>
      <c r="O118" s="10"/>
      <c r="P118" s="10"/>
      <c r="Q118" s="10"/>
      <c r="R118" s="10"/>
      <c r="S118" s="10"/>
      <c r="T118" s="10"/>
      <c r="U118" s="10"/>
      <c r="V118" s="10"/>
      <c r="W118" s="10"/>
      <c r="X118" s="10"/>
      <c r="Y118" s="10"/>
      <c r="Z118" s="10"/>
      <c r="AA118" s="10"/>
      <c r="AB118" s="10"/>
      <c r="AC118" s="10"/>
      <c r="AD118" s="10"/>
    </row>
    <row r="119" spans="1:30" ht="14.25" customHeight="1" x14ac:dyDescent="0.25">
      <c r="A119" s="972">
        <f>IF(A118=2,2,0)</f>
        <v>2</v>
      </c>
      <c r="B119" s="16"/>
      <c r="C119" s="130"/>
      <c r="D119" s="520"/>
      <c r="E119" s="802"/>
      <c r="F119" s="1120" t="s">
        <v>710</v>
      </c>
      <c r="G119" s="1791"/>
      <c r="H119" s="1791"/>
      <c r="I119" s="1791"/>
      <c r="J119" s="1791"/>
      <c r="K119" s="1791"/>
      <c r="L119" s="1953"/>
      <c r="M119" s="101"/>
      <c r="N119" s="6"/>
      <c r="O119" s="10"/>
      <c r="P119" s="10"/>
      <c r="Q119" s="10"/>
      <c r="R119" s="10"/>
      <c r="S119" s="10"/>
      <c r="T119" s="10"/>
      <c r="U119" s="10"/>
      <c r="V119" s="10"/>
      <c r="W119" s="10"/>
      <c r="X119" s="10"/>
      <c r="Y119" s="10"/>
      <c r="Z119" s="10"/>
      <c r="AA119" s="10"/>
      <c r="AB119" s="10"/>
      <c r="AC119" s="10"/>
      <c r="AD119" s="10"/>
    </row>
    <row r="120" spans="1:30" ht="8.1" customHeight="1" x14ac:dyDescent="0.25">
      <c r="A120" s="972">
        <f>A122</f>
        <v>2</v>
      </c>
      <c r="B120" s="16"/>
      <c r="C120" s="130"/>
      <c r="D120" s="520"/>
      <c r="E120" s="802"/>
      <c r="F120" s="802"/>
      <c r="G120" s="1797">
        <f t="shared" ref="G120:L120" si="39">IF(AND(G123=0,G124=0,G125=0),0,IF(G123&lt;&gt;0,G123,IF(G124&lt;&gt;0,IF(dpUnit_Sales="Net Rentable Area",(G124/G$12)/G$54,(G124/G$13)/G$54),IF(dpUnit_Sales="Net Rentable Area",G125/G$54,G125/G$54))))</f>
        <v>0</v>
      </c>
      <c r="H120" s="1797">
        <f t="shared" si="39"/>
        <v>0</v>
      </c>
      <c r="I120" s="1797">
        <f t="shared" si="39"/>
        <v>0</v>
      </c>
      <c r="J120" s="1797">
        <f t="shared" si="39"/>
        <v>0</v>
      </c>
      <c r="K120" s="1797">
        <f t="shared" si="39"/>
        <v>0</v>
      </c>
      <c r="L120" s="1959">
        <f t="shared" si="39"/>
        <v>0</v>
      </c>
      <c r="M120" s="101"/>
      <c r="N120" s="6"/>
      <c r="O120" s="10"/>
      <c r="P120" s="10"/>
      <c r="Q120" s="10"/>
      <c r="R120" s="10"/>
      <c r="S120" s="10"/>
      <c r="T120" s="10"/>
      <c r="U120" s="10"/>
      <c r="V120" s="10"/>
      <c r="W120" s="10"/>
      <c r="X120" s="10"/>
      <c r="Y120" s="10"/>
      <c r="Z120" s="10"/>
      <c r="AA120" s="10"/>
      <c r="AB120" s="10"/>
      <c r="AC120" s="10"/>
      <c r="AD120" s="10"/>
    </row>
    <row r="121" spans="1:30" x14ac:dyDescent="0.25">
      <c r="A121" s="972">
        <f>A122</f>
        <v>2</v>
      </c>
      <c r="B121" s="16"/>
      <c r="C121" s="130"/>
      <c r="D121" s="1489" t="s">
        <v>1409</v>
      </c>
      <c r="E121" s="802"/>
      <c r="F121" s="2196"/>
      <c r="G121" s="2197">
        <f t="shared" ref="G121:L121" ca="1" si="40">HLOOKUP(G$7,OFFSET(dpSales_SummaryTableB1_Detailed,1,),31,FALSE)</f>
        <v>0</v>
      </c>
      <c r="H121" s="2197">
        <f t="shared" ca="1" si="40"/>
        <v>0</v>
      </c>
      <c r="I121" s="2197">
        <f t="shared" ca="1" si="40"/>
        <v>0</v>
      </c>
      <c r="J121" s="2197">
        <f t="shared" ca="1" si="40"/>
        <v>0</v>
      </c>
      <c r="K121" s="2197">
        <f t="shared" ca="1" si="40"/>
        <v>0</v>
      </c>
      <c r="L121" s="2198">
        <f t="shared" ca="1" si="40"/>
        <v>0</v>
      </c>
      <c r="M121" s="101"/>
      <c r="N121" s="6"/>
      <c r="O121" s="10"/>
      <c r="P121" s="10"/>
      <c r="Q121" s="10"/>
      <c r="R121" s="10"/>
      <c r="S121" s="10"/>
      <c r="T121" s="10"/>
      <c r="U121" s="10"/>
      <c r="V121" s="10"/>
      <c r="W121" s="10"/>
      <c r="X121" s="10"/>
      <c r="Y121" s="10"/>
      <c r="Z121" s="10"/>
      <c r="AA121" s="10"/>
      <c r="AB121" s="10"/>
      <c r="AC121" s="10"/>
      <c r="AD121" s="10"/>
    </row>
    <row r="122" spans="1:30" ht="14.25" customHeight="1" x14ac:dyDescent="0.25">
      <c r="A122" s="972">
        <f>IF(B122=TRUE,1,2)</f>
        <v>2</v>
      </c>
      <c r="B122" s="16" t="b">
        <v>0</v>
      </c>
      <c r="C122" s="130"/>
      <c r="D122" s="1490" t="str">
        <f>IF(Sales_AdjType&lt;&gt;"Qualitative","Adjustment","Relative Comparison")</f>
        <v>Adjustment</v>
      </c>
      <c r="E122" s="802"/>
      <c r="F122" s="1127"/>
      <c r="G122" s="1796">
        <f t="shared" ref="G122:L122" si="41">IF(Sales_AdjType="Percent",IF(AND(G123=0,G124=0,G125=0),0,IF(G123&lt;&gt;0,G123,IF(G124&lt;&gt;0,IF(dpUnit_Sales="Net Rentable Area",(G124/G$12)/G$54,(G124/G$13)/G$54),IF(dpUnit_Sales="Net Rentable Area",G125/G$54,G125/G$54)))),IF(Sales_AdjType="$ per Unit",IF(AND(G123=0,G124=0,G125=0),0,IF(G123&lt;&gt;0,G123*G$54,IF(G124&lt;&gt;0,IF(dpUnit_Sales="Net Rentable Area",G124/G$12,G124/G$13),G125))),IF(OR(G123&gt;0,G124&gt;0,G125&gt;0),"Inferior",IF(OR(G123&lt;0,G124&lt;0,G125&lt;0),"Superior","Similar"))))</f>
        <v>0</v>
      </c>
      <c r="H122" s="1796">
        <f t="shared" si="41"/>
        <v>0</v>
      </c>
      <c r="I122" s="1796">
        <f t="shared" si="41"/>
        <v>0</v>
      </c>
      <c r="J122" s="1796">
        <f t="shared" si="41"/>
        <v>0</v>
      </c>
      <c r="K122" s="1796">
        <f t="shared" si="41"/>
        <v>0</v>
      </c>
      <c r="L122" s="1958">
        <f t="shared" si="41"/>
        <v>0</v>
      </c>
      <c r="M122" s="101"/>
      <c r="N122" s="6"/>
      <c r="O122" s="10"/>
      <c r="P122" s="10"/>
      <c r="Q122" s="10"/>
      <c r="R122" s="10"/>
      <c r="S122" s="10"/>
      <c r="T122" s="10"/>
      <c r="U122" s="10"/>
      <c r="V122" s="10"/>
      <c r="W122" s="10"/>
      <c r="X122" s="10"/>
      <c r="Y122" s="10"/>
      <c r="Z122" s="10"/>
      <c r="AA122" s="10"/>
      <c r="AB122" s="10"/>
      <c r="AC122" s="10"/>
      <c r="AD122" s="10"/>
    </row>
    <row r="123" spans="1:30" ht="14.25" customHeight="1" x14ac:dyDescent="0.25">
      <c r="A123" s="972">
        <f>IF(A122=2,2,0)</f>
        <v>2</v>
      </c>
      <c r="B123" s="16"/>
      <c r="C123" s="130"/>
      <c r="D123" s="1720"/>
      <c r="E123" s="802"/>
      <c r="F123" s="1120" t="s">
        <v>166</v>
      </c>
      <c r="G123" s="1793"/>
      <c r="H123" s="1793"/>
      <c r="I123" s="1793"/>
      <c r="J123" s="1793"/>
      <c r="K123" s="1793"/>
      <c r="L123" s="1955"/>
      <c r="M123" s="101"/>
      <c r="N123" s="6"/>
      <c r="O123" s="10"/>
      <c r="P123" s="10"/>
      <c r="Q123" s="10"/>
      <c r="R123" s="10"/>
      <c r="S123" s="10"/>
      <c r="T123" s="10"/>
      <c r="U123" s="10"/>
      <c r="V123" s="10"/>
      <c r="W123" s="10"/>
      <c r="X123" s="10"/>
      <c r="Y123" s="10"/>
      <c r="Z123" s="10"/>
      <c r="AA123" s="10"/>
      <c r="AB123" s="10"/>
      <c r="AC123" s="10"/>
      <c r="AD123" s="10"/>
    </row>
    <row r="124" spans="1:30" ht="14.25" customHeight="1" x14ac:dyDescent="0.25">
      <c r="A124" s="972">
        <f>IF(A123=2,2,0)</f>
        <v>2</v>
      </c>
      <c r="B124" s="16"/>
      <c r="C124" s="130"/>
      <c r="D124" s="1720"/>
      <c r="E124" s="802"/>
      <c r="F124" s="1120" t="s">
        <v>167</v>
      </c>
      <c r="G124" s="1794"/>
      <c r="H124" s="1794"/>
      <c r="I124" s="1794"/>
      <c r="J124" s="1794"/>
      <c r="K124" s="1794"/>
      <c r="L124" s="1956"/>
      <c r="M124" s="101"/>
      <c r="N124" s="6"/>
      <c r="O124" s="10"/>
      <c r="P124" s="10"/>
      <c r="Q124" s="10"/>
      <c r="R124" s="10"/>
      <c r="S124" s="10"/>
      <c r="T124" s="10"/>
      <c r="U124" s="10"/>
      <c r="V124" s="10"/>
      <c r="W124" s="10"/>
      <c r="X124" s="10"/>
      <c r="Y124" s="10"/>
      <c r="Z124" s="10"/>
      <c r="AA124" s="10"/>
      <c r="AB124" s="10"/>
      <c r="AC124" s="10"/>
      <c r="AD124" s="10"/>
    </row>
    <row r="125" spans="1:30" ht="14.25" customHeight="1" x14ac:dyDescent="0.25">
      <c r="A125" s="972">
        <f>IF(A124=2,2,0)</f>
        <v>2</v>
      </c>
      <c r="B125" s="16"/>
      <c r="C125" s="130"/>
      <c r="D125" s="520"/>
      <c r="E125" s="802"/>
      <c r="F125" s="1120" t="s">
        <v>710</v>
      </c>
      <c r="G125" s="1791"/>
      <c r="H125" s="1791"/>
      <c r="I125" s="1791"/>
      <c r="J125" s="1791"/>
      <c r="K125" s="1791"/>
      <c r="L125" s="1953"/>
      <c r="M125" s="101"/>
      <c r="N125" s="6"/>
      <c r="O125" s="10"/>
      <c r="P125" s="10"/>
      <c r="Q125" s="10"/>
      <c r="R125" s="10"/>
      <c r="S125" s="10"/>
      <c r="T125" s="10"/>
      <c r="U125" s="10"/>
      <c r="V125" s="10"/>
      <c r="W125" s="10"/>
      <c r="X125" s="10"/>
      <c r="Y125" s="10"/>
      <c r="Z125" s="10"/>
      <c r="AA125" s="10"/>
      <c r="AB125" s="10"/>
      <c r="AC125" s="10"/>
      <c r="AD125" s="10"/>
    </row>
    <row r="126" spans="1:30" ht="8.1" customHeight="1" x14ac:dyDescent="0.25">
      <c r="A126" s="972">
        <f>A128</f>
        <v>2</v>
      </c>
      <c r="B126" s="16"/>
      <c r="C126" s="130"/>
      <c r="D126" s="520"/>
      <c r="E126" s="802"/>
      <c r="F126" s="802"/>
      <c r="G126" s="1797">
        <f t="shared" ref="G126:L126" si="42">IF(AND(G129=0,G130=0,G131=0),0,IF(G129&lt;&gt;0,G129,IF(G130&lt;&gt;0,IF(dpUnit_Sales_1="Net Rentable Area",(G130/G$12)/G$54,(G130/G$13)/G$54),IF(dpUnit_Sales_1="Net Rentable Area",G131/G$54,G131/G$54))))</f>
        <v>0</v>
      </c>
      <c r="H126" s="1797">
        <f t="shared" si="42"/>
        <v>0</v>
      </c>
      <c r="I126" s="1797">
        <f t="shared" si="42"/>
        <v>0</v>
      </c>
      <c r="J126" s="1797">
        <f t="shared" si="42"/>
        <v>0</v>
      </c>
      <c r="K126" s="1797">
        <f t="shared" si="42"/>
        <v>0</v>
      </c>
      <c r="L126" s="1959">
        <f t="shared" si="42"/>
        <v>0</v>
      </c>
      <c r="M126" s="101"/>
      <c r="N126" s="6"/>
      <c r="O126" s="10"/>
      <c r="P126" s="10"/>
      <c r="Q126" s="10"/>
      <c r="R126" s="10"/>
      <c r="S126" s="10"/>
      <c r="T126" s="10"/>
      <c r="U126" s="10"/>
      <c r="V126" s="10"/>
      <c r="W126" s="10"/>
      <c r="X126" s="10"/>
      <c r="Y126" s="10"/>
      <c r="Z126" s="10"/>
      <c r="AA126" s="10"/>
      <c r="AB126" s="10"/>
      <c r="AC126" s="10"/>
      <c r="AD126" s="10"/>
    </row>
    <row r="127" spans="1:30" x14ac:dyDescent="0.25">
      <c r="A127" s="972">
        <f>A128</f>
        <v>2</v>
      </c>
      <c r="B127" s="16"/>
      <c r="C127" s="130"/>
      <c r="D127" s="1489" t="s">
        <v>1019</v>
      </c>
      <c r="E127" s="802"/>
      <c r="F127" s="1170"/>
      <c r="G127" s="1789"/>
      <c r="H127" s="1789"/>
      <c r="I127" s="1789"/>
      <c r="J127" s="1789"/>
      <c r="K127" s="1789"/>
      <c r="L127" s="1168"/>
      <c r="M127" s="101"/>
      <c r="N127" s="6"/>
      <c r="O127" s="10"/>
      <c r="P127" s="10"/>
      <c r="Q127" s="10"/>
      <c r="R127" s="10"/>
      <c r="S127" s="10"/>
      <c r="T127" s="10"/>
      <c r="U127" s="10"/>
      <c r="V127" s="10"/>
      <c r="W127" s="10"/>
      <c r="X127" s="10"/>
      <c r="Y127" s="10"/>
      <c r="Z127" s="10"/>
      <c r="AA127" s="10"/>
      <c r="AB127" s="10"/>
      <c r="AC127" s="10"/>
      <c r="AD127" s="10"/>
    </row>
    <row r="128" spans="1:30" ht="14.25" customHeight="1" x14ac:dyDescent="0.25">
      <c r="A128" s="972">
        <f>IF(B128=TRUE,1,2)</f>
        <v>2</v>
      </c>
      <c r="B128" s="16" t="b">
        <v>0</v>
      </c>
      <c r="C128" s="130"/>
      <c r="D128" s="1490" t="str">
        <f>IF(Sales_AdjType&lt;&gt;"Qualitative","Adjustment","Relative Comparison")</f>
        <v>Adjustment</v>
      </c>
      <c r="E128" s="802"/>
      <c r="F128" s="1127"/>
      <c r="G128" s="1796">
        <f t="shared" ref="G128:L128" si="43">IF(Sales_AdjType_1="Percent",IF(AND(G129=0,G130=0,G131=0),0,IF(G129&lt;&gt;0,G129,IF(G130&lt;&gt;0,IF(Sales_AdjType_1="Net Rentable Area",(G130/G$12)/G$54,(G130/G$13)/G$54),IF(Sales_AdjType_1="Net Rentable Area",G131/G$54,G131/G$54)))),IF(Sales_AdjType_1="$ per Unit",IF(AND(G129=0,G130=0,G131=0),0,IF(G129&lt;&gt;0,G129*G$54,IF(G130&lt;&gt;0,IF(Sales_AdjType_1="Net Rentable Area",G130/G$12,G130/G$13),G131))),IF(OR(G129&gt;0,G130&gt;0,G131&gt;0),"Inferior",IF(OR(G129&lt;0,G130&lt;0,G131&lt;0),"Superior","Similar"))))</f>
        <v>0</v>
      </c>
      <c r="H128" s="1796">
        <f t="shared" si="43"/>
        <v>0</v>
      </c>
      <c r="I128" s="1796">
        <f t="shared" si="43"/>
        <v>0</v>
      </c>
      <c r="J128" s="1796">
        <f t="shared" si="43"/>
        <v>0</v>
      </c>
      <c r="K128" s="1796">
        <f t="shared" si="43"/>
        <v>0</v>
      </c>
      <c r="L128" s="1958">
        <f t="shared" si="43"/>
        <v>0</v>
      </c>
      <c r="M128" s="101"/>
      <c r="N128" s="6"/>
      <c r="O128" s="10"/>
      <c r="P128" s="10"/>
      <c r="Q128" s="10"/>
      <c r="R128" s="10"/>
      <c r="S128" s="10"/>
      <c r="T128" s="10"/>
      <c r="U128" s="10"/>
      <c r="V128" s="10"/>
      <c r="W128" s="10"/>
      <c r="X128" s="10"/>
      <c r="Y128" s="10"/>
      <c r="Z128" s="10"/>
      <c r="AA128" s="10"/>
      <c r="AB128" s="10"/>
      <c r="AC128" s="10"/>
      <c r="AD128" s="10"/>
    </row>
    <row r="129" spans="1:30" ht="14.25" customHeight="1" x14ac:dyDescent="0.25">
      <c r="A129" s="972">
        <f>IF(A128=2,2,0)</f>
        <v>2</v>
      </c>
      <c r="B129" s="16"/>
      <c r="C129" s="130"/>
      <c r="D129" s="1720"/>
      <c r="E129" s="802"/>
      <c r="F129" s="1120" t="s">
        <v>166</v>
      </c>
      <c r="G129" s="1793"/>
      <c r="H129" s="1793"/>
      <c r="I129" s="1793"/>
      <c r="J129" s="1793"/>
      <c r="K129" s="1793"/>
      <c r="L129" s="1955"/>
      <c r="M129" s="101"/>
      <c r="N129" s="6"/>
      <c r="O129" s="10"/>
      <c r="P129" s="10"/>
      <c r="Q129" s="10"/>
      <c r="R129" s="10"/>
      <c r="S129" s="10"/>
      <c r="T129" s="10"/>
      <c r="U129" s="10"/>
      <c r="V129" s="10"/>
      <c r="W129" s="10"/>
      <c r="X129" s="10"/>
      <c r="Y129" s="10"/>
      <c r="Z129" s="10"/>
      <c r="AA129" s="10"/>
      <c r="AB129" s="10"/>
      <c r="AC129" s="10"/>
      <c r="AD129" s="10"/>
    </row>
    <row r="130" spans="1:30" ht="14.25" customHeight="1" x14ac:dyDescent="0.25">
      <c r="A130" s="972">
        <f>IF(A129=2,2,0)</f>
        <v>2</v>
      </c>
      <c r="B130" s="16"/>
      <c r="C130" s="130"/>
      <c r="D130" s="1720"/>
      <c r="E130" s="802"/>
      <c r="F130" s="1120" t="s">
        <v>167</v>
      </c>
      <c r="G130" s="1794"/>
      <c r="H130" s="1794"/>
      <c r="I130" s="1794"/>
      <c r="J130" s="1794"/>
      <c r="K130" s="1794"/>
      <c r="L130" s="1956"/>
      <c r="M130" s="101"/>
      <c r="N130" s="6"/>
      <c r="O130" s="10"/>
      <c r="P130" s="10"/>
      <c r="Q130" s="10"/>
      <c r="R130" s="10"/>
      <c r="S130" s="10"/>
      <c r="T130" s="10"/>
      <c r="U130" s="10"/>
      <c r="V130" s="10"/>
      <c r="W130" s="10"/>
      <c r="X130" s="10"/>
      <c r="Y130" s="10"/>
      <c r="Z130" s="10"/>
      <c r="AA130" s="10"/>
      <c r="AB130" s="10"/>
      <c r="AC130" s="10"/>
      <c r="AD130" s="10"/>
    </row>
    <row r="131" spans="1:30" ht="14.25" customHeight="1" x14ac:dyDescent="0.25">
      <c r="A131" s="972">
        <f>IF(A130=2,2,0)</f>
        <v>2</v>
      </c>
      <c r="B131" s="16"/>
      <c r="C131" s="130"/>
      <c r="D131" s="520"/>
      <c r="E131" s="802"/>
      <c r="F131" s="1120" t="s">
        <v>710</v>
      </c>
      <c r="G131" s="1791"/>
      <c r="H131" s="1791"/>
      <c r="I131" s="1791"/>
      <c r="J131" s="1791"/>
      <c r="K131" s="1791"/>
      <c r="L131" s="1953"/>
      <c r="M131" s="101"/>
      <c r="N131" s="6"/>
      <c r="O131" s="10"/>
      <c r="P131" s="10"/>
      <c r="Q131" s="10"/>
      <c r="R131" s="10"/>
      <c r="S131" s="10"/>
      <c r="T131" s="10"/>
      <c r="U131" s="10"/>
      <c r="V131" s="10"/>
      <c r="W131" s="10"/>
      <c r="X131" s="10"/>
      <c r="Y131" s="10"/>
      <c r="Z131" s="10"/>
      <c r="AA131" s="10"/>
      <c r="AB131" s="10"/>
      <c r="AC131" s="10"/>
      <c r="AD131" s="10"/>
    </row>
    <row r="132" spans="1:30" ht="8.1" customHeight="1" x14ac:dyDescent="0.25">
      <c r="A132" s="972">
        <f>A134</f>
        <v>2</v>
      </c>
      <c r="B132" s="16"/>
      <c r="C132" s="130"/>
      <c r="D132" s="520"/>
      <c r="E132" s="802"/>
      <c r="F132" s="802"/>
      <c r="G132" s="1797">
        <f t="shared" ref="G132:L132" si="44">IF(AND(G135=0,G136=0,G137=0),0,IF(G135&lt;&gt;0,G135,IF(G136&lt;&gt;0,IF(dpUnit_Sales_1="Net Rentable Area",(G136/G$12)/G$54,(G136/G$13)/G$54),IF(dpUnit_Sales_1="Net Rentable Area",G137/G$54,G137/G$54))))</f>
        <v>0</v>
      </c>
      <c r="H132" s="1797">
        <f t="shared" si="44"/>
        <v>0</v>
      </c>
      <c r="I132" s="1797">
        <f t="shared" si="44"/>
        <v>0</v>
      </c>
      <c r="J132" s="1797">
        <f t="shared" si="44"/>
        <v>0</v>
      </c>
      <c r="K132" s="1797">
        <f t="shared" si="44"/>
        <v>0</v>
      </c>
      <c r="L132" s="1959">
        <f t="shared" si="44"/>
        <v>0</v>
      </c>
      <c r="M132" s="101"/>
      <c r="N132" s="6"/>
      <c r="O132" s="10"/>
      <c r="P132" s="10"/>
      <c r="Q132" s="10"/>
      <c r="R132" s="10"/>
      <c r="S132" s="10"/>
      <c r="T132" s="10"/>
      <c r="U132" s="10"/>
      <c r="V132" s="10"/>
      <c r="W132" s="10"/>
      <c r="X132" s="10"/>
      <c r="Y132" s="10"/>
      <c r="Z132" s="10"/>
      <c r="AA132" s="10"/>
      <c r="AB132" s="10"/>
      <c r="AC132" s="10"/>
      <c r="AD132" s="10"/>
    </row>
    <row r="133" spans="1:30" x14ac:dyDescent="0.25">
      <c r="A133" s="972">
        <f>A134</f>
        <v>2</v>
      </c>
      <c r="B133" s="575"/>
      <c r="C133" s="130"/>
      <c r="D133" s="1493" t="s">
        <v>103</v>
      </c>
      <c r="E133" s="802"/>
      <c r="F133" s="1170"/>
      <c r="G133" s="1897"/>
      <c r="H133" s="1897"/>
      <c r="I133" s="1897"/>
      <c r="J133" s="1897"/>
      <c r="K133" s="1897"/>
      <c r="L133" s="1989"/>
      <c r="M133" s="765"/>
      <c r="N133" s="6"/>
      <c r="O133" s="10"/>
      <c r="P133" s="10"/>
      <c r="Q133" s="10"/>
      <c r="R133" s="10"/>
      <c r="S133" s="10"/>
      <c r="T133" s="10"/>
      <c r="U133" s="10"/>
      <c r="V133" s="10"/>
      <c r="W133" s="10"/>
      <c r="X133" s="10"/>
      <c r="Y133" s="10"/>
      <c r="Z133" s="10"/>
      <c r="AA133" s="10"/>
      <c r="AB133" s="10"/>
      <c r="AC133" s="10"/>
      <c r="AD133" s="10"/>
    </row>
    <row r="134" spans="1:30" ht="15" customHeight="1" x14ac:dyDescent="0.25">
      <c r="A134" s="972">
        <f>IF(B134=TRUE,1,2)</f>
        <v>2</v>
      </c>
      <c r="B134" s="16" t="b">
        <v>0</v>
      </c>
      <c r="C134" s="130"/>
      <c r="D134" s="1490" t="str">
        <f>IF(Sales_AdjType&lt;&gt;"Qualitative","Adjustment","Relative Comparison")</f>
        <v>Adjustment</v>
      </c>
      <c r="E134" s="802"/>
      <c r="F134" s="1127"/>
      <c r="G134" s="1796">
        <f t="shared" ref="G134:L134" si="45">IF(Sales_AdjType_1="Percent",IF(AND(G135=0,G136=0,G137=0),0,IF(G135&lt;&gt;0,G135,IF(G136&lt;&gt;0,IF(Sales_AdjType_1="Net Rentable Area",(G136/G$12)/G$54,(G136/G$13)/G$54),IF(Sales_AdjType_1="Net Rentable Area",G137/G$54,G137/G$54)))),IF(Sales_AdjType_1="$ per Unit",IF(AND(G135=0,G136=0,G137=0),0,IF(G135&lt;&gt;0,G135*G$54,IF(G136&lt;&gt;0,IF(Sales_AdjType_1="Net Rentable Area",G136/G$12,G136/G$13),G137))),IF(OR(G135&gt;0,G136&gt;0,G137&gt;0),"Inferior",IF(OR(G135&lt;0,G136&lt;0,G137&lt;0),"Superior","Similar"))))</f>
        <v>0</v>
      </c>
      <c r="H134" s="1796">
        <f t="shared" si="45"/>
        <v>0</v>
      </c>
      <c r="I134" s="1796">
        <f t="shared" si="45"/>
        <v>0</v>
      </c>
      <c r="J134" s="1796">
        <f t="shared" si="45"/>
        <v>0</v>
      </c>
      <c r="K134" s="1796">
        <f t="shared" si="45"/>
        <v>0</v>
      </c>
      <c r="L134" s="1958">
        <f t="shared" si="45"/>
        <v>0</v>
      </c>
      <c r="M134" s="1194"/>
      <c r="N134" s="6"/>
      <c r="O134" s="10"/>
      <c r="P134" s="10"/>
      <c r="Q134" s="10"/>
      <c r="R134" s="10"/>
      <c r="S134" s="10"/>
      <c r="T134" s="10"/>
      <c r="U134" s="10"/>
      <c r="V134" s="10"/>
      <c r="W134" s="10"/>
      <c r="X134" s="10"/>
      <c r="Y134" s="10"/>
      <c r="Z134" s="10"/>
      <c r="AA134" s="10"/>
      <c r="AB134" s="10"/>
      <c r="AC134" s="10"/>
      <c r="AD134" s="10"/>
    </row>
    <row r="135" spans="1:30" ht="15" customHeight="1" x14ac:dyDescent="0.25">
      <c r="A135" s="972">
        <f>IF(A134=2,2,0)</f>
        <v>2</v>
      </c>
      <c r="B135" s="575"/>
      <c r="C135" s="130"/>
      <c r="D135" s="520"/>
      <c r="E135" s="802"/>
      <c r="F135" s="1120" t="s">
        <v>166</v>
      </c>
      <c r="G135" s="1793"/>
      <c r="H135" s="1793"/>
      <c r="I135" s="1793"/>
      <c r="J135" s="1793"/>
      <c r="K135" s="1793"/>
      <c r="L135" s="1955"/>
      <c r="M135" s="136"/>
      <c r="N135" s="6"/>
      <c r="O135" s="10"/>
      <c r="P135" s="10"/>
      <c r="Q135" s="10"/>
      <c r="R135" s="10"/>
      <c r="S135" s="10"/>
      <c r="T135" s="10"/>
      <c r="U135" s="10"/>
      <c r="V135" s="10"/>
      <c r="W135" s="10"/>
      <c r="X135" s="10"/>
      <c r="Y135" s="10"/>
      <c r="Z135" s="10"/>
      <c r="AA135" s="10"/>
      <c r="AB135" s="10"/>
      <c r="AC135" s="10"/>
      <c r="AD135" s="10"/>
    </row>
    <row r="136" spans="1:30" ht="15" customHeight="1" x14ac:dyDescent="0.25">
      <c r="A136" s="972">
        <f>IF(A135=2,2,0)</f>
        <v>2</v>
      </c>
      <c r="B136" s="575"/>
      <c r="C136" s="130"/>
      <c r="D136" s="1720"/>
      <c r="E136" s="802"/>
      <c r="F136" s="1120" t="s">
        <v>167</v>
      </c>
      <c r="G136" s="1794"/>
      <c r="H136" s="1794"/>
      <c r="I136" s="1794"/>
      <c r="J136" s="1794"/>
      <c r="K136" s="1794"/>
      <c r="L136" s="1956"/>
      <c r="M136" s="1152"/>
      <c r="N136" s="6"/>
      <c r="O136" s="10"/>
      <c r="P136" s="10"/>
      <c r="Q136" s="10"/>
      <c r="R136" s="10"/>
      <c r="S136" s="10"/>
      <c r="T136" s="10"/>
      <c r="U136" s="10"/>
      <c r="V136" s="10"/>
      <c r="W136" s="10"/>
      <c r="X136" s="10"/>
      <c r="Y136" s="10"/>
      <c r="Z136" s="10"/>
      <c r="AA136" s="10"/>
      <c r="AB136" s="10"/>
      <c r="AC136" s="10"/>
      <c r="AD136" s="10"/>
    </row>
    <row r="137" spans="1:30" ht="15" customHeight="1" x14ac:dyDescent="0.25">
      <c r="A137" s="972">
        <f>IF(A136=2,2,0)</f>
        <v>2</v>
      </c>
      <c r="B137" s="575"/>
      <c r="C137" s="130"/>
      <c r="D137" s="520"/>
      <c r="E137" s="802"/>
      <c r="F137" s="1120" t="s">
        <v>710</v>
      </c>
      <c r="G137" s="1791"/>
      <c r="H137" s="1791"/>
      <c r="I137" s="1791"/>
      <c r="J137" s="1791"/>
      <c r="K137" s="1791"/>
      <c r="L137" s="1953"/>
      <c r="M137" s="1153"/>
      <c r="N137" s="6"/>
      <c r="O137" s="10"/>
      <c r="P137" s="10"/>
      <c r="Q137" s="10"/>
      <c r="R137" s="10"/>
      <c r="S137" s="10"/>
      <c r="T137" s="10"/>
      <c r="U137" s="10"/>
      <c r="V137" s="10"/>
      <c r="W137" s="10"/>
      <c r="X137" s="10"/>
      <c r="Y137" s="10"/>
      <c r="Z137" s="10"/>
      <c r="AA137" s="10"/>
      <c r="AB137" s="10"/>
      <c r="AC137" s="10"/>
      <c r="AD137" s="10"/>
    </row>
    <row r="138" spans="1:30" ht="7.5" customHeight="1" x14ac:dyDescent="0.25">
      <c r="A138" s="972">
        <f>A140</f>
        <v>2</v>
      </c>
      <c r="B138" s="16"/>
      <c r="C138" s="130"/>
      <c r="D138" s="520"/>
      <c r="E138" s="802"/>
      <c r="F138" s="1127"/>
      <c r="G138" s="1797">
        <f t="shared" ref="G138:L138" si="46">IF(AND(G141=0,G142=0,G143=0),0,IF(G141&lt;&gt;0,G141,IF(G142&lt;&gt;0,IF(dpUnit_Sales_1="Net Rentable Area",(G142/G$12)/G$54,(G142/G$13)/G$54),IF(dpUnit_Sales_1="Net Rentable Area",G143/G$54,G143/G$54))))</f>
        <v>0</v>
      </c>
      <c r="H138" s="1797">
        <f t="shared" si="46"/>
        <v>0</v>
      </c>
      <c r="I138" s="1797">
        <f t="shared" si="46"/>
        <v>0</v>
      </c>
      <c r="J138" s="1797">
        <f t="shared" si="46"/>
        <v>0</v>
      </c>
      <c r="K138" s="1797">
        <f t="shared" si="46"/>
        <v>0</v>
      </c>
      <c r="L138" s="1959">
        <f t="shared" si="46"/>
        <v>0</v>
      </c>
      <c r="M138" s="101"/>
      <c r="N138" s="6"/>
      <c r="O138" s="10"/>
      <c r="P138" s="10"/>
      <c r="Q138" s="10"/>
      <c r="R138" s="10"/>
      <c r="S138" s="10"/>
      <c r="T138" s="10"/>
      <c r="U138" s="10"/>
      <c r="V138" s="10"/>
      <c r="W138" s="10"/>
      <c r="X138" s="10"/>
      <c r="Y138" s="10"/>
      <c r="Z138" s="10"/>
      <c r="AA138" s="10"/>
      <c r="AB138" s="10"/>
      <c r="AC138" s="10"/>
      <c r="AD138" s="10"/>
    </row>
    <row r="139" spans="1:30" x14ac:dyDescent="0.25">
      <c r="A139" s="972">
        <f>A140</f>
        <v>2</v>
      </c>
      <c r="B139" s="575"/>
      <c r="C139" s="130"/>
      <c r="D139" s="1493" t="s">
        <v>104</v>
      </c>
      <c r="E139" s="802"/>
      <c r="F139" s="1170"/>
      <c r="G139" s="1799"/>
      <c r="H139" s="1831"/>
      <c r="I139" s="1799"/>
      <c r="J139" s="1799"/>
      <c r="K139" s="1799"/>
      <c r="L139" s="1961"/>
      <c r="M139" s="765"/>
      <c r="N139" s="6"/>
      <c r="O139" s="10"/>
      <c r="P139" s="10"/>
      <c r="Q139" s="10"/>
      <c r="R139" s="10"/>
      <c r="S139" s="10"/>
      <c r="T139" s="10"/>
      <c r="U139" s="10"/>
      <c r="V139" s="10"/>
      <c r="W139" s="10"/>
      <c r="X139" s="10"/>
      <c r="Y139" s="10"/>
      <c r="Z139" s="10"/>
      <c r="AA139" s="10"/>
      <c r="AB139" s="10"/>
      <c r="AC139" s="10"/>
      <c r="AD139" s="10"/>
    </row>
    <row r="140" spans="1:30" ht="15" customHeight="1" x14ac:dyDescent="0.25">
      <c r="A140" s="972">
        <f>IF(B140=TRUE,1,2)</f>
        <v>2</v>
      </c>
      <c r="B140" s="16" t="b">
        <v>0</v>
      </c>
      <c r="C140" s="130"/>
      <c r="D140" s="1490" t="str">
        <f>IF(Sales_AdjType&lt;&gt;"Qualitative","Adjustment","Relative Comparison")</f>
        <v>Adjustment</v>
      </c>
      <c r="E140" s="802"/>
      <c r="F140" s="1127"/>
      <c r="G140" s="1796">
        <f t="shared" ref="G140:L140" si="47">IF(Sales_AdjType_1="Percent",IF(AND(G141=0,G142=0,G143=0),0,IF(G141&lt;&gt;0,G141,IF(G142&lt;&gt;0,IF(Sales_AdjType_1="Net Rentable Area",(G142/G$12)/G$54,(G142/G$13)/G$54),IF(Sales_AdjType_1="Net Rentable Area",G143/G$54,G143/G$54)))),IF(Sales_AdjType_1="$ per Unit",IF(AND(G141=0,G142=0,G143=0),0,IF(G141&lt;&gt;0,G141*G$54,IF(G142&lt;&gt;0,IF(Sales_AdjType_1="Net Rentable Area",G142/G$12,G142/G$13),G143))),IF(OR(G141&gt;0,G142&gt;0,G143&gt;0),"Inferior",IF(OR(G141&lt;0,G142&lt;0,G143&lt;0),"Superior","Similar"))))</f>
        <v>0</v>
      </c>
      <c r="H140" s="1796">
        <f t="shared" si="47"/>
        <v>0</v>
      </c>
      <c r="I140" s="1796">
        <f t="shared" si="47"/>
        <v>0</v>
      </c>
      <c r="J140" s="1796">
        <f t="shared" si="47"/>
        <v>0</v>
      </c>
      <c r="K140" s="1796">
        <f t="shared" si="47"/>
        <v>0</v>
      </c>
      <c r="L140" s="1958">
        <f t="shared" si="47"/>
        <v>0</v>
      </c>
      <c r="M140" s="1194"/>
      <c r="N140" s="6"/>
      <c r="O140" s="10"/>
      <c r="P140" s="10"/>
      <c r="Q140" s="10"/>
      <c r="R140" s="10"/>
      <c r="S140" s="10"/>
      <c r="T140" s="10"/>
      <c r="U140" s="10"/>
      <c r="V140" s="10"/>
      <c r="W140" s="10"/>
      <c r="X140" s="10"/>
      <c r="Y140" s="10"/>
      <c r="Z140" s="10"/>
      <c r="AA140" s="10"/>
      <c r="AB140" s="10"/>
      <c r="AC140" s="10"/>
      <c r="AD140" s="10"/>
    </row>
    <row r="141" spans="1:30" ht="15" customHeight="1" x14ac:dyDescent="0.25">
      <c r="A141" s="972">
        <f>IF(A140=2,2,0)</f>
        <v>2</v>
      </c>
      <c r="B141" s="575"/>
      <c r="C141" s="130"/>
      <c r="D141" s="520"/>
      <c r="E141" s="802"/>
      <c r="F141" s="1120" t="s">
        <v>166</v>
      </c>
      <c r="G141" s="1793"/>
      <c r="H141" s="1793"/>
      <c r="I141" s="1793"/>
      <c r="J141" s="1793"/>
      <c r="K141" s="1793"/>
      <c r="L141" s="1955"/>
      <c r="M141" s="136"/>
      <c r="N141" s="6"/>
      <c r="O141" s="10"/>
      <c r="P141" s="10"/>
      <c r="Q141" s="10"/>
      <c r="R141" s="10"/>
      <c r="S141" s="10"/>
      <c r="T141" s="10"/>
      <c r="U141" s="10"/>
      <c r="V141" s="10"/>
      <c r="W141" s="10"/>
      <c r="X141" s="10"/>
      <c r="Y141" s="10"/>
      <c r="Z141" s="10"/>
      <c r="AA141" s="10"/>
      <c r="AB141" s="10"/>
      <c r="AC141" s="10"/>
      <c r="AD141" s="10"/>
    </row>
    <row r="142" spans="1:30" ht="15" customHeight="1" x14ac:dyDescent="0.25">
      <c r="A142" s="972">
        <f>IF(A141=2,2,0)</f>
        <v>2</v>
      </c>
      <c r="B142" s="575"/>
      <c r="C142" s="130"/>
      <c r="D142" s="1720"/>
      <c r="E142" s="802"/>
      <c r="F142" s="1120" t="s">
        <v>167</v>
      </c>
      <c r="G142" s="1794"/>
      <c r="H142" s="1794"/>
      <c r="I142" s="1794"/>
      <c r="J142" s="1794"/>
      <c r="K142" s="1794"/>
      <c r="L142" s="1956"/>
      <c r="M142" s="1152"/>
      <c r="N142" s="6"/>
      <c r="O142" s="10"/>
      <c r="P142" s="10"/>
      <c r="Q142" s="10"/>
      <c r="R142" s="10"/>
      <c r="S142" s="10"/>
      <c r="T142" s="10"/>
      <c r="U142" s="10"/>
      <c r="V142" s="10"/>
      <c r="W142" s="10"/>
      <c r="X142" s="10"/>
      <c r="Y142" s="10"/>
      <c r="Z142" s="10"/>
      <c r="AA142" s="10"/>
      <c r="AB142" s="10"/>
      <c r="AC142" s="10"/>
      <c r="AD142" s="10"/>
    </row>
    <row r="143" spans="1:30" ht="15" customHeight="1" x14ac:dyDescent="0.25">
      <c r="A143" s="972">
        <f>IF(A142=2,2,0)</f>
        <v>2</v>
      </c>
      <c r="B143" s="16"/>
      <c r="C143" s="130"/>
      <c r="D143" s="520"/>
      <c r="E143" s="802"/>
      <c r="F143" s="1120" t="s">
        <v>710</v>
      </c>
      <c r="G143" s="1791"/>
      <c r="H143" s="1791"/>
      <c r="I143" s="1791"/>
      <c r="J143" s="1791"/>
      <c r="K143" s="1791"/>
      <c r="L143" s="1953"/>
      <c r="M143" s="1153"/>
      <c r="N143" s="6"/>
      <c r="O143" s="10"/>
      <c r="P143" s="10"/>
      <c r="Q143" s="10"/>
      <c r="R143" s="10"/>
      <c r="S143" s="10"/>
      <c r="T143" s="10"/>
      <c r="U143" s="10"/>
      <c r="V143" s="10"/>
      <c r="W143" s="10"/>
      <c r="X143" s="10"/>
      <c r="Y143" s="10"/>
      <c r="Z143" s="10"/>
      <c r="AA143" s="10"/>
      <c r="AB143" s="10"/>
      <c r="AC143" s="10"/>
      <c r="AD143" s="10"/>
    </row>
    <row r="144" spans="1:30" ht="15" customHeight="1" x14ac:dyDescent="0.25">
      <c r="A144" s="972">
        <f>IF(Sales_AdjType_1="Qualitative",0,1)</f>
        <v>1</v>
      </c>
      <c r="B144" s="16"/>
      <c r="C144" s="130"/>
      <c r="D144" s="1490" t="str">
        <f>IF(Sales_AdjType&lt;&gt;"Qualitative","Net Physical Adjustment","Net Relative Comparison")</f>
        <v>Net Physical Adjustment</v>
      </c>
      <c r="E144" s="101"/>
      <c r="F144" s="765"/>
      <c r="G144" s="1898">
        <f t="shared" ref="G144:L144" si="48">IF(Sales_AdjType_1&lt;&gt;"Qualitative",SUM(G59,G65,G77,G86,G92,G98,G104,G110,G116,G123,G128,G134,G140),SUM(G55,G63,G69,G81,G90,G96,G102,G108,G114,G120,G126,G132,G138))</f>
        <v>0</v>
      </c>
      <c r="H144" s="1898">
        <f t="shared" si="48"/>
        <v>0</v>
      </c>
      <c r="I144" s="1898">
        <f t="shared" si="48"/>
        <v>0</v>
      </c>
      <c r="J144" s="1898">
        <f t="shared" si="48"/>
        <v>0</v>
      </c>
      <c r="K144" s="1898">
        <f t="shared" si="48"/>
        <v>0</v>
      </c>
      <c r="L144" s="1990">
        <f t="shared" si="48"/>
        <v>0</v>
      </c>
      <c r="M144" s="1194"/>
      <c r="N144" s="6"/>
      <c r="O144" s="10"/>
      <c r="P144" s="10"/>
      <c r="Q144" s="10"/>
      <c r="R144" s="10"/>
      <c r="S144" s="10"/>
      <c r="T144" s="10"/>
      <c r="U144" s="10"/>
      <c r="V144" s="10"/>
      <c r="W144" s="10"/>
      <c r="X144" s="10"/>
      <c r="Y144" s="10"/>
      <c r="Z144" s="10"/>
      <c r="AA144" s="10"/>
      <c r="AB144" s="10"/>
      <c r="AC144" s="10"/>
      <c r="AD144" s="10"/>
    </row>
    <row r="145" spans="1:30" ht="15" customHeight="1" x14ac:dyDescent="0.25">
      <c r="A145" s="707">
        <v>1</v>
      </c>
      <c r="B145" s="4"/>
      <c r="C145" s="101"/>
      <c r="D145" s="520" t="str">
        <f>IF(Sales_AdjType&lt;&gt;"Qualitative","Gross Physical Adjustment","Gross Relative Comparison")</f>
        <v>Gross Physical Adjustment</v>
      </c>
      <c r="E145" s="101"/>
      <c r="F145" s="101"/>
      <c r="G145" s="1899">
        <f t="shared" ref="G145:L145" si="49">IF(Sales_AdjType_1&lt;&gt;"Qualitative",SUM(ABS(G59),ABS(G65),ABS(G77),ABS(G86),ABS(G92),ABS(G98),ABS(G104),ABS(G110),ABS(G116),ABS(G122),ABS(G128),ABS(G134),ABS(G140)),SUM(ABS(G55),ABS(G63),ABS(G69),ABS(G81),ABS(G90),ABS(G96),ABS(G102),ABS(G108),ABS(G114),ABS(G120),ABS(G126),ABS(G132),ABS(G138)))</f>
        <v>0</v>
      </c>
      <c r="H145" s="1899">
        <f t="shared" si="49"/>
        <v>0</v>
      </c>
      <c r="I145" s="1899">
        <f t="shared" si="49"/>
        <v>0</v>
      </c>
      <c r="J145" s="1899">
        <f t="shared" si="49"/>
        <v>0</v>
      </c>
      <c r="K145" s="1899">
        <f t="shared" si="49"/>
        <v>0</v>
      </c>
      <c r="L145" s="1991">
        <f t="shared" si="49"/>
        <v>0</v>
      </c>
      <c r="M145" s="101"/>
      <c r="N145" s="6"/>
      <c r="O145" s="10"/>
      <c r="P145" s="10"/>
      <c r="Q145" s="10"/>
      <c r="R145" s="10"/>
      <c r="S145" s="10"/>
      <c r="T145" s="10"/>
      <c r="U145" s="10"/>
      <c r="V145" s="10"/>
      <c r="W145" s="10"/>
      <c r="X145" s="10"/>
      <c r="Y145" s="10"/>
      <c r="Z145" s="10"/>
      <c r="AA145" s="10"/>
      <c r="AB145" s="10"/>
      <c r="AC145" s="10"/>
      <c r="AD145" s="10"/>
    </row>
    <row r="146" spans="1:30" ht="14.25" customHeight="1" x14ac:dyDescent="0.25">
      <c r="A146" s="972">
        <f>IF(Sales_AdjType_1="Qualitative",1,2)</f>
        <v>2</v>
      </c>
      <c r="B146" s="16"/>
      <c r="C146" s="130"/>
      <c r="D146" s="1494" t="s">
        <v>1128</v>
      </c>
      <c r="E146" s="138"/>
      <c r="F146" s="1526"/>
      <c r="G146" s="1805" t="str">
        <f t="shared" ref="G146:L146" si="50">IF(G144&gt;0,"Inferior",IF(G144&lt;0,"Superior","Similar"))</f>
        <v>Similar</v>
      </c>
      <c r="H146" s="1805" t="str">
        <f t="shared" si="50"/>
        <v>Similar</v>
      </c>
      <c r="I146" s="1805" t="str">
        <f t="shared" si="50"/>
        <v>Similar</v>
      </c>
      <c r="J146" s="1805" t="str">
        <f t="shared" si="50"/>
        <v>Similar</v>
      </c>
      <c r="K146" s="1805" t="str">
        <f t="shared" si="50"/>
        <v>Similar</v>
      </c>
      <c r="L146" s="1967" t="str">
        <f t="shared" si="50"/>
        <v>Similar</v>
      </c>
      <c r="M146" s="1194"/>
      <c r="N146" s="6"/>
      <c r="O146" s="10"/>
      <c r="P146" s="10"/>
      <c r="Q146" s="10"/>
      <c r="R146" s="10"/>
      <c r="S146" s="10"/>
      <c r="T146" s="10"/>
      <c r="U146" s="10"/>
      <c r="V146" s="10"/>
      <c r="W146" s="10"/>
      <c r="X146" s="10"/>
      <c r="Y146" s="10"/>
      <c r="Z146" s="10"/>
      <c r="AA146" s="10"/>
      <c r="AB146" s="10"/>
      <c r="AC146" s="10"/>
      <c r="AD146" s="10"/>
    </row>
    <row r="147" spans="1:30" ht="20.100000000000001" customHeight="1" thickBot="1" x14ac:dyDescent="0.3">
      <c r="A147" s="957">
        <f>IF(Sales_AdjType_1="Qualitative",0,1)</f>
        <v>1</v>
      </c>
      <c r="B147" s="16"/>
      <c r="C147" s="130"/>
      <c r="D147" s="1725" t="str">
        <f>IF(dpSale_Method="Whole Property",IF(dpUnit_Sales="Net Rentable Area","Adjusted Sales Price PSF of NRA",IF(dpUnit_Sales="Gross Building Area","Adjusted Sales Price PSF of GBA","Adjusted Sales Price per Unit")),IF(dpUnit_Sales="Net Rentable Area","Adjusted Contributory Value of Imp. PSF of NRA",IF(dpUnit_Sales="Gross Building Area","Adjusted Contributory Value of Imp. PSF of GBA","Adjusted Contributory Value of Imp. per Unit")))</f>
        <v>Adjusted Sales Price PSF of NRA</v>
      </c>
      <c r="E147" s="139"/>
      <c r="F147" s="139"/>
      <c r="G147" s="1900" t="e">
        <f t="shared" ref="G147:L147" si="51">IF(Sales_AdjType_1="Percent",G54*(1+G144),IF(Sales_AdjType_1="$ per Unit",G54+G144,""))</f>
        <v>#DIV/0!</v>
      </c>
      <c r="H147" s="1900" t="e">
        <f t="shared" si="51"/>
        <v>#DIV/0!</v>
      </c>
      <c r="I147" s="1900" t="e">
        <f t="shared" si="51"/>
        <v>#DIV/0!</v>
      </c>
      <c r="J147" s="1900" t="e">
        <f t="shared" si="51"/>
        <v>#DIV/0!</v>
      </c>
      <c r="K147" s="1900" t="e">
        <f t="shared" si="51"/>
        <v>#DIV/0!</v>
      </c>
      <c r="L147" s="1992" t="e">
        <f t="shared" si="51"/>
        <v>#DIV/0!</v>
      </c>
      <c r="M147" s="101"/>
      <c r="N147" s="6"/>
      <c r="O147" s="10"/>
      <c r="P147" s="10"/>
      <c r="Q147" s="10"/>
      <c r="R147" s="10"/>
      <c r="S147" s="10"/>
      <c r="T147" s="10"/>
      <c r="U147" s="10"/>
      <c r="V147" s="10"/>
      <c r="W147" s="10"/>
      <c r="X147" s="10"/>
      <c r="Y147" s="10"/>
      <c r="Z147" s="10"/>
      <c r="AA147" s="10"/>
      <c r="AB147" s="10"/>
      <c r="AC147" s="10"/>
      <c r="AD147" s="10"/>
    </row>
    <row r="148" spans="1:30" ht="14.25" customHeight="1" thickBot="1" x14ac:dyDescent="0.3">
      <c r="A148" s="972">
        <v>1</v>
      </c>
      <c r="B148" s="95"/>
      <c r="C148" s="7"/>
      <c r="D148" s="553" t="s">
        <v>1596</v>
      </c>
      <c r="E148" s="7"/>
      <c r="F148" s="7"/>
      <c r="G148" s="1901"/>
      <c r="H148" s="1901"/>
      <c r="I148" s="1901"/>
      <c r="J148" s="1901"/>
      <c r="K148" s="1901"/>
      <c r="L148" s="1993"/>
      <c r="M148" s="7"/>
      <c r="N148" s="9"/>
      <c r="O148" s="10"/>
      <c r="P148" s="10"/>
      <c r="Q148" s="10"/>
      <c r="R148" s="10"/>
      <c r="S148" s="10"/>
      <c r="T148" s="10"/>
      <c r="U148" s="10"/>
      <c r="V148" s="10"/>
      <c r="W148" s="10"/>
      <c r="X148" s="10"/>
      <c r="Y148" s="10"/>
      <c r="Z148" s="10"/>
      <c r="AA148" s="10"/>
      <c r="AB148" s="10"/>
      <c r="AC148" s="10"/>
      <c r="AD148" s="10"/>
    </row>
    <row r="149" spans="1:30" ht="9.9499999999999993" customHeight="1" thickBot="1" x14ac:dyDescent="0.3">
      <c r="A149" s="972">
        <v>1</v>
      </c>
      <c r="B149" s="10"/>
      <c r="C149" s="10"/>
      <c r="D149" s="10"/>
      <c r="E149" s="10"/>
      <c r="F149" s="10"/>
      <c r="G149" s="1774"/>
      <c r="H149" s="1774"/>
      <c r="I149" s="1774"/>
      <c r="J149" s="1774"/>
      <c r="K149" s="1774"/>
      <c r="L149" s="1943"/>
      <c r="M149" s="10"/>
      <c r="N149" s="10"/>
      <c r="O149" s="10"/>
      <c r="P149" s="10"/>
      <c r="Q149" s="10"/>
      <c r="R149" s="10"/>
      <c r="S149" s="10"/>
      <c r="T149" s="10"/>
      <c r="U149" s="10"/>
      <c r="V149" s="10"/>
      <c r="W149" s="10"/>
      <c r="X149" s="10"/>
      <c r="Y149" s="10"/>
      <c r="Z149" s="10"/>
      <c r="AA149" s="10"/>
      <c r="AB149" s="10"/>
      <c r="AC149" s="10"/>
      <c r="AD149" s="10"/>
    </row>
    <row r="150" spans="1:30" ht="15" customHeight="1" x14ac:dyDescent="0.25">
      <c r="A150" s="972">
        <v>1</v>
      </c>
      <c r="B150" s="10"/>
      <c r="C150" s="10"/>
      <c r="D150" s="10"/>
      <c r="E150" s="10"/>
      <c r="F150" s="10"/>
      <c r="G150" s="1902"/>
      <c r="H150" s="1774"/>
      <c r="I150" s="1774"/>
      <c r="J150" s="1774"/>
      <c r="K150" s="1774"/>
      <c r="L150" s="1943"/>
      <c r="M150" s="10"/>
      <c r="N150" s="10"/>
      <c r="O150" s="10"/>
      <c r="P150" s="561"/>
      <c r="Q150" s="562"/>
      <c r="R150" s="562"/>
      <c r="S150" s="562"/>
      <c r="T150" s="2"/>
      <c r="U150" s="2"/>
      <c r="V150" s="2"/>
      <c r="W150" s="2"/>
      <c r="X150" s="2"/>
      <c r="Y150" s="2"/>
      <c r="Z150" s="3"/>
      <c r="AA150" s="10"/>
      <c r="AB150" s="10"/>
      <c r="AC150" s="10"/>
      <c r="AD150" s="10"/>
    </row>
    <row r="151" spans="1:30" ht="15" customHeight="1" x14ac:dyDescent="0.3">
      <c r="A151" s="972">
        <v>1</v>
      </c>
      <c r="B151" s="10"/>
      <c r="C151" s="10"/>
      <c r="D151" s="10"/>
      <c r="E151" s="10"/>
      <c r="F151" s="10"/>
      <c r="G151" s="1774"/>
      <c r="H151" s="1774"/>
      <c r="I151" s="1774"/>
      <c r="J151" s="1774"/>
      <c r="K151" s="1774"/>
      <c r="L151" s="1943"/>
      <c r="M151" s="10"/>
      <c r="N151" s="10"/>
      <c r="O151" s="10"/>
      <c r="P151" s="567"/>
      <c r="Q151" s="246"/>
      <c r="R151" s="505" t="str">
        <f>CONCATENATE("Improved Sales Statistics - ",dpSales_ComponentNameB1," Component")</f>
        <v>Improved Sales Statistics -  Component</v>
      </c>
      <c r="S151" s="505"/>
      <c r="T151" s="246"/>
      <c r="U151" s="246"/>
      <c r="V151" s="246"/>
      <c r="W151" s="246"/>
      <c r="X151" s="246"/>
      <c r="Y151" s="582"/>
      <c r="Z151" s="6"/>
      <c r="AA151" s="10"/>
      <c r="AB151" s="10"/>
      <c r="AC151" s="10"/>
      <c r="AD151" s="10"/>
    </row>
    <row r="152" spans="1:30" ht="15" customHeight="1" x14ac:dyDescent="0.25">
      <c r="A152" s="972">
        <v>1</v>
      </c>
      <c r="B152" s="10"/>
      <c r="C152" s="10"/>
      <c r="D152" s="10"/>
      <c r="E152" s="10"/>
      <c r="F152" s="10"/>
      <c r="G152" s="1774"/>
      <c r="H152" s="1774"/>
      <c r="I152" s="1774"/>
      <c r="J152" s="1774"/>
      <c r="K152" s="1774"/>
      <c r="L152" s="1943"/>
      <c r="M152" s="10"/>
      <c r="N152" s="10"/>
      <c r="O152" s="10"/>
      <c r="P152" s="563"/>
      <c r="Q152" s="150"/>
      <c r="R152" s="12" t="s">
        <v>942</v>
      </c>
      <c r="S152" s="12"/>
      <c r="T152" s="55" t="s">
        <v>655</v>
      </c>
      <c r="U152" s="55" t="s">
        <v>1370</v>
      </c>
      <c r="V152" s="55" t="s">
        <v>128</v>
      </c>
      <c r="W152" s="150"/>
      <c r="X152" s="53"/>
      <c r="Y152" s="5"/>
      <c r="Z152" s="6"/>
      <c r="AA152" s="10"/>
      <c r="AB152" s="10"/>
      <c r="AC152" s="10"/>
      <c r="AD152" s="10"/>
    </row>
    <row r="153" spans="1:30" ht="15" customHeight="1" x14ac:dyDescent="0.25">
      <c r="A153" s="972">
        <v>1</v>
      </c>
      <c r="B153" s="10"/>
      <c r="C153" s="10"/>
      <c r="D153" s="10"/>
      <c r="E153" s="10"/>
      <c r="F153" s="10"/>
      <c r="G153" s="1774"/>
      <c r="H153" s="1774"/>
      <c r="I153" s="1774"/>
      <c r="J153" s="1774"/>
      <c r="K153" s="1774"/>
      <c r="L153" s="1943"/>
      <c r="M153" s="10"/>
      <c r="N153" s="10"/>
      <c r="O153" s="10"/>
      <c r="P153" s="563"/>
      <c r="Q153" s="114"/>
      <c r="R153" s="130" t="str">
        <f>IF(dpUnit_Sales_1="Units","Minimum Sale Price per Unit","Minimum Sale Price per Sq. Ft.")</f>
        <v>Minimum Sale Price per Sq. Ft.</v>
      </c>
      <c r="S153" s="130"/>
      <c r="T153" s="1174" t="e">
        <f>MIN(Sales_UnAdjustedRange_1)</f>
        <v>#DIV/0!</v>
      </c>
      <c r="U153" s="1174" t="e">
        <f>MIN(Sales_AdjPrice2_1)</f>
        <v>#DIV/0!</v>
      </c>
      <c r="V153" s="1140" t="e">
        <f>IF(Sales_AdjType_1="Qualitative","N/A",MIN(Sales_FinalAdjustedRange_1))</f>
        <v>#DIV/0!</v>
      </c>
      <c r="W153" s="130"/>
      <c r="X153" s="5"/>
      <c r="Y153" s="5"/>
      <c r="Z153" s="6"/>
      <c r="AA153" s="10"/>
      <c r="AB153" s="10"/>
      <c r="AC153" s="10"/>
      <c r="AD153" s="10"/>
    </row>
    <row r="154" spans="1:30" ht="15" customHeight="1" x14ac:dyDescent="0.25">
      <c r="A154" s="972">
        <v>1</v>
      </c>
      <c r="B154" s="10"/>
      <c r="C154" s="10"/>
      <c r="D154" s="10"/>
      <c r="E154" s="10"/>
      <c r="F154" s="10"/>
      <c r="G154" s="1774"/>
      <c r="H154" s="1774"/>
      <c r="I154" s="1774"/>
      <c r="J154" s="1774"/>
      <c r="K154" s="1774"/>
      <c r="L154" s="1943"/>
      <c r="M154" s="10"/>
      <c r="N154" s="10"/>
      <c r="O154" s="10"/>
      <c r="P154" s="563"/>
      <c r="Q154" s="114"/>
      <c r="R154" s="130" t="str">
        <f>IF(dpUnit_Sales_1="Units","Maximum Sale Price per Unit","Maximum Sale Price per Sq. Ft.")</f>
        <v>Maximum Sale Price per Sq. Ft.</v>
      </c>
      <c r="S154" s="130"/>
      <c r="T154" s="1174" t="e">
        <f>MAX(Sales_UnAdjustedRange_1)</f>
        <v>#DIV/0!</v>
      </c>
      <c r="U154" s="1174" t="e">
        <f>MAX(Sales_AdjPrice2_1)</f>
        <v>#DIV/0!</v>
      </c>
      <c r="V154" s="1140" t="e">
        <f>IF(Sales_AdjType_1="Qualitative","N/A",MAX(Sales_FinalAdjustedRange_1))</f>
        <v>#DIV/0!</v>
      </c>
      <c r="W154" s="130"/>
      <c r="X154" s="5"/>
      <c r="Y154" s="5"/>
      <c r="Z154" s="6"/>
      <c r="AA154" s="10"/>
      <c r="AB154" s="10"/>
      <c r="AC154" s="10"/>
      <c r="AD154" s="10"/>
    </row>
    <row r="155" spans="1:30" ht="15" customHeight="1" x14ac:dyDescent="0.25">
      <c r="A155" s="972">
        <v>1</v>
      </c>
      <c r="B155" s="10"/>
      <c r="C155" s="10"/>
      <c r="D155" s="10"/>
      <c r="E155" s="10"/>
      <c r="F155" s="10"/>
      <c r="G155" s="1774"/>
      <c r="H155" s="1774"/>
      <c r="I155" s="1774"/>
      <c r="J155" s="1774"/>
      <c r="K155" s="1774"/>
      <c r="L155" s="1943"/>
      <c r="M155" s="10"/>
      <c r="N155" s="10"/>
      <c r="O155" s="10"/>
      <c r="P155" s="563"/>
      <c r="Q155" s="114"/>
      <c r="R155" s="130" t="str">
        <f>IF(dpUnit_Sales_1="Units","Median Sale Price per Unit","Median Sale Price per Sq. Ft.")</f>
        <v>Median Sale Price per Sq. Ft.</v>
      </c>
      <c r="S155" s="130"/>
      <c r="T155" s="1174" t="e">
        <f>MEDIAN(Sales_UnAdjustedRange_1)</f>
        <v>#DIV/0!</v>
      </c>
      <c r="U155" s="1174" t="e">
        <f>MEDIAN(Sales_AdjPrice2_1)</f>
        <v>#DIV/0!</v>
      </c>
      <c r="V155" s="1140" t="e">
        <f>IF(Sales_AdjType_1="Qualitative","N/A",MEDIAN(Sales_FinalAdjustedRange_1))</f>
        <v>#DIV/0!</v>
      </c>
      <c r="W155" s="130"/>
      <c r="X155" s="5"/>
      <c r="Y155" s="5"/>
      <c r="Z155" s="6"/>
      <c r="AA155" s="10"/>
      <c r="AB155" s="10"/>
      <c r="AC155" s="10"/>
      <c r="AD155" s="10"/>
    </row>
    <row r="156" spans="1:30" ht="15" customHeight="1" thickBot="1" x14ac:dyDescent="0.3">
      <c r="A156" s="972">
        <v>1</v>
      </c>
      <c r="B156" s="10"/>
      <c r="C156" s="10"/>
      <c r="D156" s="10"/>
      <c r="E156" s="10"/>
      <c r="F156" s="10"/>
      <c r="G156" s="1774"/>
      <c r="H156" s="1774"/>
      <c r="I156" s="1774"/>
      <c r="J156" s="1774"/>
      <c r="K156" s="1774"/>
      <c r="L156" s="1943"/>
      <c r="M156" s="10"/>
      <c r="N156" s="10"/>
      <c r="O156" s="10"/>
      <c r="P156" s="563"/>
      <c r="Q156" s="114"/>
      <c r="R156" s="99" t="str">
        <f>IF(dpUnit_Sales_1="Units","Mean Sale Price per Unit","Mean Sale Price per Sq. Ft.")</f>
        <v>Mean Sale Price per Sq. Ft.</v>
      </c>
      <c r="S156" s="99"/>
      <c r="T156" s="1175" t="e">
        <f>AVERAGE(Sales_UnAdjustedRange_1)</f>
        <v>#DIV/0!</v>
      </c>
      <c r="U156" s="1175" t="e">
        <f>AVERAGE(Sales_AdjPrice2_1)</f>
        <v>#DIV/0!</v>
      </c>
      <c r="V156" s="1202" t="e">
        <f>IF(Sales_AdjType_1="Qualitative","N/A",AVERAGE(Sales_FinalAdjustedRange_1))</f>
        <v>#DIV/0!</v>
      </c>
      <c r="W156" s="130"/>
      <c r="X156" s="5"/>
      <c r="Y156" s="5"/>
      <c r="Z156" s="6"/>
      <c r="AA156" s="10"/>
      <c r="AB156" s="10"/>
      <c r="AC156" s="10"/>
      <c r="AD156" s="10"/>
    </row>
    <row r="157" spans="1:30" ht="15" customHeight="1" x14ac:dyDescent="0.25">
      <c r="A157" s="972">
        <v>1</v>
      </c>
      <c r="B157" s="10"/>
      <c r="C157" s="10"/>
      <c r="D157" s="10"/>
      <c r="E157" s="10"/>
      <c r="F157" s="10"/>
      <c r="G157" s="1774"/>
      <c r="H157" s="1774"/>
      <c r="I157" s="1774"/>
      <c r="J157" s="1774"/>
      <c r="K157" s="1774"/>
      <c r="L157" s="1943"/>
      <c r="M157" s="10"/>
      <c r="N157" s="10"/>
      <c r="O157" s="10"/>
      <c r="P157" s="563"/>
      <c r="Q157" s="52"/>
      <c r="R157" s="18" t="s">
        <v>958</v>
      </c>
      <c r="S157" s="18"/>
      <c r="T157" s="894" t="e">
        <f>STDEV(Sales_UnAdjustedRange_1)</f>
        <v>#DIV/0!</v>
      </c>
      <c r="U157" s="894" t="e">
        <f>STDEV(Sales_AdjPrice2_1)</f>
        <v>#DIV/0!</v>
      </c>
      <c r="V157" s="894" t="e">
        <f>IF(Sales_AdjType_1="Qualitative","N/A",STDEV(Sales_FinalAdjustedRange_1))</f>
        <v>#DIV/0!</v>
      </c>
      <c r="W157" s="18"/>
      <c r="X157" s="5"/>
      <c r="Y157" s="5"/>
      <c r="Z157" s="6"/>
      <c r="AA157" s="10"/>
      <c r="AB157" s="10"/>
      <c r="AC157" s="10"/>
      <c r="AD157" s="10"/>
    </row>
    <row r="158" spans="1:30" ht="15.95" customHeight="1" thickBot="1" x14ac:dyDescent="0.3">
      <c r="A158" s="972">
        <v>1</v>
      </c>
      <c r="B158" s="10"/>
      <c r="C158" s="10"/>
      <c r="D158" s="10"/>
      <c r="E158" s="10"/>
      <c r="F158" s="10"/>
      <c r="G158" s="1774"/>
      <c r="H158" s="1774"/>
      <c r="I158" s="1774"/>
      <c r="J158" s="1774"/>
      <c r="K158" s="1774"/>
      <c r="L158" s="1943"/>
      <c r="M158" s="10"/>
      <c r="N158" s="10"/>
      <c r="O158" s="10"/>
      <c r="P158" s="564"/>
      <c r="Q158" s="565"/>
      <c r="R158" s="552" t="s">
        <v>1597</v>
      </c>
      <c r="S158" s="552"/>
      <c r="T158" s="7"/>
      <c r="U158" s="7"/>
      <c r="V158" s="7"/>
      <c r="W158" s="7"/>
      <c r="X158" s="7"/>
      <c r="Y158" s="7"/>
      <c r="Z158" s="9"/>
      <c r="AA158" s="10"/>
      <c r="AB158" s="10"/>
      <c r="AC158" s="10"/>
      <c r="AD158" s="10"/>
    </row>
    <row r="159" spans="1:30" ht="9.9499999999999993" customHeight="1" thickBot="1" x14ac:dyDescent="0.3">
      <c r="A159" s="972">
        <v>1</v>
      </c>
      <c r="B159" s="10"/>
      <c r="C159" s="10"/>
      <c r="D159" s="10"/>
      <c r="E159" s="10"/>
      <c r="F159" s="10"/>
      <c r="G159" s="1774"/>
      <c r="H159" s="1774"/>
      <c r="I159" s="1774"/>
      <c r="J159" s="1774"/>
      <c r="K159" s="1774"/>
      <c r="L159" s="1943"/>
      <c r="M159" s="10"/>
      <c r="N159" s="10"/>
      <c r="O159" s="10"/>
      <c r="P159" s="32"/>
      <c r="Q159" s="32"/>
      <c r="R159" s="569"/>
      <c r="S159" s="569"/>
      <c r="T159" s="10"/>
      <c r="U159" s="10"/>
      <c r="V159" s="10"/>
      <c r="W159" s="10"/>
      <c r="X159" s="10"/>
      <c r="Y159" s="10"/>
      <c r="Z159" s="10"/>
      <c r="AA159" s="10"/>
      <c r="AB159" s="10"/>
      <c r="AC159" s="10"/>
      <c r="AD159" s="10"/>
    </row>
    <row r="160" spans="1:30" ht="15" customHeight="1" x14ac:dyDescent="0.25">
      <c r="A160" s="972">
        <v>1</v>
      </c>
      <c r="B160" s="10"/>
      <c r="C160" s="10"/>
      <c r="D160" s="10"/>
      <c r="E160" s="10"/>
      <c r="F160" s="10"/>
      <c r="G160" s="1774"/>
      <c r="H160" s="1774"/>
      <c r="I160" s="1774"/>
      <c r="J160" s="1774"/>
      <c r="K160" s="1774"/>
      <c r="L160" s="1943"/>
      <c r="M160" s="10"/>
      <c r="N160" s="10"/>
      <c r="O160" s="10"/>
      <c r="P160" s="1"/>
      <c r="Q160" s="2"/>
      <c r="R160" s="2"/>
      <c r="S160" s="2"/>
      <c r="T160" s="2"/>
      <c r="U160" s="2"/>
      <c r="V160" s="202"/>
      <c r="W160" s="2"/>
      <c r="X160" s="202"/>
      <c r="Y160" s="2"/>
      <c r="Z160" s="3"/>
      <c r="AA160" s="10"/>
      <c r="AB160" s="10"/>
      <c r="AC160" s="10"/>
      <c r="AD160" s="10"/>
    </row>
    <row r="161" spans="1:30" ht="15" customHeight="1" x14ac:dyDescent="0.3">
      <c r="A161" s="972">
        <v>1</v>
      </c>
      <c r="B161" s="10"/>
      <c r="C161" s="10"/>
      <c r="D161" s="10"/>
      <c r="E161" s="10"/>
      <c r="F161" s="10"/>
      <c r="G161" s="1774"/>
      <c r="H161" s="1774"/>
      <c r="I161" s="1774"/>
      <c r="J161" s="1774"/>
      <c r="K161" s="1774"/>
      <c r="L161" s="1943"/>
      <c r="M161" s="10"/>
      <c r="N161" s="10"/>
      <c r="O161" s="10"/>
      <c r="P161" s="4"/>
      <c r="Q161" s="17"/>
      <c r="R161" s="519" t="str">
        <f>CONCATENATE("Improved Sales Comparison Approach Value Indication - ",dpSales_ComponentNameB1," Component")</f>
        <v>Improved Sales Comparison Approach Value Indication -  Component</v>
      </c>
      <c r="S161" s="519"/>
      <c r="T161" s="17"/>
      <c r="U161" s="240"/>
      <c r="V161" s="17"/>
      <c r="W161" s="17"/>
      <c r="X161" s="17"/>
      <c r="Y161" s="10"/>
      <c r="Z161" s="6"/>
      <c r="AA161" s="10"/>
      <c r="AB161" s="10"/>
      <c r="AC161" s="10"/>
      <c r="AD161" s="10"/>
    </row>
    <row r="162" spans="1:30" ht="15.95" customHeight="1" x14ac:dyDescent="0.25">
      <c r="A162" s="972">
        <v>1</v>
      </c>
      <c r="B162" s="10"/>
      <c r="C162" s="10"/>
      <c r="D162" s="10"/>
      <c r="E162" s="10"/>
      <c r="F162" s="10"/>
      <c r="G162" s="1774"/>
      <c r="H162" s="1774"/>
      <c r="I162" s="1774"/>
      <c r="J162" s="1774"/>
      <c r="K162" s="1774"/>
      <c r="L162" s="1943"/>
      <c r="M162" s="10"/>
      <c r="N162" s="10"/>
      <c r="O162" s="10"/>
      <c r="P162" s="4"/>
      <c r="Q162" s="101"/>
      <c r="R162" s="717" t="s">
        <v>1196</v>
      </c>
      <c r="S162" s="717"/>
      <c r="T162" s="137"/>
      <c r="U162" s="241"/>
      <c r="V162" s="137"/>
      <c r="W162" s="137"/>
      <c r="X162" s="137"/>
      <c r="Y162" s="101"/>
      <c r="Z162" s="6"/>
      <c r="AA162" s="10"/>
      <c r="AB162" s="10"/>
      <c r="AC162" s="10"/>
      <c r="AD162" s="10"/>
    </row>
    <row r="163" spans="1:30" ht="15.95" customHeight="1" x14ac:dyDescent="0.25">
      <c r="A163" s="972">
        <v>1</v>
      </c>
      <c r="B163" s="10"/>
      <c r="C163" s="10"/>
      <c r="D163" s="10"/>
      <c r="E163" s="10"/>
      <c r="F163" s="10"/>
      <c r="G163" s="1774"/>
      <c r="H163" s="1774"/>
      <c r="I163" s="1774"/>
      <c r="J163" s="1774"/>
      <c r="K163" s="1774"/>
      <c r="L163" s="1943"/>
      <c r="M163" s="10"/>
      <c r="N163" s="10"/>
      <c r="O163" s="10"/>
      <c r="P163" s="4"/>
      <c r="Q163" s="101"/>
      <c r="R163" s="1278"/>
      <c r="S163" s="1727">
        <f>IF(dpUnit_Sales_1="Net Rentable Area",dpSubject_Sales_NRA_1,IF(dpUnit_Sales_1="Gross Building Area",dpSubject_Sales_GBA_1,dpSubject_Sales_Units_1))</f>
        <v>209208</v>
      </c>
      <c r="T163" s="137" t="s">
        <v>176</v>
      </c>
      <c r="U163" s="100"/>
      <c r="V163" s="137" t="s">
        <v>177</v>
      </c>
      <c r="W163" s="101"/>
      <c r="X163" s="726">
        <f>S163*U163</f>
        <v>0</v>
      </c>
      <c r="Y163" s="101"/>
      <c r="Z163" s="6"/>
      <c r="AA163" s="10"/>
      <c r="AB163" s="10"/>
      <c r="AC163" s="10"/>
      <c r="AD163" s="10"/>
    </row>
    <row r="164" spans="1:30" ht="9.9499999999999993" customHeight="1" x14ac:dyDescent="0.25">
      <c r="A164" s="972">
        <v>1</v>
      </c>
      <c r="B164" s="10"/>
      <c r="C164" s="10"/>
      <c r="D164" s="10"/>
      <c r="E164" s="10"/>
      <c r="F164" s="10"/>
      <c r="G164" s="1774"/>
      <c r="H164" s="1774"/>
      <c r="I164" s="1774"/>
      <c r="J164" s="1774"/>
      <c r="K164" s="1774"/>
      <c r="L164" s="1943"/>
      <c r="M164" s="10"/>
      <c r="N164" s="10"/>
      <c r="O164" s="10"/>
      <c r="P164" s="4"/>
      <c r="Q164" s="101"/>
      <c r="R164" s="101"/>
      <c r="S164" s="101"/>
      <c r="T164" s="137"/>
      <c r="U164" s="137"/>
      <c r="V164" s="137"/>
      <c r="W164" s="101"/>
      <c r="X164" s="875"/>
      <c r="Y164" s="101"/>
      <c r="Z164" s="6"/>
      <c r="AA164" s="10"/>
      <c r="AB164" s="10"/>
      <c r="AC164" s="10"/>
      <c r="AD164" s="10"/>
    </row>
    <row r="165" spans="1:30" ht="15.95" customHeight="1" x14ac:dyDescent="0.25">
      <c r="A165" s="972">
        <v>1</v>
      </c>
      <c r="B165" s="10"/>
      <c r="C165" s="10"/>
      <c r="D165" s="10"/>
      <c r="E165" s="10"/>
      <c r="F165" s="10"/>
      <c r="G165" s="1774"/>
      <c r="H165" s="1774"/>
      <c r="I165" s="1774"/>
      <c r="J165" s="1774"/>
      <c r="K165" s="1774"/>
      <c r="L165" s="1943"/>
      <c r="M165" s="10"/>
      <c r="N165" s="10"/>
      <c r="O165" s="10"/>
      <c r="P165" s="4"/>
      <c r="Q165" s="101"/>
      <c r="R165" s="1278"/>
      <c r="S165" s="1727">
        <f>IF(dpUnit_Sales_1="Net Rentable Area",dpSubject_Sales_NRA_1,IF(dpUnit_Sales_1="Gross Building Area",dpSubject_Sales_GBA_1,dpSubject_Sales_Units_1))</f>
        <v>209208</v>
      </c>
      <c r="T165" s="137" t="s">
        <v>176</v>
      </c>
      <c r="U165" s="100"/>
      <c r="V165" s="137" t="s">
        <v>177</v>
      </c>
      <c r="W165" s="101"/>
      <c r="X165" s="726">
        <f>S165*U165</f>
        <v>0</v>
      </c>
      <c r="Y165" s="101"/>
      <c r="Z165" s="6"/>
      <c r="AA165" s="10"/>
      <c r="AB165" s="10"/>
      <c r="AC165" s="10"/>
      <c r="AD165" s="10"/>
    </row>
    <row r="166" spans="1:30" ht="20.100000000000001" customHeight="1" thickBot="1" x14ac:dyDescent="0.3">
      <c r="A166" s="972">
        <v>1</v>
      </c>
      <c r="B166" s="10"/>
      <c r="C166" s="10"/>
      <c r="D166" s="10"/>
      <c r="E166" s="10"/>
      <c r="F166" s="10"/>
      <c r="G166" s="1774"/>
      <c r="H166" s="1774"/>
      <c r="I166" s="1774"/>
      <c r="J166" s="1774"/>
      <c r="K166" s="1774"/>
      <c r="L166" s="1943"/>
      <c r="M166" s="10"/>
      <c r="N166" s="10"/>
      <c r="O166" s="10"/>
      <c r="P166" s="4"/>
      <c r="Q166" s="101"/>
      <c r="R166" s="132" t="str">
        <f>IF(dpSale_Method_1="Whole Property",IF(SUM(A177:A181)=0,dpSort_ValueScenario_1,CONCATENATE("Preliminary ",dpSort_ValueScenario_1)),"Preliminary Contributory Value of the Subject Improvements Indication")</f>
        <v>Retrospective Fee Simple Market Value Indication</v>
      </c>
      <c r="S166" s="132"/>
      <c r="T166" s="137"/>
      <c r="U166" s="137"/>
      <c r="V166" s="137"/>
      <c r="W166" s="101"/>
      <c r="X166" s="875"/>
      <c r="Y166" s="101"/>
      <c r="Z166" s="6"/>
      <c r="AA166" s="10"/>
      <c r="AB166" s="10"/>
      <c r="AC166" s="10"/>
      <c r="AD166" s="10"/>
    </row>
    <row r="167" spans="1:30" ht="15.95" customHeight="1" thickBot="1" x14ac:dyDescent="0.3">
      <c r="A167" s="972">
        <v>1</v>
      </c>
      <c r="B167" s="10"/>
      <c r="C167" s="10"/>
      <c r="D167" s="10"/>
      <c r="E167" s="10"/>
      <c r="F167" s="10"/>
      <c r="G167" s="1774"/>
      <c r="H167" s="1774"/>
      <c r="I167" s="1774"/>
      <c r="J167" s="1774"/>
      <c r="K167" s="1774"/>
      <c r="L167" s="1943"/>
      <c r="M167" s="10"/>
      <c r="N167" s="10"/>
      <c r="O167" s="10"/>
      <c r="P167" s="87"/>
      <c r="Q167" s="424"/>
      <c r="R167" s="1727">
        <f>IF(dpUnit_Sales_1="Net Rentable Area",dpSubject_Sales_NRA_1,IF(dpUnit_Sales_1="Gross Building Area",dpSubject_Sales_GBA_1,dpSubject_Sales_Units_1))</f>
        <v>209208</v>
      </c>
      <c r="S167" s="1727"/>
      <c r="T167" s="2127" t="s">
        <v>176</v>
      </c>
      <c r="U167" s="1631"/>
      <c r="V167" s="2127" t="s">
        <v>177</v>
      </c>
      <c r="W167" s="424"/>
      <c r="X167" s="1728">
        <f>MROUND(R167*dpSales_PreliminaryValue_PSF_1,INDEX(Rounding_Options,MATCH(AC167,Rounding_Label,0),2))</f>
        <v>0</v>
      </c>
      <c r="Y167" s="424"/>
      <c r="Z167" s="89"/>
      <c r="AA167" s="10"/>
      <c r="AB167" s="165" t="s">
        <v>991</v>
      </c>
      <c r="AC167" s="801" t="s">
        <v>407</v>
      </c>
      <c r="AD167" s="10"/>
    </row>
    <row r="168" spans="1:30" ht="15.95" customHeight="1" thickBot="1" x14ac:dyDescent="0.3">
      <c r="A168" s="972">
        <f>IF(dpSale_Method_1="Whole Property",0,1)</f>
        <v>0</v>
      </c>
      <c r="B168" s="10"/>
      <c r="C168" s="10"/>
      <c r="D168" s="10"/>
      <c r="E168" s="10"/>
      <c r="F168" s="10"/>
      <c r="G168" s="1774"/>
      <c r="H168" s="1774"/>
      <c r="I168" s="1774"/>
      <c r="J168" s="1774"/>
      <c r="K168" s="1774"/>
      <c r="L168" s="1943"/>
      <c r="M168" s="10"/>
      <c r="N168" s="10"/>
      <c r="O168" s="10"/>
      <c r="P168" s="4"/>
      <c r="Q168" s="101"/>
      <c r="R168" s="334" t="s">
        <v>531</v>
      </c>
      <c r="S168" s="334"/>
      <c r="T168" s="137"/>
      <c r="U168" s="875"/>
      <c r="V168" s="875"/>
      <c r="W168" s="1372"/>
      <c r="X168" s="1729">
        <f>IF(dpSale_Method_1="Whole Property",0,dpLand_PrimaryLandValue_1)</f>
        <v>0</v>
      </c>
      <c r="Y168" s="101"/>
      <c r="Z168" s="6"/>
      <c r="AA168" s="10"/>
      <c r="AB168" s="10"/>
      <c r="AC168" s="10"/>
      <c r="AD168" s="10"/>
    </row>
    <row r="169" spans="1:30" ht="15.95" customHeight="1" thickBot="1" x14ac:dyDescent="0.3">
      <c r="A169" s="972">
        <f>IF(dpSale_Method_1="Whole Property",0,1)</f>
        <v>0</v>
      </c>
      <c r="B169" s="10"/>
      <c r="C169" s="10"/>
      <c r="D169" s="10"/>
      <c r="E169" s="10"/>
      <c r="F169" s="10"/>
      <c r="G169" s="1774"/>
      <c r="H169" s="1774"/>
      <c r="I169" s="1774"/>
      <c r="J169" s="1774"/>
      <c r="K169" s="1774"/>
      <c r="L169" s="1943"/>
      <c r="M169" s="10"/>
      <c r="N169" s="10"/>
      <c r="O169" s="10"/>
      <c r="P169" s="4"/>
      <c r="Q169" s="101"/>
      <c r="R169" s="1188" t="str">
        <f>IF(SUM(A177:A181)=0,dpSort_ValueScenario_1,CONCATENATE("Preliminary ",dpSort_ValueScenario_1))</f>
        <v>Retrospective Fee Simple Market Value Indication</v>
      </c>
      <c r="S169" s="1188"/>
      <c r="T169" s="131"/>
      <c r="U169" s="1726"/>
      <c r="V169" s="1750"/>
      <c r="W169" s="139"/>
      <c r="X169" s="1751">
        <f>MROUND(X167+X168,INDEX(Rounding_Options,MATCH(AC169,Rounding_Label,0),2))</f>
        <v>0</v>
      </c>
      <c r="Y169" s="101"/>
      <c r="Z169" s="6"/>
      <c r="AA169" s="10"/>
      <c r="AB169" s="165" t="s">
        <v>991</v>
      </c>
      <c r="AC169" s="801" t="s">
        <v>407</v>
      </c>
      <c r="AD169" s="10"/>
    </row>
    <row r="170" spans="1:30" s="1755" customFormat="1" ht="20.100000000000001" customHeight="1" x14ac:dyDescent="0.25">
      <c r="A170" s="972">
        <v>1</v>
      </c>
      <c r="B170" s="36"/>
      <c r="C170" s="36"/>
      <c r="D170" s="36"/>
      <c r="E170" s="36"/>
      <c r="F170" s="36"/>
      <c r="G170" s="1903"/>
      <c r="H170" s="1903"/>
      <c r="I170" s="1903"/>
      <c r="J170" s="1903"/>
      <c r="K170" s="1903"/>
      <c r="L170" s="1994"/>
      <c r="M170" s="36"/>
      <c r="N170" s="36"/>
      <c r="O170" s="36"/>
      <c r="P170" s="87"/>
      <c r="Q170" s="681"/>
      <c r="R170" s="1756" t="s">
        <v>1598</v>
      </c>
      <c r="S170" s="2143"/>
      <c r="T170" s="681"/>
      <c r="U170" s="681"/>
      <c r="V170" s="1463"/>
      <c r="W170" s="681"/>
      <c r="X170" s="1463"/>
      <c r="Y170" s="681"/>
      <c r="Z170" s="89"/>
      <c r="AA170" s="36"/>
      <c r="AB170" s="36"/>
      <c r="AC170" s="36"/>
      <c r="AD170" s="36"/>
    </row>
    <row r="171" spans="1:30" ht="15.95" customHeight="1" x14ac:dyDescent="0.3">
      <c r="A171" s="972">
        <v>1</v>
      </c>
      <c r="B171" s="10"/>
      <c r="C171" s="10"/>
      <c r="D171" s="10"/>
      <c r="E171" s="10"/>
      <c r="F171" s="10"/>
      <c r="G171" s="1774"/>
      <c r="H171" s="1774"/>
      <c r="I171" s="1774"/>
      <c r="J171" s="1774"/>
      <c r="K171" s="1774"/>
      <c r="L171" s="1943"/>
      <c r="M171" s="10"/>
      <c r="N171" s="10"/>
      <c r="O171" s="10"/>
      <c r="P171" s="4"/>
      <c r="Q171" s="17"/>
      <c r="R171" s="525" t="str">
        <f>IF(AND(dpSort_DOV_2="N/A",dpSort_DOV_3="N/A"),"Improved Sales Comparison Approach Value Indication","Improved Sales Comparison Approach Value Indications")</f>
        <v>Improved Sales Comparison Approach Value Indication</v>
      </c>
      <c r="S171" s="525"/>
      <c r="T171" s="17"/>
      <c r="U171" s="240"/>
      <c r="V171" s="17"/>
      <c r="W171" s="17"/>
      <c r="X171" s="17"/>
      <c r="Y171" s="10"/>
      <c r="Z171" s="6"/>
      <c r="AA171" s="10"/>
      <c r="AB171" s="10"/>
      <c r="AC171" s="10"/>
      <c r="AD171" s="10"/>
    </row>
    <row r="172" spans="1:30" ht="15" customHeight="1" x14ac:dyDescent="0.25">
      <c r="A172" s="972">
        <v>1</v>
      </c>
      <c r="B172" s="10"/>
      <c r="C172" s="10"/>
      <c r="D172" s="10"/>
      <c r="E172" s="10"/>
      <c r="F172" s="10"/>
      <c r="G172" s="1774"/>
      <c r="H172" s="1774"/>
      <c r="I172" s="1774"/>
      <c r="J172" s="1774"/>
      <c r="K172" s="1774"/>
      <c r="L172" s="1943"/>
      <c r="M172" s="10"/>
      <c r="N172" s="10"/>
      <c r="O172" s="10"/>
      <c r="P172" s="4"/>
      <c r="Q172" s="101"/>
      <c r="R172" s="1752" t="str">
        <f>CONCATENATE(dpSales_ComponentNameB1," Component")</f>
        <v xml:space="preserve"> Component</v>
      </c>
      <c r="S172" s="1752"/>
      <c r="T172" s="137"/>
      <c r="U172" s="241"/>
      <c r="V172" s="137"/>
      <c r="W172" s="137"/>
      <c r="X172" s="137"/>
      <c r="Y172" s="101"/>
      <c r="Z172" s="6"/>
      <c r="AA172" s="10"/>
      <c r="AB172" s="10"/>
      <c r="AC172" s="10"/>
      <c r="AD172" s="10"/>
    </row>
    <row r="173" spans="1:30" ht="15" customHeight="1" x14ac:dyDescent="0.25">
      <c r="A173" s="972">
        <v>1</v>
      </c>
      <c r="B173" s="10"/>
      <c r="C173" s="10"/>
      <c r="D173" s="10"/>
      <c r="E173" s="10"/>
      <c r="F173" s="10"/>
      <c r="G173" s="1774"/>
      <c r="H173" s="1774"/>
      <c r="I173" s="1774"/>
      <c r="J173" s="1774"/>
      <c r="K173" s="1774"/>
      <c r="L173" s="1943"/>
      <c r="M173" s="10"/>
      <c r="N173" s="10"/>
      <c r="O173" s="10"/>
      <c r="P173" s="4"/>
      <c r="Q173" s="101"/>
      <c r="R173" s="1278"/>
      <c r="S173" s="2139">
        <f>Sales_IndicationSize_3_1</f>
        <v>209208</v>
      </c>
      <c r="T173" s="137" t="s">
        <v>176</v>
      </c>
      <c r="U173" s="241">
        <f>dpSales_PreliminaryValue_PSF_1</f>
        <v>0</v>
      </c>
      <c r="V173" s="137" t="s">
        <v>177</v>
      </c>
      <c r="W173" s="101"/>
      <c r="X173" s="1728">
        <f>X169</f>
        <v>0</v>
      </c>
      <c r="Y173" s="101"/>
      <c r="Z173" s="6"/>
      <c r="AA173" s="10"/>
      <c r="AB173" s="165"/>
      <c r="AC173" s="395"/>
      <c r="AD173" s="10"/>
    </row>
    <row r="174" spans="1:30" ht="15" customHeight="1" x14ac:dyDescent="0.25">
      <c r="A174" s="972">
        <v>1</v>
      </c>
      <c r="B174" s="10"/>
      <c r="C174" s="10"/>
      <c r="D174" s="10"/>
      <c r="E174" s="10"/>
      <c r="F174" s="10"/>
      <c r="G174" s="1774"/>
      <c r="H174" s="1774"/>
      <c r="I174" s="1774"/>
      <c r="J174" s="1774"/>
      <c r="K174" s="1774"/>
      <c r="L174" s="1943"/>
      <c r="M174" s="10"/>
      <c r="N174" s="10"/>
      <c r="O174" s="10"/>
      <c r="P174" s="4"/>
      <c r="Q174" s="101"/>
      <c r="R174" s="1752" t="str">
        <f>CONCATENATE(dpSales_ComponentNameB2," Component")</f>
        <v xml:space="preserve"> Component</v>
      </c>
      <c r="S174" s="1752"/>
      <c r="T174" s="137"/>
      <c r="U174" s="137"/>
      <c r="V174" s="137"/>
      <c r="W174" s="101"/>
      <c r="X174" s="138"/>
      <c r="Y174" s="101"/>
      <c r="Z174" s="6"/>
      <c r="AA174" s="10"/>
      <c r="AB174" s="10"/>
      <c r="AC174" s="10"/>
      <c r="AD174" s="10"/>
    </row>
    <row r="175" spans="1:30" ht="15" customHeight="1" thickBot="1" x14ac:dyDescent="0.3">
      <c r="A175" s="972">
        <v>1</v>
      </c>
      <c r="B175" s="10"/>
      <c r="C175" s="10"/>
      <c r="D175" s="10"/>
      <c r="E175" s="10"/>
      <c r="F175" s="10"/>
      <c r="G175" s="1774"/>
      <c r="H175" s="1774"/>
      <c r="I175" s="1774"/>
      <c r="J175" s="1774"/>
      <c r="K175" s="1774"/>
      <c r="L175" s="1943"/>
      <c r="M175" s="10"/>
      <c r="N175" s="10"/>
      <c r="O175" s="10"/>
      <c r="P175" s="4"/>
      <c r="Q175" s="101"/>
      <c r="R175" s="1278"/>
      <c r="S175" s="2139">
        <f>Sales_IndicationSize_3_2</f>
        <v>209208</v>
      </c>
      <c r="T175" s="137" t="s">
        <v>176</v>
      </c>
      <c r="U175" s="241">
        <f>dpSales_PreliminaryValue_PSF_2</f>
        <v>0</v>
      </c>
      <c r="V175" s="137" t="s">
        <v>177</v>
      </c>
      <c r="W175" s="101"/>
      <c r="X175" s="1754">
        <f>'Improved Sales Adjustments 2'!W169</f>
        <v>0</v>
      </c>
      <c r="Y175" s="101"/>
      <c r="Z175" s="6"/>
      <c r="AA175" s="10"/>
      <c r="AB175" s="165"/>
      <c r="AC175" s="395"/>
      <c r="AD175" s="10"/>
    </row>
    <row r="176" spans="1:30" ht="15" customHeight="1" thickBot="1" x14ac:dyDescent="0.3">
      <c r="A176" s="972">
        <f>IF(dpSale_Method_1="Whole Property",0,1)</f>
        <v>0</v>
      </c>
      <c r="B176" s="10"/>
      <c r="C176" s="10"/>
      <c r="D176" s="10"/>
      <c r="E176" s="10"/>
      <c r="F176" s="10"/>
      <c r="G176" s="1774"/>
      <c r="H176" s="1774"/>
      <c r="I176" s="1774"/>
      <c r="J176" s="1774"/>
      <c r="K176" s="1774"/>
      <c r="L176" s="1943"/>
      <c r="M176" s="10"/>
      <c r="N176" s="10"/>
      <c r="O176" s="10"/>
      <c r="P176" s="4"/>
      <c r="Q176" s="101"/>
      <c r="R176" s="1188" t="str">
        <f>IF(SUM(A177:A181)=0,dpSort_ValueScenario_1,CONCATENATE("Preliminary ",dpSort_ValueScenario_1))</f>
        <v>Retrospective Fee Simple Market Value Indication</v>
      </c>
      <c r="S176" s="1188"/>
      <c r="T176" s="131"/>
      <c r="U176" s="1726"/>
      <c r="V176" s="1750"/>
      <c r="W176" s="139"/>
      <c r="X176" s="1751">
        <f>MROUND(X173+X175,INDEX(Rounding_Options,MATCH(AC176,Rounding_Label,0),2))</f>
        <v>0</v>
      </c>
      <c r="Y176" s="101"/>
      <c r="Z176" s="6"/>
      <c r="AA176" s="10"/>
      <c r="AB176" s="150" t="s">
        <v>991</v>
      </c>
      <c r="AC176" s="702" t="s">
        <v>407</v>
      </c>
      <c r="AD176" s="10"/>
    </row>
    <row r="177" spans="1:30" ht="15" customHeight="1" x14ac:dyDescent="0.25">
      <c r="A177" s="957">
        <f>IF(ValueAdj_Select1=1,1,0)</f>
        <v>0</v>
      </c>
      <c r="B177" s="10"/>
      <c r="C177" s="10"/>
      <c r="D177" s="10"/>
      <c r="E177" s="10"/>
      <c r="F177" s="10"/>
      <c r="G177" s="1774"/>
      <c r="H177" s="1774"/>
      <c r="I177" s="1774"/>
      <c r="J177" s="1774"/>
      <c r="K177" s="1774"/>
      <c r="L177" s="1943"/>
      <c r="M177" s="10"/>
      <c r="N177" s="10"/>
      <c r="O177" s="10"/>
      <c r="P177" s="4"/>
      <c r="Q177" s="101"/>
      <c r="R177" s="2117" t="str">
        <f>IF(ValueAdj_Select1=1,1,"")</f>
        <v/>
      </c>
      <c r="S177" s="1372" t="s">
        <v>259</v>
      </c>
      <c r="T177" s="137"/>
      <c r="U177" s="875"/>
      <c r="V177" s="1372"/>
      <c r="W177" s="101"/>
      <c r="X177" s="428">
        <f>IF(ValueAdj_Select1=1,-dpCost_CurableItemCost_Total,0)</f>
        <v>0</v>
      </c>
      <c r="Y177" s="101"/>
      <c r="Z177" s="6"/>
      <c r="AA177" s="10"/>
      <c r="AB177" s="10"/>
      <c r="AC177" s="10"/>
      <c r="AD177" s="10"/>
    </row>
    <row r="178" spans="1:30" ht="15" customHeight="1" x14ac:dyDescent="0.25">
      <c r="A178" s="957">
        <f>IF(ValueAdj_Select2=1,1,0)</f>
        <v>0</v>
      </c>
      <c r="B178" s="10"/>
      <c r="C178" s="10"/>
      <c r="D178" s="10"/>
      <c r="E178" s="10"/>
      <c r="F178" s="10"/>
      <c r="G178" s="1774"/>
      <c r="H178" s="1774"/>
      <c r="I178" s="1774"/>
      <c r="J178" s="1774"/>
      <c r="K178" s="1774"/>
      <c r="L178" s="1943"/>
      <c r="M178" s="10"/>
      <c r="N178" s="10"/>
      <c r="O178" s="10"/>
      <c r="P178" s="4"/>
      <c r="Q178" s="101"/>
      <c r="R178" s="2117" t="str">
        <f>IF(ValueAdj_Select2=1,COUNT(R177)+1,"")</f>
        <v/>
      </c>
      <c r="S178" s="764" t="str">
        <f>IF('Selection Tables'!$M$16=TRUE,IF(ValueAdj_Select2=1,"Less Lease-Up Discount:","N/A"),"N/A")</f>
        <v>N/A</v>
      </c>
      <c r="T178" s="137"/>
      <c r="U178" s="875"/>
      <c r="V178" s="1372"/>
      <c r="W178" s="101"/>
      <c r="X178" s="428">
        <f>IF('Selection Tables'!$M$16=TRUE,IF(ValueAdj_Select2=1,-dpValue_LUD_Reconciled,0),0)</f>
        <v>0</v>
      </c>
      <c r="Y178" s="101"/>
      <c r="Z178" s="6"/>
      <c r="AA178" s="10"/>
      <c r="AB178" s="10"/>
      <c r="AC178" s="10"/>
      <c r="AD178" s="10"/>
    </row>
    <row r="179" spans="1:30" ht="15" customHeight="1" x14ac:dyDescent="0.25">
      <c r="A179" s="957">
        <f>IF(AdjSelect_LeaseHold_SCA=TRUE,IF(ValueAdj_Select3=1,1,0),0)</f>
        <v>0</v>
      </c>
      <c r="B179" s="10"/>
      <c r="C179" s="10"/>
      <c r="D179" s="10"/>
      <c r="E179" s="10"/>
      <c r="F179" s="10"/>
      <c r="G179" s="1774"/>
      <c r="H179" s="1774"/>
      <c r="I179" s="1774"/>
      <c r="J179" s="1774"/>
      <c r="K179" s="1774"/>
      <c r="L179" s="1943"/>
      <c r="M179" s="10"/>
      <c r="N179" s="10"/>
      <c r="O179" s="10"/>
      <c r="P179" s="4"/>
      <c r="Q179" s="101"/>
      <c r="R179" s="2117" t="str">
        <f>IF(AdjSelect_LeaseHold_SCA=TRUE,IF(ValueAdj_Select3=1,COUNT(R177:R178)+1,""),"")</f>
        <v/>
      </c>
      <c r="S179" s="1372" t="str">
        <f>IF('Selection Tables'!$N$16=TRUE,IF(ValueAdj_Select3=1,IF(dpValue_LeaseholdAdjustment&lt;0,"Less Positive Leasehold Estate:","Plus Negative Leasehold Estate:"),"N/A"),"N/A")</f>
        <v>N/A</v>
      </c>
      <c r="T179" s="137"/>
      <c r="U179" s="875"/>
      <c r="V179" s="1372"/>
      <c r="W179" s="101"/>
      <c r="X179" s="428">
        <f>IF('Selection Tables'!$N$16=TRUE,IF(ValueAdj_Select3=1,dpValue_LeaseholdAdjustment,0),0)</f>
        <v>0</v>
      </c>
      <c r="Y179" s="101"/>
      <c r="Z179" s="6"/>
      <c r="AA179" s="10"/>
      <c r="AB179" s="10"/>
      <c r="AC179" s="10"/>
      <c r="AD179" s="10"/>
    </row>
    <row r="180" spans="1:30" ht="15" customHeight="1" x14ac:dyDescent="0.25">
      <c r="A180" s="957">
        <f>IF(AdjSelect_UserDef1_SCA=TRUE,IF(ValueAdj_Select4=1,1,0),0)</f>
        <v>0</v>
      </c>
      <c r="B180" s="10"/>
      <c r="C180" s="10"/>
      <c r="D180" s="10"/>
      <c r="E180" s="10"/>
      <c r="F180" s="10"/>
      <c r="G180" s="1774"/>
      <c r="H180" s="1774"/>
      <c r="I180" s="1774"/>
      <c r="J180" s="1774"/>
      <c r="K180" s="1774"/>
      <c r="L180" s="1943"/>
      <c r="M180" s="10"/>
      <c r="N180" s="10"/>
      <c r="O180" s="10"/>
      <c r="P180" s="4"/>
      <c r="Q180" s="101"/>
      <c r="R180" s="2117" t="str">
        <f>IF(AdjSelect_UserDef1_SCA=TRUE,IF(ValueAdj_Select4=1,COUNT(R177:R179)+1,""),"")</f>
        <v/>
      </c>
      <c r="S180" s="764" t="str">
        <f>IF('Selection Tables'!$O$16=TRUE,IF(ValueAdj_Select4=1,IF(dpValue_UserDef1Adjustment_Value&lt;0,CONCATENATE("Less ",dpValue_UserDef1Adjustment_Name,":"),CONCATENATE("Plus ",dpValue_UserDef1Adjustment_Name,":")),"N/A"),"N/A")</f>
        <v>N/A</v>
      </c>
      <c r="T180" s="137"/>
      <c r="U180" s="875"/>
      <c r="V180" s="1372"/>
      <c r="W180" s="101"/>
      <c r="X180" s="428">
        <f>IF('Selection Tables'!$O$16=TRUE,IF(ValueAdj_Select4=1,dpValue_UserDef1Adjustment_Value,0),0)</f>
        <v>0</v>
      </c>
      <c r="Y180" s="101"/>
      <c r="Z180" s="6"/>
      <c r="AA180" s="10"/>
      <c r="AB180" s="10"/>
      <c r="AC180" s="10"/>
      <c r="AD180" s="10"/>
    </row>
    <row r="181" spans="1:30" ht="15" customHeight="1" thickBot="1" x14ac:dyDescent="0.3">
      <c r="A181" s="957">
        <f>IF(AdjSelect_UserDef2_SCA=TRUE,IF(ValueAdj_Select5=1,1,0),0)</f>
        <v>0</v>
      </c>
      <c r="B181" s="10"/>
      <c r="C181" s="10"/>
      <c r="D181" s="10"/>
      <c r="E181" s="10"/>
      <c r="F181" s="10"/>
      <c r="G181" s="1774"/>
      <c r="H181" s="1774"/>
      <c r="I181" s="1774"/>
      <c r="J181" s="1774"/>
      <c r="K181" s="1774"/>
      <c r="L181" s="1943"/>
      <c r="M181" s="10"/>
      <c r="N181" s="10"/>
      <c r="O181" s="10"/>
      <c r="P181" s="4"/>
      <c r="Q181" s="101"/>
      <c r="R181" s="2117" t="str">
        <f>IF(AdjSelect_UserDef2_SCA=TRUE,IF(ValueAdj_Select5=1,COUNT(R177:R180)+1,""),"")</f>
        <v/>
      </c>
      <c r="S181" s="764" t="str">
        <f>IF('Selection Tables'!$P$16=TRUE,IF(ValueAdj_Select5=1,IF(dpValue_UserDef2Adjustment_Value&lt;0,CONCATENATE("Less ",dpValue_UserDef2Adjustment_Name,":"),CONCATENATE("Plus ",dpValue_UserDef2Adjustment_Name,":")),"N/A"),"N/A")</f>
        <v>N/A</v>
      </c>
      <c r="T181" s="137"/>
      <c r="U181" s="875"/>
      <c r="V181" s="1372"/>
      <c r="W181" s="101"/>
      <c r="X181" s="428">
        <f>IF('Selection Tables'!$P$16=TRUE,IF(ValueAdj_Select5=1,dpValue_UserDef2Adjustment_Value,0),0)</f>
        <v>0</v>
      </c>
      <c r="Y181" s="101"/>
      <c r="Z181" s="6"/>
      <c r="AA181" s="10"/>
      <c r="AB181" s="10"/>
      <c r="AC181" s="10"/>
      <c r="AD181" s="10"/>
    </row>
    <row r="182" spans="1:30" ht="15" customHeight="1" thickBot="1" x14ac:dyDescent="0.3">
      <c r="A182" s="957">
        <f>IF(SUM(A177:A181)=0,0,1)</f>
        <v>0</v>
      </c>
      <c r="B182" s="10"/>
      <c r="C182" s="10"/>
      <c r="D182" s="10"/>
      <c r="E182" s="10"/>
      <c r="F182" s="10"/>
      <c r="G182" s="1774"/>
      <c r="H182" s="1774"/>
      <c r="I182" s="1774"/>
      <c r="J182" s="1774"/>
      <c r="K182" s="1774"/>
      <c r="L182" s="1943"/>
      <c r="M182" s="10"/>
      <c r="N182" s="10"/>
      <c r="O182" s="10"/>
      <c r="P182" s="4"/>
      <c r="Q182" s="101"/>
      <c r="R182" s="102" t="str">
        <f>dpSort_ValueScenario_1</f>
        <v>Retrospective Fee Simple Market Value Indication</v>
      </c>
      <c r="S182" s="102"/>
      <c r="T182" s="137"/>
      <c r="U182" s="138"/>
      <c r="V182" s="138"/>
      <c r="W182" s="101"/>
      <c r="X182" s="427">
        <f>MROUND(SUM(X176:X181),INDEX(Rounding_Options,MATCH(AC182,Rounding_Label,0),2))</f>
        <v>0</v>
      </c>
      <c r="Y182" s="101"/>
      <c r="Z182" s="6"/>
      <c r="AA182" s="10"/>
      <c r="AB182" s="150" t="s">
        <v>991</v>
      </c>
      <c r="AC182" s="702" t="s">
        <v>1037</v>
      </c>
      <c r="AD182" s="10"/>
    </row>
    <row r="183" spans="1:30" ht="15" customHeight="1" x14ac:dyDescent="0.25">
      <c r="A183" s="957">
        <f>IF(ValueAdj_Select1=2,1,0)</f>
        <v>0</v>
      </c>
      <c r="B183" s="10"/>
      <c r="C183" s="10"/>
      <c r="D183" s="10"/>
      <c r="E183" s="10"/>
      <c r="F183" s="10"/>
      <c r="G183" s="1774"/>
      <c r="H183" s="1774"/>
      <c r="I183" s="1774"/>
      <c r="J183" s="1774"/>
      <c r="K183" s="1774"/>
      <c r="L183" s="1943"/>
      <c r="M183" s="10"/>
      <c r="N183" s="10"/>
      <c r="O183" s="10"/>
      <c r="P183" s="4"/>
      <c r="Q183" s="101"/>
      <c r="R183" s="2118" t="str">
        <f>IF(ValueAdj_Select1=2,COUNT(R177:R181)+1,"")</f>
        <v/>
      </c>
      <c r="S183" s="1372" t="s">
        <v>259</v>
      </c>
      <c r="T183" s="137"/>
      <c r="U183" s="138"/>
      <c r="V183" s="138"/>
      <c r="W183" s="101"/>
      <c r="X183" s="428">
        <f>IF(ValueAdj_Select1=2,-dpCost_CurableItemCost_Total,0)</f>
        <v>0</v>
      </c>
      <c r="Y183" s="101"/>
      <c r="Z183" s="6"/>
      <c r="AA183" s="10"/>
      <c r="AB183" s="10"/>
      <c r="AC183" s="10"/>
      <c r="AD183" s="10"/>
    </row>
    <row r="184" spans="1:30" ht="15" customHeight="1" x14ac:dyDescent="0.25">
      <c r="A184" s="957">
        <f>IF(ValueAdj_Select2=2,1,0)</f>
        <v>0</v>
      </c>
      <c r="B184" s="10"/>
      <c r="C184" s="10"/>
      <c r="D184" s="10"/>
      <c r="E184" s="10"/>
      <c r="F184" s="10"/>
      <c r="G184" s="1774"/>
      <c r="H184" s="1774"/>
      <c r="I184" s="1774"/>
      <c r="J184" s="1774"/>
      <c r="K184" s="1774"/>
      <c r="L184" s="1943"/>
      <c r="M184" s="10"/>
      <c r="N184" s="10"/>
      <c r="O184" s="10"/>
      <c r="P184" s="4"/>
      <c r="Q184" s="101"/>
      <c r="R184" s="2118" t="str">
        <f>IF(ValueAdj_Select2=2,COUNT(R177:R181,R183)+1,"")</f>
        <v/>
      </c>
      <c r="S184" s="764" t="str">
        <f>IF('Selection Tables'!$M$16=TRUE,IF(ValueAdj_Select2=2,"Less Lease-Up Discount:","N/A"),"N/A")</f>
        <v>N/A</v>
      </c>
      <c r="T184" s="137"/>
      <c r="U184" s="138"/>
      <c r="V184" s="138"/>
      <c r="W184" s="101"/>
      <c r="X184" s="428">
        <f>IF('Selection Tables'!$M$16=TRUE,IF(ValueAdj_Select2=2,-dpValue_LUD_Reconciled,0),0)</f>
        <v>0</v>
      </c>
      <c r="Y184" s="101"/>
      <c r="Z184" s="6"/>
      <c r="AA184" s="10"/>
      <c r="AB184" s="10"/>
      <c r="AC184" s="10"/>
      <c r="AD184" s="10"/>
    </row>
    <row r="185" spans="1:30" ht="15" customHeight="1" x14ac:dyDescent="0.25">
      <c r="A185" s="957">
        <f>IF(AdjSelect_LeaseHold_SCA=TRUE,IF(ValueAdj_Select3=2,1,0),0)</f>
        <v>0</v>
      </c>
      <c r="B185" s="10"/>
      <c r="C185" s="10"/>
      <c r="D185" s="10"/>
      <c r="E185" s="10"/>
      <c r="F185" s="10"/>
      <c r="G185" s="1774"/>
      <c r="H185" s="1774"/>
      <c r="I185" s="1774"/>
      <c r="J185" s="1774"/>
      <c r="K185" s="1774"/>
      <c r="L185" s="1943"/>
      <c r="M185" s="10"/>
      <c r="N185" s="10"/>
      <c r="O185" s="10"/>
      <c r="P185" s="4"/>
      <c r="Q185" s="101"/>
      <c r="R185" s="2118" t="str">
        <f>IF(AdjSelect_LeaseHold_SCA=TRUE,IF(ValueAdj_Select3=2,COUNT(R177:R181,R183:R184)+1,""),"")</f>
        <v/>
      </c>
      <c r="S185" s="1372" t="str">
        <f>IF('Selection Tables'!$N$16=TRUE,IF(ValueAdj_Select3=2,IF(dpValue_LeaseholdAdjustment&lt;0,"Less Positive Leasehold Estate:","Plus Negative Leasehold Estate:"),"N/A"),"N/A")</f>
        <v>N/A</v>
      </c>
      <c r="T185" s="137"/>
      <c r="U185" s="138"/>
      <c r="V185" s="138"/>
      <c r="W185" s="101"/>
      <c r="X185" s="428">
        <f>IF('Selection Tables'!$N$16=TRUE,IF(ValueAdj_Select3=2,dpValue_LeaseholdAdjustment,0),0)</f>
        <v>0</v>
      </c>
      <c r="Y185" s="101"/>
      <c r="Z185" s="6"/>
      <c r="AA185" s="10"/>
      <c r="AB185" s="10"/>
      <c r="AC185" s="10"/>
      <c r="AD185" s="10"/>
    </row>
    <row r="186" spans="1:30" ht="15" customHeight="1" x14ac:dyDescent="0.25">
      <c r="A186" s="957">
        <f>IF(AdjSelect_UserDef1_SCA=TRUE,IF(ValueAdj_Select4=2,1,0),0)</f>
        <v>0</v>
      </c>
      <c r="B186" s="10"/>
      <c r="C186" s="10"/>
      <c r="D186" s="10"/>
      <c r="E186" s="10"/>
      <c r="F186" s="10"/>
      <c r="G186" s="1774"/>
      <c r="H186" s="1774"/>
      <c r="I186" s="1774"/>
      <c r="J186" s="1774"/>
      <c r="K186" s="1774"/>
      <c r="L186" s="1943"/>
      <c r="M186" s="10"/>
      <c r="N186" s="10"/>
      <c r="O186" s="10"/>
      <c r="P186" s="4"/>
      <c r="Q186" s="101"/>
      <c r="R186" s="2118" t="str">
        <f>IF(AdjSelect_UserDef1_SCA=TRUE,IF(ValueAdj_Select4=2,COUNT(R177:R181,R183:R185)+1,""),"")</f>
        <v/>
      </c>
      <c r="S186" s="764" t="str">
        <f>IF('Selection Tables'!$O$16=TRUE,IF(ValueAdj_Select4=2,IF(dpValue_UserDef1Adjustment_Value&lt;0,CONCATENATE("Less ",dpValue_UserDef1Adjustment_Name,":"),CONCATENATE("Plus ",dpValue_UserDef1Adjustment_Name,":")),"N/A"),"N/A")</f>
        <v>N/A</v>
      </c>
      <c r="T186" s="137"/>
      <c r="U186" s="138"/>
      <c r="V186" s="138"/>
      <c r="W186" s="101"/>
      <c r="X186" s="428">
        <f>IF('Selection Tables'!$O$16=TRUE,IF(ValueAdj_Select4=2,dpValue_UserDef1Adjustment_Value,0),0)</f>
        <v>0</v>
      </c>
      <c r="Y186" s="101"/>
      <c r="Z186" s="6"/>
      <c r="AA186" s="10"/>
      <c r="AB186" s="10"/>
      <c r="AC186" s="10"/>
      <c r="AD186" s="10"/>
    </row>
    <row r="187" spans="1:30" ht="15" customHeight="1" thickBot="1" x14ac:dyDescent="0.3">
      <c r="A187" s="957">
        <f>IF(AdjSelect_UserDef2_SCA=TRUE,IF(ValueAdj_Select5=2,1,0),0)</f>
        <v>0</v>
      </c>
      <c r="B187" s="10"/>
      <c r="C187" s="10"/>
      <c r="D187" s="10"/>
      <c r="E187" s="10"/>
      <c r="F187" s="10"/>
      <c r="G187" s="1774"/>
      <c r="H187" s="1774"/>
      <c r="I187" s="1774"/>
      <c r="J187" s="1774"/>
      <c r="K187" s="1774"/>
      <c r="L187" s="1943"/>
      <c r="M187" s="10"/>
      <c r="N187" s="10"/>
      <c r="O187" s="10"/>
      <c r="P187" s="4"/>
      <c r="Q187" s="101"/>
      <c r="R187" s="2118" t="str">
        <f>IF(AdjSelect_UserDef2_SCA=TRUE,IF(ValueAdj_Select5=2,COUNT(R177:R181,R183:R186)+1,""),"")</f>
        <v/>
      </c>
      <c r="S187" s="764" t="str">
        <f>IF('Selection Tables'!$P$16=TRUE,IF(ValueAdj_Select5=2,IF(dpValue_UserDef2Adjustment_Value&lt;0,CONCATENATE("Less ",dpValue_UserDef2Adjustment_Name,":"),CONCATENATE("Plus ",dpValue_UserDef2Adjustment_Name,":")),"N/A"),"N/A")</f>
        <v>N/A</v>
      </c>
      <c r="T187" s="137"/>
      <c r="U187" s="138"/>
      <c r="V187" s="138"/>
      <c r="W187" s="101"/>
      <c r="X187" s="428">
        <f>IF('Selection Tables'!$P$16=TRUE,IF(ValueAdj_Select5=2,dpValue_UserDef2Adjustment_Value,0),0)</f>
        <v>0</v>
      </c>
      <c r="Y187" s="101"/>
      <c r="Z187" s="6"/>
      <c r="AA187" s="10"/>
      <c r="AB187" s="10"/>
      <c r="AC187" s="10"/>
      <c r="AD187" s="10"/>
    </row>
    <row r="188" spans="1:30" ht="15" customHeight="1" thickBot="1" x14ac:dyDescent="0.3">
      <c r="A188" s="957">
        <f>IF(Sort_NumValues&gt;1,1,0)</f>
        <v>0</v>
      </c>
      <c r="B188" s="10"/>
      <c r="C188" s="10"/>
      <c r="D188" s="10"/>
      <c r="E188" s="10"/>
      <c r="F188" s="10"/>
      <c r="G188" s="1774"/>
      <c r="H188" s="1774"/>
      <c r="I188" s="1774"/>
      <c r="J188" s="1774"/>
      <c r="K188" s="1774"/>
      <c r="L188" s="1943"/>
      <c r="M188" s="10"/>
      <c r="N188" s="10"/>
      <c r="O188" s="10"/>
      <c r="P188" s="4"/>
      <c r="Q188" s="101"/>
      <c r="R188" s="171" t="str">
        <f>IF(Sort_NumValues&gt;1,dpSort_ValueScenario_2,"N/A")</f>
        <v>N/A</v>
      </c>
      <c r="S188" s="171"/>
      <c r="T188" s="137"/>
      <c r="U188" s="138"/>
      <c r="V188" s="138"/>
      <c r="W188" s="101"/>
      <c r="X188" s="427" t="str">
        <f>IF(Sort_NumValues&gt;1,MROUND(SUM(X182:X187),INDEX(Rounding_Options,MATCH(AC188,Rounding_Label,0),2)),"N/A")</f>
        <v>N/A</v>
      </c>
      <c r="Y188" s="101"/>
      <c r="Z188" s="6"/>
      <c r="AA188" s="10"/>
      <c r="AB188" s="150" t="s">
        <v>991</v>
      </c>
      <c r="AC188" s="702" t="s">
        <v>1037</v>
      </c>
      <c r="AD188" s="10"/>
    </row>
    <row r="189" spans="1:30" ht="15" customHeight="1" x14ac:dyDescent="0.25">
      <c r="A189" s="957">
        <f>IF(ValueAdj_Select1=3,1,0)</f>
        <v>0</v>
      </c>
      <c r="B189" s="10"/>
      <c r="C189" s="10"/>
      <c r="D189" s="10"/>
      <c r="E189" s="10"/>
      <c r="F189" s="10"/>
      <c r="G189" s="1774"/>
      <c r="H189" s="1774"/>
      <c r="I189" s="1774"/>
      <c r="J189" s="1774"/>
      <c r="K189" s="1774"/>
      <c r="L189" s="1943"/>
      <c r="M189" s="10"/>
      <c r="N189" s="10"/>
      <c r="O189" s="10"/>
      <c r="P189" s="4"/>
      <c r="Q189" s="101"/>
      <c r="R189" s="2118" t="str">
        <f>IF(ValueAdj_Select1=3,COUNT(R177:R181,R183:R187)+1,"")</f>
        <v/>
      </c>
      <c r="S189" s="764" t="s">
        <v>259</v>
      </c>
      <c r="T189" s="137"/>
      <c r="U189" s="138"/>
      <c r="V189" s="138"/>
      <c r="W189" s="101"/>
      <c r="X189" s="428">
        <f>IF(ValueAdj_Select1=3,-dpCost_CurableItemCost_Total,0)</f>
        <v>0</v>
      </c>
      <c r="Y189" s="101"/>
      <c r="Z189" s="6"/>
      <c r="AA189" s="10"/>
      <c r="AB189" s="10"/>
      <c r="AC189" s="10"/>
      <c r="AD189" s="10"/>
    </row>
    <row r="190" spans="1:30" ht="15" customHeight="1" x14ac:dyDescent="0.25">
      <c r="A190" s="957">
        <f>IF(ValueAdj_Select2=3,1,0)</f>
        <v>0</v>
      </c>
      <c r="B190" s="10"/>
      <c r="C190" s="10"/>
      <c r="D190" s="10"/>
      <c r="E190" s="10"/>
      <c r="F190" s="10"/>
      <c r="G190" s="1774"/>
      <c r="H190" s="1774"/>
      <c r="I190" s="1774"/>
      <c r="J190" s="1774"/>
      <c r="K190" s="1774"/>
      <c r="L190" s="1943"/>
      <c r="M190" s="10"/>
      <c r="N190" s="10"/>
      <c r="O190" s="10"/>
      <c r="P190" s="4"/>
      <c r="Q190" s="101"/>
      <c r="R190" s="2118" t="str">
        <f>IF(ValueAdj_Select2=3,COUNT(R177:R181,R183:R187,R189)+1,"")</f>
        <v/>
      </c>
      <c r="S190" s="764" t="str">
        <f>IF('Selection Tables'!$M$16=TRUE,IF(ValueAdj_Select2=3,"Less Lease-Up Discount:","N/A"),"N/A")</f>
        <v>N/A</v>
      </c>
      <c r="T190" s="137"/>
      <c r="U190" s="138"/>
      <c r="V190" s="138"/>
      <c r="W190" s="101"/>
      <c r="X190" s="428">
        <f>IF('Selection Tables'!$M$16=TRUE,IF(ValueAdj_Select2=3,-dpValue_LUD_Reconciled,0),0)</f>
        <v>0</v>
      </c>
      <c r="Y190" s="101"/>
      <c r="Z190" s="6"/>
      <c r="AA190" s="10"/>
      <c r="AB190" s="10"/>
      <c r="AC190" s="10"/>
      <c r="AD190" s="10"/>
    </row>
    <row r="191" spans="1:30" ht="15" customHeight="1" x14ac:dyDescent="0.25">
      <c r="A191" s="957">
        <f>IF(AdjSelect_UserDef1_SCA=TRUE,IF(ValueAdj_Select4=3,1,0),0)</f>
        <v>0</v>
      </c>
      <c r="B191" s="10"/>
      <c r="C191" s="10"/>
      <c r="D191" s="10"/>
      <c r="E191" s="10"/>
      <c r="F191" s="10"/>
      <c r="G191" s="1774"/>
      <c r="H191" s="1774"/>
      <c r="I191" s="1774"/>
      <c r="J191" s="1774"/>
      <c r="K191" s="1774"/>
      <c r="L191" s="1943"/>
      <c r="M191" s="10"/>
      <c r="N191" s="10"/>
      <c r="O191" s="10"/>
      <c r="P191" s="4"/>
      <c r="Q191" s="101"/>
      <c r="R191" s="2118" t="str">
        <f>IF(AdjSelect_UserDef1_SCA=TRUE,IF(ValueAdj_Select4=3,COUNT(R177:R181,R183:R187,R189:R190)+1,""),"")</f>
        <v/>
      </c>
      <c r="S191" s="764" t="str">
        <f>IF('Selection Tables'!$O$16=TRUE,IF(ValueAdj_Select4=3,IF(dpValue_UserDef1Adjustment_Value&lt;0,CONCATENATE("Less ",dpValue_UserDef1Adjustment_Name,":"),CONCATENATE("Plus ",dpValue_UserDef1Adjustment_Name,":")),"N/A"),"N/A")</f>
        <v>N/A</v>
      </c>
      <c r="T191" s="137"/>
      <c r="U191" s="138"/>
      <c r="V191" s="138"/>
      <c r="W191" s="101"/>
      <c r="X191" s="428">
        <f>IF('Selection Tables'!$O$16=TRUE,IF(ValueAdj_Select4=3,dpValue_UserDef1Adjustment_Value,0),0)</f>
        <v>0</v>
      </c>
      <c r="Y191" s="101"/>
      <c r="Z191" s="6"/>
      <c r="AA191" s="10"/>
      <c r="AB191" s="10"/>
      <c r="AC191" s="10"/>
      <c r="AD191" s="10"/>
    </row>
    <row r="192" spans="1:30" ht="15" customHeight="1" thickBot="1" x14ac:dyDescent="0.3">
      <c r="A192" s="957">
        <f>IF(AdjSelect_UserDef2_SCA=TRUE,IF(ValueAdj_Select5=3,1,0),0)</f>
        <v>0</v>
      </c>
      <c r="B192" s="10"/>
      <c r="C192" s="10"/>
      <c r="D192" s="10"/>
      <c r="E192" s="10"/>
      <c r="F192" s="10"/>
      <c r="G192" s="1774"/>
      <c r="H192" s="1774"/>
      <c r="I192" s="1774"/>
      <c r="J192" s="1774"/>
      <c r="K192" s="1774"/>
      <c r="L192" s="1943"/>
      <c r="M192" s="10"/>
      <c r="N192" s="10"/>
      <c r="O192" s="10"/>
      <c r="P192" s="4"/>
      <c r="Q192" s="101"/>
      <c r="R192" s="2118" t="str">
        <f>IF(AdjSelect_UserDef2_SCA=TRUE,IF(ValueAdj_Select5=3,COUNT(R177:R181,R183:R187,R189:R191)+1,""),"")</f>
        <v/>
      </c>
      <c r="S192" s="764" t="str">
        <f>IF('Selection Tables'!$P$16=TRUE,IF(ValueAdj_Select5=3,IF(dpValue_UserDef2Adjustment_Value&lt;0,CONCATENATE("Less ",dpValue_UserDef2Adjustment_Name,":"),CONCATENATE("Plus ",dpValue_UserDef2Adjustment_Name,":")),"N/A"),"N/A")</f>
        <v>N/A</v>
      </c>
      <c r="T192" s="137"/>
      <c r="U192" s="138"/>
      <c r="V192" s="138"/>
      <c r="W192" s="101"/>
      <c r="X192" s="428">
        <f>IF('Selection Tables'!$P$16=TRUE,IF(ValueAdj_Select5=3,dpValue_UserDef2Adjustment_Value,0),0)</f>
        <v>0</v>
      </c>
      <c r="Y192" s="101"/>
      <c r="Z192" s="6"/>
      <c r="AA192" s="10"/>
      <c r="AB192" s="10"/>
      <c r="AC192" s="10"/>
      <c r="AD192" s="10"/>
    </row>
    <row r="193" spans="1:30" ht="15" customHeight="1" thickBot="1" x14ac:dyDescent="0.3">
      <c r="A193" s="957">
        <f>IF(Sort_NumValues&gt;2,1,0)</f>
        <v>0</v>
      </c>
      <c r="B193" s="10"/>
      <c r="C193" s="10"/>
      <c r="D193" s="10"/>
      <c r="E193" s="10"/>
      <c r="F193" s="10"/>
      <c r="G193" s="1774"/>
      <c r="H193" s="1774"/>
      <c r="I193" s="1774"/>
      <c r="J193" s="1774"/>
      <c r="K193" s="1774"/>
      <c r="L193" s="1943"/>
      <c r="M193" s="10"/>
      <c r="N193" s="10"/>
      <c r="O193" s="10"/>
      <c r="P193" s="4"/>
      <c r="Q193" s="101"/>
      <c r="R193" s="666" t="str">
        <f>IF(Sort_NumValues&gt;2,dpSort_ValueScenario_3,"N/A")</f>
        <v>N/A</v>
      </c>
      <c r="S193" s="666"/>
      <c r="T193" s="131"/>
      <c r="U193" s="1710"/>
      <c r="V193" s="1710"/>
      <c r="W193" s="139"/>
      <c r="X193" s="1753" t="str">
        <f>IF(Sort_NumValues&gt;2,MROUND(SUM(X188:X192),INDEX(Rounding_Options,MATCH(AC193,Rounding_Label,0),2)),"N/A")</f>
        <v>N/A</v>
      </c>
      <c r="Y193" s="101"/>
      <c r="Z193" s="6"/>
      <c r="AA193" s="10"/>
      <c r="AB193" s="150" t="s">
        <v>991</v>
      </c>
      <c r="AC193" s="702" t="s">
        <v>1037</v>
      </c>
      <c r="AD193" s="10"/>
    </row>
    <row r="194" spans="1:30" ht="15" customHeight="1" x14ac:dyDescent="0.25">
      <c r="A194" s="957">
        <f>IF(COUNT(Analysis_ID_1_SalesComponents,Analysis_ID_2_SalesComponents,Analysis_ID_3_SalesComponents)&gt;0,1,0)</f>
        <v>0</v>
      </c>
      <c r="B194" s="10"/>
      <c r="C194" s="10"/>
      <c r="D194" s="10"/>
      <c r="E194" s="10"/>
      <c r="F194" s="10"/>
      <c r="G194" s="1774"/>
      <c r="H194" s="1774"/>
      <c r="I194" s="1774"/>
      <c r="J194" s="1774"/>
      <c r="K194" s="1774"/>
      <c r="L194" s="1943"/>
      <c r="M194" s="10"/>
      <c r="N194" s="10"/>
      <c r="O194" s="10"/>
      <c r="P194" s="4"/>
      <c r="Q194" s="101"/>
      <c r="R194" s="2121">
        <v>1</v>
      </c>
      <c r="S194" s="2122" t="s">
        <v>1826</v>
      </c>
      <c r="T194" s="2126"/>
      <c r="U194" s="138"/>
      <c r="V194" s="138"/>
      <c r="W194" s="101"/>
      <c r="X194" s="1388"/>
      <c r="Y194" s="101"/>
      <c r="Z194" s="6"/>
      <c r="AA194" s="10"/>
      <c r="AB194" s="150"/>
      <c r="AC194" s="10"/>
      <c r="AD194" s="10"/>
    </row>
    <row r="195" spans="1:30" ht="15" customHeight="1" x14ac:dyDescent="0.25">
      <c r="A195" s="957">
        <f>IF(COUNT(Analysis_ID_1_SalesComponents,Analysis_ID_2_SalesComponents,Analysis_ID_3_SalesComponents)&gt;1,1,0)</f>
        <v>0</v>
      </c>
      <c r="B195" s="10"/>
      <c r="C195" s="10"/>
      <c r="D195" s="10"/>
      <c r="E195" s="10"/>
      <c r="F195" s="10"/>
      <c r="G195" s="1774"/>
      <c r="H195" s="1774"/>
      <c r="I195" s="1774"/>
      <c r="J195" s="1774"/>
      <c r="K195" s="1774"/>
      <c r="L195" s="1943"/>
      <c r="M195" s="10"/>
      <c r="N195" s="10"/>
      <c r="O195" s="10"/>
      <c r="P195" s="4"/>
      <c r="Q195" s="101"/>
      <c r="R195" s="2117">
        <f>R194+1</f>
        <v>2</v>
      </c>
      <c r="S195" s="2123" t="s">
        <v>1827</v>
      </c>
      <c r="T195" s="423"/>
      <c r="U195" s="138"/>
      <c r="V195" s="138"/>
      <c r="W195" s="101"/>
      <c r="X195" s="1388"/>
      <c r="Y195" s="101"/>
      <c r="Z195" s="6"/>
      <c r="AA195" s="10"/>
      <c r="AB195" s="150"/>
      <c r="AC195" s="10"/>
      <c r="AD195" s="10"/>
    </row>
    <row r="196" spans="1:30" ht="15" customHeight="1" x14ac:dyDescent="0.25">
      <c r="A196" s="957">
        <f>IF(COUNT(Analysis_ID_1_SalesComponents,Analysis_ID_2_SalesComponents,Analysis_ID_3_SalesComponents)&gt;2,1,0)</f>
        <v>0</v>
      </c>
      <c r="B196" s="10"/>
      <c r="C196" s="10"/>
      <c r="D196" s="10"/>
      <c r="E196" s="10"/>
      <c r="F196" s="10"/>
      <c r="G196" s="1774"/>
      <c r="H196" s="1774"/>
      <c r="I196" s="1774"/>
      <c r="J196" s="1774"/>
      <c r="K196" s="1774"/>
      <c r="L196" s="1943"/>
      <c r="M196" s="10"/>
      <c r="N196" s="10"/>
      <c r="O196" s="10"/>
      <c r="P196" s="4"/>
      <c r="Q196" s="101"/>
      <c r="R196" s="2117">
        <f>R195+1</f>
        <v>3</v>
      </c>
      <c r="S196" s="2123" t="s">
        <v>1828</v>
      </c>
      <c r="T196" s="423"/>
      <c r="U196" s="138"/>
      <c r="V196" s="138"/>
      <c r="W196" s="101"/>
      <c r="X196" s="1388"/>
      <c r="Y196" s="101"/>
      <c r="Z196" s="6"/>
      <c r="AA196" s="10"/>
      <c r="AB196" s="150"/>
      <c r="AC196" s="10"/>
      <c r="AD196" s="10"/>
    </row>
    <row r="197" spans="1:30" ht="15" customHeight="1" x14ac:dyDescent="0.25">
      <c r="A197" s="957">
        <f>IF(COUNT(Analysis_ID_1_SalesComponents,Analysis_ID_2_SalesComponents,Analysis_ID_3_SalesComponents)&gt;3,1,0)</f>
        <v>0</v>
      </c>
      <c r="B197" s="10"/>
      <c r="C197" s="10"/>
      <c r="D197" s="10"/>
      <c r="E197" s="10"/>
      <c r="F197" s="10"/>
      <c r="G197" s="1774"/>
      <c r="H197" s="1774"/>
      <c r="I197" s="1774"/>
      <c r="J197" s="1774"/>
      <c r="K197" s="1774"/>
      <c r="L197" s="1943"/>
      <c r="M197" s="10"/>
      <c r="N197" s="10"/>
      <c r="O197" s="10"/>
      <c r="P197" s="4"/>
      <c r="Q197" s="101"/>
      <c r="R197" s="2117">
        <f>R196+1</f>
        <v>4</v>
      </c>
      <c r="S197" s="2123" t="s">
        <v>1828</v>
      </c>
      <c r="T197" s="423"/>
      <c r="U197" s="138"/>
      <c r="V197" s="138"/>
      <c r="W197" s="101"/>
      <c r="X197" s="1388"/>
      <c r="Y197" s="101"/>
      <c r="Z197" s="6"/>
      <c r="AA197" s="10"/>
      <c r="AB197" s="150"/>
      <c r="AC197" s="10"/>
      <c r="AD197" s="10"/>
    </row>
    <row r="198" spans="1:30" ht="15" customHeight="1" x14ac:dyDescent="0.25">
      <c r="A198" s="957">
        <f>IF(COUNT(Analysis_ID_1_SalesComponents,Analysis_ID_2_SalesComponents,Analysis_ID_3_SalesComponents)&gt;4,1,0)</f>
        <v>0</v>
      </c>
      <c r="B198" s="10"/>
      <c r="C198" s="10"/>
      <c r="D198" s="10"/>
      <c r="E198" s="10"/>
      <c r="F198" s="10"/>
      <c r="G198" s="1774"/>
      <c r="H198" s="1774"/>
      <c r="I198" s="1774"/>
      <c r="J198" s="1774"/>
      <c r="K198" s="1774"/>
      <c r="L198" s="1943"/>
      <c r="M198" s="10"/>
      <c r="N198" s="10"/>
      <c r="O198" s="10"/>
      <c r="P198" s="4"/>
      <c r="Q198" s="101"/>
      <c r="R198" s="2117">
        <f>R197+1</f>
        <v>5</v>
      </c>
      <c r="S198" s="2123" t="s">
        <v>1828</v>
      </c>
      <c r="T198" s="423"/>
      <c r="U198" s="138"/>
      <c r="V198" s="138"/>
      <c r="W198" s="101"/>
      <c r="X198" s="1388"/>
      <c r="Y198" s="101"/>
      <c r="Z198" s="6"/>
      <c r="AA198" s="10"/>
      <c r="AB198" s="150"/>
      <c r="AC198" s="10"/>
      <c r="AD198" s="10"/>
    </row>
    <row r="199" spans="1:30" ht="15" customHeight="1" thickBot="1" x14ac:dyDescent="0.3">
      <c r="A199" s="707"/>
      <c r="B199" s="10"/>
      <c r="C199" s="10"/>
      <c r="D199" s="10"/>
      <c r="E199" s="10"/>
      <c r="F199" s="10"/>
      <c r="G199" s="1774"/>
      <c r="H199" s="1774"/>
      <c r="I199" s="1774"/>
      <c r="J199" s="1774"/>
      <c r="K199" s="1774"/>
      <c r="L199" s="1943"/>
      <c r="M199" s="10"/>
      <c r="N199" s="10"/>
      <c r="O199" s="10"/>
      <c r="P199" s="8"/>
      <c r="Q199" s="7"/>
      <c r="R199" s="553" t="s">
        <v>1628</v>
      </c>
      <c r="S199" s="553"/>
      <c r="T199" s="7"/>
      <c r="U199" s="7"/>
      <c r="V199" s="14"/>
      <c r="W199" s="7"/>
      <c r="X199" s="14"/>
      <c r="Y199" s="7"/>
      <c r="Z199" s="9"/>
      <c r="AA199" s="10"/>
      <c r="AB199" s="10"/>
      <c r="AC199" s="10"/>
      <c r="AD199" s="10"/>
    </row>
    <row r="200" spans="1:30" ht="15" customHeight="1" x14ac:dyDescent="0.25">
      <c r="A200" s="707"/>
      <c r="B200" s="10"/>
      <c r="C200" s="10"/>
      <c r="D200" s="10"/>
      <c r="E200" s="10"/>
      <c r="F200" s="10"/>
      <c r="G200" s="1774"/>
      <c r="H200" s="1774"/>
      <c r="I200" s="1774"/>
      <c r="J200" s="1774"/>
      <c r="K200" s="1774"/>
      <c r="L200" s="1943"/>
      <c r="M200" s="10"/>
      <c r="N200" s="10"/>
      <c r="O200" s="10"/>
      <c r="P200" s="10"/>
      <c r="Q200" s="10"/>
      <c r="R200" s="10"/>
      <c r="S200" s="10"/>
      <c r="T200" s="10"/>
      <c r="U200" s="10"/>
      <c r="V200" s="10"/>
      <c r="W200" s="10"/>
      <c r="X200" s="10"/>
      <c r="Y200" s="10"/>
      <c r="Z200" s="10"/>
      <c r="AA200" s="10"/>
      <c r="AB200" s="10"/>
      <c r="AC200" s="10"/>
      <c r="AD200" s="10"/>
    </row>
    <row r="201" spans="1:30" x14ac:dyDescent="0.25">
      <c r="B201" s="911"/>
      <c r="C201" s="911"/>
      <c r="D201" s="911"/>
      <c r="E201" s="911"/>
      <c r="F201" s="911"/>
      <c r="G201" s="2713"/>
      <c r="H201" s="2713"/>
      <c r="I201" s="2713"/>
      <c r="J201" s="2713"/>
      <c r="K201" s="2713"/>
      <c r="L201" s="2714"/>
      <c r="M201" s="911"/>
      <c r="N201" s="911"/>
      <c r="O201" s="911"/>
      <c r="P201" s="911"/>
      <c r="Q201" s="911"/>
      <c r="R201" s="911"/>
      <c r="S201" s="911"/>
      <c r="T201" s="911"/>
      <c r="U201" s="911"/>
      <c r="V201" s="911"/>
      <c r="W201" s="911"/>
      <c r="X201" s="911"/>
      <c r="Y201" s="911"/>
      <c r="Z201" s="911"/>
      <c r="AA201" s="911"/>
      <c r="AB201" s="911"/>
      <c r="AC201" s="911"/>
      <c r="AD201" s="911"/>
    </row>
    <row r="202" spans="1:30" x14ac:dyDescent="0.25">
      <c r="B202" s="911"/>
      <c r="C202" s="911"/>
      <c r="D202" s="911"/>
      <c r="E202" s="911"/>
      <c r="F202" s="911"/>
      <c r="G202" s="2713"/>
      <c r="H202" s="2713"/>
      <c r="I202" s="2713"/>
      <c r="J202" s="2713"/>
      <c r="K202" s="2713"/>
      <c r="L202" s="2714"/>
      <c r="M202" s="911"/>
      <c r="N202" s="911"/>
      <c r="O202" s="911"/>
      <c r="P202" s="911"/>
      <c r="Q202" s="911"/>
      <c r="R202" s="911"/>
      <c r="S202" s="911"/>
      <c r="T202" s="911"/>
      <c r="U202" s="911"/>
      <c r="V202" s="911"/>
      <c r="W202" s="911"/>
      <c r="X202" s="911"/>
      <c r="Y202" s="911"/>
      <c r="Z202" s="911"/>
      <c r="AA202" s="911"/>
      <c r="AB202" s="911"/>
      <c r="AC202" s="911"/>
      <c r="AD202" s="911"/>
    </row>
    <row r="203" spans="1:30" x14ac:dyDescent="0.25">
      <c r="B203" s="911"/>
      <c r="C203" s="911"/>
      <c r="D203" s="911"/>
      <c r="E203" s="911"/>
      <c r="F203" s="911"/>
      <c r="G203" s="2713"/>
      <c r="H203" s="2713"/>
      <c r="I203" s="2713"/>
      <c r="J203" s="2713"/>
      <c r="K203" s="2713"/>
      <c r="L203" s="2714"/>
      <c r="M203" s="911"/>
      <c r="N203" s="911"/>
      <c r="O203" s="911"/>
      <c r="P203" s="911"/>
      <c r="Q203" s="911"/>
      <c r="R203" s="911"/>
      <c r="S203" s="911"/>
      <c r="T203" s="911"/>
      <c r="U203" s="911"/>
      <c r="V203" s="911"/>
      <c r="W203" s="911"/>
      <c r="X203" s="911"/>
      <c r="Y203" s="911"/>
      <c r="Z203" s="911"/>
      <c r="AA203" s="911"/>
      <c r="AB203" s="911"/>
      <c r="AC203" s="911"/>
      <c r="AD203" s="911"/>
    </row>
    <row r="204" spans="1:30" x14ac:dyDescent="0.25">
      <c r="B204" s="911"/>
      <c r="C204" s="911"/>
      <c r="D204" s="911"/>
      <c r="E204" s="911"/>
      <c r="F204" s="911"/>
      <c r="G204" s="2713"/>
      <c r="H204" s="2713"/>
      <c r="I204" s="2713"/>
      <c r="J204" s="2713"/>
      <c r="K204" s="2713"/>
      <c r="L204" s="2714"/>
      <c r="M204" s="911"/>
      <c r="N204" s="911"/>
      <c r="O204" s="911"/>
      <c r="P204" s="911"/>
      <c r="Q204" s="911"/>
      <c r="R204" s="911"/>
      <c r="S204" s="911"/>
      <c r="T204" s="911"/>
      <c r="U204" s="911"/>
      <c r="V204" s="911"/>
      <c r="W204" s="911"/>
      <c r="X204" s="911"/>
      <c r="Y204" s="911"/>
      <c r="Z204" s="911"/>
      <c r="AA204" s="911"/>
      <c r="AB204" s="911"/>
      <c r="AC204" s="911"/>
      <c r="AD204" s="911"/>
    </row>
    <row r="205" spans="1:30" x14ac:dyDescent="0.25">
      <c r="B205" s="911"/>
      <c r="C205" s="911"/>
      <c r="D205" s="911"/>
      <c r="E205" s="911"/>
      <c r="F205" s="911"/>
      <c r="G205" s="2713"/>
      <c r="H205" s="2713"/>
      <c r="I205" s="2713"/>
      <c r="J205" s="2713"/>
      <c r="K205" s="2713"/>
      <c r="L205" s="2714"/>
      <c r="M205" s="911"/>
      <c r="N205" s="911"/>
      <c r="O205" s="911"/>
      <c r="P205" s="911"/>
      <c r="Q205" s="911"/>
      <c r="R205" s="911"/>
      <c r="S205" s="911"/>
      <c r="T205" s="911"/>
      <c r="U205" s="911"/>
      <c r="V205" s="911"/>
      <c r="W205" s="911"/>
      <c r="X205" s="911"/>
      <c r="Y205" s="911"/>
      <c r="Z205" s="911"/>
      <c r="AA205" s="911"/>
      <c r="AB205" s="911"/>
      <c r="AC205" s="911"/>
      <c r="AD205" s="911"/>
    </row>
    <row r="206" spans="1:30" x14ac:dyDescent="0.25">
      <c r="B206" s="911"/>
      <c r="C206" s="911"/>
      <c r="D206" s="911"/>
      <c r="E206" s="911"/>
      <c r="F206" s="911"/>
      <c r="G206" s="2713"/>
      <c r="H206" s="2713"/>
      <c r="I206" s="2713"/>
      <c r="J206" s="2713"/>
      <c r="K206" s="2713"/>
      <c r="L206" s="2714"/>
      <c r="M206" s="911"/>
      <c r="N206" s="911"/>
      <c r="O206" s="911"/>
      <c r="P206" s="911"/>
      <c r="Q206" s="911"/>
      <c r="R206" s="911"/>
      <c r="S206" s="911"/>
      <c r="T206" s="911"/>
      <c r="U206" s="911"/>
      <c r="V206" s="911"/>
      <c r="W206" s="911"/>
      <c r="X206" s="911"/>
      <c r="Y206" s="911"/>
      <c r="Z206" s="911"/>
      <c r="AA206" s="911"/>
      <c r="AB206" s="911"/>
      <c r="AC206" s="911"/>
      <c r="AD206" s="911"/>
    </row>
    <row r="207" spans="1:30" x14ac:dyDescent="0.25">
      <c r="B207" s="911"/>
      <c r="C207" s="911"/>
      <c r="D207" s="911"/>
      <c r="E207" s="911"/>
      <c r="F207" s="911"/>
      <c r="G207" s="2713"/>
      <c r="H207" s="2713"/>
      <c r="I207" s="2713"/>
      <c r="J207" s="2713"/>
      <c r="K207" s="2713"/>
      <c r="L207" s="2714"/>
      <c r="M207" s="911"/>
      <c r="N207" s="911"/>
      <c r="O207" s="911"/>
      <c r="P207" s="911"/>
      <c r="Q207" s="911"/>
      <c r="R207" s="911"/>
      <c r="S207" s="911"/>
      <c r="T207" s="911"/>
      <c r="U207" s="911"/>
      <c r="V207" s="911"/>
      <c r="W207" s="911"/>
      <c r="X207" s="911"/>
      <c r="Y207" s="911"/>
      <c r="Z207" s="911"/>
      <c r="AA207" s="911"/>
      <c r="AB207" s="911"/>
      <c r="AC207" s="911"/>
      <c r="AD207" s="911"/>
    </row>
    <row r="208" spans="1:30" x14ac:dyDescent="0.25">
      <c r="B208" s="911"/>
      <c r="C208" s="911"/>
      <c r="D208" s="911"/>
      <c r="E208" s="911"/>
      <c r="F208" s="911"/>
      <c r="G208" s="2713"/>
      <c r="H208" s="2713"/>
      <c r="I208" s="2713"/>
      <c r="J208" s="2713"/>
      <c r="K208" s="2713"/>
      <c r="L208" s="2714"/>
      <c r="M208" s="911"/>
      <c r="N208" s="911"/>
      <c r="O208" s="911"/>
      <c r="P208" s="911"/>
      <c r="Q208" s="911"/>
      <c r="R208" s="911"/>
      <c r="S208" s="911"/>
      <c r="T208" s="911"/>
      <c r="U208" s="911"/>
      <c r="V208" s="911"/>
      <c r="W208" s="911"/>
      <c r="X208" s="911"/>
      <c r="Y208" s="911"/>
      <c r="Z208" s="911"/>
      <c r="AA208" s="911"/>
      <c r="AB208" s="911"/>
      <c r="AC208" s="911"/>
      <c r="AD208" s="911"/>
    </row>
    <row r="209" spans="2:30" x14ac:dyDescent="0.25">
      <c r="B209" s="911"/>
      <c r="C209" s="911"/>
      <c r="D209" s="911"/>
      <c r="E209" s="911"/>
      <c r="F209" s="911"/>
      <c r="G209" s="2713"/>
      <c r="H209" s="2713"/>
      <c r="I209" s="2713"/>
      <c r="J209" s="2713"/>
      <c r="K209" s="2713"/>
      <c r="L209" s="2714"/>
      <c r="M209" s="911"/>
      <c r="N209" s="911"/>
      <c r="O209" s="911"/>
      <c r="P209" s="911"/>
      <c r="Q209" s="911"/>
      <c r="R209" s="911"/>
      <c r="S209" s="911"/>
      <c r="T209" s="911"/>
      <c r="U209" s="911"/>
      <c r="V209" s="911"/>
      <c r="W209" s="911"/>
      <c r="X209" s="911"/>
      <c r="Y209" s="911"/>
      <c r="Z209" s="911"/>
      <c r="AA209" s="911"/>
      <c r="AB209" s="911"/>
      <c r="AC209" s="911"/>
      <c r="AD209" s="911"/>
    </row>
    <row r="210" spans="2:30" x14ac:dyDescent="0.25">
      <c r="B210" s="911"/>
      <c r="C210" s="911"/>
      <c r="D210" s="911"/>
      <c r="E210" s="911"/>
      <c r="F210" s="911"/>
      <c r="G210" s="2713"/>
      <c r="H210" s="2713"/>
      <c r="I210" s="2713"/>
      <c r="J210" s="2713"/>
      <c r="K210" s="2713"/>
      <c r="L210" s="2714"/>
      <c r="M210" s="911"/>
      <c r="N210" s="911"/>
      <c r="O210" s="911"/>
      <c r="P210" s="911"/>
      <c r="Q210" s="911"/>
      <c r="R210" s="911"/>
      <c r="S210" s="911"/>
      <c r="T210" s="911"/>
      <c r="U210" s="911"/>
      <c r="V210" s="911"/>
      <c r="W210" s="911"/>
      <c r="X210" s="911"/>
      <c r="Y210" s="911"/>
      <c r="Z210" s="911"/>
      <c r="AA210" s="911"/>
      <c r="AB210" s="911"/>
      <c r="AC210" s="911"/>
      <c r="AD210" s="911"/>
    </row>
    <row r="211" spans="2:30" x14ac:dyDescent="0.25">
      <c r="B211" s="911"/>
      <c r="C211" s="911"/>
      <c r="D211" s="911"/>
      <c r="E211" s="911"/>
      <c r="F211" s="911"/>
      <c r="G211" s="2713"/>
      <c r="H211" s="2713"/>
      <c r="I211" s="2713"/>
      <c r="J211" s="2713"/>
      <c r="K211" s="2713"/>
      <c r="L211" s="2714"/>
      <c r="M211" s="911"/>
      <c r="N211" s="911"/>
      <c r="O211" s="911"/>
      <c r="P211" s="911"/>
      <c r="Q211" s="911"/>
      <c r="R211" s="911"/>
      <c r="S211" s="911"/>
      <c r="T211" s="911"/>
      <c r="U211" s="911"/>
      <c r="V211" s="911"/>
      <c r="W211" s="911"/>
      <c r="X211" s="911"/>
      <c r="Y211" s="911"/>
      <c r="Z211" s="911"/>
      <c r="AA211" s="911"/>
      <c r="AB211" s="911"/>
      <c r="AC211" s="911"/>
      <c r="AD211" s="911"/>
    </row>
    <row r="212" spans="2:30" x14ac:dyDescent="0.25">
      <c r="B212" s="911"/>
      <c r="C212" s="911"/>
      <c r="D212" s="911"/>
      <c r="E212" s="911"/>
      <c r="F212" s="911"/>
      <c r="G212" s="2713"/>
      <c r="H212" s="2713"/>
      <c r="I212" s="2713"/>
      <c r="J212" s="2713"/>
      <c r="K212" s="2713"/>
      <c r="L212" s="2714"/>
      <c r="M212" s="911"/>
      <c r="N212" s="911"/>
      <c r="O212" s="911"/>
      <c r="P212" s="911"/>
      <c r="Q212" s="911"/>
      <c r="R212" s="911"/>
      <c r="S212" s="911"/>
      <c r="T212" s="911"/>
      <c r="U212" s="911"/>
      <c r="V212" s="911"/>
      <c r="W212" s="911"/>
      <c r="X212" s="911"/>
      <c r="Y212" s="911"/>
      <c r="Z212" s="911"/>
      <c r="AA212" s="911"/>
      <c r="AB212" s="911"/>
      <c r="AC212" s="911"/>
      <c r="AD212" s="911"/>
    </row>
    <row r="213" spans="2:30" x14ac:dyDescent="0.25">
      <c r="B213" s="911"/>
      <c r="C213" s="911"/>
      <c r="D213" s="911"/>
      <c r="E213" s="911"/>
      <c r="F213" s="911"/>
      <c r="G213" s="2713"/>
      <c r="H213" s="2713"/>
      <c r="I213" s="2713"/>
      <c r="J213" s="2713"/>
      <c r="K213" s="2713"/>
      <c r="L213" s="2714"/>
      <c r="M213" s="911"/>
      <c r="N213" s="911"/>
      <c r="O213" s="911"/>
      <c r="P213" s="911"/>
      <c r="Q213" s="911"/>
      <c r="R213" s="911"/>
      <c r="S213" s="911"/>
      <c r="T213" s="911"/>
      <c r="U213" s="911"/>
      <c r="V213" s="911"/>
      <c r="W213" s="911"/>
      <c r="X213" s="911"/>
      <c r="Y213" s="911"/>
      <c r="Z213" s="911"/>
      <c r="AA213" s="911"/>
      <c r="AB213" s="911"/>
      <c r="AC213" s="911"/>
      <c r="AD213" s="911"/>
    </row>
    <row r="214" spans="2:30" x14ac:dyDescent="0.25">
      <c r="B214" s="911"/>
      <c r="C214" s="911"/>
      <c r="D214" s="911"/>
      <c r="E214" s="911"/>
      <c r="F214" s="911"/>
      <c r="G214" s="2713"/>
      <c r="H214" s="2713"/>
      <c r="I214" s="2713"/>
      <c r="J214" s="2713"/>
      <c r="K214" s="2713"/>
      <c r="L214" s="2714"/>
      <c r="M214" s="911"/>
      <c r="N214" s="911"/>
      <c r="O214" s="911"/>
      <c r="P214" s="911"/>
      <c r="Q214" s="911"/>
      <c r="R214" s="911"/>
      <c r="S214" s="911"/>
      <c r="T214" s="911"/>
      <c r="U214" s="911"/>
      <c r="V214" s="911"/>
      <c r="W214" s="911"/>
      <c r="X214" s="911"/>
      <c r="Y214" s="911"/>
      <c r="Z214" s="911"/>
      <c r="AA214" s="911"/>
      <c r="AB214" s="911"/>
      <c r="AC214" s="911"/>
      <c r="AD214" s="911"/>
    </row>
    <row r="215" spans="2:30" x14ac:dyDescent="0.25">
      <c r="B215" s="911"/>
      <c r="C215" s="911"/>
      <c r="D215" s="911"/>
      <c r="E215" s="911"/>
      <c r="F215" s="911"/>
      <c r="G215" s="2713"/>
      <c r="H215" s="2713"/>
      <c r="I215" s="2713"/>
      <c r="J215" s="2713"/>
      <c r="K215" s="2713"/>
      <c r="L215" s="2714"/>
      <c r="M215" s="911"/>
      <c r="N215" s="911"/>
      <c r="O215" s="911"/>
      <c r="P215" s="911"/>
      <c r="Q215" s="911"/>
      <c r="R215" s="911"/>
      <c r="S215" s="911"/>
      <c r="T215" s="911"/>
      <c r="U215" s="911"/>
      <c r="V215" s="911"/>
      <c r="W215" s="911"/>
      <c r="X215" s="911"/>
      <c r="Y215" s="911"/>
      <c r="Z215" s="911"/>
      <c r="AA215" s="911"/>
      <c r="AB215" s="911"/>
      <c r="AC215" s="911"/>
      <c r="AD215" s="911"/>
    </row>
    <row r="216" spans="2:30" x14ac:dyDescent="0.25">
      <c r="B216" s="911"/>
      <c r="C216" s="911"/>
      <c r="D216" s="911"/>
      <c r="E216" s="911"/>
      <c r="F216" s="911"/>
      <c r="G216" s="2713"/>
      <c r="H216" s="2713"/>
      <c r="I216" s="2713"/>
      <c r="J216" s="2713"/>
      <c r="K216" s="2713"/>
      <c r="L216" s="2714"/>
      <c r="M216" s="911"/>
      <c r="N216" s="911"/>
      <c r="O216" s="911"/>
      <c r="P216" s="911"/>
      <c r="Q216" s="911"/>
      <c r="R216" s="911"/>
      <c r="S216" s="911"/>
      <c r="T216" s="911"/>
      <c r="U216" s="911"/>
      <c r="V216" s="911"/>
      <c r="W216" s="911"/>
      <c r="X216" s="911"/>
      <c r="Y216" s="911"/>
      <c r="Z216" s="911"/>
      <c r="AA216" s="911"/>
      <c r="AB216" s="911"/>
      <c r="AC216" s="911"/>
      <c r="AD216" s="911"/>
    </row>
    <row r="217" spans="2:30" x14ac:dyDescent="0.25">
      <c r="B217" s="911"/>
      <c r="C217" s="911"/>
      <c r="D217" s="911"/>
      <c r="E217" s="911"/>
      <c r="F217" s="911"/>
      <c r="G217" s="2713"/>
      <c r="H217" s="2713"/>
      <c r="I217" s="2713"/>
      <c r="J217" s="2713"/>
      <c r="K217" s="2713"/>
      <c r="L217" s="2714"/>
      <c r="M217" s="911"/>
      <c r="N217" s="911"/>
      <c r="O217" s="911"/>
      <c r="P217" s="911"/>
      <c r="Q217" s="911"/>
      <c r="R217" s="911"/>
      <c r="S217" s="911"/>
      <c r="T217" s="911"/>
      <c r="U217" s="911"/>
      <c r="V217" s="911"/>
      <c r="W217" s="911"/>
      <c r="X217" s="911"/>
      <c r="Y217" s="911"/>
      <c r="Z217" s="911"/>
      <c r="AA217" s="911"/>
      <c r="AB217" s="911"/>
      <c r="AC217" s="911"/>
      <c r="AD217" s="911"/>
    </row>
    <row r="218" spans="2:30" x14ac:dyDescent="0.25">
      <c r="B218" s="911"/>
      <c r="C218" s="911"/>
      <c r="D218" s="911"/>
      <c r="E218" s="911"/>
      <c r="F218" s="911"/>
      <c r="G218" s="2713"/>
      <c r="H218" s="2713"/>
      <c r="I218" s="2713"/>
      <c r="J218" s="2713"/>
      <c r="K218" s="2713"/>
      <c r="L218" s="2714"/>
      <c r="M218" s="911"/>
      <c r="N218" s="911"/>
      <c r="O218" s="911"/>
      <c r="P218" s="911"/>
      <c r="Q218" s="911"/>
      <c r="R218" s="911"/>
      <c r="S218" s="911"/>
      <c r="T218" s="911"/>
      <c r="U218" s="911"/>
      <c r="V218" s="911"/>
      <c r="W218" s="911"/>
      <c r="X218" s="911"/>
      <c r="Y218" s="911"/>
      <c r="Z218" s="911"/>
      <c r="AA218" s="911"/>
      <c r="AB218" s="911"/>
      <c r="AC218" s="911"/>
      <c r="AD218" s="911"/>
    </row>
    <row r="219" spans="2:30" x14ac:dyDescent="0.25">
      <c r="B219" s="911"/>
      <c r="C219" s="911"/>
      <c r="D219" s="911"/>
      <c r="E219" s="911"/>
      <c r="F219" s="911"/>
      <c r="G219" s="2713"/>
      <c r="H219" s="2713"/>
      <c r="I219" s="2713"/>
      <c r="J219" s="2713"/>
      <c r="K219" s="2713"/>
      <c r="L219" s="2714"/>
      <c r="M219" s="911"/>
      <c r="N219" s="911"/>
      <c r="O219" s="911"/>
      <c r="P219" s="911"/>
      <c r="Q219" s="911"/>
      <c r="R219" s="911"/>
      <c r="S219" s="911"/>
      <c r="T219" s="911"/>
      <c r="U219" s="911"/>
      <c r="V219" s="911"/>
      <c r="W219" s="911"/>
      <c r="X219" s="911"/>
      <c r="Y219" s="911"/>
      <c r="Z219" s="911"/>
      <c r="AA219" s="911"/>
      <c r="AB219" s="911"/>
      <c r="AC219" s="911"/>
      <c r="AD219" s="911"/>
    </row>
    <row r="220" spans="2:30" x14ac:dyDescent="0.25">
      <c r="B220" s="911"/>
      <c r="C220" s="911"/>
      <c r="D220" s="911"/>
      <c r="E220" s="911"/>
      <c r="F220" s="911"/>
      <c r="G220" s="2713"/>
      <c r="H220" s="2713"/>
      <c r="I220" s="2713"/>
      <c r="J220" s="2713"/>
      <c r="K220" s="2713"/>
      <c r="L220" s="2714"/>
      <c r="M220" s="911"/>
      <c r="N220" s="911"/>
      <c r="O220" s="911"/>
      <c r="P220" s="911"/>
      <c r="Q220" s="911"/>
      <c r="R220" s="911"/>
      <c r="S220" s="911"/>
      <c r="T220" s="911"/>
      <c r="U220" s="911"/>
      <c r="V220" s="911"/>
      <c r="W220" s="911"/>
      <c r="X220" s="911"/>
      <c r="Y220" s="911"/>
      <c r="Z220" s="911"/>
      <c r="AA220" s="911"/>
      <c r="AB220" s="911"/>
      <c r="AC220" s="911"/>
      <c r="AD220" s="911"/>
    </row>
    <row r="221" spans="2:30" x14ac:dyDescent="0.25">
      <c r="B221" s="911"/>
      <c r="C221" s="911"/>
      <c r="D221" s="911"/>
      <c r="E221" s="911"/>
      <c r="F221" s="911"/>
      <c r="G221" s="2713"/>
      <c r="H221" s="2713"/>
      <c r="I221" s="2713"/>
      <c r="J221" s="2713"/>
      <c r="K221" s="2713"/>
      <c r="L221" s="2714"/>
      <c r="M221" s="911"/>
      <c r="N221" s="911"/>
      <c r="O221" s="911"/>
      <c r="P221" s="911"/>
      <c r="Q221" s="911"/>
      <c r="R221" s="911"/>
      <c r="S221" s="911"/>
      <c r="T221" s="911"/>
      <c r="U221" s="911"/>
      <c r="V221" s="911"/>
      <c r="W221" s="911"/>
      <c r="X221" s="911"/>
      <c r="Y221" s="911"/>
      <c r="Z221" s="911"/>
      <c r="AA221" s="911"/>
      <c r="AB221" s="911"/>
      <c r="AC221" s="911"/>
      <c r="AD221" s="911"/>
    </row>
    <row r="222" spans="2:30" x14ac:dyDescent="0.25">
      <c r="B222" s="911"/>
      <c r="C222" s="911"/>
      <c r="D222" s="911"/>
      <c r="E222" s="911"/>
      <c r="F222" s="911"/>
      <c r="G222" s="2713"/>
      <c r="H222" s="2713"/>
      <c r="I222" s="2713"/>
      <c r="J222" s="2713"/>
      <c r="K222" s="2713"/>
      <c r="L222" s="2714"/>
      <c r="M222" s="911"/>
      <c r="N222" s="911"/>
      <c r="O222" s="911"/>
      <c r="P222" s="911"/>
      <c r="Q222" s="911"/>
      <c r="R222" s="911"/>
      <c r="S222" s="911"/>
      <c r="T222" s="911"/>
      <c r="U222" s="911"/>
      <c r="V222" s="911"/>
      <c r="W222" s="911"/>
      <c r="X222" s="911"/>
      <c r="Y222" s="911"/>
      <c r="Z222" s="911"/>
      <c r="AA222" s="911"/>
      <c r="AB222" s="911"/>
      <c r="AC222" s="911"/>
      <c r="AD222" s="911"/>
    </row>
    <row r="223" spans="2:30" x14ac:dyDescent="0.25">
      <c r="B223" s="911"/>
      <c r="C223" s="911"/>
      <c r="D223" s="911"/>
      <c r="E223" s="911"/>
      <c r="F223" s="911"/>
      <c r="G223" s="2713"/>
      <c r="H223" s="2713"/>
      <c r="I223" s="2713"/>
      <c r="J223" s="2713"/>
      <c r="K223" s="2713"/>
      <c r="L223" s="2714"/>
      <c r="M223" s="911"/>
      <c r="N223" s="911"/>
      <c r="O223" s="911"/>
      <c r="P223" s="911"/>
      <c r="Q223" s="911"/>
      <c r="R223" s="911"/>
      <c r="S223" s="911"/>
      <c r="T223" s="911"/>
      <c r="U223" s="911"/>
      <c r="V223" s="911"/>
      <c r="W223" s="911"/>
      <c r="X223" s="911"/>
      <c r="Y223" s="911"/>
      <c r="Z223" s="911"/>
      <c r="AA223" s="911"/>
      <c r="AB223" s="911"/>
      <c r="AC223" s="911"/>
      <c r="AD223" s="911"/>
    </row>
    <row r="224" spans="2:30" x14ac:dyDescent="0.25">
      <c r="B224" s="911"/>
      <c r="C224" s="911"/>
      <c r="D224" s="911"/>
      <c r="E224" s="911"/>
      <c r="F224" s="911"/>
      <c r="G224" s="2713"/>
      <c r="H224" s="2713"/>
      <c r="I224" s="2713"/>
      <c r="J224" s="2713"/>
      <c r="K224" s="2713"/>
      <c r="L224" s="2714"/>
      <c r="M224" s="911"/>
      <c r="N224" s="911"/>
      <c r="O224" s="911"/>
      <c r="P224" s="911"/>
      <c r="Q224" s="911"/>
      <c r="R224" s="911"/>
      <c r="S224" s="911"/>
      <c r="T224" s="911"/>
      <c r="U224" s="911"/>
      <c r="V224" s="911"/>
      <c r="W224" s="911"/>
      <c r="X224" s="911"/>
      <c r="Y224" s="911"/>
      <c r="Z224" s="911"/>
      <c r="AA224" s="911"/>
      <c r="AB224" s="911"/>
      <c r="AC224" s="911"/>
      <c r="AD224" s="911"/>
    </row>
    <row r="225" spans="2:30" x14ac:dyDescent="0.25">
      <c r="B225" s="911"/>
      <c r="C225" s="911"/>
      <c r="D225" s="911"/>
      <c r="E225" s="911"/>
      <c r="F225" s="911"/>
      <c r="G225" s="2713"/>
      <c r="H225" s="2713"/>
      <c r="I225" s="2713"/>
      <c r="J225" s="2713"/>
      <c r="K225" s="2713"/>
      <c r="L225" s="2714"/>
      <c r="M225" s="911"/>
      <c r="N225" s="911"/>
      <c r="O225" s="911"/>
      <c r="P225" s="911"/>
      <c r="Q225" s="911"/>
      <c r="R225" s="911"/>
      <c r="S225" s="911"/>
      <c r="T225" s="911"/>
      <c r="U225" s="911"/>
      <c r="V225" s="911"/>
      <c r="W225" s="911"/>
      <c r="X225" s="911"/>
      <c r="Y225" s="911"/>
      <c r="Z225" s="911"/>
      <c r="AA225" s="911"/>
      <c r="AB225" s="911"/>
      <c r="AC225" s="911"/>
      <c r="AD225" s="911"/>
    </row>
    <row r="226" spans="2:30" x14ac:dyDescent="0.25">
      <c r="B226" s="911"/>
      <c r="C226" s="911"/>
      <c r="D226" s="911"/>
      <c r="E226" s="911"/>
      <c r="F226" s="911"/>
      <c r="G226" s="2713"/>
      <c r="H226" s="2713"/>
      <c r="I226" s="2713"/>
      <c r="J226" s="2713"/>
      <c r="K226" s="2713"/>
      <c r="L226" s="2714"/>
      <c r="M226" s="911"/>
      <c r="N226" s="911"/>
      <c r="O226" s="911"/>
      <c r="P226" s="911"/>
      <c r="Q226" s="911"/>
      <c r="R226" s="911"/>
      <c r="S226" s="911"/>
      <c r="T226" s="911"/>
      <c r="U226" s="911"/>
      <c r="V226" s="911"/>
      <c r="W226" s="911"/>
      <c r="X226" s="911"/>
      <c r="Y226" s="911"/>
      <c r="Z226" s="911"/>
      <c r="AA226" s="911"/>
      <c r="AB226" s="911"/>
      <c r="AC226" s="911"/>
      <c r="AD226" s="911"/>
    </row>
    <row r="227" spans="2:30" x14ac:dyDescent="0.25">
      <c r="B227" s="911"/>
      <c r="C227" s="911"/>
      <c r="D227" s="911"/>
      <c r="E227" s="911"/>
      <c r="F227" s="911"/>
      <c r="G227" s="2713"/>
      <c r="H227" s="2713"/>
      <c r="I227" s="2713"/>
      <c r="J227" s="2713"/>
      <c r="K227" s="2713"/>
      <c r="L227" s="2714"/>
      <c r="M227" s="911"/>
      <c r="N227" s="911"/>
      <c r="O227" s="911"/>
      <c r="P227" s="911"/>
      <c r="Q227" s="911"/>
      <c r="R227" s="911"/>
      <c r="S227" s="911"/>
      <c r="T227" s="911"/>
      <c r="U227" s="911"/>
      <c r="V227" s="911"/>
      <c r="W227" s="911"/>
      <c r="X227" s="911"/>
      <c r="Y227" s="911"/>
      <c r="Z227" s="911"/>
      <c r="AA227" s="911"/>
      <c r="AB227" s="911"/>
      <c r="AC227" s="911"/>
      <c r="AD227" s="911"/>
    </row>
    <row r="228" spans="2:30" x14ac:dyDescent="0.25">
      <c r="B228" s="911"/>
      <c r="C228" s="911"/>
      <c r="D228" s="911"/>
      <c r="E228" s="911"/>
      <c r="F228" s="911"/>
      <c r="G228" s="2713"/>
      <c r="H228" s="2713"/>
      <c r="I228" s="2713"/>
      <c r="J228" s="2713"/>
      <c r="K228" s="2713"/>
      <c r="L228" s="2714"/>
      <c r="M228" s="911"/>
      <c r="N228" s="911"/>
      <c r="O228" s="911"/>
      <c r="P228" s="911"/>
      <c r="Q228" s="911"/>
      <c r="R228" s="911"/>
      <c r="S228" s="911"/>
      <c r="T228" s="911"/>
      <c r="U228" s="911"/>
      <c r="V228" s="911"/>
      <c r="W228" s="911"/>
      <c r="X228" s="911"/>
      <c r="Y228" s="911"/>
      <c r="Z228" s="911"/>
      <c r="AA228" s="911"/>
      <c r="AB228" s="911"/>
      <c r="AC228" s="911"/>
      <c r="AD228" s="911"/>
    </row>
    <row r="229" spans="2:30" x14ac:dyDescent="0.25">
      <c r="B229" s="911"/>
      <c r="C229" s="911"/>
      <c r="D229" s="911"/>
      <c r="E229" s="911"/>
      <c r="F229" s="911"/>
      <c r="G229" s="2713"/>
      <c r="H229" s="2713"/>
      <c r="I229" s="2713"/>
      <c r="J229" s="2713"/>
      <c r="K229" s="2713"/>
      <c r="L229" s="2714"/>
      <c r="M229" s="911"/>
      <c r="N229" s="911"/>
      <c r="O229" s="911"/>
      <c r="P229" s="911"/>
      <c r="Q229" s="911"/>
      <c r="R229" s="911"/>
      <c r="S229" s="911"/>
      <c r="T229" s="911"/>
      <c r="U229" s="911"/>
      <c r="V229" s="911"/>
      <c r="W229" s="911"/>
      <c r="X229" s="911"/>
      <c r="Y229" s="911"/>
      <c r="Z229" s="911"/>
      <c r="AA229" s="911"/>
      <c r="AB229" s="911"/>
      <c r="AC229" s="911"/>
      <c r="AD229" s="911"/>
    </row>
  </sheetData>
  <mergeCells count="2">
    <mergeCell ref="A6:A7"/>
    <mergeCell ref="S50:S51"/>
  </mergeCells>
  <dataValidations count="5">
    <dataValidation type="list" allowBlank="1" showInputMessage="1" showErrorMessage="1" error="Invalid Option - Please Select from the List" prompt="Select Preferred Quality Rating Type" sqref="D82" xr:uid="{00000000-0002-0000-1D00-000000000000}">
      <formula1>QualityList</formula1>
    </dataValidation>
    <dataValidation type="list" allowBlank="1" showInputMessage="1" showErrorMessage="1" error="Invalid Option - Please Select from the List" prompt="Select Rounding Option" sqref="AC182 AC188 AC169 AC173 AC175:AC176 AC167 AC193" xr:uid="{00000000-0002-0000-1D00-000001000000}">
      <formula1>Rounding_Label</formula1>
    </dataValidation>
    <dataValidation type="list" allowBlank="1" showInputMessage="1" showErrorMessage="1" error="Invalid Option - Please Select from the List" prompt="Select Most Comparable Sale Number for Narrative" sqref="A9" xr:uid="{00000000-0002-0000-1D00-000002000000}">
      <formula1>Sales_MostComparableRange</formula1>
    </dataValidation>
    <dataValidation type="list" allowBlank="1" showInputMessage="1" showErrorMessage="1" error="Invalid Option - Please Select from the List" prompt="Select Adjustment Category Name" sqref="D121" xr:uid="{18ABEFD2-0675-4C33-97E1-31F380895A7A}">
      <formula1>RemTermList</formula1>
    </dataValidation>
    <dataValidation type="list" allowBlank="1" showInputMessage="1" showErrorMessage="1" error="Invalid Option - Please Select from the List" prompt="Select Adjustment Category Name" sqref="D127" xr:uid="{074D986B-98DD-49AE-8821-39BDE4EF353F}">
      <formula1>NonRealtyCreditList</formula1>
    </dataValidation>
  </dataValidations>
  <hyperlinks>
    <hyperlink ref="X177" location="dpCost_CurableItemCost_Total" tooltip="Click for Input Cell &amp; Hold to Select Cell" display="dpCost_CurableItemCost_Total" xr:uid="{00000000-0004-0000-1D00-000000000000}"/>
    <hyperlink ref="X183" location="dpCost_CurableItemCost_Total" tooltip="Click for Input Cell &amp; Hold to Select Cell" display="dpCost_CurableItemCost_Total" xr:uid="{00000000-0004-0000-1D00-000001000000}"/>
    <hyperlink ref="X189" location="dpCost_CurableItemCost_Total" tooltip="Click for Input Cell &amp; Hold to Select Cell" display="dpCost_CurableItemCost_Total" xr:uid="{00000000-0004-0000-1D00-000002000000}"/>
    <hyperlink ref="X178" location="dpValue_LUD_Calculated" tooltip="Click for Input Cell &amp; Hold to Select Cell" display="dpValue_LUD_Calculated" xr:uid="{00000000-0004-0000-1D00-000003000000}"/>
    <hyperlink ref="X184" location="dpValue_LUD_Calculated" tooltip="Click for Input Cell &amp; Hold to Select Cell" display="dpValue_LUD_Calculated" xr:uid="{00000000-0004-0000-1D00-000004000000}"/>
    <hyperlink ref="X190" location="dpValue_LUD_Calculated" tooltip="Click for Input Cell &amp; Hold to Select Cell" display="dpValue_LUD_Calculated" xr:uid="{00000000-0004-0000-1D00-000005000000}"/>
  </hyperlink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EBF8A6D0-D881-432C-B1B6-F2C0F90047D9}">
            <xm:f>'Selection Tables'!$AL$10="Units"</xm:f>
            <x14:dxf>
              <numFmt numFmtId="164" formatCode="&quot;$&quot;#,##0"/>
            </x14:dxf>
          </x14:cfRule>
          <xm:sqref>G21 G29 G36 G44 G48 U173 U175 T153:V156 G54:L54 G147:L147</xm:sqref>
        </x14:conditionalFormatting>
        <x14:conditionalFormatting xmlns:xm="http://schemas.microsoft.com/office/excel/2006/main">
          <x14:cfRule type="expression" priority="6" id="{FD41AE39-DF3E-4E47-A67C-FBD573223BE7}">
            <xm:f>'Selection Tables'!$AL$10="Units"</xm:f>
            <x14:dxf>
              <numFmt numFmtId="164" formatCode="&quot;$&quot;#,##0"/>
            </x14:dxf>
          </x14:cfRule>
          <xm:sqref>U163 U165 U167</xm:sqref>
        </x14:conditionalFormatting>
        <x14:conditionalFormatting xmlns:xm="http://schemas.microsoft.com/office/excel/2006/main">
          <x14:cfRule type="expression" priority="5" id="{07EFF642-867C-444D-887F-12EB007ADF16}">
            <xm:f>'Selection Tables'!$AL$10="Units"</xm:f>
            <x14:dxf>
              <numFmt numFmtId="164" formatCode="&quot;$&quot;#,##0"/>
            </x14:dxf>
          </x14:cfRule>
          <xm:sqref>H21 H29 H36 H44 H48</xm:sqref>
        </x14:conditionalFormatting>
        <x14:conditionalFormatting xmlns:xm="http://schemas.microsoft.com/office/excel/2006/main">
          <x14:cfRule type="expression" priority="4" id="{9915BE7E-5963-4A79-AFC9-87ED33DBCCBA}">
            <xm:f>'Selection Tables'!$AL$10="Units"</xm:f>
            <x14:dxf>
              <numFmt numFmtId="164" formatCode="&quot;$&quot;#,##0"/>
            </x14:dxf>
          </x14:cfRule>
          <xm:sqref>I21 I29 I36 I44 I48</xm:sqref>
        </x14:conditionalFormatting>
        <x14:conditionalFormatting xmlns:xm="http://schemas.microsoft.com/office/excel/2006/main">
          <x14:cfRule type="expression" priority="3" id="{F3931FB2-3EC3-4246-BD50-2804EA7DB71F}">
            <xm:f>'Selection Tables'!$AL$10="Units"</xm:f>
            <x14:dxf>
              <numFmt numFmtId="164" formatCode="&quot;$&quot;#,##0"/>
            </x14:dxf>
          </x14:cfRule>
          <xm:sqref>J21 J29 J36 J44 J48</xm:sqref>
        </x14:conditionalFormatting>
        <x14:conditionalFormatting xmlns:xm="http://schemas.microsoft.com/office/excel/2006/main">
          <x14:cfRule type="expression" priority="2" id="{1C28DD56-97F7-4735-A790-7DF92882FE29}">
            <xm:f>'Selection Tables'!$AL$10="Units"</xm:f>
            <x14:dxf>
              <numFmt numFmtId="164" formatCode="&quot;$&quot;#,##0"/>
            </x14:dxf>
          </x14:cfRule>
          <xm:sqref>K21 K29 K36 K44 K48</xm:sqref>
        </x14:conditionalFormatting>
        <x14:conditionalFormatting xmlns:xm="http://schemas.microsoft.com/office/excel/2006/main">
          <x14:cfRule type="expression" priority="1" id="{A25D5D5E-285A-435D-A448-79A80C9F9916}">
            <xm:f>'Selection Tables'!$AL$10="Units"</xm:f>
            <x14:dxf>
              <numFmt numFmtId="164" formatCode="&quot;$&quot;#,##0"/>
            </x14:dxf>
          </x14:cfRule>
          <xm:sqref>L21 L29 L36 L44 L48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Invalid Option - Please Select from the List" prompt="Select Date of Value for Market Rent to be used in Rent Adjustment Grid" xr:uid="{00000000-0002-0000-1D00-000003000000}">
          <x14:formula1>
            <xm:f>'Selection Tables'!$G$9:$G$11</xm:f>
          </x14:formula1>
          <xm:sqref>F10</xm:sqref>
        </x14:dataValidation>
      </x14:dataValidations>
    </ext>
  </extLs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3">
    <tabColor theme="7"/>
  </sheetPr>
  <dimension ref="A1:BM174"/>
  <sheetViews>
    <sheetView workbookViewId="0">
      <selection activeCell="I28" sqref="I28"/>
    </sheetView>
  </sheetViews>
  <sheetFormatPr defaultRowHeight="14.25" x14ac:dyDescent="0.25"/>
  <cols>
    <col min="1" max="1" width="5.7109375" customWidth="1"/>
    <col min="2" max="2" width="1.7109375" customWidth="1"/>
    <col min="3" max="3" width="0.85546875" customWidth="1"/>
    <col min="4" max="4" width="5.7109375" customWidth="1"/>
    <col min="5" max="9" width="15.7109375" customWidth="1"/>
    <col min="10" max="10" width="0.85546875" customWidth="1"/>
    <col min="11" max="11" width="15.7109375" customWidth="1"/>
    <col min="12" max="12" width="0.85546875" customWidth="1"/>
    <col min="13" max="13" width="11.7109375" customWidth="1"/>
    <col min="14" max="14" width="0.85546875" customWidth="1"/>
    <col min="15" max="16" width="1.7109375" customWidth="1"/>
    <col min="17" max="17" width="0.85546875" customWidth="1"/>
    <col min="18" max="18" width="20.7109375" customWidth="1"/>
    <col min="19" max="19" width="12.7109375" customWidth="1"/>
    <col min="20" max="29" width="25.7109375" customWidth="1"/>
    <col min="30" max="30" width="0.85546875" customWidth="1"/>
    <col min="31" max="31" width="1.7109375" customWidth="1"/>
  </cols>
  <sheetData>
    <row r="1" spans="1:65" ht="60" customHeight="1" x14ac:dyDescent="0.25">
      <c r="A1" s="32"/>
      <c r="B1" s="10"/>
      <c r="C1" s="10"/>
      <c r="D1" s="13"/>
      <c r="E1" s="10"/>
      <c r="F1" s="10"/>
      <c r="G1" s="10"/>
      <c r="H1" s="10"/>
      <c r="I1" s="10"/>
      <c r="J1" s="10"/>
      <c r="K1" s="10"/>
      <c r="L1" s="10"/>
      <c r="M1" s="10"/>
      <c r="N1" s="10"/>
      <c r="O1" s="10"/>
      <c r="P1" s="10"/>
      <c r="Q1" s="11"/>
      <c r="R1" s="419"/>
      <c r="S1" s="10"/>
      <c r="T1" s="10"/>
      <c r="U1" s="10"/>
      <c r="V1" s="10"/>
      <c r="W1" s="10"/>
      <c r="X1" s="10"/>
      <c r="Y1" s="10"/>
      <c r="Z1" s="10"/>
      <c r="AA1" s="10"/>
      <c r="AB1" s="10"/>
      <c r="AC1" s="10"/>
      <c r="AD1" s="10"/>
      <c r="AE1" s="10"/>
      <c r="AF1" s="143"/>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row>
    <row r="2" spans="1:65" ht="20.100000000000001" customHeight="1" thickBot="1" x14ac:dyDescent="0.3">
      <c r="A2" s="32"/>
      <c r="B2" s="10"/>
      <c r="C2" s="10"/>
      <c r="D2" s="13"/>
      <c r="E2" s="10"/>
      <c r="F2" s="10"/>
      <c r="G2" s="10"/>
      <c r="H2" s="10"/>
      <c r="I2" s="10"/>
      <c r="J2" s="10"/>
      <c r="K2" s="10"/>
      <c r="L2" s="10"/>
      <c r="M2" s="10"/>
      <c r="N2" s="10"/>
      <c r="O2" s="10"/>
      <c r="P2" s="10"/>
      <c r="Q2" s="11"/>
      <c r="R2" s="10"/>
      <c r="S2" s="10"/>
      <c r="T2" s="10"/>
      <c r="U2" s="10"/>
      <c r="V2" s="10"/>
      <c r="W2" s="10"/>
      <c r="X2" s="10"/>
      <c r="Y2" s="10"/>
      <c r="Z2" s="10"/>
      <c r="AA2" s="10"/>
      <c r="AB2" s="10"/>
      <c r="AC2" s="10"/>
      <c r="AD2" s="10"/>
      <c r="AE2" s="10"/>
      <c r="AF2" s="143"/>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row>
    <row r="3" spans="1:65" ht="15" customHeight="1" x14ac:dyDescent="0.25">
      <c r="A3" s="32"/>
      <c r="B3" s="1"/>
      <c r="C3" s="2"/>
      <c r="D3" s="202"/>
      <c r="E3" s="2"/>
      <c r="F3" s="2"/>
      <c r="G3" s="2"/>
      <c r="H3" s="2"/>
      <c r="I3" s="2"/>
      <c r="J3" s="2"/>
      <c r="K3" s="2"/>
      <c r="L3" s="2"/>
      <c r="M3" s="2"/>
      <c r="N3" s="2"/>
      <c r="O3" s="3"/>
      <c r="P3" s="10"/>
      <c r="Q3" s="11"/>
      <c r="R3" s="10"/>
      <c r="S3" s="10"/>
      <c r="T3" s="10"/>
      <c r="U3" s="10"/>
      <c r="V3" s="10"/>
      <c r="W3" s="10"/>
      <c r="X3" s="10"/>
      <c r="Y3" s="10"/>
      <c r="Z3" s="10"/>
      <c r="AA3" s="10"/>
      <c r="AB3" s="10"/>
      <c r="AC3" s="10"/>
      <c r="AD3" s="10"/>
      <c r="AE3" s="10"/>
      <c r="AF3" s="143"/>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row>
    <row r="4" spans="1:65" ht="15.95" customHeight="1" x14ac:dyDescent="0.25">
      <c r="A4" s="32"/>
      <c r="B4" s="4"/>
      <c r="C4" s="5"/>
      <c r="D4" s="505" t="str">
        <f>CONCATENATE("Clear Height Adjustment Calculations - ",dpSales_ComponentNameB2," Component")</f>
        <v>Clear Height Adjustment Calculations -  Component</v>
      </c>
      <c r="E4" s="5"/>
      <c r="F4" s="5"/>
      <c r="G4" s="5"/>
      <c r="H4" s="5"/>
      <c r="I4" s="5"/>
      <c r="J4" s="5"/>
      <c r="K4" s="5"/>
      <c r="L4" s="5"/>
      <c r="M4" s="5"/>
      <c r="N4" s="5"/>
      <c r="O4" s="6"/>
      <c r="P4" s="10"/>
      <c r="Q4" s="150"/>
      <c r="R4" s="10"/>
      <c r="S4" s="10"/>
      <c r="T4" s="10"/>
      <c r="U4" s="10"/>
      <c r="V4" s="10"/>
      <c r="W4" s="10"/>
      <c r="X4" s="10"/>
      <c r="Y4" s="10"/>
      <c r="Z4" s="10"/>
      <c r="AA4" s="10"/>
      <c r="AB4" s="10"/>
      <c r="AC4" s="10"/>
      <c r="AD4" s="10"/>
      <c r="AE4" s="10"/>
      <c r="AF4" s="143"/>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row>
    <row r="5" spans="1:65" ht="15" customHeight="1" x14ac:dyDescent="0.25">
      <c r="A5" s="32"/>
      <c r="B5" s="4"/>
      <c r="C5" s="150"/>
      <c r="D5" s="150"/>
      <c r="E5" s="150" t="s">
        <v>128</v>
      </c>
      <c r="F5" s="150" t="s">
        <v>551</v>
      </c>
      <c r="G5" s="150" t="s">
        <v>116</v>
      </c>
      <c r="H5" s="150" t="s">
        <v>552</v>
      </c>
      <c r="I5" s="150"/>
      <c r="J5" s="150"/>
      <c r="K5" s="150" t="s">
        <v>554</v>
      </c>
      <c r="L5" s="150"/>
      <c r="M5" s="53"/>
      <c r="N5" s="53"/>
      <c r="O5" s="6"/>
      <c r="P5" s="10"/>
      <c r="Q5" s="150"/>
      <c r="R5" s="10"/>
      <c r="S5" s="10"/>
      <c r="T5" s="10"/>
      <c r="U5" s="10"/>
      <c r="V5" s="10"/>
      <c r="W5" s="10"/>
      <c r="X5" s="10"/>
      <c r="Y5" s="10"/>
      <c r="Z5" s="10"/>
      <c r="AA5" s="10"/>
      <c r="AB5" s="10"/>
      <c r="AC5" s="10"/>
      <c r="AD5" s="10"/>
      <c r="AE5" s="10"/>
      <c r="AF5" s="143"/>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row>
    <row r="6" spans="1:65" ht="15" customHeight="1" x14ac:dyDescent="0.25">
      <c r="A6" s="32"/>
      <c r="B6" s="4"/>
      <c r="C6" s="150"/>
      <c r="D6" s="150" t="s">
        <v>702</v>
      </c>
      <c r="E6" s="150" t="s">
        <v>1303</v>
      </c>
      <c r="F6" s="150" t="s">
        <v>191</v>
      </c>
      <c r="G6" s="150" t="s">
        <v>191</v>
      </c>
      <c r="H6" s="150" t="s">
        <v>191</v>
      </c>
      <c r="I6" s="150" t="s">
        <v>553</v>
      </c>
      <c r="J6" s="150"/>
      <c r="K6" s="2162">
        <v>1.4999999999999999E-2</v>
      </c>
      <c r="L6" s="150"/>
      <c r="M6" s="53"/>
      <c r="N6" s="53"/>
      <c r="O6" s="6"/>
      <c r="P6" s="10"/>
      <c r="Q6" s="439"/>
      <c r="R6" s="10"/>
      <c r="S6" s="10"/>
      <c r="T6" s="10"/>
      <c r="U6" s="10"/>
      <c r="V6" s="10"/>
      <c r="W6" s="10"/>
      <c r="X6" s="10"/>
      <c r="Y6" s="10"/>
      <c r="Z6" s="10"/>
      <c r="AA6" s="10"/>
      <c r="AB6" s="10"/>
      <c r="AC6" s="10"/>
      <c r="AD6" s="10"/>
      <c r="AE6" s="10"/>
      <c r="AF6" s="143"/>
      <c r="AG6" s="32"/>
      <c r="AH6" s="32"/>
      <c r="AI6" s="32"/>
      <c r="AJ6" s="32"/>
      <c r="AK6" s="32"/>
      <c r="AL6" s="32"/>
      <c r="AM6" s="32"/>
      <c r="AN6" s="32"/>
      <c r="AO6" s="32"/>
      <c r="AP6" s="32"/>
      <c r="AQ6" s="32"/>
      <c r="AR6" s="32"/>
      <c r="AS6" s="32"/>
      <c r="AT6" s="32"/>
      <c r="AU6" s="32"/>
      <c r="AV6" s="32"/>
      <c r="AW6" s="32"/>
      <c r="AX6" s="32"/>
      <c r="AY6" s="32"/>
      <c r="AZ6" s="32"/>
      <c r="BA6" s="32"/>
      <c r="BB6" s="32"/>
      <c r="BC6" s="32"/>
      <c r="BD6" s="32"/>
      <c r="BE6" s="32"/>
      <c r="BF6" s="32"/>
      <c r="BG6" s="32"/>
      <c r="BH6" s="32"/>
      <c r="BI6" s="32"/>
      <c r="BJ6" s="32"/>
      <c r="BK6" s="32"/>
      <c r="BL6" s="32"/>
      <c r="BM6" s="32"/>
    </row>
    <row r="7" spans="1:65" ht="15" customHeight="1" x14ac:dyDescent="0.25">
      <c r="A7" s="957">
        <f>IF(ISERROR(E7),0,1)</f>
        <v>0</v>
      </c>
      <c r="B7" s="4"/>
      <c r="C7" s="101"/>
      <c r="D7" s="137">
        <v>1</v>
      </c>
      <c r="E7" s="1178" t="e">
        <f>HLOOKUP($D7,'Improved Sales Adjustments 2'!$G$7:$WU$147,48,FALSE)</f>
        <v>#DIV/0!</v>
      </c>
      <c r="F7" s="2159">
        <f>HLOOKUP($D7,'Improved Sales Adjustments 2'!$G$7:$WU$147,91,FALSE)</f>
        <v>0</v>
      </c>
      <c r="G7" s="2159">
        <f t="shared" ref="G7:G21" si="0">Sales_AdjGrid_ClearHeight_2</f>
        <v>0</v>
      </c>
      <c r="H7" s="351">
        <v>40</v>
      </c>
      <c r="I7" s="2159">
        <f>IF(AND(H7&gt;G7,H7&gt;F7),G7-F7,IF(AND(OR(H7&lt;G7,H7=G7),OR(H7&lt;F7,H7=F7)),0,IF(OR(G7&gt;H7,G7=H7),H7-F7,G7-H7)))</f>
        <v>0</v>
      </c>
      <c r="J7" s="2159"/>
      <c r="K7" s="2130">
        <f t="shared" ref="K7:K21" si="1">IF(ISERROR(I7*dpSales_ClearHeight_AdjperFoot_2),"",I7*dpSales_ClearHeight_AdjperFoot_2)</f>
        <v>0</v>
      </c>
      <c r="L7" s="101"/>
      <c r="M7" s="5"/>
      <c r="N7" s="5"/>
      <c r="O7" s="6"/>
      <c r="P7" s="10"/>
      <c r="Q7" s="11"/>
      <c r="R7" s="10"/>
      <c r="S7" s="10"/>
      <c r="T7" s="10"/>
      <c r="U7" s="10"/>
      <c r="V7" s="10"/>
      <c r="W7" s="10"/>
      <c r="X7" s="10"/>
      <c r="Y7" s="10"/>
      <c r="Z7" s="10"/>
      <c r="AA7" s="10"/>
      <c r="AB7" s="10"/>
      <c r="AC7" s="10"/>
      <c r="AD7" s="10"/>
      <c r="AE7" s="10"/>
      <c r="AF7" s="143"/>
      <c r="AG7" s="32"/>
      <c r="AH7" s="32"/>
      <c r="AI7" s="32"/>
      <c r="AJ7" s="32"/>
      <c r="AK7" s="32"/>
      <c r="AL7" s="32"/>
      <c r="AM7" s="32"/>
      <c r="AN7" s="32"/>
      <c r="AO7" s="32"/>
      <c r="AP7" s="32"/>
      <c r="AQ7" s="32"/>
      <c r="AR7" s="32"/>
      <c r="AS7" s="32"/>
      <c r="AT7" s="32"/>
      <c r="AU7" s="32"/>
      <c r="AV7" s="32"/>
      <c r="AW7" s="32"/>
      <c r="AX7" s="32"/>
      <c r="AY7" s="32"/>
      <c r="AZ7" s="32"/>
      <c r="BA7" s="32"/>
      <c r="BB7" s="32"/>
      <c r="BC7" s="32"/>
      <c r="BD7" s="32"/>
      <c r="BE7" s="32"/>
      <c r="BF7" s="32"/>
      <c r="BG7" s="32"/>
      <c r="BH7" s="32"/>
      <c r="BI7" s="32"/>
      <c r="BJ7" s="32"/>
      <c r="BK7" s="32"/>
      <c r="BL7" s="32"/>
      <c r="BM7" s="32"/>
    </row>
    <row r="8" spans="1:65" ht="15" customHeight="1" x14ac:dyDescent="0.25">
      <c r="A8" s="957">
        <f t="shared" ref="A8:A21" si="2">IF(ISERROR(E8),0,1)</f>
        <v>0</v>
      </c>
      <c r="B8" s="4"/>
      <c r="C8" s="101"/>
      <c r="D8" s="137">
        <f>D7+1</f>
        <v>2</v>
      </c>
      <c r="E8" s="1178" t="e">
        <f>HLOOKUP($D8,'Improved Sales Adjustments 2'!$G$7:$WU$147,48,FALSE)</f>
        <v>#DIV/0!</v>
      </c>
      <c r="F8" s="2159">
        <f>HLOOKUP($D8,'Improved Sales Adjustments 2'!$G$7:$WU$147,91,FALSE)</f>
        <v>0</v>
      </c>
      <c r="G8" s="2159">
        <f t="shared" si="0"/>
        <v>0</v>
      </c>
      <c r="H8" s="2159">
        <f t="shared" ref="H8:H21" si="3">dpSales_MaxHeightAdj_2</f>
        <v>40</v>
      </c>
      <c r="I8" s="2159">
        <f t="shared" ref="I8:I21" si="4">IF(AND(H8&gt;G8,H8&gt;F8),G8-F8,IF(AND(OR(H8&lt;G8,H8=G8),OR(H8&lt;F8,H8=F8)),0,IF(OR(G8&gt;H8,G8=H8),H8-F8,G8-H8)))</f>
        <v>0</v>
      </c>
      <c r="J8" s="2159"/>
      <c r="K8" s="2130">
        <f t="shared" si="1"/>
        <v>0</v>
      </c>
      <c r="L8" s="101"/>
      <c r="M8" s="5"/>
      <c r="N8" s="5"/>
      <c r="O8" s="6"/>
      <c r="P8" s="10"/>
      <c r="Q8" s="11"/>
      <c r="R8" s="10"/>
      <c r="S8" s="10"/>
      <c r="T8" s="10"/>
      <c r="U8" s="10"/>
      <c r="V8" s="10"/>
      <c r="W8" s="10"/>
      <c r="X8" s="10"/>
      <c r="Y8" s="10"/>
      <c r="Z8" s="10"/>
      <c r="AA8" s="10"/>
      <c r="AB8" s="10"/>
      <c r="AC8" s="10"/>
      <c r="AD8" s="10"/>
      <c r="AE8" s="10"/>
      <c r="AF8" s="143"/>
      <c r="AG8" s="32"/>
      <c r="AH8" s="32"/>
      <c r="AI8" s="32"/>
      <c r="AJ8" s="32"/>
      <c r="AK8" s="32"/>
      <c r="AL8" s="32"/>
      <c r="AM8" s="32"/>
      <c r="AN8" s="32"/>
      <c r="AO8" s="32"/>
      <c r="AP8" s="32"/>
      <c r="AQ8" s="32"/>
      <c r="AR8" s="32"/>
      <c r="AS8" s="32"/>
      <c r="AT8" s="32"/>
      <c r="AU8" s="32"/>
      <c r="AV8" s="32"/>
      <c r="AW8" s="32"/>
      <c r="AX8" s="32"/>
      <c r="AY8" s="32"/>
      <c r="AZ8" s="32"/>
      <c r="BA8" s="32"/>
      <c r="BB8" s="32"/>
      <c r="BC8" s="32"/>
      <c r="BD8" s="32"/>
      <c r="BE8" s="32"/>
      <c r="BF8" s="32"/>
      <c r="BG8" s="32"/>
      <c r="BH8" s="32"/>
      <c r="BI8" s="32"/>
      <c r="BJ8" s="32"/>
      <c r="BK8" s="32"/>
      <c r="BL8" s="32"/>
      <c r="BM8" s="32"/>
    </row>
    <row r="9" spans="1:65" ht="15" customHeight="1" x14ac:dyDescent="0.25">
      <c r="A9" s="957">
        <f t="shared" si="2"/>
        <v>0</v>
      </c>
      <c r="B9" s="4"/>
      <c r="C9" s="101"/>
      <c r="D9" s="137">
        <f t="shared" ref="D9:D21" si="5">D8+1</f>
        <v>3</v>
      </c>
      <c r="E9" s="1178" t="e">
        <f>HLOOKUP($D9,'Improved Sales Adjustments 2'!$G$7:$WU$147,48,FALSE)</f>
        <v>#DIV/0!</v>
      </c>
      <c r="F9" s="2159">
        <f>HLOOKUP($D9,'Improved Sales Adjustments 2'!$G$7:$WU$147,91,FALSE)</f>
        <v>0</v>
      </c>
      <c r="G9" s="2159">
        <f t="shared" si="0"/>
        <v>0</v>
      </c>
      <c r="H9" s="2159">
        <f t="shared" si="3"/>
        <v>40</v>
      </c>
      <c r="I9" s="2159">
        <f t="shared" si="4"/>
        <v>0</v>
      </c>
      <c r="J9" s="2159"/>
      <c r="K9" s="2130">
        <f t="shared" si="1"/>
        <v>0</v>
      </c>
      <c r="L9" s="101"/>
      <c r="M9" s="5"/>
      <c r="N9" s="5"/>
      <c r="O9" s="6"/>
      <c r="P9" s="10"/>
      <c r="Q9" s="11"/>
      <c r="R9" s="10"/>
      <c r="S9" s="10"/>
      <c r="T9" s="10"/>
      <c r="U9" s="10"/>
      <c r="V9" s="10"/>
      <c r="W9" s="10"/>
      <c r="X9" s="10"/>
      <c r="Y9" s="10"/>
      <c r="Z9" s="10"/>
      <c r="AA9" s="10"/>
      <c r="AB9" s="10"/>
      <c r="AC9" s="10"/>
      <c r="AD9" s="10"/>
      <c r="AE9" s="10"/>
      <c r="AF9" s="143"/>
      <c r="AG9" s="32"/>
      <c r="AH9" s="32"/>
      <c r="AI9" s="32"/>
      <c r="AJ9" s="32"/>
      <c r="AK9" s="32"/>
      <c r="AL9" s="32"/>
      <c r="AM9" s="32"/>
      <c r="AN9" s="32"/>
      <c r="AO9" s="32"/>
      <c r="AP9" s="32"/>
      <c r="AQ9" s="32"/>
      <c r="AR9" s="32"/>
      <c r="AS9" s="32"/>
      <c r="AT9" s="32"/>
      <c r="AU9" s="32"/>
      <c r="AV9" s="32"/>
      <c r="AW9" s="32"/>
      <c r="AX9" s="32"/>
      <c r="AY9" s="32"/>
      <c r="AZ9" s="32"/>
      <c r="BA9" s="32"/>
      <c r="BB9" s="32"/>
      <c r="BC9" s="32"/>
      <c r="BD9" s="32"/>
      <c r="BE9" s="32"/>
      <c r="BF9" s="32"/>
      <c r="BG9" s="32"/>
      <c r="BH9" s="32"/>
      <c r="BI9" s="32"/>
      <c r="BJ9" s="32"/>
      <c r="BK9" s="32"/>
      <c r="BL9" s="32"/>
      <c r="BM9" s="32"/>
    </row>
    <row r="10" spans="1:65" ht="15" customHeight="1" x14ac:dyDescent="0.25">
      <c r="A10" s="957">
        <f t="shared" si="2"/>
        <v>0</v>
      </c>
      <c r="B10" s="4"/>
      <c r="C10" s="101"/>
      <c r="D10" s="137">
        <f t="shared" si="5"/>
        <v>4</v>
      </c>
      <c r="E10" s="1178" t="e">
        <f>HLOOKUP($D10,'Improved Sales Adjustments 2'!$G$7:$WU$147,48,FALSE)</f>
        <v>#DIV/0!</v>
      </c>
      <c r="F10" s="2159">
        <f>HLOOKUP($D10,'Improved Sales Adjustments 2'!$G$7:$WU$147,91,FALSE)</f>
        <v>0</v>
      </c>
      <c r="G10" s="2159">
        <f t="shared" si="0"/>
        <v>0</v>
      </c>
      <c r="H10" s="2159">
        <f t="shared" si="3"/>
        <v>40</v>
      </c>
      <c r="I10" s="2159">
        <f t="shared" si="4"/>
        <v>0</v>
      </c>
      <c r="J10" s="2159"/>
      <c r="K10" s="2130">
        <f t="shared" si="1"/>
        <v>0</v>
      </c>
      <c r="L10" s="101"/>
      <c r="M10" s="5"/>
      <c r="N10" s="5"/>
      <c r="O10" s="6"/>
      <c r="P10" s="10"/>
      <c r="Q10" s="11"/>
      <c r="R10" s="10"/>
      <c r="S10" s="10"/>
      <c r="T10" s="10"/>
      <c r="U10" s="10"/>
      <c r="V10" s="10"/>
      <c r="W10" s="10"/>
      <c r="X10" s="10"/>
      <c r="Y10" s="10"/>
      <c r="Z10" s="10"/>
      <c r="AA10" s="10"/>
      <c r="AB10" s="10"/>
      <c r="AC10" s="10"/>
      <c r="AD10" s="10"/>
      <c r="AE10" s="10"/>
      <c r="AF10" s="143"/>
      <c r="AG10" s="32"/>
      <c r="AH10" s="32"/>
      <c r="AI10" s="32"/>
      <c r="AJ10" s="32"/>
      <c r="AK10" s="32"/>
      <c r="AL10" s="32"/>
      <c r="AM10" s="32"/>
      <c r="AN10" s="32"/>
      <c r="AO10" s="32"/>
      <c r="AP10" s="32"/>
      <c r="AQ10" s="32"/>
      <c r="AR10" s="32"/>
      <c r="AS10" s="32"/>
      <c r="AT10" s="32"/>
      <c r="AU10" s="32"/>
      <c r="AV10" s="32"/>
      <c r="AW10" s="32"/>
      <c r="AX10" s="32"/>
      <c r="AY10" s="32"/>
      <c r="AZ10" s="32"/>
      <c r="BA10" s="32"/>
      <c r="BB10" s="32"/>
      <c r="BC10" s="32"/>
      <c r="BD10" s="32"/>
      <c r="BE10" s="32"/>
      <c r="BF10" s="32"/>
      <c r="BG10" s="32"/>
      <c r="BH10" s="32"/>
      <c r="BI10" s="32"/>
      <c r="BJ10" s="32"/>
      <c r="BK10" s="32"/>
      <c r="BL10" s="32"/>
      <c r="BM10" s="32"/>
    </row>
    <row r="11" spans="1:65" ht="15" customHeight="1" x14ac:dyDescent="0.25">
      <c r="A11" s="957">
        <f t="shared" si="2"/>
        <v>0</v>
      </c>
      <c r="B11" s="4"/>
      <c r="C11" s="101"/>
      <c r="D11" s="137">
        <f t="shared" si="5"/>
        <v>5</v>
      </c>
      <c r="E11" s="1178" t="e">
        <f>HLOOKUP($D11,'Improved Sales Adjustments 2'!$G$7:$WU$147,48,FALSE)</f>
        <v>#DIV/0!</v>
      </c>
      <c r="F11" s="2159">
        <f>HLOOKUP($D11,'Improved Sales Adjustments 2'!$G$7:$WU$147,91,FALSE)</f>
        <v>0</v>
      </c>
      <c r="G11" s="2159">
        <f t="shared" si="0"/>
        <v>0</v>
      </c>
      <c r="H11" s="2159">
        <f t="shared" si="3"/>
        <v>40</v>
      </c>
      <c r="I11" s="2159">
        <f t="shared" si="4"/>
        <v>0</v>
      </c>
      <c r="J11" s="2159"/>
      <c r="K11" s="2130">
        <f t="shared" si="1"/>
        <v>0</v>
      </c>
      <c r="L11" s="101"/>
      <c r="M11" s="5"/>
      <c r="N11" s="5"/>
      <c r="O11" s="6"/>
      <c r="P11" s="10"/>
      <c r="Q11" s="11"/>
      <c r="R11" s="10"/>
      <c r="S11" s="10"/>
      <c r="T11" s="10"/>
      <c r="U11" s="10"/>
      <c r="V11" s="10"/>
      <c r="W11" s="10"/>
      <c r="X11" s="10"/>
      <c r="Y11" s="10"/>
      <c r="Z11" s="10"/>
      <c r="AA11" s="10"/>
      <c r="AB11" s="10"/>
      <c r="AC11" s="10"/>
      <c r="AD11" s="10"/>
      <c r="AE11" s="10"/>
      <c r="AF11" s="143"/>
      <c r="AG11" s="32"/>
      <c r="AH11" s="32"/>
      <c r="AI11" s="32"/>
      <c r="AJ11" s="32"/>
      <c r="AK11" s="32"/>
      <c r="AL11" s="32"/>
      <c r="AM11" s="32"/>
      <c r="AN11" s="32"/>
      <c r="AO11" s="32"/>
      <c r="AP11" s="32"/>
      <c r="AQ11" s="32"/>
      <c r="AR11" s="32"/>
      <c r="AS11" s="32"/>
      <c r="AT11" s="32"/>
      <c r="AU11" s="32"/>
      <c r="AV11" s="32"/>
      <c r="AW11" s="32"/>
      <c r="AX11" s="32"/>
      <c r="AY11" s="32"/>
      <c r="AZ11" s="32"/>
      <c r="BA11" s="32"/>
      <c r="BB11" s="32"/>
      <c r="BC11" s="32"/>
      <c r="BD11" s="32"/>
      <c r="BE11" s="32"/>
      <c r="BF11" s="32"/>
      <c r="BG11" s="32"/>
      <c r="BH11" s="32"/>
      <c r="BI11" s="32"/>
      <c r="BJ11" s="32"/>
      <c r="BK11" s="32"/>
      <c r="BL11" s="32"/>
      <c r="BM11" s="32"/>
    </row>
    <row r="12" spans="1:65" ht="15" customHeight="1" x14ac:dyDescent="0.25">
      <c r="A12" s="957">
        <f t="shared" si="2"/>
        <v>0</v>
      </c>
      <c r="B12" s="4"/>
      <c r="C12" s="101"/>
      <c r="D12" s="137">
        <f t="shared" si="5"/>
        <v>6</v>
      </c>
      <c r="E12" s="1178" t="e">
        <f>HLOOKUP($D12,'Improved Sales Adjustments 2'!$G$7:$WU$147,48,FALSE)</f>
        <v>#DIV/0!</v>
      </c>
      <c r="F12" s="2159">
        <f>HLOOKUP($D12,'Improved Sales Adjustments 2'!$G$7:$WU$147,91,FALSE)</f>
        <v>0</v>
      </c>
      <c r="G12" s="2159">
        <f t="shared" si="0"/>
        <v>0</v>
      </c>
      <c r="H12" s="2159">
        <f t="shared" si="3"/>
        <v>40</v>
      </c>
      <c r="I12" s="2159">
        <f t="shared" si="4"/>
        <v>0</v>
      </c>
      <c r="J12" s="2159"/>
      <c r="K12" s="2130">
        <f t="shared" si="1"/>
        <v>0</v>
      </c>
      <c r="L12" s="101"/>
      <c r="M12" s="5"/>
      <c r="N12" s="5"/>
      <c r="O12" s="6"/>
      <c r="P12" s="10"/>
      <c r="Q12" s="11"/>
      <c r="R12" s="10"/>
      <c r="S12" s="10"/>
      <c r="T12" s="10"/>
      <c r="U12" s="10"/>
      <c r="V12" s="10"/>
      <c r="W12" s="10"/>
      <c r="X12" s="10"/>
      <c r="Y12" s="10"/>
      <c r="Z12" s="10"/>
      <c r="AA12" s="10"/>
      <c r="AB12" s="10"/>
      <c r="AC12" s="10"/>
      <c r="AD12" s="10"/>
      <c r="AE12" s="10"/>
      <c r="AF12" s="143"/>
      <c r="AG12" s="32"/>
      <c r="AH12" s="32"/>
      <c r="AI12" s="32"/>
      <c r="AJ12" s="32"/>
      <c r="AK12" s="32"/>
      <c r="AL12" s="32"/>
      <c r="AM12" s="32"/>
      <c r="AN12" s="32"/>
      <c r="AO12" s="32"/>
      <c r="AP12" s="32"/>
      <c r="AQ12" s="32"/>
      <c r="AR12" s="32"/>
      <c r="AS12" s="32"/>
      <c r="AT12" s="32"/>
      <c r="AU12" s="32"/>
      <c r="AV12" s="32"/>
      <c r="AW12" s="32"/>
      <c r="AX12" s="32"/>
      <c r="AY12" s="32"/>
      <c r="AZ12" s="32"/>
      <c r="BA12" s="32"/>
      <c r="BB12" s="32"/>
      <c r="BC12" s="32"/>
      <c r="BD12" s="32"/>
      <c r="BE12" s="32"/>
      <c r="BF12" s="32"/>
      <c r="BG12" s="32"/>
      <c r="BH12" s="32"/>
      <c r="BI12" s="32"/>
      <c r="BJ12" s="32"/>
      <c r="BK12" s="32"/>
      <c r="BL12" s="32"/>
      <c r="BM12" s="32"/>
    </row>
    <row r="13" spans="1:65" ht="15" customHeight="1" x14ac:dyDescent="0.25">
      <c r="A13" s="957">
        <f t="shared" si="2"/>
        <v>0</v>
      </c>
      <c r="B13" s="4"/>
      <c r="C13" s="101"/>
      <c r="D13" s="137">
        <f t="shared" si="5"/>
        <v>7</v>
      </c>
      <c r="E13" s="1178" t="e">
        <f>HLOOKUP($D13,'Improved Sales Adjustments 2'!$G$7:$WU$147,48,FALSE)</f>
        <v>#N/A</v>
      </c>
      <c r="F13" s="2159" t="e">
        <f>HLOOKUP($D13,'Improved Sales Adjustments 2'!$G$7:$WU$147,91,FALSE)</f>
        <v>#N/A</v>
      </c>
      <c r="G13" s="2159">
        <f t="shared" si="0"/>
        <v>0</v>
      </c>
      <c r="H13" s="2159">
        <f t="shared" si="3"/>
        <v>40</v>
      </c>
      <c r="I13" s="2159" t="e">
        <f t="shared" si="4"/>
        <v>#N/A</v>
      </c>
      <c r="J13" s="2159"/>
      <c r="K13" s="2130" t="str">
        <f t="shared" si="1"/>
        <v/>
      </c>
      <c r="L13" s="101"/>
      <c r="M13" s="5"/>
      <c r="N13" s="5"/>
      <c r="O13" s="6"/>
      <c r="P13" s="10"/>
      <c r="Q13" s="11"/>
      <c r="R13" s="10"/>
      <c r="S13" s="10"/>
      <c r="T13" s="10"/>
      <c r="U13" s="10"/>
      <c r="V13" s="10"/>
      <c r="W13" s="10"/>
      <c r="X13" s="10"/>
      <c r="Y13" s="10"/>
      <c r="Z13" s="10"/>
      <c r="AA13" s="10"/>
      <c r="AB13" s="10"/>
      <c r="AC13" s="10"/>
      <c r="AD13" s="10"/>
      <c r="AE13" s="10"/>
      <c r="AF13" s="143"/>
      <c r="AG13" s="32"/>
      <c r="AH13" s="32"/>
      <c r="AI13" s="32"/>
      <c r="AJ13" s="32"/>
      <c r="AK13" s="32"/>
      <c r="AL13" s="32"/>
      <c r="AM13" s="32"/>
      <c r="AN13" s="32"/>
      <c r="AO13" s="32"/>
      <c r="AP13" s="32"/>
      <c r="AQ13" s="32"/>
      <c r="AR13" s="32"/>
      <c r="AS13" s="32"/>
      <c r="AT13" s="32"/>
      <c r="AU13" s="32"/>
      <c r="AV13" s="32"/>
      <c r="AW13" s="32"/>
      <c r="AX13" s="32"/>
      <c r="AY13" s="32"/>
      <c r="AZ13" s="32"/>
      <c r="BA13" s="32"/>
      <c r="BB13" s="32"/>
      <c r="BC13" s="32"/>
      <c r="BD13" s="32"/>
      <c r="BE13" s="32"/>
      <c r="BF13" s="32"/>
      <c r="BG13" s="32"/>
      <c r="BH13" s="32"/>
      <c r="BI13" s="32"/>
      <c r="BJ13" s="32"/>
      <c r="BK13" s="32"/>
      <c r="BL13" s="32"/>
      <c r="BM13" s="32"/>
    </row>
    <row r="14" spans="1:65" ht="15" customHeight="1" x14ac:dyDescent="0.25">
      <c r="A14" s="957">
        <f t="shared" si="2"/>
        <v>0</v>
      </c>
      <c r="B14" s="4"/>
      <c r="C14" s="101"/>
      <c r="D14" s="137">
        <f>D13+1</f>
        <v>8</v>
      </c>
      <c r="E14" s="1178" t="e">
        <f>HLOOKUP($D14,'Improved Sales Adjustments 2'!$G$7:$WU$147,48,FALSE)</f>
        <v>#N/A</v>
      </c>
      <c r="F14" s="2159" t="e">
        <f>HLOOKUP($D14,'Improved Sales Adjustments 2'!$G$7:$WU$147,91,FALSE)</f>
        <v>#N/A</v>
      </c>
      <c r="G14" s="2159">
        <f t="shared" si="0"/>
        <v>0</v>
      </c>
      <c r="H14" s="2159">
        <f t="shared" si="3"/>
        <v>40</v>
      </c>
      <c r="I14" s="2159" t="e">
        <f t="shared" si="4"/>
        <v>#N/A</v>
      </c>
      <c r="J14" s="2159"/>
      <c r="K14" s="2130" t="str">
        <f t="shared" si="1"/>
        <v/>
      </c>
      <c r="L14" s="101"/>
      <c r="M14" s="5"/>
      <c r="N14" s="5"/>
      <c r="O14" s="6"/>
      <c r="P14" s="10"/>
      <c r="Q14" s="11"/>
      <c r="R14" s="10"/>
      <c r="S14" s="10"/>
      <c r="T14" s="10"/>
      <c r="U14" s="10"/>
      <c r="V14" s="10"/>
      <c r="W14" s="10"/>
      <c r="X14" s="10"/>
      <c r="Y14" s="10"/>
      <c r="Z14" s="10"/>
      <c r="AA14" s="10"/>
      <c r="AB14" s="10"/>
      <c r="AC14" s="10"/>
      <c r="AD14" s="10"/>
      <c r="AE14" s="10"/>
      <c r="AF14" s="143"/>
      <c r="AG14" s="32"/>
      <c r="AH14" s="32"/>
      <c r="AI14" s="32"/>
      <c r="AJ14" s="32"/>
      <c r="AK14" s="32"/>
      <c r="AL14" s="32"/>
      <c r="AM14" s="32"/>
      <c r="AN14" s="32"/>
      <c r="AO14" s="32"/>
      <c r="AP14" s="32"/>
      <c r="AQ14" s="32"/>
      <c r="AR14" s="32"/>
      <c r="AS14" s="32"/>
      <c r="AT14" s="32"/>
      <c r="AU14" s="32"/>
      <c r="AV14" s="32"/>
      <c r="AW14" s="32"/>
      <c r="AX14" s="32"/>
      <c r="AY14" s="32"/>
      <c r="AZ14" s="32"/>
      <c r="BA14" s="32"/>
      <c r="BB14" s="32"/>
      <c r="BC14" s="32"/>
      <c r="BD14" s="32"/>
      <c r="BE14" s="32"/>
      <c r="BF14" s="32"/>
      <c r="BG14" s="32"/>
      <c r="BH14" s="32"/>
      <c r="BI14" s="32"/>
      <c r="BJ14" s="32"/>
      <c r="BK14" s="32"/>
      <c r="BL14" s="32"/>
      <c r="BM14" s="32"/>
    </row>
    <row r="15" spans="1:65" ht="15" customHeight="1" x14ac:dyDescent="0.25">
      <c r="A15" s="957">
        <f t="shared" si="2"/>
        <v>0</v>
      </c>
      <c r="B15" s="4"/>
      <c r="C15" s="101"/>
      <c r="D15" s="137">
        <f t="shared" si="5"/>
        <v>9</v>
      </c>
      <c r="E15" s="1178" t="e">
        <f>HLOOKUP($D15,'Improved Sales Adjustments 2'!$G$7:$WU$147,48,FALSE)</f>
        <v>#N/A</v>
      </c>
      <c r="F15" s="2159" t="e">
        <f>HLOOKUP($D15,'Improved Sales Adjustments 2'!$G$7:$WU$147,91,FALSE)</f>
        <v>#N/A</v>
      </c>
      <c r="G15" s="2159">
        <f t="shared" si="0"/>
        <v>0</v>
      </c>
      <c r="H15" s="2159">
        <f t="shared" si="3"/>
        <v>40</v>
      </c>
      <c r="I15" s="2159" t="e">
        <f t="shared" si="4"/>
        <v>#N/A</v>
      </c>
      <c r="J15" s="2159"/>
      <c r="K15" s="2130" t="str">
        <f t="shared" si="1"/>
        <v/>
      </c>
      <c r="L15" s="101"/>
      <c r="M15" s="5"/>
      <c r="N15" s="5"/>
      <c r="O15" s="6"/>
      <c r="P15" s="10"/>
      <c r="Q15" s="11"/>
      <c r="R15" s="10"/>
      <c r="S15" s="10"/>
      <c r="T15" s="10"/>
      <c r="U15" s="10"/>
      <c r="V15" s="10"/>
      <c r="W15" s="10"/>
      <c r="X15" s="10"/>
      <c r="Y15" s="10"/>
      <c r="Z15" s="10"/>
      <c r="AA15" s="10"/>
      <c r="AB15" s="10"/>
      <c r="AC15" s="10"/>
      <c r="AD15" s="10"/>
      <c r="AE15" s="10"/>
      <c r="AF15" s="143"/>
      <c r="AG15" s="32"/>
      <c r="AH15" s="32"/>
      <c r="AI15" s="32"/>
      <c r="AJ15" s="32"/>
      <c r="AK15" s="32"/>
      <c r="AL15" s="32"/>
      <c r="AM15" s="32"/>
      <c r="AN15" s="32"/>
      <c r="AO15" s="32"/>
      <c r="AP15" s="32"/>
      <c r="AQ15" s="32"/>
      <c r="AR15" s="32"/>
      <c r="AS15" s="32"/>
      <c r="AT15" s="32"/>
      <c r="AU15" s="32"/>
      <c r="AV15" s="32"/>
      <c r="AW15" s="32"/>
      <c r="AX15" s="32"/>
      <c r="AY15" s="32"/>
      <c r="AZ15" s="32"/>
      <c r="BA15" s="32"/>
      <c r="BB15" s="32"/>
      <c r="BC15" s="32"/>
      <c r="BD15" s="32"/>
      <c r="BE15" s="32"/>
      <c r="BF15" s="32"/>
      <c r="BG15" s="32"/>
      <c r="BH15" s="32"/>
      <c r="BI15" s="32"/>
      <c r="BJ15" s="32"/>
      <c r="BK15" s="32"/>
      <c r="BL15" s="32"/>
      <c r="BM15" s="32"/>
    </row>
    <row r="16" spans="1:65" ht="15" customHeight="1" x14ac:dyDescent="0.25">
      <c r="A16" s="957">
        <f t="shared" si="2"/>
        <v>0</v>
      </c>
      <c r="B16" s="4"/>
      <c r="C16" s="101"/>
      <c r="D16" s="137">
        <f t="shared" si="5"/>
        <v>10</v>
      </c>
      <c r="E16" s="1178" t="e">
        <f>HLOOKUP($D16,'Improved Sales Adjustments 2'!$G$7:$WU$147,48,FALSE)</f>
        <v>#N/A</v>
      </c>
      <c r="F16" s="2159" t="e">
        <f>HLOOKUP($D16,'Improved Sales Adjustments 2'!$G$7:$WU$147,91,FALSE)</f>
        <v>#N/A</v>
      </c>
      <c r="G16" s="2159">
        <f t="shared" si="0"/>
        <v>0</v>
      </c>
      <c r="H16" s="2159">
        <f t="shared" si="3"/>
        <v>40</v>
      </c>
      <c r="I16" s="2159" t="e">
        <f t="shared" si="4"/>
        <v>#N/A</v>
      </c>
      <c r="J16" s="2159"/>
      <c r="K16" s="2130" t="str">
        <f t="shared" si="1"/>
        <v/>
      </c>
      <c r="L16" s="101"/>
      <c r="M16" s="5"/>
      <c r="N16" s="5"/>
      <c r="O16" s="6"/>
      <c r="P16" s="10"/>
      <c r="Q16" s="11"/>
      <c r="R16" s="10"/>
      <c r="S16" s="10"/>
      <c r="T16" s="10"/>
      <c r="U16" s="10"/>
      <c r="V16" s="10"/>
      <c r="W16" s="10"/>
      <c r="X16" s="10"/>
      <c r="Y16" s="10"/>
      <c r="Z16" s="10"/>
      <c r="AA16" s="10"/>
      <c r="AB16" s="10"/>
      <c r="AC16" s="10"/>
      <c r="AD16" s="10"/>
      <c r="AE16" s="10"/>
      <c r="AF16" s="143"/>
      <c r="AG16" s="32"/>
      <c r="AH16" s="32"/>
      <c r="AI16" s="32"/>
      <c r="AJ16" s="32"/>
      <c r="AK16" s="32"/>
      <c r="AL16" s="32"/>
      <c r="AM16" s="32"/>
      <c r="AN16" s="32"/>
      <c r="AO16" s="32"/>
      <c r="AP16" s="32"/>
      <c r="AQ16" s="32"/>
      <c r="AR16" s="32"/>
      <c r="AS16" s="32"/>
      <c r="AT16" s="32"/>
      <c r="AU16" s="32"/>
      <c r="AV16" s="32"/>
      <c r="AW16" s="32"/>
      <c r="AX16" s="32"/>
      <c r="AY16" s="32"/>
      <c r="AZ16" s="32"/>
      <c r="BA16" s="32"/>
      <c r="BB16" s="32"/>
      <c r="BC16" s="32"/>
      <c r="BD16" s="32"/>
      <c r="BE16" s="32"/>
      <c r="BF16" s="32"/>
      <c r="BG16" s="32"/>
      <c r="BH16" s="32"/>
      <c r="BI16" s="32"/>
      <c r="BJ16" s="32"/>
      <c r="BK16" s="32"/>
      <c r="BL16" s="32"/>
      <c r="BM16" s="32"/>
    </row>
    <row r="17" spans="1:65" ht="15" customHeight="1" x14ac:dyDescent="0.25">
      <c r="A17" s="957">
        <f t="shared" si="2"/>
        <v>0</v>
      </c>
      <c r="B17" s="4"/>
      <c r="C17" s="101"/>
      <c r="D17" s="137">
        <f t="shared" si="5"/>
        <v>11</v>
      </c>
      <c r="E17" s="1178" t="e">
        <f>HLOOKUP($D17,'Improved Sales Adjustments 2'!$G$7:$WU$147,48,FALSE)</f>
        <v>#N/A</v>
      </c>
      <c r="F17" s="2159" t="e">
        <f>HLOOKUP($D17,'Improved Sales Adjustments 2'!$G$7:$WU$147,91,FALSE)</f>
        <v>#N/A</v>
      </c>
      <c r="G17" s="2159">
        <f t="shared" si="0"/>
        <v>0</v>
      </c>
      <c r="H17" s="2159">
        <f t="shared" si="3"/>
        <v>40</v>
      </c>
      <c r="I17" s="2159" t="e">
        <f t="shared" si="4"/>
        <v>#N/A</v>
      </c>
      <c r="J17" s="2159"/>
      <c r="K17" s="2130" t="str">
        <f t="shared" si="1"/>
        <v/>
      </c>
      <c r="L17" s="101"/>
      <c r="M17" s="5"/>
      <c r="N17" s="5"/>
      <c r="O17" s="6"/>
      <c r="P17" s="10"/>
      <c r="Q17" s="11"/>
      <c r="R17" s="10"/>
      <c r="S17" s="10"/>
      <c r="T17" s="10"/>
      <c r="U17" s="10"/>
      <c r="V17" s="10"/>
      <c r="W17" s="10"/>
      <c r="X17" s="10"/>
      <c r="Y17" s="10"/>
      <c r="Z17" s="10"/>
      <c r="AA17" s="10"/>
      <c r="AB17" s="10"/>
      <c r="AC17" s="10"/>
      <c r="AD17" s="10"/>
      <c r="AE17" s="10"/>
      <c r="AF17" s="143"/>
      <c r="AG17" s="32"/>
      <c r="AH17" s="32"/>
      <c r="AI17" s="32"/>
      <c r="AJ17" s="32"/>
      <c r="AK17" s="32"/>
      <c r="AL17" s="32"/>
      <c r="AM17" s="32"/>
      <c r="AN17" s="32"/>
      <c r="AO17" s="32"/>
      <c r="AP17" s="32"/>
      <c r="AQ17" s="32"/>
      <c r="AR17" s="32"/>
      <c r="AS17" s="32"/>
      <c r="AT17" s="32"/>
      <c r="AU17" s="32"/>
      <c r="AV17" s="32"/>
      <c r="AW17" s="32"/>
      <c r="AX17" s="32"/>
      <c r="AY17" s="32"/>
      <c r="AZ17" s="32"/>
      <c r="BA17" s="32"/>
      <c r="BB17" s="32"/>
      <c r="BC17" s="32"/>
      <c r="BD17" s="32"/>
      <c r="BE17" s="32"/>
      <c r="BF17" s="32"/>
      <c r="BG17" s="32"/>
      <c r="BH17" s="32"/>
      <c r="BI17" s="32"/>
      <c r="BJ17" s="32"/>
      <c r="BK17" s="32"/>
      <c r="BL17" s="32"/>
      <c r="BM17" s="32"/>
    </row>
    <row r="18" spans="1:65" ht="15" customHeight="1" x14ac:dyDescent="0.25">
      <c r="A18" s="957">
        <f t="shared" si="2"/>
        <v>0</v>
      </c>
      <c r="B18" s="4"/>
      <c r="C18" s="101"/>
      <c r="D18" s="137">
        <f t="shared" si="5"/>
        <v>12</v>
      </c>
      <c r="E18" s="1178" t="e">
        <f>HLOOKUP($D18,'Improved Sales Adjustments 2'!$G$7:$WU$147,48,FALSE)</f>
        <v>#N/A</v>
      </c>
      <c r="F18" s="2159" t="e">
        <f>HLOOKUP($D18,'Improved Sales Adjustments 2'!$G$7:$WU$147,91,FALSE)</f>
        <v>#N/A</v>
      </c>
      <c r="G18" s="2159">
        <f t="shared" si="0"/>
        <v>0</v>
      </c>
      <c r="H18" s="2159">
        <f t="shared" si="3"/>
        <v>40</v>
      </c>
      <c r="I18" s="2159" t="e">
        <f t="shared" si="4"/>
        <v>#N/A</v>
      </c>
      <c r="J18" s="2159"/>
      <c r="K18" s="2130" t="str">
        <f t="shared" si="1"/>
        <v/>
      </c>
      <c r="L18" s="101"/>
      <c r="M18" s="5"/>
      <c r="N18" s="5"/>
      <c r="O18" s="6"/>
      <c r="P18" s="10"/>
      <c r="Q18" s="11"/>
      <c r="R18" s="10"/>
      <c r="S18" s="10"/>
      <c r="T18" s="10"/>
      <c r="U18" s="10"/>
      <c r="V18" s="10"/>
      <c r="W18" s="10"/>
      <c r="X18" s="10"/>
      <c r="Y18" s="10"/>
      <c r="Z18" s="10"/>
      <c r="AA18" s="10"/>
      <c r="AB18" s="10"/>
      <c r="AC18" s="10"/>
      <c r="AD18" s="10"/>
      <c r="AE18" s="10"/>
      <c r="AF18" s="143"/>
      <c r="AG18" s="32"/>
      <c r="AH18" s="32"/>
      <c r="AI18" s="32"/>
      <c r="AJ18" s="32"/>
      <c r="AK18" s="32"/>
      <c r="AL18" s="32"/>
      <c r="AM18" s="32"/>
      <c r="AN18" s="32"/>
      <c r="AO18" s="32"/>
      <c r="AP18" s="32"/>
      <c r="AQ18" s="32"/>
      <c r="AR18" s="32"/>
      <c r="AS18" s="32"/>
      <c r="AT18" s="32"/>
      <c r="AU18" s="32"/>
      <c r="AV18" s="32"/>
      <c r="AW18" s="32"/>
      <c r="AX18" s="32"/>
      <c r="AY18" s="32"/>
      <c r="AZ18" s="32"/>
      <c r="BA18" s="32"/>
      <c r="BB18" s="32"/>
      <c r="BC18" s="32"/>
      <c r="BD18" s="32"/>
      <c r="BE18" s="32"/>
      <c r="BF18" s="32"/>
      <c r="BG18" s="32"/>
      <c r="BH18" s="32"/>
      <c r="BI18" s="32"/>
      <c r="BJ18" s="32"/>
      <c r="BK18" s="32"/>
      <c r="BL18" s="32"/>
      <c r="BM18" s="32"/>
    </row>
    <row r="19" spans="1:65" ht="15" customHeight="1" x14ac:dyDescent="0.25">
      <c r="A19" s="957">
        <f t="shared" si="2"/>
        <v>0</v>
      </c>
      <c r="B19" s="4"/>
      <c r="C19" s="101"/>
      <c r="D19" s="137">
        <f t="shared" si="5"/>
        <v>13</v>
      </c>
      <c r="E19" s="1178" t="e">
        <f>HLOOKUP($D19,'Improved Sales Adjustments 2'!$G$7:$WU$147,48,FALSE)</f>
        <v>#N/A</v>
      </c>
      <c r="F19" s="2159" t="e">
        <f>HLOOKUP($D19,'Improved Sales Adjustments 2'!$G$7:$WU$147,91,FALSE)</f>
        <v>#N/A</v>
      </c>
      <c r="G19" s="2159">
        <f t="shared" si="0"/>
        <v>0</v>
      </c>
      <c r="H19" s="2159">
        <f t="shared" si="3"/>
        <v>40</v>
      </c>
      <c r="I19" s="2159" t="e">
        <f t="shared" si="4"/>
        <v>#N/A</v>
      </c>
      <c r="J19" s="2159"/>
      <c r="K19" s="2130" t="str">
        <f t="shared" si="1"/>
        <v/>
      </c>
      <c r="L19" s="101"/>
      <c r="M19" s="5"/>
      <c r="N19" s="5"/>
      <c r="O19" s="6"/>
      <c r="P19" s="10"/>
      <c r="Q19" s="11"/>
      <c r="R19" s="10"/>
      <c r="S19" s="10"/>
      <c r="T19" s="10"/>
      <c r="U19" s="10"/>
      <c r="V19" s="10"/>
      <c r="W19" s="10"/>
      <c r="X19" s="10"/>
      <c r="Y19" s="10"/>
      <c r="Z19" s="10"/>
      <c r="AA19" s="10"/>
      <c r="AB19" s="10"/>
      <c r="AC19" s="10"/>
      <c r="AD19" s="10"/>
      <c r="AE19" s="10"/>
      <c r="AF19" s="143"/>
      <c r="AG19" s="32"/>
      <c r="AH19" s="32"/>
      <c r="AI19" s="32"/>
      <c r="AJ19" s="32"/>
      <c r="AK19" s="32"/>
      <c r="AL19" s="32"/>
      <c r="AM19" s="32"/>
      <c r="AN19" s="32"/>
      <c r="AO19" s="32"/>
      <c r="AP19" s="32"/>
      <c r="AQ19" s="32"/>
      <c r="AR19" s="32"/>
      <c r="AS19" s="32"/>
      <c r="AT19" s="32"/>
      <c r="AU19" s="32"/>
      <c r="AV19" s="32"/>
      <c r="AW19" s="32"/>
      <c r="AX19" s="32"/>
      <c r="AY19" s="32"/>
      <c r="AZ19" s="32"/>
      <c r="BA19" s="32"/>
      <c r="BB19" s="32"/>
      <c r="BC19" s="32"/>
      <c r="BD19" s="32"/>
      <c r="BE19" s="32"/>
      <c r="BF19" s="32"/>
      <c r="BG19" s="32"/>
      <c r="BH19" s="32"/>
      <c r="BI19" s="32"/>
      <c r="BJ19" s="32"/>
      <c r="BK19" s="32"/>
      <c r="BL19" s="32"/>
      <c r="BM19" s="32"/>
    </row>
    <row r="20" spans="1:65" ht="15" customHeight="1" x14ac:dyDescent="0.25">
      <c r="A20" s="957">
        <f t="shared" si="2"/>
        <v>0</v>
      </c>
      <c r="B20" s="4"/>
      <c r="C20" s="101"/>
      <c r="D20" s="137">
        <f t="shared" si="5"/>
        <v>14</v>
      </c>
      <c r="E20" s="1178" t="e">
        <f>HLOOKUP($D20,'Improved Sales Adjustments 2'!$G$7:$WU$147,48,FALSE)</f>
        <v>#N/A</v>
      </c>
      <c r="F20" s="2159" t="e">
        <f>HLOOKUP($D20,'Improved Sales Adjustments 2'!$G$7:$WU$147,91,FALSE)</f>
        <v>#N/A</v>
      </c>
      <c r="G20" s="2159">
        <f t="shared" si="0"/>
        <v>0</v>
      </c>
      <c r="H20" s="2159">
        <f t="shared" si="3"/>
        <v>40</v>
      </c>
      <c r="I20" s="2159" t="e">
        <f t="shared" si="4"/>
        <v>#N/A</v>
      </c>
      <c r="J20" s="2159"/>
      <c r="K20" s="2130" t="str">
        <f t="shared" si="1"/>
        <v/>
      </c>
      <c r="L20" s="101"/>
      <c r="M20" s="5"/>
      <c r="N20" s="5"/>
      <c r="O20" s="6"/>
      <c r="P20" s="10"/>
      <c r="Q20" s="11"/>
      <c r="R20" s="10"/>
      <c r="S20" s="10"/>
      <c r="T20" s="10"/>
      <c r="U20" s="10"/>
      <c r="V20" s="10"/>
      <c r="W20" s="10"/>
      <c r="X20" s="10"/>
      <c r="Y20" s="10"/>
      <c r="Z20" s="10"/>
      <c r="AA20" s="10"/>
      <c r="AB20" s="10"/>
      <c r="AC20" s="10"/>
      <c r="AD20" s="10"/>
      <c r="AE20" s="10"/>
      <c r="AF20" s="143"/>
      <c r="AG20" s="32"/>
      <c r="AH20" s="32"/>
      <c r="AI20" s="32"/>
      <c r="AJ20" s="32"/>
      <c r="AK20" s="32"/>
      <c r="AL20" s="32"/>
      <c r="AM20" s="32"/>
      <c r="AN20" s="32"/>
      <c r="AO20" s="32"/>
      <c r="AP20" s="32"/>
      <c r="AQ20" s="32"/>
      <c r="AR20" s="32"/>
      <c r="AS20" s="32"/>
      <c r="AT20" s="32"/>
      <c r="AU20" s="32"/>
      <c r="AV20" s="32"/>
      <c r="AW20" s="32"/>
      <c r="AX20" s="32"/>
      <c r="AY20" s="32"/>
      <c r="AZ20" s="32"/>
      <c r="BA20" s="32"/>
      <c r="BB20" s="32"/>
      <c r="BC20" s="32"/>
      <c r="BD20" s="32"/>
      <c r="BE20" s="32"/>
      <c r="BF20" s="32"/>
      <c r="BG20" s="32"/>
      <c r="BH20" s="32"/>
      <c r="BI20" s="32"/>
      <c r="BJ20" s="32"/>
      <c r="BK20" s="32"/>
      <c r="BL20" s="32"/>
      <c r="BM20" s="32"/>
    </row>
    <row r="21" spans="1:65" ht="15" customHeight="1" thickBot="1" x14ac:dyDescent="0.3">
      <c r="A21" s="957">
        <f t="shared" si="2"/>
        <v>0</v>
      </c>
      <c r="B21" s="4"/>
      <c r="C21" s="101"/>
      <c r="D21" s="137">
        <f t="shared" si="5"/>
        <v>15</v>
      </c>
      <c r="E21" s="1178" t="e">
        <f>HLOOKUP($D21,'Improved Sales Adjustments 2'!$G$7:$WU$147,48,FALSE)</f>
        <v>#N/A</v>
      </c>
      <c r="F21" s="2159" t="e">
        <f>HLOOKUP($D21,'Improved Sales Adjustments 2'!$G$7:$WU$147,91,FALSE)</f>
        <v>#N/A</v>
      </c>
      <c r="G21" s="2159">
        <f t="shared" si="0"/>
        <v>0</v>
      </c>
      <c r="H21" s="2159">
        <f t="shared" si="3"/>
        <v>40</v>
      </c>
      <c r="I21" s="2159" t="e">
        <f t="shared" si="4"/>
        <v>#N/A</v>
      </c>
      <c r="J21" s="2159"/>
      <c r="K21" s="2130" t="str">
        <f t="shared" si="1"/>
        <v/>
      </c>
      <c r="L21" s="101"/>
      <c r="M21" s="5"/>
      <c r="N21" s="5"/>
      <c r="O21" s="6"/>
      <c r="P21" s="10"/>
      <c r="Q21" s="11"/>
      <c r="R21" s="10"/>
      <c r="S21" s="10"/>
      <c r="T21" s="10"/>
      <c r="U21" s="10"/>
      <c r="V21" s="10"/>
      <c r="W21" s="10"/>
      <c r="X21" s="10"/>
      <c r="Y21" s="10"/>
      <c r="Z21" s="10"/>
      <c r="AA21" s="10"/>
      <c r="AB21" s="10"/>
      <c r="AC21" s="10"/>
      <c r="AD21" s="10"/>
      <c r="AE21" s="10"/>
      <c r="AF21" s="143"/>
      <c r="AG21" s="32"/>
      <c r="AH21" s="32"/>
      <c r="AI21" s="32"/>
      <c r="AJ21" s="32"/>
      <c r="AK21" s="32"/>
      <c r="AL21" s="32"/>
      <c r="AM21" s="32"/>
      <c r="AN21" s="32"/>
      <c r="AO21" s="32"/>
      <c r="AP21" s="32"/>
      <c r="AQ21" s="32"/>
      <c r="AR21" s="32"/>
      <c r="AS21" s="32"/>
      <c r="AT21" s="32"/>
      <c r="AU21" s="32"/>
      <c r="AV21" s="32"/>
      <c r="AW21" s="32"/>
      <c r="AX21" s="32"/>
      <c r="AY21" s="32"/>
      <c r="AZ21" s="32"/>
      <c r="BA21" s="32"/>
      <c r="BB21" s="32"/>
      <c r="BC21" s="32"/>
      <c r="BD21" s="32"/>
      <c r="BE21" s="32"/>
      <c r="BF21" s="32"/>
      <c r="BG21" s="32"/>
      <c r="BH21" s="32"/>
      <c r="BI21" s="32"/>
      <c r="BJ21" s="32"/>
      <c r="BK21" s="32"/>
      <c r="BL21" s="32"/>
      <c r="BM21" s="32"/>
    </row>
    <row r="22" spans="1:65" ht="15" customHeight="1" thickBot="1" x14ac:dyDescent="0.3">
      <c r="A22" s="957">
        <v>1</v>
      </c>
      <c r="B22" s="8"/>
      <c r="C22" s="7"/>
      <c r="D22" s="555" t="s">
        <v>1610</v>
      </c>
      <c r="E22" s="133"/>
      <c r="F22" s="133"/>
      <c r="G22" s="133"/>
      <c r="H22" s="133"/>
      <c r="I22" s="133"/>
      <c r="J22" s="133"/>
      <c r="K22" s="133"/>
      <c r="L22" s="7"/>
      <c r="M22" s="7"/>
      <c r="N22" s="7"/>
      <c r="O22" s="9"/>
      <c r="P22" s="10"/>
      <c r="Q22" s="11"/>
      <c r="R22" s="10"/>
      <c r="S22" s="10"/>
      <c r="T22" s="10"/>
      <c r="U22" s="10"/>
      <c r="V22" s="10"/>
      <c r="W22" s="10"/>
      <c r="X22" s="10"/>
      <c r="Y22" s="10"/>
      <c r="Z22" s="10"/>
      <c r="AA22" s="10"/>
      <c r="AB22" s="10"/>
      <c r="AC22" s="10"/>
      <c r="AD22" s="10"/>
      <c r="AE22" s="10"/>
      <c r="AF22" s="143"/>
      <c r="AG22" s="32"/>
      <c r="AH22" s="32"/>
      <c r="AI22" s="32"/>
      <c r="AJ22" s="32"/>
      <c r="AK22" s="32"/>
      <c r="AL22" s="32"/>
      <c r="AM22" s="32"/>
      <c r="AN22" s="32"/>
      <c r="AO22" s="32"/>
      <c r="AP22" s="32"/>
      <c r="AQ22" s="32"/>
      <c r="AR22" s="32"/>
      <c r="AS22" s="32"/>
      <c r="AT22" s="32"/>
      <c r="AU22" s="32"/>
      <c r="AV22" s="32"/>
      <c r="AW22" s="32"/>
      <c r="AX22" s="32"/>
      <c r="AY22" s="32"/>
      <c r="AZ22" s="32"/>
      <c r="BA22" s="32"/>
      <c r="BB22" s="32"/>
      <c r="BC22" s="32"/>
      <c r="BD22" s="32"/>
      <c r="BE22" s="32"/>
      <c r="BF22" s="32"/>
      <c r="BG22" s="32"/>
      <c r="BH22" s="32"/>
      <c r="BI22" s="32"/>
      <c r="BJ22" s="32"/>
      <c r="BK22" s="32"/>
      <c r="BL22" s="32"/>
      <c r="BM22" s="32"/>
    </row>
    <row r="23" spans="1:65" ht="15" customHeight="1" thickBot="1" x14ac:dyDescent="0.3">
      <c r="A23" s="957">
        <v>1</v>
      </c>
      <c r="B23" s="10"/>
      <c r="C23" s="10"/>
      <c r="D23" s="13"/>
      <c r="E23" s="10"/>
      <c r="F23" s="10"/>
      <c r="G23" s="10"/>
      <c r="H23" s="10"/>
      <c r="I23" s="10"/>
      <c r="J23" s="10"/>
      <c r="K23" s="10"/>
      <c r="L23" s="10"/>
      <c r="M23" s="10"/>
      <c r="N23" s="10"/>
      <c r="O23" s="10"/>
      <c r="P23" s="10"/>
      <c r="Q23" s="11"/>
      <c r="R23" s="10"/>
      <c r="S23" s="10"/>
      <c r="T23" s="10"/>
      <c r="U23" s="10"/>
      <c r="V23" s="10"/>
      <c r="W23" s="10"/>
      <c r="X23" s="10"/>
      <c r="Y23" s="10"/>
      <c r="Z23" s="10"/>
      <c r="AA23" s="10"/>
      <c r="AB23" s="10"/>
      <c r="AC23" s="10"/>
      <c r="AD23" s="10"/>
      <c r="AE23" s="10"/>
      <c r="AF23" s="143"/>
      <c r="AG23" s="32"/>
      <c r="AH23" s="32"/>
      <c r="AI23" s="32"/>
      <c r="AJ23" s="32"/>
      <c r="AK23" s="32"/>
      <c r="AL23" s="32"/>
      <c r="AM23" s="32"/>
      <c r="AN23" s="32"/>
      <c r="AO23" s="32"/>
      <c r="AP23" s="32"/>
      <c r="AQ23" s="32"/>
      <c r="AR23" s="32"/>
      <c r="AS23" s="32"/>
      <c r="AT23" s="32"/>
      <c r="AU23" s="32"/>
      <c r="AV23" s="32"/>
      <c r="AW23" s="32"/>
      <c r="AX23" s="32"/>
      <c r="AY23" s="32"/>
      <c r="AZ23" s="32"/>
      <c r="BA23" s="32"/>
      <c r="BB23" s="32"/>
      <c r="BC23" s="32"/>
      <c r="BD23" s="32"/>
      <c r="BE23" s="32"/>
      <c r="BF23" s="32"/>
      <c r="BG23" s="32"/>
      <c r="BH23" s="32"/>
      <c r="BI23" s="32"/>
      <c r="BJ23" s="32"/>
      <c r="BK23" s="32"/>
      <c r="BL23" s="32"/>
      <c r="BM23" s="32"/>
    </row>
    <row r="24" spans="1:65" ht="15" customHeight="1" x14ac:dyDescent="0.25">
      <c r="A24" s="957">
        <v>1</v>
      </c>
      <c r="B24" s="1"/>
      <c r="C24" s="2"/>
      <c r="D24" s="202"/>
      <c r="E24" s="2"/>
      <c r="F24" s="2"/>
      <c r="G24" s="2"/>
      <c r="H24" s="2"/>
      <c r="I24" s="2"/>
      <c r="J24" s="2"/>
      <c r="K24" s="2"/>
      <c r="L24" s="2"/>
      <c r="M24" s="2"/>
      <c r="N24" s="3"/>
      <c r="O24" s="228"/>
      <c r="P24" s="10"/>
      <c r="Q24" s="11"/>
      <c r="R24" s="10"/>
      <c r="S24" s="10"/>
      <c r="T24" s="10"/>
      <c r="U24" s="10"/>
      <c r="V24" s="10"/>
      <c r="W24" s="10"/>
      <c r="X24" s="10"/>
      <c r="Y24" s="10"/>
      <c r="Z24" s="10"/>
      <c r="AA24" s="10"/>
      <c r="AB24" s="10"/>
      <c r="AC24" s="10"/>
      <c r="AD24" s="10"/>
      <c r="AE24" s="10"/>
      <c r="AF24" s="143"/>
      <c r="AG24" s="32"/>
      <c r="AH24" s="32"/>
      <c r="AI24" s="32"/>
      <c r="AJ24" s="32"/>
      <c r="AK24" s="32"/>
      <c r="AL24" s="32"/>
      <c r="AM24" s="32"/>
      <c r="AN24" s="32"/>
      <c r="AO24" s="32"/>
      <c r="AP24" s="32"/>
      <c r="AQ24" s="32"/>
      <c r="AR24" s="32"/>
      <c r="AS24" s="32"/>
      <c r="AT24" s="32"/>
      <c r="AU24" s="32"/>
      <c r="AV24" s="32"/>
      <c r="AW24" s="32"/>
      <c r="AX24" s="32"/>
      <c r="AY24" s="32"/>
      <c r="AZ24" s="32"/>
      <c r="BA24" s="32"/>
      <c r="BB24" s="32"/>
      <c r="BC24" s="32"/>
      <c r="BD24" s="32"/>
      <c r="BE24" s="32"/>
      <c r="BF24" s="32"/>
      <c r="BG24" s="32"/>
      <c r="BH24" s="32"/>
      <c r="BI24" s="32"/>
      <c r="BJ24" s="32"/>
      <c r="BK24" s="32"/>
      <c r="BL24" s="32"/>
      <c r="BM24" s="32"/>
    </row>
    <row r="25" spans="1:65" ht="15.95" customHeight="1" x14ac:dyDescent="0.25">
      <c r="A25" s="957">
        <v>1</v>
      </c>
      <c r="B25" s="4"/>
      <c r="C25" s="5"/>
      <c r="D25" s="505" t="str">
        <f>CONCATENATE("Percent Office Adjustment Calculations - ",dpSales_ComponentNameB2," Component")</f>
        <v>Percent Office Adjustment Calculations -  Component</v>
      </c>
      <c r="E25" s="5"/>
      <c r="F25" s="5"/>
      <c r="G25" s="5"/>
      <c r="H25" s="5"/>
      <c r="I25" s="5"/>
      <c r="J25" s="5"/>
      <c r="K25" s="5"/>
      <c r="L25" s="5"/>
      <c r="M25" s="5"/>
      <c r="N25" s="6"/>
      <c r="O25" s="228"/>
      <c r="P25" s="10"/>
      <c r="Q25" s="11"/>
      <c r="R25" s="10"/>
      <c r="S25" s="10"/>
      <c r="T25" s="10"/>
      <c r="U25" s="10"/>
      <c r="V25" s="10"/>
      <c r="W25" s="10"/>
      <c r="X25" s="10"/>
      <c r="Y25" s="10"/>
      <c r="Z25" s="10"/>
      <c r="AA25" s="10"/>
      <c r="AB25" s="10"/>
      <c r="AC25" s="10"/>
      <c r="AD25" s="10"/>
      <c r="AE25" s="10"/>
      <c r="AF25" s="143"/>
      <c r="AG25" s="32"/>
      <c r="AH25" s="32"/>
      <c r="AI25" s="32"/>
      <c r="AJ25" s="32"/>
      <c r="AK25" s="32"/>
      <c r="AL25" s="32"/>
      <c r="AM25" s="32"/>
      <c r="AN25" s="32"/>
      <c r="AO25" s="32"/>
      <c r="AP25" s="32"/>
      <c r="AQ25" s="32"/>
      <c r="AR25" s="32"/>
      <c r="AS25" s="32"/>
      <c r="AT25" s="32"/>
      <c r="AU25" s="32"/>
      <c r="AV25" s="32"/>
      <c r="AW25" s="32"/>
      <c r="AX25" s="32"/>
      <c r="AY25" s="32"/>
      <c r="AZ25" s="32"/>
      <c r="BA25" s="32"/>
      <c r="BB25" s="32"/>
      <c r="BC25" s="32"/>
      <c r="BD25" s="32"/>
      <c r="BE25" s="32"/>
      <c r="BF25" s="32"/>
      <c r="BG25" s="32"/>
      <c r="BH25" s="32"/>
      <c r="BI25" s="32"/>
      <c r="BJ25" s="32"/>
      <c r="BK25" s="32"/>
      <c r="BL25" s="32"/>
      <c r="BM25" s="32"/>
    </row>
    <row r="26" spans="1:65" ht="15" customHeight="1" x14ac:dyDescent="0.25">
      <c r="A26" s="957">
        <v>1</v>
      </c>
      <c r="B26" s="4"/>
      <c r="C26" s="150"/>
      <c r="D26" s="150"/>
      <c r="E26" s="150" t="s">
        <v>128</v>
      </c>
      <c r="F26" s="150" t="s">
        <v>551</v>
      </c>
      <c r="G26" s="150" t="s">
        <v>116</v>
      </c>
      <c r="H26" s="150"/>
      <c r="I26" s="150" t="s">
        <v>554</v>
      </c>
      <c r="J26" s="150"/>
      <c r="K26" s="5"/>
      <c r="L26" s="53"/>
      <c r="M26" s="53"/>
      <c r="N26" s="128"/>
      <c r="O26" s="228"/>
      <c r="P26" s="10"/>
      <c r="Q26" s="11"/>
      <c r="R26" s="10"/>
      <c r="S26" s="10"/>
      <c r="T26" s="10"/>
      <c r="U26" s="10"/>
      <c r="V26" s="10"/>
      <c r="W26" s="10"/>
      <c r="X26" s="10"/>
      <c r="Y26" s="10"/>
      <c r="Z26" s="10"/>
      <c r="AA26" s="10"/>
      <c r="AB26" s="10"/>
      <c r="AC26" s="10"/>
      <c r="AD26" s="10"/>
      <c r="AE26" s="10"/>
      <c r="AF26" s="143"/>
      <c r="AG26" s="32"/>
      <c r="AH26" s="32"/>
      <c r="AI26" s="32"/>
      <c r="AJ26" s="32"/>
      <c r="AK26" s="32"/>
      <c r="AL26" s="32"/>
      <c r="AM26" s="32"/>
      <c r="AN26" s="32"/>
      <c r="AO26" s="32"/>
      <c r="AP26" s="32"/>
      <c r="AQ26" s="32"/>
      <c r="AR26" s="32"/>
      <c r="AS26" s="32"/>
      <c r="AT26" s="32"/>
      <c r="AU26" s="32"/>
      <c r="AV26" s="32"/>
      <c r="AW26" s="32"/>
      <c r="AX26" s="32"/>
      <c r="AY26" s="32"/>
      <c r="AZ26" s="32"/>
      <c r="BA26" s="32"/>
      <c r="BB26" s="32"/>
      <c r="BC26" s="32"/>
      <c r="BD26" s="32"/>
      <c r="BE26" s="32"/>
      <c r="BF26" s="32"/>
      <c r="BG26" s="32"/>
      <c r="BH26" s="32"/>
      <c r="BI26" s="32"/>
      <c r="BJ26" s="32"/>
      <c r="BK26" s="32"/>
      <c r="BL26" s="32"/>
      <c r="BM26" s="32"/>
    </row>
    <row r="27" spans="1:65" ht="15" customHeight="1" x14ac:dyDescent="0.25">
      <c r="A27" s="957">
        <v>1</v>
      </c>
      <c r="B27" s="4"/>
      <c r="C27" s="150"/>
      <c r="D27" s="150" t="s">
        <v>702</v>
      </c>
      <c r="E27" s="150" t="s">
        <v>1303</v>
      </c>
      <c r="F27" s="150" t="s">
        <v>540</v>
      </c>
      <c r="G27" s="150" t="s">
        <v>540</v>
      </c>
      <c r="H27" s="150" t="s">
        <v>553</v>
      </c>
      <c r="I27" s="1703">
        <v>40</v>
      </c>
      <c r="J27" s="350"/>
      <c r="K27" s="5"/>
      <c r="L27" s="53"/>
      <c r="M27" s="53"/>
      <c r="N27" s="128"/>
      <c r="O27" s="228"/>
      <c r="P27" s="10"/>
      <c r="Q27" s="11"/>
      <c r="R27" s="10"/>
      <c r="S27" s="10"/>
      <c r="T27" s="10"/>
      <c r="U27" s="10"/>
      <c r="V27" s="10"/>
      <c r="W27" s="10"/>
      <c r="X27" s="10"/>
      <c r="Y27" s="10"/>
      <c r="Z27" s="10"/>
      <c r="AA27" s="10"/>
      <c r="AB27" s="10"/>
      <c r="AC27" s="10"/>
      <c r="AD27" s="10"/>
      <c r="AE27" s="10"/>
      <c r="AF27" s="143"/>
      <c r="AG27" s="32"/>
      <c r="AH27" s="32"/>
      <c r="AI27" s="32"/>
      <c r="AJ27" s="32"/>
      <c r="AK27" s="32"/>
      <c r="AL27" s="32"/>
      <c r="AM27" s="32"/>
      <c r="AN27" s="32"/>
      <c r="AO27" s="32"/>
      <c r="AP27" s="32"/>
      <c r="AQ27" s="32"/>
      <c r="AR27" s="32"/>
      <c r="AS27" s="32"/>
      <c r="AT27" s="32"/>
      <c r="AU27" s="32"/>
      <c r="AV27" s="32"/>
      <c r="AW27" s="32"/>
      <c r="AX27" s="32"/>
      <c r="AY27" s="32"/>
      <c r="AZ27" s="32"/>
      <c r="BA27" s="32"/>
      <c r="BB27" s="32"/>
      <c r="BC27" s="32"/>
      <c r="BD27" s="32"/>
      <c r="BE27" s="32"/>
      <c r="BF27" s="32"/>
      <c r="BG27" s="32"/>
      <c r="BH27" s="32"/>
      <c r="BI27" s="32"/>
      <c r="BJ27" s="32"/>
      <c r="BK27" s="32"/>
      <c r="BL27" s="32"/>
      <c r="BM27" s="32"/>
    </row>
    <row r="28" spans="1:65" ht="15" customHeight="1" x14ac:dyDescent="0.25">
      <c r="A28" s="957">
        <f>IF(ISERROR(E28),0,1)</f>
        <v>0</v>
      </c>
      <c r="B28" s="4"/>
      <c r="C28" s="101"/>
      <c r="D28" s="137">
        <v>1</v>
      </c>
      <c r="E28" s="1178" t="e">
        <f>HLOOKUP($D28,'Improved Sales Adjustments 2'!$G$7:$WU$147,48,FALSE)</f>
        <v>#DIV/0!</v>
      </c>
      <c r="F28" s="2129">
        <f>HLOOKUP($D28,'Improved Sales Adjustments 2'!$G$7:$WU$147,97,FALSE)</f>
        <v>0</v>
      </c>
      <c r="G28" s="2130">
        <f t="shared" ref="G28:G42" si="6">Sales_AdjGrid_PercentOffice_2</f>
        <v>7.4999999999999997E-2</v>
      </c>
      <c r="H28" s="2130">
        <f>G28-F28</f>
        <v>7.4999999999999997E-2</v>
      </c>
      <c r="I28" s="2130" t="str">
        <f t="shared" ref="I28:I42" si="7">IF(ISERROR((Sales_PercentOffice_AdjPSF_2*H28)/E28),"",Sales_PercentOffice_AdjPSF_2*H28/E28)</f>
        <v/>
      </c>
      <c r="J28" s="2130"/>
      <c r="K28" s="5"/>
      <c r="L28" s="5"/>
      <c r="M28" s="5"/>
      <c r="N28" s="6"/>
      <c r="O28" s="228"/>
      <c r="P28" s="10"/>
      <c r="Q28" s="11"/>
      <c r="R28" s="10"/>
      <c r="S28" s="10"/>
      <c r="T28" s="10"/>
      <c r="U28" s="10"/>
      <c r="V28" s="10"/>
      <c r="W28" s="10"/>
      <c r="X28" s="10"/>
      <c r="Y28" s="10"/>
      <c r="Z28" s="10"/>
      <c r="AA28" s="10"/>
      <c r="AB28" s="10"/>
      <c r="AC28" s="10"/>
      <c r="AD28" s="10"/>
      <c r="AE28" s="10"/>
      <c r="AF28" s="143"/>
      <c r="AG28" s="32"/>
      <c r="AH28" s="32"/>
      <c r="AI28" s="32"/>
      <c r="AJ28" s="32"/>
      <c r="AK28" s="32"/>
      <c r="AL28" s="32"/>
      <c r="AM28" s="32"/>
      <c r="AN28" s="32"/>
      <c r="AO28" s="32"/>
      <c r="AP28" s="32"/>
      <c r="AQ28" s="32"/>
      <c r="AR28" s="32"/>
      <c r="AS28" s="32"/>
      <c r="AT28" s="32"/>
      <c r="AU28" s="32"/>
      <c r="AV28" s="32"/>
      <c r="AW28" s="32"/>
      <c r="AX28" s="32"/>
      <c r="AY28" s="32"/>
      <c r="AZ28" s="32"/>
      <c r="BA28" s="32"/>
      <c r="BB28" s="32"/>
      <c r="BC28" s="32"/>
      <c r="BD28" s="32"/>
      <c r="BE28" s="32"/>
      <c r="BF28" s="32"/>
      <c r="BG28" s="32"/>
      <c r="BH28" s="32"/>
      <c r="BI28" s="32"/>
      <c r="BJ28" s="32"/>
      <c r="BK28" s="32"/>
      <c r="BL28" s="32"/>
      <c r="BM28" s="32"/>
    </row>
    <row r="29" spans="1:65" ht="15" customHeight="1" x14ac:dyDescent="0.25">
      <c r="A29" s="957">
        <f t="shared" ref="A29:A42" si="8">IF(ISERROR(E29),0,1)</f>
        <v>0</v>
      </c>
      <c r="B29" s="4"/>
      <c r="C29" s="101"/>
      <c r="D29" s="137">
        <f t="shared" ref="D29:D35" si="9">D28+1</f>
        <v>2</v>
      </c>
      <c r="E29" s="1178" t="e">
        <f>HLOOKUP($D29,'Improved Sales Adjustments 2'!$G$7:$WU$147,48,FALSE)</f>
        <v>#DIV/0!</v>
      </c>
      <c r="F29" s="2129">
        <f>HLOOKUP($D29,'Improved Sales Adjustments 2'!$G$7:$WU$147,97,FALSE)</f>
        <v>0</v>
      </c>
      <c r="G29" s="2130">
        <f t="shared" si="6"/>
        <v>7.4999999999999997E-2</v>
      </c>
      <c r="H29" s="2130">
        <f t="shared" ref="H29:H42" si="10">G29-F29</f>
        <v>7.4999999999999997E-2</v>
      </c>
      <c r="I29" s="2130" t="str">
        <f t="shared" si="7"/>
        <v/>
      </c>
      <c r="J29" s="2130"/>
      <c r="K29" s="5"/>
      <c r="L29" s="5"/>
      <c r="M29" s="5"/>
      <c r="N29" s="6"/>
      <c r="O29" s="228"/>
      <c r="P29" s="10"/>
      <c r="Q29" s="11"/>
      <c r="R29" s="10"/>
      <c r="S29" s="10"/>
      <c r="T29" s="10"/>
      <c r="U29" s="10"/>
      <c r="V29" s="10"/>
      <c r="W29" s="10"/>
      <c r="X29" s="10"/>
      <c r="Y29" s="10"/>
      <c r="Z29" s="10"/>
      <c r="AA29" s="10"/>
      <c r="AB29" s="10"/>
      <c r="AC29" s="10"/>
      <c r="AD29" s="10"/>
      <c r="AE29" s="10"/>
      <c r="AF29" s="143"/>
      <c r="AG29" s="32"/>
      <c r="AH29" s="32"/>
      <c r="AI29" s="32"/>
      <c r="AJ29" s="32"/>
      <c r="AK29" s="32"/>
      <c r="AL29" s="32"/>
      <c r="AM29" s="32"/>
      <c r="AN29" s="32"/>
      <c r="AO29" s="32"/>
      <c r="AP29" s="32"/>
      <c r="AQ29" s="32"/>
      <c r="AR29" s="32"/>
      <c r="AS29" s="32"/>
      <c r="AT29" s="32"/>
      <c r="AU29" s="32"/>
      <c r="AV29" s="32"/>
      <c r="AW29" s="32"/>
      <c r="AX29" s="32"/>
      <c r="AY29" s="32"/>
      <c r="AZ29" s="32"/>
      <c r="BA29" s="32"/>
      <c r="BB29" s="32"/>
      <c r="BC29" s="32"/>
      <c r="BD29" s="32"/>
      <c r="BE29" s="32"/>
      <c r="BF29" s="32"/>
      <c r="BG29" s="32"/>
      <c r="BH29" s="32"/>
      <c r="BI29" s="32"/>
      <c r="BJ29" s="32"/>
      <c r="BK29" s="32"/>
      <c r="BL29" s="32"/>
      <c r="BM29" s="32"/>
    </row>
    <row r="30" spans="1:65" ht="15" customHeight="1" x14ac:dyDescent="0.25">
      <c r="A30" s="957">
        <f t="shared" si="8"/>
        <v>0</v>
      </c>
      <c r="B30" s="4"/>
      <c r="C30" s="101"/>
      <c r="D30" s="137">
        <f t="shared" si="9"/>
        <v>3</v>
      </c>
      <c r="E30" s="1178" t="e">
        <f>HLOOKUP($D30,'Improved Sales Adjustments 2'!$G$7:$WU$147,48,FALSE)</f>
        <v>#DIV/0!</v>
      </c>
      <c r="F30" s="2129">
        <f>HLOOKUP($D30,'Improved Sales Adjustments 2'!$G$7:$WU$147,97,FALSE)</f>
        <v>0</v>
      </c>
      <c r="G30" s="2130">
        <f t="shared" si="6"/>
        <v>7.4999999999999997E-2</v>
      </c>
      <c r="H30" s="2130">
        <f t="shared" si="10"/>
        <v>7.4999999999999997E-2</v>
      </c>
      <c r="I30" s="2130" t="str">
        <f t="shared" si="7"/>
        <v/>
      </c>
      <c r="J30" s="2130"/>
      <c r="K30" s="5"/>
      <c r="L30" s="5"/>
      <c r="M30" s="5"/>
      <c r="N30" s="6"/>
      <c r="O30" s="228"/>
      <c r="P30" s="10"/>
      <c r="Q30" s="11"/>
      <c r="R30" s="10"/>
      <c r="S30" s="10"/>
      <c r="T30" s="10"/>
      <c r="U30" s="10"/>
      <c r="V30" s="10"/>
      <c r="W30" s="10"/>
      <c r="X30" s="10"/>
      <c r="Y30" s="10"/>
      <c r="Z30" s="10"/>
      <c r="AA30" s="10"/>
      <c r="AB30" s="10"/>
      <c r="AC30" s="10"/>
      <c r="AD30" s="10"/>
      <c r="AE30" s="10"/>
      <c r="AF30" s="143"/>
      <c r="AG30" s="32"/>
      <c r="AH30" s="32"/>
      <c r="AI30" s="32"/>
      <c r="AJ30" s="32"/>
      <c r="AK30" s="32"/>
      <c r="AL30" s="32"/>
      <c r="AM30" s="32"/>
      <c r="AN30" s="32"/>
      <c r="AO30" s="32"/>
      <c r="AP30" s="32"/>
      <c r="AQ30" s="32"/>
      <c r="AR30" s="32"/>
      <c r="AS30" s="32"/>
      <c r="AT30" s="32"/>
      <c r="AU30" s="32"/>
      <c r="AV30" s="32"/>
      <c r="AW30" s="32"/>
      <c r="AX30" s="32"/>
      <c r="AY30" s="32"/>
      <c r="AZ30" s="32"/>
      <c r="BA30" s="32"/>
      <c r="BB30" s="32"/>
      <c r="BC30" s="32"/>
      <c r="BD30" s="32"/>
      <c r="BE30" s="32"/>
      <c r="BF30" s="32"/>
      <c r="BG30" s="32"/>
      <c r="BH30" s="32"/>
      <c r="BI30" s="32"/>
      <c r="BJ30" s="32"/>
      <c r="BK30" s="32"/>
      <c r="BL30" s="32"/>
      <c r="BM30" s="32"/>
    </row>
    <row r="31" spans="1:65" ht="15" customHeight="1" x14ac:dyDescent="0.25">
      <c r="A31" s="957">
        <f t="shared" si="8"/>
        <v>0</v>
      </c>
      <c r="B31" s="4"/>
      <c r="C31" s="101"/>
      <c r="D31" s="137">
        <f t="shared" si="9"/>
        <v>4</v>
      </c>
      <c r="E31" s="1178" t="e">
        <f>HLOOKUP($D31,'Improved Sales Adjustments 2'!$G$7:$WU$147,48,FALSE)</f>
        <v>#DIV/0!</v>
      </c>
      <c r="F31" s="2129">
        <f>HLOOKUP($D31,'Improved Sales Adjustments 2'!$G$7:$WU$147,97,FALSE)</f>
        <v>0</v>
      </c>
      <c r="G31" s="2130">
        <f t="shared" si="6"/>
        <v>7.4999999999999997E-2</v>
      </c>
      <c r="H31" s="2130">
        <f t="shared" si="10"/>
        <v>7.4999999999999997E-2</v>
      </c>
      <c r="I31" s="2130" t="str">
        <f t="shared" si="7"/>
        <v/>
      </c>
      <c r="J31" s="2130"/>
      <c r="K31" s="5"/>
      <c r="L31" s="5"/>
      <c r="M31" s="5"/>
      <c r="N31" s="6"/>
      <c r="O31" s="228"/>
      <c r="P31" s="10"/>
      <c r="Q31" s="11"/>
      <c r="R31" s="10"/>
      <c r="S31" s="10"/>
      <c r="T31" s="10"/>
      <c r="U31" s="10"/>
      <c r="V31" s="10"/>
      <c r="W31" s="10"/>
      <c r="X31" s="10"/>
      <c r="Y31" s="10"/>
      <c r="Z31" s="10"/>
      <c r="AA31" s="10"/>
      <c r="AB31" s="10"/>
      <c r="AC31" s="10"/>
      <c r="AD31" s="10"/>
      <c r="AE31" s="10"/>
      <c r="AF31" s="143"/>
      <c r="AG31" s="32"/>
      <c r="AH31" s="32"/>
      <c r="AI31" s="32"/>
      <c r="AJ31" s="32"/>
      <c r="AK31" s="32"/>
      <c r="AL31" s="32"/>
      <c r="AM31" s="32"/>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row>
    <row r="32" spans="1:65" ht="15" customHeight="1" x14ac:dyDescent="0.25">
      <c r="A32" s="957">
        <f t="shared" si="8"/>
        <v>0</v>
      </c>
      <c r="B32" s="4"/>
      <c r="C32" s="101"/>
      <c r="D32" s="137">
        <f t="shared" si="9"/>
        <v>5</v>
      </c>
      <c r="E32" s="1178" t="e">
        <f>HLOOKUP($D32,'Improved Sales Adjustments 2'!$G$7:$WU$147,48,FALSE)</f>
        <v>#DIV/0!</v>
      </c>
      <c r="F32" s="2129">
        <f>HLOOKUP($D32,'Improved Sales Adjustments 2'!$G$7:$WU$147,97,FALSE)</f>
        <v>0</v>
      </c>
      <c r="G32" s="2130">
        <f t="shared" si="6"/>
        <v>7.4999999999999997E-2</v>
      </c>
      <c r="H32" s="2130">
        <f t="shared" si="10"/>
        <v>7.4999999999999997E-2</v>
      </c>
      <c r="I32" s="2130" t="str">
        <f t="shared" si="7"/>
        <v/>
      </c>
      <c r="J32" s="2130"/>
      <c r="K32" s="5"/>
      <c r="L32" s="5"/>
      <c r="M32" s="5"/>
      <c r="N32" s="6"/>
      <c r="O32" s="228"/>
      <c r="P32" s="10"/>
      <c r="Q32" s="11"/>
      <c r="R32" s="10"/>
      <c r="S32" s="10"/>
      <c r="T32" s="10"/>
      <c r="U32" s="10"/>
      <c r="V32" s="10"/>
      <c r="W32" s="10"/>
      <c r="X32" s="10"/>
      <c r="Y32" s="10"/>
      <c r="Z32" s="10"/>
      <c r="AA32" s="10"/>
      <c r="AB32" s="10"/>
      <c r="AC32" s="10"/>
      <c r="AD32" s="10"/>
      <c r="AE32" s="10"/>
      <c r="AF32" s="143"/>
      <c r="AG32" s="32"/>
      <c r="AH32" s="32"/>
      <c r="AI32" s="32"/>
      <c r="AJ32" s="32"/>
      <c r="AK32" s="32"/>
      <c r="AL32" s="32"/>
      <c r="AM32" s="32"/>
      <c r="AN32" s="32"/>
      <c r="AO32" s="32"/>
      <c r="AP32" s="32"/>
      <c r="AQ32" s="32"/>
      <c r="AR32" s="32"/>
      <c r="AS32" s="32"/>
      <c r="AT32" s="32"/>
      <c r="AU32" s="32"/>
      <c r="AV32" s="32"/>
      <c r="AW32" s="32"/>
      <c r="AX32" s="32"/>
      <c r="AY32" s="32"/>
      <c r="AZ32" s="32"/>
      <c r="BA32" s="32"/>
      <c r="BB32" s="32"/>
      <c r="BC32" s="32"/>
      <c r="BD32" s="32"/>
      <c r="BE32" s="32"/>
      <c r="BF32" s="32"/>
      <c r="BG32" s="32"/>
      <c r="BH32" s="32"/>
      <c r="BI32" s="32"/>
      <c r="BJ32" s="32"/>
      <c r="BK32" s="32"/>
      <c r="BL32" s="32"/>
      <c r="BM32" s="32"/>
    </row>
    <row r="33" spans="1:65" ht="15" customHeight="1" x14ac:dyDescent="0.25">
      <c r="A33" s="957">
        <f t="shared" si="8"/>
        <v>0</v>
      </c>
      <c r="B33" s="4"/>
      <c r="C33" s="101"/>
      <c r="D33" s="137">
        <f t="shared" si="9"/>
        <v>6</v>
      </c>
      <c r="E33" s="1178" t="e">
        <f>HLOOKUP($D33,'Improved Sales Adjustments 2'!$G$7:$WU$147,48,FALSE)</f>
        <v>#DIV/0!</v>
      </c>
      <c r="F33" s="2129">
        <f>HLOOKUP($D33,'Improved Sales Adjustments 2'!$G$7:$WU$147,97,FALSE)</f>
        <v>0</v>
      </c>
      <c r="G33" s="2130">
        <f t="shared" si="6"/>
        <v>7.4999999999999997E-2</v>
      </c>
      <c r="H33" s="2130">
        <f t="shared" si="10"/>
        <v>7.4999999999999997E-2</v>
      </c>
      <c r="I33" s="2130" t="str">
        <f t="shared" si="7"/>
        <v/>
      </c>
      <c r="J33" s="2130"/>
      <c r="K33" s="5"/>
      <c r="L33" s="5"/>
      <c r="M33" s="5"/>
      <c r="N33" s="6"/>
      <c r="O33" s="228"/>
      <c r="P33" s="10"/>
      <c r="Q33" s="11"/>
      <c r="R33" s="10"/>
      <c r="S33" s="10"/>
      <c r="T33" s="10"/>
      <c r="U33" s="10"/>
      <c r="V33" s="10"/>
      <c r="W33" s="10"/>
      <c r="X33" s="10"/>
      <c r="Y33" s="10"/>
      <c r="Z33" s="10"/>
      <c r="AA33" s="10"/>
      <c r="AB33" s="10"/>
      <c r="AC33" s="10"/>
      <c r="AD33" s="10"/>
      <c r="AE33" s="10"/>
      <c r="AF33" s="143"/>
      <c r="AG33" s="32"/>
      <c r="AH33" s="32"/>
      <c r="AI33" s="32"/>
      <c r="AJ33" s="32"/>
      <c r="AK33" s="32"/>
      <c r="AL33" s="32"/>
      <c r="AM33" s="32"/>
      <c r="AN33" s="32"/>
      <c r="AO33" s="32"/>
      <c r="AP33" s="32"/>
      <c r="AQ33" s="32"/>
      <c r="AR33" s="32"/>
      <c r="AS33" s="32"/>
      <c r="AT33" s="32"/>
      <c r="AU33" s="32"/>
      <c r="AV33" s="32"/>
      <c r="AW33" s="32"/>
      <c r="AX33" s="32"/>
      <c r="AY33" s="32"/>
      <c r="AZ33" s="32"/>
      <c r="BA33" s="32"/>
      <c r="BB33" s="32"/>
      <c r="BC33" s="32"/>
      <c r="BD33" s="32"/>
      <c r="BE33" s="32"/>
      <c r="BF33" s="32"/>
      <c r="BG33" s="32"/>
      <c r="BH33" s="32"/>
      <c r="BI33" s="32"/>
      <c r="BJ33" s="32"/>
      <c r="BK33" s="32"/>
      <c r="BL33" s="32"/>
      <c r="BM33" s="32"/>
    </row>
    <row r="34" spans="1:65" ht="15" customHeight="1" x14ac:dyDescent="0.25">
      <c r="A34" s="957">
        <f t="shared" si="8"/>
        <v>0</v>
      </c>
      <c r="B34" s="4"/>
      <c r="C34" s="101"/>
      <c r="D34" s="137">
        <f t="shared" si="9"/>
        <v>7</v>
      </c>
      <c r="E34" s="1178" t="e">
        <f>HLOOKUP($D34,'Improved Sales Adjustments 2'!$G$7:$WU$147,48,FALSE)</f>
        <v>#N/A</v>
      </c>
      <c r="F34" s="2129" t="e">
        <f>HLOOKUP($D34,'Improved Sales Adjustments 2'!$G$7:$WU$147,97,FALSE)</f>
        <v>#N/A</v>
      </c>
      <c r="G34" s="2130">
        <f t="shared" si="6"/>
        <v>7.4999999999999997E-2</v>
      </c>
      <c r="H34" s="2130" t="e">
        <f t="shared" si="10"/>
        <v>#N/A</v>
      </c>
      <c r="I34" s="2130" t="str">
        <f t="shared" si="7"/>
        <v/>
      </c>
      <c r="J34" s="2130"/>
      <c r="K34" s="5"/>
      <c r="L34" s="5"/>
      <c r="M34" s="5"/>
      <c r="N34" s="6"/>
      <c r="O34" s="228"/>
      <c r="P34" s="10"/>
      <c r="Q34" s="11"/>
      <c r="R34" s="10"/>
      <c r="S34" s="10"/>
      <c r="T34" s="10"/>
      <c r="U34" s="10"/>
      <c r="V34" s="10"/>
      <c r="W34" s="10"/>
      <c r="X34" s="10"/>
      <c r="Y34" s="10"/>
      <c r="Z34" s="10"/>
      <c r="AA34" s="10"/>
      <c r="AB34" s="10"/>
      <c r="AC34" s="10"/>
      <c r="AD34" s="10"/>
      <c r="AE34" s="10"/>
      <c r="AF34" s="143"/>
      <c r="AG34" s="32"/>
      <c r="AH34" s="32"/>
      <c r="AI34" s="32"/>
      <c r="AJ34" s="32"/>
      <c r="AK34" s="32"/>
      <c r="AL34" s="32"/>
      <c r="AM34" s="32"/>
      <c r="AN34" s="32"/>
      <c r="AO34" s="32"/>
      <c r="AP34" s="32"/>
      <c r="AQ34" s="32"/>
      <c r="AR34" s="32"/>
      <c r="AS34" s="32"/>
      <c r="AT34" s="32"/>
      <c r="AU34" s="32"/>
      <c r="AV34" s="32"/>
      <c r="AW34" s="32"/>
      <c r="AX34" s="32"/>
      <c r="AY34" s="32"/>
      <c r="AZ34" s="32"/>
      <c r="BA34" s="32"/>
      <c r="BB34" s="32"/>
      <c r="BC34" s="32"/>
      <c r="BD34" s="32"/>
      <c r="BE34" s="32"/>
      <c r="BF34" s="32"/>
      <c r="BG34" s="32"/>
      <c r="BH34" s="32"/>
      <c r="BI34" s="32"/>
      <c r="BJ34" s="32"/>
      <c r="BK34" s="32"/>
      <c r="BL34" s="32"/>
      <c r="BM34" s="32"/>
    </row>
    <row r="35" spans="1:65" ht="15" customHeight="1" x14ac:dyDescent="0.25">
      <c r="A35" s="957">
        <f t="shared" si="8"/>
        <v>0</v>
      </c>
      <c r="B35" s="4"/>
      <c r="C35" s="101"/>
      <c r="D35" s="137">
        <f t="shared" si="9"/>
        <v>8</v>
      </c>
      <c r="E35" s="1178" t="e">
        <f>HLOOKUP($D35,'Improved Sales Adjustments 2'!$G$7:$WU$147,48,FALSE)</f>
        <v>#N/A</v>
      </c>
      <c r="F35" s="2129" t="e">
        <f>HLOOKUP($D35,'Improved Sales Adjustments 2'!$G$7:$WU$147,97,FALSE)</f>
        <v>#N/A</v>
      </c>
      <c r="G35" s="2130">
        <f t="shared" si="6"/>
        <v>7.4999999999999997E-2</v>
      </c>
      <c r="H35" s="2130" t="e">
        <f t="shared" si="10"/>
        <v>#N/A</v>
      </c>
      <c r="I35" s="2130" t="str">
        <f t="shared" si="7"/>
        <v/>
      </c>
      <c r="J35" s="2130"/>
      <c r="K35" s="5"/>
      <c r="L35" s="5"/>
      <c r="M35" s="5"/>
      <c r="N35" s="6"/>
      <c r="O35" s="228"/>
      <c r="P35" s="10"/>
      <c r="Q35" s="11"/>
      <c r="R35" s="10"/>
      <c r="S35" s="10"/>
      <c r="T35" s="10"/>
      <c r="U35" s="10"/>
      <c r="V35" s="10"/>
      <c r="W35" s="10"/>
      <c r="X35" s="10"/>
      <c r="Y35" s="10"/>
      <c r="Z35" s="10"/>
      <c r="AA35" s="10"/>
      <c r="AB35" s="10"/>
      <c r="AC35" s="10"/>
      <c r="AD35" s="10"/>
      <c r="AE35" s="10"/>
      <c r="AF35" s="143"/>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row>
    <row r="36" spans="1:65" ht="15" customHeight="1" x14ac:dyDescent="0.25">
      <c r="A36" s="957">
        <f t="shared" si="8"/>
        <v>0</v>
      </c>
      <c r="B36" s="4"/>
      <c r="C36" s="101"/>
      <c r="D36" s="137">
        <f t="shared" ref="D36:D42" si="11">D35+1</f>
        <v>9</v>
      </c>
      <c r="E36" s="1178" t="e">
        <f>HLOOKUP($D36,'Improved Sales Adjustments 2'!$G$7:$WU$147,48,FALSE)</f>
        <v>#N/A</v>
      </c>
      <c r="F36" s="2129" t="e">
        <f>HLOOKUP($D36,'Improved Sales Adjustments 2'!$G$7:$WU$147,97,FALSE)</f>
        <v>#N/A</v>
      </c>
      <c r="G36" s="2130">
        <f t="shared" si="6"/>
        <v>7.4999999999999997E-2</v>
      </c>
      <c r="H36" s="2130" t="e">
        <f t="shared" si="10"/>
        <v>#N/A</v>
      </c>
      <c r="I36" s="2130" t="str">
        <f t="shared" si="7"/>
        <v/>
      </c>
      <c r="J36" s="2130"/>
      <c r="K36" s="5"/>
      <c r="L36" s="5"/>
      <c r="M36" s="5"/>
      <c r="N36" s="6"/>
      <c r="O36" s="228"/>
      <c r="P36" s="10"/>
      <c r="Q36" s="11"/>
      <c r="R36" s="10"/>
      <c r="S36" s="10"/>
      <c r="T36" s="10"/>
      <c r="U36" s="10"/>
      <c r="V36" s="10"/>
      <c r="W36" s="10"/>
      <c r="X36" s="10"/>
      <c r="Y36" s="10"/>
      <c r="Z36" s="10"/>
      <c r="AA36" s="10"/>
      <c r="AB36" s="10"/>
      <c r="AC36" s="10"/>
      <c r="AD36" s="10"/>
      <c r="AE36" s="10"/>
      <c r="AF36" s="143"/>
      <c r="AG36" s="32"/>
      <c r="AH36" s="32"/>
      <c r="AI36" s="32"/>
      <c r="AJ36" s="32"/>
      <c r="AK36" s="32"/>
      <c r="AL36" s="32"/>
      <c r="AM36" s="32"/>
      <c r="AN36" s="32"/>
      <c r="AO36" s="32"/>
      <c r="AP36" s="32"/>
      <c r="AQ36" s="32"/>
      <c r="AR36" s="32"/>
      <c r="AS36" s="32"/>
      <c r="AT36" s="32"/>
      <c r="AU36" s="32"/>
      <c r="AV36" s="32"/>
      <c r="AW36" s="32"/>
      <c r="AX36" s="32"/>
      <c r="AY36" s="32"/>
      <c r="AZ36" s="32"/>
      <c r="BA36" s="32"/>
      <c r="BB36" s="32"/>
      <c r="BC36" s="32"/>
      <c r="BD36" s="32"/>
      <c r="BE36" s="32"/>
      <c r="BF36" s="32"/>
      <c r="BG36" s="32"/>
      <c r="BH36" s="32"/>
      <c r="BI36" s="32"/>
      <c r="BJ36" s="32"/>
      <c r="BK36" s="32"/>
      <c r="BL36" s="32"/>
      <c r="BM36" s="32"/>
    </row>
    <row r="37" spans="1:65" ht="15" customHeight="1" x14ac:dyDescent="0.25">
      <c r="A37" s="957">
        <f t="shared" si="8"/>
        <v>0</v>
      </c>
      <c r="B37" s="4"/>
      <c r="C37" s="101"/>
      <c r="D37" s="137">
        <f t="shared" si="11"/>
        <v>10</v>
      </c>
      <c r="E37" s="1178" t="e">
        <f>HLOOKUP($D37,'Improved Sales Adjustments 2'!$G$7:$WU$147,48,FALSE)</f>
        <v>#N/A</v>
      </c>
      <c r="F37" s="2129" t="e">
        <f>HLOOKUP($D37,'Improved Sales Adjustments 2'!$G$7:$WU$147,97,FALSE)</f>
        <v>#N/A</v>
      </c>
      <c r="G37" s="2130">
        <f t="shared" si="6"/>
        <v>7.4999999999999997E-2</v>
      </c>
      <c r="H37" s="2130" t="e">
        <f t="shared" si="10"/>
        <v>#N/A</v>
      </c>
      <c r="I37" s="2130" t="str">
        <f t="shared" si="7"/>
        <v/>
      </c>
      <c r="J37" s="2130"/>
      <c r="K37" s="5"/>
      <c r="L37" s="5"/>
      <c r="M37" s="5"/>
      <c r="N37" s="6"/>
      <c r="O37" s="228"/>
      <c r="P37" s="10"/>
      <c r="Q37" s="11"/>
      <c r="R37" s="10"/>
      <c r="S37" s="10"/>
      <c r="T37" s="10"/>
      <c r="U37" s="10"/>
      <c r="V37" s="10"/>
      <c r="W37" s="10"/>
      <c r="X37" s="10"/>
      <c r="Y37" s="10"/>
      <c r="Z37" s="10"/>
      <c r="AA37" s="10"/>
      <c r="AB37" s="10"/>
      <c r="AC37" s="10"/>
      <c r="AD37" s="10"/>
      <c r="AE37" s="10"/>
      <c r="AF37" s="143"/>
      <c r="AG37" s="32"/>
      <c r="AH37" s="32"/>
      <c r="AI37" s="32"/>
      <c r="AJ37" s="32"/>
      <c r="AK37" s="32"/>
      <c r="AL37" s="32"/>
      <c r="AM37" s="32"/>
      <c r="AN37" s="32"/>
      <c r="AO37" s="32"/>
      <c r="AP37" s="32"/>
      <c r="AQ37" s="32"/>
      <c r="AR37" s="32"/>
      <c r="AS37" s="32"/>
      <c r="AT37" s="32"/>
      <c r="AU37" s="32"/>
      <c r="AV37" s="32"/>
      <c r="AW37" s="32"/>
      <c r="AX37" s="32"/>
      <c r="AY37" s="32"/>
      <c r="AZ37" s="32"/>
      <c r="BA37" s="32"/>
      <c r="BB37" s="32"/>
      <c r="BC37" s="32"/>
      <c r="BD37" s="32"/>
      <c r="BE37" s="32"/>
      <c r="BF37" s="32"/>
      <c r="BG37" s="32"/>
      <c r="BH37" s="32"/>
      <c r="BI37" s="32"/>
      <c r="BJ37" s="32"/>
      <c r="BK37" s="32"/>
      <c r="BL37" s="32"/>
      <c r="BM37" s="32"/>
    </row>
    <row r="38" spans="1:65" ht="15" customHeight="1" x14ac:dyDescent="0.25">
      <c r="A38" s="957">
        <f t="shared" si="8"/>
        <v>0</v>
      </c>
      <c r="B38" s="4"/>
      <c r="C38" s="101"/>
      <c r="D38" s="137">
        <f t="shared" si="11"/>
        <v>11</v>
      </c>
      <c r="E38" s="1178" t="e">
        <f>HLOOKUP($D38,'Improved Sales Adjustments 2'!$G$7:$WU$147,48,FALSE)</f>
        <v>#N/A</v>
      </c>
      <c r="F38" s="2129" t="e">
        <f>HLOOKUP($D38,'Improved Sales Adjustments 2'!$G$7:$WU$147,97,FALSE)</f>
        <v>#N/A</v>
      </c>
      <c r="G38" s="2130">
        <f t="shared" si="6"/>
        <v>7.4999999999999997E-2</v>
      </c>
      <c r="H38" s="2130" t="e">
        <f t="shared" si="10"/>
        <v>#N/A</v>
      </c>
      <c r="I38" s="2130" t="str">
        <f t="shared" si="7"/>
        <v/>
      </c>
      <c r="J38" s="2130"/>
      <c r="K38" s="5"/>
      <c r="L38" s="5"/>
      <c r="M38" s="5"/>
      <c r="N38" s="6"/>
      <c r="O38" s="228"/>
      <c r="P38" s="10"/>
      <c r="Q38" s="11"/>
      <c r="R38" s="10"/>
      <c r="S38" s="10"/>
      <c r="T38" s="10"/>
      <c r="U38" s="10"/>
      <c r="V38" s="10"/>
      <c r="W38" s="10"/>
      <c r="X38" s="10"/>
      <c r="Y38" s="10"/>
      <c r="Z38" s="10"/>
      <c r="AA38" s="10"/>
      <c r="AB38" s="10"/>
      <c r="AC38" s="10"/>
      <c r="AD38" s="10"/>
      <c r="AE38" s="10"/>
      <c r="AF38" s="143"/>
      <c r="AG38" s="32"/>
      <c r="AH38" s="32"/>
      <c r="AI38" s="32"/>
      <c r="AJ38" s="32"/>
      <c r="AK38" s="32"/>
      <c r="AL38" s="32"/>
      <c r="AM38" s="32"/>
      <c r="AN38" s="32"/>
      <c r="AO38" s="32"/>
      <c r="AP38" s="32"/>
      <c r="AQ38" s="32"/>
      <c r="AR38" s="32"/>
      <c r="AS38" s="32"/>
      <c r="AT38" s="32"/>
      <c r="AU38" s="32"/>
      <c r="AV38" s="32"/>
      <c r="AW38" s="32"/>
      <c r="AX38" s="32"/>
      <c r="AY38" s="32"/>
      <c r="AZ38" s="32"/>
      <c r="BA38" s="32"/>
      <c r="BB38" s="32"/>
      <c r="BC38" s="32"/>
      <c r="BD38" s="32"/>
      <c r="BE38" s="32"/>
      <c r="BF38" s="32"/>
      <c r="BG38" s="32"/>
      <c r="BH38" s="32"/>
      <c r="BI38" s="32"/>
      <c r="BJ38" s="32"/>
      <c r="BK38" s="32"/>
      <c r="BL38" s="32"/>
      <c r="BM38" s="32"/>
    </row>
    <row r="39" spans="1:65" ht="15" customHeight="1" x14ac:dyDescent="0.25">
      <c r="A39" s="957">
        <f t="shared" si="8"/>
        <v>0</v>
      </c>
      <c r="B39" s="4"/>
      <c r="C39" s="101"/>
      <c r="D39" s="137">
        <f t="shared" si="11"/>
        <v>12</v>
      </c>
      <c r="E39" s="1178" t="e">
        <f>HLOOKUP($D39,'Improved Sales Adjustments 2'!$G$7:$WU$147,48,FALSE)</f>
        <v>#N/A</v>
      </c>
      <c r="F39" s="2129" t="e">
        <f>HLOOKUP($D39,'Improved Sales Adjustments 2'!$G$7:$WU$147,97,FALSE)</f>
        <v>#N/A</v>
      </c>
      <c r="G39" s="2130">
        <f t="shared" si="6"/>
        <v>7.4999999999999997E-2</v>
      </c>
      <c r="H39" s="2130" t="e">
        <f t="shared" si="10"/>
        <v>#N/A</v>
      </c>
      <c r="I39" s="2130" t="str">
        <f t="shared" si="7"/>
        <v/>
      </c>
      <c r="J39" s="2130"/>
      <c r="K39" s="5"/>
      <c r="L39" s="5"/>
      <c r="M39" s="5"/>
      <c r="N39" s="6"/>
      <c r="O39" s="228"/>
      <c r="P39" s="10"/>
      <c r="Q39" s="11"/>
      <c r="R39" s="10"/>
      <c r="S39" s="10"/>
      <c r="T39" s="10"/>
      <c r="U39" s="10"/>
      <c r="V39" s="10"/>
      <c r="W39" s="10"/>
      <c r="X39" s="10"/>
      <c r="Y39" s="10"/>
      <c r="Z39" s="10"/>
      <c r="AA39" s="10"/>
      <c r="AB39" s="10"/>
      <c r="AC39" s="10"/>
      <c r="AD39" s="10"/>
      <c r="AE39" s="10"/>
      <c r="AF39" s="143"/>
      <c r="AG39" s="32"/>
      <c r="AH39" s="32"/>
      <c r="AI39" s="32"/>
      <c r="AJ39" s="32"/>
      <c r="AK39" s="32"/>
      <c r="AL39" s="32"/>
      <c r="AM39" s="32"/>
      <c r="AN39" s="32"/>
      <c r="AO39" s="32"/>
      <c r="AP39" s="32"/>
      <c r="AQ39" s="32"/>
      <c r="AR39" s="32"/>
      <c r="AS39" s="32"/>
      <c r="AT39" s="32"/>
      <c r="AU39" s="32"/>
      <c r="AV39" s="32"/>
      <c r="AW39" s="32"/>
      <c r="AX39" s="32"/>
      <c r="AY39" s="32"/>
      <c r="AZ39" s="32"/>
      <c r="BA39" s="32"/>
      <c r="BB39" s="32"/>
      <c r="BC39" s="32"/>
      <c r="BD39" s="32"/>
      <c r="BE39" s="32"/>
      <c r="BF39" s="32"/>
      <c r="BG39" s="32"/>
      <c r="BH39" s="32"/>
      <c r="BI39" s="32"/>
      <c r="BJ39" s="32"/>
      <c r="BK39" s="32"/>
      <c r="BL39" s="32"/>
      <c r="BM39" s="32"/>
    </row>
    <row r="40" spans="1:65" ht="15" customHeight="1" x14ac:dyDescent="0.25">
      <c r="A40" s="957">
        <f t="shared" si="8"/>
        <v>0</v>
      </c>
      <c r="B40" s="4"/>
      <c r="C40" s="101"/>
      <c r="D40" s="137">
        <f t="shared" si="11"/>
        <v>13</v>
      </c>
      <c r="E40" s="1178" t="e">
        <f>HLOOKUP($D40,'Improved Sales Adjustments 2'!$G$7:$WU$147,48,FALSE)</f>
        <v>#N/A</v>
      </c>
      <c r="F40" s="2129" t="e">
        <f>HLOOKUP($D40,'Improved Sales Adjustments 2'!$G$7:$WU$147,97,FALSE)</f>
        <v>#N/A</v>
      </c>
      <c r="G40" s="2130">
        <f t="shared" si="6"/>
        <v>7.4999999999999997E-2</v>
      </c>
      <c r="H40" s="2130" t="e">
        <f t="shared" si="10"/>
        <v>#N/A</v>
      </c>
      <c r="I40" s="2130" t="str">
        <f t="shared" si="7"/>
        <v/>
      </c>
      <c r="J40" s="2130"/>
      <c r="K40" s="5"/>
      <c r="L40" s="5"/>
      <c r="M40" s="5"/>
      <c r="N40" s="6"/>
      <c r="O40" s="228"/>
      <c r="P40" s="10"/>
      <c r="Q40" s="11"/>
      <c r="R40" s="10"/>
      <c r="S40" s="10"/>
      <c r="T40" s="10"/>
      <c r="U40" s="10"/>
      <c r="V40" s="10"/>
      <c r="W40" s="10"/>
      <c r="X40" s="10"/>
      <c r="Y40" s="10"/>
      <c r="Z40" s="10"/>
      <c r="AA40" s="10"/>
      <c r="AB40" s="10"/>
      <c r="AC40" s="10"/>
      <c r="AD40" s="10"/>
      <c r="AE40" s="10"/>
      <c r="AF40" s="143"/>
      <c r="AG40" s="32"/>
      <c r="AH40" s="32"/>
      <c r="AI40" s="32"/>
      <c r="AJ40" s="32"/>
      <c r="AK40" s="32"/>
      <c r="AL40" s="32"/>
      <c r="AM40" s="32"/>
      <c r="AN40" s="32"/>
      <c r="AO40" s="32"/>
      <c r="AP40" s="32"/>
      <c r="AQ40" s="32"/>
      <c r="AR40" s="32"/>
      <c r="AS40" s="32"/>
      <c r="AT40" s="32"/>
      <c r="AU40" s="32"/>
      <c r="AV40" s="32"/>
      <c r="AW40" s="32"/>
      <c r="AX40" s="32"/>
      <c r="AY40" s="32"/>
      <c r="AZ40" s="32"/>
      <c r="BA40" s="32"/>
      <c r="BB40" s="32"/>
      <c r="BC40" s="32"/>
      <c r="BD40" s="32"/>
      <c r="BE40" s="32"/>
      <c r="BF40" s="32"/>
      <c r="BG40" s="32"/>
      <c r="BH40" s="32"/>
      <c r="BI40" s="32"/>
      <c r="BJ40" s="32"/>
      <c r="BK40" s="32"/>
      <c r="BL40" s="32"/>
      <c r="BM40" s="32"/>
    </row>
    <row r="41" spans="1:65" ht="15" customHeight="1" x14ac:dyDescent="0.25">
      <c r="A41" s="957">
        <f t="shared" si="8"/>
        <v>0</v>
      </c>
      <c r="B41" s="4"/>
      <c r="C41" s="101"/>
      <c r="D41" s="137">
        <f t="shared" si="11"/>
        <v>14</v>
      </c>
      <c r="E41" s="1178" t="e">
        <f>HLOOKUP($D41,'Improved Sales Adjustments 2'!$G$7:$WU$147,48,FALSE)</f>
        <v>#N/A</v>
      </c>
      <c r="F41" s="2129" t="e">
        <f>HLOOKUP($D41,'Improved Sales Adjustments 2'!$G$7:$WU$147,97,FALSE)</f>
        <v>#N/A</v>
      </c>
      <c r="G41" s="2130">
        <f t="shared" si="6"/>
        <v>7.4999999999999997E-2</v>
      </c>
      <c r="H41" s="2130" t="e">
        <f t="shared" si="10"/>
        <v>#N/A</v>
      </c>
      <c r="I41" s="2130" t="str">
        <f t="shared" si="7"/>
        <v/>
      </c>
      <c r="J41" s="2130"/>
      <c r="K41" s="5"/>
      <c r="L41" s="5"/>
      <c r="M41" s="5"/>
      <c r="N41" s="6"/>
      <c r="O41" s="228"/>
      <c r="P41" s="10"/>
      <c r="Q41" s="11"/>
      <c r="R41" s="10"/>
      <c r="S41" s="10"/>
      <c r="T41" s="10"/>
      <c r="U41" s="10"/>
      <c r="V41" s="10"/>
      <c r="W41" s="10"/>
      <c r="X41" s="10"/>
      <c r="Y41" s="10"/>
      <c r="Z41" s="10"/>
      <c r="AA41" s="10"/>
      <c r="AB41" s="10"/>
      <c r="AC41" s="10"/>
      <c r="AD41" s="10"/>
      <c r="AE41" s="10"/>
      <c r="AF41" s="143"/>
      <c r="AG41" s="32"/>
      <c r="AH41" s="32"/>
      <c r="AI41" s="32"/>
      <c r="AJ41" s="32"/>
      <c r="AK41" s="32"/>
      <c r="AL41" s="32"/>
      <c r="AM41" s="32"/>
      <c r="AN41" s="32"/>
      <c r="AO41" s="32"/>
      <c r="AP41" s="32"/>
      <c r="AQ41" s="32"/>
      <c r="AR41" s="32"/>
      <c r="AS41" s="32"/>
      <c r="AT41" s="32"/>
      <c r="AU41" s="32"/>
      <c r="AV41" s="32"/>
      <c r="AW41" s="32"/>
      <c r="AX41" s="32"/>
      <c r="AY41" s="32"/>
      <c r="AZ41" s="32"/>
      <c r="BA41" s="32"/>
      <c r="BB41" s="32"/>
      <c r="BC41" s="32"/>
      <c r="BD41" s="32"/>
      <c r="BE41" s="32"/>
      <c r="BF41" s="32"/>
      <c r="BG41" s="32"/>
      <c r="BH41" s="32"/>
      <c r="BI41" s="32"/>
      <c r="BJ41" s="32"/>
      <c r="BK41" s="32"/>
      <c r="BL41" s="32"/>
      <c r="BM41" s="32"/>
    </row>
    <row r="42" spans="1:65" ht="15" customHeight="1" thickBot="1" x14ac:dyDescent="0.3">
      <c r="A42" s="957">
        <f t="shared" si="8"/>
        <v>0</v>
      </c>
      <c r="B42" s="4"/>
      <c r="C42" s="101"/>
      <c r="D42" s="137">
        <f t="shared" si="11"/>
        <v>15</v>
      </c>
      <c r="E42" s="1178" t="e">
        <f>HLOOKUP($D42,'Improved Sales Adjustments 2'!$G$7:$WU$147,48,FALSE)</f>
        <v>#N/A</v>
      </c>
      <c r="F42" s="2129" t="e">
        <f>HLOOKUP($D42,'Improved Sales Adjustments 2'!$G$7:$WU$147,97,FALSE)</f>
        <v>#N/A</v>
      </c>
      <c r="G42" s="2130">
        <f t="shared" si="6"/>
        <v>7.4999999999999997E-2</v>
      </c>
      <c r="H42" s="2130" t="e">
        <f t="shared" si="10"/>
        <v>#N/A</v>
      </c>
      <c r="I42" s="2130" t="str">
        <f t="shared" si="7"/>
        <v/>
      </c>
      <c r="J42" s="2130"/>
      <c r="K42" s="5"/>
      <c r="L42" s="5"/>
      <c r="M42" s="5"/>
      <c r="N42" s="6"/>
      <c r="O42" s="228"/>
      <c r="P42" s="10"/>
      <c r="Q42" s="11"/>
      <c r="R42" s="10"/>
      <c r="S42" s="10"/>
      <c r="T42" s="10"/>
      <c r="U42" s="10"/>
      <c r="V42" s="10"/>
      <c r="W42" s="10"/>
      <c r="X42" s="10"/>
      <c r="Y42" s="10"/>
      <c r="Z42" s="10"/>
      <c r="AA42" s="10"/>
      <c r="AB42" s="10"/>
      <c r="AC42" s="10"/>
      <c r="AD42" s="10"/>
      <c r="AE42" s="10"/>
      <c r="AF42" s="143"/>
      <c r="AG42" s="32"/>
      <c r="AH42" s="32"/>
      <c r="AI42" s="32"/>
      <c r="AJ42" s="32"/>
      <c r="AK42" s="32"/>
      <c r="AL42" s="32"/>
      <c r="AM42" s="32"/>
      <c r="AN42" s="32"/>
      <c r="AO42" s="32"/>
      <c r="AP42" s="32"/>
      <c r="AQ42" s="32"/>
      <c r="AR42" s="32"/>
      <c r="AS42" s="32"/>
      <c r="AT42" s="32"/>
      <c r="AU42" s="32"/>
      <c r="AV42" s="32"/>
      <c r="AW42" s="32"/>
      <c r="AX42" s="32"/>
      <c r="AY42" s="32"/>
      <c r="AZ42" s="32"/>
      <c r="BA42" s="32"/>
      <c r="BB42" s="32"/>
      <c r="BC42" s="32"/>
      <c r="BD42" s="32"/>
      <c r="BE42" s="32"/>
      <c r="BF42" s="32"/>
      <c r="BG42" s="32"/>
      <c r="BH42" s="32"/>
      <c r="BI42" s="32"/>
      <c r="BJ42" s="32"/>
      <c r="BK42" s="32"/>
      <c r="BL42" s="32"/>
      <c r="BM42" s="32"/>
    </row>
    <row r="43" spans="1:65" ht="15" customHeight="1" thickBot="1" x14ac:dyDescent="0.3">
      <c r="A43" s="957">
        <v>1</v>
      </c>
      <c r="B43" s="8"/>
      <c r="C43" s="7"/>
      <c r="D43" s="555" t="s">
        <v>1611</v>
      </c>
      <c r="E43" s="133"/>
      <c r="F43" s="133"/>
      <c r="G43" s="133"/>
      <c r="H43" s="133"/>
      <c r="I43" s="133"/>
      <c r="J43" s="7"/>
      <c r="K43" s="7"/>
      <c r="L43" s="7"/>
      <c r="M43" s="7"/>
      <c r="N43" s="9"/>
      <c r="O43" s="228"/>
      <c r="P43" s="10"/>
      <c r="Q43" s="11"/>
      <c r="R43" s="10"/>
      <c r="S43" s="10"/>
      <c r="T43" s="10"/>
      <c r="U43" s="10"/>
      <c r="V43" s="10"/>
      <c r="W43" s="10"/>
      <c r="X43" s="10"/>
      <c r="Y43" s="10"/>
      <c r="Z43" s="10"/>
      <c r="AA43" s="10"/>
      <c r="AB43" s="10"/>
      <c r="AC43" s="10"/>
      <c r="AD43" s="10"/>
      <c r="AE43" s="10"/>
      <c r="AF43" s="143"/>
      <c r="AG43" s="32"/>
      <c r="AH43" s="32"/>
      <c r="AI43" s="32"/>
      <c r="AJ43" s="32"/>
      <c r="AK43" s="32"/>
      <c r="AL43" s="32"/>
      <c r="AM43" s="32"/>
      <c r="AN43" s="32"/>
      <c r="AO43" s="32"/>
      <c r="AP43" s="32"/>
      <c r="AQ43" s="32"/>
      <c r="AR43" s="32"/>
      <c r="AS43" s="32"/>
      <c r="AT43" s="32"/>
      <c r="AU43" s="32"/>
      <c r="AV43" s="32"/>
      <c r="AW43" s="32"/>
      <c r="AX43" s="32"/>
      <c r="AY43" s="32"/>
      <c r="AZ43" s="32"/>
      <c r="BA43" s="32"/>
      <c r="BB43" s="32"/>
      <c r="BC43" s="32"/>
      <c r="BD43" s="32"/>
      <c r="BE43" s="32"/>
      <c r="BF43" s="32"/>
      <c r="BG43" s="32"/>
      <c r="BH43" s="32"/>
      <c r="BI43" s="32"/>
      <c r="BJ43" s="32"/>
      <c r="BK43" s="32"/>
      <c r="BL43" s="32"/>
      <c r="BM43" s="32"/>
    </row>
    <row r="44" spans="1:65" ht="15" customHeight="1" thickBot="1" x14ac:dyDescent="0.3">
      <c r="A44" s="957">
        <v>1</v>
      </c>
      <c r="B44" s="10"/>
      <c r="C44" s="10"/>
      <c r="D44" s="13"/>
      <c r="E44" s="10"/>
      <c r="F44" s="10"/>
      <c r="G44" s="10"/>
      <c r="H44" s="10"/>
      <c r="I44" s="10"/>
      <c r="J44" s="10"/>
      <c r="K44" s="10"/>
      <c r="L44" s="10"/>
      <c r="M44" s="10"/>
      <c r="N44" s="10"/>
      <c r="O44" s="10"/>
      <c r="P44" s="10"/>
      <c r="Q44" s="11"/>
      <c r="R44" s="10"/>
      <c r="S44" s="10"/>
      <c r="T44" s="10"/>
      <c r="U44" s="10"/>
      <c r="V44" s="10"/>
      <c r="W44" s="10"/>
      <c r="X44" s="10"/>
      <c r="Y44" s="10"/>
      <c r="Z44" s="10"/>
      <c r="AA44" s="10"/>
      <c r="AB44" s="10"/>
      <c r="AC44" s="10"/>
      <c r="AD44" s="10"/>
      <c r="AE44" s="10"/>
      <c r="AF44" s="143"/>
      <c r="AG44" s="32"/>
      <c r="AH44" s="32"/>
      <c r="AI44" s="32"/>
      <c r="AJ44" s="32"/>
      <c r="AK44" s="32"/>
      <c r="AL44" s="32"/>
      <c r="AM44" s="32"/>
      <c r="AN44" s="32"/>
      <c r="AO44" s="32"/>
      <c r="AP44" s="32"/>
      <c r="AQ44" s="32"/>
      <c r="AR44" s="32"/>
      <c r="AS44" s="32"/>
      <c r="AT44" s="32"/>
      <c r="AU44" s="32"/>
      <c r="AV44" s="32"/>
      <c r="AW44" s="32"/>
      <c r="AX44" s="32"/>
      <c r="AY44" s="32"/>
      <c r="AZ44" s="32"/>
      <c r="BA44" s="32"/>
      <c r="BB44" s="32"/>
      <c r="BC44" s="32"/>
      <c r="BD44" s="32"/>
      <c r="BE44" s="32"/>
      <c r="BF44" s="32"/>
      <c r="BG44" s="32"/>
      <c r="BH44" s="32"/>
      <c r="BI44" s="32"/>
      <c r="BJ44" s="32"/>
      <c r="BK44" s="32"/>
      <c r="BL44" s="32"/>
      <c r="BM44" s="32"/>
    </row>
    <row r="45" spans="1:65" ht="15" customHeight="1" x14ac:dyDescent="0.25">
      <c r="A45" s="957">
        <v>1</v>
      </c>
      <c r="B45" s="1"/>
      <c r="C45" s="2"/>
      <c r="D45" s="202"/>
      <c r="E45" s="2"/>
      <c r="F45" s="2"/>
      <c r="G45" s="2"/>
      <c r="H45" s="2"/>
      <c r="I45" s="2"/>
      <c r="J45" s="2"/>
      <c r="K45" s="2"/>
      <c r="L45" s="2"/>
      <c r="M45" s="2"/>
      <c r="N45" s="2"/>
      <c r="O45" s="3"/>
      <c r="P45" s="10"/>
      <c r="Q45" s="11"/>
      <c r="R45" s="10"/>
      <c r="S45" s="10"/>
      <c r="T45" s="10"/>
      <c r="U45" s="10"/>
      <c r="V45" s="10"/>
      <c r="W45" s="10"/>
      <c r="X45" s="10"/>
      <c r="Y45" s="10"/>
      <c r="Z45" s="10"/>
      <c r="AA45" s="10"/>
      <c r="AB45" s="10"/>
      <c r="AC45" s="10"/>
      <c r="AD45" s="10"/>
      <c r="AE45" s="10"/>
      <c r="AF45" s="143"/>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row>
    <row r="46" spans="1:65" ht="15.95" customHeight="1" x14ac:dyDescent="0.25">
      <c r="A46" s="957">
        <v>1</v>
      </c>
      <c r="B46" s="4"/>
      <c r="C46" s="5"/>
      <c r="D46" s="505" t="str">
        <f>CONCATENATE("Land-to-Building Ratio Adjustment Calculations - ",dpSales_ComponentNameB2," Component")</f>
        <v>Land-to-Building Ratio Adjustment Calculations -  Component</v>
      </c>
      <c r="E46" s="5"/>
      <c r="F46" s="5"/>
      <c r="G46" s="5"/>
      <c r="H46" s="5"/>
      <c r="I46" s="5"/>
      <c r="J46" s="5"/>
      <c r="K46" s="5"/>
      <c r="L46" s="5"/>
      <c r="M46" s="5"/>
      <c r="N46" s="5"/>
      <c r="O46" s="6"/>
      <c r="P46" s="10"/>
      <c r="Q46" s="11"/>
      <c r="R46" s="10"/>
      <c r="S46" s="10"/>
      <c r="T46" s="10"/>
      <c r="U46" s="10"/>
      <c r="V46" s="10"/>
      <c r="W46" s="10"/>
      <c r="X46" s="10"/>
      <c r="Y46" s="10"/>
      <c r="Z46" s="10"/>
      <c r="AA46" s="10"/>
      <c r="AB46" s="10"/>
      <c r="AC46" s="10"/>
      <c r="AD46" s="10"/>
      <c r="AE46" s="10"/>
      <c r="AF46" s="143"/>
      <c r="AG46" s="32"/>
      <c r="AH46" s="32"/>
      <c r="AI46" s="32"/>
      <c r="AJ46" s="32"/>
      <c r="AK46" s="32"/>
      <c r="AL46" s="32"/>
      <c r="AM46" s="32"/>
      <c r="AN46" s="32"/>
      <c r="AO46" s="32"/>
      <c r="AP46" s="32"/>
      <c r="AQ46" s="32"/>
      <c r="AR46" s="32"/>
      <c r="AS46" s="32"/>
      <c r="AT46" s="32"/>
      <c r="AU46" s="32"/>
      <c r="AV46" s="32"/>
      <c r="AW46" s="32"/>
      <c r="AX46" s="32"/>
      <c r="AY46" s="32"/>
      <c r="AZ46" s="32"/>
      <c r="BA46" s="32"/>
      <c r="BB46" s="32"/>
      <c r="BC46" s="32"/>
      <c r="BD46" s="32"/>
      <c r="BE46" s="32"/>
      <c r="BF46" s="32"/>
      <c r="BG46" s="32"/>
      <c r="BH46" s="32"/>
      <c r="BI46" s="32"/>
      <c r="BJ46" s="32"/>
      <c r="BK46" s="32"/>
      <c r="BL46" s="32"/>
      <c r="BM46" s="32"/>
    </row>
    <row r="47" spans="1:65" ht="15" customHeight="1" x14ac:dyDescent="0.25">
      <c r="A47" s="957">
        <v>1</v>
      </c>
      <c r="B47" s="4"/>
      <c r="C47" s="150"/>
      <c r="D47" s="150"/>
      <c r="E47" s="150" t="s">
        <v>128</v>
      </c>
      <c r="F47" s="150" t="s">
        <v>551</v>
      </c>
      <c r="G47" s="150" t="s">
        <v>116</v>
      </c>
      <c r="H47" s="150"/>
      <c r="I47" s="150" t="s">
        <v>73</v>
      </c>
      <c r="J47" s="150"/>
      <c r="K47" s="150" t="s">
        <v>554</v>
      </c>
      <c r="L47" s="150"/>
      <c r="M47" s="53"/>
      <c r="N47" s="53"/>
      <c r="O47" s="6"/>
      <c r="P47" s="10"/>
      <c r="Q47" s="11"/>
      <c r="R47" s="10"/>
      <c r="S47" s="10"/>
      <c r="T47" s="10"/>
      <c r="U47" s="10"/>
      <c r="V47" s="10"/>
      <c r="W47" s="10"/>
      <c r="X47" s="10"/>
      <c r="Y47" s="10"/>
      <c r="Z47" s="10"/>
      <c r="AA47" s="10"/>
      <c r="AB47" s="10"/>
      <c r="AC47" s="10"/>
      <c r="AD47" s="10"/>
      <c r="AE47" s="10"/>
      <c r="AF47" s="143"/>
      <c r="AG47" s="32"/>
      <c r="AH47" s="32"/>
      <c r="AI47" s="32"/>
      <c r="AJ47" s="32"/>
      <c r="AK47" s="32"/>
      <c r="AL47" s="32"/>
      <c r="AM47" s="32"/>
      <c r="AN47" s="32"/>
      <c r="AO47" s="32"/>
      <c r="AP47" s="32"/>
      <c r="AQ47" s="32"/>
      <c r="AR47" s="32"/>
      <c r="AS47" s="32"/>
      <c r="AT47" s="32"/>
      <c r="AU47" s="32"/>
      <c r="AV47" s="32"/>
      <c r="AW47" s="32"/>
      <c r="AX47" s="32"/>
      <c r="AY47" s="32"/>
      <c r="AZ47" s="32"/>
      <c r="BA47" s="32"/>
      <c r="BB47" s="32"/>
      <c r="BC47" s="32"/>
      <c r="BD47" s="32"/>
      <c r="BE47" s="32"/>
      <c r="BF47" s="32"/>
      <c r="BG47" s="32"/>
      <c r="BH47" s="32"/>
      <c r="BI47" s="32"/>
      <c r="BJ47" s="32"/>
      <c r="BK47" s="32"/>
      <c r="BL47" s="32"/>
      <c r="BM47" s="32"/>
    </row>
    <row r="48" spans="1:65" ht="15" customHeight="1" x14ac:dyDescent="0.25">
      <c r="A48" s="957">
        <v>1</v>
      </c>
      <c r="B48" s="4"/>
      <c r="C48" s="150"/>
      <c r="D48" s="150" t="s">
        <v>702</v>
      </c>
      <c r="E48" s="150" t="s">
        <v>1303</v>
      </c>
      <c r="F48" s="150" t="s">
        <v>558</v>
      </c>
      <c r="G48" s="150" t="s">
        <v>558</v>
      </c>
      <c r="H48" s="150" t="s">
        <v>553</v>
      </c>
      <c r="I48" s="150" t="s">
        <v>559</v>
      </c>
      <c r="J48" s="150"/>
      <c r="K48" s="2161">
        <v>1</v>
      </c>
      <c r="L48" s="150"/>
      <c r="M48" s="53"/>
      <c r="N48" s="53"/>
      <c r="O48" s="6"/>
      <c r="P48" s="10"/>
      <c r="Q48" s="11"/>
      <c r="R48" s="10"/>
      <c r="S48" s="10"/>
      <c r="T48" s="10"/>
      <c r="U48" s="10"/>
      <c r="V48" s="10"/>
      <c r="W48" s="10"/>
      <c r="X48" s="10"/>
      <c r="Y48" s="10"/>
      <c r="Z48" s="10"/>
      <c r="AA48" s="10"/>
      <c r="AB48" s="10"/>
      <c r="AC48" s="10"/>
      <c r="AD48" s="10"/>
      <c r="AE48" s="10"/>
      <c r="AF48" s="143"/>
      <c r="AG48" s="32"/>
      <c r="AH48" s="32"/>
      <c r="AI48" s="32"/>
      <c r="AJ48" s="32"/>
      <c r="AK48" s="32"/>
      <c r="AL48" s="32"/>
      <c r="AM48" s="32"/>
      <c r="AN48" s="32"/>
      <c r="AO48" s="32"/>
      <c r="AP48" s="32"/>
      <c r="AQ48" s="32"/>
      <c r="AR48" s="32"/>
      <c r="AS48" s="32"/>
      <c r="AT48" s="32"/>
      <c r="AU48" s="32"/>
      <c r="AV48" s="32"/>
      <c r="AW48" s="32"/>
      <c r="AX48" s="32"/>
      <c r="AY48" s="32"/>
      <c r="AZ48" s="32"/>
      <c r="BA48" s="32"/>
      <c r="BB48" s="32"/>
      <c r="BC48" s="32"/>
      <c r="BD48" s="32"/>
      <c r="BE48" s="32"/>
      <c r="BF48" s="32"/>
      <c r="BG48" s="32"/>
      <c r="BH48" s="32"/>
      <c r="BI48" s="32"/>
      <c r="BJ48" s="32"/>
      <c r="BK48" s="32"/>
      <c r="BL48" s="32"/>
      <c r="BM48" s="32"/>
    </row>
    <row r="49" spans="1:65" ht="15" customHeight="1" x14ac:dyDescent="0.25">
      <c r="A49" s="957">
        <f>IF(ISERROR(E49),0,1)</f>
        <v>0</v>
      </c>
      <c r="B49" s="4"/>
      <c r="C49" s="101"/>
      <c r="D49" s="137">
        <v>1</v>
      </c>
      <c r="E49" s="1178" t="e">
        <f>HLOOKUP($D49,'Improved Sales Adjustments 2'!$G$7:$WU$147,48,FALSE)</f>
        <v>#DIV/0!</v>
      </c>
      <c r="F49" s="2158">
        <f>HLOOKUP($D49,'Improved Sales Adjustments 2'!$G$7:$WU$147,103,FALSE)</f>
        <v>0</v>
      </c>
      <c r="G49" s="2158">
        <f t="shared" ref="G49:G63" si="12">Sales_AdjGrid_LtoBRatio_2</f>
        <v>20.7</v>
      </c>
      <c r="H49" s="2158">
        <f>G49-F49</f>
        <v>20.7</v>
      </c>
      <c r="I49" s="1178" t="e">
        <f>HLOOKUP($D49,'Improved Sales Adjustments 2'!$G$7:$WU$147,13,FALSE)/(HLOOKUP($D49,'Improved Sales Adjustments 2'!$G$7:$WU$147,9,FALSE)*43560)</f>
        <v>#DIV/0!</v>
      </c>
      <c r="J49" s="2159"/>
      <c r="K49" s="2130" t="str">
        <f>IF(OR(dpSale_Method_2="Land Extraction",ISERROR(IF(dpUnit_Sales_2="Net Rentable Area",(H49*I49*HLOOKUP($D49,'Improved Sales Adjustments 2'!$G$7:$WS$147,6,FALSE))/HLOOKUP($D49,'Improved Sales Adjustments 2'!$G$7:$WS$147,12,FALSE),(H49*I49*HLOOKUP($D49,'Improved Sales Adjustments 2'!$G$7:$WS$147,7,FALSE))/HLOOKUP($D49,'Improved Sales Adjustments 2'!$G$7:$WS$147,12,FALSE)))),"",IF(dpUnit_Sales_2="Net Rentable Area",(H49*I49*HLOOKUP($D49,'Improved Sales Adjustments 2'!$G$7:$WS$147,6,FALSE))/(HLOOKUP($D49,'Improved Sales Adjustments 2'!$G$7:$WS$147,6,FALSE)*E49)*Sales_LtBAdj_Ratio_2,(H49*I49*HLOOKUP($D49,'Improved Sales Adjustments 2'!$G$7:$WS$147,7,FALSE))/(HLOOKUP($D49,'Improved Sales Adjustments 2'!$G$7:$WS$147,7,FALSE)*E49)*Sales_LtBAdj_Ratio_2))</f>
        <v/>
      </c>
      <c r="L49" s="101"/>
      <c r="M49" s="5"/>
      <c r="N49" s="5"/>
      <c r="O49" s="6"/>
      <c r="P49" s="10"/>
      <c r="Q49" s="11"/>
      <c r="R49" s="10"/>
      <c r="S49" s="10"/>
      <c r="T49" s="10"/>
      <c r="U49" s="10"/>
      <c r="V49" s="10"/>
      <c r="W49" s="10"/>
      <c r="X49" s="10"/>
      <c r="Y49" s="10"/>
      <c r="Z49" s="10"/>
      <c r="AA49" s="10"/>
      <c r="AB49" s="10"/>
      <c r="AC49" s="10"/>
      <c r="AD49" s="10"/>
      <c r="AE49" s="10"/>
      <c r="AF49" s="143"/>
      <c r="AG49" s="32"/>
      <c r="AH49" s="32"/>
      <c r="AI49" s="32"/>
      <c r="AJ49" s="32"/>
      <c r="AK49" s="32"/>
      <c r="AL49" s="32"/>
      <c r="AM49" s="32"/>
      <c r="AN49" s="32"/>
      <c r="AO49" s="32"/>
      <c r="AP49" s="32"/>
      <c r="AQ49" s="32"/>
      <c r="AR49" s="32"/>
      <c r="AS49" s="32"/>
      <c r="AT49" s="32"/>
      <c r="AU49" s="32"/>
      <c r="AV49" s="32"/>
      <c r="AW49" s="32"/>
      <c r="AX49" s="32"/>
      <c r="AY49" s="32"/>
      <c r="AZ49" s="32"/>
      <c r="BA49" s="32"/>
      <c r="BB49" s="32"/>
      <c r="BC49" s="32"/>
      <c r="BD49" s="32"/>
      <c r="BE49" s="32"/>
      <c r="BF49" s="32"/>
      <c r="BG49" s="32"/>
      <c r="BH49" s="32"/>
      <c r="BI49" s="32"/>
      <c r="BJ49" s="32"/>
      <c r="BK49" s="32"/>
      <c r="BL49" s="32"/>
      <c r="BM49" s="32"/>
    </row>
    <row r="50" spans="1:65" ht="15" customHeight="1" x14ac:dyDescent="0.25">
      <c r="A50" s="957">
        <f t="shared" ref="A50:A63" si="13">IF(ISERROR(E50),0,1)</f>
        <v>0</v>
      </c>
      <c r="B50" s="4"/>
      <c r="C50" s="101"/>
      <c r="D50" s="137">
        <f>D49+1</f>
        <v>2</v>
      </c>
      <c r="E50" s="1178" t="e">
        <f>HLOOKUP($D50,'Improved Sales Adjustments 2'!$G$7:$WU$147,48,FALSE)</f>
        <v>#DIV/0!</v>
      </c>
      <c r="F50" s="2158">
        <f>HLOOKUP($D50,'Improved Sales Adjustments 2'!$G$7:$WU$147,103,FALSE)</f>
        <v>0</v>
      </c>
      <c r="G50" s="2158">
        <f t="shared" si="12"/>
        <v>20.7</v>
      </c>
      <c r="H50" s="2158">
        <f t="shared" ref="H50:H63" si="14">G50-F50</f>
        <v>20.7</v>
      </c>
      <c r="I50" s="1178" t="e">
        <f>HLOOKUP($D50,'Improved Sales Adjustments 2'!$G$7:$WU$147,13,FALSE)/(HLOOKUP($D50,'Improved Sales Adjustments 2'!$G$7:$WU$147,9,FALSE)*43560)</f>
        <v>#DIV/0!</v>
      </c>
      <c r="J50" s="2159"/>
      <c r="K50" s="2130" t="str">
        <f>IF(OR(dpSale_Method_2="Land Extraction",ISERROR(IF(dpUnit_Sales_2="Net Rentable Area",(H50*I50*HLOOKUP($D50,'Improved Sales Adjustments 2'!$G$7:$WS$147,6,FALSE))/HLOOKUP($D50,'Improved Sales Adjustments 2'!$G$7:$WS$147,12,FALSE),(H50*I50*HLOOKUP($D50,'Improved Sales Adjustments 2'!$G$7:$WS$147,7,FALSE))/HLOOKUP($D50,'Improved Sales Adjustments 2'!$G$7:$WS$147,12,FALSE)))),"",IF(dpUnit_Sales_2="Net Rentable Area",(H50*I50*HLOOKUP($D50,'Improved Sales Adjustments 2'!$G$7:$WS$147,6,FALSE))/(HLOOKUP($D50,'Improved Sales Adjustments 2'!$G$7:$WS$147,6,FALSE)*E50)*Sales_LtBAdj_Ratio_2,(H50*I50*HLOOKUP($D50,'Improved Sales Adjustments 2'!$G$7:$WS$147,7,FALSE))/(HLOOKUP($D50,'Improved Sales Adjustments 2'!$G$7:$WS$147,7,FALSE)*E50)*Sales_LtBAdj_Ratio_2))</f>
        <v/>
      </c>
      <c r="L50" s="101"/>
      <c r="M50" s="5"/>
      <c r="N50" s="5"/>
      <c r="O50" s="6"/>
      <c r="P50" s="10"/>
      <c r="Q50" s="11"/>
      <c r="R50" s="10"/>
      <c r="S50" s="10"/>
      <c r="T50" s="10"/>
      <c r="U50" s="10"/>
      <c r="V50" s="10"/>
      <c r="W50" s="10"/>
      <c r="X50" s="10"/>
      <c r="Y50" s="10"/>
      <c r="Z50" s="10"/>
      <c r="AA50" s="10"/>
      <c r="AB50" s="10"/>
      <c r="AC50" s="10"/>
      <c r="AD50" s="10"/>
      <c r="AE50" s="10"/>
      <c r="AF50" s="143"/>
      <c r="AG50" s="32"/>
      <c r="AH50" s="32"/>
      <c r="AI50" s="32"/>
      <c r="AJ50" s="32"/>
      <c r="AK50" s="32"/>
      <c r="AL50" s="32"/>
      <c r="AM50" s="32"/>
      <c r="AN50" s="32"/>
      <c r="AO50" s="32"/>
      <c r="AP50" s="32"/>
      <c r="AQ50" s="32"/>
      <c r="AR50" s="32"/>
      <c r="AS50" s="32"/>
      <c r="AT50" s="32"/>
      <c r="AU50" s="32"/>
      <c r="AV50" s="32"/>
      <c r="AW50" s="32"/>
      <c r="AX50" s="32"/>
      <c r="AY50" s="32"/>
      <c r="AZ50" s="32"/>
      <c r="BA50" s="32"/>
      <c r="BB50" s="32"/>
      <c r="BC50" s="32"/>
      <c r="BD50" s="32"/>
      <c r="BE50" s="32"/>
      <c r="BF50" s="32"/>
      <c r="BG50" s="32"/>
      <c r="BH50" s="32"/>
      <c r="BI50" s="32"/>
      <c r="BJ50" s="32"/>
      <c r="BK50" s="32"/>
      <c r="BL50" s="32"/>
      <c r="BM50" s="32"/>
    </row>
    <row r="51" spans="1:65" ht="15" customHeight="1" x14ac:dyDescent="0.25">
      <c r="A51" s="957">
        <f t="shared" si="13"/>
        <v>0</v>
      </c>
      <c r="B51" s="4"/>
      <c r="C51" s="101"/>
      <c r="D51" s="137">
        <f t="shared" ref="D51:D60" si="15">D50+1</f>
        <v>3</v>
      </c>
      <c r="E51" s="1178" t="e">
        <f>HLOOKUP($D51,'Improved Sales Adjustments 2'!$G$7:$WU$147,48,FALSE)</f>
        <v>#DIV/0!</v>
      </c>
      <c r="F51" s="2158">
        <f>HLOOKUP($D51,'Improved Sales Adjustments 2'!$G$7:$WU$147,103,FALSE)</f>
        <v>0</v>
      </c>
      <c r="G51" s="2158">
        <f t="shared" si="12"/>
        <v>20.7</v>
      </c>
      <c r="H51" s="2158">
        <f t="shared" si="14"/>
        <v>20.7</v>
      </c>
      <c r="I51" s="1178" t="e">
        <f>HLOOKUP($D51,'Improved Sales Adjustments 2'!$G$7:$WU$147,13,FALSE)/(HLOOKUP($D51,'Improved Sales Adjustments 2'!$G$7:$WU$147,9,FALSE)*43560)</f>
        <v>#DIV/0!</v>
      </c>
      <c r="J51" s="2159"/>
      <c r="K51" s="2130" t="str">
        <f>IF(OR(dpSale_Method_2="Land Extraction",ISERROR(IF(dpUnit_Sales_2="Net Rentable Area",(H51*I51*HLOOKUP($D51,'Improved Sales Adjustments 2'!$G$7:$WS$147,6,FALSE))/HLOOKUP($D51,'Improved Sales Adjustments 2'!$G$7:$WS$147,12,FALSE),(H51*I51*HLOOKUP($D51,'Improved Sales Adjustments 2'!$G$7:$WS$147,7,FALSE))/HLOOKUP($D51,'Improved Sales Adjustments 2'!$G$7:$WS$147,12,FALSE)))),"",IF(dpUnit_Sales_2="Net Rentable Area",(H51*I51*HLOOKUP($D51,'Improved Sales Adjustments 2'!$G$7:$WS$147,6,FALSE))/(HLOOKUP($D51,'Improved Sales Adjustments 2'!$G$7:$WS$147,6,FALSE)*E51)*Sales_LtBAdj_Ratio_2,(H51*I51*HLOOKUP($D51,'Improved Sales Adjustments 2'!$G$7:$WS$147,7,FALSE))/(HLOOKUP($D51,'Improved Sales Adjustments 2'!$G$7:$WS$147,7,FALSE)*E51)*Sales_LtBAdj_Ratio_2))</f>
        <v/>
      </c>
      <c r="L51" s="101"/>
      <c r="M51" s="5"/>
      <c r="N51" s="5"/>
      <c r="O51" s="6"/>
      <c r="P51" s="10"/>
      <c r="Q51" s="11"/>
      <c r="R51" s="10"/>
      <c r="S51" s="10"/>
      <c r="T51" s="10"/>
      <c r="U51" s="10"/>
      <c r="V51" s="10"/>
      <c r="W51" s="10"/>
      <c r="X51" s="10"/>
      <c r="Y51" s="10"/>
      <c r="Z51" s="10"/>
      <c r="AA51" s="10"/>
      <c r="AB51" s="10"/>
      <c r="AC51" s="10"/>
      <c r="AD51" s="10"/>
      <c r="AE51" s="10"/>
      <c r="AF51" s="143"/>
      <c r="AG51" s="32"/>
      <c r="AH51" s="32"/>
      <c r="AI51" s="32"/>
      <c r="AJ51" s="32"/>
      <c r="AK51" s="32"/>
      <c r="AL51" s="32"/>
      <c r="AM51" s="32"/>
      <c r="AN51" s="32"/>
      <c r="AO51" s="32"/>
      <c r="AP51" s="32"/>
      <c r="AQ51" s="32"/>
      <c r="AR51" s="32"/>
      <c r="AS51" s="32"/>
      <c r="AT51" s="32"/>
      <c r="AU51" s="32"/>
      <c r="AV51" s="32"/>
      <c r="AW51" s="32"/>
      <c r="AX51" s="32"/>
      <c r="AY51" s="32"/>
      <c r="AZ51" s="32"/>
      <c r="BA51" s="32"/>
      <c r="BB51" s="32"/>
      <c r="BC51" s="32"/>
      <c r="BD51" s="32"/>
      <c r="BE51" s="32"/>
      <c r="BF51" s="32"/>
      <c r="BG51" s="32"/>
      <c r="BH51" s="32"/>
      <c r="BI51" s="32"/>
      <c r="BJ51" s="32"/>
      <c r="BK51" s="32"/>
      <c r="BL51" s="32"/>
      <c r="BM51" s="32"/>
    </row>
    <row r="52" spans="1:65" ht="15" customHeight="1" x14ac:dyDescent="0.25">
      <c r="A52" s="957">
        <f t="shared" si="13"/>
        <v>0</v>
      </c>
      <c r="B52" s="4"/>
      <c r="C52" s="101"/>
      <c r="D52" s="137">
        <f t="shared" si="15"/>
        <v>4</v>
      </c>
      <c r="E52" s="1178" t="e">
        <f>HLOOKUP($D52,'Improved Sales Adjustments 2'!$G$7:$WU$147,48,FALSE)</f>
        <v>#DIV/0!</v>
      </c>
      <c r="F52" s="2158">
        <f>HLOOKUP($D52,'Improved Sales Adjustments 2'!$G$7:$WU$147,103,FALSE)</f>
        <v>0</v>
      </c>
      <c r="G52" s="2158">
        <f t="shared" si="12"/>
        <v>20.7</v>
      </c>
      <c r="H52" s="2158">
        <f t="shared" si="14"/>
        <v>20.7</v>
      </c>
      <c r="I52" s="1178" t="e">
        <f>HLOOKUP($D52,'Improved Sales Adjustments 2'!$G$7:$WU$147,13,FALSE)/(HLOOKUP($D52,'Improved Sales Adjustments 2'!$G$7:$WU$147,9,FALSE)*43560)</f>
        <v>#DIV/0!</v>
      </c>
      <c r="J52" s="2159"/>
      <c r="K52" s="2130" t="str">
        <f>IF(OR(dpSale_Method_2="Land Extraction",ISERROR(IF(dpUnit_Sales_2="Net Rentable Area",(H52*I52*HLOOKUP($D52,'Improved Sales Adjustments 2'!$G$7:$WS$147,6,FALSE))/HLOOKUP($D52,'Improved Sales Adjustments 2'!$G$7:$WS$147,12,FALSE),(H52*I52*HLOOKUP($D52,'Improved Sales Adjustments 2'!$G$7:$WS$147,7,FALSE))/HLOOKUP($D52,'Improved Sales Adjustments 2'!$G$7:$WS$147,12,FALSE)))),"",IF(dpUnit_Sales_2="Net Rentable Area",(H52*I52*HLOOKUP($D52,'Improved Sales Adjustments 2'!$G$7:$WS$147,6,FALSE))/(HLOOKUP($D52,'Improved Sales Adjustments 2'!$G$7:$WS$147,6,FALSE)*E52)*Sales_LtBAdj_Ratio_2,(H52*I52*HLOOKUP($D52,'Improved Sales Adjustments 2'!$G$7:$WS$147,7,FALSE))/(HLOOKUP($D52,'Improved Sales Adjustments 2'!$G$7:$WS$147,7,FALSE)*E52)*Sales_LtBAdj_Ratio_2))</f>
        <v/>
      </c>
      <c r="L52" s="101"/>
      <c r="M52" s="5"/>
      <c r="N52" s="5"/>
      <c r="O52" s="6"/>
      <c r="P52" s="10"/>
      <c r="Q52" s="11"/>
      <c r="R52" s="10"/>
      <c r="S52" s="10"/>
      <c r="T52" s="10"/>
      <c r="U52" s="10"/>
      <c r="V52" s="10"/>
      <c r="W52" s="10"/>
      <c r="X52" s="10"/>
      <c r="Y52" s="10"/>
      <c r="Z52" s="10"/>
      <c r="AA52" s="10"/>
      <c r="AB52" s="10"/>
      <c r="AC52" s="10"/>
      <c r="AD52" s="10"/>
      <c r="AE52" s="10"/>
      <c r="AF52" s="143"/>
      <c r="AG52" s="32"/>
      <c r="AH52" s="32"/>
      <c r="AI52" s="32"/>
      <c r="AJ52" s="32"/>
      <c r="AK52" s="32"/>
      <c r="AL52" s="32"/>
      <c r="AM52" s="32"/>
      <c r="AN52" s="32"/>
      <c r="AO52" s="32"/>
      <c r="AP52" s="32"/>
      <c r="AQ52" s="32"/>
      <c r="AR52" s="32"/>
      <c r="AS52" s="32"/>
      <c r="AT52" s="32"/>
      <c r="AU52" s="32"/>
      <c r="AV52" s="32"/>
      <c r="AW52" s="32"/>
      <c r="AX52" s="32"/>
      <c r="AY52" s="32"/>
      <c r="AZ52" s="32"/>
      <c r="BA52" s="32"/>
      <c r="BB52" s="32"/>
      <c r="BC52" s="32"/>
      <c r="BD52" s="32"/>
      <c r="BE52" s="32"/>
      <c r="BF52" s="32"/>
      <c r="BG52" s="32"/>
      <c r="BH52" s="32"/>
      <c r="BI52" s="32"/>
      <c r="BJ52" s="32"/>
      <c r="BK52" s="32"/>
      <c r="BL52" s="32"/>
      <c r="BM52" s="32"/>
    </row>
    <row r="53" spans="1:65" ht="15" customHeight="1" x14ac:dyDescent="0.25">
      <c r="A53" s="957">
        <f t="shared" si="13"/>
        <v>0</v>
      </c>
      <c r="B53" s="4"/>
      <c r="C53" s="101"/>
      <c r="D53" s="137">
        <f t="shared" si="15"/>
        <v>5</v>
      </c>
      <c r="E53" s="1178" t="e">
        <f>HLOOKUP($D53,'Improved Sales Adjustments 2'!$G$7:$WU$147,48,FALSE)</f>
        <v>#DIV/0!</v>
      </c>
      <c r="F53" s="2158">
        <f>HLOOKUP($D53,'Improved Sales Adjustments 2'!$G$7:$WU$147,103,FALSE)</f>
        <v>0</v>
      </c>
      <c r="G53" s="2158">
        <f t="shared" si="12"/>
        <v>20.7</v>
      </c>
      <c r="H53" s="2158">
        <f t="shared" si="14"/>
        <v>20.7</v>
      </c>
      <c r="I53" s="1178" t="e">
        <f>HLOOKUP($D53,'Improved Sales Adjustments 2'!$G$7:$WU$147,13,FALSE)/(HLOOKUP($D53,'Improved Sales Adjustments 2'!$G$7:$WU$147,9,FALSE)*43560)</f>
        <v>#DIV/0!</v>
      </c>
      <c r="J53" s="2159"/>
      <c r="K53" s="2130" t="str">
        <f>IF(OR(dpSale_Method_2="Land Extraction",ISERROR(IF(dpUnit_Sales_2="Net Rentable Area",(H53*I53*HLOOKUP($D53,'Improved Sales Adjustments 2'!$G$7:$WS$147,6,FALSE))/HLOOKUP($D53,'Improved Sales Adjustments 2'!$G$7:$WS$147,12,FALSE),(H53*I53*HLOOKUP($D53,'Improved Sales Adjustments 2'!$G$7:$WS$147,7,FALSE))/HLOOKUP($D53,'Improved Sales Adjustments 2'!$G$7:$WS$147,12,FALSE)))),"",IF(dpUnit_Sales_2="Net Rentable Area",(H53*I53*HLOOKUP($D53,'Improved Sales Adjustments 2'!$G$7:$WS$147,6,FALSE))/(HLOOKUP($D53,'Improved Sales Adjustments 2'!$G$7:$WS$147,6,FALSE)*E53)*Sales_LtBAdj_Ratio_2,(H53*I53*HLOOKUP($D53,'Improved Sales Adjustments 2'!$G$7:$WS$147,7,FALSE))/(HLOOKUP($D53,'Improved Sales Adjustments 2'!$G$7:$WS$147,7,FALSE)*E53)*Sales_LtBAdj_Ratio_2))</f>
        <v/>
      </c>
      <c r="L53" s="101"/>
      <c r="M53" s="5"/>
      <c r="N53" s="5"/>
      <c r="O53" s="6"/>
      <c r="P53" s="10"/>
      <c r="Q53" s="11"/>
      <c r="R53" s="10"/>
      <c r="S53" s="10"/>
      <c r="T53" s="10"/>
      <c r="U53" s="10"/>
      <c r="V53" s="10"/>
      <c r="W53" s="10"/>
      <c r="X53" s="10"/>
      <c r="Y53" s="10"/>
      <c r="Z53" s="10"/>
      <c r="AA53" s="10"/>
      <c r="AB53" s="10"/>
      <c r="AC53" s="10"/>
      <c r="AD53" s="10"/>
      <c r="AE53" s="10"/>
      <c r="AF53" s="143"/>
      <c r="AG53" s="32"/>
      <c r="AH53" s="32"/>
      <c r="AI53" s="32"/>
      <c r="AJ53" s="32"/>
      <c r="AK53" s="32"/>
      <c r="AL53" s="32"/>
      <c r="AM53" s="32"/>
      <c r="AN53" s="32"/>
      <c r="AO53" s="32"/>
      <c r="AP53" s="32"/>
      <c r="AQ53" s="32"/>
      <c r="AR53" s="32"/>
      <c r="AS53" s="32"/>
      <c r="AT53" s="32"/>
      <c r="AU53" s="32"/>
      <c r="AV53" s="32"/>
      <c r="AW53" s="32"/>
      <c r="AX53" s="32"/>
      <c r="AY53" s="32"/>
      <c r="AZ53" s="32"/>
      <c r="BA53" s="32"/>
      <c r="BB53" s="32"/>
      <c r="BC53" s="32"/>
      <c r="BD53" s="32"/>
      <c r="BE53" s="32"/>
      <c r="BF53" s="32"/>
      <c r="BG53" s="32"/>
      <c r="BH53" s="32"/>
      <c r="BI53" s="32"/>
      <c r="BJ53" s="32"/>
      <c r="BK53" s="32"/>
      <c r="BL53" s="32"/>
      <c r="BM53" s="32"/>
    </row>
    <row r="54" spans="1:65" ht="15" customHeight="1" x14ac:dyDescent="0.25">
      <c r="A54" s="957">
        <f t="shared" si="13"/>
        <v>0</v>
      </c>
      <c r="B54" s="4"/>
      <c r="C54" s="101"/>
      <c r="D54" s="137">
        <f t="shared" si="15"/>
        <v>6</v>
      </c>
      <c r="E54" s="1178" t="e">
        <f>HLOOKUP($D54,'Improved Sales Adjustments 2'!$G$7:$WU$147,48,FALSE)</f>
        <v>#DIV/0!</v>
      </c>
      <c r="F54" s="2158">
        <f>HLOOKUP($D54,'Improved Sales Adjustments 2'!$G$7:$WU$147,103,FALSE)</f>
        <v>0</v>
      </c>
      <c r="G54" s="2158">
        <f t="shared" si="12"/>
        <v>20.7</v>
      </c>
      <c r="H54" s="2158">
        <f t="shared" si="14"/>
        <v>20.7</v>
      </c>
      <c r="I54" s="1178" t="e">
        <f>HLOOKUP($D54,'Improved Sales Adjustments 2'!$G$7:$WU$147,13,FALSE)/(HLOOKUP($D54,'Improved Sales Adjustments 2'!$G$7:$WU$147,9,FALSE)*43560)</f>
        <v>#DIV/0!</v>
      </c>
      <c r="J54" s="2159"/>
      <c r="K54" s="2130" t="str">
        <f>IF(OR(dpSale_Method_2="Land Extraction",ISERROR(IF(dpUnit_Sales_2="Net Rentable Area",(H54*I54*HLOOKUP($D54,'Improved Sales Adjustments 2'!$G$7:$WS$147,6,FALSE))/HLOOKUP($D54,'Improved Sales Adjustments 2'!$G$7:$WS$147,12,FALSE),(H54*I54*HLOOKUP($D54,'Improved Sales Adjustments 2'!$G$7:$WS$147,7,FALSE))/HLOOKUP($D54,'Improved Sales Adjustments 2'!$G$7:$WS$147,12,FALSE)))),"",IF(dpUnit_Sales_2="Net Rentable Area",(H54*I54*HLOOKUP($D54,'Improved Sales Adjustments 2'!$G$7:$WS$147,6,FALSE))/(HLOOKUP($D54,'Improved Sales Adjustments 2'!$G$7:$WS$147,6,FALSE)*E54)*Sales_LtBAdj_Ratio_2,(H54*I54*HLOOKUP($D54,'Improved Sales Adjustments 2'!$G$7:$WS$147,7,FALSE))/(HLOOKUP($D54,'Improved Sales Adjustments 2'!$G$7:$WS$147,7,FALSE)*E54)*Sales_LtBAdj_Ratio_2))</f>
        <v/>
      </c>
      <c r="L54" s="101"/>
      <c r="M54" s="5"/>
      <c r="N54" s="5"/>
      <c r="O54" s="6"/>
      <c r="P54" s="10"/>
      <c r="Q54" s="11"/>
      <c r="R54" s="10"/>
      <c r="S54" s="10"/>
      <c r="T54" s="10"/>
      <c r="U54" s="10"/>
      <c r="V54" s="10"/>
      <c r="W54" s="10"/>
      <c r="X54" s="10"/>
      <c r="Y54" s="10"/>
      <c r="Z54" s="10"/>
      <c r="AA54" s="10"/>
      <c r="AB54" s="10"/>
      <c r="AC54" s="10"/>
      <c r="AD54" s="10"/>
      <c r="AE54" s="10"/>
      <c r="AF54" s="143"/>
      <c r="AG54" s="32"/>
      <c r="AH54" s="32"/>
      <c r="AI54" s="32"/>
      <c r="AJ54" s="32"/>
      <c r="AK54" s="32"/>
      <c r="AL54" s="32"/>
      <c r="AM54" s="32"/>
      <c r="AN54" s="32"/>
      <c r="AO54" s="32"/>
      <c r="AP54" s="32"/>
      <c r="AQ54" s="32"/>
      <c r="AR54" s="32"/>
      <c r="AS54" s="32"/>
      <c r="AT54" s="32"/>
      <c r="AU54" s="32"/>
      <c r="AV54" s="32"/>
      <c r="AW54" s="32"/>
      <c r="AX54" s="32"/>
      <c r="AY54" s="32"/>
      <c r="AZ54" s="32"/>
      <c r="BA54" s="32"/>
      <c r="BB54" s="32"/>
      <c r="BC54" s="32"/>
      <c r="BD54" s="32"/>
      <c r="BE54" s="32"/>
      <c r="BF54" s="32"/>
      <c r="BG54" s="32"/>
      <c r="BH54" s="32"/>
      <c r="BI54" s="32"/>
      <c r="BJ54" s="32"/>
      <c r="BK54" s="32"/>
      <c r="BL54" s="32"/>
      <c r="BM54" s="32"/>
    </row>
    <row r="55" spans="1:65" ht="15" customHeight="1" x14ac:dyDescent="0.25">
      <c r="A55" s="957">
        <f t="shared" si="13"/>
        <v>0</v>
      </c>
      <c r="B55" s="4"/>
      <c r="C55" s="101"/>
      <c r="D55" s="137">
        <f t="shared" si="15"/>
        <v>7</v>
      </c>
      <c r="E55" s="1178" t="e">
        <f>HLOOKUP($D55,'Improved Sales Adjustments 2'!$G$7:$WU$147,48,FALSE)</f>
        <v>#N/A</v>
      </c>
      <c r="F55" s="2158" t="e">
        <f>HLOOKUP($D55,'Improved Sales Adjustments 2'!$G$7:$WU$147,103,FALSE)</f>
        <v>#N/A</v>
      </c>
      <c r="G55" s="2158">
        <f t="shared" si="12"/>
        <v>20.7</v>
      </c>
      <c r="H55" s="2158" t="e">
        <f t="shared" si="14"/>
        <v>#N/A</v>
      </c>
      <c r="I55" s="1178" t="e">
        <f>HLOOKUP($D55,'Improved Sales Adjustments 2'!$G$7:$WU$147,13,FALSE)/(HLOOKUP($D55,'Improved Sales Adjustments 2'!$G$7:$WU$147,9,FALSE)*43560)</f>
        <v>#N/A</v>
      </c>
      <c r="J55" s="2159"/>
      <c r="K55" s="2130" t="str">
        <f>IF(OR(dpSale_Method_2="Land Extraction",ISERROR(IF(dpUnit_Sales_2="Net Rentable Area",(H55*I55*HLOOKUP($D55,'Improved Sales Adjustments 2'!$G$7:$WS$147,6,FALSE))/HLOOKUP($D55,'Improved Sales Adjustments 2'!$G$7:$WS$147,12,FALSE),(H55*I55*HLOOKUP($D55,'Improved Sales Adjustments 2'!$G$7:$WS$147,7,FALSE))/HLOOKUP($D55,'Improved Sales Adjustments 2'!$G$7:$WS$147,12,FALSE)))),"",IF(dpUnit_Sales_2="Net Rentable Area",(H55*I55*HLOOKUP($D55,'Improved Sales Adjustments 2'!$G$7:$WS$147,6,FALSE))/(HLOOKUP($D55,'Improved Sales Adjustments 2'!$G$7:$WS$147,6,FALSE)*E55)*Sales_LtBAdj_Ratio_2,(H55*I55*HLOOKUP($D55,'Improved Sales Adjustments 2'!$G$7:$WS$147,7,FALSE))/(HLOOKUP($D55,'Improved Sales Adjustments 2'!$G$7:$WS$147,7,FALSE)*E55)*Sales_LtBAdj_Ratio_2))</f>
        <v/>
      </c>
      <c r="L55" s="101"/>
      <c r="M55" s="5"/>
      <c r="N55" s="5"/>
      <c r="O55" s="6"/>
      <c r="P55" s="10"/>
      <c r="Q55" s="11"/>
      <c r="R55" s="10"/>
      <c r="S55" s="10"/>
      <c r="T55" s="10"/>
      <c r="U55" s="10"/>
      <c r="V55" s="10"/>
      <c r="W55" s="10"/>
      <c r="X55" s="10"/>
      <c r="Y55" s="10"/>
      <c r="Z55" s="10"/>
      <c r="AA55" s="10"/>
      <c r="AB55" s="10"/>
      <c r="AC55" s="10"/>
      <c r="AD55" s="10"/>
      <c r="AE55" s="10"/>
      <c r="AF55" s="143"/>
      <c r="AG55" s="32"/>
      <c r="AH55" s="32"/>
      <c r="AI55" s="32"/>
      <c r="AJ55" s="32"/>
      <c r="AK55" s="32"/>
      <c r="AL55" s="32"/>
      <c r="AM55" s="32"/>
      <c r="AN55" s="32"/>
      <c r="AO55" s="32"/>
      <c r="AP55" s="32"/>
      <c r="AQ55" s="32"/>
      <c r="AR55" s="32"/>
      <c r="AS55" s="32"/>
      <c r="AT55" s="32"/>
      <c r="AU55" s="32"/>
      <c r="AV55" s="32"/>
      <c r="AW55" s="32"/>
      <c r="AX55" s="32"/>
      <c r="AY55" s="32"/>
      <c r="AZ55" s="32"/>
      <c r="BA55" s="32"/>
      <c r="BB55" s="32"/>
      <c r="BC55" s="32"/>
      <c r="BD55" s="32"/>
      <c r="BE55" s="32"/>
      <c r="BF55" s="32"/>
      <c r="BG55" s="32"/>
      <c r="BH55" s="32"/>
      <c r="BI55" s="32"/>
      <c r="BJ55" s="32"/>
      <c r="BK55" s="32"/>
      <c r="BL55" s="32"/>
      <c r="BM55" s="32"/>
    </row>
    <row r="56" spans="1:65" ht="15" customHeight="1" x14ac:dyDescent="0.25">
      <c r="A56" s="957">
        <f t="shared" si="13"/>
        <v>0</v>
      </c>
      <c r="B56" s="4"/>
      <c r="C56" s="101"/>
      <c r="D56" s="137">
        <f t="shared" si="15"/>
        <v>8</v>
      </c>
      <c r="E56" s="1178" t="e">
        <f>HLOOKUP($D56,'Improved Sales Adjustments 2'!$G$7:$WU$147,48,FALSE)</f>
        <v>#N/A</v>
      </c>
      <c r="F56" s="2158" t="e">
        <f>HLOOKUP($D56,'Improved Sales Adjustments 2'!$G$7:$WU$147,103,FALSE)</f>
        <v>#N/A</v>
      </c>
      <c r="G56" s="2158">
        <f t="shared" si="12"/>
        <v>20.7</v>
      </c>
      <c r="H56" s="2158" t="e">
        <f t="shared" si="14"/>
        <v>#N/A</v>
      </c>
      <c r="I56" s="1178" t="e">
        <f>HLOOKUP($D56,'Improved Sales Adjustments 2'!$G$7:$WU$147,13,FALSE)/(HLOOKUP($D56,'Improved Sales Adjustments 2'!$G$7:$WU$147,9,FALSE)*43560)</f>
        <v>#N/A</v>
      </c>
      <c r="J56" s="2159"/>
      <c r="K56" s="2130" t="str">
        <f>IF(OR(dpSale_Method_2="Land Extraction",ISERROR(IF(dpUnit_Sales_2="Net Rentable Area",(H56*I56*HLOOKUP($D56,'Improved Sales Adjustments 2'!$G$7:$WS$147,6,FALSE))/HLOOKUP($D56,'Improved Sales Adjustments 2'!$G$7:$WS$147,12,FALSE),(H56*I56*HLOOKUP($D56,'Improved Sales Adjustments 2'!$G$7:$WS$147,7,FALSE))/HLOOKUP($D56,'Improved Sales Adjustments 2'!$G$7:$WS$147,12,FALSE)))),"",IF(dpUnit_Sales_2="Net Rentable Area",(H56*I56*HLOOKUP($D56,'Improved Sales Adjustments 2'!$G$7:$WS$147,6,FALSE))/(HLOOKUP($D56,'Improved Sales Adjustments 2'!$G$7:$WS$147,6,FALSE)*E56)*Sales_LtBAdj_Ratio_2,(H56*I56*HLOOKUP($D56,'Improved Sales Adjustments 2'!$G$7:$WS$147,7,FALSE))/(HLOOKUP($D56,'Improved Sales Adjustments 2'!$G$7:$WS$147,7,FALSE)*E56)*Sales_LtBAdj_Ratio_2))</f>
        <v/>
      </c>
      <c r="L56" s="101"/>
      <c r="M56" s="5"/>
      <c r="N56" s="5"/>
      <c r="O56" s="6"/>
      <c r="P56" s="10"/>
      <c r="Q56" s="11"/>
      <c r="R56" s="10"/>
      <c r="S56" s="10"/>
      <c r="T56" s="10"/>
      <c r="U56" s="10"/>
      <c r="V56" s="10"/>
      <c r="W56" s="10"/>
      <c r="X56" s="10"/>
      <c r="Y56" s="10"/>
      <c r="Z56" s="10"/>
      <c r="AA56" s="10"/>
      <c r="AB56" s="10"/>
      <c r="AC56" s="10"/>
      <c r="AD56" s="10"/>
      <c r="AE56" s="10"/>
      <c r="AF56" s="143"/>
      <c r="AG56" s="32"/>
      <c r="AH56" s="32"/>
      <c r="AI56" s="32"/>
      <c r="AJ56" s="32"/>
      <c r="AK56" s="32"/>
      <c r="AL56" s="32"/>
      <c r="AM56" s="32"/>
      <c r="AN56" s="32"/>
      <c r="AO56" s="32"/>
      <c r="AP56" s="32"/>
      <c r="AQ56" s="32"/>
      <c r="AR56" s="32"/>
      <c r="AS56" s="32"/>
      <c r="AT56" s="32"/>
      <c r="AU56" s="32"/>
      <c r="AV56" s="32"/>
      <c r="AW56" s="32"/>
      <c r="AX56" s="32"/>
      <c r="AY56" s="32"/>
      <c r="AZ56" s="32"/>
      <c r="BA56" s="32"/>
      <c r="BB56" s="32"/>
      <c r="BC56" s="32"/>
      <c r="BD56" s="32"/>
      <c r="BE56" s="32"/>
      <c r="BF56" s="32"/>
      <c r="BG56" s="32"/>
      <c r="BH56" s="32"/>
      <c r="BI56" s="32"/>
      <c r="BJ56" s="32"/>
      <c r="BK56" s="32"/>
      <c r="BL56" s="32"/>
      <c r="BM56" s="32"/>
    </row>
    <row r="57" spans="1:65" ht="15" customHeight="1" x14ac:dyDescent="0.25">
      <c r="A57" s="957">
        <f t="shared" si="13"/>
        <v>0</v>
      </c>
      <c r="B57" s="4"/>
      <c r="C57" s="101"/>
      <c r="D57" s="137">
        <f t="shared" si="15"/>
        <v>9</v>
      </c>
      <c r="E57" s="1178" t="e">
        <f>HLOOKUP($D57,'Improved Sales Adjustments 2'!$G$7:$WU$147,48,FALSE)</f>
        <v>#N/A</v>
      </c>
      <c r="F57" s="2158" t="e">
        <f>HLOOKUP($D57,'Improved Sales Adjustments 2'!$G$7:$WU$147,103,FALSE)</f>
        <v>#N/A</v>
      </c>
      <c r="G57" s="2158">
        <f t="shared" si="12"/>
        <v>20.7</v>
      </c>
      <c r="H57" s="2158" t="e">
        <f t="shared" si="14"/>
        <v>#N/A</v>
      </c>
      <c r="I57" s="1178" t="e">
        <f>HLOOKUP($D57,'Improved Sales Adjustments 2'!$G$7:$WU$147,13,FALSE)/(HLOOKUP($D57,'Improved Sales Adjustments 2'!$G$7:$WU$147,9,FALSE)*43560)</f>
        <v>#N/A</v>
      </c>
      <c r="J57" s="2159"/>
      <c r="K57" s="2130" t="str">
        <f>IF(OR(dpSale_Method_2="Land Extraction",ISERROR(IF(dpUnit_Sales_2="Net Rentable Area",(H57*I57*HLOOKUP($D57,'Improved Sales Adjustments 2'!$G$7:$WS$147,6,FALSE))/HLOOKUP($D57,'Improved Sales Adjustments 2'!$G$7:$WS$147,12,FALSE),(H57*I57*HLOOKUP($D57,'Improved Sales Adjustments 2'!$G$7:$WS$147,7,FALSE))/HLOOKUP($D57,'Improved Sales Adjustments 2'!$G$7:$WS$147,12,FALSE)))),"",IF(dpUnit_Sales_2="Net Rentable Area",(H57*I57*HLOOKUP($D57,'Improved Sales Adjustments 2'!$G$7:$WS$147,6,FALSE))/(HLOOKUP($D57,'Improved Sales Adjustments 2'!$G$7:$WS$147,6,FALSE)*E57)*Sales_LtBAdj_Ratio_2,(H57*I57*HLOOKUP($D57,'Improved Sales Adjustments 2'!$G$7:$WS$147,7,FALSE))/(HLOOKUP($D57,'Improved Sales Adjustments 2'!$G$7:$WS$147,7,FALSE)*E57)*Sales_LtBAdj_Ratio_2))</f>
        <v/>
      </c>
      <c r="L57" s="101"/>
      <c r="M57" s="5"/>
      <c r="N57" s="5"/>
      <c r="O57" s="6"/>
      <c r="P57" s="10"/>
      <c r="Q57" s="11"/>
      <c r="R57" s="10"/>
      <c r="S57" s="10"/>
      <c r="T57" s="10"/>
      <c r="U57" s="10"/>
      <c r="V57" s="10"/>
      <c r="W57" s="10"/>
      <c r="X57" s="10"/>
      <c r="Y57" s="10"/>
      <c r="Z57" s="10"/>
      <c r="AA57" s="10"/>
      <c r="AB57" s="10"/>
      <c r="AC57" s="10"/>
      <c r="AD57" s="10"/>
      <c r="AE57" s="10"/>
      <c r="AF57" s="143"/>
      <c r="AG57" s="32"/>
      <c r="AH57" s="32"/>
      <c r="AI57" s="32"/>
      <c r="AJ57" s="32"/>
      <c r="AK57" s="32"/>
      <c r="AL57" s="32"/>
      <c r="AM57" s="32"/>
      <c r="AN57" s="32"/>
      <c r="AO57" s="32"/>
      <c r="AP57" s="32"/>
      <c r="AQ57" s="32"/>
      <c r="AR57" s="32"/>
      <c r="AS57" s="32"/>
      <c r="AT57" s="32"/>
      <c r="AU57" s="32"/>
      <c r="AV57" s="32"/>
      <c r="AW57" s="32"/>
      <c r="AX57" s="32"/>
      <c r="AY57" s="32"/>
      <c r="AZ57" s="32"/>
      <c r="BA57" s="32"/>
      <c r="BB57" s="32"/>
      <c r="BC57" s="32"/>
      <c r="BD57" s="32"/>
      <c r="BE57" s="32"/>
      <c r="BF57" s="32"/>
      <c r="BG57" s="32"/>
      <c r="BH57" s="32"/>
      <c r="BI57" s="32"/>
      <c r="BJ57" s="32"/>
      <c r="BK57" s="32"/>
      <c r="BL57" s="32"/>
      <c r="BM57" s="32"/>
    </row>
    <row r="58" spans="1:65" ht="15" customHeight="1" x14ac:dyDescent="0.25">
      <c r="A58" s="957">
        <f t="shared" si="13"/>
        <v>0</v>
      </c>
      <c r="B58" s="4"/>
      <c r="C58" s="101"/>
      <c r="D58" s="137">
        <f t="shared" si="15"/>
        <v>10</v>
      </c>
      <c r="E58" s="1178" t="e">
        <f>HLOOKUP($D58,'Improved Sales Adjustments 2'!$G$7:$WU$147,48,FALSE)</f>
        <v>#N/A</v>
      </c>
      <c r="F58" s="2158" t="e">
        <f>HLOOKUP($D58,'Improved Sales Adjustments 2'!$G$7:$WU$147,103,FALSE)</f>
        <v>#N/A</v>
      </c>
      <c r="G58" s="2158">
        <f t="shared" si="12"/>
        <v>20.7</v>
      </c>
      <c r="H58" s="2158" t="e">
        <f t="shared" si="14"/>
        <v>#N/A</v>
      </c>
      <c r="I58" s="1178" t="e">
        <f>HLOOKUP($D58,'Improved Sales Adjustments 2'!$G$7:$WU$147,13,FALSE)/(HLOOKUP($D58,'Improved Sales Adjustments 2'!$G$7:$WU$147,9,FALSE)*43560)</f>
        <v>#N/A</v>
      </c>
      <c r="J58" s="2159"/>
      <c r="K58" s="2130" t="str">
        <f>IF(OR(dpSale_Method_2="Land Extraction",ISERROR(IF(dpUnit_Sales_2="Net Rentable Area",(H58*I58*HLOOKUP($D58,'Improved Sales Adjustments 2'!$G$7:$WS$147,6,FALSE))/HLOOKUP($D58,'Improved Sales Adjustments 2'!$G$7:$WS$147,12,FALSE),(H58*I58*HLOOKUP($D58,'Improved Sales Adjustments 2'!$G$7:$WS$147,7,FALSE))/HLOOKUP($D58,'Improved Sales Adjustments 2'!$G$7:$WS$147,12,FALSE)))),"",IF(dpUnit_Sales_2="Net Rentable Area",(H58*I58*HLOOKUP($D58,'Improved Sales Adjustments 2'!$G$7:$WS$147,6,FALSE))/(HLOOKUP($D58,'Improved Sales Adjustments 2'!$G$7:$WS$147,6,FALSE)*E58)*Sales_LtBAdj_Ratio_2,(H58*I58*HLOOKUP($D58,'Improved Sales Adjustments 2'!$G$7:$WS$147,7,FALSE))/(HLOOKUP($D58,'Improved Sales Adjustments 2'!$G$7:$WS$147,7,FALSE)*E58)*Sales_LtBAdj_Ratio_2))</f>
        <v/>
      </c>
      <c r="L58" s="101"/>
      <c r="M58" s="5"/>
      <c r="N58" s="5"/>
      <c r="O58" s="6"/>
      <c r="P58" s="10"/>
      <c r="Q58" s="11"/>
      <c r="R58" s="10"/>
      <c r="S58" s="10"/>
      <c r="T58" s="10"/>
      <c r="U58" s="10"/>
      <c r="V58" s="10"/>
      <c r="W58" s="10"/>
      <c r="X58" s="10"/>
      <c r="Y58" s="10"/>
      <c r="Z58" s="10"/>
      <c r="AA58" s="10"/>
      <c r="AB58" s="10"/>
      <c r="AC58" s="10"/>
      <c r="AD58" s="10"/>
      <c r="AE58" s="10"/>
      <c r="AF58" s="143"/>
      <c r="AG58" s="32"/>
      <c r="AH58" s="32"/>
      <c r="AI58" s="32"/>
      <c r="AJ58" s="32"/>
      <c r="AK58" s="32"/>
      <c r="AL58" s="32"/>
      <c r="AM58" s="32"/>
      <c r="AN58" s="32"/>
      <c r="AO58" s="32"/>
      <c r="AP58" s="32"/>
      <c r="AQ58" s="32"/>
      <c r="AR58" s="32"/>
      <c r="AS58" s="32"/>
      <c r="AT58" s="32"/>
      <c r="AU58" s="32"/>
      <c r="AV58" s="32"/>
      <c r="AW58" s="32"/>
      <c r="AX58" s="32"/>
      <c r="AY58" s="32"/>
      <c r="AZ58" s="32"/>
      <c r="BA58" s="32"/>
      <c r="BB58" s="32"/>
      <c r="BC58" s="32"/>
      <c r="BD58" s="32"/>
      <c r="BE58" s="32"/>
      <c r="BF58" s="32"/>
      <c r="BG58" s="32"/>
      <c r="BH58" s="32"/>
      <c r="BI58" s="32"/>
      <c r="BJ58" s="32"/>
      <c r="BK58" s="32"/>
      <c r="BL58" s="32"/>
      <c r="BM58" s="32"/>
    </row>
    <row r="59" spans="1:65" ht="15" customHeight="1" x14ac:dyDescent="0.25">
      <c r="A59" s="957">
        <f t="shared" si="13"/>
        <v>0</v>
      </c>
      <c r="B59" s="4"/>
      <c r="C59" s="101"/>
      <c r="D59" s="137">
        <f t="shared" si="15"/>
        <v>11</v>
      </c>
      <c r="E59" s="1178" t="e">
        <f>HLOOKUP($D59,'Improved Sales Adjustments 2'!$G$7:$WU$147,48,FALSE)</f>
        <v>#N/A</v>
      </c>
      <c r="F59" s="2158" t="e">
        <f>HLOOKUP($D59,'Improved Sales Adjustments 2'!$G$7:$WU$147,103,FALSE)</f>
        <v>#N/A</v>
      </c>
      <c r="G59" s="2158">
        <f t="shared" si="12"/>
        <v>20.7</v>
      </c>
      <c r="H59" s="2158" t="e">
        <f t="shared" si="14"/>
        <v>#N/A</v>
      </c>
      <c r="I59" s="1178" t="e">
        <f>HLOOKUP($D59,'Improved Sales Adjustments 2'!$G$7:$WU$147,13,FALSE)/(HLOOKUP($D59,'Improved Sales Adjustments 2'!$G$7:$WU$147,9,FALSE)*43560)</f>
        <v>#N/A</v>
      </c>
      <c r="J59" s="2159"/>
      <c r="K59" s="2130" t="str">
        <f>IF(OR(dpSale_Method_2="Land Extraction",ISERROR(IF(dpUnit_Sales_2="Net Rentable Area",(H59*I59*HLOOKUP($D59,'Improved Sales Adjustments 2'!$G$7:$WS$147,6,FALSE))/HLOOKUP($D59,'Improved Sales Adjustments 2'!$G$7:$WS$147,12,FALSE),(H59*I59*HLOOKUP($D59,'Improved Sales Adjustments 2'!$G$7:$WS$147,7,FALSE))/HLOOKUP($D59,'Improved Sales Adjustments 2'!$G$7:$WS$147,12,FALSE)))),"",IF(dpUnit_Sales_2="Net Rentable Area",(H59*I59*HLOOKUP($D59,'Improved Sales Adjustments 2'!$G$7:$WS$147,6,FALSE))/(HLOOKUP($D59,'Improved Sales Adjustments 2'!$G$7:$WS$147,6,FALSE)*E59)*Sales_LtBAdj_Ratio_2,(H59*I59*HLOOKUP($D59,'Improved Sales Adjustments 2'!$G$7:$WS$147,7,FALSE))/(HLOOKUP($D59,'Improved Sales Adjustments 2'!$G$7:$WS$147,7,FALSE)*E59)*Sales_LtBAdj_Ratio_2))</f>
        <v/>
      </c>
      <c r="L59" s="101"/>
      <c r="M59" s="5"/>
      <c r="N59" s="5"/>
      <c r="O59" s="6"/>
      <c r="P59" s="10"/>
      <c r="Q59" s="11"/>
      <c r="R59" s="10"/>
      <c r="S59" s="10"/>
      <c r="T59" s="10"/>
      <c r="U59" s="10"/>
      <c r="V59" s="10"/>
      <c r="W59" s="10"/>
      <c r="X59" s="10"/>
      <c r="Y59" s="10"/>
      <c r="Z59" s="10"/>
      <c r="AA59" s="10"/>
      <c r="AB59" s="10"/>
      <c r="AC59" s="10"/>
      <c r="AD59" s="10"/>
      <c r="AE59" s="10"/>
      <c r="AF59" s="143"/>
      <c r="AG59" s="32"/>
      <c r="AH59" s="32"/>
      <c r="AI59" s="32"/>
      <c r="AJ59" s="32"/>
      <c r="AK59" s="32"/>
      <c r="AL59" s="32"/>
      <c r="AM59" s="32"/>
      <c r="AN59" s="32"/>
      <c r="AO59" s="32"/>
      <c r="AP59" s="32"/>
      <c r="AQ59" s="32"/>
      <c r="AR59" s="32"/>
      <c r="AS59" s="32"/>
      <c r="AT59" s="32"/>
      <c r="AU59" s="32"/>
      <c r="AV59" s="32"/>
      <c r="AW59" s="32"/>
      <c r="AX59" s="32"/>
      <c r="AY59" s="32"/>
      <c r="AZ59" s="32"/>
      <c r="BA59" s="32"/>
      <c r="BB59" s="32"/>
      <c r="BC59" s="32"/>
      <c r="BD59" s="32"/>
      <c r="BE59" s="32"/>
      <c r="BF59" s="32"/>
      <c r="BG59" s="32"/>
      <c r="BH59" s="32"/>
      <c r="BI59" s="32"/>
      <c r="BJ59" s="32"/>
      <c r="BK59" s="32"/>
      <c r="BL59" s="32"/>
      <c r="BM59" s="32"/>
    </row>
    <row r="60" spans="1:65" ht="15" customHeight="1" x14ac:dyDescent="0.25">
      <c r="A60" s="957">
        <f t="shared" si="13"/>
        <v>0</v>
      </c>
      <c r="B60" s="4"/>
      <c r="C60" s="101"/>
      <c r="D60" s="137">
        <f t="shared" si="15"/>
        <v>12</v>
      </c>
      <c r="E60" s="1178" t="e">
        <f>HLOOKUP($D60,'Improved Sales Adjustments 2'!$G$7:$WU$147,48,FALSE)</f>
        <v>#N/A</v>
      </c>
      <c r="F60" s="2158" t="e">
        <f>HLOOKUP($D60,'Improved Sales Adjustments 2'!$G$7:$WU$147,103,FALSE)</f>
        <v>#N/A</v>
      </c>
      <c r="G60" s="2158">
        <f t="shared" si="12"/>
        <v>20.7</v>
      </c>
      <c r="H60" s="2158" t="e">
        <f t="shared" si="14"/>
        <v>#N/A</v>
      </c>
      <c r="I60" s="1178" t="e">
        <f>HLOOKUP($D60,'Improved Sales Adjustments 2'!$G$7:$WU$147,13,FALSE)/(HLOOKUP($D60,'Improved Sales Adjustments 2'!$G$7:$WU$147,9,FALSE)*43560)</f>
        <v>#N/A</v>
      </c>
      <c r="J60" s="2159"/>
      <c r="K60" s="2130" t="str">
        <f>IF(OR(dpSale_Method_2="Land Extraction",ISERROR(IF(dpUnit_Sales_2="Net Rentable Area",(H60*I60*HLOOKUP($D60,'Improved Sales Adjustments 2'!$G$7:$WS$147,6,FALSE))/HLOOKUP($D60,'Improved Sales Adjustments 2'!$G$7:$WS$147,12,FALSE),(H60*I60*HLOOKUP($D60,'Improved Sales Adjustments 2'!$G$7:$WS$147,7,FALSE))/HLOOKUP($D60,'Improved Sales Adjustments 2'!$G$7:$WS$147,12,FALSE)))),"",IF(dpUnit_Sales_2="Net Rentable Area",(H60*I60*HLOOKUP($D60,'Improved Sales Adjustments 2'!$G$7:$WS$147,6,FALSE))/(HLOOKUP($D60,'Improved Sales Adjustments 2'!$G$7:$WS$147,6,FALSE)*E60)*Sales_LtBAdj_Ratio_2,(H60*I60*HLOOKUP($D60,'Improved Sales Adjustments 2'!$G$7:$WS$147,7,FALSE))/(HLOOKUP($D60,'Improved Sales Adjustments 2'!$G$7:$WS$147,7,FALSE)*E60)*Sales_LtBAdj_Ratio_2))</f>
        <v/>
      </c>
      <c r="L60" s="101"/>
      <c r="M60" s="5"/>
      <c r="N60" s="5"/>
      <c r="O60" s="6"/>
      <c r="P60" s="10"/>
      <c r="Q60" s="11"/>
      <c r="R60" s="10"/>
      <c r="S60" s="10"/>
      <c r="T60" s="10"/>
      <c r="U60" s="10"/>
      <c r="V60" s="10"/>
      <c r="W60" s="10"/>
      <c r="X60" s="10"/>
      <c r="Y60" s="10"/>
      <c r="Z60" s="10"/>
      <c r="AA60" s="10"/>
      <c r="AB60" s="10"/>
      <c r="AC60" s="10"/>
      <c r="AD60" s="10"/>
      <c r="AE60" s="10"/>
      <c r="AF60" s="143"/>
      <c r="AG60" s="32"/>
      <c r="AH60" s="32"/>
      <c r="AI60" s="32"/>
      <c r="AJ60" s="32"/>
      <c r="AK60" s="32"/>
      <c r="AL60" s="32"/>
      <c r="AM60" s="32"/>
      <c r="AN60" s="32"/>
      <c r="AO60" s="32"/>
      <c r="AP60" s="32"/>
      <c r="AQ60" s="32"/>
      <c r="AR60" s="32"/>
      <c r="AS60" s="32"/>
      <c r="AT60" s="32"/>
      <c r="AU60" s="32"/>
      <c r="AV60" s="32"/>
      <c r="AW60" s="32"/>
      <c r="AX60" s="32"/>
      <c r="AY60" s="32"/>
      <c r="AZ60" s="32"/>
      <c r="BA60" s="32"/>
      <c r="BB60" s="32"/>
      <c r="BC60" s="32"/>
      <c r="BD60" s="32"/>
      <c r="BE60" s="32"/>
      <c r="BF60" s="32"/>
      <c r="BG60" s="32"/>
      <c r="BH60" s="32"/>
      <c r="BI60" s="32"/>
      <c r="BJ60" s="32"/>
      <c r="BK60" s="32"/>
      <c r="BL60" s="32"/>
      <c r="BM60" s="32"/>
    </row>
    <row r="61" spans="1:65" ht="15" customHeight="1" x14ac:dyDescent="0.25">
      <c r="A61" s="957">
        <f t="shared" si="13"/>
        <v>0</v>
      </c>
      <c r="B61" s="4"/>
      <c r="C61" s="101"/>
      <c r="D61" s="137">
        <f>D60+1</f>
        <v>13</v>
      </c>
      <c r="E61" s="1178" t="e">
        <f>HLOOKUP($D61,'Improved Sales Adjustments 2'!$G$7:$WU$147,48,FALSE)</f>
        <v>#N/A</v>
      </c>
      <c r="F61" s="2158" t="e">
        <f>HLOOKUP($D61,'Improved Sales Adjustments 2'!$G$7:$WU$147,103,FALSE)</f>
        <v>#N/A</v>
      </c>
      <c r="G61" s="2158">
        <f t="shared" si="12"/>
        <v>20.7</v>
      </c>
      <c r="H61" s="2158" t="e">
        <f t="shared" si="14"/>
        <v>#N/A</v>
      </c>
      <c r="I61" s="1178" t="e">
        <f>HLOOKUP($D61,'Improved Sales Adjustments 2'!$G$7:$WU$147,13,FALSE)/(HLOOKUP($D61,'Improved Sales Adjustments 2'!$G$7:$WU$147,9,FALSE)*43560)</f>
        <v>#N/A</v>
      </c>
      <c r="J61" s="2159"/>
      <c r="K61" s="2130" t="str">
        <f>IF(OR(dpSale_Method_2="Land Extraction",ISERROR(IF(dpUnit_Sales_2="Net Rentable Area",(H61*I61*HLOOKUP($D61,'Improved Sales Adjustments 2'!$G$7:$WS$147,6,FALSE))/HLOOKUP($D61,'Improved Sales Adjustments 2'!$G$7:$WS$147,12,FALSE),(H61*I61*HLOOKUP($D61,'Improved Sales Adjustments 2'!$G$7:$WS$147,7,FALSE))/HLOOKUP($D61,'Improved Sales Adjustments 2'!$G$7:$WS$147,12,FALSE)))),"",IF(dpUnit_Sales_2="Net Rentable Area",(H61*I61*HLOOKUP($D61,'Improved Sales Adjustments 2'!$G$7:$WS$147,6,FALSE))/(HLOOKUP($D61,'Improved Sales Adjustments 2'!$G$7:$WS$147,6,FALSE)*E61)*Sales_LtBAdj_Ratio_2,(H61*I61*HLOOKUP($D61,'Improved Sales Adjustments 2'!$G$7:$WS$147,7,FALSE))/(HLOOKUP($D61,'Improved Sales Adjustments 2'!$G$7:$WS$147,7,FALSE)*E61)*Sales_LtBAdj_Ratio_2))</f>
        <v/>
      </c>
      <c r="L61" s="101"/>
      <c r="M61" s="5"/>
      <c r="N61" s="5"/>
      <c r="O61" s="6"/>
      <c r="P61" s="10"/>
      <c r="Q61" s="11"/>
      <c r="R61" s="10"/>
      <c r="S61" s="10"/>
      <c r="T61" s="10"/>
      <c r="U61" s="10"/>
      <c r="V61" s="10"/>
      <c r="W61" s="10"/>
      <c r="X61" s="10"/>
      <c r="Y61" s="10"/>
      <c r="Z61" s="10"/>
      <c r="AA61" s="10"/>
      <c r="AB61" s="10"/>
      <c r="AC61" s="10"/>
      <c r="AD61" s="10"/>
      <c r="AE61" s="10"/>
      <c r="AF61" s="143"/>
      <c r="AG61" s="32"/>
      <c r="AH61" s="32"/>
      <c r="AI61" s="32"/>
      <c r="AJ61" s="32"/>
      <c r="AK61" s="32"/>
      <c r="AL61" s="32"/>
      <c r="AM61" s="32"/>
      <c r="AN61" s="32"/>
      <c r="AO61" s="32"/>
      <c r="AP61" s="32"/>
      <c r="AQ61" s="32"/>
      <c r="AR61" s="32"/>
      <c r="AS61" s="32"/>
      <c r="AT61" s="32"/>
      <c r="AU61" s="32"/>
      <c r="AV61" s="32"/>
      <c r="AW61" s="32"/>
      <c r="AX61" s="32"/>
      <c r="AY61" s="32"/>
      <c r="AZ61" s="32"/>
      <c r="BA61" s="32"/>
      <c r="BB61" s="32"/>
      <c r="BC61" s="32"/>
      <c r="BD61" s="32"/>
      <c r="BE61" s="32"/>
      <c r="BF61" s="32"/>
      <c r="BG61" s="32"/>
      <c r="BH61" s="32"/>
      <c r="BI61" s="32"/>
      <c r="BJ61" s="32"/>
      <c r="BK61" s="32"/>
      <c r="BL61" s="32"/>
      <c r="BM61" s="32"/>
    </row>
    <row r="62" spans="1:65" ht="15" customHeight="1" x14ac:dyDescent="0.25">
      <c r="A62" s="957">
        <f t="shared" si="13"/>
        <v>0</v>
      </c>
      <c r="B62" s="4"/>
      <c r="C62" s="101"/>
      <c r="D62" s="137">
        <f>D61+1</f>
        <v>14</v>
      </c>
      <c r="E62" s="1178" t="e">
        <f>HLOOKUP($D62,'Improved Sales Adjustments 2'!$G$7:$WU$147,48,FALSE)</f>
        <v>#N/A</v>
      </c>
      <c r="F62" s="2158" t="e">
        <f>HLOOKUP($D62,'Improved Sales Adjustments 2'!$G$7:$WU$147,103,FALSE)</f>
        <v>#N/A</v>
      </c>
      <c r="G62" s="2158">
        <f t="shared" si="12"/>
        <v>20.7</v>
      </c>
      <c r="H62" s="2158" t="e">
        <f t="shared" si="14"/>
        <v>#N/A</v>
      </c>
      <c r="I62" s="1178" t="e">
        <f>HLOOKUP($D62,'Improved Sales Adjustments 2'!$G$7:$WU$147,13,FALSE)/(HLOOKUP($D62,'Improved Sales Adjustments 2'!$G$7:$WU$147,9,FALSE)*43560)</f>
        <v>#N/A</v>
      </c>
      <c r="J62" s="2159"/>
      <c r="K62" s="2130" t="str">
        <f>IF(OR(dpSale_Method_2="Land Extraction",ISERROR(IF(dpUnit_Sales_2="Net Rentable Area",(H62*I62*HLOOKUP($D62,'Improved Sales Adjustments 2'!$G$7:$WS$147,6,FALSE))/HLOOKUP($D62,'Improved Sales Adjustments 2'!$G$7:$WS$147,12,FALSE),(H62*I62*HLOOKUP($D62,'Improved Sales Adjustments 2'!$G$7:$WS$147,7,FALSE))/HLOOKUP($D62,'Improved Sales Adjustments 2'!$G$7:$WS$147,12,FALSE)))),"",IF(dpUnit_Sales_2="Net Rentable Area",(H62*I62*HLOOKUP($D62,'Improved Sales Adjustments 2'!$G$7:$WS$147,6,FALSE))/(HLOOKUP($D62,'Improved Sales Adjustments 2'!$G$7:$WS$147,6,FALSE)*E62)*Sales_LtBAdj_Ratio_2,(H62*I62*HLOOKUP($D62,'Improved Sales Adjustments 2'!$G$7:$WS$147,7,FALSE))/(HLOOKUP($D62,'Improved Sales Adjustments 2'!$G$7:$WS$147,7,FALSE)*E62)*Sales_LtBAdj_Ratio_2))</f>
        <v/>
      </c>
      <c r="L62" s="101"/>
      <c r="M62" s="5"/>
      <c r="N62" s="5"/>
      <c r="O62" s="6"/>
      <c r="P62" s="10"/>
      <c r="Q62" s="11"/>
      <c r="R62" s="10"/>
      <c r="S62" s="10"/>
      <c r="T62" s="10"/>
      <c r="U62" s="10"/>
      <c r="V62" s="10"/>
      <c r="W62" s="10"/>
      <c r="X62" s="10"/>
      <c r="Y62" s="10"/>
      <c r="Z62" s="10"/>
      <c r="AA62" s="10"/>
      <c r="AB62" s="10"/>
      <c r="AC62" s="10"/>
      <c r="AD62" s="10"/>
      <c r="AE62" s="10"/>
      <c r="AF62" s="143"/>
      <c r="AG62" s="32"/>
      <c r="AH62" s="32"/>
      <c r="AI62" s="32"/>
      <c r="AJ62" s="32"/>
      <c r="AK62" s="32"/>
      <c r="AL62" s="32"/>
      <c r="AM62" s="32"/>
      <c r="AN62" s="32"/>
      <c r="AO62" s="32"/>
      <c r="AP62" s="32"/>
      <c r="AQ62" s="32"/>
      <c r="AR62" s="32"/>
      <c r="AS62" s="32"/>
      <c r="AT62" s="32"/>
      <c r="AU62" s="32"/>
      <c r="AV62" s="32"/>
      <c r="AW62" s="32"/>
      <c r="AX62" s="32"/>
      <c r="AY62" s="32"/>
      <c r="AZ62" s="32"/>
      <c r="BA62" s="32"/>
      <c r="BB62" s="32"/>
      <c r="BC62" s="32"/>
      <c r="BD62" s="32"/>
      <c r="BE62" s="32"/>
      <c r="BF62" s="32"/>
      <c r="BG62" s="32"/>
      <c r="BH62" s="32"/>
      <c r="BI62" s="32"/>
      <c r="BJ62" s="32"/>
      <c r="BK62" s="32"/>
      <c r="BL62" s="32"/>
      <c r="BM62" s="32"/>
    </row>
    <row r="63" spans="1:65" ht="15" customHeight="1" thickBot="1" x14ac:dyDescent="0.3">
      <c r="A63" s="957">
        <f t="shared" si="13"/>
        <v>0</v>
      </c>
      <c r="B63" s="4"/>
      <c r="C63" s="101"/>
      <c r="D63" s="137">
        <f>D62+1</f>
        <v>15</v>
      </c>
      <c r="E63" s="1178" t="e">
        <f>HLOOKUP($D63,'Improved Sales Adjustments 2'!$G$7:$WU$147,48,FALSE)</f>
        <v>#N/A</v>
      </c>
      <c r="F63" s="2158" t="e">
        <f>HLOOKUP($D63,'Improved Sales Adjustments 2'!$G$7:$WU$147,103,FALSE)</f>
        <v>#N/A</v>
      </c>
      <c r="G63" s="2158">
        <f t="shared" si="12"/>
        <v>20.7</v>
      </c>
      <c r="H63" s="2158" t="e">
        <f t="shared" si="14"/>
        <v>#N/A</v>
      </c>
      <c r="I63" s="1178" t="e">
        <f>HLOOKUP($D63,'Improved Sales Adjustments 2'!$G$7:$WU$147,13,FALSE)/(HLOOKUP($D63,'Improved Sales Adjustments 2'!$G$7:$WU$147,9,FALSE)*43560)</f>
        <v>#N/A</v>
      </c>
      <c r="J63" s="2159"/>
      <c r="K63" s="2130" t="str">
        <f>IF(OR(dpSale_Method_2="Land Extraction",ISERROR(IF(dpUnit_Sales_2="Net Rentable Area",(H63*I63*HLOOKUP($D63,'Improved Sales Adjustments 2'!$G$7:$WS$147,6,FALSE))/HLOOKUP($D63,'Improved Sales Adjustments 2'!$G$7:$WS$147,12,FALSE),(H63*I63*HLOOKUP($D63,'Improved Sales Adjustments 2'!$G$7:$WS$147,7,FALSE))/HLOOKUP($D63,'Improved Sales Adjustments 2'!$G$7:$WS$147,12,FALSE)))),"",IF(dpUnit_Sales_2="Net Rentable Area",(H63*I63*HLOOKUP($D63,'Improved Sales Adjustments 2'!$G$7:$WS$147,6,FALSE))/(HLOOKUP($D63,'Improved Sales Adjustments 2'!$G$7:$WS$147,6,FALSE)*E63)*Sales_LtBAdj_Ratio_2,(H63*I63*HLOOKUP($D63,'Improved Sales Adjustments 2'!$G$7:$WS$147,7,FALSE))/(HLOOKUP($D63,'Improved Sales Adjustments 2'!$G$7:$WS$147,7,FALSE)*E63)*Sales_LtBAdj_Ratio_2))</f>
        <v/>
      </c>
      <c r="L63" s="101"/>
      <c r="M63" s="5"/>
      <c r="N63" s="5"/>
      <c r="O63" s="6"/>
      <c r="P63" s="10"/>
      <c r="Q63" s="11"/>
      <c r="R63" s="10"/>
      <c r="S63" s="10"/>
      <c r="T63" s="10"/>
      <c r="U63" s="10"/>
      <c r="V63" s="10"/>
      <c r="W63" s="10"/>
      <c r="X63" s="10"/>
      <c r="Y63" s="10"/>
      <c r="Z63" s="10"/>
      <c r="AA63" s="10"/>
      <c r="AB63" s="10"/>
      <c r="AC63" s="10"/>
      <c r="AD63" s="10"/>
      <c r="AE63" s="10"/>
      <c r="AF63" s="143"/>
      <c r="AG63" s="32"/>
      <c r="AH63" s="32"/>
      <c r="AI63" s="32"/>
      <c r="AJ63" s="32"/>
      <c r="AK63" s="32"/>
      <c r="AL63" s="32"/>
      <c r="AM63" s="32"/>
      <c r="AN63" s="32"/>
      <c r="AO63" s="32"/>
      <c r="AP63" s="32"/>
      <c r="AQ63" s="32"/>
      <c r="AR63" s="32"/>
      <c r="AS63" s="32"/>
      <c r="AT63" s="32"/>
      <c r="AU63" s="32"/>
      <c r="AV63" s="32"/>
      <c r="AW63" s="32"/>
      <c r="AX63" s="32"/>
      <c r="AY63" s="32"/>
      <c r="AZ63" s="32"/>
      <c r="BA63" s="32"/>
      <c r="BB63" s="32"/>
      <c r="BC63" s="32"/>
      <c r="BD63" s="32"/>
      <c r="BE63" s="32"/>
      <c r="BF63" s="32"/>
      <c r="BG63" s="32"/>
      <c r="BH63" s="32"/>
      <c r="BI63" s="32"/>
      <c r="BJ63" s="32"/>
      <c r="BK63" s="32"/>
      <c r="BL63" s="32"/>
      <c r="BM63" s="32"/>
    </row>
    <row r="64" spans="1:65" ht="15" customHeight="1" thickBot="1" x14ac:dyDescent="0.3">
      <c r="A64" s="957">
        <v>1</v>
      </c>
      <c r="B64" s="8"/>
      <c r="C64" s="7"/>
      <c r="D64" s="555" t="s">
        <v>1612</v>
      </c>
      <c r="E64" s="133"/>
      <c r="F64" s="133"/>
      <c r="G64" s="133"/>
      <c r="H64" s="133"/>
      <c r="I64" s="133"/>
      <c r="J64" s="133"/>
      <c r="K64" s="133"/>
      <c r="L64" s="7"/>
      <c r="M64" s="7"/>
      <c r="N64" s="7"/>
      <c r="O64" s="9"/>
      <c r="P64" s="10"/>
      <c r="Q64" s="11"/>
      <c r="R64" s="10"/>
      <c r="S64" s="10"/>
      <c r="T64" s="10"/>
      <c r="U64" s="10"/>
      <c r="V64" s="10"/>
      <c r="W64" s="10"/>
      <c r="X64" s="10"/>
      <c r="Y64" s="10"/>
      <c r="Z64" s="10"/>
      <c r="AA64" s="10"/>
      <c r="AB64" s="10"/>
      <c r="AC64" s="10"/>
      <c r="AD64" s="10"/>
      <c r="AE64" s="10"/>
      <c r="AF64" s="143"/>
      <c r="AG64" s="32"/>
      <c r="AH64" s="32"/>
      <c r="AI64" s="32"/>
      <c r="AJ64" s="32"/>
      <c r="AK64" s="32"/>
      <c r="AL64" s="32"/>
      <c r="AM64" s="32"/>
      <c r="AN64" s="32"/>
      <c r="AO64" s="32"/>
      <c r="AP64" s="32"/>
      <c r="AQ64" s="32"/>
      <c r="AR64" s="32"/>
      <c r="AS64" s="32"/>
      <c r="AT64" s="32"/>
      <c r="AU64" s="32"/>
      <c r="AV64" s="32"/>
      <c r="AW64" s="32"/>
      <c r="AX64" s="32"/>
      <c r="AY64" s="32"/>
      <c r="AZ64" s="32"/>
      <c r="BA64" s="32"/>
      <c r="BB64" s="32"/>
      <c r="BC64" s="32"/>
      <c r="BD64" s="32"/>
      <c r="BE64" s="32"/>
      <c r="BF64" s="32"/>
      <c r="BG64" s="32"/>
      <c r="BH64" s="32"/>
      <c r="BI64" s="32"/>
      <c r="BJ64" s="32"/>
      <c r="BK64" s="32"/>
      <c r="BL64" s="32"/>
      <c r="BM64" s="32"/>
    </row>
    <row r="65" spans="1:65" ht="15" customHeight="1" thickBot="1" x14ac:dyDescent="0.3">
      <c r="A65" s="957">
        <v>1</v>
      </c>
      <c r="B65" s="10"/>
      <c r="C65" s="10"/>
      <c r="D65" s="1260"/>
      <c r="E65" s="10"/>
      <c r="F65" s="10"/>
      <c r="G65" s="10"/>
      <c r="H65" s="10"/>
      <c r="I65" s="10"/>
      <c r="J65" s="10"/>
      <c r="K65" s="10"/>
      <c r="L65" s="10"/>
      <c r="M65" s="10"/>
      <c r="N65" s="10"/>
      <c r="O65" s="10"/>
      <c r="P65" s="10"/>
      <c r="Q65" s="11"/>
      <c r="R65" s="10"/>
      <c r="S65" s="10"/>
      <c r="T65" s="10"/>
      <c r="U65" s="10"/>
      <c r="V65" s="10"/>
      <c r="W65" s="10"/>
      <c r="X65" s="10"/>
      <c r="Y65" s="10"/>
      <c r="Z65" s="10"/>
      <c r="AA65" s="10"/>
      <c r="AB65" s="10"/>
      <c r="AC65" s="10"/>
      <c r="AD65" s="10"/>
      <c r="AE65" s="10"/>
      <c r="AF65" s="143"/>
      <c r="AG65" s="32"/>
      <c r="AH65" s="32"/>
      <c r="AI65" s="32"/>
      <c r="AJ65" s="32"/>
      <c r="AK65" s="32"/>
      <c r="AL65" s="32"/>
      <c r="AM65" s="32"/>
      <c r="AN65" s="32"/>
      <c r="AO65" s="32"/>
      <c r="AP65" s="32"/>
      <c r="AQ65" s="32"/>
      <c r="AR65" s="32"/>
      <c r="AS65" s="32"/>
      <c r="AT65" s="32"/>
      <c r="AU65" s="32"/>
      <c r="AV65" s="32"/>
      <c r="AW65" s="32"/>
      <c r="AX65" s="32"/>
      <c r="AY65" s="32"/>
      <c r="AZ65" s="32"/>
      <c r="BA65" s="32"/>
      <c r="BB65" s="32"/>
      <c r="BC65" s="32"/>
      <c r="BD65" s="32"/>
      <c r="BE65" s="32"/>
      <c r="BF65" s="32"/>
      <c r="BG65" s="32"/>
      <c r="BH65" s="32"/>
      <c r="BI65" s="32"/>
      <c r="BJ65" s="32"/>
      <c r="BK65" s="32"/>
      <c r="BL65" s="32"/>
      <c r="BM65" s="32"/>
    </row>
    <row r="66" spans="1:65" ht="15" customHeight="1" x14ac:dyDescent="0.25">
      <c r="A66" s="957">
        <v>1</v>
      </c>
      <c r="B66" s="1"/>
      <c r="C66" s="2"/>
      <c r="D66" s="1261"/>
      <c r="E66" s="2"/>
      <c r="F66" s="2"/>
      <c r="G66" s="2"/>
      <c r="H66" s="2"/>
      <c r="I66" s="2"/>
      <c r="J66" s="2"/>
      <c r="K66" s="2"/>
      <c r="L66" s="2"/>
      <c r="M66" s="2"/>
      <c r="N66" s="2"/>
      <c r="O66" s="2"/>
      <c r="P66" s="3"/>
      <c r="Q66" s="11"/>
      <c r="R66" s="150" t="s">
        <v>116</v>
      </c>
      <c r="S66" s="150" t="s">
        <v>700</v>
      </c>
      <c r="T66" s="10"/>
      <c r="U66" s="10"/>
      <c r="V66" s="10"/>
      <c r="W66" s="10"/>
      <c r="X66" s="10"/>
      <c r="Y66" s="10"/>
      <c r="Z66" s="10"/>
      <c r="AA66" s="10"/>
      <c r="AB66" s="10"/>
      <c r="AC66" s="10"/>
      <c r="AD66" s="10"/>
      <c r="AE66" s="10"/>
      <c r="AF66" s="143"/>
      <c r="AG66" s="32"/>
      <c r="AH66" s="32"/>
      <c r="AI66" s="32"/>
      <c r="AJ66" s="32"/>
      <c r="AK66" s="32"/>
      <c r="AL66" s="32"/>
      <c r="AM66" s="32"/>
      <c r="AN66" s="32"/>
      <c r="AO66" s="32"/>
      <c r="AP66" s="32"/>
      <c r="AQ66" s="32"/>
      <c r="AR66" s="32"/>
      <c r="AS66" s="32"/>
      <c r="AT66" s="32"/>
      <c r="AU66" s="32"/>
      <c r="AV66" s="32"/>
      <c r="AW66" s="32"/>
      <c r="AX66" s="32"/>
      <c r="AY66" s="32"/>
      <c r="AZ66" s="32"/>
      <c r="BA66" s="32"/>
      <c r="BB66" s="32"/>
      <c r="BC66" s="32"/>
      <c r="BD66" s="32"/>
      <c r="BE66" s="32"/>
      <c r="BF66" s="32"/>
      <c r="BG66" s="32"/>
      <c r="BH66" s="32"/>
      <c r="BI66" s="32"/>
      <c r="BJ66" s="32"/>
      <c r="BK66" s="32"/>
      <c r="BL66" s="32"/>
      <c r="BM66" s="32"/>
    </row>
    <row r="67" spans="1:65" ht="15" customHeight="1" thickBot="1" x14ac:dyDescent="0.3">
      <c r="A67" s="957">
        <v>1</v>
      </c>
      <c r="B67" s="4"/>
      <c r="C67" s="5"/>
      <c r="D67" s="505" t="str">
        <f>CONCATENATE("Paid Parking Ratio &amp; Rate Adjustment Calculations - ",dpSales_ComponentNameB2," Component")</f>
        <v>Paid Parking Ratio &amp; Rate Adjustment Calculations -  Component</v>
      </c>
      <c r="E67" s="5"/>
      <c r="F67" s="5"/>
      <c r="G67" s="5"/>
      <c r="H67" s="5"/>
      <c r="I67" s="5"/>
      <c r="J67" s="5"/>
      <c r="K67" s="5"/>
      <c r="L67" s="5"/>
      <c r="M67" s="5"/>
      <c r="N67" s="5"/>
      <c r="O67" s="5"/>
      <c r="P67" s="6"/>
      <c r="Q67" s="11"/>
      <c r="R67" s="150" t="s">
        <v>509</v>
      </c>
      <c r="S67" s="150" t="s">
        <v>119</v>
      </c>
      <c r="T67" s="10"/>
      <c r="U67" s="10"/>
      <c r="V67" s="10"/>
      <c r="W67" s="10"/>
      <c r="X67" s="10"/>
      <c r="Y67" s="10"/>
      <c r="Z67" s="10"/>
      <c r="AA67" s="10"/>
      <c r="AB67" s="10"/>
      <c r="AC67" s="10"/>
      <c r="AD67" s="10"/>
      <c r="AE67" s="10"/>
      <c r="AF67" s="143"/>
      <c r="AG67" s="32"/>
      <c r="AH67" s="32"/>
      <c r="AI67" s="32"/>
      <c r="AJ67" s="32"/>
      <c r="AK67" s="32"/>
      <c r="AL67" s="32"/>
      <c r="AM67" s="32"/>
      <c r="AN67" s="32"/>
      <c r="AO67" s="32"/>
      <c r="AP67" s="32"/>
      <c r="AQ67" s="32"/>
      <c r="AR67" s="32"/>
      <c r="AS67" s="32"/>
      <c r="AT67" s="32"/>
      <c r="AU67" s="32"/>
      <c r="AV67" s="32"/>
      <c r="AW67" s="32"/>
      <c r="AX67" s="32"/>
      <c r="AY67" s="32"/>
      <c r="AZ67" s="32"/>
      <c r="BA67" s="32"/>
      <c r="BB67" s="32"/>
      <c r="BC67" s="32"/>
      <c r="BD67" s="32"/>
      <c r="BE67" s="32"/>
      <c r="BF67" s="32"/>
      <c r="BG67" s="32"/>
      <c r="BH67" s="32"/>
      <c r="BI67" s="32"/>
      <c r="BJ67" s="32"/>
      <c r="BK67" s="32"/>
      <c r="BL67" s="32"/>
      <c r="BM67" s="32"/>
    </row>
    <row r="68" spans="1:65" ht="15" customHeight="1" thickBot="1" x14ac:dyDescent="0.3">
      <c r="A68" s="957">
        <v>1</v>
      </c>
      <c r="B68" s="4"/>
      <c r="C68" s="11"/>
      <c r="D68" s="12"/>
      <c r="E68" s="150" t="s">
        <v>1314</v>
      </c>
      <c r="F68" s="441" t="s">
        <v>116</v>
      </c>
      <c r="G68" s="441"/>
      <c r="H68" s="441" t="s">
        <v>94</v>
      </c>
      <c r="I68" s="441" t="s">
        <v>116</v>
      </c>
      <c r="J68" s="441"/>
      <c r="K68" s="11"/>
      <c r="L68" s="11"/>
      <c r="M68" s="441"/>
      <c r="N68" s="11"/>
      <c r="O68" s="5"/>
      <c r="P68" s="6"/>
      <c r="Q68" s="11"/>
      <c r="R68" s="1268">
        <v>0.05</v>
      </c>
      <c r="S68" s="1262">
        <v>0.35</v>
      </c>
      <c r="T68" s="10"/>
      <c r="U68" s="10"/>
      <c r="V68" s="10"/>
      <c r="W68" s="10"/>
      <c r="X68" s="10"/>
      <c r="Y68" s="10"/>
      <c r="Z68" s="10"/>
      <c r="AA68" s="10"/>
      <c r="AB68" s="10"/>
      <c r="AC68" s="10"/>
      <c r="AD68" s="10"/>
      <c r="AE68" s="10"/>
      <c r="AF68" s="143"/>
      <c r="AG68" s="32"/>
      <c r="AH68" s="32"/>
      <c r="AI68" s="32"/>
      <c r="AJ68" s="32"/>
      <c r="AK68" s="32"/>
      <c r="AL68" s="32"/>
      <c r="AM68" s="32"/>
      <c r="AN68" s="32"/>
      <c r="AO68" s="32"/>
      <c r="AP68" s="32"/>
      <c r="AQ68" s="32"/>
      <c r="AR68" s="32"/>
      <c r="AS68" s="32"/>
      <c r="AT68" s="32"/>
      <c r="AU68" s="32"/>
      <c r="AV68" s="32"/>
      <c r="AW68" s="32"/>
      <c r="AX68" s="32"/>
      <c r="AY68" s="32"/>
      <c r="AZ68" s="32"/>
      <c r="BA68" s="32"/>
      <c r="BB68" s="32"/>
      <c r="BC68" s="32"/>
      <c r="BD68" s="32"/>
      <c r="BE68" s="32"/>
      <c r="BF68" s="32"/>
      <c r="BG68" s="32"/>
      <c r="BH68" s="32"/>
      <c r="BI68" s="32"/>
      <c r="BJ68" s="32"/>
      <c r="BK68" s="32"/>
      <c r="BL68" s="32"/>
      <c r="BM68" s="32"/>
    </row>
    <row r="69" spans="1:65" ht="15" customHeight="1" thickBot="1" x14ac:dyDescent="0.3">
      <c r="A69" s="957">
        <v>1</v>
      </c>
      <c r="B69" s="4"/>
      <c r="C69" s="11"/>
      <c r="D69" s="12"/>
      <c r="E69" s="150" t="s">
        <v>1315</v>
      </c>
      <c r="F69" s="150" t="s">
        <v>1315</v>
      </c>
      <c r="G69" s="441"/>
      <c r="H69" s="441" t="s">
        <v>529</v>
      </c>
      <c r="I69" s="441" t="s">
        <v>529</v>
      </c>
      <c r="J69" s="441"/>
      <c r="K69" s="441" t="s">
        <v>44</v>
      </c>
      <c r="L69" s="11"/>
      <c r="M69" s="441" t="s">
        <v>560</v>
      </c>
      <c r="N69" s="11"/>
      <c r="O69" s="5"/>
      <c r="P69" s="6"/>
      <c r="Q69" s="11"/>
      <c r="R69" s="150" t="s">
        <v>551</v>
      </c>
      <c r="S69" s="150" t="s">
        <v>550</v>
      </c>
      <c r="T69" s="10"/>
      <c r="U69" s="10"/>
      <c r="V69" s="10"/>
      <c r="W69" s="10"/>
      <c r="X69" s="10"/>
      <c r="Y69" s="10"/>
      <c r="Z69" s="10"/>
      <c r="AA69" s="10"/>
      <c r="AB69" s="10"/>
      <c r="AC69" s="10"/>
      <c r="AD69" s="10"/>
      <c r="AE69" s="10"/>
      <c r="AF69" s="143"/>
      <c r="AG69" s="32"/>
      <c r="AH69" s="32"/>
      <c r="AI69" s="32"/>
      <c r="AJ69" s="32"/>
      <c r="AK69" s="32"/>
      <c r="AL69" s="32"/>
      <c r="AM69" s="32"/>
      <c r="AN69" s="32"/>
      <c r="AO69" s="32"/>
      <c r="AP69" s="32"/>
      <c r="AQ69" s="32"/>
      <c r="AR69" s="32"/>
      <c r="AS69" s="32"/>
      <c r="AT69" s="32"/>
      <c r="AU69" s="32"/>
      <c r="AV69" s="32"/>
      <c r="AW69" s="32"/>
      <c r="AX69" s="32"/>
      <c r="AY69" s="32"/>
      <c r="AZ69" s="32"/>
      <c r="BA69" s="32"/>
      <c r="BB69" s="32"/>
      <c r="BC69" s="32"/>
      <c r="BD69" s="32"/>
      <c r="BE69" s="32"/>
      <c r="BF69" s="32"/>
      <c r="BG69" s="32"/>
      <c r="BH69" s="32"/>
      <c r="BI69" s="32"/>
      <c r="BJ69" s="32"/>
      <c r="BK69" s="32"/>
      <c r="BL69" s="32"/>
      <c r="BM69" s="32"/>
    </row>
    <row r="70" spans="1:65" ht="15" customHeight="1" thickBot="1" x14ac:dyDescent="0.3">
      <c r="A70" s="957">
        <v>1</v>
      </c>
      <c r="B70" s="4"/>
      <c r="C70" s="11"/>
      <c r="D70" s="150" t="s">
        <v>702</v>
      </c>
      <c r="E70" s="150" t="s">
        <v>1316</v>
      </c>
      <c r="F70" s="150" t="s">
        <v>1316</v>
      </c>
      <c r="G70" s="150" t="s">
        <v>1317</v>
      </c>
      <c r="H70" s="150" t="s">
        <v>1318</v>
      </c>
      <c r="I70" s="150" t="s">
        <v>1318</v>
      </c>
      <c r="J70" s="150"/>
      <c r="K70" s="150" t="s">
        <v>1319</v>
      </c>
      <c r="L70" s="11"/>
      <c r="M70" s="150" t="s">
        <v>174</v>
      </c>
      <c r="N70" s="11"/>
      <c r="O70" s="5"/>
      <c r="P70" s="6"/>
      <c r="Q70" s="11"/>
      <c r="R70" s="150" t="s">
        <v>509</v>
      </c>
      <c r="S70" s="1267">
        <v>7.0000000000000007E-2</v>
      </c>
      <c r="T70" s="10"/>
      <c r="U70" s="10"/>
      <c r="V70" s="10"/>
      <c r="W70" s="10"/>
      <c r="X70" s="10"/>
      <c r="Y70" s="10"/>
      <c r="Z70" s="10"/>
      <c r="AA70" s="10"/>
      <c r="AB70" s="10"/>
      <c r="AC70" s="10"/>
      <c r="AD70" s="10"/>
      <c r="AE70" s="10"/>
      <c r="AF70" s="143"/>
      <c r="AG70" s="32"/>
      <c r="AH70" s="32"/>
      <c r="AI70" s="32"/>
      <c r="AJ70" s="32"/>
      <c r="AK70" s="32"/>
      <c r="AL70" s="32"/>
      <c r="AM70" s="32"/>
      <c r="AN70" s="32"/>
      <c r="AO70" s="32"/>
      <c r="AP70" s="32"/>
      <c r="AQ70" s="32"/>
      <c r="AR70" s="32"/>
      <c r="AS70" s="32"/>
      <c r="AT70" s="32"/>
      <c r="AU70" s="32"/>
      <c r="AV70" s="32"/>
      <c r="AW70" s="32"/>
      <c r="AX70" s="32"/>
      <c r="AY70" s="32"/>
      <c r="AZ70" s="32"/>
      <c r="BA70" s="32"/>
      <c r="BB70" s="32"/>
      <c r="BC70" s="32"/>
      <c r="BD70" s="32"/>
      <c r="BE70" s="32"/>
      <c r="BF70" s="32"/>
      <c r="BG70" s="32"/>
      <c r="BH70" s="32"/>
      <c r="BI70" s="32"/>
      <c r="BJ70" s="32"/>
      <c r="BK70" s="32"/>
      <c r="BL70" s="32"/>
      <c r="BM70" s="32"/>
    </row>
    <row r="71" spans="1:65" ht="15" customHeight="1" x14ac:dyDescent="0.25">
      <c r="A71" s="957">
        <f>IF(E71="",0,1)</f>
        <v>1</v>
      </c>
      <c r="B71" s="4"/>
      <c r="C71" s="101"/>
      <c r="D71" s="137">
        <v>1</v>
      </c>
      <c r="E71" s="1701">
        <f>IF(ISERROR(HLOOKUP($D71,'Improved Sales Adjustments 2'!$G$7:$WU$147,109,FALSE)),"",HLOOKUP($D71,'Improved Sales Adjustments 2'!$G$7:$WU$147,109,FALSE))</f>
        <v>0</v>
      </c>
      <c r="F71" s="1701">
        <f t="shared" ref="F71:F85" si="16">Sales_AdjGrid_ParkingRatio_2</f>
        <v>2.95</v>
      </c>
      <c r="G71" s="1702">
        <f t="shared" ref="G71:G85" si="17">IF(ISERR(F71-E71),"",F71-E71)</f>
        <v>2.95</v>
      </c>
      <c r="H71" s="1265"/>
      <c r="I71" s="1265"/>
      <c r="J71" s="137"/>
      <c r="K71" s="2160" t="e">
        <f>(((dpSubject_Sales_NRA_2/1000)*12*F71*I71)*(1-dpSales_ParkingRatio_SubjectVacancy_2)*(1-dpSales_ParkingRatio_ExpenseRatio_2)/dpSubject_Sales_NRA_2-(('Improved Sales Summary Light'!$AZ$18/1000)*12*E71*H71)*(1-R71)*(1-dpSales_ParkingRatio_ExpenseRatio_2)/'Improved Sales Summary Light'!$AZ$18)/dpSales_ParkingRatio_OAR_2</f>
        <v>#DIV/0!</v>
      </c>
      <c r="L71" s="137"/>
      <c r="M71" s="2129" t="str">
        <f>IF(ISERROR(K71/HLOOKUP($D71,'Improved Sales Adjustments 2'!$G$7:$WU$147,48,FALSE)),"",K71/HLOOKUP($D71,'Improved Sales Adjustments 2'!$G$7:$WU$147,48,FALSE))</f>
        <v/>
      </c>
      <c r="N71" s="101"/>
      <c r="O71" s="5"/>
      <c r="P71" s="6"/>
      <c r="Q71" s="11"/>
      <c r="R71" s="1266">
        <v>0.05</v>
      </c>
      <c r="S71" s="10"/>
      <c r="T71" s="10"/>
      <c r="U71" s="10"/>
      <c r="V71" s="10"/>
      <c r="W71" s="10"/>
      <c r="X71" s="10"/>
      <c r="Y71" s="10"/>
      <c r="Z71" s="10"/>
      <c r="AA71" s="10"/>
      <c r="AB71" s="10"/>
      <c r="AC71" s="10"/>
      <c r="AD71" s="10"/>
      <c r="AE71" s="10"/>
      <c r="AF71" s="143"/>
      <c r="AG71" s="32"/>
      <c r="AH71" s="32"/>
      <c r="AI71" s="32"/>
      <c r="AJ71" s="32"/>
      <c r="AK71" s="32"/>
      <c r="AL71" s="32"/>
      <c r="AM71" s="32"/>
      <c r="AN71" s="32"/>
      <c r="AO71" s="32"/>
      <c r="AP71" s="32"/>
      <c r="AQ71" s="32"/>
      <c r="AR71" s="32"/>
      <c r="AS71" s="32"/>
      <c r="AT71" s="32"/>
      <c r="AU71" s="32"/>
      <c r="AV71" s="32"/>
      <c r="AW71" s="32"/>
      <c r="AX71" s="32"/>
      <c r="AY71" s="32"/>
      <c r="AZ71" s="32"/>
      <c r="BA71" s="32"/>
      <c r="BB71" s="32"/>
      <c r="BC71" s="32"/>
      <c r="BD71" s="32"/>
      <c r="BE71" s="32"/>
      <c r="BF71" s="32"/>
      <c r="BG71" s="32"/>
      <c r="BH71" s="32"/>
      <c r="BI71" s="32"/>
      <c r="BJ71" s="32"/>
      <c r="BK71" s="32"/>
      <c r="BL71" s="32"/>
      <c r="BM71" s="32"/>
    </row>
    <row r="72" spans="1:65" ht="15" customHeight="1" x14ac:dyDescent="0.25">
      <c r="A72" s="957">
        <f t="shared" ref="A72:A85" si="18">IF(E72="",0,1)</f>
        <v>1</v>
      </c>
      <c r="B72" s="4"/>
      <c r="C72" s="101"/>
      <c r="D72" s="137">
        <f>D71+1</f>
        <v>2</v>
      </c>
      <c r="E72" s="1701">
        <f>IF(ISERROR(HLOOKUP($D72,'Improved Sales Adjustments 2'!$G$7:$WU$147,109,FALSE)),"",HLOOKUP($D72,'Improved Sales Adjustments 2'!$G$7:$WU$147,109,FALSE))</f>
        <v>0</v>
      </c>
      <c r="F72" s="1701">
        <f t="shared" si="16"/>
        <v>2.95</v>
      </c>
      <c r="G72" s="1702">
        <f t="shared" si="17"/>
        <v>2.95</v>
      </c>
      <c r="H72" s="1265"/>
      <c r="I72" s="2160">
        <f t="shared" ref="I72:I85" si="19">dpSales_ParkingRatio_SubjectRate_2</f>
        <v>0</v>
      </c>
      <c r="J72" s="137"/>
      <c r="K72" s="2160" t="e">
        <f>(((dpSubject_Sales_NRA_2/1000)*12*F72*I72)*(1-dpSales_ParkingRatio_SubjectVacancy_2)*(1-dpSales_ParkingRatio_ExpenseRatio_2)/dpSubject_Sales_NRA_2-(('Improved Sales Summary Light'!$AZ$19/1000)*12*E72*H72)*(1-R72)*(1-dpSales_ParkingRatio_ExpenseRatio_2)/'Improved Sales Summary Light'!$AZ$19)/dpSales_ParkingRatio_OAR_2</f>
        <v>#DIV/0!</v>
      </c>
      <c r="L72" s="137"/>
      <c r="M72" s="2129" t="str">
        <f>IF(ISERROR(K72/HLOOKUP($D72,'Improved Sales Adjustments 2'!$G$7:$WU$147,48,FALSE)),"",K72/HLOOKUP($D72,'Improved Sales Adjustments 2'!$G$7:$WU$147,48,FALSE))</f>
        <v/>
      </c>
      <c r="N72" s="101"/>
      <c r="O72" s="5"/>
      <c r="P72" s="6"/>
      <c r="Q72" s="11"/>
      <c r="R72" s="1263">
        <v>0.05</v>
      </c>
      <c r="S72" s="10"/>
      <c r="T72" s="10"/>
      <c r="U72" s="10"/>
      <c r="V72" s="10"/>
      <c r="W72" s="10"/>
      <c r="X72" s="10"/>
      <c r="Y72" s="10"/>
      <c r="Z72" s="10"/>
      <c r="AA72" s="10"/>
      <c r="AB72" s="10"/>
      <c r="AC72" s="10"/>
      <c r="AD72" s="10"/>
      <c r="AE72" s="10"/>
      <c r="AF72" s="143"/>
      <c r="AG72" s="32"/>
      <c r="AH72" s="32"/>
      <c r="AI72" s="32"/>
      <c r="AJ72" s="32"/>
      <c r="AK72" s="32"/>
      <c r="AL72" s="32"/>
      <c r="AM72" s="32"/>
      <c r="AN72" s="32"/>
      <c r="AO72" s="32"/>
      <c r="AP72" s="32"/>
      <c r="AQ72" s="32"/>
      <c r="AR72" s="32"/>
      <c r="AS72" s="32"/>
      <c r="AT72" s="32"/>
      <c r="AU72" s="32"/>
      <c r="AV72" s="32"/>
      <c r="AW72" s="32"/>
      <c r="AX72" s="32"/>
      <c r="AY72" s="32"/>
      <c r="AZ72" s="32"/>
      <c r="BA72" s="32"/>
      <c r="BB72" s="32"/>
      <c r="BC72" s="32"/>
      <c r="BD72" s="32"/>
      <c r="BE72" s="32"/>
      <c r="BF72" s="32"/>
      <c r="BG72" s="32"/>
      <c r="BH72" s="32"/>
      <c r="BI72" s="32"/>
      <c r="BJ72" s="32"/>
      <c r="BK72" s="32"/>
      <c r="BL72" s="32"/>
      <c r="BM72" s="32"/>
    </row>
    <row r="73" spans="1:65" ht="15" customHeight="1" x14ac:dyDescent="0.25">
      <c r="A73" s="957">
        <f t="shared" si="18"/>
        <v>1</v>
      </c>
      <c r="B73" s="4"/>
      <c r="C73" s="101"/>
      <c r="D73" s="137">
        <f t="shared" ref="D73:D81" si="20">D72+1</f>
        <v>3</v>
      </c>
      <c r="E73" s="1701">
        <f>IF(ISERROR(HLOOKUP($D73,'Improved Sales Adjustments 2'!$G$7:$WU$147,109,FALSE)),"",HLOOKUP($D73,'Improved Sales Adjustments 2'!$G$7:$WU$147,109,FALSE))</f>
        <v>0</v>
      </c>
      <c r="F73" s="1701">
        <f t="shared" si="16"/>
        <v>2.95</v>
      </c>
      <c r="G73" s="1702">
        <f t="shared" si="17"/>
        <v>2.95</v>
      </c>
      <c r="H73" s="1265"/>
      <c r="I73" s="2160">
        <f t="shared" si="19"/>
        <v>0</v>
      </c>
      <c r="J73" s="137"/>
      <c r="K73" s="2160" t="e">
        <f>(((dpSubject_Sales_NRA_2/1000)*12*F73*I73)*(1-dpSales_ParkingRatio_SubjectVacancy_2)*(1-dpSales_ParkingRatio_ExpenseRatio_2)/dpSubject_Sales_NRA_2-(('Improved Sales Summary Light'!$AZ$20/1000)*12*E73*H73)*(1-R73)*(1-dpSales_ParkingRatio_ExpenseRatio_2)/'Improved Sales Summary Light'!$AZ$20)/dpSales_ParkingRatio_OAR_2</f>
        <v>#DIV/0!</v>
      </c>
      <c r="L73" s="137"/>
      <c r="M73" s="2129" t="str">
        <f>IF(ISERROR(K73/HLOOKUP($D73,'Improved Sales Adjustments 2'!$G$7:$WU$147,48,FALSE)),"",K73/HLOOKUP($D73,'Improved Sales Adjustments 2'!$G$7:$WU$147,48,FALSE))</f>
        <v/>
      </c>
      <c r="N73" s="101"/>
      <c r="O73" s="5"/>
      <c r="P73" s="6"/>
      <c r="Q73" s="11"/>
      <c r="R73" s="1263">
        <v>0.05</v>
      </c>
      <c r="S73" s="10"/>
      <c r="T73" s="10"/>
      <c r="U73" s="10"/>
      <c r="V73" s="10"/>
      <c r="W73" s="10"/>
      <c r="X73" s="10"/>
      <c r="Y73" s="10"/>
      <c r="Z73" s="10"/>
      <c r="AA73" s="10"/>
      <c r="AB73" s="10"/>
      <c r="AC73" s="10"/>
      <c r="AD73" s="10"/>
      <c r="AE73" s="10"/>
      <c r="AF73" s="143"/>
      <c r="AG73" s="32"/>
      <c r="AH73" s="32"/>
      <c r="AI73" s="32"/>
      <c r="AJ73" s="32"/>
      <c r="AK73" s="32"/>
      <c r="AL73" s="32"/>
      <c r="AM73" s="32"/>
      <c r="AN73" s="32"/>
      <c r="AO73" s="32"/>
      <c r="AP73" s="32"/>
      <c r="AQ73" s="32"/>
      <c r="AR73" s="32"/>
      <c r="AS73" s="32"/>
      <c r="AT73" s="32"/>
      <c r="AU73" s="32"/>
      <c r="AV73" s="32"/>
      <c r="AW73" s="32"/>
      <c r="AX73" s="32"/>
      <c r="AY73" s="32"/>
      <c r="AZ73" s="32"/>
      <c r="BA73" s="32"/>
      <c r="BB73" s="32"/>
      <c r="BC73" s="32"/>
      <c r="BD73" s="32"/>
      <c r="BE73" s="32"/>
      <c r="BF73" s="32"/>
      <c r="BG73" s="32"/>
      <c r="BH73" s="32"/>
      <c r="BI73" s="32"/>
      <c r="BJ73" s="32"/>
      <c r="BK73" s="32"/>
      <c r="BL73" s="32"/>
      <c r="BM73" s="32"/>
    </row>
    <row r="74" spans="1:65" ht="15" customHeight="1" x14ac:dyDescent="0.25">
      <c r="A74" s="957">
        <f t="shared" si="18"/>
        <v>1</v>
      </c>
      <c r="B74" s="4"/>
      <c r="C74" s="101"/>
      <c r="D74" s="137">
        <f t="shared" si="20"/>
        <v>4</v>
      </c>
      <c r="E74" s="1701">
        <f>IF(ISERROR(HLOOKUP($D74,'Improved Sales Adjustments 2'!$G$7:$WU$147,109,FALSE)),"",HLOOKUP($D74,'Improved Sales Adjustments 2'!$G$7:$WU$147,109,FALSE))</f>
        <v>0</v>
      </c>
      <c r="F74" s="1701">
        <f t="shared" si="16"/>
        <v>2.95</v>
      </c>
      <c r="G74" s="1702">
        <f t="shared" si="17"/>
        <v>2.95</v>
      </c>
      <c r="H74" s="1265"/>
      <c r="I74" s="2160">
        <f t="shared" si="19"/>
        <v>0</v>
      </c>
      <c r="J74" s="137"/>
      <c r="K74" s="2160" t="e">
        <f>(((dpSubject_Sales_NRA_2/1000)*12*F74*I74)*(1-dpSales_ParkingRatio_SubjectVacancy_2)*(1-dpSales_ParkingRatio_ExpenseRatio_2)/dpSubject_Sales_NRA_2-(('Improved Sales Summary Light'!$AZ$21/1000)*12*E74*H74)*(1-R74)*(1-dpSales_ParkingRatio_ExpenseRatio_2)/'Improved Sales Summary Light'!$AZ$21)/dpSales_ParkingRatio_OAR_2</f>
        <v>#DIV/0!</v>
      </c>
      <c r="L74" s="137"/>
      <c r="M74" s="2129" t="str">
        <f>IF(ISERROR(K74/HLOOKUP($D74,'Improved Sales Adjustments 2'!$G$7:$WU$147,48,FALSE)),"",K74/HLOOKUP($D74,'Improved Sales Adjustments 2'!$G$7:$WU$147,48,FALSE))</f>
        <v/>
      </c>
      <c r="N74" s="101"/>
      <c r="O74" s="5"/>
      <c r="P74" s="6"/>
      <c r="Q74" s="11"/>
      <c r="R74" s="1263">
        <v>0.05</v>
      </c>
      <c r="S74" s="10"/>
      <c r="T74" s="10"/>
      <c r="U74" s="10"/>
      <c r="V74" s="10"/>
      <c r="W74" s="10"/>
      <c r="X74" s="10"/>
      <c r="Y74" s="10"/>
      <c r="Z74" s="10"/>
      <c r="AA74" s="10"/>
      <c r="AB74" s="10"/>
      <c r="AC74" s="10"/>
      <c r="AD74" s="10"/>
      <c r="AE74" s="10"/>
      <c r="AF74" s="143"/>
      <c r="AG74" s="32"/>
      <c r="AH74" s="32"/>
      <c r="AI74" s="32"/>
      <c r="AJ74" s="32"/>
      <c r="AK74" s="32"/>
      <c r="AL74" s="32"/>
      <c r="AM74" s="32"/>
      <c r="AN74" s="32"/>
      <c r="AO74" s="32"/>
      <c r="AP74" s="32"/>
      <c r="AQ74" s="32"/>
      <c r="AR74" s="32"/>
      <c r="AS74" s="32"/>
      <c r="AT74" s="32"/>
      <c r="AU74" s="32"/>
      <c r="AV74" s="32"/>
      <c r="AW74" s="32"/>
      <c r="AX74" s="32"/>
      <c r="AY74" s="32"/>
      <c r="AZ74" s="32"/>
      <c r="BA74" s="32"/>
      <c r="BB74" s="32"/>
      <c r="BC74" s="32"/>
      <c r="BD74" s="32"/>
      <c r="BE74" s="32"/>
      <c r="BF74" s="32"/>
      <c r="BG74" s="32"/>
      <c r="BH74" s="32"/>
      <c r="BI74" s="32"/>
      <c r="BJ74" s="32"/>
      <c r="BK74" s="32"/>
      <c r="BL74" s="32"/>
      <c r="BM74" s="32"/>
    </row>
    <row r="75" spans="1:65" ht="15" customHeight="1" x14ac:dyDescent="0.25">
      <c r="A75" s="957">
        <f t="shared" si="18"/>
        <v>1</v>
      </c>
      <c r="B75" s="4"/>
      <c r="C75" s="101"/>
      <c r="D75" s="137">
        <f t="shared" si="20"/>
        <v>5</v>
      </c>
      <c r="E75" s="1701">
        <f>IF(ISERROR(HLOOKUP($D75,'Improved Sales Adjustments 2'!$G$7:$WU$147,109,FALSE)),"",HLOOKUP($D75,'Improved Sales Adjustments 2'!$G$7:$WU$147,109,FALSE))</f>
        <v>0</v>
      </c>
      <c r="F75" s="1701">
        <f t="shared" si="16"/>
        <v>2.95</v>
      </c>
      <c r="G75" s="1702">
        <f t="shared" si="17"/>
        <v>2.95</v>
      </c>
      <c r="H75" s="1265"/>
      <c r="I75" s="2160">
        <f t="shared" si="19"/>
        <v>0</v>
      </c>
      <c r="J75" s="137"/>
      <c r="K75" s="2160" t="e">
        <f>(((dpSubject_Sales_NRA_2/1000)*12*F75*I75)*(1-dpSales_ParkingRatio_SubjectVacancy_2)*(1-dpSales_ParkingRatio_ExpenseRatio_2)/dpSubject_Sales_NRA_2-(('Improved Sales Summary Light'!$AZ$22/1000)*12*E75*H75)*(1-R75)*(1-dpSales_ParkingRatio_ExpenseRatio_2)/'Improved Sales Summary Light'!$AZ$22)/dpSales_ParkingRatio_OAR_2</f>
        <v>#DIV/0!</v>
      </c>
      <c r="L75" s="137"/>
      <c r="M75" s="2129" t="str">
        <f>IF(ISERROR(K75/HLOOKUP($D75,'Improved Sales Adjustments 2'!$G$7:$WU$147,48,FALSE)),"",K75/HLOOKUP($D75,'Improved Sales Adjustments 2'!$G$7:$WU$147,48,FALSE))</f>
        <v/>
      </c>
      <c r="N75" s="101"/>
      <c r="O75" s="5"/>
      <c r="P75" s="6"/>
      <c r="Q75" s="11"/>
      <c r="R75" s="1263">
        <v>0.05</v>
      </c>
      <c r="S75" s="10"/>
      <c r="T75" s="10"/>
      <c r="U75" s="10"/>
      <c r="V75" s="10"/>
      <c r="W75" s="10"/>
      <c r="X75" s="10"/>
      <c r="Y75" s="10"/>
      <c r="Z75" s="10"/>
      <c r="AA75" s="10"/>
      <c r="AB75" s="10"/>
      <c r="AC75" s="10"/>
      <c r="AD75" s="10"/>
      <c r="AE75" s="10"/>
      <c r="AF75" s="143"/>
      <c r="AG75" s="32"/>
      <c r="AH75" s="32"/>
      <c r="AI75" s="32"/>
      <c r="AJ75" s="32"/>
      <c r="AK75" s="32"/>
      <c r="AL75" s="32"/>
      <c r="AM75" s="32"/>
      <c r="AN75" s="32"/>
      <c r="AO75" s="32"/>
      <c r="AP75" s="32"/>
      <c r="AQ75" s="32"/>
      <c r="AR75" s="32"/>
      <c r="AS75" s="32"/>
      <c r="AT75" s="32"/>
      <c r="AU75" s="32"/>
      <c r="AV75" s="32"/>
      <c r="AW75" s="32"/>
      <c r="AX75" s="32"/>
      <c r="AY75" s="32"/>
      <c r="AZ75" s="32"/>
      <c r="BA75" s="32"/>
      <c r="BB75" s="32"/>
      <c r="BC75" s="32"/>
      <c r="BD75" s="32"/>
      <c r="BE75" s="32"/>
      <c r="BF75" s="32"/>
      <c r="BG75" s="32"/>
      <c r="BH75" s="32"/>
      <c r="BI75" s="32"/>
      <c r="BJ75" s="32"/>
      <c r="BK75" s="32"/>
      <c r="BL75" s="32"/>
      <c r="BM75" s="32"/>
    </row>
    <row r="76" spans="1:65" ht="15" customHeight="1" x14ac:dyDescent="0.25">
      <c r="A76" s="957">
        <f t="shared" si="18"/>
        <v>1</v>
      </c>
      <c r="B76" s="4"/>
      <c r="C76" s="101"/>
      <c r="D76" s="137">
        <f t="shared" si="20"/>
        <v>6</v>
      </c>
      <c r="E76" s="1701">
        <f>IF(ISERROR(HLOOKUP($D76,'Improved Sales Adjustments 2'!$G$7:$WU$147,109,FALSE)),"",HLOOKUP($D76,'Improved Sales Adjustments 2'!$G$7:$WU$147,109,FALSE))</f>
        <v>0</v>
      </c>
      <c r="F76" s="1701">
        <f t="shared" si="16"/>
        <v>2.95</v>
      </c>
      <c r="G76" s="1702">
        <f t="shared" si="17"/>
        <v>2.95</v>
      </c>
      <c r="H76" s="1265"/>
      <c r="I76" s="2160">
        <f t="shared" si="19"/>
        <v>0</v>
      </c>
      <c r="J76" s="137"/>
      <c r="K76" s="2160" t="e">
        <f>(((dpSubject_Sales_NRA_2/1000)*12*F76*I76)*(1-dpSales_ParkingRatio_SubjectVacancy_2)*(1-dpSales_ParkingRatio_ExpenseRatio_2)/dpSubject_Sales_NRA_2-(('Improved Sales Summary Light'!$AZ$23/1000)*12*E76*H76)*(1-R76)*(1-dpSales_ParkingRatio_ExpenseRatio_2)/'Improved Sales Summary Light'!$AZ$23)/dpSales_ParkingRatio_OAR_2</f>
        <v>#DIV/0!</v>
      </c>
      <c r="L76" s="137"/>
      <c r="M76" s="2129" t="str">
        <f>IF(ISERROR(K76/HLOOKUP($D76,'Improved Sales Adjustments 2'!$G$7:$WU$147,48,FALSE)),"",K76/HLOOKUP($D76,'Improved Sales Adjustments 2'!$G$7:$WU$147,48,FALSE))</f>
        <v/>
      </c>
      <c r="N76" s="101"/>
      <c r="O76" s="5"/>
      <c r="P76" s="6"/>
      <c r="Q76" s="11"/>
      <c r="R76" s="1263">
        <v>0.05</v>
      </c>
      <c r="S76" s="10"/>
      <c r="T76" s="10"/>
      <c r="U76" s="10"/>
      <c r="V76" s="10"/>
      <c r="W76" s="10"/>
      <c r="X76" s="10"/>
      <c r="Y76" s="10"/>
      <c r="Z76" s="10"/>
      <c r="AA76" s="10"/>
      <c r="AB76" s="10"/>
      <c r="AC76" s="10"/>
      <c r="AD76" s="10"/>
      <c r="AE76" s="10"/>
      <c r="AF76" s="143"/>
      <c r="AG76" s="32"/>
      <c r="AH76" s="32"/>
      <c r="AI76" s="32"/>
      <c r="AJ76" s="32"/>
      <c r="AK76" s="32"/>
      <c r="AL76" s="32"/>
      <c r="AM76" s="32"/>
      <c r="AN76" s="32"/>
      <c r="AO76" s="32"/>
      <c r="AP76" s="32"/>
      <c r="AQ76" s="32"/>
      <c r="AR76" s="32"/>
      <c r="AS76" s="32"/>
      <c r="AT76" s="32"/>
      <c r="AU76" s="32"/>
      <c r="AV76" s="32"/>
      <c r="AW76" s="32"/>
      <c r="AX76" s="32"/>
      <c r="AY76" s="32"/>
      <c r="AZ76" s="32"/>
      <c r="BA76" s="32"/>
      <c r="BB76" s="32"/>
      <c r="BC76" s="32"/>
      <c r="BD76" s="32"/>
      <c r="BE76" s="32"/>
      <c r="BF76" s="32"/>
      <c r="BG76" s="32"/>
      <c r="BH76" s="32"/>
      <c r="BI76" s="32"/>
      <c r="BJ76" s="32"/>
      <c r="BK76" s="32"/>
      <c r="BL76" s="32"/>
      <c r="BM76" s="32"/>
    </row>
    <row r="77" spans="1:65" ht="15" customHeight="1" x14ac:dyDescent="0.25">
      <c r="A77" s="957">
        <f t="shared" si="18"/>
        <v>0</v>
      </c>
      <c r="B77" s="4"/>
      <c r="C77" s="101"/>
      <c r="D77" s="137">
        <f t="shared" si="20"/>
        <v>7</v>
      </c>
      <c r="E77" s="1701" t="str">
        <f>IF(ISERROR(HLOOKUP($D77,'Improved Sales Adjustments 2'!$G$7:$WU$147,109,FALSE)),"",HLOOKUP($D77,'Improved Sales Adjustments 2'!$G$7:$WU$147,109,FALSE))</f>
        <v/>
      </c>
      <c r="F77" s="1701">
        <f t="shared" si="16"/>
        <v>2.95</v>
      </c>
      <c r="G77" s="1702" t="str">
        <f t="shared" si="17"/>
        <v/>
      </c>
      <c r="H77" s="1265"/>
      <c r="I77" s="2160">
        <f t="shared" si="19"/>
        <v>0</v>
      </c>
      <c r="J77" s="137"/>
      <c r="K77" s="2160" t="e">
        <f>(((dpSubject_Sales_NRA_2/1000)*12*F77*I77)*(1-dpSales_ParkingRatio_SubjectVacancy_2)*(1-dpSales_ParkingRatio_ExpenseRatio_2)/dpSubject_Sales_NRA_2-(('Improved Sales Summary Light'!$AZ$24/1000)*12*E77*H77)*(1-R77)*(1-dpSales_ParkingRatio_ExpenseRatio_2)/'Improved Sales Summary Light'!$AZ$24)/dpSales_ParkingRatio_OAR_2</f>
        <v>#VALUE!</v>
      </c>
      <c r="L77" s="137"/>
      <c r="M77" s="2129" t="str">
        <f>IF(ISERROR(K77/HLOOKUP($D77,'Improved Sales Adjustments 2'!$G$7:$WU$147,48,FALSE)),"",K77/HLOOKUP($D77,'Improved Sales Adjustments 2'!$G$7:$WU$147,48,FALSE))</f>
        <v/>
      </c>
      <c r="N77" s="101"/>
      <c r="O77" s="5"/>
      <c r="P77" s="6"/>
      <c r="Q77" s="11"/>
      <c r="R77" s="1263">
        <v>0.05</v>
      </c>
      <c r="S77" s="10"/>
      <c r="T77" s="10"/>
      <c r="U77" s="10"/>
      <c r="V77" s="10"/>
      <c r="W77" s="10"/>
      <c r="X77" s="10"/>
      <c r="Y77" s="10"/>
      <c r="Z77" s="10"/>
      <c r="AA77" s="10"/>
      <c r="AB77" s="10"/>
      <c r="AC77" s="10"/>
      <c r="AD77" s="10"/>
      <c r="AE77" s="10"/>
      <c r="AF77" s="143"/>
      <c r="AG77" s="32"/>
      <c r="AH77" s="32"/>
      <c r="AI77" s="32"/>
      <c r="AJ77" s="32"/>
      <c r="AK77" s="32"/>
      <c r="AL77" s="32"/>
      <c r="AM77" s="32"/>
      <c r="AN77" s="32"/>
      <c r="AO77" s="32"/>
      <c r="AP77" s="32"/>
      <c r="AQ77" s="32"/>
      <c r="AR77" s="32"/>
      <c r="AS77" s="32"/>
      <c r="AT77" s="32"/>
      <c r="AU77" s="32"/>
      <c r="AV77" s="32"/>
      <c r="AW77" s="32"/>
      <c r="AX77" s="32"/>
      <c r="AY77" s="32"/>
      <c r="AZ77" s="32"/>
      <c r="BA77" s="32"/>
      <c r="BB77" s="32"/>
      <c r="BC77" s="32"/>
      <c r="BD77" s="32"/>
      <c r="BE77" s="32"/>
      <c r="BF77" s="32"/>
      <c r="BG77" s="32"/>
      <c r="BH77" s="32"/>
      <c r="BI77" s="32"/>
      <c r="BJ77" s="32"/>
      <c r="BK77" s="32"/>
      <c r="BL77" s="32"/>
      <c r="BM77" s="32"/>
    </row>
    <row r="78" spans="1:65" ht="15" customHeight="1" x14ac:dyDescent="0.25">
      <c r="A78" s="957">
        <f t="shared" si="18"/>
        <v>0</v>
      </c>
      <c r="B78" s="4"/>
      <c r="C78" s="101"/>
      <c r="D78" s="137">
        <f t="shared" si="20"/>
        <v>8</v>
      </c>
      <c r="E78" s="1701" t="str">
        <f>IF(ISERROR(HLOOKUP($D78,'Improved Sales Adjustments 2'!$G$7:$WU$147,109,FALSE)),"",HLOOKUP($D78,'Improved Sales Adjustments 2'!$G$7:$WU$147,109,FALSE))</f>
        <v/>
      </c>
      <c r="F78" s="1701">
        <f t="shared" si="16"/>
        <v>2.95</v>
      </c>
      <c r="G78" s="1702" t="str">
        <f t="shared" si="17"/>
        <v/>
      </c>
      <c r="H78" s="1265"/>
      <c r="I78" s="2160">
        <f t="shared" si="19"/>
        <v>0</v>
      </c>
      <c r="J78" s="137"/>
      <c r="K78" s="2160" t="e">
        <f>(((dpSubject_Sales_NRA_2/1000)*12*F78*I78)*(1-dpSales_ParkingRatio_SubjectVacancy_2)*(1-dpSales_ParkingRatio_ExpenseRatio_2)/dpSubject_Sales_NRA_2-(('Improved Sales Summary Light'!$AZ$25/1000)*12*E78*H78)*(1-R78)*(1-dpSales_ParkingRatio_ExpenseRatio_2)/'Improved Sales Summary Light'!$AZ$25)/dpSales_ParkingRatio_OAR_2</f>
        <v>#VALUE!</v>
      </c>
      <c r="L78" s="137"/>
      <c r="M78" s="2129" t="str">
        <f>IF(ISERROR(K78/HLOOKUP($D78,'Improved Sales Adjustments 2'!$G$7:$WU$147,48,FALSE)),"",K78/HLOOKUP($D78,'Improved Sales Adjustments 2'!$G$7:$WU$147,48,FALSE))</f>
        <v/>
      </c>
      <c r="N78" s="101"/>
      <c r="O78" s="5"/>
      <c r="P78" s="6"/>
      <c r="Q78" s="11"/>
      <c r="R78" s="1263">
        <v>0.05</v>
      </c>
      <c r="S78" s="10"/>
      <c r="T78" s="10"/>
      <c r="U78" s="10"/>
      <c r="V78" s="10"/>
      <c r="W78" s="10"/>
      <c r="X78" s="10"/>
      <c r="Y78" s="10"/>
      <c r="Z78" s="10"/>
      <c r="AA78" s="10"/>
      <c r="AB78" s="10"/>
      <c r="AC78" s="10"/>
      <c r="AD78" s="10"/>
      <c r="AE78" s="10"/>
      <c r="AF78" s="143"/>
      <c r="AG78" s="32"/>
      <c r="AH78" s="32"/>
      <c r="AI78" s="32"/>
      <c r="AJ78" s="32"/>
      <c r="AK78" s="32"/>
      <c r="AL78" s="32"/>
      <c r="AM78" s="32"/>
      <c r="AN78" s="32"/>
      <c r="AO78" s="32"/>
      <c r="AP78" s="32"/>
      <c r="AQ78" s="32"/>
      <c r="AR78" s="32"/>
      <c r="AS78" s="32"/>
      <c r="AT78" s="32"/>
      <c r="AU78" s="32"/>
      <c r="AV78" s="32"/>
      <c r="AW78" s="32"/>
      <c r="AX78" s="32"/>
      <c r="AY78" s="32"/>
      <c r="AZ78" s="32"/>
      <c r="BA78" s="32"/>
      <c r="BB78" s="32"/>
      <c r="BC78" s="32"/>
      <c r="BD78" s="32"/>
      <c r="BE78" s="32"/>
      <c r="BF78" s="32"/>
      <c r="BG78" s="32"/>
      <c r="BH78" s="32"/>
      <c r="BI78" s="32"/>
      <c r="BJ78" s="32"/>
      <c r="BK78" s="32"/>
      <c r="BL78" s="32"/>
      <c r="BM78" s="32"/>
    </row>
    <row r="79" spans="1:65" ht="15" customHeight="1" x14ac:dyDescent="0.25">
      <c r="A79" s="957">
        <f t="shared" si="18"/>
        <v>0</v>
      </c>
      <c r="B79" s="4"/>
      <c r="C79" s="101"/>
      <c r="D79" s="137">
        <f t="shared" si="20"/>
        <v>9</v>
      </c>
      <c r="E79" s="1701" t="str">
        <f>IF(ISERROR(HLOOKUP($D79,'Improved Sales Adjustments 2'!$G$7:$WU$147,109,FALSE)),"",HLOOKUP($D79,'Improved Sales Adjustments 2'!$G$7:$WU$147,109,FALSE))</f>
        <v/>
      </c>
      <c r="F79" s="1701">
        <f t="shared" si="16"/>
        <v>2.95</v>
      </c>
      <c r="G79" s="1702" t="str">
        <f t="shared" si="17"/>
        <v/>
      </c>
      <c r="H79" s="1265"/>
      <c r="I79" s="2160">
        <f t="shared" si="19"/>
        <v>0</v>
      </c>
      <c r="J79" s="137"/>
      <c r="K79" s="2160" t="e">
        <f>(((dpSubject_Sales_NRA_2/1000)*12*F79*I79)*(1-dpSales_ParkingRatio_SubjectVacancy_2)*(1-dpSales_ParkingRatio_ExpenseRatio_2)/dpSubject_Sales_NRA_2-(('Improved Sales Summary Light'!$AZ$26/1000)*12*E79*H79)*(1-R79)*(1-dpSales_ParkingRatio_ExpenseRatio_2)/'Improved Sales Summary Light'!$AZ$26)/dpSales_ParkingRatio_OAR_2</f>
        <v>#VALUE!</v>
      </c>
      <c r="L79" s="137"/>
      <c r="M79" s="2129" t="str">
        <f>IF(ISERROR(K79/HLOOKUP($D79,'Improved Sales Adjustments 2'!$G$7:$WU$147,48,FALSE)),"",K79/HLOOKUP($D79,'Improved Sales Adjustments 2'!$G$7:$WU$147,48,FALSE))</f>
        <v/>
      </c>
      <c r="N79" s="101"/>
      <c r="O79" s="5"/>
      <c r="P79" s="6"/>
      <c r="Q79" s="11"/>
      <c r="R79" s="1263">
        <v>0.05</v>
      </c>
      <c r="S79" s="10"/>
      <c r="T79" s="10"/>
      <c r="U79" s="10"/>
      <c r="V79" s="10"/>
      <c r="W79" s="10"/>
      <c r="X79" s="10"/>
      <c r="Y79" s="10"/>
      <c r="Z79" s="10"/>
      <c r="AA79" s="10"/>
      <c r="AB79" s="10"/>
      <c r="AC79" s="10"/>
      <c r="AD79" s="10"/>
      <c r="AE79" s="10"/>
      <c r="AF79" s="143"/>
      <c r="AG79" s="32"/>
      <c r="AH79" s="32"/>
      <c r="AI79" s="32"/>
      <c r="AJ79" s="32"/>
      <c r="AK79" s="32"/>
      <c r="AL79" s="32"/>
      <c r="AM79" s="32"/>
      <c r="AN79" s="32"/>
      <c r="AO79" s="32"/>
      <c r="AP79" s="32"/>
      <c r="AQ79" s="32"/>
      <c r="AR79" s="32"/>
      <c r="AS79" s="32"/>
      <c r="AT79" s="32"/>
      <c r="AU79" s="32"/>
      <c r="AV79" s="32"/>
      <c r="AW79" s="32"/>
      <c r="AX79" s="32"/>
      <c r="AY79" s="32"/>
      <c r="AZ79" s="32"/>
      <c r="BA79" s="32"/>
      <c r="BB79" s="32"/>
      <c r="BC79" s="32"/>
      <c r="BD79" s="32"/>
      <c r="BE79" s="32"/>
      <c r="BF79" s="32"/>
      <c r="BG79" s="32"/>
      <c r="BH79" s="32"/>
      <c r="BI79" s="32"/>
      <c r="BJ79" s="32"/>
      <c r="BK79" s="32"/>
      <c r="BL79" s="32"/>
      <c r="BM79" s="32"/>
    </row>
    <row r="80" spans="1:65" ht="15" customHeight="1" x14ac:dyDescent="0.25">
      <c r="A80" s="957">
        <f t="shared" si="18"/>
        <v>0</v>
      </c>
      <c r="B80" s="4"/>
      <c r="C80" s="101"/>
      <c r="D80" s="137">
        <f t="shared" si="20"/>
        <v>10</v>
      </c>
      <c r="E80" s="1701" t="str">
        <f>IF(ISERROR(HLOOKUP($D80,'Improved Sales Adjustments 2'!$G$7:$WU$147,109,FALSE)),"",HLOOKUP($D80,'Improved Sales Adjustments 2'!$G$7:$WU$147,109,FALSE))</f>
        <v/>
      </c>
      <c r="F80" s="1701">
        <f t="shared" si="16"/>
        <v>2.95</v>
      </c>
      <c r="G80" s="1702" t="str">
        <f t="shared" si="17"/>
        <v/>
      </c>
      <c r="H80" s="1265"/>
      <c r="I80" s="2160">
        <f t="shared" si="19"/>
        <v>0</v>
      </c>
      <c r="J80" s="137"/>
      <c r="K80" s="2160" t="e">
        <f>(((dpSubject_Sales_NRA_2/1000)*12*F80*I80)*(1-dpSales_ParkingRatio_SubjectVacancy_2)*(1-dpSales_ParkingRatio_ExpenseRatio_2)/dpSubject_Sales_NRA_2-(('Improved Sales Summary Light'!$AZ$27/1000)*12*E80*H80)*(1-R80)*(1-dpSales_ParkingRatio_ExpenseRatio_2)/'Improved Sales Summary Light'!$AZ$27)/dpSales_ParkingRatio_OAR_2</f>
        <v>#VALUE!</v>
      </c>
      <c r="L80" s="137"/>
      <c r="M80" s="2129" t="str">
        <f>IF(ISERROR(K80/HLOOKUP($D80,'Improved Sales Adjustments 2'!$G$7:$WU$147,48,FALSE)),"",K80/HLOOKUP($D80,'Improved Sales Adjustments 2'!$G$7:$WU$147,48,FALSE))</f>
        <v/>
      </c>
      <c r="N80" s="101"/>
      <c r="O80" s="5"/>
      <c r="P80" s="6"/>
      <c r="Q80" s="11"/>
      <c r="R80" s="1263">
        <v>0.05</v>
      </c>
      <c r="S80" s="10"/>
      <c r="T80" s="10"/>
      <c r="U80" s="10"/>
      <c r="V80" s="10"/>
      <c r="W80" s="10"/>
      <c r="X80" s="10"/>
      <c r="Y80" s="10"/>
      <c r="Z80" s="10"/>
      <c r="AA80" s="10"/>
      <c r="AB80" s="10"/>
      <c r="AC80" s="10"/>
      <c r="AD80" s="10"/>
      <c r="AE80" s="10"/>
      <c r="AF80" s="143"/>
      <c r="AG80" s="32"/>
      <c r="AH80" s="32"/>
      <c r="AI80" s="32"/>
      <c r="AJ80" s="32"/>
      <c r="AK80" s="32"/>
      <c r="AL80" s="32"/>
      <c r="AM80" s="32"/>
      <c r="AN80" s="32"/>
      <c r="AO80" s="32"/>
      <c r="AP80" s="32"/>
      <c r="AQ80" s="32"/>
      <c r="AR80" s="32"/>
      <c r="AS80" s="32"/>
      <c r="AT80" s="32"/>
      <c r="AU80" s="32"/>
      <c r="AV80" s="32"/>
      <c r="AW80" s="32"/>
      <c r="AX80" s="32"/>
      <c r="AY80" s="32"/>
      <c r="AZ80" s="32"/>
      <c r="BA80" s="32"/>
      <c r="BB80" s="32"/>
      <c r="BC80" s="32"/>
      <c r="BD80" s="32"/>
      <c r="BE80" s="32"/>
      <c r="BF80" s="32"/>
      <c r="BG80" s="32"/>
      <c r="BH80" s="32"/>
      <c r="BI80" s="32"/>
      <c r="BJ80" s="32"/>
      <c r="BK80" s="32"/>
      <c r="BL80" s="32"/>
      <c r="BM80" s="32"/>
    </row>
    <row r="81" spans="1:65" ht="15" customHeight="1" x14ac:dyDescent="0.25">
      <c r="A81" s="957">
        <f t="shared" si="18"/>
        <v>0</v>
      </c>
      <c r="B81" s="4"/>
      <c r="C81" s="101"/>
      <c r="D81" s="137">
        <f t="shared" si="20"/>
        <v>11</v>
      </c>
      <c r="E81" s="1701" t="str">
        <f>IF(ISERROR(HLOOKUP($D81,'Improved Sales Adjustments 2'!$G$7:$WU$147,109,FALSE)),"",HLOOKUP($D81,'Improved Sales Adjustments 2'!$G$7:$WU$147,109,FALSE))</f>
        <v/>
      </c>
      <c r="F81" s="1701">
        <f t="shared" si="16"/>
        <v>2.95</v>
      </c>
      <c r="G81" s="1702" t="str">
        <f t="shared" si="17"/>
        <v/>
      </c>
      <c r="H81" s="1265"/>
      <c r="I81" s="2160">
        <f t="shared" si="19"/>
        <v>0</v>
      </c>
      <c r="J81" s="137"/>
      <c r="K81" s="2160" t="e">
        <f>(((dpSubject_Sales_NRA_2/1000)*12*F81*I81)*(1-dpSales_ParkingRatio_SubjectVacancy_2)*(1-dpSales_ParkingRatio_ExpenseRatio_2)/dpSubject_Sales_NRA_2-(('Improved Sales Summary Light'!$AZ$28/1000)*12*E81*H81)*(1-R81)*(1-dpSales_ParkingRatio_ExpenseRatio_2)/'Improved Sales Summary Light'!$AZ$28)/dpSales_ParkingRatio_OAR_2</f>
        <v>#VALUE!</v>
      </c>
      <c r="L81" s="137"/>
      <c r="M81" s="2129" t="str">
        <f>IF(ISERROR(K81/HLOOKUP($D81,'Improved Sales Adjustments 2'!$G$7:$WU$147,48,FALSE)),"",K81/HLOOKUP($D81,'Improved Sales Adjustments 2'!$G$7:$WU$147,48,FALSE))</f>
        <v/>
      </c>
      <c r="N81" s="101"/>
      <c r="O81" s="5"/>
      <c r="P81" s="6"/>
      <c r="Q81" s="11"/>
      <c r="R81" s="1263">
        <v>0.05</v>
      </c>
      <c r="S81" s="10"/>
      <c r="T81" s="10"/>
      <c r="U81" s="10"/>
      <c r="V81" s="10"/>
      <c r="W81" s="10"/>
      <c r="X81" s="10"/>
      <c r="Y81" s="10"/>
      <c r="Z81" s="10"/>
      <c r="AA81" s="10"/>
      <c r="AB81" s="10"/>
      <c r="AC81" s="10"/>
      <c r="AD81" s="10"/>
      <c r="AE81" s="10"/>
      <c r="AF81" s="143"/>
      <c r="AG81" s="32"/>
      <c r="AH81" s="32"/>
      <c r="AI81" s="32"/>
      <c r="AJ81" s="32"/>
      <c r="AK81" s="32"/>
      <c r="AL81" s="32"/>
      <c r="AM81" s="32"/>
      <c r="AN81" s="32"/>
      <c r="AO81" s="32"/>
      <c r="AP81" s="32"/>
      <c r="AQ81" s="32"/>
      <c r="AR81" s="32"/>
      <c r="AS81" s="32"/>
      <c r="AT81" s="32"/>
      <c r="AU81" s="32"/>
      <c r="AV81" s="32"/>
      <c r="AW81" s="32"/>
      <c r="AX81" s="32"/>
      <c r="AY81" s="32"/>
      <c r="AZ81" s="32"/>
      <c r="BA81" s="32"/>
      <c r="BB81" s="32"/>
      <c r="BC81" s="32"/>
      <c r="BD81" s="32"/>
      <c r="BE81" s="32"/>
      <c r="BF81" s="32"/>
      <c r="BG81" s="32"/>
      <c r="BH81" s="32"/>
      <c r="BI81" s="32"/>
      <c r="BJ81" s="32"/>
      <c r="BK81" s="32"/>
      <c r="BL81" s="32"/>
      <c r="BM81" s="32"/>
    </row>
    <row r="82" spans="1:65" ht="15" customHeight="1" x14ac:dyDescent="0.25">
      <c r="A82" s="957">
        <f t="shared" si="18"/>
        <v>0</v>
      </c>
      <c r="B82" s="4"/>
      <c r="C82" s="101"/>
      <c r="D82" s="137">
        <f>D81+1</f>
        <v>12</v>
      </c>
      <c r="E82" s="1701" t="str">
        <f>IF(ISERROR(HLOOKUP($D82,'Improved Sales Adjustments 2'!$G$7:$WU$147,109,FALSE)),"",HLOOKUP($D82,'Improved Sales Adjustments 2'!$G$7:$WU$147,109,FALSE))</f>
        <v/>
      </c>
      <c r="F82" s="1701">
        <f t="shared" si="16"/>
        <v>2.95</v>
      </c>
      <c r="G82" s="1702" t="str">
        <f t="shared" si="17"/>
        <v/>
      </c>
      <c r="H82" s="1265"/>
      <c r="I82" s="2160">
        <f t="shared" si="19"/>
        <v>0</v>
      </c>
      <c r="J82" s="137"/>
      <c r="K82" s="2160" t="e">
        <f>(((dpSubject_Sales_NRA_2/1000)*12*F82*I82)*(1-dpSales_ParkingRatio_SubjectVacancy_2)*(1-dpSales_ParkingRatio_ExpenseRatio_2)/dpSubject_Sales_NRA_2-(('Improved Sales Summary Light'!$AZ$29/1000)*12*E82*H82)*(1-R82)*(1-dpSales_ParkingRatio_ExpenseRatio_2)/'Improved Sales Summary Light'!$AZ$29)/dpSales_ParkingRatio_OAR_2</f>
        <v>#VALUE!</v>
      </c>
      <c r="L82" s="137"/>
      <c r="M82" s="2129" t="str">
        <f>IF(ISERROR(K82/HLOOKUP($D82,'Improved Sales Adjustments 2'!$G$7:$WU$147,48,FALSE)),"",K82/HLOOKUP($D82,'Improved Sales Adjustments 2'!$G$7:$WU$147,48,FALSE))</f>
        <v/>
      </c>
      <c r="N82" s="101"/>
      <c r="O82" s="5"/>
      <c r="P82" s="6"/>
      <c r="Q82" s="11"/>
      <c r="R82" s="1263">
        <v>0.05</v>
      </c>
      <c r="S82" s="10"/>
      <c r="T82" s="10"/>
      <c r="U82" s="10"/>
      <c r="V82" s="10"/>
      <c r="W82" s="10"/>
      <c r="X82" s="10"/>
      <c r="Y82" s="10"/>
      <c r="Z82" s="10"/>
      <c r="AA82" s="10"/>
      <c r="AB82" s="10"/>
      <c r="AC82" s="10"/>
      <c r="AD82" s="10"/>
      <c r="AE82" s="10"/>
      <c r="AF82" s="143"/>
      <c r="AG82" s="32"/>
      <c r="AH82" s="32"/>
      <c r="AI82" s="32"/>
      <c r="AJ82" s="32"/>
      <c r="AK82" s="32"/>
      <c r="AL82" s="32"/>
      <c r="AM82" s="32"/>
      <c r="AN82" s="32"/>
      <c r="AO82" s="32"/>
      <c r="AP82" s="32"/>
      <c r="AQ82" s="32"/>
      <c r="AR82" s="32"/>
      <c r="AS82" s="32"/>
      <c r="AT82" s="32"/>
      <c r="AU82" s="32"/>
      <c r="AV82" s="32"/>
      <c r="AW82" s="32"/>
      <c r="AX82" s="32"/>
      <c r="AY82" s="32"/>
      <c r="AZ82" s="32"/>
      <c r="BA82" s="32"/>
      <c r="BB82" s="32"/>
      <c r="BC82" s="32"/>
      <c r="BD82" s="32"/>
      <c r="BE82" s="32"/>
      <c r="BF82" s="32"/>
      <c r="BG82" s="32"/>
      <c r="BH82" s="32"/>
      <c r="BI82" s="32"/>
      <c r="BJ82" s="32"/>
      <c r="BK82" s="32"/>
      <c r="BL82" s="32"/>
      <c r="BM82" s="32"/>
    </row>
    <row r="83" spans="1:65" ht="15" customHeight="1" x14ac:dyDescent="0.25">
      <c r="A83" s="957">
        <f t="shared" si="18"/>
        <v>0</v>
      </c>
      <c r="B83" s="4"/>
      <c r="C83" s="101"/>
      <c r="D83" s="137">
        <f>D82+1</f>
        <v>13</v>
      </c>
      <c r="E83" s="1701" t="str">
        <f>IF(ISERROR(HLOOKUP($D83,'Improved Sales Adjustments 2'!$G$7:$WU$147,109,FALSE)),"",HLOOKUP($D83,'Improved Sales Adjustments 2'!$G$7:$WU$147,109,FALSE))</f>
        <v/>
      </c>
      <c r="F83" s="1701">
        <f t="shared" si="16"/>
        <v>2.95</v>
      </c>
      <c r="G83" s="1702" t="str">
        <f t="shared" si="17"/>
        <v/>
      </c>
      <c r="H83" s="1265"/>
      <c r="I83" s="2160">
        <f t="shared" si="19"/>
        <v>0</v>
      </c>
      <c r="J83" s="137"/>
      <c r="K83" s="2160" t="e">
        <f>(((dpSubject_Sales_NRA_2/1000)*12*F83*I83)*(1-dpSales_ParkingRatio_SubjectVacancy_2)*(1-dpSales_ParkingRatio_ExpenseRatio_2)/dpSubject_Sales_NRA_2-(('Improved Sales Summary Light'!$AZ$30/1000)*12*E83*H83)*(1-R83)*(1-dpSales_ParkingRatio_ExpenseRatio_2)/'Improved Sales Summary Light'!$AZ$30)/dpSales_ParkingRatio_OAR_2</f>
        <v>#VALUE!</v>
      </c>
      <c r="L83" s="137"/>
      <c r="M83" s="2129" t="str">
        <f>IF(ISERROR(K83/HLOOKUP($D83,'Improved Sales Adjustments 2'!$G$7:$WU$147,48,FALSE)),"",K83/HLOOKUP($D83,'Improved Sales Adjustments 2'!$G$7:$WU$147,48,FALSE))</f>
        <v/>
      </c>
      <c r="N83" s="101"/>
      <c r="O83" s="5"/>
      <c r="P83" s="6"/>
      <c r="Q83" s="11"/>
      <c r="R83" s="1263">
        <v>0.05</v>
      </c>
      <c r="S83" s="10"/>
      <c r="T83" s="10"/>
      <c r="U83" s="10"/>
      <c r="V83" s="10"/>
      <c r="W83" s="10"/>
      <c r="X83" s="10"/>
      <c r="Y83" s="10"/>
      <c r="Z83" s="10"/>
      <c r="AA83" s="10"/>
      <c r="AB83" s="10"/>
      <c r="AC83" s="10"/>
      <c r="AD83" s="10"/>
      <c r="AE83" s="10"/>
      <c r="AF83" s="143"/>
      <c r="AG83" s="32"/>
      <c r="AH83" s="32"/>
      <c r="AI83" s="32"/>
      <c r="AJ83" s="32"/>
      <c r="AK83" s="32"/>
      <c r="AL83" s="32"/>
      <c r="AM83" s="32"/>
      <c r="AN83" s="32"/>
      <c r="AO83" s="32"/>
      <c r="AP83" s="32"/>
      <c r="AQ83" s="32"/>
      <c r="AR83" s="32"/>
      <c r="AS83" s="32"/>
      <c r="AT83" s="32"/>
      <c r="AU83" s="32"/>
      <c r="AV83" s="32"/>
      <c r="AW83" s="32"/>
      <c r="AX83" s="32"/>
      <c r="AY83" s="32"/>
      <c r="AZ83" s="32"/>
      <c r="BA83" s="32"/>
      <c r="BB83" s="32"/>
      <c r="BC83" s="32"/>
      <c r="BD83" s="32"/>
      <c r="BE83" s="32"/>
      <c r="BF83" s="32"/>
      <c r="BG83" s="32"/>
      <c r="BH83" s="32"/>
      <c r="BI83" s="32"/>
      <c r="BJ83" s="32"/>
      <c r="BK83" s="32"/>
      <c r="BL83" s="32"/>
      <c r="BM83" s="32"/>
    </row>
    <row r="84" spans="1:65" ht="15" customHeight="1" x14ac:dyDescent="0.25">
      <c r="A84" s="957">
        <f t="shared" si="18"/>
        <v>0</v>
      </c>
      <c r="B84" s="4"/>
      <c r="C84" s="101"/>
      <c r="D84" s="137">
        <f>D83+1</f>
        <v>14</v>
      </c>
      <c r="E84" s="1701" t="str">
        <f>IF(ISERROR(HLOOKUP($D84,'Improved Sales Adjustments 2'!$G$7:$WU$147,109,FALSE)),"",HLOOKUP($D84,'Improved Sales Adjustments 2'!$G$7:$WU$147,109,FALSE))</f>
        <v/>
      </c>
      <c r="F84" s="1701">
        <f t="shared" si="16"/>
        <v>2.95</v>
      </c>
      <c r="G84" s="1702" t="str">
        <f t="shared" si="17"/>
        <v/>
      </c>
      <c r="H84" s="1265"/>
      <c r="I84" s="2160">
        <f t="shared" si="19"/>
        <v>0</v>
      </c>
      <c r="J84" s="137"/>
      <c r="K84" s="2160" t="e">
        <f>(((dpSubject_Sales_NRA_2/1000)*12*F84*I84)*(1-dpSales_ParkingRatio_SubjectVacancy_2)*(1-dpSales_ParkingRatio_ExpenseRatio_2)/dpSubject_Sales_NRA_2-(('Improved Sales Summary Light'!$AZ$31/1000)*12*E84*H84)*(1-R84)*(1-dpSales_ParkingRatio_ExpenseRatio_2)/'Improved Sales Summary Light'!$AZ$31)/dpSales_ParkingRatio_OAR_2</f>
        <v>#VALUE!</v>
      </c>
      <c r="L84" s="137"/>
      <c r="M84" s="2129" t="str">
        <f>IF(ISERROR(K84/HLOOKUP($D84,'Improved Sales Adjustments 2'!$G$7:$WU$147,48,FALSE)),"",K84/HLOOKUP($D84,'Improved Sales Adjustments 2'!$G$7:$WU$147,48,FALSE))</f>
        <v/>
      </c>
      <c r="N84" s="101"/>
      <c r="O84" s="5"/>
      <c r="P84" s="6"/>
      <c r="Q84" s="11"/>
      <c r="R84" s="1263">
        <v>0.05</v>
      </c>
      <c r="S84" s="10"/>
      <c r="T84" s="10"/>
      <c r="U84" s="10"/>
      <c r="V84" s="10"/>
      <c r="W84" s="10"/>
      <c r="X84" s="10"/>
      <c r="Y84" s="10"/>
      <c r="Z84" s="10"/>
      <c r="AA84" s="10"/>
      <c r="AB84" s="10"/>
      <c r="AC84" s="10"/>
      <c r="AD84" s="10"/>
      <c r="AE84" s="10"/>
      <c r="AF84" s="143"/>
      <c r="AG84" s="32"/>
      <c r="AH84" s="32"/>
      <c r="AI84" s="32"/>
      <c r="AJ84" s="32"/>
      <c r="AK84" s="32"/>
      <c r="AL84" s="32"/>
      <c r="AM84" s="32"/>
      <c r="AN84" s="32"/>
      <c r="AO84" s="32"/>
      <c r="AP84" s="32"/>
      <c r="AQ84" s="32"/>
      <c r="AR84" s="32"/>
      <c r="AS84" s="32"/>
      <c r="AT84" s="32"/>
      <c r="AU84" s="32"/>
      <c r="AV84" s="32"/>
      <c r="AW84" s="32"/>
      <c r="AX84" s="32"/>
      <c r="AY84" s="32"/>
      <c r="AZ84" s="32"/>
      <c r="BA84" s="32"/>
      <c r="BB84" s="32"/>
      <c r="BC84" s="32"/>
      <c r="BD84" s="32"/>
      <c r="BE84" s="32"/>
      <c r="BF84" s="32"/>
      <c r="BG84" s="32"/>
      <c r="BH84" s="32"/>
      <c r="BI84" s="32"/>
      <c r="BJ84" s="32"/>
      <c r="BK84" s="32"/>
      <c r="BL84" s="32"/>
      <c r="BM84" s="32"/>
    </row>
    <row r="85" spans="1:65" ht="15" customHeight="1" thickBot="1" x14ac:dyDescent="0.3">
      <c r="A85" s="957">
        <f t="shared" si="18"/>
        <v>0</v>
      </c>
      <c r="B85" s="4"/>
      <c r="C85" s="101"/>
      <c r="D85" s="137">
        <f>D84+1</f>
        <v>15</v>
      </c>
      <c r="E85" s="1701" t="str">
        <f>IF(ISERROR(HLOOKUP($D85,'Improved Sales Adjustments 2'!$G$7:$WU$147,109,FALSE)),"",HLOOKUP($D85,'Improved Sales Adjustments 2'!$G$7:$WU$147,109,FALSE))</f>
        <v/>
      </c>
      <c r="F85" s="1701">
        <f t="shared" si="16"/>
        <v>2.95</v>
      </c>
      <c r="G85" s="1702" t="str">
        <f t="shared" si="17"/>
        <v/>
      </c>
      <c r="H85" s="1265"/>
      <c r="I85" s="2160">
        <f t="shared" si="19"/>
        <v>0</v>
      </c>
      <c r="J85" s="137"/>
      <c r="K85" s="2160" t="e">
        <f>(((dpSubject_Sales_NRA_2/1000)*12*F85*I85)*(1-dpSales_ParkingRatio_SubjectVacancy_2)*(1-dpSales_ParkingRatio_ExpenseRatio_2)/dpSubject_Sales_NRA_2-(('Improved Sales Summary Light'!$AZ$32/1000)*12*E85*H85)*(1-R85)*(1-dpSales_ParkingRatio_ExpenseRatio_2)/'Improved Sales Summary Light'!$AZ$32)/dpSales_ParkingRatio_OAR_2</f>
        <v>#VALUE!</v>
      </c>
      <c r="L85" s="137"/>
      <c r="M85" s="2129" t="str">
        <f>IF(ISERROR(K85/HLOOKUP($D85,'Improved Sales Adjustments 2'!$G$7:$WU$147,48,FALSE)),"",K85/HLOOKUP($D85,'Improved Sales Adjustments 2'!$G$7:$WU$147,48,FALSE))</f>
        <v/>
      </c>
      <c r="N85" s="101"/>
      <c r="O85" s="5"/>
      <c r="P85" s="6"/>
      <c r="Q85" s="11"/>
      <c r="R85" s="1264">
        <v>0.05</v>
      </c>
      <c r="S85" s="10"/>
      <c r="T85" s="10"/>
      <c r="U85" s="10"/>
      <c r="V85" s="10"/>
      <c r="W85" s="10"/>
      <c r="X85" s="10"/>
      <c r="Y85" s="10"/>
      <c r="Z85" s="10"/>
      <c r="AA85" s="10"/>
      <c r="AB85" s="10"/>
      <c r="AC85" s="10"/>
      <c r="AD85" s="10"/>
      <c r="AE85" s="10"/>
      <c r="AF85" s="143"/>
      <c r="AG85" s="32"/>
      <c r="AH85" s="32"/>
      <c r="AI85" s="32"/>
      <c r="AJ85" s="32"/>
      <c r="AK85" s="32"/>
      <c r="AL85" s="32"/>
      <c r="AM85" s="32"/>
      <c r="AN85" s="32"/>
      <c r="AO85" s="32"/>
      <c r="AP85" s="32"/>
      <c r="AQ85" s="32"/>
      <c r="AR85" s="32"/>
      <c r="AS85" s="32"/>
      <c r="AT85" s="32"/>
      <c r="AU85" s="32"/>
      <c r="AV85" s="32"/>
      <c r="AW85" s="32"/>
      <c r="AX85" s="32"/>
      <c r="AY85" s="32"/>
      <c r="AZ85" s="32"/>
      <c r="BA85" s="32"/>
      <c r="BB85" s="32"/>
      <c r="BC85" s="32"/>
      <c r="BD85" s="32"/>
      <c r="BE85" s="32"/>
      <c r="BF85" s="32"/>
      <c r="BG85" s="32"/>
      <c r="BH85" s="32"/>
      <c r="BI85" s="32"/>
      <c r="BJ85" s="32"/>
      <c r="BK85" s="32"/>
      <c r="BL85" s="32"/>
      <c r="BM85" s="32"/>
    </row>
    <row r="86" spans="1:65" ht="15" customHeight="1" thickBot="1" x14ac:dyDescent="0.3">
      <c r="A86" s="957">
        <v>1</v>
      </c>
      <c r="B86" s="8"/>
      <c r="C86" s="7"/>
      <c r="D86" s="741" t="s">
        <v>1613</v>
      </c>
      <c r="E86" s="133"/>
      <c r="F86" s="133"/>
      <c r="G86" s="133"/>
      <c r="H86" s="133"/>
      <c r="I86" s="133"/>
      <c r="J86" s="133"/>
      <c r="K86" s="133"/>
      <c r="L86" s="133"/>
      <c r="M86" s="133"/>
      <c r="N86" s="7"/>
      <c r="O86" s="7"/>
      <c r="P86" s="9"/>
      <c r="Q86" s="11"/>
      <c r="R86" s="10"/>
      <c r="S86" s="10"/>
      <c r="T86" s="10"/>
      <c r="U86" s="10"/>
      <c r="V86" s="10"/>
      <c r="W86" s="10"/>
      <c r="X86" s="10"/>
      <c r="Y86" s="10"/>
      <c r="Z86" s="10"/>
      <c r="AA86" s="10"/>
      <c r="AB86" s="10"/>
      <c r="AC86" s="10"/>
      <c r="AD86" s="10"/>
      <c r="AE86" s="10"/>
      <c r="AF86" s="143"/>
      <c r="AG86" s="32"/>
      <c r="AH86" s="32"/>
      <c r="AI86" s="32"/>
      <c r="AJ86" s="32"/>
      <c r="AK86" s="32"/>
      <c r="AL86" s="32"/>
      <c r="AM86" s="32"/>
      <c r="AN86" s="32"/>
      <c r="AO86" s="32"/>
      <c r="AP86" s="32"/>
      <c r="AQ86" s="32"/>
      <c r="AR86" s="32"/>
      <c r="AS86" s="32"/>
      <c r="AT86" s="32"/>
      <c r="AU86" s="32"/>
      <c r="AV86" s="32"/>
      <c r="AW86" s="32"/>
      <c r="AX86" s="32"/>
      <c r="AY86" s="32"/>
      <c r="AZ86" s="32"/>
      <c r="BA86" s="32"/>
      <c r="BB86" s="32"/>
      <c r="BC86" s="32"/>
      <c r="BD86" s="32"/>
      <c r="BE86" s="32"/>
      <c r="BF86" s="32"/>
      <c r="BG86" s="32"/>
      <c r="BH86" s="32"/>
      <c r="BI86" s="32"/>
      <c r="BJ86" s="32"/>
      <c r="BK86" s="32"/>
      <c r="BL86" s="32"/>
      <c r="BM86" s="32"/>
    </row>
    <row r="87" spans="1:65" ht="15" customHeight="1" thickBot="1" x14ac:dyDescent="0.3">
      <c r="A87" s="957">
        <v>1</v>
      </c>
      <c r="B87" s="32"/>
      <c r="C87" s="32"/>
      <c r="D87" s="96"/>
      <c r="E87" s="32"/>
      <c r="F87" s="32"/>
      <c r="G87" s="32"/>
      <c r="H87" s="32"/>
      <c r="I87" s="32"/>
      <c r="J87" s="32"/>
      <c r="K87" s="32"/>
      <c r="L87" s="32"/>
      <c r="M87" s="32"/>
      <c r="N87" s="32"/>
      <c r="O87" s="32"/>
      <c r="P87" s="32"/>
      <c r="Q87" s="32"/>
      <c r="R87" s="32"/>
      <c r="S87" s="32"/>
      <c r="T87" s="957">
        <f t="shared" ref="T87:AC87" si="21">IF(COUNTIF(Sales_EconomicLifeRange_2,T90)&gt;0=TRUE,1,0)</f>
        <v>0</v>
      </c>
      <c r="U87" s="957">
        <f t="shared" si="21"/>
        <v>0</v>
      </c>
      <c r="V87" s="957">
        <f t="shared" si="21"/>
        <v>0</v>
      </c>
      <c r="W87" s="957">
        <f t="shared" si="21"/>
        <v>0</v>
      </c>
      <c r="X87" s="957">
        <f t="shared" si="21"/>
        <v>0</v>
      </c>
      <c r="Y87" s="957">
        <f t="shared" si="21"/>
        <v>0</v>
      </c>
      <c r="Z87" s="957">
        <f t="shared" si="21"/>
        <v>0</v>
      </c>
      <c r="AA87" s="957">
        <f t="shared" si="21"/>
        <v>0</v>
      </c>
      <c r="AB87" s="957">
        <f t="shared" si="21"/>
        <v>0</v>
      </c>
      <c r="AC87" s="957">
        <f t="shared" si="21"/>
        <v>0</v>
      </c>
      <c r="AD87" s="32"/>
      <c r="AE87" s="32"/>
      <c r="AF87" s="11"/>
      <c r="AG87" s="11"/>
      <c r="AH87" s="11"/>
      <c r="AI87" s="11"/>
      <c r="AJ87" s="11"/>
      <c r="AK87" s="11"/>
      <c r="AL87" s="11"/>
      <c r="AM87" s="11"/>
      <c r="AN87" s="11"/>
      <c r="AO87" s="11"/>
      <c r="AP87" s="11"/>
      <c r="AQ87" s="11"/>
      <c r="AR87" s="11"/>
      <c r="AS87" s="11"/>
      <c r="AT87" s="11"/>
      <c r="AU87" s="11"/>
      <c r="AV87" s="11"/>
      <c r="AW87" s="11"/>
      <c r="AX87" s="11"/>
      <c r="AY87" s="11"/>
      <c r="AZ87" s="11"/>
      <c r="BA87" s="11"/>
      <c r="BB87" s="11"/>
      <c r="BC87" s="11"/>
      <c r="BD87" s="11"/>
      <c r="BE87" s="11"/>
      <c r="BF87" s="11"/>
      <c r="BG87" s="11"/>
      <c r="BH87" s="11"/>
      <c r="BI87" s="11"/>
      <c r="BJ87" s="11"/>
      <c r="BK87" s="11"/>
      <c r="BL87" s="11"/>
      <c r="BM87" s="11"/>
    </row>
    <row r="88" spans="1:65" ht="15" customHeight="1" x14ac:dyDescent="0.25">
      <c r="A88" s="957">
        <v>1</v>
      </c>
      <c r="B88" s="10"/>
      <c r="C88" s="10"/>
      <c r="D88" s="13"/>
      <c r="E88" s="10"/>
      <c r="F88" s="10"/>
      <c r="G88" s="10"/>
      <c r="H88" s="10"/>
      <c r="I88" s="10"/>
      <c r="J88" s="10"/>
      <c r="K88" s="10"/>
      <c r="L88" s="10"/>
      <c r="M88" s="10"/>
      <c r="N88" s="10"/>
      <c r="O88" s="10"/>
      <c r="P88" s="1"/>
      <c r="Q88" s="31"/>
      <c r="R88" s="2"/>
      <c r="S88" s="2"/>
      <c r="T88" s="442"/>
      <c r="U88" s="442"/>
      <c r="V88" s="2"/>
      <c r="W88" s="2"/>
      <c r="X88" s="2"/>
      <c r="Y88" s="2"/>
      <c r="Z88" s="2"/>
      <c r="AA88" s="2"/>
      <c r="AB88" s="2"/>
      <c r="AC88" s="2"/>
      <c r="AD88" s="2"/>
      <c r="AE88" s="3"/>
      <c r="AF88" s="11"/>
      <c r="AG88" s="11"/>
      <c r="AH88" s="11"/>
      <c r="AI88" s="11"/>
      <c r="AJ88" s="11"/>
      <c r="AK88" s="11"/>
      <c r="AL88" s="11"/>
      <c r="AM88" s="11"/>
      <c r="AN88" s="11"/>
      <c r="AO88" s="11"/>
      <c r="AP88" s="11"/>
      <c r="AQ88" s="11"/>
      <c r="AR88" s="11"/>
      <c r="AS88" s="11"/>
      <c r="AT88" s="11"/>
      <c r="AU88" s="11"/>
      <c r="AV88" s="11"/>
      <c r="AW88" s="11"/>
      <c r="AX88" s="11"/>
      <c r="AY88" s="11"/>
      <c r="AZ88" s="11"/>
      <c r="BA88" s="11"/>
      <c r="BB88" s="11"/>
      <c r="BC88" s="11"/>
      <c r="BD88" s="11"/>
      <c r="BE88" s="11"/>
      <c r="BF88" s="11"/>
      <c r="BG88" s="11"/>
      <c r="BH88" s="11"/>
      <c r="BI88" s="11"/>
      <c r="BJ88" s="11"/>
      <c r="BK88" s="11"/>
      <c r="BL88" s="11"/>
      <c r="BM88" s="11"/>
    </row>
    <row r="89" spans="1:65" ht="15.95" customHeight="1" x14ac:dyDescent="0.25">
      <c r="A89" s="957">
        <v>1</v>
      </c>
      <c r="B89" s="10"/>
      <c r="C89" s="10"/>
      <c r="D89" s="13"/>
      <c r="E89" s="10"/>
      <c r="F89" s="10"/>
      <c r="G89" s="10"/>
      <c r="H89" s="10"/>
      <c r="I89" s="11"/>
      <c r="J89" s="10"/>
      <c r="K89" s="10"/>
      <c r="L89" s="10"/>
      <c r="M89" s="10"/>
      <c r="N89" s="10"/>
      <c r="O89" s="10"/>
      <c r="P89" s="4"/>
      <c r="Q89" s="52"/>
      <c r="R89" s="505" t="str">
        <f>CONCATENATE("Marshall Valuation Service Depreciation Schedule - ",dpSales_ComponentNameB2," Component")</f>
        <v>Marshall Valuation Service Depreciation Schedule -  Component</v>
      </c>
      <c r="S89" s="43"/>
      <c r="T89" s="43"/>
      <c r="U89" s="52"/>
      <c r="V89" s="52"/>
      <c r="W89" s="52"/>
      <c r="X89" s="52"/>
      <c r="Y89" s="52"/>
      <c r="Z89" s="52"/>
      <c r="AA89" s="52"/>
      <c r="AB89" s="52"/>
      <c r="AC89" s="52"/>
      <c r="AD89" s="5"/>
      <c r="AE89" s="6"/>
      <c r="AF89" s="11"/>
      <c r="AG89" s="11"/>
      <c r="AH89" s="11"/>
      <c r="AI89" s="11"/>
      <c r="AJ89" s="11"/>
      <c r="AK89" s="11"/>
      <c r="AL89" s="11"/>
      <c r="AM89" s="11"/>
      <c r="AN89" s="11"/>
      <c r="AO89" s="11"/>
      <c r="AP89" s="11"/>
      <c r="AQ89" s="11"/>
      <c r="AR89" s="11"/>
      <c r="AS89" s="11"/>
      <c r="AT89" s="11"/>
      <c r="AU89" s="11"/>
      <c r="AV89" s="11"/>
      <c r="AW89" s="11"/>
      <c r="AX89" s="11"/>
      <c r="AY89" s="11"/>
      <c r="AZ89" s="11"/>
      <c r="BA89" s="11"/>
      <c r="BB89" s="11"/>
      <c r="BC89" s="11"/>
      <c r="BD89" s="11"/>
      <c r="BE89" s="11"/>
      <c r="BF89" s="11"/>
      <c r="BG89" s="11"/>
      <c r="BH89" s="11"/>
      <c r="BI89" s="11"/>
      <c r="BJ89" s="11"/>
      <c r="BK89" s="11"/>
      <c r="BL89" s="11"/>
      <c r="BM89" s="11"/>
    </row>
    <row r="90" spans="1:65" ht="15" customHeight="1" x14ac:dyDescent="0.25">
      <c r="A90" s="957">
        <v>1</v>
      </c>
      <c r="B90" s="10"/>
      <c r="C90" s="10"/>
      <c r="D90" s="13"/>
      <c r="E90" s="10"/>
      <c r="F90" s="10"/>
      <c r="G90" s="10"/>
      <c r="H90" s="10"/>
      <c r="I90" s="10"/>
      <c r="J90" s="10"/>
      <c r="K90" s="10"/>
      <c r="L90" s="10"/>
      <c r="M90" s="10"/>
      <c r="N90" s="10"/>
      <c r="O90" s="10"/>
      <c r="P90" s="4"/>
      <c r="Q90" s="12"/>
      <c r="R90" s="12"/>
      <c r="S90" s="150" t="s">
        <v>234</v>
      </c>
      <c r="T90" s="441">
        <v>70</v>
      </c>
      <c r="U90" s="441">
        <v>60</v>
      </c>
      <c r="V90" s="441">
        <v>55</v>
      </c>
      <c r="W90" s="441">
        <v>50</v>
      </c>
      <c r="X90" s="441">
        <v>45</v>
      </c>
      <c r="Y90" s="441">
        <v>40</v>
      </c>
      <c r="Z90" s="441">
        <v>35</v>
      </c>
      <c r="AA90" s="441">
        <v>30</v>
      </c>
      <c r="AB90" s="441">
        <v>25</v>
      </c>
      <c r="AC90" s="441">
        <v>20</v>
      </c>
      <c r="AD90" s="10"/>
      <c r="AE90" s="6"/>
      <c r="AF90" s="11"/>
      <c r="AG90" s="41"/>
      <c r="AH90" s="11"/>
      <c r="AI90" s="11"/>
      <c r="AJ90" s="11"/>
      <c r="AK90" s="11"/>
      <c r="AL90" s="11"/>
      <c r="AM90" s="11"/>
      <c r="AN90" s="11"/>
      <c r="AO90" s="11"/>
      <c r="AP90" s="11"/>
      <c r="AQ90" s="11"/>
      <c r="AR90" s="11"/>
      <c r="AS90" s="11"/>
      <c r="AT90" s="11"/>
      <c r="AU90" s="11"/>
      <c r="AV90" s="11"/>
      <c r="AW90" s="11"/>
      <c r="AX90" s="11"/>
      <c r="AY90" s="11"/>
      <c r="AZ90" s="11"/>
      <c r="BA90" s="11"/>
      <c r="BB90" s="11"/>
      <c r="BC90" s="41" t="s">
        <v>116</v>
      </c>
      <c r="BD90" s="41" t="s">
        <v>1176</v>
      </c>
      <c r="BE90" s="41" t="s">
        <v>1177</v>
      </c>
      <c r="BF90" s="41" t="s">
        <v>1178</v>
      </c>
      <c r="BG90" s="41" t="s">
        <v>1179</v>
      </c>
      <c r="BH90" s="41" t="s">
        <v>1180</v>
      </c>
      <c r="BI90" s="41" t="s">
        <v>1181</v>
      </c>
      <c r="BJ90" s="41" t="s">
        <v>1182</v>
      </c>
      <c r="BK90" s="41" t="s">
        <v>1183</v>
      </c>
      <c r="BL90" s="41" t="s">
        <v>1184</v>
      </c>
      <c r="BM90" s="41" t="s">
        <v>1185</v>
      </c>
    </row>
    <row r="91" spans="1:65" ht="15" customHeight="1" x14ac:dyDescent="0.25">
      <c r="A91" s="957">
        <v>1</v>
      </c>
      <c r="B91" s="10"/>
      <c r="C91" s="10"/>
      <c r="D91" s="13"/>
      <c r="E91" s="10"/>
      <c r="F91" s="10"/>
      <c r="G91" s="10"/>
      <c r="H91" s="10"/>
      <c r="I91" s="10"/>
      <c r="J91" s="10"/>
      <c r="K91" s="10"/>
      <c r="L91" s="10"/>
      <c r="M91" s="10"/>
      <c r="N91" s="10"/>
      <c r="O91" s="10"/>
      <c r="P91" s="4"/>
      <c r="Q91" s="12"/>
      <c r="R91" s="12" t="s">
        <v>105</v>
      </c>
      <c r="S91" s="150" t="s">
        <v>235</v>
      </c>
      <c r="T91" s="150" t="s">
        <v>238</v>
      </c>
      <c r="U91" s="150" t="s">
        <v>238</v>
      </c>
      <c r="V91" s="150" t="s">
        <v>238</v>
      </c>
      <c r="W91" s="150" t="s">
        <v>238</v>
      </c>
      <c r="X91" s="150" t="s">
        <v>238</v>
      </c>
      <c r="Y91" s="150" t="s">
        <v>238</v>
      </c>
      <c r="Z91" s="150" t="s">
        <v>238</v>
      </c>
      <c r="AA91" s="150" t="s">
        <v>238</v>
      </c>
      <c r="AB91" s="150" t="s">
        <v>238</v>
      </c>
      <c r="AC91" s="150" t="s">
        <v>238</v>
      </c>
      <c r="AD91" s="10"/>
      <c r="AE91" s="6"/>
      <c r="AF91" s="11"/>
      <c r="AG91" s="41" t="s">
        <v>116</v>
      </c>
      <c r="AH91" s="41">
        <v>1</v>
      </c>
      <c r="AI91" s="41">
        <f>AH91+1</f>
        <v>2</v>
      </c>
      <c r="AJ91" s="41">
        <f t="shared" ref="AJ91:AQ91" si="22">AI91+1</f>
        <v>3</v>
      </c>
      <c r="AK91" s="41">
        <f t="shared" si="22"/>
        <v>4</v>
      </c>
      <c r="AL91" s="41">
        <f t="shared" si="22"/>
        <v>5</v>
      </c>
      <c r="AM91" s="41">
        <f t="shared" si="22"/>
        <v>6</v>
      </c>
      <c r="AN91" s="41">
        <f t="shared" si="22"/>
        <v>7</v>
      </c>
      <c r="AO91" s="41">
        <f t="shared" si="22"/>
        <v>8</v>
      </c>
      <c r="AP91" s="41">
        <f t="shared" si="22"/>
        <v>9</v>
      </c>
      <c r="AQ91" s="41">
        <f t="shared" si="22"/>
        <v>10</v>
      </c>
      <c r="AR91" s="41" t="str">
        <f t="shared" ref="AR91:BB91" si="23">AG91</f>
        <v>Subject</v>
      </c>
      <c r="AS91" s="41">
        <f t="shared" si="23"/>
        <v>1</v>
      </c>
      <c r="AT91" s="41">
        <f t="shared" si="23"/>
        <v>2</v>
      </c>
      <c r="AU91" s="41">
        <f t="shared" si="23"/>
        <v>3</v>
      </c>
      <c r="AV91" s="41">
        <f t="shared" si="23"/>
        <v>4</v>
      </c>
      <c r="AW91" s="41">
        <f t="shared" si="23"/>
        <v>5</v>
      </c>
      <c r="AX91" s="41">
        <f t="shared" si="23"/>
        <v>6</v>
      </c>
      <c r="AY91" s="41">
        <f t="shared" si="23"/>
        <v>7</v>
      </c>
      <c r="AZ91" s="41">
        <f t="shared" si="23"/>
        <v>8</v>
      </c>
      <c r="BA91" s="41">
        <f t="shared" si="23"/>
        <v>9</v>
      </c>
      <c r="BB91" s="41">
        <f t="shared" si="23"/>
        <v>10</v>
      </c>
      <c r="BC91" s="41" t="s">
        <v>116</v>
      </c>
      <c r="BD91" s="41">
        <f t="shared" ref="BD91:BM91" si="24">AS91</f>
        <v>1</v>
      </c>
      <c r="BE91" s="41">
        <f t="shared" si="24"/>
        <v>2</v>
      </c>
      <c r="BF91" s="41">
        <f t="shared" si="24"/>
        <v>3</v>
      </c>
      <c r="BG91" s="41">
        <f t="shared" si="24"/>
        <v>4</v>
      </c>
      <c r="BH91" s="41">
        <f t="shared" si="24"/>
        <v>5</v>
      </c>
      <c r="BI91" s="41">
        <f t="shared" si="24"/>
        <v>6</v>
      </c>
      <c r="BJ91" s="41">
        <f t="shared" si="24"/>
        <v>7</v>
      </c>
      <c r="BK91" s="41">
        <f t="shared" si="24"/>
        <v>8</v>
      </c>
      <c r="BL91" s="41">
        <f t="shared" si="24"/>
        <v>9</v>
      </c>
      <c r="BM91" s="41">
        <f t="shared" si="24"/>
        <v>10</v>
      </c>
    </row>
    <row r="92" spans="1:65" ht="15" customHeight="1" x14ac:dyDescent="0.25">
      <c r="A92" s="957">
        <f t="shared" ref="A92:A123" si="25">IF(AND(MIN(Sales_EffectiveAgeRange_2,Sales_AdjGrid_AgeEffective_2)&lt;=S92,MAX(Sales_EffectiveAgeRange_2,Sales_AdjGrid_AgeEffective_2)&gt;=S92),1,0)</f>
        <v>1</v>
      </c>
      <c r="B92" s="10"/>
      <c r="C92" s="10"/>
      <c r="D92" s="13"/>
      <c r="E92" s="10"/>
      <c r="F92" s="10"/>
      <c r="G92" s="10"/>
      <c r="H92" s="10"/>
      <c r="I92" s="10"/>
      <c r="J92" s="10"/>
      <c r="K92" s="10"/>
      <c r="L92" s="10"/>
      <c r="M92" s="10"/>
      <c r="N92" s="10"/>
      <c r="O92" s="10"/>
      <c r="P92" s="4"/>
      <c r="Q92" s="1204"/>
      <c r="R92" s="101" t="str">
        <f>CONCATENATE(BC92,BD92,BE92,BF92,BG92,BH92,BI92,BJ92,BK92,BL92,BM92)</f>
        <v>Subject</v>
      </c>
      <c r="S92" s="137">
        <v>0</v>
      </c>
      <c r="T92" s="2129">
        <v>0</v>
      </c>
      <c r="U92" s="2130">
        <v>0</v>
      </c>
      <c r="V92" s="2130">
        <v>0</v>
      </c>
      <c r="W92" s="2130">
        <v>0</v>
      </c>
      <c r="X92" s="2130">
        <v>0</v>
      </c>
      <c r="Y92" s="2130">
        <v>0</v>
      </c>
      <c r="Z92" s="2130">
        <v>0</v>
      </c>
      <c r="AA92" s="2130">
        <v>0</v>
      </c>
      <c r="AB92" s="2130">
        <v>0</v>
      </c>
      <c r="AC92" s="2130">
        <v>0</v>
      </c>
      <c r="AD92" s="101"/>
      <c r="AE92" s="6"/>
      <c r="AF92" s="11"/>
      <c r="AG92" s="41">
        <f t="shared" ref="AG92:AG123" si="26">IF(S92=Sales_AdjGrid_AgeEffective_2,1,0)</f>
        <v>1</v>
      </c>
      <c r="AH92" s="41">
        <f>IF(ISERROR(HLOOKUP(AH$91,'Improved Sales Adjustments 2'!$G$7:$WU$147,68,FALSE)),0,IF(HLOOKUP(AH$91,'Improved Sales Adjustments 2'!$G$7:$WU$147,68,FALSE)="",0,IF($S92=HLOOKUP(AH$91,'Improved Sales Adjustments 2'!$G$7:$WU$147,68,FALSE),1,0)))</f>
        <v>0</v>
      </c>
      <c r="AI92" s="41">
        <f>IF(ISERROR(HLOOKUP(AI$91,'Improved Sales Adjustments 2'!$G$7:$WU$147,68,FALSE)),0,IF(HLOOKUP(AI$91,'Improved Sales Adjustments 2'!$G$7:$WU$147,68,FALSE)="",0,IF($S92=HLOOKUP(AI$91,'Improved Sales Adjustments 2'!$G$7:$WU$147,68,FALSE),1,0)))</f>
        <v>0</v>
      </c>
      <c r="AJ92" s="41">
        <f>IF(ISERROR(HLOOKUP(AJ$91,'Improved Sales Adjustments 2'!$G$7:$WU$147,68,FALSE)),0,IF(HLOOKUP(AJ$91,'Improved Sales Adjustments 2'!$G$7:$WU$147,68,FALSE)="",0,IF($S92=HLOOKUP(AJ$91,'Improved Sales Adjustments 2'!$G$7:$WU$147,68,FALSE),1,0)))</f>
        <v>0</v>
      </c>
      <c r="AK92" s="41">
        <f>IF(ISERROR(HLOOKUP(AK$91,'Improved Sales Adjustments 2'!$G$7:$WU$147,68,FALSE)),0,IF(HLOOKUP(AK$91,'Improved Sales Adjustments 2'!$G$7:$WU$147,68,FALSE)="",0,IF($S92=HLOOKUP(AK$91,'Improved Sales Adjustments 2'!$G$7:$WU$147,68,FALSE),1,0)))</f>
        <v>0</v>
      </c>
      <c r="AL92" s="41">
        <f>IF(ISERROR(HLOOKUP(AL$91,'Improved Sales Adjustments 2'!$G$7:$WU$147,68,FALSE)),0,IF(HLOOKUP(AL$91,'Improved Sales Adjustments 2'!$G$7:$WU$147,68,FALSE)="",0,IF($S92=HLOOKUP(AL$91,'Improved Sales Adjustments 2'!$G$7:$WU$147,68,FALSE),1,0)))</f>
        <v>0</v>
      </c>
      <c r="AM92" s="41">
        <f>IF(ISERROR(HLOOKUP(AM$91,'Improved Sales Adjustments 2'!$G$7:$WU$147,68,FALSE)),0,IF(HLOOKUP(AM$91,'Improved Sales Adjustments 2'!$G$7:$WU$147,68,FALSE)="",0,IF($S92=HLOOKUP(AM$91,'Improved Sales Adjustments 2'!$G$7:$WU$147,68,FALSE),1,0)))</f>
        <v>0</v>
      </c>
      <c r="AN92" s="41">
        <f>IF(ISERROR(HLOOKUP(AN$91,'Improved Sales Adjustments 2'!$G$7:$WU$147,68,FALSE)),0,IF(HLOOKUP(AN$91,'Improved Sales Adjustments 2'!$G$7:$WU$147,68,FALSE)="",0,IF($S92=HLOOKUP(AN$91,'Improved Sales Adjustments 2'!$G$7:$WU$147,68,FALSE),1,0)))</f>
        <v>0</v>
      </c>
      <c r="AO92" s="41">
        <f>IF(ISERROR(HLOOKUP(AO$91,'Improved Sales Adjustments 2'!$G$7:$WU$147,68,FALSE)),0,IF(HLOOKUP(AO$91,'Improved Sales Adjustments 2'!$G$7:$WU$147,68,FALSE)="",0,IF($S92=HLOOKUP(AO$91,'Improved Sales Adjustments 2'!$G$7:$WU$147,68,FALSE),1,0)))</f>
        <v>0</v>
      </c>
      <c r="AP92" s="41">
        <f>IF(ISERROR(HLOOKUP(AP$91,'Improved Sales Adjustments 2'!$G$7:$WU$147,68,FALSE)),0,IF(HLOOKUP(AP$91,'Improved Sales Adjustments 2'!$G$7:$WU$147,68,FALSE)="",0,IF($S92=HLOOKUP(AP$91,'Improved Sales Adjustments 2'!$G$7:$WU$147,68,FALSE),1,0)))</f>
        <v>0</v>
      </c>
      <c r="AQ92" s="41">
        <f>IF(ISERROR(HLOOKUP(AQ$91,'Improved Sales Adjustments 2'!$G$7:$WU$147,68,FALSE)),0,IF(HLOOKUP(AQ$91,'Improved Sales Adjustments 2'!$G$7:$WU$147,68,FALSE)="",0,IF($S92=HLOOKUP(AQ$91,'Improved Sales Adjustments 2'!$G$7:$WU$147,68,FALSE),1,0)))</f>
        <v>0</v>
      </c>
      <c r="AR92" s="41">
        <f>SUM($AG92:AG92)</f>
        <v>1</v>
      </c>
      <c r="AS92" s="41">
        <f>SUM($AG92:AH92)</f>
        <v>1</v>
      </c>
      <c r="AT92" s="41">
        <f>SUM($AG92:AI92)</f>
        <v>1</v>
      </c>
      <c r="AU92" s="41">
        <f>SUM($AG92:AJ92)</f>
        <v>1</v>
      </c>
      <c r="AV92" s="41">
        <f>SUM($AG92:AK92)</f>
        <v>1</v>
      </c>
      <c r="AW92" s="41">
        <f>SUM($AG92:AL92)</f>
        <v>1</v>
      </c>
      <c r="AX92" s="41">
        <f>SUM($AG92:AM92)</f>
        <v>1</v>
      </c>
      <c r="AY92" s="41">
        <f>SUM($AG92:AN92)</f>
        <v>1</v>
      </c>
      <c r="AZ92" s="41">
        <f>SUM($AG92:AO92)</f>
        <v>1</v>
      </c>
      <c r="BA92" s="41">
        <f>SUM($AG92:AP92)</f>
        <v>1</v>
      </c>
      <c r="BB92" s="41">
        <f>SUM($AG92:AQ92)</f>
        <v>1</v>
      </c>
      <c r="BC92" s="41" t="str">
        <f>IF(AG92=1,IF(AND(AR92=$BB92,$BB92&gt;1),IF($BB92&lt;3,CONCATENATE(" and ",BC$90),CONCATENATE("and ",BC$90)),IF($BB92&lt;3,BC$90,CONCATENATE(BC$90,", "))),"")</f>
        <v>Subject</v>
      </c>
      <c r="BD92" s="41" t="str">
        <f t="shared" ref="BD92:BM107" si="27">IF(AH92=1,IF(AND(AS92=$BB92,$BB92&gt;1),IF($BB92&lt;3,CONCATENATE(" and ",BD$90),CONCATENATE("and ",BD$90)),IF($BB92&lt;3,BD$90,CONCATENATE(BD$90,", "))),"")</f>
        <v/>
      </c>
      <c r="BE92" s="41" t="str">
        <f t="shared" si="27"/>
        <v/>
      </c>
      <c r="BF92" s="41" t="str">
        <f t="shared" si="27"/>
        <v/>
      </c>
      <c r="BG92" s="41" t="str">
        <f t="shared" si="27"/>
        <v/>
      </c>
      <c r="BH92" s="41" t="str">
        <f t="shared" si="27"/>
        <v/>
      </c>
      <c r="BI92" s="41" t="str">
        <f t="shared" si="27"/>
        <v/>
      </c>
      <c r="BJ92" s="41" t="str">
        <f t="shared" si="27"/>
        <v/>
      </c>
      <c r="BK92" s="41" t="str">
        <f t="shared" si="27"/>
        <v/>
      </c>
      <c r="BL92" s="41" t="str">
        <f t="shared" si="27"/>
        <v/>
      </c>
      <c r="BM92" s="41" t="str">
        <f t="shared" si="27"/>
        <v/>
      </c>
    </row>
    <row r="93" spans="1:65" ht="15" customHeight="1" x14ac:dyDescent="0.25">
      <c r="A93" s="957">
        <f t="shared" si="25"/>
        <v>0</v>
      </c>
      <c r="B93" s="32"/>
      <c r="C93" s="32"/>
      <c r="D93" s="96"/>
      <c r="E93" s="10"/>
      <c r="F93" s="10"/>
      <c r="G93" s="10"/>
      <c r="H93" s="10"/>
      <c r="I93" s="10"/>
      <c r="J93" s="10"/>
      <c r="K93" s="10"/>
      <c r="L93" s="10"/>
      <c r="M93" s="10"/>
      <c r="N93" s="10"/>
      <c r="O93" s="10"/>
      <c r="P93" s="4"/>
      <c r="Q93" s="1204"/>
      <c r="R93" s="101" t="str">
        <f t="shared" ref="R93:R156" si="28">CONCATENATE(BC93,BD93,BE93,BF93,BG93,BH93,BI93,BJ93,BK93,BL93,BM93)</f>
        <v/>
      </c>
      <c r="S93" s="137">
        <v>1</v>
      </c>
      <c r="T93" s="2129">
        <v>0</v>
      </c>
      <c r="U93" s="2130">
        <v>0</v>
      </c>
      <c r="V93" s="2130">
        <v>0</v>
      </c>
      <c r="W93" s="2130">
        <v>0</v>
      </c>
      <c r="X93" s="2130">
        <v>0.01</v>
      </c>
      <c r="Y93" s="2130">
        <v>0.01</v>
      </c>
      <c r="Z93" s="2130">
        <v>0.01</v>
      </c>
      <c r="AA93" s="2130">
        <v>0.02</v>
      </c>
      <c r="AB93" s="2130">
        <v>0.02</v>
      </c>
      <c r="AC93" s="2130">
        <v>0.03</v>
      </c>
      <c r="AD93" s="101"/>
      <c r="AE93" s="6"/>
      <c r="AF93" s="11"/>
      <c r="AG93" s="41">
        <f t="shared" si="26"/>
        <v>0</v>
      </c>
      <c r="AH93" s="41">
        <f>IF(ISERROR(HLOOKUP(AH$91,'Improved Sales Adjustments 2'!$G$7:$WU$147,68,FALSE)),0,IF(HLOOKUP(AH$91,'Improved Sales Adjustments 2'!$G$7:$WU$147,68,FALSE)="",0,IF($S93=HLOOKUP(AH$91,'Improved Sales Adjustments 2'!$G$7:$WU$147,68,FALSE),1,0)))</f>
        <v>0</v>
      </c>
      <c r="AI93" s="41">
        <f>IF(ISERROR(HLOOKUP(AI$91,'Improved Sales Adjustments 2'!$G$7:$WU$147,68,FALSE)),0,IF(HLOOKUP(AI$91,'Improved Sales Adjustments 2'!$G$7:$WU$147,68,FALSE)="",0,IF($S93=HLOOKUP(AI$91,'Improved Sales Adjustments 2'!$G$7:$WU$147,68,FALSE),1,0)))</f>
        <v>0</v>
      </c>
      <c r="AJ93" s="41">
        <f>IF(ISERROR(HLOOKUP(AJ$91,'Improved Sales Adjustments 2'!$G$7:$WU$147,68,FALSE)),0,IF(HLOOKUP(AJ$91,'Improved Sales Adjustments 2'!$G$7:$WU$147,68,FALSE)="",0,IF($S93=HLOOKUP(AJ$91,'Improved Sales Adjustments 2'!$G$7:$WU$147,68,FALSE),1,0)))</f>
        <v>0</v>
      </c>
      <c r="AK93" s="41">
        <f>IF(ISERROR(HLOOKUP(AK$91,'Improved Sales Adjustments 2'!$G$7:$WU$147,68,FALSE)),0,IF(HLOOKUP(AK$91,'Improved Sales Adjustments 2'!$G$7:$WU$147,68,FALSE)="",0,IF($S93=HLOOKUP(AK$91,'Improved Sales Adjustments 2'!$G$7:$WU$147,68,FALSE),1,0)))</f>
        <v>0</v>
      </c>
      <c r="AL93" s="41">
        <f>IF(ISERROR(HLOOKUP(AL$91,'Improved Sales Adjustments 2'!$G$7:$WU$147,68,FALSE)),0,IF(HLOOKUP(AL$91,'Improved Sales Adjustments 2'!$G$7:$WU$147,68,FALSE)="",0,IF($S93=HLOOKUP(AL$91,'Improved Sales Adjustments 2'!$G$7:$WU$147,68,FALSE),1,0)))</f>
        <v>0</v>
      </c>
      <c r="AM93" s="41">
        <f>IF(ISERROR(HLOOKUP(AM$91,'Improved Sales Adjustments 2'!$G$7:$WU$147,68,FALSE)),0,IF(HLOOKUP(AM$91,'Improved Sales Adjustments 2'!$G$7:$WU$147,68,FALSE)="",0,IF($S93=HLOOKUP(AM$91,'Improved Sales Adjustments 2'!$G$7:$WU$147,68,FALSE),1,0)))</f>
        <v>0</v>
      </c>
      <c r="AN93" s="41">
        <f>IF(ISERROR(HLOOKUP(AN$91,'Improved Sales Adjustments 2'!$G$7:$WU$147,68,FALSE)),0,IF(HLOOKUP(AN$91,'Improved Sales Adjustments 2'!$G$7:$WU$147,68,FALSE)="",0,IF($S93=HLOOKUP(AN$91,'Improved Sales Adjustments 2'!$G$7:$WU$147,68,FALSE),1,0)))</f>
        <v>0</v>
      </c>
      <c r="AO93" s="41">
        <f>IF(ISERROR(HLOOKUP(AO$91,'Improved Sales Adjustments 2'!$G$7:$WU$147,68,FALSE)),0,IF(HLOOKUP(AO$91,'Improved Sales Adjustments 2'!$G$7:$WU$147,68,FALSE)="",0,IF($S93=HLOOKUP(AO$91,'Improved Sales Adjustments 2'!$G$7:$WU$147,68,FALSE),1,0)))</f>
        <v>0</v>
      </c>
      <c r="AP93" s="41">
        <f>IF(ISERROR(HLOOKUP(AP$91,'Improved Sales Adjustments 2'!$G$7:$WU$147,68,FALSE)),0,IF(HLOOKUP(AP$91,'Improved Sales Adjustments 2'!$G$7:$WU$147,68,FALSE)="",0,IF($S93=HLOOKUP(AP$91,'Improved Sales Adjustments 2'!$G$7:$WU$147,68,FALSE),1,0)))</f>
        <v>0</v>
      </c>
      <c r="AQ93" s="41">
        <f>IF(ISERROR(HLOOKUP(AQ$91,'Improved Sales Adjustments 2'!$G$7:$WU$147,68,FALSE)),0,IF(HLOOKUP(AQ$91,'Improved Sales Adjustments 2'!$G$7:$WU$147,68,FALSE)="",0,IF($S93=HLOOKUP(AQ$91,'Improved Sales Adjustments 2'!$G$7:$WU$147,68,FALSE),1,0)))</f>
        <v>0</v>
      </c>
      <c r="AR93" s="41">
        <f>SUM($AG93:AG93)</f>
        <v>0</v>
      </c>
      <c r="AS93" s="41">
        <f>SUM($AG93:AH93)</f>
        <v>0</v>
      </c>
      <c r="AT93" s="41">
        <f>SUM($AG93:AI93)</f>
        <v>0</v>
      </c>
      <c r="AU93" s="41">
        <f>SUM($AG93:AJ93)</f>
        <v>0</v>
      </c>
      <c r="AV93" s="41">
        <f>SUM($AG93:AK93)</f>
        <v>0</v>
      </c>
      <c r="AW93" s="41">
        <f>SUM($AG93:AL93)</f>
        <v>0</v>
      </c>
      <c r="AX93" s="41">
        <f>SUM($AG93:AM93)</f>
        <v>0</v>
      </c>
      <c r="AY93" s="41">
        <f>SUM($AG93:AN93)</f>
        <v>0</v>
      </c>
      <c r="AZ93" s="41">
        <f>SUM($AG93:AO93)</f>
        <v>0</v>
      </c>
      <c r="BA93" s="41">
        <f>SUM($AG93:AP93)</f>
        <v>0</v>
      </c>
      <c r="BB93" s="41">
        <f>SUM($AG93:AQ93)</f>
        <v>0</v>
      </c>
      <c r="BC93" s="41" t="str">
        <f t="shared" ref="BC93:BM129" si="29">IF(AG93=1,IF(AND(AR93=$BB93,$BB93&gt;1),IF($BB93&lt;3,CONCATENATE(" and ",BC$90),CONCATENATE("and ",BC$90)),IF($BB93&lt;3,BC$90,CONCATENATE(BC$90,", "))),"")</f>
        <v/>
      </c>
      <c r="BD93" s="41" t="str">
        <f t="shared" si="27"/>
        <v/>
      </c>
      <c r="BE93" s="41" t="str">
        <f t="shared" si="27"/>
        <v/>
      </c>
      <c r="BF93" s="41" t="str">
        <f t="shared" si="27"/>
        <v/>
      </c>
      <c r="BG93" s="41" t="str">
        <f t="shared" si="27"/>
        <v/>
      </c>
      <c r="BH93" s="41" t="str">
        <f t="shared" si="27"/>
        <v/>
      </c>
      <c r="BI93" s="41" t="str">
        <f t="shared" si="27"/>
        <v/>
      </c>
      <c r="BJ93" s="41" t="str">
        <f t="shared" si="27"/>
        <v/>
      </c>
      <c r="BK93" s="41" t="str">
        <f t="shared" si="27"/>
        <v/>
      </c>
      <c r="BL93" s="41" t="str">
        <f t="shared" si="27"/>
        <v/>
      </c>
      <c r="BM93" s="41" t="str">
        <f t="shared" si="27"/>
        <v/>
      </c>
    </row>
    <row r="94" spans="1:65" ht="15" customHeight="1" x14ac:dyDescent="0.25">
      <c r="A94" s="957">
        <f t="shared" si="25"/>
        <v>0</v>
      </c>
      <c r="B94" s="10"/>
      <c r="C94" s="10"/>
      <c r="D94" s="13"/>
      <c r="E94" s="10"/>
      <c r="F94" s="10"/>
      <c r="G94" s="10"/>
      <c r="H94" s="10"/>
      <c r="I94" s="10"/>
      <c r="J94" s="10"/>
      <c r="K94" s="10"/>
      <c r="L94" s="10"/>
      <c r="M94" s="10"/>
      <c r="N94" s="10"/>
      <c r="O94" s="10"/>
      <c r="P94" s="4"/>
      <c r="Q94" s="1204"/>
      <c r="R94" s="101" t="str">
        <f t="shared" si="28"/>
        <v/>
      </c>
      <c r="S94" s="137">
        <f>S93+1</f>
        <v>2</v>
      </c>
      <c r="T94" s="2129">
        <v>0</v>
      </c>
      <c r="U94" s="2130">
        <v>0.01</v>
      </c>
      <c r="V94" s="2130">
        <v>0.01</v>
      </c>
      <c r="W94" s="2130">
        <v>0.01</v>
      </c>
      <c r="X94" s="2130">
        <v>0.01</v>
      </c>
      <c r="Y94" s="2130">
        <v>0.02</v>
      </c>
      <c r="Z94" s="2130">
        <v>0.02</v>
      </c>
      <c r="AA94" s="2130">
        <v>0.03</v>
      </c>
      <c r="AB94" s="2130">
        <v>0.05</v>
      </c>
      <c r="AC94" s="2130">
        <v>7.0000000000000007E-2</v>
      </c>
      <c r="AD94" s="101"/>
      <c r="AE94" s="6"/>
      <c r="AF94" s="11"/>
      <c r="AG94" s="41">
        <f t="shared" si="26"/>
        <v>0</v>
      </c>
      <c r="AH94" s="41">
        <f>IF(ISERROR(HLOOKUP(AH$91,'Improved Sales Adjustments 2'!$G$7:$WU$147,68,FALSE)),0,IF(HLOOKUP(AH$91,'Improved Sales Adjustments 2'!$G$7:$WU$147,68,FALSE)="",0,IF($S94=HLOOKUP(AH$91,'Improved Sales Adjustments 2'!$G$7:$WU$147,68,FALSE),1,0)))</f>
        <v>0</v>
      </c>
      <c r="AI94" s="41">
        <f>IF(ISERROR(HLOOKUP(AI$91,'Improved Sales Adjustments 2'!$G$7:$WU$147,68,FALSE)),0,IF(HLOOKUP(AI$91,'Improved Sales Adjustments 2'!$G$7:$WU$147,68,FALSE)="",0,IF($S94=HLOOKUP(AI$91,'Improved Sales Adjustments 2'!$G$7:$WU$147,68,FALSE),1,0)))</f>
        <v>0</v>
      </c>
      <c r="AJ94" s="41">
        <f>IF(ISERROR(HLOOKUP(AJ$91,'Improved Sales Adjustments 2'!$G$7:$WU$147,68,FALSE)),0,IF(HLOOKUP(AJ$91,'Improved Sales Adjustments 2'!$G$7:$WU$147,68,FALSE)="",0,IF($S94=HLOOKUP(AJ$91,'Improved Sales Adjustments 2'!$G$7:$WU$147,68,FALSE),1,0)))</f>
        <v>0</v>
      </c>
      <c r="AK94" s="41">
        <f>IF(ISERROR(HLOOKUP(AK$91,'Improved Sales Adjustments 2'!$G$7:$WU$147,68,FALSE)),0,IF(HLOOKUP(AK$91,'Improved Sales Adjustments 2'!$G$7:$WU$147,68,FALSE)="",0,IF($S94=HLOOKUP(AK$91,'Improved Sales Adjustments 2'!$G$7:$WU$147,68,FALSE),1,0)))</f>
        <v>0</v>
      </c>
      <c r="AL94" s="41">
        <f>IF(ISERROR(HLOOKUP(AL$91,'Improved Sales Adjustments 2'!$G$7:$WU$147,68,FALSE)),0,IF(HLOOKUP(AL$91,'Improved Sales Adjustments 2'!$G$7:$WU$147,68,FALSE)="",0,IF($S94=HLOOKUP(AL$91,'Improved Sales Adjustments 2'!$G$7:$WU$147,68,FALSE),1,0)))</f>
        <v>0</v>
      </c>
      <c r="AM94" s="41">
        <f>IF(ISERROR(HLOOKUP(AM$91,'Improved Sales Adjustments 2'!$G$7:$WU$147,68,FALSE)),0,IF(HLOOKUP(AM$91,'Improved Sales Adjustments 2'!$G$7:$WU$147,68,FALSE)="",0,IF($S94=HLOOKUP(AM$91,'Improved Sales Adjustments 2'!$G$7:$WU$147,68,FALSE),1,0)))</f>
        <v>0</v>
      </c>
      <c r="AN94" s="41">
        <f>IF(ISERROR(HLOOKUP(AN$91,'Improved Sales Adjustments 2'!$G$7:$WU$147,68,FALSE)),0,IF(HLOOKUP(AN$91,'Improved Sales Adjustments 2'!$G$7:$WU$147,68,FALSE)="",0,IF($S94=HLOOKUP(AN$91,'Improved Sales Adjustments 2'!$G$7:$WU$147,68,FALSE),1,0)))</f>
        <v>0</v>
      </c>
      <c r="AO94" s="41">
        <f>IF(ISERROR(HLOOKUP(AO$91,'Improved Sales Adjustments 2'!$G$7:$WU$147,68,FALSE)),0,IF(HLOOKUP(AO$91,'Improved Sales Adjustments 2'!$G$7:$WU$147,68,FALSE)="",0,IF($S94=HLOOKUP(AO$91,'Improved Sales Adjustments 2'!$G$7:$WU$147,68,FALSE),1,0)))</f>
        <v>0</v>
      </c>
      <c r="AP94" s="41">
        <f>IF(ISERROR(HLOOKUP(AP$91,'Improved Sales Adjustments 2'!$G$7:$WU$147,68,FALSE)),0,IF(HLOOKUP(AP$91,'Improved Sales Adjustments 2'!$G$7:$WU$147,68,FALSE)="",0,IF($S94=HLOOKUP(AP$91,'Improved Sales Adjustments 2'!$G$7:$WU$147,68,FALSE),1,0)))</f>
        <v>0</v>
      </c>
      <c r="AQ94" s="41">
        <f>IF(ISERROR(HLOOKUP(AQ$91,'Improved Sales Adjustments 2'!$G$7:$WU$147,68,FALSE)),0,IF(HLOOKUP(AQ$91,'Improved Sales Adjustments 2'!$G$7:$WU$147,68,FALSE)="",0,IF($S94=HLOOKUP(AQ$91,'Improved Sales Adjustments 2'!$G$7:$WU$147,68,FALSE),1,0)))</f>
        <v>0</v>
      </c>
      <c r="AR94" s="41">
        <f>SUM($AG94:AG94)</f>
        <v>0</v>
      </c>
      <c r="AS94" s="41">
        <f>SUM($AG94:AH94)</f>
        <v>0</v>
      </c>
      <c r="AT94" s="41">
        <f>SUM($AG94:AI94)</f>
        <v>0</v>
      </c>
      <c r="AU94" s="41">
        <f>SUM($AG94:AJ94)</f>
        <v>0</v>
      </c>
      <c r="AV94" s="41">
        <f>SUM($AG94:AK94)</f>
        <v>0</v>
      </c>
      <c r="AW94" s="41">
        <f>SUM($AG94:AL94)</f>
        <v>0</v>
      </c>
      <c r="AX94" s="41">
        <f>SUM($AG94:AM94)</f>
        <v>0</v>
      </c>
      <c r="AY94" s="41">
        <f>SUM($AG94:AN94)</f>
        <v>0</v>
      </c>
      <c r="AZ94" s="41">
        <f>SUM($AG94:AO94)</f>
        <v>0</v>
      </c>
      <c r="BA94" s="41">
        <f>SUM($AG94:AP94)</f>
        <v>0</v>
      </c>
      <c r="BB94" s="41">
        <f>SUM($AG94:AQ94)</f>
        <v>0</v>
      </c>
      <c r="BC94" s="41" t="str">
        <f t="shared" si="29"/>
        <v/>
      </c>
      <c r="BD94" s="41" t="str">
        <f t="shared" si="27"/>
        <v/>
      </c>
      <c r="BE94" s="41" t="str">
        <f t="shared" si="27"/>
        <v/>
      </c>
      <c r="BF94" s="41" t="str">
        <f t="shared" si="27"/>
        <v/>
      </c>
      <c r="BG94" s="41" t="str">
        <f t="shared" si="27"/>
        <v/>
      </c>
      <c r="BH94" s="41" t="str">
        <f t="shared" si="27"/>
        <v/>
      </c>
      <c r="BI94" s="41" t="str">
        <f t="shared" si="27"/>
        <v/>
      </c>
      <c r="BJ94" s="41" t="str">
        <f t="shared" si="27"/>
        <v/>
      </c>
      <c r="BK94" s="41" t="str">
        <f t="shared" si="27"/>
        <v/>
      </c>
      <c r="BL94" s="41" t="str">
        <f t="shared" si="27"/>
        <v/>
      </c>
      <c r="BM94" s="41" t="str">
        <f t="shared" si="27"/>
        <v/>
      </c>
    </row>
    <row r="95" spans="1:65" ht="15" customHeight="1" x14ac:dyDescent="0.25">
      <c r="A95" s="957">
        <f t="shared" si="25"/>
        <v>0</v>
      </c>
      <c r="B95" s="10"/>
      <c r="C95" s="10"/>
      <c r="D95" s="13"/>
      <c r="E95" s="10"/>
      <c r="F95" s="10"/>
      <c r="G95" s="10"/>
      <c r="H95" s="10"/>
      <c r="I95" s="10"/>
      <c r="J95" s="10"/>
      <c r="K95" s="10"/>
      <c r="L95" s="10"/>
      <c r="M95" s="10"/>
      <c r="N95" s="10"/>
      <c r="O95" s="10"/>
      <c r="P95" s="4"/>
      <c r="Q95" s="1204"/>
      <c r="R95" s="101" t="str">
        <f t="shared" si="28"/>
        <v/>
      </c>
      <c r="S95" s="137">
        <f t="shared" ref="S95:S158" si="30">S94+1</f>
        <v>3</v>
      </c>
      <c r="T95" s="2129">
        <v>0</v>
      </c>
      <c r="U95" s="2130">
        <v>0.01</v>
      </c>
      <c r="V95" s="2130">
        <v>0.01</v>
      </c>
      <c r="W95" s="2130">
        <v>0.01</v>
      </c>
      <c r="X95" s="2130">
        <v>0.02</v>
      </c>
      <c r="Y95" s="2130">
        <v>0.03</v>
      </c>
      <c r="Z95" s="2130">
        <v>0.04</v>
      </c>
      <c r="AA95" s="2130">
        <v>0.05</v>
      </c>
      <c r="AB95" s="2130">
        <v>7.0000000000000007E-2</v>
      </c>
      <c r="AC95" s="2130">
        <v>0.1</v>
      </c>
      <c r="AD95" s="101"/>
      <c r="AE95" s="6"/>
      <c r="AF95" s="11"/>
      <c r="AG95" s="41">
        <f t="shared" si="26"/>
        <v>0</v>
      </c>
      <c r="AH95" s="41">
        <f>IF(ISERROR(HLOOKUP(AH$91,'Improved Sales Adjustments 2'!$G$7:$WU$147,68,FALSE)),0,IF(HLOOKUP(AH$91,'Improved Sales Adjustments 2'!$G$7:$WU$147,68,FALSE)="",0,IF($S95=HLOOKUP(AH$91,'Improved Sales Adjustments 2'!$G$7:$WU$147,68,FALSE),1,0)))</f>
        <v>0</v>
      </c>
      <c r="AI95" s="41">
        <f>IF(ISERROR(HLOOKUP(AI$91,'Improved Sales Adjustments 2'!$G$7:$WU$147,68,FALSE)),0,IF(HLOOKUP(AI$91,'Improved Sales Adjustments 2'!$G$7:$WU$147,68,FALSE)="",0,IF($S95=HLOOKUP(AI$91,'Improved Sales Adjustments 2'!$G$7:$WU$147,68,FALSE),1,0)))</f>
        <v>0</v>
      </c>
      <c r="AJ95" s="41">
        <f>IF(ISERROR(HLOOKUP(AJ$91,'Improved Sales Adjustments 2'!$G$7:$WU$147,68,FALSE)),0,IF(HLOOKUP(AJ$91,'Improved Sales Adjustments 2'!$G$7:$WU$147,68,FALSE)="",0,IF($S95=HLOOKUP(AJ$91,'Improved Sales Adjustments 2'!$G$7:$WU$147,68,FALSE),1,0)))</f>
        <v>0</v>
      </c>
      <c r="AK95" s="41">
        <f>IF(ISERROR(HLOOKUP(AK$91,'Improved Sales Adjustments 2'!$G$7:$WU$147,68,FALSE)),0,IF(HLOOKUP(AK$91,'Improved Sales Adjustments 2'!$G$7:$WU$147,68,FALSE)="",0,IF($S95=HLOOKUP(AK$91,'Improved Sales Adjustments 2'!$G$7:$WU$147,68,FALSE),1,0)))</f>
        <v>0</v>
      </c>
      <c r="AL95" s="41">
        <f>IF(ISERROR(HLOOKUP(AL$91,'Improved Sales Adjustments 2'!$G$7:$WU$147,68,FALSE)),0,IF(HLOOKUP(AL$91,'Improved Sales Adjustments 2'!$G$7:$WU$147,68,FALSE)="",0,IF($S95=HLOOKUP(AL$91,'Improved Sales Adjustments 2'!$G$7:$WU$147,68,FALSE),1,0)))</f>
        <v>0</v>
      </c>
      <c r="AM95" s="41">
        <f>IF(ISERROR(HLOOKUP(AM$91,'Improved Sales Adjustments 2'!$G$7:$WU$147,68,FALSE)),0,IF(HLOOKUP(AM$91,'Improved Sales Adjustments 2'!$G$7:$WU$147,68,FALSE)="",0,IF($S95=HLOOKUP(AM$91,'Improved Sales Adjustments 2'!$G$7:$WU$147,68,FALSE),1,0)))</f>
        <v>0</v>
      </c>
      <c r="AN95" s="41">
        <f>IF(ISERROR(HLOOKUP(AN$91,'Improved Sales Adjustments 2'!$G$7:$WU$147,68,FALSE)),0,IF(HLOOKUP(AN$91,'Improved Sales Adjustments 2'!$G$7:$WU$147,68,FALSE)="",0,IF($S95=HLOOKUP(AN$91,'Improved Sales Adjustments 2'!$G$7:$WU$147,68,FALSE),1,0)))</f>
        <v>0</v>
      </c>
      <c r="AO95" s="41">
        <f>IF(ISERROR(HLOOKUP(AO$91,'Improved Sales Adjustments 2'!$G$7:$WU$147,68,FALSE)),0,IF(HLOOKUP(AO$91,'Improved Sales Adjustments 2'!$G$7:$WU$147,68,FALSE)="",0,IF($S95=HLOOKUP(AO$91,'Improved Sales Adjustments 2'!$G$7:$WU$147,68,FALSE),1,0)))</f>
        <v>0</v>
      </c>
      <c r="AP95" s="41">
        <f>IF(ISERROR(HLOOKUP(AP$91,'Improved Sales Adjustments 2'!$G$7:$WU$147,68,FALSE)),0,IF(HLOOKUP(AP$91,'Improved Sales Adjustments 2'!$G$7:$WU$147,68,FALSE)="",0,IF($S95=HLOOKUP(AP$91,'Improved Sales Adjustments 2'!$G$7:$WU$147,68,FALSE),1,0)))</f>
        <v>0</v>
      </c>
      <c r="AQ95" s="41">
        <f>IF(ISERROR(HLOOKUP(AQ$91,'Improved Sales Adjustments 2'!$G$7:$WU$147,68,FALSE)),0,IF(HLOOKUP(AQ$91,'Improved Sales Adjustments 2'!$G$7:$WU$147,68,FALSE)="",0,IF($S95=HLOOKUP(AQ$91,'Improved Sales Adjustments 2'!$G$7:$WU$147,68,FALSE),1,0)))</f>
        <v>0</v>
      </c>
      <c r="AR95" s="41">
        <f>SUM($AG95:AG95)</f>
        <v>0</v>
      </c>
      <c r="AS95" s="41">
        <f>SUM($AG95:AH95)</f>
        <v>0</v>
      </c>
      <c r="AT95" s="41">
        <f>SUM($AG95:AI95)</f>
        <v>0</v>
      </c>
      <c r="AU95" s="41">
        <f>SUM($AG95:AJ95)</f>
        <v>0</v>
      </c>
      <c r="AV95" s="41">
        <f>SUM($AG95:AK95)</f>
        <v>0</v>
      </c>
      <c r="AW95" s="41">
        <f>SUM($AG95:AL95)</f>
        <v>0</v>
      </c>
      <c r="AX95" s="41">
        <f>SUM($AG95:AM95)</f>
        <v>0</v>
      </c>
      <c r="AY95" s="41">
        <f>SUM($AG95:AN95)</f>
        <v>0</v>
      </c>
      <c r="AZ95" s="41">
        <f>SUM($AG95:AO95)</f>
        <v>0</v>
      </c>
      <c r="BA95" s="41">
        <f>SUM($AG95:AP95)</f>
        <v>0</v>
      </c>
      <c r="BB95" s="41">
        <f>SUM($AG95:AQ95)</f>
        <v>0</v>
      </c>
      <c r="BC95" s="41" t="str">
        <f t="shared" si="29"/>
        <v/>
      </c>
      <c r="BD95" s="41" t="str">
        <f t="shared" si="27"/>
        <v/>
      </c>
      <c r="BE95" s="41" t="str">
        <f t="shared" si="27"/>
        <v/>
      </c>
      <c r="BF95" s="41" t="str">
        <f t="shared" si="27"/>
        <v/>
      </c>
      <c r="BG95" s="41" t="str">
        <f t="shared" si="27"/>
        <v/>
      </c>
      <c r="BH95" s="41" t="str">
        <f t="shared" si="27"/>
        <v/>
      </c>
      <c r="BI95" s="41" t="str">
        <f t="shared" si="27"/>
        <v/>
      </c>
      <c r="BJ95" s="41" t="str">
        <f t="shared" si="27"/>
        <v/>
      </c>
      <c r="BK95" s="41" t="str">
        <f t="shared" si="27"/>
        <v/>
      </c>
      <c r="BL95" s="41" t="str">
        <f t="shared" si="27"/>
        <v/>
      </c>
      <c r="BM95" s="41" t="str">
        <f t="shared" si="27"/>
        <v/>
      </c>
    </row>
    <row r="96" spans="1:65" ht="15" customHeight="1" x14ac:dyDescent="0.25">
      <c r="A96" s="957">
        <f t="shared" si="25"/>
        <v>0</v>
      </c>
      <c r="B96" s="10"/>
      <c r="C96" s="10"/>
      <c r="D96" s="13"/>
      <c r="E96" s="10"/>
      <c r="F96" s="10"/>
      <c r="G96" s="10"/>
      <c r="H96" s="10"/>
      <c r="I96" s="10"/>
      <c r="J96" s="10"/>
      <c r="K96" s="10"/>
      <c r="L96" s="10"/>
      <c r="M96" s="10"/>
      <c r="N96" s="10"/>
      <c r="O96" s="10"/>
      <c r="P96" s="4"/>
      <c r="Q96" s="1204"/>
      <c r="R96" s="101" t="str">
        <f t="shared" si="28"/>
        <v/>
      </c>
      <c r="S96" s="137">
        <f t="shared" si="30"/>
        <v>4</v>
      </c>
      <c r="T96" s="2129">
        <v>0.01</v>
      </c>
      <c r="U96" s="2130">
        <v>0.01</v>
      </c>
      <c r="V96" s="2130">
        <v>0.01</v>
      </c>
      <c r="W96" s="2130">
        <v>0.02</v>
      </c>
      <c r="X96" s="2130">
        <v>0.03</v>
      </c>
      <c r="Y96" s="2130">
        <v>0.04</v>
      </c>
      <c r="Z96" s="2130">
        <v>0.05</v>
      </c>
      <c r="AA96" s="2130">
        <v>7.0000000000000007E-2</v>
      </c>
      <c r="AB96" s="2130">
        <v>0.01</v>
      </c>
      <c r="AC96" s="2130">
        <v>0.14000000000000001</v>
      </c>
      <c r="AD96" s="101"/>
      <c r="AE96" s="6"/>
      <c r="AF96" s="11"/>
      <c r="AG96" s="41">
        <f t="shared" si="26"/>
        <v>0</v>
      </c>
      <c r="AH96" s="41">
        <f>IF(ISERROR(HLOOKUP(AH$91,'Improved Sales Adjustments 2'!$G$7:$WU$147,68,FALSE)),0,IF(HLOOKUP(AH$91,'Improved Sales Adjustments 2'!$G$7:$WU$147,68,FALSE)="",0,IF($S96=HLOOKUP(AH$91,'Improved Sales Adjustments 2'!$G$7:$WU$147,68,FALSE),1,0)))</f>
        <v>0</v>
      </c>
      <c r="AI96" s="41">
        <f>IF(ISERROR(HLOOKUP(AI$91,'Improved Sales Adjustments 2'!$G$7:$WU$147,68,FALSE)),0,IF(HLOOKUP(AI$91,'Improved Sales Adjustments 2'!$G$7:$WU$147,68,FALSE)="",0,IF($S96=HLOOKUP(AI$91,'Improved Sales Adjustments 2'!$G$7:$WU$147,68,FALSE),1,0)))</f>
        <v>0</v>
      </c>
      <c r="AJ96" s="41">
        <f>IF(ISERROR(HLOOKUP(AJ$91,'Improved Sales Adjustments 2'!$G$7:$WU$147,68,FALSE)),0,IF(HLOOKUP(AJ$91,'Improved Sales Adjustments 2'!$G$7:$WU$147,68,FALSE)="",0,IF($S96=HLOOKUP(AJ$91,'Improved Sales Adjustments 2'!$G$7:$WU$147,68,FALSE),1,0)))</f>
        <v>0</v>
      </c>
      <c r="AK96" s="41">
        <f>IF(ISERROR(HLOOKUP(AK$91,'Improved Sales Adjustments 2'!$G$7:$WU$147,68,FALSE)),0,IF(HLOOKUP(AK$91,'Improved Sales Adjustments 2'!$G$7:$WU$147,68,FALSE)="",0,IF($S96=HLOOKUP(AK$91,'Improved Sales Adjustments 2'!$G$7:$WU$147,68,FALSE),1,0)))</f>
        <v>0</v>
      </c>
      <c r="AL96" s="41">
        <f>IF(ISERROR(HLOOKUP(AL$91,'Improved Sales Adjustments 2'!$G$7:$WU$147,68,FALSE)),0,IF(HLOOKUP(AL$91,'Improved Sales Adjustments 2'!$G$7:$WU$147,68,FALSE)="",0,IF($S96=HLOOKUP(AL$91,'Improved Sales Adjustments 2'!$G$7:$WU$147,68,FALSE),1,0)))</f>
        <v>0</v>
      </c>
      <c r="AM96" s="41">
        <f>IF(ISERROR(HLOOKUP(AM$91,'Improved Sales Adjustments 2'!$G$7:$WU$147,68,FALSE)),0,IF(HLOOKUP(AM$91,'Improved Sales Adjustments 2'!$G$7:$WU$147,68,FALSE)="",0,IF($S96=HLOOKUP(AM$91,'Improved Sales Adjustments 2'!$G$7:$WU$147,68,FALSE),1,0)))</f>
        <v>0</v>
      </c>
      <c r="AN96" s="41">
        <f>IF(ISERROR(HLOOKUP(AN$91,'Improved Sales Adjustments 2'!$G$7:$WU$147,68,FALSE)),0,IF(HLOOKUP(AN$91,'Improved Sales Adjustments 2'!$G$7:$WU$147,68,FALSE)="",0,IF($S96=HLOOKUP(AN$91,'Improved Sales Adjustments 2'!$G$7:$WU$147,68,FALSE),1,0)))</f>
        <v>0</v>
      </c>
      <c r="AO96" s="41">
        <f>IF(ISERROR(HLOOKUP(AO$91,'Improved Sales Adjustments 2'!$G$7:$WU$147,68,FALSE)),0,IF(HLOOKUP(AO$91,'Improved Sales Adjustments 2'!$G$7:$WU$147,68,FALSE)="",0,IF($S96=HLOOKUP(AO$91,'Improved Sales Adjustments 2'!$G$7:$WU$147,68,FALSE),1,0)))</f>
        <v>0</v>
      </c>
      <c r="AP96" s="41">
        <f>IF(ISERROR(HLOOKUP(AP$91,'Improved Sales Adjustments 2'!$G$7:$WU$147,68,FALSE)),0,IF(HLOOKUP(AP$91,'Improved Sales Adjustments 2'!$G$7:$WU$147,68,FALSE)="",0,IF($S96=HLOOKUP(AP$91,'Improved Sales Adjustments 2'!$G$7:$WU$147,68,FALSE),1,0)))</f>
        <v>0</v>
      </c>
      <c r="AQ96" s="41">
        <f>IF(ISERROR(HLOOKUP(AQ$91,'Improved Sales Adjustments 2'!$G$7:$WU$147,68,FALSE)),0,IF(HLOOKUP(AQ$91,'Improved Sales Adjustments 2'!$G$7:$WU$147,68,FALSE)="",0,IF($S96=HLOOKUP(AQ$91,'Improved Sales Adjustments 2'!$G$7:$WU$147,68,FALSE),1,0)))</f>
        <v>0</v>
      </c>
      <c r="AR96" s="41">
        <f>SUM($AG96:AG96)</f>
        <v>0</v>
      </c>
      <c r="AS96" s="41">
        <f>SUM($AG96:AH96)</f>
        <v>0</v>
      </c>
      <c r="AT96" s="41">
        <f>SUM($AG96:AI96)</f>
        <v>0</v>
      </c>
      <c r="AU96" s="41">
        <f>SUM($AG96:AJ96)</f>
        <v>0</v>
      </c>
      <c r="AV96" s="41">
        <f>SUM($AG96:AK96)</f>
        <v>0</v>
      </c>
      <c r="AW96" s="41">
        <f>SUM($AG96:AL96)</f>
        <v>0</v>
      </c>
      <c r="AX96" s="41">
        <f>SUM($AG96:AM96)</f>
        <v>0</v>
      </c>
      <c r="AY96" s="41">
        <f>SUM($AG96:AN96)</f>
        <v>0</v>
      </c>
      <c r="AZ96" s="41">
        <f>SUM($AG96:AO96)</f>
        <v>0</v>
      </c>
      <c r="BA96" s="41">
        <f>SUM($AG96:AP96)</f>
        <v>0</v>
      </c>
      <c r="BB96" s="41">
        <f>SUM($AG96:AQ96)</f>
        <v>0</v>
      </c>
      <c r="BC96" s="41" t="str">
        <f t="shared" si="29"/>
        <v/>
      </c>
      <c r="BD96" s="41" t="str">
        <f t="shared" si="27"/>
        <v/>
      </c>
      <c r="BE96" s="41" t="str">
        <f t="shared" si="27"/>
        <v/>
      </c>
      <c r="BF96" s="41" t="str">
        <f t="shared" si="27"/>
        <v/>
      </c>
      <c r="BG96" s="41" t="str">
        <f t="shared" si="27"/>
        <v/>
      </c>
      <c r="BH96" s="41" t="str">
        <f t="shared" si="27"/>
        <v/>
      </c>
      <c r="BI96" s="41" t="str">
        <f t="shared" si="27"/>
        <v/>
      </c>
      <c r="BJ96" s="41" t="str">
        <f t="shared" si="27"/>
        <v/>
      </c>
      <c r="BK96" s="41" t="str">
        <f t="shared" si="27"/>
        <v/>
      </c>
      <c r="BL96" s="41" t="str">
        <f t="shared" si="27"/>
        <v/>
      </c>
      <c r="BM96" s="41" t="str">
        <f t="shared" si="27"/>
        <v/>
      </c>
    </row>
    <row r="97" spans="1:65" ht="15" customHeight="1" x14ac:dyDescent="0.25">
      <c r="A97" s="957">
        <f t="shared" si="25"/>
        <v>0</v>
      </c>
      <c r="B97" s="10"/>
      <c r="C97" s="10"/>
      <c r="D97" s="13"/>
      <c r="E97" s="10"/>
      <c r="F97" s="10"/>
      <c r="G97" s="10"/>
      <c r="H97" s="10"/>
      <c r="I97" s="10"/>
      <c r="J97" s="10"/>
      <c r="K97" s="10"/>
      <c r="L97" s="10"/>
      <c r="M97" s="10"/>
      <c r="N97" s="10"/>
      <c r="O97" s="10"/>
      <c r="P97" s="4"/>
      <c r="Q97" s="1204"/>
      <c r="R97" s="101" t="str">
        <f t="shared" si="28"/>
        <v/>
      </c>
      <c r="S97" s="137">
        <f t="shared" si="30"/>
        <v>5</v>
      </c>
      <c r="T97" s="2129">
        <v>0.01</v>
      </c>
      <c r="U97" s="2130">
        <v>0.01</v>
      </c>
      <c r="V97" s="2130">
        <v>0.02</v>
      </c>
      <c r="W97" s="2130">
        <v>0.03</v>
      </c>
      <c r="X97" s="2130">
        <v>0.04</v>
      </c>
      <c r="Y97" s="2130">
        <v>0.05</v>
      </c>
      <c r="Z97" s="2130">
        <v>0.06</v>
      </c>
      <c r="AA97" s="2130">
        <v>0.09</v>
      </c>
      <c r="AB97" s="2130">
        <v>0.13</v>
      </c>
      <c r="AC97" s="2130">
        <v>0.18</v>
      </c>
      <c r="AD97" s="101"/>
      <c r="AE97" s="6"/>
      <c r="AF97" s="11"/>
      <c r="AG97" s="41">
        <f t="shared" si="26"/>
        <v>0</v>
      </c>
      <c r="AH97" s="41">
        <f>IF(ISERROR(HLOOKUP(AH$91,'Improved Sales Adjustments 2'!$G$7:$WU$147,68,FALSE)),0,IF(HLOOKUP(AH$91,'Improved Sales Adjustments 2'!$G$7:$WU$147,68,FALSE)="",0,IF($S97=HLOOKUP(AH$91,'Improved Sales Adjustments 2'!$G$7:$WU$147,68,FALSE),1,0)))</f>
        <v>0</v>
      </c>
      <c r="AI97" s="41">
        <f>IF(ISERROR(HLOOKUP(AI$91,'Improved Sales Adjustments 2'!$G$7:$WU$147,68,FALSE)),0,IF(HLOOKUP(AI$91,'Improved Sales Adjustments 2'!$G$7:$WU$147,68,FALSE)="",0,IF($S97=HLOOKUP(AI$91,'Improved Sales Adjustments 2'!$G$7:$WU$147,68,FALSE),1,0)))</f>
        <v>0</v>
      </c>
      <c r="AJ97" s="41">
        <f>IF(ISERROR(HLOOKUP(AJ$91,'Improved Sales Adjustments 2'!$G$7:$WU$147,68,FALSE)),0,IF(HLOOKUP(AJ$91,'Improved Sales Adjustments 2'!$G$7:$WU$147,68,FALSE)="",0,IF($S97=HLOOKUP(AJ$91,'Improved Sales Adjustments 2'!$G$7:$WU$147,68,FALSE),1,0)))</f>
        <v>0</v>
      </c>
      <c r="AK97" s="41">
        <f>IF(ISERROR(HLOOKUP(AK$91,'Improved Sales Adjustments 2'!$G$7:$WU$147,68,FALSE)),0,IF(HLOOKUP(AK$91,'Improved Sales Adjustments 2'!$G$7:$WU$147,68,FALSE)="",0,IF($S97=HLOOKUP(AK$91,'Improved Sales Adjustments 2'!$G$7:$WU$147,68,FALSE),1,0)))</f>
        <v>0</v>
      </c>
      <c r="AL97" s="41">
        <f>IF(ISERROR(HLOOKUP(AL$91,'Improved Sales Adjustments 2'!$G$7:$WU$147,68,FALSE)),0,IF(HLOOKUP(AL$91,'Improved Sales Adjustments 2'!$G$7:$WU$147,68,FALSE)="",0,IF($S97=HLOOKUP(AL$91,'Improved Sales Adjustments 2'!$G$7:$WU$147,68,FALSE),1,0)))</f>
        <v>0</v>
      </c>
      <c r="AM97" s="41">
        <f>IF(ISERROR(HLOOKUP(AM$91,'Improved Sales Adjustments 2'!$G$7:$WU$147,68,FALSE)),0,IF(HLOOKUP(AM$91,'Improved Sales Adjustments 2'!$G$7:$WU$147,68,FALSE)="",0,IF($S97=HLOOKUP(AM$91,'Improved Sales Adjustments 2'!$G$7:$WU$147,68,FALSE),1,0)))</f>
        <v>0</v>
      </c>
      <c r="AN97" s="41">
        <f>IF(ISERROR(HLOOKUP(AN$91,'Improved Sales Adjustments 2'!$G$7:$WU$147,68,FALSE)),0,IF(HLOOKUP(AN$91,'Improved Sales Adjustments 2'!$G$7:$WU$147,68,FALSE)="",0,IF($S97=HLOOKUP(AN$91,'Improved Sales Adjustments 2'!$G$7:$WU$147,68,FALSE),1,0)))</f>
        <v>0</v>
      </c>
      <c r="AO97" s="41">
        <f>IF(ISERROR(HLOOKUP(AO$91,'Improved Sales Adjustments 2'!$G$7:$WU$147,68,FALSE)),0,IF(HLOOKUP(AO$91,'Improved Sales Adjustments 2'!$G$7:$WU$147,68,FALSE)="",0,IF($S97=HLOOKUP(AO$91,'Improved Sales Adjustments 2'!$G$7:$WU$147,68,FALSE),1,0)))</f>
        <v>0</v>
      </c>
      <c r="AP97" s="41">
        <f>IF(ISERROR(HLOOKUP(AP$91,'Improved Sales Adjustments 2'!$G$7:$WU$147,68,FALSE)),0,IF(HLOOKUP(AP$91,'Improved Sales Adjustments 2'!$G$7:$WU$147,68,FALSE)="",0,IF($S97=HLOOKUP(AP$91,'Improved Sales Adjustments 2'!$G$7:$WU$147,68,FALSE),1,0)))</f>
        <v>0</v>
      </c>
      <c r="AQ97" s="41">
        <f>IF(ISERROR(HLOOKUP(AQ$91,'Improved Sales Adjustments 2'!$G$7:$WU$147,68,FALSE)),0,IF(HLOOKUP(AQ$91,'Improved Sales Adjustments 2'!$G$7:$WU$147,68,FALSE)="",0,IF($S97=HLOOKUP(AQ$91,'Improved Sales Adjustments 2'!$G$7:$WU$147,68,FALSE),1,0)))</f>
        <v>0</v>
      </c>
      <c r="AR97" s="41">
        <f>SUM($AG97:AG97)</f>
        <v>0</v>
      </c>
      <c r="AS97" s="41">
        <f>SUM($AG97:AH97)</f>
        <v>0</v>
      </c>
      <c r="AT97" s="41">
        <f>SUM($AG97:AI97)</f>
        <v>0</v>
      </c>
      <c r="AU97" s="41">
        <f>SUM($AG97:AJ97)</f>
        <v>0</v>
      </c>
      <c r="AV97" s="41">
        <f>SUM($AG97:AK97)</f>
        <v>0</v>
      </c>
      <c r="AW97" s="41">
        <f>SUM($AG97:AL97)</f>
        <v>0</v>
      </c>
      <c r="AX97" s="41">
        <f>SUM($AG97:AM97)</f>
        <v>0</v>
      </c>
      <c r="AY97" s="41">
        <f>SUM($AG97:AN97)</f>
        <v>0</v>
      </c>
      <c r="AZ97" s="41">
        <f>SUM($AG97:AO97)</f>
        <v>0</v>
      </c>
      <c r="BA97" s="41">
        <f>SUM($AG97:AP97)</f>
        <v>0</v>
      </c>
      <c r="BB97" s="41">
        <f>SUM($AG97:AQ97)</f>
        <v>0</v>
      </c>
      <c r="BC97" s="41" t="str">
        <f t="shared" si="29"/>
        <v/>
      </c>
      <c r="BD97" s="41" t="str">
        <f t="shared" si="27"/>
        <v/>
      </c>
      <c r="BE97" s="41" t="str">
        <f t="shared" si="27"/>
        <v/>
      </c>
      <c r="BF97" s="41" t="str">
        <f t="shared" si="27"/>
        <v/>
      </c>
      <c r="BG97" s="41" t="str">
        <f t="shared" si="27"/>
        <v/>
      </c>
      <c r="BH97" s="41" t="str">
        <f t="shared" si="27"/>
        <v/>
      </c>
      <c r="BI97" s="41" t="str">
        <f t="shared" si="27"/>
        <v/>
      </c>
      <c r="BJ97" s="41" t="str">
        <f t="shared" si="27"/>
        <v/>
      </c>
      <c r="BK97" s="41" t="str">
        <f t="shared" si="27"/>
        <v/>
      </c>
      <c r="BL97" s="41" t="str">
        <f t="shared" si="27"/>
        <v/>
      </c>
      <c r="BM97" s="41" t="str">
        <f t="shared" si="27"/>
        <v/>
      </c>
    </row>
    <row r="98" spans="1:65" ht="15" customHeight="1" x14ac:dyDescent="0.25">
      <c r="A98" s="957">
        <f t="shared" si="25"/>
        <v>0</v>
      </c>
      <c r="B98" s="10"/>
      <c r="C98" s="10"/>
      <c r="D98" s="13"/>
      <c r="E98" s="10"/>
      <c r="F98" s="10"/>
      <c r="G98" s="10"/>
      <c r="H98" s="10"/>
      <c r="I98" s="10"/>
      <c r="J98" s="10"/>
      <c r="K98" s="10"/>
      <c r="L98" s="10"/>
      <c r="M98" s="10"/>
      <c r="N98" s="10"/>
      <c r="O98" s="10"/>
      <c r="P98" s="4"/>
      <c r="Q98" s="1204"/>
      <c r="R98" s="101" t="str">
        <f t="shared" si="28"/>
        <v/>
      </c>
      <c r="S98" s="137">
        <f t="shared" si="30"/>
        <v>6</v>
      </c>
      <c r="T98" s="2129">
        <v>0.01</v>
      </c>
      <c r="U98" s="2130">
        <v>0.02</v>
      </c>
      <c r="V98" s="2130">
        <v>0.02</v>
      </c>
      <c r="W98" s="2130">
        <v>0.03</v>
      </c>
      <c r="X98" s="2130">
        <v>0.04</v>
      </c>
      <c r="Y98" s="2130">
        <v>0.06</v>
      </c>
      <c r="Z98" s="2130">
        <v>0.08</v>
      </c>
      <c r="AA98" s="2130">
        <v>0.11</v>
      </c>
      <c r="AB98" s="2130">
        <v>0.16</v>
      </c>
      <c r="AC98" s="2130">
        <v>0.22</v>
      </c>
      <c r="AD98" s="101"/>
      <c r="AE98" s="6"/>
      <c r="AF98" s="11"/>
      <c r="AG98" s="41">
        <f t="shared" si="26"/>
        <v>0</v>
      </c>
      <c r="AH98" s="41">
        <f>IF(ISERROR(HLOOKUP(AH$91,'Improved Sales Adjustments 2'!$G$7:$WU$147,68,FALSE)),0,IF(HLOOKUP(AH$91,'Improved Sales Adjustments 2'!$G$7:$WU$147,68,FALSE)="",0,IF($S98=HLOOKUP(AH$91,'Improved Sales Adjustments 2'!$G$7:$WU$147,68,FALSE),1,0)))</f>
        <v>0</v>
      </c>
      <c r="AI98" s="41">
        <f>IF(ISERROR(HLOOKUP(AI$91,'Improved Sales Adjustments 2'!$G$7:$WU$147,68,FALSE)),0,IF(HLOOKUP(AI$91,'Improved Sales Adjustments 2'!$G$7:$WU$147,68,FALSE)="",0,IF($S98=HLOOKUP(AI$91,'Improved Sales Adjustments 2'!$G$7:$WU$147,68,FALSE),1,0)))</f>
        <v>0</v>
      </c>
      <c r="AJ98" s="41">
        <f>IF(ISERROR(HLOOKUP(AJ$91,'Improved Sales Adjustments 2'!$G$7:$WU$147,68,FALSE)),0,IF(HLOOKUP(AJ$91,'Improved Sales Adjustments 2'!$G$7:$WU$147,68,FALSE)="",0,IF($S98=HLOOKUP(AJ$91,'Improved Sales Adjustments 2'!$G$7:$WU$147,68,FALSE),1,0)))</f>
        <v>0</v>
      </c>
      <c r="AK98" s="41">
        <f>IF(ISERROR(HLOOKUP(AK$91,'Improved Sales Adjustments 2'!$G$7:$WU$147,68,FALSE)),0,IF(HLOOKUP(AK$91,'Improved Sales Adjustments 2'!$G$7:$WU$147,68,FALSE)="",0,IF($S98=HLOOKUP(AK$91,'Improved Sales Adjustments 2'!$G$7:$WU$147,68,FALSE),1,0)))</f>
        <v>0</v>
      </c>
      <c r="AL98" s="41">
        <f>IF(ISERROR(HLOOKUP(AL$91,'Improved Sales Adjustments 2'!$G$7:$WU$147,68,FALSE)),0,IF(HLOOKUP(AL$91,'Improved Sales Adjustments 2'!$G$7:$WU$147,68,FALSE)="",0,IF($S98=HLOOKUP(AL$91,'Improved Sales Adjustments 2'!$G$7:$WU$147,68,FALSE),1,0)))</f>
        <v>0</v>
      </c>
      <c r="AM98" s="41">
        <f>IF(ISERROR(HLOOKUP(AM$91,'Improved Sales Adjustments 2'!$G$7:$WU$147,68,FALSE)),0,IF(HLOOKUP(AM$91,'Improved Sales Adjustments 2'!$G$7:$WU$147,68,FALSE)="",0,IF($S98=HLOOKUP(AM$91,'Improved Sales Adjustments 2'!$G$7:$WU$147,68,FALSE),1,0)))</f>
        <v>0</v>
      </c>
      <c r="AN98" s="41">
        <f>IF(ISERROR(HLOOKUP(AN$91,'Improved Sales Adjustments 2'!$G$7:$WU$147,68,FALSE)),0,IF(HLOOKUP(AN$91,'Improved Sales Adjustments 2'!$G$7:$WU$147,68,FALSE)="",0,IF($S98=HLOOKUP(AN$91,'Improved Sales Adjustments 2'!$G$7:$WU$147,68,FALSE),1,0)))</f>
        <v>0</v>
      </c>
      <c r="AO98" s="41">
        <f>IF(ISERROR(HLOOKUP(AO$91,'Improved Sales Adjustments 2'!$G$7:$WU$147,68,FALSE)),0,IF(HLOOKUP(AO$91,'Improved Sales Adjustments 2'!$G$7:$WU$147,68,FALSE)="",0,IF($S98=HLOOKUP(AO$91,'Improved Sales Adjustments 2'!$G$7:$WU$147,68,FALSE),1,0)))</f>
        <v>0</v>
      </c>
      <c r="AP98" s="41">
        <f>IF(ISERROR(HLOOKUP(AP$91,'Improved Sales Adjustments 2'!$G$7:$WU$147,68,FALSE)),0,IF(HLOOKUP(AP$91,'Improved Sales Adjustments 2'!$G$7:$WU$147,68,FALSE)="",0,IF($S98=HLOOKUP(AP$91,'Improved Sales Adjustments 2'!$G$7:$WU$147,68,FALSE),1,0)))</f>
        <v>0</v>
      </c>
      <c r="AQ98" s="41">
        <f>IF(ISERROR(HLOOKUP(AQ$91,'Improved Sales Adjustments 2'!$G$7:$WU$147,68,FALSE)),0,IF(HLOOKUP(AQ$91,'Improved Sales Adjustments 2'!$G$7:$WU$147,68,FALSE)="",0,IF($S98=HLOOKUP(AQ$91,'Improved Sales Adjustments 2'!$G$7:$WU$147,68,FALSE),1,0)))</f>
        <v>0</v>
      </c>
      <c r="AR98" s="41">
        <f>SUM($AG98:AG98)</f>
        <v>0</v>
      </c>
      <c r="AS98" s="41">
        <f>SUM($AG98:AH98)</f>
        <v>0</v>
      </c>
      <c r="AT98" s="41">
        <f>SUM($AG98:AI98)</f>
        <v>0</v>
      </c>
      <c r="AU98" s="41">
        <f>SUM($AG98:AJ98)</f>
        <v>0</v>
      </c>
      <c r="AV98" s="41">
        <f>SUM($AG98:AK98)</f>
        <v>0</v>
      </c>
      <c r="AW98" s="41">
        <f>SUM($AG98:AL98)</f>
        <v>0</v>
      </c>
      <c r="AX98" s="41">
        <f>SUM($AG98:AM98)</f>
        <v>0</v>
      </c>
      <c r="AY98" s="41">
        <f>SUM($AG98:AN98)</f>
        <v>0</v>
      </c>
      <c r="AZ98" s="41">
        <f>SUM($AG98:AO98)</f>
        <v>0</v>
      </c>
      <c r="BA98" s="41">
        <f>SUM($AG98:AP98)</f>
        <v>0</v>
      </c>
      <c r="BB98" s="41">
        <f>SUM($AG98:AQ98)</f>
        <v>0</v>
      </c>
      <c r="BC98" s="41" t="str">
        <f t="shared" si="29"/>
        <v/>
      </c>
      <c r="BD98" s="41" t="str">
        <f t="shared" si="27"/>
        <v/>
      </c>
      <c r="BE98" s="41" t="str">
        <f t="shared" si="27"/>
        <v/>
      </c>
      <c r="BF98" s="41" t="str">
        <f t="shared" si="27"/>
        <v/>
      </c>
      <c r="BG98" s="41" t="str">
        <f t="shared" si="27"/>
        <v/>
      </c>
      <c r="BH98" s="41" t="str">
        <f t="shared" si="27"/>
        <v/>
      </c>
      <c r="BI98" s="41" t="str">
        <f t="shared" si="27"/>
        <v/>
      </c>
      <c r="BJ98" s="41" t="str">
        <f t="shared" si="27"/>
        <v/>
      </c>
      <c r="BK98" s="41" t="str">
        <f t="shared" si="27"/>
        <v/>
      </c>
      <c r="BL98" s="41" t="str">
        <f t="shared" si="27"/>
        <v/>
      </c>
      <c r="BM98" s="41" t="str">
        <f t="shared" si="27"/>
        <v/>
      </c>
    </row>
    <row r="99" spans="1:65" ht="15" customHeight="1" x14ac:dyDescent="0.25">
      <c r="A99" s="957">
        <f t="shared" si="25"/>
        <v>0</v>
      </c>
      <c r="B99" s="10"/>
      <c r="C99" s="10"/>
      <c r="D99" s="13"/>
      <c r="E99" s="10"/>
      <c r="F99" s="10"/>
      <c r="G99" s="10"/>
      <c r="H99" s="10"/>
      <c r="I99" s="10"/>
      <c r="J99" s="10"/>
      <c r="K99" s="10"/>
      <c r="L99" s="10"/>
      <c r="M99" s="10"/>
      <c r="N99" s="10"/>
      <c r="O99" s="10"/>
      <c r="P99" s="4"/>
      <c r="Q99" s="1204"/>
      <c r="R99" s="101" t="str">
        <f t="shared" si="28"/>
        <v/>
      </c>
      <c r="S99" s="137">
        <f t="shared" si="30"/>
        <v>7</v>
      </c>
      <c r="T99" s="2129">
        <v>0.01</v>
      </c>
      <c r="U99" s="2130">
        <v>0.02</v>
      </c>
      <c r="V99" s="2130">
        <v>0.03</v>
      </c>
      <c r="W99" s="2130">
        <v>0.04</v>
      </c>
      <c r="X99" s="2130">
        <v>0.05</v>
      </c>
      <c r="Y99" s="2130">
        <v>7.0000000000000007E-2</v>
      </c>
      <c r="Z99" s="2130">
        <v>0.1</v>
      </c>
      <c r="AA99" s="2130">
        <v>0.14000000000000001</v>
      </c>
      <c r="AB99" s="2130">
        <v>0.19</v>
      </c>
      <c r="AC99" s="2130">
        <v>0.26</v>
      </c>
      <c r="AD99" s="101"/>
      <c r="AE99" s="6"/>
      <c r="AF99" s="11"/>
      <c r="AG99" s="41">
        <f t="shared" si="26"/>
        <v>0</v>
      </c>
      <c r="AH99" s="41">
        <f>IF(ISERROR(HLOOKUP(AH$91,'Improved Sales Adjustments 2'!$G$7:$WU$147,68,FALSE)),0,IF(HLOOKUP(AH$91,'Improved Sales Adjustments 2'!$G$7:$WU$147,68,FALSE)="",0,IF($S99=HLOOKUP(AH$91,'Improved Sales Adjustments 2'!$G$7:$WU$147,68,FALSE),1,0)))</f>
        <v>0</v>
      </c>
      <c r="AI99" s="41">
        <f>IF(ISERROR(HLOOKUP(AI$91,'Improved Sales Adjustments 2'!$G$7:$WU$147,68,FALSE)),0,IF(HLOOKUP(AI$91,'Improved Sales Adjustments 2'!$G$7:$WU$147,68,FALSE)="",0,IF($S99=HLOOKUP(AI$91,'Improved Sales Adjustments 2'!$G$7:$WU$147,68,FALSE),1,0)))</f>
        <v>0</v>
      </c>
      <c r="AJ99" s="41">
        <f>IF(ISERROR(HLOOKUP(AJ$91,'Improved Sales Adjustments 2'!$G$7:$WU$147,68,FALSE)),0,IF(HLOOKUP(AJ$91,'Improved Sales Adjustments 2'!$G$7:$WU$147,68,FALSE)="",0,IF($S99=HLOOKUP(AJ$91,'Improved Sales Adjustments 2'!$G$7:$WU$147,68,FALSE),1,0)))</f>
        <v>0</v>
      </c>
      <c r="AK99" s="41">
        <f>IF(ISERROR(HLOOKUP(AK$91,'Improved Sales Adjustments 2'!$G$7:$WU$147,68,FALSE)),0,IF(HLOOKUP(AK$91,'Improved Sales Adjustments 2'!$G$7:$WU$147,68,FALSE)="",0,IF($S99=HLOOKUP(AK$91,'Improved Sales Adjustments 2'!$G$7:$WU$147,68,FALSE),1,0)))</f>
        <v>0</v>
      </c>
      <c r="AL99" s="41">
        <f>IF(ISERROR(HLOOKUP(AL$91,'Improved Sales Adjustments 2'!$G$7:$WU$147,68,FALSE)),0,IF(HLOOKUP(AL$91,'Improved Sales Adjustments 2'!$G$7:$WU$147,68,FALSE)="",0,IF($S99=HLOOKUP(AL$91,'Improved Sales Adjustments 2'!$G$7:$WU$147,68,FALSE),1,0)))</f>
        <v>0</v>
      </c>
      <c r="AM99" s="41">
        <f>IF(ISERROR(HLOOKUP(AM$91,'Improved Sales Adjustments 2'!$G$7:$WU$147,68,FALSE)),0,IF(HLOOKUP(AM$91,'Improved Sales Adjustments 2'!$G$7:$WU$147,68,FALSE)="",0,IF($S99=HLOOKUP(AM$91,'Improved Sales Adjustments 2'!$G$7:$WU$147,68,FALSE),1,0)))</f>
        <v>0</v>
      </c>
      <c r="AN99" s="41">
        <f>IF(ISERROR(HLOOKUP(AN$91,'Improved Sales Adjustments 2'!$G$7:$WU$147,68,FALSE)),0,IF(HLOOKUP(AN$91,'Improved Sales Adjustments 2'!$G$7:$WU$147,68,FALSE)="",0,IF($S99=HLOOKUP(AN$91,'Improved Sales Adjustments 2'!$G$7:$WU$147,68,FALSE),1,0)))</f>
        <v>0</v>
      </c>
      <c r="AO99" s="41">
        <f>IF(ISERROR(HLOOKUP(AO$91,'Improved Sales Adjustments 2'!$G$7:$WU$147,68,FALSE)),0,IF(HLOOKUP(AO$91,'Improved Sales Adjustments 2'!$G$7:$WU$147,68,FALSE)="",0,IF($S99=HLOOKUP(AO$91,'Improved Sales Adjustments 2'!$G$7:$WU$147,68,FALSE),1,0)))</f>
        <v>0</v>
      </c>
      <c r="AP99" s="41">
        <f>IF(ISERROR(HLOOKUP(AP$91,'Improved Sales Adjustments 2'!$G$7:$WU$147,68,FALSE)),0,IF(HLOOKUP(AP$91,'Improved Sales Adjustments 2'!$G$7:$WU$147,68,FALSE)="",0,IF($S99=HLOOKUP(AP$91,'Improved Sales Adjustments 2'!$G$7:$WU$147,68,FALSE),1,0)))</f>
        <v>0</v>
      </c>
      <c r="AQ99" s="41">
        <f>IF(ISERROR(HLOOKUP(AQ$91,'Improved Sales Adjustments 2'!$G$7:$WU$147,68,FALSE)),0,IF(HLOOKUP(AQ$91,'Improved Sales Adjustments 2'!$G$7:$WU$147,68,FALSE)="",0,IF($S99=HLOOKUP(AQ$91,'Improved Sales Adjustments 2'!$G$7:$WU$147,68,FALSE),1,0)))</f>
        <v>0</v>
      </c>
      <c r="AR99" s="41">
        <f>SUM($AG99:AG99)</f>
        <v>0</v>
      </c>
      <c r="AS99" s="41">
        <f>SUM($AG99:AH99)</f>
        <v>0</v>
      </c>
      <c r="AT99" s="41">
        <f>SUM($AG99:AI99)</f>
        <v>0</v>
      </c>
      <c r="AU99" s="41">
        <f>SUM($AG99:AJ99)</f>
        <v>0</v>
      </c>
      <c r="AV99" s="41">
        <f>SUM($AG99:AK99)</f>
        <v>0</v>
      </c>
      <c r="AW99" s="41">
        <f>SUM($AG99:AL99)</f>
        <v>0</v>
      </c>
      <c r="AX99" s="41">
        <f>SUM($AG99:AM99)</f>
        <v>0</v>
      </c>
      <c r="AY99" s="41">
        <f>SUM($AG99:AN99)</f>
        <v>0</v>
      </c>
      <c r="AZ99" s="41">
        <f>SUM($AG99:AO99)</f>
        <v>0</v>
      </c>
      <c r="BA99" s="41">
        <f>SUM($AG99:AP99)</f>
        <v>0</v>
      </c>
      <c r="BB99" s="41">
        <f>SUM($AG99:AQ99)</f>
        <v>0</v>
      </c>
      <c r="BC99" s="41" t="str">
        <f t="shared" si="29"/>
        <v/>
      </c>
      <c r="BD99" s="41" t="str">
        <f t="shared" si="27"/>
        <v/>
      </c>
      <c r="BE99" s="41" t="str">
        <f t="shared" si="27"/>
        <v/>
      </c>
      <c r="BF99" s="41" t="str">
        <f t="shared" si="27"/>
        <v/>
      </c>
      <c r="BG99" s="41" t="str">
        <f t="shared" si="27"/>
        <v/>
      </c>
      <c r="BH99" s="41" t="str">
        <f t="shared" si="27"/>
        <v/>
      </c>
      <c r="BI99" s="41" t="str">
        <f t="shared" si="27"/>
        <v/>
      </c>
      <c r="BJ99" s="41" t="str">
        <f t="shared" si="27"/>
        <v/>
      </c>
      <c r="BK99" s="41" t="str">
        <f t="shared" si="27"/>
        <v/>
      </c>
      <c r="BL99" s="41" t="str">
        <f t="shared" si="27"/>
        <v/>
      </c>
      <c r="BM99" s="41" t="str">
        <f t="shared" si="27"/>
        <v/>
      </c>
    </row>
    <row r="100" spans="1:65" ht="15" customHeight="1" x14ac:dyDescent="0.25">
      <c r="A100" s="957">
        <f t="shared" si="25"/>
        <v>0</v>
      </c>
      <c r="B100" s="10"/>
      <c r="C100" s="10"/>
      <c r="D100" s="13"/>
      <c r="E100" s="10"/>
      <c r="F100" s="10"/>
      <c r="G100" s="10"/>
      <c r="H100" s="10"/>
      <c r="I100" s="10"/>
      <c r="J100" s="10"/>
      <c r="K100" s="10"/>
      <c r="L100" s="10"/>
      <c r="M100" s="10"/>
      <c r="N100" s="10"/>
      <c r="O100" s="10"/>
      <c r="P100" s="4"/>
      <c r="Q100" s="1204"/>
      <c r="R100" s="101" t="str">
        <f t="shared" si="28"/>
        <v/>
      </c>
      <c r="S100" s="137">
        <f t="shared" si="30"/>
        <v>8</v>
      </c>
      <c r="T100" s="2129">
        <v>0.01</v>
      </c>
      <c r="U100" s="2130">
        <v>0.02</v>
      </c>
      <c r="V100" s="2130">
        <v>0.03</v>
      </c>
      <c r="W100" s="2130">
        <v>0.05</v>
      </c>
      <c r="X100" s="2130">
        <v>0.06</v>
      </c>
      <c r="Y100" s="2130">
        <v>0.08</v>
      </c>
      <c r="Z100" s="2130">
        <v>0.11</v>
      </c>
      <c r="AA100" s="2130">
        <v>0.16</v>
      </c>
      <c r="AB100" s="2130">
        <v>0.22</v>
      </c>
      <c r="AC100" s="2130">
        <v>0.3</v>
      </c>
      <c r="AD100" s="101"/>
      <c r="AE100" s="6"/>
      <c r="AF100" s="11"/>
      <c r="AG100" s="41">
        <f t="shared" si="26"/>
        <v>0</v>
      </c>
      <c r="AH100" s="41">
        <f>IF(ISERROR(HLOOKUP(AH$91,'Improved Sales Adjustments 2'!$G$7:$WU$147,68,FALSE)),0,IF(HLOOKUP(AH$91,'Improved Sales Adjustments 2'!$G$7:$WU$147,68,FALSE)="",0,IF($S100=HLOOKUP(AH$91,'Improved Sales Adjustments 2'!$G$7:$WU$147,68,FALSE),1,0)))</f>
        <v>0</v>
      </c>
      <c r="AI100" s="41">
        <f>IF(ISERROR(HLOOKUP(AI$91,'Improved Sales Adjustments 2'!$G$7:$WU$147,68,FALSE)),0,IF(HLOOKUP(AI$91,'Improved Sales Adjustments 2'!$G$7:$WU$147,68,FALSE)="",0,IF($S100=HLOOKUP(AI$91,'Improved Sales Adjustments 2'!$G$7:$WU$147,68,FALSE),1,0)))</f>
        <v>0</v>
      </c>
      <c r="AJ100" s="41">
        <f>IF(ISERROR(HLOOKUP(AJ$91,'Improved Sales Adjustments 2'!$G$7:$WU$147,68,FALSE)),0,IF(HLOOKUP(AJ$91,'Improved Sales Adjustments 2'!$G$7:$WU$147,68,FALSE)="",0,IF($S100=HLOOKUP(AJ$91,'Improved Sales Adjustments 2'!$G$7:$WU$147,68,FALSE),1,0)))</f>
        <v>0</v>
      </c>
      <c r="AK100" s="41">
        <f>IF(ISERROR(HLOOKUP(AK$91,'Improved Sales Adjustments 2'!$G$7:$WU$147,68,FALSE)),0,IF(HLOOKUP(AK$91,'Improved Sales Adjustments 2'!$G$7:$WU$147,68,FALSE)="",0,IF($S100=HLOOKUP(AK$91,'Improved Sales Adjustments 2'!$G$7:$WU$147,68,FALSE),1,0)))</f>
        <v>0</v>
      </c>
      <c r="AL100" s="41">
        <f>IF(ISERROR(HLOOKUP(AL$91,'Improved Sales Adjustments 2'!$G$7:$WU$147,68,FALSE)),0,IF(HLOOKUP(AL$91,'Improved Sales Adjustments 2'!$G$7:$WU$147,68,FALSE)="",0,IF($S100=HLOOKUP(AL$91,'Improved Sales Adjustments 2'!$G$7:$WU$147,68,FALSE),1,0)))</f>
        <v>0</v>
      </c>
      <c r="AM100" s="41">
        <f>IF(ISERROR(HLOOKUP(AM$91,'Improved Sales Adjustments 2'!$G$7:$WU$147,68,FALSE)),0,IF(HLOOKUP(AM$91,'Improved Sales Adjustments 2'!$G$7:$WU$147,68,FALSE)="",0,IF($S100=HLOOKUP(AM$91,'Improved Sales Adjustments 2'!$G$7:$WU$147,68,FALSE),1,0)))</f>
        <v>0</v>
      </c>
      <c r="AN100" s="41">
        <f>IF(ISERROR(HLOOKUP(AN$91,'Improved Sales Adjustments 2'!$G$7:$WU$147,68,FALSE)),0,IF(HLOOKUP(AN$91,'Improved Sales Adjustments 2'!$G$7:$WU$147,68,FALSE)="",0,IF($S100=HLOOKUP(AN$91,'Improved Sales Adjustments 2'!$G$7:$WU$147,68,FALSE),1,0)))</f>
        <v>0</v>
      </c>
      <c r="AO100" s="41">
        <f>IF(ISERROR(HLOOKUP(AO$91,'Improved Sales Adjustments 2'!$G$7:$WU$147,68,FALSE)),0,IF(HLOOKUP(AO$91,'Improved Sales Adjustments 2'!$G$7:$WU$147,68,FALSE)="",0,IF($S100=HLOOKUP(AO$91,'Improved Sales Adjustments 2'!$G$7:$WU$147,68,FALSE),1,0)))</f>
        <v>0</v>
      </c>
      <c r="AP100" s="41">
        <f>IF(ISERROR(HLOOKUP(AP$91,'Improved Sales Adjustments 2'!$G$7:$WU$147,68,FALSE)),0,IF(HLOOKUP(AP$91,'Improved Sales Adjustments 2'!$G$7:$WU$147,68,FALSE)="",0,IF($S100=HLOOKUP(AP$91,'Improved Sales Adjustments 2'!$G$7:$WU$147,68,FALSE),1,0)))</f>
        <v>0</v>
      </c>
      <c r="AQ100" s="41">
        <f>IF(ISERROR(HLOOKUP(AQ$91,'Improved Sales Adjustments 2'!$G$7:$WU$147,68,FALSE)),0,IF(HLOOKUP(AQ$91,'Improved Sales Adjustments 2'!$G$7:$WU$147,68,FALSE)="",0,IF($S100=HLOOKUP(AQ$91,'Improved Sales Adjustments 2'!$G$7:$WU$147,68,FALSE),1,0)))</f>
        <v>0</v>
      </c>
      <c r="AR100" s="41">
        <f>SUM($AG100:AG100)</f>
        <v>0</v>
      </c>
      <c r="AS100" s="41">
        <f>SUM($AG100:AH100)</f>
        <v>0</v>
      </c>
      <c r="AT100" s="41">
        <f>SUM($AG100:AI100)</f>
        <v>0</v>
      </c>
      <c r="AU100" s="41">
        <f>SUM($AG100:AJ100)</f>
        <v>0</v>
      </c>
      <c r="AV100" s="41">
        <f>SUM($AG100:AK100)</f>
        <v>0</v>
      </c>
      <c r="AW100" s="41">
        <f>SUM($AG100:AL100)</f>
        <v>0</v>
      </c>
      <c r="AX100" s="41">
        <f>SUM($AG100:AM100)</f>
        <v>0</v>
      </c>
      <c r="AY100" s="41">
        <f>SUM($AG100:AN100)</f>
        <v>0</v>
      </c>
      <c r="AZ100" s="41">
        <f>SUM($AG100:AO100)</f>
        <v>0</v>
      </c>
      <c r="BA100" s="41">
        <f>SUM($AG100:AP100)</f>
        <v>0</v>
      </c>
      <c r="BB100" s="41">
        <f>SUM($AG100:AQ100)</f>
        <v>0</v>
      </c>
      <c r="BC100" s="41" t="str">
        <f t="shared" si="29"/>
        <v/>
      </c>
      <c r="BD100" s="41" t="str">
        <f t="shared" si="27"/>
        <v/>
      </c>
      <c r="BE100" s="41" t="str">
        <f t="shared" si="27"/>
        <v/>
      </c>
      <c r="BF100" s="41" t="str">
        <f t="shared" si="27"/>
        <v/>
      </c>
      <c r="BG100" s="41" t="str">
        <f t="shared" si="27"/>
        <v/>
      </c>
      <c r="BH100" s="41" t="str">
        <f t="shared" si="27"/>
        <v/>
      </c>
      <c r="BI100" s="41" t="str">
        <f t="shared" si="27"/>
        <v/>
      </c>
      <c r="BJ100" s="41" t="str">
        <f t="shared" si="27"/>
        <v/>
      </c>
      <c r="BK100" s="41" t="str">
        <f t="shared" si="27"/>
        <v/>
      </c>
      <c r="BL100" s="41" t="str">
        <f t="shared" si="27"/>
        <v/>
      </c>
      <c r="BM100" s="41" t="str">
        <f t="shared" si="27"/>
        <v/>
      </c>
    </row>
    <row r="101" spans="1:65" ht="15" customHeight="1" x14ac:dyDescent="0.25">
      <c r="A101" s="957">
        <f t="shared" si="25"/>
        <v>0</v>
      </c>
      <c r="B101" s="10"/>
      <c r="C101" s="10"/>
      <c r="D101" s="13"/>
      <c r="E101" s="10"/>
      <c r="F101" s="10"/>
      <c r="G101" s="10"/>
      <c r="H101" s="10"/>
      <c r="I101" s="10"/>
      <c r="J101" s="10"/>
      <c r="K101" s="10"/>
      <c r="L101" s="10"/>
      <c r="M101" s="10"/>
      <c r="N101" s="10"/>
      <c r="O101" s="10"/>
      <c r="P101" s="4"/>
      <c r="Q101" s="1204"/>
      <c r="R101" s="101" t="str">
        <f t="shared" si="28"/>
        <v/>
      </c>
      <c r="S101" s="137">
        <f t="shared" si="30"/>
        <v>9</v>
      </c>
      <c r="T101" s="2129">
        <v>0.02</v>
      </c>
      <c r="U101" s="2130">
        <v>0.03</v>
      </c>
      <c r="V101" s="2130">
        <v>0.04</v>
      </c>
      <c r="W101" s="2130">
        <v>0.05</v>
      </c>
      <c r="X101" s="2130">
        <v>7.0000000000000007E-2</v>
      </c>
      <c r="Y101" s="2130">
        <v>0.1</v>
      </c>
      <c r="Z101" s="2130">
        <v>0.13</v>
      </c>
      <c r="AA101" s="2130">
        <v>0.18</v>
      </c>
      <c r="AB101" s="2130">
        <v>0.25</v>
      </c>
      <c r="AC101" s="2130">
        <v>0.35</v>
      </c>
      <c r="AD101" s="101"/>
      <c r="AE101" s="6"/>
      <c r="AF101" s="11"/>
      <c r="AG101" s="41">
        <f t="shared" si="26"/>
        <v>0</v>
      </c>
      <c r="AH101" s="41">
        <f>IF(ISERROR(HLOOKUP(AH$91,'Improved Sales Adjustments 2'!$G$7:$WU$147,68,FALSE)),0,IF(HLOOKUP(AH$91,'Improved Sales Adjustments 2'!$G$7:$WU$147,68,FALSE)="",0,IF($S101=HLOOKUP(AH$91,'Improved Sales Adjustments 2'!$G$7:$WU$147,68,FALSE),1,0)))</f>
        <v>0</v>
      </c>
      <c r="AI101" s="41">
        <f>IF(ISERROR(HLOOKUP(AI$91,'Improved Sales Adjustments 2'!$G$7:$WU$147,68,FALSE)),0,IF(HLOOKUP(AI$91,'Improved Sales Adjustments 2'!$G$7:$WU$147,68,FALSE)="",0,IF($S101=HLOOKUP(AI$91,'Improved Sales Adjustments 2'!$G$7:$WU$147,68,FALSE),1,0)))</f>
        <v>0</v>
      </c>
      <c r="AJ101" s="41">
        <f>IF(ISERROR(HLOOKUP(AJ$91,'Improved Sales Adjustments 2'!$G$7:$WU$147,68,FALSE)),0,IF(HLOOKUP(AJ$91,'Improved Sales Adjustments 2'!$G$7:$WU$147,68,FALSE)="",0,IF($S101=HLOOKUP(AJ$91,'Improved Sales Adjustments 2'!$G$7:$WU$147,68,FALSE),1,0)))</f>
        <v>0</v>
      </c>
      <c r="AK101" s="41">
        <f>IF(ISERROR(HLOOKUP(AK$91,'Improved Sales Adjustments 2'!$G$7:$WU$147,68,FALSE)),0,IF(HLOOKUP(AK$91,'Improved Sales Adjustments 2'!$G$7:$WU$147,68,FALSE)="",0,IF($S101=HLOOKUP(AK$91,'Improved Sales Adjustments 2'!$G$7:$WU$147,68,FALSE),1,0)))</f>
        <v>0</v>
      </c>
      <c r="AL101" s="41">
        <f>IF(ISERROR(HLOOKUP(AL$91,'Improved Sales Adjustments 2'!$G$7:$WU$147,68,FALSE)),0,IF(HLOOKUP(AL$91,'Improved Sales Adjustments 2'!$G$7:$WU$147,68,FALSE)="",0,IF($S101=HLOOKUP(AL$91,'Improved Sales Adjustments 2'!$G$7:$WU$147,68,FALSE),1,0)))</f>
        <v>0</v>
      </c>
      <c r="AM101" s="41">
        <f>IF(ISERROR(HLOOKUP(AM$91,'Improved Sales Adjustments 2'!$G$7:$WU$147,68,FALSE)),0,IF(HLOOKUP(AM$91,'Improved Sales Adjustments 2'!$G$7:$WU$147,68,FALSE)="",0,IF($S101=HLOOKUP(AM$91,'Improved Sales Adjustments 2'!$G$7:$WU$147,68,FALSE),1,0)))</f>
        <v>0</v>
      </c>
      <c r="AN101" s="41">
        <f>IF(ISERROR(HLOOKUP(AN$91,'Improved Sales Adjustments 2'!$G$7:$WU$147,68,FALSE)),0,IF(HLOOKUP(AN$91,'Improved Sales Adjustments 2'!$G$7:$WU$147,68,FALSE)="",0,IF($S101=HLOOKUP(AN$91,'Improved Sales Adjustments 2'!$G$7:$WU$147,68,FALSE),1,0)))</f>
        <v>0</v>
      </c>
      <c r="AO101" s="41">
        <f>IF(ISERROR(HLOOKUP(AO$91,'Improved Sales Adjustments 2'!$G$7:$WU$147,68,FALSE)),0,IF(HLOOKUP(AO$91,'Improved Sales Adjustments 2'!$G$7:$WU$147,68,FALSE)="",0,IF($S101=HLOOKUP(AO$91,'Improved Sales Adjustments 2'!$G$7:$WU$147,68,FALSE),1,0)))</f>
        <v>0</v>
      </c>
      <c r="AP101" s="41">
        <f>IF(ISERROR(HLOOKUP(AP$91,'Improved Sales Adjustments 2'!$G$7:$WU$147,68,FALSE)),0,IF(HLOOKUP(AP$91,'Improved Sales Adjustments 2'!$G$7:$WU$147,68,FALSE)="",0,IF($S101=HLOOKUP(AP$91,'Improved Sales Adjustments 2'!$G$7:$WU$147,68,FALSE),1,0)))</f>
        <v>0</v>
      </c>
      <c r="AQ101" s="41">
        <f>IF(ISERROR(HLOOKUP(AQ$91,'Improved Sales Adjustments 2'!$G$7:$WU$147,68,FALSE)),0,IF(HLOOKUP(AQ$91,'Improved Sales Adjustments 2'!$G$7:$WU$147,68,FALSE)="",0,IF($S101=HLOOKUP(AQ$91,'Improved Sales Adjustments 2'!$G$7:$WU$147,68,FALSE),1,0)))</f>
        <v>0</v>
      </c>
      <c r="AR101" s="41">
        <f>SUM($AG101:AG101)</f>
        <v>0</v>
      </c>
      <c r="AS101" s="41">
        <f>SUM($AG101:AH101)</f>
        <v>0</v>
      </c>
      <c r="AT101" s="41">
        <f>SUM($AG101:AI101)</f>
        <v>0</v>
      </c>
      <c r="AU101" s="41">
        <f>SUM($AG101:AJ101)</f>
        <v>0</v>
      </c>
      <c r="AV101" s="41">
        <f>SUM($AG101:AK101)</f>
        <v>0</v>
      </c>
      <c r="AW101" s="41">
        <f>SUM($AG101:AL101)</f>
        <v>0</v>
      </c>
      <c r="AX101" s="41">
        <f>SUM($AG101:AM101)</f>
        <v>0</v>
      </c>
      <c r="AY101" s="41">
        <f>SUM($AG101:AN101)</f>
        <v>0</v>
      </c>
      <c r="AZ101" s="41">
        <f>SUM($AG101:AO101)</f>
        <v>0</v>
      </c>
      <c r="BA101" s="41">
        <f>SUM($AG101:AP101)</f>
        <v>0</v>
      </c>
      <c r="BB101" s="41">
        <f>SUM($AG101:AQ101)</f>
        <v>0</v>
      </c>
      <c r="BC101" s="41" t="str">
        <f t="shared" si="29"/>
        <v/>
      </c>
      <c r="BD101" s="41" t="str">
        <f t="shared" si="27"/>
        <v/>
      </c>
      <c r="BE101" s="41" t="str">
        <f t="shared" si="27"/>
        <v/>
      </c>
      <c r="BF101" s="41" t="str">
        <f t="shared" si="27"/>
        <v/>
      </c>
      <c r="BG101" s="41" t="str">
        <f t="shared" si="27"/>
        <v/>
      </c>
      <c r="BH101" s="41" t="str">
        <f t="shared" si="27"/>
        <v/>
      </c>
      <c r="BI101" s="41" t="str">
        <f t="shared" si="27"/>
        <v/>
      </c>
      <c r="BJ101" s="41" t="str">
        <f t="shared" si="27"/>
        <v/>
      </c>
      <c r="BK101" s="41" t="str">
        <f t="shared" si="27"/>
        <v/>
      </c>
      <c r="BL101" s="41" t="str">
        <f t="shared" si="27"/>
        <v/>
      </c>
      <c r="BM101" s="41" t="str">
        <f t="shared" si="27"/>
        <v/>
      </c>
    </row>
    <row r="102" spans="1:65" ht="15" customHeight="1" x14ac:dyDescent="0.25">
      <c r="A102" s="957">
        <f t="shared" si="25"/>
        <v>0</v>
      </c>
      <c r="B102" s="10"/>
      <c r="C102" s="10"/>
      <c r="D102" s="13"/>
      <c r="E102" s="10"/>
      <c r="F102" s="10"/>
      <c r="G102" s="10"/>
      <c r="H102" s="10"/>
      <c r="I102" s="10"/>
      <c r="J102" s="10"/>
      <c r="K102" s="10"/>
      <c r="L102" s="10"/>
      <c r="M102" s="10"/>
      <c r="N102" s="10"/>
      <c r="O102" s="10"/>
      <c r="P102" s="4"/>
      <c r="Q102" s="1204"/>
      <c r="R102" s="101" t="str">
        <f t="shared" si="28"/>
        <v/>
      </c>
      <c r="S102" s="137">
        <f t="shared" si="30"/>
        <v>10</v>
      </c>
      <c r="T102" s="2129">
        <v>0.02</v>
      </c>
      <c r="U102" s="2130">
        <v>0.03</v>
      </c>
      <c r="V102" s="2130">
        <v>0.04</v>
      </c>
      <c r="W102" s="2130">
        <v>0.06</v>
      </c>
      <c r="X102" s="2130">
        <v>0.08</v>
      </c>
      <c r="Y102" s="2130">
        <v>0.11</v>
      </c>
      <c r="Z102" s="2130">
        <v>0.15</v>
      </c>
      <c r="AA102" s="2130">
        <v>0.21</v>
      </c>
      <c r="AB102" s="2130">
        <v>0.28999999999999998</v>
      </c>
      <c r="AC102" s="2130">
        <v>0.4</v>
      </c>
      <c r="AD102" s="101"/>
      <c r="AE102" s="6"/>
      <c r="AF102" s="11"/>
      <c r="AG102" s="41">
        <f t="shared" si="26"/>
        <v>0</v>
      </c>
      <c r="AH102" s="41">
        <f>IF(ISERROR(HLOOKUP(AH$91,'Improved Sales Adjustments 2'!$G$7:$WU$147,68,FALSE)),0,IF(HLOOKUP(AH$91,'Improved Sales Adjustments 2'!$G$7:$WU$147,68,FALSE)="",0,IF($S102=HLOOKUP(AH$91,'Improved Sales Adjustments 2'!$G$7:$WU$147,68,FALSE),1,0)))</f>
        <v>0</v>
      </c>
      <c r="AI102" s="41">
        <f>IF(ISERROR(HLOOKUP(AI$91,'Improved Sales Adjustments 2'!$G$7:$WU$147,68,FALSE)),0,IF(HLOOKUP(AI$91,'Improved Sales Adjustments 2'!$G$7:$WU$147,68,FALSE)="",0,IF($S102=HLOOKUP(AI$91,'Improved Sales Adjustments 2'!$G$7:$WU$147,68,FALSE),1,0)))</f>
        <v>0</v>
      </c>
      <c r="AJ102" s="41">
        <f>IF(ISERROR(HLOOKUP(AJ$91,'Improved Sales Adjustments 2'!$G$7:$WU$147,68,FALSE)),0,IF(HLOOKUP(AJ$91,'Improved Sales Adjustments 2'!$G$7:$WU$147,68,FALSE)="",0,IF($S102=HLOOKUP(AJ$91,'Improved Sales Adjustments 2'!$G$7:$WU$147,68,FALSE),1,0)))</f>
        <v>0</v>
      </c>
      <c r="AK102" s="41">
        <f>IF(ISERROR(HLOOKUP(AK$91,'Improved Sales Adjustments 2'!$G$7:$WU$147,68,FALSE)),0,IF(HLOOKUP(AK$91,'Improved Sales Adjustments 2'!$G$7:$WU$147,68,FALSE)="",0,IF($S102=HLOOKUP(AK$91,'Improved Sales Adjustments 2'!$G$7:$WU$147,68,FALSE),1,0)))</f>
        <v>0</v>
      </c>
      <c r="AL102" s="41">
        <f>IF(ISERROR(HLOOKUP(AL$91,'Improved Sales Adjustments 2'!$G$7:$WU$147,68,FALSE)),0,IF(HLOOKUP(AL$91,'Improved Sales Adjustments 2'!$G$7:$WU$147,68,FALSE)="",0,IF($S102=HLOOKUP(AL$91,'Improved Sales Adjustments 2'!$G$7:$WU$147,68,FALSE),1,0)))</f>
        <v>0</v>
      </c>
      <c r="AM102" s="41">
        <f>IF(ISERROR(HLOOKUP(AM$91,'Improved Sales Adjustments 2'!$G$7:$WU$147,68,FALSE)),0,IF(HLOOKUP(AM$91,'Improved Sales Adjustments 2'!$G$7:$WU$147,68,FALSE)="",0,IF($S102=HLOOKUP(AM$91,'Improved Sales Adjustments 2'!$G$7:$WU$147,68,FALSE),1,0)))</f>
        <v>0</v>
      </c>
      <c r="AN102" s="41">
        <f>IF(ISERROR(HLOOKUP(AN$91,'Improved Sales Adjustments 2'!$G$7:$WU$147,68,FALSE)),0,IF(HLOOKUP(AN$91,'Improved Sales Adjustments 2'!$G$7:$WU$147,68,FALSE)="",0,IF($S102=HLOOKUP(AN$91,'Improved Sales Adjustments 2'!$G$7:$WU$147,68,FALSE),1,0)))</f>
        <v>0</v>
      </c>
      <c r="AO102" s="41">
        <f>IF(ISERROR(HLOOKUP(AO$91,'Improved Sales Adjustments 2'!$G$7:$WU$147,68,FALSE)),0,IF(HLOOKUP(AO$91,'Improved Sales Adjustments 2'!$G$7:$WU$147,68,FALSE)="",0,IF($S102=HLOOKUP(AO$91,'Improved Sales Adjustments 2'!$G$7:$WU$147,68,FALSE),1,0)))</f>
        <v>0</v>
      </c>
      <c r="AP102" s="41">
        <f>IF(ISERROR(HLOOKUP(AP$91,'Improved Sales Adjustments 2'!$G$7:$WU$147,68,FALSE)),0,IF(HLOOKUP(AP$91,'Improved Sales Adjustments 2'!$G$7:$WU$147,68,FALSE)="",0,IF($S102=HLOOKUP(AP$91,'Improved Sales Adjustments 2'!$G$7:$WU$147,68,FALSE),1,0)))</f>
        <v>0</v>
      </c>
      <c r="AQ102" s="41">
        <f>IF(ISERROR(HLOOKUP(AQ$91,'Improved Sales Adjustments 2'!$G$7:$WU$147,68,FALSE)),0,IF(HLOOKUP(AQ$91,'Improved Sales Adjustments 2'!$G$7:$WU$147,68,FALSE)="",0,IF($S102=HLOOKUP(AQ$91,'Improved Sales Adjustments 2'!$G$7:$WU$147,68,FALSE),1,0)))</f>
        <v>0</v>
      </c>
      <c r="AR102" s="41">
        <f>SUM($AG102:AG102)</f>
        <v>0</v>
      </c>
      <c r="AS102" s="41">
        <f>SUM($AG102:AH102)</f>
        <v>0</v>
      </c>
      <c r="AT102" s="41">
        <f>SUM($AG102:AI102)</f>
        <v>0</v>
      </c>
      <c r="AU102" s="41">
        <f>SUM($AG102:AJ102)</f>
        <v>0</v>
      </c>
      <c r="AV102" s="41">
        <f>SUM($AG102:AK102)</f>
        <v>0</v>
      </c>
      <c r="AW102" s="41">
        <f>SUM($AG102:AL102)</f>
        <v>0</v>
      </c>
      <c r="AX102" s="41">
        <f>SUM($AG102:AM102)</f>
        <v>0</v>
      </c>
      <c r="AY102" s="41">
        <f>SUM($AG102:AN102)</f>
        <v>0</v>
      </c>
      <c r="AZ102" s="41">
        <f>SUM($AG102:AO102)</f>
        <v>0</v>
      </c>
      <c r="BA102" s="41">
        <f>SUM($AG102:AP102)</f>
        <v>0</v>
      </c>
      <c r="BB102" s="41">
        <f>SUM($AG102:AQ102)</f>
        <v>0</v>
      </c>
      <c r="BC102" s="41" t="str">
        <f t="shared" si="29"/>
        <v/>
      </c>
      <c r="BD102" s="41" t="str">
        <f t="shared" si="27"/>
        <v/>
      </c>
      <c r="BE102" s="41" t="str">
        <f t="shared" si="27"/>
        <v/>
      </c>
      <c r="BF102" s="41" t="str">
        <f t="shared" si="27"/>
        <v/>
      </c>
      <c r="BG102" s="41" t="str">
        <f t="shared" si="27"/>
        <v/>
      </c>
      <c r="BH102" s="41" t="str">
        <f t="shared" si="27"/>
        <v/>
      </c>
      <c r="BI102" s="41" t="str">
        <f t="shared" si="27"/>
        <v/>
      </c>
      <c r="BJ102" s="41" t="str">
        <f t="shared" si="27"/>
        <v/>
      </c>
      <c r="BK102" s="41" t="str">
        <f t="shared" si="27"/>
        <v/>
      </c>
      <c r="BL102" s="41" t="str">
        <f t="shared" si="27"/>
        <v/>
      </c>
      <c r="BM102" s="41" t="str">
        <f t="shared" si="27"/>
        <v/>
      </c>
    </row>
    <row r="103" spans="1:65" ht="15" customHeight="1" x14ac:dyDescent="0.25">
      <c r="A103" s="957">
        <f t="shared" si="25"/>
        <v>0</v>
      </c>
      <c r="B103" s="10"/>
      <c r="C103" s="10"/>
      <c r="D103" s="13"/>
      <c r="E103" s="10"/>
      <c r="F103" s="10"/>
      <c r="G103" s="10"/>
      <c r="H103" s="10"/>
      <c r="I103" s="10"/>
      <c r="J103" s="10"/>
      <c r="K103" s="10"/>
      <c r="L103" s="10"/>
      <c r="M103" s="10"/>
      <c r="N103" s="10"/>
      <c r="O103" s="10"/>
      <c r="P103" s="4"/>
      <c r="Q103" s="1204"/>
      <c r="R103" s="101" t="str">
        <f t="shared" si="28"/>
        <v/>
      </c>
      <c r="S103" s="137">
        <f t="shared" si="30"/>
        <v>11</v>
      </c>
      <c r="T103" s="2129">
        <v>0.02</v>
      </c>
      <c r="U103" s="2130">
        <v>0.04</v>
      </c>
      <c r="V103" s="2130">
        <v>0.05</v>
      </c>
      <c r="W103" s="2130">
        <v>7.0000000000000007E-2</v>
      </c>
      <c r="X103" s="2130">
        <v>0.09</v>
      </c>
      <c r="Y103" s="2130">
        <v>0.13</v>
      </c>
      <c r="Z103" s="2130">
        <v>0.17</v>
      </c>
      <c r="AA103" s="2130">
        <v>0.24</v>
      </c>
      <c r="AB103" s="2130">
        <v>0.32</v>
      </c>
      <c r="AC103" s="2130">
        <v>0.45</v>
      </c>
      <c r="AD103" s="101"/>
      <c r="AE103" s="6"/>
      <c r="AF103" s="11"/>
      <c r="AG103" s="41">
        <f t="shared" si="26"/>
        <v>0</v>
      </c>
      <c r="AH103" s="41">
        <f>IF(ISERROR(HLOOKUP(AH$91,'Improved Sales Adjustments 2'!$G$7:$WU$147,68,FALSE)),0,IF(HLOOKUP(AH$91,'Improved Sales Adjustments 2'!$G$7:$WU$147,68,FALSE)="",0,IF($S103=HLOOKUP(AH$91,'Improved Sales Adjustments 2'!$G$7:$WU$147,68,FALSE),1,0)))</f>
        <v>0</v>
      </c>
      <c r="AI103" s="41">
        <f>IF(ISERROR(HLOOKUP(AI$91,'Improved Sales Adjustments 2'!$G$7:$WU$147,68,FALSE)),0,IF(HLOOKUP(AI$91,'Improved Sales Adjustments 2'!$G$7:$WU$147,68,FALSE)="",0,IF($S103=HLOOKUP(AI$91,'Improved Sales Adjustments 2'!$G$7:$WU$147,68,FALSE),1,0)))</f>
        <v>0</v>
      </c>
      <c r="AJ103" s="41">
        <f>IF(ISERROR(HLOOKUP(AJ$91,'Improved Sales Adjustments 2'!$G$7:$WU$147,68,FALSE)),0,IF(HLOOKUP(AJ$91,'Improved Sales Adjustments 2'!$G$7:$WU$147,68,FALSE)="",0,IF($S103=HLOOKUP(AJ$91,'Improved Sales Adjustments 2'!$G$7:$WU$147,68,FALSE),1,0)))</f>
        <v>0</v>
      </c>
      <c r="AK103" s="41">
        <f>IF(ISERROR(HLOOKUP(AK$91,'Improved Sales Adjustments 2'!$G$7:$WU$147,68,FALSE)),0,IF(HLOOKUP(AK$91,'Improved Sales Adjustments 2'!$G$7:$WU$147,68,FALSE)="",0,IF($S103=HLOOKUP(AK$91,'Improved Sales Adjustments 2'!$G$7:$WU$147,68,FALSE),1,0)))</f>
        <v>0</v>
      </c>
      <c r="AL103" s="41">
        <f>IF(ISERROR(HLOOKUP(AL$91,'Improved Sales Adjustments 2'!$G$7:$WU$147,68,FALSE)),0,IF(HLOOKUP(AL$91,'Improved Sales Adjustments 2'!$G$7:$WU$147,68,FALSE)="",0,IF($S103=HLOOKUP(AL$91,'Improved Sales Adjustments 2'!$G$7:$WU$147,68,FALSE),1,0)))</f>
        <v>0</v>
      </c>
      <c r="AM103" s="41">
        <f>IF(ISERROR(HLOOKUP(AM$91,'Improved Sales Adjustments 2'!$G$7:$WU$147,68,FALSE)),0,IF(HLOOKUP(AM$91,'Improved Sales Adjustments 2'!$G$7:$WU$147,68,FALSE)="",0,IF($S103=HLOOKUP(AM$91,'Improved Sales Adjustments 2'!$G$7:$WU$147,68,FALSE),1,0)))</f>
        <v>0</v>
      </c>
      <c r="AN103" s="41">
        <f>IF(ISERROR(HLOOKUP(AN$91,'Improved Sales Adjustments 2'!$G$7:$WU$147,68,FALSE)),0,IF(HLOOKUP(AN$91,'Improved Sales Adjustments 2'!$G$7:$WU$147,68,FALSE)="",0,IF($S103=HLOOKUP(AN$91,'Improved Sales Adjustments 2'!$G$7:$WU$147,68,FALSE),1,0)))</f>
        <v>0</v>
      </c>
      <c r="AO103" s="41">
        <f>IF(ISERROR(HLOOKUP(AO$91,'Improved Sales Adjustments 2'!$G$7:$WU$147,68,FALSE)),0,IF(HLOOKUP(AO$91,'Improved Sales Adjustments 2'!$G$7:$WU$147,68,FALSE)="",0,IF($S103=HLOOKUP(AO$91,'Improved Sales Adjustments 2'!$G$7:$WU$147,68,FALSE),1,0)))</f>
        <v>0</v>
      </c>
      <c r="AP103" s="41">
        <f>IF(ISERROR(HLOOKUP(AP$91,'Improved Sales Adjustments 2'!$G$7:$WU$147,68,FALSE)),0,IF(HLOOKUP(AP$91,'Improved Sales Adjustments 2'!$G$7:$WU$147,68,FALSE)="",0,IF($S103=HLOOKUP(AP$91,'Improved Sales Adjustments 2'!$G$7:$WU$147,68,FALSE),1,0)))</f>
        <v>0</v>
      </c>
      <c r="AQ103" s="41">
        <f>IF(ISERROR(HLOOKUP(AQ$91,'Improved Sales Adjustments 2'!$G$7:$WU$147,68,FALSE)),0,IF(HLOOKUP(AQ$91,'Improved Sales Adjustments 2'!$G$7:$WU$147,68,FALSE)="",0,IF($S103=HLOOKUP(AQ$91,'Improved Sales Adjustments 2'!$G$7:$WU$147,68,FALSE),1,0)))</f>
        <v>0</v>
      </c>
      <c r="AR103" s="41">
        <f>SUM($AG103:AG103)</f>
        <v>0</v>
      </c>
      <c r="AS103" s="41">
        <f>SUM($AG103:AH103)</f>
        <v>0</v>
      </c>
      <c r="AT103" s="41">
        <f>SUM($AG103:AI103)</f>
        <v>0</v>
      </c>
      <c r="AU103" s="41">
        <f>SUM($AG103:AJ103)</f>
        <v>0</v>
      </c>
      <c r="AV103" s="41">
        <f>SUM($AG103:AK103)</f>
        <v>0</v>
      </c>
      <c r="AW103" s="41">
        <f>SUM($AG103:AL103)</f>
        <v>0</v>
      </c>
      <c r="AX103" s="41">
        <f>SUM($AG103:AM103)</f>
        <v>0</v>
      </c>
      <c r="AY103" s="41">
        <f>SUM($AG103:AN103)</f>
        <v>0</v>
      </c>
      <c r="AZ103" s="41">
        <f>SUM($AG103:AO103)</f>
        <v>0</v>
      </c>
      <c r="BA103" s="41">
        <f>SUM($AG103:AP103)</f>
        <v>0</v>
      </c>
      <c r="BB103" s="41">
        <f>SUM($AG103:AQ103)</f>
        <v>0</v>
      </c>
      <c r="BC103" s="41" t="str">
        <f t="shared" si="29"/>
        <v/>
      </c>
      <c r="BD103" s="41" t="str">
        <f t="shared" si="27"/>
        <v/>
      </c>
      <c r="BE103" s="41" t="str">
        <f t="shared" si="27"/>
        <v/>
      </c>
      <c r="BF103" s="41" t="str">
        <f t="shared" si="27"/>
        <v/>
      </c>
      <c r="BG103" s="41" t="str">
        <f t="shared" si="27"/>
        <v/>
      </c>
      <c r="BH103" s="41" t="str">
        <f t="shared" si="27"/>
        <v/>
      </c>
      <c r="BI103" s="41" t="str">
        <f t="shared" si="27"/>
        <v/>
      </c>
      <c r="BJ103" s="41" t="str">
        <f t="shared" si="27"/>
        <v/>
      </c>
      <c r="BK103" s="41" t="str">
        <f t="shared" si="27"/>
        <v/>
      </c>
      <c r="BL103" s="41" t="str">
        <f t="shared" si="27"/>
        <v/>
      </c>
      <c r="BM103" s="41" t="str">
        <f t="shared" si="27"/>
        <v/>
      </c>
    </row>
    <row r="104" spans="1:65" ht="15" customHeight="1" x14ac:dyDescent="0.25">
      <c r="A104" s="957">
        <f t="shared" si="25"/>
        <v>0</v>
      </c>
      <c r="B104" s="10"/>
      <c r="C104" s="10"/>
      <c r="D104" s="13"/>
      <c r="E104" s="10"/>
      <c r="F104" s="10"/>
      <c r="G104" s="10"/>
      <c r="H104" s="10"/>
      <c r="I104" s="10"/>
      <c r="J104" s="10"/>
      <c r="K104" s="10"/>
      <c r="L104" s="10"/>
      <c r="M104" s="10"/>
      <c r="N104" s="10"/>
      <c r="O104" s="10"/>
      <c r="P104" s="4"/>
      <c r="Q104" s="1204"/>
      <c r="R104" s="101" t="str">
        <f t="shared" si="28"/>
        <v/>
      </c>
      <c r="S104" s="137">
        <f t="shared" si="30"/>
        <v>12</v>
      </c>
      <c r="T104" s="2129">
        <v>0.02</v>
      </c>
      <c r="U104" s="2130">
        <v>0.04</v>
      </c>
      <c r="V104" s="2130">
        <v>0.06</v>
      </c>
      <c r="W104" s="2130">
        <v>0.08</v>
      </c>
      <c r="X104" s="2130">
        <v>0.1</v>
      </c>
      <c r="Y104" s="2130">
        <v>0.14000000000000001</v>
      </c>
      <c r="Z104" s="2130">
        <v>0.19</v>
      </c>
      <c r="AA104" s="2130">
        <v>0.26</v>
      </c>
      <c r="AB104" s="2130">
        <v>0.36</v>
      </c>
      <c r="AC104" s="2130">
        <v>0.5</v>
      </c>
      <c r="AD104" s="101"/>
      <c r="AE104" s="6"/>
      <c r="AF104" s="11"/>
      <c r="AG104" s="41">
        <f t="shared" si="26"/>
        <v>0</v>
      </c>
      <c r="AH104" s="41">
        <f>IF(ISERROR(HLOOKUP(AH$91,'Improved Sales Adjustments 2'!$G$7:$WU$147,68,FALSE)),0,IF(HLOOKUP(AH$91,'Improved Sales Adjustments 2'!$G$7:$WU$147,68,FALSE)="",0,IF($S104=HLOOKUP(AH$91,'Improved Sales Adjustments 2'!$G$7:$WU$147,68,FALSE),1,0)))</f>
        <v>0</v>
      </c>
      <c r="AI104" s="41">
        <f>IF(ISERROR(HLOOKUP(AI$91,'Improved Sales Adjustments 2'!$G$7:$WU$147,68,FALSE)),0,IF(HLOOKUP(AI$91,'Improved Sales Adjustments 2'!$G$7:$WU$147,68,FALSE)="",0,IF($S104=HLOOKUP(AI$91,'Improved Sales Adjustments 2'!$G$7:$WU$147,68,FALSE),1,0)))</f>
        <v>0</v>
      </c>
      <c r="AJ104" s="41">
        <f>IF(ISERROR(HLOOKUP(AJ$91,'Improved Sales Adjustments 2'!$G$7:$WU$147,68,FALSE)),0,IF(HLOOKUP(AJ$91,'Improved Sales Adjustments 2'!$G$7:$WU$147,68,FALSE)="",0,IF($S104=HLOOKUP(AJ$91,'Improved Sales Adjustments 2'!$G$7:$WU$147,68,FALSE),1,0)))</f>
        <v>0</v>
      </c>
      <c r="AK104" s="41">
        <f>IF(ISERROR(HLOOKUP(AK$91,'Improved Sales Adjustments 2'!$G$7:$WU$147,68,FALSE)),0,IF(HLOOKUP(AK$91,'Improved Sales Adjustments 2'!$G$7:$WU$147,68,FALSE)="",0,IF($S104=HLOOKUP(AK$91,'Improved Sales Adjustments 2'!$G$7:$WU$147,68,FALSE),1,0)))</f>
        <v>0</v>
      </c>
      <c r="AL104" s="41">
        <f>IF(ISERROR(HLOOKUP(AL$91,'Improved Sales Adjustments 2'!$G$7:$WU$147,68,FALSE)),0,IF(HLOOKUP(AL$91,'Improved Sales Adjustments 2'!$G$7:$WU$147,68,FALSE)="",0,IF($S104=HLOOKUP(AL$91,'Improved Sales Adjustments 2'!$G$7:$WU$147,68,FALSE),1,0)))</f>
        <v>0</v>
      </c>
      <c r="AM104" s="41">
        <f>IF(ISERROR(HLOOKUP(AM$91,'Improved Sales Adjustments 2'!$G$7:$WU$147,68,FALSE)),0,IF(HLOOKUP(AM$91,'Improved Sales Adjustments 2'!$G$7:$WU$147,68,FALSE)="",0,IF($S104=HLOOKUP(AM$91,'Improved Sales Adjustments 2'!$G$7:$WU$147,68,FALSE),1,0)))</f>
        <v>0</v>
      </c>
      <c r="AN104" s="41">
        <f>IF(ISERROR(HLOOKUP(AN$91,'Improved Sales Adjustments 2'!$G$7:$WU$147,68,FALSE)),0,IF(HLOOKUP(AN$91,'Improved Sales Adjustments 2'!$G$7:$WU$147,68,FALSE)="",0,IF($S104=HLOOKUP(AN$91,'Improved Sales Adjustments 2'!$G$7:$WU$147,68,FALSE),1,0)))</f>
        <v>0</v>
      </c>
      <c r="AO104" s="41">
        <f>IF(ISERROR(HLOOKUP(AO$91,'Improved Sales Adjustments 2'!$G$7:$WU$147,68,FALSE)),0,IF(HLOOKUP(AO$91,'Improved Sales Adjustments 2'!$G$7:$WU$147,68,FALSE)="",0,IF($S104=HLOOKUP(AO$91,'Improved Sales Adjustments 2'!$G$7:$WU$147,68,FALSE),1,0)))</f>
        <v>0</v>
      </c>
      <c r="AP104" s="41">
        <f>IF(ISERROR(HLOOKUP(AP$91,'Improved Sales Adjustments 2'!$G$7:$WU$147,68,FALSE)),0,IF(HLOOKUP(AP$91,'Improved Sales Adjustments 2'!$G$7:$WU$147,68,FALSE)="",0,IF($S104=HLOOKUP(AP$91,'Improved Sales Adjustments 2'!$G$7:$WU$147,68,FALSE),1,0)))</f>
        <v>0</v>
      </c>
      <c r="AQ104" s="41">
        <f>IF(ISERROR(HLOOKUP(AQ$91,'Improved Sales Adjustments 2'!$G$7:$WU$147,68,FALSE)),0,IF(HLOOKUP(AQ$91,'Improved Sales Adjustments 2'!$G$7:$WU$147,68,FALSE)="",0,IF($S104=HLOOKUP(AQ$91,'Improved Sales Adjustments 2'!$G$7:$WU$147,68,FALSE),1,0)))</f>
        <v>0</v>
      </c>
      <c r="AR104" s="41">
        <f>SUM($AG104:AG104)</f>
        <v>0</v>
      </c>
      <c r="AS104" s="41">
        <f>SUM($AG104:AH104)</f>
        <v>0</v>
      </c>
      <c r="AT104" s="41">
        <f>SUM($AG104:AI104)</f>
        <v>0</v>
      </c>
      <c r="AU104" s="41">
        <f>SUM($AG104:AJ104)</f>
        <v>0</v>
      </c>
      <c r="AV104" s="41">
        <f>SUM($AG104:AK104)</f>
        <v>0</v>
      </c>
      <c r="AW104" s="41">
        <f>SUM($AG104:AL104)</f>
        <v>0</v>
      </c>
      <c r="AX104" s="41">
        <f>SUM($AG104:AM104)</f>
        <v>0</v>
      </c>
      <c r="AY104" s="41">
        <f>SUM($AG104:AN104)</f>
        <v>0</v>
      </c>
      <c r="AZ104" s="41">
        <f>SUM($AG104:AO104)</f>
        <v>0</v>
      </c>
      <c r="BA104" s="41">
        <f>SUM($AG104:AP104)</f>
        <v>0</v>
      </c>
      <c r="BB104" s="41">
        <f>SUM($AG104:AQ104)</f>
        <v>0</v>
      </c>
      <c r="BC104" s="41" t="str">
        <f t="shared" si="29"/>
        <v/>
      </c>
      <c r="BD104" s="41" t="str">
        <f t="shared" si="27"/>
        <v/>
      </c>
      <c r="BE104" s="41" t="str">
        <f t="shared" si="27"/>
        <v/>
      </c>
      <c r="BF104" s="41" t="str">
        <f t="shared" si="27"/>
        <v/>
      </c>
      <c r="BG104" s="41" t="str">
        <f t="shared" si="27"/>
        <v/>
      </c>
      <c r="BH104" s="41" t="str">
        <f t="shared" si="27"/>
        <v/>
      </c>
      <c r="BI104" s="41" t="str">
        <f t="shared" si="27"/>
        <v/>
      </c>
      <c r="BJ104" s="41" t="str">
        <f t="shared" si="27"/>
        <v/>
      </c>
      <c r="BK104" s="41" t="str">
        <f t="shared" si="27"/>
        <v/>
      </c>
      <c r="BL104" s="41" t="str">
        <f t="shared" si="27"/>
        <v/>
      </c>
      <c r="BM104" s="41" t="str">
        <f t="shared" si="27"/>
        <v/>
      </c>
    </row>
    <row r="105" spans="1:65" ht="15" customHeight="1" x14ac:dyDescent="0.25">
      <c r="A105" s="957">
        <f t="shared" si="25"/>
        <v>0</v>
      </c>
      <c r="B105" s="10"/>
      <c r="C105" s="10"/>
      <c r="D105" s="13"/>
      <c r="E105" s="10"/>
      <c r="F105" s="10"/>
      <c r="G105" s="10"/>
      <c r="H105" s="10"/>
      <c r="I105" s="10"/>
      <c r="J105" s="10"/>
      <c r="K105" s="10"/>
      <c r="L105" s="10"/>
      <c r="M105" s="10"/>
      <c r="N105" s="10"/>
      <c r="O105" s="10"/>
      <c r="P105" s="4"/>
      <c r="Q105" s="1204"/>
      <c r="R105" s="101" t="str">
        <f t="shared" si="28"/>
        <v/>
      </c>
      <c r="S105" s="137">
        <f t="shared" si="30"/>
        <v>13</v>
      </c>
      <c r="T105" s="2129">
        <v>0.02</v>
      </c>
      <c r="U105" s="2130">
        <v>0.05</v>
      </c>
      <c r="V105" s="2130">
        <v>0.06</v>
      </c>
      <c r="W105" s="2130">
        <v>0.09</v>
      </c>
      <c r="X105" s="2130">
        <v>0.12</v>
      </c>
      <c r="Y105" s="2130">
        <v>0.16</v>
      </c>
      <c r="Z105" s="2130">
        <v>0.22</v>
      </c>
      <c r="AA105" s="2130">
        <v>0.28999999999999998</v>
      </c>
      <c r="AB105" s="2130">
        <v>0.4</v>
      </c>
      <c r="AC105" s="2130">
        <v>0.55000000000000004</v>
      </c>
      <c r="AD105" s="101"/>
      <c r="AE105" s="6"/>
      <c r="AF105" s="11"/>
      <c r="AG105" s="41">
        <f t="shared" si="26"/>
        <v>0</v>
      </c>
      <c r="AH105" s="41">
        <f>IF(ISERROR(HLOOKUP(AH$91,'Improved Sales Adjustments 2'!$G$7:$WU$147,68,FALSE)),0,IF(HLOOKUP(AH$91,'Improved Sales Adjustments 2'!$G$7:$WU$147,68,FALSE)="",0,IF($S105=HLOOKUP(AH$91,'Improved Sales Adjustments 2'!$G$7:$WU$147,68,FALSE),1,0)))</f>
        <v>0</v>
      </c>
      <c r="AI105" s="41">
        <f>IF(ISERROR(HLOOKUP(AI$91,'Improved Sales Adjustments 2'!$G$7:$WU$147,68,FALSE)),0,IF(HLOOKUP(AI$91,'Improved Sales Adjustments 2'!$G$7:$WU$147,68,FALSE)="",0,IF($S105=HLOOKUP(AI$91,'Improved Sales Adjustments 2'!$G$7:$WU$147,68,FALSE),1,0)))</f>
        <v>0</v>
      </c>
      <c r="AJ105" s="41">
        <f>IF(ISERROR(HLOOKUP(AJ$91,'Improved Sales Adjustments 2'!$G$7:$WU$147,68,FALSE)),0,IF(HLOOKUP(AJ$91,'Improved Sales Adjustments 2'!$G$7:$WU$147,68,FALSE)="",0,IF($S105=HLOOKUP(AJ$91,'Improved Sales Adjustments 2'!$G$7:$WU$147,68,FALSE),1,0)))</f>
        <v>0</v>
      </c>
      <c r="AK105" s="41">
        <f>IF(ISERROR(HLOOKUP(AK$91,'Improved Sales Adjustments 2'!$G$7:$WU$147,68,FALSE)),0,IF(HLOOKUP(AK$91,'Improved Sales Adjustments 2'!$G$7:$WU$147,68,FALSE)="",0,IF($S105=HLOOKUP(AK$91,'Improved Sales Adjustments 2'!$G$7:$WU$147,68,FALSE),1,0)))</f>
        <v>0</v>
      </c>
      <c r="AL105" s="41">
        <f>IF(ISERROR(HLOOKUP(AL$91,'Improved Sales Adjustments 2'!$G$7:$WU$147,68,FALSE)),0,IF(HLOOKUP(AL$91,'Improved Sales Adjustments 2'!$G$7:$WU$147,68,FALSE)="",0,IF($S105=HLOOKUP(AL$91,'Improved Sales Adjustments 2'!$G$7:$WU$147,68,FALSE),1,0)))</f>
        <v>0</v>
      </c>
      <c r="AM105" s="41">
        <f>IF(ISERROR(HLOOKUP(AM$91,'Improved Sales Adjustments 2'!$G$7:$WU$147,68,FALSE)),0,IF(HLOOKUP(AM$91,'Improved Sales Adjustments 2'!$G$7:$WU$147,68,FALSE)="",0,IF($S105=HLOOKUP(AM$91,'Improved Sales Adjustments 2'!$G$7:$WU$147,68,FALSE),1,0)))</f>
        <v>0</v>
      </c>
      <c r="AN105" s="41">
        <f>IF(ISERROR(HLOOKUP(AN$91,'Improved Sales Adjustments 2'!$G$7:$WU$147,68,FALSE)),0,IF(HLOOKUP(AN$91,'Improved Sales Adjustments 2'!$G$7:$WU$147,68,FALSE)="",0,IF($S105=HLOOKUP(AN$91,'Improved Sales Adjustments 2'!$G$7:$WU$147,68,FALSE),1,0)))</f>
        <v>0</v>
      </c>
      <c r="AO105" s="41">
        <f>IF(ISERROR(HLOOKUP(AO$91,'Improved Sales Adjustments 2'!$G$7:$WU$147,68,FALSE)),0,IF(HLOOKUP(AO$91,'Improved Sales Adjustments 2'!$G$7:$WU$147,68,FALSE)="",0,IF($S105=HLOOKUP(AO$91,'Improved Sales Adjustments 2'!$G$7:$WU$147,68,FALSE),1,0)))</f>
        <v>0</v>
      </c>
      <c r="AP105" s="41">
        <f>IF(ISERROR(HLOOKUP(AP$91,'Improved Sales Adjustments 2'!$G$7:$WU$147,68,FALSE)),0,IF(HLOOKUP(AP$91,'Improved Sales Adjustments 2'!$G$7:$WU$147,68,FALSE)="",0,IF($S105=HLOOKUP(AP$91,'Improved Sales Adjustments 2'!$G$7:$WU$147,68,FALSE),1,0)))</f>
        <v>0</v>
      </c>
      <c r="AQ105" s="41">
        <f>IF(ISERROR(HLOOKUP(AQ$91,'Improved Sales Adjustments 2'!$G$7:$WU$147,68,FALSE)),0,IF(HLOOKUP(AQ$91,'Improved Sales Adjustments 2'!$G$7:$WU$147,68,FALSE)="",0,IF($S105=HLOOKUP(AQ$91,'Improved Sales Adjustments 2'!$G$7:$WU$147,68,FALSE),1,0)))</f>
        <v>0</v>
      </c>
      <c r="AR105" s="41">
        <f>SUM($AG105:AG105)</f>
        <v>0</v>
      </c>
      <c r="AS105" s="41">
        <f>SUM($AG105:AH105)</f>
        <v>0</v>
      </c>
      <c r="AT105" s="41">
        <f>SUM($AG105:AI105)</f>
        <v>0</v>
      </c>
      <c r="AU105" s="41">
        <f>SUM($AG105:AJ105)</f>
        <v>0</v>
      </c>
      <c r="AV105" s="41">
        <f>SUM($AG105:AK105)</f>
        <v>0</v>
      </c>
      <c r="AW105" s="41">
        <f>SUM($AG105:AL105)</f>
        <v>0</v>
      </c>
      <c r="AX105" s="41">
        <f>SUM($AG105:AM105)</f>
        <v>0</v>
      </c>
      <c r="AY105" s="41">
        <f>SUM($AG105:AN105)</f>
        <v>0</v>
      </c>
      <c r="AZ105" s="41">
        <f>SUM($AG105:AO105)</f>
        <v>0</v>
      </c>
      <c r="BA105" s="41">
        <f>SUM($AG105:AP105)</f>
        <v>0</v>
      </c>
      <c r="BB105" s="41">
        <f>SUM($AG105:AQ105)</f>
        <v>0</v>
      </c>
      <c r="BC105" s="41" t="str">
        <f t="shared" si="29"/>
        <v/>
      </c>
      <c r="BD105" s="41" t="str">
        <f t="shared" si="27"/>
        <v/>
      </c>
      <c r="BE105" s="41" t="str">
        <f t="shared" si="27"/>
        <v/>
      </c>
      <c r="BF105" s="41" t="str">
        <f t="shared" si="27"/>
        <v/>
      </c>
      <c r="BG105" s="41" t="str">
        <f t="shared" si="27"/>
        <v/>
      </c>
      <c r="BH105" s="41" t="str">
        <f t="shared" si="27"/>
        <v/>
      </c>
      <c r="BI105" s="41" t="str">
        <f t="shared" si="27"/>
        <v/>
      </c>
      <c r="BJ105" s="41" t="str">
        <f t="shared" si="27"/>
        <v/>
      </c>
      <c r="BK105" s="41" t="str">
        <f t="shared" si="27"/>
        <v/>
      </c>
      <c r="BL105" s="41" t="str">
        <f t="shared" si="27"/>
        <v/>
      </c>
      <c r="BM105" s="41" t="str">
        <f t="shared" si="27"/>
        <v/>
      </c>
    </row>
    <row r="106" spans="1:65" ht="15" customHeight="1" x14ac:dyDescent="0.25">
      <c r="A106" s="957">
        <f t="shared" si="25"/>
        <v>0</v>
      </c>
      <c r="B106" s="10"/>
      <c r="C106" s="10"/>
      <c r="D106" s="13"/>
      <c r="E106" s="10"/>
      <c r="F106" s="10"/>
      <c r="G106" s="10"/>
      <c r="H106" s="10"/>
      <c r="I106" s="10"/>
      <c r="J106" s="10"/>
      <c r="K106" s="10"/>
      <c r="L106" s="10"/>
      <c r="M106" s="10"/>
      <c r="N106" s="10"/>
      <c r="O106" s="10"/>
      <c r="P106" s="4"/>
      <c r="Q106" s="1204"/>
      <c r="R106" s="101" t="str">
        <f t="shared" si="28"/>
        <v/>
      </c>
      <c r="S106" s="137">
        <f t="shared" si="30"/>
        <v>14</v>
      </c>
      <c r="T106" s="2129">
        <v>0.03</v>
      </c>
      <c r="U106" s="2130">
        <v>0.05</v>
      </c>
      <c r="V106" s="2130">
        <v>7.0000000000000007E-2</v>
      </c>
      <c r="W106" s="2130">
        <v>0.1</v>
      </c>
      <c r="X106" s="2130">
        <v>0.13</v>
      </c>
      <c r="Y106" s="2130">
        <v>0.18</v>
      </c>
      <c r="Z106" s="2130">
        <v>0.24</v>
      </c>
      <c r="AA106" s="2130">
        <v>0.32</v>
      </c>
      <c r="AB106" s="2130">
        <v>0.44</v>
      </c>
      <c r="AC106" s="2130">
        <v>0.6</v>
      </c>
      <c r="AD106" s="101"/>
      <c r="AE106" s="6"/>
      <c r="AF106" s="11"/>
      <c r="AG106" s="41">
        <f t="shared" si="26"/>
        <v>0</v>
      </c>
      <c r="AH106" s="41">
        <f>IF(ISERROR(HLOOKUP(AH$91,'Improved Sales Adjustments 2'!$G$7:$WU$147,68,FALSE)),0,IF(HLOOKUP(AH$91,'Improved Sales Adjustments 2'!$G$7:$WU$147,68,FALSE)="",0,IF($S106=HLOOKUP(AH$91,'Improved Sales Adjustments 2'!$G$7:$WU$147,68,FALSE),1,0)))</f>
        <v>0</v>
      </c>
      <c r="AI106" s="41">
        <f>IF(ISERROR(HLOOKUP(AI$91,'Improved Sales Adjustments 2'!$G$7:$WU$147,68,FALSE)),0,IF(HLOOKUP(AI$91,'Improved Sales Adjustments 2'!$G$7:$WU$147,68,FALSE)="",0,IF($S106=HLOOKUP(AI$91,'Improved Sales Adjustments 2'!$G$7:$WU$147,68,FALSE),1,0)))</f>
        <v>0</v>
      </c>
      <c r="AJ106" s="41">
        <f>IF(ISERROR(HLOOKUP(AJ$91,'Improved Sales Adjustments 2'!$G$7:$WU$147,68,FALSE)),0,IF(HLOOKUP(AJ$91,'Improved Sales Adjustments 2'!$G$7:$WU$147,68,FALSE)="",0,IF($S106=HLOOKUP(AJ$91,'Improved Sales Adjustments 2'!$G$7:$WU$147,68,FALSE),1,0)))</f>
        <v>0</v>
      </c>
      <c r="AK106" s="41">
        <f>IF(ISERROR(HLOOKUP(AK$91,'Improved Sales Adjustments 2'!$G$7:$WU$147,68,FALSE)),0,IF(HLOOKUP(AK$91,'Improved Sales Adjustments 2'!$G$7:$WU$147,68,FALSE)="",0,IF($S106=HLOOKUP(AK$91,'Improved Sales Adjustments 2'!$G$7:$WU$147,68,FALSE),1,0)))</f>
        <v>0</v>
      </c>
      <c r="AL106" s="41">
        <f>IF(ISERROR(HLOOKUP(AL$91,'Improved Sales Adjustments 2'!$G$7:$WU$147,68,FALSE)),0,IF(HLOOKUP(AL$91,'Improved Sales Adjustments 2'!$G$7:$WU$147,68,FALSE)="",0,IF($S106=HLOOKUP(AL$91,'Improved Sales Adjustments 2'!$G$7:$WU$147,68,FALSE),1,0)))</f>
        <v>0</v>
      </c>
      <c r="AM106" s="41">
        <f>IF(ISERROR(HLOOKUP(AM$91,'Improved Sales Adjustments 2'!$G$7:$WU$147,68,FALSE)),0,IF(HLOOKUP(AM$91,'Improved Sales Adjustments 2'!$G$7:$WU$147,68,FALSE)="",0,IF($S106=HLOOKUP(AM$91,'Improved Sales Adjustments 2'!$G$7:$WU$147,68,FALSE),1,0)))</f>
        <v>0</v>
      </c>
      <c r="AN106" s="41">
        <f>IF(ISERROR(HLOOKUP(AN$91,'Improved Sales Adjustments 2'!$G$7:$WU$147,68,FALSE)),0,IF(HLOOKUP(AN$91,'Improved Sales Adjustments 2'!$G$7:$WU$147,68,FALSE)="",0,IF($S106=HLOOKUP(AN$91,'Improved Sales Adjustments 2'!$G$7:$WU$147,68,FALSE),1,0)))</f>
        <v>0</v>
      </c>
      <c r="AO106" s="41">
        <f>IF(ISERROR(HLOOKUP(AO$91,'Improved Sales Adjustments 2'!$G$7:$WU$147,68,FALSE)),0,IF(HLOOKUP(AO$91,'Improved Sales Adjustments 2'!$G$7:$WU$147,68,FALSE)="",0,IF($S106=HLOOKUP(AO$91,'Improved Sales Adjustments 2'!$G$7:$WU$147,68,FALSE),1,0)))</f>
        <v>0</v>
      </c>
      <c r="AP106" s="41">
        <f>IF(ISERROR(HLOOKUP(AP$91,'Improved Sales Adjustments 2'!$G$7:$WU$147,68,FALSE)),0,IF(HLOOKUP(AP$91,'Improved Sales Adjustments 2'!$G$7:$WU$147,68,FALSE)="",0,IF($S106=HLOOKUP(AP$91,'Improved Sales Adjustments 2'!$G$7:$WU$147,68,FALSE),1,0)))</f>
        <v>0</v>
      </c>
      <c r="AQ106" s="41">
        <f>IF(ISERROR(HLOOKUP(AQ$91,'Improved Sales Adjustments 2'!$G$7:$WU$147,68,FALSE)),0,IF(HLOOKUP(AQ$91,'Improved Sales Adjustments 2'!$G$7:$WU$147,68,FALSE)="",0,IF($S106=HLOOKUP(AQ$91,'Improved Sales Adjustments 2'!$G$7:$WU$147,68,FALSE),1,0)))</f>
        <v>0</v>
      </c>
      <c r="AR106" s="41">
        <f>SUM($AG106:AG106)</f>
        <v>0</v>
      </c>
      <c r="AS106" s="41">
        <f>SUM($AG106:AH106)</f>
        <v>0</v>
      </c>
      <c r="AT106" s="41">
        <f>SUM($AG106:AI106)</f>
        <v>0</v>
      </c>
      <c r="AU106" s="41">
        <f>SUM($AG106:AJ106)</f>
        <v>0</v>
      </c>
      <c r="AV106" s="41">
        <f>SUM($AG106:AK106)</f>
        <v>0</v>
      </c>
      <c r="AW106" s="41">
        <f>SUM($AG106:AL106)</f>
        <v>0</v>
      </c>
      <c r="AX106" s="41">
        <f>SUM($AG106:AM106)</f>
        <v>0</v>
      </c>
      <c r="AY106" s="41">
        <f>SUM($AG106:AN106)</f>
        <v>0</v>
      </c>
      <c r="AZ106" s="41">
        <f>SUM($AG106:AO106)</f>
        <v>0</v>
      </c>
      <c r="BA106" s="41">
        <f>SUM($AG106:AP106)</f>
        <v>0</v>
      </c>
      <c r="BB106" s="41">
        <f>SUM($AG106:AQ106)</f>
        <v>0</v>
      </c>
      <c r="BC106" s="41" t="str">
        <f t="shared" si="29"/>
        <v/>
      </c>
      <c r="BD106" s="41" t="str">
        <f t="shared" si="27"/>
        <v/>
      </c>
      <c r="BE106" s="41" t="str">
        <f t="shared" si="27"/>
        <v/>
      </c>
      <c r="BF106" s="41" t="str">
        <f t="shared" si="27"/>
        <v/>
      </c>
      <c r="BG106" s="41" t="str">
        <f t="shared" si="27"/>
        <v/>
      </c>
      <c r="BH106" s="41" t="str">
        <f t="shared" si="27"/>
        <v/>
      </c>
      <c r="BI106" s="41" t="str">
        <f t="shared" si="27"/>
        <v/>
      </c>
      <c r="BJ106" s="41" t="str">
        <f t="shared" si="27"/>
        <v/>
      </c>
      <c r="BK106" s="41" t="str">
        <f t="shared" si="27"/>
        <v/>
      </c>
      <c r="BL106" s="41" t="str">
        <f t="shared" si="27"/>
        <v/>
      </c>
      <c r="BM106" s="41" t="str">
        <f t="shared" si="27"/>
        <v/>
      </c>
    </row>
    <row r="107" spans="1:65" ht="15" customHeight="1" x14ac:dyDescent="0.25">
      <c r="A107" s="957">
        <f t="shared" si="25"/>
        <v>0</v>
      </c>
      <c r="B107" s="10"/>
      <c r="C107" s="10"/>
      <c r="D107" s="13"/>
      <c r="E107" s="10"/>
      <c r="F107" s="10"/>
      <c r="G107" s="10"/>
      <c r="H107" s="10"/>
      <c r="I107" s="10"/>
      <c r="J107" s="10"/>
      <c r="K107" s="10"/>
      <c r="L107" s="10"/>
      <c r="M107" s="10"/>
      <c r="N107" s="10"/>
      <c r="O107" s="10"/>
      <c r="P107" s="4"/>
      <c r="Q107" s="1204"/>
      <c r="R107" s="101" t="str">
        <f t="shared" si="28"/>
        <v/>
      </c>
      <c r="S107" s="137">
        <f t="shared" si="30"/>
        <v>15</v>
      </c>
      <c r="T107" s="2129">
        <v>0.03</v>
      </c>
      <c r="U107" s="2130">
        <v>0.06</v>
      </c>
      <c r="V107" s="2130">
        <v>0.08</v>
      </c>
      <c r="W107" s="2130">
        <v>0.11</v>
      </c>
      <c r="X107" s="2130">
        <v>0.14000000000000001</v>
      </c>
      <c r="Y107" s="2130">
        <v>0.2</v>
      </c>
      <c r="Z107" s="2130">
        <v>0.26</v>
      </c>
      <c r="AA107" s="2130">
        <v>0.35</v>
      </c>
      <c r="AB107" s="2130">
        <v>0.48</v>
      </c>
      <c r="AC107" s="2130">
        <v>0.65</v>
      </c>
      <c r="AD107" s="101"/>
      <c r="AE107" s="6"/>
      <c r="AF107" s="11"/>
      <c r="AG107" s="41">
        <f t="shared" si="26"/>
        <v>0</v>
      </c>
      <c r="AH107" s="41">
        <f>IF(ISERROR(HLOOKUP(AH$91,'Improved Sales Adjustments 2'!$G$7:$WU$147,68,FALSE)),0,IF(HLOOKUP(AH$91,'Improved Sales Adjustments 2'!$G$7:$WU$147,68,FALSE)="",0,IF($S107=HLOOKUP(AH$91,'Improved Sales Adjustments 2'!$G$7:$WU$147,68,FALSE),1,0)))</f>
        <v>0</v>
      </c>
      <c r="AI107" s="41">
        <f>IF(ISERROR(HLOOKUP(AI$91,'Improved Sales Adjustments 2'!$G$7:$WU$147,68,FALSE)),0,IF(HLOOKUP(AI$91,'Improved Sales Adjustments 2'!$G$7:$WU$147,68,FALSE)="",0,IF($S107=HLOOKUP(AI$91,'Improved Sales Adjustments 2'!$G$7:$WU$147,68,FALSE),1,0)))</f>
        <v>0</v>
      </c>
      <c r="AJ107" s="41">
        <f>IF(ISERROR(HLOOKUP(AJ$91,'Improved Sales Adjustments 2'!$G$7:$WU$147,68,FALSE)),0,IF(HLOOKUP(AJ$91,'Improved Sales Adjustments 2'!$G$7:$WU$147,68,FALSE)="",0,IF($S107=HLOOKUP(AJ$91,'Improved Sales Adjustments 2'!$G$7:$WU$147,68,FALSE),1,0)))</f>
        <v>0</v>
      </c>
      <c r="AK107" s="41">
        <f>IF(ISERROR(HLOOKUP(AK$91,'Improved Sales Adjustments 2'!$G$7:$WU$147,68,FALSE)),0,IF(HLOOKUP(AK$91,'Improved Sales Adjustments 2'!$G$7:$WU$147,68,FALSE)="",0,IF($S107=HLOOKUP(AK$91,'Improved Sales Adjustments 2'!$G$7:$WU$147,68,FALSE),1,0)))</f>
        <v>0</v>
      </c>
      <c r="AL107" s="41">
        <f>IF(ISERROR(HLOOKUP(AL$91,'Improved Sales Adjustments 2'!$G$7:$WU$147,68,FALSE)),0,IF(HLOOKUP(AL$91,'Improved Sales Adjustments 2'!$G$7:$WU$147,68,FALSE)="",0,IF($S107=HLOOKUP(AL$91,'Improved Sales Adjustments 2'!$G$7:$WU$147,68,FALSE),1,0)))</f>
        <v>0</v>
      </c>
      <c r="AM107" s="41">
        <f>IF(ISERROR(HLOOKUP(AM$91,'Improved Sales Adjustments 2'!$G$7:$WU$147,68,FALSE)),0,IF(HLOOKUP(AM$91,'Improved Sales Adjustments 2'!$G$7:$WU$147,68,FALSE)="",0,IF($S107=HLOOKUP(AM$91,'Improved Sales Adjustments 2'!$G$7:$WU$147,68,FALSE),1,0)))</f>
        <v>0</v>
      </c>
      <c r="AN107" s="41">
        <f>IF(ISERROR(HLOOKUP(AN$91,'Improved Sales Adjustments 2'!$G$7:$WU$147,68,FALSE)),0,IF(HLOOKUP(AN$91,'Improved Sales Adjustments 2'!$G$7:$WU$147,68,FALSE)="",0,IF($S107=HLOOKUP(AN$91,'Improved Sales Adjustments 2'!$G$7:$WU$147,68,FALSE),1,0)))</f>
        <v>0</v>
      </c>
      <c r="AO107" s="41">
        <f>IF(ISERROR(HLOOKUP(AO$91,'Improved Sales Adjustments 2'!$G$7:$WU$147,68,FALSE)),0,IF(HLOOKUP(AO$91,'Improved Sales Adjustments 2'!$G$7:$WU$147,68,FALSE)="",0,IF($S107=HLOOKUP(AO$91,'Improved Sales Adjustments 2'!$G$7:$WU$147,68,FALSE),1,0)))</f>
        <v>0</v>
      </c>
      <c r="AP107" s="41">
        <f>IF(ISERROR(HLOOKUP(AP$91,'Improved Sales Adjustments 2'!$G$7:$WU$147,68,FALSE)),0,IF(HLOOKUP(AP$91,'Improved Sales Adjustments 2'!$G$7:$WU$147,68,FALSE)="",0,IF($S107=HLOOKUP(AP$91,'Improved Sales Adjustments 2'!$G$7:$WU$147,68,FALSE),1,0)))</f>
        <v>0</v>
      </c>
      <c r="AQ107" s="41">
        <f>IF(ISERROR(HLOOKUP(AQ$91,'Improved Sales Adjustments 2'!$G$7:$WU$147,68,FALSE)),0,IF(HLOOKUP(AQ$91,'Improved Sales Adjustments 2'!$G$7:$WU$147,68,FALSE)="",0,IF($S107=HLOOKUP(AQ$91,'Improved Sales Adjustments 2'!$G$7:$WU$147,68,FALSE),1,0)))</f>
        <v>0</v>
      </c>
      <c r="AR107" s="41">
        <f>SUM($AG107:AG107)</f>
        <v>0</v>
      </c>
      <c r="AS107" s="41">
        <f>SUM($AG107:AH107)</f>
        <v>0</v>
      </c>
      <c r="AT107" s="41">
        <f>SUM($AG107:AI107)</f>
        <v>0</v>
      </c>
      <c r="AU107" s="41">
        <f>SUM($AG107:AJ107)</f>
        <v>0</v>
      </c>
      <c r="AV107" s="41">
        <f>SUM($AG107:AK107)</f>
        <v>0</v>
      </c>
      <c r="AW107" s="41">
        <f>SUM($AG107:AL107)</f>
        <v>0</v>
      </c>
      <c r="AX107" s="41">
        <f>SUM($AG107:AM107)</f>
        <v>0</v>
      </c>
      <c r="AY107" s="41">
        <f>SUM($AG107:AN107)</f>
        <v>0</v>
      </c>
      <c r="AZ107" s="41">
        <f>SUM($AG107:AO107)</f>
        <v>0</v>
      </c>
      <c r="BA107" s="41">
        <f>SUM($AG107:AP107)</f>
        <v>0</v>
      </c>
      <c r="BB107" s="41">
        <f>SUM($AG107:AQ107)</f>
        <v>0</v>
      </c>
      <c r="BC107" s="41" t="str">
        <f t="shared" si="29"/>
        <v/>
      </c>
      <c r="BD107" s="41" t="str">
        <f t="shared" si="27"/>
        <v/>
      </c>
      <c r="BE107" s="41" t="str">
        <f t="shared" si="27"/>
        <v/>
      </c>
      <c r="BF107" s="41" t="str">
        <f t="shared" si="27"/>
        <v/>
      </c>
      <c r="BG107" s="41" t="str">
        <f t="shared" si="27"/>
        <v/>
      </c>
      <c r="BH107" s="41" t="str">
        <f t="shared" si="27"/>
        <v/>
      </c>
      <c r="BI107" s="41" t="str">
        <f t="shared" si="27"/>
        <v/>
      </c>
      <c r="BJ107" s="41" t="str">
        <f t="shared" si="27"/>
        <v/>
      </c>
      <c r="BK107" s="41" t="str">
        <f t="shared" si="27"/>
        <v/>
      </c>
      <c r="BL107" s="41" t="str">
        <f t="shared" si="27"/>
        <v/>
      </c>
      <c r="BM107" s="41" t="str">
        <f t="shared" si="27"/>
        <v/>
      </c>
    </row>
    <row r="108" spans="1:65" ht="15" customHeight="1" x14ac:dyDescent="0.25">
      <c r="A108" s="957">
        <f t="shared" si="25"/>
        <v>0</v>
      </c>
      <c r="B108" s="10"/>
      <c r="C108" s="10"/>
      <c r="D108" s="13"/>
      <c r="E108" s="10"/>
      <c r="F108" s="10"/>
      <c r="G108" s="10"/>
      <c r="H108" s="10"/>
      <c r="I108" s="10"/>
      <c r="J108" s="10"/>
      <c r="K108" s="10"/>
      <c r="L108" s="10"/>
      <c r="M108" s="10"/>
      <c r="N108" s="10"/>
      <c r="O108" s="10"/>
      <c r="P108" s="4"/>
      <c r="Q108" s="1204"/>
      <c r="R108" s="101" t="str">
        <f t="shared" si="28"/>
        <v/>
      </c>
      <c r="S108" s="137">
        <f t="shared" si="30"/>
        <v>16</v>
      </c>
      <c r="T108" s="2129">
        <v>0.03</v>
      </c>
      <c r="U108" s="2130">
        <v>7.0000000000000007E-2</v>
      </c>
      <c r="V108" s="2130">
        <v>0.09</v>
      </c>
      <c r="W108" s="2130">
        <v>0.12</v>
      </c>
      <c r="X108" s="2130">
        <v>0.16</v>
      </c>
      <c r="Y108" s="2130">
        <v>0.22</v>
      </c>
      <c r="Z108" s="2130">
        <v>0.28000000000000003</v>
      </c>
      <c r="AA108" s="2130">
        <v>0.39</v>
      </c>
      <c r="AB108" s="2130">
        <v>0.52</v>
      </c>
      <c r="AC108" s="2130">
        <v>0.69</v>
      </c>
      <c r="AD108" s="101"/>
      <c r="AE108" s="6"/>
      <c r="AF108" s="11"/>
      <c r="AG108" s="41">
        <f t="shared" si="26"/>
        <v>0</v>
      </c>
      <c r="AH108" s="41">
        <f>IF(ISERROR(HLOOKUP(AH$91,'Improved Sales Adjustments 2'!$G$7:$WU$147,68,FALSE)),0,IF(HLOOKUP(AH$91,'Improved Sales Adjustments 2'!$G$7:$WU$147,68,FALSE)="",0,IF($S108=HLOOKUP(AH$91,'Improved Sales Adjustments 2'!$G$7:$WU$147,68,FALSE),1,0)))</f>
        <v>0</v>
      </c>
      <c r="AI108" s="41">
        <f>IF(ISERROR(HLOOKUP(AI$91,'Improved Sales Adjustments 2'!$G$7:$WU$147,68,FALSE)),0,IF(HLOOKUP(AI$91,'Improved Sales Adjustments 2'!$G$7:$WU$147,68,FALSE)="",0,IF($S108=HLOOKUP(AI$91,'Improved Sales Adjustments 2'!$G$7:$WU$147,68,FALSE),1,0)))</f>
        <v>0</v>
      </c>
      <c r="AJ108" s="41">
        <f>IF(ISERROR(HLOOKUP(AJ$91,'Improved Sales Adjustments 2'!$G$7:$WU$147,68,FALSE)),0,IF(HLOOKUP(AJ$91,'Improved Sales Adjustments 2'!$G$7:$WU$147,68,FALSE)="",0,IF($S108=HLOOKUP(AJ$91,'Improved Sales Adjustments 2'!$G$7:$WU$147,68,FALSE),1,0)))</f>
        <v>0</v>
      </c>
      <c r="AK108" s="41">
        <f>IF(ISERROR(HLOOKUP(AK$91,'Improved Sales Adjustments 2'!$G$7:$WU$147,68,FALSE)),0,IF(HLOOKUP(AK$91,'Improved Sales Adjustments 2'!$G$7:$WU$147,68,FALSE)="",0,IF($S108=HLOOKUP(AK$91,'Improved Sales Adjustments 2'!$G$7:$WU$147,68,FALSE),1,0)))</f>
        <v>0</v>
      </c>
      <c r="AL108" s="41">
        <f>IF(ISERROR(HLOOKUP(AL$91,'Improved Sales Adjustments 2'!$G$7:$WU$147,68,FALSE)),0,IF(HLOOKUP(AL$91,'Improved Sales Adjustments 2'!$G$7:$WU$147,68,FALSE)="",0,IF($S108=HLOOKUP(AL$91,'Improved Sales Adjustments 2'!$G$7:$WU$147,68,FALSE),1,0)))</f>
        <v>0</v>
      </c>
      <c r="AM108" s="41">
        <f>IF(ISERROR(HLOOKUP(AM$91,'Improved Sales Adjustments 2'!$G$7:$WU$147,68,FALSE)),0,IF(HLOOKUP(AM$91,'Improved Sales Adjustments 2'!$G$7:$WU$147,68,FALSE)="",0,IF($S108=HLOOKUP(AM$91,'Improved Sales Adjustments 2'!$G$7:$WU$147,68,FALSE),1,0)))</f>
        <v>0</v>
      </c>
      <c r="AN108" s="41">
        <f>IF(ISERROR(HLOOKUP(AN$91,'Improved Sales Adjustments 2'!$G$7:$WU$147,68,FALSE)),0,IF(HLOOKUP(AN$91,'Improved Sales Adjustments 2'!$G$7:$WU$147,68,FALSE)="",0,IF($S108=HLOOKUP(AN$91,'Improved Sales Adjustments 2'!$G$7:$WU$147,68,FALSE),1,0)))</f>
        <v>0</v>
      </c>
      <c r="AO108" s="41">
        <f>IF(ISERROR(HLOOKUP(AO$91,'Improved Sales Adjustments 2'!$G$7:$WU$147,68,FALSE)),0,IF(HLOOKUP(AO$91,'Improved Sales Adjustments 2'!$G$7:$WU$147,68,FALSE)="",0,IF($S108=HLOOKUP(AO$91,'Improved Sales Adjustments 2'!$G$7:$WU$147,68,FALSE),1,0)))</f>
        <v>0</v>
      </c>
      <c r="AP108" s="41">
        <f>IF(ISERROR(HLOOKUP(AP$91,'Improved Sales Adjustments 2'!$G$7:$WU$147,68,FALSE)),0,IF(HLOOKUP(AP$91,'Improved Sales Adjustments 2'!$G$7:$WU$147,68,FALSE)="",0,IF($S108=HLOOKUP(AP$91,'Improved Sales Adjustments 2'!$G$7:$WU$147,68,FALSE),1,0)))</f>
        <v>0</v>
      </c>
      <c r="AQ108" s="41">
        <f>IF(ISERROR(HLOOKUP(AQ$91,'Improved Sales Adjustments 2'!$G$7:$WU$147,68,FALSE)),0,IF(HLOOKUP(AQ$91,'Improved Sales Adjustments 2'!$G$7:$WU$147,68,FALSE)="",0,IF($S108=HLOOKUP(AQ$91,'Improved Sales Adjustments 2'!$G$7:$WU$147,68,FALSE),1,0)))</f>
        <v>0</v>
      </c>
      <c r="AR108" s="41">
        <f>SUM($AG108:AG108)</f>
        <v>0</v>
      </c>
      <c r="AS108" s="41">
        <f>SUM($AG108:AH108)</f>
        <v>0</v>
      </c>
      <c r="AT108" s="41">
        <f>SUM($AG108:AI108)</f>
        <v>0</v>
      </c>
      <c r="AU108" s="41">
        <f>SUM($AG108:AJ108)</f>
        <v>0</v>
      </c>
      <c r="AV108" s="41">
        <f>SUM($AG108:AK108)</f>
        <v>0</v>
      </c>
      <c r="AW108" s="41">
        <f>SUM($AG108:AL108)</f>
        <v>0</v>
      </c>
      <c r="AX108" s="41">
        <f>SUM($AG108:AM108)</f>
        <v>0</v>
      </c>
      <c r="AY108" s="41">
        <f>SUM($AG108:AN108)</f>
        <v>0</v>
      </c>
      <c r="AZ108" s="41">
        <f>SUM($AG108:AO108)</f>
        <v>0</v>
      </c>
      <c r="BA108" s="41">
        <f>SUM($AG108:AP108)</f>
        <v>0</v>
      </c>
      <c r="BB108" s="41">
        <f>SUM($AG108:AQ108)</f>
        <v>0</v>
      </c>
      <c r="BC108" s="41" t="str">
        <f t="shared" si="29"/>
        <v/>
      </c>
      <c r="BD108" s="41" t="str">
        <f t="shared" si="29"/>
        <v/>
      </c>
      <c r="BE108" s="41" t="str">
        <f t="shared" si="29"/>
        <v/>
      </c>
      <c r="BF108" s="41" t="str">
        <f t="shared" si="29"/>
        <v/>
      </c>
      <c r="BG108" s="41" t="str">
        <f t="shared" si="29"/>
        <v/>
      </c>
      <c r="BH108" s="41" t="str">
        <f t="shared" si="29"/>
        <v/>
      </c>
      <c r="BI108" s="41" t="str">
        <f t="shared" si="29"/>
        <v/>
      </c>
      <c r="BJ108" s="41" t="str">
        <f t="shared" si="29"/>
        <v/>
      </c>
      <c r="BK108" s="41" t="str">
        <f t="shared" si="29"/>
        <v/>
      </c>
      <c r="BL108" s="41" t="str">
        <f t="shared" si="29"/>
        <v/>
      </c>
      <c r="BM108" s="41" t="str">
        <f t="shared" si="29"/>
        <v/>
      </c>
    </row>
    <row r="109" spans="1:65" ht="15" customHeight="1" x14ac:dyDescent="0.25">
      <c r="A109" s="957">
        <f t="shared" si="25"/>
        <v>0</v>
      </c>
      <c r="B109" s="10"/>
      <c r="C109" s="10"/>
      <c r="D109" s="13"/>
      <c r="E109" s="10"/>
      <c r="F109" s="10"/>
      <c r="G109" s="10"/>
      <c r="H109" s="10"/>
      <c r="I109" s="10"/>
      <c r="J109" s="10"/>
      <c r="K109" s="10"/>
      <c r="L109" s="10"/>
      <c r="M109" s="10"/>
      <c r="N109" s="10"/>
      <c r="O109" s="10"/>
      <c r="P109" s="4"/>
      <c r="Q109" s="1204"/>
      <c r="R109" s="101" t="str">
        <f t="shared" si="28"/>
        <v/>
      </c>
      <c r="S109" s="137">
        <f t="shared" si="30"/>
        <v>17</v>
      </c>
      <c r="T109" s="2129">
        <v>0.04</v>
      </c>
      <c r="U109" s="2130">
        <v>7.0000000000000007E-2</v>
      </c>
      <c r="V109" s="2130">
        <v>0.1</v>
      </c>
      <c r="W109" s="2130">
        <v>0.13</v>
      </c>
      <c r="X109" s="2130">
        <v>0.18</v>
      </c>
      <c r="Y109" s="2130">
        <v>0.24</v>
      </c>
      <c r="Z109" s="2130">
        <v>0.31</v>
      </c>
      <c r="AA109" s="2130">
        <v>0.42</v>
      </c>
      <c r="AB109" s="2130">
        <v>0.56000000000000005</v>
      </c>
      <c r="AC109" s="2130">
        <v>0.73</v>
      </c>
      <c r="AD109" s="101"/>
      <c r="AE109" s="6"/>
      <c r="AF109" s="11"/>
      <c r="AG109" s="41">
        <f t="shared" si="26"/>
        <v>0</v>
      </c>
      <c r="AH109" s="41">
        <f>IF(ISERROR(HLOOKUP(AH$91,'Improved Sales Adjustments 2'!$G$7:$WU$147,68,FALSE)),0,IF(HLOOKUP(AH$91,'Improved Sales Adjustments 2'!$G$7:$WU$147,68,FALSE)="",0,IF($S109=HLOOKUP(AH$91,'Improved Sales Adjustments 2'!$G$7:$WU$147,68,FALSE),1,0)))</f>
        <v>0</v>
      </c>
      <c r="AI109" s="41">
        <f>IF(ISERROR(HLOOKUP(AI$91,'Improved Sales Adjustments 2'!$G$7:$WU$147,68,FALSE)),0,IF(HLOOKUP(AI$91,'Improved Sales Adjustments 2'!$G$7:$WU$147,68,FALSE)="",0,IF($S109=HLOOKUP(AI$91,'Improved Sales Adjustments 2'!$G$7:$WU$147,68,FALSE),1,0)))</f>
        <v>0</v>
      </c>
      <c r="AJ109" s="41">
        <f>IF(ISERROR(HLOOKUP(AJ$91,'Improved Sales Adjustments 2'!$G$7:$WU$147,68,FALSE)),0,IF(HLOOKUP(AJ$91,'Improved Sales Adjustments 2'!$G$7:$WU$147,68,FALSE)="",0,IF($S109=HLOOKUP(AJ$91,'Improved Sales Adjustments 2'!$G$7:$WU$147,68,FALSE),1,0)))</f>
        <v>0</v>
      </c>
      <c r="AK109" s="41">
        <f>IF(ISERROR(HLOOKUP(AK$91,'Improved Sales Adjustments 2'!$G$7:$WU$147,68,FALSE)),0,IF(HLOOKUP(AK$91,'Improved Sales Adjustments 2'!$G$7:$WU$147,68,FALSE)="",0,IF($S109=HLOOKUP(AK$91,'Improved Sales Adjustments 2'!$G$7:$WU$147,68,FALSE),1,0)))</f>
        <v>0</v>
      </c>
      <c r="AL109" s="41">
        <f>IF(ISERROR(HLOOKUP(AL$91,'Improved Sales Adjustments 2'!$G$7:$WU$147,68,FALSE)),0,IF(HLOOKUP(AL$91,'Improved Sales Adjustments 2'!$G$7:$WU$147,68,FALSE)="",0,IF($S109=HLOOKUP(AL$91,'Improved Sales Adjustments 2'!$G$7:$WU$147,68,FALSE),1,0)))</f>
        <v>0</v>
      </c>
      <c r="AM109" s="41">
        <f>IF(ISERROR(HLOOKUP(AM$91,'Improved Sales Adjustments 2'!$G$7:$WU$147,68,FALSE)),0,IF(HLOOKUP(AM$91,'Improved Sales Adjustments 2'!$G$7:$WU$147,68,FALSE)="",0,IF($S109=HLOOKUP(AM$91,'Improved Sales Adjustments 2'!$G$7:$WU$147,68,FALSE),1,0)))</f>
        <v>0</v>
      </c>
      <c r="AN109" s="41">
        <f>IF(ISERROR(HLOOKUP(AN$91,'Improved Sales Adjustments 2'!$G$7:$WU$147,68,FALSE)),0,IF(HLOOKUP(AN$91,'Improved Sales Adjustments 2'!$G$7:$WU$147,68,FALSE)="",0,IF($S109=HLOOKUP(AN$91,'Improved Sales Adjustments 2'!$G$7:$WU$147,68,FALSE),1,0)))</f>
        <v>0</v>
      </c>
      <c r="AO109" s="41">
        <f>IF(ISERROR(HLOOKUP(AO$91,'Improved Sales Adjustments 2'!$G$7:$WU$147,68,FALSE)),0,IF(HLOOKUP(AO$91,'Improved Sales Adjustments 2'!$G$7:$WU$147,68,FALSE)="",0,IF($S109=HLOOKUP(AO$91,'Improved Sales Adjustments 2'!$G$7:$WU$147,68,FALSE),1,0)))</f>
        <v>0</v>
      </c>
      <c r="AP109" s="41">
        <f>IF(ISERROR(HLOOKUP(AP$91,'Improved Sales Adjustments 2'!$G$7:$WU$147,68,FALSE)),0,IF(HLOOKUP(AP$91,'Improved Sales Adjustments 2'!$G$7:$WU$147,68,FALSE)="",0,IF($S109=HLOOKUP(AP$91,'Improved Sales Adjustments 2'!$G$7:$WU$147,68,FALSE),1,0)))</f>
        <v>0</v>
      </c>
      <c r="AQ109" s="41">
        <f>IF(ISERROR(HLOOKUP(AQ$91,'Improved Sales Adjustments 2'!$G$7:$WU$147,68,FALSE)),0,IF(HLOOKUP(AQ$91,'Improved Sales Adjustments 2'!$G$7:$WU$147,68,FALSE)="",0,IF($S109=HLOOKUP(AQ$91,'Improved Sales Adjustments 2'!$G$7:$WU$147,68,FALSE),1,0)))</f>
        <v>0</v>
      </c>
      <c r="AR109" s="41">
        <f>SUM($AG109:AG109)</f>
        <v>0</v>
      </c>
      <c r="AS109" s="41">
        <f>SUM($AG109:AH109)</f>
        <v>0</v>
      </c>
      <c r="AT109" s="41">
        <f>SUM($AG109:AI109)</f>
        <v>0</v>
      </c>
      <c r="AU109" s="41">
        <f>SUM($AG109:AJ109)</f>
        <v>0</v>
      </c>
      <c r="AV109" s="41">
        <f>SUM($AG109:AK109)</f>
        <v>0</v>
      </c>
      <c r="AW109" s="41">
        <f>SUM($AG109:AL109)</f>
        <v>0</v>
      </c>
      <c r="AX109" s="41">
        <f>SUM($AG109:AM109)</f>
        <v>0</v>
      </c>
      <c r="AY109" s="41">
        <f>SUM($AG109:AN109)</f>
        <v>0</v>
      </c>
      <c r="AZ109" s="41">
        <f>SUM($AG109:AO109)</f>
        <v>0</v>
      </c>
      <c r="BA109" s="41">
        <f>SUM($AG109:AP109)</f>
        <v>0</v>
      </c>
      <c r="BB109" s="41">
        <f>SUM($AG109:AQ109)</f>
        <v>0</v>
      </c>
      <c r="BC109" s="41" t="str">
        <f t="shared" si="29"/>
        <v/>
      </c>
      <c r="BD109" s="41" t="str">
        <f t="shared" si="29"/>
        <v/>
      </c>
      <c r="BE109" s="41" t="str">
        <f t="shared" si="29"/>
        <v/>
      </c>
      <c r="BF109" s="41" t="str">
        <f t="shared" si="29"/>
        <v/>
      </c>
      <c r="BG109" s="41" t="str">
        <f t="shared" si="29"/>
        <v/>
      </c>
      <c r="BH109" s="41" t="str">
        <f t="shared" si="29"/>
        <v/>
      </c>
      <c r="BI109" s="41" t="str">
        <f t="shared" si="29"/>
        <v/>
      </c>
      <c r="BJ109" s="41" t="str">
        <f t="shared" si="29"/>
        <v/>
      </c>
      <c r="BK109" s="41" t="str">
        <f t="shared" si="29"/>
        <v/>
      </c>
      <c r="BL109" s="41" t="str">
        <f t="shared" si="29"/>
        <v/>
      </c>
      <c r="BM109" s="41" t="str">
        <f t="shared" si="29"/>
        <v/>
      </c>
    </row>
    <row r="110" spans="1:65" ht="15" customHeight="1" x14ac:dyDescent="0.25">
      <c r="A110" s="957">
        <f t="shared" si="25"/>
        <v>0</v>
      </c>
      <c r="B110" s="10"/>
      <c r="C110" s="10"/>
      <c r="D110" s="13"/>
      <c r="E110" s="10"/>
      <c r="F110" s="10"/>
      <c r="G110" s="10"/>
      <c r="H110" s="10"/>
      <c r="I110" s="10"/>
      <c r="J110" s="10"/>
      <c r="K110" s="10"/>
      <c r="L110" s="10"/>
      <c r="M110" s="10"/>
      <c r="N110" s="10"/>
      <c r="O110" s="10"/>
      <c r="P110" s="4"/>
      <c r="Q110" s="1204"/>
      <c r="R110" s="101" t="str">
        <f t="shared" si="28"/>
        <v/>
      </c>
      <c r="S110" s="137">
        <f t="shared" si="30"/>
        <v>18</v>
      </c>
      <c r="T110" s="2129">
        <v>0.04</v>
      </c>
      <c r="U110" s="2130">
        <v>0.08</v>
      </c>
      <c r="V110" s="2130">
        <v>0.11</v>
      </c>
      <c r="W110" s="2130">
        <v>0.14000000000000001</v>
      </c>
      <c r="X110" s="2130">
        <v>0.19</v>
      </c>
      <c r="Y110" s="2130">
        <v>0.26</v>
      </c>
      <c r="Z110" s="2130">
        <v>0.34</v>
      </c>
      <c r="AA110" s="2130">
        <v>0.46</v>
      </c>
      <c r="AB110" s="2130">
        <v>0.6</v>
      </c>
      <c r="AC110" s="2130">
        <v>0.76</v>
      </c>
      <c r="AD110" s="101"/>
      <c r="AE110" s="6"/>
      <c r="AF110" s="11"/>
      <c r="AG110" s="41">
        <f t="shared" si="26"/>
        <v>0</v>
      </c>
      <c r="AH110" s="41">
        <f>IF(ISERROR(HLOOKUP(AH$91,'Improved Sales Adjustments 2'!$G$7:$WU$147,68,FALSE)),0,IF(HLOOKUP(AH$91,'Improved Sales Adjustments 2'!$G$7:$WU$147,68,FALSE)="",0,IF($S110=HLOOKUP(AH$91,'Improved Sales Adjustments 2'!$G$7:$WU$147,68,FALSE),1,0)))</f>
        <v>0</v>
      </c>
      <c r="AI110" s="41">
        <f>IF(ISERROR(HLOOKUP(AI$91,'Improved Sales Adjustments 2'!$G$7:$WU$147,68,FALSE)),0,IF(HLOOKUP(AI$91,'Improved Sales Adjustments 2'!$G$7:$WU$147,68,FALSE)="",0,IF($S110=HLOOKUP(AI$91,'Improved Sales Adjustments 2'!$G$7:$WU$147,68,FALSE),1,0)))</f>
        <v>0</v>
      </c>
      <c r="AJ110" s="41">
        <f>IF(ISERROR(HLOOKUP(AJ$91,'Improved Sales Adjustments 2'!$G$7:$WU$147,68,FALSE)),0,IF(HLOOKUP(AJ$91,'Improved Sales Adjustments 2'!$G$7:$WU$147,68,FALSE)="",0,IF($S110=HLOOKUP(AJ$91,'Improved Sales Adjustments 2'!$G$7:$WU$147,68,FALSE),1,0)))</f>
        <v>0</v>
      </c>
      <c r="AK110" s="41">
        <f>IF(ISERROR(HLOOKUP(AK$91,'Improved Sales Adjustments 2'!$G$7:$WU$147,68,FALSE)),0,IF(HLOOKUP(AK$91,'Improved Sales Adjustments 2'!$G$7:$WU$147,68,FALSE)="",0,IF($S110=HLOOKUP(AK$91,'Improved Sales Adjustments 2'!$G$7:$WU$147,68,FALSE),1,0)))</f>
        <v>0</v>
      </c>
      <c r="AL110" s="41">
        <f>IF(ISERROR(HLOOKUP(AL$91,'Improved Sales Adjustments 2'!$G$7:$WU$147,68,FALSE)),0,IF(HLOOKUP(AL$91,'Improved Sales Adjustments 2'!$G$7:$WU$147,68,FALSE)="",0,IF($S110=HLOOKUP(AL$91,'Improved Sales Adjustments 2'!$G$7:$WU$147,68,FALSE),1,0)))</f>
        <v>0</v>
      </c>
      <c r="AM110" s="41">
        <f>IF(ISERROR(HLOOKUP(AM$91,'Improved Sales Adjustments 2'!$G$7:$WU$147,68,FALSE)),0,IF(HLOOKUP(AM$91,'Improved Sales Adjustments 2'!$G$7:$WU$147,68,FALSE)="",0,IF($S110=HLOOKUP(AM$91,'Improved Sales Adjustments 2'!$G$7:$WU$147,68,FALSE),1,0)))</f>
        <v>0</v>
      </c>
      <c r="AN110" s="41">
        <f>IF(ISERROR(HLOOKUP(AN$91,'Improved Sales Adjustments 2'!$G$7:$WU$147,68,FALSE)),0,IF(HLOOKUP(AN$91,'Improved Sales Adjustments 2'!$G$7:$WU$147,68,FALSE)="",0,IF($S110=HLOOKUP(AN$91,'Improved Sales Adjustments 2'!$G$7:$WU$147,68,FALSE),1,0)))</f>
        <v>0</v>
      </c>
      <c r="AO110" s="41">
        <f>IF(ISERROR(HLOOKUP(AO$91,'Improved Sales Adjustments 2'!$G$7:$WU$147,68,FALSE)),0,IF(HLOOKUP(AO$91,'Improved Sales Adjustments 2'!$G$7:$WU$147,68,FALSE)="",0,IF($S110=HLOOKUP(AO$91,'Improved Sales Adjustments 2'!$G$7:$WU$147,68,FALSE),1,0)))</f>
        <v>0</v>
      </c>
      <c r="AP110" s="41">
        <f>IF(ISERROR(HLOOKUP(AP$91,'Improved Sales Adjustments 2'!$G$7:$WU$147,68,FALSE)),0,IF(HLOOKUP(AP$91,'Improved Sales Adjustments 2'!$G$7:$WU$147,68,FALSE)="",0,IF($S110=HLOOKUP(AP$91,'Improved Sales Adjustments 2'!$G$7:$WU$147,68,FALSE),1,0)))</f>
        <v>0</v>
      </c>
      <c r="AQ110" s="41">
        <f>IF(ISERROR(HLOOKUP(AQ$91,'Improved Sales Adjustments 2'!$G$7:$WU$147,68,FALSE)),0,IF(HLOOKUP(AQ$91,'Improved Sales Adjustments 2'!$G$7:$WU$147,68,FALSE)="",0,IF($S110=HLOOKUP(AQ$91,'Improved Sales Adjustments 2'!$G$7:$WU$147,68,FALSE),1,0)))</f>
        <v>0</v>
      </c>
      <c r="AR110" s="41">
        <f>SUM($AG110:AG110)</f>
        <v>0</v>
      </c>
      <c r="AS110" s="41">
        <f>SUM($AG110:AH110)</f>
        <v>0</v>
      </c>
      <c r="AT110" s="41">
        <f>SUM($AG110:AI110)</f>
        <v>0</v>
      </c>
      <c r="AU110" s="41">
        <f>SUM($AG110:AJ110)</f>
        <v>0</v>
      </c>
      <c r="AV110" s="41">
        <f>SUM($AG110:AK110)</f>
        <v>0</v>
      </c>
      <c r="AW110" s="41">
        <f>SUM($AG110:AL110)</f>
        <v>0</v>
      </c>
      <c r="AX110" s="41">
        <f>SUM($AG110:AM110)</f>
        <v>0</v>
      </c>
      <c r="AY110" s="41">
        <f>SUM($AG110:AN110)</f>
        <v>0</v>
      </c>
      <c r="AZ110" s="41">
        <f>SUM($AG110:AO110)</f>
        <v>0</v>
      </c>
      <c r="BA110" s="41">
        <f>SUM($AG110:AP110)</f>
        <v>0</v>
      </c>
      <c r="BB110" s="41">
        <f>SUM($AG110:AQ110)</f>
        <v>0</v>
      </c>
      <c r="BC110" s="41" t="str">
        <f t="shared" si="29"/>
        <v/>
      </c>
      <c r="BD110" s="41" t="str">
        <f t="shared" si="29"/>
        <v/>
      </c>
      <c r="BE110" s="41" t="str">
        <f t="shared" si="29"/>
        <v/>
      </c>
      <c r="BF110" s="41" t="str">
        <f t="shared" si="29"/>
        <v/>
      </c>
      <c r="BG110" s="41" t="str">
        <f t="shared" si="29"/>
        <v/>
      </c>
      <c r="BH110" s="41" t="str">
        <f t="shared" si="29"/>
        <v/>
      </c>
      <c r="BI110" s="41" t="str">
        <f t="shared" si="29"/>
        <v/>
      </c>
      <c r="BJ110" s="41" t="str">
        <f t="shared" si="29"/>
        <v/>
      </c>
      <c r="BK110" s="41" t="str">
        <f t="shared" si="29"/>
        <v/>
      </c>
      <c r="BL110" s="41" t="str">
        <f t="shared" si="29"/>
        <v/>
      </c>
      <c r="BM110" s="41" t="str">
        <f t="shared" si="29"/>
        <v/>
      </c>
    </row>
    <row r="111" spans="1:65" ht="15" customHeight="1" x14ac:dyDescent="0.25">
      <c r="A111" s="957">
        <f t="shared" si="25"/>
        <v>0</v>
      </c>
      <c r="B111" s="10"/>
      <c r="C111" s="10"/>
      <c r="D111" s="13"/>
      <c r="E111" s="10"/>
      <c r="F111" s="10"/>
      <c r="G111" s="10"/>
      <c r="H111" s="10"/>
      <c r="I111" s="10"/>
      <c r="J111" s="10"/>
      <c r="K111" s="10"/>
      <c r="L111" s="10"/>
      <c r="M111" s="10"/>
      <c r="N111" s="10"/>
      <c r="O111" s="10"/>
      <c r="P111" s="4"/>
      <c r="Q111" s="1204"/>
      <c r="R111" s="101" t="str">
        <f t="shared" si="28"/>
        <v/>
      </c>
      <c r="S111" s="137">
        <f t="shared" si="30"/>
        <v>19</v>
      </c>
      <c r="T111" s="2129">
        <v>0.04</v>
      </c>
      <c r="U111" s="2130">
        <v>0.09</v>
      </c>
      <c r="V111" s="2130">
        <v>0.12</v>
      </c>
      <c r="W111" s="2130">
        <v>0.16</v>
      </c>
      <c r="X111" s="2130">
        <v>0.21</v>
      </c>
      <c r="Y111" s="2130">
        <v>0.28000000000000003</v>
      </c>
      <c r="Z111" s="2130">
        <v>0.36</v>
      </c>
      <c r="AA111" s="2130">
        <v>0.49</v>
      </c>
      <c r="AB111" s="2130">
        <v>0.64</v>
      </c>
      <c r="AC111" s="2130">
        <v>0.78</v>
      </c>
      <c r="AD111" s="101"/>
      <c r="AE111" s="6"/>
      <c r="AF111" s="11"/>
      <c r="AG111" s="41">
        <f t="shared" si="26"/>
        <v>0</v>
      </c>
      <c r="AH111" s="41">
        <f>IF(ISERROR(HLOOKUP(AH$91,'Improved Sales Adjustments 2'!$G$7:$WU$147,68,FALSE)),0,IF(HLOOKUP(AH$91,'Improved Sales Adjustments 2'!$G$7:$WU$147,68,FALSE)="",0,IF($S111=HLOOKUP(AH$91,'Improved Sales Adjustments 2'!$G$7:$WU$147,68,FALSE),1,0)))</f>
        <v>0</v>
      </c>
      <c r="AI111" s="41">
        <f>IF(ISERROR(HLOOKUP(AI$91,'Improved Sales Adjustments 2'!$G$7:$WU$147,68,FALSE)),0,IF(HLOOKUP(AI$91,'Improved Sales Adjustments 2'!$G$7:$WU$147,68,FALSE)="",0,IF($S111=HLOOKUP(AI$91,'Improved Sales Adjustments 2'!$G$7:$WU$147,68,FALSE),1,0)))</f>
        <v>0</v>
      </c>
      <c r="AJ111" s="41">
        <f>IF(ISERROR(HLOOKUP(AJ$91,'Improved Sales Adjustments 2'!$G$7:$WU$147,68,FALSE)),0,IF(HLOOKUP(AJ$91,'Improved Sales Adjustments 2'!$G$7:$WU$147,68,FALSE)="",0,IF($S111=HLOOKUP(AJ$91,'Improved Sales Adjustments 2'!$G$7:$WU$147,68,FALSE),1,0)))</f>
        <v>0</v>
      </c>
      <c r="AK111" s="41">
        <f>IF(ISERROR(HLOOKUP(AK$91,'Improved Sales Adjustments 2'!$G$7:$WU$147,68,FALSE)),0,IF(HLOOKUP(AK$91,'Improved Sales Adjustments 2'!$G$7:$WU$147,68,FALSE)="",0,IF($S111=HLOOKUP(AK$91,'Improved Sales Adjustments 2'!$G$7:$WU$147,68,FALSE),1,0)))</f>
        <v>0</v>
      </c>
      <c r="AL111" s="41">
        <f>IF(ISERROR(HLOOKUP(AL$91,'Improved Sales Adjustments 2'!$G$7:$WU$147,68,FALSE)),0,IF(HLOOKUP(AL$91,'Improved Sales Adjustments 2'!$G$7:$WU$147,68,FALSE)="",0,IF($S111=HLOOKUP(AL$91,'Improved Sales Adjustments 2'!$G$7:$WU$147,68,FALSE),1,0)))</f>
        <v>0</v>
      </c>
      <c r="AM111" s="41">
        <f>IF(ISERROR(HLOOKUP(AM$91,'Improved Sales Adjustments 2'!$G$7:$WU$147,68,FALSE)),0,IF(HLOOKUP(AM$91,'Improved Sales Adjustments 2'!$G$7:$WU$147,68,FALSE)="",0,IF($S111=HLOOKUP(AM$91,'Improved Sales Adjustments 2'!$G$7:$WU$147,68,FALSE),1,0)))</f>
        <v>0</v>
      </c>
      <c r="AN111" s="41">
        <f>IF(ISERROR(HLOOKUP(AN$91,'Improved Sales Adjustments 2'!$G$7:$WU$147,68,FALSE)),0,IF(HLOOKUP(AN$91,'Improved Sales Adjustments 2'!$G$7:$WU$147,68,FALSE)="",0,IF($S111=HLOOKUP(AN$91,'Improved Sales Adjustments 2'!$G$7:$WU$147,68,FALSE),1,0)))</f>
        <v>0</v>
      </c>
      <c r="AO111" s="41">
        <f>IF(ISERROR(HLOOKUP(AO$91,'Improved Sales Adjustments 2'!$G$7:$WU$147,68,FALSE)),0,IF(HLOOKUP(AO$91,'Improved Sales Adjustments 2'!$G$7:$WU$147,68,FALSE)="",0,IF($S111=HLOOKUP(AO$91,'Improved Sales Adjustments 2'!$G$7:$WU$147,68,FALSE),1,0)))</f>
        <v>0</v>
      </c>
      <c r="AP111" s="41">
        <f>IF(ISERROR(HLOOKUP(AP$91,'Improved Sales Adjustments 2'!$G$7:$WU$147,68,FALSE)),0,IF(HLOOKUP(AP$91,'Improved Sales Adjustments 2'!$G$7:$WU$147,68,FALSE)="",0,IF($S111=HLOOKUP(AP$91,'Improved Sales Adjustments 2'!$G$7:$WU$147,68,FALSE),1,0)))</f>
        <v>0</v>
      </c>
      <c r="AQ111" s="41">
        <f>IF(ISERROR(HLOOKUP(AQ$91,'Improved Sales Adjustments 2'!$G$7:$WU$147,68,FALSE)),0,IF(HLOOKUP(AQ$91,'Improved Sales Adjustments 2'!$G$7:$WU$147,68,FALSE)="",0,IF($S111=HLOOKUP(AQ$91,'Improved Sales Adjustments 2'!$G$7:$WU$147,68,FALSE),1,0)))</f>
        <v>0</v>
      </c>
      <c r="AR111" s="41">
        <f>SUM($AG111:AG111)</f>
        <v>0</v>
      </c>
      <c r="AS111" s="41">
        <f>SUM($AG111:AH111)</f>
        <v>0</v>
      </c>
      <c r="AT111" s="41">
        <f>SUM($AG111:AI111)</f>
        <v>0</v>
      </c>
      <c r="AU111" s="41">
        <f>SUM($AG111:AJ111)</f>
        <v>0</v>
      </c>
      <c r="AV111" s="41">
        <f>SUM($AG111:AK111)</f>
        <v>0</v>
      </c>
      <c r="AW111" s="41">
        <f>SUM($AG111:AL111)</f>
        <v>0</v>
      </c>
      <c r="AX111" s="41">
        <f>SUM($AG111:AM111)</f>
        <v>0</v>
      </c>
      <c r="AY111" s="41">
        <f>SUM($AG111:AN111)</f>
        <v>0</v>
      </c>
      <c r="AZ111" s="41">
        <f>SUM($AG111:AO111)</f>
        <v>0</v>
      </c>
      <c r="BA111" s="41">
        <f>SUM($AG111:AP111)</f>
        <v>0</v>
      </c>
      <c r="BB111" s="41">
        <f>SUM($AG111:AQ111)</f>
        <v>0</v>
      </c>
      <c r="BC111" s="41" t="str">
        <f t="shared" si="29"/>
        <v/>
      </c>
      <c r="BD111" s="41" t="str">
        <f t="shared" si="29"/>
        <v/>
      </c>
      <c r="BE111" s="41" t="str">
        <f t="shared" si="29"/>
        <v/>
      </c>
      <c r="BF111" s="41" t="str">
        <f t="shared" si="29"/>
        <v/>
      </c>
      <c r="BG111" s="41" t="str">
        <f t="shared" si="29"/>
        <v/>
      </c>
      <c r="BH111" s="41" t="str">
        <f t="shared" si="29"/>
        <v/>
      </c>
      <c r="BI111" s="41" t="str">
        <f t="shared" si="29"/>
        <v/>
      </c>
      <c r="BJ111" s="41" t="str">
        <f t="shared" si="29"/>
        <v/>
      </c>
      <c r="BK111" s="41" t="str">
        <f t="shared" si="29"/>
        <v/>
      </c>
      <c r="BL111" s="41" t="str">
        <f t="shared" si="29"/>
        <v/>
      </c>
      <c r="BM111" s="41" t="str">
        <f t="shared" si="29"/>
        <v/>
      </c>
    </row>
    <row r="112" spans="1:65" ht="15" customHeight="1" x14ac:dyDescent="0.25">
      <c r="A112" s="957">
        <f t="shared" si="25"/>
        <v>0</v>
      </c>
      <c r="B112" s="10"/>
      <c r="C112" s="10"/>
      <c r="D112" s="13"/>
      <c r="E112" s="10"/>
      <c r="F112" s="10"/>
      <c r="G112" s="10"/>
      <c r="H112" s="10"/>
      <c r="I112" s="10"/>
      <c r="J112" s="10"/>
      <c r="K112" s="10"/>
      <c r="L112" s="10"/>
      <c r="M112" s="10"/>
      <c r="N112" s="10"/>
      <c r="O112" s="10"/>
      <c r="P112" s="4"/>
      <c r="Q112" s="1204"/>
      <c r="R112" s="101" t="str">
        <f t="shared" si="28"/>
        <v/>
      </c>
      <c r="S112" s="137">
        <f t="shared" si="30"/>
        <v>20</v>
      </c>
      <c r="T112" s="2129">
        <v>0.05</v>
      </c>
      <c r="U112" s="2130">
        <v>0.09</v>
      </c>
      <c r="V112" s="2130">
        <v>0.13</v>
      </c>
      <c r="W112" s="2130">
        <v>0.17</v>
      </c>
      <c r="X112" s="2130">
        <v>0.23</v>
      </c>
      <c r="Y112" s="2130">
        <v>0.3</v>
      </c>
      <c r="Z112" s="2130">
        <v>0.39</v>
      </c>
      <c r="AA112" s="2130">
        <v>0.53</v>
      </c>
      <c r="AB112" s="2130">
        <v>0.68</v>
      </c>
      <c r="AC112" s="2130">
        <v>0.79</v>
      </c>
      <c r="AD112" s="101"/>
      <c r="AE112" s="6"/>
      <c r="AF112" s="11"/>
      <c r="AG112" s="41">
        <f t="shared" si="26"/>
        <v>0</v>
      </c>
      <c r="AH112" s="41">
        <f>IF(ISERROR(HLOOKUP(AH$91,'Improved Sales Adjustments 2'!$G$7:$WU$147,68,FALSE)),0,IF(HLOOKUP(AH$91,'Improved Sales Adjustments 2'!$G$7:$WU$147,68,FALSE)="",0,IF($S112=HLOOKUP(AH$91,'Improved Sales Adjustments 2'!$G$7:$WU$147,68,FALSE),1,0)))</f>
        <v>0</v>
      </c>
      <c r="AI112" s="41">
        <f>IF(ISERROR(HLOOKUP(AI$91,'Improved Sales Adjustments 2'!$G$7:$WU$147,68,FALSE)),0,IF(HLOOKUP(AI$91,'Improved Sales Adjustments 2'!$G$7:$WU$147,68,FALSE)="",0,IF($S112=HLOOKUP(AI$91,'Improved Sales Adjustments 2'!$G$7:$WU$147,68,FALSE),1,0)))</f>
        <v>0</v>
      </c>
      <c r="AJ112" s="41">
        <f>IF(ISERROR(HLOOKUP(AJ$91,'Improved Sales Adjustments 2'!$G$7:$WU$147,68,FALSE)),0,IF(HLOOKUP(AJ$91,'Improved Sales Adjustments 2'!$G$7:$WU$147,68,FALSE)="",0,IF($S112=HLOOKUP(AJ$91,'Improved Sales Adjustments 2'!$G$7:$WU$147,68,FALSE),1,0)))</f>
        <v>0</v>
      </c>
      <c r="AK112" s="41">
        <f>IF(ISERROR(HLOOKUP(AK$91,'Improved Sales Adjustments 2'!$G$7:$WU$147,68,FALSE)),0,IF(HLOOKUP(AK$91,'Improved Sales Adjustments 2'!$G$7:$WU$147,68,FALSE)="",0,IF($S112=HLOOKUP(AK$91,'Improved Sales Adjustments 2'!$G$7:$WU$147,68,FALSE),1,0)))</f>
        <v>0</v>
      </c>
      <c r="AL112" s="41">
        <f>IF(ISERROR(HLOOKUP(AL$91,'Improved Sales Adjustments 2'!$G$7:$WU$147,68,FALSE)),0,IF(HLOOKUP(AL$91,'Improved Sales Adjustments 2'!$G$7:$WU$147,68,FALSE)="",0,IF($S112=HLOOKUP(AL$91,'Improved Sales Adjustments 2'!$G$7:$WU$147,68,FALSE),1,0)))</f>
        <v>0</v>
      </c>
      <c r="AM112" s="41">
        <f>IF(ISERROR(HLOOKUP(AM$91,'Improved Sales Adjustments 2'!$G$7:$WU$147,68,FALSE)),0,IF(HLOOKUP(AM$91,'Improved Sales Adjustments 2'!$G$7:$WU$147,68,FALSE)="",0,IF($S112=HLOOKUP(AM$91,'Improved Sales Adjustments 2'!$G$7:$WU$147,68,FALSE),1,0)))</f>
        <v>0</v>
      </c>
      <c r="AN112" s="41">
        <f>IF(ISERROR(HLOOKUP(AN$91,'Improved Sales Adjustments 2'!$G$7:$WU$147,68,FALSE)),0,IF(HLOOKUP(AN$91,'Improved Sales Adjustments 2'!$G$7:$WU$147,68,FALSE)="",0,IF($S112=HLOOKUP(AN$91,'Improved Sales Adjustments 2'!$G$7:$WU$147,68,FALSE),1,0)))</f>
        <v>0</v>
      </c>
      <c r="AO112" s="41">
        <f>IF(ISERROR(HLOOKUP(AO$91,'Improved Sales Adjustments 2'!$G$7:$WU$147,68,FALSE)),0,IF(HLOOKUP(AO$91,'Improved Sales Adjustments 2'!$G$7:$WU$147,68,FALSE)="",0,IF($S112=HLOOKUP(AO$91,'Improved Sales Adjustments 2'!$G$7:$WU$147,68,FALSE),1,0)))</f>
        <v>0</v>
      </c>
      <c r="AP112" s="41">
        <f>IF(ISERROR(HLOOKUP(AP$91,'Improved Sales Adjustments 2'!$G$7:$WU$147,68,FALSE)),0,IF(HLOOKUP(AP$91,'Improved Sales Adjustments 2'!$G$7:$WU$147,68,FALSE)="",0,IF($S112=HLOOKUP(AP$91,'Improved Sales Adjustments 2'!$G$7:$WU$147,68,FALSE),1,0)))</f>
        <v>0</v>
      </c>
      <c r="AQ112" s="41">
        <f>IF(ISERROR(HLOOKUP(AQ$91,'Improved Sales Adjustments 2'!$G$7:$WU$147,68,FALSE)),0,IF(HLOOKUP(AQ$91,'Improved Sales Adjustments 2'!$G$7:$WU$147,68,FALSE)="",0,IF($S112=HLOOKUP(AQ$91,'Improved Sales Adjustments 2'!$G$7:$WU$147,68,FALSE),1,0)))</f>
        <v>0</v>
      </c>
      <c r="AR112" s="41">
        <f>SUM($AG112:AG112)</f>
        <v>0</v>
      </c>
      <c r="AS112" s="41">
        <f>SUM($AG112:AH112)</f>
        <v>0</v>
      </c>
      <c r="AT112" s="41">
        <f>SUM($AG112:AI112)</f>
        <v>0</v>
      </c>
      <c r="AU112" s="41">
        <f>SUM($AG112:AJ112)</f>
        <v>0</v>
      </c>
      <c r="AV112" s="41">
        <f>SUM($AG112:AK112)</f>
        <v>0</v>
      </c>
      <c r="AW112" s="41">
        <f>SUM($AG112:AL112)</f>
        <v>0</v>
      </c>
      <c r="AX112" s="41">
        <f>SUM($AG112:AM112)</f>
        <v>0</v>
      </c>
      <c r="AY112" s="41">
        <f>SUM($AG112:AN112)</f>
        <v>0</v>
      </c>
      <c r="AZ112" s="41">
        <f>SUM($AG112:AO112)</f>
        <v>0</v>
      </c>
      <c r="BA112" s="41">
        <f>SUM($AG112:AP112)</f>
        <v>0</v>
      </c>
      <c r="BB112" s="41">
        <f>SUM($AG112:AQ112)</f>
        <v>0</v>
      </c>
      <c r="BC112" s="41" t="str">
        <f t="shared" si="29"/>
        <v/>
      </c>
      <c r="BD112" s="41" t="str">
        <f t="shared" si="29"/>
        <v/>
      </c>
      <c r="BE112" s="41" t="str">
        <f t="shared" si="29"/>
        <v/>
      </c>
      <c r="BF112" s="41" t="str">
        <f t="shared" si="29"/>
        <v/>
      </c>
      <c r="BG112" s="41" t="str">
        <f t="shared" si="29"/>
        <v/>
      </c>
      <c r="BH112" s="41" t="str">
        <f t="shared" si="29"/>
        <v/>
      </c>
      <c r="BI112" s="41" t="str">
        <f t="shared" si="29"/>
        <v/>
      </c>
      <c r="BJ112" s="41" t="str">
        <f t="shared" si="29"/>
        <v/>
      </c>
      <c r="BK112" s="41" t="str">
        <f t="shared" si="29"/>
        <v/>
      </c>
      <c r="BL112" s="41" t="str">
        <f t="shared" si="29"/>
        <v/>
      </c>
      <c r="BM112" s="41" t="str">
        <f t="shared" si="29"/>
        <v/>
      </c>
    </row>
    <row r="113" spans="1:65" ht="15" customHeight="1" x14ac:dyDescent="0.25">
      <c r="A113" s="957">
        <f t="shared" si="25"/>
        <v>0</v>
      </c>
      <c r="B113" s="10"/>
      <c r="C113" s="10"/>
      <c r="D113" s="13"/>
      <c r="E113" s="10"/>
      <c r="F113" s="10"/>
      <c r="G113" s="10"/>
      <c r="H113" s="10"/>
      <c r="I113" s="10"/>
      <c r="J113" s="10"/>
      <c r="K113" s="10"/>
      <c r="L113" s="10"/>
      <c r="M113" s="10"/>
      <c r="N113" s="10"/>
      <c r="O113" s="10"/>
      <c r="P113" s="4"/>
      <c r="Q113" s="1204"/>
      <c r="R113" s="101" t="str">
        <f t="shared" si="28"/>
        <v/>
      </c>
      <c r="S113" s="137">
        <f t="shared" si="30"/>
        <v>21</v>
      </c>
      <c r="T113" s="2129">
        <v>0.05</v>
      </c>
      <c r="U113" s="2130">
        <v>0.1</v>
      </c>
      <c r="V113" s="2130">
        <v>0.14000000000000001</v>
      </c>
      <c r="W113" s="2130">
        <v>0.18</v>
      </c>
      <c r="X113" s="2130">
        <v>0.25</v>
      </c>
      <c r="Y113" s="2130">
        <v>0.32</v>
      </c>
      <c r="Z113" s="2130">
        <v>0.42</v>
      </c>
      <c r="AA113" s="2130">
        <v>0.56999999999999995</v>
      </c>
      <c r="AB113" s="2130">
        <v>0.71</v>
      </c>
      <c r="AC113" s="2130">
        <v>0.8</v>
      </c>
      <c r="AD113" s="101"/>
      <c r="AE113" s="6"/>
      <c r="AF113" s="11"/>
      <c r="AG113" s="41">
        <f t="shared" si="26"/>
        <v>0</v>
      </c>
      <c r="AH113" s="41">
        <f>IF(ISERROR(HLOOKUP(AH$91,'Improved Sales Adjustments 2'!$G$7:$WU$147,68,FALSE)),0,IF(HLOOKUP(AH$91,'Improved Sales Adjustments 2'!$G$7:$WU$147,68,FALSE)="",0,IF($S113=HLOOKUP(AH$91,'Improved Sales Adjustments 2'!$G$7:$WU$147,68,FALSE),1,0)))</f>
        <v>0</v>
      </c>
      <c r="AI113" s="41">
        <f>IF(ISERROR(HLOOKUP(AI$91,'Improved Sales Adjustments 2'!$G$7:$WU$147,68,FALSE)),0,IF(HLOOKUP(AI$91,'Improved Sales Adjustments 2'!$G$7:$WU$147,68,FALSE)="",0,IF($S113=HLOOKUP(AI$91,'Improved Sales Adjustments 2'!$G$7:$WU$147,68,FALSE),1,0)))</f>
        <v>0</v>
      </c>
      <c r="AJ113" s="41">
        <f>IF(ISERROR(HLOOKUP(AJ$91,'Improved Sales Adjustments 2'!$G$7:$WU$147,68,FALSE)),0,IF(HLOOKUP(AJ$91,'Improved Sales Adjustments 2'!$G$7:$WU$147,68,FALSE)="",0,IF($S113=HLOOKUP(AJ$91,'Improved Sales Adjustments 2'!$G$7:$WU$147,68,FALSE),1,0)))</f>
        <v>0</v>
      </c>
      <c r="AK113" s="41">
        <f>IF(ISERROR(HLOOKUP(AK$91,'Improved Sales Adjustments 2'!$G$7:$WU$147,68,FALSE)),0,IF(HLOOKUP(AK$91,'Improved Sales Adjustments 2'!$G$7:$WU$147,68,FALSE)="",0,IF($S113=HLOOKUP(AK$91,'Improved Sales Adjustments 2'!$G$7:$WU$147,68,FALSE),1,0)))</f>
        <v>0</v>
      </c>
      <c r="AL113" s="41">
        <f>IF(ISERROR(HLOOKUP(AL$91,'Improved Sales Adjustments 2'!$G$7:$WU$147,68,FALSE)),0,IF(HLOOKUP(AL$91,'Improved Sales Adjustments 2'!$G$7:$WU$147,68,FALSE)="",0,IF($S113=HLOOKUP(AL$91,'Improved Sales Adjustments 2'!$G$7:$WU$147,68,FALSE),1,0)))</f>
        <v>0</v>
      </c>
      <c r="AM113" s="41">
        <f>IF(ISERROR(HLOOKUP(AM$91,'Improved Sales Adjustments 2'!$G$7:$WU$147,68,FALSE)),0,IF(HLOOKUP(AM$91,'Improved Sales Adjustments 2'!$G$7:$WU$147,68,FALSE)="",0,IF($S113=HLOOKUP(AM$91,'Improved Sales Adjustments 2'!$G$7:$WU$147,68,FALSE),1,0)))</f>
        <v>0</v>
      </c>
      <c r="AN113" s="41">
        <f>IF(ISERROR(HLOOKUP(AN$91,'Improved Sales Adjustments 2'!$G$7:$WU$147,68,FALSE)),0,IF(HLOOKUP(AN$91,'Improved Sales Adjustments 2'!$G$7:$WU$147,68,FALSE)="",0,IF($S113=HLOOKUP(AN$91,'Improved Sales Adjustments 2'!$G$7:$WU$147,68,FALSE),1,0)))</f>
        <v>0</v>
      </c>
      <c r="AO113" s="41">
        <f>IF(ISERROR(HLOOKUP(AO$91,'Improved Sales Adjustments 2'!$G$7:$WU$147,68,FALSE)),0,IF(HLOOKUP(AO$91,'Improved Sales Adjustments 2'!$G$7:$WU$147,68,FALSE)="",0,IF($S113=HLOOKUP(AO$91,'Improved Sales Adjustments 2'!$G$7:$WU$147,68,FALSE),1,0)))</f>
        <v>0</v>
      </c>
      <c r="AP113" s="41">
        <f>IF(ISERROR(HLOOKUP(AP$91,'Improved Sales Adjustments 2'!$G$7:$WU$147,68,FALSE)),0,IF(HLOOKUP(AP$91,'Improved Sales Adjustments 2'!$G$7:$WU$147,68,FALSE)="",0,IF($S113=HLOOKUP(AP$91,'Improved Sales Adjustments 2'!$G$7:$WU$147,68,FALSE),1,0)))</f>
        <v>0</v>
      </c>
      <c r="AQ113" s="41">
        <f>IF(ISERROR(HLOOKUP(AQ$91,'Improved Sales Adjustments 2'!$G$7:$WU$147,68,FALSE)),0,IF(HLOOKUP(AQ$91,'Improved Sales Adjustments 2'!$G$7:$WU$147,68,FALSE)="",0,IF($S113=HLOOKUP(AQ$91,'Improved Sales Adjustments 2'!$G$7:$WU$147,68,FALSE),1,0)))</f>
        <v>0</v>
      </c>
      <c r="AR113" s="41">
        <f>SUM($AG113:AG113)</f>
        <v>0</v>
      </c>
      <c r="AS113" s="41">
        <f>SUM($AG113:AH113)</f>
        <v>0</v>
      </c>
      <c r="AT113" s="41">
        <f>SUM($AG113:AI113)</f>
        <v>0</v>
      </c>
      <c r="AU113" s="41">
        <f>SUM($AG113:AJ113)</f>
        <v>0</v>
      </c>
      <c r="AV113" s="41">
        <f>SUM($AG113:AK113)</f>
        <v>0</v>
      </c>
      <c r="AW113" s="41">
        <f>SUM($AG113:AL113)</f>
        <v>0</v>
      </c>
      <c r="AX113" s="41">
        <f>SUM($AG113:AM113)</f>
        <v>0</v>
      </c>
      <c r="AY113" s="41">
        <f>SUM($AG113:AN113)</f>
        <v>0</v>
      </c>
      <c r="AZ113" s="41">
        <f>SUM($AG113:AO113)</f>
        <v>0</v>
      </c>
      <c r="BA113" s="41">
        <f>SUM($AG113:AP113)</f>
        <v>0</v>
      </c>
      <c r="BB113" s="41">
        <f>SUM($AG113:AQ113)</f>
        <v>0</v>
      </c>
      <c r="BC113" s="41" t="str">
        <f t="shared" si="29"/>
        <v/>
      </c>
      <c r="BD113" s="41" t="str">
        <f t="shared" si="29"/>
        <v/>
      </c>
      <c r="BE113" s="41" t="str">
        <f t="shared" si="29"/>
        <v/>
      </c>
      <c r="BF113" s="41" t="str">
        <f t="shared" si="29"/>
        <v/>
      </c>
      <c r="BG113" s="41" t="str">
        <f t="shared" si="29"/>
        <v/>
      </c>
      <c r="BH113" s="41" t="str">
        <f t="shared" si="29"/>
        <v/>
      </c>
      <c r="BI113" s="41" t="str">
        <f t="shared" si="29"/>
        <v/>
      </c>
      <c r="BJ113" s="41" t="str">
        <f t="shared" si="29"/>
        <v/>
      </c>
      <c r="BK113" s="41" t="str">
        <f t="shared" si="29"/>
        <v/>
      </c>
      <c r="BL113" s="41" t="str">
        <f t="shared" si="29"/>
        <v/>
      </c>
      <c r="BM113" s="41" t="str">
        <f t="shared" si="29"/>
        <v/>
      </c>
    </row>
    <row r="114" spans="1:65" ht="15" customHeight="1" x14ac:dyDescent="0.25">
      <c r="A114" s="957">
        <f t="shared" si="25"/>
        <v>0</v>
      </c>
      <c r="B114" s="10"/>
      <c r="C114" s="10"/>
      <c r="D114" s="13"/>
      <c r="E114" s="10"/>
      <c r="F114" s="10"/>
      <c r="G114" s="10"/>
      <c r="H114" s="10"/>
      <c r="I114" s="10"/>
      <c r="J114" s="10"/>
      <c r="K114" s="10"/>
      <c r="L114" s="10"/>
      <c r="M114" s="10"/>
      <c r="N114" s="10"/>
      <c r="O114" s="10"/>
      <c r="P114" s="4"/>
      <c r="Q114" s="1204"/>
      <c r="R114" s="101" t="str">
        <f t="shared" si="28"/>
        <v/>
      </c>
      <c r="S114" s="137">
        <f t="shared" si="30"/>
        <v>22</v>
      </c>
      <c r="T114" s="2129">
        <v>0.06</v>
      </c>
      <c r="U114" s="2130">
        <v>0.11</v>
      </c>
      <c r="V114" s="2130">
        <v>0.15</v>
      </c>
      <c r="W114" s="2130">
        <v>0.2</v>
      </c>
      <c r="X114" s="2130">
        <v>0.27</v>
      </c>
      <c r="Y114" s="2130">
        <v>0.35</v>
      </c>
      <c r="Z114" s="2130">
        <v>0.45</v>
      </c>
      <c r="AA114" s="2130">
        <v>0.6</v>
      </c>
      <c r="AB114" s="2130">
        <v>0.73</v>
      </c>
      <c r="AC114" s="2130"/>
      <c r="AD114" s="101"/>
      <c r="AE114" s="6"/>
      <c r="AF114" s="11"/>
      <c r="AG114" s="41">
        <f t="shared" si="26"/>
        <v>0</v>
      </c>
      <c r="AH114" s="41">
        <f>IF(ISERROR(HLOOKUP(AH$91,'Improved Sales Adjustments 2'!$G$7:$WU$147,68,FALSE)),0,IF(HLOOKUP(AH$91,'Improved Sales Adjustments 2'!$G$7:$WU$147,68,FALSE)="",0,IF($S114=HLOOKUP(AH$91,'Improved Sales Adjustments 2'!$G$7:$WU$147,68,FALSE),1,0)))</f>
        <v>0</v>
      </c>
      <c r="AI114" s="41">
        <f>IF(ISERROR(HLOOKUP(AI$91,'Improved Sales Adjustments 2'!$G$7:$WU$147,68,FALSE)),0,IF(HLOOKUP(AI$91,'Improved Sales Adjustments 2'!$G$7:$WU$147,68,FALSE)="",0,IF($S114=HLOOKUP(AI$91,'Improved Sales Adjustments 2'!$G$7:$WU$147,68,FALSE),1,0)))</f>
        <v>0</v>
      </c>
      <c r="AJ114" s="41">
        <f>IF(ISERROR(HLOOKUP(AJ$91,'Improved Sales Adjustments 2'!$G$7:$WU$147,68,FALSE)),0,IF(HLOOKUP(AJ$91,'Improved Sales Adjustments 2'!$G$7:$WU$147,68,FALSE)="",0,IF($S114=HLOOKUP(AJ$91,'Improved Sales Adjustments 2'!$G$7:$WU$147,68,FALSE),1,0)))</f>
        <v>0</v>
      </c>
      <c r="AK114" s="41">
        <f>IF(ISERROR(HLOOKUP(AK$91,'Improved Sales Adjustments 2'!$G$7:$WU$147,68,FALSE)),0,IF(HLOOKUP(AK$91,'Improved Sales Adjustments 2'!$G$7:$WU$147,68,FALSE)="",0,IF($S114=HLOOKUP(AK$91,'Improved Sales Adjustments 2'!$G$7:$WU$147,68,FALSE),1,0)))</f>
        <v>0</v>
      </c>
      <c r="AL114" s="41">
        <f>IF(ISERROR(HLOOKUP(AL$91,'Improved Sales Adjustments 2'!$G$7:$WU$147,68,FALSE)),0,IF(HLOOKUP(AL$91,'Improved Sales Adjustments 2'!$G$7:$WU$147,68,FALSE)="",0,IF($S114=HLOOKUP(AL$91,'Improved Sales Adjustments 2'!$G$7:$WU$147,68,FALSE),1,0)))</f>
        <v>0</v>
      </c>
      <c r="AM114" s="41">
        <f>IF(ISERROR(HLOOKUP(AM$91,'Improved Sales Adjustments 2'!$G$7:$WU$147,68,FALSE)),0,IF(HLOOKUP(AM$91,'Improved Sales Adjustments 2'!$G$7:$WU$147,68,FALSE)="",0,IF($S114=HLOOKUP(AM$91,'Improved Sales Adjustments 2'!$G$7:$WU$147,68,FALSE),1,0)))</f>
        <v>0</v>
      </c>
      <c r="AN114" s="41">
        <f>IF(ISERROR(HLOOKUP(AN$91,'Improved Sales Adjustments 2'!$G$7:$WU$147,68,FALSE)),0,IF(HLOOKUP(AN$91,'Improved Sales Adjustments 2'!$G$7:$WU$147,68,FALSE)="",0,IF($S114=HLOOKUP(AN$91,'Improved Sales Adjustments 2'!$G$7:$WU$147,68,FALSE),1,0)))</f>
        <v>0</v>
      </c>
      <c r="AO114" s="41">
        <f>IF(ISERROR(HLOOKUP(AO$91,'Improved Sales Adjustments 2'!$G$7:$WU$147,68,FALSE)),0,IF(HLOOKUP(AO$91,'Improved Sales Adjustments 2'!$G$7:$WU$147,68,FALSE)="",0,IF($S114=HLOOKUP(AO$91,'Improved Sales Adjustments 2'!$G$7:$WU$147,68,FALSE),1,0)))</f>
        <v>0</v>
      </c>
      <c r="AP114" s="41">
        <f>IF(ISERROR(HLOOKUP(AP$91,'Improved Sales Adjustments 2'!$G$7:$WU$147,68,FALSE)),0,IF(HLOOKUP(AP$91,'Improved Sales Adjustments 2'!$G$7:$WU$147,68,FALSE)="",0,IF($S114=HLOOKUP(AP$91,'Improved Sales Adjustments 2'!$G$7:$WU$147,68,FALSE),1,0)))</f>
        <v>0</v>
      </c>
      <c r="AQ114" s="41">
        <f>IF(ISERROR(HLOOKUP(AQ$91,'Improved Sales Adjustments 2'!$G$7:$WU$147,68,FALSE)),0,IF(HLOOKUP(AQ$91,'Improved Sales Adjustments 2'!$G$7:$WU$147,68,FALSE)="",0,IF($S114=HLOOKUP(AQ$91,'Improved Sales Adjustments 2'!$G$7:$WU$147,68,FALSE),1,0)))</f>
        <v>0</v>
      </c>
      <c r="AR114" s="41">
        <f>SUM($AG114:AG114)</f>
        <v>0</v>
      </c>
      <c r="AS114" s="41">
        <f>SUM($AG114:AH114)</f>
        <v>0</v>
      </c>
      <c r="AT114" s="41">
        <f>SUM($AG114:AI114)</f>
        <v>0</v>
      </c>
      <c r="AU114" s="41">
        <f>SUM($AG114:AJ114)</f>
        <v>0</v>
      </c>
      <c r="AV114" s="41">
        <f>SUM($AG114:AK114)</f>
        <v>0</v>
      </c>
      <c r="AW114" s="41">
        <f>SUM($AG114:AL114)</f>
        <v>0</v>
      </c>
      <c r="AX114" s="41">
        <f>SUM($AG114:AM114)</f>
        <v>0</v>
      </c>
      <c r="AY114" s="41">
        <f>SUM($AG114:AN114)</f>
        <v>0</v>
      </c>
      <c r="AZ114" s="41">
        <f>SUM($AG114:AO114)</f>
        <v>0</v>
      </c>
      <c r="BA114" s="41">
        <f>SUM($AG114:AP114)</f>
        <v>0</v>
      </c>
      <c r="BB114" s="41">
        <f>SUM($AG114:AQ114)</f>
        <v>0</v>
      </c>
      <c r="BC114" s="41" t="str">
        <f t="shared" si="29"/>
        <v/>
      </c>
      <c r="BD114" s="41" t="str">
        <f t="shared" si="29"/>
        <v/>
      </c>
      <c r="BE114" s="41" t="str">
        <f t="shared" si="29"/>
        <v/>
      </c>
      <c r="BF114" s="41" t="str">
        <f t="shared" si="29"/>
        <v/>
      </c>
      <c r="BG114" s="41" t="str">
        <f t="shared" si="29"/>
        <v/>
      </c>
      <c r="BH114" s="41" t="str">
        <f t="shared" si="29"/>
        <v/>
      </c>
      <c r="BI114" s="41" t="str">
        <f t="shared" si="29"/>
        <v/>
      </c>
      <c r="BJ114" s="41" t="str">
        <f t="shared" si="29"/>
        <v/>
      </c>
      <c r="BK114" s="41" t="str">
        <f t="shared" si="29"/>
        <v/>
      </c>
      <c r="BL114" s="41" t="str">
        <f t="shared" si="29"/>
        <v/>
      </c>
      <c r="BM114" s="41" t="str">
        <f t="shared" si="29"/>
        <v/>
      </c>
    </row>
    <row r="115" spans="1:65" ht="15" customHeight="1" x14ac:dyDescent="0.25">
      <c r="A115" s="957">
        <f t="shared" si="25"/>
        <v>0</v>
      </c>
      <c r="B115" s="10"/>
      <c r="C115" s="10"/>
      <c r="D115" s="13"/>
      <c r="E115" s="10"/>
      <c r="F115" s="10"/>
      <c r="G115" s="10"/>
      <c r="H115" s="10"/>
      <c r="I115" s="10"/>
      <c r="J115" s="10"/>
      <c r="K115" s="10"/>
      <c r="L115" s="10"/>
      <c r="M115" s="10"/>
      <c r="N115" s="10"/>
      <c r="O115" s="10"/>
      <c r="P115" s="4"/>
      <c r="Q115" s="1204"/>
      <c r="R115" s="101" t="str">
        <f t="shared" si="28"/>
        <v/>
      </c>
      <c r="S115" s="137">
        <f t="shared" si="30"/>
        <v>23</v>
      </c>
      <c r="T115" s="2129">
        <v>0.06</v>
      </c>
      <c r="U115" s="2130">
        <v>0.12</v>
      </c>
      <c r="V115" s="2130">
        <v>0.16</v>
      </c>
      <c r="W115" s="2130">
        <v>0.21</v>
      </c>
      <c r="X115" s="2130">
        <v>0.28999999999999998</v>
      </c>
      <c r="Y115" s="2130">
        <v>0.37</v>
      </c>
      <c r="Z115" s="2130">
        <v>0.48</v>
      </c>
      <c r="AA115" s="2130">
        <v>0.63</v>
      </c>
      <c r="AB115" s="2130">
        <v>0.75</v>
      </c>
      <c r="AC115" s="2130"/>
      <c r="AD115" s="101"/>
      <c r="AE115" s="6"/>
      <c r="AF115" s="11"/>
      <c r="AG115" s="41">
        <f t="shared" si="26"/>
        <v>0</v>
      </c>
      <c r="AH115" s="41">
        <f>IF(ISERROR(HLOOKUP(AH$91,'Improved Sales Adjustments 2'!$G$7:$WU$147,68,FALSE)),0,IF(HLOOKUP(AH$91,'Improved Sales Adjustments 2'!$G$7:$WU$147,68,FALSE)="",0,IF($S115=HLOOKUP(AH$91,'Improved Sales Adjustments 2'!$G$7:$WU$147,68,FALSE),1,0)))</f>
        <v>0</v>
      </c>
      <c r="AI115" s="41">
        <f>IF(ISERROR(HLOOKUP(AI$91,'Improved Sales Adjustments 2'!$G$7:$WU$147,68,FALSE)),0,IF(HLOOKUP(AI$91,'Improved Sales Adjustments 2'!$G$7:$WU$147,68,FALSE)="",0,IF($S115=HLOOKUP(AI$91,'Improved Sales Adjustments 2'!$G$7:$WU$147,68,FALSE),1,0)))</f>
        <v>0</v>
      </c>
      <c r="AJ115" s="41">
        <f>IF(ISERROR(HLOOKUP(AJ$91,'Improved Sales Adjustments 2'!$G$7:$WU$147,68,FALSE)),0,IF(HLOOKUP(AJ$91,'Improved Sales Adjustments 2'!$G$7:$WU$147,68,FALSE)="",0,IF($S115=HLOOKUP(AJ$91,'Improved Sales Adjustments 2'!$G$7:$WU$147,68,FALSE),1,0)))</f>
        <v>0</v>
      </c>
      <c r="AK115" s="41">
        <f>IF(ISERROR(HLOOKUP(AK$91,'Improved Sales Adjustments 2'!$G$7:$WU$147,68,FALSE)),0,IF(HLOOKUP(AK$91,'Improved Sales Adjustments 2'!$G$7:$WU$147,68,FALSE)="",0,IF($S115=HLOOKUP(AK$91,'Improved Sales Adjustments 2'!$G$7:$WU$147,68,FALSE),1,0)))</f>
        <v>0</v>
      </c>
      <c r="AL115" s="41">
        <f>IF(ISERROR(HLOOKUP(AL$91,'Improved Sales Adjustments 2'!$G$7:$WU$147,68,FALSE)),0,IF(HLOOKUP(AL$91,'Improved Sales Adjustments 2'!$G$7:$WU$147,68,FALSE)="",0,IF($S115=HLOOKUP(AL$91,'Improved Sales Adjustments 2'!$G$7:$WU$147,68,FALSE),1,0)))</f>
        <v>0</v>
      </c>
      <c r="AM115" s="41">
        <f>IF(ISERROR(HLOOKUP(AM$91,'Improved Sales Adjustments 2'!$G$7:$WU$147,68,FALSE)),0,IF(HLOOKUP(AM$91,'Improved Sales Adjustments 2'!$G$7:$WU$147,68,FALSE)="",0,IF($S115=HLOOKUP(AM$91,'Improved Sales Adjustments 2'!$G$7:$WU$147,68,FALSE),1,0)))</f>
        <v>0</v>
      </c>
      <c r="AN115" s="41">
        <f>IF(ISERROR(HLOOKUP(AN$91,'Improved Sales Adjustments 2'!$G$7:$WU$147,68,FALSE)),0,IF(HLOOKUP(AN$91,'Improved Sales Adjustments 2'!$G$7:$WU$147,68,FALSE)="",0,IF($S115=HLOOKUP(AN$91,'Improved Sales Adjustments 2'!$G$7:$WU$147,68,FALSE),1,0)))</f>
        <v>0</v>
      </c>
      <c r="AO115" s="41">
        <f>IF(ISERROR(HLOOKUP(AO$91,'Improved Sales Adjustments 2'!$G$7:$WU$147,68,FALSE)),0,IF(HLOOKUP(AO$91,'Improved Sales Adjustments 2'!$G$7:$WU$147,68,FALSE)="",0,IF($S115=HLOOKUP(AO$91,'Improved Sales Adjustments 2'!$G$7:$WU$147,68,FALSE),1,0)))</f>
        <v>0</v>
      </c>
      <c r="AP115" s="41">
        <f>IF(ISERROR(HLOOKUP(AP$91,'Improved Sales Adjustments 2'!$G$7:$WU$147,68,FALSE)),0,IF(HLOOKUP(AP$91,'Improved Sales Adjustments 2'!$G$7:$WU$147,68,FALSE)="",0,IF($S115=HLOOKUP(AP$91,'Improved Sales Adjustments 2'!$G$7:$WU$147,68,FALSE),1,0)))</f>
        <v>0</v>
      </c>
      <c r="AQ115" s="41">
        <f>IF(ISERROR(HLOOKUP(AQ$91,'Improved Sales Adjustments 2'!$G$7:$WU$147,68,FALSE)),0,IF(HLOOKUP(AQ$91,'Improved Sales Adjustments 2'!$G$7:$WU$147,68,FALSE)="",0,IF($S115=HLOOKUP(AQ$91,'Improved Sales Adjustments 2'!$G$7:$WU$147,68,FALSE),1,0)))</f>
        <v>0</v>
      </c>
      <c r="AR115" s="41">
        <f>SUM($AG115:AG115)</f>
        <v>0</v>
      </c>
      <c r="AS115" s="41">
        <f>SUM($AG115:AH115)</f>
        <v>0</v>
      </c>
      <c r="AT115" s="41">
        <f>SUM($AG115:AI115)</f>
        <v>0</v>
      </c>
      <c r="AU115" s="41">
        <f>SUM($AG115:AJ115)</f>
        <v>0</v>
      </c>
      <c r="AV115" s="41">
        <f>SUM($AG115:AK115)</f>
        <v>0</v>
      </c>
      <c r="AW115" s="41">
        <f>SUM($AG115:AL115)</f>
        <v>0</v>
      </c>
      <c r="AX115" s="41">
        <f>SUM($AG115:AM115)</f>
        <v>0</v>
      </c>
      <c r="AY115" s="41">
        <f>SUM($AG115:AN115)</f>
        <v>0</v>
      </c>
      <c r="AZ115" s="41">
        <f>SUM($AG115:AO115)</f>
        <v>0</v>
      </c>
      <c r="BA115" s="41">
        <f>SUM($AG115:AP115)</f>
        <v>0</v>
      </c>
      <c r="BB115" s="41">
        <f>SUM($AG115:AQ115)</f>
        <v>0</v>
      </c>
      <c r="BC115" s="41" t="str">
        <f t="shared" si="29"/>
        <v/>
      </c>
      <c r="BD115" s="41" t="str">
        <f t="shared" si="29"/>
        <v/>
      </c>
      <c r="BE115" s="41" t="str">
        <f t="shared" si="29"/>
        <v/>
      </c>
      <c r="BF115" s="41" t="str">
        <f t="shared" si="29"/>
        <v/>
      </c>
      <c r="BG115" s="41" t="str">
        <f t="shared" si="29"/>
        <v/>
      </c>
      <c r="BH115" s="41" t="str">
        <f t="shared" si="29"/>
        <v/>
      </c>
      <c r="BI115" s="41" t="str">
        <f t="shared" si="29"/>
        <v/>
      </c>
      <c r="BJ115" s="41" t="str">
        <f t="shared" si="29"/>
        <v/>
      </c>
      <c r="BK115" s="41" t="str">
        <f t="shared" si="29"/>
        <v/>
      </c>
      <c r="BL115" s="41" t="str">
        <f t="shared" si="29"/>
        <v/>
      </c>
      <c r="BM115" s="41" t="str">
        <f t="shared" si="29"/>
        <v/>
      </c>
    </row>
    <row r="116" spans="1:65" ht="15" customHeight="1" x14ac:dyDescent="0.25">
      <c r="A116" s="957">
        <f t="shared" si="25"/>
        <v>0</v>
      </c>
      <c r="B116" s="10"/>
      <c r="C116" s="10"/>
      <c r="D116" s="13"/>
      <c r="E116" s="10"/>
      <c r="F116" s="10"/>
      <c r="G116" s="10"/>
      <c r="H116" s="10"/>
      <c r="I116" s="10"/>
      <c r="J116" s="10"/>
      <c r="K116" s="10"/>
      <c r="L116" s="10"/>
      <c r="M116" s="10"/>
      <c r="N116" s="10"/>
      <c r="O116" s="10"/>
      <c r="P116" s="4"/>
      <c r="Q116" s="1204"/>
      <c r="R116" s="101" t="str">
        <f t="shared" si="28"/>
        <v/>
      </c>
      <c r="S116" s="137">
        <f t="shared" si="30"/>
        <v>24</v>
      </c>
      <c r="T116" s="2129">
        <v>7.0000000000000007E-2</v>
      </c>
      <c r="U116" s="2130">
        <v>0.13</v>
      </c>
      <c r="V116" s="2130">
        <v>0.17</v>
      </c>
      <c r="W116" s="2130">
        <v>0.23</v>
      </c>
      <c r="X116" s="2130">
        <v>0.31</v>
      </c>
      <c r="Y116" s="2130">
        <v>0.4</v>
      </c>
      <c r="Z116" s="2130">
        <v>0.52</v>
      </c>
      <c r="AA116" s="2130">
        <v>0.66</v>
      </c>
      <c r="AB116" s="2130">
        <v>0.77</v>
      </c>
      <c r="AC116" s="2130"/>
      <c r="AD116" s="101"/>
      <c r="AE116" s="6"/>
      <c r="AF116" s="11"/>
      <c r="AG116" s="41">
        <f t="shared" si="26"/>
        <v>0</v>
      </c>
      <c r="AH116" s="41">
        <f>IF(ISERROR(HLOOKUP(AH$91,'Improved Sales Adjustments 2'!$G$7:$WU$147,68,FALSE)),0,IF(HLOOKUP(AH$91,'Improved Sales Adjustments 2'!$G$7:$WU$147,68,FALSE)="",0,IF($S116=HLOOKUP(AH$91,'Improved Sales Adjustments 2'!$G$7:$WU$147,68,FALSE),1,0)))</f>
        <v>0</v>
      </c>
      <c r="AI116" s="41">
        <f>IF(ISERROR(HLOOKUP(AI$91,'Improved Sales Adjustments 2'!$G$7:$WU$147,68,FALSE)),0,IF(HLOOKUP(AI$91,'Improved Sales Adjustments 2'!$G$7:$WU$147,68,FALSE)="",0,IF($S116=HLOOKUP(AI$91,'Improved Sales Adjustments 2'!$G$7:$WU$147,68,FALSE),1,0)))</f>
        <v>0</v>
      </c>
      <c r="AJ116" s="41">
        <f>IF(ISERROR(HLOOKUP(AJ$91,'Improved Sales Adjustments 2'!$G$7:$WU$147,68,FALSE)),0,IF(HLOOKUP(AJ$91,'Improved Sales Adjustments 2'!$G$7:$WU$147,68,FALSE)="",0,IF($S116=HLOOKUP(AJ$91,'Improved Sales Adjustments 2'!$G$7:$WU$147,68,FALSE),1,0)))</f>
        <v>0</v>
      </c>
      <c r="AK116" s="41">
        <f>IF(ISERROR(HLOOKUP(AK$91,'Improved Sales Adjustments 2'!$G$7:$WU$147,68,FALSE)),0,IF(HLOOKUP(AK$91,'Improved Sales Adjustments 2'!$G$7:$WU$147,68,FALSE)="",0,IF($S116=HLOOKUP(AK$91,'Improved Sales Adjustments 2'!$G$7:$WU$147,68,FALSE),1,0)))</f>
        <v>0</v>
      </c>
      <c r="AL116" s="41">
        <f>IF(ISERROR(HLOOKUP(AL$91,'Improved Sales Adjustments 2'!$G$7:$WU$147,68,FALSE)),0,IF(HLOOKUP(AL$91,'Improved Sales Adjustments 2'!$G$7:$WU$147,68,FALSE)="",0,IF($S116=HLOOKUP(AL$91,'Improved Sales Adjustments 2'!$G$7:$WU$147,68,FALSE),1,0)))</f>
        <v>0</v>
      </c>
      <c r="AM116" s="41">
        <f>IF(ISERROR(HLOOKUP(AM$91,'Improved Sales Adjustments 2'!$G$7:$WU$147,68,FALSE)),0,IF(HLOOKUP(AM$91,'Improved Sales Adjustments 2'!$G$7:$WU$147,68,FALSE)="",0,IF($S116=HLOOKUP(AM$91,'Improved Sales Adjustments 2'!$G$7:$WU$147,68,FALSE),1,0)))</f>
        <v>0</v>
      </c>
      <c r="AN116" s="41">
        <f>IF(ISERROR(HLOOKUP(AN$91,'Improved Sales Adjustments 2'!$G$7:$WU$147,68,FALSE)),0,IF(HLOOKUP(AN$91,'Improved Sales Adjustments 2'!$G$7:$WU$147,68,FALSE)="",0,IF($S116=HLOOKUP(AN$91,'Improved Sales Adjustments 2'!$G$7:$WU$147,68,FALSE),1,0)))</f>
        <v>0</v>
      </c>
      <c r="AO116" s="41">
        <f>IF(ISERROR(HLOOKUP(AO$91,'Improved Sales Adjustments 2'!$G$7:$WU$147,68,FALSE)),0,IF(HLOOKUP(AO$91,'Improved Sales Adjustments 2'!$G$7:$WU$147,68,FALSE)="",0,IF($S116=HLOOKUP(AO$91,'Improved Sales Adjustments 2'!$G$7:$WU$147,68,FALSE),1,0)))</f>
        <v>0</v>
      </c>
      <c r="AP116" s="41">
        <f>IF(ISERROR(HLOOKUP(AP$91,'Improved Sales Adjustments 2'!$G$7:$WU$147,68,FALSE)),0,IF(HLOOKUP(AP$91,'Improved Sales Adjustments 2'!$G$7:$WU$147,68,FALSE)="",0,IF($S116=HLOOKUP(AP$91,'Improved Sales Adjustments 2'!$G$7:$WU$147,68,FALSE),1,0)))</f>
        <v>0</v>
      </c>
      <c r="AQ116" s="41">
        <f>IF(ISERROR(HLOOKUP(AQ$91,'Improved Sales Adjustments 2'!$G$7:$WU$147,68,FALSE)),0,IF(HLOOKUP(AQ$91,'Improved Sales Adjustments 2'!$G$7:$WU$147,68,FALSE)="",0,IF($S116=HLOOKUP(AQ$91,'Improved Sales Adjustments 2'!$G$7:$WU$147,68,FALSE),1,0)))</f>
        <v>0</v>
      </c>
      <c r="AR116" s="41">
        <f>SUM($AG116:AG116)</f>
        <v>0</v>
      </c>
      <c r="AS116" s="41">
        <f>SUM($AG116:AH116)</f>
        <v>0</v>
      </c>
      <c r="AT116" s="41">
        <f>SUM($AG116:AI116)</f>
        <v>0</v>
      </c>
      <c r="AU116" s="41">
        <f>SUM($AG116:AJ116)</f>
        <v>0</v>
      </c>
      <c r="AV116" s="41">
        <f>SUM($AG116:AK116)</f>
        <v>0</v>
      </c>
      <c r="AW116" s="41">
        <f>SUM($AG116:AL116)</f>
        <v>0</v>
      </c>
      <c r="AX116" s="41">
        <f>SUM($AG116:AM116)</f>
        <v>0</v>
      </c>
      <c r="AY116" s="41">
        <f>SUM($AG116:AN116)</f>
        <v>0</v>
      </c>
      <c r="AZ116" s="41">
        <f>SUM($AG116:AO116)</f>
        <v>0</v>
      </c>
      <c r="BA116" s="41">
        <f>SUM($AG116:AP116)</f>
        <v>0</v>
      </c>
      <c r="BB116" s="41">
        <f>SUM($AG116:AQ116)</f>
        <v>0</v>
      </c>
      <c r="BC116" s="41" t="str">
        <f t="shared" si="29"/>
        <v/>
      </c>
      <c r="BD116" s="41" t="str">
        <f t="shared" si="29"/>
        <v/>
      </c>
      <c r="BE116" s="41" t="str">
        <f t="shared" si="29"/>
        <v/>
      </c>
      <c r="BF116" s="41" t="str">
        <f t="shared" si="29"/>
        <v/>
      </c>
      <c r="BG116" s="41" t="str">
        <f t="shared" si="29"/>
        <v/>
      </c>
      <c r="BH116" s="41" t="str">
        <f t="shared" si="29"/>
        <v/>
      </c>
      <c r="BI116" s="41" t="str">
        <f t="shared" si="29"/>
        <v/>
      </c>
      <c r="BJ116" s="41" t="str">
        <f t="shared" si="29"/>
        <v/>
      </c>
      <c r="BK116" s="41" t="str">
        <f t="shared" si="29"/>
        <v/>
      </c>
      <c r="BL116" s="41" t="str">
        <f t="shared" si="29"/>
        <v/>
      </c>
      <c r="BM116" s="41" t="str">
        <f t="shared" si="29"/>
        <v/>
      </c>
    </row>
    <row r="117" spans="1:65" ht="15" customHeight="1" x14ac:dyDescent="0.25">
      <c r="A117" s="957">
        <f t="shared" si="25"/>
        <v>0</v>
      </c>
      <c r="B117" s="10"/>
      <c r="C117" s="10"/>
      <c r="D117" s="13"/>
      <c r="E117" s="10"/>
      <c r="F117" s="10"/>
      <c r="G117" s="10"/>
      <c r="H117" s="10"/>
      <c r="I117" s="10"/>
      <c r="J117" s="10"/>
      <c r="K117" s="10"/>
      <c r="L117" s="10"/>
      <c r="M117" s="10"/>
      <c r="N117" s="10"/>
      <c r="O117" s="10"/>
      <c r="P117" s="4"/>
      <c r="Q117" s="1204"/>
      <c r="R117" s="101" t="str">
        <f t="shared" si="28"/>
        <v/>
      </c>
      <c r="S117" s="137">
        <f t="shared" si="30"/>
        <v>25</v>
      </c>
      <c r="T117" s="2129">
        <v>7.0000000000000007E-2</v>
      </c>
      <c r="U117" s="2130">
        <v>0.14000000000000001</v>
      </c>
      <c r="V117" s="2130">
        <v>0.19</v>
      </c>
      <c r="W117" s="2130">
        <v>0.25</v>
      </c>
      <c r="X117" s="2130">
        <v>0.33</v>
      </c>
      <c r="Y117" s="2130">
        <v>0.43</v>
      </c>
      <c r="Z117" s="2130">
        <v>0.55000000000000004</v>
      </c>
      <c r="AA117" s="2130">
        <v>0.69</v>
      </c>
      <c r="AB117" s="2130">
        <v>0.79</v>
      </c>
      <c r="AC117" s="2130"/>
      <c r="AD117" s="101"/>
      <c r="AE117" s="6"/>
      <c r="AF117" s="11"/>
      <c r="AG117" s="41">
        <f t="shared" si="26"/>
        <v>0</v>
      </c>
      <c r="AH117" s="41">
        <f>IF(ISERROR(HLOOKUP(AH$91,'Improved Sales Adjustments 2'!$G$7:$WU$147,68,FALSE)),0,IF(HLOOKUP(AH$91,'Improved Sales Adjustments 2'!$G$7:$WU$147,68,FALSE)="",0,IF($S117=HLOOKUP(AH$91,'Improved Sales Adjustments 2'!$G$7:$WU$147,68,FALSE),1,0)))</f>
        <v>0</v>
      </c>
      <c r="AI117" s="41">
        <f>IF(ISERROR(HLOOKUP(AI$91,'Improved Sales Adjustments 2'!$G$7:$WU$147,68,FALSE)),0,IF(HLOOKUP(AI$91,'Improved Sales Adjustments 2'!$G$7:$WU$147,68,FALSE)="",0,IF($S117=HLOOKUP(AI$91,'Improved Sales Adjustments 2'!$G$7:$WU$147,68,FALSE),1,0)))</f>
        <v>0</v>
      </c>
      <c r="AJ117" s="41">
        <f>IF(ISERROR(HLOOKUP(AJ$91,'Improved Sales Adjustments 2'!$G$7:$WU$147,68,FALSE)),0,IF(HLOOKUP(AJ$91,'Improved Sales Adjustments 2'!$G$7:$WU$147,68,FALSE)="",0,IF($S117=HLOOKUP(AJ$91,'Improved Sales Adjustments 2'!$G$7:$WU$147,68,FALSE),1,0)))</f>
        <v>0</v>
      </c>
      <c r="AK117" s="41">
        <f>IF(ISERROR(HLOOKUP(AK$91,'Improved Sales Adjustments 2'!$G$7:$WU$147,68,FALSE)),0,IF(HLOOKUP(AK$91,'Improved Sales Adjustments 2'!$G$7:$WU$147,68,FALSE)="",0,IF($S117=HLOOKUP(AK$91,'Improved Sales Adjustments 2'!$G$7:$WU$147,68,FALSE),1,0)))</f>
        <v>0</v>
      </c>
      <c r="AL117" s="41">
        <f>IF(ISERROR(HLOOKUP(AL$91,'Improved Sales Adjustments 2'!$G$7:$WU$147,68,FALSE)),0,IF(HLOOKUP(AL$91,'Improved Sales Adjustments 2'!$G$7:$WU$147,68,FALSE)="",0,IF($S117=HLOOKUP(AL$91,'Improved Sales Adjustments 2'!$G$7:$WU$147,68,FALSE),1,0)))</f>
        <v>0</v>
      </c>
      <c r="AM117" s="41">
        <f>IF(ISERROR(HLOOKUP(AM$91,'Improved Sales Adjustments 2'!$G$7:$WU$147,68,FALSE)),0,IF(HLOOKUP(AM$91,'Improved Sales Adjustments 2'!$G$7:$WU$147,68,FALSE)="",0,IF($S117=HLOOKUP(AM$91,'Improved Sales Adjustments 2'!$G$7:$WU$147,68,FALSE),1,0)))</f>
        <v>0</v>
      </c>
      <c r="AN117" s="41">
        <f>IF(ISERROR(HLOOKUP(AN$91,'Improved Sales Adjustments 2'!$G$7:$WU$147,68,FALSE)),0,IF(HLOOKUP(AN$91,'Improved Sales Adjustments 2'!$G$7:$WU$147,68,FALSE)="",0,IF($S117=HLOOKUP(AN$91,'Improved Sales Adjustments 2'!$G$7:$WU$147,68,FALSE),1,0)))</f>
        <v>0</v>
      </c>
      <c r="AO117" s="41">
        <f>IF(ISERROR(HLOOKUP(AO$91,'Improved Sales Adjustments 2'!$G$7:$WU$147,68,FALSE)),0,IF(HLOOKUP(AO$91,'Improved Sales Adjustments 2'!$G$7:$WU$147,68,FALSE)="",0,IF($S117=HLOOKUP(AO$91,'Improved Sales Adjustments 2'!$G$7:$WU$147,68,FALSE),1,0)))</f>
        <v>0</v>
      </c>
      <c r="AP117" s="41">
        <f>IF(ISERROR(HLOOKUP(AP$91,'Improved Sales Adjustments 2'!$G$7:$WU$147,68,FALSE)),0,IF(HLOOKUP(AP$91,'Improved Sales Adjustments 2'!$G$7:$WU$147,68,FALSE)="",0,IF($S117=HLOOKUP(AP$91,'Improved Sales Adjustments 2'!$G$7:$WU$147,68,FALSE),1,0)))</f>
        <v>0</v>
      </c>
      <c r="AQ117" s="41">
        <f>IF(ISERROR(HLOOKUP(AQ$91,'Improved Sales Adjustments 2'!$G$7:$WU$147,68,FALSE)),0,IF(HLOOKUP(AQ$91,'Improved Sales Adjustments 2'!$G$7:$WU$147,68,FALSE)="",0,IF($S117=HLOOKUP(AQ$91,'Improved Sales Adjustments 2'!$G$7:$WU$147,68,FALSE),1,0)))</f>
        <v>0</v>
      </c>
      <c r="AR117" s="41">
        <f>SUM($AG117:AG117)</f>
        <v>0</v>
      </c>
      <c r="AS117" s="41">
        <f>SUM($AG117:AH117)</f>
        <v>0</v>
      </c>
      <c r="AT117" s="41">
        <f>SUM($AG117:AI117)</f>
        <v>0</v>
      </c>
      <c r="AU117" s="41">
        <f>SUM($AG117:AJ117)</f>
        <v>0</v>
      </c>
      <c r="AV117" s="41">
        <f>SUM($AG117:AK117)</f>
        <v>0</v>
      </c>
      <c r="AW117" s="41">
        <f>SUM($AG117:AL117)</f>
        <v>0</v>
      </c>
      <c r="AX117" s="41">
        <f>SUM($AG117:AM117)</f>
        <v>0</v>
      </c>
      <c r="AY117" s="41">
        <f>SUM($AG117:AN117)</f>
        <v>0</v>
      </c>
      <c r="AZ117" s="41">
        <f>SUM($AG117:AO117)</f>
        <v>0</v>
      </c>
      <c r="BA117" s="41">
        <f>SUM($AG117:AP117)</f>
        <v>0</v>
      </c>
      <c r="BB117" s="41">
        <f>SUM($AG117:AQ117)</f>
        <v>0</v>
      </c>
      <c r="BC117" s="41" t="str">
        <f t="shared" si="29"/>
        <v/>
      </c>
      <c r="BD117" s="41" t="str">
        <f t="shared" si="29"/>
        <v/>
      </c>
      <c r="BE117" s="41" t="str">
        <f t="shared" si="29"/>
        <v/>
      </c>
      <c r="BF117" s="41" t="str">
        <f t="shared" si="29"/>
        <v/>
      </c>
      <c r="BG117" s="41" t="str">
        <f t="shared" si="29"/>
        <v/>
      </c>
      <c r="BH117" s="41" t="str">
        <f t="shared" si="29"/>
        <v/>
      </c>
      <c r="BI117" s="41" t="str">
        <f t="shared" si="29"/>
        <v/>
      </c>
      <c r="BJ117" s="41" t="str">
        <f t="shared" si="29"/>
        <v/>
      </c>
      <c r="BK117" s="41" t="str">
        <f t="shared" si="29"/>
        <v/>
      </c>
      <c r="BL117" s="41" t="str">
        <f t="shared" si="29"/>
        <v/>
      </c>
      <c r="BM117" s="41" t="str">
        <f t="shared" si="29"/>
        <v/>
      </c>
    </row>
    <row r="118" spans="1:65" ht="15" customHeight="1" x14ac:dyDescent="0.25">
      <c r="A118" s="957">
        <f t="shared" si="25"/>
        <v>0</v>
      </c>
      <c r="B118" s="10"/>
      <c r="C118" s="10"/>
      <c r="D118" s="13"/>
      <c r="E118" s="10"/>
      <c r="F118" s="10"/>
      <c r="G118" s="10"/>
      <c r="H118" s="10"/>
      <c r="I118" s="10"/>
      <c r="J118" s="10"/>
      <c r="K118" s="10"/>
      <c r="L118" s="10"/>
      <c r="M118" s="10"/>
      <c r="N118" s="10"/>
      <c r="O118" s="10"/>
      <c r="P118" s="4"/>
      <c r="Q118" s="1204"/>
      <c r="R118" s="101" t="str">
        <f t="shared" si="28"/>
        <v/>
      </c>
      <c r="S118" s="137">
        <f t="shared" si="30"/>
        <v>26</v>
      </c>
      <c r="T118" s="2129">
        <v>0.08</v>
      </c>
      <c r="U118" s="2130">
        <v>0.15</v>
      </c>
      <c r="V118" s="2130">
        <v>0.2</v>
      </c>
      <c r="W118" s="2130">
        <v>0.27</v>
      </c>
      <c r="X118" s="2130">
        <v>0.35</v>
      </c>
      <c r="Y118" s="2130">
        <v>0.46</v>
      </c>
      <c r="Z118" s="2130">
        <v>0.57999999999999996</v>
      </c>
      <c r="AA118" s="2130">
        <v>0.72</v>
      </c>
      <c r="AB118" s="2130">
        <v>0.8</v>
      </c>
      <c r="AC118" s="2130"/>
      <c r="AD118" s="101"/>
      <c r="AE118" s="6"/>
      <c r="AF118" s="11"/>
      <c r="AG118" s="41">
        <f t="shared" si="26"/>
        <v>0</v>
      </c>
      <c r="AH118" s="41">
        <f>IF(ISERROR(HLOOKUP(AH$91,'Improved Sales Adjustments 2'!$G$7:$WU$147,68,FALSE)),0,IF(HLOOKUP(AH$91,'Improved Sales Adjustments 2'!$G$7:$WU$147,68,FALSE)="",0,IF($S118=HLOOKUP(AH$91,'Improved Sales Adjustments 2'!$G$7:$WU$147,68,FALSE),1,0)))</f>
        <v>0</v>
      </c>
      <c r="AI118" s="41">
        <f>IF(ISERROR(HLOOKUP(AI$91,'Improved Sales Adjustments 2'!$G$7:$WU$147,68,FALSE)),0,IF(HLOOKUP(AI$91,'Improved Sales Adjustments 2'!$G$7:$WU$147,68,FALSE)="",0,IF($S118=HLOOKUP(AI$91,'Improved Sales Adjustments 2'!$G$7:$WU$147,68,FALSE),1,0)))</f>
        <v>0</v>
      </c>
      <c r="AJ118" s="41">
        <f>IF(ISERROR(HLOOKUP(AJ$91,'Improved Sales Adjustments 2'!$G$7:$WU$147,68,FALSE)),0,IF(HLOOKUP(AJ$91,'Improved Sales Adjustments 2'!$G$7:$WU$147,68,FALSE)="",0,IF($S118=HLOOKUP(AJ$91,'Improved Sales Adjustments 2'!$G$7:$WU$147,68,FALSE),1,0)))</f>
        <v>0</v>
      </c>
      <c r="AK118" s="41">
        <f>IF(ISERROR(HLOOKUP(AK$91,'Improved Sales Adjustments 2'!$G$7:$WU$147,68,FALSE)),0,IF(HLOOKUP(AK$91,'Improved Sales Adjustments 2'!$G$7:$WU$147,68,FALSE)="",0,IF($S118=HLOOKUP(AK$91,'Improved Sales Adjustments 2'!$G$7:$WU$147,68,FALSE),1,0)))</f>
        <v>0</v>
      </c>
      <c r="AL118" s="41">
        <f>IF(ISERROR(HLOOKUP(AL$91,'Improved Sales Adjustments 2'!$G$7:$WU$147,68,FALSE)),0,IF(HLOOKUP(AL$91,'Improved Sales Adjustments 2'!$G$7:$WU$147,68,FALSE)="",0,IF($S118=HLOOKUP(AL$91,'Improved Sales Adjustments 2'!$G$7:$WU$147,68,FALSE),1,0)))</f>
        <v>0</v>
      </c>
      <c r="AM118" s="41">
        <f>IF(ISERROR(HLOOKUP(AM$91,'Improved Sales Adjustments 2'!$G$7:$WU$147,68,FALSE)),0,IF(HLOOKUP(AM$91,'Improved Sales Adjustments 2'!$G$7:$WU$147,68,FALSE)="",0,IF($S118=HLOOKUP(AM$91,'Improved Sales Adjustments 2'!$G$7:$WU$147,68,FALSE),1,0)))</f>
        <v>0</v>
      </c>
      <c r="AN118" s="41">
        <f>IF(ISERROR(HLOOKUP(AN$91,'Improved Sales Adjustments 2'!$G$7:$WU$147,68,FALSE)),0,IF(HLOOKUP(AN$91,'Improved Sales Adjustments 2'!$G$7:$WU$147,68,FALSE)="",0,IF($S118=HLOOKUP(AN$91,'Improved Sales Adjustments 2'!$G$7:$WU$147,68,FALSE),1,0)))</f>
        <v>0</v>
      </c>
      <c r="AO118" s="41">
        <f>IF(ISERROR(HLOOKUP(AO$91,'Improved Sales Adjustments 2'!$G$7:$WU$147,68,FALSE)),0,IF(HLOOKUP(AO$91,'Improved Sales Adjustments 2'!$G$7:$WU$147,68,FALSE)="",0,IF($S118=HLOOKUP(AO$91,'Improved Sales Adjustments 2'!$G$7:$WU$147,68,FALSE),1,0)))</f>
        <v>0</v>
      </c>
      <c r="AP118" s="41">
        <f>IF(ISERROR(HLOOKUP(AP$91,'Improved Sales Adjustments 2'!$G$7:$WU$147,68,FALSE)),0,IF(HLOOKUP(AP$91,'Improved Sales Adjustments 2'!$G$7:$WU$147,68,FALSE)="",0,IF($S118=HLOOKUP(AP$91,'Improved Sales Adjustments 2'!$G$7:$WU$147,68,FALSE),1,0)))</f>
        <v>0</v>
      </c>
      <c r="AQ118" s="41">
        <f>IF(ISERROR(HLOOKUP(AQ$91,'Improved Sales Adjustments 2'!$G$7:$WU$147,68,FALSE)),0,IF(HLOOKUP(AQ$91,'Improved Sales Adjustments 2'!$G$7:$WU$147,68,FALSE)="",0,IF($S118=HLOOKUP(AQ$91,'Improved Sales Adjustments 2'!$G$7:$WU$147,68,FALSE),1,0)))</f>
        <v>0</v>
      </c>
      <c r="AR118" s="41">
        <f>SUM($AG118:AG118)</f>
        <v>0</v>
      </c>
      <c r="AS118" s="41">
        <f>SUM($AG118:AH118)</f>
        <v>0</v>
      </c>
      <c r="AT118" s="41">
        <f>SUM($AG118:AI118)</f>
        <v>0</v>
      </c>
      <c r="AU118" s="41">
        <f>SUM($AG118:AJ118)</f>
        <v>0</v>
      </c>
      <c r="AV118" s="41">
        <f>SUM($AG118:AK118)</f>
        <v>0</v>
      </c>
      <c r="AW118" s="41">
        <f>SUM($AG118:AL118)</f>
        <v>0</v>
      </c>
      <c r="AX118" s="41">
        <f>SUM($AG118:AM118)</f>
        <v>0</v>
      </c>
      <c r="AY118" s="41">
        <f>SUM($AG118:AN118)</f>
        <v>0</v>
      </c>
      <c r="AZ118" s="41">
        <f>SUM($AG118:AO118)</f>
        <v>0</v>
      </c>
      <c r="BA118" s="41">
        <f>SUM($AG118:AP118)</f>
        <v>0</v>
      </c>
      <c r="BB118" s="41">
        <f>SUM($AG118:AQ118)</f>
        <v>0</v>
      </c>
      <c r="BC118" s="41" t="str">
        <f t="shared" si="29"/>
        <v/>
      </c>
      <c r="BD118" s="41" t="str">
        <f t="shared" si="29"/>
        <v/>
      </c>
      <c r="BE118" s="41" t="str">
        <f t="shared" si="29"/>
        <v/>
      </c>
      <c r="BF118" s="41" t="str">
        <f t="shared" si="29"/>
        <v/>
      </c>
      <c r="BG118" s="41" t="str">
        <f t="shared" si="29"/>
        <v/>
      </c>
      <c r="BH118" s="41" t="str">
        <f t="shared" si="29"/>
        <v/>
      </c>
      <c r="BI118" s="41" t="str">
        <f t="shared" si="29"/>
        <v/>
      </c>
      <c r="BJ118" s="41" t="str">
        <f t="shared" si="29"/>
        <v/>
      </c>
      <c r="BK118" s="41" t="str">
        <f t="shared" si="29"/>
        <v/>
      </c>
      <c r="BL118" s="41" t="str">
        <f t="shared" si="29"/>
        <v/>
      </c>
      <c r="BM118" s="41" t="str">
        <f t="shared" si="29"/>
        <v/>
      </c>
    </row>
    <row r="119" spans="1:65" ht="15" customHeight="1" x14ac:dyDescent="0.25">
      <c r="A119" s="957">
        <f t="shared" si="25"/>
        <v>0</v>
      </c>
      <c r="B119" s="10"/>
      <c r="C119" s="10"/>
      <c r="D119" s="13"/>
      <c r="E119" s="10"/>
      <c r="F119" s="10"/>
      <c r="G119" s="10"/>
      <c r="H119" s="10"/>
      <c r="I119" s="10"/>
      <c r="J119" s="10"/>
      <c r="K119" s="10"/>
      <c r="L119" s="10"/>
      <c r="M119" s="10"/>
      <c r="N119" s="10"/>
      <c r="O119" s="10"/>
      <c r="P119" s="4"/>
      <c r="Q119" s="1204"/>
      <c r="R119" s="101" t="str">
        <f t="shared" si="28"/>
        <v/>
      </c>
      <c r="S119" s="137">
        <f t="shared" si="30"/>
        <v>27</v>
      </c>
      <c r="T119" s="2129">
        <v>0.09</v>
      </c>
      <c r="U119" s="2130">
        <v>0.16</v>
      </c>
      <c r="V119" s="2130">
        <v>0.21</v>
      </c>
      <c r="W119" s="2130">
        <v>0.28000000000000003</v>
      </c>
      <c r="X119" s="2130">
        <v>0.37</v>
      </c>
      <c r="Y119" s="2130">
        <v>0.49</v>
      </c>
      <c r="Z119" s="2130">
        <v>0.61</v>
      </c>
      <c r="AA119" s="2130">
        <v>0.75</v>
      </c>
      <c r="AB119" s="2130"/>
      <c r="AC119" s="2130"/>
      <c r="AD119" s="101"/>
      <c r="AE119" s="6"/>
      <c r="AF119" s="11"/>
      <c r="AG119" s="41">
        <f t="shared" si="26"/>
        <v>0</v>
      </c>
      <c r="AH119" s="41">
        <f>IF(ISERROR(HLOOKUP(AH$91,'Improved Sales Adjustments 2'!$G$7:$WU$147,68,FALSE)),0,IF(HLOOKUP(AH$91,'Improved Sales Adjustments 2'!$G$7:$WU$147,68,FALSE)="",0,IF($S119=HLOOKUP(AH$91,'Improved Sales Adjustments 2'!$G$7:$WU$147,68,FALSE),1,0)))</f>
        <v>0</v>
      </c>
      <c r="AI119" s="41">
        <f>IF(ISERROR(HLOOKUP(AI$91,'Improved Sales Adjustments 2'!$G$7:$WU$147,68,FALSE)),0,IF(HLOOKUP(AI$91,'Improved Sales Adjustments 2'!$G$7:$WU$147,68,FALSE)="",0,IF($S119=HLOOKUP(AI$91,'Improved Sales Adjustments 2'!$G$7:$WU$147,68,FALSE),1,0)))</f>
        <v>0</v>
      </c>
      <c r="AJ119" s="41">
        <f>IF(ISERROR(HLOOKUP(AJ$91,'Improved Sales Adjustments 2'!$G$7:$WU$147,68,FALSE)),0,IF(HLOOKUP(AJ$91,'Improved Sales Adjustments 2'!$G$7:$WU$147,68,FALSE)="",0,IF($S119=HLOOKUP(AJ$91,'Improved Sales Adjustments 2'!$G$7:$WU$147,68,FALSE),1,0)))</f>
        <v>0</v>
      </c>
      <c r="AK119" s="41">
        <f>IF(ISERROR(HLOOKUP(AK$91,'Improved Sales Adjustments 2'!$G$7:$WU$147,68,FALSE)),0,IF(HLOOKUP(AK$91,'Improved Sales Adjustments 2'!$G$7:$WU$147,68,FALSE)="",0,IF($S119=HLOOKUP(AK$91,'Improved Sales Adjustments 2'!$G$7:$WU$147,68,FALSE),1,0)))</f>
        <v>0</v>
      </c>
      <c r="AL119" s="41">
        <f>IF(ISERROR(HLOOKUP(AL$91,'Improved Sales Adjustments 2'!$G$7:$WU$147,68,FALSE)),0,IF(HLOOKUP(AL$91,'Improved Sales Adjustments 2'!$G$7:$WU$147,68,FALSE)="",0,IF($S119=HLOOKUP(AL$91,'Improved Sales Adjustments 2'!$G$7:$WU$147,68,FALSE),1,0)))</f>
        <v>0</v>
      </c>
      <c r="AM119" s="41">
        <f>IF(ISERROR(HLOOKUP(AM$91,'Improved Sales Adjustments 2'!$G$7:$WU$147,68,FALSE)),0,IF(HLOOKUP(AM$91,'Improved Sales Adjustments 2'!$G$7:$WU$147,68,FALSE)="",0,IF($S119=HLOOKUP(AM$91,'Improved Sales Adjustments 2'!$G$7:$WU$147,68,FALSE),1,0)))</f>
        <v>0</v>
      </c>
      <c r="AN119" s="41">
        <f>IF(ISERROR(HLOOKUP(AN$91,'Improved Sales Adjustments 2'!$G$7:$WU$147,68,FALSE)),0,IF(HLOOKUP(AN$91,'Improved Sales Adjustments 2'!$G$7:$WU$147,68,FALSE)="",0,IF($S119=HLOOKUP(AN$91,'Improved Sales Adjustments 2'!$G$7:$WU$147,68,FALSE),1,0)))</f>
        <v>0</v>
      </c>
      <c r="AO119" s="41">
        <f>IF(ISERROR(HLOOKUP(AO$91,'Improved Sales Adjustments 2'!$G$7:$WU$147,68,FALSE)),0,IF(HLOOKUP(AO$91,'Improved Sales Adjustments 2'!$G$7:$WU$147,68,FALSE)="",0,IF($S119=HLOOKUP(AO$91,'Improved Sales Adjustments 2'!$G$7:$WU$147,68,FALSE),1,0)))</f>
        <v>0</v>
      </c>
      <c r="AP119" s="41">
        <f>IF(ISERROR(HLOOKUP(AP$91,'Improved Sales Adjustments 2'!$G$7:$WU$147,68,FALSE)),0,IF(HLOOKUP(AP$91,'Improved Sales Adjustments 2'!$G$7:$WU$147,68,FALSE)="",0,IF($S119=HLOOKUP(AP$91,'Improved Sales Adjustments 2'!$G$7:$WU$147,68,FALSE),1,0)))</f>
        <v>0</v>
      </c>
      <c r="AQ119" s="41">
        <f>IF(ISERROR(HLOOKUP(AQ$91,'Improved Sales Adjustments 2'!$G$7:$WU$147,68,FALSE)),0,IF(HLOOKUP(AQ$91,'Improved Sales Adjustments 2'!$G$7:$WU$147,68,FALSE)="",0,IF($S119=HLOOKUP(AQ$91,'Improved Sales Adjustments 2'!$G$7:$WU$147,68,FALSE),1,0)))</f>
        <v>0</v>
      </c>
      <c r="AR119" s="41">
        <f>SUM($AG119:AG119)</f>
        <v>0</v>
      </c>
      <c r="AS119" s="41">
        <f>SUM($AG119:AH119)</f>
        <v>0</v>
      </c>
      <c r="AT119" s="41">
        <f>SUM($AG119:AI119)</f>
        <v>0</v>
      </c>
      <c r="AU119" s="41">
        <f>SUM($AG119:AJ119)</f>
        <v>0</v>
      </c>
      <c r="AV119" s="41">
        <f>SUM($AG119:AK119)</f>
        <v>0</v>
      </c>
      <c r="AW119" s="41">
        <f>SUM($AG119:AL119)</f>
        <v>0</v>
      </c>
      <c r="AX119" s="41">
        <f>SUM($AG119:AM119)</f>
        <v>0</v>
      </c>
      <c r="AY119" s="41">
        <f>SUM($AG119:AN119)</f>
        <v>0</v>
      </c>
      <c r="AZ119" s="41">
        <f>SUM($AG119:AO119)</f>
        <v>0</v>
      </c>
      <c r="BA119" s="41">
        <f>SUM($AG119:AP119)</f>
        <v>0</v>
      </c>
      <c r="BB119" s="41">
        <f>SUM($AG119:AQ119)</f>
        <v>0</v>
      </c>
      <c r="BC119" s="41" t="str">
        <f t="shared" si="29"/>
        <v/>
      </c>
      <c r="BD119" s="41" t="str">
        <f t="shared" si="29"/>
        <v/>
      </c>
      <c r="BE119" s="41" t="str">
        <f t="shared" si="29"/>
        <v/>
      </c>
      <c r="BF119" s="41" t="str">
        <f t="shared" si="29"/>
        <v/>
      </c>
      <c r="BG119" s="41" t="str">
        <f t="shared" si="29"/>
        <v/>
      </c>
      <c r="BH119" s="41" t="str">
        <f t="shared" si="29"/>
        <v/>
      </c>
      <c r="BI119" s="41" t="str">
        <f t="shared" si="29"/>
        <v/>
      </c>
      <c r="BJ119" s="41" t="str">
        <f t="shared" si="29"/>
        <v/>
      </c>
      <c r="BK119" s="41" t="str">
        <f t="shared" si="29"/>
        <v/>
      </c>
      <c r="BL119" s="41" t="str">
        <f t="shared" si="29"/>
        <v/>
      </c>
      <c r="BM119" s="41" t="str">
        <f t="shared" si="29"/>
        <v/>
      </c>
    </row>
    <row r="120" spans="1:65" ht="15" customHeight="1" x14ac:dyDescent="0.25">
      <c r="A120" s="957">
        <f t="shared" si="25"/>
        <v>0</v>
      </c>
      <c r="B120" s="10"/>
      <c r="C120" s="10"/>
      <c r="D120" s="13"/>
      <c r="E120" s="10"/>
      <c r="F120" s="10"/>
      <c r="G120" s="10"/>
      <c r="H120" s="10"/>
      <c r="I120" s="10"/>
      <c r="J120" s="10"/>
      <c r="K120" s="10"/>
      <c r="L120" s="10"/>
      <c r="M120" s="10"/>
      <c r="N120" s="10"/>
      <c r="O120" s="10"/>
      <c r="P120" s="4"/>
      <c r="Q120" s="1204"/>
      <c r="R120" s="101" t="str">
        <f t="shared" si="28"/>
        <v/>
      </c>
      <c r="S120" s="137">
        <f t="shared" si="30"/>
        <v>28</v>
      </c>
      <c r="T120" s="2129">
        <v>0.09</v>
      </c>
      <c r="U120" s="2130">
        <v>0.17</v>
      </c>
      <c r="V120" s="2130">
        <v>0.23</v>
      </c>
      <c r="W120" s="2130">
        <v>0.3</v>
      </c>
      <c r="X120" s="2130">
        <v>0.4</v>
      </c>
      <c r="Y120" s="2130">
        <v>0.52</v>
      </c>
      <c r="Z120" s="2130">
        <v>0.64</v>
      </c>
      <c r="AA120" s="2130">
        <v>0.77</v>
      </c>
      <c r="AB120" s="2130"/>
      <c r="AC120" s="2130"/>
      <c r="AD120" s="101"/>
      <c r="AE120" s="6"/>
      <c r="AF120" s="11"/>
      <c r="AG120" s="41">
        <f t="shared" si="26"/>
        <v>0</v>
      </c>
      <c r="AH120" s="41">
        <f>IF(ISERROR(HLOOKUP(AH$91,'Improved Sales Adjustments 2'!$G$7:$WU$147,68,FALSE)),0,IF(HLOOKUP(AH$91,'Improved Sales Adjustments 2'!$G$7:$WU$147,68,FALSE)="",0,IF($S120=HLOOKUP(AH$91,'Improved Sales Adjustments 2'!$G$7:$WU$147,68,FALSE),1,0)))</f>
        <v>0</v>
      </c>
      <c r="AI120" s="41">
        <f>IF(ISERROR(HLOOKUP(AI$91,'Improved Sales Adjustments 2'!$G$7:$WU$147,68,FALSE)),0,IF(HLOOKUP(AI$91,'Improved Sales Adjustments 2'!$G$7:$WU$147,68,FALSE)="",0,IF($S120=HLOOKUP(AI$91,'Improved Sales Adjustments 2'!$G$7:$WU$147,68,FALSE),1,0)))</f>
        <v>0</v>
      </c>
      <c r="AJ120" s="41">
        <f>IF(ISERROR(HLOOKUP(AJ$91,'Improved Sales Adjustments 2'!$G$7:$WU$147,68,FALSE)),0,IF(HLOOKUP(AJ$91,'Improved Sales Adjustments 2'!$G$7:$WU$147,68,FALSE)="",0,IF($S120=HLOOKUP(AJ$91,'Improved Sales Adjustments 2'!$G$7:$WU$147,68,FALSE),1,0)))</f>
        <v>0</v>
      </c>
      <c r="AK120" s="41">
        <f>IF(ISERROR(HLOOKUP(AK$91,'Improved Sales Adjustments 2'!$G$7:$WU$147,68,FALSE)),0,IF(HLOOKUP(AK$91,'Improved Sales Adjustments 2'!$G$7:$WU$147,68,FALSE)="",0,IF($S120=HLOOKUP(AK$91,'Improved Sales Adjustments 2'!$G$7:$WU$147,68,FALSE),1,0)))</f>
        <v>0</v>
      </c>
      <c r="AL120" s="41">
        <f>IF(ISERROR(HLOOKUP(AL$91,'Improved Sales Adjustments 2'!$G$7:$WU$147,68,FALSE)),0,IF(HLOOKUP(AL$91,'Improved Sales Adjustments 2'!$G$7:$WU$147,68,FALSE)="",0,IF($S120=HLOOKUP(AL$91,'Improved Sales Adjustments 2'!$G$7:$WU$147,68,FALSE),1,0)))</f>
        <v>0</v>
      </c>
      <c r="AM120" s="41">
        <f>IF(ISERROR(HLOOKUP(AM$91,'Improved Sales Adjustments 2'!$G$7:$WU$147,68,FALSE)),0,IF(HLOOKUP(AM$91,'Improved Sales Adjustments 2'!$G$7:$WU$147,68,FALSE)="",0,IF($S120=HLOOKUP(AM$91,'Improved Sales Adjustments 2'!$G$7:$WU$147,68,FALSE),1,0)))</f>
        <v>0</v>
      </c>
      <c r="AN120" s="41">
        <f>IF(ISERROR(HLOOKUP(AN$91,'Improved Sales Adjustments 2'!$G$7:$WU$147,68,FALSE)),0,IF(HLOOKUP(AN$91,'Improved Sales Adjustments 2'!$G$7:$WU$147,68,FALSE)="",0,IF($S120=HLOOKUP(AN$91,'Improved Sales Adjustments 2'!$G$7:$WU$147,68,FALSE),1,0)))</f>
        <v>0</v>
      </c>
      <c r="AO120" s="41">
        <f>IF(ISERROR(HLOOKUP(AO$91,'Improved Sales Adjustments 2'!$G$7:$WU$147,68,FALSE)),0,IF(HLOOKUP(AO$91,'Improved Sales Adjustments 2'!$G$7:$WU$147,68,FALSE)="",0,IF($S120=HLOOKUP(AO$91,'Improved Sales Adjustments 2'!$G$7:$WU$147,68,FALSE),1,0)))</f>
        <v>0</v>
      </c>
      <c r="AP120" s="41">
        <f>IF(ISERROR(HLOOKUP(AP$91,'Improved Sales Adjustments 2'!$G$7:$WU$147,68,FALSE)),0,IF(HLOOKUP(AP$91,'Improved Sales Adjustments 2'!$G$7:$WU$147,68,FALSE)="",0,IF($S120=HLOOKUP(AP$91,'Improved Sales Adjustments 2'!$G$7:$WU$147,68,FALSE),1,0)))</f>
        <v>0</v>
      </c>
      <c r="AQ120" s="41">
        <f>IF(ISERROR(HLOOKUP(AQ$91,'Improved Sales Adjustments 2'!$G$7:$WU$147,68,FALSE)),0,IF(HLOOKUP(AQ$91,'Improved Sales Adjustments 2'!$G$7:$WU$147,68,FALSE)="",0,IF($S120=HLOOKUP(AQ$91,'Improved Sales Adjustments 2'!$G$7:$WU$147,68,FALSE),1,0)))</f>
        <v>0</v>
      </c>
      <c r="AR120" s="41">
        <f>SUM($AG120:AG120)</f>
        <v>0</v>
      </c>
      <c r="AS120" s="41">
        <f>SUM($AG120:AH120)</f>
        <v>0</v>
      </c>
      <c r="AT120" s="41">
        <f>SUM($AG120:AI120)</f>
        <v>0</v>
      </c>
      <c r="AU120" s="41">
        <f>SUM($AG120:AJ120)</f>
        <v>0</v>
      </c>
      <c r="AV120" s="41">
        <f>SUM($AG120:AK120)</f>
        <v>0</v>
      </c>
      <c r="AW120" s="41">
        <f>SUM($AG120:AL120)</f>
        <v>0</v>
      </c>
      <c r="AX120" s="41">
        <f>SUM($AG120:AM120)</f>
        <v>0</v>
      </c>
      <c r="AY120" s="41">
        <f>SUM($AG120:AN120)</f>
        <v>0</v>
      </c>
      <c r="AZ120" s="41">
        <f>SUM($AG120:AO120)</f>
        <v>0</v>
      </c>
      <c r="BA120" s="41">
        <f>SUM($AG120:AP120)</f>
        <v>0</v>
      </c>
      <c r="BB120" s="41">
        <f>SUM($AG120:AQ120)</f>
        <v>0</v>
      </c>
      <c r="BC120" s="41" t="str">
        <f t="shared" si="29"/>
        <v/>
      </c>
      <c r="BD120" s="41" t="str">
        <f t="shared" si="29"/>
        <v/>
      </c>
      <c r="BE120" s="41" t="str">
        <f t="shared" si="29"/>
        <v/>
      </c>
      <c r="BF120" s="41" t="str">
        <f t="shared" si="29"/>
        <v/>
      </c>
      <c r="BG120" s="41" t="str">
        <f t="shared" si="29"/>
        <v/>
      </c>
      <c r="BH120" s="41" t="str">
        <f t="shared" si="29"/>
        <v/>
      </c>
      <c r="BI120" s="41" t="str">
        <f t="shared" si="29"/>
        <v/>
      </c>
      <c r="BJ120" s="41" t="str">
        <f t="shared" si="29"/>
        <v/>
      </c>
      <c r="BK120" s="41" t="str">
        <f t="shared" si="29"/>
        <v/>
      </c>
      <c r="BL120" s="41" t="str">
        <f t="shared" si="29"/>
        <v/>
      </c>
      <c r="BM120" s="41" t="str">
        <f t="shared" si="29"/>
        <v/>
      </c>
    </row>
    <row r="121" spans="1:65" ht="15" customHeight="1" x14ac:dyDescent="0.25">
      <c r="A121" s="957">
        <f t="shared" si="25"/>
        <v>0</v>
      </c>
      <c r="B121" s="10"/>
      <c r="C121" s="10"/>
      <c r="D121" s="13"/>
      <c r="E121" s="10"/>
      <c r="F121" s="10"/>
      <c r="G121" s="10"/>
      <c r="H121" s="10"/>
      <c r="I121" s="10"/>
      <c r="J121" s="10"/>
      <c r="K121" s="10"/>
      <c r="L121" s="10"/>
      <c r="M121" s="10"/>
      <c r="N121" s="10"/>
      <c r="O121" s="10"/>
      <c r="P121" s="4"/>
      <c r="Q121" s="1204"/>
      <c r="R121" s="101" t="str">
        <f t="shared" si="28"/>
        <v/>
      </c>
      <c r="S121" s="137">
        <f t="shared" si="30"/>
        <v>29</v>
      </c>
      <c r="T121" s="2129">
        <v>0.1</v>
      </c>
      <c r="U121" s="2130">
        <v>0.18</v>
      </c>
      <c r="V121" s="2130">
        <v>0.24</v>
      </c>
      <c r="W121" s="2130">
        <v>0.32</v>
      </c>
      <c r="X121" s="2130">
        <v>0.42</v>
      </c>
      <c r="Y121" s="2130">
        <v>0.54</v>
      </c>
      <c r="Z121" s="2130">
        <v>0.68</v>
      </c>
      <c r="AA121" s="2130">
        <v>0.78</v>
      </c>
      <c r="AB121" s="2130"/>
      <c r="AC121" s="2130"/>
      <c r="AD121" s="101"/>
      <c r="AE121" s="6"/>
      <c r="AF121" s="11"/>
      <c r="AG121" s="41">
        <f t="shared" si="26"/>
        <v>0</v>
      </c>
      <c r="AH121" s="41">
        <f>IF(ISERROR(HLOOKUP(AH$91,'Improved Sales Adjustments 2'!$G$7:$WU$147,68,FALSE)),0,IF(HLOOKUP(AH$91,'Improved Sales Adjustments 2'!$G$7:$WU$147,68,FALSE)="",0,IF($S121=HLOOKUP(AH$91,'Improved Sales Adjustments 2'!$G$7:$WU$147,68,FALSE),1,0)))</f>
        <v>0</v>
      </c>
      <c r="AI121" s="41">
        <f>IF(ISERROR(HLOOKUP(AI$91,'Improved Sales Adjustments 2'!$G$7:$WU$147,68,FALSE)),0,IF(HLOOKUP(AI$91,'Improved Sales Adjustments 2'!$G$7:$WU$147,68,FALSE)="",0,IF($S121=HLOOKUP(AI$91,'Improved Sales Adjustments 2'!$G$7:$WU$147,68,FALSE),1,0)))</f>
        <v>0</v>
      </c>
      <c r="AJ121" s="41">
        <f>IF(ISERROR(HLOOKUP(AJ$91,'Improved Sales Adjustments 2'!$G$7:$WU$147,68,FALSE)),0,IF(HLOOKUP(AJ$91,'Improved Sales Adjustments 2'!$G$7:$WU$147,68,FALSE)="",0,IF($S121=HLOOKUP(AJ$91,'Improved Sales Adjustments 2'!$G$7:$WU$147,68,FALSE),1,0)))</f>
        <v>0</v>
      </c>
      <c r="AK121" s="41">
        <f>IF(ISERROR(HLOOKUP(AK$91,'Improved Sales Adjustments 2'!$G$7:$WU$147,68,FALSE)),0,IF(HLOOKUP(AK$91,'Improved Sales Adjustments 2'!$G$7:$WU$147,68,FALSE)="",0,IF($S121=HLOOKUP(AK$91,'Improved Sales Adjustments 2'!$G$7:$WU$147,68,FALSE),1,0)))</f>
        <v>0</v>
      </c>
      <c r="AL121" s="41">
        <f>IF(ISERROR(HLOOKUP(AL$91,'Improved Sales Adjustments 2'!$G$7:$WU$147,68,FALSE)),0,IF(HLOOKUP(AL$91,'Improved Sales Adjustments 2'!$G$7:$WU$147,68,FALSE)="",0,IF($S121=HLOOKUP(AL$91,'Improved Sales Adjustments 2'!$G$7:$WU$147,68,FALSE),1,0)))</f>
        <v>0</v>
      </c>
      <c r="AM121" s="41">
        <f>IF(ISERROR(HLOOKUP(AM$91,'Improved Sales Adjustments 2'!$G$7:$WU$147,68,FALSE)),0,IF(HLOOKUP(AM$91,'Improved Sales Adjustments 2'!$G$7:$WU$147,68,FALSE)="",0,IF($S121=HLOOKUP(AM$91,'Improved Sales Adjustments 2'!$G$7:$WU$147,68,FALSE),1,0)))</f>
        <v>0</v>
      </c>
      <c r="AN121" s="41">
        <f>IF(ISERROR(HLOOKUP(AN$91,'Improved Sales Adjustments 2'!$G$7:$WU$147,68,FALSE)),0,IF(HLOOKUP(AN$91,'Improved Sales Adjustments 2'!$G$7:$WU$147,68,FALSE)="",0,IF($S121=HLOOKUP(AN$91,'Improved Sales Adjustments 2'!$G$7:$WU$147,68,FALSE),1,0)))</f>
        <v>0</v>
      </c>
      <c r="AO121" s="41">
        <f>IF(ISERROR(HLOOKUP(AO$91,'Improved Sales Adjustments 2'!$G$7:$WU$147,68,FALSE)),0,IF(HLOOKUP(AO$91,'Improved Sales Adjustments 2'!$G$7:$WU$147,68,FALSE)="",0,IF($S121=HLOOKUP(AO$91,'Improved Sales Adjustments 2'!$G$7:$WU$147,68,FALSE),1,0)))</f>
        <v>0</v>
      </c>
      <c r="AP121" s="41">
        <f>IF(ISERROR(HLOOKUP(AP$91,'Improved Sales Adjustments 2'!$G$7:$WU$147,68,FALSE)),0,IF(HLOOKUP(AP$91,'Improved Sales Adjustments 2'!$G$7:$WU$147,68,FALSE)="",0,IF($S121=HLOOKUP(AP$91,'Improved Sales Adjustments 2'!$G$7:$WU$147,68,FALSE),1,0)))</f>
        <v>0</v>
      </c>
      <c r="AQ121" s="41">
        <f>IF(ISERROR(HLOOKUP(AQ$91,'Improved Sales Adjustments 2'!$G$7:$WU$147,68,FALSE)),0,IF(HLOOKUP(AQ$91,'Improved Sales Adjustments 2'!$G$7:$WU$147,68,FALSE)="",0,IF($S121=HLOOKUP(AQ$91,'Improved Sales Adjustments 2'!$G$7:$WU$147,68,FALSE),1,0)))</f>
        <v>0</v>
      </c>
      <c r="AR121" s="41">
        <f>SUM($AG121:AG121)</f>
        <v>0</v>
      </c>
      <c r="AS121" s="41">
        <f>SUM($AG121:AH121)</f>
        <v>0</v>
      </c>
      <c r="AT121" s="41">
        <f>SUM($AG121:AI121)</f>
        <v>0</v>
      </c>
      <c r="AU121" s="41">
        <f>SUM($AG121:AJ121)</f>
        <v>0</v>
      </c>
      <c r="AV121" s="41">
        <f>SUM($AG121:AK121)</f>
        <v>0</v>
      </c>
      <c r="AW121" s="41">
        <f>SUM($AG121:AL121)</f>
        <v>0</v>
      </c>
      <c r="AX121" s="41">
        <f>SUM($AG121:AM121)</f>
        <v>0</v>
      </c>
      <c r="AY121" s="41">
        <f>SUM($AG121:AN121)</f>
        <v>0</v>
      </c>
      <c r="AZ121" s="41">
        <f>SUM($AG121:AO121)</f>
        <v>0</v>
      </c>
      <c r="BA121" s="41">
        <f>SUM($AG121:AP121)</f>
        <v>0</v>
      </c>
      <c r="BB121" s="41">
        <f>SUM($AG121:AQ121)</f>
        <v>0</v>
      </c>
      <c r="BC121" s="41" t="str">
        <f t="shared" si="29"/>
        <v/>
      </c>
      <c r="BD121" s="41" t="str">
        <f t="shared" si="29"/>
        <v/>
      </c>
      <c r="BE121" s="41" t="str">
        <f t="shared" si="29"/>
        <v/>
      </c>
      <c r="BF121" s="41" t="str">
        <f t="shared" si="29"/>
        <v/>
      </c>
      <c r="BG121" s="41" t="str">
        <f t="shared" si="29"/>
        <v/>
      </c>
      <c r="BH121" s="41" t="str">
        <f t="shared" si="29"/>
        <v/>
      </c>
      <c r="BI121" s="41" t="str">
        <f t="shared" si="29"/>
        <v/>
      </c>
      <c r="BJ121" s="41" t="str">
        <f t="shared" si="29"/>
        <v/>
      </c>
      <c r="BK121" s="41" t="str">
        <f t="shared" si="29"/>
        <v/>
      </c>
      <c r="BL121" s="41" t="str">
        <f t="shared" si="29"/>
        <v/>
      </c>
      <c r="BM121" s="41" t="str">
        <f t="shared" si="29"/>
        <v/>
      </c>
    </row>
    <row r="122" spans="1:65" ht="15" customHeight="1" x14ac:dyDescent="0.25">
      <c r="A122" s="957">
        <f t="shared" si="25"/>
        <v>0</v>
      </c>
      <c r="B122" s="10"/>
      <c r="C122" s="10"/>
      <c r="D122" s="13"/>
      <c r="E122" s="10"/>
      <c r="F122" s="10"/>
      <c r="G122" s="10"/>
      <c r="H122" s="10"/>
      <c r="I122" s="10"/>
      <c r="J122" s="10"/>
      <c r="K122" s="10"/>
      <c r="L122" s="10"/>
      <c r="M122" s="10"/>
      <c r="N122" s="10"/>
      <c r="O122" s="10"/>
      <c r="P122" s="4"/>
      <c r="Q122" s="1204"/>
      <c r="R122" s="101" t="str">
        <f t="shared" si="28"/>
        <v/>
      </c>
      <c r="S122" s="137">
        <f t="shared" si="30"/>
        <v>30</v>
      </c>
      <c r="T122" s="2129">
        <v>0.11</v>
      </c>
      <c r="U122" s="2130">
        <v>0.2</v>
      </c>
      <c r="V122" s="2130">
        <v>0.26</v>
      </c>
      <c r="W122" s="2130">
        <v>0.34</v>
      </c>
      <c r="X122" s="2130">
        <v>0.45</v>
      </c>
      <c r="Y122" s="2130">
        <v>0.56999999999999995</v>
      </c>
      <c r="Z122" s="2130">
        <v>0.72</v>
      </c>
      <c r="AA122" s="2130">
        <v>0.79</v>
      </c>
      <c r="AB122" s="2130"/>
      <c r="AC122" s="2130"/>
      <c r="AD122" s="101"/>
      <c r="AE122" s="6"/>
      <c r="AF122" s="11"/>
      <c r="AG122" s="41">
        <f t="shared" si="26"/>
        <v>0</v>
      </c>
      <c r="AH122" s="41">
        <f>IF(ISERROR(HLOOKUP(AH$91,'Improved Sales Adjustments 2'!$G$7:$WU$147,68,FALSE)),0,IF(HLOOKUP(AH$91,'Improved Sales Adjustments 2'!$G$7:$WU$147,68,FALSE)="",0,IF($S122=HLOOKUP(AH$91,'Improved Sales Adjustments 2'!$G$7:$WU$147,68,FALSE),1,0)))</f>
        <v>0</v>
      </c>
      <c r="AI122" s="41">
        <f>IF(ISERROR(HLOOKUP(AI$91,'Improved Sales Adjustments 2'!$G$7:$WU$147,68,FALSE)),0,IF(HLOOKUP(AI$91,'Improved Sales Adjustments 2'!$G$7:$WU$147,68,FALSE)="",0,IF($S122=HLOOKUP(AI$91,'Improved Sales Adjustments 2'!$G$7:$WU$147,68,FALSE),1,0)))</f>
        <v>0</v>
      </c>
      <c r="AJ122" s="41">
        <f>IF(ISERROR(HLOOKUP(AJ$91,'Improved Sales Adjustments 2'!$G$7:$WU$147,68,FALSE)),0,IF(HLOOKUP(AJ$91,'Improved Sales Adjustments 2'!$G$7:$WU$147,68,FALSE)="",0,IF($S122=HLOOKUP(AJ$91,'Improved Sales Adjustments 2'!$G$7:$WU$147,68,FALSE),1,0)))</f>
        <v>0</v>
      </c>
      <c r="AK122" s="41">
        <f>IF(ISERROR(HLOOKUP(AK$91,'Improved Sales Adjustments 2'!$G$7:$WU$147,68,FALSE)),0,IF(HLOOKUP(AK$91,'Improved Sales Adjustments 2'!$G$7:$WU$147,68,FALSE)="",0,IF($S122=HLOOKUP(AK$91,'Improved Sales Adjustments 2'!$G$7:$WU$147,68,FALSE),1,0)))</f>
        <v>0</v>
      </c>
      <c r="AL122" s="41">
        <f>IF(ISERROR(HLOOKUP(AL$91,'Improved Sales Adjustments 2'!$G$7:$WU$147,68,FALSE)),0,IF(HLOOKUP(AL$91,'Improved Sales Adjustments 2'!$G$7:$WU$147,68,FALSE)="",0,IF($S122=HLOOKUP(AL$91,'Improved Sales Adjustments 2'!$G$7:$WU$147,68,FALSE),1,0)))</f>
        <v>0</v>
      </c>
      <c r="AM122" s="41">
        <f>IF(ISERROR(HLOOKUP(AM$91,'Improved Sales Adjustments 2'!$G$7:$WU$147,68,FALSE)),0,IF(HLOOKUP(AM$91,'Improved Sales Adjustments 2'!$G$7:$WU$147,68,FALSE)="",0,IF($S122=HLOOKUP(AM$91,'Improved Sales Adjustments 2'!$G$7:$WU$147,68,FALSE),1,0)))</f>
        <v>0</v>
      </c>
      <c r="AN122" s="41">
        <f>IF(ISERROR(HLOOKUP(AN$91,'Improved Sales Adjustments 2'!$G$7:$WU$147,68,FALSE)),0,IF(HLOOKUP(AN$91,'Improved Sales Adjustments 2'!$G$7:$WU$147,68,FALSE)="",0,IF($S122=HLOOKUP(AN$91,'Improved Sales Adjustments 2'!$G$7:$WU$147,68,FALSE),1,0)))</f>
        <v>0</v>
      </c>
      <c r="AO122" s="41">
        <f>IF(ISERROR(HLOOKUP(AO$91,'Improved Sales Adjustments 2'!$G$7:$WU$147,68,FALSE)),0,IF(HLOOKUP(AO$91,'Improved Sales Adjustments 2'!$G$7:$WU$147,68,FALSE)="",0,IF($S122=HLOOKUP(AO$91,'Improved Sales Adjustments 2'!$G$7:$WU$147,68,FALSE),1,0)))</f>
        <v>0</v>
      </c>
      <c r="AP122" s="41">
        <f>IF(ISERROR(HLOOKUP(AP$91,'Improved Sales Adjustments 2'!$G$7:$WU$147,68,FALSE)),0,IF(HLOOKUP(AP$91,'Improved Sales Adjustments 2'!$G$7:$WU$147,68,FALSE)="",0,IF($S122=HLOOKUP(AP$91,'Improved Sales Adjustments 2'!$G$7:$WU$147,68,FALSE),1,0)))</f>
        <v>0</v>
      </c>
      <c r="AQ122" s="41">
        <f>IF(ISERROR(HLOOKUP(AQ$91,'Improved Sales Adjustments 2'!$G$7:$WU$147,68,FALSE)),0,IF(HLOOKUP(AQ$91,'Improved Sales Adjustments 2'!$G$7:$WU$147,68,FALSE)="",0,IF($S122=HLOOKUP(AQ$91,'Improved Sales Adjustments 2'!$G$7:$WU$147,68,FALSE),1,0)))</f>
        <v>0</v>
      </c>
      <c r="AR122" s="41">
        <f>SUM($AG122:AG122)</f>
        <v>0</v>
      </c>
      <c r="AS122" s="41">
        <f>SUM($AG122:AH122)</f>
        <v>0</v>
      </c>
      <c r="AT122" s="41">
        <f>SUM($AG122:AI122)</f>
        <v>0</v>
      </c>
      <c r="AU122" s="41">
        <f>SUM($AG122:AJ122)</f>
        <v>0</v>
      </c>
      <c r="AV122" s="41">
        <f>SUM($AG122:AK122)</f>
        <v>0</v>
      </c>
      <c r="AW122" s="41">
        <f>SUM($AG122:AL122)</f>
        <v>0</v>
      </c>
      <c r="AX122" s="41">
        <f>SUM($AG122:AM122)</f>
        <v>0</v>
      </c>
      <c r="AY122" s="41">
        <f>SUM($AG122:AN122)</f>
        <v>0</v>
      </c>
      <c r="AZ122" s="41">
        <f>SUM($AG122:AO122)</f>
        <v>0</v>
      </c>
      <c r="BA122" s="41">
        <f>SUM($AG122:AP122)</f>
        <v>0</v>
      </c>
      <c r="BB122" s="41">
        <f>SUM($AG122:AQ122)</f>
        <v>0</v>
      </c>
      <c r="BC122" s="41" t="str">
        <f t="shared" si="29"/>
        <v/>
      </c>
      <c r="BD122" s="41" t="str">
        <f t="shared" si="29"/>
        <v/>
      </c>
      <c r="BE122" s="41" t="str">
        <f t="shared" si="29"/>
        <v/>
      </c>
      <c r="BF122" s="41" t="str">
        <f t="shared" si="29"/>
        <v/>
      </c>
      <c r="BG122" s="41" t="str">
        <f t="shared" si="29"/>
        <v/>
      </c>
      <c r="BH122" s="41" t="str">
        <f t="shared" si="29"/>
        <v/>
      </c>
      <c r="BI122" s="41" t="str">
        <f t="shared" si="29"/>
        <v/>
      </c>
      <c r="BJ122" s="41" t="str">
        <f t="shared" si="29"/>
        <v/>
      </c>
      <c r="BK122" s="41" t="str">
        <f t="shared" si="29"/>
        <v/>
      </c>
      <c r="BL122" s="41" t="str">
        <f t="shared" si="29"/>
        <v/>
      </c>
      <c r="BM122" s="41" t="str">
        <f t="shared" si="29"/>
        <v/>
      </c>
    </row>
    <row r="123" spans="1:65" ht="15" customHeight="1" x14ac:dyDescent="0.25">
      <c r="A123" s="957">
        <f t="shared" si="25"/>
        <v>0</v>
      </c>
      <c r="B123" s="10"/>
      <c r="C123" s="10"/>
      <c r="D123" s="13"/>
      <c r="E123" s="10"/>
      <c r="F123" s="10"/>
      <c r="G123" s="10"/>
      <c r="H123" s="10"/>
      <c r="I123" s="10"/>
      <c r="J123" s="10"/>
      <c r="K123" s="10"/>
      <c r="L123" s="10"/>
      <c r="M123" s="10"/>
      <c r="N123" s="10"/>
      <c r="O123" s="10"/>
      <c r="P123" s="4"/>
      <c r="Q123" s="1204"/>
      <c r="R123" s="101" t="str">
        <f t="shared" si="28"/>
        <v/>
      </c>
      <c r="S123" s="137">
        <f t="shared" si="30"/>
        <v>31</v>
      </c>
      <c r="T123" s="2129">
        <v>0.12</v>
      </c>
      <c r="U123" s="2130">
        <f t="shared" ref="U123:AA123" si="31">(U124+U122)/2</f>
        <v>0.21000000000000002</v>
      </c>
      <c r="V123" s="2130">
        <f t="shared" si="31"/>
        <v>0.28000000000000003</v>
      </c>
      <c r="W123" s="2130">
        <f t="shared" si="31"/>
        <v>0.36</v>
      </c>
      <c r="X123" s="2130">
        <f t="shared" si="31"/>
        <v>0.47499999999999998</v>
      </c>
      <c r="Y123" s="2130">
        <f t="shared" si="31"/>
        <v>0.59499999999999997</v>
      </c>
      <c r="Z123" s="2130">
        <f t="shared" si="31"/>
        <v>0.73499999999999999</v>
      </c>
      <c r="AA123" s="2130">
        <f t="shared" si="31"/>
        <v>0.79500000000000004</v>
      </c>
      <c r="AB123" s="2130"/>
      <c r="AC123" s="2130"/>
      <c r="AD123" s="101"/>
      <c r="AE123" s="6"/>
      <c r="AF123" s="11"/>
      <c r="AG123" s="41">
        <f t="shared" si="26"/>
        <v>0</v>
      </c>
      <c r="AH123" s="41">
        <f>IF(ISERROR(HLOOKUP(AH$91,'Improved Sales Adjustments 2'!$G$7:$WU$147,68,FALSE)),0,IF(HLOOKUP(AH$91,'Improved Sales Adjustments 2'!$G$7:$WU$147,68,FALSE)="",0,IF($S123=HLOOKUP(AH$91,'Improved Sales Adjustments 2'!$G$7:$WU$147,68,FALSE),1,0)))</f>
        <v>0</v>
      </c>
      <c r="AI123" s="41">
        <f>IF(ISERROR(HLOOKUP(AI$91,'Improved Sales Adjustments 2'!$G$7:$WU$147,68,FALSE)),0,IF(HLOOKUP(AI$91,'Improved Sales Adjustments 2'!$G$7:$WU$147,68,FALSE)="",0,IF($S123=HLOOKUP(AI$91,'Improved Sales Adjustments 2'!$G$7:$WU$147,68,FALSE),1,0)))</f>
        <v>0</v>
      </c>
      <c r="AJ123" s="41">
        <f>IF(ISERROR(HLOOKUP(AJ$91,'Improved Sales Adjustments 2'!$G$7:$WU$147,68,FALSE)),0,IF(HLOOKUP(AJ$91,'Improved Sales Adjustments 2'!$G$7:$WU$147,68,FALSE)="",0,IF($S123=HLOOKUP(AJ$91,'Improved Sales Adjustments 2'!$G$7:$WU$147,68,FALSE),1,0)))</f>
        <v>0</v>
      </c>
      <c r="AK123" s="41">
        <f>IF(ISERROR(HLOOKUP(AK$91,'Improved Sales Adjustments 2'!$G$7:$WU$147,68,FALSE)),0,IF(HLOOKUP(AK$91,'Improved Sales Adjustments 2'!$G$7:$WU$147,68,FALSE)="",0,IF($S123=HLOOKUP(AK$91,'Improved Sales Adjustments 2'!$G$7:$WU$147,68,FALSE),1,0)))</f>
        <v>0</v>
      </c>
      <c r="AL123" s="41">
        <f>IF(ISERROR(HLOOKUP(AL$91,'Improved Sales Adjustments 2'!$G$7:$WU$147,68,FALSE)),0,IF(HLOOKUP(AL$91,'Improved Sales Adjustments 2'!$G$7:$WU$147,68,FALSE)="",0,IF($S123=HLOOKUP(AL$91,'Improved Sales Adjustments 2'!$G$7:$WU$147,68,FALSE),1,0)))</f>
        <v>0</v>
      </c>
      <c r="AM123" s="41">
        <f>IF(ISERROR(HLOOKUP(AM$91,'Improved Sales Adjustments 2'!$G$7:$WU$147,68,FALSE)),0,IF(HLOOKUP(AM$91,'Improved Sales Adjustments 2'!$G$7:$WU$147,68,FALSE)="",0,IF($S123=HLOOKUP(AM$91,'Improved Sales Adjustments 2'!$G$7:$WU$147,68,FALSE),1,0)))</f>
        <v>0</v>
      </c>
      <c r="AN123" s="41">
        <f>IF(ISERROR(HLOOKUP(AN$91,'Improved Sales Adjustments 2'!$G$7:$WU$147,68,FALSE)),0,IF(HLOOKUP(AN$91,'Improved Sales Adjustments 2'!$G$7:$WU$147,68,FALSE)="",0,IF($S123=HLOOKUP(AN$91,'Improved Sales Adjustments 2'!$G$7:$WU$147,68,FALSE),1,0)))</f>
        <v>0</v>
      </c>
      <c r="AO123" s="41">
        <f>IF(ISERROR(HLOOKUP(AO$91,'Improved Sales Adjustments 2'!$G$7:$WU$147,68,FALSE)),0,IF(HLOOKUP(AO$91,'Improved Sales Adjustments 2'!$G$7:$WU$147,68,FALSE)="",0,IF($S123=HLOOKUP(AO$91,'Improved Sales Adjustments 2'!$G$7:$WU$147,68,FALSE),1,0)))</f>
        <v>0</v>
      </c>
      <c r="AP123" s="41">
        <f>IF(ISERROR(HLOOKUP(AP$91,'Improved Sales Adjustments 2'!$G$7:$WU$147,68,FALSE)),0,IF(HLOOKUP(AP$91,'Improved Sales Adjustments 2'!$G$7:$WU$147,68,FALSE)="",0,IF($S123=HLOOKUP(AP$91,'Improved Sales Adjustments 2'!$G$7:$WU$147,68,FALSE),1,0)))</f>
        <v>0</v>
      </c>
      <c r="AQ123" s="41">
        <f>IF(ISERROR(HLOOKUP(AQ$91,'Improved Sales Adjustments 2'!$G$7:$WU$147,68,FALSE)),0,IF(HLOOKUP(AQ$91,'Improved Sales Adjustments 2'!$G$7:$WU$147,68,FALSE)="",0,IF($S123=HLOOKUP(AQ$91,'Improved Sales Adjustments 2'!$G$7:$WU$147,68,FALSE),1,0)))</f>
        <v>0</v>
      </c>
      <c r="AR123" s="41">
        <f>SUM($AG123:AG123)</f>
        <v>0</v>
      </c>
      <c r="AS123" s="41">
        <f>SUM($AG123:AH123)</f>
        <v>0</v>
      </c>
      <c r="AT123" s="41">
        <f>SUM($AG123:AI123)</f>
        <v>0</v>
      </c>
      <c r="AU123" s="41">
        <f>SUM($AG123:AJ123)</f>
        <v>0</v>
      </c>
      <c r="AV123" s="41">
        <f>SUM($AG123:AK123)</f>
        <v>0</v>
      </c>
      <c r="AW123" s="41">
        <f>SUM($AG123:AL123)</f>
        <v>0</v>
      </c>
      <c r="AX123" s="41">
        <f>SUM($AG123:AM123)</f>
        <v>0</v>
      </c>
      <c r="AY123" s="41">
        <f>SUM($AG123:AN123)</f>
        <v>0</v>
      </c>
      <c r="AZ123" s="41">
        <f>SUM($AG123:AO123)</f>
        <v>0</v>
      </c>
      <c r="BA123" s="41">
        <f>SUM($AG123:AP123)</f>
        <v>0</v>
      </c>
      <c r="BB123" s="41">
        <f>SUM($AG123:AQ123)</f>
        <v>0</v>
      </c>
      <c r="BC123" s="41" t="str">
        <f t="shared" si="29"/>
        <v/>
      </c>
      <c r="BD123" s="41" t="str">
        <f t="shared" si="29"/>
        <v/>
      </c>
      <c r="BE123" s="41" t="str">
        <f t="shared" si="29"/>
        <v/>
      </c>
      <c r="BF123" s="41" t="str">
        <f t="shared" si="29"/>
        <v/>
      </c>
      <c r="BG123" s="41" t="str">
        <f t="shared" si="29"/>
        <v/>
      </c>
      <c r="BH123" s="41" t="str">
        <f t="shared" si="29"/>
        <v/>
      </c>
      <c r="BI123" s="41" t="str">
        <f t="shared" si="29"/>
        <v/>
      </c>
      <c r="BJ123" s="41" t="str">
        <f t="shared" si="29"/>
        <v/>
      </c>
      <c r="BK123" s="41" t="str">
        <f t="shared" si="29"/>
        <v/>
      </c>
      <c r="BL123" s="41" t="str">
        <f t="shared" si="29"/>
        <v/>
      </c>
      <c r="BM123" s="41" t="str">
        <f t="shared" si="29"/>
        <v/>
      </c>
    </row>
    <row r="124" spans="1:65" ht="15" customHeight="1" x14ac:dyDescent="0.25">
      <c r="A124" s="957">
        <f t="shared" ref="A124:A155" si="32">IF(AND(MIN(Sales_EffectiveAgeRange_2,Sales_AdjGrid_AgeEffective_2)&lt;=S124,MAX(Sales_EffectiveAgeRange_2,Sales_AdjGrid_AgeEffective_2)&gt;=S124),1,0)</f>
        <v>0</v>
      </c>
      <c r="B124" s="10"/>
      <c r="C124" s="10"/>
      <c r="D124" s="13"/>
      <c r="E124" s="10"/>
      <c r="F124" s="10"/>
      <c r="G124" s="10"/>
      <c r="H124" s="10"/>
      <c r="I124" s="10"/>
      <c r="J124" s="10"/>
      <c r="K124" s="10"/>
      <c r="L124" s="10"/>
      <c r="M124" s="10"/>
      <c r="N124" s="10"/>
      <c r="O124" s="10"/>
      <c r="P124" s="4"/>
      <c r="Q124" s="1204"/>
      <c r="R124" s="101" t="str">
        <f t="shared" si="28"/>
        <v/>
      </c>
      <c r="S124" s="137">
        <f t="shared" si="30"/>
        <v>32</v>
      </c>
      <c r="T124" s="2129">
        <v>0.13</v>
      </c>
      <c r="U124" s="2130">
        <v>0.22</v>
      </c>
      <c r="V124" s="2130">
        <v>0.3</v>
      </c>
      <c r="W124" s="2130">
        <v>0.38</v>
      </c>
      <c r="X124" s="2130">
        <v>0.5</v>
      </c>
      <c r="Y124" s="2130">
        <v>0.62</v>
      </c>
      <c r="Z124" s="2130">
        <v>0.75</v>
      </c>
      <c r="AA124" s="2130">
        <v>0.8</v>
      </c>
      <c r="AB124" s="2130"/>
      <c r="AC124" s="2130"/>
      <c r="AD124" s="101"/>
      <c r="AE124" s="6"/>
      <c r="AF124" s="11"/>
      <c r="AG124" s="41">
        <f t="shared" ref="AG124:AG155" si="33">IF(S124=Sales_AdjGrid_AgeEffective_2,1,0)</f>
        <v>0</v>
      </c>
      <c r="AH124" s="41">
        <f>IF(ISERROR(HLOOKUP(AH$91,'Improved Sales Adjustments 2'!$G$7:$WU$147,68,FALSE)),0,IF(HLOOKUP(AH$91,'Improved Sales Adjustments 2'!$G$7:$WU$147,68,FALSE)="",0,IF($S124=HLOOKUP(AH$91,'Improved Sales Adjustments 2'!$G$7:$WU$147,68,FALSE),1,0)))</f>
        <v>0</v>
      </c>
      <c r="AI124" s="41">
        <f>IF(ISERROR(HLOOKUP(AI$91,'Improved Sales Adjustments 2'!$G$7:$WU$147,68,FALSE)),0,IF(HLOOKUP(AI$91,'Improved Sales Adjustments 2'!$G$7:$WU$147,68,FALSE)="",0,IF($S124=HLOOKUP(AI$91,'Improved Sales Adjustments 2'!$G$7:$WU$147,68,FALSE),1,0)))</f>
        <v>0</v>
      </c>
      <c r="AJ124" s="41">
        <f>IF(ISERROR(HLOOKUP(AJ$91,'Improved Sales Adjustments 2'!$G$7:$WU$147,68,FALSE)),0,IF(HLOOKUP(AJ$91,'Improved Sales Adjustments 2'!$G$7:$WU$147,68,FALSE)="",0,IF($S124=HLOOKUP(AJ$91,'Improved Sales Adjustments 2'!$G$7:$WU$147,68,FALSE),1,0)))</f>
        <v>0</v>
      </c>
      <c r="AK124" s="41">
        <f>IF(ISERROR(HLOOKUP(AK$91,'Improved Sales Adjustments 2'!$G$7:$WU$147,68,FALSE)),0,IF(HLOOKUP(AK$91,'Improved Sales Adjustments 2'!$G$7:$WU$147,68,FALSE)="",0,IF($S124=HLOOKUP(AK$91,'Improved Sales Adjustments 2'!$G$7:$WU$147,68,FALSE),1,0)))</f>
        <v>0</v>
      </c>
      <c r="AL124" s="41">
        <f>IF(ISERROR(HLOOKUP(AL$91,'Improved Sales Adjustments 2'!$G$7:$WU$147,68,FALSE)),0,IF(HLOOKUP(AL$91,'Improved Sales Adjustments 2'!$G$7:$WU$147,68,FALSE)="",0,IF($S124=HLOOKUP(AL$91,'Improved Sales Adjustments 2'!$G$7:$WU$147,68,FALSE),1,0)))</f>
        <v>0</v>
      </c>
      <c r="AM124" s="41">
        <f>IF(ISERROR(HLOOKUP(AM$91,'Improved Sales Adjustments 2'!$G$7:$WU$147,68,FALSE)),0,IF(HLOOKUP(AM$91,'Improved Sales Adjustments 2'!$G$7:$WU$147,68,FALSE)="",0,IF($S124=HLOOKUP(AM$91,'Improved Sales Adjustments 2'!$G$7:$WU$147,68,FALSE),1,0)))</f>
        <v>0</v>
      </c>
      <c r="AN124" s="41">
        <f>IF(ISERROR(HLOOKUP(AN$91,'Improved Sales Adjustments 2'!$G$7:$WU$147,68,FALSE)),0,IF(HLOOKUP(AN$91,'Improved Sales Adjustments 2'!$G$7:$WU$147,68,FALSE)="",0,IF($S124=HLOOKUP(AN$91,'Improved Sales Adjustments 2'!$G$7:$WU$147,68,FALSE),1,0)))</f>
        <v>0</v>
      </c>
      <c r="AO124" s="41">
        <f>IF(ISERROR(HLOOKUP(AO$91,'Improved Sales Adjustments 2'!$G$7:$WU$147,68,FALSE)),0,IF(HLOOKUP(AO$91,'Improved Sales Adjustments 2'!$G$7:$WU$147,68,FALSE)="",0,IF($S124=HLOOKUP(AO$91,'Improved Sales Adjustments 2'!$G$7:$WU$147,68,FALSE),1,0)))</f>
        <v>0</v>
      </c>
      <c r="AP124" s="41">
        <f>IF(ISERROR(HLOOKUP(AP$91,'Improved Sales Adjustments 2'!$G$7:$WU$147,68,FALSE)),0,IF(HLOOKUP(AP$91,'Improved Sales Adjustments 2'!$G$7:$WU$147,68,FALSE)="",0,IF($S124=HLOOKUP(AP$91,'Improved Sales Adjustments 2'!$G$7:$WU$147,68,FALSE),1,0)))</f>
        <v>0</v>
      </c>
      <c r="AQ124" s="41">
        <f>IF(ISERROR(HLOOKUP(AQ$91,'Improved Sales Adjustments 2'!$G$7:$WU$147,68,FALSE)),0,IF(HLOOKUP(AQ$91,'Improved Sales Adjustments 2'!$G$7:$WU$147,68,FALSE)="",0,IF($S124=HLOOKUP(AQ$91,'Improved Sales Adjustments 2'!$G$7:$WU$147,68,FALSE),1,0)))</f>
        <v>0</v>
      </c>
      <c r="AR124" s="41">
        <f>SUM($AG124:AG124)</f>
        <v>0</v>
      </c>
      <c r="AS124" s="41">
        <f>SUM($AG124:AH124)</f>
        <v>0</v>
      </c>
      <c r="AT124" s="41">
        <f>SUM($AG124:AI124)</f>
        <v>0</v>
      </c>
      <c r="AU124" s="41">
        <f>SUM($AG124:AJ124)</f>
        <v>0</v>
      </c>
      <c r="AV124" s="41">
        <f>SUM($AG124:AK124)</f>
        <v>0</v>
      </c>
      <c r="AW124" s="41">
        <f>SUM($AG124:AL124)</f>
        <v>0</v>
      </c>
      <c r="AX124" s="41">
        <f>SUM($AG124:AM124)</f>
        <v>0</v>
      </c>
      <c r="AY124" s="41">
        <f>SUM($AG124:AN124)</f>
        <v>0</v>
      </c>
      <c r="AZ124" s="41">
        <f>SUM($AG124:AO124)</f>
        <v>0</v>
      </c>
      <c r="BA124" s="41">
        <f>SUM($AG124:AP124)</f>
        <v>0</v>
      </c>
      <c r="BB124" s="41">
        <f>SUM($AG124:AQ124)</f>
        <v>0</v>
      </c>
      <c r="BC124" s="41" t="str">
        <f t="shared" si="29"/>
        <v/>
      </c>
      <c r="BD124" s="41" t="str">
        <f t="shared" si="29"/>
        <v/>
      </c>
      <c r="BE124" s="41" t="str">
        <f t="shared" si="29"/>
        <v/>
      </c>
      <c r="BF124" s="41" t="str">
        <f t="shared" si="29"/>
        <v/>
      </c>
      <c r="BG124" s="41" t="str">
        <f t="shared" si="29"/>
        <v/>
      </c>
      <c r="BH124" s="41" t="str">
        <f t="shared" si="29"/>
        <v/>
      </c>
      <c r="BI124" s="41" t="str">
        <f t="shared" si="29"/>
        <v/>
      </c>
      <c r="BJ124" s="41" t="str">
        <f t="shared" si="29"/>
        <v/>
      </c>
      <c r="BK124" s="41" t="str">
        <f t="shared" si="29"/>
        <v/>
      </c>
      <c r="BL124" s="41" t="str">
        <f t="shared" si="29"/>
        <v/>
      </c>
      <c r="BM124" s="41" t="str">
        <f t="shared" si="29"/>
        <v/>
      </c>
    </row>
    <row r="125" spans="1:65" ht="15" customHeight="1" x14ac:dyDescent="0.25">
      <c r="A125" s="957">
        <f t="shared" si="32"/>
        <v>0</v>
      </c>
      <c r="B125" s="10"/>
      <c r="C125" s="10"/>
      <c r="D125" s="13"/>
      <c r="E125" s="10"/>
      <c r="F125" s="10"/>
      <c r="G125" s="10"/>
      <c r="H125" s="10"/>
      <c r="I125" s="10"/>
      <c r="J125" s="10"/>
      <c r="K125" s="10"/>
      <c r="L125" s="10"/>
      <c r="M125" s="10"/>
      <c r="N125" s="10"/>
      <c r="O125" s="10"/>
      <c r="P125" s="4"/>
      <c r="Q125" s="1204"/>
      <c r="R125" s="101" t="str">
        <f t="shared" si="28"/>
        <v/>
      </c>
      <c r="S125" s="137">
        <f t="shared" si="30"/>
        <v>33</v>
      </c>
      <c r="T125" s="2129">
        <v>0.14000000000000001</v>
      </c>
      <c r="U125" s="2130">
        <f t="shared" ref="U125:Z125" si="34">(U126+U124)/2</f>
        <v>0.23499999999999999</v>
      </c>
      <c r="V125" s="2130">
        <f t="shared" si="34"/>
        <v>0.32</v>
      </c>
      <c r="W125" s="2130">
        <f t="shared" si="34"/>
        <v>0.40500000000000003</v>
      </c>
      <c r="X125" s="2130">
        <f t="shared" si="34"/>
        <v>0.52500000000000002</v>
      </c>
      <c r="Y125" s="2130">
        <f t="shared" si="34"/>
        <v>0.65</v>
      </c>
      <c r="Z125" s="2130">
        <f t="shared" si="34"/>
        <v>0.76</v>
      </c>
      <c r="AA125" s="2130"/>
      <c r="AB125" s="2130"/>
      <c r="AC125" s="2130"/>
      <c r="AD125" s="101"/>
      <c r="AE125" s="6"/>
      <c r="AF125" s="11"/>
      <c r="AG125" s="41">
        <f t="shared" si="33"/>
        <v>0</v>
      </c>
      <c r="AH125" s="41">
        <f>IF(ISERROR(HLOOKUP(AH$91,'Improved Sales Adjustments 2'!$G$7:$WU$147,68,FALSE)),0,IF(HLOOKUP(AH$91,'Improved Sales Adjustments 2'!$G$7:$WU$147,68,FALSE)="",0,IF($S125=HLOOKUP(AH$91,'Improved Sales Adjustments 2'!$G$7:$WU$147,68,FALSE),1,0)))</f>
        <v>0</v>
      </c>
      <c r="AI125" s="41">
        <f>IF(ISERROR(HLOOKUP(AI$91,'Improved Sales Adjustments 2'!$G$7:$WU$147,68,FALSE)),0,IF(HLOOKUP(AI$91,'Improved Sales Adjustments 2'!$G$7:$WU$147,68,FALSE)="",0,IF($S125=HLOOKUP(AI$91,'Improved Sales Adjustments 2'!$G$7:$WU$147,68,FALSE),1,0)))</f>
        <v>0</v>
      </c>
      <c r="AJ125" s="41">
        <f>IF(ISERROR(HLOOKUP(AJ$91,'Improved Sales Adjustments 2'!$G$7:$WU$147,68,FALSE)),0,IF(HLOOKUP(AJ$91,'Improved Sales Adjustments 2'!$G$7:$WU$147,68,FALSE)="",0,IF($S125=HLOOKUP(AJ$91,'Improved Sales Adjustments 2'!$G$7:$WU$147,68,FALSE),1,0)))</f>
        <v>0</v>
      </c>
      <c r="AK125" s="41">
        <f>IF(ISERROR(HLOOKUP(AK$91,'Improved Sales Adjustments 2'!$G$7:$WU$147,68,FALSE)),0,IF(HLOOKUP(AK$91,'Improved Sales Adjustments 2'!$G$7:$WU$147,68,FALSE)="",0,IF($S125=HLOOKUP(AK$91,'Improved Sales Adjustments 2'!$G$7:$WU$147,68,FALSE),1,0)))</f>
        <v>0</v>
      </c>
      <c r="AL125" s="41">
        <f>IF(ISERROR(HLOOKUP(AL$91,'Improved Sales Adjustments 2'!$G$7:$WU$147,68,FALSE)),0,IF(HLOOKUP(AL$91,'Improved Sales Adjustments 2'!$G$7:$WU$147,68,FALSE)="",0,IF($S125=HLOOKUP(AL$91,'Improved Sales Adjustments 2'!$G$7:$WU$147,68,FALSE),1,0)))</f>
        <v>0</v>
      </c>
      <c r="AM125" s="41">
        <f>IF(ISERROR(HLOOKUP(AM$91,'Improved Sales Adjustments 2'!$G$7:$WU$147,68,FALSE)),0,IF(HLOOKUP(AM$91,'Improved Sales Adjustments 2'!$G$7:$WU$147,68,FALSE)="",0,IF($S125=HLOOKUP(AM$91,'Improved Sales Adjustments 2'!$G$7:$WU$147,68,FALSE),1,0)))</f>
        <v>0</v>
      </c>
      <c r="AN125" s="41">
        <f>IF(ISERROR(HLOOKUP(AN$91,'Improved Sales Adjustments 2'!$G$7:$WU$147,68,FALSE)),0,IF(HLOOKUP(AN$91,'Improved Sales Adjustments 2'!$G$7:$WU$147,68,FALSE)="",0,IF($S125=HLOOKUP(AN$91,'Improved Sales Adjustments 2'!$G$7:$WU$147,68,FALSE),1,0)))</f>
        <v>0</v>
      </c>
      <c r="AO125" s="41">
        <f>IF(ISERROR(HLOOKUP(AO$91,'Improved Sales Adjustments 2'!$G$7:$WU$147,68,FALSE)),0,IF(HLOOKUP(AO$91,'Improved Sales Adjustments 2'!$G$7:$WU$147,68,FALSE)="",0,IF($S125=HLOOKUP(AO$91,'Improved Sales Adjustments 2'!$G$7:$WU$147,68,FALSE),1,0)))</f>
        <v>0</v>
      </c>
      <c r="AP125" s="41">
        <f>IF(ISERROR(HLOOKUP(AP$91,'Improved Sales Adjustments 2'!$G$7:$WU$147,68,FALSE)),0,IF(HLOOKUP(AP$91,'Improved Sales Adjustments 2'!$G$7:$WU$147,68,FALSE)="",0,IF($S125=HLOOKUP(AP$91,'Improved Sales Adjustments 2'!$G$7:$WU$147,68,FALSE),1,0)))</f>
        <v>0</v>
      </c>
      <c r="AQ125" s="41">
        <f>IF(ISERROR(HLOOKUP(AQ$91,'Improved Sales Adjustments 2'!$G$7:$WU$147,68,FALSE)),0,IF(HLOOKUP(AQ$91,'Improved Sales Adjustments 2'!$G$7:$WU$147,68,FALSE)="",0,IF($S125=HLOOKUP(AQ$91,'Improved Sales Adjustments 2'!$G$7:$WU$147,68,FALSE),1,0)))</f>
        <v>0</v>
      </c>
      <c r="AR125" s="41">
        <f>SUM($AG125:AG125)</f>
        <v>0</v>
      </c>
      <c r="AS125" s="41">
        <f>SUM($AG125:AH125)</f>
        <v>0</v>
      </c>
      <c r="AT125" s="41">
        <f>SUM($AG125:AI125)</f>
        <v>0</v>
      </c>
      <c r="AU125" s="41">
        <f>SUM($AG125:AJ125)</f>
        <v>0</v>
      </c>
      <c r="AV125" s="41">
        <f>SUM($AG125:AK125)</f>
        <v>0</v>
      </c>
      <c r="AW125" s="41">
        <f>SUM($AG125:AL125)</f>
        <v>0</v>
      </c>
      <c r="AX125" s="41">
        <f>SUM($AG125:AM125)</f>
        <v>0</v>
      </c>
      <c r="AY125" s="41">
        <f>SUM($AG125:AN125)</f>
        <v>0</v>
      </c>
      <c r="AZ125" s="41">
        <f>SUM($AG125:AO125)</f>
        <v>0</v>
      </c>
      <c r="BA125" s="41">
        <f>SUM($AG125:AP125)</f>
        <v>0</v>
      </c>
      <c r="BB125" s="41">
        <f>SUM($AG125:AQ125)</f>
        <v>0</v>
      </c>
      <c r="BC125" s="41" t="str">
        <f t="shared" si="29"/>
        <v/>
      </c>
      <c r="BD125" s="41" t="str">
        <f t="shared" si="29"/>
        <v/>
      </c>
      <c r="BE125" s="41" t="str">
        <f t="shared" si="29"/>
        <v/>
      </c>
      <c r="BF125" s="41" t="str">
        <f t="shared" si="29"/>
        <v/>
      </c>
      <c r="BG125" s="41" t="str">
        <f t="shared" si="29"/>
        <v/>
      </c>
      <c r="BH125" s="41" t="str">
        <f t="shared" si="29"/>
        <v/>
      </c>
      <c r="BI125" s="41" t="str">
        <f t="shared" si="29"/>
        <v/>
      </c>
      <c r="BJ125" s="41" t="str">
        <f t="shared" si="29"/>
        <v/>
      </c>
      <c r="BK125" s="41" t="str">
        <f t="shared" si="29"/>
        <v/>
      </c>
      <c r="BL125" s="41" t="str">
        <f t="shared" si="29"/>
        <v/>
      </c>
      <c r="BM125" s="41" t="str">
        <f t="shared" si="29"/>
        <v/>
      </c>
    </row>
    <row r="126" spans="1:65" ht="15" customHeight="1" x14ac:dyDescent="0.25">
      <c r="A126" s="957">
        <f t="shared" si="32"/>
        <v>0</v>
      </c>
      <c r="B126" s="10"/>
      <c r="C126" s="10"/>
      <c r="D126" s="13"/>
      <c r="E126" s="10"/>
      <c r="F126" s="10"/>
      <c r="G126" s="10"/>
      <c r="H126" s="10"/>
      <c r="I126" s="10"/>
      <c r="J126" s="10"/>
      <c r="K126" s="10"/>
      <c r="L126" s="10"/>
      <c r="M126" s="10"/>
      <c r="N126" s="10"/>
      <c r="O126" s="10"/>
      <c r="P126" s="4"/>
      <c r="Q126" s="1204"/>
      <c r="R126" s="101" t="str">
        <f t="shared" si="28"/>
        <v/>
      </c>
      <c r="S126" s="137">
        <f t="shared" si="30"/>
        <v>34</v>
      </c>
      <c r="T126" s="2129">
        <v>0.15</v>
      </c>
      <c r="U126" s="2130">
        <v>0.25</v>
      </c>
      <c r="V126" s="2130">
        <v>0.34</v>
      </c>
      <c r="W126" s="2130">
        <v>0.43</v>
      </c>
      <c r="X126" s="2130">
        <v>0.55000000000000004</v>
      </c>
      <c r="Y126" s="2130">
        <v>0.68</v>
      </c>
      <c r="Z126" s="2130">
        <v>0.77</v>
      </c>
      <c r="AA126" s="2130"/>
      <c r="AB126" s="2130"/>
      <c r="AC126" s="2130"/>
      <c r="AD126" s="101"/>
      <c r="AE126" s="6"/>
      <c r="AF126" s="11"/>
      <c r="AG126" s="41">
        <f t="shared" si="33"/>
        <v>0</v>
      </c>
      <c r="AH126" s="41">
        <f>IF(ISERROR(HLOOKUP(AH$91,'Improved Sales Adjustments 2'!$G$7:$WU$147,68,FALSE)),0,IF(HLOOKUP(AH$91,'Improved Sales Adjustments 2'!$G$7:$WU$147,68,FALSE)="",0,IF($S126=HLOOKUP(AH$91,'Improved Sales Adjustments 2'!$G$7:$WU$147,68,FALSE),1,0)))</f>
        <v>0</v>
      </c>
      <c r="AI126" s="41">
        <f>IF(ISERROR(HLOOKUP(AI$91,'Improved Sales Adjustments 2'!$G$7:$WU$147,68,FALSE)),0,IF(HLOOKUP(AI$91,'Improved Sales Adjustments 2'!$G$7:$WU$147,68,FALSE)="",0,IF($S126=HLOOKUP(AI$91,'Improved Sales Adjustments 2'!$G$7:$WU$147,68,FALSE),1,0)))</f>
        <v>0</v>
      </c>
      <c r="AJ126" s="41">
        <f>IF(ISERROR(HLOOKUP(AJ$91,'Improved Sales Adjustments 2'!$G$7:$WU$147,68,FALSE)),0,IF(HLOOKUP(AJ$91,'Improved Sales Adjustments 2'!$G$7:$WU$147,68,FALSE)="",0,IF($S126=HLOOKUP(AJ$91,'Improved Sales Adjustments 2'!$G$7:$WU$147,68,FALSE),1,0)))</f>
        <v>0</v>
      </c>
      <c r="AK126" s="41">
        <f>IF(ISERROR(HLOOKUP(AK$91,'Improved Sales Adjustments 2'!$G$7:$WU$147,68,FALSE)),0,IF(HLOOKUP(AK$91,'Improved Sales Adjustments 2'!$G$7:$WU$147,68,FALSE)="",0,IF($S126=HLOOKUP(AK$91,'Improved Sales Adjustments 2'!$G$7:$WU$147,68,FALSE),1,0)))</f>
        <v>0</v>
      </c>
      <c r="AL126" s="41">
        <f>IF(ISERROR(HLOOKUP(AL$91,'Improved Sales Adjustments 2'!$G$7:$WU$147,68,FALSE)),0,IF(HLOOKUP(AL$91,'Improved Sales Adjustments 2'!$G$7:$WU$147,68,FALSE)="",0,IF($S126=HLOOKUP(AL$91,'Improved Sales Adjustments 2'!$G$7:$WU$147,68,FALSE),1,0)))</f>
        <v>0</v>
      </c>
      <c r="AM126" s="41">
        <f>IF(ISERROR(HLOOKUP(AM$91,'Improved Sales Adjustments 2'!$G$7:$WU$147,68,FALSE)),0,IF(HLOOKUP(AM$91,'Improved Sales Adjustments 2'!$G$7:$WU$147,68,FALSE)="",0,IF($S126=HLOOKUP(AM$91,'Improved Sales Adjustments 2'!$G$7:$WU$147,68,FALSE),1,0)))</f>
        <v>0</v>
      </c>
      <c r="AN126" s="41">
        <f>IF(ISERROR(HLOOKUP(AN$91,'Improved Sales Adjustments 2'!$G$7:$WU$147,68,FALSE)),0,IF(HLOOKUP(AN$91,'Improved Sales Adjustments 2'!$G$7:$WU$147,68,FALSE)="",0,IF($S126=HLOOKUP(AN$91,'Improved Sales Adjustments 2'!$G$7:$WU$147,68,FALSE),1,0)))</f>
        <v>0</v>
      </c>
      <c r="AO126" s="41">
        <f>IF(ISERROR(HLOOKUP(AO$91,'Improved Sales Adjustments 2'!$G$7:$WU$147,68,FALSE)),0,IF(HLOOKUP(AO$91,'Improved Sales Adjustments 2'!$G$7:$WU$147,68,FALSE)="",0,IF($S126=HLOOKUP(AO$91,'Improved Sales Adjustments 2'!$G$7:$WU$147,68,FALSE),1,0)))</f>
        <v>0</v>
      </c>
      <c r="AP126" s="41">
        <f>IF(ISERROR(HLOOKUP(AP$91,'Improved Sales Adjustments 2'!$G$7:$WU$147,68,FALSE)),0,IF(HLOOKUP(AP$91,'Improved Sales Adjustments 2'!$G$7:$WU$147,68,FALSE)="",0,IF($S126=HLOOKUP(AP$91,'Improved Sales Adjustments 2'!$G$7:$WU$147,68,FALSE),1,0)))</f>
        <v>0</v>
      </c>
      <c r="AQ126" s="41">
        <f>IF(ISERROR(HLOOKUP(AQ$91,'Improved Sales Adjustments 2'!$G$7:$WU$147,68,FALSE)),0,IF(HLOOKUP(AQ$91,'Improved Sales Adjustments 2'!$G$7:$WU$147,68,FALSE)="",0,IF($S126=HLOOKUP(AQ$91,'Improved Sales Adjustments 2'!$G$7:$WU$147,68,FALSE),1,0)))</f>
        <v>0</v>
      </c>
      <c r="AR126" s="41">
        <f>SUM($AG126:AG126)</f>
        <v>0</v>
      </c>
      <c r="AS126" s="41">
        <f>SUM($AG126:AH126)</f>
        <v>0</v>
      </c>
      <c r="AT126" s="41">
        <f>SUM($AG126:AI126)</f>
        <v>0</v>
      </c>
      <c r="AU126" s="41">
        <f>SUM($AG126:AJ126)</f>
        <v>0</v>
      </c>
      <c r="AV126" s="41">
        <f>SUM($AG126:AK126)</f>
        <v>0</v>
      </c>
      <c r="AW126" s="41">
        <f>SUM($AG126:AL126)</f>
        <v>0</v>
      </c>
      <c r="AX126" s="41">
        <f>SUM($AG126:AM126)</f>
        <v>0</v>
      </c>
      <c r="AY126" s="41">
        <f>SUM($AG126:AN126)</f>
        <v>0</v>
      </c>
      <c r="AZ126" s="41">
        <f>SUM($AG126:AO126)</f>
        <v>0</v>
      </c>
      <c r="BA126" s="41">
        <f>SUM($AG126:AP126)</f>
        <v>0</v>
      </c>
      <c r="BB126" s="41">
        <f>SUM($AG126:AQ126)</f>
        <v>0</v>
      </c>
      <c r="BC126" s="41" t="str">
        <f t="shared" si="29"/>
        <v/>
      </c>
      <c r="BD126" s="41" t="str">
        <f t="shared" si="29"/>
        <v/>
      </c>
      <c r="BE126" s="41" t="str">
        <f t="shared" si="29"/>
        <v/>
      </c>
      <c r="BF126" s="41" t="str">
        <f t="shared" si="29"/>
        <v/>
      </c>
      <c r="BG126" s="41" t="str">
        <f t="shared" si="29"/>
        <v/>
      </c>
      <c r="BH126" s="41" t="str">
        <f t="shared" si="29"/>
        <v/>
      </c>
      <c r="BI126" s="41" t="str">
        <f t="shared" si="29"/>
        <v/>
      </c>
      <c r="BJ126" s="41" t="str">
        <f t="shared" si="29"/>
        <v/>
      </c>
      <c r="BK126" s="41" t="str">
        <f t="shared" si="29"/>
        <v/>
      </c>
      <c r="BL126" s="41" t="str">
        <f t="shared" si="29"/>
        <v/>
      </c>
      <c r="BM126" s="41" t="str">
        <f t="shared" si="29"/>
        <v/>
      </c>
    </row>
    <row r="127" spans="1:65" ht="15" customHeight="1" x14ac:dyDescent="0.25">
      <c r="A127" s="957">
        <f t="shared" si="32"/>
        <v>0</v>
      </c>
      <c r="B127" s="10"/>
      <c r="C127" s="10"/>
      <c r="D127" s="13"/>
      <c r="E127" s="10"/>
      <c r="F127" s="10"/>
      <c r="G127" s="10"/>
      <c r="H127" s="10"/>
      <c r="I127" s="10"/>
      <c r="J127" s="10"/>
      <c r="K127" s="10"/>
      <c r="L127" s="10"/>
      <c r="M127" s="10"/>
      <c r="N127" s="10"/>
      <c r="O127" s="10"/>
      <c r="P127" s="4"/>
      <c r="Q127" s="1204"/>
      <c r="R127" s="101" t="str">
        <f t="shared" si="28"/>
        <v/>
      </c>
      <c r="S127" s="137">
        <f t="shared" si="30"/>
        <v>35</v>
      </c>
      <c r="T127" s="2129">
        <v>0.16</v>
      </c>
      <c r="U127" s="2130">
        <f t="shared" ref="U127:Z127" si="35">(U128+U126)/2</f>
        <v>0.26500000000000001</v>
      </c>
      <c r="V127" s="2130">
        <f t="shared" si="35"/>
        <v>0.36</v>
      </c>
      <c r="W127" s="2130">
        <f t="shared" si="35"/>
        <v>0.45499999999999996</v>
      </c>
      <c r="X127" s="2130">
        <f t="shared" si="35"/>
        <v>0.58000000000000007</v>
      </c>
      <c r="Y127" s="2130">
        <f t="shared" si="35"/>
        <v>0.70500000000000007</v>
      </c>
      <c r="Z127" s="2130">
        <f t="shared" si="35"/>
        <v>0.78</v>
      </c>
      <c r="AA127" s="2130"/>
      <c r="AB127" s="2130"/>
      <c r="AC127" s="2130"/>
      <c r="AD127" s="101"/>
      <c r="AE127" s="6"/>
      <c r="AF127" s="11"/>
      <c r="AG127" s="41">
        <f t="shared" si="33"/>
        <v>0</v>
      </c>
      <c r="AH127" s="41">
        <f>IF(ISERROR(HLOOKUP(AH$91,'Improved Sales Adjustments 2'!$G$7:$WU$147,68,FALSE)),0,IF(HLOOKUP(AH$91,'Improved Sales Adjustments 2'!$G$7:$WU$147,68,FALSE)="",0,IF($S127=HLOOKUP(AH$91,'Improved Sales Adjustments 2'!$G$7:$WU$147,68,FALSE),1,0)))</f>
        <v>0</v>
      </c>
      <c r="AI127" s="41">
        <f>IF(ISERROR(HLOOKUP(AI$91,'Improved Sales Adjustments 2'!$G$7:$WU$147,68,FALSE)),0,IF(HLOOKUP(AI$91,'Improved Sales Adjustments 2'!$G$7:$WU$147,68,FALSE)="",0,IF($S127=HLOOKUP(AI$91,'Improved Sales Adjustments 2'!$G$7:$WU$147,68,FALSE),1,0)))</f>
        <v>0</v>
      </c>
      <c r="AJ127" s="41">
        <f>IF(ISERROR(HLOOKUP(AJ$91,'Improved Sales Adjustments 2'!$G$7:$WU$147,68,FALSE)),0,IF(HLOOKUP(AJ$91,'Improved Sales Adjustments 2'!$G$7:$WU$147,68,FALSE)="",0,IF($S127=HLOOKUP(AJ$91,'Improved Sales Adjustments 2'!$G$7:$WU$147,68,FALSE),1,0)))</f>
        <v>0</v>
      </c>
      <c r="AK127" s="41">
        <f>IF(ISERROR(HLOOKUP(AK$91,'Improved Sales Adjustments 2'!$G$7:$WU$147,68,FALSE)),0,IF(HLOOKUP(AK$91,'Improved Sales Adjustments 2'!$G$7:$WU$147,68,FALSE)="",0,IF($S127=HLOOKUP(AK$91,'Improved Sales Adjustments 2'!$G$7:$WU$147,68,FALSE),1,0)))</f>
        <v>0</v>
      </c>
      <c r="AL127" s="41">
        <f>IF(ISERROR(HLOOKUP(AL$91,'Improved Sales Adjustments 2'!$G$7:$WU$147,68,FALSE)),0,IF(HLOOKUP(AL$91,'Improved Sales Adjustments 2'!$G$7:$WU$147,68,FALSE)="",0,IF($S127=HLOOKUP(AL$91,'Improved Sales Adjustments 2'!$G$7:$WU$147,68,FALSE),1,0)))</f>
        <v>0</v>
      </c>
      <c r="AM127" s="41">
        <f>IF(ISERROR(HLOOKUP(AM$91,'Improved Sales Adjustments 2'!$G$7:$WU$147,68,FALSE)),0,IF(HLOOKUP(AM$91,'Improved Sales Adjustments 2'!$G$7:$WU$147,68,FALSE)="",0,IF($S127=HLOOKUP(AM$91,'Improved Sales Adjustments 2'!$G$7:$WU$147,68,FALSE),1,0)))</f>
        <v>0</v>
      </c>
      <c r="AN127" s="41">
        <f>IF(ISERROR(HLOOKUP(AN$91,'Improved Sales Adjustments 2'!$G$7:$WU$147,68,FALSE)),0,IF(HLOOKUP(AN$91,'Improved Sales Adjustments 2'!$G$7:$WU$147,68,FALSE)="",0,IF($S127=HLOOKUP(AN$91,'Improved Sales Adjustments 2'!$G$7:$WU$147,68,FALSE),1,0)))</f>
        <v>0</v>
      </c>
      <c r="AO127" s="41">
        <f>IF(ISERROR(HLOOKUP(AO$91,'Improved Sales Adjustments 2'!$G$7:$WU$147,68,FALSE)),0,IF(HLOOKUP(AO$91,'Improved Sales Adjustments 2'!$G$7:$WU$147,68,FALSE)="",0,IF($S127=HLOOKUP(AO$91,'Improved Sales Adjustments 2'!$G$7:$WU$147,68,FALSE),1,0)))</f>
        <v>0</v>
      </c>
      <c r="AP127" s="41">
        <f>IF(ISERROR(HLOOKUP(AP$91,'Improved Sales Adjustments 2'!$G$7:$WU$147,68,FALSE)),0,IF(HLOOKUP(AP$91,'Improved Sales Adjustments 2'!$G$7:$WU$147,68,FALSE)="",0,IF($S127=HLOOKUP(AP$91,'Improved Sales Adjustments 2'!$G$7:$WU$147,68,FALSE),1,0)))</f>
        <v>0</v>
      </c>
      <c r="AQ127" s="41">
        <f>IF(ISERROR(HLOOKUP(AQ$91,'Improved Sales Adjustments 2'!$G$7:$WU$147,68,FALSE)),0,IF(HLOOKUP(AQ$91,'Improved Sales Adjustments 2'!$G$7:$WU$147,68,FALSE)="",0,IF($S127=HLOOKUP(AQ$91,'Improved Sales Adjustments 2'!$G$7:$WU$147,68,FALSE),1,0)))</f>
        <v>0</v>
      </c>
      <c r="AR127" s="41">
        <f>SUM($AG127:AG127)</f>
        <v>0</v>
      </c>
      <c r="AS127" s="41">
        <f>SUM($AG127:AH127)</f>
        <v>0</v>
      </c>
      <c r="AT127" s="41">
        <f>SUM($AG127:AI127)</f>
        <v>0</v>
      </c>
      <c r="AU127" s="41">
        <f>SUM($AG127:AJ127)</f>
        <v>0</v>
      </c>
      <c r="AV127" s="41">
        <f>SUM($AG127:AK127)</f>
        <v>0</v>
      </c>
      <c r="AW127" s="41">
        <f>SUM($AG127:AL127)</f>
        <v>0</v>
      </c>
      <c r="AX127" s="41">
        <f>SUM($AG127:AM127)</f>
        <v>0</v>
      </c>
      <c r="AY127" s="41">
        <f>SUM($AG127:AN127)</f>
        <v>0</v>
      </c>
      <c r="AZ127" s="41">
        <f>SUM($AG127:AO127)</f>
        <v>0</v>
      </c>
      <c r="BA127" s="41">
        <f>SUM($AG127:AP127)</f>
        <v>0</v>
      </c>
      <c r="BB127" s="41">
        <f>SUM($AG127:AQ127)</f>
        <v>0</v>
      </c>
      <c r="BC127" s="41" t="str">
        <f t="shared" si="29"/>
        <v/>
      </c>
      <c r="BD127" s="41" t="str">
        <f t="shared" si="29"/>
        <v/>
      </c>
      <c r="BE127" s="41" t="str">
        <f t="shared" si="29"/>
        <v/>
      </c>
      <c r="BF127" s="41" t="str">
        <f t="shared" si="29"/>
        <v/>
      </c>
      <c r="BG127" s="41" t="str">
        <f t="shared" si="29"/>
        <v/>
      </c>
      <c r="BH127" s="41" t="str">
        <f t="shared" si="29"/>
        <v/>
      </c>
      <c r="BI127" s="41" t="str">
        <f t="shared" si="29"/>
        <v/>
      </c>
      <c r="BJ127" s="41" t="str">
        <f t="shared" si="29"/>
        <v/>
      </c>
      <c r="BK127" s="41" t="str">
        <f t="shared" si="29"/>
        <v/>
      </c>
      <c r="BL127" s="41" t="str">
        <f t="shared" si="29"/>
        <v/>
      </c>
      <c r="BM127" s="41" t="str">
        <f t="shared" si="29"/>
        <v/>
      </c>
    </row>
    <row r="128" spans="1:65" ht="15" customHeight="1" x14ac:dyDescent="0.25">
      <c r="A128" s="957">
        <f t="shared" si="32"/>
        <v>0</v>
      </c>
      <c r="B128" s="10"/>
      <c r="C128" s="10"/>
      <c r="D128" s="13"/>
      <c r="E128" s="10"/>
      <c r="F128" s="10"/>
      <c r="G128" s="10"/>
      <c r="H128" s="10"/>
      <c r="I128" s="10"/>
      <c r="J128" s="10"/>
      <c r="K128" s="10"/>
      <c r="L128" s="10"/>
      <c r="M128" s="10"/>
      <c r="N128" s="10"/>
      <c r="O128" s="10"/>
      <c r="P128" s="4"/>
      <c r="Q128" s="1204"/>
      <c r="R128" s="101" t="str">
        <f t="shared" si="28"/>
        <v/>
      </c>
      <c r="S128" s="137">
        <f t="shared" si="30"/>
        <v>36</v>
      </c>
      <c r="T128" s="2129">
        <v>0.17</v>
      </c>
      <c r="U128" s="2130">
        <v>0.28000000000000003</v>
      </c>
      <c r="V128" s="2130">
        <v>0.38</v>
      </c>
      <c r="W128" s="2130">
        <v>0.48</v>
      </c>
      <c r="X128" s="2130">
        <v>0.61</v>
      </c>
      <c r="Y128" s="2130">
        <v>0.73</v>
      </c>
      <c r="Z128" s="2130">
        <v>0.79</v>
      </c>
      <c r="AA128" s="2130"/>
      <c r="AB128" s="2130"/>
      <c r="AC128" s="2130"/>
      <c r="AD128" s="101"/>
      <c r="AE128" s="6"/>
      <c r="AF128" s="11"/>
      <c r="AG128" s="41">
        <f t="shared" si="33"/>
        <v>0</v>
      </c>
      <c r="AH128" s="41">
        <f>IF(ISERROR(HLOOKUP(AH$91,'Improved Sales Adjustments 2'!$G$7:$WU$147,68,FALSE)),0,IF(HLOOKUP(AH$91,'Improved Sales Adjustments 2'!$G$7:$WU$147,68,FALSE)="",0,IF($S128=HLOOKUP(AH$91,'Improved Sales Adjustments 2'!$G$7:$WU$147,68,FALSE),1,0)))</f>
        <v>0</v>
      </c>
      <c r="AI128" s="41">
        <f>IF(ISERROR(HLOOKUP(AI$91,'Improved Sales Adjustments 2'!$G$7:$WU$147,68,FALSE)),0,IF(HLOOKUP(AI$91,'Improved Sales Adjustments 2'!$G$7:$WU$147,68,FALSE)="",0,IF($S128=HLOOKUP(AI$91,'Improved Sales Adjustments 2'!$G$7:$WU$147,68,FALSE),1,0)))</f>
        <v>0</v>
      </c>
      <c r="AJ128" s="41">
        <f>IF(ISERROR(HLOOKUP(AJ$91,'Improved Sales Adjustments 2'!$G$7:$WU$147,68,FALSE)),0,IF(HLOOKUP(AJ$91,'Improved Sales Adjustments 2'!$G$7:$WU$147,68,FALSE)="",0,IF($S128=HLOOKUP(AJ$91,'Improved Sales Adjustments 2'!$G$7:$WU$147,68,FALSE),1,0)))</f>
        <v>0</v>
      </c>
      <c r="AK128" s="41">
        <f>IF(ISERROR(HLOOKUP(AK$91,'Improved Sales Adjustments 2'!$G$7:$WU$147,68,FALSE)),0,IF(HLOOKUP(AK$91,'Improved Sales Adjustments 2'!$G$7:$WU$147,68,FALSE)="",0,IF($S128=HLOOKUP(AK$91,'Improved Sales Adjustments 2'!$G$7:$WU$147,68,FALSE),1,0)))</f>
        <v>0</v>
      </c>
      <c r="AL128" s="41">
        <f>IF(ISERROR(HLOOKUP(AL$91,'Improved Sales Adjustments 2'!$G$7:$WU$147,68,FALSE)),0,IF(HLOOKUP(AL$91,'Improved Sales Adjustments 2'!$G$7:$WU$147,68,FALSE)="",0,IF($S128=HLOOKUP(AL$91,'Improved Sales Adjustments 2'!$G$7:$WU$147,68,FALSE),1,0)))</f>
        <v>0</v>
      </c>
      <c r="AM128" s="41">
        <f>IF(ISERROR(HLOOKUP(AM$91,'Improved Sales Adjustments 2'!$G$7:$WU$147,68,FALSE)),0,IF(HLOOKUP(AM$91,'Improved Sales Adjustments 2'!$G$7:$WU$147,68,FALSE)="",0,IF($S128=HLOOKUP(AM$91,'Improved Sales Adjustments 2'!$G$7:$WU$147,68,FALSE),1,0)))</f>
        <v>0</v>
      </c>
      <c r="AN128" s="41">
        <f>IF(ISERROR(HLOOKUP(AN$91,'Improved Sales Adjustments 2'!$G$7:$WU$147,68,FALSE)),0,IF(HLOOKUP(AN$91,'Improved Sales Adjustments 2'!$G$7:$WU$147,68,FALSE)="",0,IF($S128=HLOOKUP(AN$91,'Improved Sales Adjustments 2'!$G$7:$WU$147,68,FALSE),1,0)))</f>
        <v>0</v>
      </c>
      <c r="AO128" s="41">
        <f>IF(ISERROR(HLOOKUP(AO$91,'Improved Sales Adjustments 2'!$G$7:$WU$147,68,FALSE)),0,IF(HLOOKUP(AO$91,'Improved Sales Adjustments 2'!$G$7:$WU$147,68,FALSE)="",0,IF($S128=HLOOKUP(AO$91,'Improved Sales Adjustments 2'!$G$7:$WU$147,68,FALSE),1,0)))</f>
        <v>0</v>
      </c>
      <c r="AP128" s="41">
        <f>IF(ISERROR(HLOOKUP(AP$91,'Improved Sales Adjustments 2'!$G$7:$WU$147,68,FALSE)),0,IF(HLOOKUP(AP$91,'Improved Sales Adjustments 2'!$G$7:$WU$147,68,FALSE)="",0,IF($S128=HLOOKUP(AP$91,'Improved Sales Adjustments 2'!$G$7:$WU$147,68,FALSE),1,0)))</f>
        <v>0</v>
      </c>
      <c r="AQ128" s="41">
        <f>IF(ISERROR(HLOOKUP(AQ$91,'Improved Sales Adjustments 2'!$G$7:$WU$147,68,FALSE)),0,IF(HLOOKUP(AQ$91,'Improved Sales Adjustments 2'!$G$7:$WU$147,68,FALSE)="",0,IF($S128=HLOOKUP(AQ$91,'Improved Sales Adjustments 2'!$G$7:$WU$147,68,FALSE),1,0)))</f>
        <v>0</v>
      </c>
      <c r="AR128" s="41">
        <f>SUM($AG128:AG128)</f>
        <v>0</v>
      </c>
      <c r="AS128" s="41">
        <f>SUM($AG128:AH128)</f>
        <v>0</v>
      </c>
      <c r="AT128" s="41">
        <f>SUM($AG128:AI128)</f>
        <v>0</v>
      </c>
      <c r="AU128" s="41">
        <f>SUM($AG128:AJ128)</f>
        <v>0</v>
      </c>
      <c r="AV128" s="41">
        <f>SUM($AG128:AK128)</f>
        <v>0</v>
      </c>
      <c r="AW128" s="41">
        <f>SUM($AG128:AL128)</f>
        <v>0</v>
      </c>
      <c r="AX128" s="41">
        <f>SUM($AG128:AM128)</f>
        <v>0</v>
      </c>
      <c r="AY128" s="41">
        <f>SUM($AG128:AN128)</f>
        <v>0</v>
      </c>
      <c r="AZ128" s="41">
        <f>SUM($AG128:AO128)</f>
        <v>0</v>
      </c>
      <c r="BA128" s="41">
        <f>SUM($AG128:AP128)</f>
        <v>0</v>
      </c>
      <c r="BB128" s="41">
        <f>SUM($AG128:AQ128)</f>
        <v>0</v>
      </c>
      <c r="BC128" s="41" t="str">
        <f t="shared" si="29"/>
        <v/>
      </c>
      <c r="BD128" s="41" t="str">
        <f t="shared" si="29"/>
        <v/>
      </c>
      <c r="BE128" s="41" t="str">
        <f t="shared" si="29"/>
        <v/>
      </c>
      <c r="BF128" s="41" t="str">
        <f t="shared" si="29"/>
        <v/>
      </c>
      <c r="BG128" s="41" t="str">
        <f t="shared" si="29"/>
        <v/>
      </c>
      <c r="BH128" s="41" t="str">
        <f t="shared" si="29"/>
        <v/>
      </c>
      <c r="BI128" s="41" t="str">
        <f t="shared" si="29"/>
        <v/>
      </c>
      <c r="BJ128" s="41" t="str">
        <f t="shared" si="29"/>
        <v/>
      </c>
      <c r="BK128" s="41" t="str">
        <f t="shared" si="29"/>
        <v/>
      </c>
      <c r="BL128" s="41" t="str">
        <f t="shared" si="29"/>
        <v/>
      </c>
      <c r="BM128" s="41" t="str">
        <f t="shared" si="29"/>
        <v/>
      </c>
    </row>
    <row r="129" spans="1:65" ht="15" customHeight="1" x14ac:dyDescent="0.25">
      <c r="A129" s="957">
        <f t="shared" si="32"/>
        <v>0</v>
      </c>
      <c r="B129" s="10"/>
      <c r="C129" s="10"/>
      <c r="D129" s="13"/>
      <c r="E129" s="10"/>
      <c r="F129" s="10"/>
      <c r="G129" s="10"/>
      <c r="H129" s="10"/>
      <c r="I129" s="10"/>
      <c r="J129" s="10"/>
      <c r="K129" s="10"/>
      <c r="L129" s="10"/>
      <c r="M129" s="10"/>
      <c r="N129" s="10"/>
      <c r="O129" s="10"/>
      <c r="P129" s="4"/>
      <c r="Q129" s="1204"/>
      <c r="R129" s="101" t="str">
        <f t="shared" si="28"/>
        <v/>
      </c>
      <c r="S129" s="137">
        <f t="shared" si="30"/>
        <v>37</v>
      </c>
      <c r="T129" s="2129">
        <v>0.18</v>
      </c>
      <c r="U129" s="2130">
        <f t="shared" ref="U129:Z129" si="36">(U130+U128)/2</f>
        <v>0.30000000000000004</v>
      </c>
      <c r="V129" s="2130">
        <f t="shared" si="36"/>
        <v>0.4</v>
      </c>
      <c r="W129" s="2130">
        <f t="shared" si="36"/>
        <v>0.505</v>
      </c>
      <c r="X129" s="2130">
        <f t="shared" si="36"/>
        <v>0.64</v>
      </c>
      <c r="Y129" s="2130">
        <f t="shared" si="36"/>
        <v>0.75</v>
      </c>
      <c r="Z129" s="2130">
        <f t="shared" si="36"/>
        <v>0.79500000000000004</v>
      </c>
      <c r="AA129" s="2130"/>
      <c r="AB129" s="2130"/>
      <c r="AC129" s="2130"/>
      <c r="AD129" s="101"/>
      <c r="AE129" s="6"/>
      <c r="AF129" s="11"/>
      <c r="AG129" s="41">
        <f t="shared" si="33"/>
        <v>0</v>
      </c>
      <c r="AH129" s="41">
        <f>IF(ISERROR(HLOOKUP(AH$91,'Improved Sales Adjustments 2'!$G$7:$WU$147,68,FALSE)),0,IF(HLOOKUP(AH$91,'Improved Sales Adjustments 2'!$G$7:$WU$147,68,FALSE)="",0,IF($S129=HLOOKUP(AH$91,'Improved Sales Adjustments 2'!$G$7:$WU$147,68,FALSE),1,0)))</f>
        <v>0</v>
      </c>
      <c r="AI129" s="41">
        <f>IF(ISERROR(HLOOKUP(AI$91,'Improved Sales Adjustments 2'!$G$7:$WU$147,68,FALSE)),0,IF(HLOOKUP(AI$91,'Improved Sales Adjustments 2'!$G$7:$WU$147,68,FALSE)="",0,IF($S129=HLOOKUP(AI$91,'Improved Sales Adjustments 2'!$G$7:$WU$147,68,FALSE),1,0)))</f>
        <v>0</v>
      </c>
      <c r="AJ129" s="41">
        <f>IF(ISERROR(HLOOKUP(AJ$91,'Improved Sales Adjustments 2'!$G$7:$WU$147,68,FALSE)),0,IF(HLOOKUP(AJ$91,'Improved Sales Adjustments 2'!$G$7:$WU$147,68,FALSE)="",0,IF($S129=HLOOKUP(AJ$91,'Improved Sales Adjustments 2'!$G$7:$WU$147,68,FALSE),1,0)))</f>
        <v>0</v>
      </c>
      <c r="AK129" s="41">
        <f>IF(ISERROR(HLOOKUP(AK$91,'Improved Sales Adjustments 2'!$G$7:$WU$147,68,FALSE)),0,IF(HLOOKUP(AK$91,'Improved Sales Adjustments 2'!$G$7:$WU$147,68,FALSE)="",0,IF($S129=HLOOKUP(AK$91,'Improved Sales Adjustments 2'!$G$7:$WU$147,68,FALSE),1,0)))</f>
        <v>0</v>
      </c>
      <c r="AL129" s="41">
        <f>IF(ISERROR(HLOOKUP(AL$91,'Improved Sales Adjustments 2'!$G$7:$WU$147,68,FALSE)),0,IF(HLOOKUP(AL$91,'Improved Sales Adjustments 2'!$G$7:$WU$147,68,FALSE)="",0,IF($S129=HLOOKUP(AL$91,'Improved Sales Adjustments 2'!$G$7:$WU$147,68,FALSE),1,0)))</f>
        <v>0</v>
      </c>
      <c r="AM129" s="41">
        <f>IF(ISERROR(HLOOKUP(AM$91,'Improved Sales Adjustments 2'!$G$7:$WU$147,68,FALSE)),0,IF(HLOOKUP(AM$91,'Improved Sales Adjustments 2'!$G$7:$WU$147,68,FALSE)="",0,IF($S129=HLOOKUP(AM$91,'Improved Sales Adjustments 2'!$G$7:$WU$147,68,FALSE),1,0)))</f>
        <v>0</v>
      </c>
      <c r="AN129" s="41">
        <f>IF(ISERROR(HLOOKUP(AN$91,'Improved Sales Adjustments 2'!$G$7:$WU$147,68,FALSE)),0,IF(HLOOKUP(AN$91,'Improved Sales Adjustments 2'!$G$7:$WU$147,68,FALSE)="",0,IF($S129=HLOOKUP(AN$91,'Improved Sales Adjustments 2'!$G$7:$WU$147,68,FALSE),1,0)))</f>
        <v>0</v>
      </c>
      <c r="AO129" s="41">
        <f>IF(ISERROR(HLOOKUP(AO$91,'Improved Sales Adjustments 2'!$G$7:$WU$147,68,FALSE)),0,IF(HLOOKUP(AO$91,'Improved Sales Adjustments 2'!$G$7:$WU$147,68,FALSE)="",0,IF($S129=HLOOKUP(AO$91,'Improved Sales Adjustments 2'!$G$7:$WU$147,68,FALSE),1,0)))</f>
        <v>0</v>
      </c>
      <c r="AP129" s="41">
        <f>IF(ISERROR(HLOOKUP(AP$91,'Improved Sales Adjustments 2'!$G$7:$WU$147,68,FALSE)),0,IF(HLOOKUP(AP$91,'Improved Sales Adjustments 2'!$G$7:$WU$147,68,FALSE)="",0,IF($S129=HLOOKUP(AP$91,'Improved Sales Adjustments 2'!$G$7:$WU$147,68,FALSE),1,0)))</f>
        <v>0</v>
      </c>
      <c r="AQ129" s="41">
        <f>IF(ISERROR(HLOOKUP(AQ$91,'Improved Sales Adjustments 2'!$G$7:$WU$147,68,FALSE)),0,IF(HLOOKUP(AQ$91,'Improved Sales Adjustments 2'!$G$7:$WU$147,68,FALSE)="",0,IF($S129=HLOOKUP(AQ$91,'Improved Sales Adjustments 2'!$G$7:$WU$147,68,FALSE),1,0)))</f>
        <v>0</v>
      </c>
      <c r="AR129" s="41">
        <f>SUM($AG129:AG129)</f>
        <v>0</v>
      </c>
      <c r="AS129" s="41">
        <f>SUM($AG129:AH129)</f>
        <v>0</v>
      </c>
      <c r="AT129" s="41">
        <f>SUM($AG129:AI129)</f>
        <v>0</v>
      </c>
      <c r="AU129" s="41">
        <f>SUM($AG129:AJ129)</f>
        <v>0</v>
      </c>
      <c r="AV129" s="41">
        <f>SUM($AG129:AK129)</f>
        <v>0</v>
      </c>
      <c r="AW129" s="41">
        <f>SUM($AG129:AL129)</f>
        <v>0</v>
      </c>
      <c r="AX129" s="41">
        <f>SUM($AG129:AM129)</f>
        <v>0</v>
      </c>
      <c r="AY129" s="41">
        <f>SUM($AG129:AN129)</f>
        <v>0</v>
      </c>
      <c r="AZ129" s="41">
        <f>SUM($AG129:AO129)</f>
        <v>0</v>
      </c>
      <c r="BA129" s="41">
        <f>SUM($AG129:AP129)</f>
        <v>0</v>
      </c>
      <c r="BB129" s="41">
        <f>SUM($AG129:AQ129)</f>
        <v>0</v>
      </c>
      <c r="BC129" s="41" t="str">
        <f t="shared" si="29"/>
        <v/>
      </c>
      <c r="BD129" s="41" t="str">
        <f t="shared" si="29"/>
        <v/>
      </c>
      <c r="BE129" s="41" t="str">
        <f t="shared" si="29"/>
        <v/>
      </c>
      <c r="BF129" s="41" t="str">
        <f t="shared" si="29"/>
        <v/>
      </c>
      <c r="BG129" s="41" t="str">
        <f t="shared" si="29"/>
        <v/>
      </c>
      <c r="BH129" s="41" t="str">
        <f t="shared" si="29"/>
        <v/>
      </c>
      <c r="BI129" s="41" t="str">
        <f t="shared" si="29"/>
        <v/>
      </c>
      <c r="BJ129" s="41" t="str">
        <f t="shared" si="29"/>
        <v/>
      </c>
      <c r="BK129" s="41" t="str">
        <f t="shared" si="29"/>
        <v/>
      </c>
      <c r="BL129" s="41" t="str">
        <f t="shared" ref="BL129:BM172" si="37">IF(AP129=1,IF(AND(BA129=$BB129,$BB129&gt;1),IF($BB129&lt;3,CONCATENATE(" and ",BL$90),CONCATENATE("and ",BL$90)),IF($BB129&lt;3,BL$90,CONCATENATE(BL$90,", "))),"")</f>
        <v/>
      </c>
      <c r="BM129" s="41" t="str">
        <f t="shared" si="37"/>
        <v/>
      </c>
    </row>
    <row r="130" spans="1:65" ht="15" customHeight="1" x14ac:dyDescent="0.25">
      <c r="A130" s="957">
        <f t="shared" si="32"/>
        <v>0</v>
      </c>
      <c r="B130" s="10"/>
      <c r="C130" s="10"/>
      <c r="D130" s="13"/>
      <c r="E130" s="10"/>
      <c r="F130" s="10"/>
      <c r="G130" s="10"/>
      <c r="H130" s="10"/>
      <c r="I130" s="10"/>
      <c r="J130" s="10"/>
      <c r="K130" s="10"/>
      <c r="L130" s="10"/>
      <c r="M130" s="10"/>
      <c r="N130" s="10"/>
      <c r="O130" s="10"/>
      <c r="P130" s="4"/>
      <c r="Q130" s="1204"/>
      <c r="R130" s="101" t="str">
        <f t="shared" si="28"/>
        <v/>
      </c>
      <c r="S130" s="137">
        <f t="shared" si="30"/>
        <v>38</v>
      </c>
      <c r="T130" s="2129">
        <v>0.19</v>
      </c>
      <c r="U130" s="2130">
        <v>0.32</v>
      </c>
      <c r="V130" s="2130">
        <v>0.42</v>
      </c>
      <c r="W130" s="2130">
        <v>0.53</v>
      </c>
      <c r="X130" s="2130">
        <v>0.67</v>
      </c>
      <c r="Y130" s="2130">
        <v>0.77</v>
      </c>
      <c r="Z130" s="2130">
        <v>0.8</v>
      </c>
      <c r="AA130" s="2130"/>
      <c r="AB130" s="2130"/>
      <c r="AC130" s="2130"/>
      <c r="AD130" s="101"/>
      <c r="AE130" s="6"/>
      <c r="AF130" s="11"/>
      <c r="AG130" s="41">
        <f t="shared" si="33"/>
        <v>0</v>
      </c>
      <c r="AH130" s="41">
        <f>IF(ISERROR(HLOOKUP(AH$91,'Improved Sales Adjustments 2'!$G$7:$WU$147,68,FALSE)),0,IF(HLOOKUP(AH$91,'Improved Sales Adjustments 2'!$G$7:$WU$147,68,FALSE)="",0,IF($S130=HLOOKUP(AH$91,'Improved Sales Adjustments 2'!$G$7:$WU$147,68,FALSE),1,0)))</f>
        <v>0</v>
      </c>
      <c r="AI130" s="41">
        <f>IF(ISERROR(HLOOKUP(AI$91,'Improved Sales Adjustments 2'!$G$7:$WU$147,68,FALSE)),0,IF(HLOOKUP(AI$91,'Improved Sales Adjustments 2'!$G$7:$WU$147,68,FALSE)="",0,IF($S130=HLOOKUP(AI$91,'Improved Sales Adjustments 2'!$G$7:$WU$147,68,FALSE),1,0)))</f>
        <v>0</v>
      </c>
      <c r="AJ130" s="41">
        <f>IF(ISERROR(HLOOKUP(AJ$91,'Improved Sales Adjustments 2'!$G$7:$WU$147,68,FALSE)),0,IF(HLOOKUP(AJ$91,'Improved Sales Adjustments 2'!$G$7:$WU$147,68,FALSE)="",0,IF($S130=HLOOKUP(AJ$91,'Improved Sales Adjustments 2'!$G$7:$WU$147,68,FALSE),1,0)))</f>
        <v>0</v>
      </c>
      <c r="AK130" s="41">
        <f>IF(ISERROR(HLOOKUP(AK$91,'Improved Sales Adjustments 2'!$G$7:$WU$147,68,FALSE)),0,IF(HLOOKUP(AK$91,'Improved Sales Adjustments 2'!$G$7:$WU$147,68,FALSE)="",0,IF($S130=HLOOKUP(AK$91,'Improved Sales Adjustments 2'!$G$7:$WU$147,68,FALSE),1,0)))</f>
        <v>0</v>
      </c>
      <c r="AL130" s="41">
        <f>IF(ISERROR(HLOOKUP(AL$91,'Improved Sales Adjustments 2'!$G$7:$WU$147,68,FALSE)),0,IF(HLOOKUP(AL$91,'Improved Sales Adjustments 2'!$G$7:$WU$147,68,FALSE)="",0,IF($S130=HLOOKUP(AL$91,'Improved Sales Adjustments 2'!$G$7:$WU$147,68,FALSE),1,0)))</f>
        <v>0</v>
      </c>
      <c r="AM130" s="41">
        <f>IF(ISERROR(HLOOKUP(AM$91,'Improved Sales Adjustments 2'!$G$7:$WU$147,68,FALSE)),0,IF(HLOOKUP(AM$91,'Improved Sales Adjustments 2'!$G$7:$WU$147,68,FALSE)="",0,IF($S130=HLOOKUP(AM$91,'Improved Sales Adjustments 2'!$G$7:$WU$147,68,FALSE),1,0)))</f>
        <v>0</v>
      </c>
      <c r="AN130" s="41">
        <f>IF(ISERROR(HLOOKUP(AN$91,'Improved Sales Adjustments 2'!$G$7:$WU$147,68,FALSE)),0,IF(HLOOKUP(AN$91,'Improved Sales Adjustments 2'!$G$7:$WU$147,68,FALSE)="",0,IF($S130=HLOOKUP(AN$91,'Improved Sales Adjustments 2'!$G$7:$WU$147,68,FALSE),1,0)))</f>
        <v>0</v>
      </c>
      <c r="AO130" s="41">
        <f>IF(ISERROR(HLOOKUP(AO$91,'Improved Sales Adjustments 2'!$G$7:$WU$147,68,FALSE)),0,IF(HLOOKUP(AO$91,'Improved Sales Adjustments 2'!$G$7:$WU$147,68,FALSE)="",0,IF($S130=HLOOKUP(AO$91,'Improved Sales Adjustments 2'!$G$7:$WU$147,68,FALSE),1,0)))</f>
        <v>0</v>
      </c>
      <c r="AP130" s="41">
        <f>IF(ISERROR(HLOOKUP(AP$91,'Improved Sales Adjustments 2'!$G$7:$WU$147,68,FALSE)),0,IF(HLOOKUP(AP$91,'Improved Sales Adjustments 2'!$G$7:$WU$147,68,FALSE)="",0,IF($S130=HLOOKUP(AP$91,'Improved Sales Adjustments 2'!$G$7:$WU$147,68,FALSE),1,0)))</f>
        <v>0</v>
      </c>
      <c r="AQ130" s="41">
        <f>IF(ISERROR(HLOOKUP(AQ$91,'Improved Sales Adjustments 2'!$G$7:$WU$147,68,FALSE)),0,IF(HLOOKUP(AQ$91,'Improved Sales Adjustments 2'!$G$7:$WU$147,68,FALSE)="",0,IF($S130=HLOOKUP(AQ$91,'Improved Sales Adjustments 2'!$G$7:$WU$147,68,FALSE),1,0)))</f>
        <v>0</v>
      </c>
      <c r="AR130" s="41">
        <f>SUM($AG130:AG130)</f>
        <v>0</v>
      </c>
      <c r="AS130" s="41">
        <f>SUM($AG130:AH130)</f>
        <v>0</v>
      </c>
      <c r="AT130" s="41">
        <f>SUM($AG130:AI130)</f>
        <v>0</v>
      </c>
      <c r="AU130" s="41">
        <f>SUM($AG130:AJ130)</f>
        <v>0</v>
      </c>
      <c r="AV130" s="41">
        <f>SUM($AG130:AK130)</f>
        <v>0</v>
      </c>
      <c r="AW130" s="41">
        <f>SUM($AG130:AL130)</f>
        <v>0</v>
      </c>
      <c r="AX130" s="41">
        <f>SUM($AG130:AM130)</f>
        <v>0</v>
      </c>
      <c r="AY130" s="41">
        <f>SUM($AG130:AN130)</f>
        <v>0</v>
      </c>
      <c r="AZ130" s="41">
        <f>SUM($AG130:AO130)</f>
        <v>0</v>
      </c>
      <c r="BA130" s="41">
        <f>SUM($AG130:AP130)</f>
        <v>0</v>
      </c>
      <c r="BB130" s="41">
        <f>SUM($AG130:AQ130)</f>
        <v>0</v>
      </c>
      <c r="BC130" s="41" t="str">
        <f t="shared" ref="BC130:BK158" si="38">IF(AG130=1,IF(AND(AR130=$BB130,$BB130&gt;1),IF($BB130&lt;3,CONCATENATE(" and ",BC$90),CONCATENATE("and ",BC$90)),IF($BB130&lt;3,BC$90,CONCATENATE(BC$90,", "))),"")</f>
        <v/>
      </c>
      <c r="BD130" s="41" t="str">
        <f t="shared" si="38"/>
        <v/>
      </c>
      <c r="BE130" s="41" t="str">
        <f t="shared" si="38"/>
        <v/>
      </c>
      <c r="BF130" s="41" t="str">
        <f t="shared" si="38"/>
        <v/>
      </c>
      <c r="BG130" s="41" t="str">
        <f t="shared" si="38"/>
        <v/>
      </c>
      <c r="BH130" s="41" t="str">
        <f t="shared" si="38"/>
        <v/>
      </c>
      <c r="BI130" s="41" t="str">
        <f t="shared" si="38"/>
        <v/>
      </c>
      <c r="BJ130" s="41" t="str">
        <f t="shared" si="38"/>
        <v/>
      </c>
      <c r="BK130" s="41" t="str">
        <f t="shared" si="38"/>
        <v/>
      </c>
      <c r="BL130" s="41" t="str">
        <f t="shared" si="37"/>
        <v/>
      </c>
      <c r="BM130" s="41" t="str">
        <f t="shared" si="37"/>
        <v/>
      </c>
    </row>
    <row r="131" spans="1:65" ht="15" customHeight="1" x14ac:dyDescent="0.25">
      <c r="A131" s="957">
        <f t="shared" si="32"/>
        <v>0</v>
      </c>
      <c r="B131" s="10"/>
      <c r="C131" s="10"/>
      <c r="D131" s="13"/>
      <c r="E131" s="10"/>
      <c r="F131" s="10"/>
      <c r="G131" s="10"/>
      <c r="H131" s="10"/>
      <c r="I131" s="10"/>
      <c r="J131" s="10"/>
      <c r="K131" s="10"/>
      <c r="L131" s="10"/>
      <c r="M131" s="10"/>
      <c r="N131" s="10"/>
      <c r="O131" s="10"/>
      <c r="P131" s="4"/>
      <c r="Q131" s="1204"/>
      <c r="R131" s="101" t="str">
        <f t="shared" si="28"/>
        <v/>
      </c>
      <c r="S131" s="137">
        <f t="shared" si="30"/>
        <v>39</v>
      </c>
      <c r="T131" s="2129">
        <v>0.2</v>
      </c>
      <c r="U131" s="2130">
        <f>(U132+U130)/2</f>
        <v>0.33499999999999996</v>
      </c>
      <c r="V131" s="2130">
        <f>(V132+V130)/2</f>
        <v>0.44</v>
      </c>
      <c r="W131" s="2130">
        <f>(W132+W130)/2</f>
        <v>0.56000000000000005</v>
      </c>
      <c r="X131" s="2130">
        <f>(X132+X130)/2</f>
        <v>0.69500000000000006</v>
      </c>
      <c r="Y131" s="2130">
        <f>(Y132+Y130)/2</f>
        <v>0.78</v>
      </c>
      <c r="Z131" s="2130"/>
      <c r="AA131" s="2130"/>
      <c r="AB131" s="2130"/>
      <c r="AC131" s="2130"/>
      <c r="AD131" s="101"/>
      <c r="AE131" s="6"/>
      <c r="AF131" s="11"/>
      <c r="AG131" s="41">
        <f t="shared" si="33"/>
        <v>0</v>
      </c>
      <c r="AH131" s="41">
        <f>IF(ISERROR(HLOOKUP(AH$91,'Improved Sales Adjustments 2'!$G$7:$WU$147,68,FALSE)),0,IF(HLOOKUP(AH$91,'Improved Sales Adjustments 2'!$G$7:$WU$147,68,FALSE)="",0,IF($S131=HLOOKUP(AH$91,'Improved Sales Adjustments 2'!$G$7:$WU$147,68,FALSE),1,0)))</f>
        <v>0</v>
      </c>
      <c r="AI131" s="41">
        <f>IF(ISERROR(HLOOKUP(AI$91,'Improved Sales Adjustments 2'!$G$7:$WU$147,68,FALSE)),0,IF(HLOOKUP(AI$91,'Improved Sales Adjustments 2'!$G$7:$WU$147,68,FALSE)="",0,IF($S131=HLOOKUP(AI$91,'Improved Sales Adjustments 2'!$G$7:$WU$147,68,FALSE),1,0)))</f>
        <v>0</v>
      </c>
      <c r="AJ131" s="41">
        <f>IF(ISERROR(HLOOKUP(AJ$91,'Improved Sales Adjustments 2'!$G$7:$WU$147,68,FALSE)),0,IF(HLOOKUP(AJ$91,'Improved Sales Adjustments 2'!$G$7:$WU$147,68,FALSE)="",0,IF($S131=HLOOKUP(AJ$91,'Improved Sales Adjustments 2'!$G$7:$WU$147,68,FALSE),1,0)))</f>
        <v>0</v>
      </c>
      <c r="AK131" s="41">
        <f>IF(ISERROR(HLOOKUP(AK$91,'Improved Sales Adjustments 2'!$G$7:$WU$147,68,FALSE)),0,IF(HLOOKUP(AK$91,'Improved Sales Adjustments 2'!$G$7:$WU$147,68,FALSE)="",0,IF($S131=HLOOKUP(AK$91,'Improved Sales Adjustments 2'!$G$7:$WU$147,68,FALSE),1,0)))</f>
        <v>0</v>
      </c>
      <c r="AL131" s="41">
        <f>IF(ISERROR(HLOOKUP(AL$91,'Improved Sales Adjustments 2'!$G$7:$WU$147,68,FALSE)),0,IF(HLOOKUP(AL$91,'Improved Sales Adjustments 2'!$G$7:$WU$147,68,FALSE)="",0,IF($S131=HLOOKUP(AL$91,'Improved Sales Adjustments 2'!$G$7:$WU$147,68,FALSE),1,0)))</f>
        <v>0</v>
      </c>
      <c r="AM131" s="41">
        <f>IF(ISERROR(HLOOKUP(AM$91,'Improved Sales Adjustments 2'!$G$7:$WU$147,68,FALSE)),0,IF(HLOOKUP(AM$91,'Improved Sales Adjustments 2'!$G$7:$WU$147,68,FALSE)="",0,IF($S131=HLOOKUP(AM$91,'Improved Sales Adjustments 2'!$G$7:$WU$147,68,FALSE),1,0)))</f>
        <v>0</v>
      </c>
      <c r="AN131" s="41">
        <f>IF(ISERROR(HLOOKUP(AN$91,'Improved Sales Adjustments 2'!$G$7:$WU$147,68,FALSE)),0,IF(HLOOKUP(AN$91,'Improved Sales Adjustments 2'!$G$7:$WU$147,68,FALSE)="",0,IF($S131=HLOOKUP(AN$91,'Improved Sales Adjustments 2'!$G$7:$WU$147,68,FALSE),1,0)))</f>
        <v>0</v>
      </c>
      <c r="AO131" s="41">
        <f>IF(ISERROR(HLOOKUP(AO$91,'Improved Sales Adjustments 2'!$G$7:$WU$147,68,FALSE)),0,IF(HLOOKUP(AO$91,'Improved Sales Adjustments 2'!$G$7:$WU$147,68,FALSE)="",0,IF($S131=HLOOKUP(AO$91,'Improved Sales Adjustments 2'!$G$7:$WU$147,68,FALSE),1,0)))</f>
        <v>0</v>
      </c>
      <c r="AP131" s="41">
        <f>IF(ISERROR(HLOOKUP(AP$91,'Improved Sales Adjustments 2'!$G$7:$WU$147,68,FALSE)),0,IF(HLOOKUP(AP$91,'Improved Sales Adjustments 2'!$G$7:$WU$147,68,FALSE)="",0,IF($S131=HLOOKUP(AP$91,'Improved Sales Adjustments 2'!$G$7:$WU$147,68,FALSE),1,0)))</f>
        <v>0</v>
      </c>
      <c r="AQ131" s="41">
        <f>IF(ISERROR(HLOOKUP(AQ$91,'Improved Sales Adjustments 2'!$G$7:$WU$147,68,FALSE)),0,IF(HLOOKUP(AQ$91,'Improved Sales Adjustments 2'!$G$7:$WU$147,68,FALSE)="",0,IF($S131=HLOOKUP(AQ$91,'Improved Sales Adjustments 2'!$G$7:$WU$147,68,FALSE),1,0)))</f>
        <v>0</v>
      </c>
      <c r="AR131" s="41">
        <f>SUM($AG131:AG131)</f>
        <v>0</v>
      </c>
      <c r="AS131" s="41">
        <f>SUM($AG131:AH131)</f>
        <v>0</v>
      </c>
      <c r="AT131" s="41">
        <f>SUM($AG131:AI131)</f>
        <v>0</v>
      </c>
      <c r="AU131" s="41">
        <f>SUM($AG131:AJ131)</f>
        <v>0</v>
      </c>
      <c r="AV131" s="41">
        <f>SUM($AG131:AK131)</f>
        <v>0</v>
      </c>
      <c r="AW131" s="41">
        <f>SUM($AG131:AL131)</f>
        <v>0</v>
      </c>
      <c r="AX131" s="41">
        <f>SUM($AG131:AM131)</f>
        <v>0</v>
      </c>
      <c r="AY131" s="41">
        <f>SUM($AG131:AN131)</f>
        <v>0</v>
      </c>
      <c r="AZ131" s="41">
        <f>SUM($AG131:AO131)</f>
        <v>0</v>
      </c>
      <c r="BA131" s="41">
        <f>SUM($AG131:AP131)</f>
        <v>0</v>
      </c>
      <c r="BB131" s="41">
        <f>SUM($AG131:AQ131)</f>
        <v>0</v>
      </c>
      <c r="BC131" s="41" t="str">
        <f t="shared" si="38"/>
        <v/>
      </c>
      <c r="BD131" s="41" t="str">
        <f t="shared" si="38"/>
        <v/>
      </c>
      <c r="BE131" s="41" t="str">
        <f t="shared" si="38"/>
        <v/>
      </c>
      <c r="BF131" s="41" t="str">
        <f t="shared" si="38"/>
        <v/>
      </c>
      <c r="BG131" s="41" t="str">
        <f t="shared" si="38"/>
        <v/>
      </c>
      <c r="BH131" s="41" t="str">
        <f t="shared" si="38"/>
        <v/>
      </c>
      <c r="BI131" s="41" t="str">
        <f t="shared" si="38"/>
        <v/>
      </c>
      <c r="BJ131" s="41" t="str">
        <f t="shared" si="38"/>
        <v/>
      </c>
      <c r="BK131" s="41" t="str">
        <f t="shared" si="38"/>
        <v/>
      </c>
      <c r="BL131" s="41" t="str">
        <f t="shared" si="37"/>
        <v/>
      </c>
      <c r="BM131" s="41" t="str">
        <f t="shared" si="37"/>
        <v/>
      </c>
    </row>
    <row r="132" spans="1:65" ht="15" customHeight="1" x14ac:dyDescent="0.25">
      <c r="A132" s="957">
        <f t="shared" si="32"/>
        <v>0</v>
      </c>
      <c r="B132" s="10"/>
      <c r="C132" s="10"/>
      <c r="D132" s="13"/>
      <c r="E132" s="10"/>
      <c r="F132" s="10"/>
      <c r="G132" s="10"/>
      <c r="H132" s="10"/>
      <c r="I132" s="10"/>
      <c r="J132" s="10"/>
      <c r="K132" s="10"/>
      <c r="L132" s="10"/>
      <c r="M132" s="10"/>
      <c r="N132" s="10"/>
      <c r="O132" s="10"/>
      <c r="P132" s="4"/>
      <c r="Q132" s="1204"/>
      <c r="R132" s="101" t="str">
        <f t="shared" si="28"/>
        <v/>
      </c>
      <c r="S132" s="137">
        <f t="shared" si="30"/>
        <v>40</v>
      </c>
      <c r="T132" s="2129">
        <v>0.21</v>
      </c>
      <c r="U132" s="2130">
        <v>0.35</v>
      </c>
      <c r="V132" s="2130">
        <v>0.46</v>
      </c>
      <c r="W132" s="2130">
        <v>0.59</v>
      </c>
      <c r="X132" s="2130">
        <v>0.72</v>
      </c>
      <c r="Y132" s="2130">
        <v>0.79</v>
      </c>
      <c r="Z132" s="2130"/>
      <c r="AA132" s="2130"/>
      <c r="AB132" s="2130"/>
      <c r="AC132" s="2130"/>
      <c r="AD132" s="101"/>
      <c r="AE132" s="6"/>
      <c r="AF132" s="11"/>
      <c r="AG132" s="41">
        <f t="shared" si="33"/>
        <v>0</v>
      </c>
      <c r="AH132" s="41">
        <f>IF(ISERROR(HLOOKUP(AH$91,'Improved Sales Adjustments 2'!$G$7:$WU$147,68,FALSE)),0,IF(HLOOKUP(AH$91,'Improved Sales Adjustments 2'!$G$7:$WU$147,68,FALSE)="",0,IF($S132=HLOOKUP(AH$91,'Improved Sales Adjustments 2'!$G$7:$WU$147,68,FALSE),1,0)))</f>
        <v>0</v>
      </c>
      <c r="AI132" s="41">
        <f>IF(ISERROR(HLOOKUP(AI$91,'Improved Sales Adjustments 2'!$G$7:$WU$147,68,FALSE)),0,IF(HLOOKUP(AI$91,'Improved Sales Adjustments 2'!$G$7:$WU$147,68,FALSE)="",0,IF($S132=HLOOKUP(AI$91,'Improved Sales Adjustments 2'!$G$7:$WU$147,68,FALSE),1,0)))</f>
        <v>0</v>
      </c>
      <c r="AJ132" s="41">
        <f>IF(ISERROR(HLOOKUP(AJ$91,'Improved Sales Adjustments 2'!$G$7:$WU$147,68,FALSE)),0,IF(HLOOKUP(AJ$91,'Improved Sales Adjustments 2'!$G$7:$WU$147,68,FALSE)="",0,IF($S132=HLOOKUP(AJ$91,'Improved Sales Adjustments 2'!$G$7:$WU$147,68,FALSE),1,0)))</f>
        <v>0</v>
      </c>
      <c r="AK132" s="41">
        <f>IF(ISERROR(HLOOKUP(AK$91,'Improved Sales Adjustments 2'!$G$7:$WU$147,68,FALSE)),0,IF(HLOOKUP(AK$91,'Improved Sales Adjustments 2'!$G$7:$WU$147,68,FALSE)="",0,IF($S132=HLOOKUP(AK$91,'Improved Sales Adjustments 2'!$G$7:$WU$147,68,FALSE),1,0)))</f>
        <v>0</v>
      </c>
      <c r="AL132" s="41">
        <f>IF(ISERROR(HLOOKUP(AL$91,'Improved Sales Adjustments 2'!$G$7:$WU$147,68,FALSE)),0,IF(HLOOKUP(AL$91,'Improved Sales Adjustments 2'!$G$7:$WU$147,68,FALSE)="",0,IF($S132=HLOOKUP(AL$91,'Improved Sales Adjustments 2'!$G$7:$WU$147,68,FALSE),1,0)))</f>
        <v>0</v>
      </c>
      <c r="AM132" s="41">
        <f>IF(ISERROR(HLOOKUP(AM$91,'Improved Sales Adjustments 2'!$G$7:$WU$147,68,FALSE)),0,IF(HLOOKUP(AM$91,'Improved Sales Adjustments 2'!$G$7:$WU$147,68,FALSE)="",0,IF($S132=HLOOKUP(AM$91,'Improved Sales Adjustments 2'!$G$7:$WU$147,68,FALSE),1,0)))</f>
        <v>0</v>
      </c>
      <c r="AN132" s="41">
        <f>IF(ISERROR(HLOOKUP(AN$91,'Improved Sales Adjustments 2'!$G$7:$WU$147,68,FALSE)),0,IF(HLOOKUP(AN$91,'Improved Sales Adjustments 2'!$G$7:$WU$147,68,FALSE)="",0,IF($S132=HLOOKUP(AN$91,'Improved Sales Adjustments 2'!$G$7:$WU$147,68,FALSE),1,0)))</f>
        <v>0</v>
      </c>
      <c r="AO132" s="41">
        <f>IF(ISERROR(HLOOKUP(AO$91,'Improved Sales Adjustments 2'!$G$7:$WU$147,68,FALSE)),0,IF(HLOOKUP(AO$91,'Improved Sales Adjustments 2'!$G$7:$WU$147,68,FALSE)="",0,IF($S132=HLOOKUP(AO$91,'Improved Sales Adjustments 2'!$G$7:$WU$147,68,FALSE),1,0)))</f>
        <v>0</v>
      </c>
      <c r="AP132" s="41">
        <f>IF(ISERROR(HLOOKUP(AP$91,'Improved Sales Adjustments 2'!$G$7:$WU$147,68,FALSE)),0,IF(HLOOKUP(AP$91,'Improved Sales Adjustments 2'!$G$7:$WU$147,68,FALSE)="",0,IF($S132=HLOOKUP(AP$91,'Improved Sales Adjustments 2'!$G$7:$WU$147,68,FALSE),1,0)))</f>
        <v>0</v>
      </c>
      <c r="AQ132" s="41">
        <f>IF(ISERROR(HLOOKUP(AQ$91,'Improved Sales Adjustments 2'!$G$7:$WU$147,68,FALSE)),0,IF(HLOOKUP(AQ$91,'Improved Sales Adjustments 2'!$G$7:$WU$147,68,FALSE)="",0,IF($S132=HLOOKUP(AQ$91,'Improved Sales Adjustments 2'!$G$7:$WU$147,68,FALSE),1,0)))</f>
        <v>0</v>
      </c>
      <c r="AR132" s="41">
        <f>SUM($AG132:AG132)</f>
        <v>0</v>
      </c>
      <c r="AS132" s="41">
        <f>SUM($AG132:AH132)</f>
        <v>0</v>
      </c>
      <c r="AT132" s="41">
        <f>SUM($AG132:AI132)</f>
        <v>0</v>
      </c>
      <c r="AU132" s="41">
        <f>SUM($AG132:AJ132)</f>
        <v>0</v>
      </c>
      <c r="AV132" s="41">
        <f>SUM($AG132:AK132)</f>
        <v>0</v>
      </c>
      <c r="AW132" s="41">
        <f>SUM($AG132:AL132)</f>
        <v>0</v>
      </c>
      <c r="AX132" s="41">
        <f>SUM($AG132:AM132)</f>
        <v>0</v>
      </c>
      <c r="AY132" s="41">
        <f>SUM($AG132:AN132)</f>
        <v>0</v>
      </c>
      <c r="AZ132" s="41">
        <f>SUM($AG132:AO132)</f>
        <v>0</v>
      </c>
      <c r="BA132" s="41">
        <f>SUM($AG132:AP132)</f>
        <v>0</v>
      </c>
      <c r="BB132" s="41">
        <f>SUM($AG132:AQ132)</f>
        <v>0</v>
      </c>
      <c r="BC132" s="41" t="str">
        <f t="shared" si="38"/>
        <v/>
      </c>
      <c r="BD132" s="41" t="str">
        <f t="shared" si="38"/>
        <v/>
      </c>
      <c r="BE132" s="41" t="str">
        <f t="shared" si="38"/>
        <v/>
      </c>
      <c r="BF132" s="41" t="str">
        <f t="shared" si="38"/>
        <v/>
      </c>
      <c r="BG132" s="41" t="str">
        <f t="shared" si="38"/>
        <v/>
      </c>
      <c r="BH132" s="41" t="str">
        <f t="shared" si="38"/>
        <v/>
      </c>
      <c r="BI132" s="41" t="str">
        <f t="shared" si="38"/>
        <v/>
      </c>
      <c r="BJ132" s="41" t="str">
        <f t="shared" si="38"/>
        <v/>
      </c>
      <c r="BK132" s="41" t="str">
        <f t="shared" si="38"/>
        <v/>
      </c>
      <c r="BL132" s="41" t="str">
        <f t="shared" si="37"/>
        <v/>
      </c>
      <c r="BM132" s="41" t="str">
        <f t="shared" si="37"/>
        <v/>
      </c>
    </row>
    <row r="133" spans="1:65" ht="15" customHeight="1" x14ac:dyDescent="0.25">
      <c r="A133" s="957">
        <f t="shared" si="32"/>
        <v>0</v>
      </c>
      <c r="B133" s="10"/>
      <c r="C133" s="10"/>
      <c r="D133" s="13"/>
      <c r="E133" s="10"/>
      <c r="F133" s="10"/>
      <c r="G133" s="10"/>
      <c r="H133" s="10"/>
      <c r="I133" s="10"/>
      <c r="J133" s="10"/>
      <c r="K133" s="10"/>
      <c r="L133" s="10"/>
      <c r="M133" s="10"/>
      <c r="N133" s="10"/>
      <c r="O133" s="10"/>
      <c r="P133" s="4"/>
      <c r="Q133" s="1204"/>
      <c r="R133" s="101" t="str">
        <f t="shared" si="28"/>
        <v/>
      </c>
      <c r="S133" s="137">
        <f t="shared" si="30"/>
        <v>41</v>
      </c>
      <c r="T133" s="2130">
        <f t="shared" ref="T133:Y133" si="39">(T134+T132)/2</f>
        <v>0.22999999999999998</v>
      </c>
      <c r="U133" s="2130">
        <f t="shared" si="39"/>
        <v>0.37</v>
      </c>
      <c r="V133" s="2130">
        <f t="shared" si="39"/>
        <v>0.48499999999999999</v>
      </c>
      <c r="W133" s="2130">
        <f t="shared" si="39"/>
        <v>0.62</v>
      </c>
      <c r="X133" s="2130">
        <f t="shared" si="39"/>
        <v>0.73499999999999999</v>
      </c>
      <c r="Y133" s="2130">
        <f t="shared" si="39"/>
        <v>0.79500000000000004</v>
      </c>
      <c r="Z133" s="2130"/>
      <c r="AA133" s="2130"/>
      <c r="AB133" s="2130"/>
      <c r="AC133" s="2130"/>
      <c r="AD133" s="101"/>
      <c r="AE133" s="6"/>
      <c r="AF133" s="11"/>
      <c r="AG133" s="41">
        <f t="shared" si="33"/>
        <v>0</v>
      </c>
      <c r="AH133" s="41">
        <f>IF(ISERROR(HLOOKUP(AH$91,'Improved Sales Adjustments 2'!$G$7:$WU$147,68,FALSE)),0,IF(HLOOKUP(AH$91,'Improved Sales Adjustments 2'!$G$7:$WU$147,68,FALSE)="",0,IF($S133=HLOOKUP(AH$91,'Improved Sales Adjustments 2'!$G$7:$WU$147,68,FALSE),1,0)))</f>
        <v>0</v>
      </c>
      <c r="AI133" s="41">
        <f>IF(ISERROR(HLOOKUP(AI$91,'Improved Sales Adjustments 2'!$G$7:$WU$147,68,FALSE)),0,IF(HLOOKUP(AI$91,'Improved Sales Adjustments 2'!$G$7:$WU$147,68,FALSE)="",0,IF($S133=HLOOKUP(AI$91,'Improved Sales Adjustments 2'!$G$7:$WU$147,68,FALSE),1,0)))</f>
        <v>0</v>
      </c>
      <c r="AJ133" s="41">
        <f>IF(ISERROR(HLOOKUP(AJ$91,'Improved Sales Adjustments 2'!$G$7:$WU$147,68,FALSE)),0,IF(HLOOKUP(AJ$91,'Improved Sales Adjustments 2'!$G$7:$WU$147,68,FALSE)="",0,IF($S133=HLOOKUP(AJ$91,'Improved Sales Adjustments 2'!$G$7:$WU$147,68,FALSE),1,0)))</f>
        <v>0</v>
      </c>
      <c r="AK133" s="41">
        <f>IF(ISERROR(HLOOKUP(AK$91,'Improved Sales Adjustments 2'!$G$7:$WU$147,68,FALSE)),0,IF(HLOOKUP(AK$91,'Improved Sales Adjustments 2'!$G$7:$WU$147,68,FALSE)="",0,IF($S133=HLOOKUP(AK$91,'Improved Sales Adjustments 2'!$G$7:$WU$147,68,FALSE),1,0)))</f>
        <v>0</v>
      </c>
      <c r="AL133" s="41">
        <f>IF(ISERROR(HLOOKUP(AL$91,'Improved Sales Adjustments 2'!$G$7:$WU$147,68,FALSE)),0,IF(HLOOKUP(AL$91,'Improved Sales Adjustments 2'!$G$7:$WU$147,68,FALSE)="",0,IF($S133=HLOOKUP(AL$91,'Improved Sales Adjustments 2'!$G$7:$WU$147,68,FALSE),1,0)))</f>
        <v>0</v>
      </c>
      <c r="AM133" s="41">
        <f>IF(ISERROR(HLOOKUP(AM$91,'Improved Sales Adjustments 2'!$G$7:$WU$147,68,FALSE)),0,IF(HLOOKUP(AM$91,'Improved Sales Adjustments 2'!$G$7:$WU$147,68,FALSE)="",0,IF($S133=HLOOKUP(AM$91,'Improved Sales Adjustments 2'!$G$7:$WU$147,68,FALSE),1,0)))</f>
        <v>0</v>
      </c>
      <c r="AN133" s="41">
        <f>IF(ISERROR(HLOOKUP(AN$91,'Improved Sales Adjustments 2'!$G$7:$WU$147,68,FALSE)),0,IF(HLOOKUP(AN$91,'Improved Sales Adjustments 2'!$G$7:$WU$147,68,FALSE)="",0,IF($S133=HLOOKUP(AN$91,'Improved Sales Adjustments 2'!$G$7:$WU$147,68,FALSE),1,0)))</f>
        <v>0</v>
      </c>
      <c r="AO133" s="41">
        <f>IF(ISERROR(HLOOKUP(AO$91,'Improved Sales Adjustments 2'!$G$7:$WU$147,68,FALSE)),0,IF(HLOOKUP(AO$91,'Improved Sales Adjustments 2'!$G$7:$WU$147,68,FALSE)="",0,IF($S133=HLOOKUP(AO$91,'Improved Sales Adjustments 2'!$G$7:$WU$147,68,FALSE),1,0)))</f>
        <v>0</v>
      </c>
      <c r="AP133" s="41">
        <f>IF(ISERROR(HLOOKUP(AP$91,'Improved Sales Adjustments 2'!$G$7:$WU$147,68,FALSE)),0,IF(HLOOKUP(AP$91,'Improved Sales Adjustments 2'!$G$7:$WU$147,68,FALSE)="",0,IF($S133=HLOOKUP(AP$91,'Improved Sales Adjustments 2'!$G$7:$WU$147,68,FALSE),1,0)))</f>
        <v>0</v>
      </c>
      <c r="AQ133" s="41">
        <f>IF(ISERROR(HLOOKUP(AQ$91,'Improved Sales Adjustments 2'!$G$7:$WU$147,68,FALSE)),0,IF(HLOOKUP(AQ$91,'Improved Sales Adjustments 2'!$G$7:$WU$147,68,FALSE)="",0,IF($S133=HLOOKUP(AQ$91,'Improved Sales Adjustments 2'!$G$7:$WU$147,68,FALSE),1,0)))</f>
        <v>0</v>
      </c>
      <c r="AR133" s="41">
        <f>SUM($AG133:AG133)</f>
        <v>0</v>
      </c>
      <c r="AS133" s="41">
        <f>SUM($AG133:AH133)</f>
        <v>0</v>
      </c>
      <c r="AT133" s="41">
        <f>SUM($AG133:AI133)</f>
        <v>0</v>
      </c>
      <c r="AU133" s="41">
        <f>SUM($AG133:AJ133)</f>
        <v>0</v>
      </c>
      <c r="AV133" s="41">
        <f>SUM($AG133:AK133)</f>
        <v>0</v>
      </c>
      <c r="AW133" s="41">
        <f>SUM($AG133:AL133)</f>
        <v>0</v>
      </c>
      <c r="AX133" s="41">
        <f>SUM($AG133:AM133)</f>
        <v>0</v>
      </c>
      <c r="AY133" s="41">
        <f>SUM($AG133:AN133)</f>
        <v>0</v>
      </c>
      <c r="AZ133" s="41">
        <f>SUM($AG133:AO133)</f>
        <v>0</v>
      </c>
      <c r="BA133" s="41">
        <f>SUM($AG133:AP133)</f>
        <v>0</v>
      </c>
      <c r="BB133" s="41">
        <f>SUM($AG133:AQ133)</f>
        <v>0</v>
      </c>
      <c r="BC133" s="41" t="str">
        <f t="shared" si="38"/>
        <v/>
      </c>
      <c r="BD133" s="41" t="str">
        <f t="shared" si="38"/>
        <v/>
      </c>
      <c r="BE133" s="41" t="str">
        <f t="shared" si="38"/>
        <v/>
      </c>
      <c r="BF133" s="41" t="str">
        <f t="shared" si="38"/>
        <v/>
      </c>
      <c r="BG133" s="41" t="str">
        <f t="shared" si="38"/>
        <v/>
      </c>
      <c r="BH133" s="41" t="str">
        <f t="shared" si="38"/>
        <v/>
      </c>
      <c r="BI133" s="41" t="str">
        <f t="shared" si="38"/>
        <v/>
      </c>
      <c r="BJ133" s="41" t="str">
        <f t="shared" si="38"/>
        <v/>
      </c>
      <c r="BK133" s="41" t="str">
        <f t="shared" si="38"/>
        <v/>
      </c>
      <c r="BL133" s="41" t="str">
        <f t="shared" si="37"/>
        <v/>
      </c>
      <c r="BM133" s="41" t="str">
        <f t="shared" si="37"/>
        <v/>
      </c>
    </row>
    <row r="134" spans="1:65" ht="15" customHeight="1" x14ac:dyDescent="0.25">
      <c r="A134" s="957">
        <f t="shared" si="32"/>
        <v>0</v>
      </c>
      <c r="B134" s="10"/>
      <c r="C134" s="10"/>
      <c r="D134" s="13"/>
      <c r="E134" s="10"/>
      <c r="F134" s="10"/>
      <c r="G134" s="10"/>
      <c r="H134" s="10"/>
      <c r="I134" s="10"/>
      <c r="J134" s="10"/>
      <c r="K134" s="10"/>
      <c r="L134" s="10"/>
      <c r="M134" s="10"/>
      <c r="N134" s="10"/>
      <c r="O134" s="10"/>
      <c r="P134" s="4"/>
      <c r="Q134" s="1204"/>
      <c r="R134" s="101" t="str">
        <f t="shared" si="28"/>
        <v/>
      </c>
      <c r="S134" s="137">
        <f t="shared" si="30"/>
        <v>42</v>
      </c>
      <c r="T134" s="2129">
        <v>0.25</v>
      </c>
      <c r="U134" s="2130">
        <v>0.39</v>
      </c>
      <c r="V134" s="2130">
        <v>0.51</v>
      </c>
      <c r="W134" s="2130">
        <v>0.65</v>
      </c>
      <c r="X134" s="2130">
        <v>0.75</v>
      </c>
      <c r="Y134" s="2130">
        <v>0.8</v>
      </c>
      <c r="Z134" s="2130"/>
      <c r="AA134" s="2130"/>
      <c r="AB134" s="2130"/>
      <c r="AC134" s="2130"/>
      <c r="AD134" s="101"/>
      <c r="AE134" s="6"/>
      <c r="AF134" s="11"/>
      <c r="AG134" s="41">
        <f t="shared" si="33"/>
        <v>0</v>
      </c>
      <c r="AH134" s="41">
        <f>IF(ISERROR(HLOOKUP(AH$91,'Improved Sales Adjustments 2'!$G$7:$WU$147,68,FALSE)),0,IF(HLOOKUP(AH$91,'Improved Sales Adjustments 2'!$G$7:$WU$147,68,FALSE)="",0,IF($S134=HLOOKUP(AH$91,'Improved Sales Adjustments 2'!$G$7:$WU$147,68,FALSE),1,0)))</f>
        <v>0</v>
      </c>
      <c r="AI134" s="41">
        <f>IF(ISERROR(HLOOKUP(AI$91,'Improved Sales Adjustments 2'!$G$7:$WU$147,68,FALSE)),0,IF(HLOOKUP(AI$91,'Improved Sales Adjustments 2'!$G$7:$WU$147,68,FALSE)="",0,IF($S134=HLOOKUP(AI$91,'Improved Sales Adjustments 2'!$G$7:$WU$147,68,FALSE),1,0)))</f>
        <v>0</v>
      </c>
      <c r="AJ134" s="41">
        <f>IF(ISERROR(HLOOKUP(AJ$91,'Improved Sales Adjustments 2'!$G$7:$WU$147,68,FALSE)),0,IF(HLOOKUP(AJ$91,'Improved Sales Adjustments 2'!$G$7:$WU$147,68,FALSE)="",0,IF($S134=HLOOKUP(AJ$91,'Improved Sales Adjustments 2'!$G$7:$WU$147,68,FALSE),1,0)))</f>
        <v>0</v>
      </c>
      <c r="AK134" s="41">
        <f>IF(ISERROR(HLOOKUP(AK$91,'Improved Sales Adjustments 2'!$G$7:$WU$147,68,FALSE)),0,IF(HLOOKUP(AK$91,'Improved Sales Adjustments 2'!$G$7:$WU$147,68,FALSE)="",0,IF($S134=HLOOKUP(AK$91,'Improved Sales Adjustments 2'!$G$7:$WU$147,68,FALSE),1,0)))</f>
        <v>0</v>
      </c>
      <c r="AL134" s="41">
        <f>IF(ISERROR(HLOOKUP(AL$91,'Improved Sales Adjustments 2'!$G$7:$WU$147,68,FALSE)),0,IF(HLOOKUP(AL$91,'Improved Sales Adjustments 2'!$G$7:$WU$147,68,FALSE)="",0,IF($S134=HLOOKUP(AL$91,'Improved Sales Adjustments 2'!$G$7:$WU$147,68,FALSE),1,0)))</f>
        <v>0</v>
      </c>
      <c r="AM134" s="41">
        <f>IF(ISERROR(HLOOKUP(AM$91,'Improved Sales Adjustments 2'!$G$7:$WU$147,68,FALSE)),0,IF(HLOOKUP(AM$91,'Improved Sales Adjustments 2'!$G$7:$WU$147,68,FALSE)="",0,IF($S134=HLOOKUP(AM$91,'Improved Sales Adjustments 2'!$G$7:$WU$147,68,FALSE),1,0)))</f>
        <v>0</v>
      </c>
      <c r="AN134" s="41">
        <f>IF(ISERROR(HLOOKUP(AN$91,'Improved Sales Adjustments 2'!$G$7:$WU$147,68,FALSE)),0,IF(HLOOKUP(AN$91,'Improved Sales Adjustments 2'!$G$7:$WU$147,68,FALSE)="",0,IF($S134=HLOOKUP(AN$91,'Improved Sales Adjustments 2'!$G$7:$WU$147,68,FALSE),1,0)))</f>
        <v>0</v>
      </c>
      <c r="AO134" s="41">
        <f>IF(ISERROR(HLOOKUP(AO$91,'Improved Sales Adjustments 2'!$G$7:$WU$147,68,FALSE)),0,IF(HLOOKUP(AO$91,'Improved Sales Adjustments 2'!$G$7:$WU$147,68,FALSE)="",0,IF($S134=HLOOKUP(AO$91,'Improved Sales Adjustments 2'!$G$7:$WU$147,68,FALSE),1,0)))</f>
        <v>0</v>
      </c>
      <c r="AP134" s="41">
        <f>IF(ISERROR(HLOOKUP(AP$91,'Improved Sales Adjustments 2'!$G$7:$WU$147,68,FALSE)),0,IF(HLOOKUP(AP$91,'Improved Sales Adjustments 2'!$G$7:$WU$147,68,FALSE)="",0,IF($S134=HLOOKUP(AP$91,'Improved Sales Adjustments 2'!$G$7:$WU$147,68,FALSE),1,0)))</f>
        <v>0</v>
      </c>
      <c r="AQ134" s="41">
        <f>IF(ISERROR(HLOOKUP(AQ$91,'Improved Sales Adjustments 2'!$G$7:$WU$147,68,FALSE)),0,IF(HLOOKUP(AQ$91,'Improved Sales Adjustments 2'!$G$7:$WU$147,68,FALSE)="",0,IF($S134=HLOOKUP(AQ$91,'Improved Sales Adjustments 2'!$G$7:$WU$147,68,FALSE),1,0)))</f>
        <v>0</v>
      </c>
      <c r="AR134" s="41">
        <f>SUM($AG134:AG134)</f>
        <v>0</v>
      </c>
      <c r="AS134" s="41">
        <f>SUM($AG134:AH134)</f>
        <v>0</v>
      </c>
      <c r="AT134" s="41">
        <f>SUM($AG134:AI134)</f>
        <v>0</v>
      </c>
      <c r="AU134" s="41">
        <f>SUM($AG134:AJ134)</f>
        <v>0</v>
      </c>
      <c r="AV134" s="41">
        <f>SUM($AG134:AK134)</f>
        <v>0</v>
      </c>
      <c r="AW134" s="41">
        <f>SUM($AG134:AL134)</f>
        <v>0</v>
      </c>
      <c r="AX134" s="41">
        <f>SUM($AG134:AM134)</f>
        <v>0</v>
      </c>
      <c r="AY134" s="41">
        <f>SUM($AG134:AN134)</f>
        <v>0</v>
      </c>
      <c r="AZ134" s="41">
        <f>SUM($AG134:AO134)</f>
        <v>0</v>
      </c>
      <c r="BA134" s="41">
        <f>SUM($AG134:AP134)</f>
        <v>0</v>
      </c>
      <c r="BB134" s="41">
        <f>SUM($AG134:AQ134)</f>
        <v>0</v>
      </c>
      <c r="BC134" s="41" t="str">
        <f t="shared" si="38"/>
        <v/>
      </c>
      <c r="BD134" s="41" t="str">
        <f t="shared" si="38"/>
        <v/>
      </c>
      <c r="BE134" s="41" t="str">
        <f t="shared" si="38"/>
        <v/>
      </c>
      <c r="BF134" s="41" t="str">
        <f t="shared" si="38"/>
        <v/>
      </c>
      <c r="BG134" s="41" t="str">
        <f t="shared" si="38"/>
        <v/>
      </c>
      <c r="BH134" s="41" t="str">
        <f t="shared" si="38"/>
        <v/>
      </c>
      <c r="BI134" s="41" t="str">
        <f t="shared" si="38"/>
        <v/>
      </c>
      <c r="BJ134" s="41" t="str">
        <f t="shared" si="38"/>
        <v/>
      </c>
      <c r="BK134" s="41" t="str">
        <f t="shared" si="38"/>
        <v/>
      </c>
      <c r="BL134" s="41" t="str">
        <f t="shared" si="37"/>
        <v/>
      </c>
      <c r="BM134" s="41" t="str">
        <f t="shared" si="37"/>
        <v/>
      </c>
    </row>
    <row r="135" spans="1:65" ht="15" customHeight="1" x14ac:dyDescent="0.25">
      <c r="A135" s="957">
        <f t="shared" si="32"/>
        <v>0</v>
      </c>
      <c r="B135" s="10"/>
      <c r="C135" s="10"/>
      <c r="D135" s="13"/>
      <c r="E135" s="10"/>
      <c r="F135" s="10"/>
      <c r="G135" s="10"/>
      <c r="H135" s="10"/>
      <c r="I135" s="10"/>
      <c r="J135" s="10"/>
      <c r="K135" s="10"/>
      <c r="L135" s="10"/>
      <c r="M135" s="10"/>
      <c r="N135" s="10"/>
      <c r="O135" s="10"/>
      <c r="P135" s="4"/>
      <c r="Q135" s="1204"/>
      <c r="R135" s="101" t="str">
        <f t="shared" si="28"/>
        <v/>
      </c>
      <c r="S135" s="137">
        <f t="shared" si="30"/>
        <v>43</v>
      </c>
      <c r="T135" s="2130">
        <f>(T136+T134)/2</f>
        <v>0.26500000000000001</v>
      </c>
      <c r="U135" s="2130">
        <f>(U136+U134)/2</f>
        <v>0.41000000000000003</v>
      </c>
      <c r="V135" s="2130">
        <f>(V136+V134)/2</f>
        <v>0.53500000000000003</v>
      </c>
      <c r="W135" s="2130">
        <f>(W136+W134)/2</f>
        <v>0.67500000000000004</v>
      </c>
      <c r="X135" s="2130">
        <f>(X136+X134)/2</f>
        <v>0.76</v>
      </c>
      <c r="Y135" s="2130"/>
      <c r="Z135" s="2130"/>
      <c r="AA135" s="2130"/>
      <c r="AB135" s="2130"/>
      <c r="AC135" s="2130"/>
      <c r="AD135" s="101"/>
      <c r="AE135" s="6"/>
      <c r="AF135" s="11"/>
      <c r="AG135" s="41">
        <f t="shared" si="33"/>
        <v>0</v>
      </c>
      <c r="AH135" s="41">
        <f>IF(ISERROR(HLOOKUP(AH$91,'Improved Sales Adjustments 2'!$G$7:$WU$147,68,FALSE)),0,IF(HLOOKUP(AH$91,'Improved Sales Adjustments 2'!$G$7:$WU$147,68,FALSE)="",0,IF($S135=HLOOKUP(AH$91,'Improved Sales Adjustments 2'!$G$7:$WU$147,68,FALSE),1,0)))</f>
        <v>0</v>
      </c>
      <c r="AI135" s="41">
        <f>IF(ISERROR(HLOOKUP(AI$91,'Improved Sales Adjustments 2'!$G$7:$WU$147,68,FALSE)),0,IF(HLOOKUP(AI$91,'Improved Sales Adjustments 2'!$G$7:$WU$147,68,FALSE)="",0,IF($S135=HLOOKUP(AI$91,'Improved Sales Adjustments 2'!$G$7:$WU$147,68,FALSE),1,0)))</f>
        <v>0</v>
      </c>
      <c r="AJ135" s="41">
        <f>IF(ISERROR(HLOOKUP(AJ$91,'Improved Sales Adjustments 2'!$G$7:$WU$147,68,FALSE)),0,IF(HLOOKUP(AJ$91,'Improved Sales Adjustments 2'!$G$7:$WU$147,68,FALSE)="",0,IF($S135=HLOOKUP(AJ$91,'Improved Sales Adjustments 2'!$G$7:$WU$147,68,FALSE),1,0)))</f>
        <v>0</v>
      </c>
      <c r="AK135" s="41">
        <f>IF(ISERROR(HLOOKUP(AK$91,'Improved Sales Adjustments 2'!$G$7:$WU$147,68,FALSE)),0,IF(HLOOKUP(AK$91,'Improved Sales Adjustments 2'!$G$7:$WU$147,68,FALSE)="",0,IF($S135=HLOOKUP(AK$91,'Improved Sales Adjustments 2'!$G$7:$WU$147,68,FALSE),1,0)))</f>
        <v>0</v>
      </c>
      <c r="AL135" s="41">
        <f>IF(ISERROR(HLOOKUP(AL$91,'Improved Sales Adjustments 2'!$G$7:$WU$147,68,FALSE)),0,IF(HLOOKUP(AL$91,'Improved Sales Adjustments 2'!$G$7:$WU$147,68,FALSE)="",0,IF($S135=HLOOKUP(AL$91,'Improved Sales Adjustments 2'!$G$7:$WU$147,68,FALSE),1,0)))</f>
        <v>0</v>
      </c>
      <c r="AM135" s="41">
        <f>IF(ISERROR(HLOOKUP(AM$91,'Improved Sales Adjustments 2'!$G$7:$WU$147,68,FALSE)),0,IF(HLOOKUP(AM$91,'Improved Sales Adjustments 2'!$G$7:$WU$147,68,FALSE)="",0,IF($S135=HLOOKUP(AM$91,'Improved Sales Adjustments 2'!$G$7:$WU$147,68,FALSE),1,0)))</f>
        <v>0</v>
      </c>
      <c r="AN135" s="41">
        <f>IF(ISERROR(HLOOKUP(AN$91,'Improved Sales Adjustments 2'!$G$7:$WU$147,68,FALSE)),0,IF(HLOOKUP(AN$91,'Improved Sales Adjustments 2'!$G$7:$WU$147,68,FALSE)="",0,IF($S135=HLOOKUP(AN$91,'Improved Sales Adjustments 2'!$G$7:$WU$147,68,FALSE),1,0)))</f>
        <v>0</v>
      </c>
      <c r="AO135" s="41">
        <f>IF(ISERROR(HLOOKUP(AO$91,'Improved Sales Adjustments 2'!$G$7:$WU$147,68,FALSE)),0,IF(HLOOKUP(AO$91,'Improved Sales Adjustments 2'!$G$7:$WU$147,68,FALSE)="",0,IF($S135=HLOOKUP(AO$91,'Improved Sales Adjustments 2'!$G$7:$WU$147,68,FALSE),1,0)))</f>
        <v>0</v>
      </c>
      <c r="AP135" s="41">
        <f>IF(ISERROR(HLOOKUP(AP$91,'Improved Sales Adjustments 2'!$G$7:$WU$147,68,FALSE)),0,IF(HLOOKUP(AP$91,'Improved Sales Adjustments 2'!$G$7:$WU$147,68,FALSE)="",0,IF($S135=HLOOKUP(AP$91,'Improved Sales Adjustments 2'!$G$7:$WU$147,68,FALSE),1,0)))</f>
        <v>0</v>
      </c>
      <c r="AQ135" s="41">
        <f>IF(ISERROR(HLOOKUP(AQ$91,'Improved Sales Adjustments 2'!$G$7:$WU$147,68,FALSE)),0,IF(HLOOKUP(AQ$91,'Improved Sales Adjustments 2'!$G$7:$WU$147,68,FALSE)="",0,IF($S135=HLOOKUP(AQ$91,'Improved Sales Adjustments 2'!$G$7:$WU$147,68,FALSE),1,0)))</f>
        <v>0</v>
      </c>
      <c r="AR135" s="41">
        <f>SUM($AG135:AG135)</f>
        <v>0</v>
      </c>
      <c r="AS135" s="41">
        <f>SUM($AG135:AH135)</f>
        <v>0</v>
      </c>
      <c r="AT135" s="41">
        <f>SUM($AG135:AI135)</f>
        <v>0</v>
      </c>
      <c r="AU135" s="41">
        <f>SUM($AG135:AJ135)</f>
        <v>0</v>
      </c>
      <c r="AV135" s="41">
        <f>SUM($AG135:AK135)</f>
        <v>0</v>
      </c>
      <c r="AW135" s="41">
        <f>SUM($AG135:AL135)</f>
        <v>0</v>
      </c>
      <c r="AX135" s="41">
        <f>SUM($AG135:AM135)</f>
        <v>0</v>
      </c>
      <c r="AY135" s="41">
        <f>SUM($AG135:AN135)</f>
        <v>0</v>
      </c>
      <c r="AZ135" s="41">
        <f>SUM($AG135:AO135)</f>
        <v>0</v>
      </c>
      <c r="BA135" s="41">
        <f>SUM($AG135:AP135)</f>
        <v>0</v>
      </c>
      <c r="BB135" s="41">
        <f>SUM($AG135:AQ135)</f>
        <v>0</v>
      </c>
      <c r="BC135" s="41" t="str">
        <f t="shared" si="38"/>
        <v/>
      </c>
      <c r="BD135" s="41" t="str">
        <f t="shared" si="38"/>
        <v/>
      </c>
      <c r="BE135" s="41" t="str">
        <f t="shared" si="38"/>
        <v/>
      </c>
      <c r="BF135" s="41" t="str">
        <f t="shared" si="38"/>
        <v/>
      </c>
      <c r="BG135" s="41" t="str">
        <f t="shared" si="38"/>
        <v/>
      </c>
      <c r="BH135" s="41" t="str">
        <f t="shared" si="38"/>
        <v/>
      </c>
      <c r="BI135" s="41" t="str">
        <f t="shared" si="38"/>
        <v/>
      </c>
      <c r="BJ135" s="41" t="str">
        <f t="shared" si="38"/>
        <v/>
      </c>
      <c r="BK135" s="41" t="str">
        <f t="shared" si="38"/>
        <v/>
      </c>
      <c r="BL135" s="41" t="str">
        <f t="shared" si="37"/>
        <v/>
      </c>
      <c r="BM135" s="41" t="str">
        <f t="shared" si="37"/>
        <v/>
      </c>
    </row>
    <row r="136" spans="1:65" ht="15" customHeight="1" x14ac:dyDescent="0.25">
      <c r="A136" s="957">
        <f t="shared" si="32"/>
        <v>0</v>
      </c>
      <c r="B136" s="10"/>
      <c r="C136" s="10"/>
      <c r="D136" s="13"/>
      <c r="E136" s="10"/>
      <c r="F136" s="10"/>
      <c r="G136" s="10"/>
      <c r="H136" s="10"/>
      <c r="I136" s="10"/>
      <c r="J136" s="10"/>
      <c r="K136" s="10"/>
      <c r="L136" s="10"/>
      <c r="M136" s="10"/>
      <c r="N136" s="10"/>
      <c r="O136" s="10"/>
      <c r="P136" s="4"/>
      <c r="Q136" s="1204"/>
      <c r="R136" s="101" t="str">
        <f t="shared" si="28"/>
        <v/>
      </c>
      <c r="S136" s="137">
        <f t="shared" si="30"/>
        <v>44</v>
      </c>
      <c r="T136" s="2129">
        <v>0.28000000000000003</v>
      </c>
      <c r="U136" s="2130">
        <v>0.43</v>
      </c>
      <c r="V136" s="2130">
        <v>0.56000000000000005</v>
      </c>
      <c r="W136" s="2130">
        <v>0.7</v>
      </c>
      <c r="X136" s="2130">
        <v>0.77</v>
      </c>
      <c r="Y136" s="2130"/>
      <c r="Z136" s="2130"/>
      <c r="AA136" s="2130"/>
      <c r="AB136" s="2130"/>
      <c r="AC136" s="2130"/>
      <c r="AD136" s="101"/>
      <c r="AE136" s="6"/>
      <c r="AF136" s="11"/>
      <c r="AG136" s="41">
        <f t="shared" si="33"/>
        <v>0</v>
      </c>
      <c r="AH136" s="41">
        <f>IF(ISERROR(HLOOKUP(AH$91,'Improved Sales Adjustments 2'!$G$7:$WU$147,68,FALSE)),0,IF(HLOOKUP(AH$91,'Improved Sales Adjustments 2'!$G$7:$WU$147,68,FALSE)="",0,IF($S136=HLOOKUP(AH$91,'Improved Sales Adjustments 2'!$G$7:$WU$147,68,FALSE),1,0)))</f>
        <v>0</v>
      </c>
      <c r="AI136" s="41">
        <f>IF(ISERROR(HLOOKUP(AI$91,'Improved Sales Adjustments 2'!$G$7:$WU$147,68,FALSE)),0,IF(HLOOKUP(AI$91,'Improved Sales Adjustments 2'!$G$7:$WU$147,68,FALSE)="",0,IF($S136=HLOOKUP(AI$91,'Improved Sales Adjustments 2'!$G$7:$WU$147,68,FALSE),1,0)))</f>
        <v>0</v>
      </c>
      <c r="AJ136" s="41">
        <f>IF(ISERROR(HLOOKUP(AJ$91,'Improved Sales Adjustments 2'!$G$7:$WU$147,68,FALSE)),0,IF(HLOOKUP(AJ$91,'Improved Sales Adjustments 2'!$G$7:$WU$147,68,FALSE)="",0,IF($S136=HLOOKUP(AJ$91,'Improved Sales Adjustments 2'!$G$7:$WU$147,68,FALSE),1,0)))</f>
        <v>0</v>
      </c>
      <c r="AK136" s="41">
        <f>IF(ISERROR(HLOOKUP(AK$91,'Improved Sales Adjustments 2'!$G$7:$WU$147,68,FALSE)),0,IF(HLOOKUP(AK$91,'Improved Sales Adjustments 2'!$G$7:$WU$147,68,FALSE)="",0,IF($S136=HLOOKUP(AK$91,'Improved Sales Adjustments 2'!$G$7:$WU$147,68,FALSE),1,0)))</f>
        <v>0</v>
      </c>
      <c r="AL136" s="41">
        <f>IF(ISERROR(HLOOKUP(AL$91,'Improved Sales Adjustments 2'!$G$7:$WU$147,68,FALSE)),0,IF(HLOOKUP(AL$91,'Improved Sales Adjustments 2'!$G$7:$WU$147,68,FALSE)="",0,IF($S136=HLOOKUP(AL$91,'Improved Sales Adjustments 2'!$G$7:$WU$147,68,FALSE),1,0)))</f>
        <v>0</v>
      </c>
      <c r="AM136" s="41">
        <f>IF(ISERROR(HLOOKUP(AM$91,'Improved Sales Adjustments 2'!$G$7:$WU$147,68,FALSE)),0,IF(HLOOKUP(AM$91,'Improved Sales Adjustments 2'!$G$7:$WU$147,68,FALSE)="",0,IF($S136=HLOOKUP(AM$91,'Improved Sales Adjustments 2'!$G$7:$WU$147,68,FALSE),1,0)))</f>
        <v>0</v>
      </c>
      <c r="AN136" s="41">
        <f>IF(ISERROR(HLOOKUP(AN$91,'Improved Sales Adjustments 2'!$G$7:$WU$147,68,FALSE)),0,IF(HLOOKUP(AN$91,'Improved Sales Adjustments 2'!$G$7:$WU$147,68,FALSE)="",0,IF($S136=HLOOKUP(AN$91,'Improved Sales Adjustments 2'!$G$7:$WU$147,68,FALSE),1,0)))</f>
        <v>0</v>
      </c>
      <c r="AO136" s="41">
        <f>IF(ISERROR(HLOOKUP(AO$91,'Improved Sales Adjustments 2'!$G$7:$WU$147,68,FALSE)),0,IF(HLOOKUP(AO$91,'Improved Sales Adjustments 2'!$G$7:$WU$147,68,FALSE)="",0,IF($S136=HLOOKUP(AO$91,'Improved Sales Adjustments 2'!$G$7:$WU$147,68,FALSE),1,0)))</f>
        <v>0</v>
      </c>
      <c r="AP136" s="41">
        <f>IF(ISERROR(HLOOKUP(AP$91,'Improved Sales Adjustments 2'!$G$7:$WU$147,68,FALSE)),0,IF(HLOOKUP(AP$91,'Improved Sales Adjustments 2'!$G$7:$WU$147,68,FALSE)="",0,IF($S136=HLOOKUP(AP$91,'Improved Sales Adjustments 2'!$G$7:$WU$147,68,FALSE),1,0)))</f>
        <v>0</v>
      </c>
      <c r="AQ136" s="41">
        <f>IF(ISERROR(HLOOKUP(AQ$91,'Improved Sales Adjustments 2'!$G$7:$WU$147,68,FALSE)),0,IF(HLOOKUP(AQ$91,'Improved Sales Adjustments 2'!$G$7:$WU$147,68,FALSE)="",0,IF($S136=HLOOKUP(AQ$91,'Improved Sales Adjustments 2'!$G$7:$WU$147,68,FALSE),1,0)))</f>
        <v>0</v>
      </c>
      <c r="AR136" s="41">
        <f>SUM($AG136:AG136)</f>
        <v>0</v>
      </c>
      <c r="AS136" s="41">
        <f>SUM($AG136:AH136)</f>
        <v>0</v>
      </c>
      <c r="AT136" s="41">
        <f>SUM($AG136:AI136)</f>
        <v>0</v>
      </c>
      <c r="AU136" s="41">
        <f>SUM($AG136:AJ136)</f>
        <v>0</v>
      </c>
      <c r="AV136" s="41">
        <f>SUM($AG136:AK136)</f>
        <v>0</v>
      </c>
      <c r="AW136" s="41">
        <f>SUM($AG136:AL136)</f>
        <v>0</v>
      </c>
      <c r="AX136" s="41">
        <f>SUM($AG136:AM136)</f>
        <v>0</v>
      </c>
      <c r="AY136" s="41">
        <f>SUM($AG136:AN136)</f>
        <v>0</v>
      </c>
      <c r="AZ136" s="41">
        <f>SUM($AG136:AO136)</f>
        <v>0</v>
      </c>
      <c r="BA136" s="41">
        <f>SUM($AG136:AP136)</f>
        <v>0</v>
      </c>
      <c r="BB136" s="41">
        <f>SUM($AG136:AQ136)</f>
        <v>0</v>
      </c>
      <c r="BC136" s="41" t="str">
        <f t="shared" si="38"/>
        <v/>
      </c>
      <c r="BD136" s="41" t="str">
        <f t="shared" si="38"/>
        <v/>
      </c>
      <c r="BE136" s="41" t="str">
        <f t="shared" si="38"/>
        <v/>
      </c>
      <c r="BF136" s="41" t="str">
        <f t="shared" si="38"/>
        <v/>
      </c>
      <c r="BG136" s="41" t="str">
        <f t="shared" si="38"/>
        <v/>
      </c>
      <c r="BH136" s="41" t="str">
        <f t="shared" si="38"/>
        <v/>
      </c>
      <c r="BI136" s="41" t="str">
        <f t="shared" si="38"/>
        <v/>
      </c>
      <c r="BJ136" s="41" t="str">
        <f t="shared" si="38"/>
        <v/>
      </c>
      <c r="BK136" s="41" t="str">
        <f t="shared" si="38"/>
        <v/>
      </c>
      <c r="BL136" s="41" t="str">
        <f t="shared" si="37"/>
        <v/>
      </c>
      <c r="BM136" s="41" t="str">
        <f t="shared" si="37"/>
        <v/>
      </c>
    </row>
    <row r="137" spans="1:65" ht="15" customHeight="1" x14ac:dyDescent="0.25">
      <c r="A137" s="957">
        <f t="shared" si="32"/>
        <v>0</v>
      </c>
      <c r="B137" s="10"/>
      <c r="C137" s="10"/>
      <c r="D137" s="13"/>
      <c r="E137" s="10"/>
      <c r="F137" s="10"/>
      <c r="G137" s="10"/>
      <c r="H137" s="10"/>
      <c r="I137" s="10"/>
      <c r="J137" s="10"/>
      <c r="K137" s="10"/>
      <c r="L137" s="10"/>
      <c r="M137" s="10"/>
      <c r="N137" s="10"/>
      <c r="O137" s="10"/>
      <c r="P137" s="4"/>
      <c r="Q137" s="1204"/>
      <c r="R137" s="101" t="str">
        <f t="shared" si="28"/>
        <v/>
      </c>
      <c r="S137" s="137">
        <f t="shared" si="30"/>
        <v>45</v>
      </c>
      <c r="T137" s="2130">
        <f>(T138+T136)/2</f>
        <v>0.29500000000000004</v>
      </c>
      <c r="U137" s="2130">
        <f>(U138+U136)/2</f>
        <v>0.45499999999999996</v>
      </c>
      <c r="V137" s="2130">
        <f>(V138+V136)/2</f>
        <v>0.58000000000000007</v>
      </c>
      <c r="W137" s="2130">
        <f>(W138+W136)/2</f>
        <v>0.72</v>
      </c>
      <c r="X137" s="2130">
        <f>(X138+X136)/2</f>
        <v>0.77500000000000002</v>
      </c>
      <c r="Y137" s="2130"/>
      <c r="Z137" s="2130"/>
      <c r="AA137" s="2130"/>
      <c r="AB137" s="2130"/>
      <c r="AC137" s="2130"/>
      <c r="AD137" s="101"/>
      <c r="AE137" s="6"/>
      <c r="AF137" s="11"/>
      <c r="AG137" s="41">
        <f t="shared" si="33"/>
        <v>0</v>
      </c>
      <c r="AH137" s="41">
        <f>IF(ISERROR(HLOOKUP(AH$91,'Improved Sales Adjustments 2'!$G$7:$WU$147,68,FALSE)),0,IF(HLOOKUP(AH$91,'Improved Sales Adjustments 2'!$G$7:$WU$147,68,FALSE)="",0,IF($S137=HLOOKUP(AH$91,'Improved Sales Adjustments 2'!$G$7:$WU$147,68,FALSE),1,0)))</f>
        <v>0</v>
      </c>
      <c r="AI137" s="41">
        <f>IF(ISERROR(HLOOKUP(AI$91,'Improved Sales Adjustments 2'!$G$7:$WU$147,68,FALSE)),0,IF(HLOOKUP(AI$91,'Improved Sales Adjustments 2'!$G$7:$WU$147,68,FALSE)="",0,IF($S137=HLOOKUP(AI$91,'Improved Sales Adjustments 2'!$G$7:$WU$147,68,FALSE),1,0)))</f>
        <v>0</v>
      </c>
      <c r="AJ137" s="41">
        <f>IF(ISERROR(HLOOKUP(AJ$91,'Improved Sales Adjustments 2'!$G$7:$WU$147,68,FALSE)),0,IF(HLOOKUP(AJ$91,'Improved Sales Adjustments 2'!$G$7:$WU$147,68,FALSE)="",0,IF($S137=HLOOKUP(AJ$91,'Improved Sales Adjustments 2'!$G$7:$WU$147,68,FALSE),1,0)))</f>
        <v>0</v>
      </c>
      <c r="AK137" s="41">
        <f>IF(ISERROR(HLOOKUP(AK$91,'Improved Sales Adjustments 2'!$G$7:$WU$147,68,FALSE)),0,IF(HLOOKUP(AK$91,'Improved Sales Adjustments 2'!$G$7:$WU$147,68,FALSE)="",0,IF($S137=HLOOKUP(AK$91,'Improved Sales Adjustments 2'!$G$7:$WU$147,68,FALSE),1,0)))</f>
        <v>0</v>
      </c>
      <c r="AL137" s="41">
        <f>IF(ISERROR(HLOOKUP(AL$91,'Improved Sales Adjustments 2'!$G$7:$WU$147,68,FALSE)),0,IF(HLOOKUP(AL$91,'Improved Sales Adjustments 2'!$G$7:$WU$147,68,FALSE)="",0,IF($S137=HLOOKUP(AL$91,'Improved Sales Adjustments 2'!$G$7:$WU$147,68,FALSE),1,0)))</f>
        <v>0</v>
      </c>
      <c r="AM137" s="41">
        <f>IF(ISERROR(HLOOKUP(AM$91,'Improved Sales Adjustments 2'!$G$7:$WU$147,68,FALSE)),0,IF(HLOOKUP(AM$91,'Improved Sales Adjustments 2'!$G$7:$WU$147,68,FALSE)="",0,IF($S137=HLOOKUP(AM$91,'Improved Sales Adjustments 2'!$G$7:$WU$147,68,FALSE),1,0)))</f>
        <v>0</v>
      </c>
      <c r="AN137" s="41">
        <f>IF(ISERROR(HLOOKUP(AN$91,'Improved Sales Adjustments 2'!$G$7:$WU$147,68,FALSE)),0,IF(HLOOKUP(AN$91,'Improved Sales Adjustments 2'!$G$7:$WU$147,68,FALSE)="",0,IF($S137=HLOOKUP(AN$91,'Improved Sales Adjustments 2'!$G$7:$WU$147,68,FALSE),1,0)))</f>
        <v>0</v>
      </c>
      <c r="AO137" s="41">
        <f>IF(ISERROR(HLOOKUP(AO$91,'Improved Sales Adjustments 2'!$G$7:$WU$147,68,FALSE)),0,IF(HLOOKUP(AO$91,'Improved Sales Adjustments 2'!$G$7:$WU$147,68,FALSE)="",0,IF($S137=HLOOKUP(AO$91,'Improved Sales Adjustments 2'!$G$7:$WU$147,68,FALSE),1,0)))</f>
        <v>0</v>
      </c>
      <c r="AP137" s="41">
        <f>IF(ISERROR(HLOOKUP(AP$91,'Improved Sales Adjustments 2'!$G$7:$WU$147,68,FALSE)),0,IF(HLOOKUP(AP$91,'Improved Sales Adjustments 2'!$G$7:$WU$147,68,FALSE)="",0,IF($S137=HLOOKUP(AP$91,'Improved Sales Adjustments 2'!$G$7:$WU$147,68,FALSE),1,0)))</f>
        <v>0</v>
      </c>
      <c r="AQ137" s="41">
        <f>IF(ISERROR(HLOOKUP(AQ$91,'Improved Sales Adjustments 2'!$G$7:$WU$147,68,FALSE)),0,IF(HLOOKUP(AQ$91,'Improved Sales Adjustments 2'!$G$7:$WU$147,68,FALSE)="",0,IF($S137=HLOOKUP(AQ$91,'Improved Sales Adjustments 2'!$G$7:$WU$147,68,FALSE),1,0)))</f>
        <v>0</v>
      </c>
      <c r="AR137" s="41">
        <f>SUM($AG137:AG137)</f>
        <v>0</v>
      </c>
      <c r="AS137" s="41">
        <f>SUM($AG137:AH137)</f>
        <v>0</v>
      </c>
      <c r="AT137" s="41">
        <f>SUM($AG137:AI137)</f>
        <v>0</v>
      </c>
      <c r="AU137" s="41">
        <f>SUM($AG137:AJ137)</f>
        <v>0</v>
      </c>
      <c r="AV137" s="41">
        <f>SUM($AG137:AK137)</f>
        <v>0</v>
      </c>
      <c r="AW137" s="41">
        <f>SUM($AG137:AL137)</f>
        <v>0</v>
      </c>
      <c r="AX137" s="41">
        <f>SUM($AG137:AM137)</f>
        <v>0</v>
      </c>
      <c r="AY137" s="41">
        <f>SUM($AG137:AN137)</f>
        <v>0</v>
      </c>
      <c r="AZ137" s="41">
        <f>SUM($AG137:AO137)</f>
        <v>0</v>
      </c>
      <c r="BA137" s="41">
        <f>SUM($AG137:AP137)</f>
        <v>0</v>
      </c>
      <c r="BB137" s="41">
        <f>SUM($AG137:AQ137)</f>
        <v>0</v>
      </c>
      <c r="BC137" s="41" t="str">
        <f t="shared" si="38"/>
        <v/>
      </c>
      <c r="BD137" s="41" t="str">
        <f t="shared" si="38"/>
        <v/>
      </c>
      <c r="BE137" s="41" t="str">
        <f t="shared" si="38"/>
        <v/>
      </c>
      <c r="BF137" s="41" t="str">
        <f t="shared" si="38"/>
        <v/>
      </c>
      <c r="BG137" s="41" t="str">
        <f t="shared" si="38"/>
        <v/>
      </c>
      <c r="BH137" s="41" t="str">
        <f t="shared" si="38"/>
        <v/>
      </c>
      <c r="BI137" s="41" t="str">
        <f t="shared" si="38"/>
        <v/>
      </c>
      <c r="BJ137" s="41" t="str">
        <f t="shared" si="38"/>
        <v/>
      </c>
      <c r="BK137" s="41" t="str">
        <f t="shared" si="38"/>
        <v/>
      </c>
      <c r="BL137" s="41" t="str">
        <f t="shared" si="37"/>
        <v/>
      </c>
      <c r="BM137" s="41" t="str">
        <f t="shared" si="37"/>
        <v/>
      </c>
    </row>
    <row r="138" spans="1:65" ht="15" customHeight="1" x14ac:dyDescent="0.25">
      <c r="A138" s="957">
        <f t="shared" si="32"/>
        <v>0</v>
      </c>
      <c r="B138" s="10"/>
      <c r="C138" s="10"/>
      <c r="D138" s="13"/>
      <c r="E138" s="10"/>
      <c r="F138" s="10"/>
      <c r="G138" s="10"/>
      <c r="H138" s="10"/>
      <c r="I138" s="10"/>
      <c r="J138" s="10"/>
      <c r="K138" s="10"/>
      <c r="L138" s="10"/>
      <c r="M138" s="10"/>
      <c r="N138" s="10"/>
      <c r="O138" s="10"/>
      <c r="P138" s="4"/>
      <c r="Q138" s="1204"/>
      <c r="R138" s="101" t="str">
        <f t="shared" si="28"/>
        <v/>
      </c>
      <c r="S138" s="137">
        <f t="shared" si="30"/>
        <v>46</v>
      </c>
      <c r="T138" s="2129">
        <v>0.31</v>
      </c>
      <c r="U138" s="2130">
        <v>0.48</v>
      </c>
      <c r="V138" s="2130">
        <v>0.6</v>
      </c>
      <c r="W138" s="2130">
        <v>0.74</v>
      </c>
      <c r="X138" s="2130">
        <v>0.78</v>
      </c>
      <c r="Y138" s="2130"/>
      <c r="Z138" s="2130"/>
      <c r="AA138" s="2130"/>
      <c r="AB138" s="2130"/>
      <c r="AC138" s="2130"/>
      <c r="AD138" s="101"/>
      <c r="AE138" s="6"/>
      <c r="AF138" s="11"/>
      <c r="AG138" s="41">
        <f t="shared" si="33"/>
        <v>0</v>
      </c>
      <c r="AH138" s="41">
        <f>IF(ISERROR(HLOOKUP(AH$91,'Improved Sales Adjustments 2'!$G$7:$WU$147,68,FALSE)),0,IF(HLOOKUP(AH$91,'Improved Sales Adjustments 2'!$G$7:$WU$147,68,FALSE)="",0,IF($S138=HLOOKUP(AH$91,'Improved Sales Adjustments 2'!$G$7:$WU$147,68,FALSE),1,0)))</f>
        <v>0</v>
      </c>
      <c r="AI138" s="41">
        <f>IF(ISERROR(HLOOKUP(AI$91,'Improved Sales Adjustments 2'!$G$7:$WU$147,68,FALSE)),0,IF(HLOOKUP(AI$91,'Improved Sales Adjustments 2'!$G$7:$WU$147,68,FALSE)="",0,IF($S138=HLOOKUP(AI$91,'Improved Sales Adjustments 2'!$G$7:$WU$147,68,FALSE),1,0)))</f>
        <v>0</v>
      </c>
      <c r="AJ138" s="41">
        <f>IF(ISERROR(HLOOKUP(AJ$91,'Improved Sales Adjustments 2'!$G$7:$WU$147,68,FALSE)),0,IF(HLOOKUP(AJ$91,'Improved Sales Adjustments 2'!$G$7:$WU$147,68,FALSE)="",0,IF($S138=HLOOKUP(AJ$91,'Improved Sales Adjustments 2'!$G$7:$WU$147,68,FALSE),1,0)))</f>
        <v>0</v>
      </c>
      <c r="AK138" s="41">
        <f>IF(ISERROR(HLOOKUP(AK$91,'Improved Sales Adjustments 2'!$G$7:$WU$147,68,FALSE)),0,IF(HLOOKUP(AK$91,'Improved Sales Adjustments 2'!$G$7:$WU$147,68,FALSE)="",0,IF($S138=HLOOKUP(AK$91,'Improved Sales Adjustments 2'!$G$7:$WU$147,68,FALSE),1,0)))</f>
        <v>0</v>
      </c>
      <c r="AL138" s="41">
        <f>IF(ISERROR(HLOOKUP(AL$91,'Improved Sales Adjustments 2'!$G$7:$WU$147,68,FALSE)),0,IF(HLOOKUP(AL$91,'Improved Sales Adjustments 2'!$G$7:$WU$147,68,FALSE)="",0,IF($S138=HLOOKUP(AL$91,'Improved Sales Adjustments 2'!$G$7:$WU$147,68,FALSE),1,0)))</f>
        <v>0</v>
      </c>
      <c r="AM138" s="41">
        <f>IF(ISERROR(HLOOKUP(AM$91,'Improved Sales Adjustments 2'!$G$7:$WU$147,68,FALSE)),0,IF(HLOOKUP(AM$91,'Improved Sales Adjustments 2'!$G$7:$WU$147,68,FALSE)="",0,IF($S138=HLOOKUP(AM$91,'Improved Sales Adjustments 2'!$G$7:$WU$147,68,FALSE),1,0)))</f>
        <v>0</v>
      </c>
      <c r="AN138" s="41">
        <f>IF(ISERROR(HLOOKUP(AN$91,'Improved Sales Adjustments 2'!$G$7:$WU$147,68,FALSE)),0,IF(HLOOKUP(AN$91,'Improved Sales Adjustments 2'!$G$7:$WU$147,68,FALSE)="",0,IF($S138=HLOOKUP(AN$91,'Improved Sales Adjustments 2'!$G$7:$WU$147,68,FALSE),1,0)))</f>
        <v>0</v>
      </c>
      <c r="AO138" s="41">
        <f>IF(ISERROR(HLOOKUP(AO$91,'Improved Sales Adjustments 2'!$G$7:$WU$147,68,FALSE)),0,IF(HLOOKUP(AO$91,'Improved Sales Adjustments 2'!$G$7:$WU$147,68,FALSE)="",0,IF($S138=HLOOKUP(AO$91,'Improved Sales Adjustments 2'!$G$7:$WU$147,68,FALSE),1,0)))</f>
        <v>0</v>
      </c>
      <c r="AP138" s="41">
        <f>IF(ISERROR(HLOOKUP(AP$91,'Improved Sales Adjustments 2'!$G$7:$WU$147,68,FALSE)),0,IF(HLOOKUP(AP$91,'Improved Sales Adjustments 2'!$G$7:$WU$147,68,FALSE)="",0,IF($S138=HLOOKUP(AP$91,'Improved Sales Adjustments 2'!$G$7:$WU$147,68,FALSE),1,0)))</f>
        <v>0</v>
      </c>
      <c r="AQ138" s="41">
        <f>IF(ISERROR(HLOOKUP(AQ$91,'Improved Sales Adjustments 2'!$G$7:$WU$147,68,FALSE)),0,IF(HLOOKUP(AQ$91,'Improved Sales Adjustments 2'!$G$7:$WU$147,68,FALSE)="",0,IF($S138=HLOOKUP(AQ$91,'Improved Sales Adjustments 2'!$G$7:$WU$147,68,FALSE),1,0)))</f>
        <v>0</v>
      </c>
      <c r="AR138" s="41">
        <f>SUM($AG138:AG138)</f>
        <v>0</v>
      </c>
      <c r="AS138" s="41">
        <f>SUM($AG138:AH138)</f>
        <v>0</v>
      </c>
      <c r="AT138" s="41">
        <f>SUM($AG138:AI138)</f>
        <v>0</v>
      </c>
      <c r="AU138" s="41">
        <f>SUM($AG138:AJ138)</f>
        <v>0</v>
      </c>
      <c r="AV138" s="41">
        <f>SUM($AG138:AK138)</f>
        <v>0</v>
      </c>
      <c r="AW138" s="41">
        <f>SUM($AG138:AL138)</f>
        <v>0</v>
      </c>
      <c r="AX138" s="41">
        <f>SUM($AG138:AM138)</f>
        <v>0</v>
      </c>
      <c r="AY138" s="41">
        <f>SUM($AG138:AN138)</f>
        <v>0</v>
      </c>
      <c r="AZ138" s="41">
        <f>SUM($AG138:AO138)</f>
        <v>0</v>
      </c>
      <c r="BA138" s="41">
        <f>SUM($AG138:AP138)</f>
        <v>0</v>
      </c>
      <c r="BB138" s="41">
        <f>SUM($AG138:AQ138)</f>
        <v>0</v>
      </c>
      <c r="BC138" s="41" t="str">
        <f t="shared" si="38"/>
        <v/>
      </c>
      <c r="BD138" s="41" t="str">
        <f t="shared" si="38"/>
        <v/>
      </c>
      <c r="BE138" s="41" t="str">
        <f t="shared" si="38"/>
        <v/>
      </c>
      <c r="BF138" s="41" t="str">
        <f t="shared" si="38"/>
        <v/>
      </c>
      <c r="BG138" s="41" t="str">
        <f t="shared" si="38"/>
        <v/>
      </c>
      <c r="BH138" s="41" t="str">
        <f t="shared" si="38"/>
        <v/>
      </c>
      <c r="BI138" s="41" t="str">
        <f t="shared" si="38"/>
        <v/>
      </c>
      <c r="BJ138" s="41" t="str">
        <f t="shared" si="38"/>
        <v/>
      </c>
      <c r="BK138" s="41" t="str">
        <f t="shared" si="38"/>
        <v/>
      </c>
      <c r="BL138" s="41" t="str">
        <f t="shared" si="37"/>
        <v/>
      </c>
      <c r="BM138" s="41" t="str">
        <f t="shared" si="37"/>
        <v/>
      </c>
    </row>
    <row r="139" spans="1:65" ht="15" customHeight="1" x14ac:dyDescent="0.25">
      <c r="A139" s="957">
        <f t="shared" si="32"/>
        <v>0</v>
      </c>
      <c r="B139" s="10"/>
      <c r="C139" s="10"/>
      <c r="D139" s="13"/>
      <c r="E139" s="10"/>
      <c r="F139" s="10"/>
      <c r="G139" s="10"/>
      <c r="H139" s="10"/>
      <c r="I139" s="10"/>
      <c r="J139" s="10"/>
      <c r="K139" s="10"/>
      <c r="L139" s="10"/>
      <c r="M139" s="10"/>
      <c r="N139" s="10"/>
      <c r="O139" s="10"/>
      <c r="P139" s="4"/>
      <c r="Q139" s="1204"/>
      <c r="R139" s="101" t="str">
        <f t="shared" si="28"/>
        <v/>
      </c>
      <c r="S139" s="137">
        <f t="shared" si="30"/>
        <v>47</v>
      </c>
      <c r="T139" s="2130">
        <f>(T140+T138)/2</f>
        <v>0.32500000000000001</v>
      </c>
      <c r="U139" s="2130">
        <f>(U140+U138)/2</f>
        <v>0.505</v>
      </c>
      <c r="V139" s="2130">
        <f>(V140+V138)/2</f>
        <v>0.62</v>
      </c>
      <c r="W139" s="2130">
        <f>(W140+W138)/2</f>
        <v>0.755</v>
      </c>
      <c r="X139" s="2130">
        <f>(X140+X138)/2</f>
        <v>0.78500000000000003</v>
      </c>
      <c r="Y139" s="2130"/>
      <c r="Z139" s="2130"/>
      <c r="AA139" s="2130"/>
      <c r="AB139" s="2130"/>
      <c r="AC139" s="2130"/>
      <c r="AD139" s="101"/>
      <c r="AE139" s="6"/>
      <c r="AF139" s="11"/>
      <c r="AG139" s="41">
        <f t="shared" si="33"/>
        <v>0</v>
      </c>
      <c r="AH139" s="41">
        <f>IF(ISERROR(HLOOKUP(AH$91,'Improved Sales Adjustments 2'!$G$7:$WU$147,68,FALSE)),0,IF(HLOOKUP(AH$91,'Improved Sales Adjustments 2'!$G$7:$WU$147,68,FALSE)="",0,IF($S139=HLOOKUP(AH$91,'Improved Sales Adjustments 2'!$G$7:$WU$147,68,FALSE),1,0)))</f>
        <v>0</v>
      </c>
      <c r="AI139" s="41">
        <f>IF(ISERROR(HLOOKUP(AI$91,'Improved Sales Adjustments 2'!$G$7:$WU$147,68,FALSE)),0,IF(HLOOKUP(AI$91,'Improved Sales Adjustments 2'!$G$7:$WU$147,68,FALSE)="",0,IF($S139=HLOOKUP(AI$91,'Improved Sales Adjustments 2'!$G$7:$WU$147,68,FALSE),1,0)))</f>
        <v>0</v>
      </c>
      <c r="AJ139" s="41">
        <f>IF(ISERROR(HLOOKUP(AJ$91,'Improved Sales Adjustments 2'!$G$7:$WU$147,68,FALSE)),0,IF(HLOOKUP(AJ$91,'Improved Sales Adjustments 2'!$G$7:$WU$147,68,FALSE)="",0,IF($S139=HLOOKUP(AJ$91,'Improved Sales Adjustments 2'!$G$7:$WU$147,68,FALSE),1,0)))</f>
        <v>0</v>
      </c>
      <c r="AK139" s="41">
        <f>IF(ISERROR(HLOOKUP(AK$91,'Improved Sales Adjustments 2'!$G$7:$WU$147,68,FALSE)),0,IF(HLOOKUP(AK$91,'Improved Sales Adjustments 2'!$G$7:$WU$147,68,FALSE)="",0,IF($S139=HLOOKUP(AK$91,'Improved Sales Adjustments 2'!$G$7:$WU$147,68,FALSE),1,0)))</f>
        <v>0</v>
      </c>
      <c r="AL139" s="41">
        <f>IF(ISERROR(HLOOKUP(AL$91,'Improved Sales Adjustments 2'!$G$7:$WU$147,68,FALSE)),0,IF(HLOOKUP(AL$91,'Improved Sales Adjustments 2'!$G$7:$WU$147,68,FALSE)="",0,IF($S139=HLOOKUP(AL$91,'Improved Sales Adjustments 2'!$G$7:$WU$147,68,FALSE),1,0)))</f>
        <v>0</v>
      </c>
      <c r="AM139" s="41">
        <f>IF(ISERROR(HLOOKUP(AM$91,'Improved Sales Adjustments 2'!$G$7:$WU$147,68,FALSE)),0,IF(HLOOKUP(AM$91,'Improved Sales Adjustments 2'!$G$7:$WU$147,68,FALSE)="",0,IF($S139=HLOOKUP(AM$91,'Improved Sales Adjustments 2'!$G$7:$WU$147,68,FALSE),1,0)))</f>
        <v>0</v>
      </c>
      <c r="AN139" s="41">
        <f>IF(ISERROR(HLOOKUP(AN$91,'Improved Sales Adjustments 2'!$G$7:$WU$147,68,FALSE)),0,IF(HLOOKUP(AN$91,'Improved Sales Adjustments 2'!$G$7:$WU$147,68,FALSE)="",0,IF($S139=HLOOKUP(AN$91,'Improved Sales Adjustments 2'!$G$7:$WU$147,68,FALSE),1,0)))</f>
        <v>0</v>
      </c>
      <c r="AO139" s="41">
        <f>IF(ISERROR(HLOOKUP(AO$91,'Improved Sales Adjustments 2'!$G$7:$WU$147,68,FALSE)),0,IF(HLOOKUP(AO$91,'Improved Sales Adjustments 2'!$G$7:$WU$147,68,FALSE)="",0,IF($S139=HLOOKUP(AO$91,'Improved Sales Adjustments 2'!$G$7:$WU$147,68,FALSE),1,0)))</f>
        <v>0</v>
      </c>
      <c r="AP139" s="41">
        <f>IF(ISERROR(HLOOKUP(AP$91,'Improved Sales Adjustments 2'!$G$7:$WU$147,68,FALSE)),0,IF(HLOOKUP(AP$91,'Improved Sales Adjustments 2'!$G$7:$WU$147,68,FALSE)="",0,IF($S139=HLOOKUP(AP$91,'Improved Sales Adjustments 2'!$G$7:$WU$147,68,FALSE),1,0)))</f>
        <v>0</v>
      </c>
      <c r="AQ139" s="41">
        <f>IF(ISERROR(HLOOKUP(AQ$91,'Improved Sales Adjustments 2'!$G$7:$WU$147,68,FALSE)),0,IF(HLOOKUP(AQ$91,'Improved Sales Adjustments 2'!$G$7:$WU$147,68,FALSE)="",0,IF($S139=HLOOKUP(AQ$91,'Improved Sales Adjustments 2'!$G$7:$WU$147,68,FALSE),1,0)))</f>
        <v>0</v>
      </c>
      <c r="AR139" s="41">
        <f>SUM($AG139:AG139)</f>
        <v>0</v>
      </c>
      <c r="AS139" s="41">
        <f>SUM($AG139:AH139)</f>
        <v>0</v>
      </c>
      <c r="AT139" s="41">
        <f>SUM($AG139:AI139)</f>
        <v>0</v>
      </c>
      <c r="AU139" s="41">
        <f>SUM($AG139:AJ139)</f>
        <v>0</v>
      </c>
      <c r="AV139" s="41">
        <f>SUM($AG139:AK139)</f>
        <v>0</v>
      </c>
      <c r="AW139" s="41">
        <f>SUM($AG139:AL139)</f>
        <v>0</v>
      </c>
      <c r="AX139" s="41">
        <f>SUM($AG139:AM139)</f>
        <v>0</v>
      </c>
      <c r="AY139" s="41">
        <f>SUM($AG139:AN139)</f>
        <v>0</v>
      </c>
      <c r="AZ139" s="41">
        <f>SUM($AG139:AO139)</f>
        <v>0</v>
      </c>
      <c r="BA139" s="41">
        <f>SUM($AG139:AP139)</f>
        <v>0</v>
      </c>
      <c r="BB139" s="41">
        <f>SUM($AG139:AQ139)</f>
        <v>0</v>
      </c>
      <c r="BC139" s="41" t="str">
        <f t="shared" si="38"/>
        <v/>
      </c>
      <c r="BD139" s="41" t="str">
        <f t="shared" si="38"/>
        <v/>
      </c>
      <c r="BE139" s="41" t="str">
        <f t="shared" si="38"/>
        <v/>
      </c>
      <c r="BF139" s="41" t="str">
        <f t="shared" si="38"/>
        <v/>
      </c>
      <c r="BG139" s="41" t="str">
        <f t="shared" si="38"/>
        <v/>
      </c>
      <c r="BH139" s="41" t="str">
        <f t="shared" si="38"/>
        <v/>
      </c>
      <c r="BI139" s="41" t="str">
        <f t="shared" si="38"/>
        <v/>
      </c>
      <c r="BJ139" s="41" t="str">
        <f t="shared" si="38"/>
        <v/>
      </c>
      <c r="BK139" s="41" t="str">
        <f t="shared" si="38"/>
        <v/>
      </c>
      <c r="BL139" s="41" t="str">
        <f t="shared" si="37"/>
        <v/>
      </c>
      <c r="BM139" s="41" t="str">
        <f t="shared" si="37"/>
        <v/>
      </c>
    </row>
    <row r="140" spans="1:65" ht="15" customHeight="1" x14ac:dyDescent="0.25">
      <c r="A140" s="957">
        <f t="shared" si="32"/>
        <v>0</v>
      </c>
      <c r="B140" s="10"/>
      <c r="C140" s="10"/>
      <c r="D140" s="13"/>
      <c r="E140" s="10"/>
      <c r="F140" s="10"/>
      <c r="G140" s="10"/>
      <c r="H140" s="10"/>
      <c r="I140" s="10"/>
      <c r="J140" s="10"/>
      <c r="K140" s="10"/>
      <c r="L140" s="10"/>
      <c r="M140" s="10"/>
      <c r="N140" s="10"/>
      <c r="O140" s="10"/>
      <c r="P140" s="4"/>
      <c r="Q140" s="1204"/>
      <c r="R140" s="101" t="str">
        <f t="shared" si="28"/>
        <v/>
      </c>
      <c r="S140" s="137">
        <f t="shared" si="30"/>
        <v>48</v>
      </c>
      <c r="T140" s="2129">
        <v>0.34</v>
      </c>
      <c r="U140" s="2130">
        <v>0.53</v>
      </c>
      <c r="V140" s="2130">
        <v>0.64</v>
      </c>
      <c r="W140" s="2130">
        <v>0.77</v>
      </c>
      <c r="X140" s="2130">
        <v>0.79</v>
      </c>
      <c r="Y140" s="2130"/>
      <c r="Z140" s="2130"/>
      <c r="AA140" s="2130"/>
      <c r="AB140" s="2130"/>
      <c r="AC140" s="2130"/>
      <c r="AD140" s="101"/>
      <c r="AE140" s="6"/>
      <c r="AF140" s="11"/>
      <c r="AG140" s="41">
        <f t="shared" si="33"/>
        <v>0</v>
      </c>
      <c r="AH140" s="41">
        <f>IF(ISERROR(HLOOKUP(AH$91,'Improved Sales Adjustments 2'!$G$7:$WU$147,68,FALSE)),0,IF(HLOOKUP(AH$91,'Improved Sales Adjustments 2'!$G$7:$WU$147,68,FALSE)="",0,IF($S140=HLOOKUP(AH$91,'Improved Sales Adjustments 2'!$G$7:$WU$147,68,FALSE),1,0)))</f>
        <v>0</v>
      </c>
      <c r="AI140" s="41">
        <f>IF(ISERROR(HLOOKUP(AI$91,'Improved Sales Adjustments 2'!$G$7:$WU$147,68,FALSE)),0,IF(HLOOKUP(AI$91,'Improved Sales Adjustments 2'!$G$7:$WU$147,68,FALSE)="",0,IF($S140=HLOOKUP(AI$91,'Improved Sales Adjustments 2'!$G$7:$WU$147,68,FALSE),1,0)))</f>
        <v>0</v>
      </c>
      <c r="AJ140" s="41">
        <f>IF(ISERROR(HLOOKUP(AJ$91,'Improved Sales Adjustments 2'!$G$7:$WU$147,68,FALSE)),0,IF(HLOOKUP(AJ$91,'Improved Sales Adjustments 2'!$G$7:$WU$147,68,FALSE)="",0,IF($S140=HLOOKUP(AJ$91,'Improved Sales Adjustments 2'!$G$7:$WU$147,68,FALSE),1,0)))</f>
        <v>0</v>
      </c>
      <c r="AK140" s="41">
        <f>IF(ISERROR(HLOOKUP(AK$91,'Improved Sales Adjustments 2'!$G$7:$WU$147,68,FALSE)),0,IF(HLOOKUP(AK$91,'Improved Sales Adjustments 2'!$G$7:$WU$147,68,FALSE)="",0,IF($S140=HLOOKUP(AK$91,'Improved Sales Adjustments 2'!$G$7:$WU$147,68,FALSE),1,0)))</f>
        <v>0</v>
      </c>
      <c r="AL140" s="41">
        <f>IF(ISERROR(HLOOKUP(AL$91,'Improved Sales Adjustments 2'!$G$7:$WU$147,68,FALSE)),0,IF(HLOOKUP(AL$91,'Improved Sales Adjustments 2'!$G$7:$WU$147,68,FALSE)="",0,IF($S140=HLOOKUP(AL$91,'Improved Sales Adjustments 2'!$G$7:$WU$147,68,FALSE),1,0)))</f>
        <v>0</v>
      </c>
      <c r="AM140" s="41">
        <f>IF(ISERROR(HLOOKUP(AM$91,'Improved Sales Adjustments 2'!$G$7:$WU$147,68,FALSE)),0,IF(HLOOKUP(AM$91,'Improved Sales Adjustments 2'!$G$7:$WU$147,68,FALSE)="",0,IF($S140=HLOOKUP(AM$91,'Improved Sales Adjustments 2'!$G$7:$WU$147,68,FALSE),1,0)))</f>
        <v>0</v>
      </c>
      <c r="AN140" s="41">
        <f>IF(ISERROR(HLOOKUP(AN$91,'Improved Sales Adjustments 2'!$G$7:$WU$147,68,FALSE)),0,IF(HLOOKUP(AN$91,'Improved Sales Adjustments 2'!$G$7:$WU$147,68,FALSE)="",0,IF($S140=HLOOKUP(AN$91,'Improved Sales Adjustments 2'!$G$7:$WU$147,68,FALSE),1,0)))</f>
        <v>0</v>
      </c>
      <c r="AO140" s="41">
        <f>IF(ISERROR(HLOOKUP(AO$91,'Improved Sales Adjustments 2'!$G$7:$WU$147,68,FALSE)),0,IF(HLOOKUP(AO$91,'Improved Sales Adjustments 2'!$G$7:$WU$147,68,FALSE)="",0,IF($S140=HLOOKUP(AO$91,'Improved Sales Adjustments 2'!$G$7:$WU$147,68,FALSE),1,0)))</f>
        <v>0</v>
      </c>
      <c r="AP140" s="41">
        <f>IF(ISERROR(HLOOKUP(AP$91,'Improved Sales Adjustments 2'!$G$7:$WU$147,68,FALSE)),0,IF(HLOOKUP(AP$91,'Improved Sales Adjustments 2'!$G$7:$WU$147,68,FALSE)="",0,IF($S140=HLOOKUP(AP$91,'Improved Sales Adjustments 2'!$G$7:$WU$147,68,FALSE),1,0)))</f>
        <v>0</v>
      </c>
      <c r="AQ140" s="41">
        <f>IF(ISERROR(HLOOKUP(AQ$91,'Improved Sales Adjustments 2'!$G$7:$WU$147,68,FALSE)),0,IF(HLOOKUP(AQ$91,'Improved Sales Adjustments 2'!$G$7:$WU$147,68,FALSE)="",0,IF($S140=HLOOKUP(AQ$91,'Improved Sales Adjustments 2'!$G$7:$WU$147,68,FALSE),1,0)))</f>
        <v>0</v>
      </c>
      <c r="AR140" s="41">
        <f>SUM($AG140:AG140)</f>
        <v>0</v>
      </c>
      <c r="AS140" s="41">
        <f>SUM($AG140:AH140)</f>
        <v>0</v>
      </c>
      <c r="AT140" s="41">
        <f>SUM($AG140:AI140)</f>
        <v>0</v>
      </c>
      <c r="AU140" s="41">
        <f>SUM($AG140:AJ140)</f>
        <v>0</v>
      </c>
      <c r="AV140" s="41">
        <f>SUM($AG140:AK140)</f>
        <v>0</v>
      </c>
      <c r="AW140" s="41">
        <f>SUM($AG140:AL140)</f>
        <v>0</v>
      </c>
      <c r="AX140" s="41">
        <f>SUM($AG140:AM140)</f>
        <v>0</v>
      </c>
      <c r="AY140" s="41">
        <f>SUM($AG140:AN140)</f>
        <v>0</v>
      </c>
      <c r="AZ140" s="41">
        <f>SUM($AG140:AO140)</f>
        <v>0</v>
      </c>
      <c r="BA140" s="41">
        <f>SUM($AG140:AP140)</f>
        <v>0</v>
      </c>
      <c r="BB140" s="41">
        <f>SUM($AG140:AQ140)</f>
        <v>0</v>
      </c>
      <c r="BC140" s="41" t="str">
        <f t="shared" si="38"/>
        <v/>
      </c>
      <c r="BD140" s="41" t="str">
        <f t="shared" si="38"/>
        <v/>
      </c>
      <c r="BE140" s="41" t="str">
        <f t="shared" si="38"/>
        <v/>
      </c>
      <c r="BF140" s="41" t="str">
        <f t="shared" si="38"/>
        <v/>
      </c>
      <c r="BG140" s="41" t="str">
        <f t="shared" si="38"/>
        <v/>
      </c>
      <c r="BH140" s="41" t="str">
        <f t="shared" si="38"/>
        <v/>
      </c>
      <c r="BI140" s="41" t="str">
        <f t="shared" si="38"/>
        <v/>
      </c>
      <c r="BJ140" s="41" t="str">
        <f t="shared" si="38"/>
        <v/>
      </c>
      <c r="BK140" s="41" t="str">
        <f t="shared" si="38"/>
        <v/>
      </c>
      <c r="BL140" s="41" t="str">
        <f t="shared" si="37"/>
        <v/>
      </c>
      <c r="BM140" s="41" t="str">
        <f t="shared" si="37"/>
        <v/>
      </c>
    </row>
    <row r="141" spans="1:65" ht="15" customHeight="1" x14ac:dyDescent="0.25">
      <c r="A141" s="957">
        <f t="shared" si="32"/>
        <v>0</v>
      </c>
      <c r="B141" s="10"/>
      <c r="C141" s="10"/>
      <c r="D141" s="13"/>
      <c r="E141" s="10"/>
      <c r="F141" s="10"/>
      <c r="G141" s="10"/>
      <c r="H141" s="10"/>
      <c r="I141" s="10"/>
      <c r="J141" s="10"/>
      <c r="K141" s="10"/>
      <c r="L141" s="10"/>
      <c r="M141" s="10"/>
      <c r="N141" s="10"/>
      <c r="O141" s="10"/>
      <c r="P141" s="4"/>
      <c r="Q141" s="1204"/>
      <c r="R141" s="101" t="str">
        <f t="shared" si="28"/>
        <v/>
      </c>
      <c r="S141" s="137">
        <f t="shared" si="30"/>
        <v>49</v>
      </c>
      <c r="T141" s="2130">
        <f>(T142+T140)/2</f>
        <v>0.36</v>
      </c>
      <c r="U141" s="2130">
        <f>(U142+U140)/2</f>
        <v>0.55499999999999994</v>
      </c>
      <c r="V141" s="2130">
        <f>(V142+V140)/2</f>
        <v>0.66</v>
      </c>
      <c r="W141" s="2130">
        <f>(W142+W140)/2</f>
        <v>0.78</v>
      </c>
      <c r="X141" s="2130">
        <f>(X142+X140)/2</f>
        <v>0.79500000000000004</v>
      </c>
      <c r="Y141" s="2130"/>
      <c r="Z141" s="2130"/>
      <c r="AA141" s="2130"/>
      <c r="AB141" s="2130"/>
      <c r="AC141" s="2130"/>
      <c r="AD141" s="101"/>
      <c r="AE141" s="6"/>
      <c r="AF141" s="11"/>
      <c r="AG141" s="41">
        <f t="shared" si="33"/>
        <v>0</v>
      </c>
      <c r="AH141" s="41">
        <f>IF(ISERROR(HLOOKUP(AH$91,'Improved Sales Adjustments 2'!$G$7:$WU$147,68,FALSE)),0,IF(HLOOKUP(AH$91,'Improved Sales Adjustments 2'!$G$7:$WU$147,68,FALSE)="",0,IF($S141=HLOOKUP(AH$91,'Improved Sales Adjustments 2'!$G$7:$WU$147,68,FALSE),1,0)))</f>
        <v>0</v>
      </c>
      <c r="AI141" s="41">
        <f>IF(ISERROR(HLOOKUP(AI$91,'Improved Sales Adjustments 2'!$G$7:$WU$147,68,FALSE)),0,IF(HLOOKUP(AI$91,'Improved Sales Adjustments 2'!$G$7:$WU$147,68,FALSE)="",0,IF($S141=HLOOKUP(AI$91,'Improved Sales Adjustments 2'!$G$7:$WU$147,68,FALSE),1,0)))</f>
        <v>0</v>
      </c>
      <c r="AJ141" s="41">
        <f>IF(ISERROR(HLOOKUP(AJ$91,'Improved Sales Adjustments 2'!$G$7:$WU$147,68,FALSE)),0,IF(HLOOKUP(AJ$91,'Improved Sales Adjustments 2'!$G$7:$WU$147,68,FALSE)="",0,IF($S141=HLOOKUP(AJ$91,'Improved Sales Adjustments 2'!$G$7:$WU$147,68,FALSE),1,0)))</f>
        <v>0</v>
      </c>
      <c r="AK141" s="41">
        <f>IF(ISERROR(HLOOKUP(AK$91,'Improved Sales Adjustments 2'!$G$7:$WU$147,68,FALSE)),0,IF(HLOOKUP(AK$91,'Improved Sales Adjustments 2'!$G$7:$WU$147,68,FALSE)="",0,IF($S141=HLOOKUP(AK$91,'Improved Sales Adjustments 2'!$G$7:$WU$147,68,FALSE),1,0)))</f>
        <v>0</v>
      </c>
      <c r="AL141" s="41">
        <f>IF(ISERROR(HLOOKUP(AL$91,'Improved Sales Adjustments 2'!$G$7:$WU$147,68,FALSE)),0,IF(HLOOKUP(AL$91,'Improved Sales Adjustments 2'!$G$7:$WU$147,68,FALSE)="",0,IF($S141=HLOOKUP(AL$91,'Improved Sales Adjustments 2'!$G$7:$WU$147,68,FALSE),1,0)))</f>
        <v>0</v>
      </c>
      <c r="AM141" s="41">
        <f>IF(ISERROR(HLOOKUP(AM$91,'Improved Sales Adjustments 2'!$G$7:$WU$147,68,FALSE)),0,IF(HLOOKUP(AM$91,'Improved Sales Adjustments 2'!$G$7:$WU$147,68,FALSE)="",0,IF($S141=HLOOKUP(AM$91,'Improved Sales Adjustments 2'!$G$7:$WU$147,68,FALSE),1,0)))</f>
        <v>0</v>
      </c>
      <c r="AN141" s="41">
        <f>IF(ISERROR(HLOOKUP(AN$91,'Improved Sales Adjustments 2'!$G$7:$WU$147,68,FALSE)),0,IF(HLOOKUP(AN$91,'Improved Sales Adjustments 2'!$G$7:$WU$147,68,FALSE)="",0,IF($S141=HLOOKUP(AN$91,'Improved Sales Adjustments 2'!$G$7:$WU$147,68,FALSE),1,0)))</f>
        <v>0</v>
      </c>
      <c r="AO141" s="41">
        <f>IF(ISERROR(HLOOKUP(AO$91,'Improved Sales Adjustments 2'!$G$7:$WU$147,68,FALSE)),0,IF(HLOOKUP(AO$91,'Improved Sales Adjustments 2'!$G$7:$WU$147,68,FALSE)="",0,IF($S141=HLOOKUP(AO$91,'Improved Sales Adjustments 2'!$G$7:$WU$147,68,FALSE),1,0)))</f>
        <v>0</v>
      </c>
      <c r="AP141" s="41">
        <f>IF(ISERROR(HLOOKUP(AP$91,'Improved Sales Adjustments 2'!$G$7:$WU$147,68,FALSE)),0,IF(HLOOKUP(AP$91,'Improved Sales Adjustments 2'!$G$7:$WU$147,68,FALSE)="",0,IF($S141=HLOOKUP(AP$91,'Improved Sales Adjustments 2'!$G$7:$WU$147,68,FALSE),1,0)))</f>
        <v>0</v>
      </c>
      <c r="AQ141" s="41">
        <f>IF(ISERROR(HLOOKUP(AQ$91,'Improved Sales Adjustments 2'!$G$7:$WU$147,68,FALSE)),0,IF(HLOOKUP(AQ$91,'Improved Sales Adjustments 2'!$G$7:$WU$147,68,FALSE)="",0,IF($S141=HLOOKUP(AQ$91,'Improved Sales Adjustments 2'!$G$7:$WU$147,68,FALSE),1,0)))</f>
        <v>0</v>
      </c>
      <c r="AR141" s="41">
        <f>SUM($AG141:AG141)</f>
        <v>0</v>
      </c>
      <c r="AS141" s="41">
        <f>SUM($AG141:AH141)</f>
        <v>0</v>
      </c>
      <c r="AT141" s="41">
        <f>SUM($AG141:AI141)</f>
        <v>0</v>
      </c>
      <c r="AU141" s="41">
        <f>SUM($AG141:AJ141)</f>
        <v>0</v>
      </c>
      <c r="AV141" s="41">
        <f>SUM($AG141:AK141)</f>
        <v>0</v>
      </c>
      <c r="AW141" s="41">
        <f>SUM($AG141:AL141)</f>
        <v>0</v>
      </c>
      <c r="AX141" s="41">
        <f>SUM($AG141:AM141)</f>
        <v>0</v>
      </c>
      <c r="AY141" s="41">
        <f>SUM($AG141:AN141)</f>
        <v>0</v>
      </c>
      <c r="AZ141" s="41">
        <f>SUM($AG141:AO141)</f>
        <v>0</v>
      </c>
      <c r="BA141" s="41">
        <f>SUM($AG141:AP141)</f>
        <v>0</v>
      </c>
      <c r="BB141" s="41">
        <f>SUM($AG141:AQ141)</f>
        <v>0</v>
      </c>
      <c r="BC141" s="41" t="str">
        <f t="shared" si="38"/>
        <v/>
      </c>
      <c r="BD141" s="41" t="str">
        <f t="shared" si="38"/>
        <v/>
      </c>
      <c r="BE141" s="41" t="str">
        <f t="shared" si="38"/>
        <v/>
      </c>
      <c r="BF141" s="41" t="str">
        <f t="shared" si="38"/>
        <v/>
      </c>
      <c r="BG141" s="41" t="str">
        <f t="shared" si="38"/>
        <v/>
      </c>
      <c r="BH141" s="41" t="str">
        <f t="shared" si="38"/>
        <v/>
      </c>
      <c r="BI141" s="41" t="str">
        <f t="shared" si="38"/>
        <v/>
      </c>
      <c r="BJ141" s="41" t="str">
        <f t="shared" si="38"/>
        <v/>
      </c>
      <c r="BK141" s="41" t="str">
        <f t="shared" si="38"/>
        <v/>
      </c>
      <c r="BL141" s="41" t="str">
        <f t="shared" si="37"/>
        <v/>
      </c>
      <c r="BM141" s="41" t="str">
        <f t="shared" si="37"/>
        <v/>
      </c>
    </row>
    <row r="142" spans="1:65" ht="15" customHeight="1" x14ac:dyDescent="0.25">
      <c r="A142" s="957">
        <f t="shared" si="32"/>
        <v>0</v>
      </c>
      <c r="B142" s="10"/>
      <c r="C142" s="10"/>
      <c r="D142" s="13"/>
      <c r="E142" s="10"/>
      <c r="F142" s="10"/>
      <c r="G142" s="10"/>
      <c r="H142" s="10"/>
      <c r="I142" s="10"/>
      <c r="J142" s="10"/>
      <c r="K142" s="10"/>
      <c r="L142" s="10"/>
      <c r="M142" s="10"/>
      <c r="N142" s="10"/>
      <c r="O142" s="10"/>
      <c r="P142" s="4"/>
      <c r="Q142" s="1204"/>
      <c r="R142" s="101" t="str">
        <f t="shared" si="28"/>
        <v/>
      </c>
      <c r="S142" s="137">
        <f t="shared" si="30"/>
        <v>50</v>
      </c>
      <c r="T142" s="2129">
        <v>0.38</v>
      </c>
      <c r="U142" s="2130">
        <v>0.57999999999999996</v>
      </c>
      <c r="V142" s="2130">
        <v>0.68</v>
      </c>
      <c r="W142" s="2130">
        <v>0.79</v>
      </c>
      <c r="X142" s="2130">
        <v>0.8</v>
      </c>
      <c r="Y142" s="2130"/>
      <c r="Z142" s="2130"/>
      <c r="AA142" s="2130"/>
      <c r="AB142" s="2130"/>
      <c r="AC142" s="2130"/>
      <c r="AD142" s="101"/>
      <c r="AE142" s="6"/>
      <c r="AF142" s="11"/>
      <c r="AG142" s="41">
        <f t="shared" si="33"/>
        <v>0</v>
      </c>
      <c r="AH142" s="41">
        <f>IF(ISERROR(HLOOKUP(AH$91,'Improved Sales Adjustments 2'!$G$7:$WU$147,68,FALSE)),0,IF(HLOOKUP(AH$91,'Improved Sales Adjustments 2'!$G$7:$WU$147,68,FALSE)="",0,IF($S142=HLOOKUP(AH$91,'Improved Sales Adjustments 2'!$G$7:$WU$147,68,FALSE),1,0)))</f>
        <v>0</v>
      </c>
      <c r="AI142" s="41">
        <f>IF(ISERROR(HLOOKUP(AI$91,'Improved Sales Adjustments 2'!$G$7:$WU$147,68,FALSE)),0,IF(HLOOKUP(AI$91,'Improved Sales Adjustments 2'!$G$7:$WU$147,68,FALSE)="",0,IF($S142=HLOOKUP(AI$91,'Improved Sales Adjustments 2'!$G$7:$WU$147,68,FALSE),1,0)))</f>
        <v>0</v>
      </c>
      <c r="AJ142" s="41">
        <f>IF(ISERROR(HLOOKUP(AJ$91,'Improved Sales Adjustments 2'!$G$7:$WU$147,68,FALSE)),0,IF(HLOOKUP(AJ$91,'Improved Sales Adjustments 2'!$G$7:$WU$147,68,FALSE)="",0,IF($S142=HLOOKUP(AJ$91,'Improved Sales Adjustments 2'!$G$7:$WU$147,68,FALSE),1,0)))</f>
        <v>0</v>
      </c>
      <c r="AK142" s="41">
        <f>IF(ISERROR(HLOOKUP(AK$91,'Improved Sales Adjustments 2'!$G$7:$WU$147,68,FALSE)),0,IF(HLOOKUP(AK$91,'Improved Sales Adjustments 2'!$G$7:$WU$147,68,FALSE)="",0,IF($S142=HLOOKUP(AK$91,'Improved Sales Adjustments 2'!$G$7:$WU$147,68,FALSE),1,0)))</f>
        <v>0</v>
      </c>
      <c r="AL142" s="41">
        <f>IF(ISERROR(HLOOKUP(AL$91,'Improved Sales Adjustments 2'!$G$7:$WU$147,68,FALSE)),0,IF(HLOOKUP(AL$91,'Improved Sales Adjustments 2'!$G$7:$WU$147,68,FALSE)="",0,IF($S142=HLOOKUP(AL$91,'Improved Sales Adjustments 2'!$G$7:$WU$147,68,FALSE),1,0)))</f>
        <v>0</v>
      </c>
      <c r="AM142" s="41">
        <f>IF(ISERROR(HLOOKUP(AM$91,'Improved Sales Adjustments 2'!$G$7:$WU$147,68,FALSE)),0,IF(HLOOKUP(AM$91,'Improved Sales Adjustments 2'!$G$7:$WU$147,68,FALSE)="",0,IF($S142=HLOOKUP(AM$91,'Improved Sales Adjustments 2'!$G$7:$WU$147,68,FALSE),1,0)))</f>
        <v>0</v>
      </c>
      <c r="AN142" s="41">
        <f>IF(ISERROR(HLOOKUP(AN$91,'Improved Sales Adjustments 2'!$G$7:$WU$147,68,FALSE)),0,IF(HLOOKUP(AN$91,'Improved Sales Adjustments 2'!$G$7:$WU$147,68,FALSE)="",0,IF($S142=HLOOKUP(AN$91,'Improved Sales Adjustments 2'!$G$7:$WU$147,68,FALSE),1,0)))</f>
        <v>0</v>
      </c>
      <c r="AO142" s="41">
        <f>IF(ISERROR(HLOOKUP(AO$91,'Improved Sales Adjustments 2'!$G$7:$WU$147,68,FALSE)),0,IF(HLOOKUP(AO$91,'Improved Sales Adjustments 2'!$G$7:$WU$147,68,FALSE)="",0,IF($S142=HLOOKUP(AO$91,'Improved Sales Adjustments 2'!$G$7:$WU$147,68,FALSE),1,0)))</f>
        <v>0</v>
      </c>
      <c r="AP142" s="41">
        <f>IF(ISERROR(HLOOKUP(AP$91,'Improved Sales Adjustments 2'!$G$7:$WU$147,68,FALSE)),0,IF(HLOOKUP(AP$91,'Improved Sales Adjustments 2'!$G$7:$WU$147,68,FALSE)="",0,IF($S142=HLOOKUP(AP$91,'Improved Sales Adjustments 2'!$G$7:$WU$147,68,FALSE),1,0)))</f>
        <v>0</v>
      </c>
      <c r="AQ142" s="41">
        <f>IF(ISERROR(HLOOKUP(AQ$91,'Improved Sales Adjustments 2'!$G$7:$WU$147,68,FALSE)),0,IF(HLOOKUP(AQ$91,'Improved Sales Adjustments 2'!$G$7:$WU$147,68,FALSE)="",0,IF($S142=HLOOKUP(AQ$91,'Improved Sales Adjustments 2'!$G$7:$WU$147,68,FALSE),1,0)))</f>
        <v>0</v>
      </c>
      <c r="AR142" s="41">
        <f>SUM($AG142:AG142)</f>
        <v>0</v>
      </c>
      <c r="AS142" s="41">
        <f>SUM($AG142:AH142)</f>
        <v>0</v>
      </c>
      <c r="AT142" s="41">
        <f>SUM($AG142:AI142)</f>
        <v>0</v>
      </c>
      <c r="AU142" s="41">
        <f>SUM($AG142:AJ142)</f>
        <v>0</v>
      </c>
      <c r="AV142" s="41">
        <f>SUM($AG142:AK142)</f>
        <v>0</v>
      </c>
      <c r="AW142" s="41">
        <f>SUM($AG142:AL142)</f>
        <v>0</v>
      </c>
      <c r="AX142" s="41">
        <f>SUM($AG142:AM142)</f>
        <v>0</v>
      </c>
      <c r="AY142" s="41">
        <f>SUM($AG142:AN142)</f>
        <v>0</v>
      </c>
      <c r="AZ142" s="41">
        <f>SUM($AG142:AO142)</f>
        <v>0</v>
      </c>
      <c r="BA142" s="41">
        <f>SUM($AG142:AP142)</f>
        <v>0</v>
      </c>
      <c r="BB142" s="41">
        <f>SUM($AG142:AQ142)</f>
        <v>0</v>
      </c>
      <c r="BC142" s="41" t="str">
        <f t="shared" si="38"/>
        <v/>
      </c>
      <c r="BD142" s="41" t="str">
        <f t="shared" si="38"/>
        <v/>
      </c>
      <c r="BE142" s="41" t="str">
        <f t="shared" si="38"/>
        <v/>
      </c>
      <c r="BF142" s="41" t="str">
        <f t="shared" si="38"/>
        <v/>
      </c>
      <c r="BG142" s="41" t="str">
        <f t="shared" si="38"/>
        <v/>
      </c>
      <c r="BH142" s="41" t="str">
        <f t="shared" si="38"/>
        <v/>
      </c>
      <c r="BI142" s="41" t="str">
        <f t="shared" si="38"/>
        <v/>
      </c>
      <c r="BJ142" s="41" t="str">
        <f t="shared" si="38"/>
        <v/>
      </c>
      <c r="BK142" s="41" t="str">
        <f t="shared" si="38"/>
        <v/>
      </c>
      <c r="BL142" s="41" t="str">
        <f t="shared" si="37"/>
        <v/>
      </c>
      <c r="BM142" s="41" t="str">
        <f t="shared" si="37"/>
        <v/>
      </c>
    </row>
    <row r="143" spans="1:65" ht="15" customHeight="1" x14ac:dyDescent="0.25">
      <c r="A143" s="957">
        <f t="shared" si="32"/>
        <v>0</v>
      </c>
      <c r="B143" s="10"/>
      <c r="C143" s="10"/>
      <c r="D143" s="13"/>
      <c r="E143" s="10"/>
      <c r="F143" s="10"/>
      <c r="G143" s="10"/>
      <c r="H143" s="10"/>
      <c r="I143" s="10"/>
      <c r="J143" s="10"/>
      <c r="K143" s="10"/>
      <c r="L143" s="10"/>
      <c r="M143" s="10"/>
      <c r="N143" s="10"/>
      <c r="O143" s="10"/>
      <c r="P143" s="4"/>
      <c r="Q143" s="1204"/>
      <c r="R143" s="101" t="str">
        <f t="shared" si="28"/>
        <v/>
      </c>
      <c r="S143" s="137">
        <f t="shared" si="30"/>
        <v>51</v>
      </c>
      <c r="T143" s="2130">
        <f>((T$147-T$142)/5)+T142</f>
        <v>0.4</v>
      </c>
      <c r="U143" s="2130">
        <f>((U$147-U$142)/5)+U142</f>
        <v>0.59799999999999998</v>
      </c>
      <c r="V143" s="2130">
        <f>((V$147-V$142)/5)+V142</f>
        <v>0.69400000000000006</v>
      </c>
      <c r="W143" s="2130">
        <f>((W$147-W$142)/5)+W142</f>
        <v>0.79200000000000004</v>
      </c>
      <c r="X143" s="2130"/>
      <c r="Y143" s="2130"/>
      <c r="Z143" s="2130"/>
      <c r="AA143" s="2130"/>
      <c r="AB143" s="2130"/>
      <c r="AC143" s="2130"/>
      <c r="AD143" s="101"/>
      <c r="AE143" s="6"/>
      <c r="AF143" s="11"/>
      <c r="AG143" s="41">
        <f t="shared" si="33"/>
        <v>0</v>
      </c>
      <c r="AH143" s="41">
        <f>IF(ISERROR(HLOOKUP(AH$91,'Improved Sales Adjustments 2'!$G$7:$WU$147,68,FALSE)),0,IF(HLOOKUP(AH$91,'Improved Sales Adjustments 2'!$G$7:$WU$147,68,FALSE)="",0,IF($S143=HLOOKUP(AH$91,'Improved Sales Adjustments 2'!$G$7:$WU$147,68,FALSE),1,0)))</f>
        <v>0</v>
      </c>
      <c r="AI143" s="41">
        <f>IF(ISERROR(HLOOKUP(AI$91,'Improved Sales Adjustments 2'!$G$7:$WU$147,68,FALSE)),0,IF(HLOOKUP(AI$91,'Improved Sales Adjustments 2'!$G$7:$WU$147,68,FALSE)="",0,IF($S143=HLOOKUP(AI$91,'Improved Sales Adjustments 2'!$G$7:$WU$147,68,FALSE),1,0)))</f>
        <v>0</v>
      </c>
      <c r="AJ143" s="41">
        <f>IF(ISERROR(HLOOKUP(AJ$91,'Improved Sales Adjustments 2'!$G$7:$WU$147,68,FALSE)),0,IF(HLOOKUP(AJ$91,'Improved Sales Adjustments 2'!$G$7:$WU$147,68,FALSE)="",0,IF($S143=HLOOKUP(AJ$91,'Improved Sales Adjustments 2'!$G$7:$WU$147,68,FALSE),1,0)))</f>
        <v>0</v>
      </c>
      <c r="AK143" s="41">
        <f>IF(ISERROR(HLOOKUP(AK$91,'Improved Sales Adjustments 2'!$G$7:$WU$147,68,FALSE)),0,IF(HLOOKUP(AK$91,'Improved Sales Adjustments 2'!$G$7:$WU$147,68,FALSE)="",0,IF($S143=HLOOKUP(AK$91,'Improved Sales Adjustments 2'!$G$7:$WU$147,68,FALSE),1,0)))</f>
        <v>0</v>
      </c>
      <c r="AL143" s="41">
        <f>IF(ISERROR(HLOOKUP(AL$91,'Improved Sales Adjustments 2'!$G$7:$WU$147,68,FALSE)),0,IF(HLOOKUP(AL$91,'Improved Sales Adjustments 2'!$G$7:$WU$147,68,FALSE)="",0,IF($S143=HLOOKUP(AL$91,'Improved Sales Adjustments 2'!$G$7:$WU$147,68,FALSE),1,0)))</f>
        <v>0</v>
      </c>
      <c r="AM143" s="41">
        <f>IF(ISERROR(HLOOKUP(AM$91,'Improved Sales Adjustments 2'!$G$7:$WU$147,68,FALSE)),0,IF(HLOOKUP(AM$91,'Improved Sales Adjustments 2'!$G$7:$WU$147,68,FALSE)="",0,IF($S143=HLOOKUP(AM$91,'Improved Sales Adjustments 2'!$G$7:$WU$147,68,FALSE),1,0)))</f>
        <v>0</v>
      </c>
      <c r="AN143" s="41">
        <f>IF(ISERROR(HLOOKUP(AN$91,'Improved Sales Adjustments 2'!$G$7:$WU$147,68,FALSE)),0,IF(HLOOKUP(AN$91,'Improved Sales Adjustments 2'!$G$7:$WU$147,68,FALSE)="",0,IF($S143=HLOOKUP(AN$91,'Improved Sales Adjustments 2'!$G$7:$WU$147,68,FALSE),1,0)))</f>
        <v>0</v>
      </c>
      <c r="AO143" s="41">
        <f>IF(ISERROR(HLOOKUP(AO$91,'Improved Sales Adjustments 2'!$G$7:$WU$147,68,FALSE)),0,IF(HLOOKUP(AO$91,'Improved Sales Adjustments 2'!$G$7:$WU$147,68,FALSE)="",0,IF($S143=HLOOKUP(AO$91,'Improved Sales Adjustments 2'!$G$7:$WU$147,68,FALSE),1,0)))</f>
        <v>0</v>
      </c>
      <c r="AP143" s="41">
        <f>IF(ISERROR(HLOOKUP(AP$91,'Improved Sales Adjustments 2'!$G$7:$WU$147,68,FALSE)),0,IF(HLOOKUP(AP$91,'Improved Sales Adjustments 2'!$G$7:$WU$147,68,FALSE)="",0,IF($S143=HLOOKUP(AP$91,'Improved Sales Adjustments 2'!$G$7:$WU$147,68,FALSE),1,0)))</f>
        <v>0</v>
      </c>
      <c r="AQ143" s="41">
        <f>IF(ISERROR(HLOOKUP(AQ$91,'Improved Sales Adjustments 2'!$G$7:$WU$147,68,FALSE)),0,IF(HLOOKUP(AQ$91,'Improved Sales Adjustments 2'!$G$7:$WU$147,68,FALSE)="",0,IF($S143=HLOOKUP(AQ$91,'Improved Sales Adjustments 2'!$G$7:$WU$147,68,FALSE),1,0)))</f>
        <v>0</v>
      </c>
      <c r="AR143" s="41">
        <f>SUM($AG143:AG143)</f>
        <v>0</v>
      </c>
      <c r="AS143" s="41">
        <f>SUM($AG143:AH143)</f>
        <v>0</v>
      </c>
      <c r="AT143" s="41">
        <f>SUM($AG143:AI143)</f>
        <v>0</v>
      </c>
      <c r="AU143" s="41">
        <f>SUM($AG143:AJ143)</f>
        <v>0</v>
      </c>
      <c r="AV143" s="41">
        <f>SUM($AG143:AK143)</f>
        <v>0</v>
      </c>
      <c r="AW143" s="41">
        <f>SUM($AG143:AL143)</f>
        <v>0</v>
      </c>
      <c r="AX143" s="41">
        <f>SUM($AG143:AM143)</f>
        <v>0</v>
      </c>
      <c r="AY143" s="41">
        <f>SUM($AG143:AN143)</f>
        <v>0</v>
      </c>
      <c r="AZ143" s="41">
        <f>SUM($AG143:AO143)</f>
        <v>0</v>
      </c>
      <c r="BA143" s="41">
        <f>SUM($AG143:AP143)</f>
        <v>0</v>
      </c>
      <c r="BB143" s="41">
        <f>SUM($AG143:AQ143)</f>
        <v>0</v>
      </c>
      <c r="BC143" s="41" t="str">
        <f t="shared" si="38"/>
        <v/>
      </c>
      <c r="BD143" s="41" t="str">
        <f t="shared" si="38"/>
        <v/>
      </c>
      <c r="BE143" s="41" t="str">
        <f t="shared" si="38"/>
        <v/>
      </c>
      <c r="BF143" s="41" t="str">
        <f t="shared" si="38"/>
        <v/>
      </c>
      <c r="BG143" s="41" t="str">
        <f t="shared" si="38"/>
        <v/>
      </c>
      <c r="BH143" s="41" t="str">
        <f t="shared" si="38"/>
        <v/>
      </c>
      <c r="BI143" s="41" t="str">
        <f t="shared" si="38"/>
        <v/>
      </c>
      <c r="BJ143" s="41" t="str">
        <f t="shared" si="38"/>
        <v/>
      </c>
      <c r="BK143" s="41" t="str">
        <f t="shared" si="38"/>
        <v/>
      </c>
      <c r="BL143" s="41" t="str">
        <f t="shared" si="37"/>
        <v/>
      </c>
      <c r="BM143" s="41" t="str">
        <f t="shared" si="37"/>
        <v/>
      </c>
    </row>
    <row r="144" spans="1:65" ht="15" customHeight="1" x14ac:dyDescent="0.25">
      <c r="A144" s="957">
        <f t="shared" si="32"/>
        <v>0</v>
      </c>
      <c r="B144" s="10"/>
      <c r="C144" s="10"/>
      <c r="D144" s="13"/>
      <c r="E144" s="10"/>
      <c r="F144" s="10"/>
      <c r="G144" s="10"/>
      <c r="H144" s="10"/>
      <c r="I144" s="10"/>
      <c r="J144" s="10"/>
      <c r="K144" s="10"/>
      <c r="L144" s="10"/>
      <c r="M144" s="10"/>
      <c r="N144" s="10"/>
      <c r="O144" s="10"/>
      <c r="P144" s="4"/>
      <c r="Q144" s="1204"/>
      <c r="R144" s="101" t="str">
        <f t="shared" si="28"/>
        <v/>
      </c>
      <c r="S144" s="137">
        <f t="shared" si="30"/>
        <v>52</v>
      </c>
      <c r="T144" s="2130">
        <f>((T$147-T$142)/5)+T143</f>
        <v>0.42000000000000004</v>
      </c>
      <c r="U144" s="2130">
        <f t="shared" ref="U144:W146" si="40">((U$147-U$142)/5)+U143</f>
        <v>0.61599999999999999</v>
      </c>
      <c r="V144" s="2130">
        <f t="shared" si="40"/>
        <v>0.70800000000000007</v>
      </c>
      <c r="W144" s="2130">
        <f t="shared" si="40"/>
        <v>0.79400000000000004</v>
      </c>
      <c r="X144" s="2130"/>
      <c r="Y144" s="2130"/>
      <c r="Z144" s="2130"/>
      <c r="AA144" s="2130"/>
      <c r="AB144" s="2130"/>
      <c r="AC144" s="2130"/>
      <c r="AD144" s="101"/>
      <c r="AE144" s="6"/>
      <c r="AF144" s="11"/>
      <c r="AG144" s="41">
        <f t="shared" si="33"/>
        <v>0</v>
      </c>
      <c r="AH144" s="41">
        <f>IF(ISERROR(HLOOKUP(AH$91,'Improved Sales Adjustments 2'!$G$7:$WU$147,68,FALSE)),0,IF(HLOOKUP(AH$91,'Improved Sales Adjustments 2'!$G$7:$WU$147,68,FALSE)="",0,IF($S144=HLOOKUP(AH$91,'Improved Sales Adjustments 2'!$G$7:$WU$147,68,FALSE),1,0)))</f>
        <v>0</v>
      </c>
      <c r="AI144" s="41">
        <f>IF(ISERROR(HLOOKUP(AI$91,'Improved Sales Adjustments 2'!$G$7:$WU$147,68,FALSE)),0,IF(HLOOKUP(AI$91,'Improved Sales Adjustments 2'!$G$7:$WU$147,68,FALSE)="",0,IF($S144=HLOOKUP(AI$91,'Improved Sales Adjustments 2'!$G$7:$WU$147,68,FALSE),1,0)))</f>
        <v>0</v>
      </c>
      <c r="AJ144" s="41">
        <f>IF(ISERROR(HLOOKUP(AJ$91,'Improved Sales Adjustments 2'!$G$7:$WU$147,68,FALSE)),0,IF(HLOOKUP(AJ$91,'Improved Sales Adjustments 2'!$G$7:$WU$147,68,FALSE)="",0,IF($S144=HLOOKUP(AJ$91,'Improved Sales Adjustments 2'!$G$7:$WU$147,68,FALSE),1,0)))</f>
        <v>0</v>
      </c>
      <c r="AK144" s="41">
        <f>IF(ISERROR(HLOOKUP(AK$91,'Improved Sales Adjustments 2'!$G$7:$WU$147,68,FALSE)),0,IF(HLOOKUP(AK$91,'Improved Sales Adjustments 2'!$G$7:$WU$147,68,FALSE)="",0,IF($S144=HLOOKUP(AK$91,'Improved Sales Adjustments 2'!$G$7:$WU$147,68,FALSE),1,0)))</f>
        <v>0</v>
      </c>
      <c r="AL144" s="41">
        <f>IF(ISERROR(HLOOKUP(AL$91,'Improved Sales Adjustments 2'!$G$7:$WU$147,68,FALSE)),0,IF(HLOOKUP(AL$91,'Improved Sales Adjustments 2'!$G$7:$WU$147,68,FALSE)="",0,IF($S144=HLOOKUP(AL$91,'Improved Sales Adjustments 2'!$G$7:$WU$147,68,FALSE),1,0)))</f>
        <v>0</v>
      </c>
      <c r="AM144" s="41">
        <f>IF(ISERROR(HLOOKUP(AM$91,'Improved Sales Adjustments 2'!$G$7:$WU$147,68,FALSE)),0,IF(HLOOKUP(AM$91,'Improved Sales Adjustments 2'!$G$7:$WU$147,68,FALSE)="",0,IF($S144=HLOOKUP(AM$91,'Improved Sales Adjustments 2'!$G$7:$WU$147,68,FALSE),1,0)))</f>
        <v>0</v>
      </c>
      <c r="AN144" s="41">
        <f>IF(ISERROR(HLOOKUP(AN$91,'Improved Sales Adjustments 2'!$G$7:$WU$147,68,FALSE)),0,IF(HLOOKUP(AN$91,'Improved Sales Adjustments 2'!$G$7:$WU$147,68,FALSE)="",0,IF($S144=HLOOKUP(AN$91,'Improved Sales Adjustments 2'!$G$7:$WU$147,68,FALSE),1,0)))</f>
        <v>0</v>
      </c>
      <c r="AO144" s="41">
        <f>IF(ISERROR(HLOOKUP(AO$91,'Improved Sales Adjustments 2'!$G$7:$WU$147,68,FALSE)),0,IF(HLOOKUP(AO$91,'Improved Sales Adjustments 2'!$G$7:$WU$147,68,FALSE)="",0,IF($S144=HLOOKUP(AO$91,'Improved Sales Adjustments 2'!$G$7:$WU$147,68,FALSE),1,0)))</f>
        <v>0</v>
      </c>
      <c r="AP144" s="41">
        <f>IF(ISERROR(HLOOKUP(AP$91,'Improved Sales Adjustments 2'!$G$7:$WU$147,68,FALSE)),0,IF(HLOOKUP(AP$91,'Improved Sales Adjustments 2'!$G$7:$WU$147,68,FALSE)="",0,IF($S144=HLOOKUP(AP$91,'Improved Sales Adjustments 2'!$G$7:$WU$147,68,FALSE),1,0)))</f>
        <v>0</v>
      </c>
      <c r="AQ144" s="41">
        <f>IF(ISERROR(HLOOKUP(AQ$91,'Improved Sales Adjustments 2'!$G$7:$WU$147,68,FALSE)),0,IF(HLOOKUP(AQ$91,'Improved Sales Adjustments 2'!$G$7:$WU$147,68,FALSE)="",0,IF($S144=HLOOKUP(AQ$91,'Improved Sales Adjustments 2'!$G$7:$WU$147,68,FALSE),1,0)))</f>
        <v>0</v>
      </c>
      <c r="AR144" s="41">
        <f>SUM($AG144:AG144)</f>
        <v>0</v>
      </c>
      <c r="AS144" s="41">
        <f>SUM($AG144:AH144)</f>
        <v>0</v>
      </c>
      <c r="AT144" s="41">
        <f>SUM($AG144:AI144)</f>
        <v>0</v>
      </c>
      <c r="AU144" s="41">
        <f>SUM($AG144:AJ144)</f>
        <v>0</v>
      </c>
      <c r="AV144" s="41">
        <f>SUM($AG144:AK144)</f>
        <v>0</v>
      </c>
      <c r="AW144" s="41">
        <f>SUM($AG144:AL144)</f>
        <v>0</v>
      </c>
      <c r="AX144" s="41">
        <f>SUM($AG144:AM144)</f>
        <v>0</v>
      </c>
      <c r="AY144" s="41">
        <f>SUM($AG144:AN144)</f>
        <v>0</v>
      </c>
      <c r="AZ144" s="41">
        <f>SUM($AG144:AO144)</f>
        <v>0</v>
      </c>
      <c r="BA144" s="41">
        <f>SUM($AG144:AP144)</f>
        <v>0</v>
      </c>
      <c r="BB144" s="41">
        <f>SUM($AG144:AQ144)</f>
        <v>0</v>
      </c>
      <c r="BC144" s="41" t="str">
        <f t="shared" si="38"/>
        <v/>
      </c>
      <c r="BD144" s="41" t="str">
        <f t="shared" si="38"/>
        <v/>
      </c>
      <c r="BE144" s="41" t="str">
        <f t="shared" si="38"/>
        <v/>
      </c>
      <c r="BF144" s="41" t="str">
        <f t="shared" si="38"/>
        <v/>
      </c>
      <c r="BG144" s="41" t="str">
        <f t="shared" si="38"/>
        <v/>
      </c>
      <c r="BH144" s="41" t="str">
        <f t="shared" si="38"/>
        <v/>
      </c>
      <c r="BI144" s="41" t="str">
        <f t="shared" si="38"/>
        <v/>
      </c>
      <c r="BJ144" s="41" t="str">
        <f t="shared" si="38"/>
        <v/>
      </c>
      <c r="BK144" s="41" t="str">
        <f t="shared" si="38"/>
        <v/>
      </c>
      <c r="BL144" s="41" t="str">
        <f t="shared" si="37"/>
        <v/>
      </c>
      <c r="BM144" s="41" t="str">
        <f t="shared" si="37"/>
        <v/>
      </c>
    </row>
    <row r="145" spans="1:65" ht="15" customHeight="1" x14ac:dyDescent="0.25">
      <c r="A145" s="957">
        <f t="shared" si="32"/>
        <v>0</v>
      </c>
      <c r="B145" s="10"/>
      <c r="C145" s="10"/>
      <c r="D145" s="13"/>
      <c r="E145" s="10"/>
      <c r="F145" s="10"/>
      <c r="G145" s="10"/>
      <c r="H145" s="10"/>
      <c r="I145" s="10"/>
      <c r="J145" s="10"/>
      <c r="K145" s="10"/>
      <c r="L145" s="10"/>
      <c r="M145" s="10"/>
      <c r="N145" s="10"/>
      <c r="O145" s="10"/>
      <c r="P145" s="4"/>
      <c r="Q145" s="1204"/>
      <c r="R145" s="101" t="str">
        <f t="shared" si="28"/>
        <v/>
      </c>
      <c r="S145" s="137">
        <f t="shared" si="30"/>
        <v>53</v>
      </c>
      <c r="T145" s="2130">
        <f>((T$147-T$142)/5)+T144</f>
        <v>0.44000000000000006</v>
      </c>
      <c r="U145" s="2130">
        <f t="shared" si="40"/>
        <v>0.63400000000000001</v>
      </c>
      <c r="V145" s="2130">
        <f t="shared" si="40"/>
        <v>0.72200000000000009</v>
      </c>
      <c r="W145" s="2130">
        <f t="shared" si="40"/>
        <v>0.79600000000000004</v>
      </c>
      <c r="X145" s="2130"/>
      <c r="Y145" s="2130"/>
      <c r="Z145" s="2130"/>
      <c r="AA145" s="2130"/>
      <c r="AB145" s="2130"/>
      <c r="AC145" s="2130"/>
      <c r="AD145" s="101"/>
      <c r="AE145" s="6"/>
      <c r="AF145" s="11"/>
      <c r="AG145" s="41">
        <f t="shared" si="33"/>
        <v>0</v>
      </c>
      <c r="AH145" s="41">
        <f>IF(ISERROR(HLOOKUP(AH$91,'Improved Sales Adjustments 2'!$G$7:$WU$147,68,FALSE)),0,IF(HLOOKUP(AH$91,'Improved Sales Adjustments 2'!$G$7:$WU$147,68,FALSE)="",0,IF($S145=HLOOKUP(AH$91,'Improved Sales Adjustments 2'!$G$7:$WU$147,68,FALSE),1,0)))</f>
        <v>0</v>
      </c>
      <c r="AI145" s="41">
        <f>IF(ISERROR(HLOOKUP(AI$91,'Improved Sales Adjustments 2'!$G$7:$WU$147,68,FALSE)),0,IF(HLOOKUP(AI$91,'Improved Sales Adjustments 2'!$G$7:$WU$147,68,FALSE)="",0,IF($S145=HLOOKUP(AI$91,'Improved Sales Adjustments 2'!$G$7:$WU$147,68,FALSE),1,0)))</f>
        <v>0</v>
      </c>
      <c r="AJ145" s="41">
        <f>IF(ISERROR(HLOOKUP(AJ$91,'Improved Sales Adjustments 2'!$G$7:$WU$147,68,FALSE)),0,IF(HLOOKUP(AJ$91,'Improved Sales Adjustments 2'!$G$7:$WU$147,68,FALSE)="",0,IF($S145=HLOOKUP(AJ$91,'Improved Sales Adjustments 2'!$G$7:$WU$147,68,FALSE),1,0)))</f>
        <v>0</v>
      </c>
      <c r="AK145" s="41">
        <f>IF(ISERROR(HLOOKUP(AK$91,'Improved Sales Adjustments 2'!$G$7:$WU$147,68,FALSE)),0,IF(HLOOKUP(AK$91,'Improved Sales Adjustments 2'!$G$7:$WU$147,68,FALSE)="",0,IF($S145=HLOOKUP(AK$91,'Improved Sales Adjustments 2'!$G$7:$WU$147,68,FALSE),1,0)))</f>
        <v>0</v>
      </c>
      <c r="AL145" s="41">
        <f>IF(ISERROR(HLOOKUP(AL$91,'Improved Sales Adjustments 2'!$G$7:$WU$147,68,FALSE)),0,IF(HLOOKUP(AL$91,'Improved Sales Adjustments 2'!$G$7:$WU$147,68,FALSE)="",0,IF($S145=HLOOKUP(AL$91,'Improved Sales Adjustments 2'!$G$7:$WU$147,68,FALSE),1,0)))</f>
        <v>0</v>
      </c>
      <c r="AM145" s="41">
        <f>IF(ISERROR(HLOOKUP(AM$91,'Improved Sales Adjustments 2'!$G$7:$WU$147,68,FALSE)),0,IF(HLOOKUP(AM$91,'Improved Sales Adjustments 2'!$G$7:$WU$147,68,FALSE)="",0,IF($S145=HLOOKUP(AM$91,'Improved Sales Adjustments 2'!$G$7:$WU$147,68,FALSE),1,0)))</f>
        <v>0</v>
      </c>
      <c r="AN145" s="41">
        <f>IF(ISERROR(HLOOKUP(AN$91,'Improved Sales Adjustments 2'!$G$7:$WU$147,68,FALSE)),0,IF(HLOOKUP(AN$91,'Improved Sales Adjustments 2'!$G$7:$WU$147,68,FALSE)="",0,IF($S145=HLOOKUP(AN$91,'Improved Sales Adjustments 2'!$G$7:$WU$147,68,FALSE),1,0)))</f>
        <v>0</v>
      </c>
      <c r="AO145" s="41">
        <f>IF(ISERROR(HLOOKUP(AO$91,'Improved Sales Adjustments 2'!$G$7:$WU$147,68,FALSE)),0,IF(HLOOKUP(AO$91,'Improved Sales Adjustments 2'!$G$7:$WU$147,68,FALSE)="",0,IF($S145=HLOOKUP(AO$91,'Improved Sales Adjustments 2'!$G$7:$WU$147,68,FALSE),1,0)))</f>
        <v>0</v>
      </c>
      <c r="AP145" s="41">
        <f>IF(ISERROR(HLOOKUP(AP$91,'Improved Sales Adjustments 2'!$G$7:$WU$147,68,FALSE)),0,IF(HLOOKUP(AP$91,'Improved Sales Adjustments 2'!$G$7:$WU$147,68,FALSE)="",0,IF($S145=HLOOKUP(AP$91,'Improved Sales Adjustments 2'!$G$7:$WU$147,68,FALSE),1,0)))</f>
        <v>0</v>
      </c>
      <c r="AQ145" s="41">
        <f>IF(ISERROR(HLOOKUP(AQ$91,'Improved Sales Adjustments 2'!$G$7:$WU$147,68,FALSE)),0,IF(HLOOKUP(AQ$91,'Improved Sales Adjustments 2'!$G$7:$WU$147,68,FALSE)="",0,IF($S145=HLOOKUP(AQ$91,'Improved Sales Adjustments 2'!$G$7:$WU$147,68,FALSE),1,0)))</f>
        <v>0</v>
      </c>
      <c r="AR145" s="41">
        <f>SUM($AG145:AG145)</f>
        <v>0</v>
      </c>
      <c r="AS145" s="41">
        <f>SUM($AG145:AH145)</f>
        <v>0</v>
      </c>
      <c r="AT145" s="41">
        <f>SUM($AG145:AI145)</f>
        <v>0</v>
      </c>
      <c r="AU145" s="41">
        <f>SUM($AG145:AJ145)</f>
        <v>0</v>
      </c>
      <c r="AV145" s="41">
        <f>SUM($AG145:AK145)</f>
        <v>0</v>
      </c>
      <c r="AW145" s="41">
        <f>SUM($AG145:AL145)</f>
        <v>0</v>
      </c>
      <c r="AX145" s="41">
        <f>SUM($AG145:AM145)</f>
        <v>0</v>
      </c>
      <c r="AY145" s="41">
        <f>SUM($AG145:AN145)</f>
        <v>0</v>
      </c>
      <c r="AZ145" s="41">
        <f>SUM($AG145:AO145)</f>
        <v>0</v>
      </c>
      <c r="BA145" s="41">
        <f>SUM($AG145:AP145)</f>
        <v>0</v>
      </c>
      <c r="BB145" s="41">
        <f>SUM($AG145:AQ145)</f>
        <v>0</v>
      </c>
      <c r="BC145" s="41" t="str">
        <f t="shared" si="38"/>
        <v/>
      </c>
      <c r="BD145" s="41" t="str">
        <f t="shared" si="38"/>
        <v/>
      </c>
      <c r="BE145" s="41" t="str">
        <f t="shared" si="38"/>
        <v/>
      </c>
      <c r="BF145" s="41" t="str">
        <f t="shared" si="38"/>
        <v/>
      </c>
      <c r="BG145" s="41" t="str">
        <f t="shared" si="38"/>
        <v/>
      </c>
      <c r="BH145" s="41" t="str">
        <f t="shared" si="38"/>
        <v/>
      </c>
      <c r="BI145" s="41" t="str">
        <f t="shared" si="38"/>
        <v/>
      </c>
      <c r="BJ145" s="41" t="str">
        <f t="shared" si="38"/>
        <v/>
      </c>
      <c r="BK145" s="41" t="str">
        <f t="shared" si="38"/>
        <v/>
      </c>
      <c r="BL145" s="41" t="str">
        <f t="shared" si="37"/>
        <v/>
      </c>
      <c r="BM145" s="41" t="str">
        <f t="shared" si="37"/>
        <v/>
      </c>
    </row>
    <row r="146" spans="1:65" ht="15" customHeight="1" x14ac:dyDescent="0.25">
      <c r="A146" s="957">
        <f t="shared" si="32"/>
        <v>0</v>
      </c>
      <c r="B146" s="10"/>
      <c r="C146" s="10"/>
      <c r="D146" s="13"/>
      <c r="E146" s="10"/>
      <c r="F146" s="10"/>
      <c r="G146" s="10"/>
      <c r="H146" s="10"/>
      <c r="I146" s="10"/>
      <c r="J146" s="10"/>
      <c r="K146" s="10"/>
      <c r="L146" s="10"/>
      <c r="M146" s="10"/>
      <c r="N146" s="10"/>
      <c r="O146" s="10"/>
      <c r="P146" s="4"/>
      <c r="Q146" s="1204"/>
      <c r="R146" s="101" t="str">
        <f t="shared" si="28"/>
        <v/>
      </c>
      <c r="S146" s="137">
        <f t="shared" si="30"/>
        <v>54</v>
      </c>
      <c r="T146" s="2130">
        <f>((T$147-T$142)/5)+T145</f>
        <v>0.46000000000000008</v>
      </c>
      <c r="U146" s="2130">
        <f t="shared" si="40"/>
        <v>0.65200000000000002</v>
      </c>
      <c r="V146" s="2130">
        <f t="shared" si="40"/>
        <v>0.7360000000000001</v>
      </c>
      <c r="W146" s="2130">
        <f t="shared" si="40"/>
        <v>0.79800000000000004</v>
      </c>
      <c r="X146" s="2130"/>
      <c r="Y146" s="2130"/>
      <c r="Z146" s="2130"/>
      <c r="AA146" s="2130"/>
      <c r="AB146" s="2130"/>
      <c r="AC146" s="2130"/>
      <c r="AD146" s="101"/>
      <c r="AE146" s="6"/>
      <c r="AF146" s="11"/>
      <c r="AG146" s="41">
        <f t="shared" si="33"/>
        <v>0</v>
      </c>
      <c r="AH146" s="41">
        <f>IF(ISERROR(HLOOKUP(AH$91,'Improved Sales Adjustments 2'!$G$7:$WU$147,68,FALSE)),0,IF(HLOOKUP(AH$91,'Improved Sales Adjustments 2'!$G$7:$WU$147,68,FALSE)="",0,IF($S146=HLOOKUP(AH$91,'Improved Sales Adjustments 2'!$G$7:$WU$147,68,FALSE),1,0)))</f>
        <v>0</v>
      </c>
      <c r="AI146" s="41">
        <f>IF(ISERROR(HLOOKUP(AI$91,'Improved Sales Adjustments 2'!$G$7:$WU$147,68,FALSE)),0,IF(HLOOKUP(AI$91,'Improved Sales Adjustments 2'!$G$7:$WU$147,68,FALSE)="",0,IF($S146=HLOOKUP(AI$91,'Improved Sales Adjustments 2'!$G$7:$WU$147,68,FALSE),1,0)))</f>
        <v>0</v>
      </c>
      <c r="AJ146" s="41">
        <f>IF(ISERROR(HLOOKUP(AJ$91,'Improved Sales Adjustments 2'!$G$7:$WU$147,68,FALSE)),0,IF(HLOOKUP(AJ$91,'Improved Sales Adjustments 2'!$G$7:$WU$147,68,FALSE)="",0,IF($S146=HLOOKUP(AJ$91,'Improved Sales Adjustments 2'!$G$7:$WU$147,68,FALSE),1,0)))</f>
        <v>0</v>
      </c>
      <c r="AK146" s="41">
        <f>IF(ISERROR(HLOOKUP(AK$91,'Improved Sales Adjustments 2'!$G$7:$WU$147,68,FALSE)),0,IF(HLOOKUP(AK$91,'Improved Sales Adjustments 2'!$G$7:$WU$147,68,FALSE)="",0,IF($S146=HLOOKUP(AK$91,'Improved Sales Adjustments 2'!$G$7:$WU$147,68,FALSE),1,0)))</f>
        <v>0</v>
      </c>
      <c r="AL146" s="41">
        <f>IF(ISERROR(HLOOKUP(AL$91,'Improved Sales Adjustments 2'!$G$7:$WU$147,68,FALSE)),0,IF(HLOOKUP(AL$91,'Improved Sales Adjustments 2'!$G$7:$WU$147,68,FALSE)="",0,IF($S146=HLOOKUP(AL$91,'Improved Sales Adjustments 2'!$G$7:$WU$147,68,FALSE),1,0)))</f>
        <v>0</v>
      </c>
      <c r="AM146" s="41">
        <f>IF(ISERROR(HLOOKUP(AM$91,'Improved Sales Adjustments 2'!$G$7:$WU$147,68,FALSE)),0,IF(HLOOKUP(AM$91,'Improved Sales Adjustments 2'!$G$7:$WU$147,68,FALSE)="",0,IF($S146=HLOOKUP(AM$91,'Improved Sales Adjustments 2'!$G$7:$WU$147,68,FALSE),1,0)))</f>
        <v>0</v>
      </c>
      <c r="AN146" s="41">
        <f>IF(ISERROR(HLOOKUP(AN$91,'Improved Sales Adjustments 2'!$G$7:$WU$147,68,FALSE)),0,IF(HLOOKUP(AN$91,'Improved Sales Adjustments 2'!$G$7:$WU$147,68,FALSE)="",0,IF($S146=HLOOKUP(AN$91,'Improved Sales Adjustments 2'!$G$7:$WU$147,68,FALSE),1,0)))</f>
        <v>0</v>
      </c>
      <c r="AO146" s="41">
        <f>IF(ISERROR(HLOOKUP(AO$91,'Improved Sales Adjustments 2'!$G$7:$WU$147,68,FALSE)),0,IF(HLOOKUP(AO$91,'Improved Sales Adjustments 2'!$G$7:$WU$147,68,FALSE)="",0,IF($S146=HLOOKUP(AO$91,'Improved Sales Adjustments 2'!$G$7:$WU$147,68,FALSE),1,0)))</f>
        <v>0</v>
      </c>
      <c r="AP146" s="41">
        <f>IF(ISERROR(HLOOKUP(AP$91,'Improved Sales Adjustments 2'!$G$7:$WU$147,68,FALSE)),0,IF(HLOOKUP(AP$91,'Improved Sales Adjustments 2'!$G$7:$WU$147,68,FALSE)="",0,IF($S146=HLOOKUP(AP$91,'Improved Sales Adjustments 2'!$G$7:$WU$147,68,FALSE),1,0)))</f>
        <v>0</v>
      </c>
      <c r="AQ146" s="41">
        <f>IF(ISERROR(HLOOKUP(AQ$91,'Improved Sales Adjustments 2'!$G$7:$WU$147,68,FALSE)),0,IF(HLOOKUP(AQ$91,'Improved Sales Adjustments 2'!$G$7:$WU$147,68,FALSE)="",0,IF($S146=HLOOKUP(AQ$91,'Improved Sales Adjustments 2'!$G$7:$WU$147,68,FALSE),1,0)))</f>
        <v>0</v>
      </c>
      <c r="AR146" s="41">
        <f>SUM($AG146:AG146)</f>
        <v>0</v>
      </c>
      <c r="AS146" s="41">
        <f>SUM($AG146:AH146)</f>
        <v>0</v>
      </c>
      <c r="AT146" s="41">
        <f>SUM($AG146:AI146)</f>
        <v>0</v>
      </c>
      <c r="AU146" s="41">
        <f>SUM($AG146:AJ146)</f>
        <v>0</v>
      </c>
      <c r="AV146" s="41">
        <f>SUM($AG146:AK146)</f>
        <v>0</v>
      </c>
      <c r="AW146" s="41">
        <f>SUM($AG146:AL146)</f>
        <v>0</v>
      </c>
      <c r="AX146" s="41">
        <f>SUM($AG146:AM146)</f>
        <v>0</v>
      </c>
      <c r="AY146" s="41">
        <f>SUM($AG146:AN146)</f>
        <v>0</v>
      </c>
      <c r="AZ146" s="41">
        <f>SUM($AG146:AO146)</f>
        <v>0</v>
      </c>
      <c r="BA146" s="41">
        <f>SUM($AG146:AP146)</f>
        <v>0</v>
      </c>
      <c r="BB146" s="41">
        <f>SUM($AG146:AQ146)</f>
        <v>0</v>
      </c>
      <c r="BC146" s="41" t="str">
        <f t="shared" si="38"/>
        <v/>
      </c>
      <c r="BD146" s="41" t="str">
        <f t="shared" si="38"/>
        <v/>
      </c>
      <c r="BE146" s="41" t="str">
        <f t="shared" si="38"/>
        <v/>
      </c>
      <c r="BF146" s="41" t="str">
        <f t="shared" si="38"/>
        <v/>
      </c>
      <c r="BG146" s="41" t="str">
        <f t="shared" si="38"/>
        <v/>
      </c>
      <c r="BH146" s="41" t="str">
        <f t="shared" si="38"/>
        <v/>
      </c>
      <c r="BI146" s="41" t="str">
        <f t="shared" si="38"/>
        <v/>
      </c>
      <c r="BJ146" s="41" t="str">
        <f t="shared" si="38"/>
        <v/>
      </c>
      <c r="BK146" s="41" t="str">
        <f t="shared" si="38"/>
        <v/>
      </c>
      <c r="BL146" s="41" t="str">
        <f t="shared" si="37"/>
        <v/>
      </c>
      <c r="BM146" s="41" t="str">
        <f t="shared" si="37"/>
        <v/>
      </c>
    </row>
    <row r="147" spans="1:65" ht="15" customHeight="1" x14ac:dyDescent="0.25">
      <c r="A147" s="957">
        <f t="shared" si="32"/>
        <v>0</v>
      </c>
      <c r="B147" s="10"/>
      <c r="C147" s="10"/>
      <c r="D147" s="13"/>
      <c r="E147" s="10"/>
      <c r="F147" s="10"/>
      <c r="G147" s="10"/>
      <c r="H147" s="10"/>
      <c r="I147" s="10"/>
      <c r="J147" s="10"/>
      <c r="K147" s="10"/>
      <c r="L147" s="10"/>
      <c r="M147" s="10"/>
      <c r="N147" s="10"/>
      <c r="O147" s="10"/>
      <c r="P147" s="4"/>
      <c r="Q147" s="1204"/>
      <c r="R147" s="101" t="str">
        <f t="shared" si="28"/>
        <v/>
      </c>
      <c r="S147" s="137">
        <f t="shared" si="30"/>
        <v>55</v>
      </c>
      <c r="T147" s="2129">
        <v>0.48</v>
      </c>
      <c r="U147" s="2130">
        <v>0.67</v>
      </c>
      <c r="V147" s="2130">
        <v>0.75</v>
      </c>
      <c r="W147" s="2130">
        <v>0.8</v>
      </c>
      <c r="X147" s="2130"/>
      <c r="Y147" s="2130"/>
      <c r="Z147" s="2130"/>
      <c r="AA147" s="2130"/>
      <c r="AB147" s="2130"/>
      <c r="AC147" s="2130"/>
      <c r="AD147" s="101"/>
      <c r="AE147" s="6"/>
      <c r="AF147" s="11"/>
      <c r="AG147" s="41">
        <f t="shared" si="33"/>
        <v>0</v>
      </c>
      <c r="AH147" s="41">
        <f>IF(ISERROR(HLOOKUP(AH$91,'Improved Sales Adjustments 2'!$G$7:$WU$147,68,FALSE)),0,IF(HLOOKUP(AH$91,'Improved Sales Adjustments 2'!$G$7:$WU$147,68,FALSE)="",0,IF($S147=HLOOKUP(AH$91,'Improved Sales Adjustments 2'!$G$7:$WU$147,68,FALSE),1,0)))</f>
        <v>0</v>
      </c>
      <c r="AI147" s="41">
        <f>IF(ISERROR(HLOOKUP(AI$91,'Improved Sales Adjustments 2'!$G$7:$WU$147,68,FALSE)),0,IF(HLOOKUP(AI$91,'Improved Sales Adjustments 2'!$G$7:$WU$147,68,FALSE)="",0,IF($S147=HLOOKUP(AI$91,'Improved Sales Adjustments 2'!$G$7:$WU$147,68,FALSE),1,0)))</f>
        <v>0</v>
      </c>
      <c r="AJ147" s="41">
        <f>IF(ISERROR(HLOOKUP(AJ$91,'Improved Sales Adjustments 2'!$G$7:$WU$147,68,FALSE)),0,IF(HLOOKUP(AJ$91,'Improved Sales Adjustments 2'!$G$7:$WU$147,68,FALSE)="",0,IF($S147=HLOOKUP(AJ$91,'Improved Sales Adjustments 2'!$G$7:$WU$147,68,FALSE),1,0)))</f>
        <v>0</v>
      </c>
      <c r="AK147" s="41">
        <f>IF(ISERROR(HLOOKUP(AK$91,'Improved Sales Adjustments 2'!$G$7:$WU$147,68,FALSE)),0,IF(HLOOKUP(AK$91,'Improved Sales Adjustments 2'!$G$7:$WU$147,68,FALSE)="",0,IF($S147=HLOOKUP(AK$91,'Improved Sales Adjustments 2'!$G$7:$WU$147,68,FALSE),1,0)))</f>
        <v>0</v>
      </c>
      <c r="AL147" s="41">
        <f>IF(ISERROR(HLOOKUP(AL$91,'Improved Sales Adjustments 2'!$G$7:$WU$147,68,FALSE)),0,IF(HLOOKUP(AL$91,'Improved Sales Adjustments 2'!$G$7:$WU$147,68,FALSE)="",0,IF($S147=HLOOKUP(AL$91,'Improved Sales Adjustments 2'!$G$7:$WU$147,68,FALSE),1,0)))</f>
        <v>0</v>
      </c>
      <c r="AM147" s="41">
        <f>IF(ISERROR(HLOOKUP(AM$91,'Improved Sales Adjustments 2'!$G$7:$WU$147,68,FALSE)),0,IF(HLOOKUP(AM$91,'Improved Sales Adjustments 2'!$G$7:$WU$147,68,FALSE)="",0,IF($S147=HLOOKUP(AM$91,'Improved Sales Adjustments 2'!$G$7:$WU$147,68,FALSE),1,0)))</f>
        <v>0</v>
      </c>
      <c r="AN147" s="41">
        <f>IF(ISERROR(HLOOKUP(AN$91,'Improved Sales Adjustments 2'!$G$7:$WU$147,68,FALSE)),0,IF(HLOOKUP(AN$91,'Improved Sales Adjustments 2'!$G$7:$WU$147,68,FALSE)="",0,IF($S147=HLOOKUP(AN$91,'Improved Sales Adjustments 2'!$G$7:$WU$147,68,FALSE),1,0)))</f>
        <v>0</v>
      </c>
      <c r="AO147" s="41">
        <f>IF(ISERROR(HLOOKUP(AO$91,'Improved Sales Adjustments 2'!$G$7:$WU$147,68,FALSE)),0,IF(HLOOKUP(AO$91,'Improved Sales Adjustments 2'!$G$7:$WU$147,68,FALSE)="",0,IF($S147=HLOOKUP(AO$91,'Improved Sales Adjustments 2'!$G$7:$WU$147,68,FALSE),1,0)))</f>
        <v>0</v>
      </c>
      <c r="AP147" s="41">
        <f>IF(ISERROR(HLOOKUP(AP$91,'Improved Sales Adjustments 2'!$G$7:$WU$147,68,FALSE)),0,IF(HLOOKUP(AP$91,'Improved Sales Adjustments 2'!$G$7:$WU$147,68,FALSE)="",0,IF($S147=HLOOKUP(AP$91,'Improved Sales Adjustments 2'!$G$7:$WU$147,68,FALSE),1,0)))</f>
        <v>0</v>
      </c>
      <c r="AQ147" s="41">
        <f>IF(ISERROR(HLOOKUP(AQ$91,'Improved Sales Adjustments 2'!$G$7:$WU$147,68,FALSE)),0,IF(HLOOKUP(AQ$91,'Improved Sales Adjustments 2'!$G$7:$WU$147,68,FALSE)="",0,IF($S147=HLOOKUP(AQ$91,'Improved Sales Adjustments 2'!$G$7:$WU$147,68,FALSE),1,0)))</f>
        <v>0</v>
      </c>
      <c r="AR147" s="41">
        <f>SUM($AG147:AG147)</f>
        <v>0</v>
      </c>
      <c r="AS147" s="41">
        <f>SUM($AG147:AH147)</f>
        <v>0</v>
      </c>
      <c r="AT147" s="41">
        <f>SUM($AG147:AI147)</f>
        <v>0</v>
      </c>
      <c r="AU147" s="41">
        <f>SUM($AG147:AJ147)</f>
        <v>0</v>
      </c>
      <c r="AV147" s="41">
        <f>SUM($AG147:AK147)</f>
        <v>0</v>
      </c>
      <c r="AW147" s="41">
        <f>SUM($AG147:AL147)</f>
        <v>0</v>
      </c>
      <c r="AX147" s="41">
        <f>SUM($AG147:AM147)</f>
        <v>0</v>
      </c>
      <c r="AY147" s="41">
        <f>SUM($AG147:AN147)</f>
        <v>0</v>
      </c>
      <c r="AZ147" s="41">
        <f>SUM($AG147:AO147)</f>
        <v>0</v>
      </c>
      <c r="BA147" s="41">
        <f>SUM($AG147:AP147)</f>
        <v>0</v>
      </c>
      <c r="BB147" s="41">
        <f>SUM($AG147:AQ147)</f>
        <v>0</v>
      </c>
      <c r="BC147" s="41" t="str">
        <f t="shared" si="38"/>
        <v/>
      </c>
      <c r="BD147" s="41" t="str">
        <f t="shared" si="38"/>
        <v/>
      </c>
      <c r="BE147" s="41" t="str">
        <f t="shared" si="38"/>
        <v/>
      </c>
      <c r="BF147" s="41" t="str">
        <f t="shared" si="38"/>
        <v/>
      </c>
      <c r="BG147" s="41" t="str">
        <f t="shared" si="38"/>
        <v/>
      </c>
      <c r="BH147" s="41" t="str">
        <f t="shared" si="38"/>
        <v/>
      </c>
      <c r="BI147" s="41" t="str">
        <f t="shared" si="38"/>
        <v/>
      </c>
      <c r="BJ147" s="41" t="str">
        <f t="shared" si="38"/>
        <v/>
      </c>
      <c r="BK147" s="41" t="str">
        <f t="shared" si="38"/>
        <v/>
      </c>
      <c r="BL147" s="41" t="str">
        <f t="shared" si="37"/>
        <v/>
      </c>
      <c r="BM147" s="41" t="str">
        <f t="shared" si="37"/>
        <v/>
      </c>
    </row>
    <row r="148" spans="1:65" ht="15" customHeight="1" x14ac:dyDescent="0.25">
      <c r="A148" s="957">
        <f t="shared" si="32"/>
        <v>0</v>
      </c>
      <c r="B148" s="10"/>
      <c r="C148" s="10"/>
      <c r="D148" s="13"/>
      <c r="E148" s="10"/>
      <c r="F148" s="10"/>
      <c r="G148" s="10"/>
      <c r="H148" s="10"/>
      <c r="I148" s="10"/>
      <c r="J148" s="10"/>
      <c r="K148" s="10"/>
      <c r="L148" s="10"/>
      <c r="M148" s="10"/>
      <c r="N148" s="10"/>
      <c r="O148" s="10"/>
      <c r="P148" s="4"/>
      <c r="Q148" s="1204"/>
      <c r="R148" s="101" t="str">
        <f t="shared" si="28"/>
        <v/>
      </c>
      <c r="S148" s="137">
        <f t="shared" si="30"/>
        <v>56</v>
      </c>
      <c r="T148" s="2130">
        <f>((T$152-T$147)/5)+T147</f>
        <v>0.498</v>
      </c>
      <c r="U148" s="2130">
        <f>((U$152-U$147)/5)+U147</f>
        <v>0.68400000000000005</v>
      </c>
      <c r="V148" s="2130">
        <f>((V$152-V$147)/5)+V147</f>
        <v>0.75600000000000001</v>
      </c>
      <c r="W148" s="2130"/>
      <c r="X148" s="2130"/>
      <c r="Y148" s="2130"/>
      <c r="Z148" s="2130"/>
      <c r="AA148" s="2130"/>
      <c r="AB148" s="2130"/>
      <c r="AC148" s="2130"/>
      <c r="AD148" s="101"/>
      <c r="AE148" s="6"/>
      <c r="AF148" s="11"/>
      <c r="AG148" s="41">
        <f t="shared" si="33"/>
        <v>0</v>
      </c>
      <c r="AH148" s="41">
        <f>IF(ISERROR(HLOOKUP(AH$91,'Improved Sales Adjustments 2'!$G$7:$WU$147,68,FALSE)),0,IF(HLOOKUP(AH$91,'Improved Sales Adjustments 2'!$G$7:$WU$147,68,FALSE)="",0,IF($S148=HLOOKUP(AH$91,'Improved Sales Adjustments 2'!$G$7:$WU$147,68,FALSE),1,0)))</f>
        <v>0</v>
      </c>
      <c r="AI148" s="41">
        <f>IF(ISERROR(HLOOKUP(AI$91,'Improved Sales Adjustments 2'!$G$7:$WU$147,68,FALSE)),0,IF(HLOOKUP(AI$91,'Improved Sales Adjustments 2'!$G$7:$WU$147,68,FALSE)="",0,IF($S148=HLOOKUP(AI$91,'Improved Sales Adjustments 2'!$G$7:$WU$147,68,FALSE),1,0)))</f>
        <v>0</v>
      </c>
      <c r="AJ148" s="41">
        <f>IF(ISERROR(HLOOKUP(AJ$91,'Improved Sales Adjustments 2'!$G$7:$WU$147,68,FALSE)),0,IF(HLOOKUP(AJ$91,'Improved Sales Adjustments 2'!$G$7:$WU$147,68,FALSE)="",0,IF($S148=HLOOKUP(AJ$91,'Improved Sales Adjustments 2'!$G$7:$WU$147,68,FALSE),1,0)))</f>
        <v>0</v>
      </c>
      <c r="AK148" s="41">
        <f>IF(ISERROR(HLOOKUP(AK$91,'Improved Sales Adjustments 2'!$G$7:$WU$147,68,FALSE)),0,IF(HLOOKUP(AK$91,'Improved Sales Adjustments 2'!$G$7:$WU$147,68,FALSE)="",0,IF($S148=HLOOKUP(AK$91,'Improved Sales Adjustments 2'!$G$7:$WU$147,68,FALSE),1,0)))</f>
        <v>0</v>
      </c>
      <c r="AL148" s="41">
        <f>IF(ISERROR(HLOOKUP(AL$91,'Improved Sales Adjustments 2'!$G$7:$WU$147,68,FALSE)),0,IF(HLOOKUP(AL$91,'Improved Sales Adjustments 2'!$G$7:$WU$147,68,FALSE)="",0,IF($S148=HLOOKUP(AL$91,'Improved Sales Adjustments 2'!$G$7:$WU$147,68,FALSE),1,0)))</f>
        <v>0</v>
      </c>
      <c r="AM148" s="41">
        <f>IF(ISERROR(HLOOKUP(AM$91,'Improved Sales Adjustments 2'!$G$7:$WU$147,68,FALSE)),0,IF(HLOOKUP(AM$91,'Improved Sales Adjustments 2'!$G$7:$WU$147,68,FALSE)="",0,IF($S148=HLOOKUP(AM$91,'Improved Sales Adjustments 2'!$G$7:$WU$147,68,FALSE),1,0)))</f>
        <v>0</v>
      </c>
      <c r="AN148" s="41">
        <f>IF(ISERROR(HLOOKUP(AN$91,'Improved Sales Adjustments 2'!$G$7:$WU$147,68,FALSE)),0,IF(HLOOKUP(AN$91,'Improved Sales Adjustments 2'!$G$7:$WU$147,68,FALSE)="",0,IF($S148=HLOOKUP(AN$91,'Improved Sales Adjustments 2'!$G$7:$WU$147,68,FALSE),1,0)))</f>
        <v>0</v>
      </c>
      <c r="AO148" s="41">
        <f>IF(ISERROR(HLOOKUP(AO$91,'Improved Sales Adjustments 2'!$G$7:$WU$147,68,FALSE)),0,IF(HLOOKUP(AO$91,'Improved Sales Adjustments 2'!$G$7:$WU$147,68,FALSE)="",0,IF($S148=HLOOKUP(AO$91,'Improved Sales Adjustments 2'!$G$7:$WU$147,68,FALSE),1,0)))</f>
        <v>0</v>
      </c>
      <c r="AP148" s="41">
        <f>IF(ISERROR(HLOOKUP(AP$91,'Improved Sales Adjustments 2'!$G$7:$WU$147,68,FALSE)),0,IF(HLOOKUP(AP$91,'Improved Sales Adjustments 2'!$G$7:$WU$147,68,FALSE)="",0,IF($S148=HLOOKUP(AP$91,'Improved Sales Adjustments 2'!$G$7:$WU$147,68,FALSE),1,0)))</f>
        <v>0</v>
      </c>
      <c r="AQ148" s="41">
        <f>IF(ISERROR(HLOOKUP(AQ$91,'Improved Sales Adjustments 2'!$G$7:$WU$147,68,FALSE)),0,IF(HLOOKUP(AQ$91,'Improved Sales Adjustments 2'!$G$7:$WU$147,68,FALSE)="",0,IF($S148=HLOOKUP(AQ$91,'Improved Sales Adjustments 2'!$G$7:$WU$147,68,FALSE),1,0)))</f>
        <v>0</v>
      </c>
      <c r="AR148" s="41">
        <f>SUM($AG148:AG148)</f>
        <v>0</v>
      </c>
      <c r="AS148" s="41">
        <f>SUM($AG148:AH148)</f>
        <v>0</v>
      </c>
      <c r="AT148" s="41">
        <f>SUM($AG148:AI148)</f>
        <v>0</v>
      </c>
      <c r="AU148" s="41">
        <f>SUM($AG148:AJ148)</f>
        <v>0</v>
      </c>
      <c r="AV148" s="41">
        <f>SUM($AG148:AK148)</f>
        <v>0</v>
      </c>
      <c r="AW148" s="41">
        <f>SUM($AG148:AL148)</f>
        <v>0</v>
      </c>
      <c r="AX148" s="41">
        <f>SUM($AG148:AM148)</f>
        <v>0</v>
      </c>
      <c r="AY148" s="41">
        <f>SUM($AG148:AN148)</f>
        <v>0</v>
      </c>
      <c r="AZ148" s="41">
        <f>SUM($AG148:AO148)</f>
        <v>0</v>
      </c>
      <c r="BA148" s="41">
        <f>SUM($AG148:AP148)</f>
        <v>0</v>
      </c>
      <c r="BB148" s="41">
        <f>SUM($AG148:AQ148)</f>
        <v>0</v>
      </c>
      <c r="BC148" s="41" t="str">
        <f t="shared" si="38"/>
        <v/>
      </c>
      <c r="BD148" s="41" t="str">
        <f t="shared" si="38"/>
        <v/>
      </c>
      <c r="BE148" s="41" t="str">
        <f t="shared" si="38"/>
        <v/>
      </c>
      <c r="BF148" s="41" t="str">
        <f t="shared" si="38"/>
        <v/>
      </c>
      <c r="BG148" s="41" t="str">
        <f t="shared" si="38"/>
        <v/>
      </c>
      <c r="BH148" s="41" t="str">
        <f t="shared" si="38"/>
        <v/>
      </c>
      <c r="BI148" s="41" t="str">
        <f t="shared" si="38"/>
        <v/>
      </c>
      <c r="BJ148" s="41" t="str">
        <f t="shared" si="38"/>
        <v/>
      </c>
      <c r="BK148" s="41" t="str">
        <f t="shared" si="38"/>
        <v/>
      </c>
      <c r="BL148" s="41" t="str">
        <f t="shared" si="37"/>
        <v/>
      </c>
      <c r="BM148" s="41" t="str">
        <f t="shared" si="37"/>
        <v/>
      </c>
    </row>
    <row r="149" spans="1:65" ht="15" customHeight="1" x14ac:dyDescent="0.25">
      <c r="A149" s="957">
        <f t="shared" si="32"/>
        <v>0</v>
      </c>
      <c r="B149" s="10"/>
      <c r="C149" s="10"/>
      <c r="D149" s="13"/>
      <c r="E149" s="10"/>
      <c r="F149" s="10"/>
      <c r="G149" s="10"/>
      <c r="H149" s="10"/>
      <c r="I149" s="10"/>
      <c r="J149" s="10"/>
      <c r="K149" s="10"/>
      <c r="L149" s="10"/>
      <c r="M149" s="10"/>
      <c r="N149" s="10"/>
      <c r="O149" s="10"/>
      <c r="P149" s="4"/>
      <c r="Q149" s="1204"/>
      <c r="R149" s="101" t="str">
        <f t="shared" si="28"/>
        <v/>
      </c>
      <c r="S149" s="137">
        <f t="shared" si="30"/>
        <v>57</v>
      </c>
      <c r="T149" s="2130">
        <f t="shared" ref="T149:V151" si="41">((T$152-T$147)/5)+T148</f>
        <v>0.51600000000000001</v>
      </c>
      <c r="U149" s="2130">
        <f t="shared" si="41"/>
        <v>0.69800000000000006</v>
      </c>
      <c r="V149" s="2130">
        <f t="shared" si="41"/>
        <v>0.76200000000000001</v>
      </c>
      <c r="W149" s="2130"/>
      <c r="X149" s="2130"/>
      <c r="Y149" s="2130"/>
      <c r="Z149" s="2130"/>
      <c r="AA149" s="2130"/>
      <c r="AB149" s="2130"/>
      <c r="AC149" s="2130"/>
      <c r="AD149" s="101"/>
      <c r="AE149" s="6"/>
      <c r="AF149" s="11"/>
      <c r="AG149" s="41">
        <f t="shared" si="33"/>
        <v>0</v>
      </c>
      <c r="AH149" s="41">
        <f>IF(ISERROR(HLOOKUP(AH$91,'Improved Sales Adjustments 2'!$G$7:$WU$147,68,FALSE)),0,IF(HLOOKUP(AH$91,'Improved Sales Adjustments 2'!$G$7:$WU$147,68,FALSE)="",0,IF($S149=HLOOKUP(AH$91,'Improved Sales Adjustments 2'!$G$7:$WU$147,68,FALSE),1,0)))</f>
        <v>0</v>
      </c>
      <c r="AI149" s="41">
        <f>IF(ISERROR(HLOOKUP(AI$91,'Improved Sales Adjustments 2'!$G$7:$WU$147,68,FALSE)),0,IF(HLOOKUP(AI$91,'Improved Sales Adjustments 2'!$G$7:$WU$147,68,FALSE)="",0,IF($S149=HLOOKUP(AI$91,'Improved Sales Adjustments 2'!$G$7:$WU$147,68,FALSE),1,0)))</f>
        <v>0</v>
      </c>
      <c r="AJ149" s="41">
        <f>IF(ISERROR(HLOOKUP(AJ$91,'Improved Sales Adjustments 2'!$G$7:$WU$147,68,FALSE)),0,IF(HLOOKUP(AJ$91,'Improved Sales Adjustments 2'!$G$7:$WU$147,68,FALSE)="",0,IF($S149=HLOOKUP(AJ$91,'Improved Sales Adjustments 2'!$G$7:$WU$147,68,FALSE),1,0)))</f>
        <v>0</v>
      </c>
      <c r="AK149" s="41">
        <f>IF(ISERROR(HLOOKUP(AK$91,'Improved Sales Adjustments 2'!$G$7:$WU$147,68,FALSE)),0,IF(HLOOKUP(AK$91,'Improved Sales Adjustments 2'!$G$7:$WU$147,68,FALSE)="",0,IF($S149=HLOOKUP(AK$91,'Improved Sales Adjustments 2'!$G$7:$WU$147,68,FALSE),1,0)))</f>
        <v>0</v>
      </c>
      <c r="AL149" s="41">
        <f>IF(ISERROR(HLOOKUP(AL$91,'Improved Sales Adjustments 2'!$G$7:$WU$147,68,FALSE)),0,IF(HLOOKUP(AL$91,'Improved Sales Adjustments 2'!$G$7:$WU$147,68,FALSE)="",0,IF($S149=HLOOKUP(AL$91,'Improved Sales Adjustments 2'!$G$7:$WU$147,68,FALSE),1,0)))</f>
        <v>0</v>
      </c>
      <c r="AM149" s="41">
        <f>IF(ISERROR(HLOOKUP(AM$91,'Improved Sales Adjustments 2'!$G$7:$WU$147,68,FALSE)),0,IF(HLOOKUP(AM$91,'Improved Sales Adjustments 2'!$G$7:$WU$147,68,FALSE)="",0,IF($S149=HLOOKUP(AM$91,'Improved Sales Adjustments 2'!$G$7:$WU$147,68,FALSE),1,0)))</f>
        <v>0</v>
      </c>
      <c r="AN149" s="41">
        <f>IF(ISERROR(HLOOKUP(AN$91,'Improved Sales Adjustments 2'!$G$7:$WU$147,68,FALSE)),0,IF(HLOOKUP(AN$91,'Improved Sales Adjustments 2'!$G$7:$WU$147,68,FALSE)="",0,IF($S149=HLOOKUP(AN$91,'Improved Sales Adjustments 2'!$G$7:$WU$147,68,FALSE),1,0)))</f>
        <v>0</v>
      </c>
      <c r="AO149" s="41">
        <f>IF(ISERROR(HLOOKUP(AO$91,'Improved Sales Adjustments 2'!$G$7:$WU$147,68,FALSE)),0,IF(HLOOKUP(AO$91,'Improved Sales Adjustments 2'!$G$7:$WU$147,68,FALSE)="",0,IF($S149=HLOOKUP(AO$91,'Improved Sales Adjustments 2'!$G$7:$WU$147,68,FALSE),1,0)))</f>
        <v>0</v>
      </c>
      <c r="AP149" s="41">
        <f>IF(ISERROR(HLOOKUP(AP$91,'Improved Sales Adjustments 2'!$G$7:$WU$147,68,FALSE)),0,IF(HLOOKUP(AP$91,'Improved Sales Adjustments 2'!$G$7:$WU$147,68,FALSE)="",0,IF($S149=HLOOKUP(AP$91,'Improved Sales Adjustments 2'!$G$7:$WU$147,68,FALSE),1,0)))</f>
        <v>0</v>
      </c>
      <c r="AQ149" s="41">
        <f>IF(ISERROR(HLOOKUP(AQ$91,'Improved Sales Adjustments 2'!$G$7:$WU$147,68,FALSE)),0,IF(HLOOKUP(AQ$91,'Improved Sales Adjustments 2'!$G$7:$WU$147,68,FALSE)="",0,IF($S149=HLOOKUP(AQ$91,'Improved Sales Adjustments 2'!$G$7:$WU$147,68,FALSE),1,0)))</f>
        <v>0</v>
      </c>
      <c r="AR149" s="41">
        <f>SUM($AG149:AG149)</f>
        <v>0</v>
      </c>
      <c r="AS149" s="41">
        <f>SUM($AG149:AH149)</f>
        <v>0</v>
      </c>
      <c r="AT149" s="41">
        <f>SUM($AG149:AI149)</f>
        <v>0</v>
      </c>
      <c r="AU149" s="41">
        <f>SUM($AG149:AJ149)</f>
        <v>0</v>
      </c>
      <c r="AV149" s="41">
        <f>SUM($AG149:AK149)</f>
        <v>0</v>
      </c>
      <c r="AW149" s="41">
        <f>SUM($AG149:AL149)</f>
        <v>0</v>
      </c>
      <c r="AX149" s="41">
        <f>SUM($AG149:AM149)</f>
        <v>0</v>
      </c>
      <c r="AY149" s="41">
        <f>SUM($AG149:AN149)</f>
        <v>0</v>
      </c>
      <c r="AZ149" s="41">
        <f>SUM($AG149:AO149)</f>
        <v>0</v>
      </c>
      <c r="BA149" s="41">
        <f>SUM($AG149:AP149)</f>
        <v>0</v>
      </c>
      <c r="BB149" s="41">
        <f>SUM($AG149:AQ149)</f>
        <v>0</v>
      </c>
      <c r="BC149" s="41" t="str">
        <f t="shared" si="38"/>
        <v/>
      </c>
      <c r="BD149" s="41" t="str">
        <f t="shared" si="38"/>
        <v/>
      </c>
      <c r="BE149" s="41" t="str">
        <f t="shared" si="38"/>
        <v/>
      </c>
      <c r="BF149" s="41" t="str">
        <f t="shared" si="38"/>
        <v/>
      </c>
      <c r="BG149" s="41" t="str">
        <f t="shared" si="38"/>
        <v/>
      </c>
      <c r="BH149" s="41" t="str">
        <f t="shared" si="38"/>
        <v/>
      </c>
      <c r="BI149" s="41" t="str">
        <f t="shared" si="38"/>
        <v/>
      </c>
      <c r="BJ149" s="41" t="str">
        <f t="shared" si="38"/>
        <v/>
      </c>
      <c r="BK149" s="41" t="str">
        <f t="shared" si="38"/>
        <v/>
      </c>
      <c r="BL149" s="41" t="str">
        <f t="shared" si="37"/>
        <v/>
      </c>
      <c r="BM149" s="41" t="str">
        <f t="shared" si="37"/>
        <v/>
      </c>
    </row>
    <row r="150" spans="1:65" ht="15" customHeight="1" x14ac:dyDescent="0.25">
      <c r="A150" s="957">
        <f t="shared" si="32"/>
        <v>0</v>
      </c>
      <c r="B150" s="10"/>
      <c r="C150" s="10"/>
      <c r="D150" s="13"/>
      <c r="E150" s="10"/>
      <c r="F150" s="10"/>
      <c r="G150" s="10"/>
      <c r="H150" s="10"/>
      <c r="I150" s="10"/>
      <c r="J150" s="10"/>
      <c r="K150" s="10"/>
      <c r="L150" s="10"/>
      <c r="M150" s="10"/>
      <c r="N150" s="10"/>
      <c r="O150" s="10"/>
      <c r="P150" s="4"/>
      <c r="Q150" s="1204"/>
      <c r="R150" s="101" t="str">
        <f t="shared" si="28"/>
        <v/>
      </c>
      <c r="S150" s="137">
        <f t="shared" si="30"/>
        <v>58</v>
      </c>
      <c r="T150" s="2130">
        <f t="shared" si="41"/>
        <v>0.53400000000000003</v>
      </c>
      <c r="U150" s="2130">
        <f t="shared" si="41"/>
        <v>0.71200000000000008</v>
      </c>
      <c r="V150" s="2130">
        <f t="shared" si="41"/>
        <v>0.76800000000000002</v>
      </c>
      <c r="W150" s="2130"/>
      <c r="X150" s="2130"/>
      <c r="Y150" s="2130"/>
      <c r="Z150" s="2130"/>
      <c r="AA150" s="2130"/>
      <c r="AB150" s="2130"/>
      <c r="AC150" s="2130"/>
      <c r="AD150" s="101"/>
      <c r="AE150" s="6"/>
      <c r="AF150" s="11"/>
      <c r="AG150" s="41">
        <f t="shared" si="33"/>
        <v>0</v>
      </c>
      <c r="AH150" s="41">
        <f>IF(ISERROR(HLOOKUP(AH$91,'Improved Sales Adjustments 2'!$G$7:$WU$147,68,FALSE)),0,IF(HLOOKUP(AH$91,'Improved Sales Adjustments 2'!$G$7:$WU$147,68,FALSE)="",0,IF($S150=HLOOKUP(AH$91,'Improved Sales Adjustments 2'!$G$7:$WU$147,68,FALSE),1,0)))</f>
        <v>0</v>
      </c>
      <c r="AI150" s="41">
        <f>IF(ISERROR(HLOOKUP(AI$91,'Improved Sales Adjustments 2'!$G$7:$WU$147,68,FALSE)),0,IF(HLOOKUP(AI$91,'Improved Sales Adjustments 2'!$G$7:$WU$147,68,FALSE)="",0,IF($S150=HLOOKUP(AI$91,'Improved Sales Adjustments 2'!$G$7:$WU$147,68,FALSE),1,0)))</f>
        <v>0</v>
      </c>
      <c r="AJ150" s="41">
        <f>IF(ISERROR(HLOOKUP(AJ$91,'Improved Sales Adjustments 2'!$G$7:$WU$147,68,FALSE)),0,IF(HLOOKUP(AJ$91,'Improved Sales Adjustments 2'!$G$7:$WU$147,68,FALSE)="",0,IF($S150=HLOOKUP(AJ$91,'Improved Sales Adjustments 2'!$G$7:$WU$147,68,FALSE),1,0)))</f>
        <v>0</v>
      </c>
      <c r="AK150" s="41">
        <f>IF(ISERROR(HLOOKUP(AK$91,'Improved Sales Adjustments 2'!$G$7:$WU$147,68,FALSE)),0,IF(HLOOKUP(AK$91,'Improved Sales Adjustments 2'!$G$7:$WU$147,68,FALSE)="",0,IF($S150=HLOOKUP(AK$91,'Improved Sales Adjustments 2'!$G$7:$WU$147,68,FALSE),1,0)))</f>
        <v>0</v>
      </c>
      <c r="AL150" s="41">
        <f>IF(ISERROR(HLOOKUP(AL$91,'Improved Sales Adjustments 2'!$G$7:$WU$147,68,FALSE)),0,IF(HLOOKUP(AL$91,'Improved Sales Adjustments 2'!$G$7:$WU$147,68,FALSE)="",0,IF($S150=HLOOKUP(AL$91,'Improved Sales Adjustments 2'!$G$7:$WU$147,68,FALSE),1,0)))</f>
        <v>0</v>
      </c>
      <c r="AM150" s="41">
        <f>IF(ISERROR(HLOOKUP(AM$91,'Improved Sales Adjustments 2'!$G$7:$WU$147,68,FALSE)),0,IF(HLOOKUP(AM$91,'Improved Sales Adjustments 2'!$G$7:$WU$147,68,FALSE)="",0,IF($S150=HLOOKUP(AM$91,'Improved Sales Adjustments 2'!$G$7:$WU$147,68,FALSE),1,0)))</f>
        <v>0</v>
      </c>
      <c r="AN150" s="41">
        <f>IF(ISERROR(HLOOKUP(AN$91,'Improved Sales Adjustments 2'!$G$7:$WU$147,68,FALSE)),0,IF(HLOOKUP(AN$91,'Improved Sales Adjustments 2'!$G$7:$WU$147,68,FALSE)="",0,IF($S150=HLOOKUP(AN$91,'Improved Sales Adjustments 2'!$G$7:$WU$147,68,FALSE),1,0)))</f>
        <v>0</v>
      </c>
      <c r="AO150" s="41">
        <f>IF(ISERROR(HLOOKUP(AO$91,'Improved Sales Adjustments 2'!$G$7:$WU$147,68,FALSE)),0,IF(HLOOKUP(AO$91,'Improved Sales Adjustments 2'!$G$7:$WU$147,68,FALSE)="",0,IF($S150=HLOOKUP(AO$91,'Improved Sales Adjustments 2'!$G$7:$WU$147,68,FALSE),1,0)))</f>
        <v>0</v>
      </c>
      <c r="AP150" s="41">
        <f>IF(ISERROR(HLOOKUP(AP$91,'Improved Sales Adjustments 2'!$G$7:$WU$147,68,FALSE)),0,IF(HLOOKUP(AP$91,'Improved Sales Adjustments 2'!$G$7:$WU$147,68,FALSE)="",0,IF($S150=HLOOKUP(AP$91,'Improved Sales Adjustments 2'!$G$7:$WU$147,68,FALSE),1,0)))</f>
        <v>0</v>
      </c>
      <c r="AQ150" s="41">
        <f>IF(ISERROR(HLOOKUP(AQ$91,'Improved Sales Adjustments 2'!$G$7:$WU$147,68,FALSE)),0,IF(HLOOKUP(AQ$91,'Improved Sales Adjustments 2'!$G$7:$WU$147,68,FALSE)="",0,IF($S150=HLOOKUP(AQ$91,'Improved Sales Adjustments 2'!$G$7:$WU$147,68,FALSE),1,0)))</f>
        <v>0</v>
      </c>
      <c r="AR150" s="41">
        <f>SUM($AG150:AG150)</f>
        <v>0</v>
      </c>
      <c r="AS150" s="41">
        <f>SUM($AG150:AH150)</f>
        <v>0</v>
      </c>
      <c r="AT150" s="41">
        <f>SUM($AG150:AI150)</f>
        <v>0</v>
      </c>
      <c r="AU150" s="41">
        <f>SUM($AG150:AJ150)</f>
        <v>0</v>
      </c>
      <c r="AV150" s="41">
        <f>SUM($AG150:AK150)</f>
        <v>0</v>
      </c>
      <c r="AW150" s="41">
        <f>SUM($AG150:AL150)</f>
        <v>0</v>
      </c>
      <c r="AX150" s="41">
        <f>SUM($AG150:AM150)</f>
        <v>0</v>
      </c>
      <c r="AY150" s="41">
        <f>SUM($AG150:AN150)</f>
        <v>0</v>
      </c>
      <c r="AZ150" s="41">
        <f>SUM($AG150:AO150)</f>
        <v>0</v>
      </c>
      <c r="BA150" s="41">
        <f>SUM($AG150:AP150)</f>
        <v>0</v>
      </c>
      <c r="BB150" s="41">
        <f>SUM($AG150:AQ150)</f>
        <v>0</v>
      </c>
      <c r="BC150" s="41" t="str">
        <f t="shared" si="38"/>
        <v/>
      </c>
      <c r="BD150" s="41" t="str">
        <f t="shared" si="38"/>
        <v/>
      </c>
      <c r="BE150" s="41" t="str">
        <f t="shared" si="38"/>
        <v/>
      </c>
      <c r="BF150" s="41" t="str">
        <f t="shared" si="38"/>
        <v/>
      </c>
      <c r="BG150" s="41" t="str">
        <f t="shared" si="38"/>
        <v/>
      </c>
      <c r="BH150" s="41" t="str">
        <f t="shared" si="38"/>
        <v/>
      </c>
      <c r="BI150" s="41" t="str">
        <f t="shared" si="38"/>
        <v/>
      </c>
      <c r="BJ150" s="41" t="str">
        <f t="shared" si="38"/>
        <v/>
      </c>
      <c r="BK150" s="41" t="str">
        <f t="shared" si="38"/>
        <v/>
      </c>
      <c r="BL150" s="41" t="str">
        <f t="shared" si="37"/>
        <v/>
      </c>
      <c r="BM150" s="41" t="str">
        <f t="shared" si="37"/>
        <v/>
      </c>
    </row>
    <row r="151" spans="1:65" ht="15" customHeight="1" x14ac:dyDescent="0.25">
      <c r="A151" s="957">
        <f t="shared" si="32"/>
        <v>0</v>
      </c>
      <c r="B151" s="10"/>
      <c r="C151" s="10"/>
      <c r="D151" s="13"/>
      <c r="E151" s="10"/>
      <c r="F151" s="10"/>
      <c r="G151" s="10"/>
      <c r="H151" s="10"/>
      <c r="I151" s="10"/>
      <c r="J151" s="10"/>
      <c r="K151" s="10"/>
      <c r="L151" s="10"/>
      <c r="M151" s="10"/>
      <c r="N151" s="10"/>
      <c r="O151" s="10"/>
      <c r="P151" s="4"/>
      <c r="Q151" s="1204"/>
      <c r="R151" s="101" t="str">
        <f t="shared" si="28"/>
        <v/>
      </c>
      <c r="S151" s="137">
        <f t="shared" si="30"/>
        <v>59</v>
      </c>
      <c r="T151" s="2130">
        <f t="shared" si="41"/>
        <v>0.55200000000000005</v>
      </c>
      <c r="U151" s="2130">
        <f t="shared" si="41"/>
        <v>0.72600000000000009</v>
      </c>
      <c r="V151" s="2130">
        <f t="shared" si="41"/>
        <v>0.77400000000000002</v>
      </c>
      <c r="W151" s="2130"/>
      <c r="X151" s="2130"/>
      <c r="Y151" s="2130"/>
      <c r="Z151" s="2130"/>
      <c r="AA151" s="2130"/>
      <c r="AB151" s="2130"/>
      <c r="AC151" s="2130"/>
      <c r="AD151" s="101"/>
      <c r="AE151" s="6"/>
      <c r="AF151" s="11"/>
      <c r="AG151" s="41">
        <f t="shared" si="33"/>
        <v>0</v>
      </c>
      <c r="AH151" s="41">
        <f>IF(ISERROR(HLOOKUP(AH$91,'Improved Sales Adjustments 2'!$G$7:$WU$147,68,FALSE)),0,IF(HLOOKUP(AH$91,'Improved Sales Adjustments 2'!$G$7:$WU$147,68,FALSE)="",0,IF($S151=HLOOKUP(AH$91,'Improved Sales Adjustments 2'!$G$7:$WU$147,68,FALSE),1,0)))</f>
        <v>0</v>
      </c>
      <c r="AI151" s="41">
        <f>IF(ISERROR(HLOOKUP(AI$91,'Improved Sales Adjustments 2'!$G$7:$WU$147,68,FALSE)),0,IF(HLOOKUP(AI$91,'Improved Sales Adjustments 2'!$G$7:$WU$147,68,FALSE)="",0,IF($S151=HLOOKUP(AI$91,'Improved Sales Adjustments 2'!$G$7:$WU$147,68,FALSE),1,0)))</f>
        <v>0</v>
      </c>
      <c r="AJ151" s="41">
        <f>IF(ISERROR(HLOOKUP(AJ$91,'Improved Sales Adjustments 2'!$G$7:$WU$147,68,FALSE)),0,IF(HLOOKUP(AJ$91,'Improved Sales Adjustments 2'!$G$7:$WU$147,68,FALSE)="",0,IF($S151=HLOOKUP(AJ$91,'Improved Sales Adjustments 2'!$G$7:$WU$147,68,FALSE),1,0)))</f>
        <v>0</v>
      </c>
      <c r="AK151" s="41">
        <f>IF(ISERROR(HLOOKUP(AK$91,'Improved Sales Adjustments 2'!$G$7:$WU$147,68,FALSE)),0,IF(HLOOKUP(AK$91,'Improved Sales Adjustments 2'!$G$7:$WU$147,68,FALSE)="",0,IF($S151=HLOOKUP(AK$91,'Improved Sales Adjustments 2'!$G$7:$WU$147,68,FALSE),1,0)))</f>
        <v>0</v>
      </c>
      <c r="AL151" s="41">
        <f>IF(ISERROR(HLOOKUP(AL$91,'Improved Sales Adjustments 2'!$G$7:$WU$147,68,FALSE)),0,IF(HLOOKUP(AL$91,'Improved Sales Adjustments 2'!$G$7:$WU$147,68,FALSE)="",0,IF($S151=HLOOKUP(AL$91,'Improved Sales Adjustments 2'!$G$7:$WU$147,68,FALSE),1,0)))</f>
        <v>0</v>
      </c>
      <c r="AM151" s="41">
        <f>IF(ISERROR(HLOOKUP(AM$91,'Improved Sales Adjustments 2'!$G$7:$WU$147,68,FALSE)),0,IF(HLOOKUP(AM$91,'Improved Sales Adjustments 2'!$G$7:$WU$147,68,FALSE)="",0,IF($S151=HLOOKUP(AM$91,'Improved Sales Adjustments 2'!$G$7:$WU$147,68,FALSE),1,0)))</f>
        <v>0</v>
      </c>
      <c r="AN151" s="41">
        <f>IF(ISERROR(HLOOKUP(AN$91,'Improved Sales Adjustments 2'!$G$7:$WU$147,68,FALSE)),0,IF(HLOOKUP(AN$91,'Improved Sales Adjustments 2'!$G$7:$WU$147,68,FALSE)="",0,IF($S151=HLOOKUP(AN$91,'Improved Sales Adjustments 2'!$G$7:$WU$147,68,FALSE),1,0)))</f>
        <v>0</v>
      </c>
      <c r="AO151" s="41">
        <f>IF(ISERROR(HLOOKUP(AO$91,'Improved Sales Adjustments 2'!$G$7:$WU$147,68,FALSE)),0,IF(HLOOKUP(AO$91,'Improved Sales Adjustments 2'!$G$7:$WU$147,68,FALSE)="",0,IF($S151=HLOOKUP(AO$91,'Improved Sales Adjustments 2'!$G$7:$WU$147,68,FALSE),1,0)))</f>
        <v>0</v>
      </c>
      <c r="AP151" s="41">
        <f>IF(ISERROR(HLOOKUP(AP$91,'Improved Sales Adjustments 2'!$G$7:$WU$147,68,FALSE)),0,IF(HLOOKUP(AP$91,'Improved Sales Adjustments 2'!$G$7:$WU$147,68,FALSE)="",0,IF($S151=HLOOKUP(AP$91,'Improved Sales Adjustments 2'!$G$7:$WU$147,68,FALSE),1,0)))</f>
        <v>0</v>
      </c>
      <c r="AQ151" s="41">
        <f>IF(ISERROR(HLOOKUP(AQ$91,'Improved Sales Adjustments 2'!$G$7:$WU$147,68,FALSE)),0,IF(HLOOKUP(AQ$91,'Improved Sales Adjustments 2'!$G$7:$WU$147,68,FALSE)="",0,IF($S151=HLOOKUP(AQ$91,'Improved Sales Adjustments 2'!$G$7:$WU$147,68,FALSE),1,0)))</f>
        <v>0</v>
      </c>
      <c r="AR151" s="41">
        <f>SUM($AG151:AG151)</f>
        <v>0</v>
      </c>
      <c r="AS151" s="41">
        <f>SUM($AG151:AH151)</f>
        <v>0</v>
      </c>
      <c r="AT151" s="41">
        <f>SUM($AG151:AI151)</f>
        <v>0</v>
      </c>
      <c r="AU151" s="41">
        <f>SUM($AG151:AJ151)</f>
        <v>0</v>
      </c>
      <c r="AV151" s="41">
        <f>SUM($AG151:AK151)</f>
        <v>0</v>
      </c>
      <c r="AW151" s="41">
        <f>SUM($AG151:AL151)</f>
        <v>0</v>
      </c>
      <c r="AX151" s="41">
        <f>SUM($AG151:AM151)</f>
        <v>0</v>
      </c>
      <c r="AY151" s="41">
        <f>SUM($AG151:AN151)</f>
        <v>0</v>
      </c>
      <c r="AZ151" s="41">
        <f>SUM($AG151:AO151)</f>
        <v>0</v>
      </c>
      <c r="BA151" s="41">
        <f>SUM($AG151:AP151)</f>
        <v>0</v>
      </c>
      <c r="BB151" s="41">
        <f>SUM($AG151:AQ151)</f>
        <v>0</v>
      </c>
      <c r="BC151" s="41" t="str">
        <f t="shared" si="38"/>
        <v/>
      </c>
      <c r="BD151" s="41" t="str">
        <f t="shared" si="38"/>
        <v/>
      </c>
      <c r="BE151" s="41" t="str">
        <f t="shared" si="38"/>
        <v/>
      </c>
      <c r="BF151" s="41" t="str">
        <f t="shared" si="38"/>
        <v/>
      </c>
      <c r="BG151" s="41" t="str">
        <f t="shared" si="38"/>
        <v/>
      </c>
      <c r="BH151" s="41" t="str">
        <f t="shared" si="38"/>
        <v/>
      </c>
      <c r="BI151" s="41" t="str">
        <f t="shared" si="38"/>
        <v/>
      </c>
      <c r="BJ151" s="41" t="str">
        <f t="shared" si="38"/>
        <v/>
      </c>
      <c r="BK151" s="41" t="str">
        <f t="shared" si="38"/>
        <v/>
      </c>
      <c r="BL151" s="41" t="str">
        <f t="shared" si="37"/>
        <v/>
      </c>
      <c r="BM151" s="41" t="str">
        <f t="shared" si="37"/>
        <v/>
      </c>
    </row>
    <row r="152" spans="1:65" ht="15" customHeight="1" x14ac:dyDescent="0.25">
      <c r="A152" s="957">
        <f t="shared" si="32"/>
        <v>0</v>
      </c>
      <c r="B152" s="10"/>
      <c r="C152" s="10"/>
      <c r="D152" s="13"/>
      <c r="E152" s="10"/>
      <c r="F152" s="10"/>
      <c r="G152" s="10"/>
      <c r="H152" s="10"/>
      <c r="I152" s="10"/>
      <c r="J152" s="10"/>
      <c r="K152" s="10"/>
      <c r="L152" s="10"/>
      <c r="M152" s="10"/>
      <c r="N152" s="10"/>
      <c r="O152" s="10"/>
      <c r="P152" s="4"/>
      <c r="Q152" s="1204"/>
      <c r="R152" s="101" t="str">
        <f t="shared" si="28"/>
        <v/>
      </c>
      <c r="S152" s="137">
        <f t="shared" si="30"/>
        <v>60</v>
      </c>
      <c r="T152" s="2129">
        <v>0.56999999999999995</v>
      </c>
      <c r="U152" s="2130">
        <v>0.74</v>
      </c>
      <c r="V152" s="2130">
        <v>0.78</v>
      </c>
      <c r="W152" s="2130"/>
      <c r="X152" s="2130"/>
      <c r="Y152" s="2130"/>
      <c r="Z152" s="2130"/>
      <c r="AA152" s="2130"/>
      <c r="AB152" s="2130"/>
      <c r="AC152" s="2130"/>
      <c r="AD152" s="101"/>
      <c r="AE152" s="6"/>
      <c r="AF152" s="11"/>
      <c r="AG152" s="41">
        <f t="shared" si="33"/>
        <v>0</v>
      </c>
      <c r="AH152" s="41">
        <f>IF(ISERROR(HLOOKUP(AH$91,'Improved Sales Adjustments 2'!$G$7:$WU$147,68,FALSE)),0,IF(HLOOKUP(AH$91,'Improved Sales Adjustments 2'!$G$7:$WU$147,68,FALSE)="",0,IF($S152=HLOOKUP(AH$91,'Improved Sales Adjustments 2'!$G$7:$WU$147,68,FALSE),1,0)))</f>
        <v>0</v>
      </c>
      <c r="AI152" s="41">
        <f>IF(ISERROR(HLOOKUP(AI$91,'Improved Sales Adjustments 2'!$G$7:$WU$147,68,FALSE)),0,IF(HLOOKUP(AI$91,'Improved Sales Adjustments 2'!$G$7:$WU$147,68,FALSE)="",0,IF($S152=HLOOKUP(AI$91,'Improved Sales Adjustments 2'!$G$7:$WU$147,68,FALSE),1,0)))</f>
        <v>0</v>
      </c>
      <c r="AJ152" s="41">
        <f>IF(ISERROR(HLOOKUP(AJ$91,'Improved Sales Adjustments 2'!$G$7:$WU$147,68,FALSE)),0,IF(HLOOKUP(AJ$91,'Improved Sales Adjustments 2'!$G$7:$WU$147,68,FALSE)="",0,IF($S152=HLOOKUP(AJ$91,'Improved Sales Adjustments 2'!$G$7:$WU$147,68,FALSE),1,0)))</f>
        <v>0</v>
      </c>
      <c r="AK152" s="41">
        <f>IF(ISERROR(HLOOKUP(AK$91,'Improved Sales Adjustments 2'!$G$7:$WU$147,68,FALSE)),0,IF(HLOOKUP(AK$91,'Improved Sales Adjustments 2'!$G$7:$WU$147,68,FALSE)="",0,IF($S152=HLOOKUP(AK$91,'Improved Sales Adjustments 2'!$G$7:$WU$147,68,FALSE),1,0)))</f>
        <v>0</v>
      </c>
      <c r="AL152" s="41">
        <f>IF(ISERROR(HLOOKUP(AL$91,'Improved Sales Adjustments 2'!$G$7:$WU$147,68,FALSE)),0,IF(HLOOKUP(AL$91,'Improved Sales Adjustments 2'!$G$7:$WU$147,68,FALSE)="",0,IF($S152=HLOOKUP(AL$91,'Improved Sales Adjustments 2'!$G$7:$WU$147,68,FALSE),1,0)))</f>
        <v>0</v>
      </c>
      <c r="AM152" s="41">
        <f>IF(ISERROR(HLOOKUP(AM$91,'Improved Sales Adjustments 2'!$G$7:$WU$147,68,FALSE)),0,IF(HLOOKUP(AM$91,'Improved Sales Adjustments 2'!$G$7:$WU$147,68,FALSE)="",0,IF($S152=HLOOKUP(AM$91,'Improved Sales Adjustments 2'!$G$7:$WU$147,68,FALSE),1,0)))</f>
        <v>0</v>
      </c>
      <c r="AN152" s="41">
        <f>IF(ISERROR(HLOOKUP(AN$91,'Improved Sales Adjustments 2'!$G$7:$WU$147,68,FALSE)),0,IF(HLOOKUP(AN$91,'Improved Sales Adjustments 2'!$G$7:$WU$147,68,FALSE)="",0,IF($S152=HLOOKUP(AN$91,'Improved Sales Adjustments 2'!$G$7:$WU$147,68,FALSE),1,0)))</f>
        <v>0</v>
      </c>
      <c r="AO152" s="41">
        <f>IF(ISERROR(HLOOKUP(AO$91,'Improved Sales Adjustments 2'!$G$7:$WU$147,68,FALSE)),0,IF(HLOOKUP(AO$91,'Improved Sales Adjustments 2'!$G$7:$WU$147,68,FALSE)="",0,IF($S152=HLOOKUP(AO$91,'Improved Sales Adjustments 2'!$G$7:$WU$147,68,FALSE),1,0)))</f>
        <v>0</v>
      </c>
      <c r="AP152" s="41">
        <f>IF(ISERROR(HLOOKUP(AP$91,'Improved Sales Adjustments 2'!$G$7:$WU$147,68,FALSE)),0,IF(HLOOKUP(AP$91,'Improved Sales Adjustments 2'!$G$7:$WU$147,68,FALSE)="",0,IF($S152=HLOOKUP(AP$91,'Improved Sales Adjustments 2'!$G$7:$WU$147,68,FALSE),1,0)))</f>
        <v>0</v>
      </c>
      <c r="AQ152" s="41">
        <f>IF(ISERROR(HLOOKUP(AQ$91,'Improved Sales Adjustments 2'!$G$7:$WU$147,68,FALSE)),0,IF(HLOOKUP(AQ$91,'Improved Sales Adjustments 2'!$G$7:$WU$147,68,FALSE)="",0,IF($S152=HLOOKUP(AQ$91,'Improved Sales Adjustments 2'!$G$7:$WU$147,68,FALSE),1,0)))</f>
        <v>0</v>
      </c>
      <c r="AR152" s="41">
        <f>SUM($AG152:AG152)</f>
        <v>0</v>
      </c>
      <c r="AS152" s="41">
        <f>SUM($AG152:AH152)</f>
        <v>0</v>
      </c>
      <c r="AT152" s="41">
        <f>SUM($AG152:AI152)</f>
        <v>0</v>
      </c>
      <c r="AU152" s="41">
        <f>SUM($AG152:AJ152)</f>
        <v>0</v>
      </c>
      <c r="AV152" s="41">
        <f>SUM($AG152:AK152)</f>
        <v>0</v>
      </c>
      <c r="AW152" s="41">
        <f>SUM($AG152:AL152)</f>
        <v>0</v>
      </c>
      <c r="AX152" s="41">
        <f>SUM($AG152:AM152)</f>
        <v>0</v>
      </c>
      <c r="AY152" s="41">
        <f>SUM($AG152:AN152)</f>
        <v>0</v>
      </c>
      <c r="AZ152" s="41">
        <f>SUM($AG152:AO152)</f>
        <v>0</v>
      </c>
      <c r="BA152" s="41">
        <f>SUM($AG152:AP152)</f>
        <v>0</v>
      </c>
      <c r="BB152" s="41">
        <f>SUM($AG152:AQ152)</f>
        <v>0</v>
      </c>
      <c r="BC152" s="41" t="str">
        <f t="shared" si="38"/>
        <v/>
      </c>
      <c r="BD152" s="41" t="str">
        <f t="shared" si="38"/>
        <v/>
      </c>
      <c r="BE152" s="41" t="str">
        <f t="shared" si="38"/>
        <v/>
      </c>
      <c r="BF152" s="41" t="str">
        <f t="shared" si="38"/>
        <v/>
      </c>
      <c r="BG152" s="41" t="str">
        <f t="shared" si="38"/>
        <v/>
      </c>
      <c r="BH152" s="41" t="str">
        <f t="shared" si="38"/>
        <v/>
      </c>
      <c r="BI152" s="41" t="str">
        <f t="shared" si="38"/>
        <v/>
      </c>
      <c r="BJ152" s="41" t="str">
        <f t="shared" si="38"/>
        <v/>
      </c>
      <c r="BK152" s="41" t="str">
        <f t="shared" si="38"/>
        <v/>
      </c>
      <c r="BL152" s="41" t="str">
        <f t="shared" si="37"/>
        <v/>
      </c>
      <c r="BM152" s="41" t="str">
        <f t="shared" si="37"/>
        <v/>
      </c>
    </row>
    <row r="153" spans="1:65" ht="15" customHeight="1" x14ac:dyDescent="0.25">
      <c r="A153" s="957">
        <f t="shared" si="32"/>
        <v>0</v>
      </c>
      <c r="B153" s="10"/>
      <c r="C153" s="10"/>
      <c r="D153" s="13"/>
      <c r="E153" s="10"/>
      <c r="F153" s="10"/>
      <c r="G153" s="10"/>
      <c r="H153" s="10"/>
      <c r="I153" s="10"/>
      <c r="J153" s="10"/>
      <c r="K153" s="10"/>
      <c r="L153" s="10"/>
      <c r="M153" s="10"/>
      <c r="N153" s="10"/>
      <c r="O153" s="10"/>
      <c r="P153" s="4"/>
      <c r="Q153" s="1204"/>
      <c r="R153" s="101" t="str">
        <f t="shared" si="28"/>
        <v/>
      </c>
      <c r="S153" s="137">
        <f t="shared" si="30"/>
        <v>61</v>
      </c>
      <c r="T153" s="2130">
        <f>((T$157-T$152)/5)+T152</f>
        <v>0.58599999999999997</v>
      </c>
      <c r="U153" s="2130">
        <f t="shared" ref="U153:V156" si="42">((U$157-U$152)/5)+U152</f>
        <v>0.748</v>
      </c>
      <c r="V153" s="2130">
        <f t="shared" si="42"/>
        <v>0.78400000000000003</v>
      </c>
      <c r="W153" s="2130"/>
      <c r="X153" s="2130"/>
      <c r="Y153" s="2130"/>
      <c r="Z153" s="2130"/>
      <c r="AA153" s="2130"/>
      <c r="AB153" s="2130"/>
      <c r="AC153" s="2130"/>
      <c r="AD153" s="101"/>
      <c r="AE153" s="6"/>
      <c r="AF153" s="11"/>
      <c r="AG153" s="41">
        <f t="shared" si="33"/>
        <v>0</v>
      </c>
      <c r="AH153" s="41">
        <f>IF(ISERROR(HLOOKUP(AH$91,'Improved Sales Adjustments 2'!$G$7:$WU$147,68,FALSE)),0,IF(HLOOKUP(AH$91,'Improved Sales Adjustments 2'!$G$7:$WU$147,68,FALSE)="",0,IF($S153=HLOOKUP(AH$91,'Improved Sales Adjustments 2'!$G$7:$WU$147,68,FALSE),1,0)))</f>
        <v>0</v>
      </c>
      <c r="AI153" s="41">
        <f>IF(ISERROR(HLOOKUP(AI$91,'Improved Sales Adjustments 2'!$G$7:$WU$147,68,FALSE)),0,IF(HLOOKUP(AI$91,'Improved Sales Adjustments 2'!$G$7:$WU$147,68,FALSE)="",0,IF($S153=HLOOKUP(AI$91,'Improved Sales Adjustments 2'!$G$7:$WU$147,68,FALSE),1,0)))</f>
        <v>0</v>
      </c>
      <c r="AJ153" s="41">
        <f>IF(ISERROR(HLOOKUP(AJ$91,'Improved Sales Adjustments 2'!$G$7:$WU$147,68,FALSE)),0,IF(HLOOKUP(AJ$91,'Improved Sales Adjustments 2'!$G$7:$WU$147,68,FALSE)="",0,IF($S153=HLOOKUP(AJ$91,'Improved Sales Adjustments 2'!$G$7:$WU$147,68,FALSE),1,0)))</f>
        <v>0</v>
      </c>
      <c r="AK153" s="41">
        <f>IF(ISERROR(HLOOKUP(AK$91,'Improved Sales Adjustments 2'!$G$7:$WU$147,68,FALSE)),0,IF(HLOOKUP(AK$91,'Improved Sales Adjustments 2'!$G$7:$WU$147,68,FALSE)="",0,IF($S153=HLOOKUP(AK$91,'Improved Sales Adjustments 2'!$G$7:$WU$147,68,FALSE),1,0)))</f>
        <v>0</v>
      </c>
      <c r="AL153" s="41">
        <f>IF(ISERROR(HLOOKUP(AL$91,'Improved Sales Adjustments 2'!$G$7:$WU$147,68,FALSE)),0,IF(HLOOKUP(AL$91,'Improved Sales Adjustments 2'!$G$7:$WU$147,68,FALSE)="",0,IF($S153=HLOOKUP(AL$91,'Improved Sales Adjustments 2'!$G$7:$WU$147,68,FALSE),1,0)))</f>
        <v>0</v>
      </c>
      <c r="AM153" s="41">
        <f>IF(ISERROR(HLOOKUP(AM$91,'Improved Sales Adjustments 2'!$G$7:$WU$147,68,FALSE)),0,IF(HLOOKUP(AM$91,'Improved Sales Adjustments 2'!$G$7:$WU$147,68,FALSE)="",0,IF($S153=HLOOKUP(AM$91,'Improved Sales Adjustments 2'!$G$7:$WU$147,68,FALSE),1,0)))</f>
        <v>0</v>
      </c>
      <c r="AN153" s="41">
        <f>IF(ISERROR(HLOOKUP(AN$91,'Improved Sales Adjustments 2'!$G$7:$WU$147,68,FALSE)),0,IF(HLOOKUP(AN$91,'Improved Sales Adjustments 2'!$G$7:$WU$147,68,FALSE)="",0,IF($S153=HLOOKUP(AN$91,'Improved Sales Adjustments 2'!$G$7:$WU$147,68,FALSE),1,0)))</f>
        <v>0</v>
      </c>
      <c r="AO153" s="41">
        <f>IF(ISERROR(HLOOKUP(AO$91,'Improved Sales Adjustments 2'!$G$7:$WU$147,68,FALSE)),0,IF(HLOOKUP(AO$91,'Improved Sales Adjustments 2'!$G$7:$WU$147,68,FALSE)="",0,IF($S153=HLOOKUP(AO$91,'Improved Sales Adjustments 2'!$G$7:$WU$147,68,FALSE),1,0)))</f>
        <v>0</v>
      </c>
      <c r="AP153" s="41">
        <f>IF(ISERROR(HLOOKUP(AP$91,'Improved Sales Adjustments 2'!$G$7:$WU$147,68,FALSE)),0,IF(HLOOKUP(AP$91,'Improved Sales Adjustments 2'!$G$7:$WU$147,68,FALSE)="",0,IF($S153=HLOOKUP(AP$91,'Improved Sales Adjustments 2'!$G$7:$WU$147,68,FALSE),1,0)))</f>
        <v>0</v>
      </c>
      <c r="AQ153" s="41">
        <f>IF(ISERROR(HLOOKUP(AQ$91,'Improved Sales Adjustments 2'!$G$7:$WU$147,68,FALSE)),0,IF(HLOOKUP(AQ$91,'Improved Sales Adjustments 2'!$G$7:$WU$147,68,FALSE)="",0,IF($S153=HLOOKUP(AQ$91,'Improved Sales Adjustments 2'!$G$7:$WU$147,68,FALSE),1,0)))</f>
        <v>0</v>
      </c>
      <c r="AR153" s="41">
        <f>SUM($AG153:AG153)</f>
        <v>0</v>
      </c>
      <c r="AS153" s="41">
        <f>SUM($AG153:AH153)</f>
        <v>0</v>
      </c>
      <c r="AT153" s="41">
        <f>SUM($AG153:AI153)</f>
        <v>0</v>
      </c>
      <c r="AU153" s="41">
        <f>SUM($AG153:AJ153)</f>
        <v>0</v>
      </c>
      <c r="AV153" s="41">
        <f>SUM($AG153:AK153)</f>
        <v>0</v>
      </c>
      <c r="AW153" s="41">
        <f>SUM($AG153:AL153)</f>
        <v>0</v>
      </c>
      <c r="AX153" s="41">
        <f>SUM($AG153:AM153)</f>
        <v>0</v>
      </c>
      <c r="AY153" s="41">
        <f>SUM($AG153:AN153)</f>
        <v>0</v>
      </c>
      <c r="AZ153" s="41">
        <f>SUM($AG153:AO153)</f>
        <v>0</v>
      </c>
      <c r="BA153" s="41">
        <f>SUM($AG153:AP153)</f>
        <v>0</v>
      </c>
      <c r="BB153" s="41">
        <f>SUM($AG153:AQ153)</f>
        <v>0</v>
      </c>
      <c r="BC153" s="41" t="str">
        <f t="shared" si="38"/>
        <v/>
      </c>
      <c r="BD153" s="41" t="str">
        <f t="shared" si="38"/>
        <v/>
      </c>
      <c r="BE153" s="41" t="str">
        <f t="shared" si="38"/>
        <v/>
      </c>
      <c r="BF153" s="41" t="str">
        <f t="shared" si="38"/>
        <v/>
      </c>
      <c r="BG153" s="41" t="str">
        <f t="shared" si="38"/>
        <v/>
      </c>
      <c r="BH153" s="41" t="str">
        <f t="shared" si="38"/>
        <v/>
      </c>
      <c r="BI153" s="41" t="str">
        <f t="shared" si="38"/>
        <v/>
      </c>
      <c r="BJ153" s="41" t="str">
        <f t="shared" si="38"/>
        <v/>
      </c>
      <c r="BK153" s="41" t="str">
        <f t="shared" si="38"/>
        <v/>
      </c>
      <c r="BL153" s="41" t="str">
        <f t="shared" si="37"/>
        <v/>
      </c>
      <c r="BM153" s="41" t="str">
        <f t="shared" si="37"/>
        <v/>
      </c>
    </row>
    <row r="154" spans="1:65" ht="15" customHeight="1" x14ac:dyDescent="0.25">
      <c r="A154" s="957">
        <f t="shared" si="32"/>
        <v>0</v>
      </c>
      <c r="B154" s="10"/>
      <c r="C154" s="10"/>
      <c r="D154" s="13"/>
      <c r="E154" s="10"/>
      <c r="F154" s="10"/>
      <c r="G154" s="10"/>
      <c r="H154" s="10"/>
      <c r="I154" s="10"/>
      <c r="J154" s="10"/>
      <c r="K154" s="10"/>
      <c r="L154" s="10"/>
      <c r="M154" s="10"/>
      <c r="N154" s="10"/>
      <c r="O154" s="10"/>
      <c r="P154" s="4"/>
      <c r="Q154" s="1204"/>
      <c r="R154" s="101" t="str">
        <f t="shared" si="28"/>
        <v/>
      </c>
      <c r="S154" s="137">
        <f t="shared" si="30"/>
        <v>62</v>
      </c>
      <c r="T154" s="2130">
        <f>((T$157-T$152)/5)+T153</f>
        <v>0.60199999999999998</v>
      </c>
      <c r="U154" s="2130">
        <f t="shared" si="42"/>
        <v>0.75600000000000001</v>
      </c>
      <c r="V154" s="2130">
        <f t="shared" si="42"/>
        <v>0.78800000000000003</v>
      </c>
      <c r="W154" s="2130"/>
      <c r="X154" s="2130"/>
      <c r="Y154" s="2130"/>
      <c r="Z154" s="2130"/>
      <c r="AA154" s="2130"/>
      <c r="AB154" s="2130"/>
      <c r="AC154" s="2130"/>
      <c r="AD154" s="101"/>
      <c r="AE154" s="6"/>
      <c r="AF154" s="11"/>
      <c r="AG154" s="41">
        <f t="shared" si="33"/>
        <v>0</v>
      </c>
      <c r="AH154" s="41">
        <f>IF(ISERROR(HLOOKUP(AH$91,'Improved Sales Adjustments 2'!$G$7:$WU$147,68,FALSE)),0,IF(HLOOKUP(AH$91,'Improved Sales Adjustments 2'!$G$7:$WU$147,68,FALSE)="",0,IF($S154=HLOOKUP(AH$91,'Improved Sales Adjustments 2'!$G$7:$WU$147,68,FALSE),1,0)))</f>
        <v>0</v>
      </c>
      <c r="AI154" s="41">
        <f>IF(ISERROR(HLOOKUP(AI$91,'Improved Sales Adjustments 2'!$G$7:$WU$147,68,FALSE)),0,IF(HLOOKUP(AI$91,'Improved Sales Adjustments 2'!$G$7:$WU$147,68,FALSE)="",0,IF($S154=HLOOKUP(AI$91,'Improved Sales Adjustments 2'!$G$7:$WU$147,68,FALSE),1,0)))</f>
        <v>0</v>
      </c>
      <c r="AJ154" s="41">
        <f>IF(ISERROR(HLOOKUP(AJ$91,'Improved Sales Adjustments 2'!$G$7:$WU$147,68,FALSE)),0,IF(HLOOKUP(AJ$91,'Improved Sales Adjustments 2'!$G$7:$WU$147,68,FALSE)="",0,IF($S154=HLOOKUP(AJ$91,'Improved Sales Adjustments 2'!$G$7:$WU$147,68,FALSE),1,0)))</f>
        <v>0</v>
      </c>
      <c r="AK154" s="41">
        <f>IF(ISERROR(HLOOKUP(AK$91,'Improved Sales Adjustments 2'!$G$7:$WU$147,68,FALSE)),0,IF(HLOOKUP(AK$91,'Improved Sales Adjustments 2'!$G$7:$WU$147,68,FALSE)="",0,IF($S154=HLOOKUP(AK$91,'Improved Sales Adjustments 2'!$G$7:$WU$147,68,FALSE),1,0)))</f>
        <v>0</v>
      </c>
      <c r="AL154" s="41">
        <f>IF(ISERROR(HLOOKUP(AL$91,'Improved Sales Adjustments 2'!$G$7:$WU$147,68,FALSE)),0,IF(HLOOKUP(AL$91,'Improved Sales Adjustments 2'!$G$7:$WU$147,68,FALSE)="",0,IF($S154=HLOOKUP(AL$91,'Improved Sales Adjustments 2'!$G$7:$WU$147,68,FALSE),1,0)))</f>
        <v>0</v>
      </c>
      <c r="AM154" s="41">
        <f>IF(ISERROR(HLOOKUP(AM$91,'Improved Sales Adjustments 2'!$G$7:$WU$147,68,FALSE)),0,IF(HLOOKUP(AM$91,'Improved Sales Adjustments 2'!$G$7:$WU$147,68,FALSE)="",0,IF($S154=HLOOKUP(AM$91,'Improved Sales Adjustments 2'!$G$7:$WU$147,68,FALSE),1,0)))</f>
        <v>0</v>
      </c>
      <c r="AN154" s="41">
        <f>IF(ISERROR(HLOOKUP(AN$91,'Improved Sales Adjustments 2'!$G$7:$WU$147,68,FALSE)),0,IF(HLOOKUP(AN$91,'Improved Sales Adjustments 2'!$G$7:$WU$147,68,FALSE)="",0,IF($S154=HLOOKUP(AN$91,'Improved Sales Adjustments 2'!$G$7:$WU$147,68,FALSE),1,0)))</f>
        <v>0</v>
      </c>
      <c r="AO154" s="41">
        <f>IF(ISERROR(HLOOKUP(AO$91,'Improved Sales Adjustments 2'!$G$7:$WU$147,68,FALSE)),0,IF(HLOOKUP(AO$91,'Improved Sales Adjustments 2'!$G$7:$WU$147,68,FALSE)="",0,IF($S154=HLOOKUP(AO$91,'Improved Sales Adjustments 2'!$G$7:$WU$147,68,FALSE),1,0)))</f>
        <v>0</v>
      </c>
      <c r="AP154" s="41">
        <f>IF(ISERROR(HLOOKUP(AP$91,'Improved Sales Adjustments 2'!$G$7:$WU$147,68,FALSE)),0,IF(HLOOKUP(AP$91,'Improved Sales Adjustments 2'!$G$7:$WU$147,68,FALSE)="",0,IF($S154=HLOOKUP(AP$91,'Improved Sales Adjustments 2'!$G$7:$WU$147,68,FALSE),1,0)))</f>
        <v>0</v>
      </c>
      <c r="AQ154" s="41">
        <f>IF(ISERROR(HLOOKUP(AQ$91,'Improved Sales Adjustments 2'!$G$7:$WU$147,68,FALSE)),0,IF(HLOOKUP(AQ$91,'Improved Sales Adjustments 2'!$G$7:$WU$147,68,FALSE)="",0,IF($S154=HLOOKUP(AQ$91,'Improved Sales Adjustments 2'!$G$7:$WU$147,68,FALSE),1,0)))</f>
        <v>0</v>
      </c>
      <c r="AR154" s="41">
        <f>SUM($AG154:AG154)</f>
        <v>0</v>
      </c>
      <c r="AS154" s="41">
        <f>SUM($AG154:AH154)</f>
        <v>0</v>
      </c>
      <c r="AT154" s="41">
        <f>SUM($AG154:AI154)</f>
        <v>0</v>
      </c>
      <c r="AU154" s="41">
        <f>SUM($AG154:AJ154)</f>
        <v>0</v>
      </c>
      <c r="AV154" s="41">
        <f>SUM($AG154:AK154)</f>
        <v>0</v>
      </c>
      <c r="AW154" s="41">
        <f>SUM($AG154:AL154)</f>
        <v>0</v>
      </c>
      <c r="AX154" s="41">
        <f>SUM($AG154:AM154)</f>
        <v>0</v>
      </c>
      <c r="AY154" s="41">
        <f>SUM($AG154:AN154)</f>
        <v>0</v>
      </c>
      <c r="AZ154" s="41">
        <f>SUM($AG154:AO154)</f>
        <v>0</v>
      </c>
      <c r="BA154" s="41">
        <f>SUM($AG154:AP154)</f>
        <v>0</v>
      </c>
      <c r="BB154" s="41">
        <f>SUM($AG154:AQ154)</f>
        <v>0</v>
      </c>
      <c r="BC154" s="41" t="str">
        <f t="shared" si="38"/>
        <v/>
      </c>
      <c r="BD154" s="41" t="str">
        <f t="shared" si="38"/>
        <v/>
      </c>
      <c r="BE154" s="41" t="str">
        <f t="shared" si="38"/>
        <v/>
      </c>
      <c r="BF154" s="41" t="str">
        <f t="shared" si="38"/>
        <v/>
      </c>
      <c r="BG154" s="41" t="str">
        <f t="shared" si="38"/>
        <v/>
      </c>
      <c r="BH154" s="41" t="str">
        <f t="shared" si="38"/>
        <v/>
      </c>
      <c r="BI154" s="41" t="str">
        <f t="shared" si="38"/>
        <v/>
      </c>
      <c r="BJ154" s="41" t="str">
        <f t="shared" si="38"/>
        <v/>
      </c>
      <c r="BK154" s="41" t="str">
        <f t="shared" si="38"/>
        <v/>
      </c>
      <c r="BL154" s="41" t="str">
        <f t="shared" si="37"/>
        <v/>
      </c>
      <c r="BM154" s="41" t="str">
        <f t="shared" si="37"/>
        <v/>
      </c>
    </row>
    <row r="155" spans="1:65" ht="15" customHeight="1" x14ac:dyDescent="0.25">
      <c r="A155" s="957">
        <f t="shared" si="32"/>
        <v>0</v>
      </c>
      <c r="B155" s="10"/>
      <c r="C155" s="10"/>
      <c r="D155" s="13"/>
      <c r="E155" s="10"/>
      <c r="F155" s="10"/>
      <c r="G155" s="10"/>
      <c r="H155" s="10"/>
      <c r="I155" s="10"/>
      <c r="J155" s="10"/>
      <c r="K155" s="10"/>
      <c r="L155" s="10"/>
      <c r="M155" s="10"/>
      <c r="N155" s="10"/>
      <c r="O155" s="10"/>
      <c r="P155" s="4"/>
      <c r="Q155" s="1204"/>
      <c r="R155" s="101" t="str">
        <f t="shared" si="28"/>
        <v/>
      </c>
      <c r="S155" s="137">
        <f t="shared" si="30"/>
        <v>63</v>
      </c>
      <c r="T155" s="2130">
        <f>((T$157-T$152)/5)+T154</f>
        <v>0.61799999999999999</v>
      </c>
      <c r="U155" s="2130">
        <f t="shared" si="42"/>
        <v>0.76400000000000001</v>
      </c>
      <c r="V155" s="2130">
        <f t="shared" si="42"/>
        <v>0.79200000000000004</v>
      </c>
      <c r="W155" s="2130"/>
      <c r="X155" s="2130"/>
      <c r="Y155" s="2130"/>
      <c r="Z155" s="2130"/>
      <c r="AA155" s="2130"/>
      <c r="AB155" s="2130"/>
      <c r="AC155" s="2130"/>
      <c r="AD155" s="101"/>
      <c r="AE155" s="6"/>
      <c r="AF155" s="11"/>
      <c r="AG155" s="41">
        <f t="shared" si="33"/>
        <v>0</v>
      </c>
      <c r="AH155" s="41">
        <f>IF(ISERROR(HLOOKUP(AH$91,'Improved Sales Adjustments 2'!$G$7:$WU$147,68,FALSE)),0,IF(HLOOKUP(AH$91,'Improved Sales Adjustments 2'!$G$7:$WU$147,68,FALSE)="",0,IF($S155=HLOOKUP(AH$91,'Improved Sales Adjustments 2'!$G$7:$WU$147,68,FALSE),1,0)))</f>
        <v>0</v>
      </c>
      <c r="AI155" s="41">
        <f>IF(ISERROR(HLOOKUP(AI$91,'Improved Sales Adjustments 2'!$G$7:$WU$147,68,FALSE)),0,IF(HLOOKUP(AI$91,'Improved Sales Adjustments 2'!$G$7:$WU$147,68,FALSE)="",0,IF($S155=HLOOKUP(AI$91,'Improved Sales Adjustments 2'!$G$7:$WU$147,68,FALSE),1,0)))</f>
        <v>0</v>
      </c>
      <c r="AJ155" s="41">
        <f>IF(ISERROR(HLOOKUP(AJ$91,'Improved Sales Adjustments 2'!$G$7:$WU$147,68,FALSE)),0,IF(HLOOKUP(AJ$91,'Improved Sales Adjustments 2'!$G$7:$WU$147,68,FALSE)="",0,IF($S155=HLOOKUP(AJ$91,'Improved Sales Adjustments 2'!$G$7:$WU$147,68,FALSE),1,0)))</f>
        <v>0</v>
      </c>
      <c r="AK155" s="41">
        <f>IF(ISERROR(HLOOKUP(AK$91,'Improved Sales Adjustments 2'!$G$7:$WU$147,68,FALSE)),0,IF(HLOOKUP(AK$91,'Improved Sales Adjustments 2'!$G$7:$WU$147,68,FALSE)="",0,IF($S155=HLOOKUP(AK$91,'Improved Sales Adjustments 2'!$G$7:$WU$147,68,FALSE),1,0)))</f>
        <v>0</v>
      </c>
      <c r="AL155" s="41">
        <f>IF(ISERROR(HLOOKUP(AL$91,'Improved Sales Adjustments 2'!$G$7:$WU$147,68,FALSE)),0,IF(HLOOKUP(AL$91,'Improved Sales Adjustments 2'!$G$7:$WU$147,68,FALSE)="",0,IF($S155=HLOOKUP(AL$91,'Improved Sales Adjustments 2'!$G$7:$WU$147,68,FALSE),1,0)))</f>
        <v>0</v>
      </c>
      <c r="AM155" s="41">
        <f>IF(ISERROR(HLOOKUP(AM$91,'Improved Sales Adjustments 2'!$G$7:$WU$147,68,FALSE)),0,IF(HLOOKUP(AM$91,'Improved Sales Adjustments 2'!$G$7:$WU$147,68,FALSE)="",0,IF($S155=HLOOKUP(AM$91,'Improved Sales Adjustments 2'!$G$7:$WU$147,68,FALSE),1,0)))</f>
        <v>0</v>
      </c>
      <c r="AN155" s="41">
        <f>IF(ISERROR(HLOOKUP(AN$91,'Improved Sales Adjustments 2'!$G$7:$WU$147,68,FALSE)),0,IF(HLOOKUP(AN$91,'Improved Sales Adjustments 2'!$G$7:$WU$147,68,FALSE)="",0,IF($S155=HLOOKUP(AN$91,'Improved Sales Adjustments 2'!$G$7:$WU$147,68,FALSE),1,0)))</f>
        <v>0</v>
      </c>
      <c r="AO155" s="41">
        <f>IF(ISERROR(HLOOKUP(AO$91,'Improved Sales Adjustments 2'!$G$7:$WU$147,68,FALSE)),0,IF(HLOOKUP(AO$91,'Improved Sales Adjustments 2'!$G$7:$WU$147,68,FALSE)="",0,IF($S155=HLOOKUP(AO$91,'Improved Sales Adjustments 2'!$G$7:$WU$147,68,FALSE),1,0)))</f>
        <v>0</v>
      </c>
      <c r="AP155" s="41">
        <f>IF(ISERROR(HLOOKUP(AP$91,'Improved Sales Adjustments 2'!$G$7:$WU$147,68,FALSE)),0,IF(HLOOKUP(AP$91,'Improved Sales Adjustments 2'!$G$7:$WU$147,68,FALSE)="",0,IF($S155=HLOOKUP(AP$91,'Improved Sales Adjustments 2'!$G$7:$WU$147,68,FALSE),1,0)))</f>
        <v>0</v>
      </c>
      <c r="AQ155" s="41">
        <f>IF(ISERROR(HLOOKUP(AQ$91,'Improved Sales Adjustments 2'!$G$7:$WU$147,68,FALSE)),0,IF(HLOOKUP(AQ$91,'Improved Sales Adjustments 2'!$G$7:$WU$147,68,FALSE)="",0,IF($S155=HLOOKUP(AQ$91,'Improved Sales Adjustments 2'!$G$7:$WU$147,68,FALSE),1,0)))</f>
        <v>0</v>
      </c>
      <c r="AR155" s="41">
        <f>SUM($AG155:AG155)</f>
        <v>0</v>
      </c>
      <c r="AS155" s="41">
        <f>SUM($AG155:AH155)</f>
        <v>0</v>
      </c>
      <c r="AT155" s="41">
        <f>SUM($AG155:AI155)</f>
        <v>0</v>
      </c>
      <c r="AU155" s="41">
        <f>SUM($AG155:AJ155)</f>
        <v>0</v>
      </c>
      <c r="AV155" s="41">
        <f>SUM($AG155:AK155)</f>
        <v>0</v>
      </c>
      <c r="AW155" s="41">
        <f>SUM($AG155:AL155)</f>
        <v>0</v>
      </c>
      <c r="AX155" s="41">
        <f>SUM($AG155:AM155)</f>
        <v>0</v>
      </c>
      <c r="AY155" s="41">
        <f>SUM($AG155:AN155)</f>
        <v>0</v>
      </c>
      <c r="AZ155" s="41">
        <f>SUM($AG155:AO155)</f>
        <v>0</v>
      </c>
      <c r="BA155" s="41">
        <f>SUM($AG155:AP155)</f>
        <v>0</v>
      </c>
      <c r="BB155" s="41">
        <f>SUM($AG155:AQ155)</f>
        <v>0</v>
      </c>
      <c r="BC155" s="41" t="str">
        <f t="shared" si="38"/>
        <v/>
      </c>
      <c r="BD155" s="41" t="str">
        <f t="shared" si="38"/>
        <v/>
      </c>
      <c r="BE155" s="41" t="str">
        <f t="shared" si="38"/>
        <v/>
      </c>
      <c r="BF155" s="41" t="str">
        <f t="shared" si="38"/>
        <v/>
      </c>
      <c r="BG155" s="41" t="str">
        <f t="shared" si="38"/>
        <v/>
      </c>
      <c r="BH155" s="41" t="str">
        <f t="shared" si="38"/>
        <v/>
      </c>
      <c r="BI155" s="41" t="str">
        <f t="shared" si="38"/>
        <v/>
      </c>
      <c r="BJ155" s="41" t="str">
        <f t="shared" si="38"/>
        <v/>
      </c>
      <c r="BK155" s="41" t="str">
        <f t="shared" si="38"/>
        <v/>
      </c>
      <c r="BL155" s="41" t="str">
        <f t="shared" si="37"/>
        <v/>
      </c>
      <c r="BM155" s="41" t="str">
        <f t="shared" si="37"/>
        <v/>
      </c>
    </row>
    <row r="156" spans="1:65" ht="15" customHeight="1" x14ac:dyDescent="0.25">
      <c r="A156" s="957">
        <f t="shared" ref="A156:A172" si="43">IF(AND(MIN(Sales_EffectiveAgeRange_2,Sales_AdjGrid_AgeEffective_2)&lt;=S156,MAX(Sales_EffectiveAgeRange_2,Sales_AdjGrid_AgeEffective_2)&gt;=S156),1,0)</f>
        <v>0</v>
      </c>
      <c r="B156" s="10"/>
      <c r="C156" s="10"/>
      <c r="D156" s="13"/>
      <c r="E156" s="10"/>
      <c r="F156" s="10"/>
      <c r="G156" s="10"/>
      <c r="H156" s="10"/>
      <c r="I156" s="10"/>
      <c r="J156" s="10"/>
      <c r="K156" s="10"/>
      <c r="L156" s="10"/>
      <c r="M156" s="10"/>
      <c r="N156" s="10"/>
      <c r="O156" s="10"/>
      <c r="P156" s="4"/>
      <c r="Q156" s="1204"/>
      <c r="R156" s="101" t="str">
        <f t="shared" si="28"/>
        <v/>
      </c>
      <c r="S156" s="137">
        <f t="shared" si="30"/>
        <v>64</v>
      </c>
      <c r="T156" s="2130">
        <f>((T$157-T$152)/5)+T155</f>
        <v>0.63400000000000001</v>
      </c>
      <c r="U156" s="2130">
        <f t="shared" si="42"/>
        <v>0.77200000000000002</v>
      </c>
      <c r="V156" s="2130">
        <f t="shared" si="42"/>
        <v>0.79600000000000004</v>
      </c>
      <c r="W156" s="2130"/>
      <c r="X156" s="2130"/>
      <c r="Y156" s="2130"/>
      <c r="Z156" s="2130"/>
      <c r="AA156" s="2130"/>
      <c r="AB156" s="2130"/>
      <c r="AC156" s="2130"/>
      <c r="AD156" s="101"/>
      <c r="AE156" s="6"/>
      <c r="AF156" s="11"/>
      <c r="AG156" s="41">
        <f t="shared" ref="AG156:AG172" si="44">IF(S156=Sales_AdjGrid_AgeEffective_2,1,0)</f>
        <v>0</v>
      </c>
      <c r="AH156" s="41">
        <f>IF(ISERROR(HLOOKUP(AH$91,'Improved Sales Adjustments 2'!$G$7:$WU$147,68,FALSE)),0,IF(HLOOKUP(AH$91,'Improved Sales Adjustments 2'!$G$7:$WU$147,68,FALSE)="",0,IF($S156=HLOOKUP(AH$91,'Improved Sales Adjustments 2'!$G$7:$WU$147,68,FALSE),1,0)))</f>
        <v>0</v>
      </c>
      <c r="AI156" s="41">
        <f>IF(ISERROR(HLOOKUP(AI$91,'Improved Sales Adjustments 2'!$G$7:$WU$147,68,FALSE)),0,IF(HLOOKUP(AI$91,'Improved Sales Adjustments 2'!$G$7:$WU$147,68,FALSE)="",0,IF($S156=HLOOKUP(AI$91,'Improved Sales Adjustments 2'!$G$7:$WU$147,68,FALSE),1,0)))</f>
        <v>0</v>
      </c>
      <c r="AJ156" s="41">
        <f>IF(ISERROR(HLOOKUP(AJ$91,'Improved Sales Adjustments 2'!$G$7:$WU$147,68,FALSE)),0,IF(HLOOKUP(AJ$91,'Improved Sales Adjustments 2'!$G$7:$WU$147,68,FALSE)="",0,IF($S156=HLOOKUP(AJ$91,'Improved Sales Adjustments 2'!$G$7:$WU$147,68,FALSE),1,0)))</f>
        <v>0</v>
      </c>
      <c r="AK156" s="41">
        <f>IF(ISERROR(HLOOKUP(AK$91,'Improved Sales Adjustments 2'!$G$7:$WU$147,68,FALSE)),0,IF(HLOOKUP(AK$91,'Improved Sales Adjustments 2'!$G$7:$WU$147,68,FALSE)="",0,IF($S156=HLOOKUP(AK$91,'Improved Sales Adjustments 2'!$G$7:$WU$147,68,FALSE),1,0)))</f>
        <v>0</v>
      </c>
      <c r="AL156" s="41">
        <f>IF(ISERROR(HLOOKUP(AL$91,'Improved Sales Adjustments 2'!$G$7:$WU$147,68,FALSE)),0,IF(HLOOKUP(AL$91,'Improved Sales Adjustments 2'!$G$7:$WU$147,68,FALSE)="",0,IF($S156=HLOOKUP(AL$91,'Improved Sales Adjustments 2'!$G$7:$WU$147,68,FALSE),1,0)))</f>
        <v>0</v>
      </c>
      <c r="AM156" s="41">
        <f>IF(ISERROR(HLOOKUP(AM$91,'Improved Sales Adjustments 2'!$G$7:$WU$147,68,FALSE)),0,IF(HLOOKUP(AM$91,'Improved Sales Adjustments 2'!$G$7:$WU$147,68,FALSE)="",0,IF($S156=HLOOKUP(AM$91,'Improved Sales Adjustments 2'!$G$7:$WU$147,68,FALSE),1,0)))</f>
        <v>0</v>
      </c>
      <c r="AN156" s="41">
        <f>IF(ISERROR(HLOOKUP(AN$91,'Improved Sales Adjustments 2'!$G$7:$WU$147,68,FALSE)),0,IF(HLOOKUP(AN$91,'Improved Sales Adjustments 2'!$G$7:$WU$147,68,FALSE)="",0,IF($S156=HLOOKUP(AN$91,'Improved Sales Adjustments 2'!$G$7:$WU$147,68,FALSE),1,0)))</f>
        <v>0</v>
      </c>
      <c r="AO156" s="41">
        <f>IF(ISERROR(HLOOKUP(AO$91,'Improved Sales Adjustments 2'!$G$7:$WU$147,68,FALSE)),0,IF(HLOOKUP(AO$91,'Improved Sales Adjustments 2'!$G$7:$WU$147,68,FALSE)="",0,IF($S156=HLOOKUP(AO$91,'Improved Sales Adjustments 2'!$G$7:$WU$147,68,FALSE),1,0)))</f>
        <v>0</v>
      </c>
      <c r="AP156" s="41">
        <f>IF(ISERROR(HLOOKUP(AP$91,'Improved Sales Adjustments 2'!$G$7:$WU$147,68,FALSE)),0,IF(HLOOKUP(AP$91,'Improved Sales Adjustments 2'!$G$7:$WU$147,68,FALSE)="",0,IF($S156=HLOOKUP(AP$91,'Improved Sales Adjustments 2'!$G$7:$WU$147,68,FALSE),1,0)))</f>
        <v>0</v>
      </c>
      <c r="AQ156" s="41">
        <f>IF(ISERROR(HLOOKUP(AQ$91,'Improved Sales Adjustments 2'!$G$7:$WU$147,68,FALSE)),0,IF(HLOOKUP(AQ$91,'Improved Sales Adjustments 2'!$G$7:$WU$147,68,FALSE)="",0,IF($S156=HLOOKUP(AQ$91,'Improved Sales Adjustments 2'!$G$7:$WU$147,68,FALSE),1,0)))</f>
        <v>0</v>
      </c>
      <c r="AR156" s="41">
        <f>SUM($AG156:AG156)</f>
        <v>0</v>
      </c>
      <c r="AS156" s="41">
        <f>SUM($AG156:AH156)</f>
        <v>0</v>
      </c>
      <c r="AT156" s="41">
        <f>SUM($AG156:AI156)</f>
        <v>0</v>
      </c>
      <c r="AU156" s="41">
        <f>SUM($AG156:AJ156)</f>
        <v>0</v>
      </c>
      <c r="AV156" s="41">
        <f>SUM($AG156:AK156)</f>
        <v>0</v>
      </c>
      <c r="AW156" s="41">
        <f>SUM($AG156:AL156)</f>
        <v>0</v>
      </c>
      <c r="AX156" s="41">
        <f>SUM($AG156:AM156)</f>
        <v>0</v>
      </c>
      <c r="AY156" s="41">
        <f>SUM($AG156:AN156)</f>
        <v>0</v>
      </c>
      <c r="AZ156" s="41">
        <f>SUM($AG156:AO156)</f>
        <v>0</v>
      </c>
      <c r="BA156" s="41">
        <f>SUM($AG156:AP156)</f>
        <v>0</v>
      </c>
      <c r="BB156" s="41">
        <f>SUM($AG156:AQ156)</f>
        <v>0</v>
      </c>
      <c r="BC156" s="41" t="str">
        <f t="shared" si="38"/>
        <v/>
      </c>
      <c r="BD156" s="41" t="str">
        <f t="shared" si="38"/>
        <v/>
      </c>
      <c r="BE156" s="41" t="str">
        <f t="shared" si="38"/>
        <v/>
      </c>
      <c r="BF156" s="41" t="str">
        <f t="shared" si="38"/>
        <v/>
      </c>
      <c r="BG156" s="41" t="str">
        <f t="shared" si="38"/>
        <v/>
      </c>
      <c r="BH156" s="41" t="str">
        <f t="shared" si="38"/>
        <v/>
      </c>
      <c r="BI156" s="41" t="str">
        <f t="shared" si="38"/>
        <v/>
      </c>
      <c r="BJ156" s="41" t="str">
        <f t="shared" si="38"/>
        <v/>
      </c>
      <c r="BK156" s="41" t="str">
        <f t="shared" si="38"/>
        <v/>
      </c>
      <c r="BL156" s="41" t="str">
        <f t="shared" si="37"/>
        <v/>
      </c>
      <c r="BM156" s="41" t="str">
        <f t="shared" si="37"/>
        <v/>
      </c>
    </row>
    <row r="157" spans="1:65" ht="15" customHeight="1" x14ac:dyDescent="0.25">
      <c r="A157" s="957">
        <f t="shared" si="43"/>
        <v>0</v>
      </c>
      <c r="B157" s="10"/>
      <c r="C157" s="10"/>
      <c r="D157" s="13"/>
      <c r="E157" s="10"/>
      <c r="F157" s="10"/>
      <c r="G157" s="10"/>
      <c r="H157" s="10"/>
      <c r="I157" s="10"/>
      <c r="J157" s="10"/>
      <c r="K157" s="10"/>
      <c r="L157" s="10"/>
      <c r="M157" s="10"/>
      <c r="N157" s="10"/>
      <c r="O157" s="10"/>
      <c r="P157" s="4"/>
      <c r="Q157" s="1204"/>
      <c r="R157" s="101" t="str">
        <f t="shared" ref="R157:R172" si="45">CONCATENATE(BC157,BD157,BE157,BF157,BG157,BH157,BI157,BJ157,BK157,BL157,BM157)</f>
        <v/>
      </c>
      <c r="S157" s="137">
        <f t="shared" si="30"/>
        <v>65</v>
      </c>
      <c r="T157" s="2129">
        <v>0.65</v>
      </c>
      <c r="U157" s="2130">
        <v>0.78</v>
      </c>
      <c r="V157" s="2130">
        <v>0.8</v>
      </c>
      <c r="W157" s="2130"/>
      <c r="X157" s="2130"/>
      <c r="Y157" s="2130"/>
      <c r="Z157" s="2130"/>
      <c r="AA157" s="2130"/>
      <c r="AB157" s="2130"/>
      <c r="AC157" s="2130"/>
      <c r="AD157" s="101"/>
      <c r="AE157" s="6"/>
      <c r="AF157" s="11"/>
      <c r="AG157" s="41">
        <f t="shared" si="44"/>
        <v>0</v>
      </c>
      <c r="AH157" s="41">
        <f>IF(ISERROR(HLOOKUP(AH$91,'Improved Sales Adjustments 2'!$G$7:$WU$147,68,FALSE)),0,IF(HLOOKUP(AH$91,'Improved Sales Adjustments 2'!$G$7:$WU$147,68,FALSE)="",0,IF($S157=HLOOKUP(AH$91,'Improved Sales Adjustments 2'!$G$7:$WU$147,68,FALSE),1,0)))</f>
        <v>0</v>
      </c>
      <c r="AI157" s="41">
        <f>IF(ISERROR(HLOOKUP(AI$91,'Improved Sales Adjustments 2'!$G$7:$WU$147,68,FALSE)),0,IF(HLOOKUP(AI$91,'Improved Sales Adjustments 2'!$G$7:$WU$147,68,FALSE)="",0,IF($S157=HLOOKUP(AI$91,'Improved Sales Adjustments 2'!$G$7:$WU$147,68,FALSE),1,0)))</f>
        <v>0</v>
      </c>
      <c r="AJ157" s="41">
        <f>IF(ISERROR(HLOOKUP(AJ$91,'Improved Sales Adjustments 2'!$G$7:$WU$147,68,FALSE)),0,IF(HLOOKUP(AJ$91,'Improved Sales Adjustments 2'!$G$7:$WU$147,68,FALSE)="",0,IF($S157=HLOOKUP(AJ$91,'Improved Sales Adjustments 2'!$G$7:$WU$147,68,FALSE),1,0)))</f>
        <v>0</v>
      </c>
      <c r="AK157" s="41">
        <f>IF(ISERROR(HLOOKUP(AK$91,'Improved Sales Adjustments 2'!$G$7:$WU$147,68,FALSE)),0,IF(HLOOKUP(AK$91,'Improved Sales Adjustments 2'!$G$7:$WU$147,68,FALSE)="",0,IF($S157=HLOOKUP(AK$91,'Improved Sales Adjustments 2'!$G$7:$WU$147,68,FALSE),1,0)))</f>
        <v>0</v>
      </c>
      <c r="AL157" s="41">
        <f>IF(ISERROR(HLOOKUP(AL$91,'Improved Sales Adjustments 2'!$G$7:$WU$147,68,FALSE)),0,IF(HLOOKUP(AL$91,'Improved Sales Adjustments 2'!$G$7:$WU$147,68,FALSE)="",0,IF($S157=HLOOKUP(AL$91,'Improved Sales Adjustments 2'!$G$7:$WU$147,68,FALSE),1,0)))</f>
        <v>0</v>
      </c>
      <c r="AM157" s="41">
        <f>IF(ISERROR(HLOOKUP(AM$91,'Improved Sales Adjustments 2'!$G$7:$WU$147,68,FALSE)),0,IF(HLOOKUP(AM$91,'Improved Sales Adjustments 2'!$G$7:$WU$147,68,FALSE)="",0,IF($S157=HLOOKUP(AM$91,'Improved Sales Adjustments 2'!$G$7:$WU$147,68,FALSE),1,0)))</f>
        <v>0</v>
      </c>
      <c r="AN157" s="41">
        <f>IF(ISERROR(HLOOKUP(AN$91,'Improved Sales Adjustments 2'!$G$7:$WU$147,68,FALSE)),0,IF(HLOOKUP(AN$91,'Improved Sales Adjustments 2'!$G$7:$WU$147,68,FALSE)="",0,IF($S157=HLOOKUP(AN$91,'Improved Sales Adjustments 2'!$G$7:$WU$147,68,FALSE),1,0)))</f>
        <v>0</v>
      </c>
      <c r="AO157" s="41">
        <f>IF(ISERROR(HLOOKUP(AO$91,'Improved Sales Adjustments 2'!$G$7:$WU$147,68,FALSE)),0,IF(HLOOKUP(AO$91,'Improved Sales Adjustments 2'!$G$7:$WU$147,68,FALSE)="",0,IF($S157=HLOOKUP(AO$91,'Improved Sales Adjustments 2'!$G$7:$WU$147,68,FALSE),1,0)))</f>
        <v>0</v>
      </c>
      <c r="AP157" s="41">
        <f>IF(ISERROR(HLOOKUP(AP$91,'Improved Sales Adjustments 2'!$G$7:$WU$147,68,FALSE)),0,IF(HLOOKUP(AP$91,'Improved Sales Adjustments 2'!$G$7:$WU$147,68,FALSE)="",0,IF($S157=HLOOKUP(AP$91,'Improved Sales Adjustments 2'!$G$7:$WU$147,68,FALSE),1,0)))</f>
        <v>0</v>
      </c>
      <c r="AQ157" s="41">
        <f>IF(ISERROR(HLOOKUP(AQ$91,'Improved Sales Adjustments 2'!$G$7:$WU$147,68,FALSE)),0,IF(HLOOKUP(AQ$91,'Improved Sales Adjustments 2'!$G$7:$WU$147,68,FALSE)="",0,IF($S157=HLOOKUP(AQ$91,'Improved Sales Adjustments 2'!$G$7:$WU$147,68,FALSE),1,0)))</f>
        <v>0</v>
      </c>
      <c r="AR157" s="41">
        <f>SUM($AG157:AG157)</f>
        <v>0</v>
      </c>
      <c r="AS157" s="41">
        <f>SUM($AG157:AH157)</f>
        <v>0</v>
      </c>
      <c r="AT157" s="41">
        <f>SUM($AG157:AI157)</f>
        <v>0</v>
      </c>
      <c r="AU157" s="41">
        <f>SUM($AG157:AJ157)</f>
        <v>0</v>
      </c>
      <c r="AV157" s="41">
        <f>SUM($AG157:AK157)</f>
        <v>0</v>
      </c>
      <c r="AW157" s="41">
        <f>SUM($AG157:AL157)</f>
        <v>0</v>
      </c>
      <c r="AX157" s="41">
        <f>SUM($AG157:AM157)</f>
        <v>0</v>
      </c>
      <c r="AY157" s="41">
        <f>SUM($AG157:AN157)</f>
        <v>0</v>
      </c>
      <c r="AZ157" s="41">
        <f>SUM($AG157:AO157)</f>
        <v>0</v>
      </c>
      <c r="BA157" s="41">
        <f>SUM($AG157:AP157)</f>
        <v>0</v>
      </c>
      <c r="BB157" s="41">
        <f>SUM($AG157:AQ157)</f>
        <v>0</v>
      </c>
      <c r="BC157" s="41" t="str">
        <f t="shared" si="38"/>
        <v/>
      </c>
      <c r="BD157" s="41" t="str">
        <f t="shared" si="38"/>
        <v/>
      </c>
      <c r="BE157" s="41" t="str">
        <f t="shared" si="38"/>
        <v/>
      </c>
      <c r="BF157" s="41" t="str">
        <f t="shared" si="38"/>
        <v/>
      </c>
      <c r="BG157" s="41" t="str">
        <f t="shared" si="38"/>
        <v/>
      </c>
      <c r="BH157" s="41" t="str">
        <f t="shared" si="38"/>
        <v/>
      </c>
      <c r="BI157" s="41" t="str">
        <f t="shared" si="38"/>
        <v/>
      </c>
      <c r="BJ157" s="41" t="str">
        <f t="shared" si="38"/>
        <v/>
      </c>
      <c r="BK157" s="41" t="str">
        <f t="shared" si="38"/>
        <v/>
      </c>
      <c r="BL157" s="41" t="str">
        <f t="shared" si="37"/>
        <v/>
      </c>
      <c r="BM157" s="41" t="str">
        <f t="shared" si="37"/>
        <v/>
      </c>
    </row>
    <row r="158" spans="1:65" ht="15" customHeight="1" x14ac:dyDescent="0.25">
      <c r="A158" s="957">
        <f t="shared" si="43"/>
        <v>0</v>
      </c>
      <c r="B158" s="10"/>
      <c r="C158" s="10"/>
      <c r="D158" s="13"/>
      <c r="E158" s="10"/>
      <c r="F158" s="10"/>
      <c r="G158" s="10"/>
      <c r="H158" s="10"/>
      <c r="I158" s="10"/>
      <c r="J158" s="10"/>
      <c r="K158" s="10"/>
      <c r="L158" s="10"/>
      <c r="M158" s="10"/>
      <c r="N158" s="10"/>
      <c r="O158" s="10"/>
      <c r="P158" s="4"/>
      <c r="Q158" s="1204"/>
      <c r="R158" s="101" t="str">
        <f t="shared" si="45"/>
        <v/>
      </c>
      <c r="S158" s="137">
        <f t="shared" si="30"/>
        <v>66</v>
      </c>
      <c r="T158" s="2130">
        <f t="shared" ref="T158:U161" si="46">((T$162-T$157)/5)+T157</f>
        <v>0.66200000000000003</v>
      </c>
      <c r="U158" s="2130">
        <f t="shared" si="46"/>
        <v>0.78400000000000003</v>
      </c>
      <c r="V158" s="2130"/>
      <c r="W158" s="2130"/>
      <c r="X158" s="2130"/>
      <c r="Y158" s="2130"/>
      <c r="Z158" s="2130"/>
      <c r="AA158" s="2130"/>
      <c r="AB158" s="2130"/>
      <c r="AC158" s="2130"/>
      <c r="AD158" s="101"/>
      <c r="AE158" s="6"/>
      <c r="AF158" s="11"/>
      <c r="AG158" s="41">
        <f t="shared" si="44"/>
        <v>0</v>
      </c>
      <c r="AH158" s="41">
        <f>IF(ISERROR(HLOOKUP(AH$91,'Improved Sales Adjustments 2'!$G$7:$WU$147,68,FALSE)),0,IF(HLOOKUP(AH$91,'Improved Sales Adjustments 2'!$G$7:$WU$147,68,FALSE)="",0,IF($S158=HLOOKUP(AH$91,'Improved Sales Adjustments 2'!$G$7:$WU$147,68,FALSE),1,0)))</f>
        <v>0</v>
      </c>
      <c r="AI158" s="41">
        <f>IF(ISERROR(HLOOKUP(AI$91,'Improved Sales Adjustments 2'!$G$7:$WU$147,68,FALSE)),0,IF(HLOOKUP(AI$91,'Improved Sales Adjustments 2'!$G$7:$WU$147,68,FALSE)="",0,IF($S158=HLOOKUP(AI$91,'Improved Sales Adjustments 2'!$G$7:$WU$147,68,FALSE),1,0)))</f>
        <v>0</v>
      </c>
      <c r="AJ158" s="41">
        <f>IF(ISERROR(HLOOKUP(AJ$91,'Improved Sales Adjustments 2'!$G$7:$WU$147,68,FALSE)),0,IF(HLOOKUP(AJ$91,'Improved Sales Adjustments 2'!$G$7:$WU$147,68,FALSE)="",0,IF($S158=HLOOKUP(AJ$91,'Improved Sales Adjustments 2'!$G$7:$WU$147,68,FALSE),1,0)))</f>
        <v>0</v>
      </c>
      <c r="AK158" s="41">
        <f>IF(ISERROR(HLOOKUP(AK$91,'Improved Sales Adjustments 2'!$G$7:$WU$147,68,FALSE)),0,IF(HLOOKUP(AK$91,'Improved Sales Adjustments 2'!$G$7:$WU$147,68,FALSE)="",0,IF($S158=HLOOKUP(AK$91,'Improved Sales Adjustments 2'!$G$7:$WU$147,68,FALSE),1,0)))</f>
        <v>0</v>
      </c>
      <c r="AL158" s="41">
        <f>IF(ISERROR(HLOOKUP(AL$91,'Improved Sales Adjustments 2'!$G$7:$WU$147,68,FALSE)),0,IF(HLOOKUP(AL$91,'Improved Sales Adjustments 2'!$G$7:$WU$147,68,FALSE)="",0,IF($S158=HLOOKUP(AL$91,'Improved Sales Adjustments 2'!$G$7:$WU$147,68,FALSE),1,0)))</f>
        <v>0</v>
      </c>
      <c r="AM158" s="41">
        <f>IF(ISERROR(HLOOKUP(AM$91,'Improved Sales Adjustments 2'!$G$7:$WU$147,68,FALSE)),0,IF(HLOOKUP(AM$91,'Improved Sales Adjustments 2'!$G$7:$WU$147,68,FALSE)="",0,IF($S158=HLOOKUP(AM$91,'Improved Sales Adjustments 2'!$G$7:$WU$147,68,FALSE),1,0)))</f>
        <v>0</v>
      </c>
      <c r="AN158" s="41">
        <f>IF(ISERROR(HLOOKUP(AN$91,'Improved Sales Adjustments 2'!$G$7:$WU$147,68,FALSE)),0,IF(HLOOKUP(AN$91,'Improved Sales Adjustments 2'!$G$7:$WU$147,68,FALSE)="",0,IF($S158=HLOOKUP(AN$91,'Improved Sales Adjustments 2'!$G$7:$WU$147,68,FALSE),1,0)))</f>
        <v>0</v>
      </c>
      <c r="AO158" s="41">
        <f>IF(ISERROR(HLOOKUP(AO$91,'Improved Sales Adjustments 2'!$G$7:$WU$147,68,FALSE)),0,IF(HLOOKUP(AO$91,'Improved Sales Adjustments 2'!$G$7:$WU$147,68,FALSE)="",0,IF($S158=HLOOKUP(AO$91,'Improved Sales Adjustments 2'!$G$7:$WU$147,68,FALSE),1,0)))</f>
        <v>0</v>
      </c>
      <c r="AP158" s="41">
        <f>IF(ISERROR(HLOOKUP(AP$91,'Improved Sales Adjustments 2'!$G$7:$WU$147,68,FALSE)),0,IF(HLOOKUP(AP$91,'Improved Sales Adjustments 2'!$G$7:$WU$147,68,FALSE)="",0,IF($S158=HLOOKUP(AP$91,'Improved Sales Adjustments 2'!$G$7:$WU$147,68,FALSE),1,0)))</f>
        <v>0</v>
      </c>
      <c r="AQ158" s="41">
        <f>IF(ISERROR(HLOOKUP(AQ$91,'Improved Sales Adjustments 2'!$G$7:$WU$147,68,FALSE)),0,IF(HLOOKUP(AQ$91,'Improved Sales Adjustments 2'!$G$7:$WU$147,68,FALSE)="",0,IF($S158=HLOOKUP(AQ$91,'Improved Sales Adjustments 2'!$G$7:$WU$147,68,FALSE),1,0)))</f>
        <v>0</v>
      </c>
      <c r="AR158" s="41">
        <f>SUM($AG158:AG158)</f>
        <v>0</v>
      </c>
      <c r="AS158" s="41">
        <f>SUM($AG158:AH158)</f>
        <v>0</v>
      </c>
      <c r="AT158" s="41">
        <f>SUM($AG158:AI158)</f>
        <v>0</v>
      </c>
      <c r="AU158" s="41">
        <f>SUM($AG158:AJ158)</f>
        <v>0</v>
      </c>
      <c r="AV158" s="41">
        <f>SUM($AG158:AK158)</f>
        <v>0</v>
      </c>
      <c r="AW158" s="41">
        <f>SUM($AG158:AL158)</f>
        <v>0</v>
      </c>
      <c r="AX158" s="41">
        <f>SUM($AG158:AM158)</f>
        <v>0</v>
      </c>
      <c r="AY158" s="41">
        <f>SUM($AG158:AN158)</f>
        <v>0</v>
      </c>
      <c r="AZ158" s="41">
        <f>SUM($AG158:AO158)</f>
        <v>0</v>
      </c>
      <c r="BA158" s="41">
        <f>SUM($AG158:AP158)</f>
        <v>0</v>
      </c>
      <c r="BB158" s="41">
        <f>SUM($AG158:AQ158)</f>
        <v>0</v>
      </c>
      <c r="BC158" s="41" t="str">
        <f t="shared" si="38"/>
        <v/>
      </c>
      <c r="BD158" s="41" t="str">
        <f t="shared" si="38"/>
        <v/>
      </c>
      <c r="BE158" s="41" t="str">
        <f t="shared" si="38"/>
        <v/>
      </c>
      <c r="BF158" s="41" t="str">
        <f t="shared" ref="BF158:BK172" si="47">IF(AJ158=1,IF(AND(AU158=$BB158,$BB158&gt;1),IF($BB158&lt;3,CONCATENATE(" and ",BF$90),CONCATENATE("and ",BF$90)),IF($BB158&lt;3,BF$90,CONCATENATE(BF$90,", "))),"")</f>
        <v/>
      </c>
      <c r="BG158" s="41" t="str">
        <f t="shared" si="47"/>
        <v/>
      </c>
      <c r="BH158" s="41" t="str">
        <f t="shared" si="47"/>
        <v/>
      </c>
      <c r="BI158" s="41" t="str">
        <f t="shared" si="47"/>
        <v/>
      </c>
      <c r="BJ158" s="41" t="str">
        <f t="shared" si="47"/>
        <v/>
      </c>
      <c r="BK158" s="41" t="str">
        <f t="shared" si="47"/>
        <v/>
      </c>
      <c r="BL158" s="41" t="str">
        <f t="shared" si="37"/>
        <v/>
      </c>
      <c r="BM158" s="41" t="str">
        <f t="shared" si="37"/>
        <v/>
      </c>
    </row>
    <row r="159" spans="1:65" ht="15" customHeight="1" x14ac:dyDescent="0.25">
      <c r="A159" s="957">
        <f t="shared" si="43"/>
        <v>0</v>
      </c>
      <c r="B159" s="10"/>
      <c r="C159" s="10"/>
      <c r="D159" s="13"/>
      <c r="E159" s="10"/>
      <c r="F159" s="10"/>
      <c r="G159" s="10"/>
      <c r="H159" s="10"/>
      <c r="I159" s="10"/>
      <c r="J159" s="10"/>
      <c r="K159" s="10"/>
      <c r="L159" s="10"/>
      <c r="M159" s="10"/>
      <c r="N159" s="10"/>
      <c r="O159" s="10"/>
      <c r="P159" s="4"/>
      <c r="Q159" s="1204"/>
      <c r="R159" s="101" t="str">
        <f t="shared" si="45"/>
        <v/>
      </c>
      <c r="S159" s="137">
        <f t="shared" ref="S159:S172" si="48">S158+1</f>
        <v>67</v>
      </c>
      <c r="T159" s="2130">
        <f t="shared" si="46"/>
        <v>0.67400000000000004</v>
      </c>
      <c r="U159" s="2130">
        <f t="shared" si="46"/>
        <v>0.78800000000000003</v>
      </c>
      <c r="V159" s="2130"/>
      <c r="W159" s="2130"/>
      <c r="X159" s="2130"/>
      <c r="Y159" s="2130"/>
      <c r="Z159" s="2130"/>
      <c r="AA159" s="2130"/>
      <c r="AB159" s="2130"/>
      <c r="AC159" s="2130"/>
      <c r="AD159" s="101"/>
      <c r="AE159" s="6"/>
      <c r="AF159" s="11"/>
      <c r="AG159" s="41">
        <f t="shared" si="44"/>
        <v>0</v>
      </c>
      <c r="AH159" s="41">
        <f>IF(ISERROR(HLOOKUP(AH$91,'Improved Sales Adjustments 2'!$G$7:$WU$147,68,FALSE)),0,IF(HLOOKUP(AH$91,'Improved Sales Adjustments 2'!$G$7:$WU$147,68,FALSE)="",0,IF($S159=HLOOKUP(AH$91,'Improved Sales Adjustments 2'!$G$7:$WU$147,68,FALSE),1,0)))</f>
        <v>0</v>
      </c>
      <c r="AI159" s="41">
        <f>IF(ISERROR(HLOOKUP(AI$91,'Improved Sales Adjustments 2'!$G$7:$WU$147,68,FALSE)),0,IF(HLOOKUP(AI$91,'Improved Sales Adjustments 2'!$G$7:$WU$147,68,FALSE)="",0,IF($S159=HLOOKUP(AI$91,'Improved Sales Adjustments 2'!$G$7:$WU$147,68,FALSE),1,0)))</f>
        <v>0</v>
      </c>
      <c r="AJ159" s="41">
        <f>IF(ISERROR(HLOOKUP(AJ$91,'Improved Sales Adjustments 2'!$G$7:$WU$147,68,FALSE)),0,IF(HLOOKUP(AJ$91,'Improved Sales Adjustments 2'!$G$7:$WU$147,68,FALSE)="",0,IF($S159=HLOOKUP(AJ$91,'Improved Sales Adjustments 2'!$G$7:$WU$147,68,FALSE),1,0)))</f>
        <v>0</v>
      </c>
      <c r="AK159" s="41">
        <f>IF(ISERROR(HLOOKUP(AK$91,'Improved Sales Adjustments 2'!$G$7:$WU$147,68,FALSE)),0,IF(HLOOKUP(AK$91,'Improved Sales Adjustments 2'!$G$7:$WU$147,68,FALSE)="",0,IF($S159=HLOOKUP(AK$91,'Improved Sales Adjustments 2'!$G$7:$WU$147,68,FALSE),1,0)))</f>
        <v>0</v>
      </c>
      <c r="AL159" s="41">
        <f>IF(ISERROR(HLOOKUP(AL$91,'Improved Sales Adjustments 2'!$G$7:$WU$147,68,FALSE)),0,IF(HLOOKUP(AL$91,'Improved Sales Adjustments 2'!$G$7:$WU$147,68,FALSE)="",0,IF($S159=HLOOKUP(AL$91,'Improved Sales Adjustments 2'!$G$7:$WU$147,68,FALSE),1,0)))</f>
        <v>0</v>
      </c>
      <c r="AM159" s="41">
        <f>IF(ISERROR(HLOOKUP(AM$91,'Improved Sales Adjustments 2'!$G$7:$WU$147,68,FALSE)),0,IF(HLOOKUP(AM$91,'Improved Sales Adjustments 2'!$G$7:$WU$147,68,FALSE)="",0,IF($S159=HLOOKUP(AM$91,'Improved Sales Adjustments 2'!$G$7:$WU$147,68,FALSE),1,0)))</f>
        <v>0</v>
      </c>
      <c r="AN159" s="41">
        <f>IF(ISERROR(HLOOKUP(AN$91,'Improved Sales Adjustments 2'!$G$7:$WU$147,68,FALSE)),0,IF(HLOOKUP(AN$91,'Improved Sales Adjustments 2'!$G$7:$WU$147,68,FALSE)="",0,IF($S159=HLOOKUP(AN$91,'Improved Sales Adjustments 2'!$G$7:$WU$147,68,FALSE),1,0)))</f>
        <v>0</v>
      </c>
      <c r="AO159" s="41">
        <f>IF(ISERROR(HLOOKUP(AO$91,'Improved Sales Adjustments 2'!$G$7:$WU$147,68,FALSE)),0,IF(HLOOKUP(AO$91,'Improved Sales Adjustments 2'!$G$7:$WU$147,68,FALSE)="",0,IF($S159=HLOOKUP(AO$91,'Improved Sales Adjustments 2'!$G$7:$WU$147,68,FALSE),1,0)))</f>
        <v>0</v>
      </c>
      <c r="AP159" s="41">
        <f>IF(ISERROR(HLOOKUP(AP$91,'Improved Sales Adjustments 2'!$G$7:$WU$147,68,FALSE)),0,IF(HLOOKUP(AP$91,'Improved Sales Adjustments 2'!$G$7:$WU$147,68,FALSE)="",0,IF($S159=HLOOKUP(AP$91,'Improved Sales Adjustments 2'!$G$7:$WU$147,68,FALSE),1,0)))</f>
        <v>0</v>
      </c>
      <c r="AQ159" s="41">
        <f>IF(ISERROR(HLOOKUP(AQ$91,'Improved Sales Adjustments 2'!$G$7:$WU$147,68,FALSE)),0,IF(HLOOKUP(AQ$91,'Improved Sales Adjustments 2'!$G$7:$WU$147,68,FALSE)="",0,IF($S159=HLOOKUP(AQ$91,'Improved Sales Adjustments 2'!$G$7:$WU$147,68,FALSE),1,0)))</f>
        <v>0</v>
      </c>
      <c r="AR159" s="41">
        <f>SUM($AG159:AG159)</f>
        <v>0</v>
      </c>
      <c r="AS159" s="41">
        <f>SUM($AG159:AH159)</f>
        <v>0</v>
      </c>
      <c r="AT159" s="41">
        <f>SUM($AG159:AI159)</f>
        <v>0</v>
      </c>
      <c r="AU159" s="41">
        <f>SUM($AG159:AJ159)</f>
        <v>0</v>
      </c>
      <c r="AV159" s="41">
        <f>SUM($AG159:AK159)</f>
        <v>0</v>
      </c>
      <c r="AW159" s="41">
        <f>SUM($AG159:AL159)</f>
        <v>0</v>
      </c>
      <c r="AX159" s="41">
        <f>SUM($AG159:AM159)</f>
        <v>0</v>
      </c>
      <c r="AY159" s="41">
        <f>SUM($AG159:AN159)</f>
        <v>0</v>
      </c>
      <c r="AZ159" s="41">
        <f>SUM($AG159:AO159)</f>
        <v>0</v>
      </c>
      <c r="BA159" s="41">
        <f>SUM($AG159:AP159)</f>
        <v>0</v>
      </c>
      <c r="BB159" s="41">
        <f>SUM($AG159:AQ159)</f>
        <v>0</v>
      </c>
      <c r="BC159" s="41" t="str">
        <f t="shared" ref="BC159:BE172" si="49">IF(AG159=1,IF(AND(AR159=$BB159,$BB159&gt;1),IF($BB159&lt;3,CONCATENATE(" and ",BC$90),CONCATENATE("and ",BC$90)),IF($BB159&lt;3,BC$90,CONCATENATE(BC$90,", "))),"")</f>
        <v/>
      </c>
      <c r="BD159" s="41" t="str">
        <f t="shared" si="49"/>
        <v/>
      </c>
      <c r="BE159" s="41" t="str">
        <f t="shared" si="49"/>
        <v/>
      </c>
      <c r="BF159" s="41" t="str">
        <f t="shared" si="47"/>
        <v/>
      </c>
      <c r="BG159" s="41" t="str">
        <f t="shared" si="47"/>
        <v/>
      </c>
      <c r="BH159" s="41" t="str">
        <f t="shared" si="47"/>
        <v/>
      </c>
      <c r="BI159" s="41" t="str">
        <f t="shared" si="47"/>
        <v/>
      </c>
      <c r="BJ159" s="41" t="str">
        <f t="shared" si="47"/>
        <v/>
      </c>
      <c r="BK159" s="41" t="str">
        <f t="shared" si="47"/>
        <v/>
      </c>
      <c r="BL159" s="41" t="str">
        <f t="shared" si="37"/>
        <v/>
      </c>
      <c r="BM159" s="41" t="str">
        <f t="shared" si="37"/>
        <v/>
      </c>
    </row>
    <row r="160" spans="1:65" ht="15" customHeight="1" x14ac:dyDescent="0.25">
      <c r="A160" s="957">
        <f t="shared" si="43"/>
        <v>0</v>
      </c>
      <c r="B160" s="10"/>
      <c r="C160" s="10"/>
      <c r="D160" s="13"/>
      <c r="E160" s="10"/>
      <c r="F160" s="10"/>
      <c r="G160" s="10"/>
      <c r="H160" s="10"/>
      <c r="I160" s="10"/>
      <c r="J160" s="10"/>
      <c r="K160" s="10"/>
      <c r="L160" s="10"/>
      <c r="M160" s="10"/>
      <c r="N160" s="10"/>
      <c r="O160" s="10"/>
      <c r="P160" s="4"/>
      <c r="Q160" s="1204"/>
      <c r="R160" s="101" t="str">
        <f t="shared" si="45"/>
        <v/>
      </c>
      <c r="S160" s="137">
        <f t="shared" si="48"/>
        <v>68</v>
      </c>
      <c r="T160" s="2130">
        <f t="shared" si="46"/>
        <v>0.68600000000000005</v>
      </c>
      <c r="U160" s="2130">
        <f t="shared" si="46"/>
        <v>0.79200000000000004</v>
      </c>
      <c r="V160" s="2130"/>
      <c r="W160" s="2130"/>
      <c r="X160" s="2130"/>
      <c r="Y160" s="2130"/>
      <c r="Z160" s="2130"/>
      <c r="AA160" s="2130"/>
      <c r="AB160" s="2130"/>
      <c r="AC160" s="2130"/>
      <c r="AD160" s="101"/>
      <c r="AE160" s="6"/>
      <c r="AF160" s="11"/>
      <c r="AG160" s="41">
        <f t="shared" si="44"/>
        <v>0</v>
      </c>
      <c r="AH160" s="41">
        <f>IF(ISERROR(HLOOKUP(AH$91,'Improved Sales Adjustments 2'!$G$7:$WU$147,68,FALSE)),0,IF(HLOOKUP(AH$91,'Improved Sales Adjustments 2'!$G$7:$WU$147,68,FALSE)="",0,IF($S160=HLOOKUP(AH$91,'Improved Sales Adjustments 2'!$G$7:$WU$147,68,FALSE),1,0)))</f>
        <v>0</v>
      </c>
      <c r="AI160" s="41">
        <f>IF(ISERROR(HLOOKUP(AI$91,'Improved Sales Adjustments 2'!$G$7:$WU$147,68,FALSE)),0,IF(HLOOKUP(AI$91,'Improved Sales Adjustments 2'!$G$7:$WU$147,68,FALSE)="",0,IF($S160=HLOOKUP(AI$91,'Improved Sales Adjustments 2'!$G$7:$WU$147,68,FALSE),1,0)))</f>
        <v>0</v>
      </c>
      <c r="AJ160" s="41">
        <f>IF(ISERROR(HLOOKUP(AJ$91,'Improved Sales Adjustments 2'!$G$7:$WU$147,68,FALSE)),0,IF(HLOOKUP(AJ$91,'Improved Sales Adjustments 2'!$G$7:$WU$147,68,FALSE)="",0,IF($S160=HLOOKUP(AJ$91,'Improved Sales Adjustments 2'!$G$7:$WU$147,68,FALSE),1,0)))</f>
        <v>0</v>
      </c>
      <c r="AK160" s="41">
        <f>IF(ISERROR(HLOOKUP(AK$91,'Improved Sales Adjustments 2'!$G$7:$WU$147,68,FALSE)),0,IF(HLOOKUP(AK$91,'Improved Sales Adjustments 2'!$G$7:$WU$147,68,FALSE)="",0,IF($S160=HLOOKUP(AK$91,'Improved Sales Adjustments 2'!$G$7:$WU$147,68,FALSE),1,0)))</f>
        <v>0</v>
      </c>
      <c r="AL160" s="41">
        <f>IF(ISERROR(HLOOKUP(AL$91,'Improved Sales Adjustments 2'!$G$7:$WU$147,68,FALSE)),0,IF(HLOOKUP(AL$91,'Improved Sales Adjustments 2'!$G$7:$WU$147,68,FALSE)="",0,IF($S160=HLOOKUP(AL$91,'Improved Sales Adjustments 2'!$G$7:$WU$147,68,FALSE),1,0)))</f>
        <v>0</v>
      </c>
      <c r="AM160" s="41">
        <f>IF(ISERROR(HLOOKUP(AM$91,'Improved Sales Adjustments 2'!$G$7:$WU$147,68,FALSE)),0,IF(HLOOKUP(AM$91,'Improved Sales Adjustments 2'!$G$7:$WU$147,68,FALSE)="",0,IF($S160=HLOOKUP(AM$91,'Improved Sales Adjustments 2'!$G$7:$WU$147,68,FALSE),1,0)))</f>
        <v>0</v>
      </c>
      <c r="AN160" s="41">
        <f>IF(ISERROR(HLOOKUP(AN$91,'Improved Sales Adjustments 2'!$G$7:$WU$147,68,FALSE)),0,IF(HLOOKUP(AN$91,'Improved Sales Adjustments 2'!$G$7:$WU$147,68,FALSE)="",0,IF($S160=HLOOKUP(AN$91,'Improved Sales Adjustments 2'!$G$7:$WU$147,68,FALSE),1,0)))</f>
        <v>0</v>
      </c>
      <c r="AO160" s="41">
        <f>IF(ISERROR(HLOOKUP(AO$91,'Improved Sales Adjustments 2'!$G$7:$WU$147,68,FALSE)),0,IF(HLOOKUP(AO$91,'Improved Sales Adjustments 2'!$G$7:$WU$147,68,FALSE)="",0,IF($S160=HLOOKUP(AO$91,'Improved Sales Adjustments 2'!$G$7:$WU$147,68,FALSE),1,0)))</f>
        <v>0</v>
      </c>
      <c r="AP160" s="41">
        <f>IF(ISERROR(HLOOKUP(AP$91,'Improved Sales Adjustments 2'!$G$7:$WU$147,68,FALSE)),0,IF(HLOOKUP(AP$91,'Improved Sales Adjustments 2'!$G$7:$WU$147,68,FALSE)="",0,IF($S160=HLOOKUP(AP$91,'Improved Sales Adjustments 2'!$G$7:$WU$147,68,FALSE),1,0)))</f>
        <v>0</v>
      </c>
      <c r="AQ160" s="41">
        <f>IF(ISERROR(HLOOKUP(AQ$91,'Improved Sales Adjustments 2'!$G$7:$WU$147,68,FALSE)),0,IF(HLOOKUP(AQ$91,'Improved Sales Adjustments 2'!$G$7:$WU$147,68,FALSE)="",0,IF($S160=HLOOKUP(AQ$91,'Improved Sales Adjustments 2'!$G$7:$WU$147,68,FALSE),1,0)))</f>
        <v>0</v>
      </c>
      <c r="AR160" s="41">
        <f>SUM($AG160:AG160)</f>
        <v>0</v>
      </c>
      <c r="AS160" s="41">
        <f>SUM($AG160:AH160)</f>
        <v>0</v>
      </c>
      <c r="AT160" s="41">
        <f>SUM($AG160:AI160)</f>
        <v>0</v>
      </c>
      <c r="AU160" s="41">
        <f>SUM($AG160:AJ160)</f>
        <v>0</v>
      </c>
      <c r="AV160" s="41">
        <f>SUM($AG160:AK160)</f>
        <v>0</v>
      </c>
      <c r="AW160" s="41">
        <f>SUM($AG160:AL160)</f>
        <v>0</v>
      </c>
      <c r="AX160" s="41">
        <f>SUM($AG160:AM160)</f>
        <v>0</v>
      </c>
      <c r="AY160" s="41">
        <f>SUM($AG160:AN160)</f>
        <v>0</v>
      </c>
      <c r="AZ160" s="41">
        <f>SUM($AG160:AO160)</f>
        <v>0</v>
      </c>
      <c r="BA160" s="41">
        <f>SUM($AG160:AP160)</f>
        <v>0</v>
      </c>
      <c r="BB160" s="41">
        <f>SUM($AG160:AQ160)</f>
        <v>0</v>
      </c>
      <c r="BC160" s="41" t="str">
        <f t="shared" si="49"/>
        <v/>
      </c>
      <c r="BD160" s="41" t="str">
        <f t="shared" si="49"/>
        <v/>
      </c>
      <c r="BE160" s="41" t="str">
        <f t="shared" si="49"/>
        <v/>
      </c>
      <c r="BF160" s="41" t="str">
        <f t="shared" si="47"/>
        <v/>
      </c>
      <c r="BG160" s="41" t="str">
        <f t="shared" si="47"/>
        <v/>
      </c>
      <c r="BH160" s="41" t="str">
        <f t="shared" si="47"/>
        <v/>
      </c>
      <c r="BI160" s="41" t="str">
        <f t="shared" si="47"/>
        <v/>
      </c>
      <c r="BJ160" s="41" t="str">
        <f t="shared" si="47"/>
        <v/>
      </c>
      <c r="BK160" s="41" t="str">
        <f t="shared" si="47"/>
        <v/>
      </c>
      <c r="BL160" s="41" t="str">
        <f t="shared" si="37"/>
        <v/>
      </c>
      <c r="BM160" s="41" t="str">
        <f t="shared" si="37"/>
        <v/>
      </c>
    </row>
    <row r="161" spans="1:65" ht="15" customHeight="1" x14ac:dyDescent="0.25">
      <c r="A161" s="957">
        <f t="shared" si="43"/>
        <v>0</v>
      </c>
      <c r="B161" s="10"/>
      <c r="C161" s="10"/>
      <c r="D161" s="13"/>
      <c r="E161" s="10"/>
      <c r="F161" s="10"/>
      <c r="G161" s="10"/>
      <c r="H161" s="10"/>
      <c r="I161" s="10"/>
      <c r="J161" s="10"/>
      <c r="K161" s="10"/>
      <c r="L161" s="10"/>
      <c r="M161" s="10"/>
      <c r="N161" s="10"/>
      <c r="O161" s="10"/>
      <c r="P161" s="4"/>
      <c r="Q161" s="1204"/>
      <c r="R161" s="101" t="str">
        <f t="shared" si="45"/>
        <v/>
      </c>
      <c r="S161" s="137">
        <f t="shared" si="48"/>
        <v>69</v>
      </c>
      <c r="T161" s="2130">
        <f t="shared" si="46"/>
        <v>0.69800000000000006</v>
      </c>
      <c r="U161" s="2130">
        <f t="shared" si="46"/>
        <v>0.79600000000000004</v>
      </c>
      <c r="V161" s="2130"/>
      <c r="W161" s="2130"/>
      <c r="X161" s="2130"/>
      <c r="Y161" s="2130"/>
      <c r="Z161" s="2130"/>
      <c r="AA161" s="2130"/>
      <c r="AB161" s="2130"/>
      <c r="AC161" s="2130"/>
      <c r="AD161" s="101"/>
      <c r="AE161" s="6"/>
      <c r="AF161" s="11"/>
      <c r="AG161" s="41">
        <f t="shared" si="44"/>
        <v>0</v>
      </c>
      <c r="AH161" s="41">
        <f>IF(ISERROR(HLOOKUP(AH$91,'Improved Sales Adjustments 2'!$G$7:$WU$147,68,FALSE)),0,IF(HLOOKUP(AH$91,'Improved Sales Adjustments 2'!$G$7:$WU$147,68,FALSE)="",0,IF($S161=HLOOKUP(AH$91,'Improved Sales Adjustments 2'!$G$7:$WU$147,68,FALSE),1,0)))</f>
        <v>0</v>
      </c>
      <c r="AI161" s="41">
        <f>IF(ISERROR(HLOOKUP(AI$91,'Improved Sales Adjustments 2'!$G$7:$WU$147,68,FALSE)),0,IF(HLOOKUP(AI$91,'Improved Sales Adjustments 2'!$G$7:$WU$147,68,FALSE)="",0,IF($S161=HLOOKUP(AI$91,'Improved Sales Adjustments 2'!$G$7:$WU$147,68,FALSE),1,0)))</f>
        <v>0</v>
      </c>
      <c r="AJ161" s="41">
        <f>IF(ISERROR(HLOOKUP(AJ$91,'Improved Sales Adjustments 2'!$G$7:$WU$147,68,FALSE)),0,IF(HLOOKUP(AJ$91,'Improved Sales Adjustments 2'!$G$7:$WU$147,68,FALSE)="",0,IF($S161=HLOOKUP(AJ$91,'Improved Sales Adjustments 2'!$G$7:$WU$147,68,FALSE),1,0)))</f>
        <v>0</v>
      </c>
      <c r="AK161" s="41">
        <f>IF(ISERROR(HLOOKUP(AK$91,'Improved Sales Adjustments 2'!$G$7:$WU$147,68,FALSE)),0,IF(HLOOKUP(AK$91,'Improved Sales Adjustments 2'!$G$7:$WU$147,68,FALSE)="",0,IF($S161=HLOOKUP(AK$91,'Improved Sales Adjustments 2'!$G$7:$WU$147,68,FALSE),1,0)))</f>
        <v>0</v>
      </c>
      <c r="AL161" s="41">
        <f>IF(ISERROR(HLOOKUP(AL$91,'Improved Sales Adjustments 2'!$G$7:$WU$147,68,FALSE)),0,IF(HLOOKUP(AL$91,'Improved Sales Adjustments 2'!$G$7:$WU$147,68,FALSE)="",0,IF($S161=HLOOKUP(AL$91,'Improved Sales Adjustments 2'!$G$7:$WU$147,68,FALSE),1,0)))</f>
        <v>0</v>
      </c>
      <c r="AM161" s="41">
        <f>IF(ISERROR(HLOOKUP(AM$91,'Improved Sales Adjustments 2'!$G$7:$WU$147,68,FALSE)),0,IF(HLOOKUP(AM$91,'Improved Sales Adjustments 2'!$G$7:$WU$147,68,FALSE)="",0,IF($S161=HLOOKUP(AM$91,'Improved Sales Adjustments 2'!$G$7:$WU$147,68,FALSE),1,0)))</f>
        <v>0</v>
      </c>
      <c r="AN161" s="41">
        <f>IF(ISERROR(HLOOKUP(AN$91,'Improved Sales Adjustments 2'!$G$7:$WU$147,68,FALSE)),0,IF(HLOOKUP(AN$91,'Improved Sales Adjustments 2'!$G$7:$WU$147,68,FALSE)="",0,IF($S161=HLOOKUP(AN$91,'Improved Sales Adjustments 2'!$G$7:$WU$147,68,FALSE),1,0)))</f>
        <v>0</v>
      </c>
      <c r="AO161" s="41">
        <f>IF(ISERROR(HLOOKUP(AO$91,'Improved Sales Adjustments 2'!$G$7:$WU$147,68,FALSE)),0,IF(HLOOKUP(AO$91,'Improved Sales Adjustments 2'!$G$7:$WU$147,68,FALSE)="",0,IF($S161=HLOOKUP(AO$91,'Improved Sales Adjustments 2'!$G$7:$WU$147,68,FALSE),1,0)))</f>
        <v>0</v>
      </c>
      <c r="AP161" s="41">
        <f>IF(ISERROR(HLOOKUP(AP$91,'Improved Sales Adjustments 2'!$G$7:$WU$147,68,FALSE)),0,IF(HLOOKUP(AP$91,'Improved Sales Adjustments 2'!$G$7:$WU$147,68,FALSE)="",0,IF($S161=HLOOKUP(AP$91,'Improved Sales Adjustments 2'!$G$7:$WU$147,68,FALSE),1,0)))</f>
        <v>0</v>
      </c>
      <c r="AQ161" s="41">
        <f>IF(ISERROR(HLOOKUP(AQ$91,'Improved Sales Adjustments 2'!$G$7:$WU$147,68,FALSE)),0,IF(HLOOKUP(AQ$91,'Improved Sales Adjustments 2'!$G$7:$WU$147,68,FALSE)="",0,IF($S161=HLOOKUP(AQ$91,'Improved Sales Adjustments 2'!$G$7:$WU$147,68,FALSE),1,0)))</f>
        <v>0</v>
      </c>
      <c r="AR161" s="41">
        <f>SUM($AG161:AG161)</f>
        <v>0</v>
      </c>
      <c r="AS161" s="41">
        <f>SUM($AG161:AH161)</f>
        <v>0</v>
      </c>
      <c r="AT161" s="41">
        <f>SUM($AG161:AI161)</f>
        <v>0</v>
      </c>
      <c r="AU161" s="41">
        <f>SUM($AG161:AJ161)</f>
        <v>0</v>
      </c>
      <c r="AV161" s="41">
        <f>SUM($AG161:AK161)</f>
        <v>0</v>
      </c>
      <c r="AW161" s="41">
        <f>SUM($AG161:AL161)</f>
        <v>0</v>
      </c>
      <c r="AX161" s="41">
        <f>SUM($AG161:AM161)</f>
        <v>0</v>
      </c>
      <c r="AY161" s="41">
        <f>SUM($AG161:AN161)</f>
        <v>0</v>
      </c>
      <c r="AZ161" s="41">
        <f>SUM($AG161:AO161)</f>
        <v>0</v>
      </c>
      <c r="BA161" s="41">
        <f>SUM($AG161:AP161)</f>
        <v>0</v>
      </c>
      <c r="BB161" s="41">
        <f>SUM($AG161:AQ161)</f>
        <v>0</v>
      </c>
      <c r="BC161" s="41" t="str">
        <f t="shared" si="49"/>
        <v/>
      </c>
      <c r="BD161" s="41" t="str">
        <f t="shared" si="49"/>
        <v/>
      </c>
      <c r="BE161" s="41" t="str">
        <f t="shared" si="49"/>
        <v/>
      </c>
      <c r="BF161" s="41" t="str">
        <f t="shared" si="47"/>
        <v/>
      </c>
      <c r="BG161" s="41" t="str">
        <f t="shared" si="47"/>
        <v/>
      </c>
      <c r="BH161" s="41" t="str">
        <f t="shared" si="47"/>
        <v/>
      </c>
      <c r="BI161" s="41" t="str">
        <f t="shared" si="47"/>
        <v/>
      </c>
      <c r="BJ161" s="41" t="str">
        <f t="shared" si="47"/>
        <v/>
      </c>
      <c r="BK161" s="41" t="str">
        <f t="shared" si="47"/>
        <v/>
      </c>
      <c r="BL161" s="41" t="str">
        <f t="shared" si="37"/>
        <v/>
      </c>
      <c r="BM161" s="41" t="str">
        <f t="shared" si="37"/>
        <v/>
      </c>
    </row>
    <row r="162" spans="1:65" ht="15" customHeight="1" x14ac:dyDescent="0.25">
      <c r="A162" s="957">
        <f t="shared" si="43"/>
        <v>0</v>
      </c>
      <c r="B162" s="10"/>
      <c r="C162" s="10"/>
      <c r="D162" s="13"/>
      <c r="E162" s="10"/>
      <c r="F162" s="10"/>
      <c r="G162" s="10"/>
      <c r="H162" s="10"/>
      <c r="I162" s="10"/>
      <c r="J162" s="10"/>
      <c r="K162" s="10"/>
      <c r="L162" s="10"/>
      <c r="M162" s="10"/>
      <c r="N162" s="10"/>
      <c r="O162" s="10"/>
      <c r="P162" s="4"/>
      <c r="Q162" s="1204"/>
      <c r="R162" s="101" t="str">
        <f t="shared" si="45"/>
        <v/>
      </c>
      <c r="S162" s="137">
        <f t="shared" si="48"/>
        <v>70</v>
      </c>
      <c r="T162" s="2129">
        <v>0.71</v>
      </c>
      <c r="U162" s="2130">
        <v>0.8</v>
      </c>
      <c r="V162" s="2130"/>
      <c r="W162" s="2130"/>
      <c r="X162" s="2130"/>
      <c r="Y162" s="2130"/>
      <c r="Z162" s="2130"/>
      <c r="AA162" s="2130"/>
      <c r="AB162" s="2130"/>
      <c r="AC162" s="2130"/>
      <c r="AD162" s="101"/>
      <c r="AE162" s="6"/>
      <c r="AF162" s="11"/>
      <c r="AG162" s="41">
        <f t="shared" si="44"/>
        <v>0</v>
      </c>
      <c r="AH162" s="41">
        <f>IF(ISERROR(HLOOKUP(AH$91,'Improved Sales Adjustments 2'!$G$7:$WU$147,68,FALSE)),0,IF(HLOOKUP(AH$91,'Improved Sales Adjustments 2'!$G$7:$WU$147,68,FALSE)="",0,IF($S162=HLOOKUP(AH$91,'Improved Sales Adjustments 2'!$G$7:$WU$147,68,FALSE),1,0)))</f>
        <v>0</v>
      </c>
      <c r="AI162" s="41">
        <f>IF(ISERROR(HLOOKUP(AI$91,'Improved Sales Adjustments 2'!$G$7:$WU$147,68,FALSE)),0,IF(HLOOKUP(AI$91,'Improved Sales Adjustments 2'!$G$7:$WU$147,68,FALSE)="",0,IF($S162=HLOOKUP(AI$91,'Improved Sales Adjustments 2'!$G$7:$WU$147,68,FALSE),1,0)))</f>
        <v>0</v>
      </c>
      <c r="AJ162" s="41">
        <f>IF(ISERROR(HLOOKUP(AJ$91,'Improved Sales Adjustments 2'!$G$7:$WU$147,68,FALSE)),0,IF(HLOOKUP(AJ$91,'Improved Sales Adjustments 2'!$G$7:$WU$147,68,FALSE)="",0,IF($S162=HLOOKUP(AJ$91,'Improved Sales Adjustments 2'!$G$7:$WU$147,68,FALSE),1,0)))</f>
        <v>0</v>
      </c>
      <c r="AK162" s="41">
        <f>IF(ISERROR(HLOOKUP(AK$91,'Improved Sales Adjustments 2'!$G$7:$WU$147,68,FALSE)),0,IF(HLOOKUP(AK$91,'Improved Sales Adjustments 2'!$G$7:$WU$147,68,FALSE)="",0,IF($S162=HLOOKUP(AK$91,'Improved Sales Adjustments 2'!$G$7:$WU$147,68,FALSE),1,0)))</f>
        <v>0</v>
      </c>
      <c r="AL162" s="41">
        <f>IF(ISERROR(HLOOKUP(AL$91,'Improved Sales Adjustments 2'!$G$7:$WU$147,68,FALSE)),0,IF(HLOOKUP(AL$91,'Improved Sales Adjustments 2'!$G$7:$WU$147,68,FALSE)="",0,IF($S162=HLOOKUP(AL$91,'Improved Sales Adjustments 2'!$G$7:$WU$147,68,FALSE),1,0)))</f>
        <v>0</v>
      </c>
      <c r="AM162" s="41">
        <f>IF(ISERROR(HLOOKUP(AM$91,'Improved Sales Adjustments 2'!$G$7:$WU$147,68,FALSE)),0,IF(HLOOKUP(AM$91,'Improved Sales Adjustments 2'!$G$7:$WU$147,68,FALSE)="",0,IF($S162=HLOOKUP(AM$91,'Improved Sales Adjustments 2'!$G$7:$WU$147,68,FALSE),1,0)))</f>
        <v>0</v>
      </c>
      <c r="AN162" s="41">
        <f>IF(ISERROR(HLOOKUP(AN$91,'Improved Sales Adjustments 2'!$G$7:$WU$147,68,FALSE)),0,IF(HLOOKUP(AN$91,'Improved Sales Adjustments 2'!$G$7:$WU$147,68,FALSE)="",0,IF($S162=HLOOKUP(AN$91,'Improved Sales Adjustments 2'!$G$7:$WU$147,68,FALSE),1,0)))</f>
        <v>0</v>
      </c>
      <c r="AO162" s="41">
        <f>IF(ISERROR(HLOOKUP(AO$91,'Improved Sales Adjustments 2'!$G$7:$WU$147,68,FALSE)),0,IF(HLOOKUP(AO$91,'Improved Sales Adjustments 2'!$G$7:$WU$147,68,FALSE)="",0,IF($S162=HLOOKUP(AO$91,'Improved Sales Adjustments 2'!$G$7:$WU$147,68,FALSE),1,0)))</f>
        <v>0</v>
      </c>
      <c r="AP162" s="41">
        <f>IF(ISERROR(HLOOKUP(AP$91,'Improved Sales Adjustments 2'!$G$7:$WU$147,68,FALSE)),0,IF(HLOOKUP(AP$91,'Improved Sales Adjustments 2'!$G$7:$WU$147,68,FALSE)="",0,IF($S162=HLOOKUP(AP$91,'Improved Sales Adjustments 2'!$G$7:$WU$147,68,FALSE),1,0)))</f>
        <v>0</v>
      </c>
      <c r="AQ162" s="41">
        <f>IF(ISERROR(HLOOKUP(AQ$91,'Improved Sales Adjustments 2'!$G$7:$WU$147,68,FALSE)),0,IF(HLOOKUP(AQ$91,'Improved Sales Adjustments 2'!$G$7:$WU$147,68,FALSE)="",0,IF($S162=HLOOKUP(AQ$91,'Improved Sales Adjustments 2'!$G$7:$WU$147,68,FALSE),1,0)))</f>
        <v>0</v>
      </c>
      <c r="AR162" s="41">
        <f>SUM($AG162:AG162)</f>
        <v>0</v>
      </c>
      <c r="AS162" s="41">
        <f>SUM($AG162:AH162)</f>
        <v>0</v>
      </c>
      <c r="AT162" s="41">
        <f>SUM($AG162:AI162)</f>
        <v>0</v>
      </c>
      <c r="AU162" s="41">
        <f>SUM($AG162:AJ162)</f>
        <v>0</v>
      </c>
      <c r="AV162" s="41">
        <f>SUM($AG162:AK162)</f>
        <v>0</v>
      </c>
      <c r="AW162" s="41">
        <f>SUM($AG162:AL162)</f>
        <v>0</v>
      </c>
      <c r="AX162" s="41">
        <f>SUM($AG162:AM162)</f>
        <v>0</v>
      </c>
      <c r="AY162" s="41">
        <f>SUM($AG162:AN162)</f>
        <v>0</v>
      </c>
      <c r="AZ162" s="41">
        <f>SUM($AG162:AO162)</f>
        <v>0</v>
      </c>
      <c r="BA162" s="41">
        <f>SUM($AG162:AP162)</f>
        <v>0</v>
      </c>
      <c r="BB162" s="41">
        <f>SUM($AG162:AQ162)</f>
        <v>0</v>
      </c>
      <c r="BC162" s="41" t="str">
        <f t="shared" si="49"/>
        <v/>
      </c>
      <c r="BD162" s="41" t="str">
        <f t="shared" si="49"/>
        <v/>
      </c>
      <c r="BE162" s="41" t="str">
        <f t="shared" si="49"/>
        <v/>
      </c>
      <c r="BF162" s="41" t="str">
        <f t="shared" si="47"/>
        <v/>
      </c>
      <c r="BG162" s="41" t="str">
        <f t="shared" si="47"/>
        <v/>
      </c>
      <c r="BH162" s="41" t="str">
        <f t="shared" si="47"/>
        <v/>
      </c>
      <c r="BI162" s="41" t="str">
        <f t="shared" si="47"/>
        <v/>
      </c>
      <c r="BJ162" s="41" t="str">
        <f t="shared" si="47"/>
        <v/>
      </c>
      <c r="BK162" s="41" t="str">
        <f t="shared" si="47"/>
        <v/>
      </c>
      <c r="BL162" s="41" t="str">
        <f t="shared" si="37"/>
        <v/>
      </c>
      <c r="BM162" s="41" t="str">
        <f t="shared" si="37"/>
        <v/>
      </c>
    </row>
    <row r="163" spans="1:65" ht="15" customHeight="1" x14ac:dyDescent="0.25">
      <c r="A163" s="957">
        <f t="shared" si="43"/>
        <v>0</v>
      </c>
      <c r="B163" s="10"/>
      <c r="C163" s="10"/>
      <c r="D163" s="13"/>
      <c r="E163" s="10"/>
      <c r="F163" s="10"/>
      <c r="G163" s="10"/>
      <c r="H163" s="10"/>
      <c r="I163" s="10"/>
      <c r="J163" s="10"/>
      <c r="K163" s="10"/>
      <c r="L163" s="10"/>
      <c r="M163" s="10"/>
      <c r="N163" s="10"/>
      <c r="O163" s="10"/>
      <c r="P163" s="4"/>
      <c r="Q163" s="1204"/>
      <c r="R163" s="101" t="str">
        <f t="shared" si="45"/>
        <v/>
      </c>
      <c r="S163" s="137">
        <f t="shared" si="48"/>
        <v>71</v>
      </c>
      <c r="T163" s="2130">
        <f>((T$167-T$162)/5)+T162</f>
        <v>0.71799999999999997</v>
      </c>
      <c r="U163" s="2130"/>
      <c r="V163" s="2130"/>
      <c r="W163" s="2130"/>
      <c r="X163" s="2130"/>
      <c r="Y163" s="2130"/>
      <c r="Z163" s="2130"/>
      <c r="AA163" s="2130"/>
      <c r="AB163" s="2130"/>
      <c r="AC163" s="2130"/>
      <c r="AD163" s="101"/>
      <c r="AE163" s="6"/>
      <c r="AF163" s="11"/>
      <c r="AG163" s="41">
        <f t="shared" si="44"/>
        <v>0</v>
      </c>
      <c r="AH163" s="41">
        <f>IF(ISERROR(HLOOKUP(AH$91,'Improved Sales Adjustments 2'!$G$7:$WU$147,68,FALSE)),0,IF(HLOOKUP(AH$91,'Improved Sales Adjustments 2'!$G$7:$WU$147,68,FALSE)="",0,IF($S163=HLOOKUP(AH$91,'Improved Sales Adjustments 2'!$G$7:$WU$147,68,FALSE),1,0)))</f>
        <v>0</v>
      </c>
      <c r="AI163" s="41">
        <f>IF(ISERROR(HLOOKUP(AI$91,'Improved Sales Adjustments 2'!$G$7:$WU$147,68,FALSE)),0,IF(HLOOKUP(AI$91,'Improved Sales Adjustments 2'!$G$7:$WU$147,68,FALSE)="",0,IF($S163=HLOOKUP(AI$91,'Improved Sales Adjustments 2'!$G$7:$WU$147,68,FALSE),1,0)))</f>
        <v>0</v>
      </c>
      <c r="AJ163" s="41">
        <f>IF(ISERROR(HLOOKUP(AJ$91,'Improved Sales Adjustments 2'!$G$7:$WU$147,68,FALSE)),0,IF(HLOOKUP(AJ$91,'Improved Sales Adjustments 2'!$G$7:$WU$147,68,FALSE)="",0,IF($S163=HLOOKUP(AJ$91,'Improved Sales Adjustments 2'!$G$7:$WU$147,68,FALSE),1,0)))</f>
        <v>0</v>
      </c>
      <c r="AK163" s="41">
        <f>IF(ISERROR(HLOOKUP(AK$91,'Improved Sales Adjustments 2'!$G$7:$WU$147,68,FALSE)),0,IF(HLOOKUP(AK$91,'Improved Sales Adjustments 2'!$G$7:$WU$147,68,FALSE)="",0,IF($S163=HLOOKUP(AK$91,'Improved Sales Adjustments 2'!$G$7:$WU$147,68,FALSE),1,0)))</f>
        <v>0</v>
      </c>
      <c r="AL163" s="41">
        <f>IF(ISERROR(HLOOKUP(AL$91,'Improved Sales Adjustments 2'!$G$7:$WU$147,68,FALSE)),0,IF(HLOOKUP(AL$91,'Improved Sales Adjustments 2'!$G$7:$WU$147,68,FALSE)="",0,IF($S163=HLOOKUP(AL$91,'Improved Sales Adjustments 2'!$G$7:$WU$147,68,FALSE),1,0)))</f>
        <v>0</v>
      </c>
      <c r="AM163" s="41">
        <f>IF(ISERROR(HLOOKUP(AM$91,'Improved Sales Adjustments 2'!$G$7:$WU$147,68,FALSE)),0,IF(HLOOKUP(AM$91,'Improved Sales Adjustments 2'!$G$7:$WU$147,68,FALSE)="",0,IF($S163=HLOOKUP(AM$91,'Improved Sales Adjustments 2'!$G$7:$WU$147,68,FALSE),1,0)))</f>
        <v>0</v>
      </c>
      <c r="AN163" s="41">
        <f>IF(ISERROR(HLOOKUP(AN$91,'Improved Sales Adjustments 2'!$G$7:$WU$147,68,FALSE)),0,IF(HLOOKUP(AN$91,'Improved Sales Adjustments 2'!$G$7:$WU$147,68,FALSE)="",0,IF($S163=HLOOKUP(AN$91,'Improved Sales Adjustments 2'!$G$7:$WU$147,68,FALSE),1,0)))</f>
        <v>0</v>
      </c>
      <c r="AO163" s="41">
        <f>IF(ISERROR(HLOOKUP(AO$91,'Improved Sales Adjustments 2'!$G$7:$WU$147,68,FALSE)),0,IF(HLOOKUP(AO$91,'Improved Sales Adjustments 2'!$G$7:$WU$147,68,FALSE)="",0,IF($S163=HLOOKUP(AO$91,'Improved Sales Adjustments 2'!$G$7:$WU$147,68,FALSE),1,0)))</f>
        <v>0</v>
      </c>
      <c r="AP163" s="41">
        <f>IF(ISERROR(HLOOKUP(AP$91,'Improved Sales Adjustments 2'!$G$7:$WU$147,68,FALSE)),0,IF(HLOOKUP(AP$91,'Improved Sales Adjustments 2'!$G$7:$WU$147,68,FALSE)="",0,IF($S163=HLOOKUP(AP$91,'Improved Sales Adjustments 2'!$G$7:$WU$147,68,FALSE),1,0)))</f>
        <v>0</v>
      </c>
      <c r="AQ163" s="41">
        <f>IF(ISERROR(HLOOKUP(AQ$91,'Improved Sales Adjustments 2'!$G$7:$WU$147,68,FALSE)),0,IF(HLOOKUP(AQ$91,'Improved Sales Adjustments 2'!$G$7:$WU$147,68,FALSE)="",0,IF($S163=HLOOKUP(AQ$91,'Improved Sales Adjustments 2'!$G$7:$WU$147,68,FALSE),1,0)))</f>
        <v>0</v>
      </c>
      <c r="AR163" s="41">
        <f>SUM($AG163:AG163)</f>
        <v>0</v>
      </c>
      <c r="AS163" s="41">
        <f>SUM($AG163:AH163)</f>
        <v>0</v>
      </c>
      <c r="AT163" s="41">
        <f>SUM($AG163:AI163)</f>
        <v>0</v>
      </c>
      <c r="AU163" s="41">
        <f>SUM($AG163:AJ163)</f>
        <v>0</v>
      </c>
      <c r="AV163" s="41">
        <f>SUM($AG163:AK163)</f>
        <v>0</v>
      </c>
      <c r="AW163" s="41">
        <f>SUM($AG163:AL163)</f>
        <v>0</v>
      </c>
      <c r="AX163" s="41">
        <f>SUM($AG163:AM163)</f>
        <v>0</v>
      </c>
      <c r="AY163" s="41">
        <f>SUM($AG163:AN163)</f>
        <v>0</v>
      </c>
      <c r="AZ163" s="41">
        <f>SUM($AG163:AO163)</f>
        <v>0</v>
      </c>
      <c r="BA163" s="41">
        <f>SUM($AG163:AP163)</f>
        <v>0</v>
      </c>
      <c r="BB163" s="41">
        <f>SUM($AG163:AQ163)</f>
        <v>0</v>
      </c>
      <c r="BC163" s="41" t="str">
        <f t="shared" si="49"/>
        <v/>
      </c>
      <c r="BD163" s="41" t="str">
        <f t="shared" si="49"/>
        <v/>
      </c>
      <c r="BE163" s="41" t="str">
        <f t="shared" si="49"/>
        <v/>
      </c>
      <c r="BF163" s="41" t="str">
        <f t="shared" si="47"/>
        <v/>
      </c>
      <c r="BG163" s="41" t="str">
        <f t="shared" si="47"/>
        <v/>
      </c>
      <c r="BH163" s="41" t="str">
        <f t="shared" si="47"/>
        <v/>
      </c>
      <c r="BI163" s="41" t="str">
        <f t="shared" si="47"/>
        <v/>
      </c>
      <c r="BJ163" s="41" t="str">
        <f t="shared" si="47"/>
        <v/>
      </c>
      <c r="BK163" s="41" t="str">
        <f t="shared" si="47"/>
        <v/>
      </c>
      <c r="BL163" s="41" t="str">
        <f t="shared" si="37"/>
        <v/>
      </c>
      <c r="BM163" s="41" t="str">
        <f t="shared" si="37"/>
        <v/>
      </c>
    </row>
    <row r="164" spans="1:65" ht="15" customHeight="1" x14ac:dyDescent="0.25">
      <c r="A164" s="957">
        <f t="shared" si="43"/>
        <v>0</v>
      </c>
      <c r="B164" s="10"/>
      <c r="C164" s="10"/>
      <c r="D164" s="13"/>
      <c r="E164" s="10"/>
      <c r="F164" s="10"/>
      <c r="G164" s="10"/>
      <c r="H164" s="10"/>
      <c r="I164" s="10"/>
      <c r="J164" s="10"/>
      <c r="K164" s="10"/>
      <c r="L164" s="10"/>
      <c r="M164" s="10"/>
      <c r="N164" s="10"/>
      <c r="O164" s="10"/>
      <c r="P164" s="4"/>
      <c r="Q164" s="1204"/>
      <c r="R164" s="101" t="str">
        <f t="shared" si="45"/>
        <v/>
      </c>
      <c r="S164" s="137">
        <f t="shared" si="48"/>
        <v>72</v>
      </c>
      <c r="T164" s="2130">
        <f>((T$167-T$162)/5)+T163</f>
        <v>0.72599999999999998</v>
      </c>
      <c r="U164" s="2130"/>
      <c r="V164" s="2130"/>
      <c r="W164" s="2130"/>
      <c r="X164" s="2130"/>
      <c r="Y164" s="2130"/>
      <c r="Z164" s="2130"/>
      <c r="AA164" s="2130"/>
      <c r="AB164" s="2130"/>
      <c r="AC164" s="2130"/>
      <c r="AD164" s="101"/>
      <c r="AE164" s="6"/>
      <c r="AF164" s="11"/>
      <c r="AG164" s="41">
        <f t="shared" si="44"/>
        <v>0</v>
      </c>
      <c r="AH164" s="41">
        <f>IF(ISERROR(HLOOKUP(AH$91,'Improved Sales Adjustments 2'!$G$7:$WU$147,68,FALSE)),0,IF(HLOOKUP(AH$91,'Improved Sales Adjustments 2'!$G$7:$WU$147,68,FALSE)="",0,IF($S164=HLOOKUP(AH$91,'Improved Sales Adjustments 2'!$G$7:$WU$147,68,FALSE),1,0)))</f>
        <v>0</v>
      </c>
      <c r="AI164" s="41">
        <f>IF(ISERROR(HLOOKUP(AI$91,'Improved Sales Adjustments 2'!$G$7:$WU$147,68,FALSE)),0,IF(HLOOKUP(AI$91,'Improved Sales Adjustments 2'!$G$7:$WU$147,68,FALSE)="",0,IF($S164=HLOOKUP(AI$91,'Improved Sales Adjustments 2'!$G$7:$WU$147,68,FALSE),1,0)))</f>
        <v>0</v>
      </c>
      <c r="AJ164" s="41">
        <f>IF(ISERROR(HLOOKUP(AJ$91,'Improved Sales Adjustments 2'!$G$7:$WU$147,68,FALSE)),0,IF(HLOOKUP(AJ$91,'Improved Sales Adjustments 2'!$G$7:$WU$147,68,FALSE)="",0,IF($S164=HLOOKUP(AJ$91,'Improved Sales Adjustments 2'!$G$7:$WU$147,68,FALSE),1,0)))</f>
        <v>0</v>
      </c>
      <c r="AK164" s="41">
        <f>IF(ISERROR(HLOOKUP(AK$91,'Improved Sales Adjustments 2'!$G$7:$WU$147,68,FALSE)),0,IF(HLOOKUP(AK$91,'Improved Sales Adjustments 2'!$G$7:$WU$147,68,FALSE)="",0,IF($S164=HLOOKUP(AK$91,'Improved Sales Adjustments 2'!$G$7:$WU$147,68,FALSE),1,0)))</f>
        <v>0</v>
      </c>
      <c r="AL164" s="41">
        <f>IF(ISERROR(HLOOKUP(AL$91,'Improved Sales Adjustments 2'!$G$7:$WU$147,68,FALSE)),0,IF(HLOOKUP(AL$91,'Improved Sales Adjustments 2'!$G$7:$WU$147,68,FALSE)="",0,IF($S164=HLOOKUP(AL$91,'Improved Sales Adjustments 2'!$G$7:$WU$147,68,FALSE),1,0)))</f>
        <v>0</v>
      </c>
      <c r="AM164" s="41">
        <f>IF(ISERROR(HLOOKUP(AM$91,'Improved Sales Adjustments 2'!$G$7:$WU$147,68,FALSE)),0,IF(HLOOKUP(AM$91,'Improved Sales Adjustments 2'!$G$7:$WU$147,68,FALSE)="",0,IF($S164=HLOOKUP(AM$91,'Improved Sales Adjustments 2'!$G$7:$WU$147,68,FALSE),1,0)))</f>
        <v>0</v>
      </c>
      <c r="AN164" s="41">
        <f>IF(ISERROR(HLOOKUP(AN$91,'Improved Sales Adjustments 2'!$G$7:$WU$147,68,FALSE)),0,IF(HLOOKUP(AN$91,'Improved Sales Adjustments 2'!$G$7:$WU$147,68,FALSE)="",0,IF($S164=HLOOKUP(AN$91,'Improved Sales Adjustments 2'!$G$7:$WU$147,68,FALSE),1,0)))</f>
        <v>0</v>
      </c>
      <c r="AO164" s="41">
        <f>IF(ISERROR(HLOOKUP(AO$91,'Improved Sales Adjustments 2'!$G$7:$WU$147,68,FALSE)),0,IF(HLOOKUP(AO$91,'Improved Sales Adjustments 2'!$G$7:$WU$147,68,FALSE)="",0,IF($S164=HLOOKUP(AO$91,'Improved Sales Adjustments 2'!$G$7:$WU$147,68,FALSE),1,0)))</f>
        <v>0</v>
      </c>
      <c r="AP164" s="41">
        <f>IF(ISERROR(HLOOKUP(AP$91,'Improved Sales Adjustments 2'!$G$7:$WU$147,68,FALSE)),0,IF(HLOOKUP(AP$91,'Improved Sales Adjustments 2'!$G$7:$WU$147,68,FALSE)="",0,IF($S164=HLOOKUP(AP$91,'Improved Sales Adjustments 2'!$G$7:$WU$147,68,FALSE),1,0)))</f>
        <v>0</v>
      </c>
      <c r="AQ164" s="41">
        <f>IF(ISERROR(HLOOKUP(AQ$91,'Improved Sales Adjustments 2'!$G$7:$WU$147,68,FALSE)),0,IF(HLOOKUP(AQ$91,'Improved Sales Adjustments 2'!$G$7:$WU$147,68,FALSE)="",0,IF($S164=HLOOKUP(AQ$91,'Improved Sales Adjustments 2'!$G$7:$WU$147,68,FALSE),1,0)))</f>
        <v>0</v>
      </c>
      <c r="AR164" s="41">
        <f>SUM($AG164:AG164)</f>
        <v>0</v>
      </c>
      <c r="AS164" s="41">
        <f>SUM($AG164:AH164)</f>
        <v>0</v>
      </c>
      <c r="AT164" s="41">
        <f>SUM($AG164:AI164)</f>
        <v>0</v>
      </c>
      <c r="AU164" s="41">
        <f>SUM($AG164:AJ164)</f>
        <v>0</v>
      </c>
      <c r="AV164" s="41">
        <f>SUM($AG164:AK164)</f>
        <v>0</v>
      </c>
      <c r="AW164" s="41">
        <f>SUM($AG164:AL164)</f>
        <v>0</v>
      </c>
      <c r="AX164" s="41">
        <f>SUM($AG164:AM164)</f>
        <v>0</v>
      </c>
      <c r="AY164" s="41">
        <f>SUM($AG164:AN164)</f>
        <v>0</v>
      </c>
      <c r="AZ164" s="41">
        <f>SUM($AG164:AO164)</f>
        <v>0</v>
      </c>
      <c r="BA164" s="41">
        <f>SUM($AG164:AP164)</f>
        <v>0</v>
      </c>
      <c r="BB164" s="41">
        <f>SUM($AG164:AQ164)</f>
        <v>0</v>
      </c>
      <c r="BC164" s="41" t="str">
        <f t="shared" si="49"/>
        <v/>
      </c>
      <c r="BD164" s="41" t="str">
        <f t="shared" si="49"/>
        <v/>
      </c>
      <c r="BE164" s="41" t="str">
        <f t="shared" si="49"/>
        <v/>
      </c>
      <c r="BF164" s="41" t="str">
        <f t="shared" si="47"/>
        <v/>
      </c>
      <c r="BG164" s="41" t="str">
        <f t="shared" si="47"/>
        <v/>
      </c>
      <c r="BH164" s="41" t="str">
        <f t="shared" si="47"/>
        <v/>
      </c>
      <c r="BI164" s="41" t="str">
        <f t="shared" si="47"/>
        <v/>
      </c>
      <c r="BJ164" s="41" t="str">
        <f t="shared" si="47"/>
        <v/>
      </c>
      <c r="BK164" s="41" t="str">
        <f t="shared" si="47"/>
        <v/>
      </c>
      <c r="BL164" s="41" t="str">
        <f t="shared" si="37"/>
        <v/>
      </c>
      <c r="BM164" s="41" t="str">
        <f t="shared" si="37"/>
        <v/>
      </c>
    </row>
    <row r="165" spans="1:65" ht="15" customHeight="1" x14ac:dyDescent="0.25">
      <c r="A165" s="957">
        <f t="shared" si="43"/>
        <v>0</v>
      </c>
      <c r="B165" s="10"/>
      <c r="C165" s="10"/>
      <c r="D165" s="13"/>
      <c r="E165" s="10"/>
      <c r="F165" s="10"/>
      <c r="G165" s="10"/>
      <c r="H165" s="10"/>
      <c r="I165" s="10"/>
      <c r="J165" s="10"/>
      <c r="K165" s="10"/>
      <c r="L165" s="10"/>
      <c r="M165" s="10"/>
      <c r="N165" s="10"/>
      <c r="O165" s="10"/>
      <c r="P165" s="4"/>
      <c r="Q165" s="1204"/>
      <c r="R165" s="101" t="str">
        <f t="shared" si="45"/>
        <v/>
      </c>
      <c r="S165" s="137">
        <f t="shared" si="48"/>
        <v>73</v>
      </c>
      <c r="T165" s="2130">
        <f>((T$167-T$162)/5)+T164</f>
        <v>0.73399999999999999</v>
      </c>
      <c r="U165" s="2130"/>
      <c r="V165" s="2130"/>
      <c r="W165" s="2130"/>
      <c r="X165" s="2130"/>
      <c r="Y165" s="2130"/>
      <c r="Z165" s="2130"/>
      <c r="AA165" s="2130"/>
      <c r="AB165" s="2130"/>
      <c r="AC165" s="2130"/>
      <c r="AD165" s="101"/>
      <c r="AE165" s="6"/>
      <c r="AF165" s="11"/>
      <c r="AG165" s="41">
        <f t="shared" si="44"/>
        <v>0</v>
      </c>
      <c r="AH165" s="41">
        <f>IF(ISERROR(HLOOKUP(AH$91,'Improved Sales Adjustments 2'!$G$7:$WU$147,68,FALSE)),0,IF(HLOOKUP(AH$91,'Improved Sales Adjustments 2'!$G$7:$WU$147,68,FALSE)="",0,IF($S165=HLOOKUP(AH$91,'Improved Sales Adjustments 2'!$G$7:$WU$147,68,FALSE),1,0)))</f>
        <v>0</v>
      </c>
      <c r="AI165" s="41">
        <f>IF(ISERROR(HLOOKUP(AI$91,'Improved Sales Adjustments 2'!$G$7:$WU$147,68,FALSE)),0,IF(HLOOKUP(AI$91,'Improved Sales Adjustments 2'!$G$7:$WU$147,68,FALSE)="",0,IF($S165=HLOOKUP(AI$91,'Improved Sales Adjustments 2'!$G$7:$WU$147,68,FALSE),1,0)))</f>
        <v>0</v>
      </c>
      <c r="AJ165" s="41">
        <f>IF(ISERROR(HLOOKUP(AJ$91,'Improved Sales Adjustments 2'!$G$7:$WU$147,68,FALSE)),0,IF(HLOOKUP(AJ$91,'Improved Sales Adjustments 2'!$G$7:$WU$147,68,FALSE)="",0,IF($S165=HLOOKUP(AJ$91,'Improved Sales Adjustments 2'!$G$7:$WU$147,68,FALSE),1,0)))</f>
        <v>0</v>
      </c>
      <c r="AK165" s="41">
        <f>IF(ISERROR(HLOOKUP(AK$91,'Improved Sales Adjustments 2'!$G$7:$WU$147,68,FALSE)),0,IF(HLOOKUP(AK$91,'Improved Sales Adjustments 2'!$G$7:$WU$147,68,FALSE)="",0,IF($S165=HLOOKUP(AK$91,'Improved Sales Adjustments 2'!$G$7:$WU$147,68,FALSE),1,0)))</f>
        <v>0</v>
      </c>
      <c r="AL165" s="41">
        <f>IF(ISERROR(HLOOKUP(AL$91,'Improved Sales Adjustments 2'!$G$7:$WU$147,68,FALSE)),0,IF(HLOOKUP(AL$91,'Improved Sales Adjustments 2'!$G$7:$WU$147,68,FALSE)="",0,IF($S165=HLOOKUP(AL$91,'Improved Sales Adjustments 2'!$G$7:$WU$147,68,FALSE),1,0)))</f>
        <v>0</v>
      </c>
      <c r="AM165" s="41">
        <f>IF(ISERROR(HLOOKUP(AM$91,'Improved Sales Adjustments 2'!$G$7:$WU$147,68,FALSE)),0,IF(HLOOKUP(AM$91,'Improved Sales Adjustments 2'!$G$7:$WU$147,68,FALSE)="",0,IF($S165=HLOOKUP(AM$91,'Improved Sales Adjustments 2'!$G$7:$WU$147,68,FALSE),1,0)))</f>
        <v>0</v>
      </c>
      <c r="AN165" s="41">
        <f>IF(ISERROR(HLOOKUP(AN$91,'Improved Sales Adjustments 2'!$G$7:$WU$147,68,FALSE)),0,IF(HLOOKUP(AN$91,'Improved Sales Adjustments 2'!$G$7:$WU$147,68,FALSE)="",0,IF($S165=HLOOKUP(AN$91,'Improved Sales Adjustments 2'!$G$7:$WU$147,68,FALSE),1,0)))</f>
        <v>0</v>
      </c>
      <c r="AO165" s="41">
        <f>IF(ISERROR(HLOOKUP(AO$91,'Improved Sales Adjustments 2'!$G$7:$WU$147,68,FALSE)),0,IF(HLOOKUP(AO$91,'Improved Sales Adjustments 2'!$G$7:$WU$147,68,FALSE)="",0,IF($S165=HLOOKUP(AO$91,'Improved Sales Adjustments 2'!$G$7:$WU$147,68,FALSE),1,0)))</f>
        <v>0</v>
      </c>
      <c r="AP165" s="41">
        <f>IF(ISERROR(HLOOKUP(AP$91,'Improved Sales Adjustments 2'!$G$7:$WU$147,68,FALSE)),0,IF(HLOOKUP(AP$91,'Improved Sales Adjustments 2'!$G$7:$WU$147,68,FALSE)="",0,IF($S165=HLOOKUP(AP$91,'Improved Sales Adjustments 2'!$G$7:$WU$147,68,FALSE),1,0)))</f>
        <v>0</v>
      </c>
      <c r="AQ165" s="41">
        <f>IF(ISERROR(HLOOKUP(AQ$91,'Improved Sales Adjustments 2'!$G$7:$WU$147,68,FALSE)),0,IF(HLOOKUP(AQ$91,'Improved Sales Adjustments 2'!$G$7:$WU$147,68,FALSE)="",0,IF($S165=HLOOKUP(AQ$91,'Improved Sales Adjustments 2'!$G$7:$WU$147,68,FALSE),1,0)))</f>
        <v>0</v>
      </c>
      <c r="AR165" s="41">
        <f>SUM($AG165:AG165)</f>
        <v>0</v>
      </c>
      <c r="AS165" s="41">
        <f>SUM($AG165:AH165)</f>
        <v>0</v>
      </c>
      <c r="AT165" s="41">
        <f>SUM($AG165:AI165)</f>
        <v>0</v>
      </c>
      <c r="AU165" s="41">
        <f>SUM($AG165:AJ165)</f>
        <v>0</v>
      </c>
      <c r="AV165" s="41">
        <f>SUM($AG165:AK165)</f>
        <v>0</v>
      </c>
      <c r="AW165" s="41">
        <f>SUM($AG165:AL165)</f>
        <v>0</v>
      </c>
      <c r="AX165" s="41">
        <f>SUM($AG165:AM165)</f>
        <v>0</v>
      </c>
      <c r="AY165" s="41">
        <f>SUM($AG165:AN165)</f>
        <v>0</v>
      </c>
      <c r="AZ165" s="41">
        <f>SUM($AG165:AO165)</f>
        <v>0</v>
      </c>
      <c r="BA165" s="41">
        <f>SUM($AG165:AP165)</f>
        <v>0</v>
      </c>
      <c r="BB165" s="41">
        <f>SUM($AG165:AQ165)</f>
        <v>0</v>
      </c>
      <c r="BC165" s="41" t="str">
        <f t="shared" si="49"/>
        <v/>
      </c>
      <c r="BD165" s="41" t="str">
        <f t="shared" si="49"/>
        <v/>
      </c>
      <c r="BE165" s="41" t="str">
        <f t="shared" si="49"/>
        <v/>
      </c>
      <c r="BF165" s="41" t="str">
        <f t="shared" si="47"/>
        <v/>
      </c>
      <c r="BG165" s="41" t="str">
        <f t="shared" si="47"/>
        <v/>
      </c>
      <c r="BH165" s="41" t="str">
        <f t="shared" si="47"/>
        <v/>
      </c>
      <c r="BI165" s="41" t="str">
        <f t="shared" si="47"/>
        <v/>
      </c>
      <c r="BJ165" s="41" t="str">
        <f t="shared" si="47"/>
        <v/>
      </c>
      <c r="BK165" s="41" t="str">
        <f t="shared" si="47"/>
        <v/>
      </c>
      <c r="BL165" s="41" t="str">
        <f t="shared" si="37"/>
        <v/>
      </c>
      <c r="BM165" s="41" t="str">
        <f t="shared" si="37"/>
        <v/>
      </c>
    </row>
    <row r="166" spans="1:65" ht="15" customHeight="1" x14ac:dyDescent="0.25">
      <c r="A166" s="957">
        <f t="shared" si="43"/>
        <v>0</v>
      </c>
      <c r="B166" s="10"/>
      <c r="C166" s="10"/>
      <c r="D166" s="13"/>
      <c r="E166" s="10"/>
      <c r="F166" s="10"/>
      <c r="G166" s="10"/>
      <c r="H166" s="10"/>
      <c r="I166" s="10"/>
      <c r="J166" s="10"/>
      <c r="K166" s="10"/>
      <c r="L166" s="10"/>
      <c r="M166" s="10"/>
      <c r="N166" s="10"/>
      <c r="O166" s="10"/>
      <c r="P166" s="4"/>
      <c r="Q166" s="1204"/>
      <c r="R166" s="101" t="str">
        <f t="shared" si="45"/>
        <v/>
      </c>
      <c r="S166" s="137">
        <f t="shared" si="48"/>
        <v>74</v>
      </c>
      <c r="T166" s="2130">
        <f>((T$167-T$162)/5)+T165</f>
        <v>0.74199999999999999</v>
      </c>
      <c r="U166" s="2130"/>
      <c r="V166" s="2130"/>
      <c r="W166" s="2130"/>
      <c r="X166" s="2130"/>
      <c r="Y166" s="2130"/>
      <c r="Z166" s="2130"/>
      <c r="AA166" s="2130"/>
      <c r="AB166" s="2130"/>
      <c r="AC166" s="2130"/>
      <c r="AD166" s="101"/>
      <c r="AE166" s="6"/>
      <c r="AF166" s="11"/>
      <c r="AG166" s="41">
        <f t="shared" si="44"/>
        <v>0</v>
      </c>
      <c r="AH166" s="41">
        <f>IF(ISERROR(HLOOKUP(AH$91,'Improved Sales Adjustments 2'!$G$7:$WU$147,68,FALSE)),0,IF(HLOOKUP(AH$91,'Improved Sales Adjustments 2'!$G$7:$WU$147,68,FALSE)="",0,IF($S166=HLOOKUP(AH$91,'Improved Sales Adjustments 2'!$G$7:$WU$147,68,FALSE),1,0)))</f>
        <v>0</v>
      </c>
      <c r="AI166" s="41">
        <f>IF(ISERROR(HLOOKUP(AI$91,'Improved Sales Adjustments 2'!$G$7:$WU$147,68,FALSE)),0,IF(HLOOKUP(AI$91,'Improved Sales Adjustments 2'!$G$7:$WU$147,68,FALSE)="",0,IF($S166=HLOOKUP(AI$91,'Improved Sales Adjustments 2'!$G$7:$WU$147,68,FALSE),1,0)))</f>
        <v>0</v>
      </c>
      <c r="AJ166" s="41">
        <f>IF(ISERROR(HLOOKUP(AJ$91,'Improved Sales Adjustments 2'!$G$7:$WU$147,68,FALSE)),0,IF(HLOOKUP(AJ$91,'Improved Sales Adjustments 2'!$G$7:$WU$147,68,FALSE)="",0,IF($S166=HLOOKUP(AJ$91,'Improved Sales Adjustments 2'!$G$7:$WU$147,68,FALSE),1,0)))</f>
        <v>0</v>
      </c>
      <c r="AK166" s="41">
        <f>IF(ISERROR(HLOOKUP(AK$91,'Improved Sales Adjustments 2'!$G$7:$WU$147,68,FALSE)),0,IF(HLOOKUP(AK$91,'Improved Sales Adjustments 2'!$G$7:$WU$147,68,FALSE)="",0,IF($S166=HLOOKUP(AK$91,'Improved Sales Adjustments 2'!$G$7:$WU$147,68,FALSE),1,0)))</f>
        <v>0</v>
      </c>
      <c r="AL166" s="41">
        <f>IF(ISERROR(HLOOKUP(AL$91,'Improved Sales Adjustments 2'!$G$7:$WU$147,68,FALSE)),0,IF(HLOOKUP(AL$91,'Improved Sales Adjustments 2'!$G$7:$WU$147,68,FALSE)="",0,IF($S166=HLOOKUP(AL$91,'Improved Sales Adjustments 2'!$G$7:$WU$147,68,FALSE),1,0)))</f>
        <v>0</v>
      </c>
      <c r="AM166" s="41">
        <f>IF(ISERROR(HLOOKUP(AM$91,'Improved Sales Adjustments 2'!$G$7:$WU$147,68,FALSE)),0,IF(HLOOKUP(AM$91,'Improved Sales Adjustments 2'!$G$7:$WU$147,68,FALSE)="",0,IF($S166=HLOOKUP(AM$91,'Improved Sales Adjustments 2'!$G$7:$WU$147,68,FALSE),1,0)))</f>
        <v>0</v>
      </c>
      <c r="AN166" s="41">
        <f>IF(ISERROR(HLOOKUP(AN$91,'Improved Sales Adjustments 2'!$G$7:$WU$147,68,FALSE)),0,IF(HLOOKUP(AN$91,'Improved Sales Adjustments 2'!$G$7:$WU$147,68,FALSE)="",0,IF($S166=HLOOKUP(AN$91,'Improved Sales Adjustments 2'!$G$7:$WU$147,68,FALSE),1,0)))</f>
        <v>0</v>
      </c>
      <c r="AO166" s="41">
        <f>IF(ISERROR(HLOOKUP(AO$91,'Improved Sales Adjustments 2'!$G$7:$WU$147,68,FALSE)),0,IF(HLOOKUP(AO$91,'Improved Sales Adjustments 2'!$G$7:$WU$147,68,FALSE)="",0,IF($S166=HLOOKUP(AO$91,'Improved Sales Adjustments 2'!$G$7:$WU$147,68,FALSE),1,0)))</f>
        <v>0</v>
      </c>
      <c r="AP166" s="41">
        <f>IF(ISERROR(HLOOKUP(AP$91,'Improved Sales Adjustments 2'!$G$7:$WU$147,68,FALSE)),0,IF(HLOOKUP(AP$91,'Improved Sales Adjustments 2'!$G$7:$WU$147,68,FALSE)="",0,IF($S166=HLOOKUP(AP$91,'Improved Sales Adjustments 2'!$G$7:$WU$147,68,FALSE),1,0)))</f>
        <v>0</v>
      </c>
      <c r="AQ166" s="41">
        <f>IF(ISERROR(HLOOKUP(AQ$91,'Improved Sales Adjustments 2'!$G$7:$WU$147,68,FALSE)),0,IF(HLOOKUP(AQ$91,'Improved Sales Adjustments 2'!$G$7:$WU$147,68,FALSE)="",0,IF($S166=HLOOKUP(AQ$91,'Improved Sales Adjustments 2'!$G$7:$WU$147,68,FALSE),1,0)))</f>
        <v>0</v>
      </c>
      <c r="AR166" s="41">
        <f>SUM($AG166:AG166)</f>
        <v>0</v>
      </c>
      <c r="AS166" s="41">
        <f>SUM($AG166:AH166)</f>
        <v>0</v>
      </c>
      <c r="AT166" s="41">
        <f>SUM($AG166:AI166)</f>
        <v>0</v>
      </c>
      <c r="AU166" s="41">
        <f>SUM($AG166:AJ166)</f>
        <v>0</v>
      </c>
      <c r="AV166" s="41">
        <f>SUM($AG166:AK166)</f>
        <v>0</v>
      </c>
      <c r="AW166" s="41">
        <f>SUM($AG166:AL166)</f>
        <v>0</v>
      </c>
      <c r="AX166" s="41">
        <f>SUM($AG166:AM166)</f>
        <v>0</v>
      </c>
      <c r="AY166" s="41">
        <f>SUM($AG166:AN166)</f>
        <v>0</v>
      </c>
      <c r="AZ166" s="41">
        <f>SUM($AG166:AO166)</f>
        <v>0</v>
      </c>
      <c r="BA166" s="41">
        <f>SUM($AG166:AP166)</f>
        <v>0</v>
      </c>
      <c r="BB166" s="41">
        <f>SUM($AG166:AQ166)</f>
        <v>0</v>
      </c>
      <c r="BC166" s="41" t="str">
        <f t="shared" si="49"/>
        <v/>
      </c>
      <c r="BD166" s="41" t="str">
        <f t="shared" si="49"/>
        <v/>
      </c>
      <c r="BE166" s="41" t="str">
        <f t="shared" si="49"/>
        <v/>
      </c>
      <c r="BF166" s="41" t="str">
        <f t="shared" si="47"/>
        <v/>
      </c>
      <c r="BG166" s="41" t="str">
        <f t="shared" si="47"/>
        <v/>
      </c>
      <c r="BH166" s="41" t="str">
        <f t="shared" si="47"/>
        <v/>
      </c>
      <c r="BI166" s="41" t="str">
        <f t="shared" si="47"/>
        <v/>
      </c>
      <c r="BJ166" s="41" t="str">
        <f t="shared" si="47"/>
        <v/>
      </c>
      <c r="BK166" s="41" t="str">
        <f t="shared" si="47"/>
        <v/>
      </c>
      <c r="BL166" s="41" t="str">
        <f t="shared" si="37"/>
        <v/>
      </c>
      <c r="BM166" s="41" t="str">
        <f t="shared" si="37"/>
        <v/>
      </c>
    </row>
    <row r="167" spans="1:65" ht="15" customHeight="1" x14ac:dyDescent="0.25">
      <c r="A167" s="957">
        <f t="shared" si="43"/>
        <v>0</v>
      </c>
      <c r="B167" s="10"/>
      <c r="C167" s="10"/>
      <c r="D167" s="13"/>
      <c r="E167" s="10"/>
      <c r="F167" s="10"/>
      <c r="G167" s="10"/>
      <c r="H167" s="10"/>
      <c r="I167" s="10"/>
      <c r="J167" s="10"/>
      <c r="K167" s="10"/>
      <c r="L167" s="10"/>
      <c r="M167" s="10"/>
      <c r="N167" s="10"/>
      <c r="O167" s="10"/>
      <c r="P167" s="4"/>
      <c r="Q167" s="1204"/>
      <c r="R167" s="101" t="str">
        <f t="shared" si="45"/>
        <v/>
      </c>
      <c r="S167" s="137">
        <f t="shared" si="48"/>
        <v>75</v>
      </c>
      <c r="T167" s="2129">
        <v>0.75</v>
      </c>
      <c r="U167" s="2130"/>
      <c r="V167" s="2130"/>
      <c r="W167" s="2130"/>
      <c r="X167" s="2130"/>
      <c r="Y167" s="2130"/>
      <c r="Z167" s="2130"/>
      <c r="AA167" s="2130"/>
      <c r="AB167" s="2130"/>
      <c r="AC167" s="2130"/>
      <c r="AD167" s="101"/>
      <c r="AE167" s="6"/>
      <c r="AF167" s="11"/>
      <c r="AG167" s="41">
        <f t="shared" si="44"/>
        <v>0</v>
      </c>
      <c r="AH167" s="41">
        <f>IF(ISERROR(HLOOKUP(AH$91,'Improved Sales Adjustments 2'!$G$7:$WU$147,68,FALSE)),0,IF(HLOOKUP(AH$91,'Improved Sales Adjustments 2'!$G$7:$WU$147,68,FALSE)="",0,IF($S167=HLOOKUP(AH$91,'Improved Sales Adjustments 2'!$G$7:$WU$147,68,FALSE),1,0)))</f>
        <v>0</v>
      </c>
      <c r="AI167" s="41">
        <f>IF(ISERROR(HLOOKUP(AI$91,'Improved Sales Adjustments 2'!$G$7:$WU$147,68,FALSE)),0,IF(HLOOKUP(AI$91,'Improved Sales Adjustments 2'!$G$7:$WU$147,68,FALSE)="",0,IF($S167=HLOOKUP(AI$91,'Improved Sales Adjustments 2'!$G$7:$WU$147,68,FALSE),1,0)))</f>
        <v>0</v>
      </c>
      <c r="AJ167" s="41">
        <f>IF(ISERROR(HLOOKUP(AJ$91,'Improved Sales Adjustments 2'!$G$7:$WU$147,68,FALSE)),0,IF(HLOOKUP(AJ$91,'Improved Sales Adjustments 2'!$G$7:$WU$147,68,FALSE)="",0,IF($S167=HLOOKUP(AJ$91,'Improved Sales Adjustments 2'!$G$7:$WU$147,68,FALSE),1,0)))</f>
        <v>0</v>
      </c>
      <c r="AK167" s="41">
        <f>IF(ISERROR(HLOOKUP(AK$91,'Improved Sales Adjustments 2'!$G$7:$WU$147,68,FALSE)),0,IF(HLOOKUP(AK$91,'Improved Sales Adjustments 2'!$G$7:$WU$147,68,FALSE)="",0,IF($S167=HLOOKUP(AK$91,'Improved Sales Adjustments 2'!$G$7:$WU$147,68,FALSE),1,0)))</f>
        <v>0</v>
      </c>
      <c r="AL167" s="41">
        <f>IF(ISERROR(HLOOKUP(AL$91,'Improved Sales Adjustments 2'!$G$7:$WU$147,68,FALSE)),0,IF(HLOOKUP(AL$91,'Improved Sales Adjustments 2'!$G$7:$WU$147,68,FALSE)="",0,IF($S167=HLOOKUP(AL$91,'Improved Sales Adjustments 2'!$G$7:$WU$147,68,FALSE),1,0)))</f>
        <v>0</v>
      </c>
      <c r="AM167" s="41">
        <f>IF(ISERROR(HLOOKUP(AM$91,'Improved Sales Adjustments 2'!$G$7:$WU$147,68,FALSE)),0,IF(HLOOKUP(AM$91,'Improved Sales Adjustments 2'!$G$7:$WU$147,68,FALSE)="",0,IF($S167=HLOOKUP(AM$91,'Improved Sales Adjustments 2'!$G$7:$WU$147,68,FALSE),1,0)))</f>
        <v>0</v>
      </c>
      <c r="AN167" s="41">
        <f>IF(ISERROR(HLOOKUP(AN$91,'Improved Sales Adjustments 2'!$G$7:$WU$147,68,FALSE)),0,IF(HLOOKUP(AN$91,'Improved Sales Adjustments 2'!$G$7:$WU$147,68,FALSE)="",0,IF($S167=HLOOKUP(AN$91,'Improved Sales Adjustments 2'!$G$7:$WU$147,68,FALSE),1,0)))</f>
        <v>0</v>
      </c>
      <c r="AO167" s="41">
        <f>IF(ISERROR(HLOOKUP(AO$91,'Improved Sales Adjustments 2'!$G$7:$WU$147,68,FALSE)),0,IF(HLOOKUP(AO$91,'Improved Sales Adjustments 2'!$G$7:$WU$147,68,FALSE)="",0,IF($S167=HLOOKUP(AO$91,'Improved Sales Adjustments 2'!$G$7:$WU$147,68,FALSE),1,0)))</f>
        <v>0</v>
      </c>
      <c r="AP167" s="41">
        <f>IF(ISERROR(HLOOKUP(AP$91,'Improved Sales Adjustments 2'!$G$7:$WU$147,68,FALSE)),0,IF(HLOOKUP(AP$91,'Improved Sales Adjustments 2'!$G$7:$WU$147,68,FALSE)="",0,IF($S167=HLOOKUP(AP$91,'Improved Sales Adjustments 2'!$G$7:$WU$147,68,FALSE),1,0)))</f>
        <v>0</v>
      </c>
      <c r="AQ167" s="41">
        <f>IF(ISERROR(HLOOKUP(AQ$91,'Improved Sales Adjustments 2'!$G$7:$WU$147,68,FALSE)),0,IF(HLOOKUP(AQ$91,'Improved Sales Adjustments 2'!$G$7:$WU$147,68,FALSE)="",0,IF($S167=HLOOKUP(AQ$91,'Improved Sales Adjustments 2'!$G$7:$WU$147,68,FALSE),1,0)))</f>
        <v>0</v>
      </c>
      <c r="AR167" s="41">
        <f>SUM($AG167:AG167)</f>
        <v>0</v>
      </c>
      <c r="AS167" s="41">
        <f>SUM($AG167:AH167)</f>
        <v>0</v>
      </c>
      <c r="AT167" s="41">
        <f>SUM($AG167:AI167)</f>
        <v>0</v>
      </c>
      <c r="AU167" s="41">
        <f>SUM($AG167:AJ167)</f>
        <v>0</v>
      </c>
      <c r="AV167" s="41">
        <f>SUM($AG167:AK167)</f>
        <v>0</v>
      </c>
      <c r="AW167" s="41">
        <f>SUM($AG167:AL167)</f>
        <v>0</v>
      </c>
      <c r="AX167" s="41">
        <f>SUM($AG167:AM167)</f>
        <v>0</v>
      </c>
      <c r="AY167" s="41">
        <f>SUM($AG167:AN167)</f>
        <v>0</v>
      </c>
      <c r="AZ167" s="41">
        <f>SUM($AG167:AO167)</f>
        <v>0</v>
      </c>
      <c r="BA167" s="41">
        <f>SUM($AG167:AP167)</f>
        <v>0</v>
      </c>
      <c r="BB167" s="41">
        <f>SUM($AG167:AQ167)</f>
        <v>0</v>
      </c>
      <c r="BC167" s="41" t="str">
        <f t="shared" si="49"/>
        <v/>
      </c>
      <c r="BD167" s="41" t="str">
        <f t="shared" si="49"/>
        <v/>
      </c>
      <c r="BE167" s="41" t="str">
        <f t="shared" si="49"/>
        <v/>
      </c>
      <c r="BF167" s="41" t="str">
        <f t="shared" si="47"/>
        <v/>
      </c>
      <c r="BG167" s="41" t="str">
        <f t="shared" si="47"/>
        <v/>
      </c>
      <c r="BH167" s="41" t="str">
        <f t="shared" si="47"/>
        <v/>
      </c>
      <c r="BI167" s="41" t="str">
        <f t="shared" si="47"/>
        <v/>
      </c>
      <c r="BJ167" s="41" t="str">
        <f t="shared" si="47"/>
        <v/>
      </c>
      <c r="BK167" s="41" t="str">
        <f t="shared" si="47"/>
        <v/>
      </c>
      <c r="BL167" s="41" t="str">
        <f t="shared" si="37"/>
        <v/>
      </c>
      <c r="BM167" s="41" t="str">
        <f t="shared" si="37"/>
        <v/>
      </c>
    </row>
    <row r="168" spans="1:65" ht="15" customHeight="1" x14ac:dyDescent="0.25">
      <c r="A168" s="957">
        <f t="shared" si="43"/>
        <v>0</v>
      </c>
      <c r="B168" s="10"/>
      <c r="C168" s="10"/>
      <c r="D168" s="13"/>
      <c r="E168" s="10"/>
      <c r="F168" s="10"/>
      <c r="G168" s="10"/>
      <c r="H168" s="10"/>
      <c r="I168" s="10"/>
      <c r="J168" s="10"/>
      <c r="K168" s="10"/>
      <c r="L168" s="10"/>
      <c r="M168" s="10"/>
      <c r="N168" s="10"/>
      <c r="O168" s="10"/>
      <c r="P168" s="4"/>
      <c r="Q168" s="1204"/>
      <c r="R168" s="101" t="str">
        <f t="shared" si="45"/>
        <v/>
      </c>
      <c r="S168" s="137">
        <f t="shared" si="48"/>
        <v>76</v>
      </c>
      <c r="T168" s="2130">
        <f>((T$172-T$167)/5)+T167</f>
        <v>0.75600000000000001</v>
      </c>
      <c r="U168" s="2130"/>
      <c r="V168" s="2130"/>
      <c r="W168" s="2130"/>
      <c r="X168" s="2130"/>
      <c r="Y168" s="2130"/>
      <c r="Z168" s="2130"/>
      <c r="AA168" s="2130"/>
      <c r="AB168" s="2130"/>
      <c r="AC168" s="2130"/>
      <c r="AD168" s="101"/>
      <c r="AE168" s="6"/>
      <c r="AF168" s="11"/>
      <c r="AG168" s="41">
        <f t="shared" si="44"/>
        <v>0</v>
      </c>
      <c r="AH168" s="41">
        <f>IF(ISERROR(HLOOKUP(AH$91,'Improved Sales Adjustments 2'!$G$7:$WU$147,68,FALSE)),0,IF(HLOOKUP(AH$91,'Improved Sales Adjustments 2'!$G$7:$WU$147,68,FALSE)="",0,IF($S168=HLOOKUP(AH$91,'Improved Sales Adjustments 2'!$G$7:$WU$147,68,FALSE),1,0)))</f>
        <v>0</v>
      </c>
      <c r="AI168" s="41">
        <f>IF(ISERROR(HLOOKUP(AI$91,'Improved Sales Adjustments 2'!$G$7:$WU$147,68,FALSE)),0,IF(HLOOKUP(AI$91,'Improved Sales Adjustments 2'!$G$7:$WU$147,68,FALSE)="",0,IF($S168=HLOOKUP(AI$91,'Improved Sales Adjustments 2'!$G$7:$WU$147,68,FALSE),1,0)))</f>
        <v>0</v>
      </c>
      <c r="AJ168" s="41">
        <f>IF(ISERROR(HLOOKUP(AJ$91,'Improved Sales Adjustments 2'!$G$7:$WU$147,68,FALSE)),0,IF(HLOOKUP(AJ$91,'Improved Sales Adjustments 2'!$G$7:$WU$147,68,FALSE)="",0,IF($S168=HLOOKUP(AJ$91,'Improved Sales Adjustments 2'!$G$7:$WU$147,68,FALSE),1,0)))</f>
        <v>0</v>
      </c>
      <c r="AK168" s="41">
        <f>IF(ISERROR(HLOOKUP(AK$91,'Improved Sales Adjustments 2'!$G$7:$WU$147,68,FALSE)),0,IF(HLOOKUP(AK$91,'Improved Sales Adjustments 2'!$G$7:$WU$147,68,FALSE)="",0,IF($S168=HLOOKUP(AK$91,'Improved Sales Adjustments 2'!$G$7:$WU$147,68,FALSE),1,0)))</f>
        <v>0</v>
      </c>
      <c r="AL168" s="41">
        <f>IF(ISERROR(HLOOKUP(AL$91,'Improved Sales Adjustments 2'!$G$7:$WU$147,68,FALSE)),0,IF(HLOOKUP(AL$91,'Improved Sales Adjustments 2'!$G$7:$WU$147,68,FALSE)="",0,IF($S168=HLOOKUP(AL$91,'Improved Sales Adjustments 2'!$G$7:$WU$147,68,FALSE),1,0)))</f>
        <v>0</v>
      </c>
      <c r="AM168" s="41">
        <f>IF(ISERROR(HLOOKUP(AM$91,'Improved Sales Adjustments 2'!$G$7:$WU$147,68,FALSE)),0,IF(HLOOKUP(AM$91,'Improved Sales Adjustments 2'!$G$7:$WU$147,68,FALSE)="",0,IF($S168=HLOOKUP(AM$91,'Improved Sales Adjustments 2'!$G$7:$WU$147,68,FALSE),1,0)))</f>
        <v>0</v>
      </c>
      <c r="AN168" s="41">
        <f>IF(ISERROR(HLOOKUP(AN$91,'Improved Sales Adjustments 2'!$G$7:$WU$147,68,FALSE)),0,IF(HLOOKUP(AN$91,'Improved Sales Adjustments 2'!$G$7:$WU$147,68,FALSE)="",0,IF($S168=HLOOKUP(AN$91,'Improved Sales Adjustments 2'!$G$7:$WU$147,68,FALSE),1,0)))</f>
        <v>0</v>
      </c>
      <c r="AO168" s="41">
        <f>IF(ISERROR(HLOOKUP(AO$91,'Improved Sales Adjustments 2'!$G$7:$WU$147,68,FALSE)),0,IF(HLOOKUP(AO$91,'Improved Sales Adjustments 2'!$G$7:$WU$147,68,FALSE)="",0,IF($S168=HLOOKUP(AO$91,'Improved Sales Adjustments 2'!$G$7:$WU$147,68,FALSE),1,0)))</f>
        <v>0</v>
      </c>
      <c r="AP168" s="41">
        <f>IF(ISERROR(HLOOKUP(AP$91,'Improved Sales Adjustments 2'!$G$7:$WU$147,68,FALSE)),0,IF(HLOOKUP(AP$91,'Improved Sales Adjustments 2'!$G$7:$WU$147,68,FALSE)="",0,IF($S168=HLOOKUP(AP$91,'Improved Sales Adjustments 2'!$G$7:$WU$147,68,FALSE),1,0)))</f>
        <v>0</v>
      </c>
      <c r="AQ168" s="41">
        <f>IF(ISERROR(HLOOKUP(AQ$91,'Improved Sales Adjustments 2'!$G$7:$WU$147,68,FALSE)),0,IF(HLOOKUP(AQ$91,'Improved Sales Adjustments 2'!$G$7:$WU$147,68,FALSE)="",0,IF($S168=HLOOKUP(AQ$91,'Improved Sales Adjustments 2'!$G$7:$WU$147,68,FALSE),1,0)))</f>
        <v>0</v>
      </c>
      <c r="AR168" s="41">
        <f>SUM($AG168:AG168)</f>
        <v>0</v>
      </c>
      <c r="AS168" s="41">
        <f>SUM($AG168:AH168)</f>
        <v>0</v>
      </c>
      <c r="AT168" s="41">
        <f>SUM($AG168:AI168)</f>
        <v>0</v>
      </c>
      <c r="AU168" s="41">
        <f>SUM($AG168:AJ168)</f>
        <v>0</v>
      </c>
      <c r="AV168" s="41">
        <f>SUM($AG168:AK168)</f>
        <v>0</v>
      </c>
      <c r="AW168" s="41">
        <f>SUM($AG168:AL168)</f>
        <v>0</v>
      </c>
      <c r="AX168" s="41">
        <f>SUM($AG168:AM168)</f>
        <v>0</v>
      </c>
      <c r="AY168" s="41">
        <f>SUM($AG168:AN168)</f>
        <v>0</v>
      </c>
      <c r="AZ168" s="41">
        <f>SUM($AG168:AO168)</f>
        <v>0</v>
      </c>
      <c r="BA168" s="41">
        <f>SUM($AG168:AP168)</f>
        <v>0</v>
      </c>
      <c r="BB168" s="41">
        <f>SUM($AG168:AQ168)</f>
        <v>0</v>
      </c>
      <c r="BC168" s="41" t="str">
        <f t="shared" si="49"/>
        <v/>
      </c>
      <c r="BD168" s="41" t="str">
        <f t="shared" si="49"/>
        <v/>
      </c>
      <c r="BE168" s="41" t="str">
        <f t="shared" si="49"/>
        <v/>
      </c>
      <c r="BF168" s="41" t="str">
        <f t="shared" si="47"/>
        <v/>
      </c>
      <c r="BG168" s="41" t="str">
        <f t="shared" si="47"/>
        <v/>
      </c>
      <c r="BH168" s="41" t="str">
        <f t="shared" si="47"/>
        <v/>
      </c>
      <c r="BI168" s="41" t="str">
        <f t="shared" si="47"/>
        <v/>
      </c>
      <c r="BJ168" s="41" t="str">
        <f t="shared" si="47"/>
        <v/>
      </c>
      <c r="BK168" s="41" t="str">
        <f t="shared" si="47"/>
        <v/>
      </c>
      <c r="BL168" s="41" t="str">
        <f t="shared" si="37"/>
        <v/>
      </c>
      <c r="BM168" s="41" t="str">
        <f t="shared" si="37"/>
        <v/>
      </c>
    </row>
    <row r="169" spans="1:65" ht="15" customHeight="1" x14ac:dyDescent="0.25">
      <c r="A169" s="957">
        <f t="shared" si="43"/>
        <v>0</v>
      </c>
      <c r="B169" s="10"/>
      <c r="C169" s="10"/>
      <c r="D169" s="13"/>
      <c r="E169" s="10"/>
      <c r="F169" s="10"/>
      <c r="G169" s="10"/>
      <c r="H169" s="10"/>
      <c r="I169" s="10"/>
      <c r="J169" s="10"/>
      <c r="K169" s="10"/>
      <c r="L169" s="10"/>
      <c r="M169" s="10"/>
      <c r="N169" s="10"/>
      <c r="O169" s="10"/>
      <c r="P169" s="4"/>
      <c r="Q169" s="1204"/>
      <c r="R169" s="101" t="str">
        <f t="shared" si="45"/>
        <v/>
      </c>
      <c r="S169" s="137">
        <f t="shared" si="48"/>
        <v>77</v>
      </c>
      <c r="T169" s="2130">
        <f>((T$172-T$167)/5)+T168</f>
        <v>0.76200000000000001</v>
      </c>
      <c r="U169" s="2130"/>
      <c r="V169" s="2130"/>
      <c r="W169" s="2130"/>
      <c r="X169" s="2130"/>
      <c r="Y169" s="2130"/>
      <c r="Z169" s="2130"/>
      <c r="AA169" s="2130"/>
      <c r="AB169" s="2130"/>
      <c r="AC169" s="2130"/>
      <c r="AD169" s="101"/>
      <c r="AE169" s="6"/>
      <c r="AF169" s="11"/>
      <c r="AG169" s="41">
        <f t="shared" si="44"/>
        <v>0</v>
      </c>
      <c r="AH169" s="41">
        <f>IF(ISERROR(HLOOKUP(AH$91,'Improved Sales Adjustments 2'!$G$7:$WU$147,68,FALSE)),0,IF(HLOOKUP(AH$91,'Improved Sales Adjustments 2'!$G$7:$WU$147,68,FALSE)="",0,IF($S169=HLOOKUP(AH$91,'Improved Sales Adjustments 2'!$G$7:$WU$147,68,FALSE),1,0)))</f>
        <v>0</v>
      </c>
      <c r="AI169" s="41">
        <f>IF(ISERROR(HLOOKUP(AI$91,'Improved Sales Adjustments 2'!$G$7:$WU$147,68,FALSE)),0,IF(HLOOKUP(AI$91,'Improved Sales Adjustments 2'!$G$7:$WU$147,68,FALSE)="",0,IF($S169=HLOOKUP(AI$91,'Improved Sales Adjustments 2'!$G$7:$WU$147,68,FALSE),1,0)))</f>
        <v>0</v>
      </c>
      <c r="AJ169" s="41">
        <f>IF(ISERROR(HLOOKUP(AJ$91,'Improved Sales Adjustments 2'!$G$7:$WU$147,68,FALSE)),0,IF(HLOOKUP(AJ$91,'Improved Sales Adjustments 2'!$G$7:$WU$147,68,FALSE)="",0,IF($S169=HLOOKUP(AJ$91,'Improved Sales Adjustments 2'!$G$7:$WU$147,68,FALSE),1,0)))</f>
        <v>0</v>
      </c>
      <c r="AK169" s="41">
        <f>IF(ISERROR(HLOOKUP(AK$91,'Improved Sales Adjustments 2'!$G$7:$WU$147,68,FALSE)),0,IF(HLOOKUP(AK$91,'Improved Sales Adjustments 2'!$G$7:$WU$147,68,FALSE)="",0,IF($S169=HLOOKUP(AK$91,'Improved Sales Adjustments 2'!$G$7:$WU$147,68,FALSE),1,0)))</f>
        <v>0</v>
      </c>
      <c r="AL169" s="41">
        <f>IF(ISERROR(HLOOKUP(AL$91,'Improved Sales Adjustments 2'!$G$7:$WU$147,68,FALSE)),0,IF(HLOOKUP(AL$91,'Improved Sales Adjustments 2'!$G$7:$WU$147,68,FALSE)="",0,IF($S169=HLOOKUP(AL$91,'Improved Sales Adjustments 2'!$G$7:$WU$147,68,FALSE),1,0)))</f>
        <v>0</v>
      </c>
      <c r="AM169" s="41">
        <f>IF(ISERROR(HLOOKUP(AM$91,'Improved Sales Adjustments 2'!$G$7:$WU$147,68,FALSE)),0,IF(HLOOKUP(AM$91,'Improved Sales Adjustments 2'!$G$7:$WU$147,68,FALSE)="",0,IF($S169=HLOOKUP(AM$91,'Improved Sales Adjustments 2'!$G$7:$WU$147,68,FALSE),1,0)))</f>
        <v>0</v>
      </c>
      <c r="AN169" s="41">
        <f>IF(ISERROR(HLOOKUP(AN$91,'Improved Sales Adjustments 2'!$G$7:$WU$147,68,FALSE)),0,IF(HLOOKUP(AN$91,'Improved Sales Adjustments 2'!$G$7:$WU$147,68,FALSE)="",0,IF($S169=HLOOKUP(AN$91,'Improved Sales Adjustments 2'!$G$7:$WU$147,68,FALSE),1,0)))</f>
        <v>0</v>
      </c>
      <c r="AO169" s="41">
        <f>IF(ISERROR(HLOOKUP(AO$91,'Improved Sales Adjustments 2'!$G$7:$WU$147,68,FALSE)),0,IF(HLOOKUP(AO$91,'Improved Sales Adjustments 2'!$G$7:$WU$147,68,FALSE)="",0,IF($S169=HLOOKUP(AO$91,'Improved Sales Adjustments 2'!$G$7:$WU$147,68,FALSE),1,0)))</f>
        <v>0</v>
      </c>
      <c r="AP169" s="41">
        <f>IF(ISERROR(HLOOKUP(AP$91,'Improved Sales Adjustments 2'!$G$7:$WU$147,68,FALSE)),0,IF(HLOOKUP(AP$91,'Improved Sales Adjustments 2'!$G$7:$WU$147,68,FALSE)="",0,IF($S169=HLOOKUP(AP$91,'Improved Sales Adjustments 2'!$G$7:$WU$147,68,FALSE),1,0)))</f>
        <v>0</v>
      </c>
      <c r="AQ169" s="41">
        <f>IF(ISERROR(HLOOKUP(AQ$91,'Improved Sales Adjustments 2'!$G$7:$WU$147,68,FALSE)),0,IF(HLOOKUP(AQ$91,'Improved Sales Adjustments 2'!$G$7:$WU$147,68,FALSE)="",0,IF($S169=HLOOKUP(AQ$91,'Improved Sales Adjustments 2'!$G$7:$WU$147,68,FALSE),1,0)))</f>
        <v>0</v>
      </c>
      <c r="AR169" s="41">
        <f>SUM($AG169:AG169)</f>
        <v>0</v>
      </c>
      <c r="AS169" s="41">
        <f>SUM($AG169:AH169)</f>
        <v>0</v>
      </c>
      <c r="AT169" s="41">
        <f>SUM($AG169:AI169)</f>
        <v>0</v>
      </c>
      <c r="AU169" s="41">
        <f>SUM($AG169:AJ169)</f>
        <v>0</v>
      </c>
      <c r="AV169" s="41">
        <f>SUM($AG169:AK169)</f>
        <v>0</v>
      </c>
      <c r="AW169" s="41">
        <f>SUM($AG169:AL169)</f>
        <v>0</v>
      </c>
      <c r="AX169" s="41">
        <f>SUM($AG169:AM169)</f>
        <v>0</v>
      </c>
      <c r="AY169" s="41">
        <f>SUM($AG169:AN169)</f>
        <v>0</v>
      </c>
      <c r="AZ169" s="41">
        <f>SUM($AG169:AO169)</f>
        <v>0</v>
      </c>
      <c r="BA169" s="41">
        <f>SUM($AG169:AP169)</f>
        <v>0</v>
      </c>
      <c r="BB169" s="41">
        <f>SUM($AG169:AQ169)</f>
        <v>0</v>
      </c>
      <c r="BC169" s="41" t="str">
        <f t="shared" si="49"/>
        <v/>
      </c>
      <c r="BD169" s="41" t="str">
        <f t="shared" si="49"/>
        <v/>
      </c>
      <c r="BE169" s="41" t="str">
        <f t="shared" si="49"/>
        <v/>
      </c>
      <c r="BF169" s="41" t="str">
        <f t="shared" si="47"/>
        <v/>
      </c>
      <c r="BG169" s="41" t="str">
        <f t="shared" si="47"/>
        <v/>
      </c>
      <c r="BH169" s="41" t="str">
        <f t="shared" si="47"/>
        <v/>
      </c>
      <c r="BI169" s="41" t="str">
        <f t="shared" si="47"/>
        <v/>
      </c>
      <c r="BJ169" s="41" t="str">
        <f t="shared" si="47"/>
        <v/>
      </c>
      <c r="BK169" s="41" t="str">
        <f t="shared" si="47"/>
        <v/>
      </c>
      <c r="BL169" s="41" t="str">
        <f t="shared" si="37"/>
        <v/>
      </c>
      <c r="BM169" s="41" t="str">
        <f t="shared" si="37"/>
        <v/>
      </c>
    </row>
    <row r="170" spans="1:65" ht="15" customHeight="1" x14ac:dyDescent="0.25">
      <c r="A170" s="957">
        <f t="shared" si="43"/>
        <v>0</v>
      </c>
      <c r="B170" s="10"/>
      <c r="C170" s="10"/>
      <c r="D170" s="13"/>
      <c r="E170" s="10"/>
      <c r="F170" s="10"/>
      <c r="G170" s="10"/>
      <c r="H170" s="10"/>
      <c r="I170" s="10"/>
      <c r="J170" s="10"/>
      <c r="K170" s="10"/>
      <c r="L170" s="10"/>
      <c r="M170" s="10"/>
      <c r="N170" s="10"/>
      <c r="O170" s="10"/>
      <c r="P170" s="4"/>
      <c r="Q170" s="1204"/>
      <c r="R170" s="101" t="str">
        <f t="shared" si="45"/>
        <v/>
      </c>
      <c r="S170" s="137">
        <f t="shared" si="48"/>
        <v>78</v>
      </c>
      <c r="T170" s="2130">
        <f>((T$172-T$167)/5)+T169</f>
        <v>0.76800000000000002</v>
      </c>
      <c r="U170" s="2130"/>
      <c r="V170" s="2130"/>
      <c r="W170" s="2130"/>
      <c r="X170" s="2130"/>
      <c r="Y170" s="2130"/>
      <c r="Z170" s="2130"/>
      <c r="AA170" s="2130"/>
      <c r="AB170" s="2130"/>
      <c r="AC170" s="2130"/>
      <c r="AD170" s="101"/>
      <c r="AE170" s="6"/>
      <c r="AF170" s="11"/>
      <c r="AG170" s="41">
        <f t="shared" si="44"/>
        <v>0</v>
      </c>
      <c r="AH170" s="41">
        <f>IF(ISERROR(HLOOKUP(AH$91,'Improved Sales Adjustments 2'!$G$7:$WU$147,68,FALSE)),0,IF(HLOOKUP(AH$91,'Improved Sales Adjustments 2'!$G$7:$WU$147,68,FALSE)="",0,IF($S170=HLOOKUP(AH$91,'Improved Sales Adjustments 2'!$G$7:$WU$147,68,FALSE),1,0)))</f>
        <v>0</v>
      </c>
      <c r="AI170" s="41">
        <f>IF(ISERROR(HLOOKUP(AI$91,'Improved Sales Adjustments 2'!$G$7:$WU$147,68,FALSE)),0,IF(HLOOKUP(AI$91,'Improved Sales Adjustments 2'!$G$7:$WU$147,68,FALSE)="",0,IF($S170=HLOOKUP(AI$91,'Improved Sales Adjustments 2'!$G$7:$WU$147,68,FALSE),1,0)))</f>
        <v>0</v>
      </c>
      <c r="AJ170" s="41">
        <f>IF(ISERROR(HLOOKUP(AJ$91,'Improved Sales Adjustments 2'!$G$7:$WU$147,68,FALSE)),0,IF(HLOOKUP(AJ$91,'Improved Sales Adjustments 2'!$G$7:$WU$147,68,FALSE)="",0,IF($S170=HLOOKUP(AJ$91,'Improved Sales Adjustments 2'!$G$7:$WU$147,68,FALSE),1,0)))</f>
        <v>0</v>
      </c>
      <c r="AK170" s="41">
        <f>IF(ISERROR(HLOOKUP(AK$91,'Improved Sales Adjustments 2'!$G$7:$WU$147,68,FALSE)),0,IF(HLOOKUP(AK$91,'Improved Sales Adjustments 2'!$G$7:$WU$147,68,FALSE)="",0,IF($S170=HLOOKUP(AK$91,'Improved Sales Adjustments 2'!$G$7:$WU$147,68,FALSE),1,0)))</f>
        <v>0</v>
      </c>
      <c r="AL170" s="41">
        <f>IF(ISERROR(HLOOKUP(AL$91,'Improved Sales Adjustments 2'!$G$7:$WU$147,68,FALSE)),0,IF(HLOOKUP(AL$91,'Improved Sales Adjustments 2'!$G$7:$WU$147,68,FALSE)="",0,IF($S170=HLOOKUP(AL$91,'Improved Sales Adjustments 2'!$G$7:$WU$147,68,FALSE),1,0)))</f>
        <v>0</v>
      </c>
      <c r="AM170" s="41">
        <f>IF(ISERROR(HLOOKUP(AM$91,'Improved Sales Adjustments 2'!$G$7:$WU$147,68,FALSE)),0,IF(HLOOKUP(AM$91,'Improved Sales Adjustments 2'!$G$7:$WU$147,68,FALSE)="",0,IF($S170=HLOOKUP(AM$91,'Improved Sales Adjustments 2'!$G$7:$WU$147,68,FALSE),1,0)))</f>
        <v>0</v>
      </c>
      <c r="AN170" s="41">
        <f>IF(ISERROR(HLOOKUP(AN$91,'Improved Sales Adjustments 2'!$G$7:$WU$147,68,FALSE)),0,IF(HLOOKUP(AN$91,'Improved Sales Adjustments 2'!$G$7:$WU$147,68,FALSE)="",0,IF($S170=HLOOKUP(AN$91,'Improved Sales Adjustments 2'!$G$7:$WU$147,68,FALSE),1,0)))</f>
        <v>0</v>
      </c>
      <c r="AO170" s="41">
        <f>IF(ISERROR(HLOOKUP(AO$91,'Improved Sales Adjustments 2'!$G$7:$WU$147,68,FALSE)),0,IF(HLOOKUP(AO$91,'Improved Sales Adjustments 2'!$G$7:$WU$147,68,FALSE)="",0,IF($S170=HLOOKUP(AO$91,'Improved Sales Adjustments 2'!$G$7:$WU$147,68,FALSE),1,0)))</f>
        <v>0</v>
      </c>
      <c r="AP170" s="41">
        <f>IF(ISERROR(HLOOKUP(AP$91,'Improved Sales Adjustments 2'!$G$7:$WU$147,68,FALSE)),0,IF(HLOOKUP(AP$91,'Improved Sales Adjustments 2'!$G$7:$WU$147,68,FALSE)="",0,IF($S170=HLOOKUP(AP$91,'Improved Sales Adjustments 2'!$G$7:$WU$147,68,FALSE),1,0)))</f>
        <v>0</v>
      </c>
      <c r="AQ170" s="41">
        <f>IF(ISERROR(HLOOKUP(AQ$91,'Improved Sales Adjustments 2'!$G$7:$WU$147,68,FALSE)),0,IF(HLOOKUP(AQ$91,'Improved Sales Adjustments 2'!$G$7:$WU$147,68,FALSE)="",0,IF($S170=HLOOKUP(AQ$91,'Improved Sales Adjustments 2'!$G$7:$WU$147,68,FALSE),1,0)))</f>
        <v>0</v>
      </c>
      <c r="AR170" s="41">
        <f>SUM($AG170:AG170)</f>
        <v>0</v>
      </c>
      <c r="AS170" s="41">
        <f>SUM($AG170:AH170)</f>
        <v>0</v>
      </c>
      <c r="AT170" s="41">
        <f>SUM($AG170:AI170)</f>
        <v>0</v>
      </c>
      <c r="AU170" s="41">
        <f>SUM($AG170:AJ170)</f>
        <v>0</v>
      </c>
      <c r="AV170" s="41">
        <f>SUM($AG170:AK170)</f>
        <v>0</v>
      </c>
      <c r="AW170" s="41">
        <f>SUM($AG170:AL170)</f>
        <v>0</v>
      </c>
      <c r="AX170" s="41">
        <f>SUM($AG170:AM170)</f>
        <v>0</v>
      </c>
      <c r="AY170" s="41">
        <f>SUM($AG170:AN170)</f>
        <v>0</v>
      </c>
      <c r="AZ170" s="41">
        <f>SUM($AG170:AO170)</f>
        <v>0</v>
      </c>
      <c r="BA170" s="41">
        <f>SUM($AG170:AP170)</f>
        <v>0</v>
      </c>
      <c r="BB170" s="41">
        <f>SUM($AG170:AQ170)</f>
        <v>0</v>
      </c>
      <c r="BC170" s="41" t="str">
        <f t="shared" si="49"/>
        <v/>
      </c>
      <c r="BD170" s="41" t="str">
        <f t="shared" si="49"/>
        <v/>
      </c>
      <c r="BE170" s="41" t="str">
        <f t="shared" si="49"/>
        <v/>
      </c>
      <c r="BF170" s="41" t="str">
        <f t="shared" si="47"/>
        <v/>
      </c>
      <c r="BG170" s="41" t="str">
        <f t="shared" si="47"/>
        <v/>
      </c>
      <c r="BH170" s="41" t="str">
        <f t="shared" si="47"/>
        <v/>
      </c>
      <c r="BI170" s="41" t="str">
        <f t="shared" si="47"/>
        <v/>
      </c>
      <c r="BJ170" s="41" t="str">
        <f t="shared" si="47"/>
        <v/>
      </c>
      <c r="BK170" s="41" t="str">
        <f t="shared" si="47"/>
        <v/>
      </c>
      <c r="BL170" s="41" t="str">
        <f t="shared" si="37"/>
        <v/>
      </c>
      <c r="BM170" s="41" t="str">
        <f t="shared" si="37"/>
        <v/>
      </c>
    </row>
    <row r="171" spans="1:65" ht="15" customHeight="1" x14ac:dyDescent="0.25">
      <c r="A171" s="957">
        <f t="shared" si="43"/>
        <v>0</v>
      </c>
      <c r="B171" s="10"/>
      <c r="C171" s="10"/>
      <c r="D171" s="13"/>
      <c r="E171" s="10"/>
      <c r="F171" s="10"/>
      <c r="G171" s="10"/>
      <c r="H171" s="10"/>
      <c r="I171" s="10"/>
      <c r="J171" s="10"/>
      <c r="K171" s="10"/>
      <c r="L171" s="10"/>
      <c r="M171" s="10"/>
      <c r="N171" s="10"/>
      <c r="O171" s="10"/>
      <c r="P171" s="4"/>
      <c r="Q171" s="1204"/>
      <c r="R171" s="101" t="str">
        <f t="shared" si="45"/>
        <v/>
      </c>
      <c r="S171" s="137">
        <f t="shared" si="48"/>
        <v>79</v>
      </c>
      <c r="T171" s="2130">
        <f>((T$172-T$167)/5)+T170</f>
        <v>0.77400000000000002</v>
      </c>
      <c r="U171" s="2130"/>
      <c r="V171" s="2130"/>
      <c r="W171" s="2130"/>
      <c r="X171" s="2130"/>
      <c r="Y171" s="2130"/>
      <c r="Z171" s="2130"/>
      <c r="AA171" s="2130"/>
      <c r="AB171" s="2130"/>
      <c r="AC171" s="2130"/>
      <c r="AD171" s="101"/>
      <c r="AE171" s="6"/>
      <c r="AF171" s="143"/>
      <c r="AG171" s="41">
        <f t="shared" si="44"/>
        <v>0</v>
      </c>
      <c r="AH171" s="41">
        <f>IF(ISERROR(HLOOKUP(AH$91,'Improved Sales Adjustments 2'!$G$7:$WU$147,68,FALSE)),0,IF(HLOOKUP(AH$91,'Improved Sales Adjustments 2'!$G$7:$WU$147,68,FALSE)="",0,IF($S171=HLOOKUP(AH$91,'Improved Sales Adjustments 2'!$G$7:$WU$147,68,FALSE),1,0)))</f>
        <v>0</v>
      </c>
      <c r="AI171" s="41">
        <f>IF(ISERROR(HLOOKUP(AI$91,'Improved Sales Adjustments 2'!$G$7:$WU$147,68,FALSE)),0,IF(HLOOKUP(AI$91,'Improved Sales Adjustments 2'!$G$7:$WU$147,68,FALSE)="",0,IF($S171=HLOOKUP(AI$91,'Improved Sales Adjustments 2'!$G$7:$WU$147,68,FALSE),1,0)))</f>
        <v>0</v>
      </c>
      <c r="AJ171" s="41">
        <f>IF(ISERROR(HLOOKUP(AJ$91,'Improved Sales Adjustments 2'!$G$7:$WU$147,68,FALSE)),0,IF(HLOOKUP(AJ$91,'Improved Sales Adjustments 2'!$G$7:$WU$147,68,FALSE)="",0,IF($S171=HLOOKUP(AJ$91,'Improved Sales Adjustments 2'!$G$7:$WU$147,68,FALSE),1,0)))</f>
        <v>0</v>
      </c>
      <c r="AK171" s="41">
        <f>IF(ISERROR(HLOOKUP(AK$91,'Improved Sales Adjustments 2'!$G$7:$WU$147,68,FALSE)),0,IF(HLOOKUP(AK$91,'Improved Sales Adjustments 2'!$G$7:$WU$147,68,FALSE)="",0,IF($S171=HLOOKUP(AK$91,'Improved Sales Adjustments 2'!$G$7:$WU$147,68,FALSE),1,0)))</f>
        <v>0</v>
      </c>
      <c r="AL171" s="41">
        <f>IF(ISERROR(HLOOKUP(AL$91,'Improved Sales Adjustments 2'!$G$7:$WU$147,68,FALSE)),0,IF(HLOOKUP(AL$91,'Improved Sales Adjustments 2'!$G$7:$WU$147,68,FALSE)="",0,IF($S171=HLOOKUP(AL$91,'Improved Sales Adjustments 2'!$G$7:$WU$147,68,FALSE),1,0)))</f>
        <v>0</v>
      </c>
      <c r="AM171" s="41">
        <f>IF(ISERROR(HLOOKUP(AM$91,'Improved Sales Adjustments 2'!$G$7:$WU$147,68,FALSE)),0,IF(HLOOKUP(AM$91,'Improved Sales Adjustments 2'!$G$7:$WU$147,68,FALSE)="",0,IF($S171=HLOOKUP(AM$91,'Improved Sales Adjustments 2'!$G$7:$WU$147,68,FALSE),1,0)))</f>
        <v>0</v>
      </c>
      <c r="AN171" s="41">
        <f>IF(ISERROR(HLOOKUP(AN$91,'Improved Sales Adjustments 2'!$G$7:$WU$147,68,FALSE)),0,IF(HLOOKUP(AN$91,'Improved Sales Adjustments 2'!$G$7:$WU$147,68,FALSE)="",0,IF($S171=HLOOKUP(AN$91,'Improved Sales Adjustments 2'!$G$7:$WU$147,68,FALSE),1,0)))</f>
        <v>0</v>
      </c>
      <c r="AO171" s="41">
        <f>IF(ISERROR(HLOOKUP(AO$91,'Improved Sales Adjustments 2'!$G$7:$WU$147,68,FALSE)),0,IF(HLOOKUP(AO$91,'Improved Sales Adjustments 2'!$G$7:$WU$147,68,FALSE)="",0,IF($S171=HLOOKUP(AO$91,'Improved Sales Adjustments 2'!$G$7:$WU$147,68,FALSE),1,0)))</f>
        <v>0</v>
      </c>
      <c r="AP171" s="41">
        <f>IF(ISERROR(HLOOKUP(AP$91,'Improved Sales Adjustments 2'!$G$7:$WU$147,68,FALSE)),0,IF(HLOOKUP(AP$91,'Improved Sales Adjustments 2'!$G$7:$WU$147,68,FALSE)="",0,IF($S171=HLOOKUP(AP$91,'Improved Sales Adjustments 2'!$G$7:$WU$147,68,FALSE),1,0)))</f>
        <v>0</v>
      </c>
      <c r="AQ171" s="41">
        <f>IF(ISERROR(HLOOKUP(AQ$91,'Improved Sales Adjustments 2'!$G$7:$WU$147,68,FALSE)),0,IF(HLOOKUP(AQ$91,'Improved Sales Adjustments 2'!$G$7:$WU$147,68,FALSE)="",0,IF($S171=HLOOKUP(AQ$91,'Improved Sales Adjustments 2'!$G$7:$WU$147,68,FALSE),1,0)))</f>
        <v>0</v>
      </c>
      <c r="AR171" s="41">
        <f>SUM($AG171:AG171)</f>
        <v>0</v>
      </c>
      <c r="AS171" s="41">
        <f>SUM($AG171:AH171)</f>
        <v>0</v>
      </c>
      <c r="AT171" s="41">
        <f>SUM($AG171:AI171)</f>
        <v>0</v>
      </c>
      <c r="AU171" s="41">
        <f>SUM($AG171:AJ171)</f>
        <v>0</v>
      </c>
      <c r="AV171" s="41">
        <f>SUM($AG171:AK171)</f>
        <v>0</v>
      </c>
      <c r="AW171" s="41">
        <f>SUM($AG171:AL171)</f>
        <v>0</v>
      </c>
      <c r="AX171" s="41">
        <f>SUM($AG171:AM171)</f>
        <v>0</v>
      </c>
      <c r="AY171" s="41">
        <f>SUM($AG171:AN171)</f>
        <v>0</v>
      </c>
      <c r="AZ171" s="41">
        <f>SUM($AG171:AO171)</f>
        <v>0</v>
      </c>
      <c r="BA171" s="41">
        <f>SUM($AG171:AP171)</f>
        <v>0</v>
      </c>
      <c r="BB171" s="41">
        <f>SUM($AG171:AQ171)</f>
        <v>0</v>
      </c>
      <c r="BC171" s="96" t="str">
        <f t="shared" si="49"/>
        <v/>
      </c>
      <c r="BD171" s="96" t="str">
        <f t="shared" si="49"/>
        <v/>
      </c>
      <c r="BE171" s="96" t="str">
        <f t="shared" si="49"/>
        <v/>
      </c>
      <c r="BF171" s="96" t="str">
        <f t="shared" si="47"/>
        <v/>
      </c>
      <c r="BG171" s="96" t="str">
        <f t="shared" si="47"/>
        <v/>
      </c>
      <c r="BH171" s="96" t="str">
        <f t="shared" si="47"/>
        <v/>
      </c>
      <c r="BI171" s="96" t="str">
        <f t="shared" si="47"/>
        <v/>
      </c>
      <c r="BJ171" s="96" t="str">
        <f t="shared" si="47"/>
        <v/>
      </c>
      <c r="BK171" s="96" t="str">
        <f t="shared" si="47"/>
        <v/>
      </c>
      <c r="BL171" s="96" t="str">
        <f t="shared" si="37"/>
        <v/>
      </c>
      <c r="BM171" s="96" t="str">
        <f t="shared" si="37"/>
        <v/>
      </c>
    </row>
    <row r="172" spans="1:65" ht="15" customHeight="1" thickBot="1" x14ac:dyDescent="0.3">
      <c r="A172" s="957">
        <f t="shared" si="43"/>
        <v>0</v>
      </c>
      <c r="B172" s="10"/>
      <c r="C172" s="10"/>
      <c r="D172" s="13"/>
      <c r="E172" s="10"/>
      <c r="F172" s="10"/>
      <c r="G172" s="10"/>
      <c r="H172" s="10"/>
      <c r="I172" s="10"/>
      <c r="J172" s="10"/>
      <c r="K172" s="10"/>
      <c r="L172" s="10"/>
      <c r="M172" s="10"/>
      <c r="N172" s="10"/>
      <c r="O172" s="10"/>
      <c r="P172" s="4"/>
      <c r="Q172" s="1204"/>
      <c r="R172" s="101" t="str">
        <f t="shared" si="45"/>
        <v/>
      </c>
      <c r="S172" s="137">
        <f t="shared" si="48"/>
        <v>80</v>
      </c>
      <c r="T172" s="2129">
        <v>0.78</v>
      </c>
      <c r="U172" s="2130"/>
      <c r="V172" s="2130"/>
      <c r="W172" s="2130"/>
      <c r="X172" s="2130"/>
      <c r="Y172" s="2130"/>
      <c r="Z172" s="2130"/>
      <c r="AA172" s="2130"/>
      <c r="AB172" s="2130"/>
      <c r="AC172" s="2130"/>
      <c r="AD172" s="101"/>
      <c r="AE172" s="6"/>
      <c r="AF172" s="143"/>
      <c r="AG172" s="41">
        <f t="shared" si="44"/>
        <v>0</v>
      </c>
      <c r="AH172" s="41">
        <f>IF(ISERROR(HLOOKUP(AH$91,'Improved Sales Adjustments 2'!$G$7:$WU$147,68,FALSE)),0,IF(HLOOKUP(AH$91,'Improved Sales Adjustments 2'!$G$7:$WU$147,68,FALSE)="",0,IF($S172=HLOOKUP(AH$91,'Improved Sales Adjustments 2'!$G$7:$WU$147,68,FALSE),1,0)))</f>
        <v>0</v>
      </c>
      <c r="AI172" s="41">
        <f>IF(ISERROR(HLOOKUP(AI$91,'Improved Sales Adjustments 2'!$G$7:$WU$147,68,FALSE)),0,IF(HLOOKUP(AI$91,'Improved Sales Adjustments 2'!$G$7:$WU$147,68,FALSE)="",0,IF($S172=HLOOKUP(AI$91,'Improved Sales Adjustments 2'!$G$7:$WU$147,68,FALSE),1,0)))</f>
        <v>0</v>
      </c>
      <c r="AJ172" s="41">
        <f>IF(ISERROR(HLOOKUP(AJ$91,'Improved Sales Adjustments 2'!$G$7:$WU$147,68,FALSE)),0,IF(HLOOKUP(AJ$91,'Improved Sales Adjustments 2'!$G$7:$WU$147,68,FALSE)="",0,IF($S172=HLOOKUP(AJ$91,'Improved Sales Adjustments 2'!$G$7:$WU$147,68,FALSE),1,0)))</f>
        <v>0</v>
      </c>
      <c r="AK172" s="41">
        <f>IF(ISERROR(HLOOKUP(AK$91,'Improved Sales Adjustments 2'!$G$7:$WU$147,68,FALSE)),0,IF(HLOOKUP(AK$91,'Improved Sales Adjustments 2'!$G$7:$WU$147,68,FALSE)="",0,IF($S172=HLOOKUP(AK$91,'Improved Sales Adjustments 2'!$G$7:$WU$147,68,FALSE),1,0)))</f>
        <v>0</v>
      </c>
      <c r="AL172" s="41">
        <f>IF(ISERROR(HLOOKUP(AL$91,'Improved Sales Adjustments 2'!$G$7:$WU$147,68,FALSE)),0,IF(HLOOKUP(AL$91,'Improved Sales Adjustments 2'!$G$7:$WU$147,68,FALSE)="",0,IF($S172=HLOOKUP(AL$91,'Improved Sales Adjustments 2'!$G$7:$WU$147,68,FALSE),1,0)))</f>
        <v>0</v>
      </c>
      <c r="AM172" s="41">
        <f>IF(ISERROR(HLOOKUP(AM$91,'Improved Sales Adjustments 2'!$G$7:$WU$147,68,FALSE)),0,IF(HLOOKUP(AM$91,'Improved Sales Adjustments 2'!$G$7:$WU$147,68,FALSE)="",0,IF($S172=HLOOKUP(AM$91,'Improved Sales Adjustments 2'!$G$7:$WU$147,68,FALSE),1,0)))</f>
        <v>0</v>
      </c>
      <c r="AN172" s="41">
        <f>IF(ISERROR(HLOOKUP(AN$91,'Improved Sales Adjustments 2'!$G$7:$WU$147,68,FALSE)),0,IF(HLOOKUP(AN$91,'Improved Sales Adjustments 2'!$G$7:$WU$147,68,FALSE)="",0,IF($S172=HLOOKUP(AN$91,'Improved Sales Adjustments 2'!$G$7:$WU$147,68,FALSE),1,0)))</f>
        <v>0</v>
      </c>
      <c r="AO172" s="41">
        <f>IF(ISERROR(HLOOKUP(AO$91,'Improved Sales Adjustments 2'!$G$7:$WU$147,68,FALSE)),0,IF(HLOOKUP(AO$91,'Improved Sales Adjustments 2'!$G$7:$WU$147,68,FALSE)="",0,IF($S172=HLOOKUP(AO$91,'Improved Sales Adjustments 2'!$G$7:$WU$147,68,FALSE),1,0)))</f>
        <v>0</v>
      </c>
      <c r="AP172" s="41">
        <f>IF(ISERROR(HLOOKUP(AP$91,'Improved Sales Adjustments 2'!$G$7:$WU$147,68,FALSE)),0,IF(HLOOKUP(AP$91,'Improved Sales Adjustments 2'!$G$7:$WU$147,68,FALSE)="",0,IF($S172=HLOOKUP(AP$91,'Improved Sales Adjustments 2'!$G$7:$WU$147,68,FALSE),1,0)))</f>
        <v>0</v>
      </c>
      <c r="AQ172" s="41">
        <f>IF(ISERROR(HLOOKUP(AQ$91,'Improved Sales Adjustments 2'!$G$7:$WU$147,68,FALSE)),0,IF(HLOOKUP(AQ$91,'Improved Sales Adjustments 2'!$G$7:$WU$147,68,FALSE)="",0,IF($S172=HLOOKUP(AQ$91,'Improved Sales Adjustments 2'!$G$7:$WU$147,68,FALSE),1,0)))</f>
        <v>0</v>
      </c>
      <c r="AR172" s="41">
        <f>SUM($AG172:AG172)</f>
        <v>0</v>
      </c>
      <c r="AS172" s="41">
        <f>SUM($AG172:AH172)</f>
        <v>0</v>
      </c>
      <c r="AT172" s="41">
        <f>SUM($AG172:AI172)</f>
        <v>0</v>
      </c>
      <c r="AU172" s="41">
        <f>SUM($AG172:AJ172)</f>
        <v>0</v>
      </c>
      <c r="AV172" s="41">
        <f>SUM($AG172:AK172)</f>
        <v>0</v>
      </c>
      <c r="AW172" s="41">
        <f>SUM($AG172:AL172)</f>
        <v>0</v>
      </c>
      <c r="AX172" s="41">
        <f>SUM($AG172:AM172)</f>
        <v>0</v>
      </c>
      <c r="AY172" s="41">
        <f>SUM($AG172:AN172)</f>
        <v>0</v>
      </c>
      <c r="AZ172" s="41">
        <f>SUM($AG172:AO172)</f>
        <v>0</v>
      </c>
      <c r="BA172" s="41">
        <f>SUM($AG172:AP172)</f>
        <v>0</v>
      </c>
      <c r="BB172" s="41">
        <f>SUM($AG172:AQ172)</f>
        <v>0</v>
      </c>
      <c r="BC172" s="96" t="str">
        <f t="shared" si="49"/>
        <v/>
      </c>
      <c r="BD172" s="96" t="str">
        <f t="shared" si="49"/>
        <v/>
      </c>
      <c r="BE172" s="96" t="str">
        <f t="shared" si="49"/>
        <v/>
      </c>
      <c r="BF172" s="96" t="str">
        <f t="shared" si="47"/>
        <v/>
      </c>
      <c r="BG172" s="96" t="str">
        <f t="shared" si="47"/>
        <v/>
      </c>
      <c r="BH172" s="96" t="str">
        <f t="shared" si="47"/>
        <v/>
      </c>
      <c r="BI172" s="96" t="str">
        <f t="shared" si="47"/>
        <v/>
      </c>
      <c r="BJ172" s="96" t="str">
        <f t="shared" si="47"/>
        <v/>
      </c>
      <c r="BK172" s="96" t="str">
        <f t="shared" si="47"/>
        <v/>
      </c>
      <c r="BL172" s="96" t="str">
        <f t="shared" si="37"/>
        <v/>
      </c>
      <c r="BM172" s="96" t="str">
        <f t="shared" si="37"/>
        <v/>
      </c>
    </row>
    <row r="173" spans="1:65" ht="15" customHeight="1" thickBot="1" x14ac:dyDescent="0.3">
      <c r="A173" s="32"/>
      <c r="B173" s="10"/>
      <c r="C173" s="10"/>
      <c r="D173" s="13"/>
      <c r="E173" s="10"/>
      <c r="F173" s="10"/>
      <c r="G173" s="10"/>
      <c r="H173" s="10"/>
      <c r="I173" s="10"/>
      <c r="J173" s="10"/>
      <c r="K173" s="10"/>
      <c r="L173" s="10"/>
      <c r="M173" s="10"/>
      <c r="N173" s="10"/>
      <c r="O173" s="10"/>
      <c r="P173" s="8"/>
      <c r="Q173" s="440"/>
      <c r="R173" s="4184" t="s">
        <v>1614</v>
      </c>
      <c r="S173" s="4184"/>
      <c r="T173" s="133"/>
      <c r="U173" s="133"/>
      <c r="V173" s="133"/>
      <c r="W173" s="133"/>
      <c r="X173" s="133"/>
      <c r="Y173" s="133"/>
      <c r="Z173" s="133"/>
      <c r="AA173" s="133"/>
      <c r="AB173" s="133"/>
      <c r="AC173" s="133"/>
      <c r="AD173" s="7"/>
      <c r="AE173" s="9"/>
      <c r="AF173" s="143"/>
      <c r="AG173" s="32"/>
      <c r="AH173" s="32"/>
      <c r="AI173" s="32"/>
      <c r="AJ173" s="32"/>
      <c r="AK173" s="32"/>
      <c r="AL173" s="32"/>
      <c r="AM173" s="32"/>
      <c r="AN173" s="32"/>
      <c r="AO173" s="32"/>
      <c r="AP173" s="32"/>
      <c r="AQ173" s="32"/>
      <c r="AR173" s="32"/>
      <c r="AS173" s="32"/>
      <c r="AT173" s="32"/>
      <c r="AU173" s="32"/>
      <c r="AV173" s="32"/>
      <c r="AW173" s="32"/>
      <c r="AX173" s="32"/>
      <c r="AY173" s="32"/>
      <c r="AZ173" s="32"/>
      <c r="BA173" s="32"/>
      <c r="BB173" s="32"/>
      <c r="BC173" s="32"/>
      <c r="BD173" s="32"/>
      <c r="BE173" s="32"/>
      <c r="BF173" s="32"/>
      <c r="BG173" s="32"/>
      <c r="BH173" s="32"/>
      <c r="BI173" s="32"/>
      <c r="BJ173" s="32"/>
      <c r="BK173" s="32"/>
      <c r="BL173" s="32"/>
      <c r="BM173" s="32"/>
    </row>
    <row r="174" spans="1:65" ht="15" customHeight="1" x14ac:dyDescent="0.25">
      <c r="A174" s="32"/>
      <c r="B174" s="10"/>
      <c r="C174" s="10"/>
      <c r="D174" s="13"/>
      <c r="E174" s="10"/>
      <c r="F174" s="10"/>
      <c r="G174" s="10"/>
      <c r="H174" s="10"/>
      <c r="I174" s="10"/>
      <c r="J174" s="10"/>
      <c r="K174" s="10"/>
      <c r="L174" s="10"/>
      <c r="M174" s="10"/>
      <c r="N174" s="10"/>
      <c r="O174" s="10"/>
      <c r="P174" s="10"/>
      <c r="Q174" s="11"/>
      <c r="R174" s="10"/>
      <c r="S174" s="10"/>
      <c r="T174" s="10"/>
      <c r="U174" s="10"/>
      <c r="V174" s="10"/>
      <c r="W174" s="10"/>
      <c r="X174" s="10"/>
      <c r="Y174" s="10"/>
      <c r="Z174" s="10"/>
      <c r="AA174" s="10"/>
      <c r="AB174" s="10"/>
      <c r="AC174" s="10"/>
      <c r="AD174" s="10"/>
      <c r="AE174" s="10"/>
      <c r="AF174" s="143"/>
      <c r="AG174" s="32"/>
      <c r="AH174" s="32"/>
      <c r="AI174" s="32"/>
      <c r="AJ174" s="32"/>
      <c r="AK174" s="32"/>
      <c r="AL174" s="32"/>
      <c r="AM174" s="32"/>
      <c r="AN174" s="32"/>
      <c r="AO174" s="32"/>
      <c r="AP174" s="32"/>
      <c r="AQ174" s="32"/>
      <c r="AR174" s="32"/>
      <c r="AS174" s="32"/>
      <c r="AT174" s="32"/>
      <c r="AU174" s="32"/>
      <c r="AV174" s="32"/>
      <c r="AW174" s="32"/>
      <c r="AX174" s="32"/>
      <c r="AY174" s="32"/>
      <c r="AZ174" s="32"/>
      <c r="BA174" s="32"/>
      <c r="BB174" s="32"/>
      <c r="BC174" s="32"/>
      <c r="BD174" s="32"/>
      <c r="BE174" s="32"/>
      <c r="BF174" s="32"/>
      <c r="BG174" s="32"/>
      <c r="BH174" s="32"/>
      <c r="BI174" s="32"/>
      <c r="BJ174" s="32"/>
      <c r="BK174" s="32"/>
      <c r="BL174" s="32"/>
      <c r="BM174" s="32"/>
    </row>
  </sheetData>
  <mergeCells count="1">
    <mergeCell ref="R173:S173"/>
  </mergeCells>
  <pageMargins left="0.7" right="0.7" top="0.75" bottom="0.75" header="0.3" footer="0.3"/>
  <drawing r:id="rId1"/>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77">
    <tabColor theme="7"/>
  </sheetPr>
  <dimension ref="A1:AO62"/>
  <sheetViews>
    <sheetView workbookViewId="0">
      <selection activeCell="J6" sqref="J6"/>
    </sheetView>
  </sheetViews>
  <sheetFormatPr defaultRowHeight="14.25" x14ac:dyDescent="0.25"/>
  <cols>
    <col min="1" max="1" width="5.7109375" customWidth="1"/>
    <col min="2" max="2" width="1.7109375" customWidth="1"/>
    <col min="3" max="3" width="0.85546875" customWidth="1"/>
    <col min="4" max="4" width="30.7109375" customWidth="1"/>
    <col min="5" max="5" width="1.7109375" customWidth="1"/>
    <col min="6" max="6" width="10.7109375" customWidth="1"/>
    <col min="7" max="7" width="2" customWidth="1"/>
    <col min="8" max="8" width="10.7109375" customWidth="1"/>
    <col min="9" max="9" width="2" customWidth="1"/>
    <col min="10" max="10" width="10.7109375" customWidth="1"/>
    <col min="11" max="11" width="2" customWidth="1"/>
    <col min="12" max="12" width="10.7109375" customWidth="1"/>
    <col min="13" max="13" width="2" customWidth="1"/>
    <col min="14" max="14" width="10.7109375" customWidth="1"/>
    <col min="15" max="15" width="2" customWidth="1"/>
    <col min="16" max="16" width="10.7109375" customWidth="1"/>
    <col min="17" max="17" width="2" customWidth="1"/>
    <col min="18" max="18" width="10.7109375" customWidth="1"/>
    <col min="19" max="19" width="2" customWidth="1"/>
    <col min="20" max="20" width="9.140625" customWidth="1"/>
    <col min="21" max="21" width="2" customWidth="1"/>
    <col min="22" max="22" width="9.140625" customWidth="1"/>
    <col min="23" max="23" width="2" customWidth="1"/>
    <col min="24" max="24" width="9.140625" customWidth="1"/>
    <col min="25" max="25" width="2" customWidth="1"/>
    <col min="26" max="26" width="9.140625" customWidth="1"/>
    <col min="27" max="27" width="2" customWidth="1"/>
    <col min="28" max="28" width="9.140625" customWidth="1"/>
    <col min="29" max="29" width="2" customWidth="1"/>
    <col min="30" max="30" width="9.140625" customWidth="1"/>
    <col min="31" max="31" width="2" customWidth="1"/>
    <col min="32" max="32" width="9.140625" customWidth="1"/>
    <col min="33" max="33" width="2" customWidth="1"/>
    <col min="34" max="34" width="9.140625" customWidth="1"/>
    <col min="35" max="35" width="0.85546875" customWidth="1"/>
    <col min="36" max="36" width="1.7109375" customWidth="1"/>
    <col min="37" max="37" width="60.7109375" customWidth="1"/>
  </cols>
  <sheetData>
    <row r="1" spans="1:41" ht="60" customHeight="1" x14ac:dyDescent="0.25">
      <c r="A1" s="911"/>
      <c r="B1" s="911"/>
      <c r="C1" s="911"/>
      <c r="D1" s="911"/>
      <c r="E1" s="911"/>
      <c r="F1" s="1256"/>
      <c r="G1" s="1256"/>
      <c r="H1" s="1256"/>
      <c r="I1" s="1256"/>
      <c r="J1" s="1256"/>
      <c r="K1" s="1256"/>
      <c r="L1" s="1256"/>
      <c r="M1" s="1256"/>
      <c r="N1" s="1256"/>
      <c r="O1" s="1256"/>
      <c r="P1" s="1256"/>
      <c r="Q1" s="1256"/>
      <c r="R1" s="911"/>
      <c r="S1" s="911"/>
      <c r="T1" s="911"/>
      <c r="U1" s="911"/>
      <c r="V1" s="911"/>
      <c r="W1" s="911"/>
      <c r="X1" s="911"/>
      <c r="Y1" s="911"/>
      <c r="Z1" s="911"/>
      <c r="AA1" s="911"/>
      <c r="AB1" s="911"/>
      <c r="AC1" s="911"/>
      <c r="AD1" s="911"/>
      <c r="AE1" s="911"/>
      <c r="AF1" s="911"/>
      <c r="AG1" s="911"/>
      <c r="AH1" s="911"/>
      <c r="AI1" s="911"/>
      <c r="AJ1" s="911"/>
      <c r="AK1" s="911"/>
      <c r="AL1" s="911"/>
      <c r="AM1" s="911"/>
      <c r="AN1" s="911"/>
      <c r="AO1" s="911"/>
    </row>
    <row r="2" spans="1:41" ht="30" customHeight="1" thickBot="1" x14ac:dyDescent="0.35">
      <c r="A2" s="911"/>
      <c r="B2" s="911"/>
      <c r="C2" s="911"/>
      <c r="D2" s="17" t="s">
        <v>1335</v>
      </c>
      <c r="E2" s="911"/>
      <c r="F2" s="1256"/>
      <c r="G2" s="1256"/>
      <c r="H2" s="1256"/>
      <c r="I2" s="1256"/>
      <c r="J2" s="1256"/>
      <c r="K2" s="1256"/>
      <c r="L2" s="1256"/>
      <c r="M2" s="1256"/>
      <c r="N2" s="1256"/>
      <c r="O2" s="1256"/>
      <c r="P2" s="1256"/>
      <c r="Q2" s="1256"/>
      <c r="R2" s="911"/>
      <c r="S2" s="911"/>
      <c r="T2" s="911"/>
      <c r="U2" s="911"/>
      <c r="V2" s="911"/>
      <c r="W2" s="911"/>
      <c r="X2" s="911"/>
      <c r="Y2" s="911"/>
      <c r="Z2" s="911"/>
      <c r="AA2" s="911"/>
      <c r="AB2" s="911"/>
      <c r="AC2" s="911"/>
      <c r="AD2" s="911"/>
      <c r="AE2" s="911"/>
      <c r="AF2" s="911"/>
      <c r="AG2" s="911"/>
      <c r="AH2" s="911"/>
      <c r="AI2" s="911"/>
      <c r="AJ2" s="911"/>
      <c r="AK2" s="911"/>
      <c r="AL2" s="911"/>
      <c r="AM2" s="911"/>
      <c r="AN2" s="911"/>
      <c r="AO2" s="911"/>
    </row>
    <row r="3" spans="1:41" ht="15" customHeight="1" x14ac:dyDescent="0.25">
      <c r="A3" s="911"/>
      <c r="B3" s="1248"/>
      <c r="C3" s="1249"/>
      <c r="D3" s="1249"/>
      <c r="E3" s="1249"/>
      <c r="F3" s="1257"/>
      <c r="G3" s="1257"/>
      <c r="H3" s="1257"/>
      <c r="I3" s="1257"/>
      <c r="J3" s="1257"/>
      <c r="K3" s="1257"/>
      <c r="L3" s="1257"/>
      <c r="M3" s="1257"/>
      <c r="N3" s="1257"/>
      <c r="O3" s="1257"/>
      <c r="P3" s="1257"/>
      <c r="Q3" s="1257"/>
      <c r="R3" s="1249"/>
      <c r="S3" s="1249"/>
      <c r="T3" s="1249"/>
      <c r="U3" s="1249"/>
      <c r="V3" s="1249"/>
      <c r="W3" s="1249"/>
      <c r="X3" s="1249"/>
      <c r="Y3" s="1249"/>
      <c r="Z3" s="1249"/>
      <c r="AA3" s="1249"/>
      <c r="AB3" s="1249"/>
      <c r="AC3" s="1249"/>
      <c r="AD3" s="1249"/>
      <c r="AE3" s="1249"/>
      <c r="AF3" s="1249"/>
      <c r="AG3" s="1249"/>
      <c r="AH3" s="1249"/>
      <c r="AI3" s="1249"/>
      <c r="AJ3" s="1250"/>
      <c r="AK3" s="911"/>
      <c r="AL3" s="911"/>
      <c r="AM3" s="911"/>
      <c r="AN3" s="911"/>
      <c r="AO3" s="911"/>
    </row>
    <row r="4" spans="1:41" ht="15" customHeight="1" x14ac:dyDescent="0.3">
      <c r="A4" s="911"/>
      <c r="B4" s="1251"/>
      <c r="C4" s="5"/>
      <c r="D4" s="246" t="str">
        <f>CONCATENATE("Property Rights Conveyed - Market vs. Contract Rent Adjustment - ",dpSales_ComponentNameB2," Component")</f>
        <v>Property Rights Conveyed - Market vs. Contract Rent Adjustment -  Component</v>
      </c>
      <c r="E4" s="5"/>
      <c r="F4" s="5"/>
      <c r="G4" s="5"/>
      <c r="H4" s="5"/>
      <c r="I4" s="5"/>
      <c r="J4" s="5"/>
      <c r="K4" s="5"/>
      <c r="L4" s="5"/>
      <c r="M4" s="5"/>
      <c r="N4" s="5"/>
      <c r="O4" s="5"/>
      <c r="P4" s="1258"/>
      <c r="Q4" s="1258"/>
      <c r="R4" s="1080"/>
      <c r="S4" s="1080"/>
      <c r="T4" s="1080"/>
      <c r="U4" s="1080"/>
      <c r="V4" s="1080"/>
      <c r="W4" s="1080"/>
      <c r="X4" s="1080"/>
      <c r="Y4" s="1080"/>
      <c r="Z4" s="1080"/>
      <c r="AA4" s="1080"/>
      <c r="AB4" s="1080"/>
      <c r="AC4" s="1080"/>
      <c r="AD4" s="1080"/>
      <c r="AE4" s="1080"/>
      <c r="AF4" s="1080"/>
      <c r="AG4" s="1080"/>
      <c r="AH4" s="1080"/>
      <c r="AI4" s="1080"/>
      <c r="AJ4" s="1252"/>
      <c r="AK4" s="911"/>
      <c r="AL4" s="911"/>
      <c r="AM4" s="911"/>
      <c r="AN4" s="911"/>
      <c r="AO4" s="911"/>
    </row>
    <row r="5" spans="1:41" ht="17.100000000000001" customHeight="1" x14ac:dyDescent="0.25">
      <c r="A5" s="911"/>
      <c r="B5" s="1251"/>
      <c r="C5" s="150"/>
      <c r="D5" s="207" t="s">
        <v>232</v>
      </c>
      <c r="E5" s="150"/>
      <c r="F5" s="1269">
        <v>1</v>
      </c>
      <c r="G5" s="1269"/>
      <c r="H5" s="1269">
        <f>F5+1</f>
        <v>2</v>
      </c>
      <c r="I5" s="1269"/>
      <c r="J5" s="1269">
        <f>H5+1</f>
        <v>3</v>
      </c>
      <c r="K5" s="1269"/>
      <c r="L5" s="1269">
        <f>J5+1</f>
        <v>4</v>
      </c>
      <c r="M5" s="1269"/>
      <c r="N5" s="1269">
        <f>L5+1</f>
        <v>5</v>
      </c>
      <c r="O5" s="11"/>
      <c r="P5" s="1269">
        <f>N5+1</f>
        <v>6</v>
      </c>
      <c r="Q5" s="124"/>
      <c r="R5" s="1269">
        <f>P5+1</f>
        <v>7</v>
      </c>
      <c r="S5" s="11"/>
      <c r="T5" s="1269">
        <f>R5+1</f>
        <v>8</v>
      </c>
      <c r="U5" s="11"/>
      <c r="V5" s="1269">
        <f>T5+1</f>
        <v>9</v>
      </c>
      <c r="W5" s="11"/>
      <c r="X5" s="1269">
        <f>V5+1</f>
        <v>10</v>
      </c>
      <c r="Y5" s="11"/>
      <c r="Z5" s="1269">
        <f>X5+1</f>
        <v>11</v>
      </c>
      <c r="AA5" s="11"/>
      <c r="AB5" s="1269">
        <f>Z5+1</f>
        <v>12</v>
      </c>
      <c r="AC5" s="11"/>
      <c r="AD5" s="1269">
        <f>AB5+1</f>
        <v>13</v>
      </c>
      <c r="AE5" s="11"/>
      <c r="AF5" s="1269">
        <f>AD5+1</f>
        <v>14</v>
      </c>
      <c r="AG5" s="11"/>
      <c r="AH5" s="1269">
        <f>AF5+1</f>
        <v>15</v>
      </c>
      <c r="AI5" s="1269"/>
      <c r="AJ5" s="1252"/>
      <c r="AK5" s="911"/>
      <c r="AL5" s="911"/>
      <c r="AM5" s="911"/>
      <c r="AN5" s="911"/>
      <c r="AO5" s="911"/>
    </row>
    <row r="6" spans="1:41" ht="17.100000000000001" customHeight="1" x14ac:dyDescent="0.25">
      <c r="A6" s="911"/>
      <c r="B6" s="1251"/>
      <c r="C6" s="101"/>
      <c r="D6" s="1278" t="s">
        <v>1321</v>
      </c>
      <c r="E6" s="1278"/>
      <c r="F6" s="1273"/>
      <c r="G6" s="1272"/>
      <c r="H6" s="1274"/>
      <c r="I6" s="1272"/>
      <c r="J6" s="1273"/>
      <c r="K6" s="1272"/>
      <c r="L6" s="1273"/>
      <c r="M6" s="1272"/>
      <c r="N6" s="1273"/>
      <c r="O6" s="258"/>
      <c r="P6" s="1273"/>
      <c r="Q6" s="1275"/>
      <c r="R6" s="1273"/>
      <c r="S6" s="1272"/>
      <c r="T6" s="1273"/>
      <c r="U6" s="1272"/>
      <c r="V6" s="1273"/>
      <c r="W6" s="1272"/>
      <c r="X6" s="1273"/>
      <c r="Y6" s="1272"/>
      <c r="Z6" s="1273"/>
      <c r="AA6" s="1272"/>
      <c r="AB6" s="1273"/>
      <c r="AC6" s="1272"/>
      <c r="AD6" s="1273"/>
      <c r="AE6" s="1272"/>
      <c r="AF6" s="1273"/>
      <c r="AG6" s="1272"/>
      <c r="AH6" s="1273"/>
      <c r="AI6" s="1278"/>
      <c r="AJ6" s="1252"/>
      <c r="AK6" s="911"/>
      <c r="AL6" s="911"/>
      <c r="AM6" s="911"/>
      <c r="AN6" s="911"/>
      <c r="AO6" s="911"/>
    </row>
    <row r="7" spans="1:41" ht="17.100000000000001" customHeight="1" x14ac:dyDescent="0.25">
      <c r="A7" s="911"/>
      <c r="B7" s="1251"/>
      <c r="C7" s="101"/>
      <c r="D7" s="1278" t="s">
        <v>1329</v>
      </c>
      <c r="E7" s="1705" t="s">
        <v>439</v>
      </c>
      <c r="F7" s="1706">
        <v>10</v>
      </c>
      <c r="G7" s="1705" t="s">
        <v>439</v>
      </c>
      <c r="H7" s="1706">
        <v>10</v>
      </c>
      <c r="I7" s="1705" t="s">
        <v>439</v>
      </c>
      <c r="J7" s="1706">
        <v>10</v>
      </c>
      <c r="K7" s="1705" t="s">
        <v>439</v>
      </c>
      <c r="L7" s="1706">
        <v>10</v>
      </c>
      <c r="M7" s="1705" t="s">
        <v>439</v>
      </c>
      <c r="N7" s="1706">
        <v>10</v>
      </c>
      <c r="O7" s="1705" t="s">
        <v>439</v>
      </c>
      <c r="P7" s="1706">
        <v>10</v>
      </c>
      <c r="Q7" s="1705" t="s">
        <v>439</v>
      </c>
      <c r="R7" s="1706">
        <v>10</v>
      </c>
      <c r="S7" s="1705" t="s">
        <v>439</v>
      </c>
      <c r="T7" s="1706">
        <v>10</v>
      </c>
      <c r="U7" s="1705" t="s">
        <v>439</v>
      </c>
      <c r="V7" s="1706">
        <v>10</v>
      </c>
      <c r="W7" s="1705" t="s">
        <v>439</v>
      </c>
      <c r="X7" s="1706">
        <v>10</v>
      </c>
      <c r="Y7" s="1705" t="s">
        <v>439</v>
      </c>
      <c r="Z7" s="1706">
        <v>10</v>
      </c>
      <c r="AA7" s="1705" t="s">
        <v>439</v>
      </c>
      <c r="AB7" s="1706">
        <v>10</v>
      </c>
      <c r="AC7" s="1705" t="s">
        <v>439</v>
      </c>
      <c r="AD7" s="1706">
        <v>10</v>
      </c>
      <c r="AE7" s="1705" t="s">
        <v>439</v>
      </c>
      <c r="AF7" s="1706">
        <v>10</v>
      </c>
      <c r="AG7" s="1705" t="s">
        <v>439</v>
      </c>
      <c r="AH7" s="1706">
        <v>10</v>
      </c>
      <c r="AI7" s="1278"/>
      <c r="AJ7" s="1252"/>
      <c r="AK7" s="911"/>
      <c r="AL7" s="911"/>
      <c r="AM7" s="911"/>
      <c r="AN7" s="911"/>
      <c r="AO7" s="911"/>
    </row>
    <row r="8" spans="1:41" ht="17.100000000000001" customHeight="1" x14ac:dyDescent="0.25">
      <c r="A8" s="911"/>
      <c r="B8" s="1251"/>
      <c r="C8" s="101"/>
      <c r="D8" s="1278" t="s">
        <v>1322</v>
      </c>
      <c r="E8" s="1704" t="s">
        <v>176</v>
      </c>
      <c r="F8" s="1707">
        <f>HLOOKUP(F$5,Sales_SummaryTableB2_Detailed,26,FALSE)</f>
        <v>0</v>
      </c>
      <c r="G8" s="1704" t="s">
        <v>176</v>
      </c>
      <c r="H8" s="1707">
        <f>HLOOKUP(H$5,Sales_SummaryTableB2_Detailed,26,FALSE)</f>
        <v>0</v>
      </c>
      <c r="I8" s="1704" t="s">
        <v>176</v>
      </c>
      <c r="J8" s="1707">
        <f>HLOOKUP(J$5,Sales_SummaryTableB2_Detailed,26,FALSE)</f>
        <v>0</v>
      </c>
      <c r="K8" s="1704" t="s">
        <v>176</v>
      </c>
      <c r="L8" s="1707">
        <f>HLOOKUP(L$5,Sales_SummaryTableB2_Detailed,26,FALSE)</f>
        <v>0</v>
      </c>
      <c r="M8" s="1704" t="s">
        <v>176</v>
      </c>
      <c r="N8" s="1707">
        <f>HLOOKUP(N$5,Sales_SummaryTableB2_Detailed,26,FALSE)</f>
        <v>0</v>
      </c>
      <c r="O8" s="1704" t="s">
        <v>176</v>
      </c>
      <c r="P8" s="1707">
        <f>HLOOKUP(P$5,Sales_SummaryTableB2_Detailed,26,FALSE)</f>
        <v>0</v>
      </c>
      <c r="Q8" s="1704" t="s">
        <v>176</v>
      </c>
      <c r="R8" s="1707" t="e">
        <f>HLOOKUP(R$5,Sales_SummaryTableB2_Detailed,26,FALSE)</f>
        <v>#N/A</v>
      </c>
      <c r="S8" s="1704" t="s">
        <v>176</v>
      </c>
      <c r="T8" s="1707" t="e">
        <f>HLOOKUP(T$5,Sales_SummaryTableB2_Detailed,26,FALSE)</f>
        <v>#N/A</v>
      </c>
      <c r="U8" s="1704" t="s">
        <v>176</v>
      </c>
      <c r="V8" s="1707" t="e">
        <f>HLOOKUP(V$5,Sales_SummaryTableB2_Detailed,26,FALSE)</f>
        <v>#N/A</v>
      </c>
      <c r="W8" s="1704" t="s">
        <v>176</v>
      </c>
      <c r="X8" s="1707" t="e">
        <f>HLOOKUP(X$5,Sales_SummaryTableB2_Detailed,26,FALSE)</f>
        <v>#N/A</v>
      </c>
      <c r="Y8" s="1704" t="s">
        <v>176</v>
      </c>
      <c r="Z8" s="1707" t="e">
        <f>HLOOKUP(Z$5,Sales_SummaryTableB2_Detailed,26,FALSE)</f>
        <v>#N/A</v>
      </c>
      <c r="AA8" s="1704" t="s">
        <v>176</v>
      </c>
      <c r="AB8" s="1707" t="e">
        <f>HLOOKUP(AB$5,Sales_SummaryTableB2_Detailed,26,FALSE)</f>
        <v>#N/A</v>
      </c>
      <c r="AC8" s="1704" t="s">
        <v>176</v>
      </c>
      <c r="AD8" s="1707" t="e">
        <f>HLOOKUP(AD$5,Sales_SummaryTableB2_Detailed,26,FALSE)</f>
        <v>#N/A</v>
      </c>
      <c r="AE8" s="1704" t="s">
        <v>176</v>
      </c>
      <c r="AF8" s="1707" t="e">
        <f>HLOOKUP(AF$5,Sales_SummaryTableB2_Detailed,26,FALSE)</f>
        <v>#N/A</v>
      </c>
      <c r="AG8" s="1704" t="s">
        <v>176</v>
      </c>
      <c r="AH8" s="1707" t="e">
        <f>HLOOKUP(AH$5,Sales_SummaryTableB2_Detailed,26,FALSE)</f>
        <v>#N/A</v>
      </c>
      <c r="AI8" s="1278"/>
      <c r="AJ8" s="1252"/>
      <c r="AK8" s="911"/>
      <c r="AL8" s="911"/>
      <c r="AM8" s="911"/>
      <c r="AN8" s="911"/>
      <c r="AO8" s="911"/>
    </row>
    <row r="9" spans="1:41" ht="17.100000000000001" customHeight="1" x14ac:dyDescent="0.25">
      <c r="A9" s="1761"/>
      <c r="B9" s="1759"/>
      <c r="C9" s="802"/>
      <c r="D9" s="482" t="s">
        <v>1323</v>
      </c>
      <c r="E9" s="802"/>
      <c r="F9" s="1724">
        <f>F6/F7*F8</f>
        <v>0</v>
      </c>
      <c r="G9" s="802"/>
      <c r="H9" s="1724">
        <f>H6/H7*H8</f>
        <v>0</v>
      </c>
      <c r="I9" s="802"/>
      <c r="J9" s="1724">
        <f>J6/J7*J8</f>
        <v>0</v>
      </c>
      <c r="K9" s="802"/>
      <c r="L9" s="1724">
        <f>L6/L7*L8</f>
        <v>0</v>
      </c>
      <c r="M9" s="802"/>
      <c r="N9" s="1724">
        <f>N6/N7*N8</f>
        <v>0</v>
      </c>
      <c r="O9" s="802"/>
      <c r="P9" s="1724">
        <f>P6/P7*P8</f>
        <v>0</v>
      </c>
      <c r="Q9" s="802"/>
      <c r="R9" s="1724" t="e">
        <f>R6/R7*R8</f>
        <v>#N/A</v>
      </c>
      <c r="S9" s="802"/>
      <c r="T9" s="1724" t="e">
        <f>T6/T7*T8</f>
        <v>#N/A</v>
      </c>
      <c r="U9" s="802"/>
      <c r="V9" s="1724" t="e">
        <f>V6/V7*V8</f>
        <v>#N/A</v>
      </c>
      <c r="W9" s="802"/>
      <c r="X9" s="1724" t="e">
        <f>X6/X7*X8</f>
        <v>#N/A</v>
      </c>
      <c r="Y9" s="802"/>
      <c r="Z9" s="1724" t="e">
        <f>Z6/Z7*Z8</f>
        <v>#N/A</v>
      </c>
      <c r="AA9" s="802"/>
      <c r="AB9" s="1724" t="e">
        <f>AB6/AB7*AB8</f>
        <v>#N/A</v>
      </c>
      <c r="AC9" s="802"/>
      <c r="AD9" s="1724" t="e">
        <f>AD6/AD7*AD8</f>
        <v>#N/A</v>
      </c>
      <c r="AE9" s="802"/>
      <c r="AF9" s="1724" t="e">
        <f>AF6/AF7*AF8</f>
        <v>#N/A</v>
      </c>
      <c r="AG9" s="802"/>
      <c r="AH9" s="1724" t="e">
        <f>AH6/AH7*AH8</f>
        <v>#N/A</v>
      </c>
      <c r="AI9" s="482"/>
      <c r="AJ9" s="1760"/>
      <c r="AK9" s="1761"/>
      <c r="AL9" s="911"/>
      <c r="AM9" s="911"/>
      <c r="AN9" s="911"/>
      <c r="AO9" s="911"/>
    </row>
    <row r="10" spans="1:41" ht="17.100000000000001" customHeight="1" x14ac:dyDescent="0.25">
      <c r="A10" s="911"/>
      <c r="B10" s="1251"/>
      <c r="C10" s="101"/>
      <c r="D10" s="102" t="s">
        <v>1324</v>
      </c>
      <c r="E10" s="138" t="s">
        <v>176</v>
      </c>
      <c r="F10" s="1708">
        <v>0.5</v>
      </c>
      <c r="G10" s="138" t="s">
        <v>176</v>
      </c>
      <c r="H10" s="1708">
        <v>0.5</v>
      </c>
      <c r="I10" s="138" t="s">
        <v>176</v>
      </c>
      <c r="J10" s="1708">
        <v>0.5</v>
      </c>
      <c r="K10" s="138" t="s">
        <v>176</v>
      </c>
      <c r="L10" s="1708">
        <v>0.5</v>
      </c>
      <c r="M10" s="138" t="s">
        <v>176</v>
      </c>
      <c r="N10" s="1708">
        <v>0.5</v>
      </c>
      <c r="O10" s="138" t="s">
        <v>176</v>
      </c>
      <c r="P10" s="1708">
        <v>0.5</v>
      </c>
      <c r="Q10" s="138" t="s">
        <v>176</v>
      </c>
      <c r="R10" s="1708">
        <v>0.5</v>
      </c>
      <c r="S10" s="138" t="s">
        <v>176</v>
      </c>
      <c r="T10" s="1708">
        <v>0.5</v>
      </c>
      <c r="U10" s="138" t="s">
        <v>176</v>
      </c>
      <c r="V10" s="1708">
        <v>0.5</v>
      </c>
      <c r="W10" s="138" t="s">
        <v>176</v>
      </c>
      <c r="X10" s="1708">
        <v>0.5</v>
      </c>
      <c r="Y10" s="138" t="s">
        <v>176</v>
      </c>
      <c r="Z10" s="1708">
        <v>0.5</v>
      </c>
      <c r="AA10" s="138" t="s">
        <v>176</v>
      </c>
      <c r="AB10" s="1708">
        <v>0.5</v>
      </c>
      <c r="AC10" s="138" t="s">
        <v>176</v>
      </c>
      <c r="AD10" s="1708">
        <v>0.5</v>
      </c>
      <c r="AE10" s="138" t="s">
        <v>176</v>
      </c>
      <c r="AF10" s="1708">
        <v>0.5</v>
      </c>
      <c r="AG10" s="138" t="s">
        <v>176</v>
      </c>
      <c r="AH10" s="1708">
        <v>0.5</v>
      </c>
      <c r="AI10" s="1278"/>
      <c r="AJ10" s="1252"/>
      <c r="AK10" s="4217" t="s">
        <v>1328</v>
      </c>
      <c r="AL10" s="911"/>
      <c r="AM10" s="911"/>
      <c r="AN10" s="911"/>
      <c r="AO10" s="911"/>
    </row>
    <row r="11" spans="1:41" ht="17.100000000000001" customHeight="1" x14ac:dyDescent="0.25">
      <c r="A11" s="1761"/>
      <c r="B11" s="1759"/>
      <c r="C11" s="802"/>
      <c r="D11" s="482" t="s">
        <v>1325</v>
      </c>
      <c r="E11" s="802"/>
      <c r="F11" s="1762">
        <f>F9*F10</f>
        <v>0</v>
      </c>
      <c r="G11" s="802"/>
      <c r="H11" s="1762">
        <f>H9*H10</f>
        <v>0</v>
      </c>
      <c r="I11" s="802"/>
      <c r="J11" s="1762">
        <f>J9*J10</f>
        <v>0</v>
      </c>
      <c r="K11" s="802"/>
      <c r="L11" s="1762">
        <f>L9*L10</f>
        <v>0</v>
      </c>
      <c r="M11" s="802"/>
      <c r="N11" s="1762">
        <f>N9*N10</f>
        <v>0</v>
      </c>
      <c r="O11" s="802"/>
      <c r="P11" s="1762">
        <f>P9*P10</f>
        <v>0</v>
      </c>
      <c r="Q11" s="802"/>
      <c r="R11" s="1762" t="e">
        <f>R9*R10</f>
        <v>#N/A</v>
      </c>
      <c r="S11" s="802"/>
      <c r="T11" s="1762" t="e">
        <f>T9*T10</f>
        <v>#N/A</v>
      </c>
      <c r="U11" s="802"/>
      <c r="V11" s="1762" t="e">
        <f>V9*V10</f>
        <v>#N/A</v>
      </c>
      <c r="W11" s="802"/>
      <c r="X11" s="1762" t="e">
        <f>X9*X10</f>
        <v>#N/A</v>
      </c>
      <c r="Y11" s="802"/>
      <c r="Z11" s="1762" t="e">
        <f>Z9*Z10</f>
        <v>#N/A</v>
      </c>
      <c r="AA11" s="802"/>
      <c r="AB11" s="1762" t="e">
        <f>AB9*AB10</f>
        <v>#N/A</v>
      </c>
      <c r="AC11" s="802"/>
      <c r="AD11" s="1762" t="e">
        <f>AD9*AD10</f>
        <v>#N/A</v>
      </c>
      <c r="AE11" s="802"/>
      <c r="AF11" s="1762" t="e">
        <f>AF9*AF10</f>
        <v>#N/A</v>
      </c>
      <c r="AG11" s="802"/>
      <c r="AH11" s="1762" t="e">
        <f>AH9*AH10</f>
        <v>#N/A</v>
      </c>
      <c r="AI11" s="482"/>
      <c r="AJ11" s="1760"/>
      <c r="AK11" s="4217"/>
      <c r="AL11" s="911"/>
      <c r="AM11" s="911"/>
      <c r="AN11" s="911"/>
      <c r="AO11" s="911"/>
    </row>
    <row r="12" spans="1:41" ht="17.100000000000001" customHeight="1" x14ac:dyDescent="0.25">
      <c r="A12" s="911"/>
      <c r="B12" s="1251"/>
      <c r="C12" s="101"/>
      <c r="D12" s="1278" t="s">
        <v>1326</v>
      </c>
      <c r="E12" s="1704" t="s">
        <v>176</v>
      </c>
      <c r="F12" s="1276"/>
      <c r="G12" s="1275" t="s">
        <v>176</v>
      </c>
      <c r="H12" s="1276"/>
      <c r="I12" s="1275" t="s">
        <v>176</v>
      </c>
      <c r="J12" s="1276"/>
      <c r="K12" s="1275" t="s">
        <v>176</v>
      </c>
      <c r="L12" s="1276"/>
      <c r="M12" s="1275" t="s">
        <v>176</v>
      </c>
      <c r="N12" s="1276"/>
      <c r="O12" s="1275" t="s">
        <v>176</v>
      </c>
      <c r="P12" s="1276"/>
      <c r="Q12" s="1275" t="s">
        <v>176</v>
      </c>
      <c r="R12" s="1276"/>
      <c r="S12" s="1275" t="s">
        <v>176</v>
      </c>
      <c r="T12" s="1276"/>
      <c r="U12" s="1275" t="s">
        <v>176</v>
      </c>
      <c r="V12" s="1276"/>
      <c r="W12" s="1275" t="s">
        <v>176</v>
      </c>
      <c r="X12" s="1276"/>
      <c r="Y12" s="1275" t="s">
        <v>176</v>
      </c>
      <c r="Z12" s="1276"/>
      <c r="AA12" s="1275" t="s">
        <v>176</v>
      </c>
      <c r="AB12" s="1276"/>
      <c r="AC12" s="1275" t="s">
        <v>176</v>
      </c>
      <c r="AD12" s="1276"/>
      <c r="AE12" s="1275" t="s">
        <v>176</v>
      </c>
      <c r="AF12" s="1276"/>
      <c r="AG12" s="1275" t="s">
        <v>176</v>
      </c>
      <c r="AH12" s="1276"/>
      <c r="AI12" s="1278"/>
      <c r="AJ12" s="1252"/>
      <c r="AK12" s="911"/>
      <c r="AL12" s="911"/>
      <c r="AM12" s="911"/>
      <c r="AN12" s="911"/>
      <c r="AO12" s="911"/>
    </row>
    <row r="13" spans="1:41" ht="17.100000000000001" customHeight="1" thickBot="1" x14ac:dyDescent="0.3">
      <c r="A13" s="911"/>
      <c r="B13" s="1251"/>
      <c r="C13" s="101"/>
      <c r="D13" s="1188" t="s">
        <v>1332</v>
      </c>
      <c r="E13" s="1214"/>
      <c r="F13" s="1709">
        <f>IF(ISERROR(-F11*F12),"",-F11*F12)</f>
        <v>0</v>
      </c>
      <c r="G13" s="1214"/>
      <c r="H13" s="1709">
        <f>IF(ISERROR(-H11*H12),"",-H11*H12)</f>
        <v>0</v>
      </c>
      <c r="I13" s="1214"/>
      <c r="J13" s="1709">
        <f>IF(ISERROR(-J11*J12),"",-J11*J12)</f>
        <v>0</v>
      </c>
      <c r="K13" s="1214"/>
      <c r="L13" s="1709">
        <f>IF(ISERROR(-L11*L12),"",-L11*L12)</f>
        <v>0</v>
      </c>
      <c r="M13" s="1214"/>
      <c r="N13" s="1709">
        <f>IF(ISERROR(-N11*N12),"",-N11*N12)</f>
        <v>0</v>
      </c>
      <c r="O13" s="1188"/>
      <c r="P13" s="1709">
        <f>IF(ISERROR(-P11*P12),"",-P11*P12)</f>
        <v>0</v>
      </c>
      <c r="Q13" s="1710"/>
      <c r="R13" s="1709" t="str">
        <f>IF(ISERROR(-R11*R12),"",-R11*R12)</f>
        <v/>
      </c>
      <c r="S13" s="1188"/>
      <c r="T13" s="1709" t="str">
        <f>IF(ISERROR(-T11*T12),"",-T11*T12)</f>
        <v/>
      </c>
      <c r="U13" s="1188"/>
      <c r="V13" s="1709" t="str">
        <f>IF(ISERROR(-V11*V12),"",-V11*V12)</f>
        <v/>
      </c>
      <c r="W13" s="1188"/>
      <c r="X13" s="1709" t="str">
        <f>IF(ISERROR(-X11*X12),"",-X11*X12)</f>
        <v/>
      </c>
      <c r="Y13" s="1188"/>
      <c r="Z13" s="1709" t="str">
        <f>IF(ISERROR(-Z11*Z12),"",-Z11*Z12)</f>
        <v/>
      </c>
      <c r="AA13" s="1188"/>
      <c r="AB13" s="1709" t="str">
        <f>IF(ISERROR(-AB11*AB12),"",-AB11*AB12)</f>
        <v/>
      </c>
      <c r="AC13" s="1188"/>
      <c r="AD13" s="1709" t="str">
        <f>IF(ISERROR(-AD11*AD12),"",-AD11*AD12)</f>
        <v/>
      </c>
      <c r="AE13" s="1188"/>
      <c r="AF13" s="1709" t="str">
        <f>IF(ISERROR(-AF11*AF12),"",-AF11*AF12)</f>
        <v/>
      </c>
      <c r="AG13" s="1188"/>
      <c r="AH13" s="1709" t="str">
        <f>IF(ISERROR(-AH11*AH12),"",-AH11*AH12)</f>
        <v/>
      </c>
      <c r="AI13" s="1278"/>
      <c r="AJ13" s="1252"/>
      <c r="AK13" s="911"/>
      <c r="AL13" s="911"/>
      <c r="AM13" s="911"/>
      <c r="AN13" s="911"/>
      <c r="AO13" s="911"/>
    </row>
    <row r="14" spans="1:41" ht="15.95" customHeight="1" thickBot="1" x14ac:dyDescent="0.3">
      <c r="A14" s="911"/>
      <c r="B14" s="1253"/>
      <c r="C14" s="1254"/>
      <c r="D14" s="741" t="s">
        <v>1617</v>
      </c>
      <c r="E14" s="1270"/>
      <c r="F14" s="1271"/>
      <c r="G14" s="1271"/>
      <c r="H14" s="1271"/>
      <c r="I14" s="1271"/>
      <c r="J14" s="1271"/>
      <c r="K14" s="1271"/>
      <c r="L14" s="1271"/>
      <c r="M14" s="1271"/>
      <c r="N14" s="1271"/>
      <c r="O14" s="1271"/>
      <c r="P14" s="1271"/>
      <c r="Q14" s="1271"/>
      <c r="R14" s="1270"/>
      <c r="S14" s="1270"/>
      <c r="T14" s="1270"/>
      <c r="U14" s="1270"/>
      <c r="V14" s="1270"/>
      <c r="W14" s="1270"/>
      <c r="X14" s="1270"/>
      <c r="Y14" s="1270"/>
      <c r="Z14" s="1270"/>
      <c r="AA14" s="1270"/>
      <c r="AB14" s="1270"/>
      <c r="AC14" s="1270"/>
      <c r="AD14" s="1270"/>
      <c r="AE14" s="1270"/>
      <c r="AF14" s="1270"/>
      <c r="AG14" s="1270"/>
      <c r="AH14" s="1270"/>
      <c r="AI14" s="1254"/>
      <c r="AJ14" s="1255"/>
      <c r="AK14" s="911"/>
      <c r="AL14" s="911"/>
      <c r="AM14" s="911"/>
      <c r="AN14" s="911"/>
      <c r="AO14" s="911"/>
    </row>
    <row r="15" spans="1:41" ht="15" customHeight="1" x14ac:dyDescent="0.25">
      <c r="A15" s="911"/>
      <c r="B15" s="911"/>
      <c r="C15" s="911"/>
      <c r="D15" s="911"/>
      <c r="E15" s="911"/>
      <c r="F15" s="1256"/>
      <c r="G15" s="1256"/>
      <c r="H15" s="1256"/>
      <c r="I15" s="1256"/>
      <c r="J15" s="1256"/>
      <c r="K15" s="1256"/>
      <c r="L15" s="1256"/>
      <c r="M15" s="1256"/>
      <c r="N15" s="1256"/>
      <c r="O15" s="1256"/>
      <c r="P15" s="1256"/>
      <c r="Q15" s="1256"/>
      <c r="R15" s="911"/>
      <c r="S15" s="911"/>
      <c r="T15" s="911"/>
      <c r="U15" s="911"/>
      <c r="V15" s="911"/>
      <c r="W15" s="911"/>
      <c r="X15" s="911"/>
      <c r="Y15" s="911"/>
      <c r="Z15" s="911"/>
      <c r="AA15" s="911"/>
      <c r="AB15" s="911"/>
      <c r="AC15" s="911"/>
      <c r="AD15" s="911"/>
      <c r="AE15" s="911"/>
      <c r="AF15" s="911"/>
      <c r="AG15" s="911"/>
      <c r="AH15" s="911"/>
      <c r="AI15" s="911"/>
      <c r="AJ15" s="911"/>
      <c r="AK15" s="911"/>
      <c r="AL15" s="911"/>
      <c r="AM15" s="911"/>
      <c r="AN15" s="911"/>
      <c r="AO15" s="911"/>
    </row>
    <row r="16" spans="1:41" ht="17.25" customHeight="1" thickBot="1" x14ac:dyDescent="0.35">
      <c r="A16" s="911"/>
      <c r="B16" s="911"/>
      <c r="C16" s="911"/>
      <c r="D16" s="17" t="s">
        <v>1334</v>
      </c>
      <c r="E16" s="17"/>
      <c r="F16" s="1256"/>
      <c r="G16" s="1256"/>
      <c r="H16" s="1256"/>
      <c r="I16" s="1256"/>
      <c r="J16" s="1256"/>
      <c r="K16" s="1256"/>
      <c r="L16" s="1256"/>
      <c r="M16" s="1256"/>
      <c r="N16" s="1256"/>
      <c r="O16" s="1256"/>
      <c r="P16" s="1256"/>
      <c r="Q16" s="1256"/>
      <c r="R16" s="911"/>
      <c r="S16" s="911"/>
      <c r="T16" s="911"/>
      <c r="U16" s="911"/>
      <c r="V16" s="911"/>
      <c r="W16" s="911"/>
      <c r="X16" s="911"/>
      <c r="Y16" s="911"/>
      <c r="Z16" s="911"/>
      <c r="AA16" s="911"/>
      <c r="AB16" s="911"/>
      <c r="AC16" s="911"/>
      <c r="AD16" s="911"/>
      <c r="AE16" s="911"/>
      <c r="AF16" s="911"/>
      <c r="AG16" s="911"/>
      <c r="AH16" s="911"/>
      <c r="AI16" s="911"/>
      <c r="AJ16" s="911"/>
      <c r="AK16" s="911"/>
      <c r="AL16" s="911"/>
      <c r="AM16" s="911"/>
      <c r="AN16" s="911"/>
      <c r="AO16" s="911"/>
    </row>
    <row r="17" spans="1:41" ht="14.25" customHeight="1" x14ac:dyDescent="0.25">
      <c r="A17" s="911"/>
      <c r="B17" s="1248"/>
      <c r="C17" s="1249"/>
      <c r="D17" s="1249"/>
      <c r="E17" s="1249"/>
      <c r="F17" s="1257"/>
      <c r="G17" s="1257"/>
      <c r="H17" s="1257"/>
      <c r="I17" s="1257"/>
      <c r="J17" s="1257"/>
      <c r="K17" s="1257"/>
      <c r="L17" s="1257"/>
      <c r="M17" s="1257"/>
      <c r="N17" s="1257"/>
      <c r="O17" s="1257"/>
      <c r="P17" s="1257"/>
      <c r="Q17" s="1257"/>
      <c r="R17" s="1249"/>
      <c r="S17" s="1249"/>
      <c r="T17" s="1249"/>
      <c r="U17" s="1249"/>
      <c r="V17" s="1249"/>
      <c r="W17" s="1249"/>
      <c r="X17" s="1249"/>
      <c r="Y17" s="1249"/>
      <c r="Z17" s="1249"/>
      <c r="AA17" s="1249"/>
      <c r="AB17" s="1249"/>
      <c r="AC17" s="1249"/>
      <c r="AD17" s="1249"/>
      <c r="AE17" s="1249"/>
      <c r="AF17" s="1249"/>
      <c r="AG17" s="1249"/>
      <c r="AH17" s="1249"/>
      <c r="AI17" s="1249"/>
      <c r="AJ17" s="1250"/>
      <c r="AK17" s="911"/>
      <c r="AL17" s="911"/>
      <c r="AM17" s="911"/>
      <c r="AN17" s="911"/>
      <c r="AO17" s="911"/>
    </row>
    <row r="18" spans="1:41" ht="16.5" customHeight="1" x14ac:dyDescent="0.3">
      <c r="A18" s="911"/>
      <c r="B18" s="1251"/>
      <c r="C18" s="1080"/>
      <c r="D18" s="246" t="str">
        <f>CONCATENATE("NOI Location Adjustment - ",dpSales_ComponentNameB2," Component")</f>
        <v>NOI Location Adjustment -  Component</v>
      </c>
      <c r="E18" s="246"/>
      <c r="F18" s="1258"/>
      <c r="G18" s="1258"/>
      <c r="H18" s="1258"/>
      <c r="I18" s="1258"/>
      <c r="J18" s="1258"/>
      <c r="K18" s="1258"/>
      <c r="L18" s="1258"/>
      <c r="M18" s="1258"/>
      <c r="N18" s="1258"/>
      <c r="O18" s="1258"/>
      <c r="P18" s="1258"/>
      <c r="Q18" s="1258"/>
      <c r="R18" s="1080"/>
      <c r="S18" s="1080"/>
      <c r="T18" s="1080"/>
      <c r="U18" s="1080"/>
      <c r="V18" s="1080"/>
      <c r="W18" s="1080"/>
      <c r="X18" s="1080"/>
      <c r="Y18" s="1080"/>
      <c r="Z18" s="1080"/>
      <c r="AA18" s="1080"/>
      <c r="AB18" s="1080"/>
      <c r="AC18" s="1080"/>
      <c r="AD18" s="1080"/>
      <c r="AE18" s="1080"/>
      <c r="AF18" s="1080"/>
      <c r="AG18" s="1080"/>
      <c r="AH18" s="1080"/>
      <c r="AI18" s="1080"/>
      <c r="AJ18" s="1252"/>
      <c r="AK18" s="911"/>
      <c r="AL18" s="911"/>
      <c r="AM18" s="911"/>
      <c r="AN18" s="911"/>
      <c r="AO18" s="911"/>
    </row>
    <row r="19" spans="1:41" ht="17.100000000000001" customHeight="1" x14ac:dyDescent="0.25">
      <c r="A19" s="911"/>
      <c r="B19" s="1251"/>
      <c r="C19" s="911"/>
      <c r="D19" s="12" t="s">
        <v>1100</v>
      </c>
      <c r="E19" s="12"/>
      <c r="F19" s="1269">
        <v>1</v>
      </c>
      <c r="G19" s="1269"/>
      <c r="H19" s="1269">
        <f>F19+1</f>
        <v>2</v>
      </c>
      <c r="I19" s="1269"/>
      <c r="J19" s="1269">
        <f>H19+1</f>
        <v>3</v>
      </c>
      <c r="K19" s="1269"/>
      <c r="L19" s="1269">
        <f>J19+1</f>
        <v>4</v>
      </c>
      <c r="M19" s="1269"/>
      <c r="N19" s="1269">
        <f>L19+1</f>
        <v>5</v>
      </c>
      <c r="O19" s="11"/>
      <c r="P19" s="1269">
        <f>N19+1</f>
        <v>6</v>
      </c>
      <c r="Q19" s="124"/>
      <c r="R19" s="1269">
        <f>P19+1</f>
        <v>7</v>
      </c>
      <c r="S19" s="11"/>
      <c r="T19" s="1269">
        <f>R19+1</f>
        <v>8</v>
      </c>
      <c r="U19" s="11"/>
      <c r="V19" s="1269">
        <f>T19+1</f>
        <v>9</v>
      </c>
      <c r="W19" s="11"/>
      <c r="X19" s="1269">
        <f>V19+1</f>
        <v>10</v>
      </c>
      <c r="Y19" s="11"/>
      <c r="Z19" s="1269">
        <f>X19+1</f>
        <v>11</v>
      </c>
      <c r="AA19" s="11"/>
      <c r="AB19" s="1269">
        <f>Z19+1</f>
        <v>12</v>
      </c>
      <c r="AC19" s="11"/>
      <c r="AD19" s="1269">
        <f>AB19+1</f>
        <v>13</v>
      </c>
      <c r="AE19" s="11"/>
      <c r="AF19" s="1269">
        <f>AD19+1</f>
        <v>14</v>
      </c>
      <c r="AG19" s="11"/>
      <c r="AH19" s="1269">
        <f>AF19+1</f>
        <v>15</v>
      </c>
      <c r="AI19" s="911"/>
      <c r="AJ19" s="1252"/>
      <c r="AK19" s="911"/>
      <c r="AL19" s="911"/>
      <c r="AM19" s="911"/>
      <c r="AN19" s="911"/>
      <c r="AO19" s="911"/>
    </row>
    <row r="20" spans="1:41" ht="17.100000000000001" customHeight="1" x14ac:dyDescent="0.25">
      <c r="A20" s="911"/>
      <c r="B20" s="1251"/>
      <c r="C20" s="1278"/>
      <c r="D20" s="1278" t="s">
        <v>1311</v>
      </c>
      <c r="E20" s="1278"/>
      <c r="F20" s="1361">
        <f ca="1">_xlfn.SINGLE(Income_DirectCap_NOI_PSF)</f>
        <v>0.65</v>
      </c>
      <c r="G20" s="1361"/>
      <c r="H20" s="1361">
        <f ca="1">_xlfn.SINGLE(Income_DirectCap_NOI_PSF)</f>
        <v>0.65</v>
      </c>
      <c r="I20" s="1361"/>
      <c r="J20" s="1361">
        <f ca="1">_xlfn.SINGLE(Income_DirectCap_NOI_PSF)</f>
        <v>0.65</v>
      </c>
      <c r="K20" s="1361"/>
      <c r="L20" s="1361">
        <f ca="1">_xlfn.SINGLE(Income_DirectCap_NOI_PSF)</f>
        <v>0.65</v>
      </c>
      <c r="M20" s="1361"/>
      <c r="N20" s="1361">
        <f ca="1">_xlfn.SINGLE(Income_DirectCap_NOI_PSF)</f>
        <v>0.65</v>
      </c>
      <c r="O20" s="1361"/>
      <c r="P20" s="1361">
        <f ca="1">_xlfn.SINGLE(Income_DirectCap_NOI_PSF)</f>
        <v>0.65</v>
      </c>
      <c r="Q20" s="1361"/>
      <c r="R20" s="1361">
        <f ca="1">_xlfn.SINGLE(Income_DirectCap_NOI_PSF)</f>
        <v>0.65</v>
      </c>
      <c r="S20" s="1711"/>
      <c r="T20" s="1361">
        <f ca="1">_xlfn.SINGLE(Income_DirectCap_NOI_PSF)</f>
        <v>0.65</v>
      </c>
      <c r="U20" s="1711"/>
      <c r="V20" s="1361">
        <f ca="1">_xlfn.SINGLE(Income_DirectCap_NOI_PSF)</f>
        <v>0.65</v>
      </c>
      <c r="W20" s="1711"/>
      <c r="X20" s="1361">
        <f ca="1">_xlfn.SINGLE(Income_DirectCap_NOI_PSF)</f>
        <v>0.65</v>
      </c>
      <c r="Y20" s="1711"/>
      <c r="Z20" s="1361">
        <f ca="1">_xlfn.SINGLE(Income_DirectCap_NOI_PSF)</f>
        <v>0.65</v>
      </c>
      <c r="AA20" s="1711"/>
      <c r="AB20" s="1361">
        <f ca="1">_xlfn.SINGLE(Income_DirectCap_NOI_PSF)</f>
        <v>0.65</v>
      </c>
      <c r="AC20" s="1711"/>
      <c r="AD20" s="1361">
        <f ca="1">_xlfn.SINGLE(Income_DirectCap_NOI_PSF)</f>
        <v>0.65</v>
      </c>
      <c r="AE20" s="1711"/>
      <c r="AF20" s="1361">
        <f ca="1">_xlfn.SINGLE(Income_DirectCap_NOI_PSF)</f>
        <v>0.65</v>
      </c>
      <c r="AG20" s="1711"/>
      <c r="AH20" s="1361">
        <f ca="1">_xlfn.SINGLE(Income_DirectCap_NOI_PSF)</f>
        <v>0.65</v>
      </c>
      <c r="AI20" s="1278"/>
      <c r="AJ20" s="1252"/>
      <c r="AK20" s="911"/>
      <c r="AL20" s="911"/>
      <c r="AM20" s="911"/>
      <c r="AN20" s="911"/>
      <c r="AO20" s="911"/>
    </row>
    <row r="21" spans="1:41" ht="17.100000000000001" customHeight="1" x14ac:dyDescent="0.25">
      <c r="A21" s="911"/>
      <c r="B21" s="1251"/>
      <c r="C21" s="1278"/>
      <c r="D21" s="1278" t="s">
        <v>1310</v>
      </c>
      <c r="E21" s="1278"/>
      <c r="F21" s="1361">
        <f>HLOOKUP(F$5,Sales_SummaryTableB2_Detailed,44,FALSE)</f>
        <v>0</v>
      </c>
      <c r="G21" s="1361"/>
      <c r="H21" s="1361">
        <f>HLOOKUP(H$5,Sales_SummaryTableB2_Detailed,44,FALSE)</f>
        <v>0</v>
      </c>
      <c r="I21" s="1361"/>
      <c r="J21" s="1361">
        <f>HLOOKUP(J$5,Sales_SummaryTableB2_Detailed,44,FALSE)</f>
        <v>0</v>
      </c>
      <c r="K21" s="1361"/>
      <c r="L21" s="1361">
        <f>HLOOKUP(L$5,Sales_SummaryTableB2_Detailed,44,FALSE)</f>
        <v>0</v>
      </c>
      <c r="M21" s="1361"/>
      <c r="N21" s="1361">
        <f>HLOOKUP(N$5,Sales_SummaryTableB2_Detailed,44,FALSE)</f>
        <v>0</v>
      </c>
      <c r="O21" s="1361"/>
      <c r="P21" s="1361">
        <f>HLOOKUP(P$5,Sales_SummaryTableB2_Detailed,44,FALSE)</f>
        <v>0</v>
      </c>
      <c r="Q21" s="1361"/>
      <c r="R21" s="1361" t="e">
        <f>HLOOKUP(R$5,Sales_SummaryTableB2_Detailed,44,FALSE)</f>
        <v>#N/A</v>
      </c>
      <c r="S21" s="1711"/>
      <c r="T21" s="1361" t="e">
        <f>HLOOKUP(T$5,Sales_SummaryTableB2_Detailed,44,FALSE)</f>
        <v>#N/A</v>
      </c>
      <c r="U21" s="1711"/>
      <c r="V21" s="1361" t="e">
        <f>HLOOKUP(V$5,Sales_SummaryTableB2_Detailed,44,FALSE)</f>
        <v>#N/A</v>
      </c>
      <c r="W21" s="1711"/>
      <c r="X21" s="1361" t="e">
        <f>HLOOKUP(X$5,Sales_SummaryTableB2_Detailed,44,FALSE)</f>
        <v>#N/A</v>
      </c>
      <c r="Y21" s="1711"/>
      <c r="Z21" s="1361" t="e">
        <f>HLOOKUP(Z$5,Sales_SummaryTableB2_Detailed,44,FALSE)</f>
        <v>#N/A</v>
      </c>
      <c r="AA21" s="1711"/>
      <c r="AB21" s="1361" t="e">
        <f>HLOOKUP(AB$5,Sales_SummaryTableB2_Detailed,44,FALSE)</f>
        <v>#N/A</v>
      </c>
      <c r="AC21" s="1711"/>
      <c r="AD21" s="1361" t="e">
        <f>HLOOKUP(AD$5,Sales_SummaryTableB2_Detailed,44,FALSE)</f>
        <v>#N/A</v>
      </c>
      <c r="AE21" s="1711"/>
      <c r="AF21" s="1361" t="e">
        <f>HLOOKUP(AF$5,Sales_SummaryTableB2_Detailed,44,FALSE)</f>
        <v>#N/A</v>
      </c>
      <c r="AG21" s="1711"/>
      <c r="AH21" s="1361" t="e">
        <f>HLOOKUP(AH$5,Sales_SummaryTableB2_Detailed,44,FALSE)</f>
        <v>#N/A</v>
      </c>
      <c r="AI21" s="1278"/>
      <c r="AJ21" s="1252"/>
      <c r="AK21" s="911"/>
      <c r="AL21" s="911"/>
      <c r="AM21" s="911"/>
      <c r="AN21" s="911"/>
      <c r="AO21" s="911"/>
    </row>
    <row r="22" spans="1:41" ht="17.100000000000001" customHeight="1" x14ac:dyDescent="0.25">
      <c r="A22" s="41">
        <v>1</v>
      </c>
      <c r="B22" s="1251"/>
      <c r="C22" s="1278"/>
      <c r="D22" s="1278" t="s">
        <v>553</v>
      </c>
      <c r="E22" s="1278"/>
      <c r="F22" s="1712" t="e">
        <f ca="1">(F20-F21)/F21</f>
        <v>#DIV/0!</v>
      </c>
      <c r="G22" s="1704"/>
      <c r="H22" s="1712" t="e">
        <f ca="1">(H20-H21)/H21</f>
        <v>#DIV/0!</v>
      </c>
      <c r="I22" s="1704"/>
      <c r="J22" s="1712" t="e">
        <f ca="1">(J20-J21)/J21</f>
        <v>#DIV/0!</v>
      </c>
      <c r="K22" s="1704"/>
      <c r="L22" s="1712" t="e">
        <f ca="1">(L20-L21)/L21</f>
        <v>#DIV/0!</v>
      </c>
      <c r="M22" s="1704"/>
      <c r="N22" s="1712" t="e">
        <f ca="1">(N20-N21)/N21</f>
        <v>#DIV/0!</v>
      </c>
      <c r="O22" s="1704"/>
      <c r="P22" s="1712" t="e">
        <f ca="1">(P20-P21)/P21</f>
        <v>#DIV/0!</v>
      </c>
      <c r="Q22" s="1704"/>
      <c r="R22" s="1712" t="e">
        <f ca="1">(R20-R21)/R21</f>
        <v>#N/A</v>
      </c>
      <c r="S22" s="1278"/>
      <c r="T22" s="1712" t="e">
        <f ca="1">(T20-T21)/T21</f>
        <v>#N/A</v>
      </c>
      <c r="U22" s="1278"/>
      <c r="V22" s="1712" t="e">
        <f ca="1">(V20-V21)/V21</f>
        <v>#N/A</v>
      </c>
      <c r="W22" s="1278"/>
      <c r="X22" s="1712" t="e">
        <f ca="1">(X20-X21)/X21</f>
        <v>#N/A</v>
      </c>
      <c r="Y22" s="1278"/>
      <c r="Z22" s="1712" t="e">
        <f ca="1">(Z20-Z21)/Z21</f>
        <v>#N/A</v>
      </c>
      <c r="AA22" s="1278"/>
      <c r="AB22" s="1712" t="e">
        <f ca="1">(AB20-AB21)/AB21</f>
        <v>#N/A</v>
      </c>
      <c r="AC22" s="1278"/>
      <c r="AD22" s="1712" t="e">
        <f ca="1">(AD20-AD21)/AD21</f>
        <v>#N/A</v>
      </c>
      <c r="AE22" s="1278"/>
      <c r="AF22" s="1712" t="e">
        <f ca="1">(AF20-AF21)/AF21</f>
        <v>#N/A</v>
      </c>
      <c r="AG22" s="1278"/>
      <c r="AH22" s="1712" t="e">
        <f ca="1">(AH20-AH21)/AH21</f>
        <v>#N/A</v>
      </c>
      <c r="AI22" s="1278"/>
      <c r="AJ22" s="1252"/>
      <c r="AK22" s="911"/>
      <c r="AL22" s="911"/>
      <c r="AM22" s="911"/>
      <c r="AN22" s="911"/>
      <c r="AO22" s="911"/>
    </row>
    <row r="23" spans="1:41" ht="17.100000000000001" customHeight="1" x14ac:dyDescent="0.25">
      <c r="A23" s="41">
        <f>IF(AVERAGE(Sales_LocationNOI_VarianceAttributeLoc_2)=1,0,1)</f>
        <v>0</v>
      </c>
      <c r="B23" s="1251"/>
      <c r="C23" s="1278"/>
      <c r="D23" s="1278" t="s">
        <v>1312</v>
      </c>
      <c r="E23" s="1278"/>
      <c r="F23" s="1279">
        <v>1</v>
      </c>
      <c r="G23" s="1279"/>
      <c r="H23" s="1279">
        <v>1</v>
      </c>
      <c r="I23" s="1279"/>
      <c r="J23" s="1279">
        <v>1</v>
      </c>
      <c r="K23" s="1279"/>
      <c r="L23" s="1279">
        <v>1</v>
      </c>
      <c r="M23" s="1279"/>
      <c r="N23" s="1279">
        <v>1</v>
      </c>
      <c r="O23" s="1279"/>
      <c r="P23" s="1279">
        <v>1</v>
      </c>
      <c r="Q23" s="1279"/>
      <c r="R23" s="1279">
        <v>1</v>
      </c>
      <c r="S23" s="1280"/>
      <c r="T23" s="1279">
        <v>1</v>
      </c>
      <c r="U23" s="1280"/>
      <c r="V23" s="1279">
        <v>1</v>
      </c>
      <c r="W23" s="1280"/>
      <c r="X23" s="1279">
        <v>1</v>
      </c>
      <c r="Y23" s="1280"/>
      <c r="Z23" s="1279">
        <v>1</v>
      </c>
      <c r="AA23" s="1280"/>
      <c r="AB23" s="1279">
        <v>1</v>
      </c>
      <c r="AC23" s="1280"/>
      <c r="AD23" s="1279">
        <v>1</v>
      </c>
      <c r="AE23" s="1280"/>
      <c r="AF23" s="1279">
        <v>1</v>
      </c>
      <c r="AG23" s="1280"/>
      <c r="AH23" s="1279">
        <v>1</v>
      </c>
      <c r="AI23" s="1278"/>
      <c r="AJ23" s="1252"/>
      <c r="AK23" s="4218" t="s">
        <v>1361</v>
      </c>
      <c r="AL23" s="911"/>
      <c r="AM23" s="911"/>
      <c r="AN23" s="911"/>
      <c r="AO23" s="911"/>
    </row>
    <row r="24" spans="1:41" ht="17.100000000000001" customHeight="1" x14ac:dyDescent="0.25">
      <c r="A24" s="41">
        <f>A23</f>
        <v>0</v>
      </c>
      <c r="B24" s="1251"/>
      <c r="C24" s="1278"/>
      <c r="D24" s="1713" t="s">
        <v>1332</v>
      </c>
      <c r="E24" s="1713"/>
      <c r="F24" s="1714" t="e">
        <f ca="1">F22*F23</f>
        <v>#DIV/0!</v>
      </c>
      <c r="G24" s="1715"/>
      <c r="H24" s="1714" t="e">
        <f ca="1">H22*H23</f>
        <v>#DIV/0!</v>
      </c>
      <c r="I24" s="1715"/>
      <c r="J24" s="1714" t="e">
        <f ca="1">J22*J23</f>
        <v>#DIV/0!</v>
      </c>
      <c r="K24" s="1715"/>
      <c r="L24" s="1714" t="e">
        <f ca="1">L22*L23</f>
        <v>#DIV/0!</v>
      </c>
      <c r="M24" s="1715"/>
      <c r="N24" s="1714" t="e">
        <f ca="1">N22*N23</f>
        <v>#DIV/0!</v>
      </c>
      <c r="O24" s="1715"/>
      <c r="P24" s="1714" t="e">
        <f ca="1">P22*P23</f>
        <v>#DIV/0!</v>
      </c>
      <c r="Q24" s="1704"/>
      <c r="R24" s="1714" t="e">
        <f ca="1">R22*R23</f>
        <v>#N/A</v>
      </c>
      <c r="S24" s="1278"/>
      <c r="T24" s="1714" t="e">
        <f ca="1">T22*T23</f>
        <v>#N/A</v>
      </c>
      <c r="U24" s="1278"/>
      <c r="V24" s="1714" t="e">
        <f ca="1">V22*V23</f>
        <v>#N/A</v>
      </c>
      <c r="W24" s="1278"/>
      <c r="X24" s="1714" t="e">
        <f ca="1">X22*X23</f>
        <v>#N/A</v>
      </c>
      <c r="Y24" s="1278"/>
      <c r="Z24" s="1714" t="e">
        <f ca="1">Z22*Z23</f>
        <v>#N/A</v>
      </c>
      <c r="AA24" s="1278"/>
      <c r="AB24" s="1714" t="e">
        <f ca="1">AB22*AB23</f>
        <v>#N/A</v>
      </c>
      <c r="AC24" s="1278"/>
      <c r="AD24" s="1714" t="e">
        <f ca="1">AD22*AD23</f>
        <v>#N/A</v>
      </c>
      <c r="AE24" s="1278"/>
      <c r="AF24" s="1714" t="e">
        <f ca="1">AF22*AF23</f>
        <v>#N/A</v>
      </c>
      <c r="AG24" s="1278"/>
      <c r="AH24" s="1714" t="e">
        <f ca="1">AH22*AH23</f>
        <v>#N/A</v>
      </c>
      <c r="AI24" s="1278"/>
      <c r="AJ24" s="1252"/>
      <c r="AK24" s="4218"/>
      <c r="AL24" s="911"/>
      <c r="AM24" s="911"/>
      <c r="AN24" s="911"/>
      <c r="AO24" s="911"/>
    </row>
    <row r="25" spans="1:41" ht="17.100000000000001" customHeight="1" thickBot="1" x14ac:dyDescent="0.3">
      <c r="A25" s="41">
        <v>1</v>
      </c>
      <c r="B25" s="1251"/>
      <c r="C25" s="1278"/>
      <c r="D25" s="1188" t="s">
        <v>1333</v>
      </c>
      <c r="E25" s="1182"/>
      <c r="F25" s="1277"/>
      <c r="G25" s="1277"/>
      <c r="H25" s="1277"/>
      <c r="I25" s="1277"/>
      <c r="J25" s="1277"/>
      <c r="K25" s="1277"/>
      <c r="L25" s="1277"/>
      <c r="M25" s="1277"/>
      <c r="N25" s="1277"/>
      <c r="O25" s="1277"/>
      <c r="P25" s="1277"/>
      <c r="Q25" s="1277"/>
      <c r="R25" s="1277"/>
      <c r="S25" s="1277"/>
      <c r="T25" s="1277"/>
      <c r="U25" s="1277"/>
      <c r="V25" s="1277"/>
      <c r="W25" s="1277"/>
      <c r="X25" s="1277"/>
      <c r="Y25" s="1277"/>
      <c r="Z25" s="1277"/>
      <c r="AA25" s="1277"/>
      <c r="AB25" s="1277"/>
      <c r="AC25" s="1277"/>
      <c r="AD25" s="1277"/>
      <c r="AE25" s="1277"/>
      <c r="AF25" s="1277"/>
      <c r="AG25" s="1277"/>
      <c r="AH25" s="1277"/>
      <c r="AI25" s="1278"/>
      <c r="AJ25" s="1252"/>
      <c r="AK25" s="911"/>
      <c r="AL25" s="911"/>
      <c r="AM25" s="911"/>
      <c r="AN25" s="911"/>
      <c r="AO25" s="911"/>
    </row>
    <row r="26" spans="1:41" ht="15.95" customHeight="1" thickBot="1" x14ac:dyDescent="0.3">
      <c r="A26" s="41">
        <v>1</v>
      </c>
      <c r="B26" s="1253"/>
      <c r="C26" s="1254"/>
      <c r="D26" s="552" t="s">
        <v>1618</v>
      </c>
      <c r="E26" s="1254"/>
      <c r="F26" s="1259"/>
      <c r="G26" s="1259"/>
      <c r="H26" s="1259"/>
      <c r="I26" s="1259"/>
      <c r="J26" s="1259"/>
      <c r="K26" s="1259"/>
      <c r="L26" s="1259"/>
      <c r="M26" s="1259"/>
      <c r="N26" s="1259"/>
      <c r="O26" s="1259"/>
      <c r="P26" s="1259"/>
      <c r="Q26" s="1259"/>
      <c r="R26" s="1254"/>
      <c r="S26" s="1254"/>
      <c r="T26" s="1254"/>
      <c r="U26" s="1254"/>
      <c r="V26" s="1254"/>
      <c r="W26" s="1254"/>
      <c r="X26" s="1254"/>
      <c r="Y26" s="1254"/>
      <c r="Z26" s="1254"/>
      <c r="AA26" s="1254"/>
      <c r="AB26" s="1254"/>
      <c r="AC26" s="1254"/>
      <c r="AD26" s="1254"/>
      <c r="AE26" s="1254"/>
      <c r="AF26" s="1254"/>
      <c r="AG26" s="1254"/>
      <c r="AH26" s="1254"/>
      <c r="AI26" s="1254"/>
      <c r="AJ26" s="1255"/>
      <c r="AK26" s="911"/>
      <c r="AL26" s="911"/>
      <c r="AM26" s="911"/>
      <c r="AN26" s="911"/>
      <c r="AO26" s="911"/>
    </row>
    <row r="27" spans="1:41" ht="14.25" customHeight="1" thickBot="1" x14ac:dyDescent="0.3">
      <c r="A27" s="41">
        <v>1</v>
      </c>
      <c r="B27" s="911"/>
      <c r="C27" s="911"/>
      <c r="D27" s="911"/>
      <c r="E27" s="41"/>
      <c r="F27" s="1256"/>
      <c r="G27" s="1256"/>
      <c r="H27" s="1256"/>
      <c r="I27" s="1256"/>
      <c r="J27" s="1256"/>
      <c r="K27" s="1256"/>
      <c r="L27" s="1256"/>
      <c r="M27" s="1256"/>
      <c r="N27" s="1256"/>
      <c r="O27" s="1256"/>
      <c r="P27" s="1256"/>
      <c r="Q27" s="1256"/>
      <c r="R27" s="911"/>
      <c r="S27" s="911"/>
      <c r="T27" s="911"/>
      <c r="U27" s="911"/>
      <c r="V27" s="911"/>
      <c r="W27" s="911"/>
      <c r="X27" s="911"/>
      <c r="Y27" s="911"/>
      <c r="Z27" s="911"/>
      <c r="AA27" s="911"/>
      <c r="AB27" s="911"/>
      <c r="AC27" s="911"/>
      <c r="AD27" s="911"/>
      <c r="AE27" s="911"/>
      <c r="AF27" s="911"/>
      <c r="AG27" s="911"/>
      <c r="AH27" s="911"/>
      <c r="AI27" s="911"/>
      <c r="AJ27" s="911"/>
      <c r="AK27" s="911"/>
      <c r="AL27" s="911"/>
      <c r="AM27" s="911"/>
      <c r="AN27" s="911"/>
      <c r="AO27" s="911"/>
    </row>
    <row r="28" spans="1:41" ht="14.25" customHeight="1" x14ac:dyDescent="0.25">
      <c r="A28" s="41">
        <v>1</v>
      </c>
      <c r="B28" s="1248"/>
      <c r="C28" s="1249"/>
      <c r="D28" s="1249"/>
      <c r="E28" s="1249"/>
      <c r="F28" s="1257"/>
      <c r="G28" s="1257"/>
      <c r="H28" s="1257"/>
      <c r="I28" s="1257"/>
      <c r="J28" s="1257"/>
      <c r="K28" s="1257"/>
      <c r="L28" s="1257"/>
      <c r="M28" s="2273"/>
      <c r="N28" s="1256"/>
      <c r="O28" s="1256"/>
      <c r="P28" s="1256"/>
      <c r="Q28" s="1256"/>
      <c r="R28" s="911"/>
      <c r="S28" s="911"/>
      <c r="T28" s="911"/>
      <c r="U28" s="911"/>
      <c r="V28" s="911"/>
      <c r="W28" s="911"/>
      <c r="X28" s="911"/>
      <c r="Y28" s="911"/>
      <c r="Z28" s="911"/>
      <c r="AA28" s="911"/>
      <c r="AB28" s="911"/>
      <c r="AC28" s="911"/>
      <c r="AD28" s="911"/>
      <c r="AE28" s="911"/>
      <c r="AF28" s="911"/>
      <c r="AG28" s="911"/>
      <c r="AH28" s="911"/>
      <c r="AI28" s="911"/>
      <c r="AJ28" s="911"/>
      <c r="AK28" s="911"/>
      <c r="AL28" s="911"/>
      <c r="AM28" s="911"/>
      <c r="AN28" s="911"/>
      <c r="AO28" s="911"/>
    </row>
    <row r="29" spans="1:41" ht="14.25" customHeight="1" x14ac:dyDescent="0.3">
      <c r="A29" s="41">
        <v>1</v>
      </c>
      <c r="B29" s="1251"/>
      <c r="C29" s="1080"/>
      <c r="D29" s="97" t="str">
        <f>CONCATENATE("Median Asking OAR by Remaining Lease Term - ",dpSales_ComponentNameB2," Component")</f>
        <v>Median Asking OAR by Remaining Lease Term -  Component</v>
      </c>
      <c r="E29" s="1080"/>
      <c r="F29" s="1258"/>
      <c r="G29" s="1258"/>
      <c r="H29" s="1258"/>
      <c r="I29" s="1258"/>
      <c r="J29" s="1258"/>
      <c r="K29" s="1258"/>
      <c r="L29" s="1258"/>
      <c r="M29" s="2274"/>
      <c r="N29" s="1256"/>
      <c r="O29" s="1256"/>
      <c r="P29" s="911"/>
      <c r="Q29" s="1256"/>
      <c r="R29" s="911"/>
      <c r="S29" s="911"/>
      <c r="T29" s="911"/>
      <c r="U29" s="911"/>
      <c r="V29" s="911"/>
      <c r="W29" s="911"/>
      <c r="X29" s="911"/>
      <c r="Y29" s="911"/>
      <c r="Z29" s="911"/>
      <c r="AA29" s="911"/>
      <c r="AB29" s="911"/>
      <c r="AC29" s="911"/>
      <c r="AD29" s="911"/>
      <c r="AE29" s="911"/>
      <c r="AF29" s="911"/>
      <c r="AG29" s="911"/>
      <c r="AH29" s="911"/>
      <c r="AI29" s="911"/>
      <c r="AJ29" s="911"/>
      <c r="AK29" s="911"/>
      <c r="AL29" s="911"/>
      <c r="AM29" s="911"/>
      <c r="AN29" s="911"/>
      <c r="AO29" s="911"/>
    </row>
    <row r="30" spans="1:41" ht="28.5" x14ac:dyDescent="0.25">
      <c r="A30" s="41">
        <v>1</v>
      </c>
      <c r="B30" s="1251"/>
      <c r="C30" s="911"/>
      <c r="D30" s="1534" t="s">
        <v>17905</v>
      </c>
      <c r="E30" s="911"/>
      <c r="F30" s="290" t="s">
        <v>17906</v>
      </c>
      <c r="G30" s="4093" t="s">
        <v>17907</v>
      </c>
      <c r="H30" s="4093"/>
      <c r="I30" s="4093"/>
      <c r="J30" s="4093" t="s">
        <v>17908</v>
      </c>
      <c r="K30" s="4093"/>
      <c r="L30" s="4093"/>
      <c r="M30" s="2274"/>
      <c r="N30" s="290" t="s">
        <v>17909</v>
      </c>
      <c r="O30" s="1256"/>
      <c r="P30" s="207" t="s">
        <v>17913</v>
      </c>
      <c r="Q30" s="1256"/>
      <c r="R30" s="911"/>
      <c r="S30" s="911"/>
      <c r="T30" s="911"/>
      <c r="U30" s="911"/>
      <c r="V30" s="911"/>
      <c r="W30" s="911"/>
      <c r="X30" s="911"/>
      <c r="Y30" s="911"/>
      <c r="Z30" s="911"/>
      <c r="AA30" s="911"/>
      <c r="AB30" s="911"/>
      <c r="AC30" s="911"/>
      <c r="AD30" s="911"/>
      <c r="AE30" s="911"/>
      <c r="AF30" s="911"/>
      <c r="AG30" s="911"/>
      <c r="AH30" s="911"/>
      <c r="AI30" s="911"/>
      <c r="AJ30" s="911"/>
      <c r="AK30" s="911"/>
      <c r="AL30" s="911"/>
      <c r="AM30" s="911"/>
      <c r="AN30" s="911"/>
      <c r="AO30" s="911"/>
    </row>
    <row r="31" spans="1:41" ht="14.25" customHeight="1" x14ac:dyDescent="0.25">
      <c r="A31" s="41">
        <v>1</v>
      </c>
      <c r="B31" s="1251"/>
      <c r="C31" s="1272"/>
      <c r="D31" s="2277">
        <v>20</v>
      </c>
      <c r="E31" s="1272"/>
      <c r="F31" s="2276">
        <v>5.3499999999999999E-2</v>
      </c>
      <c r="G31" s="1704"/>
      <c r="H31" s="2280">
        <f>(F32-F31)/F32</f>
        <v>2.7272727272727296E-2</v>
      </c>
      <c r="I31" s="1704"/>
      <c r="J31" s="4219">
        <f>H31/N31</f>
        <v>5.4545454545454593E-3</v>
      </c>
      <c r="K31" s="4219"/>
      <c r="L31" s="4219"/>
      <c r="M31" s="2274"/>
      <c r="N31" s="2284">
        <v>5</v>
      </c>
      <c r="O31" s="1256"/>
      <c r="P31" s="911"/>
      <c r="Q31" s="1256"/>
      <c r="R31" s="911"/>
      <c r="S31" s="911"/>
      <c r="T31" s="911"/>
      <c r="U31" s="911"/>
      <c r="V31" s="911"/>
      <c r="W31" s="911"/>
      <c r="X31" s="911"/>
      <c r="Y31" s="911"/>
      <c r="Z31" s="911"/>
      <c r="AA31" s="911"/>
      <c r="AB31" s="911"/>
      <c r="AC31" s="911"/>
      <c r="AD31" s="911"/>
      <c r="AE31" s="911"/>
      <c r="AF31" s="911"/>
      <c r="AG31" s="911"/>
      <c r="AH31" s="911"/>
      <c r="AI31" s="911"/>
      <c r="AJ31" s="911"/>
      <c r="AK31" s="911"/>
      <c r="AL31" s="911"/>
      <c r="AM31" s="911"/>
      <c r="AN31" s="911"/>
      <c r="AO31" s="911"/>
    </row>
    <row r="32" spans="1:41" ht="14.25" customHeight="1" x14ac:dyDescent="0.25">
      <c r="A32" s="41">
        <f>IF(F32="",0,1)</f>
        <v>1</v>
      </c>
      <c r="B32" s="1251"/>
      <c r="C32" s="1272"/>
      <c r="D32" s="2279">
        <v>1519</v>
      </c>
      <c r="E32" s="1272"/>
      <c r="F32" s="2276">
        <v>5.5E-2</v>
      </c>
      <c r="G32" s="1704"/>
      <c r="H32" s="2280">
        <f>(F33-F32)/F33</f>
        <v>5.982905982905988E-2</v>
      </c>
      <c r="I32" s="1704"/>
      <c r="J32" s="4219">
        <f>H32/N32</f>
        <v>1.1965811965811975E-2</v>
      </c>
      <c r="K32" s="4219"/>
      <c r="L32" s="4219"/>
      <c r="M32" s="2274"/>
      <c r="N32" s="2285">
        <f>N31</f>
        <v>5</v>
      </c>
      <c r="O32" s="1256"/>
      <c r="P32" s="911"/>
      <c r="Q32" s="1256"/>
      <c r="R32" s="911"/>
      <c r="S32" s="911"/>
      <c r="T32" s="911"/>
      <c r="U32" s="911"/>
      <c r="V32" s="911"/>
      <c r="W32" s="911"/>
      <c r="X32" s="911"/>
      <c r="Y32" s="911"/>
      <c r="Z32" s="911"/>
      <c r="AA32" s="911"/>
      <c r="AB32" s="911"/>
      <c r="AC32" s="911"/>
      <c r="AD32" s="911"/>
      <c r="AE32" s="911"/>
      <c r="AF32" s="911"/>
      <c r="AG32" s="911"/>
      <c r="AH32" s="911"/>
      <c r="AI32" s="911"/>
      <c r="AJ32" s="911"/>
      <c r="AK32" s="911"/>
      <c r="AL32" s="911"/>
      <c r="AM32" s="911"/>
      <c r="AN32" s="911"/>
      <c r="AO32" s="911"/>
    </row>
    <row r="33" spans="1:41" ht="14.25" customHeight="1" x14ac:dyDescent="0.25">
      <c r="A33" s="41">
        <f>IF(F33="",0,1)</f>
        <v>1</v>
      </c>
      <c r="B33" s="1251"/>
      <c r="C33" s="1272"/>
      <c r="D33" s="2279">
        <v>1014</v>
      </c>
      <c r="E33" s="1272"/>
      <c r="F33" s="2276">
        <v>5.8500000000000003E-2</v>
      </c>
      <c r="G33" s="1704"/>
      <c r="H33" s="2280">
        <f>(F34-F33)/F34</f>
        <v>9.3023255813953459E-2</v>
      </c>
      <c r="I33" s="1704"/>
      <c r="J33" s="4219">
        <f>H33/N33</f>
        <v>1.860465116279069E-2</v>
      </c>
      <c r="K33" s="4219"/>
      <c r="L33" s="4219"/>
      <c r="M33" s="2274"/>
      <c r="N33" s="2285">
        <f>N32</f>
        <v>5</v>
      </c>
      <c r="O33" s="1256"/>
      <c r="P33" s="911"/>
      <c r="Q33" s="1256"/>
      <c r="R33" s="911"/>
      <c r="S33" s="911"/>
      <c r="T33" s="911"/>
      <c r="U33" s="911"/>
      <c r="V33" s="911"/>
      <c r="W33" s="911"/>
      <c r="X33" s="911"/>
      <c r="Y33" s="911"/>
      <c r="Z33" s="911"/>
      <c r="AA33" s="911"/>
      <c r="AB33" s="911"/>
      <c r="AC33" s="911"/>
      <c r="AD33" s="911"/>
      <c r="AE33" s="911"/>
      <c r="AF33" s="911"/>
      <c r="AG33" s="911"/>
      <c r="AH33" s="911"/>
      <c r="AI33" s="911"/>
      <c r="AJ33" s="911"/>
      <c r="AK33" s="911"/>
      <c r="AL33" s="911"/>
      <c r="AM33" s="911"/>
      <c r="AN33" s="911"/>
      <c r="AO33" s="911"/>
    </row>
    <row r="34" spans="1:41" ht="14.25" customHeight="1" x14ac:dyDescent="0.25">
      <c r="A34" s="41">
        <f>IF(F34="",0,1)</f>
        <v>1</v>
      </c>
      <c r="B34" s="1251"/>
      <c r="C34" s="1272"/>
      <c r="D34" s="2278">
        <v>59</v>
      </c>
      <c r="E34" s="1272"/>
      <c r="F34" s="2276">
        <v>6.4500000000000002E-2</v>
      </c>
      <c r="G34" s="1704"/>
      <c r="H34" s="2280">
        <f>(F35-F34)/F35</f>
        <v>7.8571428571428639E-2</v>
      </c>
      <c r="I34" s="1704"/>
      <c r="J34" s="4219">
        <f>H34/N34</f>
        <v>1.5714285714285729E-2</v>
      </c>
      <c r="K34" s="4219"/>
      <c r="L34" s="4219"/>
      <c r="M34" s="2274"/>
      <c r="N34" s="2285">
        <f>N33</f>
        <v>5</v>
      </c>
      <c r="O34" s="1256"/>
      <c r="P34" s="911"/>
      <c r="Q34" s="1256"/>
      <c r="R34" s="911"/>
      <c r="S34" s="911"/>
      <c r="T34" s="911"/>
      <c r="U34" s="911"/>
      <c r="V34" s="911"/>
      <c r="W34" s="911"/>
      <c r="X34" s="911"/>
      <c r="Y34" s="911"/>
      <c r="Z34" s="911"/>
      <c r="AA34" s="911"/>
      <c r="AB34" s="911"/>
      <c r="AC34" s="911"/>
      <c r="AD34" s="911"/>
      <c r="AE34" s="911"/>
      <c r="AF34" s="911"/>
      <c r="AG34" s="911"/>
      <c r="AH34" s="911"/>
      <c r="AI34" s="911"/>
      <c r="AJ34" s="911"/>
      <c r="AK34" s="911"/>
      <c r="AL34" s="911"/>
      <c r="AM34" s="911"/>
      <c r="AN34" s="911"/>
      <c r="AO34" s="911"/>
    </row>
    <row r="35" spans="1:41" ht="14.25" customHeight="1" thickBot="1" x14ac:dyDescent="0.3">
      <c r="A35" s="41">
        <v>1</v>
      </c>
      <c r="B35" s="1251"/>
      <c r="C35" s="1272"/>
      <c r="D35" s="2282">
        <v>5</v>
      </c>
      <c r="E35" s="1315"/>
      <c r="F35" s="2283">
        <v>7.0000000000000007E-2</v>
      </c>
      <c r="G35" s="2281"/>
      <c r="H35" s="1690" t="s">
        <v>3</v>
      </c>
      <c r="I35" s="2281"/>
      <c r="J35" s="4220" t="s">
        <v>3</v>
      </c>
      <c r="K35" s="4220"/>
      <c r="L35" s="4220"/>
      <c r="M35" s="2274"/>
      <c r="N35" s="2286">
        <f>N34</f>
        <v>5</v>
      </c>
      <c r="O35" s="1256"/>
      <c r="P35" s="911"/>
      <c r="Q35" s="1256"/>
      <c r="R35" s="911"/>
      <c r="S35" s="911"/>
      <c r="T35" s="911"/>
      <c r="U35" s="911"/>
      <c r="V35" s="911"/>
      <c r="W35" s="911"/>
      <c r="X35" s="911"/>
      <c r="Y35" s="911"/>
      <c r="Z35" s="911"/>
      <c r="AA35" s="911"/>
      <c r="AB35" s="911"/>
      <c r="AC35" s="911"/>
      <c r="AD35" s="911"/>
      <c r="AE35" s="911"/>
      <c r="AF35" s="911"/>
      <c r="AG35" s="911"/>
      <c r="AH35" s="911"/>
      <c r="AI35" s="911"/>
      <c r="AJ35" s="911"/>
      <c r="AK35" s="911"/>
      <c r="AL35" s="911"/>
      <c r="AM35" s="911"/>
      <c r="AN35" s="911"/>
      <c r="AO35" s="911"/>
    </row>
    <row r="36" spans="1:41" ht="14.25" customHeight="1" x14ac:dyDescent="0.25">
      <c r="A36" s="41"/>
      <c r="B36" s="1251"/>
      <c r="C36" s="1272"/>
      <c r="D36" s="2288" t="s">
        <v>17914</v>
      </c>
      <c r="E36" s="1272"/>
      <c r="F36" s="2287"/>
      <c r="G36" s="1704"/>
      <c r="H36" s="1524"/>
      <c r="I36" s="1704"/>
      <c r="J36" s="1524"/>
      <c r="K36" s="1524"/>
      <c r="L36" s="1524"/>
      <c r="M36" s="2274"/>
      <c r="N36" s="54"/>
      <c r="O36" s="1256"/>
      <c r="P36" s="911"/>
      <c r="Q36" s="1256"/>
      <c r="R36" s="911"/>
      <c r="S36" s="911"/>
      <c r="T36" s="911"/>
      <c r="U36" s="911"/>
      <c r="V36" s="911"/>
      <c r="W36" s="911"/>
      <c r="X36" s="911"/>
      <c r="Y36" s="911"/>
      <c r="Z36" s="911"/>
      <c r="AA36" s="911"/>
      <c r="AB36" s="911"/>
      <c r="AC36" s="911"/>
      <c r="AD36" s="911"/>
      <c r="AE36" s="911"/>
      <c r="AF36" s="911"/>
      <c r="AG36" s="911"/>
      <c r="AH36" s="911"/>
      <c r="AI36" s="911"/>
      <c r="AJ36" s="911"/>
      <c r="AK36" s="911"/>
      <c r="AL36" s="911"/>
      <c r="AM36" s="911"/>
      <c r="AN36" s="911"/>
      <c r="AO36" s="911"/>
    </row>
    <row r="37" spans="1:41" ht="14.25" customHeight="1" thickBot="1" x14ac:dyDescent="0.3">
      <c r="A37" s="911"/>
      <c r="B37" s="1253"/>
      <c r="C37" s="1254"/>
      <c r="D37" s="552" t="s">
        <v>17912</v>
      </c>
      <c r="E37" s="1254"/>
      <c r="F37" s="1259"/>
      <c r="G37" s="1259"/>
      <c r="H37" s="1259"/>
      <c r="I37" s="1259"/>
      <c r="J37" s="1259"/>
      <c r="K37" s="1259"/>
      <c r="L37" s="1259"/>
      <c r="M37" s="2275"/>
      <c r="N37" s="1256"/>
      <c r="O37" s="1256"/>
      <c r="P37" s="911"/>
      <c r="Q37" s="1256"/>
      <c r="R37" s="911"/>
      <c r="S37" s="911"/>
      <c r="T37" s="911"/>
      <c r="U37" s="911"/>
      <c r="V37" s="911"/>
      <c r="W37" s="911"/>
      <c r="X37" s="911"/>
      <c r="Y37" s="911"/>
      <c r="Z37" s="911"/>
      <c r="AA37" s="911"/>
      <c r="AB37" s="911"/>
      <c r="AC37" s="911"/>
      <c r="AD37" s="911"/>
      <c r="AE37" s="911"/>
      <c r="AF37" s="911"/>
      <c r="AG37" s="911"/>
      <c r="AH37" s="911"/>
      <c r="AI37" s="911"/>
      <c r="AJ37" s="911"/>
      <c r="AK37" s="911"/>
      <c r="AL37" s="911"/>
      <c r="AM37" s="911"/>
      <c r="AN37" s="911"/>
      <c r="AO37" s="911"/>
    </row>
    <row r="38" spans="1:41" ht="14.25" customHeight="1" thickBot="1" x14ac:dyDescent="0.3">
      <c r="A38" s="911"/>
      <c r="B38" s="911"/>
      <c r="C38" s="911"/>
      <c r="D38" s="911"/>
      <c r="E38" s="911"/>
      <c r="F38" s="911"/>
      <c r="G38" s="911"/>
      <c r="H38" s="911"/>
      <c r="I38" s="911"/>
      <c r="J38" s="911"/>
      <c r="K38" s="911"/>
      <c r="L38" s="911"/>
      <c r="M38" s="911"/>
      <c r="N38" s="911"/>
      <c r="O38" s="911"/>
      <c r="P38" s="911"/>
      <c r="Q38" s="1256"/>
      <c r="R38" s="911"/>
      <c r="S38" s="911"/>
      <c r="T38" s="911"/>
      <c r="U38" s="911"/>
      <c r="V38" s="911"/>
      <c r="W38" s="911"/>
      <c r="X38" s="911"/>
      <c r="Y38" s="911"/>
      <c r="Z38" s="911"/>
      <c r="AA38" s="911"/>
      <c r="AB38" s="911"/>
      <c r="AC38" s="911"/>
      <c r="AD38" s="911"/>
      <c r="AE38" s="911"/>
      <c r="AF38" s="911"/>
      <c r="AG38" s="911"/>
      <c r="AH38" s="911"/>
      <c r="AI38" s="911"/>
      <c r="AJ38" s="911"/>
      <c r="AK38" s="911"/>
      <c r="AL38" s="911"/>
      <c r="AM38" s="911"/>
      <c r="AN38" s="911"/>
      <c r="AO38" s="911"/>
    </row>
    <row r="39" spans="1:41" ht="14.25" customHeight="1" x14ac:dyDescent="0.25">
      <c r="A39" s="911"/>
      <c r="B39" s="1248"/>
      <c r="C39" s="1249"/>
      <c r="D39" s="1249"/>
      <c r="E39" s="1249"/>
      <c r="F39" s="1257"/>
      <c r="G39" s="1257"/>
      <c r="H39" s="1257"/>
      <c r="I39" s="1257"/>
      <c r="J39" s="1257"/>
      <c r="K39" s="1257"/>
      <c r="L39" s="1257"/>
      <c r="M39" s="1257"/>
      <c r="N39" s="1257"/>
      <c r="O39" s="1257"/>
      <c r="P39" s="1257"/>
      <c r="Q39" s="1257"/>
      <c r="R39" s="1249"/>
      <c r="S39" s="1249"/>
      <c r="T39" s="1249"/>
      <c r="U39" s="1249"/>
      <c r="V39" s="1249"/>
      <c r="W39" s="1249"/>
      <c r="X39" s="1249"/>
      <c r="Y39" s="1249"/>
      <c r="Z39" s="1249"/>
      <c r="AA39" s="1249"/>
      <c r="AB39" s="1249"/>
      <c r="AC39" s="1249"/>
      <c r="AD39" s="1249"/>
      <c r="AE39" s="1249"/>
      <c r="AF39" s="1249"/>
      <c r="AG39" s="1249"/>
      <c r="AH39" s="1249"/>
      <c r="AI39" s="1249"/>
      <c r="AJ39" s="1250"/>
      <c r="AK39" s="911"/>
      <c r="AL39" s="911"/>
      <c r="AM39" s="911"/>
      <c r="AN39" s="911"/>
      <c r="AO39" s="911"/>
    </row>
    <row r="40" spans="1:41" ht="14.25" customHeight="1" x14ac:dyDescent="0.3">
      <c r="A40" s="911"/>
      <c r="B40" s="1251"/>
      <c r="C40" s="1272"/>
      <c r="D40" s="246" t="str">
        <f>CONCATENATE("Remaining Lease Term Adjustment - ",dpSales_ComponentNameB2," Component")</f>
        <v>Remaining Lease Term Adjustment -  Component</v>
      </c>
      <c r="E40" s="97"/>
      <c r="F40" s="1275"/>
      <c r="G40" s="1275"/>
      <c r="H40" s="1275"/>
      <c r="I40" s="1275"/>
      <c r="J40" s="1275"/>
      <c r="K40" s="1275"/>
      <c r="L40" s="1275"/>
      <c r="M40" s="1275"/>
      <c r="N40" s="1275"/>
      <c r="O40" s="1275"/>
      <c r="P40" s="1275"/>
      <c r="Q40" s="1275"/>
      <c r="R40" s="1272"/>
      <c r="S40" s="1272"/>
      <c r="T40" s="1272"/>
      <c r="U40" s="1272"/>
      <c r="V40" s="1272"/>
      <c r="W40" s="1272"/>
      <c r="X40" s="1272"/>
      <c r="Y40" s="1272"/>
      <c r="Z40" s="1272"/>
      <c r="AA40" s="1272"/>
      <c r="AB40" s="1272"/>
      <c r="AC40" s="1272"/>
      <c r="AD40" s="1272"/>
      <c r="AE40" s="1272"/>
      <c r="AF40" s="1272"/>
      <c r="AG40" s="1272"/>
      <c r="AH40" s="1272"/>
      <c r="AI40" s="1272"/>
      <c r="AJ40" s="1252"/>
      <c r="AK40" s="911"/>
      <c r="AL40" s="911"/>
      <c r="AM40" s="911"/>
      <c r="AN40" s="911"/>
      <c r="AO40" s="911"/>
    </row>
    <row r="41" spans="1:41" ht="17.100000000000001" customHeight="1" x14ac:dyDescent="0.25">
      <c r="A41" s="911"/>
      <c r="B41" s="1251"/>
      <c r="C41" s="911"/>
      <c r="D41" s="12" t="s">
        <v>1100</v>
      </c>
      <c r="E41" s="12"/>
      <c r="F41" s="1269">
        <v>1</v>
      </c>
      <c r="G41" s="1269"/>
      <c r="H41" s="1269">
        <f>F41+1</f>
        <v>2</v>
      </c>
      <c r="I41" s="1269"/>
      <c r="J41" s="1269">
        <f>H41+1</f>
        <v>3</v>
      </c>
      <c r="K41" s="1269"/>
      <c r="L41" s="1269">
        <f>J41+1</f>
        <v>4</v>
      </c>
      <c r="M41" s="1269"/>
      <c r="N41" s="1269">
        <f>L41+1</f>
        <v>5</v>
      </c>
      <c r="O41" s="11"/>
      <c r="P41" s="1269">
        <f>N41+1</f>
        <v>6</v>
      </c>
      <c r="Q41" s="124"/>
      <c r="R41" s="1269">
        <f>P41+1</f>
        <v>7</v>
      </c>
      <c r="S41" s="11"/>
      <c r="T41" s="1269">
        <f>R41+1</f>
        <v>8</v>
      </c>
      <c r="U41" s="11"/>
      <c r="V41" s="1269">
        <f>T41+1</f>
        <v>9</v>
      </c>
      <c r="W41" s="11"/>
      <c r="X41" s="1269">
        <f>V41+1</f>
        <v>10</v>
      </c>
      <c r="Y41" s="11"/>
      <c r="Z41" s="1269">
        <f>X41+1</f>
        <v>11</v>
      </c>
      <c r="AA41" s="11"/>
      <c r="AB41" s="1269">
        <f>Z41+1</f>
        <v>12</v>
      </c>
      <c r="AC41" s="11"/>
      <c r="AD41" s="1269">
        <f>AB41+1</f>
        <v>13</v>
      </c>
      <c r="AE41" s="11"/>
      <c r="AF41" s="1269">
        <f>AD41+1</f>
        <v>14</v>
      </c>
      <c r="AG41" s="11"/>
      <c r="AH41" s="1269">
        <f>AF41+1</f>
        <v>15</v>
      </c>
      <c r="AI41" s="911"/>
      <c r="AJ41" s="1252"/>
      <c r="AK41" s="911"/>
      <c r="AL41" s="911"/>
      <c r="AM41" s="911"/>
      <c r="AN41" s="911"/>
      <c r="AO41" s="911"/>
    </row>
    <row r="42" spans="1:41" ht="17.100000000000001" customHeight="1" x14ac:dyDescent="0.25">
      <c r="A42" s="911"/>
      <c r="B42" s="1251"/>
      <c r="C42" s="1278"/>
      <c r="D42" s="1278" t="s">
        <v>1852</v>
      </c>
      <c r="E42" s="1278"/>
      <c r="F42" s="2183" t="str">
        <f ca="1">dpIncome_Lease_AvgRemTerm</f>
        <v/>
      </c>
      <c r="G42" s="1361"/>
      <c r="H42" s="2182" t="str">
        <f ca="1">Sales_RemainTerm_Subject_2</f>
        <v/>
      </c>
      <c r="I42" s="1361"/>
      <c r="J42" s="2182" t="str">
        <f ca="1">Sales_RemainTerm_Subject_2</f>
        <v/>
      </c>
      <c r="K42" s="1361"/>
      <c r="L42" s="2182" t="str">
        <f ca="1">Sales_RemainTerm_Subject_2</f>
        <v/>
      </c>
      <c r="M42" s="1361"/>
      <c r="N42" s="2182" t="str">
        <f ca="1">Sales_RemainTerm_Subject_2</f>
        <v/>
      </c>
      <c r="O42" s="1361"/>
      <c r="P42" s="2182" t="str">
        <f ca="1">Sales_RemainTerm_Subject_2</f>
        <v/>
      </c>
      <c r="Q42" s="1361"/>
      <c r="R42" s="2182" t="str">
        <f ca="1">Sales_RemainTerm_Subject_2</f>
        <v/>
      </c>
      <c r="S42" s="1711"/>
      <c r="T42" s="2182" t="str">
        <f ca="1">Sales_RemainTerm_Subject_2</f>
        <v/>
      </c>
      <c r="U42" s="1711"/>
      <c r="V42" s="2182" t="str">
        <f ca="1">Sales_RemainTerm_Subject_2</f>
        <v/>
      </c>
      <c r="W42" s="1711"/>
      <c r="X42" s="2182" t="str">
        <f ca="1">Sales_RemainTerm_Subject_2</f>
        <v/>
      </c>
      <c r="Y42" s="1711"/>
      <c r="Z42" s="2182" t="str">
        <f ca="1">Sales_RemainTerm_Subject_2</f>
        <v/>
      </c>
      <c r="AA42" s="1711"/>
      <c r="AB42" s="2182" t="str">
        <f ca="1">Sales_RemainTerm_Subject_2</f>
        <v/>
      </c>
      <c r="AC42" s="1711"/>
      <c r="AD42" s="2182" t="str">
        <f ca="1">Sales_RemainTerm_Subject_2</f>
        <v/>
      </c>
      <c r="AE42" s="1711"/>
      <c r="AF42" s="2182" t="str">
        <f ca="1">Sales_RemainTerm_Subject_2</f>
        <v/>
      </c>
      <c r="AG42" s="1711"/>
      <c r="AH42" s="2182" t="str">
        <f ca="1">Sales_RemainTerm_Subject_2</f>
        <v/>
      </c>
      <c r="AI42" s="1278"/>
      <c r="AJ42" s="1252"/>
      <c r="AK42" s="911"/>
      <c r="AL42" s="911"/>
      <c r="AM42" s="911"/>
      <c r="AN42" s="911"/>
      <c r="AO42" s="911"/>
    </row>
    <row r="43" spans="1:41" ht="17.100000000000001" customHeight="1" x14ac:dyDescent="0.25">
      <c r="A43" s="911"/>
      <c r="B43" s="1251"/>
      <c r="C43" s="1278"/>
      <c r="D43" s="1278" t="s">
        <v>1853</v>
      </c>
      <c r="E43" s="1278"/>
      <c r="F43" s="2182">
        <f>HLOOKUP(F$41,'Improved Sales Summary Detailed'!$AB$141:$AH$204,31,FALSE)</f>
        <v>0</v>
      </c>
      <c r="G43" s="1361"/>
      <c r="H43" s="2182">
        <f>HLOOKUP(H$41,'Improved Sales Summary Detailed'!$AB$141:$AH$204,31,FALSE)</f>
        <v>0</v>
      </c>
      <c r="I43" s="2182"/>
      <c r="J43" s="2182">
        <f>HLOOKUP(J$41,'Improved Sales Summary Detailed'!$AB$141:$AH$204,31,FALSE)</f>
        <v>0</v>
      </c>
      <c r="K43" s="2182"/>
      <c r="L43" s="2182">
        <f>HLOOKUP(L$41,'Improved Sales Summary Detailed'!$AB$141:$AH$204,31,FALSE)</f>
        <v>0</v>
      </c>
      <c r="M43" s="2182"/>
      <c r="N43" s="2182">
        <f>HLOOKUP(N$41,'Improved Sales Summary Detailed'!$AB$141:$AH$204,31,FALSE)</f>
        <v>0</v>
      </c>
      <c r="O43" s="2182"/>
      <c r="P43" s="2182">
        <f>HLOOKUP(P$41,'Improved Sales Summary Detailed'!$AB$141:$AH$204,31,FALSE)</f>
        <v>0</v>
      </c>
      <c r="Q43" s="2182"/>
      <c r="R43" s="2182" t="e">
        <f>HLOOKUP(R$41,'Improved Sales Summary Detailed'!$AB$141:$AH$204,31,FALSE)</f>
        <v>#N/A</v>
      </c>
      <c r="S43" s="2182"/>
      <c r="T43" s="2182" t="e">
        <f>HLOOKUP(T$41,'Improved Sales Summary Detailed'!$AB$141:$AH$204,31,FALSE)</f>
        <v>#N/A</v>
      </c>
      <c r="U43" s="2182"/>
      <c r="V43" s="2182" t="e">
        <f>HLOOKUP(V$41,'Improved Sales Summary Detailed'!$AB$141:$AH$204,31,FALSE)</f>
        <v>#N/A</v>
      </c>
      <c r="W43" s="2182"/>
      <c r="X43" s="2182" t="e">
        <f>HLOOKUP(X$41,'Improved Sales Summary Detailed'!$AB$141:$AH$204,31,FALSE)</f>
        <v>#N/A</v>
      </c>
      <c r="Y43" s="2182"/>
      <c r="Z43" s="2182" t="e">
        <f>HLOOKUP(Z$41,'Improved Sales Summary Detailed'!$AB$141:$AH$204,31,FALSE)</f>
        <v>#N/A</v>
      </c>
      <c r="AA43" s="2182"/>
      <c r="AB43" s="2182" t="e">
        <f>HLOOKUP(AB$41,'Improved Sales Summary Detailed'!$AB$141:$AH$204,31,FALSE)</f>
        <v>#N/A</v>
      </c>
      <c r="AC43" s="2182"/>
      <c r="AD43" s="2182" t="e">
        <f>HLOOKUP(AD$41,'Improved Sales Summary Detailed'!$AB$141:$AH$204,31,FALSE)</f>
        <v>#N/A</v>
      </c>
      <c r="AE43" s="2182"/>
      <c r="AF43" s="2182" t="e">
        <f>HLOOKUP(AF$41,'Improved Sales Summary Detailed'!$AB$141:$AH$204,31,FALSE)</f>
        <v>#N/A</v>
      </c>
      <c r="AG43" s="2182"/>
      <c r="AH43" s="2182" t="e">
        <f>HLOOKUP(AH$41,'Improved Sales Summary Detailed'!$AB$141:$AH$204,31,FALSE)</f>
        <v>#N/A</v>
      </c>
      <c r="AI43" s="1278"/>
      <c r="AJ43" s="1252"/>
      <c r="AK43" s="911"/>
      <c r="AL43" s="911"/>
      <c r="AM43" s="911"/>
      <c r="AN43" s="911"/>
      <c r="AO43" s="911"/>
    </row>
    <row r="44" spans="1:41" ht="17.100000000000001" customHeight="1" x14ac:dyDescent="0.25">
      <c r="A44" s="911"/>
      <c r="B44" s="1251"/>
      <c r="C44" s="1278"/>
      <c r="D44" s="2181" t="s">
        <v>553</v>
      </c>
      <c r="E44" s="2181"/>
      <c r="F44" s="2267" t="e">
        <f ca="1">F42-F43</f>
        <v>#VALUE!</v>
      </c>
      <c r="G44" s="2180"/>
      <c r="H44" s="2267" t="e">
        <f ca="1">H42-H43</f>
        <v>#VALUE!</v>
      </c>
      <c r="I44" s="2180"/>
      <c r="J44" s="2267" t="e">
        <f ca="1">J42-J43</f>
        <v>#VALUE!</v>
      </c>
      <c r="K44" s="2180"/>
      <c r="L44" s="2267" t="e">
        <f ca="1">L42-L43</f>
        <v>#VALUE!</v>
      </c>
      <c r="M44" s="2180"/>
      <c r="N44" s="2267" t="e">
        <f ca="1">N42-N43</f>
        <v>#VALUE!</v>
      </c>
      <c r="O44" s="2180"/>
      <c r="P44" s="2267" t="e">
        <f ca="1">P42-P43</f>
        <v>#VALUE!</v>
      </c>
      <c r="Q44" s="2180"/>
      <c r="R44" s="2267" t="e">
        <f ca="1">R42-R43</f>
        <v>#VALUE!</v>
      </c>
      <c r="S44" s="2181"/>
      <c r="T44" s="2267" t="e">
        <f ca="1">T42-T43</f>
        <v>#VALUE!</v>
      </c>
      <c r="U44" s="2181"/>
      <c r="V44" s="2267" t="e">
        <f ca="1">V42-V43</f>
        <v>#VALUE!</v>
      </c>
      <c r="W44" s="2181"/>
      <c r="X44" s="2267" t="e">
        <f ca="1">X42-X43</f>
        <v>#VALUE!</v>
      </c>
      <c r="Y44" s="2181"/>
      <c r="Z44" s="2267" t="e">
        <f ca="1">Z42-Z43</f>
        <v>#VALUE!</v>
      </c>
      <c r="AA44" s="2181"/>
      <c r="AB44" s="2267" t="e">
        <f ca="1">AB42-AB43</f>
        <v>#VALUE!</v>
      </c>
      <c r="AC44" s="2181"/>
      <c r="AD44" s="2267" t="e">
        <f ca="1">AD42-AD43</f>
        <v>#VALUE!</v>
      </c>
      <c r="AE44" s="2181"/>
      <c r="AF44" s="2267" t="e">
        <f ca="1">AF42-AF43</f>
        <v>#VALUE!</v>
      </c>
      <c r="AG44" s="2181"/>
      <c r="AH44" s="2267" t="e">
        <f ca="1">AH42-AH43</f>
        <v>#VALUE!</v>
      </c>
      <c r="AI44" s="1278"/>
      <c r="AJ44" s="1252"/>
      <c r="AK44" s="911"/>
      <c r="AL44" s="911"/>
      <c r="AM44" s="911"/>
      <c r="AN44" s="911"/>
      <c r="AO44" s="911"/>
    </row>
    <row r="45" spans="1:41" ht="17.100000000000001" customHeight="1" x14ac:dyDescent="0.25">
      <c r="A45" s="911"/>
      <c r="B45" s="1251"/>
      <c r="C45" s="1278"/>
      <c r="D45" s="1713" t="s">
        <v>1851</v>
      </c>
      <c r="E45" s="1713"/>
      <c r="F45" s="2167">
        <v>0.02</v>
      </c>
      <c r="G45" s="2167"/>
      <c r="H45" s="2167">
        <f>dpSales_RemainTerm_AdjPerYr</f>
        <v>0.02</v>
      </c>
      <c r="I45" s="2168"/>
      <c r="J45" s="2167">
        <f>dpSales_RemainTerm_AdjPerYr</f>
        <v>0.02</v>
      </c>
      <c r="K45" s="2168"/>
      <c r="L45" s="2167">
        <f>dpSales_RemainTerm_AdjPerYr</f>
        <v>0.02</v>
      </c>
      <c r="M45" s="2168"/>
      <c r="N45" s="2167">
        <f>dpSales_RemainTerm_AdjPerYr</f>
        <v>0.02</v>
      </c>
      <c r="O45" s="2168"/>
      <c r="P45" s="2167">
        <f>dpSales_RemainTerm_AdjPerYr</f>
        <v>0.02</v>
      </c>
      <c r="Q45" s="2168"/>
      <c r="R45" s="2167">
        <f>dpSales_RemainTerm_AdjPerYr</f>
        <v>0.02</v>
      </c>
      <c r="S45" s="2169"/>
      <c r="T45" s="2167">
        <f>dpSales_RemainTerm_AdjPerYr</f>
        <v>0.02</v>
      </c>
      <c r="U45" s="2169"/>
      <c r="V45" s="2167">
        <f>dpSales_RemainTerm_AdjPerYr</f>
        <v>0.02</v>
      </c>
      <c r="W45" s="2169"/>
      <c r="X45" s="2167">
        <f>dpSales_RemainTerm_AdjPerYr</f>
        <v>0.02</v>
      </c>
      <c r="Y45" s="2167"/>
      <c r="Z45" s="2167">
        <f>dpSales_RemainTerm_AdjPerYr</f>
        <v>0.02</v>
      </c>
      <c r="AA45" s="2169"/>
      <c r="AB45" s="2167">
        <f>dpSales_RemainTerm_AdjPerYr</f>
        <v>0.02</v>
      </c>
      <c r="AC45" s="2169"/>
      <c r="AD45" s="2167">
        <f>dpSales_RemainTerm_AdjPerYr</f>
        <v>0.02</v>
      </c>
      <c r="AE45" s="2169"/>
      <c r="AF45" s="2167">
        <f>dpSales_RemainTerm_AdjPerYr</f>
        <v>0.02</v>
      </c>
      <c r="AG45" s="2169"/>
      <c r="AH45" s="2167">
        <f>dpSales_RemainTerm_AdjPerYr</f>
        <v>0.02</v>
      </c>
      <c r="AI45" s="1278"/>
      <c r="AJ45" s="1252"/>
      <c r="AK45" s="12" t="s">
        <v>1857</v>
      </c>
      <c r="AL45" s="911"/>
      <c r="AM45" s="911"/>
      <c r="AN45" s="911"/>
      <c r="AO45" s="911"/>
    </row>
    <row r="46" spans="1:41" ht="17.100000000000001" customHeight="1" thickBot="1" x14ac:dyDescent="0.3">
      <c r="A46" s="911"/>
      <c r="B46" s="1251"/>
      <c r="C46" s="1278"/>
      <c r="D46" s="1188" t="s">
        <v>1800</v>
      </c>
      <c r="E46" s="1188"/>
      <c r="F46" s="1709" t="str">
        <f ca="1">IF(ISERROR(F44*F45),"",F44*F45)</f>
        <v/>
      </c>
      <c r="G46" s="1709"/>
      <c r="H46" s="1709" t="str">
        <f ca="1">IF(ISERROR(H44*H45),"",H44*H45)</f>
        <v/>
      </c>
      <c r="I46" s="1564"/>
      <c r="J46" s="1709" t="str">
        <f ca="1">IF(ISERROR(J44*J45),"",J44*J45)</f>
        <v/>
      </c>
      <c r="K46" s="1564"/>
      <c r="L46" s="1709" t="str">
        <f ca="1">IF(ISERROR(L44*L45),"",L44*L45)</f>
        <v/>
      </c>
      <c r="M46" s="1564"/>
      <c r="N46" s="1709" t="str">
        <f ca="1">IF(ISERROR(N44*N45),"",N44*N45)</f>
        <v/>
      </c>
      <c r="O46" s="1564"/>
      <c r="P46" s="1709" t="str">
        <f ca="1">IF(ISERROR(P44*P45),"",P44*P45)</f>
        <v/>
      </c>
      <c r="Q46" s="1564"/>
      <c r="R46" s="1709" t="str">
        <f ca="1">IF(ISERROR(R44*R45),"",R44*R45)</f>
        <v/>
      </c>
      <c r="S46" s="1564"/>
      <c r="T46" s="1709" t="str">
        <f ca="1">IF(ISERROR(T44*T45),"",T44*T45)</f>
        <v/>
      </c>
      <c r="U46" s="1564"/>
      <c r="V46" s="1709" t="str">
        <f ca="1">IF(ISERROR(V44*V45),"",V44*V45)</f>
        <v/>
      </c>
      <c r="W46" s="1564"/>
      <c r="X46" s="1709" t="str">
        <f ca="1">IF(ISERROR(X44*X45),"",X44*X45)</f>
        <v/>
      </c>
      <c r="Y46" s="1564"/>
      <c r="Z46" s="1709" t="str">
        <f ca="1">IF(ISERROR(Z44*Z45),"",Z44*Z45)</f>
        <v/>
      </c>
      <c r="AA46" s="1564"/>
      <c r="AB46" s="1709" t="str">
        <f ca="1">IF(ISERROR(AB44*AB45),"",AB44*AB45)</f>
        <v/>
      </c>
      <c r="AC46" s="1564"/>
      <c r="AD46" s="1709" t="str">
        <f ca="1">IF(ISERROR(AD44*AD45),"",AD44*AD45)</f>
        <v/>
      </c>
      <c r="AE46" s="1564"/>
      <c r="AF46" s="1709" t="str">
        <f ca="1">IF(ISERROR(AF44*AF45),"",AF44*AF45)</f>
        <v/>
      </c>
      <c r="AG46" s="1564"/>
      <c r="AH46" s="1709" t="str">
        <f ca="1">IF(ISERROR(AH44*AH45),"",AH44*AH45)</f>
        <v/>
      </c>
      <c r="AI46" s="1278"/>
      <c r="AJ46" s="1252"/>
      <c r="AK46" s="911"/>
      <c r="AL46" s="911"/>
      <c r="AM46" s="911"/>
      <c r="AN46" s="911"/>
      <c r="AO46" s="911"/>
    </row>
    <row r="47" spans="1:41" ht="14.25" customHeight="1" thickBot="1" x14ac:dyDescent="0.3">
      <c r="A47" s="911"/>
      <c r="B47" s="1253"/>
      <c r="C47" s="1254"/>
      <c r="D47" s="552" t="s">
        <v>1859</v>
      </c>
      <c r="E47" s="1254"/>
      <c r="F47" s="1259"/>
      <c r="G47" s="1259"/>
      <c r="H47" s="1259"/>
      <c r="I47" s="1259"/>
      <c r="J47" s="1259"/>
      <c r="K47" s="1259"/>
      <c r="L47" s="1259"/>
      <c r="M47" s="1259"/>
      <c r="N47" s="1259"/>
      <c r="O47" s="1259"/>
      <c r="P47" s="1259"/>
      <c r="Q47" s="1259"/>
      <c r="R47" s="1254"/>
      <c r="S47" s="1254"/>
      <c r="T47" s="1254"/>
      <c r="U47" s="1254"/>
      <c r="V47" s="1254"/>
      <c r="W47" s="1254"/>
      <c r="X47" s="1254"/>
      <c r="Y47" s="1254"/>
      <c r="Z47" s="1254"/>
      <c r="AA47" s="1254"/>
      <c r="AB47" s="1254"/>
      <c r="AC47" s="1254"/>
      <c r="AD47" s="1254"/>
      <c r="AE47" s="1254"/>
      <c r="AF47" s="1254"/>
      <c r="AG47" s="1254"/>
      <c r="AH47" s="1254"/>
      <c r="AI47" s="1254"/>
      <c r="AJ47" s="1255"/>
      <c r="AK47" s="911"/>
      <c r="AL47" s="911"/>
      <c r="AM47" s="911"/>
      <c r="AN47" s="911"/>
      <c r="AO47" s="911"/>
    </row>
    <row r="48" spans="1:41" ht="14.25" customHeight="1" thickBot="1" x14ac:dyDescent="0.3">
      <c r="A48" s="911"/>
      <c r="B48" s="911"/>
      <c r="C48" s="911"/>
      <c r="D48" s="911"/>
      <c r="E48" s="41"/>
      <c r="F48" s="1256"/>
      <c r="G48" s="1256"/>
      <c r="H48" s="1256"/>
      <c r="I48" s="1256"/>
      <c r="J48" s="1256"/>
      <c r="K48" s="1256"/>
      <c r="L48" s="1256"/>
      <c r="M48" s="1256"/>
      <c r="N48" s="1256"/>
      <c r="O48" s="1256"/>
      <c r="P48" s="1256"/>
      <c r="Q48" s="1256"/>
      <c r="R48" s="911"/>
      <c r="S48" s="911"/>
      <c r="T48" s="911"/>
      <c r="U48" s="911"/>
      <c r="V48" s="911"/>
      <c r="W48" s="911"/>
      <c r="X48" s="911"/>
      <c r="Y48" s="911"/>
      <c r="Z48" s="911"/>
      <c r="AA48" s="911"/>
      <c r="AB48" s="911"/>
      <c r="AC48" s="911"/>
      <c r="AD48" s="911"/>
      <c r="AE48" s="911"/>
      <c r="AF48" s="911"/>
      <c r="AG48" s="911"/>
      <c r="AH48" s="911"/>
      <c r="AI48" s="911"/>
      <c r="AJ48" s="911"/>
      <c r="AK48" s="911"/>
      <c r="AL48" s="911"/>
      <c r="AM48" s="911"/>
      <c r="AN48" s="911"/>
      <c r="AO48" s="911"/>
    </row>
    <row r="49" spans="1:41" ht="14.25" customHeight="1" x14ac:dyDescent="0.25">
      <c r="A49" s="911"/>
      <c r="B49" s="1248"/>
      <c r="C49" s="1249"/>
      <c r="D49" s="1249"/>
      <c r="E49" s="1249"/>
      <c r="F49" s="1257"/>
      <c r="G49" s="1257"/>
      <c r="H49" s="1257"/>
      <c r="I49" s="1257"/>
      <c r="J49" s="1257"/>
      <c r="K49" s="1257"/>
      <c r="L49" s="1257"/>
      <c r="M49" s="1257"/>
      <c r="N49" s="1257"/>
      <c r="O49" s="1257"/>
      <c r="P49" s="1257"/>
      <c r="Q49" s="1257"/>
      <c r="R49" s="1249"/>
      <c r="S49" s="1249"/>
      <c r="T49" s="1249"/>
      <c r="U49" s="1249"/>
      <c r="V49" s="1249"/>
      <c r="W49" s="1249"/>
      <c r="X49" s="1249"/>
      <c r="Y49" s="1249"/>
      <c r="Z49" s="1249"/>
      <c r="AA49" s="1249"/>
      <c r="AB49" s="1249"/>
      <c r="AC49" s="1249"/>
      <c r="AD49" s="1249"/>
      <c r="AE49" s="1249"/>
      <c r="AF49" s="1249"/>
      <c r="AG49" s="1249"/>
      <c r="AH49" s="1249"/>
      <c r="AI49" s="1249"/>
      <c r="AJ49" s="1250"/>
      <c r="AK49" s="911"/>
      <c r="AL49" s="911"/>
      <c r="AM49" s="911"/>
      <c r="AN49" s="911"/>
      <c r="AO49" s="911"/>
    </row>
    <row r="50" spans="1:41" ht="14.25" customHeight="1" x14ac:dyDescent="0.3">
      <c r="A50" s="911"/>
      <c r="B50" s="1251"/>
      <c r="C50" s="1080"/>
      <c r="D50" s="246" t="str">
        <f>CONCATENATE("Age/Condition Adjustment - ",dpSales_ComponentNameB2," Component")</f>
        <v>Age/Condition Adjustment -  Component</v>
      </c>
      <c r="E50" s="246"/>
      <c r="F50" s="1258"/>
      <c r="G50" s="1258"/>
      <c r="H50" s="1258"/>
      <c r="I50" s="1258"/>
      <c r="J50" s="1258"/>
      <c r="K50" s="1258"/>
      <c r="L50" s="1258"/>
      <c r="M50" s="1258"/>
      <c r="N50" s="1258"/>
      <c r="O50" s="1258"/>
      <c r="P50" s="1258"/>
      <c r="Q50" s="1258"/>
      <c r="R50" s="1080"/>
      <c r="S50" s="1080"/>
      <c r="T50" s="1080"/>
      <c r="U50" s="1080"/>
      <c r="V50" s="1080"/>
      <c r="W50" s="1080"/>
      <c r="X50" s="1080"/>
      <c r="Y50" s="1080"/>
      <c r="Z50" s="1080"/>
      <c r="AA50" s="1080"/>
      <c r="AB50" s="1080"/>
      <c r="AC50" s="1080"/>
      <c r="AD50" s="1080"/>
      <c r="AE50" s="1080"/>
      <c r="AF50" s="1080"/>
      <c r="AG50" s="1080"/>
      <c r="AH50" s="1080"/>
      <c r="AI50" s="1080"/>
      <c r="AJ50" s="1252"/>
      <c r="AK50" s="911"/>
      <c r="AL50" s="911"/>
      <c r="AM50" s="911"/>
      <c r="AN50" s="911"/>
      <c r="AO50" s="911"/>
    </row>
    <row r="51" spans="1:41" ht="17.100000000000001" customHeight="1" x14ac:dyDescent="0.25">
      <c r="A51" s="911"/>
      <c r="B51" s="1251"/>
      <c r="C51" s="911"/>
      <c r="D51" s="12" t="s">
        <v>1100</v>
      </c>
      <c r="E51" s="12"/>
      <c r="F51" s="1269">
        <v>1</v>
      </c>
      <c r="G51" s="1269"/>
      <c r="H51" s="1269">
        <f>F51+1</f>
        <v>2</v>
      </c>
      <c r="I51" s="1269"/>
      <c r="J51" s="1269">
        <f>H51+1</f>
        <v>3</v>
      </c>
      <c r="K51" s="1269"/>
      <c r="L51" s="1269">
        <f>J51+1</f>
        <v>4</v>
      </c>
      <c r="M51" s="1269"/>
      <c r="N51" s="1269">
        <f>L51+1</f>
        <v>5</v>
      </c>
      <c r="O51" s="11"/>
      <c r="P51" s="1269">
        <f>N51+1</f>
        <v>6</v>
      </c>
      <c r="Q51" s="124"/>
      <c r="R51" s="1269">
        <f>P51+1</f>
        <v>7</v>
      </c>
      <c r="S51" s="11"/>
      <c r="T51" s="1269">
        <f>R51+1</f>
        <v>8</v>
      </c>
      <c r="U51" s="11"/>
      <c r="V51" s="1269">
        <f>T51+1</f>
        <v>9</v>
      </c>
      <c r="W51" s="11"/>
      <c r="X51" s="1269">
        <f>V51+1</f>
        <v>10</v>
      </c>
      <c r="Y51" s="11"/>
      <c r="Z51" s="1269">
        <f>X51+1</f>
        <v>11</v>
      </c>
      <c r="AA51" s="11"/>
      <c r="AB51" s="1269">
        <f>Z51+1</f>
        <v>12</v>
      </c>
      <c r="AC51" s="11"/>
      <c r="AD51" s="1269">
        <f>AB51+1</f>
        <v>13</v>
      </c>
      <c r="AE51" s="11"/>
      <c r="AF51" s="1269">
        <f>AD51+1</f>
        <v>14</v>
      </c>
      <c r="AG51" s="11"/>
      <c r="AH51" s="1269">
        <f>AF51+1</f>
        <v>15</v>
      </c>
      <c r="AI51" s="911"/>
      <c r="AJ51" s="1252"/>
      <c r="AK51" s="911"/>
      <c r="AL51" s="911"/>
      <c r="AM51" s="911"/>
      <c r="AN51" s="911"/>
      <c r="AO51" s="911"/>
    </row>
    <row r="52" spans="1:41" ht="17.100000000000001" customHeight="1" x14ac:dyDescent="0.25">
      <c r="A52" s="911"/>
      <c r="B52" s="1251"/>
      <c r="C52" s="1278"/>
      <c r="D52" s="1278" t="s">
        <v>10</v>
      </c>
      <c r="E52" s="1278"/>
      <c r="F52" s="2164">
        <f>HLOOKUP(F$51,'Improved Sales Adjustments 2'!$G$7:$WV$147,64,FALSE)</f>
        <v>0</v>
      </c>
      <c r="G52" s="1361"/>
      <c r="H52" s="2164">
        <f>HLOOKUP(H$51,'Improved Sales Adjustments 2'!$G$7:$WV$147,64,FALSE)</f>
        <v>0</v>
      </c>
      <c r="I52" s="1361"/>
      <c r="J52" s="2164">
        <f>HLOOKUP(J$51,'Improved Sales Adjustments 2'!$G$7:$WV$147,64,FALSE)</f>
        <v>0</v>
      </c>
      <c r="K52" s="1361"/>
      <c r="L52" s="2164">
        <f>HLOOKUP(L$51,'Improved Sales Adjustments 2'!$G$7:$WV$147,64,FALSE)</f>
        <v>0</v>
      </c>
      <c r="M52" s="1361"/>
      <c r="N52" s="2164">
        <f>HLOOKUP(N$51,'Improved Sales Adjustments 2'!$G$7:$WV$147,64,FALSE)</f>
        <v>0</v>
      </c>
      <c r="O52" s="1361"/>
      <c r="P52" s="2164">
        <f>HLOOKUP(P$51,'Improved Sales Adjustments 2'!$G$7:$WV$147,64,FALSE)</f>
        <v>0</v>
      </c>
      <c r="Q52" s="1361"/>
      <c r="R52" s="2164" t="e">
        <f>HLOOKUP(R$51,'Improved Sales Adjustments 2'!$G$7:$WV$147,64,FALSE)</f>
        <v>#N/A</v>
      </c>
      <c r="S52" s="1711"/>
      <c r="T52" s="2164" t="e">
        <f>HLOOKUP(T$51,'Improved Sales Adjustments 2'!$G$7:$WV$147,64,FALSE)</f>
        <v>#N/A</v>
      </c>
      <c r="U52" s="1711"/>
      <c r="V52" s="2164" t="e">
        <f>HLOOKUP(V$51,'Improved Sales Adjustments 2'!$G$7:$WV$147,64,FALSE)</f>
        <v>#N/A</v>
      </c>
      <c r="W52" s="1711"/>
      <c r="X52" s="2164" t="e">
        <f>HLOOKUP(X$51,'Improved Sales Adjustments 2'!$G$7:$WV$147,64,FALSE)</f>
        <v>#N/A</v>
      </c>
      <c r="Y52" s="1711"/>
      <c r="Z52" s="2164" t="e">
        <f>HLOOKUP(Z$51,'Improved Sales Adjustments 2'!$G$7:$WV$147,64,FALSE)</f>
        <v>#N/A</v>
      </c>
      <c r="AA52" s="1711"/>
      <c r="AB52" s="2164" t="e">
        <f>HLOOKUP(AB$51,'Improved Sales Adjustments 2'!$G$7:$WV$147,64,FALSE)</f>
        <v>#N/A</v>
      </c>
      <c r="AC52" s="1711"/>
      <c r="AD52" s="2164" t="e">
        <f>HLOOKUP(AD$51,'Improved Sales Adjustments 2'!$G$7:$WV$147,64,FALSE)</f>
        <v>#N/A</v>
      </c>
      <c r="AE52" s="1711"/>
      <c r="AF52" s="2164" t="e">
        <f>HLOOKUP(AF$51,'Improved Sales Adjustments 2'!$G$7:$WV$147,64,FALSE)</f>
        <v>#N/A</v>
      </c>
      <c r="AG52" s="1711"/>
      <c r="AH52" s="2164" t="e">
        <f>HLOOKUP(AH$51,'Improved Sales Adjustments 2'!$G$7:$WV$147,64,FALSE)</f>
        <v>#N/A</v>
      </c>
      <c r="AI52" s="1278"/>
      <c r="AJ52" s="1252"/>
      <c r="AK52" s="911"/>
      <c r="AL52" s="911"/>
      <c r="AM52" s="911"/>
      <c r="AN52" s="911"/>
      <c r="AO52" s="911"/>
    </row>
    <row r="53" spans="1:41" ht="17.100000000000001" customHeight="1" x14ac:dyDescent="0.25">
      <c r="A53" s="911"/>
      <c r="B53" s="1251"/>
      <c r="C53" s="1278"/>
      <c r="D53" s="1278" t="s">
        <v>538</v>
      </c>
      <c r="E53" s="1278"/>
      <c r="F53" s="2163">
        <f>HLOOKUP(F$51,'Improved Sales Adjustments 2'!$G$7:$WV$147,67,FALSE)</f>
        <v>0</v>
      </c>
      <c r="G53" s="1361"/>
      <c r="H53" s="2163">
        <f>HLOOKUP(H$51,'Improved Sales Adjustments 2'!$G$7:$WV$147,67,FALSE)</f>
        <v>0</v>
      </c>
      <c r="I53" s="1361"/>
      <c r="J53" s="2163">
        <f>HLOOKUP(J$51,'Improved Sales Adjustments 2'!$G$7:$WV$147,67,FALSE)</f>
        <v>0</v>
      </c>
      <c r="K53" s="1361"/>
      <c r="L53" s="2163">
        <f>HLOOKUP(L$51,'Improved Sales Adjustments 2'!$G$7:$WV$147,67,FALSE)</f>
        <v>0</v>
      </c>
      <c r="M53" s="1361"/>
      <c r="N53" s="2163">
        <f>HLOOKUP(N$51,'Improved Sales Adjustments 2'!$G$7:$WV$147,67,FALSE)</f>
        <v>0</v>
      </c>
      <c r="O53" s="1361"/>
      <c r="P53" s="2163">
        <f>HLOOKUP(P$51,'Improved Sales Adjustments 2'!$G$7:$WV$147,67,FALSE)</f>
        <v>0</v>
      </c>
      <c r="Q53" s="1361"/>
      <c r="R53" s="2163" t="e">
        <f>HLOOKUP(R$51,'Improved Sales Adjustments 2'!$G$7:$WV$147,67,FALSE)</f>
        <v>#N/A</v>
      </c>
      <c r="S53" s="1711"/>
      <c r="T53" s="2163" t="e">
        <f>HLOOKUP(T$51,'Improved Sales Adjustments 2'!$G$7:$WV$147,67,FALSE)</f>
        <v>#N/A</v>
      </c>
      <c r="U53" s="1711"/>
      <c r="V53" s="2163" t="e">
        <f>HLOOKUP(V$51,'Improved Sales Adjustments 2'!$G$7:$WV$147,67,FALSE)</f>
        <v>#N/A</v>
      </c>
      <c r="W53" s="1711"/>
      <c r="X53" s="2163" t="e">
        <f>HLOOKUP(X$51,'Improved Sales Adjustments 2'!$G$7:$WV$147,67,FALSE)</f>
        <v>#N/A</v>
      </c>
      <c r="Y53" s="1711"/>
      <c r="Z53" s="2163" t="e">
        <f>HLOOKUP(Z$51,'Improved Sales Adjustments 2'!$G$7:$WV$147,67,FALSE)</f>
        <v>#N/A</v>
      </c>
      <c r="AA53" s="1711"/>
      <c r="AB53" s="2163" t="e">
        <f>HLOOKUP(AB$51,'Improved Sales Adjustments 2'!$G$7:$WV$147,67,FALSE)</f>
        <v>#N/A</v>
      </c>
      <c r="AC53" s="1711"/>
      <c r="AD53" s="2163" t="e">
        <f>HLOOKUP(AD$51,'Improved Sales Adjustments 2'!$G$7:$WV$147,67,FALSE)</f>
        <v>#N/A</v>
      </c>
      <c r="AE53" s="1711"/>
      <c r="AF53" s="2163" t="e">
        <f>HLOOKUP(AF$51,'Improved Sales Adjustments 2'!$G$7:$WV$147,67,FALSE)</f>
        <v>#N/A</v>
      </c>
      <c r="AG53" s="1711"/>
      <c r="AH53" s="2163" t="e">
        <f>HLOOKUP(AH$51,'Improved Sales Adjustments 2'!$G$7:$WV$147,67,FALSE)</f>
        <v>#N/A</v>
      </c>
      <c r="AI53" s="1278"/>
      <c r="AJ53" s="1252"/>
      <c r="AK53" s="911"/>
      <c r="AL53" s="911"/>
      <c r="AM53" s="911"/>
      <c r="AN53" s="911"/>
      <c r="AO53" s="911"/>
    </row>
    <row r="54" spans="1:41" ht="17.100000000000001" customHeight="1" x14ac:dyDescent="0.25">
      <c r="A54" s="911"/>
      <c r="B54" s="1251"/>
      <c r="C54" s="1278"/>
      <c r="D54" s="1278" t="s">
        <v>17</v>
      </c>
      <c r="E54" s="1278"/>
      <c r="F54" s="2163">
        <f>HLOOKUP(F$51,'Improved Sales Adjustments 2'!$G$7:$WV$147,68,FALSE)</f>
        <v>0</v>
      </c>
      <c r="G54" s="1361"/>
      <c r="H54" s="2163">
        <f>HLOOKUP(H$51,'Improved Sales Adjustments 2'!$G$7:$WV$147,68,FALSE)</f>
        <v>0</v>
      </c>
      <c r="I54" s="1361"/>
      <c r="J54" s="2163">
        <f>HLOOKUP(J$51,'Improved Sales Adjustments 2'!$G$7:$WV$147,68,FALSE)</f>
        <v>0</v>
      </c>
      <c r="K54" s="1361"/>
      <c r="L54" s="2163">
        <f>HLOOKUP(L$51,'Improved Sales Adjustments 2'!$G$7:$WV$147,68,FALSE)</f>
        <v>0</v>
      </c>
      <c r="M54" s="1361"/>
      <c r="N54" s="2163">
        <f>HLOOKUP(N$51,'Improved Sales Adjustments 2'!$G$7:$WV$147,68,FALSE)</f>
        <v>0</v>
      </c>
      <c r="O54" s="1361"/>
      <c r="P54" s="2163">
        <f>HLOOKUP(P$51,'Improved Sales Adjustments 2'!$G$7:$WV$147,68,FALSE)</f>
        <v>0</v>
      </c>
      <c r="Q54" s="1361"/>
      <c r="R54" s="2163" t="e">
        <f>HLOOKUP(R$51,'Improved Sales Adjustments 2'!$G$7:$WV$147,68,FALSE)</f>
        <v>#N/A</v>
      </c>
      <c r="S54" s="1711"/>
      <c r="T54" s="2163" t="e">
        <f>HLOOKUP(T$51,'Improved Sales Adjustments 2'!$G$7:$WV$147,68,FALSE)</f>
        <v>#N/A</v>
      </c>
      <c r="U54" s="1711"/>
      <c r="V54" s="2163" t="e">
        <f>HLOOKUP(V$51,'Improved Sales Adjustments 2'!$G$7:$WV$147,68,FALSE)</f>
        <v>#N/A</v>
      </c>
      <c r="W54" s="1711"/>
      <c r="X54" s="2163" t="e">
        <f>HLOOKUP(X$51,'Improved Sales Adjustments 2'!$G$7:$WV$147,68,FALSE)</f>
        <v>#N/A</v>
      </c>
      <c r="Y54" s="1711"/>
      <c r="Z54" s="2163" t="e">
        <f>HLOOKUP(Z$51,'Improved Sales Adjustments 2'!$G$7:$WV$147,68,FALSE)</f>
        <v>#N/A</v>
      </c>
      <c r="AA54" s="1711"/>
      <c r="AB54" s="2163" t="e">
        <f>HLOOKUP(AB$51,'Improved Sales Adjustments 2'!$G$7:$WV$147,68,FALSE)</f>
        <v>#N/A</v>
      </c>
      <c r="AC54" s="1711"/>
      <c r="AD54" s="2163" t="e">
        <f>HLOOKUP(AD$51,'Improved Sales Adjustments 2'!$G$7:$WV$147,68,FALSE)</f>
        <v>#N/A</v>
      </c>
      <c r="AE54" s="1711"/>
      <c r="AF54" s="2163" t="e">
        <f>HLOOKUP(AF$51,'Improved Sales Adjustments 2'!$G$7:$WV$147,68,FALSE)</f>
        <v>#N/A</v>
      </c>
      <c r="AG54" s="1711"/>
      <c r="AH54" s="2163" t="e">
        <f>HLOOKUP(AH$51,'Improved Sales Adjustments 2'!$G$7:$WV$147,68,FALSE)</f>
        <v>#N/A</v>
      </c>
      <c r="AI54" s="1278"/>
      <c r="AJ54" s="1252"/>
      <c r="AK54" s="911"/>
      <c r="AL54" s="911"/>
      <c r="AM54" s="911"/>
      <c r="AN54" s="911"/>
      <c r="AO54" s="911"/>
    </row>
    <row r="55" spans="1:41" ht="17.100000000000001" customHeight="1" x14ac:dyDescent="0.25">
      <c r="A55" s="911"/>
      <c r="B55" s="1251"/>
      <c r="C55" s="1278"/>
      <c r="D55" s="1278" t="s">
        <v>244</v>
      </c>
      <c r="E55" s="1278"/>
      <c r="F55" s="2163">
        <f>HLOOKUP(F$51,'Improved Sales Adjustments 2'!$G$7:$WV$147,70,FALSE)</f>
        <v>0</v>
      </c>
      <c r="G55" s="1704"/>
      <c r="H55" s="2163">
        <f>HLOOKUP(H$51,'Improved Sales Adjustments 2'!$G$7:$WV$147,70,FALSE)</f>
        <v>0</v>
      </c>
      <c r="I55" s="1704"/>
      <c r="J55" s="2163">
        <f>HLOOKUP(J$51,'Improved Sales Adjustments 2'!$G$7:$WV$147,70,FALSE)</f>
        <v>0</v>
      </c>
      <c r="K55" s="1704"/>
      <c r="L55" s="2163">
        <f>HLOOKUP(L$51,'Improved Sales Adjustments 2'!$G$7:$WV$147,70,FALSE)</f>
        <v>0</v>
      </c>
      <c r="M55" s="1704"/>
      <c r="N55" s="2163">
        <f>HLOOKUP(N$51,'Improved Sales Adjustments 2'!$G$7:$WV$147,70,FALSE)</f>
        <v>0</v>
      </c>
      <c r="O55" s="1704"/>
      <c r="P55" s="2163">
        <f>HLOOKUP(P$51,'Improved Sales Adjustments 2'!$G$7:$WV$147,70,FALSE)</f>
        <v>0</v>
      </c>
      <c r="Q55" s="1704"/>
      <c r="R55" s="2163" t="e">
        <f>HLOOKUP(R$51,'Improved Sales Adjustments 2'!$G$7:$WV$147,70,FALSE)</f>
        <v>#N/A</v>
      </c>
      <c r="S55" s="1278"/>
      <c r="T55" s="2163" t="e">
        <f>HLOOKUP(T$51,'Improved Sales Adjustments 2'!$G$7:$WV$147,70,FALSE)</f>
        <v>#N/A</v>
      </c>
      <c r="U55" s="1278"/>
      <c r="V55" s="2163" t="e">
        <f>HLOOKUP(V$51,'Improved Sales Adjustments 2'!$G$7:$WV$147,70,FALSE)</f>
        <v>#N/A</v>
      </c>
      <c r="W55" s="1278"/>
      <c r="X55" s="2163" t="e">
        <f>HLOOKUP(X$51,'Improved Sales Adjustments 2'!$G$7:$WV$147,70,FALSE)</f>
        <v>#N/A</v>
      </c>
      <c r="Y55" s="1278"/>
      <c r="Z55" s="2163" t="e">
        <f>HLOOKUP(Z$51,'Improved Sales Adjustments 2'!$G$7:$WV$147,70,FALSE)</f>
        <v>#N/A</v>
      </c>
      <c r="AA55" s="1278"/>
      <c r="AB55" s="2163" t="e">
        <f>HLOOKUP(AB$51,'Improved Sales Adjustments 2'!$G$7:$WV$147,70,FALSE)</f>
        <v>#N/A</v>
      </c>
      <c r="AC55" s="1278"/>
      <c r="AD55" s="2163" t="e">
        <f>HLOOKUP(AD$51,'Improved Sales Adjustments 2'!$G$7:$WV$147,70,FALSE)</f>
        <v>#N/A</v>
      </c>
      <c r="AE55" s="1278"/>
      <c r="AF55" s="2163" t="e">
        <f>HLOOKUP(AF$51,'Improved Sales Adjustments 2'!$G$7:$WV$147,70,FALSE)</f>
        <v>#N/A</v>
      </c>
      <c r="AG55" s="1278"/>
      <c r="AH55" s="2163" t="e">
        <f>HLOOKUP(AH$51,'Improved Sales Adjustments 2'!$G$7:$WV$147,70,FALSE)</f>
        <v>#N/A</v>
      </c>
      <c r="AI55" s="1278"/>
      <c r="AJ55" s="1252"/>
      <c r="AK55" s="911"/>
      <c r="AL55" s="911"/>
      <c r="AM55" s="911"/>
      <c r="AN55" s="911"/>
      <c r="AO55" s="911"/>
    </row>
    <row r="56" spans="1:41" ht="17.100000000000001" customHeight="1" x14ac:dyDescent="0.25">
      <c r="A56" s="911"/>
      <c r="B56" s="1251"/>
      <c r="C56" s="1278"/>
      <c r="D56" s="1278" t="s">
        <v>1837</v>
      </c>
      <c r="E56" s="1278"/>
      <c r="F56" s="1712" t="e">
        <f>HLOOKUP(F$55,AutoAdj_Marshall_DepreciationTable_2,F$54+3,FALSE)</f>
        <v>#N/A</v>
      </c>
      <c r="G56" s="1704"/>
      <c r="H56" s="1712" t="e">
        <f>HLOOKUP(H$55,AutoAdj_Marshall_DepreciationTable_2,H$54+3,FALSE)</f>
        <v>#N/A</v>
      </c>
      <c r="I56" s="1704"/>
      <c r="J56" s="1712" t="e">
        <f>HLOOKUP(J$55,AutoAdj_Marshall_DepreciationTable_2,J$54+3,FALSE)</f>
        <v>#N/A</v>
      </c>
      <c r="K56" s="1704"/>
      <c r="L56" s="1712" t="e">
        <f>HLOOKUP(L$55,AutoAdj_Marshall_DepreciationTable_2,L$54+3,FALSE)</f>
        <v>#N/A</v>
      </c>
      <c r="M56" s="1704"/>
      <c r="N56" s="1712" t="e">
        <f>HLOOKUP(N$55,AutoAdj_Marshall_DepreciationTable_2,N$54+3,FALSE)</f>
        <v>#N/A</v>
      </c>
      <c r="O56" s="1704"/>
      <c r="P56" s="1712" t="e">
        <f>HLOOKUP(P$55,AutoAdj_Marshall_DepreciationTable_2,P$54+3,FALSE)</f>
        <v>#N/A</v>
      </c>
      <c r="Q56" s="1704"/>
      <c r="R56" s="1712" t="e">
        <f>HLOOKUP(R$55,AutoAdj_Marshall_DepreciationTable_2,R$54+3,FALSE)</f>
        <v>#N/A</v>
      </c>
      <c r="S56" s="1278"/>
      <c r="T56" s="1712" t="e">
        <f>HLOOKUP(T$55,AutoAdj_Marshall_DepreciationTable_2,T$54+3,FALSE)</f>
        <v>#N/A</v>
      </c>
      <c r="U56" s="1278"/>
      <c r="V56" s="1712" t="e">
        <f>HLOOKUP(V$55,AutoAdj_Marshall_DepreciationTable_2,V$54+3,FALSE)</f>
        <v>#N/A</v>
      </c>
      <c r="W56" s="1278"/>
      <c r="X56" s="1712" t="e">
        <f>HLOOKUP(X$55,AutoAdj_Marshall_DepreciationTable_2,X$54+3,FALSE)</f>
        <v>#N/A</v>
      </c>
      <c r="Y56" s="1278"/>
      <c r="Z56" s="1712" t="e">
        <f>HLOOKUP(Z$55,AutoAdj_Marshall_DepreciationTable_2,Z$54+3,FALSE)</f>
        <v>#N/A</v>
      </c>
      <c r="AA56" s="1278"/>
      <c r="AB56" s="1712" t="e">
        <f>HLOOKUP(AB$55,AutoAdj_Marshall_DepreciationTable_2,AB$54+3,FALSE)</f>
        <v>#N/A</v>
      </c>
      <c r="AC56" s="1278"/>
      <c r="AD56" s="1712" t="e">
        <f>HLOOKUP(AD$55,AutoAdj_Marshall_DepreciationTable_2,AD$54+3,FALSE)</f>
        <v>#N/A</v>
      </c>
      <c r="AE56" s="1278"/>
      <c r="AF56" s="1712" t="e">
        <f>HLOOKUP(AF$55,AutoAdj_Marshall_DepreciationTable_2,AF$54+3,FALSE)</f>
        <v>#N/A</v>
      </c>
      <c r="AG56" s="1278"/>
      <c r="AH56" s="1712" t="e">
        <f>HLOOKUP(AH$55,AutoAdj_Marshall_DepreciationTable_2,AH$54+3,FALSE)</f>
        <v>#N/A</v>
      </c>
      <c r="AI56" s="1278"/>
      <c r="AJ56" s="1252"/>
      <c r="AK56" s="911"/>
      <c r="AL56" s="911"/>
      <c r="AM56" s="911"/>
      <c r="AN56" s="911"/>
      <c r="AO56" s="911"/>
    </row>
    <row r="57" spans="1:41" ht="17.100000000000001" customHeight="1" x14ac:dyDescent="0.25">
      <c r="A57" s="911"/>
      <c r="B57" s="1251"/>
      <c r="C57" s="1278"/>
      <c r="D57" s="1713" t="s">
        <v>1836</v>
      </c>
      <c r="E57" s="1713"/>
      <c r="F57" s="2165">
        <f>HLOOKUP(Sales_AdjGrid_AgeTotalEco_2,AutoAdj_Marshall_DepreciationTable_2,Sales_AdjGrid_AgeEffective_2+3,FALSE)</f>
        <v>0</v>
      </c>
      <c r="G57" s="1715"/>
      <c r="H57" s="2165">
        <f>HLOOKUP(Sales_AdjGrid_AgeTotalEco_2,AutoAdj_Marshall_DepreciationTable_2,Sales_AdjGrid_AgeEffective_2+3,FALSE)</f>
        <v>0</v>
      </c>
      <c r="I57" s="1715"/>
      <c r="J57" s="2165">
        <f>HLOOKUP(Sales_AdjGrid_AgeTotalEco_2,AutoAdj_Marshall_DepreciationTable_2,Sales_AdjGrid_AgeEffective_2+3,FALSE)</f>
        <v>0</v>
      </c>
      <c r="K57" s="1715"/>
      <c r="L57" s="2165">
        <f>HLOOKUP(Sales_AdjGrid_AgeTotalEco_2,AutoAdj_Marshall_DepreciationTable_2,Sales_AdjGrid_AgeEffective_2+3,FALSE)</f>
        <v>0</v>
      </c>
      <c r="M57" s="1715"/>
      <c r="N57" s="2165">
        <f>HLOOKUP(Sales_AdjGrid_AgeTotalEco_2,AutoAdj_Marshall_DepreciationTable_2,Sales_AdjGrid_AgeEffective_2+3,FALSE)</f>
        <v>0</v>
      </c>
      <c r="O57" s="1715"/>
      <c r="P57" s="2165">
        <f>HLOOKUP(Sales_AdjGrid_AgeTotalEco_2,AutoAdj_Marshall_DepreciationTable_2,Sales_AdjGrid_AgeEffective_2+3,FALSE)</f>
        <v>0</v>
      </c>
      <c r="Q57" s="1715"/>
      <c r="R57" s="2165">
        <f>HLOOKUP(Sales_AdjGrid_AgeTotalEco_2,AutoAdj_Marshall_DepreciationTable_2,Sales_AdjGrid_AgeEffective_2+3,FALSE)</f>
        <v>0</v>
      </c>
      <c r="S57" s="1713"/>
      <c r="T57" s="2165">
        <f>HLOOKUP(Sales_AdjGrid_AgeTotalEco_2,AutoAdj_Marshall_DepreciationTable_2,Sales_AdjGrid_AgeEffective_2+3,FALSE)</f>
        <v>0</v>
      </c>
      <c r="U57" s="1713"/>
      <c r="V57" s="2165">
        <f>HLOOKUP(Sales_AdjGrid_AgeTotalEco_2,AutoAdj_Marshall_DepreciationTable_2,Sales_AdjGrid_AgeEffective_2+3,FALSE)</f>
        <v>0</v>
      </c>
      <c r="W57" s="1713"/>
      <c r="X57" s="2165">
        <f>HLOOKUP(Sales_AdjGrid_AgeTotalEco_2,AutoAdj_Marshall_DepreciationTable_2,Sales_AdjGrid_AgeEffective_2+3,FALSE)</f>
        <v>0</v>
      </c>
      <c r="Y57" s="1713"/>
      <c r="Z57" s="2165">
        <f>HLOOKUP(Sales_AdjGrid_AgeTotalEco_2,AutoAdj_Marshall_DepreciationTable_2,Sales_AdjGrid_AgeEffective_2+3,FALSE)</f>
        <v>0</v>
      </c>
      <c r="AA57" s="1713"/>
      <c r="AB57" s="2165">
        <f>HLOOKUP(Sales_AdjGrid_AgeTotalEco_2,AutoAdj_Marshall_DepreciationTable_2,Sales_AdjGrid_AgeEffective_2+3,FALSE)</f>
        <v>0</v>
      </c>
      <c r="AC57" s="1713"/>
      <c r="AD57" s="2165">
        <f>HLOOKUP(Sales_AdjGrid_AgeTotalEco_2,AutoAdj_Marshall_DepreciationTable_2,Sales_AdjGrid_AgeEffective_2+3,FALSE)</f>
        <v>0</v>
      </c>
      <c r="AE57" s="1713"/>
      <c r="AF57" s="2165">
        <f>HLOOKUP(Sales_AdjGrid_AgeTotalEco_2,AutoAdj_Marshall_DepreciationTable_2,Sales_AdjGrid_AgeEffective_2+3,FALSE)</f>
        <v>0</v>
      </c>
      <c r="AG57" s="1713"/>
      <c r="AH57" s="2165">
        <f>HLOOKUP(Sales_AdjGrid_AgeTotalEco_2,AutoAdj_Marshall_DepreciationTable_2,Sales_AdjGrid_AgeEffective_2+3,FALSE)</f>
        <v>0</v>
      </c>
      <c r="AI57" s="1278"/>
      <c r="AJ57" s="1252"/>
      <c r="AK57" s="911"/>
      <c r="AL57" s="911"/>
      <c r="AM57" s="911"/>
      <c r="AN57" s="911"/>
      <c r="AO57" s="911"/>
    </row>
    <row r="58" spans="1:41" ht="17.100000000000001" customHeight="1" x14ac:dyDescent="0.25">
      <c r="A58" s="911"/>
      <c r="B58" s="1251"/>
      <c r="C58" s="1278"/>
      <c r="D58" s="1278" t="s">
        <v>553</v>
      </c>
      <c r="E58" s="1278"/>
      <c r="F58" s="1712" t="e">
        <f>F56-F57</f>
        <v>#N/A</v>
      </c>
      <c r="G58" s="1704"/>
      <c r="H58" s="1712" t="e">
        <f>H56-H57</f>
        <v>#N/A</v>
      </c>
      <c r="I58" s="1704"/>
      <c r="J58" s="1712" t="e">
        <f>J56-J57</f>
        <v>#N/A</v>
      </c>
      <c r="K58" s="1704"/>
      <c r="L58" s="1712" t="e">
        <f>L56-L57</f>
        <v>#N/A</v>
      </c>
      <c r="M58" s="1704"/>
      <c r="N58" s="1712" t="e">
        <f>N56-N57</f>
        <v>#N/A</v>
      </c>
      <c r="O58" s="1704"/>
      <c r="P58" s="1712" t="e">
        <f>P56-P57</f>
        <v>#N/A</v>
      </c>
      <c r="Q58" s="1704"/>
      <c r="R58" s="1712" t="e">
        <f>R56-R57</f>
        <v>#N/A</v>
      </c>
      <c r="S58" s="1278"/>
      <c r="T58" s="1712" t="e">
        <f>T56-T57</f>
        <v>#N/A</v>
      </c>
      <c r="U58" s="1278"/>
      <c r="V58" s="1712" t="e">
        <f>V56-V57</f>
        <v>#N/A</v>
      </c>
      <c r="W58" s="1278"/>
      <c r="X58" s="1712" t="e">
        <f>X56-X57</f>
        <v>#N/A</v>
      </c>
      <c r="Y58" s="1278"/>
      <c r="Z58" s="1712" t="e">
        <f>Z56-Z57</f>
        <v>#N/A</v>
      </c>
      <c r="AA58" s="1278"/>
      <c r="AB58" s="1712" t="e">
        <f>AB56-AB57</f>
        <v>#N/A</v>
      </c>
      <c r="AC58" s="1278"/>
      <c r="AD58" s="1712" t="e">
        <f>AD56-AD57</f>
        <v>#N/A</v>
      </c>
      <c r="AE58" s="1278"/>
      <c r="AF58" s="1712" t="e">
        <f>AF56-AF57</f>
        <v>#N/A</v>
      </c>
      <c r="AG58" s="1278"/>
      <c r="AH58" s="1712" t="e">
        <f>AH56-AH57</f>
        <v>#N/A</v>
      </c>
      <c r="AI58" s="1278"/>
      <c r="AJ58" s="1252"/>
      <c r="AK58" s="911"/>
      <c r="AL58" s="911"/>
      <c r="AM58" s="911"/>
      <c r="AN58" s="911"/>
      <c r="AO58" s="911"/>
    </row>
    <row r="59" spans="1:41" ht="17.100000000000001" customHeight="1" x14ac:dyDescent="0.25">
      <c r="A59" s="911"/>
      <c r="B59" s="1251"/>
      <c r="C59" s="1278"/>
      <c r="D59" s="1713" t="s">
        <v>1835</v>
      </c>
      <c r="E59" s="1713"/>
      <c r="F59" s="2166">
        <v>0.8</v>
      </c>
      <c r="G59" s="2166"/>
      <c r="H59" s="2166">
        <f>dpSales_AgeCondition_Ratio_2</f>
        <v>0.8</v>
      </c>
      <c r="I59" s="1279"/>
      <c r="J59" s="2166">
        <f>dpSales_AgeCondition_Ratio_2</f>
        <v>0.8</v>
      </c>
      <c r="K59" s="1279"/>
      <c r="L59" s="2166">
        <f>dpSales_AgeCondition_Ratio_2</f>
        <v>0.8</v>
      </c>
      <c r="M59" s="1279"/>
      <c r="N59" s="2166">
        <f>dpSales_AgeCondition_Ratio_2</f>
        <v>0.8</v>
      </c>
      <c r="O59" s="1279"/>
      <c r="P59" s="2166">
        <f>dpSales_AgeCondition_Ratio_2</f>
        <v>0.8</v>
      </c>
      <c r="Q59" s="1279"/>
      <c r="R59" s="2166">
        <f>dpSales_AgeCondition_Ratio_2</f>
        <v>0.8</v>
      </c>
      <c r="S59" s="1280"/>
      <c r="T59" s="2166">
        <f>dpSales_AgeCondition_Ratio_2</f>
        <v>0.8</v>
      </c>
      <c r="U59" s="1280"/>
      <c r="V59" s="2166">
        <f>dpSales_AgeCondition_Ratio_2</f>
        <v>0.8</v>
      </c>
      <c r="W59" s="1280"/>
      <c r="X59" s="2166">
        <f>dpSales_AgeCondition_Ratio_2</f>
        <v>0.8</v>
      </c>
      <c r="Y59" s="1280"/>
      <c r="Z59" s="2166">
        <f>dpSales_AgeCondition_Ratio_2</f>
        <v>0.8</v>
      </c>
      <c r="AA59" s="1280"/>
      <c r="AB59" s="2166">
        <f>dpSales_AgeCondition_Ratio_2</f>
        <v>0.8</v>
      </c>
      <c r="AC59" s="1280"/>
      <c r="AD59" s="2166">
        <f>dpSales_AgeCondition_Ratio_2</f>
        <v>0.8</v>
      </c>
      <c r="AE59" s="1280"/>
      <c r="AF59" s="2166">
        <f>dpSales_AgeCondition_Ratio_2</f>
        <v>0.8</v>
      </c>
      <c r="AG59" s="1280"/>
      <c r="AH59" s="2166">
        <f>dpSales_AgeCondition_Ratio_2</f>
        <v>0.8</v>
      </c>
      <c r="AI59" s="1278"/>
      <c r="AJ59" s="1252"/>
      <c r="AK59" s="911"/>
      <c r="AL59" s="911"/>
      <c r="AM59" s="911"/>
      <c r="AN59" s="911"/>
      <c r="AO59" s="911"/>
    </row>
    <row r="60" spans="1:41" ht="17.100000000000001" customHeight="1" thickBot="1" x14ac:dyDescent="0.3">
      <c r="A60" s="911"/>
      <c r="B60" s="1251"/>
      <c r="C60" s="1278"/>
      <c r="D60" s="1188" t="s">
        <v>1834</v>
      </c>
      <c r="E60" s="1188"/>
      <c r="F60" s="1709" t="str">
        <f>IF(ISERROR(F58*F59),"",F58*F59)</f>
        <v/>
      </c>
      <c r="G60" s="1709"/>
      <c r="H60" s="1709" t="str">
        <f>IF(ISERROR(H58*H59),"",H58*H59)</f>
        <v/>
      </c>
      <c r="I60" s="1564"/>
      <c r="J60" s="1709" t="str">
        <f>IF(ISERROR(J58*J59),"",J58*J59)</f>
        <v/>
      </c>
      <c r="K60" s="1564"/>
      <c r="L60" s="1709" t="str">
        <f>IF(ISERROR(L58*L59),"",L58*L59)</f>
        <v/>
      </c>
      <c r="M60" s="1564"/>
      <c r="N60" s="1709" t="str">
        <f>IF(ISERROR(N58*N59),"",N58*N59)</f>
        <v/>
      </c>
      <c r="O60" s="1564"/>
      <c r="P60" s="1709" t="str">
        <f>IF(ISERROR(P58*P59),"",P58*P59)</f>
        <v/>
      </c>
      <c r="Q60" s="1564"/>
      <c r="R60" s="1709" t="str">
        <f>IF(ISERROR(R58*R59),"",R58*R59)</f>
        <v/>
      </c>
      <c r="S60" s="1564"/>
      <c r="T60" s="1709" t="str">
        <f>IF(ISERROR(T58*T59),"",T58*T59)</f>
        <v/>
      </c>
      <c r="U60" s="1564"/>
      <c r="V60" s="1709" t="str">
        <f>IF(ISERROR(V58*V59),"",V58*V59)</f>
        <v/>
      </c>
      <c r="W60" s="1564"/>
      <c r="X60" s="1709" t="str">
        <f>IF(ISERROR(X58*X59),"",X58*X59)</f>
        <v/>
      </c>
      <c r="Y60" s="1564"/>
      <c r="Z60" s="1709" t="str">
        <f>IF(ISERROR(Z58*Z59),"",Z58*Z59)</f>
        <v/>
      </c>
      <c r="AA60" s="1564"/>
      <c r="AB60" s="1709" t="str">
        <f>IF(ISERROR(AB58*AB59),"",AB58*AB59)</f>
        <v/>
      </c>
      <c r="AC60" s="1564"/>
      <c r="AD60" s="1709" t="str">
        <f>IF(ISERROR(AD58*AD59),"",AD58*AD59)</f>
        <v/>
      </c>
      <c r="AE60" s="1564"/>
      <c r="AF60" s="1709" t="str">
        <f>IF(ISERROR(AF58*AF59),"",AF58*AF59)</f>
        <v/>
      </c>
      <c r="AG60" s="1564"/>
      <c r="AH60" s="1709" t="str">
        <f>IF(ISERROR(AH58*AH59),"",AH58*AH59)</f>
        <v/>
      </c>
      <c r="AI60" s="1278"/>
      <c r="AJ60" s="1252"/>
      <c r="AK60" s="911"/>
      <c r="AL60" s="911"/>
      <c r="AM60" s="911"/>
      <c r="AN60" s="911"/>
      <c r="AO60" s="911"/>
    </row>
    <row r="61" spans="1:41" ht="14.25" customHeight="1" thickBot="1" x14ac:dyDescent="0.3">
      <c r="A61" s="911"/>
      <c r="B61" s="1253"/>
      <c r="C61" s="1254"/>
      <c r="D61" s="552" t="s">
        <v>1840</v>
      </c>
      <c r="E61" s="1254"/>
      <c r="F61" s="1259"/>
      <c r="G61" s="1259"/>
      <c r="H61" s="1259"/>
      <c r="I61" s="1259"/>
      <c r="J61" s="1259"/>
      <c r="K61" s="1259"/>
      <c r="L61" s="1259"/>
      <c r="M61" s="1259"/>
      <c r="N61" s="1259"/>
      <c r="O61" s="1259"/>
      <c r="P61" s="1259"/>
      <c r="Q61" s="1259"/>
      <c r="R61" s="1254"/>
      <c r="S61" s="1254"/>
      <c r="T61" s="1254"/>
      <c r="U61" s="1254"/>
      <c r="V61" s="1254"/>
      <c r="W61" s="1254"/>
      <c r="X61" s="1254"/>
      <c r="Y61" s="1254"/>
      <c r="Z61" s="1254"/>
      <c r="AA61" s="1254"/>
      <c r="AB61" s="1254"/>
      <c r="AC61" s="1254"/>
      <c r="AD61" s="1254"/>
      <c r="AE61" s="1254"/>
      <c r="AF61" s="1254"/>
      <c r="AG61" s="1254"/>
      <c r="AH61" s="1254"/>
      <c r="AI61" s="1254"/>
      <c r="AJ61" s="1255"/>
      <c r="AK61" s="911"/>
      <c r="AL61" s="911"/>
      <c r="AM61" s="911"/>
      <c r="AN61" s="911"/>
      <c r="AO61" s="911"/>
    </row>
    <row r="62" spans="1:41" ht="14.25" customHeight="1" x14ac:dyDescent="0.25">
      <c r="A62" s="911"/>
      <c r="B62" s="911"/>
      <c r="C62" s="911"/>
      <c r="D62" s="911"/>
      <c r="E62" s="41"/>
      <c r="F62" s="957">
        <f>IF(ISERROR(F8),0,1)</f>
        <v>1</v>
      </c>
      <c r="G62" s="957">
        <f>H62</f>
        <v>1</v>
      </c>
      <c r="H62" s="957">
        <f>IF(ISERROR(H8),0,1)</f>
        <v>1</v>
      </c>
      <c r="I62" s="957">
        <f>J62</f>
        <v>1</v>
      </c>
      <c r="J62" s="957">
        <f>IF(ISERROR(J8),0,1)</f>
        <v>1</v>
      </c>
      <c r="K62" s="957">
        <f>L62</f>
        <v>1</v>
      </c>
      <c r="L62" s="957">
        <f>IF(ISERROR(L8),0,1)</f>
        <v>1</v>
      </c>
      <c r="M62" s="957">
        <f>N62</f>
        <v>1</v>
      </c>
      <c r="N62" s="957">
        <f>IF(ISERROR(N8),0,1)</f>
        <v>1</v>
      </c>
      <c r="O62" s="957">
        <f>P62</f>
        <v>1</v>
      </c>
      <c r="P62" s="957">
        <f>IF(ISERROR(P8),0,1)</f>
        <v>1</v>
      </c>
      <c r="Q62" s="957">
        <f>R62</f>
        <v>0</v>
      </c>
      <c r="R62" s="957">
        <f>IF(ISERROR(R8),0,1)</f>
        <v>0</v>
      </c>
      <c r="S62" s="957">
        <f>T62</f>
        <v>0</v>
      </c>
      <c r="T62" s="957">
        <f>IF(ISERROR(T8),0,1)</f>
        <v>0</v>
      </c>
      <c r="U62" s="957">
        <f>V62</f>
        <v>0</v>
      </c>
      <c r="V62" s="957">
        <f>IF(ISERROR(V8),0,1)</f>
        <v>0</v>
      </c>
      <c r="W62" s="957">
        <f>X62</f>
        <v>0</v>
      </c>
      <c r="X62" s="957">
        <f>IF(ISERROR(X8),0,1)</f>
        <v>0</v>
      </c>
      <c r="Y62" s="957">
        <f>Z62</f>
        <v>0</v>
      </c>
      <c r="Z62" s="957">
        <f>IF(ISERROR(Z8),0,1)</f>
        <v>0</v>
      </c>
      <c r="AA62" s="957">
        <f>AB62</f>
        <v>0</v>
      </c>
      <c r="AB62" s="957">
        <f>IF(ISERROR(AB8),0,1)</f>
        <v>0</v>
      </c>
      <c r="AC62" s="957">
        <f>AD62</f>
        <v>0</v>
      </c>
      <c r="AD62" s="957">
        <f>IF(ISERROR(AD8),0,1)</f>
        <v>0</v>
      </c>
      <c r="AE62" s="957">
        <f>AF62</f>
        <v>0</v>
      </c>
      <c r="AF62" s="957">
        <f>IF(ISERROR(AF8),0,1)</f>
        <v>0</v>
      </c>
      <c r="AG62" s="957">
        <f>AH62</f>
        <v>0</v>
      </c>
      <c r="AH62" s="957">
        <f>IF(ISERROR(AH8),0,1)</f>
        <v>0</v>
      </c>
      <c r="AI62" s="911"/>
      <c r="AJ62" s="911"/>
      <c r="AK62" s="911"/>
      <c r="AL62" s="911"/>
      <c r="AM62" s="911"/>
      <c r="AN62" s="911"/>
      <c r="AO62" s="911"/>
    </row>
  </sheetData>
  <mergeCells count="9">
    <mergeCell ref="J34:L34"/>
    <mergeCell ref="J35:L35"/>
    <mergeCell ref="AK10:AK11"/>
    <mergeCell ref="AK23:AK24"/>
    <mergeCell ref="G30:I30"/>
    <mergeCell ref="J30:L30"/>
    <mergeCell ref="J31:L31"/>
    <mergeCell ref="J32:L32"/>
    <mergeCell ref="J33:L33"/>
  </mergeCells>
  <pageMargins left="0.7" right="0.7" top="0.75" bottom="0.75" header="0.3" footer="0.3"/>
  <pageSetup orientation="portrait" r:id="rId1"/>
  <drawing r:id="rId2"/>
  <legacyDrawing r:id="rId3"/>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74">
    <tabColor theme="7"/>
  </sheetPr>
  <dimension ref="A1:AC184"/>
  <sheetViews>
    <sheetView workbookViewId="0">
      <selection activeCell="F70" sqref="F70"/>
    </sheetView>
  </sheetViews>
  <sheetFormatPr defaultRowHeight="14.25" x14ac:dyDescent="0.25"/>
  <cols>
    <col min="1" max="1" width="5.7109375" style="911" customWidth="1"/>
    <col min="2" max="2" width="1.7109375" customWidth="1"/>
    <col min="3" max="3" width="0.85546875" customWidth="1"/>
    <col min="4" max="4" width="17.7109375" customWidth="1"/>
    <col min="5" max="5" width="8.7109375" customWidth="1"/>
    <col min="6" max="6" width="15.7109375" customWidth="1"/>
    <col min="7" max="11" width="15.7109375" style="1838" customWidth="1"/>
    <col min="12" max="12" width="14.7109375" style="1995" customWidth="1"/>
    <col min="13" max="13" width="0.85546875" customWidth="1"/>
    <col min="14" max="14" width="1.7109375" customWidth="1"/>
    <col min="15" max="15" width="5.7109375" customWidth="1"/>
    <col min="16" max="16" width="1.7109375" customWidth="1"/>
    <col min="17" max="17" width="0.85546875" customWidth="1"/>
    <col min="18" max="18" width="26.7109375" customWidth="1"/>
    <col min="19" max="21" width="14.7109375" customWidth="1"/>
    <col min="22" max="22" width="0.85546875" customWidth="1"/>
    <col min="23" max="23" width="12.28515625" customWidth="1"/>
    <col min="24" max="24" width="0.85546875" customWidth="1"/>
    <col min="25" max="25" width="1.7109375" customWidth="1"/>
    <col min="26" max="26" width="5.7109375" customWidth="1"/>
    <col min="27" max="27" width="9.7109375" customWidth="1"/>
    <col min="28" max="28" width="10.7109375" customWidth="1"/>
  </cols>
  <sheetData>
    <row r="1" spans="1:29" ht="60" customHeight="1" x14ac:dyDescent="0.25">
      <c r="A1" s="707"/>
      <c r="B1" s="10"/>
      <c r="C1" s="10"/>
      <c r="D1" s="10"/>
      <c r="E1" s="10"/>
      <c r="F1" s="10"/>
      <c r="G1" s="1774"/>
      <c r="H1" s="1774"/>
      <c r="I1" s="1774"/>
      <c r="J1" s="1774"/>
      <c r="K1" s="1774"/>
      <c r="L1" s="1943"/>
      <c r="M1" s="10"/>
      <c r="N1" s="10"/>
      <c r="O1" s="10"/>
      <c r="P1" s="10"/>
      <c r="Q1" s="10"/>
      <c r="R1" s="10"/>
      <c r="S1" s="10"/>
      <c r="T1" s="10"/>
      <c r="U1" s="10"/>
      <c r="V1" s="10"/>
      <c r="W1" s="10"/>
      <c r="X1" s="10"/>
      <c r="Y1" s="10"/>
      <c r="Z1" s="10"/>
      <c r="AA1" s="10"/>
      <c r="AB1" s="10"/>
      <c r="AC1" s="10"/>
    </row>
    <row r="2" spans="1:29" ht="21.95" customHeight="1" x14ac:dyDescent="0.25">
      <c r="A2" s="707"/>
      <c r="B2" s="10"/>
      <c r="C2" s="10"/>
      <c r="D2" s="32"/>
      <c r="E2" s="751"/>
      <c r="F2" s="10"/>
      <c r="G2" s="1774"/>
      <c r="H2" s="1774"/>
      <c r="I2" s="1774"/>
      <c r="J2" s="1774"/>
      <c r="K2" s="1774"/>
      <c r="L2" s="1943"/>
      <c r="M2" s="10"/>
      <c r="N2" s="10"/>
      <c r="O2" s="10"/>
      <c r="P2" s="10"/>
      <c r="Q2" s="10"/>
      <c r="R2" s="10"/>
      <c r="S2" s="10"/>
      <c r="T2" s="10"/>
      <c r="U2" s="10"/>
      <c r="V2" s="10"/>
      <c r="W2" s="10"/>
      <c r="X2" s="10"/>
      <c r="Y2" s="10"/>
      <c r="Z2" s="10"/>
      <c r="AA2" s="10"/>
      <c r="AB2" s="10"/>
      <c r="AC2" s="10"/>
    </row>
    <row r="3" spans="1:29" ht="21.95" customHeight="1" x14ac:dyDescent="0.25">
      <c r="A3" s="707"/>
      <c r="B3" s="10"/>
      <c r="C3" s="10"/>
      <c r="D3" s="32"/>
      <c r="E3" s="751"/>
      <c r="F3" s="10"/>
      <c r="G3" s="1774"/>
      <c r="H3" s="1774"/>
      <c r="I3" s="1774"/>
      <c r="J3" s="1774"/>
      <c r="K3" s="1774"/>
      <c r="L3" s="1943"/>
      <c r="M3" s="10"/>
      <c r="N3" s="10"/>
      <c r="O3" s="10"/>
      <c r="P3" s="10"/>
      <c r="Q3" s="10"/>
      <c r="R3" s="10"/>
      <c r="S3" s="10"/>
      <c r="T3" s="10"/>
      <c r="U3" s="10"/>
      <c r="V3" s="10"/>
      <c r="W3" s="10"/>
      <c r="X3" s="10"/>
      <c r="Y3" s="10"/>
      <c r="Z3" s="10"/>
      <c r="AA3" s="10"/>
      <c r="AB3" s="10"/>
      <c r="AC3" s="10"/>
    </row>
    <row r="4" spans="1:29" ht="21.95" customHeight="1" thickBot="1" x14ac:dyDescent="0.3">
      <c r="A4" s="707"/>
      <c r="B4" s="10"/>
      <c r="C4" s="10"/>
      <c r="D4" s="32"/>
      <c r="E4" s="751"/>
      <c r="F4" s="10"/>
      <c r="G4" s="1774"/>
      <c r="H4" s="1774"/>
      <c r="I4" s="1774"/>
      <c r="J4" s="1774"/>
      <c r="K4" s="1774"/>
      <c r="L4" s="1943"/>
      <c r="M4" s="10"/>
      <c r="N4" s="10"/>
      <c r="O4" s="10"/>
      <c r="P4" s="10"/>
      <c r="Q4" s="10"/>
      <c r="R4" s="10"/>
      <c r="S4" s="10"/>
      <c r="T4" s="10"/>
      <c r="U4" s="10"/>
      <c r="V4" s="10"/>
      <c r="W4" s="10"/>
      <c r="X4" s="10"/>
      <c r="Y4" s="10"/>
      <c r="Z4" s="10"/>
      <c r="AA4" s="10"/>
      <c r="AB4" s="10"/>
      <c r="AC4" s="10"/>
    </row>
    <row r="5" spans="1:29" ht="14.25" customHeight="1" x14ac:dyDescent="0.25">
      <c r="A5" s="1086"/>
      <c r="B5" s="94"/>
      <c r="C5" s="2"/>
      <c r="D5" s="2"/>
      <c r="E5" s="2"/>
      <c r="F5" s="2"/>
      <c r="G5" s="1876">
        <f t="shared" ref="G5:L5" si="0">G7</f>
        <v>1</v>
      </c>
      <c r="H5" s="1876">
        <f t="shared" si="0"/>
        <v>2</v>
      </c>
      <c r="I5" s="1876">
        <f t="shared" si="0"/>
        <v>3</v>
      </c>
      <c r="J5" s="1876">
        <f t="shared" si="0"/>
        <v>4</v>
      </c>
      <c r="K5" s="1876">
        <f t="shared" si="0"/>
        <v>5</v>
      </c>
      <c r="L5" s="1969">
        <f t="shared" si="0"/>
        <v>6</v>
      </c>
      <c r="M5" s="2"/>
      <c r="N5" s="3"/>
      <c r="O5" s="10"/>
      <c r="P5" s="10"/>
      <c r="Q5" s="10"/>
      <c r="R5" s="10"/>
      <c r="S5" s="10"/>
      <c r="T5" s="10"/>
      <c r="U5" s="10"/>
      <c r="V5" s="10"/>
      <c r="W5" s="10"/>
      <c r="X5" s="10"/>
      <c r="Y5" s="10"/>
      <c r="Z5" s="10"/>
      <c r="AA5" s="10"/>
      <c r="AB5" s="10"/>
      <c r="AC5" s="10"/>
    </row>
    <row r="6" spans="1:29" ht="16.5" customHeight="1" x14ac:dyDescent="0.25">
      <c r="A6" s="4146" t="s">
        <v>1262</v>
      </c>
      <c r="B6" s="16"/>
      <c r="C6" s="5"/>
      <c r="D6" s="505" t="str">
        <f>CONCATENATE("Improved Sales Comparison Approach Adjustment Grid - ",dpSales_ComponentNameB2," Component")</f>
        <v>Improved Sales Comparison Approach Adjustment Grid -  Component</v>
      </c>
      <c r="E6" s="5"/>
      <c r="F6" s="5"/>
      <c r="G6" s="1877"/>
      <c r="H6" s="1877"/>
      <c r="I6" s="1877"/>
      <c r="J6" s="1877"/>
      <c r="K6" s="1877"/>
      <c r="L6" s="1970"/>
      <c r="M6" s="51"/>
      <c r="N6" s="6"/>
      <c r="O6" s="10"/>
      <c r="P6" s="10"/>
      <c r="Q6" s="10"/>
      <c r="R6" s="10"/>
      <c r="S6" s="10"/>
      <c r="T6" s="10"/>
      <c r="U6" s="10"/>
      <c r="V6" s="10"/>
      <c r="W6" s="10"/>
      <c r="X6" s="10"/>
      <c r="Y6" s="10"/>
      <c r="Z6" s="10"/>
      <c r="AA6" s="10"/>
      <c r="AB6" s="10"/>
      <c r="AC6" s="10"/>
    </row>
    <row r="7" spans="1:29" ht="16.5" customHeight="1" x14ac:dyDescent="0.25">
      <c r="A7" s="4146"/>
      <c r="B7" s="16"/>
      <c r="C7" s="11"/>
      <c r="D7" s="11"/>
      <c r="E7" s="150"/>
      <c r="F7" s="150" t="s">
        <v>116</v>
      </c>
      <c r="G7" s="1878">
        <v>1</v>
      </c>
      <c r="H7" s="1878">
        <v>2</v>
      </c>
      <c r="I7" s="1878">
        <v>3</v>
      </c>
      <c r="J7" s="1878">
        <v>4</v>
      </c>
      <c r="K7" s="1878">
        <v>5</v>
      </c>
      <c r="L7" s="1971">
        <v>6</v>
      </c>
      <c r="M7" s="150"/>
      <c r="N7" s="6"/>
      <c r="O7" s="10"/>
      <c r="P7" s="10"/>
      <c r="Q7" s="10"/>
      <c r="R7" s="10"/>
      <c r="S7" s="10"/>
      <c r="T7" s="10"/>
      <c r="U7" s="10"/>
      <c r="V7" s="10"/>
      <c r="W7" s="10"/>
      <c r="X7" s="10"/>
      <c r="Y7" s="10"/>
      <c r="Z7" s="10"/>
      <c r="AA7" s="10"/>
      <c r="AB7" s="10"/>
      <c r="AC7" s="10"/>
    </row>
    <row r="8" spans="1:29" ht="5.0999999999999996" customHeight="1" x14ac:dyDescent="0.25">
      <c r="A8" s="707"/>
      <c r="B8" s="16"/>
      <c r="C8" s="101"/>
      <c r="D8" s="101"/>
      <c r="E8" s="101"/>
      <c r="F8" s="101"/>
      <c r="G8" s="1830"/>
      <c r="H8" s="1830"/>
      <c r="I8" s="1830"/>
      <c r="J8" s="1830"/>
      <c r="K8" s="1830"/>
      <c r="L8" s="1972"/>
      <c r="M8" s="101"/>
      <c r="N8" s="6"/>
      <c r="O8" s="10"/>
      <c r="P8" s="10"/>
      <c r="Q8" s="10"/>
      <c r="R8" s="10"/>
      <c r="S8" s="10"/>
      <c r="T8" s="10"/>
      <c r="U8" s="10"/>
      <c r="V8" s="10"/>
      <c r="W8" s="10"/>
      <c r="X8" s="10"/>
      <c r="Y8" s="10"/>
      <c r="Z8" s="10"/>
      <c r="AA8" s="10"/>
      <c r="AB8" s="10"/>
      <c r="AC8" s="10"/>
    </row>
    <row r="9" spans="1:29" ht="15" customHeight="1" x14ac:dyDescent="0.25">
      <c r="A9" s="1374">
        <v>1</v>
      </c>
      <c r="B9" s="16"/>
      <c r="C9" s="101"/>
      <c r="D9" s="480" t="s">
        <v>703</v>
      </c>
      <c r="E9" s="522"/>
      <c r="F9" s="1127"/>
      <c r="G9" s="1787"/>
      <c r="H9" s="1787"/>
      <c r="I9" s="1787"/>
      <c r="J9" s="1787"/>
      <c r="K9" s="1787"/>
      <c r="L9" s="1193"/>
      <c r="M9" s="101"/>
      <c r="N9" s="6"/>
      <c r="O9" s="10"/>
      <c r="P9" s="10"/>
      <c r="Q9" s="10"/>
      <c r="R9" s="10"/>
      <c r="S9" s="10"/>
      <c r="T9" s="10"/>
      <c r="U9" s="10"/>
      <c r="V9" s="10"/>
      <c r="W9" s="10"/>
      <c r="X9" s="10"/>
      <c r="Y9" s="10"/>
      <c r="Z9" s="10"/>
      <c r="AA9" s="10"/>
      <c r="AB9" s="10"/>
      <c r="AC9" s="10"/>
    </row>
    <row r="10" spans="1:29" ht="15" customHeight="1" x14ac:dyDescent="0.25">
      <c r="A10" s="972">
        <v>1</v>
      </c>
      <c r="B10" s="16"/>
      <c r="C10" s="101"/>
      <c r="D10" s="480" t="s">
        <v>830</v>
      </c>
      <c r="E10" s="802"/>
      <c r="F10" s="1048" t="s">
        <v>17901</v>
      </c>
      <c r="G10" s="1879"/>
      <c r="H10" s="1879"/>
      <c r="I10" s="1879"/>
      <c r="J10" s="1879"/>
      <c r="K10" s="1879"/>
      <c r="L10" s="1973"/>
      <c r="M10" s="1716"/>
      <c r="N10" s="6"/>
      <c r="O10" s="10"/>
      <c r="P10" s="10"/>
      <c r="Q10" s="10"/>
      <c r="R10" s="10"/>
      <c r="S10" s="10"/>
      <c r="T10" s="10"/>
      <c r="U10" s="10"/>
      <c r="V10" s="10"/>
      <c r="W10" s="10"/>
      <c r="X10" s="10"/>
      <c r="Y10" s="10"/>
      <c r="Z10" s="10"/>
      <c r="AA10" s="10"/>
      <c r="AB10" s="10"/>
      <c r="AC10" s="10"/>
    </row>
    <row r="11" spans="1:29" ht="14.25" customHeight="1" x14ac:dyDescent="0.25">
      <c r="A11" s="972">
        <v>1</v>
      </c>
      <c r="B11" s="16"/>
      <c r="C11" s="101"/>
      <c r="D11" s="480" t="s">
        <v>0</v>
      </c>
      <c r="E11" s="802"/>
      <c r="F11" s="1187" t="str">
        <f>CONCATENATE(dpSales_ComponentNameB2," Component")</f>
        <v xml:space="preserve"> Component</v>
      </c>
      <c r="G11" s="1787"/>
      <c r="H11" s="1787"/>
      <c r="I11" s="1787"/>
      <c r="J11" s="1787"/>
      <c r="K11" s="1787"/>
      <c r="L11" s="1193"/>
      <c r="M11" s="1717"/>
      <c r="N11" s="6"/>
      <c r="O11" s="10"/>
      <c r="P11" s="10"/>
      <c r="Q11" s="10"/>
      <c r="R11" s="10"/>
      <c r="S11" s="10"/>
      <c r="T11" s="10"/>
      <c r="U11" s="10"/>
      <c r="V11" s="10"/>
      <c r="W11" s="10"/>
      <c r="X11" s="10"/>
      <c r="Y11" s="10"/>
      <c r="Z11" s="10"/>
      <c r="AA11" s="10"/>
      <c r="AB11" s="10"/>
      <c r="AC11" s="10"/>
    </row>
    <row r="12" spans="1:29" ht="15" customHeight="1" x14ac:dyDescent="0.25">
      <c r="A12" s="972">
        <f>IF(dpUnit_Sales_2="Net Rentable Area",1,0)</f>
        <v>1</v>
      </c>
      <c r="B12" s="16"/>
      <c r="C12" s="101"/>
      <c r="D12" s="480" t="s">
        <v>441</v>
      </c>
      <c r="E12" s="522"/>
      <c r="F12" s="1737">
        <f>Subject_NRA</f>
        <v>209208</v>
      </c>
      <c r="G12" s="1880"/>
      <c r="H12" s="1880"/>
      <c r="I12" s="1880"/>
      <c r="J12" s="1880"/>
      <c r="K12" s="1880"/>
      <c r="L12" s="1482"/>
      <c r="M12" s="101"/>
      <c r="N12" s="6"/>
      <c r="O12" s="10"/>
      <c r="P12" s="10"/>
      <c r="Q12" s="10"/>
      <c r="R12" s="10"/>
      <c r="S12" s="10"/>
      <c r="T12" s="10"/>
      <c r="U12" s="10"/>
      <c r="V12" s="10"/>
      <c r="W12" s="10"/>
      <c r="X12" s="10"/>
      <c r="Y12" s="10"/>
      <c r="Z12" s="10"/>
      <c r="AA12" s="10"/>
      <c r="AB12" s="10"/>
      <c r="AC12" s="10"/>
    </row>
    <row r="13" spans="1:29" ht="15" customHeight="1" x14ac:dyDescent="0.25">
      <c r="A13" s="972">
        <f>IF(dpUnit_Sales_2="Net Rentable Area",0,1)</f>
        <v>0</v>
      </c>
      <c r="B13" s="16"/>
      <c r="C13" s="101"/>
      <c r="D13" s="480" t="s">
        <v>183</v>
      </c>
      <c r="E13" s="522"/>
      <c r="F13" s="1738">
        <f>Subject_GBA</f>
        <v>220514</v>
      </c>
      <c r="G13" s="1880"/>
      <c r="H13" s="1880"/>
      <c r="I13" s="1880"/>
      <c r="J13" s="1880"/>
      <c r="K13" s="1880"/>
      <c r="L13" s="1482"/>
      <c r="M13" s="101"/>
      <c r="N13" s="6"/>
      <c r="O13" s="10"/>
      <c r="P13" s="10"/>
      <c r="Q13" s="10"/>
      <c r="R13" s="10"/>
      <c r="S13" s="10"/>
      <c r="T13" s="10"/>
      <c r="U13" s="10"/>
      <c r="V13" s="10"/>
      <c r="W13" s="10"/>
      <c r="X13" s="10"/>
      <c r="Y13" s="10"/>
      <c r="Z13" s="10"/>
      <c r="AA13" s="10"/>
      <c r="AB13" s="10"/>
      <c r="AC13" s="10"/>
    </row>
    <row r="14" spans="1:29" ht="15" customHeight="1" x14ac:dyDescent="0.25">
      <c r="A14" s="972">
        <f>IF(dpUnit_Sales_2="Units",1,0)</f>
        <v>0</v>
      </c>
      <c r="B14" s="16"/>
      <c r="C14" s="101"/>
      <c r="D14" s="480" t="s">
        <v>1131</v>
      </c>
      <c r="E14" s="522"/>
      <c r="F14" s="1739">
        <f>Subject_Units</f>
        <v>77</v>
      </c>
      <c r="G14" s="1880"/>
      <c r="H14" s="1880"/>
      <c r="I14" s="1880"/>
      <c r="J14" s="1880"/>
      <c r="K14" s="1880"/>
      <c r="L14" s="1482"/>
      <c r="M14" s="101"/>
      <c r="N14" s="6"/>
      <c r="O14" s="10"/>
      <c r="P14" s="10"/>
      <c r="Q14" s="10"/>
      <c r="R14" s="10"/>
      <c r="S14" s="10"/>
      <c r="T14" s="10"/>
      <c r="U14" s="10"/>
      <c r="V14" s="10"/>
      <c r="W14" s="10"/>
      <c r="X14" s="10"/>
      <c r="Y14" s="10"/>
      <c r="Z14" s="10"/>
      <c r="AA14" s="10"/>
      <c r="AB14" s="10"/>
      <c r="AC14" s="10"/>
    </row>
    <row r="15" spans="1:29" ht="15" customHeight="1" x14ac:dyDescent="0.25">
      <c r="A15" s="972">
        <v>1</v>
      </c>
      <c r="B15" s="16"/>
      <c r="C15" s="101"/>
      <c r="D15" s="480" t="s">
        <v>1067</v>
      </c>
      <c r="E15" s="522"/>
      <c r="F15" s="1740">
        <f>Subject_LandPrimary_UsableAcres</f>
        <v>0.99173553719008267</v>
      </c>
      <c r="G15" s="1881"/>
      <c r="H15" s="1881"/>
      <c r="I15" s="1881"/>
      <c r="J15" s="1881"/>
      <c r="K15" s="1881"/>
      <c r="L15" s="1974"/>
      <c r="M15" s="1718"/>
      <c r="N15" s="6"/>
      <c r="O15" s="10"/>
      <c r="P15" s="10"/>
      <c r="Q15" s="10"/>
      <c r="R15" s="10"/>
      <c r="S15" s="10"/>
      <c r="T15" s="10"/>
      <c r="U15" s="10"/>
      <c r="V15" s="10"/>
      <c r="W15" s="10"/>
      <c r="X15" s="10"/>
      <c r="Y15" s="10"/>
      <c r="Z15" s="10"/>
      <c r="AA15" s="10"/>
      <c r="AB15" s="10"/>
      <c r="AC15" s="10"/>
    </row>
    <row r="16" spans="1:29" ht="15" customHeight="1" x14ac:dyDescent="0.25">
      <c r="A16" s="972">
        <f>IF(D16="",0,1)</f>
        <v>0</v>
      </c>
      <c r="B16" s="16"/>
      <c r="C16" s="101"/>
      <c r="D16" s="527"/>
      <c r="E16" s="742"/>
      <c r="F16" s="743"/>
      <c r="G16" s="1882"/>
      <c r="H16" s="1882"/>
      <c r="I16" s="1882"/>
      <c r="J16" s="1882"/>
      <c r="K16" s="1882"/>
      <c r="L16" s="1975"/>
      <c r="M16" s="1718"/>
      <c r="N16" s="6"/>
      <c r="O16" s="10"/>
      <c r="P16" s="10"/>
      <c r="Q16" s="10"/>
      <c r="R16" s="10"/>
      <c r="S16" s="10"/>
      <c r="T16" s="10"/>
      <c r="U16" s="10"/>
      <c r="V16" s="10"/>
      <c r="W16" s="10"/>
      <c r="X16" s="10"/>
      <c r="Y16" s="10"/>
      <c r="Z16" s="10"/>
      <c r="AA16" s="10"/>
      <c r="AB16" s="10"/>
      <c r="AC16" s="10"/>
    </row>
    <row r="17" spans="1:29" ht="15" customHeight="1" x14ac:dyDescent="0.25">
      <c r="A17" s="972">
        <f>IF(D17="",0,1)</f>
        <v>0</v>
      </c>
      <c r="B17" s="16"/>
      <c r="C17" s="101"/>
      <c r="D17" s="527"/>
      <c r="E17" s="742"/>
      <c r="F17" s="743"/>
      <c r="G17" s="1882"/>
      <c r="H17" s="1882"/>
      <c r="I17" s="1882"/>
      <c r="J17" s="1882"/>
      <c r="K17" s="1882"/>
      <c r="L17" s="1975"/>
      <c r="M17" s="1718"/>
      <c r="N17" s="6"/>
      <c r="O17" s="10"/>
      <c r="P17" s="10"/>
      <c r="Q17" s="10"/>
      <c r="R17" s="10"/>
      <c r="S17" s="10"/>
      <c r="T17" s="10"/>
      <c r="U17" s="10"/>
      <c r="V17" s="10"/>
      <c r="W17" s="10"/>
      <c r="X17" s="10"/>
      <c r="Y17" s="10"/>
      <c r="Z17" s="10"/>
      <c r="AA17" s="10"/>
      <c r="AB17" s="10"/>
      <c r="AC17" s="10"/>
    </row>
    <row r="18" spans="1:29" ht="15" customHeight="1" x14ac:dyDescent="0.25">
      <c r="A18" s="972">
        <v>1</v>
      </c>
      <c r="B18" s="16"/>
      <c r="C18" s="101"/>
      <c r="D18" s="637" t="s">
        <v>1270</v>
      </c>
      <c r="E18" s="802"/>
      <c r="F18" s="1127"/>
      <c r="G18" s="1883"/>
      <c r="H18" s="1883"/>
      <c r="I18" s="1883"/>
      <c r="J18" s="1883"/>
      <c r="K18" s="1883"/>
      <c r="L18" s="1480"/>
      <c r="M18" s="101"/>
      <c r="N18" s="6"/>
      <c r="O18" s="10"/>
      <c r="P18" s="10"/>
      <c r="Q18" s="10"/>
      <c r="R18" s="10"/>
      <c r="S18" s="10"/>
      <c r="T18" s="10"/>
      <c r="U18" s="10"/>
      <c r="V18" s="10"/>
      <c r="W18" s="10"/>
      <c r="X18" s="10"/>
      <c r="Y18" s="10"/>
      <c r="Z18" s="10"/>
      <c r="AA18" s="10"/>
      <c r="AB18" s="10"/>
      <c r="AC18" s="10"/>
    </row>
    <row r="19" spans="1:29" ht="15" customHeight="1" x14ac:dyDescent="0.25">
      <c r="A19" s="972">
        <f>IF(dpSale_Method_2="Whole Property",0,1)</f>
        <v>0</v>
      </c>
      <c r="B19" s="16"/>
      <c r="C19" s="101"/>
      <c r="D19" s="488" t="s">
        <v>1016</v>
      </c>
      <c r="E19" s="802"/>
      <c r="F19" s="1127"/>
      <c r="G19" s="1884"/>
      <c r="H19" s="1884"/>
      <c r="I19" s="1884"/>
      <c r="J19" s="1884"/>
      <c r="K19" s="1884"/>
      <c r="L19" s="1976"/>
      <c r="M19" s="101"/>
      <c r="N19" s="6"/>
      <c r="O19" s="10"/>
      <c r="P19" s="10"/>
      <c r="Q19" s="10"/>
      <c r="R19" s="10"/>
      <c r="S19" s="10"/>
      <c r="T19" s="10"/>
      <c r="U19" s="10"/>
      <c r="V19" s="10"/>
      <c r="W19" s="10"/>
      <c r="X19" s="10"/>
      <c r="Y19" s="10"/>
      <c r="Z19" s="10"/>
      <c r="AA19" s="10"/>
      <c r="AB19" s="10"/>
      <c r="AC19" s="10"/>
    </row>
    <row r="20" spans="1:29" ht="15" customHeight="1" x14ac:dyDescent="0.25">
      <c r="A20" s="972">
        <f>IF(dpSale_Method_2="Whole Property",0,1)</f>
        <v>0</v>
      </c>
      <c r="B20" s="16"/>
      <c r="C20" s="101"/>
      <c r="D20" s="488" t="s">
        <v>519</v>
      </c>
      <c r="E20" s="802"/>
      <c r="F20" s="1127"/>
      <c r="G20" s="1883">
        <f t="shared" ref="G20:L20" si="1">G18-G19</f>
        <v>0</v>
      </c>
      <c r="H20" s="1883">
        <f t="shared" si="1"/>
        <v>0</v>
      </c>
      <c r="I20" s="1883">
        <f t="shared" si="1"/>
        <v>0</v>
      </c>
      <c r="J20" s="1883">
        <f t="shared" si="1"/>
        <v>0</v>
      </c>
      <c r="K20" s="1883">
        <f t="shared" si="1"/>
        <v>0</v>
      </c>
      <c r="L20" s="1480">
        <f t="shared" si="1"/>
        <v>0</v>
      </c>
      <c r="M20" s="101"/>
      <c r="N20" s="6"/>
      <c r="O20" s="10"/>
      <c r="P20" s="10"/>
      <c r="Q20" s="10"/>
      <c r="R20" s="10"/>
      <c r="S20" s="10"/>
      <c r="T20" s="10"/>
      <c r="U20" s="10"/>
      <c r="V20" s="10"/>
      <c r="W20" s="10"/>
      <c r="X20" s="10"/>
      <c r="Y20" s="10"/>
      <c r="Z20" s="10"/>
      <c r="AA20" s="10"/>
      <c r="AB20" s="10"/>
      <c r="AC20" s="10"/>
    </row>
    <row r="21" spans="1:29" ht="15" customHeight="1" x14ac:dyDescent="0.25">
      <c r="A21" s="972">
        <v>1</v>
      </c>
      <c r="B21" s="16"/>
      <c r="C21" s="101"/>
      <c r="D21" s="1126" t="str">
        <f>IF(dpSale_Method_2="Whole Property",IF(dpUnit_Sales_2="Net Rentable Area","Unadjusted Sales Price PSF of NRA",IF(dpUnit_Sales_2="Gross Building Area","Unadjusted Sales Price PSF of GBA","Unadjusted Sales Price per Unit")),IF(dpUnit_Sales_2="Net Rentable Area","Unadjusted Contributory Value of Imp. PSF of NRA",IF(dpUnit_Sales_2="Gross Building Area","Unadjusted Contributory Value of Imp. PSF of GBA","Unadjusted Contributory Value of Imp. per Unit")))</f>
        <v>Unadjusted Sales Price PSF of NRA</v>
      </c>
      <c r="E21" s="489"/>
      <c r="F21" s="489"/>
      <c r="G21" s="1885" t="e">
        <f t="shared" ref="G21:L21" si="2">IF(dpSale_Method_2="Whole Property",IF(dpUnit_Sales_2="Net Rentable Area",G18/G12,IF(dpUnit_Sales_2="Gross Building Area",G18/G13,G18/G14)),IF(dpUnit_Sales_2="Net Rentable Area",G20/G12,IF(dpUnit_Sales_2="Gross Building Area",G20/G13,G20/G14)))</f>
        <v>#DIV/0!</v>
      </c>
      <c r="H21" s="1885" t="e">
        <f t="shared" si="2"/>
        <v>#DIV/0!</v>
      </c>
      <c r="I21" s="1885" t="e">
        <f t="shared" si="2"/>
        <v>#DIV/0!</v>
      </c>
      <c r="J21" s="1885" t="e">
        <f t="shared" si="2"/>
        <v>#DIV/0!</v>
      </c>
      <c r="K21" s="1885" t="e">
        <f t="shared" si="2"/>
        <v>#DIV/0!</v>
      </c>
      <c r="L21" s="1977" t="e">
        <f t="shared" si="2"/>
        <v>#DIV/0!</v>
      </c>
      <c r="M21" s="102"/>
      <c r="N21" s="6"/>
      <c r="O21" s="10"/>
      <c r="P21" s="10"/>
      <c r="Q21" s="10"/>
      <c r="R21" s="10"/>
      <c r="S21" s="10"/>
      <c r="T21" s="10"/>
      <c r="U21" s="10"/>
      <c r="V21" s="10"/>
      <c r="W21" s="10"/>
      <c r="X21" s="10"/>
      <c r="Y21" s="10"/>
      <c r="Z21" s="10"/>
      <c r="AA21" s="10"/>
      <c r="AB21" s="10"/>
      <c r="AC21" s="10"/>
    </row>
    <row r="22" spans="1:29" ht="5.0999999999999996" customHeight="1" x14ac:dyDescent="0.25">
      <c r="A22" s="972">
        <v>1</v>
      </c>
      <c r="B22" s="16"/>
      <c r="C22" s="130"/>
      <c r="D22" s="130"/>
      <c r="E22" s="101"/>
      <c r="F22" s="101"/>
      <c r="G22" s="1822" t="b">
        <f t="shared" ref="G22:L22" si="3">IF(Sales_AdjType_2="Qualitative",IF(G25="Inferior",-1,IF(G25="Superior",1,0)))</f>
        <v>0</v>
      </c>
      <c r="H22" s="1822" t="b">
        <f t="shared" si="3"/>
        <v>0</v>
      </c>
      <c r="I22" s="1822" t="b">
        <f t="shared" si="3"/>
        <v>0</v>
      </c>
      <c r="J22" s="1822" t="b">
        <f t="shared" si="3"/>
        <v>0</v>
      </c>
      <c r="K22" s="1822" t="b">
        <f t="shared" si="3"/>
        <v>0</v>
      </c>
      <c r="L22" s="1978" t="b">
        <f t="shared" si="3"/>
        <v>0</v>
      </c>
      <c r="M22" s="101"/>
      <c r="N22" s="6"/>
      <c r="O22" s="10"/>
      <c r="P22" s="10"/>
      <c r="Q22" s="10"/>
      <c r="R22" s="10"/>
      <c r="S22" s="10"/>
      <c r="T22" s="10"/>
      <c r="U22" s="10"/>
      <c r="V22" s="10"/>
      <c r="W22" s="10"/>
      <c r="X22" s="10"/>
      <c r="Y22" s="10"/>
      <c r="Z22" s="10"/>
      <c r="AA22" s="10"/>
      <c r="AB22" s="10"/>
      <c r="AC22" s="10"/>
    </row>
    <row r="23" spans="1:29" ht="15" customHeight="1" x14ac:dyDescent="0.25">
      <c r="A23" s="972">
        <v>1</v>
      </c>
      <c r="B23" s="16"/>
      <c r="C23" s="130"/>
      <c r="D23" s="1137" t="s">
        <v>161</v>
      </c>
      <c r="E23" s="101"/>
      <c r="F23" s="101"/>
      <c r="G23" s="1830"/>
      <c r="H23" s="1830"/>
      <c r="I23" s="1830"/>
      <c r="J23" s="1830"/>
      <c r="K23" s="1830"/>
      <c r="L23" s="1972"/>
      <c r="M23" s="101"/>
      <c r="N23" s="6"/>
      <c r="O23" s="10"/>
      <c r="P23" s="10"/>
      <c r="Q23" s="10"/>
      <c r="R23" s="10"/>
      <c r="S23" s="10"/>
      <c r="T23" s="10"/>
      <c r="U23" s="10"/>
      <c r="V23" s="10"/>
      <c r="W23" s="10"/>
      <c r="X23" s="10"/>
      <c r="Y23" s="10"/>
      <c r="Z23" s="10"/>
      <c r="AA23" s="10"/>
      <c r="AB23" s="10"/>
      <c r="AC23" s="10"/>
    </row>
    <row r="24" spans="1:29" x14ac:dyDescent="0.25">
      <c r="A24" s="972">
        <v>1</v>
      </c>
      <c r="B24" s="16"/>
      <c r="C24" s="130"/>
      <c r="D24" s="1489" t="s">
        <v>164</v>
      </c>
      <c r="E24" s="802"/>
      <c r="F24" s="1170" t="str">
        <f>dpSort_Interest_1</f>
        <v>Fee Simple</v>
      </c>
      <c r="G24" s="1788"/>
      <c r="H24" s="1788"/>
      <c r="I24" s="1788"/>
      <c r="J24" s="1788"/>
      <c r="K24" s="1788"/>
      <c r="L24" s="1162"/>
      <c r="M24" s="802"/>
      <c r="N24" s="6"/>
      <c r="O24" s="10"/>
      <c r="P24" s="10"/>
      <c r="Q24" s="10"/>
      <c r="R24" s="10"/>
      <c r="S24" s="10"/>
      <c r="T24" s="10"/>
      <c r="U24" s="10"/>
      <c r="V24" s="10"/>
      <c r="W24" s="10"/>
      <c r="X24" s="10"/>
      <c r="Y24" s="10"/>
      <c r="Z24" s="10"/>
      <c r="AA24" s="10"/>
      <c r="AB24" s="10"/>
      <c r="AC24" s="10"/>
    </row>
    <row r="25" spans="1:29" ht="15" customHeight="1" x14ac:dyDescent="0.25">
      <c r="A25" s="972">
        <f>IF(SUM(Sales_PropertyRightsRange_2)=0,0,1)</f>
        <v>0</v>
      </c>
      <c r="B25" s="16"/>
      <c r="C25" s="130"/>
      <c r="D25" s="1490" t="s">
        <v>174</v>
      </c>
      <c r="E25" s="101"/>
      <c r="F25" s="1127"/>
      <c r="G25" s="1796">
        <f>IF(AND(G26=0,G27=0,G28=0),0,IF(G26&lt;&gt;0,IF(Sales_AdjType_2="$ per Unit",G26*'Improved Sales Adjustments'!G21,G26),IF(G27&lt;&gt;0,IF(dpUnit_Sales_2="Net Rentable Area",G27/(G21*G12),IF(dpUnit_Sales_2="Gross Building Area",G27/(G21*G13),G27/(G21*G14))),G28/G21)))</f>
        <v>0</v>
      </c>
      <c r="H25" s="1796">
        <f>IF(AND(H26=0,H27=0,H28=0),0,IF(H26&lt;&gt;0,IF(Sales_AdjType_2="$ per Unit",H26*'Improved Sales Adjustments'!#REF!,H26),IF(H27&lt;&gt;0,IF(dpUnit_Sales_2="Net Rentable Area",H27/(H21*H12),IF(dpUnit_Sales_2="Gross Building Area",H27/(H21*H13),H27/(H21*H14))),H28/H21)))</f>
        <v>0</v>
      </c>
      <c r="I25" s="1796">
        <f>IF(AND(I26=0,I27=0,I28=0),0,IF(I26&lt;&gt;0,IF(Sales_AdjType_2="$ per Unit",I26*'Improved Sales Adjustments'!#REF!,I26),IF(I27&lt;&gt;0,IF(dpUnit_Sales_2="Net Rentable Area",I27/(I21*I12),IF(dpUnit_Sales_2="Gross Building Area",I27/(I21*I13),I27/(I21*I14))),I28/I21)))</f>
        <v>0</v>
      </c>
      <c r="J25" s="1796">
        <f>IF(AND(J26=0,J27=0,J28=0),0,IF(J26&lt;&gt;0,IF(Sales_AdjType_2="$ per Unit",J26*'Improved Sales Adjustments'!H21,J26),IF(J27&lt;&gt;0,IF(dpUnit_Sales_2="Net Rentable Area",J27/(J21*J12),IF(dpUnit_Sales_2="Gross Building Area",J27/(J21*J13),J27/(J21*J14))),J28/J21)))</f>
        <v>0</v>
      </c>
      <c r="K25" s="1796">
        <f>IF(AND(K26=0,K27=0,K28=0),0,IF(K26&lt;&gt;0,IF(Sales_AdjType_2="$ per Unit",K26*'Improved Sales Adjustments'!#REF!,K26),IF(K27&lt;&gt;0,IF(dpUnit_Sales_2="Net Rentable Area",K27/(K21*K12),IF(dpUnit_Sales_2="Gross Building Area",K27/(K21*K13),K27/(K21*K14))),K28/K21)))</f>
        <v>0</v>
      </c>
      <c r="L25" s="1958">
        <f>IF(AND(L26=0,L27=0,L28=0),0,IF(L26&lt;&gt;0,IF(Sales_AdjType_2="$ per Unit",L26*'Improved Sales Adjustments'!I21,L26),IF(L27&lt;&gt;0,IF(dpUnit_Sales_2="Net Rentable Area",L27/(L21*L12),IF(dpUnit_Sales_2="Gross Building Area",L27/(L21*L13),L27/(L21*L14))),L28/L21)))</f>
        <v>0</v>
      </c>
      <c r="M25" s="1194"/>
      <c r="N25" s="6"/>
      <c r="O25" s="10"/>
      <c r="P25" s="10"/>
      <c r="Q25" s="10"/>
      <c r="R25" s="10"/>
      <c r="S25" s="10"/>
      <c r="T25" s="10"/>
      <c r="U25" s="10"/>
      <c r="V25" s="10"/>
      <c r="W25" s="10"/>
      <c r="X25" s="10"/>
      <c r="Y25" s="10"/>
      <c r="Z25" s="10"/>
      <c r="AA25" s="10"/>
      <c r="AB25" s="10"/>
      <c r="AC25" s="10"/>
    </row>
    <row r="26" spans="1:29" ht="15" customHeight="1" x14ac:dyDescent="0.25">
      <c r="A26" s="972">
        <v>0</v>
      </c>
      <c r="B26" s="16"/>
      <c r="C26" s="130"/>
      <c r="D26" s="1151"/>
      <c r="E26" s="101"/>
      <c r="F26" s="1120" t="s">
        <v>166</v>
      </c>
      <c r="G26" s="1793"/>
      <c r="H26" s="1793"/>
      <c r="I26" s="1793"/>
      <c r="J26" s="1793"/>
      <c r="K26" s="1793"/>
      <c r="L26" s="1955"/>
      <c r="M26" s="101"/>
      <c r="N26" s="6"/>
      <c r="O26" s="10"/>
      <c r="P26" s="10"/>
      <c r="Q26" s="10"/>
      <c r="R26" s="10"/>
      <c r="S26" s="10"/>
      <c r="T26" s="10"/>
      <c r="U26" s="10"/>
      <c r="V26" s="10"/>
      <c r="W26" s="10"/>
      <c r="X26" s="10"/>
      <c r="Y26" s="10"/>
      <c r="Z26" s="10"/>
      <c r="AA26" s="10"/>
      <c r="AB26" s="10"/>
      <c r="AC26" s="10"/>
    </row>
    <row r="27" spans="1:29" ht="15" customHeight="1" x14ac:dyDescent="0.25">
      <c r="A27" s="972">
        <v>0</v>
      </c>
      <c r="B27" s="16"/>
      <c r="C27" s="130"/>
      <c r="D27" s="1151"/>
      <c r="E27" s="101"/>
      <c r="F27" s="1120" t="s">
        <v>167</v>
      </c>
      <c r="G27" s="1794"/>
      <c r="H27" s="1794"/>
      <c r="I27" s="1794"/>
      <c r="J27" s="1794"/>
      <c r="K27" s="1794"/>
      <c r="L27" s="1956"/>
      <c r="M27" s="101"/>
      <c r="N27" s="6"/>
      <c r="O27" s="10"/>
      <c r="P27" s="10"/>
      <c r="Q27" s="10"/>
      <c r="R27" s="10"/>
      <c r="S27" s="10"/>
      <c r="T27" s="10"/>
      <c r="U27" s="10"/>
      <c r="V27" s="10"/>
      <c r="W27" s="10"/>
      <c r="X27" s="10"/>
      <c r="Y27" s="10"/>
      <c r="Z27" s="10"/>
      <c r="AA27" s="10"/>
      <c r="AB27" s="10"/>
      <c r="AC27" s="10"/>
    </row>
    <row r="28" spans="1:29" ht="15" customHeight="1" x14ac:dyDescent="0.25">
      <c r="A28" s="972">
        <v>0</v>
      </c>
      <c r="B28" s="16"/>
      <c r="C28" s="130"/>
      <c r="D28" s="1151"/>
      <c r="E28" s="101"/>
      <c r="F28" s="1120" t="s">
        <v>710</v>
      </c>
      <c r="G28" s="1791"/>
      <c r="H28" s="1791"/>
      <c r="I28" s="1791"/>
      <c r="J28" s="1791"/>
      <c r="K28" s="1791"/>
      <c r="L28" s="1953"/>
      <c r="M28" s="101"/>
      <c r="N28" s="6"/>
      <c r="O28" s="10"/>
      <c r="P28" s="10"/>
      <c r="Q28" s="10"/>
      <c r="R28" s="10"/>
      <c r="S28" s="10"/>
      <c r="T28" s="10"/>
      <c r="U28" s="10"/>
      <c r="V28" s="10"/>
      <c r="W28" s="10"/>
      <c r="X28" s="10"/>
      <c r="Y28" s="10"/>
      <c r="Z28" s="10"/>
      <c r="AA28" s="10"/>
      <c r="AB28" s="10"/>
      <c r="AC28" s="10"/>
    </row>
    <row r="29" spans="1:29" ht="15" customHeight="1" x14ac:dyDescent="0.25">
      <c r="A29" s="972">
        <f>IF(Sales_AdjType_2="Qualitative",0,1)</f>
        <v>1</v>
      </c>
      <c r="B29" s="16"/>
      <c r="C29" s="130"/>
      <c r="D29" s="1490" t="s">
        <v>1364</v>
      </c>
      <c r="E29" s="101"/>
      <c r="F29" s="1120"/>
      <c r="G29" s="1886" t="e">
        <f t="shared" ref="G29:L29" si="4">IF(Sales_AdjType_2&lt;&gt;"$ per Unit",G21*(1+G25),IF(Sales_AdjType_2="$ per Unit",G21+G25,G25))</f>
        <v>#DIV/0!</v>
      </c>
      <c r="H29" s="1886" t="e">
        <f t="shared" si="4"/>
        <v>#DIV/0!</v>
      </c>
      <c r="I29" s="1886" t="e">
        <f t="shared" si="4"/>
        <v>#DIV/0!</v>
      </c>
      <c r="J29" s="1886" t="e">
        <f t="shared" si="4"/>
        <v>#DIV/0!</v>
      </c>
      <c r="K29" s="1886" t="e">
        <f t="shared" si="4"/>
        <v>#DIV/0!</v>
      </c>
      <c r="L29" s="1979" t="e">
        <f t="shared" si="4"/>
        <v>#DIV/0!</v>
      </c>
      <c r="M29" s="101"/>
      <c r="N29" s="6"/>
      <c r="O29" s="10"/>
      <c r="P29" s="10"/>
      <c r="Q29" s="10"/>
      <c r="R29" s="10"/>
      <c r="S29" s="10"/>
      <c r="T29" s="10"/>
      <c r="U29" s="10"/>
      <c r="V29" s="10"/>
      <c r="W29" s="10"/>
      <c r="X29" s="10"/>
      <c r="Y29" s="10"/>
      <c r="Z29" s="10"/>
      <c r="AA29" s="10"/>
      <c r="AB29" s="10"/>
      <c r="AC29" s="10"/>
    </row>
    <row r="30" spans="1:29" ht="8.1" customHeight="1" x14ac:dyDescent="0.25">
      <c r="A30" s="972">
        <v>1</v>
      </c>
      <c r="B30" s="16"/>
      <c r="C30" s="130"/>
      <c r="D30" s="766"/>
      <c r="E30" s="101"/>
      <c r="F30" s="1127"/>
      <c r="G30" s="1786" t="b">
        <f t="shared" ref="G30:L30" si="5">IF(Sales_AdjType_2="Qualitative",IF(G32="Inferior",-1,IF(G32="Superior",1,0)))</f>
        <v>0</v>
      </c>
      <c r="H30" s="1786" t="b">
        <f t="shared" si="5"/>
        <v>0</v>
      </c>
      <c r="I30" s="1786" t="b">
        <f t="shared" si="5"/>
        <v>0</v>
      </c>
      <c r="J30" s="1786" t="b">
        <f t="shared" si="5"/>
        <v>0</v>
      </c>
      <c r="K30" s="1786" t="b">
        <f t="shared" si="5"/>
        <v>0</v>
      </c>
      <c r="L30" s="1951" t="b">
        <f t="shared" si="5"/>
        <v>0</v>
      </c>
      <c r="M30" s="101"/>
      <c r="N30" s="6"/>
      <c r="O30" s="10"/>
      <c r="P30" s="10"/>
      <c r="Q30" s="10"/>
      <c r="R30" s="10"/>
      <c r="S30" s="10"/>
      <c r="T30" s="10"/>
      <c r="U30" s="10"/>
      <c r="V30" s="10"/>
      <c r="W30" s="10"/>
      <c r="X30" s="10"/>
      <c r="Y30" s="10"/>
      <c r="Z30" s="10"/>
      <c r="AA30" s="10"/>
      <c r="AB30" s="10"/>
      <c r="AC30" s="10"/>
    </row>
    <row r="31" spans="1:29" x14ac:dyDescent="0.25">
      <c r="A31" s="972">
        <v>1</v>
      </c>
      <c r="B31" s="16"/>
      <c r="C31" s="130"/>
      <c r="D31" s="1489" t="s">
        <v>165</v>
      </c>
      <c r="E31" s="101"/>
      <c r="F31" s="1170" t="s">
        <v>969</v>
      </c>
      <c r="G31" s="1788"/>
      <c r="H31" s="1788"/>
      <c r="I31" s="1788"/>
      <c r="J31" s="1788"/>
      <c r="K31" s="1788"/>
      <c r="L31" s="1162"/>
      <c r="M31" s="101"/>
      <c r="N31" s="6"/>
      <c r="O31" s="10"/>
      <c r="P31" s="10"/>
      <c r="Q31" s="10"/>
      <c r="R31" s="10"/>
      <c r="S31" s="10"/>
      <c r="T31" s="10"/>
      <c r="U31" s="10"/>
      <c r="V31" s="10"/>
      <c r="W31" s="10"/>
      <c r="X31" s="10"/>
      <c r="Y31" s="10"/>
      <c r="Z31" s="10"/>
      <c r="AA31" s="10"/>
      <c r="AB31" s="10"/>
      <c r="AC31" s="10"/>
    </row>
    <row r="32" spans="1:29" ht="15" customHeight="1" x14ac:dyDescent="0.25">
      <c r="A32" s="972">
        <f>IF(SUM(Sales_FinancingTermsRange_2)=0,0,1)</f>
        <v>0</v>
      </c>
      <c r="B32" s="16"/>
      <c r="C32" s="130"/>
      <c r="D32" s="1490" t="s">
        <v>174</v>
      </c>
      <c r="E32" s="101"/>
      <c r="F32" s="1127"/>
      <c r="G32" s="1796">
        <f>IF(AND(G33=0,G34=0,G35=0),0,IF(G33&lt;&gt;0,IF(Sales_AdjType_2="$ per Unit",G33*'Improved Sales Adjustments'!G29,G33),IF(G34&lt;&gt;0,IF(dpUnit_Sales_2="Net Rentable Area",G34/(G29*G$12),IF(dpUnit_Sales_2="Gross Building Area",G34/(G29*G$13),G34/(G29*G$14))),G35/G29)))</f>
        <v>0</v>
      </c>
      <c r="H32" s="1796">
        <f>IF(AND(H33=0,H34=0,H35=0),0,IF(H33&lt;&gt;0,IF(Sales_AdjType_2="$ per Unit",H33*'Improved Sales Adjustments'!#REF!,H33),IF(H34&lt;&gt;0,IF(dpUnit_Sales_2="Net Rentable Area",H34/(H29*H$12),IF(dpUnit_Sales_2="Gross Building Area",H34/(H29*H$13),H34/(H29*H$14))),H35/H29)))</f>
        <v>0</v>
      </c>
      <c r="I32" s="1796">
        <f>IF(AND(I33=0,I34=0,I35=0),0,IF(I33&lt;&gt;0,IF(Sales_AdjType_2="$ per Unit",I33*'Improved Sales Adjustments'!#REF!,I33),IF(I34&lt;&gt;0,IF(dpUnit_Sales_2="Net Rentable Area",I34/(I29*I$12),IF(dpUnit_Sales_2="Gross Building Area",I34/(I29*I$13),I34/(I29*I$14))),I35/I29)))</f>
        <v>0</v>
      </c>
      <c r="J32" s="1796">
        <f>IF(AND(J33=0,J34=0,J35=0),0,IF(J33&lt;&gt;0,IF(Sales_AdjType_2="$ per Unit",J33*'Improved Sales Adjustments'!H29,J33),IF(J34&lt;&gt;0,IF(dpUnit_Sales_2="Net Rentable Area",J34/(J29*J$12),IF(dpUnit_Sales_2="Gross Building Area",J34/(J29*J$13),J34/(J29*J$14))),J35/J29)))</f>
        <v>0</v>
      </c>
      <c r="K32" s="1796">
        <f>IF(AND(K33=0,K34=0,K35=0),0,IF(K33&lt;&gt;0,IF(Sales_AdjType_2="$ per Unit",K33*'Improved Sales Adjustments'!#REF!,K33),IF(K34&lt;&gt;0,IF(dpUnit_Sales_2="Net Rentable Area",K34/(K29*K$12),IF(dpUnit_Sales_2="Gross Building Area",K34/(K29*K$13),K34/(K29*K$14))),K35/K29)))</f>
        <v>0</v>
      </c>
      <c r="L32" s="1958">
        <f>IF(AND(L33=0,L34=0,L35=0),0,IF(L33&lt;&gt;0,IF(Sales_AdjType_2="$ per Unit",L33*'Improved Sales Adjustments'!I29,L33),IF(L34&lt;&gt;0,IF(dpUnit_Sales_2="Net Rentable Area",L34/(L29*L$12),IF(dpUnit_Sales_2="Gross Building Area",L34/(L29*L$13),L34/(L29*L$14))),L35/L29)))</f>
        <v>0</v>
      </c>
      <c r="M32" s="1194"/>
      <c r="N32" s="6"/>
      <c r="O32" s="10"/>
      <c r="P32" s="10"/>
      <c r="Q32" s="10"/>
      <c r="R32" s="10"/>
      <c r="S32" s="10"/>
      <c r="T32" s="10"/>
      <c r="U32" s="10"/>
      <c r="V32" s="10"/>
      <c r="W32" s="10"/>
      <c r="X32" s="10"/>
      <c r="Y32" s="10"/>
      <c r="Z32" s="10"/>
      <c r="AA32" s="10"/>
      <c r="AB32" s="10"/>
      <c r="AC32" s="10"/>
    </row>
    <row r="33" spans="1:29" ht="15" customHeight="1" x14ac:dyDescent="0.25">
      <c r="A33" s="972">
        <v>0</v>
      </c>
      <c r="B33" s="16"/>
      <c r="C33" s="130"/>
      <c r="D33" s="766"/>
      <c r="E33" s="101"/>
      <c r="F33" s="1120" t="s">
        <v>166</v>
      </c>
      <c r="G33" s="1793"/>
      <c r="H33" s="1793"/>
      <c r="I33" s="1793"/>
      <c r="J33" s="1793"/>
      <c r="K33" s="1793"/>
      <c r="L33" s="1955"/>
      <c r="M33" s="101"/>
      <c r="N33" s="6"/>
      <c r="O33" s="10"/>
      <c r="P33" s="10"/>
      <c r="Q33" s="10"/>
      <c r="R33" s="10"/>
      <c r="S33" s="10"/>
      <c r="T33" s="10"/>
      <c r="U33" s="10"/>
      <c r="V33" s="10"/>
      <c r="W33" s="10"/>
      <c r="X33" s="10"/>
      <c r="Y33" s="10"/>
      <c r="Z33" s="10"/>
      <c r="AA33" s="10"/>
      <c r="AB33" s="10"/>
      <c r="AC33" s="10"/>
    </row>
    <row r="34" spans="1:29" ht="15" customHeight="1" x14ac:dyDescent="0.25">
      <c r="A34" s="972">
        <v>0</v>
      </c>
      <c r="B34" s="16"/>
      <c r="C34" s="130"/>
      <c r="D34" s="766"/>
      <c r="E34" s="101"/>
      <c r="F34" s="1120" t="s">
        <v>167</v>
      </c>
      <c r="G34" s="1794"/>
      <c r="H34" s="1794"/>
      <c r="I34" s="1794"/>
      <c r="J34" s="1794"/>
      <c r="K34" s="1794"/>
      <c r="L34" s="1956"/>
      <c r="M34" s="101"/>
      <c r="N34" s="6"/>
      <c r="O34" s="10"/>
      <c r="P34" s="10"/>
      <c r="Q34" s="10"/>
      <c r="R34" s="10"/>
      <c r="S34" s="10"/>
      <c r="T34" s="10"/>
      <c r="U34" s="10"/>
      <c r="V34" s="10"/>
      <c r="W34" s="10"/>
      <c r="X34" s="10"/>
      <c r="Y34" s="10"/>
      <c r="Z34" s="10"/>
      <c r="AA34" s="10"/>
      <c r="AB34" s="10"/>
      <c r="AC34" s="10"/>
    </row>
    <row r="35" spans="1:29" ht="15" customHeight="1" x14ac:dyDescent="0.25">
      <c r="A35" s="972">
        <v>0</v>
      </c>
      <c r="B35" s="16"/>
      <c r="C35" s="130"/>
      <c r="D35" s="766"/>
      <c r="E35" s="101"/>
      <c r="F35" s="1120" t="s">
        <v>710</v>
      </c>
      <c r="G35" s="1791"/>
      <c r="H35" s="1791"/>
      <c r="I35" s="1791"/>
      <c r="J35" s="1791"/>
      <c r="K35" s="1791"/>
      <c r="L35" s="1953"/>
      <c r="M35" s="101"/>
      <c r="N35" s="6"/>
      <c r="O35" s="10"/>
      <c r="P35" s="10"/>
      <c r="Q35" s="10"/>
      <c r="R35" s="10"/>
      <c r="S35" s="10"/>
      <c r="T35" s="10"/>
      <c r="U35" s="10"/>
      <c r="V35" s="10"/>
      <c r="W35" s="10"/>
      <c r="X35" s="10"/>
      <c r="Y35" s="10"/>
      <c r="Z35" s="10"/>
      <c r="AA35" s="10"/>
      <c r="AB35" s="10"/>
      <c r="AC35" s="10"/>
    </row>
    <row r="36" spans="1:29" ht="15" customHeight="1" x14ac:dyDescent="0.25">
      <c r="A36" s="972">
        <f>IF(Sales_AdjType_2="Qualitative",0,1)</f>
        <v>1</v>
      </c>
      <c r="B36" s="16"/>
      <c r="C36" s="130"/>
      <c r="D36" s="1490" t="s">
        <v>1364</v>
      </c>
      <c r="E36" s="101"/>
      <c r="F36" s="1120"/>
      <c r="G36" s="1886" t="e">
        <f t="shared" ref="G36:L36" si="6">IF(Sales_AdjType_2&lt;&gt;"$ per Unit",G29*(1+G32),IF(Sales_AdjType_2="$ per Unit",G29+G32,G32))</f>
        <v>#DIV/0!</v>
      </c>
      <c r="H36" s="1886" t="e">
        <f t="shared" si="6"/>
        <v>#DIV/0!</v>
      </c>
      <c r="I36" s="1886" t="e">
        <f t="shared" si="6"/>
        <v>#DIV/0!</v>
      </c>
      <c r="J36" s="1886" t="e">
        <f t="shared" si="6"/>
        <v>#DIV/0!</v>
      </c>
      <c r="K36" s="1886" t="e">
        <f t="shared" si="6"/>
        <v>#DIV/0!</v>
      </c>
      <c r="L36" s="1979" t="e">
        <f t="shared" si="6"/>
        <v>#DIV/0!</v>
      </c>
      <c r="M36" s="101"/>
      <c r="N36" s="6"/>
      <c r="O36" s="10"/>
      <c r="P36" s="10"/>
      <c r="Q36" s="10"/>
      <c r="R36" s="10"/>
      <c r="S36" s="10"/>
      <c r="T36" s="10"/>
      <c r="U36" s="10"/>
      <c r="V36" s="10"/>
      <c r="W36" s="10"/>
      <c r="X36" s="10"/>
      <c r="Y36" s="10"/>
      <c r="Z36" s="10"/>
      <c r="AA36" s="10"/>
      <c r="AB36" s="10"/>
      <c r="AC36" s="10"/>
    </row>
    <row r="37" spans="1:29" ht="8.1" customHeight="1" x14ac:dyDescent="0.25">
      <c r="A37" s="972">
        <v>1</v>
      </c>
      <c r="B37" s="16"/>
      <c r="C37" s="130"/>
      <c r="D37" s="766"/>
      <c r="E37" s="101"/>
      <c r="F37" s="1127"/>
      <c r="G37" s="1786" t="b">
        <f t="shared" ref="G37:L37" si="7">IF(Sales_AdjType_2="Qualitative",IF(G39="Inferior",-1,IF(G39="Superior",1,0)))</f>
        <v>0</v>
      </c>
      <c r="H37" s="1786" t="b">
        <f t="shared" si="7"/>
        <v>0</v>
      </c>
      <c r="I37" s="1786" t="b">
        <f t="shared" si="7"/>
        <v>0</v>
      </c>
      <c r="J37" s="1786" t="b">
        <f t="shared" si="7"/>
        <v>0</v>
      </c>
      <c r="K37" s="1786" t="b">
        <f t="shared" si="7"/>
        <v>0</v>
      </c>
      <c r="L37" s="1951" t="b">
        <f t="shared" si="7"/>
        <v>0</v>
      </c>
      <c r="M37" s="101"/>
      <c r="N37" s="6"/>
      <c r="O37" s="10"/>
      <c r="P37" s="10"/>
      <c r="Q37" s="10"/>
      <c r="R37" s="10"/>
      <c r="S37" s="10"/>
      <c r="T37" s="10"/>
      <c r="U37" s="10"/>
      <c r="V37" s="10"/>
      <c r="W37" s="10"/>
      <c r="X37" s="10"/>
      <c r="Y37" s="10"/>
      <c r="Z37" s="10"/>
      <c r="AA37" s="10"/>
      <c r="AB37" s="10"/>
      <c r="AC37" s="10"/>
    </row>
    <row r="38" spans="1:29" x14ac:dyDescent="0.25">
      <c r="A38" s="972">
        <v>1</v>
      </c>
      <c r="B38" s="16"/>
      <c r="C38" s="130"/>
      <c r="D38" s="1489" t="s">
        <v>284</v>
      </c>
      <c r="E38" s="101"/>
      <c r="F38" s="1170" t="s">
        <v>175</v>
      </c>
      <c r="G38" s="1788"/>
      <c r="H38" s="1788"/>
      <c r="I38" s="1788"/>
      <c r="J38" s="1788"/>
      <c r="K38" s="1788"/>
      <c r="L38" s="1162"/>
      <c r="M38" s="802"/>
      <c r="N38" s="6"/>
      <c r="O38" s="10"/>
      <c r="P38" s="10"/>
      <c r="Q38" s="10"/>
      <c r="R38" s="10"/>
      <c r="S38" s="10"/>
      <c r="T38" s="10"/>
      <c r="U38" s="10"/>
      <c r="V38" s="10"/>
      <c r="W38" s="10"/>
      <c r="X38" s="10"/>
      <c r="Y38" s="10"/>
      <c r="Z38" s="10"/>
      <c r="AA38" s="10"/>
      <c r="AB38" s="10"/>
      <c r="AC38" s="10"/>
    </row>
    <row r="39" spans="1:29" ht="15" customHeight="1" x14ac:dyDescent="0.25">
      <c r="A39" s="972">
        <f>IF(SUM(Sales_ConditionsofSaleRange_2)=0,0,1)</f>
        <v>0</v>
      </c>
      <c r="B39" s="16"/>
      <c r="C39" s="130"/>
      <c r="D39" s="1490" t="s">
        <v>174</v>
      </c>
      <c r="E39" s="101"/>
      <c r="F39" s="1127"/>
      <c r="G39" s="1796">
        <f>IF(AND(G40=0,G41=0,G42=0,G43=0),0,IF(G40&lt;&gt;0,IF(Sales_AdjType="$ per Unit",G40*'Improved Sales Adjustments'!G36,G40),IF(G43&lt;&gt;0,G43/G36,IF(dpUnit_Sales="Net Rentable Area",(G41-G42)/(G36*G$12),IF(dpUnit_Sales="Gross Building Area",(G41-G42)/(G36*G$13),(G41-G42)/(G36*G$14))))))</f>
        <v>0</v>
      </c>
      <c r="H39" s="1796">
        <f>IF(AND(H40=0,H41=0,H42=0,H43=0),0,IF(H40&lt;&gt;0,IF(Sales_AdjType="$ per Unit",H40*'Improved Sales Adjustments'!#REF!,H40),IF(H43&lt;&gt;0,H43/H36,IF(dpUnit_Sales="Net Rentable Area",(H41-H42)/(H36*H$12),IF(dpUnit_Sales="Gross Building Area",(H41-H42)/(H36*H$13),(H41-H42)/(H36*H$14))))))</f>
        <v>0</v>
      </c>
      <c r="I39" s="1796">
        <f>IF(AND(I40=0,I41=0,I42=0,I43=0),0,IF(I40&lt;&gt;0,IF(Sales_AdjType="$ per Unit",I40*'Improved Sales Adjustments'!#REF!,I40),IF(I43&lt;&gt;0,I43/I36,IF(dpUnit_Sales="Net Rentable Area",(I41-I42)/(I36*I$12),IF(dpUnit_Sales="Gross Building Area",(I41-I42)/(I36*I$13),(I41-I42)/(I36*I$14))))))</f>
        <v>0</v>
      </c>
      <c r="J39" s="1796">
        <f>IF(AND(J40=0,J41=0,J42=0,J43=0),0,IF(J40&lt;&gt;0,IF(Sales_AdjType="$ per Unit",J40*'Improved Sales Adjustments'!H36,J40),IF(J43&lt;&gt;0,J43/J36,IF(dpUnit_Sales="Net Rentable Area",(J41-J42)/(J36*J$12),IF(dpUnit_Sales="Gross Building Area",(J41-J42)/(J36*J$13),(J41-J42)/(J36*J$14))))))</f>
        <v>0</v>
      </c>
      <c r="K39" s="1796">
        <f>IF(AND(K40=0,K41=0,K42=0,K43=0),0,IF(K40&lt;&gt;0,IF(Sales_AdjType="$ per Unit",K40*'Improved Sales Adjustments'!#REF!,K40),IF(K43&lt;&gt;0,K43/K36,IF(dpUnit_Sales="Net Rentable Area",(K41-K42)/(K36*K$12),IF(dpUnit_Sales="Gross Building Area",(K41-K42)/(K36*K$13),(K41-K42)/(K36*K$14))))))</f>
        <v>0</v>
      </c>
      <c r="L39" s="1958">
        <f>IF(AND(L40=0,L41=0,L42=0,L43=0),0,IF(L40&lt;&gt;0,IF(Sales_AdjType="$ per Unit",L40*'Improved Sales Adjustments'!I36,L40),IF(L43&lt;&gt;0,L43/L36,IF(dpUnit_Sales="Net Rentable Area",(L41-L42)/(L36*L$12),IF(dpUnit_Sales="Gross Building Area",(L41-L42)/(L36*L$13),(L41-L42)/(L36*L$14))))))</f>
        <v>0</v>
      </c>
      <c r="M39" s="1194"/>
      <c r="N39" s="6"/>
      <c r="O39" s="10"/>
      <c r="P39" s="10"/>
      <c r="Q39" s="10"/>
      <c r="R39" s="10"/>
      <c r="S39" s="10"/>
      <c r="T39" s="10"/>
      <c r="U39" s="10"/>
      <c r="V39" s="10"/>
      <c r="W39" s="10"/>
      <c r="X39" s="10"/>
      <c r="Y39" s="10"/>
      <c r="Z39" s="10"/>
      <c r="AA39" s="10"/>
      <c r="AB39" s="10"/>
      <c r="AC39" s="10"/>
    </row>
    <row r="40" spans="1:29" ht="15" customHeight="1" x14ac:dyDescent="0.25">
      <c r="A40" s="972">
        <v>0</v>
      </c>
      <c r="B40" s="16"/>
      <c r="C40" s="130"/>
      <c r="D40" s="766"/>
      <c r="E40" s="101"/>
      <c r="F40" s="1120" t="s">
        <v>166</v>
      </c>
      <c r="G40" s="1793"/>
      <c r="H40" s="1793"/>
      <c r="I40" s="1793"/>
      <c r="J40" s="1793"/>
      <c r="K40" s="1793"/>
      <c r="L40" s="1955"/>
      <c r="M40" s="101"/>
      <c r="N40" s="6"/>
      <c r="O40" s="10"/>
      <c r="P40" s="10"/>
      <c r="Q40" s="10"/>
      <c r="R40" s="10"/>
      <c r="S40" s="10"/>
      <c r="T40" s="10"/>
      <c r="U40" s="10"/>
      <c r="V40" s="10"/>
      <c r="W40" s="10"/>
      <c r="X40" s="10"/>
      <c r="Y40" s="10"/>
      <c r="Z40" s="10"/>
      <c r="AA40" s="10"/>
      <c r="AB40" s="10"/>
      <c r="AC40" s="10"/>
    </row>
    <row r="41" spans="1:29" ht="15" customHeight="1" x14ac:dyDescent="0.25">
      <c r="A41" s="972">
        <v>0</v>
      </c>
      <c r="B41" s="16"/>
      <c r="C41" s="130"/>
      <c r="D41" s="766"/>
      <c r="E41" s="101"/>
      <c r="F41" s="1120" t="s">
        <v>167</v>
      </c>
      <c r="G41" s="1794"/>
      <c r="H41" s="1794"/>
      <c r="I41" s="1794"/>
      <c r="J41" s="1794"/>
      <c r="K41" s="1794"/>
      <c r="L41" s="1956"/>
      <c r="M41" s="101"/>
      <c r="N41" s="6"/>
      <c r="O41" s="10"/>
      <c r="P41" s="10"/>
      <c r="Q41" s="10"/>
      <c r="R41" s="10"/>
      <c r="S41" s="10"/>
      <c r="T41" s="10"/>
      <c r="U41" s="10"/>
      <c r="V41" s="10"/>
      <c r="W41" s="10"/>
      <c r="X41" s="10"/>
      <c r="Y41" s="10"/>
      <c r="Z41" s="10"/>
      <c r="AA41" s="10"/>
      <c r="AB41" s="10"/>
      <c r="AC41" s="10"/>
    </row>
    <row r="42" spans="1:29" ht="15" customHeight="1" x14ac:dyDescent="0.25">
      <c r="A42" s="972">
        <v>0</v>
      </c>
      <c r="B42" s="16"/>
      <c r="C42" s="130"/>
      <c r="D42" s="766"/>
      <c r="E42" s="101"/>
      <c r="F42" s="1120" t="s">
        <v>1066</v>
      </c>
      <c r="G42" s="1794"/>
      <c r="H42" s="1794"/>
      <c r="I42" s="1794"/>
      <c r="J42" s="1794"/>
      <c r="K42" s="1794"/>
      <c r="L42" s="1956"/>
      <c r="M42" s="101"/>
      <c r="N42" s="6"/>
      <c r="O42" s="10"/>
      <c r="P42" s="10"/>
      <c r="Q42" s="10"/>
      <c r="R42" s="10"/>
      <c r="S42" s="10"/>
      <c r="T42" s="10"/>
      <c r="U42" s="10"/>
      <c r="V42" s="10"/>
      <c r="W42" s="10"/>
      <c r="X42" s="10"/>
      <c r="Y42" s="10"/>
      <c r="Z42" s="10"/>
      <c r="AA42" s="10"/>
      <c r="AB42" s="10"/>
      <c r="AC42" s="10"/>
    </row>
    <row r="43" spans="1:29" ht="15" customHeight="1" x14ac:dyDescent="0.25">
      <c r="A43" s="972">
        <v>0</v>
      </c>
      <c r="B43" s="16"/>
      <c r="C43" s="130"/>
      <c r="D43" s="766"/>
      <c r="E43" s="101"/>
      <c r="F43" s="1120" t="s">
        <v>710</v>
      </c>
      <c r="G43" s="1791"/>
      <c r="H43" s="1791"/>
      <c r="I43" s="1791"/>
      <c r="J43" s="1791"/>
      <c r="K43" s="1791"/>
      <c r="L43" s="1953"/>
      <c r="M43" s="101"/>
      <c r="N43" s="6"/>
      <c r="O43" s="10"/>
      <c r="P43" s="10"/>
      <c r="Q43" s="10"/>
      <c r="R43" s="10"/>
      <c r="S43" s="10"/>
      <c r="T43" s="10"/>
      <c r="U43" s="10"/>
      <c r="V43" s="10"/>
      <c r="W43" s="10"/>
      <c r="X43" s="10"/>
      <c r="Y43" s="10"/>
      <c r="Z43" s="10"/>
      <c r="AA43" s="10"/>
      <c r="AB43" s="10"/>
      <c r="AC43" s="10"/>
    </row>
    <row r="44" spans="1:29" ht="15" customHeight="1" x14ac:dyDescent="0.25">
      <c r="A44" s="972">
        <f>IF(Sales_AdjType_2="Qualitative",0,1)</f>
        <v>1</v>
      </c>
      <c r="B44" s="16"/>
      <c r="C44" s="130"/>
      <c r="D44" s="1490" t="s">
        <v>1364</v>
      </c>
      <c r="E44" s="101"/>
      <c r="F44" s="1120"/>
      <c r="G44" s="1886" t="e">
        <f t="shared" ref="G44:L44" si="8">IF(Sales_AdjType_2&lt;&gt;"$ per Unit",G36*(1+G39),IF(Sales_AdjType_2="$ per Unit",G36+G39,G39))</f>
        <v>#DIV/0!</v>
      </c>
      <c r="H44" s="1886" t="e">
        <f t="shared" si="8"/>
        <v>#DIV/0!</v>
      </c>
      <c r="I44" s="1886" t="e">
        <f t="shared" si="8"/>
        <v>#DIV/0!</v>
      </c>
      <c r="J44" s="1886" t="e">
        <f t="shared" si="8"/>
        <v>#DIV/0!</v>
      </c>
      <c r="K44" s="1886" t="e">
        <f t="shared" si="8"/>
        <v>#DIV/0!</v>
      </c>
      <c r="L44" s="1979" t="e">
        <f t="shared" si="8"/>
        <v>#DIV/0!</v>
      </c>
      <c r="M44" s="101"/>
      <c r="N44" s="6"/>
      <c r="O44" s="10"/>
      <c r="P44" s="10"/>
      <c r="Q44" s="10"/>
      <c r="R44" s="10"/>
      <c r="S44" s="10"/>
      <c r="T44" s="10"/>
      <c r="U44" s="10"/>
      <c r="V44" s="10"/>
      <c r="W44" s="10"/>
      <c r="X44" s="10"/>
      <c r="Y44" s="10"/>
      <c r="Z44" s="10"/>
      <c r="AA44" s="10"/>
      <c r="AB44" s="10"/>
      <c r="AC44" s="10"/>
    </row>
    <row r="45" spans="1:29" ht="8.1" customHeight="1" x14ac:dyDescent="0.25">
      <c r="A45" s="972">
        <v>1</v>
      </c>
      <c r="B45" s="16"/>
      <c r="C45" s="130"/>
      <c r="D45" s="766"/>
      <c r="E45" s="101"/>
      <c r="F45" s="1127"/>
      <c r="G45" s="1786" t="b">
        <f t="shared" ref="G45:L45" si="9">IF(Sales_AdjType_2="Qualitative",IF(G47="Inferior",-1,IF(G47="Superior",1,0)))</f>
        <v>0</v>
      </c>
      <c r="H45" s="1786" t="b">
        <f t="shared" si="9"/>
        <v>0</v>
      </c>
      <c r="I45" s="1786" t="b">
        <f t="shared" si="9"/>
        <v>0</v>
      </c>
      <c r="J45" s="1786" t="b">
        <f t="shared" si="9"/>
        <v>0</v>
      </c>
      <c r="K45" s="1786" t="b">
        <f t="shared" si="9"/>
        <v>0</v>
      </c>
      <c r="L45" s="1951" t="b">
        <f t="shared" si="9"/>
        <v>0</v>
      </c>
      <c r="M45" s="101"/>
      <c r="N45" s="6"/>
      <c r="O45" s="10"/>
      <c r="P45" s="10"/>
      <c r="Q45" s="10"/>
      <c r="R45" s="10"/>
      <c r="S45" s="10"/>
      <c r="T45" s="10"/>
      <c r="U45" s="10"/>
      <c r="V45" s="10"/>
      <c r="W45" s="10"/>
      <c r="X45" s="10"/>
      <c r="Y45" s="10"/>
      <c r="Z45" s="10"/>
      <c r="AA45" s="10"/>
      <c r="AB45" s="10"/>
      <c r="AC45" s="10"/>
    </row>
    <row r="46" spans="1:29" x14ac:dyDescent="0.25">
      <c r="A46" s="972">
        <v>1</v>
      </c>
      <c r="B46" s="16"/>
      <c r="C46" s="130"/>
      <c r="D46" s="1489" t="s">
        <v>264</v>
      </c>
      <c r="E46" s="101"/>
      <c r="F46" s="1127"/>
      <c r="G46" s="1887"/>
      <c r="H46" s="1887"/>
      <c r="I46" s="1887"/>
      <c r="J46" s="1887"/>
      <c r="K46" s="1887"/>
      <c r="L46" s="1980"/>
      <c r="M46" s="1152"/>
      <c r="N46" s="6"/>
      <c r="O46" s="10"/>
      <c r="P46" s="10"/>
      <c r="Q46" s="10"/>
      <c r="R46" s="10"/>
      <c r="S46" s="10"/>
      <c r="T46" s="10"/>
      <c r="U46" s="10"/>
      <c r="V46" s="10"/>
      <c r="W46" s="10"/>
      <c r="X46" s="10"/>
      <c r="Y46" s="10"/>
      <c r="Z46" s="10"/>
      <c r="AA46" s="10"/>
      <c r="AB46" s="10"/>
      <c r="AC46" s="10"/>
    </row>
    <row r="47" spans="1:29" ht="15" customHeight="1" x14ac:dyDescent="0.25">
      <c r="A47" s="972">
        <v>1</v>
      </c>
      <c r="B47" s="16"/>
      <c r="C47" s="130"/>
      <c r="D47" s="1490" t="s">
        <v>174</v>
      </c>
      <c r="E47" s="101"/>
      <c r="F47" s="1127"/>
      <c r="G47" s="1888" t="e">
        <f t="shared" ref="G47:L47" si="10">IF(Sales_AdjType_2&lt;&gt;"$ per Unit",IF(dpUnit_Sales_2="Net Rentable Area",G46/(G12*G44),IF(dpUnit_Sales_2="Gross Building Area",G46/(G13*G44),G46/(G14*G44))),IF(Sales_AdjType_2="$ per Unit",IF(dpUnit_Sales_2="Net Rentable Area",G46/G$12,G46/G$13)))</f>
        <v>#DIV/0!</v>
      </c>
      <c r="H47" s="1888" t="e">
        <f t="shared" si="10"/>
        <v>#DIV/0!</v>
      </c>
      <c r="I47" s="1888" t="e">
        <f t="shared" si="10"/>
        <v>#DIV/0!</v>
      </c>
      <c r="J47" s="1888" t="e">
        <f t="shared" si="10"/>
        <v>#DIV/0!</v>
      </c>
      <c r="K47" s="1888" t="e">
        <f t="shared" si="10"/>
        <v>#DIV/0!</v>
      </c>
      <c r="L47" s="1981" t="e">
        <f t="shared" si="10"/>
        <v>#DIV/0!</v>
      </c>
      <c r="M47" s="763"/>
      <c r="N47" s="6"/>
      <c r="O47" s="10"/>
      <c r="P47" s="10"/>
      <c r="Q47" s="10"/>
      <c r="R47" s="10"/>
      <c r="S47" s="10"/>
      <c r="T47" s="10"/>
      <c r="U47" s="10"/>
      <c r="V47" s="10"/>
      <c r="W47" s="10"/>
      <c r="X47" s="10"/>
      <c r="Y47" s="10"/>
      <c r="Z47" s="10"/>
      <c r="AA47" s="10"/>
      <c r="AB47" s="10"/>
      <c r="AC47" s="10"/>
    </row>
    <row r="48" spans="1:29" ht="15" customHeight="1" x14ac:dyDescent="0.25">
      <c r="A48" s="972">
        <f>IF(Sales_AdjType_2="Qualitative",0,1)</f>
        <v>1</v>
      </c>
      <c r="B48" s="16"/>
      <c r="C48" s="130"/>
      <c r="D48" s="1492" t="s">
        <v>1364</v>
      </c>
      <c r="E48" s="101"/>
      <c r="F48" s="1127"/>
      <c r="G48" s="1889" t="e">
        <f t="shared" ref="G48:L48" si="11">IF(Sales_AdjType_2&lt;&gt;"$ per Unit",G44*(1+G47),IF(Sales_AdjType_2="$ per Unit",G44+G47))</f>
        <v>#DIV/0!</v>
      </c>
      <c r="H48" s="1889" t="e">
        <f t="shared" si="11"/>
        <v>#DIV/0!</v>
      </c>
      <c r="I48" s="1889" t="e">
        <f t="shared" si="11"/>
        <v>#DIV/0!</v>
      </c>
      <c r="J48" s="1889" t="e">
        <f t="shared" si="11"/>
        <v>#DIV/0!</v>
      </c>
      <c r="K48" s="1889" t="e">
        <f t="shared" si="11"/>
        <v>#DIV/0!</v>
      </c>
      <c r="L48" s="1982" t="e">
        <f t="shared" si="11"/>
        <v>#DIV/0!</v>
      </c>
      <c r="M48" s="101"/>
      <c r="N48" s="6"/>
      <c r="O48" s="10"/>
      <c r="P48" s="10"/>
      <c r="Q48" s="10"/>
      <c r="R48" s="10"/>
      <c r="S48" s="10"/>
      <c r="T48" s="10"/>
      <c r="U48" s="10"/>
      <c r="V48" s="10"/>
      <c r="W48" s="10"/>
      <c r="X48" s="10"/>
      <c r="Y48" s="10"/>
      <c r="Z48" s="10"/>
      <c r="AA48" s="10"/>
      <c r="AB48" s="10"/>
      <c r="AC48" s="10"/>
    </row>
    <row r="49" spans="1:29" ht="5.0999999999999996" customHeight="1" x14ac:dyDescent="0.25">
      <c r="A49" s="972"/>
      <c r="B49" s="16"/>
      <c r="C49" s="130"/>
      <c r="D49" s="766"/>
      <c r="E49" s="101"/>
      <c r="F49" s="101"/>
      <c r="G49" s="1786" t="b">
        <f t="shared" ref="G49:L49" si="12">IF(Sales_AdjType_2="Qualitative",IF(G54="Inferior",-1,IF(G54="Superior",1,0)))</f>
        <v>0</v>
      </c>
      <c r="H49" s="1786" t="b">
        <f t="shared" si="12"/>
        <v>0</v>
      </c>
      <c r="I49" s="1786" t="b">
        <f t="shared" si="12"/>
        <v>0</v>
      </c>
      <c r="J49" s="1786" t="b">
        <f t="shared" si="12"/>
        <v>0</v>
      </c>
      <c r="K49" s="1786" t="b">
        <f t="shared" si="12"/>
        <v>0</v>
      </c>
      <c r="L49" s="1951" t="b">
        <f t="shared" si="12"/>
        <v>0</v>
      </c>
      <c r="M49" s="101"/>
      <c r="N49" s="6"/>
      <c r="O49" s="10"/>
      <c r="P49" s="10"/>
      <c r="Q49" s="10"/>
      <c r="R49" s="10"/>
      <c r="S49" s="10"/>
      <c r="T49" s="10"/>
      <c r="U49" s="10"/>
      <c r="V49" s="10"/>
      <c r="W49" s="10"/>
      <c r="X49" s="10"/>
      <c r="Y49" s="10"/>
      <c r="Z49" s="10"/>
      <c r="AA49" s="10"/>
      <c r="AB49" s="10"/>
      <c r="AC49" s="10"/>
    </row>
    <row r="50" spans="1:29" ht="15" customHeight="1" x14ac:dyDescent="0.25">
      <c r="A50" s="972">
        <v>1</v>
      </c>
      <c r="B50" s="16"/>
      <c r="C50" s="130"/>
      <c r="D50" s="1137" t="s">
        <v>162</v>
      </c>
      <c r="E50" s="101"/>
      <c r="F50" s="101"/>
      <c r="G50" s="1830"/>
      <c r="H50" s="1830"/>
      <c r="I50" s="1830"/>
      <c r="J50" s="1830"/>
      <c r="K50" s="1830"/>
      <c r="L50" s="1972"/>
      <c r="M50" s="101"/>
      <c r="N50" s="6"/>
      <c r="O50" s="10"/>
      <c r="P50" s="10"/>
      <c r="Q50" s="10"/>
      <c r="R50" s="4093" t="s">
        <v>944</v>
      </c>
      <c r="S50" s="10"/>
      <c r="T50" s="10"/>
      <c r="U50" s="10"/>
      <c r="V50" s="10"/>
      <c r="W50" s="10"/>
      <c r="X50" s="10"/>
      <c r="Y50" s="10"/>
      <c r="Z50" s="10"/>
      <c r="AA50" s="10"/>
      <c r="AB50" s="10"/>
      <c r="AC50" s="10"/>
    </row>
    <row r="51" spans="1:29" ht="15" customHeight="1" thickBot="1" x14ac:dyDescent="0.3">
      <c r="A51" s="972">
        <v>1</v>
      </c>
      <c r="B51" s="16"/>
      <c r="C51" s="130"/>
      <c r="D51" s="1489" t="s">
        <v>171</v>
      </c>
      <c r="E51" s="101"/>
      <c r="F51" s="802"/>
      <c r="G51" s="1795">
        <f t="shared" ref="G51:L51" si="13">IF(ISERR((dpSale_DOV_2-G10)/365),0,(dpSale_DOV_2-G10)/365)</f>
        <v>0</v>
      </c>
      <c r="H51" s="1795">
        <f t="shared" si="13"/>
        <v>0</v>
      </c>
      <c r="I51" s="1795">
        <f t="shared" si="13"/>
        <v>0</v>
      </c>
      <c r="J51" s="1795">
        <f t="shared" si="13"/>
        <v>0</v>
      </c>
      <c r="K51" s="1795">
        <f t="shared" si="13"/>
        <v>0</v>
      </c>
      <c r="L51" s="1957">
        <f t="shared" si="13"/>
        <v>0</v>
      </c>
      <c r="M51" s="101"/>
      <c r="N51" s="6"/>
      <c r="O51" s="10"/>
      <c r="P51" s="10"/>
      <c r="Q51" s="10"/>
      <c r="R51" s="4114"/>
      <c r="S51" s="10"/>
      <c r="T51" s="10"/>
      <c r="U51" s="10"/>
      <c r="V51" s="10"/>
      <c r="W51" s="10"/>
      <c r="X51" s="10"/>
      <c r="Y51" s="10"/>
      <c r="Z51" s="10"/>
      <c r="AA51" s="10"/>
      <c r="AB51" s="10"/>
      <c r="AC51" s="10"/>
    </row>
    <row r="52" spans="1:29" ht="15" customHeight="1" x14ac:dyDescent="0.25">
      <c r="A52" s="972">
        <v>1</v>
      </c>
      <c r="B52" s="16"/>
      <c r="C52" s="130"/>
      <c r="D52" s="1490" t="s">
        <v>172</v>
      </c>
      <c r="E52" s="101"/>
      <c r="F52" s="1176" t="str">
        <f>dpSale_DOV_2</f>
        <v>December 30, 1899</v>
      </c>
      <c r="G52" s="1796">
        <f t="shared" ref="G52:L52" si="14">IF(dpSales_MktCondDate1_2="",0,IF(ISERR(IF(AND(dpSales_MktCondDate2_2&lt;&gt;"",G$10&gt;dpSales_MktCondDate1_2),0,(dpSales_MktCondAdj1_2*((dpSales_MktCondDate1_2-G$10)/365)))),0,IF(AND(dpSales_MktCondDate2_2&lt;&gt;"",G$10&gt;dpSales_MktCondDate1_2),0,(dpSales_MktCondAdj1_2*((dpSales_MktCondDate1_2-G$10)/365)))))</f>
        <v>0</v>
      </c>
      <c r="H52" s="1796">
        <f t="shared" si="14"/>
        <v>0</v>
      </c>
      <c r="I52" s="1796">
        <f t="shared" si="14"/>
        <v>0</v>
      </c>
      <c r="J52" s="1796">
        <f t="shared" si="14"/>
        <v>0</v>
      </c>
      <c r="K52" s="1796">
        <f t="shared" si="14"/>
        <v>0</v>
      </c>
      <c r="L52" s="1958">
        <f t="shared" si="14"/>
        <v>0</v>
      </c>
      <c r="M52" s="101"/>
      <c r="N52" s="6"/>
      <c r="O52" s="10"/>
      <c r="P52" s="10"/>
      <c r="Q52" s="10"/>
      <c r="R52" s="573"/>
      <c r="S52" s="10"/>
      <c r="T52" s="10"/>
      <c r="U52" s="10"/>
      <c r="V52" s="10"/>
      <c r="W52" s="10"/>
      <c r="X52" s="10"/>
      <c r="Y52" s="10"/>
      <c r="Z52" s="10"/>
      <c r="AA52" s="10"/>
      <c r="AB52" s="10"/>
      <c r="AC52" s="10"/>
    </row>
    <row r="53" spans="1:29" ht="15" customHeight="1" thickBot="1" x14ac:dyDescent="0.3">
      <c r="A53" s="972">
        <f>IF(dpSales_MktCondDate2_2="",0,1)</f>
        <v>0</v>
      </c>
      <c r="B53" s="16"/>
      <c r="C53" s="130"/>
      <c r="D53" s="1490" t="s">
        <v>173</v>
      </c>
      <c r="E53" s="101"/>
      <c r="F53" s="1177"/>
      <c r="G53" s="1796">
        <f t="shared" ref="G53:L53" si="15">IF(dpSales_MktCondDate2_2="",0,IF(ISERR(IF(AND(G$10&lt;dpSale_DOV_2,G$10&gt;dpSales_MktCondDate1_2),dpSales_MktCondAdj2_2*((dpSale_DOV_2-G$10)/365),IF(G$10&lt;dpSale_DOV_2,dpSales_MktCondAdj2_2*((dpSale_DOV_2-dpSales_MktCondDate1_2)/365),dpSales_MktCondAdj2_2*((dpSale_DOV_2-G$10)/365)))),0,IF(AND(G$10&lt;dpSale_DOV_2,G$10&gt;dpSales_MktCondDate1_2),dpSales_MktCondAdj2_2*((dpSale_DOV_2-G$10)/365),IF(G$10&lt;dpSale_DOV_2,dpSales_MktCondAdj2_2*((dpSale_DOV_2-dpSales_MktCondDate1_2)/365),dpSales_MktCondAdj2_2*((dpSale_DOV_2-G$10)/365)))))</f>
        <v>0</v>
      </c>
      <c r="H53" s="1796">
        <f t="shared" si="15"/>
        <v>0</v>
      </c>
      <c r="I53" s="1796">
        <f t="shared" si="15"/>
        <v>0</v>
      </c>
      <c r="J53" s="1796">
        <f t="shared" si="15"/>
        <v>0</v>
      </c>
      <c r="K53" s="1796">
        <f t="shared" si="15"/>
        <v>0</v>
      </c>
      <c r="L53" s="1958">
        <f t="shared" si="15"/>
        <v>0</v>
      </c>
      <c r="M53" s="101"/>
      <c r="N53" s="6"/>
      <c r="O53" s="10"/>
      <c r="P53" s="10"/>
      <c r="Q53" s="10"/>
      <c r="R53" s="574"/>
      <c r="S53" s="12" t="s">
        <v>158</v>
      </c>
      <c r="T53" s="10"/>
      <c r="U53" s="10"/>
      <c r="V53" s="10"/>
      <c r="W53" s="10"/>
      <c r="X53" s="10"/>
      <c r="Y53" s="10"/>
      <c r="Z53" s="10"/>
      <c r="AA53" s="10"/>
      <c r="AB53" s="10"/>
      <c r="AC53" s="10"/>
    </row>
    <row r="54" spans="1:29" ht="15" customHeight="1" x14ac:dyDescent="0.25">
      <c r="A54" s="972">
        <v>1</v>
      </c>
      <c r="B54" s="16"/>
      <c r="C54" s="130"/>
      <c r="D54" s="1206" t="s">
        <v>1371</v>
      </c>
      <c r="E54" s="101"/>
      <c r="F54" s="802"/>
      <c r="G54" s="1784" t="e">
        <f t="shared" ref="G54:L54" si="16">G48*(1+G52)*(1+G53)</f>
        <v>#DIV/0!</v>
      </c>
      <c r="H54" s="1784" t="e">
        <f t="shared" si="16"/>
        <v>#DIV/0!</v>
      </c>
      <c r="I54" s="1784" t="e">
        <f t="shared" si="16"/>
        <v>#DIV/0!</v>
      </c>
      <c r="J54" s="1784" t="e">
        <f t="shared" si="16"/>
        <v>#DIV/0!</v>
      </c>
      <c r="K54" s="1784" t="e">
        <f t="shared" si="16"/>
        <v>#DIV/0!</v>
      </c>
      <c r="L54" s="1949" t="e">
        <f t="shared" si="16"/>
        <v>#DIV/0!</v>
      </c>
      <c r="M54" s="101"/>
      <c r="N54" s="6"/>
      <c r="O54" s="10"/>
      <c r="P54" s="10"/>
      <c r="Q54" s="10"/>
      <c r="R54" s="10"/>
      <c r="S54" s="10"/>
      <c r="T54" s="10"/>
      <c r="U54" s="10"/>
      <c r="V54" s="10"/>
      <c r="W54" s="10"/>
      <c r="X54" s="10"/>
      <c r="Y54" s="10"/>
      <c r="Z54" s="10"/>
      <c r="AA54" s="10"/>
      <c r="AB54" s="10"/>
      <c r="AC54" s="10"/>
    </row>
    <row r="55" spans="1:29" ht="5.0999999999999996" customHeight="1" x14ac:dyDescent="0.25">
      <c r="A55" s="972">
        <v>1</v>
      </c>
      <c r="B55" s="16"/>
      <c r="C55" s="130"/>
      <c r="D55" s="766"/>
      <c r="E55" s="101"/>
      <c r="F55" s="101"/>
      <c r="G55" s="1797">
        <f t="shared" ref="G55:L55" si="17">IF(AND(G60=0,G61=0,G62=0),0,IF(G60&lt;&gt;0,G60,IF(G59&lt;&gt;0,IF(dpUnit_Sales_2="Net Rentable Area",(G61/G$12)/G$54,(G61/G$13)/G$54),IF(dpUnit_Sales_2="Net Rentable Area",G62/G$54,G62/G$54))))</f>
        <v>0</v>
      </c>
      <c r="H55" s="1797">
        <f t="shared" si="17"/>
        <v>0</v>
      </c>
      <c r="I55" s="1797">
        <f t="shared" si="17"/>
        <v>0</v>
      </c>
      <c r="J55" s="1797">
        <f t="shared" si="17"/>
        <v>0</v>
      </c>
      <c r="K55" s="1797">
        <f t="shared" si="17"/>
        <v>0</v>
      </c>
      <c r="L55" s="1959">
        <f t="shared" si="17"/>
        <v>0</v>
      </c>
      <c r="M55" s="101"/>
      <c r="N55" s="6"/>
      <c r="O55" s="10"/>
      <c r="P55" s="10"/>
      <c r="Q55" s="10"/>
      <c r="R55" s="10"/>
      <c r="S55" s="10"/>
      <c r="T55" s="10"/>
      <c r="U55" s="10"/>
      <c r="V55" s="10"/>
      <c r="W55" s="10"/>
      <c r="X55" s="10"/>
      <c r="Y55" s="10"/>
      <c r="Z55" s="10"/>
      <c r="AA55" s="10"/>
      <c r="AB55" s="10"/>
      <c r="AC55" s="10"/>
    </row>
    <row r="56" spans="1:29" ht="15" customHeight="1" x14ac:dyDescent="0.25">
      <c r="A56" s="972">
        <v>1</v>
      </c>
      <c r="B56" s="16"/>
      <c r="C56" s="130"/>
      <c r="D56" s="1137" t="s">
        <v>312</v>
      </c>
      <c r="E56" s="101"/>
      <c r="F56" s="101"/>
      <c r="G56" s="1830"/>
      <c r="H56" s="1830"/>
      <c r="I56" s="1830"/>
      <c r="J56" s="1830"/>
      <c r="K56" s="1830"/>
      <c r="L56" s="1972"/>
      <c r="M56" s="101"/>
      <c r="N56" s="6"/>
      <c r="O56" s="10"/>
      <c r="P56" s="10"/>
      <c r="Q56" s="10"/>
      <c r="R56" s="10"/>
      <c r="S56" s="10"/>
      <c r="T56" s="10"/>
      <c r="U56" s="10"/>
      <c r="V56" s="10"/>
      <c r="W56" s="10"/>
      <c r="X56" s="10"/>
      <c r="Y56" s="10"/>
      <c r="Z56" s="10"/>
      <c r="AA56" s="10"/>
      <c r="AB56" s="10"/>
      <c r="AC56" s="10"/>
    </row>
    <row r="57" spans="1:29" x14ac:dyDescent="0.25">
      <c r="A57" s="972">
        <f>A59</f>
        <v>2</v>
      </c>
      <c r="B57" s="16"/>
      <c r="C57" s="522"/>
      <c r="D57" s="1489" t="s">
        <v>95</v>
      </c>
      <c r="E57" s="802"/>
      <c r="F57" s="1665" t="str">
        <f>Subject_Address</f>
        <v>4940 Oneida St</v>
      </c>
      <c r="G57" s="1788"/>
      <c r="H57" s="1788"/>
      <c r="I57" s="1788"/>
      <c r="J57" s="1788"/>
      <c r="K57" s="1788"/>
      <c r="L57" s="1162"/>
      <c r="M57" s="101"/>
      <c r="N57" s="6"/>
      <c r="O57" s="10"/>
      <c r="P57" s="10"/>
      <c r="Q57" s="10"/>
      <c r="R57" s="10"/>
      <c r="S57" s="10"/>
      <c r="T57" s="10"/>
      <c r="U57" s="10"/>
      <c r="V57" s="10"/>
      <c r="W57" s="10"/>
      <c r="X57" s="10"/>
      <c r="Y57" s="10"/>
      <c r="Z57" s="10"/>
      <c r="AA57" s="10"/>
      <c r="AB57" s="10"/>
      <c r="AC57" s="10"/>
    </row>
    <row r="58" spans="1:29" ht="14.25" customHeight="1" x14ac:dyDescent="0.25">
      <c r="A58" s="972">
        <f>A59</f>
        <v>2</v>
      </c>
      <c r="B58" s="16"/>
      <c r="C58" s="522"/>
      <c r="D58" s="520"/>
      <c r="E58" s="802"/>
      <c r="F58" s="1650" t="str">
        <f>CONCATENATE(Subject_City,", ",Subject_State)</f>
        <v>Commerce City, Colorado</v>
      </c>
      <c r="G58" s="1788"/>
      <c r="H58" s="1788"/>
      <c r="I58" s="1788"/>
      <c r="J58" s="1788"/>
      <c r="K58" s="1788"/>
      <c r="L58" s="1162"/>
      <c r="M58" s="101"/>
      <c r="N58" s="6"/>
      <c r="O58" s="10"/>
      <c r="P58" s="10"/>
      <c r="Q58" s="10"/>
      <c r="R58" s="10"/>
      <c r="S58" s="10"/>
      <c r="T58" s="10"/>
      <c r="U58" s="10"/>
      <c r="V58" s="10"/>
      <c r="W58" s="10"/>
      <c r="X58" s="10"/>
      <c r="Y58" s="10"/>
      <c r="Z58" s="10"/>
      <c r="AA58" s="10"/>
      <c r="AB58" s="10"/>
      <c r="AC58" s="10"/>
    </row>
    <row r="59" spans="1:29" ht="15" customHeight="1" x14ac:dyDescent="0.25">
      <c r="A59" s="972">
        <f>IF(AND(B59=TRUE,dpSale_Method_2="Whole Property"),1,2)</f>
        <v>2</v>
      </c>
      <c r="B59" s="16" t="b">
        <v>0</v>
      </c>
      <c r="C59" s="130"/>
      <c r="D59" s="1490" t="str">
        <f>IF(Sales_AdjType&lt;&gt;"Qualitative","Adjustment","Relative Comparison")</f>
        <v>Adjustment</v>
      </c>
      <c r="E59" s="802"/>
      <c r="F59" s="802"/>
      <c r="G59" s="1796">
        <f t="shared" ref="G59:L59" si="18">IF(Sales_AdjType_2="Percent",IF(AND(G60=0,G61=0,G62=0),0,IF(G60&lt;&gt;0,G60,IF(G61&lt;&gt;0,IF(Sales_AdjType_2="Net Rentable Area",(G61/G$12)/G$54,(G61/G$13)/G$54),IF(Sales_AdjType_2="Net Rentable Area",G62/G$54,G62/G$54)))),IF(Sales_AdjType_2="$ per Unit",IF(AND(G60=0,G61=0,G62=0),0,IF(G60&lt;&gt;0,G60*G$54,IF(G61&lt;&gt;0,IF(Sales_AdjType_2="Net Rentable Area",G61/G$12,G61/G$13),G62))),IF(OR(G60&gt;0,G61&gt;0,G62&gt;0),"Inferior",IF(OR(G60&lt;0,G61&lt;0,G62&lt;0),"Superior","Similar"))))</f>
        <v>0</v>
      </c>
      <c r="H59" s="1796">
        <f t="shared" si="18"/>
        <v>0</v>
      </c>
      <c r="I59" s="1796">
        <f t="shared" si="18"/>
        <v>0</v>
      </c>
      <c r="J59" s="1796">
        <f t="shared" si="18"/>
        <v>0</v>
      </c>
      <c r="K59" s="1796">
        <f t="shared" si="18"/>
        <v>0</v>
      </c>
      <c r="L59" s="1958">
        <f t="shared" si="18"/>
        <v>0</v>
      </c>
      <c r="M59" s="1194"/>
      <c r="N59" s="6"/>
      <c r="O59" s="10"/>
      <c r="P59" s="10"/>
      <c r="Q59" s="10"/>
      <c r="R59" s="10"/>
      <c r="S59" s="10"/>
      <c r="T59" s="10"/>
      <c r="U59" s="10"/>
      <c r="V59" s="10"/>
      <c r="W59" s="10"/>
      <c r="X59" s="10"/>
      <c r="Y59" s="10"/>
      <c r="Z59" s="10"/>
      <c r="AA59" s="10"/>
      <c r="AB59" s="10"/>
      <c r="AC59" s="10"/>
    </row>
    <row r="60" spans="1:29" ht="15" customHeight="1" x14ac:dyDescent="0.25">
      <c r="A60" s="972">
        <f>IF(A59=2,2,0)</f>
        <v>2</v>
      </c>
      <c r="B60" s="575"/>
      <c r="C60" s="130"/>
      <c r="D60" s="520"/>
      <c r="E60" s="802"/>
      <c r="F60" s="1120" t="s">
        <v>166</v>
      </c>
      <c r="G60" s="1793"/>
      <c r="H60" s="1793"/>
      <c r="I60" s="1793"/>
      <c r="J60" s="1793"/>
      <c r="K60" s="1793"/>
      <c r="L60" s="1955"/>
      <c r="M60" s="136"/>
      <c r="N60" s="6"/>
      <c r="O60" s="10"/>
      <c r="P60" s="10"/>
      <c r="Q60" s="10"/>
      <c r="R60" s="10"/>
      <c r="S60" s="10"/>
      <c r="T60" s="10"/>
      <c r="U60" s="10"/>
      <c r="V60" s="10"/>
      <c r="W60" s="10"/>
      <c r="X60" s="10"/>
      <c r="Y60" s="10"/>
      <c r="Z60" s="10"/>
      <c r="AA60" s="10"/>
      <c r="AB60" s="10"/>
      <c r="AC60" s="10"/>
    </row>
    <row r="61" spans="1:29" ht="15" customHeight="1" x14ac:dyDescent="0.25">
      <c r="A61" s="972">
        <f>IF(A60=2,2,0)</f>
        <v>2</v>
      </c>
      <c r="B61" s="575"/>
      <c r="C61" s="130"/>
      <c r="D61" s="520"/>
      <c r="E61" s="802"/>
      <c r="F61" s="1120" t="s">
        <v>167</v>
      </c>
      <c r="G61" s="1794"/>
      <c r="H61" s="1794"/>
      <c r="I61" s="1794"/>
      <c r="J61" s="1794"/>
      <c r="K61" s="1794"/>
      <c r="L61" s="1956"/>
      <c r="M61" s="1152"/>
      <c r="N61" s="6"/>
      <c r="O61" s="10"/>
      <c r="P61" s="10"/>
      <c r="Q61" s="10"/>
      <c r="R61" s="10"/>
      <c r="S61" s="10"/>
      <c r="T61" s="10"/>
      <c r="U61" s="10"/>
      <c r="V61" s="10"/>
      <c r="W61" s="10"/>
      <c r="X61" s="10"/>
      <c r="Y61" s="10"/>
      <c r="Z61" s="10"/>
      <c r="AA61" s="10"/>
      <c r="AB61" s="10"/>
      <c r="AC61" s="10"/>
    </row>
    <row r="62" spans="1:29" ht="15" customHeight="1" x14ac:dyDescent="0.25">
      <c r="A62" s="972">
        <f>IF(A61=2,2,0)</f>
        <v>2</v>
      </c>
      <c r="B62" s="575"/>
      <c r="C62" s="130"/>
      <c r="D62" s="520"/>
      <c r="E62" s="802"/>
      <c r="F62" s="1120" t="s">
        <v>710</v>
      </c>
      <c r="G62" s="1791"/>
      <c r="H62" s="1791"/>
      <c r="I62" s="1791"/>
      <c r="J62" s="1791"/>
      <c r="K62" s="1791"/>
      <c r="L62" s="1953"/>
      <c r="M62" s="1153"/>
      <c r="N62" s="6"/>
      <c r="O62" s="10"/>
      <c r="P62" s="10"/>
      <c r="Q62" s="10"/>
      <c r="R62" s="10"/>
      <c r="S62" s="10"/>
      <c r="T62" s="10"/>
      <c r="U62" s="10"/>
      <c r="V62" s="10"/>
      <c r="W62" s="10"/>
      <c r="X62" s="10"/>
      <c r="Y62" s="10"/>
      <c r="Z62" s="10"/>
      <c r="AA62" s="10"/>
      <c r="AB62" s="10"/>
      <c r="AC62" s="10"/>
    </row>
    <row r="63" spans="1:29" ht="8.1" customHeight="1" x14ac:dyDescent="0.25">
      <c r="A63" s="972">
        <f>A65</f>
        <v>2</v>
      </c>
      <c r="B63" s="16"/>
      <c r="C63" s="130"/>
      <c r="D63" s="520"/>
      <c r="E63" s="802"/>
      <c r="F63" s="802"/>
      <c r="G63" s="1797">
        <f t="shared" ref="G63:L63" si="19">IF(AND(G66=0,G67=0,G68=0),0,IF(G66&lt;&gt;0,G66,IF(G67&lt;&gt;0,IF(dpUnit_Sales_2="Net Rentable Area",(G67/G$12)/G$54,(G67/G$13)/G$54),IF(dpUnit_Sales_2="Net Rentable Area",G68/G$54,G68/G$54))))</f>
        <v>0</v>
      </c>
      <c r="H63" s="1797">
        <f t="shared" si="19"/>
        <v>0</v>
      </c>
      <c r="I63" s="1797">
        <f t="shared" si="19"/>
        <v>0</v>
      </c>
      <c r="J63" s="1797">
        <f t="shared" si="19"/>
        <v>0</v>
      </c>
      <c r="K63" s="1797">
        <f t="shared" si="19"/>
        <v>0</v>
      </c>
      <c r="L63" s="1959">
        <f t="shared" si="19"/>
        <v>0</v>
      </c>
      <c r="M63" s="101"/>
      <c r="N63" s="6"/>
      <c r="O63" s="10"/>
      <c r="P63" s="10"/>
      <c r="Q63" s="10"/>
      <c r="R63" s="10"/>
      <c r="S63" s="10"/>
      <c r="T63" s="10"/>
      <c r="U63" s="10"/>
      <c r="V63" s="10"/>
      <c r="W63" s="10"/>
      <c r="X63" s="10"/>
      <c r="Y63" s="10"/>
      <c r="Z63" s="10"/>
      <c r="AA63" s="10"/>
      <c r="AB63" s="10"/>
      <c r="AC63" s="10"/>
    </row>
    <row r="64" spans="1:29" x14ac:dyDescent="0.25">
      <c r="A64" s="972">
        <f>A65</f>
        <v>2</v>
      </c>
      <c r="B64" s="16"/>
      <c r="C64" s="130"/>
      <c r="D64" s="1489" t="s">
        <v>96</v>
      </c>
      <c r="E64" s="802"/>
      <c r="F64" s="1719">
        <f>IF(dpUnit_Sales_2="Net Rentable Area",dpSubject_Sales_NRA_2,IF(dpUnit_Sales_2="Gross Building Area",dpSubject_Sales_GBA_2,dpSubject_Sales_Units_2))</f>
        <v>209208</v>
      </c>
      <c r="G64" s="1890">
        <f t="shared" ref="G64:L64" si="20">IF(dpUnit_Sales_2="Net Rentable Area",G12,IF(dpUnit_Sales_2="Gross Building Area",G13,G14))</f>
        <v>0</v>
      </c>
      <c r="H64" s="1890">
        <f t="shared" si="20"/>
        <v>0</v>
      </c>
      <c r="I64" s="1890">
        <f t="shared" si="20"/>
        <v>0</v>
      </c>
      <c r="J64" s="1890">
        <f t="shared" si="20"/>
        <v>0</v>
      </c>
      <c r="K64" s="1890">
        <f t="shared" si="20"/>
        <v>0</v>
      </c>
      <c r="L64" s="1983">
        <f t="shared" si="20"/>
        <v>0</v>
      </c>
      <c r="M64" s="101"/>
      <c r="N64" s="6"/>
      <c r="O64" s="10"/>
      <c r="P64" s="10"/>
      <c r="Q64" s="10"/>
      <c r="R64" s="150" t="s">
        <v>1186</v>
      </c>
      <c r="S64" s="10"/>
      <c r="T64" s="10"/>
      <c r="U64" s="10"/>
      <c r="V64" s="10"/>
      <c r="W64" s="10"/>
      <c r="X64" s="10"/>
      <c r="Y64" s="10"/>
      <c r="Z64" s="10"/>
      <c r="AA64" s="10"/>
      <c r="AB64" s="10"/>
      <c r="AC64" s="10"/>
    </row>
    <row r="65" spans="1:29" ht="15" customHeight="1" thickBot="1" x14ac:dyDescent="0.3">
      <c r="A65" s="972">
        <f>IF(B65=TRUE,1,2)</f>
        <v>2</v>
      </c>
      <c r="B65" s="16" t="b">
        <v>0</v>
      </c>
      <c r="C65" s="130"/>
      <c r="D65" s="1490" t="str">
        <f>IF(Sales_AdjType&lt;&gt;"Qualitative","Adjustment","Relative Comparison")</f>
        <v>Adjustment</v>
      </c>
      <c r="E65" s="802"/>
      <c r="F65" s="802"/>
      <c r="G65" s="1796">
        <f t="shared" ref="G65:L65" si="21">IF(Sales_AdjType_2="Percent",IF(AND(G66=0,G67=0,G68=0),0,IF(G66&lt;&gt;0,G66,IF(G67&lt;&gt;0,IF(Sales_AdjType_2="Net Rentable Area",(G67/G$12)/G$54,(G67/G$13)/G$54),IF(Sales_AdjType_2="Net Rentable Area",G68/G$54,G68/G$54)))),IF(Sales_AdjType_2="$ per Unit",IF(AND(G66=0,G67=0,G68=0),0,IF(G66&lt;&gt;0,G66*G$54,IF(G67&lt;&gt;0,IF(Sales_AdjType_2="Net Rentable Area",G67/G$12,G67/G$13),G68))),IF(OR(G66&gt;0,G67&gt;0,G68&gt;0),"Inferior",IF(OR(G66&lt;0,G67&lt;0,G68&lt;0),"Superior","Similar"))))</f>
        <v>0</v>
      </c>
      <c r="H65" s="1796">
        <f t="shared" si="21"/>
        <v>0</v>
      </c>
      <c r="I65" s="1796">
        <f t="shared" si="21"/>
        <v>0</v>
      </c>
      <c r="J65" s="1796">
        <f t="shared" si="21"/>
        <v>0</v>
      </c>
      <c r="K65" s="1796">
        <f t="shared" si="21"/>
        <v>0</v>
      </c>
      <c r="L65" s="1958">
        <f t="shared" si="21"/>
        <v>0</v>
      </c>
      <c r="M65" s="1194"/>
      <c r="N65" s="6"/>
      <c r="O65" s="10"/>
      <c r="P65" s="10"/>
      <c r="Q65" s="10"/>
      <c r="R65" s="150" t="s">
        <v>1187</v>
      </c>
      <c r="S65" s="10"/>
      <c r="T65" s="10"/>
      <c r="U65" s="10"/>
      <c r="V65" s="10"/>
      <c r="W65" s="10"/>
      <c r="X65" s="10"/>
      <c r="Y65" s="10"/>
      <c r="Z65" s="10"/>
      <c r="AA65" s="10"/>
      <c r="AB65" s="10"/>
      <c r="AC65" s="10"/>
    </row>
    <row r="66" spans="1:29" ht="15" customHeight="1" thickBot="1" x14ac:dyDescent="0.3">
      <c r="A66" s="972">
        <f>IF(A65=2,2,0)</f>
        <v>2</v>
      </c>
      <c r="B66" s="575"/>
      <c r="C66" s="130"/>
      <c r="D66" s="520"/>
      <c r="E66" s="802"/>
      <c r="F66" s="1120" t="s">
        <v>166</v>
      </c>
      <c r="G66" s="1793"/>
      <c r="H66" s="1793"/>
      <c r="I66" s="1793"/>
      <c r="J66" s="1793"/>
      <c r="K66" s="1793"/>
      <c r="L66" s="1955"/>
      <c r="M66" s="136"/>
      <c r="N66" s="6"/>
      <c r="O66" s="10"/>
      <c r="P66" s="10"/>
      <c r="Q66" s="10"/>
      <c r="R66" s="914"/>
      <c r="S66" s="10"/>
      <c r="T66" s="10"/>
      <c r="U66" s="10"/>
      <c r="V66" s="10"/>
      <c r="W66" s="10"/>
      <c r="X66" s="10"/>
      <c r="Y66" s="10"/>
      <c r="Z66" s="10"/>
      <c r="AA66" s="10"/>
      <c r="AB66" s="10"/>
      <c r="AC66" s="10"/>
    </row>
    <row r="67" spans="1:29" ht="15" customHeight="1" x14ac:dyDescent="0.25">
      <c r="A67" s="972">
        <f>IF(A66=2,2,0)</f>
        <v>2</v>
      </c>
      <c r="B67" s="575"/>
      <c r="C67" s="130"/>
      <c r="D67" s="520"/>
      <c r="E67" s="802"/>
      <c r="F67" s="1120" t="s">
        <v>167</v>
      </c>
      <c r="G67" s="1794"/>
      <c r="H67" s="1794"/>
      <c r="I67" s="1794"/>
      <c r="J67" s="1794"/>
      <c r="K67" s="1794"/>
      <c r="L67" s="1956"/>
      <c r="M67" s="1152"/>
      <c r="N67" s="6"/>
      <c r="O67" s="10"/>
      <c r="P67" s="10"/>
      <c r="Q67" s="10"/>
      <c r="R67" s="150" t="s">
        <v>1188</v>
      </c>
      <c r="S67" s="10"/>
      <c r="T67" s="10"/>
      <c r="U67" s="10"/>
      <c r="V67" s="10"/>
      <c r="W67" s="10"/>
      <c r="X67" s="10"/>
      <c r="Y67" s="10"/>
      <c r="Z67" s="10"/>
      <c r="AA67" s="10"/>
      <c r="AB67" s="10"/>
      <c r="AC67" s="10"/>
    </row>
    <row r="68" spans="1:29" ht="15" customHeight="1" x14ac:dyDescent="0.25">
      <c r="A68" s="972">
        <f>IF(A67=2,2,0)</f>
        <v>2</v>
      </c>
      <c r="B68" s="575"/>
      <c r="C68" s="130"/>
      <c r="D68" s="520"/>
      <c r="E68" s="802"/>
      <c r="F68" s="1120" t="s">
        <v>710</v>
      </c>
      <c r="G68" s="1791"/>
      <c r="H68" s="1791"/>
      <c r="I68" s="1791"/>
      <c r="J68" s="1791"/>
      <c r="K68" s="1791"/>
      <c r="L68" s="1953"/>
      <c r="M68" s="1153"/>
      <c r="N68" s="6"/>
      <c r="O68" s="10"/>
      <c r="P68" s="10"/>
      <c r="Q68" s="10"/>
      <c r="R68" s="10"/>
      <c r="S68" s="10"/>
      <c r="T68" s="10"/>
      <c r="U68" s="10"/>
      <c r="V68" s="10"/>
      <c r="W68" s="10"/>
      <c r="X68" s="10"/>
      <c r="Y68" s="10"/>
      <c r="Z68" s="10"/>
      <c r="AA68" s="10"/>
      <c r="AB68" s="10"/>
      <c r="AC68" s="10"/>
    </row>
    <row r="69" spans="1:29" ht="8.1" customHeight="1" x14ac:dyDescent="0.25">
      <c r="A69" s="972">
        <f>A77</f>
        <v>2</v>
      </c>
      <c r="B69" s="16"/>
      <c r="C69" s="130"/>
      <c r="D69" s="520"/>
      <c r="E69" s="802"/>
      <c r="F69" s="802"/>
      <c r="G69" s="1797">
        <f t="shared" ref="G69:L69" si="22">IF(AND(G78=0,G79=0,G80=0),0,IF(G78&lt;&gt;0,G78,IF(G79&lt;&gt;0,IF(dpUnit_Sales_2="Net Rentable Area",(G79/G$12)/G$54,(G79/G$13)/G$54),IF(dpUnit_Sales_2="Net Rentable Area",G80/G$54,G80/G$54))))</f>
        <v>0</v>
      </c>
      <c r="H69" s="1797">
        <f t="shared" si="22"/>
        <v>0</v>
      </c>
      <c r="I69" s="1797">
        <f t="shared" si="22"/>
        <v>0</v>
      </c>
      <c r="J69" s="1797">
        <f t="shared" si="22"/>
        <v>0</v>
      </c>
      <c r="K69" s="1797">
        <f t="shared" si="22"/>
        <v>0</v>
      </c>
      <c r="L69" s="1959">
        <f t="shared" si="22"/>
        <v>0</v>
      </c>
      <c r="M69" s="101"/>
      <c r="N69" s="6"/>
      <c r="O69" s="10"/>
      <c r="P69" s="10"/>
      <c r="Q69" s="10"/>
      <c r="R69" s="10"/>
      <c r="S69" s="10"/>
      <c r="T69" s="10"/>
      <c r="U69" s="10"/>
      <c r="V69" s="10"/>
      <c r="W69" s="10"/>
      <c r="X69" s="10"/>
      <c r="Y69" s="10"/>
      <c r="Z69" s="10"/>
      <c r="AA69" s="10"/>
      <c r="AB69" s="10"/>
      <c r="AC69" s="10"/>
    </row>
    <row r="70" spans="1:29" x14ac:dyDescent="0.25">
      <c r="A70" s="972">
        <f>A77</f>
        <v>2</v>
      </c>
      <c r="B70" s="16"/>
      <c r="C70" s="130"/>
      <c r="D70" s="1489" t="s">
        <v>294</v>
      </c>
      <c r="E70" s="1120" t="s">
        <v>10</v>
      </c>
      <c r="F70" s="1741">
        <f>IF(Subject_Year_Built="",Subject_Year_Built_Range,Subject_Year_Built)</f>
        <v>2021</v>
      </c>
      <c r="G70" s="1788">
        <f t="shared" ref="G70:L70" si="23">IF(OR(G71="",G71="N/A"),G72,G71)</f>
        <v>0</v>
      </c>
      <c r="H70" s="1788">
        <f t="shared" si="23"/>
        <v>0</v>
      </c>
      <c r="I70" s="1788">
        <f t="shared" si="23"/>
        <v>0</v>
      </c>
      <c r="J70" s="1788">
        <f t="shared" si="23"/>
        <v>0</v>
      </c>
      <c r="K70" s="1788">
        <f t="shared" si="23"/>
        <v>0</v>
      </c>
      <c r="L70" s="1162">
        <f t="shared" si="23"/>
        <v>0</v>
      </c>
      <c r="M70" s="101"/>
      <c r="N70" s="6"/>
      <c r="O70" s="10"/>
      <c r="P70" s="10"/>
      <c r="Q70" s="10"/>
      <c r="R70" s="10"/>
      <c r="S70" s="10"/>
      <c r="T70" s="10"/>
      <c r="U70" s="10"/>
      <c r="V70" s="10"/>
      <c r="W70" s="10"/>
      <c r="X70" s="10"/>
      <c r="Y70" s="10"/>
      <c r="Z70" s="10"/>
      <c r="AA70" s="10"/>
      <c r="AB70" s="10"/>
      <c r="AC70" s="10"/>
    </row>
    <row r="71" spans="1:29" ht="14.25" customHeight="1" x14ac:dyDescent="0.25">
      <c r="A71" s="972">
        <f>IF(A77=2,2,0)</f>
        <v>2</v>
      </c>
      <c r="B71" s="16"/>
      <c r="C71" s="130"/>
      <c r="D71" s="520"/>
      <c r="E71" s="1120" t="s">
        <v>10</v>
      </c>
      <c r="F71" s="1742">
        <f>Subject_Year_Built</f>
        <v>2021</v>
      </c>
      <c r="G71" s="1787"/>
      <c r="H71" s="1787"/>
      <c r="I71" s="1787"/>
      <c r="J71" s="1787"/>
      <c r="K71" s="1787"/>
      <c r="L71" s="1193"/>
      <c r="M71" s="101"/>
      <c r="N71" s="6"/>
      <c r="O71" s="10"/>
      <c r="P71" s="10"/>
      <c r="Q71" s="10"/>
      <c r="R71" s="10"/>
      <c r="S71" s="10"/>
      <c r="T71" s="10"/>
      <c r="U71" s="10"/>
      <c r="V71" s="10"/>
      <c r="W71" s="10"/>
      <c r="X71" s="10"/>
      <c r="Y71" s="10"/>
      <c r="Z71" s="10"/>
      <c r="AA71" s="10"/>
      <c r="AB71" s="10"/>
      <c r="AC71" s="10"/>
    </row>
    <row r="72" spans="1:29" ht="14.25" customHeight="1" x14ac:dyDescent="0.25">
      <c r="A72" s="972">
        <f>IF(A77=2,2,0)</f>
        <v>2</v>
      </c>
      <c r="B72" s="16"/>
      <c r="C72" s="130"/>
      <c r="D72" s="520"/>
      <c r="E72" s="1120" t="s">
        <v>1009</v>
      </c>
      <c r="F72" s="1742">
        <f>Subject_Year_Built_Range</f>
        <v>0</v>
      </c>
      <c r="G72" s="1787"/>
      <c r="H72" s="1787"/>
      <c r="I72" s="1787"/>
      <c r="J72" s="1787"/>
      <c r="K72" s="1787"/>
      <c r="L72" s="1193"/>
      <c r="M72" s="101"/>
      <c r="N72" s="6"/>
      <c r="O72" s="10"/>
      <c r="P72" s="10"/>
      <c r="Q72" s="10"/>
      <c r="R72" s="10"/>
      <c r="S72" s="10"/>
      <c r="T72" s="10"/>
      <c r="U72" s="10"/>
      <c r="V72" s="10"/>
      <c r="W72" s="10"/>
      <c r="X72" s="10"/>
      <c r="Y72" s="10"/>
      <c r="Z72" s="10"/>
      <c r="AA72" s="10"/>
      <c r="AB72" s="10"/>
      <c r="AC72" s="10"/>
    </row>
    <row r="73" spans="1:29" ht="14.25" customHeight="1" x14ac:dyDescent="0.25">
      <c r="A73" s="972">
        <f>A77</f>
        <v>2</v>
      </c>
      <c r="B73" s="16"/>
      <c r="C73" s="130"/>
      <c r="D73" s="520"/>
      <c r="E73" s="1120" t="s">
        <v>538</v>
      </c>
      <c r="F73" s="1665" t="str">
        <f>Subject_Condition</f>
        <v>Average</v>
      </c>
      <c r="G73" s="1788"/>
      <c r="H73" s="1788"/>
      <c r="I73" s="1788"/>
      <c r="J73" s="1788"/>
      <c r="K73" s="1788"/>
      <c r="L73" s="1162"/>
      <c r="M73" s="101"/>
      <c r="N73" s="6"/>
      <c r="O73" s="10"/>
      <c r="P73" s="10"/>
      <c r="Q73" s="10"/>
      <c r="R73" s="10"/>
      <c r="S73" s="10"/>
      <c r="T73" s="10"/>
      <c r="U73" s="10"/>
      <c r="V73" s="10"/>
      <c r="W73" s="10"/>
      <c r="X73" s="10"/>
      <c r="Y73" s="10"/>
      <c r="Z73" s="10"/>
      <c r="AA73" s="10"/>
      <c r="AB73" s="10"/>
      <c r="AC73" s="10"/>
    </row>
    <row r="74" spans="1:29" ht="15" customHeight="1" x14ac:dyDescent="0.25">
      <c r="A74" s="972">
        <f>A77</f>
        <v>2</v>
      </c>
      <c r="B74" s="16"/>
      <c r="C74" s="130"/>
      <c r="D74" s="1720"/>
      <c r="E74" s="1120" t="s">
        <v>17</v>
      </c>
      <c r="F74" s="1743">
        <f>Subject_AgeEffective</f>
        <v>0</v>
      </c>
      <c r="G74" s="1798"/>
      <c r="H74" s="1798"/>
      <c r="I74" s="1798"/>
      <c r="J74" s="1798"/>
      <c r="K74" s="1798"/>
      <c r="L74" s="1960"/>
      <c r="M74" s="101"/>
      <c r="N74" s="6"/>
      <c r="O74" s="10"/>
      <c r="P74" s="10"/>
      <c r="Q74" s="10"/>
      <c r="R74" s="10"/>
      <c r="S74" s="10"/>
      <c r="T74" s="10"/>
      <c r="U74" s="10"/>
      <c r="V74" s="10"/>
      <c r="W74" s="10"/>
      <c r="X74" s="10"/>
      <c r="Y74" s="10"/>
      <c r="Z74" s="10"/>
      <c r="AA74" s="10"/>
      <c r="AB74" s="10"/>
      <c r="AC74" s="10"/>
    </row>
    <row r="75" spans="1:29" ht="15" customHeight="1" x14ac:dyDescent="0.25">
      <c r="A75" s="972">
        <f>IF(A77=2,2,0)</f>
        <v>2</v>
      </c>
      <c r="B75" s="16"/>
      <c r="C75" s="130"/>
      <c r="D75" s="1720"/>
      <c r="E75" s="1120" t="s">
        <v>19</v>
      </c>
      <c r="F75" s="1744">
        <f>Subject_AgeRemainEco</f>
        <v>45</v>
      </c>
      <c r="G75" s="1891"/>
      <c r="H75" s="1891"/>
      <c r="I75" s="1891"/>
      <c r="J75" s="1891"/>
      <c r="K75" s="1891"/>
      <c r="L75" s="1984"/>
      <c r="M75" s="101"/>
      <c r="N75" s="6"/>
      <c r="O75" s="10"/>
      <c r="P75" s="10"/>
      <c r="Q75" s="10"/>
      <c r="R75" s="10"/>
      <c r="S75" s="10"/>
      <c r="T75" s="10"/>
      <c r="U75" s="10"/>
      <c r="V75" s="10"/>
      <c r="W75" s="10"/>
      <c r="X75" s="10"/>
      <c r="Y75" s="10"/>
      <c r="Z75" s="10"/>
      <c r="AA75" s="10"/>
      <c r="AB75" s="10"/>
      <c r="AC75" s="10"/>
    </row>
    <row r="76" spans="1:29" ht="15" customHeight="1" x14ac:dyDescent="0.25">
      <c r="A76" s="972">
        <v>1</v>
      </c>
      <c r="B76" s="16"/>
      <c r="C76" s="130"/>
      <c r="D76" s="1720"/>
      <c r="E76" s="1120" t="s">
        <v>244</v>
      </c>
      <c r="F76" s="1745">
        <f>Subject_AgeTotalEco</f>
        <v>45</v>
      </c>
      <c r="G76" s="1892">
        <f t="shared" ref="G76:L76" si="24">G74+G75</f>
        <v>0</v>
      </c>
      <c r="H76" s="1892">
        <f t="shared" si="24"/>
        <v>0</v>
      </c>
      <c r="I76" s="1892">
        <f t="shared" si="24"/>
        <v>0</v>
      </c>
      <c r="J76" s="1892">
        <f t="shared" si="24"/>
        <v>0</v>
      </c>
      <c r="K76" s="1892">
        <f t="shared" si="24"/>
        <v>0</v>
      </c>
      <c r="L76" s="1985">
        <f t="shared" si="24"/>
        <v>0</v>
      </c>
      <c r="M76" s="101"/>
      <c r="N76" s="6"/>
      <c r="O76" s="10"/>
      <c r="P76" s="10"/>
      <c r="Q76" s="10"/>
      <c r="R76" s="10"/>
      <c r="S76" s="10"/>
      <c r="T76" s="10"/>
      <c r="U76" s="10"/>
      <c r="V76" s="10"/>
      <c r="W76" s="10"/>
      <c r="X76" s="10"/>
      <c r="Y76" s="10"/>
      <c r="Z76" s="10"/>
      <c r="AA76" s="10"/>
      <c r="AB76" s="10"/>
      <c r="AC76" s="10"/>
    </row>
    <row r="77" spans="1:29" ht="15" customHeight="1" x14ac:dyDescent="0.25">
      <c r="A77" s="972">
        <f>IF(B77=TRUE,1,2)</f>
        <v>2</v>
      </c>
      <c r="B77" s="16" t="b">
        <v>0</v>
      </c>
      <c r="C77" s="130"/>
      <c r="D77" s="1490" t="str">
        <f>IF(Sales_AdjType&lt;&gt;"Qualitative","Adjustment","Relative Comparison")</f>
        <v>Adjustment</v>
      </c>
      <c r="E77" s="802"/>
      <c r="F77" s="802"/>
      <c r="G77" s="1796">
        <f t="shared" ref="G77:L77" si="25">IF(Sales_AdjType_2="Percent",IF(AND(G78=0,G79=0,G80=0),0,IF(G78&lt;&gt;0,G78,IF(G79&lt;&gt;0,IF(Sales_AdjType_2="Net Rentable Area",(G79/G$12)/G$54,(G79/G$13)/G$54),IF(Sales_AdjType_2="Net Rentable Area",G80/G$54,G80/G$54)))),IF(Sales_AdjType_2="$ per Unit",IF(AND(G78=0,G79=0,G80=0),0,IF(G78&lt;&gt;0,G78*G$54,IF(G79&lt;&gt;0,IF(Sales_AdjType_2="Net Rentable Area",G79/G$12,G79/G$13),G80))),IF(OR(G78&gt;0,G79&gt;0,G80&gt;0),"Inferior",IF(OR(G78&lt;0,G79&lt;0,G80&lt;0),"Superior","Similar"))))</f>
        <v>0</v>
      </c>
      <c r="H77" s="1796">
        <f t="shared" si="25"/>
        <v>0</v>
      </c>
      <c r="I77" s="1796">
        <f t="shared" si="25"/>
        <v>0</v>
      </c>
      <c r="J77" s="1796">
        <f t="shared" si="25"/>
        <v>0</v>
      </c>
      <c r="K77" s="1796">
        <f t="shared" si="25"/>
        <v>0</v>
      </c>
      <c r="L77" s="1958">
        <f t="shared" si="25"/>
        <v>0</v>
      </c>
      <c r="M77" s="1194"/>
      <c r="N77" s="6"/>
      <c r="O77" s="10"/>
      <c r="P77" s="10"/>
      <c r="Q77" s="10"/>
      <c r="R77" s="10"/>
      <c r="S77" s="10"/>
      <c r="T77" s="10"/>
      <c r="U77" s="10"/>
      <c r="V77" s="10"/>
      <c r="W77" s="10"/>
      <c r="X77" s="10"/>
      <c r="Y77" s="10"/>
      <c r="Z77" s="10"/>
      <c r="AA77" s="10"/>
      <c r="AB77" s="10"/>
      <c r="AC77" s="10"/>
    </row>
    <row r="78" spans="1:29" ht="15" customHeight="1" x14ac:dyDescent="0.25">
      <c r="A78" s="972">
        <f>IF(A77=2,2,0)</f>
        <v>2</v>
      </c>
      <c r="B78" s="575"/>
      <c r="C78" s="130"/>
      <c r="D78" s="520"/>
      <c r="E78" s="802"/>
      <c r="F78" s="1120" t="s">
        <v>166</v>
      </c>
      <c r="G78" s="1793"/>
      <c r="H78" s="1793"/>
      <c r="I78" s="1793"/>
      <c r="J78" s="1793"/>
      <c r="K78" s="1793"/>
      <c r="L78" s="1955"/>
      <c r="M78" s="136"/>
      <c r="N78" s="6"/>
      <c r="O78" s="10"/>
      <c r="P78" s="10"/>
      <c r="Q78" s="10"/>
      <c r="R78" s="10"/>
      <c r="S78" s="10"/>
      <c r="T78" s="10"/>
      <c r="U78" s="10"/>
      <c r="V78" s="10"/>
      <c r="W78" s="10"/>
      <c r="X78" s="10"/>
      <c r="Y78" s="10"/>
      <c r="Z78" s="10"/>
      <c r="AA78" s="10"/>
      <c r="AB78" s="10"/>
      <c r="AC78" s="10"/>
    </row>
    <row r="79" spans="1:29" ht="15" customHeight="1" x14ac:dyDescent="0.25">
      <c r="A79" s="972">
        <f>IF(A78=2,2,0)</f>
        <v>2</v>
      </c>
      <c r="B79" s="575"/>
      <c r="C79" s="130"/>
      <c r="D79" s="520"/>
      <c r="E79" s="802"/>
      <c r="F79" s="1120" t="s">
        <v>167</v>
      </c>
      <c r="G79" s="1794"/>
      <c r="H79" s="1794"/>
      <c r="I79" s="1794"/>
      <c r="J79" s="1794"/>
      <c r="K79" s="1794"/>
      <c r="L79" s="1956"/>
      <c r="M79" s="1152"/>
      <c r="N79" s="6"/>
      <c r="O79" s="10"/>
      <c r="P79" s="10"/>
      <c r="Q79" s="10"/>
      <c r="R79" s="10"/>
      <c r="S79" s="10"/>
      <c r="T79" s="10"/>
      <c r="U79" s="10"/>
      <c r="V79" s="10"/>
      <c r="W79" s="10"/>
      <c r="X79" s="10"/>
      <c r="Y79" s="10"/>
      <c r="Z79" s="10"/>
      <c r="AA79" s="10"/>
      <c r="AB79" s="10"/>
      <c r="AC79" s="10"/>
    </row>
    <row r="80" spans="1:29" ht="15" customHeight="1" x14ac:dyDescent="0.25">
      <c r="A80" s="972">
        <f>IF(A79=2,2,0)</f>
        <v>2</v>
      </c>
      <c r="B80" s="575"/>
      <c r="C80" s="130"/>
      <c r="D80" s="520"/>
      <c r="E80" s="802"/>
      <c r="F80" s="1120" t="s">
        <v>710</v>
      </c>
      <c r="G80" s="1791"/>
      <c r="H80" s="1791"/>
      <c r="I80" s="1791"/>
      <c r="J80" s="1791"/>
      <c r="K80" s="1791"/>
      <c r="L80" s="1953"/>
      <c r="M80" s="1153"/>
      <c r="N80" s="6"/>
      <c r="O80" s="10"/>
      <c r="P80" s="10"/>
      <c r="Q80" s="10"/>
      <c r="R80" s="10"/>
      <c r="S80" s="10"/>
      <c r="T80" s="10"/>
      <c r="U80" s="10"/>
      <c r="V80" s="10"/>
      <c r="W80" s="10"/>
      <c r="X80" s="10"/>
      <c r="Y80" s="10"/>
      <c r="Z80" s="10"/>
      <c r="AA80" s="10"/>
      <c r="AB80" s="10"/>
      <c r="AC80" s="10"/>
    </row>
    <row r="81" spans="1:29" ht="8.1" customHeight="1" x14ac:dyDescent="0.25">
      <c r="A81" s="972">
        <f>A86</f>
        <v>2</v>
      </c>
      <c r="B81" s="16"/>
      <c r="C81" s="130"/>
      <c r="D81" s="520"/>
      <c r="E81" s="802"/>
      <c r="F81" s="802"/>
      <c r="G81" s="1797">
        <f t="shared" ref="G81:L81" si="26">IF(AND(G87=0,G88=0,G89=0),0,IF(G87&lt;&gt;0,G87,IF(G88&lt;&gt;0,IF(dpUnit_Sales_2="Net Rentable Area",(G88/G$12)/G$54,(G88/G$13)/G$54),IF(dpUnit_Sales_2="Net Rentable Area",G89/G$54,G87/G$54))))</f>
        <v>0</v>
      </c>
      <c r="H81" s="1797">
        <f t="shared" si="26"/>
        <v>0</v>
      </c>
      <c r="I81" s="1797">
        <f t="shared" si="26"/>
        <v>0</v>
      </c>
      <c r="J81" s="1797">
        <f t="shared" si="26"/>
        <v>0</v>
      </c>
      <c r="K81" s="1797">
        <f t="shared" si="26"/>
        <v>0</v>
      </c>
      <c r="L81" s="1959">
        <f t="shared" si="26"/>
        <v>0</v>
      </c>
      <c r="M81" s="101"/>
      <c r="N81" s="6"/>
      <c r="O81" s="10"/>
      <c r="P81" s="10"/>
      <c r="Q81" s="10"/>
      <c r="R81" s="10"/>
      <c r="S81" s="10"/>
      <c r="T81" s="10"/>
      <c r="U81" s="10"/>
      <c r="V81" s="10"/>
      <c r="W81" s="10"/>
      <c r="X81" s="10"/>
      <c r="Y81" s="10"/>
      <c r="Z81" s="10"/>
      <c r="AA81" s="10"/>
      <c r="AB81" s="10"/>
      <c r="AC81" s="10"/>
    </row>
    <row r="82" spans="1:29" x14ac:dyDescent="0.25">
      <c r="A82" s="972">
        <f>A86</f>
        <v>2</v>
      </c>
      <c r="B82" s="16"/>
      <c r="C82" s="130"/>
      <c r="D82" s="1489" t="s">
        <v>288</v>
      </c>
      <c r="E82" s="1119"/>
      <c r="F82" s="1665" t="str">
        <f>IF(dpSales_Adjustment_4_2="Construction Quality",CONCATENATE(Subject_ConstructionQuality," Class ",Subject_ConstructionClass),CONCATENATE(Subject_ConstructionQuality," Class ",Subject_InvestmentClass))</f>
        <v>Good Class B</v>
      </c>
      <c r="G82" s="1788" t="str">
        <f t="shared" ref="G82:L82" si="27">IF(dpSales_Adjustment_4_2="Construction Quality",CONCATENATE(G83," Class ",G84),CONCATENATE(G83," Class ",G85))</f>
        <v xml:space="preserve"> Class </v>
      </c>
      <c r="H82" s="1788" t="str">
        <f t="shared" si="27"/>
        <v xml:space="preserve"> Class </v>
      </c>
      <c r="I82" s="1788" t="str">
        <f t="shared" si="27"/>
        <v xml:space="preserve"> Class </v>
      </c>
      <c r="J82" s="1788" t="str">
        <f t="shared" si="27"/>
        <v xml:space="preserve"> Class </v>
      </c>
      <c r="K82" s="1788" t="str">
        <f t="shared" si="27"/>
        <v xml:space="preserve"> Class </v>
      </c>
      <c r="L82" s="1162" t="str">
        <f t="shared" si="27"/>
        <v xml:space="preserve"> Class </v>
      </c>
      <c r="M82" s="101"/>
      <c r="N82" s="6"/>
      <c r="O82" s="10"/>
      <c r="P82" s="10"/>
      <c r="Q82" s="10"/>
      <c r="R82" s="10"/>
      <c r="S82" s="10"/>
      <c r="T82" s="10"/>
      <c r="U82" s="10"/>
      <c r="V82" s="10"/>
      <c r="W82" s="10"/>
      <c r="X82" s="10"/>
      <c r="Y82" s="10"/>
      <c r="Z82" s="10"/>
      <c r="AA82" s="10"/>
      <c r="AB82" s="10"/>
      <c r="AC82" s="10"/>
    </row>
    <row r="83" spans="1:29" ht="15" customHeight="1" x14ac:dyDescent="0.25">
      <c r="A83" s="972">
        <f>IF(A86=2,2,0)</f>
        <v>2</v>
      </c>
      <c r="B83" s="16"/>
      <c r="C83" s="130"/>
      <c r="D83" s="1198"/>
      <c r="E83" s="1198"/>
      <c r="F83" s="1120" t="s">
        <v>288</v>
      </c>
      <c r="G83" s="1893"/>
      <c r="H83" s="1787"/>
      <c r="I83" s="1787"/>
      <c r="J83" s="1787"/>
      <c r="K83" s="1787"/>
      <c r="L83" s="1193"/>
      <c r="M83" s="101"/>
      <c r="N83" s="6"/>
      <c r="O83" s="10"/>
      <c r="P83" s="10"/>
      <c r="Q83" s="10"/>
      <c r="R83" s="10"/>
      <c r="S83" s="10"/>
      <c r="T83" s="10"/>
      <c r="U83" s="10"/>
      <c r="V83" s="10"/>
      <c r="W83" s="10"/>
      <c r="X83" s="10"/>
      <c r="Y83" s="10"/>
      <c r="Z83" s="10"/>
      <c r="AA83" s="10"/>
      <c r="AB83" s="10"/>
      <c r="AC83" s="10"/>
    </row>
    <row r="84" spans="1:29" ht="15" customHeight="1" x14ac:dyDescent="0.25">
      <c r="A84" s="972">
        <f>IF(A86=2,2,0)</f>
        <v>2</v>
      </c>
      <c r="B84" s="16"/>
      <c r="C84" s="130"/>
      <c r="D84" s="1198"/>
      <c r="E84" s="1198"/>
      <c r="F84" s="1120" t="s">
        <v>307</v>
      </c>
      <c r="G84" s="1893"/>
      <c r="H84" s="1787"/>
      <c r="I84" s="1787"/>
      <c r="J84" s="1787"/>
      <c r="K84" s="1787"/>
      <c r="L84" s="1193"/>
      <c r="M84" s="101"/>
      <c r="N84" s="6"/>
      <c r="O84" s="10"/>
      <c r="P84" s="10"/>
      <c r="Q84" s="10"/>
      <c r="R84" s="10"/>
      <c r="S84" s="10"/>
      <c r="T84" s="10"/>
      <c r="U84" s="10"/>
      <c r="V84" s="10"/>
      <c r="W84" s="10"/>
      <c r="X84" s="10"/>
      <c r="Y84" s="10"/>
      <c r="Z84" s="10"/>
      <c r="AA84" s="10"/>
      <c r="AB84" s="10"/>
      <c r="AC84" s="10"/>
    </row>
    <row r="85" spans="1:29" ht="15" customHeight="1" x14ac:dyDescent="0.25">
      <c r="A85" s="972">
        <f>IF(A86=2,2,0)</f>
        <v>2</v>
      </c>
      <c r="B85" s="16" t="b">
        <v>0</v>
      </c>
      <c r="C85" s="130"/>
      <c r="D85" s="1198"/>
      <c r="E85" s="1198"/>
      <c r="F85" s="1120" t="s">
        <v>308</v>
      </c>
      <c r="G85" s="1893"/>
      <c r="H85" s="1787"/>
      <c r="I85" s="1787"/>
      <c r="J85" s="1787"/>
      <c r="K85" s="1787"/>
      <c r="L85" s="1193"/>
      <c r="M85" s="101"/>
      <c r="N85" s="6"/>
      <c r="O85" s="10"/>
      <c r="P85" s="10"/>
      <c r="Q85" s="10"/>
      <c r="R85" s="10"/>
      <c r="S85" s="10"/>
      <c r="T85" s="10"/>
      <c r="U85" s="10"/>
      <c r="V85" s="10"/>
      <c r="W85" s="10"/>
      <c r="X85" s="10"/>
      <c r="Y85" s="10"/>
      <c r="Z85" s="10"/>
      <c r="AA85" s="10"/>
      <c r="AB85" s="10"/>
      <c r="AC85" s="10"/>
    </row>
    <row r="86" spans="1:29" ht="15" customHeight="1" x14ac:dyDescent="0.25">
      <c r="A86" s="972">
        <f>IF(B86=TRUE,1,2)</f>
        <v>2</v>
      </c>
      <c r="B86" s="16" t="b">
        <v>0</v>
      </c>
      <c r="C86" s="130"/>
      <c r="D86" s="1490" t="str">
        <f>IF(Sales_AdjType&lt;&gt;"Qualitative","Adjustment","Relative Comparison")</f>
        <v>Adjustment</v>
      </c>
      <c r="E86" s="480"/>
      <c r="F86" s="802"/>
      <c r="G86" s="1796">
        <f t="shared" ref="G86:L86" si="28">IF(Sales_AdjType_2="Percent",IF(AND(G87=0,G88=0,G89=0),0,IF(G87&lt;&gt;0,G87,IF(G88&lt;&gt;0,IF(Sales_AdjType_2="Net Rentable Area",(G88/G$12)/G$54,(G88/G$13)/G$54),IF(Sales_AdjType_2="Net Rentable Area",G89/G$54,G89/G$54)))),IF(Sales_AdjType_2="$ per Unit",IF(AND(G87=0,G88=0,G89=0),0,IF(G87&lt;&gt;0,G87*G$54,IF(G88&lt;&gt;0,IF(Sales_AdjType_2="Net Rentable Area",G88/G$12,G88/G$13),G89))),IF(OR(G87&gt;0,G88&gt;0,G89&gt;0),"Inferior",IF(OR(G87&lt;0,G88&lt;0,G89&lt;0),"Superior","Similar"))))</f>
        <v>0</v>
      </c>
      <c r="H86" s="1796">
        <f t="shared" si="28"/>
        <v>0</v>
      </c>
      <c r="I86" s="1796">
        <f t="shared" si="28"/>
        <v>0</v>
      </c>
      <c r="J86" s="1796">
        <f t="shared" si="28"/>
        <v>0</v>
      </c>
      <c r="K86" s="1796">
        <f t="shared" si="28"/>
        <v>0</v>
      </c>
      <c r="L86" s="1958">
        <f t="shared" si="28"/>
        <v>0</v>
      </c>
      <c r="M86" s="1194"/>
      <c r="N86" s="6"/>
      <c r="O86" s="10"/>
      <c r="P86" s="10"/>
      <c r="Q86" s="10"/>
      <c r="R86" s="10"/>
      <c r="S86" s="10"/>
      <c r="T86" s="10"/>
      <c r="U86" s="10"/>
      <c r="V86" s="10"/>
      <c r="W86" s="10"/>
      <c r="X86" s="10"/>
      <c r="Y86" s="10"/>
      <c r="Z86" s="10"/>
      <c r="AA86" s="10"/>
      <c r="AB86" s="10"/>
      <c r="AC86" s="10"/>
    </row>
    <row r="87" spans="1:29" ht="15" customHeight="1" x14ac:dyDescent="0.25">
      <c r="A87" s="972">
        <f>IF(A86=2,2,0)</f>
        <v>2</v>
      </c>
      <c r="B87" s="575"/>
      <c r="C87" s="130"/>
      <c r="D87" s="520"/>
      <c r="E87" s="802"/>
      <c r="F87" s="1120" t="s">
        <v>166</v>
      </c>
      <c r="G87" s="1793"/>
      <c r="H87" s="1793"/>
      <c r="I87" s="1793"/>
      <c r="J87" s="1793"/>
      <c r="K87" s="1793"/>
      <c r="L87" s="1955"/>
      <c r="M87" s="136"/>
      <c r="N87" s="6"/>
      <c r="O87" s="10"/>
      <c r="P87" s="10"/>
      <c r="Q87" s="10"/>
      <c r="R87" s="10"/>
      <c r="S87" s="10"/>
      <c r="T87" s="10"/>
      <c r="U87" s="10"/>
      <c r="V87" s="10"/>
      <c r="W87" s="10"/>
      <c r="X87" s="10"/>
      <c r="Y87" s="10"/>
      <c r="Z87" s="10"/>
      <c r="AA87" s="10"/>
      <c r="AB87" s="10"/>
      <c r="AC87" s="10"/>
    </row>
    <row r="88" spans="1:29" ht="15" customHeight="1" x14ac:dyDescent="0.25">
      <c r="A88" s="972">
        <f>IF(A87=2,2,0)</f>
        <v>2</v>
      </c>
      <c r="B88" s="575"/>
      <c r="C88" s="130"/>
      <c r="D88" s="520"/>
      <c r="E88" s="802"/>
      <c r="F88" s="1120" t="s">
        <v>167</v>
      </c>
      <c r="G88" s="1794"/>
      <c r="H88" s="1794"/>
      <c r="I88" s="1794"/>
      <c r="J88" s="1794"/>
      <c r="K88" s="1794"/>
      <c r="L88" s="1956"/>
      <c r="M88" s="1152"/>
      <c r="N88" s="6"/>
      <c r="O88" s="10"/>
      <c r="P88" s="10"/>
      <c r="Q88" s="10"/>
      <c r="R88" s="10"/>
      <c r="S88" s="10"/>
      <c r="T88" s="10"/>
      <c r="U88" s="10"/>
      <c r="V88" s="10"/>
      <c r="W88" s="10"/>
      <c r="X88" s="10"/>
      <c r="Y88" s="10"/>
      <c r="Z88" s="10"/>
      <c r="AA88" s="10"/>
      <c r="AB88" s="10"/>
      <c r="AC88" s="10"/>
    </row>
    <row r="89" spans="1:29" ht="15" customHeight="1" x14ac:dyDescent="0.25">
      <c r="A89" s="972">
        <f>IF(A88=2,2,0)</f>
        <v>2</v>
      </c>
      <c r="B89" s="575"/>
      <c r="C89" s="130"/>
      <c r="D89" s="520"/>
      <c r="E89" s="802"/>
      <c r="F89" s="1120" t="s">
        <v>710</v>
      </c>
      <c r="G89" s="1791"/>
      <c r="H89" s="1791"/>
      <c r="I89" s="1791"/>
      <c r="J89" s="1791"/>
      <c r="K89" s="1791"/>
      <c r="L89" s="1953"/>
      <c r="M89" s="1153"/>
      <c r="N89" s="6"/>
      <c r="O89" s="10"/>
      <c r="P89" s="10"/>
      <c r="Q89" s="10"/>
      <c r="R89" s="10"/>
      <c r="S89" s="10"/>
      <c r="T89" s="10"/>
      <c r="U89" s="10"/>
      <c r="V89" s="10"/>
      <c r="W89" s="10"/>
      <c r="X89" s="10"/>
      <c r="Y89" s="10"/>
      <c r="Z89" s="10"/>
      <c r="AA89" s="10"/>
      <c r="AB89" s="10"/>
      <c r="AC89" s="10"/>
    </row>
    <row r="90" spans="1:29" ht="8.1" customHeight="1" x14ac:dyDescent="0.25">
      <c r="A90" s="972">
        <f>A92</f>
        <v>2</v>
      </c>
      <c r="B90" s="16"/>
      <c r="C90" s="130"/>
      <c r="D90" s="520"/>
      <c r="E90" s="802"/>
      <c r="F90" s="802"/>
      <c r="G90" s="1797">
        <f t="shared" ref="G90:L90" si="29">IF(AND(G93=0,G94=0,G95=0),0,IF(G93&lt;&gt;0,G93,IF(G94&lt;&gt;0,IF(dpUnit_Sales_2="Net Rentable Area",(G94/G$12)/G$54,(G94/G$13)/G$54),IF(dpUnit_Sales_2="Net Rentable Area",G95/G$54,G95/G$54))))</f>
        <v>0</v>
      </c>
      <c r="H90" s="1797">
        <f t="shared" si="29"/>
        <v>0</v>
      </c>
      <c r="I90" s="1797">
        <f t="shared" si="29"/>
        <v>0</v>
      </c>
      <c r="J90" s="1797">
        <f t="shared" si="29"/>
        <v>0</v>
      </c>
      <c r="K90" s="1797">
        <f t="shared" si="29"/>
        <v>0</v>
      </c>
      <c r="L90" s="1959">
        <f t="shared" si="29"/>
        <v>0</v>
      </c>
      <c r="M90" s="101"/>
      <c r="N90" s="6"/>
      <c r="O90" s="10"/>
      <c r="P90" s="10"/>
      <c r="Q90" s="10"/>
      <c r="R90" s="10"/>
      <c r="S90" s="10"/>
      <c r="T90" s="10"/>
      <c r="U90" s="10"/>
      <c r="V90" s="10"/>
      <c r="W90" s="10"/>
      <c r="X90" s="10"/>
      <c r="Y90" s="10"/>
      <c r="Z90" s="10"/>
      <c r="AA90" s="10"/>
      <c r="AB90" s="10"/>
      <c r="AC90" s="10"/>
    </row>
    <row r="91" spans="1:29" x14ac:dyDescent="0.25">
      <c r="A91" s="972">
        <f>A92</f>
        <v>2</v>
      </c>
      <c r="B91" s="16"/>
      <c r="C91" s="522"/>
      <c r="D91" s="1489" t="s">
        <v>305</v>
      </c>
      <c r="E91" s="1198"/>
      <c r="F91" s="1721"/>
      <c r="G91" s="1894"/>
      <c r="H91" s="1894"/>
      <c r="I91" s="1894"/>
      <c r="J91" s="1894"/>
      <c r="K91" s="1894"/>
      <c r="L91" s="1986"/>
      <c r="M91" s="765"/>
      <c r="N91" s="6"/>
      <c r="O91" s="10"/>
      <c r="P91" s="10"/>
      <c r="Q91" s="10"/>
      <c r="R91" s="10"/>
      <c r="S91" s="10"/>
      <c r="T91" s="10"/>
      <c r="U91" s="10"/>
      <c r="V91" s="10"/>
      <c r="W91" s="10"/>
      <c r="X91" s="10"/>
      <c r="Y91" s="10"/>
      <c r="Z91" s="10"/>
      <c r="AA91" s="10"/>
      <c r="AB91" s="10"/>
      <c r="AC91" s="10"/>
    </row>
    <row r="92" spans="1:29" ht="15" customHeight="1" x14ac:dyDescent="0.25">
      <c r="A92" s="972">
        <f>IF(B92=TRUE,1,2)</f>
        <v>2</v>
      </c>
      <c r="B92" s="16" t="b">
        <v>0</v>
      </c>
      <c r="C92" s="130"/>
      <c r="D92" s="1490" t="str">
        <f>IF(Sales_AdjType&lt;&gt;"Qualitative","Adjustment","Relative Comparison")</f>
        <v>Adjustment</v>
      </c>
      <c r="E92" s="480"/>
      <c r="F92" s="1127"/>
      <c r="G92" s="1796">
        <f t="shared" ref="G92:L92" si="30">IF(Sales_AdjType_2="Percent",IF(AND(G93=0,G94=0,G95=0),0,IF(G93&lt;&gt;0,G93,IF(G94&lt;&gt;0,IF(Sales_AdjType_2="Net Rentable Area",(G94/G$12)/G$54,(G94/G$13)/G$54),IF(Sales_AdjType_2="Net Rentable Area",G95/G$54,G95/G$54)))),IF(Sales_AdjType_2="$ per Unit",IF(AND(G93=0,G94=0,G95=0),0,IF(G93&lt;&gt;0,G93*G$54,IF(G94&lt;&gt;0,IF(Sales_AdjType_2="Net Rentable Area",G94/G$12,G94/G$13),G95))),IF(OR(G93&gt;0,G94&gt;0,G95&gt;0),"Inferior",IF(OR(G93&lt;0,G94&lt;0,G95&lt;0),"Superior","Similar"))))</f>
        <v>0</v>
      </c>
      <c r="H92" s="1796">
        <f t="shared" si="30"/>
        <v>0</v>
      </c>
      <c r="I92" s="1796">
        <f t="shared" si="30"/>
        <v>0</v>
      </c>
      <c r="J92" s="1796">
        <f t="shared" si="30"/>
        <v>0</v>
      </c>
      <c r="K92" s="1796">
        <f t="shared" si="30"/>
        <v>0</v>
      </c>
      <c r="L92" s="1958">
        <f t="shared" si="30"/>
        <v>0</v>
      </c>
      <c r="M92" s="1194"/>
      <c r="N92" s="6"/>
      <c r="O92" s="10"/>
      <c r="P92" s="10"/>
      <c r="Q92" s="10"/>
      <c r="R92" s="10"/>
      <c r="S92" s="10"/>
      <c r="T92" s="10"/>
      <c r="U92" s="10"/>
      <c r="V92" s="10"/>
      <c r="W92" s="10"/>
      <c r="X92" s="10"/>
      <c r="Y92" s="10"/>
      <c r="Z92" s="10"/>
      <c r="AA92" s="10"/>
      <c r="AB92" s="10"/>
      <c r="AC92" s="10"/>
    </row>
    <row r="93" spans="1:29" ht="15" customHeight="1" x14ac:dyDescent="0.25">
      <c r="A93" s="972">
        <f>IF(A92=2,2,0)</f>
        <v>2</v>
      </c>
      <c r="B93" s="575"/>
      <c r="C93" s="130"/>
      <c r="D93" s="520"/>
      <c r="E93" s="480"/>
      <c r="F93" s="1120" t="s">
        <v>166</v>
      </c>
      <c r="G93" s="1793"/>
      <c r="H93" s="1793"/>
      <c r="I93" s="1793"/>
      <c r="J93" s="1793"/>
      <c r="K93" s="1793"/>
      <c r="L93" s="1955"/>
      <c r="M93" s="136"/>
      <c r="N93" s="6"/>
      <c r="O93" s="10"/>
      <c r="P93" s="10"/>
      <c r="Q93" s="10"/>
      <c r="R93" s="10"/>
      <c r="S93" s="10"/>
      <c r="T93" s="10"/>
      <c r="U93" s="10"/>
      <c r="V93" s="10"/>
      <c r="W93" s="10"/>
      <c r="X93" s="10"/>
      <c r="Y93" s="10"/>
      <c r="Z93" s="10"/>
      <c r="AA93" s="10"/>
      <c r="AB93" s="10"/>
      <c r="AC93" s="10"/>
    </row>
    <row r="94" spans="1:29" ht="15" customHeight="1" x14ac:dyDescent="0.25">
      <c r="A94" s="972">
        <f>IF(A93=2,2,0)</f>
        <v>2</v>
      </c>
      <c r="B94" s="575"/>
      <c r="C94" s="130"/>
      <c r="D94" s="520"/>
      <c r="E94" s="480"/>
      <c r="F94" s="1120" t="s">
        <v>167</v>
      </c>
      <c r="G94" s="1794"/>
      <c r="H94" s="1794"/>
      <c r="I94" s="1794"/>
      <c r="J94" s="1794"/>
      <c r="K94" s="1794"/>
      <c r="L94" s="1956"/>
      <c r="M94" s="1152"/>
      <c r="N94" s="6"/>
      <c r="O94" s="10"/>
      <c r="P94" s="10"/>
      <c r="Q94" s="10"/>
      <c r="R94" s="10"/>
      <c r="S94" s="10"/>
      <c r="T94" s="10"/>
      <c r="U94" s="10"/>
      <c r="V94" s="10"/>
      <c r="W94" s="10"/>
      <c r="X94" s="10"/>
      <c r="Y94" s="10"/>
      <c r="Z94" s="10"/>
      <c r="AA94" s="10"/>
      <c r="AB94" s="10"/>
      <c r="AC94" s="10"/>
    </row>
    <row r="95" spans="1:29" ht="15" customHeight="1" x14ac:dyDescent="0.25">
      <c r="A95" s="972">
        <f>IF(A94=2,2,0)</f>
        <v>2</v>
      </c>
      <c r="B95" s="575"/>
      <c r="C95" s="130"/>
      <c r="D95" s="520"/>
      <c r="E95" s="480"/>
      <c r="F95" s="1120" t="s">
        <v>710</v>
      </c>
      <c r="G95" s="1791"/>
      <c r="H95" s="1791"/>
      <c r="I95" s="1791"/>
      <c r="J95" s="1791"/>
      <c r="K95" s="1791"/>
      <c r="L95" s="1953"/>
      <c r="M95" s="1153"/>
      <c r="N95" s="6"/>
      <c r="O95" s="10"/>
      <c r="P95" s="10"/>
      <c r="Q95" s="10"/>
      <c r="R95" s="10"/>
      <c r="S95" s="10"/>
      <c r="T95" s="10"/>
      <c r="U95" s="10"/>
      <c r="V95" s="10"/>
      <c r="W95" s="10"/>
      <c r="X95" s="10"/>
      <c r="Y95" s="10"/>
      <c r="Z95" s="10"/>
      <c r="AA95" s="10"/>
      <c r="AB95" s="10"/>
      <c r="AC95" s="10"/>
    </row>
    <row r="96" spans="1:29" ht="8.1" customHeight="1" x14ac:dyDescent="0.25">
      <c r="A96" s="972">
        <f>A98</f>
        <v>2</v>
      </c>
      <c r="B96" s="16"/>
      <c r="C96" s="130"/>
      <c r="D96" s="520"/>
      <c r="E96" s="480"/>
      <c r="F96" s="1127"/>
      <c r="G96" s="1797">
        <f t="shared" ref="G96:L96" si="31">IF(AND(G99=0,G100=0,G101=0),0,IF(G99&lt;&gt;0,G99,IF(G100&lt;&gt;0,IF(dpUnit_Sales_2="Net Rentable Area",(G100/G$12)/G$54,(G100/G$13)/G$54),IF(dpUnit_Sales_2="Net Rentable Area",G101/G$54,G101/G$54))))</f>
        <v>0</v>
      </c>
      <c r="H96" s="1797">
        <f t="shared" si="31"/>
        <v>0</v>
      </c>
      <c r="I96" s="1797">
        <f t="shared" si="31"/>
        <v>0</v>
      </c>
      <c r="J96" s="1797">
        <f t="shared" si="31"/>
        <v>0</v>
      </c>
      <c r="K96" s="1797">
        <f t="shared" si="31"/>
        <v>0</v>
      </c>
      <c r="L96" s="1959">
        <f t="shared" si="31"/>
        <v>0</v>
      </c>
      <c r="M96" s="101"/>
      <c r="N96" s="6"/>
      <c r="O96" s="10"/>
      <c r="P96" s="10"/>
      <c r="Q96" s="10"/>
      <c r="R96" s="10"/>
      <c r="S96" s="10"/>
      <c r="T96" s="10"/>
      <c r="U96" s="10"/>
      <c r="V96" s="10"/>
      <c r="W96" s="10"/>
      <c r="X96" s="10"/>
      <c r="Y96" s="10"/>
      <c r="Z96" s="10"/>
      <c r="AA96" s="10"/>
      <c r="AB96" s="10"/>
      <c r="AC96" s="10"/>
    </row>
    <row r="97" spans="1:29" x14ac:dyDescent="0.25">
      <c r="A97" s="972">
        <f>A98</f>
        <v>2</v>
      </c>
      <c r="B97" s="16"/>
      <c r="C97" s="130"/>
      <c r="D97" s="1489" t="s">
        <v>191</v>
      </c>
      <c r="E97" s="480"/>
      <c r="F97" s="1746">
        <f>Subject_ClearHeight</f>
        <v>0</v>
      </c>
      <c r="G97" s="1800"/>
      <c r="H97" s="1800"/>
      <c r="I97" s="1800"/>
      <c r="J97" s="1800"/>
      <c r="K97" s="1800"/>
      <c r="L97" s="1962"/>
      <c r="M97" s="101"/>
      <c r="N97" s="6"/>
      <c r="O97" s="10"/>
      <c r="P97" s="10"/>
      <c r="Q97" s="10"/>
      <c r="R97" s="10"/>
      <c r="S97" s="10"/>
      <c r="T97" s="10"/>
      <c r="U97" s="10"/>
      <c r="V97" s="10"/>
      <c r="W97" s="10"/>
      <c r="X97" s="10"/>
      <c r="Y97" s="10"/>
      <c r="Z97" s="10"/>
      <c r="AA97" s="10"/>
      <c r="AB97" s="10"/>
      <c r="AC97" s="10"/>
    </row>
    <row r="98" spans="1:29" ht="15" customHeight="1" x14ac:dyDescent="0.25">
      <c r="A98" s="972">
        <f>IF(B98=TRUE,1,2)</f>
        <v>2</v>
      </c>
      <c r="B98" s="16" t="b">
        <v>0</v>
      </c>
      <c r="C98" s="130"/>
      <c r="D98" s="1490" t="str">
        <f>IF(Sales_AdjType&lt;&gt;"Qualitative","Adjustment","Relative Comparison")</f>
        <v>Adjustment</v>
      </c>
      <c r="E98" s="802"/>
      <c r="F98" s="1127"/>
      <c r="G98" s="1796">
        <f t="shared" ref="G98:L98" si="32">IF(Sales_AdjType_2="Percent",IF(AND(G99=0,G100=0,G101=0),0,IF(G99&lt;&gt;0,G99,IF(G100&lt;&gt;0,IF(Sales_AdjType_2="Net Rentable Area",(G100/G$12)/G$54,(G100/G$13)/G$54),IF(Sales_AdjType_2="Net Rentable Area",G101/G$54,G101/G$54)))),IF(Sales_AdjType_2="$ per Unit",IF(AND(G99=0,G100=0,G101=0),0,IF(G99&lt;&gt;0,G99*G$54,IF(G100&lt;&gt;0,IF(Sales_AdjType_2="Net Rentable Area",G100/G$12,G100/G$13),G101))),IF(OR(G99&gt;0,G100&gt;0,G101&gt;0),"Inferior",IF(OR(G99&lt;0,G100&lt;0,G101&lt;0),"Superior","Similar"))))</f>
        <v>0</v>
      </c>
      <c r="H98" s="1796">
        <f t="shared" si="32"/>
        <v>0</v>
      </c>
      <c r="I98" s="1796">
        <f t="shared" si="32"/>
        <v>0</v>
      </c>
      <c r="J98" s="1796">
        <f t="shared" si="32"/>
        <v>0</v>
      </c>
      <c r="K98" s="1796">
        <f t="shared" si="32"/>
        <v>0</v>
      </c>
      <c r="L98" s="1958">
        <f t="shared" si="32"/>
        <v>0</v>
      </c>
      <c r="M98" s="1194"/>
      <c r="N98" s="6"/>
      <c r="O98" s="10"/>
      <c r="P98" s="10"/>
      <c r="Q98" s="10"/>
      <c r="R98" s="10"/>
      <c r="S98" s="10"/>
      <c r="T98" s="10"/>
      <c r="U98" s="10"/>
      <c r="V98" s="10"/>
      <c r="W98" s="10"/>
      <c r="X98" s="10"/>
      <c r="Y98" s="10"/>
      <c r="Z98" s="10"/>
      <c r="AA98" s="10"/>
      <c r="AB98" s="10"/>
      <c r="AC98" s="10"/>
    </row>
    <row r="99" spans="1:29" ht="15" customHeight="1" x14ac:dyDescent="0.25">
      <c r="A99" s="972">
        <f>IF(A98=2,2,0)</f>
        <v>2</v>
      </c>
      <c r="B99" s="575"/>
      <c r="C99" s="130"/>
      <c r="D99" s="520"/>
      <c r="E99" s="802"/>
      <c r="F99" s="1120" t="s">
        <v>166</v>
      </c>
      <c r="G99" s="1793"/>
      <c r="H99" s="1793"/>
      <c r="I99" s="1793"/>
      <c r="J99" s="1793"/>
      <c r="K99" s="1793"/>
      <c r="L99" s="1955"/>
      <c r="M99" s="136"/>
      <c r="N99" s="6"/>
      <c r="O99" s="10"/>
      <c r="P99" s="10"/>
      <c r="Q99" s="10"/>
      <c r="R99" s="10"/>
      <c r="S99" s="10"/>
      <c r="T99" s="10"/>
      <c r="U99" s="10"/>
      <c r="V99" s="10"/>
      <c r="W99" s="10"/>
      <c r="X99" s="10"/>
      <c r="Y99" s="10"/>
      <c r="Z99" s="10"/>
      <c r="AA99" s="10"/>
      <c r="AB99" s="10"/>
      <c r="AC99" s="10"/>
    </row>
    <row r="100" spans="1:29" ht="15" customHeight="1" x14ac:dyDescent="0.25">
      <c r="A100" s="972">
        <f>IF(A99=2,2,0)</f>
        <v>2</v>
      </c>
      <c r="B100" s="575"/>
      <c r="C100" s="130"/>
      <c r="D100" s="1720"/>
      <c r="E100" s="802"/>
      <c r="F100" s="1120" t="s">
        <v>167</v>
      </c>
      <c r="G100" s="1794"/>
      <c r="H100" s="1794"/>
      <c r="I100" s="1794"/>
      <c r="J100" s="1794"/>
      <c r="K100" s="1794"/>
      <c r="L100" s="1956"/>
      <c r="M100" s="1152"/>
      <c r="N100" s="6"/>
      <c r="O100" s="10"/>
      <c r="P100" s="10"/>
      <c r="Q100" s="10"/>
      <c r="R100" s="10"/>
      <c r="S100" s="10"/>
      <c r="T100" s="10"/>
      <c r="U100" s="10"/>
      <c r="V100" s="10"/>
      <c r="W100" s="10"/>
      <c r="X100" s="10"/>
      <c r="Y100" s="10"/>
      <c r="Z100" s="10"/>
      <c r="AA100" s="10"/>
      <c r="AB100" s="10"/>
      <c r="AC100" s="10"/>
    </row>
    <row r="101" spans="1:29" ht="15" customHeight="1" x14ac:dyDescent="0.25">
      <c r="A101" s="972">
        <f>IF(A100=2,2,0)</f>
        <v>2</v>
      </c>
      <c r="B101" s="575"/>
      <c r="C101" s="130"/>
      <c r="D101" s="520"/>
      <c r="E101" s="802"/>
      <c r="F101" s="1120" t="s">
        <v>710</v>
      </c>
      <c r="G101" s="1791"/>
      <c r="H101" s="1791"/>
      <c r="I101" s="1791"/>
      <c r="J101" s="1791"/>
      <c r="K101" s="1791"/>
      <c r="L101" s="1953"/>
      <c r="M101" s="1153"/>
      <c r="N101" s="6"/>
      <c r="O101" s="10"/>
      <c r="P101" s="10"/>
      <c r="Q101" s="10"/>
      <c r="R101" s="10"/>
      <c r="S101" s="10"/>
      <c r="T101" s="10"/>
      <c r="U101" s="10"/>
      <c r="V101" s="10"/>
      <c r="W101" s="10"/>
      <c r="X101" s="10"/>
      <c r="Y101" s="10"/>
      <c r="Z101" s="10"/>
      <c r="AA101" s="10"/>
      <c r="AB101" s="10"/>
      <c r="AC101" s="10"/>
    </row>
    <row r="102" spans="1:29" ht="8.1" customHeight="1" x14ac:dyDescent="0.25">
      <c r="A102" s="972">
        <f>A104</f>
        <v>2</v>
      </c>
      <c r="B102" s="16"/>
      <c r="C102" s="130"/>
      <c r="D102" s="520"/>
      <c r="E102" s="802"/>
      <c r="F102" s="1127"/>
      <c r="G102" s="1797">
        <f t="shared" ref="G102:L102" si="33">IF(AND(G105=0,G106=0,G107=0),0,IF(G105&lt;&gt;0,G105,IF(G106&lt;&gt;0,IF(dpUnit_Sales_2="Net Rentable Area",(G106/G$12)/G$54,(G106/G$13)/G$54),IF(dpUnit_Sales_2="Net Rentable Area",G107/G$54,G107/G$54))))</f>
        <v>0</v>
      </c>
      <c r="H102" s="1797">
        <f t="shared" si="33"/>
        <v>0</v>
      </c>
      <c r="I102" s="1797">
        <f t="shared" si="33"/>
        <v>0</v>
      </c>
      <c r="J102" s="1797">
        <f t="shared" si="33"/>
        <v>0</v>
      </c>
      <c r="K102" s="1797">
        <f t="shared" si="33"/>
        <v>0</v>
      </c>
      <c r="L102" s="1959">
        <f t="shared" si="33"/>
        <v>0</v>
      </c>
      <c r="M102" s="101"/>
      <c r="N102" s="6"/>
      <c r="O102" s="10"/>
      <c r="P102" s="10"/>
      <c r="Q102" s="10"/>
      <c r="R102" s="10"/>
      <c r="S102" s="10"/>
      <c r="T102" s="10"/>
      <c r="U102" s="10"/>
      <c r="V102" s="10"/>
      <c r="W102" s="10"/>
      <c r="X102" s="10"/>
      <c r="Y102" s="10"/>
      <c r="Z102" s="10"/>
      <c r="AA102" s="10"/>
      <c r="AB102" s="10"/>
      <c r="AC102" s="10"/>
    </row>
    <row r="103" spans="1:29" x14ac:dyDescent="0.25">
      <c r="A103" s="972">
        <f>A104</f>
        <v>2</v>
      </c>
      <c r="B103" s="16"/>
      <c r="C103" s="130"/>
      <c r="D103" s="1489" t="s">
        <v>285</v>
      </c>
      <c r="E103" s="480"/>
      <c r="F103" s="1747">
        <f>Subject_PercentOfficeFinish</f>
        <v>7.4999999999999997E-2</v>
      </c>
      <c r="G103" s="1895"/>
      <c r="H103" s="1895"/>
      <c r="I103" s="1895"/>
      <c r="J103" s="1895"/>
      <c r="K103" s="1895"/>
      <c r="L103" s="1987"/>
      <c r="M103" s="136"/>
      <c r="N103" s="6"/>
      <c r="O103" s="10"/>
      <c r="P103" s="10"/>
      <c r="Q103" s="10"/>
      <c r="R103" s="10"/>
      <c r="S103" s="10"/>
      <c r="T103" s="10"/>
      <c r="U103" s="10"/>
      <c r="V103" s="10"/>
      <c r="W103" s="10"/>
      <c r="X103" s="10"/>
      <c r="Y103" s="10"/>
      <c r="Z103" s="10"/>
      <c r="AA103" s="10"/>
      <c r="AB103" s="10"/>
      <c r="AC103" s="10"/>
    </row>
    <row r="104" spans="1:29" ht="15" customHeight="1" x14ac:dyDescent="0.25">
      <c r="A104" s="972">
        <f>IF(B104=TRUE,1,2)</f>
        <v>2</v>
      </c>
      <c r="B104" s="16" t="b">
        <v>0</v>
      </c>
      <c r="C104" s="130"/>
      <c r="D104" s="1490" t="str">
        <f>IF(Sales_AdjType&lt;&gt;"Qualitative","Adjustment","Relative Comparison")</f>
        <v>Adjustment</v>
      </c>
      <c r="E104" s="480"/>
      <c r="F104" s="1127"/>
      <c r="G104" s="1796">
        <f t="shared" ref="G104:L104" si="34">IF(Sales_AdjType_2="Percent",IF(AND(G105=0,G106=0,G107=0),0,IF(G105&lt;&gt;0,G105,IF(G106&lt;&gt;0,IF(Sales_AdjType_2="Net Rentable Area",(G106/G$12)/G$54,(G106/G$13)/G$54),IF(Sales_AdjType_2="Net Rentable Area",G107/G$54,G107/G$54)))),IF(Sales_AdjType_2="$ per Unit",IF(AND(G105=0,G106=0,G107=0),0,IF(G105&lt;&gt;0,G105*G$54,IF(G106&lt;&gt;0,IF(Sales_AdjType_2="Net Rentable Area",G106/G$12,G106/G$13),G107))),IF(OR(G105&gt;0,G106&gt;0,G107&gt;0),"Inferior",IF(OR(G105&lt;0,G106&lt;0,G107&lt;0),"Superior","Similar"))))</f>
        <v>0</v>
      </c>
      <c r="H104" s="1796">
        <f t="shared" si="34"/>
        <v>0</v>
      </c>
      <c r="I104" s="1796">
        <f t="shared" si="34"/>
        <v>0</v>
      </c>
      <c r="J104" s="1796">
        <f t="shared" si="34"/>
        <v>0</v>
      </c>
      <c r="K104" s="1796">
        <f t="shared" si="34"/>
        <v>0</v>
      </c>
      <c r="L104" s="1958">
        <f t="shared" si="34"/>
        <v>0</v>
      </c>
      <c r="M104" s="1194"/>
      <c r="N104" s="6"/>
      <c r="O104" s="10"/>
      <c r="P104" s="10"/>
      <c r="Q104" s="10"/>
      <c r="R104" s="10"/>
      <c r="S104" s="10"/>
      <c r="T104" s="10"/>
      <c r="U104" s="10"/>
      <c r="V104" s="10"/>
      <c r="W104" s="10"/>
      <c r="X104" s="10"/>
      <c r="Y104" s="10"/>
      <c r="Z104" s="10"/>
      <c r="AA104" s="10"/>
      <c r="AB104" s="10"/>
      <c r="AC104" s="10"/>
    </row>
    <row r="105" spans="1:29" ht="15" customHeight="1" x14ac:dyDescent="0.25">
      <c r="A105" s="972">
        <f>IF(A104=2,2,0)</f>
        <v>2</v>
      </c>
      <c r="B105" s="575"/>
      <c r="C105" s="130"/>
      <c r="D105" s="520"/>
      <c r="E105" s="480"/>
      <c r="F105" s="1120" t="s">
        <v>166</v>
      </c>
      <c r="G105" s="1793"/>
      <c r="H105" s="1793"/>
      <c r="I105" s="1793"/>
      <c r="J105" s="1793"/>
      <c r="K105" s="1793"/>
      <c r="L105" s="1955"/>
      <c r="M105" s="136"/>
      <c r="N105" s="6"/>
      <c r="O105" s="10"/>
      <c r="P105" s="10"/>
      <c r="Q105" s="10"/>
      <c r="R105" s="10"/>
      <c r="S105" s="10"/>
      <c r="T105" s="10"/>
      <c r="U105" s="10"/>
      <c r="V105" s="10"/>
      <c r="W105" s="10"/>
      <c r="X105" s="10"/>
      <c r="Y105" s="10"/>
      <c r="Z105" s="10"/>
      <c r="AA105" s="10"/>
      <c r="AB105" s="10"/>
      <c r="AC105" s="10"/>
    </row>
    <row r="106" spans="1:29" ht="15" customHeight="1" x14ac:dyDescent="0.25">
      <c r="A106" s="972">
        <f>IF(A105=2,2,0)</f>
        <v>2</v>
      </c>
      <c r="B106" s="575"/>
      <c r="C106" s="130"/>
      <c r="D106" s="520"/>
      <c r="E106" s="480"/>
      <c r="F106" s="1120" t="s">
        <v>167</v>
      </c>
      <c r="G106" s="1794"/>
      <c r="H106" s="1794"/>
      <c r="I106" s="1794"/>
      <c r="J106" s="1794"/>
      <c r="K106" s="1794"/>
      <c r="L106" s="1956"/>
      <c r="M106" s="1152"/>
      <c r="N106" s="6"/>
      <c r="O106" s="10"/>
      <c r="P106" s="10"/>
      <c r="Q106" s="10"/>
      <c r="R106" s="10"/>
      <c r="S106" s="10"/>
      <c r="T106" s="10"/>
      <c r="U106" s="10"/>
      <c r="V106" s="10"/>
      <c r="W106" s="10"/>
      <c r="X106" s="10"/>
      <c r="Y106" s="10"/>
      <c r="Z106" s="10"/>
      <c r="AA106" s="10"/>
      <c r="AB106" s="10"/>
      <c r="AC106" s="10"/>
    </row>
    <row r="107" spans="1:29" ht="15" customHeight="1" x14ac:dyDescent="0.25">
      <c r="A107" s="972">
        <f>IF(A106=2,2,0)</f>
        <v>2</v>
      </c>
      <c r="B107" s="575"/>
      <c r="C107" s="130"/>
      <c r="D107" s="520"/>
      <c r="E107" s="480"/>
      <c r="F107" s="1120" t="s">
        <v>710</v>
      </c>
      <c r="G107" s="1791"/>
      <c r="H107" s="1791"/>
      <c r="I107" s="1791"/>
      <c r="J107" s="1791"/>
      <c r="K107" s="1791"/>
      <c r="L107" s="1953"/>
      <c r="M107" s="1153"/>
      <c r="N107" s="6"/>
      <c r="O107" s="10"/>
      <c r="P107" s="10"/>
      <c r="Q107" s="10"/>
      <c r="R107" s="10"/>
      <c r="S107" s="10"/>
      <c r="T107" s="10"/>
      <c r="U107" s="10"/>
      <c r="V107" s="10"/>
      <c r="W107" s="10"/>
      <c r="X107" s="10"/>
      <c r="Y107" s="10"/>
      <c r="Z107" s="10"/>
      <c r="AA107" s="10"/>
      <c r="AB107" s="10"/>
      <c r="AC107" s="10"/>
    </row>
    <row r="108" spans="1:29" ht="8.1" customHeight="1" x14ac:dyDescent="0.25">
      <c r="A108" s="972">
        <f>A110</f>
        <v>2</v>
      </c>
      <c r="B108" s="16"/>
      <c r="C108" s="130"/>
      <c r="D108" s="520"/>
      <c r="E108" s="802"/>
      <c r="F108" s="802"/>
      <c r="G108" s="1797">
        <f t="shared" ref="G108:L108" si="35">IF(AND(G111=0,G112=0,G113=0),0,IF(G111&lt;&gt;0,G111,IF(G112&lt;&gt;0,IF(dpUnit_Sales_2="Net Rentable Area",(G112/G$12)/G$54,(G112/G$13)/G$54),IF(dpUnit_Sales_2="Net Rentable Area",G113/G$54,G113/G$54))))</f>
        <v>0</v>
      </c>
      <c r="H108" s="1797">
        <f t="shared" si="35"/>
        <v>0</v>
      </c>
      <c r="I108" s="1797">
        <f t="shared" si="35"/>
        <v>0</v>
      </c>
      <c r="J108" s="1797">
        <f t="shared" si="35"/>
        <v>0</v>
      </c>
      <c r="K108" s="1797">
        <f t="shared" si="35"/>
        <v>0</v>
      </c>
      <c r="L108" s="1959">
        <f t="shared" si="35"/>
        <v>0</v>
      </c>
      <c r="M108" s="101"/>
      <c r="N108" s="6"/>
      <c r="O108" s="10"/>
      <c r="P108" s="10"/>
      <c r="Q108" s="10"/>
      <c r="R108" s="10"/>
      <c r="S108" s="10"/>
      <c r="T108" s="10"/>
      <c r="U108" s="10"/>
      <c r="V108" s="10"/>
      <c r="W108" s="10"/>
      <c r="X108" s="10"/>
      <c r="Y108" s="10"/>
      <c r="Z108" s="10"/>
      <c r="AA108" s="10"/>
      <c r="AB108" s="10"/>
      <c r="AC108" s="10"/>
    </row>
    <row r="109" spans="1:29" x14ac:dyDescent="0.25">
      <c r="A109" s="972">
        <f>A110</f>
        <v>2</v>
      </c>
      <c r="B109" s="16"/>
      <c r="C109" s="130"/>
      <c r="D109" s="1489" t="s">
        <v>286</v>
      </c>
      <c r="E109" s="480"/>
      <c r="F109" s="1748">
        <f>Subject_LtoBRatio_Usable</f>
        <v>20.7</v>
      </c>
      <c r="G109" s="1802"/>
      <c r="H109" s="1802"/>
      <c r="I109" s="1802"/>
      <c r="J109" s="1802"/>
      <c r="K109" s="1802"/>
      <c r="L109" s="1964"/>
      <c r="M109" s="1722"/>
      <c r="N109" s="6"/>
      <c r="O109" s="10"/>
      <c r="P109" s="10"/>
      <c r="Q109" s="10"/>
      <c r="R109" s="10"/>
      <c r="S109" s="10"/>
      <c r="T109" s="10"/>
      <c r="U109" s="10"/>
      <c r="V109" s="10"/>
      <c r="W109" s="10"/>
      <c r="X109" s="10"/>
      <c r="Y109" s="10"/>
      <c r="Z109" s="10"/>
      <c r="AA109" s="10"/>
      <c r="AB109" s="10"/>
      <c r="AC109" s="10"/>
    </row>
    <row r="110" spans="1:29" ht="15" customHeight="1" x14ac:dyDescent="0.25">
      <c r="A110" s="972">
        <f>IF(AND(B110=TRUE,dpSale_Method_2="Whole Property"),1,2)</f>
        <v>2</v>
      </c>
      <c r="B110" s="16" t="b">
        <v>0</v>
      </c>
      <c r="C110" s="130"/>
      <c r="D110" s="1490" t="str">
        <f>IF(Sales_AdjType&lt;&gt;"Qualitative","Adjustment","Relative Comparison")</f>
        <v>Adjustment</v>
      </c>
      <c r="E110" s="480"/>
      <c r="F110" s="1127"/>
      <c r="G110" s="1796">
        <f t="shared" ref="G110:L110" si="36">IF(Sales_AdjType_2="Percent",IF(AND(G111=0,G112=0,G113=0),0,IF(G111&lt;&gt;0,G111,IF(G112&lt;&gt;0,IF(Sales_AdjType_2="Net Rentable Area",(G112/G$12)/G$54,(G112/G$13)/G$54),IF(Sales_AdjType_2="Net Rentable Area",G113/G$54,G113/G$54)))),IF(Sales_AdjType_2="$ per Unit",IF(AND(G111=0,G112=0,G113=0),0,IF(G111&lt;&gt;0,G111*G$54,IF(G112&lt;&gt;0,IF(Sales_AdjType_2="Net Rentable Area",G112/G$12,G112/G$13),G113))),IF(OR(G111&gt;0,G112&gt;0,G113&gt;0),"Inferior",IF(OR(G111&lt;0,G112&lt;0,G113&lt;0),"Superior","Similar"))))</f>
        <v>0</v>
      </c>
      <c r="H110" s="1796">
        <f t="shared" si="36"/>
        <v>0</v>
      </c>
      <c r="I110" s="1796">
        <f t="shared" si="36"/>
        <v>0</v>
      </c>
      <c r="J110" s="1796">
        <f t="shared" si="36"/>
        <v>0</v>
      </c>
      <c r="K110" s="1796">
        <f t="shared" si="36"/>
        <v>0</v>
      </c>
      <c r="L110" s="1958">
        <f t="shared" si="36"/>
        <v>0</v>
      </c>
      <c r="M110" s="1194"/>
      <c r="N110" s="6"/>
      <c r="O110" s="10"/>
      <c r="P110" s="10"/>
      <c r="Q110" s="10"/>
      <c r="R110" s="10"/>
      <c r="S110" s="10"/>
      <c r="T110" s="10"/>
      <c r="U110" s="10"/>
      <c r="V110" s="10"/>
      <c r="W110" s="10"/>
      <c r="X110" s="10"/>
      <c r="Y110" s="10"/>
      <c r="Z110" s="10"/>
      <c r="AA110" s="10"/>
      <c r="AB110" s="10"/>
      <c r="AC110" s="10"/>
    </row>
    <row r="111" spans="1:29" ht="15" customHeight="1" x14ac:dyDescent="0.25">
      <c r="A111" s="972">
        <f>IF(A110=2,2,0)</f>
        <v>2</v>
      </c>
      <c r="B111" s="575"/>
      <c r="C111" s="130"/>
      <c r="D111" s="520"/>
      <c r="E111" s="802"/>
      <c r="F111" s="1120" t="s">
        <v>166</v>
      </c>
      <c r="G111" s="1793"/>
      <c r="H111" s="1793"/>
      <c r="I111" s="1793"/>
      <c r="J111" s="1793"/>
      <c r="K111" s="1793"/>
      <c r="L111" s="1955"/>
      <c r="M111" s="136"/>
      <c r="N111" s="6"/>
      <c r="O111" s="10"/>
      <c r="P111" s="10"/>
      <c r="Q111" s="10"/>
      <c r="R111" s="10"/>
      <c r="S111" s="10"/>
      <c r="T111" s="10"/>
      <c r="U111" s="10"/>
      <c r="V111" s="10"/>
      <c r="W111" s="10"/>
      <c r="X111" s="10"/>
      <c r="Y111" s="10"/>
      <c r="Z111" s="10"/>
      <c r="AA111" s="10"/>
      <c r="AB111" s="10"/>
      <c r="AC111" s="10"/>
    </row>
    <row r="112" spans="1:29" ht="15" customHeight="1" x14ac:dyDescent="0.25">
      <c r="A112" s="972">
        <f>IF(A111=2,2,0)</f>
        <v>2</v>
      </c>
      <c r="B112" s="575"/>
      <c r="C112" s="130"/>
      <c r="D112" s="1720"/>
      <c r="E112" s="802"/>
      <c r="F112" s="1120" t="s">
        <v>167</v>
      </c>
      <c r="G112" s="1794"/>
      <c r="H112" s="1794"/>
      <c r="I112" s="1794"/>
      <c r="J112" s="1794"/>
      <c r="K112" s="1794"/>
      <c r="L112" s="1956"/>
      <c r="M112" s="1152"/>
      <c r="N112" s="6"/>
      <c r="O112" s="10"/>
      <c r="P112" s="10"/>
      <c r="Q112" s="10"/>
      <c r="R112" s="10"/>
      <c r="S112" s="10"/>
      <c r="T112" s="10"/>
      <c r="U112" s="10"/>
      <c r="V112" s="10"/>
      <c r="W112" s="10"/>
      <c r="X112" s="10"/>
      <c r="Y112" s="10"/>
      <c r="Z112" s="10"/>
      <c r="AA112" s="10"/>
      <c r="AB112" s="10"/>
      <c r="AC112" s="10"/>
    </row>
    <row r="113" spans="1:29" ht="15" customHeight="1" x14ac:dyDescent="0.25">
      <c r="A113" s="972">
        <f>IF(A112=2,2,0)</f>
        <v>2</v>
      </c>
      <c r="B113" s="575"/>
      <c r="C113" s="130"/>
      <c r="D113" s="520"/>
      <c r="E113" s="802"/>
      <c r="F113" s="1120" t="s">
        <v>710</v>
      </c>
      <c r="G113" s="1791"/>
      <c r="H113" s="1791"/>
      <c r="I113" s="1791"/>
      <c r="J113" s="1791"/>
      <c r="K113" s="1791"/>
      <c r="L113" s="1953"/>
      <c r="M113" s="1153"/>
      <c r="N113" s="6"/>
      <c r="O113" s="10"/>
      <c r="P113" s="10"/>
      <c r="Q113" s="10"/>
      <c r="R113" s="10"/>
      <c r="S113" s="10"/>
      <c r="T113" s="10"/>
      <c r="U113" s="10"/>
      <c r="V113" s="10"/>
      <c r="W113" s="10"/>
      <c r="X113" s="10"/>
      <c r="Y113" s="10"/>
      <c r="Z113" s="10"/>
      <c r="AA113" s="10"/>
      <c r="AB113" s="10"/>
      <c r="AC113" s="10"/>
    </row>
    <row r="114" spans="1:29" ht="8.1" customHeight="1" x14ac:dyDescent="0.25">
      <c r="A114" s="972">
        <f>A116</f>
        <v>2</v>
      </c>
      <c r="B114" s="16"/>
      <c r="C114" s="130"/>
      <c r="D114" s="520"/>
      <c r="E114" s="802"/>
      <c r="F114" s="802"/>
      <c r="G114" s="1797">
        <f t="shared" ref="G114:L114" si="37">IF(AND(G117=0,G118=0,G119=0),0,IF(G117&lt;&gt;0,G117,IF(G118&lt;&gt;0,IF(dpUnit_Sales_2="Net Rentable Area",(G118/G$12)/G$54,(G118/G$13)/G$54),IF(dpUnit_Sales_2="Net Rentable Area",G119/G$54,G119/G$54))))</f>
        <v>0</v>
      </c>
      <c r="H114" s="1797">
        <f t="shared" si="37"/>
        <v>0</v>
      </c>
      <c r="I114" s="1797">
        <f t="shared" si="37"/>
        <v>0</v>
      </c>
      <c r="J114" s="1797">
        <f t="shared" si="37"/>
        <v>0</v>
      </c>
      <c r="K114" s="1797">
        <f t="shared" si="37"/>
        <v>0</v>
      </c>
      <c r="L114" s="1959">
        <f t="shared" si="37"/>
        <v>0</v>
      </c>
      <c r="M114" s="101"/>
      <c r="N114" s="6"/>
      <c r="O114" s="10"/>
      <c r="P114" s="10"/>
      <c r="Q114" s="10"/>
      <c r="R114" s="10"/>
      <c r="S114" s="10"/>
      <c r="T114" s="10"/>
      <c r="U114" s="10"/>
      <c r="V114" s="10"/>
      <c r="W114" s="10"/>
      <c r="X114" s="10"/>
      <c r="Y114" s="10"/>
      <c r="Z114" s="10"/>
      <c r="AA114" s="10"/>
      <c r="AB114" s="10"/>
      <c r="AC114" s="10"/>
    </row>
    <row r="115" spans="1:29" x14ac:dyDescent="0.25">
      <c r="A115" s="972">
        <f>A116</f>
        <v>2</v>
      </c>
      <c r="B115" s="16"/>
      <c r="C115" s="130"/>
      <c r="D115" s="1489" t="s">
        <v>1018</v>
      </c>
      <c r="E115" s="802"/>
      <c r="F115" s="1749">
        <f>Subject_ParkingRatio</f>
        <v>2.95</v>
      </c>
      <c r="G115" s="1896"/>
      <c r="H115" s="1896"/>
      <c r="I115" s="1896"/>
      <c r="J115" s="1896"/>
      <c r="K115" s="1896"/>
      <c r="L115" s="1988"/>
      <c r="M115" s="101"/>
      <c r="N115" s="6"/>
      <c r="O115" s="10"/>
      <c r="P115" s="10"/>
      <c r="Q115" s="10"/>
      <c r="R115" s="10"/>
      <c r="S115" s="10"/>
      <c r="T115" s="10"/>
      <c r="U115" s="10"/>
      <c r="V115" s="10"/>
      <c r="W115" s="10"/>
      <c r="X115" s="10"/>
      <c r="Y115" s="10"/>
      <c r="Z115" s="10"/>
      <c r="AA115" s="10"/>
      <c r="AB115" s="10"/>
      <c r="AC115" s="10"/>
    </row>
    <row r="116" spans="1:29" ht="14.25" customHeight="1" x14ac:dyDescent="0.25">
      <c r="A116" s="972">
        <f>IF(B116=TRUE,1,2)</f>
        <v>2</v>
      </c>
      <c r="B116" s="16" t="b">
        <v>0</v>
      </c>
      <c r="C116" s="130"/>
      <c r="D116" s="1490" t="str">
        <f>IF(Sales_AdjType&lt;&gt;"Qualitative","Adjustment","Relative Comparison")</f>
        <v>Adjustment</v>
      </c>
      <c r="E116" s="802"/>
      <c r="F116" s="1127"/>
      <c r="G116" s="1796">
        <f t="shared" ref="G116:L116" si="38">IF(Sales_AdjType_2="Percent",IF(AND(G117=0,G118=0,G119=0),0,IF(G117&lt;&gt;0,G117,IF(G118&lt;&gt;0,IF(Sales_AdjType_2="Net Rentable Area",(G118/G$12)/G$54,(G118/G$13)/G$54),IF(Sales_AdjType_2="Net Rentable Area",G119/G$54,G119/G$54)))),IF(Sales_AdjType_2="$ per Unit",IF(AND(G117=0,G118=0,G119=0),0,IF(G117&lt;&gt;0,G117*G$54,IF(G118&lt;&gt;0,IF(Sales_AdjType_2="Net Rentable Area",G118/G$12,G118/G$13),G119))),IF(OR(G117&gt;0,G118&gt;0,G119&gt;0),"Inferior",IF(OR(G117&lt;0,G118&lt;0,G119&lt;0),"Superior","Similar"))))</f>
        <v>0</v>
      </c>
      <c r="H116" s="1796">
        <f t="shared" si="38"/>
        <v>0</v>
      </c>
      <c r="I116" s="1796">
        <f t="shared" si="38"/>
        <v>0</v>
      </c>
      <c r="J116" s="1796">
        <f t="shared" si="38"/>
        <v>0</v>
      </c>
      <c r="K116" s="1796">
        <f t="shared" si="38"/>
        <v>0</v>
      </c>
      <c r="L116" s="1958">
        <f t="shared" si="38"/>
        <v>0</v>
      </c>
      <c r="M116" s="101"/>
      <c r="N116" s="6"/>
      <c r="O116" s="10"/>
      <c r="P116" s="10"/>
      <c r="Q116" s="10"/>
      <c r="R116" s="10"/>
      <c r="S116" s="10"/>
      <c r="T116" s="10"/>
      <c r="U116" s="10"/>
      <c r="V116" s="10"/>
      <c r="W116" s="10"/>
      <c r="X116" s="10"/>
      <c r="Y116" s="10"/>
      <c r="Z116" s="10"/>
      <c r="AA116" s="10"/>
      <c r="AB116" s="10"/>
      <c r="AC116" s="10"/>
    </row>
    <row r="117" spans="1:29" ht="14.25" customHeight="1" x14ac:dyDescent="0.25">
      <c r="A117" s="972">
        <f>IF(A116=2,2,0)</f>
        <v>2</v>
      </c>
      <c r="B117" s="16"/>
      <c r="C117" s="130"/>
      <c r="D117" s="520"/>
      <c r="E117" s="802"/>
      <c r="F117" s="1120" t="s">
        <v>166</v>
      </c>
      <c r="G117" s="1793"/>
      <c r="H117" s="1793"/>
      <c r="I117" s="1793"/>
      <c r="J117" s="1793"/>
      <c r="K117" s="1793"/>
      <c r="L117" s="1955"/>
      <c r="M117" s="101"/>
      <c r="N117" s="6"/>
      <c r="O117" s="10"/>
      <c r="P117" s="10"/>
      <c r="Q117" s="10"/>
      <c r="R117" s="10"/>
      <c r="S117" s="10"/>
      <c r="T117" s="10"/>
      <c r="U117" s="10"/>
      <c r="V117" s="10"/>
      <c r="W117" s="10"/>
      <c r="X117" s="10"/>
      <c r="Y117" s="10"/>
      <c r="Z117" s="10"/>
      <c r="AA117" s="10"/>
      <c r="AB117" s="10"/>
      <c r="AC117" s="10"/>
    </row>
    <row r="118" spans="1:29" ht="14.25" customHeight="1" x14ac:dyDescent="0.25">
      <c r="A118" s="972">
        <f>IF(A117=2,2,0)</f>
        <v>2</v>
      </c>
      <c r="B118" s="16"/>
      <c r="C118" s="130"/>
      <c r="D118" s="520"/>
      <c r="E118" s="802"/>
      <c r="F118" s="1120" t="s">
        <v>167</v>
      </c>
      <c r="G118" s="1794"/>
      <c r="H118" s="1794"/>
      <c r="I118" s="1794"/>
      <c r="J118" s="1794"/>
      <c r="K118" s="1794"/>
      <c r="L118" s="1956"/>
      <c r="M118" s="101"/>
      <c r="N118" s="6"/>
      <c r="O118" s="10"/>
      <c r="P118" s="10"/>
      <c r="Q118" s="10"/>
      <c r="R118" s="10"/>
      <c r="S118" s="10"/>
      <c r="T118" s="10"/>
      <c r="U118" s="10"/>
      <c r="V118" s="10"/>
      <c r="W118" s="10"/>
      <c r="X118" s="10"/>
      <c r="Y118" s="10"/>
      <c r="Z118" s="10"/>
      <c r="AA118" s="10"/>
      <c r="AB118" s="10"/>
      <c r="AC118" s="10"/>
    </row>
    <row r="119" spans="1:29" ht="14.25" customHeight="1" x14ac:dyDescent="0.25">
      <c r="A119" s="972">
        <f>IF(A118=2,2,0)</f>
        <v>2</v>
      </c>
      <c r="B119" s="16"/>
      <c r="C119" s="130"/>
      <c r="D119" s="520"/>
      <c r="E119" s="802"/>
      <c r="F119" s="1120" t="s">
        <v>710</v>
      </c>
      <c r="G119" s="1791"/>
      <c r="H119" s="1791"/>
      <c r="I119" s="1791"/>
      <c r="J119" s="1791"/>
      <c r="K119" s="1791"/>
      <c r="L119" s="1953"/>
      <c r="M119" s="101"/>
      <c r="N119" s="6"/>
      <c r="O119" s="10"/>
      <c r="P119" s="10"/>
      <c r="Q119" s="10"/>
      <c r="R119" s="10"/>
      <c r="S119" s="10"/>
      <c r="T119" s="10"/>
      <c r="U119" s="10"/>
      <c r="V119" s="10"/>
      <c r="W119" s="10"/>
      <c r="X119" s="10"/>
      <c r="Y119" s="10"/>
      <c r="Z119" s="10"/>
      <c r="AA119" s="10"/>
      <c r="AB119" s="10"/>
      <c r="AC119" s="10"/>
    </row>
    <row r="120" spans="1:29" ht="8.1" customHeight="1" x14ac:dyDescent="0.25">
      <c r="A120" s="972">
        <f>A122</f>
        <v>2</v>
      </c>
      <c r="B120" s="16"/>
      <c r="C120" s="130"/>
      <c r="D120" s="520"/>
      <c r="E120" s="802"/>
      <c r="F120" s="802"/>
      <c r="G120" s="1797">
        <f t="shared" ref="G120:L120" si="39">IF(AND(G123=0,G124=0,G125=0),0,IF(G123&lt;&gt;0,G123,IF(G124&lt;&gt;0,IF(dpUnit_Sales="Net Rentable Area",(G124/G$12)/G$54,(G124/G$13)/G$54),IF(dpUnit_Sales="Net Rentable Area",G125/G$54,G125/G$54))))</f>
        <v>0</v>
      </c>
      <c r="H120" s="1797">
        <f t="shared" si="39"/>
        <v>0</v>
      </c>
      <c r="I120" s="1797">
        <f t="shared" si="39"/>
        <v>0</v>
      </c>
      <c r="J120" s="1797">
        <f t="shared" si="39"/>
        <v>0</v>
      </c>
      <c r="K120" s="1797">
        <f t="shared" si="39"/>
        <v>0</v>
      </c>
      <c r="L120" s="1959">
        <f t="shared" si="39"/>
        <v>0</v>
      </c>
      <c r="M120" s="101"/>
      <c r="N120" s="6"/>
      <c r="O120" s="10"/>
      <c r="P120" s="10"/>
      <c r="Q120" s="10"/>
      <c r="R120" s="10"/>
      <c r="S120" s="10"/>
      <c r="T120" s="10"/>
      <c r="U120" s="10"/>
      <c r="V120" s="10"/>
      <c r="W120" s="10"/>
      <c r="X120" s="10"/>
      <c r="Y120" s="10"/>
      <c r="Z120" s="10"/>
      <c r="AA120" s="10"/>
      <c r="AB120" s="10"/>
      <c r="AC120" s="10"/>
    </row>
    <row r="121" spans="1:29" x14ac:dyDescent="0.25">
      <c r="A121" s="972">
        <f>A122</f>
        <v>2</v>
      </c>
      <c r="B121" s="16"/>
      <c r="C121" s="130"/>
      <c r="D121" s="1489" t="s">
        <v>1409</v>
      </c>
      <c r="E121" s="802"/>
      <c r="F121" s="2196" t="str">
        <f ca="1">dpIncome_Lease_AvgRemTerm</f>
        <v/>
      </c>
      <c r="G121" s="2197">
        <f t="shared" ref="G121:L121" ca="1" si="40">HLOOKUP(G$7,OFFSET(dpSales_SummaryTableB2_Detailed,1,),31,FALSE)</f>
        <v>0</v>
      </c>
      <c r="H121" s="2197">
        <f t="shared" ca="1" si="40"/>
        <v>0</v>
      </c>
      <c r="I121" s="2197">
        <f t="shared" ca="1" si="40"/>
        <v>0</v>
      </c>
      <c r="J121" s="2197">
        <f t="shared" ca="1" si="40"/>
        <v>0</v>
      </c>
      <c r="K121" s="2197">
        <f t="shared" ca="1" si="40"/>
        <v>0</v>
      </c>
      <c r="L121" s="2198">
        <f t="shared" ca="1" si="40"/>
        <v>0</v>
      </c>
      <c r="M121" s="101"/>
      <c r="N121" s="6"/>
      <c r="O121" s="10"/>
      <c r="P121" s="10"/>
      <c r="Q121" s="10"/>
      <c r="R121" s="10"/>
      <c r="S121" s="10"/>
      <c r="T121" s="10"/>
      <c r="U121" s="10"/>
      <c r="V121" s="10"/>
      <c r="W121" s="10"/>
      <c r="X121" s="10"/>
      <c r="Y121" s="10"/>
      <c r="Z121" s="10"/>
      <c r="AA121" s="10"/>
      <c r="AB121" s="10"/>
      <c r="AC121" s="10"/>
    </row>
    <row r="122" spans="1:29" ht="14.25" customHeight="1" x14ac:dyDescent="0.25">
      <c r="A122" s="972">
        <f>IF(B122=TRUE,1,2)</f>
        <v>2</v>
      </c>
      <c r="B122" s="16" t="b">
        <v>0</v>
      </c>
      <c r="C122" s="130"/>
      <c r="D122" s="1490" t="str">
        <f>IF(Sales_AdjType&lt;&gt;"Qualitative","Adjustment","Relative Comparison")</f>
        <v>Adjustment</v>
      </c>
      <c r="E122" s="802"/>
      <c r="F122" s="1127"/>
      <c r="G122" s="1796">
        <f t="shared" ref="G122:L122" si="41">IF(Sales_AdjType="Percent",IF(AND(G123=0,G124=0,G125=0),0,IF(G123&lt;&gt;0,G123,IF(G124&lt;&gt;0,IF(dpUnit_Sales="Net Rentable Area",(G124/G$12)/G$54,(G124/G$13)/G$54),IF(dpUnit_Sales="Net Rentable Area",G125/G$54,G125/G$54)))),IF(Sales_AdjType="$ per Unit",IF(AND(G123=0,G124=0,G125=0),0,IF(G123&lt;&gt;0,G123*G$54,IF(G124&lt;&gt;0,IF(dpUnit_Sales="Net Rentable Area",G124/G$12,G124/G$13),G125))),IF(OR(G123&gt;0,G124&gt;0,G125&gt;0),"Inferior",IF(OR(G123&lt;0,G124&lt;0,G125&lt;0),"Superior","Similar"))))</f>
        <v>0</v>
      </c>
      <c r="H122" s="1796">
        <f t="shared" si="41"/>
        <v>0</v>
      </c>
      <c r="I122" s="1796">
        <f t="shared" si="41"/>
        <v>0</v>
      </c>
      <c r="J122" s="1796">
        <f t="shared" si="41"/>
        <v>0</v>
      </c>
      <c r="K122" s="1796">
        <f t="shared" si="41"/>
        <v>0</v>
      </c>
      <c r="L122" s="1958">
        <f t="shared" si="41"/>
        <v>0</v>
      </c>
      <c r="M122" s="101"/>
      <c r="N122" s="6"/>
      <c r="O122" s="10"/>
      <c r="P122" s="10"/>
      <c r="Q122" s="10"/>
      <c r="R122" s="10"/>
      <c r="S122" s="10"/>
      <c r="T122" s="10"/>
      <c r="U122" s="10"/>
      <c r="V122" s="10"/>
      <c r="W122" s="10"/>
      <c r="X122" s="10"/>
      <c r="Y122" s="10"/>
      <c r="Z122" s="10"/>
      <c r="AA122" s="10"/>
      <c r="AB122" s="10"/>
      <c r="AC122" s="10"/>
    </row>
    <row r="123" spans="1:29" ht="14.25" customHeight="1" x14ac:dyDescent="0.25">
      <c r="A123" s="972">
        <f>IF(A122=2,2,0)</f>
        <v>2</v>
      </c>
      <c r="B123" s="16"/>
      <c r="C123" s="130"/>
      <c r="D123" s="1720"/>
      <c r="E123" s="802"/>
      <c r="F123" s="1120" t="s">
        <v>166</v>
      </c>
      <c r="G123" s="1793"/>
      <c r="H123" s="1793"/>
      <c r="I123" s="1793"/>
      <c r="J123" s="1793"/>
      <c r="K123" s="1793"/>
      <c r="L123" s="1955"/>
      <c r="M123" s="101"/>
      <c r="N123" s="6"/>
      <c r="O123" s="10"/>
      <c r="P123" s="10"/>
      <c r="Q123" s="10"/>
      <c r="R123" s="10"/>
      <c r="S123" s="10"/>
      <c r="T123" s="10"/>
      <c r="U123" s="10"/>
      <c r="V123" s="10"/>
      <c r="W123" s="10"/>
      <c r="X123" s="10"/>
      <c r="Y123" s="10"/>
      <c r="Z123" s="10"/>
      <c r="AA123" s="10"/>
      <c r="AB123" s="10"/>
      <c r="AC123" s="10"/>
    </row>
    <row r="124" spans="1:29" ht="14.25" customHeight="1" x14ac:dyDescent="0.25">
      <c r="A124" s="972">
        <f>IF(A123=2,2,0)</f>
        <v>2</v>
      </c>
      <c r="B124" s="16"/>
      <c r="C124" s="130"/>
      <c r="D124" s="1720"/>
      <c r="E124" s="802"/>
      <c r="F124" s="1120" t="s">
        <v>167</v>
      </c>
      <c r="G124" s="1794"/>
      <c r="H124" s="1794"/>
      <c r="I124" s="1794"/>
      <c r="J124" s="1794"/>
      <c r="K124" s="1794"/>
      <c r="L124" s="1956"/>
      <c r="M124" s="101"/>
      <c r="N124" s="6"/>
      <c r="O124" s="10"/>
      <c r="P124" s="10"/>
      <c r="Q124" s="10"/>
      <c r="R124" s="10"/>
      <c r="S124" s="10"/>
      <c r="T124" s="10"/>
      <c r="U124" s="10"/>
      <c r="V124" s="10"/>
      <c r="W124" s="10"/>
      <c r="X124" s="10"/>
      <c r="Y124" s="10"/>
      <c r="Z124" s="10"/>
      <c r="AA124" s="10"/>
      <c r="AB124" s="10"/>
      <c r="AC124" s="10"/>
    </row>
    <row r="125" spans="1:29" ht="14.25" customHeight="1" x14ac:dyDescent="0.25">
      <c r="A125" s="972">
        <f>IF(A124=2,2,0)</f>
        <v>2</v>
      </c>
      <c r="B125" s="16"/>
      <c r="C125" s="130"/>
      <c r="D125" s="520"/>
      <c r="E125" s="802"/>
      <c r="F125" s="1120" t="s">
        <v>710</v>
      </c>
      <c r="G125" s="1791"/>
      <c r="H125" s="1791"/>
      <c r="I125" s="1791"/>
      <c r="J125" s="1791"/>
      <c r="K125" s="1791"/>
      <c r="L125" s="1953"/>
      <c r="M125" s="101"/>
      <c r="N125" s="6"/>
      <c r="O125" s="10"/>
      <c r="P125" s="10"/>
      <c r="Q125" s="10"/>
      <c r="R125" s="10"/>
      <c r="S125" s="10"/>
      <c r="T125" s="10"/>
      <c r="U125" s="10"/>
      <c r="V125" s="10"/>
      <c r="W125" s="10"/>
      <c r="X125" s="10"/>
      <c r="Y125" s="10"/>
      <c r="Z125" s="10"/>
      <c r="AA125" s="10"/>
      <c r="AB125" s="10"/>
      <c r="AC125" s="10"/>
    </row>
    <row r="126" spans="1:29" ht="8.1" customHeight="1" x14ac:dyDescent="0.25">
      <c r="A126" s="972">
        <f>A128</f>
        <v>2</v>
      </c>
      <c r="B126" s="16"/>
      <c r="C126" s="130"/>
      <c r="D126" s="520"/>
      <c r="E126" s="802"/>
      <c r="F126" s="802"/>
      <c r="G126" s="1797">
        <f t="shared" ref="G126:L126" si="42">IF(AND(G129=0,G130=0,G131=0),0,IF(G129&lt;&gt;0,G129,IF(G130&lt;&gt;0,IF(dpUnit_Sales_2="Net Rentable Area",(G130/G$12)/G$54,(G130/G$13)/G$54),IF(dpUnit_Sales_2="Net Rentable Area",G131/G$54,G131/G$54))))</f>
        <v>0</v>
      </c>
      <c r="H126" s="1797">
        <f t="shared" si="42"/>
        <v>0</v>
      </c>
      <c r="I126" s="1797">
        <f t="shared" si="42"/>
        <v>0</v>
      </c>
      <c r="J126" s="1797">
        <f t="shared" si="42"/>
        <v>0</v>
      </c>
      <c r="K126" s="1797">
        <f t="shared" si="42"/>
        <v>0</v>
      </c>
      <c r="L126" s="1959">
        <f t="shared" si="42"/>
        <v>0</v>
      </c>
      <c r="M126" s="101"/>
      <c r="N126" s="6"/>
      <c r="O126" s="10"/>
      <c r="P126" s="10"/>
      <c r="Q126" s="10"/>
      <c r="R126" s="10"/>
      <c r="S126" s="10"/>
      <c r="T126" s="10"/>
      <c r="U126" s="10"/>
      <c r="V126" s="10"/>
      <c r="W126" s="10"/>
      <c r="X126" s="10"/>
      <c r="Y126" s="10"/>
      <c r="Z126" s="10"/>
      <c r="AA126" s="10"/>
      <c r="AB126" s="10"/>
      <c r="AC126" s="10"/>
    </row>
    <row r="127" spans="1:29" x14ac:dyDescent="0.25">
      <c r="A127" s="972">
        <f>A128</f>
        <v>2</v>
      </c>
      <c r="B127" s="16"/>
      <c r="C127" s="130"/>
      <c r="D127" s="1489" t="s">
        <v>1019</v>
      </c>
      <c r="E127" s="802"/>
      <c r="F127" s="1170"/>
      <c r="G127" s="1789"/>
      <c r="H127" s="1789"/>
      <c r="I127" s="1789"/>
      <c r="J127" s="1789"/>
      <c r="K127" s="1789"/>
      <c r="L127" s="1168"/>
      <c r="M127" s="101"/>
      <c r="N127" s="6"/>
      <c r="O127" s="10"/>
      <c r="P127" s="10"/>
      <c r="Q127" s="10"/>
      <c r="R127" s="10"/>
      <c r="S127" s="10"/>
      <c r="T127" s="10"/>
      <c r="U127" s="10"/>
      <c r="V127" s="10"/>
      <c r="W127" s="10"/>
      <c r="X127" s="10"/>
      <c r="Y127" s="10"/>
      <c r="Z127" s="10"/>
      <c r="AA127" s="10"/>
      <c r="AB127" s="10"/>
      <c r="AC127" s="10"/>
    </row>
    <row r="128" spans="1:29" ht="14.25" customHeight="1" x14ac:dyDescent="0.25">
      <c r="A128" s="972">
        <f>IF(B128=TRUE,1,2)</f>
        <v>2</v>
      </c>
      <c r="B128" s="16" t="b">
        <v>0</v>
      </c>
      <c r="C128" s="130"/>
      <c r="D128" s="1490" t="str">
        <f>IF(Sales_AdjType&lt;&gt;"Qualitative","Adjustment","Relative Comparison")</f>
        <v>Adjustment</v>
      </c>
      <c r="E128" s="802"/>
      <c r="F128" s="1127"/>
      <c r="G128" s="1796">
        <f t="shared" ref="G128:L128" si="43">IF(Sales_AdjType_2="Percent",IF(AND(G129=0,G130=0,G131=0),0,IF(G129&lt;&gt;0,G129,IF(G130&lt;&gt;0,IF(Sales_AdjType_2="Net Rentable Area",(G130/G$12)/G$54,(G130/G$13)/G$54),IF(Sales_AdjType_2="Net Rentable Area",G131/G$54,G131/G$54)))),IF(Sales_AdjType_2="$ per Unit",IF(AND(G129=0,G130=0,G131=0),0,IF(G129&lt;&gt;0,G129*G$54,IF(G130&lt;&gt;0,IF(Sales_AdjType_2="Net Rentable Area",G130/G$12,G130/G$13),G131))),IF(OR(G129&gt;0,G130&gt;0,G131&gt;0),"Inferior",IF(OR(G129&lt;0,G130&lt;0,G131&lt;0),"Superior","Similar"))))</f>
        <v>0</v>
      </c>
      <c r="H128" s="1796">
        <f t="shared" si="43"/>
        <v>0</v>
      </c>
      <c r="I128" s="1796">
        <f t="shared" si="43"/>
        <v>0</v>
      </c>
      <c r="J128" s="1796">
        <f t="shared" si="43"/>
        <v>0</v>
      </c>
      <c r="K128" s="1796">
        <f t="shared" si="43"/>
        <v>0</v>
      </c>
      <c r="L128" s="1958">
        <f t="shared" si="43"/>
        <v>0</v>
      </c>
      <c r="M128" s="101"/>
      <c r="N128" s="6"/>
      <c r="O128" s="10"/>
      <c r="P128" s="10"/>
      <c r="Q128" s="10"/>
      <c r="R128" s="10"/>
      <c r="S128" s="10"/>
      <c r="T128" s="10"/>
      <c r="U128" s="10"/>
      <c r="V128" s="10"/>
      <c r="W128" s="10"/>
      <c r="X128" s="10"/>
      <c r="Y128" s="10"/>
      <c r="Z128" s="10"/>
      <c r="AA128" s="10"/>
      <c r="AB128" s="10"/>
      <c r="AC128" s="10"/>
    </row>
    <row r="129" spans="1:29" ht="14.25" customHeight="1" x14ac:dyDescent="0.25">
      <c r="A129" s="972">
        <f>IF(A128=2,2,0)</f>
        <v>2</v>
      </c>
      <c r="B129" s="16"/>
      <c r="C129" s="130"/>
      <c r="D129" s="1720"/>
      <c r="E129" s="802"/>
      <c r="F129" s="1120" t="s">
        <v>166</v>
      </c>
      <c r="G129" s="1793"/>
      <c r="H129" s="1793"/>
      <c r="I129" s="1793"/>
      <c r="J129" s="1793"/>
      <c r="K129" s="1793"/>
      <c r="L129" s="1955"/>
      <c r="M129" s="101"/>
      <c r="N129" s="6"/>
      <c r="O129" s="10"/>
      <c r="P129" s="10"/>
      <c r="Q129" s="10"/>
      <c r="R129" s="10"/>
      <c r="S129" s="10"/>
      <c r="T129" s="10"/>
      <c r="U129" s="10"/>
      <c r="V129" s="10"/>
      <c r="W129" s="10"/>
      <c r="X129" s="10"/>
      <c r="Y129" s="10"/>
      <c r="Z129" s="10"/>
      <c r="AA129" s="10"/>
      <c r="AB129" s="10"/>
      <c r="AC129" s="10"/>
    </row>
    <row r="130" spans="1:29" ht="14.25" customHeight="1" x14ac:dyDescent="0.25">
      <c r="A130" s="972">
        <f>IF(A129=2,2,0)</f>
        <v>2</v>
      </c>
      <c r="B130" s="16"/>
      <c r="C130" s="130"/>
      <c r="D130" s="1720"/>
      <c r="E130" s="802"/>
      <c r="F130" s="1120" t="s">
        <v>167</v>
      </c>
      <c r="G130" s="1794"/>
      <c r="H130" s="1794"/>
      <c r="I130" s="1794"/>
      <c r="J130" s="1794"/>
      <c r="K130" s="1794"/>
      <c r="L130" s="1956"/>
      <c r="M130" s="101"/>
      <c r="N130" s="6"/>
      <c r="O130" s="10"/>
      <c r="P130" s="10"/>
      <c r="Q130" s="10"/>
      <c r="R130" s="10"/>
      <c r="S130" s="10"/>
      <c r="T130" s="10"/>
      <c r="U130" s="10"/>
      <c r="V130" s="10"/>
      <c r="W130" s="10"/>
      <c r="X130" s="10"/>
      <c r="Y130" s="10"/>
      <c r="Z130" s="10"/>
      <c r="AA130" s="10"/>
      <c r="AB130" s="10"/>
      <c r="AC130" s="10"/>
    </row>
    <row r="131" spans="1:29" ht="14.25" customHeight="1" x14ac:dyDescent="0.25">
      <c r="A131" s="972">
        <f>IF(A130=2,2,0)</f>
        <v>2</v>
      </c>
      <c r="B131" s="16"/>
      <c r="C131" s="130"/>
      <c r="D131" s="520"/>
      <c r="E131" s="802"/>
      <c r="F131" s="1120" t="s">
        <v>710</v>
      </c>
      <c r="G131" s="1791"/>
      <c r="H131" s="1791"/>
      <c r="I131" s="1791"/>
      <c r="J131" s="1791"/>
      <c r="K131" s="1791"/>
      <c r="L131" s="1953"/>
      <c r="M131" s="101"/>
      <c r="N131" s="6"/>
      <c r="O131" s="10"/>
      <c r="P131" s="10"/>
      <c r="Q131" s="10"/>
      <c r="R131" s="10"/>
      <c r="S131" s="10"/>
      <c r="T131" s="10"/>
      <c r="U131" s="10"/>
      <c r="V131" s="10"/>
      <c r="W131" s="10"/>
      <c r="X131" s="10"/>
      <c r="Y131" s="10"/>
      <c r="Z131" s="10"/>
      <c r="AA131" s="10"/>
      <c r="AB131" s="10"/>
      <c r="AC131" s="10"/>
    </row>
    <row r="132" spans="1:29" ht="8.1" customHeight="1" x14ac:dyDescent="0.25">
      <c r="A132" s="972">
        <f>A134</f>
        <v>2</v>
      </c>
      <c r="B132" s="16"/>
      <c r="C132" s="130"/>
      <c r="D132" s="520"/>
      <c r="E132" s="802"/>
      <c r="F132" s="802"/>
      <c r="G132" s="1797">
        <f t="shared" ref="G132:L132" si="44">IF(AND(G135=0,G136=0,G137=0),0,IF(G135&lt;&gt;0,G135,IF(G136&lt;&gt;0,IF(dpUnit_Sales_2="Net Rentable Area",(G136/G$12)/G$54,(G136/G$13)/G$54),IF(dpUnit_Sales_2="Net Rentable Area",G137/G$54,G137/G$54))))</f>
        <v>0</v>
      </c>
      <c r="H132" s="1797">
        <f t="shared" si="44"/>
        <v>0</v>
      </c>
      <c r="I132" s="1797">
        <f t="shared" si="44"/>
        <v>0</v>
      </c>
      <c r="J132" s="1797">
        <f t="shared" si="44"/>
        <v>0</v>
      </c>
      <c r="K132" s="1797">
        <f t="shared" si="44"/>
        <v>0</v>
      </c>
      <c r="L132" s="1959">
        <f t="shared" si="44"/>
        <v>0</v>
      </c>
      <c r="M132" s="101"/>
      <c r="N132" s="6"/>
      <c r="O132" s="10"/>
      <c r="P132" s="10"/>
      <c r="Q132" s="10"/>
      <c r="R132" s="10"/>
      <c r="S132" s="10"/>
      <c r="T132" s="10"/>
      <c r="U132" s="10"/>
      <c r="V132" s="10"/>
      <c r="W132" s="10"/>
      <c r="X132" s="10"/>
      <c r="Y132" s="10"/>
      <c r="Z132" s="10"/>
      <c r="AA132" s="10"/>
      <c r="AB132" s="10"/>
      <c r="AC132" s="10"/>
    </row>
    <row r="133" spans="1:29" x14ac:dyDescent="0.25">
      <c r="A133" s="972">
        <f>A134</f>
        <v>2</v>
      </c>
      <c r="B133" s="575"/>
      <c r="C133" s="130"/>
      <c r="D133" s="1493" t="s">
        <v>103</v>
      </c>
      <c r="E133" s="802"/>
      <c r="F133" s="1170"/>
      <c r="G133" s="1897"/>
      <c r="H133" s="1897"/>
      <c r="I133" s="1897"/>
      <c r="J133" s="1897"/>
      <c r="K133" s="1897"/>
      <c r="L133" s="1989"/>
      <c r="M133" s="765"/>
      <c r="N133" s="6"/>
      <c r="O133" s="10"/>
      <c r="P133" s="10"/>
      <c r="Q133" s="10"/>
      <c r="R133" s="10"/>
      <c r="S133" s="10"/>
      <c r="T133" s="10"/>
      <c r="U133" s="10"/>
      <c r="V133" s="10"/>
      <c r="W133" s="10"/>
      <c r="X133" s="10"/>
      <c r="Y133" s="10"/>
      <c r="Z133" s="10"/>
      <c r="AA133" s="10"/>
      <c r="AB133" s="10"/>
      <c r="AC133" s="10"/>
    </row>
    <row r="134" spans="1:29" ht="15" customHeight="1" x14ac:dyDescent="0.25">
      <c r="A134" s="972">
        <f>IF(B134=TRUE,1,2)</f>
        <v>2</v>
      </c>
      <c r="B134" s="16" t="b">
        <v>0</v>
      </c>
      <c r="C134" s="130"/>
      <c r="D134" s="1490" t="str">
        <f>IF(Sales_AdjType&lt;&gt;"Qualitative","Adjustment","Relative Comparison")</f>
        <v>Adjustment</v>
      </c>
      <c r="E134" s="802"/>
      <c r="F134" s="1127"/>
      <c r="G134" s="1796">
        <f t="shared" ref="G134:L134" si="45">IF(Sales_AdjType_2="Percent",IF(AND(G135=0,G136=0,G137=0),0,IF(G135&lt;&gt;0,G135,IF(G136&lt;&gt;0,IF(Sales_AdjType_2="Net Rentable Area",(G136/G$12)/G$54,(G136/G$13)/G$54),IF(Sales_AdjType_2="Net Rentable Area",G137/G$54,G137/G$54)))),IF(Sales_AdjType_2="$ per Unit",IF(AND(G135=0,G136=0,G137=0),0,IF(G135&lt;&gt;0,G135*G$54,IF(G136&lt;&gt;0,IF(Sales_AdjType_2="Net Rentable Area",G136/G$12,G136/G$13),G137))),IF(OR(G135&gt;0,G136&gt;0,G137&gt;0),"Inferior",IF(OR(G135&lt;0,G136&lt;0,G137&lt;0),"Superior","Similar"))))</f>
        <v>0</v>
      </c>
      <c r="H134" s="1796">
        <f t="shared" si="45"/>
        <v>0</v>
      </c>
      <c r="I134" s="1796">
        <f t="shared" si="45"/>
        <v>0</v>
      </c>
      <c r="J134" s="1796">
        <f t="shared" si="45"/>
        <v>0</v>
      </c>
      <c r="K134" s="1796">
        <f t="shared" si="45"/>
        <v>0</v>
      </c>
      <c r="L134" s="1958">
        <f t="shared" si="45"/>
        <v>0</v>
      </c>
      <c r="M134" s="1194"/>
      <c r="N134" s="6"/>
      <c r="O134" s="10"/>
      <c r="P134" s="10"/>
      <c r="Q134" s="10"/>
      <c r="R134" s="10"/>
      <c r="S134" s="10"/>
      <c r="T134" s="10"/>
      <c r="U134" s="10"/>
      <c r="V134" s="10"/>
      <c r="W134" s="10"/>
      <c r="X134" s="10"/>
      <c r="Y134" s="10"/>
      <c r="Z134" s="10"/>
      <c r="AA134" s="10"/>
      <c r="AB134" s="10"/>
      <c r="AC134" s="10"/>
    </row>
    <row r="135" spans="1:29" ht="15" customHeight="1" x14ac:dyDescent="0.25">
      <c r="A135" s="972">
        <f>IF(A134=2,2,0)</f>
        <v>2</v>
      </c>
      <c r="B135" s="575"/>
      <c r="C135" s="130"/>
      <c r="D135" s="520"/>
      <c r="E135" s="802"/>
      <c r="F135" s="1120" t="s">
        <v>166</v>
      </c>
      <c r="G135" s="1793"/>
      <c r="H135" s="1793"/>
      <c r="I135" s="1793"/>
      <c r="J135" s="1793"/>
      <c r="K135" s="1793"/>
      <c r="L135" s="1955"/>
      <c r="M135" s="136"/>
      <c r="N135" s="6"/>
      <c r="O135" s="10"/>
      <c r="P135" s="10"/>
      <c r="Q135" s="10"/>
      <c r="R135" s="10"/>
      <c r="S135" s="10"/>
      <c r="T135" s="10"/>
      <c r="U135" s="10"/>
      <c r="V135" s="10"/>
      <c r="W135" s="10"/>
      <c r="X135" s="10"/>
      <c r="Y135" s="10"/>
      <c r="Z135" s="10"/>
      <c r="AA135" s="10"/>
      <c r="AB135" s="10"/>
      <c r="AC135" s="10"/>
    </row>
    <row r="136" spans="1:29" ht="15" customHeight="1" x14ac:dyDescent="0.25">
      <c r="A136" s="972">
        <f>IF(A135=2,2,0)</f>
        <v>2</v>
      </c>
      <c r="B136" s="575"/>
      <c r="C136" s="130"/>
      <c r="D136" s="1720"/>
      <c r="E136" s="802"/>
      <c r="F136" s="1120" t="s">
        <v>167</v>
      </c>
      <c r="G136" s="1794"/>
      <c r="H136" s="1794"/>
      <c r="I136" s="1794"/>
      <c r="J136" s="1794"/>
      <c r="K136" s="1794"/>
      <c r="L136" s="1956"/>
      <c r="M136" s="1152"/>
      <c r="N136" s="6"/>
      <c r="O136" s="10"/>
      <c r="P136" s="10"/>
      <c r="Q136" s="10"/>
      <c r="R136" s="10"/>
      <c r="S136" s="10"/>
      <c r="T136" s="10"/>
      <c r="U136" s="10"/>
      <c r="V136" s="10"/>
      <c r="W136" s="10"/>
      <c r="X136" s="10"/>
      <c r="Y136" s="10"/>
      <c r="Z136" s="10"/>
      <c r="AA136" s="10"/>
      <c r="AB136" s="10"/>
      <c r="AC136" s="10"/>
    </row>
    <row r="137" spans="1:29" ht="15" customHeight="1" x14ac:dyDescent="0.25">
      <c r="A137" s="972">
        <f>IF(A136=2,2,0)</f>
        <v>2</v>
      </c>
      <c r="B137" s="575"/>
      <c r="C137" s="130"/>
      <c r="D137" s="520"/>
      <c r="E137" s="802"/>
      <c r="F137" s="1120" t="s">
        <v>710</v>
      </c>
      <c r="G137" s="1791"/>
      <c r="H137" s="1791"/>
      <c r="I137" s="1791"/>
      <c r="J137" s="1791"/>
      <c r="K137" s="1791"/>
      <c r="L137" s="1953"/>
      <c r="M137" s="1153"/>
      <c r="N137" s="6"/>
      <c r="O137" s="10"/>
      <c r="P137" s="10"/>
      <c r="Q137" s="10"/>
      <c r="R137" s="10"/>
      <c r="S137" s="10"/>
      <c r="T137" s="10"/>
      <c r="U137" s="10"/>
      <c r="V137" s="10"/>
      <c r="W137" s="10"/>
      <c r="X137" s="10"/>
      <c r="Y137" s="10"/>
      <c r="Z137" s="10"/>
      <c r="AA137" s="10"/>
      <c r="AB137" s="10"/>
      <c r="AC137" s="10"/>
    </row>
    <row r="138" spans="1:29" ht="7.5" customHeight="1" x14ac:dyDescent="0.25">
      <c r="A138" s="972">
        <f>A140</f>
        <v>2</v>
      </c>
      <c r="B138" s="16"/>
      <c r="C138" s="130"/>
      <c r="D138" s="520"/>
      <c r="E138" s="802"/>
      <c r="F138" s="1127"/>
      <c r="G138" s="1797">
        <f t="shared" ref="G138:L138" si="46">IF(AND(G141=0,G142=0,G143=0),0,IF(G141&lt;&gt;0,G141,IF(G142&lt;&gt;0,IF(dpUnit_Sales_2="Net Rentable Area",(G142/G$12)/G$54,(G142/G$13)/G$54),IF(dpUnit_Sales_2="Net Rentable Area",G143/G$54,G143/G$54))))</f>
        <v>0</v>
      </c>
      <c r="H138" s="1797">
        <f t="shared" si="46"/>
        <v>0</v>
      </c>
      <c r="I138" s="1797">
        <f t="shared" si="46"/>
        <v>0</v>
      </c>
      <c r="J138" s="1797">
        <f t="shared" si="46"/>
        <v>0</v>
      </c>
      <c r="K138" s="1797">
        <f t="shared" si="46"/>
        <v>0</v>
      </c>
      <c r="L138" s="1959">
        <f t="shared" si="46"/>
        <v>0</v>
      </c>
      <c r="M138" s="101"/>
      <c r="N138" s="6"/>
      <c r="O138" s="10"/>
      <c r="P138" s="10"/>
      <c r="Q138" s="10"/>
      <c r="R138" s="10"/>
      <c r="S138" s="10"/>
      <c r="T138" s="10"/>
      <c r="U138" s="10"/>
      <c r="V138" s="10"/>
      <c r="W138" s="10"/>
      <c r="X138" s="10"/>
      <c r="Y138" s="10"/>
      <c r="Z138" s="10"/>
      <c r="AA138" s="10"/>
      <c r="AB138" s="10"/>
      <c r="AC138" s="10"/>
    </row>
    <row r="139" spans="1:29" x14ac:dyDescent="0.25">
      <c r="A139" s="972">
        <f>A140</f>
        <v>2</v>
      </c>
      <c r="B139" s="575"/>
      <c r="C139" s="130"/>
      <c r="D139" s="1493" t="s">
        <v>104</v>
      </c>
      <c r="E139" s="802"/>
      <c r="F139" s="1170"/>
      <c r="G139" s="1799"/>
      <c r="H139" s="1831"/>
      <c r="I139" s="1799"/>
      <c r="J139" s="1799"/>
      <c r="K139" s="1799"/>
      <c r="L139" s="1961"/>
      <c r="M139" s="765"/>
      <c r="N139" s="6"/>
      <c r="O139" s="10"/>
      <c r="P139" s="10"/>
      <c r="Q139" s="10"/>
      <c r="R139" s="10"/>
      <c r="S139" s="10"/>
      <c r="T139" s="10"/>
      <c r="U139" s="10"/>
      <c r="V139" s="10"/>
      <c r="W139" s="10"/>
      <c r="X139" s="10"/>
      <c r="Y139" s="10"/>
      <c r="Z139" s="10"/>
      <c r="AA139" s="10"/>
      <c r="AB139" s="10"/>
      <c r="AC139" s="10"/>
    </row>
    <row r="140" spans="1:29" ht="15" customHeight="1" x14ac:dyDescent="0.25">
      <c r="A140" s="972">
        <f>IF(B140=TRUE,1,2)</f>
        <v>2</v>
      </c>
      <c r="B140" s="16" t="b">
        <v>0</v>
      </c>
      <c r="C140" s="130"/>
      <c r="D140" s="1490" t="str">
        <f>IF(Sales_AdjType&lt;&gt;"Qualitative","Adjustment","Relative Comparison")</f>
        <v>Adjustment</v>
      </c>
      <c r="E140" s="802"/>
      <c r="F140" s="1127"/>
      <c r="G140" s="1796">
        <f t="shared" ref="G140:L140" si="47">IF(Sales_AdjType_2="Percent",IF(AND(G141=0,G142=0,G143=0),0,IF(G141&lt;&gt;0,G141,IF(G142&lt;&gt;0,IF(Sales_AdjType_2="Net Rentable Area",(G142/G$12)/G$54,(G142/G$13)/G$54),IF(Sales_AdjType_2="Net Rentable Area",G143/G$54,G143/G$54)))),IF(Sales_AdjType_2="$ per Unit",IF(AND(G141=0,G142=0,G143=0),0,IF(G141&lt;&gt;0,G141*G$54,IF(G142&lt;&gt;0,IF(Sales_AdjType_2="Net Rentable Area",G142/G$12,G142/G$13),G143))),IF(OR(G141&gt;0,G142&gt;0,G143&gt;0),"Inferior",IF(OR(G141&lt;0,G142&lt;0,G143&lt;0),"Superior","Similar"))))</f>
        <v>0</v>
      </c>
      <c r="H140" s="1796">
        <f t="shared" si="47"/>
        <v>0</v>
      </c>
      <c r="I140" s="1796">
        <f t="shared" si="47"/>
        <v>0</v>
      </c>
      <c r="J140" s="1796">
        <f t="shared" si="47"/>
        <v>0</v>
      </c>
      <c r="K140" s="1796">
        <f t="shared" si="47"/>
        <v>0</v>
      </c>
      <c r="L140" s="1958">
        <f t="shared" si="47"/>
        <v>0</v>
      </c>
      <c r="M140" s="1194"/>
      <c r="N140" s="6"/>
      <c r="O140" s="10"/>
      <c r="P140" s="10"/>
      <c r="Q140" s="10"/>
      <c r="R140" s="10"/>
      <c r="S140" s="10"/>
      <c r="T140" s="10"/>
      <c r="U140" s="10"/>
      <c r="V140" s="10"/>
      <c r="W140" s="10"/>
      <c r="X140" s="10"/>
      <c r="Y140" s="10"/>
      <c r="Z140" s="10"/>
      <c r="AA140" s="10"/>
      <c r="AB140" s="10"/>
      <c r="AC140" s="10"/>
    </row>
    <row r="141" spans="1:29" ht="15" customHeight="1" x14ac:dyDescent="0.25">
      <c r="A141" s="972">
        <f>IF(A140=2,2,0)</f>
        <v>2</v>
      </c>
      <c r="B141" s="575"/>
      <c r="C141" s="130"/>
      <c r="D141" s="520"/>
      <c r="E141" s="802"/>
      <c r="F141" s="1120" t="s">
        <v>166</v>
      </c>
      <c r="G141" s="1793"/>
      <c r="H141" s="1793"/>
      <c r="I141" s="1793"/>
      <c r="J141" s="1793"/>
      <c r="K141" s="1793"/>
      <c r="L141" s="1955"/>
      <c r="M141" s="136"/>
      <c r="N141" s="6"/>
      <c r="O141" s="10"/>
      <c r="P141" s="10"/>
      <c r="Q141" s="10"/>
      <c r="R141" s="10"/>
      <c r="S141" s="10"/>
      <c r="T141" s="10"/>
      <c r="U141" s="10"/>
      <c r="V141" s="10"/>
      <c r="W141" s="10"/>
      <c r="X141" s="10"/>
      <c r="Y141" s="10"/>
      <c r="Z141" s="10"/>
      <c r="AA141" s="10"/>
      <c r="AB141" s="10"/>
      <c r="AC141" s="10"/>
    </row>
    <row r="142" spans="1:29" ht="15" customHeight="1" x14ac:dyDescent="0.25">
      <c r="A142" s="972">
        <f>IF(A141=2,2,0)</f>
        <v>2</v>
      </c>
      <c r="B142" s="575"/>
      <c r="C142" s="130"/>
      <c r="D142" s="1720"/>
      <c r="E142" s="802"/>
      <c r="F142" s="1120" t="s">
        <v>167</v>
      </c>
      <c r="G142" s="1794"/>
      <c r="H142" s="1794"/>
      <c r="I142" s="1794"/>
      <c r="J142" s="1794"/>
      <c r="K142" s="1794"/>
      <c r="L142" s="1956"/>
      <c r="M142" s="1152"/>
      <c r="N142" s="6"/>
      <c r="O142" s="10"/>
      <c r="P142" s="10"/>
      <c r="Q142" s="10"/>
      <c r="R142" s="10"/>
      <c r="S142" s="10"/>
      <c r="T142" s="10"/>
      <c r="U142" s="10"/>
      <c r="V142" s="10"/>
      <c r="W142" s="10"/>
      <c r="X142" s="10"/>
      <c r="Y142" s="10"/>
      <c r="Z142" s="10"/>
      <c r="AA142" s="10"/>
      <c r="AB142" s="10"/>
      <c r="AC142" s="10"/>
    </row>
    <row r="143" spans="1:29" ht="15" customHeight="1" x14ac:dyDescent="0.25">
      <c r="A143" s="972">
        <f>IF(A142=2,2,0)</f>
        <v>2</v>
      </c>
      <c r="B143" s="16"/>
      <c r="C143" s="130"/>
      <c r="D143" s="520"/>
      <c r="E143" s="802"/>
      <c r="F143" s="1120" t="s">
        <v>710</v>
      </c>
      <c r="G143" s="1791"/>
      <c r="H143" s="1791"/>
      <c r="I143" s="1791"/>
      <c r="J143" s="1791"/>
      <c r="K143" s="1791"/>
      <c r="L143" s="1953"/>
      <c r="M143" s="1153"/>
      <c r="N143" s="6"/>
      <c r="O143" s="10"/>
      <c r="P143" s="10"/>
      <c r="Q143" s="10"/>
      <c r="R143" s="10"/>
      <c r="S143" s="10"/>
      <c r="T143" s="10"/>
      <c r="U143" s="10"/>
      <c r="V143" s="10"/>
      <c r="W143" s="10"/>
      <c r="X143" s="10"/>
      <c r="Y143" s="10"/>
      <c r="Z143" s="10"/>
      <c r="AA143" s="10"/>
      <c r="AB143" s="10"/>
      <c r="AC143" s="10"/>
    </row>
    <row r="144" spans="1:29" ht="15" customHeight="1" x14ac:dyDescent="0.25">
      <c r="A144" s="972">
        <f>IF(Sales_AdjType_2="Qualitative",0,1)</f>
        <v>1</v>
      </c>
      <c r="B144" s="16"/>
      <c r="C144" s="130"/>
      <c r="D144" s="1490" t="str">
        <f>IF(Sales_AdjType&lt;&gt;"Qualitative","Net Physical Adjustment","Net Relative Comparison")</f>
        <v>Net Physical Adjustment</v>
      </c>
      <c r="E144" s="101"/>
      <c r="F144" s="765"/>
      <c r="G144" s="1898">
        <f t="shared" ref="G144:L144" si="48">IF(Sales_AdjType_2&lt;&gt;"Qualitative",SUM(G59,G65,G77,G86,G92,G98,G104,G110,G116,G122,G128,G134,G140),SUM(G55,G63,G69,G81,G90,G96,G102,G108,G114,G120,G126,G132,G138))</f>
        <v>0</v>
      </c>
      <c r="H144" s="1898">
        <f t="shared" si="48"/>
        <v>0</v>
      </c>
      <c r="I144" s="1898">
        <f t="shared" si="48"/>
        <v>0</v>
      </c>
      <c r="J144" s="1898">
        <f t="shared" si="48"/>
        <v>0</v>
      </c>
      <c r="K144" s="1898">
        <f t="shared" si="48"/>
        <v>0</v>
      </c>
      <c r="L144" s="1990">
        <f t="shared" si="48"/>
        <v>0</v>
      </c>
      <c r="M144" s="1194"/>
      <c r="N144" s="6"/>
      <c r="O144" s="10"/>
      <c r="P144" s="10"/>
      <c r="Q144" s="10"/>
      <c r="R144" s="10"/>
      <c r="S144" s="10"/>
      <c r="T144" s="10"/>
      <c r="U144" s="10"/>
      <c r="V144" s="10"/>
      <c r="W144" s="10"/>
      <c r="X144" s="10"/>
      <c r="Y144" s="10"/>
      <c r="Z144" s="10"/>
      <c r="AA144" s="10"/>
      <c r="AB144" s="10"/>
      <c r="AC144" s="10"/>
    </row>
    <row r="145" spans="1:29" ht="15" customHeight="1" x14ac:dyDescent="0.25">
      <c r="A145" s="707">
        <v>1</v>
      </c>
      <c r="B145" s="4"/>
      <c r="C145" s="101"/>
      <c r="D145" s="520" t="str">
        <f>IF(Sales_AdjType&lt;&gt;"Qualitative","Gross Physical Adjustment","Gross Relative Comparison")</f>
        <v>Gross Physical Adjustment</v>
      </c>
      <c r="E145" s="101"/>
      <c r="F145" s="101"/>
      <c r="G145" s="1899">
        <f t="shared" ref="G145:L145" si="49">IF(Sales_AdjType_2&lt;&gt;"Qualitative",SUM(ABS(G59),ABS(G65),ABS(G77),ABS(G86),ABS(G92),ABS(G98),ABS(G104),ABS(G110),ABS(G116),ABS(G122),ABS(G128),ABS(G134),ABS(G140)),SUM(ABS(G55),ABS(G63),ABS(G69),ABS(G81),ABS(G90),ABS(G96),ABS(G102),ABS(G108),ABS(G114),ABS(G120),ABS(G126),ABS(G132),ABS(G138)))</f>
        <v>0</v>
      </c>
      <c r="H145" s="1899">
        <f t="shared" si="49"/>
        <v>0</v>
      </c>
      <c r="I145" s="1899">
        <f t="shared" si="49"/>
        <v>0</v>
      </c>
      <c r="J145" s="1899">
        <f t="shared" si="49"/>
        <v>0</v>
      </c>
      <c r="K145" s="1899">
        <f t="shared" si="49"/>
        <v>0</v>
      </c>
      <c r="L145" s="1991">
        <f t="shared" si="49"/>
        <v>0</v>
      </c>
      <c r="M145" s="101"/>
      <c r="N145" s="6"/>
      <c r="O145" s="10"/>
      <c r="P145" s="10"/>
      <c r="Q145" s="10"/>
      <c r="R145" s="10"/>
      <c r="S145" s="10"/>
      <c r="T145" s="10"/>
      <c r="U145" s="10"/>
      <c r="V145" s="10"/>
      <c r="W145" s="10"/>
      <c r="X145" s="10"/>
      <c r="Y145" s="10"/>
      <c r="Z145" s="10"/>
      <c r="AA145" s="10"/>
      <c r="AB145" s="10"/>
      <c r="AC145" s="10"/>
    </row>
    <row r="146" spans="1:29" ht="14.25" customHeight="1" x14ac:dyDescent="0.25">
      <c r="A146" s="972">
        <f>IF(Sales_AdjType_2="Qualitative",1,2)</f>
        <v>2</v>
      </c>
      <c r="B146" s="16"/>
      <c r="C146" s="130"/>
      <c r="D146" s="1494" t="s">
        <v>1128</v>
      </c>
      <c r="E146" s="138"/>
      <c r="F146" s="1526"/>
      <c r="G146" s="1805" t="str">
        <f t="shared" ref="G146:L146" si="50">IF(G144&gt;0,"Inferior",IF(G144&lt;0,"Superior","Similar"))</f>
        <v>Similar</v>
      </c>
      <c r="H146" s="1805" t="str">
        <f t="shared" si="50"/>
        <v>Similar</v>
      </c>
      <c r="I146" s="1805" t="str">
        <f t="shared" si="50"/>
        <v>Similar</v>
      </c>
      <c r="J146" s="1805" t="str">
        <f t="shared" si="50"/>
        <v>Similar</v>
      </c>
      <c r="K146" s="1805" t="str">
        <f t="shared" si="50"/>
        <v>Similar</v>
      </c>
      <c r="L146" s="1967" t="str">
        <f t="shared" si="50"/>
        <v>Similar</v>
      </c>
      <c r="M146" s="1194"/>
      <c r="N146" s="6"/>
      <c r="O146" s="10"/>
      <c r="P146" s="10"/>
      <c r="Q146" s="10"/>
      <c r="R146" s="10"/>
      <c r="S146" s="10"/>
      <c r="T146" s="10"/>
      <c r="U146" s="10"/>
      <c r="V146" s="10"/>
      <c r="W146" s="10"/>
      <c r="X146" s="10"/>
      <c r="Y146" s="10"/>
      <c r="Z146" s="10"/>
      <c r="AA146" s="10"/>
      <c r="AB146" s="10"/>
      <c r="AC146" s="10"/>
    </row>
    <row r="147" spans="1:29" ht="20.100000000000001" customHeight="1" thickBot="1" x14ac:dyDescent="0.3">
      <c r="A147" s="957">
        <f>IF(Sales_AdjType_2="Qualitative",0,1)</f>
        <v>1</v>
      </c>
      <c r="B147" s="16"/>
      <c r="C147" s="130"/>
      <c r="D147" s="1725" t="str">
        <f>IF(dpSale_Method_2="Whole Property",IF(dpUnit_Sales_2="Net Rentable Area","Adjusted Sales Price PSF of NRA",IF(dpUnit_Sales_2="Gross Building Area","Adjusted Sales Price PSF of GBA","Adjusted Sales Price per Unit")),IF(dpUnit_Sales_2="Net Rentable Area","Adjusted Contributory Value of Imp. PSF of NRA",IF(dpUnit_Sales_2="Gross Building Area","Adjusted Contributory Value of Imp. PSF of GBA","Adjusted Contributory Value of Imp. per Unit")))</f>
        <v>Adjusted Sales Price PSF of NRA</v>
      </c>
      <c r="E147" s="139"/>
      <c r="F147" s="139"/>
      <c r="G147" s="1900" t="e">
        <f t="shared" ref="G147:L147" si="51">IF(Sales_AdjType_2="Percent",G54*(1+G144),IF(Sales_AdjType_2="$ per Unit",G54+G144,""))</f>
        <v>#DIV/0!</v>
      </c>
      <c r="H147" s="1900" t="e">
        <f t="shared" si="51"/>
        <v>#DIV/0!</v>
      </c>
      <c r="I147" s="1900" t="e">
        <f t="shared" si="51"/>
        <v>#DIV/0!</v>
      </c>
      <c r="J147" s="1900" t="e">
        <f t="shared" si="51"/>
        <v>#DIV/0!</v>
      </c>
      <c r="K147" s="1900" t="e">
        <f t="shared" si="51"/>
        <v>#DIV/0!</v>
      </c>
      <c r="L147" s="1992" t="e">
        <f t="shared" si="51"/>
        <v>#DIV/0!</v>
      </c>
      <c r="M147" s="101"/>
      <c r="N147" s="6"/>
      <c r="O147" s="10"/>
      <c r="P147" s="10"/>
      <c r="Q147" s="10"/>
      <c r="R147" s="10"/>
      <c r="S147" s="10"/>
      <c r="T147" s="10"/>
      <c r="U147" s="10"/>
      <c r="V147" s="10"/>
      <c r="W147" s="10"/>
      <c r="X147" s="10"/>
      <c r="Y147" s="10"/>
      <c r="Z147" s="10"/>
      <c r="AA147" s="10"/>
      <c r="AB147" s="10"/>
      <c r="AC147" s="10"/>
    </row>
    <row r="148" spans="1:29" ht="14.25" customHeight="1" thickBot="1" x14ac:dyDescent="0.3">
      <c r="A148" s="972">
        <v>1</v>
      </c>
      <c r="B148" s="95"/>
      <c r="C148" s="7"/>
      <c r="D148" s="553" t="s">
        <v>1599</v>
      </c>
      <c r="E148" s="7"/>
      <c r="F148" s="7"/>
      <c r="G148" s="1901"/>
      <c r="H148" s="1901"/>
      <c r="I148" s="1901"/>
      <c r="J148" s="1901"/>
      <c r="K148" s="1901"/>
      <c r="L148" s="1993"/>
      <c r="M148" s="7"/>
      <c r="N148" s="9"/>
      <c r="O148" s="10"/>
      <c r="P148" s="10"/>
      <c r="Q148" s="10"/>
      <c r="R148" s="10"/>
      <c r="S148" s="10"/>
      <c r="T148" s="10"/>
      <c r="U148" s="10"/>
      <c r="V148" s="10"/>
      <c r="W148" s="10"/>
      <c r="X148" s="10"/>
      <c r="Y148" s="10"/>
      <c r="Z148" s="10"/>
      <c r="AA148" s="10"/>
      <c r="AB148" s="10"/>
      <c r="AC148" s="10"/>
    </row>
    <row r="149" spans="1:29" ht="9.9499999999999993" customHeight="1" thickBot="1" x14ac:dyDescent="0.3">
      <c r="A149" s="972">
        <v>1</v>
      </c>
      <c r="B149" s="10"/>
      <c r="C149" s="10"/>
      <c r="D149" s="10"/>
      <c r="E149" s="10"/>
      <c r="F149" s="10"/>
      <c r="G149" s="1774"/>
      <c r="H149" s="1774"/>
      <c r="I149" s="1774"/>
      <c r="J149" s="1774"/>
      <c r="K149" s="1774"/>
      <c r="L149" s="1943"/>
      <c r="M149" s="10"/>
      <c r="N149" s="10"/>
      <c r="O149" s="10"/>
      <c r="P149" s="10"/>
      <c r="Q149" s="10"/>
      <c r="R149" s="10"/>
      <c r="S149" s="10"/>
      <c r="T149" s="10"/>
      <c r="U149" s="10"/>
      <c r="V149" s="10"/>
      <c r="W149" s="10"/>
      <c r="X149" s="10"/>
      <c r="Y149" s="10"/>
      <c r="Z149" s="10"/>
      <c r="AA149" s="10"/>
      <c r="AB149" s="10"/>
      <c r="AC149" s="10"/>
    </row>
    <row r="150" spans="1:29" ht="15" customHeight="1" x14ac:dyDescent="0.25">
      <c r="A150" s="972">
        <v>1</v>
      </c>
      <c r="B150" s="10"/>
      <c r="C150" s="10"/>
      <c r="D150" s="10"/>
      <c r="E150" s="10"/>
      <c r="F150" s="10"/>
      <c r="G150" s="1902"/>
      <c r="H150" s="1774"/>
      <c r="I150" s="1774"/>
      <c r="J150" s="1774"/>
      <c r="K150" s="1774"/>
      <c r="L150" s="1943"/>
      <c r="M150" s="10"/>
      <c r="N150" s="10"/>
      <c r="O150" s="10"/>
      <c r="P150" s="561"/>
      <c r="Q150" s="562"/>
      <c r="R150" s="562"/>
      <c r="S150" s="2"/>
      <c r="T150" s="2"/>
      <c r="U150" s="2"/>
      <c r="V150" s="2"/>
      <c r="W150" s="2"/>
      <c r="X150" s="2"/>
      <c r="Y150" s="3"/>
      <c r="Z150" s="10"/>
      <c r="AA150" s="10"/>
      <c r="AB150" s="10"/>
      <c r="AC150" s="10"/>
    </row>
    <row r="151" spans="1:29" ht="15" customHeight="1" x14ac:dyDescent="0.3">
      <c r="A151" s="972">
        <v>1</v>
      </c>
      <c r="B151" s="10"/>
      <c r="C151" s="10"/>
      <c r="D151" s="10"/>
      <c r="E151" s="10"/>
      <c r="F151" s="10"/>
      <c r="G151" s="1774"/>
      <c r="H151" s="1774"/>
      <c r="I151" s="1774"/>
      <c r="J151" s="1774"/>
      <c r="K151" s="1774"/>
      <c r="L151" s="1943"/>
      <c r="M151" s="10"/>
      <c r="N151" s="10"/>
      <c r="O151" s="10"/>
      <c r="P151" s="567"/>
      <c r="Q151" s="246"/>
      <c r="R151" s="505" t="str">
        <f>CONCATENATE("Improved Sales Statistics - ",dpSales_ComponentNameB2," Component")</f>
        <v>Improved Sales Statistics -  Component</v>
      </c>
      <c r="S151" s="246"/>
      <c r="T151" s="246"/>
      <c r="U151" s="246"/>
      <c r="V151" s="246"/>
      <c r="W151" s="246"/>
      <c r="X151" s="582"/>
      <c r="Y151" s="6"/>
      <c r="Z151" s="10"/>
      <c r="AA151" s="10"/>
      <c r="AB151" s="10"/>
      <c r="AC151" s="10"/>
    </row>
    <row r="152" spans="1:29" ht="15" customHeight="1" x14ac:dyDescent="0.25">
      <c r="A152" s="972">
        <v>1</v>
      </c>
      <c r="B152" s="10"/>
      <c r="C152" s="10"/>
      <c r="D152" s="10"/>
      <c r="E152" s="10"/>
      <c r="F152" s="10"/>
      <c r="G152" s="1774"/>
      <c r="H152" s="1774"/>
      <c r="I152" s="1774"/>
      <c r="J152" s="1774"/>
      <c r="K152" s="1774"/>
      <c r="L152" s="1943"/>
      <c r="M152" s="10"/>
      <c r="N152" s="10"/>
      <c r="O152" s="10"/>
      <c r="P152" s="563"/>
      <c r="Q152" s="150"/>
      <c r="R152" s="12" t="s">
        <v>942</v>
      </c>
      <c r="S152" s="55" t="s">
        <v>655</v>
      </c>
      <c r="T152" s="55" t="s">
        <v>1370</v>
      </c>
      <c r="U152" s="55" t="s">
        <v>128</v>
      </c>
      <c r="V152" s="150"/>
      <c r="W152" s="53"/>
      <c r="X152" s="5"/>
      <c r="Y152" s="6"/>
      <c r="Z152" s="10"/>
      <c r="AA152" s="10"/>
      <c r="AB152" s="10"/>
      <c r="AC152" s="10"/>
    </row>
    <row r="153" spans="1:29" ht="15" customHeight="1" x14ac:dyDescent="0.25">
      <c r="A153" s="972">
        <v>1</v>
      </c>
      <c r="B153" s="10"/>
      <c r="C153" s="10"/>
      <c r="D153" s="10"/>
      <c r="E153" s="10"/>
      <c r="F153" s="10"/>
      <c r="G153" s="1774"/>
      <c r="H153" s="1774"/>
      <c r="I153" s="1774"/>
      <c r="J153" s="1774"/>
      <c r="K153" s="1774"/>
      <c r="L153" s="1943"/>
      <c r="M153" s="10"/>
      <c r="N153" s="10"/>
      <c r="O153" s="10"/>
      <c r="P153" s="563"/>
      <c r="Q153" s="114"/>
      <c r="R153" s="130" t="str">
        <f>IF(dpUnit_Sales_2="Units","Minimum Sale Price per Unit","Minimum Sale Price per Sq. Ft.")</f>
        <v>Minimum Sale Price per Sq. Ft.</v>
      </c>
      <c r="S153" s="1174" t="e">
        <f>MIN(Sales_UnAdjustedRange_2)</f>
        <v>#DIV/0!</v>
      </c>
      <c r="T153" s="1174" t="e">
        <f>MIN(Sales_AdjPrice2_2)</f>
        <v>#DIV/0!</v>
      </c>
      <c r="U153" s="1140" t="e">
        <f>IF(Sales_AdjType_2="Qualitative","N/A",MIN(Sales_FinalAdjustedRange_2))</f>
        <v>#DIV/0!</v>
      </c>
      <c r="V153" s="130"/>
      <c r="W153" s="5"/>
      <c r="X153" s="5"/>
      <c r="Y153" s="6"/>
      <c r="Z153" s="10"/>
      <c r="AA153" s="10"/>
      <c r="AB153" s="10"/>
      <c r="AC153" s="10"/>
    </row>
    <row r="154" spans="1:29" ht="15" customHeight="1" x14ac:dyDescent="0.25">
      <c r="A154" s="972">
        <v>1</v>
      </c>
      <c r="B154" s="10"/>
      <c r="C154" s="10"/>
      <c r="D154" s="10"/>
      <c r="E154" s="10"/>
      <c r="F154" s="10"/>
      <c r="G154" s="1774"/>
      <c r="H154" s="1774"/>
      <c r="I154" s="1774"/>
      <c r="J154" s="1774"/>
      <c r="K154" s="1774"/>
      <c r="L154" s="1943"/>
      <c r="M154" s="10"/>
      <c r="N154" s="10"/>
      <c r="O154" s="10"/>
      <c r="P154" s="563"/>
      <c r="Q154" s="114"/>
      <c r="R154" s="130" t="str">
        <f>IF(dpUnit_Sales_2="Units","Maximum Sale Price per Unit","Maximum Sale Price per Sq. Ft.")</f>
        <v>Maximum Sale Price per Sq. Ft.</v>
      </c>
      <c r="S154" s="1174" t="e">
        <f>MAX(Sales_UnAdjustedRange_2)</f>
        <v>#DIV/0!</v>
      </c>
      <c r="T154" s="1174" t="e">
        <f>MAX(Sales_AdjPrice2_2)</f>
        <v>#DIV/0!</v>
      </c>
      <c r="U154" s="1140" t="e">
        <f>IF(Sales_AdjType_2="Qualitative","N/A",MAX(Sales_FinalAdjustedRange_2))</f>
        <v>#DIV/0!</v>
      </c>
      <c r="V154" s="130"/>
      <c r="W154" s="5"/>
      <c r="X154" s="5"/>
      <c r="Y154" s="6"/>
      <c r="Z154" s="10"/>
      <c r="AA154" s="10"/>
      <c r="AB154" s="10"/>
      <c r="AC154" s="10"/>
    </row>
    <row r="155" spans="1:29" ht="15" customHeight="1" x14ac:dyDescent="0.25">
      <c r="A155" s="972">
        <v>1</v>
      </c>
      <c r="B155" s="10"/>
      <c r="C155" s="10"/>
      <c r="D155" s="10"/>
      <c r="E155" s="10"/>
      <c r="F155" s="10"/>
      <c r="G155" s="1774"/>
      <c r="H155" s="1774"/>
      <c r="I155" s="1774"/>
      <c r="J155" s="1774"/>
      <c r="K155" s="1774"/>
      <c r="L155" s="1943"/>
      <c r="M155" s="10"/>
      <c r="N155" s="10"/>
      <c r="O155" s="10"/>
      <c r="P155" s="563"/>
      <c r="Q155" s="114"/>
      <c r="R155" s="130" t="str">
        <f>IF(dpUnit_Sales_2="Units","Median Sale Price per Unit","Median Sale Price per Sq. Ft.")</f>
        <v>Median Sale Price per Sq. Ft.</v>
      </c>
      <c r="S155" s="1174" t="e">
        <f>MEDIAN(Sales_UnAdjustedRange_2)</f>
        <v>#DIV/0!</v>
      </c>
      <c r="T155" s="1174" t="e">
        <f>MEDIAN(Sales_AdjPrice2_2)</f>
        <v>#DIV/0!</v>
      </c>
      <c r="U155" s="1140" t="e">
        <f>IF(Sales_AdjType_2="Qualitative","N/A",MEDIAN(Sales_FinalAdjustedRange_2))</f>
        <v>#DIV/0!</v>
      </c>
      <c r="V155" s="130"/>
      <c r="W155" s="5"/>
      <c r="X155" s="5"/>
      <c r="Y155" s="6"/>
      <c r="Z155" s="10"/>
      <c r="AA155" s="10"/>
      <c r="AB155" s="10"/>
      <c r="AC155" s="10"/>
    </row>
    <row r="156" spans="1:29" ht="15" customHeight="1" thickBot="1" x14ac:dyDescent="0.3">
      <c r="A156" s="972">
        <v>1</v>
      </c>
      <c r="B156" s="10"/>
      <c r="C156" s="10"/>
      <c r="D156" s="10"/>
      <c r="E156" s="10"/>
      <c r="F156" s="10"/>
      <c r="G156" s="1774"/>
      <c r="H156" s="1774"/>
      <c r="I156" s="1774"/>
      <c r="J156" s="1774"/>
      <c r="K156" s="1774"/>
      <c r="L156" s="1943"/>
      <c r="M156" s="10"/>
      <c r="N156" s="10"/>
      <c r="O156" s="10"/>
      <c r="P156" s="563"/>
      <c r="Q156" s="114"/>
      <c r="R156" s="99" t="str">
        <f>IF(dpUnit_Sales_2="Units","Mean Sale Price per Unit","Mean Sale Price per Sq. Ft.")</f>
        <v>Mean Sale Price per Sq. Ft.</v>
      </c>
      <c r="S156" s="1175" t="e">
        <f>AVERAGE(Sales_UnAdjustedRange_2)</f>
        <v>#DIV/0!</v>
      </c>
      <c r="T156" s="1175" t="e">
        <f>AVERAGE(Sales_AdjPrice2_2)</f>
        <v>#DIV/0!</v>
      </c>
      <c r="U156" s="1202" t="e">
        <f>IF(Sales_AdjType_2="Qualitative","N/A",AVERAGE(Sales_FinalAdjustedRange_2))</f>
        <v>#DIV/0!</v>
      </c>
      <c r="V156" s="130"/>
      <c r="W156" s="5"/>
      <c r="X156" s="5"/>
      <c r="Y156" s="6"/>
      <c r="Z156" s="10"/>
      <c r="AA156" s="10"/>
      <c r="AB156" s="10"/>
      <c r="AC156" s="10"/>
    </row>
    <row r="157" spans="1:29" ht="15" customHeight="1" x14ac:dyDescent="0.25">
      <c r="A157" s="972">
        <v>1</v>
      </c>
      <c r="B157" s="10"/>
      <c r="C157" s="10"/>
      <c r="D157" s="10"/>
      <c r="E157" s="10"/>
      <c r="F157" s="10"/>
      <c r="G157" s="1774"/>
      <c r="H157" s="1774"/>
      <c r="I157" s="1774"/>
      <c r="J157" s="1774"/>
      <c r="K157" s="1774"/>
      <c r="L157" s="1943"/>
      <c r="M157" s="10"/>
      <c r="N157" s="10"/>
      <c r="O157" s="10"/>
      <c r="P157" s="563"/>
      <c r="Q157" s="52"/>
      <c r="R157" s="18" t="s">
        <v>958</v>
      </c>
      <c r="S157" s="894" t="e">
        <f>STDEV(Sales_UnAdjustedRange_2)</f>
        <v>#DIV/0!</v>
      </c>
      <c r="T157" s="894" t="e">
        <f>STDEV(Sales_AdjPrice2_2)</f>
        <v>#DIV/0!</v>
      </c>
      <c r="U157" s="894" t="e">
        <f>IF(Sales_AdjType_2="Qualitative","N/A",STDEV(Sales_FinalAdjustedRange_2))</f>
        <v>#DIV/0!</v>
      </c>
      <c r="V157" s="18"/>
      <c r="W157" s="5"/>
      <c r="X157" s="5"/>
      <c r="Y157" s="6"/>
      <c r="Z157" s="10"/>
      <c r="AA157" s="10"/>
      <c r="AB157" s="10"/>
      <c r="AC157" s="10"/>
    </row>
    <row r="158" spans="1:29" ht="15.95" customHeight="1" thickBot="1" x14ac:dyDescent="0.3">
      <c r="A158" s="972">
        <v>1</v>
      </c>
      <c r="B158" s="10"/>
      <c r="C158" s="10"/>
      <c r="D158" s="10"/>
      <c r="E158" s="10"/>
      <c r="F158" s="10"/>
      <c r="G158" s="1774"/>
      <c r="H158" s="1774"/>
      <c r="I158" s="1774"/>
      <c r="J158" s="1774"/>
      <c r="K158" s="1774"/>
      <c r="L158" s="1943"/>
      <c r="M158" s="10"/>
      <c r="N158" s="10"/>
      <c r="O158" s="10"/>
      <c r="P158" s="564"/>
      <c r="Q158" s="565"/>
      <c r="R158" s="552" t="s">
        <v>1600</v>
      </c>
      <c r="S158" s="7"/>
      <c r="T158" s="7"/>
      <c r="U158" s="7"/>
      <c r="V158" s="7"/>
      <c r="W158" s="7"/>
      <c r="X158" s="7"/>
      <c r="Y158" s="9"/>
      <c r="Z158" s="10"/>
      <c r="AA158" s="10"/>
      <c r="AB158" s="10"/>
      <c r="AC158" s="10"/>
    </row>
    <row r="159" spans="1:29" ht="9.9499999999999993" customHeight="1" thickBot="1" x14ac:dyDescent="0.3">
      <c r="A159" s="972">
        <v>1</v>
      </c>
      <c r="B159" s="10"/>
      <c r="C159" s="10"/>
      <c r="D159" s="10"/>
      <c r="E159" s="10"/>
      <c r="F159" s="10"/>
      <c r="G159" s="1774"/>
      <c r="H159" s="1774"/>
      <c r="I159" s="1774"/>
      <c r="J159" s="1774"/>
      <c r="K159" s="1774"/>
      <c r="L159" s="1943"/>
      <c r="M159" s="10"/>
      <c r="N159" s="10"/>
      <c r="O159" s="10"/>
      <c r="P159" s="32"/>
      <c r="Q159" s="32"/>
      <c r="R159" s="569"/>
      <c r="S159" s="10"/>
      <c r="T159" s="10"/>
      <c r="U159" s="10"/>
      <c r="V159" s="10"/>
      <c r="W159" s="10"/>
      <c r="X159" s="10"/>
      <c r="Y159" s="10"/>
      <c r="Z159" s="10"/>
      <c r="AA159" s="10"/>
      <c r="AB159" s="10"/>
      <c r="AC159" s="10"/>
    </row>
    <row r="160" spans="1:29" ht="15" customHeight="1" x14ac:dyDescent="0.25">
      <c r="A160" s="972">
        <v>1</v>
      </c>
      <c r="B160" s="10"/>
      <c r="C160" s="10"/>
      <c r="D160" s="10"/>
      <c r="E160" s="10"/>
      <c r="F160" s="10"/>
      <c r="G160" s="1774"/>
      <c r="H160" s="1774"/>
      <c r="I160" s="1774"/>
      <c r="J160" s="1774"/>
      <c r="K160" s="1774"/>
      <c r="L160" s="1943"/>
      <c r="M160" s="10"/>
      <c r="N160" s="10"/>
      <c r="O160" s="10"/>
      <c r="P160" s="1"/>
      <c r="Q160" s="2"/>
      <c r="R160" s="2"/>
      <c r="S160" s="2"/>
      <c r="T160" s="2"/>
      <c r="U160" s="202"/>
      <c r="V160" s="2"/>
      <c r="W160" s="202"/>
      <c r="X160" s="2"/>
      <c r="Y160" s="3"/>
      <c r="Z160" s="10"/>
      <c r="AA160" s="10"/>
      <c r="AB160" s="10"/>
      <c r="AC160" s="10"/>
    </row>
    <row r="161" spans="1:29" ht="15.95" customHeight="1" x14ac:dyDescent="0.3">
      <c r="A161" s="972">
        <v>1</v>
      </c>
      <c r="B161" s="10"/>
      <c r="C161" s="10"/>
      <c r="D161" s="10"/>
      <c r="E161" s="10"/>
      <c r="F161" s="10"/>
      <c r="G161" s="1774"/>
      <c r="H161" s="1774"/>
      <c r="I161" s="1774"/>
      <c r="J161" s="1774"/>
      <c r="K161" s="1774"/>
      <c r="L161" s="1943"/>
      <c r="M161" s="10"/>
      <c r="N161" s="10"/>
      <c r="O161" s="10"/>
      <c r="P161" s="4"/>
      <c r="Q161" s="17"/>
      <c r="R161" s="519" t="str">
        <f>CONCATENATE("Improved Sales Comparison Approach Value Indication - ",dpSales_ComponentNameB2," Component")</f>
        <v>Improved Sales Comparison Approach Value Indication -  Component</v>
      </c>
      <c r="S161" s="17"/>
      <c r="T161" s="240"/>
      <c r="U161" s="17"/>
      <c r="V161" s="17"/>
      <c r="W161" s="17"/>
      <c r="X161" s="10"/>
      <c r="Y161" s="6"/>
      <c r="Z161" s="10"/>
      <c r="AA161" s="10"/>
      <c r="AB161" s="10"/>
      <c r="AC161" s="10"/>
    </row>
    <row r="162" spans="1:29" ht="15.95" customHeight="1" x14ac:dyDescent="0.25">
      <c r="A162" s="972">
        <v>1</v>
      </c>
      <c r="B162" s="10"/>
      <c r="C162" s="10"/>
      <c r="D162" s="10"/>
      <c r="E162" s="10"/>
      <c r="F162" s="10"/>
      <c r="G162" s="1774"/>
      <c r="H162" s="1774"/>
      <c r="I162" s="1774"/>
      <c r="J162" s="1774"/>
      <c r="K162" s="1774"/>
      <c r="L162" s="1943"/>
      <c r="M162" s="10"/>
      <c r="N162" s="10"/>
      <c r="O162" s="10"/>
      <c r="P162" s="4"/>
      <c r="Q162" s="101"/>
      <c r="R162" s="717" t="s">
        <v>1196</v>
      </c>
      <c r="S162" s="137"/>
      <c r="T162" s="241"/>
      <c r="U162" s="137"/>
      <c r="V162" s="137"/>
      <c r="W162" s="137"/>
      <c r="X162" s="101"/>
      <c r="Y162" s="6"/>
      <c r="Z162" s="10"/>
      <c r="AA162" s="10"/>
      <c r="AB162" s="10"/>
      <c r="AC162" s="10"/>
    </row>
    <row r="163" spans="1:29" ht="15.95" customHeight="1" x14ac:dyDescent="0.25">
      <c r="A163" s="972">
        <v>1</v>
      </c>
      <c r="B163" s="10"/>
      <c r="C163" s="10"/>
      <c r="D163" s="10"/>
      <c r="E163" s="10"/>
      <c r="F163" s="10"/>
      <c r="G163" s="1774"/>
      <c r="H163" s="1774"/>
      <c r="I163" s="1774"/>
      <c r="J163" s="1774"/>
      <c r="K163" s="1774"/>
      <c r="L163" s="1943"/>
      <c r="M163" s="10"/>
      <c r="N163" s="10"/>
      <c r="O163" s="10"/>
      <c r="P163" s="4"/>
      <c r="Q163" s="101"/>
      <c r="R163" s="2124">
        <f>IF(dpUnit_Sales_2="Net Rentable Area",dpSubject_Sales_NRA_2,IF(dpUnit_Sales_2="Gross Building Area",dpSubject_Sales_GBA_2,dpSubject_Sales_Units_2))</f>
        <v>209208</v>
      </c>
      <c r="S163" s="137" t="s">
        <v>176</v>
      </c>
      <c r="T163" s="100"/>
      <c r="U163" s="137" t="s">
        <v>177</v>
      </c>
      <c r="V163" s="101"/>
      <c r="W163" s="726">
        <f>R163*T163</f>
        <v>0</v>
      </c>
      <c r="X163" s="101"/>
      <c r="Y163" s="6"/>
      <c r="Z163" s="10"/>
      <c r="AA163" s="10"/>
      <c r="AB163" s="10"/>
      <c r="AC163" s="10"/>
    </row>
    <row r="164" spans="1:29" ht="9.9499999999999993" customHeight="1" x14ac:dyDescent="0.25">
      <c r="A164" s="972">
        <v>1</v>
      </c>
      <c r="B164" s="10"/>
      <c r="C164" s="10"/>
      <c r="D164" s="10"/>
      <c r="E164" s="10"/>
      <c r="F164" s="10"/>
      <c r="G164" s="1774"/>
      <c r="H164" s="1774"/>
      <c r="I164" s="1774"/>
      <c r="J164" s="1774"/>
      <c r="K164" s="1774"/>
      <c r="L164" s="1943"/>
      <c r="M164" s="10"/>
      <c r="N164" s="10"/>
      <c r="O164" s="10"/>
      <c r="P164" s="4"/>
      <c r="Q164" s="101"/>
      <c r="R164" s="101"/>
      <c r="S164" s="137"/>
      <c r="T164" s="137"/>
      <c r="U164" s="137"/>
      <c r="V164" s="101"/>
      <c r="W164" s="875"/>
      <c r="X164" s="101"/>
      <c r="Y164" s="6"/>
      <c r="Z164" s="10"/>
      <c r="AA164" s="10"/>
      <c r="AB164" s="10"/>
      <c r="AC164" s="10"/>
    </row>
    <row r="165" spans="1:29" ht="15.95" customHeight="1" x14ac:dyDescent="0.25">
      <c r="A165" s="972">
        <v>1</v>
      </c>
      <c r="B165" s="10"/>
      <c r="C165" s="10"/>
      <c r="D165" s="10"/>
      <c r="E165" s="10"/>
      <c r="F165" s="10"/>
      <c r="G165" s="1774"/>
      <c r="H165" s="1774"/>
      <c r="I165" s="1774"/>
      <c r="J165" s="1774"/>
      <c r="K165" s="1774"/>
      <c r="L165" s="1943"/>
      <c r="M165" s="10"/>
      <c r="N165" s="10"/>
      <c r="O165" s="10"/>
      <c r="P165" s="4"/>
      <c r="Q165" s="101"/>
      <c r="R165" s="2124">
        <f>IF(dpUnit_Sales_2="Net Rentable Area",dpSubject_Sales_NRA_2,IF(dpUnit_Sales_2="Gross Building Area",dpSubject_Sales_GBA_2,dpSubject_Sales_Units_2))</f>
        <v>209208</v>
      </c>
      <c r="S165" s="137" t="s">
        <v>176</v>
      </c>
      <c r="T165" s="100"/>
      <c r="U165" s="137" t="s">
        <v>177</v>
      </c>
      <c r="V165" s="101"/>
      <c r="W165" s="726">
        <f>R165*T165</f>
        <v>0</v>
      </c>
      <c r="X165" s="101"/>
      <c r="Y165" s="6"/>
      <c r="Z165" s="10"/>
      <c r="AA165" s="10"/>
      <c r="AB165" s="10"/>
      <c r="AC165" s="10"/>
    </row>
    <row r="166" spans="1:29" ht="20.100000000000001" customHeight="1" thickBot="1" x14ac:dyDescent="0.3">
      <c r="A166" s="972">
        <v>1</v>
      </c>
      <c r="B166" s="10"/>
      <c r="C166" s="10"/>
      <c r="D166" s="10"/>
      <c r="E166" s="10"/>
      <c r="F166" s="10"/>
      <c r="G166" s="1774"/>
      <c r="H166" s="1774"/>
      <c r="I166" s="1774"/>
      <c r="J166" s="1774"/>
      <c r="K166" s="1774"/>
      <c r="L166" s="1943"/>
      <c r="M166" s="10"/>
      <c r="N166" s="10"/>
      <c r="O166" s="10"/>
      <c r="P166" s="4"/>
      <c r="Q166" s="101"/>
      <c r="R166" s="132" t="str">
        <f>IF(dpSale_Method_2="Whole Property",CONCATENATE("Preliminary ",dpSort_ValueScenario_1),"Preliminary Contributory Value of the Subject Improvements Indication")</f>
        <v>Preliminary Retrospective Fee Simple Market Value Indication</v>
      </c>
      <c r="S166" s="137"/>
      <c r="T166" s="137"/>
      <c r="U166" s="137"/>
      <c r="V166" s="101"/>
      <c r="W166" s="875"/>
      <c r="X166" s="101"/>
      <c r="Y166" s="6"/>
      <c r="Z166" s="10"/>
      <c r="AA166" s="10"/>
      <c r="AB166" s="10"/>
      <c r="AC166" s="10"/>
    </row>
    <row r="167" spans="1:29" ht="15.95" customHeight="1" thickBot="1" x14ac:dyDescent="0.3">
      <c r="A167" s="972">
        <v>1</v>
      </c>
      <c r="B167" s="36"/>
      <c r="C167" s="36"/>
      <c r="D167" s="36"/>
      <c r="E167" s="36"/>
      <c r="F167" s="36"/>
      <c r="G167" s="1903"/>
      <c r="H167" s="1903"/>
      <c r="I167" s="1903"/>
      <c r="J167" s="1903"/>
      <c r="K167" s="1903"/>
      <c r="L167" s="1994"/>
      <c r="M167" s="36"/>
      <c r="N167" s="36"/>
      <c r="O167" s="36"/>
      <c r="P167" s="87"/>
      <c r="Q167" s="424"/>
      <c r="R167" s="2124">
        <f>IF(dpUnit_Sales_2="Net Rentable Area",dpSubject_Sales_NRA_2,IF(dpUnit_Sales_2="Gross Building Area",dpSubject_Sales_GBA_2,dpSubject_Sales_Units_2))</f>
        <v>209208</v>
      </c>
      <c r="S167" s="2127" t="s">
        <v>176</v>
      </c>
      <c r="T167" s="1631"/>
      <c r="U167" s="2127" t="s">
        <v>177</v>
      </c>
      <c r="V167" s="424"/>
      <c r="W167" s="1728">
        <f>MROUND(R167*dpSales_PreliminaryValue_PSF_2,INDEX(Rounding_Options,MATCH(AB167,Rounding_Label,0),2))</f>
        <v>0</v>
      </c>
      <c r="X167" s="424"/>
      <c r="Y167" s="89"/>
      <c r="Z167" s="36"/>
      <c r="AA167" s="165" t="s">
        <v>991</v>
      </c>
      <c r="AB167" s="801" t="s">
        <v>407</v>
      </c>
      <c r="AC167" s="36"/>
    </row>
    <row r="168" spans="1:29" ht="15.95" customHeight="1" thickBot="1" x14ac:dyDescent="0.3">
      <c r="A168" s="972">
        <f>IF(dpSale_Method_2="Whole Property",0,1)</f>
        <v>0</v>
      </c>
      <c r="B168" s="10"/>
      <c r="C168" s="10"/>
      <c r="D168" s="10"/>
      <c r="E168" s="10"/>
      <c r="F168" s="10"/>
      <c r="G168" s="1774"/>
      <c r="H168" s="1774"/>
      <c r="I168" s="1774"/>
      <c r="J168" s="1774"/>
      <c r="K168" s="1774"/>
      <c r="L168" s="1943"/>
      <c r="M168" s="10"/>
      <c r="N168" s="10"/>
      <c r="O168" s="10"/>
      <c r="P168" s="4"/>
      <c r="Q168" s="101"/>
      <c r="R168" s="614" t="s">
        <v>531</v>
      </c>
      <c r="S168" s="137"/>
      <c r="T168" s="875"/>
      <c r="U168" s="875"/>
      <c r="V168" s="1372"/>
      <c r="W168" s="1729">
        <f>IF(dpSale_Method_2="Whole Property",0,dpLand_PrimaryLandValue)</f>
        <v>0</v>
      </c>
      <c r="X168" s="101"/>
      <c r="Y168" s="6"/>
      <c r="Z168" s="10"/>
      <c r="AA168" s="10"/>
      <c r="AB168" s="10"/>
      <c r="AC168" s="10"/>
    </row>
    <row r="169" spans="1:29" ht="15.95" customHeight="1" thickBot="1" x14ac:dyDescent="0.3">
      <c r="A169" s="972">
        <f>IF(dpSale_Method_2="Whole Property",0,1)</f>
        <v>0</v>
      </c>
      <c r="B169" s="10"/>
      <c r="C169" s="10"/>
      <c r="D169" s="10"/>
      <c r="E169" s="10"/>
      <c r="F169" s="10"/>
      <c r="G169" s="1774"/>
      <c r="H169" s="1774"/>
      <c r="I169" s="1774"/>
      <c r="J169" s="1774"/>
      <c r="K169" s="1774"/>
      <c r="L169" s="1943"/>
      <c r="M169" s="10"/>
      <c r="N169" s="10"/>
      <c r="O169" s="10"/>
      <c r="P169" s="4"/>
      <c r="Q169" s="101"/>
      <c r="R169" s="1188" t="str">
        <f>IF(SUM('Improved Sales Adjustments 1'!A177:A181)=0,dpSort_ValueScenario_1,CONCATENATE("Preliminary ",dpSort_ValueScenario_1))</f>
        <v>Retrospective Fee Simple Market Value Indication</v>
      </c>
      <c r="S169" s="131"/>
      <c r="T169" s="1726"/>
      <c r="U169" s="1750"/>
      <c r="V169" s="139"/>
      <c r="W169" s="1751">
        <f>MROUND(W167+W168,INDEX(Rounding_Options,MATCH(AB169,Rounding_Label,0),2))</f>
        <v>0</v>
      </c>
      <c r="X169" s="101"/>
      <c r="Y169" s="6"/>
      <c r="Z169" s="10"/>
      <c r="AA169" s="150" t="s">
        <v>991</v>
      </c>
      <c r="AB169" s="702" t="s">
        <v>407</v>
      </c>
      <c r="AC169" s="10"/>
    </row>
    <row r="170" spans="1:29" ht="15" customHeight="1" thickBot="1" x14ac:dyDescent="0.3">
      <c r="A170" s="707"/>
      <c r="B170" s="10"/>
      <c r="C170" s="10"/>
      <c r="D170" s="10"/>
      <c r="E170" s="10"/>
      <c r="F170" s="10"/>
      <c r="G170" s="1774"/>
      <c r="H170" s="1774"/>
      <c r="I170" s="1774"/>
      <c r="J170" s="1774"/>
      <c r="K170" s="1774"/>
      <c r="L170" s="1943"/>
      <c r="M170" s="10"/>
      <c r="N170" s="10"/>
      <c r="O170" s="10"/>
      <c r="P170" s="8"/>
      <c r="Q170" s="7"/>
      <c r="R170" s="555" t="s">
        <v>1601</v>
      </c>
      <c r="S170" s="133"/>
      <c r="T170" s="133"/>
      <c r="U170" s="475"/>
      <c r="V170" s="133"/>
      <c r="W170" s="475"/>
      <c r="X170" s="7"/>
      <c r="Y170" s="9"/>
      <c r="Z170" s="10"/>
      <c r="AA170" s="10"/>
      <c r="AB170" s="10"/>
      <c r="AC170" s="10"/>
    </row>
    <row r="171" spans="1:29" ht="15" customHeight="1" x14ac:dyDescent="0.25">
      <c r="A171" s="707"/>
      <c r="B171" s="10"/>
      <c r="C171" s="10"/>
      <c r="D171" s="10"/>
      <c r="E171" s="10"/>
      <c r="F171" s="10"/>
      <c r="G171" s="1774"/>
      <c r="H171" s="1774"/>
      <c r="I171" s="1774"/>
      <c r="J171" s="1774"/>
      <c r="K171" s="1774"/>
      <c r="L171" s="1943"/>
      <c r="M171" s="10"/>
      <c r="N171" s="10"/>
      <c r="O171" s="10"/>
      <c r="P171" s="10"/>
      <c r="Q171" s="10"/>
      <c r="R171" s="10"/>
      <c r="S171" s="10"/>
      <c r="T171" s="10"/>
      <c r="U171" s="10"/>
      <c r="V171" s="10"/>
      <c r="W171" s="10"/>
      <c r="X171" s="10"/>
      <c r="Y171" s="10"/>
      <c r="Z171" s="10"/>
      <c r="AA171" s="10"/>
      <c r="AB171" s="10"/>
      <c r="AC171" s="10"/>
    </row>
    <row r="172" spans="1:29" ht="15" customHeight="1" x14ac:dyDescent="0.25">
      <c r="A172" s="707"/>
      <c r="B172" s="10"/>
      <c r="C172" s="10"/>
      <c r="D172" s="10"/>
      <c r="E172" s="10"/>
      <c r="F172" s="10"/>
      <c r="G172" s="1774"/>
      <c r="H172" s="1774"/>
      <c r="I172" s="1774"/>
      <c r="J172" s="1774"/>
      <c r="K172" s="1774"/>
      <c r="L172" s="1943"/>
      <c r="M172" s="10"/>
      <c r="N172" s="10"/>
      <c r="O172" s="10"/>
      <c r="P172" s="10"/>
      <c r="Q172" s="10"/>
      <c r="R172" s="10"/>
      <c r="S172" s="10"/>
      <c r="T172" s="10"/>
      <c r="U172" s="10"/>
      <c r="V172" s="10"/>
      <c r="W172" s="10"/>
      <c r="X172" s="10"/>
      <c r="Y172" s="10"/>
      <c r="Z172" s="10"/>
      <c r="AA172" s="10"/>
      <c r="AB172" s="10"/>
      <c r="AC172" s="10"/>
    </row>
    <row r="173" spans="1:29" x14ac:dyDescent="0.25">
      <c r="B173" s="911"/>
      <c r="C173" s="911"/>
      <c r="D173" s="911"/>
      <c r="E173" s="911"/>
      <c r="F173" s="911"/>
      <c r="G173" s="2713"/>
      <c r="H173" s="2713"/>
      <c r="I173" s="2713"/>
      <c r="J173" s="2713"/>
      <c r="K173" s="2713"/>
      <c r="L173" s="2714"/>
      <c r="M173" s="911"/>
      <c r="N173" s="911"/>
      <c r="O173" s="911"/>
      <c r="P173" s="911"/>
      <c r="Q173" s="911"/>
      <c r="R173" s="911"/>
      <c r="S173" s="911"/>
      <c r="T173" s="911"/>
      <c r="U173" s="911"/>
      <c r="V173" s="911"/>
      <c r="W173" s="911"/>
      <c r="X173" s="911"/>
      <c r="Y173" s="911"/>
      <c r="Z173" s="911"/>
      <c r="AA173" s="911"/>
      <c r="AB173" s="911"/>
      <c r="AC173" s="911"/>
    </row>
    <row r="174" spans="1:29" x14ac:dyDescent="0.25">
      <c r="B174" s="911"/>
      <c r="C174" s="911"/>
      <c r="D174" s="911"/>
      <c r="E174" s="911"/>
      <c r="F174" s="911"/>
      <c r="G174" s="2713"/>
      <c r="H174" s="2713"/>
      <c r="I174" s="2713"/>
      <c r="J174" s="2713"/>
      <c r="K174" s="2713"/>
      <c r="L174" s="2714"/>
      <c r="M174" s="911"/>
      <c r="N174" s="911"/>
      <c r="O174" s="911"/>
      <c r="P174" s="911"/>
      <c r="Q174" s="911"/>
      <c r="R174" s="911"/>
      <c r="S174" s="911"/>
      <c r="T174" s="911"/>
      <c r="U174" s="911"/>
      <c r="V174" s="911"/>
      <c r="W174" s="911"/>
      <c r="X174" s="911"/>
      <c r="Y174" s="911"/>
      <c r="Z174" s="911"/>
      <c r="AA174" s="911"/>
      <c r="AB174" s="911"/>
      <c r="AC174" s="911"/>
    </row>
    <row r="175" spans="1:29" x14ac:dyDescent="0.25">
      <c r="B175" s="911"/>
      <c r="C175" s="911"/>
      <c r="D175" s="911"/>
      <c r="E175" s="911"/>
      <c r="F175" s="911"/>
      <c r="G175" s="2713"/>
      <c r="H175" s="2713"/>
      <c r="I175" s="2713"/>
      <c r="J175" s="2713"/>
      <c r="K175" s="2713"/>
      <c r="L175" s="2714"/>
      <c r="M175" s="911"/>
      <c r="N175" s="911"/>
      <c r="O175" s="911"/>
      <c r="P175" s="911"/>
      <c r="Q175" s="911"/>
      <c r="R175" s="911"/>
      <c r="S175" s="911"/>
      <c r="T175" s="911"/>
      <c r="U175" s="911"/>
      <c r="V175" s="911"/>
      <c r="W175" s="911"/>
      <c r="X175" s="911"/>
      <c r="Y175" s="911"/>
      <c r="Z175" s="911"/>
      <c r="AA175" s="911"/>
      <c r="AB175" s="911"/>
      <c r="AC175" s="911"/>
    </row>
    <row r="176" spans="1:29" x14ac:dyDescent="0.25">
      <c r="B176" s="911"/>
      <c r="C176" s="911"/>
      <c r="D176" s="911"/>
      <c r="E176" s="911"/>
      <c r="F176" s="911"/>
      <c r="G176" s="2713"/>
      <c r="H176" s="2713"/>
      <c r="I176" s="2713"/>
      <c r="J176" s="2713"/>
      <c r="K176" s="2713"/>
      <c r="L176" s="2714"/>
      <c r="M176" s="911"/>
      <c r="N176" s="911"/>
      <c r="O176" s="911"/>
      <c r="P176" s="911"/>
      <c r="Q176" s="911"/>
      <c r="R176" s="911"/>
      <c r="S176" s="911"/>
      <c r="T176" s="911"/>
      <c r="U176" s="911"/>
      <c r="V176" s="911"/>
      <c r="W176" s="911"/>
      <c r="X176" s="911"/>
      <c r="Y176" s="911"/>
      <c r="Z176" s="911"/>
      <c r="AA176" s="911"/>
      <c r="AB176" s="911"/>
      <c r="AC176" s="911"/>
    </row>
    <row r="177" spans="2:29" x14ac:dyDescent="0.25">
      <c r="B177" s="911"/>
      <c r="C177" s="911"/>
      <c r="D177" s="911"/>
      <c r="E177" s="911"/>
      <c r="F177" s="911"/>
      <c r="G177" s="2713"/>
      <c r="H177" s="2713"/>
      <c r="I177" s="2713"/>
      <c r="J177" s="2713"/>
      <c r="K177" s="2713"/>
      <c r="L177" s="2714"/>
      <c r="M177" s="911"/>
      <c r="N177" s="911"/>
      <c r="O177" s="911"/>
      <c r="P177" s="911"/>
      <c r="Q177" s="911"/>
      <c r="R177" s="911"/>
      <c r="S177" s="911"/>
      <c r="T177" s="911"/>
      <c r="U177" s="911"/>
      <c r="V177" s="911"/>
      <c r="W177" s="911"/>
      <c r="X177" s="911"/>
      <c r="Y177" s="911"/>
      <c r="Z177" s="911"/>
      <c r="AA177" s="911"/>
      <c r="AB177" s="911"/>
      <c r="AC177" s="911"/>
    </row>
    <row r="178" spans="2:29" x14ac:dyDescent="0.25">
      <c r="B178" s="911"/>
      <c r="C178" s="911"/>
      <c r="D178" s="911"/>
      <c r="E178" s="911"/>
      <c r="F178" s="911"/>
      <c r="G178" s="2713"/>
      <c r="H178" s="2713"/>
      <c r="I178" s="2713"/>
      <c r="J178" s="2713"/>
      <c r="K178" s="2713"/>
      <c r="L178" s="2714"/>
      <c r="M178" s="911"/>
      <c r="N178" s="911"/>
      <c r="O178" s="911"/>
      <c r="P178" s="911"/>
      <c r="Q178" s="911"/>
      <c r="R178" s="911"/>
      <c r="S178" s="911"/>
      <c r="T178" s="911"/>
      <c r="U178" s="911"/>
      <c r="V178" s="911"/>
      <c r="W178" s="911"/>
      <c r="X178" s="911"/>
      <c r="Y178" s="911"/>
      <c r="Z178" s="911"/>
      <c r="AA178" s="911"/>
      <c r="AB178" s="911"/>
      <c r="AC178" s="911"/>
    </row>
    <row r="179" spans="2:29" x14ac:dyDescent="0.25">
      <c r="B179" s="911"/>
      <c r="C179" s="911"/>
      <c r="D179" s="911"/>
      <c r="E179" s="911"/>
      <c r="F179" s="911"/>
      <c r="G179" s="2713"/>
      <c r="H179" s="2713"/>
      <c r="I179" s="2713"/>
      <c r="J179" s="2713"/>
      <c r="K179" s="2713"/>
      <c r="L179" s="2714"/>
      <c r="M179" s="911"/>
      <c r="N179" s="911"/>
      <c r="O179" s="911"/>
      <c r="P179" s="911"/>
      <c r="Q179" s="911"/>
      <c r="R179" s="911"/>
      <c r="S179" s="911"/>
      <c r="T179" s="911"/>
      <c r="U179" s="911"/>
      <c r="V179" s="911"/>
      <c r="W179" s="911"/>
      <c r="X179" s="911"/>
      <c r="Y179" s="911"/>
      <c r="Z179" s="911"/>
      <c r="AA179" s="911"/>
      <c r="AB179" s="911"/>
      <c r="AC179" s="911"/>
    </row>
    <row r="180" spans="2:29" x14ac:dyDescent="0.25">
      <c r="B180" s="911"/>
      <c r="C180" s="911"/>
      <c r="D180" s="911"/>
      <c r="E180" s="911"/>
      <c r="F180" s="911"/>
      <c r="G180" s="2713"/>
      <c r="H180" s="2713"/>
      <c r="I180" s="2713"/>
      <c r="J180" s="2713"/>
      <c r="K180" s="2713"/>
      <c r="L180" s="2714"/>
      <c r="M180" s="911"/>
      <c r="N180" s="911"/>
      <c r="O180" s="911"/>
      <c r="P180" s="911"/>
      <c r="Q180" s="911"/>
      <c r="R180" s="911"/>
      <c r="S180" s="911"/>
      <c r="T180" s="911"/>
      <c r="U180" s="911"/>
      <c r="V180" s="911"/>
      <c r="W180" s="911"/>
      <c r="X180" s="911"/>
      <c r="Y180" s="911"/>
      <c r="Z180" s="911"/>
      <c r="AA180" s="911"/>
      <c r="AB180" s="911"/>
      <c r="AC180" s="911"/>
    </row>
    <row r="181" spans="2:29" x14ac:dyDescent="0.25">
      <c r="B181" s="911"/>
      <c r="C181" s="911"/>
      <c r="D181" s="911"/>
      <c r="E181" s="911"/>
      <c r="F181" s="911"/>
      <c r="G181" s="2713"/>
      <c r="H181" s="2713"/>
      <c r="I181" s="2713"/>
      <c r="J181" s="2713"/>
      <c r="K181" s="2713"/>
      <c r="L181" s="2714"/>
      <c r="M181" s="911"/>
      <c r="N181" s="911"/>
      <c r="O181" s="911"/>
      <c r="P181" s="911"/>
      <c r="Q181" s="911"/>
      <c r="R181" s="911"/>
      <c r="S181" s="911"/>
      <c r="T181" s="911"/>
      <c r="U181" s="911"/>
      <c r="V181" s="911"/>
      <c r="W181" s="911"/>
      <c r="X181" s="911"/>
      <c r="Y181" s="911"/>
      <c r="Z181" s="911"/>
      <c r="AA181" s="911"/>
      <c r="AB181" s="911"/>
      <c r="AC181" s="911"/>
    </row>
    <row r="182" spans="2:29" x14ac:dyDescent="0.25">
      <c r="B182" s="911"/>
      <c r="C182" s="911"/>
      <c r="D182" s="911"/>
      <c r="E182" s="911"/>
      <c r="F182" s="911"/>
      <c r="G182" s="2713"/>
      <c r="H182" s="2713"/>
      <c r="I182" s="2713"/>
      <c r="J182" s="2713"/>
      <c r="K182" s="2713"/>
      <c r="L182" s="2714"/>
      <c r="M182" s="911"/>
      <c r="N182" s="911"/>
      <c r="O182" s="911"/>
      <c r="P182" s="911"/>
      <c r="Q182" s="911"/>
      <c r="R182" s="911"/>
      <c r="S182" s="911"/>
      <c r="T182" s="911"/>
      <c r="U182" s="911"/>
      <c r="V182" s="911"/>
      <c r="W182" s="911"/>
      <c r="X182" s="911"/>
      <c r="Y182" s="911"/>
      <c r="Z182" s="911"/>
      <c r="AA182" s="911"/>
      <c r="AB182" s="911"/>
      <c r="AC182" s="911"/>
    </row>
    <row r="183" spans="2:29" x14ac:dyDescent="0.25">
      <c r="B183" s="911"/>
      <c r="C183" s="911"/>
      <c r="D183" s="911"/>
      <c r="E183" s="911"/>
      <c r="F183" s="911"/>
      <c r="G183" s="2713"/>
      <c r="H183" s="2713"/>
      <c r="I183" s="2713"/>
      <c r="J183" s="2713"/>
      <c r="K183" s="2713"/>
      <c r="L183" s="2714"/>
      <c r="M183" s="911"/>
      <c r="N183" s="911"/>
      <c r="O183" s="911"/>
      <c r="P183" s="911"/>
      <c r="Q183" s="911"/>
      <c r="R183" s="911"/>
      <c r="S183" s="911"/>
      <c r="T183" s="911"/>
      <c r="U183" s="911"/>
      <c r="V183" s="911"/>
      <c r="W183" s="911"/>
      <c r="X183" s="911"/>
      <c r="Y183" s="911"/>
      <c r="Z183" s="911"/>
      <c r="AA183" s="911"/>
      <c r="AB183" s="911"/>
      <c r="AC183" s="911"/>
    </row>
    <row r="184" spans="2:29" x14ac:dyDescent="0.25">
      <c r="B184" s="911"/>
      <c r="C184" s="911"/>
      <c r="D184" s="911"/>
      <c r="E184" s="911"/>
      <c r="F184" s="911"/>
      <c r="G184" s="2713"/>
      <c r="H184" s="2713"/>
      <c r="I184" s="2713"/>
      <c r="J184" s="2713"/>
      <c r="K184" s="2713"/>
      <c r="L184" s="2714"/>
      <c r="M184" s="911"/>
      <c r="N184" s="911"/>
      <c r="O184" s="911"/>
      <c r="P184" s="911"/>
      <c r="Q184" s="911"/>
      <c r="R184" s="911"/>
      <c r="S184" s="911"/>
      <c r="T184" s="911"/>
      <c r="U184" s="911"/>
      <c r="V184" s="911"/>
      <c r="W184" s="911"/>
      <c r="X184" s="911"/>
      <c r="Y184" s="911"/>
      <c r="Z184" s="911"/>
      <c r="AA184" s="911"/>
      <c r="AB184" s="911"/>
      <c r="AC184" s="911"/>
    </row>
  </sheetData>
  <mergeCells count="2">
    <mergeCell ref="A6:A7"/>
    <mergeCell ref="R50:R51"/>
  </mergeCells>
  <dataValidations count="5">
    <dataValidation type="list" allowBlank="1" showInputMessage="1" showErrorMessage="1" error="Invalid Option - Please Select from the List" prompt="Select Most Comparable Sale Number for Narrative" sqref="A9" xr:uid="{00000000-0002-0000-2000-000000000000}">
      <formula1>Sales_MostComparableRange</formula1>
    </dataValidation>
    <dataValidation type="list" allowBlank="1" showInputMessage="1" showErrorMessage="1" error="Invalid Option - Please Select from the List" prompt="Select Rounding Option" sqref="AB167 AB169" xr:uid="{00000000-0002-0000-2000-000001000000}">
      <formula1>Rounding_Label</formula1>
    </dataValidation>
    <dataValidation type="list" allowBlank="1" showInputMessage="1" showErrorMessage="1" error="Invalid Option - Please Select from the List" prompt="Select Preferred Quality Rating Type" sqref="D82" xr:uid="{00000000-0002-0000-2000-000002000000}">
      <formula1>QualityList</formula1>
    </dataValidation>
    <dataValidation type="list" allowBlank="1" showInputMessage="1" showErrorMessage="1" error="Invalid Option - Please Select from the List" prompt="Select Adjustment Category Name" sqref="D121" xr:uid="{3F3351CE-B914-4FF9-A3B6-0ED2338535CC}">
      <formula1>RemTermList</formula1>
    </dataValidation>
    <dataValidation type="list" allowBlank="1" showInputMessage="1" showErrorMessage="1" error="Invalid Option - Please Select from the List" prompt="Select Adjustment Category Name" sqref="D127" xr:uid="{CA9A4B48-5820-44DA-A881-DE104631E530}">
      <formula1>NonRealtyCreditList</formula1>
    </dataValidation>
  </dataValidation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3487646D-5793-4F13-9FEE-B85A5996C319}">
            <xm:f>'Selection Tables'!$AL$10="Units"</xm:f>
            <x14:dxf>
              <numFmt numFmtId="164" formatCode="&quot;$&quot;#,##0"/>
            </x14:dxf>
          </x14:cfRule>
          <xm:sqref>T163 T165 T167 S153:U156 J54:L54 J147:L147</xm:sqref>
        </x14:conditionalFormatting>
        <x14:conditionalFormatting xmlns:xm="http://schemas.microsoft.com/office/excel/2006/main">
          <x14:cfRule type="expression" priority="6" id="{01FAA88C-49C4-4663-AC3B-FAD42186D807}">
            <xm:f>'Selection Tables'!$AL$10="Units"</xm:f>
            <x14:dxf>
              <numFmt numFmtId="164" formatCode="&quot;$&quot;#,##0"/>
            </x14:dxf>
          </x14:cfRule>
          <xm:sqref>G21 G29 G36 G44 G48 G54:I54 G147:I147</xm:sqref>
        </x14:conditionalFormatting>
        <x14:conditionalFormatting xmlns:xm="http://schemas.microsoft.com/office/excel/2006/main">
          <x14:cfRule type="expression" priority="5" id="{13179435-E64C-4358-A235-D67D7ACF04A5}">
            <xm:f>'Selection Tables'!$AL$10="Units"</xm:f>
            <x14:dxf>
              <numFmt numFmtId="164" formatCode="&quot;$&quot;#,##0"/>
            </x14:dxf>
          </x14:cfRule>
          <xm:sqref>H21 H29 H36 H44 H48</xm:sqref>
        </x14:conditionalFormatting>
        <x14:conditionalFormatting xmlns:xm="http://schemas.microsoft.com/office/excel/2006/main">
          <x14:cfRule type="expression" priority="4" id="{03650D00-E6E1-4BC8-B5BF-8D59F749A1F6}">
            <xm:f>'Selection Tables'!$AL$10="Units"</xm:f>
            <x14:dxf>
              <numFmt numFmtId="164" formatCode="&quot;$&quot;#,##0"/>
            </x14:dxf>
          </x14:cfRule>
          <xm:sqref>I21 I29 I36 I44 I48</xm:sqref>
        </x14:conditionalFormatting>
        <x14:conditionalFormatting xmlns:xm="http://schemas.microsoft.com/office/excel/2006/main">
          <x14:cfRule type="expression" priority="3" id="{C3C4B41B-2682-408A-866D-712A1B028274}">
            <xm:f>'Selection Tables'!$AL$10="Units"</xm:f>
            <x14:dxf>
              <numFmt numFmtId="164" formatCode="&quot;$&quot;#,##0"/>
            </x14:dxf>
          </x14:cfRule>
          <xm:sqref>J21 J29 J36 J44 J48</xm:sqref>
        </x14:conditionalFormatting>
        <x14:conditionalFormatting xmlns:xm="http://schemas.microsoft.com/office/excel/2006/main">
          <x14:cfRule type="expression" priority="2" id="{38B50677-0010-42B7-BE74-FFED0A03BB21}">
            <xm:f>'Selection Tables'!$AL$10="Units"</xm:f>
            <x14:dxf>
              <numFmt numFmtId="164" formatCode="&quot;$&quot;#,##0"/>
            </x14:dxf>
          </x14:cfRule>
          <xm:sqref>K21 K29 K36 K44 K48</xm:sqref>
        </x14:conditionalFormatting>
        <x14:conditionalFormatting xmlns:xm="http://schemas.microsoft.com/office/excel/2006/main">
          <x14:cfRule type="expression" priority="1" id="{D8779269-BA16-4F1F-8863-3F0A4FCF8666}">
            <xm:f>'Selection Tables'!$AL$10="Units"</xm:f>
            <x14:dxf>
              <numFmt numFmtId="164" formatCode="&quot;$&quot;#,##0"/>
            </x14:dxf>
          </x14:cfRule>
          <xm:sqref>L21 L29 L36 L44 L48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error="Invalid Option - Please Select from the List" prompt="Select Date of Value for Market Rent to be used in Rent Adjustment Grid" xr:uid="{00000000-0002-0000-2000-000003000000}">
          <x14:formula1>
            <xm:f>'Selection Tables'!$G$9:$G$11</xm:f>
          </x14:formula1>
          <xm:sqref>F10</xm:sqref>
        </x14:dataValidation>
      </x14:dataValidations>
    </ext>
  </extLs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62">
    <tabColor rgb="FF663300"/>
  </sheetPr>
  <dimension ref="A1:AI56"/>
  <sheetViews>
    <sheetView zoomScaleNormal="100" workbookViewId="0">
      <selection activeCell="D4" sqref="D4"/>
    </sheetView>
  </sheetViews>
  <sheetFormatPr defaultColWidth="9.140625" defaultRowHeight="14.25" x14ac:dyDescent="0.25"/>
  <cols>
    <col min="1" max="1" width="5.7109375" style="32" customWidth="1"/>
    <col min="2" max="2" width="1.7109375" style="143" customWidth="1"/>
    <col min="3" max="3" width="0.85546875" style="143" customWidth="1"/>
    <col min="4" max="4" width="6.7109375" style="143" customWidth="1"/>
    <col min="5" max="5" width="11.7109375" style="143" bestFit="1" customWidth="1"/>
    <col min="6" max="6" width="8.5703125" style="143" bestFit="1" customWidth="1"/>
    <col min="7" max="7" width="8.5703125" style="143" customWidth="1"/>
    <col min="8" max="8" width="2" style="143" customWidth="1"/>
    <col min="9" max="9" width="5.140625" style="143" bestFit="1" customWidth="1"/>
    <col min="10" max="10" width="5.140625" style="143" customWidth="1"/>
    <col min="11" max="11" width="6.42578125" style="143" customWidth="1"/>
    <col min="12" max="12" width="12.7109375" style="143" bestFit="1" customWidth="1"/>
    <col min="13" max="13" width="4.5703125" style="143" customWidth="1"/>
    <col min="14" max="14" width="6.5703125" style="143" customWidth="1"/>
    <col min="15" max="15" width="4.5703125" style="143" customWidth="1"/>
    <col min="16" max="16" width="9.7109375" style="143" customWidth="1"/>
    <col min="17" max="17" width="6.7109375" style="143" customWidth="1"/>
    <col min="18" max="18" width="0.85546875" style="143" customWidth="1"/>
    <col min="19" max="19" width="1.7109375" style="143" customWidth="1"/>
    <col min="20" max="20" width="5.7109375" style="143" customWidth="1"/>
    <col min="21" max="21" width="1.7109375" style="143" customWidth="1"/>
    <col min="22" max="22" width="0.85546875" style="143" customWidth="1"/>
    <col min="23" max="23" width="1.7109375" style="143" customWidth="1"/>
    <col min="24" max="24" width="25.7109375" style="143" customWidth="1"/>
    <col min="25" max="27" width="14.7109375" style="143" customWidth="1"/>
    <col min="28" max="28" width="0.85546875" style="143" customWidth="1"/>
    <col min="29" max="29" width="12.28515625" style="143" customWidth="1"/>
    <col min="30" max="30" width="0.85546875" style="143" customWidth="1"/>
    <col min="31" max="31" width="1.7109375" style="143" customWidth="1"/>
    <col min="32" max="32" width="5.7109375" style="143" customWidth="1"/>
    <col min="33" max="34" width="10.7109375" style="143" customWidth="1"/>
    <col min="35" max="16384" width="9.140625" style="143"/>
  </cols>
  <sheetData>
    <row r="1" spans="1:35" ht="60" customHeight="1" x14ac:dyDescent="0.25"/>
    <row r="2" spans="1:35" ht="30" customHeight="1" thickBot="1" x14ac:dyDescent="0.3">
      <c r="W2" s="751"/>
      <c r="X2" s="751"/>
    </row>
    <row r="3" spans="1:35" x14ac:dyDescent="0.25">
      <c r="B3" s="1"/>
      <c r="C3" s="2"/>
      <c r="D3" s="202"/>
      <c r="E3" s="202"/>
      <c r="F3" s="202"/>
      <c r="G3" s="202"/>
      <c r="H3" s="202"/>
      <c r="I3" s="202"/>
      <c r="J3" s="202"/>
      <c r="K3" s="202"/>
      <c r="L3" s="202"/>
      <c r="M3" s="202"/>
      <c r="N3" s="202"/>
      <c r="O3" s="202"/>
      <c r="P3" s="202"/>
      <c r="Q3" s="202"/>
      <c r="R3" s="2"/>
      <c r="S3" s="3"/>
    </row>
    <row r="4" spans="1:35" ht="15" customHeight="1" x14ac:dyDescent="0.3">
      <c r="B4" s="4"/>
      <c r="C4" s="51"/>
      <c r="D4" s="27" t="s">
        <v>1089</v>
      </c>
      <c r="E4" s="44"/>
      <c r="F4" s="44"/>
      <c r="G4" s="44"/>
      <c r="H4" s="44"/>
      <c r="I4" s="44"/>
      <c r="J4" s="206"/>
      <c r="K4" s="206"/>
      <c r="L4" s="2867"/>
      <c r="M4" s="2867"/>
      <c r="N4" s="2867"/>
      <c r="O4" s="2867"/>
      <c r="P4" s="2867"/>
      <c r="Q4" s="2867"/>
      <c r="R4" s="51"/>
      <c r="S4" s="6"/>
    </row>
    <row r="5" spans="1:35" ht="15" customHeight="1" x14ac:dyDescent="0.25">
      <c r="B5" s="4"/>
      <c r="C5" s="11"/>
      <c r="D5" s="150" t="s">
        <v>94</v>
      </c>
      <c r="E5" s="207"/>
      <c r="F5" s="207" t="s">
        <v>105</v>
      </c>
      <c r="G5" s="150"/>
      <c r="H5" s="150"/>
      <c r="I5" s="150" t="s">
        <v>110</v>
      </c>
      <c r="J5" s="150" t="s">
        <v>110</v>
      </c>
      <c r="K5" s="150"/>
      <c r="L5" s="150" t="s">
        <v>548</v>
      </c>
      <c r="M5" s="150"/>
      <c r="N5" s="150" t="s">
        <v>47</v>
      </c>
      <c r="O5" s="150"/>
      <c r="P5" s="150" t="s">
        <v>508</v>
      </c>
      <c r="Q5" s="150" t="s">
        <v>702</v>
      </c>
      <c r="R5" s="11"/>
      <c r="S5" s="6"/>
    </row>
    <row r="6" spans="1:35" ht="15" customHeight="1" x14ac:dyDescent="0.25">
      <c r="B6" s="4"/>
      <c r="C6" s="11"/>
      <c r="D6" s="150" t="s">
        <v>113</v>
      </c>
      <c r="E6" s="207" t="s">
        <v>159</v>
      </c>
      <c r="F6" s="207" t="s">
        <v>106</v>
      </c>
      <c r="G6" s="1534" t="s">
        <v>95</v>
      </c>
      <c r="H6" s="150"/>
      <c r="I6" s="150" t="s">
        <v>111</v>
      </c>
      <c r="J6" s="150" t="s">
        <v>111</v>
      </c>
      <c r="K6" s="150" t="s">
        <v>1061</v>
      </c>
      <c r="L6" s="150" t="s">
        <v>549</v>
      </c>
      <c r="M6" s="150" t="s">
        <v>1088</v>
      </c>
      <c r="N6" s="150" t="s">
        <v>518</v>
      </c>
      <c r="O6" s="150" t="s">
        <v>1088</v>
      </c>
      <c r="P6" s="150" t="s">
        <v>518</v>
      </c>
      <c r="Q6" s="150" t="s">
        <v>126</v>
      </c>
      <c r="R6" s="11"/>
      <c r="S6" s="6"/>
    </row>
    <row r="7" spans="1:35" x14ac:dyDescent="0.25">
      <c r="B7" s="305"/>
      <c r="C7" s="306"/>
      <c r="D7" s="2868">
        <v>1</v>
      </c>
      <c r="E7" s="523"/>
      <c r="F7" s="327"/>
      <c r="G7" s="327"/>
      <c r="H7" s="327"/>
      <c r="I7" s="2869">
        <f t="shared" ref="I7:I12" si="0">IF(OR(J7="",J7="N/A"),K7,J7)</f>
        <v>0</v>
      </c>
      <c r="J7" s="2869"/>
      <c r="K7" s="2868"/>
      <c r="L7" s="2870"/>
      <c r="M7" s="2870"/>
      <c r="N7" s="2871"/>
      <c r="O7" s="2870"/>
      <c r="P7" s="2871"/>
      <c r="Q7" s="2872"/>
      <c r="R7" s="88"/>
      <c r="S7" s="307"/>
    </row>
    <row r="8" spans="1:35" x14ac:dyDescent="0.25">
      <c r="B8" s="305"/>
      <c r="C8" s="306"/>
      <c r="D8" s="2868">
        <v>2</v>
      </c>
      <c r="E8" s="523"/>
      <c r="F8" s="327"/>
      <c r="G8" s="327"/>
      <c r="H8" s="327"/>
      <c r="I8" s="2869">
        <f t="shared" si="0"/>
        <v>0</v>
      </c>
      <c r="J8" s="2869"/>
      <c r="K8" s="2868"/>
      <c r="L8" s="2870"/>
      <c r="M8" s="2870"/>
      <c r="N8" s="2871"/>
      <c r="O8" s="2870"/>
      <c r="P8" s="2871"/>
      <c r="Q8" s="2872"/>
      <c r="R8" s="88"/>
      <c r="S8" s="307"/>
    </row>
    <row r="9" spans="1:35" x14ac:dyDescent="0.25">
      <c r="B9" s="305"/>
      <c r="C9" s="306"/>
      <c r="D9" s="2868">
        <v>3</v>
      </c>
      <c r="E9" s="523"/>
      <c r="F9" s="327"/>
      <c r="G9" s="327"/>
      <c r="H9" s="327"/>
      <c r="I9" s="2869">
        <f t="shared" si="0"/>
        <v>0</v>
      </c>
      <c r="J9" s="2869"/>
      <c r="K9" s="2868"/>
      <c r="L9" s="2870"/>
      <c r="M9" s="2870"/>
      <c r="N9" s="2871"/>
      <c r="O9" s="2870"/>
      <c r="P9" s="2871"/>
      <c r="Q9" s="2872"/>
      <c r="R9" s="88"/>
      <c r="S9" s="307"/>
    </row>
    <row r="10" spans="1:35" x14ac:dyDescent="0.25">
      <c r="B10" s="305"/>
      <c r="C10" s="306"/>
      <c r="D10" s="2868">
        <v>4</v>
      </c>
      <c r="E10" s="523"/>
      <c r="F10" s="327"/>
      <c r="G10" s="327"/>
      <c r="H10" s="327"/>
      <c r="I10" s="2869">
        <f t="shared" si="0"/>
        <v>0</v>
      </c>
      <c r="J10" s="2869"/>
      <c r="K10" s="2868"/>
      <c r="L10" s="2870"/>
      <c r="M10" s="2870"/>
      <c r="N10" s="2871"/>
      <c r="O10" s="2870"/>
      <c r="P10" s="2871"/>
      <c r="Q10" s="2872"/>
      <c r="R10" s="88"/>
      <c r="S10" s="307"/>
    </row>
    <row r="11" spans="1:35" x14ac:dyDescent="0.25">
      <c r="B11" s="305"/>
      <c r="C11" s="306"/>
      <c r="D11" s="2868">
        <v>5</v>
      </c>
      <c r="E11" s="523"/>
      <c r="F11" s="327"/>
      <c r="G11" s="327"/>
      <c r="H11" s="327"/>
      <c r="I11" s="2869">
        <f t="shared" si="0"/>
        <v>0</v>
      </c>
      <c r="J11" s="2869"/>
      <c r="K11" s="2868"/>
      <c r="L11" s="2870"/>
      <c r="M11" s="2870"/>
      <c r="N11" s="2871"/>
      <c r="O11" s="2870"/>
      <c r="P11" s="2871"/>
      <c r="Q11" s="2872"/>
      <c r="R11" s="88"/>
      <c r="S11" s="307"/>
    </row>
    <row r="12" spans="1:35" ht="15" thickBot="1" x14ac:dyDescent="0.3">
      <c r="B12" s="305"/>
      <c r="C12" s="306"/>
      <c r="D12" s="1767">
        <v>6</v>
      </c>
      <c r="E12" s="524"/>
      <c r="F12" s="513"/>
      <c r="G12" s="513"/>
      <c r="H12" s="513"/>
      <c r="I12" s="1768">
        <f t="shared" si="0"/>
        <v>0</v>
      </c>
      <c r="J12" s="1768"/>
      <c r="K12" s="1767"/>
      <c r="L12" s="1769"/>
      <c r="M12" s="1769"/>
      <c r="N12" s="1770"/>
      <c r="O12" s="1769"/>
      <c r="P12" s="1770"/>
      <c r="Q12" s="1771"/>
      <c r="R12" s="88"/>
      <c r="S12" s="307"/>
    </row>
    <row r="13" spans="1:35" s="144" customFormat="1" ht="15" thickBot="1" x14ac:dyDescent="0.3">
      <c r="A13" s="750"/>
      <c r="B13" s="305"/>
      <c r="C13" s="306"/>
      <c r="D13" s="724" t="s">
        <v>1090</v>
      </c>
      <c r="E13" s="645"/>
      <c r="F13" s="645"/>
      <c r="G13" s="645"/>
      <c r="H13" s="645"/>
      <c r="I13" s="645"/>
      <c r="J13" s="645"/>
      <c r="K13" s="645"/>
      <c r="L13" s="645"/>
      <c r="M13" s="645"/>
      <c r="N13" s="645"/>
      <c r="O13" s="645"/>
      <c r="P13" s="645"/>
      <c r="Q13" s="645"/>
      <c r="R13" s="306"/>
      <c r="S13" s="307"/>
    </row>
    <row r="14" spans="1:35" s="32" customFormat="1" ht="15" thickBot="1" x14ac:dyDescent="0.3">
      <c r="B14" s="644"/>
      <c r="C14" s="644"/>
      <c r="D14" s="644"/>
      <c r="E14" s="979">
        <v>1</v>
      </c>
      <c r="F14" s="979">
        <v>1</v>
      </c>
      <c r="G14" s="979">
        <v>1</v>
      </c>
      <c r="H14" s="979">
        <v>1</v>
      </c>
      <c r="I14" s="979">
        <v>1</v>
      </c>
      <c r="J14" s="979">
        <v>0</v>
      </c>
      <c r="K14" s="979">
        <v>0</v>
      </c>
      <c r="L14" s="979">
        <v>1</v>
      </c>
      <c r="M14" s="979">
        <v>0</v>
      </c>
      <c r="N14" s="979">
        <v>0</v>
      </c>
      <c r="O14" s="979">
        <v>1</v>
      </c>
      <c r="P14" s="979">
        <v>1</v>
      </c>
      <c r="Q14" s="979">
        <v>0</v>
      </c>
      <c r="R14" s="644"/>
      <c r="S14" s="644"/>
    </row>
    <row r="15" spans="1:35" s="42" customFormat="1" x14ac:dyDescent="0.25">
      <c r="A15" s="32"/>
      <c r="U15" s="561"/>
      <c r="V15" s="562"/>
      <c r="W15" s="562"/>
      <c r="X15" s="562"/>
      <c r="Y15" s="2"/>
      <c r="Z15" s="2"/>
      <c r="AA15" s="2"/>
      <c r="AB15" s="2"/>
      <c r="AC15" s="2"/>
      <c r="AD15" s="2"/>
      <c r="AE15" s="3"/>
      <c r="AF15" s="10"/>
      <c r="AG15" s="10"/>
      <c r="AH15" s="10"/>
      <c r="AI15" s="10"/>
    </row>
    <row r="16" spans="1:35" s="42" customFormat="1" ht="16.5" x14ac:dyDescent="0.3">
      <c r="A16" s="32"/>
      <c r="U16" s="567"/>
      <c r="V16" s="246"/>
      <c r="W16" s="568" t="s">
        <v>1091</v>
      </c>
      <c r="X16" s="568"/>
      <c r="Y16" s="246"/>
      <c r="Z16" s="246"/>
      <c r="AA16" s="246"/>
      <c r="AB16" s="246"/>
      <c r="AC16" s="246"/>
      <c r="AD16" s="582"/>
      <c r="AE16" s="6"/>
      <c r="AF16" s="10"/>
      <c r="AG16" s="10"/>
      <c r="AH16" s="10"/>
      <c r="AI16" s="10"/>
    </row>
    <row r="17" spans="1:35" s="42" customFormat="1" x14ac:dyDescent="0.25">
      <c r="A17" s="32"/>
      <c r="U17" s="563"/>
      <c r="V17" s="150"/>
      <c r="W17" s="12" t="s">
        <v>942</v>
      </c>
      <c r="X17" s="12"/>
      <c r="Y17" s="150"/>
      <c r="Z17" s="55" t="s">
        <v>47</v>
      </c>
      <c r="AA17" s="55" t="s">
        <v>508</v>
      </c>
      <c r="AB17" s="150"/>
      <c r="AC17" s="53"/>
      <c r="AD17" s="5"/>
      <c r="AE17" s="6"/>
      <c r="AF17" s="10"/>
      <c r="AG17" s="10"/>
      <c r="AH17" s="10"/>
      <c r="AI17" s="10"/>
    </row>
    <row r="18" spans="1:35" x14ac:dyDescent="0.25">
      <c r="U18" s="563"/>
      <c r="V18" s="114"/>
      <c r="W18" s="130" t="s">
        <v>1092</v>
      </c>
      <c r="X18" s="130"/>
      <c r="Y18" s="130"/>
      <c r="Z18" s="895">
        <f>MIN(Sales_ActualEGIMRange)</f>
        <v>0</v>
      </c>
      <c r="AA18" s="896">
        <f>MIN(Sales_StabilizedEGIMRange)</f>
        <v>0</v>
      </c>
      <c r="AB18" s="130"/>
      <c r="AC18" s="5"/>
      <c r="AD18" s="5"/>
      <c r="AE18" s="6"/>
      <c r="AF18" s="10"/>
      <c r="AG18" s="10"/>
      <c r="AH18" s="10"/>
      <c r="AI18" s="10"/>
    </row>
    <row r="19" spans="1:35" x14ac:dyDescent="0.25">
      <c r="U19" s="563"/>
      <c r="V19" s="114"/>
      <c r="W19" s="130" t="s">
        <v>1093</v>
      </c>
      <c r="X19" s="130"/>
      <c r="Y19" s="130"/>
      <c r="Z19" s="895">
        <f>MAX(Sales_ActualEGIMRange)</f>
        <v>0</v>
      </c>
      <c r="AA19" s="896">
        <f>MAX(Sales_StabilizedEGIMRange)</f>
        <v>0</v>
      </c>
      <c r="AB19" s="130"/>
      <c r="AC19" s="5"/>
      <c r="AD19" s="5"/>
      <c r="AE19" s="6"/>
      <c r="AF19" s="10"/>
      <c r="AG19" s="10"/>
      <c r="AH19" s="10"/>
      <c r="AI19" s="10"/>
    </row>
    <row r="20" spans="1:35" x14ac:dyDescent="0.25">
      <c r="U20" s="563"/>
      <c r="V20" s="114"/>
      <c r="W20" s="130" t="s">
        <v>1094</v>
      </c>
      <c r="X20" s="130"/>
      <c r="Y20" s="130"/>
      <c r="Z20" s="895" t="e">
        <f>MEDIAN(Sales_ActualEGIMRange)</f>
        <v>#NUM!</v>
      </c>
      <c r="AA20" s="896" t="e">
        <f>MEDIAN(Sales_StabilizedEGIMRange)</f>
        <v>#NUM!</v>
      </c>
      <c r="AB20" s="130"/>
      <c r="AC20" s="5"/>
      <c r="AD20" s="5"/>
      <c r="AE20" s="6"/>
      <c r="AF20" s="10"/>
      <c r="AG20" s="10"/>
      <c r="AH20" s="10"/>
      <c r="AI20" s="10"/>
    </row>
    <row r="21" spans="1:35" ht="15" thickBot="1" x14ac:dyDescent="0.3">
      <c r="U21" s="563"/>
      <c r="V21" s="114"/>
      <c r="W21" s="99" t="s">
        <v>1095</v>
      </c>
      <c r="X21" s="99"/>
      <c r="Y21" s="99"/>
      <c r="Z21" s="897" t="e">
        <f>AVERAGE(Sales_ActualEGIMRange)</f>
        <v>#DIV/0!</v>
      </c>
      <c r="AA21" s="898" t="e">
        <f>AVERAGE(Sales_StabilizedEGIMRange)</f>
        <v>#DIV/0!</v>
      </c>
      <c r="AB21" s="130"/>
      <c r="AC21" s="5"/>
      <c r="AD21" s="5"/>
      <c r="AE21" s="6"/>
      <c r="AF21" s="10"/>
      <c r="AG21" s="10"/>
      <c r="AH21" s="10"/>
      <c r="AI21" s="10"/>
    </row>
    <row r="22" spans="1:35" x14ac:dyDescent="0.25">
      <c r="U22" s="563"/>
      <c r="V22" s="52"/>
      <c r="W22" s="18" t="s">
        <v>958</v>
      </c>
      <c r="X22" s="18"/>
      <c r="Y22" s="18"/>
      <c r="Z22" s="894">
        <f>STDEV(Sales_UnAdjustedRange)</f>
        <v>25.544824419712288</v>
      </c>
      <c r="AA22" s="894">
        <f>IF(Sales_AdjType="Qualitative","N/A",STDEV(Sales_FinalAdjustedRange))</f>
        <v>8.0232570277146174</v>
      </c>
      <c r="AB22" s="18"/>
      <c r="AC22" s="5"/>
      <c r="AD22" s="5"/>
      <c r="AE22" s="6"/>
      <c r="AF22" s="10"/>
      <c r="AG22" s="10"/>
      <c r="AH22" s="10"/>
      <c r="AI22" s="10"/>
    </row>
    <row r="23" spans="1:35" ht="15" thickBot="1" x14ac:dyDescent="0.3">
      <c r="U23" s="564"/>
      <c r="V23" s="565"/>
      <c r="W23" s="552" t="s">
        <v>1096</v>
      </c>
      <c r="X23" s="552"/>
      <c r="Y23" s="7"/>
      <c r="Z23" s="7"/>
      <c r="AA23" s="7"/>
      <c r="AB23" s="7"/>
      <c r="AC23" s="7"/>
      <c r="AD23" s="7"/>
      <c r="AE23" s="9"/>
      <c r="AF23" s="10"/>
      <c r="AG23" s="10"/>
      <c r="AH23" s="10"/>
      <c r="AI23" s="10"/>
    </row>
    <row r="24" spans="1:35" ht="15" thickBot="1" x14ac:dyDescent="0.3">
      <c r="U24" s="32"/>
      <c r="V24" s="32"/>
      <c r="W24" s="569"/>
      <c r="X24" s="569"/>
      <c r="Y24" s="10"/>
      <c r="Z24" s="10"/>
      <c r="AA24" s="10"/>
      <c r="AB24" s="10"/>
      <c r="AC24" s="10"/>
      <c r="AD24" s="10"/>
      <c r="AE24" s="10"/>
      <c r="AF24" s="10"/>
      <c r="AG24" s="10"/>
      <c r="AH24" s="10"/>
      <c r="AI24" s="10"/>
    </row>
    <row r="25" spans="1:35" x14ac:dyDescent="0.25">
      <c r="U25" s="1"/>
      <c r="V25" s="2"/>
      <c r="W25" s="2"/>
      <c r="X25" s="2"/>
      <c r="Y25" s="2"/>
      <c r="Z25" s="2"/>
      <c r="AA25" s="202"/>
      <c r="AB25" s="2"/>
      <c r="AC25" s="202"/>
      <c r="AD25" s="2"/>
      <c r="AE25" s="3"/>
      <c r="AF25" s="10"/>
      <c r="AG25" s="10"/>
      <c r="AH25" s="10"/>
      <c r="AI25" s="10"/>
    </row>
    <row r="26" spans="1:35" ht="16.5" x14ac:dyDescent="0.3">
      <c r="U26" s="4"/>
      <c r="V26" s="17"/>
      <c r="W26" s="525" t="str">
        <f>IF(AND(dpSort_DOV_2="N/A",dpSort_DOV_3="N/A"),"Effective Gross Income Multiplier Value Indication","Effective Gross Income Multiplier Value Indications")</f>
        <v>Effective Gross Income Multiplier Value Indication</v>
      </c>
      <c r="X26" s="525"/>
      <c r="Y26" s="17"/>
      <c r="Z26" s="240"/>
      <c r="AA26" s="17"/>
      <c r="AB26" s="17"/>
      <c r="AC26" s="17"/>
      <c r="AD26" s="10"/>
      <c r="AE26" s="6"/>
      <c r="AF26" s="10"/>
      <c r="AG26" s="10"/>
      <c r="AH26" s="10"/>
      <c r="AI26" s="10"/>
    </row>
    <row r="27" spans="1:35" x14ac:dyDescent="0.25">
      <c r="U27" s="4"/>
      <c r="V27" s="101"/>
      <c r="W27" s="101"/>
      <c r="X27" s="101"/>
      <c r="Y27" s="137"/>
      <c r="Z27" s="137"/>
      <c r="AA27" s="137"/>
      <c r="AB27" s="137"/>
      <c r="AC27" s="137"/>
      <c r="AD27" s="101"/>
      <c r="AE27" s="6"/>
      <c r="AF27" s="10"/>
      <c r="AG27" s="10"/>
      <c r="AH27" s="10"/>
      <c r="AI27" s="10"/>
    </row>
    <row r="28" spans="1:35" x14ac:dyDescent="0.25">
      <c r="U28" s="4"/>
      <c r="V28" s="101"/>
      <c r="W28" s="2137" t="s">
        <v>1831</v>
      </c>
      <c r="X28" s="2137"/>
      <c r="Y28" s="137"/>
      <c r="Z28" s="241"/>
      <c r="AA28" s="137"/>
      <c r="AB28" s="137"/>
      <c r="AC28" s="137"/>
      <c r="AD28" s="101"/>
      <c r="AE28" s="6"/>
      <c r="AF28" s="10"/>
      <c r="AG28" s="10"/>
      <c r="AH28" s="10"/>
      <c r="AI28" s="10"/>
    </row>
    <row r="29" spans="1:35" x14ac:dyDescent="0.25">
      <c r="U29" s="4"/>
      <c r="V29" s="101"/>
      <c r="W29" s="1124"/>
      <c r="X29" s="625">
        <f ca="1">dpIncome_EGI</f>
        <v>353968</v>
      </c>
      <c r="Y29" s="137" t="s">
        <v>176</v>
      </c>
      <c r="Z29" s="749"/>
      <c r="AA29" s="137" t="s">
        <v>177</v>
      </c>
      <c r="AB29" s="101"/>
      <c r="AC29" s="726">
        <f ca="1">X29*Z29</f>
        <v>0</v>
      </c>
      <c r="AD29" s="101"/>
      <c r="AE29" s="6"/>
      <c r="AF29" s="10"/>
      <c r="AG29" s="10"/>
      <c r="AH29" s="10"/>
      <c r="AI29" s="10"/>
    </row>
    <row r="30" spans="1:35" x14ac:dyDescent="0.25">
      <c r="U30" s="4"/>
      <c r="V30" s="101"/>
      <c r="W30" s="1124"/>
      <c r="X30" s="101"/>
      <c r="Y30" s="137"/>
      <c r="Z30" s="137"/>
      <c r="AA30" s="137"/>
      <c r="AB30" s="101"/>
      <c r="AC30" s="875"/>
      <c r="AD30" s="101"/>
      <c r="AE30" s="6"/>
      <c r="AF30" s="10"/>
      <c r="AG30" s="10"/>
      <c r="AH30" s="10"/>
      <c r="AI30" s="10"/>
    </row>
    <row r="31" spans="1:35" x14ac:dyDescent="0.25">
      <c r="U31" s="4"/>
      <c r="V31" s="101"/>
      <c r="W31" s="1124"/>
      <c r="X31" s="625">
        <f ca="1">dpIncome_EGI</f>
        <v>353968</v>
      </c>
      <c r="Y31" s="137" t="s">
        <v>176</v>
      </c>
      <c r="Z31" s="749"/>
      <c r="AA31" s="137" t="s">
        <v>177</v>
      </c>
      <c r="AB31" s="101"/>
      <c r="AC31" s="726">
        <f ca="1">X31*Z31</f>
        <v>0</v>
      </c>
      <c r="AD31" s="101"/>
      <c r="AE31" s="6"/>
      <c r="AF31" s="10"/>
      <c r="AG31" s="10"/>
      <c r="AH31" s="10"/>
      <c r="AI31" s="10"/>
    </row>
    <row r="32" spans="1:35" ht="15" thickBot="1" x14ac:dyDescent="0.3">
      <c r="U32" s="4"/>
      <c r="V32" s="101"/>
      <c r="W32" s="132" t="str">
        <f>IF(dpSale_Method="Whole Property",IF(AND(Sort_NumValues=1,SUM(B34:B38)=0),dpSort_ValueScenario_1,IF(Sort_Perspective_1="Prospective",IF(ISERR(SEARCH("Stabilization",Sort_Premise_1)),CONCATENATE("Preliminary Prospective Upon Stabilization ",dpSort_Interest_1," Value Indication"),CONCATENATE("Preliminary Prospective ",Sort_Premise_1," ",dpSort_Interest_1," Value Indication")),IF(Sort_Perspective_1="Retrospective",IF(ISERR(SEARCH("Stabilization",Sort_Premise_1)),CONCATENATE("Preliminary Retrospective As Stabilized ",dpSort_Interest_1," Indication"),CONCATENATE("Retrospective ",Sort_Premise_1,dpSort_Interest_1," Indication")),CONCATENATE("Preliminary As Stabilized ",dpSort_Interest_1," Value Indication")))),"Preliminary Contributory Value of the Subject Improvements Indication")</f>
        <v>Retrospective Fee Simple Market Value Indication</v>
      </c>
      <c r="X32" s="132"/>
      <c r="Y32" s="137"/>
      <c r="Z32" s="137"/>
      <c r="AA32" s="137"/>
      <c r="AB32" s="101"/>
      <c r="AC32" s="875"/>
      <c r="AD32" s="101"/>
      <c r="AE32" s="6"/>
      <c r="AF32" s="10"/>
      <c r="AG32" s="10"/>
      <c r="AH32" s="10"/>
      <c r="AI32" s="10"/>
    </row>
    <row r="33" spans="1:35" s="144" customFormat="1" ht="15" thickBot="1" x14ac:dyDescent="0.3">
      <c r="A33" s="750"/>
      <c r="U33" s="87"/>
      <c r="V33" s="424"/>
      <c r="W33" s="2142"/>
      <c r="X33" s="1192">
        <f ca="1">dpIncome_EGI</f>
        <v>353968</v>
      </c>
      <c r="Y33" s="1292" t="s">
        <v>176</v>
      </c>
      <c r="Z33" s="2141"/>
      <c r="AA33" s="1292" t="s">
        <v>177</v>
      </c>
      <c r="AB33" s="1121"/>
      <c r="AC33" s="2140">
        <f ca="1">MROUND(X33*dpSales_PreliminaryValue_EGIM,INDEX(Rounding_Options,MATCH(AH33,Rounding_Label,0),2))</f>
        <v>0</v>
      </c>
      <c r="AD33" s="424"/>
      <c r="AE33" s="89"/>
      <c r="AF33" s="36"/>
      <c r="AG33" s="165" t="s">
        <v>991</v>
      </c>
      <c r="AH33" s="801" t="s">
        <v>407</v>
      </c>
      <c r="AI33" s="36"/>
    </row>
    <row r="34" spans="1:35" ht="15.75" x14ac:dyDescent="0.25">
      <c r="A34" s="957">
        <f>IF(ValueAdj_Select1=1,1,0)</f>
        <v>0</v>
      </c>
      <c r="U34" s="4"/>
      <c r="V34" s="101"/>
      <c r="W34" s="2117" t="str">
        <f>IF(ValueAdj_Select1=1,1,"")</f>
        <v/>
      </c>
      <c r="X34" s="1372" t="s">
        <v>259</v>
      </c>
      <c r="Y34" s="137"/>
      <c r="Z34" s="875"/>
      <c r="AA34" s="1372"/>
      <c r="AB34" s="101"/>
      <c r="AC34" s="428">
        <f>IF(ValueAdj_Select1=1,-dpCost_CurableItemCost_Total,0)</f>
        <v>0</v>
      </c>
      <c r="AD34" s="101"/>
      <c r="AE34" s="6"/>
      <c r="AF34" s="10"/>
      <c r="AG34" s="10"/>
      <c r="AH34" s="10"/>
      <c r="AI34" s="10"/>
    </row>
    <row r="35" spans="1:35" ht="15.75" x14ac:dyDescent="0.25">
      <c r="A35" s="957">
        <f>IF(ValueAdj_Select2=1,1,0)</f>
        <v>0</v>
      </c>
      <c r="U35" s="4"/>
      <c r="V35" s="101"/>
      <c r="W35" s="2117" t="str">
        <f>IF(ValueAdj_Select2=1,COUNT(W34)+1,"")</f>
        <v/>
      </c>
      <c r="X35" s="764" t="str">
        <f>IF('Selection Tables'!$M$16=TRUE,IF(ValueAdj_Select2=1,"Less Lease-Up Discount:","N/A"),"N/A")</f>
        <v>N/A</v>
      </c>
      <c r="Y35" s="137"/>
      <c r="Z35" s="875"/>
      <c r="AA35" s="1372"/>
      <c r="AB35" s="101"/>
      <c r="AC35" s="428">
        <f>IF('Selection Tables'!$M$16=TRUE,IF(ValueAdj_Select2=1,-dpValue_LUD_Reconciled,0),0)</f>
        <v>0</v>
      </c>
      <c r="AD35" s="101"/>
      <c r="AE35" s="6"/>
      <c r="AF35" s="10"/>
      <c r="AG35" s="10"/>
      <c r="AH35" s="10"/>
      <c r="AI35" s="10"/>
    </row>
    <row r="36" spans="1:35" ht="15.75" x14ac:dyDescent="0.25">
      <c r="A36" s="957">
        <f>IF('Selection Tables'!$N$16=TRUE,IF(ValueAdj_Select3=1,1,0),0)</f>
        <v>0</v>
      </c>
      <c r="U36" s="4"/>
      <c r="V36" s="101"/>
      <c r="W36" s="2117" t="str">
        <f>IF(AdjSelect_LeaseHold_SCA=TRUE,IF(ValueAdj_Select3=1,COUNT(W34:W35)+1,""),"")</f>
        <v/>
      </c>
      <c r="X36" s="1372" t="str">
        <f>IF('Selection Tables'!$N$16=TRUE,IF(ValueAdj_Select3=1,IF(dpValue_LeaseholdAdjustment&lt;0,"Less Positive Leasehold Estate:","Plus Negative Leasehold Estate:"),"N/A"),"N/A")</f>
        <v>N/A</v>
      </c>
      <c r="Y36" s="137"/>
      <c r="Z36" s="875"/>
      <c r="AA36" s="1372"/>
      <c r="AB36" s="101"/>
      <c r="AC36" s="428">
        <f>IF('Selection Tables'!$N$16=TRUE,IF(ValueAdj_Select3=1,dpValue_LeaseholdAdjustment,0),0)</f>
        <v>0</v>
      </c>
      <c r="AD36" s="101"/>
      <c r="AE36" s="6"/>
      <c r="AF36" s="10"/>
      <c r="AG36" s="10"/>
      <c r="AH36" s="10"/>
      <c r="AI36" s="10"/>
    </row>
    <row r="37" spans="1:35" ht="15.75" x14ac:dyDescent="0.25">
      <c r="A37" s="957">
        <f>IF('Selection Tables'!$O$16=TRUE,IF(ValueAdj_Select4=1,1,0),0)</f>
        <v>0</v>
      </c>
      <c r="U37" s="4"/>
      <c r="V37" s="101"/>
      <c r="W37" s="2117" t="str">
        <f>IF(AdjSelect_UserDef1_SCA=TRUE,IF(ValueAdj_Select4=1,COUNT(W34:W36)+1,""),"")</f>
        <v/>
      </c>
      <c r="X37" s="764" t="str">
        <f>IF('Selection Tables'!$O$16=TRUE,IF(ValueAdj_Select4=1,IF(dpValue_UserDef1Adjustment_Value&lt;0,CONCATENATE("Less ",dpValue_UserDef1Adjustment_Name,":"),CONCATENATE("Plus ",dpValue_UserDef1Adjustment_Name,":")),"N/A"),"N/A")</f>
        <v>N/A</v>
      </c>
      <c r="Y37" s="137"/>
      <c r="Z37" s="875"/>
      <c r="AA37" s="1372"/>
      <c r="AB37" s="101"/>
      <c r="AC37" s="428">
        <f>IF('Selection Tables'!$O$16=TRUE,IF(ValueAdj_Select4=1,dpValue_UserDef1Adjustment_Value,0),0)</f>
        <v>0</v>
      </c>
      <c r="AD37" s="101"/>
      <c r="AE37" s="6"/>
      <c r="AF37" s="10"/>
      <c r="AG37" s="10"/>
      <c r="AH37" s="10"/>
      <c r="AI37" s="10"/>
    </row>
    <row r="38" spans="1:35" ht="16.5" thickBot="1" x14ac:dyDescent="0.3">
      <c r="A38" s="957">
        <f>IF('Selection Tables'!$P$16=TRUE,IF(ValueAdj_Select5=1,1,0),0)</f>
        <v>0</v>
      </c>
      <c r="U38" s="4"/>
      <c r="V38" s="101"/>
      <c r="W38" s="2117" t="str">
        <f>IF(AdjSelect_UserDef2_SCA=TRUE,IF(ValueAdj_Select5=1,COUNT(W34:W37)+1,""),"")</f>
        <v/>
      </c>
      <c r="X38" s="764" t="str">
        <f>IF('Selection Tables'!$P$16=TRUE,IF(ValueAdj_Select5=1,IF(dpValue_UserDef2Adjustment_Value&lt;0,CONCATENATE("Less ",dpValue_UserDef2Adjustment_Name,":"),CONCATENATE("Plus ",dpValue_UserDef2Adjustment_Name,":")),"N/A"),"N/A")</f>
        <v>N/A</v>
      </c>
      <c r="Y38" s="137"/>
      <c r="Z38" s="875"/>
      <c r="AA38" s="1372"/>
      <c r="AB38" s="101"/>
      <c r="AC38" s="428">
        <f>IF('Selection Tables'!$P$16=TRUE,IF(ValueAdj_Select5=1,dpValue_UserDef2Adjustment_Value,0),0)</f>
        <v>0</v>
      </c>
      <c r="AD38" s="101"/>
      <c r="AE38" s="6"/>
      <c r="AF38" s="10"/>
      <c r="AG38" s="10"/>
      <c r="AH38" s="10"/>
      <c r="AI38" s="10"/>
    </row>
    <row r="39" spans="1:35" ht="15" thickBot="1" x14ac:dyDescent="0.3">
      <c r="A39" s="957">
        <f>IF(AND(Sort_NumValues=1,SUM(A34:A38)=0),0,1)</f>
        <v>0</v>
      </c>
      <c r="U39" s="4"/>
      <c r="V39" s="101"/>
      <c r="W39" s="102" t="str">
        <f>dpSort_ValueScenario_1</f>
        <v>Retrospective Fee Simple Market Value Indication</v>
      </c>
      <c r="X39" s="132"/>
      <c r="Y39" s="137"/>
      <c r="Z39" s="138"/>
      <c r="AA39" s="138"/>
      <c r="AB39" s="101"/>
      <c r="AC39" s="427">
        <f ca="1">MROUND(SUM(AC33:AC38),INDEX(Rounding_Options,MATCH(AH39,Rounding_Label,0),2))</f>
        <v>0</v>
      </c>
      <c r="AD39" s="101"/>
      <c r="AE39" s="6"/>
      <c r="AF39" s="10"/>
      <c r="AG39" s="150" t="s">
        <v>991</v>
      </c>
      <c r="AH39" s="702" t="s">
        <v>1037</v>
      </c>
      <c r="AI39" s="10"/>
    </row>
    <row r="40" spans="1:35" ht="15.75" x14ac:dyDescent="0.25">
      <c r="A40" s="957">
        <f>IF(ValueAdj_Select1=2,1,0)</f>
        <v>0</v>
      </c>
      <c r="U40" s="4"/>
      <c r="V40" s="101"/>
      <c r="W40" s="2118" t="str">
        <f>IF(ValueAdj_Select1=2,COUNT(W34:W38)+1,"")</f>
        <v/>
      </c>
      <c r="X40" s="1372" t="s">
        <v>259</v>
      </c>
      <c r="Y40" s="137"/>
      <c r="Z40" s="138"/>
      <c r="AA40" s="138"/>
      <c r="AB40" s="101"/>
      <c r="AC40" s="428">
        <f>IF(ValueAdj_Select1=2,-dpCost_CurableItemCost_Total,0)</f>
        <v>0</v>
      </c>
      <c r="AD40" s="101"/>
      <c r="AE40" s="6"/>
      <c r="AF40" s="10"/>
      <c r="AG40" s="10"/>
      <c r="AH40" s="10"/>
      <c r="AI40" s="10"/>
    </row>
    <row r="41" spans="1:35" ht="15.75" x14ac:dyDescent="0.25">
      <c r="A41" s="957">
        <f>IF(ValueAdj_Select2=2,1,0)</f>
        <v>0</v>
      </c>
      <c r="U41" s="4"/>
      <c r="V41" s="101"/>
      <c r="W41" s="2118" t="str">
        <f>IF(ValueAdj_Select2=2,COUNT(W34:W38,W40)+1,"")</f>
        <v/>
      </c>
      <c r="X41" s="764" t="str">
        <f>IF('Selection Tables'!$M$16=TRUE,IF(ValueAdj_Select2=2,"Less Lease-Up Discount:","N/A"),"N/A")</f>
        <v>N/A</v>
      </c>
      <c r="Y41" s="137"/>
      <c r="Z41" s="138"/>
      <c r="AA41" s="138"/>
      <c r="AB41" s="101"/>
      <c r="AC41" s="428">
        <f>IF('Selection Tables'!$M$16=TRUE,IF(ValueAdj_Select2=2,-dpValue_LUD_Reconciled,0),0)</f>
        <v>0</v>
      </c>
      <c r="AD41" s="101"/>
      <c r="AE41" s="6"/>
      <c r="AF41" s="10"/>
      <c r="AG41" s="10"/>
      <c r="AH41" s="10"/>
      <c r="AI41" s="10"/>
    </row>
    <row r="42" spans="1:35" ht="15.75" x14ac:dyDescent="0.25">
      <c r="A42" s="957">
        <f>IF('Selection Tables'!$N$16=TRUE,IF(ValueAdj_Select3=2,1,0),0)</f>
        <v>0</v>
      </c>
      <c r="U42" s="4"/>
      <c r="V42" s="101"/>
      <c r="W42" s="2118" t="str">
        <f>IF(AdjSelect_LeaseHold_SCA=TRUE,IF(ValueAdj_Select3=2,COUNT(W34:W38,W40:W41)+1,""),"")</f>
        <v/>
      </c>
      <c r="X42" s="1372" t="str">
        <f>IF('Selection Tables'!$N$16=TRUE,IF(ValueAdj_Select3=2,IF(dpValue_LeaseholdAdjustment&lt;0,"Less Positive Leasehold Estate:","Plus Negative Leasehold Estate:"),"N/A"),"N/A")</f>
        <v>N/A</v>
      </c>
      <c r="Y42" s="137"/>
      <c r="Z42" s="138"/>
      <c r="AA42" s="138"/>
      <c r="AB42" s="101"/>
      <c r="AC42" s="428">
        <f>IF('Selection Tables'!$N$16=TRUE,IF(ValueAdj_Select3=2,dpValue_LeaseholdAdjustment,0),0)</f>
        <v>0</v>
      </c>
      <c r="AD42" s="101"/>
      <c r="AE42" s="6"/>
      <c r="AF42" s="10"/>
      <c r="AG42" s="10"/>
      <c r="AH42" s="10"/>
      <c r="AI42" s="10"/>
    </row>
    <row r="43" spans="1:35" ht="15.75" x14ac:dyDescent="0.25">
      <c r="A43" s="957">
        <f>IF('Selection Tables'!$O$16=TRUE,IF(ValueAdj_Select4=2,1,0),0)</f>
        <v>0</v>
      </c>
      <c r="U43" s="4"/>
      <c r="V43" s="101"/>
      <c r="W43" s="2118" t="str">
        <f>IF(AdjSelect_UserDef1_SCA=TRUE,IF(ValueAdj_Select4=2,COUNT(W34:W38,W40:W42)+1,""),"")</f>
        <v/>
      </c>
      <c r="X43" s="764" t="str">
        <f>IF('Selection Tables'!$O$16=TRUE,IF(ValueAdj_Select4=2,IF(dpValue_UserDef1Adjustment_Value&lt;0,CONCATENATE("Less ",dpValue_UserDef1Adjustment_Name,":"),CONCATENATE("Plus ",dpValue_UserDef1Adjustment_Name,":")),"N/A"),"N/A")</f>
        <v>N/A</v>
      </c>
      <c r="Y43" s="137"/>
      <c r="Z43" s="138"/>
      <c r="AA43" s="138"/>
      <c r="AB43" s="101"/>
      <c r="AC43" s="428">
        <f>IF('Selection Tables'!$O$16=TRUE,IF(ValueAdj_Select4=2,dpValue_UserDef1Adjustment_Value,0),0)</f>
        <v>0</v>
      </c>
      <c r="AD43" s="101"/>
      <c r="AE43" s="6"/>
      <c r="AF43" s="10"/>
      <c r="AG43" s="10"/>
      <c r="AH43" s="10"/>
      <c r="AI43" s="10"/>
    </row>
    <row r="44" spans="1:35" ht="16.5" thickBot="1" x14ac:dyDescent="0.3">
      <c r="A44" s="957">
        <f>IF('Selection Tables'!$P$16=TRUE,IF(ValueAdj_Select5=2,1,0),0)</f>
        <v>0</v>
      </c>
      <c r="U44" s="4"/>
      <c r="V44" s="101"/>
      <c r="W44" s="2118" t="str">
        <f>IF(AdjSelect_UserDef2_SCA=TRUE,IF(ValueAdj_Select5=2,COUNT(W34:W38,W40:W43)+1,""),"")</f>
        <v/>
      </c>
      <c r="X44" s="764" t="str">
        <f>IF('Selection Tables'!$P$16=TRUE,IF(ValueAdj_Select5=2,IF(dpValue_UserDef2Adjustment_Value&lt;0,CONCATENATE("Less ",dpValue_UserDef2Adjustment_Name,":"),CONCATENATE("Plus ",dpValue_UserDef2Adjustment_Name,":")),"N/A"),"N/A")</f>
        <v>N/A</v>
      </c>
      <c r="Y44" s="137"/>
      <c r="Z44" s="138"/>
      <c r="AA44" s="138"/>
      <c r="AB44" s="101"/>
      <c r="AC44" s="428">
        <f>IF('Selection Tables'!$P$16=TRUE,IF(ValueAdj_Select5=2,dpValue_UserDef2Adjustment_Value,0),0)</f>
        <v>0</v>
      </c>
      <c r="AD44" s="101"/>
      <c r="AE44" s="6"/>
      <c r="AF44" s="10"/>
      <c r="AG44" s="10"/>
      <c r="AH44" s="10"/>
      <c r="AI44" s="10"/>
    </row>
    <row r="45" spans="1:35" ht="15" thickBot="1" x14ac:dyDescent="0.3">
      <c r="A45" s="957">
        <f>IF(Sort_NumValues&gt;1,1,0)</f>
        <v>0</v>
      </c>
      <c r="U45" s="4"/>
      <c r="V45" s="101"/>
      <c r="W45" s="171" t="str">
        <f>IF(Sort_NumValues&gt;1,dpSort_ValueScenario_2,"N/A")</f>
        <v>N/A</v>
      </c>
      <c r="X45" s="921"/>
      <c r="Y45" s="137"/>
      <c r="Z45" s="138"/>
      <c r="AA45" s="138"/>
      <c r="AB45" s="101"/>
      <c r="AC45" s="427" t="str">
        <f>IF(Sort_NumValues&gt;1,MROUND(SUM(AC39:AC44),INDEX(Rounding_Options,MATCH(AH45,Rounding_Label,0),2)),"N/A")</f>
        <v>N/A</v>
      </c>
      <c r="AD45" s="101"/>
      <c r="AE45" s="6"/>
      <c r="AF45" s="10"/>
      <c r="AG45" s="150" t="s">
        <v>991</v>
      </c>
      <c r="AH45" s="702" t="s">
        <v>1037</v>
      </c>
      <c r="AI45" s="10"/>
    </row>
    <row r="46" spans="1:35" ht="15.75" x14ac:dyDescent="0.25">
      <c r="A46" s="957">
        <f>IF(ValueAdj_Select1=3,1,0)</f>
        <v>0</v>
      </c>
      <c r="U46" s="4"/>
      <c r="V46" s="101"/>
      <c r="W46" s="2118" t="str">
        <f>IF(ValueAdj_Select1=3,COUNT(W34:W38,W40:W44)+1,"")</f>
        <v/>
      </c>
      <c r="X46" s="764" t="s">
        <v>259</v>
      </c>
      <c r="Y46" s="137"/>
      <c r="Z46" s="138"/>
      <c r="AA46" s="138"/>
      <c r="AB46" s="101"/>
      <c r="AC46" s="428">
        <f>IF(ValueAdj_Select1=3,-dpCost_CurableItemCost_Total,0)</f>
        <v>0</v>
      </c>
      <c r="AD46" s="101"/>
      <c r="AE46" s="6"/>
      <c r="AF46" s="10"/>
      <c r="AG46" s="10"/>
      <c r="AH46" s="10"/>
      <c r="AI46" s="10"/>
    </row>
    <row r="47" spans="1:35" ht="15.75" x14ac:dyDescent="0.25">
      <c r="A47" s="957">
        <f>IF(ValueAdj_Select2=3,1,0)</f>
        <v>0</v>
      </c>
      <c r="U47" s="4"/>
      <c r="V47" s="101"/>
      <c r="W47" s="2118" t="str">
        <f>IF(ValueAdj_Select2=3,COUNT(W34:W38,W40:W44,W46)+1,"")</f>
        <v/>
      </c>
      <c r="X47" s="764" t="str">
        <f>IF('Selection Tables'!$M$16=TRUE,IF(ValueAdj_Select2=3,"Less Lease-Up Discount:","N/A"),"N/A")</f>
        <v>N/A</v>
      </c>
      <c r="Y47" s="137"/>
      <c r="Z47" s="138"/>
      <c r="AA47" s="138"/>
      <c r="AB47" s="101"/>
      <c r="AC47" s="428">
        <f>IF('Selection Tables'!$M$16=TRUE,IF(ValueAdj_Select2=3,-dpValue_LUD_Reconciled,0),0)</f>
        <v>0</v>
      </c>
      <c r="AD47" s="101"/>
      <c r="AE47" s="6"/>
      <c r="AF47" s="10"/>
      <c r="AG47" s="10"/>
      <c r="AH47" s="10"/>
      <c r="AI47" s="10"/>
    </row>
    <row r="48" spans="1:35" ht="15.75" x14ac:dyDescent="0.25">
      <c r="A48" s="957">
        <f>IF('Selection Tables'!$O$16=TRUE,IF(ValueAdj_Select4=3,1,0),0)</f>
        <v>0</v>
      </c>
      <c r="U48" s="4"/>
      <c r="V48" s="101"/>
      <c r="W48" s="2118" t="str">
        <f>IF(AdjSelect_UserDef1_SCA=TRUE,IF(ValueAdj_Select4=3,COUNT(W34:W38,W40:W44,W46:W47)+1,""),"")</f>
        <v/>
      </c>
      <c r="X48" s="764" t="str">
        <f>IF('Selection Tables'!$O$16=TRUE,IF(ValueAdj_Select4=3,IF(dpValue_UserDef1Adjustment_Value&lt;0,CONCATENATE("Less ",dpValue_UserDef1Adjustment_Name,":"),CONCATENATE("Plus ",dpValue_UserDef1Adjustment_Name,":")),"N/A"),"N/A")</f>
        <v>N/A</v>
      </c>
      <c r="Y48" s="137"/>
      <c r="Z48" s="138"/>
      <c r="AA48" s="138"/>
      <c r="AB48" s="101"/>
      <c r="AC48" s="428">
        <f>IF('Selection Tables'!$O$16=TRUE,IF(ValueAdj_Select4=3,dpValue_UserDef1Adjustment_Value,0),0)</f>
        <v>0</v>
      </c>
      <c r="AD48" s="101"/>
      <c r="AE48" s="6"/>
      <c r="AF48" s="10"/>
      <c r="AG48" s="10"/>
      <c r="AH48" s="10"/>
      <c r="AI48" s="10"/>
    </row>
    <row r="49" spans="1:35" ht="16.5" thickBot="1" x14ac:dyDescent="0.3">
      <c r="A49" s="957">
        <f>IF('Selection Tables'!$P$16=TRUE,IF(ValueAdj_Select5=3,1,0),0)</f>
        <v>0</v>
      </c>
      <c r="U49" s="4"/>
      <c r="V49" s="101"/>
      <c r="W49" s="2118" t="str">
        <f>IF(AdjSelect_UserDef2_SCA=TRUE,IF(ValueAdj_Select5=3,COUNT(W34:W38,W40:W44,W46:W48)+1,""),"")</f>
        <v/>
      </c>
      <c r="X49" s="764" t="str">
        <f>IF('Selection Tables'!$P$16=TRUE,IF(ValueAdj_Select5=3,IF(dpValue_UserDef2Adjustment_Value&lt;0,CONCATENATE("Less ",dpValue_UserDef2Adjustment_Name,":"),CONCATENATE("Plus ",dpValue_UserDef2Adjustment_Name,":")),"N/A"),"N/A")</f>
        <v>N/A</v>
      </c>
      <c r="Y49" s="137"/>
      <c r="Z49" s="138"/>
      <c r="AA49" s="138"/>
      <c r="AB49" s="101"/>
      <c r="AC49" s="428">
        <f>IF('Selection Tables'!$P$16=TRUE,IF(ValueAdj_Select5=3,dpValue_UserDef2Adjustment_Value,0),0)</f>
        <v>0</v>
      </c>
      <c r="AD49" s="101"/>
      <c r="AE49" s="6"/>
      <c r="AF49" s="10"/>
      <c r="AG49" s="10"/>
      <c r="AH49" s="10"/>
      <c r="AI49" s="10"/>
    </row>
    <row r="50" spans="1:35" ht="15" thickBot="1" x14ac:dyDescent="0.3">
      <c r="A50" s="957">
        <f>IF(Sort_NumValues&gt;2,1,0)</f>
        <v>0</v>
      </c>
      <c r="U50" s="4"/>
      <c r="V50" s="101"/>
      <c r="W50" s="171" t="str">
        <f>IF(Sort_NumValues&gt;2,dpSort_ValueScenario_3,"N/A")</f>
        <v>N/A</v>
      </c>
      <c r="X50" s="171"/>
      <c r="Y50" s="137"/>
      <c r="Z50" s="138"/>
      <c r="AA50" s="138"/>
      <c r="AB50" s="101"/>
      <c r="AC50" s="427" t="str">
        <f>IF(Sort_NumValues&gt;2,MROUND(SUM(AC45:AC49),INDEX(Rounding_Options,MATCH(AH50,Rounding_Label,0),2)),"N/A")</f>
        <v>N/A</v>
      </c>
      <c r="AD50" s="101"/>
      <c r="AE50" s="6"/>
      <c r="AF50" s="10"/>
      <c r="AG50" s="150" t="s">
        <v>991</v>
      </c>
      <c r="AH50" s="702" t="s">
        <v>1037</v>
      </c>
      <c r="AI50" s="10"/>
    </row>
    <row r="51" spans="1:35" ht="16.5" customHeight="1" x14ac:dyDescent="0.25">
      <c r="A51" s="957">
        <f>IF(COUNT(W34:W38,W40:W44,W46:W49)&gt;0,1,0)</f>
        <v>0</v>
      </c>
      <c r="Q51" s="55" t="s">
        <v>1829</v>
      </c>
      <c r="U51" s="4"/>
      <c r="V51" s="101"/>
      <c r="W51" s="2121">
        <v>1</v>
      </c>
      <c r="X51" s="2122" t="s">
        <v>1826</v>
      </c>
      <c r="Y51" s="2126"/>
      <c r="Z51" s="2125"/>
      <c r="AA51" s="2125"/>
      <c r="AB51" s="2119"/>
      <c r="AC51" s="2120"/>
      <c r="AD51" s="101"/>
      <c r="AE51" s="6"/>
      <c r="AF51" s="10"/>
      <c r="AG51" s="150"/>
      <c r="AH51" s="10"/>
    </row>
    <row r="52" spans="1:35" ht="16.5" customHeight="1" x14ac:dyDescent="0.25">
      <c r="A52" s="957">
        <f>IF(COUNT(W34:W38,W40:W44,W46:W49)&gt;1,1,0)</f>
        <v>0</v>
      </c>
      <c r="U52" s="4"/>
      <c r="V52" s="101"/>
      <c r="W52" s="2117">
        <f>W51+1</f>
        <v>2</v>
      </c>
      <c r="X52" s="2123" t="s">
        <v>1827</v>
      </c>
      <c r="Y52" s="423"/>
      <c r="Z52" s="138"/>
      <c r="AA52" s="138"/>
      <c r="AB52" s="101"/>
      <c r="AC52" s="1388"/>
      <c r="AD52" s="101"/>
      <c r="AE52" s="6"/>
      <c r="AF52" s="10"/>
      <c r="AG52" s="150"/>
      <c r="AH52" s="10"/>
    </row>
    <row r="53" spans="1:35" ht="16.5" customHeight="1" x14ac:dyDescent="0.25">
      <c r="A53" s="957">
        <f>IF(COUNT(W34:W38,W40:W44,W46:W49)&gt;2,1,0)</f>
        <v>0</v>
      </c>
      <c r="U53" s="4"/>
      <c r="V53" s="101"/>
      <c r="W53" s="2117">
        <f>W52+1</f>
        <v>3</v>
      </c>
      <c r="X53" s="2123" t="s">
        <v>1828</v>
      </c>
      <c r="Y53" s="423"/>
      <c r="Z53" s="138"/>
      <c r="AA53" s="138"/>
      <c r="AB53" s="101"/>
      <c r="AC53" s="1388"/>
      <c r="AD53" s="101"/>
      <c r="AE53" s="6"/>
      <c r="AF53" s="10"/>
      <c r="AG53" s="150"/>
      <c r="AH53" s="10"/>
    </row>
    <row r="54" spans="1:35" ht="16.5" customHeight="1" x14ac:dyDescent="0.25">
      <c r="A54" s="957">
        <f>IF(COUNT(W34:W38,W40:W44,W46:W49)&gt;3,1,0)</f>
        <v>0</v>
      </c>
      <c r="U54" s="4"/>
      <c r="V54" s="101"/>
      <c r="W54" s="2117">
        <f>W53+1</f>
        <v>4</v>
      </c>
      <c r="X54" s="2123" t="s">
        <v>1828</v>
      </c>
      <c r="Y54" s="423"/>
      <c r="Z54" s="138"/>
      <c r="AA54" s="138"/>
      <c r="AB54" s="101"/>
      <c r="AC54" s="1388"/>
      <c r="AD54" s="101"/>
      <c r="AE54" s="6"/>
      <c r="AF54" s="10"/>
      <c r="AG54" s="150"/>
      <c r="AH54" s="10"/>
    </row>
    <row r="55" spans="1:35" ht="16.5" customHeight="1" x14ac:dyDescent="0.25">
      <c r="A55" s="957">
        <f>IF(COUNT(W34:W38,W40:W44,W46:W49)&gt;4,1,0)</f>
        <v>0</v>
      </c>
      <c r="U55" s="4"/>
      <c r="V55" s="101"/>
      <c r="W55" s="2117">
        <f>W54+1</f>
        <v>5</v>
      </c>
      <c r="X55" s="2123" t="s">
        <v>1828</v>
      </c>
      <c r="Y55" s="423"/>
      <c r="Z55" s="138"/>
      <c r="AA55" s="138"/>
      <c r="AB55" s="101"/>
      <c r="AC55" s="1388"/>
      <c r="AD55" s="101"/>
      <c r="AE55" s="6"/>
      <c r="AF55" s="10"/>
      <c r="AG55" s="150"/>
      <c r="AH55" s="10"/>
    </row>
    <row r="56" spans="1:35" ht="16.5" customHeight="1" thickBot="1" x14ac:dyDescent="0.3">
      <c r="A56" s="957"/>
      <c r="U56" s="8"/>
      <c r="V56" s="7"/>
      <c r="W56" s="553" t="s">
        <v>1099</v>
      </c>
      <c r="X56" s="553"/>
      <c r="Y56" s="7"/>
      <c r="Z56" s="7"/>
      <c r="AA56" s="14"/>
      <c r="AB56" s="7"/>
      <c r="AC56" s="14"/>
      <c r="AD56" s="7"/>
      <c r="AE56" s="9"/>
      <c r="AF56" s="10"/>
      <c r="AG56" s="10"/>
      <c r="AH56" s="10"/>
      <c r="AI56" s="10"/>
    </row>
  </sheetData>
  <dataValidations count="1">
    <dataValidation type="list" allowBlank="1" showInputMessage="1" showErrorMessage="1" error="Invalid Option - Please Select from the List" prompt="Select Rounding Option" sqref="AH39 AH45 AH50 AH33" xr:uid="{00000000-0002-0000-2100-000000000000}">
      <formula1>Rounding_Label</formula1>
    </dataValidation>
  </dataValidations>
  <hyperlinks>
    <hyperlink ref="AC34" location="dpCost_CurableItemCost_Total" tooltip="Click for Input Cell &amp; Hold to Select Cell" display="dpCost_CurableItemCost_Total" xr:uid="{00000000-0004-0000-2100-000000000000}"/>
    <hyperlink ref="AC40" location="dpCost_CurableItemCost_Total" tooltip="Click for Input Cell &amp; Hold to Select Cell" display="dpCost_CurableItemCost_Total" xr:uid="{00000000-0004-0000-2100-000001000000}"/>
    <hyperlink ref="AC46" location="dpCost_CurableItemCost_Total" tooltip="Click for Input Cell &amp; Hold to Select Cell" display="dpCost_CurableItemCost_Total" xr:uid="{00000000-0004-0000-2100-000002000000}"/>
    <hyperlink ref="AC35" location="dpValue_LUD_Calculated" tooltip="Click for Input Cell &amp; Hold to Select Cell" display="dpValue_LUD_Calculated" xr:uid="{00000000-0004-0000-2100-000003000000}"/>
    <hyperlink ref="AC41" location="dpValue_LUD_Calculated" tooltip="Click for Input Cell &amp; Hold to Select Cell" display="dpValue_LUD_Calculated" xr:uid="{00000000-0004-0000-2100-000004000000}"/>
    <hyperlink ref="AC47" location="dpValue_LUD_Calculated" tooltip="Click for Input Cell &amp; Hold to Select Cell" display="dpValue_LUD_Calculated" xr:uid="{00000000-0004-0000-2100-000005000000}"/>
  </hyperlinks>
  <printOptions horizontalCentered="1"/>
  <pageMargins left="0.5" right="0.5" top="0.75" bottom="0.75" header="0.3" footer="0.3"/>
  <pageSetup orientation="landscape" horizontalDpi="1200" verticalDpi="1200" r:id="rId1"/>
  <drawing r:id="rId2"/>
  <legacyDrawing r:id="rId3"/>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1">
    <tabColor theme="1"/>
  </sheetPr>
  <dimension ref="A1:AI61"/>
  <sheetViews>
    <sheetView zoomScaleNormal="100" workbookViewId="0">
      <selection activeCell="D4" sqref="D4"/>
    </sheetView>
  </sheetViews>
  <sheetFormatPr defaultColWidth="9.140625" defaultRowHeight="14.25" x14ac:dyDescent="0.25"/>
  <cols>
    <col min="1" max="1" width="8.7109375" style="911" customWidth="1"/>
    <col min="2" max="2" width="1.7109375" style="911" customWidth="1"/>
    <col min="3" max="3" width="0.85546875" style="911" customWidth="1"/>
    <col min="4" max="4" width="10.7109375" style="911" customWidth="1"/>
    <col min="5" max="8" width="18.7109375" style="911" customWidth="1"/>
    <col min="9" max="9" width="12.7109375" style="911" customWidth="1"/>
    <col min="10" max="10" width="0.85546875" style="911" customWidth="1"/>
    <col min="11" max="11" width="1.7109375" style="911" customWidth="1"/>
    <col min="12" max="12" width="5.7109375" style="911" customWidth="1"/>
    <col min="13" max="13" width="1.7109375" style="911" customWidth="1"/>
    <col min="14" max="14" width="0.85546875" style="911" customWidth="1"/>
    <col min="15" max="15" width="20.7109375" style="911" customWidth="1"/>
    <col min="16" max="16" width="10.7109375" style="911" customWidth="1"/>
    <col min="17" max="17" width="12.7109375" style="911" customWidth="1"/>
    <col min="18" max="18" width="15.7109375" style="911" customWidth="1"/>
    <col min="19" max="19" width="13.7109375" style="911" customWidth="1"/>
    <col min="20" max="20" width="0.85546875" style="911" customWidth="1"/>
    <col min="21" max="21" width="1.7109375" style="911" customWidth="1"/>
    <col min="22" max="22" width="5.7109375" style="911" customWidth="1"/>
    <col min="23" max="23" width="1.7109375" style="911" customWidth="1"/>
    <col min="24" max="24" width="0.85546875" style="911" customWidth="1"/>
    <col min="25" max="25" width="26.7109375" style="911" customWidth="1"/>
    <col min="26" max="26" width="15.7109375" style="1287" customWidth="1"/>
    <col min="27" max="27" width="2.7109375" style="1287" customWidth="1"/>
    <col min="28" max="28" width="15.7109375" style="1287" customWidth="1"/>
    <col min="29" max="29" width="2.7109375" style="1287" customWidth="1"/>
    <col min="30" max="30" width="10.7109375" style="911" customWidth="1"/>
    <col min="31" max="31" width="0.85546875" style="911" customWidth="1"/>
    <col min="32" max="32" width="1.7109375" style="911" customWidth="1"/>
    <col min="33" max="33" width="9.140625" style="911"/>
    <col min="34" max="34" width="26.7109375" style="911" customWidth="1"/>
    <col min="35" max="16384" width="9.140625" style="911"/>
  </cols>
  <sheetData>
    <row r="1" spans="1:29" ht="60" customHeight="1" x14ac:dyDescent="0.25"/>
    <row r="2" spans="1:29" ht="20.100000000000001" customHeight="1" thickBot="1" x14ac:dyDescent="0.3"/>
    <row r="3" spans="1:29" ht="9.9499999999999993" customHeight="1" x14ac:dyDescent="0.25">
      <c r="B3" s="173"/>
      <c r="C3" s="72"/>
      <c r="D3" s="72"/>
      <c r="E3" s="72"/>
      <c r="F3" s="72"/>
      <c r="G3" s="72"/>
      <c r="H3" s="72"/>
      <c r="I3" s="72"/>
      <c r="J3" s="72"/>
      <c r="K3" s="73"/>
    </row>
    <row r="4" spans="1:29" ht="16.5" x14ac:dyDescent="0.3">
      <c r="B4" s="174"/>
      <c r="C4" s="92"/>
      <c r="D4" s="97" t="s">
        <v>1779</v>
      </c>
      <c r="E4" s="92"/>
      <c r="F4" s="92"/>
      <c r="G4" s="92"/>
      <c r="H4" s="92"/>
      <c r="I4" s="92"/>
      <c r="J4" s="92"/>
      <c r="K4" s="74"/>
    </row>
    <row r="5" spans="1:29" ht="43.5" thickBot="1" x14ac:dyDescent="0.3">
      <c r="A5" s="290" t="s">
        <v>18073</v>
      </c>
      <c r="B5" s="174"/>
      <c r="C5" s="150"/>
      <c r="D5" s="290" t="s">
        <v>1773</v>
      </c>
      <c r="E5" s="290" t="str">
        <f>'MS Charts'!D53</f>
        <v>Denver MSA - Industrial</v>
      </c>
      <c r="F5" s="290" t="str">
        <f>'MS Charts'!D56</f>
        <v>Denver MSA - Warehouse</v>
      </c>
      <c r="G5" s="290" t="str">
        <f>'MS Charts'!D66</f>
        <v>Northwest Denver - Industrial</v>
      </c>
      <c r="H5" s="290" t="str">
        <f>'MS Charts'!D69</f>
        <v>Northwest Denver - Warehouse</v>
      </c>
      <c r="I5" s="2051" t="s">
        <v>1774</v>
      </c>
      <c r="J5" s="150"/>
      <c r="K5" s="74"/>
    </row>
    <row r="6" spans="1:29" s="1290" customFormat="1" ht="15.95" customHeight="1" thickBot="1" x14ac:dyDescent="0.3">
      <c r="A6" s="2580">
        <v>3</v>
      </c>
      <c r="B6" s="88"/>
      <c r="C6" s="1574"/>
      <c r="D6" s="1602" t="str">
        <f>IFERROR('Market Study'!D17,"")</f>
        <v>2025 Q2</v>
      </c>
      <c r="E6" s="2581">
        <f ca="1">IFERROR((HLOOKUP("Gross Absorption SF Direct",INDIRECT(CoStar_Array_Absorption_1A),CoStar_RowOffset_Absorption,FALSE)+HLOOKUP("Gross Absorption SF Direct",INDIRECT(CoStar_Array_Absorption_1A),CoStar_RowOffset_Absorption+1,FALSE)+HLOOKUP("Gross Absorption SF Direct",INDIRECT(CoStar_Array_Absorption_1A),CoStar_RowOffset_Absorption+2,FALSE)+HLOOKUP("Gross Absorption SF Direct",INDIRECT(CoStar_Array_Absorption_1A),CoStar_RowOffset_Absorption+3,FALSE))*(Subject_NRA/HLOOKUP("Inventory SF",INDIRECT(CoStar_Array_Absorption_1A),2,FALSE))/12,"-")</f>
        <v>926.01584016800177</v>
      </c>
      <c r="F6" s="2581">
        <f ca="1">IFERROR((HLOOKUP("Gross Absorption SF Direct",INDIRECT(CoStar_Array_Absorption_1B),CoStar_RowOffset_Absorption,FALSE)+HLOOKUP("Gross Absorption SF Direct",INDIRECT(CoStar_Array_Absorption_1B),CoStar_RowOffset_Absorption+1,FALSE)+HLOOKUP("Gross Absorption SF Direct",INDIRECT(CoStar_Array_Absorption_1B),CoStar_RowOffset_Absorption+2,FALSE)+HLOOKUP("Gross Absorption SF Direct",INDIRECT(CoStar_Array_Absorption_1B),CoStar_RowOffset_Absorption+3,FALSE))*(Subject_NRA/HLOOKUP("Inventory SF",INDIRECT(CoStar_Array_Absorption_1B),2,FALSE))/12,"-")</f>
        <v>1035.6946144374449</v>
      </c>
      <c r="G6" s="2581">
        <f ca="1">IFERROR((HLOOKUP("Gross Absorption SF Direct",INDIRECT(CoStar_Array_Absorption_2A),CoStar_RowOffset_Absorption,FALSE)+HLOOKUP("Gross Absorption SF Direct",INDIRECT(CoStar_Array_Absorption_2A),CoStar_RowOffset_Absorption+1,FALSE)+HLOOKUP("Gross Absorption SF Direct",INDIRECT(CoStar_Array_Absorption_2A),CoStar_RowOffset_Absorption+2,FALSE)+HLOOKUP("Gross Absorption SF Direct",INDIRECT(CoStar_Array_Absorption_2A),CoStar_RowOffset_Absorption+3,FALSE))*(Subject_NRA/HLOOKUP("Inventory SF",INDIRECT(CoStar_Array_Absorption_2A),2,FALSE))/12,"-")</f>
        <v>919.63551403480869</v>
      </c>
      <c r="H6" s="2581" t="str">
        <f ca="1">IFERROR((HLOOKUP("Gross Absorption SF Direct",INDIRECT(CoStar_Array_Absorption_2B),CoStar_RowOffset_Absorption,FALSE)+HLOOKUP("Gross Absorption SF Direct",INDIRECT(CoStar_Array_Absorption_2B),CoStar_RowOffset_Absorption+1,FALSE)+HLOOKUP("Gross Absorption SF Direct",INDIRECT(CoStar_Array_Absorption_2B),CoStar_RowOffset_Absorption+2,FALSE)+HLOOKUP("Gross Absorption SF Direct",INDIRECT(CoStar_Array_Absorption_2B),CoStar_RowOffset_Absorption+3,FALSE))*(Subject_NRA/HLOOKUP("Inventory SF",INDIRECT(CoStar_Array_Absorption_2B),2,FALSE))/12,"-")</f>
        <v>-</v>
      </c>
      <c r="I6" s="2581">
        <f ca="1">AVERAGE(E6:H6)</f>
        <v>960.44865621341842</v>
      </c>
      <c r="J6" s="1574"/>
      <c r="K6" s="1377"/>
      <c r="Z6" s="1303"/>
      <c r="AA6" s="1303"/>
      <c r="AB6" s="1303"/>
      <c r="AC6" s="1303"/>
    </row>
    <row r="7" spans="1:29" s="1290" customFormat="1" ht="15.95" customHeight="1" x14ac:dyDescent="0.25">
      <c r="A7" s="707"/>
      <c r="B7" s="1376"/>
      <c r="C7" s="1574"/>
      <c r="D7" s="1602" t="str">
        <f>IFERROR('Market Study'!D21,"")</f>
        <v>2024 Q2</v>
      </c>
      <c r="E7" s="2581">
        <f ca="1">IFERROR((HLOOKUP("Gross Absorption SF Direct",INDIRECT(CoStar_Array_Absorption_1A),CoStar_RowOffset_Absorption+4,FALSE)+HLOOKUP("Gross Absorption SF Direct",INDIRECT(CoStar_Array_Absorption_1A),CoStar_RowOffset_Absorption+5,FALSE)+HLOOKUP("Gross Absorption SF Direct",INDIRECT(CoStar_Array_Absorption_1A),CoStar_RowOffset_Absorption+6,FALSE)+HLOOKUP("Gross Absorption SF Direct",INDIRECT(CoStar_Array_Absorption_1A),CoStar_RowOffset_Absorption+7,FALSE))*(Subject_NRA/HLOOKUP("Inventory SF",INDIRECT(CoStar_Array_Absorption_1A),2,FALSE))/12,"-")</f>
        <v>915.03399305715641</v>
      </c>
      <c r="F7" s="2581">
        <f ca="1">IFERROR((HLOOKUP("Gross Absorption SF Direct",INDIRECT(CoStar_Array_Absorption_1B),CoStar_RowOffset_Absorption+4,FALSE)+HLOOKUP("Gross Absorption SF Direct",INDIRECT(CoStar_Array_Absorption_1B),CoStar_RowOffset_Absorption+5,FALSE)+HLOOKUP("Gross Absorption SF Direct",INDIRECT(CoStar_Array_Absorption_1B),CoStar_RowOffset_Absorption+6,FALSE)+HLOOKUP("Gross Absorption SF Direct",INDIRECT(CoStar_Array_Absorption_1B),CoStar_RowOffset_Absorption+7,FALSE))*(Subject_NRA/HLOOKUP("Inventory SF",INDIRECT(CoStar_Array_Absorption_1B),2,FALSE))/12,"-")</f>
        <v>723.50680128352326</v>
      </c>
      <c r="G7" s="2581">
        <f ca="1">IFERROR((HLOOKUP("Gross Absorption SF Direct",INDIRECT(CoStar_Array_Absorption_2A),CoStar_RowOffset_Absorption+4,FALSE)+HLOOKUP("Gross Absorption SF Direct",INDIRECT(CoStar_Array_Absorption_2A),CoStar_RowOffset_Absorption+5,FALSE)+HLOOKUP("Gross Absorption SF Direct",INDIRECT(CoStar_Array_Absorption_2A),CoStar_RowOffset_Absorption+6,FALSE)+HLOOKUP("Gross Absorption SF Direct",INDIRECT(CoStar_Array_Absorption_2A),CoStar_RowOffset_Absorption+7,FALSE))*(Subject_NRA/HLOOKUP("Inventory SF",INDIRECT(CoStar_Array_Absorption_2A),2,FALSE))/12,"-")</f>
        <v>995.34975189597765</v>
      </c>
      <c r="H7" s="2581" t="str">
        <f ca="1">IFERROR((HLOOKUP("Gross Absorption SF Direct",INDIRECT(CoStar_Array_Absorption_2B),CoStar_RowOffset_Absorption+4,FALSE)+HLOOKUP("Gross Absorption SF Direct",INDIRECT(CoStar_Array_Absorption_2B),CoStar_RowOffset_Absorption+5,FALSE)+HLOOKUP("Gross Absorption SF Direct",INDIRECT(CoStar_Array_Absorption_2B),CoStar_RowOffset_Absorption+6,FALSE)+HLOOKUP("Gross Absorption SF Direct",INDIRECT(CoStar_Array_Absorption_2B),CoStar_RowOffset_Absorption+7,FALSE))*(Subject_NRA/HLOOKUP("Inventory SF",INDIRECT(CoStar_Array_Absorption_2B),2,FALSE))/12,"-")</f>
        <v>-</v>
      </c>
      <c r="I7" s="2581">
        <f ca="1">AVERAGE(E7:H7)</f>
        <v>877.96351541221918</v>
      </c>
      <c r="J7" s="2059"/>
      <c r="K7" s="2579"/>
      <c r="Z7" s="1303"/>
      <c r="AA7" s="1303"/>
      <c r="AB7" s="1303"/>
      <c r="AC7" s="1303"/>
    </row>
    <row r="8" spans="1:29" s="1290" customFormat="1" ht="15.95" customHeight="1" x14ac:dyDescent="0.25">
      <c r="A8" s="707"/>
      <c r="B8" s="1376"/>
      <c r="C8" s="1574"/>
      <c r="D8" s="1602" t="str">
        <f>IFERROR('Market Study'!D25,"")</f>
        <v>2023 Q2</v>
      </c>
      <c r="E8" s="2581">
        <f ca="1">IFERROR((HLOOKUP("Gross Absorption SF Direct",INDIRECT(CoStar_Array_Absorption_1A),CoStar_RowOffset_Absorption+8,FALSE)+HLOOKUP("Gross Absorption SF Direct",INDIRECT(CoStar_Array_Absorption_1A),CoStar_RowOffset_Absorption+9,FALSE)+HLOOKUP("Gross Absorption SF Direct",INDIRECT(CoStar_Array_Absorption_1A),CoStar_RowOffset_Absorption+10,FALSE)+HLOOKUP("Gross Absorption SF Direct",INDIRECT(CoStar_Array_Absorption_1A),CoStar_RowOffset_Absorption+11,FALSE))*(Subject_NRA/HLOOKUP("Inventory SF",INDIRECT(CoStar_Array_Absorption_1A),2,FALSE))/12,"-")</f>
        <v>836.06138928042901</v>
      </c>
      <c r="F8" s="2581">
        <f ca="1">IFERROR((HLOOKUP("Gross Absorption SF Direct",INDIRECT(CoStar_Array_Absorption_1B),CoStar_RowOffset_Absorption+8,FALSE)+HLOOKUP("Gross Absorption SF Direct",INDIRECT(CoStar_Array_Absorption_1B),CoStar_RowOffset_Absorption+9,FALSE)+HLOOKUP("Gross Absorption SF Direct",INDIRECT(CoStar_Array_Absorption_1B),CoStar_RowOffset_Absorption+10,FALSE)+HLOOKUP("Gross Absorption SF Direct",INDIRECT(CoStar_Array_Absorption_1B),CoStar_RowOffset_Absorption+11,FALSE))*(Subject_NRA/HLOOKUP("Inventory SF",INDIRECT(CoStar_Array_Absorption_1B),2,FALSE))/12,"-")</f>
        <v>1306.320779074905</v>
      </c>
      <c r="G8" s="2581">
        <f ca="1">IFERROR((HLOOKUP("Gross Absorption SF Direct",INDIRECT(CoStar_Array_Absorption_2A),CoStar_RowOffset_Absorption+8,FALSE)+HLOOKUP("Gross Absorption SF Direct",INDIRECT(CoStar_Array_Absorption_2A),CoStar_RowOffset_Absorption+9,FALSE)+HLOOKUP("Gross Absorption SF Direct",INDIRECT(CoStar_Array_Absorption_2A),CoStar_RowOffset_Absorption+10,FALSE)+HLOOKUP("Gross Absorption SF Direct",INDIRECT(CoStar_Array_Absorption_2A),CoStar_RowOffset_Absorption+11,FALSE))*(Subject_NRA/HLOOKUP("Inventory SF",INDIRECT(CoStar_Array_Absorption_2A),2,FALSE))/12,"-")</f>
        <v>1026.7223705160786</v>
      </c>
      <c r="H8" s="2581" t="str">
        <f ca="1">IFERROR((HLOOKUP("Gross Absorption SF Direct",INDIRECT(CoStar_Array_Absorption_2B),CoStar_RowOffset_Absorption+8,FALSE)+HLOOKUP("Gross Absorption SF Direct",INDIRECT(CoStar_Array_Absorption_2B),CoStar_RowOffset_Absorption+9,FALSE)+HLOOKUP("Gross Absorption SF Direct",INDIRECT(CoStar_Array_Absorption_2B),CoStar_RowOffset_Absorption+10,FALSE)+HLOOKUP("Gross Absorption SF Direct",INDIRECT(CoStar_Array_Absorption_2B),CoStar_RowOffset_Absorption+11,FALSE))*(Subject_NRA/HLOOKUP("Inventory SF",INDIRECT(CoStar_Array_Absorption_2B),2,FALSE))/12,"-")</f>
        <v>-</v>
      </c>
      <c r="I8" s="2581">
        <f ca="1">AVERAGE(E8:H8)</f>
        <v>1056.3681796238043</v>
      </c>
      <c r="J8" s="1574"/>
      <c r="K8" s="1377"/>
      <c r="Z8" s="1303"/>
      <c r="AA8" s="1303"/>
      <c r="AB8" s="1303"/>
      <c r="AC8" s="1303"/>
    </row>
    <row r="9" spans="1:29" s="1290" customFormat="1" ht="15.95" customHeight="1" x14ac:dyDescent="0.25">
      <c r="A9" s="707"/>
      <c r="B9" s="1376"/>
      <c r="C9" s="1574"/>
      <c r="D9" s="1602" t="str">
        <f>IFERROR('Market Study'!D29,"")</f>
        <v>2022 Q2</v>
      </c>
      <c r="E9" s="2581">
        <f ca="1">IFERROR((HLOOKUP("Gross Absorption SF Direct",INDIRECT(CoStar_Array_Absorption_1A),CoStar_RowOffset_Absorption+12,FALSE)+HLOOKUP("Gross Absorption SF Direct",INDIRECT(CoStar_Array_Absorption_1A),CoStar_RowOffset_Absorption+13,FALSE)+HLOOKUP("Gross Absorption SF Direct",INDIRECT(CoStar_Array_Absorption_1A),CoStar_RowOffset_Absorption+14,FALSE)+HLOOKUP("Gross Absorption SF Direct",INDIRECT(CoStar_Array_Absorption_1A),CoStar_RowOffset_Absorption+15,FALSE))*(Subject_NRA/HLOOKUP("Inventory SF",INDIRECT(CoStar_Array_Absorption_1A),2,FALSE))/12,"-")</f>
        <v>1219.1126862445374</v>
      </c>
      <c r="F9" s="2581">
        <f ca="1">IFERROR((HLOOKUP("Gross Absorption SF Direct",INDIRECT(CoStar_Array_Absorption_1B),CoStar_RowOffset_Absorption+12,FALSE)+HLOOKUP("Gross Absorption SF Direct",INDIRECT(CoStar_Array_Absorption_1B),CoStar_RowOffset_Absorption+13,FALSE)+HLOOKUP("Gross Absorption SF Direct",INDIRECT(CoStar_Array_Absorption_1B),CoStar_RowOffset_Absorption+14,FALSE)+HLOOKUP("Gross Absorption SF Direct",INDIRECT(CoStar_Array_Absorption_1B),CoStar_RowOffset_Absorption+15,FALSE))*(Subject_NRA/HLOOKUP("Inventory SF",INDIRECT(CoStar_Array_Absorption_1B),2,FALSE))/12,"-")</f>
        <v>1488.9768863204256</v>
      </c>
      <c r="G9" s="2581">
        <f ca="1">IFERROR((HLOOKUP("Gross Absorption SF Direct",INDIRECT(CoStar_Array_Absorption_2A),CoStar_RowOffset_Absorption+12,FALSE)+HLOOKUP("Gross Absorption SF Direct",INDIRECT(CoStar_Array_Absorption_2A),CoStar_RowOffset_Absorption+13,FALSE)+HLOOKUP("Gross Absorption SF Direct",INDIRECT(CoStar_Array_Absorption_2A),CoStar_RowOffset_Absorption+14,FALSE)+HLOOKUP("Gross Absorption SF Direct",INDIRECT(CoStar_Array_Absorption_2A),CoStar_RowOffset_Absorption+15,FALSE))*(Subject_NRA/HLOOKUP("Inventory SF",INDIRECT(CoStar_Array_Absorption_2A),2,FALSE))/12,"-")</f>
        <v>1666.7288413493181</v>
      </c>
      <c r="H9" s="2581" t="str">
        <f ca="1">IFERROR((HLOOKUP("Gross Absorption SF Direct",INDIRECT(CoStar_Array_Absorption_2B),CoStar_RowOffset_Absorption+12,FALSE)+HLOOKUP("Gross Absorption SF Direct",INDIRECT(CoStar_Array_Absorption_2B),CoStar_RowOffset_Absorption+13,FALSE)+HLOOKUP("Gross Absorption SF Direct",INDIRECT(CoStar_Array_Absorption_2B),CoStar_RowOffset_Absorption+14,FALSE)+HLOOKUP("Gross Absorption SF Direct",INDIRECT(CoStar_Array_Absorption_2B),CoStar_RowOffset_Absorption+15,FALSE))*(Subject_NRA/HLOOKUP("Inventory SF",INDIRECT(CoStar_Array_Absorption_2B),2,FALSE))/12,"-")</f>
        <v>-</v>
      </c>
      <c r="I9" s="2581">
        <f ca="1">AVERAGE(E9:H9)</f>
        <v>1458.2728046380937</v>
      </c>
      <c r="J9" s="1574"/>
      <c r="K9" s="1377"/>
      <c r="Z9" s="1303"/>
      <c r="AA9" s="1303"/>
      <c r="AB9" s="1303"/>
      <c r="AC9" s="1303"/>
    </row>
    <row r="10" spans="1:29" s="1290" customFormat="1" ht="15.95" customHeight="1" x14ac:dyDescent="0.25">
      <c r="A10" s="707"/>
      <c r="B10" s="1376"/>
      <c r="C10" s="1574"/>
      <c r="D10" s="1602" t="str">
        <f>IFERROR('Market Study'!D33,"")</f>
        <v>2021 Q2</v>
      </c>
      <c r="E10" s="2581">
        <f ca="1">IFERROR((HLOOKUP("Gross Absorption SF Direct",INDIRECT(CoStar_Array_Absorption_1A),CoStar_RowOffset_Absorption+16,FALSE)+HLOOKUP("Gross Absorption SF Direct",INDIRECT(CoStar_Array_Absorption_1A),CoStar_RowOffset_Absorption+17,FALSE)+HLOOKUP("Gross Absorption SF Direct",INDIRECT(CoStar_Array_Absorption_1A),CoStar_RowOffset_Absorption+18,FALSE)+HLOOKUP("Gross Absorption SF Direct",INDIRECT(CoStar_Array_Absorption_1A),CoStar_RowOffset_Absorption+19,FALSE))*(Subject_NRA/HLOOKUP("Inventory SF",INDIRECT(CoStar_Array_Absorption_1A),2,FALSE))/12,"-")</f>
        <v>649.30340298247802</v>
      </c>
      <c r="F10" s="2581">
        <f ca="1">IFERROR((HLOOKUP("Gross Absorption SF Direct",INDIRECT(CoStar_Array_Absorption_1B),CoStar_RowOffset_Absorption+16,FALSE)+HLOOKUP("Gross Absorption SF Direct",INDIRECT(CoStar_Array_Absorption_1B),CoStar_RowOffset_Absorption+17,FALSE)+HLOOKUP("Gross Absorption SF Direct",INDIRECT(CoStar_Array_Absorption_1B),CoStar_RowOffset_Absorption+18,FALSE)+HLOOKUP("Gross Absorption SF Direct",INDIRECT(CoStar_Array_Absorption_1B),CoStar_RowOffset_Absorption+19,FALSE))*(Subject_NRA/HLOOKUP("Inventory SF",INDIRECT(CoStar_Array_Absorption_1B),2,FALSE))/12,"-")</f>
        <v>616.6522892519871</v>
      </c>
      <c r="G10" s="2581">
        <f ca="1">IFERROR((HLOOKUP("Gross Absorption SF Direct",INDIRECT(CoStar_Array_Absorption_2A),CoStar_RowOffset_Absorption+16,FALSE)+HLOOKUP("Gross Absorption SF Direct",INDIRECT(CoStar_Array_Absorption_2A),CoStar_RowOffset_Absorption+17,FALSE)+HLOOKUP("Gross Absorption SF Direct",INDIRECT(CoStar_Array_Absorption_2A),CoStar_RowOffset_Absorption+18,FALSE)+HLOOKUP("Gross Absorption SF Direct",INDIRECT(CoStar_Array_Absorption_2A),CoStar_RowOffset_Absorption+19,FALSE))*(Subject_NRA/HLOOKUP("Inventory SF",INDIRECT(CoStar_Array_Absorption_2A),2,FALSE))/12,"-")</f>
        <v>577.68395278056266</v>
      </c>
      <c r="H10" s="2581" t="str">
        <f ca="1">IFERROR((HLOOKUP("Gross Absorption SF Direct",INDIRECT(CoStar_Array_Absorption_2B),CoStar_RowOffset_Absorption+16,FALSE)+HLOOKUP("Gross Absorption SF Direct",INDIRECT(CoStar_Array_Absorption_2B),CoStar_RowOffset_Absorption+17,FALSE)+HLOOKUP("Gross Absorption SF Direct",INDIRECT(CoStar_Array_Absorption_2B),CoStar_RowOffset_Absorption+18,FALSE)+HLOOKUP("Gross Absorption SF Direct",INDIRECT(CoStar_Array_Absorption_2B),CoStar_RowOffset_Absorption+19,FALSE))*(Subject_NRA/HLOOKUP("Inventory SF",INDIRECT(CoStar_Array_Absorption_2B),2,FALSE))/12,"-")</f>
        <v>-</v>
      </c>
      <c r="I10" s="2581">
        <f ca="1">AVERAGE(E10:H10)</f>
        <v>614.54654833834263</v>
      </c>
      <c r="J10" s="1574"/>
      <c r="K10" s="1377"/>
      <c r="Z10" s="1303"/>
      <c r="AA10" s="1303"/>
      <c r="AB10" s="1303"/>
      <c r="AC10" s="1303"/>
    </row>
    <row r="11" spans="1:29" s="1290" customFormat="1" ht="15.95" customHeight="1" thickBot="1" x14ac:dyDescent="0.3">
      <c r="A11" s="707"/>
      <c r="B11" s="1376"/>
      <c r="C11" s="1574"/>
      <c r="D11" s="2060" t="s">
        <v>1235</v>
      </c>
      <c r="E11" s="2582">
        <f ca="1">AVERAGE(E6:E10)</f>
        <v>909.10546234652065</v>
      </c>
      <c r="F11" s="2582">
        <f ca="1">AVERAGE(F6:F10)</f>
        <v>1034.2302740736573</v>
      </c>
      <c r="G11" s="2582">
        <f ca="1">AVERAGE(G6:G10)</f>
        <v>1037.2240861153491</v>
      </c>
      <c r="H11" s="2582" t="e">
        <f ca="1">AVERAGE(H6:H10)</f>
        <v>#DIV/0!</v>
      </c>
      <c r="I11" s="2583">
        <f ca="1">AVERAGE(I6:I10)</f>
        <v>993.5199408451756</v>
      </c>
      <c r="J11" s="1574"/>
      <c r="K11" s="1377"/>
      <c r="Z11" s="1303"/>
      <c r="AA11" s="1303"/>
      <c r="AB11" s="1303"/>
      <c r="AC11" s="1303"/>
    </row>
    <row r="12" spans="1:29" s="1290" customFormat="1" ht="20.100000000000001" customHeight="1" thickBot="1" x14ac:dyDescent="0.3">
      <c r="A12" s="707"/>
      <c r="B12" s="650"/>
      <c r="C12" s="641"/>
      <c r="D12" s="885" t="s">
        <v>1785</v>
      </c>
      <c r="E12" s="641"/>
      <c r="F12" s="641"/>
      <c r="G12" s="641"/>
      <c r="H12" s="641"/>
      <c r="I12" s="641"/>
      <c r="J12" s="641"/>
      <c r="K12" s="651"/>
      <c r="Z12" s="1303"/>
      <c r="AA12" s="1303"/>
      <c r="AB12" s="1303"/>
      <c r="AC12" s="1303"/>
    </row>
    <row r="13" spans="1:29" s="1290" customFormat="1" ht="15" customHeight="1" thickBot="1" x14ac:dyDescent="0.3">
      <c r="A13" s="41"/>
      <c r="B13" s="911"/>
      <c r="C13" s="911"/>
      <c r="D13" s="911"/>
      <c r="E13" s="911"/>
      <c r="F13" s="911"/>
      <c r="G13" s="911"/>
      <c r="H13" s="911"/>
      <c r="I13" s="911"/>
      <c r="J13" s="911"/>
      <c r="K13" s="911"/>
      <c r="L13" s="911"/>
      <c r="M13" s="911"/>
      <c r="N13" s="911"/>
      <c r="O13" s="911"/>
      <c r="P13" s="911"/>
      <c r="Q13" s="911"/>
      <c r="R13" s="911"/>
      <c r="S13" s="911"/>
      <c r="T13" s="911"/>
      <c r="U13" s="911"/>
      <c r="Z13" s="1303"/>
      <c r="AA13" s="1303"/>
      <c r="AB13" s="1303"/>
      <c r="AC13" s="1303"/>
    </row>
    <row r="14" spans="1:29" s="1290" customFormat="1" ht="9.9499999999999993" customHeight="1" x14ac:dyDescent="0.25">
      <c r="A14" s="41"/>
      <c r="B14" s="911"/>
      <c r="C14" s="911"/>
      <c r="D14" s="911"/>
      <c r="E14" s="911"/>
      <c r="F14" s="911"/>
      <c r="G14" s="911"/>
      <c r="H14" s="911"/>
      <c r="I14" s="911"/>
      <c r="J14" s="911"/>
      <c r="K14" s="911"/>
      <c r="L14" s="911"/>
      <c r="M14" s="1248"/>
      <c r="N14" s="1249"/>
      <c r="O14" s="1249"/>
      <c r="P14" s="1249"/>
      <c r="Q14" s="1249"/>
      <c r="R14" s="1249"/>
      <c r="S14" s="1249"/>
      <c r="T14" s="1249"/>
      <c r="U14" s="1250"/>
      <c r="Z14" s="1303"/>
      <c r="AA14" s="1303"/>
      <c r="AB14" s="1303"/>
      <c r="AC14" s="1303"/>
    </row>
    <row r="15" spans="1:29" s="1290" customFormat="1" ht="16.5" x14ac:dyDescent="0.3">
      <c r="A15" s="41"/>
      <c r="B15" s="911"/>
      <c r="C15" s="911"/>
      <c r="D15" s="911"/>
      <c r="E15" s="911"/>
      <c r="F15" s="911"/>
      <c r="G15" s="911"/>
      <c r="H15" s="911"/>
      <c r="I15" s="911"/>
      <c r="J15" s="911"/>
      <c r="K15" s="911"/>
      <c r="L15" s="911"/>
      <c r="M15" s="1251"/>
      <c r="N15" s="92"/>
      <c r="O15" s="97" t="s">
        <v>1775</v>
      </c>
      <c r="P15" s="2055"/>
      <c r="Q15" s="97"/>
      <c r="R15" s="97"/>
      <c r="S15" s="92"/>
      <c r="T15" s="92"/>
      <c r="U15" s="1252"/>
      <c r="Z15" s="1303"/>
      <c r="AA15" s="1303"/>
      <c r="AB15" s="1303"/>
      <c r="AC15" s="1303"/>
    </row>
    <row r="16" spans="1:29" s="1290" customFormat="1" ht="28.5" x14ac:dyDescent="0.25">
      <c r="A16" s="957">
        <v>1</v>
      </c>
      <c r="B16" s="911"/>
      <c r="C16" s="911"/>
      <c r="D16" s="911"/>
      <c r="E16" s="911"/>
      <c r="F16" s="911"/>
      <c r="G16" s="911"/>
      <c r="H16" s="911"/>
      <c r="I16" s="911"/>
      <c r="J16" s="911"/>
      <c r="K16" s="911"/>
      <c r="L16" s="911"/>
      <c r="M16" s="1251"/>
      <c r="N16" s="150"/>
      <c r="O16" s="207" t="s">
        <v>105</v>
      </c>
      <c r="P16" s="55" t="s">
        <v>10</v>
      </c>
      <c r="Q16" s="634" t="s">
        <v>1776</v>
      </c>
      <c r="R16" s="634" t="s">
        <v>1777</v>
      </c>
      <c r="S16" s="634" t="s">
        <v>1778</v>
      </c>
      <c r="T16" s="150"/>
      <c r="U16" s="1252"/>
      <c r="Z16" s="1303"/>
      <c r="AA16" s="1303"/>
      <c r="AB16" s="1303"/>
      <c r="AC16" s="1303"/>
    </row>
    <row r="17" spans="1:29" s="1290" customFormat="1" ht="15.95" customHeight="1" x14ac:dyDescent="0.25">
      <c r="A17" s="957">
        <f t="shared" ref="A17:A22" si="0">IF(O17="",0,1)</f>
        <v>1</v>
      </c>
      <c r="M17" s="2057"/>
      <c r="N17" s="424"/>
      <c r="O17" s="1456">
        <v>1</v>
      </c>
      <c r="P17" s="2061"/>
      <c r="Q17" s="2585"/>
      <c r="R17" s="2062"/>
      <c r="S17" s="2588" t="e">
        <f t="shared" ref="S17:S22" si="1">Q17/R17</f>
        <v>#DIV/0!</v>
      </c>
      <c r="T17" s="424"/>
      <c r="U17" s="1291"/>
      <c r="Z17" s="1303"/>
      <c r="AA17" s="1303"/>
      <c r="AB17" s="1303"/>
      <c r="AC17" s="1303"/>
    </row>
    <row r="18" spans="1:29" s="1290" customFormat="1" ht="15.95" customHeight="1" x14ac:dyDescent="0.25">
      <c r="A18" s="957">
        <f t="shared" si="0"/>
        <v>0</v>
      </c>
      <c r="M18" s="2057"/>
      <c r="N18" s="424"/>
      <c r="O18" s="1457"/>
      <c r="P18" s="2063"/>
      <c r="Q18" s="2586"/>
      <c r="R18" s="2064"/>
      <c r="S18" s="2588" t="e">
        <f t="shared" si="1"/>
        <v>#DIV/0!</v>
      </c>
      <c r="T18" s="424"/>
      <c r="U18" s="1291"/>
      <c r="Z18" s="1303"/>
      <c r="AA18" s="1303"/>
      <c r="AB18" s="1303"/>
      <c r="AC18" s="1303"/>
    </row>
    <row r="19" spans="1:29" s="1290" customFormat="1" ht="15.95" customHeight="1" x14ac:dyDescent="0.25">
      <c r="A19" s="957">
        <f t="shared" si="0"/>
        <v>0</v>
      </c>
      <c r="M19" s="2057"/>
      <c r="N19" s="424"/>
      <c r="O19" s="1457"/>
      <c r="P19" s="2063"/>
      <c r="Q19" s="2586"/>
      <c r="R19" s="2064"/>
      <c r="S19" s="2588" t="e">
        <f t="shared" si="1"/>
        <v>#DIV/0!</v>
      </c>
      <c r="T19" s="424"/>
      <c r="U19" s="1291"/>
      <c r="Z19" s="1303"/>
      <c r="AA19" s="1303"/>
      <c r="AB19" s="1303"/>
      <c r="AC19" s="1303"/>
    </row>
    <row r="20" spans="1:29" s="1290" customFormat="1" ht="15.95" customHeight="1" x14ac:dyDescent="0.25">
      <c r="A20" s="957">
        <f t="shared" si="0"/>
        <v>0</v>
      </c>
      <c r="M20" s="2057"/>
      <c r="N20" s="424"/>
      <c r="O20" s="1457"/>
      <c r="P20" s="2063"/>
      <c r="Q20" s="2586"/>
      <c r="R20" s="2064"/>
      <c r="S20" s="2588" t="e">
        <f t="shared" si="1"/>
        <v>#DIV/0!</v>
      </c>
      <c r="T20" s="424"/>
      <c r="U20" s="1291"/>
      <c r="Z20" s="1303"/>
      <c r="AA20" s="1303"/>
      <c r="AB20" s="1303"/>
      <c r="AC20" s="1303"/>
    </row>
    <row r="21" spans="1:29" s="1290" customFormat="1" ht="15.95" customHeight="1" x14ac:dyDescent="0.25">
      <c r="A21" s="957">
        <f t="shared" si="0"/>
        <v>0</v>
      </c>
      <c r="M21" s="2057"/>
      <c r="N21" s="424"/>
      <c r="O21" s="1457"/>
      <c r="P21" s="2063"/>
      <c r="Q21" s="2586"/>
      <c r="R21" s="2064"/>
      <c r="S21" s="2588" t="e">
        <f t="shared" si="1"/>
        <v>#DIV/0!</v>
      </c>
      <c r="T21" s="424"/>
      <c r="U21" s="1291"/>
      <c r="Z21" s="1303"/>
      <c r="AA21" s="1303"/>
      <c r="AB21" s="1303"/>
      <c r="AC21" s="1303"/>
    </row>
    <row r="22" spans="1:29" s="1290" customFormat="1" ht="15.95" customHeight="1" x14ac:dyDescent="0.25">
      <c r="A22" s="957">
        <f t="shared" si="0"/>
        <v>0</v>
      </c>
      <c r="E22" s="1290">
        <v>3</v>
      </c>
      <c r="M22" s="2057"/>
      <c r="N22" s="424"/>
      <c r="O22" s="2791"/>
      <c r="P22" s="2792"/>
      <c r="Q22" s="2793"/>
      <c r="R22" s="2794"/>
      <c r="S22" s="2588" t="e">
        <f t="shared" si="1"/>
        <v>#DIV/0!</v>
      </c>
      <c r="T22" s="424"/>
      <c r="U22" s="1291"/>
      <c r="Z22" s="1303"/>
      <c r="AA22" s="1303"/>
      <c r="AB22" s="1303"/>
      <c r="AC22" s="1303"/>
    </row>
    <row r="23" spans="1:29" s="1290" customFormat="1" ht="15.95" customHeight="1" thickBot="1" x14ac:dyDescent="0.3">
      <c r="A23" s="957">
        <v>1</v>
      </c>
      <c r="M23" s="2057"/>
      <c r="N23" s="424"/>
      <c r="O23" s="1186" t="s">
        <v>1235</v>
      </c>
      <c r="P23" s="1435"/>
      <c r="Q23" s="1186"/>
      <c r="R23" s="1186"/>
      <c r="S23" s="2589" t="e">
        <f>AVERAGE(S17:S22)</f>
        <v>#DIV/0!</v>
      </c>
      <c r="T23" s="424"/>
      <c r="U23" s="1291"/>
      <c r="Z23" s="1303"/>
      <c r="AA23" s="1303"/>
      <c r="AB23" s="1303"/>
      <c r="AC23" s="1303"/>
    </row>
    <row r="24" spans="1:29" ht="15" thickBot="1" x14ac:dyDescent="0.3">
      <c r="A24" s="972">
        <v>1</v>
      </c>
      <c r="B24" s="1290"/>
      <c r="C24" s="1290"/>
      <c r="D24" s="1290"/>
      <c r="E24" s="1290"/>
      <c r="F24" s="1290"/>
      <c r="G24" s="1290"/>
      <c r="H24" s="1290"/>
      <c r="I24" s="1290"/>
      <c r="J24" s="1290"/>
      <c r="K24" s="1290"/>
      <c r="L24" s="1290"/>
      <c r="M24" s="2065"/>
      <c r="N24" s="647"/>
      <c r="O24" s="885" t="s">
        <v>1786</v>
      </c>
      <c r="P24" s="1458"/>
      <c r="Q24" s="647"/>
      <c r="R24" s="647"/>
      <c r="S24" s="647"/>
      <c r="T24" s="647"/>
      <c r="U24" s="2067"/>
    </row>
    <row r="25" spans="1:29" ht="15" thickBot="1" x14ac:dyDescent="0.3">
      <c r="A25" s="972">
        <v>1</v>
      </c>
      <c r="B25" s="1290"/>
      <c r="C25" s="1290"/>
      <c r="D25" s="1290"/>
      <c r="E25" s="1290"/>
      <c r="F25" s="1290"/>
      <c r="G25" s="1290"/>
      <c r="H25" s="1290"/>
      <c r="I25" s="1290"/>
      <c r="J25" s="1290"/>
      <c r="K25" s="1290"/>
      <c r="L25" s="1290"/>
      <c r="M25" s="1290"/>
      <c r="N25" s="36"/>
      <c r="O25" s="1453"/>
      <c r="P25" s="902"/>
      <c r="Q25" s="36"/>
      <c r="R25" s="36"/>
      <c r="S25" s="36"/>
      <c r="T25" s="36"/>
      <c r="U25" s="1290"/>
    </row>
    <row r="26" spans="1:29" ht="9.9499999999999993" customHeight="1" x14ac:dyDescent="0.25">
      <c r="A26" s="957">
        <v>1</v>
      </c>
      <c r="M26" s="779"/>
      <c r="N26" s="780"/>
      <c r="O26" s="780"/>
      <c r="P26" s="780"/>
      <c r="Q26" s="780"/>
      <c r="R26" s="780"/>
      <c r="S26" s="780"/>
      <c r="T26" s="780"/>
      <c r="U26" s="755"/>
    </row>
    <row r="27" spans="1:29" ht="16.5" x14ac:dyDescent="0.3">
      <c r="A27" s="957">
        <v>1</v>
      </c>
      <c r="M27" s="782"/>
      <c r="N27" s="783"/>
      <c r="O27" s="27" t="s">
        <v>18420</v>
      </c>
      <c r="P27" s="783"/>
      <c r="Q27" s="783"/>
      <c r="R27" s="783"/>
      <c r="S27" s="783"/>
      <c r="T27" s="783"/>
      <c r="U27" s="784"/>
    </row>
    <row r="28" spans="1:29" ht="28.5" x14ac:dyDescent="0.25">
      <c r="A28" s="957">
        <v>1</v>
      </c>
      <c r="M28" s="781"/>
      <c r="N28" s="150"/>
      <c r="O28" s="207" t="s">
        <v>1120</v>
      </c>
      <c r="P28" s="634" t="s">
        <v>1516</v>
      </c>
      <c r="Q28" s="634" t="s">
        <v>1778</v>
      </c>
      <c r="R28" s="634" t="s">
        <v>1517</v>
      </c>
      <c r="S28" s="634" t="s">
        <v>1121</v>
      </c>
      <c r="T28" s="150"/>
      <c r="U28" s="756"/>
    </row>
    <row r="29" spans="1:29" ht="15.95" customHeight="1" x14ac:dyDescent="0.25">
      <c r="A29" s="957">
        <f>IF(O29="",0,1)</f>
        <v>1</v>
      </c>
      <c r="M29" s="2052"/>
      <c r="N29" s="2053"/>
      <c r="O29" s="2799">
        <v>1</v>
      </c>
      <c r="P29" s="2584">
        <f ca="1">'Rent Roll'!AL216</f>
        <v>14708</v>
      </c>
      <c r="Q29" s="2705">
        <f ca="1">IF(Income_Absorb_Period1="","",IF(dpSort_DOV_3="N/A",IF(dpSort_DOV_2="N/A",P29/((dpSort_DOV_1-Income_Absorb_Period1)/30),P29/((dpSort_DOV_2-Income_Absorb_Period1)/30)),P29/((dpSort_DOV_3-Income_Absorb_Period1)/30)))</f>
        <v>9.7035538353272344</v>
      </c>
      <c r="R29" s="2584">
        <f ca="1">SUM(P29:P33)</f>
        <v>14708</v>
      </c>
      <c r="S29" s="2056">
        <f ca="1">R29/Subject_NRA</f>
        <v>7.0303238881878324E-2</v>
      </c>
      <c r="T29" s="2053"/>
      <c r="U29" s="2054"/>
    </row>
    <row r="30" spans="1:29" ht="15.95" customHeight="1" x14ac:dyDescent="0.25">
      <c r="A30" s="957">
        <f>IF(O30="",0,1)</f>
        <v>0</v>
      </c>
      <c r="M30" s="2052"/>
      <c r="N30" s="2053"/>
      <c r="O30" s="2800"/>
      <c r="P30" s="2584">
        <f ca="1">'Rent Roll'!AN216</f>
        <v>0</v>
      </c>
      <c r="Q30" s="2705" t="str">
        <f>IF(Income_Absorb_Period2="","",IF(dpSort_DOV_3="N/A",IF(dpSort_DOV_2="N/A",P30/((Income_Absorb_Period1-Income_Absorb_Period2)/30),P30/((Income_Absorb_Period1-Income_Absorb_Period2)/30)),P30/((Income_Absorb_Period1-Income_Absorb_Period2)/30)))</f>
        <v/>
      </c>
      <c r="R30" s="2584">
        <f ca="1">SUM(P30:P33)</f>
        <v>0</v>
      </c>
      <c r="S30" s="2056">
        <f ca="1">R30/Subject_NRA</f>
        <v>0</v>
      </c>
      <c r="T30" s="2053"/>
      <c r="U30" s="2054"/>
    </row>
    <row r="31" spans="1:29" ht="15.95" customHeight="1" x14ac:dyDescent="0.25">
      <c r="A31" s="957">
        <f>IF(O31="",0,1)</f>
        <v>0</v>
      </c>
      <c r="M31" s="2052"/>
      <c r="N31" s="2053"/>
      <c r="O31" s="2800"/>
      <c r="P31" s="2584">
        <f ca="1">'Rent Roll'!AP216</f>
        <v>0</v>
      </c>
      <c r="Q31" s="2705" t="str">
        <f>IF(Income_Absorb_Period3="","",IF(dpSort_DOV_3="N/A",IF(dpSort_DOV_2="N/A",P31/((Income_Absorb_Period2-Income_Absorb_Period3)/30),P31/((Income_Absorb_Period2-Income_Absorb_Period3)/30)),P31/((Income_Absorb_Period2-Income_Absorb_Period3)/30)))</f>
        <v/>
      </c>
      <c r="R31" s="2584">
        <f ca="1">SUM(P31:P33)</f>
        <v>0</v>
      </c>
      <c r="S31" s="2056">
        <f ca="1">R31/Subject_NRA</f>
        <v>0</v>
      </c>
      <c r="T31" s="2053"/>
      <c r="U31" s="2054"/>
    </row>
    <row r="32" spans="1:29" ht="15.95" customHeight="1" x14ac:dyDescent="0.25">
      <c r="A32" s="957">
        <f>IF(O32="",0,1)</f>
        <v>0</v>
      </c>
      <c r="M32" s="2052"/>
      <c r="N32" s="2053"/>
      <c r="O32" s="2800"/>
      <c r="P32" s="2584">
        <f ca="1">'Rent Roll'!AR216</f>
        <v>0</v>
      </c>
      <c r="Q32" s="2705" t="str">
        <f>IF(Income_Absorb_Period4="","",IF(dpSort_DOV_3="N/A",IF(dpSort_DOV_2="N/A",P32/((Income_Absorb_Period3-Income_Absorb_Period4)/30),P32/((Income_Absorb_Period3-Income_Absorb_Period4)/30)),P32/((Income_Absorb_Period3-Income_Absorb_Period4)/30)))</f>
        <v/>
      </c>
      <c r="R32" s="2584">
        <f ca="1">SUM(P32:P33)</f>
        <v>0</v>
      </c>
      <c r="S32" s="2056">
        <f ca="1">R32/Subject_NRA</f>
        <v>0</v>
      </c>
      <c r="T32" s="2053"/>
      <c r="U32" s="2054"/>
    </row>
    <row r="33" spans="1:32" ht="15.95" customHeight="1" x14ac:dyDescent="0.25">
      <c r="A33" s="957">
        <f>IF(O33="",0,1)</f>
        <v>0</v>
      </c>
      <c r="M33" s="2052"/>
      <c r="N33" s="2053"/>
      <c r="O33" s="2801"/>
      <c r="P33" s="2584">
        <f ca="1">'Rent Roll'!AT216</f>
        <v>0</v>
      </c>
      <c r="Q33" s="2705" t="str">
        <f>IF(Income_Absorb_Period5="","",IF(dpSort_DOV_3="N/A",IF(dpSort_DOV_2="N/A",P33/((Income_Absorb_Period4-Income_Absorb_Period5)/30),P33/((Income_Absorb_Period4-Income_Absorb_Period5)/30)),P33/((Income_Absorb_Period4-Income_Absorb_Period5)/30)))</f>
        <v/>
      </c>
      <c r="R33" s="2584">
        <f ca="1">P33</f>
        <v>0</v>
      </c>
      <c r="S33" s="2056">
        <f ca="1">R33/Subject_NRA</f>
        <v>0</v>
      </c>
      <c r="T33" s="2053"/>
      <c r="U33" s="2054"/>
    </row>
    <row r="34" spans="1:32" ht="15.95" customHeight="1" thickBot="1" x14ac:dyDescent="0.3">
      <c r="A34" s="957">
        <v>1</v>
      </c>
      <c r="M34" s="2052"/>
      <c r="N34" s="2053"/>
      <c r="O34" s="2795" t="s">
        <v>1235</v>
      </c>
      <c r="P34" s="2796"/>
      <c r="Q34" s="2797">
        <f ca="1">IF(AVERAGE(Q29:Q33)=0,"",AVERAGE(Q29:Q33))</f>
        <v>9.7035538353272344</v>
      </c>
      <c r="R34" s="2796"/>
      <c r="S34" s="2798"/>
      <c r="T34" s="2053"/>
      <c r="U34" s="2054"/>
    </row>
    <row r="35" spans="1:32" s="1290" customFormat="1" ht="20.100000000000001" customHeight="1" thickBot="1" x14ac:dyDescent="0.3">
      <c r="A35" s="972">
        <v>1</v>
      </c>
      <c r="M35" s="787"/>
      <c r="N35" s="788"/>
      <c r="O35" s="2058" t="s">
        <v>1787</v>
      </c>
      <c r="P35" s="788"/>
      <c r="Q35" s="788"/>
      <c r="R35" s="788"/>
      <c r="S35" s="788"/>
      <c r="T35" s="788"/>
      <c r="U35" s="789"/>
      <c r="Z35" s="1303"/>
      <c r="AA35" s="1303"/>
      <c r="AB35" s="1303"/>
      <c r="AC35" s="1303"/>
    </row>
    <row r="36" spans="1:32" s="1290" customFormat="1" ht="15" thickBot="1" x14ac:dyDescent="0.3">
      <c r="A36" s="972">
        <v>1</v>
      </c>
      <c r="M36" s="243"/>
      <c r="N36" s="243"/>
      <c r="O36" s="2700"/>
      <c r="P36" s="243"/>
      <c r="Q36" s="243"/>
      <c r="R36" s="243"/>
      <c r="S36" s="243"/>
      <c r="T36" s="243"/>
      <c r="U36" s="243"/>
      <c r="Z36" s="1303"/>
      <c r="AA36" s="1303"/>
      <c r="AB36" s="1303"/>
      <c r="AC36" s="1303"/>
    </row>
    <row r="37" spans="1:32" s="1290" customFormat="1" ht="9.9499999999999993" customHeight="1" x14ac:dyDescent="0.25">
      <c r="A37" s="972">
        <v>1</v>
      </c>
      <c r="M37" s="1248"/>
      <c r="N37" s="1249"/>
      <c r="O37" s="1249"/>
      <c r="P37" s="1249"/>
      <c r="Q37" s="1249"/>
      <c r="R37" s="1249"/>
      <c r="S37" s="1249"/>
      <c r="T37" s="1249"/>
      <c r="U37" s="1250"/>
      <c r="Z37" s="1303"/>
      <c r="AA37" s="1303"/>
      <c r="AB37" s="1303"/>
      <c r="AC37" s="1303"/>
    </row>
    <row r="38" spans="1:32" s="1290" customFormat="1" ht="20.100000000000001" customHeight="1" x14ac:dyDescent="0.3">
      <c r="A38" s="972">
        <v>1</v>
      </c>
      <c r="M38" s="1251"/>
      <c r="N38" s="92"/>
      <c r="O38" s="97" t="s">
        <v>18192</v>
      </c>
      <c r="P38" s="2055"/>
      <c r="Q38" s="97"/>
      <c r="R38" s="97"/>
      <c r="S38" s="92"/>
      <c r="T38" s="92"/>
      <c r="U38" s="1252"/>
      <c r="Z38" s="1303"/>
      <c r="AA38" s="1303"/>
      <c r="AB38" s="1303"/>
      <c r="AC38" s="1303"/>
    </row>
    <row r="39" spans="1:32" s="1290" customFormat="1" ht="28.5" x14ac:dyDescent="0.25">
      <c r="A39" s="972">
        <v>1</v>
      </c>
      <c r="M39" s="1251"/>
      <c r="N39" s="150"/>
      <c r="O39" s="207" t="s">
        <v>18185</v>
      </c>
      <c r="P39" s="634" t="s">
        <v>18186</v>
      </c>
      <c r="Q39" s="634" t="s">
        <v>20</v>
      </c>
      <c r="R39" s="634" t="s">
        <v>18187</v>
      </c>
      <c r="S39" s="634" t="s">
        <v>1778</v>
      </c>
      <c r="T39" s="150"/>
      <c r="U39" s="1252"/>
      <c r="Z39" s="1303"/>
      <c r="AA39" s="1303"/>
      <c r="AB39" s="1303"/>
      <c r="AC39" s="1303"/>
    </row>
    <row r="40" spans="1:32" s="1290" customFormat="1" ht="15.95" customHeight="1" x14ac:dyDescent="0.25">
      <c r="A40" s="972">
        <f>IF(O40="",0,1)</f>
        <v>1</v>
      </c>
      <c r="M40" s="2057"/>
      <c r="N40" s="424"/>
      <c r="O40" s="671" t="s">
        <v>18188</v>
      </c>
      <c r="P40" s="2061">
        <v>0</v>
      </c>
      <c r="Q40" s="2585">
        <v>0</v>
      </c>
      <c r="R40" s="2701">
        <v>0.9</v>
      </c>
      <c r="S40" s="2588">
        <f>Q40*R40</f>
        <v>0</v>
      </c>
      <c r="T40" s="424"/>
      <c r="U40" s="1291"/>
      <c r="Z40" s="1303"/>
      <c r="AA40" s="1303"/>
      <c r="AB40" s="1303"/>
      <c r="AC40" s="1303"/>
    </row>
    <row r="41" spans="1:32" s="1290" customFormat="1" ht="15.95" customHeight="1" x14ac:dyDescent="0.25">
      <c r="A41" s="972">
        <f>IF(O41="",0,1)</f>
        <v>1</v>
      </c>
      <c r="M41" s="2057"/>
      <c r="N41" s="424"/>
      <c r="O41" s="671" t="s">
        <v>18189</v>
      </c>
      <c r="P41" s="2063">
        <v>0</v>
      </c>
      <c r="Q41" s="2586">
        <v>0</v>
      </c>
      <c r="R41" s="2702">
        <v>0.5</v>
      </c>
      <c r="S41" s="2588">
        <f>Q41*R41</f>
        <v>0</v>
      </c>
      <c r="T41" s="424"/>
      <c r="U41" s="1291"/>
      <c r="Z41" s="1303"/>
      <c r="AA41" s="1303"/>
      <c r="AB41" s="1303"/>
      <c r="AC41" s="1303"/>
    </row>
    <row r="42" spans="1:32" s="1290" customFormat="1" ht="15.95" customHeight="1" x14ac:dyDescent="0.25">
      <c r="A42" s="972">
        <f>IF(O42="",0,1)</f>
        <v>1</v>
      </c>
      <c r="M42" s="2057"/>
      <c r="N42" s="424"/>
      <c r="O42" s="671" t="s">
        <v>18190</v>
      </c>
      <c r="P42" s="2063">
        <v>0</v>
      </c>
      <c r="Q42" s="2586">
        <v>0</v>
      </c>
      <c r="R42" s="2702">
        <v>0.25</v>
      </c>
      <c r="S42" s="2588">
        <f>Q42*R42</f>
        <v>0</v>
      </c>
      <c r="T42" s="424"/>
      <c r="U42" s="1291"/>
      <c r="Z42" s="1303"/>
      <c r="AA42" s="1303"/>
      <c r="AB42" s="1303"/>
      <c r="AC42" s="1303"/>
    </row>
    <row r="43" spans="1:32" s="1290" customFormat="1" ht="15.95" customHeight="1" x14ac:dyDescent="0.25">
      <c r="A43" s="972">
        <f>IF(O43="",0,1)</f>
        <v>1</v>
      </c>
      <c r="M43" s="2057"/>
      <c r="N43" s="424"/>
      <c r="O43" s="2704" t="s">
        <v>18191</v>
      </c>
      <c r="P43" s="2708">
        <v>0</v>
      </c>
      <c r="Q43" s="2587">
        <v>0</v>
      </c>
      <c r="R43" s="2709">
        <v>0.05</v>
      </c>
      <c r="S43" s="2588">
        <f>Q43*R43</f>
        <v>0</v>
      </c>
      <c r="T43" s="424"/>
      <c r="U43" s="1291"/>
      <c r="Z43" s="1303"/>
      <c r="AA43" s="1303"/>
      <c r="AB43" s="1303"/>
      <c r="AC43" s="1303"/>
    </row>
    <row r="44" spans="1:32" s="1290" customFormat="1" ht="15.95" customHeight="1" thickBot="1" x14ac:dyDescent="0.3">
      <c r="A44" s="972">
        <v>1</v>
      </c>
      <c r="M44" s="2057"/>
      <c r="N44" s="424"/>
      <c r="O44" s="1186" t="s">
        <v>1235</v>
      </c>
      <c r="P44" s="1460"/>
      <c r="Q44" s="1459"/>
      <c r="R44" s="1459"/>
      <c r="S44" s="2589" t="str">
        <f>IF(AVERAGE(S38:S43)=0,"",AVERAGE(S38:S43))</f>
        <v/>
      </c>
      <c r="T44" s="424"/>
      <c r="U44" s="1291"/>
      <c r="Z44" s="707"/>
      <c r="AA44" s="1303"/>
      <c r="AB44" s="1303"/>
      <c r="AC44" s="1303"/>
    </row>
    <row r="45" spans="1:32" s="1290" customFormat="1" ht="20.100000000000001" customHeight="1" thickBot="1" x14ac:dyDescent="0.3">
      <c r="A45" s="972">
        <v>1</v>
      </c>
      <c r="M45" s="2065"/>
      <c r="N45" s="647"/>
      <c r="O45" s="2066" t="s">
        <v>18193</v>
      </c>
      <c r="P45" s="1458"/>
      <c r="Q45" s="647"/>
      <c r="R45" s="647"/>
      <c r="S45" s="647"/>
      <c r="T45" s="647"/>
      <c r="U45" s="2067"/>
      <c r="Y45" s="2703"/>
      <c r="Z45" s="2703"/>
      <c r="AA45" s="2703"/>
      <c r="AB45" s="1303"/>
      <c r="AC45" s="1303"/>
    </row>
    <row r="46" spans="1:32" ht="15" thickBot="1" x14ac:dyDescent="0.3">
      <c r="A46" s="972">
        <v>1</v>
      </c>
      <c r="Y46" s="4221" t="s">
        <v>18421</v>
      </c>
      <c r="Z46" s="4221"/>
      <c r="AA46" s="4221"/>
      <c r="AB46" s="4221"/>
      <c r="AC46" s="4221"/>
      <c r="AD46" s="4221"/>
    </row>
    <row r="47" spans="1:32" ht="9.9499999999999993" customHeight="1" x14ac:dyDescent="0.25">
      <c r="A47" s="972">
        <v>1</v>
      </c>
      <c r="W47" s="1248"/>
      <c r="X47" s="1249"/>
      <c r="Y47" s="1249"/>
      <c r="Z47" s="1288"/>
      <c r="AA47" s="1288"/>
      <c r="AB47" s="1288"/>
      <c r="AC47" s="1288"/>
      <c r="AD47" s="1249"/>
      <c r="AE47" s="1249"/>
      <c r="AF47" s="1250"/>
    </row>
    <row r="48" spans="1:32" ht="16.5" x14ac:dyDescent="0.3">
      <c r="A48" s="972">
        <v>1</v>
      </c>
      <c r="W48" s="1251"/>
      <c r="X48" s="92"/>
      <c r="Y48" s="97" t="s">
        <v>18080</v>
      </c>
      <c r="Z48" s="2068"/>
      <c r="AA48" s="2068"/>
      <c r="AB48" s="2068"/>
      <c r="AC48" s="2068"/>
      <c r="AD48" s="92"/>
      <c r="AE48" s="92"/>
      <c r="AF48" s="1252"/>
    </row>
    <row r="49" spans="1:35" ht="28.5" x14ac:dyDescent="0.25">
      <c r="A49" s="972">
        <v>1</v>
      </c>
      <c r="W49" s="1251"/>
      <c r="X49" s="150"/>
      <c r="Y49" s="207" t="s">
        <v>436</v>
      </c>
      <c r="Z49" s="290" t="s">
        <v>1778</v>
      </c>
      <c r="AA49" s="150"/>
      <c r="AB49" s="290" t="s">
        <v>1780</v>
      </c>
      <c r="AC49" s="290"/>
      <c r="AD49" s="634" t="s">
        <v>1781</v>
      </c>
      <c r="AE49" s="150"/>
      <c r="AF49" s="1252"/>
    </row>
    <row r="50" spans="1:35" s="1290" customFormat="1" ht="15.95" customHeight="1" x14ac:dyDescent="0.25">
      <c r="A50" s="972">
        <f ca="1">IF(Z50="",0,1)</f>
        <v>1</v>
      </c>
      <c r="W50" s="2057"/>
      <c r="X50" s="424"/>
      <c r="Y50" s="1456" t="str">
        <f>D4</f>
        <v>CoStar Historical Absorption</v>
      </c>
      <c r="Z50" s="2078">
        <f ca="1">IFERROR(ROUND(I11,-1),"")</f>
        <v>990</v>
      </c>
      <c r="AA50" s="2078" t="s">
        <v>176</v>
      </c>
      <c r="AB50" s="2788">
        <v>0.2</v>
      </c>
      <c r="AC50" s="2069" t="s">
        <v>177</v>
      </c>
      <c r="AD50" s="2588">
        <f ca="1">IFERROR(Z50*AB50,0)</f>
        <v>198</v>
      </c>
      <c r="AE50" s="424"/>
      <c r="AF50" s="1291"/>
      <c r="AG50" s="2543">
        <f ca="1">IF(Z50="",0,1)</f>
        <v>1</v>
      </c>
      <c r="AH50" s="2544" t="str">
        <f ca="1">IF(AG50=1,IF(AI50=$AI$53,CONCATENATE("and ",LOWER(Y50)),IF(AI50=$AI$53-1,CONCATENATE(LOWER(Y50)," "),CONCATENATE(LOWER(Y50),", "))),"")</f>
        <v xml:space="preserve">costar historical absorption </v>
      </c>
      <c r="AI50" s="2543">
        <f ca="1">SUM($AG50:AG$50)</f>
        <v>1</v>
      </c>
    </row>
    <row r="51" spans="1:35" s="1290" customFormat="1" ht="15.95" customHeight="1" x14ac:dyDescent="0.25">
      <c r="A51" s="972">
        <f>IF(Z51="",0,1)</f>
        <v>0</v>
      </c>
      <c r="W51" s="2057"/>
      <c r="X51" s="424"/>
      <c r="Y51" s="1457" t="str">
        <f>O15</f>
        <v>Absorption Comparables</v>
      </c>
      <c r="Z51" s="2079" t="str">
        <f>IFERROR(ROUND(S23,-1),"")</f>
        <v/>
      </c>
      <c r="AA51" s="2079" t="s">
        <v>176</v>
      </c>
      <c r="AB51" s="2789">
        <v>0</v>
      </c>
      <c r="AC51" s="2069" t="s">
        <v>177</v>
      </c>
      <c r="AD51" s="2588">
        <f>IFERROR(Z51*AB51,0)</f>
        <v>0</v>
      </c>
      <c r="AE51" s="424"/>
      <c r="AF51" s="1291"/>
      <c r="AG51" s="2543">
        <f t="shared" ref="AG51:AG53" si="2">IF(Z51="",0,1)</f>
        <v>0</v>
      </c>
      <c r="AH51" s="2544" t="str">
        <f>IF(AG51=1,IF(AI51=$AI$53,CONCATENATE("and ",LOWER(Y51)),IF(AI51=$AI$53-1,CONCATENATE(LOWER(Y51)," "),CONCATENATE(LOWER(Y51),", "))),"")</f>
        <v/>
      </c>
      <c r="AI51" s="2543">
        <f ca="1">SUM($AG$50:AG51)</f>
        <v>1</v>
      </c>
    </row>
    <row r="52" spans="1:35" s="1290" customFormat="1" ht="15.95" customHeight="1" x14ac:dyDescent="0.25">
      <c r="A52" s="972">
        <f ca="1">IF(Z52="",0,1)</f>
        <v>1</v>
      </c>
      <c r="V52" s="1543"/>
      <c r="W52" s="2057"/>
      <c r="X52" s="424"/>
      <c r="Y52" s="1457" t="str">
        <f>O27</f>
        <v>Subject Historical Absorption</v>
      </c>
      <c r="Z52" s="2079">
        <f ca="1">IFERROR(ROUND(Q34,-1),"")</f>
        <v>10</v>
      </c>
      <c r="AA52" s="2079" t="s">
        <v>176</v>
      </c>
      <c r="AB52" s="2789">
        <v>0.4</v>
      </c>
      <c r="AC52" s="2069" t="s">
        <v>177</v>
      </c>
      <c r="AD52" s="2588">
        <f ca="1">IFERROR(Z52*AB52,0)</f>
        <v>4</v>
      </c>
      <c r="AE52" s="424"/>
      <c r="AF52" s="1291"/>
      <c r="AG52" s="2543">
        <f t="shared" ca="1" si="2"/>
        <v>1</v>
      </c>
      <c r="AH52" s="2544" t="str">
        <f ca="1">IF(AG52=1,IF(AI52=$AI$53,CONCATENATE("and ",LOWER(Y52)),IF(AI52=$AI$53-1,CONCATENATE(LOWER(Y52)," "),CONCATENATE(LOWER(Y52),", "))),"")</f>
        <v>and subject historical absorption</v>
      </c>
      <c r="AI52" s="2543">
        <f ca="1">SUM($AG$50:AG52)</f>
        <v>2</v>
      </c>
    </row>
    <row r="53" spans="1:35" s="1290" customFormat="1" ht="15.95" customHeight="1" x14ac:dyDescent="0.25">
      <c r="A53" s="972">
        <f>IF(Z53="",0,1)</f>
        <v>0</v>
      </c>
      <c r="W53" s="2057"/>
      <c r="X53" s="424"/>
      <c r="Y53" s="1462" t="s">
        <v>18192</v>
      </c>
      <c r="Z53" s="2080" t="str">
        <f>IFERROR(ROUND(S44,-1),"")</f>
        <v/>
      </c>
      <c r="AA53" s="2080" t="s">
        <v>176</v>
      </c>
      <c r="AB53" s="2790">
        <v>0.4</v>
      </c>
      <c r="AC53" s="2069" t="s">
        <v>177</v>
      </c>
      <c r="AD53" s="2588">
        <f>IFERROR(Z53*AB53,0)</f>
        <v>0</v>
      </c>
      <c r="AE53" s="424"/>
      <c r="AF53" s="1291"/>
      <c r="AG53" s="2543">
        <f t="shared" si="2"/>
        <v>0</v>
      </c>
      <c r="AH53" s="2544" t="str">
        <f>IF(AG53=1,IF(AI53=$AI$53,CONCATENATE("and ",LOWER(Y53)),IF(AI53=$AI$53-1,CONCATENATE(LOWER(Y53)," "),CONCATENATE(LOWER(Y53),", "))),"")</f>
        <v/>
      </c>
      <c r="AI53" s="2543">
        <f ca="1">SUM($AG$50:AG53)</f>
        <v>2</v>
      </c>
    </row>
    <row r="54" spans="1:35" s="1290" customFormat="1" ht="15.95" customHeight="1" x14ac:dyDescent="0.25">
      <c r="A54" s="972">
        <v>1</v>
      </c>
      <c r="W54" s="2057"/>
      <c r="X54" s="424"/>
      <c r="Y54" s="2706" t="s">
        <v>1782</v>
      </c>
      <c r="Z54" s="2707"/>
      <c r="AA54" s="2707"/>
      <c r="AB54" s="2787"/>
      <c r="AC54" s="2071"/>
      <c r="AD54" s="2590">
        <f ca="1">ROUND(SUM(AD50:AD53),-2)</f>
        <v>200</v>
      </c>
      <c r="AE54" s="424"/>
      <c r="AF54" s="1291"/>
    </row>
    <row r="55" spans="1:35" ht="24.95" customHeight="1" x14ac:dyDescent="0.25">
      <c r="A55" s="972">
        <v>1</v>
      </c>
      <c r="W55" s="1251"/>
      <c r="X55" s="101"/>
      <c r="Y55" s="764" t="s">
        <v>1783</v>
      </c>
      <c r="Z55" s="2072"/>
      <c r="AA55" s="765"/>
      <c r="AB55" s="2073" t="e">
        <f ca="1">dpIncome_VacancyActual</f>
        <v>#VALUE!</v>
      </c>
      <c r="AC55" s="765"/>
      <c r="AD55" s="2591" t="e">
        <f ca="1">Subject_NRA*AB55</f>
        <v>#VALUE!</v>
      </c>
      <c r="AE55" s="101"/>
      <c r="AF55" s="1252"/>
    </row>
    <row r="56" spans="1:35" s="1290" customFormat="1" ht="15.95" customHeight="1" x14ac:dyDescent="0.25">
      <c r="A56" s="972">
        <v>1</v>
      </c>
      <c r="W56" s="2057"/>
      <c r="X56" s="424"/>
      <c r="Y56" s="671" t="s">
        <v>438</v>
      </c>
      <c r="Z56" s="2069"/>
      <c r="AA56" s="1602"/>
      <c r="AB56" s="2070">
        <f>dpIncome_StabilizedVacancy</f>
        <v>0.02</v>
      </c>
      <c r="AC56" s="1602" t="s">
        <v>1784</v>
      </c>
      <c r="AD56" s="2592">
        <f>Subject_NRA*AB56</f>
        <v>4184.16</v>
      </c>
      <c r="AE56" s="424"/>
      <c r="AF56" s="1291"/>
    </row>
    <row r="57" spans="1:35" s="1290" customFormat="1" ht="15.95" customHeight="1" x14ac:dyDescent="0.25">
      <c r="A57" s="972">
        <v>1</v>
      </c>
      <c r="W57" s="2057"/>
      <c r="X57" s="424"/>
      <c r="Y57" s="671" t="s">
        <v>1101</v>
      </c>
      <c r="Z57" s="2069"/>
      <c r="AA57" s="1602"/>
      <c r="AB57" s="2070" t="e">
        <f ca="1">AB55-AB56</f>
        <v>#VALUE!</v>
      </c>
      <c r="AC57" s="1602"/>
      <c r="AD57" s="2588" t="e">
        <f ca="1">Subject_NRA*AB57</f>
        <v>#VALUE!</v>
      </c>
      <c r="AE57" s="424"/>
      <c r="AF57" s="1291"/>
    </row>
    <row r="58" spans="1:35" s="1290" customFormat="1" ht="15.95" customHeight="1" x14ac:dyDescent="0.25">
      <c r="A58" s="972">
        <v>1</v>
      </c>
      <c r="W58" s="2057"/>
      <c r="X58" s="424"/>
      <c r="Y58" s="671"/>
      <c r="Z58" s="2069"/>
      <c r="AA58" s="1602"/>
      <c r="AB58" s="2070"/>
      <c r="AC58" s="1602" t="s">
        <v>439</v>
      </c>
      <c r="AD58" s="2588">
        <f ca="1">AD54</f>
        <v>200</v>
      </c>
      <c r="AE58" s="424"/>
      <c r="AF58" s="1291"/>
    </row>
    <row r="59" spans="1:35" ht="15.95" customHeight="1" thickBot="1" x14ac:dyDescent="0.3">
      <c r="A59" s="972">
        <v>1</v>
      </c>
      <c r="W59" s="2057"/>
      <c r="X59" s="424"/>
      <c r="Y59" s="1443" t="s">
        <v>18079</v>
      </c>
      <c r="Z59" s="2074"/>
      <c r="AA59" s="2074"/>
      <c r="AB59" s="2075"/>
      <c r="AC59" s="2076"/>
      <c r="AD59" s="2077" t="e">
        <f ca="1">ROUND(AD57/AD58,0)</f>
        <v>#VALUE!</v>
      </c>
      <c r="AE59" s="424"/>
      <c r="AF59" s="1291"/>
    </row>
    <row r="60" spans="1:35" s="1290" customFormat="1" ht="20.100000000000001" customHeight="1" thickBot="1" x14ac:dyDescent="0.3">
      <c r="A60" s="972">
        <v>1</v>
      </c>
      <c r="W60" s="2065"/>
      <c r="X60" s="647"/>
      <c r="Y60" s="885" t="s">
        <v>1788</v>
      </c>
      <c r="Z60" s="653"/>
      <c r="AA60" s="653"/>
      <c r="AB60" s="653"/>
      <c r="AC60" s="653"/>
      <c r="AD60" s="647"/>
      <c r="AE60" s="647"/>
      <c r="AF60" s="2067"/>
    </row>
    <row r="61" spans="1:35" x14ac:dyDescent="0.25">
      <c r="D61" s="957">
        <v>1</v>
      </c>
      <c r="E61" s="957">
        <f ca="1">IF(ISERROR(E11)=TRUE,0,1)</f>
        <v>1</v>
      </c>
      <c r="F61" s="957">
        <f ca="1">IF(ISERROR(F11)=TRUE,0,1)</f>
        <v>1</v>
      </c>
      <c r="G61" s="957">
        <f ca="1">IF(ISERROR(G11)=TRUE,0,1)</f>
        <v>1</v>
      </c>
      <c r="H61" s="957">
        <f ca="1">IF(ISERROR(H11)=TRUE,0,1)</f>
        <v>0</v>
      </c>
      <c r="I61" s="957">
        <v>1</v>
      </c>
    </row>
  </sheetData>
  <mergeCells count="1">
    <mergeCell ref="Y46:AD4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77603" r:id="rId4" name="Spinner 3">
              <controlPr defaultSize="0" autoPict="0" macro="[0]!Spinner21_Change">
                <anchor moveWithCells="1">
                  <from>
                    <xdr:col>0</xdr:col>
                    <xdr:colOff>19050</xdr:colOff>
                    <xdr:row>6</xdr:row>
                    <xdr:rowOff>19050</xdr:rowOff>
                  </from>
                  <to>
                    <xdr:col>0</xdr:col>
                    <xdr:colOff>571500</xdr:colOff>
                    <xdr:row>7</xdr:row>
                    <xdr:rowOff>142875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7">
    <tabColor theme="1"/>
  </sheetPr>
  <dimension ref="A1:CL135"/>
  <sheetViews>
    <sheetView zoomScaleNormal="100" workbookViewId="0">
      <selection activeCell="CP111" sqref="CP111"/>
    </sheetView>
  </sheetViews>
  <sheetFormatPr defaultColWidth="9.140625" defaultRowHeight="14.25" x14ac:dyDescent="0.25"/>
  <cols>
    <col min="1" max="1" width="5.7109375" style="32" customWidth="1"/>
    <col min="2" max="2" width="2.7109375" style="32" customWidth="1"/>
    <col min="3" max="3" width="0.85546875" style="32" customWidth="1"/>
    <col min="4" max="4" width="30.7109375" style="32" customWidth="1"/>
    <col min="5" max="7" width="12.7109375" style="32" customWidth="1"/>
    <col min="8" max="8" width="0.85546875" style="32" customWidth="1"/>
    <col min="9" max="9" width="2.7109375" style="10" customWidth="1"/>
    <col min="10" max="10" width="0.85546875" style="10" customWidth="1"/>
    <col min="11" max="11" width="20.7109375" style="10" customWidth="1"/>
    <col min="12" max="13" width="8.7109375" style="10" customWidth="1"/>
    <col min="14" max="14" width="1.7109375" style="10" customWidth="1"/>
    <col min="15" max="15" width="10.7109375" style="37" hidden="1" customWidth="1"/>
    <col min="16" max="86" width="9.7109375" style="37" hidden="1" customWidth="1"/>
    <col min="87" max="87" width="0.85546875" style="10" customWidth="1"/>
    <col min="88" max="88" width="5.7109375" style="10" customWidth="1"/>
    <col min="89" max="16384" width="9.140625" style="10"/>
  </cols>
  <sheetData>
    <row r="1" spans="1:90" ht="60" customHeight="1" x14ac:dyDescent="0.25"/>
    <row r="2" spans="1:90" ht="55.5" customHeight="1" thickBot="1" x14ac:dyDescent="0.3">
      <c r="A2" s="96"/>
      <c r="B2" s="96"/>
      <c r="C2" s="96"/>
      <c r="D2" s="96"/>
      <c r="E2" s="96"/>
      <c r="F2" s="96"/>
      <c r="G2" s="96"/>
      <c r="H2" s="96"/>
      <c r="I2" s="42"/>
      <c r="J2" s="42"/>
      <c r="K2" s="42"/>
      <c r="L2" s="42"/>
      <c r="M2" s="42"/>
      <c r="N2" s="42"/>
      <c r="O2" s="810"/>
      <c r="P2" s="810"/>
      <c r="Q2" s="810"/>
      <c r="R2" s="810"/>
      <c r="S2" s="810"/>
      <c r="T2" s="810"/>
      <c r="U2" s="810"/>
      <c r="V2" s="810"/>
      <c r="W2" s="810"/>
      <c r="X2" s="810"/>
      <c r="Y2" s="810"/>
      <c r="Z2" s="810"/>
      <c r="AA2" s="810"/>
      <c r="AB2" s="810"/>
      <c r="AC2" s="810"/>
      <c r="AD2" s="810"/>
      <c r="AE2" s="810"/>
      <c r="AF2" s="810"/>
      <c r="AG2" s="810"/>
      <c r="AH2" s="810"/>
      <c r="AI2" s="810"/>
      <c r="AJ2" s="810"/>
      <c r="AK2" s="810"/>
      <c r="AL2" s="810"/>
      <c r="AM2" s="810"/>
      <c r="AN2" s="810"/>
      <c r="AO2" s="810"/>
      <c r="AP2" s="810"/>
      <c r="AQ2" s="810"/>
      <c r="AR2" s="810"/>
      <c r="AS2" s="810"/>
      <c r="AT2" s="810"/>
      <c r="AU2" s="810"/>
      <c r="AV2" s="810"/>
      <c r="AW2" s="810"/>
      <c r="AX2" s="810"/>
      <c r="AY2" s="810"/>
      <c r="AZ2" s="810"/>
      <c r="BA2" s="810"/>
      <c r="BB2" s="810"/>
      <c r="BC2" s="810"/>
      <c r="BD2" s="810"/>
      <c r="BE2" s="810"/>
      <c r="BF2" s="810"/>
      <c r="BG2" s="810"/>
      <c r="BH2" s="810"/>
      <c r="BI2" s="810"/>
      <c r="BJ2" s="810"/>
      <c r="BK2" s="810"/>
      <c r="BL2" s="810"/>
      <c r="BM2" s="810"/>
      <c r="BN2" s="810"/>
      <c r="BO2" s="810"/>
      <c r="BP2" s="810"/>
      <c r="BQ2" s="810"/>
      <c r="BR2" s="810"/>
      <c r="BS2" s="810"/>
      <c r="BT2" s="810"/>
      <c r="BU2" s="810"/>
      <c r="BV2" s="810"/>
      <c r="BW2" s="810"/>
      <c r="BX2" s="810"/>
      <c r="BY2" s="810"/>
      <c r="BZ2" s="810"/>
      <c r="CA2" s="810"/>
      <c r="CB2" s="810"/>
      <c r="CC2" s="810"/>
      <c r="CD2" s="810"/>
      <c r="CE2" s="810"/>
      <c r="CF2" s="810"/>
      <c r="CG2" s="810"/>
      <c r="CH2" s="810"/>
      <c r="CI2" s="42"/>
      <c r="CJ2" s="42"/>
      <c r="CK2" s="42"/>
      <c r="CL2" s="42"/>
    </row>
    <row r="3" spans="1:90" x14ac:dyDescent="0.25">
      <c r="A3" s="96"/>
      <c r="B3" s="96"/>
      <c r="C3" s="96"/>
      <c r="D3" s="96"/>
      <c r="E3" s="96"/>
      <c r="F3" s="96"/>
      <c r="G3" s="96"/>
      <c r="H3" s="96"/>
      <c r="I3" s="173"/>
      <c r="J3" s="72"/>
      <c r="K3" s="72"/>
      <c r="L3" s="72"/>
      <c r="M3" s="72"/>
      <c r="N3" s="72"/>
      <c r="O3" s="813"/>
      <c r="P3" s="813"/>
      <c r="Q3" s="813"/>
      <c r="R3" s="813"/>
      <c r="S3" s="813"/>
      <c r="T3" s="813"/>
      <c r="U3" s="813"/>
      <c r="V3" s="813"/>
      <c r="W3" s="813"/>
      <c r="X3" s="813"/>
      <c r="Y3" s="813"/>
      <c r="Z3" s="813"/>
      <c r="AA3" s="813"/>
      <c r="AB3" s="813"/>
      <c r="AC3" s="813"/>
      <c r="AD3" s="813"/>
      <c r="AE3" s="813"/>
      <c r="AF3" s="813"/>
      <c r="AG3" s="813"/>
      <c r="AH3" s="813"/>
      <c r="AI3" s="813"/>
      <c r="AJ3" s="813"/>
      <c r="AK3" s="813"/>
      <c r="AL3" s="813"/>
      <c r="AM3" s="813"/>
      <c r="AN3" s="813"/>
      <c r="AO3" s="813"/>
      <c r="AP3" s="813"/>
      <c r="AQ3" s="813"/>
      <c r="AR3" s="813"/>
      <c r="AS3" s="813"/>
      <c r="AT3" s="813"/>
      <c r="AU3" s="813"/>
      <c r="AV3" s="813"/>
      <c r="AW3" s="813"/>
      <c r="AX3" s="813"/>
      <c r="AY3" s="813"/>
      <c r="AZ3" s="813"/>
      <c r="BA3" s="813"/>
      <c r="BB3" s="813"/>
      <c r="BC3" s="813"/>
      <c r="BD3" s="813"/>
      <c r="BE3" s="813"/>
      <c r="BF3" s="813"/>
      <c r="BG3" s="813"/>
      <c r="BH3" s="813"/>
      <c r="BI3" s="813"/>
      <c r="BJ3" s="813"/>
      <c r="BK3" s="813"/>
      <c r="BL3" s="813"/>
      <c r="BM3" s="813"/>
      <c r="BN3" s="813"/>
      <c r="BO3" s="813"/>
      <c r="BP3" s="813"/>
      <c r="BQ3" s="813"/>
      <c r="BR3" s="813"/>
      <c r="BS3" s="813"/>
      <c r="BT3" s="813"/>
      <c r="BU3" s="813"/>
      <c r="BV3" s="813"/>
      <c r="BW3" s="813"/>
      <c r="BX3" s="813"/>
      <c r="BY3" s="813"/>
      <c r="BZ3" s="813"/>
      <c r="CA3" s="813"/>
      <c r="CB3" s="813"/>
      <c r="CC3" s="813"/>
      <c r="CD3" s="813"/>
      <c r="CE3" s="813"/>
      <c r="CF3" s="813"/>
      <c r="CG3" s="813"/>
      <c r="CH3" s="813"/>
      <c r="CI3" s="72"/>
      <c r="CJ3" s="73"/>
      <c r="CK3" s="42"/>
      <c r="CL3" s="42"/>
    </row>
    <row r="4" spans="1:90" s="142" customFormat="1" ht="15.95" customHeight="1" x14ac:dyDescent="0.25">
      <c r="A4" s="330"/>
      <c r="B4" s="330"/>
      <c r="C4" s="330"/>
      <c r="D4" s="667"/>
      <c r="E4" s="667"/>
      <c r="F4" s="330"/>
      <c r="G4" s="330"/>
      <c r="H4" s="330"/>
      <c r="I4" s="501"/>
      <c r="J4" s="419"/>
      <c r="K4" s="519" t="s">
        <v>440</v>
      </c>
      <c r="L4" s="419"/>
      <c r="M4" s="419"/>
      <c r="N4" s="419"/>
      <c r="O4" s="663"/>
      <c r="P4" s="663"/>
      <c r="Q4" s="663"/>
      <c r="R4" s="663"/>
      <c r="S4" s="663"/>
      <c r="T4" s="663"/>
      <c r="U4" s="663"/>
      <c r="V4" s="663"/>
      <c r="W4" s="663"/>
      <c r="X4" s="663"/>
      <c r="Y4" s="663"/>
      <c r="Z4" s="663"/>
      <c r="AA4" s="663"/>
      <c r="AB4" s="663"/>
      <c r="AC4" s="663"/>
      <c r="AD4" s="663"/>
      <c r="AE4" s="663"/>
      <c r="AF4" s="663"/>
      <c r="AG4" s="663"/>
      <c r="AH4" s="663"/>
      <c r="AI4" s="663"/>
      <c r="AJ4" s="663"/>
      <c r="AK4" s="663"/>
      <c r="AL4" s="663"/>
      <c r="AM4" s="663"/>
      <c r="AN4" s="663"/>
      <c r="AO4" s="663"/>
      <c r="AP4" s="663"/>
      <c r="AQ4" s="663"/>
      <c r="AR4" s="663"/>
      <c r="AS4" s="663"/>
      <c r="AT4" s="663"/>
      <c r="AU4" s="663"/>
      <c r="AV4" s="663"/>
      <c r="AW4" s="663"/>
      <c r="AX4" s="663"/>
      <c r="AY4" s="663"/>
      <c r="AZ4" s="663"/>
      <c r="BA4" s="663"/>
      <c r="BB4" s="663"/>
      <c r="BC4" s="663"/>
      <c r="BD4" s="663"/>
      <c r="BE4" s="663"/>
      <c r="BF4" s="663"/>
      <c r="BG4" s="663"/>
      <c r="BH4" s="663"/>
      <c r="BI4" s="663"/>
      <c r="BJ4" s="663"/>
      <c r="BK4" s="663"/>
      <c r="BL4" s="663"/>
      <c r="BM4" s="663"/>
      <c r="BN4" s="663"/>
      <c r="BO4" s="663"/>
      <c r="BP4" s="663"/>
      <c r="BQ4" s="663"/>
      <c r="BR4" s="663"/>
      <c r="BS4" s="663"/>
      <c r="BT4" s="663"/>
      <c r="BU4" s="663"/>
      <c r="BV4" s="663"/>
      <c r="BW4" s="663"/>
      <c r="BX4" s="663"/>
      <c r="BY4" s="663"/>
      <c r="BZ4" s="663"/>
      <c r="CA4" s="663"/>
      <c r="CB4" s="663"/>
      <c r="CC4" s="663"/>
      <c r="CD4" s="663"/>
      <c r="CE4" s="663"/>
      <c r="CF4" s="663"/>
      <c r="CG4" s="663"/>
      <c r="CH4" s="663"/>
      <c r="CI4" s="419"/>
      <c r="CJ4" s="141"/>
      <c r="CK4" s="502"/>
      <c r="CL4" s="502"/>
    </row>
    <row r="5" spans="1:90" ht="9.9499999999999993" customHeight="1" x14ac:dyDescent="0.25">
      <c r="A5" s="957">
        <v>1</v>
      </c>
      <c r="B5" s="96"/>
      <c r="C5" s="96"/>
      <c r="D5" s="96"/>
      <c r="E5" s="96"/>
      <c r="F5" s="96"/>
      <c r="G5" s="96"/>
      <c r="H5" s="96"/>
      <c r="I5" s="174"/>
      <c r="J5" s="3707"/>
      <c r="K5" s="3707"/>
      <c r="L5" s="3707"/>
      <c r="M5" s="3707"/>
      <c r="N5" s="3707"/>
      <c r="O5" s="3708"/>
      <c r="P5" s="3708"/>
      <c r="Q5" s="3708"/>
      <c r="R5" s="3708"/>
      <c r="S5" s="3708"/>
      <c r="T5" s="3708"/>
      <c r="U5" s="3708"/>
      <c r="V5" s="3708"/>
      <c r="W5" s="3708"/>
      <c r="X5" s="3708"/>
      <c r="Y5" s="3708"/>
      <c r="Z5" s="3708"/>
      <c r="AA5" s="3708"/>
      <c r="AB5" s="3708"/>
      <c r="AC5" s="3708"/>
      <c r="AD5" s="3708"/>
      <c r="AE5" s="3708"/>
      <c r="AF5" s="3708"/>
      <c r="AG5" s="3708"/>
      <c r="AH5" s="3708"/>
      <c r="AI5" s="3708"/>
      <c r="AJ5" s="3708"/>
      <c r="AK5" s="3708"/>
      <c r="AL5" s="3708"/>
      <c r="AM5" s="3708"/>
      <c r="AN5" s="3708"/>
      <c r="AO5" s="3708"/>
      <c r="AP5" s="3708"/>
      <c r="AQ5" s="3708"/>
      <c r="AR5" s="3708"/>
      <c r="AS5" s="3708"/>
      <c r="AT5" s="3708"/>
      <c r="AU5" s="3708"/>
      <c r="AV5" s="3708"/>
      <c r="AW5" s="3708"/>
      <c r="AX5" s="3708"/>
      <c r="AY5" s="3708"/>
      <c r="AZ5" s="3708"/>
      <c r="BA5" s="3708"/>
      <c r="BB5" s="3708"/>
      <c r="BC5" s="3708"/>
      <c r="BD5" s="3708"/>
      <c r="BE5" s="3708"/>
      <c r="BF5" s="3708"/>
      <c r="BG5" s="3708"/>
      <c r="BH5" s="3708"/>
      <c r="BI5" s="3708"/>
      <c r="BJ5" s="3708"/>
      <c r="BK5" s="3708"/>
      <c r="BL5" s="3708"/>
      <c r="BM5" s="3708"/>
      <c r="BN5" s="3708"/>
      <c r="BO5" s="3708"/>
      <c r="BP5" s="3708"/>
      <c r="BQ5" s="3708"/>
      <c r="BR5" s="3708"/>
      <c r="BS5" s="3708"/>
      <c r="BT5" s="3708"/>
      <c r="BU5" s="3708"/>
      <c r="BV5" s="3708"/>
      <c r="BW5" s="3708"/>
      <c r="BX5" s="3708"/>
      <c r="BY5" s="3708"/>
      <c r="BZ5" s="3708"/>
      <c r="CA5" s="3708"/>
      <c r="CB5" s="3708"/>
      <c r="CC5" s="3708"/>
      <c r="CD5" s="3708"/>
      <c r="CE5" s="3708"/>
      <c r="CF5" s="3708"/>
      <c r="CG5" s="3708"/>
      <c r="CH5" s="3708"/>
      <c r="CI5" s="3707"/>
      <c r="CJ5" s="74"/>
      <c r="CK5" s="42"/>
      <c r="CL5" s="42"/>
    </row>
    <row r="6" spans="1:90" hidden="1" x14ac:dyDescent="0.25">
      <c r="A6" s="957">
        <f ca="1">IF(M6&gt;0,1,0)</f>
        <v>0</v>
      </c>
      <c r="B6" s="96"/>
      <c r="C6" s="96"/>
      <c r="D6" s="96"/>
      <c r="E6" s="96"/>
      <c r="F6" s="96"/>
      <c r="G6" s="96"/>
      <c r="H6" s="96"/>
      <c r="I6" s="174"/>
      <c r="J6" s="92"/>
      <c r="K6" s="3344" t="s">
        <v>20050</v>
      </c>
      <c r="L6" s="3696">
        <f t="shared" ref="L6:L14" ca="1" si="0">M6/Subject_NRA</f>
        <v>0</v>
      </c>
      <c r="M6" s="3709">
        <f ca="1">Income_TCat1_NRA</f>
        <v>0</v>
      </c>
      <c r="N6" s="3177" t="s">
        <v>448</v>
      </c>
      <c r="O6" s="3256"/>
      <c r="P6" s="3256"/>
      <c r="Q6" s="3256"/>
      <c r="R6" s="3256"/>
      <c r="S6" s="3256"/>
      <c r="T6" s="3256"/>
      <c r="U6" s="3256"/>
      <c r="V6" s="3256"/>
      <c r="W6" s="3256"/>
      <c r="X6" s="3256"/>
      <c r="Y6" s="3256"/>
      <c r="Z6" s="3256"/>
      <c r="AA6" s="3256"/>
      <c r="AB6" s="3256"/>
      <c r="AC6" s="3256"/>
      <c r="AD6" s="3256"/>
      <c r="AE6" s="3256"/>
      <c r="AF6" s="3256"/>
      <c r="AG6" s="3256"/>
      <c r="AH6" s="3256"/>
      <c r="AI6" s="3256"/>
      <c r="AJ6" s="3256"/>
      <c r="AK6" s="3256"/>
      <c r="AL6" s="3256"/>
      <c r="AM6" s="3256"/>
      <c r="AN6" s="3256"/>
      <c r="AO6" s="3256"/>
      <c r="AP6" s="3256"/>
      <c r="AQ6" s="3256"/>
      <c r="AR6" s="3256"/>
      <c r="AS6" s="3256"/>
      <c r="AT6" s="3256"/>
      <c r="AU6" s="3256"/>
      <c r="AV6" s="3256"/>
      <c r="AW6" s="3256"/>
      <c r="AX6" s="3256"/>
      <c r="AY6" s="3256"/>
      <c r="AZ6" s="3256"/>
      <c r="BA6" s="3256"/>
      <c r="BB6" s="3256"/>
      <c r="BC6" s="3256"/>
      <c r="BD6" s="3256"/>
      <c r="BE6" s="3256"/>
      <c r="BF6" s="3256"/>
      <c r="BG6" s="3256"/>
      <c r="BH6" s="3256"/>
      <c r="BI6" s="3256"/>
      <c r="BJ6" s="3256"/>
      <c r="BK6" s="3256"/>
      <c r="BL6" s="3256"/>
      <c r="BM6" s="3256"/>
      <c r="BN6" s="3256"/>
      <c r="BO6" s="3256"/>
      <c r="BP6" s="3256"/>
      <c r="BQ6" s="3256"/>
      <c r="BR6" s="3256"/>
      <c r="BS6" s="3256"/>
      <c r="BT6" s="3256"/>
      <c r="BU6" s="3256"/>
      <c r="BV6" s="3256"/>
      <c r="BW6" s="3256"/>
      <c r="BX6" s="3256"/>
      <c r="BY6" s="3256"/>
      <c r="BZ6" s="3256"/>
      <c r="CA6" s="3256"/>
      <c r="CB6" s="3256"/>
      <c r="CC6" s="3256"/>
      <c r="CD6" s="3256"/>
      <c r="CE6" s="3256"/>
      <c r="CF6" s="3256"/>
      <c r="CG6" s="3256"/>
      <c r="CH6" s="3256"/>
      <c r="CI6" s="92"/>
      <c r="CJ6" s="74"/>
      <c r="CK6" s="42"/>
      <c r="CL6" s="42"/>
    </row>
    <row r="7" spans="1:90" hidden="1" x14ac:dyDescent="0.25">
      <c r="A7" s="957">
        <f t="shared" ref="A7:A13" ca="1" si="1">IF(M7&gt;0,1,0)</f>
        <v>0</v>
      </c>
      <c r="B7" s="96"/>
      <c r="C7" s="96"/>
      <c r="D7" s="96"/>
      <c r="E7" s="96"/>
      <c r="F7" s="96"/>
      <c r="G7" s="96"/>
      <c r="H7" s="96"/>
      <c r="I7" s="174"/>
      <c r="J7" s="92"/>
      <c r="K7" s="3344" t="s">
        <v>20036</v>
      </c>
      <c r="L7" s="3696">
        <f t="shared" ca="1" si="0"/>
        <v>0</v>
      </c>
      <c r="M7" s="3709">
        <f ca="1">Income_TCat2_NRA</f>
        <v>0</v>
      </c>
      <c r="N7" s="3177" t="s">
        <v>448</v>
      </c>
      <c r="O7" s="3256"/>
      <c r="P7" s="3256"/>
      <c r="Q7" s="3256"/>
      <c r="R7" s="3256"/>
      <c r="S7" s="3256"/>
      <c r="T7" s="3256"/>
      <c r="U7" s="3256"/>
      <c r="V7" s="3256"/>
      <c r="W7" s="3256"/>
      <c r="X7" s="3256"/>
      <c r="Y7" s="3256"/>
      <c r="Z7" s="3256"/>
      <c r="AA7" s="3256"/>
      <c r="AB7" s="3256"/>
      <c r="AC7" s="3256"/>
      <c r="AD7" s="3256"/>
      <c r="AE7" s="3256"/>
      <c r="AF7" s="3256"/>
      <c r="AG7" s="3256"/>
      <c r="AH7" s="3256"/>
      <c r="AI7" s="3256"/>
      <c r="AJ7" s="3256"/>
      <c r="AK7" s="3256"/>
      <c r="AL7" s="3256"/>
      <c r="AM7" s="3256"/>
      <c r="AN7" s="3256"/>
      <c r="AO7" s="3256"/>
      <c r="AP7" s="3256"/>
      <c r="AQ7" s="3256"/>
      <c r="AR7" s="3256"/>
      <c r="AS7" s="3256"/>
      <c r="AT7" s="3256"/>
      <c r="AU7" s="3256"/>
      <c r="AV7" s="3256"/>
      <c r="AW7" s="3256"/>
      <c r="AX7" s="3256"/>
      <c r="AY7" s="3256"/>
      <c r="AZ7" s="3256"/>
      <c r="BA7" s="3256"/>
      <c r="BB7" s="3256"/>
      <c r="BC7" s="3256"/>
      <c r="BD7" s="3256"/>
      <c r="BE7" s="3256"/>
      <c r="BF7" s="3256"/>
      <c r="BG7" s="3256"/>
      <c r="BH7" s="3256"/>
      <c r="BI7" s="3256"/>
      <c r="BJ7" s="3256"/>
      <c r="BK7" s="3256"/>
      <c r="BL7" s="3256"/>
      <c r="BM7" s="3256"/>
      <c r="BN7" s="3256"/>
      <c r="BO7" s="3256"/>
      <c r="BP7" s="3256"/>
      <c r="BQ7" s="3256"/>
      <c r="BR7" s="3256"/>
      <c r="BS7" s="3256"/>
      <c r="BT7" s="3256"/>
      <c r="BU7" s="3256"/>
      <c r="BV7" s="3256"/>
      <c r="BW7" s="3256"/>
      <c r="BX7" s="3256"/>
      <c r="BY7" s="3256"/>
      <c r="BZ7" s="3256"/>
      <c r="CA7" s="3256"/>
      <c r="CB7" s="3256"/>
      <c r="CC7" s="3256"/>
      <c r="CD7" s="3256"/>
      <c r="CE7" s="3256"/>
      <c r="CF7" s="3256"/>
      <c r="CG7" s="3256"/>
      <c r="CH7" s="3256"/>
      <c r="CI7" s="92"/>
      <c r="CJ7" s="74"/>
      <c r="CK7" s="42"/>
      <c r="CL7" s="42"/>
    </row>
    <row r="8" spans="1:90" hidden="1" x14ac:dyDescent="0.25">
      <c r="A8" s="957">
        <f t="shared" ca="1" si="1"/>
        <v>0</v>
      </c>
      <c r="B8" s="96"/>
      <c r="C8" s="96"/>
      <c r="D8" s="96"/>
      <c r="E8" s="96"/>
      <c r="F8" s="96"/>
      <c r="G8" s="96"/>
      <c r="H8" s="96"/>
      <c r="I8" s="174"/>
      <c r="J8" s="92"/>
      <c r="K8" s="3344"/>
      <c r="L8" s="3696">
        <f t="shared" ca="1" si="0"/>
        <v>0</v>
      </c>
      <c r="M8" s="3709">
        <f ca="1">Income_TCat3_NRA_Manual</f>
        <v>0</v>
      </c>
      <c r="N8" s="3177" t="s">
        <v>448</v>
      </c>
      <c r="O8" s="3256"/>
      <c r="P8" s="3256"/>
      <c r="Q8" s="3256"/>
      <c r="R8" s="3256"/>
      <c r="S8" s="3256"/>
      <c r="T8" s="3256"/>
      <c r="U8" s="3256"/>
      <c r="V8" s="3256"/>
      <c r="W8" s="3256"/>
      <c r="X8" s="3256"/>
      <c r="Y8" s="3256"/>
      <c r="Z8" s="3256"/>
      <c r="AA8" s="3256"/>
      <c r="AB8" s="3256"/>
      <c r="AC8" s="3256"/>
      <c r="AD8" s="3256"/>
      <c r="AE8" s="3256"/>
      <c r="AF8" s="3256"/>
      <c r="AG8" s="3256"/>
      <c r="AH8" s="3256"/>
      <c r="AI8" s="3256"/>
      <c r="AJ8" s="3256"/>
      <c r="AK8" s="3256"/>
      <c r="AL8" s="3256"/>
      <c r="AM8" s="3256"/>
      <c r="AN8" s="3256"/>
      <c r="AO8" s="3256"/>
      <c r="AP8" s="3256"/>
      <c r="AQ8" s="3256"/>
      <c r="AR8" s="3256"/>
      <c r="AS8" s="3256"/>
      <c r="AT8" s="3256"/>
      <c r="AU8" s="3256"/>
      <c r="AV8" s="3256"/>
      <c r="AW8" s="3256"/>
      <c r="AX8" s="3256"/>
      <c r="AY8" s="3256"/>
      <c r="AZ8" s="3256"/>
      <c r="BA8" s="3256"/>
      <c r="BB8" s="3256"/>
      <c r="BC8" s="3256"/>
      <c r="BD8" s="3256"/>
      <c r="BE8" s="3256"/>
      <c r="BF8" s="3256"/>
      <c r="BG8" s="3256"/>
      <c r="BH8" s="3256"/>
      <c r="BI8" s="3256"/>
      <c r="BJ8" s="3256"/>
      <c r="BK8" s="3256"/>
      <c r="BL8" s="3256"/>
      <c r="BM8" s="3256"/>
      <c r="BN8" s="3256"/>
      <c r="BO8" s="3256"/>
      <c r="BP8" s="3256"/>
      <c r="BQ8" s="3256"/>
      <c r="BR8" s="3256"/>
      <c r="BS8" s="3256"/>
      <c r="BT8" s="3256"/>
      <c r="BU8" s="3256"/>
      <c r="BV8" s="3256"/>
      <c r="BW8" s="3256"/>
      <c r="BX8" s="3256"/>
      <c r="BY8" s="3256"/>
      <c r="BZ8" s="3256"/>
      <c r="CA8" s="3256"/>
      <c r="CB8" s="3256"/>
      <c r="CC8" s="3256"/>
      <c r="CD8" s="3256"/>
      <c r="CE8" s="3256"/>
      <c r="CF8" s="3256"/>
      <c r="CG8" s="3256"/>
      <c r="CH8" s="3256"/>
      <c r="CI8" s="92"/>
      <c r="CJ8" s="74"/>
      <c r="CK8" s="42"/>
      <c r="CL8" s="42"/>
    </row>
    <row r="9" spans="1:90" hidden="1" x14ac:dyDescent="0.25">
      <c r="A9" s="957">
        <f t="shared" ca="1" si="1"/>
        <v>0</v>
      </c>
      <c r="B9" s="96"/>
      <c r="C9" s="96"/>
      <c r="D9" s="96"/>
      <c r="E9" s="96"/>
      <c r="F9" s="96"/>
      <c r="G9" s="96"/>
      <c r="H9" s="96"/>
      <c r="I9" s="174"/>
      <c r="J9" s="92"/>
      <c r="K9" s="3344"/>
      <c r="L9" s="3696">
        <f t="shared" ca="1" si="0"/>
        <v>0</v>
      </c>
      <c r="M9" s="3709">
        <f ca="1">Income_TCat4_NRA</f>
        <v>0</v>
      </c>
      <c r="N9" s="3177" t="s">
        <v>448</v>
      </c>
      <c r="O9" s="3256"/>
      <c r="P9" s="3256"/>
      <c r="Q9" s="3256"/>
      <c r="R9" s="3256"/>
      <c r="S9" s="3256"/>
      <c r="T9" s="3256"/>
      <c r="U9" s="3256"/>
      <c r="V9" s="3256"/>
      <c r="W9" s="3256"/>
      <c r="X9" s="3256"/>
      <c r="Y9" s="3256"/>
      <c r="Z9" s="3256"/>
      <c r="AA9" s="3256"/>
      <c r="AB9" s="3256"/>
      <c r="AC9" s="3256"/>
      <c r="AD9" s="3256"/>
      <c r="AE9" s="3256"/>
      <c r="AF9" s="3256"/>
      <c r="AG9" s="3256"/>
      <c r="AH9" s="3256"/>
      <c r="AI9" s="3256"/>
      <c r="AJ9" s="3256"/>
      <c r="AK9" s="3256"/>
      <c r="AL9" s="3256"/>
      <c r="AM9" s="3256"/>
      <c r="AN9" s="3256"/>
      <c r="AO9" s="3256"/>
      <c r="AP9" s="3256"/>
      <c r="AQ9" s="3256"/>
      <c r="AR9" s="3256"/>
      <c r="AS9" s="3256"/>
      <c r="AT9" s="3256"/>
      <c r="AU9" s="3256"/>
      <c r="AV9" s="3256"/>
      <c r="AW9" s="3256"/>
      <c r="AX9" s="3256"/>
      <c r="AY9" s="3256"/>
      <c r="AZ9" s="3256"/>
      <c r="BA9" s="3256"/>
      <c r="BB9" s="3256"/>
      <c r="BC9" s="3256"/>
      <c r="BD9" s="3256"/>
      <c r="BE9" s="3256"/>
      <c r="BF9" s="3256"/>
      <c r="BG9" s="3256"/>
      <c r="BH9" s="3256"/>
      <c r="BI9" s="3256"/>
      <c r="BJ9" s="3256"/>
      <c r="BK9" s="3256"/>
      <c r="BL9" s="3256"/>
      <c r="BM9" s="3256"/>
      <c r="BN9" s="3256"/>
      <c r="BO9" s="3256"/>
      <c r="BP9" s="3256"/>
      <c r="BQ9" s="3256"/>
      <c r="BR9" s="3256"/>
      <c r="BS9" s="3256"/>
      <c r="BT9" s="3256"/>
      <c r="BU9" s="3256"/>
      <c r="BV9" s="3256"/>
      <c r="BW9" s="3256"/>
      <c r="BX9" s="3256"/>
      <c r="BY9" s="3256"/>
      <c r="BZ9" s="3256"/>
      <c r="CA9" s="3256"/>
      <c r="CB9" s="3256"/>
      <c r="CC9" s="3256"/>
      <c r="CD9" s="3256"/>
      <c r="CE9" s="3256"/>
      <c r="CF9" s="3256"/>
      <c r="CG9" s="3256"/>
      <c r="CH9" s="3256"/>
      <c r="CI9" s="92"/>
      <c r="CJ9" s="74"/>
      <c r="CK9" s="42"/>
      <c r="CL9" s="42"/>
    </row>
    <row r="10" spans="1:90" hidden="1" x14ac:dyDescent="0.25">
      <c r="A10" s="957">
        <f t="shared" ca="1" si="1"/>
        <v>0</v>
      </c>
      <c r="B10" s="96"/>
      <c r="C10" s="96"/>
      <c r="D10" s="96"/>
      <c r="E10" s="96"/>
      <c r="F10" s="96"/>
      <c r="G10" s="96"/>
      <c r="H10" s="96"/>
      <c r="I10" s="174"/>
      <c r="J10" s="92"/>
      <c r="K10" s="3344"/>
      <c r="L10" s="3696">
        <f t="shared" ca="1" si="0"/>
        <v>0</v>
      </c>
      <c r="M10" s="3709">
        <f ca="1">Income_TCat5_NRA</f>
        <v>0</v>
      </c>
      <c r="N10" s="3177" t="s">
        <v>448</v>
      </c>
      <c r="O10" s="3256"/>
      <c r="P10" s="3256"/>
      <c r="Q10" s="3256"/>
      <c r="R10" s="3256"/>
      <c r="S10" s="3256"/>
      <c r="T10" s="3256"/>
      <c r="U10" s="3256"/>
      <c r="V10" s="3256"/>
      <c r="W10" s="3256"/>
      <c r="X10" s="3256"/>
      <c r="Y10" s="3256"/>
      <c r="Z10" s="3256"/>
      <c r="AA10" s="3256"/>
      <c r="AB10" s="3256"/>
      <c r="AC10" s="3256"/>
      <c r="AD10" s="3256"/>
      <c r="AE10" s="3256"/>
      <c r="AF10" s="3256"/>
      <c r="AG10" s="3256"/>
      <c r="AH10" s="3256"/>
      <c r="AI10" s="3256"/>
      <c r="AJ10" s="3256"/>
      <c r="AK10" s="3256"/>
      <c r="AL10" s="3256"/>
      <c r="AM10" s="3256"/>
      <c r="AN10" s="3256"/>
      <c r="AO10" s="3256"/>
      <c r="AP10" s="3256"/>
      <c r="AQ10" s="3256"/>
      <c r="AR10" s="3256"/>
      <c r="AS10" s="3256"/>
      <c r="AT10" s="3256"/>
      <c r="AU10" s="3256"/>
      <c r="AV10" s="3256"/>
      <c r="AW10" s="3256"/>
      <c r="AX10" s="3256"/>
      <c r="AY10" s="3256"/>
      <c r="AZ10" s="3256"/>
      <c r="BA10" s="3256"/>
      <c r="BB10" s="3256"/>
      <c r="BC10" s="3256"/>
      <c r="BD10" s="3256"/>
      <c r="BE10" s="3256"/>
      <c r="BF10" s="3256"/>
      <c r="BG10" s="3256"/>
      <c r="BH10" s="3256"/>
      <c r="BI10" s="3256"/>
      <c r="BJ10" s="3256"/>
      <c r="BK10" s="3256"/>
      <c r="BL10" s="3256"/>
      <c r="BM10" s="3256"/>
      <c r="BN10" s="3256"/>
      <c r="BO10" s="3256"/>
      <c r="BP10" s="3256"/>
      <c r="BQ10" s="3256"/>
      <c r="BR10" s="3256"/>
      <c r="BS10" s="3256"/>
      <c r="BT10" s="3256"/>
      <c r="BU10" s="3256"/>
      <c r="BV10" s="3256"/>
      <c r="BW10" s="3256"/>
      <c r="BX10" s="3256"/>
      <c r="BY10" s="3256"/>
      <c r="BZ10" s="3256"/>
      <c r="CA10" s="3256"/>
      <c r="CB10" s="3256"/>
      <c r="CC10" s="3256"/>
      <c r="CD10" s="3256"/>
      <c r="CE10" s="3256"/>
      <c r="CF10" s="3256"/>
      <c r="CG10" s="3256"/>
      <c r="CH10" s="3256"/>
      <c r="CI10" s="92"/>
      <c r="CJ10" s="74"/>
      <c r="CK10" s="42"/>
      <c r="CL10" s="42"/>
    </row>
    <row r="11" spans="1:90" hidden="1" x14ac:dyDescent="0.25">
      <c r="A11" s="957">
        <f t="shared" ca="1" si="1"/>
        <v>0</v>
      </c>
      <c r="B11" s="96"/>
      <c r="C11" s="96"/>
      <c r="D11" s="96"/>
      <c r="E11" s="96"/>
      <c r="F11" s="96"/>
      <c r="G11" s="96"/>
      <c r="H11" s="96"/>
      <c r="I11" s="174"/>
      <c r="J11" s="92"/>
      <c r="K11" s="3344"/>
      <c r="L11" s="3696">
        <f t="shared" ca="1" si="0"/>
        <v>0</v>
      </c>
      <c r="M11" s="3709">
        <f ca="1">Income_TCat6_NRA</f>
        <v>0</v>
      </c>
      <c r="N11" s="3177" t="s">
        <v>448</v>
      </c>
      <c r="O11" s="3256"/>
      <c r="P11" s="3256"/>
      <c r="Q11" s="3256"/>
      <c r="R11" s="3256"/>
      <c r="S11" s="3256"/>
      <c r="T11" s="3256"/>
      <c r="U11" s="3256"/>
      <c r="V11" s="3256"/>
      <c r="W11" s="3256"/>
      <c r="X11" s="3256"/>
      <c r="Y11" s="3256"/>
      <c r="Z11" s="3256"/>
      <c r="AA11" s="3256"/>
      <c r="AB11" s="3256"/>
      <c r="AC11" s="3256"/>
      <c r="AD11" s="3256"/>
      <c r="AE11" s="3256"/>
      <c r="AF11" s="3256"/>
      <c r="AG11" s="3256"/>
      <c r="AH11" s="3256"/>
      <c r="AI11" s="3256"/>
      <c r="AJ11" s="3256"/>
      <c r="AK11" s="3256"/>
      <c r="AL11" s="3256"/>
      <c r="AM11" s="3256"/>
      <c r="AN11" s="3256"/>
      <c r="AO11" s="3256"/>
      <c r="AP11" s="3256"/>
      <c r="AQ11" s="3256"/>
      <c r="AR11" s="3256"/>
      <c r="AS11" s="3256"/>
      <c r="AT11" s="3256"/>
      <c r="AU11" s="3256"/>
      <c r="AV11" s="3256"/>
      <c r="AW11" s="3256"/>
      <c r="AX11" s="3256"/>
      <c r="AY11" s="3256"/>
      <c r="AZ11" s="3256"/>
      <c r="BA11" s="3256"/>
      <c r="BB11" s="3256"/>
      <c r="BC11" s="3256"/>
      <c r="BD11" s="3256"/>
      <c r="BE11" s="3256"/>
      <c r="BF11" s="3256"/>
      <c r="BG11" s="3256"/>
      <c r="BH11" s="3256"/>
      <c r="BI11" s="3256"/>
      <c r="BJ11" s="3256"/>
      <c r="BK11" s="3256"/>
      <c r="BL11" s="3256"/>
      <c r="BM11" s="3256"/>
      <c r="BN11" s="3256"/>
      <c r="BO11" s="3256"/>
      <c r="BP11" s="3256"/>
      <c r="BQ11" s="3256"/>
      <c r="BR11" s="3256"/>
      <c r="BS11" s="3256"/>
      <c r="BT11" s="3256"/>
      <c r="BU11" s="3256"/>
      <c r="BV11" s="3256"/>
      <c r="BW11" s="3256"/>
      <c r="BX11" s="3256"/>
      <c r="BY11" s="3256"/>
      <c r="BZ11" s="3256"/>
      <c r="CA11" s="3256"/>
      <c r="CB11" s="3256"/>
      <c r="CC11" s="3256"/>
      <c r="CD11" s="3256"/>
      <c r="CE11" s="3256"/>
      <c r="CF11" s="3256"/>
      <c r="CG11" s="3256"/>
      <c r="CH11" s="3256"/>
      <c r="CI11" s="92"/>
      <c r="CJ11" s="74"/>
      <c r="CK11" s="42"/>
      <c r="CL11" s="42"/>
    </row>
    <row r="12" spans="1:90" hidden="1" x14ac:dyDescent="0.25">
      <c r="A12" s="957">
        <f t="shared" ca="1" si="1"/>
        <v>0</v>
      </c>
      <c r="B12" s="96"/>
      <c r="C12" s="96"/>
      <c r="D12" s="96"/>
      <c r="E12" s="96"/>
      <c r="F12" s="96"/>
      <c r="G12" s="96"/>
      <c r="H12" s="96"/>
      <c r="I12" s="174"/>
      <c r="J12" s="92"/>
      <c r="K12" s="3344"/>
      <c r="L12" s="3696">
        <f t="shared" ca="1" si="0"/>
        <v>0</v>
      </c>
      <c r="M12" s="3709">
        <f ca="1">Income_TCat7_NRA</f>
        <v>0</v>
      </c>
      <c r="N12" s="3177" t="s">
        <v>448</v>
      </c>
      <c r="O12" s="3256"/>
      <c r="P12" s="3256"/>
      <c r="Q12" s="3256"/>
      <c r="R12" s="3256"/>
      <c r="S12" s="3256"/>
      <c r="T12" s="3256"/>
      <c r="U12" s="3256"/>
      <c r="V12" s="3256"/>
      <c r="W12" s="3256"/>
      <c r="X12" s="3256"/>
      <c r="Y12" s="3256"/>
      <c r="Z12" s="3256"/>
      <c r="AA12" s="3256"/>
      <c r="AB12" s="3256"/>
      <c r="AC12" s="3256"/>
      <c r="AD12" s="3256"/>
      <c r="AE12" s="3256"/>
      <c r="AF12" s="3256"/>
      <c r="AG12" s="3256"/>
      <c r="AH12" s="3256"/>
      <c r="AI12" s="3256"/>
      <c r="AJ12" s="3256"/>
      <c r="AK12" s="3256"/>
      <c r="AL12" s="3256"/>
      <c r="AM12" s="3256"/>
      <c r="AN12" s="3256"/>
      <c r="AO12" s="3256"/>
      <c r="AP12" s="3256"/>
      <c r="AQ12" s="3256"/>
      <c r="AR12" s="3256"/>
      <c r="AS12" s="3256"/>
      <c r="AT12" s="3256"/>
      <c r="AU12" s="3256"/>
      <c r="AV12" s="3256"/>
      <c r="AW12" s="3256"/>
      <c r="AX12" s="3256"/>
      <c r="AY12" s="3256"/>
      <c r="AZ12" s="3256"/>
      <c r="BA12" s="3256"/>
      <c r="BB12" s="3256"/>
      <c r="BC12" s="3256"/>
      <c r="BD12" s="3256"/>
      <c r="BE12" s="3256"/>
      <c r="BF12" s="3256"/>
      <c r="BG12" s="3256"/>
      <c r="BH12" s="3256"/>
      <c r="BI12" s="3256"/>
      <c r="BJ12" s="3256"/>
      <c r="BK12" s="3256"/>
      <c r="BL12" s="3256"/>
      <c r="BM12" s="3256"/>
      <c r="BN12" s="3256"/>
      <c r="BO12" s="3256"/>
      <c r="BP12" s="3256"/>
      <c r="BQ12" s="3256"/>
      <c r="BR12" s="3256"/>
      <c r="BS12" s="3256"/>
      <c r="BT12" s="3256"/>
      <c r="BU12" s="3256"/>
      <c r="BV12" s="3256"/>
      <c r="BW12" s="3256"/>
      <c r="BX12" s="3256"/>
      <c r="BY12" s="3256"/>
      <c r="BZ12" s="3256"/>
      <c r="CA12" s="3256"/>
      <c r="CB12" s="3256"/>
      <c r="CC12" s="3256"/>
      <c r="CD12" s="3256"/>
      <c r="CE12" s="3256"/>
      <c r="CF12" s="3256"/>
      <c r="CG12" s="3256"/>
      <c r="CH12" s="3256"/>
      <c r="CI12" s="92"/>
      <c r="CJ12" s="74"/>
      <c r="CK12" s="42"/>
      <c r="CL12" s="42"/>
    </row>
    <row r="13" spans="1:90" hidden="1" x14ac:dyDescent="0.25">
      <c r="A13" s="957">
        <f t="shared" ca="1" si="1"/>
        <v>0</v>
      </c>
      <c r="B13" s="96"/>
      <c r="C13" s="96"/>
      <c r="D13" s="96"/>
      <c r="E13" s="96"/>
      <c r="F13" s="96"/>
      <c r="G13" s="96"/>
      <c r="H13" s="96"/>
      <c r="I13" s="174"/>
      <c r="J13" s="92"/>
      <c r="K13" s="3344"/>
      <c r="L13" s="3696">
        <f t="shared" ca="1" si="0"/>
        <v>0</v>
      </c>
      <c r="M13" s="3710">
        <f ca="1">Income_TCat8_NRA</f>
        <v>0</v>
      </c>
      <c r="N13" s="3177" t="s">
        <v>448</v>
      </c>
      <c r="O13" s="3256"/>
      <c r="P13" s="3256"/>
      <c r="Q13" s="3256"/>
      <c r="R13" s="3256"/>
      <c r="S13" s="3256"/>
      <c r="T13" s="3256"/>
      <c r="U13" s="3256"/>
      <c r="V13" s="3256"/>
      <c r="W13" s="3256"/>
      <c r="X13" s="3256"/>
      <c r="Y13" s="3256"/>
      <c r="Z13" s="3256"/>
      <c r="AA13" s="3256"/>
      <c r="AB13" s="3256"/>
      <c r="AC13" s="3256"/>
      <c r="AD13" s="3256"/>
      <c r="AE13" s="3256"/>
      <c r="AF13" s="3256"/>
      <c r="AG13" s="3256"/>
      <c r="AH13" s="3256"/>
      <c r="AI13" s="3256"/>
      <c r="AJ13" s="3256"/>
      <c r="AK13" s="3256"/>
      <c r="AL13" s="3256"/>
      <c r="AM13" s="3256"/>
      <c r="AN13" s="3256"/>
      <c r="AO13" s="3256"/>
      <c r="AP13" s="3256"/>
      <c r="AQ13" s="3256"/>
      <c r="AR13" s="3256"/>
      <c r="AS13" s="3256"/>
      <c r="AT13" s="3256"/>
      <c r="AU13" s="3256"/>
      <c r="AV13" s="3256"/>
      <c r="AW13" s="3256"/>
      <c r="AX13" s="3256"/>
      <c r="AY13" s="3256"/>
      <c r="AZ13" s="3256"/>
      <c r="BA13" s="3256"/>
      <c r="BB13" s="3256"/>
      <c r="BC13" s="3256"/>
      <c r="BD13" s="3256"/>
      <c r="BE13" s="3256"/>
      <c r="BF13" s="3256"/>
      <c r="BG13" s="3256"/>
      <c r="BH13" s="3256"/>
      <c r="BI13" s="3256"/>
      <c r="BJ13" s="3256"/>
      <c r="BK13" s="3256"/>
      <c r="BL13" s="3256"/>
      <c r="BM13" s="3256"/>
      <c r="BN13" s="3256"/>
      <c r="BO13" s="3256"/>
      <c r="BP13" s="3256"/>
      <c r="BQ13" s="3256"/>
      <c r="BR13" s="3256"/>
      <c r="BS13" s="3256"/>
      <c r="BT13" s="3256"/>
      <c r="BU13" s="3256"/>
      <c r="BV13" s="3256"/>
      <c r="BW13" s="3256"/>
      <c r="BX13" s="3256"/>
      <c r="BY13" s="3256"/>
      <c r="BZ13" s="3256"/>
      <c r="CA13" s="3256"/>
      <c r="CB13" s="3256"/>
      <c r="CC13" s="3256"/>
      <c r="CD13" s="3256"/>
      <c r="CE13" s="3256"/>
      <c r="CF13" s="3256"/>
      <c r="CG13" s="3256"/>
      <c r="CH13" s="3256"/>
      <c r="CI13" s="92"/>
      <c r="CJ13" s="74"/>
      <c r="CK13" s="42"/>
      <c r="CL13" s="42"/>
    </row>
    <row r="14" spans="1:90" x14ac:dyDescent="0.25">
      <c r="A14" s="957">
        <v>1</v>
      </c>
      <c r="B14" s="96"/>
      <c r="C14" s="96"/>
      <c r="D14" s="96"/>
      <c r="E14" s="96"/>
      <c r="F14" s="96"/>
      <c r="G14" s="96"/>
      <c r="H14" s="96"/>
      <c r="I14" s="174"/>
      <c r="J14" s="92"/>
      <c r="K14" s="3344" t="s">
        <v>441</v>
      </c>
      <c r="L14" s="3711">
        <f t="shared" si="0"/>
        <v>1</v>
      </c>
      <c r="M14" s="3712">
        <f>Subject_NRA</f>
        <v>209208</v>
      </c>
      <c r="N14" s="3177" t="s">
        <v>448</v>
      </c>
      <c r="O14" s="3256"/>
      <c r="P14" s="3256"/>
      <c r="Q14" s="3256"/>
      <c r="R14" s="3256"/>
      <c r="S14" s="3256"/>
      <c r="T14" s="3256"/>
      <c r="U14" s="3256"/>
      <c r="V14" s="3256"/>
      <c r="W14" s="3256"/>
      <c r="X14" s="3256"/>
      <c r="Y14" s="3256"/>
      <c r="Z14" s="3256"/>
      <c r="AA14" s="3256"/>
      <c r="AB14" s="3256"/>
      <c r="AC14" s="3256"/>
      <c r="AD14" s="3256"/>
      <c r="AE14" s="3256"/>
      <c r="AF14" s="3256"/>
      <c r="AG14" s="3256"/>
      <c r="AH14" s="3256"/>
      <c r="AI14" s="3256"/>
      <c r="AJ14" s="3256"/>
      <c r="AK14" s="3256"/>
      <c r="AL14" s="3256"/>
      <c r="AM14" s="3256"/>
      <c r="AN14" s="3256"/>
      <c r="AO14" s="3256"/>
      <c r="AP14" s="3256"/>
      <c r="AQ14" s="3256"/>
      <c r="AR14" s="3256"/>
      <c r="AS14" s="3256"/>
      <c r="AT14" s="3256"/>
      <c r="AU14" s="3256"/>
      <c r="AV14" s="3256"/>
      <c r="AW14" s="3256"/>
      <c r="AX14" s="3256"/>
      <c r="AY14" s="3256"/>
      <c r="AZ14" s="3256"/>
      <c r="BA14" s="3256"/>
      <c r="BB14" s="3256"/>
      <c r="BC14" s="3256"/>
      <c r="BD14" s="3256"/>
      <c r="BE14" s="3256"/>
      <c r="BF14" s="3256"/>
      <c r="BG14" s="3256"/>
      <c r="BH14" s="3256"/>
      <c r="BI14" s="3256"/>
      <c r="BJ14" s="3256"/>
      <c r="BK14" s="3256"/>
      <c r="BL14" s="3256"/>
      <c r="BM14" s="3256"/>
      <c r="BN14" s="3256"/>
      <c r="BO14" s="3256"/>
      <c r="BP14" s="3256"/>
      <c r="BQ14" s="3256"/>
      <c r="BR14" s="3256"/>
      <c r="BS14" s="3256"/>
      <c r="BT14" s="3256"/>
      <c r="BU14" s="3256"/>
      <c r="BV14" s="3256"/>
      <c r="BW14" s="3256"/>
      <c r="BX14" s="3256"/>
      <c r="BY14" s="3256"/>
      <c r="BZ14" s="3256"/>
      <c r="CA14" s="3256"/>
      <c r="CB14" s="3256"/>
      <c r="CC14" s="3256"/>
      <c r="CD14" s="3256"/>
      <c r="CE14" s="3256"/>
      <c r="CF14" s="3256"/>
      <c r="CG14" s="3256"/>
      <c r="CH14" s="3256"/>
      <c r="CI14" s="92"/>
      <c r="CJ14" s="74"/>
      <c r="CK14" s="42"/>
      <c r="CL14" s="42"/>
    </row>
    <row r="15" spans="1:90" ht="9.9499999999999993" customHeight="1" x14ac:dyDescent="0.25">
      <c r="A15" s="957">
        <v>1</v>
      </c>
      <c r="B15" s="96"/>
      <c r="C15" s="96"/>
      <c r="D15" s="96"/>
      <c r="E15" s="96"/>
      <c r="F15" s="96"/>
      <c r="G15" s="96"/>
      <c r="H15" s="96"/>
      <c r="I15" s="174"/>
      <c r="J15" s="92"/>
      <c r="K15" s="3256"/>
      <c r="L15" s="3507"/>
      <c r="M15" s="3713"/>
      <c r="N15" s="92"/>
      <c r="O15" s="3256"/>
      <c r="P15" s="3256"/>
      <c r="Q15" s="3256"/>
      <c r="R15" s="3256"/>
      <c r="S15" s="3256"/>
      <c r="T15" s="3256"/>
      <c r="U15" s="3256"/>
      <c r="V15" s="3256"/>
      <c r="W15" s="3256"/>
      <c r="X15" s="3256"/>
      <c r="Y15" s="3256"/>
      <c r="Z15" s="3256"/>
      <c r="AA15" s="3256"/>
      <c r="AB15" s="3256"/>
      <c r="AC15" s="3256"/>
      <c r="AD15" s="3256"/>
      <c r="AE15" s="3256"/>
      <c r="AF15" s="3256"/>
      <c r="AG15" s="3256"/>
      <c r="AH15" s="3256"/>
      <c r="AI15" s="3256"/>
      <c r="AJ15" s="3256"/>
      <c r="AK15" s="3256"/>
      <c r="AL15" s="3256"/>
      <c r="AM15" s="3256"/>
      <c r="AN15" s="3256"/>
      <c r="AO15" s="3256"/>
      <c r="AP15" s="3256"/>
      <c r="AQ15" s="3256"/>
      <c r="AR15" s="3256"/>
      <c r="AS15" s="3256"/>
      <c r="AT15" s="3256"/>
      <c r="AU15" s="3256"/>
      <c r="AV15" s="3256"/>
      <c r="AW15" s="3256"/>
      <c r="AX15" s="3256"/>
      <c r="AY15" s="3256"/>
      <c r="AZ15" s="3256"/>
      <c r="BA15" s="3256"/>
      <c r="BB15" s="3256"/>
      <c r="BC15" s="3256"/>
      <c r="BD15" s="3256"/>
      <c r="BE15" s="3256"/>
      <c r="BF15" s="3256"/>
      <c r="BG15" s="3256"/>
      <c r="BH15" s="3256"/>
      <c r="BI15" s="3256"/>
      <c r="BJ15" s="3256"/>
      <c r="BK15" s="3256"/>
      <c r="BL15" s="3256"/>
      <c r="BM15" s="3256"/>
      <c r="BN15" s="3256"/>
      <c r="BO15" s="3256"/>
      <c r="BP15" s="3256"/>
      <c r="BQ15" s="3256"/>
      <c r="BR15" s="3256"/>
      <c r="BS15" s="3256"/>
      <c r="BT15" s="3256"/>
      <c r="BU15" s="3256"/>
      <c r="BV15" s="3256"/>
      <c r="BW15" s="3256"/>
      <c r="BX15" s="3256"/>
      <c r="BY15" s="3256"/>
      <c r="BZ15" s="3256"/>
      <c r="CA15" s="3256"/>
      <c r="CB15" s="3256"/>
      <c r="CC15" s="3256"/>
      <c r="CD15" s="3256"/>
      <c r="CE15" s="3256"/>
      <c r="CF15" s="3256"/>
      <c r="CG15" s="3256"/>
      <c r="CH15" s="3256"/>
      <c r="CI15" s="92"/>
      <c r="CJ15" s="74"/>
      <c r="CK15" s="42"/>
      <c r="CL15" s="42"/>
    </row>
    <row r="16" spans="1:90" x14ac:dyDescent="0.25">
      <c r="A16" s="957">
        <v>1</v>
      </c>
      <c r="B16" s="96"/>
      <c r="C16" s="96"/>
      <c r="D16" s="96"/>
      <c r="E16" s="96"/>
      <c r="F16" s="96"/>
      <c r="G16" s="96"/>
      <c r="H16" s="96"/>
      <c r="I16" s="174"/>
      <c r="J16" s="92"/>
      <c r="K16" s="3344" t="s">
        <v>966</v>
      </c>
      <c r="L16" s="3322" t="e">
        <f ca="1">dpIncome_RentRollOccupancy</f>
        <v>#VALUE!</v>
      </c>
      <c r="M16" s="3709" t="e">
        <f ca="1">ROUND(L16*Subject_NRA,0)</f>
        <v>#VALUE!</v>
      </c>
      <c r="N16" s="3177" t="s">
        <v>448</v>
      </c>
      <c r="O16" s="3256"/>
      <c r="P16" s="3256"/>
      <c r="Q16" s="3256"/>
      <c r="R16" s="3256"/>
      <c r="S16" s="3256"/>
      <c r="T16" s="3256"/>
      <c r="U16" s="3256"/>
      <c r="V16" s="3256"/>
      <c r="W16" s="3256"/>
      <c r="X16" s="3256"/>
      <c r="Y16" s="3256"/>
      <c r="Z16" s="3256"/>
      <c r="AA16" s="3256"/>
      <c r="AB16" s="3256"/>
      <c r="AC16" s="3256"/>
      <c r="AD16" s="3256"/>
      <c r="AE16" s="3256"/>
      <c r="AF16" s="3256"/>
      <c r="AG16" s="3256"/>
      <c r="AH16" s="3256"/>
      <c r="AI16" s="3256"/>
      <c r="AJ16" s="3256"/>
      <c r="AK16" s="3256"/>
      <c r="AL16" s="3256"/>
      <c r="AM16" s="3256"/>
      <c r="AN16" s="3256"/>
      <c r="AO16" s="3256"/>
      <c r="AP16" s="3256"/>
      <c r="AQ16" s="3256"/>
      <c r="AR16" s="3256"/>
      <c r="AS16" s="3256"/>
      <c r="AT16" s="3256"/>
      <c r="AU16" s="3256"/>
      <c r="AV16" s="3256"/>
      <c r="AW16" s="3256"/>
      <c r="AX16" s="3256"/>
      <c r="AY16" s="3256"/>
      <c r="AZ16" s="3256"/>
      <c r="BA16" s="3256"/>
      <c r="BB16" s="3256"/>
      <c r="BC16" s="3256"/>
      <c r="BD16" s="3256"/>
      <c r="BE16" s="3256"/>
      <c r="BF16" s="3256"/>
      <c r="BG16" s="3256"/>
      <c r="BH16" s="3256"/>
      <c r="BI16" s="3256"/>
      <c r="BJ16" s="3256"/>
      <c r="BK16" s="3256"/>
      <c r="BL16" s="3256"/>
      <c r="BM16" s="3256"/>
      <c r="BN16" s="3256"/>
      <c r="BO16" s="3256"/>
      <c r="BP16" s="3256"/>
      <c r="BQ16" s="3256"/>
      <c r="BR16" s="3256"/>
      <c r="BS16" s="3256"/>
      <c r="BT16" s="3256"/>
      <c r="BU16" s="3256"/>
      <c r="BV16" s="3256"/>
      <c r="BW16" s="3256"/>
      <c r="BX16" s="3256"/>
      <c r="BY16" s="3256"/>
      <c r="BZ16" s="3256"/>
      <c r="CA16" s="3256"/>
      <c r="CB16" s="3256"/>
      <c r="CC16" s="3256"/>
      <c r="CD16" s="3256"/>
      <c r="CE16" s="3256"/>
      <c r="CF16" s="3256"/>
      <c r="CG16" s="3256"/>
      <c r="CH16" s="3256"/>
      <c r="CI16" s="92"/>
      <c r="CJ16" s="74"/>
      <c r="CK16" s="42"/>
      <c r="CL16" s="42"/>
    </row>
    <row r="17" spans="1:90" x14ac:dyDescent="0.25">
      <c r="A17" s="957">
        <v>1</v>
      </c>
      <c r="B17" s="96"/>
      <c r="C17" s="96"/>
      <c r="D17" s="96"/>
      <c r="E17" s="96"/>
      <c r="F17" s="96"/>
      <c r="G17" s="96"/>
      <c r="H17" s="96"/>
      <c r="I17" s="174"/>
      <c r="J17" s="92"/>
      <c r="K17" s="3344" t="s">
        <v>442</v>
      </c>
      <c r="L17" s="3322">
        <f>1-dpIncome_StabilizedVacancy</f>
        <v>0.98</v>
      </c>
      <c r="M17" s="3709">
        <f>ROUND(L17*Subject_NRA,0)</f>
        <v>205024</v>
      </c>
      <c r="N17" s="3177" t="s">
        <v>448</v>
      </c>
      <c r="O17" s="3256"/>
      <c r="P17" s="3256"/>
      <c r="Q17" s="3256"/>
      <c r="R17" s="3256"/>
      <c r="S17" s="3256"/>
      <c r="T17" s="3256"/>
      <c r="U17" s="3256"/>
      <c r="V17" s="3256"/>
      <c r="W17" s="3256"/>
      <c r="X17" s="3256"/>
      <c r="Y17" s="3256"/>
      <c r="Z17" s="3256"/>
      <c r="AA17" s="3256"/>
      <c r="AB17" s="3256"/>
      <c r="AC17" s="3256"/>
      <c r="AD17" s="3256"/>
      <c r="AE17" s="3256"/>
      <c r="AF17" s="3256"/>
      <c r="AG17" s="3256"/>
      <c r="AH17" s="3256"/>
      <c r="AI17" s="3256"/>
      <c r="AJ17" s="3256"/>
      <c r="AK17" s="3256"/>
      <c r="AL17" s="3256"/>
      <c r="AM17" s="3256"/>
      <c r="AN17" s="3256"/>
      <c r="AO17" s="3256"/>
      <c r="AP17" s="3256"/>
      <c r="AQ17" s="3256"/>
      <c r="AR17" s="3256"/>
      <c r="AS17" s="3256"/>
      <c r="AT17" s="3256"/>
      <c r="AU17" s="3256"/>
      <c r="AV17" s="3256"/>
      <c r="AW17" s="3256"/>
      <c r="AX17" s="3256"/>
      <c r="AY17" s="3256"/>
      <c r="AZ17" s="3256"/>
      <c r="BA17" s="3256"/>
      <c r="BB17" s="3256"/>
      <c r="BC17" s="3256"/>
      <c r="BD17" s="3256"/>
      <c r="BE17" s="3256"/>
      <c r="BF17" s="3256"/>
      <c r="BG17" s="3256"/>
      <c r="BH17" s="3256"/>
      <c r="BI17" s="3256"/>
      <c r="BJ17" s="3256"/>
      <c r="BK17" s="3256"/>
      <c r="BL17" s="3256"/>
      <c r="BM17" s="3256"/>
      <c r="BN17" s="3256"/>
      <c r="BO17" s="3256"/>
      <c r="BP17" s="3256"/>
      <c r="BQ17" s="3256"/>
      <c r="BR17" s="3256"/>
      <c r="BS17" s="3256"/>
      <c r="BT17" s="3256"/>
      <c r="BU17" s="3256"/>
      <c r="BV17" s="3256"/>
      <c r="BW17" s="3256"/>
      <c r="BX17" s="3256"/>
      <c r="BY17" s="3256"/>
      <c r="BZ17" s="3256"/>
      <c r="CA17" s="3256"/>
      <c r="CB17" s="3256"/>
      <c r="CC17" s="3256"/>
      <c r="CD17" s="3256"/>
      <c r="CE17" s="3256"/>
      <c r="CF17" s="3256"/>
      <c r="CG17" s="3256"/>
      <c r="CH17" s="3256"/>
      <c r="CI17" s="92"/>
      <c r="CJ17" s="74"/>
      <c r="CK17" s="42"/>
      <c r="CL17" s="42"/>
    </row>
    <row r="18" spans="1:90" x14ac:dyDescent="0.25">
      <c r="A18" s="957">
        <v>1</v>
      </c>
      <c r="B18" s="96"/>
      <c r="C18" s="96"/>
      <c r="D18" s="96"/>
      <c r="E18" s="96"/>
      <c r="F18" s="96"/>
      <c r="G18" s="96"/>
      <c r="H18" s="96"/>
      <c r="I18" s="174"/>
      <c r="J18" s="92"/>
      <c r="K18" s="3344" t="s">
        <v>945</v>
      </c>
      <c r="L18" s="734">
        <v>6</v>
      </c>
      <c r="M18" s="3714" t="s">
        <v>946</v>
      </c>
      <c r="N18" s="3177"/>
      <c r="O18" s="3256"/>
      <c r="P18" s="3256"/>
      <c r="Q18" s="3256"/>
      <c r="R18" s="3256"/>
      <c r="S18" s="3256"/>
      <c r="T18" s="3256"/>
      <c r="U18" s="3256"/>
      <c r="V18" s="3256"/>
      <c r="W18" s="3256"/>
      <c r="X18" s="3256"/>
      <c r="Y18" s="3256"/>
      <c r="Z18" s="3256"/>
      <c r="AA18" s="3256"/>
      <c r="AB18" s="3256"/>
      <c r="AC18" s="3256"/>
      <c r="AD18" s="3256"/>
      <c r="AE18" s="3256"/>
      <c r="AF18" s="3256"/>
      <c r="AG18" s="3256"/>
      <c r="AH18" s="3256"/>
      <c r="AI18" s="3256"/>
      <c r="AJ18" s="3256"/>
      <c r="AK18" s="3256"/>
      <c r="AL18" s="3256"/>
      <c r="AM18" s="3256"/>
      <c r="AN18" s="3256"/>
      <c r="AO18" s="3256"/>
      <c r="AP18" s="3256"/>
      <c r="AQ18" s="3256"/>
      <c r="AR18" s="3256"/>
      <c r="AS18" s="3256"/>
      <c r="AT18" s="3256"/>
      <c r="AU18" s="3256"/>
      <c r="AV18" s="3256"/>
      <c r="AW18" s="3256"/>
      <c r="AX18" s="3256"/>
      <c r="AY18" s="3256"/>
      <c r="AZ18" s="3256"/>
      <c r="BA18" s="3256"/>
      <c r="BB18" s="3256"/>
      <c r="BC18" s="3256"/>
      <c r="BD18" s="3256"/>
      <c r="BE18" s="3256"/>
      <c r="BF18" s="3256"/>
      <c r="BG18" s="3256"/>
      <c r="BH18" s="3256"/>
      <c r="BI18" s="3256"/>
      <c r="BJ18" s="3256"/>
      <c r="BK18" s="3256"/>
      <c r="BL18" s="3256"/>
      <c r="BM18" s="3256"/>
      <c r="BN18" s="3256"/>
      <c r="BO18" s="3256"/>
      <c r="BP18" s="3256"/>
      <c r="BQ18" s="3256"/>
      <c r="BR18" s="3256"/>
      <c r="BS18" s="3256"/>
      <c r="BT18" s="3256"/>
      <c r="BU18" s="3256"/>
      <c r="BV18" s="3256"/>
      <c r="BW18" s="3256"/>
      <c r="BX18" s="3256"/>
      <c r="BY18" s="3256"/>
      <c r="BZ18" s="3256"/>
      <c r="CA18" s="3256"/>
      <c r="CB18" s="3256"/>
      <c r="CC18" s="3256"/>
      <c r="CD18" s="3256"/>
      <c r="CE18" s="3256"/>
      <c r="CF18" s="3256"/>
      <c r="CG18" s="3256"/>
      <c r="CH18" s="3256"/>
      <c r="CI18" s="92"/>
      <c r="CJ18" s="74"/>
      <c r="CK18" s="42"/>
      <c r="CL18" s="42"/>
    </row>
    <row r="19" spans="1:90" ht="9.9499999999999993" customHeight="1" x14ac:dyDescent="0.25">
      <c r="A19" s="957">
        <v>1</v>
      </c>
      <c r="B19" s="96"/>
      <c r="C19" s="96"/>
      <c r="D19" s="96"/>
      <c r="E19" s="96"/>
      <c r="F19" s="96"/>
      <c r="G19" s="96"/>
      <c r="H19" s="96"/>
      <c r="I19" s="174"/>
      <c r="J19" s="92"/>
      <c r="K19" s="3177"/>
      <c r="L19" s="3177"/>
      <c r="M19" s="3344"/>
      <c r="N19" s="3344"/>
      <c r="O19" s="3713"/>
      <c r="P19" s="3256"/>
      <c r="Q19" s="3256"/>
      <c r="R19" s="3256"/>
      <c r="S19" s="3256"/>
      <c r="T19" s="3256"/>
      <c r="U19" s="3256"/>
      <c r="V19" s="3256"/>
      <c r="W19" s="3256"/>
      <c r="X19" s="3256"/>
      <c r="Y19" s="3256"/>
      <c r="Z19" s="3256"/>
      <c r="AA19" s="3256"/>
      <c r="AB19" s="3256"/>
      <c r="AC19" s="3256"/>
      <c r="AD19" s="3256"/>
      <c r="AE19" s="3256"/>
      <c r="AF19" s="3256"/>
      <c r="AG19" s="3256"/>
      <c r="AH19" s="3256"/>
      <c r="AI19" s="3256"/>
      <c r="AJ19" s="3256"/>
      <c r="AK19" s="3256"/>
      <c r="AL19" s="3256"/>
      <c r="AM19" s="3256"/>
      <c r="AN19" s="3256"/>
      <c r="AO19" s="3256"/>
      <c r="AP19" s="3256"/>
      <c r="AQ19" s="3256"/>
      <c r="AR19" s="3256"/>
      <c r="AS19" s="3256"/>
      <c r="AT19" s="3256"/>
      <c r="AU19" s="3256"/>
      <c r="AV19" s="3256"/>
      <c r="AW19" s="3256"/>
      <c r="AX19" s="3256"/>
      <c r="AY19" s="3256"/>
      <c r="AZ19" s="3256"/>
      <c r="BA19" s="3256"/>
      <c r="BB19" s="3256"/>
      <c r="BC19" s="3256"/>
      <c r="BD19" s="3256"/>
      <c r="BE19" s="3256"/>
      <c r="BF19" s="3256"/>
      <c r="BG19" s="3256"/>
      <c r="BH19" s="3256"/>
      <c r="BI19" s="3256"/>
      <c r="BJ19" s="3256"/>
      <c r="BK19" s="3256"/>
      <c r="BL19" s="3256"/>
      <c r="BM19" s="3256"/>
      <c r="BN19" s="3256"/>
      <c r="BO19" s="3256"/>
      <c r="BP19" s="3256"/>
      <c r="BQ19" s="3256"/>
      <c r="BR19" s="3256"/>
      <c r="BS19" s="3256"/>
      <c r="BT19" s="3256"/>
      <c r="BU19" s="3256"/>
      <c r="BV19" s="3256"/>
      <c r="BW19" s="3256"/>
      <c r="BX19" s="3256"/>
      <c r="BY19" s="3256"/>
      <c r="BZ19" s="3256"/>
      <c r="CA19" s="3256"/>
      <c r="CB19" s="3256"/>
      <c r="CC19" s="3256"/>
      <c r="CD19" s="3256"/>
      <c r="CE19" s="3256"/>
      <c r="CF19" s="3256"/>
      <c r="CG19" s="3256"/>
      <c r="CH19" s="3256"/>
      <c r="CI19" s="92"/>
      <c r="CJ19" s="74"/>
      <c r="CK19" s="42"/>
      <c r="CL19" s="42"/>
    </row>
    <row r="20" spans="1:90" x14ac:dyDescent="0.25">
      <c r="A20" s="957">
        <v>1</v>
      </c>
      <c r="B20" s="96"/>
      <c r="C20" s="96"/>
      <c r="D20" s="96"/>
      <c r="E20" s="96"/>
      <c r="F20" s="96"/>
      <c r="G20" s="96"/>
      <c r="H20" s="96"/>
      <c r="I20" s="174"/>
      <c r="J20" s="92"/>
      <c r="K20" s="3177" t="s">
        <v>443</v>
      </c>
      <c r="L20" s="92"/>
      <c r="M20" s="3344"/>
      <c r="N20" s="3344"/>
      <c r="O20" s="3344">
        <v>1</v>
      </c>
      <c r="P20" s="3344">
        <f t="shared" ref="P20:AU20" si="2">O20+1</f>
        <v>2</v>
      </c>
      <c r="Q20" s="3344">
        <f t="shared" si="2"/>
        <v>3</v>
      </c>
      <c r="R20" s="3344">
        <f t="shared" si="2"/>
        <v>4</v>
      </c>
      <c r="S20" s="3344">
        <f t="shared" si="2"/>
        <v>5</v>
      </c>
      <c r="T20" s="3344">
        <f t="shared" si="2"/>
        <v>6</v>
      </c>
      <c r="U20" s="3344">
        <f t="shared" si="2"/>
        <v>7</v>
      </c>
      <c r="V20" s="3344">
        <f t="shared" si="2"/>
        <v>8</v>
      </c>
      <c r="W20" s="3344">
        <f t="shared" si="2"/>
        <v>9</v>
      </c>
      <c r="X20" s="3344">
        <f t="shared" si="2"/>
        <v>10</v>
      </c>
      <c r="Y20" s="3344">
        <f t="shared" si="2"/>
        <v>11</v>
      </c>
      <c r="Z20" s="3344">
        <f t="shared" si="2"/>
        <v>12</v>
      </c>
      <c r="AA20" s="3344">
        <f t="shared" si="2"/>
        <v>13</v>
      </c>
      <c r="AB20" s="3344">
        <f t="shared" si="2"/>
        <v>14</v>
      </c>
      <c r="AC20" s="3344">
        <f t="shared" si="2"/>
        <v>15</v>
      </c>
      <c r="AD20" s="3344">
        <f t="shared" si="2"/>
        <v>16</v>
      </c>
      <c r="AE20" s="3344">
        <f t="shared" si="2"/>
        <v>17</v>
      </c>
      <c r="AF20" s="3344">
        <f t="shared" si="2"/>
        <v>18</v>
      </c>
      <c r="AG20" s="3344">
        <f t="shared" si="2"/>
        <v>19</v>
      </c>
      <c r="AH20" s="3344">
        <f t="shared" si="2"/>
        <v>20</v>
      </c>
      <c r="AI20" s="3344">
        <f t="shared" si="2"/>
        <v>21</v>
      </c>
      <c r="AJ20" s="3344">
        <f t="shared" si="2"/>
        <v>22</v>
      </c>
      <c r="AK20" s="3344">
        <f t="shared" si="2"/>
        <v>23</v>
      </c>
      <c r="AL20" s="3344">
        <f t="shared" si="2"/>
        <v>24</v>
      </c>
      <c r="AM20" s="3344">
        <f t="shared" si="2"/>
        <v>25</v>
      </c>
      <c r="AN20" s="3344">
        <f t="shared" si="2"/>
        <v>26</v>
      </c>
      <c r="AO20" s="3344">
        <f t="shared" si="2"/>
        <v>27</v>
      </c>
      <c r="AP20" s="3344">
        <f t="shared" si="2"/>
        <v>28</v>
      </c>
      <c r="AQ20" s="3344">
        <f t="shared" si="2"/>
        <v>29</v>
      </c>
      <c r="AR20" s="3344">
        <f t="shared" si="2"/>
        <v>30</v>
      </c>
      <c r="AS20" s="3344">
        <f t="shared" si="2"/>
        <v>31</v>
      </c>
      <c r="AT20" s="3344">
        <f t="shared" si="2"/>
        <v>32</v>
      </c>
      <c r="AU20" s="3344">
        <f t="shared" si="2"/>
        <v>33</v>
      </c>
      <c r="AV20" s="3344">
        <f t="shared" ref="AV20:CA20" si="3">AU20+1</f>
        <v>34</v>
      </c>
      <c r="AW20" s="3344">
        <f t="shared" si="3"/>
        <v>35</v>
      </c>
      <c r="AX20" s="3344">
        <f t="shared" si="3"/>
        <v>36</v>
      </c>
      <c r="AY20" s="3344">
        <f t="shared" si="3"/>
        <v>37</v>
      </c>
      <c r="AZ20" s="3344">
        <f t="shared" si="3"/>
        <v>38</v>
      </c>
      <c r="BA20" s="3344">
        <f t="shared" si="3"/>
        <v>39</v>
      </c>
      <c r="BB20" s="3344">
        <f t="shared" si="3"/>
        <v>40</v>
      </c>
      <c r="BC20" s="3344">
        <f t="shared" si="3"/>
        <v>41</v>
      </c>
      <c r="BD20" s="3344">
        <f t="shared" si="3"/>
        <v>42</v>
      </c>
      <c r="BE20" s="3344">
        <f t="shared" si="3"/>
        <v>43</v>
      </c>
      <c r="BF20" s="3344">
        <f t="shared" si="3"/>
        <v>44</v>
      </c>
      <c r="BG20" s="3344">
        <f t="shared" si="3"/>
        <v>45</v>
      </c>
      <c r="BH20" s="3344">
        <f t="shared" si="3"/>
        <v>46</v>
      </c>
      <c r="BI20" s="3344">
        <f t="shared" si="3"/>
        <v>47</v>
      </c>
      <c r="BJ20" s="3344">
        <f t="shared" si="3"/>
        <v>48</v>
      </c>
      <c r="BK20" s="3344">
        <f t="shared" si="3"/>
        <v>49</v>
      </c>
      <c r="BL20" s="3344">
        <f t="shared" si="3"/>
        <v>50</v>
      </c>
      <c r="BM20" s="3344">
        <f t="shared" si="3"/>
        <v>51</v>
      </c>
      <c r="BN20" s="3344">
        <f t="shared" si="3"/>
        <v>52</v>
      </c>
      <c r="BO20" s="3344">
        <f t="shared" si="3"/>
        <v>53</v>
      </c>
      <c r="BP20" s="3344">
        <f t="shared" si="3"/>
        <v>54</v>
      </c>
      <c r="BQ20" s="3344">
        <f t="shared" si="3"/>
        <v>55</v>
      </c>
      <c r="BR20" s="3344">
        <f t="shared" si="3"/>
        <v>56</v>
      </c>
      <c r="BS20" s="3344">
        <f t="shared" si="3"/>
        <v>57</v>
      </c>
      <c r="BT20" s="3344">
        <f t="shared" si="3"/>
        <v>58</v>
      </c>
      <c r="BU20" s="3344">
        <f t="shared" si="3"/>
        <v>59</v>
      </c>
      <c r="BV20" s="3344">
        <f t="shared" si="3"/>
        <v>60</v>
      </c>
      <c r="BW20" s="3344">
        <f t="shared" si="3"/>
        <v>61</v>
      </c>
      <c r="BX20" s="3344">
        <f t="shared" si="3"/>
        <v>62</v>
      </c>
      <c r="BY20" s="3344">
        <f t="shared" si="3"/>
        <v>63</v>
      </c>
      <c r="BZ20" s="3344">
        <f t="shared" si="3"/>
        <v>64</v>
      </c>
      <c r="CA20" s="3344">
        <f t="shared" si="3"/>
        <v>65</v>
      </c>
      <c r="CB20" s="3344">
        <f t="shared" ref="CB20:CH20" si="4">CA20+1</f>
        <v>66</v>
      </c>
      <c r="CC20" s="3344">
        <f t="shared" si="4"/>
        <v>67</v>
      </c>
      <c r="CD20" s="3344">
        <f t="shared" si="4"/>
        <v>68</v>
      </c>
      <c r="CE20" s="3344">
        <f t="shared" si="4"/>
        <v>69</v>
      </c>
      <c r="CF20" s="3344">
        <f t="shared" si="4"/>
        <v>70</v>
      </c>
      <c r="CG20" s="3344">
        <f t="shared" si="4"/>
        <v>71</v>
      </c>
      <c r="CH20" s="3344">
        <f t="shared" si="4"/>
        <v>72</v>
      </c>
      <c r="CI20" s="92"/>
      <c r="CJ20" s="74"/>
      <c r="CK20" s="42"/>
      <c r="CL20" s="42"/>
    </row>
    <row r="21" spans="1:90" x14ac:dyDescent="0.25">
      <c r="A21" s="957">
        <v>1</v>
      </c>
      <c r="B21" s="96"/>
      <c r="C21" s="96"/>
      <c r="D21" s="96"/>
      <c r="E21" s="96"/>
      <c r="F21" s="96"/>
      <c r="G21" s="96"/>
      <c r="H21" s="96"/>
      <c r="I21" s="174"/>
      <c r="J21" s="92"/>
      <c r="K21" s="92"/>
      <c r="L21" s="92"/>
      <c r="M21" s="3177"/>
      <c r="N21" s="3177"/>
      <c r="O21" s="1632">
        <v>0</v>
      </c>
      <c r="P21" s="3715">
        <f t="shared" ref="P21:AU21" si="5">EDATE(dpValue_LUD_StartDate,O20)</f>
        <v>31</v>
      </c>
      <c r="Q21" s="3715">
        <f t="shared" si="5"/>
        <v>60</v>
      </c>
      <c r="R21" s="3715">
        <f t="shared" si="5"/>
        <v>91</v>
      </c>
      <c r="S21" s="3715">
        <f t="shared" si="5"/>
        <v>121</v>
      </c>
      <c r="T21" s="3715">
        <f t="shared" si="5"/>
        <v>152</v>
      </c>
      <c r="U21" s="3715">
        <f t="shared" si="5"/>
        <v>182</v>
      </c>
      <c r="V21" s="3715">
        <f t="shared" si="5"/>
        <v>213</v>
      </c>
      <c r="W21" s="3715">
        <f t="shared" si="5"/>
        <v>244</v>
      </c>
      <c r="X21" s="3715">
        <f t="shared" si="5"/>
        <v>274</v>
      </c>
      <c r="Y21" s="3715">
        <f t="shared" si="5"/>
        <v>305</v>
      </c>
      <c r="Z21" s="3715">
        <f t="shared" si="5"/>
        <v>335</v>
      </c>
      <c r="AA21" s="3715">
        <f t="shared" si="5"/>
        <v>366</v>
      </c>
      <c r="AB21" s="3715">
        <f t="shared" si="5"/>
        <v>397</v>
      </c>
      <c r="AC21" s="3715">
        <f t="shared" si="5"/>
        <v>425</v>
      </c>
      <c r="AD21" s="3715">
        <f t="shared" si="5"/>
        <v>456</v>
      </c>
      <c r="AE21" s="3715">
        <f t="shared" si="5"/>
        <v>486</v>
      </c>
      <c r="AF21" s="3715">
        <f t="shared" si="5"/>
        <v>517</v>
      </c>
      <c r="AG21" s="3715">
        <f t="shared" si="5"/>
        <v>547</v>
      </c>
      <c r="AH21" s="3715">
        <f t="shared" si="5"/>
        <v>578</v>
      </c>
      <c r="AI21" s="3715">
        <f t="shared" si="5"/>
        <v>609</v>
      </c>
      <c r="AJ21" s="3715">
        <f t="shared" si="5"/>
        <v>639</v>
      </c>
      <c r="AK21" s="3715">
        <f t="shared" si="5"/>
        <v>670</v>
      </c>
      <c r="AL21" s="3715">
        <f t="shared" si="5"/>
        <v>700</v>
      </c>
      <c r="AM21" s="3715">
        <f t="shared" si="5"/>
        <v>731</v>
      </c>
      <c r="AN21" s="3715">
        <f t="shared" si="5"/>
        <v>762</v>
      </c>
      <c r="AO21" s="3715">
        <f t="shared" si="5"/>
        <v>790</v>
      </c>
      <c r="AP21" s="3715">
        <f t="shared" si="5"/>
        <v>821</v>
      </c>
      <c r="AQ21" s="3715">
        <f t="shared" si="5"/>
        <v>851</v>
      </c>
      <c r="AR21" s="3715">
        <f t="shared" si="5"/>
        <v>882</v>
      </c>
      <c r="AS21" s="3715">
        <f t="shared" si="5"/>
        <v>912</v>
      </c>
      <c r="AT21" s="3715">
        <f t="shared" si="5"/>
        <v>943</v>
      </c>
      <c r="AU21" s="3715">
        <f t="shared" si="5"/>
        <v>974</v>
      </c>
      <c r="AV21" s="3715">
        <f t="shared" ref="AV21:CA21" si="6">EDATE(dpValue_LUD_StartDate,AU20)</f>
        <v>1004</v>
      </c>
      <c r="AW21" s="3715">
        <f t="shared" si="6"/>
        <v>1035</v>
      </c>
      <c r="AX21" s="3715">
        <f t="shared" si="6"/>
        <v>1065</v>
      </c>
      <c r="AY21" s="3715">
        <f t="shared" si="6"/>
        <v>1096</v>
      </c>
      <c r="AZ21" s="3715">
        <f t="shared" si="6"/>
        <v>1127</v>
      </c>
      <c r="BA21" s="3715">
        <f t="shared" si="6"/>
        <v>1155</v>
      </c>
      <c r="BB21" s="3715">
        <f t="shared" si="6"/>
        <v>1186</v>
      </c>
      <c r="BC21" s="3715">
        <f t="shared" si="6"/>
        <v>1216</v>
      </c>
      <c r="BD21" s="3715">
        <f t="shared" si="6"/>
        <v>1247</v>
      </c>
      <c r="BE21" s="3715">
        <f t="shared" si="6"/>
        <v>1277</v>
      </c>
      <c r="BF21" s="3715">
        <f t="shared" si="6"/>
        <v>1308</v>
      </c>
      <c r="BG21" s="3715">
        <f t="shared" si="6"/>
        <v>1339</v>
      </c>
      <c r="BH21" s="3715">
        <f t="shared" si="6"/>
        <v>1369</v>
      </c>
      <c r="BI21" s="3715">
        <f t="shared" si="6"/>
        <v>1400</v>
      </c>
      <c r="BJ21" s="3715">
        <f t="shared" si="6"/>
        <v>1430</v>
      </c>
      <c r="BK21" s="3715">
        <f t="shared" si="6"/>
        <v>1461</v>
      </c>
      <c r="BL21" s="3715">
        <f t="shared" si="6"/>
        <v>1492</v>
      </c>
      <c r="BM21" s="3715">
        <f t="shared" si="6"/>
        <v>1521</v>
      </c>
      <c r="BN21" s="3715">
        <f t="shared" si="6"/>
        <v>1552</v>
      </c>
      <c r="BO21" s="3715">
        <f t="shared" si="6"/>
        <v>1582</v>
      </c>
      <c r="BP21" s="3715">
        <f t="shared" si="6"/>
        <v>1613</v>
      </c>
      <c r="BQ21" s="3715">
        <f t="shared" si="6"/>
        <v>1643</v>
      </c>
      <c r="BR21" s="3715">
        <f t="shared" si="6"/>
        <v>1674</v>
      </c>
      <c r="BS21" s="3715">
        <f t="shared" si="6"/>
        <v>1705</v>
      </c>
      <c r="BT21" s="3715">
        <f t="shared" si="6"/>
        <v>1735</v>
      </c>
      <c r="BU21" s="3715">
        <f t="shared" si="6"/>
        <v>1766</v>
      </c>
      <c r="BV21" s="3715">
        <f t="shared" si="6"/>
        <v>1796</v>
      </c>
      <c r="BW21" s="3715">
        <f t="shared" si="6"/>
        <v>1827</v>
      </c>
      <c r="BX21" s="3715">
        <f t="shared" si="6"/>
        <v>1858</v>
      </c>
      <c r="BY21" s="3715">
        <f t="shared" si="6"/>
        <v>1886</v>
      </c>
      <c r="BZ21" s="3715">
        <f t="shared" si="6"/>
        <v>1917</v>
      </c>
      <c r="CA21" s="3715">
        <f t="shared" si="6"/>
        <v>1947</v>
      </c>
      <c r="CB21" s="3715">
        <f t="shared" ref="CB21:CH21" si="7">EDATE(dpValue_LUD_StartDate,CA20)</f>
        <v>1978</v>
      </c>
      <c r="CC21" s="3715">
        <f t="shared" si="7"/>
        <v>2008</v>
      </c>
      <c r="CD21" s="3715">
        <f t="shared" si="7"/>
        <v>2039</v>
      </c>
      <c r="CE21" s="3715">
        <f t="shared" si="7"/>
        <v>2070</v>
      </c>
      <c r="CF21" s="3715">
        <f t="shared" si="7"/>
        <v>2100</v>
      </c>
      <c r="CG21" s="3715">
        <f t="shared" si="7"/>
        <v>2131</v>
      </c>
      <c r="CH21" s="3715">
        <f t="shared" si="7"/>
        <v>2161</v>
      </c>
      <c r="CI21" s="92"/>
      <c r="CJ21" s="74"/>
      <c r="CK21" s="42"/>
      <c r="CL21" s="42"/>
    </row>
    <row r="22" spans="1:90" x14ac:dyDescent="0.25">
      <c r="A22" s="957">
        <v>1</v>
      </c>
      <c r="B22" s="96"/>
      <c r="C22" s="96"/>
      <c r="D22" s="96"/>
      <c r="E22" s="96"/>
      <c r="F22" s="96"/>
      <c r="G22" s="96"/>
      <c r="H22" s="96"/>
      <c r="I22" s="174"/>
      <c r="J22" s="92"/>
      <c r="K22" s="3716" t="s">
        <v>454</v>
      </c>
      <c r="L22" s="4222" t="s">
        <v>456</v>
      </c>
      <c r="M22" s="4222"/>
      <c r="N22" s="4222"/>
      <c r="O22" s="3718"/>
      <c r="P22" s="3718"/>
      <c r="Q22" s="3718"/>
      <c r="R22" s="3718"/>
      <c r="S22" s="3718"/>
      <c r="T22" s="3718"/>
      <c r="U22" s="3256"/>
      <c r="V22" s="3256"/>
      <c r="W22" s="3256"/>
      <c r="X22" s="3256"/>
      <c r="Y22" s="3256"/>
      <c r="Z22" s="3256"/>
      <c r="AA22" s="3256"/>
      <c r="AB22" s="3256"/>
      <c r="AC22" s="3256"/>
      <c r="AD22" s="3256"/>
      <c r="AE22" s="3256"/>
      <c r="AF22" s="3256"/>
      <c r="AG22" s="3256"/>
      <c r="AH22" s="3256"/>
      <c r="AI22" s="3256"/>
      <c r="AJ22" s="3256"/>
      <c r="AK22" s="3256"/>
      <c r="AL22" s="3256"/>
      <c r="AM22" s="3256"/>
      <c r="AN22" s="3256"/>
      <c r="AO22" s="3256"/>
      <c r="AP22" s="3256"/>
      <c r="AQ22" s="3256"/>
      <c r="AR22" s="3256"/>
      <c r="AS22" s="3256"/>
      <c r="AT22" s="3256"/>
      <c r="AU22" s="3256"/>
      <c r="AV22" s="3256"/>
      <c r="AW22" s="3256"/>
      <c r="AX22" s="3256"/>
      <c r="AY22" s="3256"/>
      <c r="AZ22" s="3256"/>
      <c r="BA22" s="3256"/>
      <c r="BB22" s="3256"/>
      <c r="BC22" s="3256"/>
      <c r="BD22" s="3256"/>
      <c r="BE22" s="3256"/>
      <c r="BF22" s="3256"/>
      <c r="BG22" s="3256"/>
      <c r="BH22" s="3256"/>
      <c r="BI22" s="3256"/>
      <c r="BJ22" s="3256"/>
      <c r="BK22" s="3256"/>
      <c r="BL22" s="3256"/>
      <c r="BM22" s="3256"/>
      <c r="BN22" s="3256"/>
      <c r="BO22" s="3256"/>
      <c r="BP22" s="3256"/>
      <c r="BQ22" s="3256"/>
      <c r="BR22" s="3256"/>
      <c r="BS22" s="3256"/>
      <c r="BT22" s="3256"/>
      <c r="BU22" s="3256"/>
      <c r="BV22" s="3256"/>
      <c r="BW22" s="3256"/>
      <c r="BX22" s="3256"/>
      <c r="BY22" s="3256"/>
      <c r="BZ22" s="3256"/>
      <c r="CA22" s="3256"/>
      <c r="CB22" s="3256"/>
      <c r="CC22" s="3256"/>
      <c r="CD22" s="3256"/>
      <c r="CE22" s="3256"/>
      <c r="CF22" s="3256"/>
      <c r="CG22" s="3256"/>
      <c r="CH22" s="3256"/>
      <c r="CI22" s="92"/>
      <c r="CJ22" s="74"/>
      <c r="CK22" s="42"/>
      <c r="CL22" s="42"/>
    </row>
    <row r="23" spans="1:90" ht="15" hidden="1" customHeight="1" x14ac:dyDescent="0.25">
      <c r="A23" s="957">
        <f ca="1">IF($M$6=0,0,1)</f>
        <v>0</v>
      </c>
      <c r="B23" s="96"/>
      <c r="C23" s="96"/>
      <c r="D23" s="96"/>
      <c r="E23" s="96"/>
      <c r="F23" s="96"/>
      <c r="G23" s="96"/>
      <c r="H23" s="96"/>
      <c r="I23" s="174"/>
      <c r="J23" s="92"/>
      <c r="K23" s="92" t="str">
        <f>$K$6</f>
        <v>Industrial Office/Warehouse</v>
      </c>
      <c r="L23" s="4227" t="e">
        <f t="shared" ref="L23:L30" ca="1" si="8">O23/$O$31</f>
        <v>#VALUE!</v>
      </c>
      <c r="M23" s="4227"/>
      <c r="N23" s="4227"/>
      <c r="O23" s="3713">
        <f ca="1">IF(Income_RentRollSource="None - Manual Entry",0,dpIncome_TCat1_NRA_Vacant)</f>
        <v>0</v>
      </c>
      <c r="P23" s="3713">
        <f t="shared" ref="P23:AU23" ca="1" si="9">O23-O34</f>
        <v>0</v>
      </c>
      <c r="Q23" s="3713">
        <f t="shared" ca="1" si="9"/>
        <v>0</v>
      </c>
      <c r="R23" s="3713">
        <f t="shared" ca="1" si="9"/>
        <v>0</v>
      </c>
      <c r="S23" s="3713">
        <f t="shared" ca="1" si="9"/>
        <v>0</v>
      </c>
      <c r="T23" s="3713">
        <f t="shared" ca="1" si="9"/>
        <v>0</v>
      </c>
      <c r="U23" s="3713">
        <f t="shared" ca="1" si="9"/>
        <v>0</v>
      </c>
      <c r="V23" s="3713">
        <f t="shared" ca="1" si="9"/>
        <v>0</v>
      </c>
      <c r="W23" s="3713">
        <f t="shared" ca="1" si="9"/>
        <v>0</v>
      </c>
      <c r="X23" s="3713">
        <f t="shared" ca="1" si="9"/>
        <v>0</v>
      </c>
      <c r="Y23" s="3713">
        <f t="shared" ca="1" si="9"/>
        <v>0</v>
      </c>
      <c r="Z23" s="3713">
        <f t="shared" ca="1" si="9"/>
        <v>0</v>
      </c>
      <c r="AA23" s="3713">
        <f t="shared" ca="1" si="9"/>
        <v>0</v>
      </c>
      <c r="AB23" s="3713">
        <f t="shared" ca="1" si="9"/>
        <v>0</v>
      </c>
      <c r="AC23" s="3713">
        <f t="shared" ca="1" si="9"/>
        <v>0</v>
      </c>
      <c r="AD23" s="3713">
        <f t="shared" ca="1" si="9"/>
        <v>0</v>
      </c>
      <c r="AE23" s="3713">
        <f t="shared" ca="1" si="9"/>
        <v>0</v>
      </c>
      <c r="AF23" s="3713">
        <f t="shared" ca="1" si="9"/>
        <v>0</v>
      </c>
      <c r="AG23" s="3713">
        <f t="shared" ca="1" si="9"/>
        <v>0</v>
      </c>
      <c r="AH23" s="3713">
        <f t="shared" ca="1" si="9"/>
        <v>0</v>
      </c>
      <c r="AI23" s="3713">
        <f t="shared" ca="1" si="9"/>
        <v>0</v>
      </c>
      <c r="AJ23" s="3713">
        <f t="shared" ca="1" si="9"/>
        <v>0</v>
      </c>
      <c r="AK23" s="3713">
        <f t="shared" ca="1" si="9"/>
        <v>0</v>
      </c>
      <c r="AL23" s="3713">
        <f t="shared" ca="1" si="9"/>
        <v>0</v>
      </c>
      <c r="AM23" s="3713">
        <f t="shared" ca="1" si="9"/>
        <v>0</v>
      </c>
      <c r="AN23" s="3713">
        <f t="shared" ca="1" si="9"/>
        <v>0</v>
      </c>
      <c r="AO23" s="3713">
        <f t="shared" ca="1" si="9"/>
        <v>0</v>
      </c>
      <c r="AP23" s="3713">
        <f t="shared" ca="1" si="9"/>
        <v>0</v>
      </c>
      <c r="AQ23" s="3713">
        <f t="shared" ca="1" si="9"/>
        <v>0</v>
      </c>
      <c r="AR23" s="3713">
        <f t="shared" ca="1" si="9"/>
        <v>0</v>
      </c>
      <c r="AS23" s="3713">
        <f t="shared" ca="1" si="9"/>
        <v>0</v>
      </c>
      <c r="AT23" s="3713">
        <f t="shared" ca="1" si="9"/>
        <v>0</v>
      </c>
      <c r="AU23" s="3713">
        <f t="shared" ca="1" si="9"/>
        <v>0</v>
      </c>
      <c r="AV23" s="3713">
        <f t="shared" ref="AV23:CA23" ca="1" si="10">AU23-AU34</f>
        <v>0</v>
      </c>
      <c r="AW23" s="3713">
        <f t="shared" ca="1" si="10"/>
        <v>0</v>
      </c>
      <c r="AX23" s="3713">
        <f t="shared" ca="1" si="10"/>
        <v>0</v>
      </c>
      <c r="AY23" s="3713">
        <f t="shared" ca="1" si="10"/>
        <v>0</v>
      </c>
      <c r="AZ23" s="3713">
        <f t="shared" ca="1" si="10"/>
        <v>0</v>
      </c>
      <c r="BA23" s="3713">
        <f t="shared" ca="1" si="10"/>
        <v>0</v>
      </c>
      <c r="BB23" s="3713">
        <f t="shared" ca="1" si="10"/>
        <v>0</v>
      </c>
      <c r="BC23" s="3713">
        <f t="shared" ca="1" si="10"/>
        <v>0</v>
      </c>
      <c r="BD23" s="3713">
        <f t="shared" ca="1" si="10"/>
        <v>0</v>
      </c>
      <c r="BE23" s="3713">
        <f t="shared" ca="1" si="10"/>
        <v>0</v>
      </c>
      <c r="BF23" s="3713">
        <f t="shared" ca="1" si="10"/>
        <v>0</v>
      </c>
      <c r="BG23" s="3713">
        <f t="shared" ca="1" si="10"/>
        <v>0</v>
      </c>
      <c r="BH23" s="3713">
        <f t="shared" ca="1" si="10"/>
        <v>0</v>
      </c>
      <c r="BI23" s="3713">
        <f t="shared" ca="1" si="10"/>
        <v>0</v>
      </c>
      <c r="BJ23" s="3713">
        <f t="shared" ca="1" si="10"/>
        <v>0</v>
      </c>
      <c r="BK23" s="3713">
        <f t="shared" ca="1" si="10"/>
        <v>0</v>
      </c>
      <c r="BL23" s="3713">
        <f t="shared" ca="1" si="10"/>
        <v>0</v>
      </c>
      <c r="BM23" s="3713">
        <f t="shared" ca="1" si="10"/>
        <v>0</v>
      </c>
      <c r="BN23" s="3713">
        <f t="shared" ca="1" si="10"/>
        <v>0</v>
      </c>
      <c r="BO23" s="3713">
        <f t="shared" ca="1" si="10"/>
        <v>0</v>
      </c>
      <c r="BP23" s="3713">
        <f t="shared" ca="1" si="10"/>
        <v>0</v>
      </c>
      <c r="BQ23" s="3713">
        <f t="shared" ca="1" si="10"/>
        <v>0</v>
      </c>
      <c r="BR23" s="3713">
        <f t="shared" ca="1" si="10"/>
        <v>0</v>
      </c>
      <c r="BS23" s="3713">
        <f t="shared" ca="1" si="10"/>
        <v>0</v>
      </c>
      <c r="BT23" s="3713">
        <f t="shared" ca="1" si="10"/>
        <v>0</v>
      </c>
      <c r="BU23" s="3713">
        <f t="shared" ca="1" si="10"/>
        <v>0</v>
      </c>
      <c r="BV23" s="3713">
        <f t="shared" ca="1" si="10"/>
        <v>0</v>
      </c>
      <c r="BW23" s="3713">
        <f t="shared" ca="1" si="10"/>
        <v>0</v>
      </c>
      <c r="BX23" s="3713">
        <f t="shared" ca="1" si="10"/>
        <v>0</v>
      </c>
      <c r="BY23" s="3713">
        <f t="shared" ca="1" si="10"/>
        <v>0</v>
      </c>
      <c r="BZ23" s="3713">
        <f t="shared" ca="1" si="10"/>
        <v>0</v>
      </c>
      <c r="CA23" s="3713">
        <f t="shared" ca="1" si="10"/>
        <v>0</v>
      </c>
      <c r="CB23" s="3713">
        <f t="shared" ref="CB23:CH23" ca="1" si="11">CA23-CA34</f>
        <v>0</v>
      </c>
      <c r="CC23" s="3713">
        <f t="shared" ca="1" si="11"/>
        <v>0</v>
      </c>
      <c r="CD23" s="3713">
        <f t="shared" ca="1" si="11"/>
        <v>0</v>
      </c>
      <c r="CE23" s="3713">
        <f t="shared" ca="1" si="11"/>
        <v>0</v>
      </c>
      <c r="CF23" s="3713">
        <f t="shared" ca="1" si="11"/>
        <v>0</v>
      </c>
      <c r="CG23" s="3713">
        <f t="shared" ca="1" si="11"/>
        <v>0</v>
      </c>
      <c r="CH23" s="3713">
        <f t="shared" ca="1" si="11"/>
        <v>0</v>
      </c>
      <c r="CI23" s="92"/>
      <c r="CJ23" s="74"/>
      <c r="CK23" s="42"/>
      <c r="CL23" s="42"/>
    </row>
    <row r="24" spans="1:90" ht="15" hidden="1" customHeight="1" x14ac:dyDescent="0.25">
      <c r="A24" s="957">
        <f ca="1">IF($M$7=0,0,1)</f>
        <v>0</v>
      </c>
      <c r="B24" s="96"/>
      <c r="C24" s="96"/>
      <c r="D24" s="96"/>
      <c r="E24" s="96"/>
      <c r="F24" s="96"/>
      <c r="G24" s="96"/>
      <c r="H24" s="96"/>
      <c r="I24" s="174"/>
      <c r="J24" s="92"/>
      <c r="K24" s="92" t="str">
        <f>$K$7</f>
        <v>Land Storage</v>
      </c>
      <c r="L24" s="4227" t="e">
        <f t="shared" ca="1" si="8"/>
        <v>#VALUE!</v>
      </c>
      <c r="M24" s="4227"/>
      <c r="N24" s="4227"/>
      <c r="O24" s="3713">
        <f ca="1">IF(Income_RentRollSource="None - Manual Entry",0,dpIncome_TCat2_NRA_Vacant)</f>
        <v>0</v>
      </c>
      <c r="P24" s="3713">
        <f t="shared" ref="P24:AU24" ca="1" si="12">O24-O35</f>
        <v>0</v>
      </c>
      <c r="Q24" s="3713">
        <f t="shared" ca="1" si="12"/>
        <v>0</v>
      </c>
      <c r="R24" s="3713">
        <f t="shared" ca="1" si="12"/>
        <v>0</v>
      </c>
      <c r="S24" s="3713">
        <f t="shared" ca="1" si="12"/>
        <v>0</v>
      </c>
      <c r="T24" s="3713">
        <f t="shared" ca="1" si="12"/>
        <v>0</v>
      </c>
      <c r="U24" s="3713">
        <f t="shared" ca="1" si="12"/>
        <v>0</v>
      </c>
      <c r="V24" s="3713">
        <f t="shared" ca="1" si="12"/>
        <v>0</v>
      </c>
      <c r="W24" s="3713">
        <f t="shared" ca="1" si="12"/>
        <v>0</v>
      </c>
      <c r="X24" s="3713">
        <f t="shared" ca="1" si="12"/>
        <v>0</v>
      </c>
      <c r="Y24" s="3713">
        <f t="shared" ca="1" si="12"/>
        <v>0</v>
      </c>
      <c r="Z24" s="3713">
        <f t="shared" ca="1" si="12"/>
        <v>0</v>
      </c>
      <c r="AA24" s="3713">
        <f t="shared" ca="1" si="12"/>
        <v>0</v>
      </c>
      <c r="AB24" s="3713">
        <f t="shared" ca="1" si="12"/>
        <v>0</v>
      </c>
      <c r="AC24" s="3713">
        <f t="shared" ca="1" si="12"/>
        <v>0</v>
      </c>
      <c r="AD24" s="3713">
        <f t="shared" ca="1" si="12"/>
        <v>0</v>
      </c>
      <c r="AE24" s="3713">
        <f t="shared" ca="1" si="12"/>
        <v>0</v>
      </c>
      <c r="AF24" s="3713">
        <f t="shared" ca="1" si="12"/>
        <v>0</v>
      </c>
      <c r="AG24" s="3713">
        <f t="shared" ca="1" si="12"/>
        <v>0</v>
      </c>
      <c r="AH24" s="3713">
        <f t="shared" ca="1" si="12"/>
        <v>0</v>
      </c>
      <c r="AI24" s="3713">
        <f t="shared" ca="1" si="12"/>
        <v>0</v>
      </c>
      <c r="AJ24" s="3713">
        <f t="shared" ca="1" si="12"/>
        <v>0</v>
      </c>
      <c r="AK24" s="3713">
        <f t="shared" ca="1" si="12"/>
        <v>0</v>
      </c>
      <c r="AL24" s="3713">
        <f t="shared" ca="1" si="12"/>
        <v>0</v>
      </c>
      <c r="AM24" s="3713">
        <f t="shared" ca="1" si="12"/>
        <v>0</v>
      </c>
      <c r="AN24" s="3713">
        <f t="shared" ca="1" si="12"/>
        <v>0</v>
      </c>
      <c r="AO24" s="3713">
        <f t="shared" ca="1" si="12"/>
        <v>0</v>
      </c>
      <c r="AP24" s="3713">
        <f t="shared" ca="1" si="12"/>
        <v>0</v>
      </c>
      <c r="AQ24" s="3713">
        <f t="shared" ca="1" si="12"/>
        <v>0</v>
      </c>
      <c r="AR24" s="3713">
        <f t="shared" ca="1" si="12"/>
        <v>0</v>
      </c>
      <c r="AS24" s="3713">
        <f t="shared" ca="1" si="12"/>
        <v>0</v>
      </c>
      <c r="AT24" s="3713">
        <f t="shared" ca="1" si="12"/>
        <v>0</v>
      </c>
      <c r="AU24" s="3713">
        <f t="shared" ca="1" si="12"/>
        <v>0</v>
      </c>
      <c r="AV24" s="3713">
        <f t="shared" ref="AV24:CA24" ca="1" si="13">AU24-AU35</f>
        <v>0</v>
      </c>
      <c r="AW24" s="3713">
        <f t="shared" ca="1" si="13"/>
        <v>0</v>
      </c>
      <c r="AX24" s="3713">
        <f t="shared" ca="1" si="13"/>
        <v>0</v>
      </c>
      <c r="AY24" s="3713">
        <f t="shared" ca="1" si="13"/>
        <v>0</v>
      </c>
      <c r="AZ24" s="3713">
        <f t="shared" ca="1" si="13"/>
        <v>0</v>
      </c>
      <c r="BA24" s="3713">
        <f t="shared" ca="1" si="13"/>
        <v>0</v>
      </c>
      <c r="BB24" s="3713">
        <f t="shared" ca="1" si="13"/>
        <v>0</v>
      </c>
      <c r="BC24" s="3713">
        <f t="shared" ca="1" si="13"/>
        <v>0</v>
      </c>
      <c r="BD24" s="3713">
        <f t="shared" ca="1" si="13"/>
        <v>0</v>
      </c>
      <c r="BE24" s="3713">
        <f t="shared" ca="1" si="13"/>
        <v>0</v>
      </c>
      <c r="BF24" s="3713">
        <f t="shared" ca="1" si="13"/>
        <v>0</v>
      </c>
      <c r="BG24" s="3713">
        <f t="shared" ca="1" si="13"/>
        <v>0</v>
      </c>
      <c r="BH24" s="3713">
        <f t="shared" ca="1" si="13"/>
        <v>0</v>
      </c>
      <c r="BI24" s="3713">
        <f t="shared" ca="1" si="13"/>
        <v>0</v>
      </c>
      <c r="BJ24" s="3713">
        <f t="shared" ca="1" si="13"/>
        <v>0</v>
      </c>
      <c r="BK24" s="3713">
        <f t="shared" ca="1" si="13"/>
        <v>0</v>
      </c>
      <c r="BL24" s="3713">
        <f t="shared" ca="1" si="13"/>
        <v>0</v>
      </c>
      <c r="BM24" s="3713">
        <f t="shared" ca="1" si="13"/>
        <v>0</v>
      </c>
      <c r="BN24" s="3713">
        <f t="shared" ca="1" si="13"/>
        <v>0</v>
      </c>
      <c r="BO24" s="3713">
        <f t="shared" ca="1" si="13"/>
        <v>0</v>
      </c>
      <c r="BP24" s="3713">
        <f t="shared" ca="1" si="13"/>
        <v>0</v>
      </c>
      <c r="BQ24" s="3713">
        <f t="shared" ca="1" si="13"/>
        <v>0</v>
      </c>
      <c r="BR24" s="3713">
        <f t="shared" ca="1" si="13"/>
        <v>0</v>
      </c>
      <c r="BS24" s="3713">
        <f t="shared" ca="1" si="13"/>
        <v>0</v>
      </c>
      <c r="BT24" s="3713">
        <f t="shared" ca="1" si="13"/>
        <v>0</v>
      </c>
      <c r="BU24" s="3713">
        <f t="shared" ca="1" si="13"/>
        <v>0</v>
      </c>
      <c r="BV24" s="3713">
        <f t="shared" ca="1" si="13"/>
        <v>0</v>
      </c>
      <c r="BW24" s="3713">
        <f t="shared" ca="1" si="13"/>
        <v>0</v>
      </c>
      <c r="BX24" s="3713">
        <f t="shared" ca="1" si="13"/>
        <v>0</v>
      </c>
      <c r="BY24" s="3713">
        <f t="shared" ca="1" si="13"/>
        <v>0</v>
      </c>
      <c r="BZ24" s="3713">
        <f t="shared" ca="1" si="13"/>
        <v>0</v>
      </c>
      <c r="CA24" s="3713">
        <f t="shared" ca="1" si="13"/>
        <v>0</v>
      </c>
      <c r="CB24" s="3713">
        <f t="shared" ref="CB24:CH24" ca="1" si="14">CA24-CA35</f>
        <v>0</v>
      </c>
      <c r="CC24" s="3713">
        <f t="shared" ca="1" si="14"/>
        <v>0</v>
      </c>
      <c r="CD24" s="3713">
        <f t="shared" ca="1" si="14"/>
        <v>0</v>
      </c>
      <c r="CE24" s="3713">
        <f t="shared" ca="1" si="14"/>
        <v>0</v>
      </c>
      <c r="CF24" s="3713">
        <f t="shared" ca="1" si="14"/>
        <v>0</v>
      </c>
      <c r="CG24" s="3713">
        <f t="shared" ca="1" si="14"/>
        <v>0</v>
      </c>
      <c r="CH24" s="3713">
        <f t="shared" ca="1" si="14"/>
        <v>0</v>
      </c>
      <c r="CI24" s="92"/>
      <c r="CJ24" s="74"/>
      <c r="CK24" s="42"/>
      <c r="CL24" s="42"/>
    </row>
    <row r="25" spans="1:90" ht="15" hidden="1" customHeight="1" x14ac:dyDescent="0.25">
      <c r="A25" s="957">
        <f ca="1">IF($M$8=0,0,1)</f>
        <v>0</v>
      </c>
      <c r="B25" s="96"/>
      <c r="C25" s="96"/>
      <c r="D25" s="96"/>
      <c r="E25" s="96"/>
      <c r="F25" s="96"/>
      <c r="G25" s="96"/>
      <c r="H25" s="96"/>
      <c r="I25" s="174"/>
      <c r="J25" s="92"/>
      <c r="K25" s="92">
        <f>$K$8</f>
        <v>0</v>
      </c>
      <c r="L25" s="4227" t="e">
        <f t="shared" ca="1" si="8"/>
        <v>#VALUE!</v>
      </c>
      <c r="M25" s="4227"/>
      <c r="N25" s="4227"/>
      <c r="O25" s="3713">
        <f ca="1">IF(Income_RentRollSource="None - Manual Entry",0,dpIncome_TCat3_NRA_Vacant)</f>
        <v>0</v>
      </c>
      <c r="P25" s="3713">
        <f t="shared" ref="P25:AU25" ca="1" si="15">O25-O36</f>
        <v>0</v>
      </c>
      <c r="Q25" s="3713">
        <f t="shared" ca="1" si="15"/>
        <v>0</v>
      </c>
      <c r="R25" s="3713">
        <f t="shared" ca="1" si="15"/>
        <v>0</v>
      </c>
      <c r="S25" s="3713">
        <f t="shared" ca="1" si="15"/>
        <v>0</v>
      </c>
      <c r="T25" s="3713">
        <f t="shared" ca="1" si="15"/>
        <v>0</v>
      </c>
      <c r="U25" s="3713">
        <f t="shared" ca="1" si="15"/>
        <v>0</v>
      </c>
      <c r="V25" s="3713">
        <f t="shared" ca="1" si="15"/>
        <v>0</v>
      </c>
      <c r="W25" s="3713">
        <f t="shared" ca="1" si="15"/>
        <v>0</v>
      </c>
      <c r="X25" s="3713">
        <f t="shared" ca="1" si="15"/>
        <v>0</v>
      </c>
      <c r="Y25" s="3713">
        <f t="shared" ca="1" si="15"/>
        <v>0</v>
      </c>
      <c r="Z25" s="3713">
        <f t="shared" ca="1" si="15"/>
        <v>0</v>
      </c>
      <c r="AA25" s="3713">
        <f t="shared" ca="1" si="15"/>
        <v>0</v>
      </c>
      <c r="AB25" s="3713">
        <f t="shared" ca="1" si="15"/>
        <v>0</v>
      </c>
      <c r="AC25" s="3713">
        <f t="shared" ca="1" si="15"/>
        <v>0</v>
      </c>
      <c r="AD25" s="3713">
        <f t="shared" ca="1" si="15"/>
        <v>0</v>
      </c>
      <c r="AE25" s="3713">
        <f t="shared" ca="1" si="15"/>
        <v>0</v>
      </c>
      <c r="AF25" s="3713">
        <f t="shared" ca="1" si="15"/>
        <v>0</v>
      </c>
      <c r="AG25" s="3713">
        <f t="shared" ca="1" si="15"/>
        <v>0</v>
      </c>
      <c r="AH25" s="3713">
        <f t="shared" ca="1" si="15"/>
        <v>0</v>
      </c>
      <c r="AI25" s="3713">
        <f t="shared" ca="1" si="15"/>
        <v>0</v>
      </c>
      <c r="AJ25" s="3713">
        <f t="shared" ca="1" si="15"/>
        <v>0</v>
      </c>
      <c r="AK25" s="3713">
        <f t="shared" ca="1" si="15"/>
        <v>0</v>
      </c>
      <c r="AL25" s="3713">
        <f t="shared" ca="1" si="15"/>
        <v>0</v>
      </c>
      <c r="AM25" s="3713">
        <f t="shared" ca="1" si="15"/>
        <v>0</v>
      </c>
      <c r="AN25" s="3713">
        <f t="shared" ca="1" si="15"/>
        <v>0</v>
      </c>
      <c r="AO25" s="3713">
        <f t="shared" ca="1" si="15"/>
        <v>0</v>
      </c>
      <c r="AP25" s="3713">
        <f t="shared" ca="1" si="15"/>
        <v>0</v>
      </c>
      <c r="AQ25" s="3713">
        <f t="shared" ca="1" si="15"/>
        <v>0</v>
      </c>
      <c r="AR25" s="3713">
        <f t="shared" ca="1" si="15"/>
        <v>0</v>
      </c>
      <c r="AS25" s="3713">
        <f t="shared" ca="1" si="15"/>
        <v>0</v>
      </c>
      <c r="AT25" s="3713">
        <f t="shared" ca="1" si="15"/>
        <v>0</v>
      </c>
      <c r="AU25" s="3713">
        <f t="shared" ca="1" si="15"/>
        <v>0</v>
      </c>
      <c r="AV25" s="3713">
        <f t="shared" ref="AV25:CA25" ca="1" si="16">AU25-AU36</f>
        <v>0</v>
      </c>
      <c r="AW25" s="3713">
        <f t="shared" ca="1" si="16"/>
        <v>0</v>
      </c>
      <c r="AX25" s="3713">
        <f t="shared" ca="1" si="16"/>
        <v>0</v>
      </c>
      <c r="AY25" s="3713">
        <f t="shared" ca="1" si="16"/>
        <v>0</v>
      </c>
      <c r="AZ25" s="3713">
        <f t="shared" ca="1" si="16"/>
        <v>0</v>
      </c>
      <c r="BA25" s="3713">
        <f t="shared" ca="1" si="16"/>
        <v>0</v>
      </c>
      <c r="BB25" s="3713">
        <f t="shared" ca="1" si="16"/>
        <v>0</v>
      </c>
      <c r="BC25" s="3713">
        <f t="shared" ca="1" si="16"/>
        <v>0</v>
      </c>
      <c r="BD25" s="3713">
        <f t="shared" ca="1" si="16"/>
        <v>0</v>
      </c>
      <c r="BE25" s="3713">
        <f t="shared" ca="1" si="16"/>
        <v>0</v>
      </c>
      <c r="BF25" s="3713">
        <f t="shared" ca="1" si="16"/>
        <v>0</v>
      </c>
      <c r="BG25" s="3713">
        <f t="shared" ca="1" si="16"/>
        <v>0</v>
      </c>
      <c r="BH25" s="3713">
        <f t="shared" ca="1" si="16"/>
        <v>0</v>
      </c>
      <c r="BI25" s="3713">
        <f t="shared" ca="1" si="16"/>
        <v>0</v>
      </c>
      <c r="BJ25" s="3713">
        <f t="shared" ca="1" si="16"/>
        <v>0</v>
      </c>
      <c r="BK25" s="3713">
        <f t="shared" ca="1" si="16"/>
        <v>0</v>
      </c>
      <c r="BL25" s="3713">
        <f t="shared" ca="1" si="16"/>
        <v>0</v>
      </c>
      <c r="BM25" s="3713">
        <f t="shared" ca="1" si="16"/>
        <v>0</v>
      </c>
      <c r="BN25" s="3713">
        <f t="shared" ca="1" si="16"/>
        <v>0</v>
      </c>
      <c r="BO25" s="3713">
        <f t="shared" ca="1" si="16"/>
        <v>0</v>
      </c>
      <c r="BP25" s="3713">
        <f t="shared" ca="1" si="16"/>
        <v>0</v>
      </c>
      <c r="BQ25" s="3713">
        <f t="shared" ca="1" si="16"/>
        <v>0</v>
      </c>
      <c r="BR25" s="3713">
        <f t="shared" ca="1" si="16"/>
        <v>0</v>
      </c>
      <c r="BS25" s="3713">
        <f t="shared" ca="1" si="16"/>
        <v>0</v>
      </c>
      <c r="BT25" s="3713">
        <f t="shared" ca="1" si="16"/>
        <v>0</v>
      </c>
      <c r="BU25" s="3713">
        <f t="shared" ca="1" si="16"/>
        <v>0</v>
      </c>
      <c r="BV25" s="3713">
        <f t="shared" ca="1" si="16"/>
        <v>0</v>
      </c>
      <c r="BW25" s="3713">
        <f t="shared" ca="1" si="16"/>
        <v>0</v>
      </c>
      <c r="BX25" s="3713">
        <f t="shared" ca="1" si="16"/>
        <v>0</v>
      </c>
      <c r="BY25" s="3713">
        <f t="shared" ca="1" si="16"/>
        <v>0</v>
      </c>
      <c r="BZ25" s="3713">
        <f t="shared" ca="1" si="16"/>
        <v>0</v>
      </c>
      <c r="CA25" s="3713">
        <f t="shared" ca="1" si="16"/>
        <v>0</v>
      </c>
      <c r="CB25" s="3713">
        <f t="shared" ref="CB25:CH25" ca="1" si="17">CA25-CA36</f>
        <v>0</v>
      </c>
      <c r="CC25" s="3713">
        <f t="shared" ca="1" si="17"/>
        <v>0</v>
      </c>
      <c r="CD25" s="3713">
        <f t="shared" ca="1" si="17"/>
        <v>0</v>
      </c>
      <c r="CE25" s="3713">
        <f t="shared" ca="1" si="17"/>
        <v>0</v>
      </c>
      <c r="CF25" s="3713">
        <f t="shared" ca="1" si="17"/>
        <v>0</v>
      </c>
      <c r="CG25" s="3713">
        <f t="shared" ca="1" si="17"/>
        <v>0</v>
      </c>
      <c r="CH25" s="3713">
        <f t="shared" ca="1" si="17"/>
        <v>0</v>
      </c>
      <c r="CI25" s="92"/>
      <c r="CJ25" s="74"/>
      <c r="CK25" s="42"/>
      <c r="CL25" s="42"/>
    </row>
    <row r="26" spans="1:90" ht="15" hidden="1" customHeight="1" x14ac:dyDescent="0.25">
      <c r="A26" s="957">
        <f ca="1">IF($M$9=0,0,1)</f>
        <v>0</v>
      </c>
      <c r="B26" s="96"/>
      <c r="C26" s="96"/>
      <c r="D26" s="96"/>
      <c r="E26" s="96"/>
      <c r="F26" s="96"/>
      <c r="G26" s="96"/>
      <c r="H26" s="96"/>
      <c r="I26" s="174"/>
      <c r="J26" s="92"/>
      <c r="K26" s="92">
        <f>$K$9</f>
        <v>0</v>
      </c>
      <c r="L26" s="4227" t="e">
        <f t="shared" ca="1" si="8"/>
        <v>#VALUE!</v>
      </c>
      <c r="M26" s="4227"/>
      <c r="N26" s="4227"/>
      <c r="O26" s="3713">
        <f ca="1">IF(Income_RentRollSource="None - Manual Entry",0,dpIncome_TCat4_NRA_Vacant)</f>
        <v>0</v>
      </c>
      <c r="P26" s="3713">
        <f t="shared" ref="P26:AU26" ca="1" si="18">O26-O37</f>
        <v>0</v>
      </c>
      <c r="Q26" s="3713">
        <f t="shared" ca="1" si="18"/>
        <v>0</v>
      </c>
      <c r="R26" s="3713">
        <f t="shared" ca="1" si="18"/>
        <v>0</v>
      </c>
      <c r="S26" s="3713">
        <f t="shared" ca="1" si="18"/>
        <v>0</v>
      </c>
      <c r="T26" s="3713">
        <f t="shared" ca="1" si="18"/>
        <v>0</v>
      </c>
      <c r="U26" s="3713">
        <f t="shared" ca="1" si="18"/>
        <v>0</v>
      </c>
      <c r="V26" s="3713">
        <f t="shared" ca="1" si="18"/>
        <v>0</v>
      </c>
      <c r="W26" s="3713">
        <f t="shared" ca="1" si="18"/>
        <v>0</v>
      </c>
      <c r="X26" s="3713">
        <f t="shared" ca="1" si="18"/>
        <v>0</v>
      </c>
      <c r="Y26" s="3713">
        <f t="shared" ca="1" si="18"/>
        <v>0</v>
      </c>
      <c r="Z26" s="3713">
        <f t="shared" ca="1" si="18"/>
        <v>0</v>
      </c>
      <c r="AA26" s="3713">
        <f t="shared" ca="1" si="18"/>
        <v>0</v>
      </c>
      <c r="AB26" s="3713">
        <f t="shared" ca="1" si="18"/>
        <v>0</v>
      </c>
      <c r="AC26" s="3713">
        <f t="shared" ca="1" si="18"/>
        <v>0</v>
      </c>
      <c r="AD26" s="3713">
        <f t="shared" ca="1" si="18"/>
        <v>0</v>
      </c>
      <c r="AE26" s="3713">
        <f t="shared" ca="1" si="18"/>
        <v>0</v>
      </c>
      <c r="AF26" s="3713">
        <f t="shared" ca="1" si="18"/>
        <v>0</v>
      </c>
      <c r="AG26" s="3713">
        <f t="shared" ca="1" si="18"/>
        <v>0</v>
      </c>
      <c r="AH26" s="3713">
        <f t="shared" ca="1" si="18"/>
        <v>0</v>
      </c>
      <c r="AI26" s="3713">
        <f t="shared" ca="1" si="18"/>
        <v>0</v>
      </c>
      <c r="AJ26" s="3713">
        <f t="shared" ca="1" si="18"/>
        <v>0</v>
      </c>
      <c r="AK26" s="3713">
        <f t="shared" ca="1" si="18"/>
        <v>0</v>
      </c>
      <c r="AL26" s="3713">
        <f t="shared" ca="1" si="18"/>
        <v>0</v>
      </c>
      <c r="AM26" s="3713">
        <f t="shared" ca="1" si="18"/>
        <v>0</v>
      </c>
      <c r="AN26" s="3713">
        <f t="shared" ca="1" si="18"/>
        <v>0</v>
      </c>
      <c r="AO26" s="3713">
        <f t="shared" ca="1" si="18"/>
        <v>0</v>
      </c>
      <c r="AP26" s="3713">
        <f t="shared" ca="1" si="18"/>
        <v>0</v>
      </c>
      <c r="AQ26" s="3713">
        <f t="shared" ca="1" si="18"/>
        <v>0</v>
      </c>
      <c r="AR26" s="3713">
        <f t="shared" ca="1" si="18"/>
        <v>0</v>
      </c>
      <c r="AS26" s="3713">
        <f t="shared" ca="1" si="18"/>
        <v>0</v>
      </c>
      <c r="AT26" s="3713">
        <f t="shared" ca="1" si="18"/>
        <v>0</v>
      </c>
      <c r="AU26" s="3713">
        <f t="shared" ca="1" si="18"/>
        <v>0</v>
      </c>
      <c r="AV26" s="3713">
        <f t="shared" ref="AV26:CA26" ca="1" si="19">AU26-AU37</f>
        <v>0</v>
      </c>
      <c r="AW26" s="3713">
        <f t="shared" ca="1" si="19"/>
        <v>0</v>
      </c>
      <c r="AX26" s="3713">
        <f t="shared" ca="1" si="19"/>
        <v>0</v>
      </c>
      <c r="AY26" s="3713">
        <f t="shared" ca="1" si="19"/>
        <v>0</v>
      </c>
      <c r="AZ26" s="3713">
        <f t="shared" ca="1" si="19"/>
        <v>0</v>
      </c>
      <c r="BA26" s="3713">
        <f t="shared" ca="1" si="19"/>
        <v>0</v>
      </c>
      <c r="BB26" s="3713">
        <f t="shared" ca="1" si="19"/>
        <v>0</v>
      </c>
      <c r="BC26" s="3713">
        <f t="shared" ca="1" si="19"/>
        <v>0</v>
      </c>
      <c r="BD26" s="3713">
        <f t="shared" ca="1" si="19"/>
        <v>0</v>
      </c>
      <c r="BE26" s="3713">
        <f t="shared" ca="1" si="19"/>
        <v>0</v>
      </c>
      <c r="BF26" s="3713">
        <f t="shared" ca="1" si="19"/>
        <v>0</v>
      </c>
      <c r="BG26" s="3713">
        <f t="shared" ca="1" si="19"/>
        <v>0</v>
      </c>
      <c r="BH26" s="3713">
        <f t="shared" ca="1" si="19"/>
        <v>0</v>
      </c>
      <c r="BI26" s="3713">
        <f t="shared" ca="1" si="19"/>
        <v>0</v>
      </c>
      <c r="BJ26" s="3713">
        <f t="shared" ca="1" si="19"/>
        <v>0</v>
      </c>
      <c r="BK26" s="3713">
        <f t="shared" ca="1" si="19"/>
        <v>0</v>
      </c>
      <c r="BL26" s="3713">
        <f t="shared" ca="1" si="19"/>
        <v>0</v>
      </c>
      <c r="BM26" s="3713">
        <f t="shared" ca="1" si="19"/>
        <v>0</v>
      </c>
      <c r="BN26" s="3713">
        <f t="shared" ca="1" si="19"/>
        <v>0</v>
      </c>
      <c r="BO26" s="3713">
        <f t="shared" ca="1" si="19"/>
        <v>0</v>
      </c>
      <c r="BP26" s="3713">
        <f t="shared" ca="1" si="19"/>
        <v>0</v>
      </c>
      <c r="BQ26" s="3713">
        <f t="shared" ca="1" si="19"/>
        <v>0</v>
      </c>
      <c r="BR26" s="3713">
        <f t="shared" ca="1" si="19"/>
        <v>0</v>
      </c>
      <c r="BS26" s="3713">
        <f t="shared" ca="1" si="19"/>
        <v>0</v>
      </c>
      <c r="BT26" s="3713">
        <f t="shared" ca="1" si="19"/>
        <v>0</v>
      </c>
      <c r="BU26" s="3713">
        <f t="shared" ca="1" si="19"/>
        <v>0</v>
      </c>
      <c r="BV26" s="3713">
        <f t="shared" ca="1" si="19"/>
        <v>0</v>
      </c>
      <c r="BW26" s="3713">
        <f t="shared" ca="1" si="19"/>
        <v>0</v>
      </c>
      <c r="BX26" s="3713">
        <f t="shared" ca="1" si="19"/>
        <v>0</v>
      </c>
      <c r="BY26" s="3713">
        <f t="shared" ca="1" si="19"/>
        <v>0</v>
      </c>
      <c r="BZ26" s="3713">
        <f t="shared" ca="1" si="19"/>
        <v>0</v>
      </c>
      <c r="CA26" s="3713">
        <f t="shared" ca="1" si="19"/>
        <v>0</v>
      </c>
      <c r="CB26" s="3713">
        <f t="shared" ref="CB26:CH26" ca="1" si="20">CA26-CA37</f>
        <v>0</v>
      </c>
      <c r="CC26" s="3713">
        <f t="shared" ca="1" si="20"/>
        <v>0</v>
      </c>
      <c r="CD26" s="3713">
        <f t="shared" ca="1" si="20"/>
        <v>0</v>
      </c>
      <c r="CE26" s="3713">
        <f t="shared" ca="1" si="20"/>
        <v>0</v>
      </c>
      <c r="CF26" s="3713">
        <f t="shared" ca="1" si="20"/>
        <v>0</v>
      </c>
      <c r="CG26" s="3713">
        <f t="shared" ca="1" si="20"/>
        <v>0</v>
      </c>
      <c r="CH26" s="3713">
        <f t="shared" ca="1" si="20"/>
        <v>0</v>
      </c>
      <c r="CI26" s="92"/>
      <c r="CJ26" s="74"/>
      <c r="CK26" s="42"/>
      <c r="CL26" s="42"/>
    </row>
    <row r="27" spans="1:90" ht="15" hidden="1" customHeight="1" x14ac:dyDescent="0.25">
      <c r="A27" s="957">
        <f ca="1">IF($M$10=0,0,1)</f>
        <v>0</v>
      </c>
      <c r="B27" s="96"/>
      <c r="C27" s="96"/>
      <c r="D27" s="96"/>
      <c r="E27" s="96"/>
      <c r="F27" s="96"/>
      <c r="G27" s="96"/>
      <c r="H27" s="96"/>
      <c r="I27" s="174"/>
      <c r="J27" s="92"/>
      <c r="K27" s="92">
        <f>$K$10</f>
        <v>0</v>
      </c>
      <c r="L27" s="4227" t="e">
        <f t="shared" ca="1" si="8"/>
        <v>#VALUE!</v>
      </c>
      <c r="M27" s="4227"/>
      <c r="N27" s="4227"/>
      <c r="O27" s="3713">
        <f ca="1">IF(Income_RentRollSource="None - Manual Entry",0,dpIncome_TCat5_NRA_Vacant)</f>
        <v>0</v>
      </c>
      <c r="P27" s="3713">
        <f t="shared" ref="P27:AU27" ca="1" si="21">O27-O38</f>
        <v>0</v>
      </c>
      <c r="Q27" s="3713">
        <f t="shared" ca="1" si="21"/>
        <v>0</v>
      </c>
      <c r="R27" s="3713">
        <f t="shared" ca="1" si="21"/>
        <v>0</v>
      </c>
      <c r="S27" s="3713">
        <f t="shared" ca="1" si="21"/>
        <v>0</v>
      </c>
      <c r="T27" s="3713">
        <f t="shared" ca="1" si="21"/>
        <v>0</v>
      </c>
      <c r="U27" s="3713">
        <f t="shared" ca="1" si="21"/>
        <v>0</v>
      </c>
      <c r="V27" s="3713">
        <f t="shared" ca="1" si="21"/>
        <v>0</v>
      </c>
      <c r="W27" s="3713">
        <f t="shared" ca="1" si="21"/>
        <v>0</v>
      </c>
      <c r="X27" s="3713">
        <f t="shared" ca="1" si="21"/>
        <v>0</v>
      </c>
      <c r="Y27" s="3713">
        <f t="shared" ca="1" si="21"/>
        <v>0</v>
      </c>
      <c r="Z27" s="3713">
        <f t="shared" ca="1" si="21"/>
        <v>0</v>
      </c>
      <c r="AA27" s="3713">
        <f t="shared" ca="1" si="21"/>
        <v>0</v>
      </c>
      <c r="AB27" s="3713">
        <f t="shared" ca="1" si="21"/>
        <v>0</v>
      </c>
      <c r="AC27" s="3713">
        <f t="shared" ca="1" si="21"/>
        <v>0</v>
      </c>
      <c r="AD27" s="3713">
        <f t="shared" ca="1" si="21"/>
        <v>0</v>
      </c>
      <c r="AE27" s="3713">
        <f t="shared" ca="1" si="21"/>
        <v>0</v>
      </c>
      <c r="AF27" s="3713">
        <f t="shared" ca="1" si="21"/>
        <v>0</v>
      </c>
      <c r="AG27" s="3713">
        <f t="shared" ca="1" si="21"/>
        <v>0</v>
      </c>
      <c r="AH27" s="3713">
        <f t="shared" ca="1" si="21"/>
        <v>0</v>
      </c>
      <c r="AI27" s="3713">
        <f t="shared" ca="1" si="21"/>
        <v>0</v>
      </c>
      <c r="AJ27" s="3713">
        <f t="shared" ca="1" si="21"/>
        <v>0</v>
      </c>
      <c r="AK27" s="3713">
        <f t="shared" ca="1" si="21"/>
        <v>0</v>
      </c>
      <c r="AL27" s="3713">
        <f t="shared" ca="1" si="21"/>
        <v>0</v>
      </c>
      <c r="AM27" s="3713">
        <f t="shared" ca="1" si="21"/>
        <v>0</v>
      </c>
      <c r="AN27" s="3713">
        <f t="shared" ca="1" si="21"/>
        <v>0</v>
      </c>
      <c r="AO27" s="3713">
        <f t="shared" ca="1" si="21"/>
        <v>0</v>
      </c>
      <c r="AP27" s="3713">
        <f t="shared" ca="1" si="21"/>
        <v>0</v>
      </c>
      <c r="AQ27" s="3713">
        <f t="shared" ca="1" si="21"/>
        <v>0</v>
      </c>
      <c r="AR27" s="3713">
        <f t="shared" ca="1" si="21"/>
        <v>0</v>
      </c>
      <c r="AS27" s="3713">
        <f t="shared" ca="1" si="21"/>
        <v>0</v>
      </c>
      <c r="AT27" s="3713">
        <f t="shared" ca="1" si="21"/>
        <v>0</v>
      </c>
      <c r="AU27" s="3713">
        <f t="shared" ca="1" si="21"/>
        <v>0</v>
      </c>
      <c r="AV27" s="3713">
        <f t="shared" ref="AV27:CA27" ca="1" si="22">AU27-AU38</f>
        <v>0</v>
      </c>
      <c r="AW27" s="3713">
        <f t="shared" ca="1" si="22"/>
        <v>0</v>
      </c>
      <c r="AX27" s="3713">
        <f t="shared" ca="1" si="22"/>
        <v>0</v>
      </c>
      <c r="AY27" s="3713">
        <f t="shared" ca="1" si="22"/>
        <v>0</v>
      </c>
      <c r="AZ27" s="3713">
        <f t="shared" ca="1" si="22"/>
        <v>0</v>
      </c>
      <c r="BA27" s="3713">
        <f t="shared" ca="1" si="22"/>
        <v>0</v>
      </c>
      <c r="BB27" s="3713">
        <f t="shared" ca="1" si="22"/>
        <v>0</v>
      </c>
      <c r="BC27" s="3713">
        <f t="shared" ca="1" si="22"/>
        <v>0</v>
      </c>
      <c r="BD27" s="3713">
        <f t="shared" ca="1" si="22"/>
        <v>0</v>
      </c>
      <c r="BE27" s="3713">
        <f t="shared" ca="1" si="22"/>
        <v>0</v>
      </c>
      <c r="BF27" s="3713">
        <f t="shared" ca="1" si="22"/>
        <v>0</v>
      </c>
      <c r="BG27" s="3713">
        <f t="shared" ca="1" si="22"/>
        <v>0</v>
      </c>
      <c r="BH27" s="3713">
        <f t="shared" ca="1" si="22"/>
        <v>0</v>
      </c>
      <c r="BI27" s="3713">
        <f t="shared" ca="1" si="22"/>
        <v>0</v>
      </c>
      <c r="BJ27" s="3713">
        <f t="shared" ca="1" si="22"/>
        <v>0</v>
      </c>
      <c r="BK27" s="3713">
        <f t="shared" ca="1" si="22"/>
        <v>0</v>
      </c>
      <c r="BL27" s="3713">
        <f t="shared" ca="1" si="22"/>
        <v>0</v>
      </c>
      <c r="BM27" s="3713">
        <f t="shared" ca="1" si="22"/>
        <v>0</v>
      </c>
      <c r="BN27" s="3713">
        <f t="shared" ca="1" si="22"/>
        <v>0</v>
      </c>
      <c r="BO27" s="3713">
        <f t="shared" ca="1" si="22"/>
        <v>0</v>
      </c>
      <c r="BP27" s="3713">
        <f t="shared" ca="1" si="22"/>
        <v>0</v>
      </c>
      <c r="BQ27" s="3713">
        <f t="shared" ca="1" si="22"/>
        <v>0</v>
      </c>
      <c r="BR27" s="3713">
        <f t="shared" ca="1" si="22"/>
        <v>0</v>
      </c>
      <c r="BS27" s="3713">
        <f t="shared" ca="1" si="22"/>
        <v>0</v>
      </c>
      <c r="BT27" s="3713">
        <f t="shared" ca="1" si="22"/>
        <v>0</v>
      </c>
      <c r="BU27" s="3713">
        <f t="shared" ca="1" si="22"/>
        <v>0</v>
      </c>
      <c r="BV27" s="3713">
        <f t="shared" ca="1" si="22"/>
        <v>0</v>
      </c>
      <c r="BW27" s="3713">
        <f t="shared" ca="1" si="22"/>
        <v>0</v>
      </c>
      <c r="BX27" s="3713">
        <f t="shared" ca="1" si="22"/>
        <v>0</v>
      </c>
      <c r="BY27" s="3713">
        <f t="shared" ca="1" si="22"/>
        <v>0</v>
      </c>
      <c r="BZ27" s="3713">
        <f t="shared" ca="1" si="22"/>
        <v>0</v>
      </c>
      <c r="CA27" s="3713">
        <f t="shared" ca="1" si="22"/>
        <v>0</v>
      </c>
      <c r="CB27" s="3713">
        <f t="shared" ref="CB27:CH27" ca="1" si="23">CA27-CA38</f>
        <v>0</v>
      </c>
      <c r="CC27" s="3713">
        <f t="shared" ca="1" si="23"/>
        <v>0</v>
      </c>
      <c r="CD27" s="3713">
        <f t="shared" ca="1" si="23"/>
        <v>0</v>
      </c>
      <c r="CE27" s="3713">
        <f t="shared" ca="1" si="23"/>
        <v>0</v>
      </c>
      <c r="CF27" s="3713">
        <f t="shared" ca="1" si="23"/>
        <v>0</v>
      </c>
      <c r="CG27" s="3713">
        <f t="shared" ca="1" si="23"/>
        <v>0</v>
      </c>
      <c r="CH27" s="3713">
        <f t="shared" ca="1" si="23"/>
        <v>0</v>
      </c>
      <c r="CI27" s="92"/>
      <c r="CJ27" s="74"/>
      <c r="CK27" s="42"/>
      <c r="CL27" s="42"/>
    </row>
    <row r="28" spans="1:90" ht="15" hidden="1" customHeight="1" x14ac:dyDescent="0.25">
      <c r="A28" s="957">
        <f ca="1">IF($M$11=0,0,1)</f>
        <v>0</v>
      </c>
      <c r="B28" s="96"/>
      <c r="C28" s="96"/>
      <c r="D28" s="96"/>
      <c r="E28" s="96"/>
      <c r="F28" s="96"/>
      <c r="G28" s="96"/>
      <c r="H28" s="96"/>
      <c r="I28" s="174"/>
      <c r="J28" s="92"/>
      <c r="K28" s="92">
        <f>$K$11</f>
        <v>0</v>
      </c>
      <c r="L28" s="4227" t="e">
        <f t="shared" ca="1" si="8"/>
        <v>#VALUE!</v>
      </c>
      <c r="M28" s="4227"/>
      <c r="N28" s="4227"/>
      <c r="O28" s="3713">
        <f ca="1">IF(Income_RentRollSource="None - Manual Entry",0,dpIncome_TCat6_NRA_Vacant)</f>
        <v>0</v>
      </c>
      <c r="P28" s="3713">
        <f t="shared" ref="P28:AU28" ca="1" si="24">O28-O39</f>
        <v>0</v>
      </c>
      <c r="Q28" s="3713">
        <f t="shared" ca="1" si="24"/>
        <v>0</v>
      </c>
      <c r="R28" s="3713">
        <f t="shared" ca="1" si="24"/>
        <v>0</v>
      </c>
      <c r="S28" s="3713">
        <f t="shared" ca="1" si="24"/>
        <v>0</v>
      </c>
      <c r="T28" s="3713">
        <f t="shared" ca="1" si="24"/>
        <v>0</v>
      </c>
      <c r="U28" s="3713">
        <f t="shared" ca="1" si="24"/>
        <v>0</v>
      </c>
      <c r="V28" s="3713">
        <f t="shared" ca="1" si="24"/>
        <v>0</v>
      </c>
      <c r="W28" s="3713">
        <f t="shared" ca="1" si="24"/>
        <v>0</v>
      </c>
      <c r="X28" s="3713">
        <f t="shared" ca="1" si="24"/>
        <v>0</v>
      </c>
      <c r="Y28" s="3713">
        <f t="shared" ca="1" si="24"/>
        <v>0</v>
      </c>
      <c r="Z28" s="3713">
        <f t="shared" ca="1" si="24"/>
        <v>0</v>
      </c>
      <c r="AA28" s="3713">
        <f t="shared" ca="1" si="24"/>
        <v>0</v>
      </c>
      <c r="AB28" s="3713">
        <f t="shared" ca="1" si="24"/>
        <v>0</v>
      </c>
      <c r="AC28" s="3713">
        <f t="shared" ca="1" si="24"/>
        <v>0</v>
      </c>
      <c r="AD28" s="3713">
        <f t="shared" ca="1" si="24"/>
        <v>0</v>
      </c>
      <c r="AE28" s="3713">
        <f t="shared" ca="1" si="24"/>
        <v>0</v>
      </c>
      <c r="AF28" s="3713">
        <f t="shared" ca="1" si="24"/>
        <v>0</v>
      </c>
      <c r="AG28" s="3713">
        <f t="shared" ca="1" si="24"/>
        <v>0</v>
      </c>
      <c r="AH28" s="3713">
        <f t="shared" ca="1" si="24"/>
        <v>0</v>
      </c>
      <c r="AI28" s="3713">
        <f t="shared" ca="1" si="24"/>
        <v>0</v>
      </c>
      <c r="AJ28" s="3713">
        <f t="shared" ca="1" si="24"/>
        <v>0</v>
      </c>
      <c r="AK28" s="3713">
        <f t="shared" ca="1" si="24"/>
        <v>0</v>
      </c>
      <c r="AL28" s="3713">
        <f t="shared" ca="1" si="24"/>
        <v>0</v>
      </c>
      <c r="AM28" s="3713">
        <f t="shared" ca="1" si="24"/>
        <v>0</v>
      </c>
      <c r="AN28" s="3713">
        <f t="shared" ca="1" si="24"/>
        <v>0</v>
      </c>
      <c r="AO28" s="3713">
        <f t="shared" ca="1" si="24"/>
        <v>0</v>
      </c>
      <c r="AP28" s="3713">
        <f t="shared" ca="1" si="24"/>
        <v>0</v>
      </c>
      <c r="AQ28" s="3713">
        <f t="shared" ca="1" si="24"/>
        <v>0</v>
      </c>
      <c r="AR28" s="3713">
        <f t="shared" ca="1" si="24"/>
        <v>0</v>
      </c>
      <c r="AS28" s="3713">
        <f t="shared" ca="1" si="24"/>
        <v>0</v>
      </c>
      <c r="AT28" s="3713">
        <f t="shared" ca="1" si="24"/>
        <v>0</v>
      </c>
      <c r="AU28" s="3713">
        <f t="shared" ca="1" si="24"/>
        <v>0</v>
      </c>
      <c r="AV28" s="3713">
        <f t="shared" ref="AV28:CA28" ca="1" si="25">AU28-AU39</f>
        <v>0</v>
      </c>
      <c r="AW28" s="3713">
        <f t="shared" ca="1" si="25"/>
        <v>0</v>
      </c>
      <c r="AX28" s="3713">
        <f t="shared" ca="1" si="25"/>
        <v>0</v>
      </c>
      <c r="AY28" s="3713">
        <f t="shared" ca="1" si="25"/>
        <v>0</v>
      </c>
      <c r="AZ28" s="3713">
        <f t="shared" ca="1" si="25"/>
        <v>0</v>
      </c>
      <c r="BA28" s="3713">
        <f t="shared" ca="1" si="25"/>
        <v>0</v>
      </c>
      <c r="BB28" s="3713">
        <f t="shared" ca="1" si="25"/>
        <v>0</v>
      </c>
      <c r="BC28" s="3713">
        <f t="shared" ca="1" si="25"/>
        <v>0</v>
      </c>
      <c r="BD28" s="3713">
        <f t="shared" ca="1" si="25"/>
        <v>0</v>
      </c>
      <c r="BE28" s="3713">
        <f t="shared" ca="1" si="25"/>
        <v>0</v>
      </c>
      <c r="BF28" s="3713">
        <f t="shared" ca="1" si="25"/>
        <v>0</v>
      </c>
      <c r="BG28" s="3713">
        <f t="shared" ca="1" si="25"/>
        <v>0</v>
      </c>
      <c r="BH28" s="3713">
        <f t="shared" ca="1" si="25"/>
        <v>0</v>
      </c>
      <c r="BI28" s="3713">
        <f t="shared" ca="1" si="25"/>
        <v>0</v>
      </c>
      <c r="BJ28" s="3713">
        <f t="shared" ca="1" si="25"/>
        <v>0</v>
      </c>
      <c r="BK28" s="3713">
        <f t="shared" ca="1" si="25"/>
        <v>0</v>
      </c>
      <c r="BL28" s="3713">
        <f t="shared" ca="1" si="25"/>
        <v>0</v>
      </c>
      <c r="BM28" s="3713">
        <f t="shared" ca="1" si="25"/>
        <v>0</v>
      </c>
      <c r="BN28" s="3713">
        <f t="shared" ca="1" si="25"/>
        <v>0</v>
      </c>
      <c r="BO28" s="3713">
        <f t="shared" ca="1" si="25"/>
        <v>0</v>
      </c>
      <c r="BP28" s="3713">
        <f t="shared" ca="1" si="25"/>
        <v>0</v>
      </c>
      <c r="BQ28" s="3713">
        <f t="shared" ca="1" si="25"/>
        <v>0</v>
      </c>
      <c r="BR28" s="3713">
        <f t="shared" ca="1" si="25"/>
        <v>0</v>
      </c>
      <c r="BS28" s="3713">
        <f t="shared" ca="1" si="25"/>
        <v>0</v>
      </c>
      <c r="BT28" s="3713">
        <f t="shared" ca="1" si="25"/>
        <v>0</v>
      </c>
      <c r="BU28" s="3713">
        <f t="shared" ca="1" si="25"/>
        <v>0</v>
      </c>
      <c r="BV28" s="3713">
        <f t="shared" ca="1" si="25"/>
        <v>0</v>
      </c>
      <c r="BW28" s="3713">
        <f t="shared" ca="1" si="25"/>
        <v>0</v>
      </c>
      <c r="BX28" s="3713">
        <f t="shared" ca="1" si="25"/>
        <v>0</v>
      </c>
      <c r="BY28" s="3713">
        <f t="shared" ca="1" si="25"/>
        <v>0</v>
      </c>
      <c r="BZ28" s="3713">
        <f t="shared" ca="1" si="25"/>
        <v>0</v>
      </c>
      <c r="CA28" s="3713">
        <f t="shared" ca="1" si="25"/>
        <v>0</v>
      </c>
      <c r="CB28" s="3713">
        <f t="shared" ref="CB28:CH28" ca="1" si="26">CA28-CA39</f>
        <v>0</v>
      </c>
      <c r="CC28" s="3713">
        <f t="shared" ca="1" si="26"/>
        <v>0</v>
      </c>
      <c r="CD28" s="3713">
        <f t="shared" ca="1" si="26"/>
        <v>0</v>
      </c>
      <c r="CE28" s="3713">
        <f t="shared" ca="1" si="26"/>
        <v>0</v>
      </c>
      <c r="CF28" s="3713">
        <f t="shared" ca="1" si="26"/>
        <v>0</v>
      </c>
      <c r="CG28" s="3713">
        <f t="shared" ca="1" si="26"/>
        <v>0</v>
      </c>
      <c r="CH28" s="3713">
        <f t="shared" ca="1" si="26"/>
        <v>0</v>
      </c>
      <c r="CI28" s="92"/>
      <c r="CJ28" s="74"/>
      <c r="CK28" s="42"/>
      <c r="CL28" s="42"/>
    </row>
    <row r="29" spans="1:90" ht="15" hidden="1" customHeight="1" x14ac:dyDescent="0.25">
      <c r="A29" s="957">
        <f ca="1">IF($M$12=0,0,1)</f>
        <v>0</v>
      </c>
      <c r="B29" s="96"/>
      <c r="C29" s="96"/>
      <c r="D29" s="96"/>
      <c r="E29" s="96"/>
      <c r="F29" s="96"/>
      <c r="G29" s="96"/>
      <c r="H29" s="96"/>
      <c r="I29" s="174"/>
      <c r="J29" s="92"/>
      <c r="K29" s="92">
        <f>$K$12</f>
        <v>0</v>
      </c>
      <c r="L29" s="4227" t="e">
        <f t="shared" ca="1" si="8"/>
        <v>#VALUE!</v>
      </c>
      <c r="M29" s="4227"/>
      <c r="N29" s="4227"/>
      <c r="O29" s="3713">
        <f ca="1">IF(Income_RentRollSource="None - Manual Entry",0,dpIncome_TCat7_NRA_Vacant)</f>
        <v>0</v>
      </c>
      <c r="P29" s="3713">
        <f t="shared" ref="P29:AU29" ca="1" si="27">O29-O40</f>
        <v>0</v>
      </c>
      <c r="Q29" s="3713">
        <f t="shared" ca="1" si="27"/>
        <v>0</v>
      </c>
      <c r="R29" s="3713">
        <f t="shared" ca="1" si="27"/>
        <v>0</v>
      </c>
      <c r="S29" s="3713">
        <f t="shared" ca="1" si="27"/>
        <v>0</v>
      </c>
      <c r="T29" s="3713">
        <f t="shared" ca="1" si="27"/>
        <v>0</v>
      </c>
      <c r="U29" s="3713">
        <f t="shared" ca="1" si="27"/>
        <v>0</v>
      </c>
      <c r="V29" s="3713">
        <f t="shared" ca="1" si="27"/>
        <v>0</v>
      </c>
      <c r="W29" s="3713">
        <f t="shared" ca="1" si="27"/>
        <v>0</v>
      </c>
      <c r="X29" s="3713">
        <f t="shared" ca="1" si="27"/>
        <v>0</v>
      </c>
      <c r="Y29" s="3713">
        <f t="shared" ca="1" si="27"/>
        <v>0</v>
      </c>
      <c r="Z29" s="3713">
        <f t="shared" ca="1" si="27"/>
        <v>0</v>
      </c>
      <c r="AA29" s="3713">
        <f t="shared" ca="1" si="27"/>
        <v>0</v>
      </c>
      <c r="AB29" s="3713">
        <f t="shared" ca="1" si="27"/>
        <v>0</v>
      </c>
      <c r="AC29" s="3713">
        <f t="shared" ca="1" si="27"/>
        <v>0</v>
      </c>
      <c r="AD29" s="3713">
        <f t="shared" ca="1" si="27"/>
        <v>0</v>
      </c>
      <c r="AE29" s="3713">
        <f t="shared" ca="1" si="27"/>
        <v>0</v>
      </c>
      <c r="AF29" s="3713">
        <f t="shared" ca="1" si="27"/>
        <v>0</v>
      </c>
      <c r="AG29" s="3713">
        <f t="shared" ca="1" si="27"/>
        <v>0</v>
      </c>
      <c r="AH29" s="3713">
        <f t="shared" ca="1" si="27"/>
        <v>0</v>
      </c>
      <c r="AI29" s="3713">
        <f t="shared" ca="1" si="27"/>
        <v>0</v>
      </c>
      <c r="AJ29" s="3713">
        <f t="shared" ca="1" si="27"/>
        <v>0</v>
      </c>
      <c r="AK29" s="3713">
        <f t="shared" ca="1" si="27"/>
        <v>0</v>
      </c>
      <c r="AL29" s="3713">
        <f t="shared" ca="1" si="27"/>
        <v>0</v>
      </c>
      <c r="AM29" s="3713">
        <f t="shared" ca="1" si="27"/>
        <v>0</v>
      </c>
      <c r="AN29" s="3713">
        <f t="shared" ca="1" si="27"/>
        <v>0</v>
      </c>
      <c r="AO29" s="3713">
        <f t="shared" ca="1" si="27"/>
        <v>0</v>
      </c>
      <c r="AP29" s="3713">
        <f t="shared" ca="1" si="27"/>
        <v>0</v>
      </c>
      <c r="AQ29" s="3713">
        <f t="shared" ca="1" si="27"/>
        <v>0</v>
      </c>
      <c r="AR29" s="3713">
        <f t="shared" ca="1" si="27"/>
        <v>0</v>
      </c>
      <c r="AS29" s="3713">
        <f t="shared" ca="1" si="27"/>
        <v>0</v>
      </c>
      <c r="AT29" s="3713">
        <f t="shared" ca="1" si="27"/>
        <v>0</v>
      </c>
      <c r="AU29" s="3713">
        <f t="shared" ca="1" si="27"/>
        <v>0</v>
      </c>
      <c r="AV29" s="3713">
        <f t="shared" ref="AV29:CA29" ca="1" si="28">AU29-AU40</f>
        <v>0</v>
      </c>
      <c r="AW29" s="3713">
        <f t="shared" ca="1" si="28"/>
        <v>0</v>
      </c>
      <c r="AX29" s="3713">
        <f t="shared" ca="1" si="28"/>
        <v>0</v>
      </c>
      <c r="AY29" s="3713">
        <f t="shared" ca="1" si="28"/>
        <v>0</v>
      </c>
      <c r="AZ29" s="3713">
        <f t="shared" ca="1" si="28"/>
        <v>0</v>
      </c>
      <c r="BA29" s="3713">
        <f t="shared" ca="1" si="28"/>
        <v>0</v>
      </c>
      <c r="BB29" s="3713">
        <f t="shared" ca="1" si="28"/>
        <v>0</v>
      </c>
      <c r="BC29" s="3713">
        <f t="shared" ca="1" si="28"/>
        <v>0</v>
      </c>
      <c r="BD29" s="3713">
        <f t="shared" ca="1" si="28"/>
        <v>0</v>
      </c>
      <c r="BE29" s="3713">
        <f t="shared" ca="1" si="28"/>
        <v>0</v>
      </c>
      <c r="BF29" s="3713">
        <f t="shared" ca="1" si="28"/>
        <v>0</v>
      </c>
      <c r="BG29" s="3713">
        <f t="shared" ca="1" si="28"/>
        <v>0</v>
      </c>
      <c r="BH29" s="3713">
        <f t="shared" ca="1" si="28"/>
        <v>0</v>
      </c>
      <c r="BI29" s="3713">
        <f t="shared" ca="1" si="28"/>
        <v>0</v>
      </c>
      <c r="BJ29" s="3713">
        <f t="shared" ca="1" si="28"/>
        <v>0</v>
      </c>
      <c r="BK29" s="3713">
        <f t="shared" ca="1" si="28"/>
        <v>0</v>
      </c>
      <c r="BL29" s="3713">
        <f t="shared" ca="1" si="28"/>
        <v>0</v>
      </c>
      <c r="BM29" s="3713">
        <f t="shared" ca="1" si="28"/>
        <v>0</v>
      </c>
      <c r="BN29" s="3713">
        <f t="shared" ca="1" si="28"/>
        <v>0</v>
      </c>
      <c r="BO29" s="3713">
        <f t="shared" ca="1" si="28"/>
        <v>0</v>
      </c>
      <c r="BP29" s="3713">
        <f t="shared" ca="1" si="28"/>
        <v>0</v>
      </c>
      <c r="BQ29" s="3713">
        <f t="shared" ca="1" si="28"/>
        <v>0</v>
      </c>
      <c r="BR29" s="3713">
        <f t="shared" ca="1" si="28"/>
        <v>0</v>
      </c>
      <c r="BS29" s="3713">
        <f t="shared" ca="1" si="28"/>
        <v>0</v>
      </c>
      <c r="BT29" s="3713">
        <f t="shared" ca="1" si="28"/>
        <v>0</v>
      </c>
      <c r="BU29" s="3713">
        <f t="shared" ca="1" si="28"/>
        <v>0</v>
      </c>
      <c r="BV29" s="3713">
        <f t="shared" ca="1" si="28"/>
        <v>0</v>
      </c>
      <c r="BW29" s="3713">
        <f t="shared" ca="1" si="28"/>
        <v>0</v>
      </c>
      <c r="BX29" s="3713">
        <f t="shared" ca="1" si="28"/>
        <v>0</v>
      </c>
      <c r="BY29" s="3713">
        <f t="shared" ca="1" si="28"/>
        <v>0</v>
      </c>
      <c r="BZ29" s="3713">
        <f t="shared" ca="1" si="28"/>
        <v>0</v>
      </c>
      <c r="CA29" s="3713">
        <f t="shared" ca="1" si="28"/>
        <v>0</v>
      </c>
      <c r="CB29" s="3713">
        <f t="shared" ref="CB29:CH29" ca="1" si="29">CA29-CA40</f>
        <v>0</v>
      </c>
      <c r="CC29" s="3713">
        <f t="shared" ca="1" si="29"/>
        <v>0</v>
      </c>
      <c r="CD29" s="3713">
        <f t="shared" ca="1" si="29"/>
        <v>0</v>
      </c>
      <c r="CE29" s="3713">
        <f t="shared" ca="1" si="29"/>
        <v>0</v>
      </c>
      <c r="CF29" s="3713">
        <f t="shared" ca="1" si="29"/>
        <v>0</v>
      </c>
      <c r="CG29" s="3713">
        <f t="shared" ca="1" si="29"/>
        <v>0</v>
      </c>
      <c r="CH29" s="3713">
        <f t="shared" ca="1" si="29"/>
        <v>0</v>
      </c>
      <c r="CI29" s="92"/>
      <c r="CJ29" s="74"/>
      <c r="CK29" s="42"/>
      <c r="CL29" s="42"/>
    </row>
    <row r="30" spans="1:90" ht="15" hidden="1" customHeight="1" x14ac:dyDescent="0.25">
      <c r="A30" s="957">
        <f ca="1">IF($M$13=0,0,1)</f>
        <v>0</v>
      </c>
      <c r="B30" s="96"/>
      <c r="C30" s="96"/>
      <c r="D30" s="96"/>
      <c r="E30" s="96"/>
      <c r="F30" s="96"/>
      <c r="G30" s="96"/>
      <c r="H30" s="96"/>
      <c r="I30" s="174"/>
      <c r="J30" s="92"/>
      <c r="K30" s="92">
        <f>$K$13</f>
        <v>0</v>
      </c>
      <c r="L30" s="4227" t="e">
        <f t="shared" ca="1" si="8"/>
        <v>#VALUE!</v>
      </c>
      <c r="M30" s="4227"/>
      <c r="N30" s="4227"/>
      <c r="O30" s="3713">
        <f ca="1">IF(Income_RentRollSource="None - Manual Entry",0,dpIncome_TCat8_NRA_Vacant)</f>
        <v>0</v>
      </c>
      <c r="P30" s="3713">
        <f t="shared" ref="P30:AU30" ca="1" si="30">O30-O41</f>
        <v>0</v>
      </c>
      <c r="Q30" s="3713">
        <f t="shared" ca="1" si="30"/>
        <v>0</v>
      </c>
      <c r="R30" s="3713">
        <f t="shared" ca="1" si="30"/>
        <v>0</v>
      </c>
      <c r="S30" s="3713">
        <f t="shared" ca="1" si="30"/>
        <v>0</v>
      </c>
      <c r="T30" s="3713">
        <f t="shared" ca="1" si="30"/>
        <v>0</v>
      </c>
      <c r="U30" s="3713">
        <f t="shared" ca="1" si="30"/>
        <v>0</v>
      </c>
      <c r="V30" s="3713">
        <f t="shared" ca="1" si="30"/>
        <v>0</v>
      </c>
      <c r="W30" s="3713">
        <f t="shared" ca="1" si="30"/>
        <v>0</v>
      </c>
      <c r="X30" s="3713">
        <f t="shared" ca="1" si="30"/>
        <v>0</v>
      </c>
      <c r="Y30" s="3713">
        <f t="shared" ca="1" si="30"/>
        <v>0</v>
      </c>
      <c r="Z30" s="3713">
        <f t="shared" ca="1" si="30"/>
        <v>0</v>
      </c>
      <c r="AA30" s="3713">
        <f t="shared" ca="1" si="30"/>
        <v>0</v>
      </c>
      <c r="AB30" s="3713">
        <f t="shared" ca="1" si="30"/>
        <v>0</v>
      </c>
      <c r="AC30" s="3713">
        <f t="shared" ca="1" si="30"/>
        <v>0</v>
      </c>
      <c r="AD30" s="3713">
        <f t="shared" ca="1" si="30"/>
        <v>0</v>
      </c>
      <c r="AE30" s="3713">
        <f t="shared" ca="1" si="30"/>
        <v>0</v>
      </c>
      <c r="AF30" s="3713">
        <f t="shared" ca="1" si="30"/>
        <v>0</v>
      </c>
      <c r="AG30" s="3713">
        <f t="shared" ca="1" si="30"/>
        <v>0</v>
      </c>
      <c r="AH30" s="3713">
        <f t="shared" ca="1" si="30"/>
        <v>0</v>
      </c>
      <c r="AI30" s="3713">
        <f t="shared" ca="1" si="30"/>
        <v>0</v>
      </c>
      <c r="AJ30" s="3713">
        <f t="shared" ca="1" si="30"/>
        <v>0</v>
      </c>
      <c r="AK30" s="3713">
        <f t="shared" ca="1" si="30"/>
        <v>0</v>
      </c>
      <c r="AL30" s="3713">
        <f t="shared" ca="1" si="30"/>
        <v>0</v>
      </c>
      <c r="AM30" s="3713">
        <f t="shared" ca="1" si="30"/>
        <v>0</v>
      </c>
      <c r="AN30" s="3713">
        <f t="shared" ca="1" si="30"/>
        <v>0</v>
      </c>
      <c r="AO30" s="3713">
        <f t="shared" ca="1" si="30"/>
        <v>0</v>
      </c>
      <c r="AP30" s="3713">
        <f t="shared" ca="1" si="30"/>
        <v>0</v>
      </c>
      <c r="AQ30" s="3713">
        <f t="shared" ca="1" si="30"/>
        <v>0</v>
      </c>
      <c r="AR30" s="3713">
        <f t="shared" ca="1" si="30"/>
        <v>0</v>
      </c>
      <c r="AS30" s="3713">
        <f t="shared" ca="1" si="30"/>
        <v>0</v>
      </c>
      <c r="AT30" s="3713">
        <f t="shared" ca="1" si="30"/>
        <v>0</v>
      </c>
      <c r="AU30" s="3713">
        <f t="shared" ca="1" si="30"/>
        <v>0</v>
      </c>
      <c r="AV30" s="3713">
        <f t="shared" ref="AV30:CA30" ca="1" si="31">AU30-AU41</f>
        <v>0</v>
      </c>
      <c r="AW30" s="3713">
        <f t="shared" ca="1" si="31"/>
        <v>0</v>
      </c>
      <c r="AX30" s="3713">
        <f t="shared" ca="1" si="31"/>
        <v>0</v>
      </c>
      <c r="AY30" s="3713">
        <f t="shared" ca="1" si="31"/>
        <v>0</v>
      </c>
      <c r="AZ30" s="3713">
        <f t="shared" ca="1" si="31"/>
        <v>0</v>
      </c>
      <c r="BA30" s="3713">
        <f t="shared" ca="1" si="31"/>
        <v>0</v>
      </c>
      <c r="BB30" s="3713">
        <f t="shared" ca="1" si="31"/>
        <v>0</v>
      </c>
      <c r="BC30" s="3713">
        <f t="shared" ca="1" si="31"/>
        <v>0</v>
      </c>
      <c r="BD30" s="3713">
        <f t="shared" ca="1" si="31"/>
        <v>0</v>
      </c>
      <c r="BE30" s="3713">
        <f t="shared" ca="1" si="31"/>
        <v>0</v>
      </c>
      <c r="BF30" s="3713">
        <f t="shared" ca="1" si="31"/>
        <v>0</v>
      </c>
      <c r="BG30" s="3713">
        <f t="shared" ca="1" si="31"/>
        <v>0</v>
      </c>
      <c r="BH30" s="3713">
        <f t="shared" ca="1" si="31"/>
        <v>0</v>
      </c>
      <c r="BI30" s="3713">
        <f t="shared" ca="1" si="31"/>
        <v>0</v>
      </c>
      <c r="BJ30" s="3713">
        <f t="shared" ca="1" si="31"/>
        <v>0</v>
      </c>
      <c r="BK30" s="3713">
        <f t="shared" ca="1" si="31"/>
        <v>0</v>
      </c>
      <c r="BL30" s="3713">
        <f t="shared" ca="1" si="31"/>
        <v>0</v>
      </c>
      <c r="BM30" s="3713">
        <f t="shared" ca="1" si="31"/>
        <v>0</v>
      </c>
      <c r="BN30" s="3713">
        <f t="shared" ca="1" si="31"/>
        <v>0</v>
      </c>
      <c r="BO30" s="3713">
        <f t="shared" ca="1" si="31"/>
        <v>0</v>
      </c>
      <c r="BP30" s="3713">
        <f t="shared" ca="1" si="31"/>
        <v>0</v>
      </c>
      <c r="BQ30" s="3713">
        <f t="shared" ca="1" si="31"/>
        <v>0</v>
      </c>
      <c r="BR30" s="3713">
        <f t="shared" ca="1" si="31"/>
        <v>0</v>
      </c>
      <c r="BS30" s="3713">
        <f t="shared" ca="1" si="31"/>
        <v>0</v>
      </c>
      <c r="BT30" s="3713">
        <f t="shared" ca="1" si="31"/>
        <v>0</v>
      </c>
      <c r="BU30" s="3713">
        <f t="shared" ca="1" si="31"/>
        <v>0</v>
      </c>
      <c r="BV30" s="3713">
        <f t="shared" ca="1" si="31"/>
        <v>0</v>
      </c>
      <c r="BW30" s="3713">
        <f t="shared" ca="1" si="31"/>
        <v>0</v>
      </c>
      <c r="BX30" s="3713">
        <f t="shared" ca="1" si="31"/>
        <v>0</v>
      </c>
      <c r="BY30" s="3713">
        <f t="shared" ca="1" si="31"/>
        <v>0</v>
      </c>
      <c r="BZ30" s="3713">
        <f t="shared" ca="1" si="31"/>
        <v>0</v>
      </c>
      <c r="CA30" s="3713">
        <f t="shared" ca="1" si="31"/>
        <v>0</v>
      </c>
      <c r="CB30" s="3713">
        <f t="shared" ref="CB30:CH30" ca="1" si="32">CA30-CA41</f>
        <v>0</v>
      </c>
      <c r="CC30" s="3713">
        <f t="shared" ca="1" si="32"/>
        <v>0</v>
      </c>
      <c r="CD30" s="3713">
        <f t="shared" ca="1" si="32"/>
        <v>0</v>
      </c>
      <c r="CE30" s="3713">
        <f t="shared" ca="1" si="32"/>
        <v>0</v>
      </c>
      <c r="CF30" s="3713">
        <f t="shared" ca="1" si="32"/>
        <v>0</v>
      </c>
      <c r="CG30" s="3713">
        <f t="shared" ca="1" si="32"/>
        <v>0</v>
      </c>
      <c r="CH30" s="3713">
        <f t="shared" ca="1" si="32"/>
        <v>0</v>
      </c>
      <c r="CI30" s="92"/>
      <c r="CJ30" s="74"/>
      <c r="CK30" s="42"/>
      <c r="CL30" s="42"/>
    </row>
    <row r="31" spans="1:90" x14ac:dyDescent="0.25">
      <c r="A31" s="957">
        <v>1</v>
      </c>
      <c r="B31" s="96"/>
      <c r="C31" s="96"/>
      <c r="D31" s="96"/>
      <c r="E31" s="96"/>
      <c r="F31" s="96"/>
      <c r="G31" s="96"/>
      <c r="H31" s="96"/>
      <c r="I31" s="174"/>
      <c r="J31" s="92"/>
      <c r="K31" s="3472" t="s">
        <v>93</v>
      </c>
      <c r="L31" s="92"/>
      <c r="M31" s="3209"/>
      <c r="N31" s="92"/>
      <c r="O31" s="3719" t="e">
        <f ca="1">Subject_NRA-M16</f>
        <v>#VALUE!</v>
      </c>
      <c r="P31" s="3719" t="e">
        <f t="shared" ref="P31:AU31" ca="1" si="33">O31-O42</f>
        <v>#VALUE!</v>
      </c>
      <c r="Q31" s="3719" t="e">
        <f t="shared" ca="1" si="33"/>
        <v>#VALUE!</v>
      </c>
      <c r="R31" s="3719" t="e">
        <f t="shared" ca="1" si="33"/>
        <v>#VALUE!</v>
      </c>
      <c r="S31" s="3719" t="e">
        <f t="shared" ca="1" si="33"/>
        <v>#VALUE!</v>
      </c>
      <c r="T31" s="3719" t="e">
        <f t="shared" ca="1" si="33"/>
        <v>#VALUE!</v>
      </c>
      <c r="U31" s="3719" t="e">
        <f t="shared" ca="1" si="33"/>
        <v>#VALUE!</v>
      </c>
      <c r="V31" s="3719" t="e">
        <f t="shared" ca="1" si="33"/>
        <v>#VALUE!</v>
      </c>
      <c r="W31" s="3719" t="e">
        <f t="shared" ca="1" si="33"/>
        <v>#VALUE!</v>
      </c>
      <c r="X31" s="3719" t="e">
        <f t="shared" ca="1" si="33"/>
        <v>#VALUE!</v>
      </c>
      <c r="Y31" s="3719" t="e">
        <f t="shared" ca="1" si="33"/>
        <v>#VALUE!</v>
      </c>
      <c r="Z31" s="3719" t="e">
        <f t="shared" ca="1" si="33"/>
        <v>#VALUE!</v>
      </c>
      <c r="AA31" s="3719" t="e">
        <f t="shared" ca="1" si="33"/>
        <v>#VALUE!</v>
      </c>
      <c r="AB31" s="3719" t="e">
        <f t="shared" ca="1" si="33"/>
        <v>#VALUE!</v>
      </c>
      <c r="AC31" s="3719" t="e">
        <f t="shared" ca="1" si="33"/>
        <v>#VALUE!</v>
      </c>
      <c r="AD31" s="3719" t="e">
        <f t="shared" ca="1" si="33"/>
        <v>#VALUE!</v>
      </c>
      <c r="AE31" s="3719" t="e">
        <f t="shared" ca="1" si="33"/>
        <v>#VALUE!</v>
      </c>
      <c r="AF31" s="3719" t="e">
        <f t="shared" ca="1" si="33"/>
        <v>#VALUE!</v>
      </c>
      <c r="AG31" s="3719" t="e">
        <f t="shared" ca="1" si="33"/>
        <v>#VALUE!</v>
      </c>
      <c r="AH31" s="3719" t="e">
        <f t="shared" ca="1" si="33"/>
        <v>#VALUE!</v>
      </c>
      <c r="AI31" s="3719" t="e">
        <f t="shared" ca="1" si="33"/>
        <v>#VALUE!</v>
      </c>
      <c r="AJ31" s="3719" t="e">
        <f t="shared" ca="1" si="33"/>
        <v>#VALUE!</v>
      </c>
      <c r="AK31" s="3719" t="e">
        <f t="shared" ca="1" si="33"/>
        <v>#VALUE!</v>
      </c>
      <c r="AL31" s="3719" t="e">
        <f t="shared" ca="1" si="33"/>
        <v>#VALUE!</v>
      </c>
      <c r="AM31" s="3719" t="e">
        <f t="shared" ca="1" si="33"/>
        <v>#VALUE!</v>
      </c>
      <c r="AN31" s="3719" t="e">
        <f t="shared" ca="1" si="33"/>
        <v>#VALUE!</v>
      </c>
      <c r="AO31" s="3719" t="e">
        <f t="shared" ca="1" si="33"/>
        <v>#VALUE!</v>
      </c>
      <c r="AP31" s="3719" t="e">
        <f t="shared" ca="1" si="33"/>
        <v>#VALUE!</v>
      </c>
      <c r="AQ31" s="3719" t="e">
        <f t="shared" ca="1" si="33"/>
        <v>#VALUE!</v>
      </c>
      <c r="AR31" s="3719" t="e">
        <f t="shared" ca="1" si="33"/>
        <v>#VALUE!</v>
      </c>
      <c r="AS31" s="3719" t="e">
        <f t="shared" ca="1" si="33"/>
        <v>#VALUE!</v>
      </c>
      <c r="AT31" s="3719" t="e">
        <f t="shared" ca="1" si="33"/>
        <v>#VALUE!</v>
      </c>
      <c r="AU31" s="3719" t="e">
        <f t="shared" ca="1" si="33"/>
        <v>#VALUE!</v>
      </c>
      <c r="AV31" s="3719" t="e">
        <f t="shared" ref="AV31:CA31" ca="1" si="34">AU31-AU42</f>
        <v>#VALUE!</v>
      </c>
      <c r="AW31" s="3719" t="e">
        <f t="shared" ca="1" si="34"/>
        <v>#VALUE!</v>
      </c>
      <c r="AX31" s="3719" t="e">
        <f t="shared" ca="1" si="34"/>
        <v>#VALUE!</v>
      </c>
      <c r="AY31" s="3719" t="e">
        <f t="shared" ca="1" si="34"/>
        <v>#VALUE!</v>
      </c>
      <c r="AZ31" s="3719" t="e">
        <f t="shared" ca="1" si="34"/>
        <v>#VALUE!</v>
      </c>
      <c r="BA31" s="3719" t="e">
        <f t="shared" ca="1" si="34"/>
        <v>#VALUE!</v>
      </c>
      <c r="BB31" s="3719" t="e">
        <f t="shared" ca="1" si="34"/>
        <v>#VALUE!</v>
      </c>
      <c r="BC31" s="3719" t="e">
        <f t="shared" ca="1" si="34"/>
        <v>#VALUE!</v>
      </c>
      <c r="BD31" s="3719" t="e">
        <f t="shared" ca="1" si="34"/>
        <v>#VALUE!</v>
      </c>
      <c r="BE31" s="3719" t="e">
        <f t="shared" ca="1" si="34"/>
        <v>#VALUE!</v>
      </c>
      <c r="BF31" s="3719" t="e">
        <f t="shared" ca="1" si="34"/>
        <v>#VALUE!</v>
      </c>
      <c r="BG31" s="3719" t="e">
        <f t="shared" ca="1" si="34"/>
        <v>#VALUE!</v>
      </c>
      <c r="BH31" s="3719" t="e">
        <f t="shared" ca="1" si="34"/>
        <v>#VALUE!</v>
      </c>
      <c r="BI31" s="3719" t="e">
        <f t="shared" ca="1" si="34"/>
        <v>#VALUE!</v>
      </c>
      <c r="BJ31" s="3719" t="e">
        <f t="shared" ca="1" si="34"/>
        <v>#VALUE!</v>
      </c>
      <c r="BK31" s="3719" t="e">
        <f t="shared" ca="1" si="34"/>
        <v>#VALUE!</v>
      </c>
      <c r="BL31" s="3719" t="e">
        <f t="shared" ca="1" si="34"/>
        <v>#VALUE!</v>
      </c>
      <c r="BM31" s="3719" t="e">
        <f t="shared" ca="1" si="34"/>
        <v>#VALUE!</v>
      </c>
      <c r="BN31" s="3719" t="e">
        <f t="shared" ca="1" si="34"/>
        <v>#VALUE!</v>
      </c>
      <c r="BO31" s="3719" t="e">
        <f t="shared" ca="1" si="34"/>
        <v>#VALUE!</v>
      </c>
      <c r="BP31" s="3719" t="e">
        <f t="shared" ca="1" si="34"/>
        <v>#VALUE!</v>
      </c>
      <c r="BQ31" s="3719" t="e">
        <f t="shared" ca="1" si="34"/>
        <v>#VALUE!</v>
      </c>
      <c r="BR31" s="3719" t="e">
        <f t="shared" ca="1" si="34"/>
        <v>#VALUE!</v>
      </c>
      <c r="BS31" s="3719" t="e">
        <f t="shared" ca="1" si="34"/>
        <v>#VALUE!</v>
      </c>
      <c r="BT31" s="3719" t="e">
        <f t="shared" ca="1" si="34"/>
        <v>#VALUE!</v>
      </c>
      <c r="BU31" s="3719" t="e">
        <f t="shared" ca="1" si="34"/>
        <v>#VALUE!</v>
      </c>
      <c r="BV31" s="3719" t="e">
        <f t="shared" ca="1" si="34"/>
        <v>#VALUE!</v>
      </c>
      <c r="BW31" s="3719" t="e">
        <f t="shared" ca="1" si="34"/>
        <v>#VALUE!</v>
      </c>
      <c r="BX31" s="3719" t="e">
        <f t="shared" ca="1" si="34"/>
        <v>#VALUE!</v>
      </c>
      <c r="BY31" s="3719" t="e">
        <f t="shared" ca="1" si="34"/>
        <v>#VALUE!</v>
      </c>
      <c r="BZ31" s="3719" t="e">
        <f t="shared" ca="1" si="34"/>
        <v>#VALUE!</v>
      </c>
      <c r="CA31" s="3719" t="e">
        <f t="shared" ca="1" si="34"/>
        <v>#VALUE!</v>
      </c>
      <c r="CB31" s="3719" t="e">
        <f t="shared" ref="CB31:CH31" ca="1" si="35">CA31-CA42</f>
        <v>#VALUE!</v>
      </c>
      <c r="CC31" s="3719" t="e">
        <f t="shared" ca="1" si="35"/>
        <v>#VALUE!</v>
      </c>
      <c r="CD31" s="3719" t="e">
        <f t="shared" ca="1" si="35"/>
        <v>#VALUE!</v>
      </c>
      <c r="CE31" s="3719" t="e">
        <f t="shared" ca="1" si="35"/>
        <v>#VALUE!</v>
      </c>
      <c r="CF31" s="3719" t="e">
        <f t="shared" ca="1" si="35"/>
        <v>#VALUE!</v>
      </c>
      <c r="CG31" s="3719" t="e">
        <f t="shared" ca="1" si="35"/>
        <v>#VALUE!</v>
      </c>
      <c r="CH31" s="3719" t="e">
        <f t="shared" ca="1" si="35"/>
        <v>#VALUE!</v>
      </c>
      <c r="CI31" s="92"/>
      <c r="CJ31" s="74"/>
      <c r="CK31" s="42"/>
      <c r="CL31" s="42"/>
    </row>
    <row r="32" spans="1:90" ht="9.9499999999999993" customHeight="1" x14ac:dyDescent="0.25">
      <c r="A32" s="957">
        <v>1</v>
      </c>
      <c r="B32" s="96"/>
      <c r="C32" s="96"/>
      <c r="D32" s="96"/>
      <c r="E32" s="96"/>
      <c r="F32" s="96"/>
      <c r="G32" s="96"/>
      <c r="H32" s="96"/>
      <c r="I32" s="174"/>
      <c r="J32" s="92"/>
      <c r="K32" s="92"/>
      <c r="L32" s="92"/>
      <c r="M32" s="92"/>
      <c r="N32" s="92"/>
      <c r="O32" s="3713"/>
      <c r="P32" s="3713"/>
      <c r="Q32" s="3713"/>
      <c r="R32" s="3713"/>
      <c r="S32" s="3713"/>
      <c r="T32" s="3713"/>
      <c r="U32" s="3713"/>
      <c r="V32" s="3713"/>
      <c r="W32" s="3713"/>
      <c r="X32" s="3713"/>
      <c r="Y32" s="3713"/>
      <c r="Z32" s="3713"/>
      <c r="AA32" s="3713"/>
      <c r="AB32" s="3713"/>
      <c r="AC32" s="3713"/>
      <c r="AD32" s="3713"/>
      <c r="AE32" s="3713"/>
      <c r="AF32" s="3713"/>
      <c r="AG32" s="3713"/>
      <c r="AH32" s="3713"/>
      <c r="AI32" s="3713"/>
      <c r="AJ32" s="3713"/>
      <c r="AK32" s="3713"/>
      <c r="AL32" s="3713"/>
      <c r="AM32" s="3713"/>
      <c r="AN32" s="3713"/>
      <c r="AO32" s="3713"/>
      <c r="AP32" s="3713"/>
      <c r="AQ32" s="3713"/>
      <c r="AR32" s="3713"/>
      <c r="AS32" s="3713"/>
      <c r="AT32" s="3713"/>
      <c r="AU32" s="3713"/>
      <c r="AV32" s="3713"/>
      <c r="AW32" s="3713"/>
      <c r="AX32" s="3713"/>
      <c r="AY32" s="3713"/>
      <c r="AZ32" s="3713"/>
      <c r="BA32" s="3713"/>
      <c r="BB32" s="3713"/>
      <c r="BC32" s="3713"/>
      <c r="BD32" s="3713"/>
      <c r="BE32" s="3713"/>
      <c r="BF32" s="3713"/>
      <c r="BG32" s="3713"/>
      <c r="BH32" s="3713"/>
      <c r="BI32" s="3713"/>
      <c r="BJ32" s="3713"/>
      <c r="BK32" s="3713"/>
      <c r="BL32" s="3713"/>
      <c r="BM32" s="3713"/>
      <c r="BN32" s="3713"/>
      <c r="BO32" s="3713"/>
      <c r="BP32" s="3713"/>
      <c r="BQ32" s="3713"/>
      <c r="BR32" s="3713"/>
      <c r="BS32" s="3713"/>
      <c r="BT32" s="3713"/>
      <c r="BU32" s="3713"/>
      <c r="BV32" s="3713"/>
      <c r="BW32" s="3713"/>
      <c r="BX32" s="3713"/>
      <c r="BY32" s="3713"/>
      <c r="BZ32" s="3713"/>
      <c r="CA32" s="3713"/>
      <c r="CB32" s="3713"/>
      <c r="CC32" s="3713"/>
      <c r="CD32" s="3713"/>
      <c r="CE32" s="3713"/>
      <c r="CF32" s="3713"/>
      <c r="CG32" s="3713"/>
      <c r="CH32" s="3713"/>
      <c r="CI32" s="92"/>
      <c r="CJ32" s="74"/>
      <c r="CK32" s="42"/>
      <c r="CL32" s="42"/>
    </row>
    <row r="33" spans="1:90" x14ac:dyDescent="0.25">
      <c r="A33" s="957">
        <v>1</v>
      </c>
      <c r="B33" s="96"/>
      <c r="C33" s="96"/>
      <c r="D33" s="96"/>
      <c r="E33" s="96"/>
      <c r="F33" s="96"/>
      <c r="G33" s="96"/>
      <c r="H33" s="96"/>
      <c r="I33" s="174"/>
      <c r="J33" s="92"/>
      <c r="K33" s="3716" t="s">
        <v>130</v>
      </c>
      <c r="L33" s="3716"/>
      <c r="M33" s="3716"/>
      <c r="N33" s="3716"/>
      <c r="O33" s="3713"/>
      <c r="P33" s="3345"/>
      <c r="Q33" s="3345"/>
      <c r="R33" s="3345"/>
      <c r="S33" s="3345"/>
      <c r="T33" s="3345"/>
      <c r="U33" s="3345"/>
      <c r="V33" s="3345"/>
      <c r="W33" s="3345"/>
      <c r="X33" s="3345"/>
      <c r="Y33" s="3345"/>
      <c r="Z33" s="3345"/>
      <c r="AA33" s="3345"/>
      <c r="AB33" s="3345"/>
      <c r="AC33" s="3345"/>
      <c r="AD33" s="3345"/>
      <c r="AE33" s="3345"/>
      <c r="AF33" s="3345"/>
      <c r="AG33" s="3345"/>
      <c r="AH33" s="3345"/>
      <c r="AI33" s="3345"/>
      <c r="AJ33" s="3345"/>
      <c r="AK33" s="3345"/>
      <c r="AL33" s="3345"/>
      <c r="AM33" s="3345"/>
      <c r="AN33" s="3345"/>
      <c r="AO33" s="3345"/>
      <c r="AP33" s="3345"/>
      <c r="AQ33" s="3345"/>
      <c r="AR33" s="3345"/>
      <c r="AS33" s="3345"/>
      <c r="AT33" s="3345"/>
      <c r="AU33" s="3345"/>
      <c r="AV33" s="3345"/>
      <c r="AW33" s="3345"/>
      <c r="AX33" s="3345"/>
      <c r="AY33" s="3345"/>
      <c r="AZ33" s="3345"/>
      <c r="BA33" s="3345"/>
      <c r="BB33" s="3345"/>
      <c r="BC33" s="3345"/>
      <c r="BD33" s="3345"/>
      <c r="BE33" s="3345"/>
      <c r="BF33" s="3345"/>
      <c r="BG33" s="3345"/>
      <c r="BH33" s="3345"/>
      <c r="BI33" s="3345"/>
      <c r="BJ33" s="3345"/>
      <c r="BK33" s="3345"/>
      <c r="BL33" s="3345"/>
      <c r="BM33" s="3345"/>
      <c r="BN33" s="3345"/>
      <c r="BO33" s="3345"/>
      <c r="BP33" s="3345"/>
      <c r="BQ33" s="3345"/>
      <c r="BR33" s="3345"/>
      <c r="BS33" s="3345"/>
      <c r="BT33" s="3345"/>
      <c r="BU33" s="3345"/>
      <c r="BV33" s="3345"/>
      <c r="BW33" s="3345"/>
      <c r="BX33" s="3345"/>
      <c r="BY33" s="3345"/>
      <c r="BZ33" s="3345"/>
      <c r="CA33" s="3345"/>
      <c r="CB33" s="3345"/>
      <c r="CC33" s="3345"/>
      <c r="CD33" s="3345"/>
      <c r="CE33" s="3345"/>
      <c r="CF33" s="3345"/>
      <c r="CG33" s="3345"/>
      <c r="CH33" s="3345"/>
      <c r="CI33" s="92"/>
      <c r="CJ33" s="74"/>
      <c r="CK33" s="42"/>
      <c r="CL33" s="42"/>
    </row>
    <row r="34" spans="1:90" hidden="1" x14ac:dyDescent="0.25">
      <c r="A34" s="957">
        <f ca="1">IF($M$6=0,0,1)</f>
        <v>0</v>
      </c>
      <c r="B34" s="96"/>
      <c r="C34" s="96"/>
      <c r="D34" s="96"/>
      <c r="E34" s="96"/>
      <c r="F34" s="96"/>
      <c r="G34" s="96"/>
      <c r="H34" s="96"/>
      <c r="I34" s="174"/>
      <c r="J34" s="92"/>
      <c r="K34" s="92" t="str">
        <f>$K$6</f>
        <v>Industrial Office/Warehouse</v>
      </c>
      <c r="L34" s="3720"/>
      <c r="M34" s="3716"/>
      <c r="N34" s="3716"/>
      <c r="O34" s="3713">
        <f t="shared" ref="O34:O41" ca="1" si="36">IF(IF(O23&gt;0,(($M$17)-($M$14-O$31))*$L23,0)&gt;0,IF(O23&gt;0,(($M$17)-($M$14-O$31))*$L23,0)/dpValue_LUD_Period,0)</f>
        <v>0</v>
      </c>
      <c r="P34" s="3713">
        <f t="shared" ref="P34:AU34" ca="1" si="37">IF(IF(P23&gt;0,(($M$17)-($M$14-P$31))*$L23,0)&gt;0,O34,0)</f>
        <v>0</v>
      </c>
      <c r="Q34" s="3713">
        <f t="shared" ca="1" si="37"/>
        <v>0</v>
      </c>
      <c r="R34" s="3713">
        <f t="shared" ca="1" si="37"/>
        <v>0</v>
      </c>
      <c r="S34" s="3713">
        <f t="shared" ca="1" si="37"/>
        <v>0</v>
      </c>
      <c r="T34" s="3713">
        <f t="shared" ca="1" si="37"/>
        <v>0</v>
      </c>
      <c r="U34" s="3713">
        <f t="shared" ca="1" si="37"/>
        <v>0</v>
      </c>
      <c r="V34" s="3713">
        <f t="shared" ca="1" si="37"/>
        <v>0</v>
      </c>
      <c r="W34" s="3713">
        <f t="shared" ca="1" si="37"/>
        <v>0</v>
      </c>
      <c r="X34" s="3713">
        <f t="shared" ca="1" si="37"/>
        <v>0</v>
      </c>
      <c r="Y34" s="3713">
        <f t="shared" ca="1" si="37"/>
        <v>0</v>
      </c>
      <c r="Z34" s="3713">
        <f t="shared" ca="1" si="37"/>
        <v>0</v>
      </c>
      <c r="AA34" s="3713">
        <f t="shared" ca="1" si="37"/>
        <v>0</v>
      </c>
      <c r="AB34" s="3713">
        <f t="shared" ca="1" si="37"/>
        <v>0</v>
      </c>
      <c r="AC34" s="3713">
        <f t="shared" ca="1" si="37"/>
        <v>0</v>
      </c>
      <c r="AD34" s="3713">
        <f t="shared" ca="1" si="37"/>
        <v>0</v>
      </c>
      <c r="AE34" s="3713">
        <f t="shared" ca="1" si="37"/>
        <v>0</v>
      </c>
      <c r="AF34" s="3713">
        <f t="shared" ca="1" si="37"/>
        <v>0</v>
      </c>
      <c r="AG34" s="3713">
        <f t="shared" ca="1" si="37"/>
        <v>0</v>
      </c>
      <c r="AH34" s="3713">
        <f t="shared" ca="1" si="37"/>
        <v>0</v>
      </c>
      <c r="AI34" s="3713">
        <f t="shared" ca="1" si="37"/>
        <v>0</v>
      </c>
      <c r="AJ34" s="3713">
        <f t="shared" ca="1" si="37"/>
        <v>0</v>
      </c>
      <c r="AK34" s="3713">
        <f t="shared" ca="1" si="37"/>
        <v>0</v>
      </c>
      <c r="AL34" s="3713">
        <f t="shared" ca="1" si="37"/>
        <v>0</v>
      </c>
      <c r="AM34" s="3713">
        <f t="shared" ca="1" si="37"/>
        <v>0</v>
      </c>
      <c r="AN34" s="3713">
        <f t="shared" ca="1" si="37"/>
        <v>0</v>
      </c>
      <c r="AO34" s="3713">
        <f t="shared" ca="1" si="37"/>
        <v>0</v>
      </c>
      <c r="AP34" s="3713">
        <f t="shared" ca="1" si="37"/>
        <v>0</v>
      </c>
      <c r="AQ34" s="3713">
        <f t="shared" ca="1" si="37"/>
        <v>0</v>
      </c>
      <c r="AR34" s="3713">
        <f t="shared" ca="1" si="37"/>
        <v>0</v>
      </c>
      <c r="AS34" s="3713">
        <f t="shared" ca="1" si="37"/>
        <v>0</v>
      </c>
      <c r="AT34" s="3713">
        <f t="shared" ca="1" si="37"/>
        <v>0</v>
      </c>
      <c r="AU34" s="3713">
        <f t="shared" ca="1" si="37"/>
        <v>0</v>
      </c>
      <c r="AV34" s="3713">
        <f t="shared" ref="AV34:CA34" ca="1" si="38">IF(IF(AV23&gt;0,(($M$17)-($M$14-AV$31))*$L23,0)&gt;0,AU34,0)</f>
        <v>0</v>
      </c>
      <c r="AW34" s="3713">
        <f t="shared" ca="1" si="38"/>
        <v>0</v>
      </c>
      <c r="AX34" s="3713">
        <f t="shared" ca="1" si="38"/>
        <v>0</v>
      </c>
      <c r="AY34" s="3713">
        <f t="shared" ca="1" si="38"/>
        <v>0</v>
      </c>
      <c r="AZ34" s="3713">
        <f t="shared" ca="1" si="38"/>
        <v>0</v>
      </c>
      <c r="BA34" s="3713">
        <f t="shared" ca="1" si="38"/>
        <v>0</v>
      </c>
      <c r="BB34" s="3713">
        <f t="shared" ca="1" si="38"/>
        <v>0</v>
      </c>
      <c r="BC34" s="3713">
        <f t="shared" ca="1" si="38"/>
        <v>0</v>
      </c>
      <c r="BD34" s="3713">
        <f t="shared" ca="1" si="38"/>
        <v>0</v>
      </c>
      <c r="BE34" s="3713">
        <f t="shared" ca="1" si="38"/>
        <v>0</v>
      </c>
      <c r="BF34" s="3713">
        <f t="shared" ca="1" si="38"/>
        <v>0</v>
      </c>
      <c r="BG34" s="3713">
        <f t="shared" ca="1" si="38"/>
        <v>0</v>
      </c>
      <c r="BH34" s="3713">
        <f t="shared" ca="1" si="38"/>
        <v>0</v>
      </c>
      <c r="BI34" s="3713">
        <f t="shared" ca="1" si="38"/>
        <v>0</v>
      </c>
      <c r="BJ34" s="3713">
        <f t="shared" ca="1" si="38"/>
        <v>0</v>
      </c>
      <c r="BK34" s="3713">
        <f t="shared" ca="1" si="38"/>
        <v>0</v>
      </c>
      <c r="BL34" s="3713">
        <f t="shared" ca="1" si="38"/>
        <v>0</v>
      </c>
      <c r="BM34" s="3713">
        <f t="shared" ca="1" si="38"/>
        <v>0</v>
      </c>
      <c r="BN34" s="3713">
        <f t="shared" ca="1" si="38"/>
        <v>0</v>
      </c>
      <c r="BO34" s="3713">
        <f t="shared" ca="1" si="38"/>
        <v>0</v>
      </c>
      <c r="BP34" s="3713">
        <f t="shared" ca="1" si="38"/>
        <v>0</v>
      </c>
      <c r="BQ34" s="3713">
        <f t="shared" ca="1" si="38"/>
        <v>0</v>
      </c>
      <c r="BR34" s="3713">
        <f t="shared" ca="1" si="38"/>
        <v>0</v>
      </c>
      <c r="BS34" s="3713">
        <f t="shared" ca="1" si="38"/>
        <v>0</v>
      </c>
      <c r="BT34" s="3713">
        <f t="shared" ca="1" si="38"/>
        <v>0</v>
      </c>
      <c r="BU34" s="3713">
        <f t="shared" ca="1" si="38"/>
        <v>0</v>
      </c>
      <c r="BV34" s="3713">
        <f t="shared" ca="1" si="38"/>
        <v>0</v>
      </c>
      <c r="BW34" s="3713">
        <f t="shared" ca="1" si="38"/>
        <v>0</v>
      </c>
      <c r="BX34" s="3713">
        <f t="shared" ca="1" si="38"/>
        <v>0</v>
      </c>
      <c r="BY34" s="3713">
        <f t="shared" ca="1" si="38"/>
        <v>0</v>
      </c>
      <c r="BZ34" s="3713">
        <f t="shared" ca="1" si="38"/>
        <v>0</v>
      </c>
      <c r="CA34" s="3713">
        <f t="shared" ca="1" si="38"/>
        <v>0</v>
      </c>
      <c r="CB34" s="3713">
        <f t="shared" ref="CB34:CH34" ca="1" si="39">IF(IF(CB23&gt;0,(($M$17)-($M$14-CB$31))*$L23,0)&gt;0,CA34,0)</f>
        <v>0</v>
      </c>
      <c r="CC34" s="3713">
        <f t="shared" ca="1" si="39"/>
        <v>0</v>
      </c>
      <c r="CD34" s="3713">
        <f t="shared" ca="1" si="39"/>
        <v>0</v>
      </c>
      <c r="CE34" s="3713">
        <f t="shared" ca="1" si="39"/>
        <v>0</v>
      </c>
      <c r="CF34" s="3713">
        <f t="shared" ca="1" si="39"/>
        <v>0</v>
      </c>
      <c r="CG34" s="3713">
        <f t="shared" ca="1" si="39"/>
        <v>0</v>
      </c>
      <c r="CH34" s="3713">
        <f t="shared" ca="1" si="39"/>
        <v>0</v>
      </c>
      <c r="CI34" s="92"/>
      <c r="CJ34" s="74"/>
      <c r="CK34" s="42"/>
      <c r="CL34" s="42"/>
    </row>
    <row r="35" spans="1:90" hidden="1" x14ac:dyDescent="0.25">
      <c r="A35" s="957">
        <f ca="1">IF($M$7=0,0,1)</f>
        <v>0</v>
      </c>
      <c r="B35" s="96"/>
      <c r="C35" s="96"/>
      <c r="D35" s="96"/>
      <c r="E35" s="96"/>
      <c r="F35" s="96"/>
      <c r="G35" s="96"/>
      <c r="H35" s="96"/>
      <c r="I35" s="174"/>
      <c r="J35" s="92"/>
      <c r="K35" s="92" t="str">
        <f>$K$7</f>
        <v>Land Storage</v>
      </c>
      <c r="L35" s="3720"/>
      <c r="M35" s="3716"/>
      <c r="N35" s="3716"/>
      <c r="O35" s="3713">
        <f t="shared" ca="1" si="36"/>
        <v>0</v>
      </c>
      <c r="P35" s="3713">
        <f t="shared" ref="P35:AU35" ca="1" si="40">IF(IF(P24&gt;0,(($M$17)-($M$14-P$31))*$L24,0)&gt;0,O35,0)</f>
        <v>0</v>
      </c>
      <c r="Q35" s="3713">
        <f t="shared" ca="1" si="40"/>
        <v>0</v>
      </c>
      <c r="R35" s="3713">
        <f t="shared" ca="1" si="40"/>
        <v>0</v>
      </c>
      <c r="S35" s="3713">
        <f t="shared" ca="1" si="40"/>
        <v>0</v>
      </c>
      <c r="T35" s="3713">
        <f t="shared" ca="1" si="40"/>
        <v>0</v>
      </c>
      <c r="U35" s="3713">
        <f t="shared" ca="1" si="40"/>
        <v>0</v>
      </c>
      <c r="V35" s="3713">
        <f t="shared" ca="1" si="40"/>
        <v>0</v>
      </c>
      <c r="W35" s="3713">
        <f t="shared" ca="1" si="40"/>
        <v>0</v>
      </c>
      <c r="X35" s="3713">
        <f t="shared" ca="1" si="40"/>
        <v>0</v>
      </c>
      <c r="Y35" s="3713">
        <f t="shared" ca="1" si="40"/>
        <v>0</v>
      </c>
      <c r="Z35" s="3713">
        <f t="shared" ca="1" si="40"/>
        <v>0</v>
      </c>
      <c r="AA35" s="3713">
        <f t="shared" ca="1" si="40"/>
        <v>0</v>
      </c>
      <c r="AB35" s="3713">
        <f t="shared" ca="1" si="40"/>
        <v>0</v>
      </c>
      <c r="AC35" s="3713">
        <f t="shared" ca="1" si="40"/>
        <v>0</v>
      </c>
      <c r="AD35" s="3713">
        <f t="shared" ca="1" si="40"/>
        <v>0</v>
      </c>
      <c r="AE35" s="3713">
        <f t="shared" ca="1" si="40"/>
        <v>0</v>
      </c>
      <c r="AF35" s="3713">
        <f t="shared" ca="1" si="40"/>
        <v>0</v>
      </c>
      <c r="AG35" s="3713">
        <f t="shared" ca="1" si="40"/>
        <v>0</v>
      </c>
      <c r="AH35" s="3713">
        <f t="shared" ca="1" si="40"/>
        <v>0</v>
      </c>
      <c r="AI35" s="3713">
        <f t="shared" ca="1" si="40"/>
        <v>0</v>
      </c>
      <c r="AJ35" s="3713">
        <f t="shared" ca="1" si="40"/>
        <v>0</v>
      </c>
      <c r="AK35" s="3713">
        <f t="shared" ca="1" si="40"/>
        <v>0</v>
      </c>
      <c r="AL35" s="3713">
        <f t="shared" ca="1" si="40"/>
        <v>0</v>
      </c>
      <c r="AM35" s="3713">
        <f t="shared" ca="1" si="40"/>
        <v>0</v>
      </c>
      <c r="AN35" s="3713">
        <f t="shared" ca="1" si="40"/>
        <v>0</v>
      </c>
      <c r="AO35" s="3713">
        <f t="shared" ca="1" si="40"/>
        <v>0</v>
      </c>
      <c r="AP35" s="3713">
        <f t="shared" ca="1" si="40"/>
        <v>0</v>
      </c>
      <c r="AQ35" s="3713">
        <f t="shared" ca="1" si="40"/>
        <v>0</v>
      </c>
      <c r="AR35" s="3713">
        <f t="shared" ca="1" si="40"/>
        <v>0</v>
      </c>
      <c r="AS35" s="3713">
        <f t="shared" ca="1" si="40"/>
        <v>0</v>
      </c>
      <c r="AT35" s="3713">
        <f t="shared" ca="1" si="40"/>
        <v>0</v>
      </c>
      <c r="AU35" s="3713">
        <f t="shared" ca="1" si="40"/>
        <v>0</v>
      </c>
      <c r="AV35" s="3713">
        <f t="shared" ref="AV35:CA35" ca="1" si="41">IF(IF(AV24&gt;0,(($M$17)-($M$14-AV$31))*$L24,0)&gt;0,AU35,0)</f>
        <v>0</v>
      </c>
      <c r="AW35" s="3713">
        <f t="shared" ca="1" si="41"/>
        <v>0</v>
      </c>
      <c r="AX35" s="3713">
        <f t="shared" ca="1" si="41"/>
        <v>0</v>
      </c>
      <c r="AY35" s="3713">
        <f t="shared" ca="1" si="41"/>
        <v>0</v>
      </c>
      <c r="AZ35" s="3713">
        <f t="shared" ca="1" si="41"/>
        <v>0</v>
      </c>
      <c r="BA35" s="3713">
        <f t="shared" ca="1" si="41"/>
        <v>0</v>
      </c>
      <c r="BB35" s="3713">
        <f t="shared" ca="1" si="41"/>
        <v>0</v>
      </c>
      <c r="BC35" s="3713">
        <f t="shared" ca="1" si="41"/>
        <v>0</v>
      </c>
      <c r="BD35" s="3713">
        <f t="shared" ca="1" si="41"/>
        <v>0</v>
      </c>
      <c r="BE35" s="3713">
        <f t="shared" ca="1" si="41"/>
        <v>0</v>
      </c>
      <c r="BF35" s="3713">
        <f t="shared" ca="1" si="41"/>
        <v>0</v>
      </c>
      <c r="BG35" s="3713">
        <f t="shared" ca="1" si="41"/>
        <v>0</v>
      </c>
      <c r="BH35" s="3713">
        <f t="shared" ca="1" si="41"/>
        <v>0</v>
      </c>
      <c r="BI35" s="3713">
        <f t="shared" ca="1" si="41"/>
        <v>0</v>
      </c>
      <c r="BJ35" s="3713">
        <f t="shared" ca="1" si="41"/>
        <v>0</v>
      </c>
      <c r="BK35" s="3713">
        <f t="shared" ca="1" si="41"/>
        <v>0</v>
      </c>
      <c r="BL35" s="3713">
        <f t="shared" ca="1" si="41"/>
        <v>0</v>
      </c>
      <c r="BM35" s="3713">
        <f t="shared" ca="1" si="41"/>
        <v>0</v>
      </c>
      <c r="BN35" s="3713">
        <f t="shared" ca="1" si="41"/>
        <v>0</v>
      </c>
      <c r="BO35" s="3713">
        <f t="shared" ca="1" si="41"/>
        <v>0</v>
      </c>
      <c r="BP35" s="3713">
        <f t="shared" ca="1" si="41"/>
        <v>0</v>
      </c>
      <c r="BQ35" s="3713">
        <f t="shared" ca="1" si="41"/>
        <v>0</v>
      </c>
      <c r="BR35" s="3713">
        <f t="shared" ca="1" si="41"/>
        <v>0</v>
      </c>
      <c r="BS35" s="3713">
        <f t="shared" ca="1" si="41"/>
        <v>0</v>
      </c>
      <c r="BT35" s="3713">
        <f t="shared" ca="1" si="41"/>
        <v>0</v>
      </c>
      <c r="BU35" s="3713">
        <f t="shared" ca="1" si="41"/>
        <v>0</v>
      </c>
      <c r="BV35" s="3713">
        <f t="shared" ca="1" si="41"/>
        <v>0</v>
      </c>
      <c r="BW35" s="3713">
        <f t="shared" ca="1" si="41"/>
        <v>0</v>
      </c>
      <c r="BX35" s="3713">
        <f t="shared" ca="1" si="41"/>
        <v>0</v>
      </c>
      <c r="BY35" s="3713">
        <f t="shared" ca="1" si="41"/>
        <v>0</v>
      </c>
      <c r="BZ35" s="3713">
        <f t="shared" ca="1" si="41"/>
        <v>0</v>
      </c>
      <c r="CA35" s="3713">
        <f t="shared" ca="1" si="41"/>
        <v>0</v>
      </c>
      <c r="CB35" s="3713">
        <f t="shared" ref="CB35:CH35" ca="1" si="42">IF(IF(CB24&gt;0,(($M$17)-($M$14-CB$31))*$L24,0)&gt;0,CA35,0)</f>
        <v>0</v>
      </c>
      <c r="CC35" s="3713">
        <f t="shared" ca="1" si="42"/>
        <v>0</v>
      </c>
      <c r="CD35" s="3713">
        <f t="shared" ca="1" si="42"/>
        <v>0</v>
      </c>
      <c r="CE35" s="3713">
        <f t="shared" ca="1" si="42"/>
        <v>0</v>
      </c>
      <c r="CF35" s="3713">
        <f t="shared" ca="1" si="42"/>
        <v>0</v>
      </c>
      <c r="CG35" s="3713">
        <f t="shared" ca="1" si="42"/>
        <v>0</v>
      </c>
      <c r="CH35" s="3713">
        <f t="shared" ca="1" si="42"/>
        <v>0</v>
      </c>
      <c r="CI35" s="92"/>
      <c r="CJ35" s="74"/>
      <c r="CK35" s="42"/>
      <c r="CL35" s="42"/>
    </row>
    <row r="36" spans="1:90" hidden="1" x14ac:dyDescent="0.25">
      <c r="A36" s="957">
        <f ca="1">IF($M$8=0,0,1)</f>
        <v>0</v>
      </c>
      <c r="B36" s="96"/>
      <c r="C36" s="96"/>
      <c r="D36" s="96"/>
      <c r="E36" s="96"/>
      <c r="F36" s="96"/>
      <c r="G36" s="96"/>
      <c r="H36" s="96"/>
      <c r="I36" s="174"/>
      <c r="J36" s="92"/>
      <c r="K36" s="92">
        <f>$K$8</f>
        <v>0</v>
      </c>
      <c r="L36" s="3720"/>
      <c r="M36" s="3716"/>
      <c r="N36" s="3716"/>
      <c r="O36" s="3713">
        <f t="shared" ca="1" si="36"/>
        <v>0</v>
      </c>
      <c r="P36" s="3713">
        <f t="shared" ref="P36:AU36" ca="1" si="43">IF(IF(P25&gt;0,(($M$17)-($M$14-P$31))*$L25,0)&gt;0,O36,0)</f>
        <v>0</v>
      </c>
      <c r="Q36" s="3713">
        <f t="shared" ca="1" si="43"/>
        <v>0</v>
      </c>
      <c r="R36" s="3713">
        <f t="shared" ca="1" si="43"/>
        <v>0</v>
      </c>
      <c r="S36" s="3713">
        <f t="shared" ca="1" si="43"/>
        <v>0</v>
      </c>
      <c r="T36" s="3713">
        <f t="shared" ca="1" si="43"/>
        <v>0</v>
      </c>
      <c r="U36" s="3713">
        <f t="shared" ca="1" si="43"/>
        <v>0</v>
      </c>
      <c r="V36" s="3713">
        <f t="shared" ca="1" si="43"/>
        <v>0</v>
      </c>
      <c r="W36" s="3713">
        <f t="shared" ca="1" si="43"/>
        <v>0</v>
      </c>
      <c r="X36" s="3713">
        <f t="shared" ca="1" si="43"/>
        <v>0</v>
      </c>
      <c r="Y36" s="3713">
        <f t="shared" ca="1" si="43"/>
        <v>0</v>
      </c>
      <c r="Z36" s="3713">
        <f t="shared" ca="1" si="43"/>
        <v>0</v>
      </c>
      <c r="AA36" s="3713">
        <f t="shared" ca="1" si="43"/>
        <v>0</v>
      </c>
      <c r="AB36" s="3713">
        <f t="shared" ca="1" si="43"/>
        <v>0</v>
      </c>
      <c r="AC36" s="3713">
        <f t="shared" ca="1" si="43"/>
        <v>0</v>
      </c>
      <c r="AD36" s="3713">
        <f t="shared" ca="1" si="43"/>
        <v>0</v>
      </c>
      <c r="AE36" s="3713">
        <f t="shared" ca="1" si="43"/>
        <v>0</v>
      </c>
      <c r="AF36" s="3713">
        <f t="shared" ca="1" si="43"/>
        <v>0</v>
      </c>
      <c r="AG36" s="3713">
        <f t="shared" ca="1" si="43"/>
        <v>0</v>
      </c>
      <c r="AH36" s="3713">
        <f t="shared" ca="1" si="43"/>
        <v>0</v>
      </c>
      <c r="AI36" s="3713">
        <f t="shared" ca="1" si="43"/>
        <v>0</v>
      </c>
      <c r="AJ36" s="3713">
        <f t="shared" ca="1" si="43"/>
        <v>0</v>
      </c>
      <c r="AK36" s="3713">
        <f t="shared" ca="1" si="43"/>
        <v>0</v>
      </c>
      <c r="AL36" s="3713">
        <f t="shared" ca="1" si="43"/>
        <v>0</v>
      </c>
      <c r="AM36" s="3713">
        <f t="shared" ca="1" si="43"/>
        <v>0</v>
      </c>
      <c r="AN36" s="3713">
        <f t="shared" ca="1" si="43"/>
        <v>0</v>
      </c>
      <c r="AO36" s="3713">
        <f t="shared" ca="1" si="43"/>
        <v>0</v>
      </c>
      <c r="AP36" s="3713">
        <f t="shared" ca="1" si="43"/>
        <v>0</v>
      </c>
      <c r="AQ36" s="3713">
        <f t="shared" ca="1" si="43"/>
        <v>0</v>
      </c>
      <c r="AR36" s="3713">
        <f t="shared" ca="1" si="43"/>
        <v>0</v>
      </c>
      <c r="AS36" s="3713">
        <f t="shared" ca="1" si="43"/>
        <v>0</v>
      </c>
      <c r="AT36" s="3713">
        <f t="shared" ca="1" si="43"/>
        <v>0</v>
      </c>
      <c r="AU36" s="3713">
        <f t="shared" ca="1" si="43"/>
        <v>0</v>
      </c>
      <c r="AV36" s="3713">
        <f t="shared" ref="AV36:CA36" ca="1" si="44">IF(IF(AV25&gt;0,(($M$17)-($M$14-AV$31))*$L25,0)&gt;0,AU36,0)</f>
        <v>0</v>
      </c>
      <c r="AW36" s="3713">
        <f t="shared" ca="1" si="44"/>
        <v>0</v>
      </c>
      <c r="AX36" s="3713">
        <f t="shared" ca="1" si="44"/>
        <v>0</v>
      </c>
      <c r="AY36" s="3713">
        <f t="shared" ca="1" si="44"/>
        <v>0</v>
      </c>
      <c r="AZ36" s="3713">
        <f t="shared" ca="1" si="44"/>
        <v>0</v>
      </c>
      <c r="BA36" s="3713">
        <f t="shared" ca="1" si="44"/>
        <v>0</v>
      </c>
      <c r="BB36" s="3713">
        <f t="shared" ca="1" si="44"/>
        <v>0</v>
      </c>
      <c r="BC36" s="3713">
        <f t="shared" ca="1" si="44"/>
        <v>0</v>
      </c>
      <c r="BD36" s="3713">
        <f t="shared" ca="1" si="44"/>
        <v>0</v>
      </c>
      <c r="BE36" s="3713">
        <f t="shared" ca="1" si="44"/>
        <v>0</v>
      </c>
      <c r="BF36" s="3713">
        <f t="shared" ca="1" si="44"/>
        <v>0</v>
      </c>
      <c r="BG36" s="3713">
        <f t="shared" ca="1" si="44"/>
        <v>0</v>
      </c>
      <c r="BH36" s="3713">
        <f t="shared" ca="1" si="44"/>
        <v>0</v>
      </c>
      <c r="BI36" s="3713">
        <f t="shared" ca="1" si="44"/>
        <v>0</v>
      </c>
      <c r="BJ36" s="3713">
        <f t="shared" ca="1" si="44"/>
        <v>0</v>
      </c>
      <c r="BK36" s="3713">
        <f t="shared" ca="1" si="44"/>
        <v>0</v>
      </c>
      <c r="BL36" s="3713">
        <f t="shared" ca="1" si="44"/>
        <v>0</v>
      </c>
      <c r="BM36" s="3713">
        <f t="shared" ca="1" si="44"/>
        <v>0</v>
      </c>
      <c r="BN36" s="3713">
        <f t="shared" ca="1" si="44"/>
        <v>0</v>
      </c>
      <c r="BO36" s="3713">
        <f t="shared" ca="1" si="44"/>
        <v>0</v>
      </c>
      <c r="BP36" s="3713">
        <f t="shared" ca="1" si="44"/>
        <v>0</v>
      </c>
      <c r="BQ36" s="3713">
        <f t="shared" ca="1" si="44"/>
        <v>0</v>
      </c>
      <c r="BR36" s="3713">
        <f t="shared" ca="1" si="44"/>
        <v>0</v>
      </c>
      <c r="BS36" s="3713">
        <f t="shared" ca="1" si="44"/>
        <v>0</v>
      </c>
      <c r="BT36" s="3713">
        <f t="shared" ca="1" si="44"/>
        <v>0</v>
      </c>
      <c r="BU36" s="3713">
        <f t="shared" ca="1" si="44"/>
        <v>0</v>
      </c>
      <c r="BV36" s="3713">
        <f t="shared" ca="1" si="44"/>
        <v>0</v>
      </c>
      <c r="BW36" s="3713">
        <f t="shared" ca="1" si="44"/>
        <v>0</v>
      </c>
      <c r="BX36" s="3713">
        <f t="shared" ca="1" si="44"/>
        <v>0</v>
      </c>
      <c r="BY36" s="3713">
        <f t="shared" ca="1" si="44"/>
        <v>0</v>
      </c>
      <c r="BZ36" s="3713">
        <f t="shared" ca="1" si="44"/>
        <v>0</v>
      </c>
      <c r="CA36" s="3713">
        <f t="shared" ca="1" si="44"/>
        <v>0</v>
      </c>
      <c r="CB36" s="3713">
        <f t="shared" ref="CB36:CH36" ca="1" si="45">IF(IF(CB25&gt;0,(($M$17)-($M$14-CB$31))*$L25,0)&gt;0,CA36,0)</f>
        <v>0</v>
      </c>
      <c r="CC36" s="3713">
        <f t="shared" ca="1" si="45"/>
        <v>0</v>
      </c>
      <c r="CD36" s="3713">
        <f t="shared" ca="1" si="45"/>
        <v>0</v>
      </c>
      <c r="CE36" s="3713">
        <f t="shared" ca="1" si="45"/>
        <v>0</v>
      </c>
      <c r="CF36" s="3713">
        <f t="shared" ca="1" si="45"/>
        <v>0</v>
      </c>
      <c r="CG36" s="3713">
        <f t="shared" ca="1" si="45"/>
        <v>0</v>
      </c>
      <c r="CH36" s="3713">
        <f t="shared" ca="1" si="45"/>
        <v>0</v>
      </c>
      <c r="CI36" s="92"/>
      <c r="CJ36" s="74"/>
      <c r="CK36" s="42"/>
      <c r="CL36" s="42"/>
    </row>
    <row r="37" spans="1:90" hidden="1" x14ac:dyDescent="0.25">
      <c r="A37" s="957">
        <f ca="1">IF($M$9=0,0,1)</f>
        <v>0</v>
      </c>
      <c r="B37" s="96"/>
      <c r="C37" s="96"/>
      <c r="D37" s="96"/>
      <c r="E37" s="96"/>
      <c r="F37" s="96"/>
      <c r="G37" s="96"/>
      <c r="H37" s="96"/>
      <c r="I37" s="174"/>
      <c r="J37" s="92"/>
      <c r="K37" s="92">
        <f>$K$9</f>
        <v>0</v>
      </c>
      <c r="L37" s="3720"/>
      <c r="M37" s="3716"/>
      <c r="N37" s="3716"/>
      <c r="O37" s="3713">
        <f t="shared" ca="1" si="36"/>
        <v>0</v>
      </c>
      <c r="P37" s="3713">
        <f t="shared" ref="P37:AU37" ca="1" si="46">IF(IF(P26&gt;0,(($M$17)-($M$14-P$31))*$L26,0)&gt;0,O37,0)</f>
        <v>0</v>
      </c>
      <c r="Q37" s="3713">
        <f t="shared" ca="1" si="46"/>
        <v>0</v>
      </c>
      <c r="R37" s="3713">
        <f t="shared" ca="1" si="46"/>
        <v>0</v>
      </c>
      <c r="S37" s="3713">
        <f t="shared" ca="1" si="46"/>
        <v>0</v>
      </c>
      <c r="T37" s="3713">
        <f t="shared" ca="1" si="46"/>
        <v>0</v>
      </c>
      <c r="U37" s="3713">
        <f t="shared" ca="1" si="46"/>
        <v>0</v>
      </c>
      <c r="V37" s="3713">
        <f t="shared" ca="1" si="46"/>
        <v>0</v>
      </c>
      <c r="W37" s="3713">
        <f t="shared" ca="1" si="46"/>
        <v>0</v>
      </c>
      <c r="X37" s="3713">
        <f t="shared" ca="1" si="46"/>
        <v>0</v>
      </c>
      <c r="Y37" s="3713">
        <f t="shared" ca="1" si="46"/>
        <v>0</v>
      </c>
      <c r="Z37" s="3713">
        <f t="shared" ca="1" si="46"/>
        <v>0</v>
      </c>
      <c r="AA37" s="3713">
        <f t="shared" ca="1" si="46"/>
        <v>0</v>
      </c>
      <c r="AB37" s="3713">
        <f t="shared" ca="1" si="46"/>
        <v>0</v>
      </c>
      <c r="AC37" s="3713">
        <f t="shared" ca="1" si="46"/>
        <v>0</v>
      </c>
      <c r="AD37" s="3713">
        <f t="shared" ca="1" si="46"/>
        <v>0</v>
      </c>
      <c r="AE37" s="3713">
        <f t="shared" ca="1" si="46"/>
        <v>0</v>
      </c>
      <c r="AF37" s="3713">
        <f t="shared" ca="1" si="46"/>
        <v>0</v>
      </c>
      <c r="AG37" s="3713">
        <f t="shared" ca="1" si="46"/>
        <v>0</v>
      </c>
      <c r="AH37" s="3713">
        <f t="shared" ca="1" si="46"/>
        <v>0</v>
      </c>
      <c r="AI37" s="3713">
        <f t="shared" ca="1" si="46"/>
        <v>0</v>
      </c>
      <c r="AJ37" s="3713">
        <f t="shared" ca="1" si="46"/>
        <v>0</v>
      </c>
      <c r="AK37" s="3713">
        <f t="shared" ca="1" si="46"/>
        <v>0</v>
      </c>
      <c r="AL37" s="3713">
        <f t="shared" ca="1" si="46"/>
        <v>0</v>
      </c>
      <c r="AM37" s="3713">
        <f t="shared" ca="1" si="46"/>
        <v>0</v>
      </c>
      <c r="AN37" s="3713">
        <f t="shared" ca="1" si="46"/>
        <v>0</v>
      </c>
      <c r="AO37" s="3713">
        <f t="shared" ca="1" si="46"/>
        <v>0</v>
      </c>
      <c r="AP37" s="3713">
        <f t="shared" ca="1" si="46"/>
        <v>0</v>
      </c>
      <c r="AQ37" s="3713">
        <f t="shared" ca="1" si="46"/>
        <v>0</v>
      </c>
      <c r="AR37" s="3713">
        <f t="shared" ca="1" si="46"/>
        <v>0</v>
      </c>
      <c r="AS37" s="3713">
        <f t="shared" ca="1" si="46"/>
        <v>0</v>
      </c>
      <c r="AT37" s="3713">
        <f t="shared" ca="1" si="46"/>
        <v>0</v>
      </c>
      <c r="AU37" s="3713">
        <f t="shared" ca="1" si="46"/>
        <v>0</v>
      </c>
      <c r="AV37" s="3713">
        <f t="shared" ref="AV37:CA37" ca="1" si="47">IF(IF(AV26&gt;0,(($M$17)-($M$14-AV$31))*$L26,0)&gt;0,AU37,0)</f>
        <v>0</v>
      </c>
      <c r="AW37" s="3713">
        <f t="shared" ca="1" si="47"/>
        <v>0</v>
      </c>
      <c r="AX37" s="3713">
        <f t="shared" ca="1" si="47"/>
        <v>0</v>
      </c>
      <c r="AY37" s="3713">
        <f t="shared" ca="1" si="47"/>
        <v>0</v>
      </c>
      <c r="AZ37" s="3713">
        <f t="shared" ca="1" si="47"/>
        <v>0</v>
      </c>
      <c r="BA37" s="3713">
        <f t="shared" ca="1" si="47"/>
        <v>0</v>
      </c>
      <c r="BB37" s="3713">
        <f t="shared" ca="1" si="47"/>
        <v>0</v>
      </c>
      <c r="BC37" s="3713">
        <f t="shared" ca="1" si="47"/>
        <v>0</v>
      </c>
      <c r="BD37" s="3713">
        <f t="shared" ca="1" si="47"/>
        <v>0</v>
      </c>
      <c r="BE37" s="3713">
        <f t="shared" ca="1" si="47"/>
        <v>0</v>
      </c>
      <c r="BF37" s="3713">
        <f t="shared" ca="1" si="47"/>
        <v>0</v>
      </c>
      <c r="BG37" s="3713">
        <f t="shared" ca="1" si="47"/>
        <v>0</v>
      </c>
      <c r="BH37" s="3713">
        <f t="shared" ca="1" si="47"/>
        <v>0</v>
      </c>
      <c r="BI37" s="3713">
        <f t="shared" ca="1" si="47"/>
        <v>0</v>
      </c>
      <c r="BJ37" s="3713">
        <f t="shared" ca="1" si="47"/>
        <v>0</v>
      </c>
      <c r="BK37" s="3713">
        <f t="shared" ca="1" si="47"/>
        <v>0</v>
      </c>
      <c r="BL37" s="3713">
        <f t="shared" ca="1" si="47"/>
        <v>0</v>
      </c>
      <c r="BM37" s="3713">
        <f t="shared" ca="1" si="47"/>
        <v>0</v>
      </c>
      <c r="BN37" s="3713">
        <f t="shared" ca="1" si="47"/>
        <v>0</v>
      </c>
      <c r="BO37" s="3713">
        <f t="shared" ca="1" si="47"/>
        <v>0</v>
      </c>
      <c r="BP37" s="3713">
        <f t="shared" ca="1" si="47"/>
        <v>0</v>
      </c>
      <c r="BQ37" s="3713">
        <f t="shared" ca="1" si="47"/>
        <v>0</v>
      </c>
      <c r="BR37" s="3713">
        <f t="shared" ca="1" si="47"/>
        <v>0</v>
      </c>
      <c r="BS37" s="3713">
        <f t="shared" ca="1" si="47"/>
        <v>0</v>
      </c>
      <c r="BT37" s="3713">
        <f t="shared" ca="1" si="47"/>
        <v>0</v>
      </c>
      <c r="BU37" s="3713">
        <f t="shared" ca="1" si="47"/>
        <v>0</v>
      </c>
      <c r="BV37" s="3713">
        <f t="shared" ca="1" si="47"/>
        <v>0</v>
      </c>
      <c r="BW37" s="3713">
        <f t="shared" ca="1" si="47"/>
        <v>0</v>
      </c>
      <c r="BX37" s="3713">
        <f t="shared" ca="1" si="47"/>
        <v>0</v>
      </c>
      <c r="BY37" s="3713">
        <f t="shared" ca="1" si="47"/>
        <v>0</v>
      </c>
      <c r="BZ37" s="3713">
        <f t="shared" ca="1" si="47"/>
        <v>0</v>
      </c>
      <c r="CA37" s="3713">
        <f t="shared" ca="1" si="47"/>
        <v>0</v>
      </c>
      <c r="CB37" s="3713">
        <f t="shared" ref="CB37:CH37" ca="1" si="48">IF(IF(CB26&gt;0,(($M$17)-($M$14-CB$31))*$L26,0)&gt;0,CA37,0)</f>
        <v>0</v>
      </c>
      <c r="CC37" s="3713">
        <f t="shared" ca="1" si="48"/>
        <v>0</v>
      </c>
      <c r="CD37" s="3713">
        <f t="shared" ca="1" si="48"/>
        <v>0</v>
      </c>
      <c r="CE37" s="3713">
        <f t="shared" ca="1" si="48"/>
        <v>0</v>
      </c>
      <c r="CF37" s="3713">
        <f t="shared" ca="1" si="48"/>
        <v>0</v>
      </c>
      <c r="CG37" s="3713">
        <f t="shared" ca="1" si="48"/>
        <v>0</v>
      </c>
      <c r="CH37" s="3713">
        <f t="shared" ca="1" si="48"/>
        <v>0</v>
      </c>
      <c r="CI37" s="92"/>
      <c r="CJ37" s="74"/>
      <c r="CK37" s="42"/>
      <c r="CL37" s="42"/>
    </row>
    <row r="38" spans="1:90" hidden="1" x14ac:dyDescent="0.25">
      <c r="A38" s="957">
        <f ca="1">IF($M$10=0,0,1)</f>
        <v>0</v>
      </c>
      <c r="B38" s="96"/>
      <c r="C38" s="96"/>
      <c r="D38" s="96"/>
      <c r="E38" s="96"/>
      <c r="F38" s="96"/>
      <c r="G38" s="96"/>
      <c r="H38" s="96"/>
      <c r="I38" s="174"/>
      <c r="J38" s="92"/>
      <c r="K38" s="92">
        <f>$K$10</f>
        <v>0</v>
      </c>
      <c r="L38" s="3720"/>
      <c r="M38" s="3716"/>
      <c r="N38" s="3716"/>
      <c r="O38" s="3713">
        <f t="shared" ca="1" si="36"/>
        <v>0</v>
      </c>
      <c r="P38" s="3713">
        <f t="shared" ref="P38:AU38" ca="1" si="49">IF(IF(P27&gt;0,(($M$17)-($M$14-P$31))*$L27,0)&gt;0,O38,0)</f>
        <v>0</v>
      </c>
      <c r="Q38" s="3713">
        <f t="shared" ca="1" si="49"/>
        <v>0</v>
      </c>
      <c r="R38" s="3713">
        <f t="shared" ca="1" si="49"/>
        <v>0</v>
      </c>
      <c r="S38" s="3713">
        <f t="shared" ca="1" si="49"/>
        <v>0</v>
      </c>
      <c r="T38" s="3713">
        <f t="shared" ca="1" si="49"/>
        <v>0</v>
      </c>
      <c r="U38" s="3713">
        <f t="shared" ca="1" si="49"/>
        <v>0</v>
      </c>
      <c r="V38" s="3713">
        <f t="shared" ca="1" si="49"/>
        <v>0</v>
      </c>
      <c r="W38" s="3713">
        <f t="shared" ca="1" si="49"/>
        <v>0</v>
      </c>
      <c r="X38" s="3713">
        <f t="shared" ca="1" si="49"/>
        <v>0</v>
      </c>
      <c r="Y38" s="3713">
        <f t="shared" ca="1" si="49"/>
        <v>0</v>
      </c>
      <c r="Z38" s="3713">
        <f t="shared" ca="1" si="49"/>
        <v>0</v>
      </c>
      <c r="AA38" s="3713">
        <f t="shared" ca="1" si="49"/>
        <v>0</v>
      </c>
      <c r="AB38" s="3713">
        <f t="shared" ca="1" si="49"/>
        <v>0</v>
      </c>
      <c r="AC38" s="3713">
        <f t="shared" ca="1" si="49"/>
        <v>0</v>
      </c>
      <c r="AD38" s="3713">
        <f t="shared" ca="1" si="49"/>
        <v>0</v>
      </c>
      <c r="AE38" s="3713">
        <f t="shared" ca="1" si="49"/>
        <v>0</v>
      </c>
      <c r="AF38" s="3713">
        <f t="shared" ca="1" si="49"/>
        <v>0</v>
      </c>
      <c r="AG38" s="3713">
        <f t="shared" ca="1" si="49"/>
        <v>0</v>
      </c>
      <c r="AH38" s="3713">
        <f t="shared" ca="1" si="49"/>
        <v>0</v>
      </c>
      <c r="AI38" s="3713">
        <f t="shared" ca="1" si="49"/>
        <v>0</v>
      </c>
      <c r="AJ38" s="3713">
        <f t="shared" ca="1" si="49"/>
        <v>0</v>
      </c>
      <c r="AK38" s="3713">
        <f t="shared" ca="1" si="49"/>
        <v>0</v>
      </c>
      <c r="AL38" s="3713">
        <f t="shared" ca="1" si="49"/>
        <v>0</v>
      </c>
      <c r="AM38" s="3713">
        <f t="shared" ca="1" si="49"/>
        <v>0</v>
      </c>
      <c r="AN38" s="3713">
        <f t="shared" ca="1" si="49"/>
        <v>0</v>
      </c>
      <c r="AO38" s="3713">
        <f t="shared" ca="1" si="49"/>
        <v>0</v>
      </c>
      <c r="AP38" s="3713">
        <f t="shared" ca="1" si="49"/>
        <v>0</v>
      </c>
      <c r="AQ38" s="3713">
        <f t="shared" ca="1" si="49"/>
        <v>0</v>
      </c>
      <c r="AR38" s="3713">
        <f t="shared" ca="1" si="49"/>
        <v>0</v>
      </c>
      <c r="AS38" s="3713">
        <f t="shared" ca="1" si="49"/>
        <v>0</v>
      </c>
      <c r="AT38" s="3713">
        <f t="shared" ca="1" si="49"/>
        <v>0</v>
      </c>
      <c r="AU38" s="3713">
        <f t="shared" ca="1" si="49"/>
        <v>0</v>
      </c>
      <c r="AV38" s="3713">
        <f t="shared" ref="AV38:CA38" ca="1" si="50">IF(IF(AV27&gt;0,(($M$17)-($M$14-AV$31))*$L27,0)&gt;0,AU38,0)</f>
        <v>0</v>
      </c>
      <c r="AW38" s="3713">
        <f t="shared" ca="1" si="50"/>
        <v>0</v>
      </c>
      <c r="AX38" s="3713">
        <f t="shared" ca="1" si="50"/>
        <v>0</v>
      </c>
      <c r="AY38" s="3713">
        <f t="shared" ca="1" si="50"/>
        <v>0</v>
      </c>
      <c r="AZ38" s="3713">
        <f t="shared" ca="1" si="50"/>
        <v>0</v>
      </c>
      <c r="BA38" s="3713">
        <f t="shared" ca="1" si="50"/>
        <v>0</v>
      </c>
      <c r="BB38" s="3713">
        <f t="shared" ca="1" si="50"/>
        <v>0</v>
      </c>
      <c r="BC38" s="3713">
        <f t="shared" ca="1" si="50"/>
        <v>0</v>
      </c>
      <c r="BD38" s="3713">
        <f t="shared" ca="1" si="50"/>
        <v>0</v>
      </c>
      <c r="BE38" s="3713">
        <f t="shared" ca="1" si="50"/>
        <v>0</v>
      </c>
      <c r="BF38" s="3713">
        <f t="shared" ca="1" si="50"/>
        <v>0</v>
      </c>
      <c r="BG38" s="3713">
        <f t="shared" ca="1" si="50"/>
        <v>0</v>
      </c>
      <c r="BH38" s="3713">
        <f t="shared" ca="1" si="50"/>
        <v>0</v>
      </c>
      <c r="BI38" s="3713">
        <f t="shared" ca="1" si="50"/>
        <v>0</v>
      </c>
      <c r="BJ38" s="3713">
        <f t="shared" ca="1" si="50"/>
        <v>0</v>
      </c>
      <c r="BK38" s="3713">
        <f t="shared" ca="1" si="50"/>
        <v>0</v>
      </c>
      <c r="BL38" s="3713">
        <f t="shared" ca="1" si="50"/>
        <v>0</v>
      </c>
      <c r="BM38" s="3713">
        <f t="shared" ca="1" si="50"/>
        <v>0</v>
      </c>
      <c r="BN38" s="3713">
        <f t="shared" ca="1" si="50"/>
        <v>0</v>
      </c>
      <c r="BO38" s="3713">
        <f t="shared" ca="1" si="50"/>
        <v>0</v>
      </c>
      <c r="BP38" s="3713">
        <f t="shared" ca="1" si="50"/>
        <v>0</v>
      </c>
      <c r="BQ38" s="3713">
        <f t="shared" ca="1" si="50"/>
        <v>0</v>
      </c>
      <c r="BR38" s="3713">
        <f t="shared" ca="1" si="50"/>
        <v>0</v>
      </c>
      <c r="BS38" s="3713">
        <f t="shared" ca="1" si="50"/>
        <v>0</v>
      </c>
      <c r="BT38" s="3713">
        <f t="shared" ca="1" si="50"/>
        <v>0</v>
      </c>
      <c r="BU38" s="3713">
        <f t="shared" ca="1" si="50"/>
        <v>0</v>
      </c>
      <c r="BV38" s="3713">
        <f t="shared" ca="1" si="50"/>
        <v>0</v>
      </c>
      <c r="BW38" s="3713">
        <f t="shared" ca="1" si="50"/>
        <v>0</v>
      </c>
      <c r="BX38" s="3713">
        <f t="shared" ca="1" si="50"/>
        <v>0</v>
      </c>
      <c r="BY38" s="3713">
        <f t="shared" ca="1" si="50"/>
        <v>0</v>
      </c>
      <c r="BZ38" s="3713">
        <f t="shared" ca="1" si="50"/>
        <v>0</v>
      </c>
      <c r="CA38" s="3713">
        <f t="shared" ca="1" si="50"/>
        <v>0</v>
      </c>
      <c r="CB38" s="3713">
        <f t="shared" ref="CB38:CH38" ca="1" si="51">IF(IF(CB27&gt;0,(($M$17)-($M$14-CB$31))*$L27,0)&gt;0,CA38,0)</f>
        <v>0</v>
      </c>
      <c r="CC38" s="3713">
        <f t="shared" ca="1" si="51"/>
        <v>0</v>
      </c>
      <c r="CD38" s="3713">
        <f t="shared" ca="1" si="51"/>
        <v>0</v>
      </c>
      <c r="CE38" s="3713">
        <f t="shared" ca="1" si="51"/>
        <v>0</v>
      </c>
      <c r="CF38" s="3713">
        <f t="shared" ca="1" si="51"/>
        <v>0</v>
      </c>
      <c r="CG38" s="3713">
        <f t="shared" ca="1" si="51"/>
        <v>0</v>
      </c>
      <c r="CH38" s="3713">
        <f t="shared" ca="1" si="51"/>
        <v>0</v>
      </c>
      <c r="CI38" s="92"/>
      <c r="CJ38" s="74"/>
      <c r="CK38" s="42"/>
      <c r="CL38" s="42"/>
    </row>
    <row r="39" spans="1:90" hidden="1" x14ac:dyDescent="0.25">
      <c r="A39" s="957">
        <f ca="1">IF($M$11=0,0,1)</f>
        <v>0</v>
      </c>
      <c r="B39" s="96"/>
      <c r="C39" s="96"/>
      <c r="D39" s="96"/>
      <c r="E39" s="96"/>
      <c r="F39" s="96"/>
      <c r="G39" s="96"/>
      <c r="H39" s="96"/>
      <c r="I39" s="174"/>
      <c r="J39" s="92"/>
      <c r="K39" s="92">
        <f>$K$11</f>
        <v>0</v>
      </c>
      <c r="L39" s="3720"/>
      <c r="M39" s="3716"/>
      <c r="N39" s="3716"/>
      <c r="O39" s="3713">
        <f t="shared" ca="1" si="36"/>
        <v>0</v>
      </c>
      <c r="P39" s="3713">
        <f t="shared" ref="P39:AU39" ca="1" si="52">IF(IF(P28&gt;0,(($M$17)-($M$14-P$31))*$L28,0)&gt;0,O39,0)</f>
        <v>0</v>
      </c>
      <c r="Q39" s="3713">
        <f t="shared" ca="1" si="52"/>
        <v>0</v>
      </c>
      <c r="R39" s="3713">
        <f t="shared" ca="1" si="52"/>
        <v>0</v>
      </c>
      <c r="S39" s="3713">
        <f t="shared" ca="1" si="52"/>
        <v>0</v>
      </c>
      <c r="T39" s="3713">
        <f t="shared" ca="1" si="52"/>
        <v>0</v>
      </c>
      <c r="U39" s="3713">
        <f t="shared" ca="1" si="52"/>
        <v>0</v>
      </c>
      <c r="V39" s="3713">
        <f t="shared" ca="1" si="52"/>
        <v>0</v>
      </c>
      <c r="W39" s="3713">
        <f t="shared" ca="1" si="52"/>
        <v>0</v>
      </c>
      <c r="X39" s="3713">
        <f t="shared" ca="1" si="52"/>
        <v>0</v>
      </c>
      <c r="Y39" s="3713">
        <f t="shared" ca="1" si="52"/>
        <v>0</v>
      </c>
      <c r="Z39" s="3713">
        <f t="shared" ca="1" si="52"/>
        <v>0</v>
      </c>
      <c r="AA39" s="3713">
        <f t="shared" ca="1" si="52"/>
        <v>0</v>
      </c>
      <c r="AB39" s="3713">
        <f t="shared" ca="1" si="52"/>
        <v>0</v>
      </c>
      <c r="AC39" s="3713">
        <f t="shared" ca="1" si="52"/>
        <v>0</v>
      </c>
      <c r="AD39" s="3713">
        <f t="shared" ca="1" si="52"/>
        <v>0</v>
      </c>
      <c r="AE39" s="3713">
        <f t="shared" ca="1" si="52"/>
        <v>0</v>
      </c>
      <c r="AF39" s="3713">
        <f t="shared" ca="1" si="52"/>
        <v>0</v>
      </c>
      <c r="AG39" s="3713">
        <f t="shared" ca="1" si="52"/>
        <v>0</v>
      </c>
      <c r="AH39" s="3713">
        <f t="shared" ca="1" si="52"/>
        <v>0</v>
      </c>
      <c r="AI39" s="3713">
        <f t="shared" ca="1" si="52"/>
        <v>0</v>
      </c>
      <c r="AJ39" s="3713">
        <f t="shared" ca="1" si="52"/>
        <v>0</v>
      </c>
      <c r="AK39" s="3713">
        <f t="shared" ca="1" si="52"/>
        <v>0</v>
      </c>
      <c r="AL39" s="3713">
        <f t="shared" ca="1" si="52"/>
        <v>0</v>
      </c>
      <c r="AM39" s="3713">
        <f t="shared" ca="1" si="52"/>
        <v>0</v>
      </c>
      <c r="AN39" s="3713">
        <f t="shared" ca="1" si="52"/>
        <v>0</v>
      </c>
      <c r="AO39" s="3713">
        <f t="shared" ca="1" si="52"/>
        <v>0</v>
      </c>
      <c r="AP39" s="3713">
        <f t="shared" ca="1" si="52"/>
        <v>0</v>
      </c>
      <c r="AQ39" s="3713">
        <f t="shared" ca="1" si="52"/>
        <v>0</v>
      </c>
      <c r="AR39" s="3713">
        <f t="shared" ca="1" si="52"/>
        <v>0</v>
      </c>
      <c r="AS39" s="3713">
        <f t="shared" ca="1" si="52"/>
        <v>0</v>
      </c>
      <c r="AT39" s="3713">
        <f t="shared" ca="1" si="52"/>
        <v>0</v>
      </c>
      <c r="AU39" s="3713">
        <f t="shared" ca="1" si="52"/>
        <v>0</v>
      </c>
      <c r="AV39" s="3713">
        <f t="shared" ref="AV39:CA39" ca="1" si="53">IF(IF(AV28&gt;0,(($M$17)-($M$14-AV$31))*$L28,0)&gt;0,AU39,0)</f>
        <v>0</v>
      </c>
      <c r="AW39" s="3713">
        <f t="shared" ca="1" si="53"/>
        <v>0</v>
      </c>
      <c r="AX39" s="3713">
        <f t="shared" ca="1" si="53"/>
        <v>0</v>
      </c>
      <c r="AY39" s="3713">
        <f t="shared" ca="1" si="53"/>
        <v>0</v>
      </c>
      <c r="AZ39" s="3713">
        <f t="shared" ca="1" si="53"/>
        <v>0</v>
      </c>
      <c r="BA39" s="3713">
        <f t="shared" ca="1" si="53"/>
        <v>0</v>
      </c>
      <c r="BB39" s="3713">
        <f t="shared" ca="1" si="53"/>
        <v>0</v>
      </c>
      <c r="BC39" s="3713">
        <f t="shared" ca="1" si="53"/>
        <v>0</v>
      </c>
      <c r="BD39" s="3713">
        <f t="shared" ca="1" si="53"/>
        <v>0</v>
      </c>
      <c r="BE39" s="3713">
        <f t="shared" ca="1" si="53"/>
        <v>0</v>
      </c>
      <c r="BF39" s="3713">
        <f t="shared" ca="1" si="53"/>
        <v>0</v>
      </c>
      <c r="BG39" s="3713">
        <f t="shared" ca="1" si="53"/>
        <v>0</v>
      </c>
      <c r="BH39" s="3713">
        <f t="shared" ca="1" si="53"/>
        <v>0</v>
      </c>
      <c r="BI39" s="3713">
        <f t="shared" ca="1" si="53"/>
        <v>0</v>
      </c>
      <c r="BJ39" s="3713">
        <f t="shared" ca="1" si="53"/>
        <v>0</v>
      </c>
      <c r="BK39" s="3713">
        <f t="shared" ca="1" si="53"/>
        <v>0</v>
      </c>
      <c r="BL39" s="3713">
        <f t="shared" ca="1" si="53"/>
        <v>0</v>
      </c>
      <c r="BM39" s="3713">
        <f t="shared" ca="1" si="53"/>
        <v>0</v>
      </c>
      <c r="BN39" s="3713">
        <f t="shared" ca="1" si="53"/>
        <v>0</v>
      </c>
      <c r="BO39" s="3713">
        <f t="shared" ca="1" si="53"/>
        <v>0</v>
      </c>
      <c r="BP39" s="3713">
        <f t="shared" ca="1" si="53"/>
        <v>0</v>
      </c>
      <c r="BQ39" s="3713">
        <f t="shared" ca="1" si="53"/>
        <v>0</v>
      </c>
      <c r="BR39" s="3713">
        <f t="shared" ca="1" si="53"/>
        <v>0</v>
      </c>
      <c r="BS39" s="3713">
        <f t="shared" ca="1" si="53"/>
        <v>0</v>
      </c>
      <c r="BT39" s="3713">
        <f t="shared" ca="1" si="53"/>
        <v>0</v>
      </c>
      <c r="BU39" s="3713">
        <f t="shared" ca="1" si="53"/>
        <v>0</v>
      </c>
      <c r="BV39" s="3713">
        <f t="shared" ca="1" si="53"/>
        <v>0</v>
      </c>
      <c r="BW39" s="3713">
        <f t="shared" ca="1" si="53"/>
        <v>0</v>
      </c>
      <c r="BX39" s="3713">
        <f t="shared" ca="1" si="53"/>
        <v>0</v>
      </c>
      <c r="BY39" s="3713">
        <f t="shared" ca="1" si="53"/>
        <v>0</v>
      </c>
      <c r="BZ39" s="3713">
        <f t="shared" ca="1" si="53"/>
        <v>0</v>
      </c>
      <c r="CA39" s="3713">
        <f t="shared" ca="1" si="53"/>
        <v>0</v>
      </c>
      <c r="CB39" s="3713">
        <f t="shared" ref="CB39:CH39" ca="1" si="54">IF(IF(CB28&gt;0,(($M$17)-($M$14-CB$31))*$L28,0)&gt;0,CA39,0)</f>
        <v>0</v>
      </c>
      <c r="CC39" s="3713">
        <f t="shared" ca="1" si="54"/>
        <v>0</v>
      </c>
      <c r="CD39" s="3713">
        <f t="shared" ca="1" si="54"/>
        <v>0</v>
      </c>
      <c r="CE39" s="3713">
        <f t="shared" ca="1" si="54"/>
        <v>0</v>
      </c>
      <c r="CF39" s="3713">
        <f t="shared" ca="1" si="54"/>
        <v>0</v>
      </c>
      <c r="CG39" s="3713">
        <f t="shared" ca="1" si="54"/>
        <v>0</v>
      </c>
      <c r="CH39" s="3713">
        <f t="shared" ca="1" si="54"/>
        <v>0</v>
      </c>
      <c r="CI39" s="92"/>
      <c r="CJ39" s="74"/>
      <c r="CK39" s="42"/>
      <c r="CL39" s="42"/>
    </row>
    <row r="40" spans="1:90" hidden="1" x14ac:dyDescent="0.25">
      <c r="A40" s="957">
        <f ca="1">IF($M$12=0,0,1)</f>
        <v>0</v>
      </c>
      <c r="B40" s="96"/>
      <c r="C40" s="96"/>
      <c r="D40" s="96"/>
      <c r="E40" s="96"/>
      <c r="F40" s="96"/>
      <c r="G40" s="96"/>
      <c r="H40" s="96"/>
      <c r="I40" s="174"/>
      <c r="J40" s="92"/>
      <c r="K40" s="92">
        <f>$K$12</f>
        <v>0</v>
      </c>
      <c r="L40" s="3720"/>
      <c r="M40" s="3716"/>
      <c r="N40" s="3716"/>
      <c r="O40" s="3713">
        <f t="shared" ca="1" si="36"/>
        <v>0</v>
      </c>
      <c r="P40" s="3713">
        <f t="shared" ref="P40:AU40" ca="1" si="55">IF(IF(P29&gt;0,(($M$17)-($M$14-P$31))*$L29,0)&gt;0,O40,0)</f>
        <v>0</v>
      </c>
      <c r="Q40" s="3713">
        <f t="shared" ca="1" si="55"/>
        <v>0</v>
      </c>
      <c r="R40" s="3713">
        <f t="shared" ca="1" si="55"/>
        <v>0</v>
      </c>
      <c r="S40" s="3713">
        <f t="shared" ca="1" si="55"/>
        <v>0</v>
      </c>
      <c r="T40" s="3713">
        <f t="shared" ca="1" si="55"/>
        <v>0</v>
      </c>
      <c r="U40" s="3713">
        <f t="shared" ca="1" si="55"/>
        <v>0</v>
      </c>
      <c r="V40" s="3713">
        <f t="shared" ca="1" si="55"/>
        <v>0</v>
      </c>
      <c r="W40" s="3713">
        <f t="shared" ca="1" si="55"/>
        <v>0</v>
      </c>
      <c r="X40" s="3713">
        <f t="shared" ca="1" si="55"/>
        <v>0</v>
      </c>
      <c r="Y40" s="3713">
        <f t="shared" ca="1" si="55"/>
        <v>0</v>
      </c>
      <c r="Z40" s="3713">
        <f t="shared" ca="1" si="55"/>
        <v>0</v>
      </c>
      <c r="AA40" s="3713">
        <f t="shared" ca="1" si="55"/>
        <v>0</v>
      </c>
      <c r="AB40" s="3713">
        <f t="shared" ca="1" si="55"/>
        <v>0</v>
      </c>
      <c r="AC40" s="3713">
        <f t="shared" ca="1" si="55"/>
        <v>0</v>
      </c>
      <c r="AD40" s="3713">
        <f t="shared" ca="1" si="55"/>
        <v>0</v>
      </c>
      <c r="AE40" s="3713">
        <f t="shared" ca="1" si="55"/>
        <v>0</v>
      </c>
      <c r="AF40" s="3713">
        <f t="shared" ca="1" si="55"/>
        <v>0</v>
      </c>
      <c r="AG40" s="3713">
        <f t="shared" ca="1" si="55"/>
        <v>0</v>
      </c>
      <c r="AH40" s="3713">
        <f t="shared" ca="1" si="55"/>
        <v>0</v>
      </c>
      <c r="AI40" s="3713">
        <f t="shared" ca="1" si="55"/>
        <v>0</v>
      </c>
      <c r="AJ40" s="3713">
        <f t="shared" ca="1" si="55"/>
        <v>0</v>
      </c>
      <c r="AK40" s="3713">
        <f t="shared" ca="1" si="55"/>
        <v>0</v>
      </c>
      <c r="AL40" s="3713">
        <f t="shared" ca="1" si="55"/>
        <v>0</v>
      </c>
      <c r="AM40" s="3713">
        <f t="shared" ca="1" si="55"/>
        <v>0</v>
      </c>
      <c r="AN40" s="3713">
        <f t="shared" ca="1" si="55"/>
        <v>0</v>
      </c>
      <c r="AO40" s="3713">
        <f t="shared" ca="1" si="55"/>
        <v>0</v>
      </c>
      <c r="AP40" s="3713">
        <f t="shared" ca="1" si="55"/>
        <v>0</v>
      </c>
      <c r="AQ40" s="3713">
        <f t="shared" ca="1" si="55"/>
        <v>0</v>
      </c>
      <c r="AR40" s="3713">
        <f t="shared" ca="1" si="55"/>
        <v>0</v>
      </c>
      <c r="AS40" s="3713">
        <f t="shared" ca="1" si="55"/>
        <v>0</v>
      </c>
      <c r="AT40" s="3713">
        <f t="shared" ca="1" si="55"/>
        <v>0</v>
      </c>
      <c r="AU40" s="3713">
        <f t="shared" ca="1" si="55"/>
        <v>0</v>
      </c>
      <c r="AV40" s="3713">
        <f t="shared" ref="AV40:CA40" ca="1" si="56">IF(IF(AV29&gt;0,(($M$17)-($M$14-AV$31))*$L29,0)&gt;0,AU40,0)</f>
        <v>0</v>
      </c>
      <c r="AW40" s="3713">
        <f t="shared" ca="1" si="56"/>
        <v>0</v>
      </c>
      <c r="AX40" s="3713">
        <f t="shared" ca="1" si="56"/>
        <v>0</v>
      </c>
      <c r="AY40" s="3713">
        <f t="shared" ca="1" si="56"/>
        <v>0</v>
      </c>
      <c r="AZ40" s="3713">
        <f t="shared" ca="1" si="56"/>
        <v>0</v>
      </c>
      <c r="BA40" s="3713">
        <f t="shared" ca="1" si="56"/>
        <v>0</v>
      </c>
      <c r="BB40" s="3713">
        <f t="shared" ca="1" si="56"/>
        <v>0</v>
      </c>
      <c r="BC40" s="3713">
        <f t="shared" ca="1" si="56"/>
        <v>0</v>
      </c>
      <c r="BD40" s="3713">
        <f t="shared" ca="1" si="56"/>
        <v>0</v>
      </c>
      <c r="BE40" s="3713">
        <f t="shared" ca="1" si="56"/>
        <v>0</v>
      </c>
      <c r="BF40" s="3713">
        <f t="shared" ca="1" si="56"/>
        <v>0</v>
      </c>
      <c r="BG40" s="3713">
        <f t="shared" ca="1" si="56"/>
        <v>0</v>
      </c>
      <c r="BH40" s="3713">
        <f t="shared" ca="1" si="56"/>
        <v>0</v>
      </c>
      <c r="BI40" s="3713">
        <f t="shared" ca="1" si="56"/>
        <v>0</v>
      </c>
      <c r="BJ40" s="3713">
        <f t="shared" ca="1" si="56"/>
        <v>0</v>
      </c>
      <c r="BK40" s="3713">
        <f t="shared" ca="1" si="56"/>
        <v>0</v>
      </c>
      <c r="BL40" s="3713">
        <f t="shared" ca="1" si="56"/>
        <v>0</v>
      </c>
      <c r="BM40" s="3713">
        <f t="shared" ca="1" si="56"/>
        <v>0</v>
      </c>
      <c r="BN40" s="3713">
        <f t="shared" ca="1" si="56"/>
        <v>0</v>
      </c>
      <c r="BO40" s="3713">
        <f t="shared" ca="1" si="56"/>
        <v>0</v>
      </c>
      <c r="BP40" s="3713">
        <f t="shared" ca="1" si="56"/>
        <v>0</v>
      </c>
      <c r="BQ40" s="3713">
        <f t="shared" ca="1" si="56"/>
        <v>0</v>
      </c>
      <c r="BR40" s="3713">
        <f t="shared" ca="1" si="56"/>
        <v>0</v>
      </c>
      <c r="BS40" s="3713">
        <f t="shared" ca="1" si="56"/>
        <v>0</v>
      </c>
      <c r="BT40" s="3713">
        <f t="shared" ca="1" si="56"/>
        <v>0</v>
      </c>
      <c r="BU40" s="3713">
        <f t="shared" ca="1" si="56"/>
        <v>0</v>
      </c>
      <c r="BV40" s="3713">
        <f t="shared" ca="1" si="56"/>
        <v>0</v>
      </c>
      <c r="BW40" s="3713">
        <f t="shared" ca="1" si="56"/>
        <v>0</v>
      </c>
      <c r="BX40" s="3713">
        <f t="shared" ca="1" si="56"/>
        <v>0</v>
      </c>
      <c r="BY40" s="3713">
        <f t="shared" ca="1" si="56"/>
        <v>0</v>
      </c>
      <c r="BZ40" s="3713">
        <f t="shared" ca="1" si="56"/>
        <v>0</v>
      </c>
      <c r="CA40" s="3713">
        <f t="shared" ca="1" si="56"/>
        <v>0</v>
      </c>
      <c r="CB40" s="3713">
        <f t="shared" ref="CB40:CH40" ca="1" si="57">IF(IF(CB29&gt;0,(($M$17)-($M$14-CB$31))*$L29,0)&gt;0,CA40,0)</f>
        <v>0</v>
      </c>
      <c r="CC40" s="3713">
        <f t="shared" ca="1" si="57"/>
        <v>0</v>
      </c>
      <c r="CD40" s="3713">
        <f t="shared" ca="1" si="57"/>
        <v>0</v>
      </c>
      <c r="CE40" s="3713">
        <f t="shared" ca="1" si="57"/>
        <v>0</v>
      </c>
      <c r="CF40" s="3713">
        <f t="shared" ca="1" si="57"/>
        <v>0</v>
      </c>
      <c r="CG40" s="3713">
        <f t="shared" ca="1" si="57"/>
        <v>0</v>
      </c>
      <c r="CH40" s="3713">
        <f t="shared" ca="1" si="57"/>
        <v>0</v>
      </c>
      <c r="CI40" s="92"/>
      <c r="CJ40" s="74"/>
      <c r="CK40" s="42"/>
      <c r="CL40" s="42"/>
    </row>
    <row r="41" spans="1:90" hidden="1" x14ac:dyDescent="0.25">
      <c r="A41" s="957">
        <f ca="1">IF($M$13=0,0,1)</f>
        <v>0</v>
      </c>
      <c r="B41" s="96"/>
      <c r="C41" s="96"/>
      <c r="D41" s="96"/>
      <c r="E41" s="96"/>
      <c r="F41" s="96"/>
      <c r="G41" s="96"/>
      <c r="H41" s="96"/>
      <c r="I41" s="174"/>
      <c r="J41" s="92"/>
      <c r="K41" s="92">
        <f>$K$13</f>
        <v>0</v>
      </c>
      <c r="L41" s="3720"/>
      <c r="M41" s="3716"/>
      <c r="N41" s="3716"/>
      <c r="O41" s="3713">
        <f t="shared" ca="1" si="36"/>
        <v>0</v>
      </c>
      <c r="P41" s="3713">
        <f t="shared" ref="P41:AU41" ca="1" si="58">IF(IF(P30&gt;0,(($M$17)-($M$14-P$31))*$L30,0)&gt;0,O41,0)</f>
        <v>0</v>
      </c>
      <c r="Q41" s="3713">
        <f t="shared" ca="1" si="58"/>
        <v>0</v>
      </c>
      <c r="R41" s="3713">
        <f t="shared" ca="1" si="58"/>
        <v>0</v>
      </c>
      <c r="S41" s="3713">
        <f t="shared" ca="1" si="58"/>
        <v>0</v>
      </c>
      <c r="T41" s="3713">
        <f t="shared" ca="1" si="58"/>
        <v>0</v>
      </c>
      <c r="U41" s="3713">
        <f t="shared" ca="1" si="58"/>
        <v>0</v>
      </c>
      <c r="V41" s="3713">
        <f t="shared" ca="1" si="58"/>
        <v>0</v>
      </c>
      <c r="W41" s="3713">
        <f t="shared" ca="1" si="58"/>
        <v>0</v>
      </c>
      <c r="X41" s="3713">
        <f t="shared" ca="1" si="58"/>
        <v>0</v>
      </c>
      <c r="Y41" s="3713">
        <f t="shared" ca="1" si="58"/>
        <v>0</v>
      </c>
      <c r="Z41" s="3713">
        <f t="shared" ca="1" si="58"/>
        <v>0</v>
      </c>
      <c r="AA41" s="3713">
        <f t="shared" ca="1" si="58"/>
        <v>0</v>
      </c>
      <c r="AB41" s="3713">
        <f t="shared" ca="1" si="58"/>
        <v>0</v>
      </c>
      <c r="AC41" s="3713">
        <f t="shared" ca="1" si="58"/>
        <v>0</v>
      </c>
      <c r="AD41" s="3713">
        <f t="shared" ca="1" si="58"/>
        <v>0</v>
      </c>
      <c r="AE41" s="3713">
        <f t="shared" ca="1" si="58"/>
        <v>0</v>
      </c>
      <c r="AF41" s="3713">
        <f t="shared" ca="1" si="58"/>
        <v>0</v>
      </c>
      <c r="AG41" s="3713">
        <f t="shared" ca="1" si="58"/>
        <v>0</v>
      </c>
      <c r="AH41" s="3713">
        <f t="shared" ca="1" si="58"/>
        <v>0</v>
      </c>
      <c r="AI41" s="3713">
        <f t="shared" ca="1" si="58"/>
        <v>0</v>
      </c>
      <c r="AJ41" s="3713">
        <f t="shared" ca="1" si="58"/>
        <v>0</v>
      </c>
      <c r="AK41" s="3713">
        <f t="shared" ca="1" si="58"/>
        <v>0</v>
      </c>
      <c r="AL41" s="3713">
        <f t="shared" ca="1" si="58"/>
        <v>0</v>
      </c>
      <c r="AM41" s="3713">
        <f t="shared" ca="1" si="58"/>
        <v>0</v>
      </c>
      <c r="AN41" s="3713">
        <f t="shared" ca="1" si="58"/>
        <v>0</v>
      </c>
      <c r="AO41" s="3713">
        <f t="shared" ca="1" si="58"/>
        <v>0</v>
      </c>
      <c r="AP41" s="3713">
        <f t="shared" ca="1" si="58"/>
        <v>0</v>
      </c>
      <c r="AQ41" s="3713">
        <f t="shared" ca="1" si="58"/>
        <v>0</v>
      </c>
      <c r="AR41" s="3713">
        <f t="shared" ca="1" si="58"/>
        <v>0</v>
      </c>
      <c r="AS41" s="3713">
        <f t="shared" ca="1" si="58"/>
        <v>0</v>
      </c>
      <c r="AT41" s="3713">
        <f t="shared" ca="1" si="58"/>
        <v>0</v>
      </c>
      <c r="AU41" s="3713">
        <f t="shared" ca="1" si="58"/>
        <v>0</v>
      </c>
      <c r="AV41" s="3713">
        <f t="shared" ref="AV41:CA41" ca="1" si="59">IF(IF(AV30&gt;0,(($M$17)-($M$14-AV$31))*$L30,0)&gt;0,AU41,0)</f>
        <v>0</v>
      </c>
      <c r="AW41" s="3713">
        <f t="shared" ca="1" si="59"/>
        <v>0</v>
      </c>
      <c r="AX41" s="3713">
        <f t="shared" ca="1" si="59"/>
        <v>0</v>
      </c>
      <c r="AY41" s="3713">
        <f t="shared" ca="1" si="59"/>
        <v>0</v>
      </c>
      <c r="AZ41" s="3713">
        <f t="shared" ca="1" si="59"/>
        <v>0</v>
      </c>
      <c r="BA41" s="3713">
        <f t="shared" ca="1" si="59"/>
        <v>0</v>
      </c>
      <c r="BB41" s="3713">
        <f t="shared" ca="1" si="59"/>
        <v>0</v>
      </c>
      <c r="BC41" s="3713">
        <f t="shared" ca="1" si="59"/>
        <v>0</v>
      </c>
      <c r="BD41" s="3713">
        <f t="shared" ca="1" si="59"/>
        <v>0</v>
      </c>
      <c r="BE41" s="3713">
        <f t="shared" ca="1" si="59"/>
        <v>0</v>
      </c>
      <c r="BF41" s="3713">
        <f t="shared" ca="1" si="59"/>
        <v>0</v>
      </c>
      <c r="BG41" s="3713">
        <f t="shared" ca="1" si="59"/>
        <v>0</v>
      </c>
      <c r="BH41" s="3713">
        <f t="shared" ca="1" si="59"/>
        <v>0</v>
      </c>
      <c r="BI41" s="3713">
        <f t="shared" ca="1" si="59"/>
        <v>0</v>
      </c>
      <c r="BJ41" s="3713">
        <f t="shared" ca="1" si="59"/>
        <v>0</v>
      </c>
      <c r="BK41" s="3713">
        <f t="shared" ca="1" si="59"/>
        <v>0</v>
      </c>
      <c r="BL41" s="3713">
        <f t="shared" ca="1" si="59"/>
        <v>0</v>
      </c>
      <c r="BM41" s="3713">
        <f t="shared" ca="1" si="59"/>
        <v>0</v>
      </c>
      <c r="BN41" s="3713">
        <f t="shared" ca="1" si="59"/>
        <v>0</v>
      </c>
      <c r="BO41" s="3713">
        <f t="shared" ca="1" si="59"/>
        <v>0</v>
      </c>
      <c r="BP41" s="3713">
        <f t="shared" ca="1" si="59"/>
        <v>0</v>
      </c>
      <c r="BQ41" s="3713">
        <f t="shared" ca="1" si="59"/>
        <v>0</v>
      </c>
      <c r="BR41" s="3713">
        <f t="shared" ca="1" si="59"/>
        <v>0</v>
      </c>
      <c r="BS41" s="3713">
        <f t="shared" ca="1" si="59"/>
        <v>0</v>
      </c>
      <c r="BT41" s="3713">
        <f t="shared" ca="1" si="59"/>
        <v>0</v>
      </c>
      <c r="BU41" s="3713">
        <f t="shared" ca="1" si="59"/>
        <v>0</v>
      </c>
      <c r="BV41" s="3713">
        <f t="shared" ca="1" si="59"/>
        <v>0</v>
      </c>
      <c r="BW41" s="3713">
        <f t="shared" ca="1" si="59"/>
        <v>0</v>
      </c>
      <c r="BX41" s="3713">
        <f t="shared" ca="1" si="59"/>
        <v>0</v>
      </c>
      <c r="BY41" s="3713">
        <f t="shared" ca="1" si="59"/>
        <v>0</v>
      </c>
      <c r="BZ41" s="3713">
        <f t="shared" ca="1" si="59"/>
        <v>0</v>
      </c>
      <c r="CA41" s="3713">
        <f t="shared" ca="1" si="59"/>
        <v>0</v>
      </c>
      <c r="CB41" s="3713">
        <f t="shared" ref="CB41:CH41" ca="1" si="60">IF(IF(CB30&gt;0,(($M$17)-($M$14-CB$31))*$L30,0)&gt;0,CA41,0)</f>
        <v>0</v>
      </c>
      <c r="CC41" s="3713">
        <f t="shared" ca="1" si="60"/>
        <v>0</v>
      </c>
      <c r="CD41" s="3713">
        <f t="shared" ca="1" si="60"/>
        <v>0</v>
      </c>
      <c r="CE41" s="3713">
        <f t="shared" ca="1" si="60"/>
        <v>0</v>
      </c>
      <c r="CF41" s="3713">
        <f t="shared" ca="1" si="60"/>
        <v>0</v>
      </c>
      <c r="CG41" s="3713">
        <f t="shared" ca="1" si="60"/>
        <v>0</v>
      </c>
      <c r="CH41" s="3713">
        <f t="shared" ca="1" si="60"/>
        <v>0</v>
      </c>
      <c r="CI41" s="92"/>
      <c r="CJ41" s="74"/>
      <c r="CK41" s="42"/>
      <c r="CL41" s="42"/>
    </row>
    <row r="42" spans="1:90" x14ac:dyDescent="0.25">
      <c r="A42" s="957">
        <v>1</v>
      </c>
      <c r="B42" s="96"/>
      <c r="C42" s="96"/>
      <c r="D42" s="96"/>
      <c r="E42" s="96"/>
      <c r="F42" s="96"/>
      <c r="G42" s="96"/>
      <c r="H42" s="96"/>
      <c r="I42" s="174"/>
      <c r="J42" s="92"/>
      <c r="K42" s="3472" t="s">
        <v>93</v>
      </c>
      <c r="L42" s="92"/>
      <c r="M42" s="92"/>
      <c r="N42" s="92"/>
      <c r="O42" s="3719">
        <f t="shared" ref="O42:AT42" ca="1" si="61">SUM(O34:O41)</f>
        <v>0</v>
      </c>
      <c r="P42" s="3719">
        <f t="shared" ca="1" si="61"/>
        <v>0</v>
      </c>
      <c r="Q42" s="3719">
        <f t="shared" ca="1" si="61"/>
        <v>0</v>
      </c>
      <c r="R42" s="3719">
        <f t="shared" ca="1" si="61"/>
        <v>0</v>
      </c>
      <c r="S42" s="3719">
        <f t="shared" ca="1" si="61"/>
        <v>0</v>
      </c>
      <c r="T42" s="3719">
        <f t="shared" ca="1" si="61"/>
        <v>0</v>
      </c>
      <c r="U42" s="3719">
        <f t="shared" ca="1" si="61"/>
        <v>0</v>
      </c>
      <c r="V42" s="3719">
        <f t="shared" ca="1" si="61"/>
        <v>0</v>
      </c>
      <c r="W42" s="3719">
        <f t="shared" ca="1" si="61"/>
        <v>0</v>
      </c>
      <c r="X42" s="3719">
        <f t="shared" ca="1" si="61"/>
        <v>0</v>
      </c>
      <c r="Y42" s="3719">
        <f t="shared" ca="1" si="61"/>
        <v>0</v>
      </c>
      <c r="Z42" s="3719">
        <f t="shared" ca="1" si="61"/>
        <v>0</v>
      </c>
      <c r="AA42" s="3719">
        <f t="shared" ca="1" si="61"/>
        <v>0</v>
      </c>
      <c r="AB42" s="3719">
        <f t="shared" ca="1" si="61"/>
        <v>0</v>
      </c>
      <c r="AC42" s="3719">
        <f t="shared" ca="1" si="61"/>
        <v>0</v>
      </c>
      <c r="AD42" s="3719">
        <f t="shared" ca="1" si="61"/>
        <v>0</v>
      </c>
      <c r="AE42" s="3719">
        <f t="shared" ca="1" si="61"/>
        <v>0</v>
      </c>
      <c r="AF42" s="3719">
        <f t="shared" ca="1" si="61"/>
        <v>0</v>
      </c>
      <c r="AG42" s="3719">
        <f t="shared" ca="1" si="61"/>
        <v>0</v>
      </c>
      <c r="AH42" s="3719">
        <f t="shared" ca="1" si="61"/>
        <v>0</v>
      </c>
      <c r="AI42" s="3719">
        <f t="shared" ca="1" si="61"/>
        <v>0</v>
      </c>
      <c r="AJ42" s="3719">
        <f t="shared" ca="1" si="61"/>
        <v>0</v>
      </c>
      <c r="AK42" s="3719">
        <f t="shared" ca="1" si="61"/>
        <v>0</v>
      </c>
      <c r="AL42" s="3719">
        <f t="shared" ca="1" si="61"/>
        <v>0</v>
      </c>
      <c r="AM42" s="3719">
        <f t="shared" ca="1" si="61"/>
        <v>0</v>
      </c>
      <c r="AN42" s="3719">
        <f t="shared" ca="1" si="61"/>
        <v>0</v>
      </c>
      <c r="AO42" s="3719">
        <f t="shared" ca="1" si="61"/>
        <v>0</v>
      </c>
      <c r="AP42" s="3719">
        <f t="shared" ca="1" si="61"/>
        <v>0</v>
      </c>
      <c r="AQ42" s="3719">
        <f t="shared" ca="1" si="61"/>
        <v>0</v>
      </c>
      <c r="AR42" s="3719">
        <f t="shared" ca="1" si="61"/>
        <v>0</v>
      </c>
      <c r="AS42" s="3719">
        <f t="shared" ca="1" si="61"/>
        <v>0</v>
      </c>
      <c r="AT42" s="3719">
        <f t="shared" ca="1" si="61"/>
        <v>0</v>
      </c>
      <c r="AU42" s="3719">
        <f t="shared" ref="AU42:BZ42" ca="1" si="62">SUM(AU34:AU41)</f>
        <v>0</v>
      </c>
      <c r="AV42" s="3719">
        <f t="shared" ca="1" si="62"/>
        <v>0</v>
      </c>
      <c r="AW42" s="3719">
        <f t="shared" ca="1" si="62"/>
        <v>0</v>
      </c>
      <c r="AX42" s="3719">
        <f t="shared" ca="1" si="62"/>
        <v>0</v>
      </c>
      <c r="AY42" s="3719">
        <f t="shared" ca="1" si="62"/>
        <v>0</v>
      </c>
      <c r="AZ42" s="3719">
        <f t="shared" ca="1" si="62"/>
        <v>0</v>
      </c>
      <c r="BA42" s="3719">
        <f t="shared" ca="1" si="62"/>
        <v>0</v>
      </c>
      <c r="BB42" s="3719">
        <f t="shared" ca="1" si="62"/>
        <v>0</v>
      </c>
      <c r="BC42" s="3719">
        <f t="shared" ca="1" si="62"/>
        <v>0</v>
      </c>
      <c r="BD42" s="3719">
        <f t="shared" ca="1" si="62"/>
        <v>0</v>
      </c>
      <c r="BE42" s="3719">
        <f t="shared" ca="1" si="62"/>
        <v>0</v>
      </c>
      <c r="BF42" s="3719">
        <f t="shared" ca="1" si="62"/>
        <v>0</v>
      </c>
      <c r="BG42" s="3719">
        <f t="shared" ca="1" si="62"/>
        <v>0</v>
      </c>
      <c r="BH42" s="3719">
        <f t="shared" ca="1" si="62"/>
        <v>0</v>
      </c>
      <c r="BI42" s="3719">
        <f t="shared" ca="1" si="62"/>
        <v>0</v>
      </c>
      <c r="BJ42" s="3719">
        <f t="shared" ca="1" si="62"/>
        <v>0</v>
      </c>
      <c r="BK42" s="3719">
        <f t="shared" ca="1" si="62"/>
        <v>0</v>
      </c>
      <c r="BL42" s="3719">
        <f t="shared" ca="1" si="62"/>
        <v>0</v>
      </c>
      <c r="BM42" s="3719">
        <f t="shared" ca="1" si="62"/>
        <v>0</v>
      </c>
      <c r="BN42" s="3719">
        <f t="shared" ca="1" si="62"/>
        <v>0</v>
      </c>
      <c r="BO42" s="3719">
        <f t="shared" ca="1" si="62"/>
        <v>0</v>
      </c>
      <c r="BP42" s="3719">
        <f t="shared" ca="1" si="62"/>
        <v>0</v>
      </c>
      <c r="BQ42" s="3719">
        <f t="shared" ca="1" si="62"/>
        <v>0</v>
      </c>
      <c r="BR42" s="3719">
        <f t="shared" ca="1" si="62"/>
        <v>0</v>
      </c>
      <c r="BS42" s="3719">
        <f t="shared" ca="1" si="62"/>
        <v>0</v>
      </c>
      <c r="BT42" s="3719">
        <f t="shared" ca="1" si="62"/>
        <v>0</v>
      </c>
      <c r="BU42" s="3719">
        <f t="shared" ca="1" si="62"/>
        <v>0</v>
      </c>
      <c r="BV42" s="3719">
        <f t="shared" ca="1" si="62"/>
        <v>0</v>
      </c>
      <c r="BW42" s="3719">
        <f t="shared" ca="1" si="62"/>
        <v>0</v>
      </c>
      <c r="BX42" s="3719">
        <f t="shared" ca="1" si="62"/>
        <v>0</v>
      </c>
      <c r="BY42" s="3719">
        <f t="shared" ca="1" si="62"/>
        <v>0</v>
      </c>
      <c r="BZ42" s="3719">
        <f t="shared" ca="1" si="62"/>
        <v>0</v>
      </c>
      <c r="CA42" s="3719">
        <f t="shared" ref="CA42:CH42" ca="1" si="63">SUM(CA34:CA41)</f>
        <v>0</v>
      </c>
      <c r="CB42" s="3719">
        <f t="shared" ca="1" si="63"/>
        <v>0</v>
      </c>
      <c r="CC42" s="3719">
        <f t="shared" ca="1" si="63"/>
        <v>0</v>
      </c>
      <c r="CD42" s="3719">
        <f t="shared" ca="1" si="63"/>
        <v>0</v>
      </c>
      <c r="CE42" s="3719">
        <f t="shared" ca="1" si="63"/>
        <v>0</v>
      </c>
      <c r="CF42" s="3719">
        <f t="shared" ca="1" si="63"/>
        <v>0</v>
      </c>
      <c r="CG42" s="3719">
        <f t="shared" ca="1" si="63"/>
        <v>0</v>
      </c>
      <c r="CH42" s="3719">
        <f t="shared" ca="1" si="63"/>
        <v>0</v>
      </c>
      <c r="CI42" s="92"/>
      <c r="CJ42" s="74"/>
      <c r="CK42" s="42"/>
      <c r="CL42" s="42"/>
    </row>
    <row r="43" spans="1:90" ht="9.9499999999999993" customHeight="1" x14ac:dyDescent="0.25">
      <c r="A43" s="957">
        <v>1</v>
      </c>
      <c r="B43" s="96"/>
      <c r="C43" s="96"/>
      <c r="D43" s="96"/>
      <c r="E43" s="96"/>
      <c r="F43" s="96"/>
      <c r="G43" s="96"/>
      <c r="H43" s="96"/>
      <c r="I43" s="174"/>
      <c r="J43" s="92"/>
      <c r="K43" s="92"/>
      <c r="L43" s="92"/>
      <c r="M43" s="92"/>
      <c r="N43" s="92"/>
      <c r="O43" s="3713"/>
      <c r="P43" s="3713"/>
      <c r="Q43" s="3713"/>
      <c r="R43" s="3713"/>
      <c r="S43" s="3713"/>
      <c r="T43" s="3713"/>
      <c r="U43" s="3713"/>
      <c r="V43" s="3713"/>
      <c r="W43" s="3713"/>
      <c r="X43" s="3713"/>
      <c r="Y43" s="3713"/>
      <c r="Z43" s="3713"/>
      <c r="AA43" s="3713"/>
      <c r="AB43" s="3713"/>
      <c r="AC43" s="3713"/>
      <c r="AD43" s="3713"/>
      <c r="AE43" s="3713"/>
      <c r="AF43" s="3713"/>
      <c r="AG43" s="3713"/>
      <c r="AH43" s="3713"/>
      <c r="AI43" s="3713"/>
      <c r="AJ43" s="3713"/>
      <c r="AK43" s="3713"/>
      <c r="AL43" s="3713"/>
      <c r="AM43" s="3713"/>
      <c r="AN43" s="3713"/>
      <c r="AO43" s="3713"/>
      <c r="AP43" s="3713"/>
      <c r="AQ43" s="3713"/>
      <c r="AR43" s="3713"/>
      <c r="AS43" s="3713"/>
      <c r="AT43" s="3713"/>
      <c r="AU43" s="3713"/>
      <c r="AV43" s="3713"/>
      <c r="AW43" s="3713"/>
      <c r="AX43" s="3713"/>
      <c r="AY43" s="3713"/>
      <c r="AZ43" s="3713"/>
      <c r="BA43" s="3713"/>
      <c r="BB43" s="3713"/>
      <c r="BC43" s="3713"/>
      <c r="BD43" s="3713"/>
      <c r="BE43" s="3713"/>
      <c r="BF43" s="3713"/>
      <c r="BG43" s="3713"/>
      <c r="BH43" s="3713"/>
      <c r="BI43" s="3713"/>
      <c r="BJ43" s="3713"/>
      <c r="BK43" s="3713"/>
      <c r="BL43" s="3713"/>
      <c r="BM43" s="3713"/>
      <c r="BN43" s="3713"/>
      <c r="BO43" s="3713"/>
      <c r="BP43" s="3713"/>
      <c r="BQ43" s="3713"/>
      <c r="BR43" s="3713"/>
      <c r="BS43" s="3713"/>
      <c r="BT43" s="3713"/>
      <c r="BU43" s="3713"/>
      <c r="BV43" s="3713"/>
      <c r="BW43" s="3713"/>
      <c r="BX43" s="3713"/>
      <c r="BY43" s="3713"/>
      <c r="BZ43" s="3713"/>
      <c r="CA43" s="3713"/>
      <c r="CB43" s="3713"/>
      <c r="CC43" s="3713"/>
      <c r="CD43" s="3713"/>
      <c r="CE43" s="3713"/>
      <c r="CF43" s="3713"/>
      <c r="CG43" s="3713"/>
      <c r="CH43" s="3713"/>
      <c r="CI43" s="92"/>
      <c r="CJ43" s="74"/>
      <c r="CK43" s="42"/>
      <c r="CL43" s="42"/>
    </row>
    <row r="44" spans="1:90" x14ac:dyDescent="0.25">
      <c r="A44" s="957">
        <v>1</v>
      </c>
      <c r="B44" s="96"/>
      <c r="C44" s="96"/>
      <c r="D44" s="96"/>
      <c r="E44" s="96"/>
      <c r="F44" s="96"/>
      <c r="G44" s="96"/>
      <c r="H44" s="96"/>
      <c r="I44" s="174"/>
      <c r="J44" s="92"/>
      <c r="K44" s="3177" t="s">
        <v>444</v>
      </c>
      <c r="L44" s="92"/>
      <c r="M44" s="92"/>
      <c r="N44" s="92"/>
      <c r="O44" s="3709" t="e">
        <f ca="1">$M$14-O31+O42</f>
        <v>#VALUE!</v>
      </c>
      <c r="P44" s="3709" t="e">
        <f t="shared" ref="P44:CA44" ca="1" si="64">$M$14-P31+P42</f>
        <v>#VALUE!</v>
      </c>
      <c r="Q44" s="3709" t="e">
        <f t="shared" ca="1" si="64"/>
        <v>#VALUE!</v>
      </c>
      <c r="R44" s="3709" t="e">
        <f t="shared" ca="1" si="64"/>
        <v>#VALUE!</v>
      </c>
      <c r="S44" s="3709" t="e">
        <f t="shared" ca="1" si="64"/>
        <v>#VALUE!</v>
      </c>
      <c r="T44" s="3709" t="e">
        <f t="shared" ca="1" si="64"/>
        <v>#VALUE!</v>
      </c>
      <c r="U44" s="3709" t="e">
        <f t="shared" ca="1" si="64"/>
        <v>#VALUE!</v>
      </c>
      <c r="V44" s="3709" t="e">
        <f t="shared" ca="1" si="64"/>
        <v>#VALUE!</v>
      </c>
      <c r="W44" s="3709" t="e">
        <f t="shared" ca="1" si="64"/>
        <v>#VALUE!</v>
      </c>
      <c r="X44" s="3709" t="e">
        <f t="shared" ca="1" si="64"/>
        <v>#VALUE!</v>
      </c>
      <c r="Y44" s="3709" t="e">
        <f t="shared" ca="1" si="64"/>
        <v>#VALUE!</v>
      </c>
      <c r="Z44" s="3709" t="e">
        <f t="shared" ca="1" si="64"/>
        <v>#VALUE!</v>
      </c>
      <c r="AA44" s="3709" t="e">
        <f t="shared" ca="1" si="64"/>
        <v>#VALUE!</v>
      </c>
      <c r="AB44" s="3709" t="e">
        <f t="shared" ca="1" si="64"/>
        <v>#VALUE!</v>
      </c>
      <c r="AC44" s="3709" t="e">
        <f t="shared" ca="1" si="64"/>
        <v>#VALUE!</v>
      </c>
      <c r="AD44" s="3709" t="e">
        <f t="shared" ca="1" si="64"/>
        <v>#VALUE!</v>
      </c>
      <c r="AE44" s="3709" t="e">
        <f t="shared" ca="1" si="64"/>
        <v>#VALUE!</v>
      </c>
      <c r="AF44" s="3709" t="e">
        <f t="shared" ca="1" si="64"/>
        <v>#VALUE!</v>
      </c>
      <c r="AG44" s="3709" t="e">
        <f t="shared" ca="1" si="64"/>
        <v>#VALUE!</v>
      </c>
      <c r="AH44" s="3709" t="e">
        <f t="shared" ca="1" si="64"/>
        <v>#VALUE!</v>
      </c>
      <c r="AI44" s="3709" t="e">
        <f t="shared" ca="1" si="64"/>
        <v>#VALUE!</v>
      </c>
      <c r="AJ44" s="3709" t="e">
        <f t="shared" ca="1" si="64"/>
        <v>#VALUE!</v>
      </c>
      <c r="AK44" s="3709" t="e">
        <f t="shared" ca="1" si="64"/>
        <v>#VALUE!</v>
      </c>
      <c r="AL44" s="3709" t="e">
        <f t="shared" ca="1" si="64"/>
        <v>#VALUE!</v>
      </c>
      <c r="AM44" s="3709" t="e">
        <f t="shared" ca="1" si="64"/>
        <v>#VALUE!</v>
      </c>
      <c r="AN44" s="3709" t="e">
        <f t="shared" ca="1" si="64"/>
        <v>#VALUE!</v>
      </c>
      <c r="AO44" s="3709" t="e">
        <f t="shared" ca="1" si="64"/>
        <v>#VALUE!</v>
      </c>
      <c r="AP44" s="3709" t="e">
        <f t="shared" ca="1" si="64"/>
        <v>#VALUE!</v>
      </c>
      <c r="AQ44" s="3709" t="e">
        <f t="shared" ca="1" si="64"/>
        <v>#VALUE!</v>
      </c>
      <c r="AR44" s="3709" t="e">
        <f t="shared" ca="1" si="64"/>
        <v>#VALUE!</v>
      </c>
      <c r="AS44" s="3709" t="e">
        <f t="shared" ca="1" si="64"/>
        <v>#VALUE!</v>
      </c>
      <c r="AT44" s="3709" t="e">
        <f t="shared" ca="1" si="64"/>
        <v>#VALUE!</v>
      </c>
      <c r="AU44" s="3709" t="e">
        <f t="shared" ca="1" si="64"/>
        <v>#VALUE!</v>
      </c>
      <c r="AV44" s="3709" t="e">
        <f t="shared" ca="1" si="64"/>
        <v>#VALUE!</v>
      </c>
      <c r="AW44" s="3709" t="e">
        <f t="shared" ca="1" si="64"/>
        <v>#VALUE!</v>
      </c>
      <c r="AX44" s="3709" t="e">
        <f t="shared" ca="1" si="64"/>
        <v>#VALUE!</v>
      </c>
      <c r="AY44" s="3709" t="e">
        <f t="shared" ca="1" si="64"/>
        <v>#VALUE!</v>
      </c>
      <c r="AZ44" s="3709" t="e">
        <f t="shared" ca="1" si="64"/>
        <v>#VALUE!</v>
      </c>
      <c r="BA44" s="3709" t="e">
        <f t="shared" ca="1" si="64"/>
        <v>#VALUE!</v>
      </c>
      <c r="BB44" s="3709" t="e">
        <f t="shared" ca="1" si="64"/>
        <v>#VALUE!</v>
      </c>
      <c r="BC44" s="3709" t="e">
        <f t="shared" ca="1" si="64"/>
        <v>#VALUE!</v>
      </c>
      <c r="BD44" s="3709" t="e">
        <f t="shared" ca="1" si="64"/>
        <v>#VALUE!</v>
      </c>
      <c r="BE44" s="3709" t="e">
        <f t="shared" ca="1" si="64"/>
        <v>#VALUE!</v>
      </c>
      <c r="BF44" s="3709" t="e">
        <f t="shared" ca="1" si="64"/>
        <v>#VALUE!</v>
      </c>
      <c r="BG44" s="3709" t="e">
        <f t="shared" ca="1" si="64"/>
        <v>#VALUE!</v>
      </c>
      <c r="BH44" s="3709" t="e">
        <f t="shared" ca="1" si="64"/>
        <v>#VALUE!</v>
      </c>
      <c r="BI44" s="3709" t="e">
        <f t="shared" ca="1" si="64"/>
        <v>#VALUE!</v>
      </c>
      <c r="BJ44" s="3709" t="e">
        <f t="shared" ca="1" si="64"/>
        <v>#VALUE!</v>
      </c>
      <c r="BK44" s="3709" t="e">
        <f t="shared" ca="1" si="64"/>
        <v>#VALUE!</v>
      </c>
      <c r="BL44" s="3709" t="e">
        <f t="shared" ca="1" si="64"/>
        <v>#VALUE!</v>
      </c>
      <c r="BM44" s="3709" t="e">
        <f t="shared" ca="1" si="64"/>
        <v>#VALUE!</v>
      </c>
      <c r="BN44" s="3709" t="e">
        <f t="shared" ca="1" si="64"/>
        <v>#VALUE!</v>
      </c>
      <c r="BO44" s="3709" t="e">
        <f t="shared" ca="1" si="64"/>
        <v>#VALUE!</v>
      </c>
      <c r="BP44" s="3709" t="e">
        <f t="shared" ca="1" si="64"/>
        <v>#VALUE!</v>
      </c>
      <c r="BQ44" s="3709" t="e">
        <f t="shared" ca="1" si="64"/>
        <v>#VALUE!</v>
      </c>
      <c r="BR44" s="3709" t="e">
        <f t="shared" ca="1" si="64"/>
        <v>#VALUE!</v>
      </c>
      <c r="BS44" s="3709" t="e">
        <f t="shared" ca="1" si="64"/>
        <v>#VALUE!</v>
      </c>
      <c r="BT44" s="3709" t="e">
        <f t="shared" ca="1" si="64"/>
        <v>#VALUE!</v>
      </c>
      <c r="BU44" s="3709" t="e">
        <f t="shared" ca="1" si="64"/>
        <v>#VALUE!</v>
      </c>
      <c r="BV44" s="3709" t="e">
        <f t="shared" ca="1" si="64"/>
        <v>#VALUE!</v>
      </c>
      <c r="BW44" s="3709" t="e">
        <f t="shared" ca="1" si="64"/>
        <v>#VALUE!</v>
      </c>
      <c r="BX44" s="3709" t="e">
        <f t="shared" ca="1" si="64"/>
        <v>#VALUE!</v>
      </c>
      <c r="BY44" s="3709" t="e">
        <f t="shared" ca="1" si="64"/>
        <v>#VALUE!</v>
      </c>
      <c r="BZ44" s="3709" t="e">
        <f t="shared" ca="1" si="64"/>
        <v>#VALUE!</v>
      </c>
      <c r="CA44" s="3709" t="e">
        <f t="shared" ca="1" si="64"/>
        <v>#VALUE!</v>
      </c>
      <c r="CB44" s="3709" t="e">
        <f t="shared" ref="CB44:CH44" ca="1" si="65">$M$14-CB31+CB42</f>
        <v>#VALUE!</v>
      </c>
      <c r="CC44" s="3709" t="e">
        <f t="shared" ca="1" si="65"/>
        <v>#VALUE!</v>
      </c>
      <c r="CD44" s="3709" t="e">
        <f t="shared" ca="1" si="65"/>
        <v>#VALUE!</v>
      </c>
      <c r="CE44" s="3709" t="e">
        <f t="shared" ca="1" si="65"/>
        <v>#VALUE!</v>
      </c>
      <c r="CF44" s="3709" t="e">
        <f t="shared" ca="1" si="65"/>
        <v>#VALUE!</v>
      </c>
      <c r="CG44" s="3709" t="e">
        <f t="shared" ca="1" si="65"/>
        <v>#VALUE!</v>
      </c>
      <c r="CH44" s="3709" t="e">
        <f t="shared" ca="1" si="65"/>
        <v>#VALUE!</v>
      </c>
      <c r="CI44" s="92"/>
      <c r="CJ44" s="74"/>
      <c r="CK44" s="42"/>
      <c r="CL44" s="42"/>
    </row>
    <row r="45" spans="1:90" ht="15" customHeight="1" x14ac:dyDescent="0.25">
      <c r="A45" s="957">
        <v>1</v>
      </c>
      <c r="B45" s="96"/>
      <c r="C45" s="96"/>
      <c r="D45" s="96"/>
      <c r="E45" s="96"/>
      <c r="F45" s="96"/>
      <c r="G45" s="96"/>
      <c r="H45" s="96"/>
      <c r="I45" s="174"/>
      <c r="J45" s="92"/>
      <c r="K45" s="3177" t="s">
        <v>445</v>
      </c>
      <c r="L45" s="92"/>
      <c r="M45" s="92"/>
      <c r="N45" s="92"/>
      <c r="O45" s="3322" t="e">
        <f t="shared" ref="O45:AT45" ca="1" si="66">O44/Subject_NRA</f>
        <v>#VALUE!</v>
      </c>
      <c r="P45" s="3322" t="e">
        <f t="shared" ca="1" si="66"/>
        <v>#VALUE!</v>
      </c>
      <c r="Q45" s="3322" t="e">
        <f t="shared" ca="1" si="66"/>
        <v>#VALUE!</v>
      </c>
      <c r="R45" s="3322" t="e">
        <f t="shared" ca="1" si="66"/>
        <v>#VALUE!</v>
      </c>
      <c r="S45" s="3322" t="e">
        <f t="shared" ca="1" si="66"/>
        <v>#VALUE!</v>
      </c>
      <c r="T45" s="3322" t="e">
        <f t="shared" ca="1" si="66"/>
        <v>#VALUE!</v>
      </c>
      <c r="U45" s="3322" t="e">
        <f t="shared" ca="1" si="66"/>
        <v>#VALUE!</v>
      </c>
      <c r="V45" s="3322" t="e">
        <f t="shared" ca="1" si="66"/>
        <v>#VALUE!</v>
      </c>
      <c r="W45" s="3322" t="e">
        <f t="shared" ca="1" si="66"/>
        <v>#VALUE!</v>
      </c>
      <c r="X45" s="3322" t="e">
        <f t="shared" ca="1" si="66"/>
        <v>#VALUE!</v>
      </c>
      <c r="Y45" s="3322" t="e">
        <f t="shared" ca="1" si="66"/>
        <v>#VALUE!</v>
      </c>
      <c r="Z45" s="3322" t="e">
        <f t="shared" ca="1" si="66"/>
        <v>#VALUE!</v>
      </c>
      <c r="AA45" s="3322" t="e">
        <f t="shared" ca="1" si="66"/>
        <v>#VALUE!</v>
      </c>
      <c r="AB45" s="3322" t="e">
        <f t="shared" ca="1" si="66"/>
        <v>#VALUE!</v>
      </c>
      <c r="AC45" s="3322" t="e">
        <f t="shared" ca="1" si="66"/>
        <v>#VALUE!</v>
      </c>
      <c r="AD45" s="3322" t="e">
        <f t="shared" ca="1" si="66"/>
        <v>#VALUE!</v>
      </c>
      <c r="AE45" s="3322" t="e">
        <f t="shared" ca="1" si="66"/>
        <v>#VALUE!</v>
      </c>
      <c r="AF45" s="3322" t="e">
        <f t="shared" ca="1" si="66"/>
        <v>#VALUE!</v>
      </c>
      <c r="AG45" s="3322" t="e">
        <f t="shared" ca="1" si="66"/>
        <v>#VALUE!</v>
      </c>
      <c r="AH45" s="3322" t="e">
        <f t="shared" ca="1" si="66"/>
        <v>#VALUE!</v>
      </c>
      <c r="AI45" s="3322" t="e">
        <f t="shared" ca="1" si="66"/>
        <v>#VALUE!</v>
      </c>
      <c r="AJ45" s="3322" t="e">
        <f t="shared" ca="1" si="66"/>
        <v>#VALUE!</v>
      </c>
      <c r="AK45" s="3322" t="e">
        <f t="shared" ca="1" si="66"/>
        <v>#VALUE!</v>
      </c>
      <c r="AL45" s="3322" t="e">
        <f t="shared" ca="1" si="66"/>
        <v>#VALUE!</v>
      </c>
      <c r="AM45" s="3322" t="e">
        <f t="shared" ca="1" si="66"/>
        <v>#VALUE!</v>
      </c>
      <c r="AN45" s="3322" t="e">
        <f t="shared" ca="1" si="66"/>
        <v>#VALUE!</v>
      </c>
      <c r="AO45" s="3322" t="e">
        <f t="shared" ca="1" si="66"/>
        <v>#VALUE!</v>
      </c>
      <c r="AP45" s="3322" t="e">
        <f t="shared" ca="1" si="66"/>
        <v>#VALUE!</v>
      </c>
      <c r="AQ45" s="3322" t="e">
        <f t="shared" ca="1" si="66"/>
        <v>#VALUE!</v>
      </c>
      <c r="AR45" s="3322" t="e">
        <f t="shared" ca="1" si="66"/>
        <v>#VALUE!</v>
      </c>
      <c r="AS45" s="3322" t="e">
        <f t="shared" ca="1" si="66"/>
        <v>#VALUE!</v>
      </c>
      <c r="AT45" s="3322" t="e">
        <f t="shared" ca="1" si="66"/>
        <v>#VALUE!</v>
      </c>
      <c r="AU45" s="3322" t="e">
        <f t="shared" ref="AU45:BZ45" ca="1" si="67">AU44/Subject_NRA</f>
        <v>#VALUE!</v>
      </c>
      <c r="AV45" s="3322" t="e">
        <f t="shared" ca="1" si="67"/>
        <v>#VALUE!</v>
      </c>
      <c r="AW45" s="3322" t="e">
        <f t="shared" ca="1" si="67"/>
        <v>#VALUE!</v>
      </c>
      <c r="AX45" s="3322" t="e">
        <f t="shared" ca="1" si="67"/>
        <v>#VALUE!</v>
      </c>
      <c r="AY45" s="3322" t="e">
        <f t="shared" ca="1" si="67"/>
        <v>#VALUE!</v>
      </c>
      <c r="AZ45" s="3322" t="e">
        <f t="shared" ca="1" si="67"/>
        <v>#VALUE!</v>
      </c>
      <c r="BA45" s="3322" t="e">
        <f t="shared" ca="1" si="67"/>
        <v>#VALUE!</v>
      </c>
      <c r="BB45" s="3322" t="e">
        <f t="shared" ca="1" si="67"/>
        <v>#VALUE!</v>
      </c>
      <c r="BC45" s="3322" t="e">
        <f t="shared" ca="1" si="67"/>
        <v>#VALUE!</v>
      </c>
      <c r="BD45" s="3322" t="e">
        <f t="shared" ca="1" si="67"/>
        <v>#VALUE!</v>
      </c>
      <c r="BE45" s="3322" t="e">
        <f t="shared" ca="1" si="67"/>
        <v>#VALUE!</v>
      </c>
      <c r="BF45" s="3322" t="e">
        <f t="shared" ca="1" si="67"/>
        <v>#VALUE!</v>
      </c>
      <c r="BG45" s="3322" t="e">
        <f t="shared" ca="1" si="67"/>
        <v>#VALUE!</v>
      </c>
      <c r="BH45" s="3322" t="e">
        <f t="shared" ca="1" si="67"/>
        <v>#VALUE!</v>
      </c>
      <c r="BI45" s="3322" t="e">
        <f t="shared" ca="1" si="67"/>
        <v>#VALUE!</v>
      </c>
      <c r="BJ45" s="3322" t="e">
        <f t="shared" ca="1" si="67"/>
        <v>#VALUE!</v>
      </c>
      <c r="BK45" s="3322" t="e">
        <f t="shared" ca="1" si="67"/>
        <v>#VALUE!</v>
      </c>
      <c r="BL45" s="3322" t="e">
        <f t="shared" ca="1" si="67"/>
        <v>#VALUE!</v>
      </c>
      <c r="BM45" s="3322" t="e">
        <f t="shared" ca="1" si="67"/>
        <v>#VALUE!</v>
      </c>
      <c r="BN45" s="3322" t="e">
        <f t="shared" ca="1" si="67"/>
        <v>#VALUE!</v>
      </c>
      <c r="BO45" s="3322" t="e">
        <f t="shared" ca="1" si="67"/>
        <v>#VALUE!</v>
      </c>
      <c r="BP45" s="3322" t="e">
        <f t="shared" ca="1" si="67"/>
        <v>#VALUE!</v>
      </c>
      <c r="BQ45" s="3322" t="e">
        <f t="shared" ca="1" si="67"/>
        <v>#VALUE!</v>
      </c>
      <c r="BR45" s="3322" t="e">
        <f t="shared" ca="1" si="67"/>
        <v>#VALUE!</v>
      </c>
      <c r="BS45" s="3322" t="e">
        <f t="shared" ca="1" si="67"/>
        <v>#VALUE!</v>
      </c>
      <c r="BT45" s="3322" t="e">
        <f t="shared" ca="1" si="67"/>
        <v>#VALUE!</v>
      </c>
      <c r="BU45" s="3322" t="e">
        <f t="shared" ca="1" si="67"/>
        <v>#VALUE!</v>
      </c>
      <c r="BV45" s="3322" t="e">
        <f t="shared" ca="1" si="67"/>
        <v>#VALUE!</v>
      </c>
      <c r="BW45" s="3322" t="e">
        <f t="shared" ca="1" si="67"/>
        <v>#VALUE!</v>
      </c>
      <c r="BX45" s="3322" t="e">
        <f t="shared" ca="1" si="67"/>
        <v>#VALUE!</v>
      </c>
      <c r="BY45" s="3322" t="e">
        <f t="shared" ca="1" si="67"/>
        <v>#VALUE!</v>
      </c>
      <c r="BZ45" s="3322" t="e">
        <f t="shared" ca="1" si="67"/>
        <v>#VALUE!</v>
      </c>
      <c r="CA45" s="3322" t="e">
        <f t="shared" ref="CA45:CH45" ca="1" si="68">CA44/Subject_NRA</f>
        <v>#VALUE!</v>
      </c>
      <c r="CB45" s="3322" t="e">
        <f t="shared" ca="1" si="68"/>
        <v>#VALUE!</v>
      </c>
      <c r="CC45" s="3322" t="e">
        <f t="shared" ca="1" si="68"/>
        <v>#VALUE!</v>
      </c>
      <c r="CD45" s="3322" t="e">
        <f t="shared" ca="1" si="68"/>
        <v>#VALUE!</v>
      </c>
      <c r="CE45" s="3322" t="e">
        <f t="shared" ca="1" si="68"/>
        <v>#VALUE!</v>
      </c>
      <c r="CF45" s="3322" t="e">
        <f t="shared" ca="1" si="68"/>
        <v>#VALUE!</v>
      </c>
      <c r="CG45" s="3322" t="e">
        <f t="shared" ca="1" si="68"/>
        <v>#VALUE!</v>
      </c>
      <c r="CH45" s="3322" t="e">
        <f t="shared" ca="1" si="68"/>
        <v>#VALUE!</v>
      </c>
      <c r="CI45" s="92"/>
      <c r="CJ45" s="74"/>
      <c r="CK45" s="42"/>
      <c r="CL45" s="42"/>
    </row>
    <row r="46" spans="1:90" ht="9.9499999999999993" customHeight="1" x14ac:dyDescent="0.25">
      <c r="A46" s="957">
        <v>1</v>
      </c>
      <c r="B46" s="96"/>
      <c r="C46" s="96"/>
      <c r="D46" s="96"/>
      <c r="E46" s="96"/>
      <c r="F46" s="96"/>
      <c r="G46" s="96"/>
      <c r="H46" s="96"/>
      <c r="I46" s="174"/>
      <c r="J46" s="92"/>
      <c r="K46" s="92"/>
      <c r="L46" s="92"/>
      <c r="M46" s="92"/>
      <c r="N46" s="92"/>
      <c r="O46" s="3404"/>
      <c r="P46" s="3404"/>
      <c r="Q46" s="3404"/>
      <c r="R46" s="3404"/>
      <c r="S46" s="3404"/>
      <c r="T46" s="3404"/>
      <c r="U46" s="3404"/>
      <c r="V46" s="3404"/>
      <c r="W46" s="3404"/>
      <c r="X46" s="3404"/>
      <c r="Y46" s="3404"/>
      <c r="Z46" s="3404"/>
      <c r="AA46" s="3404"/>
      <c r="AB46" s="3404"/>
      <c r="AC46" s="3404"/>
      <c r="AD46" s="3404"/>
      <c r="AE46" s="3404"/>
      <c r="AF46" s="3404"/>
      <c r="AG46" s="3404"/>
      <c r="AH46" s="3404"/>
      <c r="AI46" s="3404"/>
      <c r="AJ46" s="3404"/>
      <c r="AK46" s="3404"/>
      <c r="AL46" s="3404"/>
      <c r="AM46" s="3404"/>
      <c r="AN46" s="3404"/>
      <c r="AO46" s="3404"/>
      <c r="AP46" s="3404"/>
      <c r="AQ46" s="3404"/>
      <c r="AR46" s="3404"/>
      <c r="AS46" s="3404"/>
      <c r="AT46" s="3404"/>
      <c r="AU46" s="3404"/>
      <c r="AV46" s="3404"/>
      <c r="AW46" s="3404"/>
      <c r="AX46" s="3404"/>
      <c r="AY46" s="3404"/>
      <c r="AZ46" s="3404"/>
      <c r="BA46" s="3404"/>
      <c r="BB46" s="3404"/>
      <c r="BC46" s="3404"/>
      <c r="BD46" s="3404"/>
      <c r="BE46" s="3404"/>
      <c r="BF46" s="3404"/>
      <c r="BG46" s="3404"/>
      <c r="BH46" s="3404"/>
      <c r="BI46" s="3404"/>
      <c r="BJ46" s="3404"/>
      <c r="BK46" s="3404"/>
      <c r="BL46" s="3404"/>
      <c r="BM46" s="3404"/>
      <c r="BN46" s="3404"/>
      <c r="BO46" s="3404"/>
      <c r="BP46" s="3404"/>
      <c r="BQ46" s="3404"/>
      <c r="BR46" s="3404"/>
      <c r="BS46" s="3404"/>
      <c r="BT46" s="3404"/>
      <c r="BU46" s="3404"/>
      <c r="BV46" s="3404"/>
      <c r="BW46" s="3404"/>
      <c r="BX46" s="3404"/>
      <c r="BY46" s="3404"/>
      <c r="BZ46" s="3404"/>
      <c r="CA46" s="3404"/>
      <c r="CB46" s="3404"/>
      <c r="CC46" s="3404"/>
      <c r="CD46" s="3404"/>
      <c r="CE46" s="3404"/>
      <c r="CF46" s="3404"/>
      <c r="CG46" s="3404"/>
      <c r="CH46" s="3404"/>
      <c r="CI46" s="92"/>
      <c r="CJ46" s="74"/>
      <c r="CK46" s="42"/>
      <c r="CL46" s="42"/>
    </row>
    <row r="47" spans="1:90" ht="15" customHeight="1" x14ac:dyDescent="0.25">
      <c r="A47" s="957">
        <v>1</v>
      </c>
      <c r="B47" s="96"/>
      <c r="C47" s="96"/>
      <c r="D47" s="96"/>
      <c r="E47" s="96"/>
      <c r="F47" s="96"/>
      <c r="G47" s="96"/>
      <c r="H47" s="96"/>
      <c r="I47" s="174"/>
      <c r="J47" s="92"/>
      <c r="K47" s="3716" t="s">
        <v>449</v>
      </c>
      <c r="L47" s="4222" t="str">
        <f ca="1">IF(SUM(A6:A13)=1,"Market Rental Rate","Market Rental Rates")</f>
        <v>Market Rental Rates</v>
      </c>
      <c r="M47" s="4222"/>
      <c r="N47" s="4222"/>
      <c r="O47" s="3721"/>
      <c r="P47" s="3721" t="str">
        <f>IF(AND(dpIncome_RentGrowth1=dpIncome_RentGrowth2,dpIncome_RentGrowth1=dpIncome_RentGrowth3,dpIncome_RentGrowth1=dpIncome_RentGrowth4),"Growth Rate","Year 1 Growth Rate")</f>
        <v>Growth Rate</v>
      </c>
      <c r="Q47" s="3722">
        <f>dpIncome_RentGrowth1</f>
        <v>0</v>
      </c>
      <c r="R47" s="415"/>
      <c r="S47" s="3256"/>
      <c r="T47" s="3256"/>
      <c r="U47" s="3256"/>
      <c r="V47" s="3256"/>
      <c r="W47" s="3256"/>
      <c r="X47" s="3256"/>
      <c r="Y47" s="3256"/>
      <c r="Z47" s="3721" t="str">
        <f>IF(AND(dpIncome_RentGrowth1=dpIncome_RentGrowth2,dpIncome_RentGrowth1=dpIncome_RentGrowth3,dpIncome_RentGrowth1=dpIncome_RentGrowth4),"","Year 2 Growth Rate")</f>
        <v/>
      </c>
      <c r="AA47" s="3723" t="str">
        <f>IF(AND(dpIncome_RentGrowth1=dpIncome_RentGrowth2,dpIncome_RentGrowth1=dpIncome_RentGrowth3,dpIncome_RentGrowth1=dpIncome_RentGrowth4),"",dpIncome_RentGrowth2)</f>
        <v/>
      </c>
      <c r="AB47" s="415"/>
      <c r="AC47" s="415"/>
      <c r="AD47" s="3724"/>
      <c r="AE47" s="3256"/>
      <c r="AF47" s="3256"/>
      <c r="AG47" s="3256"/>
      <c r="AH47" s="3256"/>
      <c r="AI47" s="3256"/>
      <c r="AJ47" s="3256"/>
      <c r="AK47" s="3256"/>
      <c r="AL47" s="3721" t="str">
        <f>IF(AND(dpIncome_RentGrowth1=dpIncome_RentGrowth2,dpIncome_RentGrowth1=dpIncome_RentGrowth3,dpIncome_RentGrowth1=dpIncome_RentGrowth4),"","Year 3 Growth Rate")</f>
        <v/>
      </c>
      <c r="AM47" s="3723" t="str">
        <f>IF(AND(dpIncome_RentGrowth1=dpIncome_RentGrowth2,dpIncome_RentGrowth1=dpIncome_RentGrowth3,dpIncome_RentGrowth1=dpIncome_RentGrowth4),"",dpIncome_RentGrowth3)</f>
        <v/>
      </c>
      <c r="AN47" s="415"/>
      <c r="AO47" s="415"/>
      <c r="AP47" s="3724"/>
      <c r="AQ47" s="3256"/>
      <c r="AR47" s="3256"/>
      <c r="AS47" s="3256"/>
      <c r="AT47" s="3256"/>
      <c r="AU47" s="3256"/>
      <c r="AV47" s="3256"/>
      <c r="AW47" s="3721" t="str">
        <f>IF(AND(dpIncome_RentGrowth1=dpIncome_RentGrowth2,dpIncome_RentGrowth1=dpIncome_RentGrowth3,dpIncome_RentGrowth1=dpIncome_RentGrowth4),"","Year 4 Growth Rate")</f>
        <v/>
      </c>
      <c r="AX47" s="3725" t="str">
        <f>IF(AND(dpIncome_RentGrowth1=dpIncome_RentGrowth2,dpIncome_RentGrowth1=dpIncome_RentGrowth3,dpIncome_RentGrowth1=dpIncome_RentGrowth4),"",dpIncome_RentGrowth4)</f>
        <v/>
      </c>
      <c r="AY47" s="3726"/>
      <c r="AZ47" s="415"/>
      <c r="BA47" s="415"/>
      <c r="BB47" s="3724"/>
      <c r="BC47" s="3256"/>
      <c r="BD47" s="3256"/>
      <c r="BE47" s="3256"/>
      <c r="BF47" s="3256"/>
      <c r="BG47" s="3256"/>
      <c r="BH47" s="3256"/>
      <c r="BI47" s="3256"/>
      <c r="BJ47" s="3256"/>
      <c r="BK47" s="3256"/>
      <c r="BL47" s="3256"/>
      <c r="BM47" s="3256"/>
      <c r="BN47" s="3256"/>
      <c r="BO47" s="3256"/>
      <c r="BP47" s="3256"/>
      <c r="BQ47" s="3256"/>
      <c r="BR47" s="3256"/>
      <c r="BS47" s="3256"/>
      <c r="BT47" s="3256"/>
      <c r="BU47" s="3256"/>
      <c r="BV47" s="3256"/>
      <c r="BW47" s="3256"/>
      <c r="BX47" s="3256"/>
      <c r="BY47" s="3256"/>
      <c r="BZ47" s="3256"/>
      <c r="CA47" s="3256"/>
      <c r="CB47" s="3256"/>
      <c r="CC47" s="3256"/>
      <c r="CD47" s="3256"/>
      <c r="CE47" s="3256"/>
      <c r="CF47" s="3256"/>
      <c r="CG47" s="3256"/>
      <c r="CH47" s="3256"/>
      <c r="CI47" s="92"/>
      <c r="CJ47" s="74"/>
      <c r="CK47" s="42"/>
      <c r="CL47" s="42"/>
    </row>
    <row r="48" spans="1:90" ht="15" hidden="1" customHeight="1" x14ac:dyDescent="0.25">
      <c r="A48" s="957">
        <f ca="1">IF($M$6=0,0,1)</f>
        <v>0</v>
      </c>
      <c r="B48" s="96"/>
      <c r="C48" s="96"/>
      <c r="D48" s="96"/>
      <c r="E48" s="96"/>
      <c r="F48" s="96"/>
      <c r="G48" s="96"/>
      <c r="H48" s="96"/>
      <c r="I48" s="174"/>
      <c r="J48" s="92"/>
      <c r="K48" s="92" t="str">
        <f>$K$6</f>
        <v>Industrial Office/Warehouse</v>
      </c>
      <c r="L48" s="4225">
        <v>16</v>
      </c>
      <c r="M48" s="4226"/>
      <c r="N48" s="4226"/>
      <c r="O48" s="3727">
        <f t="shared" ref="O48:AT48" ca="1" si="69">IF(dpIncome_RentUnitDisplay="Annual",($L48/12),$L48)*IF(O23&gt;0,(($M$17)-($M$14-O$31))*(O23/O$31),0)</f>
        <v>0</v>
      </c>
      <c r="P48" s="3727">
        <f t="shared" ca="1" si="69"/>
        <v>0</v>
      </c>
      <c r="Q48" s="3727">
        <f t="shared" ca="1" si="69"/>
        <v>0</v>
      </c>
      <c r="R48" s="3727">
        <f t="shared" ca="1" si="69"/>
        <v>0</v>
      </c>
      <c r="S48" s="3727">
        <f t="shared" ca="1" si="69"/>
        <v>0</v>
      </c>
      <c r="T48" s="3727">
        <f t="shared" ca="1" si="69"/>
        <v>0</v>
      </c>
      <c r="U48" s="3727">
        <f t="shared" ca="1" si="69"/>
        <v>0</v>
      </c>
      <c r="V48" s="3727">
        <f t="shared" ca="1" si="69"/>
        <v>0</v>
      </c>
      <c r="W48" s="3727">
        <f t="shared" ca="1" si="69"/>
        <v>0</v>
      </c>
      <c r="X48" s="3727">
        <f t="shared" ca="1" si="69"/>
        <v>0</v>
      </c>
      <c r="Y48" s="3727">
        <f t="shared" ca="1" si="69"/>
        <v>0</v>
      </c>
      <c r="Z48" s="3727">
        <f t="shared" ca="1" si="69"/>
        <v>0</v>
      </c>
      <c r="AA48" s="3727">
        <f t="shared" ca="1" si="69"/>
        <v>0</v>
      </c>
      <c r="AB48" s="3727">
        <f t="shared" ca="1" si="69"/>
        <v>0</v>
      </c>
      <c r="AC48" s="3727">
        <f t="shared" ca="1" si="69"/>
        <v>0</v>
      </c>
      <c r="AD48" s="3727">
        <f t="shared" ca="1" si="69"/>
        <v>0</v>
      </c>
      <c r="AE48" s="3727">
        <f t="shared" ca="1" si="69"/>
        <v>0</v>
      </c>
      <c r="AF48" s="3727">
        <f t="shared" ca="1" si="69"/>
        <v>0</v>
      </c>
      <c r="AG48" s="3727">
        <f t="shared" ca="1" si="69"/>
        <v>0</v>
      </c>
      <c r="AH48" s="3727">
        <f t="shared" ca="1" si="69"/>
        <v>0</v>
      </c>
      <c r="AI48" s="3727">
        <f t="shared" ca="1" si="69"/>
        <v>0</v>
      </c>
      <c r="AJ48" s="3727">
        <f t="shared" ca="1" si="69"/>
        <v>0</v>
      </c>
      <c r="AK48" s="3727">
        <f t="shared" ca="1" si="69"/>
        <v>0</v>
      </c>
      <c r="AL48" s="3727">
        <f t="shared" ca="1" si="69"/>
        <v>0</v>
      </c>
      <c r="AM48" s="3727">
        <f t="shared" ca="1" si="69"/>
        <v>0</v>
      </c>
      <c r="AN48" s="3727">
        <f t="shared" ca="1" si="69"/>
        <v>0</v>
      </c>
      <c r="AO48" s="3727">
        <f t="shared" ca="1" si="69"/>
        <v>0</v>
      </c>
      <c r="AP48" s="3727">
        <f t="shared" ca="1" si="69"/>
        <v>0</v>
      </c>
      <c r="AQ48" s="3727">
        <f t="shared" ca="1" si="69"/>
        <v>0</v>
      </c>
      <c r="AR48" s="3727">
        <f t="shared" ca="1" si="69"/>
        <v>0</v>
      </c>
      <c r="AS48" s="3727">
        <f t="shared" ca="1" si="69"/>
        <v>0</v>
      </c>
      <c r="AT48" s="3727">
        <f t="shared" ca="1" si="69"/>
        <v>0</v>
      </c>
      <c r="AU48" s="3727">
        <f t="shared" ref="AU48:BZ48" ca="1" si="70">IF(dpIncome_RentUnitDisplay="Annual",($L48/12),$L48)*IF(AU23&gt;0,(($M$17)-($M$14-AU$31))*(AU23/AU$31),0)</f>
        <v>0</v>
      </c>
      <c r="AV48" s="3727">
        <f t="shared" ca="1" si="70"/>
        <v>0</v>
      </c>
      <c r="AW48" s="3727">
        <f t="shared" ca="1" si="70"/>
        <v>0</v>
      </c>
      <c r="AX48" s="3727">
        <f t="shared" ca="1" si="70"/>
        <v>0</v>
      </c>
      <c r="AY48" s="3727">
        <f t="shared" ca="1" si="70"/>
        <v>0</v>
      </c>
      <c r="AZ48" s="3727">
        <f t="shared" ca="1" si="70"/>
        <v>0</v>
      </c>
      <c r="BA48" s="3727">
        <f t="shared" ca="1" si="70"/>
        <v>0</v>
      </c>
      <c r="BB48" s="3727">
        <f t="shared" ca="1" si="70"/>
        <v>0</v>
      </c>
      <c r="BC48" s="3727">
        <f t="shared" ca="1" si="70"/>
        <v>0</v>
      </c>
      <c r="BD48" s="3727">
        <f t="shared" ca="1" si="70"/>
        <v>0</v>
      </c>
      <c r="BE48" s="3727">
        <f t="shared" ca="1" si="70"/>
        <v>0</v>
      </c>
      <c r="BF48" s="3727">
        <f t="shared" ca="1" si="70"/>
        <v>0</v>
      </c>
      <c r="BG48" s="3727">
        <f t="shared" ca="1" si="70"/>
        <v>0</v>
      </c>
      <c r="BH48" s="3727">
        <f t="shared" ca="1" si="70"/>
        <v>0</v>
      </c>
      <c r="BI48" s="3727">
        <f t="shared" ca="1" si="70"/>
        <v>0</v>
      </c>
      <c r="BJ48" s="3727">
        <f t="shared" ca="1" si="70"/>
        <v>0</v>
      </c>
      <c r="BK48" s="3727">
        <f t="shared" ca="1" si="70"/>
        <v>0</v>
      </c>
      <c r="BL48" s="3727">
        <f t="shared" ca="1" si="70"/>
        <v>0</v>
      </c>
      <c r="BM48" s="3727">
        <f t="shared" ca="1" si="70"/>
        <v>0</v>
      </c>
      <c r="BN48" s="3727">
        <f t="shared" ca="1" si="70"/>
        <v>0</v>
      </c>
      <c r="BO48" s="3727">
        <f t="shared" ca="1" si="70"/>
        <v>0</v>
      </c>
      <c r="BP48" s="3727">
        <f t="shared" ca="1" si="70"/>
        <v>0</v>
      </c>
      <c r="BQ48" s="3727">
        <f t="shared" ca="1" si="70"/>
        <v>0</v>
      </c>
      <c r="BR48" s="3727">
        <f t="shared" ca="1" si="70"/>
        <v>0</v>
      </c>
      <c r="BS48" s="3727">
        <f t="shared" ca="1" si="70"/>
        <v>0</v>
      </c>
      <c r="BT48" s="3727">
        <f t="shared" ca="1" si="70"/>
        <v>0</v>
      </c>
      <c r="BU48" s="3727">
        <f t="shared" ca="1" si="70"/>
        <v>0</v>
      </c>
      <c r="BV48" s="3727">
        <f t="shared" ca="1" si="70"/>
        <v>0</v>
      </c>
      <c r="BW48" s="3727">
        <f t="shared" ca="1" si="70"/>
        <v>0</v>
      </c>
      <c r="BX48" s="3727">
        <f t="shared" ca="1" si="70"/>
        <v>0</v>
      </c>
      <c r="BY48" s="3727">
        <f t="shared" ca="1" si="70"/>
        <v>0</v>
      </c>
      <c r="BZ48" s="3727">
        <f t="shared" ca="1" si="70"/>
        <v>0</v>
      </c>
      <c r="CA48" s="3727">
        <f t="shared" ref="CA48:CH48" ca="1" si="71">IF(dpIncome_RentUnitDisplay="Annual",($L48/12),$L48)*IF(CA23&gt;0,(($M$17)-($M$14-CA$31))*(CA23/CA$31),0)</f>
        <v>0</v>
      </c>
      <c r="CB48" s="3727">
        <f t="shared" ca="1" si="71"/>
        <v>0</v>
      </c>
      <c r="CC48" s="3727">
        <f t="shared" ca="1" si="71"/>
        <v>0</v>
      </c>
      <c r="CD48" s="3727">
        <f t="shared" ca="1" si="71"/>
        <v>0</v>
      </c>
      <c r="CE48" s="3727">
        <f t="shared" ca="1" si="71"/>
        <v>0</v>
      </c>
      <c r="CF48" s="3727">
        <f t="shared" ca="1" si="71"/>
        <v>0</v>
      </c>
      <c r="CG48" s="3727">
        <f t="shared" ca="1" si="71"/>
        <v>0</v>
      </c>
      <c r="CH48" s="3727">
        <f t="shared" ca="1" si="71"/>
        <v>0</v>
      </c>
      <c r="CI48" s="92"/>
      <c r="CJ48" s="74"/>
      <c r="CK48" s="42"/>
      <c r="CL48" s="42"/>
    </row>
    <row r="49" spans="1:90" ht="15" hidden="1" customHeight="1" x14ac:dyDescent="0.25">
      <c r="A49" s="957">
        <f ca="1">IF($M$7=0,0,1)</f>
        <v>0</v>
      </c>
      <c r="B49" s="96"/>
      <c r="C49" s="96"/>
      <c r="D49" s="96"/>
      <c r="E49" s="96"/>
      <c r="F49" s="96"/>
      <c r="G49" s="96"/>
      <c r="H49" s="96"/>
      <c r="I49" s="174"/>
      <c r="J49" s="92"/>
      <c r="K49" s="92" t="str">
        <f>$K$7</f>
        <v>Land Storage</v>
      </c>
      <c r="L49" s="4225">
        <v>1.5</v>
      </c>
      <c r="M49" s="4229"/>
      <c r="N49" s="4229"/>
      <c r="O49" s="3727">
        <f t="shared" ref="O49:AT49" ca="1" si="72">IF(dpIncome_RentUnitDisplay="Annual",($L49/12),$L49)*IF(O24&gt;0,(($M$17)-($M$14-O$31))*(O24/O$31),0)</f>
        <v>0</v>
      </c>
      <c r="P49" s="3727">
        <f t="shared" ca="1" si="72"/>
        <v>0</v>
      </c>
      <c r="Q49" s="3727">
        <f t="shared" ca="1" si="72"/>
        <v>0</v>
      </c>
      <c r="R49" s="3727">
        <f t="shared" ca="1" si="72"/>
        <v>0</v>
      </c>
      <c r="S49" s="3727">
        <f t="shared" ca="1" si="72"/>
        <v>0</v>
      </c>
      <c r="T49" s="3727">
        <f t="shared" ca="1" si="72"/>
        <v>0</v>
      </c>
      <c r="U49" s="3727">
        <f t="shared" ca="1" si="72"/>
        <v>0</v>
      </c>
      <c r="V49" s="3727">
        <f t="shared" ca="1" si="72"/>
        <v>0</v>
      </c>
      <c r="W49" s="3727">
        <f t="shared" ca="1" si="72"/>
        <v>0</v>
      </c>
      <c r="X49" s="3727">
        <f t="shared" ca="1" si="72"/>
        <v>0</v>
      </c>
      <c r="Y49" s="3727">
        <f t="shared" ca="1" si="72"/>
        <v>0</v>
      </c>
      <c r="Z49" s="3727">
        <f t="shared" ca="1" si="72"/>
        <v>0</v>
      </c>
      <c r="AA49" s="3727">
        <f t="shared" ca="1" si="72"/>
        <v>0</v>
      </c>
      <c r="AB49" s="3727">
        <f t="shared" ca="1" si="72"/>
        <v>0</v>
      </c>
      <c r="AC49" s="3727">
        <f t="shared" ca="1" si="72"/>
        <v>0</v>
      </c>
      <c r="AD49" s="3727">
        <f t="shared" ca="1" si="72"/>
        <v>0</v>
      </c>
      <c r="AE49" s="3727">
        <f t="shared" ca="1" si="72"/>
        <v>0</v>
      </c>
      <c r="AF49" s="3727">
        <f t="shared" ca="1" si="72"/>
        <v>0</v>
      </c>
      <c r="AG49" s="3727">
        <f t="shared" ca="1" si="72"/>
        <v>0</v>
      </c>
      <c r="AH49" s="3727">
        <f t="shared" ca="1" si="72"/>
        <v>0</v>
      </c>
      <c r="AI49" s="3727">
        <f t="shared" ca="1" si="72"/>
        <v>0</v>
      </c>
      <c r="AJ49" s="3727">
        <f t="shared" ca="1" si="72"/>
        <v>0</v>
      </c>
      <c r="AK49" s="3727">
        <f t="shared" ca="1" si="72"/>
        <v>0</v>
      </c>
      <c r="AL49" s="3727">
        <f t="shared" ca="1" si="72"/>
        <v>0</v>
      </c>
      <c r="AM49" s="3727">
        <f t="shared" ca="1" si="72"/>
        <v>0</v>
      </c>
      <c r="AN49" s="3727">
        <f t="shared" ca="1" si="72"/>
        <v>0</v>
      </c>
      <c r="AO49" s="3727">
        <f t="shared" ca="1" si="72"/>
        <v>0</v>
      </c>
      <c r="AP49" s="3727">
        <f t="shared" ca="1" si="72"/>
        <v>0</v>
      </c>
      <c r="AQ49" s="3727">
        <f t="shared" ca="1" si="72"/>
        <v>0</v>
      </c>
      <c r="AR49" s="3727">
        <f t="shared" ca="1" si="72"/>
        <v>0</v>
      </c>
      <c r="AS49" s="3727">
        <f t="shared" ca="1" si="72"/>
        <v>0</v>
      </c>
      <c r="AT49" s="3727">
        <f t="shared" ca="1" si="72"/>
        <v>0</v>
      </c>
      <c r="AU49" s="3727">
        <f t="shared" ref="AU49:BZ49" ca="1" si="73">IF(dpIncome_RentUnitDisplay="Annual",($L49/12),$L49)*IF(AU24&gt;0,(($M$17)-($M$14-AU$31))*(AU24/AU$31),0)</f>
        <v>0</v>
      </c>
      <c r="AV49" s="3727">
        <f t="shared" ca="1" si="73"/>
        <v>0</v>
      </c>
      <c r="AW49" s="3727">
        <f t="shared" ca="1" si="73"/>
        <v>0</v>
      </c>
      <c r="AX49" s="3727">
        <f t="shared" ca="1" si="73"/>
        <v>0</v>
      </c>
      <c r="AY49" s="3727">
        <f t="shared" ca="1" si="73"/>
        <v>0</v>
      </c>
      <c r="AZ49" s="3727">
        <f t="shared" ca="1" si="73"/>
        <v>0</v>
      </c>
      <c r="BA49" s="3727">
        <f t="shared" ca="1" si="73"/>
        <v>0</v>
      </c>
      <c r="BB49" s="3727">
        <f t="shared" ca="1" si="73"/>
        <v>0</v>
      </c>
      <c r="BC49" s="3727">
        <f t="shared" ca="1" si="73"/>
        <v>0</v>
      </c>
      <c r="BD49" s="3727">
        <f t="shared" ca="1" si="73"/>
        <v>0</v>
      </c>
      <c r="BE49" s="3727">
        <f t="shared" ca="1" si="73"/>
        <v>0</v>
      </c>
      <c r="BF49" s="3727">
        <f t="shared" ca="1" si="73"/>
        <v>0</v>
      </c>
      <c r="BG49" s="3727">
        <f t="shared" ca="1" si="73"/>
        <v>0</v>
      </c>
      <c r="BH49" s="3727">
        <f t="shared" ca="1" si="73"/>
        <v>0</v>
      </c>
      <c r="BI49" s="3727">
        <f t="shared" ca="1" si="73"/>
        <v>0</v>
      </c>
      <c r="BJ49" s="3727">
        <f t="shared" ca="1" si="73"/>
        <v>0</v>
      </c>
      <c r="BK49" s="3727">
        <f t="shared" ca="1" si="73"/>
        <v>0</v>
      </c>
      <c r="BL49" s="3727">
        <f t="shared" ca="1" si="73"/>
        <v>0</v>
      </c>
      <c r="BM49" s="3727">
        <f t="shared" ca="1" si="73"/>
        <v>0</v>
      </c>
      <c r="BN49" s="3727">
        <f t="shared" ca="1" si="73"/>
        <v>0</v>
      </c>
      <c r="BO49" s="3727">
        <f t="shared" ca="1" si="73"/>
        <v>0</v>
      </c>
      <c r="BP49" s="3727">
        <f t="shared" ca="1" si="73"/>
        <v>0</v>
      </c>
      <c r="BQ49" s="3727">
        <f t="shared" ca="1" si="73"/>
        <v>0</v>
      </c>
      <c r="BR49" s="3727">
        <f t="shared" ca="1" si="73"/>
        <v>0</v>
      </c>
      <c r="BS49" s="3727">
        <f t="shared" ca="1" si="73"/>
        <v>0</v>
      </c>
      <c r="BT49" s="3727">
        <f t="shared" ca="1" si="73"/>
        <v>0</v>
      </c>
      <c r="BU49" s="3727">
        <f t="shared" ca="1" si="73"/>
        <v>0</v>
      </c>
      <c r="BV49" s="3727">
        <f t="shared" ca="1" si="73"/>
        <v>0</v>
      </c>
      <c r="BW49" s="3727">
        <f t="shared" ca="1" si="73"/>
        <v>0</v>
      </c>
      <c r="BX49" s="3727">
        <f t="shared" ca="1" si="73"/>
        <v>0</v>
      </c>
      <c r="BY49" s="3727">
        <f t="shared" ca="1" si="73"/>
        <v>0</v>
      </c>
      <c r="BZ49" s="3727">
        <f t="shared" ca="1" si="73"/>
        <v>0</v>
      </c>
      <c r="CA49" s="3727">
        <f t="shared" ref="CA49:CH49" ca="1" si="74">IF(dpIncome_RentUnitDisplay="Annual",($L49/12),$L49)*IF(CA24&gt;0,(($M$17)-($M$14-CA$31))*(CA24/CA$31),0)</f>
        <v>0</v>
      </c>
      <c r="CB49" s="3727">
        <f t="shared" ca="1" si="74"/>
        <v>0</v>
      </c>
      <c r="CC49" s="3727">
        <f t="shared" ca="1" si="74"/>
        <v>0</v>
      </c>
      <c r="CD49" s="3727">
        <f t="shared" ca="1" si="74"/>
        <v>0</v>
      </c>
      <c r="CE49" s="3727">
        <f t="shared" ca="1" si="74"/>
        <v>0</v>
      </c>
      <c r="CF49" s="3727">
        <f t="shared" ca="1" si="74"/>
        <v>0</v>
      </c>
      <c r="CG49" s="3727">
        <f t="shared" ca="1" si="74"/>
        <v>0</v>
      </c>
      <c r="CH49" s="3727">
        <f t="shared" ca="1" si="74"/>
        <v>0</v>
      </c>
      <c r="CI49" s="92"/>
      <c r="CJ49" s="74"/>
      <c r="CK49" s="42"/>
      <c r="CL49" s="42"/>
    </row>
    <row r="50" spans="1:90" ht="15" hidden="1" customHeight="1" x14ac:dyDescent="0.25">
      <c r="A50" s="957">
        <f ca="1">IF($M$8=0,0,1)</f>
        <v>0</v>
      </c>
      <c r="B50" s="96"/>
      <c r="C50" s="96"/>
      <c r="D50" s="96"/>
      <c r="E50" s="96"/>
      <c r="F50" s="96"/>
      <c r="G50" s="96"/>
      <c r="H50" s="96"/>
      <c r="I50" s="174"/>
      <c r="J50" s="92"/>
      <c r="K50" s="92">
        <f>$K$8</f>
        <v>0</v>
      </c>
      <c r="L50" s="4225"/>
      <c r="M50" s="4229"/>
      <c r="N50" s="4229"/>
      <c r="O50" s="3727">
        <f t="shared" ref="O50:AT50" ca="1" si="75">IF(dpIncome_RentUnitDisplay="Annual",($L50/12),$L50)*IF(O25&gt;0,(($M$17)-($M$14-O$31))*(O25/O$31),0)</f>
        <v>0</v>
      </c>
      <c r="P50" s="3727">
        <f t="shared" ca="1" si="75"/>
        <v>0</v>
      </c>
      <c r="Q50" s="3727">
        <f t="shared" ca="1" si="75"/>
        <v>0</v>
      </c>
      <c r="R50" s="3727">
        <f t="shared" ca="1" si="75"/>
        <v>0</v>
      </c>
      <c r="S50" s="3727">
        <f t="shared" ca="1" si="75"/>
        <v>0</v>
      </c>
      <c r="T50" s="3727">
        <f t="shared" ca="1" si="75"/>
        <v>0</v>
      </c>
      <c r="U50" s="3727">
        <f t="shared" ca="1" si="75"/>
        <v>0</v>
      </c>
      <c r="V50" s="3727">
        <f t="shared" ca="1" si="75"/>
        <v>0</v>
      </c>
      <c r="W50" s="3727">
        <f t="shared" ca="1" si="75"/>
        <v>0</v>
      </c>
      <c r="X50" s="3727">
        <f t="shared" ca="1" si="75"/>
        <v>0</v>
      </c>
      <c r="Y50" s="3727">
        <f t="shared" ca="1" si="75"/>
        <v>0</v>
      </c>
      <c r="Z50" s="3727">
        <f t="shared" ca="1" si="75"/>
        <v>0</v>
      </c>
      <c r="AA50" s="3727">
        <f t="shared" ca="1" si="75"/>
        <v>0</v>
      </c>
      <c r="AB50" s="3727">
        <f t="shared" ca="1" si="75"/>
        <v>0</v>
      </c>
      <c r="AC50" s="3727">
        <f t="shared" ca="1" si="75"/>
        <v>0</v>
      </c>
      <c r="AD50" s="3727">
        <f t="shared" ca="1" si="75"/>
        <v>0</v>
      </c>
      <c r="AE50" s="3727">
        <f t="shared" ca="1" si="75"/>
        <v>0</v>
      </c>
      <c r="AF50" s="3727">
        <f t="shared" ca="1" si="75"/>
        <v>0</v>
      </c>
      <c r="AG50" s="3727">
        <f t="shared" ca="1" si="75"/>
        <v>0</v>
      </c>
      <c r="AH50" s="3727">
        <f t="shared" ca="1" si="75"/>
        <v>0</v>
      </c>
      <c r="AI50" s="3727">
        <f t="shared" ca="1" si="75"/>
        <v>0</v>
      </c>
      <c r="AJ50" s="3727">
        <f t="shared" ca="1" si="75"/>
        <v>0</v>
      </c>
      <c r="AK50" s="3727">
        <f t="shared" ca="1" si="75"/>
        <v>0</v>
      </c>
      <c r="AL50" s="3727">
        <f t="shared" ca="1" si="75"/>
        <v>0</v>
      </c>
      <c r="AM50" s="3727">
        <f t="shared" ca="1" si="75"/>
        <v>0</v>
      </c>
      <c r="AN50" s="3727">
        <f t="shared" ca="1" si="75"/>
        <v>0</v>
      </c>
      <c r="AO50" s="3727">
        <f t="shared" ca="1" si="75"/>
        <v>0</v>
      </c>
      <c r="AP50" s="3727">
        <f t="shared" ca="1" si="75"/>
        <v>0</v>
      </c>
      <c r="AQ50" s="3727">
        <f t="shared" ca="1" si="75"/>
        <v>0</v>
      </c>
      <c r="AR50" s="3727">
        <f t="shared" ca="1" si="75"/>
        <v>0</v>
      </c>
      <c r="AS50" s="3727">
        <f t="shared" ca="1" si="75"/>
        <v>0</v>
      </c>
      <c r="AT50" s="3727">
        <f t="shared" ca="1" si="75"/>
        <v>0</v>
      </c>
      <c r="AU50" s="3727">
        <f t="shared" ref="AU50:BZ50" ca="1" si="76">IF(dpIncome_RentUnitDisplay="Annual",($L50/12),$L50)*IF(AU25&gt;0,(($M$17)-($M$14-AU$31))*(AU25/AU$31),0)</f>
        <v>0</v>
      </c>
      <c r="AV50" s="3727">
        <f t="shared" ca="1" si="76"/>
        <v>0</v>
      </c>
      <c r="AW50" s="3727">
        <f t="shared" ca="1" si="76"/>
        <v>0</v>
      </c>
      <c r="AX50" s="3727">
        <f t="shared" ca="1" si="76"/>
        <v>0</v>
      </c>
      <c r="AY50" s="3727">
        <f t="shared" ca="1" si="76"/>
        <v>0</v>
      </c>
      <c r="AZ50" s="3727">
        <f t="shared" ca="1" si="76"/>
        <v>0</v>
      </c>
      <c r="BA50" s="3727">
        <f t="shared" ca="1" si="76"/>
        <v>0</v>
      </c>
      <c r="BB50" s="3727">
        <f t="shared" ca="1" si="76"/>
        <v>0</v>
      </c>
      <c r="BC50" s="3727">
        <f t="shared" ca="1" si="76"/>
        <v>0</v>
      </c>
      <c r="BD50" s="3727">
        <f t="shared" ca="1" si="76"/>
        <v>0</v>
      </c>
      <c r="BE50" s="3727">
        <f t="shared" ca="1" si="76"/>
        <v>0</v>
      </c>
      <c r="BF50" s="3727">
        <f t="shared" ca="1" si="76"/>
        <v>0</v>
      </c>
      <c r="BG50" s="3727">
        <f t="shared" ca="1" si="76"/>
        <v>0</v>
      </c>
      <c r="BH50" s="3727">
        <f t="shared" ca="1" si="76"/>
        <v>0</v>
      </c>
      <c r="BI50" s="3727">
        <f t="shared" ca="1" si="76"/>
        <v>0</v>
      </c>
      <c r="BJ50" s="3727">
        <f t="shared" ca="1" si="76"/>
        <v>0</v>
      </c>
      <c r="BK50" s="3727">
        <f t="shared" ca="1" si="76"/>
        <v>0</v>
      </c>
      <c r="BL50" s="3727">
        <f t="shared" ca="1" si="76"/>
        <v>0</v>
      </c>
      <c r="BM50" s="3727">
        <f t="shared" ca="1" si="76"/>
        <v>0</v>
      </c>
      <c r="BN50" s="3727">
        <f t="shared" ca="1" si="76"/>
        <v>0</v>
      </c>
      <c r="BO50" s="3727">
        <f t="shared" ca="1" si="76"/>
        <v>0</v>
      </c>
      <c r="BP50" s="3727">
        <f t="shared" ca="1" si="76"/>
        <v>0</v>
      </c>
      <c r="BQ50" s="3727">
        <f t="shared" ca="1" si="76"/>
        <v>0</v>
      </c>
      <c r="BR50" s="3727">
        <f t="shared" ca="1" si="76"/>
        <v>0</v>
      </c>
      <c r="BS50" s="3727">
        <f t="shared" ca="1" si="76"/>
        <v>0</v>
      </c>
      <c r="BT50" s="3727">
        <f t="shared" ca="1" si="76"/>
        <v>0</v>
      </c>
      <c r="BU50" s="3727">
        <f t="shared" ca="1" si="76"/>
        <v>0</v>
      </c>
      <c r="BV50" s="3727">
        <f t="shared" ca="1" si="76"/>
        <v>0</v>
      </c>
      <c r="BW50" s="3727">
        <f t="shared" ca="1" si="76"/>
        <v>0</v>
      </c>
      <c r="BX50" s="3727">
        <f t="shared" ca="1" si="76"/>
        <v>0</v>
      </c>
      <c r="BY50" s="3727">
        <f t="shared" ca="1" si="76"/>
        <v>0</v>
      </c>
      <c r="BZ50" s="3727">
        <f t="shared" ca="1" si="76"/>
        <v>0</v>
      </c>
      <c r="CA50" s="3727">
        <f t="shared" ref="CA50:CH50" ca="1" si="77">IF(dpIncome_RentUnitDisplay="Annual",($L50/12),$L50)*IF(CA25&gt;0,(($M$17)-($M$14-CA$31))*(CA25/CA$31),0)</f>
        <v>0</v>
      </c>
      <c r="CB50" s="3727">
        <f t="shared" ca="1" si="77"/>
        <v>0</v>
      </c>
      <c r="CC50" s="3727">
        <f t="shared" ca="1" si="77"/>
        <v>0</v>
      </c>
      <c r="CD50" s="3727">
        <f t="shared" ca="1" si="77"/>
        <v>0</v>
      </c>
      <c r="CE50" s="3727">
        <f t="shared" ca="1" si="77"/>
        <v>0</v>
      </c>
      <c r="CF50" s="3727">
        <f t="shared" ca="1" si="77"/>
        <v>0</v>
      </c>
      <c r="CG50" s="3727">
        <f t="shared" ca="1" si="77"/>
        <v>0</v>
      </c>
      <c r="CH50" s="3727">
        <f t="shared" ca="1" si="77"/>
        <v>0</v>
      </c>
      <c r="CI50" s="92"/>
      <c r="CJ50" s="74"/>
      <c r="CK50" s="42"/>
      <c r="CL50" s="42"/>
    </row>
    <row r="51" spans="1:90" ht="15" hidden="1" customHeight="1" x14ac:dyDescent="0.25">
      <c r="A51" s="957">
        <f ca="1">IF($M$9=0,0,1)</f>
        <v>0</v>
      </c>
      <c r="B51" s="96"/>
      <c r="C51" s="96"/>
      <c r="D51" s="96"/>
      <c r="E51" s="96"/>
      <c r="F51" s="96"/>
      <c r="G51" s="96"/>
      <c r="H51" s="96"/>
      <c r="I51" s="174"/>
      <c r="J51" s="92"/>
      <c r="K51" s="92">
        <f>$K$9</f>
        <v>0</v>
      </c>
      <c r="L51" s="4225"/>
      <c r="M51" s="4229"/>
      <c r="N51" s="4229"/>
      <c r="O51" s="3727">
        <f t="shared" ref="O51:AT51" ca="1" si="78">IF(dpIncome_RentUnitDisplay="Annual",($L51/12),$L51)*IF(O26&gt;0,(($M$17)-($M$14-O$31))*(O26/O$31),0)</f>
        <v>0</v>
      </c>
      <c r="P51" s="3727">
        <f t="shared" ca="1" si="78"/>
        <v>0</v>
      </c>
      <c r="Q51" s="3727">
        <f t="shared" ca="1" si="78"/>
        <v>0</v>
      </c>
      <c r="R51" s="3727">
        <f t="shared" ca="1" si="78"/>
        <v>0</v>
      </c>
      <c r="S51" s="3727">
        <f t="shared" ca="1" si="78"/>
        <v>0</v>
      </c>
      <c r="T51" s="3727">
        <f t="shared" ca="1" si="78"/>
        <v>0</v>
      </c>
      <c r="U51" s="3727">
        <f t="shared" ca="1" si="78"/>
        <v>0</v>
      </c>
      <c r="V51" s="3727">
        <f t="shared" ca="1" si="78"/>
        <v>0</v>
      </c>
      <c r="W51" s="3727">
        <f t="shared" ca="1" si="78"/>
        <v>0</v>
      </c>
      <c r="X51" s="3727">
        <f t="shared" ca="1" si="78"/>
        <v>0</v>
      </c>
      <c r="Y51" s="3727">
        <f t="shared" ca="1" si="78"/>
        <v>0</v>
      </c>
      <c r="Z51" s="3727">
        <f t="shared" ca="1" si="78"/>
        <v>0</v>
      </c>
      <c r="AA51" s="3727">
        <f t="shared" ca="1" si="78"/>
        <v>0</v>
      </c>
      <c r="AB51" s="3727">
        <f t="shared" ca="1" si="78"/>
        <v>0</v>
      </c>
      <c r="AC51" s="3727">
        <f t="shared" ca="1" si="78"/>
        <v>0</v>
      </c>
      <c r="AD51" s="3727">
        <f t="shared" ca="1" si="78"/>
        <v>0</v>
      </c>
      <c r="AE51" s="3727">
        <f t="shared" ca="1" si="78"/>
        <v>0</v>
      </c>
      <c r="AF51" s="3727">
        <f t="shared" ca="1" si="78"/>
        <v>0</v>
      </c>
      <c r="AG51" s="3727">
        <f t="shared" ca="1" si="78"/>
        <v>0</v>
      </c>
      <c r="AH51" s="3727">
        <f t="shared" ca="1" si="78"/>
        <v>0</v>
      </c>
      <c r="AI51" s="3727">
        <f t="shared" ca="1" si="78"/>
        <v>0</v>
      </c>
      <c r="AJ51" s="3727">
        <f t="shared" ca="1" si="78"/>
        <v>0</v>
      </c>
      <c r="AK51" s="3727">
        <f t="shared" ca="1" si="78"/>
        <v>0</v>
      </c>
      <c r="AL51" s="3727">
        <f t="shared" ca="1" si="78"/>
        <v>0</v>
      </c>
      <c r="AM51" s="3727">
        <f t="shared" ca="1" si="78"/>
        <v>0</v>
      </c>
      <c r="AN51" s="3727">
        <f t="shared" ca="1" si="78"/>
        <v>0</v>
      </c>
      <c r="AO51" s="3727">
        <f t="shared" ca="1" si="78"/>
        <v>0</v>
      </c>
      <c r="AP51" s="3727">
        <f t="shared" ca="1" si="78"/>
        <v>0</v>
      </c>
      <c r="AQ51" s="3727">
        <f t="shared" ca="1" si="78"/>
        <v>0</v>
      </c>
      <c r="AR51" s="3727">
        <f t="shared" ca="1" si="78"/>
        <v>0</v>
      </c>
      <c r="AS51" s="3727">
        <f t="shared" ca="1" si="78"/>
        <v>0</v>
      </c>
      <c r="AT51" s="3727">
        <f t="shared" ca="1" si="78"/>
        <v>0</v>
      </c>
      <c r="AU51" s="3727">
        <f t="shared" ref="AU51:BZ51" ca="1" si="79">IF(dpIncome_RentUnitDisplay="Annual",($L51/12),$L51)*IF(AU26&gt;0,(($M$17)-($M$14-AU$31))*(AU26/AU$31),0)</f>
        <v>0</v>
      </c>
      <c r="AV51" s="3727">
        <f t="shared" ca="1" si="79"/>
        <v>0</v>
      </c>
      <c r="AW51" s="3727">
        <f t="shared" ca="1" si="79"/>
        <v>0</v>
      </c>
      <c r="AX51" s="3727">
        <f t="shared" ca="1" si="79"/>
        <v>0</v>
      </c>
      <c r="AY51" s="3727">
        <f t="shared" ca="1" si="79"/>
        <v>0</v>
      </c>
      <c r="AZ51" s="3727">
        <f t="shared" ca="1" si="79"/>
        <v>0</v>
      </c>
      <c r="BA51" s="3727">
        <f t="shared" ca="1" si="79"/>
        <v>0</v>
      </c>
      <c r="BB51" s="3727">
        <f t="shared" ca="1" si="79"/>
        <v>0</v>
      </c>
      <c r="BC51" s="3727">
        <f t="shared" ca="1" si="79"/>
        <v>0</v>
      </c>
      <c r="BD51" s="3727">
        <f t="shared" ca="1" si="79"/>
        <v>0</v>
      </c>
      <c r="BE51" s="3727">
        <f t="shared" ca="1" si="79"/>
        <v>0</v>
      </c>
      <c r="BF51" s="3727">
        <f t="shared" ca="1" si="79"/>
        <v>0</v>
      </c>
      <c r="BG51" s="3727">
        <f t="shared" ca="1" si="79"/>
        <v>0</v>
      </c>
      <c r="BH51" s="3727">
        <f t="shared" ca="1" si="79"/>
        <v>0</v>
      </c>
      <c r="BI51" s="3727">
        <f t="shared" ca="1" si="79"/>
        <v>0</v>
      </c>
      <c r="BJ51" s="3727">
        <f t="shared" ca="1" si="79"/>
        <v>0</v>
      </c>
      <c r="BK51" s="3727">
        <f t="shared" ca="1" si="79"/>
        <v>0</v>
      </c>
      <c r="BL51" s="3727">
        <f t="shared" ca="1" si="79"/>
        <v>0</v>
      </c>
      <c r="BM51" s="3727">
        <f t="shared" ca="1" si="79"/>
        <v>0</v>
      </c>
      <c r="BN51" s="3727">
        <f t="shared" ca="1" si="79"/>
        <v>0</v>
      </c>
      <c r="BO51" s="3727">
        <f t="shared" ca="1" si="79"/>
        <v>0</v>
      </c>
      <c r="BP51" s="3727">
        <f t="shared" ca="1" si="79"/>
        <v>0</v>
      </c>
      <c r="BQ51" s="3727">
        <f t="shared" ca="1" si="79"/>
        <v>0</v>
      </c>
      <c r="BR51" s="3727">
        <f t="shared" ca="1" si="79"/>
        <v>0</v>
      </c>
      <c r="BS51" s="3727">
        <f t="shared" ca="1" si="79"/>
        <v>0</v>
      </c>
      <c r="BT51" s="3727">
        <f t="shared" ca="1" si="79"/>
        <v>0</v>
      </c>
      <c r="BU51" s="3727">
        <f t="shared" ca="1" si="79"/>
        <v>0</v>
      </c>
      <c r="BV51" s="3727">
        <f t="shared" ca="1" si="79"/>
        <v>0</v>
      </c>
      <c r="BW51" s="3727">
        <f t="shared" ca="1" si="79"/>
        <v>0</v>
      </c>
      <c r="BX51" s="3727">
        <f t="shared" ca="1" si="79"/>
        <v>0</v>
      </c>
      <c r="BY51" s="3727">
        <f t="shared" ca="1" si="79"/>
        <v>0</v>
      </c>
      <c r="BZ51" s="3727">
        <f t="shared" ca="1" si="79"/>
        <v>0</v>
      </c>
      <c r="CA51" s="3727">
        <f t="shared" ref="CA51:CH51" ca="1" si="80">IF(dpIncome_RentUnitDisplay="Annual",($L51/12),$L51)*IF(CA26&gt;0,(($M$17)-($M$14-CA$31))*(CA26/CA$31),0)</f>
        <v>0</v>
      </c>
      <c r="CB51" s="3727">
        <f t="shared" ca="1" si="80"/>
        <v>0</v>
      </c>
      <c r="CC51" s="3727">
        <f t="shared" ca="1" si="80"/>
        <v>0</v>
      </c>
      <c r="CD51" s="3727">
        <f t="shared" ca="1" si="80"/>
        <v>0</v>
      </c>
      <c r="CE51" s="3727">
        <f t="shared" ca="1" si="80"/>
        <v>0</v>
      </c>
      <c r="CF51" s="3727">
        <f t="shared" ca="1" si="80"/>
        <v>0</v>
      </c>
      <c r="CG51" s="3727">
        <f t="shared" ca="1" si="80"/>
        <v>0</v>
      </c>
      <c r="CH51" s="3727">
        <f t="shared" ca="1" si="80"/>
        <v>0</v>
      </c>
      <c r="CI51" s="92"/>
      <c r="CJ51" s="74"/>
      <c r="CK51" s="42"/>
      <c r="CL51" s="42"/>
    </row>
    <row r="52" spans="1:90" ht="15" hidden="1" customHeight="1" x14ac:dyDescent="0.25">
      <c r="A52" s="957">
        <f ca="1">IF($M$10=0,0,1)</f>
        <v>0</v>
      </c>
      <c r="B52" s="96"/>
      <c r="C52" s="96"/>
      <c r="D52" s="96"/>
      <c r="E52" s="96"/>
      <c r="F52" s="96"/>
      <c r="G52" s="96"/>
      <c r="H52" s="96"/>
      <c r="I52" s="174"/>
      <c r="J52" s="92"/>
      <c r="K52" s="92">
        <f>$K$10</f>
        <v>0</v>
      </c>
      <c r="L52" s="4225"/>
      <c r="M52" s="4229"/>
      <c r="N52" s="4229"/>
      <c r="O52" s="3727">
        <f t="shared" ref="O52:AT52" ca="1" si="81">IF(dpIncome_RentUnitDisplay="Annual",($L52/12),$L52)*IF(O27&gt;0,(($M$17)-($M$14-O$31))*(O27/O$31),0)</f>
        <v>0</v>
      </c>
      <c r="P52" s="3727">
        <f t="shared" ca="1" si="81"/>
        <v>0</v>
      </c>
      <c r="Q52" s="3727">
        <f t="shared" ca="1" si="81"/>
        <v>0</v>
      </c>
      <c r="R52" s="3727">
        <f t="shared" ca="1" si="81"/>
        <v>0</v>
      </c>
      <c r="S52" s="3727">
        <f t="shared" ca="1" si="81"/>
        <v>0</v>
      </c>
      <c r="T52" s="3727">
        <f t="shared" ca="1" si="81"/>
        <v>0</v>
      </c>
      <c r="U52" s="3727">
        <f t="shared" ca="1" si="81"/>
        <v>0</v>
      </c>
      <c r="V52" s="3727">
        <f t="shared" ca="1" si="81"/>
        <v>0</v>
      </c>
      <c r="W52" s="3727">
        <f t="shared" ca="1" si="81"/>
        <v>0</v>
      </c>
      <c r="X52" s="3727">
        <f t="shared" ca="1" si="81"/>
        <v>0</v>
      </c>
      <c r="Y52" s="3727">
        <f t="shared" ca="1" si="81"/>
        <v>0</v>
      </c>
      <c r="Z52" s="3727">
        <f t="shared" ca="1" si="81"/>
        <v>0</v>
      </c>
      <c r="AA52" s="3727">
        <f t="shared" ca="1" si="81"/>
        <v>0</v>
      </c>
      <c r="AB52" s="3727">
        <f t="shared" ca="1" si="81"/>
        <v>0</v>
      </c>
      <c r="AC52" s="3727">
        <f t="shared" ca="1" si="81"/>
        <v>0</v>
      </c>
      <c r="AD52" s="3727">
        <f t="shared" ca="1" si="81"/>
        <v>0</v>
      </c>
      <c r="AE52" s="3727">
        <f t="shared" ca="1" si="81"/>
        <v>0</v>
      </c>
      <c r="AF52" s="3727">
        <f t="shared" ca="1" si="81"/>
        <v>0</v>
      </c>
      <c r="AG52" s="3727">
        <f t="shared" ca="1" si="81"/>
        <v>0</v>
      </c>
      <c r="AH52" s="3727">
        <f t="shared" ca="1" si="81"/>
        <v>0</v>
      </c>
      <c r="AI52" s="3727">
        <f t="shared" ca="1" si="81"/>
        <v>0</v>
      </c>
      <c r="AJ52" s="3727">
        <f t="shared" ca="1" si="81"/>
        <v>0</v>
      </c>
      <c r="AK52" s="3727">
        <f t="shared" ca="1" si="81"/>
        <v>0</v>
      </c>
      <c r="AL52" s="3727">
        <f t="shared" ca="1" si="81"/>
        <v>0</v>
      </c>
      <c r="AM52" s="3727">
        <f t="shared" ca="1" si="81"/>
        <v>0</v>
      </c>
      <c r="AN52" s="3727">
        <f t="shared" ca="1" si="81"/>
        <v>0</v>
      </c>
      <c r="AO52" s="3727">
        <f t="shared" ca="1" si="81"/>
        <v>0</v>
      </c>
      <c r="AP52" s="3727">
        <f t="shared" ca="1" si="81"/>
        <v>0</v>
      </c>
      <c r="AQ52" s="3727">
        <f t="shared" ca="1" si="81"/>
        <v>0</v>
      </c>
      <c r="AR52" s="3727">
        <f t="shared" ca="1" si="81"/>
        <v>0</v>
      </c>
      <c r="AS52" s="3727">
        <f t="shared" ca="1" si="81"/>
        <v>0</v>
      </c>
      <c r="AT52" s="3727">
        <f t="shared" ca="1" si="81"/>
        <v>0</v>
      </c>
      <c r="AU52" s="3727">
        <f t="shared" ref="AU52:BZ52" ca="1" si="82">IF(dpIncome_RentUnitDisplay="Annual",($L52/12),$L52)*IF(AU27&gt;0,(($M$17)-($M$14-AU$31))*(AU27/AU$31),0)</f>
        <v>0</v>
      </c>
      <c r="AV52" s="3727">
        <f t="shared" ca="1" si="82"/>
        <v>0</v>
      </c>
      <c r="AW52" s="3727">
        <f t="shared" ca="1" si="82"/>
        <v>0</v>
      </c>
      <c r="AX52" s="3727">
        <f t="shared" ca="1" si="82"/>
        <v>0</v>
      </c>
      <c r="AY52" s="3727">
        <f t="shared" ca="1" si="82"/>
        <v>0</v>
      </c>
      <c r="AZ52" s="3727">
        <f t="shared" ca="1" si="82"/>
        <v>0</v>
      </c>
      <c r="BA52" s="3727">
        <f t="shared" ca="1" si="82"/>
        <v>0</v>
      </c>
      <c r="BB52" s="3727">
        <f t="shared" ca="1" si="82"/>
        <v>0</v>
      </c>
      <c r="BC52" s="3727">
        <f t="shared" ca="1" si="82"/>
        <v>0</v>
      </c>
      <c r="BD52" s="3727">
        <f t="shared" ca="1" si="82"/>
        <v>0</v>
      </c>
      <c r="BE52" s="3727">
        <f t="shared" ca="1" si="82"/>
        <v>0</v>
      </c>
      <c r="BF52" s="3727">
        <f t="shared" ca="1" si="82"/>
        <v>0</v>
      </c>
      <c r="BG52" s="3727">
        <f t="shared" ca="1" si="82"/>
        <v>0</v>
      </c>
      <c r="BH52" s="3727">
        <f t="shared" ca="1" si="82"/>
        <v>0</v>
      </c>
      <c r="BI52" s="3727">
        <f t="shared" ca="1" si="82"/>
        <v>0</v>
      </c>
      <c r="BJ52" s="3727">
        <f t="shared" ca="1" si="82"/>
        <v>0</v>
      </c>
      <c r="BK52" s="3727">
        <f t="shared" ca="1" si="82"/>
        <v>0</v>
      </c>
      <c r="BL52" s="3727">
        <f t="shared" ca="1" si="82"/>
        <v>0</v>
      </c>
      <c r="BM52" s="3727">
        <f t="shared" ca="1" si="82"/>
        <v>0</v>
      </c>
      <c r="BN52" s="3727">
        <f t="shared" ca="1" si="82"/>
        <v>0</v>
      </c>
      <c r="BO52" s="3727">
        <f t="shared" ca="1" si="82"/>
        <v>0</v>
      </c>
      <c r="BP52" s="3727">
        <f t="shared" ca="1" si="82"/>
        <v>0</v>
      </c>
      <c r="BQ52" s="3727">
        <f t="shared" ca="1" si="82"/>
        <v>0</v>
      </c>
      <c r="BR52" s="3727">
        <f t="shared" ca="1" si="82"/>
        <v>0</v>
      </c>
      <c r="BS52" s="3727">
        <f t="shared" ca="1" si="82"/>
        <v>0</v>
      </c>
      <c r="BT52" s="3727">
        <f t="shared" ca="1" si="82"/>
        <v>0</v>
      </c>
      <c r="BU52" s="3727">
        <f t="shared" ca="1" si="82"/>
        <v>0</v>
      </c>
      <c r="BV52" s="3727">
        <f t="shared" ca="1" si="82"/>
        <v>0</v>
      </c>
      <c r="BW52" s="3727">
        <f t="shared" ca="1" si="82"/>
        <v>0</v>
      </c>
      <c r="BX52" s="3727">
        <f t="shared" ca="1" si="82"/>
        <v>0</v>
      </c>
      <c r="BY52" s="3727">
        <f t="shared" ca="1" si="82"/>
        <v>0</v>
      </c>
      <c r="BZ52" s="3727">
        <f t="shared" ca="1" si="82"/>
        <v>0</v>
      </c>
      <c r="CA52" s="3727">
        <f t="shared" ref="CA52:CH52" ca="1" si="83">IF(dpIncome_RentUnitDisplay="Annual",($L52/12),$L52)*IF(CA27&gt;0,(($M$17)-($M$14-CA$31))*(CA27/CA$31),0)</f>
        <v>0</v>
      </c>
      <c r="CB52" s="3727">
        <f t="shared" ca="1" si="83"/>
        <v>0</v>
      </c>
      <c r="CC52" s="3727">
        <f t="shared" ca="1" si="83"/>
        <v>0</v>
      </c>
      <c r="CD52" s="3727">
        <f t="shared" ca="1" si="83"/>
        <v>0</v>
      </c>
      <c r="CE52" s="3727">
        <f t="shared" ca="1" si="83"/>
        <v>0</v>
      </c>
      <c r="CF52" s="3727">
        <f t="shared" ca="1" si="83"/>
        <v>0</v>
      </c>
      <c r="CG52" s="3727">
        <f t="shared" ca="1" si="83"/>
        <v>0</v>
      </c>
      <c r="CH52" s="3727">
        <f t="shared" ca="1" si="83"/>
        <v>0</v>
      </c>
      <c r="CI52" s="92"/>
      <c r="CJ52" s="74"/>
      <c r="CK52" s="42"/>
      <c r="CL52" s="42"/>
    </row>
    <row r="53" spans="1:90" ht="15" hidden="1" customHeight="1" x14ac:dyDescent="0.25">
      <c r="A53" s="957">
        <f ca="1">IF($M$11=0,0,1)</f>
        <v>0</v>
      </c>
      <c r="B53" s="96"/>
      <c r="C53" s="96"/>
      <c r="D53" s="96"/>
      <c r="E53" s="96"/>
      <c r="F53" s="96"/>
      <c r="G53" s="96"/>
      <c r="H53" s="96"/>
      <c r="I53" s="174"/>
      <c r="J53" s="92"/>
      <c r="K53" s="92">
        <f>$K$11</f>
        <v>0</v>
      </c>
      <c r="L53" s="4225"/>
      <c r="M53" s="4229"/>
      <c r="N53" s="4229"/>
      <c r="O53" s="3727">
        <f t="shared" ref="O53:AT53" ca="1" si="84">IF(dpIncome_RentUnitDisplay="Annual",($L53/12),$L53)*IF(O28&gt;0,(($M$17)-($M$14-O$31))*(O28/O$31),0)</f>
        <v>0</v>
      </c>
      <c r="P53" s="3727">
        <f t="shared" ca="1" si="84"/>
        <v>0</v>
      </c>
      <c r="Q53" s="3727">
        <f t="shared" ca="1" si="84"/>
        <v>0</v>
      </c>
      <c r="R53" s="3727">
        <f t="shared" ca="1" si="84"/>
        <v>0</v>
      </c>
      <c r="S53" s="3727">
        <f t="shared" ca="1" si="84"/>
        <v>0</v>
      </c>
      <c r="T53" s="3727">
        <f t="shared" ca="1" si="84"/>
        <v>0</v>
      </c>
      <c r="U53" s="3727">
        <f t="shared" ca="1" si="84"/>
        <v>0</v>
      </c>
      <c r="V53" s="3727">
        <f t="shared" ca="1" si="84"/>
        <v>0</v>
      </c>
      <c r="W53" s="3727">
        <f t="shared" ca="1" si="84"/>
        <v>0</v>
      </c>
      <c r="X53" s="3727">
        <f t="shared" ca="1" si="84"/>
        <v>0</v>
      </c>
      <c r="Y53" s="3727">
        <f t="shared" ca="1" si="84"/>
        <v>0</v>
      </c>
      <c r="Z53" s="3727">
        <f t="shared" ca="1" si="84"/>
        <v>0</v>
      </c>
      <c r="AA53" s="3727">
        <f t="shared" ca="1" si="84"/>
        <v>0</v>
      </c>
      <c r="AB53" s="3727">
        <f t="shared" ca="1" si="84"/>
        <v>0</v>
      </c>
      <c r="AC53" s="3727">
        <f t="shared" ca="1" si="84"/>
        <v>0</v>
      </c>
      <c r="AD53" s="3727">
        <f t="shared" ca="1" si="84"/>
        <v>0</v>
      </c>
      <c r="AE53" s="3727">
        <f t="shared" ca="1" si="84"/>
        <v>0</v>
      </c>
      <c r="AF53" s="3727">
        <f t="shared" ca="1" si="84"/>
        <v>0</v>
      </c>
      <c r="AG53" s="3727">
        <f t="shared" ca="1" si="84"/>
        <v>0</v>
      </c>
      <c r="AH53" s="3727">
        <f t="shared" ca="1" si="84"/>
        <v>0</v>
      </c>
      <c r="AI53" s="3727">
        <f t="shared" ca="1" si="84"/>
        <v>0</v>
      </c>
      <c r="AJ53" s="3727">
        <f t="shared" ca="1" si="84"/>
        <v>0</v>
      </c>
      <c r="AK53" s="3727">
        <f t="shared" ca="1" si="84"/>
        <v>0</v>
      </c>
      <c r="AL53" s="3727">
        <f t="shared" ca="1" si="84"/>
        <v>0</v>
      </c>
      <c r="AM53" s="3727">
        <f t="shared" ca="1" si="84"/>
        <v>0</v>
      </c>
      <c r="AN53" s="3727">
        <f t="shared" ca="1" si="84"/>
        <v>0</v>
      </c>
      <c r="AO53" s="3727">
        <f t="shared" ca="1" si="84"/>
        <v>0</v>
      </c>
      <c r="AP53" s="3727">
        <f t="shared" ca="1" si="84"/>
        <v>0</v>
      </c>
      <c r="AQ53" s="3727">
        <f t="shared" ca="1" si="84"/>
        <v>0</v>
      </c>
      <c r="AR53" s="3727">
        <f t="shared" ca="1" si="84"/>
        <v>0</v>
      </c>
      <c r="AS53" s="3727">
        <f t="shared" ca="1" si="84"/>
        <v>0</v>
      </c>
      <c r="AT53" s="3727">
        <f t="shared" ca="1" si="84"/>
        <v>0</v>
      </c>
      <c r="AU53" s="3727">
        <f t="shared" ref="AU53:BZ53" ca="1" si="85">IF(dpIncome_RentUnitDisplay="Annual",($L53/12),$L53)*IF(AU28&gt;0,(($M$17)-($M$14-AU$31))*(AU28/AU$31),0)</f>
        <v>0</v>
      </c>
      <c r="AV53" s="3727">
        <f t="shared" ca="1" si="85"/>
        <v>0</v>
      </c>
      <c r="AW53" s="3727">
        <f t="shared" ca="1" si="85"/>
        <v>0</v>
      </c>
      <c r="AX53" s="3727">
        <f t="shared" ca="1" si="85"/>
        <v>0</v>
      </c>
      <c r="AY53" s="3727">
        <f t="shared" ca="1" si="85"/>
        <v>0</v>
      </c>
      <c r="AZ53" s="3727">
        <f t="shared" ca="1" si="85"/>
        <v>0</v>
      </c>
      <c r="BA53" s="3727">
        <f t="shared" ca="1" si="85"/>
        <v>0</v>
      </c>
      <c r="BB53" s="3727">
        <f t="shared" ca="1" si="85"/>
        <v>0</v>
      </c>
      <c r="BC53" s="3727">
        <f t="shared" ca="1" si="85"/>
        <v>0</v>
      </c>
      <c r="BD53" s="3727">
        <f t="shared" ca="1" si="85"/>
        <v>0</v>
      </c>
      <c r="BE53" s="3727">
        <f t="shared" ca="1" si="85"/>
        <v>0</v>
      </c>
      <c r="BF53" s="3727">
        <f t="shared" ca="1" si="85"/>
        <v>0</v>
      </c>
      <c r="BG53" s="3727">
        <f t="shared" ca="1" si="85"/>
        <v>0</v>
      </c>
      <c r="BH53" s="3727">
        <f t="shared" ca="1" si="85"/>
        <v>0</v>
      </c>
      <c r="BI53" s="3727">
        <f t="shared" ca="1" si="85"/>
        <v>0</v>
      </c>
      <c r="BJ53" s="3727">
        <f t="shared" ca="1" si="85"/>
        <v>0</v>
      </c>
      <c r="BK53" s="3727">
        <f t="shared" ca="1" si="85"/>
        <v>0</v>
      </c>
      <c r="BL53" s="3727">
        <f t="shared" ca="1" si="85"/>
        <v>0</v>
      </c>
      <c r="BM53" s="3727">
        <f t="shared" ca="1" si="85"/>
        <v>0</v>
      </c>
      <c r="BN53" s="3727">
        <f t="shared" ca="1" si="85"/>
        <v>0</v>
      </c>
      <c r="BO53" s="3727">
        <f t="shared" ca="1" si="85"/>
        <v>0</v>
      </c>
      <c r="BP53" s="3727">
        <f t="shared" ca="1" si="85"/>
        <v>0</v>
      </c>
      <c r="BQ53" s="3727">
        <f t="shared" ca="1" si="85"/>
        <v>0</v>
      </c>
      <c r="BR53" s="3727">
        <f t="shared" ca="1" si="85"/>
        <v>0</v>
      </c>
      <c r="BS53" s="3727">
        <f t="shared" ca="1" si="85"/>
        <v>0</v>
      </c>
      <c r="BT53" s="3727">
        <f t="shared" ca="1" si="85"/>
        <v>0</v>
      </c>
      <c r="BU53" s="3727">
        <f t="shared" ca="1" si="85"/>
        <v>0</v>
      </c>
      <c r="BV53" s="3727">
        <f t="shared" ca="1" si="85"/>
        <v>0</v>
      </c>
      <c r="BW53" s="3727">
        <f t="shared" ca="1" si="85"/>
        <v>0</v>
      </c>
      <c r="BX53" s="3727">
        <f t="shared" ca="1" si="85"/>
        <v>0</v>
      </c>
      <c r="BY53" s="3727">
        <f t="shared" ca="1" si="85"/>
        <v>0</v>
      </c>
      <c r="BZ53" s="3727">
        <f t="shared" ca="1" si="85"/>
        <v>0</v>
      </c>
      <c r="CA53" s="3727">
        <f t="shared" ref="CA53:CH53" ca="1" si="86">IF(dpIncome_RentUnitDisplay="Annual",($L53/12),$L53)*IF(CA28&gt;0,(($M$17)-($M$14-CA$31))*(CA28/CA$31),0)</f>
        <v>0</v>
      </c>
      <c r="CB53" s="3727">
        <f t="shared" ca="1" si="86"/>
        <v>0</v>
      </c>
      <c r="CC53" s="3727">
        <f t="shared" ca="1" si="86"/>
        <v>0</v>
      </c>
      <c r="CD53" s="3727">
        <f t="shared" ca="1" si="86"/>
        <v>0</v>
      </c>
      <c r="CE53" s="3727">
        <f t="shared" ca="1" si="86"/>
        <v>0</v>
      </c>
      <c r="CF53" s="3727">
        <f t="shared" ca="1" si="86"/>
        <v>0</v>
      </c>
      <c r="CG53" s="3727">
        <f t="shared" ca="1" si="86"/>
        <v>0</v>
      </c>
      <c r="CH53" s="3727">
        <f t="shared" ca="1" si="86"/>
        <v>0</v>
      </c>
      <c r="CI53" s="92"/>
      <c r="CJ53" s="74"/>
      <c r="CK53" s="42"/>
      <c r="CL53" s="42"/>
    </row>
    <row r="54" spans="1:90" ht="15" hidden="1" customHeight="1" x14ac:dyDescent="0.25">
      <c r="A54" s="957">
        <f ca="1">IF($M$12=0,0,1)</f>
        <v>0</v>
      </c>
      <c r="B54" s="96"/>
      <c r="C54" s="96"/>
      <c r="D54" s="96"/>
      <c r="E54" s="96"/>
      <c r="F54" s="96"/>
      <c r="G54" s="96"/>
      <c r="H54" s="96"/>
      <c r="I54" s="174"/>
      <c r="J54" s="92"/>
      <c r="K54" s="92">
        <f>$K$12</f>
        <v>0</v>
      </c>
      <c r="L54" s="4225"/>
      <c r="M54" s="4229"/>
      <c r="N54" s="4229"/>
      <c r="O54" s="3727">
        <f t="shared" ref="O54:AT54" ca="1" si="87">IF(dpIncome_RentUnitDisplay="Annual",($L54/12),$L54)*IF(O29&gt;0,(($M$17)-($M$14-O$31))*(O29/O$31),0)</f>
        <v>0</v>
      </c>
      <c r="P54" s="3727">
        <f t="shared" ca="1" si="87"/>
        <v>0</v>
      </c>
      <c r="Q54" s="3727">
        <f t="shared" ca="1" si="87"/>
        <v>0</v>
      </c>
      <c r="R54" s="3727">
        <f t="shared" ca="1" si="87"/>
        <v>0</v>
      </c>
      <c r="S54" s="3727">
        <f t="shared" ca="1" si="87"/>
        <v>0</v>
      </c>
      <c r="T54" s="3727">
        <f t="shared" ca="1" si="87"/>
        <v>0</v>
      </c>
      <c r="U54" s="3727">
        <f t="shared" ca="1" si="87"/>
        <v>0</v>
      </c>
      <c r="V54" s="3727">
        <f t="shared" ca="1" si="87"/>
        <v>0</v>
      </c>
      <c r="W54" s="3727">
        <f t="shared" ca="1" si="87"/>
        <v>0</v>
      </c>
      <c r="X54" s="3727">
        <f t="shared" ca="1" si="87"/>
        <v>0</v>
      </c>
      <c r="Y54" s="3727">
        <f t="shared" ca="1" si="87"/>
        <v>0</v>
      </c>
      <c r="Z54" s="3727">
        <f t="shared" ca="1" si="87"/>
        <v>0</v>
      </c>
      <c r="AA54" s="3727">
        <f t="shared" ca="1" si="87"/>
        <v>0</v>
      </c>
      <c r="AB54" s="3727">
        <f t="shared" ca="1" si="87"/>
        <v>0</v>
      </c>
      <c r="AC54" s="3727">
        <f t="shared" ca="1" si="87"/>
        <v>0</v>
      </c>
      <c r="AD54" s="3727">
        <f t="shared" ca="1" si="87"/>
        <v>0</v>
      </c>
      <c r="AE54" s="3727">
        <f t="shared" ca="1" si="87"/>
        <v>0</v>
      </c>
      <c r="AF54" s="3727">
        <f t="shared" ca="1" si="87"/>
        <v>0</v>
      </c>
      <c r="AG54" s="3727">
        <f t="shared" ca="1" si="87"/>
        <v>0</v>
      </c>
      <c r="AH54" s="3727">
        <f t="shared" ca="1" si="87"/>
        <v>0</v>
      </c>
      <c r="AI54" s="3727">
        <f t="shared" ca="1" si="87"/>
        <v>0</v>
      </c>
      <c r="AJ54" s="3727">
        <f t="shared" ca="1" si="87"/>
        <v>0</v>
      </c>
      <c r="AK54" s="3727">
        <f t="shared" ca="1" si="87"/>
        <v>0</v>
      </c>
      <c r="AL54" s="3727">
        <f t="shared" ca="1" si="87"/>
        <v>0</v>
      </c>
      <c r="AM54" s="3727">
        <f t="shared" ca="1" si="87"/>
        <v>0</v>
      </c>
      <c r="AN54" s="3727">
        <f t="shared" ca="1" si="87"/>
        <v>0</v>
      </c>
      <c r="AO54" s="3727">
        <f t="shared" ca="1" si="87"/>
        <v>0</v>
      </c>
      <c r="AP54" s="3727">
        <f t="shared" ca="1" si="87"/>
        <v>0</v>
      </c>
      <c r="AQ54" s="3727">
        <f t="shared" ca="1" si="87"/>
        <v>0</v>
      </c>
      <c r="AR54" s="3727">
        <f t="shared" ca="1" si="87"/>
        <v>0</v>
      </c>
      <c r="AS54" s="3727">
        <f t="shared" ca="1" si="87"/>
        <v>0</v>
      </c>
      <c r="AT54" s="3727">
        <f t="shared" ca="1" si="87"/>
        <v>0</v>
      </c>
      <c r="AU54" s="3727">
        <f t="shared" ref="AU54:BZ54" ca="1" si="88">IF(dpIncome_RentUnitDisplay="Annual",($L54/12),$L54)*IF(AU29&gt;0,(($M$17)-($M$14-AU$31))*(AU29/AU$31),0)</f>
        <v>0</v>
      </c>
      <c r="AV54" s="3727">
        <f t="shared" ca="1" si="88"/>
        <v>0</v>
      </c>
      <c r="AW54" s="3727">
        <f t="shared" ca="1" si="88"/>
        <v>0</v>
      </c>
      <c r="AX54" s="3727">
        <f t="shared" ca="1" si="88"/>
        <v>0</v>
      </c>
      <c r="AY54" s="3727">
        <f t="shared" ca="1" si="88"/>
        <v>0</v>
      </c>
      <c r="AZ54" s="3727">
        <f t="shared" ca="1" si="88"/>
        <v>0</v>
      </c>
      <c r="BA54" s="3727">
        <f t="shared" ca="1" si="88"/>
        <v>0</v>
      </c>
      <c r="BB54" s="3727">
        <f t="shared" ca="1" si="88"/>
        <v>0</v>
      </c>
      <c r="BC54" s="3727">
        <f t="shared" ca="1" si="88"/>
        <v>0</v>
      </c>
      <c r="BD54" s="3727">
        <f t="shared" ca="1" si="88"/>
        <v>0</v>
      </c>
      <c r="BE54" s="3727">
        <f t="shared" ca="1" si="88"/>
        <v>0</v>
      </c>
      <c r="BF54" s="3727">
        <f t="shared" ca="1" si="88"/>
        <v>0</v>
      </c>
      <c r="BG54" s="3727">
        <f t="shared" ca="1" si="88"/>
        <v>0</v>
      </c>
      <c r="BH54" s="3727">
        <f t="shared" ca="1" si="88"/>
        <v>0</v>
      </c>
      <c r="BI54" s="3727">
        <f t="shared" ca="1" si="88"/>
        <v>0</v>
      </c>
      <c r="BJ54" s="3727">
        <f t="shared" ca="1" si="88"/>
        <v>0</v>
      </c>
      <c r="BK54" s="3727">
        <f t="shared" ca="1" si="88"/>
        <v>0</v>
      </c>
      <c r="BL54" s="3727">
        <f t="shared" ca="1" si="88"/>
        <v>0</v>
      </c>
      <c r="BM54" s="3727">
        <f t="shared" ca="1" si="88"/>
        <v>0</v>
      </c>
      <c r="BN54" s="3727">
        <f t="shared" ca="1" si="88"/>
        <v>0</v>
      </c>
      <c r="BO54" s="3727">
        <f t="shared" ca="1" si="88"/>
        <v>0</v>
      </c>
      <c r="BP54" s="3727">
        <f t="shared" ca="1" si="88"/>
        <v>0</v>
      </c>
      <c r="BQ54" s="3727">
        <f t="shared" ca="1" si="88"/>
        <v>0</v>
      </c>
      <c r="BR54" s="3727">
        <f t="shared" ca="1" si="88"/>
        <v>0</v>
      </c>
      <c r="BS54" s="3727">
        <f t="shared" ca="1" si="88"/>
        <v>0</v>
      </c>
      <c r="BT54" s="3727">
        <f t="shared" ca="1" si="88"/>
        <v>0</v>
      </c>
      <c r="BU54" s="3727">
        <f t="shared" ca="1" si="88"/>
        <v>0</v>
      </c>
      <c r="BV54" s="3727">
        <f t="shared" ca="1" si="88"/>
        <v>0</v>
      </c>
      <c r="BW54" s="3727">
        <f t="shared" ca="1" si="88"/>
        <v>0</v>
      </c>
      <c r="BX54" s="3727">
        <f t="shared" ca="1" si="88"/>
        <v>0</v>
      </c>
      <c r="BY54" s="3727">
        <f t="shared" ca="1" si="88"/>
        <v>0</v>
      </c>
      <c r="BZ54" s="3727">
        <f t="shared" ca="1" si="88"/>
        <v>0</v>
      </c>
      <c r="CA54" s="3727">
        <f t="shared" ref="CA54:CH54" ca="1" si="89">IF(dpIncome_RentUnitDisplay="Annual",($L54/12),$L54)*IF(CA29&gt;0,(($M$17)-($M$14-CA$31))*(CA29/CA$31),0)</f>
        <v>0</v>
      </c>
      <c r="CB54" s="3727">
        <f t="shared" ca="1" si="89"/>
        <v>0</v>
      </c>
      <c r="CC54" s="3727">
        <f t="shared" ca="1" si="89"/>
        <v>0</v>
      </c>
      <c r="CD54" s="3727">
        <f t="shared" ca="1" si="89"/>
        <v>0</v>
      </c>
      <c r="CE54" s="3727">
        <f t="shared" ca="1" si="89"/>
        <v>0</v>
      </c>
      <c r="CF54" s="3727">
        <f t="shared" ca="1" si="89"/>
        <v>0</v>
      </c>
      <c r="CG54" s="3727">
        <f t="shared" ca="1" si="89"/>
        <v>0</v>
      </c>
      <c r="CH54" s="3727">
        <f t="shared" ca="1" si="89"/>
        <v>0</v>
      </c>
      <c r="CI54" s="92"/>
      <c r="CJ54" s="74"/>
      <c r="CK54" s="42"/>
      <c r="CL54" s="42"/>
    </row>
    <row r="55" spans="1:90" ht="15" hidden="1" customHeight="1" x14ac:dyDescent="0.25">
      <c r="A55" s="957">
        <f ca="1">IF($M$13=0,0,1)</f>
        <v>0</v>
      </c>
      <c r="B55" s="96"/>
      <c r="C55" s="96"/>
      <c r="D55" s="96"/>
      <c r="E55" s="96"/>
      <c r="F55" s="96"/>
      <c r="G55" s="96"/>
      <c r="H55" s="96"/>
      <c r="I55" s="174"/>
      <c r="J55" s="92"/>
      <c r="K55" s="92">
        <f>$K$13</f>
        <v>0</v>
      </c>
      <c r="L55" s="4225"/>
      <c r="M55" s="4228"/>
      <c r="N55" s="4228"/>
      <c r="O55" s="3727">
        <f t="shared" ref="O55:AT55" ca="1" si="90">IF(dpIncome_RentUnitDisplay="Annual",($L55/12),$L55)*IF(O30&gt;0,(($M$17)-($M$14-O$31))*(O30/O$31),0)</f>
        <v>0</v>
      </c>
      <c r="P55" s="3727">
        <f t="shared" ca="1" si="90"/>
        <v>0</v>
      </c>
      <c r="Q55" s="3727">
        <f t="shared" ca="1" si="90"/>
        <v>0</v>
      </c>
      <c r="R55" s="3727">
        <f t="shared" ca="1" si="90"/>
        <v>0</v>
      </c>
      <c r="S55" s="3727">
        <f t="shared" ca="1" si="90"/>
        <v>0</v>
      </c>
      <c r="T55" s="3727">
        <f t="shared" ca="1" si="90"/>
        <v>0</v>
      </c>
      <c r="U55" s="3727">
        <f t="shared" ca="1" si="90"/>
        <v>0</v>
      </c>
      <c r="V55" s="3727">
        <f t="shared" ca="1" si="90"/>
        <v>0</v>
      </c>
      <c r="W55" s="3727">
        <f t="shared" ca="1" si="90"/>
        <v>0</v>
      </c>
      <c r="X55" s="3727">
        <f t="shared" ca="1" si="90"/>
        <v>0</v>
      </c>
      <c r="Y55" s="3727">
        <f t="shared" ca="1" si="90"/>
        <v>0</v>
      </c>
      <c r="Z55" s="3727">
        <f t="shared" ca="1" si="90"/>
        <v>0</v>
      </c>
      <c r="AA55" s="3727">
        <f t="shared" ca="1" si="90"/>
        <v>0</v>
      </c>
      <c r="AB55" s="3727">
        <f t="shared" ca="1" si="90"/>
        <v>0</v>
      </c>
      <c r="AC55" s="3727">
        <f t="shared" ca="1" si="90"/>
        <v>0</v>
      </c>
      <c r="AD55" s="3727">
        <f t="shared" ca="1" si="90"/>
        <v>0</v>
      </c>
      <c r="AE55" s="3727">
        <f t="shared" ca="1" si="90"/>
        <v>0</v>
      </c>
      <c r="AF55" s="3727">
        <f t="shared" ca="1" si="90"/>
        <v>0</v>
      </c>
      <c r="AG55" s="3727">
        <f t="shared" ca="1" si="90"/>
        <v>0</v>
      </c>
      <c r="AH55" s="3727">
        <f t="shared" ca="1" si="90"/>
        <v>0</v>
      </c>
      <c r="AI55" s="3727">
        <f t="shared" ca="1" si="90"/>
        <v>0</v>
      </c>
      <c r="AJ55" s="3727">
        <f t="shared" ca="1" si="90"/>
        <v>0</v>
      </c>
      <c r="AK55" s="3727">
        <f t="shared" ca="1" si="90"/>
        <v>0</v>
      </c>
      <c r="AL55" s="3727">
        <f t="shared" ca="1" si="90"/>
        <v>0</v>
      </c>
      <c r="AM55" s="3727">
        <f t="shared" ca="1" si="90"/>
        <v>0</v>
      </c>
      <c r="AN55" s="3727">
        <f t="shared" ca="1" si="90"/>
        <v>0</v>
      </c>
      <c r="AO55" s="3727">
        <f t="shared" ca="1" si="90"/>
        <v>0</v>
      </c>
      <c r="AP55" s="3727">
        <f t="shared" ca="1" si="90"/>
        <v>0</v>
      </c>
      <c r="AQ55" s="3727">
        <f t="shared" ca="1" si="90"/>
        <v>0</v>
      </c>
      <c r="AR55" s="3727">
        <f t="shared" ca="1" si="90"/>
        <v>0</v>
      </c>
      <c r="AS55" s="3727">
        <f t="shared" ca="1" si="90"/>
        <v>0</v>
      </c>
      <c r="AT55" s="3727">
        <f t="shared" ca="1" si="90"/>
        <v>0</v>
      </c>
      <c r="AU55" s="3727">
        <f t="shared" ref="AU55:BZ55" ca="1" si="91">IF(dpIncome_RentUnitDisplay="Annual",($L55/12),$L55)*IF(AU30&gt;0,(($M$17)-($M$14-AU$31))*(AU30/AU$31),0)</f>
        <v>0</v>
      </c>
      <c r="AV55" s="3727">
        <f t="shared" ca="1" si="91"/>
        <v>0</v>
      </c>
      <c r="AW55" s="3727">
        <f t="shared" ca="1" si="91"/>
        <v>0</v>
      </c>
      <c r="AX55" s="3727">
        <f t="shared" ca="1" si="91"/>
        <v>0</v>
      </c>
      <c r="AY55" s="3727">
        <f t="shared" ca="1" si="91"/>
        <v>0</v>
      </c>
      <c r="AZ55" s="3727">
        <f t="shared" ca="1" si="91"/>
        <v>0</v>
      </c>
      <c r="BA55" s="3727">
        <f t="shared" ca="1" si="91"/>
        <v>0</v>
      </c>
      <c r="BB55" s="3727">
        <f t="shared" ca="1" si="91"/>
        <v>0</v>
      </c>
      <c r="BC55" s="3727">
        <f t="shared" ca="1" si="91"/>
        <v>0</v>
      </c>
      <c r="BD55" s="3727">
        <f t="shared" ca="1" si="91"/>
        <v>0</v>
      </c>
      <c r="BE55" s="3727">
        <f t="shared" ca="1" si="91"/>
        <v>0</v>
      </c>
      <c r="BF55" s="3727">
        <f t="shared" ca="1" si="91"/>
        <v>0</v>
      </c>
      <c r="BG55" s="3727">
        <f t="shared" ca="1" si="91"/>
        <v>0</v>
      </c>
      <c r="BH55" s="3727">
        <f t="shared" ca="1" si="91"/>
        <v>0</v>
      </c>
      <c r="BI55" s="3727">
        <f t="shared" ca="1" si="91"/>
        <v>0</v>
      </c>
      <c r="BJ55" s="3727">
        <f t="shared" ca="1" si="91"/>
        <v>0</v>
      </c>
      <c r="BK55" s="3727">
        <f t="shared" ca="1" si="91"/>
        <v>0</v>
      </c>
      <c r="BL55" s="3727">
        <f t="shared" ca="1" si="91"/>
        <v>0</v>
      </c>
      <c r="BM55" s="3727">
        <f t="shared" ca="1" si="91"/>
        <v>0</v>
      </c>
      <c r="BN55" s="3727">
        <f t="shared" ca="1" si="91"/>
        <v>0</v>
      </c>
      <c r="BO55" s="3727">
        <f t="shared" ca="1" si="91"/>
        <v>0</v>
      </c>
      <c r="BP55" s="3727">
        <f t="shared" ca="1" si="91"/>
        <v>0</v>
      </c>
      <c r="BQ55" s="3727">
        <f t="shared" ca="1" si="91"/>
        <v>0</v>
      </c>
      <c r="BR55" s="3727">
        <f t="shared" ca="1" si="91"/>
        <v>0</v>
      </c>
      <c r="BS55" s="3727">
        <f t="shared" ca="1" si="91"/>
        <v>0</v>
      </c>
      <c r="BT55" s="3727">
        <f t="shared" ca="1" si="91"/>
        <v>0</v>
      </c>
      <c r="BU55" s="3727">
        <f t="shared" ca="1" si="91"/>
        <v>0</v>
      </c>
      <c r="BV55" s="3727">
        <f t="shared" ca="1" si="91"/>
        <v>0</v>
      </c>
      <c r="BW55" s="3727">
        <f t="shared" ca="1" si="91"/>
        <v>0</v>
      </c>
      <c r="BX55" s="3727">
        <f t="shared" ca="1" si="91"/>
        <v>0</v>
      </c>
      <c r="BY55" s="3727">
        <f t="shared" ca="1" si="91"/>
        <v>0</v>
      </c>
      <c r="BZ55" s="3727">
        <f t="shared" ca="1" si="91"/>
        <v>0</v>
      </c>
      <c r="CA55" s="3727">
        <f t="shared" ref="CA55:CH55" ca="1" si="92">IF(dpIncome_RentUnitDisplay="Annual",($L55/12),$L55)*IF(CA30&gt;0,(($M$17)-($M$14-CA$31))*(CA30/CA$31),0)</f>
        <v>0</v>
      </c>
      <c r="CB55" s="3727">
        <f t="shared" ca="1" si="92"/>
        <v>0</v>
      </c>
      <c r="CC55" s="3727">
        <f t="shared" ca="1" si="92"/>
        <v>0</v>
      </c>
      <c r="CD55" s="3727">
        <f t="shared" ca="1" si="92"/>
        <v>0</v>
      </c>
      <c r="CE55" s="3727">
        <f t="shared" ca="1" si="92"/>
        <v>0</v>
      </c>
      <c r="CF55" s="3727">
        <f t="shared" ca="1" si="92"/>
        <v>0</v>
      </c>
      <c r="CG55" s="3727">
        <f t="shared" ca="1" si="92"/>
        <v>0</v>
      </c>
      <c r="CH55" s="3727">
        <f t="shared" ca="1" si="92"/>
        <v>0</v>
      </c>
      <c r="CI55" s="92"/>
      <c r="CJ55" s="74"/>
      <c r="CK55" s="42"/>
      <c r="CL55" s="42"/>
    </row>
    <row r="56" spans="1:90" x14ac:dyDescent="0.25">
      <c r="A56" s="957">
        <v>1</v>
      </c>
      <c r="B56" s="96"/>
      <c r="C56" s="96"/>
      <c r="D56" s="96"/>
      <c r="E56" s="96"/>
      <c r="F56" s="96"/>
      <c r="G56" s="96"/>
      <c r="H56" s="96"/>
      <c r="I56" s="174"/>
      <c r="J56" s="92"/>
      <c r="K56" s="3472" t="s">
        <v>93</v>
      </c>
      <c r="L56" s="92"/>
      <c r="M56" s="92"/>
      <c r="N56" s="92"/>
      <c r="O56" s="3728">
        <f ca="1">SUM(O48:O55)</f>
        <v>0</v>
      </c>
      <c r="P56" s="3728">
        <f t="shared" ref="P56:CA56" ca="1" si="93">SUM(P48:P55)</f>
        <v>0</v>
      </c>
      <c r="Q56" s="3728">
        <f t="shared" ca="1" si="93"/>
        <v>0</v>
      </c>
      <c r="R56" s="3728">
        <f t="shared" ca="1" si="93"/>
        <v>0</v>
      </c>
      <c r="S56" s="3728">
        <f t="shared" ca="1" si="93"/>
        <v>0</v>
      </c>
      <c r="T56" s="3728">
        <f t="shared" ca="1" si="93"/>
        <v>0</v>
      </c>
      <c r="U56" s="3728">
        <f t="shared" ca="1" si="93"/>
        <v>0</v>
      </c>
      <c r="V56" s="3728">
        <f t="shared" ca="1" si="93"/>
        <v>0</v>
      </c>
      <c r="W56" s="3728">
        <f t="shared" ca="1" si="93"/>
        <v>0</v>
      </c>
      <c r="X56" s="3728">
        <f t="shared" ca="1" si="93"/>
        <v>0</v>
      </c>
      <c r="Y56" s="3728">
        <f t="shared" ca="1" si="93"/>
        <v>0</v>
      </c>
      <c r="Z56" s="3728">
        <f t="shared" ca="1" si="93"/>
        <v>0</v>
      </c>
      <c r="AA56" s="3728">
        <f t="shared" ca="1" si="93"/>
        <v>0</v>
      </c>
      <c r="AB56" s="3728">
        <f t="shared" ca="1" si="93"/>
        <v>0</v>
      </c>
      <c r="AC56" s="3728">
        <f t="shared" ca="1" si="93"/>
        <v>0</v>
      </c>
      <c r="AD56" s="3728">
        <f t="shared" ca="1" si="93"/>
        <v>0</v>
      </c>
      <c r="AE56" s="3728">
        <f t="shared" ca="1" si="93"/>
        <v>0</v>
      </c>
      <c r="AF56" s="3728">
        <f t="shared" ca="1" si="93"/>
        <v>0</v>
      </c>
      <c r="AG56" s="3728">
        <f t="shared" ca="1" si="93"/>
        <v>0</v>
      </c>
      <c r="AH56" s="3728">
        <f t="shared" ca="1" si="93"/>
        <v>0</v>
      </c>
      <c r="AI56" s="3728">
        <f t="shared" ca="1" si="93"/>
        <v>0</v>
      </c>
      <c r="AJ56" s="3728">
        <f t="shared" ca="1" si="93"/>
        <v>0</v>
      </c>
      <c r="AK56" s="3728">
        <f t="shared" ca="1" si="93"/>
        <v>0</v>
      </c>
      <c r="AL56" s="3728">
        <f t="shared" ca="1" si="93"/>
        <v>0</v>
      </c>
      <c r="AM56" s="3728">
        <f t="shared" ca="1" si="93"/>
        <v>0</v>
      </c>
      <c r="AN56" s="3728">
        <f t="shared" ca="1" si="93"/>
        <v>0</v>
      </c>
      <c r="AO56" s="3728">
        <f t="shared" ca="1" si="93"/>
        <v>0</v>
      </c>
      <c r="AP56" s="3728">
        <f t="shared" ca="1" si="93"/>
        <v>0</v>
      </c>
      <c r="AQ56" s="3728">
        <f t="shared" ca="1" si="93"/>
        <v>0</v>
      </c>
      <c r="AR56" s="3728">
        <f t="shared" ca="1" si="93"/>
        <v>0</v>
      </c>
      <c r="AS56" s="3728">
        <f t="shared" ca="1" si="93"/>
        <v>0</v>
      </c>
      <c r="AT56" s="3728">
        <f t="shared" ca="1" si="93"/>
        <v>0</v>
      </c>
      <c r="AU56" s="3728">
        <f t="shared" ca="1" si="93"/>
        <v>0</v>
      </c>
      <c r="AV56" s="3728">
        <f t="shared" ca="1" si="93"/>
        <v>0</v>
      </c>
      <c r="AW56" s="3728">
        <f t="shared" ca="1" si="93"/>
        <v>0</v>
      </c>
      <c r="AX56" s="3728">
        <f t="shared" ca="1" si="93"/>
        <v>0</v>
      </c>
      <c r="AY56" s="3728">
        <f t="shared" ca="1" si="93"/>
        <v>0</v>
      </c>
      <c r="AZ56" s="3728">
        <f t="shared" ca="1" si="93"/>
        <v>0</v>
      </c>
      <c r="BA56" s="3728">
        <f t="shared" ca="1" si="93"/>
        <v>0</v>
      </c>
      <c r="BB56" s="3728">
        <f t="shared" ca="1" si="93"/>
        <v>0</v>
      </c>
      <c r="BC56" s="3728">
        <f t="shared" ca="1" si="93"/>
        <v>0</v>
      </c>
      <c r="BD56" s="3728">
        <f t="shared" ca="1" si="93"/>
        <v>0</v>
      </c>
      <c r="BE56" s="3728">
        <f t="shared" ca="1" si="93"/>
        <v>0</v>
      </c>
      <c r="BF56" s="3728">
        <f t="shared" ca="1" si="93"/>
        <v>0</v>
      </c>
      <c r="BG56" s="3728">
        <f t="shared" ca="1" si="93"/>
        <v>0</v>
      </c>
      <c r="BH56" s="3728">
        <f t="shared" ca="1" si="93"/>
        <v>0</v>
      </c>
      <c r="BI56" s="3728">
        <f t="shared" ca="1" si="93"/>
        <v>0</v>
      </c>
      <c r="BJ56" s="3728">
        <f t="shared" ca="1" si="93"/>
        <v>0</v>
      </c>
      <c r="BK56" s="3728">
        <f t="shared" ca="1" si="93"/>
        <v>0</v>
      </c>
      <c r="BL56" s="3728">
        <f t="shared" ca="1" si="93"/>
        <v>0</v>
      </c>
      <c r="BM56" s="3728">
        <f t="shared" ca="1" si="93"/>
        <v>0</v>
      </c>
      <c r="BN56" s="3728">
        <f t="shared" ca="1" si="93"/>
        <v>0</v>
      </c>
      <c r="BO56" s="3728">
        <f t="shared" ca="1" si="93"/>
        <v>0</v>
      </c>
      <c r="BP56" s="3728">
        <f t="shared" ca="1" si="93"/>
        <v>0</v>
      </c>
      <c r="BQ56" s="3728">
        <f t="shared" ca="1" si="93"/>
        <v>0</v>
      </c>
      <c r="BR56" s="3728">
        <f t="shared" ca="1" si="93"/>
        <v>0</v>
      </c>
      <c r="BS56" s="3728">
        <f t="shared" ca="1" si="93"/>
        <v>0</v>
      </c>
      <c r="BT56" s="3728">
        <f t="shared" ca="1" si="93"/>
        <v>0</v>
      </c>
      <c r="BU56" s="3728">
        <f t="shared" ca="1" si="93"/>
        <v>0</v>
      </c>
      <c r="BV56" s="3728">
        <f t="shared" ca="1" si="93"/>
        <v>0</v>
      </c>
      <c r="BW56" s="3728">
        <f t="shared" ca="1" si="93"/>
        <v>0</v>
      </c>
      <c r="BX56" s="3728">
        <f t="shared" ca="1" si="93"/>
        <v>0</v>
      </c>
      <c r="BY56" s="3728">
        <f t="shared" ca="1" si="93"/>
        <v>0</v>
      </c>
      <c r="BZ56" s="3728">
        <f t="shared" ca="1" si="93"/>
        <v>0</v>
      </c>
      <c r="CA56" s="3728">
        <f t="shared" ca="1" si="93"/>
        <v>0</v>
      </c>
      <c r="CB56" s="3728">
        <f t="shared" ref="CB56:CH56" ca="1" si="94">SUM(CB48:CB55)</f>
        <v>0</v>
      </c>
      <c r="CC56" s="3728">
        <f t="shared" ca="1" si="94"/>
        <v>0</v>
      </c>
      <c r="CD56" s="3728">
        <f t="shared" ca="1" si="94"/>
        <v>0</v>
      </c>
      <c r="CE56" s="3728">
        <f t="shared" ca="1" si="94"/>
        <v>0</v>
      </c>
      <c r="CF56" s="3728">
        <f t="shared" ca="1" si="94"/>
        <v>0</v>
      </c>
      <c r="CG56" s="3728">
        <f t="shared" ca="1" si="94"/>
        <v>0</v>
      </c>
      <c r="CH56" s="3728">
        <f t="shared" ca="1" si="94"/>
        <v>0</v>
      </c>
      <c r="CI56" s="92"/>
      <c r="CJ56" s="74"/>
      <c r="CK56" s="42"/>
      <c r="CL56" s="42"/>
    </row>
    <row r="57" spans="1:90" ht="9.9499999999999993" customHeight="1" x14ac:dyDescent="0.25">
      <c r="A57" s="957">
        <v>1</v>
      </c>
      <c r="B57" s="96"/>
      <c r="C57" s="96"/>
      <c r="D57" s="96"/>
      <c r="E57" s="96"/>
      <c r="F57" s="96"/>
      <c r="G57" s="96"/>
      <c r="H57" s="96"/>
      <c r="I57" s="174"/>
      <c r="J57" s="92"/>
      <c r="K57" s="92"/>
      <c r="L57" s="92"/>
      <c r="M57" s="92"/>
      <c r="N57" s="92"/>
      <c r="O57" s="3256"/>
      <c r="P57" s="3256"/>
      <c r="Q57" s="3256"/>
      <c r="R57" s="3256"/>
      <c r="S57" s="3256"/>
      <c r="T57" s="3256"/>
      <c r="U57" s="3256"/>
      <c r="V57" s="3256"/>
      <c r="W57" s="3256"/>
      <c r="X57" s="3256"/>
      <c r="Y57" s="3256"/>
      <c r="Z57" s="3256"/>
      <c r="AA57" s="3256"/>
      <c r="AB57" s="3256"/>
      <c r="AC57" s="3256"/>
      <c r="AD57" s="3256"/>
      <c r="AE57" s="3256"/>
      <c r="AF57" s="3256"/>
      <c r="AG57" s="3256"/>
      <c r="AH57" s="3256"/>
      <c r="AI57" s="3256"/>
      <c r="AJ57" s="3256"/>
      <c r="AK57" s="3256"/>
      <c r="AL57" s="3256"/>
      <c r="AM57" s="3256"/>
      <c r="AN57" s="3256"/>
      <c r="AO57" s="3256"/>
      <c r="AP57" s="3256"/>
      <c r="AQ57" s="3256"/>
      <c r="AR57" s="3256"/>
      <c r="AS57" s="3256"/>
      <c r="AT57" s="3256"/>
      <c r="AU57" s="3256"/>
      <c r="AV57" s="3256"/>
      <c r="AW57" s="3256"/>
      <c r="AX57" s="3256"/>
      <c r="AY57" s="3256"/>
      <c r="AZ57" s="3256"/>
      <c r="BA57" s="3256"/>
      <c r="BB57" s="3256"/>
      <c r="BC57" s="3256"/>
      <c r="BD57" s="3256"/>
      <c r="BE57" s="3256"/>
      <c r="BF57" s="3256"/>
      <c r="BG57" s="3256"/>
      <c r="BH57" s="3256"/>
      <c r="BI57" s="3256"/>
      <c r="BJ57" s="3256"/>
      <c r="BK57" s="3256"/>
      <c r="BL57" s="3256"/>
      <c r="BM57" s="3256"/>
      <c r="BN57" s="3256"/>
      <c r="BO57" s="3256"/>
      <c r="BP57" s="3256"/>
      <c r="BQ57" s="3256"/>
      <c r="BR57" s="3256"/>
      <c r="BS57" s="3256"/>
      <c r="BT57" s="3256"/>
      <c r="BU57" s="3256"/>
      <c r="BV57" s="3256"/>
      <c r="BW57" s="3256"/>
      <c r="BX57" s="3256"/>
      <c r="BY57" s="3256"/>
      <c r="BZ57" s="3256"/>
      <c r="CA57" s="3256"/>
      <c r="CB57" s="3256"/>
      <c r="CC57" s="3256"/>
      <c r="CD57" s="3256"/>
      <c r="CE57" s="3256"/>
      <c r="CF57" s="3256"/>
      <c r="CG57" s="3256"/>
      <c r="CH57" s="3256"/>
      <c r="CI57" s="92"/>
      <c r="CJ57" s="74"/>
      <c r="CK57" s="42"/>
      <c r="CL57" s="42"/>
    </row>
    <row r="58" spans="1:90" ht="15" customHeight="1" x14ac:dyDescent="0.25">
      <c r="A58" s="957">
        <v>1</v>
      </c>
      <c r="B58" s="96"/>
      <c r="C58" s="96"/>
      <c r="D58" s="96"/>
      <c r="E58" s="96"/>
      <c r="F58" s="96"/>
      <c r="G58" s="96"/>
      <c r="H58" s="96"/>
      <c r="I58" s="174"/>
      <c r="J58" s="92"/>
      <c r="K58" s="3716" t="s">
        <v>446</v>
      </c>
      <c r="L58" s="4222" t="s">
        <v>453</v>
      </c>
      <c r="M58" s="4222"/>
      <c r="N58" s="4222"/>
      <c r="O58" s="3721"/>
      <c r="P58" s="3721" t="str">
        <f>IF(AND(dpIncome_ExpenseGrowth1=dpIncome_ExpenseGrowth2,dpIncome_ExpenseGrowth1=dpIncome_ExpenseGrowth3,dpIncome_ExpenseGrowth1=dpIncome_ExpenseGrowth4),"Growth Rate","Year 1 Growth Rate")</f>
        <v>Growth Rate</v>
      </c>
      <c r="Q58" s="3722">
        <f>dpIncome_ExpenseGrowth1</f>
        <v>0</v>
      </c>
      <c r="R58" s="3724"/>
      <c r="S58" s="3256"/>
      <c r="T58" s="3256"/>
      <c r="U58" s="3256"/>
      <c r="V58" s="3256"/>
      <c r="W58" s="3256"/>
      <c r="X58" s="3256"/>
      <c r="Y58" s="3256"/>
      <c r="Z58" s="3721" t="str">
        <f>IF(AND(dpIncome_ExpenseGrowth1=dpIncome_ExpenseGrowth2,dpIncome_ExpenseGrowth1=dpIncome_ExpenseGrowth3,dpIncome_ExpenseGrowth1=dpIncome_ExpenseGrowth4),"","Year 2 Growth Rate")</f>
        <v/>
      </c>
      <c r="AA58" s="3723" t="str">
        <f>IF(AND(dpIncome_ExpenseGrowth1=dpIncome_ExpenseGrowth2,dpIncome_ExpenseGrowth1=dpIncome_ExpenseGrowth3,dpIncome_ExpenseGrowth1=dpIncome_ExpenseGrowth4),"",dpIncome_ExpenseGrowth2)</f>
        <v/>
      </c>
      <c r="AB58" s="415"/>
      <c r="AC58" s="415"/>
      <c r="AD58" s="3724"/>
      <c r="AE58" s="3256"/>
      <c r="AF58" s="3256"/>
      <c r="AG58" s="3256"/>
      <c r="AH58" s="3256"/>
      <c r="AI58" s="3256"/>
      <c r="AJ58" s="3256"/>
      <c r="AK58" s="3256"/>
      <c r="AL58" s="3721" t="str">
        <f>IF(AND(dpIncome_ExpenseGrowth1=dpIncome_ExpenseGrowth2,dpIncome_ExpenseGrowth1=dpIncome_ExpenseGrowth3,dpIncome_ExpenseGrowth1=dpIncome_ExpenseGrowth4),"","Year 3 Growth Rate")</f>
        <v/>
      </c>
      <c r="AM58" s="3723" t="str">
        <f>IF(AND(dpIncome_ExpenseGrowth1=dpIncome_ExpenseGrowth2,dpIncome_ExpenseGrowth1=dpIncome_ExpenseGrowth3,dpIncome_ExpenseGrowth1=dpIncome_ExpenseGrowth4),"",dpIncome_ExpenseGrowth3)</f>
        <v/>
      </c>
      <c r="AN58" s="415"/>
      <c r="AO58" s="415"/>
      <c r="AP58" s="3724"/>
      <c r="AQ58" s="3256"/>
      <c r="AR58" s="3256"/>
      <c r="AS58" s="3256"/>
      <c r="AT58" s="3256"/>
      <c r="AU58" s="3256"/>
      <c r="AV58" s="3256"/>
      <c r="AW58" s="3256"/>
      <c r="AX58" s="3723" t="str">
        <f>IF(AND(dpIncome_ExpenseGrowth1=dpIncome_ExpenseGrowth2,dpIncome_ExpenseGrowth1=dpIncome_ExpenseGrowth3,dpIncome_ExpenseGrowth1=dpIncome_ExpenseGrowth4),"","Year 4 Growth Rate")</f>
        <v/>
      </c>
      <c r="AY58" s="3721" t="str">
        <f>IF(AND(dpIncome_ExpenseGrowth1=dpIncome_ExpenseGrowth2,dpIncome_ExpenseGrowth1=dpIncome_ExpenseGrowth3,dpIncome_ExpenseGrowth1=dpIncome_ExpenseGrowth4),"",dpIncome_ExpenseGrowth4)</f>
        <v/>
      </c>
      <c r="AZ58" s="415"/>
      <c r="BA58" s="415"/>
      <c r="BB58" s="3724"/>
      <c r="BC58" s="3256"/>
      <c r="BD58" s="3256"/>
      <c r="BE58" s="3256"/>
      <c r="BF58" s="3256"/>
      <c r="BG58" s="3256"/>
      <c r="BH58" s="3256"/>
      <c r="BI58" s="3256"/>
      <c r="BJ58" s="3256"/>
      <c r="BK58" s="3256"/>
      <c r="BL58" s="3256"/>
      <c r="BM58" s="3256"/>
      <c r="BN58" s="3256"/>
      <c r="BO58" s="3256"/>
      <c r="BP58" s="3256"/>
      <c r="BQ58" s="3256"/>
      <c r="BR58" s="3256"/>
      <c r="BS58" s="3256"/>
      <c r="BT58" s="3256"/>
      <c r="BU58" s="3256"/>
      <c r="BV58" s="3256"/>
      <c r="BW58" s="3256"/>
      <c r="BX58" s="3256"/>
      <c r="BY58" s="3256"/>
      <c r="BZ58" s="3256"/>
      <c r="CA58" s="3256"/>
      <c r="CB58" s="3256"/>
      <c r="CC58" s="3256"/>
      <c r="CD58" s="3256"/>
      <c r="CE58" s="3256"/>
      <c r="CF58" s="3256"/>
      <c r="CG58" s="3256"/>
      <c r="CH58" s="3256"/>
      <c r="CI58" s="92"/>
      <c r="CJ58" s="74"/>
      <c r="CK58" s="42"/>
      <c r="CL58" s="42"/>
    </row>
    <row r="59" spans="1:90" ht="15" customHeight="1" x14ac:dyDescent="0.25">
      <c r="A59" s="957">
        <v>1</v>
      </c>
      <c r="B59" s="96"/>
      <c r="C59" s="96"/>
      <c r="D59" s="96"/>
      <c r="E59" s="96"/>
      <c r="F59" s="96"/>
      <c r="G59" s="96"/>
      <c r="H59" s="96"/>
      <c r="I59" s="174"/>
      <c r="J59" s="92"/>
      <c r="K59" s="92" t="s">
        <v>455</v>
      </c>
      <c r="L59" s="4225">
        <f ca="1">dpIncome_Expense_ReimbTotalPSF</f>
        <v>7.0507582884019735</v>
      </c>
      <c r="M59" s="4225"/>
      <c r="N59" s="4225"/>
      <c r="O59" s="3727" t="e">
        <f t="shared" ref="O59:Z59" ca="1" si="95">$L$59/12*(1+((dpIncome_ExpenseGrowth1*N$20)/12))*IF((O31-(Subject_NRA-$M$17))&gt;0,((O31)-(Subject_NRA-$M$17)),0)</f>
        <v>#VALUE!</v>
      </c>
      <c r="P59" s="3727" t="e">
        <f t="shared" ca="1" si="95"/>
        <v>#VALUE!</v>
      </c>
      <c r="Q59" s="3727" t="e">
        <f t="shared" ca="1" si="95"/>
        <v>#VALUE!</v>
      </c>
      <c r="R59" s="3727" t="e">
        <f t="shared" ca="1" si="95"/>
        <v>#VALUE!</v>
      </c>
      <c r="S59" s="3727" t="e">
        <f t="shared" ca="1" si="95"/>
        <v>#VALUE!</v>
      </c>
      <c r="T59" s="3727" t="e">
        <f t="shared" ca="1" si="95"/>
        <v>#VALUE!</v>
      </c>
      <c r="U59" s="3727" t="e">
        <f t="shared" ca="1" si="95"/>
        <v>#VALUE!</v>
      </c>
      <c r="V59" s="3727" t="e">
        <f t="shared" ca="1" si="95"/>
        <v>#VALUE!</v>
      </c>
      <c r="W59" s="3727" t="e">
        <f t="shared" ca="1" si="95"/>
        <v>#VALUE!</v>
      </c>
      <c r="X59" s="3727" t="e">
        <f t="shared" ca="1" si="95"/>
        <v>#VALUE!</v>
      </c>
      <c r="Y59" s="3727" t="e">
        <f t="shared" ca="1" si="95"/>
        <v>#VALUE!</v>
      </c>
      <c r="Z59" s="3727" t="e">
        <f t="shared" ca="1" si="95"/>
        <v>#VALUE!</v>
      </c>
      <c r="AA59" s="3727" t="e">
        <f t="shared" ref="AA59:AL59" ca="1" si="96">$L$59/12*(1+(dpIncome_ExpenseGrowth1+(dpIncome_ExpenseGrowth2*O$20)/12))*IF((AA31-(Subject_NRA-$M$17))&gt;0,((AA31)-(Subject_NRA-$M$17)),0)</f>
        <v>#VALUE!</v>
      </c>
      <c r="AB59" s="3727" t="e">
        <f t="shared" ca="1" si="96"/>
        <v>#VALUE!</v>
      </c>
      <c r="AC59" s="3727" t="e">
        <f t="shared" ca="1" si="96"/>
        <v>#VALUE!</v>
      </c>
      <c r="AD59" s="3727" t="e">
        <f t="shared" ca="1" si="96"/>
        <v>#VALUE!</v>
      </c>
      <c r="AE59" s="3727" t="e">
        <f t="shared" ca="1" si="96"/>
        <v>#VALUE!</v>
      </c>
      <c r="AF59" s="3727" t="e">
        <f t="shared" ca="1" si="96"/>
        <v>#VALUE!</v>
      </c>
      <c r="AG59" s="3727" t="e">
        <f t="shared" ca="1" si="96"/>
        <v>#VALUE!</v>
      </c>
      <c r="AH59" s="3727" t="e">
        <f t="shared" ca="1" si="96"/>
        <v>#VALUE!</v>
      </c>
      <c r="AI59" s="3727" t="e">
        <f t="shared" ca="1" si="96"/>
        <v>#VALUE!</v>
      </c>
      <c r="AJ59" s="3727" t="e">
        <f t="shared" ca="1" si="96"/>
        <v>#VALUE!</v>
      </c>
      <c r="AK59" s="3727" t="e">
        <f t="shared" ca="1" si="96"/>
        <v>#VALUE!</v>
      </c>
      <c r="AL59" s="3727" t="e">
        <f t="shared" ca="1" si="96"/>
        <v>#VALUE!</v>
      </c>
      <c r="AM59" s="3727" t="e">
        <f t="shared" ref="AM59:AX59" ca="1" si="97">$L$59/12*(1+(dpIncome_ExpenseGrowth1+dpIncome_ExpenseGrowth2+(dpIncome_ExpenseGrowth3*O$20)/12))*IF((AM31-(Subject_NRA-$M$17))&gt;0,((AM31)-(Subject_NRA-$M$17)),0)</f>
        <v>#VALUE!</v>
      </c>
      <c r="AN59" s="3727" t="e">
        <f t="shared" ca="1" si="97"/>
        <v>#VALUE!</v>
      </c>
      <c r="AO59" s="3727" t="e">
        <f t="shared" ca="1" si="97"/>
        <v>#VALUE!</v>
      </c>
      <c r="AP59" s="3727" t="e">
        <f t="shared" ca="1" si="97"/>
        <v>#VALUE!</v>
      </c>
      <c r="AQ59" s="3727" t="e">
        <f t="shared" ca="1" si="97"/>
        <v>#VALUE!</v>
      </c>
      <c r="AR59" s="3727" t="e">
        <f t="shared" ca="1" si="97"/>
        <v>#VALUE!</v>
      </c>
      <c r="AS59" s="3727" t="e">
        <f t="shared" ca="1" si="97"/>
        <v>#VALUE!</v>
      </c>
      <c r="AT59" s="3727" t="e">
        <f t="shared" ca="1" si="97"/>
        <v>#VALUE!</v>
      </c>
      <c r="AU59" s="3727" t="e">
        <f t="shared" ca="1" si="97"/>
        <v>#VALUE!</v>
      </c>
      <c r="AV59" s="3727" t="e">
        <f t="shared" ca="1" si="97"/>
        <v>#VALUE!</v>
      </c>
      <c r="AW59" s="3727" t="e">
        <f t="shared" ca="1" si="97"/>
        <v>#VALUE!</v>
      </c>
      <c r="AX59" s="3727" t="e">
        <f t="shared" ca="1" si="97"/>
        <v>#VALUE!</v>
      </c>
      <c r="AY59" s="3727" t="e">
        <f t="shared" ref="AY59:CH59" ca="1" si="98">$L$59/12*(1+(dpIncome_ExpenseGrowth1+dpIncome_ExpenseGrowth2+dpIncome_ExpenseGrowth3+(dpIncome_ExpenseGrowth4*O$20)/12))*IF((AY31-(Subject_NRA-$M$17))&gt;0,((AY31)-(Subject_NRA-$M$17)),0)</f>
        <v>#VALUE!</v>
      </c>
      <c r="AZ59" s="3727" t="e">
        <f t="shared" ca="1" si="98"/>
        <v>#VALUE!</v>
      </c>
      <c r="BA59" s="3727" t="e">
        <f t="shared" ca="1" si="98"/>
        <v>#VALUE!</v>
      </c>
      <c r="BB59" s="3727" t="e">
        <f t="shared" ca="1" si="98"/>
        <v>#VALUE!</v>
      </c>
      <c r="BC59" s="3727" t="e">
        <f t="shared" ca="1" si="98"/>
        <v>#VALUE!</v>
      </c>
      <c r="BD59" s="3727" t="e">
        <f t="shared" ca="1" si="98"/>
        <v>#VALUE!</v>
      </c>
      <c r="BE59" s="3727" t="e">
        <f t="shared" ca="1" si="98"/>
        <v>#VALUE!</v>
      </c>
      <c r="BF59" s="3727" t="e">
        <f t="shared" ca="1" si="98"/>
        <v>#VALUE!</v>
      </c>
      <c r="BG59" s="3727" t="e">
        <f t="shared" ca="1" si="98"/>
        <v>#VALUE!</v>
      </c>
      <c r="BH59" s="3727" t="e">
        <f t="shared" ca="1" si="98"/>
        <v>#VALUE!</v>
      </c>
      <c r="BI59" s="3727" t="e">
        <f t="shared" ca="1" si="98"/>
        <v>#VALUE!</v>
      </c>
      <c r="BJ59" s="3727" t="e">
        <f t="shared" ca="1" si="98"/>
        <v>#VALUE!</v>
      </c>
      <c r="BK59" s="3727" t="e">
        <f t="shared" ca="1" si="98"/>
        <v>#VALUE!</v>
      </c>
      <c r="BL59" s="3727" t="e">
        <f t="shared" ca="1" si="98"/>
        <v>#VALUE!</v>
      </c>
      <c r="BM59" s="3727" t="e">
        <f t="shared" ca="1" si="98"/>
        <v>#VALUE!</v>
      </c>
      <c r="BN59" s="3727" t="e">
        <f t="shared" ca="1" si="98"/>
        <v>#VALUE!</v>
      </c>
      <c r="BO59" s="3727" t="e">
        <f t="shared" ca="1" si="98"/>
        <v>#VALUE!</v>
      </c>
      <c r="BP59" s="3727" t="e">
        <f t="shared" ca="1" si="98"/>
        <v>#VALUE!</v>
      </c>
      <c r="BQ59" s="3727" t="e">
        <f t="shared" ca="1" si="98"/>
        <v>#VALUE!</v>
      </c>
      <c r="BR59" s="3727" t="e">
        <f t="shared" ca="1" si="98"/>
        <v>#VALUE!</v>
      </c>
      <c r="BS59" s="3727" t="e">
        <f t="shared" ca="1" si="98"/>
        <v>#VALUE!</v>
      </c>
      <c r="BT59" s="3727" t="e">
        <f t="shared" ca="1" si="98"/>
        <v>#VALUE!</v>
      </c>
      <c r="BU59" s="3727" t="e">
        <f t="shared" ca="1" si="98"/>
        <v>#VALUE!</v>
      </c>
      <c r="BV59" s="3727" t="e">
        <f t="shared" ca="1" si="98"/>
        <v>#VALUE!</v>
      </c>
      <c r="BW59" s="3727" t="e">
        <f t="shared" ca="1" si="98"/>
        <v>#VALUE!</v>
      </c>
      <c r="BX59" s="3727" t="e">
        <f t="shared" ca="1" si="98"/>
        <v>#VALUE!</v>
      </c>
      <c r="BY59" s="3727" t="e">
        <f t="shared" ca="1" si="98"/>
        <v>#VALUE!</v>
      </c>
      <c r="BZ59" s="3727" t="e">
        <f t="shared" ca="1" si="98"/>
        <v>#VALUE!</v>
      </c>
      <c r="CA59" s="3727" t="e">
        <f t="shared" ca="1" si="98"/>
        <v>#VALUE!</v>
      </c>
      <c r="CB59" s="3727" t="e">
        <f t="shared" ca="1" si="98"/>
        <v>#VALUE!</v>
      </c>
      <c r="CC59" s="3727" t="e">
        <f t="shared" ca="1" si="98"/>
        <v>#VALUE!</v>
      </c>
      <c r="CD59" s="3727" t="e">
        <f t="shared" ca="1" si="98"/>
        <v>#VALUE!</v>
      </c>
      <c r="CE59" s="3727" t="e">
        <f t="shared" ca="1" si="98"/>
        <v>#VALUE!</v>
      </c>
      <c r="CF59" s="3727" t="e">
        <f t="shared" ca="1" si="98"/>
        <v>#VALUE!</v>
      </c>
      <c r="CG59" s="3727" t="e">
        <f t="shared" ca="1" si="98"/>
        <v>#VALUE!</v>
      </c>
      <c r="CH59" s="3727" t="e">
        <f t="shared" ca="1" si="98"/>
        <v>#VALUE!</v>
      </c>
      <c r="CI59" s="92"/>
      <c r="CJ59" s="74"/>
      <c r="CK59" s="42"/>
      <c r="CL59" s="42"/>
    </row>
    <row r="60" spans="1:90" ht="9.9499999999999993" customHeight="1" x14ac:dyDescent="0.25">
      <c r="A60" s="957">
        <v>1</v>
      </c>
      <c r="B60" s="96"/>
      <c r="C60" s="96"/>
      <c r="D60" s="96"/>
      <c r="E60" s="96"/>
      <c r="F60" s="96"/>
      <c r="G60" s="96"/>
      <c r="H60" s="96"/>
      <c r="I60" s="174"/>
      <c r="J60" s="92"/>
      <c r="K60" s="92"/>
      <c r="L60" s="92"/>
      <c r="M60" s="92"/>
      <c r="N60" s="92"/>
      <c r="O60" s="3256"/>
      <c r="P60" s="3256"/>
      <c r="Q60" s="3256"/>
      <c r="R60" s="3256"/>
      <c r="S60" s="3256"/>
      <c r="T60" s="3256"/>
      <c r="U60" s="3256"/>
      <c r="V60" s="3256"/>
      <c r="W60" s="3256"/>
      <c r="X60" s="3256"/>
      <c r="Y60" s="3256"/>
      <c r="Z60" s="3256"/>
      <c r="AA60" s="3256"/>
      <c r="AB60" s="3256"/>
      <c r="AC60" s="3256"/>
      <c r="AD60" s="3256"/>
      <c r="AE60" s="3256"/>
      <c r="AF60" s="3256"/>
      <c r="AG60" s="3256"/>
      <c r="AH60" s="3256"/>
      <c r="AI60" s="3256"/>
      <c r="AJ60" s="3256"/>
      <c r="AK60" s="3256"/>
      <c r="AL60" s="3256"/>
      <c r="AM60" s="3256"/>
      <c r="AN60" s="3256"/>
      <c r="AO60" s="3256"/>
      <c r="AP60" s="3256"/>
      <c r="AQ60" s="3256"/>
      <c r="AR60" s="3256"/>
      <c r="AS60" s="3256"/>
      <c r="AT60" s="3256"/>
      <c r="AU60" s="3256"/>
      <c r="AV60" s="3256"/>
      <c r="AW60" s="3256"/>
      <c r="AX60" s="3256"/>
      <c r="AY60" s="3256"/>
      <c r="AZ60" s="3256"/>
      <c r="BA60" s="3256"/>
      <c r="BB60" s="3256"/>
      <c r="BC60" s="3256"/>
      <c r="BD60" s="3256"/>
      <c r="BE60" s="3256"/>
      <c r="BF60" s="3256"/>
      <c r="BG60" s="3256"/>
      <c r="BH60" s="3256"/>
      <c r="BI60" s="3256"/>
      <c r="BJ60" s="3256"/>
      <c r="BK60" s="3256"/>
      <c r="BL60" s="3256"/>
      <c r="BM60" s="3256"/>
      <c r="BN60" s="3256"/>
      <c r="BO60" s="3256"/>
      <c r="BP60" s="3256"/>
      <c r="BQ60" s="3256"/>
      <c r="BR60" s="3256"/>
      <c r="BS60" s="3256"/>
      <c r="BT60" s="3256"/>
      <c r="BU60" s="3256"/>
      <c r="BV60" s="3256"/>
      <c r="BW60" s="3256"/>
      <c r="BX60" s="3256"/>
      <c r="BY60" s="3256"/>
      <c r="BZ60" s="3256"/>
      <c r="CA60" s="3256"/>
      <c r="CB60" s="3256"/>
      <c r="CC60" s="3256"/>
      <c r="CD60" s="3256"/>
      <c r="CE60" s="3256"/>
      <c r="CF60" s="3256"/>
      <c r="CG60" s="3256"/>
      <c r="CH60" s="3256"/>
      <c r="CI60" s="92"/>
      <c r="CJ60" s="74"/>
      <c r="CK60" s="42"/>
      <c r="CL60" s="42"/>
    </row>
    <row r="61" spans="1:90" x14ac:dyDescent="0.25">
      <c r="A61" s="957">
        <v>1</v>
      </c>
      <c r="B61" s="96"/>
      <c r="C61" s="96"/>
      <c r="D61" s="96"/>
      <c r="E61" s="96"/>
      <c r="F61" s="96"/>
      <c r="G61" s="96"/>
      <c r="H61" s="96"/>
      <c r="I61" s="174"/>
      <c r="J61" s="92"/>
      <c r="K61" s="3716" t="s">
        <v>450</v>
      </c>
      <c r="L61" s="3716"/>
      <c r="M61" s="3716"/>
      <c r="N61" s="3716"/>
      <c r="O61" s="3721"/>
      <c r="P61" s="3721" t="str">
        <f>IF(AND(dpIncome_ExpenseGrowth1=dpIncome_ExpenseGrowth2,dpIncome_ExpenseGrowth1=dpIncome_ExpenseGrowth3,dpIncome_ExpenseGrowth1=dpIncome_ExpenseGrowth4),"Growth Rate","Year 1 Growth Rate")</f>
        <v>Growth Rate</v>
      </c>
      <c r="Q61" s="3722">
        <f>LUD_ExpenseGrowth</f>
        <v>0</v>
      </c>
      <c r="R61" s="415"/>
      <c r="S61" s="3256"/>
      <c r="T61" s="3256"/>
      <c r="U61" s="3256"/>
      <c r="V61" s="3256"/>
      <c r="W61" s="3256"/>
      <c r="X61" s="3256"/>
      <c r="Y61" s="3256"/>
      <c r="Z61" s="3721" t="str">
        <f>IF(AND(dpIncome_ExpenseGrowth1=dpIncome_ExpenseGrowth2,dpIncome_ExpenseGrowth1=dpIncome_ExpenseGrowth3,dpIncome_ExpenseGrowth1=dpIncome_ExpenseGrowth4),"","Year 2 Growth Rate")</f>
        <v/>
      </c>
      <c r="AA61" s="3723" t="str">
        <f>IF(AND(dpIncome_ExpenseGrowth1=dpIncome_ExpenseGrowth2,dpIncome_ExpenseGrowth1=dpIncome_ExpenseGrowth3,dpIncome_ExpenseGrowth1=dpIncome_ExpenseGrowth4),"",dpIncome_ExpenseGrowth2)</f>
        <v/>
      </c>
      <c r="AB61" s="415"/>
      <c r="AC61" s="415"/>
      <c r="AD61" s="3724"/>
      <c r="AE61" s="3256"/>
      <c r="AF61" s="3256"/>
      <c r="AG61" s="3256"/>
      <c r="AH61" s="3256"/>
      <c r="AI61" s="3256"/>
      <c r="AJ61" s="3256"/>
      <c r="AK61" s="3256"/>
      <c r="AL61" s="3721" t="str">
        <f>IF(AND(dpIncome_ExpenseGrowth1=dpIncome_ExpenseGrowth2,dpIncome_ExpenseGrowth1=dpIncome_ExpenseGrowth3,dpIncome_ExpenseGrowth1=dpIncome_ExpenseGrowth4),"","Year 3 Growth Rate")</f>
        <v/>
      </c>
      <c r="AM61" s="3723" t="str">
        <f>IF(AND(dpIncome_ExpenseGrowth1=dpIncome_ExpenseGrowth2,dpIncome_ExpenseGrowth1=dpIncome_ExpenseGrowth3,dpIncome_ExpenseGrowth1=dpIncome_ExpenseGrowth4),"",dpIncome_ExpenseGrowth3)</f>
        <v/>
      </c>
      <c r="AN61" s="415"/>
      <c r="AO61" s="415"/>
      <c r="AP61" s="3724"/>
      <c r="AQ61" s="3256"/>
      <c r="AR61" s="3256"/>
      <c r="AS61" s="3256"/>
      <c r="AT61" s="3256"/>
      <c r="AU61" s="3256"/>
      <c r="AV61" s="3256"/>
      <c r="AW61" s="3721" t="str">
        <f>IF(AND(dpIncome_ExpenseGrowth1=dpIncome_ExpenseGrowth2,dpIncome_ExpenseGrowth1=dpIncome_ExpenseGrowth3,dpIncome_ExpenseGrowth1=dpIncome_ExpenseGrowth4),"","Year 4 Growth Rate")</f>
        <v/>
      </c>
      <c r="AX61" s="3729" t="str">
        <f>IF(AND(dpIncome_ExpenseGrowth1=dpIncome_ExpenseGrowth2,dpIncome_ExpenseGrowth1=dpIncome_ExpenseGrowth3,dpIncome_ExpenseGrowth1=dpIncome_ExpenseGrowth4),"",dpIncome_ExpenseGrowth4)</f>
        <v/>
      </c>
      <c r="AY61" s="3726"/>
      <c r="AZ61" s="3726"/>
      <c r="BA61" s="3726"/>
      <c r="BB61" s="3724"/>
      <c r="BC61" s="3256"/>
      <c r="BD61" s="3256"/>
      <c r="BE61" s="3256"/>
      <c r="BF61" s="3256"/>
      <c r="BG61" s="3256"/>
      <c r="BH61" s="3256"/>
      <c r="BI61" s="3256"/>
      <c r="BJ61" s="3256"/>
      <c r="BK61" s="3256"/>
      <c r="BL61" s="3256"/>
      <c r="BM61" s="3256"/>
      <c r="BN61" s="3256"/>
      <c r="BO61" s="3256"/>
      <c r="BP61" s="3256"/>
      <c r="BQ61" s="3256"/>
      <c r="BR61" s="3256"/>
      <c r="BS61" s="3256"/>
      <c r="BT61" s="3256"/>
      <c r="BU61" s="3256"/>
      <c r="BV61" s="3256"/>
      <c r="BW61" s="3256"/>
      <c r="BX61" s="3256"/>
      <c r="BY61" s="3256"/>
      <c r="BZ61" s="3256"/>
      <c r="CA61" s="3256"/>
      <c r="CB61" s="3256"/>
      <c r="CC61" s="3256"/>
      <c r="CD61" s="3256"/>
      <c r="CE61" s="3256"/>
      <c r="CF61" s="3256"/>
      <c r="CG61" s="3256"/>
      <c r="CH61" s="3256"/>
      <c r="CI61" s="92"/>
      <c r="CJ61" s="74"/>
      <c r="CK61" s="42"/>
      <c r="CL61" s="42"/>
    </row>
    <row r="62" spans="1:90" ht="15" hidden="1" customHeight="1" x14ac:dyDescent="0.25">
      <c r="A62" s="957">
        <f ca="1">IF($M$6=0,0,1)</f>
        <v>0</v>
      </c>
      <c r="B62" s="96"/>
      <c r="C62" s="96"/>
      <c r="D62" s="96"/>
      <c r="E62" s="96"/>
      <c r="F62" s="96"/>
      <c r="G62" s="96"/>
      <c r="H62" s="96"/>
      <c r="I62" s="174"/>
      <c r="J62" s="92"/>
      <c r="K62" s="92" t="str">
        <f>$K$6</f>
        <v>Industrial Office/Warehouse</v>
      </c>
      <c r="L62" s="4223">
        <f>Income_TCat1_TINew</f>
        <v>0</v>
      </c>
      <c r="M62" s="4224"/>
      <c r="N62" s="4224"/>
      <c r="O62" s="3727">
        <f ca="1">$L62*O34</f>
        <v>0</v>
      </c>
      <c r="P62" s="3727">
        <f t="shared" ref="P62:Z62" ca="1" si="99">$L62*(1+((dpIncome_ExpenseGrowth1*O$20)/12))*IF(P34&gt;0,P34,0)</f>
        <v>0</v>
      </c>
      <c r="Q62" s="3727">
        <f t="shared" ca="1" si="99"/>
        <v>0</v>
      </c>
      <c r="R62" s="3727">
        <f t="shared" ca="1" si="99"/>
        <v>0</v>
      </c>
      <c r="S62" s="3727">
        <f t="shared" ca="1" si="99"/>
        <v>0</v>
      </c>
      <c r="T62" s="3727">
        <f t="shared" ca="1" si="99"/>
        <v>0</v>
      </c>
      <c r="U62" s="3727">
        <f t="shared" ca="1" si="99"/>
        <v>0</v>
      </c>
      <c r="V62" s="3727">
        <f t="shared" ca="1" si="99"/>
        <v>0</v>
      </c>
      <c r="W62" s="3727">
        <f t="shared" ca="1" si="99"/>
        <v>0</v>
      </c>
      <c r="X62" s="3727">
        <f t="shared" ca="1" si="99"/>
        <v>0</v>
      </c>
      <c r="Y62" s="3727">
        <f t="shared" ca="1" si="99"/>
        <v>0</v>
      </c>
      <c r="Z62" s="3727">
        <f t="shared" ca="1" si="99"/>
        <v>0</v>
      </c>
      <c r="AA62" s="3727">
        <f t="shared" ref="AA62:AL69" ca="1" si="100">$L62*(1+(dpIncome_ExpenseGrowth1+(dpIncome_ExpenseGrowth2*O$20)/12))*IF(AA34&gt;0,AA34,0)</f>
        <v>0</v>
      </c>
      <c r="AB62" s="3727">
        <f t="shared" ca="1" si="100"/>
        <v>0</v>
      </c>
      <c r="AC62" s="3727">
        <f t="shared" ca="1" si="100"/>
        <v>0</v>
      </c>
      <c r="AD62" s="3727">
        <f t="shared" ca="1" si="100"/>
        <v>0</v>
      </c>
      <c r="AE62" s="3727">
        <f t="shared" ca="1" si="100"/>
        <v>0</v>
      </c>
      <c r="AF62" s="3727">
        <f t="shared" ca="1" si="100"/>
        <v>0</v>
      </c>
      <c r="AG62" s="3727">
        <f t="shared" ca="1" si="100"/>
        <v>0</v>
      </c>
      <c r="AH62" s="3727">
        <f t="shared" ca="1" si="100"/>
        <v>0</v>
      </c>
      <c r="AI62" s="3727">
        <f t="shared" ca="1" si="100"/>
        <v>0</v>
      </c>
      <c r="AJ62" s="3727">
        <f t="shared" ca="1" si="100"/>
        <v>0</v>
      </c>
      <c r="AK62" s="3727">
        <f t="shared" ca="1" si="100"/>
        <v>0</v>
      </c>
      <c r="AL62" s="3727">
        <f t="shared" ca="1" si="100"/>
        <v>0</v>
      </c>
      <c r="AM62" s="3727">
        <f t="shared" ref="AM62:AX69" ca="1" si="101">$L62*(1+(dpIncome_ExpenseGrowth1+dpIncome_ExpenseGrowth2+(dpIncome_ExpenseGrowth3*O$20)/12))*IF(AM34&gt;0,AM34,0)</f>
        <v>0</v>
      </c>
      <c r="AN62" s="3727">
        <f t="shared" ca="1" si="101"/>
        <v>0</v>
      </c>
      <c r="AO62" s="3727">
        <f t="shared" ca="1" si="101"/>
        <v>0</v>
      </c>
      <c r="AP62" s="3727">
        <f t="shared" ca="1" si="101"/>
        <v>0</v>
      </c>
      <c r="AQ62" s="3727">
        <f t="shared" ca="1" si="101"/>
        <v>0</v>
      </c>
      <c r="AR62" s="3727">
        <f t="shared" ca="1" si="101"/>
        <v>0</v>
      </c>
      <c r="AS62" s="3727">
        <f t="shared" ca="1" si="101"/>
        <v>0</v>
      </c>
      <c r="AT62" s="3727">
        <f t="shared" ca="1" si="101"/>
        <v>0</v>
      </c>
      <c r="AU62" s="3727">
        <f t="shared" ca="1" si="101"/>
        <v>0</v>
      </c>
      <c r="AV62" s="3727">
        <f t="shared" ca="1" si="101"/>
        <v>0</v>
      </c>
      <c r="AW62" s="3727">
        <f t="shared" ca="1" si="101"/>
        <v>0</v>
      </c>
      <c r="AX62" s="3727">
        <f t="shared" ca="1" si="101"/>
        <v>0</v>
      </c>
      <c r="AY62" s="3727">
        <f t="shared" ref="AY62:BH69" ca="1" si="102">$L62*(1+(dpIncome_ExpenseGrowth1+dpIncome_ExpenseGrowth2+dpIncome_ExpenseGrowth3+(dpIncome_ExpenseGrowth4*O$20)/12))*IF(AY34&gt;0,AY34,0)</f>
        <v>0</v>
      </c>
      <c r="AZ62" s="3727">
        <f t="shared" ca="1" si="102"/>
        <v>0</v>
      </c>
      <c r="BA62" s="3727">
        <f t="shared" ca="1" si="102"/>
        <v>0</v>
      </c>
      <c r="BB62" s="3727">
        <f t="shared" ca="1" si="102"/>
        <v>0</v>
      </c>
      <c r="BC62" s="3727">
        <f t="shared" ca="1" si="102"/>
        <v>0</v>
      </c>
      <c r="BD62" s="3727">
        <f t="shared" ca="1" si="102"/>
        <v>0</v>
      </c>
      <c r="BE62" s="3727">
        <f t="shared" ca="1" si="102"/>
        <v>0</v>
      </c>
      <c r="BF62" s="3727">
        <f t="shared" ca="1" si="102"/>
        <v>0</v>
      </c>
      <c r="BG62" s="3727">
        <f t="shared" ca="1" si="102"/>
        <v>0</v>
      </c>
      <c r="BH62" s="3727">
        <f t="shared" ca="1" si="102"/>
        <v>0</v>
      </c>
      <c r="BI62" s="3727">
        <f t="shared" ref="BI62:BR69" ca="1" si="103">$L62*(1+(dpIncome_ExpenseGrowth1+dpIncome_ExpenseGrowth2+dpIncome_ExpenseGrowth3+(dpIncome_ExpenseGrowth4*Y$20)/12))*IF(BI34&gt;0,BI34,0)</f>
        <v>0</v>
      </c>
      <c r="BJ62" s="3727">
        <f t="shared" ca="1" si="103"/>
        <v>0</v>
      </c>
      <c r="BK62" s="3727">
        <f t="shared" ca="1" si="103"/>
        <v>0</v>
      </c>
      <c r="BL62" s="3727">
        <f t="shared" ca="1" si="103"/>
        <v>0</v>
      </c>
      <c r="BM62" s="3727">
        <f t="shared" ca="1" si="103"/>
        <v>0</v>
      </c>
      <c r="BN62" s="3727">
        <f t="shared" ca="1" si="103"/>
        <v>0</v>
      </c>
      <c r="BO62" s="3727">
        <f t="shared" ca="1" si="103"/>
        <v>0</v>
      </c>
      <c r="BP62" s="3727">
        <f t="shared" ca="1" si="103"/>
        <v>0</v>
      </c>
      <c r="BQ62" s="3727">
        <f t="shared" ca="1" si="103"/>
        <v>0</v>
      </c>
      <c r="BR62" s="3727">
        <f t="shared" ca="1" si="103"/>
        <v>0</v>
      </c>
      <c r="BS62" s="3727">
        <f t="shared" ref="BS62:CB69" ca="1" si="104">$L62*(1+(dpIncome_ExpenseGrowth1+dpIncome_ExpenseGrowth2+dpIncome_ExpenseGrowth3+(dpIncome_ExpenseGrowth4*AI$20)/12))*IF(BS34&gt;0,BS34,0)</f>
        <v>0</v>
      </c>
      <c r="BT62" s="3727">
        <f t="shared" ca="1" si="104"/>
        <v>0</v>
      </c>
      <c r="BU62" s="3727">
        <f t="shared" ca="1" si="104"/>
        <v>0</v>
      </c>
      <c r="BV62" s="3727">
        <f t="shared" ca="1" si="104"/>
        <v>0</v>
      </c>
      <c r="BW62" s="3727">
        <f t="shared" ca="1" si="104"/>
        <v>0</v>
      </c>
      <c r="BX62" s="3727">
        <f t="shared" ca="1" si="104"/>
        <v>0</v>
      </c>
      <c r="BY62" s="3727">
        <f t="shared" ca="1" si="104"/>
        <v>0</v>
      </c>
      <c r="BZ62" s="3727">
        <f t="shared" ca="1" si="104"/>
        <v>0</v>
      </c>
      <c r="CA62" s="3727">
        <f t="shared" ca="1" si="104"/>
        <v>0</v>
      </c>
      <c r="CB62" s="3727">
        <f t="shared" ca="1" si="104"/>
        <v>0</v>
      </c>
      <c r="CC62" s="3727">
        <f t="shared" ref="CC62:CH69" ca="1" si="105">$L62*(1+(dpIncome_ExpenseGrowth1+dpIncome_ExpenseGrowth2+dpIncome_ExpenseGrowth3+(dpIncome_ExpenseGrowth4*AS$20)/12))*IF(CC34&gt;0,CC34,0)</f>
        <v>0</v>
      </c>
      <c r="CD62" s="3727">
        <f t="shared" ca="1" si="105"/>
        <v>0</v>
      </c>
      <c r="CE62" s="3727">
        <f t="shared" ca="1" si="105"/>
        <v>0</v>
      </c>
      <c r="CF62" s="3727">
        <f t="shared" ca="1" si="105"/>
        <v>0</v>
      </c>
      <c r="CG62" s="3727">
        <f t="shared" ca="1" si="105"/>
        <v>0</v>
      </c>
      <c r="CH62" s="3727">
        <f t="shared" ca="1" si="105"/>
        <v>0</v>
      </c>
      <c r="CI62" s="92"/>
      <c r="CJ62" s="74"/>
      <c r="CK62" s="42"/>
      <c r="CL62" s="42"/>
    </row>
    <row r="63" spans="1:90" hidden="1" x14ac:dyDescent="0.25">
      <c r="A63" s="957">
        <f ca="1">IF($M$7=0,0,1)</f>
        <v>0</v>
      </c>
      <c r="B63" s="96"/>
      <c r="C63" s="96"/>
      <c r="D63" s="96"/>
      <c r="E63" s="96"/>
      <c r="F63" s="96"/>
      <c r="G63" s="96"/>
      <c r="H63" s="96"/>
      <c r="I63" s="174"/>
      <c r="J63" s="92"/>
      <c r="K63" s="92" t="str">
        <f>$K$7</f>
        <v>Land Storage</v>
      </c>
      <c r="L63" s="4223">
        <f>Income_TCat2_TINew</f>
        <v>0</v>
      </c>
      <c r="M63" s="4231"/>
      <c r="N63" s="4231"/>
      <c r="O63" s="3727">
        <f t="shared" ref="O63:O69" ca="1" si="106">L63*O35</f>
        <v>0</v>
      </c>
      <c r="P63" s="3727">
        <f t="shared" ref="P63:Z63" ca="1" si="107">$L63*(1+((dpIncome_ExpenseGrowth1*O$20)/12))*IF(P35&gt;0,P35,0)</f>
        <v>0</v>
      </c>
      <c r="Q63" s="3727">
        <f t="shared" ca="1" si="107"/>
        <v>0</v>
      </c>
      <c r="R63" s="3727">
        <f t="shared" ca="1" si="107"/>
        <v>0</v>
      </c>
      <c r="S63" s="3727">
        <f t="shared" ca="1" si="107"/>
        <v>0</v>
      </c>
      <c r="T63" s="3727">
        <f t="shared" ca="1" si="107"/>
        <v>0</v>
      </c>
      <c r="U63" s="3727">
        <f t="shared" ca="1" si="107"/>
        <v>0</v>
      </c>
      <c r="V63" s="3727">
        <f t="shared" ca="1" si="107"/>
        <v>0</v>
      </c>
      <c r="W63" s="3727">
        <f t="shared" ca="1" si="107"/>
        <v>0</v>
      </c>
      <c r="X63" s="3727">
        <f t="shared" ca="1" si="107"/>
        <v>0</v>
      </c>
      <c r="Y63" s="3727">
        <f t="shared" ca="1" si="107"/>
        <v>0</v>
      </c>
      <c r="Z63" s="3727">
        <f t="shared" ca="1" si="107"/>
        <v>0</v>
      </c>
      <c r="AA63" s="3727">
        <f t="shared" ca="1" si="100"/>
        <v>0</v>
      </c>
      <c r="AB63" s="3727">
        <f t="shared" ca="1" si="100"/>
        <v>0</v>
      </c>
      <c r="AC63" s="3727">
        <f t="shared" ca="1" si="100"/>
        <v>0</v>
      </c>
      <c r="AD63" s="3727">
        <f t="shared" ca="1" si="100"/>
        <v>0</v>
      </c>
      <c r="AE63" s="3727">
        <f t="shared" ca="1" si="100"/>
        <v>0</v>
      </c>
      <c r="AF63" s="3727">
        <f t="shared" ca="1" si="100"/>
        <v>0</v>
      </c>
      <c r="AG63" s="3727">
        <f t="shared" ca="1" si="100"/>
        <v>0</v>
      </c>
      <c r="AH63" s="3727">
        <f t="shared" ca="1" si="100"/>
        <v>0</v>
      </c>
      <c r="AI63" s="3727">
        <f t="shared" ca="1" si="100"/>
        <v>0</v>
      </c>
      <c r="AJ63" s="3727">
        <f t="shared" ca="1" si="100"/>
        <v>0</v>
      </c>
      <c r="AK63" s="3727">
        <f t="shared" ca="1" si="100"/>
        <v>0</v>
      </c>
      <c r="AL63" s="3727">
        <f t="shared" ca="1" si="100"/>
        <v>0</v>
      </c>
      <c r="AM63" s="3727">
        <f t="shared" ca="1" si="101"/>
        <v>0</v>
      </c>
      <c r="AN63" s="3727">
        <f t="shared" ca="1" si="101"/>
        <v>0</v>
      </c>
      <c r="AO63" s="3727">
        <f t="shared" ca="1" si="101"/>
        <v>0</v>
      </c>
      <c r="AP63" s="3727">
        <f t="shared" ca="1" si="101"/>
        <v>0</v>
      </c>
      <c r="AQ63" s="3727">
        <f t="shared" ca="1" si="101"/>
        <v>0</v>
      </c>
      <c r="AR63" s="3727">
        <f t="shared" ca="1" si="101"/>
        <v>0</v>
      </c>
      <c r="AS63" s="3727">
        <f t="shared" ca="1" si="101"/>
        <v>0</v>
      </c>
      <c r="AT63" s="3727">
        <f t="shared" ca="1" si="101"/>
        <v>0</v>
      </c>
      <c r="AU63" s="3727">
        <f t="shared" ca="1" si="101"/>
        <v>0</v>
      </c>
      <c r="AV63" s="3727">
        <f t="shared" ca="1" si="101"/>
        <v>0</v>
      </c>
      <c r="AW63" s="3727">
        <f t="shared" ca="1" si="101"/>
        <v>0</v>
      </c>
      <c r="AX63" s="3727">
        <f t="shared" ca="1" si="101"/>
        <v>0</v>
      </c>
      <c r="AY63" s="3727">
        <f t="shared" ca="1" si="102"/>
        <v>0</v>
      </c>
      <c r="AZ63" s="3727">
        <f t="shared" ca="1" si="102"/>
        <v>0</v>
      </c>
      <c r="BA63" s="3727">
        <f t="shared" ca="1" si="102"/>
        <v>0</v>
      </c>
      <c r="BB63" s="3727">
        <f t="shared" ca="1" si="102"/>
        <v>0</v>
      </c>
      <c r="BC63" s="3727">
        <f t="shared" ca="1" si="102"/>
        <v>0</v>
      </c>
      <c r="BD63" s="3727">
        <f t="shared" ca="1" si="102"/>
        <v>0</v>
      </c>
      <c r="BE63" s="3727">
        <f t="shared" ca="1" si="102"/>
        <v>0</v>
      </c>
      <c r="BF63" s="3727">
        <f t="shared" ca="1" si="102"/>
        <v>0</v>
      </c>
      <c r="BG63" s="3727">
        <f t="shared" ca="1" si="102"/>
        <v>0</v>
      </c>
      <c r="BH63" s="3727">
        <f t="shared" ca="1" si="102"/>
        <v>0</v>
      </c>
      <c r="BI63" s="3727">
        <f t="shared" ca="1" si="103"/>
        <v>0</v>
      </c>
      <c r="BJ63" s="3727">
        <f t="shared" ca="1" si="103"/>
        <v>0</v>
      </c>
      <c r="BK63" s="3727">
        <f t="shared" ca="1" si="103"/>
        <v>0</v>
      </c>
      <c r="BL63" s="3727">
        <f t="shared" ca="1" si="103"/>
        <v>0</v>
      </c>
      <c r="BM63" s="3727">
        <f t="shared" ca="1" si="103"/>
        <v>0</v>
      </c>
      <c r="BN63" s="3727">
        <f t="shared" ca="1" si="103"/>
        <v>0</v>
      </c>
      <c r="BO63" s="3727">
        <f t="shared" ca="1" si="103"/>
        <v>0</v>
      </c>
      <c r="BP63" s="3727">
        <f t="shared" ca="1" si="103"/>
        <v>0</v>
      </c>
      <c r="BQ63" s="3727">
        <f t="shared" ca="1" si="103"/>
        <v>0</v>
      </c>
      <c r="BR63" s="3727">
        <f t="shared" ca="1" si="103"/>
        <v>0</v>
      </c>
      <c r="BS63" s="3727">
        <f t="shared" ca="1" si="104"/>
        <v>0</v>
      </c>
      <c r="BT63" s="3727">
        <f t="shared" ca="1" si="104"/>
        <v>0</v>
      </c>
      <c r="BU63" s="3727">
        <f t="shared" ca="1" si="104"/>
        <v>0</v>
      </c>
      <c r="BV63" s="3727">
        <f t="shared" ca="1" si="104"/>
        <v>0</v>
      </c>
      <c r="BW63" s="3727">
        <f t="shared" ca="1" si="104"/>
        <v>0</v>
      </c>
      <c r="BX63" s="3727">
        <f t="shared" ca="1" si="104"/>
        <v>0</v>
      </c>
      <c r="BY63" s="3727">
        <f t="shared" ca="1" si="104"/>
        <v>0</v>
      </c>
      <c r="BZ63" s="3727">
        <f t="shared" ca="1" si="104"/>
        <v>0</v>
      </c>
      <c r="CA63" s="3727">
        <f t="shared" ca="1" si="104"/>
        <v>0</v>
      </c>
      <c r="CB63" s="3727">
        <f t="shared" ca="1" si="104"/>
        <v>0</v>
      </c>
      <c r="CC63" s="3727">
        <f t="shared" ca="1" si="105"/>
        <v>0</v>
      </c>
      <c r="CD63" s="3727">
        <f t="shared" ca="1" si="105"/>
        <v>0</v>
      </c>
      <c r="CE63" s="3727">
        <f t="shared" ca="1" si="105"/>
        <v>0</v>
      </c>
      <c r="CF63" s="3727">
        <f t="shared" ca="1" si="105"/>
        <v>0</v>
      </c>
      <c r="CG63" s="3727">
        <f t="shared" ca="1" si="105"/>
        <v>0</v>
      </c>
      <c r="CH63" s="3727">
        <f t="shared" ca="1" si="105"/>
        <v>0</v>
      </c>
      <c r="CI63" s="92"/>
      <c r="CJ63" s="74"/>
      <c r="CK63" s="42"/>
      <c r="CL63" s="42"/>
    </row>
    <row r="64" spans="1:90" hidden="1" x14ac:dyDescent="0.25">
      <c r="A64" s="957">
        <f ca="1">IF($M$8=0,0,1)</f>
        <v>0</v>
      </c>
      <c r="B64" s="96"/>
      <c r="C64" s="96"/>
      <c r="D64" s="96"/>
      <c r="E64" s="96"/>
      <c r="F64" s="96"/>
      <c r="G64" s="96"/>
      <c r="H64" s="96"/>
      <c r="I64" s="174"/>
      <c r="J64" s="92"/>
      <c r="K64" s="92">
        <f>$K$8</f>
        <v>0</v>
      </c>
      <c r="L64" s="4223">
        <f>Income_TCat3_TINew</f>
        <v>0</v>
      </c>
      <c r="M64" s="4231"/>
      <c r="N64" s="4231"/>
      <c r="O64" s="3727">
        <f t="shared" ca="1" si="106"/>
        <v>0</v>
      </c>
      <c r="P64" s="3727">
        <f t="shared" ref="P64:Z64" ca="1" si="108">$L64*(1+((dpIncome_ExpenseGrowth1*O$20)/12))*IF(P36&gt;0,P36,0)</f>
        <v>0</v>
      </c>
      <c r="Q64" s="3727">
        <f t="shared" ca="1" si="108"/>
        <v>0</v>
      </c>
      <c r="R64" s="3727">
        <f t="shared" ca="1" si="108"/>
        <v>0</v>
      </c>
      <c r="S64" s="3727">
        <f t="shared" ca="1" si="108"/>
        <v>0</v>
      </c>
      <c r="T64" s="3727">
        <f t="shared" ca="1" si="108"/>
        <v>0</v>
      </c>
      <c r="U64" s="3727">
        <f t="shared" ca="1" si="108"/>
        <v>0</v>
      </c>
      <c r="V64" s="3727">
        <f t="shared" ca="1" si="108"/>
        <v>0</v>
      </c>
      <c r="W64" s="3727">
        <f t="shared" ca="1" si="108"/>
        <v>0</v>
      </c>
      <c r="X64" s="3727">
        <f t="shared" ca="1" si="108"/>
        <v>0</v>
      </c>
      <c r="Y64" s="3727">
        <f t="shared" ca="1" si="108"/>
        <v>0</v>
      </c>
      <c r="Z64" s="3727">
        <f t="shared" ca="1" si="108"/>
        <v>0</v>
      </c>
      <c r="AA64" s="3727">
        <f t="shared" ca="1" si="100"/>
        <v>0</v>
      </c>
      <c r="AB64" s="3727">
        <f t="shared" ca="1" si="100"/>
        <v>0</v>
      </c>
      <c r="AC64" s="3727">
        <f t="shared" ca="1" si="100"/>
        <v>0</v>
      </c>
      <c r="AD64" s="3727">
        <f t="shared" ca="1" si="100"/>
        <v>0</v>
      </c>
      <c r="AE64" s="3727">
        <f t="shared" ca="1" si="100"/>
        <v>0</v>
      </c>
      <c r="AF64" s="3727">
        <f t="shared" ca="1" si="100"/>
        <v>0</v>
      </c>
      <c r="AG64" s="3727">
        <f t="shared" ca="1" si="100"/>
        <v>0</v>
      </c>
      <c r="AH64" s="3727">
        <f t="shared" ca="1" si="100"/>
        <v>0</v>
      </c>
      <c r="AI64" s="3727">
        <f t="shared" ca="1" si="100"/>
        <v>0</v>
      </c>
      <c r="AJ64" s="3727">
        <f t="shared" ca="1" si="100"/>
        <v>0</v>
      </c>
      <c r="AK64" s="3727">
        <f t="shared" ca="1" si="100"/>
        <v>0</v>
      </c>
      <c r="AL64" s="3727">
        <f t="shared" ca="1" si="100"/>
        <v>0</v>
      </c>
      <c r="AM64" s="3727">
        <f t="shared" ca="1" si="101"/>
        <v>0</v>
      </c>
      <c r="AN64" s="3727">
        <f t="shared" ca="1" si="101"/>
        <v>0</v>
      </c>
      <c r="AO64" s="3727">
        <f t="shared" ca="1" si="101"/>
        <v>0</v>
      </c>
      <c r="AP64" s="3727">
        <f t="shared" ca="1" si="101"/>
        <v>0</v>
      </c>
      <c r="AQ64" s="3727">
        <f t="shared" ca="1" si="101"/>
        <v>0</v>
      </c>
      <c r="AR64" s="3727">
        <f t="shared" ca="1" si="101"/>
        <v>0</v>
      </c>
      <c r="AS64" s="3727">
        <f t="shared" ca="1" si="101"/>
        <v>0</v>
      </c>
      <c r="AT64" s="3727">
        <f t="shared" ca="1" si="101"/>
        <v>0</v>
      </c>
      <c r="AU64" s="3727">
        <f t="shared" ca="1" si="101"/>
        <v>0</v>
      </c>
      <c r="AV64" s="3727">
        <f t="shared" ca="1" si="101"/>
        <v>0</v>
      </c>
      <c r="AW64" s="3727">
        <f t="shared" ca="1" si="101"/>
        <v>0</v>
      </c>
      <c r="AX64" s="3727">
        <f t="shared" ca="1" si="101"/>
        <v>0</v>
      </c>
      <c r="AY64" s="3727">
        <f t="shared" ca="1" si="102"/>
        <v>0</v>
      </c>
      <c r="AZ64" s="3727">
        <f t="shared" ca="1" si="102"/>
        <v>0</v>
      </c>
      <c r="BA64" s="3727">
        <f t="shared" ca="1" si="102"/>
        <v>0</v>
      </c>
      <c r="BB64" s="3727">
        <f t="shared" ca="1" si="102"/>
        <v>0</v>
      </c>
      <c r="BC64" s="3727">
        <f t="shared" ca="1" si="102"/>
        <v>0</v>
      </c>
      <c r="BD64" s="3727">
        <f t="shared" ca="1" si="102"/>
        <v>0</v>
      </c>
      <c r="BE64" s="3727">
        <f t="shared" ca="1" si="102"/>
        <v>0</v>
      </c>
      <c r="BF64" s="3727">
        <f t="shared" ca="1" si="102"/>
        <v>0</v>
      </c>
      <c r="BG64" s="3727">
        <f t="shared" ca="1" si="102"/>
        <v>0</v>
      </c>
      <c r="BH64" s="3727">
        <f t="shared" ca="1" si="102"/>
        <v>0</v>
      </c>
      <c r="BI64" s="3727">
        <f t="shared" ca="1" si="103"/>
        <v>0</v>
      </c>
      <c r="BJ64" s="3727">
        <f t="shared" ca="1" si="103"/>
        <v>0</v>
      </c>
      <c r="BK64" s="3727">
        <f t="shared" ca="1" si="103"/>
        <v>0</v>
      </c>
      <c r="BL64" s="3727">
        <f t="shared" ca="1" si="103"/>
        <v>0</v>
      </c>
      <c r="BM64" s="3727">
        <f t="shared" ca="1" si="103"/>
        <v>0</v>
      </c>
      <c r="BN64" s="3727">
        <f t="shared" ca="1" si="103"/>
        <v>0</v>
      </c>
      <c r="BO64" s="3727">
        <f t="shared" ca="1" si="103"/>
        <v>0</v>
      </c>
      <c r="BP64" s="3727">
        <f t="shared" ca="1" si="103"/>
        <v>0</v>
      </c>
      <c r="BQ64" s="3727">
        <f t="shared" ca="1" si="103"/>
        <v>0</v>
      </c>
      <c r="BR64" s="3727">
        <f t="shared" ca="1" si="103"/>
        <v>0</v>
      </c>
      <c r="BS64" s="3727">
        <f t="shared" ca="1" si="104"/>
        <v>0</v>
      </c>
      <c r="BT64" s="3727">
        <f t="shared" ca="1" si="104"/>
        <v>0</v>
      </c>
      <c r="BU64" s="3727">
        <f t="shared" ca="1" si="104"/>
        <v>0</v>
      </c>
      <c r="BV64" s="3727">
        <f t="shared" ca="1" si="104"/>
        <v>0</v>
      </c>
      <c r="BW64" s="3727">
        <f t="shared" ca="1" si="104"/>
        <v>0</v>
      </c>
      <c r="BX64" s="3727">
        <f t="shared" ca="1" si="104"/>
        <v>0</v>
      </c>
      <c r="BY64" s="3727">
        <f t="shared" ca="1" si="104"/>
        <v>0</v>
      </c>
      <c r="BZ64" s="3727">
        <f t="shared" ca="1" si="104"/>
        <v>0</v>
      </c>
      <c r="CA64" s="3727">
        <f t="shared" ca="1" si="104"/>
        <v>0</v>
      </c>
      <c r="CB64" s="3727">
        <f t="shared" ca="1" si="104"/>
        <v>0</v>
      </c>
      <c r="CC64" s="3727">
        <f t="shared" ca="1" si="105"/>
        <v>0</v>
      </c>
      <c r="CD64" s="3727">
        <f t="shared" ca="1" si="105"/>
        <v>0</v>
      </c>
      <c r="CE64" s="3727">
        <f t="shared" ca="1" si="105"/>
        <v>0</v>
      </c>
      <c r="CF64" s="3727">
        <f t="shared" ca="1" si="105"/>
        <v>0</v>
      </c>
      <c r="CG64" s="3727">
        <f t="shared" ca="1" si="105"/>
        <v>0</v>
      </c>
      <c r="CH64" s="3727">
        <f t="shared" ca="1" si="105"/>
        <v>0</v>
      </c>
      <c r="CI64" s="92"/>
      <c r="CJ64" s="74"/>
      <c r="CK64" s="42"/>
      <c r="CL64" s="42"/>
    </row>
    <row r="65" spans="1:90" hidden="1" x14ac:dyDescent="0.25">
      <c r="A65" s="957">
        <f ca="1">IF($M$9=0,0,1)</f>
        <v>0</v>
      </c>
      <c r="B65" s="96"/>
      <c r="C65" s="96"/>
      <c r="D65" s="96"/>
      <c r="E65" s="96"/>
      <c r="F65" s="96"/>
      <c r="G65" s="96"/>
      <c r="H65" s="96"/>
      <c r="I65" s="174"/>
      <c r="J65" s="92"/>
      <c r="K65" s="92">
        <f>$K$9</f>
        <v>0</v>
      </c>
      <c r="L65" s="4223">
        <f>Income_TCat4_TINew</f>
        <v>0</v>
      </c>
      <c r="M65" s="4231"/>
      <c r="N65" s="4231"/>
      <c r="O65" s="3727">
        <f t="shared" ca="1" si="106"/>
        <v>0</v>
      </c>
      <c r="P65" s="3727">
        <f t="shared" ref="P65:Z65" ca="1" si="109">$L65*(1+((dpIncome_ExpenseGrowth1*O$20)/12))*IF(P37&gt;0,P37,0)</f>
        <v>0</v>
      </c>
      <c r="Q65" s="3727">
        <f t="shared" ca="1" si="109"/>
        <v>0</v>
      </c>
      <c r="R65" s="3727">
        <f t="shared" ca="1" si="109"/>
        <v>0</v>
      </c>
      <c r="S65" s="3727">
        <f t="shared" ca="1" si="109"/>
        <v>0</v>
      </c>
      <c r="T65" s="3727">
        <f t="shared" ca="1" si="109"/>
        <v>0</v>
      </c>
      <c r="U65" s="3727">
        <f t="shared" ca="1" si="109"/>
        <v>0</v>
      </c>
      <c r="V65" s="3727">
        <f t="shared" ca="1" si="109"/>
        <v>0</v>
      </c>
      <c r="W65" s="3727">
        <f t="shared" ca="1" si="109"/>
        <v>0</v>
      </c>
      <c r="X65" s="3727">
        <f t="shared" ca="1" si="109"/>
        <v>0</v>
      </c>
      <c r="Y65" s="3727">
        <f t="shared" ca="1" si="109"/>
        <v>0</v>
      </c>
      <c r="Z65" s="3727">
        <f t="shared" ca="1" si="109"/>
        <v>0</v>
      </c>
      <c r="AA65" s="3727">
        <f t="shared" ca="1" si="100"/>
        <v>0</v>
      </c>
      <c r="AB65" s="3727">
        <f t="shared" ca="1" si="100"/>
        <v>0</v>
      </c>
      <c r="AC65" s="3727">
        <f t="shared" ca="1" si="100"/>
        <v>0</v>
      </c>
      <c r="AD65" s="3727">
        <f t="shared" ca="1" si="100"/>
        <v>0</v>
      </c>
      <c r="AE65" s="3727">
        <f t="shared" ca="1" si="100"/>
        <v>0</v>
      </c>
      <c r="AF65" s="3727">
        <f t="shared" ca="1" si="100"/>
        <v>0</v>
      </c>
      <c r="AG65" s="3727">
        <f t="shared" ca="1" si="100"/>
        <v>0</v>
      </c>
      <c r="AH65" s="3727">
        <f t="shared" ca="1" si="100"/>
        <v>0</v>
      </c>
      <c r="AI65" s="3727">
        <f t="shared" ca="1" si="100"/>
        <v>0</v>
      </c>
      <c r="AJ65" s="3727">
        <f t="shared" ca="1" si="100"/>
        <v>0</v>
      </c>
      <c r="AK65" s="3727">
        <f t="shared" ca="1" si="100"/>
        <v>0</v>
      </c>
      <c r="AL65" s="3727">
        <f t="shared" ca="1" si="100"/>
        <v>0</v>
      </c>
      <c r="AM65" s="3727">
        <f t="shared" ca="1" si="101"/>
        <v>0</v>
      </c>
      <c r="AN65" s="3727">
        <f t="shared" ca="1" si="101"/>
        <v>0</v>
      </c>
      <c r="AO65" s="3727">
        <f t="shared" ca="1" si="101"/>
        <v>0</v>
      </c>
      <c r="AP65" s="3727">
        <f t="shared" ca="1" si="101"/>
        <v>0</v>
      </c>
      <c r="AQ65" s="3727">
        <f t="shared" ca="1" si="101"/>
        <v>0</v>
      </c>
      <c r="AR65" s="3727">
        <f t="shared" ca="1" si="101"/>
        <v>0</v>
      </c>
      <c r="AS65" s="3727">
        <f t="shared" ca="1" si="101"/>
        <v>0</v>
      </c>
      <c r="AT65" s="3727">
        <f t="shared" ca="1" si="101"/>
        <v>0</v>
      </c>
      <c r="AU65" s="3727">
        <f t="shared" ca="1" si="101"/>
        <v>0</v>
      </c>
      <c r="AV65" s="3727">
        <f t="shared" ca="1" si="101"/>
        <v>0</v>
      </c>
      <c r="AW65" s="3727">
        <f t="shared" ca="1" si="101"/>
        <v>0</v>
      </c>
      <c r="AX65" s="3727">
        <f t="shared" ca="1" si="101"/>
        <v>0</v>
      </c>
      <c r="AY65" s="3727">
        <f t="shared" ca="1" si="102"/>
        <v>0</v>
      </c>
      <c r="AZ65" s="3727">
        <f t="shared" ca="1" si="102"/>
        <v>0</v>
      </c>
      <c r="BA65" s="3727">
        <f t="shared" ca="1" si="102"/>
        <v>0</v>
      </c>
      <c r="BB65" s="3727">
        <f t="shared" ca="1" si="102"/>
        <v>0</v>
      </c>
      <c r="BC65" s="3727">
        <f t="shared" ca="1" si="102"/>
        <v>0</v>
      </c>
      <c r="BD65" s="3727">
        <f t="shared" ca="1" si="102"/>
        <v>0</v>
      </c>
      <c r="BE65" s="3727">
        <f t="shared" ca="1" si="102"/>
        <v>0</v>
      </c>
      <c r="BF65" s="3727">
        <f t="shared" ca="1" si="102"/>
        <v>0</v>
      </c>
      <c r="BG65" s="3727">
        <f t="shared" ca="1" si="102"/>
        <v>0</v>
      </c>
      <c r="BH65" s="3727">
        <f t="shared" ca="1" si="102"/>
        <v>0</v>
      </c>
      <c r="BI65" s="3727">
        <f t="shared" ca="1" si="103"/>
        <v>0</v>
      </c>
      <c r="BJ65" s="3727">
        <f t="shared" ca="1" si="103"/>
        <v>0</v>
      </c>
      <c r="BK65" s="3727">
        <f t="shared" ca="1" si="103"/>
        <v>0</v>
      </c>
      <c r="BL65" s="3727">
        <f t="shared" ca="1" si="103"/>
        <v>0</v>
      </c>
      <c r="BM65" s="3727">
        <f t="shared" ca="1" si="103"/>
        <v>0</v>
      </c>
      <c r="BN65" s="3727">
        <f t="shared" ca="1" si="103"/>
        <v>0</v>
      </c>
      <c r="BO65" s="3727">
        <f t="shared" ca="1" si="103"/>
        <v>0</v>
      </c>
      <c r="BP65" s="3727">
        <f t="shared" ca="1" si="103"/>
        <v>0</v>
      </c>
      <c r="BQ65" s="3727">
        <f t="shared" ca="1" si="103"/>
        <v>0</v>
      </c>
      <c r="BR65" s="3727">
        <f t="shared" ca="1" si="103"/>
        <v>0</v>
      </c>
      <c r="BS65" s="3727">
        <f t="shared" ca="1" si="104"/>
        <v>0</v>
      </c>
      <c r="BT65" s="3727">
        <f t="shared" ca="1" si="104"/>
        <v>0</v>
      </c>
      <c r="BU65" s="3727">
        <f t="shared" ca="1" si="104"/>
        <v>0</v>
      </c>
      <c r="BV65" s="3727">
        <f t="shared" ca="1" si="104"/>
        <v>0</v>
      </c>
      <c r="BW65" s="3727">
        <f t="shared" ca="1" si="104"/>
        <v>0</v>
      </c>
      <c r="BX65" s="3727">
        <f t="shared" ca="1" si="104"/>
        <v>0</v>
      </c>
      <c r="BY65" s="3727">
        <f t="shared" ca="1" si="104"/>
        <v>0</v>
      </c>
      <c r="BZ65" s="3727">
        <f t="shared" ca="1" si="104"/>
        <v>0</v>
      </c>
      <c r="CA65" s="3727">
        <f t="shared" ca="1" si="104"/>
        <v>0</v>
      </c>
      <c r="CB65" s="3727">
        <f t="shared" ca="1" si="104"/>
        <v>0</v>
      </c>
      <c r="CC65" s="3727">
        <f t="shared" ca="1" si="105"/>
        <v>0</v>
      </c>
      <c r="CD65" s="3727">
        <f t="shared" ca="1" si="105"/>
        <v>0</v>
      </c>
      <c r="CE65" s="3727">
        <f t="shared" ca="1" si="105"/>
        <v>0</v>
      </c>
      <c r="CF65" s="3727">
        <f t="shared" ca="1" si="105"/>
        <v>0</v>
      </c>
      <c r="CG65" s="3727">
        <f t="shared" ca="1" si="105"/>
        <v>0</v>
      </c>
      <c r="CH65" s="3727">
        <f t="shared" ca="1" si="105"/>
        <v>0</v>
      </c>
      <c r="CI65" s="92"/>
      <c r="CJ65" s="74"/>
      <c r="CK65" s="42"/>
      <c r="CL65" s="42"/>
    </row>
    <row r="66" spans="1:90" hidden="1" x14ac:dyDescent="0.25">
      <c r="A66" s="957">
        <f ca="1">IF($M$10=0,0,1)</f>
        <v>0</v>
      </c>
      <c r="B66" s="96"/>
      <c r="C66" s="96"/>
      <c r="D66" s="96"/>
      <c r="E66" s="96"/>
      <c r="F66" s="96"/>
      <c r="G66" s="96"/>
      <c r="H66" s="96"/>
      <c r="I66" s="174"/>
      <c r="J66" s="92"/>
      <c r="K66" s="92">
        <f>$K$10</f>
        <v>0</v>
      </c>
      <c r="L66" s="4223">
        <f>Income_TCat5_TINew</f>
        <v>0</v>
      </c>
      <c r="M66" s="4231"/>
      <c r="N66" s="4231"/>
      <c r="O66" s="3727">
        <f t="shared" ca="1" si="106"/>
        <v>0</v>
      </c>
      <c r="P66" s="3727">
        <f t="shared" ref="P66:Z66" ca="1" si="110">$L66*(1+((dpIncome_ExpenseGrowth1*O$20)/12))*IF(P38&gt;0,P38,0)</f>
        <v>0</v>
      </c>
      <c r="Q66" s="3727">
        <f t="shared" ca="1" si="110"/>
        <v>0</v>
      </c>
      <c r="R66" s="3727">
        <f t="shared" ca="1" si="110"/>
        <v>0</v>
      </c>
      <c r="S66" s="3727">
        <f t="shared" ca="1" si="110"/>
        <v>0</v>
      </c>
      <c r="T66" s="3727">
        <f t="shared" ca="1" si="110"/>
        <v>0</v>
      </c>
      <c r="U66" s="3727">
        <f t="shared" ca="1" si="110"/>
        <v>0</v>
      </c>
      <c r="V66" s="3727">
        <f t="shared" ca="1" si="110"/>
        <v>0</v>
      </c>
      <c r="W66" s="3727">
        <f t="shared" ca="1" si="110"/>
        <v>0</v>
      </c>
      <c r="X66" s="3727">
        <f t="shared" ca="1" si="110"/>
        <v>0</v>
      </c>
      <c r="Y66" s="3727">
        <f t="shared" ca="1" si="110"/>
        <v>0</v>
      </c>
      <c r="Z66" s="3727">
        <f t="shared" ca="1" si="110"/>
        <v>0</v>
      </c>
      <c r="AA66" s="3727">
        <f t="shared" ca="1" si="100"/>
        <v>0</v>
      </c>
      <c r="AB66" s="3727">
        <f t="shared" ca="1" si="100"/>
        <v>0</v>
      </c>
      <c r="AC66" s="3727">
        <f t="shared" ca="1" si="100"/>
        <v>0</v>
      </c>
      <c r="AD66" s="3727">
        <f t="shared" ca="1" si="100"/>
        <v>0</v>
      </c>
      <c r="AE66" s="3727">
        <f t="shared" ca="1" si="100"/>
        <v>0</v>
      </c>
      <c r="AF66" s="3727">
        <f t="shared" ca="1" si="100"/>
        <v>0</v>
      </c>
      <c r="AG66" s="3727">
        <f t="shared" ca="1" si="100"/>
        <v>0</v>
      </c>
      <c r="AH66" s="3727">
        <f t="shared" ca="1" si="100"/>
        <v>0</v>
      </c>
      <c r="AI66" s="3727">
        <f t="shared" ca="1" si="100"/>
        <v>0</v>
      </c>
      <c r="AJ66" s="3727">
        <f t="shared" ca="1" si="100"/>
        <v>0</v>
      </c>
      <c r="AK66" s="3727">
        <f t="shared" ca="1" si="100"/>
        <v>0</v>
      </c>
      <c r="AL66" s="3727">
        <f t="shared" ca="1" si="100"/>
        <v>0</v>
      </c>
      <c r="AM66" s="3727">
        <f t="shared" ca="1" si="101"/>
        <v>0</v>
      </c>
      <c r="AN66" s="3727">
        <f t="shared" ca="1" si="101"/>
        <v>0</v>
      </c>
      <c r="AO66" s="3727">
        <f t="shared" ca="1" si="101"/>
        <v>0</v>
      </c>
      <c r="AP66" s="3727">
        <f t="shared" ca="1" si="101"/>
        <v>0</v>
      </c>
      <c r="AQ66" s="3727">
        <f t="shared" ca="1" si="101"/>
        <v>0</v>
      </c>
      <c r="AR66" s="3727">
        <f t="shared" ca="1" si="101"/>
        <v>0</v>
      </c>
      <c r="AS66" s="3727">
        <f t="shared" ca="1" si="101"/>
        <v>0</v>
      </c>
      <c r="AT66" s="3727">
        <f t="shared" ca="1" si="101"/>
        <v>0</v>
      </c>
      <c r="AU66" s="3727">
        <f t="shared" ca="1" si="101"/>
        <v>0</v>
      </c>
      <c r="AV66" s="3727">
        <f t="shared" ca="1" si="101"/>
        <v>0</v>
      </c>
      <c r="AW66" s="3727">
        <f t="shared" ca="1" si="101"/>
        <v>0</v>
      </c>
      <c r="AX66" s="3727">
        <f t="shared" ca="1" si="101"/>
        <v>0</v>
      </c>
      <c r="AY66" s="3727">
        <f t="shared" ca="1" si="102"/>
        <v>0</v>
      </c>
      <c r="AZ66" s="3727">
        <f t="shared" ca="1" si="102"/>
        <v>0</v>
      </c>
      <c r="BA66" s="3727">
        <f t="shared" ca="1" si="102"/>
        <v>0</v>
      </c>
      <c r="BB66" s="3727">
        <f t="shared" ca="1" si="102"/>
        <v>0</v>
      </c>
      <c r="BC66" s="3727">
        <f t="shared" ca="1" si="102"/>
        <v>0</v>
      </c>
      <c r="BD66" s="3727">
        <f t="shared" ca="1" si="102"/>
        <v>0</v>
      </c>
      <c r="BE66" s="3727">
        <f t="shared" ca="1" si="102"/>
        <v>0</v>
      </c>
      <c r="BF66" s="3727">
        <f t="shared" ca="1" si="102"/>
        <v>0</v>
      </c>
      <c r="BG66" s="3727">
        <f t="shared" ca="1" si="102"/>
        <v>0</v>
      </c>
      <c r="BH66" s="3727">
        <f t="shared" ca="1" si="102"/>
        <v>0</v>
      </c>
      <c r="BI66" s="3727">
        <f t="shared" ca="1" si="103"/>
        <v>0</v>
      </c>
      <c r="BJ66" s="3727">
        <f t="shared" ca="1" si="103"/>
        <v>0</v>
      </c>
      <c r="BK66" s="3727">
        <f t="shared" ca="1" si="103"/>
        <v>0</v>
      </c>
      <c r="BL66" s="3727">
        <f t="shared" ca="1" si="103"/>
        <v>0</v>
      </c>
      <c r="BM66" s="3727">
        <f t="shared" ca="1" si="103"/>
        <v>0</v>
      </c>
      <c r="BN66" s="3727">
        <f t="shared" ca="1" si="103"/>
        <v>0</v>
      </c>
      <c r="BO66" s="3727">
        <f t="shared" ca="1" si="103"/>
        <v>0</v>
      </c>
      <c r="BP66" s="3727">
        <f t="shared" ca="1" si="103"/>
        <v>0</v>
      </c>
      <c r="BQ66" s="3727">
        <f t="shared" ca="1" si="103"/>
        <v>0</v>
      </c>
      <c r="BR66" s="3727">
        <f t="shared" ca="1" si="103"/>
        <v>0</v>
      </c>
      <c r="BS66" s="3727">
        <f t="shared" ca="1" si="104"/>
        <v>0</v>
      </c>
      <c r="BT66" s="3727">
        <f t="shared" ca="1" si="104"/>
        <v>0</v>
      </c>
      <c r="BU66" s="3727">
        <f t="shared" ca="1" si="104"/>
        <v>0</v>
      </c>
      <c r="BV66" s="3727">
        <f t="shared" ca="1" si="104"/>
        <v>0</v>
      </c>
      <c r="BW66" s="3727">
        <f t="shared" ca="1" si="104"/>
        <v>0</v>
      </c>
      <c r="BX66" s="3727">
        <f t="shared" ca="1" si="104"/>
        <v>0</v>
      </c>
      <c r="BY66" s="3727">
        <f t="shared" ca="1" si="104"/>
        <v>0</v>
      </c>
      <c r="BZ66" s="3727">
        <f t="shared" ca="1" si="104"/>
        <v>0</v>
      </c>
      <c r="CA66" s="3727">
        <f t="shared" ca="1" si="104"/>
        <v>0</v>
      </c>
      <c r="CB66" s="3727">
        <f t="shared" ca="1" si="104"/>
        <v>0</v>
      </c>
      <c r="CC66" s="3727">
        <f t="shared" ca="1" si="105"/>
        <v>0</v>
      </c>
      <c r="CD66" s="3727">
        <f t="shared" ca="1" si="105"/>
        <v>0</v>
      </c>
      <c r="CE66" s="3727">
        <f t="shared" ca="1" si="105"/>
        <v>0</v>
      </c>
      <c r="CF66" s="3727">
        <f t="shared" ca="1" si="105"/>
        <v>0</v>
      </c>
      <c r="CG66" s="3727">
        <f t="shared" ca="1" si="105"/>
        <v>0</v>
      </c>
      <c r="CH66" s="3727">
        <f t="shared" ca="1" si="105"/>
        <v>0</v>
      </c>
      <c r="CI66" s="92"/>
      <c r="CJ66" s="74"/>
      <c r="CK66" s="42"/>
      <c r="CL66" s="42"/>
    </row>
    <row r="67" spans="1:90" hidden="1" x14ac:dyDescent="0.25">
      <c r="A67" s="957">
        <f ca="1">IF($M$11=0,0,1)</f>
        <v>0</v>
      </c>
      <c r="B67" s="96"/>
      <c r="C67" s="96"/>
      <c r="D67" s="96"/>
      <c r="E67" s="96"/>
      <c r="F67" s="96"/>
      <c r="G67" s="96"/>
      <c r="H67" s="96"/>
      <c r="I67" s="174"/>
      <c r="J67" s="92"/>
      <c r="K67" s="92">
        <f>$K$11</f>
        <v>0</v>
      </c>
      <c r="L67" s="4223">
        <f>Income_TCat6_TINew</f>
        <v>0</v>
      </c>
      <c r="M67" s="4231"/>
      <c r="N67" s="4231"/>
      <c r="O67" s="3727">
        <f t="shared" ca="1" si="106"/>
        <v>0</v>
      </c>
      <c r="P67" s="3727">
        <f t="shared" ref="P67:Z67" ca="1" si="111">$L67*(1+((dpIncome_ExpenseGrowth1*O$20)/12))*IF(P39&gt;0,P39,0)</f>
        <v>0</v>
      </c>
      <c r="Q67" s="3727">
        <f t="shared" ca="1" si="111"/>
        <v>0</v>
      </c>
      <c r="R67" s="3727">
        <f t="shared" ca="1" si="111"/>
        <v>0</v>
      </c>
      <c r="S67" s="3727">
        <f t="shared" ca="1" si="111"/>
        <v>0</v>
      </c>
      <c r="T67" s="3727">
        <f t="shared" ca="1" si="111"/>
        <v>0</v>
      </c>
      <c r="U67" s="3727">
        <f t="shared" ca="1" si="111"/>
        <v>0</v>
      </c>
      <c r="V67" s="3727">
        <f t="shared" ca="1" si="111"/>
        <v>0</v>
      </c>
      <c r="W67" s="3727">
        <f t="shared" ca="1" si="111"/>
        <v>0</v>
      </c>
      <c r="X67" s="3727">
        <f t="shared" ca="1" si="111"/>
        <v>0</v>
      </c>
      <c r="Y67" s="3727">
        <f t="shared" ca="1" si="111"/>
        <v>0</v>
      </c>
      <c r="Z67" s="3727">
        <f t="shared" ca="1" si="111"/>
        <v>0</v>
      </c>
      <c r="AA67" s="3727">
        <f t="shared" ca="1" si="100"/>
        <v>0</v>
      </c>
      <c r="AB67" s="3727">
        <f t="shared" ca="1" si="100"/>
        <v>0</v>
      </c>
      <c r="AC67" s="3727">
        <f t="shared" ca="1" si="100"/>
        <v>0</v>
      </c>
      <c r="AD67" s="3727">
        <f t="shared" ca="1" si="100"/>
        <v>0</v>
      </c>
      <c r="AE67" s="3727">
        <f t="shared" ca="1" si="100"/>
        <v>0</v>
      </c>
      <c r="AF67" s="3727">
        <f t="shared" ca="1" si="100"/>
        <v>0</v>
      </c>
      <c r="AG67" s="3727">
        <f t="shared" ca="1" si="100"/>
        <v>0</v>
      </c>
      <c r="AH67" s="3727">
        <f t="shared" ca="1" si="100"/>
        <v>0</v>
      </c>
      <c r="AI67" s="3727">
        <f t="shared" ca="1" si="100"/>
        <v>0</v>
      </c>
      <c r="AJ67" s="3727">
        <f t="shared" ca="1" si="100"/>
        <v>0</v>
      </c>
      <c r="AK67" s="3727">
        <f t="shared" ca="1" si="100"/>
        <v>0</v>
      </c>
      <c r="AL67" s="3727">
        <f t="shared" ca="1" si="100"/>
        <v>0</v>
      </c>
      <c r="AM67" s="3727">
        <f t="shared" ca="1" si="101"/>
        <v>0</v>
      </c>
      <c r="AN67" s="3727">
        <f t="shared" ca="1" si="101"/>
        <v>0</v>
      </c>
      <c r="AO67" s="3727">
        <f t="shared" ca="1" si="101"/>
        <v>0</v>
      </c>
      <c r="AP67" s="3727">
        <f t="shared" ca="1" si="101"/>
        <v>0</v>
      </c>
      <c r="AQ67" s="3727">
        <f t="shared" ca="1" si="101"/>
        <v>0</v>
      </c>
      <c r="AR67" s="3727">
        <f t="shared" ca="1" si="101"/>
        <v>0</v>
      </c>
      <c r="AS67" s="3727">
        <f t="shared" ca="1" si="101"/>
        <v>0</v>
      </c>
      <c r="AT67" s="3727">
        <f t="shared" ca="1" si="101"/>
        <v>0</v>
      </c>
      <c r="AU67" s="3727">
        <f t="shared" ca="1" si="101"/>
        <v>0</v>
      </c>
      <c r="AV67" s="3727">
        <f t="shared" ca="1" si="101"/>
        <v>0</v>
      </c>
      <c r="AW67" s="3727">
        <f t="shared" ca="1" si="101"/>
        <v>0</v>
      </c>
      <c r="AX67" s="3727">
        <f t="shared" ca="1" si="101"/>
        <v>0</v>
      </c>
      <c r="AY67" s="3727">
        <f t="shared" ca="1" si="102"/>
        <v>0</v>
      </c>
      <c r="AZ67" s="3727">
        <f t="shared" ca="1" si="102"/>
        <v>0</v>
      </c>
      <c r="BA67" s="3727">
        <f t="shared" ca="1" si="102"/>
        <v>0</v>
      </c>
      <c r="BB67" s="3727">
        <f t="shared" ca="1" si="102"/>
        <v>0</v>
      </c>
      <c r="BC67" s="3727">
        <f t="shared" ca="1" si="102"/>
        <v>0</v>
      </c>
      <c r="BD67" s="3727">
        <f t="shared" ca="1" si="102"/>
        <v>0</v>
      </c>
      <c r="BE67" s="3727">
        <f t="shared" ca="1" si="102"/>
        <v>0</v>
      </c>
      <c r="BF67" s="3727">
        <f t="shared" ca="1" si="102"/>
        <v>0</v>
      </c>
      <c r="BG67" s="3727">
        <f t="shared" ca="1" si="102"/>
        <v>0</v>
      </c>
      <c r="BH67" s="3727">
        <f t="shared" ca="1" si="102"/>
        <v>0</v>
      </c>
      <c r="BI67" s="3727">
        <f t="shared" ca="1" si="103"/>
        <v>0</v>
      </c>
      <c r="BJ67" s="3727">
        <f t="shared" ca="1" si="103"/>
        <v>0</v>
      </c>
      <c r="BK67" s="3727">
        <f t="shared" ca="1" si="103"/>
        <v>0</v>
      </c>
      <c r="BL67" s="3727">
        <f t="shared" ca="1" si="103"/>
        <v>0</v>
      </c>
      <c r="BM67" s="3727">
        <f t="shared" ca="1" si="103"/>
        <v>0</v>
      </c>
      <c r="BN67" s="3727">
        <f t="shared" ca="1" si="103"/>
        <v>0</v>
      </c>
      <c r="BO67" s="3727">
        <f t="shared" ca="1" si="103"/>
        <v>0</v>
      </c>
      <c r="BP67" s="3727">
        <f t="shared" ca="1" si="103"/>
        <v>0</v>
      </c>
      <c r="BQ67" s="3727">
        <f t="shared" ca="1" si="103"/>
        <v>0</v>
      </c>
      <c r="BR67" s="3727">
        <f t="shared" ca="1" si="103"/>
        <v>0</v>
      </c>
      <c r="BS67" s="3727">
        <f t="shared" ca="1" si="104"/>
        <v>0</v>
      </c>
      <c r="BT67" s="3727">
        <f t="shared" ca="1" si="104"/>
        <v>0</v>
      </c>
      <c r="BU67" s="3727">
        <f t="shared" ca="1" si="104"/>
        <v>0</v>
      </c>
      <c r="BV67" s="3727">
        <f t="shared" ca="1" si="104"/>
        <v>0</v>
      </c>
      <c r="BW67" s="3727">
        <f t="shared" ca="1" si="104"/>
        <v>0</v>
      </c>
      <c r="BX67" s="3727">
        <f t="shared" ca="1" si="104"/>
        <v>0</v>
      </c>
      <c r="BY67" s="3727">
        <f t="shared" ca="1" si="104"/>
        <v>0</v>
      </c>
      <c r="BZ67" s="3727">
        <f t="shared" ca="1" si="104"/>
        <v>0</v>
      </c>
      <c r="CA67" s="3727">
        <f t="shared" ca="1" si="104"/>
        <v>0</v>
      </c>
      <c r="CB67" s="3727">
        <f t="shared" ca="1" si="104"/>
        <v>0</v>
      </c>
      <c r="CC67" s="3727">
        <f t="shared" ca="1" si="105"/>
        <v>0</v>
      </c>
      <c r="CD67" s="3727">
        <f t="shared" ca="1" si="105"/>
        <v>0</v>
      </c>
      <c r="CE67" s="3727">
        <f t="shared" ca="1" si="105"/>
        <v>0</v>
      </c>
      <c r="CF67" s="3727">
        <f t="shared" ca="1" si="105"/>
        <v>0</v>
      </c>
      <c r="CG67" s="3727">
        <f t="shared" ca="1" si="105"/>
        <v>0</v>
      </c>
      <c r="CH67" s="3727">
        <f t="shared" ca="1" si="105"/>
        <v>0</v>
      </c>
      <c r="CI67" s="92"/>
      <c r="CJ67" s="74"/>
      <c r="CK67" s="42"/>
      <c r="CL67" s="42"/>
    </row>
    <row r="68" spans="1:90" hidden="1" x14ac:dyDescent="0.25">
      <c r="A68" s="957">
        <f ca="1">IF($M$12=0,0,1)</f>
        <v>0</v>
      </c>
      <c r="B68" s="96"/>
      <c r="C68" s="96"/>
      <c r="D68" s="96"/>
      <c r="E68" s="96"/>
      <c r="F68" s="96"/>
      <c r="G68" s="96"/>
      <c r="H68" s="96"/>
      <c r="I68" s="174"/>
      <c r="J68" s="92"/>
      <c r="K68" s="92">
        <f>$K$12</f>
        <v>0</v>
      </c>
      <c r="L68" s="4223">
        <f>Income_TCat7_TINew</f>
        <v>0</v>
      </c>
      <c r="M68" s="4231"/>
      <c r="N68" s="4231"/>
      <c r="O68" s="3727">
        <f t="shared" ca="1" si="106"/>
        <v>0</v>
      </c>
      <c r="P68" s="3727">
        <f t="shared" ref="P68:Z68" ca="1" si="112">$L68*(1+((dpIncome_ExpenseGrowth1*O$20)/12))*IF(P40&gt;0,P40,0)</f>
        <v>0</v>
      </c>
      <c r="Q68" s="3727">
        <f t="shared" ca="1" si="112"/>
        <v>0</v>
      </c>
      <c r="R68" s="3727">
        <f t="shared" ca="1" si="112"/>
        <v>0</v>
      </c>
      <c r="S68" s="3727">
        <f t="shared" ca="1" si="112"/>
        <v>0</v>
      </c>
      <c r="T68" s="3727">
        <f t="shared" ca="1" si="112"/>
        <v>0</v>
      </c>
      <c r="U68" s="3727">
        <f t="shared" ca="1" si="112"/>
        <v>0</v>
      </c>
      <c r="V68" s="3727">
        <f t="shared" ca="1" si="112"/>
        <v>0</v>
      </c>
      <c r="W68" s="3727">
        <f t="shared" ca="1" si="112"/>
        <v>0</v>
      </c>
      <c r="X68" s="3727">
        <f t="shared" ca="1" si="112"/>
        <v>0</v>
      </c>
      <c r="Y68" s="3727">
        <f t="shared" ca="1" si="112"/>
        <v>0</v>
      </c>
      <c r="Z68" s="3727">
        <f t="shared" ca="1" si="112"/>
        <v>0</v>
      </c>
      <c r="AA68" s="3727">
        <f t="shared" ca="1" si="100"/>
        <v>0</v>
      </c>
      <c r="AB68" s="3727">
        <f t="shared" ca="1" si="100"/>
        <v>0</v>
      </c>
      <c r="AC68" s="3727">
        <f t="shared" ca="1" si="100"/>
        <v>0</v>
      </c>
      <c r="AD68" s="3727">
        <f t="shared" ca="1" si="100"/>
        <v>0</v>
      </c>
      <c r="AE68" s="3727">
        <f t="shared" ca="1" si="100"/>
        <v>0</v>
      </c>
      <c r="AF68" s="3727">
        <f t="shared" ca="1" si="100"/>
        <v>0</v>
      </c>
      <c r="AG68" s="3727">
        <f t="shared" ca="1" si="100"/>
        <v>0</v>
      </c>
      <c r="AH68" s="3727">
        <f t="shared" ca="1" si="100"/>
        <v>0</v>
      </c>
      <c r="AI68" s="3727">
        <f t="shared" ca="1" si="100"/>
        <v>0</v>
      </c>
      <c r="AJ68" s="3727">
        <f t="shared" ca="1" si="100"/>
        <v>0</v>
      </c>
      <c r="AK68" s="3727">
        <f t="shared" ca="1" si="100"/>
        <v>0</v>
      </c>
      <c r="AL68" s="3727">
        <f t="shared" ca="1" si="100"/>
        <v>0</v>
      </c>
      <c r="AM68" s="3727">
        <f t="shared" ca="1" si="101"/>
        <v>0</v>
      </c>
      <c r="AN68" s="3727">
        <f t="shared" ca="1" si="101"/>
        <v>0</v>
      </c>
      <c r="AO68" s="3727">
        <f t="shared" ca="1" si="101"/>
        <v>0</v>
      </c>
      <c r="AP68" s="3727">
        <f t="shared" ca="1" si="101"/>
        <v>0</v>
      </c>
      <c r="AQ68" s="3727">
        <f t="shared" ca="1" si="101"/>
        <v>0</v>
      </c>
      <c r="AR68" s="3727">
        <f t="shared" ca="1" si="101"/>
        <v>0</v>
      </c>
      <c r="AS68" s="3727">
        <f t="shared" ca="1" si="101"/>
        <v>0</v>
      </c>
      <c r="AT68" s="3727">
        <f t="shared" ca="1" si="101"/>
        <v>0</v>
      </c>
      <c r="AU68" s="3727">
        <f t="shared" ca="1" si="101"/>
        <v>0</v>
      </c>
      <c r="AV68" s="3727">
        <f t="shared" ca="1" si="101"/>
        <v>0</v>
      </c>
      <c r="AW68" s="3727">
        <f t="shared" ca="1" si="101"/>
        <v>0</v>
      </c>
      <c r="AX68" s="3727">
        <f t="shared" ca="1" si="101"/>
        <v>0</v>
      </c>
      <c r="AY68" s="3727">
        <f t="shared" ca="1" si="102"/>
        <v>0</v>
      </c>
      <c r="AZ68" s="3727">
        <f t="shared" ca="1" si="102"/>
        <v>0</v>
      </c>
      <c r="BA68" s="3727">
        <f t="shared" ca="1" si="102"/>
        <v>0</v>
      </c>
      <c r="BB68" s="3727">
        <f t="shared" ca="1" si="102"/>
        <v>0</v>
      </c>
      <c r="BC68" s="3727">
        <f t="shared" ca="1" si="102"/>
        <v>0</v>
      </c>
      <c r="BD68" s="3727">
        <f t="shared" ca="1" si="102"/>
        <v>0</v>
      </c>
      <c r="BE68" s="3727">
        <f t="shared" ca="1" si="102"/>
        <v>0</v>
      </c>
      <c r="BF68" s="3727">
        <f t="shared" ca="1" si="102"/>
        <v>0</v>
      </c>
      <c r="BG68" s="3727">
        <f t="shared" ca="1" si="102"/>
        <v>0</v>
      </c>
      <c r="BH68" s="3727">
        <f t="shared" ca="1" si="102"/>
        <v>0</v>
      </c>
      <c r="BI68" s="3727">
        <f t="shared" ca="1" si="103"/>
        <v>0</v>
      </c>
      <c r="BJ68" s="3727">
        <f t="shared" ca="1" si="103"/>
        <v>0</v>
      </c>
      <c r="BK68" s="3727">
        <f t="shared" ca="1" si="103"/>
        <v>0</v>
      </c>
      <c r="BL68" s="3727">
        <f t="shared" ca="1" si="103"/>
        <v>0</v>
      </c>
      <c r="BM68" s="3727">
        <f t="shared" ca="1" si="103"/>
        <v>0</v>
      </c>
      <c r="BN68" s="3727">
        <f t="shared" ca="1" si="103"/>
        <v>0</v>
      </c>
      <c r="BO68" s="3727">
        <f t="shared" ca="1" si="103"/>
        <v>0</v>
      </c>
      <c r="BP68" s="3727">
        <f t="shared" ca="1" si="103"/>
        <v>0</v>
      </c>
      <c r="BQ68" s="3727">
        <f t="shared" ca="1" si="103"/>
        <v>0</v>
      </c>
      <c r="BR68" s="3727">
        <f t="shared" ca="1" si="103"/>
        <v>0</v>
      </c>
      <c r="BS68" s="3727">
        <f t="shared" ca="1" si="104"/>
        <v>0</v>
      </c>
      <c r="BT68" s="3727">
        <f t="shared" ca="1" si="104"/>
        <v>0</v>
      </c>
      <c r="BU68" s="3727">
        <f t="shared" ca="1" si="104"/>
        <v>0</v>
      </c>
      <c r="BV68" s="3727">
        <f t="shared" ca="1" si="104"/>
        <v>0</v>
      </c>
      <c r="BW68" s="3727">
        <f t="shared" ca="1" si="104"/>
        <v>0</v>
      </c>
      <c r="BX68" s="3727">
        <f t="shared" ca="1" si="104"/>
        <v>0</v>
      </c>
      <c r="BY68" s="3727">
        <f t="shared" ca="1" si="104"/>
        <v>0</v>
      </c>
      <c r="BZ68" s="3727">
        <f t="shared" ca="1" si="104"/>
        <v>0</v>
      </c>
      <c r="CA68" s="3727">
        <f t="shared" ca="1" si="104"/>
        <v>0</v>
      </c>
      <c r="CB68" s="3727">
        <f t="shared" ca="1" si="104"/>
        <v>0</v>
      </c>
      <c r="CC68" s="3727">
        <f t="shared" ca="1" si="105"/>
        <v>0</v>
      </c>
      <c r="CD68" s="3727">
        <f t="shared" ca="1" si="105"/>
        <v>0</v>
      </c>
      <c r="CE68" s="3727">
        <f t="shared" ca="1" si="105"/>
        <v>0</v>
      </c>
      <c r="CF68" s="3727">
        <f t="shared" ca="1" si="105"/>
        <v>0</v>
      </c>
      <c r="CG68" s="3727">
        <f t="shared" ca="1" si="105"/>
        <v>0</v>
      </c>
      <c r="CH68" s="3727">
        <f t="shared" ca="1" si="105"/>
        <v>0</v>
      </c>
      <c r="CI68" s="92"/>
      <c r="CJ68" s="74"/>
      <c r="CK68" s="42"/>
      <c r="CL68" s="42"/>
    </row>
    <row r="69" spans="1:90" hidden="1" x14ac:dyDescent="0.25">
      <c r="A69" s="957">
        <f ca="1">IF($M$13=0,0,1)</f>
        <v>0</v>
      </c>
      <c r="B69" s="96"/>
      <c r="C69" s="96"/>
      <c r="D69" s="96"/>
      <c r="E69" s="96"/>
      <c r="F69" s="96"/>
      <c r="G69" s="96"/>
      <c r="H69" s="96"/>
      <c r="I69" s="174"/>
      <c r="J69" s="92"/>
      <c r="K69" s="92">
        <f>$K$13</f>
        <v>0</v>
      </c>
      <c r="L69" s="4223">
        <f>Income_TCat8_TINew</f>
        <v>0</v>
      </c>
      <c r="M69" s="4230"/>
      <c r="N69" s="4230"/>
      <c r="O69" s="3727">
        <f t="shared" ca="1" si="106"/>
        <v>0</v>
      </c>
      <c r="P69" s="3727">
        <f t="shared" ref="P69:Z69" ca="1" si="113">$L69*(1+((dpIncome_ExpenseGrowth1*O$20)/12))*IF(P41&gt;0,P41,0)</f>
        <v>0</v>
      </c>
      <c r="Q69" s="3727">
        <f t="shared" ca="1" si="113"/>
        <v>0</v>
      </c>
      <c r="R69" s="3727">
        <f t="shared" ca="1" si="113"/>
        <v>0</v>
      </c>
      <c r="S69" s="3727">
        <f t="shared" ca="1" si="113"/>
        <v>0</v>
      </c>
      <c r="T69" s="3727">
        <f t="shared" ca="1" si="113"/>
        <v>0</v>
      </c>
      <c r="U69" s="3727">
        <f t="shared" ca="1" si="113"/>
        <v>0</v>
      </c>
      <c r="V69" s="3727">
        <f t="shared" ca="1" si="113"/>
        <v>0</v>
      </c>
      <c r="W69" s="3727">
        <f t="shared" ca="1" si="113"/>
        <v>0</v>
      </c>
      <c r="X69" s="3727">
        <f t="shared" ca="1" si="113"/>
        <v>0</v>
      </c>
      <c r="Y69" s="3727">
        <f t="shared" ca="1" si="113"/>
        <v>0</v>
      </c>
      <c r="Z69" s="3727">
        <f t="shared" ca="1" si="113"/>
        <v>0</v>
      </c>
      <c r="AA69" s="3727">
        <f t="shared" ca="1" si="100"/>
        <v>0</v>
      </c>
      <c r="AB69" s="3727">
        <f t="shared" ca="1" si="100"/>
        <v>0</v>
      </c>
      <c r="AC69" s="3727">
        <f t="shared" ca="1" si="100"/>
        <v>0</v>
      </c>
      <c r="AD69" s="3727">
        <f t="shared" ca="1" si="100"/>
        <v>0</v>
      </c>
      <c r="AE69" s="3727">
        <f t="shared" ca="1" si="100"/>
        <v>0</v>
      </c>
      <c r="AF69" s="3727">
        <f t="shared" ca="1" si="100"/>
        <v>0</v>
      </c>
      <c r="AG69" s="3727">
        <f t="shared" ca="1" si="100"/>
        <v>0</v>
      </c>
      <c r="AH69" s="3727">
        <f t="shared" ca="1" si="100"/>
        <v>0</v>
      </c>
      <c r="AI69" s="3727">
        <f t="shared" ca="1" si="100"/>
        <v>0</v>
      </c>
      <c r="AJ69" s="3727">
        <f t="shared" ca="1" si="100"/>
        <v>0</v>
      </c>
      <c r="AK69" s="3727">
        <f t="shared" ca="1" si="100"/>
        <v>0</v>
      </c>
      <c r="AL69" s="3727">
        <f t="shared" ca="1" si="100"/>
        <v>0</v>
      </c>
      <c r="AM69" s="3727">
        <f t="shared" ca="1" si="101"/>
        <v>0</v>
      </c>
      <c r="AN69" s="3727">
        <f t="shared" ca="1" si="101"/>
        <v>0</v>
      </c>
      <c r="AO69" s="3727">
        <f t="shared" ca="1" si="101"/>
        <v>0</v>
      </c>
      <c r="AP69" s="3727">
        <f t="shared" ca="1" si="101"/>
        <v>0</v>
      </c>
      <c r="AQ69" s="3727">
        <f t="shared" ca="1" si="101"/>
        <v>0</v>
      </c>
      <c r="AR69" s="3727">
        <f t="shared" ca="1" si="101"/>
        <v>0</v>
      </c>
      <c r="AS69" s="3727">
        <f t="shared" ca="1" si="101"/>
        <v>0</v>
      </c>
      <c r="AT69" s="3727">
        <f t="shared" ca="1" si="101"/>
        <v>0</v>
      </c>
      <c r="AU69" s="3727">
        <f t="shared" ca="1" si="101"/>
        <v>0</v>
      </c>
      <c r="AV69" s="3727">
        <f t="shared" ca="1" si="101"/>
        <v>0</v>
      </c>
      <c r="AW69" s="3727">
        <f t="shared" ca="1" si="101"/>
        <v>0</v>
      </c>
      <c r="AX69" s="3727">
        <f t="shared" ca="1" si="101"/>
        <v>0</v>
      </c>
      <c r="AY69" s="3727">
        <f t="shared" ca="1" si="102"/>
        <v>0</v>
      </c>
      <c r="AZ69" s="3727">
        <f t="shared" ca="1" si="102"/>
        <v>0</v>
      </c>
      <c r="BA69" s="3727">
        <f t="shared" ca="1" si="102"/>
        <v>0</v>
      </c>
      <c r="BB69" s="3727">
        <f t="shared" ca="1" si="102"/>
        <v>0</v>
      </c>
      <c r="BC69" s="3727">
        <f t="shared" ca="1" si="102"/>
        <v>0</v>
      </c>
      <c r="BD69" s="3727">
        <f t="shared" ca="1" si="102"/>
        <v>0</v>
      </c>
      <c r="BE69" s="3727">
        <f t="shared" ca="1" si="102"/>
        <v>0</v>
      </c>
      <c r="BF69" s="3727">
        <f t="shared" ca="1" si="102"/>
        <v>0</v>
      </c>
      <c r="BG69" s="3727">
        <f t="shared" ca="1" si="102"/>
        <v>0</v>
      </c>
      <c r="BH69" s="3727">
        <f t="shared" ca="1" si="102"/>
        <v>0</v>
      </c>
      <c r="BI69" s="3727">
        <f t="shared" ca="1" si="103"/>
        <v>0</v>
      </c>
      <c r="BJ69" s="3727">
        <f t="shared" ca="1" si="103"/>
        <v>0</v>
      </c>
      <c r="BK69" s="3727">
        <f t="shared" ca="1" si="103"/>
        <v>0</v>
      </c>
      <c r="BL69" s="3727">
        <f t="shared" ca="1" si="103"/>
        <v>0</v>
      </c>
      <c r="BM69" s="3727">
        <f t="shared" ca="1" si="103"/>
        <v>0</v>
      </c>
      <c r="BN69" s="3727">
        <f t="shared" ca="1" si="103"/>
        <v>0</v>
      </c>
      <c r="BO69" s="3727">
        <f t="shared" ca="1" si="103"/>
        <v>0</v>
      </c>
      <c r="BP69" s="3727">
        <f t="shared" ca="1" si="103"/>
        <v>0</v>
      </c>
      <c r="BQ69" s="3727">
        <f t="shared" ca="1" si="103"/>
        <v>0</v>
      </c>
      <c r="BR69" s="3727">
        <f t="shared" ca="1" si="103"/>
        <v>0</v>
      </c>
      <c r="BS69" s="3727">
        <f t="shared" ca="1" si="104"/>
        <v>0</v>
      </c>
      <c r="BT69" s="3727">
        <f t="shared" ca="1" si="104"/>
        <v>0</v>
      </c>
      <c r="BU69" s="3727">
        <f t="shared" ca="1" si="104"/>
        <v>0</v>
      </c>
      <c r="BV69" s="3727">
        <f t="shared" ca="1" si="104"/>
        <v>0</v>
      </c>
      <c r="BW69" s="3727">
        <f t="shared" ca="1" si="104"/>
        <v>0</v>
      </c>
      <c r="BX69" s="3727">
        <f t="shared" ca="1" si="104"/>
        <v>0</v>
      </c>
      <c r="BY69" s="3727">
        <f t="shared" ca="1" si="104"/>
        <v>0</v>
      </c>
      <c r="BZ69" s="3727">
        <f t="shared" ca="1" si="104"/>
        <v>0</v>
      </c>
      <c r="CA69" s="3727">
        <f t="shared" ca="1" si="104"/>
        <v>0</v>
      </c>
      <c r="CB69" s="3727">
        <f t="shared" ca="1" si="104"/>
        <v>0</v>
      </c>
      <c r="CC69" s="3727">
        <f t="shared" ca="1" si="105"/>
        <v>0</v>
      </c>
      <c r="CD69" s="3727">
        <f t="shared" ca="1" si="105"/>
        <v>0</v>
      </c>
      <c r="CE69" s="3727">
        <f t="shared" ca="1" si="105"/>
        <v>0</v>
      </c>
      <c r="CF69" s="3727">
        <f t="shared" ca="1" si="105"/>
        <v>0</v>
      </c>
      <c r="CG69" s="3727">
        <f t="shared" ca="1" si="105"/>
        <v>0</v>
      </c>
      <c r="CH69" s="3727">
        <f t="shared" ca="1" si="105"/>
        <v>0</v>
      </c>
      <c r="CI69" s="92"/>
      <c r="CJ69" s="74"/>
      <c r="CK69" s="42"/>
      <c r="CL69" s="42"/>
    </row>
    <row r="70" spans="1:90" x14ac:dyDescent="0.25">
      <c r="A70" s="957">
        <v>1</v>
      </c>
      <c r="B70" s="96"/>
      <c r="C70" s="96"/>
      <c r="D70" s="96"/>
      <c r="E70" s="96"/>
      <c r="F70" s="96"/>
      <c r="G70" s="96"/>
      <c r="H70" s="96"/>
      <c r="I70" s="174"/>
      <c r="J70" s="92"/>
      <c r="K70" s="3472" t="s">
        <v>93</v>
      </c>
      <c r="L70" s="3730"/>
      <c r="M70" s="92"/>
      <c r="N70" s="92"/>
      <c r="O70" s="3728">
        <f ca="1">SUM(O62:O69)</f>
        <v>0</v>
      </c>
      <c r="P70" s="3728">
        <f t="shared" ref="P70:CA70" ca="1" si="114">SUM(P62:P69)</f>
        <v>0</v>
      </c>
      <c r="Q70" s="3728">
        <f t="shared" ca="1" si="114"/>
        <v>0</v>
      </c>
      <c r="R70" s="3728">
        <f t="shared" ca="1" si="114"/>
        <v>0</v>
      </c>
      <c r="S70" s="3728">
        <f t="shared" ca="1" si="114"/>
        <v>0</v>
      </c>
      <c r="T70" s="3728">
        <f t="shared" ca="1" si="114"/>
        <v>0</v>
      </c>
      <c r="U70" s="3728">
        <f t="shared" ca="1" si="114"/>
        <v>0</v>
      </c>
      <c r="V70" s="3728">
        <f t="shared" ca="1" si="114"/>
        <v>0</v>
      </c>
      <c r="W70" s="3728">
        <f t="shared" ca="1" si="114"/>
        <v>0</v>
      </c>
      <c r="X70" s="3728">
        <f t="shared" ca="1" si="114"/>
        <v>0</v>
      </c>
      <c r="Y70" s="3728">
        <f t="shared" ca="1" si="114"/>
        <v>0</v>
      </c>
      <c r="Z70" s="3728">
        <f t="shared" ca="1" si="114"/>
        <v>0</v>
      </c>
      <c r="AA70" s="3728">
        <f t="shared" ca="1" si="114"/>
        <v>0</v>
      </c>
      <c r="AB70" s="3728">
        <f t="shared" ca="1" si="114"/>
        <v>0</v>
      </c>
      <c r="AC70" s="3728">
        <f t="shared" ca="1" si="114"/>
        <v>0</v>
      </c>
      <c r="AD70" s="3728">
        <f t="shared" ca="1" si="114"/>
        <v>0</v>
      </c>
      <c r="AE70" s="3728">
        <f t="shared" ca="1" si="114"/>
        <v>0</v>
      </c>
      <c r="AF70" s="3728">
        <f t="shared" ca="1" si="114"/>
        <v>0</v>
      </c>
      <c r="AG70" s="3728">
        <f t="shared" ca="1" si="114"/>
        <v>0</v>
      </c>
      <c r="AH70" s="3728">
        <f t="shared" ca="1" si="114"/>
        <v>0</v>
      </c>
      <c r="AI70" s="3728">
        <f t="shared" ca="1" si="114"/>
        <v>0</v>
      </c>
      <c r="AJ70" s="3728">
        <f t="shared" ca="1" si="114"/>
        <v>0</v>
      </c>
      <c r="AK70" s="3728">
        <f t="shared" ca="1" si="114"/>
        <v>0</v>
      </c>
      <c r="AL70" s="3728">
        <f t="shared" ca="1" si="114"/>
        <v>0</v>
      </c>
      <c r="AM70" s="3728">
        <f t="shared" ca="1" si="114"/>
        <v>0</v>
      </c>
      <c r="AN70" s="3728">
        <f t="shared" ca="1" si="114"/>
        <v>0</v>
      </c>
      <c r="AO70" s="3728">
        <f t="shared" ca="1" si="114"/>
        <v>0</v>
      </c>
      <c r="AP70" s="3728">
        <f t="shared" ca="1" si="114"/>
        <v>0</v>
      </c>
      <c r="AQ70" s="3728">
        <f t="shared" ca="1" si="114"/>
        <v>0</v>
      </c>
      <c r="AR70" s="3728">
        <f t="shared" ca="1" si="114"/>
        <v>0</v>
      </c>
      <c r="AS70" s="3728">
        <f t="shared" ca="1" si="114"/>
        <v>0</v>
      </c>
      <c r="AT70" s="3728">
        <f t="shared" ca="1" si="114"/>
        <v>0</v>
      </c>
      <c r="AU70" s="3728">
        <f t="shared" ca="1" si="114"/>
        <v>0</v>
      </c>
      <c r="AV70" s="3728">
        <f t="shared" ca="1" si="114"/>
        <v>0</v>
      </c>
      <c r="AW70" s="3728">
        <f t="shared" ca="1" si="114"/>
        <v>0</v>
      </c>
      <c r="AX70" s="3728">
        <f t="shared" ca="1" si="114"/>
        <v>0</v>
      </c>
      <c r="AY70" s="3728">
        <f t="shared" ca="1" si="114"/>
        <v>0</v>
      </c>
      <c r="AZ70" s="3728">
        <f t="shared" ca="1" si="114"/>
        <v>0</v>
      </c>
      <c r="BA70" s="3728">
        <f t="shared" ca="1" si="114"/>
        <v>0</v>
      </c>
      <c r="BB70" s="3728">
        <f t="shared" ca="1" si="114"/>
        <v>0</v>
      </c>
      <c r="BC70" s="3728">
        <f t="shared" ca="1" si="114"/>
        <v>0</v>
      </c>
      <c r="BD70" s="3728">
        <f t="shared" ca="1" si="114"/>
        <v>0</v>
      </c>
      <c r="BE70" s="3728">
        <f t="shared" ca="1" si="114"/>
        <v>0</v>
      </c>
      <c r="BF70" s="3728">
        <f t="shared" ca="1" si="114"/>
        <v>0</v>
      </c>
      <c r="BG70" s="3728">
        <f t="shared" ca="1" si="114"/>
        <v>0</v>
      </c>
      <c r="BH70" s="3728">
        <f t="shared" ca="1" si="114"/>
        <v>0</v>
      </c>
      <c r="BI70" s="3728">
        <f t="shared" ca="1" si="114"/>
        <v>0</v>
      </c>
      <c r="BJ70" s="3728">
        <f t="shared" ca="1" si="114"/>
        <v>0</v>
      </c>
      <c r="BK70" s="3728">
        <f t="shared" ca="1" si="114"/>
        <v>0</v>
      </c>
      <c r="BL70" s="3728">
        <f t="shared" ca="1" si="114"/>
        <v>0</v>
      </c>
      <c r="BM70" s="3728">
        <f t="shared" ca="1" si="114"/>
        <v>0</v>
      </c>
      <c r="BN70" s="3728">
        <f t="shared" ca="1" si="114"/>
        <v>0</v>
      </c>
      <c r="BO70" s="3728">
        <f t="shared" ca="1" si="114"/>
        <v>0</v>
      </c>
      <c r="BP70" s="3728">
        <f t="shared" ca="1" si="114"/>
        <v>0</v>
      </c>
      <c r="BQ70" s="3728">
        <f t="shared" ca="1" si="114"/>
        <v>0</v>
      </c>
      <c r="BR70" s="3728">
        <f t="shared" ca="1" si="114"/>
        <v>0</v>
      </c>
      <c r="BS70" s="3728">
        <f t="shared" ca="1" si="114"/>
        <v>0</v>
      </c>
      <c r="BT70" s="3728">
        <f t="shared" ca="1" si="114"/>
        <v>0</v>
      </c>
      <c r="BU70" s="3728">
        <f t="shared" ca="1" si="114"/>
        <v>0</v>
      </c>
      <c r="BV70" s="3728">
        <f t="shared" ca="1" si="114"/>
        <v>0</v>
      </c>
      <c r="BW70" s="3728">
        <f t="shared" ca="1" si="114"/>
        <v>0</v>
      </c>
      <c r="BX70" s="3728">
        <f t="shared" ca="1" si="114"/>
        <v>0</v>
      </c>
      <c r="BY70" s="3728">
        <f t="shared" ca="1" si="114"/>
        <v>0</v>
      </c>
      <c r="BZ70" s="3728">
        <f t="shared" ca="1" si="114"/>
        <v>0</v>
      </c>
      <c r="CA70" s="3728">
        <f t="shared" ca="1" si="114"/>
        <v>0</v>
      </c>
      <c r="CB70" s="3728">
        <f t="shared" ref="CB70:CH70" ca="1" si="115">SUM(CB62:CB69)</f>
        <v>0</v>
      </c>
      <c r="CC70" s="3728">
        <f t="shared" ca="1" si="115"/>
        <v>0</v>
      </c>
      <c r="CD70" s="3728">
        <f t="shared" ca="1" si="115"/>
        <v>0</v>
      </c>
      <c r="CE70" s="3728">
        <f t="shared" ca="1" si="115"/>
        <v>0</v>
      </c>
      <c r="CF70" s="3728">
        <f t="shared" ca="1" si="115"/>
        <v>0</v>
      </c>
      <c r="CG70" s="3728">
        <f t="shared" ca="1" si="115"/>
        <v>0</v>
      </c>
      <c r="CH70" s="3728">
        <f t="shared" ca="1" si="115"/>
        <v>0</v>
      </c>
      <c r="CI70" s="92"/>
      <c r="CJ70" s="74"/>
      <c r="CK70" s="42"/>
      <c r="CL70" s="42"/>
    </row>
    <row r="71" spans="1:90" ht="9.9499999999999993" customHeight="1" x14ac:dyDescent="0.25">
      <c r="A71" s="957">
        <v>1</v>
      </c>
      <c r="B71" s="96"/>
      <c r="C71" s="96"/>
      <c r="D71" s="96"/>
      <c r="E71" s="96"/>
      <c r="F71" s="96"/>
      <c r="G71" s="96"/>
      <c r="H71" s="96"/>
      <c r="I71" s="174"/>
      <c r="J71" s="92"/>
      <c r="K71" s="92"/>
      <c r="L71" s="92"/>
      <c r="M71" s="92"/>
      <c r="N71" s="92"/>
      <c r="O71" s="3256"/>
      <c r="P71" s="3256"/>
      <c r="Q71" s="3256"/>
      <c r="R71" s="3256"/>
      <c r="S71" s="3256"/>
      <c r="T71" s="3256"/>
      <c r="U71" s="3256"/>
      <c r="V71" s="3256"/>
      <c r="W71" s="3256"/>
      <c r="X71" s="3256"/>
      <c r="Y71" s="3256"/>
      <c r="Z71" s="3256"/>
      <c r="AA71" s="3256"/>
      <c r="AB71" s="3256"/>
      <c r="AC71" s="3256"/>
      <c r="AD71" s="3256"/>
      <c r="AE71" s="3256"/>
      <c r="AF71" s="3256"/>
      <c r="AG71" s="3256"/>
      <c r="AH71" s="3256"/>
      <c r="AI71" s="3256"/>
      <c r="AJ71" s="3256"/>
      <c r="AK71" s="3256"/>
      <c r="AL71" s="3256"/>
      <c r="AM71" s="3256"/>
      <c r="AN71" s="3256"/>
      <c r="AO71" s="3256"/>
      <c r="AP71" s="3256"/>
      <c r="AQ71" s="3256"/>
      <c r="AR71" s="3256"/>
      <c r="AS71" s="3256"/>
      <c r="AT71" s="3256"/>
      <c r="AU71" s="3256"/>
      <c r="AV71" s="3256"/>
      <c r="AW71" s="3256"/>
      <c r="AX71" s="3256"/>
      <c r="AY71" s="3256"/>
      <c r="AZ71" s="3256"/>
      <c r="BA71" s="3256"/>
      <c r="BB71" s="3256"/>
      <c r="BC71" s="3256"/>
      <c r="BD71" s="3256"/>
      <c r="BE71" s="3256"/>
      <c r="BF71" s="3256"/>
      <c r="BG71" s="3256"/>
      <c r="BH71" s="3256"/>
      <c r="BI71" s="3256"/>
      <c r="BJ71" s="3256"/>
      <c r="BK71" s="3256"/>
      <c r="BL71" s="3256"/>
      <c r="BM71" s="3256"/>
      <c r="BN71" s="3256"/>
      <c r="BO71" s="3256"/>
      <c r="BP71" s="3256"/>
      <c r="BQ71" s="3256"/>
      <c r="BR71" s="3256"/>
      <c r="BS71" s="3256"/>
      <c r="BT71" s="3256"/>
      <c r="BU71" s="3256"/>
      <c r="BV71" s="3256"/>
      <c r="BW71" s="3256"/>
      <c r="BX71" s="3256"/>
      <c r="BY71" s="3256"/>
      <c r="BZ71" s="3256"/>
      <c r="CA71" s="3256"/>
      <c r="CB71" s="3256"/>
      <c r="CC71" s="3256"/>
      <c r="CD71" s="3256"/>
      <c r="CE71" s="3256"/>
      <c r="CF71" s="3256"/>
      <c r="CG71" s="3256"/>
      <c r="CH71" s="3256"/>
      <c r="CI71" s="92"/>
      <c r="CJ71" s="74"/>
      <c r="CK71" s="42"/>
      <c r="CL71" s="42"/>
    </row>
    <row r="72" spans="1:90" x14ac:dyDescent="0.25">
      <c r="A72" s="957">
        <v>1</v>
      </c>
      <c r="B72" s="96"/>
      <c r="C72" s="96"/>
      <c r="D72" s="96"/>
      <c r="E72" s="96"/>
      <c r="F72" s="96"/>
      <c r="G72" s="96"/>
      <c r="H72" s="96"/>
      <c r="I72" s="174"/>
      <c r="J72" s="92"/>
      <c r="K72" s="3716" t="s">
        <v>451</v>
      </c>
      <c r="L72" s="3717" t="s">
        <v>320</v>
      </c>
      <c r="M72" s="3717" t="s">
        <v>396</v>
      </c>
      <c r="N72" s="3717"/>
      <c r="O72" s="3256"/>
      <c r="P72" s="3256"/>
      <c r="Q72" s="3256"/>
      <c r="R72" s="3256"/>
      <c r="S72" s="3256"/>
      <c r="T72" s="3256"/>
      <c r="U72" s="3256"/>
      <c r="V72" s="3256"/>
      <c r="W72" s="3256"/>
      <c r="X72" s="3256"/>
      <c r="Y72" s="3256"/>
      <c r="Z72" s="3256"/>
      <c r="AA72" s="3256"/>
      <c r="AB72" s="3256"/>
      <c r="AC72" s="3256"/>
      <c r="AD72" s="3256"/>
      <c r="AE72" s="3256"/>
      <c r="AF72" s="3256"/>
      <c r="AG72" s="3256"/>
      <c r="AH72" s="3256"/>
      <c r="AI72" s="3256"/>
      <c r="AJ72" s="3256"/>
      <c r="AK72" s="3256"/>
      <c r="AL72" s="3256"/>
      <c r="AM72" s="3256"/>
      <c r="AN72" s="3256"/>
      <c r="AO72" s="3256"/>
      <c r="AP72" s="3256"/>
      <c r="AQ72" s="3256"/>
      <c r="AR72" s="3256"/>
      <c r="AS72" s="3256"/>
      <c r="AT72" s="3256"/>
      <c r="AU72" s="3256"/>
      <c r="AV72" s="3256"/>
      <c r="AW72" s="3256"/>
      <c r="AX72" s="3256"/>
      <c r="AY72" s="3256"/>
      <c r="AZ72" s="3256"/>
      <c r="BA72" s="3256"/>
      <c r="BB72" s="3256"/>
      <c r="BC72" s="3256"/>
      <c r="BD72" s="3256"/>
      <c r="BE72" s="3256"/>
      <c r="BF72" s="3256"/>
      <c r="BG72" s="3256"/>
      <c r="BH72" s="3256"/>
      <c r="BI72" s="3256"/>
      <c r="BJ72" s="3256"/>
      <c r="BK72" s="3256"/>
      <c r="BL72" s="3256"/>
      <c r="BM72" s="3256"/>
      <c r="BN72" s="3256"/>
      <c r="BO72" s="3256"/>
      <c r="BP72" s="3256"/>
      <c r="BQ72" s="3256"/>
      <c r="BR72" s="3256"/>
      <c r="BS72" s="3256"/>
      <c r="BT72" s="3256"/>
      <c r="BU72" s="3256"/>
      <c r="BV72" s="3256"/>
      <c r="BW72" s="3256"/>
      <c r="BX72" s="3256"/>
      <c r="BY72" s="3256"/>
      <c r="BZ72" s="3256"/>
      <c r="CA72" s="3256"/>
      <c r="CB72" s="3256"/>
      <c r="CC72" s="3256"/>
      <c r="CD72" s="3256"/>
      <c r="CE72" s="3256"/>
      <c r="CF72" s="3256"/>
      <c r="CG72" s="3256"/>
      <c r="CH72" s="3256"/>
      <c r="CI72" s="92"/>
      <c r="CJ72" s="74"/>
      <c r="CK72" s="42"/>
      <c r="CL72" s="42"/>
    </row>
    <row r="73" spans="1:90" hidden="1" x14ac:dyDescent="0.25">
      <c r="A73" s="957">
        <f ca="1">IF($M$6=0,0,1)</f>
        <v>0</v>
      </c>
      <c r="B73" s="96"/>
      <c r="C73" s="96"/>
      <c r="D73" s="96"/>
      <c r="E73" s="96"/>
      <c r="F73" s="96"/>
      <c r="G73" s="96"/>
      <c r="H73" s="96"/>
      <c r="I73" s="174"/>
      <c r="J73" s="92"/>
      <c r="K73" s="92" t="str">
        <f>$K$6</f>
        <v>Industrial Office/Warehouse</v>
      </c>
      <c r="L73" s="3741">
        <f>Income_TCat1_LeaseTerm</f>
        <v>0</v>
      </c>
      <c r="M73" s="3742">
        <f>Income_TCat1_LCNew</f>
        <v>0</v>
      </c>
      <c r="N73" s="3731"/>
      <c r="O73" s="3727">
        <f ca="1">$L48*O34*$M73*$L73</f>
        <v>0</v>
      </c>
      <c r="P73" s="3727">
        <f t="shared" ref="P73:Z73" ca="1" si="116">$L48*(1+(dpIncome_RentGrowth1*O$20/12))*P34*$M73*$L73</f>
        <v>0</v>
      </c>
      <c r="Q73" s="3727">
        <f t="shared" ca="1" si="116"/>
        <v>0</v>
      </c>
      <c r="R73" s="3727">
        <f t="shared" ca="1" si="116"/>
        <v>0</v>
      </c>
      <c r="S73" s="3727">
        <f t="shared" ca="1" si="116"/>
        <v>0</v>
      </c>
      <c r="T73" s="3727">
        <f t="shared" ca="1" si="116"/>
        <v>0</v>
      </c>
      <c r="U73" s="3727">
        <f t="shared" ca="1" si="116"/>
        <v>0</v>
      </c>
      <c r="V73" s="3727">
        <f t="shared" ca="1" si="116"/>
        <v>0</v>
      </c>
      <c r="W73" s="3727">
        <f t="shared" ca="1" si="116"/>
        <v>0</v>
      </c>
      <c r="X73" s="3727">
        <f t="shared" ca="1" si="116"/>
        <v>0</v>
      </c>
      <c r="Y73" s="3727">
        <f t="shared" ca="1" si="116"/>
        <v>0</v>
      </c>
      <c r="Z73" s="3727">
        <f t="shared" ca="1" si="116"/>
        <v>0</v>
      </c>
      <c r="AA73" s="3727">
        <f t="shared" ref="AA73:AL80" ca="1" si="117">$L48*(1+dpIncome_RentGrowth1+(dpIncome_RentGrowth2*O$20/12))*AA34*$M73*$L73</f>
        <v>0</v>
      </c>
      <c r="AB73" s="3727">
        <f t="shared" ca="1" si="117"/>
        <v>0</v>
      </c>
      <c r="AC73" s="3727">
        <f t="shared" ca="1" si="117"/>
        <v>0</v>
      </c>
      <c r="AD73" s="3727">
        <f t="shared" ca="1" si="117"/>
        <v>0</v>
      </c>
      <c r="AE73" s="3727">
        <f t="shared" ca="1" si="117"/>
        <v>0</v>
      </c>
      <c r="AF73" s="3727">
        <f t="shared" ca="1" si="117"/>
        <v>0</v>
      </c>
      <c r="AG73" s="3727">
        <f t="shared" ca="1" si="117"/>
        <v>0</v>
      </c>
      <c r="AH73" s="3727">
        <f t="shared" ca="1" si="117"/>
        <v>0</v>
      </c>
      <c r="AI73" s="3727">
        <f t="shared" ca="1" si="117"/>
        <v>0</v>
      </c>
      <c r="AJ73" s="3727">
        <f t="shared" ca="1" si="117"/>
        <v>0</v>
      </c>
      <c r="AK73" s="3727">
        <f t="shared" ca="1" si="117"/>
        <v>0</v>
      </c>
      <c r="AL73" s="3727">
        <f t="shared" ca="1" si="117"/>
        <v>0</v>
      </c>
      <c r="AM73" s="3727">
        <f t="shared" ref="AM73:AX80" ca="1" si="118">$L48*(1+dpIncome_RentGrowth1+dpIncome_RentGrowth2+(dpIncome_RentGrowth3*O$20/12))*AM34*$M73*$L73</f>
        <v>0</v>
      </c>
      <c r="AN73" s="3727">
        <f t="shared" ca="1" si="118"/>
        <v>0</v>
      </c>
      <c r="AO73" s="3727">
        <f t="shared" ca="1" si="118"/>
        <v>0</v>
      </c>
      <c r="AP73" s="3727">
        <f t="shared" ca="1" si="118"/>
        <v>0</v>
      </c>
      <c r="AQ73" s="3727">
        <f t="shared" ca="1" si="118"/>
        <v>0</v>
      </c>
      <c r="AR73" s="3727">
        <f t="shared" ca="1" si="118"/>
        <v>0</v>
      </c>
      <c r="AS73" s="3727">
        <f t="shared" ca="1" si="118"/>
        <v>0</v>
      </c>
      <c r="AT73" s="3727">
        <f t="shared" ca="1" si="118"/>
        <v>0</v>
      </c>
      <c r="AU73" s="3727">
        <f t="shared" ca="1" si="118"/>
        <v>0</v>
      </c>
      <c r="AV73" s="3727">
        <f t="shared" ca="1" si="118"/>
        <v>0</v>
      </c>
      <c r="AW73" s="3727">
        <f t="shared" ca="1" si="118"/>
        <v>0</v>
      </c>
      <c r="AX73" s="3727">
        <f t="shared" ca="1" si="118"/>
        <v>0</v>
      </c>
      <c r="AY73" s="3727">
        <f t="shared" ref="AY73:BH80" ca="1" si="119">$L48*(1+dpIncome_RentGrowth1+dpIncome_RentGrowth2+dpIncome_RentGrowth3+(dpIncome_RentGrowth4*O$20/12))*AY34*$M73*$L73</f>
        <v>0</v>
      </c>
      <c r="AZ73" s="3727">
        <f t="shared" ca="1" si="119"/>
        <v>0</v>
      </c>
      <c r="BA73" s="3727">
        <f t="shared" ca="1" si="119"/>
        <v>0</v>
      </c>
      <c r="BB73" s="3727">
        <f t="shared" ca="1" si="119"/>
        <v>0</v>
      </c>
      <c r="BC73" s="3727">
        <f t="shared" ca="1" si="119"/>
        <v>0</v>
      </c>
      <c r="BD73" s="3727">
        <f t="shared" ca="1" si="119"/>
        <v>0</v>
      </c>
      <c r="BE73" s="3727">
        <f t="shared" ca="1" si="119"/>
        <v>0</v>
      </c>
      <c r="BF73" s="3727">
        <f t="shared" ca="1" si="119"/>
        <v>0</v>
      </c>
      <c r="BG73" s="3727">
        <f t="shared" ca="1" si="119"/>
        <v>0</v>
      </c>
      <c r="BH73" s="3727">
        <f t="shared" ca="1" si="119"/>
        <v>0</v>
      </c>
      <c r="BI73" s="3727">
        <f t="shared" ref="BI73:BR80" ca="1" si="120">$L48*(1+dpIncome_RentGrowth1+dpIncome_RentGrowth2+dpIncome_RentGrowth3+(dpIncome_RentGrowth4*Y$20/12))*BI34*$M73*$L73</f>
        <v>0</v>
      </c>
      <c r="BJ73" s="3727">
        <f t="shared" ca="1" si="120"/>
        <v>0</v>
      </c>
      <c r="BK73" s="3727">
        <f t="shared" ca="1" si="120"/>
        <v>0</v>
      </c>
      <c r="BL73" s="3727">
        <f t="shared" ca="1" si="120"/>
        <v>0</v>
      </c>
      <c r="BM73" s="3727">
        <f t="shared" ca="1" si="120"/>
        <v>0</v>
      </c>
      <c r="BN73" s="3727">
        <f t="shared" ca="1" si="120"/>
        <v>0</v>
      </c>
      <c r="BO73" s="3727">
        <f t="shared" ca="1" si="120"/>
        <v>0</v>
      </c>
      <c r="BP73" s="3727">
        <f t="shared" ca="1" si="120"/>
        <v>0</v>
      </c>
      <c r="BQ73" s="3727">
        <f t="shared" ca="1" si="120"/>
        <v>0</v>
      </c>
      <c r="BR73" s="3727">
        <f t="shared" ca="1" si="120"/>
        <v>0</v>
      </c>
      <c r="BS73" s="3727">
        <f t="shared" ref="BS73:CB80" ca="1" si="121">$L48*(1+dpIncome_RentGrowth1+dpIncome_RentGrowth2+dpIncome_RentGrowth3+(dpIncome_RentGrowth4*AI$20/12))*BS34*$M73*$L73</f>
        <v>0</v>
      </c>
      <c r="BT73" s="3727">
        <f t="shared" ca="1" si="121"/>
        <v>0</v>
      </c>
      <c r="BU73" s="3727">
        <f t="shared" ca="1" si="121"/>
        <v>0</v>
      </c>
      <c r="BV73" s="3727">
        <f t="shared" ca="1" si="121"/>
        <v>0</v>
      </c>
      <c r="BW73" s="3727">
        <f t="shared" ca="1" si="121"/>
        <v>0</v>
      </c>
      <c r="BX73" s="3727">
        <f t="shared" ca="1" si="121"/>
        <v>0</v>
      </c>
      <c r="BY73" s="3727">
        <f t="shared" ca="1" si="121"/>
        <v>0</v>
      </c>
      <c r="BZ73" s="3727">
        <f t="shared" ca="1" si="121"/>
        <v>0</v>
      </c>
      <c r="CA73" s="3727">
        <f t="shared" ca="1" si="121"/>
        <v>0</v>
      </c>
      <c r="CB73" s="3727">
        <f t="shared" ca="1" si="121"/>
        <v>0</v>
      </c>
      <c r="CC73" s="3727">
        <f t="shared" ref="CC73:CH80" ca="1" si="122">$L48*(1+dpIncome_RentGrowth1+dpIncome_RentGrowth2+dpIncome_RentGrowth3+(dpIncome_RentGrowth4*AS$20/12))*CC34*$M73*$L73</f>
        <v>0</v>
      </c>
      <c r="CD73" s="3727">
        <f t="shared" ca="1" si="122"/>
        <v>0</v>
      </c>
      <c r="CE73" s="3727">
        <f t="shared" ca="1" si="122"/>
        <v>0</v>
      </c>
      <c r="CF73" s="3727">
        <f t="shared" ca="1" si="122"/>
        <v>0</v>
      </c>
      <c r="CG73" s="3727">
        <f t="shared" ca="1" si="122"/>
        <v>0</v>
      </c>
      <c r="CH73" s="3727">
        <f t="shared" ca="1" si="122"/>
        <v>0</v>
      </c>
      <c r="CI73" s="92"/>
      <c r="CJ73" s="74"/>
      <c r="CK73" s="42"/>
      <c r="CL73" s="42"/>
    </row>
    <row r="74" spans="1:90" hidden="1" x14ac:dyDescent="0.25">
      <c r="A74" s="957">
        <f ca="1">IF($M$7=0,0,1)</f>
        <v>0</v>
      </c>
      <c r="B74" s="96"/>
      <c r="C74" s="96"/>
      <c r="D74" s="96"/>
      <c r="E74" s="96"/>
      <c r="F74" s="96"/>
      <c r="G74" s="96"/>
      <c r="H74" s="96"/>
      <c r="I74" s="174"/>
      <c r="J74" s="92"/>
      <c r="K74" s="92" t="str">
        <f>$K$7</f>
        <v>Land Storage</v>
      </c>
      <c r="L74" s="3741">
        <f>Income_TCat2_LeaseTerm</f>
        <v>0</v>
      </c>
      <c r="M74" s="3742">
        <f>Income_TCat2_LCNew</f>
        <v>0</v>
      </c>
      <c r="N74" s="3731"/>
      <c r="O74" s="3727">
        <f t="shared" ref="O74:O80" ca="1" si="123">$L49*O35*$M74*$L74</f>
        <v>0</v>
      </c>
      <c r="P74" s="3727">
        <f t="shared" ref="P74:Z74" ca="1" si="124">$L49*(1+(dpIncome_RentGrowth1*O$20/12))*P35*$M74*$L74</f>
        <v>0</v>
      </c>
      <c r="Q74" s="3727">
        <f t="shared" ca="1" si="124"/>
        <v>0</v>
      </c>
      <c r="R74" s="3727">
        <f t="shared" ca="1" si="124"/>
        <v>0</v>
      </c>
      <c r="S74" s="3727">
        <f t="shared" ca="1" si="124"/>
        <v>0</v>
      </c>
      <c r="T74" s="3727">
        <f t="shared" ca="1" si="124"/>
        <v>0</v>
      </c>
      <c r="U74" s="3727">
        <f t="shared" ca="1" si="124"/>
        <v>0</v>
      </c>
      <c r="V74" s="3727">
        <f t="shared" ca="1" si="124"/>
        <v>0</v>
      </c>
      <c r="W74" s="3727">
        <f t="shared" ca="1" si="124"/>
        <v>0</v>
      </c>
      <c r="X74" s="3727">
        <f t="shared" ca="1" si="124"/>
        <v>0</v>
      </c>
      <c r="Y74" s="3727">
        <f t="shared" ca="1" si="124"/>
        <v>0</v>
      </c>
      <c r="Z74" s="3727">
        <f t="shared" ca="1" si="124"/>
        <v>0</v>
      </c>
      <c r="AA74" s="3727">
        <f t="shared" ca="1" si="117"/>
        <v>0</v>
      </c>
      <c r="AB74" s="3727">
        <f t="shared" ca="1" si="117"/>
        <v>0</v>
      </c>
      <c r="AC74" s="3727">
        <f t="shared" ca="1" si="117"/>
        <v>0</v>
      </c>
      <c r="AD74" s="3727">
        <f t="shared" ca="1" si="117"/>
        <v>0</v>
      </c>
      <c r="AE74" s="3727">
        <f t="shared" ca="1" si="117"/>
        <v>0</v>
      </c>
      <c r="AF74" s="3727">
        <f t="shared" ca="1" si="117"/>
        <v>0</v>
      </c>
      <c r="AG74" s="3727">
        <f t="shared" ca="1" si="117"/>
        <v>0</v>
      </c>
      <c r="AH74" s="3727">
        <f t="shared" ca="1" si="117"/>
        <v>0</v>
      </c>
      <c r="AI74" s="3727">
        <f t="shared" ca="1" si="117"/>
        <v>0</v>
      </c>
      <c r="AJ74" s="3727">
        <f t="shared" ca="1" si="117"/>
        <v>0</v>
      </c>
      <c r="AK74" s="3727">
        <f t="shared" ca="1" si="117"/>
        <v>0</v>
      </c>
      <c r="AL74" s="3727">
        <f t="shared" ca="1" si="117"/>
        <v>0</v>
      </c>
      <c r="AM74" s="3727">
        <f t="shared" ca="1" si="118"/>
        <v>0</v>
      </c>
      <c r="AN74" s="3727">
        <f t="shared" ca="1" si="118"/>
        <v>0</v>
      </c>
      <c r="AO74" s="3727">
        <f t="shared" ca="1" si="118"/>
        <v>0</v>
      </c>
      <c r="AP74" s="3727">
        <f t="shared" ca="1" si="118"/>
        <v>0</v>
      </c>
      <c r="AQ74" s="3727">
        <f t="shared" ca="1" si="118"/>
        <v>0</v>
      </c>
      <c r="AR74" s="3727">
        <f t="shared" ca="1" si="118"/>
        <v>0</v>
      </c>
      <c r="AS74" s="3727">
        <f t="shared" ca="1" si="118"/>
        <v>0</v>
      </c>
      <c r="AT74" s="3727">
        <f t="shared" ca="1" si="118"/>
        <v>0</v>
      </c>
      <c r="AU74" s="3727">
        <f t="shared" ca="1" si="118"/>
        <v>0</v>
      </c>
      <c r="AV74" s="3727">
        <f t="shared" ca="1" si="118"/>
        <v>0</v>
      </c>
      <c r="AW74" s="3727">
        <f t="shared" ca="1" si="118"/>
        <v>0</v>
      </c>
      <c r="AX74" s="3727">
        <f t="shared" ca="1" si="118"/>
        <v>0</v>
      </c>
      <c r="AY74" s="3727">
        <f t="shared" ca="1" si="119"/>
        <v>0</v>
      </c>
      <c r="AZ74" s="3727">
        <f t="shared" ca="1" si="119"/>
        <v>0</v>
      </c>
      <c r="BA74" s="3727">
        <f t="shared" ca="1" si="119"/>
        <v>0</v>
      </c>
      <c r="BB74" s="3727">
        <f t="shared" ca="1" si="119"/>
        <v>0</v>
      </c>
      <c r="BC74" s="3727">
        <f t="shared" ca="1" si="119"/>
        <v>0</v>
      </c>
      <c r="BD74" s="3727">
        <f t="shared" ca="1" si="119"/>
        <v>0</v>
      </c>
      <c r="BE74" s="3727">
        <f t="shared" ca="1" si="119"/>
        <v>0</v>
      </c>
      <c r="BF74" s="3727">
        <f t="shared" ca="1" si="119"/>
        <v>0</v>
      </c>
      <c r="BG74" s="3727">
        <f t="shared" ca="1" si="119"/>
        <v>0</v>
      </c>
      <c r="BH74" s="3727">
        <f t="shared" ca="1" si="119"/>
        <v>0</v>
      </c>
      <c r="BI74" s="3727">
        <f t="shared" ca="1" si="120"/>
        <v>0</v>
      </c>
      <c r="BJ74" s="3727">
        <f t="shared" ca="1" si="120"/>
        <v>0</v>
      </c>
      <c r="BK74" s="3727">
        <f t="shared" ca="1" si="120"/>
        <v>0</v>
      </c>
      <c r="BL74" s="3727">
        <f t="shared" ca="1" si="120"/>
        <v>0</v>
      </c>
      <c r="BM74" s="3727">
        <f t="shared" ca="1" si="120"/>
        <v>0</v>
      </c>
      <c r="BN74" s="3727">
        <f t="shared" ca="1" si="120"/>
        <v>0</v>
      </c>
      <c r="BO74" s="3727">
        <f t="shared" ca="1" si="120"/>
        <v>0</v>
      </c>
      <c r="BP74" s="3727">
        <f t="shared" ca="1" si="120"/>
        <v>0</v>
      </c>
      <c r="BQ74" s="3727">
        <f t="shared" ca="1" si="120"/>
        <v>0</v>
      </c>
      <c r="BR74" s="3727">
        <f t="shared" ca="1" si="120"/>
        <v>0</v>
      </c>
      <c r="BS74" s="3727">
        <f t="shared" ca="1" si="121"/>
        <v>0</v>
      </c>
      <c r="BT74" s="3727">
        <f t="shared" ca="1" si="121"/>
        <v>0</v>
      </c>
      <c r="BU74" s="3727">
        <f t="shared" ca="1" si="121"/>
        <v>0</v>
      </c>
      <c r="BV74" s="3727">
        <f t="shared" ca="1" si="121"/>
        <v>0</v>
      </c>
      <c r="BW74" s="3727">
        <f t="shared" ca="1" si="121"/>
        <v>0</v>
      </c>
      <c r="BX74" s="3727">
        <f t="shared" ca="1" si="121"/>
        <v>0</v>
      </c>
      <c r="BY74" s="3727">
        <f t="shared" ca="1" si="121"/>
        <v>0</v>
      </c>
      <c r="BZ74" s="3727">
        <f t="shared" ca="1" si="121"/>
        <v>0</v>
      </c>
      <c r="CA74" s="3727">
        <f t="shared" ca="1" si="121"/>
        <v>0</v>
      </c>
      <c r="CB74" s="3727">
        <f t="shared" ca="1" si="121"/>
        <v>0</v>
      </c>
      <c r="CC74" s="3727">
        <f t="shared" ca="1" si="122"/>
        <v>0</v>
      </c>
      <c r="CD74" s="3727">
        <f t="shared" ca="1" si="122"/>
        <v>0</v>
      </c>
      <c r="CE74" s="3727">
        <f t="shared" ca="1" si="122"/>
        <v>0</v>
      </c>
      <c r="CF74" s="3727">
        <f t="shared" ca="1" si="122"/>
        <v>0</v>
      </c>
      <c r="CG74" s="3727">
        <f t="shared" ca="1" si="122"/>
        <v>0</v>
      </c>
      <c r="CH74" s="3727">
        <f t="shared" ca="1" si="122"/>
        <v>0</v>
      </c>
      <c r="CI74" s="92"/>
      <c r="CJ74" s="74"/>
      <c r="CK74" s="42"/>
      <c r="CL74" s="42"/>
    </row>
    <row r="75" spans="1:90" hidden="1" x14ac:dyDescent="0.25">
      <c r="A75" s="957">
        <f ca="1">IF($M$8=0,0,1)</f>
        <v>0</v>
      </c>
      <c r="B75" s="96"/>
      <c r="C75" s="96"/>
      <c r="D75" s="96"/>
      <c r="E75" s="96"/>
      <c r="F75" s="96"/>
      <c r="G75" s="96"/>
      <c r="H75" s="96"/>
      <c r="I75" s="174"/>
      <c r="J75" s="92"/>
      <c r="K75" s="92">
        <f>$K$8</f>
        <v>0</v>
      </c>
      <c r="L75" s="3741">
        <f>Income_TCat3_LeaseTerm</f>
        <v>0</v>
      </c>
      <c r="M75" s="3742">
        <f>Income_TCat3_LCNew</f>
        <v>0</v>
      </c>
      <c r="N75" s="3731"/>
      <c r="O75" s="3727">
        <f t="shared" ca="1" si="123"/>
        <v>0</v>
      </c>
      <c r="P75" s="3727">
        <f t="shared" ref="P75:Z75" ca="1" si="125">$L50*(1+(dpIncome_RentGrowth1*O$20/12))*P36*$M75*$L75</f>
        <v>0</v>
      </c>
      <c r="Q75" s="3727">
        <f t="shared" ca="1" si="125"/>
        <v>0</v>
      </c>
      <c r="R75" s="3727">
        <f t="shared" ca="1" si="125"/>
        <v>0</v>
      </c>
      <c r="S75" s="3727">
        <f t="shared" ca="1" si="125"/>
        <v>0</v>
      </c>
      <c r="T75" s="3727">
        <f t="shared" ca="1" si="125"/>
        <v>0</v>
      </c>
      <c r="U75" s="3727">
        <f t="shared" ca="1" si="125"/>
        <v>0</v>
      </c>
      <c r="V75" s="3727">
        <f t="shared" ca="1" si="125"/>
        <v>0</v>
      </c>
      <c r="W75" s="3727">
        <f t="shared" ca="1" si="125"/>
        <v>0</v>
      </c>
      <c r="X75" s="3727">
        <f t="shared" ca="1" si="125"/>
        <v>0</v>
      </c>
      <c r="Y75" s="3727">
        <f t="shared" ca="1" si="125"/>
        <v>0</v>
      </c>
      <c r="Z75" s="3727">
        <f t="shared" ca="1" si="125"/>
        <v>0</v>
      </c>
      <c r="AA75" s="3727">
        <f t="shared" ca="1" si="117"/>
        <v>0</v>
      </c>
      <c r="AB75" s="3727">
        <f t="shared" ca="1" si="117"/>
        <v>0</v>
      </c>
      <c r="AC75" s="3727">
        <f t="shared" ca="1" si="117"/>
        <v>0</v>
      </c>
      <c r="AD75" s="3727">
        <f t="shared" ca="1" si="117"/>
        <v>0</v>
      </c>
      <c r="AE75" s="3727">
        <f t="shared" ca="1" si="117"/>
        <v>0</v>
      </c>
      <c r="AF75" s="3727">
        <f t="shared" ca="1" si="117"/>
        <v>0</v>
      </c>
      <c r="AG75" s="3727">
        <f t="shared" ca="1" si="117"/>
        <v>0</v>
      </c>
      <c r="AH75" s="3727">
        <f t="shared" ca="1" si="117"/>
        <v>0</v>
      </c>
      <c r="AI75" s="3727">
        <f t="shared" ca="1" si="117"/>
        <v>0</v>
      </c>
      <c r="AJ75" s="3727">
        <f t="shared" ca="1" si="117"/>
        <v>0</v>
      </c>
      <c r="AK75" s="3727">
        <f t="shared" ca="1" si="117"/>
        <v>0</v>
      </c>
      <c r="AL75" s="3727">
        <f t="shared" ca="1" si="117"/>
        <v>0</v>
      </c>
      <c r="AM75" s="3727">
        <f t="shared" ca="1" si="118"/>
        <v>0</v>
      </c>
      <c r="AN75" s="3727">
        <f t="shared" ca="1" si="118"/>
        <v>0</v>
      </c>
      <c r="AO75" s="3727">
        <f t="shared" ca="1" si="118"/>
        <v>0</v>
      </c>
      <c r="AP75" s="3727">
        <f t="shared" ca="1" si="118"/>
        <v>0</v>
      </c>
      <c r="AQ75" s="3727">
        <f t="shared" ca="1" si="118"/>
        <v>0</v>
      </c>
      <c r="AR75" s="3727">
        <f t="shared" ca="1" si="118"/>
        <v>0</v>
      </c>
      <c r="AS75" s="3727">
        <f t="shared" ca="1" si="118"/>
        <v>0</v>
      </c>
      <c r="AT75" s="3727">
        <f t="shared" ca="1" si="118"/>
        <v>0</v>
      </c>
      <c r="AU75" s="3727">
        <f t="shared" ca="1" si="118"/>
        <v>0</v>
      </c>
      <c r="AV75" s="3727">
        <f t="shared" ca="1" si="118"/>
        <v>0</v>
      </c>
      <c r="AW75" s="3727">
        <f t="shared" ca="1" si="118"/>
        <v>0</v>
      </c>
      <c r="AX75" s="3727">
        <f t="shared" ca="1" si="118"/>
        <v>0</v>
      </c>
      <c r="AY75" s="3727">
        <f t="shared" ca="1" si="119"/>
        <v>0</v>
      </c>
      <c r="AZ75" s="3727">
        <f t="shared" ca="1" si="119"/>
        <v>0</v>
      </c>
      <c r="BA75" s="3727">
        <f t="shared" ca="1" si="119"/>
        <v>0</v>
      </c>
      <c r="BB75" s="3727">
        <f t="shared" ca="1" si="119"/>
        <v>0</v>
      </c>
      <c r="BC75" s="3727">
        <f t="shared" ca="1" si="119"/>
        <v>0</v>
      </c>
      <c r="BD75" s="3727">
        <f t="shared" ca="1" si="119"/>
        <v>0</v>
      </c>
      <c r="BE75" s="3727">
        <f t="shared" ca="1" si="119"/>
        <v>0</v>
      </c>
      <c r="BF75" s="3727">
        <f t="shared" ca="1" si="119"/>
        <v>0</v>
      </c>
      <c r="BG75" s="3727">
        <f t="shared" ca="1" si="119"/>
        <v>0</v>
      </c>
      <c r="BH75" s="3727">
        <f t="shared" ca="1" si="119"/>
        <v>0</v>
      </c>
      <c r="BI75" s="3727">
        <f t="shared" ca="1" si="120"/>
        <v>0</v>
      </c>
      <c r="BJ75" s="3727">
        <f t="shared" ca="1" si="120"/>
        <v>0</v>
      </c>
      <c r="BK75" s="3727">
        <f t="shared" ca="1" si="120"/>
        <v>0</v>
      </c>
      <c r="BL75" s="3727">
        <f t="shared" ca="1" si="120"/>
        <v>0</v>
      </c>
      <c r="BM75" s="3727">
        <f t="shared" ca="1" si="120"/>
        <v>0</v>
      </c>
      <c r="BN75" s="3727">
        <f t="shared" ca="1" si="120"/>
        <v>0</v>
      </c>
      <c r="BO75" s="3727">
        <f t="shared" ca="1" si="120"/>
        <v>0</v>
      </c>
      <c r="BP75" s="3727">
        <f t="shared" ca="1" si="120"/>
        <v>0</v>
      </c>
      <c r="BQ75" s="3727">
        <f t="shared" ca="1" si="120"/>
        <v>0</v>
      </c>
      <c r="BR75" s="3727">
        <f t="shared" ca="1" si="120"/>
        <v>0</v>
      </c>
      <c r="BS75" s="3727">
        <f t="shared" ca="1" si="121"/>
        <v>0</v>
      </c>
      <c r="BT75" s="3727">
        <f t="shared" ca="1" si="121"/>
        <v>0</v>
      </c>
      <c r="BU75" s="3727">
        <f t="shared" ca="1" si="121"/>
        <v>0</v>
      </c>
      <c r="BV75" s="3727">
        <f t="shared" ca="1" si="121"/>
        <v>0</v>
      </c>
      <c r="BW75" s="3727">
        <f t="shared" ca="1" si="121"/>
        <v>0</v>
      </c>
      <c r="BX75" s="3727">
        <f t="shared" ca="1" si="121"/>
        <v>0</v>
      </c>
      <c r="BY75" s="3727">
        <f t="shared" ca="1" si="121"/>
        <v>0</v>
      </c>
      <c r="BZ75" s="3727">
        <f t="shared" ca="1" si="121"/>
        <v>0</v>
      </c>
      <c r="CA75" s="3727">
        <f t="shared" ca="1" si="121"/>
        <v>0</v>
      </c>
      <c r="CB75" s="3727">
        <f t="shared" ca="1" si="121"/>
        <v>0</v>
      </c>
      <c r="CC75" s="3727">
        <f t="shared" ca="1" si="122"/>
        <v>0</v>
      </c>
      <c r="CD75" s="3727">
        <f t="shared" ca="1" si="122"/>
        <v>0</v>
      </c>
      <c r="CE75" s="3727">
        <f t="shared" ca="1" si="122"/>
        <v>0</v>
      </c>
      <c r="CF75" s="3727">
        <f t="shared" ca="1" si="122"/>
        <v>0</v>
      </c>
      <c r="CG75" s="3727">
        <f t="shared" ca="1" si="122"/>
        <v>0</v>
      </c>
      <c r="CH75" s="3727">
        <f t="shared" ca="1" si="122"/>
        <v>0</v>
      </c>
      <c r="CI75" s="92"/>
      <c r="CJ75" s="74"/>
      <c r="CK75" s="42"/>
      <c r="CL75" s="42"/>
    </row>
    <row r="76" spans="1:90" hidden="1" x14ac:dyDescent="0.25">
      <c r="A76" s="957">
        <f ca="1">IF($M$9=0,0,1)</f>
        <v>0</v>
      </c>
      <c r="B76" s="96"/>
      <c r="C76" s="96"/>
      <c r="D76" s="96"/>
      <c r="E76" s="96"/>
      <c r="F76" s="96"/>
      <c r="G76" s="96"/>
      <c r="H76" s="96"/>
      <c r="I76" s="174"/>
      <c r="J76" s="92"/>
      <c r="K76" s="92">
        <f>$K$9</f>
        <v>0</v>
      </c>
      <c r="L76" s="3741">
        <f>Income_TCat4_LeaseTerm</f>
        <v>0</v>
      </c>
      <c r="M76" s="3742">
        <f>Income_TCat4_LCNew</f>
        <v>0</v>
      </c>
      <c r="N76" s="3731"/>
      <c r="O76" s="3727">
        <f t="shared" ca="1" si="123"/>
        <v>0</v>
      </c>
      <c r="P76" s="3727">
        <f t="shared" ref="P76:Z76" ca="1" si="126">$L51*(1+(dpIncome_RentGrowth1*O$20/12))*P37*$M76*$L76</f>
        <v>0</v>
      </c>
      <c r="Q76" s="3727">
        <f t="shared" ca="1" si="126"/>
        <v>0</v>
      </c>
      <c r="R76" s="3727">
        <f t="shared" ca="1" si="126"/>
        <v>0</v>
      </c>
      <c r="S76" s="3727">
        <f t="shared" ca="1" si="126"/>
        <v>0</v>
      </c>
      <c r="T76" s="3727">
        <f t="shared" ca="1" si="126"/>
        <v>0</v>
      </c>
      <c r="U76" s="3727">
        <f t="shared" ca="1" si="126"/>
        <v>0</v>
      </c>
      <c r="V76" s="3727">
        <f t="shared" ca="1" si="126"/>
        <v>0</v>
      </c>
      <c r="W76" s="3727">
        <f t="shared" ca="1" si="126"/>
        <v>0</v>
      </c>
      <c r="X76" s="3727">
        <f t="shared" ca="1" si="126"/>
        <v>0</v>
      </c>
      <c r="Y76" s="3727">
        <f t="shared" ca="1" si="126"/>
        <v>0</v>
      </c>
      <c r="Z76" s="3727">
        <f t="shared" ca="1" si="126"/>
        <v>0</v>
      </c>
      <c r="AA76" s="3727">
        <f t="shared" ca="1" si="117"/>
        <v>0</v>
      </c>
      <c r="AB76" s="3727">
        <f t="shared" ca="1" si="117"/>
        <v>0</v>
      </c>
      <c r="AC76" s="3727">
        <f t="shared" ca="1" si="117"/>
        <v>0</v>
      </c>
      <c r="AD76" s="3727">
        <f t="shared" ca="1" si="117"/>
        <v>0</v>
      </c>
      <c r="AE76" s="3727">
        <f t="shared" ca="1" si="117"/>
        <v>0</v>
      </c>
      <c r="AF76" s="3727">
        <f t="shared" ca="1" si="117"/>
        <v>0</v>
      </c>
      <c r="AG76" s="3727">
        <f t="shared" ca="1" si="117"/>
        <v>0</v>
      </c>
      <c r="AH76" s="3727">
        <f t="shared" ca="1" si="117"/>
        <v>0</v>
      </c>
      <c r="AI76" s="3727">
        <f t="shared" ca="1" si="117"/>
        <v>0</v>
      </c>
      <c r="AJ76" s="3727">
        <f t="shared" ca="1" si="117"/>
        <v>0</v>
      </c>
      <c r="AK76" s="3727">
        <f t="shared" ca="1" si="117"/>
        <v>0</v>
      </c>
      <c r="AL76" s="3727">
        <f t="shared" ca="1" si="117"/>
        <v>0</v>
      </c>
      <c r="AM76" s="3727">
        <f t="shared" ca="1" si="118"/>
        <v>0</v>
      </c>
      <c r="AN76" s="3727">
        <f t="shared" ca="1" si="118"/>
        <v>0</v>
      </c>
      <c r="AO76" s="3727">
        <f t="shared" ca="1" si="118"/>
        <v>0</v>
      </c>
      <c r="AP76" s="3727">
        <f t="shared" ca="1" si="118"/>
        <v>0</v>
      </c>
      <c r="AQ76" s="3727">
        <f t="shared" ca="1" si="118"/>
        <v>0</v>
      </c>
      <c r="AR76" s="3727">
        <f t="shared" ca="1" si="118"/>
        <v>0</v>
      </c>
      <c r="AS76" s="3727">
        <f t="shared" ca="1" si="118"/>
        <v>0</v>
      </c>
      <c r="AT76" s="3727">
        <f t="shared" ca="1" si="118"/>
        <v>0</v>
      </c>
      <c r="AU76" s="3727">
        <f t="shared" ca="1" si="118"/>
        <v>0</v>
      </c>
      <c r="AV76" s="3727">
        <f t="shared" ca="1" si="118"/>
        <v>0</v>
      </c>
      <c r="AW76" s="3727">
        <f t="shared" ca="1" si="118"/>
        <v>0</v>
      </c>
      <c r="AX76" s="3727">
        <f t="shared" ca="1" si="118"/>
        <v>0</v>
      </c>
      <c r="AY76" s="3727">
        <f t="shared" ca="1" si="119"/>
        <v>0</v>
      </c>
      <c r="AZ76" s="3727">
        <f t="shared" ca="1" si="119"/>
        <v>0</v>
      </c>
      <c r="BA76" s="3727">
        <f t="shared" ca="1" si="119"/>
        <v>0</v>
      </c>
      <c r="BB76" s="3727">
        <f t="shared" ca="1" si="119"/>
        <v>0</v>
      </c>
      <c r="BC76" s="3727">
        <f t="shared" ca="1" si="119"/>
        <v>0</v>
      </c>
      <c r="BD76" s="3727">
        <f t="shared" ca="1" si="119"/>
        <v>0</v>
      </c>
      <c r="BE76" s="3727">
        <f t="shared" ca="1" si="119"/>
        <v>0</v>
      </c>
      <c r="BF76" s="3727">
        <f t="shared" ca="1" si="119"/>
        <v>0</v>
      </c>
      <c r="BG76" s="3727">
        <f t="shared" ca="1" si="119"/>
        <v>0</v>
      </c>
      <c r="BH76" s="3727">
        <f t="shared" ca="1" si="119"/>
        <v>0</v>
      </c>
      <c r="BI76" s="3727">
        <f t="shared" ca="1" si="120"/>
        <v>0</v>
      </c>
      <c r="BJ76" s="3727">
        <f t="shared" ca="1" si="120"/>
        <v>0</v>
      </c>
      <c r="BK76" s="3727">
        <f t="shared" ca="1" si="120"/>
        <v>0</v>
      </c>
      <c r="BL76" s="3727">
        <f t="shared" ca="1" si="120"/>
        <v>0</v>
      </c>
      <c r="BM76" s="3727">
        <f t="shared" ca="1" si="120"/>
        <v>0</v>
      </c>
      <c r="BN76" s="3727">
        <f t="shared" ca="1" si="120"/>
        <v>0</v>
      </c>
      <c r="BO76" s="3727">
        <f t="shared" ca="1" si="120"/>
        <v>0</v>
      </c>
      <c r="BP76" s="3727">
        <f t="shared" ca="1" si="120"/>
        <v>0</v>
      </c>
      <c r="BQ76" s="3727">
        <f t="shared" ca="1" si="120"/>
        <v>0</v>
      </c>
      <c r="BR76" s="3727">
        <f t="shared" ca="1" si="120"/>
        <v>0</v>
      </c>
      <c r="BS76" s="3727">
        <f t="shared" ca="1" si="121"/>
        <v>0</v>
      </c>
      <c r="BT76" s="3727">
        <f t="shared" ca="1" si="121"/>
        <v>0</v>
      </c>
      <c r="BU76" s="3727">
        <f t="shared" ca="1" si="121"/>
        <v>0</v>
      </c>
      <c r="BV76" s="3727">
        <f t="shared" ca="1" si="121"/>
        <v>0</v>
      </c>
      <c r="BW76" s="3727">
        <f t="shared" ca="1" si="121"/>
        <v>0</v>
      </c>
      <c r="BX76" s="3727">
        <f t="shared" ca="1" si="121"/>
        <v>0</v>
      </c>
      <c r="BY76" s="3727">
        <f t="shared" ca="1" si="121"/>
        <v>0</v>
      </c>
      <c r="BZ76" s="3727">
        <f t="shared" ca="1" si="121"/>
        <v>0</v>
      </c>
      <c r="CA76" s="3727">
        <f t="shared" ca="1" si="121"/>
        <v>0</v>
      </c>
      <c r="CB76" s="3727">
        <f t="shared" ca="1" si="121"/>
        <v>0</v>
      </c>
      <c r="CC76" s="3727">
        <f t="shared" ca="1" si="122"/>
        <v>0</v>
      </c>
      <c r="CD76" s="3727">
        <f t="shared" ca="1" si="122"/>
        <v>0</v>
      </c>
      <c r="CE76" s="3727">
        <f t="shared" ca="1" si="122"/>
        <v>0</v>
      </c>
      <c r="CF76" s="3727">
        <f t="shared" ca="1" si="122"/>
        <v>0</v>
      </c>
      <c r="CG76" s="3727">
        <f t="shared" ca="1" si="122"/>
        <v>0</v>
      </c>
      <c r="CH76" s="3727">
        <f t="shared" ca="1" si="122"/>
        <v>0</v>
      </c>
      <c r="CI76" s="92"/>
      <c r="CJ76" s="74"/>
      <c r="CK76" s="42"/>
      <c r="CL76" s="42"/>
    </row>
    <row r="77" spans="1:90" hidden="1" x14ac:dyDescent="0.25">
      <c r="A77" s="957">
        <f ca="1">IF($M$10=0,0,1)</f>
        <v>0</v>
      </c>
      <c r="B77" s="96"/>
      <c r="C77" s="96"/>
      <c r="D77" s="96"/>
      <c r="E77" s="96"/>
      <c r="F77" s="96"/>
      <c r="G77" s="96"/>
      <c r="H77" s="96"/>
      <c r="I77" s="174"/>
      <c r="J77" s="92"/>
      <c r="K77" s="92">
        <f>$K$10</f>
        <v>0</v>
      </c>
      <c r="L77" s="3741">
        <f>Income_TCat5_LeaseTerm</f>
        <v>0</v>
      </c>
      <c r="M77" s="3742">
        <f>Income_TCat5_LCNew</f>
        <v>0</v>
      </c>
      <c r="N77" s="3731"/>
      <c r="O77" s="3727">
        <f t="shared" ca="1" si="123"/>
        <v>0</v>
      </c>
      <c r="P77" s="3727">
        <f t="shared" ref="P77:Z77" ca="1" si="127">$L52*(1+(dpIncome_RentGrowth1*O$20/12))*P38*$M77*$L77</f>
        <v>0</v>
      </c>
      <c r="Q77" s="3727">
        <f t="shared" ca="1" si="127"/>
        <v>0</v>
      </c>
      <c r="R77" s="3727">
        <f t="shared" ca="1" si="127"/>
        <v>0</v>
      </c>
      <c r="S77" s="3727">
        <f t="shared" ca="1" si="127"/>
        <v>0</v>
      </c>
      <c r="T77" s="3727">
        <f t="shared" ca="1" si="127"/>
        <v>0</v>
      </c>
      <c r="U77" s="3727">
        <f t="shared" ca="1" si="127"/>
        <v>0</v>
      </c>
      <c r="V77" s="3727">
        <f t="shared" ca="1" si="127"/>
        <v>0</v>
      </c>
      <c r="W77" s="3727">
        <f t="shared" ca="1" si="127"/>
        <v>0</v>
      </c>
      <c r="X77" s="3727">
        <f t="shared" ca="1" si="127"/>
        <v>0</v>
      </c>
      <c r="Y77" s="3727">
        <f t="shared" ca="1" si="127"/>
        <v>0</v>
      </c>
      <c r="Z77" s="3727">
        <f t="shared" ca="1" si="127"/>
        <v>0</v>
      </c>
      <c r="AA77" s="3727">
        <f t="shared" ca="1" si="117"/>
        <v>0</v>
      </c>
      <c r="AB77" s="3727">
        <f t="shared" ca="1" si="117"/>
        <v>0</v>
      </c>
      <c r="AC77" s="3727">
        <f t="shared" ca="1" si="117"/>
        <v>0</v>
      </c>
      <c r="AD77" s="3727">
        <f t="shared" ca="1" si="117"/>
        <v>0</v>
      </c>
      <c r="AE77" s="3727">
        <f t="shared" ca="1" si="117"/>
        <v>0</v>
      </c>
      <c r="AF77" s="3727">
        <f t="shared" ca="1" si="117"/>
        <v>0</v>
      </c>
      <c r="AG77" s="3727">
        <f t="shared" ca="1" si="117"/>
        <v>0</v>
      </c>
      <c r="AH77" s="3727">
        <f t="shared" ca="1" si="117"/>
        <v>0</v>
      </c>
      <c r="AI77" s="3727">
        <f t="shared" ca="1" si="117"/>
        <v>0</v>
      </c>
      <c r="AJ77" s="3727">
        <f t="shared" ca="1" si="117"/>
        <v>0</v>
      </c>
      <c r="AK77" s="3727">
        <f t="shared" ca="1" si="117"/>
        <v>0</v>
      </c>
      <c r="AL77" s="3727">
        <f t="shared" ca="1" si="117"/>
        <v>0</v>
      </c>
      <c r="AM77" s="3727">
        <f t="shared" ca="1" si="118"/>
        <v>0</v>
      </c>
      <c r="AN77" s="3727">
        <f t="shared" ca="1" si="118"/>
        <v>0</v>
      </c>
      <c r="AO77" s="3727">
        <f t="shared" ca="1" si="118"/>
        <v>0</v>
      </c>
      <c r="AP77" s="3727">
        <f t="shared" ca="1" si="118"/>
        <v>0</v>
      </c>
      <c r="AQ77" s="3727">
        <f t="shared" ca="1" si="118"/>
        <v>0</v>
      </c>
      <c r="AR77" s="3727">
        <f t="shared" ca="1" si="118"/>
        <v>0</v>
      </c>
      <c r="AS77" s="3727">
        <f t="shared" ca="1" si="118"/>
        <v>0</v>
      </c>
      <c r="AT77" s="3727">
        <f t="shared" ca="1" si="118"/>
        <v>0</v>
      </c>
      <c r="AU77" s="3727">
        <f t="shared" ca="1" si="118"/>
        <v>0</v>
      </c>
      <c r="AV77" s="3727">
        <f t="shared" ca="1" si="118"/>
        <v>0</v>
      </c>
      <c r="AW77" s="3727">
        <f t="shared" ca="1" si="118"/>
        <v>0</v>
      </c>
      <c r="AX77" s="3727">
        <f t="shared" ca="1" si="118"/>
        <v>0</v>
      </c>
      <c r="AY77" s="3727">
        <f t="shared" ca="1" si="119"/>
        <v>0</v>
      </c>
      <c r="AZ77" s="3727">
        <f t="shared" ca="1" si="119"/>
        <v>0</v>
      </c>
      <c r="BA77" s="3727">
        <f t="shared" ca="1" si="119"/>
        <v>0</v>
      </c>
      <c r="BB77" s="3727">
        <f t="shared" ca="1" si="119"/>
        <v>0</v>
      </c>
      <c r="BC77" s="3727">
        <f t="shared" ca="1" si="119"/>
        <v>0</v>
      </c>
      <c r="BD77" s="3727">
        <f t="shared" ca="1" si="119"/>
        <v>0</v>
      </c>
      <c r="BE77" s="3727">
        <f t="shared" ca="1" si="119"/>
        <v>0</v>
      </c>
      <c r="BF77" s="3727">
        <f t="shared" ca="1" si="119"/>
        <v>0</v>
      </c>
      <c r="BG77" s="3727">
        <f t="shared" ca="1" si="119"/>
        <v>0</v>
      </c>
      <c r="BH77" s="3727">
        <f t="shared" ca="1" si="119"/>
        <v>0</v>
      </c>
      <c r="BI77" s="3727">
        <f t="shared" ca="1" si="120"/>
        <v>0</v>
      </c>
      <c r="BJ77" s="3727">
        <f t="shared" ca="1" si="120"/>
        <v>0</v>
      </c>
      <c r="BK77" s="3727">
        <f t="shared" ca="1" si="120"/>
        <v>0</v>
      </c>
      <c r="BL77" s="3727">
        <f t="shared" ca="1" si="120"/>
        <v>0</v>
      </c>
      <c r="BM77" s="3727">
        <f t="shared" ca="1" si="120"/>
        <v>0</v>
      </c>
      <c r="BN77" s="3727">
        <f t="shared" ca="1" si="120"/>
        <v>0</v>
      </c>
      <c r="BO77" s="3727">
        <f t="shared" ca="1" si="120"/>
        <v>0</v>
      </c>
      <c r="BP77" s="3727">
        <f t="shared" ca="1" si="120"/>
        <v>0</v>
      </c>
      <c r="BQ77" s="3727">
        <f t="shared" ca="1" si="120"/>
        <v>0</v>
      </c>
      <c r="BR77" s="3727">
        <f t="shared" ca="1" si="120"/>
        <v>0</v>
      </c>
      <c r="BS77" s="3727">
        <f t="shared" ca="1" si="121"/>
        <v>0</v>
      </c>
      <c r="BT77" s="3727">
        <f t="shared" ca="1" si="121"/>
        <v>0</v>
      </c>
      <c r="BU77" s="3727">
        <f t="shared" ca="1" si="121"/>
        <v>0</v>
      </c>
      <c r="BV77" s="3727">
        <f t="shared" ca="1" si="121"/>
        <v>0</v>
      </c>
      <c r="BW77" s="3727">
        <f t="shared" ca="1" si="121"/>
        <v>0</v>
      </c>
      <c r="BX77" s="3727">
        <f t="shared" ca="1" si="121"/>
        <v>0</v>
      </c>
      <c r="BY77" s="3727">
        <f t="shared" ca="1" si="121"/>
        <v>0</v>
      </c>
      <c r="BZ77" s="3727">
        <f t="shared" ca="1" si="121"/>
        <v>0</v>
      </c>
      <c r="CA77" s="3727">
        <f t="shared" ca="1" si="121"/>
        <v>0</v>
      </c>
      <c r="CB77" s="3727">
        <f t="shared" ca="1" si="121"/>
        <v>0</v>
      </c>
      <c r="CC77" s="3727">
        <f t="shared" ca="1" si="122"/>
        <v>0</v>
      </c>
      <c r="CD77" s="3727">
        <f t="shared" ca="1" si="122"/>
        <v>0</v>
      </c>
      <c r="CE77" s="3727">
        <f t="shared" ca="1" si="122"/>
        <v>0</v>
      </c>
      <c r="CF77" s="3727">
        <f t="shared" ca="1" si="122"/>
        <v>0</v>
      </c>
      <c r="CG77" s="3727">
        <f t="shared" ca="1" si="122"/>
        <v>0</v>
      </c>
      <c r="CH77" s="3727">
        <f t="shared" ca="1" si="122"/>
        <v>0</v>
      </c>
      <c r="CI77" s="92"/>
      <c r="CJ77" s="74"/>
      <c r="CK77" s="42"/>
      <c r="CL77" s="42"/>
    </row>
    <row r="78" spans="1:90" hidden="1" x14ac:dyDescent="0.25">
      <c r="A78" s="957">
        <f ca="1">IF($M$11=0,0,1)</f>
        <v>0</v>
      </c>
      <c r="B78" s="96"/>
      <c r="C78" s="96"/>
      <c r="D78" s="96"/>
      <c r="E78" s="96"/>
      <c r="F78" s="96"/>
      <c r="G78" s="96"/>
      <c r="H78" s="96"/>
      <c r="I78" s="174"/>
      <c r="J78" s="92"/>
      <c r="K78" s="92">
        <f>$K$11</f>
        <v>0</v>
      </c>
      <c r="L78" s="3741">
        <f>Income_TCat6_LeaseTerm</f>
        <v>0</v>
      </c>
      <c r="M78" s="3742">
        <f>Income_TCat6_LCNew</f>
        <v>0</v>
      </c>
      <c r="N78" s="3731"/>
      <c r="O78" s="3727">
        <f t="shared" ca="1" si="123"/>
        <v>0</v>
      </c>
      <c r="P78" s="3727">
        <f t="shared" ref="P78:Z78" ca="1" si="128">$L53*(1+(dpIncome_RentGrowth1*O$20/12))*P39*$M78*$L78</f>
        <v>0</v>
      </c>
      <c r="Q78" s="3727">
        <f t="shared" ca="1" si="128"/>
        <v>0</v>
      </c>
      <c r="R78" s="3727">
        <f t="shared" ca="1" si="128"/>
        <v>0</v>
      </c>
      <c r="S78" s="3727">
        <f t="shared" ca="1" si="128"/>
        <v>0</v>
      </c>
      <c r="T78" s="3727">
        <f t="shared" ca="1" si="128"/>
        <v>0</v>
      </c>
      <c r="U78" s="3727">
        <f t="shared" ca="1" si="128"/>
        <v>0</v>
      </c>
      <c r="V78" s="3727">
        <f t="shared" ca="1" si="128"/>
        <v>0</v>
      </c>
      <c r="W78" s="3727">
        <f t="shared" ca="1" si="128"/>
        <v>0</v>
      </c>
      <c r="X78" s="3727">
        <f t="shared" ca="1" si="128"/>
        <v>0</v>
      </c>
      <c r="Y78" s="3727">
        <f t="shared" ca="1" si="128"/>
        <v>0</v>
      </c>
      <c r="Z78" s="3727">
        <f t="shared" ca="1" si="128"/>
        <v>0</v>
      </c>
      <c r="AA78" s="3727">
        <f t="shared" ca="1" si="117"/>
        <v>0</v>
      </c>
      <c r="AB78" s="3727">
        <f t="shared" ca="1" si="117"/>
        <v>0</v>
      </c>
      <c r="AC78" s="3727">
        <f t="shared" ca="1" si="117"/>
        <v>0</v>
      </c>
      <c r="AD78" s="3727">
        <f t="shared" ca="1" si="117"/>
        <v>0</v>
      </c>
      <c r="AE78" s="3727">
        <f t="shared" ca="1" si="117"/>
        <v>0</v>
      </c>
      <c r="AF78" s="3727">
        <f t="shared" ca="1" si="117"/>
        <v>0</v>
      </c>
      <c r="AG78" s="3727">
        <f t="shared" ca="1" si="117"/>
        <v>0</v>
      </c>
      <c r="AH78" s="3727">
        <f t="shared" ca="1" si="117"/>
        <v>0</v>
      </c>
      <c r="AI78" s="3727">
        <f t="shared" ca="1" si="117"/>
        <v>0</v>
      </c>
      <c r="AJ78" s="3727">
        <f t="shared" ca="1" si="117"/>
        <v>0</v>
      </c>
      <c r="AK78" s="3727">
        <f t="shared" ca="1" si="117"/>
        <v>0</v>
      </c>
      <c r="AL78" s="3727">
        <f t="shared" ca="1" si="117"/>
        <v>0</v>
      </c>
      <c r="AM78" s="3727">
        <f t="shared" ca="1" si="118"/>
        <v>0</v>
      </c>
      <c r="AN78" s="3727">
        <f t="shared" ca="1" si="118"/>
        <v>0</v>
      </c>
      <c r="AO78" s="3727">
        <f t="shared" ca="1" si="118"/>
        <v>0</v>
      </c>
      <c r="AP78" s="3727">
        <f t="shared" ca="1" si="118"/>
        <v>0</v>
      </c>
      <c r="AQ78" s="3727">
        <f t="shared" ca="1" si="118"/>
        <v>0</v>
      </c>
      <c r="AR78" s="3727">
        <f t="shared" ca="1" si="118"/>
        <v>0</v>
      </c>
      <c r="AS78" s="3727">
        <f t="shared" ca="1" si="118"/>
        <v>0</v>
      </c>
      <c r="AT78" s="3727">
        <f t="shared" ca="1" si="118"/>
        <v>0</v>
      </c>
      <c r="AU78" s="3727">
        <f t="shared" ca="1" si="118"/>
        <v>0</v>
      </c>
      <c r="AV78" s="3727">
        <f t="shared" ca="1" si="118"/>
        <v>0</v>
      </c>
      <c r="AW78" s="3727">
        <f t="shared" ca="1" si="118"/>
        <v>0</v>
      </c>
      <c r="AX78" s="3727">
        <f t="shared" ca="1" si="118"/>
        <v>0</v>
      </c>
      <c r="AY78" s="3727">
        <f t="shared" ca="1" si="119"/>
        <v>0</v>
      </c>
      <c r="AZ78" s="3727">
        <f t="shared" ca="1" si="119"/>
        <v>0</v>
      </c>
      <c r="BA78" s="3727">
        <f t="shared" ca="1" si="119"/>
        <v>0</v>
      </c>
      <c r="BB78" s="3727">
        <f t="shared" ca="1" si="119"/>
        <v>0</v>
      </c>
      <c r="BC78" s="3727">
        <f t="shared" ca="1" si="119"/>
        <v>0</v>
      </c>
      <c r="BD78" s="3727">
        <f t="shared" ca="1" si="119"/>
        <v>0</v>
      </c>
      <c r="BE78" s="3727">
        <f t="shared" ca="1" si="119"/>
        <v>0</v>
      </c>
      <c r="BF78" s="3727">
        <f t="shared" ca="1" si="119"/>
        <v>0</v>
      </c>
      <c r="BG78" s="3727">
        <f t="shared" ca="1" si="119"/>
        <v>0</v>
      </c>
      <c r="BH78" s="3727">
        <f t="shared" ca="1" si="119"/>
        <v>0</v>
      </c>
      <c r="BI78" s="3727">
        <f t="shared" ca="1" si="120"/>
        <v>0</v>
      </c>
      <c r="BJ78" s="3727">
        <f t="shared" ca="1" si="120"/>
        <v>0</v>
      </c>
      <c r="BK78" s="3727">
        <f t="shared" ca="1" si="120"/>
        <v>0</v>
      </c>
      <c r="BL78" s="3727">
        <f t="shared" ca="1" si="120"/>
        <v>0</v>
      </c>
      <c r="BM78" s="3727">
        <f t="shared" ca="1" si="120"/>
        <v>0</v>
      </c>
      <c r="BN78" s="3727">
        <f t="shared" ca="1" si="120"/>
        <v>0</v>
      </c>
      <c r="BO78" s="3727">
        <f t="shared" ca="1" si="120"/>
        <v>0</v>
      </c>
      <c r="BP78" s="3727">
        <f t="shared" ca="1" si="120"/>
        <v>0</v>
      </c>
      <c r="BQ78" s="3727">
        <f t="shared" ca="1" si="120"/>
        <v>0</v>
      </c>
      <c r="BR78" s="3727">
        <f t="shared" ca="1" si="120"/>
        <v>0</v>
      </c>
      <c r="BS78" s="3727">
        <f t="shared" ca="1" si="121"/>
        <v>0</v>
      </c>
      <c r="BT78" s="3727">
        <f t="shared" ca="1" si="121"/>
        <v>0</v>
      </c>
      <c r="BU78" s="3727">
        <f t="shared" ca="1" si="121"/>
        <v>0</v>
      </c>
      <c r="BV78" s="3727">
        <f t="shared" ca="1" si="121"/>
        <v>0</v>
      </c>
      <c r="BW78" s="3727">
        <f t="shared" ca="1" si="121"/>
        <v>0</v>
      </c>
      <c r="BX78" s="3727">
        <f t="shared" ca="1" si="121"/>
        <v>0</v>
      </c>
      <c r="BY78" s="3727">
        <f t="shared" ca="1" si="121"/>
        <v>0</v>
      </c>
      <c r="BZ78" s="3727">
        <f t="shared" ca="1" si="121"/>
        <v>0</v>
      </c>
      <c r="CA78" s="3727">
        <f t="shared" ca="1" si="121"/>
        <v>0</v>
      </c>
      <c r="CB78" s="3727">
        <f t="shared" ca="1" si="121"/>
        <v>0</v>
      </c>
      <c r="CC78" s="3727">
        <f t="shared" ca="1" si="122"/>
        <v>0</v>
      </c>
      <c r="CD78" s="3727">
        <f t="shared" ca="1" si="122"/>
        <v>0</v>
      </c>
      <c r="CE78" s="3727">
        <f t="shared" ca="1" si="122"/>
        <v>0</v>
      </c>
      <c r="CF78" s="3727">
        <f t="shared" ca="1" si="122"/>
        <v>0</v>
      </c>
      <c r="CG78" s="3727">
        <f t="shared" ca="1" si="122"/>
        <v>0</v>
      </c>
      <c r="CH78" s="3727">
        <f t="shared" ca="1" si="122"/>
        <v>0</v>
      </c>
      <c r="CI78" s="92"/>
      <c r="CJ78" s="74"/>
      <c r="CK78" s="42"/>
      <c r="CL78" s="42"/>
    </row>
    <row r="79" spans="1:90" hidden="1" x14ac:dyDescent="0.25">
      <c r="A79" s="957">
        <f ca="1">IF($M$12=0,0,1)</f>
        <v>0</v>
      </c>
      <c r="B79" s="96"/>
      <c r="C79" s="96"/>
      <c r="D79" s="96"/>
      <c r="E79" s="96"/>
      <c r="F79" s="96"/>
      <c r="G79" s="96"/>
      <c r="H79" s="96"/>
      <c r="I79" s="174"/>
      <c r="J79" s="92"/>
      <c r="K79" s="92">
        <f>$K$12</f>
        <v>0</v>
      </c>
      <c r="L79" s="3741">
        <f>Income_TCat7_LeaseTerm</f>
        <v>0</v>
      </c>
      <c r="M79" s="3742">
        <f>Income_TCat7_LCNew</f>
        <v>0</v>
      </c>
      <c r="N79" s="3731"/>
      <c r="O79" s="3727">
        <f t="shared" ca="1" si="123"/>
        <v>0</v>
      </c>
      <c r="P79" s="3727">
        <f t="shared" ref="P79:Z79" ca="1" si="129">$L54*(1+(dpIncome_RentGrowth1*O$20/12))*P40*$M79*$L79</f>
        <v>0</v>
      </c>
      <c r="Q79" s="3727">
        <f t="shared" ca="1" si="129"/>
        <v>0</v>
      </c>
      <c r="R79" s="3727">
        <f t="shared" ca="1" si="129"/>
        <v>0</v>
      </c>
      <c r="S79" s="3727">
        <f t="shared" ca="1" si="129"/>
        <v>0</v>
      </c>
      <c r="T79" s="3727">
        <f t="shared" ca="1" si="129"/>
        <v>0</v>
      </c>
      <c r="U79" s="3727">
        <f t="shared" ca="1" si="129"/>
        <v>0</v>
      </c>
      <c r="V79" s="3727">
        <f t="shared" ca="1" si="129"/>
        <v>0</v>
      </c>
      <c r="W79" s="3727">
        <f t="shared" ca="1" si="129"/>
        <v>0</v>
      </c>
      <c r="X79" s="3727">
        <f t="shared" ca="1" si="129"/>
        <v>0</v>
      </c>
      <c r="Y79" s="3727">
        <f t="shared" ca="1" si="129"/>
        <v>0</v>
      </c>
      <c r="Z79" s="3727">
        <f t="shared" ca="1" si="129"/>
        <v>0</v>
      </c>
      <c r="AA79" s="3727">
        <f t="shared" ca="1" si="117"/>
        <v>0</v>
      </c>
      <c r="AB79" s="3727">
        <f t="shared" ca="1" si="117"/>
        <v>0</v>
      </c>
      <c r="AC79" s="3727">
        <f t="shared" ca="1" si="117"/>
        <v>0</v>
      </c>
      <c r="AD79" s="3727">
        <f t="shared" ca="1" si="117"/>
        <v>0</v>
      </c>
      <c r="AE79" s="3727">
        <f t="shared" ca="1" si="117"/>
        <v>0</v>
      </c>
      <c r="AF79" s="3727">
        <f t="shared" ca="1" si="117"/>
        <v>0</v>
      </c>
      <c r="AG79" s="3727">
        <f t="shared" ca="1" si="117"/>
        <v>0</v>
      </c>
      <c r="AH79" s="3727">
        <f t="shared" ca="1" si="117"/>
        <v>0</v>
      </c>
      <c r="AI79" s="3727">
        <f t="shared" ca="1" si="117"/>
        <v>0</v>
      </c>
      <c r="AJ79" s="3727">
        <f t="shared" ca="1" si="117"/>
        <v>0</v>
      </c>
      <c r="AK79" s="3727">
        <f t="shared" ca="1" si="117"/>
        <v>0</v>
      </c>
      <c r="AL79" s="3727">
        <f t="shared" ca="1" si="117"/>
        <v>0</v>
      </c>
      <c r="AM79" s="3727">
        <f t="shared" ca="1" si="118"/>
        <v>0</v>
      </c>
      <c r="AN79" s="3727">
        <f t="shared" ca="1" si="118"/>
        <v>0</v>
      </c>
      <c r="AO79" s="3727">
        <f t="shared" ca="1" si="118"/>
        <v>0</v>
      </c>
      <c r="AP79" s="3727">
        <f t="shared" ca="1" si="118"/>
        <v>0</v>
      </c>
      <c r="AQ79" s="3727">
        <f t="shared" ca="1" si="118"/>
        <v>0</v>
      </c>
      <c r="AR79" s="3727">
        <f t="shared" ca="1" si="118"/>
        <v>0</v>
      </c>
      <c r="AS79" s="3727">
        <f t="shared" ca="1" si="118"/>
        <v>0</v>
      </c>
      <c r="AT79" s="3727">
        <f t="shared" ca="1" si="118"/>
        <v>0</v>
      </c>
      <c r="AU79" s="3727">
        <f t="shared" ca="1" si="118"/>
        <v>0</v>
      </c>
      <c r="AV79" s="3727">
        <f t="shared" ca="1" si="118"/>
        <v>0</v>
      </c>
      <c r="AW79" s="3727">
        <f t="shared" ca="1" si="118"/>
        <v>0</v>
      </c>
      <c r="AX79" s="3727">
        <f t="shared" ca="1" si="118"/>
        <v>0</v>
      </c>
      <c r="AY79" s="3727">
        <f t="shared" ca="1" si="119"/>
        <v>0</v>
      </c>
      <c r="AZ79" s="3727">
        <f t="shared" ca="1" si="119"/>
        <v>0</v>
      </c>
      <c r="BA79" s="3727">
        <f t="shared" ca="1" si="119"/>
        <v>0</v>
      </c>
      <c r="BB79" s="3727">
        <f t="shared" ca="1" si="119"/>
        <v>0</v>
      </c>
      <c r="BC79" s="3727">
        <f t="shared" ca="1" si="119"/>
        <v>0</v>
      </c>
      <c r="BD79" s="3727">
        <f t="shared" ca="1" si="119"/>
        <v>0</v>
      </c>
      <c r="BE79" s="3727">
        <f t="shared" ca="1" si="119"/>
        <v>0</v>
      </c>
      <c r="BF79" s="3727">
        <f t="shared" ca="1" si="119"/>
        <v>0</v>
      </c>
      <c r="BG79" s="3727">
        <f t="shared" ca="1" si="119"/>
        <v>0</v>
      </c>
      <c r="BH79" s="3727">
        <f t="shared" ca="1" si="119"/>
        <v>0</v>
      </c>
      <c r="BI79" s="3727">
        <f t="shared" ca="1" si="120"/>
        <v>0</v>
      </c>
      <c r="BJ79" s="3727">
        <f t="shared" ca="1" si="120"/>
        <v>0</v>
      </c>
      <c r="BK79" s="3727">
        <f t="shared" ca="1" si="120"/>
        <v>0</v>
      </c>
      <c r="BL79" s="3727">
        <f t="shared" ca="1" si="120"/>
        <v>0</v>
      </c>
      <c r="BM79" s="3727">
        <f t="shared" ca="1" si="120"/>
        <v>0</v>
      </c>
      <c r="BN79" s="3727">
        <f t="shared" ca="1" si="120"/>
        <v>0</v>
      </c>
      <c r="BO79" s="3727">
        <f t="shared" ca="1" si="120"/>
        <v>0</v>
      </c>
      <c r="BP79" s="3727">
        <f t="shared" ca="1" si="120"/>
        <v>0</v>
      </c>
      <c r="BQ79" s="3727">
        <f t="shared" ca="1" si="120"/>
        <v>0</v>
      </c>
      <c r="BR79" s="3727">
        <f t="shared" ca="1" si="120"/>
        <v>0</v>
      </c>
      <c r="BS79" s="3727">
        <f t="shared" ca="1" si="121"/>
        <v>0</v>
      </c>
      <c r="BT79" s="3727">
        <f t="shared" ca="1" si="121"/>
        <v>0</v>
      </c>
      <c r="BU79" s="3727">
        <f t="shared" ca="1" si="121"/>
        <v>0</v>
      </c>
      <c r="BV79" s="3727">
        <f t="shared" ca="1" si="121"/>
        <v>0</v>
      </c>
      <c r="BW79" s="3727">
        <f t="shared" ca="1" si="121"/>
        <v>0</v>
      </c>
      <c r="BX79" s="3727">
        <f t="shared" ca="1" si="121"/>
        <v>0</v>
      </c>
      <c r="BY79" s="3727">
        <f t="shared" ca="1" si="121"/>
        <v>0</v>
      </c>
      <c r="BZ79" s="3727">
        <f t="shared" ca="1" si="121"/>
        <v>0</v>
      </c>
      <c r="CA79" s="3727">
        <f t="shared" ca="1" si="121"/>
        <v>0</v>
      </c>
      <c r="CB79" s="3727">
        <f t="shared" ca="1" si="121"/>
        <v>0</v>
      </c>
      <c r="CC79" s="3727">
        <f t="shared" ca="1" si="122"/>
        <v>0</v>
      </c>
      <c r="CD79" s="3727">
        <f t="shared" ca="1" si="122"/>
        <v>0</v>
      </c>
      <c r="CE79" s="3727">
        <f t="shared" ca="1" si="122"/>
        <v>0</v>
      </c>
      <c r="CF79" s="3727">
        <f t="shared" ca="1" si="122"/>
        <v>0</v>
      </c>
      <c r="CG79" s="3727">
        <f t="shared" ca="1" si="122"/>
        <v>0</v>
      </c>
      <c r="CH79" s="3727">
        <f t="shared" ca="1" si="122"/>
        <v>0</v>
      </c>
      <c r="CI79" s="92"/>
      <c r="CJ79" s="74"/>
      <c r="CK79" s="42"/>
      <c r="CL79" s="42"/>
    </row>
    <row r="80" spans="1:90" hidden="1" x14ac:dyDescent="0.25">
      <c r="A80" s="957">
        <f ca="1">IF($M$13=0,0,1)</f>
        <v>0</v>
      </c>
      <c r="B80" s="96"/>
      <c r="C80" s="96"/>
      <c r="D80" s="96"/>
      <c r="E80" s="96"/>
      <c r="F80" s="96"/>
      <c r="G80" s="96"/>
      <c r="H80" s="96"/>
      <c r="I80" s="174"/>
      <c r="J80" s="92"/>
      <c r="K80" s="92">
        <f>$K$13</f>
        <v>0</v>
      </c>
      <c r="L80" s="3741">
        <f>Income_TCat8_LeaseTerm</f>
        <v>0</v>
      </c>
      <c r="M80" s="3742">
        <f>Income_TCat8_LCNew</f>
        <v>0</v>
      </c>
      <c r="N80" s="3731"/>
      <c r="O80" s="3727">
        <f t="shared" ca="1" si="123"/>
        <v>0</v>
      </c>
      <c r="P80" s="3727">
        <f t="shared" ref="P80:Z80" ca="1" si="130">$L55*(1+(dpIncome_RentGrowth1*O$20/12))*P41*$M80*$L80</f>
        <v>0</v>
      </c>
      <c r="Q80" s="3727">
        <f t="shared" ca="1" si="130"/>
        <v>0</v>
      </c>
      <c r="R80" s="3727">
        <f t="shared" ca="1" si="130"/>
        <v>0</v>
      </c>
      <c r="S80" s="3727">
        <f t="shared" ca="1" si="130"/>
        <v>0</v>
      </c>
      <c r="T80" s="3727">
        <f t="shared" ca="1" si="130"/>
        <v>0</v>
      </c>
      <c r="U80" s="3727">
        <f t="shared" ca="1" si="130"/>
        <v>0</v>
      </c>
      <c r="V80" s="3727">
        <f t="shared" ca="1" si="130"/>
        <v>0</v>
      </c>
      <c r="W80" s="3727">
        <f t="shared" ca="1" si="130"/>
        <v>0</v>
      </c>
      <c r="X80" s="3727">
        <f t="shared" ca="1" si="130"/>
        <v>0</v>
      </c>
      <c r="Y80" s="3727">
        <f t="shared" ca="1" si="130"/>
        <v>0</v>
      </c>
      <c r="Z80" s="3727">
        <f t="shared" ca="1" si="130"/>
        <v>0</v>
      </c>
      <c r="AA80" s="3727">
        <f t="shared" ca="1" si="117"/>
        <v>0</v>
      </c>
      <c r="AB80" s="3727">
        <f t="shared" ca="1" si="117"/>
        <v>0</v>
      </c>
      <c r="AC80" s="3727">
        <f t="shared" ca="1" si="117"/>
        <v>0</v>
      </c>
      <c r="AD80" s="3727">
        <f t="shared" ca="1" si="117"/>
        <v>0</v>
      </c>
      <c r="AE80" s="3727">
        <f t="shared" ca="1" si="117"/>
        <v>0</v>
      </c>
      <c r="AF80" s="3727">
        <f t="shared" ca="1" si="117"/>
        <v>0</v>
      </c>
      <c r="AG80" s="3727">
        <f t="shared" ca="1" si="117"/>
        <v>0</v>
      </c>
      <c r="AH80" s="3727">
        <f t="shared" ca="1" si="117"/>
        <v>0</v>
      </c>
      <c r="AI80" s="3727">
        <f t="shared" ca="1" si="117"/>
        <v>0</v>
      </c>
      <c r="AJ80" s="3727">
        <f t="shared" ca="1" si="117"/>
        <v>0</v>
      </c>
      <c r="AK80" s="3727">
        <f t="shared" ca="1" si="117"/>
        <v>0</v>
      </c>
      <c r="AL80" s="3727">
        <f t="shared" ca="1" si="117"/>
        <v>0</v>
      </c>
      <c r="AM80" s="3727">
        <f t="shared" ca="1" si="118"/>
        <v>0</v>
      </c>
      <c r="AN80" s="3727">
        <f t="shared" ca="1" si="118"/>
        <v>0</v>
      </c>
      <c r="AO80" s="3727">
        <f t="shared" ca="1" si="118"/>
        <v>0</v>
      </c>
      <c r="AP80" s="3727">
        <f t="shared" ca="1" si="118"/>
        <v>0</v>
      </c>
      <c r="AQ80" s="3727">
        <f t="shared" ca="1" si="118"/>
        <v>0</v>
      </c>
      <c r="AR80" s="3727">
        <f t="shared" ca="1" si="118"/>
        <v>0</v>
      </c>
      <c r="AS80" s="3727">
        <f t="shared" ca="1" si="118"/>
        <v>0</v>
      </c>
      <c r="AT80" s="3727">
        <f t="shared" ca="1" si="118"/>
        <v>0</v>
      </c>
      <c r="AU80" s="3727">
        <f t="shared" ca="1" si="118"/>
        <v>0</v>
      </c>
      <c r="AV80" s="3727">
        <f t="shared" ca="1" si="118"/>
        <v>0</v>
      </c>
      <c r="AW80" s="3727">
        <f t="shared" ca="1" si="118"/>
        <v>0</v>
      </c>
      <c r="AX80" s="3727">
        <f t="shared" ca="1" si="118"/>
        <v>0</v>
      </c>
      <c r="AY80" s="3727">
        <f t="shared" ca="1" si="119"/>
        <v>0</v>
      </c>
      <c r="AZ80" s="3727">
        <f t="shared" ca="1" si="119"/>
        <v>0</v>
      </c>
      <c r="BA80" s="3727">
        <f t="shared" ca="1" si="119"/>
        <v>0</v>
      </c>
      <c r="BB80" s="3727">
        <f t="shared" ca="1" si="119"/>
        <v>0</v>
      </c>
      <c r="BC80" s="3727">
        <f t="shared" ca="1" si="119"/>
        <v>0</v>
      </c>
      <c r="BD80" s="3727">
        <f t="shared" ca="1" si="119"/>
        <v>0</v>
      </c>
      <c r="BE80" s="3727">
        <f t="shared" ca="1" si="119"/>
        <v>0</v>
      </c>
      <c r="BF80" s="3727">
        <f t="shared" ca="1" si="119"/>
        <v>0</v>
      </c>
      <c r="BG80" s="3727">
        <f t="shared" ca="1" si="119"/>
        <v>0</v>
      </c>
      <c r="BH80" s="3727">
        <f t="shared" ca="1" si="119"/>
        <v>0</v>
      </c>
      <c r="BI80" s="3727">
        <f t="shared" ca="1" si="120"/>
        <v>0</v>
      </c>
      <c r="BJ80" s="3727">
        <f t="shared" ca="1" si="120"/>
        <v>0</v>
      </c>
      <c r="BK80" s="3727">
        <f t="shared" ca="1" si="120"/>
        <v>0</v>
      </c>
      <c r="BL80" s="3727">
        <f t="shared" ca="1" si="120"/>
        <v>0</v>
      </c>
      <c r="BM80" s="3727">
        <f t="shared" ca="1" si="120"/>
        <v>0</v>
      </c>
      <c r="BN80" s="3727">
        <f t="shared" ca="1" si="120"/>
        <v>0</v>
      </c>
      <c r="BO80" s="3727">
        <f t="shared" ca="1" si="120"/>
        <v>0</v>
      </c>
      <c r="BP80" s="3727">
        <f t="shared" ca="1" si="120"/>
        <v>0</v>
      </c>
      <c r="BQ80" s="3727">
        <f t="shared" ca="1" si="120"/>
        <v>0</v>
      </c>
      <c r="BR80" s="3727">
        <f t="shared" ca="1" si="120"/>
        <v>0</v>
      </c>
      <c r="BS80" s="3727">
        <f t="shared" ca="1" si="121"/>
        <v>0</v>
      </c>
      <c r="BT80" s="3727">
        <f t="shared" ca="1" si="121"/>
        <v>0</v>
      </c>
      <c r="BU80" s="3727">
        <f t="shared" ca="1" si="121"/>
        <v>0</v>
      </c>
      <c r="BV80" s="3727">
        <f t="shared" ca="1" si="121"/>
        <v>0</v>
      </c>
      <c r="BW80" s="3727">
        <f t="shared" ca="1" si="121"/>
        <v>0</v>
      </c>
      <c r="BX80" s="3727">
        <f t="shared" ca="1" si="121"/>
        <v>0</v>
      </c>
      <c r="BY80" s="3727">
        <f t="shared" ca="1" si="121"/>
        <v>0</v>
      </c>
      <c r="BZ80" s="3727">
        <f t="shared" ca="1" si="121"/>
        <v>0</v>
      </c>
      <c r="CA80" s="3727">
        <f t="shared" ca="1" si="121"/>
        <v>0</v>
      </c>
      <c r="CB80" s="3727">
        <f t="shared" ca="1" si="121"/>
        <v>0</v>
      </c>
      <c r="CC80" s="3727">
        <f t="shared" ca="1" si="122"/>
        <v>0</v>
      </c>
      <c r="CD80" s="3727">
        <f t="shared" ca="1" si="122"/>
        <v>0</v>
      </c>
      <c r="CE80" s="3727">
        <f t="shared" ca="1" si="122"/>
        <v>0</v>
      </c>
      <c r="CF80" s="3727">
        <f t="shared" ca="1" si="122"/>
        <v>0</v>
      </c>
      <c r="CG80" s="3727">
        <f t="shared" ca="1" si="122"/>
        <v>0</v>
      </c>
      <c r="CH80" s="3727">
        <f t="shared" ca="1" si="122"/>
        <v>0</v>
      </c>
      <c r="CI80" s="92"/>
      <c r="CJ80" s="74"/>
      <c r="CK80" s="42"/>
      <c r="CL80" s="42"/>
    </row>
    <row r="81" spans="1:90" x14ac:dyDescent="0.25">
      <c r="A81" s="957">
        <v>1</v>
      </c>
      <c r="B81" s="96"/>
      <c r="C81" s="96"/>
      <c r="D81" s="96"/>
      <c r="E81" s="96"/>
      <c r="F81" s="96"/>
      <c r="G81" s="96"/>
      <c r="H81" s="96"/>
      <c r="I81" s="174"/>
      <c r="J81" s="92"/>
      <c r="K81" s="3472" t="s">
        <v>93</v>
      </c>
      <c r="L81" s="3730"/>
      <c r="M81" s="92"/>
      <c r="N81" s="92"/>
      <c r="O81" s="3728">
        <f t="shared" ref="O81:AT81" ca="1" si="131">SUM(O73:O80)</f>
        <v>0</v>
      </c>
      <c r="P81" s="3728">
        <f t="shared" ca="1" si="131"/>
        <v>0</v>
      </c>
      <c r="Q81" s="3728">
        <f t="shared" ca="1" si="131"/>
        <v>0</v>
      </c>
      <c r="R81" s="3728">
        <f t="shared" ca="1" si="131"/>
        <v>0</v>
      </c>
      <c r="S81" s="3728">
        <f t="shared" ca="1" si="131"/>
        <v>0</v>
      </c>
      <c r="T81" s="3728">
        <f t="shared" ca="1" si="131"/>
        <v>0</v>
      </c>
      <c r="U81" s="3728">
        <f t="shared" ca="1" si="131"/>
        <v>0</v>
      </c>
      <c r="V81" s="3728">
        <f t="shared" ca="1" si="131"/>
        <v>0</v>
      </c>
      <c r="W81" s="3728">
        <f t="shared" ca="1" si="131"/>
        <v>0</v>
      </c>
      <c r="X81" s="3728">
        <f t="shared" ca="1" si="131"/>
        <v>0</v>
      </c>
      <c r="Y81" s="3728">
        <f t="shared" ca="1" si="131"/>
        <v>0</v>
      </c>
      <c r="Z81" s="3728">
        <f t="shared" ca="1" si="131"/>
        <v>0</v>
      </c>
      <c r="AA81" s="3728">
        <f t="shared" ca="1" si="131"/>
        <v>0</v>
      </c>
      <c r="AB81" s="3728">
        <f t="shared" ca="1" si="131"/>
        <v>0</v>
      </c>
      <c r="AC81" s="3728">
        <f t="shared" ca="1" si="131"/>
        <v>0</v>
      </c>
      <c r="AD81" s="3728">
        <f t="shared" ca="1" si="131"/>
        <v>0</v>
      </c>
      <c r="AE81" s="3728">
        <f t="shared" ca="1" si="131"/>
        <v>0</v>
      </c>
      <c r="AF81" s="3728">
        <f t="shared" ca="1" si="131"/>
        <v>0</v>
      </c>
      <c r="AG81" s="3728">
        <f t="shared" ca="1" si="131"/>
        <v>0</v>
      </c>
      <c r="AH81" s="3728">
        <f t="shared" ca="1" si="131"/>
        <v>0</v>
      </c>
      <c r="AI81" s="3728">
        <f t="shared" ca="1" si="131"/>
        <v>0</v>
      </c>
      <c r="AJ81" s="3728">
        <f t="shared" ca="1" si="131"/>
        <v>0</v>
      </c>
      <c r="AK81" s="3728">
        <f t="shared" ca="1" si="131"/>
        <v>0</v>
      </c>
      <c r="AL81" s="3728">
        <f t="shared" ca="1" si="131"/>
        <v>0</v>
      </c>
      <c r="AM81" s="3728">
        <f t="shared" ca="1" si="131"/>
        <v>0</v>
      </c>
      <c r="AN81" s="3728">
        <f t="shared" ca="1" si="131"/>
        <v>0</v>
      </c>
      <c r="AO81" s="3728">
        <f t="shared" ca="1" si="131"/>
        <v>0</v>
      </c>
      <c r="AP81" s="3728">
        <f t="shared" ca="1" si="131"/>
        <v>0</v>
      </c>
      <c r="AQ81" s="3728">
        <f t="shared" ca="1" si="131"/>
        <v>0</v>
      </c>
      <c r="AR81" s="3728">
        <f t="shared" ca="1" si="131"/>
        <v>0</v>
      </c>
      <c r="AS81" s="3728">
        <f t="shared" ca="1" si="131"/>
        <v>0</v>
      </c>
      <c r="AT81" s="3728">
        <f t="shared" ca="1" si="131"/>
        <v>0</v>
      </c>
      <c r="AU81" s="3728">
        <f t="shared" ref="AU81:BZ81" ca="1" si="132">SUM(AU73:AU80)</f>
        <v>0</v>
      </c>
      <c r="AV81" s="3728">
        <f t="shared" ca="1" si="132"/>
        <v>0</v>
      </c>
      <c r="AW81" s="3728">
        <f t="shared" ca="1" si="132"/>
        <v>0</v>
      </c>
      <c r="AX81" s="3728">
        <f t="shared" ca="1" si="132"/>
        <v>0</v>
      </c>
      <c r="AY81" s="3728">
        <f t="shared" ca="1" si="132"/>
        <v>0</v>
      </c>
      <c r="AZ81" s="3728">
        <f t="shared" ca="1" si="132"/>
        <v>0</v>
      </c>
      <c r="BA81" s="3728">
        <f t="shared" ca="1" si="132"/>
        <v>0</v>
      </c>
      <c r="BB81" s="3728">
        <f t="shared" ca="1" si="132"/>
        <v>0</v>
      </c>
      <c r="BC81" s="3728">
        <f t="shared" ca="1" si="132"/>
        <v>0</v>
      </c>
      <c r="BD81" s="3728">
        <f t="shared" ca="1" si="132"/>
        <v>0</v>
      </c>
      <c r="BE81" s="3728">
        <f t="shared" ca="1" si="132"/>
        <v>0</v>
      </c>
      <c r="BF81" s="3728">
        <f t="shared" ca="1" si="132"/>
        <v>0</v>
      </c>
      <c r="BG81" s="3728">
        <f t="shared" ca="1" si="132"/>
        <v>0</v>
      </c>
      <c r="BH81" s="3728">
        <f t="shared" ca="1" si="132"/>
        <v>0</v>
      </c>
      <c r="BI81" s="3728">
        <f t="shared" ca="1" si="132"/>
        <v>0</v>
      </c>
      <c r="BJ81" s="3728">
        <f t="shared" ca="1" si="132"/>
        <v>0</v>
      </c>
      <c r="BK81" s="3728">
        <f t="shared" ca="1" si="132"/>
        <v>0</v>
      </c>
      <c r="BL81" s="3728">
        <f t="shared" ca="1" si="132"/>
        <v>0</v>
      </c>
      <c r="BM81" s="3728">
        <f t="shared" ca="1" si="132"/>
        <v>0</v>
      </c>
      <c r="BN81" s="3728">
        <f t="shared" ca="1" si="132"/>
        <v>0</v>
      </c>
      <c r="BO81" s="3728">
        <f t="shared" ca="1" si="132"/>
        <v>0</v>
      </c>
      <c r="BP81" s="3728">
        <f t="shared" ca="1" si="132"/>
        <v>0</v>
      </c>
      <c r="BQ81" s="3728">
        <f t="shared" ca="1" si="132"/>
        <v>0</v>
      </c>
      <c r="BR81" s="3728">
        <f t="shared" ca="1" si="132"/>
        <v>0</v>
      </c>
      <c r="BS81" s="3728">
        <f t="shared" ca="1" si="132"/>
        <v>0</v>
      </c>
      <c r="BT81" s="3728">
        <f t="shared" ca="1" si="132"/>
        <v>0</v>
      </c>
      <c r="BU81" s="3728">
        <f t="shared" ca="1" si="132"/>
        <v>0</v>
      </c>
      <c r="BV81" s="3728">
        <f t="shared" ca="1" si="132"/>
        <v>0</v>
      </c>
      <c r="BW81" s="3728">
        <f t="shared" ca="1" si="132"/>
        <v>0</v>
      </c>
      <c r="BX81" s="3728">
        <f t="shared" ca="1" si="132"/>
        <v>0</v>
      </c>
      <c r="BY81" s="3728">
        <f t="shared" ca="1" si="132"/>
        <v>0</v>
      </c>
      <c r="BZ81" s="3728">
        <f t="shared" ca="1" si="132"/>
        <v>0</v>
      </c>
      <c r="CA81" s="3728">
        <f t="shared" ref="CA81:CH81" ca="1" si="133">SUM(CA73:CA80)</f>
        <v>0</v>
      </c>
      <c r="CB81" s="3728">
        <f t="shared" ca="1" si="133"/>
        <v>0</v>
      </c>
      <c r="CC81" s="3728">
        <f t="shared" ca="1" si="133"/>
        <v>0</v>
      </c>
      <c r="CD81" s="3728">
        <f t="shared" ca="1" si="133"/>
        <v>0</v>
      </c>
      <c r="CE81" s="3728">
        <f t="shared" ca="1" si="133"/>
        <v>0</v>
      </c>
      <c r="CF81" s="3728">
        <f t="shared" ca="1" si="133"/>
        <v>0</v>
      </c>
      <c r="CG81" s="3728">
        <f t="shared" ca="1" si="133"/>
        <v>0</v>
      </c>
      <c r="CH81" s="3728">
        <f t="shared" ca="1" si="133"/>
        <v>0</v>
      </c>
      <c r="CI81" s="92"/>
      <c r="CJ81" s="74"/>
      <c r="CK81" s="42"/>
      <c r="CL81" s="42"/>
    </row>
    <row r="82" spans="1:90" ht="9.9499999999999993" customHeight="1" x14ac:dyDescent="0.25">
      <c r="A82" s="957">
        <v>1</v>
      </c>
      <c r="B82" s="96"/>
      <c r="C82" s="96"/>
      <c r="D82" s="96"/>
      <c r="E82" s="96"/>
      <c r="F82" s="96"/>
      <c r="G82" s="96"/>
      <c r="H82" s="96"/>
      <c r="I82" s="174"/>
      <c r="J82" s="92"/>
      <c r="K82" s="92"/>
      <c r="L82" s="92"/>
      <c r="M82" s="92"/>
      <c r="N82" s="92"/>
      <c r="O82" s="3256"/>
      <c r="P82" s="3256"/>
      <c r="Q82" s="3256"/>
      <c r="R82" s="3256"/>
      <c r="S82" s="3256"/>
      <c r="T82" s="3256"/>
      <c r="U82" s="3256"/>
      <c r="V82" s="3256"/>
      <c r="W82" s="3256"/>
      <c r="X82" s="3256"/>
      <c r="Y82" s="3256"/>
      <c r="Z82" s="3256"/>
      <c r="AA82" s="3256"/>
      <c r="AB82" s="3256"/>
      <c r="AC82" s="3256"/>
      <c r="AD82" s="3256"/>
      <c r="AE82" s="3256"/>
      <c r="AF82" s="3256"/>
      <c r="AG82" s="3256"/>
      <c r="AH82" s="3256"/>
      <c r="AI82" s="3256"/>
      <c r="AJ82" s="3256"/>
      <c r="AK82" s="3256"/>
      <c r="AL82" s="3256"/>
      <c r="AM82" s="3256"/>
      <c r="AN82" s="3256"/>
      <c r="AO82" s="3256"/>
      <c r="AP82" s="3256"/>
      <c r="AQ82" s="3256"/>
      <c r="AR82" s="3256"/>
      <c r="AS82" s="3256"/>
      <c r="AT82" s="3256"/>
      <c r="AU82" s="3256"/>
      <c r="AV82" s="3256"/>
      <c r="AW82" s="3256"/>
      <c r="AX82" s="3256"/>
      <c r="AY82" s="3256"/>
      <c r="AZ82" s="3256"/>
      <c r="BA82" s="3256"/>
      <c r="BB82" s="3256"/>
      <c r="BC82" s="3256"/>
      <c r="BD82" s="3256"/>
      <c r="BE82" s="3256"/>
      <c r="BF82" s="3256"/>
      <c r="BG82" s="3256"/>
      <c r="BH82" s="3256"/>
      <c r="BI82" s="3256"/>
      <c r="BJ82" s="3256"/>
      <c r="BK82" s="3256"/>
      <c r="BL82" s="3256"/>
      <c r="BM82" s="3256"/>
      <c r="BN82" s="3256"/>
      <c r="BO82" s="3256"/>
      <c r="BP82" s="3256"/>
      <c r="BQ82" s="3256"/>
      <c r="BR82" s="3256"/>
      <c r="BS82" s="3256"/>
      <c r="BT82" s="3256"/>
      <c r="BU82" s="3256"/>
      <c r="BV82" s="3256"/>
      <c r="BW82" s="3256"/>
      <c r="BX82" s="3256"/>
      <c r="BY82" s="3256"/>
      <c r="BZ82" s="3256"/>
      <c r="CA82" s="3256"/>
      <c r="CB82" s="3256"/>
      <c r="CC82" s="3256"/>
      <c r="CD82" s="3256"/>
      <c r="CE82" s="3256"/>
      <c r="CF82" s="3256"/>
      <c r="CG82" s="3256"/>
      <c r="CH82" s="3256"/>
      <c r="CI82" s="92"/>
      <c r="CJ82" s="74"/>
      <c r="CK82" s="42"/>
      <c r="CL82" s="42"/>
    </row>
    <row r="83" spans="1:90" x14ac:dyDescent="0.25">
      <c r="A83" s="957">
        <v>1</v>
      </c>
      <c r="B83" s="96"/>
      <c r="C83" s="96"/>
      <c r="D83" s="96"/>
      <c r="E83" s="96"/>
      <c r="F83" s="96"/>
      <c r="G83" s="96"/>
      <c r="H83" s="96"/>
      <c r="I83" s="174"/>
      <c r="J83" s="92"/>
      <c r="K83" s="3716" t="s">
        <v>452</v>
      </c>
      <c r="L83" s="3730"/>
      <c r="M83" s="92"/>
      <c r="N83" s="92"/>
      <c r="O83" s="3732" t="e">
        <f ca="1">IF(M16-M17&gt;1,0,O56+O59+O70+O81)</f>
        <v>#VALUE!</v>
      </c>
      <c r="P83" s="3732" t="e">
        <f t="shared" ref="P83:AU83" ca="1" si="134">IF(OR(((P31)-(Subject_NRA-$M$17))&lt;1,O83=0),0,P56+P59+P70+P81)</f>
        <v>#VALUE!</v>
      </c>
      <c r="Q83" s="3732" t="e">
        <f t="shared" ca="1" si="134"/>
        <v>#VALUE!</v>
      </c>
      <c r="R83" s="3732" t="e">
        <f t="shared" ca="1" si="134"/>
        <v>#VALUE!</v>
      </c>
      <c r="S83" s="3732" t="e">
        <f t="shared" ca="1" si="134"/>
        <v>#VALUE!</v>
      </c>
      <c r="T83" s="3732" t="e">
        <f t="shared" ca="1" si="134"/>
        <v>#VALUE!</v>
      </c>
      <c r="U83" s="3732" t="e">
        <f t="shared" ca="1" si="134"/>
        <v>#VALUE!</v>
      </c>
      <c r="V83" s="3732" t="e">
        <f t="shared" ca="1" si="134"/>
        <v>#VALUE!</v>
      </c>
      <c r="W83" s="3732" t="e">
        <f t="shared" ca="1" si="134"/>
        <v>#VALUE!</v>
      </c>
      <c r="X83" s="3732" t="e">
        <f t="shared" ca="1" si="134"/>
        <v>#VALUE!</v>
      </c>
      <c r="Y83" s="3732" t="e">
        <f t="shared" ca="1" si="134"/>
        <v>#VALUE!</v>
      </c>
      <c r="Z83" s="3732" t="e">
        <f t="shared" ca="1" si="134"/>
        <v>#VALUE!</v>
      </c>
      <c r="AA83" s="3732" t="e">
        <f t="shared" ca="1" si="134"/>
        <v>#VALUE!</v>
      </c>
      <c r="AB83" s="3732" t="e">
        <f t="shared" ca="1" si="134"/>
        <v>#VALUE!</v>
      </c>
      <c r="AC83" s="3732" t="e">
        <f t="shared" ca="1" si="134"/>
        <v>#VALUE!</v>
      </c>
      <c r="AD83" s="3732" t="e">
        <f t="shared" ca="1" si="134"/>
        <v>#VALUE!</v>
      </c>
      <c r="AE83" s="3732" t="e">
        <f t="shared" ca="1" si="134"/>
        <v>#VALUE!</v>
      </c>
      <c r="AF83" s="3732" t="e">
        <f t="shared" ca="1" si="134"/>
        <v>#VALUE!</v>
      </c>
      <c r="AG83" s="3732" t="e">
        <f t="shared" ca="1" si="134"/>
        <v>#VALUE!</v>
      </c>
      <c r="AH83" s="3732" t="e">
        <f t="shared" ca="1" si="134"/>
        <v>#VALUE!</v>
      </c>
      <c r="AI83" s="3732" t="e">
        <f t="shared" ca="1" si="134"/>
        <v>#VALUE!</v>
      </c>
      <c r="AJ83" s="3732" t="e">
        <f t="shared" ca="1" si="134"/>
        <v>#VALUE!</v>
      </c>
      <c r="AK83" s="3732" t="e">
        <f t="shared" ca="1" si="134"/>
        <v>#VALUE!</v>
      </c>
      <c r="AL83" s="3732" t="e">
        <f t="shared" ca="1" si="134"/>
        <v>#VALUE!</v>
      </c>
      <c r="AM83" s="3732" t="e">
        <f t="shared" ca="1" si="134"/>
        <v>#VALUE!</v>
      </c>
      <c r="AN83" s="3732" t="e">
        <f t="shared" ca="1" si="134"/>
        <v>#VALUE!</v>
      </c>
      <c r="AO83" s="3732" t="e">
        <f t="shared" ca="1" si="134"/>
        <v>#VALUE!</v>
      </c>
      <c r="AP83" s="3732" t="e">
        <f t="shared" ca="1" si="134"/>
        <v>#VALUE!</v>
      </c>
      <c r="AQ83" s="3732" t="e">
        <f t="shared" ca="1" si="134"/>
        <v>#VALUE!</v>
      </c>
      <c r="AR83" s="3732" t="e">
        <f t="shared" ca="1" si="134"/>
        <v>#VALUE!</v>
      </c>
      <c r="AS83" s="3732" t="e">
        <f t="shared" ca="1" si="134"/>
        <v>#VALUE!</v>
      </c>
      <c r="AT83" s="3732" t="e">
        <f t="shared" ca="1" si="134"/>
        <v>#VALUE!</v>
      </c>
      <c r="AU83" s="3732" t="e">
        <f t="shared" ca="1" si="134"/>
        <v>#VALUE!</v>
      </c>
      <c r="AV83" s="3732" t="e">
        <f t="shared" ref="AV83:CA83" ca="1" si="135">IF(OR(((AV31)-(Subject_NRA-$M$17))&lt;1,AU83=0),0,AV56+AV59+AV70+AV81)</f>
        <v>#VALUE!</v>
      </c>
      <c r="AW83" s="3732" t="e">
        <f t="shared" ca="1" si="135"/>
        <v>#VALUE!</v>
      </c>
      <c r="AX83" s="3732" t="e">
        <f t="shared" ca="1" si="135"/>
        <v>#VALUE!</v>
      </c>
      <c r="AY83" s="3732" t="e">
        <f t="shared" ca="1" si="135"/>
        <v>#VALUE!</v>
      </c>
      <c r="AZ83" s="3732" t="e">
        <f t="shared" ca="1" si="135"/>
        <v>#VALUE!</v>
      </c>
      <c r="BA83" s="3732" t="e">
        <f t="shared" ca="1" si="135"/>
        <v>#VALUE!</v>
      </c>
      <c r="BB83" s="3732" t="e">
        <f t="shared" ca="1" si="135"/>
        <v>#VALUE!</v>
      </c>
      <c r="BC83" s="3732" t="e">
        <f t="shared" ca="1" si="135"/>
        <v>#VALUE!</v>
      </c>
      <c r="BD83" s="3732" t="e">
        <f t="shared" ca="1" si="135"/>
        <v>#VALUE!</v>
      </c>
      <c r="BE83" s="3732" t="e">
        <f t="shared" ca="1" si="135"/>
        <v>#VALUE!</v>
      </c>
      <c r="BF83" s="3732" t="e">
        <f t="shared" ca="1" si="135"/>
        <v>#VALUE!</v>
      </c>
      <c r="BG83" s="3732" t="e">
        <f t="shared" ca="1" si="135"/>
        <v>#VALUE!</v>
      </c>
      <c r="BH83" s="3732" t="e">
        <f t="shared" ca="1" si="135"/>
        <v>#VALUE!</v>
      </c>
      <c r="BI83" s="3732" t="e">
        <f t="shared" ca="1" si="135"/>
        <v>#VALUE!</v>
      </c>
      <c r="BJ83" s="3732" t="e">
        <f t="shared" ca="1" si="135"/>
        <v>#VALUE!</v>
      </c>
      <c r="BK83" s="3732" t="e">
        <f t="shared" ca="1" si="135"/>
        <v>#VALUE!</v>
      </c>
      <c r="BL83" s="3732" t="e">
        <f t="shared" ca="1" si="135"/>
        <v>#VALUE!</v>
      </c>
      <c r="BM83" s="3732" t="e">
        <f t="shared" ca="1" si="135"/>
        <v>#VALUE!</v>
      </c>
      <c r="BN83" s="3732" t="e">
        <f t="shared" ca="1" si="135"/>
        <v>#VALUE!</v>
      </c>
      <c r="BO83" s="3732" t="e">
        <f t="shared" ca="1" si="135"/>
        <v>#VALUE!</v>
      </c>
      <c r="BP83" s="3732" t="e">
        <f t="shared" ca="1" si="135"/>
        <v>#VALUE!</v>
      </c>
      <c r="BQ83" s="3732" t="e">
        <f t="shared" ca="1" si="135"/>
        <v>#VALUE!</v>
      </c>
      <c r="BR83" s="3732" t="e">
        <f t="shared" ca="1" si="135"/>
        <v>#VALUE!</v>
      </c>
      <c r="BS83" s="3732" t="e">
        <f t="shared" ca="1" si="135"/>
        <v>#VALUE!</v>
      </c>
      <c r="BT83" s="3732" t="e">
        <f t="shared" ca="1" si="135"/>
        <v>#VALUE!</v>
      </c>
      <c r="BU83" s="3732" t="e">
        <f t="shared" ca="1" si="135"/>
        <v>#VALUE!</v>
      </c>
      <c r="BV83" s="3732" t="e">
        <f t="shared" ca="1" si="135"/>
        <v>#VALUE!</v>
      </c>
      <c r="BW83" s="3732" t="e">
        <f t="shared" ca="1" si="135"/>
        <v>#VALUE!</v>
      </c>
      <c r="BX83" s="3732" t="e">
        <f t="shared" ca="1" si="135"/>
        <v>#VALUE!</v>
      </c>
      <c r="BY83" s="3732" t="e">
        <f t="shared" ca="1" si="135"/>
        <v>#VALUE!</v>
      </c>
      <c r="BZ83" s="3732" t="e">
        <f t="shared" ca="1" si="135"/>
        <v>#VALUE!</v>
      </c>
      <c r="CA83" s="3732" t="e">
        <f t="shared" ca="1" si="135"/>
        <v>#VALUE!</v>
      </c>
      <c r="CB83" s="3732" t="e">
        <f t="shared" ref="CB83:CH83" ca="1" si="136">IF(OR(((CB31)-(Subject_NRA-$M$17))&lt;1,CA83=0),0,CB56+CB59+CB70+CB81)</f>
        <v>#VALUE!</v>
      </c>
      <c r="CC83" s="3732" t="e">
        <f t="shared" ca="1" si="136"/>
        <v>#VALUE!</v>
      </c>
      <c r="CD83" s="3732" t="e">
        <f t="shared" ca="1" si="136"/>
        <v>#VALUE!</v>
      </c>
      <c r="CE83" s="3732" t="e">
        <f t="shared" ca="1" si="136"/>
        <v>#VALUE!</v>
      </c>
      <c r="CF83" s="3732" t="e">
        <f t="shared" ca="1" si="136"/>
        <v>#VALUE!</v>
      </c>
      <c r="CG83" s="3732" t="e">
        <f t="shared" ca="1" si="136"/>
        <v>#VALUE!</v>
      </c>
      <c r="CH83" s="3732" t="e">
        <f t="shared" ca="1" si="136"/>
        <v>#VALUE!</v>
      </c>
      <c r="CI83" s="92"/>
      <c r="CJ83" s="74"/>
      <c r="CK83" s="42"/>
      <c r="CL83" s="42"/>
    </row>
    <row r="84" spans="1:90" x14ac:dyDescent="0.25">
      <c r="A84" s="957">
        <v>1</v>
      </c>
      <c r="B84" s="96"/>
      <c r="C84" s="96"/>
      <c r="D84" s="96"/>
      <c r="E84" s="96"/>
      <c r="F84" s="96"/>
      <c r="G84" s="96"/>
      <c r="H84" s="96"/>
      <c r="I84" s="174"/>
      <c r="J84" s="92"/>
      <c r="K84" s="3733" t="s">
        <v>447</v>
      </c>
      <c r="L84" s="92"/>
      <c r="M84" s="577"/>
      <c r="N84" s="3731"/>
      <c r="O84" s="3734">
        <f t="shared" ref="O84:AT84" si="137">1/(1+$M$84/12)^O20</f>
        <v>1</v>
      </c>
      <c r="P84" s="3734">
        <f t="shared" si="137"/>
        <v>1</v>
      </c>
      <c r="Q84" s="3734">
        <f t="shared" si="137"/>
        <v>1</v>
      </c>
      <c r="R84" s="3734">
        <f t="shared" si="137"/>
        <v>1</v>
      </c>
      <c r="S84" s="3734">
        <f t="shared" si="137"/>
        <v>1</v>
      </c>
      <c r="T84" s="3734">
        <f t="shared" si="137"/>
        <v>1</v>
      </c>
      <c r="U84" s="3734">
        <f t="shared" si="137"/>
        <v>1</v>
      </c>
      <c r="V84" s="3734">
        <f t="shared" si="137"/>
        <v>1</v>
      </c>
      <c r="W84" s="3734">
        <f t="shared" si="137"/>
        <v>1</v>
      </c>
      <c r="X84" s="3734">
        <f t="shared" si="137"/>
        <v>1</v>
      </c>
      <c r="Y84" s="3734">
        <f t="shared" si="137"/>
        <v>1</v>
      </c>
      <c r="Z84" s="3734">
        <f t="shared" si="137"/>
        <v>1</v>
      </c>
      <c r="AA84" s="3734">
        <f t="shared" si="137"/>
        <v>1</v>
      </c>
      <c r="AB84" s="3734">
        <f t="shared" si="137"/>
        <v>1</v>
      </c>
      <c r="AC84" s="3734">
        <f t="shared" si="137"/>
        <v>1</v>
      </c>
      <c r="AD84" s="3734">
        <f t="shared" si="137"/>
        <v>1</v>
      </c>
      <c r="AE84" s="3734">
        <f t="shared" si="137"/>
        <v>1</v>
      </c>
      <c r="AF84" s="3734">
        <f t="shared" si="137"/>
        <v>1</v>
      </c>
      <c r="AG84" s="3734">
        <f t="shared" si="137"/>
        <v>1</v>
      </c>
      <c r="AH84" s="3734">
        <f t="shared" si="137"/>
        <v>1</v>
      </c>
      <c r="AI84" s="3734">
        <f t="shared" si="137"/>
        <v>1</v>
      </c>
      <c r="AJ84" s="3734">
        <f t="shared" si="137"/>
        <v>1</v>
      </c>
      <c r="AK84" s="3734">
        <f t="shared" si="137"/>
        <v>1</v>
      </c>
      <c r="AL84" s="3734">
        <f t="shared" si="137"/>
        <v>1</v>
      </c>
      <c r="AM84" s="3734">
        <f t="shared" si="137"/>
        <v>1</v>
      </c>
      <c r="AN84" s="3734">
        <f t="shared" si="137"/>
        <v>1</v>
      </c>
      <c r="AO84" s="3734">
        <f t="shared" si="137"/>
        <v>1</v>
      </c>
      <c r="AP84" s="3734">
        <f t="shared" si="137"/>
        <v>1</v>
      </c>
      <c r="AQ84" s="3734">
        <f t="shared" si="137"/>
        <v>1</v>
      </c>
      <c r="AR84" s="3734">
        <f t="shared" si="137"/>
        <v>1</v>
      </c>
      <c r="AS84" s="3734">
        <f t="shared" si="137"/>
        <v>1</v>
      </c>
      <c r="AT84" s="3734">
        <f t="shared" si="137"/>
        <v>1</v>
      </c>
      <c r="AU84" s="3734">
        <f t="shared" ref="AU84:BZ84" si="138">1/(1+$M$84/12)^AU20</f>
        <v>1</v>
      </c>
      <c r="AV84" s="3734">
        <f t="shared" si="138"/>
        <v>1</v>
      </c>
      <c r="AW84" s="3734">
        <f t="shared" si="138"/>
        <v>1</v>
      </c>
      <c r="AX84" s="3734">
        <f t="shared" si="138"/>
        <v>1</v>
      </c>
      <c r="AY84" s="3734">
        <f t="shared" si="138"/>
        <v>1</v>
      </c>
      <c r="AZ84" s="3734">
        <f t="shared" si="138"/>
        <v>1</v>
      </c>
      <c r="BA84" s="3734">
        <f t="shared" si="138"/>
        <v>1</v>
      </c>
      <c r="BB84" s="3734">
        <f t="shared" si="138"/>
        <v>1</v>
      </c>
      <c r="BC84" s="3734">
        <f t="shared" si="138"/>
        <v>1</v>
      </c>
      <c r="BD84" s="3734">
        <f t="shared" si="138"/>
        <v>1</v>
      </c>
      <c r="BE84" s="3734">
        <f t="shared" si="138"/>
        <v>1</v>
      </c>
      <c r="BF84" s="3734">
        <f t="shared" si="138"/>
        <v>1</v>
      </c>
      <c r="BG84" s="3734">
        <f t="shared" si="138"/>
        <v>1</v>
      </c>
      <c r="BH84" s="3734">
        <f t="shared" si="138"/>
        <v>1</v>
      </c>
      <c r="BI84" s="3734">
        <f t="shared" si="138"/>
        <v>1</v>
      </c>
      <c r="BJ84" s="3734">
        <f t="shared" si="138"/>
        <v>1</v>
      </c>
      <c r="BK84" s="3734">
        <f t="shared" si="138"/>
        <v>1</v>
      </c>
      <c r="BL84" s="3734">
        <f t="shared" si="138"/>
        <v>1</v>
      </c>
      <c r="BM84" s="3734">
        <f t="shared" si="138"/>
        <v>1</v>
      </c>
      <c r="BN84" s="3734">
        <f t="shared" si="138"/>
        <v>1</v>
      </c>
      <c r="BO84" s="3734">
        <f t="shared" si="138"/>
        <v>1</v>
      </c>
      <c r="BP84" s="3734">
        <f t="shared" si="138"/>
        <v>1</v>
      </c>
      <c r="BQ84" s="3734">
        <f t="shared" si="138"/>
        <v>1</v>
      </c>
      <c r="BR84" s="3734">
        <f t="shared" si="138"/>
        <v>1</v>
      </c>
      <c r="BS84" s="3734">
        <f t="shared" si="138"/>
        <v>1</v>
      </c>
      <c r="BT84" s="3734">
        <f t="shared" si="138"/>
        <v>1</v>
      </c>
      <c r="BU84" s="3734">
        <f t="shared" si="138"/>
        <v>1</v>
      </c>
      <c r="BV84" s="3734">
        <f t="shared" si="138"/>
        <v>1</v>
      </c>
      <c r="BW84" s="3734">
        <f t="shared" si="138"/>
        <v>1</v>
      </c>
      <c r="BX84" s="3734">
        <f t="shared" si="138"/>
        <v>1</v>
      </c>
      <c r="BY84" s="3734">
        <f t="shared" si="138"/>
        <v>1</v>
      </c>
      <c r="BZ84" s="3734">
        <f t="shared" si="138"/>
        <v>1</v>
      </c>
      <c r="CA84" s="3734">
        <f t="shared" ref="CA84:CH84" si="139">1/(1+$M$84/12)^CA20</f>
        <v>1</v>
      </c>
      <c r="CB84" s="3734">
        <f t="shared" si="139"/>
        <v>1</v>
      </c>
      <c r="CC84" s="3734">
        <f t="shared" si="139"/>
        <v>1</v>
      </c>
      <c r="CD84" s="3734">
        <f t="shared" si="139"/>
        <v>1</v>
      </c>
      <c r="CE84" s="3734">
        <f t="shared" si="139"/>
        <v>1</v>
      </c>
      <c r="CF84" s="3734">
        <f t="shared" si="139"/>
        <v>1</v>
      </c>
      <c r="CG84" s="3734">
        <f t="shared" si="139"/>
        <v>1</v>
      </c>
      <c r="CH84" s="3734">
        <f t="shared" si="139"/>
        <v>1</v>
      </c>
      <c r="CI84" s="92"/>
      <c r="CJ84" s="74"/>
      <c r="CK84" s="42"/>
      <c r="CL84" s="42"/>
    </row>
    <row r="85" spans="1:90" x14ac:dyDescent="0.25">
      <c r="A85" s="957">
        <v>1</v>
      </c>
      <c r="B85" s="96"/>
      <c r="C85" s="96"/>
      <c r="D85" s="96"/>
      <c r="E85" s="96"/>
      <c r="F85" s="96"/>
      <c r="G85" s="96"/>
      <c r="H85" s="96"/>
      <c r="I85" s="174"/>
      <c r="J85" s="92"/>
      <c r="K85" s="3177" t="s">
        <v>462</v>
      </c>
      <c r="L85" s="92"/>
      <c r="M85" s="92"/>
      <c r="N85" s="92"/>
      <c r="O85" s="3735" t="e">
        <f t="shared" ref="O85:BZ85" ca="1" si="140">O83*O84</f>
        <v>#VALUE!</v>
      </c>
      <c r="P85" s="3735" t="e">
        <f t="shared" ca="1" si="140"/>
        <v>#VALUE!</v>
      </c>
      <c r="Q85" s="3735" t="e">
        <f t="shared" ca="1" si="140"/>
        <v>#VALUE!</v>
      </c>
      <c r="R85" s="3735" t="e">
        <f t="shared" ca="1" si="140"/>
        <v>#VALUE!</v>
      </c>
      <c r="S85" s="3735" t="e">
        <f t="shared" ca="1" si="140"/>
        <v>#VALUE!</v>
      </c>
      <c r="T85" s="3735" t="e">
        <f t="shared" ca="1" si="140"/>
        <v>#VALUE!</v>
      </c>
      <c r="U85" s="3735" t="e">
        <f t="shared" ca="1" si="140"/>
        <v>#VALUE!</v>
      </c>
      <c r="V85" s="3735" t="e">
        <f t="shared" ca="1" si="140"/>
        <v>#VALUE!</v>
      </c>
      <c r="W85" s="3735" t="e">
        <f t="shared" ca="1" si="140"/>
        <v>#VALUE!</v>
      </c>
      <c r="X85" s="3735" t="e">
        <f t="shared" ca="1" si="140"/>
        <v>#VALUE!</v>
      </c>
      <c r="Y85" s="3735" t="e">
        <f t="shared" ca="1" si="140"/>
        <v>#VALUE!</v>
      </c>
      <c r="Z85" s="3735" t="e">
        <f t="shared" ca="1" si="140"/>
        <v>#VALUE!</v>
      </c>
      <c r="AA85" s="3735" t="e">
        <f t="shared" ca="1" si="140"/>
        <v>#VALUE!</v>
      </c>
      <c r="AB85" s="3735" t="e">
        <f t="shared" ca="1" si="140"/>
        <v>#VALUE!</v>
      </c>
      <c r="AC85" s="3735" t="e">
        <f t="shared" ca="1" si="140"/>
        <v>#VALUE!</v>
      </c>
      <c r="AD85" s="3735" t="e">
        <f t="shared" ca="1" si="140"/>
        <v>#VALUE!</v>
      </c>
      <c r="AE85" s="3735" t="e">
        <f t="shared" ca="1" si="140"/>
        <v>#VALUE!</v>
      </c>
      <c r="AF85" s="3735" t="e">
        <f t="shared" ca="1" si="140"/>
        <v>#VALUE!</v>
      </c>
      <c r="AG85" s="3735" t="e">
        <f t="shared" ca="1" si="140"/>
        <v>#VALUE!</v>
      </c>
      <c r="AH85" s="3735" t="e">
        <f t="shared" ca="1" si="140"/>
        <v>#VALUE!</v>
      </c>
      <c r="AI85" s="3735" t="e">
        <f t="shared" ca="1" si="140"/>
        <v>#VALUE!</v>
      </c>
      <c r="AJ85" s="3735" t="e">
        <f t="shared" ca="1" si="140"/>
        <v>#VALUE!</v>
      </c>
      <c r="AK85" s="3735" t="e">
        <f t="shared" ca="1" si="140"/>
        <v>#VALUE!</v>
      </c>
      <c r="AL85" s="3735" t="e">
        <f t="shared" ca="1" si="140"/>
        <v>#VALUE!</v>
      </c>
      <c r="AM85" s="3735" t="e">
        <f t="shared" ca="1" si="140"/>
        <v>#VALUE!</v>
      </c>
      <c r="AN85" s="3735" t="e">
        <f t="shared" ca="1" si="140"/>
        <v>#VALUE!</v>
      </c>
      <c r="AO85" s="3735" t="e">
        <f t="shared" ca="1" si="140"/>
        <v>#VALUE!</v>
      </c>
      <c r="AP85" s="3735" t="e">
        <f t="shared" ca="1" si="140"/>
        <v>#VALUE!</v>
      </c>
      <c r="AQ85" s="3735" t="e">
        <f t="shared" ca="1" si="140"/>
        <v>#VALUE!</v>
      </c>
      <c r="AR85" s="3735" t="e">
        <f t="shared" ca="1" si="140"/>
        <v>#VALUE!</v>
      </c>
      <c r="AS85" s="3735" t="e">
        <f t="shared" ca="1" si="140"/>
        <v>#VALUE!</v>
      </c>
      <c r="AT85" s="3735" t="e">
        <f t="shared" ca="1" si="140"/>
        <v>#VALUE!</v>
      </c>
      <c r="AU85" s="3735" t="e">
        <f t="shared" ca="1" si="140"/>
        <v>#VALUE!</v>
      </c>
      <c r="AV85" s="3735" t="e">
        <f t="shared" ca="1" si="140"/>
        <v>#VALUE!</v>
      </c>
      <c r="AW85" s="3735" t="e">
        <f t="shared" ca="1" si="140"/>
        <v>#VALUE!</v>
      </c>
      <c r="AX85" s="3735" t="e">
        <f t="shared" ca="1" si="140"/>
        <v>#VALUE!</v>
      </c>
      <c r="AY85" s="3735" t="e">
        <f t="shared" ca="1" si="140"/>
        <v>#VALUE!</v>
      </c>
      <c r="AZ85" s="3735" t="e">
        <f t="shared" ca="1" si="140"/>
        <v>#VALUE!</v>
      </c>
      <c r="BA85" s="3735" t="e">
        <f t="shared" ca="1" si="140"/>
        <v>#VALUE!</v>
      </c>
      <c r="BB85" s="3735" t="e">
        <f t="shared" ca="1" si="140"/>
        <v>#VALUE!</v>
      </c>
      <c r="BC85" s="3735" t="e">
        <f t="shared" ca="1" si="140"/>
        <v>#VALUE!</v>
      </c>
      <c r="BD85" s="3735" t="e">
        <f t="shared" ca="1" si="140"/>
        <v>#VALUE!</v>
      </c>
      <c r="BE85" s="3735" t="e">
        <f t="shared" ca="1" si="140"/>
        <v>#VALUE!</v>
      </c>
      <c r="BF85" s="3735" t="e">
        <f t="shared" ca="1" si="140"/>
        <v>#VALUE!</v>
      </c>
      <c r="BG85" s="3735" t="e">
        <f t="shared" ca="1" si="140"/>
        <v>#VALUE!</v>
      </c>
      <c r="BH85" s="3735" t="e">
        <f t="shared" ca="1" si="140"/>
        <v>#VALUE!</v>
      </c>
      <c r="BI85" s="3735" t="e">
        <f t="shared" ca="1" si="140"/>
        <v>#VALUE!</v>
      </c>
      <c r="BJ85" s="3735" t="e">
        <f t="shared" ca="1" si="140"/>
        <v>#VALUE!</v>
      </c>
      <c r="BK85" s="3735" t="e">
        <f t="shared" ca="1" si="140"/>
        <v>#VALUE!</v>
      </c>
      <c r="BL85" s="3735" t="e">
        <f t="shared" ca="1" si="140"/>
        <v>#VALUE!</v>
      </c>
      <c r="BM85" s="3735" t="e">
        <f t="shared" ca="1" si="140"/>
        <v>#VALUE!</v>
      </c>
      <c r="BN85" s="3735" t="e">
        <f t="shared" ca="1" si="140"/>
        <v>#VALUE!</v>
      </c>
      <c r="BO85" s="3735" t="e">
        <f t="shared" ca="1" si="140"/>
        <v>#VALUE!</v>
      </c>
      <c r="BP85" s="3735" t="e">
        <f t="shared" ca="1" si="140"/>
        <v>#VALUE!</v>
      </c>
      <c r="BQ85" s="3735" t="e">
        <f t="shared" ca="1" si="140"/>
        <v>#VALUE!</v>
      </c>
      <c r="BR85" s="3735" t="e">
        <f t="shared" ca="1" si="140"/>
        <v>#VALUE!</v>
      </c>
      <c r="BS85" s="3735" t="e">
        <f t="shared" ca="1" si="140"/>
        <v>#VALUE!</v>
      </c>
      <c r="BT85" s="3735" t="e">
        <f t="shared" ca="1" si="140"/>
        <v>#VALUE!</v>
      </c>
      <c r="BU85" s="3735" t="e">
        <f t="shared" ca="1" si="140"/>
        <v>#VALUE!</v>
      </c>
      <c r="BV85" s="3735" t="e">
        <f t="shared" ca="1" si="140"/>
        <v>#VALUE!</v>
      </c>
      <c r="BW85" s="3735" t="e">
        <f t="shared" ca="1" si="140"/>
        <v>#VALUE!</v>
      </c>
      <c r="BX85" s="3735" t="e">
        <f t="shared" ca="1" si="140"/>
        <v>#VALUE!</v>
      </c>
      <c r="BY85" s="3735" t="e">
        <f t="shared" ca="1" si="140"/>
        <v>#VALUE!</v>
      </c>
      <c r="BZ85" s="3735" t="e">
        <f t="shared" ca="1" si="140"/>
        <v>#VALUE!</v>
      </c>
      <c r="CA85" s="3735" t="e">
        <f t="shared" ref="CA85:CH85" ca="1" si="141">CA83*CA84</f>
        <v>#VALUE!</v>
      </c>
      <c r="CB85" s="3735" t="e">
        <f t="shared" ca="1" si="141"/>
        <v>#VALUE!</v>
      </c>
      <c r="CC85" s="3735" t="e">
        <f t="shared" ca="1" si="141"/>
        <v>#VALUE!</v>
      </c>
      <c r="CD85" s="3735" t="e">
        <f t="shared" ca="1" si="141"/>
        <v>#VALUE!</v>
      </c>
      <c r="CE85" s="3735" t="e">
        <f t="shared" ca="1" si="141"/>
        <v>#VALUE!</v>
      </c>
      <c r="CF85" s="3735" t="e">
        <f t="shared" ca="1" si="141"/>
        <v>#VALUE!</v>
      </c>
      <c r="CG85" s="3735" t="e">
        <f t="shared" ca="1" si="141"/>
        <v>#VALUE!</v>
      </c>
      <c r="CH85" s="3735" t="e">
        <f t="shared" ca="1" si="141"/>
        <v>#VALUE!</v>
      </c>
      <c r="CI85" s="92"/>
      <c r="CJ85" s="74"/>
      <c r="CK85" s="42"/>
      <c r="CL85" s="42"/>
    </row>
    <row r="86" spans="1:90" ht="9.9499999999999993" customHeight="1" x14ac:dyDescent="0.25">
      <c r="A86" s="957">
        <v>1</v>
      </c>
      <c r="B86" s="96"/>
      <c r="C86" s="96"/>
      <c r="D86" s="96"/>
      <c r="E86" s="96"/>
      <c r="F86" s="96"/>
      <c r="G86" s="96"/>
      <c r="H86" s="96"/>
      <c r="I86" s="174"/>
      <c r="J86" s="92"/>
      <c r="K86" s="92"/>
      <c r="L86" s="92"/>
      <c r="M86" s="92"/>
      <c r="N86" s="92"/>
      <c r="O86" s="3727"/>
      <c r="P86" s="3727"/>
      <c r="Q86" s="3727"/>
      <c r="R86" s="3727"/>
      <c r="S86" s="3727"/>
      <c r="T86" s="3736"/>
      <c r="U86" s="3736"/>
      <c r="V86" s="3736"/>
      <c r="W86" s="3736"/>
      <c r="X86" s="3736"/>
      <c r="Y86" s="3736"/>
      <c r="Z86" s="3736"/>
      <c r="AA86" s="3736"/>
      <c r="AB86" s="3736"/>
      <c r="AC86" s="3736"/>
      <c r="AD86" s="3736"/>
      <c r="AE86" s="3736"/>
      <c r="AF86" s="3736"/>
      <c r="AG86" s="3736"/>
      <c r="AH86" s="3736"/>
      <c r="AI86" s="3736"/>
      <c r="AJ86" s="3736"/>
      <c r="AK86" s="3736"/>
      <c r="AL86" s="3736"/>
      <c r="AM86" s="3736"/>
      <c r="AN86" s="3736"/>
      <c r="AO86" s="3736"/>
      <c r="AP86" s="3736"/>
      <c r="AQ86" s="3736"/>
      <c r="AR86" s="3736"/>
      <c r="AS86" s="3736"/>
      <c r="AT86" s="3736"/>
      <c r="AU86" s="3736"/>
      <c r="AV86" s="3736"/>
      <c r="AW86" s="3736"/>
      <c r="AX86" s="3736"/>
      <c r="AY86" s="3736"/>
      <c r="AZ86" s="3736"/>
      <c r="BA86" s="3736"/>
      <c r="BB86" s="3736"/>
      <c r="BC86" s="3736"/>
      <c r="BD86" s="3736"/>
      <c r="BE86" s="3736"/>
      <c r="BF86" s="3736"/>
      <c r="BG86" s="3736"/>
      <c r="BH86" s="3736"/>
      <c r="BI86" s="3736"/>
      <c r="BJ86" s="3736"/>
      <c r="BK86" s="3736"/>
      <c r="BL86" s="3736"/>
      <c r="BM86" s="3736"/>
      <c r="BN86" s="3736"/>
      <c r="BO86" s="3736"/>
      <c r="BP86" s="3736"/>
      <c r="BQ86" s="3736"/>
      <c r="BR86" s="3736"/>
      <c r="BS86" s="3736"/>
      <c r="BT86" s="3736"/>
      <c r="BU86" s="3736"/>
      <c r="BV86" s="3736"/>
      <c r="BW86" s="3736"/>
      <c r="BX86" s="3736"/>
      <c r="BY86" s="3736"/>
      <c r="BZ86" s="3736"/>
      <c r="CA86" s="3736"/>
      <c r="CB86" s="3736"/>
      <c r="CC86" s="3736"/>
      <c r="CD86" s="3736"/>
      <c r="CE86" s="3736"/>
      <c r="CF86" s="3736"/>
      <c r="CG86" s="3736"/>
      <c r="CH86" s="3736"/>
      <c r="CI86" s="92"/>
      <c r="CJ86" s="74"/>
      <c r="CK86" s="42"/>
      <c r="CL86" s="42"/>
    </row>
    <row r="87" spans="1:90" x14ac:dyDescent="0.25">
      <c r="A87" s="957">
        <v>1</v>
      </c>
      <c r="B87" s="96"/>
      <c r="C87" s="96"/>
      <c r="D87" s="96"/>
      <c r="E87" s="96"/>
      <c r="F87" s="96"/>
      <c r="G87" s="96"/>
      <c r="H87" s="96"/>
      <c r="I87" s="174"/>
      <c r="J87" s="92"/>
      <c r="K87" s="3177" t="s">
        <v>458</v>
      </c>
      <c r="L87" s="3177"/>
      <c r="M87" s="3177"/>
      <c r="N87" s="3177"/>
      <c r="O87" s="3737" t="e">
        <f ca="1">SUM(O85:CH85)</f>
        <v>#VALUE!</v>
      </c>
      <c r="P87" s="3256"/>
      <c r="Q87" s="3256"/>
      <c r="R87" s="3256"/>
      <c r="S87" s="3256"/>
      <c r="T87" s="3726"/>
      <c r="U87" s="3726"/>
      <c r="V87" s="3726"/>
      <c r="W87" s="3726"/>
      <c r="X87" s="3726"/>
      <c r="Y87" s="3726"/>
      <c r="Z87" s="3726"/>
      <c r="AA87" s="3726"/>
      <c r="AB87" s="3726"/>
      <c r="AC87" s="3726"/>
      <c r="AD87" s="3726"/>
      <c r="AE87" s="3726"/>
      <c r="AF87" s="3726"/>
      <c r="AG87" s="3726"/>
      <c r="AH87" s="3726"/>
      <c r="AI87" s="3726"/>
      <c r="AJ87" s="3726"/>
      <c r="AK87" s="3726"/>
      <c r="AL87" s="3726"/>
      <c r="AM87" s="3726"/>
      <c r="AN87" s="3726"/>
      <c r="AO87" s="3726"/>
      <c r="AP87" s="3726"/>
      <c r="AQ87" s="3726"/>
      <c r="AR87" s="3726"/>
      <c r="AS87" s="3726"/>
      <c r="AT87" s="3726"/>
      <c r="AU87" s="3726"/>
      <c r="AV87" s="3726"/>
      <c r="AW87" s="3726"/>
      <c r="AX87" s="3726"/>
      <c r="AY87" s="3726"/>
      <c r="AZ87" s="3726"/>
      <c r="BA87" s="3726"/>
      <c r="BB87" s="3726"/>
      <c r="BC87" s="3726"/>
      <c r="BD87" s="3726"/>
      <c r="BE87" s="3726"/>
      <c r="BF87" s="3726"/>
      <c r="BG87" s="3726"/>
      <c r="BH87" s="3726"/>
      <c r="BI87" s="3726"/>
      <c r="BJ87" s="3726"/>
      <c r="BK87" s="3726"/>
      <c r="BL87" s="3726"/>
      <c r="BM87" s="3726"/>
      <c r="BN87" s="3726"/>
      <c r="BO87" s="3726"/>
      <c r="BP87" s="3726"/>
      <c r="BQ87" s="3726"/>
      <c r="BR87" s="3726"/>
      <c r="BS87" s="3726"/>
      <c r="BT87" s="3726"/>
      <c r="BU87" s="3726"/>
      <c r="BV87" s="3726"/>
      <c r="BW87" s="3726"/>
      <c r="BX87" s="3726"/>
      <c r="BY87" s="3726"/>
      <c r="BZ87" s="3726"/>
      <c r="CA87" s="3726"/>
      <c r="CB87" s="3726"/>
      <c r="CC87" s="3726"/>
      <c r="CD87" s="3726"/>
      <c r="CE87" s="3726"/>
      <c r="CF87" s="3726"/>
      <c r="CG87" s="3726"/>
      <c r="CH87" s="3726"/>
      <c r="CI87" s="92"/>
      <c r="CJ87" s="74"/>
      <c r="CK87" s="42"/>
      <c r="CL87" s="42"/>
    </row>
    <row r="88" spans="1:90" ht="9.9499999999999993" customHeight="1" x14ac:dyDescent="0.25">
      <c r="A88" s="957">
        <v>1</v>
      </c>
      <c r="B88" s="96"/>
      <c r="C88" s="96"/>
      <c r="D88" s="96"/>
      <c r="E88" s="96"/>
      <c r="F88" s="96"/>
      <c r="G88" s="96"/>
      <c r="H88" s="96"/>
      <c r="I88" s="174"/>
      <c r="J88" s="92"/>
      <c r="K88" s="3177"/>
      <c r="L88" s="3177"/>
      <c r="M88" s="3177"/>
      <c r="N88" s="3177"/>
      <c r="O88" s="3735"/>
      <c r="P88" s="3256"/>
      <c r="Q88" s="3256"/>
      <c r="R88" s="3256"/>
      <c r="S88" s="3256"/>
      <c r="T88" s="3726"/>
      <c r="U88" s="3726"/>
      <c r="V88" s="3726"/>
      <c r="W88" s="3726"/>
      <c r="X88" s="3726"/>
      <c r="Y88" s="3726"/>
      <c r="Z88" s="3726"/>
      <c r="AA88" s="3726"/>
      <c r="AB88" s="3726"/>
      <c r="AC88" s="3726"/>
      <c r="AD88" s="3726"/>
      <c r="AE88" s="3726"/>
      <c r="AF88" s="3726"/>
      <c r="AG88" s="3726"/>
      <c r="AH88" s="3726"/>
      <c r="AI88" s="3726"/>
      <c r="AJ88" s="3726"/>
      <c r="AK88" s="3726"/>
      <c r="AL88" s="3726"/>
      <c r="AM88" s="3726"/>
      <c r="AN88" s="3726"/>
      <c r="AO88" s="3726"/>
      <c r="AP88" s="3726"/>
      <c r="AQ88" s="3726"/>
      <c r="AR88" s="3726"/>
      <c r="AS88" s="3726"/>
      <c r="AT88" s="3726"/>
      <c r="AU88" s="3726"/>
      <c r="AV88" s="3726"/>
      <c r="AW88" s="3726"/>
      <c r="AX88" s="3726"/>
      <c r="AY88" s="3726"/>
      <c r="AZ88" s="3726"/>
      <c r="BA88" s="3726"/>
      <c r="BB88" s="3726"/>
      <c r="BC88" s="3726"/>
      <c r="BD88" s="3726"/>
      <c r="BE88" s="3726"/>
      <c r="BF88" s="3726"/>
      <c r="BG88" s="3726"/>
      <c r="BH88" s="3726"/>
      <c r="BI88" s="3726"/>
      <c r="BJ88" s="3726"/>
      <c r="BK88" s="3726"/>
      <c r="BL88" s="3726"/>
      <c r="BM88" s="3726"/>
      <c r="BN88" s="3726"/>
      <c r="BO88" s="3726"/>
      <c r="BP88" s="3726"/>
      <c r="BQ88" s="3726"/>
      <c r="BR88" s="3726"/>
      <c r="BS88" s="3726"/>
      <c r="BT88" s="3726"/>
      <c r="BU88" s="3726"/>
      <c r="BV88" s="3726"/>
      <c r="BW88" s="3726"/>
      <c r="BX88" s="3726"/>
      <c r="BY88" s="3726"/>
      <c r="BZ88" s="3726"/>
      <c r="CA88" s="3726"/>
      <c r="CB88" s="3726"/>
      <c r="CC88" s="3726"/>
      <c r="CD88" s="3726"/>
      <c r="CE88" s="3726"/>
      <c r="CF88" s="3726"/>
      <c r="CG88" s="3726"/>
      <c r="CH88" s="3726"/>
      <c r="CI88" s="92"/>
      <c r="CJ88" s="74"/>
      <c r="CK88" s="42"/>
      <c r="CL88" s="42"/>
    </row>
    <row r="89" spans="1:90" x14ac:dyDescent="0.25">
      <c r="A89" s="957">
        <v>1</v>
      </c>
      <c r="B89" s="96"/>
      <c r="C89" s="96"/>
      <c r="D89" s="96"/>
      <c r="E89" s="96"/>
      <c r="F89" s="96"/>
      <c r="G89" s="96"/>
      <c r="H89" s="96"/>
      <c r="I89" s="174"/>
      <c r="J89" s="92"/>
      <c r="K89" s="3177" t="s">
        <v>457</v>
      </c>
      <c r="L89" s="3177"/>
      <c r="M89" s="778">
        <v>0.1</v>
      </c>
      <c r="N89" s="3177"/>
      <c r="O89" s="3738" t="e">
        <f ca="1">dpValue_LUD_ProfitIncentive*O87</f>
        <v>#VALUE!</v>
      </c>
      <c r="P89" s="3256"/>
      <c r="Q89" s="3256"/>
      <c r="R89" s="3256"/>
      <c r="S89" s="3256"/>
      <c r="T89" s="3726"/>
      <c r="U89" s="3726"/>
      <c r="V89" s="3726"/>
      <c r="W89" s="3726"/>
      <c r="X89" s="3726"/>
      <c r="Y89" s="3726"/>
      <c r="Z89" s="3726"/>
      <c r="AA89" s="3726"/>
      <c r="AB89" s="3726"/>
      <c r="AC89" s="3726"/>
      <c r="AD89" s="3726"/>
      <c r="AE89" s="3726"/>
      <c r="AF89" s="3726"/>
      <c r="AG89" s="3726"/>
      <c r="AH89" s="3726"/>
      <c r="AI89" s="3726"/>
      <c r="AJ89" s="3726"/>
      <c r="AK89" s="3726"/>
      <c r="AL89" s="3726"/>
      <c r="AM89" s="3726"/>
      <c r="AN89" s="3726"/>
      <c r="AO89" s="3726"/>
      <c r="AP89" s="3726"/>
      <c r="AQ89" s="3726"/>
      <c r="AR89" s="3726"/>
      <c r="AS89" s="3726"/>
      <c r="AT89" s="3726"/>
      <c r="AU89" s="3726"/>
      <c r="AV89" s="3726"/>
      <c r="AW89" s="3726"/>
      <c r="AX89" s="3726"/>
      <c r="AY89" s="3726"/>
      <c r="AZ89" s="3726"/>
      <c r="BA89" s="3726"/>
      <c r="BB89" s="3726"/>
      <c r="BC89" s="3726"/>
      <c r="BD89" s="3726"/>
      <c r="BE89" s="3726"/>
      <c r="BF89" s="3726"/>
      <c r="BG89" s="3726"/>
      <c r="BH89" s="3726"/>
      <c r="BI89" s="3726"/>
      <c r="BJ89" s="3726"/>
      <c r="BK89" s="3726"/>
      <c r="BL89" s="3726"/>
      <c r="BM89" s="3726"/>
      <c r="BN89" s="3726"/>
      <c r="BO89" s="3726"/>
      <c r="BP89" s="3726"/>
      <c r="BQ89" s="3726"/>
      <c r="BR89" s="3726"/>
      <c r="BS89" s="3726"/>
      <c r="BT89" s="3726"/>
      <c r="BU89" s="3726"/>
      <c r="BV89" s="3726"/>
      <c r="BW89" s="3726"/>
      <c r="BX89" s="3726"/>
      <c r="BY89" s="3726"/>
      <c r="BZ89" s="3726"/>
      <c r="CA89" s="3726"/>
      <c r="CB89" s="3726"/>
      <c r="CC89" s="3726"/>
      <c r="CD89" s="3726"/>
      <c r="CE89" s="3726"/>
      <c r="CF89" s="3726"/>
      <c r="CG89" s="3726"/>
      <c r="CH89" s="3726"/>
      <c r="CI89" s="92"/>
      <c r="CJ89" s="74"/>
      <c r="CK89" s="42"/>
      <c r="CL89" s="42"/>
    </row>
    <row r="90" spans="1:90" ht="5.0999999999999996" customHeight="1" x14ac:dyDescent="0.25">
      <c r="A90" s="957">
        <v>1</v>
      </c>
      <c r="B90" s="96"/>
      <c r="C90" s="96"/>
      <c r="D90" s="96"/>
      <c r="E90" s="96"/>
      <c r="F90" s="96"/>
      <c r="G90" s="96"/>
      <c r="H90" s="96"/>
      <c r="I90" s="174"/>
      <c r="J90" s="92"/>
      <c r="K90" s="3177"/>
      <c r="L90" s="3177"/>
      <c r="M90" s="3177"/>
      <c r="N90" s="3177"/>
      <c r="O90" s="3735"/>
      <c r="P90" s="3256"/>
      <c r="Q90" s="3256"/>
      <c r="R90" s="3256"/>
      <c r="S90" s="3256"/>
      <c r="T90" s="3726"/>
      <c r="U90" s="3726"/>
      <c r="V90" s="3726"/>
      <c r="W90" s="3726"/>
      <c r="X90" s="3726"/>
      <c r="Y90" s="3726"/>
      <c r="Z90" s="3726"/>
      <c r="AA90" s="3726"/>
      <c r="AB90" s="3726"/>
      <c r="AC90" s="3726"/>
      <c r="AD90" s="3726"/>
      <c r="AE90" s="3726"/>
      <c r="AF90" s="3726"/>
      <c r="AG90" s="3726"/>
      <c r="AH90" s="3726"/>
      <c r="AI90" s="3726"/>
      <c r="AJ90" s="3726"/>
      <c r="AK90" s="3726"/>
      <c r="AL90" s="3726"/>
      <c r="AM90" s="3726"/>
      <c r="AN90" s="3726"/>
      <c r="AO90" s="3726"/>
      <c r="AP90" s="3726"/>
      <c r="AQ90" s="3726"/>
      <c r="AR90" s="3726"/>
      <c r="AS90" s="3726"/>
      <c r="AT90" s="3726"/>
      <c r="AU90" s="3726"/>
      <c r="AV90" s="3726"/>
      <c r="AW90" s="3726"/>
      <c r="AX90" s="3726"/>
      <c r="AY90" s="3726"/>
      <c r="AZ90" s="3726"/>
      <c r="BA90" s="3726"/>
      <c r="BB90" s="3726"/>
      <c r="BC90" s="3726"/>
      <c r="BD90" s="3726"/>
      <c r="BE90" s="3726"/>
      <c r="BF90" s="3726"/>
      <c r="BG90" s="3726"/>
      <c r="BH90" s="3726"/>
      <c r="BI90" s="3726"/>
      <c r="BJ90" s="3726"/>
      <c r="BK90" s="3726"/>
      <c r="BL90" s="3726"/>
      <c r="BM90" s="3726"/>
      <c r="BN90" s="3726"/>
      <c r="BO90" s="3726"/>
      <c r="BP90" s="3726"/>
      <c r="BQ90" s="3726"/>
      <c r="BR90" s="3726"/>
      <c r="BS90" s="3726"/>
      <c r="BT90" s="3726"/>
      <c r="BU90" s="3726"/>
      <c r="BV90" s="3726"/>
      <c r="BW90" s="3726"/>
      <c r="BX90" s="3726"/>
      <c r="BY90" s="3726"/>
      <c r="BZ90" s="3726"/>
      <c r="CA90" s="3726"/>
      <c r="CB90" s="3726"/>
      <c r="CC90" s="3726"/>
      <c r="CD90" s="3726"/>
      <c r="CE90" s="3726"/>
      <c r="CF90" s="3726"/>
      <c r="CG90" s="3726"/>
      <c r="CH90" s="3726"/>
      <c r="CI90" s="92"/>
      <c r="CJ90" s="74"/>
      <c r="CK90" s="42"/>
      <c r="CL90" s="42"/>
    </row>
    <row r="91" spans="1:90" ht="15" thickBot="1" x14ac:dyDescent="0.3">
      <c r="A91" s="957">
        <v>1</v>
      </c>
      <c r="B91" s="96"/>
      <c r="C91" s="96"/>
      <c r="D91" s="96"/>
      <c r="E91" s="96"/>
      <c r="F91" s="96"/>
      <c r="G91" s="96"/>
      <c r="H91" s="96"/>
      <c r="I91" s="174"/>
      <c r="J91" s="92"/>
      <c r="K91" s="3532" t="s">
        <v>1115</v>
      </c>
      <c r="L91" s="3532"/>
      <c r="M91" s="3532"/>
      <c r="N91" s="3532"/>
      <c r="O91" s="3739" t="e">
        <f ca="1">MROUND(O87+O89,INDEX(Rounding_Options,MATCH(O103,Rounding_Label,0),2))</f>
        <v>#VALUE!</v>
      </c>
      <c r="P91" s="3332"/>
      <c r="Q91" s="3332"/>
      <c r="R91" s="3332"/>
      <c r="S91" s="3332"/>
      <c r="T91" s="3740"/>
      <c r="U91" s="3740"/>
      <c r="V91" s="3740"/>
      <c r="W91" s="3740"/>
      <c r="X91" s="3740"/>
      <c r="Y91" s="3740"/>
      <c r="Z91" s="3740"/>
      <c r="AA91" s="3740"/>
      <c r="AB91" s="3740"/>
      <c r="AC91" s="3740"/>
      <c r="AD91" s="3740"/>
      <c r="AE91" s="3740"/>
      <c r="AF91" s="3740"/>
      <c r="AG91" s="3740"/>
      <c r="AH91" s="3740"/>
      <c r="AI91" s="3740"/>
      <c r="AJ91" s="3740"/>
      <c r="AK91" s="3740"/>
      <c r="AL91" s="3740"/>
      <c r="AM91" s="3740"/>
      <c r="AN91" s="3740"/>
      <c r="AO91" s="3740"/>
      <c r="AP91" s="3740"/>
      <c r="AQ91" s="3740"/>
      <c r="AR91" s="3740"/>
      <c r="AS91" s="3740"/>
      <c r="AT91" s="3740"/>
      <c r="AU91" s="3740"/>
      <c r="AV91" s="3740"/>
      <c r="AW91" s="3740"/>
      <c r="AX91" s="3740"/>
      <c r="AY91" s="3740"/>
      <c r="AZ91" s="3740"/>
      <c r="BA91" s="3740"/>
      <c r="BB91" s="3740"/>
      <c r="BC91" s="3740"/>
      <c r="BD91" s="3740"/>
      <c r="BE91" s="3740"/>
      <c r="BF91" s="3740"/>
      <c r="BG91" s="3740"/>
      <c r="BH91" s="3740"/>
      <c r="BI91" s="3740"/>
      <c r="BJ91" s="3740"/>
      <c r="BK91" s="3740"/>
      <c r="BL91" s="3740"/>
      <c r="BM91" s="3740"/>
      <c r="BN91" s="3740"/>
      <c r="BO91" s="3740"/>
      <c r="BP91" s="3740"/>
      <c r="BQ91" s="3740"/>
      <c r="BR91" s="3740"/>
      <c r="BS91" s="3740"/>
      <c r="BT91" s="3740"/>
      <c r="BU91" s="3740"/>
      <c r="BV91" s="3740"/>
      <c r="BW91" s="3740"/>
      <c r="BX91" s="3740"/>
      <c r="BY91" s="3740"/>
      <c r="BZ91" s="3740"/>
      <c r="CA91" s="3740"/>
      <c r="CB91" s="3740"/>
      <c r="CC91" s="3740"/>
      <c r="CD91" s="3740"/>
      <c r="CE91" s="3740"/>
      <c r="CF91" s="3740"/>
      <c r="CG91" s="3740"/>
      <c r="CH91" s="3740"/>
      <c r="CI91" s="92"/>
      <c r="CJ91" s="74"/>
      <c r="CK91" s="42"/>
      <c r="CL91" s="42"/>
    </row>
    <row r="92" spans="1:90" x14ac:dyDescent="0.25">
      <c r="A92" s="96"/>
      <c r="B92" s="96"/>
      <c r="C92" s="96"/>
      <c r="D92" s="96"/>
      <c r="E92" s="96"/>
      <c r="F92" s="96"/>
      <c r="G92" s="96"/>
      <c r="H92" s="96"/>
      <c r="I92" s="174"/>
      <c r="J92" s="18"/>
      <c r="K92" s="556" t="s">
        <v>1116</v>
      </c>
      <c r="L92" s="116"/>
      <c r="M92" s="116"/>
      <c r="N92" s="116"/>
      <c r="O92" s="1634"/>
      <c r="P92" s="1020"/>
      <c r="Q92" s="1020"/>
      <c r="R92" s="1020"/>
      <c r="S92" s="1020"/>
      <c r="T92" s="1635"/>
      <c r="U92" s="1635"/>
      <c r="V92" s="1635"/>
      <c r="W92" s="1635"/>
      <c r="X92" s="1635"/>
      <c r="Y92" s="1635"/>
      <c r="Z92" s="1635"/>
      <c r="AA92" s="1635"/>
      <c r="AB92" s="1635"/>
      <c r="AC92" s="1635"/>
      <c r="AD92" s="1635"/>
      <c r="AE92" s="1635"/>
      <c r="AF92" s="1635"/>
      <c r="AG92" s="1635"/>
      <c r="AH92" s="1635"/>
      <c r="AI92" s="1635"/>
      <c r="AJ92" s="1635"/>
      <c r="AK92" s="1635"/>
      <c r="AL92" s="1635"/>
      <c r="AM92" s="1635"/>
      <c r="AN92" s="1635"/>
      <c r="AO92" s="1635"/>
      <c r="AP92" s="1635"/>
      <c r="AQ92" s="1635"/>
      <c r="AR92" s="1635"/>
      <c r="AS92" s="1635"/>
      <c r="AT92" s="1635"/>
      <c r="AU92" s="1635"/>
      <c r="AV92" s="1635"/>
      <c r="AW92" s="1635"/>
      <c r="AX92" s="1635"/>
      <c r="AY92" s="1635"/>
      <c r="AZ92" s="1635"/>
      <c r="BA92" s="1635"/>
      <c r="BB92" s="1635"/>
      <c r="BC92" s="1635"/>
      <c r="BD92" s="1635"/>
      <c r="BE92" s="1635"/>
      <c r="BF92" s="1635"/>
      <c r="BG92" s="1635"/>
      <c r="BH92" s="1635"/>
      <c r="BI92" s="1635"/>
      <c r="BJ92" s="1635"/>
      <c r="BK92" s="1635"/>
      <c r="BL92" s="1635"/>
      <c r="BM92" s="1635"/>
      <c r="BN92" s="1635"/>
      <c r="BO92" s="1635"/>
      <c r="BP92" s="1635"/>
      <c r="BQ92" s="1635"/>
      <c r="BR92" s="1635"/>
      <c r="BS92" s="1635"/>
      <c r="BT92" s="1635"/>
      <c r="BU92" s="1635"/>
      <c r="BV92" s="1635"/>
      <c r="BW92" s="1635"/>
      <c r="BX92" s="1635"/>
      <c r="BY92" s="1635"/>
      <c r="BZ92" s="1635"/>
      <c r="CA92" s="1635"/>
      <c r="CB92" s="1635"/>
      <c r="CC92" s="1635"/>
      <c r="CD92" s="1635"/>
      <c r="CE92" s="1635"/>
      <c r="CF92" s="1635"/>
      <c r="CG92" s="1635"/>
      <c r="CH92" s="1635"/>
      <c r="CI92" s="18"/>
      <c r="CJ92" s="74"/>
      <c r="CK92" s="42"/>
      <c r="CL92" s="42"/>
    </row>
    <row r="93" spans="1:90" ht="9.9499999999999993" customHeight="1" thickBot="1" x14ac:dyDescent="0.3">
      <c r="A93" s="96"/>
      <c r="B93" s="96"/>
      <c r="C93" s="96"/>
      <c r="D93" s="96"/>
      <c r="E93" s="96"/>
      <c r="F93" s="96"/>
      <c r="G93" s="96"/>
      <c r="H93" s="96"/>
      <c r="I93" s="174"/>
      <c r="J93" s="18"/>
      <c r="K93" s="116"/>
      <c r="L93" s="116"/>
      <c r="M93" s="116"/>
      <c r="N93" s="116"/>
      <c r="O93" s="1636"/>
      <c r="P93" s="836"/>
      <c r="Q93" s="836"/>
      <c r="R93" s="836"/>
      <c r="S93" s="836"/>
      <c r="T93" s="1637"/>
      <c r="U93" s="1637"/>
      <c r="V93" s="1637"/>
      <c r="W93" s="1637"/>
      <c r="X93" s="1637"/>
      <c r="Y93" s="1637"/>
      <c r="Z93" s="1637"/>
      <c r="AA93" s="1637"/>
      <c r="AB93" s="1637"/>
      <c r="AC93" s="1637"/>
      <c r="AD93" s="1637"/>
      <c r="AE93" s="1637"/>
      <c r="AF93" s="1637"/>
      <c r="AG93" s="1637"/>
      <c r="AH93" s="1637"/>
      <c r="AI93" s="1637"/>
      <c r="AJ93" s="1637"/>
      <c r="AK93" s="1637"/>
      <c r="AL93" s="1637"/>
      <c r="AM93" s="1637"/>
      <c r="AN93" s="1637"/>
      <c r="AO93" s="1637"/>
      <c r="AP93" s="1637"/>
      <c r="AQ93" s="1637"/>
      <c r="AR93" s="1637"/>
      <c r="AS93" s="1637"/>
      <c r="AT93" s="1637"/>
      <c r="AU93" s="1637"/>
      <c r="AV93" s="1637"/>
      <c r="AW93" s="1637"/>
      <c r="AX93" s="1637"/>
      <c r="AY93" s="1637"/>
      <c r="AZ93" s="1637"/>
      <c r="BA93" s="1637"/>
      <c r="BB93" s="1637"/>
      <c r="BC93" s="1637"/>
      <c r="BD93" s="1637"/>
      <c r="BE93" s="1637"/>
      <c r="BF93" s="1637"/>
      <c r="BG93" s="1637"/>
      <c r="BH93" s="1637"/>
      <c r="BI93" s="1637"/>
      <c r="BJ93" s="1637"/>
      <c r="BK93" s="1637"/>
      <c r="BL93" s="1637"/>
      <c r="BM93" s="1637"/>
      <c r="BN93" s="1637"/>
      <c r="BO93" s="1637"/>
      <c r="BP93" s="1637"/>
      <c r="BQ93" s="1637"/>
      <c r="BR93" s="1637"/>
      <c r="BS93" s="1637"/>
      <c r="BT93" s="1637"/>
      <c r="BU93" s="1637"/>
      <c r="BV93" s="1637"/>
      <c r="BW93" s="1637"/>
      <c r="BX93" s="1637"/>
      <c r="BY93" s="1637"/>
      <c r="BZ93" s="1637"/>
      <c r="CA93" s="1637"/>
      <c r="CB93" s="1637"/>
      <c r="CC93" s="1637"/>
      <c r="CD93" s="1637"/>
      <c r="CE93" s="1637"/>
      <c r="CF93" s="1637"/>
      <c r="CG93" s="1637"/>
      <c r="CH93" s="1637"/>
      <c r="CI93" s="18"/>
      <c r="CJ93" s="74"/>
      <c r="CK93" s="42"/>
      <c r="CL93" s="42"/>
    </row>
    <row r="94" spans="1:90" ht="15" thickBot="1" x14ac:dyDescent="0.3">
      <c r="A94" s="96"/>
      <c r="B94" s="96"/>
      <c r="C94" s="96"/>
      <c r="D94" s="96"/>
      <c r="E94" s="96"/>
      <c r="F94" s="96"/>
      <c r="G94" s="96"/>
      <c r="H94" s="96"/>
      <c r="I94" s="215"/>
      <c r="J94" s="215"/>
      <c r="K94" s="578"/>
      <c r="L94" s="578"/>
      <c r="M94" s="578"/>
      <c r="N94" s="578"/>
      <c r="O94" s="971">
        <f ca="1">IF(ISERR(O85)=TRUE,0,IF(O85&lt;1,0,1))</f>
        <v>0</v>
      </c>
      <c r="P94" s="971">
        <f t="shared" ref="P94:CA94" ca="1" si="142">IF(ISERR(P85)=TRUE,0,IF(P85&lt;1,0,1))</f>
        <v>0</v>
      </c>
      <c r="Q94" s="971">
        <f t="shared" ca="1" si="142"/>
        <v>0</v>
      </c>
      <c r="R94" s="971">
        <f t="shared" ca="1" si="142"/>
        <v>0</v>
      </c>
      <c r="S94" s="971">
        <f t="shared" ca="1" si="142"/>
        <v>0</v>
      </c>
      <c r="T94" s="971">
        <f t="shared" ca="1" si="142"/>
        <v>0</v>
      </c>
      <c r="U94" s="971">
        <f t="shared" ca="1" si="142"/>
        <v>0</v>
      </c>
      <c r="V94" s="971">
        <f t="shared" ca="1" si="142"/>
        <v>0</v>
      </c>
      <c r="W94" s="971">
        <f t="shared" ca="1" si="142"/>
        <v>0</v>
      </c>
      <c r="X94" s="971">
        <f t="shared" ca="1" si="142"/>
        <v>0</v>
      </c>
      <c r="Y94" s="971">
        <f t="shared" ca="1" si="142"/>
        <v>0</v>
      </c>
      <c r="Z94" s="971">
        <f t="shared" ca="1" si="142"/>
        <v>0</v>
      </c>
      <c r="AA94" s="971">
        <f t="shared" ca="1" si="142"/>
        <v>0</v>
      </c>
      <c r="AB94" s="971">
        <f t="shared" ca="1" si="142"/>
        <v>0</v>
      </c>
      <c r="AC94" s="971">
        <f t="shared" ca="1" si="142"/>
        <v>0</v>
      </c>
      <c r="AD94" s="971">
        <f t="shared" ca="1" si="142"/>
        <v>0</v>
      </c>
      <c r="AE94" s="971">
        <f t="shared" ca="1" si="142"/>
        <v>0</v>
      </c>
      <c r="AF94" s="971">
        <f t="shared" ca="1" si="142"/>
        <v>0</v>
      </c>
      <c r="AG94" s="971">
        <f t="shared" ca="1" si="142"/>
        <v>0</v>
      </c>
      <c r="AH94" s="971">
        <f t="shared" ca="1" si="142"/>
        <v>0</v>
      </c>
      <c r="AI94" s="971">
        <f t="shared" ca="1" si="142"/>
        <v>0</v>
      </c>
      <c r="AJ94" s="971">
        <f t="shared" ca="1" si="142"/>
        <v>0</v>
      </c>
      <c r="AK94" s="971">
        <f t="shared" ca="1" si="142"/>
        <v>0</v>
      </c>
      <c r="AL94" s="971">
        <f t="shared" ca="1" si="142"/>
        <v>0</v>
      </c>
      <c r="AM94" s="971">
        <f t="shared" ca="1" si="142"/>
        <v>0</v>
      </c>
      <c r="AN94" s="971">
        <f t="shared" ca="1" si="142"/>
        <v>0</v>
      </c>
      <c r="AO94" s="971">
        <f t="shared" ca="1" si="142"/>
        <v>0</v>
      </c>
      <c r="AP94" s="971">
        <f t="shared" ca="1" si="142"/>
        <v>0</v>
      </c>
      <c r="AQ94" s="971">
        <f t="shared" ca="1" si="142"/>
        <v>0</v>
      </c>
      <c r="AR94" s="971">
        <f t="shared" ca="1" si="142"/>
        <v>0</v>
      </c>
      <c r="AS94" s="971">
        <f t="shared" ca="1" si="142"/>
        <v>0</v>
      </c>
      <c r="AT94" s="971">
        <f t="shared" ca="1" si="142"/>
        <v>0</v>
      </c>
      <c r="AU94" s="971">
        <f t="shared" ca="1" si="142"/>
        <v>0</v>
      </c>
      <c r="AV94" s="971">
        <f t="shared" ca="1" si="142"/>
        <v>0</v>
      </c>
      <c r="AW94" s="971">
        <f t="shared" ca="1" si="142"/>
        <v>0</v>
      </c>
      <c r="AX94" s="971">
        <f t="shared" ca="1" si="142"/>
        <v>0</v>
      </c>
      <c r="AY94" s="971">
        <f t="shared" ca="1" si="142"/>
        <v>0</v>
      </c>
      <c r="AZ94" s="971">
        <f t="shared" ca="1" si="142"/>
        <v>0</v>
      </c>
      <c r="BA94" s="971">
        <f t="shared" ca="1" si="142"/>
        <v>0</v>
      </c>
      <c r="BB94" s="971">
        <f t="shared" ca="1" si="142"/>
        <v>0</v>
      </c>
      <c r="BC94" s="971">
        <f t="shared" ca="1" si="142"/>
        <v>0</v>
      </c>
      <c r="BD94" s="971">
        <f t="shared" ca="1" si="142"/>
        <v>0</v>
      </c>
      <c r="BE94" s="971">
        <f t="shared" ca="1" si="142"/>
        <v>0</v>
      </c>
      <c r="BF94" s="971">
        <f t="shared" ca="1" si="142"/>
        <v>0</v>
      </c>
      <c r="BG94" s="971">
        <f t="shared" ca="1" si="142"/>
        <v>0</v>
      </c>
      <c r="BH94" s="971">
        <f t="shared" ca="1" si="142"/>
        <v>0</v>
      </c>
      <c r="BI94" s="971">
        <f t="shared" ca="1" si="142"/>
        <v>0</v>
      </c>
      <c r="BJ94" s="971">
        <f t="shared" ca="1" si="142"/>
        <v>0</v>
      </c>
      <c r="BK94" s="971">
        <f t="shared" ca="1" si="142"/>
        <v>0</v>
      </c>
      <c r="BL94" s="971">
        <f t="shared" ca="1" si="142"/>
        <v>0</v>
      </c>
      <c r="BM94" s="971">
        <f t="shared" ca="1" si="142"/>
        <v>0</v>
      </c>
      <c r="BN94" s="971">
        <f t="shared" ca="1" si="142"/>
        <v>0</v>
      </c>
      <c r="BO94" s="971">
        <f t="shared" ca="1" si="142"/>
        <v>0</v>
      </c>
      <c r="BP94" s="971">
        <f t="shared" ca="1" si="142"/>
        <v>0</v>
      </c>
      <c r="BQ94" s="971">
        <f t="shared" ca="1" si="142"/>
        <v>0</v>
      </c>
      <c r="BR94" s="971">
        <f t="shared" ca="1" si="142"/>
        <v>0</v>
      </c>
      <c r="BS94" s="971">
        <f t="shared" ca="1" si="142"/>
        <v>0</v>
      </c>
      <c r="BT94" s="971">
        <f t="shared" ca="1" si="142"/>
        <v>0</v>
      </c>
      <c r="BU94" s="971">
        <f t="shared" ca="1" si="142"/>
        <v>0</v>
      </c>
      <c r="BV94" s="971">
        <f t="shared" ca="1" si="142"/>
        <v>0</v>
      </c>
      <c r="BW94" s="971">
        <f t="shared" ca="1" si="142"/>
        <v>0</v>
      </c>
      <c r="BX94" s="971">
        <f t="shared" ca="1" si="142"/>
        <v>0</v>
      </c>
      <c r="BY94" s="971">
        <f t="shared" ca="1" si="142"/>
        <v>0</v>
      </c>
      <c r="BZ94" s="971">
        <f t="shared" ca="1" si="142"/>
        <v>0</v>
      </c>
      <c r="CA94" s="971">
        <f t="shared" ca="1" si="142"/>
        <v>0</v>
      </c>
      <c r="CB94" s="971">
        <f t="shared" ref="CB94:CH94" ca="1" si="143">IF(ISERR(CB85)=TRUE,0,IF(CB85&lt;1,0,1))</f>
        <v>0</v>
      </c>
      <c r="CC94" s="971">
        <f t="shared" ca="1" si="143"/>
        <v>0</v>
      </c>
      <c r="CD94" s="971">
        <f t="shared" ca="1" si="143"/>
        <v>0</v>
      </c>
      <c r="CE94" s="971">
        <f t="shared" ca="1" si="143"/>
        <v>0</v>
      </c>
      <c r="CF94" s="971">
        <f t="shared" ca="1" si="143"/>
        <v>0</v>
      </c>
      <c r="CG94" s="971">
        <f t="shared" ca="1" si="143"/>
        <v>0</v>
      </c>
      <c r="CH94" s="971">
        <f t="shared" ca="1" si="143"/>
        <v>0</v>
      </c>
      <c r="CI94" s="215"/>
      <c r="CJ94" s="215"/>
      <c r="CK94" s="42"/>
      <c r="CL94" s="42"/>
    </row>
    <row r="95" spans="1:90" ht="14.25" customHeight="1" x14ac:dyDescent="0.25">
      <c r="A95" s="96"/>
      <c r="B95" s="173"/>
      <c r="C95" s="72"/>
      <c r="D95" s="754"/>
      <c r="E95" s="754"/>
      <c r="F95" s="754"/>
      <c r="G95" s="754"/>
      <c r="H95" s="754"/>
      <c r="I95" s="755"/>
      <c r="K95" s="757" t="s">
        <v>1119</v>
      </c>
      <c r="L95" s="579"/>
      <c r="M95" s="579"/>
      <c r="N95" s="579"/>
      <c r="O95" s="1638"/>
      <c r="P95" s="1639" t="s">
        <v>948</v>
      </c>
      <c r="Q95" s="1640"/>
      <c r="T95" s="1322"/>
      <c r="U95" s="1322"/>
      <c r="V95" s="1322"/>
      <c r="W95" s="1322"/>
      <c r="X95" s="1322"/>
      <c r="Y95" s="1322"/>
      <c r="Z95" s="1322"/>
      <c r="AA95" s="1322"/>
      <c r="AB95" s="1322"/>
      <c r="AC95" s="1322"/>
      <c r="AD95" s="1322"/>
      <c r="AE95" s="1322"/>
      <c r="AF95" s="1322"/>
      <c r="AG95" s="1322"/>
      <c r="AH95" s="1322"/>
      <c r="AI95" s="1322"/>
      <c r="AJ95" s="1322"/>
      <c r="AK95" s="1322"/>
      <c r="AL95" s="1322"/>
      <c r="AM95" s="1322"/>
      <c r="AN95" s="1322"/>
      <c r="AO95" s="1322"/>
      <c r="AP95" s="1322"/>
      <c r="AQ95" s="1322"/>
      <c r="AR95" s="1322"/>
      <c r="AS95" s="1322"/>
      <c r="AT95" s="1322"/>
      <c r="AU95" s="1322"/>
      <c r="AV95" s="1322"/>
      <c r="AW95" s="1322"/>
      <c r="AX95" s="1322"/>
      <c r="AY95" s="1322"/>
      <c r="AZ95" s="1322"/>
      <c r="BA95" s="1322"/>
      <c r="BB95" s="1322"/>
      <c r="BC95" s="1322"/>
      <c r="BD95" s="1322"/>
      <c r="BE95" s="1322"/>
      <c r="BF95" s="1322"/>
      <c r="BG95" s="1322"/>
      <c r="BH95" s="1322"/>
      <c r="BI95" s="1322"/>
      <c r="BJ95" s="1322"/>
      <c r="BK95" s="1322"/>
      <c r="BL95" s="1322"/>
      <c r="BM95" s="1322"/>
      <c r="BN95" s="1322"/>
      <c r="BO95" s="1322"/>
      <c r="BP95" s="1322"/>
      <c r="BQ95" s="1322"/>
      <c r="BR95" s="1322"/>
      <c r="BS95" s="1322"/>
      <c r="BT95" s="1322"/>
      <c r="BU95" s="1322"/>
      <c r="BV95" s="1322"/>
      <c r="BW95" s="1322"/>
      <c r="BX95" s="1322"/>
      <c r="BY95" s="1322"/>
      <c r="BZ95" s="1322"/>
      <c r="CA95" s="1322"/>
      <c r="CB95" s="1322"/>
      <c r="CC95" s="1322"/>
      <c r="CD95" s="1322"/>
      <c r="CE95" s="1322"/>
      <c r="CF95" s="1322"/>
      <c r="CG95" s="1322"/>
      <c r="CH95" s="1322"/>
      <c r="CI95" s="42"/>
      <c r="CJ95" s="42"/>
      <c r="CK95" s="42"/>
      <c r="CL95" s="42"/>
    </row>
    <row r="96" spans="1:90" ht="14.25" customHeight="1" x14ac:dyDescent="0.3">
      <c r="A96" s="96"/>
      <c r="B96" s="174"/>
      <c r="C96" s="18"/>
      <c r="D96" s="246" t="s">
        <v>440</v>
      </c>
      <c r="E96" s="246"/>
      <c r="F96" s="116"/>
      <c r="G96" s="116"/>
      <c r="H96" s="116"/>
      <c r="I96" s="756"/>
      <c r="K96" s="776" t="s">
        <v>437</v>
      </c>
      <c r="L96" s="581"/>
      <c r="M96" s="581"/>
      <c r="N96" s="581"/>
      <c r="O96" s="761" t="str">
        <f>IF(OR(ValueAdj_Select2=1,ValueAdj_Select2=4),"N/A",IF(ValueAdj_Select2=2,(Income_DCF_IndicatedValue2-Income_DCF_IndicatedValue1),(Income_DCF_IndicatedValue3-Income_DCF_IndicatedValue2)))</f>
        <v>N/A</v>
      </c>
      <c r="P96" s="1066" t="s">
        <v>396</v>
      </c>
      <c r="Q96" s="1641"/>
      <c r="T96" s="1322"/>
      <c r="U96" s="1322"/>
      <c r="V96" s="1322"/>
      <c r="W96" s="1322"/>
      <c r="X96" s="1322"/>
      <c r="Y96" s="1322"/>
      <c r="Z96" s="1322"/>
      <c r="AA96" s="1322"/>
      <c r="AB96" s="1322"/>
      <c r="AC96" s="1322"/>
      <c r="AD96" s="1322"/>
      <c r="AE96" s="1322"/>
      <c r="AF96" s="1322"/>
      <c r="AG96" s="1322"/>
      <c r="AH96" s="1322"/>
      <c r="AI96" s="1322"/>
      <c r="AJ96" s="1322"/>
      <c r="AK96" s="1322"/>
      <c r="AL96" s="1322"/>
      <c r="AM96" s="1322"/>
      <c r="AN96" s="1322"/>
      <c r="AO96" s="1322"/>
      <c r="AP96" s="1322"/>
      <c r="AQ96" s="1322"/>
      <c r="AR96" s="1322"/>
      <c r="AS96" s="1322"/>
      <c r="AT96" s="1322"/>
      <c r="AU96" s="1322"/>
      <c r="AV96" s="1322"/>
      <c r="AW96" s="1322"/>
      <c r="AX96" s="1322"/>
      <c r="AY96" s="1322"/>
      <c r="AZ96" s="1322"/>
      <c r="BA96" s="1322"/>
      <c r="BB96" s="1322"/>
      <c r="BC96" s="1322"/>
      <c r="BD96" s="1322"/>
      <c r="BE96" s="1322"/>
      <c r="BF96" s="1322"/>
      <c r="BG96" s="1322"/>
      <c r="BH96" s="1322"/>
      <c r="BI96" s="1322"/>
      <c r="BJ96" s="1322"/>
      <c r="BK96" s="1322"/>
      <c r="BL96" s="1322"/>
      <c r="BM96" s="1322"/>
      <c r="BN96" s="1322"/>
      <c r="BO96" s="1322"/>
      <c r="BP96" s="1322"/>
      <c r="BQ96" s="1322"/>
      <c r="BR96" s="1322"/>
      <c r="BS96" s="1322"/>
      <c r="BT96" s="1322"/>
      <c r="BU96" s="1322"/>
      <c r="BV96" s="1322"/>
      <c r="BW96" s="1322"/>
      <c r="BX96" s="1322"/>
      <c r="BY96" s="1322"/>
      <c r="BZ96" s="1322"/>
      <c r="CA96" s="1322"/>
      <c r="CB96" s="1322"/>
      <c r="CC96" s="1322"/>
      <c r="CD96" s="1322"/>
      <c r="CE96" s="1322"/>
      <c r="CF96" s="1322"/>
      <c r="CG96" s="1322"/>
      <c r="CH96" s="1322"/>
      <c r="CI96" s="42"/>
      <c r="CJ96" s="42"/>
      <c r="CK96" s="42"/>
      <c r="CL96" s="42"/>
    </row>
    <row r="97" spans="1:90" ht="15" customHeight="1" x14ac:dyDescent="0.25">
      <c r="A97" s="96"/>
      <c r="B97" s="174"/>
      <c r="C97" s="12"/>
      <c r="D97" s="12" t="s">
        <v>1100</v>
      </c>
      <c r="E97" s="12"/>
      <c r="F97" s="150" t="s">
        <v>1104</v>
      </c>
      <c r="G97" s="55" t="s">
        <v>331</v>
      </c>
      <c r="H97" s="12"/>
      <c r="I97" s="756"/>
      <c r="K97" s="776" t="s">
        <v>561</v>
      </c>
      <c r="L97" s="581"/>
      <c r="M97" s="581"/>
      <c r="N97" s="581"/>
      <c r="O97" s="761" t="str">
        <f>IF(OR(ValueAdj_Select2=1,ValueAdj_Select2=4),"N/A",IF(ValueAdj_Select2=2,MROUND(PV(P97,dpValue_LUD_Period/12,0,-(Income_DCF_IndicatedValue2-Income_DCF_IndicatedValue1)),INDEX(Rounding_Options,MATCH(O103,Rounding_Label,0),2)),MROUND(PV(P97,dpValue_LUD_Period/12,0,-(Income_DCF_IndicatedValue3-Income_DCF_IndicatedValue2)),INDEX(Rounding_Options,MATCH(O103,Rounding_Label,0),2))))</f>
        <v>N/A</v>
      </c>
      <c r="P97" s="1642">
        <f>dpIncome_DiscRate1</f>
        <v>0</v>
      </c>
      <c r="Q97" s="1641"/>
      <c r="T97" s="1322"/>
      <c r="U97" s="1322"/>
      <c r="V97" s="1322"/>
      <c r="W97" s="1322"/>
      <c r="X97" s="1322"/>
      <c r="Y97" s="1322"/>
      <c r="Z97" s="1322"/>
      <c r="AA97" s="1322"/>
      <c r="AB97" s="1322"/>
      <c r="AC97" s="1322"/>
      <c r="AD97" s="1322"/>
      <c r="AE97" s="1322"/>
      <c r="AF97" s="1322"/>
      <c r="AG97" s="1322"/>
      <c r="AH97" s="1322"/>
      <c r="AI97" s="1322"/>
      <c r="AJ97" s="1322"/>
      <c r="AK97" s="1322"/>
      <c r="AL97" s="1322"/>
      <c r="AM97" s="1322"/>
      <c r="AN97" s="1322"/>
      <c r="AO97" s="1322"/>
      <c r="AP97" s="1322"/>
      <c r="AQ97" s="1322"/>
      <c r="AR97" s="1322"/>
      <c r="AS97" s="1322"/>
      <c r="AT97" s="1322"/>
      <c r="AU97" s="1322"/>
      <c r="AV97" s="1322"/>
      <c r="AW97" s="1322"/>
      <c r="AX97" s="1322"/>
      <c r="AY97" s="1322"/>
      <c r="AZ97" s="1322"/>
      <c r="BA97" s="1322"/>
      <c r="BB97" s="1322"/>
      <c r="BC97" s="1322"/>
      <c r="BD97" s="1322"/>
      <c r="BE97" s="1322"/>
      <c r="BF97" s="1322"/>
      <c r="BG97" s="1322"/>
      <c r="BH97" s="1322"/>
      <c r="BI97" s="1322"/>
      <c r="BJ97" s="1322"/>
      <c r="BK97" s="1322"/>
      <c r="BL97" s="1322"/>
      <c r="BM97" s="1322"/>
      <c r="BN97" s="1322"/>
      <c r="BO97" s="1322"/>
      <c r="BP97" s="1322"/>
      <c r="BQ97" s="1322"/>
      <c r="BR97" s="1322"/>
      <c r="BS97" s="1322"/>
      <c r="BT97" s="1322"/>
      <c r="BU97" s="1322"/>
      <c r="BV97" s="1322"/>
      <c r="BW97" s="1322"/>
      <c r="BX97" s="1322"/>
      <c r="BY97" s="1322"/>
      <c r="BZ97" s="1322"/>
      <c r="CA97" s="1322"/>
      <c r="CB97" s="1322"/>
      <c r="CC97" s="1322"/>
      <c r="CD97" s="1322"/>
      <c r="CE97" s="1322"/>
      <c r="CF97" s="1322"/>
      <c r="CG97" s="1322"/>
      <c r="CH97" s="1322"/>
      <c r="CI97" s="42"/>
      <c r="CJ97" s="42"/>
      <c r="CK97" s="42"/>
      <c r="CL97" s="42"/>
    </row>
    <row r="98" spans="1:90" ht="14.25" customHeight="1" x14ac:dyDescent="0.25">
      <c r="A98" s="96"/>
      <c r="B98" s="174"/>
      <c r="C98" s="92"/>
      <c r="D98" s="92" t="s">
        <v>441</v>
      </c>
      <c r="E98" s="92"/>
      <c r="F98" s="775">
        <v>1</v>
      </c>
      <c r="G98" s="3743">
        <f>Subject_NRA</f>
        <v>209208</v>
      </c>
      <c r="H98" s="92"/>
      <c r="I98" s="756"/>
      <c r="K98" s="759" t="s">
        <v>1102</v>
      </c>
      <c r="L98" s="90"/>
      <c r="M98" s="90"/>
      <c r="N98" s="90"/>
      <c r="O98" s="760" t="e">
        <f ca="1">dpValue_LUD_Calc_Discount</f>
        <v>#VALUE!</v>
      </c>
      <c r="P98" s="964"/>
      <c r="Q98" s="1643"/>
      <c r="T98" s="1322"/>
      <c r="U98" s="1322"/>
      <c r="V98" s="1322"/>
      <c r="W98" s="1322"/>
      <c r="X98" s="1322"/>
      <c r="Y98" s="1322"/>
      <c r="Z98" s="1322"/>
      <c r="AA98" s="1322"/>
      <c r="AB98" s="1322"/>
      <c r="AC98" s="1322"/>
      <c r="AD98" s="1322"/>
      <c r="AE98" s="1322"/>
      <c r="AF98" s="1322"/>
      <c r="AG98" s="1322"/>
      <c r="AH98" s="1322"/>
      <c r="AI98" s="1322"/>
      <c r="AJ98" s="1322"/>
      <c r="AK98" s="1322"/>
      <c r="AL98" s="1322"/>
      <c r="AM98" s="1322"/>
      <c r="AN98" s="1322"/>
      <c r="AO98" s="1322"/>
      <c r="AP98" s="1322"/>
      <c r="AQ98" s="1322"/>
      <c r="AR98" s="1322"/>
      <c r="AS98" s="1322"/>
      <c r="AT98" s="1322"/>
      <c r="AU98" s="1322"/>
      <c r="AV98" s="1322"/>
      <c r="AW98" s="1322"/>
      <c r="AX98" s="1322"/>
      <c r="AY98" s="1322"/>
      <c r="AZ98" s="1322"/>
      <c r="BA98" s="1322"/>
      <c r="BB98" s="1322"/>
      <c r="BC98" s="1322"/>
      <c r="BD98" s="1322"/>
      <c r="BE98" s="1322"/>
      <c r="BF98" s="1322"/>
      <c r="BG98" s="1322"/>
      <c r="BH98" s="1322"/>
      <c r="BI98" s="1322"/>
      <c r="BJ98" s="1322"/>
      <c r="BK98" s="1322"/>
      <c r="BL98" s="1322"/>
      <c r="BM98" s="1322"/>
      <c r="BN98" s="1322"/>
      <c r="BO98" s="1322"/>
      <c r="BP98" s="1322"/>
      <c r="BQ98" s="1322"/>
      <c r="BR98" s="1322"/>
      <c r="BS98" s="1322"/>
      <c r="BT98" s="1322"/>
      <c r="BU98" s="1322"/>
      <c r="BV98" s="1322"/>
      <c r="BW98" s="1322"/>
      <c r="BX98" s="1322"/>
      <c r="BY98" s="1322"/>
      <c r="BZ98" s="1322"/>
      <c r="CA98" s="1322"/>
      <c r="CB98" s="1322"/>
      <c r="CC98" s="1322"/>
      <c r="CD98" s="1322"/>
      <c r="CE98" s="1322"/>
      <c r="CF98" s="1322"/>
      <c r="CG98" s="1322"/>
      <c r="CH98" s="1322"/>
      <c r="CI98" s="42"/>
      <c r="CJ98" s="42"/>
      <c r="CK98" s="42"/>
      <c r="CL98" s="42"/>
    </row>
    <row r="99" spans="1:90" ht="14.25" customHeight="1" x14ac:dyDescent="0.25">
      <c r="A99" s="96"/>
      <c r="B99" s="174"/>
      <c r="C99" s="92"/>
      <c r="D99" s="738" t="s">
        <v>438</v>
      </c>
      <c r="E99" s="92"/>
      <c r="F99" s="775">
        <v>0.02</v>
      </c>
      <c r="G99" s="3743">
        <f>Subject_NRA*dpIncome_StabilizedVacancy</f>
        <v>4184.16</v>
      </c>
      <c r="H99" s="92"/>
      <c r="I99" s="756"/>
      <c r="K99" s="759" t="s">
        <v>1103</v>
      </c>
      <c r="L99" s="90"/>
      <c r="M99" s="90"/>
      <c r="N99" s="90"/>
      <c r="O99" s="760">
        <f>dpValue_LUD_Calc_NoDiscount</f>
        <v>0</v>
      </c>
      <c r="P99" s="964"/>
      <c r="Q99" s="1643"/>
      <c r="T99" s="1322"/>
      <c r="U99" s="1322"/>
      <c r="V99" s="1322"/>
      <c r="W99" s="1322"/>
      <c r="X99" s="1322"/>
      <c r="Y99" s="1322"/>
      <c r="Z99" s="1322"/>
      <c r="AA99" s="1322"/>
      <c r="AB99" s="1322"/>
      <c r="AC99" s="1322"/>
      <c r="AD99" s="1322"/>
      <c r="AE99" s="1322"/>
      <c r="AF99" s="1322"/>
      <c r="AG99" s="1322"/>
      <c r="AH99" s="1322"/>
      <c r="AI99" s="1322"/>
      <c r="AJ99" s="1322"/>
      <c r="AK99" s="1322"/>
      <c r="AL99" s="1322"/>
      <c r="AM99" s="1322"/>
      <c r="AN99" s="1322"/>
      <c r="AO99" s="1322"/>
      <c r="AP99" s="1322"/>
      <c r="AQ99" s="1322"/>
      <c r="AR99" s="1322"/>
      <c r="AS99" s="1322"/>
      <c r="AT99" s="1322"/>
      <c r="AU99" s="1322"/>
      <c r="AV99" s="1322"/>
      <c r="AW99" s="1322"/>
      <c r="AX99" s="1322"/>
      <c r="AY99" s="1322"/>
      <c r="AZ99" s="1322"/>
      <c r="BA99" s="1322"/>
      <c r="BB99" s="1322"/>
      <c r="BC99" s="1322"/>
      <c r="BD99" s="1322"/>
      <c r="BE99" s="1322"/>
      <c r="BF99" s="1322"/>
      <c r="BG99" s="1322"/>
      <c r="BH99" s="1322"/>
      <c r="BI99" s="1322"/>
      <c r="BJ99" s="1322"/>
      <c r="BK99" s="1322"/>
      <c r="BL99" s="1322"/>
      <c r="BM99" s="1322"/>
      <c r="BN99" s="1322"/>
      <c r="BO99" s="1322"/>
      <c r="BP99" s="1322"/>
      <c r="BQ99" s="1322"/>
      <c r="BR99" s="1322"/>
      <c r="BS99" s="1322"/>
      <c r="BT99" s="1322"/>
      <c r="BU99" s="1322"/>
      <c r="BV99" s="1322"/>
      <c r="BW99" s="1322"/>
      <c r="BX99" s="1322"/>
      <c r="BY99" s="1322"/>
      <c r="BZ99" s="1322"/>
      <c r="CA99" s="1322"/>
      <c r="CB99" s="1322"/>
      <c r="CC99" s="1322"/>
      <c r="CD99" s="1322"/>
      <c r="CE99" s="1322"/>
      <c r="CF99" s="1322"/>
      <c r="CG99" s="1322"/>
      <c r="CH99" s="1322"/>
      <c r="CI99" s="42"/>
      <c r="CJ99" s="42"/>
      <c r="CK99" s="42"/>
      <c r="CL99" s="42"/>
    </row>
    <row r="100" spans="1:90" ht="14.25" customHeight="1" x14ac:dyDescent="0.25">
      <c r="A100" s="96"/>
      <c r="B100" s="174"/>
      <c r="C100" s="92"/>
      <c r="D100" s="738" t="s">
        <v>956</v>
      </c>
      <c r="E100" s="92"/>
      <c r="F100" s="3744">
        <v>0.35</v>
      </c>
      <c r="G100" s="3745">
        <v>1523</v>
      </c>
      <c r="H100" s="92"/>
      <c r="I100" s="756"/>
      <c r="K100" s="776" t="s">
        <v>947</v>
      </c>
      <c r="L100" s="581"/>
      <c r="M100" s="581"/>
      <c r="N100" s="581"/>
      <c r="O100" s="777">
        <v>70000</v>
      </c>
      <c r="P100" s="1066"/>
      <c r="Q100" s="1641"/>
      <c r="T100" s="1322"/>
      <c r="U100" s="1322"/>
      <c r="V100" s="1322"/>
      <c r="W100" s="1322"/>
      <c r="X100" s="1322"/>
      <c r="Y100" s="1322"/>
      <c r="Z100" s="1322"/>
      <c r="AA100" s="1322"/>
      <c r="AB100" s="1322"/>
      <c r="AC100" s="1322"/>
      <c r="AD100" s="1322"/>
      <c r="AE100" s="1322"/>
      <c r="AF100" s="1322"/>
      <c r="AG100" s="1322"/>
      <c r="AH100" s="1322"/>
      <c r="AI100" s="1322"/>
      <c r="AJ100" s="1322"/>
      <c r="AK100" s="1322"/>
      <c r="AL100" s="1322"/>
      <c r="AM100" s="1322"/>
      <c r="AN100" s="1322"/>
      <c r="AO100" s="1322"/>
      <c r="AP100" s="1322"/>
      <c r="AQ100" s="1322"/>
      <c r="AR100" s="1322"/>
      <c r="AS100" s="1322"/>
      <c r="AT100" s="1322"/>
      <c r="AU100" s="1322"/>
      <c r="AV100" s="1322"/>
      <c r="AW100" s="1322"/>
      <c r="AX100" s="1322"/>
      <c r="AY100" s="1322"/>
      <c r="AZ100" s="1322"/>
      <c r="BA100" s="1322"/>
      <c r="BB100" s="1322"/>
      <c r="BC100" s="1322"/>
      <c r="BD100" s="1322"/>
      <c r="BE100" s="1322"/>
      <c r="BF100" s="1322"/>
      <c r="BG100" s="1322"/>
      <c r="BH100" s="1322"/>
      <c r="BI100" s="1322"/>
      <c r="BJ100" s="1322"/>
      <c r="BK100" s="1322"/>
      <c r="BL100" s="1322"/>
      <c r="BM100" s="1322"/>
      <c r="BN100" s="1322"/>
      <c r="BO100" s="1322"/>
      <c r="BP100" s="1322"/>
      <c r="BQ100" s="1322"/>
      <c r="BR100" s="1322"/>
      <c r="BS100" s="1322"/>
      <c r="BT100" s="1322"/>
      <c r="BU100" s="1322"/>
      <c r="BV100" s="1322"/>
      <c r="BW100" s="1322"/>
      <c r="BX100" s="1322"/>
      <c r="BY100" s="1322"/>
      <c r="BZ100" s="1322"/>
      <c r="CA100" s="1322"/>
      <c r="CB100" s="1322"/>
      <c r="CC100" s="1322"/>
      <c r="CD100" s="1322"/>
      <c r="CE100" s="1322"/>
      <c r="CF100" s="1322"/>
      <c r="CG100" s="1322"/>
      <c r="CH100" s="1322"/>
      <c r="CI100" s="42"/>
      <c r="CJ100" s="42"/>
      <c r="CK100" s="42"/>
      <c r="CL100" s="42"/>
    </row>
    <row r="101" spans="1:90" ht="14.25" customHeight="1" thickBot="1" x14ac:dyDescent="0.3">
      <c r="A101" s="96"/>
      <c r="B101" s="174"/>
      <c r="C101" s="92"/>
      <c r="D101" s="92" t="s">
        <v>1101</v>
      </c>
      <c r="E101" s="92"/>
      <c r="F101" s="3286">
        <f>F100-F99</f>
        <v>0.32999999999999996</v>
      </c>
      <c r="G101" s="3743">
        <f>G100-G99</f>
        <v>-2661.16</v>
      </c>
      <c r="H101" s="92"/>
      <c r="I101" s="756"/>
      <c r="K101" s="758"/>
      <c r="L101" s="580"/>
      <c r="M101" s="580"/>
      <c r="N101" s="580"/>
      <c r="O101" s="1644"/>
      <c r="P101" s="1645"/>
      <c r="Q101" s="1646"/>
      <c r="T101" s="1322"/>
      <c r="U101" s="1322"/>
      <c r="V101" s="1322"/>
      <c r="W101" s="1322"/>
      <c r="X101" s="1322"/>
      <c r="Y101" s="1322"/>
      <c r="Z101" s="1322"/>
      <c r="AA101" s="1322"/>
      <c r="AB101" s="1322"/>
      <c r="AC101" s="1322"/>
      <c r="AD101" s="1322"/>
      <c r="AE101" s="1322"/>
      <c r="AF101" s="1322"/>
      <c r="AG101" s="1322"/>
      <c r="AH101" s="1322"/>
      <c r="AI101" s="1322"/>
      <c r="AJ101" s="1322"/>
      <c r="AK101" s="1322"/>
      <c r="AL101" s="1322"/>
      <c r="AM101" s="1322"/>
      <c r="AN101" s="1322"/>
      <c r="AO101" s="1322"/>
      <c r="AP101" s="1322"/>
      <c r="AQ101" s="1322"/>
      <c r="AR101" s="1322"/>
      <c r="AS101" s="1322"/>
      <c r="AT101" s="1322"/>
      <c r="AU101" s="1322"/>
      <c r="AV101" s="1322"/>
      <c r="AW101" s="1322"/>
      <c r="AX101" s="1322"/>
      <c r="AY101" s="1322"/>
      <c r="AZ101" s="1322"/>
      <c r="BA101" s="1322"/>
      <c r="BB101" s="1322"/>
      <c r="BC101" s="1322"/>
      <c r="BD101" s="1322"/>
      <c r="BE101" s="1322"/>
      <c r="BF101" s="1322"/>
      <c r="BG101" s="1322"/>
      <c r="BH101" s="1322"/>
      <c r="BI101" s="1322"/>
      <c r="BJ101" s="1322"/>
      <c r="BK101" s="1322"/>
      <c r="BL101" s="1322"/>
      <c r="BM101" s="1322"/>
      <c r="BN101" s="1322"/>
      <c r="BO101" s="1322"/>
      <c r="BP101" s="1322"/>
      <c r="BQ101" s="1322"/>
      <c r="BR101" s="1322"/>
      <c r="BS101" s="1322"/>
      <c r="BT101" s="1322"/>
      <c r="BU101" s="1322"/>
      <c r="BV101" s="1322"/>
      <c r="BW101" s="1322"/>
      <c r="BX101" s="1322"/>
      <c r="BY101" s="1322"/>
      <c r="BZ101" s="1322"/>
      <c r="CA101" s="1322"/>
      <c r="CB101" s="1322"/>
      <c r="CC101" s="1322"/>
      <c r="CD101" s="1322"/>
      <c r="CE101" s="1322"/>
      <c r="CF101" s="1322"/>
      <c r="CG101" s="1322"/>
      <c r="CH101" s="1322"/>
      <c r="CI101" s="42"/>
      <c r="CJ101" s="42"/>
      <c r="CK101" s="42"/>
      <c r="CL101" s="42"/>
    </row>
    <row r="102" spans="1:90" ht="20.100000000000001" customHeight="1" thickBot="1" x14ac:dyDescent="0.3">
      <c r="A102" s="96"/>
      <c r="B102" s="174"/>
      <c r="C102" s="92"/>
      <c r="D102" s="92" t="s">
        <v>945</v>
      </c>
      <c r="E102" s="92"/>
      <c r="F102" s="92"/>
      <c r="G102" s="772">
        <v>6</v>
      </c>
      <c r="H102" s="92"/>
      <c r="I102" s="756"/>
      <c r="K102" s="32"/>
      <c r="L102" s="32"/>
      <c r="M102" s="32"/>
      <c r="N102" s="96">
        <f ca="1">SUM(Filter_LeaseUpCol)</f>
        <v>0</v>
      </c>
      <c r="O102" s="1322"/>
      <c r="P102" s="1322"/>
      <c r="Q102" s="1322"/>
      <c r="R102" s="1322"/>
      <c r="S102" s="1322"/>
      <c r="T102" s="1322"/>
      <c r="U102" s="1322"/>
      <c r="V102" s="1322"/>
      <c r="W102" s="1322"/>
      <c r="X102" s="1322"/>
      <c r="Y102" s="1322"/>
      <c r="Z102" s="1322"/>
      <c r="AA102" s="1322"/>
      <c r="AB102" s="1322"/>
      <c r="AC102" s="1322"/>
      <c r="AD102" s="1322"/>
      <c r="AE102" s="1322"/>
      <c r="AF102" s="1322"/>
      <c r="AG102" s="1322"/>
      <c r="AH102" s="1322"/>
      <c r="AI102" s="1322"/>
      <c r="AJ102" s="1322"/>
      <c r="AK102" s="1322"/>
      <c r="AL102" s="1322"/>
      <c r="AM102" s="1322"/>
      <c r="AN102" s="1322"/>
      <c r="AO102" s="1322"/>
      <c r="AP102" s="1322"/>
      <c r="AQ102" s="1322"/>
      <c r="AR102" s="1322"/>
      <c r="AS102" s="1322"/>
      <c r="AT102" s="1322"/>
      <c r="AU102" s="1322"/>
      <c r="AV102" s="1322"/>
      <c r="AW102" s="1322"/>
      <c r="AX102" s="1322"/>
      <c r="AY102" s="1322"/>
      <c r="AZ102" s="1322"/>
      <c r="BA102" s="1322"/>
      <c r="BB102" s="1322"/>
      <c r="BC102" s="1322"/>
      <c r="BD102" s="1322"/>
      <c r="BE102" s="1322"/>
      <c r="BF102" s="1322"/>
      <c r="BG102" s="1322"/>
      <c r="BH102" s="1322"/>
      <c r="BI102" s="1322"/>
      <c r="BJ102" s="1322"/>
      <c r="BK102" s="1322"/>
      <c r="BL102" s="1322"/>
      <c r="BM102" s="1322"/>
      <c r="BN102" s="1322"/>
      <c r="BO102" s="1322"/>
      <c r="BP102" s="1322"/>
      <c r="BQ102" s="1322"/>
      <c r="BR102" s="1322"/>
      <c r="BS102" s="1322"/>
      <c r="BT102" s="1322"/>
      <c r="BU102" s="1322"/>
      <c r="BV102" s="1322"/>
      <c r="BW102" s="1322"/>
      <c r="BX102" s="1322"/>
      <c r="BY102" s="1322"/>
      <c r="BZ102" s="1322"/>
      <c r="CA102" s="1322"/>
      <c r="CB102" s="1322"/>
      <c r="CC102" s="1322"/>
      <c r="CD102" s="1322"/>
      <c r="CE102" s="1322"/>
      <c r="CF102" s="1322"/>
      <c r="CG102" s="1322"/>
      <c r="CH102" s="1322"/>
      <c r="CI102" s="42"/>
      <c r="CJ102" s="42"/>
      <c r="CK102" s="42"/>
      <c r="CL102" s="42"/>
    </row>
    <row r="103" spans="1:90" ht="20.100000000000001" customHeight="1" thickBot="1" x14ac:dyDescent="0.3">
      <c r="A103" s="96"/>
      <c r="B103" s="174"/>
      <c r="C103" s="92"/>
      <c r="D103" s="92" t="s">
        <v>1107</v>
      </c>
      <c r="E103" s="92"/>
      <c r="F103" s="92"/>
      <c r="G103" s="92"/>
      <c r="H103" s="92"/>
      <c r="I103" s="756"/>
      <c r="K103" s="42"/>
      <c r="L103" s="42"/>
      <c r="M103" s="150" t="s">
        <v>991</v>
      </c>
      <c r="N103" s="55"/>
      <c r="O103" s="1647" t="s">
        <v>1037</v>
      </c>
      <c r="P103" s="810"/>
      <c r="Q103" s="810"/>
      <c r="R103" s="1322"/>
      <c r="S103" s="1322"/>
      <c r="T103" s="1322"/>
      <c r="U103" s="1322"/>
      <c r="V103" s="1322"/>
      <c r="W103" s="1322"/>
      <c r="X103" s="1322"/>
      <c r="Y103" s="1322"/>
      <c r="Z103" s="1322"/>
      <c r="AA103" s="1322"/>
      <c r="AB103" s="1322"/>
      <c r="AC103" s="1322"/>
      <c r="AD103" s="1322"/>
      <c r="AE103" s="1322"/>
      <c r="AF103" s="1322"/>
      <c r="AG103" s="1322"/>
      <c r="AH103" s="1322"/>
      <c r="AI103" s="1322"/>
      <c r="AJ103" s="1322"/>
      <c r="AK103" s="1322"/>
      <c r="AL103" s="1322"/>
      <c r="AM103" s="1322"/>
      <c r="AN103" s="1322"/>
      <c r="AO103" s="1322"/>
      <c r="AP103" s="1322"/>
      <c r="AQ103" s="1322"/>
      <c r="AR103" s="1322"/>
      <c r="AS103" s="1322"/>
      <c r="AT103" s="1322"/>
      <c r="AU103" s="1322"/>
      <c r="AV103" s="1322"/>
      <c r="AW103" s="1322"/>
      <c r="AX103" s="1322"/>
      <c r="AY103" s="1322"/>
      <c r="AZ103" s="1322"/>
      <c r="BA103" s="1322"/>
      <c r="BB103" s="1322"/>
      <c r="BC103" s="1322"/>
      <c r="BD103" s="1322"/>
      <c r="BE103" s="1322"/>
      <c r="BF103" s="1322"/>
      <c r="BG103" s="1322"/>
      <c r="BH103" s="1322"/>
      <c r="BI103" s="1322"/>
      <c r="BJ103" s="1322"/>
      <c r="BK103" s="1322"/>
      <c r="BL103" s="1322"/>
      <c r="BM103" s="1322"/>
      <c r="BN103" s="1322"/>
      <c r="BO103" s="1322"/>
      <c r="BP103" s="1322"/>
      <c r="BQ103" s="1322"/>
      <c r="BR103" s="1322"/>
      <c r="BS103" s="1322"/>
      <c r="BT103" s="1322"/>
      <c r="BU103" s="1322"/>
      <c r="BV103" s="1322"/>
      <c r="BW103" s="1322"/>
      <c r="BX103" s="1322"/>
      <c r="BY103" s="1322"/>
      <c r="BZ103" s="1322"/>
      <c r="CA103" s="1322"/>
      <c r="CB103" s="1322"/>
      <c r="CC103" s="1322"/>
      <c r="CD103" s="1322"/>
      <c r="CE103" s="1322"/>
      <c r="CF103" s="1322"/>
      <c r="CG103" s="1322"/>
      <c r="CH103" s="1322"/>
      <c r="CI103" s="42"/>
      <c r="CJ103" s="42"/>
      <c r="CK103" s="42"/>
      <c r="CL103" s="42"/>
    </row>
    <row r="104" spans="1:90" ht="14.25" customHeight="1" x14ac:dyDescent="0.25">
      <c r="A104" s="96"/>
      <c r="B104" s="174"/>
      <c r="C104" s="92"/>
      <c r="D104" s="738" t="s">
        <v>319</v>
      </c>
      <c r="E104" s="92"/>
      <c r="F104" s="3746">
        <v>27</v>
      </c>
      <c r="G104" s="3211">
        <f>F104*G101</f>
        <v>-71851.319999999992</v>
      </c>
      <c r="H104" s="92"/>
      <c r="I104" s="756"/>
      <c r="P104" s="1322"/>
      <c r="Q104" s="1322"/>
      <c r="R104" s="1322"/>
      <c r="S104" s="1322"/>
      <c r="T104" s="1322"/>
      <c r="U104" s="1322"/>
      <c r="V104" s="1322"/>
      <c r="W104" s="1322"/>
      <c r="X104" s="1322"/>
      <c r="Y104" s="1322"/>
      <c r="Z104" s="1322"/>
      <c r="AA104" s="1322"/>
      <c r="AB104" s="1322"/>
      <c r="AC104" s="1322"/>
      <c r="AD104" s="1322"/>
      <c r="AE104" s="1322"/>
      <c r="AF104" s="1322"/>
      <c r="AG104" s="1322"/>
      <c r="AH104" s="1322"/>
      <c r="AI104" s="1322"/>
      <c r="AJ104" s="1322"/>
      <c r="AK104" s="1322"/>
      <c r="AL104" s="1322"/>
      <c r="AM104" s="1322"/>
      <c r="AN104" s="1322"/>
      <c r="AO104" s="1322"/>
      <c r="AP104" s="1322"/>
      <c r="AQ104" s="1322"/>
      <c r="AR104" s="1322"/>
      <c r="AS104" s="1322"/>
      <c r="AT104" s="1322"/>
      <c r="AU104" s="1322"/>
      <c r="AV104" s="1322"/>
      <c r="AW104" s="1322"/>
      <c r="AX104" s="1322"/>
      <c r="AY104" s="1322"/>
      <c r="AZ104" s="1322"/>
      <c r="BA104" s="1322"/>
      <c r="BB104" s="1322"/>
      <c r="BC104" s="1322"/>
      <c r="BD104" s="1322"/>
      <c r="BE104" s="1322"/>
      <c r="BF104" s="1322"/>
      <c r="BG104" s="1322"/>
      <c r="BH104" s="1322"/>
      <c r="BI104" s="1322"/>
      <c r="BJ104" s="1322"/>
      <c r="BK104" s="1322"/>
      <c r="BL104" s="1322"/>
      <c r="BM104" s="1322"/>
      <c r="BN104" s="1322"/>
      <c r="BO104" s="1322"/>
      <c r="BP104" s="1322"/>
      <c r="BQ104" s="1322"/>
      <c r="BR104" s="1322"/>
      <c r="BS104" s="1322"/>
      <c r="BT104" s="1322"/>
      <c r="BU104" s="1322"/>
      <c r="BV104" s="1322"/>
      <c r="BW104" s="1322"/>
      <c r="BX104" s="1322"/>
      <c r="BY104" s="1322"/>
      <c r="BZ104" s="1322"/>
      <c r="CA104" s="1322"/>
      <c r="CB104" s="1322"/>
      <c r="CC104" s="1322"/>
      <c r="CD104" s="1322"/>
      <c r="CE104" s="1322"/>
      <c r="CF104" s="1322"/>
      <c r="CG104" s="1322"/>
      <c r="CH104" s="1322"/>
      <c r="CI104" s="42"/>
      <c r="CJ104" s="42"/>
      <c r="CK104" s="42"/>
      <c r="CL104" s="42"/>
    </row>
    <row r="105" spans="1:90" ht="14.25" customHeight="1" x14ac:dyDescent="0.25">
      <c r="A105" s="96"/>
      <c r="B105" s="174"/>
      <c r="C105" s="92"/>
      <c r="D105" s="738" t="s">
        <v>421</v>
      </c>
      <c r="E105" s="92"/>
      <c r="F105" s="3747">
        <v>8.5</v>
      </c>
      <c r="G105" s="3212">
        <f>F105*G101</f>
        <v>-22619.86</v>
      </c>
      <c r="H105" s="92"/>
      <c r="I105" s="756"/>
      <c r="P105" s="1322"/>
      <c r="Q105" s="1322"/>
      <c r="R105" s="1322"/>
      <c r="S105" s="1322"/>
      <c r="T105" s="1322"/>
      <c r="U105" s="1322"/>
      <c r="V105" s="1322"/>
      <c r="W105" s="1322"/>
      <c r="X105" s="1322"/>
      <c r="Y105" s="1322"/>
      <c r="Z105" s="1322"/>
      <c r="AA105" s="1322"/>
      <c r="AB105" s="1322"/>
      <c r="AC105" s="1322"/>
      <c r="AD105" s="1322"/>
      <c r="AE105" s="1322"/>
      <c r="AF105" s="1322"/>
      <c r="AG105" s="1322"/>
      <c r="AH105" s="1322"/>
      <c r="AI105" s="1322"/>
      <c r="AJ105" s="1322"/>
      <c r="AK105" s="1322"/>
      <c r="AL105" s="1322"/>
      <c r="AM105" s="1322"/>
      <c r="AN105" s="1322"/>
      <c r="AO105" s="1322"/>
      <c r="AP105" s="1322"/>
      <c r="AQ105" s="1322"/>
      <c r="AR105" s="1322"/>
      <c r="AS105" s="1322"/>
      <c r="AT105" s="1322"/>
      <c r="AU105" s="1322"/>
      <c r="AV105" s="1322"/>
      <c r="AW105" s="1322"/>
      <c r="AX105" s="1322"/>
      <c r="AY105" s="1322"/>
      <c r="AZ105" s="1322"/>
      <c r="BA105" s="1322"/>
      <c r="BB105" s="1322"/>
      <c r="BC105" s="1322"/>
      <c r="BD105" s="1322"/>
      <c r="BE105" s="1322"/>
      <c r="BF105" s="1322"/>
      <c r="BG105" s="1322"/>
      <c r="BH105" s="1322"/>
      <c r="BI105" s="1322"/>
      <c r="BJ105" s="1322"/>
      <c r="BK105" s="1322"/>
      <c r="BL105" s="1322"/>
      <c r="BM105" s="1322"/>
      <c r="BN105" s="1322"/>
      <c r="BO105" s="1322"/>
      <c r="BP105" s="1322"/>
      <c r="BQ105" s="1322"/>
      <c r="BR105" s="1322"/>
      <c r="BS105" s="1322"/>
      <c r="BT105" s="1322"/>
      <c r="BU105" s="1322"/>
      <c r="BV105" s="1322"/>
      <c r="BW105" s="1322"/>
      <c r="BX105" s="1322"/>
      <c r="BY105" s="1322"/>
      <c r="BZ105" s="1322"/>
      <c r="CA105" s="1322"/>
      <c r="CB105" s="1322"/>
      <c r="CC105" s="1322"/>
      <c r="CD105" s="1322"/>
      <c r="CE105" s="1322"/>
      <c r="CF105" s="1322"/>
      <c r="CG105" s="1322"/>
      <c r="CH105" s="1322"/>
      <c r="CI105" s="42"/>
      <c r="CJ105" s="42"/>
      <c r="CK105" s="42"/>
      <c r="CL105" s="42"/>
    </row>
    <row r="106" spans="1:90" ht="14.25" customHeight="1" x14ac:dyDescent="0.25">
      <c r="A106" s="96"/>
      <c r="B106" s="174"/>
      <c r="C106" s="92"/>
      <c r="D106" s="1241" t="s">
        <v>1110</v>
      </c>
      <c r="E106" s="92"/>
      <c r="F106" s="3746">
        <f>SUM(F104:F105)</f>
        <v>35.5</v>
      </c>
      <c r="G106" s="3211">
        <f>SUM(G104:G105)</f>
        <v>-94471.18</v>
      </c>
      <c r="H106" s="92"/>
      <c r="I106" s="756"/>
      <c r="P106" s="1322"/>
      <c r="Q106" s="1322"/>
      <c r="R106" s="1322"/>
      <c r="S106" s="1322"/>
      <c r="T106" s="1322"/>
      <c r="U106" s="1322"/>
      <c r="V106" s="1322"/>
      <c r="W106" s="1322"/>
      <c r="X106" s="1322"/>
      <c r="Y106" s="1322"/>
      <c r="Z106" s="1322"/>
      <c r="AA106" s="1322"/>
      <c r="AB106" s="1322"/>
      <c r="AC106" s="1322"/>
      <c r="AD106" s="1322"/>
      <c r="AE106" s="1322"/>
      <c r="AF106" s="1322"/>
      <c r="AG106" s="1322"/>
      <c r="AH106" s="1322"/>
      <c r="AI106" s="1322"/>
      <c r="AJ106" s="1322"/>
      <c r="AK106" s="1322"/>
      <c r="AL106" s="1322"/>
      <c r="AM106" s="1322"/>
      <c r="AN106" s="1322"/>
      <c r="AO106" s="1322"/>
      <c r="AP106" s="1322"/>
      <c r="AQ106" s="1322"/>
      <c r="AR106" s="1322"/>
      <c r="AS106" s="1322"/>
      <c r="AT106" s="1322"/>
      <c r="AU106" s="1322"/>
      <c r="AV106" s="1322"/>
      <c r="AW106" s="1322"/>
      <c r="AX106" s="1322"/>
      <c r="AY106" s="1322"/>
      <c r="AZ106" s="1322"/>
      <c r="BA106" s="1322"/>
      <c r="BB106" s="1322"/>
      <c r="BC106" s="1322"/>
      <c r="BD106" s="1322"/>
      <c r="BE106" s="1322"/>
      <c r="BF106" s="1322"/>
      <c r="BG106" s="1322"/>
      <c r="BH106" s="1322"/>
      <c r="BI106" s="1322"/>
      <c r="BJ106" s="1322"/>
      <c r="BK106" s="1322"/>
      <c r="BL106" s="1322"/>
      <c r="BM106" s="1322"/>
      <c r="BN106" s="1322"/>
      <c r="BO106" s="1322"/>
      <c r="BP106" s="1322"/>
      <c r="BQ106" s="1322"/>
      <c r="BR106" s="1322"/>
      <c r="BS106" s="1322"/>
      <c r="BT106" s="1322"/>
      <c r="BU106" s="1322"/>
      <c r="BV106" s="1322"/>
      <c r="BW106" s="1322"/>
      <c r="BX106" s="1322"/>
      <c r="BY106" s="1322"/>
      <c r="BZ106" s="1322"/>
      <c r="CA106" s="1322"/>
      <c r="CB106" s="1322"/>
      <c r="CC106" s="1322"/>
      <c r="CD106" s="1322"/>
      <c r="CE106" s="1322"/>
      <c r="CF106" s="1322"/>
      <c r="CG106" s="1322"/>
      <c r="CH106" s="1322"/>
      <c r="CI106" s="42"/>
      <c r="CJ106" s="42"/>
      <c r="CK106" s="42"/>
      <c r="CL106" s="42"/>
    </row>
    <row r="107" spans="1:90" ht="14.25" customHeight="1" x14ac:dyDescent="0.25">
      <c r="A107" s="96"/>
      <c r="B107" s="174"/>
      <c r="C107" s="92"/>
      <c r="D107" s="1241" t="s">
        <v>1111</v>
      </c>
      <c r="E107" s="92"/>
      <c r="F107" s="3748">
        <f>dpValue_LUD_Period_2</f>
        <v>6</v>
      </c>
      <c r="G107" s="3211">
        <f>F107/12*G106</f>
        <v>-47235.59</v>
      </c>
      <c r="H107" s="92"/>
      <c r="I107" s="756"/>
      <c r="P107" s="1322"/>
      <c r="Q107" s="1322"/>
      <c r="R107" s="1322"/>
      <c r="S107" s="1322"/>
      <c r="T107" s="1322"/>
      <c r="U107" s="1322"/>
      <c r="V107" s="1322"/>
      <c r="W107" s="1322"/>
      <c r="X107" s="1322"/>
      <c r="Y107" s="1322"/>
      <c r="Z107" s="1322"/>
      <c r="AA107" s="1322"/>
      <c r="AB107" s="1322"/>
      <c r="AC107" s="1322"/>
      <c r="AD107" s="1322"/>
      <c r="AE107" s="1322"/>
      <c r="AF107" s="1322"/>
      <c r="AG107" s="1322"/>
      <c r="AH107" s="1322"/>
      <c r="AI107" s="1322"/>
      <c r="AJ107" s="1322"/>
      <c r="AK107" s="1322"/>
      <c r="AL107" s="1322"/>
      <c r="AM107" s="1322"/>
      <c r="AN107" s="1322"/>
      <c r="AO107" s="1322"/>
      <c r="AP107" s="1322"/>
      <c r="AQ107" s="1322"/>
      <c r="AR107" s="1322"/>
      <c r="AS107" s="1322"/>
      <c r="AT107" s="1322"/>
      <c r="AU107" s="1322"/>
      <c r="AV107" s="1322"/>
      <c r="AW107" s="1322"/>
      <c r="AX107" s="1322"/>
      <c r="AY107" s="1322"/>
      <c r="AZ107" s="1322"/>
      <c r="BA107" s="1322"/>
      <c r="BB107" s="1322"/>
      <c r="BC107" s="1322"/>
      <c r="BD107" s="1322"/>
      <c r="BE107" s="1322"/>
      <c r="BF107" s="1322"/>
      <c r="BG107" s="1322"/>
      <c r="BH107" s="1322"/>
      <c r="BI107" s="1322"/>
      <c r="BJ107" s="1322"/>
      <c r="BK107" s="1322"/>
      <c r="BL107" s="1322"/>
      <c r="BM107" s="1322"/>
      <c r="BN107" s="1322"/>
      <c r="BO107" s="1322"/>
      <c r="BP107" s="1322"/>
      <c r="BQ107" s="1322"/>
      <c r="BR107" s="1322"/>
      <c r="BS107" s="1322"/>
      <c r="BT107" s="1322"/>
      <c r="BU107" s="1322"/>
      <c r="BV107" s="1322"/>
      <c r="BW107" s="1322"/>
      <c r="BX107" s="1322"/>
      <c r="BY107" s="1322"/>
      <c r="BZ107" s="1322"/>
      <c r="CA107" s="1322"/>
      <c r="CB107" s="1322"/>
      <c r="CC107" s="1322"/>
      <c r="CD107" s="1322"/>
      <c r="CE107" s="1322"/>
      <c r="CF107" s="1322"/>
      <c r="CG107" s="1322"/>
      <c r="CH107" s="1322"/>
      <c r="CI107" s="42"/>
      <c r="CJ107" s="42"/>
      <c r="CK107" s="42"/>
      <c r="CL107" s="42"/>
    </row>
    <row r="108" spans="1:90" ht="14.25" customHeight="1" x14ac:dyDescent="0.25">
      <c r="A108" s="96"/>
      <c r="B108" s="174"/>
      <c r="C108" s="92"/>
      <c r="D108" s="3749" t="str">
        <f>IF(G108=0.5,"Average Loss Factor - Fixed Absorption",IF(G108&gt;0.5,"Average Loss Factor - Stronger Finish Absorption","Average Loss Factor - Stronger Initial Absorption"))</f>
        <v>Average Loss Factor - Fixed Absorption</v>
      </c>
      <c r="E108" s="92"/>
      <c r="F108" s="92"/>
      <c r="G108" s="791">
        <v>0.5</v>
      </c>
      <c r="H108" s="92"/>
      <c r="I108" s="756"/>
      <c r="K108" s="12" t="s">
        <v>1118</v>
      </c>
      <c r="P108" s="1322"/>
      <c r="Q108" s="1322"/>
      <c r="R108" s="1322"/>
      <c r="S108" s="1322"/>
      <c r="T108" s="1322"/>
      <c r="U108" s="1322"/>
      <c r="V108" s="1322"/>
      <c r="W108" s="1322"/>
      <c r="X108" s="1322"/>
      <c r="Y108" s="1322"/>
      <c r="Z108" s="1322"/>
      <c r="AA108" s="1322"/>
      <c r="AB108" s="1322"/>
      <c r="AC108" s="1322"/>
      <c r="AD108" s="1322"/>
      <c r="AE108" s="1322"/>
      <c r="AF108" s="1322"/>
      <c r="AG108" s="1322"/>
      <c r="AH108" s="1322"/>
      <c r="AI108" s="1322"/>
      <c r="AJ108" s="1322"/>
      <c r="AK108" s="1322"/>
      <c r="AL108" s="1322"/>
      <c r="AM108" s="1322"/>
      <c r="AN108" s="1322"/>
      <c r="AO108" s="1322"/>
      <c r="AP108" s="1322"/>
      <c r="AQ108" s="1322"/>
      <c r="AR108" s="1322"/>
      <c r="AS108" s="1322"/>
      <c r="AT108" s="1322"/>
      <c r="AU108" s="1322"/>
      <c r="AV108" s="1322"/>
      <c r="AW108" s="1322"/>
      <c r="AX108" s="1322"/>
      <c r="AY108" s="1322"/>
      <c r="AZ108" s="1322"/>
      <c r="BA108" s="1322"/>
      <c r="BB108" s="1322"/>
      <c r="BC108" s="1322"/>
      <c r="BD108" s="1322"/>
      <c r="BE108" s="1322"/>
      <c r="BF108" s="1322"/>
      <c r="BG108" s="1322"/>
      <c r="BH108" s="1322"/>
      <c r="BI108" s="1322"/>
      <c r="BJ108" s="1322"/>
      <c r="BK108" s="1322"/>
      <c r="BL108" s="1322"/>
      <c r="BM108" s="1322"/>
      <c r="BN108" s="1322"/>
      <c r="BO108" s="1322"/>
      <c r="BP108" s="1322"/>
      <c r="BQ108" s="1322"/>
      <c r="BR108" s="1322"/>
      <c r="BS108" s="1322"/>
      <c r="BT108" s="1322"/>
      <c r="BU108" s="1322"/>
      <c r="BV108" s="1322"/>
      <c r="BW108" s="1322"/>
      <c r="BX108" s="1322"/>
      <c r="BY108" s="1322"/>
      <c r="BZ108" s="1322"/>
      <c r="CA108" s="1322"/>
      <c r="CB108" s="1322"/>
      <c r="CC108" s="1322"/>
      <c r="CD108" s="1322"/>
      <c r="CE108" s="1322"/>
      <c r="CF108" s="1322"/>
      <c r="CG108" s="1322"/>
      <c r="CH108" s="1322"/>
      <c r="CI108" s="42"/>
      <c r="CJ108" s="42"/>
      <c r="CK108" s="42"/>
      <c r="CL108" s="42"/>
    </row>
    <row r="109" spans="1:90" ht="14.25" customHeight="1" x14ac:dyDescent="0.25">
      <c r="A109" s="96"/>
      <c r="B109" s="174"/>
      <c r="C109" s="92"/>
      <c r="D109" s="1241" t="s">
        <v>1112</v>
      </c>
      <c r="E109" s="92"/>
      <c r="F109" s="3750"/>
      <c r="G109" s="3211">
        <f>G107*G108</f>
        <v>-23617.794999999998</v>
      </c>
      <c r="H109" s="92"/>
      <c r="I109" s="756"/>
      <c r="P109" s="1322"/>
      <c r="Q109" s="1322"/>
      <c r="R109" s="1322"/>
      <c r="S109" s="1322"/>
      <c r="T109" s="1322"/>
      <c r="U109" s="1322"/>
      <c r="V109" s="1322"/>
      <c r="W109" s="1322"/>
      <c r="X109" s="1322"/>
      <c r="Y109" s="1322"/>
      <c r="Z109" s="1322"/>
      <c r="AA109" s="1322"/>
      <c r="AB109" s="1322"/>
      <c r="AC109" s="1322"/>
      <c r="AD109" s="1322"/>
      <c r="AE109" s="1322"/>
      <c r="AF109" s="1322"/>
      <c r="AG109" s="1322"/>
      <c r="AH109" s="1322"/>
      <c r="AI109" s="1322"/>
      <c r="AJ109" s="1322"/>
      <c r="AK109" s="1322"/>
      <c r="AL109" s="1322"/>
      <c r="AM109" s="1322"/>
      <c r="AN109" s="1322"/>
      <c r="AO109" s="1322"/>
      <c r="AP109" s="1322"/>
      <c r="AQ109" s="1322"/>
      <c r="AR109" s="1322"/>
      <c r="AS109" s="1322"/>
      <c r="AT109" s="1322"/>
      <c r="AU109" s="1322"/>
      <c r="AV109" s="1322"/>
      <c r="AW109" s="1322"/>
      <c r="AX109" s="1322"/>
      <c r="AY109" s="1322"/>
      <c r="AZ109" s="1322"/>
      <c r="BA109" s="1322"/>
      <c r="BB109" s="1322"/>
      <c r="BC109" s="1322"/>
      <c r="BD109" s="1322"/>
      <c r="BE109" s="1322"/>
      <c r="BF109" s="1322"/>
      <c r="BG109" s="1322"/>
      <c r="BH109" s="1322"/>
      <c r="BI109" s="1322"/>
      <c r="BJ109" s="1322"/>
      <c r="BK109" s="1322"/>
      <c r="BL109" s="1322"/>
      <c r="BM109" s="1322"/>
      <c r="BN109" s="1322"/>
      <c r="BO109" s="1322"/>
      <c r="BP109" s="1322"/>
      <c r="BQ109" s="1322"/>
      <c r="BR109" s="1322"/>
      <c r="BS109" s="1322"/>
      <c r="BT109" s="1322"/>
      <c r="BU109" s="1322"/>
      <c r="BV109" s="1322"/>
      <c r="BW109" s="1322"/>
      <c r="BX109" s="1322"/>
      <c r="BY109" s="1322"/>
      <c r="BZ109" s="1322"/>
      <c r="CA109" s="1322"/>
      <c r="CB109" s="1322"/>
      <c r="CC109" s="1322"/>
      <c r="CD109" s="1322"/>
      <c r="CE109" s="1322"/>
      <c r="CF109" s="1322"/>
      <c r="CG109" s="1322"/>
      <c r="CH109" s="1322"/>
      <c r="CI109" s="42"/>
      <c r="CJ109" s="42"/>
      <c r="CK109" s="42"/>
      <c r="CL109" s="42"/>
    </row>
    <row r="110" spans="1:90" ht="20.100000000000001" customHeight="1" x14ac:dyDescent="0.25">
      <c r="A110" s="96"/>
      <c r="B110" s="174"/>
      <c r="C110" s="92"/>
      <c r="D110" s="92" t="s">
        <v>1108</v>
      </c>
      <c r="E110" s="92"/>
      <c r="F110" s="92"/>
      <c r="G110" s="92"/>
      <c r="H110" s="92"/>
      <c r="I110" s="756"/>
      <c r="P110" s="1322"/>
      <c r="Q110" s="1322"/>
      <c r="R110" s="1322"/>
      <c r="S110" s="1322"/>
      <c r="T110" s="1322"/>
      <c r="U110" s="1322"/>
      <c r="V110" s="1322"/>
      <c r="W110" s="1322"/>
      <c r="X110" s="1322"/>
      <c r="Y110" s="1322"/>
      <c r="Z110" s="1322"/>
      <c r="AA110" s="1322"/>
      <c r="AB110" s="1322"/>
      <c r="AC110" s="1322"/>
      <c r="AD110" s="1322"/>
      <c r="AE110" s="1322"/>
      <c r="AF110" s="1322"/>
      <c r="AG110" s="1322"/>
      <c r="AH110" s="1322"/>
      <c r="AI110" s="1322"/>
      <c r="AJ110" s="1322"/>
      <c r="AK110" s="1322"/>
      <c r="AL110" s="1322"/>
      <c r="AM110" s="1322"/>
      <c r="AN110" s="1322"/>
      <c r="AO110" s="1322"/>
      <c r="AP110" s="1322"/>
      <c r="AQ110" s="1322"/>
      <c r="AR110" s="1322"/>
      <c r="AS110" s="1322"/>
      <c r="AT110" s="1322"/>
      <c r="AU110" s="1322"/>
      <c r="AV110" s="1322"/>
      <c r="AW110" s="1322"/>
      <c r="AX110" s="1322"/>
      <c r="AY110" s="1322"/>
      <c r="AZ110" s="1322"/>
      <c r="BA110" s="1322"/>
      <c r="BB110" s="1322"/>
      <c r="BC110" s="1322"/>
      <c r="BD110" s="1322"/>
      <c r="BE110" s="1322"/>
      <c r="BF110" s="1322"/>
      <c r="BG110" s="1322"/>
      <c r="BH110" s="1322"/>
      <c r="BI110" s="1322"/>
      <c r="BJ110" s="1322"/>
      <c r="BK110" s="1322"/>
      <c r="BL110" s="1322"/>
      <c r="BM110" s="1322"/>
      <c r="BN110" s="1322"/>
      <c r="BO110" s="1322"/>
      <c r="BP110" s="1322"/>
      <c r="BQ110" s="1322"/>
      <c r="BR110" s="1322"/>
      <c r="BS110" s="1322"/>
      <c r="BT110" s="1322"/>
      <c r="BU110" s="1322"/>
      <c r="BV110" s="1322"/>
      <c r="BW110" s="1322"/>
      <c r="BX110" s="1322"/>
      <c r="BY110" s="1322"/>
      <c r="BZ110" s="1322"/>
      <c r="CA110" s="1322"/>
      <c r="CB110" s="1322"/>
      <c r="CC110" s="1322"/>
      <c r="CD110" s="1322"/>
      <c r="CE110" s="1322"/>
      <c r="CF110" s="1322"/>
      <c r="CG110" s="1322"/>
      <c r="CH110" s="1322"/>
      <c r="CI110" s="42"/>
      <c r="CJ110" s="42"/>
      <c r="CK110" s="42"/>
      <c r="CL110" s="42"/>
    </row>
    <row r="111" spans="1:90" ht="14.25" customHeight="1" x14ac:dyDescent="0.25">
      <c r="A111" s="96"/>
      <c r="B111" s="174"/>
      <c r="C111" s="92"/>
      <c r="D111" s="738" t="s">
        <v>450</v>
      </c>
      <c r="E111" s="93" t="s">
        <v>1109</v>
      </c>
      <c r="F111" s="93" t="s">
        <v>20</v>
      </c>
      <c r="G111" s="93"/>
      <c r="H111" s="92"/>
      <c r="I111" s="756"/>
      <c r="P111" s="1322"/>
      <c r="Q111" s="1322"/>
      <c r="R111" s="1322"/>
      <c r="S111" s="1322"/>
      <c r="T111" s="1322"/>
      <c r="U111" s="1322"/>
      <c r="V111" s="1322"/>
      <c r="W111" s="1322"/>
      <c r="X111" s="1322"/>
      <c r="Y111" s="1322"/>
      <c r="Z111" s="1322"/>
      <c r="AA111" s="1322"/>
      <c r="AB111" s="1322"/>
      <c r="AC111" s="1322"/>
      <c r="AD111" s="1322"/>
      <c r="AE111" s="1322"/>
      <c r="AF111" s="1322"/>
      <c r="AG111" s="1322"/>
      <c r="AH111" s="1322"/>
      <c r="AI111" s="1322"/>
      <c r="AJ111" s="1322"/>
      <c r="AK111" s="1322"/>
      <c r="AL111" s="1322"/>
      <c r="AM111" s="1322"/>
      <c r="AN111" s="1322"/>
      <c r="AO111" s="1322"/>
      <c r="AP111" s="1322"/>
      <c r="AQ111" s="1322"/>
      <c r="AR111" s="1322"/>
      <c r="AS111" s="1322"/>
      <c r="AT111" s="1322"/>
      <c r="AU111" s="1322"/>
      <c r="AV111" s="1322"/>
      <c r="AW111" s="1322"/>
      <c r="AX111" s="1322"/>
      <c r="AY111" s="1322"/>
      <c r="AZ111" s="1322"/>
      <c r="BA111" s="1322"/>
      <c r="BB111" s="1322"/>
      <c r="BC111" s="1322"/>
      <c r="BD111" s="1322"/>
      <c r="BE111" s="1322"/>
      <c r="BF111" s="1322"/>
      <c r="BG111" s="1322"/>
      <c r="BH111" s="1322"/>
      <c r="BI111" s="1322"/>
      <c r="BJ111" s="1322"/>
      <c r="BK111" s="1322"/>
      <c r="BL111" s="1322"/>
      <c r="BM111" s="1322"/>
      <c r="BN111" s="1322"/>
      <c r="BO111" s="1322"/>
      <c r="BP111" s="1322"/>
      <c r="BQ111" s="1322"/>
      <c r="BR111" s="1322"/>
      <c r="BS111" s="1322"/>
      <c r="BT111" s="1322"/>
      <c r="BU111" s="1322"/>
      <c r="BV111" s="1322"/>
      <c r="BW111" s="1322"/>
      <c r="BX111" s="1322"/>
      <c r="BY111" s="1322"/>
      <c r="BZ111" s="1322"/>
      <c r="CA111" s="1322"/>
      <c r="CB111" s="1322"/>
      <c r="CC111" s="1322"/>
      <c r="CD111" s="1322"/>
      <c r="CE111" s="1322"/>
      <c r="CF111" s="1322"/>
      <c r="CG111" s="1322"/>
      <c r="CH111" s="1322"/>
      <c r="CI111" s="42"/>
      <c r="CJ111" s="42"/>
      <c r="CK111" s="42"/>
      <c r="CL111" s="42"/>
    </row>
    <row r="112" spans="1:90" ht="14.25" customHeight="1" x14ac:dyDescent="0.25">
      <c r="A112" s="96"/>
      <c r="B112" s="174"/>
      <c r="C112" s="92"/>
      <c r="D112" s="3292" t="s">
        <v>1105</v>
      </c>
      <c r="E112" s="3746">
        <v>30</v>
      </c>
      <c r="F112" s="773">
        <v>1523</v>
      </c>
      <c r="G112" s="3211">
        <f>E112*F112</f>
        <v>45690</v>
      </c>
      <c r="H112" s="92"/>
      <c r="I112" s="756"/>
      <c r="P112" s="1322"/>
      <c r="Q112" s="1322"/>
      <c r="R112" s="1322"/>
      <c r="S112" s="1322"/>
      <c r="T112" s="1322"/>
      <c r="U112" s="1322"/>
      <c r="V112" s="1322"/>
      <c r="W112" s="1322"/>
      <c r="X112" s="1322"/>
      <c r="Y112" s="1322"/>
      <c r="Z112" s="1322"/>
      <c r="AA112" s="1322"/>
      <c r="AB112" s="1322"/>
      <c r="AC112" s="1322"/>
      <c r="AD112" s="1322"/>
      <c r="AE112" s="1322"/>
      <c r="AF112" s="1322"/>
      <c r="AG112" s="1322"/>
      <c r="AH112" s="1322"/>
      <c r="AI112" s="1322"/>
      <c r="AJ112" s="1322"/>
      <c r="AK112" s="1322"/>
      <c r="AL112" s="1322"/>
      <c r="AM112" s="1322"/>
      <c r="AN112" s="1322"/>
      <c r="AO112" s="1322"/>
      <c r="AP112" s="1322"/>
      <c r="AQ112" s="1322"/>
      <c r="AR112" s="1322"/>
      <c r="AS112" s="1322"/>
      <c r="AT112" s="1322"/>
      <c r="AU112" s="1322"/>
      <c r="AV112" s="1322"/>
      <c r="AW112" s="1322"/>
      <c r="AX112" s="1322"/>
      <c r="AY112" s="1322"/>
      <c r="AZ112" s="1322"/>
      <c r="BA112" s="1322"/>
      <c r="BB112" s="1322"/>
      <c r="BC112" s="1322"/>
      <c r="BD112" s="1322"/>
      <c r="BE112" s="1322"/>
      <c r="BF112" s="1322"/>
      <c r="BG112" s="1322"/>
      <c r="BH112" s="1322"/>
      <c r="BI112" s="1322"/>
      <c r="BJ112" s="1322"/>
      <c r="BK112" s="1322"/>
      <c r="BL112" s="1322"/>
      <c r="BM112" s="1322"/>
      <c r="BN112" s="1322"/>
      <c r="BO112" s="1322"/>
      <c r="BP112" s="1322"/>
      <c r="BQ112" s="1322"/>
      <c r="BR112" s="1322"/>
      <c r="BS112" s="1322"/>
      <c r="BT112" s="1322"/>
      <c r="BU112" s="1322"/>
      <c r="BV112" s="1322"/>
      <c r="BW112" s="1322"/>
      <c r="BX112" s="1322"/>
      <c r="BY112" s="1322"/>
      <c r="BZ112" s="1322"/>
      <c r="CA112" s="1322"/>
      <c r="CB112" s="1322"/>
      <c r="CC112" s="1322"/>
      <c r="CD112" s="1322"/>
      <c r="CE112" s="1322"/>
      <c r="CF112" s="1322"/>
      <c r="CG112" s="1322"/>
      <c r="CH112" s="1322"/>
      <c r="CI112" s="42"/>
      <c r="CJ112" s="42"/>
      <c r="CK112" s="42"/>
      <c r="CL112" s="42"/>
    </row>
    <row r="113" spans="1:90" ht="14.25" customHeight="1" x14ac:dyDescent="0.25">
      <c r="A113" s="96"/>
      <c r="B113" s="174"/>
      <c r="C113" s="92"/>
      <c r="D113" s="3292" t="s">
        <v>1106</v>
      </c>
      <c r="E113" s="3747"/>
      <c r="F113" s="3751"/>
      <c r="G113" s="3212">
        <f>E113*F113</f>
        <v>0</v>
      </c>
      <c r="H113" s="92"/>
      <c r="I113" s="756"/>
      <c r="P113" s="1322"/>
      <c r="Q113" s="1322"/>
      <c r="R113" s="1322"/>
      <c r="S113" s="1322"/>
      <c r="T113" s="1322"/>
      <c r="U113" s="1322"/>
      <c r="V113" s="1322"/>
      <c r="W113" s="1322"/>
      <c r="X113" s="1322"/>
      <c r="Y113" s="1322"/>
      <c r="Z113" s="1322"/>
      <c r="AA113" s="1322"/>
      <c r="AB113" s="1322"/>
      <c r="AC113" s="1322"/>
      <c r="AD113" s="1322"/>
      <c r="AE113" s="1322"/>
      <c r="AF113" s="1322"/>
      <c r="AG113" s="1322"/>
      <c r="AH113" s="1322"/>
      <c r="AI113" s="1322"/>
      <c r="AJ113" s="1322"/>
      <c r="AK113" s="1322"/>
      <c r="AL113" s="1322"/>
      <c r="AM113" s="1322"/>
      <c r="AN113" s="1322"/>
      <c r="AO113" s="1322"/>
      <c r="AP113" s="1322"/>
      <c r="AQ113" s="1322"/>
      <c r="AR113" s="1322"/>
      <c r="AS113" s="1322"/>
      <c r="AT113" s="1322"/>
      <c r="AU113" s="1322"/>
      <c r="AV113" s="1322"/>
      <c r="AW113" s="1322"/>
      <c r="AX113" s="1322"/>
      <c r="AY113" s="1322"/>
      <c r="AZ113" s="1322"/>
      <c r="BA113" s="1322"/>
      <c r="BB113" s="1322"/>
      <c r="BC113" s="1322"/>
      <c r="BD113" s="1322"/>
      <c r="BE113" s="1322"/>
      <c r="BF113" s="1322"/>
      <c r="BG113" s="1322"/>
      <c r="BH113" s="1322"/>
      <c r="BI113" s="1322"/>
      <c r="BJ113" s="1322"/>
      <c r="BK113" s="1322"/>
      <c r="BL113" s="1322"/>
      <c r="BM113" s="1322"/>
      <c r="BN113" s="1322"/>
      <c r="BO113" s="1322"/>
      <c r="BP113" s="1322"/>
      <c r="BQ113" s="1322"/>
      <c r="BR113" s="1322"/>
      <c r="BS113" s="1322"/>
      <c r="BT113" s="1322"/>
      <c r="BU113" s="1322"/>
      <c r="BV113" s="1322"/>
      <c r="BW113" s="1322"/>
      <c r="BX113" s="1322"/>
      <c r="BY113" s="1322"/>
      <c r="BZ113" s="1322"/>
      <c r="CA113" s="1322"/>
      <c r="CB113" s="1322"/>
      <c r="CC113" s="1322"/>
      <c r="CD113" s="1322"/>
      <c r="CE113" s="1322"/>
      <c r="CF113" s="1322"/>
      <c r="CG113" s="1322"/>
      <c r="CH113" s="1322"/>
      <c r="CI113" s="42"/>
      <c r="CJ113" s="42"/>
      <c r="CK113" s="42"/>
      <c r="CL113" s="42"/>
    </row>
    <row r="114" spans="1:90" ht="14.25" customHeight="1" x14ac:dyDescent="0.25">
      <c r="A114" s="96"/>
      <c r="B114" s="174"/>
      <c r="C114" s="92"/>
      <c r="D114" s="738" t="s">
        <v>93</v>
      </c>
      <c r="E114" s="3746">
        <f>SUMPRODUCT(E112:E113,F112:F113)/F114</f>
        <v>30</v>
      </c>
      <c r="F114" s="773">
        <f>F112+F113</f>
        <v>1523</v>
      </c>
      <c r="G114" s="3211">
        <f>SUM(G112:G113)</f>
        <v>45690</v>
      </c>
      <c r="H114" s="92"/>
      <c r="I114" s="756"/>
      <c r="P114" s="1322"/>
      <c r="Q114" s="1322"/>
      <c r="R114" s="1322"/>
      <c r="S114" s="1322"/>
      <c r="T114" s="1322"/>
      <c r="U114" s="1322"/>
      <c r="V114" s="1322"/>
      <c r="W114" s="1322"/>
      <c r="X114" s="1322"/>
      <c r="Y114" s="1322"/>
      <c r="Z114" s="1322"/>
      <c r="AA114" s="1322"/>
      <c r="AB114" s="1322"/>
      <c r="AC114" s="1322"/>
      <c r="AD114" s="1322"/>
      <c r="AE114" s="1322"/>
      <c r="AF114" s="1322"/>
      <c r="AG114" s="1322"/>
      <c r="AH114" s="1322"/>
      <c r="AI114" s="1322"/>
      <c r="AJ114" s="1322"/>
      <c r="AK114" s="1322"/>
      <c r="AL114" s="1322"/>
      <c r="AM114" s="1322"/>
      <c r="AN114" s="1322"/>
      <c r="AO114" s="1322"/>
      <c r="AP114" s="1322"/>
      <c r="AQ114" s="1322"/>
      <c r="AR114" s="1322"/>
      <c r="AS114" s="1322"/>
      <c r="AT114" s="1322"/>
      <c r="AU114" s="1322"/>
      <c r="AV114" s="1322"/>
      <c r="AW114" s="1322"/>
      <c r="AX114" s="1322"/>
      <c r="AY114" s="1322"/>
      <c r="AZ114" s="1322"/>
      <c r="BA114" s="1322"/>
      <c r="BB114" s="1322"/>
      <c r="BC114" s="1322"/>
      <c r="BD114" s="1322"/>
      <c r="BE114" s="1322"/>
      <c r="BF114" s="1322"/>
      <c r="BG114" s="1322"/>
      <c r="BH114" s="1322"/>
      <c r="BI114" s="1322"/>
      <c r="BJ114" s="1322"/>
      <c r="BK114" s="1322"/>
      <c r="BL114" s="1322"/>
      <c r="BM114" s="1322"/>
      <c r="BN114" s="1322"/>
      <c r="BO114" s="1322"/>
      <c r="BP114" s="1322"/>
      <c r="BQ114" s="1322"/>
      <c r="BR114" s="1322"/>
      <c r="BS114" s="1322"/>
      <c r="BT114" s="1322"/>
      <c r="BU114" s="1322"/>
      <c r="BV114" s="1322"/>
      <c r="BW114" s="1322"/>
      <c r="BX114" s="1322"/>
      <c r="BY114" s="1322"/>
      <c r="BZ114" s="1322"/>
      <c r="CA114" s="1322"/>
      <c r="CB114" s="1322"/>
      <c r="CC114" s="1322"/>
      <c r="CD114" s="1322"/>
      <c r="CE114" s="1322"/>
      <c r="CF114" s="1322"/>
      <c r="CG114" s="1322"/>
      <c r="CH114" s="1322"/>
      <c r="CI114" s="42"/>
      <c r="CJ114" s="42"/>
      <c r="CK114" s="42"/>
      <c r="CL114" s="42"/>
    </row>
    <row r="115" spans="1:90" ht="14.25" customHeight="1" x14ac:dyDescent="0.25">
      <c r="A115" s="96"/>
      <c r="B115" s="174"/>
      <c r="C115" s="92"/>
      <c r="D115" s="92"/>
      <c r="E115" s="93" t="s">
        <v>320</v>
      </c>
      <c r="F115" s="93" t="s">
        <v>396</v>
      </c>
      <c r="G115" s="93"/>
      <c r="H115" s="92"/>
      <c r="I115" s="756"/>
      <c r="P115" s="1322"/>
      <c r="Q115" s="1322"/>
      <c r="R115" s="1322"/>
      <c r="S115" s="1322"/>
      <c r="T115" s="1322"/>
      <c r="U115" s="1322"/>
      <c r="V115" s="1322"/>
      <c r="W115" s="1322"/>
      <c r="X115" s="1322"/>
      <c r="Y115" s="1322"/>
      <c r="Z115" s="1322"/>
      <c r="AA115" s="1322"/>
      <c r="AB115" s="1322"/>
      <c r="AC115" s="1322"/>
      <c r="AD115" s="1322"/>
      <c r="AE115" s="1322"/>
      <c r="AF115" s="1322"/>
      <c r="AG115" s="1322"/>
      <c r="AH115" s="1322"/>
      <c r="AI115" s="1322"/>
      <c r="AJ115" s="1322"/>
      <c r="AK115" s="1322"/>
      <c r="AL115" s="1322"/>
      <c r="AM115" s="1322"/>
      <c r="AN115" s="1322"/>
      <c r="AO115" s="1322"/>
      <c r="AP115" s="1322"/>
      <c r="AQ115" s="1322"/>
      <c r="AR115" s="1322"/>
      <c r="AS115" s="1322"/>
      <c r="AT115" s="1322"/>
      <c r="AU115" s="1322"/>
      <c r="AV115" s="1322"/>
      <c r="AW115" s="1322"/>
      <c r="AX115" s="1322"/>
      <c r="AY115" s="1322"/>
      <c r="AZ115" s="1322"/>
      <c r="BA115" s="1322"/>
      <c r="BB115" s="1322"/>
      <c r="BC115" s="1322"/>
      <c r="BD115" s="1322"/>
      <c r="BE115" s="1322"/>
      <c r="BF115" s="1322"/>
      <c r="BG115" s="1322"/>
      <c r="BH115" s="1322"/>
      <c r="BI115" s="1322"/>
      <c r="BJ115" s="1322"/>
      <c r="BK115" s="1322"/>
      <c r="BL115" s="1322"/>
      <c r="BM115" s="1322"/>
      <c r="BN115" s="1322"/>
      <c r="BO115" s="1322"/>
      <c r="BP115" s="1322"/>
      <c r="BQ115" s="1322"/>
      <c r="BR115" s="1322"/>
      <c r="BS115" s="1322"/>
      <c r="BT115" s="1322"/>
      <c r="BU115" s="1322"/>
      <c r="BV115" s="1322"/>
      <c r="BW115" s="1322"/>
      <c r="BX115" s="1322"/>
      <c r="BY115" s="1322"/>
      <c r="BZ115" s="1322"/>
      <c r="CA115" s="1322"/>
      <c r="CB115" s="1322"/>
      <c r="CC115" s="1322"/>
      <c r="CD115" s="1322"/>
      <c r="CE115" s="1322"/>
      <c r="CF115" s="1322"/>
      <c r="CG115" s="1322"/>
      <c r="CH115" s="1322"/>
      <c r="CI115" s="42"/>
      <c r="CJ115" s="42"/>
      <c r="CK115" s="42"/>
      <c r="CL115" s="42"/>
    </row>
    <row r="116" spans="1:90" ht="14.25" customHeight="1" x14ac:dyDescent="0.25">
      <c r="A116" s="96"/>
      <c r="B116" s="174"/>
      <c r="C116" s="92"/>
      <c r="D116" s="738" t="s">
        <v>451</v>
      </c>
      <c r="E116" s="774">
        <v>5</v>
      </c>
      <c r="F116" s="775">
        <v>0.05</v>
      </c>
      <c r="G116" s="3212">
        <f>G101*F104*F116*E116</f>
        <v>-17962.829999999998</v>
      </c>
      <c r="H116" s="92"/>
      <c r="I116" s="756"/>
      <c r="P116" s="1322"/>
      <c r="Q116" s="1322"/>
      <c r="R116" s="1322"/>
      <c r="S116" s="1322"/>
      <c r="T116" s="1322"/>
      <c r="U116" s="1322"/>
      <c r="V116" s="1322"/>
      <c r="W116" s="1322"/>
      <c r="X116" s="1322"/>
      <c r="Y116" s="1322"/>
      <c r="Z116" s="1322"/>
      <c r="AA116" s="1322"/>
      <c r="AB116" s="1322"/>
      <c r="AC116" s="1322"/>
      <c r="AD116" s="1322"/>
      <c r="AE116" s="1322"/>
      <c r="AF116" s="1322"/>
      <c r="AG116" s="1322"/>
      <c r="AH116" s="1322"/>
      <c r="AI116" s="1322"/>
      <c r="AJ116" s="1322"/>
      <c r="AK116" s="1322"/>
      <c r="AL116" s="1322"/>
      <c r="AM116" s="1322"/>
      <c r="AN116" s="1322"/>
      <c r="AO116" s="1322"/>
      <c r="AP116" s="1322"/>
      <c r="AQ116" s="1322"/>
      <c r="AR116" s="1322"/>
      <c r="AS116" s="1322"/>
      <c r="AT116" s="1322"/>
      <c r="AU116" s="1322"/>
      <c r="AV116" s="1322"/>
      <c r="AW116" s="1322"/>
      <c r="AX116" s="1322"/>
      <c r="AY116" s="1322"/>
      <c r="AZ116" s="1322"/>
      <c r="BA116" s="1322"/>
      <c r="BB116" s="1322"/>
      <c r="BC116" s="1322"/>
      <c r="BD116" s="1322"/>
      <c r="BE116" s="1322"/>
      <c r="BF116" s="1322"/>
      <c r="BG116" s="1322"/>
      <c r="BH116" s="1322"/>
      <c r="BI116" s="1322"/>
      <c r="BJ116" s="1322"/>
      <c r="BK116" s="1322"/>
      <c r="BL116" s="1322"/>
      <c r="BM116" s="1322"/>
      <c r="BN116" s="1322"/>
      <c r="BO116" s="1322"/>
      <c r="BP116" s="1322"/>
      <c r="BQ116" s="1322"/>
      <c r="BR116" s="1322"/>
      <c r="BS116" s="1322"/>
      <c r="BT116" s="1322"/>
      <c r="BU116" s="1322"/>
      <c r="BV116" s="1322"/>
      <c r="BW116" s="1322"/>
      <c r="BX116" s="1322"/>
      <c r="BY116" s="1322"/>
      <c r="BZ116" s="1322"/>
      <c r="CA116" s="1322"/>
      <c r="CB116" s="1322"/>
      <c r="CC116" s="1322"/>
      <c r="CD116" s="1322"/>
      <c r="CE116" s="1322"/>
      <c r="CF116" s="1322"/>
      <c r="CG116" s="1322"/>
      <c r="CH116" s="1322"/>
      <c r="CI116" s="42"/>
      <c r="CJ116" s="42"/>
      <c r="CK116" s="42"/>
      <c r="CL116" s="42"/>
    </row>
    <row r="117" spans="1:90" ht="14.25" customHeight="1" x14ac:dyDescent="0.25">
      <c r="A117" s="96"/>
      <c r="B117" s="174"/>
      <c r="C117" s="92"/>
      <c r="D117" s="92" t="s">
        <v>1113</v>
      </c>
      <c r="E117" s="92"/>
      <c r="F117" s="92"/>
      <c r="G117" s="3211">
        <f>G114+G116</f>
        <v>27727.170000000002</v>
      </c>
      <c r="H117" s="92"/>
      <c r="I117" s="756"/>
      <c r="P117" s="1322"/>
      <c r="Q117" s="1322"/>
      <c r="R117" s="1322"/>
      <c r="S117" s="1322"/>
      <c r="T117" s="1322"/>
      <c r="U117" s="1322"/>
      <c r="V117" s="1322"/>
      <c r="W117" s="1322"/>
      <c r="X117" s="1322"/>
      <c r="Y117" s="1322"/>
      <c r="Z117" s="1322"/>
      <c r="AA117" s="1322"/>
      <c r="AB117" s="1322"/>
      <c r="AC117" s="1322"/>
      <c r="AD117" s="1322"/>
      <c r="AE117" s="1322"/>
      <c r="AF117" s="1322"/>
      <c r="AG117" s="1322"/>
      <c r="AH117" s="1322"/>
      <c r="AI117" s="1322"/>
      <c r="AJ117" s="1322"/>
      <c r="AK117" s="1322"/>
      <c r="AL117" s="1322"/>
      <c r="AM117" s="1322"/>
      <c r="AN117" s="1322"/>
      <c r="AO117" s="1322"/>
      <c r="AP117" s="1322"/>
      <c r="AQ117" s="1322"/>
      <c r="AR117" s="1322"/>
      <c r="AS117" s="1322"/>
      <c r="AT117" s="1322"/>
      <c r="AU117" s="1322"/>
      <c r="AV117" s="1322"/>
      <c r="AW117" s="1322"/>
      <c r="AX117" s="1322"/>
      <c r="AY117" s="1322"/>
      <c r="AZ117" s="1322"/>
      <c r="BA117" s="1322"/>
      <c r="BB117" s="1322"/>
      <c r="BC117" s="1322"/>
      <c r="BD117" s="1322"/>
      <c r="BE117" s="1322"/>
      <c r="BF117" s="1322"/>
      <c r="BG117" s="1322"/>
      <c r="BH117" s="1322"/>
      <c r="BI117" s="1322"/>
      <c r="BJ117" s="1322"/>
      <c r="BK117" s="1322"/>
      <c r="BL117" s="1322"/>
      <c r="BM117" s="1322"/>
      <c r="BN117" s="1322"/>
      <c r="BO117" s="1322"/>
      <c r="BP117" s="1322"/>
      <c r="BQ117" s="1322"/>
      <c r="BR117" s="1322"/>
      <c r="BS117" s="1322"/>
      <c r="BT117" s="1322"/>
      <c r="BU117" s="1322"/>
      <c r="BV117" s="1322"/>
      <c r="BW117" s="1322"/>
      <c r="BX117" s="1322"/>
      <c r="BY117" s="1322"/>
      <c r="BZ117" s="1322"/>
      <c r="CA117" s="1322"/>
      <c r="CB117" s="1322"/>
      <c r="CC117" s="1322"/>
      <c r="CD117" s="1322"/>
      <c r="CE117" s="1322"/>
      <c r="CF117" s="1322"/>
      <c r="CG117" s="1322"/>
      <c r="CH117" s="1322"/>
      <c r="CI117" s="42"/>
      <c r="CJ117" s="42"/>
      <c r="CK117" s="42"/>
      <c r="CL117" s="42"/>
    </row>
    <row r="118" spans="1:90" ht="14.25" customHeight="1" x14ac:dyDescent="0.25">
      <c r="A118" s="96"/>
      <c r="B118" s="174"/>
      <c r="C118" s="92"/>
      <c r="D118" s="92"/>
      <c r="E118" s="92"/>
      <c r="F118" s="92"/>
      <c r="G118" s="92"/>
      <c r="H118" s="92"/>
      <c r="I118" s="756"/>
      <c r="P118" s="1322"/>
      <c r="Q118" s="1322"/>
      <c r="R118" s="1322"/>
      <c r="S118" s="1322"/>
      <c r="T118" s="1322"/>
      <c r="U118" s="1322"/>
      <c r="V118" s="1322"/>
      <c r="W118" s="1322"/>
      <c r="X118" s="1322"/>
      <c r="Y118" s="1322"/>
      <c r="Z118" s="1322"/>
      <c r="AA118" s="1322"/>
      <c r="AB118" s="1322"/>
      <c r="AC118" s="1322"/>
      <c r="AD118" s="1322"/>
      <c r="AE118" s="1322"/>
      <c r="AF118" s="1322"/>
      <c r="AG118" s="1322"/>
      <c r="AH118" s="1322"/>
      <c r="AI118" s="1322"/>
      <c r="AJ118" s="1322"/>
      <c r="AK118" s="1322"/>
      <c r="AL118" s="1322"/>
      <c r="AM118" s="1322"/>
      <c r="AN118" s="1322"/>
      <c r="AO118" s="1322"/>
      <c r="AP118" s="1322"/>
      <c r="AQ118" s="1322"/>
      <c r="AR118" s="1322"/>
      <c r="AS118" s="1322"/>
      <c r="AT118" s="1322"/>
      <c r="AU118" s="1322"/>
      <c r="AV118" s="1322"/>
      <c r="AW118" s="1322"/>
      <c r="AX118" s="1322"/>
      <c r="AY118" s="1322"/>
      <c r="AZ118" s="1322"/>
      <c r="BA118" s="1322"/>
      <c r="BB118" s="1322"/>
      <c r="BC118" s="1322"/>
      <c r="BD118" s="1322"/>
      <c r="BE118" s="1322"/>
      <c r="BF118" s="1322"/>
      <c r="BG118" s="1322"/>
      <c r="BH118" s="1322"/>
      <c r="BI118" s="1322"/>
      <c r="BJ118" s="1322"/>
      <c r="BK118" s="1322"/>
      <c r="BL118" s="1322"/>
      <c r="BM118" s="1322"/>
      <c r="BN118" s="1322"/>
      <c r="BO118" s="1322"/>
      <c r="BP118" s="1322"/>
      <c r="BQ118" s="1322"/>
      <c r="BR118" s="1322"/>
      <c r="BS118" s="1322"/>
      <c r="BT118" s="1322"/>
      <c r="BU118" s="1322"/>
      <c r="BV118" s="1322"/>
      <c r="BW118" s="1322"/>
      <c r="BX118" s="1322"/>
      <c r="BY118" s="1322"/>
      <c r="BZ118" s="1322"/>
      <c r="CA118" s="1322"/>
      <c r="CB118" s="1322"/>
      <c r="CC118" s="1322"/>
      <c r="CD118" s="1322"/>
      <c r="CE118" s="1322"/>
      <c r="CF118" s="1322"/>
      <c r="CG118" s="1322"/>
      <c r="CH118" s="1322"/>
      <c r="CI118" s="42"/>
      <c r="CJ118" s="42"/>
      <c r="CK118" s="42"/>
      <c r="CL118" s="42"/>
    </row>
    <row r="119" spans="1:90" ht="14.25" customHeight="1" x14ac:dyDescent="0.25">
      <c r="A119" s="96"/>
      <c r="B119" s="174"/>
      <c r="C119" s="92"/>
      <c r="D119" s="92" t="s">
        <v>1114</v>
      </c>
      <c r="E119" s="92"/>
      <c r="F119" s="92"/>
      <c r="G119" s="3211">
        <f>G109+G117</f>
        <v>4109.3750000000036</v>
      </c>
      <c r="H119" s="92"/>
      <c r="I119" s="756"/>
      <c r="P119" s="1322"/>
      <c r="Q119" s="1322"/>
      <c r="R119" s="1322"/>
      <c r="S119" s="1322"/>
      <c r="T119" s="1322"/>
      <c r="U119" s="1322"/>
      <c r="V119" s="1322"/>
      <c r="W119" s="1322"/>
      <c r="X119" s="1322"/>
      <c r="Y119" s="1322"/>
      <c r="Z119" s="1322"/>
      <c r="AA119" s="1322"/>
      <c r="AB119" s="1322"/>
      <c r="AC119" s="1322"/>
      <c r="AD119" s="1322"/>
      <c r="AE119" s="1322"/>
      <c r="AF119" s="1322"/>
      <c r="AG119" s="1322"/>
      <c r="AH119" s="1322"/>
      <c r="AI119" s="1322"/>
      <c r="AJ119" s="1322"/>
      <c r="AK119" s="1322"/>
      <c r="AL119" s="1322"/>
      <c r="AM119" s="1322"/>
      <c r="AN119" s="1322"/>
      <c r="AO119" s="1322"/>
      <c r="AP119" s="1322"/>
      <c r="AQ119" s="1322"/>
      <c r="AR119" s="1322"/>
      <c r="AS119" s="1322"/>
      <c r="AT119" s="1322"/>
      <c r="AU119" s="1322"/>
      <c r="AV119" s="1322"/>
      <c r="AW119" s="1322"/>
      <c r="AX119" s="1322"/>
      <c r="AY119" s="1322"/>
      <c r="AZ119" s="1322"/>
      <c r="BA119" s="1322"/>
      <c r="BB119" s="1322"/>
      <c r="BC119" s="1322"/>
      <c r="BD119" s="1322"/>
      <c r="BE119" s="1322"/>
      <c r="BF119" s="1322"/>
      <c r="BG119" s="1322"/>
      <c r="BH119" s="1322"/>
      <c r="BI119" s="1322"/>
      <c r="BJ119" s="1322"/>
      <c r="BK119" s="1322"/>
      <c r="BL119" s="1322"/>
      <c r="BM119" s="1322"/>
      <c r="BN119" s="1322"/>
      <c r="BO119" s="1322"/>
      <c r="BP119" s="1322"/>
      <c r="BQ119" s="1322"/>
      <c r="BR119" s="1322"/>
      <c r="BS119" s="1322"/>
      <c r="BT119" s="1322"/>
      <c r="BU119" s="1322"/>
      <c r="BV119" s="1322"/>
      <c r="BW119" s="1322"/>
      <c r="BX119" s="1322"/>
      <c r="BY119" s="1322"/>
      <c r="BZ119" s="1322"/>
      <c r="CA119" s="1322"/>
      <c r="CB119" s="1322"/>
      <c r="CC119" s="1322"/>
      <c r="CD119" s="1322"/>
      <c r="CE119" s="1322"/>
      <c r="CF119" s="1322"/>
      <c r="CG119" s="1322"/>
      <c r="CH119" s="1322"/>
      <c r="CI119" s="42"/>
      <c r="CJ119" s="42"/>
      <c r="CK119" s="42"/>
      <c r="CL119" s="42"/>
    </row>
    <row r="120" spans="1:90" ht="14.25" customHeight="1" thickBot="1" x14ac:dyDescent="0.3">
      <c r="A120" s="96"/>
      <c r="B120" s="174"/>
      <c r="C120" s="92"/>
      <c r="D120" s="92" t="s">
        <v>457</v>
      </c>
      <c r="E120" s="92"/>
      <c r="F120" s="775">
        <v>0.1</v>
      </c>
      <c r="G120" s="3212">
        <f>F120*G119</f>
        <v>410.9375000000004</v>
      </c>
      <c r="H120" s="92"/>
      <c r="I120" s="756"/>
      <c r="K120" s="150" t="s">
        <v>991</v>
      </c>
      <c r="P120" s="1322"/>
      <c r="Q120" s="1322"/>
      <c r="R120" s="1322"/>
      <c r="S120" s="1322"/>
      <c r="T120" s="1322"/>
      <c r="U120" s="1322"/>
      <c r="V120" s="1322"/>
      <c r="W120" s="1322"/>
      <c r="X120" s="1322"/>
      <c r="Y120" s="1322"/>
      <c r="Z120" s="1322"/>
      <c r="AA120" s="1322"/>
      <c r="AB120" s="1322"/>
      <c r="AC120" s="1322"/>
      <c r="AD120" s="1322"/>
      <c r="AE120" s="1322"/>
      <c r="AF120" s="1322"/>
      <c r="AG120" s="1322"/>
      <c r="AH120" s="1322"/>
      <c r="AI120" s="1322"/>
      <c r="AJ120" s="1322"/>
      <c r="AK120" s="1322"/>
      <c r="AL120" s="1322"/>
      <c r="AM120" s="1322"/>
      <c r="AN120" s="1322"/>
      <c r="AO120" s="1322"/>
      <c r="AP120" s="1322"/>
      <c r="AQ120" s="1322"/>
      <c r="AR120" s="1322"/>
      <c r="AS120" s="1322"/>
      <c r="AT120" s="1322"/>
      <c r="AU120" s="1322"/>
      <c r="AV120" s="1322"/>
      <c r="AW120" s="1322"/>
      <c r="AX120" s="1322"/>
      <c r="AY120" s="1322"/>
      <c r="AZ120" s="1322"/>
      <c r="BA120" s="1322"/>
      <c r="BB120" s="1322"/>
      <c r="BC120" s="1322"/>
      <c r="BD120" s="1322"/>
      <c r="BE120" s="1322"/>
      <c r="BF120" s="1322"/>
      <c r="BG120" s="1322"/>
      <c r="BH120" s="1322"/>
      <c r="BI120" s="1322"/>
      <c r="BJ120" s="1322"/>
      <c r="BK120" s="1322"/>
      <c r="BL120" s="1322"/>
      <c r="BM120" s="1322"/>
      <c r="BN120" s="1322"/>
      <c r="BO120" s="1322"/>
      <c r="BP120" s="1322"/>
      <c r="BQ120" s="1322"/>
      <c r="BR120" s="1322"/>
      <c r="BS120" s="1322"/>
      <c r="BT120" s="1322"/>
      <c r="BU120" s="1322"/>
      <c r="BV120" s="1322"/>
      <c r="BW120" s="1322"/>
      <c r="BX120" s="1322"/>
      <c r="BY120" s="1322"/>
      <c r="BZ120" s="1322"/>
      <c r="CA120" s="1322"/>
      <c r="CB120" s="1322"/>
      <c r="CC120" s="1322"/>
      <c r="CD120" s="1322"/>
      <c r="CE120" s="1322"/>
      <c r="CF120" s="1322"/>
      <c r="CG120" s="1322"/>
      <c r="CH120" s="1322"/>
      <c r="CI120" s="42"/>
      <c r="CJ120" s="42"/>
      <c r="CK120" s="42"/>
      <c r="CL120" s="42"/>
    </row>
    <row r="121" spans="1:90" ht="14.25" customHeight="1" thickBot="1" x14ac:dyDescent="0.3">
      <c r="A121" s="96"/>
      <c r="B121" s="174"/>
      <c r="C121" s="92"/>
      <c r="D121" s="3532" t="s">
        <v>1115</v>
      </c>
      <c r="E121" s="3532"/>
      <c r="F121" s="3532"/>
      <c r="G121" s="3752">
        <f>MROUND(G119+G120,INDEX(Rounding_Options,MATCH(K121,Rounding_Label,0),2))</f>
        <v>0</v>
      </c>
      <c r="H121" s="92"/>
      <c r="I121" s="756"/>
      <c r="K121" s="702" t="s">
        <v>1037</v>
      </c>
      <c r="L121" s="207"/>
      <c r="O121" s="55"/>
      <c r="P121" s="1322"/>
      <c r="Q121" s="1322"/>
      <c r="R121" s="1322"/>
      <c r="S121" s="1322"/>
      <c r="T121" s="1322"/>
      <c r="U121" s="1322"/>
      <c r="V121" s="1322"/>
      <c r="W121" s="1322"/>
      <c r="X121" s="1322"/>
      <c r="Y121" s="1322"/>
      <c r="Z121" s="1322"/>
      <c r="AA121" s="1322"/>
      <c r="AB121" s="1322"/>
      <c r="AC121" s="1322"/>
      <c r="AD121" s="1322"/>
      <c r="AE121" s="1322"/>
      <c r="AF121" s="1322"/>
      <c r="AG121" s="1322"/>
      <c r="AH121" s="1322"/>
      <c r="AI121" s="1322"/>
      <c r="AJ121" s="1322"/>
      <c r="AK121" s="1322"/>
      <c r="AL121" s="1322"/>
      <c r="AM121" s="1322"/>
      <c r="AN121" s="1322"/>
      <c r="AO121" s="1322"/>
      <c r="AP121" s="1322"/>
      <c r="AQ121" s="1322"/>
      <c r="AR121" s="1322"/>
      <c r="AS121" s="1322"/>
      <c r="AT121" s="1322"/>
      <c r="AU121" s="1322"/>
      <c r="AV121" s="1322"/>
      <c r="AW121" s="1322"/>
      <c r="AX121" s="1322"/>
      <c r="AY121" s="1322"/>
      <c r="AZ121" s="1322"/>
      <c r="BA121" s="1322"/>
      <c r="BB121" s="1322"/>
      <c r="BC121" s="1322"/>
      <c r="BD121" s="1322"/>
      <c r="BE121" s="1322"/>
      <c r="BF121" s="1322"/>
      <c r="BG121" s="1322"/>
      <c r="BH121" s="1322"/>
      <c r="BI121" s="1322"/>
      <c r="BJ121" s="1322"/>
      <c r="BK121" s="1322"/>
      <c r="BL121" s="1322"/>
      <c r="BM121" s="1322"/>
      <c r="BN121" s="1322"/>
      <c r="BO121" s="1322"/>
      <c r="BP121" s="1322"/>
      <c r="BQ121" s="1322"/>
      <c r="BR121" s="1322"/>
      <c r="BS121" s="1322"/>
      <c r="BT121" s="1322"/>
      <c r="BU121" s="1322"/>
      <c r="BV121" s="1322"/>
      <c r="BW121" s="1322"/>
      <c r="BX121" s="1322"/>
      <c r="BY121" s="1322"/>
      <c r="BZ121" s="1322"/>
      <c r="CA121" s="1322"/>
      <c r="CB121" s="1322"/>
      <c r="CC121" s="1322"/>
      <c r="CD121" s="1322"/>
      <c r="CE121" s="1322"/>
      <c r="CF121" s="1322"/>
      <c r="CG121" s="1322"/>
      <c r="CH121" s="1322"/>
      <c r="CI121" s="42"/>
      <c r="CJ121" s="42"/>
      <c r="CK121" s="42"/>
      <c r="CL121" s="42"/>
    </row>
    <row r="122" spans="1:90" ht="14.25" customHeight="1" x14ac:dyDescent="0.25">
      <c r="A122" s="96"/>
      <c r="B122" s="174"/>
      <c r="C122" s="18"/>
      <c r="D122" s="43" t="s">
        <v>1117</v>
      </c>
      <c r="E122" s="18"/>
      <c r="F122" s="18"/>
      <c r="G122" s="18"/>
      <c r="H122" s="18"/>
      <c r="I122" s="756"/>
      <c r="P122" s="1322"/>
      <c r="Q122" s="1322"/>
      <c r="R122" s="1322"/>
      <c r="S122" s="1322"/>
      <c r="T122" s="1322"/>
      <c r="U122" s="1322"/>
      <c r="V122" s="1322"/>
      <c r="W122" s="1322"/>
      <c r="X122" s="1322"/>
      <c r="Y122" s="1322"/>
      <c r="Z122" s="1322"/>
      <c r="AA122" s="1322"/>
      <c r="AB122" s="1322"/>
      <c r="AC122" s="1322"/>
      <c r="AD122" s="1322"/>
      <c r="AE122" s="1322"/>
      <c r="AF122" s="1322"/>
      <c r="AG122" s="1322"/>
      <c r="AH122" s="1322"/>
      <c r="AI122" s="1322"/>
      <c r="AJ122" s="1322"/>
      <c r="AK122" s="1322"/>
      <c r="AL122" s="1322"/>
      <c r="AM122" s="1322"/>
      <c r="AN122" s="1322"/>
      <c r="AO122" s="1322"/>
      <c r="AP122" s="1322"/>
      <c r="AQ122" s="1322"/>
      <c r="AR122" s="1322"/>
      <c r="AS122" s="1322"/>
      <c r="AT122" s="1322"/>
      <c r="AU122" s="1322"/>
      <c r="AV122" s="1322"/>
      <c r="AW122" s="1322"/>
      <c r="AX122" s="1322"/>
      <c r="AY122" s="1322"/>
      <c r="AZ122" s="1322"/>
      <c r="BA122" s="1322"/>
      <c r="BB122" s="1322"/>
      <c r="BC122" s="1322"/>
      <c r="BD122" s="1322"/>
      <c r="BE122" s="1322"/>
      <c r="BF122" s="1322"/>
      <c r="BG122" s="1322"/>
      <c r="BH122" s="1322"/>
      <c r="BI122" s="1322"/>
      <c r="BJ122" s="1322"/>
      <c r="BK122" s="1322"/>
      <c r="BL122" s="1322"/>
      <c r="BM122" s="1322"/>
      <c r="BN122" s="1322"/>
      <c r="BO122" s="1322"/>
      <c r="BP122" s="1322"/>
      <c r="BQ122" s="1322"/>
      <c r="BR122" s="1322"/>
      <c r="BS122" s="1322"/>
      <c r="BT122" s="1322"/>
      <c r="BU122" s="1322"/>
      <c r="BV122" s="1322"/>
      <c r="BW122" s="1322"/>
      <c r="BX122" s="1322"/>
      <c r="BY122" s="1322"/>
      <c r="BZ122" s="1322"/>
      <c r="CA122" s="1322"/>
      <c r="CB122" s="1322"/>
      <c r="CC122" s="1322"/>
      <c r="CD122" s="1322"/>
      <c r="CE122" s="1322"/>
      <c r="CF122" s="1322"/>
      <c r="CG122" s="1322"/>
      <c r="CH122" s="1322"/>
      <c r="CI122" s="42"/>
      <c r="CJ122" s="42"/>
      <c r="CK122" s="42"/>
      <c r="CL122" s="42"/>
    </row>
    <row r="123" spans="1:90" ht="9.9499999999999993" customHeight="1" thickBot="1" x14ac:dyDescent="0.3">
      <c r="A123" s="96"/>
      <c r="B123" s="762"/>
      <c r="C123" s="679"/>
      <c r="D123" s="679"/>
      <c r="E123" s="679"/>
      <c r="F123" s="679"/>
      <c r="G123" s="679"/>
      <c r="H123" s="679"/>
      <c r="I123" s="76"/>
      <c r="J123" s="42"/>
      <c r="K123" s="753"/>
      <c r="L123" s="753"/>
      <c r="M123" s="753"/>
      <c r="N123" s="753"/>
      <c r="O123" s="1322"/>
      <c r="P123" s="1322"/>
      <c r="Q123" s="1322"/>
      <c r="R123" s="1322"/>
      <c r="S123" s="1322"/>
      <c r="T123" s="1322"/>
      <c r="U123" s="1322"/>
      <c r="V123" s="1322"/>
      <c r="W123" s="1322"/>
      <c r="X123" s="1322"/>
      <c r="Y123" s="1322"/>
      <c r="Z123" s="1322"/>
      <c r="AA123" s="1322"/>
      <c r="AB123" s="1322"/>
      <c r="AC123" s="1322"/>
      <c r="AD123" s="1322"/>
      <c r="AE123" s="1322"/>
      <c r="AF123" s="1322"/>
      <c r="AG123" s="1322"/>
      <c r="AH123" s="1322"/>
      <c r="AI123" s="1322"/>
      <c r="AJ123" s="1322"/>
      <c r="AK123" s="1322"/>
      <c r="AL123" s="1322"/>
      <c r="AM123" s="1322"/>
      <c r="AN123" s="1322"/>
      <c r="AO123" s="1322"/>
      <c r="AP123" s="1322"/>
      <c r="AQ123" s="1322"/>
      <c r="AR123" s="1322"/>
      <c r="AS123" s="1322"/>
      <c r="AT123" s="1322"/>
      <c r="AU123" s="1322"/>
      <c r="AV123" s="1322"/>
      <c r="AW123" s="1322"/>
      <c r="AX123" s="1322"/>
      <c r="AY123" s="1322"/>
      <c r="AZ123" s="1322"/>
      <c r="BA123" s="1322"/>
      <c r="BB123" s="1322"/>
      <c r="BC123" s="1322"/>
      <c r="BD123" s="1322"/>
      <c r="BE123" s="1322"/>
      <c r="BF123" s="1322"/>
      <c r="BG123" s="1322"/>
      <c r="BH123" s="1322"/>
      <c r="BI123" s="1322"/>
      <c r="BJ123" s="1322"/>
      <c r="BK123" s="1322"/>
      <c r="BL123" s="1322"/>
      <c r="BM123" s="1322"/>
      <c r="BN123" s="1322"/>
      <c r="BO123" s="1322"/>
      <c r="BP123" s="1322"/>
      <c r="BQ123" s="1322"/>
      <c r="BR123" s="1322"/>
      <c r="BS123" s="1322"/>
      <c r="BT123" s="1322"/>
      <c r="BU123" s="1322"/>
      <c r="BV123" s="1322"/>
      <c r="BW123" s="1322"/>
      <c r="BX123" s="1322"/>
      <c r="BY123" s="1322"/>
      <c r="BZ123" s="1322"/>
      <c r="CA123" s="1322"/>
      <c r="CB123" s="1322"/>
      <c r="CC123" s="1322"/>
      <c r="CD123" s="1322"/>
      <c r="CE123" s="1322"/>
      <c r="CF123" s="1322"/>
      <c r="CG123" s="1322"/>
      <c r="CH123" s="1322"/>
      <c r="CI123" s="42"/>
      <c r="CJ123" s="42"/>
      <c r="CK123" s="42"/>
      <c r="CL123" s="42"/>
    </row>
    <row r="124" spans="1:90" ht="14.25" customHeight="1" x14ac:dyDescent="0.25">
      <c r="A124" s="96"/>
      <c r="B124" s="96"/>
      <c r="C124" s="96"/>
      <c r="D124" s="96"/>
      <c r="E124" s="96"/>
      <c r="F124" s="96"/>
      <c r="G124" s="96"/>
      <c r="H124" s="96"/>
      <c r="R124" s="810"/>
      <c r="S124" s="810"/>
      <c r="T124" s="1648"/>
      <c r="U124" s="1648"/>
      <c r="V124" s="1648"/>
      <c r="W124" s="1648"/>
      <c r="X124" s="1648"/>
      <c r="Y124" s="1648"/>
      <c r="Z124" s="1648"/>
      <c r="AA124" s="1648"/>
      <c r="AB124" s="1648"/>
      <c r="AC124" s="1648"/>
      <c r="AD124" s="1648"/>
      <c r="AE124" s="1648"/>
      <c r="AF124" s="1648"/>
      <c r="AG124" s="1648"/>
      <c r="AH124" s="1648"/>
      <c r="AI124" s="1648"/>
      <c r="AJ124" s="1648"/>
      <c r="AK124" s="1648"/>
      <c r="AL124" s="1648"/>
      <c r="AM124" s="1648"/>
      <c r="AN124" s="1648"/>
      <c r="AO124" s="1648"/>
      <c r="AP124" s="1648"/>
      <c r="AQ124" s="1648"/>
      <c r="AR124" s="1648"/>
      <c r="AS124" s="1648"/>
      <c r="AT124" s="1648"/>
      <c r="AU124" s="1648"/>
      <c r="AV124" s="1648"/>
      <c r="AW124" s="1648"/>
      <c r="AX124" s="1648"/>
      <c r="AY124" s="1648"/>
      <c r="AZ124" s="1648"/>
      <c r="BA124" s="1648"/>
      <c r="BB124" s="1648"/>
      <c r="BC124" s="1648"/>
      <c r="BD124" s="1648"/>
      <c r="BE124" s="1648"/>
      <c r="BF124" s="1648"/>
      <c r="BG124" s="1648"/>
      <c r="BH124" s="1648"/>
      <c r="BI124" s="1648"/>
      <c r="BJ124" s="1648"/>
      <c r="BK124" s="1648"/>
      <c r="BL124" s="1648"/>
      <c r="BM124" s="1648"/>
      <c r="BN124" s="1648"/>
      <c r="BO124" s="1648"/>
      <c r="BP124" s="1648"/>
      <c r="BQ124" s="1648"/>
      <c r="BR124" s="1648"/>
      <c r="BS124" s="1648"/>
      <c r="BT124" s="1648"/>
      <c r="BU124" s="1648"/>
      <c r="BV124" s="1648"/>
      <c r="BW124" s="1648"/>
      <c r="BX124" s="1648"/>
      <c r="BY124" s="1648"/>
      <c r="BZ124" s="1648"/>
      <c r="CA124" s="1648"/>
      <c r="CB124" s="1648"/>
      <c r="CC124" s="1648"/>
      <c r="CD124" s="1648"/>
      <c r="CE124" s="1648"/>
      <c r="CF124" s="1648"/>
      <c r="CG124" s="1648"/>
      <c r="CH124" s="1648"/>
      <c r="CI124" s="42"/>
      <c r="CJ124" s="42"/>
      <c r="CK124" s="42"/>
      <c r="CL124" s="42"/>
    </row>
    <row r="125" spans="1:90" ht="14.25" customHeight="1" x14ac:dyDescent="0.25">
      <c r="A125" s="96"/>
      <c r="B125" s="96"/>
      <c r="C125" s="96"/>
      <c r="D125" s="96"/>
      <c r="E125" s="96"/>
      <c r="F125" s="96"/>
      <c r="G125" s="96"/>
      <c r="H125" s="96"/>
      <c r="R125" s="810"/>
      <c r="S125" s="810"/>
      <c r="T125" s="1648"/>
      <c r="U125" s="1648"/>
      <c r="V125" s="1648"/>
      <c r="W125" s="1648"/>
      <c r="X125" s="1648"/>
      <c r="Y125" s="1648"/>
      <c r="Z125" s="1648"/>
      <c r="AA125" s="1648"/>
      <c r="AB125" s="1648"/>
      <c r="AC125" s="1648"/>
      <c r="AD125" s="1648"/>
      <c r="AE125" s="1648"/>
      <c r="AF125" s="1648"/>
      <c r="AG125" s="1648"/>
      <c r="AH125" s="1648"/>
      <c r="AI125" s="1648"/>
      <c r="AJ125" s="1648"/>
      <c r="AK125" s="1648"/>
      <c r="AL125" s="1648"/>
      <c r="AM125" s="1648"/>
      <c r="AN125" s="1648"/>
      <c r="AO125" s="1648"/>
      <c r="AP125" s="1648"/>
      <c r="AQ125" s="1648"/>
      <c r="AR125" s="1648"/>
      <c r="AS125" s="1648"/>
      <c r="AT125" s="1648"/>
      <c r="AU125" s="1648"/>
      <c r="AV125" s="1648"/>
      <c r="AW125" s="1648"/>
      <c r="AX125" s="1648"/>
      <c r="AY125" s="1648"/>
      <c r="AZ125" s="1648"/>
      <c r="BA125" s="1648"/>
      <c r="BB125" s="1648"/>
      <c r="BC125" s="1648"/>
      <c r="BD125" s="1648"/>
      <c r="BE125" s="1648"/>
      <c r="BF125" s="1648"/>
      <c r="BG125" s="1648"/>
      <c r="BH125" s="1648"/>
      <c r="BI125" s="1648"/>
      <c r="BJ125" s="1648"/>
      <c r="BK125" s="1648"/>
      <c r="BL125" s="1648"/>
      <c r="BM125" s="1648"/>
      <c r="BN125" s="1648"/>
      <c r="BO125" s="1648"/>
      <c r="BP125" s="1648"/>
      <c r="BQ125" s="1648"/>
      <c r="BR125" s="1648"/>
      <c r="BS125" s="1648"/>
      <c r="BT125" s="1648"/>
      <c r="BU125" s="1648"/>
      <c r="BV125" s="1648"/>
      <c r="BW125" s="1648"/>
      <c r="BX125" s="1648"/>
      <c r="BY125" s="1648"/>
      <c r="BZ125" s="1648"/>
      <c r="CA125" s="1648"/>
      <c r="CB125" s="1648"/>
      <c r="CC125" s="1648"/>
      <c r="CD125" s="1648"/>
      <c r="CE125" s="1648"/>
      <c r="CF125" s="1648"/>
      <c r="CG125" s="1648"/>
      <c r="CH125" s="1648"/>
      <c r="CI125" s="42"/>
      <c r="CJ125" s="42"/>
      <c r="CK125" s="42"/>
      <c r="CL125" s="42"/>
    </row>
    <row r="126" spans="1:90" ht="14.25" customHeight="1" x14ac:dyDescent="0.25">
      <c r="A126" s="96"/>
      <c r="B126" s="96"/>
      <c r="C126" s="96"/>
      <c r="D126" s="96"/>
      <c r="E126" s="96"/>
      <c r="F126" s="96"/>
      <c r="G126" s="96"/>
      <c r="H126" s="96"/>
      <c r="R126" s="810"/>
      <c r="S126" s="810"/>
      <c r="T126" s="1648"/>
      <c r="U126" s="1648"/>
      <c r="V126" s="1648"/>
      <c r="W126" s="1648"/>
      <c r="X126" s="1648"/>
      <c r="Y126" s="1648"/>
      <c r="Z126" s="1648"/>
      <c r="AA126" s="1648"/>
      <c r="AB126" s="1648"/>
      <c r="AC126" s="1648"/>
      <c r="AD126" s="1648"/>
      <c r="AE126" s="1648"/>
      <c r="AF126" s="1648"/>
      <c r="AG126" s="1648"/>
      <c r="AH126" s="1648"/>
      <c r="AI126" s="1648"/>
      <c r="AJ126" s="1648"/>
      <c r="AK126" s="1648"/>
      <c r="AL126" s="1648"/>
      <c r="AM126" s="1648"/>
      <c r="AN126" s="1648"/>
      <c r="AO126" s="1648"/>
      <c r="AP126" s="1648"/>
      <c r="AQ126" s="1648"/>
      <c r="AR126" s="1648"/>
      <c r="AS126" s="1648"/>
      <c r="AT126" s="1648"/>
      <c r="AU126" s="1648"/>
      <c r="AV126" s="1648"/>
      <c r="AW126" s="1648"/>
      <c r="AX126" s="1648"/>
      <c r="AY126" s="1648"/>
      <c r="AZ126" s="1648"/>
      <c r="BA126" s="1648"/>
      <c r="BB126" s="1648"/>
      <c r="BC126" s="1648"/>
      <c r="BD126" s="1648"/>
      <c r="BE126" s="1648"/>
      <c r="BF126" s="1648"/>
      <c r="BG126" s="1648"/>
      <c r="BH126" s="1648"/>
      <c r="BI126" s="1648"/>
      <c r="BJ126" s="1648"/>
      <c r="BK126" s="1648"/>
      <c r="BL126" s="1648"/>
      <c r="BM126" s="1648"/>
      <c r="BN126" s="1648"/>
      <c r="BO126" s="1648"/>
      <c r="BP126" s="1648"/>
      <c r="BQ126" s="1648"/>
      <c r="BR126" s="1648"/>
      <c r="BS126" s="1648"/>
      <c r="BT126" s="1648"/>
      <c r="BU126" s="1648"/>
      <c r="BV126" s="1648"/>
      <c r="BW126" s="1648"/>
      <c r="BX126" s="1648"/>
      <c r="BY126" s="1648"/>
      <c r="BZ126" s="1648"/>
      <c r="CA126" s="1648"/>
      <c r="CB126" s="1648"/>
      <c r="CC126" s="1648"/>
      <c r="CD126" s="1648"/>
      <c r="CE126" s="1648"/>
      <c r="CF126" s="1648"/>
      <c r="CG126" s="1648"/>
      <c r="CH126" s="1648"/>
      <c r="CI126" s="42"/>
      <c r="CJ126" s="42"/>
      <c r="CK126" s="42"/>
      <c r="CL126" s="42"/>
    </row>
    <row r="127" spans="1:90" ht="14.25" customHeight="1" x14ac:dyDescent="0.25">
      <c r="A127" s="96"/>
      <c r="B127" s="96"/>
      <c r="C127" s="96"/>
      <c r="D127" s="96"/>
      <c r="E127" s="96"/>
      <c r="F127" s="96"/>
      <c r="G127" s="96"/>
      <c r="H127" s="96"/>
      <c r="R127" s="810"/>
      <c r="S127" s="810"/>
      <c r="T127" s="1648"/>
      <c r="U127" s="1648"/>
      <c r="V127" s="1648"/>
      <c r="W127" s="1648"/>
      <c r="X127" s="1648"/>
      <c r="Y127" s="1648"/>
      <c r="Z127" s="1648"/>
      <c r="AA127" s="1648"/>
      <c r="AB127" s="1648"/>
      <c r="AC127" s="1648"/>
      <c r="AD127" s="1648"/>
      <c r="AE127" s="1648"/>
      <c r="AF127" s="1648"/>
      <c r="AG127" s="1648"/>
      <c r="AH127" s="1648"/>
      <c r="AI127" s="1648"/>
      <c r="AJ127" s="1648"/>
      <c r="AK127" s="1648"/>
      <c r="AL127" s="1648"/>
      <c r="AM127" s="1648"/>
      <c r="AN127" s="1648"/>
      <c r="AO127" s="1648"/>
      <c r="AP127" s="1648"/>
      <c r="AQ127" s="1648"/>
      <c r="AR127" s="1648"/>
      <c r="AS127" s="1648"/>
      <c r="AT127" s="1648"/>
      <c r="AU127" s="1648"/>
      <c r="AV127" s="1648"/>
      <c r="AW127" s="1648"/>
      <c r="AX127" s="1648"/>
      <c r="AY127" s="1648"/>
      <c r="AZ127" s="1648"/>
      <c r="BA127" s="1648"/>
      <c r="BB127" s="1648"/>
      <c r="BC127" s="1648"/>
      <c r="BD127" s="1648"/>
      <c r="BE127" s="1648"/>
      <c r="BF127" s="1648"/>
      <c r="BG127" s="1648"/>
      <c r="BH127" s="1648"/>
      <c r="BI127" s="1648"/>
      <c r="BJ127" s="1648"/>
      <c r="BK127" s="1648"/>
      <c r="BL127" s="1648"/>
      <c r="BM127" s="1648"/>
      <c r="BN127" s="1648"/>
      <c r="BO127" s="1648"/>
      <c r="BP127" s="1648"/>
      <c r="BQ127" s="1648"/>
      <c r="BR127" s="1648"/>
      <c r="BS127" s="1648"/>
      <c r="BT127" s="1648"/>
      <c r="BU127" s="1648"/>
      <c r="BV127" s="1648"/>
      <c r="BW127" s="1648"/>
      <c r="BX127" s="1648"/>
      <c r="BY127" s="1648"/>
      <c r="BZ127" s="1648"/>
      <c r="CA127" s="1648"/>
      <c r="CB127" s="1648"/>
      <c r="CC127" s="1648"/>
      <c r="CD127" s="1648"/>
      <c r="CE127" s="1648"/>
      <c r="CF127" s="1648"/>
      <c r="CG127" s="1648"/>
      <c r="CH127" s="1648"/>
      <c r="CI127" s="42"/>
      <c r="CJ127" s="42"/>
      <c r="CK127" s="42"/>
      <c r="CL127" s="42"/>
    </row>
    <row r="128" spans="1:90" x14ac:dyDescent="0.25">
      <c r="A128" s="96"/>
      <c r="B128" s="96"/>
      <c r="C128" s="96"/>
      <c r="D128" s="96"/>
      <c r="E128" s="96"/>
      <c r="F128" s="96"/>
      <c r="G128" s="96"/>
      <c r="H128" s="96"/>
      <c r="R128" s="810"/>
      <c r="S128" s="810"/>
      <c r="T128" s="1648"/>
      <c r="U128" s="1648"/>
      <c r="V128" s="1648"/>
      <c r="W128" s="1648"/>
      <c r="X128" s="1648"/>
      <c r="Y128" s="1648"/>
      <c r="Z128" s="1648"/>
      <c r="AA128" s="1648"/>
      <c r="AB128" s="1648"/>
      <c r="AC128" s="1648"/>
      <c r="AD128" s="1648"/>
      <c r="AE128" s="1648"/>
      <c r="AF128" s="1648"/>
      <c r="AG128" s="1648"/>
      <c r="AH128" s="1648"/>
      <c r="AI128" s="1648"/>
      <c r="AJ128" s="1648"/>
      <c r="AK128" s="1648"/>
      <c r="AL128" s="1648"/>
      <c r="AM128" s="1648"/>
      <c r="AN128" s="1648"/>
      <c r="AO128" s="1648"/>
      <c r="AP128" s="1648"/>
      <c r="AQ128" s="1648"/>
      <c r="AR128" s="1648"/>
      <c r="AS128" s="1648"/>
      <c r="AT128" s="1648"/>
      <c r="AU128" s="1648"/>
      <c r="AV128" s="1648"/>
      <c r="AW128" s="1648"/>
      <c r="AX128" s="1648"/>
      <c r="AY128" s="1648"/>
      <c r="AZ128" s="1648"/>
      <c r="BA128" s="1648"/>
      <c r="BB128" s="1648"/>
      <c r="BC128" s="1648"/>
      <c r="BD128" s="1648"/>
      <c r="BE128" s="1648"/>
      <c r="BF128" s="1648"/>
      <c r="BG128" s="1648"/>
      <c r="BH128" s="1648"/>
      <c r="BI128" s="1648"/>
      <c r="BJ128" s="1648"/>
      <c r="BK128" s="1648"/>
      <c r="BL128" s="1648"/>
      <c r="BM128" s="1648"/>
      <c r="BN128" s="1648"/>
      <c r="BO128" s="1648"/>
      <c r="BP128" s="1648"/>
      <c r="BQ128" s="1648"/>
      <c r="BR128" s="1648"/>
      <c r="BS128" s="1648"/>
      <c r="BT128" s="1648"/>
      <c r="BU128" s="1648"/>
      <c r="BV128" s="1648"/>
      <c r="BW128" s="1648"/>
      <c r="BX128" s="1648"/>
      <c r="BY128" s="1648"/>
      <c r="BZ128" s="1648"/>
      <c r="CA128" s="1648"/>
      <c r="CB128" s="1648"/>
      <c r="CC128" s="1648"/>
      <c r="CD128" s="1648"/>
      <c r="CE128" s="1648"/>
      <c r="CF128" s="1648"/>
      <c r="CG128" s="1648"/>
      <c r="CH128" s="1648"/>
      <c r="CI128" s="42"/>
      <c r="CJ128" s="42"/>
      <c r="CK128" s="42"/>
      <c r="CL128" s="42"/>
    </row>
    <row r="129" spans="1:90" s="32" customFormat="1" x14ac:dyDescent="0.25">
      <c r="A129" s="96"/>
      <c r="B129" s="96"/>
      <c r="C129" s="96"/>
      <c r="D129" s="96"/>
      <c r="E129" s="96"/>
      <c r="F129" s="96"/>
      <c r="G129" s="96"/>
      <c r="H129" s="96"/>
      <c r="O129" s="1322"/>
      <c r="P129" s="1322"/>
      <c r="Q129" s="1322"/>
      <c r="R129" s="1322"/>
      <c r="S129" s="1322"/>
      <c r="T129" s="1322"/>
      <c r="U129" s="1322"/>
      <c r="V129" s="1322"/>
      <c r="W129" s="1322"/>
      <c r="X129" s="1322"/>
      <c r="Y129" s="1322"/>
      <c r="Z129" s="1322"/>
      <c r="AA129" s="1322"/>
      <c r="AB129" s="1322"/>
      <c r="AC129" s="1322"/>
      <c r="AD129" s="1322"/>
      <c r="AE129" s="1322"/>
      <c r="AF129" s="1322"/>
      <c r="AG129" s="1322"/>
      <c r="AH129" s="1322"/>
      <c r="AI129" s="1322"/>
      <c r="AJ129" s="1322"/>
      <c r="AK129" s="1322"/>
      <c r="AL129" s="1322"/>
      <c r="AM129" s="1322"/>
      <c r="AN129" s="1322"/>
      <c r="AO129" s="1322"/>
      <c r="AP129" s="1322"/>
      <c r="AQ129" s="1322"/>
      <c r="AR129" s="1322"/>
      <c r="AS129" s="1322"/>
      <c r="AT129" s="1322"/>
      <c r="AU129" s="1322"/>
      <c r="AV129" s="1322"/>
      <c r="AW129" s="1322"/>
      <c r="AX129" s="1322"/>
      <c r="AY129" s="1322"/>
      <c r="AZ129" s="1322"/>
      <c r="BA129" s="1322"/>
      <c r="BB129" s="1322"/>
      <c r="BC129" s="1322"/>
      <c r="BD129" s="1322"/>
      <c r="BE129" s="1322"/>
      <c r="BF129" s="1322"/>
      <c r="BG129" s="1322"/>
      <c r="BH129" s="1322"/>
      <c r="BI129" s="1322"/>
      <c r="BJ129" s="1322"/>
      <c r="BK129" s="1322"/>
      <c r="BL129" s="1322"/>
      <c r="BM129" s="1322"/>
      <c r="BN129" s="1322"/>
      <c r="BO129" s="1322"/>
      <c r="BP129" s="1322"/>
      <c r="BQ129" s="1322"/>
      <c r="BR129" s="1322"/>
      <c r="BS129" s="1322"/>
      <c r="BT129" s="1322"/>
      <c r="BU129" s="1322"/>
      <c r="BV129" s="1322"/>
      <c r="BW129" s="1322"/>
      <c r="BX129" s="1322"/>
      <c r="BY129" s="1322"/>
      <c r="BZ129" s="1322"/>
      <c r="CA129" s="1322"/>
      <c r="CB129" s="1322"/>
      <c r="CC129" s="1322"/>
      <c r="CD129" s="1322"/>
      <c r="CE129" s="1322"/>
      <c r="CF129" s="1322"/>
      <c r="CG129" s="1322"/>
      <c r="CH129" s="1322"/>
    </row>
    <row r="130" spans="1:90" s="42" customFormat="1" x14ac:dyDescent="0.25">
      <c r="A130" s="96"/>
      <c r="B130" s="96"/>
      <c r="C130" s="96"/>
      <c r="D130" s="96"/>
      <c r="E130" s="96"/>
      <c r="F130" s="96"/>
      <c r="G130" s="96"/>
      <c r="H130" s="96"/>
      <c r="O130" s="810"/>
      <c r="P130" s="810"/>
      <c r="Q130" s="810"/>
      <c r="R130" s="810"/>
      <c r="S130" s="810"/>
      <c r="T130" s="810"/>
      <c r="U130" s="810"/>
      <c r="V130" s="810"/>
      <c r="W130" s="810"/>
      <c r="X130" s="810"/>
      <c r="Y130" s="810"/>
      <c r="Z130" s="810"/>
      <c r="AA130" s="810"/>
      <c r="AB130" s="810"/>
      <c r="AC130" s="810"/>
      <c r="AD130" s="810"/>
      <c r="AE130" s="810"/>
      <c r="AF130" s="810"/>
      <c r="AG130" s="810"/>
      <c r="AH130" s="810"/>
      <c r="AI130" s="810"/>
      <c r="AJ130" s="810"/>
      <c r="AK130" s="810"/>
      <c r="AL130" s="810"/>
      <c r="AM130" s="810"/>
      <c r="AN130" s="810"/>
      <c r="AO130" s="810"/>
      <c r="AP130" s="810"/>
      <c r="AQ130" s="810"/>
      <c r="AR130" s="810"/>
      <c r="AS130" s="810"/>
      <c r="AT130" s="810"/>
      <c r="AU130" s="810"/>
      <c r="AV130" s="810"/>
      <c r="AW130" s="810"/>
      <c r="AX130" s="810"/>
      <c r="AY130" s="810"/>
      <c r="AZ130" s="810"/>
      <c r="BA130" s="810"/>
      <c r="BB130" s="810"/>
      <c r="BC130" s="810"/>
      <c r="BD130" s="810"/>
      <c r="BE130" s="810"/>
      <c r="BF130" s="810"/>
      <c r="BG130" s="810"/>
      <c r="BH130" s="810"/>
      <c r="BI130" s="810"/>
      <c r="BJ130" s="810"/>
      <c r="BK130" s="810"/>
      <c r="BL130" s="810"/>
      <c r="BM130" s="810"/>
      <c r="BN130" s="810"/>
      <c r="BO130" s="810"/>
      <c r="BP130" s="810"/>
      <c r="BQ130" s="810"/>
      <c r="BR130" s="810"/>
      <c r="BS130" s="810"/>
      <c r="BT130" s="810"/>
      <c r="BU130" s="810"/>
      <c r="BV130" s="810"/>
      <c r="BW130" s="810"/>
      <c r="BX130" s="810"/>
      <c r="BY130" s="810"/>
      <c r="BZ130" s="810"/>
      <c r="CA130" s="810"/>
      <c r="CB130" s="810"/>
      <c r="CC130" s="810"/>
      <c r="CD130" s="810"/>
      <c r="CE130" s="810"/>
      <c r="CF130" s="810"/>
      <c r="CG130" s="810"/>
      <c r="CH130" s="810"/>
    </row>
    <row r="131" spans="1:90" x14ac:dyDescent="0.25">
      <c r="A131" s="96"/>
      <c r="B131" s="96"/>
      <c r="C131" s="96"/>
      <c r="D131" s="96"/>
      <c r="E131" s="96"/>
      <c r="F131" s="96"/>
      <c r="G131" s="96"/>
      <c r="H131" s="96"/>
      <c r="I131" s="42"/>
      <c r="J131" s="42"/>
      <c r="K131" s="42"/>
      <c r="L131" s="42"/>
      <c r="M131" s="42"/>
      <c r="N131" s="42"/>
      <c r="O131" s="810"/>
      <c r="P131" s="810"/>
      <c r="Q131" s="810"/>
      <c r="R131" s="810"/>
      <c r="S131" s="810"/>
      <c r="T131" s="810"/>
      <c r="U131" s="810"/>
      <c r="V131" s="810"/>
      <c r="W131" s="810"/>
      <c r="X131" s="810"/>
      <c r="Y131" s="810"/>
      <c r="Z131" s="810"/>
      <c r="AA131" s="810"/>
      <c r="AB131" s="810"/>
      <c r="AC131" s="810"/>
      <c r="AD131" s="810"/>
      <c r="AE131" s="810"/>
      <c r="AF131" s="810"/>
      <c r="AG131" s="810"/>
      <c r="AH131" s="810"/>
      <c r="AI131" s="810"/>
      <c r="AJ131" s="810"/>
      <c r="AK131" s="810"/>
      <c r="AL131" s="810"/>
      <c r="AM131" s="810"/>
      <c r="AN131" s="810"/>
      <c r="AO131" s="810"/>
      <c r="AP131" s="810"/>
      <c r="AQ131" s="810"/>
      <c r="AR131" s="810"/>
      <c r="AS131" s="810"/>
      <c r="AT131" s="810"/>
      <c r="AU131" s="810"/>
      <c r="AV131" s="810"/>
      <c r="AW131" s="810"/>
      <c r="AX131" s="810"/>
      <c r="AY131" s="810"/>
      <c r="AZ131" s="810"/>
      <c r="BA131" s="810"/>
      <c r="BB131" s="810"/>
      <c r="BC131" s="810"/>
      <c r="BD131" s="810"/>
      <c r="BE131" s="810"/>
      <c r="BF131" s="810"/>
      <c r="BG131" s="810"/>
      <c r="BH131" s="810"/>
      <c r="BI131" s="810"/>
      <c r="BJ131" s="810"/>
      <c r="BK131" s="810"/>
      <c r="BL131" s="810"/>
      <c r="BM131" s="810"/>
      <c r="BN131" s="810"/>
      <c r="BO131" s="810"/>
      <c r="BP131" s="810"/>
      <c r="BQ131" s="810"/>
      <c r="BR131" s="810"/>
      <c r="BS131" s="810"/>
      <c r="BT131" s="810"/>
      <c r="BU131" s="810"/>
      <c r="BV131" s="810"/>
      <c r="BW131" s="810"/>
      <c r="BX131" s="810"/>
      <c r="BY131" s="810"/>
      <c r="BZ131" s="810"/>
      <c r="CA131" s="810"/>
      <c r="CB131" s="810"/>
      <c r="CC131" s="810"/>
      <c r="CD131" s="810"/>
      <c r="CE131" s="810"/>
      <c r="CF131" s="810"/>
      <c r="CG131" s="810"/>
      <c r="CH131" s="810"/>
      <c r="CI131" s="42"/>
      <c r="CJ131" s="42"/>
      <c r="CK131" s="42"/>
      <c r="CL131" s="42"/>
    </row>
    <row r="132" spans="1:90" x14ac:dyDescent="0.25">
      <c r="A132" s="96"/>
      <c r="B132" s="96"/>
      <c r="C132" s="96"/>
      <c r="D132" s="96"/>
      <c r="E132" s="96"/>
      <c r="F132" s="96"/>
      <c r="G132" s="96"/>
      <c r="H132" s="96"/>
      <c r="I132" s="42"/>
      <c r="J132" s="42"/>
      <c r="K132" s="42"/>
      <c r="L132" s="42"/>
      <c r="M132" s="42"/>
      <c r="N132" s="42"/>
      <c r="O132" s="810"/>
      <c r="P132" s="810"/>
      <c r="Q132" s="810"/>
      <c r="R132" s="810"/>
      <c r="S132" s="810"/>
      <c r="T132" s="810"/>
      <c r="U132" s="810"/>
      <c r="V132" s="810"/>
      <c r="W132" s="810"/>
      <c r="X132" s="810"/>
      <c r="Y132" s="810"/>
      <c r="Z132" s="810"/>
      <c r="AA132" s="810"/>
      <c r="AB132" s="810"/>
      <c r="AC132" s="810"/>
      <c r="AD132" s="810"/>
      <c r="AE132" s="810"/>
      <c r="AF132" s="810"/>
      <c r="AG132" s="810"/>
      <c r="AH132" s="810"/>
      <c r="AI132" s="810"/>
      <c r="AJ132" s="810"/>
      <c r="AK132" s="810"/>
      <c r="AL132" s="810"/>
      <c r="AM132" s="810"/>
      <c r="AN132" s="810"/>
      <c r="AO132" s="810"/>
      <c r="AP132" s="810"/>
      <c r="AQ132" s="810"/>
      <c r="AR132" s="810"/>
      <c r="AS132" s="810"/>
      <c r="AT132" s="810"/>
      <c r="AU132" s="810"/>
      <c r="AV132" s="810"/>
      <c r="AW132" s="810"/>
      <c r="AX132" s="810"/>
      <c r="AY132" s="810"/>
      <c r="AZ132" s="810"/>
      <c r="BA132" s="810"/>
      <c r="BB132" s="810"/>
      <c r="BC132" s="810"/>
      <c r="BD132" s="810"/>
      <c r="BE132" s="810"/>
      <c r="BF132" s="810"/>
      <c r="BG132" s="810"/>
      <c r="BH132" s="810"/>
      <c r="BI132" s="810"/>
      <c r="BJ132" s="810"/>
      <c r="BK132" s="810"/>
      <c r="BL132" s="810"/>
      <c r="BM132" s="810"/>
      <c r="BN132" s="810"/>
      <c r="BO132" s="810"/>
      <c r="BP132" s="810"/>
      <c r="BQ132" s="810"/>
      <c r="BR132" s="810"/>
      <c r="BS132" s="810"/>
      <c r="BT132" s="810"/>
      <c r="BU132" s="810"/>
      <c r="BV132" s="810"/>
      <c r="BW132" s="810"/>
      <c r="BX132" s="810"/>
      <c r="BY132" s="810"/>
      <c r="BZ132" s="810"/>
      <c r="CA132" s="810"/>
      <c r="CB132" s="810"/>
      <c r="CC132" s="810"/>
      <c r="CD132" s="810"/>
      <c r="CE132" s="810"/>
      <c r="CF132" s="810"/>
      <c r="CG132" s="810"/>
      <c r="CH132" s="810"/>
      <c r="CI132" s="42"/>
      <c r="CJ132" s="42"/>
      <c r="CK132" s="42"/>
      <c r="CL132" s="42"/>
    </row>
    <row r="133" spans="1:90" x14ac:dyDescent="0.25">
      <c r="A133" s="96"/>
      <c r="B133" s="96"/>
      <c r="C133" s="96"/>
      <c r="D133" s="96"/>
      <c r="E133" s="96"/>
      <c r="F133" s="96"/>
      <c r="G133" s="96"/>
      <c r="H133" s="96"/>
      <c r="I133" s="42"/>
      <c r="J133" s="42"/>
      <c r="K133" s="42"/>
      <c r="L133" s="42"/>
      <c r="M133" s="42"/>
      <c r="N133" s="42"/>
      <c r="O133" s="810"/>
      <c r="P133" s="810"/>
      <c r="Q133" s="810"/>
      <c r="R133" s="810"/>
      <c r="S133" s="810"/>
      <c r="T133" s="810"/>
      <c r="U133" s="810"/>
      <c r="V133" s="810"/>
      <c r="W133" s="810"/>
      <c r="X133" s="810"/>
      <c r="Y133" s="810"/>
      <c r="Z133" s="810"/>
      <c r="AA133" s="810"/>
      <c r="AB133" s="810"/>
      <c r="AC133" s="810"/>
      <c r="AD133" s="810"/>
      <c r="AE133" s="810"/>
      <c r="AF133" s="810"/>
      <c r="AG133" s="810"/>
      <c r="AH133" s="810"/>
      <c r="AI133" s="810"/>
      <c r="AJ133" s="810"/>
      <c r="AK133" s="810"/>
      <c r="AL133" s="810"/>
      <c r="AM133" s="810"/>
      <c r="AN133" s="810"/>
      <c r="AO133" s="810"/>
      <c r="AP133" s="810"/>
      <c r="AQ133" s="810"/>
      <c r="AR133" s="810"/>
      <c r="AS133" s="810"/>
      <c r="AT133" s="810"/>
      <c r="AU133" s="810"/>
      <c r="AV133" s="810"/>
      <c r="AW133" s="810"/>
      <c r="AX133" s="810"/>
      <c r="AY133" s="810"/>
      <c r="AZ133" s="810"/>
      <c r="BA133" s="810"/>
      <c r="BB133" s="810"/>
      <c r="BC133" s="810"/>
      <c r="BD133" s="810"/>
      <c r="BE133" s="810"/>
      <c r="BF133" s="810"/>
      <c r="BG133" s="810"/>
      <c r="BH133" s="810"/>
      <c r="BI133" s="810"/>
      <c r="BJ133" s="810"/>
      <c r="BK133" s="810"/>
      <c r="BL133" s="810"/>
      <c r="BM133" s="810"/>
      <c r="BN133" s="810"/>
      <c r="BO133" s="810"/>
      <c r="BP133" s="810"/>
      <c r="BQ133" s="810"/>
      <c r="BR133" s="810"/>
      <c r="BS133" s="810"/>
      <c r="BT133" s="810"/>
      <c r="BU133" s="810"/>
      <c r="BV133" s="810"/>
      <c r="BW133" s="810"/>
      <c r="BX133" s="810"/>
      <c r="BY133" s="810"/>
      <c r="BZ133" s="810"/>
      <c r="CA133" s="810"/>
      <c r="CB133" s="810"/>
      <c r="CC133" s="810"/>
      <c r="CD133" s="810"/>
      <c r="CE133" s="810"/>
      <c r="CF133" s="810"/>
      <c r="CG133" s="810"/>
      <c r="CH133" s="810"/>
      <c r="CI133" s="42"/>
      <c r="CJ133" s="42"/>
      <c r="CK133" s="42"/>
      <c r="CL133" s="42"/>
    </row>
    <row r="134" spans="1:90" x14ac:dyDescent="0.25">
      <c r="A134" s="96"/>
      <c r="B134" s="96"/>
      <c r="C134" s="96"/>
      <c r="D134" s="96"/>
      <c r="E134" s="96"/>
      <c r="F134" s="96"/>
      <c r="G134" s="96"/>
      <c r="H134" s="96"/>
      <c r="I134" s="42"/>
      <c r="J134" s="42"/>
      <c r="K134" s="42"/>
      <c r="L134" s="42"/>
      <c r="M134" s="42"/>
      <c r="N134" s="42"/>
      <c r="O134" s="810"/>
      <c r="P134" s="810"/>
      <c r="Q134" s="810"/>
      <c r="R134" s="810"/>
      <c r="S134" s="810"/>
      <c r="T134" s="810"/>
      <c r="U134" s="810"/>
      <c r="V134" s="810"/>
      <c r="W134" s="810"/>
      <c r="X134" s="810"/>
      <c r="Y134" s="810"/>
      <c r="Z134" s="810"/>
      <c r="AA134" s="810"/>
      <c r="AB134" s="810"/>
      <c r="AC134" s="810"/>
      <c r="AD134" s="810"/>
      <c r="AE134" s="810"/>
      <c r="AF134" s="810"/>
      <c r="AG134" s="810"/>
      <c r="AH134" s="810"/>
      <c r="AI134" s="810"/>
      <c r="AJ134" s="810"/>
      <c r="AK134" s="810"/>
      <c r="AL134" s="810"/>
      <c r="AM134" s="810"/>
      <c r="AN134" s="810"/>
      <c r="AO134" s="810"/>
      <c r="AP134" s="810"/>
      <c r="AQ134" s="810"/>
      <c r="AR134" s="810"/>
      <c r="AS134" s="810"/>
      <c r="AT134" s="810"/>
      <c r="AU134" s="810"/>
      <c r="AV134" s="810"/>
      <c r="AW134" s="810"/>
      <c r="AX134" s="810"/>
      <c r="AY134" s="810"/>
      <c r="AZ134" s="810"/>
      <c r="BA134" s="810"/>
      <c r="BB134" s="810"/>
      <c r="BC134" s="810"/>
      <c r="BD134" s="810"/>
      <c r="BE134" s="810"/>
      <c r="BF134" s="810"/>
      <c r="BG134" s="810"/>
      <c r="BH134" s="810"/>
      <c r="BI134" s="810"/>
      <c r="BJ134" s="810"/>
      <c r="BK134" s="810"/>
      <c r="BL134" s="810"/>
      <c r="BM134" s="810"/>
      <c r="BN134" s="810"/>
      <c r="BO134" s="810"/>
      <c r="BP134" s="810"/>
      <c r="BQ134" s="810"/>
      <c r="BR134" s="810"/>
      <c r="BS134" s="810"/>
      <c r="BT134" s="810"/>
      <c r="BU134" s="810"/>
      <c r="BV134" s="810"/>
      <c r="BW134" s="810"/>
      <c r="BX134" s="810"/>
      <c r="BY134" s="810"/>
      <c r="BZ134" s="810"/>
      <c r="CA134" s="810"/>
      <c r="CB134" s="810"/>
      <c r="CC134" s="810"/>
      <c r="CD134" s="810"/>
      <c r="CE134" s="810"/>
      <c r="CF134" s="810"/>
      <c r="CG134" s="810"/>
      <c r="CH134" s="810"/>
      <c r="CI134" s="42"/>
      <c r="CJ134" s="42"/>
      <c r="CK134" s="42"/>
      <c r="CL134" s="42"/>
    </row>
    <row r="135" spans="1:90" x14ac:dyDescent="0.25">
      <c r="A135" s="96"/>
      <c r="B135" s="96"/>
      <c r="C135" s="96"/>
      <c r="D135" s="96"/>
      <c r="E135" s="96"/>
      <c r="F135" s="96"/>
      <c r="G135" s="96"/>
      <c r="H135" s="96"/>
      <c r="I135" s="42"/>
      <c r="J135" s="42"/>
      <c r="K135" s="42"/>
      <c r="L135" s="42"/>
      <c r="M135" s="42"/>
      <c r="N135" s="42"/>
      <c r="O135" s="810"/>
      <c r="P135" s="810"/>
      <c r="Q135" s="810"/>
      <c r="R135" s="810"/>
      <c r="S135" s="810"/>
      <c r="T135" s="810"/>
      <c r="U135" s="810"/>
      <c r="V135" s="810"/>
      <c r="W135" s="810"/>
      <c r="X135" s="810"/>
      <c r="Y135" s="810"/>
      <c r="Z135" s="810"/>
      <c r="AA135" s="810"/>
      <c r="AB135" s="810"/>
      <c r="AC135" s="810"/>
      <c r="AD135" s="810"/>
      <c r="AE135" s="810"/>
      <c r="AF135" s="810"/>
      <c r="AG135" s="810"/>
      <c r="AH135" s="810"/>
      <c r="AI135" s="810"/>
      <c r="AJ135" s="810"/>
      <c r="AK135" s="810"/>
      <c r="AL135" s="810"/>
      <c r="AM135" s="810"/>
      <c r="AN135" s="810"/>
      <c r="AO135" s="810"/>
      <c r="AP135" s="810"/>
      <c r="AQ135" s="810"/>
      <c r="AR135" s="810"/>
      <c r="AS135" s="810"/>
      <c r="AT135" s="810"/>
      <c r="AU135" s="810"/>
      <c r="AV135" s="810"/>
      <c r="AW135" s="810"/>
      <c r="AX135" s="810"/>
      <c r="AY135" s="810"/>
      <c r="AZ135" s="810"/>
      <c r="BA135" s="810"/>
      <c r="BB135" s="810"/>
      <c r="BC135" s="810"/>
      <c r="BD135" s="810"/>
      <c r="BE135" s="810"/>
      <c r="BF135" s="810"/>
      <c r="BG135" s="810"/>
      <c r="BH135" s="810"/>
      <c r="BI135" s="810"/>
      <c r="BJ135" s="810"/>
      <c r="BK135" s="810"/>
      <c r="BL135" s="810"/>
      <c r="BM135" s="810"/>
      <c r="BN135" s="810"/>
      <c r="BO135" s="810"/>
      <c r="BP135" s="810"/>
      <c r="BQ135" s="810"/>
      <c r="BR135" s="810"/>
      <c r="BS135" s="810"/>
      <c r="BT135" s="810"/>
      <c r="BU135" s="810"/>
      <c r="BV135" s="810"/>
      <c r="BW135" s="810"/>
      <c r="BX135" s="810"/>
      <c r="BY135" s="810"/>
      <c r="BZ135" s="810"/>
      <c r="CA135" s="810"/>
      <c r="CB135" s="810"/>
      <c r="CC135" s="810"/>
      <c r="CD135" s="810"/>
      <c r="CE135" s="810"/>
      <c r="CF135" s="810"/>
      <c r="CG135" s="810"/>
      <c r="CH135" s="810"/>
      <c r="CI135" s="42"/>
      <c r="CJ135" s="42"/>
      <c r="CK135" s="42"/>
      <c r="CL135" s="42"/>
    </row>
  </sheetData>
  <mergeCells count="28">
    <mergeCell ref="L69:N69"/>
    <mergeCell ref="L63:N63"/>
    <mergeCell ref="L64:N64"/>
    <mergeCell ref="L65:N65"/>
    <mergeCell ref="L66:N66"/>
    <mergeCell ref="L67:N67"/>
    <mergeCell ref="L68:N68"/>
    <mergeCell ref="L30:N30"/>
    <mergeCell ref="L59:N59"/>
    <mergeCell ref="L58:N58"/>
    <mergeCell ref="L26:N26"/>
    <mergeCell ref="L25:N25"/>
    <mergeCell ref="L22:N22"/>
    <mergeCell ref="L62:N62"/>
    <mergeCell ref="L48:N48"/>
    <mergeCell ref="L29:N29"/>
    <mergeCell ref="L28:N28"/>
    <mergeCell ref="L27:N27"/>
    <mergeCell ref="L47:N47"/>
    <mergeCell ref="L55:N55"/>
    <mergeCell ref="L54:N54"/>
    <mergeCell ref="L53:N53"/>
    <mergeCell ref="L52:N52"/>
    <mergeCell ref="L51:N51"/>
    <mergeCell ref="L50:N50"/>
    <mergeCell ref="L49:N49"/>
    <mergeCell ref="L24:N24"/>
    <mergeCell ref="L23:N23"/>
  </mergeCells>
  <dataValidations disablePrompts="1" count="1">
    <dataValidation type="list" allowBlank="1" showInputMessage="1" showErrorMessage="1" error="Invalid Option - Please Select from the List" prompt="Select Rounding Option" sqref="O103 K121" xr:uid="{00000000-0002-0000-2300-000000000000}">
      <formula1>Rounding_Label</formula1>
    </dataValidation>
  </dataValidations>
  <printOptions horizontalCentered="1"/>
  <pageMargins left="0.5" right="0.5"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Invalid Option - Please Select from the List" prompt="Select Start Date to be used in Lease-Up Discount Calculation" xr:uid="{00000000-0002-0000-2300-000001000000}">
          <x14:formula1>
            <xm:f>'Selection Tables'!$G$9:$G$11</xm:f>
          </x14:formula1>
          <xm:sqref>O21</xm:sqref>
        </x14:dataValidation>
      </x14:dataValidations>
    </ext>
  </extLs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61">
    <tabColor theme="5" tint="-0.249977111117893"/>
    <pageSetUpPr fitToPage="1"/>
  </sheetPr>
  <dimension ref="A1:AB78"/>
  <sheetViews>
    <sheetView zoomScaleNormal="100" workbookViewId="0">
      <selection activeCell="AB22" sqref="AB22"/>
    </sheetView>
  </sheetViews>
  <sheetFormatPr defaultColWidth="9.140625" defaultRowHeight="14.25" x14ac:dyDescent="0.25"/>
  <cols>
    <col min="1" max="1" width="5.7109375" style="41" customWidth="1"/>
    <col min="2" max="2" width="1.7109375" style="143" customWidth="1"/>
    <col min="3" max="3" width="0.85546875" style="42" customWidth="1"/>
    <col min="4" max="4" width="20.7109375" style="42" customWidth="1"/>
    <col min="5" max="5" width="9.7109375" style="54" customWidth="1"/>
    <col min="6" max="6" width="11.7109375" style="42" customWidth="1"/>
    <col min="7" max="8" width="10.7109375" style="42" customWidth="1"/>
    <col min="9" max="9" width="0.85546875" style="42" customWidth="1"/>
    <col min="10" max="10" width="1.7109375" style="42" customWidth="1"/>
    <col min="11" max="11" width="8.7109375" style="42" customWidth="1"/>
    <col min="12" max="13" width="9.7109375" style="42" customWidth="1"/>
    <col min="14" max="14" width="6.7109375" style="42" customWidth="1"/>
    <col min="15" max="15" width="7.7109375" style="42" customWidth="1"/>
    <col min="16" max="16" width="0.85546875" style="42" customWidth="1"/>
    <col min="17" max="20" width="1.7109375" style="42" customWidth="1"/>
    <col min="21" max="23" width="14.7109375" style="42" customWidth="1"/>
    <col min="24" max="24" width="1.7109375" style="54" customWidth="1"/>
    <col min="25" max="25" width="1.7109375" style="42" customWidth="1"/>
    <col min="26" max="26" width="9.140625" style="42"/>
    <col min="27" max="28" width="15.7109375" style="42" customWidth="1"/>
    <col min="29" max="16384" width="9.140625" style="42"/>
  </cols>
  <sheetData>
    <row r="1" spans="1:28" ht="60" customHeight="1" x14ac:dyDescent="0.25">
      <c r="K1" s="655"/>
      <c r="L1" s="655"/>
      <c r="M1" s="655"/>
      <c r="N1" s="655"/>
      <c r="O1" s="655"/>
      <c r="P1" s="655"/>
      <c r="Q1" s="655"/>
      <c r="R1" s="655"/>
      <c r="S1" s="655"/>
      <c r="T1" s="655"/>
      <c r="U1" s="655"/>
      <c r="V1" s="655"/>
      <c r="W1" s="655"/>
      <c r="X1" s="655"/>
      <c r="Y1" s="655"/>
      <c r="Z1" s="655"/>
      <c r="AA1" s="655"/>
      <c r="AB1" s="655"/>
    </row>
    <row r="2" spans="1:28" ht="14.25" customHeight="1" thickBot="1" x14ac:dyDescent="0.3"/>
    <row r="3" spans="1:28" ht="9.9499999999999993" customHeight="1" x14ac:dyDescent="0.25">
      <c r="B3" s="94"/>
      <c r="C3" s="2"/>
      <c r="D3" s="2"/>
      <c r="E3" s="202"/>
      <c r="F3" s="202"/>
      <c r="G3" s="202"/>
      <c r="H3" s="202"/>
      <c r="I3" s="202"/>
      <c r="J3" s="2"/>
      <c r="K3" s="228"/>
      <c r="L3" s="10"/>
      <c r="M3" s="10"/>
    </row>
    <row r="4" spans="1:28" ht="16.5" x14ac:dyDescent="0.3">
      <c r="B4" s="140"/>
      <c r="C4" s="419"/>
      <c r="D4" s="17" t="s">
        <v>981</v>
      </c>
      <c r="E4" s="584"/>
      <c r="F4" s="490"/>
      <c r="G4" s="490"/>
      <c r="H4" s="490"/>
      <c r="I4" s="490"/>
      <c r="J4" s="531"/>
      <c r="K4" s="597"/>
      <c r="L4" s="142"/>
      <c r="M4" s="142"/>
    </row>
    <row r="5" spans="1:28" ht="20.100000000000001" customHeight="1" x14ac:dyDescent="0.25">
      <c r="A5" s="957">
        <f t="shared" ref="A5:B11" si="0">IF(Income_TechniqueUsed="Discounted Cash Flow",0,1)</f>
        <v>1</v>
      </c>
      <c r="B5" s="2639">
        <f t="shared" si="0"/>
        <v>1</v>
      </c>
      <c r="C5" s="258"/>
      <c r="D5" s="3335" t="s">
        <v>956</v>
      </c>
      <c r="E5" s="3867" t="e">
        <f ca="1">1-dpIncome_RentRollOccupancy</f>
        <v>#VALUE!</v>
      </c>
      <c r="F5" s="3925" t="e">
        <f ca="1">1-dpIncome_VacancyActual</f>
        <v>#VALUE!</v>
      </c>
      <c r="G5" s="3867"/>
      <c r="H5" s="3867"/>
      <c r="I5" s="3507"/>
      <c r="J5" s="5"/>
      <c r="K5" s="228"/>
      <c r="L5" s="10"/>
      <c r="M5" s="10"/>
    </row>
    <row r="6" spans="1:28" x14ac:dyDescent="0.25">
      <c r="A6" s="957">
        <f t="shared" si="0"/>
        <v>1</v>
      </c>
      <c r="B6" s="2639">
        <f t="shared" si="0"/>
        <v>1</v>
      </c>
      <c r="C6" s="258"/>
      <c r="D6" s="3335" t="s">
        <v>438</v>
      </c>
      <c r="E6" s="3867">
        <v>0.04</v>
      </c>
      <c r="F6" s="3925">
        <f>1-dpIncome_StabilizedVacancy</f>
        <v>0.98</v>
      </c>
      <c r="G6" s="3867"/>
      <c r="H6" s="3867"/>
      <c r="I6" s="778"/>
      <c r="J6" s="5"/>
      <c r="K6" s="228"/>
      <c r="L6" s="10"/>
      <c r="M6" s="10"/>
    </row>
    <row r="7" spans="1:28" x14ac:dyDescent="0.25">
      <c r="A7" s="957">
        <f t="shared" si="0"/>
        <v>1</v>
      </c>
      <c r="B7" s="2639">
        <f t="shared" si="0"/>
        <v>1</v>
      </c>
      <c r="C7" s="258"/>
      <c r="D7" s="3335" t="s">
        <v>432</v>
      </c>
      <c r="E7" s="3867">
        <v>0.01</v>
      </c>
      <c r="F7" s="3867"/>
      <c r="G7" s="3867"/>
      <c r="H7" s="3867"/>
      <c r="I7" s="3507"/>
      <c r="J7" s="5"/>
      <c r="K7" s="228"/>
      <c r="L7" s="10"/>
      <c r="M7" s="10"/>
    </row>
    <row r="8" spans="1:28" x14ac:dyDescent="0.25">
      <c r="A8" s="957">
        <f t="shared" si="0"/>
        <v>1</v>
      </c>
      <c r="B8" s="2639">
        <f t="shared" si="0"/>
        <v>1</v>
      </c>
      <c r="C8" s="258"/>
      <c r="D8" s="3335" t="s">
        <v>1533</v>
      </c>
      <c r="E8" s="3867">
        <f>dpIncome_StabilizedVacancy+dpIncome_CollectionLoss</f>
        <v>0.03</v>
      </c>
      <c r="F8" s="3867"/>
      <c r="G8" s="3867"/>
      <c r="H8" s="3867"/>
      <c r="I8" s="3507"/>
      <c r="J8" s="5"/>
      <c r="K8" s="228"/>
      <c r="L8" s="10"/>
      <c r="M8" s="10"/>
    </row>
    <row r="9" spans="1:28" x14ac:dyDescent="0.25">
      <c r="A9" s="957">
        <f t="shared" si="0"/>
        <v>1</v>
      </c>
      <c r="B9" s="2639">
        <f t="shared" si="0"/>
        <v>1</v>
      </c>
      <c r="C9" s="258"/>
      <c r="D9" s="3335" t="s">
        <v>1534</v>
      </c>
      <c r="E9" s="1117">
        <v>0.0725</v>
      </c>
      <c r="F9" s="1117"/>
      <c r="G9" s="1117"/>
      <c r="H9" s="1117"/>
      <c r="I9" s="3218"/>
      <c r="J9" s="5"/>
      <c r="K9" s="228"/>
      <c r="L9" s="10"/>
      <c r="M9" s="10"/>
    </row>
    <row r="10" spans="1:28" x14ac:dyDescent="0.25">
      <c r="A10" s="957">
        <f t="shared" si="0"/>
        <v>1</v>
      </c>
      <c r="B10" s="2639">
        <f t="shared" si="0"/>
        <v>1</v>
      </c>
      <c r="C10" s="2984"/>
      <c r="D10" s="3199"/>
      <c r="E10" s="3926"/>
      <c r="F10" s="3926" t="s">
        <v>998</v>
      </c>
      <c r="G10" s="3926" t="s">
        <v>999</v>
      </c>
      <c r="H10" s="3344" t="s">
        <v>271</v>
      </c>
      <c r="I10" s="92"/>
      <c r="J10" s="287"/>
      <c r="K10" s="597"/>
      <c r="L10" s="142"/>
      <c r="M10" s="142"/>
    </row>
    <row r="11" spans="1:28" x14ac:dyDescent="0.25">
      <c r="A11" s="957">
        <f t="shared" si="0"/>
        <v>1</v>
      </c>
      <c r="B11" s="2639">
        <f t="shared" si="0"/>
        <v>1</v>
      </c>
      <c r="C11" s="2984"/>
      <c r="D11" s="3199" t="s">
        <v>315</v>
      </c>
      <c r="E11" s="3926" t="s">
        <v>20</v>
      </c>
      <c r="F11" s="3926" t="s">
        <v>267</v>
      </c>
      <c r="G11" s="3926" t="s">
        <v>267</v>
      </c>
      <c r="H11" s="3344" t="s">
        <v>272</v>
      </c>
      <c r="I11" s="92"/>
      <c r="J11" s="287"/>
      <c r="K11" s="597"/>
      <c r="L11" s="142"/>
      <c r="M11" s="142"/>
    </row>
    <row r="12" spans="1:28" ht="15" thickBot="1" x14ac:dyDescent="0.3">
      <c r="A12" s="957">
        <f>IF(Income_TechniqueUsed="Discounted Cash Flow",0,1)</f>
        <v>1</v>
      </c>
      <c r="B12" s="2639">
        <f t="shared" ref="B12:B20" si="1">IF(Income_TechniqueUsed="Discounted Cash Flow",0,1)</f>
        <v>1</v>
      </c>
      <c r="C12" s="2984"/>
      <c r="D12" s="3909" t="s">
        <v>20050</v>
      </c>
      <c r="E12" s="3927">
        <f ca="1">Income_TCat1_NRA</f>
        <v>0</v>
      </c>
      <c r="F12" s="3910">
        <v>12</v>
      </c>
      <c r="G12" s="3911" t="e">
        <f ca="1">dpIncome_TCat1_WAContractRent</f>
        <v>#DIV/0!</v>
      </c>
      <c r="H12" s="3912" t="s">
        <v>290</v>
      </c>
      <c r="I12" s="92"/>
      <c r="J12" s="287"/>
      <c r="K12" s="532" t="s">
        <v>18665</v>
      </c>
      <c r="L12" s="142"/>
      <c r="M12" s="142"/>
    </row>
    <row r="13" spans="1:28" hidden="1" x14ac:dyDescent="0.25">
      <c r="A13" s="957">
        <f ca="1">IF(Income_TechniqueUsed="Discounted Cash Flow",0,IF(AND(ISNUMBER(Income_TCat2_NRA_Manual),Income_TCat2_NRA_Manual&gt;0),1,0))</f>
        <v>0</v>
      </c>
      <c r="B13" s="2639">
        <f t="shared" si="1"/>
        <v>1</v>
      </c>
      <c r="C13" s="2984"/>
      <c r="D13" s="3973" t="s">
        <v>20036</v>
      </c>
      <c r="E13" s="3583">
        <f ca="1">Income_TCat2_NRA</f>
        <v>0</v>
      </c>
      <c r="F13" s="3974">
        <v>1.5</v>
      </c>
      <c r="G13" s="3913" t="e">
        <f ca="1">dpIncome_TCat2_WAContractRent</f>
        <v>#DIV/0!</v>
      </c>
      <c r="H13" s="3256" t="s">
        <v>290</v>
      </c>
      <c r="I13" s="92"/>
      <c r="J13" s="287"/>
      <c r="K13" s="597"/>
      <c r="L13" s="142"/>
      <c r="M13" s="142"/>
    </row>
    <row r="14" spans="1:28" hidden="1" x14ac:dyDescent="0.25">
      <c r="A14" s="957">
        <f ca="1">IF(Income_TechniqueUsed="Discounted Cash Flow",0,IF(AND(ISNUMBER(Income_TCat3_NRA_Manual),Income_TCat3_NRA_Manual&gt;0),1,0))</f>
        <v>0</v>
      </c>
      <c r="B14" s="2639">
        <f t="shared" si="1"/>
        <v>1</v>
      </c>
      <c r="C14" s="2984"/>
      <c r="D14" s="3975"/>
      <c r="E14" s="3583">
        <f ca="1">Income_TCat3_NRA</f>
        <v>0</v>
      </c>
      <c r="F14" s="3974"/>
      <c r="G14" s="3913" t="e">
        <f ca="1">dpIncome_TCat3_WAContractRent</f>
        <v>#DIV/0!</v>
      </c>
      <c r="H14" s="3256"/>
      <c r="I14" s="92"/>
      <c r="J14" s="287"/>
      <c r="K14" s="597"/>
      <c r="L14" s="1390"/>
      <c r="M14" s="142"/>
    </row>
    <row r="15" spans="1:28" hidden="1" x14ac:dyDescent="0.25">
      <c r="A15" s="957">
        <f ca="1">IF(Income_TechniqueUsed="Discounted Cash Flow",0,IF(AND(ISNUMBER(Income_TCat4_NRA_Manual),Income_TCat4_NRA_Manual&gt;0),1,0))</f>
        <v>0</v>
      </c>
      <c r="B15" s="2639">
        <f t="shared" si="1"/>
        <v>1</v>
      </c>
      <c r="C15" s="2984"/>
      <c r="D15" s="3975"/>
      <c r="E15" s="3583">
        <f ca="1">Income_TCat4_NRA</f>
        <v>0</v>
      </c>
      <c r="F15" s="3974"/>
      <c r="G15" s="3913" t="e">
        <f ca="1">dpIncome_TCat4_WAContractRent</f>
        <v>#DIV/0!</v>
      </c>
      <c r="H15" s="3256"/>
      <c r="I15" s="92"/>
      <c r="J15" s="287"/>
      <c r="K15" s="597"/>
      <c r="L15" s="142"/>
      <c r="M15" s="142"/>
    </row>
    <row r="16" spans="1:28" hidden="1" x14ac:dyDescent="0.25">
      <c r="A16" s="957">
        <f ca="1">IF(Income_TechniqueUsed="Discounted Cash Flow",0,IF(AND(ISNUMBER(Income_TCat5_NRA_Manual),Income_TCat5_NRA_Manual&gt;0),1,0))</f>
        <v>0</v>
      </c>
      <c r="B16" s="2639">
        <f t="shared" si="1"/>
        <v>1</v>
      </c>
      <c r="C16" s="2984"/>
      <c r="D16" s="3975"/>
      <c r="E16" s="3583">
        <f ca="1">Income_TCat5_NRA</f>
        <v>0</v>
      </c>
      <c r="F16" s="3974"/>
      <c r="G16" s="3913" t="e">
        <f ca="1">dpIncome_TCat5_WAContractRent</f>
        <v>#DIV/0!</v>
      </c>
      <c r="H16" s="3256"/>
      <c r="I16" s="92"/>
      <c r="J16" s="287"/>
      <c r="K16" s="597"/>
      <c r="L16" s="142"/>
      <c r="M16" s="142"/>
    </row>
    <row r="17" spans="1:23" hidden="1" x14ac:dyDescent="0.25">
      <c r="A17" s="957">
        <f ca="1">IF(Income_TechniqueUsed="Discounted Cash Flow",0,IF(AND(ISNUMBER(Income_TCat6_NRA_Manual),Income_TCat6_NRA_Manual&gt;0),1,0))</f>
        <v>0</v>
      </c>
      <c r="B17" s="2639">
        <f t="shared" si="1"/>
        <v>1</v>
      </c>
      <c r="C17" s="2984"/>
      <c r="D17" s="3975"/>
      <c r="E17" s="3583">
        <f ca="1">Income_TCat6_NRA</f>
        <v>0</v>
      </c>
      <c r="F17" s="3974"/>
      <c r="G17" s="3913" t="e">
        <f ca="1">dpIncome_TCat6_WAContractRent</f>
        <v>#DIV/0!</v>
      </c>
      <c r="H17" s="3256"/>
      <c r="I17" s="92"/>
      <c r="J17" s="287"/>
      <c r="K17" s="597"/>
      <c r="L17" s="142"/>
      <c r="M17" s="142"/>
    </row>
    <row r="18" spans="1:23" hidden="1" x14ac:dyDescent="0.25">
      <c r="A18" s="957">
        <f ca="1">IF(Income_TechniqueUsed="Discounted Cash Flow",0,IF(AND(ISNUMBER(Income_TCat7_NRA_Manual),Income_TCat7_NRA_Manual&gt;0),1,0))</f>
        <v>0</v>
      </c>
      <c r="B18" s="2639">
        <f t="shared" si="1"/>
        <v>1</v>
      </c>
      <c r="C18" s="2984"/>
      <c r="D18" s="3975"/>
      <c r="E18" s="3583">
        <f ca="1">Income_TCat7_NRA</f>
        <v>0</v>
      </c>
      <c r="F18" s="3974"/>
      <c r="G18" s="3913" t="e">
        <f ca="1">dpIncome_TCat7_WAContractRent</f>
        <v>#DIV/0!</v>
      </c>
      <c r="H18" s="3256"/>
      <c r="I18" s="92"/>
      <c r="J18" s="287"/>
      <c r="K18" s="597"/>
      <c r="L18" s="142"/>
      <c r="M18" s="142"/>
    </row>
    <row r="19" spans="1:23" hidden="1" x14ac:dyDescent="0.25">
      <c r="A19" s="957">
        <f ca="1">IF(Income_TechniqueUsed="Discounted Cash Flow",0,IF(AND(ISNUMBER(Income_TCat8_NRA_Manual),Income_TCat8_NRA_Manual&gt;0),1,0))</f>
        <v>0</v>
      </c>
      <c r="B19" s="2639">
        <f t="shared" si="1"/>
        <v>1</v>
      </c>
      <c r="C19" s="2984"/>
      <c r="D19" s="3914"/>
      <c r="E19" s="3928">
        <f ca="1">Income_TCat8_NRA</f>
        <v>0</v>
      </c>
      <c r="F19" s="3915"/>
      <c r="G19" s="3916" t="e">
        <f ca="1">dpIncome_TCat8_WAContractRent</f>
        <v>#DIV/0!</v>
      </c>
      <c r="H19" s="3917"/>
      <c r="I19" s="92"/>
      <c r="J19" s="287"/>
      <c r="K19" s="597"/>
      <c r="L19" s="142"/>
      <c r="M19" s="142"/>
    </row>
    <row r="20" spans="1:23" ht="15" hidden="1" thickBot="1" x14ac:dyDescent="0.3">
      <c r="A20" s="957">
        <f ca="1">IF(Income_TechniqueUsed="Discounted Cash Flow",0,IF(SUM(A12:A19)=1,0,1))</f>
        <v>0</v>
      </c>
      <c r="B20" s="2639">
        <f t="shared" si="1"/>
        <v>1</v>
      </c>
      <c r="C20" s="2984"/>
      <c r="D20" s="3929" t="s">
        <v>1549</v>
      </c>
      <c r="E20" s="3930">
        <f ca="1">SUM(E12:E19)</f>
        <v>0</v>
      </c>
      <c r="F20" s="3931">
        <f ca="1">SUMPRODUCT(E12:E19,F12:F19)/Subject_NRA</f>
        <v>0</v>
      </c>
      <c r="G20" s="3932">
        <f ca="1">IF(Income_RentRollSource="No Rent Roll",SUMPRODUCT(E12:E19,G12:G19)/E20,dpIncome_ContractRent_Average)</f>
        <v>7.5003940712537398</v>
      </c>
      <c r="H20" s="3932"/>
      <c r="I20" s="92"/>
      <c r="J20" s="287"/>
      <c r="K20" s="597"/>
      <c r="L20" s="142"/>
      <c r="M20" s="142"/>
    </row>
    <row r="21" spans="1:23" ht="20.100000000000001" customHeight="1" x14ac:dyDescent="0.25">
      <c r="A21" s="957">
        <v>1</v>
      </c>
      <c r="B21" s="2640">
        <v>1</v>
      </c>
      <c r="C21" s="5"/>
      <c r="D21" s="656" t="s">
        <v>955</v>
      </c>
      <c r="E21" s="657"/>
      <c r="F21" s="658"/>
      <c r="G21" s="658"/>
      <c r="H21" s="658"/>
      <c r="I21" s="39"/>
      <c r="J21" s="5"/>
      <c r="K21" s="228"/>
      <c r="L21" s="10"/>
      <c r="M21" s="10"/>
    </row>
    <row r="22" spans="1:23" ht="150" customHeight="1" thickBot="1" x14ac:dyDescent="0.3">
      <c r="A22" s="972">
        <v>1</v>
      </c>
      <c r="B22" s="972">
        <v>1</v>
      </c>
      <c r="D22" s="42">
        <f>COUNTBLANK(Income_SpaceTypeSelectionRange)</f>
        <v>6</v>
      </c>
    </row>
    <row r="23" spans="1:23" ht="9.9499999999999993" customHeight="1" x14ac:dyDescent="0.25">
      <c r="A23" s="957">
        <v>1</v>
      </c>
      <c r="B23" s="2641">
        <v>1</v>
      </c>
      <c r="C23" s="2"/>
      <c r="D23" s="2"/>
      <c r="E23" s="202"/>
      <c r="F23" s="202"/>
      <c r="G23" s="202"/>
      <c r="H23" s="202"/>
      <c r="I23" s="202"/>
      <c r="J23" s="202"/>
      <c r="K23" s="202"/>
      <c r="L23" s="202"/>
      <c r="M23" s="202"/>
      <c r="N23" s="202"/>
      <c r="O23" s="202"/>
      <c r="P23" s="2"/>
      <c r="Q23" s="3"/>
      <c r="R23" s="228"/>
      <c r="S23" s="10"/>
      <c r="T23" s="10"/>
      <c r="U23" s="13"/>
      <c r="V23" s="13"/>
      <c r="W23" s="13"/>
    </row>
    <row r="24" spans="1:23" ht="17.25" thickBot="1" x14ac:dyDescent="0.3">
      <c r="A24" s="957">
        <v>1</v>
      </c>
      <c r="B24" s="2642">
        <v>1</v>
      </c>
      <c r="C24" s="419"/>
      <c r="D24" s="519" t="s">
        <v>982</v>
      </c>
      <c r="E24" s="585"/>
      <c r="F24" s="490"/>
      <c r="G24" s="490"/>
      <c r="H24" s="490"/>
      <c r="I24" s="490"/>
      <c r="J24" s="490"/>
      <c r="K24" s="490"/>
      <c r="L24" s="490"/>
      <c r="M24" s="490"/>
      <c r="N24" s="490"/>
      <c r="O24" s="490"/>
      <c r="P24" s="419"/>
      <c r="Q24" s="591"/>
      <c r="R24" s="532"/>
      <c r="S24" s="419"/>
      <c r="T24" s="419"/>
      <c r="U24" s="490"/>
      <c r="V24" s="490"/>
      <c r="W24" s="490"/>
    </row>
    <row r="25" spans="1:23" ht="5.0999999999999996" hidden="1" customHeight="1" x14ac:dyDescent="0.25">
      <c r="A25" s="957">
        <f t="shared" ref="A25:B30" si="2">IF(Income_TechniqueUsed="Direct Capitalization",0,1)</f>
        <v>0</v>
      </c>
      <c r="B25" s="2639">
        <f t="shared" si="2"/>
        <v>0</v>
      </c>
      <c r="C25" s="258"/>
      <c r="D25" s="258"/>
      <c r="E25" s="423"/>
      <c r="F25" s="423"/>
      <c r="G25" s="423"/>
      <c r="H25" s="423"/>
      <c r="I25" s="423"/>
      <c r="J25" s="423"/>
      <c r="K25" s="423"/>
      <c r="L25" s="423"/>
      <c r="M25" s="423"/>
      <c r="N25" s="423"/>
      <c r="O25" s="423"/>
      <c r="P25" s="258"/>
      <c r="Q25" s="6"/>
      <c r="R25" s="228"/>
      <c r="S25" s="10"/>
      <c r="T25" s="10"/>
      <c r="U25" s="13"/>
      <c r="V25" s="13"/>
      <c r="W25" s="13"/>
    </row>
    <row r="26" spans="1:23" ht="30" hidden="1" customHeight="1" x14ac:dyDescent="0.25">
      <c r="A26" s="957">
        <f t="shared" si="2"/>
        <v>0</v>
      </c>
      <c r="B26" s="2639">
        <f t="shared" si="2"/>
        <v>0</v>
      </c>
      <c r="C26" s="2984"/>
      <c r="D26" s="3199" t="s">
        <v>502</v>
      </c>
      <c r="E26" s="4174" t="str">
        <f>IF(Sort_NumValues=3,dpSort_ValueScenario_3,IF(Sort_NumValues=2,dpSort_ValueScenario_2,dpSort_ValueScenario_1))</f>
        <v>Retrospective Fee Simple Market Value Indication</v>
      </c>
      <c r="F26" s="4174"/>
      <c r="G26" s="4174" t="str">
        <f>IF(Sort_NumValues=3,dpSort_ValueScenario_2,IF(Sort_NumValues=2,dpSort_ValueScenario_1,""))</f>
        <v/>
      </c>
      <c r="H26" s="4174"/>
      <c r="I26" s="4239" t="str">
        <f>IF(Sort_NumValues=3,dpSort_ValueScenario_1,"")</f>
        <v/>
      </c>
      <c r="J26" s="4239"/>
      <c r="K26" s="4239"/>
      <c r="L26" s="4239"/>
      <c r="M26" s="3534"/>
      <c r="N26" s="2985"/>
      <c r="O26" s="2985"/>
      <c r="P26" s="2984"/>
      <c r="Q26" s="288"/>
      <c r="R26" s="597"/>
      <c r="S26" s="142"/>
      <c r="T26" s="142"/>
      <c r="U26" s="497"/>
      <c r="V26" s="497"/>
      <c r="W26" s="497"/>
    </row>
    <row r="27" spans="1:23" hidden="1" x14ac:dyDescent="0.25">
      <c r="A27" s="957">
        <f t="shared" si="2"/>
        <v>0</v>
      </c>
      <c r="B27" s="2639">
        <f t="shared" si="2"/>
        <v>0</v>
      </c>
      <c r="C27" s="258"/>
      <c r="D27" s="3335" t="s">
        <v>59</v>
      </c>
      <c r="E27" s="4233">
        <f>IF(Sort_NumValues=3,dpSort_DOV_3,IF(Sort_NumValues=2,dpSort_DOV_2,dpSort_DOV_1))</f>
        <v>45473</v>
      </c>
      <c r="F27" s="4233"/>
      <c r="G27" s="4233" t="str">
        <f>IF(Sort_NumValues=3,dpSort_DOV_2,IF(Sort_NumValues=2,dpSort_DOV_1,""))</f>
        <v/>
      </c>
      <c r="H27" s="4233"/>
      <c r="I27" s="4233" t="str">
        <f>IF(Sort_NumValues=3,dpSort_DOV_1,"")</f>
        <v/>
      </c>
      <c r="J27" s="4233"/>
      <c r="K27" s="4233"/>
      <c r="L27" s="4233"/>
      <c r="M27" s="3933"/>
      <c r="N27" s="423"/>
      <c r="O27" s="423"/>
      <c r="P27" s="258"/>
      <c r="Q27" s="6"/>
      <c r="R27" s="228"/>
      <c r="S27" s="10"/>
      <c r="T27" s="10"/>
      <c r="U27" s="13"/>
      <c r="V27" s="13"/>
      <c r="W27" s="13"/>
    </row>
    <row r="28" spans="1:23" hidden="1" x14ac:dyDescent="0.25">
      <c r="A28" s="957">
        <f t="shared" si="2"/>
        <v>0</v>
      </c>
      <c r="B28" s="2639">
        <f t="shared" si="2"/>
        <v>0</v>
      </c>
      <c r="C28" s="258"/>
      <c r="D28" s="3335" t="s">
        <v>494</v>
      </c>
      <c r="E28" s="4234">
        <v>10</v>
      </c>
      <c r="F28" s="4234"/>
      <c r="G28" s="4244">
        <v>10</v>
      </c>
      <c r="H28" s="4244"/>
      <c r="I28" s="4240">
        <v>10</v>
      </c>
      <c r="J28" s="4241"/>
      <c r="K28" s="4242"/>
      <c r="L28" s="4243"/>
      <c r="M28" s="3934"/>
      <c r="N28" s="423"/>
      <c r="O28" s="423"/>
      <c r="P28" s="258"/>
      <c r="Q28" s="6"/>
      <c r="R28" s="228"/>
      <c r="S28" s="10"/>
      <c r="T28" s="10"/>
      <c r="U28" s="13"/>
      <c r="V28" s="13"/>
      <c r="W28" s="13"/>
    </row>
    <row r="29" spans="1:23" ht="9.9499999999999993" hidden="1" customHeight="1" x14ac:dyDescent="0.25">
      <c r="A29" s="957">
        <f t="shared" si="2"/>
        <v>0</v>
      </c>
      <c r="B29" s="2639">
        <f t="shared" si="2"/>
        <v>0</v>
      </c>
      <c r="C29" s="258"/>
      <c r="D29" s="3335"/>
      <c r="E29" s="2893"/>
      <c r="F29" s="2893"/>
      <c r="G29" s="2893"/>
      <c r="H29" s="2893"/>
      <c r="I29" s="2893"/>
      <c r="J29" s="2893"/>
      <c r="K29" s="2893"/>
      <c r="L29" s="2893"/>
      <c r="M29" s="423"/>
      <c r="N29" s="423"/>
      <c r="O29" s="423"/>
      <c r="P29" s="258"/>
      <c r="Q29" s="6"/>
      <c r="R29" s="228"/>
      <c r="S29" s="10"/>
      <c r="T29" s="10"/>
      <c r="U29" s="13"/>
      <c r="V29" s="13"/>
      <c r="W29" s="13"/>
    </row>
    <row r="30" spans="1:23" ht="15" hidden="1" customHeight="1" x14ac:dyDescent="0.25">
      <c r="A30" s="957">
        <f t="shared" si="2"/>
        <v>0</v>
      </c>
      <c r="B30" s="2639">
        <f t="shared" si="2"/>
        <v>0</v>
      </c>
      <c r="C30" s="258"/>
      <c r="D30" s="3935" t="s">
        <v>495</v>
      </c>
      <c r="E30" s="4232">
        <f>IF(dpIncome_RentGrowth2="",dpIncome_RentGrowth1,"")</f>
        <v>0</v>
      </c>
      <c r="F30" s="4232"/>
      <c r="G30" s="4232" t="str">
        <f>IF(Sort_NumValues=3,VLOOKUP(IF(ROUNDDOWN((dpSort_DOV_2-dpSort_DOV_3)/365,0)=0,1,ROUNDDOWN((dpSort_DOV_2-dpSort_DOV_3)/365,0)),D31:F34,2,FALSE),IF(Sort_NumValues=2,VLOOKUP(IF(ROUNDDOWN((dpSort_DOV_1-dpSort_DOV_2)/365,0)=0,1,ROUNDDOWN((dpSort_DOV_1-dpSort_DOV_2)/365,0)),D31:F34,2,FALSE),""))</f>
        <v/>
      </c>
      <c r="H30" s="4232"/>
      <c r="I30" s="4232" t="str">
        <f>IF(Sort_NumValues=3,VLOOKUP(IF(ROUNDDOWN((dpSort_DOV_1-dpSort_DOV_3)/365,0)=0,1,ROUNDDOWN((dpSort_DOV_1-dpSort_DOV_3)/365,0)),D31:F34,2,FALSE),"")</f>
        <v/>
      </c>
      <c r="J30" s="4232"/>
      <c r="K30" s="4232"/>
      <c r="L30" s="4232"/>
      <c r="M30" s="3218"/>
      <c r="N30" s="423"/>
      <c r="O30" s="423"/>
      <c r="P30" s="258"/>
      <c r="Q30" s="6"/>
      <c r="R30" s="228"/>
      <c r="S30" s="10"/>
      <c r="T30" s="10"/>
      <c r="U30" s="13"/>
      <c r="V30" s="13"/>
      <c r="W30" s="13"/>
    </row>
    <row r="31" spans="1:23" ht="15" hidden="1" customHeight="1" x14ac:dyDescent="0.25">
      <c r="A31" s="957">
        <f>IF(Income_TechniqueUsed="Direct Capitalization",0,IF(dpIncome_RentGrowth2="",0,1))</f>
        <v>0</v>
      </c>
      <c r="B31" s="2639">
        <f t="shared" ref="B31:B58" si="3">IF(Income_TechniqueUsed="Direct Capitalization",0,1)</f>
        <v>0</v>
      </c>
      <c r="C31" s="258"/>
      <c r="D31" s="3936">
        <v>1</v>
      </c>
      <c r="E31" s="4235"/>
      <c r="F31" s="4235"/>
      <c r="G31" s="1117"/>
      <c r="H31" s="1117"/>
      <c r="I31" s="1117"/>
      <c r="J31" s="1117"/>
      <c r="K31" s="1117"/>
      <c r="L31" s="1117"/>
      <c r="M31" s="3218"/>
      <c r="N31" s="423"/>
      <c r="O31" s="423"/>
      <c r="P31" s="258"/>
      <c r="Q31" s="6"/>
      <c r="R31" s="228"/>
      <c r="S31" s="10"/>
      <c r="T31" s="10"/>
      <c r="U31" s="13"/>
      <c r="V31" s="13"/>
      <c r="W31" s="13"/>
    </row>
    <row r="32" spans="1:23" ht="15" hidden="1" customHeight="1" x14ac:dyDescent="0.25">
      <c r="A32" s="957">
        <f>IF(Income_TechniqueUsed="Direct Capitalization",0,IF(dpIncome_RentGrowth2="",0,1))</f>
        <v>0</v>
      </c>
      <c r="B32" s="2639">
        <f t="shared" si="3"/>
        <v>0</v>
      </c>
      <c r="C32" s="258"/>
      <c r="D32" s="3936">
        <f>D31+1</f>
        <v>2</v>
      </c>
      <c r="E32" s="4235"/>
      <c r="F32" s="4235"/>
      <c r="G32" s="1117"/>
      <c r="H32" s="1117"/>
      <c r="I32" s="1117"/>
      <c r="J32" s="1117"/>
      <c r="K32" s="1117"/>
      <c r="L32" s="1117"/>
      <c r="M32" s="3218"/>
      <c r="N32" s="423"/>
      <c r="O32" s="423"/>
      <c r="P32" s="258"/>
      <c r="Q32" s="6"/>
      <c r="R32" s="228"/>
      <c r="S32" s="10"/>
      <c r="T32" s="10"/>
      <c r="U32" s="13"/>
      <c r="V32" s="13"/>
      <c r="W32" s="13"/>
    </row>
    <row r="33" spans="1:25" ht="15" hidden="1" customHeight="1" x14ac:dyDescent="0.25">
      <c r="A33" s="957">
        <f>IF(Income_TechniqueUsed="Direct Capitalization",0,IF(dpIncome_RentGrowth3="",0,1))</f>
        <v>0</v>
      </c>
      <c r="B33" s="2639">
        <f t="shared" si="3"/>
        <v>0</v>
      </c>
      <c r="C33" s="258"/>
      <c r="D33" s="3936">
        <f>D32+1</f>
        <v>3</v>
      </c>
      <c r="E33" s="4235"/>
      <c r="F33" s="4235"/>
      <c r="G33" s="1117"/>
      <c r="H33" s="1117"/>
      <c r="I33" s="1117"/>
      <c r="J33" s="1117"/>
      <c r="K33" s="1117"/>
      <c r="L33" s="1117"/>
      <c r="M33" s="3218"/>
      <c r="N33" s="423"/>
      <c r="O33" s="423"/>
      <c r="P33" s="258"/>
      <c r="Q33" s="6"/>
      <c r="R33" s="228"/>
      <c r="S33" s="10"/>
      <c r="T33" s="10"/>
      <c r="U33" s="13"/>
      <c r="V33" s="13"/>
      <c r="W33" s="13"/>
    </row>
    <row r="34" spans="1:25" ht="15" hidden="1" customHeight="1" x14ac:dyDescent="0.25">
      <c r="A34" s="957">
        <f>IF(Income_TechniqueUsed="Direct Capitalization",0,IF(dpIncome_RentGrowth4="",0,1))</f>
        <v>0</v>
      </c>
      <c r="B34" s="2639">
        <f t="shared" si="3"/>
        <v>0</v>
      </c>
      <c r="C34" s="258"/>
      <c r="D34" s="3936">
        <f>D33+1</f>
        <v>4</v>
      </c>
      <c r="E34" s="4235"/>
      <c r="F34" s="4235"/>
      <c r="G34" s="1117"/>
      <c r="H34" s="1117"/>
      <c r="I34" s="1117"/>
      <c r="J34" s="1117"/>
      <c r="K34" s="1117"/>
      <c r="L34" s="1117"/>
      <c r="M34" s="3218"/>
      <c r="N34" s="423"/>
      <c r="O34" s="423"/>
      <c r="P34" s="258"/>
      <c r="Q34" s="6"/>
      <c r="R34" s="228"/>
      <c r="S34" s="10"/>
      <c r="T34" s="10"/>
      <c r="U34" s="13"/>
      <c r="V34" s="13"/>
      <c r="W34" s="13"/>
    </row>
    <row r="35" spans="1:25" ht="28.5" hidden="1" x14ac:dyDescent="0.25">
      <c r="A35" s="957">
        <f>IF(Income_TechniqueUsed="Direct Capitalization",0,1)</f>
        <v>0</v>
      </c>
      <c r="B35" s="2639">
        <f t="shared" si="3"/>
        <v>0</v>
      </c>
      <c r="C35" s="258"/>
      <c r="D35" s="3935" t="s">
        <v>496</v>
      </c>
      <c r="E35" s="4232">
        <f>IF(dpIncome_ExpenseGrowth2="",dpIncome_ExpenseGrowth1,"")</f>
        <v>0</v>
      </c>
      <c r="F35" s="4232"/>
      <c r="G35" s="4232" t="str">
        <f>IF(Sort_NumValues=3,VLOOKUP(IF(ROUNDDOWN((dpSort_DOV_2-dpSort_DOV_3)/365,0)=0,1,ROUNDDOWN((dpSort_DOV_2-dpSort_DOV_3)/365,0)),D36:F39,2,FALSE),IF(Sort_NumValues=2,VLOOKUP(IF(ROUNDDOWN((dpSort_DOV_1-dpSort_DOV_2)/365,0)=0,1,ROUNDDOWN((dpSort_DOV_1-dpSort_DOV_2)/365,0)),D36:F39,2,FALSE),""))</f>
        <v/>
      </c>
      <c r="H35" s="4232"/>
      <c r="I35" s="4232" t="str">
        <f>IF(Sort_NumValues=3,VLOOKUP(IF(ROUNDDOWN((dpSort_DOV_1-dpSort_DOV_3)/365,0)=0,1,ROUNDDOWN((dpSort_DOV_1-dpSort_DOV_3)/365,0)),D36:F39,2,FALSE),"")</f>
        <v/>
      </c>
      <c r="J35" s="4232"/>
      <c r="K35" s="4232"/>
      <c r="L35" s="4232"/>
      <c r="M35" s="3218"/>
      <c r="N35" s="423"/>
      <c r="O35" s="423"/>
      <c r="P35" s="423"/>
      <c r="Q35" s="203"/>
      <c r="R35" s="596"/>
      <c r="S35" s="13"/>
      <c r="T35" s="13"/>
      <c r="U35" s="13"/>
      <c r="V35" s="13"/>
      <c r="W35" s="13"/>
    </row>
    <row r="36" spans="1:25" ht="15" hidden="1" customHeight="1" x14ac:dyDescent="0.25">
      <c r="A36" s="957">
        <f>IF(Income_TechniqueUsed="Direct Capitalization",0,IF(dpIncome_ExpenseGrowth2="",0,1))</f>
        <v>0</v>
      </c>
      <c r="B36" s="2639">
        <f t="shared" si="3"/>
        <v>0</v>
      </c>
      <c r="C36" s="258"/>
      <c r="D36" s="3936">
        <v>1</v>
      </c>
      <c r="E36" s="4236"/>
      <c r="F36" s="4236"/>
      <c r="G36" s="1117"/>
      <c r="H36" s="1117"/>
      <c r="I36" s="1117"/>
      <c r="J36" s="1117"/>
      <c r="K36" s="1117"/>
      <c r="L36" s="1117"/>
      <c r="M36" s="3218"/>
      <c r="N36" s="423"/>
      <c r="O36" s="423"/>
      <c r="P36" s="423"/>
      <c r="Q36" s="203"/>
      <c r="R36" s="596"/>
      <c r="S36" s="13"/>
      <c r="T36" s="13"/>
      <c r="U36" s="13"/>
      <c r="V36" s="13"/>
      <c r="W36" s="13"/>
    </row>
    <row r="37" spans="1:25" ht="15" hidden="1" customHeight="1" x14ac:dyDescent="0.25">
      <c r="A37" s="957">
        <f>IF(Income_TechniqueUsed="Direct Capitalization",0,IF(dpIncome_ExpenseGrowth2="",0,1))</f>
        <v>0</v>
      </c>
      <c r="B37" s="2639">
        <f t="shared" si="3"/>
        <v>0</v>
      </c>
      <c r="C37" s="258"/>
      <c r="D37" s="3936">
        <f>D36+1</f>
        <v>2</v>
      </c>
      <c r="E37" s="4236"/>
      <c r="F37" s="4236"/>
      <c r="G37" s="1117"/>
      <c r="H37" s="1117"/>
      <c r="I37" s="1117"/>
      <c r="J37" s="1117"/>
      <c r="K37" s="1117"/>
      <c r="L37" s="1117"/>
      <c r="M37" s="3218"/>
      <c r="N37" s="423"/>
      <c r="O37" s="423"/>
      <c r="P37" s="423"/>
      <c r="Q37" s="203"/>
      <c r="R37" s="596"/>
      <c r="S37" s="13"/>
      <c r="T37" s="13"/>
      <c r="U37" s="13"/>
      <c r="V37" s="13"/>
      <c r="W37" s="13"/>
    </row>
    <row r="38" spans="1:25" ht="15" hidden="1" customHeight="1" x14ac:dyDescent="0.25">
      <c r="A38" s="957">
        <f>IF(Income_TechniqueUsed="Direct Capitalization",0,IF(dpIncome_ExpenseGrowth3="",0,1))</f>
        <v>0</v>
      </c>
      <c r="B38" s="2639">
        <f t="shared" si="3"/>
        <v>0</v>
      </c>
      <c r="C38" s="258"/>
      <c r="D38" s="3936">
        <f>D37+1</f>
        <v>3</v>
      </c>
      <c r="E38" s="4236"/>
      <c r="F38" s="4236"/>
      <c r="G38" s="1117"/>
      <c r="H38" s="1117"/>
      <c r="I38" s="1117"/>
      <c r="J38" s="1117"/>
      <c r="K38" s="1117"/>
      <c r="L38" s="1117"/>
      <c r="M38" s="3218"/>
      <c r="N38" s="423"/>
      <c r="O38" s="423"/>
      <c r="P38" s="423"/>
      <c r="Q38" s="203"/>
      <c r="R38" s="596"/>
      <c r="S38" s="13"/>
      <c r="T38" s="13"/>
      <c r="U38" s="13"/>
      <c r="V38" s="13"/>
      <c r="W38" s="13"/>
    </row>
    <row r="39" spans="1:25" ht="15" hidden="1" customHeight="1" x14ac:dyDescent="0.25">
      <c r="A39" s="957">
        <f>IF(Income_TechniqueUsed="Direct Capitalization",0,IF(dpIncome_ExpenseGrowth4="",0,1))</f>
        <v>0</v>
      </c>
      <c r="B39" s="2639">
        <f t="shared" si="3"/>
        <v>0</v>
      </c>
      <c r="C39" s="258"/>
      <c r="D39" s="3936">
        <f>D38+1</f>
        <v>4</v>
      </c>
      <c r="E39" s="4236"/>
      <c r="F39" s="4236"/>
      <c r="G39" s="1117"/>
      <c r="H39" s="1117"/>
      <c r="I39" s="1117"/>
      <c r="J39" s="1117"/>
      <c r="K39" s="1117"/>
      <c r="L39" s="1117"/>
      <c r="M39" s="3218"/>
      <c r="N39" s="423"/>
      <c r="O39" s="423"/>
      <c r="P39" s="423"/>
      <c r="Q39" s="203"/>
      <c r="R39" s="596"/>
      <c r="S39" s="13"/>
      <c r="T39" s="13"/>
      <c r="U39" s="13"/>
      <c r="V39" s="13"/>
      <c r="W39" s="13"/>
    </row>
    <row r="40" spans="1:25" ht="9.9499999999999993" hidden="1" customHeight="1" x14ac:dyDescent="0.25">
      <c r="A40" s="957">
        <f t="shared" ref="A40:A49" si="4">IF(Income_TechniqueUsed="Direct Capitalization",0,1)</f>
        <v>0</v>
      </c>
      <c r="B40" s="2639">
        <f t="shared" si="3"/>
        <v>0</v>
      </c>
      <c r="C40" s="258"/>
      <c r="D40" s="3335"/>
      <c r="E40" s="2893"/>
      <c r="F40" s="2893"/>
      <c r="G40" s="2893"/>
      <c r="H40" s="2893"/>
      <c r="I40" s="2893"/>
      <c r="J40" s="2893"/>
      <c r="K40" s="2893"/>
      <c r="L40" s="2893"/>
      <c r="M40" s="423"/>
      <c r="N40" s="423"/>
      <c r="O40" s="423"/>
      <c r="P40" s="423"/>
      <c r="Q40" s="203"/>
      <c r="R40" s="596"/>
      <c r="S40" s="13"/>
      <c r="T40" s="13"/>
      <c r="U40" s="13"/>
      <c r="V40" s="13"/>
      <c r="W40" s="13"/>
    </row>
    <row r="41" spans="1:25" ht="14.25" hidden="1" customHeight="1" x14ac:dyDescent="0.25">
      <c r="A41" s="957">
        <f t="shared" si="4"/>
        <v>0</v>
      </c>
      <c r="B41" s="2639">
        <f t="shared" si="3"/>
        <v>0</v>
      </c>
      <c r="C41" s="258"/>
      <c r="D41" s="3335" t="s">
        <v>956</v>
      </c>
      <c r="E41" s="4237" t="e">
        <f ca="1">1-dpIncome_RentRollOccupancy</f>
        <v>#VALUE!</v>
      </c>
      <c r="F41" s="4237"/>
      <c r="G41" s="4232"/>
      <c r="H41" s="4232"/>
      <c r="I41" s="4232" t="str">
        <f>IF(Sort_NumValues=3,dpIncome_DiscRate1,"")</f>
        <v/>
      </c>
      <c r="J41" s="4232"/>
      <c r="K41" s="4232"/>
      <c r="L41" s="4232"/>
      <c r="M41" s="423"/>
      <c r="N41" s="423"/>
      <c r="O41" s="423"/>
      <c r="P41" s="423"/>
      <c r="Q41" s="203"/>
      <c r="R41" s="596"/>
      <c r="S41" s="13"/>
      <c r="T41" s="13"/>
      <c r="U41" s="13"/>
      <c r="V41" s="13"/>
      <c r="W41" s="13"/>
    </row>
    <row r="42" spans="1:25" hidden="1" x14ac:dyDescent="0.25">
      <c r="A42" s="957">
        <f t="shared" si="4"/>
        <v>0</v>
      </c>
      <c r="B42" s="2639">
        <f t="shared" si="3"/>
        <v>0</v>
      </c>
      <c r="C42" s="258"/>
      <c r="D42" s="3335" t="s">
        <v>438</v>
      </c>
      <c r="E42" s="4237">
        <v>0.02</v>
      </c>
      <c r="F42" s="4237"/>
      <c r="G42" s="4237" t="str">
        <f>IF(OR(Sort_NumValues=3,Sort_NumValues=2),dpIncome_StabilizedVacancy,"")</f>
        <v/>
      </c>
      <c r="H42" s="4237"/>
      <c r="I42" s="4237" t="str">
        <f>IF(Sort_NumValues=3,dpIncome_StabilizedVacancy,"")</f>
        <v/>
      </c>
      <c r="J42" s="4237"/>
      <c r="K42" s="4237"/>
      <c r="L42" s="4237"/>
      <c r="M42" s="778"/>
      <c r="N42" s="423"/>
      <c r="O42" s="423"/>
      <c r="P42" s="423"/>
      <c r="Q42" s="203"/>
      <c r="R42" s="596"/>
      <c r="S42" s="13"/>
      <c r="T42" s="13"/>
      <c r="U42" s="13"/>
      <c r="V42" s="13"/>
      <c r="W42" s="13"/>
    </row>
    <row r="43" spans="1:25" ht="15" hidden="1" customHeight="1" x14ac:dyDescent="0.25">
      <c r="A43" s="957">
        <f t="shared" si="4"/>
        <v>0</v>
      </c>
      <c r="B43" s="2639">
        <f t="shared" si="3"/>
        <v>0</v>
      </c>
      <c r="C43" s="258"/>
      <c r="D43" s="3335" t="s">
        <v>432</v>
      </c>
      <c r="E43" s="4237">
        <v>0.01</v>
      </c>
      <c r="F43" s="4237"/>
      <c r="G43" s="4237" t="str">
        <f>IF(OR(Sort_NumValues=3,Sort_NumValues=2),dpIncome_CollectionLoss,"")</f>
        <v/>
      </c>
      <c r="H43" s="4237"/>
      <c r="I43" s="4237" t="str">
        <f>IF(Sort_NumValues=3,dpIncome_CollectionLoss,"")</f>
        <v/>
      </c>
      <c r="J43" s="4237"/>
      <c r="K43" s="4237"/>
      <c r="L43" s="4237"/>
      <c r="M43" s="3507"/>
      <c r="N43" s="423"/>
      <c r="O43" s="423"/>
      <c r="P43" s="423"/>
      <c r="Q43" s="203"/>
      <c r="R43" s="596"/>
      <c r="S43" s="13"/>
      <c r="T43" s="13"/>
      <c r="U43" s="13"/>
      <c r="V43" s="13"/>
      <c r="W43" s="13"/>
    </row>
    <row r="44" spans="1:25" ht="9.9499999999999993" hidden="1" customHeight="1" x14ac:dyDescent="0.25">
      <c r="A44" s="957">
        <f t="shared" si="4"/>
        <v>0</v>
      </c>
      <c r="B44" s="2639">
        <f t="shared" si="3"/>
        <v>0</v>
      </c>
      <c r="C44" s="258"/>
      <c r="D44" s="3335"/>
      <c r="E44" s="2893"/>
      <c r="F44" s="2893"/>
      <c r="G44" s="2893"/>
      <c r="H44" s="2893"/>
      <c r="I44" s="2893"/>
      <c r="J44" s="2893"/>
      <c r="K44" s="2893"/>
      <c r="L44" s="2893"/>
      <c r="M44" s="423"/>
      <c r="N44" s="423"/>
      <c r="O44" s="423"/>
      <c r="P44" s="423"/>
      <c r="Q44" s="203"/>
      <c r="R44" s="596"/>
      <c r="S44" s="13"/>
      <c r="T44" s="13"/>
      <c r="U44" s="13"/>
      <c r="V44" s="13"/>
      <c r="W44" s="13"/>
    </row>
    <row r="45" spans="1:25" ht="15" hidden="1" customHeight="1" x14ac:dyDescent="0.25">
      <c r="A45" s="957">
        <f t="shared" si="4"/>
        <v>0</v>
      </c>
      <c r="B45" s="2639">
        <f t="shared" si="3"/>
        <v>0</v>
      </c>
      <c r="C45" s="258"/>
      <c r="D45" s="3335" t="s">
        <v>461</v>
      </c>
      <c r="E45" s="4232"/>
      <c r="F45" s="4232"/>
      <c r="G45" s="4232"/>
      <c r="H45" s="4232"/>
      <c r="I45" s="4247"/>
      <c r="J45" s="4248"/>
      <c r="K45" s="4249"/>
      <c r="L45" s="4250"/>
      <c r="M45" s="3218"/>
      <c r="N45" s="423"/>
      <c r="O45" s="423"/>
      <c r="P45" s="423"/>
      <c r="Q45" s="203"/>
      <c r="R45" s="596"/>
      <c r="S45" s="13"/>
      <c r="T45" s="13"/>
      <c r="U45" s="13"/>
      <c r="V45" s="13"/>
      <c r="W45" s="13"/>
    </row>
    <row r="46" spans="1:25" ht="15" hidden="1" customHeight="1" thickBot="1" x14ac:dyDescent="0.3">
      <c r="A46" s="957">
        <f t="shared" si="4"/>
        <v>0</v>
      </c>
      <c r="B46" s="2639">
        <f t="shared" si="3"/>
        <v>0</v>
      </c>
      <c r="C46" s="258"/>
      <c r="D46" s="3335" t="s">
        <v>1532</v>
      </c>
      <c r="E46" s="4232"/>
      <c r="F46" s="4232"/>
      <c r="G46" s="4232" t="str">
        <f>IF(Sort_NumValues&gt;1,dpIncome_TerminalRate,"")</f>
        <v/>
      </c>
      <c r="H46" s="4232"/>
      <c r="I46" s="4232" t="str">
        <f>IF(Sort_NumValues&gt;2,dpIncome_TerminalRate,"")</f>
        <v/>
      </c>
      <c r="J46" s="4232"/>
      <c r="K46" s="4232"/>
      <c r="L46" s="4232"/>
      <c r="M46" s="3218"/>
      <c r="N46" s="423"/>
      <c r="O46" s="423"/>
      <c r="P46" s="423"/>
      <c r="Q46" s="203"/>
      <c r="R46" s="596"/>
      <c r="S46" s="601"/>
      <c r="T46" s="601"/>
      <c r="U46" s="601"/>
      <c r="V46" s="601"/>
      <c r="W46" s="601"/>
    </row>
    <row r="47" spans="1:25" ht="15" hidden="1" customHeight="1" x14ac:dyDescent="0.25">
      <c r="A47" s="957">
        <f t="shared" si="4"/>
        <v>0</v>
      </c>
      <c r="B47" s="2639">
        <f t="shared" si="3"/>
        <v>0</v>
      </c>
      <c r="C47" s="258"/>
      <c r="D47" s="3335" t="s">
        <v>435</v>
      </c>
      <c r="E47" s="4232"/>
      <c r="F47" s="4232"/>
      <c r="G47" s="4232" t="str">
        <f>IF(OR(Sort_NumValues=3,Sort_NumValues=2),dpIncome_DCF_COS,"")</f>
        <v/>
      </c>
      <c r="H47" s="4232"/>
      <c r="I47" s="4232" t="str">
        <f>IF(Sort_NumValues=3,dpIncome_DCF_COS,"")</f>
        <v/>
      </c>
      <c r="J47" s="4232"/>
      <c r="K47" s="4232"/>
      <c r="L47" s="4232"/>
      <c r="M47" s="3218"/>
      <c r="N47" s="4238" t="s">
        <v>451</v>
      </c>
      <c r="O47" s="4238"/>
      <c r="P47" s="423"/>
      <c r="Q47" s="203"/>
      <c r="R47" s="592"/>
      <c r="S47" s="210"/>
      <c r="T47" s="39"/>
      <c r="U47" s="39"/>
      <c r="V47" s="39"/>
      <c r="W47" s="39"/>
      <c r="X47" s="77"/>
      <c r="Y47" s="73"/>
    </row>
    <row r="48" spans="1:25" hidden="1" x14ac:dyDescent="0.25">
      <c r="A48" s="957">
        <f t="shared" si="4"/>
        <v>0</v>
      </c>
      <c r="B48" s="2639">
        <f t="shared" si="3"/>
        <v>0</v>
      </c>
      <c r="C48" s="2984"/>
      <c r="D48" s="3231"/>
      <c r="E48" s="3926"/>
      <c r="F48" s="3926" t="s">
        <v>497</v>
      </c>
      <c r="G48" s="3926" t="s">
        <v>998</v>
      </c>
      <c r="H48" s="3926" t="s">
        <v>999</v>
      </c>
      <c r="I48" s="4246" t="s">
        <v>271</v>
      </c>
      <c r="J48" s="4246"/>
      <c r="K48" s="4246"/>
      <c r="L48" s="4245" t="s">
        <v>1535</v>
      </c>
      <c r="M48" s="4245"/>
      <c r="N48" s="4238"/>
      <c r="O48" s="4238"/>
      <c r="P48" s="3937"/>
      <c r="Q48" s="588"/>
      <c r="R48" s="593"/>
      <c r="S48" s="598"/>
      <c r="T48" s="603"/>
      <c r="U48" s="103" t="s">
        <v>271</v>
      </c>
      <c r="V48" s="603" t="s">
        <v>317</v>
      </c>
      <c r="W48" s="603" t="s">
        <v>501</v>
      </c>
      <c r="X48" s="103"/>
      <c r="Y48" s="74"/>
    </row>
    <row r="49" spans="1:26" hidden="1" x14ac:dyDescent="0.25">
      <c r="A49" s="957">
        <f t="shared" si="4"/>
        <v>0</v>
      </c>
      <c r="B49" s="2639">
        <f t="shared" si="3"/>
        <v>0</v>
      </c>
      <c r="C49" s="2984"/>
      <c r="D49" s="3231" t="s">
        <v>315</v>
      </c>
      <c r="E49" s="3938" t="s">
        <v>20</v>
      </c>
      <c r="F49" s="3926" t="s">
        <v>268</v>
      </c>
      <c r="G49" s="3926" t="s">
        <v>267</v>
      </c>
      <c r="H49" s="3926" t="s">
        <v>267</v>
      </c>
      <c r="I49" s="4246" t="s">
        <v>272</v>
      </c>
      <c r="J49" s="4246"/>
      <c r="K49" s="4246"/>
      <c r="L49" s="3937" t="s">
        <v>1536</v>
      </c>
      <c r="M49" s="3937" t="s">
        <v>1537</v>
      </c>
      <c r="N49" s="3937" t="s">
        <v>1536</v>
      </c>
      <c r="O49" s="3937" t="s">
        <v>1537</v>
      </c>
      <c r="P49" s="3937"/>
      <c r="Q49" s="588"/>
      <c r="R49" s="593"/>
      <c r="S49" s="598"/>
      <c r="T49" s="603"/>
      <c r="U49" s="627" t="s">
        <v>320</v>
      </c>
      <c r="V49" s="628" t="s">
        <v>318</v>
      </c>
      <c r="W49" s="628" t="s">
        <v>139</v>
      </c>
      <c r="X49" s="256"/>
      <c r="Y49" s="74"/>
    </row>
    <row r="50" spans="1:26" ht="15" hidden="1" customHeight="1" x14ac:dyDescent="0.25">
      <c r="A50" s="957">
        <f>IF(Income_TechniqueUsed="Direct Capitalization",0,1)</f>
        <v>0</v>
      </c>
      <c r="B50" s="2639">
        <f t="shared" si="3"/>
        <v>0</v>
      </c>
      <c r="C50" s="2984"/>
      <c r="D50" s="3907" t="s">
        <v>20050</v>
      </c>
      <c r="E50" s="3345">
        <f ca="1">IF(Income_RentRollSource="No Rent Roll",Income_TCat1_NRA_Manual,Income_TCat1_NRA)</f>
        <v>0</v>
      </c>
      <c r="F50" s="3939" t="e">
        <f ca="1">dpIncome_TCat1_NRA_Occupied/Income_TCat1_NRA</f>
        <v>#DIV/0!</v>
      </c>
      <c r="G50" s="3908">
        <v>16</v>
      </c>
      <c r="H50" s="3940" t="e">
        <f ca="1">dpIncome_TCat1_WAContractRent</f>
        <v>#DIV/0!</v>
      </c>
      <c r="I50" s="4251" t="s">
        <v>290</v>
      </c>
      <c r="J50" s="4251"/>
      <c r="K50" s="4251"/>
      <c r="L50" s="3918"/>
      <c r="M50" s="3919"/>
      <c r="N50" s="3920"/>
      <c r="O50" s="3920"/>
      <c r="P50" s="3921"/>
      <c r="Q50" s="589"/>
      <c r="R50" s="594"/>
      <c r="S50" s="599"/>
      <c r="T50" s="605"/>
      <c r="U50" s="610"/>
      <c r="V50" s="611"/>
      <c r="W50" s="612">
        <f>Income_TCat1_MonthsVacant_NoGenVac</f>
        <v>0</v>
      </c>
      <c r="X50" s="606"/>
      <c r="Y50" s="74"/>
      <c r="Z50" s="532" t="s">
        <v>18665</v>
      </c>
    </row>
    <row r="51" spans="1:26" ht="15" hidden="1" customHeight="1" x14ac:dyDescent="0.25">
      <c r="A51" s="957">
        <f>IF(Income_TechniqueUsed="Direct Capitalization",0,IF(AND(ISNUMBER(Income_TCat2_NRA),Income_TCat2_NRA&gt;0),1,0))</f>
        <v>0</v>
      </c>
      <c r="B51" s="2639">
        <f t="shared" si="3"/>
        <v>0</v>
      </c>
      <c r="C51" s="2984"/>
      <c r="D51" s="2893" t="s">
        <v>20036</v>
      </c>
      <c r="E51" s="3345">
        <f ca="1">IF(Income_RentRollSource="No Rent Roll",Income_TCat2_NRA_Manual,Income_TCat2_NRA)</f>
        <v>0</v>
      </c>
      <c r="F51" s="3392" t="e">
        <f ca="1">dpIncome_TCat2_NRA_Occupied/Income_TCat2_NRA</f>
        <v>#DIV/0!</v>
      </c>
      <c r="G51" s="3976">
        <v>1.5</v>
      </c>
      <c r="H51" s="3913" t="e">
        <f ca="1">dpIncome_TCat2_WAContractRent</f>
        <v>#DIV/0!</v>
      </c>
      <c r="I51" s="4252" t="s">
        <v>290</v>
      </c>
      <c r="J51" s="4252"/>
      <c r="K51" s="4252"/>
      <c r="L51" s="1531"/>
      <c r="M51" s="3977"/>
      <c r="N51" s="3921"/>
      <c r="O51" s="3921"/>
      <c r="P51" s="3921"/>
      <c r="Q51" s="589"/>
      <c r="R51" s="594"/>
      <c r="S51" s="599"/>
      <c r="T51" s="605"/>
      <c r="U51" s="613"/>
      <c r="V51" s="587"/>
      <c r="W51" s="602">
        <f>Income_TCat2_MonthsVacant_NoGenVac</f>
        <v>0</v>
      </c>
      <c r="X51" s="607"/>
      <c r="Y51" s="74"/>
    </row>
    <row r="52" spans="1:26" ht="15" hidden="1" customHeight="1" x14ac:dyDescent="0.25">
      <c r="A52" s="957">
        <f>IF(Income_TechniqueUsed="Direct Capitalization",0,IF(AND(ISNUMBER(Income_TCat3_NRA),Income_TCat3_NRA&gt;0),1,0))</f>
        <v>0</v>
      </c>
      <c r="B52" s="2639">
        <f t="shared" si="3"/>
        <v>0</v>
      </c>
      <c r="C52" s="2984"/>
      <c r="D52" s="2893"/>
      <c r="E52" s="3345">
        <f ca="1">IF(Income_RentRollSource="No Rent Roll",Income_TCat3_NRA_Manual,Income_TCat3_NRA)</f>
        <v>0</v>
      </c>
      <c r="F52" s="3392" t="e">
        <f ca="1">dpIncome_TCat3_NRA_Occupied/Income_TCat3_NRA</f>
        <v>#DIV/0!</v>
      </c>
      <c r="G52" s="3976"/>
      <c r="H52" s="3913" t="e">
        <f ca="1">dpIncome_TCat3_WAContractRent</f>
        <v>#DIV/0!</v>
      </c>
      <c r="I52" s="4252"/>
      <c r="J52" s="4252"/>
      <c r="K52" s="4252"/>
      <c r="L52" s="1531"/>
      <c r="M52" s="3977"/>
      <c r="N52" s="3921"/>
      <c r="O52" s="3921"/>
      <c r="P52" s="3921"/>
      <c r="Q52" s="589"/>
      <c r="R52" s="594"/>
      <c r="S52" s="599"/>
      <c r="T52" s="605"/>
      <c r="U52" s="613"/>
      <c r="V52" s="587"/>
      <c r="W52" s="602">
        <f>Income_TCat3_MonthsVacant_NoGenVac</f>
        <v>0</v>
      </c>
      <c r="X52" s="607"/>
      <c r="Y52" s="74"/>
    </row>
    <row r="53" spans="1:26" ht="15" hidden="1" customHeight="1" x14ac:dyDescent="0.25">
      <c r="A53" s="957">
        <f>IF(Income_TechniqueUsed="Direct Capitalization",0,IF(AND(ISNUMBER(Income_TCat4_NRA),Income_TCat4_NRA&gt;0),1,0))</f>
        <v>0</v>
      </c>
      <c r="B53" s="2639">
        <f t="shared" si="3"/>
        <v>0</v>
      </c>
      <c r="C53" s="2984"/>
      <c r="D53" s="2893"/>
      <c r="E53" s="3345">
        <f ca="1">IF(Income_RentRollSource="No Rent Roll",Income_TCat4_NRA_Manual,Income_TCat4_NRA)</f>
        <v>0</v>
      </c>
      <c r="F53" s="3392" t="e">
        <f ca="1">dpIncome_TCat4_NRA_Occupied/Income_TCat4_NRA</f>
        <v>#DIV/0!</v>
      </c>
      <c r="G53" s="3976"/>
      <c r="H53" s="3913" t="e">
        <f ca="1">dpIncome_TCat4_WAContractRent</f>
        <v>#DIV/0!</v>
      </c>
      <c r="I53" s="4252"/>
      <c r="J53" s="4252"/>
      <c r="K53" s="4252"/>
      <c r="L53" s="1531"/>
      <c r="M53" s="3977"/>
      <c r="N53" s="3921"/>
      <c r="O53" s="3921"/>
      <c r="P53" s="3921"/>
      <c r="Q53" s="589"/>
      <c r="R53" s="594"/>
      <c r="S53" s="599"/>
      <c r="T53" s="605"/>
      <c r="U53" s="613"/>
      <c r="V53" s="587"/>
      <c r="W53" s="602">
        <f>Income_TCat4_MonthsVacant_NoGenVac</f>
        <v>0</v>
      </c>
      <c r="X53" s="608"/>
      <c r="Y53" s="74"/>
    </row>
    <row r="54" spans="1:26" ht="15" hidden="1" customHeight="1" x14ac:dyDescent="0.25">
      <c r="A54" s="957">
        <f>IF(Income_TechniqueUsed="Direct Capitalization",0,IF(AND(ISNUMBER(Income_TCat5_NRA),Income_TCat5_NRA&gt;0),1,0))</f>
        <v>0</v>
      </c>
      <c r="B54" s="2639">
        <f t="shared" si="3"/>
        <v>0</v>
      </c>
      <c r="C54" s="2984"/>
      <c r="D54" s="2893"/>
      <c r="E54" s="3345">
        <f ca="1">IF(Income_RentRollSource="No Rent Roll",Income_TCat5_NRA_Manual,Income_TCat5_NRA)</f>
        <v>0</v>
      </c>
      <c r="F54" s="3392" t="e">
        <f ca="1">dpIncome_TCat5_NRA_Occupied/Income_TCat5_NRA</f>
        <v>#DIV/0!</v>
      </c>
      <c r="G54" s="3976"/>
      <c r="H54" s="3913" t="e">
        <f ca="1">dpIncome_TCat5_WAContractRent</f>
        <v>#DIV/0!</v>
      </c>
      <c r="I54" s="4252"/>
      <c r="J54" s="4252"/>
      <c r="K54" s="4252"/>
      <c r="L54" s="1531"/>
      <c r="M54" s="3977"/>
      <c r="N54" s="3921"/>
      <c r="O54" s="3921"/>
      <c r="P54" s="3921"/>
      <c r="Q54" s="589"/>
      <c r="R54" s="594"/>
      <c r="S54" s="599"/>
      <c r="T54" s="605"/>
      <c r="U54" s="613"/>
      <c r="V54" s="587"/>
      <c r="W54" s="602">
        <f>Income_TCat5_MonthsVacant_NoGenVac</f>
        <v>0</v>
      </c>
      <c r="X54" s="609"/>
      <c r="Y54" s="74"/>
    </row>
    <row r="55" spans="1:26" ht="15" hidden="1" customHeight="1" x14ac:dyDescent="0.25">
      <c r="A55" s="957">
        <f>IF(Income_TechniqueUsed="Direct Capitalization",0,IF(AND(ISNUMBER(Income_TCat6_NRA),Income_TCat6_NRA&gt;0),1,0))</f>
        <v>0</v>
      </c>
      <c r="B55" s="2639">
        <f t="shared" si="3"/>
        <v>0</v>
      </c>
      <c r="C55" s="2984"/>
      <c r="D55" s="2893"/>
      <c r="E55" s="3345">
        <f ca="1">IF(Income_RentRollSource="No Rent Roll",Income_TCat6_NRA_Manual,Income_TCat6_NRA)</f>
        <v>0</v>
      </c>
      <c r="F55" s="3392" t="e">
        <f ca="1">dpIncome_TCat6_NRA_Occupied/Income_TCat6_NRA</f>
        <v>#DIV/0!</v>
      </c>
      <c r="G55" s="3976"/>
      <c r="H55" s="3913" t="e">
        <f ca="1">dpIncome_TCat6_WAContractRent</f>
        <v>#DIV/0!</v>
      </c>
      <c r="I55" s="4252"/>
      <c r="J55" s="4252"/>
      <c r="K55" s="4252"/>
      <c r="L55" s="1531"/>
      <c r="M55" s="3977"/>
      <c r="N55" s="3921"/>
      <c r="O55" s="3921"/>
      <c r="P55" s="3921"/>
      <c r="Q55" s="589"/>
      <c r="R55" s="594"/>
      <c r="S55" s="599"/>
      <c r="T55" s="605"/>
      <c r="U55" s="613"/>
      <c r="V55" s="587"/>
      <c r="W55" s="602">
        <f>Income_TCat6_MonthsVacant_NoGenVac</f>
        <v>0</v>
      </c>
      <c r="X55" s="608"/>
      <c r="Y55" s="74"/>
    </row>
    <row r="56" spans="1:26" ht="15" hidden="1" customHeight="1" x14ac:dyDescent="0.25">
      <c r="A56" s="957">
        <f>IF(Income_TechniqueUsed="Direct Capitalization",0,IF(AND(ISNUMBER(Income_TCat7_NRA),Income_TCat7_NRA&gt;0),1,0))</f>
        <v>0</v>
      </c>
      <c r="B56" s="2639">
        <f t="shared" si="3"/>
        <v>0</v>
      </c>
      <c r="C56" s="2984"/>
      <c r="D56" s="1563"/>
      <c r="E56" s="3345">
        <f ca="1">IF(Income_RentRollSource="No Rent Roll",Income_TCat7_NRA_Manual,Income_TCat7_NRA)</f>
        <v>0</v>
      </c>
      <c r="F56" s="3392" t="e">
        <f ca="1">dpIncome_TCat7_NRA_Occupied/Income_TCat7_NRA</f>
        <v>#DIV/0!</v>
      </c>
      <c r="G56" s="2269"/>
      <c r="H56" s="3913" t="e">
        <f ca="1">dpIncome_TCat7_WAContractRent</f>
        <v>#DIV/0!</v>
      </c>
      <c r="I56" s="4252"/>
      <c r="J56" s="4252"/>
      <c r="K56" s="4252"/>
      <c r="L56" s="1531"/>
      <c r="M56" s="3977"/>
      <c r="N56" s="3921"/>
      <c r="O56" s="3921"/>
      <c r="P56" s="3921"/>
      <c r="Q56" s="589"/>
      <c r="R56" s="594"/>
      <c r="S56" s="599"/>
      <c r="T56" s="605"/>
      <c r="U56" s="613"/>
      <c r="V56" s="587"/>
      <c r="W56" s="602">
        <f>Income_TCat7_MonthsVacant_NoGenVac</f>
        <v>0</v>
      </c>
      <c r="X56" s="112"/>
      <c r="Y56" s="74"/>
    </row>
    <row r="57" spans="1:26" ht="15" hidden="1" customHeight="1" x14ac:dyDescent="0.25">
      <c r="A57" s="957">
        <f>IF(Income_TechniqueUsed="Direct Capitalization",0,IF(AND(ISNUMBER(Income_TCat8_NRA),Income_TCat8_NRA&gt;0),1,0))</f>
        <v>0</v>
      </c>
      <c r="B57" s="2639">
        <f t="shared" si="3"/>
        <v>0</v>
      </c>
      <c r="C57" s="2984"/>
      <c r="D57" s="1598"/>
      <c r="E57" s="3345">
        <f ca="1">IF(Income_RentRollSource="No Rent Roll",Income_TCat8_NRA_Manual,Income_TCat8_NRA)</f>
        <v>0</v>
      </c>
      <c r="F57" s="3941" t="e">
        <f ca="1">dpIncome_TCat8_NRA_Occupied/Income_TCat8_NRA</f>
        <v>#DIV/0!</v>
      </c>
      <c r="G57" s="1629"/>
      <c r="H57" s="3916" t="e">
        <f ca="1">dpIncome_TCat8_WAContractRent</f>
        <v>#DIV/0!</v>
      </c>
      <c r="I57" s="4253"/>
      <c r="J57" s="4253"/>
      <c r="K57" s="4253"/>
      <c r="L57" s="3922"/>
      <c r="M57" s="3923"/>
      <c r="N57" s="3924"/>
      <c r="O57" s="3924"/>
      <c r="P57" s="3921"/>
      <c r="Q57" s="589"/>
      <c r="R57" s="594"/>
      <c r="S57" s="599"/>
      <c r="T57" s="605"/>
      <c r="U57" s="629"/>
      <c r="V57" s="586"/>
      <c r="W57" s="630">
        <f>Income_TCat8_MonthsVacant_NoGenVac</f>
        <v>0</v>
      </c>
      <c r="X57" s="112"/>
      <c r="Y57" s="74"/>
    </row>
    <row r="58" spans="1:26" ht="15" hidden="1" thickBot="1" x14ac:dyDescent="0.3">
      <c r="A58" s="957">
        <f>IF(Income_TechniqueUsed="Direct Capitalization",0,IF(SUM(A50:A57)=1,0,1))</f>
        <v>0</v>
      </c>
      <c r="B58" s="2639">
        <f t="shared" si="3"/>
        <v>0</v>
      </c>
      <c r="C58" s="2984"/>
      <c r="D58" s="3929" t="s">
        <v>1549</v>
      </c>
      <c r="E58" s="3930">
        <f ca="1">SUM(E50:E57)</f>
        <v>0</v>
      </c>
      <c r="F58" s="3942" t="e">
        <f ca="1">dpIncome_RentRollOccupancy</f>
        <v>#VALUE!</v>
      </c>
      <c r="G58" s="3932">
        <f ca="1">dpIncome_MarketRent_Average</f>
        <v>0</v>
      </c>
      <c r="H58" s="3932">
        <f ca="1">dpIncome_ContractRent_Average</f>
        <v>7.5003940712537398</v>
      </c>
      <c r="I58" s="3932"/>
      <c r="J58" s="3944"/>
      <c r="K58" s="3944"/>
      <c r="L58" s="3944"/>
      <c r="M58" s="3944"/>
      <c r="N58" s="3945"/>
      <c r="O58" s="3945"/>
      <c r="P58" s="3943"/>
      <c r="Q58" s="590"/>
      <c r="R58" s="595"/>
      <c r="S58" s="600"/>
      <c r="T58" s="604"/>
      <c r="U58" s="604"/>
      <c r="V58" s="604"/>
      <c r="W58" s="604"/>
      <c r="X58" s="112"/>
      <c r="Y58" s="74"/>
    </row>
    <row r="59" spans="1:26" ht="20.100000000000001" customHeight="1" thickBot="1" x14ac:dyDescent="0.3">
      <c r="A59" s="957">
        <v>1</v>
      </c>
      <c r="B59" s="95">
        <v>1</v>
      </c>
      <c r="C59" s="7"/>
      <c r="D59" s="648" t="s">
        <v>932</v>
      </c>
      <c r="E59" s="659"/>
      <c r="F59" s="475"/>
      <c r="G59" s="475"/>
      <c r="H59" s="475"/>
      <c r="I59" s="475"/>
      <c r="J59" s="475"/>
      <c r="K59" s="475"/>
      <c r="L59" s="475"/>
      <c r="M59" s="475"/>
      <c r="N59" s="475"/>
      <c r="O59" s="475"/>
      <c r="P59" s="14"/>
      <c r="Q59" s="122"/>
      <c r="R59" s="592"/>
      <c r="S59" s="185"/>
      <c r="T59" s="14"/>
      <c r="U59" s="14"/>
      <c r="V59" s="14"/>
      <c r="W59" s="14"/>
      <c r="X59" s="78"/>
      <c r="Y59" s="76"/>
    </row>
    <row r="60" spans="1:26" ht="15" thickBot="1" x14ac:dyDescent="0.3">
      <c r="A60" s="957">
        <v>1</v>
      </c>
      <c r="B60" s="32">
        <v>1</v>
      </c>
    </row>
    <row r="61" spans="1:26" x14ac:dyDescent="0.25">
      <c r="A61" s="957">
        <v>1</v>
      </c>
      <c r="B61" s="94">
        <f>A61</f>
        <v>1</v>
      </c>
      <c r="C61" s="2"/>
      <c r="D61" s="2"/>
      <c r="E61" s="2"/>
      <c r="F61" s="2"/>
      <c r="G61" s="2"/>
      <c r="H61" s="2"/>
      <c r="I61" s="2"/>
      <c r="J61" s="3"/>
    </row>
    <row r="62" spans="1:26" ht="17.25" thickBot="1" x14ac:dyDescent="0.3">
      <c r="A62" s="957">
        <v>1</v>
      </c>
      <c r="B62" s="16">
        <f t="shared" ref="B62:B77" si="5">A62</f>
        <v>1</v>
      </c>
      <c r="C62" s="11"/>
      <c r="D62" s="519" t="s">
        <v>677</v>
      </c>
      <c r="E62" s="11"/>
      <c r="F62" s="11"/>
      <c r="G62" s="11"/>
      <c r="H62" s="11"/>
      <c r="I62" s="11"/>
      <c r="J62" s="6"/>
    </row>
    <row r="63" spans="1:26" ht="20.100000000000001" hidden="1" customHeight="1" x14ac:dyDescent="0.25">
      <c r="A63" s="957">
        <f>IF(Income_TechniqueUsed="Direct Cap. and DCF",IF(dpSort_ValueScenario_1="",0,1),0)</f>
        <v>0</v>
      </c>
      <c r="B63" s="563">
        <f t="shared" si="5"/>
        <v>0</v>
      </c>
      <c r="C63" s="258"/>
      <c r="D63" s="3335" t="str">
        <f>dpSort_ValueScenario_1</f>
        <v>Retrospective Fee Simple Market Value Indication</v>
      </c>
      <c r="E63" s="2984"/>
      <c r="F63" s="2984"/>
      <c r="G63" s="2984"/>
      <c r="H63" s="2984"/>
      <c r="I63" s="258"/>
      <c r="J63" s="6"/>
    </row>
    <row r="64" spans="1:26" hidden="1" x14ac:dyDescent="0.25">
      <c r="A64" s="957">
        <f>A63</f>
        <v>0</v>
      </c>
      <c r="B64" s="563">
        <f t="shared" si="5"/>
        <v>0</v>
      </c>
      <c r="C64" s="258"/>
      <c r="D64" s="2984" t="s">
        <v>417</v>
      </c>
      <c r="E64" s="2984"/>
      <c r="F64" s="2984"/>
      <c r="G64" s="2984"/>
      <c r="H64" s="3186">
        <f ca="1">Income_DirectCap_IndicatedValue1</f>
        <v>2000000</v>
      </c>
      <c r="I64" s="258"/>
      <c r="J64" s="6"/>
    </row>
    <row r="65" spans="1:10" hidden="1" x14ac:dyDescent="0.25">
      <c r="A65" s="957">
        <f>A63</f>
        <v>0</v>
      </c>
      <c r="B65" s="563">
        <f t="shared" si="5"/>
        <v>0</v>
      </c>
      <c r="C65" s="258"/>
      <c r="D65" s="3946" t="s">
        <v>418</v>
      </c>
      <c r="E65" s="3946"/>
      <c r="F65" s="3946"/>
      <c r="G65" s="3946"/>
      <c r="H65" s="3947" t="e">
        <f>IF(Salient_Sort_NumValues=3,Income_DCF_IndicatedValue3,IF(Salient_Sort_NumValues=2,Income_DCF_IndicatedValue2,Income_DCF_IndicatedValue1))</f>
        <v>#N/A</v>
      </c>
      <c r="I65" s="258"/>
      <c r="J65" s="6"/>
    </row>
    <row r="66" spans="1:10" hidden="1" x14ac:dyDescent="0.25">
      <c r="A66" s="957">
        <f>A63</f>
        <v>0</v>
      </c>
      <c r="B66" s="563">
        <f t="shared" si="5"/>
        <v>0</v>
      </c>
      <c r="C66" s="258"/>
      <c r="D66" s="3199" t="s">
        <v>580</v>
      </c>
      <c r="E66" s="2984"/>
      <c r="F66" s="2984"/>
      <c r="G66" s="2984"/>
      <c r="H66" s="537">
        <f ca="1">Income_DirectCap_IndicatedValue1</f>
        <v>2000000</v>
      </c>
      <c r="I66" s="258"/>
      <c r="J66" s="6"/>
    </row>
    <row r="67" spans="1:10" ht="9.9499999999999993" hidden="1" customHeight="1" x14ac:dyDescent="0.25">
      <c r="A67" s="957">
        <f>A68</f>
        <v>0</v>
      </c>
      <c r="B67" s="563">
        <f t="shared" si="5"/>
        <v>0</v>
      </c>
      <c r="C67" s="258"/>
      <c r="D67" s="2984"/>
      <c r="E67" s="2984"/>
      <c r="F67" s="2984"/>
      <c r="G67" s="2984"/>
      <c r="H67" s="3193"/>
      <c r="I67" s="258"/>
      <c r="J67" s="6"/>
    </row>
    <row r="68" spans="1:10" hidden="1" x14ac:dyDescent="0.25">
      <c r="A68" s="957">
        <f>IF(Income_TechniqueUsed="Direct Cap. and DCF",IF(dpSort_ValueScenario_2="",0,1),0)</f>
        <v>0</v>
      </c>
      <c r="B68" s="563">
        <f t="shared" si="5"/>
        <v>0</v>
      </c>
      <c r="C68" s="258"/>
      <c r="D68" s="3199" t="str">
        <f>dpSort_ValueScenario_2</f>
        <v/>
      </c>
      <c r="E68" s="2984"/>
      <c r="F68" s="2984"/>
      <c r="G68" s="2984"/>
      <c r="H68" s="3193"/>
      <c r="I68" s="258"/>
      <c r="J68" s="6"/>
    </row>
    <row r="69" spans="1:10" hidden="1" x14ac:dyDescent="0.25">
      <c r="A69" s="957">
        <f>A68</f>
        <v>0</v>
      </c>
      <c r="B69" s="563">
        <f t="shared" si="5"/>
        <v>0</v>
      </c>
      <c r="C69" s="258"/>
      <c r="D69" s="2984" t="s">
        <v>417</v>
      </c>
      <c r="E69" s="2984"/>
      <c r="F69" s="2984"/>
      <c r="G69" s="2984"/>
      <c r="H69" s="3186" t="str">
        <f>Income_DirectCap_IndicatedValue2</f>
        <v>N/A</v>
      </c>
      <c r="I69" s="258"/>
      <c r="J69" s="6"/>
    </row>
    <row r="70" spans="1:10" hidden="1" x14ac:dyDescent="0.25">
      <c r="A70" s="957">
        <f>A68</f>
        <v>0</v>
      </c>
      <c r="B70" s="563">
        <f t="shared" si="5"/>
        <v>0</v>
      </c>
      <c r="C70" s="258"/>
      <c r="D70" s="3946" t="s">
        <v>418</v>
      </c>
      <c r="E70" s="3946"/>
      <c r="F70" s="3946"/>
      <c r="G70" s="3946"/>
      <c r="H70" s="3947" t="str">
        <f>IF(Salient_Sort_NumValues=3,Income_DCF_IndicatedValue2,IF(Salient_Sort_NumValues=2,Income_DCF_IndicatedValue1,"N/A"))</f>
        <v>N/A</v>
      </c>
      <c r="I70" s="258"/>
      <c r="J70" s="6"/>
    </row>
    <row r="71" spans="1:10" hidden="1" x14ac:dyDescent="0.25">
      <c r="A71" s="957">
        <f>A68</f>
        <v>0</v>
      </c>
      <c r="B71" s="563">
        <f t="shared" si="5"/>
        <v>0</v>
      </c>
      <c r="C71" s="258"/>
      <c r="D71" s="3199" t="s">
        <v>580</v>
      </c>
      <c r="E71" s="2984"/>
      <c r="F71" s="2984"/>
      <c r="G71" s="2984"/>
      <c r="H71" s="537" t="str">
        <f>Income_DirectCap_IndicatedValue2</f>
        <v>N/A</v>
      </c>
      <c r="I71" s="258"/>
      <c r="J71" s="6"/>
    </row>
    <row r="72" spans="1:10" ht="9.9499999999999993" hidden="1" customHeight="1" x14ac:dyDescent="0.25">
      <c r="A72" s="957">
        <f>A73</f>
        <v>0</v>
      </c>
      <c r="B72" s="563">
        <f t="shared" si="5"/>
        <v>0</v>
      </c>
      <c r="C72" s="258"/>
      <c r="D72" s="2984"/>
      <c r="E72" s="2984"/>
      <c r="F72" s="2984"/>
      <c r="G72" s="2984"/>
      <c r="H72" s="3193"/>
      <c r="I72" s="258"/>
      <c r="J72" s="6"/>
    </row>
    <row r="73" spans="1:10" hidden="1" x14ac:dyDescent="0.25">
      <c r="A73" s="957">
        <f>IF(Income_TechniqueUsed="Direct Cap. and DCF",IF(dpSort_ValueScenario_3="",0,1),0)</f>
        <v>0</v>
      </c>
      <c r="B73" s="563">
        <f t="shared" si="5"/>
        <v>0</v>
      </c>
      <c r="C73" s="258"/>
      <c r="D73" s="3199" t="str">
        <f>dpSort_ValueScenario_3</f>
        <v/>
      </c>
      <c r="E73" s="2984"/>
      <c r="F73" s="2984"/>
      <c r="G73" s="2984"/>
      <c r="H73" s="3193"/>
      <c r="I73" s="258"/>
      <c r="J73" s="6"/>
    </row>
    <row r="74" spans="1:10" hidden="1" x14ac:dyDescent="0.25">
      <c r="A74" s="957">
        <f>A73</f>
        <v>0</v>
      </c>
      <c r="B74" s="563">
        <f t="shared" si="5"/>
        <v>0</v>
      </c>
      <c r="C74" s="258"/>
      <c r="D74" s="2984" t="s">
        <v>417</v>
      </c>
      <c r="E74" s="2984"/>
      <c r="F74" s="2984"/>
      <c r="G74" s="2984"/>
      <c r="H74" s="3186" t="str">
        <f>Income_DirectCap_IndicatedValue3</f>
        <v>N/A</v>
      </c>
      <c r="I74" s="258"/>
      <c r="J74" s="6"/>
    </row>
    <row r="75" spans="1:10" hidden="1" x14ac:dyDescent="0.25">
      <c r="A75" s="957">
        <f>A73</f>
        <v>0</v>
      </c>
      <c r="B75" s="563">
        <f t="shared" si="5"/>
        <v>0</v>
      </c>
      <c r="C75" s="258"/>
      <c r="D75" s="3946" t="s">
        <v>418</v>
      </c>
      <c r="E75" s="3946"/>
      <c r="F75" s="3946"/>
      <c r="G75" s="3946"/>
      <c r="H75" s="3947" t="str">
        <f>IF(Salient_Sort_NumValues=3,Income_DCF_IndicatedValue1,"N/A")</f>
        <v>N/A</v>
      </c>
      <c r="I75" s="258"/>
      <c r="J75" s="6"/>
    </row>
    <row r="76" spans="1:10" ht="15" hidden="1" thickBot="1" x14ac:dyDescent="0.3">
      <c r="A76" s="957">
        <f>A73</f>
        <v>0</v>
      </c>
      <c r="B76" s="563">
        <f t="shared" si="5"/>
        <v>0</v>
      </c>
      <c r="C76" s="258"/>
      <c r="D76" s="3929" t="s">
        <v>580</v>
      </c>
      <c r="E76" s="3948"/>
      <c r="F76" s="3948"/>
      <c r="G76" s="3948"/>
      <c r="H76" s="668" t="str">
        <f>Income_DirectCap_IndicatedValue3</f>
        <v>N/A</v>
      </c>
      <c r="I76" s="258"/>
      <c r="J76" s="6"/>
    </row>
    <row r="77" spans="1:10" ht="15" thickBot="1" x14ac:dyDescent="0.3">
      <c r="A77" s="96">
        <v>1</v>
      </c>
      <c r="B77" s="95">
        <f t="shared" si="5"/>
        <v>1</v>
      </c>
      <c r="C77" s="7"/>
      <c r="D77" s="555" t="s">
        <v>933</v>
      </c>
      <c r="E77" s="133"/>
      <c r="F77" s="133"/>
      <c r="G77" s="133"/>
      <c r="H77" s="133"/>
      <c r="I77" s="7"/>
      <c r="J77" s="9"/>
    </row>
    <row r="78" spans="1:10" x14ac:dyDescent="0.25">
      <c r="A78" s="96"/>
    </row>
  </sheetData>
  <mergeCells count="53">
    <mergeCell ref="I55:K55"/>
    <mergeCell ref="I54:K54"/>
    <mergeCell ref="I53:K53"/>
    <mergeCell ref="I57:K57"/>
    <mergeCell ref="I56:K56"/>
    <mergeCell ref="I49:K49"/>
    <mergeCell ref="I50:K50"/>
    <mergeCell ref="I52:K52"/>
    <mergeCell ref="I51:K51"/>
    <mergeCell ref="I30:L30"/>
    <mergeCell ref="I35:L35"/>
    <mergeCell ref="I41:L41"/>
    <mergeCell ref="I42:L42"/>
    <mergeCell ref="I43:L43"/>
    <mergeCell ref="G45:H45"/>
    <mergeCell ref="G47:H47"/>
    <mergeCell ref="I47:L47"/>
    <mergeCell ref="L48:M48"/>
    <mergeCell ref="I48:K48"/>
    <mergeCell ref="G46:H46"/>
    <mergeCell ref="I45:L45"/>
    <mergeCell ref="I46:L46"/>
    <mergeCell ref="N47:O48"/>
    <mergeCell ref="E38:F38"/>
    <mergeCell ref="E37:F37"/>
    <mergeCell ref="E36:F36"/>
    <mergeCell ref="I26:L26"/>
    <mergeCell ref="G26:H26"/>
    <mergeCell ref="G43:H43"/>
    <mergeCell ref="G30:H30"/>
    <mergeCell ref="G35:H35"/>
    <mergeCell ref="I27:L27"/>
    <mergeCell ref="I28:L28"/>
    <mergeCell ref="G28:H28"/>
    <mergeCell ref="G27:H27"/>
    <mergeCell ref="G41:H41"/>
    <mergeCell ref="G42:H42"/>
    <mergeCell ref="E47:F47"/>
    <mergeCell ref="E46:F46"/>
    <mergeCell ref="E26:F26"/>
    <mergeCell ref="E27:F27"/>
    <mergeCell ref="E28:F28"/>
    <mergeCell ref="E35:F35"/>
    <mergeCell ref="E30:F30"/>
    <mergeCell ref="E33:F33"/>
    <mergeCell ref="E31:F31"/>
    <mergeCell ref="E32:F32"/>
    <mergeCell ref="E34:F34"/>
    <mergeCell ref="E39:F39"/>
    <mergeCell ref="E41:F41"/>
    <mergeCell ref="E42:F42"/>
    <mergeCell ref="E43:F43"/>
    <mergeCell ref="E45:F45"/>
  </mergeCells>
  <printOptions horizontalCentered="1"/>
  <pageMargins left="0.5" right="0.5" top="0.75" bottom="0.75" header="0.3" footer="0.3"/>
  <pageSetup fitToHeight="2" orientation="landscape" horizontalDpi="1200" verticalDpi="1200" r:id="rId1"/>
  <drawing r:id="rId2"/>
  <legacyDrawing r:id="rId3"/>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Invalid Option - Please Select from the List" prompt="Select Proper Lease Structure" xr:uid="{00000000-0002-0000-2400-000000000000}">
          <x14:formula1>
            <xm:f>'Selection Tables'!$AC$5:$AC$14</xm:f>
          </x14:formula1>
          <xm:sqref>H12:H19 I50:K57</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theme="5" tint="-0.249977111117893"/>
    <pageSetUpPr fitToPage="1"/>
  </sheetPr>
  <dimension ref="A1:AD33"/>
  <sheetViews>
    <sheetView workbookViewId="0">
      <selection activeCell="D4" sqref="D4"/>
    </sheetView>
  </sheetViews>
  <sheetFormatPr defaultColWidth="9.140625" defaultRowHeight="14.25" x14ac:dyDescent="0.25"/>
  <cols>
    <col min="1" max="1" width="9.140625" style="911"/>
    <col min="2" max="2" width="1.7109375" style="911" customWidth="1"/>
    <col min="3" max="3" width="0.85546875" style="911" customWidth="1"/>
    <col min="4" max="5" width="20.7109375" style="911" customWidth="1"/>
    <col min="6" max="6" width="12.7109375" style="911" customWidth="1"/>
    <col min="7" max="7" width="12.7109375" style="1287" customWidth="1"/>
    <col min="8" max="8" width="9.7109375" style="1287" customWidth="1"/>
    <col min="9" max="10" width="9.7109375" style="1256" customWidth="1"/>
    <col min="11" max="11" width="10.7109375" style="1256" customWidth="1"/>
    <col min="12" max="12" width="11.7109375" style="911" customWidth="1"/>
    <col min="13" max="13" width="8.7109375" style="1287" customWidth="1"/>
    <col min="14" max="14" width="0.85546875" style="911" customWidth="1"/>
    <col min="15" max="15" width="1.7109375" style="911" customWidth="1"/>
    <col min="16" max="16" width="5.7109375" style="911" customWidth="1"/>
    <col min="17" max="17" width="1.7109375" style="911" customWidth="1"/>
    <col min="18" max="18" width="0.85546875" style="911" customWidth="1"/>
    <col min="19" max="19" width="15.7109375" style="911" customWidth="1"/>
    <col min="20" max="20" width="20.7109375" style="911" customWidth="1"/>
    <col min="21" max="21" width="5.7109375" style="911" customWidth="1"/>
    <col min="22" max="22" width="10.7109375" style="911" customWidth="1"/>
    <col min="23" max="23" width="5.7109375" style="911" customWidth="1"/>
    <col min="24" max="24" width="15.7109375" style="911" customWidth="1"/>
    <col min="25" max="25" width="10.7109375" style="911" customWidth="1"/>
    <col min="26" max="26" width="0.85546875" style="911" customWidth="1"/>
    <col min="27" max="27" width="1.7109375" style="911" customWidth="1"/>
    <col min="28" max="28" width="5.7109375" style="911" customWidth="1"/>
    <col min="29" max="16384" width="9.140625" style="911"/>
  </cols>
  <sheetData>
    <row r="1" spans="1:15" ht="60" customHeight="1" x14ac:dyDescent="0.25"/>
    <row r="2" spans="1:15" ht="15" thickBot="1" x14ac:dyDescent="0.3"/>
    <row r="3" spans="1:15" x14ac:dyDescent="0.25">
      <c r="B3" s="1248"/>
      <c r="C3" s="1249"/>
      <c r="D3" s="1249"/>
      <c r="E3" s="1249"/>
      <c r="F3" s="1249"/>
      <c r="G3" s="1288"/>
      <c r="H3" s="1288"/>
      <c r="I3" s="1257"/>
      <c r="J3" s="1257"/>
      <c r="K3" s="1257"/>
      <c r="L3" s="1249"/>
      <c r="M3" s="1288"/>
      <c r="N3" s="1249"/>
      <c r="O3" s="1250"/>
    </row>
    <row r="4" spans="1:15" ht="16.5" x14ac:dyDescent="0.3">
      <c r="B4" s="1251"/>
      <c r="C4" s="1080"/>
      <c r="D4" s="246" t="s">
        <v>1360</v>
      </c>
      <c r="E4" s="246"/>
      <c r="F4" s="1080"/>
      <c r="G4" s="1097"/>
      <c r="H4" s="1097"/>
      <c r="I4" s="1258"/>
      <c r="J4" s="1258"/>
      <c r="K4" s="1258"/>
      <c r="L4" s="1080"/>
      <c r="M4" s="1097"/>
      <c r="N4" s="1080"/>
      <c r="O4" s="1252"/>
    </row>
    <row r="5" spans="1:15" ht="28.5" x14ac:dyDescent="0.25">
      <c r="B5" s="1251"/>
      <c r="C5" s="11"/>
      <c r="D5" s="12" t="s">
        <v>1341</v>
      </c>
      <c r="E5" s="12" t="s">
        <v>95</v>
      </c>
      <c r="F5" s="290" t="s">
        <v>1344</v>
      </c>
      <c r="G5" s="290" t="s">
        <v>1067</v>
      </c>
      <c r="H5" s="290" t="s">
        <v>293</v>
      </c>
      <c r="I5" s="4093" t="s">
        <v>1160</v>
      </c>
      <c r="J5" s="4093"/>
      <c r="K5" s="4093" t="s">
        <v>1342</v>
      </c>
      <c r="L5" s="4093"/>
      <c r="M5" s="290" t="s">
        <v>1343</v>
      </c>
      <c r="N5" s="11"/>
      <c r="O5" s="1252"/>
    </row>
    <row r="6" spans="1:15" hidden="1" x14ac:dyDescent="0.25">
      <c r="A6" s="957">
        <f>IF(M6="",0,1)</f>
        <v>0</v>
      </c>
      <c r="B6" s="1251"/>
      <c r="C6" s="1272"/>
      <c r="D6" s="1272" t="s">
        <v>1362</v>
      </c>
      <c r="E6" s="1272" t="s">
        <v>1363</v>
      </c>
      <c r="F6" s="1306">
        <v>42736</v>
      </c>
      <c r="G6" s="1307">
        <v>5</v>
      </c>
      <c r="H6" s="1308">
        <v>15</v>
      </c>
      <c r="I6" s="1304">
        <v>500000</v>
      </c>
      <c r="J6" s="3585">
        <f>I6/G6/43560</f>
        <v>2.2956841138659319</v>
      </c>
      <c r="K6" s="1304">
        <f>L6*43560*G6</f>
        <v>0</v>
      </c>
      <c r="L6" s="1309"/>
      <c r="M6" s="1302" t="str">
        <f>IF(ISERR(I6/K6),"",I6/K6)</f>
        <v/>
      </c>
      <c r="N6" s="1272"/>
      <c r="O6" s="1252"/>
    </row>
    <row r="7" spans="1:15" hidden="1" x14ac:dyDescent="0.25">
      <c r="A7" s="957">
        <f t="shared" ref="A7:A20" si="0">IF(M7="",0,1)</f>
        <v>0</v>
      </c>
      <c r="B7" s="1251"/>
      <c r="C7" s="1272"/>
      <c r="D7" s="1272"/>
      <c r="E7" s="1272"/>
      <c r="F7" s="1306"/>
      <c r="G7" s="1307"/>
      <c r="H7" s="1308"/>
      <c r="I7" s="1304"/>
      <c r="J7" s="3585" t="e">
        <f t="shared" ref="J7:J20" si="1">I7/G7/43560</f>
        <v>#DIV/0!</v>
      </c>
      <c r="K7" s="1304">
        <f t="shared" ref="K7:K20" si="2">L7*43560*G7</f>
        <v>0</v>
      </c>
      <c r="L7" s="1309"/>
      <c r="M7" s="1302" t="str">
        <f t="shared" ref="M7:M20" si="3">IF(ISERR(I7/K7),"",I7/K7)</f>
        <v/>
      </c>
      <c r="N7" s="1272"/>
      <c r="O7" s="1252"/>
    </row>
    <row r="8" spans="1:15" hidden="1" x14ac:dyDescent="0.25">
      <c r="A8" s="957">
        <f t="shared" si="0"/>
        <v>0</v>
      </c>
      <c r="B8" s="1251"/>
      <c r="C8" s="1272"/>
      <c r="D8" s="1272"/>
      <c r="E8" s="1272"/>
      <c r="F8" s="1306"/>
      <c r="G8" s="1307"/>
      <c r="H8" s="1308"/>
      <c r="I8" s="1304"/>
      <c r="J8" s="3585" t="e">
        <f t="shared" si="1"/>
        <v>#DIV/0!</v>
      </c>
      <c r="K8" s="1304">
        <f t="shared" si="2"/>
        <v>0</v>
      </c>
      <c r="L8" s="1309"/>
      <c r="M8" s="1302" t="str">
        <f t="shared" si="3"/>
        <v/>
      </c>
      <c r="N8" s="1272"/>
      <c r="O8" s="1252"/>
    </row>
    <row r="9" spans="1:15" hidden="1" x14ac:dyDescent="0.25">
      <c r="A9" s="957">
        <f t="shared" si="0"/>
        <v>0</v>
      </c>
      <c r="B9" s="1251"/>
      <c r="C9" s="1272"/>
      <c r="D9" s="1272"/>
      <c r="E9" s="1272"/>
      <c r="F9" s="1306"/>
      <c r="G9" s="1307"/>
      <c r="H9" s="1308"/>
      <c r="I9" s="1304"/>
      <c r="J9" s="3585" t="e">
        <f t="shared" si="1"/>
        <v>#DIV/0!</v>
      </c>
      <c r="K9" s="1304">
        <f t="shared" si="2"/>
        <v>0</v>
      </c>
      <c r="L9" s="1309"/>
      <c r="M9" s="1302" t="str">
        <f t="shared" si="3"/>
        <v/>
      </c>
      <c r="N9" s="1272"/>
      <c r="O9" s="1252"/>
    </row>
    <row r="10" spans="1:15" hidden="1" x14ac:dyDescent="0.25">
      <c r="A10" s="957">
        <f t="shared" si="0"/>
        <v>0</v>
      </c>
      <c r="B10" s="1251"/>
      <c r="C10" s="1272"/>
      <c r="D10" s="1272"/>
      <c r="E10" s="1272"/>
      <c r="F10" s="1306"/>
      <c r="G10" s="1307"/>
      <c r="H10" s="1308"/>
      <c r="I10" s="1304"/>
      <c r="J10" s="3585" t="e">
        <f t="shared" si="1"/>
        <v>#DIV/0!</v>
      </c>
      <c r="K10" s="1304">
        <f t="shared" si="2"/>
        <v>0</v>
      </c>
      <c r="L10" s="1309"/>
      <c r="M10" s="1302" t="str">
        <f t="shared" si="3"/>
        <v/>
      </c>
      <c r="N10" s="1272"/>
      <c r="O10" s="1252"/>
    </row>
    <row r="11" spans="1:15" hidden="1" x14ac:dyDescent="0.25">
      <c r="A11" s="957">
        <f t="shared" si="0"/>
        <v>0</v>
      </c>
      <c r="B11" s="1251"/>
      <c r="C11" s="1272"/>
      <c r="D11" s="1272"/>
      <c r="E11" s="1272"/>
      <c r="F11" s="1306"/>
      <c r="G11" s="1307"/>
      <c r="H11" s="1308"/>
      <c r="I11" s="1304"/>
      <c r="J11" s="3585" t="e">
        <f t="shared" si="1"/>
        <v>#DIV/0!</v>
      </c>
      <c r="K11" s="1304">
        <f t="shared" si="2"/>
        <v>0</v>
      </c>
      <c r="L11" s="1309"/>
      <c r="M11" s="1302" t="str">
        <f t="shared" si="3"/>
        <v/>
      </c>
      <c r="N11" s="1272"/>
      <c r="O11" s="1252"/>
    </row>
    <row r="12" spans="1:15" hidden="1" x14ac:dyDescent="0.25">
      <c r="A12" s="957">
        <f t="shared" si="0"/>
        <v>0</v>
      </c>
      <c r="B12" s="1251"/>
      <c r="C12" s="1272"/>
      <c r="D12" s="1272"/>
      <c r="E12" s="1272"/>
      <c r="F12" s="1306"/>
      <c r="G12" s="1307"/>
      <c r="H12" s="1308"/>
      <c r="I12" s="1304"/>
      <c r="J12" s="3585" t="e">
        <f t="shared" si="1"/>
        <v>#DIV/0!</v>
      </c>
      <c r="K12" s="1304">
        <f t="shared" si="2"/>
        <v>0</v>
      </c>
      <c r="L12" s="1309"/>
      <c r="M12" s="1302" t="str">
        <f t="shared" si="3"/>
        <v/>
      </c>
      <c r="N12" s="1272"/>
      <c r="O12" s="1252"/>
    </row>
    <row r="13" spans="1:15" hidden="1" x14ac:dyDescent="0.25">
      <c r="A13" s="957">
        <f t="shared" si="0"/>
        <v>0</v>
      </c>
      <c r="B13" s="1251"/>
      <c r="C13" s="1272"/>
      <c r="D13" s="1272"/>
      <c r="E13" s="1272"/>
      <c r="F13" s="1306"/>
      <c r="G13" s="1307"/>
      <c r="H13" s="1308"/>
      <c r="I13" s="1304"/>
      <c r="J13" s="3585" t="e">
        <f t="shared" si="1"/>
        <v>#DIV/0!</v>
      </c>
      <c r="K13" s="1304">
        <f t="shared" si="2"/>
        <v>0</v>
      </c>
      <c r="L13" s="1309"/>
      <c r="M13" s="1302" t="str">
        <f t="shared" si="3"/>
        <v/>
      </c>
      <c r="N13" s="1272"/>
      <c r="O13" s="1252"/>
    </row>
    <row r="14" spans="1:15" hidden="1" x14ac:dyDescent="0.25">
      <c r="A14" s="957">
        <f t="shared" si="0"/>
        <v>0</v>
      </c>
      <c r="B14" s="1251"/>
      <c r="C14" s="1272"/>
      <c r="D14" s="1272"/>
      <c r="E14" s="1272"/>
      <c r="F14" s="1306"/>
      <c r="G14" s="1307"/>
      <c r="H14" s="1308"/>
      <c r="I14" s="1304"/>
      <c r="J14" s="3585" t="e">
        <f t="shared" si="1"/>
        <v>#DIV/0!</v>
      </c>
      <c r="K14" s="1304">
        <f t="shared" si="2"/>
        <v>0</v>
      </c>
      <c r="L14" s="1309"/>
      <c r="M14" s="1302" t="str">
        <f t="shared" si="3"/>
        <v/>
      </c>
      <c r="N14" s="1272"/>
      <c r="O14" s="1252"/>
    </row>
    <row r="15" spans="1:15" hidden="1" x14ac:dyDescent="0.25">
      <c r="A15" s="957">
        <f t="shared" si="0"/>
        <v>0</v>
      </c>
      <c r="B15" s="1251"/>
      <c r="C15" s="1272"/>
      <c r="D15" s="1272"/>
      <c r="E15" s="1272"/>
      <c r="F15" s="1306"/>
      <c r="G15" s="1307"/>
      <c r="H15" s="1308"/>
      <c r="I15" s="1304"/>
      <c r="J15" s="3585" t="e">
        <f t="shared" si="1"/>
        <v>#DIV/0!</v>
      </c>
      <c r="K15" s="1304">
        <f t="shared" si="2"/>
        <v>0</v>
      </c>
      <c r="L15" s="1309"/>
      <c r="M15" s="1302" t="str">
        <f t="shared" si="3"/>
        <v/>
      </c>
      <c r="N15" s="1272"/>
      <c r="O15" s="1252"/>
    </row>
    <row r="16" spans="1:15" hidden="1" x14ac:dyDescent="0.25">
      <c r="A16" s="957">
        <f t="shared" si="0"/>
        <v>0</v>
      </c>
      <c r="B16" s="1251"/>
      <c r="C16" s="1272"/>
      <c r="D16" s="1272"/>
      <c r="E16" s="1272"/>
      <c r="F16" s="1306"/>
      <c r="G16" s="1307"/>
      <c r="H16" s="1308"/>
      <c r="I16" s="1304"/>
      <c r="J16" s="3585" t="e">
        <f t="shared" si="1"/>
        <v>#DIV/0!</v>
      </c>
      <c r="K16" s="1304">
        <f t="shared" si="2"/>
        <v>0</v>
      </c>
      <c r="L16" s="1309"/>
      <c r="M16" s="1302" t="str">
        <f t="shared" si="3"/>
        <v/>
      </c>
      <c r="N16" s="1272"/>
      <c r="O16" s="1252"/>
    </row>
    <row r="17" spans="1:30" hidden="1" x14ac:dyDescent="0.25">
      <c r="A17" s="957">
        <f t="shared" si="0"/>
        <v>0</v>
      </c>
      <c r="B17" s="1251"/>
      <c r="C17" s="1272"/>
      <c r="D17" s="1272"/>
      <c r="E17" s="1272"/>
      <c r="F17" s="1306"/>
      <c r="G17" s="1307"/>
      <c r="H17" s="1308"/>
      <c r="I17" s="1304"/>
      <c r="J17" s="3585" t="e">
        <f t="shared" si="1"/>
        <v>#DIV/0!</v>
      </c>
      <c r="K17" s="1304">
        <f t="shared" si="2"/>
        <v>0</v>
      </c>
      <c r="L17" s="1309"/>
      <c r="M17" s="1302" t="str">
        <f t="shared" si="3"/>
        <v/>
      </c>
      <c r="N17" s="1272"/>
      <c r="O17" s="1252"/>
    </row>
    <row r="18" spans="1:30" hidden="1" x14ac:dyDescent="0.25">
      <c r="A18" s="957">
        <f t="shared" si="0"/>
        <v>0</v>
      </c>
      <c r="B18" s="1251"/>
      <c r="C18" s="1272"/>
      <c r="D18" s="1272"/>
      <c r="E18" s="1272"/>
      <c r="F18" s="1306"/>
      <c r="G18" s="1307"/>
      <c r="H18" s="1308"/>
      <c r="I18" s="1304"/>
      <c r="J18" s="3585" t="e">
        <f t="shared" si="1"/>
        <v>#DIV/0!</v>
      </c>
      <c r="K18" s="1304">
        <f t="shared" si="2"/>
        <v>0</v>
      </c>
      <c r="L18" s="1309"/>
      <c r="M18" s="1302" t="str">
        <f t="shared" si="3"/>
        <v/>
      </c>
      <c r="N18" s="1272"/>
      <c r="O18" s="1252"/>
    </row>
    <row r="19" spans="1:30" hidden="1" x14ac:dyDescent="0.25">
      <c r="A19" s="957">
        <f t="shared" si="0"/>
        <v>0</v>
      </c>
      <c r="B19" s="1251"/>
      <c r="C19" s="1272"/>
      <c r="D19" s="1272"/>
      <c r="E19" s="1272"/>
      <c r="F19" s="1306"/>
      <c r="G19" s="1307"/>
      <c r="H19" s="1308"/>
      <c r="I19" s="1304"/>
      <c r="J19" s="3585" t="e">
        <f t="shared" si="1"/>
        <v>#DIV/0!</v>
      </c>
      <c r="K19" s="1304">
        <f t="shared" si="2"/>
        <v>0</v>
      </c>
      <c r="L19" s="1309"/>
      <c r="M19" s="1302" t="str">
        <f t="shared" si="3"/>
        <v/>
      </c>
      <c r="N19" s="1272"/>
      <c r="O19" s="1252"/>
    </row>
    <row r="20" spans="1:30" hidden="1" x14ac:dyDescent="0.25">
      <c r="A20" s="957">
        <f t="shared" si="0"/>
        <v>0</v>
      </c>
      <c r="B20" s="1251"/>
      <c r="C20" s="1272"/>
      <c r="D20" s="1272"/>
      <c r="E20" s="1272"/>
      <c r="F20" s="1306"/>
      <c r="G20" s="1307"/>
      <c r="H20" s="1308"/>
      <c r="I20" s="1304"/>
      <c r="J20" s="3585" t="e">
        <f t="shared" si="1"/>
        <v>#DIV/0!</v>
      </c>
      <c r="K20" s="1304">
        <f t="shared" si="2"/>
        <v>0</v>
      </c>
      <c r="L20" s="1309"/>
      <c r="M20" s="1302" t="str">
        <f t="shared" si="3"/>
        <v/>
      </c>
      <c r="N20" s="1272"/>
      <c r="O20" s="1252"/>
    </row>
    <row r="21" spans="1:30" x14ac:dyDescent="0.25">
      <c r="B21" s="1251"/>
      <c r="C21" s="1272"/>
      <c r="D21" s="1310"/>
      <c r="E21" s="1310"/>
      <c r="F21" s="1310"/>
      <c r="G21" s="1311"/>
      <c r="H21" s="1311"/>
      <c r="I21" s="1312"/>
      <c r="J21" s="1312"/>
      <c r="K21" s="1312"/>
      <c r="L21" s="1312"/>
      <c r="M21" s="1313">
        <f>MIN(M6:M20)</f>
        <v>0</v>
      </c>
      <c r="N21" s="1272"/>
      <c r="O21" s="1252"/>
    </row>
    <row r="22" spans="1:30" x14ac:dyDescent="0.25">
      <c r="B22" s="1251"/>
      <c r="C22" s="1272"/>
      <c r="D22" s="1272"/>
      <c r="E22" s="1272"/>
      <c r="F22" s="1272"/>
      <c r="G22" s="1314"/>
      <c r="H22" s="1314"/>
      <c r="I22" s="1275"/>
      <c r="J22" s="1275"/>
      <c r="K22" s="1275"/>
      <c r="L22" s="1275" t="s">
        <v>1234</v>
      </c>
      <c r="M22" s="1302">
        <f>MAX(M6:M20)</f>
        <v>0</v>
      </c>
      <c r="N22" s="1272"/>
      <c r="O22" s="1252"/>
    </row>
    <row r="23" spans="1:30" x14ac:dyDescent="0.25">
      <c r="B23" s="1251"/>
      <c r="C23" s="1272"/>
      <c r="D23" s="1272"/>
      <c r="E23" s="1272"/>
      <c r="F23" s="1272"/>
      <c r="G23" s="1314"/>
      <c r="H23" s="1314"/>
      <c r="I23" s="1275"/>
      <c r="J23" s="1275"/>
      <c r="K23" s="1275"/>
      <c r="L23" s="1275" t="s">
        <v>1235</v>
      </c>
      <c r="M23" s="1302" t="e">
        <f>AVERAGE(M6:M20)</f>
        <v>#DIV/0!</v>
      </c>
      <c r="N23" s="1272"/>
      <c r="O23" s="1252"/>
    </row>
    <row r="24" spans="1:30" ht="15" thickBot="1" x14ac:dyDescent="0.3">
      <c r="B24" s="1251"/>
      <c r="C24" s="1272"/>
      <c r="D24" s="1315"/>
      <c r="E24" s="1315"/>
      <c r="F24" s="1315"/>
      <c r="G24" s="1316"/>
      <c r="H24" s="1316"/>
      <c r="I24" s="1317"/>
      <c r="J24" s="1317"/>
      <c r="K24" s="1317"/>
      <c r="L24" s="1317" t="s">
        <v>117</v>
      </c>
      <c r="M24" s="1318" t="e">
        <f>MEDIAN(M6:M20)</f>
        <v>#NUM!</v>
      </c>
      <c r="N24" s="1272"/>
      <c r="O24" s="1252"/>
    </row>
    <row r="25" spans="1:30" ht="15.95" customHeight="1" thickBot="1" x14ac:dyDescent="0.3">
      <c r="B25" s="1253"/>
      <c r="C25" s="1254"/>
      <c r="D25" s="552" t="s">
        <v>1348</v>
      </c>
      <c r="E25" s="1254"/>
      <c r="F25" s="1254"/>
      <c r="G25" s="1289"/>
      <c r="H25" s="1289"/>
      <c r="I25" s="1259"/>
      <c r="J25" s="1259"/>
      <c r="K25" s="1259"/>
      <c r="L25" s="1254"/>
      <c r="M25" s="1289"/>
      <c r="N25" s="1254"/>
      <c r="O25" s="1255"/>
    </row>
    <row r="26" spans="1:30" ht="15" thickBot="1" x14ac:dyDescent="0.3"/>
    <row r="27" spans="1:30" x14ac:dyDescent="0.25">
      <c r="Q27" s="1"/>
      <c r="R27" s="2"/>
      <c r="S27" s="2"/>
      <c r="T27" s="2"/>
      <c r="U27" s="2"/>
      <c r="V27" s="2"/>
      <c r="W27" s="2"/>
      <c r="X27" s="2"/>
      <c r="Y27" s="2"/>
      <c r="Z27" s="1288"/>
      <c r="AA27" s="1250"/>
      <c r="AC27" s="10"/>
    </row>
    <row r="28" spans="1:30" ht="16.5" x14ac:dyDescent="0.3">
      <c r="Q28" s="4"/>
      <c r="R28" s="5"/>
      <c r="S28" s="27" t="s">
        <v>1345</v>
      </c>
      <c r="T28" s="39"/>
      <c r="U28" s="39"/>
      <c r="V28" s="39"/>
      <c r="W28" s="39"/>
      <c r="X28" s="39"/>
      <c r="Y28" s="5"/>
      <c r="Z28" s="1097"/>
      <c r="AA28" s="1252"/>
      <c r="AC28" s="10"/>
    </row>
    <row r="29" spans="1:30" x14ac:dyDescent="0.25">
      <c r="Q29" s="4"/>
      <c r="R29" s="150"/>
      <c r="S29" s="150"/>
      <c r="T29" s="150"/>
      <c r="U29" s="150"/>
      <c r="V29" s="4093" t="s">
        <v>1347</v>
      </c>
      <c r="W29" s="150"/>
      <c r="X29" s="4093" t="s">
        <v>1349</v>
      </c>
      <c r="Y29" s="4093"/>
      <c r="Z29" s="1287"/>
      <c r="AA29" s="1252"/>
      <c r="AC29" s="10"/>
    </row>
    <row r="30" spans="1:30" ht="15" thickBot="1" x14ac:dyDescent="0.3">
      <c r="Q30" s="4"/>
      <c r="R30" s="150"/>
      <c r="S30" s="150" t="s">
        <v>287</v>
      </c>
      <c r="T30" s="150" t="s">
        <v>1346</v>
      </c>
      <c r="U30" s="150"/>
      <c r="V30" s="4093"/>
      <c r="W30" s="150"/>
      <c r="X30" s="290" t="s">
        <v>298</v>
      </c>
      <c r="Y30" s="290" t="s">
        <v>44</v>
      </c>
      <c r="Z30" s="1287"/>
      <c r="AA30" s="1252"/>
      <c r="AC30" s="10"/>
    </row>
    <row r="31" spans="1:30" ht="15" thickBot="1" x14ac:dyDescent="0.3">
      <c r="Q31" s="87"/>
      <c r="R31" s="259"/>
      <c r="S31" s="3586">
        <f>Subject_LandPrimary_UsableAcres</f>
        <v>0.99173553719008267</v>
      </c>
      <c r="T31" s="3587">
        <f>dpLand_Primary_PreliminaryValue</f>
        <v>6800000</v>
      </c>
      <c r="U31" s="3406" t="s">
        <v>176</v>
      </c>
      <c r="V31" s="1293"/>
      <c r="W31" s="3406" t="s">
        <v>177</v>
      </c>
      <c r="X31" s="3587">
        <f>MROUND(T31*V31,INDEX(Rounding_Options,MATCH(AD31,Rounding_Label,0),2))</f>
        <v>0</v>
      </c>
      <c r="Y31" s="3588">
        <f>X31/S31/43560</f>
        <v>0</v>
      </c>
      <c r="Z31" s="3347"/>
      <c r="AA31" s="1291"/>
      <c r="AB31" s="1290"/>
      <c r="AC31" s="165" t="s">
        <v>991</v>
      </c>
      <c r="AD31" s="801" t="s">
        <v>407</v>
      </c>
    </row>
    <row r="32" spans="1:30" s="1290" customFormat="1" ht="20.100000000000001" customHeight="1" thickBot="1" x14ac:dyDescent="0.3">
      <c r="G32" s="1303"/>
      <c r="Q32" s="8"/>
      <c r="R32" s="7"/>
      <c r="S32" s="552" t="s">
        <v>1350</v>
      </c>
      <c r="T32" s="7"/>
      <c r="U32" s="7"/>
      <c r="V32" s="7"/>
      <c r="W32" s="7"/>
      <c r="X32" s="800"/>
      <c r="Y32" s="800"/>
      <c r="Z32" s="1289"/>
      <c r="AA32" s="1255"/>
      <c r="AB32" s="911"/>
      <c r="AC32" s="10"/>
      <c r="AD32" s="911"/>
    </row>
    <row r="33" ht="15.95" customHeight="1" x14ac:dyDescent="0.25"/>
  </sheetData>
  <mergeCells count="4">
    <mergeCell ref="X29:Y29"/>
    <mergeCell ref="V29:V30"/>
    <mergeCell ref="I5:J5"/>
    <mergeCell ref="K5:L5"/>
  </mergeCells>
  <dataValidations count="1">
    <dataValidation type="list" allowBlank="1" showInputMessage="1" showErrorMessage="1" error="Invalid Option - Please Select from the List" prompt="Select Rounding Option" sqref="AD31" xr:uid="{00000000-0002-0000-2500-000000000000}">
      <formula1>Rounding_Label</formula1>
    </dataValidation>
  </dataValidations>
  <printOptions horizontalCentered="1"/>
  <pageMargins left="0.5" right="0.5" top="0.75" bottom="0.75" header="0.3" footer="0.3"/>
  <pageSetup scale="77" orientation="portrait" r:id="rId1"/>
  <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5">
    <tabColor theme="5" tint="-0.249977111117893"/>
    <pageSetUpPr fitToPage="1"/>
  </sheetPr>
  <dimension ref="A1:BY37"/>
  <sheetViews>
    <sheetView zoomScaleNormal="100" workbookViewId="0">
      <selection activeCell="D4" sqref="D4"/>
    </sheetView>
  </sheetViews>
  <sheetFormatPr defaultColWidth="8.85546875" defaultRowHeight="14.25" x14ac:dyDescent="0.25"/>
  <cols>
    <col min="1" max="1" width="5.7109375" style="143" customWidth="1"/>
    <col min="2" max="2" width="1.7109375" style="10" customWidth="1"/>
    <col min="3" max="3" width="0.85546875" style="10" customWidth="1"/>
    <col min="4" max="4" width="6.7109375" style="24" customWidth="1"/>
    <col min="5" max="5" width="13.85546875" style="24" customWidth="1"/>
    <col min="6" max="6" width="12.28515625" style="24" hidden="1" customWidth="1"/>
    <col min="7" max="7" width="12.5703125" style="24" hidden="1" customWidth="1"/>
    <col min="8" max="8" width="11" style="24" hidden="1" customWidth="1"/>
    <col min="9" max="9" width="6.7109375" style="24" customWidth="1"/>
    <col min="10" max="10" width="8.5703125" style="24" bestFit="1" customWidth="1"/>
    <col min="11" max="11" width="17.85546875" style="24" bestFit="1" customWidth="1"/>
    <col min="12" max="12" width="13.7109375" style="24" bestFit="1" customWidth="1"/>
    <col min="13" max="13" width="5.140625" style="37" customWidth="1"/>
    <col min="14" max="14" width="5.140625" style="37" hidden="1" customWidth="1"/>
    <col min="15" max="15" width="6.42578125" style="37" hidden="1" customWidth="1"/>
    <col min="16" max="16" width="8" style="37" hidden="1" customWidth="1"/>
    <col min="17" max="17" width="10.42578125" style="37" hidden="1" customWidth="1"/>
    <col min="18" max="18" width="8.85546875" style="37" customWidth="1"/>
    <col min="19" max="19" width="9.28515625" style="37" bestFit="1" customWidth="1"/>
    <col min="20" max="21" width="9" style="37" hidden="1" customWidth="1"/>
    <col min="22" max="22" width="8.140625" style="37" hidden="1" customWidth="1"/>
    <col min="23" max="23" width="6.7109375" style="37" hidden="1" customWidth="1"/>
    <col min="24" max="24" width="0.85546875" style="10" customWidth="1"/>
    <col min="25" max="25" width="1.7109375" style="10" customWidth="1"/>
    <col min="26" max="26" width="5.7109375" style="10" customWidth="1"/>
    <col min="27" max="27" width="1.7109375" style="10" customWidth="1"/>
    <col min="28" max="28" width="0.85546875" style="10" customWidth="1"/>
    <col min="29" max="29" width="6.7109375" style="10" hidden="1" customWidth="1"/>
    <col min="30" max="30" width="13.85546875" style="10" hidden="1" customWidth="1"/>
    <col min="31" max="31" width="7" style="10" hidden="1" customWidth="1"/>
    <col min="32" max="32" width="11.5703125" style="10" hidden="1" customWidth="1"/>
    <col min="33" max="33" width="7.5703125" style="10" hidden="1" customWidth="1"/>
    <col min="34" max="34" width="6.7109375" style="10" hidden="1" customWidth="1"/>
    <col min="35" max="37" width="8.5703125" style="10" hidden="1" customWidth="1"/>
    <col min="38" max="39" width="5.140625" style="10" hidden="1" customWidth="1"/>
    <col min="40" max="40" width="6.42578125" style="10" hidden="1" customWidth="1"/>
    <col min="41" max="41" width="8" style="10" hidden="1" customWidth="1"/>
    <col min="42" max="42" width="10.42578125" style="10" hidden="1" customWidth="1"/>
    <col min="43" max="43" width="8.85546875" style="10" hidden="1" customWidth="1"/>
    <col min="44" max="46" width="9" style="10" hidden="1" customWidth="1"/>
    <col min="47" max="47" width="8.140625" style="10" hidden="1" customWidth="1"/>
    <col min="48" max="48" width="6.7109375" style="10" hidden="1" customWidth="1"/>
    <col min="49" max="49" width="0.85546875" style="10" customWidth="1"/>
    <col min="50" max="50" width="1.7109375" style="10" customWidth="1"/>
    <col min="51" max="51" width="5.7109375" style="10" customWidth="1"/>
    <col min="52" max="52" width="1.7109375" style="10" customWidth="1"/>
    <col min="53" max="53" width="0.85546875" style="10" customWidth="1"/>
    <col min="54" max="54" width="6.7109375" style="10" hidden="1" customWidth="1"/>
    <col min="55" max="55" width="13.85546875" style="10" hidden="1" customWidth="1"/>
    <col min="56" max="56" width="7" style="10" hidden="1" customWidth="1"/>
    <col min="57" max="57" width="11.5703125" style="10" hidden="1" customWidth="1"/>
    <col min="58" max="58" width="7.5703125" style="10" hidden="1" customWidth="1"/>
    <col min="59" max="59" width="6.7109375" style="10" hidden="1" customWidth="1"/>
    <col min="60" max="62" width="8.5703125" style="10" hidden="1" customWidth="1"/>
    <col min="63" max="64" width="5.140625" style="10" hidden="1" customWidth="1"/>
    <col min="65" max="65" width="6.42578125" style="10" hidden="1" customWidth="1"/>
    <col min="66" max="66" width="8" style="10" hidden="1" customWidth="1"/>
    <col min="67" max="67" width="10.42578125" style="10" hidden="1" customWidth="1"/>
    <col min="68" max="68" width="8.85546875" style="10" hidden="1" customWidth="1"/>
    <col min="69" max="71" width="9" style="10" hidden="1" customWidth="1"/>
    <col min="72" max="72" width="8.140625" style="10" hidden="1" customWidth="1"/>
    <col min="73" max="73" width="6.7109375" style="10" hidden="1" customWidth="1"/>
    <col min="74" max="74" width="0.85546875" style="10" customWidth="1"/>
    <col min="75" max="75" width="1.7109375" style="10" customWidth="1"/>
    <col min="76" max="16384" width="8.85546875" style="10"/>
  </cols>
  <sheetData>
    <row r="1" spans="2:77" ht="60" customHeight="1" thickBot="1" x14ac:dyDescent="0.3">
      <c r="D1" s="1049"/>
      <c r="E1" s="1049"/>
      <c r="F1" s="1049"/>
      <c r="G1" s="1049"/>
      <c r="H1" s="1049"/>
      <c r="I1" s="1049"/>
      <c r="J1" s="1049"/>
      <c r="K1" s="1049"/>
      <c r="L1" s="1049"/>
      <c r="M1" s="811"/>
      <c r="N1" s="811"/>
      <c r="O1" s="811"/>
      <c r="P1" s="811"/>
      <c r="Q1" s="811"/>
      <c r="R1" s="811"/>
      <c r="S1" s="811"/>
      <c r="T1" s="811"/>
      <c r="U1" s="811"/>
    </row>
    <row r="2" spans="2:77" ht="48.75" customHeight="1" thickBot="1" x14ac:dyDescent="0.3"/>
    <row r="3" spans="2:77" ht="15" customHeight="1" x14ac:dyDescent="0.25">
      <c r="B3" s="1"/>
      <c r="C3" s="2"/>
      <c r="D3" s="25"/>
      <c r="E3" s="25"/>
      <c r="F3" s="25"/>
      <c r="G3" s="25"/>
      <c r="H3" s="25"/>
      <c r="I3" s="25"/>
      <c r="J3" s="25"/>
      <c r="K3" s="25"/>
      <c r="L3" s="25"/>
      <c r="M3" s="123"/>
      <c r="N3" s="123"/>
      <c r="O3" s="123"/>
      <c r="P3" s="123"/>
      <c r="Q3" s="123"/>
      <c r="R3" s="123"/>
      <c r="S3" s="123"/>
      <c r="T3" s="123"/>
      <c r="U3" s="123"/>
      <c r="V3" s="123"/>
      <c r="W3" s="123"/>
      <c r="X3" s="2"/>
      <c r="Y3" s="3"/>
    </row>
    <row r="4" spans="2:77" ht="16.5" x14ac:dyDescent="0.3">
      <c r="B4" s="4"/>
      <c r="C4" s="51"/>
      <c r="D4" s="3886" t="s">
        <v>266</v>
      </c>
      <c r="E4" s="44"/>
      <c r="F4" s="44"/>
      <c r="G4" s="44"/>
      <c r="H4" s="44"/>
      <c r="I4" s="44"/>
      <c r="J4" s="44"/>
      <c r="K4" s="44"/>
      <c r="L4" s="44"/>
      <c r="M4" s="804"/>
      <c r="N4" s="3960"/>
      <c r="O4" s="3960"/>
      <c r="P4" s="3960"/>
      <c r="Q4" s="3960"/>
      <c r="R4" s="3960"/>
      <c r="S4" s="3960"/>
      <c r="T4" s="3960"/>
      <c r="U4" s="3960"/>
      <c r="V4" s="3960"/>
      <c r="W4" s="3960"/>
      <c r="X4" s="51"/>
      <c r="Y4" s="6"/>
    </row>
    <row r="5" spans="2:77" ht="15" customHeight="1" x14ac:dyDescent="0.25">
      <c r="B5" s="4"/>
      <c r="C5" s="3765"/>
      <c r="D5" s="3766" t="s">
        <v>94</v>
      </c>
      <c r="E5" s="3766" t="s">
        <v>283</v>
      </c>
      <c r="F5" s="3766" t="s">
        <v>271</v>
      </c>
      <c r="G5" s="3766" t="s">
        <v>271</v>
      </c>
      <c r="H5" s="3766" t="s">
        <v>283</v>
      </c>
      <c r="I5" s="3766" t="s">
        <v>94</v>
      </c>
      <c r="J5" s="3766" t="s">
        <v>105</v>
      </c>
      <c r="K5" s="3766"/>
      <c r="L5" s="3766"/>
      <c r="M5" s="3767" t="s">
        <v>110</v>
      </c>
      <c r="N5" s="3767" t="s">
        <v>110</v>
      </c>
      <c r="O5" s="3767"/>
      <c r="P5" s="3767" t="s">
        <v>756</v>
      </c>
      <c r="Q5" s="3767" t="s">
        <v>105</v>
      </c>
      <c r="R5" s="3767" t="s">
        <v>274</v>
      </c>
      <c r="S5" s="3767" t="s">
        <v>271</v>
      </c>
      <c r="T5" s="3767" t="s">
        <v>269</v>
      </c>
      <c r="U5" s="3767" t="s">
        <v>271</v>
      </c>
      <c r="V5" s="3767" t="s">
        <v>700</v>
      </c>
      <c r="W5" s="3767" t="s">
        <v>94</v>
      </c>
      <c r="X5" s="3765"/>
      <c r="Y5" s="6"/>
    </row>
    <row r="6" spans="2:77" ht="15" customHeight="1" x14ac:dyDescent="0.25">
      <c r="B6" s="4"/>
      <c r="C6" s="3765"/>
      <c r="D6" s="3766" t="s">
        <v>113</v>
      </c>
      <c r="E6" s="3766" t="s">
        <v>758</v>
      </c>
      <c r="F6" s="3766" t="s">
        <v>145</v>
      </c>
      <c r="G6" s="3766" t="s">
        <v>1354</v>
      </c>
      <c r="H6" s="3766" t="s">
        <v>282</v>
      </c>
      <c r="I6" s="3766" t="s">
        <v>195</v>
      </c>
      <c r="J6" s="3766" t="s">
        <v>106</v>
      </c>
      <c r="K6" s="3768" t="s">
        <v>95</v>
      </c>
      <c r="L6" s="3766" t="str">
        <f>IF(K12=0,"Location","")</f>
        <v/>
      </c>
      <c r="M6" s="3767" t="s">
        <v>111</v>
      </c>
      <c r="N6" s="3767" t="s">
        <v>111</v>
      </c>
      <c r="O6" s="3767" t="s">
        <v>1061</v>
      </c>
      <c r="P6" s="3767" t="s">
        <v>757</v>
      </c>
      <c r="Q6" s="3767" t="s">
        <v>268</v>
      </c>
      <c r="R6" s="3767" t="s">
        <v>270</v>
      </c>
      <c r="S6" s="3767" t="s">
        <v>272</v>
      </c>
      <c r="T6" s="3767" t="s">
        <v>273</v>
      </c>
      <c r="U6" s="3767" t="s">
        <v>273</v>
      </c>
      <c r="V6" s="4075" t="s">
        <v>1132</v>
      </c>
      <c r="W6" s="3767" t="s">
        <v>126</v>
      </c>
      <c r="X6" s="3765"/>
      <c r="Y6" s="6"/>
    </row>
    <row r="7" spans="2:77" s="144" customFormat="1" x14ac:dyDescent="0.25">
      <c r="B7" s="305"/>
      <c r="C7" s="306"/>
      <c r="D7" s="327">
        <v>1</v>
      </c>
      <c r="E7" s="523">
        <v>45472</v>
      </c>
      <c r="F7" s="523">
        <v>45100</v>
      </c>
      <c r="G7" s="523">
        <v>45100</v>
      </c>
      <c r="H7" s="523">
        <v>45326</v>
      </c>
      <c r="I7" s="327" t="str">
        <f t="shared" ref="I7:I9" si="0">IF(OR(T7="",T7="N/A"),"Lease","Survey")</f>
        <v>Lease</v>
      </c>
      <c r="J7" s="327" t="s">
        <v>19963</v>
      </c>
      <c r="K7" s="327" t="s">
        <v>20058</v>
      </c>
      <c r="L7" s="327" t="s">
        <v>19964</v>
      </c>
      <c r="M7" s="3961">
        <v>1983</v>
      </c>
      <c r="N7" s="526">
        <v>2008</v>
      </c>
      <c r="O7" s="526"/>
      <c r="P7" s="526"/>
      <c r="Q7" s="1017">
        <v>1</v>
      </c>
      <c r="R7" s="805">
        <v>12.75</v>
      </c>
      <c r="S7" s="526" t="s">
        <v>290</v>
      </c>
      <c r="T7" s="4076"/>
      <c r="U7" s="4076">
        <v>25.97</v>
      </c>
      <c r="V7" s="4076"/>
      <c r="W7" s="1016">
        <v>677468</v>
      </c>
      <c r="X7" s="88"/>
      <c r="Y7" s="307"/>
    </row>
    <row r="8" spans="2:77" s="144" customFormat="1" x14ac:dyDescent="0.25">
      <c r="B8" s="305"/>
      <c r="C8" s="306"/>
      <c r="D8" s="327">
        <v>2</v>
      </c>
      <c r="E8" s="523">
        <v>45337</v>
      </c>
      <c r="F8" s="523">
        <v>45292</v>
      </c>
      <c r="G8" s="523">
        <v>45323</v>
      </c>
      <c r="H8" s="523">
        <v>45672</v>
      </c>
      <c r="I8" s="327" t="str">
        <f t="shared" si="0"/>
        <v>Lease</v>
      </c>
      <c r="J8" s="327" t="s">
        <v>19963</v>
      </c>
      <c r="K8" s="327" t="s">
        <v>20083</v>
      </c>
      <c r="L8" s="327" t="s">
        <v>20024</v>
      </c>
      <c r="M8" s="3961">
        <v>1982</v>
      </c>
      <c r="N8" s="526">
        <v>2015</v>
      </c>
      <c r="O8" s="526"/>
      <c r="P8" s="526"/>
      <c r="Q8" s="1017"/>
      <c r="R8" s="805">
        <v>10.5</v>
      </c>
      <c r="S8" s="526" t="s">
        <v>290</v>
      </c>
      <c r="T8" s="4076"/>
      <c r="U8" s="4076">
        <v>34.1</v>
      </c>
      <c r="V8" s="4076"/>
      <c r="W8" s="1016">
        <v>707996</v>
      </c>
      <c r="X8" s="88"/>
      <c r="Y8" s="307"/>
    </row>
    <row r="9" spans="2:77" s="144" customFormat="1" x14ac:dyDescent="0.25">
      <c r="B9" s="305"/>
      <c r="C9" s="306"/>
      <c r="D9" s="327">
        <v>3</v>
      </c>
      <c r="E9" s="523">
        <v>45078</v>
      </c>
      <c r="F9" s="523">
        <v>45201</v>
      </c>
      <c r="G9" s="523">
        <v>45231</v>
      </c>
      <c r="H9" s="523">
        <v>45358</v>
      </c>
      <c r="I9" s="327" t="str">
        <f t="shared" si="0"/>
        <v>Lease</v>
      </c>
      <c r="J9" s="327" t="s">
        <v>19963</v>
      </c>
      <c r="K9" s="327" t="s">
        <v>20084</v>
      </c>
      <c r="L9" s="327" t="s">
        <v>19964</v>
      </c>
      <c r="M9" s="3961">
        <v>1984</v>
      </c>
      <c r="N9" s="526">
        <v>2005</v>
      </c>
      <c r="O9" s="526"/>
      <c r="P9" s="526"/>
      <c r="Q9" s="1017"/>
      <c r="R9" s="805">
        <v>11</v>
      </c>
      <c r="S9" s="526" t="s">
        <v>290</v>
      </c>
      <c r="T9" s="4076"/>
      <c r="U9" s="4076">
        <v>22</v>
      </c>
      <c r="V9" s="4076"/>
      <c r="W9" s="1016">
        <v>680701</v>
      </c>
      <c r="X9" s="88"/>
      <c r="Y9" s="307"/>
      <c r="BY9" s="144">
        <v>6000</v>
      </c>
    </row>
    <row r="10" spans="2:77" s="144" customFormat="1" ht="15" thickBot="1" x14ac:dyDescent="0.3">
      <c r="B10" s="305"/>
      <c r="C10" s="306"/>
      <c r="D10" s="513">
        <v>4</v>
      </c>
      <c r="E10" s="524">
        <v>44708</v>
      </c>
      <c r="F10" s="524">
        <v>44896</v>
      </c>
      <c r="G10" s="524">
        <v>44896</v>
      </c>
      <c r="H10" s="524">
        <v>45333</v>
      </c>
      <c r="I10" s="513" t="str">
        <f t="shared" ref="I10" si="1">IF(OR(T10="",T10="N/A"),"Lease","Survey")</f>
        <v>Lease</v>
      </c>
      <c r="J10" s="513" t="s">
        <v>19963</v>
      </c>
      <c r="K10" s="513" t="s">
        <v>20085</v>
      </c>
      <c r="L10" s="513" t="s">
        <v>19964</v>
      </c>
      <c r="M10" s="1018">
        <v>1982</v>
      </c>
      <c r="N10" s="1014">
        <v>2004</v>
      </c>
      <c r="O10" s="1014"/>
      <c r="P10" s="1014"/>
      <c r="Q10" s="1019">
        <v>0.88</v>
      </c>
      <c r="R10" s="807">
        <v>10</v>
      </c>
      <c r="S10" s="1014" t="s">
        <v>290</v>
      </c>
      <c r="T10" s="891"/>
      <c r="U10" s="891"/>
      <c r="V10" s="891">
        <v>7.87</v>
      </c>
      <c r="W10" s="1676">
        <v>678041</v>
      </c>
      <c r="X10" s="88"/>
      <c r="Y10" s="307"/>
    </row>
    <row r="11" spans="2:77" s="144" customFormat="1" ht="15" thickBot="1" x14ac:dyDescent="0.3">
      <c r="B11" s="638"/>
      <c r="C11" s="639"/>
      <c r="D11" s="643" t="s">
        <v>873</v>
      </c>
      <c r="E11" s="1050"/>
      <c r="F11" s="1050"/>
      <c r="G11" s="1050"/>
      <c r="H11" s="1050"/>
      <c r="I11" s="640"/>
      <c r="J11" s="640"/>
      <c r="K11" s="640"/>
      <c r="L11" s="640"/>
      <c r="M11" s="1051"/>
      <c r="N11" s="1051"/>
      <c r="O11" s="1051"/>
      <c r="P11" s="1051"/>
      <c r="Q11" s="1052"/>
      <c r="R11" s="812"/>
      <c r="S11" s="1051"/>
      <c r="T11" s="928"/>
      <c r="U11" s="927"/>
      <c r="V11" s="927"/>
      <c r="W11" s="1053"/>
      <c r="X11" s="641"/>
      <c r="Y11" s="642"/>
    </row>
    <row r="12" spans="2:77" s="32" customFormat="1" x14ac:dyDescent="0.25">
      <c r="D12" s="957">
        <f>IF(OR(RentAdjustmentGrid="Single",RentAdjustmentGrid="None"),1,0)</f>
        <v>1</v>
      </c>
      <c r="E12" s="957">
        <f>IF(OR(RentAdjustmentGrid="Single",RentAdjustmentGrid="None"),1,0)</f>
        <v>1</v>
      </c>
      <c r="F12" s="957">
        <v>0</v>
      </c>
      <c r="G12" s="957">
        <v>0</v>
      </c>
      <c r="H12" s="957">
        <v>0</v>
      </c>
      <c r="I12" s="957">
        <f>IF(OR(RentAdjustmentGrid="Single",RentAdjustmentGrid="None"),1,0)</f>
        <v>1</v>
      </c>
      <c r="J12" s="957">
        <f>IF(OR(RentAdjustmentGrid="Single",RentAdjustmentGrid="None"),1,0)</f>
        <v>1</v>
      </c>
      <c r="K12" s="957">
        <f>IF(OR(RentAdjustmentGrid="Single",RentAdjustmentGrid="None"),1,0)</f>
        <v>1</v>
      </c>
      <c r="L12" s="957">
        <f>IF(OR(RentAdjustmentGrid="Single",RentAdjustmentGrid="None"),1,0)</f>
        <v>1</v>
      </c>
      <c r="M12" s="957">
        <f>IF(OR(RentAdjustmentGrid="Single",RentAdjustmentGrid="None"),1,0)</f>
        <v>1</v>
      </c>
      <c r="N12" s="957">
        <v>0</v>
      </c>
      <c r="O12" s="957">
        <v>0</v>
      </c>
      <c r="P12" s="957">
        <f>IF(OR(RentAdjustmentGrid="Single",RentAdjustmentGrid="None"),IF(OR(P5="User",P6="Defined"),0,1),0)</f>
        <v>0</v>
      </c>
      <c r="Q12" s="957">
        <v>0</v>
      </c>
      <c r="R12" s="957">
        <f>IF(OR(RentAdjustmentGrid="Single",RentAdjustmentGrid="None"),1,0)</f>
        <v>1</v>
      </c>
      <c r="S12" s="957">
        <f>IF(OR(RentAdjustmentGrid="Single",RentAdjustmentGrid="None"),1,0)</f>
        <v>1</v>
      </c>
      <c r="T12" s="957">
        <v>0</v>
      </c>
      <c r="U12" s="957">
        <v>0</v>
      </c>
      <c r="V12" s="957">
        <v>0</v>
      </c>
      <c r="W12" s="957">
        <v>0</v>
      </c>
    </row>
    <row r="13" spans="2:77" s="143" customFormat="1" ht="15" thickBot="1" x14ac:dyDescent="0.3">
      <c r="AC13" s="889"/>
      <c r="AD13" s="889"/>
      <c r="AE13" s="889"/>
      <c r="AF13" s="889"/>
      <c r="AG13" s="889"/>
      <c r="AH13" s="889"/>
      <c r="AI13" s="889"/>
      <c r="AJ13" s="889"/>
      <c r="AK13" s="889"/>
      <c r="AL13" s="809"/>
      <c r="AM13" s="809"/>
      <c r="AN13" s="809"/>
      <c r="AO13" s="809"/>
      <c r="AP13" s="809"/>
      <c r="AQ13" s="809"/>
      <c r="AR13" s="809"/>
      <c r="AS13" s="809"/>
      <c r="AT13" s="809"/>
      <c r="AU13" s="809"/>
      <c r="AV13" s="809"/>
    </row>
    <row r="14" spans="2:77" s="143" customFormat="1" x14ac:dyDescent="0.25">
      <c r="AA14" s="1"/>
      <c r="AB14" s="2"/>
      <c r="AC14" s="25"/>
      <c r="AD14" s="25"/>
      <c r="AE14" s="25"/>
      <c r="AF14" s="25"/>
      <c r="AG14" s="25"/>
      <c r="AH14" s="25"/>
      <c r="AI14" s="25"/>
      <c r="AJ14" s="25"/>
      <c r="AK14" s="25"/>
      <c r="AL14" s="123"/>
      <c r="AM14" s="123"/>
      <c r="AN14" s="123"/>
      <c r="AO14" s="123"/>
      <c r="AP14" s="123"/>
      <c r="AQ14" s="123"/>
      <c r="AR14" s="123"/>
      <c r="AS14" s="123"/>
      <c r="AT14" s="123"/>
      <c r="AU14" s="123"/>
      <c r="AV14" s="123"/>
      <c r="AW14" s="2"/>
      <c r="AX14" s="3"/>
    </row>
    <row r="15" spans="2:77" s="143" customFormat="1" ht="16.5" x14ac:dyDescent="0.3">
      <c r="AA15" s="4"/>
      <c r="AB15" s="51"/>
      <c r="AC15" s="27" t="str">
        <f>CONCATENATE("Rent Comparable Summary - ",dpIncome_SpaceCategory_MarketRent_1)</f>
        <v xml:space="preserve">Rent Comparable Summary - </v>
      </c>
      <c r="AD15" s="44"/>
      <c r="AE15" s="44"/>
      <c r="AF15" s="44"/>
      <c r="AG15" s="44"/>
      <c r="AH15" s="44"/>
      <c r="AI15" s="44"/>
      <c r="AJ15" s="44"/>
      <c r="AK15" s="44"/>
      <c r="AL15" s="804"/>
      <c r="AM15" s="3960"/>
      <c r="AN15" s="3960"/>
      <c r="AO15" s="3960"/>
      <c r="AP15" s="3960"/>
      <c r="AQ15" s="3960"/>
      <c r="AR15" s="3960"/>
      <c r="AS15" s="3960"/>
      <c r="AT15" s="3960"/>
      <c r="AU15" s="3960"/>
      <c r="AV15" s="3960"/>
      <c r="AW15" s="51"/>
      <c r="AX15" s="6"/>
    </row>
    <row r="16" spans="2:77" s="143" customFormat="1" x14ac:dyDescent="0.25">
      <c r="AA16" s="4"/>
      <c r="AB16" s="11"/>
      <c r="AC16" s="207" t="s">
        <v>94</v>
      </c>
      <c r="AD16" s="207" t="s">
        <v>283</v>
      </c>
      <c r="AE16" s="207" t="s">
        <v>271</v>
      </c>
      <c r="AF16" s="207" t="s">
        <v>271</v>
      </c>
      <c r="AG16" s="207" t="s">
        <v>283</v>
      </c>
      <c r="AH16" s="207" t="s">
        <v>94</v>
      </c>
      <c r="AI16" s="207" t="s">
        <v>105</v>
      </c>
      <c r="AJ16" s="207"/>
      <c r="AK16" s="207"/>
      <c r="AL16" s="55" t="s">
        <v>110</v>
      </c>
      <c r="AM16" s="55" t="s">
        <v>110</v>
      </c>
      <c r="AN16" s="55"/>
      <c r="AO16" s="55" t="s">
        <v>756</v>
      </c>
      <c r="AP16" s="55" t="s">
        <v>105</v>
      </c>
      <c r="AQ16" s="55" t="s">
        <v>274</v>
      </c>
      <c r="AR16" s="55" t="s">
        <v>271</v>
      </c>
      <c r="AS16" s="55" t="s">
        <v>269</v>
      </c>
      <c r="AT16" s="55" t="s">
        <v>271</v>
      </c>
      <c r="AU16" s="55" t="s">
        <v>700</v>
      </c>
      <c r="AV16" s="55" t="s">
        <v>94</v>
      </c>
      <c r="AW16" s="11"/>
      <c r="AX16" s="6"/>
    </row>
    <row r="17" spans="26:76" s="143" customFormat="1" x14ac:dyDescent="0.25">
      <c r="AA17" s="4"/>
      <c r="AB17" s="11"/>
      <c r="AC17" s="207" t="s">
        <v>113</v>
      </c>
      <c r="AD17" s="207" t="s">
        <v>758</v>
      </c>
      <c r="AE17" s="207" t="s">
        <v>145</v>
      </c>
      <c r="AF17" s="207" t="s">
        <v>1354</v>
      </c>
      <c r="AG17" s="207" t="s">
        <v>282</v>
      </c>
      <c r="AH17" s="207" t="s">
        <v>195</v>
      </c>
      <c r="AI17" s="207" t="s">
        <v>106</v>
      </c>
      <c r="AJ17" s="1534" t="s">
        <v>95</v>
      </c>
      <c r="AK17" s="207" t="str">
        <f>IF(AJ25=0,"Location","")</f>
        <v>Location</v>
      </c>
      <c r="AL17" s="55" t="s">
        <v>111</v>
      </c>
      <c r="AM17" s="55" t="s">
        <v>111</v>
      </c>
      <c r="AN17" s="55" t="s">
        <v>1061</v>
      </c>
      <c r="AO17" s="55" t="s">
        <v>757</v>
      </c>
      <c r="AP17" s="55" t="s">
        <v>268</v>
      </c>
      <c r="AQ17" s="55" t="s">
        <v>270</v>
      </c>
      <c r="AR17" s="55" t="s">
        <v>272</v>
      </c>
      <c r="AS17" s="55" t="s">
        <v>273</v>
      </c>
      <c r="AT17" s="55" t="s">
        <v>273</v>
      </c>
      <c r="AU17" s="4077" t="s">
        <v>1132</v>
      </c>
      <c r="AV17" s="55" t="s">
        <v>126</v>
      </c>
      <c r="AW17" s="11"/>
      <c r="AX17" s="6"/>
    </row>
    <row r="18" spans="26:76" s="143" customFormat="1" x14ac:dyDescent="0.25">
      <c r="AA18" s="305"/>
      <c r="AB18" s="306"/>
      <c r="AC18" s="327">
        <v>1</v>
      </c>
      <c r="AD18" s="523">
        <f t="shared" ref="AD18:AD23" si="2">IF(OR(AS18="",AS18="N/A"),IF(Income_Lease_SignCommence="Date Lease Signed",AE18,AF18),AG18)</f>
        <v>0</v>
      </c>
      <c r="AE18" s="523"/>
      <c r="AF18" s="523"/>
      <c r="AG18" s="523"/>
      <c r="AH18" s="327" t="str">
        <f t="shared" ref="AH18:AH23" si="3">IF(OR(AS18="",AS18="N/A"),"Lease","Survey")</f>
        <v>Lease</v>
      </c>
      <c r="AI18" s="327"/>
      <c r="AJ18" s="327"/>
      <c r="AK18" s="327"/>
      <c r="AL18" s="3961">
        <f t="shared" ref="AL18:AL23" si="4">IF(OR(AM18="",AM18="N/A"),AN18,AM18)</f>
        <v>0</v>
      </c>
      <c r="AM18" s="526"/>
      <c r="AN18" s="526"/>
      <c r="AO18" s="526"/>
      <c r="AP18" s="1017"/>
      <c r="AQ18" s="805">
        <f t="shared" ref="AQ18:AQ23" si="5">IF(OR(AS18="",AS18="N/A"),AT18,AS18)</f>
        <v>0</v>
      </c>
      <c r="AR18" s="526"/>
      <c r="AS18" s="4076"/>
      <c r="AT18" s="4076"/>
      <c r="AU18" s="4076"/>
      <c r="AV18" s="1016"/>
      <c r="AW18" s="88"/>
      <c r="AX18" s="307"/>
    </row>
    <row r="19" spans="26:76" s="143" customFormat="1" x14ac:dyDescent="0.25">
      <c r="AA19" s="305"/>
      <c r="AB19" s="306"/>
      <c r="AC19" s="327">
        <v>2</v>
      </c>
      <c r="AD19" s="523">
        <f t="shared" si="2"/>
        <v>0</v>
      </c>
      <c r="AE19" s="523"/>
      <c r="AF19" s="523"/>
      <c r="AG19" s="523"/>
      <c r="AH19" s="327" t="str">
        <f t="shared" si="3"/>
        <v>Lease</v>
      </c>
      <c r="AI19" s="327"/>
      <c r="AJ19" s="327"/>
      <c r="AK19" s="327"/>
      <c r="AL19" s="3961">
        <f t="shared" si="4"/>
        <v>0</v>
      </c>
      <c r="AM19" s="526"/>
      <c r="AN19" s="526"/>
      <c r="AO19" s="526"/>
      <c r="AP19" s="1017"/>
      <c r="AQ19" s="805">
        <f t="shared" si="5"/>
        <v>0</v>
      </c>
      <c r="AR19" s="526"/>
      <c r="AS19" s="4076"/>
      <c r="AT19" s="4076"/>
      <c r="AU19" s="4076"/>
      <c r="AV19" s="1016"/>
      <c r="AW19" s="88"/>
      <c r="AX19" s="307"/>
    </row>
    <row r="20" spans="26:76" s="143" customFormat="1" x14ac:dyDescent="0.25">
      <c r="AA20" s="305"/>
      <c r="AB20" s="306"/>
      <c r="AC20" s="327">
        <v>3</v>
      </c>
      <c r="AD20" s="523">
        <f t="shared" si="2"/>
        <v>0</v>
      </c>
      <c r="AE20" s="523"/>
      <c r="AF20" s="523"/>
      <c r="AG20" s="523"/>
      <c r="AH20" s="327" t="str">
        <f t="shared" si="3"/>
        <v>Lease</v>
      </c>
      <c r="AI20" s="327"/>
      <c r="AJ20" s="327"/>
      <c r="AK20" s="327"/>
      <c r="AL20" s="3961">
        <f t="shared" si="4"/>
        <v>0</v>
      </c>
      <c r="AM20" s="526"/>
      <c r="AN20" s="526"/>
      <c r="AO20" s="526"/>
      <c r="AP20" s="1017"/>
      <c r="AQ20" s="805">
        <f t="shared" si="5"/>
        <v>0</v>
      </c>
      <c r="AR20" s="526"/>
      <c r="AS20" s="4076"/>
      <c r="AT20" s="4076"/>
      <c r="AU20" s="4076"/>
      <c r="AV20" s="1016"/>
      <c r="AW20" s="88"/>
      <c r="AX20" s="307"/>
    </row>
    <row r="21" spans="26:76" s="143" customFormat="1" x14ac:dyDescent="0.25">
      <c r="AA21" s="305"/>
      <c r="AB21" s="306"/>
      <c r="AC21" s="327">
        <v>4</v>
      </c>
      <c r="AD21" s="523">
        <f t="shared" si="2"/>
        <v>0</v>
      </c>
      <c r="AE21" s="523"/>
      <c r="AF21" s="523"/>
      <c r="AG21" s="523"/>
      <c r="AH21" s="327" t="str">
        <f t="shared" si="3"/>
        <v>Lease</v>
      </c>
      <c r="AI21" s="327"/>
      <c r="AJ21" s="327"/>
      <c r="AK21" s="327"/>
      <c r="AL21" s="3961">
        <f t="shared" si="4"/>
        <v>0</v>
      </c>
      <c r="AM21" s="526"/>
      <c r="AN21" s="526"/>
      <c r="AO21" s="526"/>
      <c r="AP21" s="1017"/>
      <c r="AQ21" s="805">
        <f t="shared" si="5"/>
        <v>0</v>
      </c>
      <c r="AR21" s="526"/>
      <c r="AS21" s="4076"/>
      <c r="AT21" s="4076"/>
      <c r="AU21" s="4076"/>
      <c r="AV21" s="1016"/>
      <c r="AW21" s="88"/>
      <c r="AX21" s="307"/>
    </row>
    <row r="22" spans="26:76" x14ac:dyDescent="0.25">
      <c r="Z22" s="143"/>
      <c r="AA22" s="305"/>
      <c r="AB22" s="306"/>
      <c r="AC22" s="327">
        <v>5</v>
      </c>
      <c r="AD22" s="523">
        <f t="shared" si="2"/>
        <v>0</v>
      </c>
      <c r="AE22" s="523"/>
      <c r="AF22" s="523"/>
      <c r="AG22" s="523"/>
      <c r="AH22" s="327" t="str">
        <f t="shared" si="3"/>
        <v>Lease</v>
      </c>
      <c r="AI22" s="327"/>
      <c r="AJ22" s="327"/>
      <c r="AK22" s="327"/>
      <c r="AL22" s="3961">
        <f t="shared" si="4"/>
        <v>0</v>
      </c>
      <c r="AM22" s="526"/>
      <c r="AN22" s="526"/>
      <c r="AO22" s="526"/>
      <c r="AP22" s="1017"/>
      <c r="AQ22" s="805">
        <f t="shared" si="5"/>
        <v>0</v>
      </c>
      <c r="AR22" s="526"/>
      <c r="AS22" s="4076"/>
      <c r="AT22" s="4076"/>
      <c r="AU22" s="4076"/>
      <c r="AV22" s="1016"/>
      <c r="AW22" s="88"/>
      <c r="AX22" s="307"/>
    </row>
    <row r="23" spans="26:76" ht="15" thickBot="1" x14ac:dyDescent="0.3">
      <c r="Z23" s="143"/>
      <c r="AA23" s="305"/>
      <c r="AB23" s="306"/>
      <c r="AC23" s="513">
        <v>6</v>
      </c>
      <c r="AD23" s="524">
        <f t="shared" si="2"/>
        <v>0</v>
      </c>
      <c r="AE23" s="524"/>
      <c r="AF23" s="524"/>
      <c r="AG23" s="524"/>
      <c r="AH23" s="513" t="str">
        <f t="shared" si="3"/>
        <v>Lease</v>
      </c>
      <c r="AI23" s="513"/>
      <c r="AJ23" s="513"/>
      <c r="AK23" s="513"/>
      <c r="AL23" s="1018">
        <f t="shared" si="4"/>
        <v>0</v>
      </c>
      <c r="AM23" s="1014"/>
      <c r="AN23" s="1014"/>
      <c r="AO23" s="1014"/>
      <c r="AP23" s="1019"/>
      <c r="AQ23" s="807">
        <f t="shared" si="5"/>
        <v>0</v>
      </c>
      <c r="AR23" s="1014"/>
      <c r="AS23" s="891"/>
      <c r="AT23" s="891"/>
      <c r="AU23" s="891"/>
      <c r="AV23" s="1676"/>
      <c r="AW23" s="88"/>
      <c r="AX23" s="307"/>
    </row>
    <row r="24" spans="26:76" ht="15" thickBot="1" x14ac:dyDescent="0.3">
      <c r="Z24" s="143"/>
      <c r="AA24" s="638"/>
      <c r="AB24" s="639"/>
      <c r="AC24" s="643" t="s">
        <v>1445</v>
      </c>
      <c r="AD24" s="1050"/>
      <c r="AE24" s="1050"/>
      <c r="AF24" s="1050"/>
      <c r="AG24" s="1050"/>
      <c r="AH24" s="640"/>
      <c r="AI24" s="640"/>
      <c r="AJ24" s="640"/>
      <c r="AK24" s="640"/>
      <c r="AL24" s="1051"/>
      <c r="AM24" s="1051"/>
      <c r="AN24" s="1051"/>
      <c r="AO24" s="1051"/>
      <c r="AP24" s="1052"/>
      <c r="AQ24" s="812"/>
      <c r="AR24" s="1051"/>
      <c r="AS24" s="928"/>
      <c r="AT24" s="927"/>
      <c r="AU24" s="927"/>
      <c r="AV24" s="1053"/>
      <c r="AW24" s="641"/>
      <c r="AX24" s="642"/>
    </row>
    <row r="25" spans="26:76" ht="15" thickBot="1" x14ac:dyDescent="0.3">
      <c r="AC25" s="41">
        <f>IF(RentAdjustmentGrid="Buckets",1,0)</f>
        <v>0</v>
      </c>
      <c r="AD25" s="41">
        <f>IF(RentAdjustmentGrid="Buckets",1,0)</f>
        <v>0</v>
      </c>
      <c r="AE25" s="957">
        <v>0</v>
      </c>
      <c r="AF25" s="957">
        <v>0</v>
      </c>
      <c r="AG25" s="957">
        <v>0</v>
      </c>
      <c r="AH25" s="41">
        <f>IF(RentAdjustmentGrid="Buckets",1,0)</f>
        <v>0</v>
      </c>
      <c r="AI25" s="41">
        <f>IF(RentAdjustmentGrid="Buckets",1,0)</f>
        <v>0</v>
      </c>
      <c r="AJ25" s="41">
        <f>IF(RentAdjustmentGrid="Buckets",1,0)</f>
        <v>0</v>
      </c>
      <c r="AK25" s="41">
        <f>IF(RentAdjustmentGrid="Buckets",1,0)</f>
        <v>0</v>
      </c>
      <c r="AL25" s="41">
        <f>IF(RentAdjustmentGrid="Buckets",1,0)</f>
        <v>0</v>
      </c>
      <c r="AM25" s="41">
        <v>0</v>
      </c>
      <c r="AN25" s="41">
        <v>0</v>
      </c>
      <c r="AO25" s="957">
        <f>IF(RentAdjustmentGrid="Buckets",IF(OR(AO16="User",AO17="Defined"),0,1),0)</f>
        <v>0</v>
      </c>
      <c r="AP25" s="41">
        <f>IF(RentAdjustmentGrid="Buckets",1,0)</f>
        <v>0</v>
      </c>
      <c r="AQ25" s="41">
        <f>IF(RentAdjustmentGrid="Buckets",1,0)</f>
        <v>0</v>
      </c>
      <c r="AR25" s="41">
        <f>IF(RentAdjustmentGrid="Buckets",1,0)</f>
        <v>0</v>
      </c>
      <c r="AS25" s="41">
        <v>0</v>
      </c>
      <c r="AT25" s="957">
        <v>0</v>
      </c>
      <c r="AU25" s="41">
        <f>IF(RentAdjustmentGrid="Buckets",1,0)</f>
        <v>0</v>
      </c>
      <c r="AV25" s="957">
        <v>0</v>
      </c>
      <c r="AY25" s="143"/>
      <c r="AZ25" s="143"/>
      <c r="BA25" s="143"/>
      <c r="BB25" s="889"/>
      <c r="BC25" s="889"/>
      <c r="BD25" s="889"/>
      <c r="BE25" s="889"/>
      <c r="BF25" s="889"/>
      <c r="BG25" s="889"/>
      <c r="BH25" s="889"/>
      <c r="BI25" s="889"/>
      <c r="BJ25" s="889"/>
      <c r="BK25" s="809"/>
      <c r="BL25" s="809"/>
      <c r="BM25" s="809"/>
      <c r="BN25" s="809"/>
      <c r="BO25" s="809"/>
      <c r="BP25" s="809"/>
      <c r="BQ25" s="809"/>
      <c r="BR25" s="809"/>
      <c r="BS25" s="809"/>
      <c r="BT25" s="809"/>
      <c r="BU25" s="809"/>
      <c r="BV25" s="143"/>
      <c r="BW25" s="143"/>
      <c r="BX25" s="143"/>
    </row>
    <row r="26" spans="26:76" x14ac:dyDescent="0.25">
      <c r="AY26" s="143"/>
      <c r="AZ26" s="1"/>
      <c r="BA26" s="2"/>
      <c r="BB26" s="25"/>
      <c r="BC26" s="25"/>
      <c r="BD26" s="25"/>
      <c r="BE26" s="25"/>
      <c r="BF26" s="25"/>
      <c r="BG26" s="25"/>
      <c r="BH26" s="25"/>
      <c r="BI26" s="25"/>
      <c r="BJ26" s="25"/>
      <c r="BK26" s="123"/>
      <c r="BL26" s="123"/>
      <c r="BM26" s="123"/>
      <c r="BN26" s="123"/>
      <c r="BO26" s="123"/>
      <c r="BP26" s="123"/>
      <c r="BQ26" s="123"/>
      <c r="BR26" s="123"/>
      <c r="BS26" s="123"/>
      <c r="BT26" s="123"/>
      <c r="BU26" s="123"/>
      <c r="BV26" s="2"/>
      <c r="BW26" s="3"/>
      <c r="BX26" s="143"/>
    </row>
    <row r="27" spans="26:76" ht="16.5" x14ac:dyDescent="0.3">
      <c r="AY27" s="143"/>
      <c r="AZ27" s="4"/>
      <c r="BA27" s="51"/>
      <c r="BB27" s="27" t="str">
        <f>CONCATENATE("Rent Comparable Summary - ",dpIncome_SpaceCategory_MarketRent_2)</f>
        <v xml:space="preserve">Rent Comparable Summary - </v>
      </c>
      <c r="BC27" s="44"/>
      <c r="BD27" s="44"/>
      <c r="BE27" s="44"/>
      <c r="BF27" s="44"/>
      <c r="BG27" s="44"/>
      <c r="BH27" s="44"/>
      <c r="BI27" s="44"/>
      <c r="BJ27" s="44"/>
      <c r="BK27" s="804"/>
      <c r="BL27" s="3960"/>
      <c r="BM27" s="3960"/>
      <c r="BN27" s="3960"/>
      <c r="BO27" s="3960"/>
      <c r="BP27" s="3960"/>
      <c r="BQ27" s="3960"/>
      <c r="BR27" s="3960"/>
      <c r="BS27" s="3960"/>
      <c r="BT27" s="3960"/>
      <c r="BU27" s="3960"/>
      <c r="BV27" s="51"/>
      <c r="BW27" s="6"/>
      <c r="BX27" s="143"/>
    </row>
    <row r="28" spans="26:76" x14ac:dyDescent="0.25">
      <c r="AY28" s="143"/>
      <c r="AZ28" s="4"/>
      <c r="BA28" s="11"/>
      <c r="BB28" s="207" t="s">
        <v>94</v>
      </c>
      <c r="BC28" s="207" t="s">
        <v>283</v>
      </c>
      <c r="BD28" s="207" t="s">
        <v>271</v>
      </c>
      <c r="BE28" s="207" t="s">
        <v>271</v>
      </c>
      <c r="BF28" s="207" t="s">
        <v>283</v>
      </c>
      <c r="BG28" s="207" t="s">
        <v>94</v>
      </c>
      <c r="BH28" s="207" t="s">
        <v>105</v>
      </c>
      <c r="BI28" s="207"/>
      <c r="BJ28" s="207"/>
      <c r="BK28" s="55" t="s">
        <v>110</v>
      </c>
      <c r="BL28" s="55" t="s">
        <v>110</v>
      </c>
      <c r="BM28" s="55"/>
      <c r="BN28" s="55" t="s">
        <v>756</v>
      </c>
      <c r="BO28" s="55" t="s">
        <v>105</v>
      </c>
      <c r="BP28" s="55" t="s">
        <v>274</v>
      </c>
      <c r="BQ28" s="55" t="s">
        <v>271</v>
      </c>
      <c r="BR28" s="55" t="s">
        <v>269</v>
      </c>
      <c r="BS28" s="55" t="s">
        <v>271</v>
      </c>
      <c r="BT28" s="55" t="s">
        <v>700</v>
      </c>
      <c r="BU28" s="55" t="s">
        <v>94</v>
      </c>
      <c r="BV28" s="11"/>
      <c r="BW28" s="6"/>
      <c r="BX28" s="143"/>
    </row>
    <row r="29" spans="26:76" x14ac:dyDescent="0.25">
      <c r="AY29" s="143"/>
      <c r="AZ29" s="4"/>
      <c r="BA29" s="11"/>
      <c r="BB29" s="207" t="s">
        <v>113</v>
      </c>
      <c r="BC29" s="207" t="s">
        <v>758</v>
      </c>
      <c r="BD29" s="207" t="s">
        <v>145</v>
      </c>
      <c r="BE29" s="207" t="s">
        <v>1354</v>
      </c>
      <c r="BF29" s="207" t="s">
        <v>282</v>
      </c>
      <c r="BG29" s="207" t="s">
        <v>195</v>
      </c>
      <c r="BH29" s="207" t="s">
        <v>106</v>
      </c>
      <c r="BI29" s="1534" t="s">
        <v>95</v>
      </c>
      <c r="BJ29" s="207" t="str">
        <f>IF(BI37=0,"Location","")</f>
        <v>Location</v>
      </c>
      <c r="BK29" s="55" t="s">
        <v>111</v>
      </c>
      <c r="BL29" s="55" t="s">
        <v>111</v>
      </c>
      <c r="BM29" s="55" t="s">
        <v>1061</v>
      </c>
      <c r="BN29" s="55" t="s">
        <v>757</v>
      </c>
      <c r="BO29" s="55" t="s">
        <v>268</v>
      </c>
      <c r="BP29" s="55" t="s">
        <v>270</v>
      </c>
      <c r="BQ29" s="55" t="s">
        <v>272</v>
      </c>
      <c r="BR29" s="55" t="s">
        <v>273</v>
      </c>
      <c r="BS29" s="55" t="s">
        <v>273</v>
      </c>
      <c r="BT29" s="4077" t="s">
        <v>1132</v>
      </c>
      <c r="BU29" s="55" t="s">
        <v>126</v>
      </c>
      <c r="BV29" s="11"/>
      <c r="BW29" s="6"/>
      <c r="BX29" s="143"/>
    </row>
    <row r="30" spans="26:76" x14ac:dyDescent="0.25">
      <c r="AY30" s="143"/>
      <c r="AZ30" s="305"/>
      <c r="BA30" s="306"/>
      <c r="BB30" s="327">
        <v>1</v>
      </c>
      <c r="BC30" s="523">
        <f t="shared" ref="BC30:BC35" si="6">IF(OR(BR30="",BR30="N/A"),IF(Income_Lease_SignCommence="Date Lease Signed",BD30,BE30),BF30)</f>
        <v>0</v>
      </c>
      <c r="BD30" s="523"/>
      <c r="BE30" s="523"/>
      <c r="BF30" s="523"/>
      <c r="BG30" s="327" t="str">
        <f t="shared" ref="BG30:BG35" si="7">IF(OR(BR30="",BR30="N/A"),"Lease","Survey")</f>
        <v>Lease</v>
      </c>
      <c r="BH30" s="327"/>
      <c r="BI30" s="327"/>
      <c r="BJ30" s="327"/>
      <c r="BK30" s="3961">
        <f t="shared" ref="BK30:BK35" si="8">IF(OR(BL30="",BL30="N/A"),BM30,BL30)</f>
        <v>0</v>
      </c>
      <c r="BL30" s="526"/>
      <c r="BM30" s="526"/>
      <c r="BN30" s="526"/>
      <c r="BO30" s="1017"/>
      <c r="BP30" s="805">
        <f t="shared" ref="BP30:BP35" si="9">IF(OR(BR30="",BR30="N/A"),BS30,BR30)</f>
        <v>0</v>
      </c>
      <c r="BQ30" s="526"/>
      <c r="BR30" s="4076"/>
      <c r="BS30" s="4076"/>
      <c r="BT30" s="4076"/>
      <c r="BU30" s="1016"/>
      <c r="BV30" s="88"/>
      <c r="BW30" s="307"/>
      <c r="BX30" s="143"/>
    </row>
    <row r="31" spans="26:76" x14ac:dyDescent="0.25">
      <c r="AY31" s="143"/>
      <c r="AZ31" s="305"/>
      <c r="BA31" s="306"/>
      <c r="BB31" s="327">
        <v>2</v>
      </c>
      <c r="BC31" s="523">
        <f t="shared" si="6"/>
        <v>0</v>
      </c>
      <c r="BD31" s="523"/>
      <c r="BE31" s="523"/>
      <c r="BF31" s="523"/>
      <c r="BG31" s="327" t="str">
        <f t="shared" si="7"/>
        <v>Lease</v>
      </c>
      <c r="BH31" s="327"/>
      <c r="BI31" s="327"/>
      <c r="BJ31" s="327"/>
      <c r="BK31" s="3961">
        <f t="shared" si="8"/>
        <v>0</v>
      </c>
      <c r="BL31" s="526"/>
      <c r="BM31" s="526"/>
      <c r="BN31" s="526"/>
      <c r="BO31" s="1017"/>
      <c r="BP31" s="805">
        <f t="shared" si="9"/>
        <v>0</v>
      </c>
      <c r="BQ31" s="526"/>
      <c r="BR31" s="4076"/>
      <c r="BS31" s="4076"/>
      <c r="BT31" s="4076"/>
      <c r="BU31" s="1016"/>
      <c r="BV31" s="88"/>
      <c r="BW31" s="307"/>
      <c r="BX31" s="143"/>
    </row>
    <row r="32" spans="26:76" x14ac:dyDescent="0.25">
      <c r="AY32" s="143"/>
      <c r="AZ32" s="305"/>
      <c r="BA32" s="306"/>
      <c r="BB32" s="327">
        <v>3</v>
      </c>
      <c r="BC32" s="523">
        <f t="shared" si="6"/>
        <v>0</v>
      </c>
      <c r="BD32" s="523"/>
      <c r="BE32" s="523"/>
      <c r="BF32" s="523"/>
      <c r="BG32" s="327" t="str">
        <f t="shared" si="7"/>
        <v>Lease</v>
      </c>
      <c r="BH32" s="327"/>
      <c r="BI32" s="327"/>
      <c r="BJ32" s="327"/>
      <c r="BK32" s="3961">
        <f t="shared" si="8"/>
        <v>0</v>
      </c>
      <c r="BL32" s="526"/>
      <c r="BM32" s="526"/>
      <c r="BN32" s="526"/>
      <c r="BO32" s="1017"/>
      <c r="BP32" s="805">
        <f t="shared" si="9"/>
        <v>0</v>
      </c>
      <c r="BQ32" s="526"/>
      <c r="BR32" s="4076"/>
      <c r="BS32" s="4076"/>
      <c r="BT32" s="4076"/>
      <c r="BU32" s="1016"/>
      <c r="BV32" s="88"/>
      <c r="BW32" s="307"/>
      <c r="BX32" s="143"/>
    </row>
    <row r="33" spans="51:76" x14ac:dyDescent="0.25">
      <c r="AY33" s="143"/>
      <c r="AZ33" s="305"/>
      <c r="BA33" s="306"/>
      <c r="BB33" s="327">
        <v>4</v>
      </c>
      <c r="BC33" s="523">
        <f t="shared" si="6"/>
        <v>0</v>
      </c>
      <c r="BD33" s="523"/>
      <c r="BE33" s="523"/>
      <c r="BF33" s="523"/>
      <c r="BG33" s="327" t="str">
        <f t="shared" si="7"/>
        <v>Lease</v>
      </c>
      <c r="BH33" s="327"/>
      <c r="BI33" s="327"/>
      <c r="BJ33" s="327"/>
      <c r="BK33" s="3961">
        <f t="shared" si="8"/>
        <v>0</v>
      </c>
      <c r="BL33" s="526"/>
      <c r="BM33" s="526"/>
      <c r="BN33" s="526"/>
      <c r="BO33" s="1017"/>
      <c r="BP33" s="805">
        <f t="shared" si="9"/>
        <v>0</v>
      </c>
      <c r="BQ33" s="526"/>
      <c r="BR33" s="4076"/>
      <c r="BS33" s="4076"/>
      <c r="BT33" s="4076"/>
      <c r="BU33" s="1016"/>
      <c r="BV33" s="88"/>
      <c r="BW33" s="307"/>
      <c r="BX33" s="143"/>
    </row>
    <row r="34" spans="51:76" x14ac:dyDescent="0.25">
      <c r="AY34" s="143"/>
      <c r="AZ34" s="305"/>
      <c r="BA34" s="306"/>
      <c r="BB34" s="327">
        <v>5</v>
      </c>
      <c r="BC34" s="523">
        <f t="shared" si="6"/>
        <v>0</v>
      </c>
      <c r="BD34" s="523"/>
      <c r="BE34" s="523"/>
      <c r="BF34" s="523"/>
      <c r="BG34" s="327" t="str">
        <f t="shared" si="7"/>
        <v>Lease</v>
      </c>
      <c r="BH34" s="327"/>
      <c r="BI34" s="327"/>
      <c r="BJ34" s="327"/>
      <c r="BK34" s="3961">
        <f t="shared" si="8"/>
        <v>0</v>
      </c>
      <c r="BL34" s="526"/>
      <c r="BM34" s="526"/>
      <c r="BN34" s="526"/>
      <c r="BO34" s="1017"/>
      <c r="BP34" s="805">
        <f t="shared" si="9"/>
        <v>0</v>
      </c>
      <c r="BQ34" s="526"/>
      <c r="BR34" s="4076"/>
      <c r="BS34" s="4076"/>
      <c r="BT34" s="4076"/>
      <c r="BU34" s="1016"/>
      <c r="BV34" s="88"/>
      <c r="BW34" s="307"/>
    </row>
    <row r="35" spans="51:76" ht="15" thickBot="1" x14ac:dyDescent="0.3">
      <c r="AY35" s="143"/>
      <c r="AZ35" s="305"/>
      <c r="BA35" s="306"/>
      <c r="BB35" s="513">
        <v>6</v>
      </c>
      <c r="BC35" s="524">
        <f t="shared" si="6"/>
        <v>0</v>
      </c>
      <c r="BD35" s="524"/>
      <c r="BE35" s="524"/>
      <c r="BF35" s="524"/>
      <c r="BG35" s="513" t="str">
        <f t="shared" si="7"/>
        <v>Lease</v>
      </c>
      <c r="BH35" s="513"/>
      <c r="BI35" s="513"/>
      <c r="BJ35" s="513"/>
      <c r="BK35" s="1018">
        <f t="shared" si="8"/>
        <v>0</v>
      </c>
      <c r="BL35" s="1014"/>
      <c r="BM35" s="1014"/>
      <c r="BN35" s="1014"/>
      <c r="BO35" s="1019"/>
      <c r="BP35" s="807">
        <f t="shared" si="9"/>
        <v>0</v>
      </c>
      <c r="BQ35" s="1014"/>
      <c r="BR35" s="891"/>
      <c r="BS35" s="891"/>
      <c r="BT35" s="891"/>
      <c r="BU35" s="1676"/>
      <c r="BV35" s="88"/>
      <c r="BW35" s="307"/>
    </row>
    <row r="36" spans="51:76" ht="15" thickBot="1" x14ac:dyDescent="0.3">
      <c r="AY36" s="143"/>
      <c r="AZ36" s="638"/>
      <c r="BA36" s="639"/>
      <c r="BB36" s="643" t="s">
        <v>1444</v>
      </c>
      <c r="BC36" s="1050"/>
      <c r="BD36" s="1050"/>
      <c r="BE36" s="1050"/>
      <c r="BF36" s="1050"/>
      <c r="BG36" s="640"/>
      <c r="BH36" s="640"/>
      <c r="BI36" s="640"/>
      <c r="BJ36" s="640"/>
      <c r="BK36" s="1051"/>
      <c r="BL36" s="1051"/>
      <c r="BM36" s="1051"/>
      <c r="BN36" s="1051"/>
      <c r="BO36" s="1052"/>
      <c r="BP36" s="812"/>
      <c r="BQ36" s="1051"/>
      <c r="BR36" s="928"/>
      <c r="BS36" s="927"/>
      <c r="BT36" s="927"/>
      <c r="BU36" s="1053"/>
      <c r="BV36" s="641"/>
      <c r="BW36" s="642"/>
    </row>
    <row r="37" spans="51:76" x14ac:dyDescent="0.25">
      <c r="AY37" s="143"/>
      <c r="BB37" s="41">
        <f>IF(RentAdjustmentGrid="Buckets",1,0)</f>
        <v>0</v>
      </c>
      <c r="BC37" s="41">
        <f>IF(RentAdjustmentGrid="Buckets",1,0)</f>
        <v>0</v>
      </c>
      <c r="BD37" s="957">
        <v>0</v>
      </c>
      <c r="BE37" s="957">
        <v>0</v>
      </c>
      <c r="BF37" s="957">
        <v>0</v>
      </c>
      <c r="BG37" s="41">
        <f>IF(RentAdjustmentGrid="Buckets",1,0)</f>
        <v>0</v>
      </c>
      <c r="BH37" s="41">
        <f>IF(RentAdjustmentGrid="Buckets",1,0)</f>
        <v>0</v>
      </c>
      <c r="BI37" s="41">
        <f>IF(RentAdjustmentGrid="Buckets",1,0)</f>
        <v>0</v>
      </c>
      <c r="BJ37" s="41">
        <f>IF(RentAdjustmentGrid="Buckets",1,0)</f>
        <v>0</v>
      </c>
      <c r="BK37" s="41">
        <f>IF(RentAdjustmentGrid="Buckets",1,0)</f>
        <v>0</v>
      </c>
      <c r="BL37" s="41">
        <v>0</v>
      </c>
      <c r="BM37" s="41">
        <v>0</v>
      </c>
      <c r="BN37" s="957">
        <f>IF(RentAdjustmentGrid="Buckets",IF(OR(BN28="User",BN29="Defined"),0,1),0)</f>
        <v>0</v>
      </c>
      <c r="BO37" s="41">
        <f>IF(RentAdjustmentGrid="Buckets",1,0)</f>
        <v>0</v>
      </c>
      <c r="BP37" s="41">
        <f>IF(RentAdjustmentGrid="Buckets",1,0)</f>
        <v>0</v>
      </c>
      <c r="BQ37" s="41">
        <f>IF(RentAdjustmentGrid="Buckets",1,0)</f>
        <v>0</v>
      </c>
      <c r="BR37" s="41">
        <v>0</v>
      </c>
      <c r="BS37" s="957">
        <v>0</v>
      </c>
      <c r="BT37" s="41">
        <f>IF(RentAdjustmentGrid="Buckets",1,0)</f>
        <v>0</v>
      </c>
      <c r="BU37" s="957">
        <v>0</v>
      </c>
    </row>
  </sheetData>
  <printOptions horizontalCentered="1"/>
  <pageMargins left="0.5" right="0.5" top="0.75" bottom="0.75" header="0.3" footer="0.3"/>
  <pageSetup orientation="landscape" r:id="rId1"/>
  <drawing r:id="rId2"/>
  <legacyDrawing r:id="rId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7">
    <tabColor theme="5" tint="-0.249977111117893"/>
    <pageSetUpPr fitToPage="1"/>
  </sheetPr>
  <dimension ref="A1:AI134"/>
  <sheetViews>
    <sheetView zoomScaleNormal="100" workbookViewId="0">
      <selection activeCell="D4" sqref="D4"/>
    </sheetView>
  </sheetViews>
  <sheetFormatPr defaultColWidth="9.140625" defaultRowHeight="14.25" x14ac:dyDescent="0.25"/>
  <cols>
    <col min="1" max="1" width="5.7109375" style="243" customWidth="1"/>
    <col min="2" max="2" width="1.7109375" style="10" customWidth="1"/>
    <col min="3" max="3" width="0.85546875" style="10" customWidth="1"/>
    <col min="4" max="4" width="25.7109375" style="10" customWidth="1"/>
    <col min="5" max="7" width="17.7109375" style="37" customWidth="1"/>
    <col min="8" max="8" width="16.7109375" style="37" customWidth="1"/>
    <col min="9" max="9" width="17.7109375" style="37" customWidth="1"/>
    <col min="10" max="10" width="0.85546875" style="10" customWidth="1"/>
    <col min="11" max="11" width="1.7109375" style="10" customWidth="1"/>
    <col min="12" max="12" width="5.7109375" style="10" customWidth="1"/>
    <col min="13" max="13" width="1.7109375" style="10" customWidth="1"/>
    <col min="14" max="14" width="0.85546875" style="10" customWidth="1"/>
    <col min="15" max="15" width="25.7109375" style="10" customWidth="1"/>
    <col min="16" max="20" width="17.7109375" style="1839" customWidth="1"/>
    <col min="21" max="21" width="16.7109375" style="10" customWidth="1"/>
    <col min="22" max="22" width="0.85546875" style="10" customWidth="1"/>
    <col min="23" max="23" width="1.7109375" style="10" customWidth="1"/>
    <col min="24" max="24" width="5.7109375" style="10" customWidth="1"/>
    <col min="25" max="25" width="1.7109375" style="10" customWidth="1"/>
    <col min="26" max="26" width="0.85546875" style="10" customWidth="1"/>
    <col min="27" max="27" width="25.7109375" style="10" customWidth="1"/>
    <col min="28" max="32" width="17.7109375" style="1839" customWidth="1"/>
    <col min="33" max="33" width="16.7109375" style="10" customWidth="1"/>
    <col min="34" max="34" width="0.85546875" style="10" customWidth="1"/>
    <col min="35" max="35" width="1.7109375" style="10" customWidth="1"/>
    <col min="36" max="36" width="5.7109375" style="10" customWidth="1"/>
    <col min="37" max="16384" width="9.140625" style="10"/>
  </cols>
  <sheetData>
    <row r="1" spans="1:11" ht="60" customHeight="1" x14ac:dyDescent="0.25"/>
    <row r="2" spans="1:11" ht="65.25" customHeight="1" x14ac:dyDescent="0.25"/>
    <row r="3" spans="1:11" x14ac:dyDescent="0.25">
      <c r="B3" s="174"/>
      <c r="C3" s="18"/>
      <c r="D3" s="28"/>
      <c r="E3" s="1020"/>
      <c r="F3" s="1020"/>
      <c r="G3" s="1020"/>
      <c r="H3" s="1020"/>
      <c r="I3" s="1020"/>
      <c r="J3" s="18"/>
      <c r="K3" s="74"/>
    </row>
    <row r="4" spans="1:11" ht="16.5" x14ac:dyDescent="0.25">
      <c r="B4" s="174"/>
      <c r="C4" s="18"/>
      <c r="D4" s="3758" t="s">
        <v>266</v>
      </c>
      <c r="E4" s="1021"/>
      <c r="F4" s="1021"/>
      <c r="G4" s="1021"/>
      <c r="H4" s="1021"/>
      <c r="I4" s="1021"/>
      <c r="J4" s="15"/>
      <c r="K4" s="74"/>
    </row>
    <row r="5" spans="1:11" x14ac:dyDescent="0.25">
      <c r="B5" s="174"/>
      <c r="C5" s="3765"/>
      <c r="D5" s="3766"/>
      <c r="E5" s="3762">
        <v>1</v>
      </c>
      <c r="F5" s="3762">
        <v>2</v>
      </c>
      <c r="G5" s="3762">
        <v>3</v>
      </c>
      <c r="H5" s="4066">
        <v>4</v>
      </c>
      <c r="I5" s="3762">
        <v>5</v>
      </c>
      <c r="J5" s="3875"/>
      <c r="K5" s="74"/>
    </row>
    <row r="6" spans="1:11" hidden="1" x14ac:dyDescent="0.25">
      <c r="A6" s="972">
        <v>0</v>
      </c>
      <c r="B6" s="174"/>
      <c r="C6" s="18"/>
      <c r="D6" s="327" t="s">
        <v>281</v>
      </c>
      <c r="E6" s="2810">
        <v>677468</v>
      </c>
      <c r="F6" s="2810">
        <v>707996</v>
      </c>
      <c r="G6" s="2810">
        <v>680701</v>
      </c>
      <c r="H6" s="1013">
        <v>678215</v>
      </c>
      <c r="I6" s="2810">
        <v>678041</v>
      </c>
      <c r="J6" s="313"/>
      <c r="K6" s="74"/>
    </row>
    <row r="7" spans="1:11" x14ac:dyDescent="0.25">
      <c r="A7" s="972">
        <f>IF(RentAdjustmentGrid="Single",1,0)</f>
        <v>1</v>
      </c>
      <c r="B7" s="174"/>
      <c r="C7" s="18"/>
      <c r="D7" s="506" t="s">
        <v>754</v>
      </c>
      <c r="E7" s="2811">
        <v>45472</v>
      </c>
      <c r="F7" s="2811">
        <f t="shared" ref="F7:H7" si="0">IF(OR(F34="",F34="N/A"),F9,F8)</f>
        <v>45292</v>
      </c>
      <c r="G7" s="2811">
        <f t="shared" si="0"/>
        <v>45201</v>
      </c>
      <c r="H7" s="1054">
        <f t="shared" si="0"/>
        <v>44958</v>
      </c>
      <c r="I7" s="2811">
        <f t="shared" ref="I7" si="1">IF(OR(I34="",I34="N/A"),I9,I8)</f>
        <v>44896</v>
      </c>
      <c r="J7" s="313"/>
      <c r="K7" s="74"/>
    </row>
    <row r="8" spans="1:11" hidden="1" x14ac:dyDescent="0.25">
      <c r="A8" s="972">
        <v>0</v>
      </c>
      <c r="B8" s="174"/>
      <c r="C8" s="18"/>
      <c r="D8" s="526" t="s">
        <v>299</v>
      </c>
      <c r="E8" s="2811">
        <v>45326</v>
      </c>
      <c r="F8" s="2812">
        <v>45672</v>
      </c>
      <c r="G8" s="2812">
        <v>45358</v>
      </c>
      <c r="H8" s="1022">
        <v>45335</v>
      </c>
      <c r="I8" s="2812">
        <v>45333</v>
      </c>
      <c r="J8" s="437"/>
      <c r="K8" s="74"/>
    </row>
    <row r="9" spans="1:11" hidden="1" x14ac:dyDescent="0.25">
      <c r="A9" s="972">
        <v>0</v>
      </c>
      <c r="B9" s="174"/>
      <c r="C9" s="18"/>
      <c r="D9" s="526" t="s">
        <v>750</v>
      </c>
      <c r="E9" s="2811">
        <v>45100</v>
      </c>
      <c r="F9" s="2812">
        <v>45292</v>
      </c>
      <c r="G9" s="2812">
        <v>45201</v>
      </c>
      <c r="H9" s="1022">
        <v>44958</v>
      </c>
      <c r="I9" s="2812">
        <v>44896</v>
      </c>
      <c r="J9" s="325"/>
      <c r="K9" s="74"/>
    </row>
    <row r="10" spans="1:11" hidden="1" x14ac:dyDescent="0.25">
      <c r="A10" s="972">
        <v>0</v>
      </c>
      <c r="B10" s="174"/>
      <c r="C10" s="18"/>
      <c r="D10" s="526" t="s">
        <v>1269</v>
      </c>
      <c r="E10" s="2811">
        <v>45100</v>
      </c>
      <c r="F10" s="2812">
        <v>45323</v>
      </c>
      <c r="G10" s="2812">
        <v>45231</v>
      </c>
      <c r="H10" s="1022">
        <v>44958</v>
      </c>
      <c r="I10" s="2812">
        <v>44896</v>
      </c>
      <c r="J10" s="325"/>
      <c r="K10" s="74"/>
    </row>
    <row r="11" spans="1:11" ht="28.5" x14ac:dyDescent="0.25">
      <c r="A11" s="972">
        <f t="shared" ref="A11:A15" si="2">IF(RentAdjustmentGrid="Single",1,0)</f>
        <v>1</v>
      </c>
      <c r="B11" s="174"/>
      <c r="C11" s="18"/>
      <c r="D11" s="327" t="s">
        <v>0</v>
      </c>
      <c r="E11" s="2810" t="s">
        <v>19963</v>
      </c>
      <c r="F11" s="2810" t="s">
        <v>19948</v>
      </c>
      <c r="G11" s="2810" t="s">
        <v>19950</v>
      </c>
      <c r="H11" s="1013" t="s">
        <v>19952</v>
      </c>
      <c r="I11" s="2810" t="s">
        <v>19954</v>
      </c>
      <c r="J11" s="311"/>
      <c r="K11" s="74"/>
    </row>
    <row r="12" spans="1:11" ht="9.9499999999999993" customHeight="1" x14ac:dyDescent="0.25">
      <c r="A12" s="972">
        <f t="shared" si="2"/>
        <v>1</v>
      </c>
      <c r="B12" s="174"/>
      <c r="C12" s="18"/>
      <c r="D12" s="323"/>
      <c r="E12" s="2810"/>
      <c r="F12" s="2810"/>
      <c r="G12" s="2810"/>
      <c r="H12" s="1013"/>
      <c r="I12" s="2810"/>
      <c r="J12" s="311"/>
      <c r="K12" s="74"/>
    </row>
    <row r="13" spans="1:11" x14ac:dyDescent="0.25">
      <c r="A13" s="972">
        <f t="shared" si="2"/>
        <v>1</v>
      </c>
      <c r="B13" s="174"/>
      <c r="C13" s="18"/>
      <c r="D13" s="322" t="s">
        <v>737</v>
      </c>
      <c r="E13" s="2810"/>
      <c r="F13" s="2810"/>
      <c r="G13" s="2810"/>
      <c r="H13" s="1013"/>
      <c r="I13" s="2810"/>
      <c r="J13" s="313"/>
      <c r="K13" s="74"/>
    </row>
    <row r="14" spans="1:11" ht="28.5" x14ac:dyDescent="0.25">
      <c r="A14" s="972">
        <f t="shared" si="2"/>
        <v>1</v>
      </c>
      <c r="B14" s="319"/>
      <c r="C14" s="312"/>
      <c r="D14" s="432" t="s">
        <v>95</v>
      </c>
      <c r="E14" s="2810" t="s">
        <v>19965</v>
      </c>
      <c r="F14" s="2810" t="s">
        <v>19949</v>
      </c>
      <c r="G14" s="2810" t="s">
        <v>19951</v>
      </c>
      <c r="H14" s="1013" t="s">
        <v>19953</v>
      </c>
      <c r="I14" s="2810" t="s">
        <v>19955</v>
      </c>
      <c r="J14" s="311"/>
      <c r="K14" s="320"/>
    </row>
    <row r="15" spans="1:11" ht="28.5" x14ac:dyDescent="0.25">
      <c r="A15" s="972">
        <f t="shared" si="2"/>
        <v>1</v>
      </c>
      <c r="B15" s="174"/>
      <c r="C15" s="18"/>
      <c r="D15" s="431"/>
      <c r="E15" s="2810" t="s">
        <v>19863</v>
      </c>
      <c r="F15" s="2810" t="s">
        <v>19863</v>
      </c>
      <c r="G15" s="2810" t="s">
        <v>19863</v>
      </c>
      <c r="H15" s="1013" t="s">
        <v>19855</v>
      </c>
      <c r="I15" s="2810" t="s">
        <v>19855</v>
      </c>
      <c r="J15" s="313"/>
      <c r="K15" s="74"/>
    </row>
    <row r="16" spans="1:11" hidden="1" x14ac:dyDescent="0.25">
      <c r="A16" s="972">
        <v>0</v>
      </c>
      <c r="B16" s="174"/>
      <c r="C16" s="18"/>
      <c r="D16" s="431"/>
      <c r="E16" s="2810" t="s">
        <v>306</v>
      </c>
      <c r="F16" s="2810" t="s">
        <v>306</v>
      </c>
      <c r="G16" s="2810" t="s">
        <v>1460</v>
      </c>
      <c r="H16" s="1013" t="s">
        <v>306</v>
      </c>
      <c r="I16" s="2810" t="s">
        <v>306</v>
      </c>
      <c r="J16" s="313"/>
      <c r="K16" s="74"/>
    </row>
    <row r="17" spans="1:11" hidden="1" x14ac:dyDescent="0.25">
      <c r="A17" s="972">
        <v>0</v>
      </c>
      <c r="B17" s="174"/>
      <c r="C17" s="18"/>
      <c r="D17" s="432"/>
      <c r="E17" s="2810" t="s">
        <v>19921</v>
      </c>
      <c r="F17" s="2810" t="s">
        <v>19914</v>
      </c>
      <c r="G17" s="2810" t="s">
        <v>19921</v>
      </c>
      <c r="H17" s="1013" t="s">
        <v>19914</v>
      </c>
      <c r="I17" s="2810" t="s">
        <v>19914</v>
      </c>
      <c r="J17" s="313"/>
      <c r="K17" s="74"/>
    </row>
    <row r="18" spans="1:11" x14ac:dyDescent="0.25">
      <c r="A18" s="972">
        <f>IF(RentAdjustmentGrid="Single",1,0)</f>
        <v>1</v>
      </c>
      <c r="B18" s="174"/>
      <c r="C18" s="18"/>
      <c r="D18" s="431" t="s">
        <v>288</v>
      </c>
      <c r="E18" s="2810" t="s">
        <v>306</v>
      </c>
      <c r="F18" s="2810" t="s">
        <v>306</v>
      </c>
      <c r="G18" s="2810" t="s">
        <v>1460</v>
      </c>
      <c r="H18" s="1013" t="s">
        <v>306</v>
      </c>
      <c r="I18" s="2810" t="s">
        <v>306</v>
      </c>
      <c r="J18" s="313"/>
      <c r="K18" s="74"/>
    </row>
    <row r="19" spans="1:11" x14ac:dyDescent="0.25">
      <c r="A19" s="972">
        <f>IF(RentAdjustmentGrid="Single",1,0)</f>
        <v>1</v>
      </c>
      <c r="B19" s="174"/>
      <c r="C19" s="18"/>
      <c r="D19" s="431" t="s">
        <v>10</v>
      </c>
      <c r="E19" s="2813">
        <f t="shared" ref="E19:H19" si="3">IF(OR(E20="",E20="N/A"),E21,E20)</f>
        <v>2008</v>
      </c>
      <c r="F19" s="2813">
        <f t="shared" si="3"/>
        <v>2015</v>
      </c>
      <c r="G19" s="2813">
        <f t="shared" si="3"/>
        <v>2005</v>
      </c>
      <c r="H19" s="1023">
        <f t="shared" si="3"/>
        <v>2008</v>
      </c>
      <c r="I19" s="2813">
        <f t="shared" ref="I19" si="4">IF(OR(I20="",I20="N/A"),I21,I20)</f>
        <v>2004</v>
      </c>
      <c r="J19" s="313"/>
      <c r="K19" s="74"/>
    </row>
    <row r="20" spans="1:11" hidden="1" x14ac:dyDescent="0.25">
      <c r="A20" s="972">
        <v>0</v>
      </c>
      <c r="B20" s="174"/>
      <c r="C20" s="18"/>
      <c r="D20" s="431" t="s">
        <v>10</v>
      </c>
      <c r="E20" s="2810">
        <v>2008</v>
      </c>
      <c r="F20" s="2810">
        <v>2015</v>
      </c>
      <c r="G20" s="2810">
        <v>2005</v>
      </c>
      <c r="H20" s="1013">
        <v>2008</v>
      </c>
      <c r="I20" s="2810">
        <v>2004</v>
      </c>
      <c r="J20" s="313"/>
      <c r="K20" s="74"/>
    </row>
    <row r="21" spans="1:11" hidden="1" x14ac:dyDescent="0.25">
      <c r="A21" s="972">
        <v>0</v>
      </c>
      <c r="B21" s="174"/>
      <c r="C21" s="18"/>
      <c r="D21" s="431" t="s">
        <v>1009</v>
      </c>
      <c r="E21" s="2810"/>
      <c r="F21" s="2810"/>
      <c r="G21" s="2810"/>
      <c r="H21" s="1013"/>
      <c r="I21" s="2810"/>
      <c r="J21" s="313"/>
      <c r="K21" s="74"/>
    </row>
    <row r="22" spans="1:11" hidden="1" x14ac:dyDescent="0.25">
      <c r="A22" s="972">
        <v>0</v>
      </c>
      <c r="B22" s="174"/>
      <c r="C22" s="18"/>
      <c r="D22" s="431" t="s">
        <v>441</v>
      </c>
      <c r="E22" s="2814">
        <v>5390</v>
      </c>
      <c r="F22" s="2814">
        <v>16864</v>
      </c>
      <c r="G22" s="2814">
        <v>30120</v>
      </c>
      <c r="H22" s="1032">
        <v>46885</v>
      </c>
      <c r="I22" s="2814">
        <v>22500</v>
      </c>
      <c r="J22" s="314"/>
      <c r="K22" s="74"/>
    </row>
    <row r="23" spans="1:11" hidden="1" x14ac:dyDescent="0.25">
      <c r="A23" s="972">
        <v>0</v>
      </c>
      <c r="B23" s="174"/>
      <c r="C23" s="18"/>
      <c r="D23" s="431" t="s">
        <v>183</v>
      </c>
      <c r="E23" s="2814">
        <v>5390</v>
      </c>
      <c r="F23" s="2814">
        <v>16864</v>
      </c>
      <c r="G23" s="2814">
        <v>30120</v>
      </c>
      <c r="H23" s="1032">
        <v>46885</v>
      </c>
      <c r="I23" s="2814">
        <v>22500</v>
      </c>
      <c r="J23" s="314"/>
      <c r="K23" s="74"/>
    </row>
    <row r="24" spans="1:11" hidden="1" x14ac:dyDescent="0.25">
      <c r="A24" s="972">
        <v>0</v>
      </c>
      <c r="B24" s="174"/>
      <c r="C24" s="18"/>
      <c r="D24" s="431" t="s">
        <v>287</v>
      </c>
      <c r="E24" s="2815"/>
      <c r="F24" s="2815">
        <v>1.98689</v>
      </c>
      <c r="G24" s="2815">
        <v>3.1758999999999999</v>
      </c>
      <c r="H24" s="1033">
        <v>4.5210100000000004</v>
      </c>
      <c r="I24" s="2815">
        <v>1.6729799999999999</v>
      </c>
      <c r="J24" s="315"/>
      <c r="K24" s="74"/>
    </row>
    <row r="25" spans="1:11" hidden="1" x14ac:dyDescent="0.25">
      <c r="A25" s="972">
        <v>0</v>
      </c>
      <c r="B25" s="174"/>
      <c r="C25" s="18"/>
      <c r="D25" s="431" t="s">
        <v>286</v>
      </c>
      <c r="E25" s="2816"/>
      <c r="F25" s="2816">
        <v>5.13</v>
      </c>
      <c r="G25" s="2816">
        <v>4.59</v>
      </c>
      <c r="H25" s="1034">
        <v>4.2</v>
      </c>
      <c r="I25" s="2816">
        <v>3.24</v>
      </c>
      <c r="J25" s="316"/>
      <c r="K25" s="74"/>
    </row>
    <row r="26" spans="1:11" hidden="1" x14ac:dyDescent="0.25">
      <c r="A26" s="972">
        <v>0</v>
      </c>
      <c r="B26" s="174"/>
      <c r="C26" s="18"/>
      <c r="D26" s="431" t="s">
        <v>1407</v>
      </c>
      <c r="E26" s="2817"/>
      <c r="F26" s="2817" t="s">
        <v>19956</v>
      </c>
      <c r="G26" s="2817" t="s">
        <v>19958</v>
      </c>
      <c r="H26" s="1029">
        <v>41000</v>
      </c>
      <c r="I26" s="2817">
        <v>24000</v>
      </c>
      <c r="J26" s="316"/>
      <c r="K26" s="74"/>
    </row>
    <row r="27" spans="1:11" hidden="1" x14ac:dyDescent="0.25">
      <c r="A27" s="972">
        <f>IF(RentAdjustmentGrid="Single",IF('Rent Adjustments'!B95=TRUE,1,0),0)</f>
        <v>0</v>
      </c>
      <c r="B27" s="174"/>
      <c r="C27" s="18"/>
      <c r="D27" s="431" t="s">
        <v>191</v>
      </c>
      <c r="E27" s="2818"/>
      <c r="F27" s="2818"/>
      <c r="G27" s="2818"/>
      <c r="H27" s="1035"/>
      <c r="I27" s="2818"/>
      <c r="J27" s="317"/>
      <c r="K27" s="74"/>
    </row>
    <row r="28" spans="1:11" hidden="1" x14ac:dyDescent="0.25">
      <c r="A28" s="972">
        <f>IF(RentAdjustmentGrid="Single",IF('Rent Adjustments'!B101=TRUE,1,0),0)</f>
        <v>0</v>
      </c>
      <c r="B28" s="174"/>
      <c r="C28" s="18"/>
      <c r="D28" s="431" t="s">
        <v>285</v>
      </c>
      <c r="E28" s="2819"/>
      <c r="F28" s="2819"/>
      <c r="G28" s="2819">
        <v>0</v>
      </c>
      <c r="H28" s="1036"/>
      <c r="I28" s="2819"/>
      <c r="J28" s="318"/>
      <c r="K28" s="74"/>
    </row>
    <row r="29" spans="1:11" hidden="1" x14ac:dyDescent="0.25">
      <c r="A29" s="972">
        <f>IF(RentAdjustmentGrid="Single",IF(D29="User Defined",0,1),0)</f>
        <v>0</v>
      </c>
      <c r="B29" s="174"/>
      <c r="C29" s="18"/>
      <c r="D29" s="431" t="s">
        <v>192</v>
      </c>
      <c r="E29" s="2819"/>
      <c r="F29" s="2819"/>
      <c r="G29" s="2819"/>
      <c r="H29" s="1036"/>
      <c r="I29" s="2819"/>
      <c r="J29" s="318"/>
      <c r="K29" s="74"/>
    </row>
    <row r="30" spans="1:11" ht="9.9499999999999993" customHeight="1" x14ac:dyDescent="0.25">
      <c r="A30" s="972">
        <f>IF(RentAdjustmentGrid="Single",1,0)</f>
        <v>1</v>
      </c>
      <c r="B30" s="174"/>
      <c r="C30" s="18"/>
      <c r="D30" s="323"/>
      <c r="E30" s="2819"/>
      <c r="F30" s="2819"/>
      <c r="G30" s="2819"/>
      <c r="H30" s="1036"/>
      <c r="I30" s="2819"/>
      <c r="J30" s="318"/>
      <c r="K30" s="74"/>
    </row>
    <row r="31" spans="1:11" x14ac:dyDescent="0.25">
      <c r="A31" s="972">
        <f>IF(RentAdjustmentGrid="Single",1,0)</f>
        <v>1</v>
      </c>
      <c r="B31" s="174"/>
      <c r="C31" s="18"/>
      <c r="D31" s="504" t="s">
        <v>738</v>
      </c>
      <c r="E31" s="2820"/>
      <c r="F31" s="2810"/>
      <c r="G31" s="2810"/>
      <c r="H31" s="1013"/>
      <c r="I31" s="2810"/>
      <c r="J31" s="313"/>
      <c r="K31" s="74"/>
    </row>
    <row r="32" spans="1:11" x14ac:dyDescent="0.25">
      <c r="A32" s="972">
        <f>IF(RentAdjustmentGrid="Single",1,0)</f>
        <v>1</v>
      </c>
      <c r="B32" s="174"/>
      <c r="C32" s="18"/>
      <c r="D32" s="431" t="s">
        <v>303</v>
      </c>
      <c r="E32" s="2821">
        <v>64753</v>
      </c>
      <c r="F32" s="2817">
        <v>157000</v>
      </c>
      <c r="G32" s="2817">
        <v>54272</v>
      </c>
      <c r="H32" s="1029">
        <v>189120</v>
      </c>
      <c r="I32" s="2817">
        <v>29455</v>
      </c>
      <c r="J32" s="313"/>
      <c r="K32" s="74"/>
    </row>
    <row r="33" spans="1:23" hidden="1" x14ac:dyDescent="0.25">
      <c r="A33" s="972">
        <v>0</v>
      </c>
      <c r="B33" s="174"/>
      <c r="C33" s="18"/>
      <c r="D33" s="431" t="s">
        <v>1174</v>
      </c>
      <c r="E33" s="2822">
        <v>25.97</v>
      </c>
      <c r="F33" s="2823">
        <v>34.1</v>
      </c>
      <c r="G33" s="2823">
        <v>22</v>
      </c>
      <c r="H33" s="1056">
        <v>24</v>
      </c>
      <c r="I33" s="2823"/>
      <c r="J33" s="434"/>
      <c r="K33" s="74"/>
    </row>
    <row r="34" spans="1:23" hidden="1" x14ac:dyDescent="0.25">
      <c r="A34" s="972">
        <v>0</v>
      </c>
      <c r="B34" s="174"/>
      <c r="C34" s="18"/>
      <c r="D34" s="431" t="s">
        <v>690</v>
      </c>
      <c r="E34" s="2822"/>
      <c r="F34" s="2823"/>
      <c r="G34" s="2823"/>
      <c r="H34" s="1056"/>
      <c r="I34" s="2823"/>
      <c r="J34" s="434"/>
      <c r="K34" s="74"/>
    </row>
    <row r="35" spans="1:23" x14ac:dyDescent="0.25">
      <c r="A35" s="972">
        <f>IF(RentAdjustmentGrid="Single",1,0)</f>
        <v>1</v>
      </c>
      <c r="B35" s="174"/>
      <c r="C35" s="18"/>
      <c r="D35" s="431" t="str">
        <f>IF(dpIncome_RentUnitDisplay="Annual","Annual Rental Rate (PSF)","Monthly Rental Rate (PSF)")</f>
        <v>Annual Rental Rate (PSF)</v>
      </c>
      <c r="E35" s="2822">
        <v>6.75</v>
      </c>
      <c r="F35" s="2822">
        <v>9.5</v>
      </c>
      <c r="G35" s="2822">
        <v>8.75</v>
      </c>
      <c r="H35" s="1055">
        <v>5.5</v>
      </c>
      <c r="I35" s="2822">
        <v>7.5</v>
      </c>
      <c r="J35" s="433"/>
      <c r="K35" s="74"/>
    </row>
    <row r="36" spans="1:23" x14ac:dyDescent="0.25">
      <c r="A36" s="972">
        <f>IF(RentAdjustmentGrid="Single",1,0)</f>
        <v>1</v>
      </c>
      <c r="B36" s="174"/>
      <c r="C36" s="18"/>
      <c r="D36" s="431" t="s">
        <v>742</v>
      </c>
      <c r="E36" s="2824" t="s">
        <v>290</v>
      </c>
      <c r="F36" s="2824" t="s">
        <v>290</v>
      </c>
      <c r="G36" s="2824" t="s">
        <v>290</v>
      </c>
      <c r="H36" s="1043" t="s">
        <v>290</v>
      </c>
      <c r="I36" s="2824" t="s">
        <v>290</v>
      </c>
      <c r="J36" s="233"/>
      <c r="K36" s="74"/>
    </row>
    <row r="37" spans="1:23" x14ac:dyDescent="0.25">
      <c r="A37" s="972">
        <f>IF(RentAdjustmentGrid="Single",1,0)</f>
        <v>1</v>
      </c>
      <c r="B37" s="174"/>
      <c r="C37" s="18"/>
      <c r="D37" s="431" t="s">
        <v>1072</v>
      </c>
      <c r="E37" s="2824" t="s">
        <v>19969</v>
      </c>
      <c r="F37" s="2824" t="s">
        <v>19970</v>
      </c>
      <c r="G37" s="2824" t="s">
        <v>19957</v>
      </c>
      <c r="H37" s="1043" t="s">
        <v>19959</v>
      </c>
      <c r="I37" s="2824" t="s">
        <v>19944</v>
      </c>
      <c r="J37" s="233"/>
      <c r="K37" s="74"/>
    </row>
    <row r="38" spans="1:23" hidden="1" x14ac:dyDescent="0.25">
      <c r="A38" s="972">
        <v>0</v>
      </c>
      <c r="B38" s="174"/>
      <c r="C38" s="18"/>
      <c r="D38" s="431"/>
      <c r="E38" s="2825">
        <v>60</v>
      </c>
      <c r="F38" s="2825">
        <v>120</v>
      </c>
      <c r="G38" s="2825">
        <v>60</v>
      </c>
      <c r="H38" s="1057">
        <v>120</v>
      </c>
      <c r="I38" s="2825">
        <v>60</v>
      </c>
      <c r="J38" s="436"/>
      <c r="K38" s="74"/>
    </row>
    <row r="39" spans="1:23" x14ac:dyDescent="0.25">
      <c r="A39" s="972">
        <f t="shared" ref="A39:A42" si="5">IF(RentAdjustmentGrid="Single",1,0)</f>
        <v>1</v>
      </c>
      <c r="B39" s="174"/>
      <c r="C39" s="18"/>
      <c r="D39" s="431" t="s">
        <v>293</v>
      </c>
      <c r="E39" s="2826">
        <f t="shared" ref="E39:H39" si="6">E38/12</f>
        <v>5</v>
      </c>
      <c r="F39" s="2826">
        <f t="shared" si="6"/>
        <v>10</v>
      </c>
      <c r="G39" s="2826">
        <f t="shared" si="6"/>
        <v>5</v>
      </c>
      <c r="H39" s="1058">
        <f t="shared" si="6"/>
        <v>10</v>
      </c>
      <c r="I39" s="2826">
        <f t="shared" ref="I39" si="7">I38/12</f>
        <v>5</v>
      </c>
      <c r="J39" s="435"/>
      <c r="K39" s="74"/>
    </row>
    <row r="40" spans="1:23" x14ac:dyDescent="0.25">
      <c r="A40" s="972">
        <f t="shared" si="5"/>
        <v>1</v>
      </c>
      <c r="B40" s="174"/>
      <c r="C40" s="18"/>
      <c r="D40" s="431" t="s">
        <v>739</v>
      </c>
      <c r="E40" s="2820" t="s">
        <v>83</v>
      </c>
      <c r="F40" s="2810" t="s">
        <v>67</v>
      </c>
      <c r="G40" s="2810" t="s">
        <v>83</v>
      </c>
      <c r="H40" s="1013" t="s">
        <v>67</v>
      </c>
      <c r="I40" s="2810" t="s">
        <v>67</v>
      </c>
      <c r="J40" s="313"/>
      <c r="K40" s="74"/>
    </row>
    <row r="41" spans="1:23" x14ac:dyDescent="0.25">
      <c r="A41" s="972">
        <f t="shared" si="5"/>
        <v>1</v>
      </c>
      <c r="B41" s="174"/>
      <c r="C41" s="18"/>
      <c r="D41" s="431" t="s">
        <v>498</v>
      </c>
      <c r="E41" s="2824">
        <v>0</v>
      </c>
      <c r="F41" s="2824">
        <v>0</v>
      </c>
      <c r="G41" s="2824">
        <v>0</v>
      </c>
      <c r="H41" s="1043">
        <v>0</v>
      </c>
      <c r="I41" s="2824">
        <v>0</v>
      </c>
      <c r="J41" s="233"/>
      <c r="K41" s="74"/>
    </row>
    <row r="42" spans="1:23" ht="15" thickBot="1" x14ac:dyDescent="0.3">
      <c r="A42" s="972">
        <f t="shared" si="5"/>
        <v>1</v>
      </c>
      <c r="B42" s="174"/>
      <c r="C42" s="18"/>
      <c r="D42" s="431" t="s">
        <v>740</v>
      </c>
      <c r="E42" s="2833">
        <v>0</v>
      </c>
      <c r="F42" s="2833">
        <v>0</v>
      </c>
      <c r="G42" s="2833">
        <v>0</v>
      </c>
      <c r="H42" s="805">
        <v>0</v>
      </c>
      <c r="I42" s="2833">
        <v>0</v>
      </c>
      <c r="J42" s="433"/>
      <c r="K42" s="74"/>
    </row>
    <row r="43" spans="1:23" hidden="1" x14ac:dyDescent="0.25">
      <c r="A43" s="972">
        <v>0</v>
      </c>
      <c r="B43" s="174"/>
      <c r="C43" s="18"/>
      <c r="D43" s="431" t="s">
        <v>741</v>
      </c>
      <c r="E43" s="2821"/>
      <c r="F43" s="2817"/>
      <c r="G43" s="2817"/>
      <c r="H43" s="1029"/>
      <c r="I43" s="2817"/>
      <c r="J43" s="429"/>
      <c r="K43" s="74"/>
    </row>
    <row r="44" spans="1:23" ht="15" hidden="1" thickBot="1" x14ac:dyDescent="0.3">
      <c r="A44" s="972">
        <v>0</v>
      </c>
      <c r="B44" s="174"/>
      <c r="C44" s="18"/>
      <c r="D44" s="431" t="s">
        <v>749</v>
      </c>
      <c r="E44" s="2827">
        <v>1</v>
      </c>
      <c r="F44" s="2828"/>
      <c r="G44" s="2828"/>
      <c r="H44" s="1059">
        <v>0.9</v>
      </c>
      <c r="I44" s="2828">
        <v>0.88</v>
      </c>
      <c r="J44" s="324"/>
      <c r="K44" s="74"/>
    </row>
    <row r="45" spans="1:23" x14ac:dyDescent="0.25">
      <c r="A45" s="972"/>
      <c r="B45" s="174"/>
      <c r="C45" s="18"/>
      <c r="D45" s="710" t="s">
        <v>874</v>
      </c>
      <c r="E45" s="2829"/>
      <c r="F45" s="2829"/>
      <c r="G45" s="2829"/>
      <c r="H45" s="1038"/>
      <c r="I45" s="2829"/>
      <c r="J45" s="18"/>
      <c r="K45" s="74"/>
    </row>
    <row r="46" spans="1:23" x14ac:dyDescent="0.25">
      <c r="A46" s="972"/>
    </row>
    <row r="47" spans="1:23" x14ac:dyDescent="0.25">
      <c r="A47" s="707"/>
      <c r="L47" s="243"/>
      <c r="M47" s="174"/>
      <c r="N47" s="18"/>
      <c r="O47" s="28"/>
      <c r="P47" s="2830"/>
      <c r="Q47" s="2830"/>
      <c r="R47" s="2830"/>
      <c r="S47" s="2830"/>
      <c r="T47" s="2830"/>
      <c r="U47" s="1020"/>
      <c r="V47" s="18"/>
      <c r="W47" s="74"/>
    </row>
    <row r="48" spans="1:23" ht="16.5" x14ac:dyDescent="0.3">
      <c r="A48" s="707"/>
      <c r="L48" s="243"/>
      <c r="M48" s="174"/>
      <c r="N48" s="18"/>
      <c r="O48" s="27" t="str">
        <f>CONCATENATE("Rent Comparable Summary - ",dpIncome_SpaceCategory_MarketRent_1)</f>
        <v xml:space="preserve">Rent Comparable Summary - </v>
      </c>
      <c r="P48" s="2831"/>
      <c r="Q48" s="2830"/>
      <c r="R48" s="2830"/>
      <c r="S48" s="2831"/>
      <c r="T48" s="2831"/>
      <c r="U48" s="1021"/>
      <c r="V48" s="15"/>
      <c r="W48" s="74"/>
    </row>
    <row r="49" spans="1:23" ht="15" thickBot="1" x14ac:dyDescent="0.3">
      <c r="A49" s="707"/>
      <c r="L49" s="243"/>
      <c r="M49" s="174"/>
      <c r="N49" s="11"/>
      <c r="O49" s="503"/>
      <c r="P49" s="2832">
        <v>1</v>
      </c>
      <c r="Q49" s="2832">
        <v>2</v>
      </c>
      <c r="R49" s="2832">
        <v>3</v>
      </c>
      <c r="S49" s="2832">
        <v>4</v>
      </c>
      <c r="T49" s="2832">
        <v>5</v>
      </c>
      <c r="U49" s="2809">
        <v>6</v>
      </c>
      <c r="V49" s="91"/>
      <c r="W49" s="74"/>
    </row>
    <row r="50" spans="1:23" hidden="1" x14ac:dyDescent="0.25">
      <c r="A50" s="972">
        <f>IF(RentAdjustmentGrid="Buckets",1,0)</f>
        <v>0</v>
      </c>
      <c r="M50" s="174"/>
      <c r="N50" s="18"/>
      <c r="O50" s="327" t="s">
        <v>281</v>
      </c>
      <c r="P50" s="2810"/>
      <c r="Q50" s="2810"/>
      <c r="R50" s="2810"/>
      <c r="S50" s="2810"/>
      <c r="T50" s="2810"/>
      <c r="U50" s="1013"/>
      <c r="V50" s="313"/>
      <c r="W50" s="74"/>
    </row>
    <row r="51" spans="1:23" hidden="1" x14ac:dyDescent="0.25">
      <c r="A51" s="972">
        <f>IF(RentAdjustmentGrid="Buckets",1,0)</f>
        <v>0</v>
      </c>
      <c r="M51" s="174"/>
      <c r="N51" s="18"/>
      <c r="O51" s="506" t="s">
        <v>754</v>
      </c>
      <c r="P51" s="2811">
        <f t="shared" ref="P51:U51" si="8">IF(OR(P78="",P78="N/A"),P53,P52)</f>
        <v>0</v>
      </c>
      <c r="Q51" s="2811">
        <f t="shared" si="8"/>
        <v>0</v>
      </c>
      <c r="R51" s="2811">
        <f t="shared" si="8"/>
        <v>0</v>
      </c>
      <c r="S51" s="2811">
        <f t="shared" si="8"/>
        <v>0</v>
      </c>
      <c r="T51" s="2811">
        <f t="shared" si="8"/>
        <v>0</v>
      </c>
      <c r="U51" s="1054">
        <f t="shared" si="8"/>
        <v>0</v>
      </c>
      <c r="V51" s="313"/>
      <c r="W51" s="74"/>
    </row>
    <row r="52" spans="1:23" hidden="1" x14ac:dyDescent="0.25">
      <c r="A52" s="972">
        <v>0</v>
      </c>
      <c r="M52" s="174"/>
      <c r="N52" s="18"/>
      <c r="O52" s="526" t="s">
        <v>299</v>
      </c>
      <c r="P52" s="2811"/>
      <c r="Q52" s="2812"/>
      <c r="R52" s="2812"/>
      <c r="S52" s="2812"/>
      <c r="T52" s="2812"/>
      <c r="U52" s="1022"/>
      <c r="V52" s="437"/>
      <c r="W52" s="74"/>
    </row>
    <row r="53" spans="1:23" hidden="1" x14ac:dyDescent="0.25">
      <c r="A53" s="972">
        <v>0</v>
      </c>
      <c r="M53" s="174"/>
      <c r="N53" s="18"/>
      <c r="O53" s="526" t="s">
        <v>750</v>
      </c>
      <c r="P53" s="2811"/>
      <c r="Q53" s="2812"/>
      <c r="R53" s="2812"/>
      <c r="S53" s="2812"/>
      <c r="T53" s="2812"/>
      <c r="U53" s="1022"/>
      <c r="V53" s="325"/>
      <c r="W53" s="74"/>
    </row>
    <row r="54" spans="1:23" hidden="1" x14ac:dyDescent="0.25">
      <c r="A54" s="972">
        <v>0</v>
      </c>
      <c r="M54" s="174"/>
      <c r="N54" s="18"/>
      <c r="O54" s="526" t="s">
        <v>1269</v>
      </c>
      <c r="P54" s="2811"/>
      <c r="Q54" s="2812"/>
      <c r="R54" s="2812"/>
      <c r="S54" s="2812"/>
      <c r="T54" s="2812"/>
      <c r="U54" s="1022"/>
      <c r="V54" s="325"/>
      <c r="W54" s="74"/>
    </row>
    <row r="55" spans="1:23" hidden="1" x14ac:dyDescent="0.25">
      <c r="A55" s="972">
        <f t="shared" ref="A55:A59" si="9">IF(RentAdjustmentGrid="Buckets",1,0)</f>
        <v>0</v>
      </c>
      <c r="M55" s="174"/>
      <c r="N55" s="18"/>
      <c r="O55" s="327" t="s">
        <v>0</v>
      </c>
      <c r="P55" s="2810"/>
      <c r="Q55" s="2810"/>
      <c r="R55" s="2810"/>
      <c r="S55" s="2810"/>
      <c r="T55" s="2810"/>
      <c r="U55" s="1013"/>
      <c r="V55" s="311"/>
      <c r="W55" s="74"/>
    </row>
    <row r="56" spans="1:23" hidden="1" x14ac:dyDescent="0.25">
      <c r="A56" s="972">
        <f t="shared" si="9"/>
        <v>0</v>
      </c>
      <c r="M56" s="174"/>
      <c r="N56" s="18"/>
      <c r="O56" s="323"/>
      <c r="P56" s="2810"/>
      <c r="Q56" s="2810"/>
      <c r="R56" s="2810"/>
      <c r="S56" s="2810"/>
      <c r="T56" s="2810"/>
      <c r="U56" s="1013"/>
      <c r="V56" s="311"/>
      <c r="W56" s="74"/>
    </row>
    <row r="57" spans="1:23" hidden="1" x14ac:dyDescent="0.25">
      <c r="A57" s="972">
        <f t="shared" si="9"/>
        <v>0</v>
      </c>
      <c r="M57" s="174"/>
      <c r="N57" s="18"/>
      <c r="O57" s="322" t="s">
        <v>737</v>
      </c>
      <c r="P57" s="2810"/>
      <c r="Q57" s="2810"/>
      <c r="R57" s="2810"/>
      <c r="S57" s="2810"/>
      <c r="T57" s="2810"/>
      <c r="U57" s="1013"/>
      <c r="V57" s="313"/>
      <c r="W57" s="74"/>
    </row>
    <row r="58" spans="1:23" hidden="1" x14ac:dyDescent="0.25">
      <c r="A58" s="972">
        <f t="shared" si="9"/>
        <v>0</v>
      </c>
      <c r="M58" s="319"/>
      <c r="N58" s="312"/>
      <c r="O58" s="432" t="s">
        <v>95</v>
      </c>
      <c r="P58" s="2810"/>
      <c r="Q58" s="2810"/>
      <c r="R58" s="2810"/>
      <c r="S58" s="2810"/>
      <c r="T58" s="2810"/>
      <c r="U58" s="1013"/>
      <c r="V58" s="311"/>
      <c r="W58" s="320"/>
    </row>
    <row r="59" spans="1:23" hidden="1" x14ac:dyDescent="0.25">
      <c r="A59" s="972">
        <f t="shared" si="9"/>
        <v>0</v>
      </c>
      <c r="M59" s="174"/>
      <c r="N59" s="18"/>
      <c r="O59" s="431"/>
      <c r="P59" s="2810"/>
      <c r="Q59" s="2810"/>
      <c r="R59" s="2810"/>
      <c r="S59" s="2810"/>
      <c r="T59" s="2810"/>
      <c r="U59" s="1013"/>
      <c r="V59" s="313"/>
      <c r="W59" s="74"/>
    </row>
    <row r="60" spans="1:23" hidden="1" x14ac:dyDescent="0.25">
      <c r="A60" s="972">
        <v>0</v>
      </c>
      <c r="M60" s="174"/>
      <c r="N60" s="18"/>
      <c r="O60" s="431"/>
      <c r="P60" s="2810"/>
      <c r="Q60" s="2810"/>
      <c r="R60" s="2810"/>
      <c r="S60" s="2810"/>
      <c r="T60" s="2810"/>
      <c r="U60" s="1013"/>
      <c r="V60" s="313"/>
      <c r="W60" s="74"/>
    </row>
    <row r="61" spans="1:23" hidden="1" x14ac:dyDescent="0.25">
      <c r="A61" s="972">
        <v>0</v>
      </c>
      <c r="M61" s="174"/>
      <c r="N61" s="18"/>
      <c r="O61" s="432"/>
      <c r="P61" s="2810"/>
      <c r="Q61" s="2810"/>
      <c r="R61" s="2810"/>
      <c r="S61" s="2810"/>
      <c r="T61" s="2810"/>
      <c r="U61" s="1013"/>
      <c r="V61" s="313"/>
      <c r="W61" s="74"/>
    </row>
    <row r="62" spans="1:23" hidden="1" x14ac:dyDescent="0.25">
      <c r="A62" s="972">
        <f>IF(RentAdjustmentGrid="Buckets",1,0)</f>
        <v>0</v>
      </c>
      <c r="M62" s="174"/>
      <c r="N62" s="18"/>
      <c r="O62" s="431" t="s">
        <v>288</v>
      </c>
      <c r="P62" s="2810"/>
      <c r="Q62" s="2810"/>
      <c r="R62" s="2810"/>
      <c r="S62" s="2810"/>
      <c r="T62" s="2810"/>
      <c r="U62" s="1013"/>
      <c r="V62" s="313"/>
      <c r="W62" s="74"/>
    </row>
    <row r="63" spans="1:23" hidden="1" x14ac:dyDescent="0.25">
      <c r="A63" s="972">
        <f>IF(RentAdjustmentGrid="Buckets",1,0)</f>
        <v>0</v>
      </c>
      <c r="M63" s="174"/>
      <c r="N63" s="18"/>
      <c r="O63" s="431" t="s">
        <v>10</v>
      </c>
      <c r="P63" s="2813">
        <f t="shared" ref="P63:U63" si="10">IF(OR(P64="",P64="N/A"),P65,P64)</f>
        <v>0</v>
      </c>
      <c r="Q63" s="2813">
        <f t="shared" si="10"/>
        <v>0</v>
      </c>
      <c r="R63" s="2813">
        <f t="shared" si="10"/>
        <v>0</v>
      </c>
      <c r="S63" s="2813">
        <f t="shared" si="10"/>
        <v>0</v>
      </c>
      <c r="T63" s="2813">
        <f t="shared" si="10"/>
        <v>0</v>
      </c>
      <c r="U63" s="1023">
        <f t="shared" si="10"/>
        <v>0</v>
      </c>
      <c r="V63" s="313"/>
      <c r="W63" s="74"/>
    </row>
    <row r="64" spans="1:23" hidden="1" x14ac:dyDescent="0.25">
      <c r="A64" s="972">
        <v>0</v>
      </c>
      <c r="M64" s="174"/>
      <c r="N64" s="18"/>
      <c r="O64" s="431" t="s">
        <v>10</v>
      </c>
      <c r="P64" s="2810"/>
      <c r="Q64" s="2810"/>
      <c r="R64" s="2810"/>
      <c r="S64" s="2810"/>
      <c r="T64" s="2810"/>
      <c r="U64" s="1013"/>
      <c r="V64" s="313"/>
      <c r="W64" s="74"/>
    </row>
    <row r="65" spans="1:23" hidden="1" x14ac:dyDescent="0.25">
      <c r="A65" s="972">
        <v>0</v>
      </c>
      <c r="M65" s="174"/>
      <c r="N65" s="18"/>
      <c r="O65" s="431" t="s">
        <v>1009</v>
      </c>
      <c r="P65" s="2810"/>
      <c r="Q65" s="2810"/>
      <c r="R65" s="2810"/>
      <c r="S65" s="2810"/>
      <c r="T65" s="2810"/>
      <c r="U65" s="1013"/>
      <c r="V65" s="313"/>
      <c r="W65" s="74"/>
    </row>
    <row r="66" spans="1:23" hidden="1" x14ac:dyDescent="0.25">
      <c r="A66" s="972">
        <f>IF(RentAdjustmentGrid="Buckets",1,0)</f>
        <v>0</v>
      </c>
      <c r="M66" s="174"/>
      <c r="N66" s="18"/>
      <c r="O66" s="431" t="s">
        <v>441</v>
      </c>
      <c r="P66" s="2814"/>
      <c r="Q66" s="2814"/>
      <c r="R66" s="2814"/>
      <c r="S66" s="2814"/>
      <c r="T66" s="2814"/>
      <c r="U66" s="1032"/>
      <c r="V66" s="314"/>
      <c r="W66" s="74"/>
    </row>
    <row r="67" spans="1:23" hidden="1" x14ac:dyDescent="0.25">
      <c r="A67" s="972">
        <f>IF(RentAdjustmentGrid="Buckets",1,0)</f>
        <v>0</v>
      </c>
      <c r="M67" s="174"/>
      <c r="N67" s="18"/>
      <c r="O67" s="431" t="s">
        <v>183</v>
      </c>
      <c r="P67" s="2814"/>
      <c r="Q67" s="2814"/>
      <c r="R67" s="2814"/>
      <c r="S67" s="2814"/>
      <c r="T67" s="2814"/>
      <c r="U67" s="1032"/>
      <c r="V67" s="314"/>
      <c r="W67" s="74"/>
    </row>
    <row r="68" spans="1:23" hidden="1" x14ac:dyDescent="0.25">
      <c r="A68" s="972">
        <f>IF(RentAdjustmentGrid="Buckets",1,0)</f>
        <v>0</v>
      </c>
      <c r="M68" s="174"/>
      <c r="N68" s="18"/>
      <c r="O68" s="431" t="s">
        <v>287</v>
      </c>
      <c r="P68" s="2815"/>
      <c r="Q68" s="2815"/>
      <c r="R68" s="2815"/>
      <c r="S68" s="2815"/>
      <c r="T68" s="2815"/>
      <c r="U68" s="1033"/>
      <c r="V68" s="315"/>
      <c r="W68" s="74"/>
    </row>
    <row r="69" spans="1:23" hidden="1" x14ac:dyDescent="0.25">
      <c r="A69" s="972">
        <f>IF(RentAdjustmentGrid="Buckets",1,0)</f>
        <v>0</v>
      </c>
      <c r="M69" s="174"/>
      <c r="N69" s="18"/>
      <c r="O69" s="431" t="s">
        <v>286</v>
      </c>
      <c r="P69" s="2816"/>
      <c r="Q69" s="2816"/>
      <c r="R69" s="2816"/>
      <c r="S69" s="2816"/>
      <c r="T69" s="2816"/>
      <c r="U69" s="1034"/>
      <c r="V69" s="316"/>
      <c r="W69" s="74"/>
    </row>
    <row r="70" spans="1:23" hidden="1" x14ac:dyDescent="0.25">
      <c r="A70" s="972">
        <f>IF(RentAdjustmentGrid="Buckets",1,0)</f>
        <v>0</v>
      </c>
      <c r="M70" s="174"/>
      <c r="N70" s="18"/>
      <c r="O70" s="431" t="s">
        <v>1407</v>
      </c>
      <c r="P70" s="2817"/>
      <c r="Q70" s="2817"/>
      <c r="R70" s="2817"/>
      <c r="S70" s="2817"/>
      <c r="T70" s="2817"/>
      <c r="U70" s="1029"/>
      <c r="V70" s="316"/>
      <c r="W70" s="74"/>
    </row>
    <row r="71" spans="1:23" hidden="1" x14ac:dyDescent="0.25">
      <c r="A71" s="972">
        <f>IF(RentAdjustmentGrid="Buckets",IF('Rent Adjustments'!B145=TRUE,1,0),0)</f>
        <v>0</v>
      </c>
      <c r="M71" s="174"/>
      <c r="N71" s="18"/>
      <c r="O71" s="431" t="s">
        <v>191</v>
      </c>
      <c r="P71" s="2818"/>
      <c r="Q71" s="2818"/>
      <c r="R71" s="2818"/>
      <c r="S71" s="2818"/>
      <c r="T71" s="2818"/>
      <c r="U71" s="1035"/>
      <c r="V71" s="317"/>
      <c r="W71" s="74"/>
    </row>
    <row r="72" spans="1:23" hidden="1" x14ac:dyDescent="0.25">
      <c r="A72" s="972">
        <f>IF(RentAdjustmentGrid="Buckets",IF('Rent Adjustments'!B151=TRUE,1,0),0)</f>
        <v>0</v>
      </c>
      <c r="M72" s="174"/>
      <c r="N72" s="18"/>
      <c r="O72" s="431" t="s">
        <v>285</v>
      </c>
      <c r="P72" s="2819"/>
      <c r="Q72" s="2819"/>
      <c r="R72" s="2819"/>
      <c r="S72" s="2819"/>
      <c r="T72" s="2819"/>
      <c r="U72" s="1036"/>
      <c r="V72" s="318"/>
      <c r="W72" s="74"/>
    </row>
    <row r="73" spans="1:23" hidden="1" x14ac:dyDescent="0.25">
      <c r="A73" s="972">
        <f>IF(RentAdjustmentGrid="Buckets",IF(D73="User Defined",0,1),0)</f>
        <v>0</v>
      </c>
      <c r="M73" s="174"/>
      <c r="N73" s="18"/>
      <c r="O73" s="431" t="s">
        <v>192</v>
      </c>
      <c r="P73" s="2819"/>
      <c r="Q73" s="2819"/>
      <c r="R73" s="2819"/>
      <c r="S73" s="2819"/>
      <c r="T73" s="2819"/>
      <c r="U73" s="1036"/>
      <c r="V73" s="318"/>
      <c r="W73" s="74"/>
    </row>
    <row r="74" spans="1:23" hidden="1" x14ac:dyDescent="0.25">
      <c r="A74" s="972">
        <f>IF(RentAdjustmentGrid="Buckets",1,0)</f>
        <v>0</v>
      </c>
      <c r="M74" s="174"/>
      <c r="N74" s="18"/>
      <c r="O74" s="323"/>
      <c r="P74" s="2819"/>
      <c r="Q74" s="2819"/>
      <c r="R74" s="2819"/>
      <c r="S74" s="2819"/>
      <c r="T74" s="2819"/>
      <c r="U74" s="1036"/>
      <c r="V74" s="318"/>
      <c r="W74" s="74"/>
    </row>
    <row r="75" spans="1:23" hidden="1" x14ac:dyDescent="0.25">
      <c r="A75" s="972">
        <f>IF(RentAdjustmentGrid="Buckets",1,0)</f>
        <v>0</v>
      </c>
      <c r="M75" s="174"/>
      <c r="N75" s="18"/>
      <c r="O75" s="504" t="s">
        <v>738</v>
      </c>
      <c r="P75" s="2820"/>
      <c r="Q75" s="2820"/>
      <c r="R75" s="2820"/>
      <c r="S75" s="2810"/>
      <c r="T75" s="2810"/>
      <c r="U75" s="1013"/>
      <c r="V75" s="313"/>
      <c r="W75" s="74"/>
    </row>
    <row r="76" spans="1:23" hidden="1" x14ac:dyDescent="0.25">
      <c r="A76" s="972">
        <f>IF(RentAdjustmentGrid="Buckets",1,0)</f>
        <v>0</v>
      </c>
      <c r="M76" s="174"/>
      <c r="N76" s="18"/>
      <c r="O76" s="431" t="s">
        <v>303</v>
      </c>
      <c r="P76" s="2821"/>
      <c r="Q76" s="2821"/>
      <c r="R76" s="2821"/>
      <c r="S76" s="2817"/>
      <c r="T76" s="2817"/>
      <c r="U76" s="1029"/>
      <c r="V76" s="313"/>
      <c r="W76" s="74"/>
    </row>
    <row r="77" spans="1:23" hidden="1" x14ac:dyDescent="0.25">
      <c r="A77" s="972">
        <v>0</v>
      </c>
      <c r="M77" s="174"/>
      <c r="N77" s="18"/>
      <c r="O77" s="431" t="s">
        <v>1174</v>
      </c>
      <c r="P77" s="2822"/>
      <c r="Q77" s="2822"/>
      <c r="R77" s="2822"/>
      <c r="S77" s="2823"/>
      <c r="T77" s="2823"/>
      <c r="U77" s="1056"/>
      <c r="V77" s="434"/>
      <c r="W77" s="74"/>
    </row>
    <row r="78" spans="1:23" hidden="1" x14ac:dyDescent="0.25">
      <c r="A78" s="972">
        <v>0</v>
      </c>
      <c r="M78" s="174"/>
      <c r="N78" s="18"/>
      <c r="O78" s="431" t="s">
        <v>690</v>
      </c>
      <c r="P78" s="2822"/>
      <c r="Q78" s="2822"/>
      <c r="R78" s="2822"/>
      <c r="S78" s="2823"/>
      <c r="T78" s="2823"/>
      <c r="U78" s="1056"/>
      <c r="V78" s="434"/>
      <c r="W78" s="74"/>
    </row>
    <row r="79" spans="1:23" hidden="1" x14ac:dyDescent="0.25">
      <c r="A79" s="972">
        <f>IF(RentAdjustmentGrid="Buckets",1,0)</f>
        <v>0</v>
      </c>
      <c r="M79" s="174"/>
      <c r="N79" s="18"/>
      <c r="O79" s="431" t="str">
        <f>IF(dpIncome_RentUnitDisplay="Annual","Annual Rental Rate (PSF)","Monthly Rental Rate (PSF)")</f>
        <v>Annual Rental Rate (PSF)</v>
      </c>
      <c r="P79" s="2822">
        <f t="shared" ref="P79:U79" si="11">IF(OR(P77="",P77="N/A"),IF(dpIncome_RentUnitDisplay="Annual",P78,P78/12),IF(dpIncome_RentUnitDisplay="Annual",P77,P77/12))</f>
        <v>0</v>
      </c>
      <c r="Q79" s="2822">
        <f t="shared" si="11"/>
        <v>0</v>
      </c>
      <c r="R79" s="2822">
        <f t="shared" si="11"/>
        <v>0</v>
      </c>
      <c r="S79" s="2822">
        <f t="shared" si="11"/>
        <v>0</v>
      </c>
      <c r="T79" s="2822">
        <f t="shared" si="11"/>
        <v>0</v>
      </c>
      <c r="U79" s="1055">
        <f t="shared" si="11"/>
        <v>0</v>
      </c>
      <c r="V79" s="433"/>
      <c r="W79" s="74"/>
    </row>
    <row r="80" spans="1:23" hidden="1" x14ac:dyDescent="0.25">
      <c r="A80" s="972">
        <f>IF(RentAdjustmentGrid="Buckets",1,0)</f>
        <v>0</v>
      </c>
      <c r="M80" s="174"/>
      <c r="N80" s="18"/>
      <c r="O80" s="431" t="s">
        <v>742</v>
      </c>
      <c r="P80" s="2824"/>
      <c r="Q80" s="2824"/>
      <c r="R80" s="2824"/>
      <c r="S80" s="2824"/>
      <c r="T80" s="2824"/>
      <c r="U80" s="1043"/>
      <c r="V80" s="233"/>
      <c r="W80" s="74"/>
    </row>
    <row r="81" spans="1:35" hidden="1" x14ac:dyDescent="0.25">
      <c r="A81" s="972">
        <f>IF(RentAdjustmentGrid="Buckets",1,0)</f>
        <v>0</v>
      </c>
      <c r="M81" s="174"/>
      <c r="N81" s="18"/>
      <c r="O81" s="431" t="s">
        <v>1072</v>
      </c>
      <c r="P81" s="2824"/>
      <c r="Q81" s="2824"/>
      <c r="R81" s="2824"/>
      <c r="S81" s="2824"/>
      <c r="T81" s="2824"/>
      <c r="U81" s="1043"/>
      <c r="V81" s="233"/>
      <c r="W81" s="74"/>
    </row>
    <row r="82" spans="1:35" hidden="1" x14ac:dyDescent="0.25">
      <c r="A82" s="972">
        <v>0</v>
      </c>
      <c r="M82" s="174"/>
      <c r="N82" s="18"/>
      <c r="O82" s="431"/>
      <c r="P82" s="2825"/>
      <c r="Q82" s="2825"/>
      <c r="R82" s="2825"/>
      <c r="S82" s="2825"/>
      <c r="T82" s="2825"/>
      <c r="U82" s="1057"/>
      <c r="V82" s="436"/>
      <c r="W82" s="74"/>
    </row>
    <row r="83" spans="1:35" hidden="1" x14ac:dyDescent="0.25">
      <c r="A83" s="972">
        <f t="shared" ref="A83:A88" si="12">IF(RentAdjustmentGrid="Buckets",1,0)</f>
        <v>0</v>
      </c>
      <c r="M83" s="174"/>
      <c r="N83" s="18"/>
      <c r="O83" s="431" t="s">
        <v>293</v>
      </c>
      <c r="P83" s="2826">
        <f t="shared" ref="P83:U83" si="13">P82/12</f>
        <v>0</v>
      </c>
      <c r="Q83" s="2826">
        <f t="shared" si="13"/>
        <v>0</v>
      </c>
      <c r="R83" s="2826">
        <f t="shared" si="13"/>
        <v>0</v>
      </c>
      <c r="S83" s="2826">
        <f t="shared" si="13"/>
        <v>0</v>
      </c>
      <c r="T83" s="2826">
        <f t="shared" si="13"/>
        <v>0</v>
      </c>
      <c r="U83" s="1058">
        <f t="shared" si="13"/>
        <v>0</v>
      </c>
      <c r="V83" s="435"/>
      <c r="W83" s="74"/>
    </row>
    <row r="84" spans="1:35" hidden="1" x14ac:dyDescent="0.25">
      <c r="A84" s="972">
        <f t="shared" si="12"/>
        <v>0</v>
      </c>
      <c r="M84" s="174"/>
      <c r="N84" s="18"/>
      <c r="O84" s="431" t="s">
        <v>739</v>
      </c>
      <c r="P84" s="2820"/>
      <c r="Q84" s="2820"/>
      <c r="R84" s="2820"/>
      <c r="S84" s="2810"/>
      <c r="T84" s="2810"/>
      <c r="U84" s="1013"/>
      <c r="V84" s="313"/>
      <c r="W84" s="74"/>
    </row>
    <row r="85" spans="1:35" hidden="1" x14ac:dyDescent="0.25">
      <c r="A85" s="972">
        <f t="shared" si="12"/>
        <v>0</v>
      </c>
      <c r="M85" s="174"/>
      <c r="N85" s="18"/>
      <c r="O85" s="431" t="s">
        <v>498</v>
      </c>
      <c r="P85" s="2824"/>
      <c r="Q85" s="2824"/>
      <c r="R85" s="2824"/>
      <c r="S85" s="2824"/>
      <c r="T85" s="2824"/>
      <c r="U85" s="1043"/>
      <c r="V85" s="233"/>
      <c r="W85" s="74"/>
    </row>
    <row r="86" spans="1:35" hidden="1" x14ac:dyDescent="0.25">
      <c r="A86" s="972">
        <f t="shared" si="12"/>
        <v>0</v>
      </c>
      <c r="M86" s="174"/>
      <c r="N86" s="18"/>
      <c r="O86" s="431" t="s">
        <v>740</v>
      </c>
      <c r="P86" s="2833"/>
      <c r="Q86" s="2833"/>
      <c r="R86" s="2833"/>
      <c r="S86" s="2833"/>
      <c r="T86" s="2833"/>
      <c r="U86" s="805"/>
      <c r="V86" s="433"/>
      <c r="W86" s="74"/>
    </row>
    <row r="87" spans="1:35" hidden="1" x14ac:dyDescent="0.25">
      <c r="A87" s="972">
        <f t="shared" si="12"/>
        <v>0</v>
      </c>
      <c r="M87" s="174"/>
      <c r="N87" s="18"/>
      <c r="O87" s="431" t="s">
        <v>741</v>
      </c>
      <c r="P87" s="2821"/>
      <c r="Q87" s="2821"/>
      <c r="R87" s="2821"/>
      <c r="S87" s="2817"/>
      <c r="T87" s="2817"/>
      <c r="U87" s="1029"/>
      <c r="V87" s="429"/>
      <c r="W87" s="74"/>
    </row>
    <row r="88" spans="1:35" ht="15" hidden="1" thickBot="1" x14ac:dyDescent="0.3">
      <c r="A88" s="972">
        <f t="shared" si="12"/>
        <v>0</v>
      </c>
      <c r="M88" s="174"/>
      <c r="N88" s="18"/>
      <c r="O88" s="431" t="s">
        <v>749</v>
      </c>
      <c r="P88" s="2827"/>
      <c r="Q88" s="2827"/>
      <c r="R88" s="2827"/>
      <c r="S88" s="2828"/>
      <c r="T88" s="2828"/>
      <c r="U88" s="1059"/>
      <c r="V88" s="324"/>
      <c r="W88" s="74"/>
    </row>
    <row r="89" spans="1:35" x14ac:dyDescent="0.25">
      <c r="A89" s="707"/>
      <c r="L89" s="243"/>
      <c r="M89" s="174"/>
      <c r="N89" s="18"/>
      <c r="O89" s="710" t="s">
        <v>1446</v>
      </c>
      <c r="P89" s="2829"/>
      <c r="Q89" s="2829"/>
      <c r="R89" s="2829"/>
      <c r="S89" s="2829"/>
      <c r="T89" s="2829"/>
      <c r="U89" s="1038"/>
      <c r="V89" s="18"/>
      <c r="W89" s="74"/>
    </row>
    <row r="90" spans="1:35" x14ac:dyDescent="0.25">
      <c r="A90" s="707"/>
      <c r="L90" s="243"/>
      <c r="U90" s="37"/>
    </row>
    <row r="91" spans="1:35" x14ac:dyDescent="0.25">
      <c r="A91" s="707"/>
      <c r="Y91" s="174"/>
      <c r="Z91" s="18"/>
      <c r="AA91" s="28"/>
      <c r="AB91" s="2830"/>
      <c r="AC91" s="2830"/>
      <c r="AD91" s="2830"/>
      <c r="AE91" s="2830"/>
      <c r="AF91" s="2830"/>
      <c r="AG91" s="1020"/>
      <c r="AH91" s="18"/>
      <c r="AI91" s="74"/>
    </row>
    <row r="92" spans="1:35" ht="16.5" x14ac:dyDescent="0.3">
      <c r="A92" s="707"/>
      <c r="Y92" s="174"/>
      <c r="Z92" s="18"/>
      <c r="AA92" s="27" t="str">
        <f>CONCATENATE("Rent Comparable Summary - ",dpIncome_SpaceCategory_MarketRent_2)</f>
        <v xml:space="preserve">Rent Comparable Summary - </v>
      </c>
      <c r="AB92" s="2831"/>
      <c r="AC92" s="2830"/>
      <c r="AD92" s="2830"/>
      <c r="AE92" s="2831"/>
      <c r="AF92" s="2831"/>
      <c r="AG92" s="1021"/>
      <c r="AH92" s="15"/>
      <c r="AI92" s="74"/>
    </row>
    <row r="93" spans="1:35" ht="15" thickBot="1" x14ac:dyDescent="0.3">
      <c r="A93" s="707"/>
      <c r="Y93" s="174"/>
      <c r="Z93" s="11"/>
      <c r="AA93" s="503"/>
      <c r="AB93" s="1779">
        <v>1</v>
      </c>
      <c r="AC93" s="1779">
        <v>2</v>
      </c>
      <c r="AD93" s="1779">
        <v>3</v>
      </c>
      <c r="AE93" s="1779">
        <v>4</v>
      </c>
      <c r="AF93" s="1779">
        <v>5</v>
      </c>
      <c r="AG93" s="2809">
        <v>6</v>
      </c>
      <c r="AH93" s="91"/>
      <c r="AI93" s="74"/>
    </row>
    <row r="94" spans="1:35" hidden="1" x14ac:dyDescent="0.25">
      <c r="A94" s="972">
        <f>IF(RentAdjustmentGrid="Buckets",1,0)</f>
        <v>0</v>
      </c>
      <c r="Y94" s="174"/>
      <c r="Z94" s="18"/>
      <c r="AA94" s="327" t="s">
        <v>281</v>
      </c>
      <c r="AB94" s="2810"/>
      <c r="AC94" s="2810"/>
      <c r="AD94" s="2810"/>
      <c r="AE94" s="2810"/>
      <c r="AF94" s="2810"/>
      <c r="AG94" s="1013"/>
      <c r="AH94" s="313"/>
      <c r="AI94" s="74"/>
    </row>
    <row r="95" spans="1:35" hidden="1" x14ac:dyDescent="0.25">
      <c r="A95" s="972">
        <f>IF(RentAdjustmentGrid="Buckets",1,0)</f>
        <v>0</v>
      </c>
      <c r="Y95" s="174"/>
      <c r="Z95" s="18"/>
      <c r="AA95" s="506" t="s">
        <v>754</v>
      </c>
      <c r="AB95" s="2811">
        <f t="shared" ref="AB95:AG95" si="14">IF(OR(AB122="",AB122="N/A"),AB97,AB96)</f>
        <v>0</v>
      </c>
      <c r="AC95" s="2811">
        <f t="shared" si="14"/>
        <v>0</v>
      </c>
      <c r="AD95" s="2811">
        <f t="shared" si="14"/>
        <v>0</v>
      </c>
      <c r="AE95" s="2811">
        <f t="shared" si="14"/>
        <v>0</v>
      </c>
      <c r="AF95" s="2811">
        <f t="shared" si="14"/>
        <v>0</v>
      </c>
      <c r="AG95" s="1054">
        <f t="shared" si="14"/>
        <v>0</v>
      </c>
      <c r="AH95" s="313"/>
      <c r="AI95" s="74"/>
    </row>
    <row r="96" spans="1:35" hidden="1" x14ac:dyDescent="0.25">
      <c r="A96" s="972">
        <v>0</v>
      </c>
      <c r="Y96" s="174"/>
      <c r="Z96" s="18"/>
      <c r="AA96" s="526" t="s">
        <v>299</v>
      </c>
      <c r="AB96" s="2811"/>
      <c r="AC96" s="2812"/>
      <c r="AD96" s="2812"/>
      <c r="AE96" s="2812"/>
      <c r="AF96" s="2812"/>
      <c r="AG96" s="1022"/>
      <c r="AH96" s="437"/>
      <c r="AI96" s="74"/>
    </row>
    <row r="97" spans="1:35" hidden="1" x14ac:dyDescent="0.25">
      <c r="A97" s="972">
        <v>0</v>
      </c>
      <c r="Y97" s="174"/>
      <c r="Z97" s="18"/>
      <c r="AA97" s="526" t="s">
        <v>750</v>
      </c>
      <c r="AB97" s="2811"/>
      <c r="AC97" s="2812"/>
      <c r="AD97" s="2812"/>
      <c r="AE97" s="2812"/>
      <c r="AF97" s="2812"/>
      <c r="AG97" s="1022"/>
      <c r="AH97" s="325"/>
      <c r="AI97" s="74"/>
    </row>
    <row r="98" spans="1:35" hidden="1" x14ac:dyDescent="0.25">
      <c r="A98" s="972">
        <v>0</v>
      </c>
      <c r="Y98" s="174"/>
      <c r="Z98" s="18"/>
      <c r="AA98" s="526" t="s">
        <v>1269</v>
      </c>
      <c r="AB98" s="2811"/>
      <c r="AC98" s="2812"/>
      <c r="AD98" s="2812"/>
      <c r="AE98" s="2812"/>
      <c r="AF98" s="2812"/>
      <c r="AG98" s="1022"/>
      <c r="AH98" s="325"/>
      <c r="AI98" s="74"/>
    </row>
    <row r="99" spans="1:35" hidden="1" x14ac:dyDescent="0.25">
      <c r="A99" s="972">
        <f t="shared" ref="A99:A103" si="15">IF(RentAdjustmentGrid="Buckets",1,0)</f>
        <v>0</v>
      </c>
      <c r="Y99" s="174"/>
      <c r="Z99" s="18"/>
      <c r="AA99" s="327" t="s">
        <v>0</v>
      </c>
      <c r="AB99" s="2810"/>
      <c r="AC99" s="2810"/>
      <c r="AD99" s="2810"/>
      <c r="AE99" s="2810"/>
      <c r="AF99" s="2810"/>
      <c r="AG99" s="1013"/>
      <c r="AH99" s="311"/>
      <c r="AI99" s="74"/>
    </row>
    <row r="100" spans="1:35" hidden="1" x14ac:dyDescent="0.25">
      <c r="A100" s="972">
        <f t="shared" si="15"/>
        <v>0</v>
      </c>
      <c r="Y100" s="174"/>
      <c r="Z100" s="18"/>
      <c r="AA100" s="323"/>
      <c r="AB100" s="2810"/>
      <c r="AC100" s="2810"/>
      <c r="AD100" s="2810"/>
      <c r="AE100" s="2810"/>
      <c r="AF100" s="2810"/>
      <c r="AG100" s="1013"/>
      <c r="AH100" s="311"/>
      <c r="AI100" s="74"/>
    </row>
    <row r="101" spans="1:35" hidden="1" x14ac:dyDescent="0.25">
      <c r="A101" s="972">
        <f t="shared" si="15"/>
        <v>0</v>
      </c>
      <c r="Y101" s="174"/>
      <c r="Z101" s="18"/>
      <c r="AA101" s="322" t="s">
        <v>737</v>
      </c>
      <c r="AB101" s="2810"/>
      <c r="AC101" s="2810"/>
      <c r="AD101" s="2810"/>
      <c r="AE101" s="2810"/>
      <c r="AF101" s="2810"/>
      <c r="AG101" s="1013"/>
      <c r="AH101" s="313"/>
      <c r="AI101" s="74"/>
    </row>
    <row r="102" spans="1:35" hidden="1" x14ac:dyDescent="0.25">
      <c r="A102" s="972">
        <f t="shared" si="15"/>
        <v>0</v>
      </c>
      <c r="Y102" s="319"/>
      <c r="Z102" s="312"/>
      <c r="AA102" s="432" t="s">
        <v>95</v>
      </c>
      <c r="AB102" s="2810"/>
      <c r="AC102" s="2810"/>
      <c r="AD102" s="2810"/>
      <c r="AE102" s="2810"/>
      <c r="AF102" s="2810"/>
      <c r="AG102" s="1013"/>
      <c r="AH102" s="311"/>
      <c r="AI102" s="320"/>
    </row>
    <row r="103" spans="1:35" hidden="1" x14ac:dyDescent="0.25">
      <c r="A103" s="972">
        <f t="shared" si="15"/>
        <v>0</v>
      </c>
      <c r="Y103" s="174"/>
      <c r="Z103" s="18"/>
      <c r="AA103" s="431"/>
      <c r="AB103" s="2810"/>
      <c r="AC103" s="2810"/>
      <c r="AD103" s="2810"/>
      <c r="AE103" s="2810"/>
      <c r="AF103" s="2810"/>
      <c r="AG103" s="1013"/>
      <c r="AH103" s="313"/>
      <c r="AI103" s="74"/>
    </row>
    <row r="104" spans="1:35" hidden="1" x14ac:dyDescent="0.25">
      <c r="A104" s="972">
        <v>0</v>
      </c>
      <c r="Y104" s="174"/>
      <c r="Z104" s="18"/>
      <c r="AA104" s="431"/>
      <c r="AB104" s="2810"/>
      <c r="AC104" s="2810"/>
      <c r="AD104" s="2810"/>
      <c r="AE104" s="2810"/>
      <c r="AF104" s="2810"/>
      <c r="AG104" s="1013"/>
      <c r="AH104" s="313"/>
      <c r="AI104" s="74"/>
    </row>
    <row r="105" spans="1:35" hidden="1" x14ac:dyDescent="0.25">
      <c r="A105" s="972">
        <v>0</v>
      </c>
      <c r="Y105" s="174"/>
      <c r="Z105" s="18"/>
      <c r="AA105" s="432"/>
      <c r="AB105" s="2810"/>
      <c r="AC105" s="2810"/>
      <c r="AD105" s="2810"/>
      <c r="AE105" s="2810"/>
      <c r="AF105" s="2810"/>
      <c r="AG105" s="1013"/>
      <c r="AH105" s="313"/>
      <c r="AI105" s="74"/>
    </row>
    <row r="106" spans="1:35" hidden="1" x14ac:dyDescent="0.25">
      <c r="A106" s="972">
        <f>IF(RentAdjustmentGrid="Buckets",1,0)</f>
        <v>0</v>
      </c>
      <c r="Y106" s="174"/>
      <c r="Z106" s="18"/>
      <c r="AA106" s="431" t="s">
        <v>288</v>
      </c>
      <c r="AB106" s="2810"/>
      <c r="AC106" s="2810"/>
      <c r="AD106" s="2810"/>
      <c r="AE106" s="2810"/>
      <c r="AF106" s="2810"/>
      <c r="AG106" s="1013"/>
      <c r="AH106" s="313"/>
      <c r="AI106" s="74"/>
    </row>
    <row r="107" spans="1:35" hidden="1" x14ac:dyDescent="0.25">
      <c r="A107" s="972">
        <f>IF(RentAdjustmentGrid="Buckets",1,0)</f>
        <v>0</v>
      </c>
      <c r="Y107" s="174"/>
      <c r="Z107" s="18"/>
      <c r="AA107" s="431" t="s">
        <v>10</v>
      </c>
      <c r="AB107" s="2813">
        <f t="shared" ref="AB107:AG107" si="16">IF(OR(AB108="",AB108="N/A"),AB109,AB108)</f>
        <v>0</v>
      </c>
      <c r="AC107" s="2813">
        <f t="shared" si="16"/>
        <v>0</v>
      </c>
      <c r="AD107" s="2813">
        <f t="shared" si="16"/>
        <v>0</v>
      </c>
      <c r="AE107" s="2813">
        <f t="shared" si="16"/>
        <v>0</v>
      </c>
      <c r="AF107" s="2813">
        <f t="shared" si="16"/>
        <v>0</v>
      </c>
      <c r="AG107" s="1023">
        <f t="shared" si="16"/>
        <v>0</v>
      </c>
      <c r="AH107" s="313"/>
      <c r="AI107" s="74"/>
    </row>
    <row r="108" spans="1:35" hidden="1" x14ac:dyDescent="0.25">
      <c r="A108" s="972">
        <v>0</v>
      </c>
      <c r="Y108" s="174"/>
      <c r="Z108" s="18"/>
      <c r="AA108" s="431" t="s">
        <v>10</v>
      </c>
      <c r="AB108" s="2810"/>
      <c r="AC108" s="2810"/>
      <c r="AD108" s="2810"/>
      <c r="AE108" s="2810"/>
      <c r="AF108" s="2810"/>
      <c r="AG108" s="1013"/>
      <c r="AH108" s="313"/>
      <c r="AI108" s="74"/>
    </row>
    <row r="109" spans="1:35" hidden="1" x14ac:dyDescent="0.25">
      <c r="A109" s="972">
        <v>0</v>
      </c>
      <c r="Y109" s="174"/>
      <c r="Z109" s="18"/>
      <c r="AA109" s="431" t="s">
        <v>1009</v>
      </c>
      <c r="AB109" s="2810"/>
      <c r="AC109" s="2810"/>
      <c r="AD109" s="2810"/>
      <c r="AE109" s="2810"/>
      <c r="AF109" s="2810"/>
      <c r="AG109" s="1013"/>
      <c r="AH109" s="313"/>
      <c r="AI109" s="74"/>
    </row>
    <row r="110" spans="1:35" hidden="1" x14ac:dyDescent="0.25">
      <c r="A110" s="972">
        <f>IF(RentAdjustmentGrid="Buckets",1,0)</f>
        <v>0</v>
      </c>
      <c r="Y110" s="174"/>
      <c r="Z110" s="18"/>
      <c r="AA110" s="431" t="s">
        <v>441</v>
      </c>
      <c r="AB110" s="2814"/>
      <c r="AC110" s="2814"/>
      <c r="AD110" s="2814"/>
      <c r="AE110" s="2814"/>
      <c r="AF110" s="2814"/>
      <c r="AG110" s="1032"/>
      <c r="AH110" s="314"/>
      <c r="AI110" s="74"/>
    </row>
    <row r="111" spans="1:35" hidden="1" x14ac:dyDescent="0.25">
      <c r="A111" s="972">
        <f>IF(RentAdjustmentGrid="Buckets",1,0)</f>
        <v>0</v>
      </c>
      <c r="Y111" s="174"/>
      <c r="Z111" s="18"/>
      <c r="AA111" s="431" t="s">
        <v>183</v>
      </c>
      <c r="AB111" s="2814"/>
      <c r="AC111" s="2814"/>
      <c r="AD111" s="2814"/>
      <c r="AE111" s="2814"/>
      <c r="AF111" s="2814"/>
      <c r="AG111" s="1032"/>
      <c r="AH111" s="314"/>
      <c r="AI111" s="74"/>
    </row>
    <row r="112" spans="1:35" hidden="1" x14ac:dyDescent="0.25">
      <c r="A112" s="972">
        <f>IF(RentAdjustmentGrid="Buckets",1,0)</f>
        <v>0</v>
      </c>
      <c r="Y112" s="174"/>
      <c r="Z112" s="18"/>
      <c r="AA112" s="431" t="s">
        <v>287</v>
      </c>
      <c r="AB112" s="2815"/>
      <c r="AC112" s="2815"/>
      <c r="AD112" s="2815"/>
      <c r="AE112" s="2815"/>
      <c r="AF112" s="2815"/>
      <c r="AG112" s="1033"/>
      <c r="AH112" s="315"/>
      <c r="AI112" s="74"/>
    </row>
    <row r="113" spans="1:35" hidden="1" x14ac:dyDescent="0.25">
      <c r="A113" s="972">
        <f>IF(RentAdjustmentGrid="Buckets",1,0)</f>
        <v>0</v>
      </c>
      <c r="Y113" s="174"/>
      <c r="Z113" s="18"/>
      <c r="AA113" s="431" t="s">
        <v>286</v>
      </c>
      <c r="AB113" s="2816"/>
      <c r="AC113" s="2816"/>
      <c r="AD113" s="2816"/>
      <c r="AE113" s="2816"/>
      <c r="AF113" s="2816"/>
      <c r="AG113" s="1034"/>
      <c r="AH113" s="316"/>
      <c r="AI113" s="74"/>
    </row>
    <row r="114" spans="1:35" hidden="1" x14ac:dyDescent="0.25">
      <c r="A114" s="972">
        <f>IF(RentAdjustmentGrid="Buckets",1,0)</f>
        <v>0</v>
      </c>
      <c r="Y114" s="174"/>
      <c r="Z114" s="18"/>
      <c r="AA114" s="431" t="s">
        <v>1407</v>
      </c>
      <c r="AB114" s="2817"/>
      <c r="AC114" s="2817"/>
      <c r="AD114" s="2817"/>
      <c r="AE114" s="2817"/>
      <c r="AF114" s="2817"/>
      <c r="AG114" s="1029"/>
      <c r="AH114" s="316"/>
      <c r="AI114" s="74"/>
    </row>
    <row r="115" spans="1:35" hidden="1" x14ac:dyDescent="0.25">
      <c r="A115" s="972">
        <f>IF(RentAdjustmentGrid="Buckets",IF('Rent Adjustments'!B191=TRUE,1,0),0)</f>
        <v>0</v>
      </c>
      <c r="Y115" s="174"/>
      <c r="Z115" s="18"/>
      <c r="AA115" s="431" t="s">
        <v>191</v>
      </c>
      <c r="AB115" s="2818"/>
      <c r="AC115" s="2818"/>
      <c r="AD115" s="2818"/>
      <c r="AE115" s="2818"/>
      <c r="AF115" s="2818"/>
      <c r="AG115" s="1035"/>
      <c r="AH115" s="317"/>
      <c r="AI115" s="74"/>
    </row>
    <row r="116" spans="1:35" hidden="1" x14ac:dyDescent="0.25">
      <c r="A116" s="972">
        <f>IF(RentAdjustmentGrid="Buckets",IF('Rent Adjustments'!B197=TRUE,1,0),0)</f>
        <v>0</v>
      </c>
      <c r="Y116" s="174"/>
      <c r="Z116" s="18"/>
      <c r="AA116" s="431" t="s">
        <v>285</v>
      </c>
      <c r="AB116" s="2819"/>
      <c r="AC116" s="2819"/>
      <c r="AD116" s="2819"/>
      <c r="AE116" s="2819"/>
      <c r="AF116" s="2819"/>
      <c r="AG116" s="1036"/>
      <c r="AH116" s="318"/>
      <c r="AI116" s="74"/>
    </row>
    <row r="117" spans="1:35" hidden="1" x14ac:dyDescent="0.25">
      <c r="A117" s="972">
        <f>IF(RentAdjustmentGrid="Buckets",IF(D117="User Defined",0,1),0)</f>
        <v>0</v>
      </c>
      <c r="Y117" s="174"/>
      <c r="Z117" s="18"/>
      <c r="AA117" s="431" t="s">
        <v>192</v>
      </c>
      <c r="AB117" s="2819"/>
      <c r="AC117" s="2819"/>
      <c r="AD117" s="2819"/>
      <c r="AE117" s="2819"/>
      <c r="AF117" s="2819"/>
      <c r="AG117" s="1036"/>
      <c r="AH117" s="318"/>
      <c r="AI117" s="74"/>
    </row>
    <row r="118" spans="1:35" hidden="1" x14ac:dyDescent="0.25">
      <c r="A118" s="972">
        <f>IF(RentAdjustmentGrid="Buckets",1,0)</f>
        <v>0</v>
      </c>
      <c r="Y118" s="174"/>
      <c r="Z118" s="18"/>
      <c r="AA118" s="323"/>
      <c r="AB118" s="2819"/>
      <c r="AC118" s="2819"/>
      <c r="AD118" s="2819"/>
      <c r="AE118" s="2819"/>
      <c r="AF118" s="2819"/>
      <c r="AG118" s="1036"/>
      <c r="AH118" s="318"/>
      <c r="AI118" s="74"/>
    </row>
    <row r="119" spans="1:35" hidden="1" x14ac:dyDescent="0.25">
      <c r="A119" s="972">
        <f>IF(RentAdjustmentGrid="Buckets",1,0)</f>
        <v>0</v>
      </c>
      <c r="Y119" s="174"/>
      <c r="Z119" s="18"/>
      <c r="AA119" s="504" t="s">
        <v>738</v>
      </c>
      <c r="AB119" s="2820"/>
      <c r="AC119" s="2820"/>
      <c r="AD119" s="2820"/>
      <c r="AE119" s="2810"/>
      <c r="AF119" s="2810"/>
      <c r="AG119" s="1013"/>
      <c r="AH119" s="313"/>
      <c r="AI119" s="74"/>
    </row>
    <row r="120" spans="1:35" hidden="1" x14ac:dyDescent="0.25">
      <c r="A120" s="972">
        <f>IF(RentAdjustmentGrid="Buckets",1,0)</f>
        <v>0</v>
      </c>
      <c r="Y120" s="174"/>
      <c r="Z120" s="18"/>
      <c r="AA120" s="431" t="s">
        <v>303</v>
      </c>
      <c r="AB120" s="2821"/>
      <c r="AC120" s="2821"/>
      <c r="AD120" s="2821"/>
      <c r="AE120" s="2817"/>
      <c r="AF120" s="2817"/>
      <c r="AG120" s="1029"/>
      <c r="AH120" s="313"/>
      <c r="AI120" s="74"/>
    </row>
    <row r="121" spans="1:35" hidden="1" x14ac:dyDescent="0.25">
      <c r="A121" s="972">
        <v>0</v>
      </c>
      <c r="Y121" s="174"/>
      <c r="Z121" s="18"/>
      <c r="AA121" s="431" t="s">
        <v>1174</v>
      </c>
      <c r="AB121" s="2822"/>
      <c r="AC121" s="2822"/>
      <c r="AD121" s="2822"/>
      <c r="AE121" s="2823"/>
      <c r="AF121" s="2823"/>
      <c r="AG121" s="1056"/>
      <c r="AH121" s="434"/>
      <c r="AI121" s="74"/>
    </row>
    <row r="122" spans="1:35" hidden="1" x14ac:dyDescent="0.25">
      <c r="A122" s="972">
        <v>0</v>
      </c>
      <c r="Y122" s="174"/>
      <c r="Z122" s="18"/>
      <c r="AA122" s="431" t="s">
        <v>690</v>
      </c>
      <c r="AB122" s="2822"/>
      <c r="AC122" s="2822"/>
      <c r="AD122" s="2822"/>
      <c r="AE122" s="2823"/>
      <c r="AF122" s="2823"/>
      <c r="AG122" s="1056"/>
      <c r="AH122" s="434"/>
      <c r="AI122" s="74"/>
    </row>
    <row r="123" spans="1:35" hidden="1" x14ac:dyDescent="0.25">
      <c r="A123" s="972">
        <f>IF(RentAdjustmentGrid="Buckets",1,0)</f>
        <v>0</v>
      </c>
      <c r="Y123" s="174"/>
      <c r="Z123" s="18"/>
      <c r="AA123" s="431" t="str">
        <f>IF(dpIncome_RentUnitDisplay="Annual","Annual Rental Rate (PSF)","Monthly Rental Rate (PSF)")</f>
        <v>Annual Rental Rate (PSF)</v>
      </c>
      <c r="AB123" s="2822">
        <f t="shared" ref="AB123:AG123" si="17">IF(OR(AB121="",AB121="N/A"),IF(dpIncome_RentUnitDisplay="Annual",AB122,AB122/12),IF(dpIncome_RentUnitDisplay="Annual",AB121,AB121/12))</f>
        <v>0</v>
      </c>
      <c r="AC123" s="2822">
        <f t="shared" si="17"/>
        <v>0</v>
      </c>
      <c r="AD123" s="2822">
        <f t="shared" si="17"/>
        <v>0</v>
      </c>
      <c r="AE123" s="2822">
        <f t="shared" si="17"/>
        <v>0</v>
      </c>
      <c r="AF123" s="2822">
        <f t="shared" si="17"/>
        <v>0</v>
      </c>
      <c r="AG123" s="1055">
        <f t="shared" si="17"/>
        <v>0</v>
      </c>
      <c r="AH123" s="433"/>
      <c r="AI123" s="74"/>
    </row>
    <row r="124" spans="1:35" hidden="1" x14ac:dyDescent="0.25">
      <c r="A124" s="972">
        <f>IF(RentAdjustmentGrid="Buckets",1,0)</f>
        <v>0</v>
      </c>
      <c r="Y124" s="174"/>
      <c r="Z124" s="18"/>
      <c r="AA124" s="431" t="s">
        <v>742</v>
      </c>
      <c r="AB124" s="2824"/>
      <c r="AC124" s="2824"/>
      <c r="AD124" s="2824"/>
      <c r="AE124" s="2824"/>
      <c r="AF124" s="2824"/>
      <c r="AG124" s="1043"/>
      <c r="AH124" s="233"/>
      <c r="AI124" s="74"/>
    </row>
    <row r="125" spans="1:35" hidden="1" x14ac:dyDescent="0.25">
      <c r="A125" s="972">
        <f>IF(RentAdjustmentGrid="Buckets",1,0)</f>
        <v>0</v>
      </c>
      <c r="Y125" s="174"/>
      <c r="Z125" s="18"/>
      <c r="AA125" s="431" t="s">
        <v>1072</v>
      </c>
      <c r="AB125" s="2824"/>
      <c r="AC125" s="2824"/>
      <c r="AD125" s="2824"/>
      <c r="AE125" s="2824"/>
      <c r="AF125" s="2824"/>
      <c r="AG125" s="1043"/>
      <c r="AH125" s="233"/>
      <c r="AI125" s="74"/>
    </row>
    <row r="126" spans="1:35" hidden="1" x14ac:dyDescent="0.25">
      <c r="A126" s="972">
        <v>0</v>
      </c>
      <c r="Y126" s="174"/>
      <c r="Z126" s="18"/>
      <c r="AA126" s="431"/>
      <c r="AB126" s="2825"/>
      <c r="AC126" s="2825"/>
      <c r="AD126" s="2825"/>
      <c r="AE126" s="2825"/>
      <c r="AF126" s="2825"/>
      <c r="AG126" s="1057"/>
      <c r="AH126" s="436"/>
      <c r="AI126" s="74"/>
    </row>
    <row r="127" spans="1:35" hidden="1" x14ac:dyDescent="0.25">
      <c r="A127" s="972">
        <f t="shared" ref="A127:A132" si="18">IF(RentAdjustmentGrid="Buckets",1,0)</f>
        <v>0</v>
      </c>
      <c r="Y127" s="174"/>
      <c r="Z127" s="18"/>
      <c r="AA127" s="431" t="s">
        <v>293</v>
      </c>
      <c r="AB127" s="2826">
        <f t="shared" ref="AB127:AG127" si="19">AB126/12</f>
        <v>0</v>
      </c>
      <c r="AC127" s="2826">
        <f t="shared" si="19"/>
        <v>0</v>
      </c>
      <c r="AD127" s="2826">
        <f t="shared" si="19"/>
        <v>0</v>
      </c>
      <c r="AE127" s="2826">
        <f t="shared" si="19"/>
        <v>0</v>
      </c>
      <c r="AF127" s="2826">
        <f t="shared" si="19"/>
        <v>0</v>
      </c>
      <c r="AG127" s="1058">
        <f t="shared" si="19"/>
        <v>0</v>
      </c>
      <c r="AH127" s="435"/>
      <c r="AI127" s="74"/>
    </row>
    <row r="128" spans="1:35" hidden="1" x14ac:dyDescent="0.25">
      <c r="A128" s="972">
        <f t="shared" si="18"/>
        <v>0</v>
      </c>
      <c r="Y128" s="174"/>
      <c r="Z128" s="18"/>
      <c r="AA128" s="431" t="s">
        <v>739</v>
      </c>
      <c r="AB128" s="2820"/>
      <c r="AC128" s="2820"/>
      <c r="AD128" s="2820"/>
      <c r="AE128" s="2810"/>
      <c r="AF128" s="2810"/>
      <c r="AG128" s="1013"/>
      <c r="AH128" s="313"/>
      <c r="AI128" s="74"/>
    </row>
    <row r="129" spans="1:35" hidden="1" x14ac:dyDescent="0.25">
      <c r="A129" s="972">
        <f t="shared" si="18"/>
        <v>0</v>
      </c>
      <c r="Y129" s="174"/>
      <c r="Z129" s="18"/>
      <c r="AA129" s="431" t="s">
        <v>498</v>
      </c>
      <c r="AB129" s="2824"/>
      <c r="AC129" s="2824"/>
      <c r="AD129" s="2824"/>
      <c r="AE129" s="2824"/>
      <c r="AF129" s="2824"/>
      <c r="AG129" s="1043"/>
      <c r="AH129" s="233"/>
      <c r="AI129" s="74"/>
    </row>
    <row r="130" spans="1:35" hidden="1" x14ac:dyDescent="0.25">
      <c r="A130" s="972">
        <f t="shared" si="18"/>
        <v>0</v>
      </c>
      <c r="Y130" s="174"/>
      <c r="Z130" s="18"/>
      <c r="AA130" s="431" t="s">
        <v>740</v>
      </c>
      <c r="AB130" s="2833"/>
      <c r="AC130" s="2833"/>
      <c r="AD130" s="2833"/>
      <c r="AE130" s="2833"/>
      <c r="AF130" s="2833"/>
      <c r="AG130" s="805"/>
      <c r="AH130" s="433"/>
      <c r="AI130" s="74"/>
    </row>
    <row r="131" spans="1:35" hidden="1" x14ac:dyDescent="0.25">
      <c r="A131" s="972">
        <f t="shared" si="18"/>
        <v>0</v>
      </c>
      <c r="Y131" s="174"/>
      <c r="Z131" s="18"/>
      <c r="AA131" s="431" t="s">
        <v>741</v>
      </c>
      <c r="AB131" s="2821"/>
      <c r="AC131" s="2821"/>
      <c r="AD131" s="2821"/>
      <c r="AE131" s="2817"/>
      <c r="AF131" s="2817"/>
      <c r="AG131" s="1029"/>
      <c r="AH131" s="429"/>
      <c r="AI131" s="74"/>
    </row>
    <row r="132" spans="1:35" ht="15" hidden="1" thickBot="1" x14ac:dyDescent="0.3">
      <c r="A132" s="972">
        <f t="shared" si="18"/>
        <v>0</v>
      </c>
      <c r="Y132" s="174"/>
      <c r="Z132" s="18"/>
      <c r="AA132" s="431" t="s">
        <v>749</v>
      </c>
      <c r="AB132" s="2827"/>
      <c r="AC132" s="2827"/>
      <c r="AD132" s="2827"/>
      <c r="AE132" s="2828"/>
      <c r="AF132" s="2828"/>
      <c r="AG132" s="1059"/>
      <c r="AH132" s="324"/>
      <c r="AI132" s="74"/>
    </row>
    <row r="133" spans="1:35" x14ac:dyDescent="0.25">
      <c r="A133" s="707"/>
      <c r="Y133" s="174"/>
      <c r="Z133" s="18"/>
      <c r="AA133" s="710" t="s">
        <v>1447</v>
      </c>
      <c r="AB133" s="2829"/>
      <c r="AC133" s="2829"/>
      <c r="AD133" s="2829"/>
      <c r="AE133" s="2829"/>
      <c r="AF133" s="2829"/>
      <c r="AG133" s="1038"/>
      <c r="AH133" s="18"/>
      <c r="AI133" s="74"/>
    </row>
    <row r="134" spans="1:35" x14ac:dyDescent="0.25">
      <c r="A134" s="707"/>
      <c r="AG134" s="37"/>
    </row>
  </sheetData>
  <printOptions horizontalCentered="1"/>
  <pageMargins left="0.5" right="0.5" top="0.75" bottom="0.75" header="0.3" footer="0.3"/>
  <pageSetup orientation="landscape" r:id="rId1"/>
  <drawing r:id="rId2"/>
  <legacyDrawing r:id="rId3"/>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59">
    <tabColor theme="5" tint="-0.249977111117893"/>
    <pageSetUpPr fitToPage="1"/>
  </sheetPr>
  <dimension ref="A1:BC168"/>
  <sheetViews>
    <sheetView zoomScaleNormal="100" workbookViewId="0">
      <selection activeCell="A129" sqref="A129:A167"/>
    </sheetView>
  </sheetViews>
  <sheetFormatPr defaultColWidth="9.140625" defaultRowHeight="14.25" x14ac:dyDescent="0.25"/>
  <cols>
    <col min="1" max="1" width="5.7109375" style="96" customWidth="1"/>
    <col min="2" max="2" width="1.7109375" style="10" customWidth="1"/>
    <col min="3" max="3" width="0.85546875" style="10" customWidth="1"/>
    <col min="4" max="4" width="5.7109375" style="10" customWidth="1"/>
    <col min="5" max="6" width="15.7109375" style="10" customWidth="1"/>
    <col min="7" max="7" width="9.7109375" style="10" customWidth="1"/>
    <col min="8" max="8" width="15.7109375" style="10" customWidth="1"/>
    <col min="9" max="9" width="13.7109375" style="10" customWidth="1"/>
    <col min="10" max="10" width="0.85546875" style="10" customWidth="1"/>
    <col min="11" max="11" width="7.7109375" style="10" customWidth="1"/>
    <col min="12" max="12" width="8.7109375" style="10" customWidth="1"/>
    <col min="13" max="13" width="0.85546875" style="10" customWidth="1"/>
    <col min="14" max="14" width="7.7109375" style="10" customWidth="1"/>
    <col min="15" max="15" width="2.28515625" style="10" customWidth="1"/>
    <col min="16" max="16" width="7.7109375" style="10" customWidth="1"/>
    <col min="17" max="17" width="0.85546875" style="10" customWidth="1"/>
    <col min="18" max="19" width="1.7109375" style="10" customWidth="1"/>
    <col min="20" max="23" width="10.7109375" style="10" customWidth="1"/>
    <col min="24" max="55" width="8.7109375" style="10" customWidth="1"/>
    <col min="56" max="16384" width="9.140625" style="10"/>
  </cols>
  <sheetData>
    <row r="1" spans="1:55" ht="60" customHeight="1" x14ac:dyDescent="0.25"/>
    <row r="2" spans="1:55" ht="15" customHeight="1" thickBot="1" x14ac:dyDescent="0.3"/>
    <row r="3" spans="1:55" ht="15" customHeight="1" x14ac:dyDescent="0.25">
      <c r="A3" s="957">
        <f t="shared" ref="A3:A8" si="0">IF(RentAdjustmentGrid="Single",1,0)</f>
        <v>1</v>
      </c>
      <c r="K3" s="751" t="str">
        <f>IF(dpIncome_RentAdjustment_4="Construction Quality","Construction Class Adjustment","Investment Grade Adjustment")</f>
        <v>Construction Class Adjustment</v>
      </c>
      <c r="L3" s="2115">
        <v>0.05</v>
      </c>
      <c r="N3" s="11" t="s">
        <v>1856</v>
      </c>
    </row>
    <row r="4" spans="1:55" ht="15" customHeight="1" thickBot="1" x14ac:dyDescent="0.3">
      <c r="A4" s="957">
        <f t="shared" si="0"/>
        <v>1</v>
      </c>
      <c r="K4" s="1529" t="s">
        <v>1808</v>
      </c>
      <c r="L4" s="2116">
        <v>0.1</v>
      </c>
      <c r="N4" s="2199" t="s">
        <v>1856</v>
      </c>
    </row>
    <row r="5" spans="1:55" ht="15" customHeight="1" x14ac:dyDescent="0.3">
      <c r="A5" s="957">
        <f t="shared" si="0"/>
        <v>1</v>
      </c>
      <c r="B5" s="561"/>
      <c r="C5" s="562"/>
      <c r="D5" s="562"/>
      <c r="E5" s="562"/>
      <c r="F5" s="562"/>
      <c r="G5" s="562"/>
      <c r="H5" s="562"/>
      <c r="I5" s="562"/>
      <c r="J5" s="562"/>
      <c r="K5" s="562"/>
      <c r="L5" s="562"/>
      <c r="M5" s="562"/>
      <c r="N5" s="562"/>
      <c r="O5" s="562"/>
      <c r="P5" s="562"/>
      <c r="Q5" s="2"/>
      <c r="R5" s="3"/>
      <c r="S5" s="129"/>
      <c r="T5" s="129"/>
      <c r="U5" s="129"/>
      <c r="V5" s="129"/>
      <c r="W5" s="129"/>
      <c r="X5" s="129"/>
      <c r="Y5" s="129"/>
      <c r="Z5" s="129"/>
      <c r="AA5" s="129"/>
      <c r="AB5" s="129"/>
      <c r="AC5" s="129"/>
      <c r="AD5" s="129"/>
      <c r="AH5" s="143"/>
      <c r="AI5" s="32"/>
      <c r="AJ5" s="32"/>
      <c r="AK5" s="32"/>
      <c r="AL5" s="32"/>
      <c r="AM5" s="32"/>
      <c r="AN5" s="32"/>
      <c r="AO5" s="32"/>
      <c r="AP5" s="32"/>
      <c r="AQ5" s="32"/>
      <c r="AR5" s="32"/>
      <c r="AS5" s="32"/>
      <c r="AT5" s="32"/>
      <c r="AU5" s="32"/>
      <c r="AV5" s="32"/>
      <c r="AW5" s="32"/>
      <c r="AX5" s="32"/>
      <c r="AY5" s="32"/>
      <c r="AZ5" s="32"/>
      <c r="BA5" s="32"/>
      <c r="BB5" s="32"/>
      <c r="BC5" s="32"/>
    </row>
    <row r="6" spans="1:55" ht="15.95" customHeight="1" x14ac:dyDescent="0.3">
      <c r="A6" s="957">
        <f t="shared" si="0"/>
        <v>1</v>
      </c>
      <c r="B6" s="563"/>
      <c r="C6" s="582"/>
      <c r="D6" s="246" t="s">
        <v>1805</v>
      </c>
      <c r="E6" s="246"/>
      <c r="F6" s="246"/>
      <c r="G6" s="582"/>
      <c r="H6" s="582"/>
      <c r="I6" s="582"/>
      <c r="J6" s="582"/>
      <c r="K6" s="582"/>
      <c r="L6" s="582"/>
      <c r="M6" s="582"/>
      <c r="N6" s="582"/>
      <c r="O6" s="582"/>
      <c r="P6" s="582"/>
      <c r="Q6" s="5"/>
      <c r="R6" s="6"/>
      <c r="S6" s="129"/>
      <c r="T6" s="129"/>
      <c r="U6" s="129"/>
      <c r="V6" s="129"/>
      <c r="W6" s="129"/>
      <c r="X6" s="129"/>
      <c r="Y6" s="129"/>
      <c r="Z6" s="129"/>
      <c r="AA6" s="129"/>
      <c r="AB6" s="129"/>
      <c r="AC6" s="129"/>
      <c r="AD6" s="129"/>
      <c r="AE6" s="337"/>
      <c r="AF6" s="337"/>
      <c r="AG6" s="337"/>
      <c r="AH6" s="337"/>
      <c r="AI6" s="337"/>
      <c r="AJ6" s="337"/>
      <c r="AK6" s="337"/>
      <c r="AL6" s="337"/>
      <c r="AM6" s="337"/>
      <c r="AN6" s="337"/>
      <c r="AO6" s="337"/>
      <c r="AP6" s="32"/>
      <c r="AQ6" s="32"/>
      <c r="AR6" s="32"/>
      <c r="AS6" s="32"/>
      <c r="AT6" s="32"/>
      <c r="AU6" s="32"/>
      <c r="AV6" s="32"/>
      <c r="AW6" s="32"/>
      <c r="AX6" s="32"/>
      <c r="AY6" s="32"/>
      <c r="AZ6" s="32"/>
      <c r="BA6" s="32"/>
      <c r="BB6" s="32"/>
      <c r="BC6" s="32"/>
    </row>
    <row r="7" spans="1:55" ht="15.95" customHeight="1" x14ac:dyDescent="0.3">
      <c r="A7" s="957">
        <f t="shared" si="0"/>
        <v>1</v>
      </c>
      <c r="B7" s="563"/>
      <c r="C7" s="12"/>
      <c r="D7" s="12"/>
      <c r="E7" s="12"/>
      <c r="F7" s="4093" t="str">
        <f>IF(dpIncome_RentAdjustment_4="Construction Quality","Construction Class","Investment Grade")</f>
        <v>Construction Class</v>
      </c>
      <c r="G7" s="12"/>
      <c r="H7" s="12"/>
      <c r="I7" s="12"/>
      <c r="J7" s="12"/>
      <c r="K7" s="12"/>
      <c r="L7" s="4088" t="s">
        <v>1800</v>
      </c>
      <c r="M7" s="4088"/>
      <c r="N7" s="4088"/>
      <c r="O7" s="4088"/>
      <c r="P7" s="4088"/>
      <c r="R7" s="6"/>
      <c r="S7" s="707"/>
      <c r="T7" s="2088"/>
      <c r="U7" s="4189" t="s">
        <v>1803</v>
      </c>
      <c r="V7" s="4189" t="s">
        <v>1804</v>
      </c>
      <c r="W7" s="2088"/>
      <c r="X7" s="2088"/>
      <c r="Y7" s="2088"/>
      <c r="Z7" s="2088"/>
      <c r="AA7" s="2088"/>
      <c r="AB7" s="2088"/>
      <c r="AC7" s="2088"/>
      <c r="AD7" s="2088"/>
      <c r="AE7" s="2088"/>
      <c r="AF7" s="2088"/>
      <c r="AG7" s="2088"/>
      <c r="AH7" s="2088"/>
      <c r="AI7" s="2088"/>
      <c r="AJ7" s="2088"/>
      <c r="AK7" s="2088"/>
      <c r="AL7" s="2088"/>
      <c r="AM7" s="2088"/>
      <c r="AN7" s="2088"/>
      <c r="AO7" s="2088"/>
      <c r="AP7" s="2088"/>
      <c r="AQ7" s="2088"/>
      <c r="AR7" s="2088"/>
      <c r="AS7" s="150" t="s">
        <v>116</v>
      </c>
      <c r="AT7" s="150" t="s">
        <v>1813</v>
      </c>
      <c r="AU7" s="150" t="s">
        <v>1814</v>
      </c>
      <c r="AV7" s="150" t="s">
        <v>1815</v>
      </c>
      <c r="AW7" s="150" t="s">
        <v>1816</v>
      </c>
      <c r="AX7" s="150" t="s">
        <v>1817</v>
      </c>
      <c r="AY7" s="150" t="s">
        <v>1818</v>
      </c>
      <c r="AZ7" s="150" t="s">
        <v>1819</v>
      </c>
      <c r="BA7" s="150" t="s">
        <v>1820</v>
      </c>
      <c r="BB7" s="150" t="s">
        <v>1821</v>
      </c>
      <c r="BC7" s="150" t="s">
        <v>1822</v>
      </c>
    </row>
    <row r="8" spans="1:55" ht="15.95" customHeight="1" thickBot="1" x14ac:dyDescent="0.3">
      <c r="A8" s="957">
        <f t="shared" si="0"/>
        <v>1</v>
      </c>
      <c r="B8" s="563"/>
      <c r="C8" s="165"/>
      <c r="D8" s="4192" t="s">
        <v>105</v>
      </c>
      <c r="E8" s="4192"/>
      <c r="F8" s="4093"/>
      <c r="G8" s="165" t="s">
        <v>1453</v>
      </c>
      <c r="H8" s="4192" t="s">
        <v>1801</v>
      </c>
      <c r="I8" s="4192"/>
      <c r="J8" s="4192"/>
      <c r="K8" s="4192"/>
      <c r="L8" s="165" t="str">
        <f>IF(dpIncome_RentAdjustment_4="Construction Quality","Class","Grade")</f>
        <v>Class</v>
      </c>
      <c r="M8" s="4272" t="s">
        <v>1453</v>
      </c>
      <c r="N8" s="4272"/>
      <c r="P8" s="4272" t="s">
        <v>93</v>
      </c>
      <c r="Q8" s="4272"/>
      <c r="R8" s="6"/>
      <c r="S8" s="707"/>
      <c r="T8" s="2097" t="s">
        <v>1802</v>
      </c>
      <c r="U8" s="4269"/>
      <c r="V8" s="4269"/>
      <c r="W8" s="2097" t="s">
        <v>116</v>
      </c>
      <c r="X8" s="2097">
        <v>1</v>
      </c>
      <c r="Y8" s="2097">
        <f>X8+1</f>
        <v>2</v>
      </c>
      <c r="Z8" s="2097">
        <f t="shared" ref="Z8:AG8" si="1">Y8+1</f>
        <v>3</v>
      </c>
      <c r="AA8" s="2097">
        <f t="shared" si="1"/>
        <v>4</v>
      </c>
      <c r="AB8" s="2097">
        <f t="shared" si="1"/>
        <v>5</v>
      </c>
      <c r="AC8" s="2097">
        <f t="shared" si="1"/>
        <v>6</v>
      </c>
      <c r="AD8" s="2097">
        <f t="shared" si="1"/>
        <v>7</v>
      </c>
      <c r="AE8" s="2097">
        <f t="shared" si="1"/>
        <v>8</v>
      </c>
      <c r="AF8" s="2097">
        <f t="shared" si="1"/>
        <v>9</v>
      </c>
      <c r="AG8" s="2097">
        <f t="shared" si="1"/>
        <v>10</v>
      </c>
      <c r="AH8" s="2097" t="s">
        <v>116</v>
      </c>
      <c r="AI8" s="2097">
        <v>1</v>
      </c>
      <c r="AJ8" s="2097">
        <f>AI8+1</f>
        <v>2</v>
      </c>
      <c r="AK8" s="2097">
        <f t="shared" ref="AK8:AR8" si="2">AJ8+1</f>
        <v>3</v>
      </c>
      <c r="AL8" s="2097">
        <f t="shared" si="2"/>
        <v>4</v>
      </c>
      <c r="AM8" s="2097">
        <f t="shared" si="2"/>
        <v>5</v>
      </c>
      <c r="AN8" s="2097">
        <f t="shared" si="2"/>
        <v>6</v>
      </c>
      <c r="AO8" s="2097">
        <f t="shared" si="2"/>
        <v>7</v>
      </c>
      <c r="AP8" s="2097">
        <f t="shared" si="2"/>
        <v>8</v>
      </c>
      <c r="AQ8" s="2097">
        <f t="shared" si="2"/>
        <v>9</v>
      </c>
      <c r="AR8" s="2097">
        <f t="shared" si="2"/>
        <v>10</v>
      </c>
      <c r="AS8" s="2097" t="s">
        <v>116</v>
      </c>
      <c r="AT8" s="2097">
        <f t="shared" ref="AT8:BC8" si="3">X8</f>
        <v>1</v>
      </c>
      <c r="AU8" s="2097">
        <f t="shared" si="3"/>
        <v>2</v>
      </c>
      <c r="AV8" s="2097">
        <f t="shared" si="3"/>
        <v>3</v>
      </c>
      <c r="AW8" s="2097">
        <f t="shared" si="3"/>
        <v>4</v>
      </c>
      <c r="AX8" s="2097">
        <f t="shared" si="3"/>
        <v>5</v>
      </c>
      <c r="AY8" s="2097">
        <f t="shared" si="3"/>
        <v>6</v>
      </c>
      <c r="AZ8" s="2097">
        <f t="shared" si="3"/>
        <v>7</v>
      </c>
      <c r="BA8" s="2097">
        <f t="shared" si="3"/>
        <v>8</v>
      </c>
      <c r="BB8" s="2097">
        <f t="shared" si="3"/>
        <v>9</v>
      </c>
      <c r="BC8" s="2097">
        <f t="shared" si="3"/>
        <v>10</v>
      </c>
    </row>
    <row r="9" spans="1:55" ht="69.95" hidden="1" customHeight="1" x14ac:dyDescent="0.25">
      <c r="A9" s="972">
        <f t="shared" ref="A9:A43" si="4">IF(RentAdjustmentGrid="Single",IF(D9="",0,1),0)</f>
        <v>0</v>
      </c>
      <c r="B9" s="4"/>
      <c r="C9" s="258"/>
      <c r="D9" s="4254" t="str">
        <f>CONCATENATE(AS9,AT9,AU9,AV9,AW9,AX9,AY9,AZ9,BA9,BB9,BC9)</f>
        <v/>
      </c>
      <c r="E9" s="4254"/>
      <c r="F9" s="3491" t="str">
        <f>IF(dpIncome_RentAdjustment_4="Construction Quality","A - Structural Steel","A")</f>
        <v>A - Structural Steel</v>
      </c>
      <c r="G9" s="4275" t="s">
        <v>1462</v>
      </c>
      <c r="H9" s="4270" t="s">
        <v>1810</v>
      </c>
      <c r="I9" s="4270"/>
      <c r="J9" s="4270"/>
      <c r="K9" s="4270"/>
      <c r="L9" s="3492" t="str">
        <f t="shared" ref="L9:L43" si="5">IFERROR(dpIncome_Rent_Quality_ClassAdj*U9,"")</f>
        <v/>
      </c>
      <c r="M9" s="4261">
        <f>dpIncome_Rent_Quality_RatingAdj*V9</f>
        <v>-0.70000000000000007</v>
      </c>
      <c r="N9" s="4261"/>
      <c r="O9" s="4263" t="s">
        <v>177</v>
      </c>
      <c r="P9" s="3493" t="str">
        <f>IFERROR(L9+M9,"")</f>
        <v/>
      </c>
      <c r="Q9" s="3494"/>
      <c r="R9" s="6"/>
      <c r="T9" s="2100">
        <f t="shared" ref="T9:T43" si="6">IF(dpIncome_RentAdjustment_4="Construction Quality",IF(F9=Subject_ConstructionClass,1,0),IF(F9=Subject_InvestmentClass,1,0))</f>
        <v>0</v>
      </c>
      <c r="U9" s="707" t="str">
        <f>IF(SUM($T$9:$T$43)=0,"",IF(T9=1,0,IF(SUM(T$9:T9)=0,U10-1,U8+1)))</f>
        <v/>
      </c>
      <c r="V9" s="707">
        <f>IF(SUM(W9:W13)=1,0,IF(SUM(W$9:W9)=0,V14-1,V4+1))</f>
        <v>-7</v>
      </c>
      <c r="W9" s="707">
        <f>IF(dpIncome_RentAdjustment_4="Construction Quality",IF(AND(F9=Subject_ConstructionClass,G$9=Subject_ConstructionQuality),1,0),IF(AND(F9=Subject_InvestmentClass,G$9=Subject_ConstructionQuality),1,0))</f>
        <v>0</v>
      </c>
      <c r="X9" s="707">
        <f>IF(dpIncome_RentAdjustment_4="Construction Quality",IF(OR(ISERROR(HLOOKUP(X$8,'Rent Adjustments'!$G$8:$ZO$142,74,FALSE)),ISERROR(HLOOKUP(X$8,'Rent Adjustments'!$G$8:$ZO$142,75,FALSE))),0,IF(HLOOKUP(X$8,'Rent Adjustments'!$G$8:$ZO$142,74,FALSE)="",0,IF(AND($G9=HLOOKUP(X$8,'Rent Adjustments'!$G$8:$ZO$142,74,FALSE),$F9=HLOOKUP(X$8,'Rent Adjustments'!$G$8:$ZO$142,75,FALSE)),1,0))),IF(OR(ISERROR(HLOOKUP(X$8,'Rent Adjustments'!$G$8:$ZO$142,74,FALSE)),ISERROR(HLOOKUP(X$8,'Rent Adjustments'!$G$8:$ZO$142,76,FALSE))),0,IF(HLOOKUP(X$8,'Rent Adjustments'!$G$8:$ZO$142,74,FALSE)="",0,IF(AND($G9=HLOOKUP(X$8,'Rent Adjustments'!$G$8:$ZO$142,74,FALSE),$F9=HLOOKUP(X$8,'Rent Adjustments'!$G$8:$ZO$142,76,FALSE)),1,0))))</f>
        <v>0</v>
      </c>
      <c r="Y9" s="707">
        <f>IF(dpIncome_RentAdjustment_4="Construction Quality",IF(OR(ISERROR(HLOOKUP(Y$8,'Rent Adjustments'!$G$8:$ZO$142,74,FALSE)),ISERROR(HLOOKUP(Y$8,'Rent Adjustments'!$G$8:$ZO$142,75,FALSE))),0,IF(HLOOKUP(Y$8,'Rent Adjustments'!$G$8:$ZO$142,74,FALSE)="",0,IF(AND($G9=HLOOKUP(Y$8,'Rent Adjustments'!$G$8:$ZO$142,74,FALSE),$F9=HLOOKUP(Y$8,'Rent Adjustments'!$G$8:$ZO$142,75,FALSE)),1,0))),IF(OR(ISERROR(HLOOKUP(Y$8,'Rent Adjustments'!$G$8:$ZO$142,74,FALSE)),ISERROR(HLOOKUP(Y$8,'Rent Adjustments'!$G$8:$ZO$142,76,FALSE))),0,IF(HLOOKUP(Y$8,'Rent Adjustments'!$G$8:$ZO$142,74,FALSE)="",0,IF(AND($G9=HLOOKUP(Y$8,'Rent Adjustments'!$G$8:$ZO$142,74,FALSE),$F9=HLOOKUP(Y$8,'Rent Adjustments'!$G$8:$ZO$142,76,FALSE)),1,0))))</f>
        <v>0</v>
      </c>
      <c r="Z9" s="707">
        <f>IF(dpIncome_RentAdjustment_4="Construction Quality",IF(OR(ISERROR(HLOOKUP(Z$8,'Rent Adjustments'!$G$8:$ZO$142,74,FALSE)),ISERROR(HLOOKUP(Z$8,'Rent Adjustments'!$G$8:$ZO$142,75,FALSE))),0,IF(HLOOKUP(Z$8,'Rent Adjustments'!$G$8:$ZO$142,74,FALSE)="",0,IF(AND($G9=HLOOKUP(Z$8,'Rent Adjustments'!$G$8:$ZO$142,74,FALSE),$F9=HLOOKUP(Z$8,'Rent Adjustments'!$G$8:$ZO$142,75,FALSE)),1,0))),IF(OR(ISERROR(HLOOKUP(Z$8,'Rent Adjustments'!$G$8:$ZO$142,74,FALSE)),ISERROR(HLOOKUP(Z$8,'Rent Adjustments'!$G$8:$ZO$142,76,FALSE))),0,IF(HLOOKUP(Z$8,'Rent Adjustments'!$G$8:$ZO$142,74,FALSE)="",0,IF(AND($G9=HLOOKUP(Z$8,'Rent Adjustments'!$G$8:$ZO$142,74,FALSE),$F9=HLOOKUP(Z$8,'Rent Adjustments'!$G$8:$ZO$142,76,FALSE)),1,0))))</f>
        <v>0</v>
      </c>
      <c r="AA9" s="707">
        <f>IF(dpIncome_RentAdjustment_4="Construction Quality",IF(OR(ISERROR(HLOOKUP(AA$8,'Rent Adjustments'!$G$8:$ZO$142,74,FALSE)),ISERROR(HLOOKUP(AA$8,'Rent Adjustments'!$G$8:$ZO$142,75,FALSE))),0,IF(HLOOKUP(AA$8,'Rent Adjustments'!$G$8:$ZO$142,74,FALSE)="",0,IF(AND($G9=HLOOKUP(AA$8,'Rent Adjustments'!$G$8:$ZO$142,74,FALSE),$F9=HLOOKUP(AA$8,'Rent Adjustments'!$G$8:$ZO$142,75,FALSE)),1,0))),IF(OR(ISERROR(HLOOKUP(AA$8,'Rent Adjustments'!$G$8:$ZO$142,74,FALSE)),ISERROR(HLOOKUP(AA$8,'Rent Adjustments'!$G$8:$ZO$142,76,FALSE))),0,IF(HLOOKUP(AA$8,'Rent Adjustments'!$G$8:$ZO$142,74,FALSE)="",0,IF(AND($G9=HLOOKUP(AA$8,'Rent Adjustments'!$G$8:$ZO$142,74,FALSE),$F9=HLOOKUP(AA$8,'Rent Adjustments'!$G$8:$ZO$142,76,FALSE)),1,0))))</f>
        <v>0</v>
      </c>
      <c r="AB9" s="707">
        <f>IF(dpIncome_RentAdjustment_4="Construction Quality",IF(OR(ISERROR(HLOOKUP(AB$8,'Rent Adjustments'!$G$8:$ZO$142,74,FALSE)),ISERROR(HLOOKUP(AB$8,'Rent Adjustments'!$G$8:$ZO$142,75,FALSE))),0,IF(HLOOKUP(AB$8,'Rent Adjustments'!$G$8:$ZO$142,74,FALSE)="",0,IF(AND($G9=HLOOKUP(AB$8,'Rent Adjustments'!$G$8:$ZO$142,74,FALSE),$F9=HLOOKUP(AB$8,'Rent Adjustments'!$G$8:$ZO$142,75,FALSE)),1,0))),IF(OR(ISERROR(HLOOKUP(AB$8,'Rent Adjustments'!$G$8:$ZO$142,74,FALSE)),ISERROR(HLOOKUP(AB$8,'Rent Adjustments'!$G$8:$ZO$142,76,FALSE))),0,IF(HLOOKUP(AB$8,'Rent Adjustments'!$G$8:$ZO$142,74,FALSE)="",0,IF(AND($G9=HLOOKUP(AB$8,'Rent Adjustments'!$G$8:$ZO$142,74,FALSE),$F9=HLOOKUP(AB$8,'Rent Adjustments'!$G$8:$ZO$142,76,FALSE)),1,0))))</f>
        <v>0</v>
      </c>
      <c r="AC9" s="707">
        <f>IF(dpIncome_RentAdjustment_4="Construction Quality",IF(OR(ISERROR(HLOOKUP(AC$8,'Rent Adjustments'!$G$8:$ZO$142,74,FALSE)),ISERROR(HLOOKUP(AC$8,'Rent Adjustments'!$G$8:$ZO$142,75,FALSE))),0,IF(HLOOKUP(AC$8,'Rent Adjustments'!$G$8:$ZO$142,74,FALSE)="",0,IF(AND($G9=HLOOKUP(AC$8,'Rent Adjustments'!$G$8:$ZO$142,74,FALSE),$F9=HLOOKUP(AC$8,'Rent Adjustments'!$G$8:$ZO$142,75,FALSE)),1,0))),IF(OR(ISERROR(HLOOKUP(AC$8,'Rent Adjustments'!$G$8:$ZO$142,74,FALSE)),ISERROR(HLOOKUP(AC$8,'Rent Adjustments'!$G$8:$ZO$142,76,FALSE))),0,IF(HLOOKUP(AC$8,'Rent Adjustments'!$G$8:$ZO$142,74,FALSE)="",0,IF(AND($G9=HLOOKUP(AC$8,'Rent Adjustments'!$G$8:$ZO$142,74,FALSE),$F9=HLOOKUP(AC$8,'Rent Adjustments'!$G$8:$ZO$142,76,FALSE)),1,0))))</f>
        <v>0</v>
      </c>
      <c r="AD9" s="707">
        <f>IF(dpIncome_RentAdjustment_4="Construction Quality",IF(OR(ISERROR(HLOOKUP(AD$8,'Rent Adjustments'!$G$8:$ZO$142,74,FALSE)),ISERROR(HLOOKUP(AD$8,'Rent Adjustments'!$G$8:$ZO$142,75,FALSE))),0,IF(HLOOKUP(AD$8,'Rent Adjustments'!$G$8:$ZO$142,74,FALSE)="",0,IF(AND($G9=HLOOKUP(AD$8,'Rent Adjustments'!$G$8:$ZO$142,74,FALSE),$F9=HLOOKUP(AD$8,'Rent Adjustments'!$G$8:$ZO$142,75,FALSE)),1,0))),IF(OR(ISERROR(HLOOKUP(AD$8,'Rent Adjustments'!$G$8:$ZO$142,74,FALSE)),ISERROR(HLOOKUP(AD$8,'Rent Adjustments'!$G$8:$ZO$142,76,FALSE))),0,IF(HLOOKUP(AD$8,'Rent Adjustments'!$G$8:$ZO$142,74,FALSE)="",0,IF(AND($G9=HLOOKUP(AD$8,'Rent Adjustments'!$G$8:$ZO$142,74,FALSE),$F9=HLOOKUP(AD$8,'Rent Adjustments'!$G$8:$ZO$142,76,FALSE)),1,0))))</f>
        <v>0</v>
      </c>
      <c r="AE9" s="707">
        <f>IF(dpIncome_RentAdjustment_4="Construction Quality",IF(OR(ISERROR(HLOOKUP(AE$8,'Rent Adjustments'!$G$8:$ZO$142,74,FALSE)),ISERROR(HLOOKUP(AE$8,'Rent Adjustments'!$G$8:$ZO$142,75,FALSE))),0,IF(HLOOKUP(AE$8,'Rent Adjustments'!$G$8:$ZO$142,74,FALSE)="",0,IF(AND($G9=HLOOKUP(AE$8,'Rent Adjustments'!$G$8:$ZO$142,74,FALSE),$F9=HLOOKUP(AE$8,'Rent Adjustments'!$G$8:$ZO$142,75,FALSE)),1,0))),IF(OR(ISERROR(HLOOKUP(AE$8,'Rent Adjustments'!$G$8:$ZO$142,74,FALSE)),ISERROR(HLOOKUP(AE$8,'Rent Adjustments'!$G$8:$ZO$142,76,FALSE))),0,IF(HLOOKUP(AE$8,'Rent Adjustments'!$G$8:$ZO$142,74,FALSE)="",0,IF(AND($G9=HLOOKUP(AE$8,'Rent Adjustments'!$G$8:$ZO$142,74,FALSE),$F9=HLOOKUP(AE$8,'Rent Adjustments'!$G$8:$ZO$142,76,FALSE)),1,0))))</f>
        <v>0</v>
      </c>
      <c r="AF9" s="707">
        <f>IF(dpIncome_RentAdjustment_4="Construction Quality",IF(OR(ISERROR(HLOOKUP(AF$8,'Rent Adjustments'!$G$8:$ZO$142,74,FALSE)),ISERROR(HLOOKUP(AF$8,'Rent Adjustments'!$G$8:$ZO$142,75,FALSE))),0,IF(HLOOKUP(AF$8,'Rent Adjustments'!$G$8:$ZO$142,74,FALSE)="",0,IF(AND($G9=HLOOKUP(AF$8,'Rent Adjustments'!$G$8:$ZO$142,74,FALSE),$F9=HLOOKUP(AF$8,'Rent Adjustments'!$G$8:$ZO$142,75,FALSE)),1,0))),IF(OR(ISERROR(HLOOKUP(AF$8,'Rent Adjustments'!$G$8:$ZO$142,74,FALSE)),ISERROR(HLOOKUP(AF$8,'Rent Adjustments'!$G$8:$ZO$142,76,FALSE))),0,IF(HLOOKUP(AF$8,'Rent Adjustments'!$G$8:$ZO$142,74,FALSE)="",0,IF(AND($G9=HLOOKUP(AF$8,'Rent Adjustments'!$G$8:$ZO$142,74,FALSE),$F9=HLOOKUP(AF$8,'Rent Adjustments'!$G$8:$ZO$142,76,FALSE)),1,0))))</f>
        <v>0</v>
      </c>
      <c r="AG9" s="707">
        <f>IF(dpIncome_RentAdjustment_4="Construction Quality",IF(OR(ISERROR(HLOOKUP(AG$8,'Rent Adjustments'!$G$8:$ZO$142,74,FALSE)),ISERROR(HLOOKUP(AG$8,'Rent Adjustments'!$G$8:$ZO$142,75,FALSE))),0,IF(HLOOKUP(AG$8,'Rent Adjustments'!$G$8:$ZO$142,74,FALSE)="",0,IF(AND($G9=HLOOKUP(AG$8,'Rent Adjustments'!$G$8:$ZO$142,74,FALSE),$F9=HLOOKUP(AG$8,'Rent Adjustments'!$G$8:$ZO$142,75,FALSE)),1,0))),IF(OR(ISERROR(HLOOKUP(AG$8,'Rent Adjustments'!$G$8:$ZO$142,74,FALSE)),ISERROR(HLOOKUP(AG$8,'Rent Adjustments'!$G$8:$ZO$142,76,FALSE))),0,IF(HLOOKUP(AG$8,'Rent Adjustments'!$G$8:$ZO$142,74,FALSE)="",0,IF(AND($G9=HLOOKUP(AG$8,'Rent Adjustments'!$G$8:$ZO$142,74,FALSE),$F9=HLOOKUP(AG$8,'Rent Adjustments'!$G$8:$ZO$142,76,FALSE)),1,0))))</f>
        <v>0</v>
      </c>
      <c r="AH9" s="707">
        <f>SUM(W9:$W9)</f>
        <v>0</v>
      </c>
      <c r="AI9" s="707">
        <f>SUM($W9:X9)</f>
        <v>0</v>
      </c>
      <c r="AJ9" s="707">
        <f>SUM($W9:Y9)</f>
        <v>0</v>
      </c>
      <c r="AK9" s="707">
        <f>SUM($W9:Z9)</f>
        <v>0</v>
      </c>
      <c r="AL9" s="707">
        <f>SUM($W9:AA9)</f>
        <v>0</v>
      </c>
      <c r="AM9" s="707">
        <f>SUM($W9:AB9)</f>
        <v>0</v>
      </c>
      <c r="AN9" s="707">
        <f>SUM($W9:AC9)</f>
        <v>0</v>
      </c>
      <c r="AO9" s="707">
        <f>SUM($W9:AD9)</f>
        <v>0</v>
      </c>
      <c r="AP9" s="707">
        <f>SUM($W9:AE9)</f>
        <v>0</v>
      </c>
      <c r="AQ9" s="707">
        <f>SUM($W9:AF9)</f>
        <v>0</v>
      </c>
      <c r="AR9" s="707">
        <f>SUM($W9:AG9)</f>
        <v>0</v>
      </c>
      <c r="AS9" s="707" t="str">
        <f t="shared" ref="AS9:BC29" si="7">IF(W9=1,IF(AND(AH9=$AR9,$AR9&gt;1),IF($AR9&lt;3,CONCATENATE(" and ",AS$7),CONCATENATE("and ",AS$7)),IF($AR9&lt;3,AS$7,CONCATENATE(AS$7,", "))),"")</f>
        <v/>
      </c>
      <c r="AT9" s="707" t="str">
        <f t="shared" si="7"/>
        <v/>
      </c>
      <c r="AU9" s="707" t="str">
        <f t="shared" si="7"/>
        <v/>
      </c>
      <c r="AV9" s="707" t="str">
        <f t="shared" si="7"/>
        <v/>
      </c>
      <c r="AW9" s="707" t="str">
        <f t="shared" si="7"/>
        <v/>
      </c>
      <c r="AX9" s="707" t="str">
        <f t="shared" si="7"/>
        <v/>
      </c>
      <c r="AY9" s="707" t="str">
        <f t="shared" si="7"/>
        <v/>
      </c>
      <c r="AZ9" s="707" t="str">
        <f t="shared" si="7"/>
        <v/>
      </c>
      <c r="BA9" s="707" t="str">
        <f t="shared" si="7"/>
        <v/>
      </c>
      <c r="BB9" s="707" t="str">
        <f t="shared" si="7"/>
        <v/>
      </c>
      <c r="BC9" s="707" t="str">
        <f t="shared" si="7"/>
        <v/>
      </c>
    </row>
    <row r="10" spans="1:55" ht="69.95" hidden="1" customHeight="1" x14ac:dyDescent="0.25">
      <c r="A10" s="972">
        <f t="shared" si="4"/>
        <v>0</v>
      </c>
      <c r="B10" s="4"/>
      <c r="C10" s="258"/>
      <c r="D10" s="4254" t="str">
        <f t="shared" ref="D10:D43" si="8">CONCATENATE(AS10,AT10,AU10,AV10,AW10,AX10,AY10,AZ10,BA10,BB10,BC10)</f>
        <v/>
      </c>
      <c r="E10" s="4254"/>
      <c r="F10" s="3491" t="str">
        <f>IF(dpIncome_RentAdjustment_4="Construction Quality","B - Reinforced Concrete","B")</f>
        <v>B - Reinforced Concrete</v>
      </c>
      <c r="G10" s="4276"/>
      <c r="H10" s="4270"/>
      <c r="I10" s="4270"/>
      <c r="J10" s="4270"/>
      <c r="K10" s="4270"/>
      <c r="L10" s="3492" t="str">
        <f t="shared" si="5"/>
        <v/>
      </c>
      <c r="M10" s="4261"/>
      <c r="N10" s="4261"/>
      <c r="O10" s="4263"/>
      <c r="P10" s="3493" t="str">
        <f>IFERROR(L10+M9,"")</f>
        <v/>
      </c>
      <c r="Q10" s="3494"/>
      <c r="R10" s="6"/>
      <c r="T10" s="2100">
        <f t="shared" si="6"/>
        <v>0</v>
      </c>
      <c r="U10" s="707" t="str">
        <f>IF(SUM($T$9:$T$43)=0,"",IF(T10=1,0,IF(SUM(T$9:T10)=0,U11-1,U9+1)))</f>
        <v/>
      </c>
      <c r="V10" s="707"/>
      <c r="W10" s="707">
        <f>IF(dpIncome_RentAdjustment_4="Construction Quality",IF(AND(F10=Subject_ConstructionClass,G$9=Subject_ConstructionQuality),1,0),IF(AND(F10=Subject_InvestmentClass,G$9=Subject_ConstructionQuality),1,0))</f>
        <v>0</v>
      </c>
      <c r="X10" s="707">
        <f>IF(dpIncome_RentAdjustment_4="Construction Quality",IF(OR(ISERROR(HLOOKUP(X$8,'Rent Adjustments'!$G$8:$ZO$142,74,FALSE)),ISERROR(HLOOKUP(X$8,'Rent Adjustments'!$G$8:$ZO$142,75,FALSE))),0,IF(HLOOKUP(X$8,'Rent Adjustments'!$G$8:$ZO$142,74,FALSE)="",0,IF(AND($G9=HLOOKUP(X$8,'Rent Adjustments'!$G$8:$ZO$142,74,FALSE),$F10=HLOOKUP(X$8,'Rent Adjustments'!$G$8:$ZO$142,75,FALSE)),1,0))),IF(OR(ISERROR(HLOOKUP(X$8,'Rent Adjustments'!$G$8:$ZO$142,74,FALSE)),ISERROR(HLOOKUP(X$8,'Rent Adjustments'!$G$8:$ZO$142,76,FALSE))),0,IF(HLOOKUP(X$8,'Rent Adjustments'!$G$8:$ZO$142,74,FALSE)="",0,IF(AND($G9=HLOOKUP(X$8,'Rent Adjustments'!$G$8:$ZO$142,74,FALSE),$F10=HLOOKUP(X$8,'Rent Adjustments'!$G$8:$ZO$142,76,FALSE)),1,0))))</f>
        <v>0</v>
      </c>
      <c r="Y10" s="707">
        <f>IF(dpIncome_RentAdjustment_4="Construction Quality",IF(OR(ISERROR(HLOOKUP(Y$8,'Rent Adjustments'!$G$8:$ZO$142,74,FALSE)),ISERROR(HLOOKUP(Y$8,'Rent Adjustments'!$G$8:$ZO$142,75,FALSE))),0,IF(HLOOKUP(Y$8,'Rent Adjustments'!$G$8:$ZO$142,74,FALSE)="",0,IF(AND($G9=HLOOKUP(Y$8,'Rent Adjustments'!$G$8:$ZO$142,74,FALSE),$F10=HLOOKUP(Y$8,'Rent Adjustments'!$G$8:$ZO$142,75,FALSE)),1,0))),IF(OR(ISERROR(HLOOKUP(Y$8,'Rent Adjustments'!$G$8:$ZO$142,74,FALSE)),ISERROR(HLOOKUP(Y$8,'Rent Adjustments'!$G$8:$ZO$142,76,FALSE))),0,IF(HLOOKUP(Y$8,'Rent Adjustments'!$G$8:$ZO$142,74,FALSE)="",0,IF(AND($G9=HLOOKUP(Y$8,'Rent Adjustments'!$G$8:$ZO$142,74,FALSE),$F10=HLOOKUP(Y$8,'Rent Adjustments'!$G$8:$ZO$142,76,FALSE)),1,0))))</f>
        <v>0</v>
      </c>
      <c r="Z10" s="707">
        <f>IF(dpIncome_RentAdjustment_4="Construction Quality",IF(OR(ISERROR(HLOOKUP(Z$8,'Rent Adjustments'!$G$8:$ZO$142,74,FALSE)),ISERROR(HLOOKUP(Z$8,'Rent Adjustments'!$G$8:$ZO$142,75,FALSE))),0,IF(HLOOKUP(Z$8,'Rent Adjustments'!$G$8:$ZO$142,74,FALSE)="",0,IF(AND($G9=HLOOKUP(Z$8,'Rent Adjustments'!$G$8:$ZO$142,74,FALSE),$F10=HLOOKUP(Z$8,'Rent Adjustments'!$G$8:$ZO$142,75,FALSE)),1,0))),IF(OR(ISERROR(HLOOKUP(Z$8,'Rent Adjustments'!$G$8:$ZO$142,74,FALSE)),ISERROR(HLOOKUP(Z$8,'Rent Adjustments'!$G$8:$ZO$142,76,FALSE))),0,IF(HLOOKUP(Z$8,'Rent Adjustments'!$G$8:$ZO$142,74,FALSE)="",0,IF(AND($G9=HLOOKUP(Z$8,'Rent Adjustments'!$G$8:$ZO$142,74,FALSE),$F10=HLOOKUP(Z$8,'Rent Adjustments'!$G$8:$ZO$142,76,FALSE)),1,0))))</f>
        <v>0</v>
      </c>
      <c r="AA10" s="707">
        <f>IF(dpIncome_RentAdjustment_4="Construction Quality",IF(OR(ISERROR(HLOOKUP(AA$8,'Rent Adjustments'!$G$8:$ZO$142,74,FALSE)),ISERROR(HLOOKUP(AA$8,'Rent Adjustments'!$G$8:$ZO$142,75,FALSE))),0,IF(HLOOKUP(AA$8,'Rent Adjustments'!$G$8:$ZO$142,74,FALSE)="",0,IF(AND($G9=HLOOKUP(AA$8,'Rent Adjustments'!$G$8:$ZO$142,74,FALSE),$F10=HLOOKUP(AA$8,'Rent Adjustments'!$G$8:$ZO$142,75,FALSE)),1,0))),IF(OR(ISERROR(HLOOKUP(AA$8,'Rent Adjustments'!$G$8:$ZO$142,74,FALSE)),ISERROR(HLOOKUP(AA$8,'Rent Adjustments'!$G$8:$ZO$142,76,FALSE))),0,IF(HLOOKUP(AA$8,'Rent Adjustments'!$G$8:$ZO$142,74,FALSE)="",0,IF(AND($G9=HLOOKUP(AA$8,'Rent Adjustments'!$G$8:$ZO$142,74,FALSE),$F10=HLOOKUP(AA$8,'Rent Adjustments'!$G$8:$ZO$142,76,FALSE)),1,0))))</f>
        <v>0</v>
      </c>
      <c r="AB10" s="707">
        <f>IF(dpIncome_RentAdjustment_4="Construction Quality",IF(OR(ISERROR(HLOOKUP(AB$8,'Rent Adjustments'!$G$8:$ZO$142,74,FALSE)),ISERROR(HLOOKUP(AB$8,'Rent Adjustments'!$G$8:$ZO$142,75,FALSE))),0,IF(HLOOKUP(AB$8,'Rent Adjustments'!$G$8:$ZO$142,74,FALSE)="",0,IF(AND($G9=HLOOKUP(AB$8,'Rent Adjustments'!$G$8:$ZO$142,74,FALSE),$F10=HLOOKUP(AB$8,'Rent Adjustments'!$G$8:$ZO$142,75,FALSE)),1,0))),IF(OR(ISERROR(HLOOKUP(AB$8,'Rent Adjustments'!$G$8:$ZO$142,74,FALSE)),ISERROR(HLOOKUP(AB$8,'Rent Adjustments'!$G$8:$ZO$142,76,FALSE))),0,IF(HLOOKUP(AB$8,'Rent Adjustments'!$G$8:$ZO$142,74,FALSE)="",0,IF(AND($G9=HLOOKUP(AB$8,'Rent Adjustments'!$G$8:$ZO$142,74,FALSE),$F10=HLOOKUP(AB$8,'Rent Adjustments'!$G$8:$ZO$142,76,FALSE)),1,0))))</f>
        <v>0</v>
      </c>
      <c r="AC10" s="707">
        <f>IF(dpIncome_RentAdjustment_4="Construction Quality",IF(OR(ISERROR(HLOOKUP(AC$8,'Rent Adjustments'!$G$8:$ZO$142,74,FALSE)),ISERROR(HLOOKUP(AC$8,'Rent Adjustments'!$G$8:$ZO$142,75,FALSE))),0,IF(HLOOKUP(AC$8,'Rent Adjustments'!$G$8:$ZO$142,74,FALSE)="",0,IF(AND($G9=HLOOKUP(AC$8,'Rent Adjustments'!$G$8:$ZO$142,74,FALSE),$F10=HLOOKUP(AC$8,'Rent Adjustments'!$G$8:$ZO$142,75,FALSE)),1,0))),IF(OR(ISERROR(HLOOKUP(AC$8,'Rent Adjustments'!$G$8:$ZO$142,74,FALSE)),ISERROR(HLOOKUP(AC$8,'Rent Adjustments'!$G$8:$ZO$142,76,FALSE))),0,IF(HLOOKUP(AC$8,'Rent Adjustments'!$G$8:$ZO$142,74,FALSE)="",0,IF(AND($G9=HLOOKUP(AC$8,'Rent Adjustments'!$G$8:$ZO$142,74,FALSE),$F10=HLOOKUP(AC$8,'Rent Adjustments'!$G$8:$ZO$142,76,FALSE)),1,0))))</f>
        <v>0</v>
      </c>
      <c r="AD10" s="707">
        <f>IF(dpIncome_RentAdjustment_4="Construction Quality",IF(OR(ISERROR(HLOOKUP(AD$8,'Rent Adjustments'!$G$8:$ZO$142,74,FALSE)),ISERROR(HLOOKUP(AD$8,'Rent Adjustments'!$G$8:$ZO$142,75,FALSE))),0,IF(HLOOKUP(AD$8,'Rent Adjustments'!$G$8:$ZO$142,74,FALSE)="",0,IF(AND($G9=HLOOKUP(AD$8,'Rent Adjustments'!$G$8:$ZO$142,74,FALSE),$F10=HLOOKUP(AD$8,'Rent Adjustments'!$G$8:$ZO$142,75,FALSE)),1,0))),IF(OR(ISERROR(HLOOKUP(AD$8,'Rent Adjustments'!$G$8:$ZO$142,74,FALSE)),ISERROR(HLOOKUP(AD$8,'Rent Adjustments'!$G$8:$ZO$142,76,FALSE))),0,IF(HLOOKUP(AD$8,'Rent Adjustments'!$G$8:$ZO$142,74,FALSE)="",0,IF(AND($G9=HLOOKUP(AD$8,'Rent Adjustments'!$G$8:$ZO$142,74,FALSE),$F10=HLOOKUP(AD$8,'Rent Adjustments'!$G$8:$ZO$142,76,FALSE)),1,0))))</f>
        <v>0</v>
      </c>
      <c r="AE10" s="707">
        <f>IF(dpIncome_RentAdjustment_4="Construction Quality",IF(OR(ISERROR(HLOOKUP(AE$8,'Rent Adjustments'!$G$8:$ZO$142,74,FALSE)),ISERROR(HLOOKUP(AE$8,'Rent Adjustments'!$G$8:$ZO$142,75,FALSE))),0,IF(HLOOKUP(AE$8,'Rent Adjustments'!$G$8:$ZO$142,74,FALSE)="",0,IF(AND($G9=HLOOKUP(AE$8,'Rent Adjustments'!$G$8:$ZO$142,74,FALSE),$F10=HLOOKUP(AE$8,'Rent Adjustments'!$G$8:$ZO$142,75,FALSE)),1,0))),IF(OR(ISERROR(HLOOKUP(AE$8,'Rent Adjustments'!$G$8:$ZO$142,74,FALSE)),ISERROR(HLOOKUP(AE$8,'Rent Adjustments'!$G$8:$ZO$142,76,FALSE))),0,IF(HLOOKUP(AE$8,'Rent Adjustments'!$G$8:$ZO$142,74,FALSE)="",0,IF(AND($G9=HLOOKUP(AE$8,'Rent Adjustments'!$G$8:$ZO$142,74,FALSE),$F10=HLOOKUP(AE$8,'Rent Adjustments'!$G$8:$ZO$142,76,FALSE)),1,0))))</f>
        <v>0</v>
      </c>
      <c r="AF10" s="707">
        <f>IF(dpIncome_RentAdjustment_4="Construction Quality",IF(OR(ISERROR(HLOOKUP(AF$8,'Rent Adjustments'!$G$8:$ZO$142,74,FALSE)),ISERROR(HLOOKUP(AF$8,'Rent Adjustments'!$G$8:$ZO$142,75,FALSE))),0,IF(HLOOKUP(AF$8,'Rent Adjustments'!$G$8:$ZO$142,74,FALSE)="",0,IF(AND($G9=HLOOKUP(AF$8,'Rent Adjustments'!$G$8:$ZO$142,74,FALSE),$F10=HLOOKUP(AF$8,'Rent Adjustments'!$G$8:$ZO$142,75,FALSE)),1,0))),IF(OR(ISERROR(HLOOKUP(AF$8,'Rent Adjustments'!$G$8:$ZO$142,74,FALSE)),ISERROR(HLOOKUP(AF$8,'Rent Adjustments'!$G$8:$ZO$142,76,FALSE))),0,IF(HLOOKUP(AF$8,'Rent Adjustments'!$G$8:$ZO$142,74,FALSE)="",0,IF(AND($G9=HLOOKUP(AF$8,'Rent Adjustments'!$G$8:$ZO$142,74,FALSE),$F10=HLOOKUP(AF$8,'Rent Adjustments'!$G$8:$ZO$142,76,FALSE)),1,0))))</f>
        <v>0</v>
      </c>
      <c r="AG10" s="707">
        <f>IF(dpIncome_RentAdjustment_4="Construction Quality",IF(OR(ISERROR(HLOOKUP(AG$8,'Rent Adjustments'!$G$8:$ZO$142,74,FALSE)),ISERROR(HLOOKUP(AG$8,'Rent Adjustments'!$G$8:$ZO$142,75,FALSE))),0,IF(HLOOKUP(AG$8,'Rent Adjustments'!$G$8:$ZO$142,74,FALSE)="",0,IF(AND($G9=HLOOKUP(AG$8,'Rent Adjustments'!$G$8:$ZO$142,74,FALSE),$F10=HLOOKUP(AG$8,'Rent Adjustments'!$G$8:$ZO$142,75,FALSE)),1,0))),IF(OR(ISERROR(HLOOKUP(AG$8,'Rent Adjustments'!$G$8:$ZO$142,74,FALSE)),ISERROR(HLOOKUP(AG$8,'Rent Adjustments'!$G$8:$ZO$142,76,FALSE))),0,IF(HLOOKUP(AG$8,'Rent Adjustments'!$G$8:$ZO$142,74,FALSE)="",0,IF(AND($G9=HLOOKUP(AG$8,'Rent Adjustments'!$G$8:$ZO$142,74,FALSE),$F10=HLOOKUP(AG$8,'Rent Adjustments'!$G$8:$ZO$142,76,FALSE)),1,0))))</f>
        <v>0</v>
      </c>
      <c r="AH10" s="707">
        <f>SUM(W10:$W10)</f>
        <v>0</v>
      </c>
      <c r="AI10" s="707">
        <f>SUM($W10:X10)</f>
        <v>0</v>
      </c>
      <c r="AJ10" s="707">
        <f>SUM($W10:Y10)</f>
        <v>0</v>
      </c>
      <c r="AK10" s="707">
        <f>SUM($W10:Z10)</f>
        <v>0</v>
      </c>
      <c r="AL10" s="707">
        <f>SUM($W10:AA10)</f>
        <v>0</v>
      </c>
      <c r="AM10" s="707">
        <f>SUM($W10:AB10)</f>
        <v>0</v>
      </c>
      <c r="AN10" s="707">
        <f>SUM($W10:AC10)</f>
        <v>0</v>
      </c>
      <c r="AO10" s="707">
        <f>SUM($W10:AD10)</f>
        <v>0</v>
      </c>
      <c r="AP10" s="707">
        <f>SUM($W10:AE10)</f>
        <v>0</v>
      </c>
      <c r="AQ10" s="707">
        <f>SUM($W10:AF10)</f>
        <v>0</v>
      </c>
      <c r="AR10" s="707">
        <f>SUM($W10:AG10)</f>
        <v>0</v>
      </c>
      <c r="AS10" s="707" t="str">
        <f t="shared" si="7"/>
        <v/>
      </c>
      <c r="AT10" s="707" t="str">
        <f t="shared" si="7"/>
        <v/>
      </c>
      <c r="AU10" s="707" t="str">
        <f t="shared" si="7"/>
        <v/>
      </c>
      <c r="AV10" s="707" t="str">
        <f t="shared" si="7"/>
        <v/>
      </c>
      <c r="AW10" s="707" t="str">
        <f t="shared" si="7"/>
        <v/>
      </c>
      <c r="AX10" s="707" t="str">
        <f t="shared" si="7"/>
        <v/>
      </c>
      <c r="AY10" s="707" t="str">
        <f t="shared" si="7"/>
        <v/>
      </c>
      <c r="AZ10" s="707" t="str">
        <f t="shared" si="7"/>
        <v/>
      </c>
      <c r="BA10" s="707" t="str">
        <f t="shared" si="7"/>
        <v/>
      </c>
      <c r="BB10" s="707" t="str">
        <f t="shared" si="7"/>
        <v/>
      </c>
      <c r="BC10" s="707" t="str">
        <f t="shared" si="7"/>
        <v/>
      </c>
    </row>
    <row r="11" spans="1:55" ht="69.95" hidden="1" customHeight="1" x14ac:dyDescent="0.25">
      <c r="A11" s="972">
        <f t="shared" si="4"/>
        <v>0</v>
      </c>
      <c r="B11" s="4"/>
      <c r="C11" s="258"/>
      <c r="D11" s="4254" t="str">
        <f t="shared" si="8"/>
        <v/>
      </c>
      <c r="E11" s="4254"/>
      <c r="F11" s="3491" t="str">
        <f>IF(dpIncome_RentAdjustment_4="Construction Quality","C - Masonry","C")</f>
        <v>C - Masonry</v>
      </c>
      <c r="G11" s="4276"/>
      <c r="H11" s="4270"/>
      <c r="I11" s="4270"/>
      <c r="J11" s="4270"/>
      <c r="K11" s="4270"/>
      <c r="L11" s="3492" t="str">
        <f t="shared" si="5"/>
        <v/>
      </c>
      <c r="M11" s="4261"/>
      <c r="N11" s="4261"/>
      <c r="O11" s="4263"/>
      <c r="P11" s="3493" t="str">
        <f>IFERROR(L11+M9,"")</f>
        <v/>
      </c>
      <c r="Q11" s="3494"/>
      <c r="R11" s="6"/>
      <c r="T11" s="2100">
        <f t="shared" si="6"/>
        <v>0</v>
      </c>
      <c r="U11" s="707" t="str">
        <f>IF(SUM($T$9:$T$43)=0,"",IF(T11=1,0,IF(SUM(T$9:T11)=0,U12-1,U10+1)))</f>
        <v/>
      </c>
      <c r="V11" s="707"/>
      <c r="W11" s="707">
        <f>IF(dpIncome_RentAdjustment_4="Construction Quality",IF(AND(F11=Subject_ConstructionClass,G$9=Subject_ConstructionQuality),1,0),IF(AND(F11=Subject_InvestmentClass,G$9=Subject_ConstructionQuality),1,0))</f>
        <v>0</v>
      </c>
      <c r="X11" s="707">
        <f>IF(dpIncome_RentAdjustment_4="Construction Quality",IF(OR(ISERROR(HLOOKUP(X$8,'Rent Adjustments'!$G$8:$ZO$142,74,FALSE)),ISERROR(HLOOKUP(X$8,'Rent Adjustments'!$G$8:$ZO$142,75,FALSE))),0,IF(HLOOKUP(X$8,'Rent Adjustments'!$G$8:$ZO$142,74,FALSE)="",0,IF(AND($G9=HLOOKUP(X$8,'Rent Adjustments'!$G$8:$ZO$142,74,FALSE),$F11=HLOOKUP(X$8,'Rent Adjustments'!$G$8:$ZO$142,75,FALSE)),1,0))),IF(OR(ISERROR(HLOOKUP(X$8,'Rent Adjustments'!$G$8:$ZO$142,74,FALSE)),ISERROR(HLOOKUP(X$8,'Rent Adjustments'!$G$8:$ZO$142,76,FALSE))),0,IF(HLOOKUP(X$8,'Rent Adjustments'!$G$8:$ZO$142,74,FALSE)="",0,IF(AND($G9=HLOOKUP(X$8,'Rent Adjustments'!$G$8:$ZO$142,74,FALSE),$F11=HLOOKUP(X$8,'Rent Adjustments'!$G$8:$ZO$142,76,FALSE)),1,0))))</f>
        <v>0</v>
      </c>
      <c r="Y11" s="707">
        <f>IF(dpIncome_RentAdjustment_4="Construction Quality",IF(OR(ISERROR(HLOOKUP(Y$8,'Rent Adjustments'!$G$8:$ZO$142,74,FALSE)),ISERROR(HLOOKUP(Y$8,'Rent Adjustments'!$G$8:$ZO$142,75,FALSE))),0,IF(HLOOKUP(Y$8,'Rent Adjustments'!$G$8:$ZO$142,74,FALSE)="",0,IF(AND($G9=HLOOKUP(Y$8,'Rent Adjustments'!$G$8:$ZO$142,74,FALSE),$F11=HLOOKUP(Y$8,'Rent Adjustments'!$G$8:$ZO$142,75,FALSE)),1,0))),IF(OR(ISERROR(HLOOKUP(Y$8,'Rent Adjustments'!$G$8:$ZO$142,74,FALSE)),ISERROR(HLOOKUP(Y$8,'Rent Adjustments'!$G$8:$ZO$142,76,FALSE))),0,IF(HLOOKUP(Y$8,'Rent Adjustments'!$G$8:$ZO$142,74,FALSE)="",0,IF(AND($G9=HLOOKUP(Y$8,'Rent Adjustments'!$G$8:$ZO$142,74,FALSE),$F11=HLOOKUP(Y$8,'Rent Adjustments'!$G$8:$ZO$142,76,FALSE)),1,0))))</f>
        <v>0</v>
      </c>
      <c r="Z11" s="707">
        <f>IF(dpIncome_RentAdjustment_4="Construction Quality",IF(OR(ISERROR(HLOOKUP(Z$8,'Rent Adjustments'!$G$8:$ZO$142,74,FALSE)),ISERROR(HLOOKUP(Z$8,'Rent Adjustments'!$G$8:$ZO$142,75,FALSE))),0,IF(HLOOKUP(Z$8,'Rent Adjustments'!$G$8:$ZO$142,74,FALSE)="",0,IF(AND($G9=HLOOKUP(Z$8,'Rent Adjustments'!$G$8:$ZO$142,74,FALSE),$F11=HLOOKUP(Z$8,'Rent Adjustments'!$G$8:$ZO$142,75,FALSE)),1,0))),IF(OR(ISERROR(HLOOKUP(Z$8,'Rent Adjustments'!$G$8:$ZO$142,74,FALSE)),ISERROR(HLOOKUP(Z$8,'Rent Adjustments'!$G$8:$ZO$142,76,FALSE))),0,IF(HLOOKUP(Z$8,'Rent Adjustments'!$G$8:$ZO$142,74,FALSE)="",0,IF(AND($G9=HLOOKUP(Z$8,'Rent Adjustments'!$G$8:$ZO$142,74,FALSE),$F11=HLOOKUP(Z$8,'Rent Adjustments'!$G$8:$ZO$142,76,FALSE)),1,0))))</f>
        <v>0</v>
      </c>
      <c r="AA11" s="707">
        <f>IF(dpIncome_RentAdjustment_4="Construction Quality",IF(OR(ISERROR(HLOOKUP(AA$8,'Rent Adjustments'!$G$8:$ZO$142,74,FALSE)),ISERROR(HLOOKUP(AA$8,'Rent Adjustments'!$G$8:$ZO$142,75,FALSE))),0,IF(HLOOKUP(AA$8,'Rent Adjustments'!$G$8:$ZO$142,74,FALSE)="",0,IF(AND($G9=HLOOKUP(AA$8,'Rent Adjustments'!$G$8:$ZO$142,74,FALSE),$F11=HLOOKUP(AA$8,'Rent Adjustments'!$G$8:$ZO$142,75,FALSE)),1,0))),IF(OR(ISERROR(HLOOKUP(AA$8,'Rent Adjustments'!$G$8:$ZO$142,74,FALSE)),ISERROR(HLOOKUP(AA$8,'Rent Adjustments'!$G$8:$ZO$142,76,FALSE))),0,IF(HLOOKUP(AA$8,'Rent Adjustments'!$G$8:$ZO$142,74,FALSE)="",0,IF(AND($G9=HLOOKUP(AA$8,'Rent Adjustments'!$G$8:$ZO$142,74,FALSE),$F11=HLOOKUP(AA$8,'Rent Adjustments'!$G$8:$ZO$142,76,FALSE)),1,0))))</f>
        <v>0</v>
      </c>
      <c r="AB11" s="707">
        <f>IF(dpIncome_RentAdjustment_4="Construction Quality",IF(OR(ISERROR(HLOOKUP(AB$8,'Rent Adjustments'!$G$8:$ZO$142,74,FALSE)),ISERROR(HLOOKUP(AB$8,'Rent Adjustments'!$G$8:$ZO$142,75,FALSE))),0,IF(HLOOKUP(AB$8,'Rent Adjustments'!$G$8:$ZO$142,74,FALSE)="",0,IF(AND($G9=HLOOKUP(AB$8,'Rent Adjustments'!$G$8:$ZO$142,74,FALSE),$F11=HLOOKUP(AB$8,'Rent Adjustments'!$G$8:$ZO$142,75,FALSE)),1,0))),IF(OR(ISERROR(HLOOKUP(AB$8,'Rent Adjustments'!$G$8:$ZO$142,74,FALSE)),ISERROR(HLOOKUP(AB$8,'Rent Adjustments'!$G$8:$ZO$142,76,FALSE))),0,IF(HLOOKUP(AB$8,'Rent Adjustments'!$G$8:$ZO$142,74,FALSE)="",0,IF(AND($G9=HLOOKUP(AB$8,'Rent Adjustments'!$G$8:$ZO$142,74,FALSE),$F11=HLOOKUP(AB$8,'Rent Adjustments'!$G$8:$ZO$142,76,FALSE)),1,0))))</f>
        <v>0</v>
      </c>
      <c r="AC11" s="707">
        <f>IF(dpIncome_RentAdjustment_4="Construction Quality",IF(OR(ISERROR(HLOOKUP(AC$8,'Rent Adjustments'!$G$8:$ZO$142,74,FALSE)),ISERROR(HLOOKUP(AC$8,'Rent Adjustments'!$G$8:$ZO$142,75,FALSE))),0,IF(HLOOKUP(AC$8,'Rent Adjustments'!$G$8:$ZO$142,74,FALSE)="",0,IF(AND($G9=HLOOKUP(AC$8,'Rent Adjustments'!$G$8:$ZO$142,74,FALSE),$F11=HLOOKUP(AC$8,'Rent Adjustments'!$G$8:$ZO$142,75,FALSE)),1,0))),IF(OR(ISERROR(HLOOKUP(AC$8,'Rent Adjustments'!$G$8:$ZO$142,74,FALSE)),ISERROR(HLOOKUP(AC$8,'Rent Adjustments'!$G$8:$ZO$142,76,FALSE))),0,IF(HLOOKUP(AC$8,'Rent Adjustments'!$G$8:$ZO$142,74,FALSE)="",0,IF(AND($G9=HLOOKUP(AC$8,'Rent Adjustments'!$G$8:$ZO$142,74,FALSE),$F11=HLOOKUP(AC$8,'Rent Adjustments'!$G$8:$ZO$142,76,FALSE)),1,0))))</f>
        <v>0</v>
      </c>
      <c r="AD11" s="707">
        <f>IF(dpIncome_RentAdjustment_4="Construction Quality",IF(OR(ISERROR(HLOOKUP(AD$8,'Rent Adjustments'!$G$8:$ZO$142,74,FALSE)),ISERROR(HLOOKUP(AD$8,'Rent Adjustments'!$G$8:$ZO$142,75,FALSE))),0,IF(HLOOKUP(AD$8,'Rent Adjustments'!$G$8:$ZO$142,74,FALSE)="",0,IF(AND($G9=HLOOKUP(AD$8,'Rent Adjustments'!$G$8:$ZO$142,74,FALSE),$F11=HLOOKUP(AD$8,'Rent Adjustments'!$G$8:$ZO$142,75,FALSE)),1,0))),IF(OR(ISERROR(HLOOKUP(AD$8,'Rent Adjustments'!$G$8:$ZO$142,74,FALSE)),ISERROR(HLOOKUP(AD$8,'Rent Adjustments'!$G$8:$ZO$142,76,FALSE))),0,IF(HLOOKUP(AD$8,'Rent Adjustments'!$G$8:$ZO$142,74,FALSE)="",0,IF(AND($G9=HLOOKUP(AD$8,'Rent Adjustments'!$G$8:$ZO$142,74,FALSE),$F11=HLOOKUP(AD$8,'Rent Adjustments'!$G$8:$ZO$142,76,FALSE)),1,0))))</f>
        <v>0</v>
      </c>
      <c r="AE11" s="707">
        <f>IF(dpIncome_RentAdjustment_4="Construction Quality",IF(OR(ISERROR(HLOOKUP(AE$8,'Rent Adjustments'!$G$8:$ZO$142,74,FALSE)),ISERROR(HLOOKUP(AE$8,'Rent Adjustments'!$G$8:$ZO$142,75,FALSE))),0,IF(HLOOKUP(AE$8,'Rent Adjustments'!$G$8:$ZO$142,74,FALSE)="",0,IF(AND($G9=HLOOKUP(AE$8,'Rent Adjustments'!$G$8:$ZO$142,74,FALSE),$F11=HLOOKUP(AE$8,'Rent Adjustments'!$G$8:$ZO$142,75,FALSE)),1,0))),IF(OR(ISERROR(HLOOKUP(AE$8,'Rent Adjustments'!$G$8:$ZO$142,74,FALSE)),ISERROR(HLOOKUP(AE$8,'Rent Adjustments'!$G$8:$ZO$142,76,FALSE))),0,IF(HLOOKUP(AE$8,'Rent Adjustments'!$G$8:$ZO$142,74,FALSE)="",0,IF(AND($G9=HLOOKUP(AE$8,'Rent Adjustments'!$G$8:$ZO$142,74,FALSE),$F11=HLOOKUP(AE$8,'Rent Adjustments'!$G$8:$ZO$142,76,FALSE)),1,0))))</f>
        <v>0</v>
      </c>
      <c r="AF11" s="707">
        <f>IF(dpIncome_RentAdjustment_4="Construction Quality",IF(OR(ISERROR(HLOOKUP(AF$8,'Rent Adjustments'!$G$8:$ZO$142,74,FALSE)),ISERROR(HLOOKUP(AF$8,'Rent Adjustments'!$G$8:$ZO$142,75,FALSE))),0,IF(HLOOKUP(AF$8,'Rent Adjustments'!$G$8:$ZO$142,74,FALSE)="",0,IF(AND($G9=HLOOKUP(AF$8,'Rent Adjustments'!$G$8:$ZO$142,74,FALSE),$F11=HLOOKUP(AF$8,'Rent Adjustments'!$G$8:$ZO$142,75,FALSE)),1,0))),IF(OR(ISERROR(HLOOKUP(AF$8,'Rent Adjustments'!$G$8:$ZO$142,74,FALSE)),ISERROR(HLOOKUP(AF$8,'Rent Adjustments'!$G$8:$ZO$142,76,FALSE))),0,IF(HLOOKUP(AF$8,'Rent Adjustments'!$G$8:$ZO$142,74,FALSE)="",0,IF(AND($G9=HLOOKUP(AF$8,'Rent Adjustments'!$G$8:$ZO$142,74,FALSE),$F11=HLOOKUP(AF$8,'Rent Adjustments'!$G$8:$ZO$142,76,FALSE)),1,0))))</f>
        <v>0</v>
      </c>
      <c r="AG11" s="707">
        <f>IF(dpIncome_RentAdjustment_4="Construction Quality",IF(OR(ISERROR(HLOOKUP(AG$8,'Rent Adjustments'!$G$8:$ZO$142,74,FALSE)),ISERROR(HLOOKUP(AG$8,'Rent Adjustments'!$G$8:$ZO$142,75,FALSE))),0,IF(HLOOKUP(AG$8,'Rent Adjustments'!$G$8:$ZO$142,74,FALSE)="",0,IF(AND($G9=HLOOKUP(AG$8,'Rent Adjustments'!$G$8:$ZO$142,74,FALSE),$F11=HLOOKUP(AG$8,'Rent Adjustments'!$G$8:$ZO$142,75,FALSE)),1,0))),IF(OR(ISERROR(HLOOKUP(AG$8,'Rent Adjustments'!$G$8:$ZO$142,74,FALSE)),ISERROR(HLOOKUP(AG$8,'Rent Adjustments'!$G$8:$ZO$142,76,FALSE))),0,IF(HLOOKUP(AG$8,'Rent Adjustments'!$G$8:$ZO$142,74,FALSE)="",0,IF(AND($G9=HLOOKUP(AG$8,'Rent Adjustments'!$G$8:$ZO$142,74,FALSE),$F11=HLOOKUP(AG$8,'Rent Adjustments'!$G$8:$ZO$142,76,FALSE)),1,0))))</f>
        <v>0</v>
      </c>
      <c r="AH11" s="707">
        <f>SUM(W11:$W11)</f>
        <v>0</v>
      </c>
      <c r="AI11" s="707">
        <f>SUM($W11:X11)</f>
        <v>0</v>
      </c>
      <c r="AJ11" s="707">
        <f>SUM($W11:Y11)</f>
        <v>0</v>
      </c>
      <c r="AK11" s="707">
        <f>SUM($W11:Z11)</f>
        <v>0</v>
      </c>
      <c r="AL11" s="707">
        <f>SUM($W11:AA11)</f>
        <v>0</v>
      </c>
      <c r="AM11" s="707">
        <f>SUM($W11:AB11)</f>
        <v>0</v>
      </c>
      <c r="AN11" s="707">
        <f>SUM($W11:AC11)</f>
        <v>0</v>
      </c>
      <c r="AO11" s="707">
        <f>SUM($W11:AD11)</f>
        <v>0</v>
      </c>
      <c r="AP11" s="707">
        <f>SUM($W11:AE11)</f>
        <v>0</v>
      </c>
      <c r="AQ11" s="707">
        <f>SUM($W11:AF11)</f>
        <v>0</v>
      </c>
      <c r="AR11" s="707">
        <f>SUM($W11:AG11)</f>
        <v>0</v>
      </c>
      <c r="AS11" s="707" t="str">
        <f t="shared" si="7"/>
        <v/>
      </c>
      <c r="AT11" s="707" t="str">
        <f t="shared" si="7"/>
        <v/>
      </c>
      <c r="AU11" s="707" t="str">
        <f t="shared" si="7"/>
        <v/>
      </c>
      <c r="AV11" s="707" t="str">
        <f t="shared" si="7"/>
        <v/>
      </c>
      <c r="AW11" s="707" t="str">
        <f t="shared" si="7"/>
        <v/>
      </c>
      <c r="AX11" s="707" t="str">
        <f t="shared" si="7"/>
        <v/>
      </c>
      <c r="AY11" s="707" t="str">
        <f t="shared" si="7"/>
        <v/>
      </c>
      <c r="AZ11" s="707" t="str">
        <f t="shared" si="7"/>
        <v/>
      </c>
      <c r="BA11" s="707" t="str">
        <f t="shared" si="7"/>
        <v/>
      </c>
      <c r="BB11" s="707" t="str">
        <f t="shared" si="7"/>
        <v/>
      </c>
      <c r="BC11" s="707" t="str">
        <f t="shared" si="7"/>
        <v/>
      </c>
    </row>
    <row r="12" spans="1:55" ht="69.95" hidden="1" customHeight="1" x14ac:dyDescent="0.25">
      <c r="A12" s="972">
        <f t="shared" si="4"/>
        <v>0</v>
      </c>
      <c r="B12" s="4"/>
      <c r="C12" s="258"/>
      <c r="D12" s="4254" t="str">
        <f t="shared" si="8"/>
        <v/>
      </c>
      <c r="E12" s="4254"/>
      <c r="F12" s="3491" t="str">
        <f>IF(dpIncome_RentAdjustment_4="Construction Quality","D - Wood Frame","")</f>
        <v>D - Wood Frame</v>
      </c>
      <c r="G12" s="4276"/>
      <c r="H12" s="4270"/>
      <c r="I12" s="4270"/>
      <c r="J12" s="4270"/>
      <c r="K12" s="4270"/>
      <c r="L12" s="3492" t="str">
        <f t="shared" si="5"/>
        <v/>
      </c>
      <c r="M12" s="4261"/>
      <c r="N12" s="4261"/>
      <c r="O12" s="4263"/>
      <c r="P12" s="3493" t="str">
        <f>IFERROR(L12+M9,"")</f>
        <v/>
      </c>
      <c r="Q12" s="3494"/>
      <c r="R12" s="6"/>
      <c r="T12" s="2100">
        <f t="shared" si="6"/>
        <v>0</v>
      </c>
      <c r="U12" s="707" t="str">
        <f>IF(SUM($T$9:$T$43)=0,"",IF(T12=1,0,IF(SUM(T$9:T12)=0,U13-1,U11+1)))</f>
        <v/>
      </c>
      <c r="V12" s="707"/>
      <c r="W12" s="707">
        <f>IF(dpIncome_RentAdjustment_4="Construction Quality",IF(AND(F12=Subject_ConstructionClass,G$9=Subject_ConstructionQuality),1,0),IF(AND(F12=Subject_InvestmentClass,G$9=Subject_ConstructionQuality),1,0))</f>
        <v>0</v>
      </c>
      <c r="X12" s="707">
        <f>IF(dpIncome_RentAdjustment_4="Construction Quality",IF(OR(ISERROR(HLOOKUP(X$8,'Rent Adjustments'!$G$8:$ZO$142,74,FALSE)),ISERROR(HLOOKUP(X$8,'Rent Adjustments'!$G$8:$ZO$142,75,FALSE))),0,IF(HLOOKUP(X$8,'Rent Adjustments'!$G$8:$ZO$142,74,FALSE)="",0,IF(AND($G9=HLOOKUP(X$8,'Rent Adjustments'!$G$8:$ZO$142,74,FALSE),$F12=HLOOKUP(X$8,'Rent Adjustments'!$G$8:$ZO$142,75,FALSE)),1,0))),IF(OR(ISERROR(HLOOKUP(X$8,'Rent Adjustments'!$G$8:$ZO$142,74,FALSE)),ISERROR(HLOOKUP(X$8,'Rent Adjustments'!$G$8:$ZO$142,76,FALSE))),0,IF(HLOOKUP(X$8,'Rent Adjustments'!$G$8:$ZO$142,74,FALSE)="",0,IF(AND($G9=HLOOKUP(X$8,'Rent Adjustments'!$G$8:$ZO$142,74,FALSE),$F12=HLOOKUP(X$8,'Rent Adjustments'!$G$8:$ZO$142,76,FALSE)),1,0))))</f>
        <v>0</v>
      </c>
      <c r="Y12" s="707">
        <f>IF(dpIncome_RentAdjustment_4="Construction Quality",IF(OR(ISERROR(HLOOKUP(Y$8,'Rent Adjustments'!$G$8:$ZO$142,74,FALSE)),ISERROR(HLOOKUP(Y$8,'Rent Adjustments'!$G$8:$ZO$142,75,FALSE))),0,IF(HLOOKUP(Y$8,'Rent Adjustments'!$G$8:$ZO$142,74,FALSE)="",0,IF(AND($G9=HLOOKUP(Y$8,'Rent Adjustments'!$G$8:$ZO$142,74,FALSE),$F12=HLOOKUP(Y$8,'Rent Adjustments'!$G$8:$ZO$142,75,FALSE)),1,0))),IF(OR(ISERROR(HLOOKUP(Y$8,'Rent Adjustments'!$G$8:$ZO$142,74,FALSE)),ISERROR(HLOOKUP(Y$8,'Rent Adjustments'!$G$8:$ZO$142,76,FALSE))),0,IF(HLOOKUP(Y$8,'Rent Adjustments'!$G$8:$ZO$142,74,FALSE)="",0,IF(AND($G9=HLOOKUP(Y$8,'Rent Adjustments'!$G$8:$ZO$142,74,FALSE),$F12=HLOOKUP(Y$8,'Rent Adjustments'!$G$8:$ZO$142,76,FALSE)),1,0))))</f>
        <v>0</v>
      </c>
      <c r="Z12" s="707">
        <f>IF(dpIncome_RentAdjustment_4="Construction Quality",IF(OR(ISERROR(HLOOKUP(Z$8,'Rent Adjustments'!$G$8:$ZO$142,74,FALSE)),ISERROR(HLOOKUP(Z$8,'Rent Adjustments'!$G$8:$ZO$142,75,FALSE))),0,IF(HLOOKUP(Z$8,'Rent Adjustments'!$G$8:$ZO$142,74,FALSE)="",0,IF(AND($G9=HLOOKUP(Z$8,'Rent Adjustments'!$G$8:$ZO$142,74,FALSE),$F12=HLOOKUP(Z$8,'Rent Adjustments'!$G$8:$ZO$142,75,FALSE)),1,0))),IF(OR(ISERROR(HLOOKUP(Z$8,'Rent Adjustments'!$G$8:$ZO$142,74,FALSE)),ISERROR(HLOOKUP(Z$8,'Rent Adjustments'!$G$8:$ZO$142,76,FALSE))),0,IF(HLOOKUP(Z$8,'Rent Adjustments'!$G$8:$ZO$142,74,FALSE)="",0,IF(AND($G9=HLOOKUP(Z$8,'Rent Adjustments'!$G$8:$ZO$142,74,FALSE),$F12=HLOOKUP(Z$8,'Rent Adjustments'!$G$8:$ZO$142,76,FALSE)),1,0))))</f>
        <v>0</v>
      </c>
      <c r="AA12" s="707">
        <f>IF(dpIncome_RentAdjustment_4="Construction Quality",IF(OR(ISERROR(HLOOKUP(AA$8,'Rent Adjustments'!$G$8:$ZO$142,74,FALSE)),ISERROR(HLOOKUP(AA$8,'Rent Adjustments'!$G$8:$ZO$142,75,FALSE))),0,IF(HLOOKUP(AA$8,'Rent Adjustments'!$G$8:$ZO$142,74,FALSE)="",0,IF(AND($G9=HLOOKUP(AA$8,'Rent Adjustments'!$G$8:$ZO$142,74,FALSE),$F12=HLOOKUP(AA$8,'Rent Adjustments'!$G$8:$ZO$142,75,FALSE)),1,0))),IF(OR(ISERROR(HLOOKUP(AA$8,'Rent Adjustments'!$G$8:$ZO$142,74,FALSE)),ISERROR(HLOOKUP(AA$8,'Rent Adjustments'!$G$8:$ZO$142,76,FALSE))),0,IF(HLOOKUP(AA$8,'Rent Adjustments'!$G$8:$ZO$142,74,FALSE)="",0,IF(AND($G9=HLOOKUP(AA$8,'Rent Adjustments'!$G$8:$ZO$142,74,FALSE),$F12=HLOOKUP(AA$8,'Rent Adjustments'!$G$8:$ZO$142,76,FALSE)),1,0))))</f>
        <v>0</v>
      </c>
      <c r="AB12" s="707">
        <f>IF(dpIncome_RentAdjustment_4="Construction Quality",IF(OR(ISERROR(HLOOKUP(AB$8,'Rent Adjustments'!$G$8:$ZO$142,74,FALSE)),ISERROR(HLOOKUP(AB$8,'Rent Adjustments'!$G$8:$ZO$142,75,FALSE))),0,IF(HLOOKUP(AB$8,'Rent Adjustments'!$G$8:$ZO$142,74,FALSE)="",0,IF(AND($G9=HLOOKUP(AB$8,'Rent Adjustments'!$G$8:$ZO$142,74,FALSE),$F12=HLOOKUP(AB$8,'Rent Adjustments'!$G$8:$ZO$142,75,FALSE)),1,0))),IF(OR(ISERROR(HLOOKUP(AB$8,'Rent Adjustments'!$G$8:$ZO$142,74,FALSE)),ISERROR(HLOOKUP(AB$8,'Rent Adjustments'!$G$8:$ZO$142,76,FALSE))),0,IF(HLOOKUP(AB$8,'Rent Adjustments'!$G$8:$ZO$142,74,FALSE)="",0,IF(AND($G9=HLOOKUP(AB$8,'Rent Adjustments'!$G$8:$ZO$142,74,FALSE),$F12=HLOOKUP(AB$8,'Rent Adjustments'!$G$8:$ZO$142,76,FALSE)),1,0))))</f>
        <v>0</v>
      </c>
      <c r="AC12" s="707">
        <f>IF(dpIncome_RentAdjustment_4="Construction Quality",IF(OR(ISERROR(HLOOKUP(AC$8,'Rent Adjustments'!$G$8:$ZO$142,74,FALSE)),ISERROR(HLOOKUP(AC$8,'Rent Adjustments'!$G$8:$ZO$142,75,FALSE))),0,IF(HLOOKUP(AC$8,'Rent Adjustments'!$G$8:$ZO$142,74,FALSE)="",0,IF(AND($G9=HLOOKUP(AC$8,'Rent Adjustments'!$G$8:$ZO$142,74,FALSE),$F12=HLOOKUP(AC$8,'Rent Adjustments'!$G$8:$ZO$142,75,FALSE)),1,0))),IF(OR(ISERROR(HLOOKUP(AC$8,'Rent Adjustments'!$G$8:$ZO$142,74,FALSE)),ISERROR(HLOOKUP(AC$8,'Rent Adjustments'!$G$8:$ZO$142,76,FALSE))),0,IF(HLOOKUP(AC$8,'Rent Adjustments'!$G$8:$ZO$142,74,FALSE)="",0,IF(AND($G9=HLOOKUP(AC$8,'Rent Adjustments'!$G$8:$ZO$142,74,FALSE),$F12=HLOOKUP(AC$8,'Rent Adjustments'!$G$8:$ZO$142,76,FALSE)),1,0))))</f>
        <v>0</v>
      </c>
      <c r="AD12" s="707">
        <f>IF(dpIncome_RentAdjustment_4="Construction Quality",IF(OR(ISERROR(HLOOKUP(AD$8,'Rent Adjustments'!$G$8:$ZO$142,74,FALSE)),ISERROR(HLOOKUP(AD$8,'Rent Adjustments'!$G$8:$ZO$142,75,FALSE))),0,IF(HLOOKUP(AD$8,'Rent Adjustments'!$G$8:$ZO$142,74,FALSE)="",0,IF(AND($G9=HLOOKUP(AD$8,'Rent Adjustments'!$G$8:$ZO$142,74,FALSE),$F12=HLOOKUP(AD$8,'Rent Adjustments'!$G$8:$ZO$142,75,FALSE)),1,0))),IF(OR(ISERROR(HLOOKUP(AD$8,'Rent Adjustments'!$G$8:$ZO$142,74,FALSE)),ISERROR(HLOOKUP(AD$8,'Rent Adjustments'!$G$8:$ZO$142,76,FALSE))),0,IF(HLOOKUP(AD$8,'Rent Adjustments'!$G$8:$ZO$142,74,FALSE)="",0,IF(AND($G9=HLOOKUP(AD$8,'Rent Adjustments'!$G$8:$ZO$142,74,FALSE),$F12=HLOOKUP(AD$8,'Rent Adjustments'!$G$8:$ZO$142,76,FALSE)),1,0))))</f>
        <v>0</v>
      </c>
      <c r="AE12" s="707">
        <f>IF(dpIncome_RentAdjustment_4="Construction Quality",IF(OR(ISERROR(HLOOKUP(AE$8,'Rent Adjustments'!$G$8:$ZO$142,74,FALSE)),ISERROR(HLOOKUP(AE$8,'Rent Adjustments'!$G$8:$ZO$142,75,FALSE))),0,IF(HLOOKUP(AE$8,'Rent Adjustments'!$G$8:$ZO$142,74,FALSE)="",0,IF(AND($G9=HLOOKUP(AE$8,'Rent Adjustments'!$G$8:$ZO$142,74,FALSE),$F12=HLOOKUP(AE$8,'Rent Adjustments'!$G$8:$ZO$142,75,FALSE)),1,0))),IF(OR(ISERROR(HLOOKUP(AE$8,'Rent Adjustments'!$G$8:$ZO$142,74,FALSE)),ISERROR(HLOOKUP(AE$8,'Rent Adjustments'!$G$8:$ZO$142,76,FALSE))),0,IF(HLOOKUP(AE$8,'Rent Adjustments'!$G$8:$ZO$142,74,FALSE)="",0,IF(AND($G9=HLOOKUP(AE$8,'Rent Adjustments'!$G$8:$ZO$142,74,FALSE),$F12=HLOOKUP(AE$8,'Rent Adjustments'!$G$8:$ZO$142,76,FALSE)),1,0))))</f>
        <v>0</v>
      </c>
      <c r="AF12" s="707">
        <f>IF(dpIncome_RentAdjustment_4="Construction Quality",IF(OR(ISERROR(HLOOKUP(AF$8,'Rent Adjustments'!$G$8:$ZO$142,74,FALSE)),ISERROR(HLOOKUP(AF$8,'Rent Adjustments'!$G$8:$ZO$142,75,FALSE))),0,IF(HLOOKUP(AF$8,'Rent Adjustments'!$G$8:$ZO$142,74,FALSE)="",0,IF(AND($G9=HLOOKUP(AF$8,'Rent Adjustments'!$G$8:$ZO$142,74,FALSE),$F12=HLOOKUP(AF$8,'Rent Adjustments'!$G$8:$ZO$142,75,FALSE)),1,0))),IF(OR(ISERROR(HLOOKUP(AF$8,'Rent Adjustments'!$G$8:$ZO$142,74,FALSE)),ISERROR(HLOOKUP(AF$8,'Rent Adjustments'!$G$8:$ZO$142,76,FALSE))),0,IF(HLOOKUP(AF$8,'Rent Adjustments'!$G$8:$ZO$142,74,FALSE)="",0,IF(AND($G9=HLOOKUP(AF$8,'Rent Adjustments'!$G$8:$ZO$142,74,FALSE),$F12=HLOOKUP(AF$8,'Rent Adjustments'!$G$8:$ZO$142,76,FALSE)),1,0))))</f>
        <v>0</v>
      </c>
      <c r="AG12" s="707">
        <f>IF(dpIncome_RentAdjustment_4="Construction Quality",IF(OR(ISERROR(HLOOKUP(AG$8,'Rent Adjustments'!$G$8:$ZO$142,74,FALSE)),ISERROR(HLOOKUP(AG$8,'Rent Adjustments'!$G$8:$ZO$142,75,FALSE))),0,IF(HLOOKUP(AG$8,'Rent Adjustments'!$G$8:$ZO$142,74,FALSE)="",0,IF(AND($G9=HLOOKUP(AG$8,'Rent Adjustments'!$G$8:$ZO$142,74,FALSE),$F12=HLOOKUP(AG$8,'Rent Adjustments'!$G$8:$ZO$142,75,FALSE)),1,0))),IF(OR(ISERROR(HLOOKUP(AG$8,'Rent Adjustments'!$G$8:$ZO$142,74,FALSE)),ISERROR(HLOOKUP(AG$8,'Rent Adjustments'!$G$8:$ZO$142,76,FALSE))),0,IF(HLOOKUP(AG$8,'Rent Adjustments'!$G$8:$ZO$142,74,FALSE)="",0,IF(AND($G9=HLOOKUP(AG$8,'Rent Adjustments'!$G$8:$ZO$142,74,FALSE),$F12=HLOOKUP(AG$8,'Rent Adjustments'!$G$8:$ZO$142,76,FALSE)),1,0))))</f>
        <v>0</v>
      </c>
      <c r="AH12" s="707">
        <f>SUM(W12:$W12)</f>
        <v>0</v>
      </c>
      <c r="AI12" s="707">
        <f>SUM($W12:X12)</f>
        <v>0</v>
      </c>
      <c r="AJ12" s="707">
        <f>SUM($W12:Y12)</f>
        <v>0</v>
      </c>
      <c r="AK12" s="707">
        <f>SUM($W12:Z12)</f>
        <v>0</v>
      </c>
      <c r="AL12" s="707">
        <f>SUM($W12:AA12)</f>
        <v>0</v>
      </c>
      <c r="AM12" s="707">
        <f>SUM($W12:AB12)</f>
        <v>0</v>
      </c>
      <c r="AN12" s="707">
        <f>SUM($W12:AC12)</f>
        <v>0</v>
      </c>
      <c r="AO12" s="707">
        <f>SUM($W12:AD12)</f>
        <v>0</v>
      </c>
      <c r="AP12" s="707">
        <f>SUM($W12:AE12)</f>
        <v>0</v>
      </c>
      <c r="AQ12" s="707">
        <f>SUM($W12:AF12)</f>
        <v>0</v>
      </c>
      <c r="AR12" s="707">
        <f>SUM($W12:AG12)</f>
        <v>0</v>
      </c>
      <c r="AS12" s="707" t="str">
        <f t="shared" si="7"/>
        <v/>
      </c>
      <c r="AT12" s="707" t="str">
        <f t="shared" si="7"/>
        <v/>
      </c>
      <c r="AU12" s="707" t="str">
        <f t="shared" si="7"/>
        <v/>
      </c>
      <c r="AV12" s="707" t="str">
        <f t="shared" si="7"/>
        <v/>
      </c>
      <c r="AW12" s="707" t="str">
        <f t="shared" si="7"/>
        <v/>
      </c>
      <c r="AX12" s="707" t="str">
        <f t="shared" si="7"/>
        <v/>
      </c>
      <c r="AY12" s="707" t="str">
        <f t="shared" si="7"/>
        <v/>
      </c>
      <c r="AZ12" s="707" t="str">
        <f t="shared" si="7"/>
        <v/>
      </c>
      <c r="BA12" s="707" t="str">
        <f t="shared" si="7"/>
        <v/>
      </c>
      <c r="BB12" s="707" t="str">
        <f t="shared" si="7"/>
        <v/>
      </c>
      <c r="BC12" s="707" t="str">
        <f t="shared" si="7"/>
        <v/>
      </c>
    </row>
    <row r="13" spans="1:55" ht="69.95" hidden="1" customHeight="1" x14ac:dyDescent="0.25">
      <c r="A13" s="972">
        <f t="shared" si="4"/>
        <v>0</v>
      </c>
      <c r="B13" s="4"/>
      <c r="C13" s="258"/>
      <c r="D13" s="4265" t="str">
        <f t="shared" si="8"/>
        <v/>
      </c>
      <c r="E13" s="4265"/>
      <c r="F13" s="3495" t="str">
        <f>IF(dpIncome_RentAdjustment_4="Construction Quality","S - Steel Frame","")</f>
        <v>S - Steel Frame</v>
      </c>
      <c r="G13" s="4276"/>
      <c r="H13" s="4271"/>
      <c r="I13" s="4271"/>
      <c r="J13" s="4271"/>
      <c r="K13" s="4271"/>
      <c r="L13" s="3496" t="str">
        <f t="shared" si="5"/>
        <v/>
      </c>
      <c r="M13" s="4262"/>
      <c r="N13" s="4262"/>
      <c r="O13" s="4264"/>
      <c r="P13" s="3497" t="str">
        <f>IFERROR(L13+M9,"")</f>
        <v/>
      </c>
      <c r="Q13" s="3494"/>
      <c r="R13" s="6"/>
      <c r="T13" s="2090">
        <f t="shared" si="6"/>
        <v>0</v>
      </c>
      <c r="U13" s="2089" t="str">
        <f>IF(SUM($T$9:$T$43)=0,"",IF(T13=1,0,IF(SUM(T$9:T13)=0,U14-1,U12+1)))</f>
        <v/>
      </c>
      <c r="V13" s="2089"/>
      <c r="W13" s="2089">
        <f>IF(dpIncome_RentAdjustment_4="Construction Quality",IF(AND(F13=Subject_ConstructionClass,G$9=Subject_ConstructionQuality),1,0),IF(AND(F13=Subject_InvestmentClass,G$9=Subject_ConstructionQuality),1,0))</f>
        <v>0</v>
      </c>
      <c r="X13" s="2089">
        <f>IF(dpIncome_RentAdjustment_4="Construction Quality",IF(OR(ISERROR(HLOOKUP(X$8,'Rent Adjustments'!$G$8:$ZO$142,74,FALSE)),ISERROR(HLOOKUP(X$8,'Rent Adjustments'!$G$8:$ZO$142,75,FALSE))),0,IF(HLOOKUP(X$8,'Rent Adjustments'!$G$8:$ZO$142,74,FALSE)="",0,IF(AND($G9=HLOOKUP(X$8,'Rent Adjustments'!$G$8:$ZO$142,74,FALSE),$F13=HLOOKUP(X$8,'Rent Adjustments'!$G$8:$ZO$142,75,FALSE)),1,0))),IF(OR(ISERROR(HLOOKUP(X$8,'Rent Adjustments'!$G$8:$ZO$142,74,FALSE)),ISERROR(HLOOKUP(X$8,'Rent Adjustments'!$G$8:$ZO$142,76,FALSE))),0,IF(HLOOKUP(X$8,'Rent Adjustments'!$G$8:$ZO$142,74,FALSE)="",0,IF(AND($G9=HLOOKUP(X$8,'Rent Adjustments'!$G$8:$ZO$142,74,FALSE),$F13=HLOOKUP(X$8,'Rent Adjustments'!$G$8:$ZO$142,76,FALSE)),1,0))))</f>
        <v>0</v>
      </c>
      <c r="Y13" s="2089">
        <f>IF(dpIncome_RentAdjustment_4="Construction Quality",IF(OR(ISERROR(HLOOKUP(Y$8,'Rent Adjustments'!$G$8:$ZO$142,74,FALSE)),ISERROR(HLOOKUP(Y$8,'Rent Adjustments'!$G$8:$ZO$142,75,FALSE))),0,IF(HLOOKUP(Y$8,'Rent Adjustments'!$G$8:$ZO$142,74,FALSE)="",0,IF(AND($G9=HLOOKUP(Y$8,'Rent Adjustments'!$G$8:$ZO$142,74,FALSE),$F13=HLOOKUP(Y$8,'Rent Adjustments'!$G$8:$ZO$142,75,FALSE)),1,0))),IF(OR(ISERROR(HLOOKUP(Y$8,'Rent Adjustments'!$G$8:$ZO$142,74,FALSE)),ISERROR(HLOOKUP(Y$8,'Rent Adjustments'!$G$8:$ZO$142,76,FALSE))),0,IF(HLOOKUP(Y$8,'Rent Adjustments'!$G$8:$ZO$142,74,FALSE)="",0,IF(AND($G9=HLOOKUP(Y$8,'Rent Adjustments'!$G$8:$ZO$142,74,FALSE),$F13=HLOOKUP(Y$8,'Rent Adjustments'!$G$8:$ZO$142,76,FALSE)),1,0))))</f>
        <v>0</v>
      </c>
      <c r="Z13" s="2089">
        <f>IF(dpIncome_RentAdjustment_4="Construction Quality",IF(OR(ISERROR(HLOOKUP(Z$8,'Rent Adjustments'!$G$8:$ZO$142,74,FALSE)),ISERROR(HLOOKUP(Z$8,'Rent Adjustments'!$G$8:$ZO$142,75,FALSE))),0,IF(HLOOKUP(Z$8,'Rent Adjustments'!$G$8:$ZO$142,74,FALSE)="",0,IF(AND($G9=HLOOKUP(Z$8,'Rent Adjustments'!$G$8:$ZO$142,74,FALSE),$F13=HLOOKUP(Z$8,'Rent Adjustments'!$G$8:$ZO$142,75,FALSE)),1,0))),IF(OR(ISERROR(HLOOKUP(Z$8,'Rent Adjustments'!$G$8:$ZO$142,74,FALSE)),ISERROR(HLOOKUP(Z$8,'Rent Adjustments'!$G$8:$ZO$142,76,FALSE))),0,IF(HLOOKUP(Z$8,'Rent Adjustments'!$G$8:$ZO$142,74,FALSE)="",0,IF(AND($G9=HLOOKUP(Z$8,'Rent Adjustments'!$G$8:$ZO$142,74,FALSE),$F13=HLOOKUP(Z$8,'Rent Adjustments'!$G$8:$ZO$142,76,FALSE)),1,0))))</f>
        <v>0</v>
      </c>
      <c r="AA13" s="2089">
        <f>IF(dpIncome_RentAdjustment_4="Construction Quality",IF(OR(ISERROR(HLOOKUP(AA$8,'Rent Adjustments'!$G$8:$ZO$142,74,FALSE)),ISERROR(HLOOKUP(AA$8,'Rent Adjustments'!$G$8:$ZO$142,75,FALSE))),0,IF(HLOOKUP(AA$8,'Rent Adjustments'!$G$8:$ZO$142,74,FALSE)="",0,IF(AND($G9=HLOOKUP(AA$8,'Rent Adjustments'!$G$8:$ZO$142,74,FALSE),$F13=HLOOKUP(AA$8,'Rent Adjustments'!$G$8:$ZO$142,75,FALSE)),1,0))),IF(OR(ISERROR(HLOOKUP(AA$8,'Rent Adjustments'!$G$8:$ZO$142,74,FALSE)),ISERROR(HLOOKUP(AA$8,'Rent Adjustments'!$G$8:$ZO$142,76,FALSE))),0,IF(HLOOKUP(AA$8,'Rent Adjustments'!$G$8:$ZO$142,74,FALSE)="",0,IF(AND($G9=HLOOKUP(AA$8,'Rent Adjustments'!$G$8:$ZO$142,74,FALSE),$F13=HLOOKUP(AA$8,'Rent Adjustments'!$G$8:$ZO$142,76,FALSE)),1,0))))</f>
        <v>0</v>
      </c>
      <c r="AB13" s="2089">
        <f>IF(dpIncome_RentAdjustment_4="Construction Quality",IF(OR(ISERROR(HLOOKUP(AB$8,'Rent Adjustments'!$G$8:$ZO$142,74,FALSE)),ISERROR(HLOOKUP(AB$8,'Rent Adjustments'!$G$8:$ZO$142,75,FALSE))),0,IF(HLOOKUP(AB$8,'Rent Adjustments'!$G$8:$ZO$142,74,FALSE)="",0,IF(AND($G9=HLOOKUP(AB$8,'Rent Adjustments'!$G$8:$ZO$142,74,FALSE),$F13=HLOOKUP(AB$8,'Rent Adjustments'!$G$8:$ZO$142,75,FALSE)),1,0))),IF(OR(ISERROR(HLOOKUP(AB$8,'Rent Adjustments'!$G$8:$ZO$142,74,FALSE)),ISERROR(HLOOKUP(AB$8,'Rent Adjustments'!$G$8:$ZO$142,76,FALSE))),0,IF(HLOOKUP(AB$8,'Rent Adjustments'!$G$8:$ZO$142,74,FALSE)="",0,IF(AND($G9=HLOOKUP(AB$8,'Rent Adjustments'!$G$8:$ZO$142,74,FALSE),$F13=HLOOKUP(AB$8,'Rent Adjustments'!$G$8:$ZO$142,76,FALSE)),1,0))))</f>
        <v>0</v>
      </c>
      <c r="AC13" s="2089">
        <f>IF(dpIncome_RentAdjustment_4="Construction Quality",IF(OR(ISERROR(HLOOKUP(AC$8,'Rent Adjustments'!$G$8:$ZO$142,74,FALSE)),ISERROR(HLOOKUP(AC$8,'Rent Adjustments'!$G$8:$ZO$142,75,FALSE))),0,IF(HLOOKUP(AC$8,'Rent Adjustments'!$G$8:$ZO$142,74,FALSE)="",0,IF(AND($G9=HLOOKUP(AC$8,'Rent Adjustments'!$G$8:$ZO$142,74,FALSE),$F13=HLOOKUP(AC$8,'Rent Adjustments'!$G$8:$ZO$142,75,FALSE)),1,0))),IF(OR(ISERROR(HLOOKUP(AC$8,'Rent Adjustments'!$G$8:$ZO$142,74,FALSE)),ISERROR(HLOOKUP(AC$8,'Rent Adjustments'!$G$8:$ZO$142,76,FALSE))),0,IF(HLOOKUP(AC$8,'Rent Adjustments'!$G$8:$ZO$142,74,FALSE)="",0,IF(AND($G9=HLOOKUP(AC$8,'Rent Adjustments'!$G$8:$ZO$142,74,FALSE),$F13=HLOOKUP(AC$8,'Rent Adjustments'!$G$8:$ZO$142,76,FALSE)),1,0))))</f>
        <v>0</v>
      </c>
      <c r="AD13" s="2089">
        <f>IF(dpIncome_RentAdjustment_4="Construction Quality",IF(OR(ISERROR(HLOOKUP(AD$8,'Rent Adjustments'!$G$8:$ZO$142,74,FALSE)),ISERROR(HLOOKUP(AD$8,'Rent Adjustments'!$G$8:$ZO$142,75,FALSE))),0,IF(HLOOKUP(AD$8,'Rent Adjustments'!$G$8:$ZO$142,74,FALSE)="",0,IF(AND($G9=HLOOKUP(AD$8,'Rent Adjustments'!$G$8:$ZO$142,74,FALSE),$F13=HLOOKUP(AD$8,'Rent Adjustments'!$G$8:$ZO$142,75,FALSE)),1,0))),IF(OR(ISERROR(HLOOKUP(AD$8,'Rent Adjustments'!$G$8:$ZO$142,74,FALSE)),ISERROR(HLOOKUP(AD$8,'Rent Adjustments'!$G$8:$ZO$142,76,FALSE))),0,IF(HLOOKUP(AD$8,'Rent Adjustments'!$G$8:$ZO$142,74,FALSE)="",0,IF(AND($G9=HLOOKUP(AD$8,'Rent Adjustments'!$G$8:$ZO$142,74,FALSE),$F13=HLOOKUP(AD$8,'Rent Adjustments'!$G$8:$ZO$142,76,FALSE)),1,0))))</f>
        <v>0</v>
      </c>
      <c r="AE13" s="2089">
        <f>IF(dpIncome_RentAdjustment_4="Construction Quality",IF(OR(ISERROR(HLOOKUP(AE$8,'Rent Adjustments'!$G$8:$ZO$142,74,FALSE)),ISERROR(HLOOKUP(AE$8,'Rent Adjustments'!$G$8:$ZO$142,75,FALSE))),0,IF(HLOOKUP(AE$8,'Rent Adjustments'!$G$8:$ZO$142,74,FALSE)="",0,IF(AND($G9=HLOOKUP(AE$8,'Rent Adjustments'!$G$8:$ZO$142,74,FALSE),$F13=HLOOKUP(AE$8,'Rent Adjustments'!$G$8:$ZO$142,75,FALSE)),1,0))),IF(OR(ISERROR(HLOOKUP(AE$8,'Rent Adjustments'!$G$8:$ZO$142,74,FALSE)),ISERROR(HLOOKUP(AE$8,'Rent Adjustments'!$G$8:$ZO$142,76,FALSE))),0,IF(HLOOKUP(AE$8,'Rent Adjustments'!$G$8:$ZO$142,74,FALSE)="",0,IF(AND($G9=HLOOKUP(AE$8,'Rent Adjustments'!$G$8:$ZO$142,74,FALSE),$F13=HLOOKUP(AE$8,'Rent Adjustments'!$G$8:$ZO$142,76,FALSE)),1,0))))</f>
        <v>0</v>
      </c>
      <c r="AF13" s="2089">
        <f>IF(dpIncome_RentAdjustment_4="Construction Quality",IF(OR(ISERROR(HLOOKUP(AF$8,'Rent Adjustments'!$G$8:$ZO$142,74,FALSE)),ISERROR(HLOOKUP(AF$8,'Rent Adjustments'!$G$8:$ZO$142,75,FALSE))),0,IF(HLOOKUP(AF$8,'Rent Adjustments'!$G$8:$ZO$142,74,FALSE)="",0,IF(AND($G9=HLOOKUP(AF$8,'Rent Adjustments'!$G$8:$ZO$142,74,FALSE),$F13=HLOOKUP(AF$8,'Rent Adjustments'!$G$8:$ZO$142,75,FALSE)),1,0))),IF(OR(ISERROR(HLOOKUP(AF$8,'Rent Adjustments'!$G$8:$ZO$142,74,FALSE)),ISERROR(HLOOKUP(AF$8,'Rent Adjustments'!$G$8:$ZO$142,76,FALSE))),0,IF(HLOOKUP(AF$8,'Rent Adjustments'!$G$8:$ZO$142,74,FALSE)="",0,IF(AND($G9=HLOOKUP(AF$8,'Rent Adjustments'!$G$8:$ZO$142,74,FALSE),$F13=HLOOKUP(AF$8,'Rent Adjustments'!$G$8:$ZO$142,76,FALSE)),1,0))))</f>
        <v>0</v>
      </c>
      <c r="AG13" s="2089">
        <f>IF(dpIncome_RentAdjustment_4="Construction Quality",IF(OR(ISERROR(HLOOKUP(AG$8,'Rent Adjustments'!$G$8:$ZO$142,74,FALSE)),ISERROR(HLOOKUP(AG$8,'Rent Adjustments'!$G$8:$ZO$142,75,FALSE))),0,IF(HLOOKUP(AG$8,'Rent Adjustments'!$G$8:$ZO$142,74,FALSE)="",0,IF(AND($G9=HLOOKUP(AG$8,'Rent Adjustments'!$G$8:$ZO$142,74,FALSE),$F13=HLOOKUP(AG$8,'Rent Adjustments'!$G$8:$ZO$142,75,FALSE)),1,0))),IF(OR(ISERROR(HLOOKUP(AG$8,'Rent Adjustments'!$G$8:$ZO$142,74,FALSE)),ISERROR(HLOOKUP(AG$8,'Rent Adjustments'!$G$8:$ZO$142,76,FALSE))),0,IF(HLOOKUP(AG$8,'Rent Adjustments'!$G$8:$ZO$142,74,FALSE)="",0,IF(AND($G9=HLOOKUP(AG$8,'Rent Adjustments'!$G$8:$ZO$142,74,FALSE),$F13=HLOOKUP(AG$8,'Rent Adjustments'!$G$8:$ZO$142,76,FALSE)),1,0))))</f>
        <v>0</v>
      </c>
      <c r="AH13" s="2089">
        <f>SUM(W13:$W13)</f>
        <v>0</v>
      </c>
      <c r="AI13" s="2089">
        <f>SUM($W13:X13)</f>
        <v>0</v>
      </c>
      <c r="AJ13" s="2089">
        <f>SUM($W13:Y13)</f>
        <v>0</v>
      </c>
      <c r="AK13" s="2089">
        <f>SUM($W13:Z13)</f>
        <v>0</v>
      </c>
      <c r="AL13" s="2089">
        <f>SUM($W13:AA13)</f>
        <v>0</v>
      </c>
      <c r="AM13" s="2089">
        <f>SUM($W13:AB13)</f>
        <v>0</v>
      </c>
      <c r="AN13" s="2089">
        <f>SUM($W13:AC13)</f>
        <v>0</v>
      </c>
      <c r="AO13" s="2089">
        <f>SUM($W13:AD13)</f>
        <v>0</v>
      </c>
      <c r="AP13" s="2089">
        <f>SUM($W13:AE13)</f>
        <v>0</v>
      </c>
      <c r="AQ13" s="2089">
        <f>SUM($W13:AF13)</f>
        <v>0</v>
      </c>
      <c r="AR13" s="2089">
        <f>SUM($W13:AG13)</f>
        <v>0</v>
      </c>
      <c r="AS13" s="2089" t="str">
        <f t="shared" si="7"/>
        <v/>
      </c>
      <c r="AT13" s="2089" t="str">
        <f t="shared" si="7"/>
        <v/>
      </c>
      <c r="AU13" s="2089" t="str">
        <f t="shared" si="7"/>
        <v/>
      </c>
      <c r="AV13" s="2089" t="str">
        <f t="shared" si="7"/>
        <v/>
      </c>
      <c r="AW13" s="2089" t="str">
        <f t="shared" si="7"/>
        <v/>
      </c>
      <c r="AX13" s="2089" t="str">
        <f t="shared" si="7"/>
        <v/>
      </c>
      <c r="AY13" s="2089" t="str">
        <f t="shared" si="7"/>
        <v/>
      </c>
      <c r="AZ13" s="2089" t="str">
        <f t="shared" si="7"/>
        <v/>
      </c>
      <c r="BA13" s="2089" t="str">
        <f t="shared" si="7"/>
        <v/>
      </c>
      <c r="BB13" s="2089" t="str">
        <f t="shared" si="7"/>
        <v/>
      </c>
      <c r="BC13" s="2089" t="str">
        <f t="shared" si="7"/>
        <v/>
      </c>
    </row>
    <row r="14" spans="1:55" ht="69.95" hidden="1" customHeight="1" x14ac:dyDescent="0.25">
      <c r="A14" s="972">
        <f t="shared" si="4"/>
        <v>0</v>
      </c>
      <c r="B14" s="4"/>
      <c r="C14" s="258"/>
      <c r="D14" s="4254" t="str">
        <f t="shared" si="8"/>
        <v/>
      </c>
      <c r="E14" s="4254"/>
      <c r="F14" s="3491" t="str">
        <f>IF(dpIncome_RentAdjustment_4="Construction Quality","A - Structural Steel","A")</f>
        <v>A - Structural Steel</v>
      </c>
      <c r="G14" s="4275" t="s">
        <v>1460</v>
      </c>
      <c r="H14" s="4270" t="s">
        <v>1811</v>
      </c>
      <c r="I14" s="4270"/>
      <c r="J14" s="4270"/>
      <c r="K14" s="4270"/>
      <c r="L14" s="3492" t="str">
        <f t="shared" si="5"/>
        <v/>
      </c>
      <c r="M14" s="4261">
        <f>dpIncome_Rent_Quality_RatingAdj*V14</f>
        <v>-0.60000000000000009</v>
      </c>
      <c r="N14" s="4261"/>
      <c r="O14" s="4263" t="s">
        <v>177</v>
      </c>
      <c r="P14" s="3493" t="str">
        <f>IFERROR(L14+M14,"")</f>
        <v/>
      </c>
      <c r="Q14" s="3494"/>
      <c r="R14" s="6"/>
      <c r="T14" s="2100">
        <f t="shared" si="6"/>
        <v>0</v>
      </c>
      <c r="U14" s="707" t="str">
        <f>U9</f>
        <v/>
      </c>
      <c r="V14" s="707">
        <f>IF(SUM(W14:W18)=1,0,IF(SUM(W$9:W14)=0,V19-1,V9+1))</f>
        <v>-6</v>
      </c>
      <c r="W14" s="707">
        <f>IF(dpIncome_RentAdjustment_4="Construction Quality",IF(AND(F14=Subject_ConstructionClass,G$14=Subject_ConstructionQuality),1,0),IF(AND(F14=Subject_InvestmentClass,G$14=Subject_ConstructionQuality),1,0))</f>
        <v>0</v>
      </c>
      <c r="X14" s="707">
        <f>IF(dpIncome_RentAdjustment_4="Construction Quality",IF(OR(ISERROR(HLOOKUP(X$8,'Rent Adjustments'!$G$8:$ZO$142,74,FALSE)),ISERROR(HLOOKUP(X$8,'Rent Adjustments'!$G$8:$ZO$142,75,FALSE))),0,IF(HLOOKUP(X$8,'Rent Adjustments'!$G$8:$ZO$142,74,FALSE)="",0,IF(AND($G14=HLOOKUP(X$8,'Rent Adjustments'!$G$8:$ZO$142,74,FALSE),$F14=HLOOKUP(X$8,'Rent Adjustments'!$G$8:$ZO$142,75,FALSE)),1,0))),IF(OR(ISERROR(HLOOKUP(X$8,'Rent Adjustments'!$G$8:$ZO$142,74,FALSE)),ISERROR(HLOOKUP(X$8,'Rent Adjustments'!$G$8:$ZO$142,76,FALSE))),0,IF(HLOOKUP(X$8,'Rent Adjustments'!$G$8:$ZO$142,74,FALSE)="",0,IF(AND($G14=HLOOKUP(X$8,'Rent Adjustments'!$G$8:$ZO$142,74,FALSE),$F14=HLOOKUP(X$8,'Rent Adjustments'!$G$8:$ZO$142,76,FALSE)),1,0))))</f>
        <v>0</v>
      </c>
      <c r="Y14" s="707">
        <f>IF(dpIncome_RentAdjustment_4="Construction Quality",IF(OR(ISERROR(HLOOKUP(Y$8,'Rent Adjustments'!$G$8:$ZO$142,74,FALSE)),ISERROR(HLOOKUP(Y$8,'Rent Adjustments'!$G$8:$ZO$142,75,FALSE))),0,IF(HLOOKUP(Y$8,'Rent Adjustments'!$G$8:$ZO$142,74,FALSE)="",0,IF(AND($G14=HLOOKUP(Y$8,'Rent Adjustments'!$G$8:$ZO$142,74,FALSE),$F14=HLOOKUP(Y$8,'Rent Adjustments'!$G$8:$ZO$142,75,FALSE)),1,0))),IF(OR(ISERROR(HLOOKUP(Y$8,'Rent Adjustments'!$G$8:$ZO$142,74,FALSE)),ISERROR(HLOOKUP(Y$8,'Rent Adjustments'!$G$8:$ZO$142,76,FALSE))),0,IF(HLOOKUP(Y$8,'Rent Adjustments'!$G$8:$ZO$142,74,FALSE)="",0,IF(AND($G14=HLOOKUP(Y$8,'Rent Adjustments'!$G$8:$ZO$142,74,FALSE),$F14=HLOOKUP(Y$8,'Rent Adjustments'!$G$8:$ZO$142,76,FALSE)),1,0))))</f>
        <v>0</v>
      </c>
      <c r="Z14" s="707">
        <f>IF(dpIncome_RentAdjustment_4="Construction Quality",IF(OR(ISERROR(HLOOKUP(Z$8,'Rent Adjustments'!$G$8:$ZO$142,74,FALSE)),ISERROR(HLOOKUP(Z$8,'Rent Adjustments'!$G$8:$ZO$142,75,FALSE))),0,IF(HLOOKUP(Z$8,'Rent Adjustments'!$G$8:$ZO$142,74,FALSE)="",0,IF(AND($G14=HLOOKUP(Z$8,'Rent Adjustments'!$G$8:$ZO$142,74,FALSE),$F14=HLOOKUP(Z$8,'Rent Adjustments'!$G$8:$ZO$142,75,FALSE)),1,0))),IF(OR(ISERROR(HLOOKUP(Z$8,'Rent Adjustments'!$G$8:$ZO$142,74,FALSE)),ISERROR(HLOOKUP(Z$8,'Rent Adjustments'!$G$8:$ZO$142,76,FALSE))),0,IF(HLOOKUP(Z$8,'Rent Adjustments'!$G$8:$ZO$142,74,FALSE)="",0,IF(AND($G14=HLOOKUP(Z$8,'Rent Adjustments'!$G$8:$ZO$142,74,FALSE),$F14=HLOOKUP(Z$8,'Rent Adjustments'!$G$8:$ZO$142,76,FALSE)),1,0))))</f>
        <v>0</v>
      </c>
      <c r="AA14" s="707">
        <f>IF(dpIncome_RentAdjustment_4="Construction Quality",IF(OR(ISERROR(HLOOKUP(AA$8,'Rent Adjustments'!$G$8:$ZO$142,74,FALSE)),ISERROR(HLOOKUP(AA$8,'Rent Adjustments'!$G$8:$ZO$142,75,FALSE))),0,IF(HLOOKUP(AA$8,'Rent Adjustments'!$G$8:$ZO$142,74,FALSE)="",0,IF(AND($G14=HLOOKUP(AA$8,'Rent Adjustments'!$G$8:$ZO$142,74,FALSE),$F14=HLOOKUP(AA$8,'Rent Adjustments'!$G$8:$ZO$142,75,FALSE)),1,0))),IF(OR(ISERROR(HLOOKUP(AA$8,'Rent Adjustments'!$G$8:$ZO$142,74,FALSE)),ISERROR(HLOOKUP(AA$8,'Rent Adjustments'!$G$8:$ZO$142,76,FALSE))),0,IF(HLOOKUP(AA$8,'Rent Adjustments'!$G$8:$ZO$142,74,FALSE)="",0,IF(AND($G14=HLOOKUP(AA$8,'Rent Adjustments'!$G$8:$ZO$142,74,FALSE),$F14=HLOOKUP(AA$8,'Rent Adjustments'!$G$8:$ZO$142,76,FALSE)),1,0))))</f>
        <v>0</v>
      </c>
      <c r="AB14" s="707">
        <f>IF(dpIncome_RentAdjustment_4="Construction Quality",IF(OR(ISERROR(HLOOKUP(AB$8,'Rent Adjustments'!$G$8:$ZO$142,74,FALSE)),ISERROR(HLOOKUP(AB$8,'Rent Adjustments'!$G$8:$ZO$142,75,FALSE))),0,IF(HLOOKUP(AB$8,'Rent Adjustments'!$G$8:$ZO$142,74,FALSE)="",0,IF(AND($G14=HLOOKUP(AB$8,'Rent Adjustments'!$G$8:$ZO$142,74,FALSE),$F14=HLOOKUP(AB$8,'Rent Adjustments'!$G$8:$ZO$142,75,FALSE)),1,0))),IF(OR(ISERROR(HLOOKUP(AB$8,'Rent Adjustments'!$G$8:$ZO$142,74,FALSE)),ISERROR(HLOOKUP(AB$8,'Rent Adjustments'!$G$8:$ZO$142,76,FALSE))),0,IF(HLOOKUP(AB$8,'Rent Adjustments'!$G$8:$ZO$142,74,FALSE)="",0,IF(AND($G14=HLOOKUP(AB$8,'Rent Adjustments'!$G$8:$ZO$142,74,FALSE),$F14=HLOOKUP(AB$8,'Rent Adjustments'!$G$8:$ZO$142,76,FALSE)),1,0))))</f>
        <v>0</v>
      </c>
      <c r="AC14" s="707">
        <f>IF(dpIncome_RentAdjustment_4="Construction Quality",IF(OR(ISERROR(HLOOKUP(AC$8,'Rent Adjustments'!$G$8:$ZO$142,74,FALSE)),ISERROR(HLOOKUP(AC$8,'Rent Adjustments'!$G$8:$ZO$142,75,FALSE))),0,IF(HLOOKUP(AC$8,'Rent Adjustments'!$G$8:$ZO$142,74,FALSE)="",0,IF(AND($G14=HLOOKUP(AC$8,'Rent Adjustments'!$G$8:$ZO$142,74,FALSE),$F14=HLOOKUP(AC$8,'Rent Adjustments'!$G$8:$ZO$142,75,FALSE)),1,0))),IF(OR(ISERROR(HLOOKUP(AC$8,'Rent Adjustments'!$G$8:$ZO$142,74,FALSE)),ISERROR(HLOOKUP(AC$8,'Rent Adjustments'!$G$8:$ZO$142,76,FALSE))),0,IF(HLOOKUP(AC$8,'Rent Adjustments'!$G$8:$ZO$142,74,FALSE)="",0,IF(AND($G14=HLOOKUP(AC$8,'Rent Adjustments'!$G$8:$ZO$142,74,FALSE),$F14=HLOOKUP(AC$8,'Rent Adjustments'!$G$8:$ZO$142,76,FALSE)),1,0))))</f>
        <v>0</v>
      </c>
      <c r="AD14" s="707">
        <f>IF(dpIncome_RentAdjustment_4="Construction Quality",IF(OR(ISERROR(HLOOKUP(AD$8,'Rent Adjustments'!$G$8:$ZO$142,74,FALSE)),ISERROR(HLOOKUP(AD$8,'Rent Adjustments'!$G$8:$ZO$142,75,FALSE))),0,IF(HLOOKUP(AD$8,'Rent Adjustments'!$G$8:$ZO$142,74,FALSE)="",0,IF(AND($G14=HLOOKUP(AD$8,'Rent Adjustments'!$G$8:$ZO$142,74,FALSE),$F14=HLOOKUP(AD$8,'Rent Adjustments'!$G$8:$ZO$142,75,FALSE)),1,0))),IF(OR(ISERROR(HLOOKUP(AD$8,'Rent Adjustments'!$G$8:$ZO$142,74,FALSE)),ISERROR(HLOOKUP(AD$8,'Rent Adjustments'!$G$8:$ZO$142,76,FALSE))),0,IF(HLOOKUP(AD$8,'Rent Adjustments'!$G$8:$ZO$142,74,FALSE)="",0,IF(AND($G14=HLOOKUP(AD$8,'Rent Adjustments'!$G$8:$ZO$142,74,FALSE),$F14=HLOOKUP(AD$8,'Rent Adjustments'!$G$8:$ZO$142,76,FALSE)),1,0))))</f>
        <v>0</v>
      </c>
      <c r="AE14" s="707">
        <f>IF(dpIncome_RentAdjustment_4="Construction Quality",IF(OR(ISERROR(HLOOKUP(AE$8,'Rent Adjustments'!$G$8:$ZO$142,74,FALSE)),ISERROR(HLOOKUP(AE$8,'Rent Adjustments'!$G$8:$ZO$142,75,FALSE))),0,IF(HLOOKUP(AE$8,'Rent Adjustments'!$G$8:$ZO$142,74,FALSE)="",0,IF(AND($G14=HLOOKUP(AE$8,'Rent Adjustments'!$G$8:$ZO$142,74,FALSE),$F14=HLOOKUP(AE$8,'Rent Adjustments'!$G$8:$ZO$142,75,FALSE)),1,0))),IF(OR(ISERROR(HLOOKUP(AE$8,'Rent Adjustments'!$G$8:$ZO$142,74,FALSE)),ISERROR(HLOOKUP(AE$8,'Rent Adjustments'!$G$8:$ZO$142,76,FALSE))),0,IF(HLOOKUP(AE$8,'Rent Adjustments'!$G$8:$ZO$142,74,FALSE)="",0,IF(AND($G14=HLOOKUP(AE$8,'Rent Adjustments'!$G$8:$ZO$142,74,FALSE),$F14=HLOOKUP(AE$8,'Rent Adjustments'!$G$8:$ZO$142,76,FALSE)),1,0))))</f>
        <v>0</v>
      </c>
      <c r="AF14" s="707">
        <f>IF(dpIncome_RentAdjustment_4="Construction Quality",IF(OR(ISERROR(HLOOKUP(AF$8,'Rent Adjustments'!$G$8:$ZO$142,74,FALSE)),ISERROR(HLOOKUP(AF$8,'Rent Adjustments'!$G$8:$ZO$142,75,FALSE))),0,IF(HLOOKUP(AF$8,'Rent Adjustments'!$G$8:$ZO$142,74,FALSE)="",0,IF(AND($G14=HLOOKUP(AF$8,'Rent Adjustments'!$G$8:$ZO$142,74,FALSE),$F14=HLOOKUP(AF$8,'Rent Adjustments'!$G$8:$ZO$142,75,FALSE)),1,0))),IF(OR(ISERROR(HLOOKUP(AF$8,'Rent Adjustments'!$G$8:$ZO$142,74,FALSE)),ISERROR(HLOOKUP(AF$8,'Rent Adjustments'!$G$8:$ZO$142,76,FALSE))),0,IF(HLOOKUP(AF$8,'Rent Adjustments'!$G$8:$ZO$142,74,FALSE)="",0,IF(AND($G14=HLOOKUP(AF$8,'Rent Adjustments'!$G$8:$ZO$142,74,FALSE),$F14=HLOOKUP(AF$8,'Rent Adjustments'!$G$8:$ZO$142,76,FALSE)),1,0))))</f>
        <v>0</v>
      </c>
      <c r="AG14" s="707">
        <f>IF(dpIncome_RentAdjustment_4="Construction Quality",IF(OR(ISERROR(HLOOKUP(AG$8,'Rent Adjustments'!$G$8:$ZO$142,74,FALSE)),ISERROR(HLOOKUP(AG$8,'Rent Adjustments'!$G$8:$ZO$142,75,FALSE))),0,IF(HLOOKUP(AG$8,'Rent Adjustments'!$G$8:$ZO$142,74,FALSE)="",0,IF(AND($G14=HLOOKUP(AG$8,'Rent Adjustments'!$G$8:$ZO$142,74,FALSE),$F14=HLOOKUP(AG$8,'Rent Adjustments'!$G$8:$ZO$142,75,FALSE)),1,0))),IF(OR(ISERROR(HLOOKUP(AG$8,'Rent Adjustments'!$G$8:$ZO$142,74,FALSE)),ISERROR(HLOOKUP(AG$8,'Rent Adjustments'!$G$8:$ZO$142,76,FALSE))),0,IF(HLOOKUP(AG$8,'Rent Adjustments'!$G$8:$ZO$142,74,FALSE)="",0,IF(AND($G14=HLOOKUP(AG$8,'Rent Adjustments'!$G$8:$ZO$142,74,FALSE),$F14=HLOOKUP(AG$8,'Rent Adjustments'!$G$8:$ZO$142,76,FALSE)),1,0))))</f>
        <v>0</v>
      </c>
      <c r="AH14" s="707">
        <f>SUM(W14:$W14)</f>
        <v>0</v>
      </c>
      <c r="AI14" s="707">
        <f>SUM($W14:X14)</f>
        <v>0</v>
      </c>
      <c r="AJ14" s="707">
        <f>SUM($W14:Y14)</f>
        <v>0</v>
      </c>
      <c r="AK14" s="707">
        <f>SUM($W14:Z14)</f>
        <v>0</v>
      </c>
      <c r="AL14" s="707">
        <f>SUM($W14:AA14)</f>
        <v>0</v>
      </c>
      <c r="AM14" s="707">
        <f>SUM($W14:AB14)</f>
        <v>0</v>
      </c>
      <c r="AN14" s="707">
        <f>SUM($W14:AC14)</f>
        <v>0</v>
      </c>
      <c r="AO14" s="707">
        <f>SUM($W14:AD14)</f>
        <v>0</v>
      </c>
      <c r="AP14" s="707">
        <f>SUM($W14:AE14)</f>
        <v>0</v>
      </c>
      <c r="AQ14" s="707">
        <f>SUM($W14:AF14)</f>
        <v>0</v>
      </c>
      <c r="AR14" s="707">
        <f>SUM($W14:AG14)</f>
        <v>0</v>
      </c>
      <c r="AS14" s="707" t="str">
        <f t="shared" si="7"/>
        <v/>
      </c>
      <c r="AT14" s="707" t="str">
        <f t="shared" si="7"/>
        <v/>
      </c>
      <c r="AU14" s="707" t="str">
        <f t="shared" si="7"/>
        <v/>
      </c>
      <c r="AV14" s="707" t="str">
        <f t="shared" si="7"/>
        <v/>
      </c>
      <c r="AW14" s="707" t="str">
        <f t="shared" si="7"/>
        <v/>
      </c>
      <c r="AX14" s="707" t="str">
        <f t="shared" si="7"/>
        <v/>
      </c>
      <c r="AY14" s="707" t="str">
        <f t="shared" si="7"/>
        <v/>
      </c>
      <c r="AZ14" s="707" t="str">
        <f t="shared" si="7"/>
        <v/>
      </c>
      <c r="BA14" s="707" t="str">
        <f t="shared" si="7"/>
        <v/>
      </c>
      <c r="BB14" s="707" t="str">
        <f t="shared" si="7"/>
        <v/>
      </c>
      <c r="BC14" s="707" t="str">
        <f t="shared" si="7"/>
        <v/>
      </c>
    </row>
    <row r="15" spans="1:55" ht="69.95" hidden="1" customHeight="1" x14ac:dyDescent="0.25">
      <c r="A15" s="972">
        <f t="shared" si="4"/>
        <v>0</v>
      </c>
      <c r="B15" s="4"/>
      <c r="C15" s="258"/>
      <c r="D15" s="4254" t="str">
        <f t="shared" si="8"/>
        <v/>
      </c>
      <c r="E15" s="4254"/>
      <c r="F15" s="3491" t="str">
        <f>IF(dpIncome_RentAdjustment_4="Construction Quality","B - Reinforced Concrete","B")</f>
        <v>B - Reinforced Concrete</v>
      </c>
      <c r="G15" s="4276"/>
      <c r="H15" s="4270"/>
      <c r="I15" s="4270"/>
      <c r="J15" s="4270"/>
      <c r="K15" s="4270"/>
      <c r="L15" s="3492" t="str">
        <f t="shared" si="5"/>
        <v/>
      </c>
      <c r="M15" s="4261"/>
      <c r="N15" s="4261"/>
      <c r="O15" s="4263"/>
      <c r="P15" s="3493" t="str">
        <f>IFERROR(L15+M14,"")</f>
        <v/>
      </c>
      <c r="Q15" s="3494"/>
      <c r="R15" s="6"/>
      <c r="T15" s="2100">
        <f t="shared" si="6"/>
        <v>0</v>
      </c>
      <c r="U15" s="707" t="str">
        <f t="shared" ref="U15:U35" si="9">U10</f>
        <v/>
      </c>
      <c r="V15" s="707"/>
      <c r="W15" s="707">
        <f>IF(dpIncome_RentAdjustment_4="Construction Quality",IF(AND(F15=Subject_ConstructionClass,G$14=Subject_ConstructionQuality),1,0),IF(AND(F15=Subject_InvestmentClass,G$14=Subject_ConstructionQuality),1,0))</f>
        <v>0</v>
      </c>
      <c r="X15" s="707">
        <f>IF(dpIncome_RentAdjustment_4="Construction Quality",IF(OR(ISERROR(HLOOKUP(X$8,'Rent Adjustments'!$G$8:$ZO$142,74,FALSE)),ISERROR(HLOOKUP(X$8,'Rent Adjustments'!$G$8:$ZO$142,75,FALSE))),0,IF(HLOOKUP(X$8,'Rent Adjustments'!$G$8:$ZO$142,74,FALSE)="",0,IF(AND($G14=HLOOKUP(X$8,'Rent Adjustments'!$G$8:$ZO$142,74,FALSE),$F15=HLOOKUP(X$8,'Rent Adjustments'!$G$8:$ZO$142,75,FALSE)),1,0))),IF(OR(ISERROR(HLOOKUP(X$8,'Rent Adjustments'!$G$8:$ZO$142,74,FALSE)),ISERROR(HLOOKUP(X$8,'Rent Adjustments'!$G$8:$ZO$142,76,FALSE))),0,IF(HLOOKUP(X$8,'Rent Adjustments'!$G$8:$ZO$142,74,FALSE)="",0,IF(AND($G14=HLOOKUP(X$8,'Rent Adjustments'!$G$8:$ZO$142,74,FALSE),$F15=HLOOKUP(X$8,'Rent Adjustments'!$G$8:$ZO$142,76,FALSE)),1,0))))</f>
        <v>0</v>
      </c>
      <c r="Y15" s="707">
        <f>IF(dpIncome_RentAdjustment_4="Construction Quality",IF(OR(ISERROR(HLOOKUP(Y$8,'Rent Adjustments'!$G$8:$ZO$142,74,FALSE)),ISERROR(HLOOKUP(Y$8,'Rent Adjustments'!$G$8:$ZO$142,75,FALSE))),0,IF(HLOOKUP(Y$8,'Rent Adjustments'!$G$8:$ZO$142,74,FALSE)="",0,IF(AND($G14=HLOOKUP(Y$8,'Rent Adjustments'!$G$8:$ZO$142,74,FALSE),$F15=HLOOKUP(Y$8,'Rent Adjustments'!$G$8:$ZO$142,75,FALSE)),1,0))),IF(OR(ISERROR(HLOOKUP(Y$8,'Rent Adjustments'!$G$8:$ZO$142,74,FALSE)),ISERROR(HLOOKUP(Y$8,'Rent Adjustments'!$G$8:$ZO$142,76,FALSE))),0,IF(HLOOKUP(Y$8,'Rent Adjustments'!$G$8:$ZO$142,74,FALSE)="",0,IF(AND($G14=HLOOKUP(Y$8,'Rent Adjustments'!$G$8:$ZO$142,74,FALSE),$F15=HLOOKUP(Y$8,'Rent Adjustments'!$G$8:$ZO$142,76,FALSE)),1,0))))</f>
        <v>0</v>
      </c>
      <c r="Z15" s="707">
        <f>IF(dpIncome_RentAdjustment_4="Construction Quality",IF(OR(ISERROR(HLOOKUP(Z$8,'Rent Adjustments'!$G$8:$ZO$142,74,FALSE)),ISERROR(HLOOKUP(Z$8,'Rent Adjustments'!$G$8:$ZO$142,75,FALSE))),0,IF(HLOOKUP(Z$8,'Rent Adjustments'!$G$8:$ZO$142,74,FALSE)="",0,IF(AND($G14=HLOOKUP(Z$8,'Rent Adjustments'!$G$8:$ZO$142,74,FALSE),$F15=HLOOKUP(Z$8,'Rent Adjustments'!$G$8:$ZO$142,75,FALSE)),1,0))),IF(OR(ISERROR(HLOOKUP(Z$8,'Rent Adjustments'!$G$8:$ZO$142,74,FALSE)),ISERROR(HLOOKUP(Z$8,'Rent Adjustments'!$G$8:$ZO$142,76,FALSE))),0,IF(HLOOKUP(Z$8,'Rent Adjustments'!$G$8:$ZO$142,74,FALSE)="",0,IF(AND($G14=HLOOKUP(Z$8,'Rent Adjustments'!$G$8:$ZO$142,74,FALSE),$F15=HLOOKUP(Z$8,'Rent Adjustments'!$G$8:$ZO$142,76,FALSE)),1,0))))</f>
        <v>0</v>
      </c>
      <c r="AA15" s="707">
        <f>IF(dpIncome_RentAdjustment_4="Construction Quality",IF(OR(ISERROR(HLOOKUP(AA$8,'Rent Adjustments'!$G$8:$ZO$142,74,FALSE)),ISERROR(HLOOKUP(AA$8,'Rent Adjustments'!$G$8:$ZO$142,75,FALSE))),0,IF(HLOOKUP(AA$8,'Rent Adjustments'!$G$8:$ZO$142,74,FALSE)="",0,IF(AND($G14=HLOOKUP(AA$8,'Rent Adjustments'!$G$8:$ZO$142,74,FALSE),$F15=HLOOKUP(AA$8,'Rent Adjustments'!$G$8:$ZO$142,75,FALSE)),1,0))),IF(OR(ISERROR(HLOOKUP(AA$8,'Rent Adjustments'!$G$8:$ZO$142,74,FALSE)),ISERROR(HLOOKUP(AA$8,'Rent Adjustments'!$G$8:$ZO$142,76,FALSE))),0,IF(HLOOKUP(AA$8,'Rent Adjustments'!$G$8:$ZO$142,74,FALSE)="",0,IF(AND($G14=HLOOKUP(AA$8,'Rent Adjustments'!$G$8:$ZO$142,74,FALSE),$F15=HLOOKUP(AA$8,'Rent Adjustments'!$G$8:$ZO$142,76,FALSE)),1,0))))</f>
        <v>0</v>
      </c>
      <c r="AB15" s="707">
        <f>IF(dpIncome_RentAdjustment_4="Construction Quality",IF(OR(ISERROR(HLOOKUP(AB$8,'Rent Adjustments'!$G$8:$ZO$142,74,FALSE)),ISERROR(HLOOKUP(AB$8,'Rent Adjustments'!$G$8:$ZO$142,75,FALSE))),0,IF(HLOOKUP(AB$8,'Rent Adjustments'!$G$8:$ZO$142,74,FALSE)="",0,IF(AND($G14=HLOOKUP(AB$8,'Rent Adjustments'!$G$8:$ZO$142,74,FALSE),$F15=HLOOKUP(AB$8,'Rent Adjustments'!$G$8:$ZO$142,75,FALSE)),1,0))),IF(OR(ISERROR(HLOOKUP(AB$8,'Rent Adjustments'!$G$8:$ZO$142,74,FALSE)),ISERROR(HLOOKUP(AB$8,'Rent Adjustments'!$G$8:$ZO$142,76,FALSE))),0,IF(HLOOKUP(AB$8,'Rent Adjustments'!$G$8:$ZO$142,74,FALSE)="",0,IF(AND($G14=HLOOKUP(AB$8,'Rent Adjustments'!$G$8:$ZO$142,74,FALSE),$F15=HLOOKUP(AB$8,'Rent Adjustments'!$G$8:$ZO$142,76,FALSE)),1,0))))</f>
        <v>0</v>
      </c>
      <c r="AC15" s="707">
        <f>IF(dpIncome_RentAdjustment_4="Construction Quality",IF(OR(ISERROR(HLOOKUP(AC$8,'Rent Adjustments'!$G$8:$ZO$142,74,FALSE)),ISERROR(HLOOKUP(AC$8,'Rent Adjustments'!$G$8:$ZO$142,75,FALSE))),0,IF(HLOOKUP(AC$8,'Rent Adjustments'!$G$8:$ZO$142,74,FALSE)="",0,IF(AND($G14=HLOOKUP(AC$8,'Rent Adjustments'!$G$8:$ZO$142,74,FALSE),$F15=HLOOKUP(AC$8,'Rent Adjustments'!$G$8:$ZO$142,75,FALSE)),1,0))),IF(OR(ISERROR(HLOOKUP(AC$8,'Rent Adjustments'!$G$8:$ZO$142,74,FALSE)),ISERROR(HLOOKUP(AC$8,'Rent Adjustments'!$G$8:$ZO$142,76,FALSE))),0,IF(HLOOKUP(AC$8,'Rent Adjustments'!$G$8:$ZO$142,74,FALSE)="",0,IF(AND($G14=HLOOKUP(AC$8,'Rent Adjustments'!$G$8:$ZO$142,74,FALSE),$F15=HLOOKUP(AC$8,'Rent Adjustments'!$G$8:$ZO$142,76,FALSE)),1,0))))</f>
        <v>0</v>
      </c>
      <c r="AD15" s="707">
        <f>IF(dpIncome_RentAdjustment_4="Construction Quality",IF(OR(ISERROR(HLOOKUP(AD$8,'Rent Adjustments'!$G$8:$ZO$142,74,FALSE)),ISERROR(HLOOKUP(AD$8,'Rent Adjustments'!$G$8:$ZO$142,75,FALSE))),0,IF(HLOOKUP(AD$8,'Rent Adjustments'!$G$8:$ZO$142,74,FALSE)="",0,IF(AND($G14=HLOOKUP(AD$8,'Rent Adjustments'!$G$8:$ZO$142,74,FALSE),$F15=HLOOKUP(AD$8,'Rent Adjustments'!$G$8:$ZO$142,75,FALSE)),1,0))),IF(OR(ISERROR(HLOOKUP(AD$8,'Rent Adjustments'!$G$8:$ZO$142,74,FALSE)),ISERROR(HLOOKUP(AD$8,'Rent Adjustments'!$G$8:$ZO$142,76,FALSE))),0,IF(HLOOKUP(AD$8,'Rent Adjustments'!$G$8:$ZO$142,74,FALSE)="",0,IF(AND($G14=HLOOKUP(AD$8,'Rent Adjustments'!$G$8:$ZO$142,74,FALSE),$F15=HLOOKUP(AD$8,'Rent Adjustments'!$G$8:$ZO$142,76,FALSE)),1,0))))</f>
        <v>0</v>
      </c>
      <c r="AE15" s="707">
        <f>IF(dpIncome_RentAdjustment_4="Construction Quality",IF(OR(ISERROR(HLOOKUP(AE$8,'Rent Adjustments'!$G$8:$ZO$142,74,FALSE)),ISERROR(HLOOKUP(AE$8,'Rent Adjustments'!$G$8:$ZO$142,75,FALSE))),0,IF(HLOOKUP(AE$8,'Rent Adjustments'!$G$8:$ZO$142,74,FALSE)="",0,IF(AND($G14=HLOOKUP(AE$8,'Rent Adjustments'!$G$8:$ZO$142,74,FALSE),$F15=HLOOKUP(AE$8,'Rent Adjustments'!$G$8:$ZO$142,75,FALSE)),1,0))),IF(OR(ISERROR(HLOOKUP(AE$8,'Rent Adjustments'!$G$8:$ZO$142,74,FALSE)),ISERROR(HLOOKUP(AE$8,'Rent Adjustments'!$G$8:$ZO$142,76,FALSE))),0,IF(HLOOKUP(AE$8,'Rent Adjustments'!$G$8:$ZO$142,74,FALSE)="",0,IF(AND($G14=HLOOKUP(AE$8,'Rent Adjustments'!$G$8:$ZO$142,74,FALSE),$F15=HLOOKUP(AE$8,'Rent Adjustments'!$G$8:$ZO$142,76,FALSE)),1,0))))</f>
        <v>0</v>
      </c>
      <c r="AF15" s="707">
        <f>IF(dpIncome_RentAdjustment_4="Construction Quality",IF(OR(ISERROR(HLOOKUP(AF$8,'Rent Adjustments'!$G$8:$ZO$142,74,FALSE)),ISERROR(HLOOKUP(AF$8,'Rent Adjustments'!$G$8:$ZO$142,75,FALSE))),0,IF(HLOOKUP(AF$8,'Rent Adjustments'!$G$8:$ZO$142,74,FALSE)="",0,IF(AND($G14=HLOOKUP(AF$8,'Rent Adjustments'!$G$8:$ZO$142,74,FALSE),$F15=HLOOKUP(AF$8,'Rent Adjustments'!$G$8:$ZO$142,75,FALSE)),1,0))),IF(OR(ISERROR(HLOOKUP(AF$8,'Rent Adjustments'!$G$8:$ZO$142,74,FALSE)),ISERROR(HLOOKUP(AF$8,'Rent Adjustments'!$G$8:$ZO$142,76,FALSE))),0,IF(HLOOKUP(AF$8,'Rent Adjustments'!$G$8:$ZO$142,74,FALSE)="",0,IF(AND($G14=HLOOKUP(AF$8,'Rent Adjustments'!$G$8:$ZO$142,74,FALSE),$F15=HLOOKUP(AF$8,'Rent Adjustments'!$G$8:$ZO$142,76,FALSE)),1,0))))</f>
        <v>0</v>
      </c>
      <c r="AG15" s="707">
        <f>IF(dpIncome_RentAdjustment_4="Construction Quality",IF(OR(ISERROR(HLOOKUP(AG$8,'Rent Adjustments'!$G$8:$ZO$142,74,FALSE)),ISERROR(HLOOKUP(AG$8,'Rent Adjustments'!$G$8:$ZO$142,75,FALSE))),0,IF(HLOOKUP(AG$8,'Rent Adjustments'!$G$8:$ZO$142,74,FALSE)="",0,IF(AND($G14=HLOOKUP(AG$8,'Rent Adjustments'!$G$8:$ZO$142,74,FALSE),$F15=HLOOKUP(AG$8,'Rent Adjustments'!$G$8:$ZO$142,75,FALSE)),1,0))),IF(OR(ISERROR(HLOOKUP(AG$8,'Rent Adjustments'!$G$8:$ZO$142,74,FALSE)),ISERROR(HLOOKUP(AG$8,'Rent Adjustments'!$G$8:$ZO$142,76,FALSE))),0,IF(HLOOKUP(AG$8,'Rent Adjustments'!$G$8:$ZO$142,74,FALSE)="",0,IF(AND($G14=HLOOKUP(AG$8,'Rent Adjustments'!$G$8:$ZO$142,74,FALSE),$F15=HLOOKUP(AG$8,'Rent Adjustments'!$G$8:$ZO$142,76,FALSE)),1,0))))</f>
        <v>0</v>
      </c>
      <c r="AH15" s="707">
        <f>SUM(W15:$W15)</f>
        <v>0</v>
      </c>
      <c r="AI15" s="707">
        <f>SUM($W15:X15)</f>
        <v>0</v>
      </c>
      <c r="AJ15" s="707">
        <f>SUM($W15:Y15)</f>
        <v>0</v>
      </c>
      <c r="AK15" s="707">
        <f>SUM($W15:Z15)</f>
        <v>0</v>
      </c>
      <c r="AL15" s="707">
        <f>SUM($W15:AA15)</f>
        <v>0</v>
      </c>
      <c r="AM15" s="707">
        <f>SUM($W15:AB15)</f>
        <v>0</v>
      </c>
      <c r="AN15" s="707">
        <f>SUM($W15:AC15)</f>
        <v>0</v>
      </c>
      <c r="AO15" s="707">
        <f>SUM($W15:AD15)</f>
        <v>0</v>
      </c>
      <c r="AP15" s="707">
        <f>SUM($W15:AE15)</f>
        <v>0</v>
      </c>
      <c r="AQ15" s="707">
        <f>SUM($W15:AF15)</f>
        <v>0</v>
      </c>
      <c r="AR15" s="707">
        <f>SUM($W15:AG15)</f>
        <v>0</v>
      </c>
      <c r="AS15" s="707" t="str">
        <f t="shared" si="7"/>
        <v/>
      </c>
      <c r="AT15" s="707" t="str">
        <f t="shared" si="7"/>
        <v/>
      </c>
      <c r="AU15" s="707" t="str">
        <f t="shared" si="7"/>
        <v/>
      </c>
      <c r="AV15" s="707" t="str">
        <f t="shared" si="7"/>
        <v/>
      </c>
      <c r="AW15" s="707" t="str">
        <f t="shared" si="7"/>
        <v/>
      </c>
      <c r="AX15" s="707" t="str">
        <f t="shared" si="7"/>
        <v/>
      </c>
      <c r="AY15" s="707" t="str">
        <f t="shared" si="7"/>
        <v/>
      </c>
      <c r="AZ15" s="707" t="str">
        <f t="shared" si="7"/>
        <v/>
      </c>
      <c r="BA15" s="707" t="str">
        <f t="shared" si="7"/>
        <v/>
      </c>
      <c r="BB15" s="707" t="str">
        <f t="shared" si="7"/>
        <v/>
      </c>
      <c r="BC15" s="707" t="str">
        <f t="shared" si="7"/>
        <v/>
      </c>
    </row>
    <row r="16" spans="1:55" ht="69.95" hidden="1" customHeight="1" x14ac:dyDescent="0.25">
      <c r="A16" s="972">
        <f t="shared" si="4"/>
        <v>0</v>
      </c>
      <c r="B16" s="4"/>
      <c r="C16" s="258"/>
      <c r="D16" s="4254" t="str">
        <f t="shared" si="8"/>
        <v/>
      </c>
      <c r="E16" s="4254"/>
      <c r="F16" s="3491" t="str">
        <f>IF(dpIncome_RentAdjustment_4="Construction Quality","C - Masonry","C")</f>
        <v>C - Masonry</v>
      </c>
      <c r="G16" s="4276"/>
      <c r="H16" s="4270"/>
      <c r="I16" s="4270"/>
      <c r="J16" s="4270"/>
      <c r="K16" s="4270"/>
      <c r="L16" s="3492" t="str">
        <f t="shared" si="5"/>
        <v/>
      </c>
      <c r="M16" s="4261"/>
      <c r="N16" s="4261"/>
      <c r="O16" s="4263"/>
      <c r="P16" s="3493" t="str">
        <f>IFERROR(L16+M14,"")</f>
        <v/>
      </c>
      <c r="Q16" s="3494"/>
      <c r="R16" s="6"/>
      <c r="T16" s="2100">
        <f t="shared" si="6"/>
        <v>0</v>
      </c>
      <c r="U16" s="707" t="str">
        <f t="shared" si="9"/>
        <v/>
      </c>
      <c r="V16" s="707"/>
      <c r="W16" s="707">
        <f>IF(dpIncome_RentAdjustment_4="Construction Quality",IF(AND(F16=Subject_ConstructionClass,G$14=Subject_ConstructionQuality),1,0),IF(AND(F16=Subject_InvestmentClass,G$14=Subject_ConstructionQuality),1,0))</f>
        <v>0</v>
      </c>
      <c r="X16" s="707">
        <f>IF(dpIncome_RentAdjustment_4="Construction Quality",IF(OR(ISERROR(HLOOKUP(X$8,'Rent Adjustments'!$G$8:$ZO$142,74,FALSE)),ISERROR(HLOOKUP(X$8,'Rent Adjustments'!$G$8:$ZO$142,75,FALSE))),0,IF(HLOOKUP(X$8,'Rent Adjustments'!$G$8:$ZO$142,74,FALSE)="",0,IF(AND($G14=HLOOKUP(X$8,'Rent Adjustments'!$G$8:$ZO$142,74,FALSE),$F16=HLOOKUP(X$8,'Rent Adjustments'!$G$8:$ZO$142,75,FALSE)),1,0))),IF(OR(ISERROR(HLOOKUP(X$8,'Rent Adjustments'!$G$8:$ZO$142,74,FALSE)),ISERROR(HLOOKUP(X$8,'Rent Adjustments'!$G$8:$ZO$142,76,FALSE))),0,IF(HLOOKUP(X$8,'Rent Adjustments'!$G$8:$ZO$142,74,FALSE)="",0,IF(AND($G14=HLOOKUP(X$8,'Rent Adjustments'!$G$8:$ZO$142,74,FALSE),$F16=HLOOKUP(X$8,'Rent Adjustments'!$G$8:$ZO$142,76,FALSE)),1,0))))</f>
        <v>0</v>
      </c>
      <c r="Y16" s="707">
        <f>IF(dpIncome_RentAdjustment_4="Construction Quality",IF(OR(ISERROR(HLOOKUP(Y$8,'Rent Adjustments'!$G$8:$ZO$142,74,FALSE)),ISERROR(HLOOKUP(Y$8,'Rent Adjustments'!$G$8:$ZO$142,75,FALSE))),0,IF(HLOOKUP(Y$8,'Rent Adjustments'!$G$8:$ZO$142,74,FALSE)="",0,IF(AND($G14=HLOOKUP(Y$8,'Rent Adjustments'!$G$8:$ZO$142,74,FALSE),$F16=HLOOKUP(Y$8,'Rent Adjustments'!$G$8:$ZO$142,75,FALSE)),1,0))),IF(OR(ISERROR(HLOOKUP(Y$8,'Rent Adjustments'!$G$8:$ZO$142,74,FALSE)),ISERROR(HLOOKUP(Y$8,'Rent Adjustments'!$G$8:$ZO$142,76,FALSE))),0,IF(HLOOKUP(Y$8,'Rent Adjustments'!$G$8:$ZO$142,74,FALSE)="",0,IF(AND($G14=HLOOKUP(Y$8,'Rent Adjustments'!$G$8:$ZO$142,74,FALSE),$F16=HLOOKUP(Y$8,'Rent Adjustments'!$G$8:$ZO$142,76,FALSE)),1,0))))</f>
        <v>0</v>
      </c>
      <c r="Z16" s="707">
        <f>IF(dpIncome_RentAdjustment_4="Construction Quality",IF(OR(ISERROR(HLOOKUP(Z$8,'Rent Adjustments'!$G$8:$ZO$142,74,FALSE)),ISERROR(HLOOKUP(Z$8,'Rent Adjustments'!$G$8:$ZO$142,75,FALSE))),0,IF(HLOOKUP(Z$8,'Rent Adjustments'!$G$8:$ZO$142,74,FALSE)="",0,IF(AND($G14=HLOOKUP(Z$8,'Rent Adjustments'!$G$8:$ZO$142,74,FALSE),$F16=HLOOKUP(Z$8,'Rent Adjustments'!$G$8:$ZO$142,75,FALSE)),1,0))),IF(OR(ISERROR(HLOOKUP(Z$8,'Rent Adjustments'!$G$8:$ZO$142,74,FALSE)),ISERROR(HLOOKUP(Z$8,'Rent Adjustments'!$G$8:$ZO$142,76,FALSE))),0,IF(HLOOKUP(Z$8,'Rent Adjustments'!$G$8:$ZO$142,74,FALSE)="",0,IF(AND($G14=HLOOKUP(Z$8,'Rent Adjustments'!$G$8:$ZO$142,74,FALSE),$F16=HLOOKUP(Z$8,'Rent Adjustments'!$G$8:$ZO$142,76,FALSE)),1,0))))</f>
        <v>0</v>
      </c>
      <c r="AA16" s="707">
        <f>IF(dpIncome_RentAdjustment_4="Construction Quality",IF(OR(ISERROR(HLOOKUP(AA$8,'Rent Adjustments'!$G$8:$ZO$142,74,FALSE)),ISERROR(HLOOKUP(AA$8,'Rent Adjustments'!$G$8:$ZO$142,75,FALSE))),0,IF(HLOOKUP(AA$8,'Rent Adjustments'!$G$8:$ZO$142,74,FALSE)="",0,IF(AND($G14=HLOOKUP(AA$8,'Rent Adjustments'!$G$8:$ZO$142,74,FALSE),$F16=HLOOKUP(AA$8,'Rent Adjustments'!$G$8:$ZO$142,75,FALSE)),1,0))),IF(OR(ISERROR(HLOOKUP(AA$8,'Rent Adjustments'!$G$8:$ZO$142,74,FALSE)),ISERROR(HLOOKUP(AA$8,'Rent Adjustments'!$G$8:$ZO$142,76,FALSE))),0,IF(HLOOKUP(AA$8,'Rent Adjustments'!$G$8:$ZO$142,74,FALSE)="",0,IF(AND($G14=HLOOKUP(AA$8,'Rent Adjustments'!$G$8:$ZO$142,74,FALSE),$F16=HLOOKUP(AA$8,'Rent Adjustments'!$G$8:$ZO$142,76,FALSE)),1,0))))</f>
        <v>0</v>
      </c>
      <c r="AB16" s="707">
        <f>IF(dpIncome_RentAdjustment_4="Construction Quality",IF(OR(ISERROR(HLOOKUP(AB$8,'Rent Adjustments'!$G$8:$ZO$142,74,FALSE)),ISERROR(HLOOKUP(AB$8,'Rent Adjustments'!$G$8:$ZO$142,75,FALSE))),0,IF(HLOOKUP(AB$8,'Rent Adjustments'!$G$8:$ZO$142,74,FALSE)="",0,IF(AND($G14=HLOOKUP(AB$8,'Rent Adjustments'!$G$8:$ZO$142,74,FALSE),$F16=HLOOKUP(AB$8,'Rent Adjustments'!$G$8:$ZO$142,75,FALSE)),1,0))),IF(OR(ISERROR(HLOOKUP(AB$8,'Rent Adjustments'!$G$8:$ZO$142,74,FALSE)),ISERROR(HLOOKUP(AB$8,'Rent Adjustments'!$G$8:$ZO$142,76,FALSE))),0,IF(HLOOKUP(AB$8,'Rent Adjustments'!$G$8:$ZO$142,74,FALSE)="",0,IF(AND($G14=HLOOKUP(AB$8,'Rent Adjustments'!$G$8:$ZO$142,74,FALSE),$F16=HLOOKUP(AB$8,'Rent Adjustments'!$G$8:$ZO$142,76,FALSE)),1,0))))</f>
        <v>0</v>
      </c>
      <c r="AC16" s="707">
        <f>IF(dpIncome_RentAdjustment_4="Construction Quality",IF(OR(ISERROR(HLOOKUP(AC$8,'Rent Adjustments'!$G$8:$ZO$142,74,FALSE)),ISERROR(HLOOKUP(AC$8,'Rent Adjustments'!$G$8:$ZO$142,75,FALSE))),0,IF(HLOOKUP(AC$8,'Rent Adjustments'!$G$8:$ZO$142,74,FALSE)="",0,IF(AND($G14=HLOOKUP(AC$8,'Rent Adjustments'!$G$8:$ZO$142,74,FALSE),$F16=HLOOKUP(AC$8,'Rent Adjustments'!$G$8:$ZO$142,75,FALSE)),1,0))),IF(OR(ISERROR(HLOOKUP(AC$8,'Rent Adjustments'!$G$8:$ZO$142,74,FALSE)),ISERROR(HLOOKUP(AC$8,'Rent Adjustments'!$G$8:$ZO$142,76,FALSE))),0,IF(HLOOKUP(AC$8,'Rent Adjustments'!$G$8:$ZO$142,74,FALSE)="",0,IF(AND($G14=HLOOKUP(AC$8,'Rent Adjustments'!$G$8:$ZO$142,74,FALSE),$F16=HLOOKUP(AC$8,'Rent Adjustments'!$G$8:$ZO$142,76,FALSE)),1,0))))</f>
        <v>0</v>
      </c>
      <c r="AD16" s="707">
        <f>IF(dpIncome_RentAdjustment_4="Construction Quality",IF(OR(ISERROR(HLOOKUP(AD$8,'Rent Adjustments'!$G$8:$ZO$142,74,FALSE)),ISERROR(HLOOKUP(AD$8,'Rent Adjustments'!$G$8:$ZO$142,75,FALSE))),0,IF(HLOOKUP(AD$8,'Rent Adjustments'!$G$8:$ZO$142,74,FALSE)="",0,IF(AND($G14=HLOOKUP(AD$8,'Rent Adjustments'!$G$8:$ZO$142,74,FALSE),$F16=HLOOKUP(AD$8,'Rent Adjustments'!$G$8:$ZO$142,75,FALSE)),1,0))),IF(OR(ISERROR(HLOOKUP(AD$8,'Rent Adjustments'!$G$8:$ZO$142,74,FALSE)),ISERROR(HLOOKUP(AD$8,'Rent Adjustments'!$G$8:$ZO$142,76,FALSE))),0,IF(HLOOKUP(AD$8,'Rent Adjustments'!$G$8:$ZO$142,74,FALSE)="",0,IF(AND($G14=HLOOKUP(AD$8,'Rent Adjustments'!$G$8:$ZO$142,74,FALSE),$F16=HLOOKUP(AD$8,'Rent Adjustments'!$G$8:$ZO$142,76,FALSE)),1,0))))</f>
        <v>0</v>
      </c>
      <c r="AE16" s="707">
        <f>IF(dpIncome_RentAdjustment_4="Construction Quality",IF(OR(ISERROR(HLOOKUP(AE$8,'Rent Adjustments'!$G$8:$ZO$142,74,FALSE)),ISERROR(HLOOKUP(AE$8,'Rent Adjustments'!$G$8:$ZO$142,75,FALSE))),0,IF(HLOOKUP(AE$8,'Rent Adjustments'!$G$8:$ZO$142,74,FALSE)="",0,IF(AND($G14=HLOOKUP(AE$8,'Rent Adjustments'!$G$8:$ZO$142,74,FALSE),$F16=HLOOKUP(AE$8,'Rent Adjustments'!$G$8:$ZO$142,75,FALSE)),1,0))),IF(OR(ISERROR(HLOOKUP(AE$8,'Rent Adjustments'!$G$8:$ZO$142,74,FALSE)),ISERROR(HLOOKUP(AE$8,'Rent Adjustments'!$G$8:$ZO$142,76,FALSE))),0,IF(HLOOKUP(AE$8,'Rent Adjustments'!$G$8:$ZO$142,74,FALSE)="",0,IF(AND($G14=HLOOKUP(AE$8,'Rent Adjustments'!$G$8:$ZO$142,74,FALSE),$F16=HLOOKUP(AE$8,'Rent Adjustments'!$G$8:$ZO$142,76,FALSE)),1,0))))</f>
        <v>0</v>
      </c>
      <c r="AF16" s="707">
        <f>IF(dpIncome_RentAdjustment_4="Construction Quality",IF(OR(ISERROR(HLOOKUP(AF$8,'Rent Adjustments'!$G$8:$ZO$142,74,FALSE)),ISERROR(HLOOKUP(AF$8,'Rent Adjustments'!$G$8:$ZO$142,75,FALSE))),0,IF(HLOOKUP(AF$8,'Rent Adjustments'!$G$8:$ZO$142,74,FALSE)="",0,IF(AND($G14=HLOOKUP(AF$8,'Rent Adjustments'!$G$8:$ZO$142,74,FALSE),$F16=HLOOKUP(AF$8,'Rent Adjustments'!$G$8:$ZO$142,75,FALSE)),1,0))),IF(OR(ISERROR(HLOOKUP(AF$8,'Rent Adjustments'!$G$8:$ZO$142,74,FALSE)),ISERROR(HLOOKUP(AF$8,'Rent Adjustments'!$G$8:$ZO$142,76,FALSE))),0,IF(HLOOKUP(AF$8,'Rent Adjustments'!$G$8:$ZO$142,74,FALSE)="",0,IF(AND($G14=HLOOKUP(AF$8,'Rent Adjustments'!$G$8:$ZO$142,74,FALSE),$F16=HLOOKUP(AF$8,'Rent Adjustments'!$G$8:$ZO$142,76,FALSE)),1,0))))</f>
        <v>0</v>
      </c>
      <c r="AG16" s="707">
        <f>IF(dpIncome_RentAdjustment_4="Construction Quality",IF(OR(ISERROR(HLOOKUP(AG$8,'Rent Adjustments'!$G$8:$ZO$142,74,FALSE)),ISERROR(HLOOKUP(AG$8,'Rent Adjustments'!$G$8:$ZO$142,75,FALSE))),0,IF(HLOOKUP(AG$8,'Rent Adjustments'!$G$8:$ZO$142,74,FALSE)="",0,IF(AND($G14=HLOOKUP(AG$8,'Rent Adjustments'!$G$8:$ZO$142,74,FALSE),$F16=HLOOKUP(AG$8,'Rent Adjustments'!$G$8:$ZO$142,75,FALSE)),1,0))),IF(OR(ISERROR(HLOOKUP(AG$8,'Rent Adjustments'!$G$8:$ZO$142,74,FALSE)),ISERROR(HLOOKUP(AG$8,'Rent Adjustments'!$G$8:$ZO$142,76,FALSE))),0,IF(HLOOKUP(AG$8,'Rent Adjustments'!$G$8:$ZO$142,74,FALSE)="",0,IF(AND($G14=HLOOKUP(AG$8,'Rent Adjustments'!$G$8:$ZO$142,74,FALSE),$F16=HLOOKUP(AG$8,'Rent Adjustments'!$G$8:$ZO$142,76,FALSE)),1,0))))</f>
        <v>0</v>
      </c>
      <c r="AH16" s="707">
        <f>SUM(W16:$W16)</f>
        <v>0</v>
      </c>
      <c r="AI16" s="707">
        <f>SUM($W16:X16)</f>
        <v>0</v>
      </c>
      <c r="AJ16" s="707">
        <f>SUM($W16:Y16)</f>
        <v>0</v>
      </c>
      <c r="AK16" s="707">
        <f>SUM($W16:Z16)</f>
        <v>0</v>
      </c>
      <c r="AL16" s="707">
        <f>SUM($W16:AA16)</f>
        <v>0</v>
      </c>
      <c r="AM16" s="707">
        <f>SUM($W16:AB16)</f>
        <v>0</v>
      </c>
      <c r="AN16" s="707">
        <f>SUM($W16:AC16)</f>
        <v>0</v>
      </c>
      <c r="AO16" s="707">
        <f>SUM($W16:AD16)</f>
        <v>0</v>
      </c>
      <c r="AP16" s="707">
        <f>SUM($W16:AE16)</f>
        <v>0</v>
      </c>
      <c r="AQ16" s="707">
        <f>SUM($W16:AF16)</f>
        <v>0</v>
      </c>
      <c r="AR16" s="707">
        <f>SUM($W16:AG16)</f>
        <v>0</v>
      </c>
      <c r="AS16" s="707" t="str">
        <f t="shared" si="7"/>
        <v/>
      </c>
      <c r="AT16" s="707" t="str">
        <f t="shared" si="7"/>
        <v/>
      </c>
      <c r="AU16" s="707" t="str">
        <f t="shared" si="7"/>
        <v/>
      </c>
      <c r="AV16" s="707" t="str">
        <f t="shared" si="7"/>
        <v/>
      </c>
      <c r="AW16" s="707" t="str">
        <f t="shared" si="7"/>
        <v/>
      </c>
      <c r="AX16" s="707" t="str">
        <f t="shared" si="7"/>
        <v/>
      </c>
      <c r="AY16" s="707" t="str">
        <f t="shared" si="7"/>
        <v/>
      </c>
      <c r="AZ16" s="707" t="str">
        <f t="shared" si="7"/>
        <v/>
      </c>
      <c r="BA16" s="707" t="str">
        <f t="shared" si="7"/>
        <v/>
      </c>
      <c r="BB16" s="707" t="str">
        <f t="shared" si="7"/>
        <v/>
      </c>
      <c r="BC16" s="707" t="str">
        <f t="shared" si="7"/>
        <v/>
      </c>
    </row>
    <row r="17" spans="1:55" ht="69.95" hidden="1" customHeight="1" x14ac:dyDescent="0.25">
      <c r="A17" s="972">
        <f t="shared" si="4"/>
        <v>0</v>
      </c>
      <c r="B17" s="4"/>
      <c r="C17" s="258"/>
      <c r="D17" s="4254" t="str">
        <f t="shared" si="8"/>
        <v/>
      </c>
      <c r="E17" s="4254"/>
      <c r="F17" s="3491" t="str">
        <f>IF(dpIncome_RentAdjustment_4="Construction Quality","D - Wood Frame","")</f>
        <v>D - Wood Frame</v>
      </c>
      <c r="G17" s="4276"/>
      <c r="H17" s="4270"/>
      <c r="I17" s="4270"/>
      <c r="J17" s="4270"/>
      <c r="K17" s="4270"/>
      <c r="L17" s="3492" t="str">
        <f t="shared" si="5"/>
        <v/>
      </c>
      <c r="M17" s="4261"/>
      <c r="N17" s="4261"/>
      <c r="O17" s="4263"/>
      <c r="P17" s="3493" t="str">
        <f>IFERROR(L17+M14,"")</f>
        <v/>
      </c>
      <c r="Q17" s="3494"/>
      <c r="R17" s="6"/>
      <c r="T17" s="2100">
        <f t="shared" si="6"/>
        <v>0</v>
      </c>
      <c r="U17" s="707" t="str">
        <f t="shared" si="9"/>
        <v/>
      </c>
      <c r="V17" s="707"/>
      <c r="W17" s="707">
        <f>IF(dpIncome_RentAdjustment_4="Construction Quality",IF(AND(F17=Subject_ConstructionClass,G$14=Subject_ConstructionQuality),1,0),IF(AND(F17=Subject_InvestmentClass,G$14=Subject_ConstructionQuality),1,0))</f>
        <v>0</v>
      </c>
      <c r="X17" s="707">
        <f>IF(dpIncome_RentAdjustment_4="Construction Quality",IF(OR(ISERROR(HLOOKUP(X$8,'Rent Adjustments'!$G$8:$ZO$142,74,FALSE)),ISERROR(HLOOKUP(X$8,'Rent Adjustments'!$G$8:$ZO$142,75,FALSE))),0,IF(HLOOKUP(X$8,'Rent Adjustments'!$G$8:$ZO$142,74,FALSE)="",0,IF(AND($G14=HLOOKUP(X$8,'Rent Adjustments'!$G$8:$ZO$142,74,FALSE),$F17=HLOOKUP(X$8,'Rent Adjustments'!$G$8:$ZO$142,75,FALSE)),1,0))),IF(OR(ISERROR(HLOOKUP(X$8,'Rent Adjustments'!$G$8:$ZO$142,74,FALSE)),ISERROR(HLOOKUP(X$8,'Rent Adjustments'!$G$8:$ZO$142,76,FALSE))),0,IF(HLOOKUP(X$8,'Rent Adjustments'!$G$8:$ZO$142,74,FALSE)="",0,IF(AND($G14=HLOOKUP(X$8,'Rent Adjustments'!$G$8:$ZO$142,74,FALSE),$F17=HLOOKUP(X$8,'Rent Adjustments'!$G$8:$ZO$142,76,FALSE)),1,0))))</f>
        <v>0</v>
      </c>
      <c r="Y17" s="707">
        <f>IF(dpIncome_RentAdjustment_4="Construction Quality",IF(OR(ISERROR(HLOOKUP(Y$8,'Rent Adjustments'!$G$8:$ZO$142,74,FALSE)),ISERROR(HLOOKUP(Y$8,'Rent Adjustments'!$G$8:$ZO$142,75,FALSE))),0,IF(HLOOKUP(Y$8,'Rent Adjustments'!$G$8:$ZO$142,74,FALSE)="",0,IF(AND($G14=HLOOKUP(Y$8,'Rent Adjustments'!$G$8:$ZO$142,74,FALSE),$F17=HLOOKUP(Y$8,'Rent Adjustments'!$G$8:$ZO$142,75,FALSE)),1,0))),IF(OR(ISERROR(HLOOKUP(Y$8,'Rent Adjustments'!$G$8:$ZO$142,74,FALSE)),ISERROR(HLOOKUP(Y$8,'Rent Adjustments'!$G$8:$ZO$142,76,FALSE))),0,IF(HLOOKUP(Y$8,'Rent Adjustments'!$G$8:$ZO$142,74,FALSE)="",0,IF(AND($G14=HLOOKUP(Y$8,'Rent Adjustments'!$G$8:$ZO$142,74,FALSE),$F17=HLOOKUP(Y$8,'Rent Adjustments'!$G$8:$ZO$142,76,FALSE)),1,0))))</f>
        <v>0</v>
      </c>
      <c r="Z17" s="707">
        <f>IF(dpIncome_RentAdjustment_4="Construction Quality",IF(OR(ISERROR(HLOOKUP(Z$8,'Rent Adjustments'!$G$8:$ZO$142,74,FALSE)),ISERROR(HLOOKUP(Z$8,'Rent Adjustments'!$G$8:$ZO$142,75,FALSE))),0,IF(HLOOKUP(Z$8,'Rent Adjustments'!$G$8:$ZO$142,74,FALSE)="",0,IF(AND($G14=HLOOKUP(Z$8,'Rent Adjustments'!$G$8:$ZO$142,74,FALSE),$F17=HLOOKUP(Z$8,'Rent Adjustments'!$G$8:$ZO$142,75,FALSE)),1,0))),IF(OR(ISERROR(HLOOKUP(Z$8,'Rent Adjustments'!$G$8:$ZO$142,74,FALSE)),ISERROR(HLOOKUP(Z$8,'Rent Adjustments'!$G$8:$ZO$142,76,FALSE))),0,IF(HLOOKUP(Z$8,'Rent Adjustments'!$G$8:$ZO$142,74,FALSE)="",0,IF(AND($G14=HLOOKUP(Z$8,'Rent Adjustments'!$G$8:$ZO$142,74,FALSE),$F17=HLOOKUP(Z$8,'Rent Adjustments'!$G$8:$ZO$142,76,FALSE)),1,0))))</f>
        <v>0</v>
      </c>
      <c r="AA17" s="707">
        <f>IF(dpIncome_RentAdjustment_4="Construction Quality",IF(OR(ISERROR(HLOOKUP(AA$8,'Rent Adjustments'!$G$8:$ZO$142,74,FALSE)),ISERROR(HLOOKUP(AA$8,'Rent Adjustments'!$G$8:$ZO$142,75,FALSE))),0,IF(HLOOKUP(AA$8,'Rent Adjustments'!$G$8:$ZO$142,74,FALSE)="",0,IF(AND($G14=HLOOKUP(AA$8,'Rent Adjustments'!$G$8:$ZO$142,74,FALSE),$F17=HLOOKUP(AA$8,'Rent Adjustments'!$G$8:$ZO$142,75,FALSE)),1,0))),IF(OR(ISERROR(HLOOKUP(AA$8,'Rent Adjustments'!$G$8:$ZO$142,74,FALSE)),ISERROR(HLOOKUP(AA$8,'Rent Adjustments'!$G$8:$ZO$142,76,FALSE))),0,IF(HLOOKUP(AA$8,'Rent Adjustments'!$G$8:$ZO$142,74,FALSE)="",0,IF(AND($G14=HLOOKUP(AA$8,'Rent Adjustments'!$G$8:$ZO$142,74,FALSE),$F17=HLOOKUP(AA$8,'Rent Adjustments'!$G$8:$ZO$142,76,FALSE)),1,0))))</f>
        <v>0</v>
      </c>
      <c r="AB17" s="707">
        <f>IF(dpIncome_RentAdjustment_4="Construction Quality",IF(OR(ISERROR(HLOOKUP(AB$8,'Rent Adjustments'!$G$8:$ZO$142,74,FALSE)),ISERROR(HLOOKUP(AB$8,'Rent Adjustments'!$G$8:$ZO$142,75,FALSE))),0,IF(HLOOKUP(AB$8,'Rent Adjustments'!$G$8:$ZO$142,74,FALSE)="",0,IF(AND($G14=HLOOKUP(AB$8,'Rent Adjustments'!$G$8:$ZO$142,74,FALSE),$F17=HLOOKUP(AB$8,'Rent Adjustments'!$G$8:$ZO$142,75,FALSE)),1,0))),IF(OR(ISERROR(HLOOKUP(AB$8,'Rent Adjustments'!$G$8:$ZO$142,74,FALSE)),ISERROR(HLOOKUP(AB$8,'Rent Adjustments'!$G$8:$ZO$142,76,FALSE))),0,IF(HLOOKUP(AB$8,'Rent Adjustments'!$G$8:$ZO$142,74,FALSE)="",0,IF(AND($G14=HLOOKUP(AB$8,'Rent Adjustments'!$G$8:$ZO$142,74,FALSE),$F17=HLOOKUP(AB$8,'Rent Adjustments'!$G$8:$ZO$142,76,FALSE)),1,0))))</f>
        <v>0</v>
      </c>
      <c r="AC17" s="707">
        <f>IF(dpIncome_RentAdjustment_4="Construction Quality",IF(OR(ISERROR(HLOOKUP(AC$8,'Rent Adjustments'!$G$8:$ZO$142,74,FALSE)),ISERROR(HLOOKUP(AC$8,'Rent Adjustments'!$G$8:$ZO$142,75,FALSE))),0,IF(HLOOKUP(AC$8,'Rent Adjustments'!$G$8:$ZO$142,74,FALSE)="",0,IF(AND($G14=HLOOKUP(AC$8,'Rent Adjustments'!$G$8:$ZO$142,74,FALSE),$F17=HLOOKUP(AC$8,'Rent Adjustments'!$G$8:$ZO$142,75,FALSE)),1,0))),IF(OR(ISERROR(HLOOKUP(AC$8,'Rent Adjustments'!$G$8:$ZO$142,74,FALSE)),ISERROR(HLOOKUP(AC$8,'Rent Adjustments'!$G$8:$ZO$142,76,FALSE))),0,IF(HLOOKUP(AC$8,'Rent Adjustments'!$G$8:$ZO$142,74,FALSE)="",0,IF(AND($G14=HLOOKUP(AC$8,'Rent Adjustments'!$G$8:$ZO$142,74,FALSE),$F17=HLOOKUP(AC$8,'Rent Adjustments'!$G$8:$ZO$142,76,FALSE)),1,0))))</f>
        <v>0</v>
      </c>
      <c r="AD17" s="707">
        <f>IF(dpIncome_RentAdjustment_4="Construction Quality",IF(OR(ISERROR(HLOOKUP(AD$8,'Rent Adjustments'!$G$8:$ZO$142,74,FALSE)),ISERROR(HLOOKUP(AD$8,'Rent Adjustments'!$G$8:$ZO$142,75,FALSE))),0,IF(HLOOKUP(AD$8,'Rent Adjustments'!$G$8:$ZO$142,74,FALSE)="",0,IF(AND($G14=HLOOKUP(AD$8,'Rent Adjustments'!$G$8:$ZO$142,74,FALSE),$F17=HLOOKUP(AD$8,'Rent Adjustments'!$G$8:$ZO$142,75,FALSE)),1,0))),IF(OR(ISERROR(HLOOKUP(AD$8,'Rent Adjustments'!$G$8:$ZO$142,74,FALSE)),ISERROR(HLOOKUP(AD$8,'Rent Adjustments'!$G$8:$ZO$142,76,FALSE))),0,IF(HLOOKUP(AD$8,'Rent Adjustments'!$G$8:$ZO$142,74,FALSE)="",0,IF(AND($G14=HLOOKUP(AD$8,'Rent Adjustments'!$G$8:$ZO$142,74,FALSE),$F17=HLOOKUP(AD$8,'Rent Adjustments'!$G$8:$ZO$142,76,FALSE)),1,0))))</f>
        <v>0</v>
      </c>
      <c r="AE17" s="707">
        <f>IF(dpIncome_RentAdjustment_4="Construction Quality",IF(OR(ISERROR(HLOOKUP(AE$8,'Rent Adjustments'!$G$8:$ZO$142,74,FALSE)),ISERROR(HLOOKUP(AE$8,'Rent Adjustments'!$G$8:$ZO$142,75,FALSE))),0,IF(HLOOKUP(AE$8,'Rent Adjustments'!$G$8:$ZO$142,74,FALSE)="",0,IF(AND($G14=HLOOKUP(AE$8,'Rent Adjustments'!$G$8:$ZO$142,74,FALSE),$F17=HLOOKUP(AE$8,'Rent Adjustments'!$G$8:$ZO$142,75,FALSE)),1,0))),IF(OR(ISERROR(HLOOKUP(AE$8,'Rent Adjustments'!$G$8:$ZO$142,74,FALSE)),ISERROR(HLOOKUP(AE$8,'Rent Adjustments'!$G$8:$ZO$142,76,FALSE))),0,IF(HLOOKUP(AE$8,'Rent Adjustments'!$G$8:$ZO$142,74,FALSE)="",0,IF(AND($G14=HLOOKUP(AE$8,'Rent Adjustments'!$G$8:$ZO$142,74,FALSE),$F17=HLOOKUP(AE$8,'Rent Adjustments'!$G$8:$ZO$142,76,FALSE)),1,0))))</f>
        <v>0</v>
      </c>
      <c r="AF17" s="707">
        <f>IF(dpIncome_RentAdjustment_4="Construction Quality",IF(OR(ISERROR(HLOOKUP(AF$8,'Rent Adjustments'!$G$8:$ZO$142,74,FALSE)),ISERROR(HLOOKUP(AF$8,'Rent Adjustments'!$G$8:$ZO$142,75,FALSE))),0,IF(HLOOKUP(AF$8,'Rent Adjustments'!$G$8:$ZO$142,74,FALSE)="",0,IF(AND($G14=HLOOKUP(AF$8,'Rent Adjustments'!$G$8:$ZO$142,74,FALSE),$F17=HLOOKUP(AF$8,'Rent Adjustments'!$G$8:$ZO$142,75,FALSE)),1,0))),IF(OR(ISERROR(HLOOKUP(AF$8,'Rent Adjustments'!$G$8:$ZO$142,74,FALSE)),ISERROR(HLOOKUP(AF$8,'Rent Adjustments'!$G$8:$ZO$142,76,FALSE))),0,IF(HLOOKUP(AF$8,'Rent Adjustments'!$G$8:$ZO$142,74,FALSE)="",0,IF(AND($G14=HLOOKUP(AF$8,'Rent Adjustments'!$G$8:$ZO$142,74,FALSE),$F17=HLOOKUP(AF$8,'Rent Adjustments'!$G$8:$ZO$142,76,FALSE)),1,0))))</f>
        <v>0</v>
      </c>
      <c r="AG17" s="707">
        <f>IF(dpIncome_RentAdjustment_4="Construction Quality",IF(OR(ISERROR(HLOOKUP(AG$8,'Rent Adjustments'!$G$8:$ZO$142,74,FALSE)),ISERROR(HLOOKUP(AG$8,'Rent Adjustments'!$G$8:$ZO$142,75,FALSE))),0,IF(HLOOKUP(AG$8,'Rent Adjustments'!$G$8:$ZO$142,74,FALSE)="",0,IF(AND($G14=HLOOKUP(AG$8,'Rent Adjustments'!$G$8:$ZO$142,74,FALSE),$F17=HLOOKUP(AG$8,'Rent Adjustments'!$G$8:$ZO$142,75,FALSE)),1,0))),IF(OR(ISERROR(HLOOKUP(AG$8,'Rent Adjustments'!$G$8:$ZO$142,74,FALSE)),ISERROR(HLOOKUP(AG$8,'Rent Adjustments'!$G$8:$ZO$142,76,FALSE))),0,IF(HLOOKUP(AG$8,'Rent Adjustments'!$G$8:$ZO$142,74,FALSE)="",0,IF(AND($G14=HLOOKUP(AG$8,'Rent Adjustments'!$G$8:$ZO$142,74,FALSE),$F17=HLOOKUP(AG$8,'Rent Adjustments'!$G$8:$ZO$142,76,FALSE)),1,0))))</f>
        <v>0</v>
      </c>
      <c r="AH17" s="707">
        <f>SUM(W17:$W17)</f>
        <v>0</v>
      </c>
      <c r="AI17" s="707">
        <f>SUM($W17:X17)</f>
        <v>0</v>
      </c>
      <c r="AJ17" s="707">
        <f>SUM($W17:Y17)</f>
        <v>0</v>
      </c>
      <c r="AK17" s="707">
        <f>SUM($W17:Z17)</f>
        <v>0</v>
      </c>
      <c r="AL17" s="707">
        <f>SUM($W17:AA17)</f>
        <v>0</v>
      </c>
      <c r="AM17" s="707">
        <f>SUM($W17:AB17)</f>
        <v>0</v>
      </c>
      <c r="AN17" s="707">
        <f>SUM($W17:AC17)</f>
        <v>0</v>
      </c>
      <c r="AO17" s="707">
        <f>SUM($W17:AD17)</f>
        <v>0</v>
      </c>
      <c r="AP17" s="707">
        <f>SUM($W17:AE17)</f>
        <v>0</v>
      </c>
      <c r="AQ17" s="707">
        <f>SUM($W17:AF17)</f>
        <v>0</v>
      </c>
      <c r="AR17" s="707">
        <f>SUM($W17:AG17)</f>
        <v>0</v>
      </c>
      <c r="AS17" s="707" t="str">
        <f t="shared" si="7"/>
        <v/>
      </c>
      <c r="AT17" s="707" t="str">
        <f t="shared" si="7"/>
        <v/>
      </c>
      <c r="AU17" s="707" t="str">
        <f t="shared" si="7"/>
        <v/>
      </c>
      <c r="AV17" s="707" t="str">
        <f t="shared" si="7"/>
        <v/>
      </c>
      <c r="AW17" s="707" t="str">
        <f t="shared" si="7"/>
        <v/>
      </c>
      <c r="AX17" s="707" t="str">
        <f t="shared" si="7"/>
        <v/>
      </c>
      <c r="AY17" s="707" t="str">
        <f t="shared" si="7"/>
        <v/>
      </c>
      <c r="AZ17" s="707" t="str">
        <f t="shared" si="7"/>
        <v/>
      </c>
      <c r="BA17" s="707" t="str">
        <f t="shared" si="7"/>
        <v/>
      </c>
      <c r="BB17" s="707" t="str">
        <f t="shared" si="7"/>
        <v/>
      </c>
      <c r="BC17" s="707" t="str">
        <f t="shared" si="7"/>
        <v/>
      </c>
    </row>
    <row r="18" spans="1:55" ht="69.95" hidden="1" customHeight="1" x14ac:dyDescent="0.25">
      <c r="A18" s="972">
        <f t="shared" si="4"/>
        <v>0</v>
      </c>
      <c r="B18" s="4"/>
      <c r="C18" s="258"/>
      <c r="D18" s="4265" t="str">
        <f t="shared" si="8"/>
        <v/>
      </c>
      <c r="E18" s="4265"/>
      <c r="F18" s="3495" t="str">
        <f>IF(dpIncome_RentAdjustment_4="Construction Quality","S - Steel Frame","")</f>
        <v>S - Steel Frame</v>
      </c>
      <c r="G18" s="4276"/>
      <c r="H18" s="4271"/>
      <c r="I18" s="4271"/>
      <c r="J18" s="4271"/>
      <c r="K18" s="4271"/>
      <c r="L18" s="3496" t="str">
        <f t="shared" si="5"/>
        <v/>
      </c>
      <c r="M18" s="4262"/>
      <c r="N18" s="4262"/>
      <c r="O18" s="4264"/>
      <c r="P18" s="3497" t="str">
        <f>IFERROR(L18+M14,"")</f>
        <v/>
      </c>
      <c r="Q18" s="3494"/>
      <c r="R18" s="6"/>
      <c r="T18" s="2090">
        <f t="shared" si="6"/>
        <v>0</v>
      </c>
      <c r="U18" s="2089" t="str">
        <f t="shared" si="9"/>
        <v/>
      </c>
      <c r="V18" s="2089"/>
      <c r="W18" s="2089">
        <f>IF(dpIncome_RentAdjustment_4="Construction Quality",IF(AND(F18=Subject_ConstructionClass,G$14=Subject_ConstructionQuality),1,0),IF(AND(F18=Subject_InvestmentClass,G$14=Subject_ConstructionQuality),1,0))</f>
        <v>0</v>
      </c>
      <c r="X18" s="2089">
        <f>IF(dpIncome_RentAdjustment_4="Construction Quality",IF(OR(ISERROR(HLOOKUP(X$8,'Rent Adjustments'!$G$8:$ZO$142,74,FALSE)),ISERROR(HLOOKUP(X$8,'Rent Adjustments'!$G$8:$ZO$142,75,FALSE))),0,IF(HLOOKUP(X$8,'Rent Adjustments'!$G$8:$ZO$142,74,FALSE)="",0,IF(AND($G14=HLOOKUP(X$8,'Rent Adjustments'!$G$8:$ZO$142,74,FALSE),$F18=HLOOKUP(X$8,'Rent Adjustments'!$G$8:$ZO$142,75,FALSE)),1,0))),IF(OR(ISERROR(HLOOKUP(X$8,'Rent Adjustments'!$G$8:$ZO$142,74,FALSE)),ISERROR(HLOOKUP(X$8,'Rent Adjustments'!$G$8:$ZO$142,76,FALSE))),0,IF(HLOOKUP(X$8,'Rent Adjustments'!$G$8:$ZO$142,74,FALSE)="",0,IF(AND($G14=HLOOKUP(X$8,'Rent Adjustments'!$G$8:$ZO$142,74,FALSE),$F18=HLOOKUP(X$8,'Rent Adjustments'!$G$8:$ZO$142,76,FALSE)),1,0))))</f>
        <v>0</v>
      </c>
      <c r="Y18" s="2089">
        <f>IF(dpIncome_RentAdjustment_4="Construction Quality",IF(OR(ISERROR(HLOOKUP(Y$8,'Rent Adjustments'!$G$8:$ZO$142,74,FALSE)),ISERROR(HLOOKUP(Y$8,'Rent Adjustments'!$G$8:$ZO$142,75,FALSE))),0,IF(HLOOKUP(Y$8,'Rent Adjustments'!$G$8:$ZO$142,74,FALSE)="",0,IF(AND($G14=HLOOKUP(Y$8,'Rent Adjustments'!$G$8:$ZO$142,74,FALSE),$F18=HLOOKUP(Y$8,'Rent Adjustments'!$G$8:$ZO$142,75,FALSE)),1,0))),IF(OR(ISERROR(HLOOKUP(Y$8,'Rent Adjustments'!$G$8:$ZO$142,74,FALSE)),ISERROR(HLOOKUP(Y$8,'Rent Adjustments'!$G$8:$ZO$142,76,FALSE))),0,IF(HLOOKUP(Y$8,'Rent Adjustments'!$G$8:$ZO$142,74,FALSE)="",0,IF(AND($G14=HLOOKUP(Y$8,'Rent Adjustments'!$G$8:$ZO$142,74,FALSE),$F18=HLOOKUP(Y$8,'Rent Adjustments'!$G$8:$ZO$142,76,FALSE)),1,0))))</f>
        <v>0</v>
      </c>
      <c r="Z18" s="2089">
        <f>IF(dpIncome_RentAdjustment_4="Construction Quality",IF(OR(ISERROR(HLOOKUP(Z$8,'Rent Adjustments'!$G$8:$ZO$142,74,FALSE)),ISERROR(HLOOKUP(Z$8,'Rent Adjustments'!$G$8:$ZO$142,75,FALSE))),0,IF(HLOOKUP(Z$8,'Rent Adjustments'!$G$8:$ZO$142,74,FALSE)="",0,IF(AND($G14=HLOOKUP(Z$8,'Rent Adjustments'!$G$8:$ZO$142,74,FALSE),$F18=HLOOKUP(Z$8,'Rent Adjustments'!$G$8:$ZO$142,75,FALSE)),1,0))),IF(OR(ISERROR(HLOOKUP(Z$8,'Rent Adjustments'!$G$8:$ZO$142,74,FALSE)),ISERROR(HLOOKUP(Z$8,'Rent Adjustments'!$G$8:$ZO$142,76,FALSE))),0,IF(HLOOKUP(Z$8,'Rent Adjustments'!$G$8:$ZO$142,74,FALSE)="",0,IF(AND($G14=HLOOKUP(Z$8,'Rent Adjustments'!$G$8:$ZO$142,74,FALSE),$F18=HLOOKUP(Z$8,'Rent Adjustments'!$G$8:$ZO$142,76,FALSE)),1,0))))</f>
        <v>0</v>
      </c>
      <c r="AA18" s="2089">
        <f>IF(dpIncome_RentAdjustment_4="Construction Quality",IF(OR(ISERROR(HLOOKUP(AA$8,'Rent Adjustments'!$G$8:$ZO$142,74,FALSE)),ISERROR(HLOOKUP(AA$8,'Rent Adjustments'!$G$8:$ZO$142,75,FALSE))),0,IF(HLOOKUP(AA$8,'Rent Adjustments'!$G$8:$ZO$142,74,FALSE)="",0,IF(AND($G14=HLOOKUP(AA$8,'Rent Adjustments'!$G$8:$ZO$142,74,FALSE),$F18=HLOOKUP(AA$8,'Rent Adjustments'!$G$8:$ZO$142,75,FALSE)),1,0))),IF(OR(ISERROR(HLOOKUP(AA$8,'Rent Adjustments'!$G$8:$ZO$142,74,FALSE)),ISERROR(HLOOKUP(AA$8,'Rent Adjustments'!$G$8:$ZO$142,76,FALSE))),0,IF(HLOOKUP(AA$8,'Rent Adjustments'!$G$8:$ZO$142,74,FALSE)="",0,IF(AND($G14=HLOOKUP(AA$8,'Rent Adjustments'!$G$8:$ZO$142,74,FALSE),$F18=HLOOKUP(AA$8,'Rent Adjustments'!$G$8:$ZO$142,76,FALSE)),1,0))))</f>
        <v>0</v>
      </c>
      <c r="AB18" s="2089">
        <f>IF(dpIncome_RentAdjustment_4="Construction Quality",IF(OR(ISERROR(HLOOKUP(AB$8,'Rent Adjustments'!$G$8:$ZO$142,74,FALSE)),ISERROR(HLOOKUP(AB$8,'Rent Adjustments'!$G$8:$ZO$142,75,FALSE))),0,IF(HLOOKUP(AB$8,'Rent Adjustments'!$G$8:$ZO$142,74,FALSE)="",0,IF(AND($G14=HLOOKUP(AB$8,'Rent Adjustments'!$G$8:$ZO$142,74,FALSE),$F18=HLOOKUP(AB$8,'Rent Adjustments'!$G$8:$ZO$142,75,FALSE)),1,0))),IF(OR(ISERROR(HLOOKUP(AB$8,'Rent Adjustments'!$G$8:$ZO$142,74,FALSE)),ISERROR(HLOOKUP(AB$8,'Rent Adjustments'!$G$8:$ZO$142,76,FALSE))),0,IF(HLOOKUP(AB$8,'Rent Adjustments'!$G$8:$ZO$142,74,FALSE)="",0,IF(AND($G14=HLOOKUP(AB$8,'Rent Adjustments'!$G$8:$ZO$142,74,FALSE),$F18=HLOOKUP(AB$8,'Rent Adjustments'!$G$8:$ZO$142,76,FALSE)),1,0))))</f>
        <v>0</v>
      </c>
      <c r="AC18" s="2089">
        <f>IF(dpIncome_RentAdjustment_4="Construction Quality",IF(OR(ISERROR(HLOOKUP(AC$8,'Rent Adjustments'!$G$8:$ZO$142,74,FALSE)),ISERROR(HLOOKUP(AC$8,'Rent Adjustments'!$G$8:$ZO$142,75,FALSE))),0,IF(HLOOKUP(AC$8,'Rent Adjustments'!$G$8:$ZO$142,74,FALSE)="",0,IF(AND($G14=HLOOKUP(AC$8,'Rent Adjustments'!$G$8:$ZO$142,74,FALSE),$F18=HLOOKUP(AC$8,'Rent Adjustments'!$G$8:$ZO$142,75,FALSE)),1,0))),IF(OR(ISERROR(HLOOKUP(AC$8,'Rent Adjustments'!$G$8:$ZO$142,74,FALSE)),ISERROR(HLOOKUP(AC$8,'Rent Adjustments'!$G$8:$ZO$142,76,FALSE))),0,IF(HLOOKUP(AC$8,'Rent Adjustments'!$G$8:$ZO$142,74,FALSE)="",0,IF(AND($G14=HLOOKUP(AC$8,'Rent Adjustments'!$G$8:$ZO$142,74,FALSE),$F18=HLOOKUP(AC$8,'Rent Adjustments'!$G$8:$ZO$142,76,FALSE)),1,0))))</f>
        <v>0</v>
      </c>
      <c r="AD18" s="2089">
        <f>IF(dpIncome_RentAdjustment_4="Construction Quality",IF(OR(ISERROR(HLOOKUP(AD$8,'Rent Adjustments'!$G$8:$ZO$142,74,FALSE)),ISERROR(HLOOKUP(AD$8,'Rent Adjustments'!$G$8:$ZO$142,75,FALSE))),0,IF(HLOOKUP(AD$8,'Rent Adjustments'!$G$8:$ZO$142,74,FALSE)="",0,IF(AND($G14=HLOOKUP(AD$8,'Rent Adjustments'!$G$8:$ZO$142,74,FALSE),$F18=HLOOKUP(AD$8,'Rent Adjustments'!$G$8:$ZO$142,75,FALSE)),1,0))),IF(OR(ISERROR(HLOOKUP(AD$8,'Rent Adjustments'!$G$8:$ZO$142,74,FALSE)),ISERROR(HLOOKUP(AD$8,'Rent Adjustments'!$G$8:$ZO$142,76,FALSE))),0,IF(HLOOKUP(AD$8,'Rent Adjustments'!$G$8:$ZO$142,74,FALSE)="",0,IF(AND($G14=HLOOKUP(AD$8,'Rent Adjustments'!$G$8:$ZO$142,74,FALSE),$F18=HLOOKUP(AD$8,'Rent Adjustments'!$G$8:$ZO$142,76,FALSE)),1,0))))</f>
        <v>0</v>
      </c>
      <c r="AE18" s="2089">
        <f>IF(dpIncome_RentAdjustment_4="Construction Quality",IF(OR(ISERROR(HLOOKUP(AE$8,'Rent Adjustments'!$G$8:$ZO$142,74,FALSE)),ISERROR(HLOOKUP(AE$8,'Rent Adjustments'!$G$8:$ZO$142,75,FALSE))),0,IF(HLOOKUP(AE$8,'Rent Adjustments'!$G$8:$ZO$142,74,FALSE)="",0,IF(AND($G14=HLOOKUP(AE$8,'Rent Adjustments'!$G$8:$ZO$142,74,FALSE),$F18=HLOOKUP(AE$8,'Rent Adjustments'!$G$8:$ZO$142,75,FALSE)),1,0))),IF(OR(ISERROR(HLOOKUP(AE$8,'Rent Adjustments'!$G$8:$ZO$142,74,FALSE)),ISERROR(HLOOKUP(AE$8,'Rent Adjustments'!$G$8:$ZO$142,76,FALSE))),0,IF(HLOOKUP(AE$8,'Rent Adjustments'!$G$8:$ZO$142,74,FALSE)="",0,IF(AND($G14=HLOOKUP(AE$8,'Rent Adjustments'!$G$8:$ZO$142,74,FALSE),$F18=HLOOKUP(AE$8,'Rent Adjustments'!$G$8:$ZO$142,76,FALSE)),1,0))))</f>
        <v>0</v>
      </c>
      <c r="AF18" s="2089">
        <f>IF(dpIncome_RentAdjustment_4="Construction Quality",IF(OR(ISERROR(HLOOKUP(AF$8,'Rent Adjustments'!$G$8:$ZO$142,74,FALSE)),ISERROR(HLOOKUP(AF$8,'Rent Adjustments'!$G$8:$ZO$142,75,FALSE))),0,IF(HLOOKUP(AF$8,'Rent Adjustments'!$G$8:$ZO$142,74,FALSE)="",0,IF(AND($G14=HLOOKUP(AF$8,'Rent Adjustments'!$G$8:$ZO$142,74,FALSE),$F18=HLOOKUP(AF$8,'Rent Adjustments'!$G$8:$ZO$142,75,FALSE)),1,0))),IF(OR(ISERROR(HLOOKUP(AF$8,'Rent Adjustments'!$G$8:$ZO$142,74,FALSE)),ISERROR(HLOOKUP(AF$8,'Rent Adjustments'!$G$8:$ZO$142,76,FALSE))),0,IF(HLOOKUP(AF$8,'Rent Adjustments'!$G$8:$ZO$142,74,FALSE)="",0,IF(AND($G14=HLOOKUP(AF$8,'Rent Adjustments'!$G$8:$ZO$142,74,FALSE),$F18=HLOOKUP(AF$8,'Rent Adjustments'!$G$8:$ZO$142,76,FALSE)),1,0))))</f>
        <v>0</v>
      </c>
      <c r="AG18" s="2089">
        <f>IF(dpIncome_RentAdjustment_4="Construction Quality",IF(OR(ISERROR(HLOOKUP(AG$8,'Rent Adjustments'!$G$8:$ZO$142,74,FALSE)),ISERROR(HLOOKUP(AG$8,'Rent Adjustments'!$G$8:$ZO$142,75,FALSE))),0,IF(HLOOKUP(AG$8,'Rent Adjustments'!$G$8:$ZO$142,74,FALSE)="",0,IF(AND($G14=HLOOKUP(AG$8,'Rent Adjustments'!$G$8:$ZO$142,74,FALSE),$F18=HLOOKUP(AG$8,'Rent Adjustments'!$G$8:$ZO$142,75,FALSE)),1,0))),IF(OR(ISERROR(HLOOKUP(AG$8,'Rent Adjustments'!$G$8:$ZO$142,74,FALSE)),ISERROR(HLOOKUP(AG$8,'Rent Adjustments'!$G$8:$ZO$142,76,FALSE))),0,IF(HLOOKUP(AG$8,'Rent Adjustments'!$G$8:$ZO$142,74,FALSE)="",0,IF(AND($G14=HLOOKUP(AG$8,'Rent Adjustments'!$G$8:$ZO$142,74,FALSE),$F18=HLOOKUP(AG$8,'Rent Adjustments'!$G$8:$ZO$142,76,FALSE)),1,0))))</f>
        <v>0</v>
      </c>
      <c r="AH18" s="2089">
        <f>SUM(W18:$W18)</f>
        <v>0</v>
      </c>
      <c r="AI18" s="2089">
        <f>SUM($W18:X18)</f>
        <v>0</v>
      </c>
      <c r="AJ18" s="2089">
        <f>SUM($W18:Y18)</f>
        <v>0</v>
      </c>
      <c r="AK18" s="2089">
        <f>SUM($W18:Z18)</f>
        <v>0</v>
      </c>
      <c r="AL18" s="2089">
        <f>SUM($W18:AA18)</f>
        <v>0</v>
      </c>
      <c r="AM18" s="2089">
        <f>SUM($W18:AB18)</f>
        <v>0</v>
      </c>
      <c r="AN18" s="2089">
        <f>SUM($W18:AC18)</f>
        <v>0</v>
      </c>
      <c r="AO18" s="2089">
        <f>SUM($W18:AD18)</f>
        <v>0</v>
      </c>
      <c r="AP18" s="2089">
        <f>SUM($W18:AE18)</f>
        <v>0</v>
      </c>
      <c r="AQ18" s="2089">
        <f>SUM($W18:AF18)</f>
        <v>0</v>
      </c>
      <c r="AR18" s="2089">
        <f>SUM($W18:AG18)</f>
        <v>0</v>
      </c>
      <c r="AS18" s="2089" t="str">
        <f t="shared" si="7"/>
        <v/>
      </c>
      <c r="AT18" s="2089" t="str">
        <f t="shared" si="7"/>
        <v/>
      </c>
      <c r="AU18" s="2089" t="str">
        <f t="shared" si="7"/>
        <v/>
      </c>
      <c r="AV18" s="2089" t="str">
        <f t="shared" si="7"/>
        <v/>
      </c>
      <c r="AW18" s="2089" t="str">
        <f t="shared" si="7"/>
        <v/>
      </c>
      <c r="AX18" s="2089" t="str">
        <f t="shared" si="7"/>
        <v/>
      </c>
      <c r="AY18" s="2089" t="str">
        <f t="shared" si="7"/>
        <v/>
      </c>
      <c r="AZ18" s="2089" t="str">
        <f t="shared" si="7"/>
        <v/>
      </c>
      <c r="BA18" s="2089" t="str">
        <f t="shared" si="7"/>
        <v/>
      </c>
      <c r="BB18" s="2089" t="str">
        <f t="shared" si="7"/>
        <v/>
      </c>
      <c r="BC18" s="2089" t="str">
        <f t="shared" si="7"/>
        <v/>
      </c>
    </row>
    <row r="19" spans="1:55" ht="60" hidden="1" customHeight="1" x14ac:dyDescent="0.25">
      <c r="A19" s="972">
        <f>IF(RentAdjustmentGrid="Single",IF(D19="",0,1),0)</f>
        <v>0</v>
      </c>
      <c r="B19" s="4"/>
      <c r="C19" s="258"/>
      <c r="D19" s="4254" t="str">
        <f>CONCATENATE(AS19,AT19,AU19,AV19,AW19,AX19,AY19,AZ19,BA19,BB19,BC19)</f>
        <v/>
      </c>
      <c r="E19" s="4254"/>
      <c r="F19" s="3491" t="str">
        <f>IF(dpIncome_RentAdjustment_4="Construction Quality","A - Structural Steel","A")</f>
        <v>A - Structural Steel</v>
      </c>
      <c r="G19" s="4255" t="s">
        <v>1844</v>
      </c>
      <c r="H19" s="4258" t="s">
        <v>1846</v>
      </c>
      <c r="I19" s="4258"/>
      <c r="J19" s="4258"/>
      <c r="K19" s="4258"/>
      <c r="L19" s="3492" t="str">
        <f>IFERROR(dpIncome_Rent_Quality_ClassAdj*U19,"")</f>
        <v/>
      </c>
      <c r="M19" s="4261">
        <f>dpIncome_Rent_Quality_RatingAdj*V19</f>
        <v>-0.5</v>
      </c>
      <c r="N19" s="4261"/>
      <c r="O19" s="4263" t="s">
        <v>177</v>
      </c>
      <c r="P19" s="3493" t="str">
        <f>IFERROR(L19+M19,"")</f>
        <v/>
      </c>
      <c r="Q19" s="3494"/>
      <c r="R19" s="6"/>
      <c r="T19" s="2100">
        <f>IF(dpIncome_RentAdjustment_4="Construction Quality",IF(F19=Subject_ConstructionClass,1,0),IF(F19=Subject_InvestmentClass,1,0))</f>
        <v>0</v>
      </c>
      <c r="U19" s="707" t="str">
        <f>U14</f>
        <v/>
      </c>
      <c r="V19" s="707">
        <f>IF(SUM(W19:W23)=1,0,IF(SUM(W$9:W19)=0,V24-1,V14+1))</f>
        <v>-5</v>
      </c>
      <c r="W19" s="707">
        <f>IF(dpIncome_RentAdjustment_4="Construction Quality",IF(AND(F19=Subject_ConstructionClass,G$19=Subject_ConstructionQuality),1,0),IF(AND(F19=Subject_InvestmentClass,G$19=Subject_ConstructionQuality),1,0))</f>
        <v>0</v>
      </c>
      <c r="X19" s="707">
        <f>IF(dpIncome_RentAdjustment_4="Construction Quality",IF(OR(ISERROR(HLOOKUP(X$8,'Rent Adjustments'!$G$8:$ZO$142,74,FALSE)),ISERROR(HLOOKUP(X$8,'Rent Adjustments'!$G$8:$ZO$142,75,FALSE))),0,IF(HLOOKUP(X$8,'Rent Adjustments'!$G$8:$ZO$142,74,FALSE)="",0,IF(AND($G19=HLOOKUP(X$8,'Rent Adjustments'!$G$8:$ZO$142,74,FALSE),$F19=HLOOKUP(X$8,'Rent Adjustments'!$G$8:$ZO$142,75,FALSE)),1,0))),IF(OR(ISERROR(HLOOKUP(X$8,'Rent Adjustments'!$G$8:$ZO$142,74,FALSE)),ISERROR(HLOOKUP(X$8,'Rent Adjustments'!$G$8:$ZO$142,76,FALSE))),0,IF(HLOOKUP(X$8,'Rent Adjustments'!$G$8:$ZO$142,74,FALSE)="",0,IF(AND($G19=HLOOKUP(X$8,'Rent Adjustments'!$G$8:$ZO$142,74,FALSE),$F19=HLOOKUP(X$8,'Rent Adjustments'!$G$8:$ZO$142,76,FALSE)),1,0))))</f>
        <v>0</v>
      </c>
      <c r="Y19" s="707">
        <f>IF(dpIncome_RentAdjustment_4="Construction Quality",IF(OR(ISERROR(HLOOKUP(Y$8,'Rent Adjustments'!$G$8:$ZO$142,74,FALSE)),ISERROR(HLOOKUP(Y$8,'Rent Adjustments'!$G$8:$ZO$142,75,FALSE))),0,IF(HLOOKUP(Y$8,'Rent Adjustments'!$G$8:$ZO$142,74,FALSE)="",0,IF(AND($G19=HLOOKUP(Y$8,'Rent Adjustments'!$G$8:$ZO$142,74,FALSE),$F19=HLOOKUP(Y$8,'Rent Adjustments'!$G$8:$ZO$142,75,FALSE)),1,0))),IF(OR(ISERROR(HLOOKUP(Y$8,'Rent Adjustments'!$G$8:$ZO$142,74,FALSE)),ISERROR(HLOOKUP(Y$8,'Rent Adjustments'!$G$8:$ZO$142,76,FALSE))),0,IF(HLOOKUP(Y$8,'Rent Adjustments'!$G$8:$ZO$142,74,FALSE)="",0,IF(AND($G19=HLOOKUP(Y$8,'Rent Adjustments'!$G$8:$ZO$142,74,FALSE),$F19=HLOOKUP(Y$8,'Rent Adjustments'!$G$8:$ZO$142,76,FALSE)),1,0))))</f>
        <v>0</v>
      </c>
      <c r="Z19" s="707">
        <f>IF(dpIncome_RentAdjustment_4="Construction Quality",IF(OR(ISERROR(HLOOKUP(Z$8,'Rent Adjustments'!$G$8:$ZO$142,74,FALSE)),ISERROR(HLOOKUP(Z$8,'Rent Adjustments'!$G$8:$ZO$142,75,FALSE))),0,IF(HLOOKUP(Z$8,'Rent Adjustments'!$G$8:$ZO$142,74,FALSE)="",0,IF(AND($G19=HLOOKUP(Z$8,'Rent Adjustments'!$G$8:$ZO$142,74,FALSE),$F19=HLOOKUP(Z$8,'Rent Adjustments'!$G$8:$ZO$142,75,FALSE)),1,0))),IF(OR(ISERROR(HLOOKUP(Z$8,'Rent Adjustments'!$G$8:$ZO$142,74,FALSE)),ISERROR(HLOOKUP(Z$8,'Rent Adjustments'!$G$8:$ZO$142,76,FALSE))),0,IF(HLOOKUP(Z$8,'Rent Adjustments'!$G$8:$ZO$142,74,FALSE)="",0,IF(AND($G19=HLOOKUP(Z$8,'Rent Adjustments'!$G$8:$ZO$142,74,FALSE),$F19=HLOOKUP(Z$8,'Rent Adjustments'!$G$8:$ZO$142,76,FALSE)),1,0))))</f>
        <v>0</v>
      </c>
      <c r="AA19" s="707">
        <f>IF(dpIncome_RentAdjustment_4="Construction Quality",IF(OR(ISERROR(HLOOKUP(AA$8,'Rent Adjustments'!$G$8:$ZO$142,74,FALSE)),ISERROR(HLOOKUP(AA$8,'Rent Adjustments'!$G$8:$ZO$142,75,FALSE))),0,IF(HLOOKUP(AA$8,'Rent Adjustments'!$G$8:$ZO$142,74,FALSE)="",0,IF(AND($G19=HLOOKUP(AA$8,'Rent Adjustments'!$G$8:$ZO$142,74,FALSE),$F19=HLOOKUP(AA$8,'Rent Adjustments'!$G$8:$ZO$142,75,FALSE)),1,0))),IF(OR(ISERROR(HLOOKUP(AA$8,'Rent Adjustments'!$G$8:$ZO$142,74,FALSE)),ISERROR(HLOOKUP(AA$8,'Rent Adjustments'!$G$8:$ZO$142,76,FALSE))),0,IF(HLOOKUP(AA$8,'Rent Adjustments'!$G$8:$ZO$142,74,FALSE)="",0,IF(AND($G19=HLOOKUP(AA$8,'Rent Adjustments'!$G$8:$ZO$142,74,FALSE),$F19=HLOOKUP(AA$8,'Rent Adjustments'!$G$8:$ZO$142,76,FALSE)),1,0))))</f>
        <v>0</v>
      </c>
      <c r="AB19" s="707">
        <f>IF(dpIncome_RentAdjustment_4="Construction Quality",IF(OR(ISERROR(HLOOKUP(AB$8,'Rent Adjustments'!$G$8:$ZO$142,74,FALSE)),ISERROR(HLOOKUP(AB$8,'Rent Adjustments'!$G$8:$ZO$142,75,FALSE))),0,IF(HLOOKUP(AB$8,'Rent Adjustments'!$G$8:$ZO$142,74,FALSE)="",0,IF(AND($G19=HLOOKUP(AB$8,'Rent Adjustments'!$G$8:$ZO$142,74,FALSE),$F19=HLOOKUP(AB$8,'Rent Adjustments'!$G$8:$ZO$142,75,FALSE)),1,0))),IF(OR(ISERROR(HLOOKUP(AB$8,'Rent Adjustments'!$G$8:$ZO$142,74,FALSE)),ISERROR(HLOOKUP(AB$8,'Rent Adjustments'!$G$8:$ZO$142,76,FALSE))),0,IF(HLOOKUP(AB$8,'Rent Adjustments'!$G$8:$ZO$142,74,FALSE)="",0,IF(AND($G19=HLOOKUP(AB$8,'Rent Adjustments'!$G$8:$ZO$142,74,FALSE),$F19=HLOOKUP(AB$8,'Rent Adjustments'!$G$8:$ZO$142,76,FALSE)),1,0))))</f>
        <v>0</v>
      </c>
      <c r="AC19" s="707">
        <f>IF(dpIncome_RentAdjustment_4="Construction Quality",IF(OR(ISERROR(HLOOKUP(AC$8,'Rent Adjustments'!$G$8:$ZO$142,74,FALSE)),ISERROR(HLOOKUP(AC$8,'Rent Adjustments'!$G$8:$ZO$142,75,FALSE))),0,IF(HLOOKUP(AC$8,'Rent Adjustments'!$G$8:$ZO$142,74,FALSE)="",0,IF(AND($G19=HLOOKUP(AC$8,'Rent Adjustments'!$G$8:$ZO$142,74,FALSE),$F19=HLOOKUP(AC$8,'Rent Adjustments'!$G$8:$ZO$142,75,FALSE)),1,0))),IF(OR(ISERROR(HLOOKUP(AC$8,'Rent Adjustments'!$G$8:$ZO$142,74,FALSE)),ISERROR(HLOOKUP(AC$8,'Rent Adjustments'!$G$8:$ZO$142,76,FALSE))),0,IF(HLOOKUP(AC$8,'Rent Adjustments'!$G$8:$ZO$142,74,FALSE)="",0,IF(AND($G19=HLOOKUP(AC$8,'Rent Adjustments'!$G$8:$ZO$142,74,FALSE),$F19=HLOOKUP(AC$8,'Rent Adjustments'!$G$8:$ZO$142,76,FALSE)),1,0))))</f>
        <v>0</v>
      </c>
      <c r="AD19" s="707">
        <f>IF(dpIncome_RentAdjustment_4="Construction Quality",IF(OR(ISERROR(HLOOKUP(AD$8,'Rent Adjustments'!$G$8:$ZO$142,74,FALSE)),ISERROR(HLOOKUP(AD$8,'Rent Adjustments'!$G$8:$ZO$142,75,FALSE))),0,IF(HLOOKUP(AD$8,'Rent Adjustments'!$G$8:$ZO$142,74,FALSE)="",0,IF(AND($G19=HLOOKUP(AD$8,'Rent Adjustments'!$G$8:$ZO$142,74,FALSE),$F19=HLOOKUP(AD$8,'Rent Adjustments'!$G$8:$ZO$142,75,FALSE)),1,0))),IF(OR(ISERROR(HLOOKUP(AD$8,'Rent Adjustments'!$G$8:$ZO$142,74,FALSE)),ISERROR(HLOOKUP(AD$8,'Rent Adjustments'!$G$8:$ZO$142,76,FALSE))),0,IF(HLOOKUP(AD$8,'Rent Adjustments'!$G$8:$ZO$142,74,FALSE)="",0,IF(AND($G19=HLOOKUP(AD$8,'Rent Adjustments'!$G$8:$ZO$142,74,FALSE),$F19=HLOOKUP(AD$8,'Rent Adjustments'!$G$8:$ZO$142,76,FALSE)),1,0))))</f>
        <v>0</v>
      </c>
      <c r="AE19" s="707">
        <f>IF(dpIncome_RentAdjustment_4="Construction Quality",IF(OR(ISERROR(HLOOKUP(AE$8,'Rent Adjustments'!$G$8:$ZO$142,74,FALSE)),ISERROR(HLOOKUP(AE$8,'Rent Adjustments'!$G$8:$ZO$142,75,FALSE))),0,IF(HLOOKUP(AE$8,'Rent Adjustments'!$G$8:$ZO$142,74,FALSE)="",0,IF(AND($G19=HLOOKUP(AE$8,'Rent Adjustments'!$G$8:$ZO$142,74,FALSE),$F19=HLOOKUP(AE$8,'Rent Adjustments'!$G$8:$ZO$142,75,FALSE)),1,0))),IF(OR(ISERROR(HLOOKUP(AE$8,'Rent Adjustments'!$G$8:$ZO$142,74,FALSE)),ISERROR(HLOOKUP(AE$8,'Rent Adjustments'!$G$8:$ZO$142,76,FALSE))),0,IF(HLOOKUP(AE$8,'Rent Adjustments'!$G$8:$ZO$142,74,FALSE)="",0,IF(AND($G19=HLOOKUP(AE$8,'Rent Adjustments'!$G$8:$ZO$142,74,FALSE),$F19=HLOOKUP(AE$8,'Rent Adjustments'!$G$8:$ZO$142,76,FALSE)),1,0))))</f>
        <v>0</v>
      </c>
      <c r="AF19" s="707">
        <f>IF(dpIncome_RentAdjustment_4="Construction Quality",IF(OR(ISERROR(HLOOKUP(AF$8,'Rent Adjustments'!$G$8:$ZO$142,74,FALSE)),ISERROR(HLOOKUP(AF$8,'Rent Adjustments'!$G$8:$ZO$142,75,FALSE))),0,IF(HLOOKUP(AF$8,'Rent Adjustments'!$G$8:$ZO$142,74,FALSE)="",0,IF(AND($G19=HLOOKUP(AF$8,'Rent Adjustments'!$G$8:$ZO$142,74,FALSE),$F19=HLOOKUP(AF$8,'Rent Adjustments'!$G$8:$ZO$142,75,FALSE)),1,0))),IF(OR(ISERROR(HLOOKUP(AF$8,'Rent Adjustments'!$G$8:$ZO$142,74,FALSE)),ISERROR(HLOOKUP(AF$8,'Rent Adjustments'!$G$8:$ZO$142,76,FALSE))),0,IF(HLOOKUP(AF$8,'Rent Adjustments'!$G$8:$ZO$142,74,FALSE)="",0,IF(AND($G19=HLOOKUP(AF$8,'Rent Adjustments'!$G$8:$ZO$142,74,FALSE),$F19=HLOOKUP(AF$8,'Rent Adjustments'!$G$8:$ZO$142,76,FALSE)),1,0))))</f>
        <v>0</v>
      </c>
      <c r="AG19" s="707">
        <f>IF(dpIncome_RentAdjustment_4="Construction Quality",IF(OR(ISERROR(HLOOKUP(AG$8,'Rent Adjustments'!$G$8:$ZO$142,74,FALSE)),ISERROR(HLOOKUP(AG$8,'Rent Adjustments'!$G$8:$ZO$142,75,FALSE))),0,IF(HLOOKUP(AG$8,'Rent Adjustments'!$G$8:$ZO$142,74,FALSE)="",0,IF(AND($G19=HLOOKUP(AG$8,'Rent Adjustments'!$G$8:$ZO$142,74,FALSE),$F19=HLOOKUP(AG$8,'Rent Adjustments'!$G$8:$ZO$142,75,FALSE)),1,0))),IF(OR(ISERROR(HLOOKUP(AG$8,'Rent Adjustments'!$G$8:$ZO$142,74,FALSE)),ISERROR(HLOOKUP(AG$8,'Rent Adjustments'!$G$8:$ZO$142,76,FALSE))),0,IF(HLOOKUP(AG$8,'Rent Adjustments'!$G$8:$ZO$142,74,FALSE)="",0,IF(AND($G19=HLOOKUP(AG$8,'Rent Adjustments'!$G$8:$ZO$142,74,FALSE),$F19=HLOOKUP(AG$8,'Rent Adjustments'!$G$8:$ZO$142,76,FALSE)),1,0))))</f>
        <v>0</v>
      </c>
      <c r="AH19" s="707">
        <f>SUM(W19:$W19)</f>
        <v>0</v>
      </c>
      <c r="AI19" s="707">
        <f>SUM($W19:X19)</f>
        <v>0</v>
      </c>
      <c r="AJ19" s="707">
        <f>SUM($W19:Y19)</f>
        <v>0</v>
      </c>
      <c r="AK19" s="707">
        <f>SUM($W19:Z19)</f>
        <v>0</v>
      </c>
      <c r="AL19" s="707">
        <f>SUM($W19:AA19)</f>
        <v>0</v>
      </c>
      <c r="AM19" s="707">
        <f>SUM($W19:AB19)</f>
        <v>0</v>
      </c>
      <c r="AN19" s="707">
        <f>SUM($W19:AC19)</f>
        <v>0</v>
      </c>
      <c r="AO19" s="707">
        <f>SUM($W19:AD19)</f>
        <v>0</v>
      </c>
      <c r="AP19" s="707">
        <f>SUM($W19:AE19)</f>
        <v>0</v>
      </c>
      <c r="AQ19" s="707">
        <f>SUM($W19:AF19)</f>
        <v>0</v>
      </c>
      <c r="AR19" s="707">
        <f>SUM($W19:AG19)</f>
        <v>0</v>
      </c>
      <c r="AS19" s="707" t="str">
        <f t="shared" ref="AS19:BC23" si="10">IF(W19=1,IF(AND(AH19=$AR19,$AR19&gt;1),IF($AR19&lt;3,CONCATENATE(" and ",AS$7),CONCATENATE("and ",AS$7)),IF($AR19&lt;3,AS$7,CONCATENATE(AS$7,", "))),"")</f>
        <v/>
      </c>
      <c r="AT19" s="707" t="str">
        <f t="shared" si="10"/>
        <v/>
      </c>
      <c r="AU19" s="707" t="str">
        <f t="shared" si="10"/>
        <v/>
      </c>
      <c r="AV19" s="707" t="str">
        <f t="shared" si="10"/>
        <v/>
      </c>
      <c r="AW19" s="707" t="str">
        <f t="shared" si="10"/>
        <v/>
      </c>
      <c r="AX19" s="707" t="str">
        <f t="shared" si="10"/>
        <v/>
      </c>
      <c r="AY19" s="707" t="str">
        <f t="shared" si="10"/>
        <v/>
      </c>
      <c r="AZ19" s="707" t="str">
        <f t="shared" si="10"/>
        <v/>
      </c>
      <c r="BA19" s="707" t="str">
        <f t="shared" si="10"/>
        <v/>
      </c>
      <c r="BB19" s="707" t="str">
        <f t="shared" si="10"/>
        <v/>
      </c>
      <c r="BC19" s="707" t="str">
        <f t="shared" si="10"/>
        <v/>
      </c>
    </row>
    <row r="20" spans="1:55" ht="60" hidden="1" customHeight="1" x14ac:dyDescent="0.25">
      <c r="A20" s="972">
        <f>IF(RentAdjustmentGrid="Single",IF(D20="",0,1),0)</f>
        <v>0</v>
      </c>
      <c r="B20" s="4"/>
      <c r="C20" s="258"/>
      <c r="D20" s="4254" t="str">
        <f>CONCATENATE(AS20,AT20,AU20,AV20,AW20,AX20,AY20,AZ20,BA20,BB20,BC20)</f>
        <v/>
      </c>
      <c r="E20" s="4254"/>
      <c r="F20" s="3491" t="str">
        <f>IF(dpIncome_RentAdjustment_4="Construction Quality","B - Reinforced Concrete","B")</f>
        <v>B - Reinforced Concrete</v>
      </c>
      <c r="G20" s="4256"/>
      <c r="H20" s="4259"/>
      <c r="I20" s="4259"/>
      <c r="J20" s="4259"/>
      <c r="K20" s="4259"/>
      <c r="L20" s="3492" t="str">
        <f>IFERROR(dpIncome_Rent_Quality_ClassAdj*U20,"")</f>
        <v/>
      </c>
      <c r="M20" s="4261"/>
      <c r="N20" s="4261"/>
      <c r="O20" s="4263"/>
      <c r="P20" s="3493" t="str">
        <f>IFERROR(L20+M19,"")</f>
        <v/>
      </c>
      <c r="Q20" s="3494"/>
      <c r="R20" s="6"/>
      <c r="T20" s="2100">
        <f>IF(dpIncome_RentAdjustment_4="Construction Quality",IF(F20=Subject_ConstructionClass,1,0),IF(F20=Subject_InvestmentClass,1,0))</f>
        <v>0</v>
      </c>
      <c r="U20" s="707" t="str">
        <f t="shared" si="9"/>
        <v/>
      </c>
      <c r="V20" s="707"/>
      <c r="W20" s="707">
        <f>IF(dpIncome_RentAdjustment_4="Construction Quality",IF(AND(F20=Subject_ConstructionClass,G$19=Subject_ConstructionQuality),1,0),IF(AND(F20=Subject_InvestmentClass,G$19=Subject_ConstructionQuality),1,0))</f>
        <v>0</v>
      </c>
      <c r="X20" s="707">
        <f>IF(dpIncome_RentAdjustment_4="Construction Quality",IF(OR(ISERROR(HLOOKUP(X$8,'Rent Adjustments'!$G$8:$ZO$142,74,FALSE)),ISERROR(HLOOKUP(X$8,'Rent Adjustments'!$G$8:$ZO$142,75,FALSE))),0,IF(HLOOKUP(X$8,'Rent Adjustments'!$G$8:$ZO$142,74,FALSE)="",0,IF(AND($G19=HLOOKUP(X$8,'Rent Adjustments'!$G$8:$ZO$142,74,FALSE),$F20=HLOOKUP(X$8,'Rent Adjustments'!$G$8:$ZO$142,75,FALSE)),1,0))),IF(OR(ISERROR(HLOOKUP(X$8,'Rent Adjustments'!$G$8:$ZO$142,74,FALSE)),ISERROR(HLOOKUP(X$8,'Rent Adjustments'!$G$8:$ZO$142,76,FALSE))),0,IF(HLOOKUP(X$8,'Rent Adjustments'!$G$8:$ZO$142,74,FALSE)="",0,IF(AND($G19=HLOOKUP(X$8,'Rent Adjustments'!$G$8:$ZO$142,74,FALSE),$F20=HLOOKUP(X$8,'Rent Adjustments'!$G$8:$ZO$142,76,FALSE)),1,0))))</f>
        <v>0</v>
      </c>
      <c r="Y20" s="707">
        <f>IF(dpIncome_RentAdjustment_4="Construction Quality",IF(OR(ISERROR(HLOOKUP(Y$8,'Rent Adjustments'!$G$8:$ZO$142,74,FALSE)),ISERROR(HLOOKUP(Y$8,'Rent Adjustments'!$G$8:$ZO$142,75,FALSE))),0,IF(HLOOKUP(Y$8,'Rent Adjustments'!$G$8:$ZO$142,74,FALSE)="",0,IF(AND($G19=HLOOKUP(Y$8,'Rent Adjustments'!$G$8:$ZO$142,74,FALSE),$F20=HLOOKUP(Y$8,'Rent Adjustments'!$G$8:$ZO$142,75,FALSE)),1,0))),IF(OR(ISERROR(HLOOKUP(Y$8,'Rent Adjustments'!$G$8:$ZO$142,74,FALSE)),ISERROR(HLOOKUP(Y$8,'Rent Adjustments'!$G$8:$ZO$142,76,FALSE))),0,IF(HLOOKUP(Y$8,'Rent Adjustments'!$G$8:$ZO$142,74,FALSE)="",0,IF(AND($G19=HLOOKUP(Y$8,'Rent Adjustments'!$G$8:$ZO$142,74,FALSE),$F20=HLOOKUP(Y$8,'Rent Adjustments'!$G$8:$ZO$142,76,FALSE)),1,0))))</f>
        <v>0</v>
      </c>
      <c r="Z20" s="707">
        <f>IF(dpIncome_RentAdjustment_4="Construction Quality",IF(OR(ISERROR(HLOOKUP(Z$8,'Rent Adjustments'!$G$8:$ZO$142,74,FALSE)),ISERROR(HLOOKUP(Z$8,'Rent Adjustments'!$G$8:$ZO$142,75,FALSE))),0,IF(HLOOKUP(Z$8,'Rent Adjustments'!$G$8:$ZO$142,74,FALSE)="",0,IF(AND($G19=HLOOKUP(Z$8,'Rent Adjustments'!$G$8:$ZO$142,74,FALSE),$F20=HLOOKUP(Z$8,'Rent Adjustments'!$G$8:$ZO$142,75,FALSE)),1,0))),IF(OR(ISERROR(HLOOKUP(Z$8,'Rent Adjustments'!$G$8:$ZO$142,74,FALSE)),ISERROR(HLOOKUP(Z$8,'Rent Adjustments'!$G$8:$ZO$142,76,FALSE))),0,IF(HLOOKUP(Z$8,'Rent Adjustments'!$G$8:$ZO$142,74,FALSE)="",0,IF(AND($G19=HLOOKUP(Z$8,'Rent Adjustments'!$G$8:$ZO$142,74,FALSE),$F20=HLOOKUP(Z$8,'Rent Adjustments'!$G$8:$ZO$142,76,FALSE)),1,0))))</f>
        <v>0</v>
      </c>
      <c r="AA20" s="707">
        <f>IF(dpIncome_RentAdjustment_4="Construction Quality",IF(OR(ISERROR(HLOOKUP(AA$8,'Rent Adjustments'!$G$8:$ZO$142,74,FALSE)),ISERROR(HLOOKUP(AA$8,'Rent Adjustments'!$G$8:$ZO$142,75,FALSE))),0,IF(HLOOKUP(AA$8,'Rent Adjustments'!$G$8:$ZO$142,74,FALSE)="",0,IF(AND($G19=HLOOKUP(AA$8,'Rent Adjustments'!$G$8:$ZO$142,74,FALSE),$F20=HLOOKUP(AA$8,'Rent Adjustments'!$G$8:$ZO$142,75,FALSE)),1,0))),IF(OR(ISERROR(HLOOKUP(AA$8,'Rent Adjustments'!$G$8:$ZO$142,74,FALSE)),ISERROR(HLOOKUP(AA$8,'Rent Adjustments'!$G$8:$ZO$142,76,FALSE))),0,IF(HLOOKUP(AA$8,'Rent Adjustments'!$G$8:$ZO$142,74,FALSE)="",0,IF(AND($G19=HLOOKUP(AA$8,'Rent Adjustments'!$G$8:$ZO$142,74,FALSE),$F20=HLOOKUP(AA$8,'Rent Adjustments'!$G$8:$ZO$142,76,FALSE)),1,0))))</f>
        <v>0</v>
      </c>
      <c r="AB20" s="707">
        <f>IF(dpIncome_RentAdjustment_4="Construction Quality",IF(OR(ISERROR(HLOOKUP(AB$8,'Rent Adjustments'!$G$8:$ZO$142,74,FALSE)),ISERROR(HLOOKUP(AB$8,'Rent Adjustments'!$G$8:$ZO$142,75,FALSE))),0,IF(HLOOKUP(AB$8,'Rent Adjustments'!$G$8:$ZO$142,74,FALSE)="",0,IF(AND($G19=HLOOKUP(AB$8,'Rent Adjustments'!$G$8:$ZO$142,74,FALSE),$F20=HLOOKUP(AB$8,'Rent Adjustments'!$G$8:$ZO$142,75,FALSE)),1,0))),IF(OR(ISERROR(HLOOKUP(AB$8,'Rent Adjustments'!$G$8:$ZO$142,74,FALSE)),ISERROR(HLOOKUP(AB$8,'Rent Adjustments'!$G$8:$ZO$142,76,FALSE))),0,IF(HLOOKUP(AB$8,'Rent Adjustments'!$G$8:$ZO$142,74,FALSE)="",0,IF(AND($G19=HLOOKUP(AB$8,'Rent Adjustments'!$G$8:$ZO$142,74,FALSE),$F20=HLOOKUP(AB$8,'Rent Adjustments'!$G$8:$ZO$142,76,FALSE)),1,0))))</f>
        <v>0</v>
      </c>
      <c r="AC20" s="707">
        <f>IF(dpIncome_RentAdjustment_4="Construction Quality",IF(OR(ISERROR(HLOOKUP(AC$8,'Rent Adjustments'!$G$8:$ZO$142,74,FALSE)),ISERROR(HLOOKUP(AC$8,'Rent Adjustments'!$G$8:$ZO$142,75,FALSE))),0,IF(HLOOKUP(AC$8,'Rent Adjustments'!$G$8:$ZO$142,74,FALSE)="",0,IF(AND($G19=HLOOKUP(AC$8,'Rent Adjustments'!$G$8:$ZO$142,74,FALSE),$F20=HLOOKUP(AC$8,'Rent Adjustments'!$G$8:$ZO$142,75,FALSE)),1,0))),IF(OR(ISERROR(HLOOKUP(AC$8,'Rent Adjustments'!$G$8:$ZO$142,74,FALSE)),ISERROR(HLOOKUP(AC$8,'Rent Adjustments'!$G$8:$ZO$142,76,FALSE))),0,IF(HLOOKUP(AC$8,'Rent Adjustments'!$G$8:$ZO$142,74,FALSE)="",0,IF(AND($G19=HLOOKUP(AC$8,'Rent Adjustments'!$G$8:$ZO$142,74,FALSE),$F20=HLOOKUP(AC$8,'Rent Adjustments'!$G$8:$ZO$142,76,FALSE)),1,0))))</f>
        <v>0</v>
      </c>
      <c r="AD20" s="707">
        <f>IF(dpIncome_RentAdjustment_4="Construction Quality",IF(OR(ISERROR(HLOOKUP(AD$8,'Rent Adjustments'!$G$8:$ZO$142,74,FALSE)),ISERROR(HLOOKUP(AD$8,'Rent Adjustments'!$G$8:$ZO$142,75,FALSE))),0,IF(HLOOKUP(AD$8,'Rent Adjustments'!$G$8:$ZO$142,74,FALSE)="",0,IF(AND($G19=HLOOKUP(AD$8,'Rent Adjustments'!$G$8:$ZO$142,74,FALSE),$F20=HLOOKUP(AD$8,'Rent Adjustments'!$G$8:$ZO$142,75,FALSE)),1,0))),IF(OR(ISERROR(HLOOKUP(AD$8,'Rent Adjustments'!$G$8:$ZO$142,74,FALSE)),ISERROR(HLOOKUP(AD$8,'Rent Adjustments'!$G$8:$ZO$142,76,FALSE))),0,IF(HLOOKUP(AD$8,'Rent Adjustments'!$G$8:$ZO$142,74,FALSE)="",0,IF(AND($G19=HLOOKUP(AD$8,'Rent Adjustments'!$G$8:$ZO$142,74,FALSE),$F20=HLOOKUP(AD$8,'Rent Adjustments'!$G$8:$ZO$142,76,FALSE)),1,0))))</f>
        <v>0</v>
      </c>
      <c r="AE20" s="707">
        <f>IF(dpIncome_RentAdjustment_4="Construction Quality",IF(OR(ISERROR(HLOOKUP(AE$8,'Rent Adjustments'!$G$8:$ZO$142,74,FALSE)),ISERROR(HLOOKUP(AE$8,'Rent Adjustments'!$G$8:$ZO$142,75,FALSE))),0,IF(HLOOKUP(AE$8,'Rent Adjustments'!$G$8:$ZO$142,74,FALSE)="",0,IF(AND($G19=HLOOKUP(AE$8,'Rent Adjustments'!$G$8:$ZO$142,74,FALSE),$F20=HLOOKUP(AE$8,'Rent Adjustments'!$G$8:$ZO$142,75,FALSE)),1,0))),IF(OR(ISERROR(HLOOKUP(AE$8,'Rent Adjustments'!$G$8:$ZO$142,74,FALSE)),ISERROR(HLOOKUP(AE$8,'Rent Adjustments'!$G$8:$ZO$142,76,FALSE))),0,IF(HLOOKUP(AE$8,'Rent Adjustments'!$G$8:$ZO$142,74,FALSE)="",0,IF(AND($G19=HLOOKUP(AE$8,'Rent Adjustments'!$G$8:$ZO$142,74,FALSE),$F20=HLOOKUP(AE$8,'Rent Adjustments'!$G$8:$ZO$142,76,FALSE)),1,0))))</f>
        <v>0</v>
      </c>
      <c r="AF20" s="707">
        <f>IF(dpIncome_RentAdjustment_4="Construction Quality",IF(OR(ISERROR(HLOOKUP(AF$8,'Rent Adjustments'!$G$8:$ZO$142,74,FALSE)),ISERROR(HLOOKUP(AF$8,'Rent Adjustments'!$G$8:$ZO$142,75,FALSE))),0,IF(HLOOKUP(AF$8,'Rent Adjustments'!$G$8:$ZO$142,74,FALSE)="",0,IF(AND($G19=HLOOKUP(AF$8,'Rent Adjustments'!$G$8:$ZO$142,74,FALSE),$F20=HLOOKUP(AF$8,'Rent Adjustments'!$G$8:$ZO$142,75,FALSE)),1,0))),IF(OR(ISERROR(HLOOKUP(AF$8,'Rent Adjustments'!$G$8:$ZO$142,74,FALSE)),ISERROR(HLOOKUP(AF$8,'Rent Adjustments'!$G$8:$ZO$142,76,FALSE))),0,IF(HLOOKUP(AF$8,'Rent Adjustments'!$G$8:$ZO$142,74,FALSE)="",0,IF(AND($G19=HLOOKUP(AF$8,'Rent Adjustments'!$G$8:$ZO$142,74,FALSE),$F20=HLOOKUP(AF$8,'Rent Adjustments'!$G$8:$ZO$142,76,FALSE)),1,0))))</f>
        <v>0</v>
      </c>
      <c r="AG20" s="707">
        <f>IF(dpIncome_RentAdjustment_4="Construction Quality",IF(OR(ISERROR(HLOOKUP(AG$8,'Rent Adjustments'!$G$8:$ZO$142,74,FALSE)),ISERROR(HLOOKUP(AG$8,'Rent Adjustments'!$G$8:$ZO$142,75,FALSE))),0,IF(HLOOKUP(AG$8,'Rent Adjustments'!$G$8:$ZO$142,74,FALSE)="",0,IF(AND($G19=HLOOKUP(AG$8,'Rent Adjustments'!$G$8:$ZO$142,74,FALSE),$F20=HLOOKUP(AG$8,'Rent Adjustments'!$G$8:$ZO$142,75,FALSE)),1,0))),IF(OR(ISERROR(HLOOKUP(AG$8,'Rent Adjustments'!$G$8:$ZO$142,74,FALSE)),ISERROR(HLOOKUP(AG$8,'Rent Adjustments'!$G$8:$ZO$142,76,FALSE))),0,IF(HLOOKUP(AG$8,'Rent Adjustments'!$G$8:$ZO$142,74,FALSE)="",0,IF(AND($G19=HLOOKUP(AG$8,'Rent Adjustments'!$G$8:$ZO$142,74,FALSE),$F20=HLOOKUP(AG$8,'Rent Adjustments'!$G$8:$ZO$142,76,FALSE)),1,0))))</f>
        <v>0</v>
      </c>
      <c r="AH20" s="707">
        <f>SUM(W20:$W20)</f>
        <v>0</v>
      </c>
      <c r="AI20" s="707">
        <f>SUM($W20:X20)</f>
        <v>0</v>
      </c>
      <c r="AJ20" s="707">
        <f>SUM($W20:Y20)</f>
        <v>0</v>
      </c>
      <c r="AK20" s="707">
        <f>SUM($W20:Z20)</f>
        <v>0</v>
      </c>
      <c r="AL20" s="707">
        <f>SUM($W20:AA20)</f>
        <v>0</v>
      </c>
      <c r="AM20" s="707">
        <f>SUM($W20:AB20)</f>
        <v>0</v>
      </c>
      <c r="AN20" s="707">
        <f>SUM($W20:AC20)</f>
        <v>0</v>
      </c>
      <c r="AO20" s="707">
        <f>SUM($W20:AD20)</f>
        <v>0</v>
      </c>
      <c r="AP20" s="707">
        <f>SUM($W20:AE20)</f>
        <v>0</v>
      </c>
      <c r="AQ20" s="707">
        <f>SUM($W20:AF20)</f>
        <v>0</v>
      </c>
      <c r="AR20" s="707">
        <f>SUM($W20:AG20)</f>
        <v>0</v>
      </c>
      <c r="AS20" s="707" t="str">
        <f t="shared" si="10"/>
        <v/>
      </c>
      <c r="AT20" s="707" t="str">
        <f t="shared" si="10"/>
        <v/>
      </c>
      <c r="AU20" s="707" t="str">
        <f t="shared" si="10"/>
        <v/>
      </c>
      <c r="AV20" s="707" t="str">
        <f t="shared" si="10"/>
        <v/>
      </c>
      <c r="AW20" s="707" t="str">
        <f t="shared" si="10"/>
        <v/>
      </c>
      <c r="AX20" s="707" t="str">
        <f t="shared" si="10"/>
        <v/>
      </c>
      <c r="AY20" s="707" t="str">
        <f t="shared" si="10"/>
        <v/>
      </c>
      <c r="AZ20" s="707" t="str">
        <f t="shared" si="10"/>
        <v/>
      </c>
      <c r="BA20" s="707" t="str">
        <f t="shared" si="10"/>
        <v/>
      </c>
      <c r="BB20" s="707" t="str">
        <f t="shared" si="10"/>
        <v/>
      </c>
      <c r="BC20" s="707" t="str">
        <f t="shared" si="10"/>
        <v/>
      </c>
    </row>
    <row r="21" spans="1:55" ht="60" hidden="1" customHeight="1" x14ac:dyDescent="0.25">
      <c r="A21" s="972">
        <f>IF(RentAdjustmentGrid="Single",IF(D21="",0,1),0)</f>
        <v>0</v>
      </c>
      <c r="B21" s="4"/>
      <c r="C21" s="258"/>
      <c r="D21" s="4254" t="str">
        <f>CONCATENATE(AS21,AT21,AU21,AV21,AW21,AX21,AY21,AZ21,BA21,BB21,BC21)</f>
        <v/>
      </c>
      <c r="E21" s="4254"/>
      <c r="F21" s="3491" t="str">
        <f>IF(dpIncome_RentAdjustment_4="Construction Quality","C - Masonry","C")</f>
        <v>C - Masonry</v>
      </c>
      <c r="G21" s="4256"/>
      <c r="H21" s="4259"/>
      <c r="I21" s="4259"/>
      <c r="J21" s="4259"/>
      <c r="K21" s="4259"/>
      <c r="L21" s="3492" t="str">
        <f>IFERROR(dpIncome_Rent_Quality_ClassAdj*U21,"")</f>
        <v/>
      </c>
      <c r="M21" s="4261"/>
      <c r="N21" s="4261"/>
      <c r="O21" s="4263"/>
      <c r="P21" s="3493" t="str">
        <f>IFERROR(L21+M19,"")</f>
        <v/>
      </c>
      <c r="Q21" s="3494"/>
      <c r="R21" s="6"/>
      <c r="T21" s="2100">
        <f>IF(dpIncome_RentAdjustment_4="Construction Quality",IF(F21=Subject_ConstructionClass,1,0),IF(F21=Subject_InvestmentClass,1,0))</f>
        <v>0</v>
      </c>
      <c r="U21" s="707" t="str">
        <f t="shared" si="9"/>
        <v/>
      </c>
      <c r="V21" s="707"/>
      <c r="W21" s="707">
        <f>IF(dpIncome_RentAdjustment_4="Construction Quality",IF(AND(F21=Subject_ConstructionClass,G$19=Subject_ConstructionQuality),1,0),IF(AND(F21=Subject_InvestmentClass,G$19=Subject_ConstructionQuality),1,0))</f>
        <v>0</v>
      </c>
      <c r="X21" s="707">
        <f>IF(dpIncome_RentAdjustment_4="Construction Quality",IF(OR(ISERROR(HLOOKUP(X$8,'Rent Adjustments'!$G$8:$ZO$142,74,FALSE)),ISERROR(HLOOKUP(X$8,'Rent Adjustments'!$G$8:$ZO$142,75,FALSE))),0,IF(HLOOKUP(X$8,'Rent Adjustments'!$G$8:$ZO$142,74,FALSE)="",0,IF(AND($G19=HLOOKUP(X$8,'Rent Adjustments'!$G$8:$ZO$142,74,FALSE),$F21=HLOOKUP(X$8,'Rent Adjustments'!$G$8:$ZO$142,75,FALSE)),1,0))),IF(OR(ISERROR(HLOOKUP(X$8,'Rent Adjustments'!$G$8:$ZO$142,74,FALSE)),ISERROR(HLOOKUP(X$8,'Rent Adjustments'!$G$8:$ZO$142,76,FALSE))),0,IF(HLOOKUP(X$8,'Rent Adjustments'!$G$8:$ZO$142,74,FALSE)="",0,IF(AND($G19=HLOOKUP(X$8,'Rent Adjustments'!$G$8:$ZO$142,74,FALSE),$F21=HLOOKUP(X$8,'Rent Adjustments'!$G$8:$ZO$142,76,FALSE)),1,0))))</f>
        <v>0</v>
      </c>
      <c r="Y21" s="707">
        <f>IF(dpIncome_RentAdjustment_4="Construction Quality",IF(OR(ISERROR(HLOOKUP(Y$8,'Rent Adjustments'!$G$8:$ZO$142,74,FALSE)),ISERROR(HLOOKUP(Y$8,'Rent Adjustments'!$G$8:$ZO$142,75,FALSE))),0,IF(HLOOKUP(Y$8,'Rent Adjustments'!$G$8:$ZO$142,74,FALSE)="",0,IF(AND($G19=HLOOKUP(Y$8,'Rent Adjustments'!$G$8:$ZO$142,74,FALSE),$F21=HLOOKUP(Y$8,'Rent Adjustments'!$G$8:$ZO$142,75,FALSE)),1,0))),IF(OR(ISERROR(HLOOKUP(Y$8,'Rent Adjustments'!$G$8:$ZO$142,74,FALSE)),ISERROR(HLOOKUP(Y$8,'Rent Adjustments'!$G$8:$ZO$142,76,FALSE))),0,IF(HLOOKUP(Y$8,'Rent Adjustments'!$G$8:$ZO$142,74,FALSE)="",0,IF(AND($G19=HLOOKUP(Y$8,'Rent Adjustments'!$G$8:$ZO$142,74,FALSE),$F21=HLOOKUP(Y$8,'Rent Adjustments'!$G$8:$ZO$142,76,FALSE)),1,0))))</f>
        <v>0</v>
      </c>
      <c r="Z21" s="707">
        <f>IF(dpIncome_RentAdjustment_4="Construction Quality",IF(OR(ISERROR(HLOOKUP(Z$8,'Rent Adjustments'!$G$8:$ZO$142,74,FALSE)),ISERROR(HLOOKUP(Z$8,'Rent Adjustments'!$G$8:$ZO$142,75,FALSE))),0,IF(HLOOKUP(Z$8,'Rent Adjustments'!$G$8:$ZO$142,74,FALSE)="",0,IF(AND($G19=HLOOKUP(Z$8,'Rent Adjustments'!$G$8:$ZO$142,74,FALSE),$F21=HLOOKUP(Z$8,'Rent Adjustments'!$G$8:$ZO$142,75,FALSE)),1,0))),IF(OR(ISERROR(HLOOKUP(Z$8,'Rent Adjustments'!$G$8:$ZO$142,74,FALSE)),ISERROR(HLOOKUP(Z$8,'Rent Adjustments'!$G$8:$ZO$142,76,FALSE))),0,IF(HLOOKUP(Z$8,'Rent Adjustments'!$G$8:$ZO$142,74,FALSE)="",0,IF(AND($G19=HLOOKUP(Z$8,'Rent Adjustments'!$G$8:$ZO$142,74,FALSE),$F21=HLOOKUP(Z$8,'Rent Adjustments'!$G$8:$ZO$142,76,FALSE)),1,0))))</f>
        <v>0</v>
      </c>
      <c r="AA21" s="707">
        <f>IF(dpIncome_RentAdjustment_4="Construction Quality",IF(OR(ISERROR(HLOOKUP(AA$8,'Rent Adjustments'!$G$8:$ZO$142,74,FALSE)),ISERROR(HLOOKUP(AA$8,'Rent Adjustments'!$G$8:$ZO$142,75,FALSE))),0,IF(HLOOKUP(AA$8,'Rent Adjustments'!$G$8:$ZO$142,74,FALSE)="",0,IF(AND($G19=HLOOKUP(AA$8,'Rent Adjustments'!$G$8:$ZO$142,74,FALSE),$F21=HLOOKUP(AA$8,'Rent Adjustments'!$G$8:$ZO$142,75,FALSE)),1,0))),IF(OR(ISERROR(HLOOKUP(AA$8,'Rent Adjustments'!$G$8:$ZO$142,74,FALSE)),ISERROR(HLOOKUP(AA$8,'Rent Adjustments'!$G$8:$ZO$142,76,FALSE))),0,IF(HLOOKUP(AA$8,'Rent Adjustments'!$G$8:$ZO$142,74,FALSE)="",0,IF(AND($G19=HLOOKUP(AA$8,'Rent Adjustments'!$G$8:$ZO$142,74,FALSE),$F21=HLOOKUP(AA$8,'Rent Adjustments'!$G$8:$ZO$142,76,FALSE)),1,0))))</f>
        <v>0</v>
      </c>
      <c r="AB21" s="707">
        <f>IF(dpIncome_RentAdjustment_4="Construction Quality",IF(OR(ISERROR(HLOOKUP(AB$8,'Rent Adjustments'!$G$8:$ZO$142,74,FALSE)),ISERROR(HLOOKUP(AB$8,'Rent Adjustments'!$G$8:$ZO$142,75,FALSE))),0,IF(HLOOKUP(AB$8,'Rent Adjustments'!$G$8:$ZO$142,74,FALSE)="",0,IF(AND($G19=HLOOKUP(AB$8,'Rent Adjustments'!$G$8:$ZO$142,74,FALSE),$F21=HLOOKUP(AB$8,'Rent Adjustments'!$G$8:$ZO$142,75,FALSE)),1,0))),IF(OR(ISERROR(HLOOKUP(AB$8,'Rent Adjustments'!$G$8:$ZO$142,74,FALSE)),ISERROR(HLOOKUP(AB$8,'Rent Adjustments'!$G$8:$ZO$142,76,FALSE))),0,IF(HLOOKUP(AB$8,'Rent Adjustments'!$G$8:$ZO$142,74,FALSE)="",0,IF(AND($G19=HLOOKUP(AB$8,'Rent Adjustments'!$G$8:$ZO$142,74,FALSE),$F21=HLOOKUP(AB$8,'Rent Adjustments'!$G$8:$ZO$142,76,FALSE)),1,0))))</f>
        <v>0</v>
      </c>
      <c r="AC21" s="707">
        <f>IF(dpIncome_RentAdjustment_4="Construction Quality",IF(OR(ISERROR(HLOOKUP(AC$8,'Rent Adjustments'!$G$8:$ZO$142,74,FALSE)),ISERROR(HLOOKUP(AC$8,'Rent Adjustments'!$G$8:$ZO$142,75,FALSE))),0,IF(HLOOKUP(AC$8,'Rent Adjustments'!$G$8:$ZO$142,74,FALSE)="",0,IF(AND($G19=HLOOKUP(AC$8,'Rent Adjustments'!$G$8:$ZO$142,74,FALSE),$F21=HLOOKUP(AC$8,'Rent Adjustments'!$G$8:$ZO$142,75,FALSE)),1,0))),IF(OR(ISERROR(HLOOKUP(AC$8,'Rent Adjustments'!$G$8:$ZO$142,74,FALSE)),ISERROR(HLOOKUP(AC$8,'Rent Adjustments'!$G$8:$ZO$142,76,FALSE))),0,IF(HLOOKUP(AC$8,'Rent Adjustments'!$G$8:$ZO$142,74,FALSE)="",0,IF(AND($G19=HLOOKUP(AC$8,'Rent Adjustments'!$G$8:$ZO$142,74,FALSE),$F21=HLOOKUP(AC$8,'Rent Adjustments'!$G$8:$ZO$142,76,FALSE)),1,0))))</f>
        <v>0</v>
      </c>
      <c r="AD21" s="707">
        <f>IF(dpIncome_RentAdjustment_4="Construction Quality",IF(OR(ISERROR(HLOOKUP(AD$8,'Rent Adjustments'!$G$8:$ZO$142,74,FALSE)),ISERROR(HLOOKUP(AD$8,'Rent Adjustments'!$G$8:$ZO$142,75,FALSE))),0,IF(HLOOKUP(AD$8,'Rent Adjustments'!$G$8:$ZO$142,74,FALSE)="",0,IF(AND($G19=HLOOKUP(AD$8,'Rent Adjustments'!$G$8:$ZO$142,74,FALSE),$F21=HLOOKUP(AD$8,'Rent Adjustments'!$G$8:$ZO$142,75,FALSE)),1,0))),IF(OR(ISERROR(HLOOKUP(AD$8,'Rent Adjustments'!$G$8:$ZO$142,74,FALSE)),ISERROR(HLOOKUP(AD$8,'Rent Adjustments'!$G$8:$ZO$142,76,FALSE))),0,IF(HLOOKUP(AD$8,'Rent Adjustments'!$G$8:$ZO$142,74,FALSE)="",0,IF(AND($G19=HLOOKUP(AD$8,'Rent Adjustments'!$G$8:$ZO$142,74,FALSE),$F21=HLOOKUP(AD$8,'Rent Adjustments'!$G$8:$ZO$142,76,FALSE)),1,0))))</f>
        <v>0</v>
      </c>
      <c r="AE21" s="707">
        <f>IF(dpIncome_RentAdjustment_4="Construction Quality",IF(OR(ISERROR(HLOOKUP(AE$8,'Rent Adjustments'!$G$8:$ZO$142,74,FALSE)),ISERROR(HLOOKUP(AE$8,'Rent Adjustments'!$G$8:$ZO$142,75,FALSE))),0,IF(HLOOKUP(AE$8,'Rent Adjustments'!$G$8:$ZO$142,74,FALSE)="",0,IF(AND($G19=HLOOKUP(AE$8,'Rent Adjustments'!$G$8:$ZO$142,74,FALSE),$F21=HLOOKUP(AE$8,'Rent Adjustments'!$G$8:$ZO$142,75,FALSE)),1,0))),IF(OR(ISERROR(HLOOKUP(AE$8,'Rent Adjustments'!$G$8:$ZO$142,74,FALSE)),ISERROR(HLOOKUP(AE$8,'Rent Adjustments'!$G$8:$ZO$142,76,FALSE))),0,IF(HLOOKUP(AE$8,'Rent Adjustments'!$G$8:$ZO$142,74,FALSE)="",0,IF(AND($G19=HLOOKUP(AE$8,'Rent Adjustments'!$G$8:$ZO$142,74,FALSE),$F21=HLOOKUP(AE$8,'Rent Adjustments'!$G$8:$ZO$142,76,FALSE)),1,0))))</f>
        <v>0</v>
      </c>
      <c r="AF21" s="707">
        <f>IF(dpIncome_RentAdjustment_4="Construction Quality",IF(OR(ISERROR(HLOOKUP(AF$8,'Rent Adjustments'!$G$8:$ZO$142,74,FALSE)),ISERROR(HLOOKUP(AF$8,'Rent Adjustments'!$G$8:$ZO$142,75,FALSE))),0,IF(HLOOKUP(AF$8,'Rent Adjustments'!$G$8:$ZO$142,74,FALSE)="",0,IF(AND($G19=HLOOKUP(AF$8,'Rent Adjustments'!$G$8:$ZO$142,74,FALSE),$F21=HLOOKUP(AF$8,'Rent Adjustments'!$G$8:$ZO$142,75,FALSE)),1,0))),IF(OR(ISERROR(HLOOKUP(AF$8,'Rent Adjustments'!$G$8:$ZO$142,74,FALSE)),ISERROR(HLOOKUP(AF$8,'Rent Adjustments'!$G$8:$ZO$142,76,FALSE))),0,IF(HLOOKUP(AF$8,'Rent Adjustments'!$G$8:$ZO$142,74,FALSE)="",0,IF(AND($G19=HLOOKUP(AF$8,'Rent Adjustments'!$G$8:$ZO$142,74,FALSE),$F21=HLOOKUP(AF$8,'Rent Adjustments'!$G$8:$ZO$142,76,FALSE)),1,0))))</f>
        <v>0</v>
      </c>
      <c r="AG21" s="707">
        <f>IF(dpIncome_RentAdjustment_4="Construction Quality",IF(OR(ISERROR(HLOOKUP(AG$8,'Rent Adjustments'!$G$8:$ZO$142,74,FALSE)),ISERROR(HLOOKUP(AG$8,'Rent Adjustments'!$G$8:$ZO$142,75,FALSE))),0,IF(HLOOKUP(AG$8,'Rent Adjustments'!$G$8:$ZO$142,74,FALSE)="",0,IF(AND($G19=HLOOKUP(AG$8,'Rent Adjustments'!$G$8:$ZO$142,74,FALSE),$F21=HLOOKUP(AG$8,'Rent Adjustments'!$G$8:$ZO$142,75,FALSE)),1,0))),IF(OR(ISERROR(HLOOKUP(AG$8,'Rent Adjustments'!$G$8:$ZO$142,74,FALSE)),ISERROR(HLOOKUP(AG$8,'Rent Adjustments'!$G$8:$ZO$142,76,FALSE))),0,IF(HLOOKUP(AG$8,'Rent Adjustments'!$G$8:$ZO$142,74,FALSE)="",0,IF(AND($G19=HLOOKUP(AG$8,'Rent Adjustments'!$G$8:$ZO$142,74,FALSE),$F21=HLOOKUP(AG$8,'Rent Adjustments'!$G$8:$ZO$142,76,FALSE)),1,0))))</f>
        <v>0</v>
      </c>
      <c r="AH21" s="707">
        <f>SUM(W21:$W21)</f>
        <v>0</v>
      </c>
      <c r="AI21" s="707">
        <f>SUM($W21:X21)</f>
        <v>0</v>
      </c>
      <c r="AJ21" s="707">
        <f>SUM($W21:Y21)</f>
        <v>0</v>
      </c>
      <c r="AK21" s="707">
        <f>SUM($W21:Z21)</f>
        <v>0</v>
      </c>
      <c r="AL21" s="707">
        <f>SUM($W21:AA21)</f>
        <v>0</v>
      </c>
      <c r="AM21" s="707">
        <f>SUM($W21:AB21)</f>
        <v>0</v>
      </c>
      <c r="AN21" s="707">
        <f>SUM($W21:AC21)</f>
        <v>0</v>
      </c>
      <c r="AO21" s="707">
        <f>SUM($W21:AD21)</f>
        <v>0</v>
      </c>
      <c r="AP21" s="707">
        <f>SUM($W21:AE21)</f>
        <v>0</v>
      </c>
      <c r="AQ21" s="707">
        <f>SUM($W21:AF21)</f>
        <v>0</v>
      </c>
      <c r="AR21" s="707">
        <f>SUM($W21:AG21)</f>
        <v>0</v>
      </c>
      <c r="AS21" s="707" t="str">
        <f t="shared" si="10"/>
        <v/>
      </c>
      <c r="AT21" s="707" t="str">
        <f t="shared" si="10"/>
        <v/>
      </c>
      <c r="AU21" s="707" t="str">
        <f t="shared" si="10"/>
        <v/>
      </c>
      <c r="AV21" s="707" t="str">
        <f t="shared" si="10"/>
        <v/>
      </c>
      <c r="AW21" s="707" t="str">
        <f t="shared" si="10"/>
        <v/>
      </c>
      <c r="AX21" s="707" t="str">
        <f t="shared" si="10"/>
        <v/>
      </c>
      <c r="AY21" s="707" t="str">
        <f t="shared" si="10"/>
        <v/>
      </c>
      <c r="AZ21" s="707" t="str">
        <f t="shared" si="10"/>
        <v/>
      </c>
      <c r="BA21" s="707" t="str">
        <f t="shared" si="10"/>
        <v/>
      </c>
      <c r="BB21" s="707" t="str">
        <f t="shared" si="10"/>
        <v/>
      </c>
      <c r="BC21" s="707" t="str">
        <f t="shared" si="10"/>
        <v/>
      </c>
    </row>
    <row r="22" spans="1:55" ht="60" hidden="1" customHeight="1" x14ac:dyDescent="0.25">
      <c r="A22" s="972">
        <f>IF(RentAdjustmentGrid="Single",IF(D22="",0,1),0)</f>
        <v>0</v>
      </c>
      <c r="B22" s="4"/>
      <c r="C22" s="258"/>
      <c r="D22" s="4254" t="str">
        <f>CONCATENATE(AS22,AT22,AU22,AV22,AW22,AX22,AY22,AZ22,BA22,BB22,BC22)</f>
        <v/>
      </c>
      <c r="E22" s="4254"/>
      <c r="F22" s="3491" t="str">
        <f>IF(dpIncome_RentAdjustment_4="Construction Quality","D - Wood Frame","")</f>
        <v>D - Wood Frame</v>
      </c>
      <c r="G22" s="4256"/>
      <c r="H22" s="4259"/>
      <c r="I22" s="4259"/>
      <c r="J22" s="4259"/>
      <c r="K22" s="4259"/>
      <c r="L22" s="3492" t="str">
        <f>IFERROR(dpIncome_Rent_Quality_ClassAdj*U22,"")</f>
        <v/>
      </c>
      <c r="M22" s="4261"/>
      <c r="N22" s="4261"/>
      <c r="O22" s="4263"/>
      <c r="P22" s="3493" t="str">
        <f>IFERROR(L22+M19,"")</f>
        <v/>
      </c>
      <c r="Q22" s="3494"/>
      <c r="R22" s="6"/>
      <c r="T22" s="2100">
        <f>IF(dpIncome_RentAdjustment_4="Construction Quality",IF(F22=Subject_ConstructionClass,1,0),IF(F22=Subject_InvestmentClass,1,0))</f>
        <v>0</v>
      </c>
      <c r="U22" s="707" t="str">
        <f t="shared" si="9"/>
        <v/>
      </c>
      <c r="V22" s="707"/>
      <c r="W22" s="707">
        <f>IF(dpIncome_RentAdjustment_4="Construction Quality",IF(AND(F22=Subject_ConstructionClass,G$19=Subject_ConstructionQuality),1,0),IF(AND(F22=Subject_InvestmentClass,G$19=Subject_ConstructionQuality),1,0))</f>
        <v>0</v>
      </c>
      <c r="X22" s="707">
        <f>IF(dpIncome_RentAdjustment_4="Construction Quality",IF(OR(ISERROR(HLOOKUP(X$8,'Rent Adjustments'!$G$8:$ZO$142,74,FALSE)),ISERROR(HLOOKUP(X$8,'Rent Adjustments'!$G$8:$ZO$142,75,FALSE))),0,IF(HLOOKUP(X$8,'Rent Adjustments'!$G$8:$ZO$142,74,FALSE)="",0,IF(AND($G19=HLOOKUP(X$8,'Rent Adjustments'!$G$8:$ZO$142,74,FALSE),$F22=HLOOKUP(X$8,'Rent Adjustments'!$G$8:$ZO$142,75,FALSE)),1,0))),IF(OR(ISERROR(HLOOKUP(X$8,'Rent Adjustments'!$G$8:$ZO$142,74,FALSE)),ISERROR(HLOOKUP(X$8,'Rent Adjustments'!$G$8:$ZO$142,76,FALSE))),0,IF(HLOOKUP(X$8,'Rent Adjustments'!$G$8:$ZO$142,74,FALSE)="",0,IF(AND($G19=HLOOKUP(X$8,'Rent Adjustments'!$G$8:$ZO$142,74,FALSE),$F22=HLOOKUP(X$8,'Rent Adjustments'!$G$8:$ZO$142,76,FALSE)),1,0))))</f>
        <v>0</v>
      </c>
      <c r="Y22" s="707">
        <f>IF(dpIncome_RentAdjustment_4="Construction Quality",IF(OR(ISERROR(HLOOKUP(Y$8,'Rent Adjustments'!$G$8:$ZO$142,74,FALSE)),ISERROR(HLOOKUP(Y$8,'Rent Adjustments'!$G$8:$ZO$142,75,FALSE))),0,IF(HLOOKUP(Y$8,'Rent Adjustments'!$G$8:$ZO$142,74,FALSE)="",0,IF(AND($G19=HLOOKUP(Y$8,'Rent Adjustments'!$G$8:$ZO$142,74,FALSE),$F22=HLOOKUP(Y$8,'Rent Adjustments'!$G$8:$ZO$142,75,FALSE)),1,0))),IF(OR(ISERROR(HLOOKUP(Y$8,'Rent Adjustments'!$G$8:$ZO$142,74,FALSE)),ISERROR(HLOOKUP(Y$8,'Rent Adjustments'!$G$8:$ZO$142,76,FALSE))),0,IF(HLOOKUP(Y$8,'Rent Adjustments'!$G$8:$ZO$142,74,FALSE)="",0,IF(AND($G19=HLOOKUP(Y$8,'Rent Adjustments'!$G$8:$ZO$142,74,FALSE),$F22=HLOOKUP(Y$8,'Rent Adjustments'!$G$8:$ZO$142,76,FALSE)),1,0))))</f>
        <v>0</v>
      </c>
      <c r="Z22" s="707">
        <f>IF(dpIncome_RentAdjustment_4="Construction Quality",IF(OR(ISERROR(HLOOKUP(Z$8,'Rent Adjustments'!$G$8:$ZO$142,74,FALSE)),ISERROR(HLOOKUP(Z$8,'Rent Adjustments'!$G$8:$ZO$142,75,FALSE))),0,IF(HLOOKUP(Z$8,'Rent Adjustments'!$G$8:$ZO$142,74,FALSE)="",0,IF(AND($G19=HLOOKUP(Z$8,'Rent Adjustments'!$G$8:$ZO$142,74,FALSE),$F22=HLOOKUP(Z$8,'Rent Adjustments'!$G$8:$ZO$142,75,FALSE)),1,0))),IF(OR(ISERROR(HLOOKUP(Z$8,'Rent Adjustments'!$G$8:$ZO$142,74,FALSE)),ISERROR(HLOOKUP(Z$8,'Rent Adjustments'!$G$8:$ZO$142,76,FALSE))),0,IF(HLOOKUP(Z$8,'Rent Adjustments'!$G$8:$ZO$142,74,FALSE)="",0,IF(AND($G19=HLOOKUP(Z$8,'Rent Adjustments'!$G$8:$ZO$142,74,FALSE),$F22=HLOOKUP(Z$8,'Rent Adjustments'!$G$8:$ZO$142,76,FALSE)),1,0))))</f>
        <v>0</v>
      </c>
      <c r="AA22" s="707">
        <f>IF(dpIncome_RentAdjustment_4="Construction Quality",IF(OR(ISERROR(HLOOKUP(AA$8,'Rent Adjustments'!$G$8:$ZO$142,74,FALSE)),ISERROR(HLOOKUP(AA$8,'Rent Adjustments'!$G$8:$ZO$142,75,FALSE))),0,IF(HLOOKUP(AA$8,'Rent Adjustments'!$G$8:$ZO$142,74,FALSE)="",0,IF(AND($G19=HLOOKUP(AA$8,'Rent Adjustments'!$G$8:$ZO$142,74,FALSE),$F22=HLOOKUP(AA$8,'Rent Adjustments'!$G$8:$ZO$142,75,FALSE)),1,0))),IF(OR(ISERROR(HLOOKUP(AA$8,'Rent Adjustments'!$G$8:$ZO$142,74,FALSE)),ISERROR(HLOOKUP(AA$8,'Rent Adjustments'!$G$8:$ZO$142,76,FALSE))),0,IF(HLOOKUP(AA$8,'Rent Adjustments'!$G$8:$ZO$142,74,FALSE)="",0,IF(AND($G19=HLOOKUP(AA$8,'Rent Adjustments'!$G$8:$ZO$142,74,FALSE),$F22=HLOOKUP(AA$8,'Rent Adjustments'!$G$8:$ZO$142,76,FALSE)),1,0))))</f>
        <v>0</v>
      </c>
      <c r="AB22" s="707">
        <f>IF(dpIncome_RentAdjustment_4="Construction Quality",IF(OR(ISERROR(HLOOKUP(AB$8,'Rent Adjustments'!$G$8:$ZO$142,74,FALSE)),ISERROR(HLOOKUP(AB$8,'Rent Adjustments'!$G$8:$ZO$142,75,FALSE))),0,IF(HLOOKUP(AB$8,'Rent Adjustments'!$G$8:$ZO$142,74,FALSE)="",0,IF(AND($G19=HLOOKUP(AB$8,'Rent Adjustments'!$G$8:$ZO$142,74,FALSE),$F22=HLOOKUP(AB$8,'Rent Adjustments'!$G$8:$ZO$142,75,FALSE)),1,0))),IF(OR(ISERROR(HLOOKUP(AB$8,'Rent Adjustments'!$G$8:$ZO$142,74,FALSE)),ISERROR(HLOOKUP(AB$8,'Rent Adjustments'!$G$8:$ZO$142,76,FALSE))),0,IF(HLOOKUP(AB$8,'Rent Adjustments'!$G$8:$ZO$142,74,FALSE)="",0,IF(AND($G19=HLOOKUP(AB$8,'Rent Adjustments'!$G$8:$ZO$142,74,FALSE),$F22=HLOOKUP(AB$8,'Rent Adjustments'!$G$8:$ZO$142,76,FALSE)),1,0))))</f>
        <v>0</v>
      </c>
      <c r="AC22" s="707">
        <f>IF(dpIncome_RentAdjustment_4="Construction Quality",IF(OR(ISERROR(HLOOKUP(AC$8,'Rent Adjustments'!$G$8:$ZO$142,74,FALSE)),ISERROR(HLOOKUP(AC$8,'Rent Adjustments'!$G$8:$ZO$142,75,FALSE))),0,IF(HLOOKUP(AC$8,'Rent Adjustments'!$G$8:$ZO$142,74,FALSE)="",0,IF(AND($G19=HLOOKUP(AC$8,'Rent Adjustments'!$G$8:$ZO$142,74,FALSE),$F22=HLOOKUP(AC$8,'Rent Adjustments'!$G$8:$ZO$142,75,FALSE)),1,0))),IF(OR(ISERROR(HLOOKUP(AC$8,'Rent Adjustments'!$G$8:$ZO$142,74,FALSE)),ISERROR(HLOOKUP(AC$8,'Rent Adjustments'!$G$8:$ZO$142,76,FALSE))),0,IF(HLOOKUP(AC$8,'Rent Adjustments'!$G$8:$ZO$142,74,FALSE)="",0,IF(AND($G19=HLOOKUP(AC$8,'Rent Adjustments'!$G$8:$ZO$142,74,FALSE),$F22=HLOOKUP(AC$8,'Rent Adjustments'!$G$8:$ZO$142,76,FALSE)),1,0))))</f>
        <v>0</v>
      </c>
      <c r="AD22" s="707">
        <f>IF(dpIncome_RentAdjustment_4="Construction Quality",IF(OR(ISERROR(HLOOKUP(AD$8,'Rent Adjustments'!$G$8:$ZO$142,74,FALSE)),ISERROR(HLOOKUP(AD$8,'Rent Adjustments'!$G$8:$ZO$142,75,FALSE))),0,IF(HLOOKUP(AD$8,'Rent Adjustments'!$G$8:$ZO$142,74,FALSE)="",0,IF(AND($G19=HLOOKUP(AD$8,'Rent Adjustments'!$G$8:$ZO$142,74,FALSE),$F22=HLOOKUP(AD$8,'Rent Adjustments'!$G$8:$ZO$142,75,FALSE)),1,0))),IF(OR(ISERROR(HLOOKUP(AD$8,'Rent Adjustments'!$G$8:$ZO$142,74,FALSE)),ISERROR(HLOOKUP(AD$8,'Rent Adjustments'!$G$8:$ZO$142,76,FALSE))),0,IF(HLOOKUP(AD$8,'Rent Adjustments'!$G$8:$ZO$142,74,FALSE)="",0,IF(AND($G19=HLOOKUP(AD$8,'Rent Adjustments'!$G$8:$ZO$142,74,FALSE),$F22=HLOOKUP(AD$8,'Rent Adjustments'!$G$8:$ZO$142,76,FALSE)),1,0))))</f>
        <v>0</v>
      </c>
      <c r="AE22" s="707">
        <f>IF(dpIncome_RentAdjustment_4="Construction Quality",IF(OR(ISERROR(HLOOKUP(AE$8,'Rent Adjustments'!$G$8:$ZO$142,74,FALSE)),ISERROR(HLOOKUP(AE$8,'Rent Adjustments'!$G$8:$ZO$142,75,FALSE))),0,IF(HLOOKUP(AE$8,'Rent Adjustments'!$G$8:$ZO$142,74,FALSE)="",0,IF(AND($G19=HLOOKUP(AE$8,'Rent Adjustments'!$G$8:$ZO$142,74,FALSE),$F22=HLOOKUP(AE$8,'Rent Adjustments'!$G$8:$ZO$142,75,FALSE)),1,0))),IF(OR(ISERROR(HLOOKUP(AE$8,'Rent Adjustments'!$G$8:$ZO$142,74,FALSE)),ISERROR(HLOOKUP(AE$8,'Rent Adjustments'!$G$8:$ZO$142,76,FALSE))),0,IF(HLOOKUP(AE$8,'Rent Adjustments'!$G$8:$ZO$142,74,FALSE)="",0,IF(AND($G19=HLOOKUP(AE$8,'Rent Adjustments'!$G$8:$ZO$142,74,FALSE),$F22=HLOOKUP(AE$8,'Rent Adjustments'!$G$8:$ZO$142,76,FALSE)),1,0))))</f>
        <v>0</v>
      </c>
      <c r="AF22" s="707">
        <f>IF(dpIncome_RentAdjustment_4="Construction Quality",IF(OR(ISERROR(HLOOKUP(AF$8,'Rent Adjustments'!$G$8:$ZO$142,74,FALSE)),ISERROR(HLOOKUP(AF$8,'Rent Adjustments'!$G$8:$ZO$142,75,FALSE))),0,IF(HLOOKUP(AF$8,'Rent Adjustments'!$G$8:$ZO$142,74,FALSE)="",0,IF(AND($G19=HLOOKUP(AF$8,'Rent Adjustments'!$G$8:$ZO$142,74,FALSE),$F22=HLOOKUP(AF$8,'Rent Adjustments'!$G$8:$ZO$142,75,FALSE)),1,0))),IF(OR(ISERROR(HLOOKUP(AF$8,'Rent Adjustments'!$G$8:$ZO$142,74,FALSE)),ISERROR(HLOOKUP(AF$8,'Rent Adjustments'!$G$8:$ZO$142,76,FALSE))),0,IF(HLOOKUP(AF$8,'Rent Adjustments'!$G$8:$ZO$142,74,FALSE)="",0,IF(AND($G19=HLOOKUP(AF$8,'Rent Adjustments'!$G$8:$ZO$142,74,FALSE),$F22=HLOOKUP(AF$8,'Rent Adjustments'!$G$8:$ZO$142,76,FALSE)),1,0))))</f>
        <v>0</v>
      </c>
      <c r="AG22" s="707">
        <f>IF(dpIncome_RentAdjustment_4="Construction Quality",IF(OR(ISERROR(HLOOKUP(AG$8,'Rent Adjustments'!$G$8:$ZO$142,74,FALSE)),ISERROR(HLOOKUP(AG$8,'Rent Adjustments'!$G$8:$ZO$142,75,FALSE))),0,IF(HLOOKUP(AG$8,'Rent Adjustments'!$G$8:$ZO$142,74,FALSE)="",0,IF(AND($G19=HLOOKUP(AG$8,'Rent Adjustments'!$G$8:$ZO$142,74,FALSE),$F22=HLOOKUP(AG$8,'Rent Adjustments'!$G$8:$ZO$142,75,FALSE)),1,0))),IF(OR(ISERROR(HLOOKUP(AG$8,'Rent Adjustments'!$G$8:$ZO$142,74,FALSE)),ISERROR(HLOOKUP(AG$8,'Rent Adjustments'!$G$8:$ZO$142,76,FALSE))),0,IF(HLOOKUP(AG$8,'Rent Adjustments'!$G$8:$ZO$142,74,FALSE)="",0,IF(AND($G19=HLOOKUP(AG$8,'Rent Adjustments'!$G$8:$ZO$142,74,FALSE),$F22=HLOOKUP(AG$8,'Rent Adjustments'!$G$8:$ZO$142,76,FALSE)),1,0))))</f>
        <v>0</v>
      </c>
      <c r="AH22" s="707">
        <f>SUM(W22:$W22)</f>
        <v>0</v>
      </c>
      <c r="AI22" s="707">
        <f>SUM($W22:X22)</f>
        <v>0</v>
      </c>
      <c r="AJ22" s="707">
        <f>SUM($W22:Y22)</f>
        <v>0</v>
      </c>
      <c r="AK22" s="707">
        <f>SUM($W22:Z22)</f>
        <v>0</v>
      </c>
      <c r="AL22" s="707">
        <f>SUM($W22:AA22)</f>
        <v>0</v>
      </c>
      <c r="AM22" s="707">
        <f>SUM($W22:AB22)</f>
        <v>0</v>
      </c>
      <c r="AN22" s="707">
        <f>SUM($W22:AC22)</f>
        <v>0</v>
      </c>
      <c r="AO22" s="707">
        <f>SUM($W22:AD22)</f>
        <v>0</v>
      </c>
      <c r="AP22" s="707">
        <f>SUM($W22:AE22)</f>
        <v>0</v>
      </c>
      <c r="AQ22" s="707">
        <f>SUM($W22:AF22)</f>
        <v>0</v>
      </c>
      <c r="AR22" s="707">
        <f>SUM($W22:AG22)</f>
        <v>0</v>
      </c>
      <c r="AS22" s="707" t="str">
        <f t="shared" si="10"/>
        <v/>
      </c>
      <c r="AT22" s="707" t="str">
        <f t="shared" si="10"/>
        <v/>
      </c>
      <c r="AU22" s="707" t="str">
        <f t="shared" si="10"/>
        <v/>
      </c>
      <c r="AV22" s="707" t="str">
        <f t="shared" si="10"/>
        <v/>
      </c>
      <c r="AW22" s="707" t="str">
        <f t="shared" si="10"/>
        <v/>
      </c>
      <c r="AX22" s="707" t="str">
        <f t="shared" si="10"/>
        <v/>
      </c>
      <c r="AY22" s="707" t="str">
        <f t="shared" si="10"/>
        <v/>
      </c>
      <c r="AZ22" s="707" t="str">
        <f t="shared" si="10"/>
        <v/>
      </c>
      <c r="BA22" s="707" t="str">
        <f t="shared" si="10"/>
        <v/>
      </c>
      <c r="BB22" s="707" t="str">
        <f t="shared" si="10"/>
        <v/>
      </c>
      <c r="BC22" s="707" t="str">
        <f t="shared" si="10"/>
        <v/>
      </c>
    </row>
    <row r="23" spans="1:55" ht="60" hidden="1" customHeight="1" x14ac:dyDescent="0.25">
      <c r="A23" s="972">
        <f>IF(RentAdjustmentGrid="Single",IF(D23="",0,1),0)</f>
        <v>0</v>
      </c>
      <c r="B23" s="4"/>
      <c r="C23" s="258"/>
      <c r="D23" s="4265" t="str">
        <f>CONCATENATE(AS23,AT23,AU23,AV23,AW23,AX23,AY23,AZ23,BA23,BB23,BC23)</f>
        <v/>
      </c>
      <c r="E23" s="4265"/>
      <c r="F23" s="3495" t="str">
        <f>IF(dpIncome_RentAdjustment_4="Construction Quality","S - Steel Frame","")</f>
        <v>S - Steel Frame</v>
      </c>
      <c r="G23" s="4257"/>
      <c r="H23" s="4260"/>
      <c r="I23" s="4260"/>
      <c r="J23" s="4260"/>
      <c r="K23" s="4260"/>
      <c r="L23" s="3496" t="str">
        <f>IFERROR(dpIncome_Rent_Quality_ClassAdj*U23,"")</f>
        <v/>
      </c>
      <c r="M23" s="4262"/>
      <c r="N23" s="4262"/>
      <c r="O23" s="4264"/>
      <c r="P23" s="3497" t="str">
        <f>IFERROR(L23+M19,"")</f>
        <v/>
      </c>
      <c r="Q23" s="3494"/>
      <c r="R23" s="6"/>
      <c r="T23" s="2090">
        <f>IF(dpIncome_RentAdjustment_4="Construction Quality",IF(F23=Subject_ConstructionClass,1,0),IF(F23=Subject_InvestmentClass,1,0))</f>
        <v>0</v>
      </c>
      <c r="U23" s="2089" t="str">
        <f t="shared" si="9"/>
        <v/>
      </c>
      <c r="V23" s="2089"/>
      <c r="W23" s="2089">
        <f>IF(dpIncome_RentAdjustment_4="Construction Quality",IF(AND(F23=Subject_ConstructionClass,G$19=Subject_ConstructionQuality),1,0),IF(AND(F23=Subject_InvestmentClass,G$19=Subject_ConstructionQuality),1,0))</f>
        <v>0</v>
      </c>
      <c r="X23" s="2089">
        <f>IF(dpIncome_RentAdjustment_4="Construction Quality",IF(OR(ISERROR(HLOOKUP(X$8,'Rent Adjustments'!$G$8:$ZO$142,74,FALSE)),ISERROR(HLOOKUP(X$8,'Rent Adjustments'!$G$8:$ZO$142,75,FALSE))),0,IF(HLOOKUP(X$8,'Rent Adjustments'!$G$8:$ZO$142,74,FALSE)="",0,IF(AND($G19=HLOOKUP(X$8,'Rent Adjustments'!$G$8:$ZO$142,74,FALSE),$F23=HLOOKUP(X$8,'Rent Adjustments'!$G$8:$ZO$142,75,FALSE)),1,0))),IF(OR(ISERROR(HLOOKUP(X$8,'Rent Adjustments'!$G$8:$ZO$142,74,FALSE)),ISERROR(HLOOKUP(X$8,'Rent Adjustments'!$G$8:$ZO$142,76,FALSE))),0,IF(HLOOKUP(X$8,'Rent Adjustments'!$G$8:$ZO$142,74,FALSE)="",0,IF(AND($G19=HLOOKUP(X$8,'Rent Adjustments'!$G$8:$ZO$142,74,FALSE),$F23=HLOOKUP(X$8,'Rent Adjustments'!$G$8:$ZO$142,76,FALSE)),1,0))))</f>
        <v>0</v>
      </c>
      <c r="Y23" s="2089">
        <f>IF(dpIncome_RentAdjustment_4="Construction Quality",IF(OR(ISERROR(HLOOKUP(Y$8,'Rent Adjustments'!$G$8:$ZO$142,74,FALSE)),ISERROR(HLOOKUP(Y$8,'Rent Adjustments'!$G$8:$ZO$142,75,FALSE))),0,IF(HLOOKUP(Y$8,'Rent Adjustments'!$G$8:$ZO$142,74,FALSE)="",0,IF(AND($G19=HLOOKUP(Y$8,'Rent Adjustments'!$G$8:$ZO$142,74,FALSE),$F23=HLOOKUP(Y$8,'Rent Adjustments'!$G$8:$ZO$142,75,FALSE)),1,0))),IF(OR(ISERROR(HLOOKUP(Y$8,'Rent Adjustments'!$G$8:$ZO$142,74,FALSE)),ISERROR(HLOOKUP(Y$8,'Rent Adjustments'!$G$8:$ZO$142,76,FALSE))),0,IF(HLOOKUP(Y$8,'Rent Adjustments'!$G$8:$ZO$142,74,FALSE)="",0,IF(AND($G19=HLOOKUP(Y$8,'Rent Adjustments'!$G$8:$ZO$142,74,FALSE),$F23=HLOOKUP(Y$8,'Rent Adjustments'!$G$8:$ZO$142,76,FALSE)),1,0))))</f>
        <v>0</v>
      </c>
      <c r="Z23" s="2089">
        <f>IF(dpIncome_RentAdjustment_4="Construction Quality",IF(OR(ISERROR(HLOOKUP(Z$8,'Rent Adjustments'!$G$8:$ZO$142,74,FALSE)),ISERROR(HLOOKUP(Z$8,'Rent Adjustments'!$G$8:$ZO$142,75,FALSE))),0,IF(HLOOKUP(Z$8,'Rent Adjustments'!$G$8:$ZO$142,74,FALSE)="",0,IF(AND($G19=HLOOKUP(Z$8,'Rent Adjustments'!$G$8:$ZO$142,74,FALSE),$F23=HLOOKUP(Z$8,'Rent Adjustments'!$G$8:$ZO$142,75,FALSE)),1,0))),IF(OR(ISERROR(HLOOKUP(Z$8,'Rent Adjustments'!$G$8:$ZO$142,74,FALSE)),ISERROR(HLOOKUP(Z$8,'Rent Adjustments'!$G$8:$ZO$142,76,FALSE))),0,IF(HLOOKUP(Z$8,'Rent Adjustments'!$G$8:$ZO$142,74,FALSE)="",0,IF(AND($G19=HLOOKUP(Z$8,'Rent Adjustments'!$G$8:$ZO$142,74,FALSE),$F23=HLOOKUP(Z$8,'Rent Adjustments'!$G$8:$ZO$142,76,FALSE)),1,0))))</f>
        <v>0</v>
      </c>
      <c r="AA23" s="2089">
        <f>IF(dpIncome_RentAdjustment_4="Construction Quality",IF(OR(ISERROR(HLOOKUP(AA$8,'Rent Adjustments'!$G$8:$ZO$142,74,FALSE)),ISERROR(HLOOKUP(AA$8,'Rent Adjustments'!$G$8:$ZO$142,75,FALSE))),0,IF(HLOOKUP(AA$8,'Rent Adjustments'!$G$8:$ZO$142,74,FALSE)="",0,IF(AND($G19=HLOOKUP(AA$8,'Rent Adjustments'!$G$8:$ZO$142,74,FALSE),$F23=HLOOKUP(AA$8,'Rent Adjustments'!$G$8:$ZO$142,75,FALSE)),1,0))),IF(OR(ISERROR(HLOOKUP(AA$8,'Rent Adjustments'!$G$8:$ZO$142,74,FALSE)),ISERROR(HLOOKUP(AA$8,'Rent Adjustments'!$G$8:$ZO$142,76,FALSE))),0,IF(HLOOKUP(AA$8,'Rent Adjustments'!$G$8:$ZO$142,74,FALSE)="",0,IF(AND($G19=HLOOKUP(AA$8,'Rent Adjustments'!$G$8:$ZO$142,74,FALSE),$F23=HLOOKUP(AA$8,'Rent Adjustments'!$G$8:$ZO$142,76,FALSE)),1,0))))</f>
        <v>0</v>
      </c>
      <c r="AB23" s="2089">
        <f>IF(dpIncome_RentAdjustment_4="Construction Quality",IF(OR(ISERROR(HLOOKUP(AB$8,'Rent Adjustments'!$G$8:$ZO$142,74,FALSE)),ISERROR(HLOOKUP(AB$8,'Rent Adjustments'!$G$8:$ZO$142,75,FALSE))),0,IF(HLOOKUP(AB$8,'Rent Adjustments'!$G$8:$ZO$142,74,FALSE)="",0,IF(AND($G19=HLOOKUP(AB$8,'Rent Adjustments'!$G$8:$ZO$142,74,FALSE),$F23=HLOOKUP(AB$8,'Rent Adjustments'!$G$8:$ZO$142,75,FALSE)),1,0))),IF(OR(ISERROR(HLOOKUP(AB$8,'Rent Adjustments'!$G$8:$ZO$142,74,FALSE)),ISERROR(HLOOKUP(AB$8,'Rent Adjustments'!$G$8:$ZO$142,76,FALSE))),0,IF(HLOOKUP(AB$8,'Rent Adjustments'!$G$8:$ZO$142,74,FALSE)="",0,IF(AND($G19=HLOOKUP(AB$8,'Rent Adjustments'!$G$8:$ZO$142,74,FALSE),$F23=HLOOKUP(AB$8,'Rent Adjustments'!$G$8:$ZO$142,76,FALSE)),1,0))))</f>
        <v>0</v>
      </c>
      <c r="AC23" s="2089">
        <f>IF(dpIncome_RentAdjustment_4="Construction Quality",IF(OR(ISERROR(HLOOKUP(AC$8,'Rent Adjustments'!$G$8:$ZO$142,74,FALSE)),ISERROR(HLOOKUP(AC$8,'Rent Adjustments'!$G$8:$ZO$142,75,FALSE))),0,IF(HLOOKUP(AC$8,'Rent Adjustments'!$G$8:$ZO$142,74,FALSE)="",0,IF(AND($G19=HLOOKUP(AC$8,'Rent Adjustments'!$G$8:$ZO$142,74,FALSE),$F23=HLOOKUP(AC$8,'Rent Adjustments'!$G$8:$ZO$142,75,FALSE)),1,0))),IF(OR(ISERROR(HLOOKUP(AC$8,'Rent Adjustments'!$G$8:$ZO$142,74,FALSE)),ISERROR(HLOOKUP(AC$8,'Rent Adjustments'!$G$8:$ZO$142,76,FALSE))),0,IF(HLOOKUP(AC$8,'Rent Adjustments'!$G$8:$ZO$142,74,FALSE)="",0,IF(AND($G19=HLOOKUP(AC$8,'Rent Adjustments'!$G$8:$ZO$142,74,FALSE),$F23=HLOOKUP(AC$8,'Rent Adjustments'!$G$8:$ZO$142,76,FALSE)),1,0))))</f>
        <v>0</v>
      </c>
      <c r="AD23" s="2089">
        <f>IF(dpIncome_RentAdjustment_4="Construction Quality",IF(OR(ISERROR(HLOOKUP(AD$8,'Rent Adjustments'!$G$8:$ZO$142,74,FALSE)),ISERROR(HLOOKUP(AD$8,'Rent Adjustments'!$G$8:$ZO$142,75,FALSE))),0,IF(HLOOKUP(AD$8,'Rent Adjustments'!$G$8:$ZO$142,74,FALSE)="",0,IF(AND($G19=HLOOKUP(AD$8,'Rent Adjustments'!$G$8:$ZO$142,74,FALSE),$F23=HLOOKUP(AD$8,'Rent Adjustments'!$G$8:$ZO$142,75,FALSE)),1,0))),IF(OR(ISERROR(HLOOKUP(AD$8,'Rent Adjustments'!$G$8:$ZO$142,74,FALSE)),ISERROR(HLOOKUP(AD$8,'Rent Adjustments'!$G$8:$ZO$142,76,FALSE))),0,IF(HLOOKUP(AD$8,'Rent Adjustments'!$G$8:$ZO$142,74,FALSE)="",0,IF(AND($G19=HLOOKUP(AD$8,'Rent Adjustments'!$G$8:$ZO$142,74,FALSE),$F23=HLOOKUP(AD$8,'Rent Adjustments'!$G$8:$ZO$142,76,FALSE)),1,0))))</f>
        <v>0</v>
      </c>
      <c r="AE23" s="2089">
        <f>IF(dpIncome_RentAdjustment_4="Construction Quality",IF(OR(ISERROR(HLOOKUP(AE$8,'Rent Adjustments'!$G$8:$ZO$142,74,FALSE)),ISERROR(HLOOKUP(AE$8,'Rent Adjustments'!$G$8:$ZO$142,75,FALSE))),0,IF(HLOOKUP(AE$8,'Rent Adjustments'!$G$8:$ZO$142,74,FALSE)="",0,IF(AND($G19=HLOOKUP(AE$8,'Rent Adjustments'!$G$8:$ZO$142,74,FALSE),$F23=HLOOKUP(AE$8,'Rent Adjustments'!$G$8:$ZO$142,75,FALSE)),1,0))),IF(OR(ISERROR(HLOOKUP(AE$8,'Rent Adjustments'!$G$8:$ZO$142,74,FALSE)),ISERROR(HLOOKUP(AE$8,'Rent Adjustments'!$G$8:$ZO$142,76,FALSE))),0,IF(HLOOKUP(AE$8,'Rent Adjustments'!$G$8:$ZO$142,74,FALSE)="",0,IF(AND($G19=HLOOKUP(AE$8,'Rent Adjustments'!$G$8:$ZO$142,74,FALSE),$F23=HLOOKUP(AE$8,'Rent Adjustments'!$G$8:$ZO$142,76,FALSE)),1,0))))</f>
        <v>0</v>
      </c>
      <c r="AF23" s="2089">
        <f>IF(dpIncome_RentAdjustment_4="Construction Quality",IF(OR(ISERROR(HLOOKUP(AF$8,'Rent Adjustments'!$G$8:$ZO$142,74,FALSE)),ISERROR(HLOOKUP(AF$8,'Rent Adjustments'!$G$8:$ZO$142,75,FALSE))),0,IF(HLOOKUP(AF$8,'Rent Adjustments'!$G$8:$ZO$142,74,FALSE)="",0,IF(AND($G19=HLOOKUP(AF$8,'Rent Adjustments'!$G$8:$ZO$142,74,FALSE),$F23=HLOOKUP(AF$8,'Rent Adjustments'!$G$8:$ZO$142,75,FALSE)),1,0))),IF(OR(ISERROR(HLOOKUP(AF$8,'Rent Adjustments'!$G$8:$ZO$142,74,FALSE)),ISERROR(HLOOKUP(AF$8,'Rent Adjustments'!$G$8:$ZO$142,76,FALSE))),0,IF(HLOOKUP(AF$8,'Rent Adjustments'!$G$8:$ZO$142,74,FALSE)="",0,IF(AND($G19=HLOOKUP(AF$8,'Rent Adjustments'!$G$8:$ZO$142,74,FALSE),$F23=HLOOKUP(AF$8,'Rent Adjustments'!$G$8:$ZO$142,76,FALSE)),1,0))))</f>
        <v>0</v>
      </c>
      <c r="AG23" s="2089">
        <f>IF(dpIncome_RentAdjustment_4="Construction Quality",IF(OR(ISERROR(HLOOKUP(AG$8,'Rent Adjustments'!$G$8:$ZO$142,74,FALSE)),ISERROR(HLOOKUP(AG$8,'Rent Adjustments'!$G$8:$ZO$142,75,FALSE))),0,IF(HLOOKUP(AG$8,'Rent Adjustments'!$G$8:$ZO$142,74,FALSE)="",0,IF(AND($G19=HLOOKUP(AG$8,'Rent Adjustments'!$G$8:$ZO$142,74,FALSE),$F23=HLOOKUP(AG$8,'Rent Adjustments'!$G$8:$ZO$142,75,FALSE)),1,0))),IF(OR(ISERROR(HLOOKUP(AG$8,'Rent Adjustments'!$G$8:$ZO$142,74,FALSE)),ISERROR(HLOOKUP(AG$8,'Rent Adjustments'!$G$8:$ZO$142,76,FALSE))),0,IF(HLOOKUP(AG$8,'Rent Adjustments'!$G$8:$ZO$142,74,FALSE)="",0,IF(AND($G19=HLOOKUP(AG$8,'Rent Adjustments'!$G$8:$ZO$142,74,FALSE),$F23=HLOOKUP(AG$8,'Rent Adjustments'!$G$8:$ZO$142,76,FALSE)),1,0))))</f>
        <v>0</v>
      </c>
      <c r="AH23" s="2089">
        <f>SUM(W23:$W23)</f>
        <v>0</v>
      </c>
      <c r="AI23" s="2089">
        <f>SUM($W23:X23)</f>
        <v>0</v>
      </c>
      <c r="AJ23" s="2089">
        <f>SUM($W23:Y23)</f>
        <v>0</v>
      </c>
      <c r="AK23" s="2089">
        <f>SUM($W23:Z23)</f>
        <v>0</v>
      </c>
      <c r="AL23" s="2089">
        <f>SUM($W23:AA23)</f>
        <v>0</v>
      </c>
      <c r="AM23" s="2089">
        <f>SUM($W23:AB23)</f>
        <v>0</v>
      </c>
      <c r="AN23" s="2089">
        <f>SUM($W23:AC23)</f>
        <v>0</v>
      </c>
      <c r="AO23" s="2089">
        <f>SUM($W23:AD23)</f>
        <v>0</v>
      </c>
      <c r="AP23" s="2089">
        <f>SUM($W23:AE23)</f>
        <v>0</v>
      </c>
      <c r="AQ23" s="2089">
        <f>SUM($W23:AF23)</f>
        <v>0</v>
      </c>
      <c r="AR23" s="2089">
        <f>SUM($W23:AG23)</f>
        <v>0</v>
      </c>
      <c r="AS23" s="2089" t="str">
        <f t="shared" si="10"/>
        <v/>
      </c>
      <c r="AT23" s="2089" t="str">
        <f t="shared" si="10"/>
        <v/>
      </c>
      <c r="AU23" s="2089" t="str">
        <f t="shared" si="10"/>
        <v/>
      </c>
      <c r="AV23" s="2089" t="str">
        <f t="shared" si="10"/>
        <v/>
      </c>
      <c r="AW23" s="2089" t="str">
        <f t="shared" si="10"/>
        <v/>
      </c>
      <c r="AX23" s="2089" t="str">
        <f t="shared" si="10"/>
        <v/>
      </c>
      <c r="AY23" s="2089" t="str">
        <f t="shared" si="10"/>
        <v/>
      </c>
      <c r="AZ23" s="2089" t="str">
        <f t="shared" si="10"/>
        <v/>
      </c>
      <c r="BA23" s="2089" t="str">
        <f t="shared" si="10"/>
        <v/>
      </c>
      <c r="BB23" s="2089" t="str">
        <f t="shared" si="10"/>
        <v/>
      </c>
      <c r="BC23" s="2089" t="str">
        <f t="shared" si="10"/>
        <v/>
      </c>
    </row>
    <row r="24" spans="1:55" ht="69.95" hidden="1" customHeight="1" x14ac:dyDescent="0.25">
      <c r="A24" s="972">
        <f t="shared" si="4"/>
        <v>0</v>
      </c>
      <c r="B24" s="4"/>
      <c r="C24" s="258"/>
      <c r="D24" s="4254" t="str">
        <f t="shared" si="8"/>
        <v/>
      </c>
      <c r="E24" s="4254"/>
      <c r="F24" s="3491" t="str">
        <f>IF(dpIncome_RentAdjustment_4="Construction Quality","A - Structural Steel","A")</f>
        <v>A - Structural Steel</v>
      </c>
      <c r="G24" s="4275" t="s">
        <v>306</v>
      </c>
      <c r="H24" s="4270" t="s">
        <v>1812</v>
      </c>
      <c r="I24" s="4270"/>
      <c r="J24" s="4270"/>
      <c r="K24" s="4270"/>
      <c r="L24" s="3492" t="str">
        <f t="shared" si="5"/>
        <v/>
      </c>
      <c r="M24" s="4261">
        <f>dpIncome_Rent_Quality_RatingAdj*V24</f>
        <v>-0.4</v>
      </c>
      <c r="N24" s="4261"/>
      <c r="O24" s="4263" t="s">
        <v>177</v>
      </c>
      <c r="P24" s="3493" t="str">
        <f>IFERROR(L24+M24,"")</f>
        <v/>
      </c>
      <c r="Q24" s="3494"/>
      <c r="R24" s="6"/>
      <c r="T24" s="2100">
        <f t="shared" si="6"/>
        <v>0</v>
      </c>
      <c r="U24" s="707" t="str">
        <f>U14</f>
        <v/>
      </c>
      <c r="V24" s="707">
        <f>IF(SUM(W24:W28)=1,0,IF(SUM(W$9:W24)=0,V29-1,V19+1))</f>
        <v>-4</v>
      </c>
      <c r="W24" s="707">
        <f>IF(dpIncome_RentAdjustment_4="Construction Quality",IF(AND(F24=Subject_ConstructionClass,G$24=Subject_ConstructionQuality),1,0),IF(AND(F24=Subject_InvestmentClass,G$24=Subject_ConstructionQuality),1,0))</f>
        <v>0</v>
      </c>
      <c r="X24" s="707">
        <f>IF(dpIncome_RentAdjustment_4="Construction Quality",IF(OR(ISERROR(HLOOKUP(X$8,'Rent Adjustments'!$G$8:$ZO$142,74,FALSE)),ISERROR(HLOOKUP(X$8,'Rent Adjustments'!$G$8:$ZO$142,75,FALSE))),0,IF(HLOOKUP(X$8,'Rent Adjustments'!$G$8:$ZO$142,74,FALSE)="",0,IF(AND($G24=HLOOKUP(X$8,'Rent Adjustments'!$G$8:$ZO$142,74,FALSE),$F24=HLOOKUP(X$8,'Rent Adjustments'!$G$8:$ZO$142,75,FALSE)),1,0))),IF(OR(ISERROR(HLOOKUP(X$8,'Rent Adjustments'!$G$8:$ZO$142,74,FALSE)),ISERROR(HLOOKUP(X$8,'Rent Adjustments'!$G$8:$ZO$142,76,FALSE))),0,IF(HLOOKUP(X$8,'Rent Adjustments'!$G$8:$ZO$142,74,FALSE)="",0,IF(AND($G24=HLOOKUP(X$8,'Rent Adjustments'!$G$8:$ZO$142,74,FALSE),$F24=HLOOKUP(X$8,'Rent Adjustments'!$G$8:$ZO$142,76,FALSE)),1,0))))</f>
        <v>0</v>
      </c>
      <c r="Y24" s="707">
        <f>IF(dpIncome_RentAdjustment_4="Construction Quality",IF(OR(ISERROR(HLOOKUP(Y$8,'Rent Adjustments'!$G$8:$ZO$142,74,FALSE)),ISERROR(HLOOKUP(Y$8,'Rent Adjustments'!$G$8:$ZO$142,75,FALSE))),0,IF(HLOOKUP(Y$8,'Rent Adjustments'!$G$8:$ZO$142,74,FALSE)="",0,IF(AND($G24=HLOOKUP(Y$8,'Rent Adjustments'!$G$8:$ZO$142,74,FALSE),$F24=HLOOKUP(Y$8,'Rent Adjustments'!$G$8:$ZO$142,75,FALSE)),1,0))),IF(OR(ISERROR(HLOOKUP(Y$8,'Rent Adjustments'!$G$8:$ZO$142,74,FALSE)),ISERROR(HLOOKUP(Y$8,'Rent Adjustments'!$G$8:$ZO$142,76,FALSE))),0,IF(HLOOKUP(Y$8,'Rent Adjustments'!$G$8:$ZO$142,74,FALSE)="",0,IF(AND($G24=HLOOKUP(Y$8,'Rent Adjustments'!$G$8:$ZO$142,74,FALSE),$F24=HLOOKUP(Y$8,'Rent Adjustments'!$G$8:$ZO$142,76,FALSE)),1,0))))</f>
        <v>0</v>
      </c>
      <c r="Z24" s="707">
        <f>IF(dpIncome_RentAdjustment_4="Construction Quality",IF(OR(ISERROR(HLOOKUP(Z$8,'Rent Adjustments'!$G$8:$ZO$142,74,FALSE)),ISERROR(HLOOKUP(Z$8,'Rent Adjustments'!$G$8:$ZO$142,75,FALSE))),0,IF(HLOOKUP(Z$8,'Rent Adjustments'!$G$8:$ZO$142,74,FALSE)="",0,IF(AND($G24=HLOOKUP(Z$8,'Rent Adjustments'!$G$8:$ZO$142,74,FALSE),$F24=HLOOKUP(Z$8,'Rent Adjustments'!$G$8:$ZO$142,75,FALSE)),1,0))),IF(OR(ISERROR(HLOOKUP(Z$8,'Rent Adjustments'!$G$8:$ZO$142,74,FALSE)),ISERROR(HLOOKUP(Z$8,'Rent Adjustments'!$G$8:$ZO$142,76,FALSE))),0,IF(HLOOKUP(Z$8,'Rent Adjustments'!$G$8:$ZO$142,74,FALSE)="",0,IF(AND($G24=HLOOKUP(Z$8,'Rent Adjustments'!$G$8:$ZO$142,74,FALSE),$F24=HLOOKUP(Z$8,'Rent Adjustments'!$G$8:$ZO$142,76,FALSE)),1,0))))</f>
        <v>0</v>
      </c>
      <c r="AA24" s="707">
        <f>IF(dpIncome_RentAdjustment_4="Construction Quality",IF(OR(ISERROR(HLOOKUP(AA$8,'Rent Adjustments'!$G$8:$ZO$142,74,FALSE)),ISERROR(HLOOKUP(AA$8,'Rent Adjustments'!$G$8:$ZO$142,75,FALSE))),0,IF(HLOOKUP(AA$8,'Rent Adjustments'!$G$8:$ZO$142,74,FALSE)="",0,IF(AND($G24=HLOOKUP(AA$8,'Rent Adjustments'!$G$8:$ZO$142,74,FALSE),$F24=HLOOKUP(AA$8,'Rent Adjustments'!$G$8:$ZO$142,75,FALSE)),1,0))),IF(OR(ISERROR(HLOOKUP(AA$8,'Rent Adjustments'!$G$8:$ZO$142,74,FALSE)),ISERROR(HLOOKUP(AA$8,'Rent Adjustments'!$G$8:$ZO$142,76,FALSE))),0,IF(HLOOKUP(AA$8,'Rent Adjustments'!$G$8:$ZO$142,74,FALSE)="",0,IF(AND($G24=HLOOKUP(AA$8,'Rent Adjustments'!$G$8:$ZO$142,74,FALSE),$F24=HLOOKUP(AA$8,'Rent Adjustments'!$G$8:$ZO$142,76,FALSE)),1,0))))</f>
        <v>0</v>
      </c>
      <c r="AB24" s="707">
        <f>IF(dpIncome_RentAdjustment_4="Construction Quality",IF(OR(ISERROR(HLOOKUP(AB$8,'Rent Adjustments'!$G$8:$ZO$142,74,FALSE)),ISERROR(HLOOKUP(AB$8,'Rent Adjustments'!$G$8:$ZO$142,75,FALSE))),0,IF(HLOOKUP(AB$8,'Rent Adjustments'!$G$8:$ZO$142,74,FALSE)="",0,IF(AND($G24=HLOOKUP(AB$8,'Rent Adjustments'!$G$8:$ZO$142,74,FALSE),$F24=HLOOKUP(AB$8,'Rent Adjustments'!$G$8:$ZO$142,75,FALSE)),1,0))),IF(OR(ISERROR(HLOOKUP(AB$8,'Rent Adjustments'!$G$8:$ZO$142,74,FALSE)),ISERROR(HLOOKUP(AB$8,'Rent Adjustments'!$G$8:$ZO$142,76,FALSE))),0,IF(HLOOKUP(AB$8,'Rent Adjustments'!$G$8:$ZO$142,74,FALSE)="",0,IF(AND($G24=HLOOKUP(AB$8,'Rent Adjustments'!$G$8:$ZO$142,74,FALSE),$F24=HLOOKUP(AB$8,'Rent Adjustments'!$G$8:$ZO$142,76,FALSE)),1,0))))</f>
        <v>0</v>
      </c>
      <c r="AC24" s="707">
        <f>IF(dpIncome_RentAdjustment_4="Construction Quality",IF(OR(ISERROR(HLOOKUP(AC$8,'Rent Adjustments'!$G$8:$ZO$142,74,FALSE)),ISERROR(HLOOKUP(AC$8,'Rent Adjustments'!$G$8:$ZO$142,75,FALSE))),0,IF(HLOOKUP(AC$8,'Rent Adjustments'!$G$8:$ZO$142,74,FALSE)="",0,IF(AND($G24=HLOOKUP(AC$8,'Rent Adjustments'!$G$8:$ZO$142,74,FALSE),$F24=HLOOKUP(AC$8,'Rent Adjustments'!$G$8:$ZO$142,75,FALSE)),1,0))),IF(OR(ISERROR(HLOOKUP(AC$8,'Rent Adjustments'!$G$8:$ZO$142,74,FALSE)),ISERROR(HLOOKUP(AC$8,'Rent Adjustments'!$G$8:$ZO$142,76,FALSE))),0,IF(HLOOKUP(AC$8,'Rent Adjustments'!$G$8:$ZO$142,74,FALSE)="",0,IF(AND($G24=HLOOKUP(AC$8,'Rent Adjustments'!$G$8:$ZO$142,74,FALSE),$F24=HLOOKUP(AC$8,'Rent Adjustments'!$G$8:$ZO$142,76,FALSE)),1,0))))</f>
        <v>0</v>
      </c>
      <c r="AD24" s="707">
        <f>IF(dpIncome_RentAdjustment_4="Construction Quality",IF(OR(ISERROR(HLOOKUP(AD$8,'Rent Adjustments'!$G$8:$ZO$142,74,FALSE)),ISERROR(HLOOKUP(AD$8,'Rent Adjustments'!$G$8:$ZO$142,75,FALSE))),0,IF(HLOOKUP(AD$8,'Rent Adjustments'!$G$8:$ZO$142,74,FALSE)="",0,IF(AND($G24=HLOOKUP(AD$8,'Rent Adjustments'!$G$8:$ZO$142,74,FALSE),$F24=HLOOKUP(AD$8,'Rent Adjustments'!$G$8:$ZO$142,75,FALSE)),1,0))),IF(OR(ISERROR(HLOOKUP(AD$8,'Rent Adjustments'!$G$8:$ZO$142,74,FALSE)),ISERROR(HLOOKUP(AD$8,'Rent Adjustments'!$G$8:$ZO$142,76,FALSE))),0,IF(HLOOKUP(AD$8,'Rent Adjustments'!$G$8:$ZO$142,74,FALSE)="",0,IF(AND($G24=HLOOKUP(AD$8,'Rent Adjustments'!$G$8:$ZO$142,74,FALSE),$F24=HLOOKUP(AD$8,'Rent Adjustments'!$G$8:$ZO$142,76,FALSE)),1,0))))</f>
        <v>0</v>
      </c>
      <c r="AE24" s="707">
        <f>IF(dpIncome_RentAdjustment_4="Construction Quality",IF(OR(ISERROR(HLOOKUP(AE$8,'Rent Adjustments'!$G$8:$ZO$142,74,FALSE)),ISERROR(HLOOKUP(AE$8,'Rent Adjustments'!$G$8:$ZO$142,75,FALSE))),0,IF(HLOOKUP(AE$8,'Rent Adjustments'!$G$8:$ZO$142,74,FALSE)="",0,IF(AND($G24=HLOOKUP(AE$8,'Rent Adjustments'!$G$8:$ZO$142,74,FALSE),$F24=HLOOKUP(AE$8,'Rent Adjustments'!$G$8:$ZO$142,75,FALSE)),1,0))),IF(OR(ISERROR(HLOOKUP(AE$8,'Rent Adjustments'!$G$8:$ZO$142,74,FALSE)),ISERROR(HLOOKUP(AE$8,'Rent Adjustments'!$G$8:$ZO$142,76,FALSE))),0,IF(HLOOKUP(AE$8,'Rent Adjustments'!$G$8:$ZO$142,74,FALSE)="",0,IF(AND($G24=HLOOKUP(AE$8,'Rent Adjustments'!$G$8:$ZO$142,74,FALSE),$F24=HLOOKUP(AE$8,'Rent Adjustments'!$G$8:$ZO$142,76,FALSE)),1,0))))</f>
        <v>0</v>
      </c>
      <c r="AF24" s="707">
        <f>IF(dpIncome_RentAdjustment_4="Construction Quality",IF(OR(ISERROR(HLOOKUP(AF$8,'Rent Adjustments'!$G$8:$ZO$142,74,FALSE)),ISERROR(HLOOKUP(AF$8,'Rent Adjustments'!$G$8:$ZO$142,75,FALSE))),0,IF(HLOOKUP(AF$8,'Rent Adjustments'!$G$8:$ZO$142,74,FALSE)="",0,IF(AND($G24=HLOOKUP(AF$8,'Rent Adjustments'!$G$8:$ZO$142,74,FALSE),$F24=HLOOKUP(AF$8,'Rent Adjustments'!$G$8:$ZO$142,75,FALSE)),1,0))),IF(OR(ISERROR(HLOOKUP(AF$8,'Rent Adjustments'!$G$8:$ZO$142,74,FALSE)),ISERROR(HLOOKUP(AF$8,'Rent Adjustments'!$G$8:$ZO$142,76,FALSE))),0,IF(HLOOKUP(AF$8,'Rent Adjustments'!$G$8:$ZO$142,74,FALSE)="",0,IF(AND($G24=HLOOKUP(AF$8,'Rent Adjustments'!$G$8:$ZO$142,74,FALSE),$F24=HLOOKUP(AF$8,'Rent Adjustments'!$G$8:$ZO$142,76,FALSE)),1,0))))</f>
        <v>0</v>
      </c>
      <c r="AG24" s="707">
        <f>IF(dpIncome_RentAdjustment_4="Construction Quality",IF(OR(ISERROR(HLOOKUP(AG$8,'Rent Adjustments'!$G$8:$ZO$142,74,FALSE)),ISERROR(HLOOKUP(AG$8,'Rent Adjustments'!$G$8:$ZO$142,75,FALSE))),0,IF(HLOOKUP(AG$8,'Rent Adjustments'!$G$8:$ZO$142,74,FALSE)="",0,IF(AND($G24=HLOOKUP(AG$8,'Rent Adjustments'!$G$8:$ZO$142,74,FALSE),$F24=HLOOKUP(AG$8,'Rent Adjustments'!$G$8:$ZO$142,75,FALSE)),1,0))),IF(OR(ISERROR(HLOOKUP(AG$8,'Rent Adjustments'!$G$8:$ZO$142,74,FALSE)),ISERROR(HLOOKUP(AG$8,'Rent Adjustments'!$G$8:$ZO$142,76,FALSE))),0,IF(HLOOKUP(AG$8,'Rent Adjustments'!$G$8:$ZO$142,74,FALSE)="",0,IF(AND($G24=HLOOKUP(AG$8,'Rent Adjustments'!$G$8:$ZO$142,74,FALSE),$F24=HLOOKUP(AG$8,'Rent Adjustments'!$G$8:$ZO$142,76,FALSE)),1,0))))</f>
        <v>0</v>
      </c>
      <c r="AH24" s="707">
        <f>SUM(W24:$W24)</f>
        <v>0</v>
      </c>
      <c r="AI24" s="707">
        <f>SUM($W24:X24)</f>
        <v>0</v>
      </c>
      <c r="AJ24" s="707">
        <f>SUM($W24:Y24)</f>
        <v>0</v>
      </c>
      <c r="AK24" s="707">
        <f>SUM($W24:Z24)</f>
        <v>0</v>
      </c>
      <c r="AL24" s="707">
        <f>SUM($W24:AA24)</f>
        <v>0</v>
      </c>
      <c r="AM24" s="707">
        <f>SUM($W24:AB24)</f>
        <v>0</v>
      </c>
      <c r="AN24" s="707">
        <f>SUM($W24:AC24)</f>
        <v>0</v>
      </c>
      <c r="AO24" s="707">
        <f>SUM($W24:AD24)</f>
        <v>0</v>
      </c>
      <c r="AP24" s="707">
        <f>SUM($W24:AE24)</f>
        <v>0</v>
      </c>
      <c r="AQ24" s="707">
        <f>SUM($W24:AF24)</f>
        <v>0</v>
      </c>
      <c r="AR24" s="707">
        <f>SUM($W24:AG24)</f>
        <v>0</v>
      </c>
      <c r="AS24" s="707" t="str">
        <f t="shared" si="7"/>
        <v/>
      </c>
      <c r="AT24" s="707" t="str">
        <f t="shared" si="7"/>
        <v/>
      </c>
      <c r="AU24" s="707" t="str">
        <f t="shared" si="7"/>
        <v/>
      </c>
      <c r="AV24" s="707" t="str">
        <f t="shared" si="7"/>
        <v/>
      </c>
      <c r="AW24" s="707" t="str">
        <f t="shared" si="7"/>
        <v/>
      </c>
      <c r="AX24" s="707" t="str">
        <f t="shared" si="7"/>
        <v/>
      </c>
      <c r="AY24" s="707" t="str">
        <f t="shared" si="7"/>
        <v/>
      </c>
      <c r="AZ24" s="707" t="str">
        <f t="shared" si="7"/>
        <v/>
      </c>
      <c r="BA24" s="707" t="str">
        <f t="shared" si="7"/>
        <v/>
      </c>
      <c r="BB24" s="707" t="str">
        <f t="shared" si="7"/>
        <v/>
      </c>
      <c r="BC24" s="707" t="str">
        <f t="shared" si="7"/>
        <v/>
      </c>
    </row>
    <row r="25" spans="1:55" ht="69.95" hidden="1" customHeight="1" x14ac:dyDescent="0.25">
      <c r="A25" s="972">
        <f t="shared" si="4"/>
        <v>0</v>
      </c>
      <c r="B25" s="4"/>
      <c r="C25" s="258"/>
      <c r="D25" s="4254" t="str">
        <f t="shared" si="8"/>
        <v/>
      </c>
      <c r="E25" s="4254"/>
      <c r="F25" s="3491" t="str">
        <f>IF(dpIncome_RentAdjustment_4="Construction Quality","B - Reinforced Concrete","B")</f>
        <v>B - Reinforced Concrete</v>
      </c>
      <c r="G25" s="4276"/>
      <c r="H25" s="4270"/>
      <c r="I25" s="4270"/>
      <c r="J25" s="4270"/>
      <c r="K25" s="4270"/>
      <c r="L25" s="3492" t="str">
        <f t="shared" si="5"/>
        <v/>
      </c>
      <c r="M25" s="4261"/>
      <c r="N25" s="4261"/>
      <c r="O25" s="4263"/>
      <c r="P25" s="3493" t="str">
        <f>IFERROR(L25+M24,"")</f>
        <v/>
      </c>
      <c r="Q25" s="3494"/>
      <c r="R25" s="6"/>
      <c r="T25" s="2100">
        <f t="shared" si="6"/>
        <v>0</v>
      </c>
      <c r="U25" s="707" t="str">
        <f>U15</f>
        <v/>
      </c>
      <c r="V25" s="707"/>
      <c r="W25" s="707">
        <f>IF(dpIncome_RentAdjustment_4="Construction Quality",IF(AND(F25=Subject_ConstructionClass,G$24=Subject_ConstructionQuality),1,0),IF(AND(F25=Subject_InvestmentClass,G$24=Subject_ConstructionQuality),1,0))</f>
        <v>0</v>
      </c>
      <c r="X25" s="707">
        <f>IF(dpIncome_RentAdjustment_4="Construction Quality",IF(OR(ISERROR(HLOOKUP(X$8,'Rent Adjustments'!$G$8:$ZO$142,74,FALSE)),ISERROR(HLOOKUP(X$8,'Rent Adjustments'!$G$8:$ZO$142,75,FALSE))),0,IF(HLOOKUP(X$8,'Rent Adjustments'!$G$8:$ZO$142,74,FALSE)="",0,IF(AND($G24=HLOOKUP(X$8,'Rent Adjustments'!$G$8:$ZO$142,74,FALSE),$F25=HLOOKUP(X$8,'Rent Adjustments'!$G$8:$ZO$142,75,FALSE)),1,0))),IF(OR(ISERROR(HLOOKUP(X$8,'Rent Adjustments'!$G$8:$ZO$142,74,FALSE)),ISERROR(HLOOKUP(X$8,'Rent Adjustments'!$G$8:$ZO$142,76,FALSE))),0,IF(HLOOKUP(X$8,'Rent Adjustments'!$G$8:$ZO$142,74,FALSE)="",0,IF(AND($G24=HLOOKUP(X$8,'Rent Adjustments'!$G$8:$ZO$142,74,FALSE),$F25=HLOOKUP(X$8,'Rent Adjustments'!$G$8:$ZO$142,76,FALSE)),1,0))))</f>
        <v>0</v>
      </c>
      <c r="Y25" s="707">
        <f>IF(dpIncome_RentAdjustment_4="Construction Quality",IF(OR(ISERROR(HLOOKUP(Y$8,'Rent Adjustments'!$G$8:$ZO$142,74,FALSE)),ISERROR(HLOOKUP(Y$8,'Rent Adjustments'!$G$8:$ZO$142,75,FALSE))),0,IF(HLOOKUP(Y$8,'Rent Adjustments'!$G$8:$ZO$142,74,FALSE)="",0,IF(AND($G24=HLOOKUP(Y$8,'Rent Adjustments'!$G$8:$ZO$142,74,FALSE),$F25=HLOOKUP(Y$8,'Rent Adjustments'!$G$8:$ZO$142,75,FALSE)),1,0))),IF(OR(ISERROR(HLOOKUP(Y$8,'Rent Adjustments'!$G$8:$ZO$142,74,FALSE)),ISERROR(HLOOKUP(Y$8,'Rent Adjustments'!$G$8:$ZO$142,76,FALSE))),0,IF(HLOOKUP(Y$8,'Rent Adjustments'!$G$8:$ZO$142,74,FALSE)="",0,IF(AND($G24=HLOOKUP(Y$8,'Rent Adjustments'!$G$8:$ZO$142,74,FALSE),$F25=HLOOKUP(Y$8,'Rent Adjustments'!$G$8:$ZO$142,76,FALSE)),1,0))))</f>
        <v>0</v>
      </c>
      <c r="Z25" s="707">
        <f>IF(dpIncome_RentAdjustment_4="Construction Quality",IF(OR(ISERROR(HLOOKUP(Z$8,'Rent Adjustments'!$G$8:$ZO$142,74,FALSE)),ISERROR(HLOOKUP(Z$8,'Rent Adjustments'!$G$8:$ZO$142,75,FALSE))),0,IF(HLOOKUP(Z$8,'Rent Adjustments'!$G$8:$ZO$142,74,FALSE)="",0,IF(AND($G24=HLOOKUP(Z$8,'Rent Adjustments'!$G$8:$ZO$142,74,FALSE),$F25=HLOOKUP(Z$8,'Rent Adjustments'!$G$8:$ZO$142,75,FALSE)),1,0))),IF(OR(ISERROR(HLOOKUP(Z$8,'Rent Adjustments'!$G$8:$ZO$142,74,FALSE)),ISERROR(HLOOKUP(Z$8,'Rent Adjustments'!$G$8:$ZO$142,76,FALSE))),0,IF(HLOOKUP(Z$8,'Rent Adjustments'!$G$8:$ZO$142,74,FALSE)="",0,IF(AND($G24=HLOOKUP(Z$8,'Rent Adjustments'!$G$8:$ZO$142,74,FALSE),$F25=HLOOKUP(Z$8,'Rent Adjustments'!$G$8:$ZO$142,76,FALSE)),1,0))))</f>
        <v>0</v>
      </c>
      <c r="AA25" s="707">
        <f>IF(dpIncome_RentAdjustment_4="Construction Quality",IF(OR(ISERROR(HLOOKUP(AA$8,'Rent Adjustments'!$G$8:$ZO$142,74,FALSE)),ISERROR(HLOOKUP(AA$8,'Rent Adjustments'!$G$8:$ZO$142,75,FALSE))),0,IF(HLOOKUP(AA$8,'Rent Adjustments'!$G$8:$ZO$142,74,FALSE)="",0,IF(AND($G24=HLOOKUP(AA$8,'Rent Adjustments'!$G$8:$ZO$142,74,FALSE),$F25=HLOOKUP(AA$8,'Rent Adjustments'!$G$8:$ZO$142,75,FALSE)),1,0))),IF(OR(ISERROR(HLOOKUP(AA$8,'Rent Adjustments'!$G$8:$ZO$142,74,FALSE)),ISERROR(HLOOKUP(AA$8,'Rent Adjustments'!$G$8:$ZO$142,76,FALSE))),0,IF(HLOOKUP(AA$8,'Rent Adjustments'!$G$8:$ZO$142,74,FALSE)="",0,IF(AND($G24=HLOOKUP(AA$8,'Rent Adjustments'!$G$8:$ZO$142,74,FALSE),$F25=HLOOKUP(AA$8,'Rent Adjustments'!$G$8:$ZO$142,76,FALSE)),1,0))))</f>
        <v>0</v>
      </c>
      <c r="AB25" s="707">
        <f>IF(dpIncome_RentAdjustment_4="Construction Quality",IF(OR(ISERROR(HLOOKUP(AB$8,'Rent Adjustments'!$G$8:$ZO$142,74,FALSE)),ISERROR(HLOOKUP(AB$8,'Rent Adjustments'!$G$8:$ZO$142,75,FALSE))),0,IF(HLOOKUP(AB$8,'Rent Adjustments'!$G$8:$ZO$142,74,FALSE)="",0,IF(AND($G24=HLOOKUP(AB$8,'Rent Adjustments'!$G$8:$ZO$142,74,FALSE),$F25=HLOOKUP(AB$8,'Rent Adjustments'!$G$8:$ZO$142,75,FALSE)),1,0))),IF(OR(ISERROR(HLOOKUP(AB$8,'Rent Adjustments'!$G$8:$ZO$142,74,FALSE)),ISERROR(HLOOKUP(AB$8,'Rent Adjustments'!$G$8:$ZO$142,76,FALSE))),0,IF(HLOOKUP(AB$8,'Rent Adjustments'!$G$8:$ZO$142,74,FALSE)="",0,IF(AND($G24=HLOOKUP(AB$8,'Rent Adjustments'!$G$8:$ZO$142,74,FALSE),$F25=HLOOKUP(AB$8,'Rent Adjustments'!$G$8:$ZO$142,76,FALSE)),1,0))))</f>
        <v>0</v>
      </c>
      <c r="AC25" s="707">
        <f>IF(dpIncome_RentAdjustment_4="Construction Quality",IF(OR(ISERROR(HLOOKUP(AC$8,'Rent Adjustments'!$G$8:$ZO$142,74,FALSE)),ISERROR(HLOOKUP(AC$8,'Rent Adjustments'!$G$8:$ZO$142,75,FALSE))),0,IF(HLOOKUP(AC$8,'Rent Adjustments'!$G$8:$ZO$142,74,FALSE)="",0,IF(AND($G24=HLOOKUP(AC$8,'Rent Adjustments'!$G$8:$ZO$142,74,FALSE),$F25=HLOOKUP(AC$8,'Rent Adjustments'!$G$8:$ZO$142,75,FALSE)),1,0))),IF(OR(ISERROR(HLOOKUP(AC$8,'Rent Adjustments'!$G$8:$ZO$142,74,FALSE)),ISERROR(HLOOKUP(AC$8,'Rent Adjustments'!$G$8:$ZO$142,76,FALSE))),0,IF(HLOOKUP(AC$8,'Rent Adjustments'!$G$8:$ZO$142,74,FALSE)="",0,IF(AND($G24=HLOOKUP(AC$8,'Rent Adjustments'!$G$8:$ZO$142,74,FALSE),$F25=HLOOKUP(AC$8,'Rent Adjustments'!$G$8:$ZO$142,76,FALSE)),1,0))))</f>
        <v>0</v>
      </c>
      <c r="AD25" s="707">
        <f>IF(dpIncome_RentAdjustment_4="Construction Quality",IF(OR(ISERROR(HLOOKUP(AD$8,'Rent Adjustments'!$G$8:$ZO$142,74,FALSE)),ISERROR(HLOOKUP(AD$8,'Rent Adjustments'!$G$8:$ZO$142,75,FALSE))),0,IF(HLOOKUP(AD$8,'Rent Adjustments'!$G$8:$ZO$142,74,FALSE)="",0,IF(AND($G24=HLOOKUP(AD$8,'Rent Adjustments'!$G$8:$ZO$142,74,FALSE),$F25=HLOOKUP(AD$8,'Rent Adjustments'!$G$8:$ZO$142,75,FALSE)),1,0))),IF(OR(ISERROR(HLOOKUP(AD$8,'Rent Adjustments'!$G$8:$ZO$142,74,FALSE)),ISERROR(HLOOKUP(AD$8,'Rent Adjustments'!$G$8:$ZO$142,76,FALSE))),0,IF(HLOOKUP(AD$8,'Rent Adjustments'!$G$8:$ZO$142,74,FALSE)="",0,IF(AND($G24=HLOOKUP(AD$8,'Rent Adjustments'!$G$8:$ZO$142,74,FALSE),$F25=HLOOKUP(AD$8,'Rent Adjustments'!$G$8:$ZO$142,76,FALSE)),1,0))))</f>
        <v>0</v>
      </c>
      <c r="AE25" s="707">
        <f>IF(dpIncome_RentAdjustment_4="Construction Quality",IF(OR(ISERROR(HLOOKUP(AE$8,'Rent Adjustments'!$G$8:$ZO$142,74,FALSE)),ISERROR(HLOOKUP(AE$8,'Rent Adjustments'!$G$8:$ZO$142,75,FALSE))),0,IF(HLOOKUP(AE$8,'Rent Adjustments'!$G$8:$ZO$142,74,FALSE)="",0,IF(AND($G24=HLOOKUP(AE$8,'Rent Adjustments'!$G$8:$ZO$142,74,FALSE),$F25=HLOOKUP(AE$8,'Rent Adjustments'!$G$8:$ZO$142,75,FALSE)),1,0))),IF(OR(ISERROR(HLOOKUP(AE$8,'Rent Adjustments'!$G$8:$ZO$142,74,FALSE)),ISERROR(HLOOKUP(AE$8,'Rent Adjustments'!$G$8:$ZO$142,76,FALSE))),0,IF(HLOOKUP(AE$8,'Rent Adjustments'!$G$8:$ZO$142,74,FALSE)="",0,IF(AND($G24=HLOOKUP(AE$8,'Rent Adjustments'!$G$8:$ZO$142,74,FALSE),$F25=HLOOKUP(AE$8,'Rent Adjustments'!$G$8:$ZO$142,76,FALSE)),1,0))))</f>
        <v>0</v>
      </c>
      <c r="AF25" s="707">
        <f>IF(dpIncome_RentAdjustment_4="Construction Quality",IF(OR(ISERROR(HLOOKUP(AF$8,'Rent Adjustments'!$G$8:$ZO$142,74,FALSE)),ISERROR(HLOOKUP(AF$8,'Rent Adjustments'!$G$8:$ZO$142,75,FALSE))),0,IF(HLOOKUP(AF$8,'Rent Adjustments'!$G$8:$ZO$142,74,FALSE)="",0,IF(AND($G24=HLOOKUP(AF$8,'Rent Adjustments'!$G$8:$ZO$142,74,FALSE),$F25=HLOOKUP(AF$8,'Rent Adjustments'!$G$8:$ZO$142,75,FALSE)),1,0))),IF(OR(ISERROR(HLOOKUP(AF$8,'Rent Adjustments'!$G$8:$ZO$142,74,FALSE)),ISERROR(HLOOKUP(AF$8,'Rent Adjustments'!$G$8:$ZO$142,76,FALSE))),0,IF(HLOOKUP(AF$8,'Rent Adjustments'!$G$8:$ZO$142,74,FALSE)="",0,IF(AND($G24=HLOOKUP(AF$8,'Rent Adjustments'!$G$8:$ZO$142,74,FALSE),$F25=HLOOKUP(AF$8,'Rent Adjustments'!$G$8:$ZO$142,76,FALSE)),1,0))))</f>
        <v>0</v>
      </c>
      <c r="AG25" s="707">
        <f>IF(dpIncome_RentAdjustment_4="Construction Quality",IF(OR(ISERROR(HLOOKUP(AG$8,'Rent Adjustments'!$G$8:$ZO$142,74,FALSE)),ISERROR(HLOOKUP(AG$8,'Rent Adjustments'!$G$8:$ZO$142,75,FALSE))),0,IF(HLOOKUP(AG$8,'Rent Adjustments'!$G$8:$ZO$142,74,FALSE)="",0,IF(AND($G24=HLOOKUP(AG$8,'Rent Adjustments'!$G$8:$ZO$142,74,FALSE),$F25=HLOOKUP(AG$8,'Rent Adjustments'!$G$8:$ZO$142,75,FALSE)),1,0))),IF(OR(ISERROR(HLOOKUP(AG$8,'Rent Adjustments'!$G$8:$ZO$142,74,FALSE)),ISERROR(HLOOKUP(AG$8,'Rent Adjustments'!$G$8:$ZO$142,76,FALSE))),0,IF(HLOOKUP(AG$8,'Rent Adjustments'!$G$8:$ZO$142,74,FALSE)="",0,IF(AND($G24=HLOOKUP(AG$8,'Rent Adjustments'!$G$8:$ZO$142,74,FALSE),$F25=HLOOKUP(AG$8,'Rent Adjustments'!$G$8:$ZO$142,76,FALSE)),1,0))))</f>
        <v>0</v>
      </c>
      <c r="AH25" s="707">
        <f>SUM(W25:$W25)</f>
        <v>0</v>
      </c>
      <c r="AI25" s="707">
        <f>SUM($W25:X25)</f>
        <v>0</v>
      </c>
      <c r="AJ25" s="707">
        <f>SUM($W25:Y25)</f>
        <v>0</v>
      </c>
      <c r="AK25" s="707">
        <f>SUM($W25:Z25)</f>
        <v>0</v>
      </c>
      <c r="AL25" s="707">
        <f>SUM($W25:AA25)</f>
        <v>0</v>
      </c>
      <c r="AM25" s="707">
        <f>SUM($W25:AB25)</f>
        <v>0</v>
      </c>
      <c r="AN25" s="707">
        <f>SUM($W25:AC25)</f>
        <v>0</v>
      </c>
      <c r="AO25" s="707">
        <f>SUM($W25:AD25)</f>
        <v>0</v>
      </c>
      <c r="AP25" s="707">
        <f>SUM($W25:AE25)</f>
        <v>0</v>
      </c>
      <c r="AQ25" s="707">
        <f>SUM($W25:AF25)</f>
        <v>0</v>
      </c>
      <c r="AR25" s="707">
        <f>SUM($W25:AG25)</f>
        <v>0</v>
      </c>
      <c r="AS25" s="707" t="str">
        <f t="shared" si="7"/>
        <v/>
      </c>
      <c r="AT25" s="707" t="str">
        <f t="shared" si="7"/>
        <v/>
      </c>
      <c r="AU25" s="707" t="str">
        <f t="shared" si="7"/>
        <v/>
      </c>
      <c r="AV25" s="707" t="str">
        <f t="shared" si="7"/>
        <v/>
      </c>
      <c r="AW25" s="707" t="str">
        <f t="shared" si="7"/>
        <v/>
      </c>
      <c r="AX25" s="707" t="str">
        <f t="shared" si="7"/>
        <v/>
      </c>
      <c r="AY25" s="707" t="str">
        <f t="shared" si="7"/>
        <v/>
      </c>
      <c r="AZ25" s="707" t="str">
        <f t="shared" si="7"/>
        <v/>
      </c>
      <c r="BA25" s="707" t="str">
        <f t="shared" si="7"/>
        <v/>
      </c>
      <c r="BB25" s="707" t="str">
        <f t="shared" si="7"/>
        <v/>
      </c>
      <c r="BC25" s="707" t="str">
        <f t="shared" si="7"/>
        <v/>
      </c>
    </row>
    <row r="26" spans="1:55" ht="69.95" hidden="1" customHeight="1" x14ac:dyDescent="0.25">
      <c r="A26" s="972">
        <f t="shared" si="4"/>
        <v>0</v>
      </c>
      <c r="B26" s="4"/>
      <c r="C26" s="258"/>
      <c r="D26" s="4254" t="str">
        <f t="shared" si="8"/>
        <v/>
      </c>
      <c r="E26" s="4254"/>
      <c r="F26" s="3491" t="str">
        <f>IF(dpIncome_RentAdjustment_4="Construction Quality","C - Masonry","C")</f>
        <v>C - Masonry</v>
      </c>
      <c r="G26" s="4276"/>
      <c r="H26" s="4270"/>
      <c r="I26" s="4270"/>
      <c r="J26" s="4270"/>
      <c r="K26" s="4270"/>
      <c r="L26" s="3492" t="str">
        <f t="shared" si="5"/>
        <v/>
      </c>
      <c r="M26" s="4261"/>
      <c r="N26" s="4261"/>
      <c r="O26" s="4263"/>
      <c r="P26" s="3493" t="str">
        <f>IFERROR(L26+M24,"")</f>
        <v/>
      </c>
      <c r="Q26" s="3494"/>
      <c r="R26" s="6"/>
      <c r="T26" s="2100">
        <f t="shared" si="6"/>
        <v>0</v>
      </c>
      <c r="U26" s="707" t="str">
        <f>U16</f>
        <v/>
      </c>
      <c r="V26" s="707"/>
      <c r="W26" s="707">
        <f>IF(dpIncome_RentAdjustment_4="Construction Quality",IF(AND(F26=Subject_ConstructionClass,G$24=Subject_ConstructionQuality),1,0),IF(AND(F26=Subject_InvestmentClass,G$24=Subject_ConstructionQuality),1,0))</f>
        <v>0</v>
      </c>
      <c r="X26" s="707">
        <f>IF(dpIncome_RentAdjustment_4="Construction Quality",IF(OR(ISERROR(HLOOKUP(X$8,'Rent Adjustments'!$G$8:$ZO$142,74,FALSE)),ISERROR(HLOOKUP(X$8,'Rent Adjustments'!$G$8:$ZO$142,75,FALSE))),0,IF(HLOOKUP(X$8,'Rent Adjustments'!$G$8:$ZO$142,74,FALSE)="",0,IF(AND($G24=HLOOKUP(X$8,'Rent Adjustments'!$G$8:$ZO$142,74,FALSE),$F26=HLOOKUP(X$8,'Rent Adjustments'!$G$8:$ZO$142,75,FALSE)),1,0))),IF(OR(ISERROR(HLOOKUP(X$8,'Rent Adjustments'!$G$8:$ZO$142,74,FALSE)),ISERROR(HLOOKUP(X$8,'Rent Adjustments'!$G$8:$ZO$142,76,FALSE))),0,IF(HLOOKUP(X$8,'Rent Adjustments'!$G$8:$ZO$142,74,FALSE)="",0,IF(AND($G24=HLOOKUP(X$8,'Rent Adjustments'!$G$8:$ZO$142,74,FALSE),$F26=HLOOKUP(X$8,'Rent Adjustments'!$G$8:$ZO$142,76,FALSE)),1,0))))</f>
        <v>0</v>
      </c>
      <c r="Y26" s="707">
        <f>IF(dpIncome_RentAdjustment_4="Construction Quality",IF(OR(ISERROR(HLOOKUP(Y$8,'Rent Adjustments'!$G$8:$ZO$142,74,FALSE)),ISERROR(HLOOKUP(Y$8,'Rent Adjustments'!$G$8:$ZO$142,75,FALSE))),0,IF(HLOOKUP(Y$8,'Rent Adjustments'!$G$8:$ZO$142,74,FALSE)="",0,IF(AND($G24=HLOOKUP(Y$8,'Rent Adjustments'!$G$8:$ZO$142,74,FALSE),$F26=HLOOKUP(Y$8,'Rent Adjustments'!$G$8:$ZO$142,75,FALSE)),1,0))),IF(OR(ISERROR(HLOOKUP(Y$8,'Rent Adjustments'!$G$8:$ZO$142,74,FALSE)),ISERROR(HLOOKUP(Y$8,'Rent Adjustments'!$G$8:$ZO$142,76,FALSE))),0,IF(HLOOKUP(Y$8,'Rent Adjustments'!$G$8:$ZO$142,74,FALSE)="",0,IF(AND($G24=HLOOKUP(Y$8,'Rent Adjustments'!$G$8:$ZO$142,74,FALSE),$F26=HLOOKUP(Y$8,'Rent Adjustments'!$G$8:$ZO$142,76,FALSE)),1,0))))</f>
        <v>0</v>
      </c>
      <c r="Z26" s="707">
        <f>IF(dpIncome_RentAdjustment_4="Construction Quality",IF(OR(ISERROR(HLOOKUP(Z$8,'Rent Adjustments'!$G$8:$ZO$142,74,FALSE)),ISERROR(HLOOKUP(Z$8,'Rent Adjustments'!$G$8:$ZO$142,75,FALSE))),0,IF(HLOOKUP(Z$8,'Rent Adjustments'!$G$8:$ZO$142,74,FALSE)="",0,IF(AND($G24=HLOOKUP(Z$8,'Rent Adjustments'!$G$8:$ZO$142,74,FALSE),$F26=HLOOKUP(Z$8,'Rent Adjustments'!$G$8:$ZO$142,75,FALSE)),1,0))),IF(OR(ISERROR(HLOOKUP(Z$8,'Rent Adjustments'!$G$8:$ZO$142,74,FALSE)),ISERROR(HLOOKUP(Z$8,'Rent Adjustments'!$G$8:$ZO$142,76,FALSE))),0,IF(HLOOKUP(Z$8,'Rent Adjustments'!$G$8:$ZO$142,74,FALSE)="",0,IF(AND($G24=HLOOKUP(Z$8,'Rent Adjustments'!$G$8:$ZO$142,74,FALSE),$F26=HLOOKUP(Z$8,'Rent Adjustments'!$G$8:$ZO$142,76,FALSE)),1,0))))</f>
        <v>0</v>
      </c>
      <c r="AA26" s="707">
        <f>IF(dpIncome_RentAdjustment_4="Construction Quality",IF(OR(ISERROR(HLOOKUP(AA$8,'Rent Adjustments'!$G$8:$ZO$142,74,FALSE)),ISERROR(HLOOKUP(AA$8,'Rent Adjustments'!$G$8:$ZO$142,75,FALSE))),0,IF(HLOOKUP(AA$8,'Rent Adjustments'!$G$8:$ZO$142,74,FALSE)="",0,IF(AND($G24=HLOOKUP(AA$8,'Rent Adjustments'!$G$8:$ZO$142,74,FALSE),$F26=HLOOKUP(AA$8,'Rent Adjustments'!$G$8:$ZO$142,75,FALSE)),1,0))),IF(OR(ISERROR(HLOOKUP(AA$8,'Rent Adjustments'!$G$8:$ZO$142,74,FALSE)),ISERROR(HLOOKUP(AA$8,'Rent Adjustments'!$G$8:$ZO$142,76,FALSE))),0,IF(HLOOKUP(AA$8,'Rent Adjustments'!$G$8:$ZO$142,74,FALSE)="",0,IF(AND($G24=HLOOKUP(AA$8,'Rent Adjustments'!$G$8:$ZO$142,74,FALSE),$F26=HLOOKUP(AA$8,'Rent Adjustments'!$G$8:$ZO$142,76,FALSE)),1,0))))</f>
        <v>0</v>
      </c>
      <c r="AB26" s="707">
        <f>IF(dpIncome_RentAdjustment_4="Construction Quality",IF(OR(ISERROR(HLOOKUP(AB$8,'Rent Adjustments'!$G$8:$ZO$142,74,FALSE)),ISERROR(HLOOKUP(AB$8,'Rent Adjustments'!$G$8:$ZO$142,75,FALSE))),0,IF(HLOOKUP(AB$8,'Rent Adjustments'!$G$8:$ZO$142,74,FALSE)="",0,IF(AND($G24=HLOOKUP(AB$8,'Rent Adjustments'!$G$8:$ZO$142,74,FALSE),$F26=HLOOKUP(AB$8,'Rent Adjustments'!$G$8:$ZO$142,75,FALSE)),1,0))),IF(OR(ISERROR(HLOOKUP(AB$8,'Rent Adjustments'!$G$8:$ZO$142,74,FALSE)),ISERROR(HLOOKUP(AB$8,'Rent Adjustments'!$G$8:$ZO$142,76,FALSE))),0,IF(HLOOKUP(AB$8,'Rent Adjustments'!$G$8:$ZO$142,74,FALSE)="",0,IF(AND($G24=HLOOKUP(AB$8,'Rent Adjustments'!$G$8:$ZO$142,74,FALSE),$F26=HLOOKUP(AB$8,'Rent Adjustments'!$G$8:$ZO$142,76,FALSE)),1,0))))</f>
        <v>0</v>
      </c>
      <c r="AC26" s="707">
        <f>IF(dpIncome_RentAdjustment_4="Construction Quality",IF(OR(ISERROR(HLOOKUP(AC$8,'Rent Adjustments'!$G$8:$ZO$142,74,FALSE)),ISERROR(HLOOKUP(AC$8,'Rent Adjustments'!$G$8:$ZO$142,75,FALSE))),0,IF(HLOOKUP(AC$8,'Rent Adjustments'!$G$8:$ZO$142,74,FALSE)="",0,IF(AND($G24=HLOOKUP(AC$8,'Rent Adjustments'!$G$8:$ZO$142,74,FALSE),$F26=HLOOKUP(AC$8,'Rent Adjustments'!$G$8:$ZO$142,75,FALSE)),1,0))),IF(OR(ISERROR(HLOOKUP(AC$8,'Rent Adjustments'!$G$8:$ZO$142,74,FALSE)),ISERROR(HLOOKUP(AC$8,'Rent Adjustments'!$G$8:$ZO$142,76,FALSE))),0,IF(HLOOKUP(AC$8,'Rent Adjustments'!$G$8:$ZO$142,74,FALSE)="",0,IF(AND($G24=HLOOKUP(AC$8,'Rent Adjustments'!$G$8:$ZO$142,74,FALSE),$F26=HLOOKUP(AC$8,'Rent Adjustments'!$G$8:$ZO$142,76,FALSE)),1,0))))</f>
        <v>0</v>
      </c>
      <c r="AD26" s="707">
        <f>IF(dpIncome_RentAdjustment_4="Construction Quality",IF(OR(ISERROR(HLOOKUP(AD$8,'Rent Adjustments'!$G$8:$ZO$142,74,FALSE)),ISERROR(HLOOKUP(AD$8,'Rent Adjustments'!$G$8:$ZO$142,75,FALSE))),0,IF(HLOOKUP(AD$8,'Rent Adjustments'!$G$8:$ZO$142,74,FALSE)="",0,IF(AND($G24=HLOOKUP(AD$8,'Rent Adjustments'!$G$8:$ZO$142,74,FALSE),$F26=HLOOKUP(AD$8,'Rent Adjustments'!$G$8:$ZO$142,75,FALSE)),1,0))),IF(OR(ISERROR(HLOOKUP(AD$8,'Rent Adjustments'!$G$8:$ZO$142,74,FALSE)),ISERROR(HLOOKUP(AD$8,'Rent Adjustments'!$G$8:$ZO$142,76,FALSE))),0,IF(HLOOKUP(AD$8,'Rent Adjustments'!$G$8:$ZO$142,74,FALSE)="",0,IF(AND($G24=HLOOKUP(AD$8,'Rent Adjustments'!$G$8:$ZO$142,74,FALSE),$F26=HLOOKUP(AD$8,'Rent Adjustments'!$G$8:$ZO$142,76,FALSE)),1,0))))</f>
        <v>0</v>
      </c>
      <c r="AE26" s="707">
        <f>IF(dpIncome_RentAdjustment_4="Construction Quality",IF(OR(ISERROR(HLOOKUP(AE$8,'Rent Adjustments'!$G$8:$ZO$142,74,FALSE)),ISERROR(HLOOKUP(AE$8,'Rent Adjustments'!$G$8:$ZO$142,75,FALSE))),0,IF(HLOOKUP(AE$8,'Rent Adjustments'!$G$8:$ZO$142,74,FALSE)="",0,IF(AND($G24=HLOOKUP(AE$8,'Rent Adjustments'!$G$8:$ZO$142,74,FALSE),$F26=HLOOKUP(AE$8,'Rent Adjustments'!$G$8:$ZO$142,75,FALSE)),1,0))),IF(OR(ISERROR(HLOOKUP(AE$8,'Rent Adjustments'!$G$8:$ZO$142,74,FALSE)),ISERROR(HLOOKUP(AE$8,'Rent Adjustments'!$G$8:$ZO$142,76,FALSE))),0,IF(HLOOKUP(AE$8,'Rent Adjustments'!$G$8:$ZO$142,74,FALSE)="",0,IF(AND($G24=HLOOKUP(AE$8,'Rent Adjustments'!$G$8:$ZO$142,74,FALSE),$F26=HLOOKUP(AE$8,'Rent Adjustments'!$G$8:$ZO$142,76,FALSE)),1,0))))</f>
        <v>0</v>
      </c>
      <c r="AF26" s="707">
        <f>IF(dpIncome_RentAdjustment_4="Construction Quality",IF(OR(ISERROR(HLOOKUP(AF$8,'Rent Adjustments'!$G$8:$ZO$142,74,FALSE)),ISERROR(HLOOKUP(AF$8,'Rent Adjustments'!$G$8:$ZO$142,75,FALSE))),0,IF(HLOOKUP(AF$8,'Rent Adjustments'!$G$8:$ZO$142,74,FALSE)="",0,IF(AND($G24=HLOOKUP(AF$8,'Rent Adjustments'!$G$8:$ZO$142,74,FALSE),$F26=HLOOKUP(AF$8,'Rent Adjustments'!$G$8:$ZO$142,75,FALSE)),1,0))),IF(OR(ISERROR(HLOOKUP(AF$8,'Rent Adjustments'!$G$8:$ZO$142,74,FALSE)),ISERROR(HLOOKUP(AF$8,'Rent Adjustments'!$G$8:$ZO$142,76,FALSE))),0,IF(HLOOKUP(AF$8,'Rent Adjustments'!$G$8:$ZO$142,74,FALSE)="",0,IF(AND($G24=HLOOKUP(AF$8,'Rent Adjustments'!$G$8:$ZO$142,74,FALSE),$F26=HLOOKUP(AF$8,'Rent Adjustments'!$G$8:$ZO$142,76,FALSE)),1,0))))</f>
        <v>0</v>
      </c>
      <c r="AG26" s="707">
        <f>IF(dpIncome_RentAdjustment_4="Construction Quality",IF(OR(ISERROR(HLOOKUP(AG$8,'Rent Adjustments'!$G$8:$ZO$142,74,FALSE)),ISERROR(HLOOKUP(AG$8,'Rent Adjustments'!$G$8:$ZO$142,75,FALSE))),0,IF(HLOOKUP(AG$8,'Rent Adjustments'!$G$8:$ZO$142,74,FALSE)="",0,IF(AND($G24=HLOOKUP(AG$8,'Rent Adjustments'!$G$8:$ZO$142,74,FALSE),$F26=HLOOKUP(AG$8,'Rent Adjustments'!$G$8:$ZO$142,75,FALSE)),1,0))),IF(OR(ISERROR(HLOOKUP(AG$8,'Rent Adjustments'!$G$8:$ZO$142,74,FALSE)),ISERROR(HLOOKUP(AG$8,'Rent Adjustments'!$G$8:$ZO$142,76,FALSE))),0,IF(HLOOKUP(AG$8,'Rent Adjustments'!$G$8:$ZO$142,74,FALSE)="",0,IF(AND($G24=HLOOKUP(AG$8,'Rent Adjustments'!$G$8:$ZO$142,74,FALSE),$F26=HLOOKUP(AG$8,'Rent Adjustments'!$G$8:$ZO$142,76,FALSE)),1,0))))</f>
        <v>0</v>
      </c>
      <c r="AH26" s="707">
        <f>SUM(W26:$W26)</f>
        <v>0</v>
      </c>
      <c r="AI26" s="707">
        <f>SUM($W26:X26)</f>
        <v>0</v>
      </c>
      <c r="AJ26" s="707">
        <f>SUM($W26:Y26)</f>
        <v>0</v>
      </c>
      <c r="AK26" s="707">
        <f>SUM($W26:Z26)</f>
        <v>0</v>
      </c>
      <c r="AL26" s="707">
        <f>SUM($W26:AA26)</f>
        <v>0</v>
      </c>
      <c r="AM26" s="707">
        <f>SUM($W26:AB26)</f>
        <v>0</v>
      </c>
      <c r="AN26" s="707">
        <f>SUM($W26:AC26)</f>
        <v>0</v>
      </c>
      <c r="AO26" s="707">
        <f>SUM($W26:AD26)</f>
        <v>0</v>
      </c>
      <c r="AP26" s="707">
        <f>SUM($W26:AE26)</f>
        <v>0</v>
      </c>
      <c r="AQ26" s="707">
        <f>SUM($W26:AF26)</f>
        <v>0</v>
      </c>
      <c r="AR26" s="707">
        <f>SUM($W26:AG26)</f>
        <v>0</v>
      </c>
      <c r="AS26" s="707" t="str">
        <f t="shared" si="7"/>
        <v/>
      </c>
      <c r="AT26" s="707" t="str">
        <f t="shared" si="7"/>
        <v/>
      </c>
      <c r="AU26" s="707" t="str">
        <f t="shared" si="7"/>
        <v/>
      </c>
      <c r="AV26" s="707" t="str">
        <f t="shared" si="7"/>
        <v/>
      </c>
      <c r="AW26" s="707" t="str">
        <f t="shared" si="7"/>
        <v/>
      </c>
      <c r="AX26" s="707" t="str">
        <f t="shared" si="7"/>
        <v/>
      </c>
      <c r="AY26" s="707" t="str">
        <f t="shared" si="7"/>
        <v/>
      </c>
      <c r="AZ26" s="707" t="str">
        <f t="shared" si="7"/>
        <v/>
      </c>
      <c r="BA26" s="707" t="str">
        <f t="shared" si="7"/>
        <v/>
      </c>
      <c r="BB26" s="707" t="str">
        <f t="shared" si="7"/>
        <v/>
      </c>
      <c r="BC26" s="707" t="str">
        <f t="shared" si="7"/>
        <v/>
      </c>
    </row>
    <row r="27" spans="1:55" ht="69.95" hidden="1" customHeight="1" x14ac:dyDescent="0.25">
      <c r="A27" s="972">
        <f t="shared" si="4"/>
        <v>0</v>
      </c>
      <c r="B27" s="4"/>
      <c r="C27" s="258"/>
      <c r="D27" s="4254" t="str">
        <f t="shared" si="8"/>
        <v/>
      </c>
      <c r="E27" s="4254"/>
      <c r="F27" s="3491" t="str">
        <f>IF(dpIncome_RentAdjustment_4="Construction Quality","D - Wood Frame","")</f>
        <v>D - Wood Frame</v>
      </c>
      <c r="G27" s="4276"/>
      <c r="H27" s="4270"/>
      <c r="I27" s="4270"/>
      <c r="J27" s="4270"/>
      <c r="K27" s="4270"/>
      <c r="L27" s="3492" t="str">
        <f t="shared" si="5"/>
        <v/>
      </c>
      <c r="M27" s="4261"/>
      <c r="N27" s="4261"/>
      <c r="O27" s="4263"/>
      <c r="P27" s="3493" t="str">
        <f>IFERROR(L27+M24,"")</f>
        <v/>
      </c>
      <c r="Q27" s="3494"/>
      <c r="R27" s="6"/>
      <c r="T27" s="2100">
        <f t="shared" si="6"/>
        <v>0</v>
      </c>
      <c r="U27" s="707" t="str">
        <f>U17</f>
        <v/>
      </c>
      <c r="V27" s="707"/>
      <c r="W27" s="707">
        <f>IF(dpIncome_RentAdjustment_4="Construction Quality",IF(AND(F27=Subject_ConstructionClass,G$24=Subject_ConstructionQuality),1,0),IF(AND(F27=Subject_InvestmentClass,G$24=Subject_ConstructionQuality),1,0))</f>
        <v>0</v>
      </c>
      <c r="X27" s="707">
        <f>IF(dpIncome_RentAdjustment_4="Construction Quality",IF(OR(ISERROR(HLOOKUP(X$8,'Rent Adjustments'!$G$8:$ZO$142,74,FALSE)),ISERROR(HLOOKUP(X$8,'Rent Adjustments'!$G$8:$ZO$142,75,FALSE))),0,IF(HLOOKUP(X$8,'Rent Adjustments'!$G$8:$ZO$142,74,FALSE)="",0,IF(AND($G24=HLOOKUP(X$8,'Rent Adjustments'!$G$8:$ZO$142,74,FALSE),$F27=HLOOKUP(X$8,'Rent Adjustments'!$G$8:$ZO$142,75,FALSE)),1,0))),IF(OR(ISERROR(HLOOKUP(X$8,'Rent Adjustments'!$G$8:$ZO$142,74,FALSE)),ISERROR(HLOOKUP(X$8,'Rent Adjustments'!$G$8:$ZO$142,76,FALSE))),0,IF(HLOOKUP(X$8,'Rent Adjustments'!$G$8:$ZO$142,74,FALSE)="",0,IF(AND($G24=HLOOKUP(X$8,'Rent Adjustments'!$G$8:$ZO$142,74,FALSE),$F27=HLOOKUP(X$8,'Rent Adjustments'!$G$8:$ZO$142,76,FALSE)),1,0))))</f>
        <v>0</v>
      </c>
      <c r="Y27" s="707">
        <f>IF(dpIncome_RentAdjustment_4="Construction Quality",IF(OR(ISERROR(HLOOKUP(Y$8,'Rent Adjustments'!$G$8:$ZO$142,74,FALSE)),ISERROR(HLOOKUP(Y$8,'Rent Adjustments'!$G$8:$ZO$142,75,FALSE))),0,IF(HLOOKUP(Y$8,'Rent Adjustments'!$G$8:$ZO$142,74,FALSE)="",0,IF(AND($G24=HLOOKUP(Y$8,'Rent Adjustments'!$G$8:$ZO$142,74,FALSE),$F27=HLOOKUP(Y$8,'Rent Adjustments'!$G$8:$ZO$142,75,FALSE)),1,0))),IF(OR(ISERROR(HLOOKUP(Y$8,'Rent Adjustments'!$G$8:$ZO$142,74,FALSE)),ISERROR(HLOOKUP(Y$8,'Rent Adjustments'!$G$8:$ZO$142,76,FALSE))),0,IF(HLOOKUP(Y$8,'Rent Adjustments'!$G$8:$ZO$142,74,FALSE)="",0,IF(AND($G24=HLOOKUP(Y$8,'Rent Adjustments'!$G$8:$ZO$142,74,FALSE),$F27=HLOOKUP(Y$8,'Rent Adjustments'!$G$8:$ZO$142,76,FALSE)),1,0))))</f>
        <v>0</v>
      </c>
      <c r="Z27" s="707">
        <f>IF(dpIncome_RentAdjustment_4="Construction Quality",IF(OR(ISERROR(HLOOKUP(Z$8,'Rent Adjustments'!$G$8:$ZO$142,74,FALSE)),ISERROR(HLOOKUP(Z$8,'Rent Adjustments'!$G$8:$ZO$142,75,FALSE))),0,IF(HLOOKUP(Z$8,'Rent Adjustments'!$G$8:$ZO$142,74,FALSE)="",0,IF(AND($G24=HLOOKUP(Z$8,'Rent Adjustments'!$G$8:$ZO$142,74,FALSE),$F27=HLOOKUP(Z$8,'Rent Adjustments'!$G$8:$ZO$142,75,FALSE)),1,0))),IF(OR(ISERROR(HLOOKUP(Z$8,'Rent Adjustments'!$G$8:$ZO$142,74,FALSE)),ISERROR(HLOOKUP(Z$8,'Rent Adjustments'!$G$8:$ZO$142,76,FALSE))),0,IF(HLOOKUP(Z$8,'Rent Adjustments'!$G$8:$ZO$142,74,FALSE)="",0,IF(AND($G24=HLOOKUP(Z$8,'Rent Adjustments'!$G$8:$ZO$142,74,FALSE),$F27=HLOOKUP(Z$8,'Rent Adjustments'!$G$8:$ZO$142,76,FALSE)),1,0))))</f>
        <v>0</v>
      </c>
      <c r="AA27" s="707">
        <f>IF(dpIncome_RentAdjustment_4="Construction Quality",IF(OR(ISERROR(HLOOKUP(AA$8,'Rent Adjustments'!$G$8:$ZO$142,74,FALSE)),ISERROR(HLOOKUP(AA$8,'Rent Adjustments'!$G$8:$ZO$142,75,FALSE))),0,IF(HLOOKUP(AA$8,'Rent Adjustments'!$G$8:$ZO$142,74,FALSE)="",0,IF(AND($G24=HLOOKUP(AA$8,'Rent Adjustments'!$G$8:$ZO$142,74,FALSE),$F27=HLOOKUP(AA$8,'Rent Adjustments'!$G$8:$ZO$142,75,FALSE)),1,0))),IF(OR(ISERROR(HLOOKUP(AA$8,'Rent Adjustments'!$G$8:$ZO$142,74,FALSE)),ISERROR(HLOOKUP(AA$8,'Rent Adjustments'!$G$8:$ZO$142,76,FALSE))),0,IF(HLOOKUP(AA$8,'Rent Adjustments'!$G$8:$ZO$142,74,FALSE)="",0,IF(AND($G24=HLOOKUP(AA$8,'Rent Adjustments'!$G$8:$ZO$142,74,FALSE),$F27=HLOOKUP(AA$8,'Rent Adjustments'!$G$8:$ZO$142,76,FALSE)),1,0))))</f>
        <v>0</v>
      </c>
      <c r="AB27" s="707">
        <f>IF(dpIncome_RentAdjustment_4="Construction Quality",IF(OR(ISERROR(HLOOKUP(AB$8,'Rent Adjustments'!$G$8:$ZO$142,74,FALSE)),ISERROR(HLOOKUP(AB$8,'Rent Adjustments'!$G$8:$ZO$142,75,FALSE))),0,IF(HLOOKUP(AB$8,'Rent Adjustments'!$G$8:$ZO$142,74,FALSE)="",0,IF(AND($G24=HLOOKUP(AB$8,'Rent Adjustments'!$G$8:$ZO$142,74,FALSE),$F27=HLOOKUP(AB$8,'Rent Adjustments'!$G$8:$ZO$142,75,FALSE)),1,0))),IF(OR(ISERROR(HLOOKUP(AB$8,'Rent Adjustments'!$G$8:$ZO$142,74,FALSE)),ISERROR(HLOOKUP(AB$8,'Rent Adjustments'!$G$8:$ZO$142,76,FALSE))),0,IF(HLOOKUP(AB$8,'Rent Adjustments'!$G$8:$ZO$142,74,FALSE)="",0,IF(AND($G24=HLOOKUP(AB$8,'Rent Adjustments'!$G$8:$ZO$142,74,FALSE),$F27=HLOOKUP(AB$8,'Rent Adjustments'!$G$8:$ZO$142,76,FALSE)),1,0))))</f>
        <v>0</v>
      </c>
      <c r="AC27" s="707">
        <f>IF(dpIncome_RentAdjustment_4="Construction Quality",IF(OR(ISERROR(HLOOKUP(AC$8,'Rent Adjustments'!$G$8:$ZO$142,74,FALSE)),ISERROR(HLOOKUP(AC$8,'Rent Adjustments'!$G$8:$ZO$142,75,FALSE))),0,IF(HLOOKUP(AC$8,'Rent Adjustments'!$G$8:$ZO$142,74,FALSE)="",0,IF(AND($G24=HLOOKUP(AC$8,'Rent Adjustments'!$G$8:$ZO$142,74,FALSE),$F27=HLOOKUP(AC$8,'Rent Adjustments'!$G$8:$ZO$142,75,FALSE)),1,0))),IF(OR(ISERROR(HLOOKUP(AC$8,'Rent Adjustments'!$G$8:$ZO$142,74,FALSE)),ISERROR(HLOOKUP(AC$8,'Rent Adjustments'!$G$8:$ZO$142,76,FALSE))),0,IF(HLOOKUP(AC$8,'Rent Adjustments'!$G$8:$ZO$142,74,FALSE)="",0,IF(AND($G24=HLOOKUP(AC$8,'Rent Adjustments'!$G$8:$ZO$142,74,FALSE),$F27=HLOOKUP(AC$8,'Rent Adjustments'!$G$8:$ZO$142,76,FALSE)),1,0))))</f>
        <v>0</v>
      </c>
      <c r="AD27" s="707">
        <f>IF(dpIncome_RentAdjustment_4="Construction Quality",IF(OR(ISERROR(HLOOKUP(AD$8,'Rent Adjustments'!$G$8:$ZO$142,74,FALSE)),ISERROR(HLOOKUP(AD$8,'Rent Adjustments'!$G$8:$ZO$142,75,FALSE))),0,IF(HLOOKUP(AD$8,'Rent Adjustments'!$G$8:$ZO$142,74,FALSE)="",0,IF(AND($G24=HLOOKUP(AD$8,'Rent Adjustments'!$G$8:$ZO$142,74,FALSE),$F27=HLOOKUP(AD$8,'Rent Adjustments'!$G$8:$ZO$142,75,FALSE)),1,0))),IF(OR(ISERROR(HLOOKUP(AD$8,'Rent Adjustments'!$G$8:$ZO$142,74,FALSE)),ISERROR(HLOOKUP(AD$8,'Rent Adjustments'!$G$8:$ZO$142,76,FALSE))),0,IF(HLOOKUP(AD$8,'Rent Adjustments'!$G$8:$ZO$142,74,FALSE)="",0,IF(AND($G24=HLOOKUP(AD$8,'Rent Adjustments'!$G$8:$ZO$142,74,FALSE),$F27=HLOOKUP(AD$8,'Rent Adjustments'!$G$8:$ZO$142,76,FALSE)),1,0))))</f>
        <v>0</v>
      </c>
      <c r="AE27" s="707">
        <f>IF(dpIncome_RentAdjustment_4="Construction Quality",IF(OR(ISERROR(HLOOKUP(AE$8,'Rent Adjustments'!$G$8:$ZO$142,74,FALSE)),ISERROR(HLOOKUP(AE$8,'Rent Adjustments'!$G$8:$ZO$142,75,FALSE))),0,IF(HLOOKUP(AE$8,'Rent Adjustments'!$G$8:$ZO$142,74,FALSE)="",0,IF(AND($G24=HLOOKUP(AE$8,'Rent Adjustments'!$G$8:$ZO$142,74,FALSE),$F27=HLOOKUP(AE$8,'Rent Adjustments'!$G$8:$ZO$142,75,FALSE)),1,0))),IF(OR(ISERROR(HLOOKUP(AE$8,'Rent Adjustments'!$G$8:$ZO$142,74,FALSE)),ISERROR(HLOOKUP(AE$8,'Rent Adjustments'!$G$8:$ZO$142,76,FALSE))),0,IF(HLOOKUP(AE$8,'Rent Adjustments'!$G$8:$ZO$142,74,FALSE)="",0,IF(AND($G24=HLOOKUP(AE$8,'Rent Adjustments'!$G$8:$ZO$142,74,FALSE),$F27=HLOOKUP(AE$8,'Rent Adjustments'!$G$8:$ZO$142,76,FALSE)),1,0))))</f>
        <v>0</v>
      </c>
      <c r="AF27" s="707">
        <f>IF(dpIncome_RentAdjustment_4="Construction Quality",IF(OR(ISERROR(HLOOKUP(AF$8,'Rent Adjustments'!$G$8:$ZO$142,74,FALSE)),ISERROR(HLOOKUP(AF$8,'Rent Adjustments'!$G$8:$ZO$142,75,FALSE))),0,IF(HLOOKUP(AF$8,'Rent Adjustments'!$G$8:$ZO$142,74,FALSE)="",0,IF(AND($G24=HLOOKUP(AF$8,'Rent Adjustments'!$G$8:$ZO$142,74,FALSE),$F27=HLOOKUP(AF$8,'Rent Adjustments'!$G$8:$ZO$142,75,FALSE)),1,0))),IF(OR(ISERROR(HLOOKUP(AF$8,'Rent Adjustments'!$G$8:$ZO$142,74,FALSE)),ISERROR(HLOOKUP(AF$8,'Rent Adjustments'!$G$8:$ZO$142,76,FALSE))),0,IF(HLOOKUP(AF$8,'Rent Adjustments'!$G$8:$ZO$142,74,FALSE)="",0,IF(AND($G24=HLOOKUP(AF$8,'Rent Adjustments'!$G$8:$ZO$142,74,FALSE),$F27=HLOOKUP(AF$8,'Rent Adjustments'!$G$8:$ZO$142,76,FALSE)),1,0))))</f>
        <v>0</v>
      </c>
      <c r="AG27" s="707">
        <f>IF(dpIncome_RentAdjustment_4="Construction Quality",IF(OR(ISERROR(HLOOKUP(AG$8,'Rent Adjustments'!$G$8:$ZO$142,74,FALSE)),ISERROR(HLOOKUP(AG$8,'Rent Adjustments'!$G$8:$ZO$142,75,FALSE))),0,IF(HLOOKUP(AG$8,'Rent Adjustments'!$G$8:$ZO$142,74,FALSE)="",0,IF(AND($G24=HLOOKUP(AG$8,'Rent Adjustments'!$G$8:$ZO$142,74,FALSE),$F27=HLOOKUP(AG$8,'Rent Adjustments'!$G$8:$ZO$142,75,FALSE)),1,0))),IF(OR(ISERROR(HLOOKUP(AG$8,'Rent Adjustments'!$G$8:$ZO$142,74,FALSE)),ISERROR(HLOOKUP(AG$8,'Rent Adjustments'!$G$8:$ZO$142,76,FALSE))),0,IF(HLOOKUP(AG$8,'Rent Adjustments'!$G$8:$ZO$142,74,FALSE)="",0,IF(AND($G24=HLOOKUP(AG$8,'Rent Adjustments'!$G$8:$ZO$142,74,FALSE),$F27=HLOOKUP(AG$8,'Rent Adjustments'!$G$8:$ZO$142,76,FALSE)),1,0))))</f>
        <v>0</v>
      </c>
      <c r="AH27" s="707">
        <f>SUM(W27:$W27)</f>
        <v>0</v>
      </c>
      <c r="AI27" s="707">
        <f>SUM($W27:X27)</f>
        <v>0</v>
      </c>
      <c r="AJ27" s="707">
        <f>SUM($W27:Y27)</f>
        <v>0</v>
      </c>
      <c r="AK27" s="707">
        <f>SUM($W27:Z27)</f>
        <v>0</v>
      </c>
      <c r="AL27" s="707">
        <f>SUM($W27:AA27)</f>
        <v>0</v>
      </c>
      <c r="AM27" s="707">
        <f>SUM($W27:AB27)</f>
        <v>0</v>
      </c>
      <c r="AN27" s="707">
        <f>SUM($W27:AC27)</f>
        <v>0</v>
      </c>
      <c r="AO27" s="707">
        <f>SUM($W27:AD27)</f>
        <v>0</v>
      </c>
      <c r="AP27" s="707">
        <f>SUM($W27:AE27)</f>
        <v>0</v>
      </c>
      <c r="AQ27" s="707">
        <f>SUM($W27:AF27)</f>
        <v>0</v>
      </c>
      <c r="AR27" s="707">
        <f>SUM($W27:AG27)</f>
        <v>0</v>
      </c>
      <c r="AS27" s="707" t="str">
        <f t="shared" si="7"/>
        <v/>
      </c>
      <c r="AT27" s="707" t="str">
        <f t="shared" si="7"/>
        <v/>
      </c>
      <c r="AU27" s="707" t="str">
        <f t="shared" si="7"/>
        <v/>
      </c>
      <c r="AV27" s="707" t="str">
        <f t="shared" si="7"/>
        <v/>
      </c>
      <c r="AW27" s="707" t="str">
        <f t="shared" si="7"/>
        <v/>
      </c>
      <c r="AX27" s="707" t="str">
        <f t="shared" si="7"/>
        <v/>
      </c>
      <c r="AY27" s="707" t="str">
        <f t="shared" si="7"/>
        <v/>
      </c>
      <c r="AZ27" s="707" t="str">
        <f t="shared" si="7"/>
        <v/>
      </c>
      <c r="BA27" s="707" t="str">
        <f t="shared" si="7"/>
        <v/>
      </c>
      <c r="BB27" s="707" t="str">
        <f t="shared" si="7"/>
        <v/>
      </c>
      <c r="BC27" s="707" t="str">
        <f t="shared" si="7"/>
        <v/>
      </c>
    </row>
    <row r="28" spans="1:55" ht="69.95" hidden="1" customHeight="1" x14ac:dyDescent="0.25">
      <c r="A28" s="972">
        <f t="shared" si="4"/>
        <v>0</v>
      </c>
      <c r="B28" s="4"/>
      <c r="C28" s="258"/>
      <c r="D28" s="4265" t="str">
        <f t="shared" si="8"/>
        <v/>
      </c>
      <c r="E28" s="4265"/>
      <c r="F28" s="3495" t="str">
        <f>IF(dpIncome_RentAdjustment_4="Construction Quality","S - Steel Frame","")</f>
        <v>S - Steel Frame</v>
      </c>
      <c r="G28" s="4276"/>
      <c r="H28" s="4271"/>
      <c r="I28" s="4271"/>
      <c r="J28" s="4271"/>
      <c r="K28" s="4271"/>
      <c r="L28" s="3496" t="str">
        <f t="shared" si="5"/>
        <v/>
      </c>
      <c r="M28" s="4262"/>
      <c r="N28" s="4262"/>
      <c r="O28" s="4264"/>
      <c r="P28" s="3497" t="str">
        <f>IFERROR(L28+M24,"")</f>
        <v/>
      </c>
      <c r="Q28" s="3494"/>
      <c r="R28" s="6"/>
      <c r="T28" s="2090">
        <f t="shared" si="6"/>
        <v>0</v>
      </c>
      <c r="U28" s="2089" t="str">
        <f>U18</f>
        <v/>
      </c>
      <c r="V28" s="2089"/>
      <c r="W28" s="2089">
        <f>IF(dpIncome_RentAdjustment_4="Construction Quality",IF(AND(F28=Subject_ConstructionClass,G$24=Subject_ConstructionQuality),1,0),IF(AND(F28=Subject_InvestmentClass,G$24=Subject_ConstructionQuality),1,0))</f>
        <v>0</v>
      </c>
      <c r="X28" s="2089">
        <f>IF(dpIncome_RentAdjustment_4="Construction Quality",IF(OR(ISERROR(HLOOKUP(X$8,'Rent Adjustments'!$G$8:$ZO$142,74,FALSE)),ISERROR(HLOOKUP(X$8,'Rent Adjustments'!$G$8:$ZO$142,75,FALSE))),0,IF(HLOOKUP(X$8,'Rent Adjustments'!$G$8:$ZO$142,74,FALSE)="",0,IF(AND($G24=HLOOKUP(X$8,'Rent Adjustments'!$G$8:$ZO$142,74,FALSE),$F28=HLOOKUP(X$8,'Rent Adjustments'!$G$8:$ZO$142,75,FALSE)),1,0))),IF(OR(ISERROR(HLOOKUP(X$8,'Rent Adjustments'!$G$8:$ZO$142,74,FALSE)),ISERROR(HLOOKUP(X$8,'Rent Adjustments'!$G$8:$ZO$142,76,FALSE))),0,IF(HLOOKUP(X$8,'Rent Adjustments'!$G$8:$ZO$142,74,FALSE)="",0,IF(AND($G24=HLOOKUP(X$8,'Rent Adjustments'!$G$8:$ZO$142,74,FALSE),$F28=HLOOKUP(X$8,'Rent Adjustments'!$G$8:$ZO$142,76,FALSE)),1,0))))</f>
        <v>0</v>
      </c>
      <c r="Y28" s="2089">
        <f>IF(dpIncome_RentAdjustment_4="Construction Quality",IF(OR(ISERROR(HLOOKUP(Y$8,'Rent Adjustments'!$G$8:$ZO$142,74,FALSE)),ISERROR(HLOOKUP(Y$8,'Rent Adjustments'!$G$8:$ZO$142,75,FALSE))),0,IF(HLOOKUP(Y$8,'Rent Adjustments'!$G$8:$ZO$142,74,FALSE)="",0,IF(AND($G24=HLOOKUP(Y$8,'Rent Adjustments'!$G$8:$ZO$142,74,FALSE),$F28=HLOOKUP(Y$8,'Rent Adjustments'!$G$8:$ZO$142,75,FALSE)),1,0))),IF(OR(ISERROR(HLOOKUP(Y$8,'Rent Adjustments'!$G$8:$ZO$142,74,FALSE)),ISERROR(HLOOKUP(Y$8,'Rent Adjustments'!$G$8:$ZO$142,76,FALSE))),0,IF(HLOOKUP(Y$8,'Rent Adjustments'!$G$8:$ZO$142,74,FALSE)="",0,IF(AND($G24=HLOOKUP(Y$8,'Rent Adjustments'!$G$8:$ZO$142,74,FALSE),$F28=HLOOKUP(Y$8,'Rent Adjustments'!$G$8:$ZO$142,76,FALSE)),1,0))))</f>
        <v>0</v>
      </c>
      <c r="Z28" s="2089">
        <f>IF(dpIncome_RentAdjustment_4="Construction Quality",IF(OR(ISERROR(HLOOKUP(Z$8,'Rent Adjustments'!$G$8:$ZO$142,74,FALSE)),ISERROR(HLOOKUP(Z$8,'Rent Adjustments'!$G$8:$ZO$142,75,FALSE))),0,IF(HLOOKUP(Z$8,'Rent Adjustments'!$G$8:$ZO$142,74,FALSE)="",0,IF(AND($G24=HLOOKUP(Z$8,'Rent Adjustments'!$G$8:$ZO$142,74,FALSE),$F28=HLOOKUP(Z$8,'Rent Adjustments'!$G$8:$ZO$142,75,FALSE)),1,0))),IF(OR(ISERROR(HLOOKUP(Z$8,'Rent Adjustments'!$G$8:$ZO$142,74,FALSE)),ISERROR(HLOOKUP(Z$8,'Rent Adjustments'!$G$8:$ZO$142,76,FALSE))),0,IF(HLOOKUP(Z$8,'Rent Adjustments'!$G$8:$ZO$142,74,FALSE)="",0,IF(AND($G24=HLOOKUP(Z$8,'Rent Adjustments'!$G$8:$ZO$142,74,FALSE),$F28=HLOOKUP(Z$8,'Rent Adjustments'!$G$8:$ZO$142,76,FALSE)),1,0))))</f>
        <v>0</v>
      </c>
      <c r="AA28" s="2089">
        <f>IF(dpIncome_RentAdjustment_4="Construction Quality",IF(OR(ISERROR(HLOOKUP(AA$8,'Rent Adjustments'!$G$8:$ZO$142,74,FALSE)),ISERROR(HLOOKUP(AA$8,'Rent Adjustments'!$G$8:$ZO$142,75,FALSE))),0,IF(HLOOKUP(AA$8,'Rent Adjustments'!$G$8:$ZO$142,74,FALSE)="",0,IF(AND($G24=HLOOKUP(AA$8,'Rent Adjustments'!$G$8:$ZO$142,74,FALSE),$F28=HLOOKUP(AA$8,'Rent Adjustments'!$G$8:$ZO$142,75,FALSE)),1,0))),IF(OR(ISERROR(HLOOKUP(AA$8,'Rent Adjustments'!$G$8:$ZO$142,74,FALSE)),ISERROR(HLOOKUP(AA$8,'Rent Adjustments'!$G$8:$ZO$142,76,FALSE))),0,IF(HLOOKUP(AA$8,'Rent Adjustments'!$G$8:$ZO$142,74,FALSE)="",0,IF(AND($G24=HLOOKUP(AA$8,'Rent Adjustments'!$G$8:$ZO$142,74,FALSE),$F28=HLOOKUP(AA$8,'Rent Adjustments'!$G$8:$ZO$142,76,FALSE)),1,0))))</f>
        <v>0</v>
      </c>
      <c r="AB28" s="2089">
        <f>IF(dpIncome_RentAdjustment_4="Construction Quality",IF(OR(ISERROR(HLOOKUP(AB$8,'Rent Adjustments'!$G$8:$ZO$142,74,FALSE)),ISERROR(HLOOKUP(AB$8,'Rent Adjustments'!$G$8:$ZO$142,75,FALSE))),0,IF(HLOOKUP(AB$8,'Rent Adjustments'!$G$8:$ZO$142,74,FALSE)="",0,IF(AND($G24=HLOOKUP(AB$8,'Rent Adjustments'!$G$8:$ZO$142,74,FALSE),$F28=HLOOKUP(AB$8,'Rent Adjustments'!$G$8:$ZO$142,75,FALSE)),1,0))),IF(OR(ISERROR(HLOOKUP(AB$8,'Rent Adjustments'!$G$8:$ZO$142,74,FALSE)),ISERROR(HLOOKUP(AB$8,'Rent Adjustments'!$G$8:$ZO$142,76,FALSE))),0,IF(HLOOKUP(AB$8,'Rent Adjustments'!$G$8:$ZO$142,74,FALSE)="",0,IF(AND($G24=HLOOKUP(AB$8,'Rent Adjustments'!$G$8:$ZO$142,74,FALSE),$F28=HLOOKUP(AB$8,'Rent Adjustments'!$G$8:$ZO$142,76,FALSE)),1,0))))</f>
        <v>0</v>
      </c>
      <c r="AC28" s="2089">
        <f>IF(dpIncome_RentAdjustment_4="Construction Quality",IF(OR(ISERROR(HLOOKUP(AC$8,'Rent Adjustments'!$G$8:$ZO$142,74,FALSE)),ISERROR(HLOOKUP(AC$8,'Rent Adjustments'!$G$8:$ZO$142,75,FALSE))),0,IF(HLOOKUP(AC$8,'Rent Adjustments'!$G$8:$ZO$142,74,FALSE)="",0,IF(AND($G24=HLOOKUP(AC$8,'Rent Adjustments'!$G$8:$ZO$142,74,FALSE),$F28=HLOOKUP(AC$8,'Rent Adjustments'!$G$8:$ZO$142,75,FALSE)),1,0))),IF(OR(ISERROR(HLOOKUP(AC$8,'Rent Adjustments'!$G$8:$ZO$142,74,FALSE)),ISERROR(HLOOKUP(AC$8,'Rent Adjustments'!$G$8:$ZO$142,76,FALSE))),0,IF(HLOOKUP(AC$8,'Rent Adjustments'!$G$8:$ZO$142,74,FALSE)="",0,IF(AND($G24=HLOOKUP(AC$8,'Rent Adjustments'!$G$8:$ZO$142,74,FALSE),$F28=HLOOKUP(AC$8,'Rent Adjustments'!$G$8:$ZO$142,76,FALSE)),1,0))))</f>
        <v>0</v>
      </c>
      <c r="AD28" s="2089">
        <f>IF(dpIncome_RentAdjustment_4="Construction Quality",IF(OR(ISERROR(HLOOKUP(AD$8,'Rent Adjustments'!$G$8:$ZO$142,74,FALSE)),ISERROR(HLOOKUP(AD$8,'Rent Adjustments'!$G$8:$ZO$142,75,FALSE))),0,IF(HLOOKUP(AD$8,'Rent Adjustments'!$G$8:$ZO$142,74,FALSE)="",0,IF(AND($G24=HLOOKUP(AD$8,'Rent Adjustments'!$G$8:$ZO$142,74,FALSE),$F28=HLOOKUP(AD$8,'Rent Adjustments'!$G$8:$ZO$142,75,FALSE)),1,0))),IF(OR(ISERROR(HLOOKUP(AD$8,'Rent Adjustments'!$G$8:$ZO$142,74,FALSE)),ISERROR(HLOOKUP(AD$8,'Rent Adjustments'!$G$8:$ZO$142,76,FALSE))),0,IF(HLOOKUP(AD$8,'Rent Adjustments'!$G$8:$ZO$142,74,FALSE)="",0,IF(AND($G24=HLOOKUP(AD$8,'Rent Adjustments'!$G$8:$ZO$142,74,FALSE),$F28=HLOOKUP(AD$8,'Rent Adjustments'!$G$8:$ZO$142,76,FALSE)),1,0))))</f>
        <v>0</v>
      </c>
      <c r="AE28" s="2089">
        <f>IF(dpIncome_RentAdjustment_4="Construction Quality",IF(OR(ISERROR(HLOOKUP(AE$8,'Rent Adjustments'!$G$8:$ZO$142,74,FALSE)),ISERROR(HLOOKUP(AE$8,'Rent Adjustments'!$G$8:$ZO$142,75,FALSE))),0,IF(HLOOKUP(AE$8,'Rent Adjustments'!$G$8:$ZO$142,74,FALSE)="",0,IF(AND($G24=HLOOKUP(AE$8,'Rent Adjustments'!$G$8:$ZO$142,74,FALSE),$F28=HLOOKUP(AE$8,'Rent Adjustments'!$G$8:$ZO$142,75,FALSE)),1,0))),IF(OR(ISERROR(HLOOKUP(AE$8,'Rent Adjustments'!$G$8:$ZO$142,74,FALSE)),ISERROR(HLOOKUP(AE$8,'Rent Adjustments'!$G$8:$ZO$142,76,FALSE))),0,IF(HLOOKUP(AE$8,'Rent Adjustments'!$G$8:$ZO$142,74,FALSE)="",0,IF(AND($G24=HLOOKUP(AE$8,'Rent Adjustments'!$G$8:$ZO$142,74,FALSE),$F28=HLOOKUP(AE$8,'Rent Adjustments'!$G$8:$ZO$142,76,FALSE)),1,0))))</f>
        <v>0</v>
      </c>
      <c r="AF28" s="2089">
        <f>IF(dpIncome_RentAdjustment_4="Construction Quality",IF(OR(ISERROR(HLOOKUP(AF$8,'Rent Adjustments'!$G$8:$ZO$142,74,FALSE)),ISERROR(HLOOKUP(AF$8,'Rent Adjustments'!$G$8:$ZO$142,75,FALSE))),0,IF(HLOOKUP(AF$8,'Rent Adjustments'!$G$8:$ZO$142,74,FALSE)="",0,IF(AND($G24=HLOOKUP(AF$8,'Rent Adjustments'!$G$8:$ZO$142,74,FALSE),$F28=HLOOKUP(AF$8,'Rent Adjustments'!$G$8:$ZO$142,75,FALSE)),1,0))),IF(OR(ISERROR(HLOOKUP(AF$8,'Rent Adjustments'!$G$8:$ZO$142,74,FALSE)),ISERROR(HLOOKUP(AF$8,'Rent Adjustments'!$G$8:$ZO$142,76,FALSE))),0,IF(HLOOKUP(AF$8,'Rent Adjustments'!$G$8:$ZO$142,74,FALSE)="",0,IF(AND($G24=HLOOKUP(AF$8,'Rent Adjustments'!$G$8:$ZO$142,74,FALSE),$F28=HLOOKUP(AF$8,'Rent Adjustments'!$G$8:$ZO$142,76,FALSE)),1,0))))</f>
        <v>0</v>
      </c>
      <c r="AG28" s="2089">
        <f>IF(dpIncome_RentAdjustment_4="Construction Quality",IF(OR(ISERROR(HLOOKUP(AG$8,'Rent Adjustments'!$G$8:$ZO$142,74,FALSE)),ISERROR(HLOOKUP(AG$8,'Rent Adjustments'!$G$8:$ZO$142,75,FALSE))),0,IF(HLOOKUP(AG$8,'Rent Adjustments'!$G$8:$ZO$142,74,FALSE)="",0,IF(AND($G24=HLOOKUP(AG$8,'Rent Adjustments'!$G$8:$ZO$142,74,FALSE),$F28=HLOOKUP(AG$8,'Rent Adjustments'!$G$8:$ZO$142,75,FALSE)),1,0))),IF(OR(ISERROR(HLOOKUP(AG$8,'Rent Adjustments'!$G$8:$ZO$142,74,FALSE)),ISERROR(HLOOKUP(AG$8,'Rent Adjustments'!$G$8:$ZO$142,76,FALSE))),0,IF(HLOOKUP(AG$8,'Rent Adjustments'!$G$8:$ZO$142,74,FALSE)="",0,IF(AND($G24=HLOOKUP(AG$8,'Rent Adjustments'!$G$8:$ZO$142,74,FALSE),$F28=HLOOKUP(AG$8,'Rent Adjustments'!$G$8:$ZO$142,76,FALSE)),1,0))))</f>
        <v>0</v>
      </c>
      <c r="AH28" s="2089">
        <f>SUM(W28:$W28)</f>
        <v>0</v>
      </c>
      <c r="AI28" s="2089">
        <f>SUM($W28:X28)</f>
        <v>0</v>
      </c>
      <c r="AJ28" s="2089">
        <f>SUM($W28:Y28)</f>
        <v>0</v>
      </c>
      <c r="AK28" s="2089">
        <f>SUM($W28:Z28)</f>
        <v>0</v>
      </c>
      <c r="AL28" s="2089">
        <f>SUM($W28:AA28)</f>
        <v>0</v>
      </c>
      <c r="AM28" s="2089">
        <f>SUM($W28:AB28)</f>
        <v>0</v>
      </c>
      <c r="AN28" s="2089">
        <f>SUM($W28:AC28)</f>
        <v>0</v>
      </c>
      <c r="AO28" s="2089">
        <f>SUM($W28:AD28)</f>
        <v>0</v>
      </c>
      <c r="AP28" s="2089">
        <f>SUM($W28:AE28)</f>
        <v>0</v>
      </c>
      <c r="AQ28" s="2089">
        <f>SUM($W28:AF28)</f>
        <v>0</v>
      </c>
      <c r="AR28" s="2089">
        <f>SUM($W28:AG28)</f>
        <v>0</v>
      </c>
      <c r="AS28" s="2089" t="str">
        <f t="shared" si="7"/>
        <v/>
      </c>
      <c r="AT28" s="2089" t="str">
        <f t="shared" si="7"/>
        <v/>
      </c>
      <c r="AU28" s="2089" t="str">
        <f t="shared" si="7"/>
        <v/>
      </c>
      <c r="AV28" s="2089" t="str">
        <f t="shared" si="7"/>
        <v/>
      </c>
      <c r="AW28" s="2089" t="str">
        <f t="shared" si="7"/>
        <v/>
      </c>
      <c r="AX28" s="2089" t="str">
        <f t="shared" si="7"/>
        <v/>
      </c>
      <c r="AY28" s="2089" t="str">
        <f t="shared" si="7"/>
        <v/>
      </c>
      <c r="AZ28" s="2089" t="str">
        <f t="shared" si="7"/>
        <v/>
      </c>
      <c r="BA28" s="2089" t="str">
        <f t="shared" si="7"/>
        <v/>
      </c>
      <c r="BB28" s="2089" t="str">
        <f t="shared" si="7"/>
        <v/>
      </c>
      <c r="BC28" s="2089" t="str">
        <f t="shared" si="7"/>
        <v/>
      </c>
    </row>
    <row r="29" spans="1:55" ht="69.95" hidden="1" customHeight="1" x14ac:dyDescent="0.25">
      <c r="A29" s="972">
        <f t="shared" si="4"/>
        <v>0</v>
      </c>
      <c r="B29" s="4"/>
      <c r="C29" s="258"/>
      <c r="D29" s="4254" t="str">
        <f t="shared" si="8"/>
        <v/>
      </c>
      <c r="E29" s="4254"/>
      <c r="F29" s="3491" t="str">
        <f>IF(dpIncome_RentAdjustment_4="Construction Quality","A - Structural Steel","A")</f>
        <v>A - Structural Steel</v>
      </c>
      <c r="G29" s="4255" t="s">
        <v>1841</v>
      </c>
      <c r="H29" s="4258" t="s">
        <v>1845</v>
      </c>
      <c r="I29" s="4258"/>
      <c r="J29" s="4258"/>
      <c r="K29" s="4258"/>
      <c r="L29" s="3492" t="str">
        <f t="shared" si="5"/>
        <v/>
      </c>
      <c r="M29" s="4261">
        <f>dpIncome_Rent_Quality_RatingAdj*V29</f>
        <v>-0.30000000000000004</v>
      </c>
      <c r="N29" s="4261"/>
      <c r="O29" s="4263" t="s">
        <v>177</v>
      </c>
      <c r="P29" s="3493" t="str">
        <f>IFERROR(L29+M29,"")</f>
        <v/>
      </c>
      <c r="Q29" s="3494"/>
      <c r="R29" s="6"/>
      <c r="T29" s="2100">
        <f t="shared" si="6"/>
        <v>0</v>
      </c>
      <c r="U29" s="707" t="str">
        <f t="shared" si="9"/>
        <v/>
      </c>
      <c r="V29" s="707">
        <f>IF(SUM(W29:W33)=1,0,IF(SUM(W$9:W29)=0,V34-1,V24+1))</f>
        <v>-3</v>
      </c>
      <c r="W29" s="707">
        <f>IF(dpIncome_RentAdjustment_4="Construction Quality",IF(AND(F29=Subject_ConstructionClass,G$29=Subject_ConstructionQuality),1,0),IF(AND(F29=Subject_InvestmentClass,G$29=Subject_ConstructionQuality),1,0))</f>
        <v>0</v>
      </c>
      <c r="X29" s="707">
        <f>IF(dpIncome_RentAdjustment_4="Construction Quality",IF(OR(ISERROR(HLOOKUP(X$8,'Rent Adjustments'!$G$8:$ZO$142,74,FALSE)),ISERROR(HLOOKUP(X$8,'Rent Adjustments'!$G$8:$ZO$142,75,FALSE))),0,IF(HLOOKUP(X$8,'Rent Adjustments'!$G$8:$ZO$142,74,FALSE)="",0,IF(AND($G29=HLOOKUP(X$8,'Rent Adjustments'!$G$8:$ZO$142,74,FALSE),$F29=HLOOKUP(X$8,'Rent Adjustments'!$G$8:$ZO$142,75,FALSE)),1,0))),IF(OR(ISERROR(HLOOKUP(X$8,'Rent Adjustments'!$G$8:$ZO$142,74,FALSE)),ISERROR(HLOOKUP(X$8,'Rent Adjustments'!$G$8:$ZO$142,76,FALSE))),0,IF(HLOOKUP(X$8,'Rent Adjustments'!$G$8:$ZO$142,74,FALSE)="",0,IF(AND($G29=HLOOKUP(X$8,'Rent Adjustments'!$G$8:$ZO$142,74,FALSE),$F29=HLOOKUP(X$8,'Rent Adjustments'!$G$8:$ZO$142,76,FALSE)),1,0))))</f>
        <v>0</v>
      </c>
      <c r="Y29" s="707">
        <f>IF(dpIncome_RentAdjustment_4="Construction Quality",IF(OR(ISERROR(HLOOKUP(Y$8,'Rent Adjustments'!$G$8:$ZO$142,74,FALSE)),ISERROR(HLOOKUP(Y$8,'Rent Adjustments'!$G$8:$ZO$142,75,FALSE))),0,IF(HLOOKUP(Y$8,'Rent Adjustments'!$G$8:$ZO$142,74,FALSE)="",0,IF(AND($G29=HLOOKUP(Y$8,'Rent Adjustments'!$G$8:$ZO$142,74,FALSE),$F29=HLOOKUP(Y$8,'Rent Adjustments'!$G$8:$ZO$142,75,FALSE)),1,0))),IF(OR(ISERROR(HLOOKUP(Y$8,'Rent Adjustments'!$G$8:$ZO$142,74,FALSE)),ISERROR(HLOOKUP(Y$8,'Rent Adjustments'!$G$8:$ZO$142,76,FALSE))),0,IF(HLOOKUP(Y$8,'Rent Adjustments'!$G$8:$ZO$142,74,FALSE)="",0,IF(AND($G29=HLOOKUP(Y$8,'Rent Adjustments'!$G$8:$ZO$142,74,FALSE),$F29=HLOOKUP(Y$8,'Rent Adjustments'!$G$8:$ZO$142,76,FALSE)),1,0))))</f>
        <v>0</v>
      </c>
      <c r="Z29" s="707">
        <f>IF(dpIncome_RentAdjustment_4="Construction Quality",IF(OR(ISERROR(HLOOKUP(Z$8,'Rent Adjustments'!$G$8:$ZO$142,74,FALSE)),ISERROR(HLOOKUP(Z$8,'Rent Adjustments'!$G$8:$ZO$142,75,FALSE))),0,IF(HLOOKUP(Z$8,'Rent Adjustments'!$G$8:$ZO$142,74,FALSE)="",0,IF(AND($G29=HLOOKUP(Z$8,'Rent Adjustments'!$G$8:$ZO$142,74,FALSE),$F29=HLOOKUP(Z$8,'Rent Adjustments'!$G$8:$ZO$142,75,FALSE)),1,0))),IF(OR(ISERROR(HLOOKUP(Z$8,'Rent Adjustments'!$G$8:$ZO$142,74,FALSE)),ISERROR(HLOOKUP(Z$8,'Rent Adjustments'!$G$8:$ZO$142,76,FALSE))),0,IF(HLOOKUP(Z$8,'Rent Adjustments'!$G$8:$ZO$142,74,FALSE)="",0,IF(AND($G29=HLOOKUP(Z$8,'Rent Adjustments'!$G$8:$ZO$142,74,FALSE),$F29=HLOOKUP(Z$8,'Rent Adjustments'!$G$8:$ZO$142,76,FALSE)),1,0))))</f>
        <v>0</v>
      </c>
      <c r="AA29" s="707">
        <f>IF(dpIncome_RentAdjustment_4="Construction Quality",IF(OR(ISERROR(HLOOKUP(AA$8,'Rent Adjustments'!$G$8:$ZO$142,74,FALSE)),ISERROR(HLOOKUP(AA$8,'Rent Adjustments'!$G$8:$ZO$142,75,FALSE))),0,IF(HLOOKUP(AA$8,'Rent Adjustments'!$G$8:$ZO$142,74,FALSE)="",0,IF(AND($G29=HLOOKUP(AA$8,'Rent Adjustments'!$G$8:$ZO$142,74,FALSE),$F29=HLOOKUP(AA$8,'Rent Adjustments'!$G$8:$ZO$142,75,FALSE)),1,0))),IF(OR(ISERROR(HLOOKUP(AA$8,'Rent Adjustments'!$G$8:$ZO$142,74,FALSE)),ISERROR(HLOOKUP(AA$8,'Rent Adjustments'!$G$8:$ZO$142,76,FALSE))),0,IF(HLOOKUP(AA$8,'Rent Adjustments'!$G$8:$ZO$142,74,FALSE)="",0,IF(AND($G29=HLOOKUP(AA$8,'Rent Adjustments'!$G$8:$ZO$142,74,FALSE),$F29=HLOOKUP(AA$8,'Rent Adjustments'!$G$8:$ZO$142,76,FALSE)),1,0))))</f>
        <v>0</v>
      </c>
      <c r="AB29" s="707">
        <f>IF(dpIncome_RentAdjustment_4="Construction Quality",IF(OR(ISERROR(HLOOKUP(AB$8,'Rent Adjustments'!$G$8:$ZO$142,74,FALSE)),ISERROR(HLOOKUP(AB$8,'Rent Adjustments'!$G$8:$ZO$142,75,FALSE))),0,IF(HLOOKUP(AB$8,'Rent Adjustments'!$G$8:$ZO$142,74,FALSE)="",0,IF(AND($G29=HLOOKUP(AB$8,'Rent Adjustments'!$G$8:$ZO$142,74,FALSE),$F29=HLOOKUP(AB$8,'Rent Adjustments'!$G$8:$ZO$142,75,FALSE)),1,0))),IF(OR(ISERROR(HLOOKUP(AB$8,'Rent Adjustments'!$G$8:$ZO$142,74,FALSE)),ISERROR(HLOOKUP(AB$8,'Rent Adjustments'!$G$8:$ZO$142,76,FALSE))),0,IF(HLOOKUP(AB$8,'Rent Adjustments'!$G$8:$ZO$142,74,FALSE)="",0,IF(AND($G29=HLOOKUP(AB$8,'Rent Adjustments'!$G$8:$ZO$142,74,FALSE),$F29=HLOOKUP(AB$8,'Rent Adjustments'!$G$8:$ZO$142,76,FALSE)),1,0))))</f>
        <v>0</v>
      </c>
      <c r="AC29" s="707">
        <f>IF(dpIncome_RentAdjustment_4="Construction Quality",IF(OR(ISERROR(HLOOKUP(AC$8,'Rent Adjustments'!$G$8:$ZO$142,74,FALSE)),ISERROR(HLOOKUP(AC$8,'Rent Adjustments'!$G$8:$ZO$142,75,FALSE))),0,IF(HLOOKUP(AC$8,'Rent Adjustments'!$G$8:$ZO$142,74,FALSE)="",0,IF(AND($G29=HLOOKUP(AC$8,'Rent Adjustments'!$G$8:$ZO$142,74,FALSE),$F29=HLOOKUP(AC$8,'Rent Adjustments'!$G$8:$ZO$142,75,FALSE)),1,0))),IF(OR(ISERROR(HLOOKUP(AC$8,'Rent Adjustments'!$G$8:$ZO$142,74,FALSE)),ISERROR(HLOOKUP(AC$8,'Rent Adjustments'!$G$8:$ZO$142,76,FALSE))),0,IF(HLOOKUP(AC$8,'Rent Adjustments'!$G$8:$ZO$142,74,FALSE)="",0,IF(AND($G29=HLOOKUP(AC$8,'Rent Adjustments'!$G$8:$ZO$142,74,FALSE),$F29=HLOOKUP(AC$8,'Rent Adjustments'!$G$8:$ZO$142,76,FALSE)),1,0))))</f>
        <v>0</v>
      </c>
      <c r="AD29" s="707">
        <f>IF(dpIncome_RentAdjustment_4="Construction Quality",IF(OR(ISERROR(HLOOKUP(AD$8,'Rent Adjustments'!$G$8:$ZO$142,74,FALSE)),ISERROR(HLOOKUP(AD$8,'Rent Adjustments'!$G$8:$ZO$142,75,FALSE))),0,IF(HLOOKUP(AD$8,'Rent Adjustments'!$G$8:$ZO$142,74,FALSE)="",0,IF(AND($G29=HLOOKUP(AD$8,'Rent Adjustments'!$G$8:$ZO$142,74,FALSE),$F29=HLOOKUP(AD$8,'Rent Adjustments'!$G$8:$ZO$142,75,FALSE)),1,0))),IF(OR(ISERROR(HLOOKUP(AD$8,'Rent Adjustments'!$G$8:$ZO$142,74,FALSE)),ISERROR(HLOOKUP(AD$8,'Rent Adjustments'!$G$8:$ZO$142,76,FALSE))),0,IF(HLOOKUP(AD$8,'Rent Adjustments'!$G$8:$ZO$142,74,FALSE)="",0,IF(AND($G29=HLOOKUP(AD$8,'Rent Adjustments'!$G$8:$ZO$142,74,FALSE),$F29=HLOOKUP(AD$8,'Rent Adjustments'!$G$8:$ZO$142,76,FALSE)),1,0))))</f>
        <v>0</v>
      </c>
      <c r="AE29" s="707">
        <f>IF(dpIncome_RentAdjustment_4="Construction Quality",IF(OR(ISERROR(HLOOKUP(AE$8,'Rent Adjustments'!$G$8:$ZO$142,74,FALSE)),ISERROR(HLOOKUP(AE$8,'Rent Adjustments'!$G$8:$ZO$142,75,FALSE))),0,IF(HLOOKUP(AE$8,'Rent Adjustments'!$G$8:$ZO$142,74,FALSE)="",0,IF(AND($G29=HLOOKUP(AE$8,'Rent Adjustments'!$G$8:$ZO$142,74,FALSE),$F29=HLOOKUP(AE$8,'Rent Adjustments'!$G$8:$ZO$142,75,FALSE)),1,0))),IF(OR(ISERROR(HLOOKUP(AE$8,'Rent Adjustments'!$G$8:$ZO$142,74,FALSE)),ISERROR(HLOOKUP(AE$8,'Rent Adjustments'!$G$8:$ZO$142,76,FALSE))),0,IF(HLOOKUP(AE$8,'Rent Adjustments'!$G$8:$ZO$142,74,FALSE)="",0,IF(AND($G29=HLOOKUP(AE$8,'Rent Adjustments'!$G$8:$ZO$142,74,FALSE),$F29=HLOOKUP(AE$8,'Rent Adjustments'!$G$8:$ZO$142,76,FALSE)),1,0))))</f>
        <v>0</v>
      </c>
      <c r="AF29" s="707">
        <f>IF(dpIncome_RentAdjustment_4="Construction Quality",IF(OR(ISERROR(HLOOKUP(AF$8,'Rent Adjustments'!$G$8:$ZO$142,74,FALSE)),ISERROR(HLOOKUP(AF$8,'Rent Adjustments'!$G$8:$ZO$142,75,FALSE))),0,IF(HLOOKUP(AF$8,'Rent Adjustments'!$G$8:$ZO$142,74,FALSE)="",0,IF(AND($G29=HLOOKUP(AF$8,'Rent Adjustments'!$G$8:$ZO$142,74,FALSE),$F29=HLOOKUP(AF$8,'Rent Adjustments'!$G$8:$ZO$142,75,FALSE)),1,0))),IF(OR(ISERROR(HLOOKUP(AF$8,'Rent Adjustments'!$G$8:$ZO$142,74,FALSE)),ISERROR(HLOOKUP(AF$8,'Rent Adjustments'!$G$8:$ZO$142,76,FALSE))),0,IF(HLOOKUP(AF$8,'Rent Adjustments'!$G$8:$ZO$142,74,FALSE)="",0,IF(AND($G29=HLOOKUP(AF$8,'Rent Adjustments'!$G$8:$ZO$142,74,FALSE),$F29=HLOOKUP(AF$8,'Rent Adjustments'!$G$8:$ZO$142,76,FALSE)),1,0))))</f>
        <v>0</v>
      </c>
      <c r="AG29" s="707">
        <f>IF(dpIncome_RentAdjustment_4="Construction Quality",IF(OR(ISERROR(HLOOKUP(AG$8,'Rent Adjustments'!$G$8:$ZO$142,74,FALSE)),ISERROR(HLOOKUP(AG$8,'Rent Adjustments'!$G$8:$ZO$142,75,FALSE))),0,IF(HLOOKUP(AG$8,'Rent Adjustments'!$G$8:$ZO$142,74,FALSE)="",0,IF(AND($G29=HLOOKUP(AG$8,'Rent Adjustments'!$G$8:$ZO$142,74,FALSE),$F29=HLOOKUP(AG$8,'Rent Adjustments'!$G$8:$ZO$142,75,FALSE)),1,0))),IF(OR(ISERROR(HLOOKUP(AG$8,'Rent Adjustments'!$G$8:$ZO$142,74,FALSE)),ISERROR(HLOOKUP(AG$8,'Rent Adjustments'!$G$8:$ZO$142,76,FALSE))),0,IF(HLOOKUP(AG$8,'Rent Adjustments'!$G$8:$ZO$142,74,FALSE)="",0,IF(AND($G29=HLOOKUP(AG$8,'Rent Adjustments'!$G$8:$ZO$142,74,FALSE),$F29=HLOOKUP(AG$8,'Rent Adjustments'!$G$8:$ZO$142,76,FALSE)),1,0))))</f>
        <v>0</v>
      </c>
      <c r="AH29" s="707">
        <f>SUM(W29:$W29)</f>
        <v>0</v>
      </c>
      <c r="AI29" s="707">
        <f>SUM($W29:X29)</f>
        <v>0</v>
      </c>
      <c r="AJ29" s="707">
        <f>SUM($W29:Y29)</f>
        <v>0</v>
      </c>
      <c r="AK29" s="707">
        <f>SUM($W29:Z29)</f>
        <v>0</v>
      </c>
      <c r="AL29" s="707">
        <f>SUM($W29:AA29)</f>
        <v>0</v>
      </c>
      <c r="AM29" s="707">
        <f>SUM($W29:AB29)</f>
        <v>0</v>
      </c>
      <c r="AN29" s="707">
        <f>SUM($W29:AC29)</f>
        <v>0</v>
      </c>
      <c r="AO29" s="707">
        <f>SUM($W29:AD29)</f>
        <v>0</v>
      </c>
      <c r="AP29" s="707">
        <f>SUM($W29:AE29)</f>
        <v>0</v>
      </c>
      <c r="AQ29" s="707">
        <f>SUM($W29:AF29)</f>
        <v>0</v>
      </c>
      <c r="AR29" s="707">
        <f>SUM($W29:AG29)</f>
        <v>0</v>
      </c>
      <c r="AS29" s="707" t="str">
        <f t="shared" si="7"/>
        <v/>
      </c>
      <c r="AT29" s="707" t="str">
        <f t="shared" si="7"/>
        <v/>
      </c>
      <c r="AU29" s="707" t="str">
        <f t="shared" si="7"/>
        <v/>
      </c>
      <c r="AV29" s="707" t="str">
        <f t="shared" si="7"/>
        <v/>
      </c>
      <c r="AW29" s="707" t="str">
        <f t="shared" si="7"/>
        <v/>
      </c>
      <c r="AX29" s="707" t="str">
        <f t="shared" si="7"/>
        <v/>
      </c>
      <c r="AY29" s="707" t="str">
        <f t="shared" si="7"/>
        <v/>
      </c>
      <c r="AZ29" s="707" t="str">
        <f t="shared" si="7"/>
        <v/>
      </c>
      <c r="BA29" s="707" t="str">
        <f t="shared" si="7"/>
        <v/>
      </c>
      <c r="BB29" s="707" t="str">
        <f t="shared" si="7"/>
        <v/>
      </c>
      <c r="BC29" s="707" t="str">
        <f t="shared" si="7"/>
        <v/>
      </c>
    </row>
    <row r="30" spans="1:55" ht="69.95" hidden="1" customHeight="1" x14ac:dyDescent="0.25">
      <c r="A30" s="972">
        <f t="shared" si="4"/>
        <v>0</v>
      </c>
      <c r="B30" s="4"/>
      <c r="C30" s="258"/>
      <c r="D30" s="4254" t="str">
        <f t="shared" si="8"/>
        <v/>
      </c>
      <c r="E30" s="4254"/>
      <c r="F30" s="3491" t="str">
        <f>IF(dpIncome_RentAdjustment_4="Construction Quality","B - Reinforced Concrete","B")</f>
        <v>B - Reinforced Concrete</v>
      </c>
      <c r="G30" s="4256"/>
      <c r="H30" s="4259"/>
      <c r="I30" s="4259"/>
      <c r="J30" s="4259"/>
      <c r="K30" s="4259"/>
      <c r="L30" s="3492" t="str">
        <f t="shared" si="5"/>
        <v/>
      </c>
      <c r="M30" s="4261"/>
      <c r="N30" s="4261"/>
      <c r="O30" s="4263"/>
      <c r="P30" s="3493" t="str">
        <f>IFERROR(L30+M29,"")</f>
        <v/>
      </c>
      <c r="Q30" s="3494"/>
      <c r="R30" s="6"/>
      <c r="T30" s="2100">
        <f t="shared" si="6"/>
        <v>0</v>
      </c>
      <c r="U30" s="707" t="str">
        <f t="shared" si="9"/>
        <v/>
      </c>
      <c r="V30" s="707"/>
      <c r="W30" s="707">
        <f>IF(dpIncome_RentAdjustment_4="Construction Quality",IF(AND(F30=Subject_ConstructionClass,G$29=Subject_ConstructionQuality),1,0),IF(AND(F30=Subject_InvestmentClass,G$29=Subject_ConstructionQuality),1,0))</f>
        <v>0</v>
      </c>
      <c r="X30" s="707">
        <f>IF(dpIncome_RentAdjustment_4="Construction Quality",IF(OR(ISERROR(HLOOKUP(X$8,'Rent Adjustments'!$G$8:$ZO$142,74,FALSE)),ISERROR(HLOOKUP(X$8,'Rent Adjustments'!$G$8:$ZO$142,75,FALSE))),0,IF(HLOOKUP(X$8,'Rent Adjustments'!$G$8:$ZO$142,74,FALSE)="",0,IF(AND($G29=HLOOKUP(X$8,'Rent Adjustments'!$G$8:$ZO$142,74,FALSE),$F30=HLOOKUP(X$8,'Rent Adjustments'!$G$8:$ZO$142,75,FALSE)),1,0))),IF(OR(ISERROR(HLOOKUP(X$8,'Rent Adjustments'!$G$8:$ZO$142,74,FALSE)),ISERROR(HLOOKUP(X$8,'Rent Adjustments'!$G$8:$ZO$142,76,FALSE))),0,IF(HLOOKUP(X$8,'Rent Adjustments'!$G$8:$ZO$142,74,FALSE)="",0,IF(AND($G29=HLOOKUP(X$8,'Rent Adjustments'!$G$8:$ZO$142,74,FALSE),$F30=HLOOKUP(X$8,'Rent Adjustments'!$G$8:$ZO$142,76,FALSE)),1,0))))</f>
        <v>0</v>
      </c>
      <c r="Y30" s="707">
        <f>IF(dpIncome_RentAdjustment_4="Construction Quality",IF(OR(ISERROR(HLOOKUP(Y$8,'Rent Adjustments'!$G$8:$ZO$142,74,FALSE)),ISERROR(HLOOKUP(Y$8,'Rent Adjustments'!$G$8:$ZO$142,75,FALSE))),0,IF(HLOOKUP(Y$8,'Rent Adjustments'!$G$8:$ZO$142,74,FALSE)="",0,IF(AND($G29=HLOOKUP(Y$8,'Rent Adjustments'!$G$8:$ZO$142,74,FALSE),$F30=HLOOKUP(Y$8,'Rent Adjustments'!$G$8:$ZO$142,75,FALSE)),1,0))),IF(OR(ISERROR(HLOOKUP(Y$8,'Rent Adjustments'!$G$8:$ZO$142,74,FALSE)),ISERROR(HLOOKUP(Y$8,'Rent Adjustments'!$G$8:$ZO$142,76,FALSE))),0,IF(HLOOKUP(Y$8,'Rent Adjustments'!$G$8:$ZO$142,74,FALSE)="",0,IF(AND($G29=HLOOKUP(Y$8,'Rent Adjustments'!$G$8:$ZO$142,74,FALSE),$F30=HLOOKUP(Y$8,'Rent Adjustments'!$G$8:$ZO$142,76,FALSE)),1,0))))</f>
        <v>0</v>
      </c>
      <c r="Z30" s="707">
        <f>IF(dpIncome_RentAdjustment_4="Construction Quality",IF(OR(ISERROR(HLOOKUP(Z$8,'Rent Adjustments'!$G$8:$ZO$142,74,FALSE)),ISERROR(HLOOKUP(Z$8,'Rent Adjustments'!$G$8:$ZO$142,75,FALSE))),0,IF(HLOOKUP(Z$8,'Rent Adjustments'!$G$8:$ZO$142,74,FALSE)="",0,IF(AND($G29=HLOOKUP(Z$8,'Rent Adjustments'!$G$8:$ZO$142,74,FALSE),$F30=HLOOKUP(Z$8,'Rent Adjustments'!$G$8:$ZO$142,75,FALSE)),1,0))),IF(OR(ISERROR(HLOOKUP(Z$8,'Rent Adjustments'!$G$8:$ZO$142,74,FALSE)),ISERROR(HLOOKUP(Z$8,'Rent Adjustments'!$G$8:$ZO$142,76,FALSE))),0,IF(HLOOKUP(Z$8,'Rent Adjustments'!$G$8:$ZO$142,74,FALSE)="",0,IF(AND($G29=HLOOKUP(Z$8,'Rent Adjustments'!$G$8:$ZO$142,74,FALSE),$F30=HLOOKUP(Z$8,'Rent Adjustments'!$G$8:$ZO$142,76,FALSE)),1,0))))</f>
        <v>0</v>
      </c>
      <c r="AA30" s="707">
        <f>IF(dpIncome_RentAdjustment_4="Construction Quality",IF(OR(ISERROR(HLOOKUP(AA$8,'Rent Adjustments'!$G$8:$ZO$142,74,FALSE)),ISERROR(HLOOKUP(AA$8,'Rent Adjustments'!$G$8:$ZO$142,75,FALSE))),0,IF(HLOOKUP(AA$8,'Rent Adjustments'!$G$8:$ZO$142,74,FALSE)="",0,IF(AND($G29=HLOOKUP(AA$8,'Rent Adjustments'!$G$8:$ZO$142,74,FALSE),$F30=HLOOKUP(AA$8,'Rent Adjustments'!$G$8:$ZO$142,75,FALSE)),1,0))),IF(OR(ISERROR(HLOOKUP(AA$8,'Rent Adjustments'!$G$8:$ZO$142,74,FALSE)),ISERROR(HLOOKUP(AA$8,'Rent Adjustments'!$G$8:$ZO$142,76,FALSE))),0,IF(HLOOKUP(AA$8,'Rent Adjustments'!$G$8:$ZO$142,74,FALSE)="",0,IF(AND($G29=HLOOKUP(AA$8,'Rent Adjustments'!$G$8:$ZO$142,74,FALSE),$F30=HLOOKUP(AA$8,'Rent Adjustments'!$G$8:$ZO$142,76,FALSE)),1,0))))</f>
        <v>0</v>
      </c>
      <c r="AB30" s="707">
        <f>IF(dpIncome_RentAdjustment_4="Construction Quality",IF(OR(ISERROR(HLOOKUP(AB$8,'Rent Adjustments'!$G$8:$ZO$142,74,FALSE)),ISERROR(HLOOKUP(AB$8,'Rent Adjustments'!$G$8:$ZO$142,75,FALSE))),0,IF(HLOOKUP(AB$8,'Rent Adjustments'!$G$8:$ZO$142,74,FALSE)="",0,IF(AND($G29=HLOOKUP(AB$8,'Rent Adjustments'!$G$8:$ZO$142,74,FALSE),$F30=HLOOKUP(AB$8,'Rent Adjustments'!$G$8:$ZO$142,75,FALSE)),1,0))),IF(OR(ISERROR(HLOOKUP(AB$8,'Rent Adjustments'!$G$8:$ZO$142,74,FALSE)),ISERROR(HLOOKUP(AB$8,'Rent Adjustments'!$G$8:$ZO$142,76,FALSE))),0,IF(HLOOKUP(AB$8,'Rent Adjustments'!$G$8:$ZO$142,74,FALSE)="",0,IF(AND($G29=HLOOKUP(AB$8,'Rent Adjustments'!$G$8:$ZO$142,74,FALSE),$F30=HLOOKUP(AB$8,'Rent Adjustments'!$G$8:$ZO$142,76,FALSE)),1,0))))</f>
        <v>0</v>
      </c>
      <c r="AC30" s="707">
        <f>IF(dpIncome_RentAdjustment_4="Construction Quality",IF(OR(ISERROR(HLOOKUP(AC$8,'Rent Adjustments'!$G$8:$ZO$142,74,FALSE)),ISERROR(HLOOKUP(AC$8,'Rent Adjustments'!$G$8:$ZO$142,75,FALSE))),0,IF(HLOOKUP(AC$8,'Rent Adjustments'!$G$8:$ZO$142,74,FALSE)="",0,IF(AND($G29=HLOOKUP(AC$8,'Rent Adjustments'!$G$8:$ZO$142,74,FALSE),$F30=HLOOKUP(AC$8,'Rent Adjustments'!$G$8:$ZO$142,75,FALSE)),1,0))),IF(OR(ISERROR(HLOOKUP(AC$8,'Rent Adjustments'!$G$8:$ZO$142,74,FALSE)),ISERROR(HLOOKUP(AC$8,'Rent Adjustments'!$G$8:$ZO$142,76,FALSE))),0,IF(HLOOKUP(AC$8,'Rent Adjustments'!$G$8:$ZO$142,74,FALSE)="",0,IF(AND($G29=HLOOKUP(AC$8,'Rent Adjustments'!$G$8:$ZO$142,74,FALSE),$F30=HLOOKUP(AC$8,'Rent Adjustments'!$G$8:$ZO$142,76,FALSE)),1,0))))</f>
        <v>0</v>
      </c>
      <c r="AD30" s="707">
        <f>IF(dpIncome_RentAdjustment_4="Construction Quality",IF(OR(ISERROR(HLOOKUP(AD$8,'Rent Adjustments'!$G$8:$ZO$142,74,FALSE)),ISERROR(HLOOKUP(AD$8,'Rent Adjustments'!$G$8:$ZO$142,75,FALSE))),0,IF(HLOOKUP(AD$8,'Rent Adjustments'!$G$8:$ZO$142,74,FALSE)="",0,IF(AND($G29=HLOOKUP(AD$8,'Rent Adjustments'!$G$8:$ZO$142,74,FALSE),$F30=HLOOKUP(AD$8,'Rent Adjustments'!$G$8:$ZO$142,75,FALSE)),1,0))),IF(OR(ISERROR(HLOOKUP(AD$8,'Rent Adjustments'!$G$8:$ZO$142,74,FALSE)),ISERROR(HLOOKUP(AD$8,'Rent Adjustments'!$G$8:$ZO$142,76,FALSE))),0,IF(HLOOKUP(AD$8,'Rent Adjustments'!$G$8:$ZO$142,74,FALSE)="",0,IF(AND($G29=HLOOKUP(AD$8,'Rent Adjustments'!$G$8:$ZO$142,74,FALSE),$F30=HLOOKUP(AD$8,'Rent Adjustments'!$G$8:$ZO$142,76,FALSE)),1,0))))</f>
        <v>0</v>
      </c>
      <c r="AE30" s="707">
        <f>IF(dpIncome_RentAdjustment_4="Construction Quality",IF(OR(ISERROR(HLOOKUP(AE$8,'Rent Adjustments'!$G$8:$ZO$142,74,FALSE)),ISERROR(HLOOKUP(AE$8,'Rent Adjustments'!$G$8:$ZO$142,75,FALSE))),0,IF(HLOOKUP(AE$8,'Rent Adjustments'!$G$8:$ZO$142,74,FALSE)="",0,IF(AND($G29=HLOOKUP(AE$8,'Rent Adjustments'!$G$8:$ZO$142,74,FALSE),$F30=HLOOKUP(AE$8,'Rent Adjustments'!$G$8:$ZO$142,75,FALSE)),1,0))),IF(OR(ISERROR(HLOOKUP(AE$8,'Rent Adjustments'!$G$8:$ZO$142,74,FALSE)),ISERROR(HLOOKUP(AE$8,'Rent Adjustments'!$G$8:$ZO$142,76,FALSE))),0,IF(HLOOKUP(AE$8,'Rent Adjustments'!$G$8:$ZO$142,74,FALSE)="",0,IF(AND($G29=HLOOKUP(AE$8,'Rent Adjustments'!$G$8:$ZO$142,74,FALSE),$F30=HLOOKUP(AE$8,'Rent Adjustments'!$G$8:$ZO$142,76,FALSE)),1,0))))</f>
        <v>0</v>
      </c>
      <c r="AF30" s="707">
        <f>IF(dpIncome_RentAdjustment_4="Construction Quality",IF(OR(ISERROR(HLOOKUP(AF$8,'Rent Adjustments'!$G$8:$ZO$142,74,FALSE)),ISERROR(HLOOKUP(AF$8,'Rent Adjustments'!$G$8:$ZO$142,75,FALSE))),0,IF(HLOOKUP(AF$8,'Rent Adjustments'!$G$8:$ZO$142,74,FALSE)="",0,IF(AND($G29=HLOOKUP(AF$8,'Rent Adjustments'!$G$8:$ZO$142,74,FALSE),$F30=HLOOKUP(AF$8,'Rent Adjustments'!$G$8:$ZO$142,75,FALSE)),1,0))),IF(OR(ISERROR(HLOOKUP(AF$8,'Rent Adjustments'!$G$8:$ZO$142,74,FALSE)),ISERROR(HLOOKUP(AF$8,'Rent Adjustments'!$G$8:$ZO$142,76,FALSE))),0,IF(HLOOKUP(AF$8,'Rent Adjustments'!$G$8:$ZO$142,74,FALSE)="",0,IF(AND($G29=HLOOKUP(AF$8,'Rent Adjustments'!$G$8:$ZO$142,74,FALSE),$F30=HLOOKUP(AF$8,'Rent Adjustments'!$G$8:$ZO$142,76,FALSE)),1,0))))</f>
        <v>0</v>
      </c>
      <c r="AG30" s="707">
        <f>IF(dpIncome_RentAdjustment_4="Construction Quality",IF(OR(ISERROR(HLOOKUP(AG$8,'Rent Adjustments'!$G$8:$ZO$142,74,FALSE)),ISERROR(HLOOKUP(AG$8,'Rent Adjustments'!$G$8:$ZO$142,75,FALSE))),0,IF(HLOOKUP(AG$8,'Rent Adjustments'!$G$8:$ZO$142,74,FALSE)="",0,IF(AND($G29=HLOOKUP(AG$8,'Rent Adjustments'!$G$8:$ZO$142,74,FALSE),$F30=HLOOKUP(AG$8,'Rent Adjustments'!$G$8:$ZO$142,75,FALSE)),1,0))),IF(OR(ISERROR(HLOOKUP(AG$8,'Rent Adjustments'!$G$8:$ZO$142,74,FALSE)),ISERROR(HLOOKUP(AG$8,'Rent Adjustments'!$G$8:$ZO$142,76,FALSE))),0,IF(HLOOKUP(AG$8,'Rent Adjustments'!$G$8:$ZO$142,74,FALSE)="",0,IF(AND($G29=HLOOKUP(AG$8,'Rent Adjustments'!$G$8:$ZO$142,74,FALSE),$F30=HLOOKUP(AG$8,'Rent Adjustments'!$G$8:$ZO$142,76,FALSE)),1,0))))</f>
        <v>0</v>
      </c>
      <c r="AH30" s="707">
        <f>SUM(W30:$W30)</f>
        <v>0</v>
      </c>
      <c r="AI30" s="707">
        <f>SUM($W30:X30)</f>
        <v>0</v>
      </c>
      <c r="AJ30" s="707">
        <f>SUM($W30:Y30)</f>
        <v>0</v>
      </c>
      <c r="AK30" s="707">
        <f>SUM($W30:Z30)</f>
        <v>0</v>
      </c>
      <c r="AL30" s="707">
        <f>SUM($W30:AA30)</f>
        <v>0</v>
      </c>
      <c r="AM30" s="707">
        <f>SUM($W30:AB30)</f>
        <v>0</v>
      </c>
      <c r="AN30" s="707">
        <f>SUM($W30:AC30)</f>
        <v>0</v>
      </c>
      <c r="AO30" s="707">
        <f>SUM($W30:AD30)</f>
        <v>0</v>
      </c>
      <c r="AP30" s="707">
        <f>SUM($W30:AE30)</f>
        <v>0</v>
      </c>
      <c r="AQ30" s="707">
        <f>SUM($W30:AF30)</f>
        <v>0</v>
      </c>
      <c r="AR30" s="707">
        <f>SUM($W30:AG30)</f>
        <v>0</v>
      </c>
      <c r="AS30" s="707" t="str">
        <f t="shared" ref="AS30:BC43" si="11">IF(W30=1,IF(AND(AH30=$AR30,$AR30&gt;1),IF($AR30&lt;3,CONCATENATE(" and ",AS$7),CONCATENATE("and ",AS$7)),IF($AR30&lt;3,AS$7,CONCATENATE(AS$7,", "))),"")</f>
        <v/>
      </c>
      <c r="AT30" s="707" t="str">
        <f t="shared" si="11"/>
        <v/>
      </c>
      <c r="AU30" s="707" t="str">
        <f t="shared" si="11"/>
        <v/>
      </c>
      <c r="AV30" s="707" t="str">
        <f t="shared" si="11"/>
        <v/>
      </c>
      <c r="AW30" s="707" t="str">
        <f t="shared" si="11"/>
        <v/>
      </c>
      <c r="AX30" s="707" t="str">
        <f t="shared" si="11"/>
        <v/>
      </c>
      <c r="AY30" s="707" t="str">
        <f t="shared" si="11"/>
        <v/>
      </c>
      <c r="AZ30" s="707" t="str">
        <f t="shared" si="11"/>
        <v/>
      </c>
      <c r="BA30" s="707" t="str">
        <f t="shared" si="11"/>
        <v/>
      </c>
      <c r="BB30" s="707" t="str">
        <f t="shared" si="11"/>
        <v/>
      </c>
      <c r="BC30" s="707" t="str">
        <f t="shared" si="11"/>
        <v/>
      </c>
    </row>
    <row r="31" spans="1:55" ht="69.95" hidden="1" customHeight="1" x14ac:dyDescent="0.25">
      <c r="A31" s="972">
        <f t="shared" si="4"/>
        <v>0</v>
      </c>
      <c r="B31" s="4"/>
      <c r="C31" s="258"/>
      <c r="D31" s="4254" t="str">
        <f t="shared" si="8"/>
        <v/>
      </c>
      <c r="E31" s="4254"/>
      <c r="F31" s="3491" t="str">
        <f>IF(dpIncome_RentAdjustment_4="Construction Quality","C - Masonry","C")</f>
        <v>C - Masonry</v>
      </c>
      <c r="G31" s="4256"/>
      <c r="H31" s="4259"/>
      <c r="I31" s="4259"/>
      <c r="J31" s="4259"/>
      <c r="K31" s="4259"/>
      <c r="L31" s="3492" t="str">
        <f t="shared" si="5"/>
        <v/>
      </c>
      <c r="M31" s="4261"/>
      <c r="N31" s="4261"/>
      <c r="O31" s="4263"/>
      <c r="P31" s="3493" t="str">
        <f>IFERROR(L31+M29,"")</f>
        <v/>
      </c>
      <c r="Q31" s="3494"/>
      <c r="R31" s="6"/>
      <c r="T31" s="2100">
        <f t="shared" si="6"/>
        <v>0</v>
      </c>
      <c r="U31" s="707" t="str">
        <f t="shared" si="9"/>
        <v/>
      </c>
      <c r="V31" s="707"/>
      <c r="W31" s="707">
        <f>IF(dpIncome_RentAdjustment_4="Construction Quality",IF(AND(F31=Subject_ConstructionClass,G$29=Subject_ConstructionQuality),1,0),IF(AND(F31=Subject_InvestmentClass,G$29=Subject_ConstructionQuality),1,0))</f>
        <v>0</v>
      </c>
      <c r="X31" s="707">
        <f>IF(dpIncome_RentAdjustment_4="Construction Quality",IF(OR(ISERROR(HLOOKUP(X$8,'Rent Adjustments'!$G$8:$ZO$142,74,FALSE)),ISERROR(HLOOKUP(X$8,'Rent Adjustments'!$G$8:$ZO$142,75,FALSE))),0,IF(HLOOKUP(X$8,'Rent Adjustments'!$G$8:$ZO$142,74,FALSE)="",0,IF(AND($G29=HLOOKUP(X$8,'Rent Adjustments'!$G$8:$ZO$142,74,FALSE),$F31=HLOOKUP(X$8,'Rent Adjustments'!$G$8:$ZO$142,75,FALSE)),1,0))),IF(OR(ISERROR(HLOOKUP(X$8,'Rent Adjustments'!$G$8:$ZO$142,74,FALSE)),ISERROR(HLOOKUP(X$8,'Rent Adjustments'!$G$8:$ZO$142,76,FALSE))),0,IF(HLOOKUP(X$8,'Rent Adjustments'!$G$8:$ZO$142,74,FALSE)="",0,IF(AND($G29=HLOOKUP(X$8,'Rent Adjustments'!$G$8:$ZO$142,74,FALSE),$F31=HLOOKUP(X$8,'Rent Adjustments'!$G$8:$ZO$142,76,FALSE)),1,0))))</f>
        <v>0</v>
      </c>
      <c r="Y31" s="707">
        <f>IF(dpIncome_RentAdjustment_4="Construction Quality",IF(OR(ISERROR(HLOOKUP(Y$8,'Rent Adjustments'!$G$8:$ZO$142,74,FALSE)),ISERROR(HLOOKUP(Y$8,'Rent Adjustments'!$G$8:$ZO$142,75,FALSE))),0,IF(HLOOKUP(Y$8,'Rent Adjustments'!$G$8:$ZO$142,74,FALSE)="",0,IF(AND($G29=HLOOKUP(Y$8,'Rent Adjustments'!$G$8:$ZO$142,74,FALSE),$F31=HLOOKUP(Y$8,'Rent Adjustments'!$G$8:$ZO$142,75,FALSE)),1,0))),IF(OR(ISERROR(HLOOKUP(Y$8,'Rent Adjustments'!$G$8:$ZO$142,74,FALSE)),ISERROR(HLOOKUP(Y$8,'Rent Adjustments'!$G$8:$ZO$142,76,FALSE))),0,IF(HLOOKUP(Y$8,'Rent Adjustments'!$G$8:$ZO$142,74,FALSE)="",0,IF(AND($G29=HLOOKUP(Y$8,'Rent Adjustments'!$G$8:$ZO$142,74,FALSE),$F31=HLOOKUP(Y$8,'Rent Adjustments'!$G$8:$ZO$142,76,FALSE)),1,0))))</f>
        <v>0</v>
      </c>
      <c r="Z31" s="707">
        <f>IF(dpIncome_RentAdjustment_4="Construction Quality",IF(OR(ISERROR(HLOOKUP(Z$8,'Rent Adjustments'!$G$8:$ZO$142,74,FALSE)),ISERROR(HLOOKUP(Z$8,'Rent Adjustments'!$G$8:$ZO$142,75,FALSE))),0,IF(HLOOKUP(Z$8,'Rent Adjustments'!$G$8:$ZO$142,74,FALSE)="",0,IF(AND($G29=HLOOKUP(Z$8,'Rent Adjustments'!$G$8:$ZO$142,74,FALSE),$F31=HLOOKUP(Z$8,'Rent Adjustments'!$G$8:$ZO$142,75,FALSE)),1,0))),IF(OR(ISERROR(HLOOKUP(Z$8,'Rent Adjustments'!$G$8:$ZO$142,74,FALSE)),ISERROR(HLOOKUP(Z$8,'Rent Adjustments'!$G$8:$ZO$142,76,FALSE))),0,IF(HLOOKUP(Z$8,'Rent Adjustments'!$G$8:$ZO$142,74,FALSE)="",0,IF(AND($G29=HLOOKUP(Z$8,'Rent Adjustments'!$G$8:$ZO$142,74,FALSE),$F31=HLOOKUP(Z$8,'Rent Adjustments'!$G$8:$ZO$142,76,FALSE)),1,0))))</f>
        <v>0</v>
      </c>
      <c r="AA31" s="707">
        <f>IF(dpIncome_RentAdjustment_4="Construction Quality",IF(OR(ISERROR(HLOOKUP(AA$8,'Rent Adjustments'!$G$8:$ZO$142,74,FALSE)),ISERROR(HLOOKUP(AA$8,'Rent Adjustments'!$G$8:$ZO$142,75,FALSE))),0,IF(HLOOKUP(AA$8,'Rent Adjustments'!$G$8:$ZO$142,74,FALSE)="",0,IF(AND($G29=HLOOKUP(AA$8,'Rent Adjustments'!$G$8:$ZO$142,74,FALSE),$F31=HLOOKUP(AA$8,'Rent Adjustments'!$G$8:$ZO$142,75,FALSE)),1,0))),IF(OR(ISERROR(HLOOKUP(AA$8,'Rent Adjustments'!$G$8:$ZO$142,74,FALSE)),ISERROR(HLOOKUP(AA$8,'Rent Adjustments'!$G$8:$ZO$142,76,FALSE))),0,IF(HLOOKUP(AA$8,'Rent Adjustments'!$G$8:$ZO$142,74,FALSE)="",0,IF(AND($G29=HLOOKUP(AA$8,'Rent Adjustments'!$G$8:$ZO$142,74,FALSE),$F31=HLOOKUP(AA$8,'Rent Adjustments'!$G$8:$ZO$142,76,FALSE)),1,0))))</f>
        <v>0</v>
      </c>
      <c r="AB31" s="707">
        <f>IF(dpIncome_RentAdjustment_4="Construction Quality",IF(OR(ISERROR(HLOOKUP(AB$8,'Rent Adjustments'!$G$8:$ZO$142,74,FALSE)),ISERROR(HLOOKUP(AB$8,'Rent Adjustments'!$G$8:$ZO$142,75,FALSE))),0,IF(HLOOKUP(AB$8,'Rent Adjustments'!$G$8:$ZO$142,74,FALSE)="",0,IF(AND($G29=HLOOKUP(AB$8,'Rent Adjustments'!$G$8:$ZO$142,74,FALSE),$F31=HLOOKUP(AB$8,'Rent Adjustments'!$G$8:$ZO$142,75,FALSE)),1,0))),IF(OR(ISERROR(HLOOKUP(AB$8,'Rent Adjustments'!$G$8:$ZO$142,74,FALSE)),ISERROR(HLOOKUP(AB$8,'Rent Adjustments'!$G$8:$ZO$142,76,FALSE))),0,IF(HLOOKUP(AB$8,'Rent Adjustments'!$G$8:$ZO$142,74,FALSE)="",0,IF(AND($G29=HLOOKUP(AB$8,'Rent Adjustments'!$G$8:$ZO$142,74,FALSE),$F31=HLOOKUP(AB$8,'Rent Adjustments'!$G$8:$ZO$142,76,FALSE)),1,0))))</f>
        <v>0</v>
      </c>
      <c r="AC31" s="707">
        <f>IF(dpIncome_RentAdjustment_4="Construction Quality",IF(OR(ISERROR(HLOOKUP(AC$8,'Rent Adjustments'!$G$8:$ZO$142,74,FALSE)),ISERROR(HLOOKUP(AC$8,'Rent Adjustments'!$G$8:$ZO$142,75,FALSE))),0,IF(HLOOKUP(AC$8,'Rent Adjustments'!$G$8:$ZO$142,74,FALSE)="",0,IF(AND($G29=HLOOKUP(AC$8,'Rent Adjustments'!$G$8:$ZO$142,74,FALSE),$F31=HLOOKUP(AC$8,'Rent Adjustments'!$G$8:$ZO$142,75,FALSE)),1,0))),IF(OR(ISERROR(HLOOKUP(AC$8,'Rent Adjustments'!$G$8:$ZO$142,74,FALSE)),ISERROR(HLOOKUP(AC$8,'Rent Adjustments'!$G$8:$ZO$142,76,FALSE))),0,IF(HLOOKUP(AC$8,'Rent Adjustments'!$G$8:$ZO$142,74,FALSE)="",0,IF(AND($G29=HLOOKUP(AC$8,'Rent Adjustments'!$G$8:$ZO$142,74,FALSE),$F31=HLOOKUP(AC$8,'Rent Adjustments'!$G$8:$ZO$142,76,FALSE)),1,0))))</f>
        <v>0</v>
      </c>
      <c r="AD31" s="707">
        <f>IF(dpIncome_RentAdjustment_4="Construction Quality",IF(OR(ISERROR(HLOOKUP(AD$8,'Rent Adjustments'!$G$8:$ZO$142,74,FALSE)),ISERROR(HLOOKUP(AD$8,'Rent Adjustments'!$G$8:$ZO$142,75,FALSE))),0,IF(HLOOKUP(AD$8,'Rent Adjustments'!$G$8:$ZO$142,74,FALSE)="",0,IF(AND($G29=HLOOKUP(AD$8,'Rent Adjustments'!$G$8:$ZO$142,74,FALSE),$F31=HLOOKUP(AD$8,'Rent Adjustments'!$G$8:$ZO$142,75,FALSE)),1,0))),IF(OR(ISERROR(HLOOKUP(AD$8,'Rent Adjustments'!$G$8:$ZO$142,74,FALSE)),ISERROR(HLOOKUP(AD$8,'Rent Adjustments'!$G$8:$ZO$142,76,FALSE))),0,IF(HLOOKUP(AD$8,'Rent Adjustments'!$G$8:$ZO$142,74,FALSE)="",0,IF(AND($G29=HLOOKUP(AD$8,'Rent Adjustments'!$G$8:$ZO$142,74,FALSE),$F31=HLOOKUP(AD$8,'Rent Adjustments'!$G$8:$ZO$142,76,FALSE)),1,0))))</f>
        <v>0</v>
      </c>
      <c r="AE31" s="707">
        <f>IF(dpIncome_RentAdjustment_4="Construction Quality",IF(OR(ISERROR(HLOOKUP(AE$8,'Rent Adjustments'!$G$8:$ZO$142,74,FALSE)),ISERROR(HLOOKUP(AE$8,'Rent Adjustments'!$G$8:$ZO$142,75,FALSE))),0,IF(HLOOKUP(AE$8,'Rent Adjustments'!$G$8:$ZO$142,74,FALSE)="",0,IF(AND($G29=HLOOKUP(AE$8,'Rent Adjustments'!$G$8:$ZO$142,74,FALSE),$F31=HLOOKUP(AE$8,'Rent Adjustments'!$G$8:$ZO$142,75,FALSE)),1,0))),IF(OR(ISERROR(HLOOKUP(AE$8,'Rent Adjustments'!$G$8:$ZO$142,74,FALSE)),ISERROR(HLOOKUP(AE$8,'Rent Adjustments'!$G$8:$ZO$142,76,FALSE))),0,IF(HLOOKUP(AE$8,'Rent Adjustments'!$G$8:$ZO$142,74,FALSE)="",0,IF(AND($G29=HLOOKUP(AE$8,'Rent Adjustments'!$G$8:$ZO$142,74,FALSE),$F31=HLOOKUP(AE$8,'Rent Adjustments'!$G$8:$ZO$142,76,FALSE)),1,0))))</f>
        <v>0</v>
      </c>
      <c r="AF31" s="707">
        <f>IF(dpIncome_RentAdjustment_4="Construction Quality",IF(OR(ISERROR(HLOOKUP(AF$8,'Rent Adjustments'!$G$8:$ZO$142,74,FALSE)),ISERROR(HLOOKUP(AF$8,'Rent Adjustments'!$G$8:$ZO$142,75,FALSE))),0,IF(HLOOKUP(AF$8,'Rent Adjustments'!$G$8:$ZO$142,74,FALSE)="",0,IF(AND($G29=HLOOKUP(AF$8,'Rent Adjustments'!$G$8:$ZO$142,74,FALSE),$F31=HLOOKUP(AF$8,'Rent Adjustments'!$G$8:$ZO$142,75,FALSE)),1,0))),IF(OR(ISERROR(HLOOKUP(AF$8,'Rent Adjustments'!$G$8:$ZO$142,74,FALSE)),ISERROR(HLOOKUP(AF$8,'Rent Adjustments'!$G$8:$ZO$142,76,FALSE))),0,IF(HLOOKUP(AF$8,'Rent Adjustments'!$G$8:$ZO$142,74,FALSE)="",0,IF(AND($G29=HLOOKUP(AF$8,'Rent Adjustments'!$G$8:$ZO$142,74,FALSE),$F31=HLOOKUP(AF$8,'Rent Adjustments'!$G$8:$ZO$142,76,FALSE)),1,0))))</f>
        <v>0</v>
      </c>
      <c r="AG31" s="707">
        <f>IF(dpIncome_RentAdjustment_4="Construction Quality",IF(OR(ISERROR(HLOOKUP(AG$8,'Rent Adjustments'!$G$8:$ZO$142,74,FALSE)),ISERROR(HLOOKUP(AG$8,'Rent Adjustments'!$G$8:$ZO$142,75,FALSE))),0,IF(HLOOKUP(AG$8,'Rent Adjustments'!$G$8:$ZO$142,74,FALSE)="",0,IF(AND($G29=HLOOKUP(AG$8,'Rent Adjustments'!$G$8:$ZO$142,74,FALSE),$F31=HLOOKUP(AG$8,'Rent Adjustments'!$G$8:$ZO$142,75,FALSE)),1,0))),IF(OR(ISERROR(HLOOKUP(AG$8,'Rent Adjustments'!$G$8:$ZO$142,74,FALSE)),ISERROR(HLOOKUP(AG$8,'Rent Adjustments'!$G$8:$ZO$142,76,FALSE))),0,IF(HLOOKUP(AG$8,'Rent Adjustments'!$G$8:$ZO$142,74,FALSE)="",0,IF(AND($G29=HLOOKUP(AG$8,'Rent Adjustments'!$G$8:$ZO$142,74,FALSE),$F31=HLOOKUP(AG$8,'Rent Adjustments'!$G$8:$ZO$142,76,FALSE)),1,0))))</f>
        <v>0</v>
      </c>
      <c r="AH31" s="707">
        <f>SUM(W31:$W31)</f>
        <v>0</v>
      </c>
      <c r="AI31" s="707">
        <f>SUM($W31:X31)</f>
        <v>0</v>
      </c>
      <c r="AJ31" s="707">
        <f>SUM($W31:Y31)</f>
        <v>0</v>
      </c>
      <c r="AK31" s="707">
        <f>SUM($W31:Z31)</f>
        <v>0</v>
      </c>
      <c r="AL31" s="707">
        <f>SUM($W31:AA31)</f>
        <v>0</v>
      </c>
      <c r="AM31" s="707">
        <f>SUM($W31:AB31)</f>
        <v>0</v>
      </c>
      <c r="AN31" s="707">
        <f>SUM($W31:AC31)</f>
        <v>0</v>
      </c>
      <c r="AO31" s="707">
        <f>SUM($W31:AD31)</f>
        <v>0</v>
      </c>
      <c r="AP31" s="707">
        <f>SUM($W31:AE31)</f>
        <v>0</v>
      </c>
      <c r="AQ31" s="707">
        <f>SUM($W31:AF31)</f>
        <v>0</v>
      </c>
      <c r="AR31" s="707">
        <f>SUM($W31:AG31)</f>
        <v>0</v>
      </c>
      <c r="AS31" s="707" t="str">
        <f t="shared" si="11"/>
        <v/>
      </c>
      <c r="AT31" s="707" t="str">
        <f t="shared" si="11"/>
        <v/>
      </c>
      <c r="AU31" s="707" t="str">
        <f t="shared" si="11"/>
        <v/>
      </c>
      <c r="AV31" s="707" t="str">
        <f t="shared" si="11"/>
        <v/>
      </c>
      <c r="AW31" s="707" t="str">
        <f t="shared" si="11"/>
        <v/>
      </c>
      <c r="AX31" s="707" t="str">
        <f t="shared" si="11"/>
        <v/>
      </c>
      <c r="AY31" s="707" t="str">
        <f t="shared" si="11"/>
        <v/>
      </c>
      <c r="AZ31" s="707" t="str">
        <f t="shared" si="11"/>
        <v/>
      </c>
      <c r="BA31" s="707" t="str">
        <f t="shared" si="11"/>
        <v/>
      </c>
      <c r="BB31" s="707" t="str">
        <f t="shared" si="11"/>
        <v/>
      </c>
      <c r="BC31" s="707" t="str">
        <f t="shared" si="11"/>
        <v/>
      </c>
    </row>
    <row r="32" spans="1:55" ht="69.95" hidden="1" customHeight="1" x14ac:dyDescent="0.25">
      <c r="A32" s="972">
        <f t="shared" si="4"/>
        <v>0</v>
      </c>
      <c r="B32" s="4"/>
      <c r="C32" s="258"/>
      <c r="D32" s="4254" t="str">
        <f t="shared" si="8"/>
        <v/>
      </c>
      <c r="E32" s="4254"/>
      <c r="F32" s="3491" t="str">
        <f>IF(dpIncome_RentAdjustment_4="Construction Quality","D - Wood Frame","")</f>
        <v>D - Wood Frame</v>
      </c>
      <c r="G32" s="4256"/>
      <c r="H32" s="4259"/>
      <c r="I32" s="4259"/>
      <c r="J32" s="4259"/>
      <c r="K32" s="4259"/>
      <c r="L32" s="3492" t="str">
        <f t="shared" si="5"/>
        <v/>
      </c>
      <c r="M32" s="4261"/>
      <c r="N32" s="4261"/>
      <c r="O32" s="4263"/>
      <c r="P32" s="3493" t="str">
        <f>IFERROR(L32+M29,"")</f>
        <v/>
      </c>
      <c r="Q32" s="3494"/>
      <c r="R32" s="6"/>
      <c r="T32" s="2100">
        <f t="shared" si="6"/>
        <v>0</v>
      </c>
      <c r="U32" s="707" t="str">
        <f t="shared" si="9"/>
        <v/>
      </c>
      <c r="V32" s="707"/>
      <c r="W32" s="707">
        <f>IF(dpIncome_RentAdjustment_4="Construction Quality",IF(AND(F32=Subject_ConstructionClass,G$29=Subject_ConstructionQuality),1,0),IF(AND(F32=Subject_InvestmentClass,G$29=Subject_ConstructionQuality),1,0))</f>
        <v>0</v>
      </c>
      <c r="X32" s="707">
        <f>IF(dpIncome_RentAdjustment_4="Construction Quality",IF(OR(ISERROR(HLOOKUP(X$8,'Rent Adjustments'!$G$8:$ZO$142,74,FALSE)),ISERROR(HLOOKUP(X$8,'Rent Adjustments'!$G$8:$ZO$142,75,FALSE))),0,IF(HLOOKUP(X$8,'Rent Adjustments'!$G$8:$ZO$142,74,FALSE)="",0,IF(AND($G29=HLOOKUP(X$8,'Rent Adjustments'!$G$8:$ZO$142,74,FALSE),$F32=HLOOKUP(X$8,'Rent Adjustments'!$G$8:$ZO$142,75,FALSE)),1,0))),IF(OR(ISERROR(HLOOKUP(X$8,'Rent Adjustments'!$G$8:$ZO$142,74,FALSE)),ISERROR(HLOOKUP(X$8,'Rent Adjustments'!$G$8:$ZO$142,76,FALSE))),0,IF(HLOOKUP(X$8,'Rent Adjustments'!$G$8:$ZO$142,74,FALSE)="",0,IF(AND($G29=HLOOKUP(X$8,'Rent Adjustments'!$G$8:$ZO$142,74,FALSE),$F32=HLOOKUP(X$8,'Rent Adjustments'!$G$8:$ZO$142,76,FALSE)),1,0))))</f>
        <v>0</v>
      </c>
      <c r="Y32" s="707">
        <f>IF(dpIncome_RentAdjustment_4="Construction Quality",IF(OR(ISERROR(HLOOKUP(Y$8,'Rent Adjustments'!$G$8:$ZO$142,74,FALSE)),ISERROR(HLOOKUP(Y$8,'Rent Adjustments'!$G$8:$ZO$142,75,FALSE))),0,IF(HLOOKUP(Y$8,'Rent Adjustments'!$G$8:$ZO$142,74,FALSE)="",0,IF(AND($G29=HLOOKUP(Y$8,'Rent Adjustments'!$G$8:$ZO$142,74,FALSE),$F32=HLOOKUP(Y$8,'Rent Adjustments'!$G$8:$ZO$142,75,FALSE)),1,0))),IF(OR(ISERROR(HLOOKUP(Y$8,'Rent Adjustments'!$G$8:$ZO$142,74,FALSE)),ISERROR(HLOOKUP(Y$8,'Rent Adjustments'!$G$8:$ZO$142,76,FALSE))),0,IF(HLOOKUP(Y$8,'Rent Adjustments'!$G$8:$ZO$142,74,FALSE)="",0,IF(AND($G29=HLOOKUP(Y$8,'Rent Adjustments'!$G$8:$ZO$142,74,FALSE),$F32=HLOOKUP(Y$8,'Rent Adjustments'!$G$8:$ZO$142,76,FALSE)),1,0))))</f>
        <v>0</v>
      </c>
      <c r="Z32" s="707">
        <f>IF(dpIncome_RentAdjustment_4="Construction Quality",IF(OR(ISERROR(HLOOKUP(Z$8,'Rent Adjustments'!$G$8:$ZO$142,74,FALSE)),ISERROR(HLOOKUP(Z$8,'Rent Adjustments'!$G$8:$ZO$142,75,FALSE))),0,IF(HLOOKUP(Z$8,'Rent Adjustments'!$G$8:$ZO$142,74,FALSE)="",0,IF(AND($G29=HLOOKUP(Z$8,'Rent Adjustments'!$G$8:$ZO$142,74,FALSE),$F32=HLOOKUP(Z$8,'Rent Adjustments'!$G$8:$ZO$142,75,FALSE)),1,0))),IF(OR(ISERROR(HLOOKUP(Z$8,'Rent Adjustments'!$G$8:$ZO$142,74,FALSE)),ISERROR(HLOOKUP(Z$8,'Rent Adjustments'!$G$8:$ZO$142,76,FALSE))),0,IF(HLOOKUP(Z$8,'Rent Adjustments'!$G$8:$ZO$142,74,FALSE)="",0,IF(AND($G29=HLOOKUP(Z$8,'Rent Adjustments'!$G$8:$ZO$142,74,FALSE),$F32=HLOOKUP(Z$8,'Rent Adjustments'!$G$8:$ZO$142,76,FALSE)),1,0))))</f>
        <v>0</v>
      </c>
      <c r="AA32" s="707">
        <f>IF(dpIncome_RentAdjustment_4="Construction Quality",IF(OR(ISERROR(HLOOKUP(AA$8,'Rent Adjustments'!$G$8:$ZO$142,74,FALSE)),ISERROR(HLOOKUP(AA$8,'Rent Adjustments'!$G$8:$ZO$142,75,FALSE))),0,IF(HLOOKUP(AA$8,'Rent Adjustments'!$G$8:$ZO$142,74,FALSE)="",0,IF(AND($G29=HLOOKUP(AA$8,'Rent Adjustments'!$G$8:$ZO$142,74,FALSE),$F32=HLOOKUP(AA$8,'Rent Adjustments'!$G$8:$ZO$142,75,FALSE)),1,0))),IF(OR(ISERROR(HLOOKUP(AA$8,'Rent Adjustments'!$G$8:$ZO$142,74,FALSE)),ISERROR(HLOOKUP(AA$8,'Rent Adjustments'!$G$8:$ZO$142,76,FALSE))),0,IF(HLOOKUP(AA$8,'Rent Adjustments'!$G$8:$ZO$142,74,FALSE)="",0,IF(AND($G29=HLOOKUP(AA$8,'Rent Adjustments'!$G$8:$ZO$142,74,FALSE),$F32=HLOOKUP(AA$8,'Rent Adjustments'!$G$8:$ZO$142,76,FALSE)),1,0))))</f>
        <v>0</v>
      </c>
      <c r="AB32" s="707">
        <f>IF(dpIncome_RentAdjustment_4="Construction Quality",IF(OR(ISERROR(HLOOKUP(AB$8,'Rent Adjustments'!$G$8:$ZO$142,74,FALSE)),ISERROR(HLOOKUP(AB$8,'Rent Adjustments'!$G$8:$ZO$142,75,FALSE))),0,IF(HLOOKUP(AB$8,'Rent Adjustments'!$G$8:$ZO$142,74,FALSE)="",0,IF(AND($G29=HLOOKUP(AB$8,'Rent Adjustments'!$G$8:$ZO$142,74,FALSE),$F32=HLOOKUP(AB$8,'Rent Adjustments'!$G$8:$ZO$142,75,FALSE)),1,0))),IF(OR(ISERROR(HLOOKUP(AB$8,'Rent Adjustments'!$G$8:$ZO$142,74,FALSE)),ISERROR(HLOOKUP(AB$8,'Rent Adjustments'!$G$8:$ZO$142,76,FALSE))),0,IF(HLOOKUP(AB$8,'Rent Adjustments'!$G$8:$ZO$142,74,FALSE)="",0,IF(AND($G29=HLOOKUP(AB$8,'Rent Adjustments'!$G$8:$ZO$142,74,FALSE),$F32=HLOOKUP(AB$8,'Rent Adjustments'!$G$8:$ZO$142,76,FALSE)),1,0))))</f>
        <v>0</v>
      </c>
      <c r="AC32" s="707">
        <f>IF(dpIncome_RentAdjustment_4="Construction Quality",IF(OR(ISERROR(HLOOKUP(AC$8,'Rent Adjustments'!$G$8:$ZO$142,74,FALSE)),ISERROR(HLOOKUP(AC$8,'Rent Adjustments'!$G$8:$ZO$142,75,FALSE))),0,IF(HLOOKUP(AC$8,'Rent Adjustments'!$G$8:$ZO$142,74,FALSE)="",0,IF(AND($G29=HLOOKUP(AC$8,'Rent Adjustments'!$G$8:$ZO$142,74,FALSE),$F32=HLOOKUP(AC$8,'Rent Adjustments'!$G$8:$ZO$142,75,FALSE)),1,0))),IF(OR(ISERROR(HLOOKUP(AC$8,'Rent Adjustments'!$G$8:$ZO$142,74,FALSE)),ISERROR(HLOOKUP(AC$8,'Rent Adjustments'!$G$8:$ZO$142,76,FALSE))),0,IF(HLOOKUP(AC$8,'Rent Adjustments'!$G$8:$ZO$142,74,FALSE)="",0,IF(AND($G29=HLOOKUP(AC$8,'Rent Adjustments'!$G$8:$ZO$142,74,FALSE),$F32=HLOOKUP(AC$8,'Rent Adjustments'!$G$8:$ZO$142,76,FALSE)),1,0))))</f>
        <v>0</v>
      </c>
      <c r="AD32" s="707">
        <f>IF(dpIncome_RentAdjustment_4="Construction Quality",IF(OR(ISERROR(HLOOKUP(AD$8,'Rent Adjustments'!$G$8:$ZO$142,74,FALSE)),ISERROR(HLOOKUP(AD$8,'Rent Adjustments'!$G$8:$ZO$142,75,FALSE))),0,IF(HLOOKUP(AD$8,'Rent Adjustments'!$G$8:$ZO$142,74,FALSE)="",0,IF(AND($G29=HLOOKUP(AD$8,'Rent Adjustments'!$G$8:$ZO$142,74,FALSE),$F32=HLOOKUP(AD$8,'Rent Adjustments'!$G$8:$ZO$142,75,FALSE)),1,0))),IF(OR(ISERROR(HLOOKUP(AD$8,'Rent Adjustments'!$G$8:$ZO$142,74,FALSE)),ISERROR(HLOOKUP(AD$8,'Rent Adjustments'!$G$8:$ZO$142,76,FALSE))),0,IF(HLOOKUP(AD$8,'Rent Adjustments'!$G$8:$ZO$142,74,FALSE)="",0,IF(AND($G29=HLOOKUP(AD$8,'Rent Adjustments'!$G$8:$ZO$142,74,FALSE),$F32=HLOOKUP(AD$8,'Rent Adjustments'!$G$8:$ZO$142,76,FALSE)),1,0))))</f>
        <v>0</v>
      </c>
      <c r="AE32" s="707">
        <f>IF(dpIncome_RentAdjustment_4="Construction Quality",IF(OR(ISERROR(HLOOKUP(AE$8,'Rent Adjustments'!$G$8:$ZO$142,74,FALSE)),ISERROR(HLOOKUP(AE$8,'Rent Adjustments'!$G$8:$ZO$142,75,FALSE))),0,IF(HLOOKUP(AE$8,'Rent Adjustments'!$G$8:$ZO$142,74,FALSE)="",0,IF(AND($G29=HLOOKUP(AE$8,'Rent Adjustments'!$G$8:$ZO$142,74,FALSE),$F32=HLOOKUP(AE$8,'Rent Adjustments'!$G$8:$ZO$142,75,FALSE)),1,0))),IF(OR(ISERROR(HLOOKUP(AE$8,'Rent Adjustments'!$G$8:$ZO$142,74,FALSE)),ISERROR(HLOOKUP(AE$8,'Rent Adjustments'!$G$8:$ZO$142,76,FALSE))),0,IF(HLOOKUP(AE$8,'Rent Adjustments'!$G$8:$ZO$142,74,FALSE)="",0,IF(AND($G29=HLOOKUP(AE$8,'Rent Adjustments'!$G$8:$ZO$142,74,FALSE),$F32=HLOOKUP(AE$8,'Rent Adjustments'!$G$8:$ZO$142,76,FALSE)),1,0))))</f>
        <v>0</v>
      </c>
      <c r="AF32" s="707">
        <f>IF(dpIncome_RentAdjustment_4="Construction Quality",IF(OR(ISERROR(HLOOKUP(AF$8,'Rent Adjustments'!$G$8:$ZO$142,74,FALSE)),ISERROR(HLOOKUP(AF$8,'Rent Adjustments'!$G$8:$ZO$142,75,FALSE))),0,IF(HLOOKUP(AF$8,'Rent Adjustments'!$G$8:$ZO$142,74,FALSE)="",0,IF(AND($G29=HLOOKUP(AF$8,'Rent Adjustments'!$G$8:$ZO$142,74,FALSE),$F32=HLOOKUP(AF$8,'Rent Adjustments'!$G$8:$ZO$142,75,FALSE)),1,0))),IF(OR(ISERROR(HLOOKUP(AF$8,'Rent Adjustments'!$G$8:$ZO$142,74,FALSE)),ISERROR(HLOOKUP(AF$8,'Rent Adjustments'!$G$8:$ZO$142,76,FALSE))),0,IF(HLOOKUP(AF$8,'Rent Adjustments'!$G$8:$ZO$142,74,FALSE)="",0,IF(AND($G29=HLOOKUP(AF$8,'Rent Adjustments'!$G$8:$ZO$142,74,FALSE),$F32=HLOOKUP(AF$8,'Rent Adjustments'!$G$8:$ZO$142,76,FALSE)),1,0))))</f>
        <v>0</v>
      </c>
      <c r="AG32" s="707">
        <f>IF(dpIncome_RentAdjustment_4="Construction Quality",IF(OR(ISERROR(HLOOKUP(AG$8,'Rent Adjustments'!$G$8:$ZO$142,74,FALSE)),ISERROR(HLOOKUP(AG$8,'Rent Adjustments'!$G$8:$ZO$142,75,FALSE))),0,IF(HLOOKUP(AG$8,'Rent Adjustments'!$G$8:$ZO$142,74,FALSE)="",0,IF(AND($G29=HLOOKUP(AG$8,'Rent Adjustments'!$G$8:$ZO$142,74,FALSE),$F32=HLOOKUP(AG$8,'Rent Adjustments'!$G$8:$ZO$142,75,FALSE)),1,0))),IF(OR(ISERROR(HLOOKUP(AG$8,'Rent Adjustments'!$G$8:$ZO$142,74,FALSE)),ISERROR(HLOOKUP(AG$8,'Rent Adjustments'!$G$8:$ZO$142,76,FALSE))),0,IF(HLOOKUP(AG$8,'Rent Adjustments'!$G$8:$ZO$142,74,FALSE)="",0,IF(AND($G29=HLOOKUP(AG$8,'Rent Adjustments'!$G$8:$ZO$142,74,FALSE),$F32=HLOOKUP(AG$8,'Rent Adjustments'!$G$8:$ZO$142,76,FALSE)),1,0))))</f>
        <v>0</v>
      </c>
      <c r="AH32" s="707">
        <f>SUM(W32:$W32)</f>
        <v>0</v>
      </c>
      <c r="AI32" s="707">
        <f>SUM($W32:X32)</f>
        <v>0</v>
      </c>
      <c r="AJ32" s="707">
        <f>SUM($W32:Y32)</f>
        <v>0</v>
      </c>
      <c r="AK32" s="707">
        <f>SUM($W32:Z32)</f>
        <v>0</v>
      </c>
      <c r="AL32" s="707">
        <f>SUM($W32:AA32)</f>
        <v>0</v>
      </c>
      <c r="AM32" s="707">
        <f>SUM($W32:AB32)</f>
        <v>0</v>
      </c>
      <c r="AN32" s="707">
        <f>SUM($W32:AC32)</f>
        <v>0</v>
      </c>
      <c r="AO32" s="707">
        <f>SUM($W32:AD32)</f>
        <v>0</v>
      </c>
      <c r="AP32" s="707">
        <f>SUM($W32:AE32)</f>
        <v>0</v>
      </c>
      <c r="AQ32" s="707">
        <f>SUM($W32:AF32)</f>
        <v>0</v>
      </c>
      <c r="AR32" s="707">
        <f>SUM($W32:AG32)</f>
        <v>0</v>
      </c>
      <c r="AS32" s="707" t="str">
        <f t="shared" si="11"/>
        <v/>
      </c>
      <c r="AT32" s="707" t="str">
        <f t="shared" si="11"/>
        <v/>
      </c>
      <c r="AU32" s="707" t="str">
        <f t="shared" si="11"/>
        <v/>
      </c>
      <c r="AV32" s="707" t="str">
        <f t="shared" si="11"/>
        <v/>
      </c>
      <c r="AW32" s="707" t="str">
        <f t="shared" si="11"/>
        <v/>
      </c>
      <c r="AX32" s="707" t="str">
        <f t="shared" si="11"/>
        <v/>
      </c>
      <c r="AY32" s="707" t="str">
        <f t="shared" si="11"/>
        <v/>
      </c>
      <c r="AZ32" s="707" t="str">
        <f t="shared" si="11"/>
        <v/>
      </c>
      <c r="BA32" s="707" t="str">
        <f t="shared" si="11"/>
        <v/>
      </c>
      <c r="BB32" s="707" t="str">
        <f t="shared" si="11"/>
        <v/>
      </c>
      <c r="BC32" s="707" t="str">
        <f t="shared" si="11"/>
        <v/>
      </c>
    </row>
    <row r="33" spans="1:55" ht="69.95" hidden="1" customHeight="1" x14ac:dyDescent="0.25">
      <c r="A33" s="972">
        <f t="shared" si="4"/>
        <v>0</v>
      </c>
      <c r="B33" s="4"/>
      <c r="C33" s="258"/>
      <c r="D33" s="4265" t="str">
        <f t="shared" si="8"/>
        <v/>
      </c>
      <c r="E33" s="4265"/>
      <c r="F33" s="3495" t="str">
        <f>IF(dpIncome_RentAdjustment_4="Construction Quality","S - Steel Frame","")</f>
        <v>S - Steel Frame</v>
      </c>
      <c r="G33" s="4257"/>
      <c r="H33" s="4260"/>
      <c r="I33" s="4260"/>
      <c r="J33" s="4260"/>
      <c r="K33" s="4260"/>
      <c r="L33" s="3496" t="str">
        <f t="shared" si="5"/>
        <v/>
      </c>
      <c r="M33" s="4262"/>
      <c r="N33" s="4262"/>
      <c r="O33" s="4264"/>
      <c r="P33" s="3497" t="str">
        <f>IFERROR(L33+M29,"")</f>
        <v/>
      </c>
      <c r="Q33" s="3494"/>
      <c r="R33" s="6"/>
      <c r="T33" s="2090">
        <f t="shared" si="6"/>
        <v>0</v>
      </c>
      <c r="U33" s="2089" t="str">
        <f t="shared" si="9"/>
        <v/>
      </c>
      <c r="V33" s="2089"/>
      <c r="W33" s="2089">
        <f>IF(dpIncome_RentAdjustment_4="Construction Quality",IF(AND(F33=Subject_ConstructionClass,G$29=Subject_ConstructionQuality),1,0),IF(AND(F33=Subject_InvestmentClass,G$29=Subject_ConstructionQuality),1,0))</f>
        <v>0</v>
      </c>
      <c r="X33" s="2089">
        <f>IF(dpIncome_RentAdjustment_4="Construction Quality",IF(OR(ISERROR(HLOOKUP(X$8,'Rent Adjustments'!$G$8:$ZO$142,74,FALSE)),ISERROR(HLOOKUP(X$8,'Rent Adjustments'!$G$8:$ZO$142,75,FALSE))),0,IF(HLOOKUP(X$8,'Rent Adjustments'!$G$8:$ZO$142,74,FALSE)="",0,IF(AND($G29=HLOOKUP(X$8,'Rent Adjustments'!$G$8:$ZO$142,74,FALSE),$F33=HLOOKUP(X$8,'Rent Adjustments'!$G$8:$ZO$142,75,FALSE)),1,0))),IF(OR(ISERROR(HLOOKUP(X$8,'Rent Adjustments'!$G$8:$ZO$142,74,FALSE)),ISERROR(HLOOKUP(X$8,'Rent Adjustments'!$G$8:$ZO$142,76,FALSE))),0,IF(HLOOKUP(X$8,'Rent Adjustments'!$G$8:$ZO$142,74,FALSE)="",0,IF(AND($G29=HLOOKUP(X$8,'Rent Adjustments'!$G$8:$ZO$142,74,FALSE),$F33=HLOOKUP(X$8,'Rent Adjustments'!$G$8:$ZO$142,76,FALSE)),1,0))))</f>
        <v>0</v>
      </c>
      <c r="Y33" s="2089">
        <f>IF(dpIncome_RentAdjustment_4="Construction Quality",IF(OR(ISERROR(HLOOKUP(Y$8,'Rent Adjustments'!$G$8:$ZO$142,74,FALSE)),ISERROR(HLOOKUP(Y$8,'Rent Adjustments'!$G$8:$ZO$142,75,FALSE))),0,IF(HLOOKUP(Y$8,'Rent Adjustments'!$G$8:$ZO$142,74,FALSE)="",0,IF(AND($G29=HLOOKUP(Y$8,'Rent Adjustments'!$G$8:$ZO$142,74,FALSE),$F33=HLOOKUP(Y$8,'Rent Adjustments'!$G$8:$ZO$142,75,FALSE)),1,0))),IF(OR(ISERROR(HLOOKUP(Y$8,'Rent Adjustments'!$G$8:$ZO$142,74,FALSE)),ISERROR(HLOOKUP(Y$8,'Rent Adjustments'!$G$8:$ZO$142,76,FALSE))),0,IF(HLOOKUP(Y$8,'Rent Adjustments'!$G$8:$ZO$142,74,FALSE)="",0,IF(AND($G29=HLOOKUP(Y$8,'Rent Adjustments'!$G$8:$ZO$142,74,FALSE),$F33=HLOOKUP(Y$8,'Rent Adjustments'!$G$8:$ZO$142,76,FALSE)),1,0))))</f>
        <v>0</v>
      </c>
      <c r="Z33" s="2089">
        <f>IF(dpIncome_RentAdjustment_4="Construction Quality",IF(OR(ISERROR(HLOOKUP(Z$8,'Rent Adjustments'!$G$8:$ZO$142,74,FALSE)),ISERROR(HLOOKUP(Z$8,'Rent Adjustments'!$G$8:$ZO$142,75,FALSE))),0,IF(HLOOKUP(Z$8,'Rent Adjustments'!$G$8:$ZO$142,74,FALSE)="",0,IF(AND($G29=HLOOKUP(Z$8,'Rent Adjustments'!$G$8:$ZO$142,74,FALSE),$F33=HLOOKUP(Z$8,'Rent Adjustments'!$G$8:$ZO$142,75,FALSE)),1,0))),IF(OR(ISERROR(HLOOKUP(Z$8,'Rent Adjustments'!$G$8:$ZO$142,74,FALSE)),ISERROR(HLOOKUP(Z$8,'Rent Adjustments'!$G$8:$ZO$142,76,FALSE))),0,IF(HLOOKUP(Z$8,'Rent Adjustments'!$G$8:$ZO$142,74,FALSE)="",0,IF(AND($G29=HLOOKUP(Z$8,'Rent Adjustments'!$G$8:$ZO$142,74,FALSE),$F33=HLOOKUP(Z$8,'Rent Adjustments'!$G$8:$ZO$142,76,FALSE)),1,0))))</f>
        <v>0</v>
      </c>
      <c r="AA33" s="2089">
        <f>IF(dpIncome_RentAdjustment_4="Construction Quality",IF(OR(ISERROR(HLOOKUP(AA$8,'Rent Adjustments'!$G$8:$ZO$142,74,FALSE)),ISERROR(HLOOKUP(AA$8,'Rent Adjustments'!$G$8:$ZO$142,75,FALSE))),0,IF(HLOOKUP(AA$8,'Rent Adjustments'!$G$8:$ZO$142,74,FALSE)="",0,IF(AND($G29=HLOOKUP(AA$8,'Rent Adjustments'!$G$8:$ZO$142,74,FALSE),$F33=HLOOKUP(AA$8,'Rent Adjustments'!$G$8:$ZO$142,75,FALSE)),1,0))),IF(OR(ISERROR(HLOOKUP(AA$8,'Rent Adjustments'!$G$8:$ZO$142,74,FALSE)),ISERROR(HLOOKUP(AA$8,'Rent Adjustments'!$G$8:$ZO$142,76,FALSE))),0,IF(HLOOKUP(AA$8,'Rent Adjustments'!$G$8:$ZO$142,74,FALSE)="",0,IF(AND($G29=HLOOKUP(AA$8,'Rent Adjustments'!$G$8:$ZO$142,74,FALSE),$F33=HLOOKUP(AA$8,'Rent Adjustments'!$G$8:$ZO$142,76,FALSE)),1,0))))</f>
        <v>0</v>
      </c>
      <c r="AB33" s="2089">
        <f>IF(dpIncome_RentAdjustment_4="Construction Quality",IF(OR(ISERROR(HLOOKUP(AB$8,'Rent Adjustments'!$G$8:$ZO$142,74,FALSE)),ISERROR(HLOOKUP(AB$8,'Rent Adjustments'!$G$8:$ZO$142,75,FALSE))),0,IF(HLOOKUP(AB$8,'Rent Adjustments'!$G$8:$ZO$142,74,FALSE)="",0,IF(AND($G29=HLOOKUP(AB$8,'Rent Adjustments'!$G$8:$ZO$142,74,FALSE),$F33=HLOOKUP(AB$8,'Rent Adjustments'!$G$8:$ZO$142,75,FALSE)),1,0))),IF(OR(ISERROR(HLOOKUP(AB$8,'Rent Adjustments'!$G$8:$ZO$142,74,FALSE)),ISERROR(HLOOKUP(AB$8,'Rent Adjustments'!$G$8:$ZO$142,76,FALSE))),0,IF(HLOOKUP(AB$8,'Rent Adjustments'!$G$8:$ZO$142,74,FALSE)="",0,IF(AND($G29=HLOOKUP(AB$8,'Rent Adjustments'!$G$8:$ZO$142,74,FALSE),$F33=HLOOKUP(AB$8,'Rent Adjustments'!$G$8:$ZO$142,76,FALSE)),1,0))))</f>
        <v>0</v>
      </c>
      <c r="AC33" s="2089">
        <f>IF(dpIncome_RentAdjustment_4="Construction Quality",IF(OR(ISERROR(HLOOKUP(AC$8,'Rent Adjustments'!$G$8:$ZO$142,74,FALSE)),ISERROR(HLOOKUP(AC$8,'Rent Adjustments'!$G$8:$ZO$142,75,FALSE))),0,IF(HLOOKUP(AC$8,'Rent Adjustments'!$G$8:$ZO$142,74,FALSE)="",0,IF(AND($G29=HLOOKUP(AC$8,'Rent Adjustments'!$G$8:$ZO$142,74,FALSE),$F33=HLOOKUP(AC$8,'Rent Adjustments'!$G$8:$ZO$142,75,FALSE)),1,0))),IF(OR(ISERROR(HLOOKUP(AC$8,'Rent Adjustments'!$G$8:$ZO$142,74,FALSE)),ISERROR(HLOOKUP(AC$8,'Rent Adjustments'!$G$8:$ZO$142,76,FALSE))),0,IF(HLOOKUP(AC$8,'Rent Adjustments'!$G$8:$ZO$142,74,FALSE)="",0,IF(AND($G29=HLOOKUP(AC$8,'Rent Adjustments'!$G$8:$ZO$142,74,FALSE),$F33=HLOOKUP(AC$8,'Rent Adjustments'!$G$8:$ZO$142,76,FALSE)),1,0))))</f>
        <v>0</v>
      </c>
      <c r="AD33" s="2089">
        <f>IF(dpIncome_RentAdjustment_4="Construction Quality",IF(OR(ISERROR(HLOOKUP(AD$8,'Rent Adjustments'!$G$8:$ZO$142,74,FALSE)),ISERROR(HLOOKUP(AD$8,'Rent Adjustments'!$G$8:$ZO$142,75,FALSE))),0,IF(HLOOKUP(AD$8,'Rent Adjustments'!$G$8:$ZO$142,74,FALSE)="",0,IF(AND($G29=HLOOKUP(AD$8,'Rent Adjustments'!$G$8:$ZO$142,74,FALSE),$F33=HLOOKUP(AD$8,'Rent Adjustments'!$G$8:$ZO$142,75,FALSE)),1,0))),IF(OR(ISERROR(HLOOKUP(AD$8,'Rent Adjustments'!$G$8:$ZO$142,74,FALSE)),ISERROR(HLOOKUP(AD$8,'Rent Adjustments'!$G$8:$ZO$142,76,FALSE))),0,IF(HLOOKUP(AD$8,'Rent Adjustments'!$G$8:$ZO$142,74,FALSE)="",0,IF(AND($G29=HLOOKUP(AD$8,'Rent Adjustments'!$G$8:$ZO$142,74,FALSE),$F33=HLOOKUP(AD$8,'Rent Adjustments'!$G$8:$ZO$142,76,FALSE)),1,0))))</f>
        <v>0</v>
      </c>
      <c r="AE33" s="2089">
        <f>IF(dpIncome_RentAdjustment_4="Construction Quality",IF(OR(ISERROR(HLOOKUP(AE$8,'Rent Adjustments'!$G$8:$ZO$142,74,FALSE)),ISERROR(HLOOKUP(AE$8,'Rent Adjustments'!$G$8:$ZO$142,75,FALSE))),0,IF(HLOOKUP(AE$8,'Rent Adjustments'!$G$8:$ZO$142,74,FALSE)="",0,IF(AND($G29=HLOOKUP(AE$8,'Rent Adjustments'!$G$8:$ZO$142,74,FALSE),$F33=HLOOKUP(AE$8,'Rent Adjustments'!$G$8:$ZO$142,75,FALSE)),1,0))),IF(OR(ISERROR(HLOOKUP(AE$8,'Rent Adjustments'!$G$8:$ZO$142,74,FALSE)),ISERROR(HLOOKUP(AE$8,'Rent Adjustments'!$G$8:$ZO$142,76,FALSE))),0,IF(HLOOKUP(AE$8,'Rent Adjustments'!$G$8:$ZO$142,74,FALSE)="",0,IF(AND($G29=HLOOKUP(AE$8,'Rent Adjustments'!$G$8:$ZO$142,74,FALSE),$F33=HLOOKUP(AE$8,'Rent Adjustments'!$G$8:$ZO$142,76,FALSE)),1,0))))</f>
        <v>0</v>
      </c>
      <c r="AF33" s="2089">
        <f>IF(dpIncome_RentAdjustment_4="Construction Quality",IF(OR(ISERROR(HLOOKUP(AF$8,'Rent Adjustments'!$G$8:$ZO$142,74,FALSE)),ISERROR(HLOOKUP(AF$8,'Rent Adjustments'!$G$8:$ZO$142,75,FALSE))),0,IF(HLOOKUP(AF$8,'Rent Adjustments'!$G$8:$ZO$142,74,FALSE)="",0,IF(AND($G29=HLOOKUP(AF$8,'Rent Adjustments'!$G$8:$ZO$142,74,FALSE),$F33=HLOOKUP(AF$8,'Rent Adjustments'!$G$8:$ZO$142,75,FALSE)),1,0))),IF(OR(ISERROR(HLOOKUP(AF$8,'Rent Adjustments'!$G$8:$ZO$142,74,FALSE)),ISERROR(HLOOKUP(AF$8,'Rent Adjustments'!$G$8:$ZO$142,76,FALSE))),0,IF(HLOOKUP(AF$8,'Rent Adjustments'!$G$8:$ZO$142,74,FALSE)="",0,IF(AND($G29=HLOOKUP(AF$8,'Rent Adjustments'!$G$8:$ZO$142,74,FALSE),$F33=HLOOKUP(AF$8,'Rent Adjustments'!$G$8:$ZO$142,76,FALSE)),1,0))))</f>
        <v>0</v>
      </c>
      <c r="AG33" s="2089">
        <f>IF(dpIncome_RentAdjustment_4="Construction Quality",IF(OR(ISERROR(HLOOKUP(AG$8,'Rent Adjustments'!$G$8:$ZO$142,74,FALSE)),ISERROR(HLOOKUP(AG$8,'Rent Adjustments'!$G$8:$ZO$142,75,FALSE))),0,IF(HLOOKUP(AG$8,'Rent Adjustments'!$G$8:$ZO$142,74,FALSE)="",0,IF(AND($G29=HLOOKUP(AG$8,'Rent Adjustments'!$G$8:$ZO$142,74,FALSE),$F33=HLOOKUP(AG$8,'Rent Adjustments'!$G$8:$ZO$142,75,FALSE)),1,0))),IF(OR(ISERROR(HLOOKUP(AG$8,'Rent Adjustments'!$G$8:$ZO$142,74,FALSE)),ISERROR(HLOOKUP(AG$8,'Rent Adjustments'!$G$8:$ZO$142,76,FALSE))),0,IF(HLOOKUP(AG$8,'Rent Adjustments'!$G$8:$ZO$142,74,FALSE)="",0,IF(AND($G29=HLOOKUP(AG$8,'Rent Adjustments'!$G$8:$ZO$142,74,FALSE),$F33=HLOOKUP(AG$8,'Rent Adjustments'!$G$8:$ZO$142,76,FALSE)),1,0))))</f>
        <v>0</v>
      </c>
      <c r="AH33" s="2089">
        <f>SUM(W33:$W33)</f>
        <v>0</v>
      </c>
      <c r="AI33" s="2089">
        <f>SUM($W33:X33)</f>
        <v>0</v>
      </c>
      <c r="AJ33" s="2089">
        <f>SUM($W33:Y33)</f>
        <v>0</v>
      </c>
      <c r="AK33" s="2089">
        <f>SUM($W33:Z33)</f>
        <v>0</v>
      </c>
      <c r="AL33" s="2089">
        <f>SUM($W33:AA33)</f>
        <v>0</v>
      </c>
      <c r="AM33" s="2089">
        <f>SUM($W33:AB33)</f>
        <v>0</v>
      </c>
      <c r="AN33" s="2089">
        <f>SUM($W33:AC33)</f>
        <v>0</v>
      </c>
      <c r="AO33" s="2089">
        <f>SUM($W33:AD33)</f>
        <v>0</v>
      </c>
      <c r="AP33" s="2089">
        <f>SUM($W33:AE33)</f>
        <v>0</v>
      </c>
      <c r="AQ33" s="2089">
        <f>SUM($W33:AF33)</f>
        <v>0</v>
      </c>
      <c r="AR33" s="2089">
        <f>SUM($W33:AG33)</f>
        <v>0</v>
      </c>
      <c r="AS33" s="2089" t="str">
        <f t="shared" si="11"/>
        <v/>
      </c>
      <c r="AT33" s="2089" t="str">
        <f t="shared" si="11"/>
        <v/>
      </c>
      <c r="AU33" s="2089" t="str">
        <f t="shared" si="11"/>
        <v/>
      </c>
      <c r="AV33" s="2089" t="str">
        <f t="shared" si="11"/>
        <v/>
      </c>
      <c r="AW33" s="2089" t="str">
        <f t="shared" si="11"/>
        <v/>
      </c>
      <c r="AX33" s="2089" t="str">
        <f t="shared" si="11"/>
        <v/>
      </c>
      <c r="AY33" s="2089" t="str">
        <f t="shared" si="11"/>
        <v/>
      </c>
      <c r="AZ33" s="2089" t="str">
        <f t="shared" si="11"/>
        <v/>
      </c>
      <c r="BA33" s="2089" t="str">
        <f t="shared" si="11"/>
        <v/>
      </c>
      <c r="BB33" s="2089" t="str">
        <f t="shared" si="11"/>
        <v/>
      </c>
      <c r="BC33" s="2089" t="str">
        <f t="shared" si="11"/>
        <v/>
      </c>
    </row>
    <row r="34" spans="1:55" ht="69.95" hidden="1" customHeight="1" x14ac:dyDescent="0.25">
      <c r="A34" s="972">
        <f t="shared" si="4"/>
        <v>0</v>
      </c>
      <c r="B34" s="4"/>
      <c r="C34" s="258"/>
      <c r="D34" s="4254" t="str">
        <f t="shared" si="8"/>
        <v/>
      </c>
      <c r="E34" s="4254"/>
      <c r="F34" s="3491" t="str">
        <f>IF(dpIncome_RentAdjustment_4="Construction Quality","A - Structural Steel","A")</f>
        <v>A - Structural Steel</v>
      </c>
      <c r="G34" s="4255" t="s">
        <v>1457</v>
      </c>
      <c r="H34" s="4258" t="s">
        <v>1842</v>
      </c>
      <c r="I34" s="4258"/>
      <c r="J34" s="4258"/>
      <c r="K34" s="4258"/>
      <c r="L34" s="3492" t="str">
        <f t="shared" si="5"/>
        <v/>
      </c>
      <c r="M34" s="4261">
        <f>dpIncome_Rent_Quality_RatingAdj*V34</f>
        <v>-0.2</v>
      </c>
      <c r="N34" s="4261"/>
      <c r="O34" s="4263" t="s">
        <v>177</v>
      </c>
      <c r="P34" s="3493" t="str">
        <f>IFERROR(L34+M34,"")</f>
        <v/>
      </c>
      <c r="Q34" s="3494"/>
      <c r="R34" s="6"/>
      <c r="T34" s="2100">
        <f t="shared" si="6"/>
        <v>0</v>
      </c>
      <c r="U34" s="707" t="str">
        <f t="shared" si="9"/>
        <v/>
      </c>
      <c r="V34" s="707">
        <f>IF(SUM(W34:W38)=1,0,IF(SUM(W$9:W34)=0,V39-1,V29+1))</f>
        <v>-2</v>
      </c>
      <c r="W34" s="707">
        <f>IF(dpIncome_RentAdjustment_4="Construction Quality",IF(AND(F34=Subject_ConstructionClass,G$34=Subject_ConstructionQuality),1,0),IF(AND(F34=Subject_InvestmentClass,G$34=Subject_ConstructionQuality),1,0))</f>
        <v>0</v>
      </c>
      <c r="X34" s="707">
        <f>IF(dpIncome_RentAdjustment_4="Construction Quality",IF(OR(ISERROR(HLOOKUP(X$8,'Rent Adjustments'!$G$8:$ZO$142,74,FALSE)),ISERROR(HLOOKUP(X$8,'Rent Adjustments'!$G$8:$ZO$142,75,FALSE))),0,IF(HLOOKUP(X$8,'Rent Adjustments'!$G$8:$ZO$142,74,FALSE)="",0,IF(AND($G34=HLOOKUP(X$8,'Rent Adjustments'!$G$8:$ZO$142,74,FALSE),$F34=HLOOKUP(X$8,'Rent Adjustments'!$G$8:$ZO$142,75,FALSE)),1,0))),IF(OR(ISERROR(HLOOKUP(X$8,'Rent Adjustments'!$G$8:$ZO$142,74,FALSE)),ISERROR(HLOOKUP(X$8,'Rent Adjustments'!$G$8:$ZO$142,76,FALSE))),0,IF(HLOOKUP(X$8,'Rent Adjustments'!$G$8:$ZO$142,74,FALSE)="",0,IF(AND($G34=HLOOKUP(X$8,'Rent Adjustments'!$G$8:$ZO$142,74,FALSE),$F34=HLOOKUP(X$8,'Rent Adjustments'!$G$8:$ZO$142,76,FALSE)),1,0))))</f>
        <v>0</v>
      </c>
      <c r="Y34" s="707">
        <f>IF(dpIncome_RentAdjustment_4="Construction Quality",IF(OR(ISERROR(HLOOKUP(Y$8,'Rent Adjustments'!$G$8:$ZO$142,74,FALSE)),ISERROR(HLOOKUP(Y$8,'Rent Adjustments'!$G$8:$ZO$142,75,FALSE))),0,IF(HLOOKUP(Y$8,'Rent Adjustments'!$G$8:$ZO$142,74,FALSE)="",0,IF(AND($G34=HLOOKUP(Y$8,'Rent Adjustments'!$G$8:$ZO$142,74,FALSE),$F34=HLOOKUP(Y$8,'Rent Adjustments'!$G$8:$ZO$142,75,FALSE)),1,0))),IF(OR(ISERROR(HLOOKUP(Y$8,'Rent Adjustments'!$G$8:$ZO$142,74,FALSE)),ISERROR(HLOOKUP(Y$8,'Rent Adjustments'!$G$8:$ZO$142,76,FALSE))),0,IF(HLOOKUP(Y$8,'Rent Adjustments'!$G$8:$ZO$142,74,FALSE)="",0,IF(AND($G34=HLOOKUP(Y$8,'Rent Adjustments'!$G$8:$ZO$142,74,FALSE),$F34=HLOOKUP(Y$8,'Rent Adjustments'!$G$8:$ZO$142,76,FALSE)),1,0))))</f>
        <v>0</v>
      </c>
      <c r="Z34" s="707">
        <f>IF(dpIncome_RentAdjustment_4="Construction Quality",IF(OR(ISERROR(HLOOKUP(Z$8,'Rent Adjustments'!$G$8:$ZO$142,74,FALSE)),ISERROR(HLOOKUP(Z$8,'Rent Adjustments'!$G$8:$ZO$142,75,FALSE))),0,IF(HLOOKUP(Z$8,'Rent Adjustments'!$G$8:$ZO$142,74,FALSE)="",0,IF(AND($G34=HLOOKUP(Z$8,'Rent Adjustments'!$G$8:$ZO$142,74,FALSE),$F34=HLOOKUP(Z$8,'Rent Adjustments'!$G$8:$ZO$142,75,FALSE)),1,0))),IF(OR(ISERROR(HLOOKUP(Z$8,'Rent Adjustments'!$G$8:$ZO$142,74,FALSE)),ISERROR(HLOOKUP(Z$8,'Rent Adjustments'!$G$8:$ZO$142,76,FALSE))),0,IF(HLOOKUP(Z$8,'Rent Adjustments'!$G$8:$ZO$142,74,FALSE)="",0,IF(AND($G34=HLOOKUP(Z$8,'Rent Adjustments'!$G$8:$ZO$142,74,FALSE),$F34=HLOOKUP(Z$8,'Rent Adjustments'!$G$8:$ZO$142,76,FALSE)),1,0))))</f>
        <v>0</v>
      </c>
      <c r="AA34" s="707">
        <f>IF(dpIncome_RentAdjustment_4="Construction Quality",IF(OR(ISERROR(HLOOKUP(AA$8,'Rent Adjustments'!$G$8:$ZO$142,74,FALSE)),ISERROR(HLOOKUP(AA$8,'Rent Adjustments'!$G$8:$ZO$142,75,FALSE))),0,IF(HLOOKUP(AA$8,'Rent Adjustments'!$G$8:$ZO$142,74,FALSE)="",0,IF(AND($G34=HLOOKUP(AA$8,'Rent Adjustments'!$G$8:$ZO$142,74,FALSE),$F34=HLOOKUP(AA$8,'Rent Adjustments'!$G$8:$ZO$142,75,FALSE)),1,0))),IF(OR(ISERROR(HLOOKUP(AA$8,'Rent Adjustments'!$G$8:$ZO$142,74,FALSE)),ISERROR(HLOOKUP(AA$8,'Rent Adjustments'!$G$8:$ZO$142,76,FALSE))),0,IF(HLOOKUP(AA$8,'Rent Adjustments'!$G$8:$ZO$142,74,FALSE)="",0,IF(AND($G34=HLOOKUP(AA$8,'Rent Adjustments'!$G$8:$ZO$142,74,FALSE),$F34=HLOOKUP(AA$8,'Rent Adjustments'!$G$8:$ZO$142,76,FALSE)),1,0))))</f>
        <v>0</v>
      </c>
      <c r="AB34" s="707">
        <f>IF(dpIncome_RentAdjustment_4="Construction Quality",IF(OR(ISERROR(HLOOKUP(AB$8,'Rent Adjustments'!$G$8:$ZO$142,74,FALSE)),ISERROR(HLOOKUP(AB$8,'Rent Adjustments'!$G$8:$ZO$142,75,FALSE))),0,IF(HLOOKUP(AB$8,'Rent Adjustments'!$G$8:$ZO$142,74,FALSE)="",0,IF(AND($G34=HLOOKUP(AB$8,'Rent Adjustments'!$G$8:$ZO$142,74,FALSE),$F34=HLOOKUP(AB$8,'Rent Adjustments'!$G$8:$ZO$142,75,FALSE)),1,0))),IF(OR(ISERROR(HLOOKUP(AB$8,'Rent Adjustments'!$G$8:$ZO$142,74,FALSE)),ISERROR(HLOOKUP(AB$8,'Rent Adjustments'!$G$8:$ZO$142,76,FALSE))),0,IF(HLOOKUP(AB$8,'Rent Adjustments'!$G$8:$ZO$142,74,FALSE)="",0,IF(AND($G34=HLOOKUP(AB$8,'Rent Adjustments'!$G$8:$ZO$142,74,FALSE),$F34=HLOOKUP(AB$8,'Rent Adjustments'!$G$8:$ZO$142,76,FALSE)),1,0))))</f>
        <v>0</v>
      </c>
      <c r="AC34" s="707">
        <f>IF(dpIncome_RentAdjustment_4="Construction Quality",IF(OR(ISERROR(HLOOKUP(AC$8,'Rent Adjustments'!$G$8:$ZO$142,74,FALSE)),ISERROR(HLOOKUP(AC$8,'Rent Adjustments'!$G$8:$ZO$142,75,FALSE))),0,IF(HLOOKUP(AC$8,'Rent Adjustments'!$G$8:$ZO$142,74,FALSE)="",0,IF(AND($G34=HLOOKUP(AC$8,'Rent Adjustments'!$G$8:$ZO$142,74,FALSE),$F34=HLOOKUP(AC$8,'Rent Adjustments'!$G$8:$ZO$142,75,FALSE)),1,0))),IF(OR(ISERROR(HLOOKUP(AC$8,'Rent Adjustments'!$G$8:$ZO$142,74,FALSE)),ISERROR(HLOOKUP(AC$8,'Rent Adjustments'!$G$8:$ZO$142,76,FALSE))),0,IF(HLOOKUP(AC$8,'Rent Adjustments'!$G$8:$ZO$142,74,FALSE)="",0,IF(AND($G34=HLOOKUP(AC$8,'Rent Adjustments'!$G$8:$ZO$142,74,FALSE),$F34=HLOOKUP(AC$8,'Rent Adjustments'!$G$8:$ZO$142,76,FALSE)),1,0))))</f>
        <v>0</v>
      </c>
      <c r="AD34" s="707">
        <f>IF(dpIncome_RentAdjustment_4="Construction Quality",IF(OR(ISERROR(HLOOKUP(AD$8,'Rent Adjustments'!$G$8:$ZO$142,74,FALSE)),ISERROR(HLOOKUP(AD$8,'Rent Adjustments'!$G$8:$ZO$142,75,FALSE))),0,IF(HLOOKUP(AD$8,'Rent Adjustments'!$G$8:$ZO$142,74,FALSE)="",0,IF(AND($G34=HLOOKUP(AD$8,'Rent Adjustments'!$G$8:$ZO$142,74,FALSE),$F34=HLOOKUP(AD$8,'Rent Adjustments'!$G$8:$ZO$142,75,FALSE)),1,0))),IF(OR(ISERROR(HLOOKUP(AD$8,'Rent Adjustments'!$G$8:$ZO$142,74,FALSE)),ISERROR(HLOOKUP(AD$8,'Rent Adjustments'!$G$8:$ZO$142,76,FALSE))),0,IF(HLOOKUP(AD$8,'Rent Adjustments'!$G$8:$ZO$142,74,FALSE)="",0,IF(AND($G34=HLOOKUP(AD$8,'Rent Adjustments'!$G$8:$ZO$142,74,FALSE),$F34=HLOOKUP(AD$8,'Rent Adjustments'!$G$8:$ZO$142,76,FALSE)),1,0))))</f>
        <v>0</v>
      </c>
      <c r="AE34" s="707">
        <f>IF(dpIncome_RentAdjustment_4="Construction Quality",IF(OR(ISERROR(HLOOKUP(AE$8,'Rent Adjustments'!$G$8:$ZO$142,74,FALSE)),ISERROR(HLOOKUP(AE$8,'Rent Adjustments'!$G$8:$ZO$142,75,FALSE))),0,IF(HLOOKUP(AE$8,'Rent Adjustments'!$G$8:$ZO$142,74,FALSE)="",0,IF(AND($G34=HLOOKUP(AE$8,'Rent Adjustments'!$G$8:$ZO$142,74,FALSE),$F34=HLOOKUP(AE$8,'Rent Adjustments'!$G$8:$ZO$142,75,FALSE)),1,0))),IF(OR(ISERROR(HLOOKUP(AE$8,'Rent Adjustments'!$G$8:$ZO$142,74,FALSE)),ISERROR(HLOOKUP(AE$8,'Rent Adjustments'!$G$8:$ZO$142,76,FALSE))),0,IF(HLOOKUP(AE$8,'Rent Adjustments'!$G$8:$ZO$142,74,FALSE)="",0,IF(AND($G34=HLOOKUP(AE$8,'Rent Adjustments'!$G$8:$ZO$142,74,FALSE),$F34=HLOOKUP(AE$8,'Rent Adjustments'!$G$8:$ZO$142,76,FALSE)),1,0))))</f>
        <v>0</v>
      </c>
      <c r="AF34" s="707">
        <f>IF(dpIncome_RentAdjustment_4="Construction Quality",IF(OR(ISERROR(HLOOKUP(AF$8,'Rent Adjustments'!$G$8:$ZO$142,74,FALSE)),ISERROR(HLOOKUP(AF$8,'Rent Adjustments'!$G$8:$ZO$142,75,FALSE))),0,IF(HLOOKUP(AF$8,'Rent Adjustments'!$G$8:$ZO$142,74,FALSE)="",0,IF(AND($G34=HLOOKUP(AF$8,'Rent Adjustments'!$G$8:$ZO$142,74,FALSE),$F34=HLOOKUP(AF$8,'Rent Adjustments'!$G$8:$ZO$142,75,FALSE)),1,0))),IF(OR(ISERROR(HLOOKUP(AF$8,'Rent Adjustments'!$G$8:$ZO$142,74,FALSE)),ISERROR(HLOOKUP(AF$8,'Rent Adjustments'!$G$8:$ZO$142,76,FALSE))),0,IF(HLOOKUP(AF$8,'Rent Adjustments'!$G$8:$ZO$142,74,FALSE)="",0,IF(AND($G34=HLOOKUP(AF$8,'Rent Adjustments'!$G$8:$ZO$142,74,FALSE),$F34=HLOOKUP(AF$8,'Rent Adjustments'!$G$8:$ZO$142,76,FALSE)),1,0))))</f>
        <v>0</v>
      </c>
      <c r="AG34" s="707">
        <f>IF(dpIncome_RentAdjustment_4="Construction Quality",IF(OR(ISERROR(HLOOKUP(AG$8,'Rent Adjustments'!$G$8:$ZO$142,74,FALSE)),ISERROR(HLOOKUP(AG$8,'Rent Adjustments'!$G$8:$ZO$142,75,FALSE))),0,IF(HLOOKUP(AG$8,'Rent Adjustments'!$G$8:$ZO$142,74,FALSE)="",0,IF(AND($G34=HLOOKUP(AG$8,'Rent Adjustments'!$G$8:$ZO$142,74,FALSE),$F34=HLOOKUP(AG$8,'Rent Adjustments'!$G$8:$ZO$142,75,FALSE)),1,0))),IF(OR(ISERROR(HLOOKUP(AG$8,'Rent Adjustments'!$G$8:$ZO$142,74,FALSE)),ISERROR(HLOOKUP(AG$8,'Rent Adjustments'!$G$8:$ZO$142,76,FALSE))),0,IF(HLOOKUP(AG$8,'Rent Adjustments'!$G$8:$ZO$142,74,FALSE)="",0,IF(AND($G34=HLOOKUP(AG$8,'Rent Adjustments'!$G$8:$ZO$142,74,FALSE),$F34=HLOOKUP(AG$8,'Rent Adjustments'!$G$8:$ZO$142,76,FALSE)),1,0))))</f>
        <v>0</v>
      </c>
      <c r="AH34" s="707">
        <f>SUM(W34:$W34)</f>
        <v>0</v>
      </c>
      <c r="AI34" s="707">
        <f>SUM($W34:X34)</f>
        <v>0</v>
      </c>
      <c r="AJ34" s="707">
        <f>SUM($W34:Y34)</f>
        <v>0</v>
      </c>
      <c r="AK34" s="707">
        <f>SUM($W34:Z34)</f>
        <v>0</v>
      </c>
      <c r="AL34" s="707">
        <f>SUM($W34:AA34)</f>
        <v>0</v>
      </c>
      <c r="AM34" s="707">
        <f>SUM($W34:AB34)</f>
        <v>0</v>
      </c>
      <c r="AN34" s="707">
        <f>SUM($W34:AC34)</f>
        <v>0</v>
      </c>
      <c r="AO34" s="707">
        <f>SUM($W34:AD34)</f>
        <v>0</v>
      </c>
      <c r="AP34" s="707">
        <f>SUM($W34:AE34)</f>
        <v>0</v>
      </c>
      <c r="AQ34" s="707">
        <f>SUM($W34:AF34)</f>
        <v>0</v>
      </c>
      <c r="AR34" s="707">
        <f>SUM($W34:AG34)</f>
        <v>0</v>
      </c>
      <c r="AS34" s="707" t="str">
        <f t="shared" si="11"/>
        <v/>
      </c>
      <c r="AT34" s="707" t="str">
        <f t="shared" si="11"/>
        <v/>
      </c>
      <c r="AU34" s="707" t="str">
        <f t="shared" si="11"/>
        <v/>
      </c>
      <c r="AV34" s="707" t="str">
        <f t="shared" si="11"/>
        <v/>
      </c>
      <c r="AW34" s="707" t="str">
        <f t="shared" si="11"/>
        <v/>
      </c>
      <c r="AX34" s="707" t="str">
        <f t="shared" si="11"/>
        <v/>
      </c>
      <c r="AY34" s="707" t="str">
        <f t="shared" si="11"/>
        <v/>
      </c>
      <c r="AZ34" s="707" t="str">
        <f t="shared" si="11"/>
        <v/>
      </c>
      <c r="BA34" s="707" t="str">
        <f t="shared" si="11"/>
        <v/>
      </c>
      <c r="BB34" s="707" t="str">
        <f t="shared" si="11"/>
        <v/>
      </c>
      <c r="BC34" s="707" t="str">
        <f t="shared" si="11"/>
        <v/>
      </c>
    </row>
    <row r="35" spans="1:55" ht="69.95" hidden="1" customHeight="1" x14ac:dyDescent="0.25">
      <c r="A35" s="972">
        <f t="shared" si="4"/>
        <v>0</v>
      </c>
      <c r="B35" s="4"/>
      <c r="C35" s="258"/>
      <c r="D35" s="4254" t="str">
        <f t="shared" si="8"/>
        <v/>
      </c>
      <c r="E35" s="4254"/>
      <c r="F35" s="3491" t="str">
        <f>IF(dpIncome_RentAdjustment_4="Construction Quality","B - Reinforced Concrete","B")</f>
        <v>B - Reinforced Concrete</v>
      </c>
      <c r="G35" s="4256"/>
      <c r="H35" s="4259"/>
      <c r="I35" s="4259"/>
      <c r="J35" s="4259"/>
      <c r="K35" s="4259"/>
      <c r="L35" s="3492" t="str">
        <f t="shared" si="5"/>
        <v/>
      </c>
      <c r="M35" s="4261"/>
      <c r="N35" s="4261"/>
      <c r="O35" s="4263"/>
      <c r="P35" s="3493" t="str">
        <f>IFERROR(L35+M34,"")</f>
        <v/>
      </c>
      <c r="Q35" s="3494"/>
      <c r="R35" s="6"/>
      <c r="T35" s="2100">
        <f t="shared" si="6"/>
        <v>0</v>
      </c>
      <c r="U35" s="707" t="str">
        <f t="shared" si="9"/>
        <v/>
      </c>
      <c r="V35" s="707"/>
      <c r="W35" s="707">
        <f>IF(dpIncome_RentAdjustment_4="Construction Quality",IF(AND(F35=Subject_ConstructionClass,G$34=Subject_ConstructionQuality),1,0),IF(AND(F35=Subject_InvestmentClass,G$34=Subject_ConstructionQuality),1,0))</f>
        <v>0</v>
      </c>
      <c r="X35" s="707">
        <f>IF(dpIncome_RentAdjustment_4="Construction Quality",IF(OR(ISERROR(HLOOKUP(X$8,'Rent Adjustments'!$G$8:$ZO$142,74,FALSE)),ISERROR(HLOOKUP(X$8,'Rent Adjustments'!$G$8:$ZO$142,75,FALSE))),0,IF(HLOOKUP(X$8,'Rent Adjustments'!$G$8:$ZO$142,74,FALSE)="",0,IF(AND($G34=HLOOKUP(X$8,'Rent Adjustments'!$G$8:$ZO$142,74,FALSE),$F35=HLOOKUP(X$8,'Rent Adjustments'!$G$8:$ZO$142,75,FALSE)),1,0))),IF(OR(ISERROR(HLOOKUP(X$8,'Rent Adjustments'!$G$8:$ZO$142,74,FALSE)),ISERROR(HLOOKUP(X$8,'Rent Adjustments'!$G$8:$ZO$142,76,FALSE))),0,IF(HLOOKUP(X$8,'Rent Adjustments'!$G$8:$ZO$142,74,FALSE)="",0,IF(AND($G34=HLOOKUP(X$8,'Rent Adjustments'!$G$8:$ZO$142,74,FALSE),$F35=HLOOKUP(X$8,'Rent Adjustments'!$G$8:$ZO$142,76,FALSE)),1,0))))</f>
        <v>0</v>
      </c>
      <c r="Y35" s="707">
        <f>IF(dpIncome_RentAdjustment_4="Construction Quality",IF(OR(ISERROR(HLOOKUP(Y$8,'Rent Adjustments'!$G$8:$ZO$142,74,FALSE)),ISERROR(HLOOKUP(Y$8,'Rent Adjustments'!$G$8:$ZO$142,75,FALSE))),0,IF(HLOOKUP(Y$8,'Rent Adjustments'!$G$8:$ZO$142,74,FALSE)="",0,IF(AND($G34=HLOOKUP(Y$8,'Rent Adjustments'!$G$8:$ZO$142,74,FALSE),$F35=HLOOKUP(Y$8,'Rent Adjustments'!$G$8:$ZO$142,75,FALSE)),1,0))),IF(OR(ISERROR(HLOOKUP(Y$8,'Rent Adjustments'!$G$8:$ZO$142,74,FALSE)),ISERROR(HLOOKUP(Y$8,'Rent Adjustments'!$G$8:$ZO$142,76,FALSE))),0,IF(HLOOKUP(Y$8,'Rent Adjustments'!$G$8:$ZO$142,74,FALSE)="",0,IF(AND($G34=HLOOKUP(Y$8,'Rent Adjustments'!$G$8:$ZO$142,74,FALSE),$F35=HLOOKUP(Y$8,'Rent Adjustments'!$G$8:$ZO$142,76,FALSE)),1,0))))</f>
        <v>0</v>
      </c>
      <c r="Z35" s="707">
        <f>IF(dpIncome_RentAdjustment_4="Construction Quality",IF(OR(ISERROR(HLOOKUP(Z$8,'Rent Adjustments'!$G$8:$ZO$142,74,FALSE)),ISERROR(HLOOKUP(Z$8,'Rent Adjustments'!$G$8:$ZO$142,75,FALSE))),0,IF(HLOOKUP(Z$8,'Rent Adjustments'!$G$8:$ZO$142,74,FALSE)="",0,IF(AND($G34=HLOOKUP(Z$8,'Rent Adjustments'!$G$8:$ZO$142,74,FALSE),$F35=HLOOKUP(Z$8,'Rent Adjustments'!$G$8:$ZO$142,75,FALSE)),1,0))),IF(OR(ISERROR(HLOOKUP(Z$8,'Rent Adjustments'!$G$8:$ZO$142,74,FALSE)),ISERROR(HLOOKUP(Z$8,'Rent Adjustments'!$G$8:$ZO$142,76,FALSE))),0,IF(HLOOKUP(Z$8,'Rent Adjustments'!$G$8:$ZO$142,74,FALSE)="",0,IF(AND($G34=HLOOKUP(Z$8,'Rent Adjustments'!$G$8:$ZO$142,74,FALSE),$F35=HLOOKUP(Z$8,'Rent Adjustments'!$G$8:$ZO$142,76,FALSE)),1,0))))</f>
        <v>0</v>
      </c>
      <c r="AA35" s="707">
        <f>IF(dpIncome_RentAdjustment_4="Construction Quality",IF(OR(ISERROR(HLOOKUP(AA$8,'Rent Adjustments'!$G$8:$ZO$142,74,FALSE)),ISERROR(HLOOKUP(AA$8,'Rent Adjustments'!$G$8:$ZO$142,75,FALSE))),0,IF(HLOOKUP(AA$8,'Rent Adjustments'!$G$8:$ZO$142,74,FALSE)="",0,IF(AND($G34=HLOOKUP(AA$8,'Rent Adjustments'!$G$8:$ZO$142,74,FALSE),$F35=HLOOKUP(AA$8,'Rent Adjustments'!$G$8:$ZO$142,75,FALSE)),1,0))),IF(OR(ISERROR(HLOOKUP(AA$8,'Rent Adjustments'!$G$8:$ZO$142,74,FALSE)),ISERROR(HLOOKUP(AA$8,'Rent Adjustments'!$G$8:$ZO$142,76,FALSE))),0,IF(HLOOKUP(AA$8,'Rent Adjustments'!$G$8:$ZO$142,74,FALSE)="",0,IF(AND($G34=HLOOKUP(AA$8,'Rent Adjustments'!$G$8:$ZO$142,74,FALSE),$F35=HLOOKUP(AA$8,'Rent Adjustments'!$G$8:$ZO$142,76,FALSE)),1,0))))</f>
        <v>0</v>
      </c>
      <c r="AB35" s="707">
        <f>IF(dpIncome_RentAdjustment_4="Construction Quality",IF(OR(ISERROR(HLOOKUP(AB$8,'Rent Adjustments'!$G$8:$ZO$142,74,FALSE)),ISERROR(HLOOKUP(AB$8,'Rent Adjustments'!$G$8:$ZO$142,75,FALSE))),0,IF(HLOOKUP(AB$8,'Rent Adjustments'!$G$8:$ZO$142,74,FALSE)="",0,IF(AND($G34=HLOOKUP(AB$8,'Rent Adjustments'!$G$8:$ZO$142,74,FALSE),$F35=HLOOKUP(AB$8,'Rent Adjustments'!$G$8:$ZO$142,75,FALSE)),1,0))),IF(OR(ISERROR(HLOOKUP(AB$8,'Rent Adjustments'!$G$8:$ZO$142,74,FALSE)),ISERROR(HLOOKUP(AB$8,'Rent Adjustments'!$G$8:$ZO$142,76,FALSE))),0,IF(HLOOKUP(AB$8,'Rent Adjustments'!$G$8:$ZO$142,74,FALSE)="",0,IF(AND($G34=HLOOKUP(AB$8,'Rent Adjustments'!$G$8:$ZO$142,74,FALSE),$F35=HLOOKUP(AB$8,'Rent Adjustments'!$G$8:$ZO$142,76,FALSE)),1,0))))</f>
        <v>0</v>
      </c>
      <c r="AC35" s="707">
        <f>IF(dpIncome_RentAdjustment_4="Construction Quality",IF(OR(ISERROR(HLOOKUP(AC$8,'Rent Adjustments'!$G$8:$ZO$142,74,FALSE)),ISERROR(HLOOKUP(AC$8,'Rent Adjustments'!$G$8:$ZO$142,75,FALSE))),0,IF(HLOOKUP(AC$8,'Rent Adjustments'!$G$8:$ZO$142,74,FALSE)="",0,IF(AND($G34=HLOOKUP(AC$8,'Rent Adjustments'!$G$8:$ZO$142,74,FALSE),$F35=HLOOKUP(AC$8,'Rent Adjustments'!$G$8:$ZO$142,75,FALSE)),1,0))),IF(OR(ISERROR(HLOOKUP(AC$8,'Rent Adjustments'!$G$8:$ZO$142,74,FALSE)),ISERROR(HLOOKUP(AC$8,'Rent Adjustments'!$G$8:$ZO$142,76,FALSE))),0,IF(HLOOKUP(AC$8,'Rent Adjustments'!$G$8:$ZO$142,74,FALSE)="",0,IF(AND($G34=HLOOKUP(AC$8,'Rent Adjustments'!$G$8:$ZO$142,74,FALSE),$F35=HLOOKUP(AC$8,'Rent Adjustments'!$G$8:$ZO$142,76,FALSE)),1,0))))</f>
        <v>0</v>
      </c>
      <c r="AD35" s="707">
        <f>IF(dpIncome_RentAdjustment_4="Construction Quality",IF(OR(ISERROR(HLOOKUP(AD$8,'Rent Adjustments'!$G$8:$ZO$142,74,FALSE)),ISERROR(HLOOKUP(AD$8,'Rent Adjustments'!$G$8:$ZO$142,75,FALSE))),0,IF(HLOOKUP(AD$8,'Rent Adjustments'!$G$8:$ZO$142,74,FALSE)="",0,IF(AND($G34=HLOOKUP(AD$8,'Rent Adjustments'!$G$8:$ZO$142,74,FALSE),$F35=HLOOKUP(AD$8,'Rent Adjustments'!$G$8:$ZO$142,75,FALSE)),1,0))),IF(OR(ISERROR(HLOOKUP(AD$8,'Rent Adjustments'!$G$8:$ZO$142,74,FALSE)),ISERROR(HLOOKUP(AD$8,'Rent Adjustments'!$G$8:$ZO$142,76,FALSE))),0,IF(HLOOKUP(AD$8,'Rent Adjustments'!$G$8:$ZO$142,74,FALSE)="",0,IF(AND($G34=HLOOKUP(AD$8,'Rent Adjustments'!$G$8:$ZO$142,74,FALSE),$F35=HLOOKUP(AD$8,'Rent Adjustments'!$G$8:$ZO$142,76,FALSE)),1,0))))</f>
        <v>0</v>
      </c>
      <c r="AE35" s="707">
        <f>IF(dpIncome_RentAdjustment_4="Construction Quality",IF(OR(ISERROR(HLOOKUP(AE$8,'Rent Adjustments'!$G$8:$ZO$142,74,FALSE)),ISERROR(HLOOKUP(AE$8,'Rent Adjustments'!$G$8:$ZO$142,75,FALSE))),0,IF(HLOOKUP(AE$8,'Rent Adjustments'!$G$8:$ZO$142,74,FALSE)="",0,IF(AND($G34=HLOOKUP(AE$8,'Rent Adjustments'!$G$8:$ZO$142,74,FALSE),$F35=HLOOKUP(AE$8,'Rent Adjustments'!$G$8:$ZO$142,75,FALSE)),1,0))),IF(OR(ISERROR(HLOOKUP(AE$8,'Rent Adjustments'!$G$8:$ZO$142,74,FALSE)),ISERROR(HLOOKUP(AE$8,'Rent Adjustments'!$G$8:$ZO$142,76,FALSE))),0,IF(HLOOKUP(AE$8,'Rent Adjustments'!$G$8:$ZO$142,74,FALSE)="",0,IF(AND($G34=HLOOKUP(AE$8,'Rent Adjustments'!$G$8:$ZO$142,74,FALSE),$F35=HLOOKUP(AE$8,'Rent Adjustments'!$G$8:$ZO$142,76,FALSE)),1,0))))</f>
        <v>0</v>
      </c>
      <c r="AF35" s="707">
        <f>IF(dpIncome_RentAdjustment_4="Construction Quality",IF(OR(ISERROR(HLOOKUP(AF$8,'Rent Adjustments'!$G$8:$ZO$142,74,FALSE)),ISERROR(HLOOKUP(AF$8,'Rent Adjustments'!$G$8:$ZO$142,75,FALSE))),0,IF(HLOOKUP(AF$8,'Rent Adjustments'!$G$8:$ZO$142,74,FALSE)="",0,IF(AND($G34=HLOOKUP(AF$8,'Rent Adjustments'!$G$8:$ZO$142,74,FALSE),$F35=HLOOKUP(AF$8,'Rent Adjustments'!$G$8:$ZO$142,75,FALSE)),1,0))),IF(OR(ISERROR(HLOOKUP(AF$8,'Rent Adjustments'!$G$8:$ZO$142,74,FALSE)),ISERROR(HLOOKUP(AF$8,'Rent Adjustments'!$G$8:$ZO$142,76,FALSE))),0,IF(HLOOKUP(AF$8,'Rent Adjustments'!$G$8:$ZO$142,74,FALSE)="",0,IF(AND($G34=HLOOKUP(AF$8,'Rent Adjustments'!$G$8:$ZO$142,74,FALSE),$F35=HLOOKUP(AF$8,'Rent Adjustments'!$G$8:$ZO$142,76,FALSE)),1,0))))</f>
        <v>0</v>
      </c>
      <c r="AG35" s="707">
        <f>IF(dpIncome_RentAdjustment_4="Construction Quality",IF(OR(ISERROR(HLOOKUP(AG$8,'Rent Adjustments'!$G$8:$ZO$142,74,FALSE)),ISERROR(HLOOKUP(AG$8,'Rent Adjustments'!$G$8:$ZO$142,75,FALSE))),0,IF(HLOOKUP(AG$8,'Rent Adjustments'!$G$8:$ZO$142,74,FALSE)="",0,IF(AND($G34=HLOOKUP(AG$8,'Rent Adjustments'!$G$8:$ZO$142,74,FALSE),$F35=HLOOKUP(AG$8,'Rent Adjustments'!$G$8:$ZO$142,75,FALSE)),1,0))),IF(OR(ISERROR(HLOOKUP(AG$8,'Rent Adjustments'!$G$8:$ZO$142,74,FALSE)),ISERROR(HLOOKUP(AG$8,'Rent Adjustments'!$G$8:$ZO$142,76,FALSE))),0,IF(HLOOKUP(AG$8,'Rent Adjustments'!$G$8:$ZO$142,74,FALSE)="",0,IF(AND($G34=HLOOKUP(AG$8,'Rent Adjustments'!$G$8:$ZO$142,74,FALSE),$F35=HLOOKUP(AG$8,'Rent Adjustments'!$G$8:$ZO$142,76,FALSE)),1,0))))</f>
        <v>0</v>
      </c>
      <c r="AH35" s="707">
        <f>SUM(W35:$W35)</f>
        <v>0</v>
      </c>
      <c r="AI35" s="707">
        <f>SUM($W35:X35)</f>
        <v>0</v>
      </c>
      <c r="AJ35" s="707">
        <f>SUM($W35:Y35)</f>
        <v>0</v>
      </c>
      <c r="AK35" s="707">
        <f>SUM($W35:Z35)</f>
        <v>0</v>
      </c>
      <c r="AL35" s="707">
        <f>SUM($W35:AA35)</f>
        <v>0</v>
      </c>
      <c r="AM35" s="707">
        <f>SUM($W35:AB35)</f>
        <v>0</v>
      </c>
      <c r="AN35" s="707">
        <f>SUM($W35:AC35)</f>
        <v>0</v>
      </c>
      <c r="AO35" s="707">
        <f>SUM($W35:AD35)</f>
        <v>0</v>
      </c>
      <c r="AP35" s="707">
        <f>SUM($W35:AE35)</f>
        <v>0</v>
      </c>
      <c r="AQ35" s="707">
        <f>SUM($W35:AF35)</f>
        <v>0</v>
      </c>
      <c r="AR35" s="707">
        <f>SUM($W35:AG35)</f>
        <v>0</v>
      </c>
      <c r="AS35" s="707" t="str">
        <f t="shared" si="11"/>
        <v/>
      </c>
      <c r="AT35" s="707" t="str">
        <f t="shared" si="11"/>
        <v/>
      </c>
      <c r="AU35" s="707" t="str">
        <f t="shared" si="11"/>
        <v/>
      </c>
      <c r="AV35" s="707" t="str">
        <f t="shared" si="11"/>
        <v/>
      </c>
      <c r="AW35" s="707" t="str">
        <f t="shared" si="11"/>
        <v/>
      </c>
      <c r="AX35" s="707" t="str">
        <f t="shared" si="11"/>
        <v/>
      </c>
      <c r="AY35" s="707" t="str">
        <f t="shared" si="11"/>
        <v/>
      </c>
      <c r="AZ35" s="707" t="str">
        <f t="shared" si="11"/>
        <v/>
      </c>
      <c r="BA35" s="707" t="str">
        <f t="shared" si="11"/>
        <v/>
      </c>
      <c r="BB35" s="707" t="str">
        <f t="shared" si="11"/>
        <v/>
      </c>
      <c r="BC35" s="707" t="str">
        <f t="shared" si="11"/>
        <v/>
      </c>
    </row>
    <row r="36" spans="1:55" ht="69.95" hidden="1" customHeight="1" x14ac:dyDescent="0.25">
      <c r="A36" s="972">
        <f t="shared" si="4"/>
        <v>0</v>
      </c>
      <c r="B36" s="4"/>
      <c r="C36" s="258"/>
      <c r="D36" s="4254" t="str">
        <f t="shared" si="8"/>
        <v/>
      </c>
      <c r="E36" s="4254"/>
      <c r="F36" s="3491" t="str">
        <f>IF(dpIncome_RentAdjustment_4="Construction Quality","C - Masonry","C")</f>
        <v>C - Masonry</v>
      </c>
      <c r="G36" s="4256"/>
      <c r="H36" s="4259"/>
      <c r="I36" s="4259"/>
      <c r="J36" s="4259"/>
      <c r="K36" s="4259"/>
      <c r="L36" s="3492" t="str">
        <f t="shared" si="5"/>
        <v/>
      </c>
      <c r="M36" s="4261"/>
      <c r="N36" s="4261"/>
      <c r="O36" s="4263"/>
      <c r="P36" s="3493" t="str">
        <f>IFERROR(L36+M34,"")</f>
        <v/>
      </c>
      <c r="Q36" s="3494"/>
      <c r="R36" s="6"/>
      <c r="T36" s="2100">
        <f t="shared" si="6"/>
        <v>0</v>
      </c>
      <c r="U36" s="707" t="str">
        <f t="shared" ref="U36:U43" si="12">U31</f>
        <v/>
      </c>
      <c r="V36" s="707"/>
      <c r="W36" s="707">
        <f>IF(dpIncome_RentAdjustment_4="Construction Quality",IF(AND(F36=Subject_ConstructionClass,G$34=Subject_ConstructionQuality),1,0),IF(AND(F36=Subject_InvestmentClass,G$34=Subject_ConstructionQuality),1,0))</f>
        <v>0</v>
      </c>
      <c r="X36" s="707">
        <f>IF(dpIncome_RentAdjustment_4="Construction Quality",IF(OR(ISERROR(HLOOKUP(X$8,'Rent Adjustments'!$G$8:$ZO$142,74,FALSE)),ISERROR(HLOOKUP(X$8,'Rent Adjustments'!$G$8:$ZO$142,75,FALSE))),0,IF(HLOOKUP(X$8,'Rent Adjustments'!$G$8:$ZO$142,74,FALSE)="",0,IF(AND($G34=HLOOKUP(X$8,'Rent Adjustments'!$G$8:$ZO$142,74,FALSE),$F36=HLOOKUP(X$8,'Rent Adjustments'!$G$8:$ZO$142,75,FALSE)),1,0))),IF(OR(ISERROR(HLOOKUP(X$8,'Rent Adjustments'!$G$8:$ZO$142,74,FALSE)),ISERROR(HLOOKUP(X$8,'Rent Adjustments'!$G$8:$ZO$142,76,FALSE))),0,IF(HLOOKUP(X$8,'Rent Adjustments'!$G$8:$ZO$142,74,FALSE)="",0,IF(AND($G34=HLOOKUP(X$8,'Rent Adjustments'!$G$8:$ZO$142,74,FALSE),$F36=HLOOKUP(X$8,'Rent Adjustments'!$G$8:$ZO$142,76,FALSE)),1,0))))</f>
        <v>0</v>
      </c>
      <c r="Y36" s="707">
        <f>IF(dpIncome_RentAdjustment_4="Construction Quality",IF(OR(ISERROR(HLOOKUP(Y$8,'Rent Adjustments'!$G$8:$ZO$142,74,FALSE)),ISERROR(HLOOKUP(Y$8,'Rent Adjustments'!$G$8:$ZO$142,75,FALSE))),0,IF(HLOOKUP(Y$8,'Rent Adjustments'!$G$8:$ZO$142,74,FALSE)="",0,IF(AND($G34=HLOOKUP(Y$8,'Rent Adjustments'!$G$8:$ZO$142,74,FALSE),$F36=HLOOKUP(Y$8,'Rent Adjustments'!$G$8:$ZO$142,75,FALSE)),1,0))),IF(OR(ISERROR(HLOOKUP(Y$8,'Rent Adjustments'!$G$8:$ZO$142,74,FALSE)),ISERROR(HLOOKUP(Y$8,'Rent Adjustments'!$G$8:$ZO$142,76,FALSE))),0,IF(HLOOKUP(Y$8,'Rent Adjustments'!$G$8:$ZO$142,74,FALSE)="",0,IF(AND($G34=HLOOKUP(Y$8,'Rent Adjustments'!$G$8:$ZO$142,74,FALSE),$F36=HLOOKUP(Y$8,'Rent Adjustments'!$G$8:$ZO$142,76,FALSE)),1,0))))</f>
        <v>0</v>
      </c>
      <c r="Z36" s="707">
        <f>IF(dpIncome_RentAdjustment_4="Construction Quality",IF(OR(ISERROR(HLOOKUP(Z$8,'Rent Adjustments'!$G$8:$ZO$142,74,FALSE)),ISERROR(HLOOKUP(Z$8,'Rent Adjustments'!$G$8:$ZO$142,75,FALSE))),0,IF(HLOOKUP(Z$8,'Rent Adjustments'!$G$8:$ZO$142,74,FALSE)="",0,IF(AND($G34=HLOOKUP(Z$8,'Rent Adjustments'!$G$8:$ZO$142,74,FALSE),$F36=HLOOKUP(Z$8,'Rent Adjustments'!$G$8:$ZO$142,75,FALSE)),1,0))),IF(OR(ISERROR(HLOOKUP(Z$8,'Rent Adjustments'!$G$8:$ZO$142,74,FALSE)),ISERROR(HLOOKUP(Z$8,'Rent Adjustments'!$G$8:$ZO$142,76,FALSE))),0,IF(HLOOKUP(Z$8,'Rent Adjustments'!$G$8:$ZO$142,74,FALSE)="",0,IF(AND($G34=HLOOKUP(Z$8,'Rent Adjustments'!$G$8:$ZO$142,74,FALSE),$F36=HLOOKUP(Z$8,'Rent Adjustments'!$G$8:$ZO$142,76,FALSE)),1,0))))</f>
        <v>0</v>
      </c>
      <c r="AA36" s="707">
        <f>IF(dpIncome_RentAdjustment_4="Construction Quality",IF(OR(ISERROR(HLOOKUP(AA$8,'Rent Adjustments'!$G$8:$ZO$142,74,FALSE)),ISERROR(HLOOKUP(AA$8,'Rent Adjustments'!$G$8:$ZO$142,75,FALSE))),0,IF(HLOOKUP(AA$8,'Rent Adjustments'!$G$8:$ZO$142,74,FALSE)="",0,IF(AND($G34=HLOOKUP(AA$8,'Rent Adjustments'!$G$8:$ZO$142,74,FALSE),$F36=HLOOKUP(AA$8,'Rent Adjustments'!$G$8:$ZO$142,75,FALSE)),1,0))),IF(OR(ISERROR(HLOOKUP(AA$8,'Rent Adjustments'!$G$8:$ZO$142,74,FALSE)),ISERROR(HLOOKUP(AA$8,'Rent Adjustments'!$G$8:$ZO$142,76,FALSE))),0,IF(HLOOKUP(AA$8,'Rent Adjustments'!$G$8:$ZO$142,74,FALSE)="",0,IF(AND($G34=HLOOKUP(AA$8,'Rent Adjustments'!$G$8:$ZO$142,74,FALSE),$F36=HLOOKUP(AA$8,'Rent Adjustments'!$G$8:$ZO$142,76,FALSE)),1,0))))</f>
        <v>0</v>
      </c>
      <c r="AB36" s="707">
        <f>IF(dpIncome_RentAdjustment_4="Construction Quality",IF(OR(ISERROR(HLOOKUP(AB$8,'Rent Adjustments'!$G$8:$ZO$142,74,FALSE)),ISERROR(HLOOKUP(AB$8,'Rent Adjustments'!$G$8:$ZO$142,75,FALSE))),0,IF(HLOOKUP(AB$8,'Rent Adjustments'!$G$8:$ZO$142,74,FALSE)="",0,IF(AND($G34=HLOOKUP(AB$8,'Rent Adjustments'!$G$8:$ZO$142,74,FALSE),$F36=HLOOKUP(AB$8,'Rent Adjustments'!$G$8:$ZO$142,75,FALSE)),1,0))),IF(OR(ISERROR(HLOOKUP(AB$8,'Rent Adjustments'!$G$8:$ZO$142,74,FALSE)),ISERROR(HLOOKUP(AB$8,'Rent Adjustments'!$G$8:$ZO$142,76,FALSE))),0,IF(HLOOKUP(AB$8,'Rent Adjustments'!$G$8:$ZO$142,74,FALSE)="",0,IF(AND($G34=HLOOKUP(AB$8,'Rent Adjustments'!$G$8:$ZO$142,74,FALSE),$F36=HLOOKUP(AB$8,'Rent Adjustments'!$G$8:$ZO$142,76,FALSE)),1,0))))</f>
        <v>0</v>
      </c>
      <c r="AC36" s="707">
        <f>IF(dpIncome_RentAdjustment_4="Construction Quality",IF(OR(ISERROR(HLOOKUP(AC$8,'Rent Adjustments'!$G$8:$ZO$142,74,FALSE)),ISERROR(HLOOKUP(AC$8,'Rent Adjustments'!$G$8:$ZO$142,75,FALSE))),0,IF(HLOOKUP(AC$8,'Rent Adjustments'!$G$8:$ZO$142,74,FALSE)="",0,IF(AND($G34=HLOOKUP(AC$8,'Rent Adjustments'!$G$8:$ZO$142,74,FALSE),$F36=HLOOKUP(AC$8,'Rent Adjustments'!$G$8:$ZO$142,75,FALSE)),1,0))),IF(OR(ISERROR(HLOOKUP(AC$8,'Rent Adjustments'!$G$8:$ZO$142,74,FALSE)),ISERROR(HLOOKUP(AC$8,'Rent Adjustments'!$G$8:$ZO$142,76,FALSE))),0,IF(HLOOKUP(AC$8,'Rent Adjustments'!$G$8:$ZO$142,74,FALSE)="",0,IF(AND($G34=HLOOKUP(AC$8,'Rent Adjustments'!$G$8:$ZO$142,74,FALSE),$F36=HLOOKUP(AC$8,'Rent Adjustments'!$G$8:$ZO$142,76,FALSE)),1,0))))</f>
        <v>0</v>
      </c>
      <c r="AD36" s="707">
        <f>IF(dpIncome_RentAdjustment_4="Construction Quality",IF(OR(ISERROR(HLOOKUP(AD$8,'Rent Adjustments'!$G$8:$ZO$142,74,FALSE)),ISERROR(HLOOKUP(AD$8,'Rent Adjustments'!$G$8:$ZO$142,75,FALSE))),0,IF(HLOOKUP(AD$8,'Rent Adjustments'!$G$8:$ZO$142,74,FALSE)="",0,IF(AND($G34=HLOOKUP(AD$8,'Rent Adjustments'!$G$8:$ZO$142,74,FALSE),$F36=HLOOKUP(AD$8,'Rent Adjustments'!$G$8:$ZO$142,75,FALSE)),1,0))),IF(OR(ISERROR(HLOOKUP(AD$8,'Rent Adjustments'!$G$8:$ZO$142,74,FALSE)),ISERROR(HLOOKUP(AD$8,'Rent Adjustments'!$G$8:$ZO$142,76,FALSE))),0,IF(HLOOKUP(AD$8,'Rent Adjustments'!$G$8:$ZO$142,74,FALSE)="",0,IF(AND($G34=HLOOKUP(AD$8,'Rent Adjustments'!$G$8:$ZO$142,74,FALSE),$F36=HLOOKUP(AD$8,'Rent Adjustments'!$G$8:$ZO$142,76,FALSE)),1,0))))</f>
        <v>0</v>
      </c>
      <c r="AE36" s="707">
        <f>IF(dpIncome_RentAdjustment_4="Construction Quality",IF(OR(ISERROR(HLOOKUP(AE$8,'Rent Adjustments'!$G$8:$ZO$142,74,FALSE)),ISERROR(HLOOKUP(AE$8,'Rent Adjustments'!$G$8:$ZO$142,75,FALSE))),0,IF(HLOOKUP(AE$8,'Rent Adjustments'!$G$8:$ZO$142,74,FALSE)="",0,IF(AND($G34=HLOOKUP(AE$8,'Rent Adjustments'!$G$8:$ZO$142,74,FALSE),$F36=HLOOKUP(AE$8,'Rent Adjustments'!$G$8:$ZO$142,75,FALSE)),1,0))),IF(OR(ISERROR(HLOOKUP(AE$8,'Rent Adjustments'!$G$8:$ZO$142,74,FALSE)),ISERROR(HLOOKUP(AE$8,'Rent Adjustments'!$G$8:$ZO$142,76,FALSE))),0,IF(HLOOKUP(AE$8,'Rent Adjustments'!$G$8:$ZO$142,74,FALSE)="",0,IF(AND($G34=HLOOKUP(AE$8,'Rent Adjustments'!$G$8:$ZO$142,74,FALSE),$F36=HLOOKUP(AE$8,'Rent Adjustments'!$G$8:$ZO$142,76,FALSE)),1,0))))</f>
        <v>0</v>
      </c>
      <c r="AF36" s="707">
        <f>IF(dpIncome_RentAdjustment_4="Construction Quality",IF(OR(ISERROR(HLOOKUP(AF$8,'Rent Adjustments'!$G$8:$ZO$142,74,FALSE)),ISERROR(HLOOKUP(AF$8,'Rent Adjustments'!$G$8:$ZO$142,75,FALSE))),0,IF(HLOOKUP(AF$8,'Rent Adjustments'!$G$8:$ZO$142,74,FALSE)="",0,IF(AND($G34=HLOOKUP(AF$8,'Rent Adjustments'!$G$8:$ZO$142,74,FALSE),$F36=HLOOKUP(AF$8,'Rent Adjustments'!$G$8:$ZO$142,75,FALSE)),1,0))),IF(OR(ISERROR(HLOOKUP(AF$8,'Rent Adjustments'!$G$8:$ZO$142,74,FALSE)),ISERROR(HLOOKUP(AF$8,'Rent Adjustments'!$G$8:$ZO$142,76,FALSE))),0,IF(HLOOKUP(AF$8,'Rent Adjustments'!$G$8:$ZO$142,74,FALSE)="",0,IF(AND($G34=HLOOKUP(AF$8,'Rent Adjustments'!$G$8:$ZO$142,74,FALSE),$F36=HLOOKUP(AF$8,'Rent Adjustments'!$G$8:$ZO$142,76,FALSE)),1,0))))</f>
        <v>0</v>
      </c>
      <c r="AG36" s="707">
        <f>IF(dpIncome_RentAdjustment_4="Construction Quality",IF(OR(ISERROR(HLOOKUP(AG$8,'Rent Adjustments'!$G$8:$ZO$142,74,FALSE)),ISERROR(HLOOKUP(AG$8,'Rent Adjustments'!$G$8:$ZO$142,75,FALSE))),0,IF(HLOOKUP(AG$8,'Rent Adjustments'!$G$8:$ZO$142,74,FALSE)="",0,IF(AND($G34=HLOOKUP(AG$8,'Rent Adjustments'!$G$8:$ZO$142,74,FALSE),$F36=HLOOKUP(AG$8,'Rent Adjustments'!$G$8:$ZO$142,75,FALSE)),1,0))),IF(OR(ISERROR(HLOOKUP(AG$8,'Rent Adjustments'!$G$8:$ZO$142,74,FALSE)),ISERROR(HLOOKUP(AG$8,'Rent Adjustments'!$G$8:$ZO$142,76,FALSE))),0,IF(HLOOKUP(AG$8,'Rent Adjustments'!$G$8:$ZO$142,74,FALSE)="",0,IF(AND($G34=HLOOKUP(AG$8,'Rent Adjustments'!$G$8:$ZO$142,74,FALSE),$F36=HLOOKUP(AG$8,'Rent Adjustments'!$G$8:$ZO$142,76,FALSE)),1,0))))</f>
        <v>0</v>
      </c>
      <c r="AH36" s="707">
        <f>SUM(W36:$W36)</f>
        <v>0</v>
      </c>
      <c r="AI36" s="707">
        <f>SUM($W36:X36)</f>
        <v>0</v>
      </c>
      <c r="AJ36" s="707">
        <f>SUM($W36:Y36)</f>
        <v>0</v>
      </c>
      <c r="AK36" s="707">
        <f>SUM($W36:Z36)</f>
        <v>0</v>
      </c>
      <c r="AL36" s="707">
        <f>SUM($W36:AA36)</f>
        <v>0</v>
      </c>
      <c r="AM36" s="707">
        <f>SUM($W36:AB36)</f>
        <v>0</v>
      </c>
      <c r="AN36" s="707">
        <f>SUM($W36:AC36)</f>
        <v>0</v>
      </c>
      <c r="AO36" s="707">
        <f>SUM($W36:AD36)</f>
        <v>0</v>
      </c>
      <c r="AP36" s="707">
        <f>SUM($W36:AE36)</f>
        <v>0</v>
      </c>
      <c r="AQ36" s="707">
        <f>SUM($W36:AF36)</f>
        <v>0</v>
      </c>
      <c r="AR36" s="707">
        <f>SUM($W36:AG36)</f>
        <v>0</v>
      </c>
      <c r="AS36" s="707" t="str">
        <f t="shared" si="11"/>
        <v/>
      </c>
      <c r="AT36" s="707" t="str">
        <f t="shared" si="11"/>
        <v/>
      </c>
      <c r="AU36" s="707" t="str">
        <f t="shared" si="11"/>
        <v/>
      </c>
      <c r="AV36" s="707" t="str">
        <f t="shared" si="11"/>
        <v/>
      </c>
      <c r="AW36" s="707" t="str">
        <f t="shared" si="11"/>
        <v/>
      </c>
      <c r="AX36" s="707" t="str">
        <f t="shared" si="11"/>
        <v/>
      </c>
      <c r="AY36" s="707" t="str">
        <f t="shared" si="11"/>
        <v/>
      </c>
      <c r="AZ36" s="707" t="str">
        <f t="shared" si="11"/>
        <v/>
      </c>
      <c r="BA36" s="707" t="str">
        <f t="shared" si="11"/>
        <v/>
      </c>
      <c r="BB36" s="707" t="str">
        <f t="shared" si="11"/>
        <v/>
      </c>
      <c r="BC36" s="707" t="str">
        <f t="shared" si="11"/>
        <v/>
      </c>
    </row>
    <row r="37" spans="1:55" ht="69.95" hidden="1" customHeight="1" x14ac:dyDescent="0.25">
      <c r="A37" s="972">
        <f t="shared" si="4"/>
        <v>0</v>
      </c>
      <c r="B37" s="4"/>
      <c r="C37" s="258"/>
      <c r="D37" s="4254" t="str">
        <f t="shared" si="8"/>
        <v/>
      </c>
      <c r="E37" s="4254"/>
      <c r="F37" s="3491" t="str">
        <f>IF(dpIncome_RentAdjustment_4="Construction Quality","D - Wood Frame","")</f>
        <v>D - Wood Frame</v>
      </c>
      <c r="G37" s="4256"/>
      <c r="H37" s="4259"/>
      <c r="I37" s="4259"/>
      <c r="J37" s="4259"/>
      <c r="K37" s="4259"/>
      <c r="L37" s="3492" t="str">
        <f t="shared" si="5"/>
        <v/>
      </c>
      <c r="M37" s="4261"/>
      <c r="N37" s="4261"/>
      <c r="O37" s="4263"/>
      <c r="P37" s="3493" t="str">
        <f>IFERROR(L37+M34,"")</f>
        <v/>
      </c>
      <c r="Q37" s="3494"/>
      <c r="R37" s="6"/>
      <c r="T37" s="2100">
        <f t="shared" si="6"/>
        <v>0</v>
      </c>
      <c r="U37" s="707" t="str">
        <f t="shared" si="12"/>
        <v/>
      </c>
      <c r="V37" s="707"/>
      <c r="W37" s="707">
        <f>IF(dpIncome_RentAdjustment_4="Construction Quality",IF(AND(F37=Subject_ConstructionClass,G$34=Subject_ConstructionQuality),1,0),IF(AND(F37=Subject_InvestmentClass,G$34=Subject_ConstructionQuality),1,0))</f>
        <v>0</v>
      </c>
      <c r="X37" s="707">
        <f>IF(dpIncome_RentAdjustment_4="Construction Quality",IF(OR(ISERROR(HLOOKUP(X$8,'Rent Adjustments'!$G$8:$ZO$142,74,FALSE)),ISERROR(HLOOKUP(X$8,'Rent Adjustments'!$G$8:$ZO$142,75,FALSE))),0,IF(HLOOKUP(X$8,'Rent Adjustments'!$G$8:$ZO$142,74,FALSE)="",0,IF(AND($G34=HLOOKUP(X$8,'Rent Adjustments'!$G$8:$ZO$142,74,FALSE),$F37=HLOOKUP(X$8,'Rent Adjustments'!$G$8:$ZO$142,75,FALSE)),1,0))),IF(OR(ISERROR(HLOOKUP(X$8,'Rent Adjustments'!$G$8:$ZO$142,74,FALSE)),ISERROR(HLOOKUP(X$8,'Rent Adjustments'!$G$8:$ZO$142,76,FALSE))),0,IF(HLOOKUP(X$8,'Rent Adjustments'!$G$8:$ZO$142,74,FALSE)="",0,IF(AND($G34=HLOOKUP(X$8,'Rent Adjustments'!$G$8:$ZO$142,74,FALSE),$F37=HLOOKUP(X$8,'Rent Adjustments'!$G$8:$ZO$142,76,FALSE)),1,0))))</f>
        <v>0</v>
      </c>
      <c r="Y37" s="707">
        <f>IF(dpIncome_RentAdjustment_4="Construction Quality",IF(OR(ISERROR(HLOOKUP(Y$8,'Rent Adjustments'!$G$8:$ZO$142,74,FALSE)),ISERROR(HLOOKUP(Y$8,'Rent Adjustments'!$G$8:$ZO$142,75,FALSE))),0,IF(HLOOKUP(Y$8,'Rent Adjustments'!$G$8:$ZO$142,74,FALSE)="",0,IF(AND($G34=HLOOKUP(Y$8,'Rent Adjustments'!$G$8:$ZO$142,74,FALSE),$F37=HLOOKUP(Y$8,'Rent Adjustments'!$G$8:$ZO$142,75,FALSE)),1,0))),IF(OR(ISERROR(HLOOKUP(Y$8,'Rent Adjustments'!$G$8:$ZO$142,74,FALSE)),ISERROR(HLOOKUP(Y$8,'Rent Adjustments'!$G$8:$ZO$142,76,FALSE))),0,IF(HLOOKUP(Y$8,'Rent Adjustments'!$G$8:$ZO$142,74,FALSE)="",0,IF(AND($G34=HLOOKUP(Y$8,'Rent Adjustments'!$G$8:$ZO$142,74,FALSE),$F37=HLOOKUP(Y$8,'Rent Adjustments'!$G$8:$ZO$142,76,FALSE)),1,0))))</f>
        <v>0</v>
      </c>
      <c r="Z37" s="707">
        <f>IF(dpIncome_RentAdjustment_4="Construction Quality",IF(OR(ISERROR(HLOOKUP(Z$8,'Rent Adjustments'!$G$8:$ZO$142,74,FALSE)),ISERROR(HLOOKUP(Z$8,'Rent Adjustments'!$G$8:$ZO$142,75,FALSE))),0,IF(HLOOKUP(Z$8,'Rent Adjustments'!$G$8:$ZO$142,74,FALSE)="",0,IF(AND($G34=HLOOKUP(Z$8,'Rent Adjustments'!$G$8:$ZO$142,74,FALSE),$F37=HLOOKUP(Z$8,'Rent Adjustments'!$G$8:$ZO$142,75,FALSE)),1,0))),IF(OR(ISERROR(HLOOKUP(Z$8,'Rent Adjustments'!$G$8:$ZO$142,74,FALSE)),ISERROR(HLOOKUP(Z$8,'Rent Adjustments'!$G$8:$ZO$142,76,FALSE))),0,IF(HLOOKUP(Z$8,'Rent Adjustments'!$G$8:$ZO$142,74,FALSE)="",0,IF(AND($G34=HLOOKUP(Z$8,'Rent Adjustments'!$G$8:$ZO$142,74,FALSE),$F37=HLOOKUP(Z$8,'Rent Adjustments'!$G$8:$ZO$142,76,FALSE)),1,0))))</f>
        <v>0</v>
      </c>
      <c r="AA37" s="707">
        <f>IF(dpIncome_RentAdjustment_4="Construction Quality",IF(OR(ISERROR(HLOOKUP(AA$8,'Rent Adjustments'!$G$8:$ZO$142,74,FALSE)),ISERROR(HLOOKUP(AA$8,'Rent Adjustments'!$G$8:$ZO$142,75,FALSE))),0,IF(HLOOKUP(AA$8,'Rent Adjustments'!$G$8:$ZO$142,74,FALSE)="",0,IF(AND($G34=HLOOKUP(AA$8,'Rent Adjustments'!$G$8:$ZO$142,74,FALSE),$F37=HLOOKUP(AA$8,'Rent Adjustments'!$G$8:$ZO$142,75,FALSE)),1,0))),IF(OR(ISERROR(HLOOKUP(AA$8,'Rent Adjustments'!$G$8:$ZO$142,74,FALSE)),ISERROR(HLOOKUP(AA$8,'Rent Adjustments'!$G$8:$ZO$142,76,FALSE))),0,IF(HLOOKUP(AA$8,'Rent Adjustments'!$G$8:$ZO$142,74,FALSE)="",0,IF(AND($G34=HLOOKUP(AA$8,'Rent Adjustments'!$G$8:$ZO$142,74,FALSE),$F37=HLOOKUP(AA$8,'Rent Adjustments'!$G$8:$ZO$142,76,FALSE)),1,0))))</f>
        <v>0</v>
      </c>
      <c r="AB37" s="707">
        <f>IF(dpIncome_RentAdjustment_4="Construction Quality",IF(OR(ISERROR(HLOOKUP(AB$8,'Rent Adjustments'!$G$8:$ZO$142,74,FALSE)),ISERROR(HLOOKUP(AB$8,'Rent Adjustments'!$G$8:$ZO$142,75,FALSE))),0,IF(HLOOKUP(AB$8,'Rent Adjustments'!$G$8:$ZO$142,74,FALSE)="",0,IF(AND($G34=HLOOKUP(AB$8,'Rent Adjustments'!$G$8:$ZO$142,74,FALSE),$F37=HLOOKUP(AB$8,'Rent Adjustments'!$G$8:$ZO$142,75,FALSE)),1,0))),IF(OR(ISERROR(HLOOKUP(AB$8,'Rent Adjustments'!$G$8:$ZO$142,74,FALSE)),ISERROR(HLOOKUP(AB$8,'Rent Adjustments'!$G$8:$ZO$142,76,FALSE))),0,IF(HLOOKUP(AB$8,'Rent Adjustments'!$G$8:$ZO$142,74,FALSE)="",0,IF(AND($G34=HLOOKUP(AB$8,'Rent Adjustments'!$G$8:$ZO$142,74,FALSE),$F37=HLOOKUP(AB$8,'Rent Adjustments'!$G$8:$ZO$142,76,FALSE)),1,0))))</f>
        <v>0</v>
      </c>
      <c r="AC37" s="707">
        <f>IF(dpIncome_RentAdjustment_4="Construction Quality",IF(OR(ISERROR(HLOOKUP(AC$8,'Rent Adjustments'!$G$8:$ZO$142,74,FALSE)),ISERROR(HLOOKUP(AC$8,'Rent Adjustments'!$G$8:$ZO$142,75,FALSE))),0,IF(HLOOKUP(AC$8,'Rent Adjustments'!$G$8:$ZO$142,74,FALSE)="",0,IF(AND($G34=HLOOKUP(AC$8,'Rent Adjustments'!$G$8:$ZO$142,74,FALSE),$F37=HLOOKUP(AC$8,'Rent Adjustments'!$G$8:$ZO$142,75,FALSE)),1,0))),IF(OR(ISERROR(HLOOKUP(AC$8,'Rent Adjustments'!$G$8:$ZO$142,74,FALSE)),ISERROR(HLOOKUP(AC$8,'Rent Adjustments'!$G$8:$ZO$142,76,FALSE))),0,IF(HLOOKUP(AC$8,'Rent Adjustments'!$G$8:$ZO$142,74,FALSE)="",0,IF(AND($G34=HLOOKUP(AC$8,'Rent Adjustments'!$G$8:$ZO$142,74,FALSE),$F37=HLOOKUP(AC$8,'Rent Adjustments'!$G$8:$ZO$142,76,FALSE)),1,0))))</f>
        <v>0</v>
      </c>
      <c r="AD37" s="707">
        <f>IF(dpIncome_RentAdjustment_4="Construction Quality",IF(OR(ISERROR(HLOOKUP(AD$8,'Rent Adjustments'!$G$8:$ZO$142,74,FALSE)),ISERROR(HLOOKUP(AD$8,'Rent Adjustments'!$G$8:$ZO$142,75,FALSE))),0,IF(HLOOKUP(AD$8,'Rent Adjustments'!$G$8:$ZO$142,74,FALSE)="",0,IF(AND($G34=HLOOKUP(AD$8,'Rent Adjustments'!$G$8:$ZO$142,74,FALSE),$F37=HLOOKUP(AD$8,'Rent Adjustments'!$G$8:$ZO$142,75,FALSE)),1,0))),IF(OR(ISERROR(HLOOKUP(AD$8,'Rent Adjustments'!$G$8:$ZO$142,74,FALSE)),ISERROR(HLOOKUP(AD$8,'Rent Adjustments'!$G$8:$ZO$142,76,FALSE))),0,IF(HLOOKUP(AD$8,'Rent Adjustments'!$G$8:$ZO$142,74,FALSE)="",0,IF(AND($G34=HLOOKUP(AD$8,'Rent Adjustments'!$G$8:$ZO$142,74,FALSE),$F37=HLOOKUP(AD$8,'Rent Adjustments'!$G$8:$ZO$142,76,FALSE)),1,0))))</f>
        <v>0</v>
      </c>
      <c r="AE37" s="707">
        <f>IF(dpIncome_RentAdjustment_4="Construction Quality",IF(OR(ISERROR(HLOOKUP(AE$8,'Rent Adjustments'!$G$8:$ZO$142,74,FALSE)),ISERROR(HLOOKUP(AE$8,'Rent Adjustments'!$G$8:$ZO$142,75,FALSE))),0,IF(HLOOKUP(AE$8,'Rent Adjustments'!$G$8:$ZO$142,74,FALSE)="",0,IF(AND($G34=HLOOKUP(AE$8,'Rent Adjustments'!$G$8:$ZO$142,74,FALSE),$F37=HLOOKUP(AE$8,'Rent Adjustments'!$G$8:$ZO$142,75,FALSE)),1,0))),IF(OR(ISERROR(HLOOKUP(AE$8,'Rent Adjustments'!$G$8:$ZO$142,74,FALSE)),ISERROR(HLOOKUP(AE$8,'Rent Adjustments'!$G$8:$ZO$142,76,FALSE))),0,IF(HLOOKUP(AE$8,'Rent Adjustments'!$G$8:$ZO$142,74,FALSE)="",0,IF(AND($G34=HLOOKUP(AE$8,'Rent Adjustments'!$G$8:$ZO$142,74,FALSE),$F37=HLOOKUP(AE$8,'Rent Adjustments'!$G$8:$ZO$142,76,FALSE)),1,0))))</f>
        <v>0</v>
      </c>
      <c r="AF37" s="707">
        <f>IF(dpIncome_RentAdjustment_4="Construction Quality",IF(OR(ISERROR(HLOOKUP(AF$8,'Rent Adjustments'!$G$8:$ZO$142,74,FALSE)),ISERROR(HLOOKUP(AF$8,'Rent Adjustments'!$G$8:$ZO$142,75,FALSE))),0,IF(HLOOKUP(AF$8,'Rent Adjustments'!$G$8:$ZO$142,74,FALSE)="",0,IF(AND($G34=HLOOKUP(AF$8,'Rent Adjustments'!$G$8:$ZO$142,74,FALSE),$F37=HLOOKUP(AF$8,'Rent Adjustments'!$G$8:$ZO$142,75,FALSE)),1,0))),IF(OR(ISERROR(HLOOKUP(AF$8,'Rent Adjustments'!$G$8:$ZO$142,74,FALSE)),ISERROR(HLOOKUP(AF$8,'Rent Adjustments'!$G$8:$ZO$142,76,FALSE))),0,IF(HLOOKUP(AF$8,'Rent Adjustments'!$G$8:$ZO$142,74,FALSE)="",0,IF(AND($G34=HLOOKUP(AF$8,'Rent Adjustments'!$G$8:$ZO$142,74,FALSE),$F37=HLOOKUP(AF$8,'Rent Adjustments'!$G$8:$ZO$142,76,FALSE)),1,0))))</f>
        <v>0</v>
      </c>
      <c r="AG37" s="707">
        <f>IF(dpIncome_RentAdjustment_4="Construction Quality",IF(OR(ISERROR(HLOOKUP(AG$8,'Rent Adjustments'!$G$8:$ZO$142,74,FALSE)),ISERROR(HLOOKUP(AG$8,'Rent Adjustments'!$G$8:$ZO$142,75,FALSE))),0,IF(HLOOKUP(AG$8,'Rent Adjustments'!$G$8:$ZO$142,74,FALSE)="",0,IF(AND($G34=HLOOKUP(AG$8,'Rent Adjustments'!$G$8:$ZO$142,74,FALSE),$F37=HLOOKUP(AG$8,'Rent Adjustments'!$G$8:$ZO$142,75,FALSE)),1,0))),IF(OR(ISERROR(HLOOKUP(AG$8,'Rent Adjustments'!$G$8:$ZO$142,74,FALSE)),ISERROR(HLOOKUP(AG$8,'Rent Adjustments'!$G$8:$ZO$142,76,FALSE))),0,IF(HLOOKUP(AG$8,'Rent Adjustments'!$G$8:$ZO$142,74,FALSE)="",0,IF(AND($G34=HLOOKUP(AG$8,'Rent Adjustments'!$G$8:$ZO$142,74,FALSE),$F37=HLOOKUP(AG$8,'Rent Adjustments'!$G$8:$ZO$142,76,FALSE)),1,0))))</f>
        <v>0</v>
      </c>
      <c r="AH37" s="707">
        <f>SUM(W37:$W37)</f>
        <v>0</v>
      </c>
      <c r="AI37" s="707">
        <f>SUM($W37:X37)</f>
        <v>0</v>
      </c>
      <c r="AJ37" s="707">
        <f>SUM($W37:Y37)</f>
        <v>0</v>
      </c>
      <c r="AK37" s="707">
        <f>SUM($W37:Z37)</f>
        <v>0</v>
      </c>
      <c r="AL37" s="707">
        <f>SUM($W37:AA37)</f>
        <v>0</v>
      </c>
      <c r="AM37" s="707">
        <f>SUM($W37:AB37)</f>
        <v>0</v>
      </c>
      <c r="AN37" s="707">
        <f>SUM($W37:AC37)</f>
        <v>0</v>
      </c>
      <c r="AO37" s="707">
        <f>SUM($W37:AD37)</f>
        <v>0</v>
      </c>
      <c r="AP37" s="707">
        <f>SUM($W37:AE37)</f>
        <v>0</v>
      </c>
      <c r="AQ37" s="707">
        <f>SUM($W37:AF37)</f>
        <v>0</v>
      </c>
      <c r="AR37" s="707">
        <f>SUM($W37:AG37)</f>
        <v>0</v>
      </c>
      <c r="AS37" s="707" t="str">
        <f t="shared" si="11"/>
        <v/>
      </c>
      <c r="AT37" s="707" t="str">
        <f t="shared" si="11"/>
        <v/>
      </c>
      <c r="AU37" s="707" t="str">
        <f t="shared" si="11"/>
        <v/>
      </c>
      <c r="AV37" s="707" t="str">
        <f t="shared" si="11"/>
        <v/>
      </c>
      <c r="AW37" s="707" t="str">
        <f t="shared" si="11"/>
        <v/>
      </c>
      <c r="AX37" s="707" t="str">
        <f t="shared" si="11"/>
        <v/>
      </c>
      <c r="AY37" s="707" t="str">
        <f t="shared" si="11"/>
        <v/>
      </c>
      <c r="AZ37" s="707" t="str">
        <f t="shared" si="11"/>
        <v/>
      </c>
      <c r="BA37" s="707" t="str">
        <f t="shared" si="11"/>
        <v/>
      </c>
      <c r="BB37" s="707" t="str">
        <f t="shared" si="11"/>
        <v/>
      </c>
      <c r="BC37" s="707" t="str">
        <f t="shared" si="11"/>
        <v/>
      </c>
    </row>
    <row r="38" spans="1:55" ht="69.95" hidden="1" customHeight="1" x14ac:dyDescent="0.25">
      <c r="A38" s="972">
        <f t="shared" si="4"/>
        <v>0</v>
      </c>
      <c r="B38" s="4"/>
      <c r="C38" s="258"/>
      <c r="D38" s="4265" t="str">
        <f t="shared" si="8"/>
        <v/>
      </c>
      <c r="E38" s="4265"/>
      <c r="F38" s="3495" t="str">
        <f>IF(dpIncome_RentAdjustment_4="Construction Quality","S - Steel Frame","")</f>
        <v>S - Steel Frame</v>
      </c>
      <c r="G38" s="4257"/>
      <c r="H38" s="4260"/>
      <c r="I38" s="4260"/>
      <c r="J38" s="4260"/>
      <c r="K38" s="4260"/>
      <c r="L38" s="3496" t="str">
        <f t="shared" si="5"/>
        <v/>
      </c>
      <c r="M38" s="4262"/>
      <c r="N38" s="4262"/>
      <c r="O38" s="4264"/>
      <c r="P38" s="3497" t="str">
        <f>IFERROR(L38+M34,"")</f>
        <v/>
      </c>
      <c r="Q38" s="3494"/>
      <c r="R38" s="6"/>
      <c r="T38" s="2090">
        <f t="shared" si="6"/>
        <v>0</v>
      </c>
      <c r="U38" s="2089" t="str">
        <f t="shared" si="12"/>
        <v/>
      </c>
      <c r="V38" s="2089"/>
      <c r="W38" s="2089">
        <f>IF(dpIncome_RentAdjustment_4="Construction Quality",IF(AND(F38=Subject_ConstructionClass,G$34=Subject_ConstructionQuality),1,0),IF(AND(F38=Subject_InvestmentClass,G$34=Subject_ConstructionQuality),1,0))</f>
        <v>0</v>
      </c>
      <c r="X38" s="2089">
        <f>IF(dpIncome_RentAdjustment_4="Construction Quality",IF(OR(ISERROR(HLOOKUP(X$8,'Rent Adjustments'!$G$8:$ZO$142,74,FALSE)),ISERROR(HLOOKUP(X$8,'Rent Adjustments'!$G$8:$ZO$142,75,FALSE))),0,IF(HLOOKUP(X$8,'Rent Adjustments'!$G$8:$ZO$142,74,FALSE)="",0,IF(AND($G34=HLOOKUP(X$8,'Rent Adjustments'!$G$8:$ZO$142,74,FALSE),$F38=HLOOKUP(X$8,'Rent Adjustments'!$G$8:$ZO$142,75,FALSE)),1,0))),IF(OR(ISERROR(HLOOKUP(X$8,'Rent Adjustments'!$G$8:$ZO$142,74,FALSE)),ISERROR(HLOOKUP(X$8,'Rent Adjustments'!$G$8:$ZO$142,76,FALSE))),0,IF(HLOOKUP(X$8,'Rent Adjustments'!$G$8:$ZO$142,74,FALSE)="",0,IF(AND($G34=HLOOKUP(X$8,'Rent Adjustments'!$G$8:$ZO$142,74,FALSE),$F38=HLOOKUP(X$8,'Rent Adjustments'!$G$8:$ZO$142,76,FALSE)),1,0))))</f>
        <v>0</v>
      </c>
      <c r="Y38" s="2089">
        <f>IF(dpIncome_RentAdjustment_4="Construction Quality",IF(OR(ISERROR(HLOOKUP(Y$8,'Rent Adjustments'!$G$8:$ZO$142,74,FALSE)),ISERROR(HLOOKUP(Y$8,'Rent Adjustments'!$G$8:$ZO$142,75,FALSE))),0,IF(HLOOKUP(Y$8,'Rent Adjustments'!$G$8:$ZO$142,74,FALSE)="",0,IF(AND($G34=HLOOKUP(Y$8,'Rent Adjustments'!$G$8:$ZO$142,74,FALSE),$F38=HLOOKUP(Y$8,'Rent Adjustments'!$G$8:$ZO$142,75,FALSE)),1,0))),IF(OR(ISERROR(HLOOKUP(Y$8,'Rent Adjustments'!$G$8:$ZO$142,74,FALSE)),ISERROR(HLOOKUP(Y$8,'Rent Adjustments'!$G$8:$ZO$142,76,FALSE))),0,IF(HLOOKUP(Y$8,'Rent Adjustments'!$G$8:$ZO$142,74,FALSE)="",0,IF(AND($G34=HLOOKUP(Y$8,'Rent Adjustments'!$G$8:$ZO$142,74,FALSE),$F38=HLOOKUP(Y$8,'Rent Adjustments'!$G$8:$ZO$142,76,FALSE)),1,0))))</f>
        <v>0</v>
      </c>
      <c r="Z38" s="2089">
        <f>IF(dpIncome_RentAdjustment_4="Construction Quality",IF(OR(ISERROR(HLOOKUP(Z$8,'Rent Adjustments'!$G$8:$ZO$142,74,FALSE)),ISERROR(HLOOKUP(Z$8,'Rent Adjustments'!$G$8:$ZO$142,75,FALSE))),0,IF(HLOOKUP(Z$8,'Rent Adjustments'!$G$8:$ZO$142,74,FALSE)="",0,IF(AND($G34=HLOOKUP(Z$8,'Rent Adjustments'!$G$8:$ZO$142,74,FALSE),$F38=HLOOKUP(Z$8,'Rent Adjustments'!$G$8:$ZO$142,75,FALSE)),1,0))),IF(OR(ISERROR(HLOOKUP(Z$8,'Rent Adjustments'!$G$8:$ZO$142,74,FALSE)),ISERROR(HLOOKUP(Z$8,'Rent Adjustments'!$G$8:$ZO$142,76,FALSE))),0,IF(HLOOKUP(Z$8,'Rent Adjustments'!$G$8:$ZO$142,74,FALSE)="",0,IF(AND($G34=HLOOKUP(Z$8,'Rent Adjustments'!$G$8:$ZO$142,74,FALSE),$F38=HLOOKUP(Z$8,'Rent Adjustments'!$G$8:$ZO$142,76,FALSE)),1,0))))</f>
        <v>0</v>
      </c>
      <c r="AA38" s="2089">
        <f>IF(dpIncome_RentAdjustment_4="Construction Quality",IF(OR(ISERROR(HLOOKUP(AA$8,'Rent Adjustments'!$G$8:$ZO$142,74,FALSE)),ISERROR(HLOOKUP(AA$8,'Rent Adjustments'!$G$8:$ZO$142,75,FALSE))),0,IF(HLOOKUP(AA$8,'Rent Adjustments'!$G$8:$ZO$142,74,FALSE)="",0,IF(AND($G34=HLOOKUP(AA$8,'Rent Adjustments'!$G$8:$ZO$142,74,FALSE),$F38=HLOOKUP(AA$8,'Rent Adjustments'!$G$8:$ZO$142,75,FALSE)),1,0))),IF(OR(ISERROR(HLOOKUP(AA$8,'Rent Adjustments'!$G$8:$ZO$142,74,FALSE)),ISERROR(HLOOKUP(AA$8,'Rent Adjustments'!$G$8:$ZO$142,76,FALSE))),0,IF(HLOOKUP(AA$8,'Rent Adjustments'!$G$8:$ZO$142,74,FALSE)="",0,IF(AND($G34=HLOOKUP(AA$8,'Rent Adjustments'!$G$8:$ZO$142,74,FALSE),$F38=HLOOKUP(AA$8,'Rent Adjustments'!$G$8:$ZO$142,76,FALSE)),1,0))))</f>
        <v>0</v>
      </c>
      <c r="AB38" s="2089">
        <f>IF(dpIncome_RentAdjustment_4="Construction Quality",IF(OR(ISERROR(HLOOKUP(AB$8,'Rent Adjustments'!$G$8:$ZO$142,74,FALSE)),ISERROR(HLOOKUP(AB$8,'Rent Adjustments'!$G$8:$ZO$142,75,FALSE))),0,IF(HLOOKUP(AB$8,'Rent Adjustments'!$G$8:$ZO$142,74,FALSE)="",0,IF(AND($G34=HLOOKUP(AB$8,'Rent Adjustments'!$G$8:$ZO$142,74,FALSE),$F38=HLOOKUP(AB$8,'Rent Adjustments'!$G$8:$ZO$142,75,FALSE)),1,0))),IF(OR(ISERROR(HLOOKUP(AB$8,'Rent Adjustments'!$G$8:$ZO$142,74,FALSE)),ISERROR(HLOOKUP(AB$8,'Rent Adjustments'!$G$8:$ZO$142,76,FALSE))),0,IF(HLOOKUP(AB$8,'Rent Adjustments'!$G$8:$ZO$142,74,FALSE)="",0,IF(AND($G34=HLOOKUP(AB$8,'Rent Adjustments'!$G$8:$ZO$142,74,FALSE),$F38=HLOOKUP(AB$8,'Rent Adjustments'!$G$8:$ZO$142,76,FALSE)),1,0))))</f>
        <v>0</v>
      </c>
      <c r="AC38" s="2089">
        <f>IF(dpIncome_RentAdjustment_4="Construction Quality",IF(OR(ISERROR(HLOOKUP(AC$8,'Rent Adjustments'!$G$8:$ZO$142,74,FALSE)),ISERROR(HLOOKUP(AC$8,'Rent Adjustments'!$G$8:$ZO$142,75,FALSE))),0,IF(HLOOKUP(AC$8,'Rent Adjustments'!$G$8:$ZO$142,74,FALSE)="",0,IF(AND($G34=HLOOKUP(AC$8,'Rent Adjustments'!$G$8:$ZO$142,74,FALSE),$F38=HLOOKUP(AC$8,'Rent Adjustments'!$G$8:$ZO$142,75,FALSE)),1,0))),IF(OR(ISERROR(HLOOKUP(AC$8,'Rent Adjustments'!$G$8:$ZO$142,74,FALSE)),ISERROR(HLOOKUP(AC$8,'Rent Adjustments'!$G$8:$ZO$142,76,FALSE))),0,IF(HLOOKUP(AC$8,'Rent Adjustments'!$G$8:$ZO$142,74,FALSE)="",0,IF(AND($G34=HLOOKUP(AC$8,'Rent Adjustments'!$G$8:$ZO$142,74,FALSE),$F38=HLOOKUP(AC$8,'Rent Adjustments'!$G$8:$ZO$142,76,FALSE)),1,0))))</f>
        <v>0</v>
      </c>
      <c r="AD38" s="2089">
        <f>IF(dpIncome_RentAdjustment_4="Construction Quality",IF(OR(ISERROR(HLOOKUP(AD$8,'Rent Adjustments'!$G$8:$ZO$142,74,FALSE)),ISERROR(HLOOKUP(AD$8,'Rent Adjustments'!$G$8:$ZO$142,75,FALSE))),0,IF(HLOOKUP(AD$8,'Rent Adjustments'!$G$8:$ZO$142,74,FALSE)="",0,IF(AND($G34=HLOOKUP(AD$8,'Rent Adjustments'!$G$8:$ZO$142,74,FALSE),$F38=HLOOKUP(AD$8,'Rent Adjustments'!$G$8:$ZO$142,75,FALSE)),1,0))),IF(OR(ISERROR(HLOOKUP(AD$8,'Rent Adjustments'!$G$8:$ZO$142,74,FALSE)),ISERROR(HLOOKUP(AD$8,'Rent Adjustments'!$G$8:$ZO$142,76,FALSE))),0,IF(HLOOKUP(AD$8,'Rent Adjustments'!$G$8:$ZO$142,74,FALSE)="",0,IF(AND($G34=HLOOKUP(AD$8,'Rent Adjustments'!$G$8:$ZO$142,74,FALSE),$F38=HLOOKUP(AD$8,'Rent Adjustments'!$G$8:$ZO$142,76,FALSE)),1,0))))</f>
        <v>0</v>
      </c>
      <c r="AE38" s="2089">
        <f>IF(dpIncome_RentAdjustment_4="Construction Quality",IF(OR(ISERROR(HLOOKUP(AE$8,'Rent Adjustments'!$G$8:$ZO$142,74,FALSE)),ISERROR(HLOOKUP(AE$8,'Rent Adjustments'!$G$8:$ZO$142,75,FALSE))),0,IF(HLOOKUP(AE$8,'Rent Adjustments'!$G$8:$ZO$142,74,FALSE)="",0,IF(AND($G34=HLOOKUP(AE$8,'Rent Adjustments'!$G$8:$ZO$142,74,FALSE),$F38=HLOOKUP(AE$8,'Rent Adjustments'!$G$8:$ZO$142,75,FALSE)),1,0))),IF(OR(ISERROR(HLOOKUP(AE$8,'Rent Adjustments'!$G$8:$ZO$142,74,FALSE)),ISERROR(HLOOKUP(AE$8,'Rent Adjustments'!$G$8:$ZO$142,76,FALSE))),0,IF(HLOOKUP(AE$8,'Rent Adjustments'!$G$8:$ZO$142,74,FALSE)="",0,IF(AND($G34=HLOOKUP(AE$8,'Rent Adjustments'!$G$8:$ZO$142,74,FALSE),$F38=HLOOKUP(AE$8,'Rent Adjustments'!$G$8:$ZO$142,76,FALSE)),1,0))))</f>
        <v>0</v>
      </c>
      <c r="AF38" s="2089">
        <f>IF(dpIncome_RentAdjustment_4="Construction Quality",IF(OR(ISERROR(HLOOKUP(AF$8,'Rent Adjustments'!$G$8:$ZO$142,74,FALSE)),ISERROR(HLOOKUP(AF$8,'Rent Adjustments'!$G$8:$ZO$142,75,FALSE))),0,IF(HLOOKUP(AF$8,'Rent Adjustments'!$G$8:$ZO$142,74,FALSE)="",0,IF(AND($G34=HLOOKUP(AF$8,'Rent Adjustments'!$G$8:$ZO$142,74,FALSE),$F38=HLOOKUP(AF$8,'Rent Adjustments'!$G$8:$ZO$142,75,FALSE)),1,0))),IF(OR(ISERROR(HLOOKUP(AF$8,'Rent Adjustments'!$G$8:$ZO$142,74,FALSE)),ISERROR(HLOOKUP(AF$8,'Rent Adjustments'!$G$8:$ZO$142,76,FALSE))),0,IF(HLOOKUP(AF$8,'Rent Adjustments'!$G$8:$ZO$142,74,FALSE)="",0,IF(AND($G34=HLOOKUP(AF$8,'Rent Adjustments'!$G$8:$ZO$142,74,FALSE),$F38=HLOOKUP(AF$8,'Rent Adjustments'!$G$8:$ZO$142,76,FALSE)),1,0))))</f>
        <v>0</v>
      </c>
      <c r="AG38" s="2089">
        <f>IF(dpIncome_RentAdjustment_4="Construction Quality",IF(OR(ISERROR(HLOOKUP(AG$8,'Rent Adjustments'!$G$8:$ZO$142,74,FALSE)),ISERROR(HLOOKUP(AG$8,'Rent Adjustments'!$G$8:$ZO$142,75,FALSE))),0,IF(HLOOKUP(AG$8,'Rent Adjustments'!$G$8:$ZO$142,74,FALSE)="",0,IF(AND($G34=HLOOKUP(AG$8,'Rent Adjustments'!$G$8:$ZO$142,74,FALSE),$F38=HLOOKUP(AG$8,'Rent Adjustments'!$G$8:$ZO$142,75,FALSE)),1,0))),IF(OR(ISERROR(HLOOKUP(AG$8,'Rent Adjustments'!$G$8:$ZO$142,74,FALSE)),ISERROR(HLOOKUP(AG$8,'Rent Adjustments'!$G$8:$ZO$142,76,FALSE))),0,IF(HLOOKUP(AG$8,'Rent Adjustments'!$G$8:$ZO$142,74,FALSE)="",0,IF(AND($G34=HLOOKUP(AG$8,'Rent Adjustments'!$G$8:$ZO$142,74,FALSE),$F38=HLOOKUP(AG$8,'Rent Adjustments'!$G$8:$ZO$142,76,FALSE)),1,0))))</f>
        <v>0</v>
      </c>
      <c r="AH38" s="2089">
        <f>SUM(W38:$W38)</f>
        <v>0</v>
      </c>
      <c r="AI38" s="2089">
        <f>SUM($W38:X38)</f>
        <v>0</v>
      </c>
      <c r="AJ38" s="2089">
        <f>SUM($W38:Y38)</f>
        <v>0</v>
      </c>
      <c r="AK38" s="2089">
        <f>SUM($W38:Z38)</f>
        <v>0</v>
      </c>
      <c r="AL38" s="2089">
        <f>SUM($W38:AA38)</f>
        <v>0</v>
      </c>
      <c r="AM38" s="2089">
        <f>SUM($W38:AB38)</f>
        <v>0</v>
      </c>
      <c r="AN38" s="2089">
        <f>SUM($W38:AC38)</f>
        <v>0</v>
      </c>
      <c r="AO38" s="2089">
        <f>SUM($W38:AD38)</f>
        <v>0</v>
      </c>
      <c r="AP38" s="2089">
        <f>SUM($W38:AE38)</f>
        <v>0</v>
      </c>
      <c r="AQ38" s="2089">
        <f>SUM($W38:AF38)</f>
        <v>0</v>
      </c>
      <c r="AR38" s="2089">
        <f>SUM($W38:AG38)</f>
        <v>0</v>
      </c>
      <c r="AS38" s="2089" t="str">
        <f t="shared" si="11"/>
        <v/>
      </c>
      <c r="AT38" s="2089" t="str">
        <f t="shared" si="11"/>
        <v/>
      </c>
      <c r="AU38" s="2089" t="str">
        <f t="shared" si="11"/>
        <v/>
      </c>
      <c r="AV38" s="2089" t="str">
        <f t="shared" si="11"/>
        <v/>
      </c>
      <c r="AW38" s="2089" t="str">
        <f t="shared" si="11"/>
        <v/>
      </c>
      <c r="AX38" s="2089" t="str">
        <f t="shared" si="11"/>
        <v/>
      </c>
      <c r="AY38" s="2089" t="str">
        <f t="shared" si="11"/>
        <v/>
      </c>
      <c r="AZ38" s="2089" t="str">
        <f t="shared" si="11"/>
        <v/>
      </c>
      <c r="BA38" s="2089" t="str">
        <f t="shared" si="11"/>
        <v/>
      </c>
      <c r="BB38" s="2089" t="str">
        <f t="shared" si="11"/>
        <v/>
      </c>
      <c r="BC38" s="2089" t="str">
        <f t="shared" si="11"/>
        <v/>
      </c>
    </row>
    <row r="39" spans="1:55" ht="69.95" hidden="1" customHeight="1" x14ac:dyDescent="0.25">
      <c r="A39" s="972">
        <f t="shared" si="4"/>
        <v>0</v>
      </c>
      <c r="B39" s="4"/>
      <c r="C39" s="258"/>
      <c r="D39" s="4254" t="str">
        <f t="shared" si="8"/>
        <v/>
      </c>
      <c r="E39" s="4254"/>
      <c r="F39" s="3491" t="str">
        <f>IF(dpIncome_RentAdjustment_4="Construction Quality","A - Structural Steel","A")</f>
        <v>A - Structural Steel</v>
      </c>
      <c r="G39" s="4273" t="s">
        <v>1455</v>
      </c>
      <c r="H39" s="4259" t="s">
        <v>1843</v>
      </c>
      <c r="I39" s="4259"/>
      <c r="J39" s="4259"/>
      <c r="K39" s="4259"/>
      <c r="L39" s="3492" t="str">
        <f t="shared" si="5"/>
        <v/>
      </c>
      <c r="M39" s="4261">
        <f>dpIncome_Rent_Quality_RatingAdj*V39</f>
        <v>-0.1</v>
      </c>
      <c r="N39" s="4261"/>
      <c r="O39" s="4263" t="s">
        <v>177</v>
      </c>
      <c r="P39" s="3493" t="str">
        <f>IFERROR(L39+M39,"")</f>
        <v/>
      </c>
      <c r="Q39" s="3494"/>
      <c r="R39" s="6"/>
      <c r="T39" s="2100">
        <f t="shared" si="6"/>
        <v>0</v>
      </c>
      <c r="U39" s="707" t="str">
        <f t="shared" si="12"/>
        <v/>
      </c>
      <c r="V39" s="707">
        <f>IF(SUM(W39:W43)=1,0,IF(SUM(W$9:W39)=0,V44-1,V34+1))</f>
        <v>-1</v>
      </c>
      <c r="W39" s="707">
        <f>IF(dpIncome_RentAdjustment_4="Construction Quality",IF(AND(F39=Subject_ConstructionClass,G$39=Subject_ConstructionQuality),1,0),IF(AND(F39=Subject_InvestmentClass,G$39=Subject_ConstructionQuality),1,0))</f>
        <v>0</v>
      </c>
      <c r="X39" s="707">
        <f>IF(dpIncome_RentAdjustment_4="Construction Quality",IF(OR(ISERROR(HLOOKUP(X$8,'Rent Adjustments'!$G$8:$ZO$142,74,FALSE)),ISERROR(HLOOKUP(X$8,'Rent Adjustments'!$G$8:$ZO$142,75,FALSE))),0,IF(HLOOKUP(X$8,'Rent Adjustments'!$G$8:$ZO$142,74,FALSE)="",0,IF(AND($G39=HLOOKUP(X$8,'Rent Adjustments'!$G$8:$ZO$142,74,FALSE),$F39=HLOOKUP(X$8,'Rent Adjustments'!$G$8:$ZO$142,75,FALSE)),1,0))),IF(OR(ISERROR(HLOOKUP(X$8,'Rent Adjustments'!$G$8:$ZO$142,74,FALSE)),ISERROR(HLOOKUP(X$8,'Rent Adjustments'!$G$8:$ZO$142,76,FALSE))),0,IF(HLOOKUP(X$8,'Rent Adjustments'!$G$8:$ZO$142,74,FALSE)="",0,IF(AND($G39=HLOOKUP(X$8,'Rent Adjustments'!$G$8:$ZO$142,74,FALSE),$F39=HLOOKUP(X$8,'Rent Adjustments'!$G$8:$ZO$142,76,FALSE)),1,0))))</f>
        <v>0</v>
      </c>
      <c r="Y39" s="707">
        <f>IF(dpIncome_RentAdjustment_4="Construction Quality",IF(OR(ISERROR(HLOOKUP(Y$8,'Rent Adjustments'!$G$8:$ZO$142,74,FALSE)),ISERROR(HLOOKUP(Y$8,'Rent Adjustments'!$G$8:$ZO$142,75,FALSE))),0,IF(HLOOKUP(Y$8,'Rent Adjustments'!$G$8:$ZO$142,74,FALSE)="",0,IF(AND($G39=HLOOKUP(Y$8,'Rent Adjustments'!$G$8:$ZO$142,74,FALSE),$F39=HLOOKUP(Y$8,'Rent Adjustments'!$G$8:$ZO$142,75,FALSE)),1,0))),IF(OR(ISERROR(HLOOKUP(Y$8,'Rent Adjustments'!$G$8:$ZO$142,74,FALSE)),ISERROR(HLOOKUP(Y$8,'Rent Adjustments'!$G$8:$ZO$142,76,FALSE))),0,IF(HLOOKUP(Y$8,'Rent Adjustments'!$G$8:$ZO$142,74,FALSE)="",0,IF(AND($G39=HLOOKUP(Y$8,'Rent Adjustments'!$G$8:$ZO$142,74,FALSE),$F39=HLOOKUP(Y$8,'Rent Adjustments'!$G$8:$ZO$142,76,FALSE)),1,0))))</f>
        <v>0</v>
      </c>
      <c r="Z39" s="707">
        <f>IF(dpIncome_RentAdjustment_4="Construction Quality",IF(OR(ISERROR(HLOOKUP(Z$8,'Rent Adjustments'!$G$8:$ZO$142,74,FALSE)),ISERROR(HLOOKUP(Z$8,'Rent Adjustments'!$G$8:$ZO$142,75,FALSE))),0,IF(HLOOKUP(Z$8,'Rent Adjustments'!$G$8:$ZO$142,74,FALSE)="",0,IF(AND($G39=HLOOKUP(Z$8,'Rent Adjustments'!$G$8:$ZO$142,74,FALSE),$F39=HLOOKUP(Z$8,'Rent Adjustments'!$G$8:$ZO$142,75,FALSE)),1,0))),IF(OR(ISERROR(HLOOKUP(Z$8,'Rent Adjustments'!$G$8:$ZO$142,74,FALSE)),ISERROR(HLOOKUP(Z$8,'Rent Adjustments'!$G$8:$ZO$142,76,FALSE))),0,IF(HLOOKUP(Z$8,'Rent Adjustments'!$G$8:$ZO$142,74,FALSE)="",0,IF(AND($G39=HLOOKUP(Z$8,'Rent Adjustments'!$G$8:$ZO$142,74,FALSE),$F39=HLOOKUP(Z$8,'Rent Adjustments'!$G$8:$ZO$142,76,FALSE)),1,0))))</f>
        <v>0</v>
      </c>
      <c r="AA39" s="707">
        <f>IF(dpIncome_RentAdjustment_4="Construction Quality",IF(OR(ISERROR(HLOOKUP(AA$8,'Rent Adjustments'!$G$8:$ZO$142,74,FALSE)),ISERROR(HLOOKUP(AA$8,'Rent Adjustments'!$G$8:$ZO$142,75,FALSE))),0,IF(HLOOKUP(AA$8,'Rent Adjustments'!$G$8:$ZO$142,74,FALSE)="",0,IF(AND($G39=HLOOKUP(AA$8,'Rent Adjustments'!$G$8:$ZO$142,74,FALSE),$F39=HLOOKUP(AA$8,'Rent Adjustments'!$G$8:$ZO$142,75,FALSE)),1,0))),IF(OR(ISERROR(HLOOKUP(AA$8,'Rent Adjustments'!$G$8:$ZO$142,74,FALSE)),ISERROR(HLOOKUP(AA$8,'Rent Adjustments'!$G$8:$ZO$142,76,FALSE))),0,IF(HLOOKUP(AA$8,'Rent Adjustments'!$G$8:$ZO$142,74,FALSE)="",0,IF(AND($G39=HLOOKUP(AA$8,'Rent Adjustments'!$G$8:$ZO$142,74,FALSE),$F39=HLOOKUP(AA$8,'Rent Adjustments'!$G$8:$ZO$142,76,FALSE)),1,0))))</f>
        <v>0</v>
      </c>
      <c r="AB39" s="707">
        <f>IF(dpIncome_RentAdjustment_4="Construction Quality",IF(OR(ISERROR(HLOOKUP(AB$8,'Rent Adjustments'!$G$8:$ZO$142,74,FALSE)),ISERROR(HLOOKUP(AB$8,'Rent Adjustments'!$G$8:$ZO$142,75,FALSE))),0,IF(HLOOKUP(AB$8,'Rent Adjustments'!$G$8:$ZO$142,74,FALSE)="",0,IF(AND($G39=HLOOKUP(AB$8,'Rent Adjustments'!$G$8:$ZO$142,74,FALSE),$F39=HLOOKUP(AB$8,'Rent Adjustments'!$G$8:$ZO$142,75,FALSE)),1,0))),IF(OR(ISERROR(HLOOKUP(AB$8,'Rent Adjustments'!$G$8:$ZO$142,74,FALSE)),ISERROR(HLOOKUP(AB$8,'Rent Adjustments'!$G$8:$ZO$142,76,FALSE))),0,IF(HLOOKUP(AB$8,'Rent Adjustments'!$G$8:$ZO$142,74,FALSE)="",0,IF(AND($G39=HLOOKUP(AB$8,'Rent Adjustments'!$G$8:$ZO$142,74,FALSE),$F39=HLOOKUP(AB$8,'Rent Adjustments'!$G$8:$ZO$142,76,FALSE)),1,0))))</f>
        <v>0</v>
      </c>
      <c r="AC39" s="707">
        <f>IF(dpIncome_RentAdjustment_4="Construction Quality",IF(OR(ISERROR(HLOOKUP(AC$8,'Rent Adjustments'!$G$8:$ZO$142,74,FALSE)),ISERROR(HLOOKUP(AC$8,'Rent Adjustments'!$G$8:$ZO$142,75,FALSE))),0,IF(HLOOKUP(AC$8,'Rent Adjustments'!$G$8:$ZO$142,74,FALSE)="",0,IF(AND($G39=HLOOKUP(AC$8,'Rent Adjustments'!$G$8:$ZO$142,74,FALSE),$F39=HLOOKUP(AC$8,'Rent Adjustments'!$G$8:$ZO$142,75,FALSE)),1,0))),IF(OR(ISERROR(HLOOKUP(AC$8,'Rent Adjustments'!$G$8:$ZO$142,74,FALSE)),ISERROR(HLOOKUP(AC$8,'Rent Adjustments'!$G$8:$ZO$142,76,FALSE))),0,IF(HLOOKUP(AC$8,'Rent Adjustments'!$G$8:$ZO$142,74,FALSE)="",0,IF(AND($G39=HLOOKUP(AC$8,'Rent Adjustments'!$G$8:$ZO$142,74,FALSE),$F39=HLOOKUP(AC$8,'Rent Adjustments'!$G$8:$ZO$142,76,FALSE)),1,0))))</f>
        <v>0</v>
      </c>
      <c r="AD39" s="707">
        <f>IF(dpIncome_RentAdjustment_4="Construction Quality",IF(OR(ISERROR(HLOOKUP(AD$8,'Rent Adjustments'!$G$8:$ZO$142,74,FALSE)),ISERROR(HLOOKUP(AD$8,'Rent Adjustments'!$G$8:$ZO$142,75,FALSE))),0,IF(HLOOKUP(AD$8,'Rent Adjustments'!$G$8:$ZO$142,74,FALSE)="",0,IF(AND($G39=HLOOKUP(AD$8,'Rent Adjustments'!$G$8:$ZO$142,74,FALSE),$F39=HLOOKUP(AD$8,'Rent Adjustments'!$G$8:$ZO$142,75,FALSE)),1,0))),IF(OR(ISERROR(HLOOKUP(AD$8,'Rent Adjustments'!$G$8:$ZO$142,74,FALSE)),ISERROR(HLOOKUP(AD$8,'Rent Adjustments'!$G$8:$ZO$142,76,FALSE))),0,IF(HLOOKUP(AD$8,'Rent Adjustments'!$G$8:$ZO$142,74,FALSE)="",0,IF(AND($G39=HLOOKUP(AD$8,'Rent Adjustments'!$G$8:$ZO$142,74,FALSE),$F39=HLOOKUP(AD$8,'Rent Adjustments'!$G$8:$ZO$142,76,FALSE)),1,0))))</f>
        <v>0</v>
      </c>
      <c r="AE39" s="707">
        <f>IF(dpIncome_RentAdjustment_4="Construction Quality",IF(OR(ISERROR(HLOOKUP(AE$8,'Rent Adjustments'!$G$8:$ZO$142,74,FALSE)),ISERROR(HLOOKUP(AE$8,'Rent Adjustments'!$G$8:$ZO$142,75,FALSE))),0,IF(HLOOKUP(AE$8,'Rent Adjustments'!$G$8:$ZO$142,74,FALSE)="",0,IF(AND($G39=HLOOKUP(AE$8,'Rent Adjustments'!$G$8:$ZO$142,74,FALSE),$F39=HLOOKUP(AE$8,'Rent Adjustments'!$G$8:$ZO$142,75,FALSE)),1,0))),IF(OR(ISERROR(HLOOKUP(AE$8,'Rent Adjustments'!$G$8:$ZO$142,74,FALSE)),ISERROR(HLOOKUP(AE$8,'Rent Adjustments'!$G$8:$ZO$142,76,FALSE))),0,IF(HLOOKUP(AE$8,'Rent Adjustments'!$G$8:$ZO$142,74,FALSE)="",0,IF(AND($G39=HLOOKUP(AE$8,'Rent Adjustments'!$G$8:$ZO$142,74,FALSE),$F39=HLOOKUP(AE$8,'Rent Adjustments'!$G$8:$ZO$142,76,FALSE)),1,0))))</f>
        <v>0</v>
      </c>
      <c r="AF39" s="707">
        <f>IF(dpIncome_RentAdjustment_4="Construction Quality",IF(OR(ISERROR(HLOOKUP(AF$8,'Rent Adjustments'!$G$8:$ZO$142,74,FALSE)),ISERROR(HLOOKUP(AF$8,'Rent Adjustments'!$G$8:$ZO$142,75,FALSE))),0,IF(HLOOKUP(AF$8,'Rent Adjustments'!$G$8:$ZO$142,74,FALSE)="",0,IF(AND($G39=HLOOKUP(AF$8,'Rent Adjustments'!$G$8:$ZO$142,74,FALSE),$F39=HLOOKUP(AF$8,'Rent Adjustments'!$G$8:$ZO$142,75,FALSE)),1,0))),IF(OR(ISERROR(HLOOKUP(AF$8,'Rent Adjustments'!$G$8:$ZO$142,74,FALSE)),ISERROR(HLOOKUP(AF$8,'Rent Adjustments'!$G$8:$ZO$142,76,FALSE))),0,IF(HLOOKUP(AF$8,'Rent Adjustments'!$G$8:$ZO$142,74,FALSE)="",0,IF(AND($G39=HLOOKUP(AF$8,'Rent Adjustments'!$G$8:$ZO$142,74,FALSE),$F39=HLOOKUP(AF$8,'Rent Adjustments'!$G$8:$ZO$142,76,FALSE)),1,0))))</f>
        <v>0</v>
      </c>
      <c r="AG39" s="707">
        <f>IF(dpIncome_RentAdjustment_4="Construction Quality",IF(OR(ISERROR(HLOOKUP(AG$8,'Rent Adjustments'!$G$8:$ZO$142,74,FALSE)),ISERROR(HLOOKUP(AG$8,'Rent Adjustments'!$G$8:$ZO$142,75,FALSE))),0,IF(HLOOKUP(AG$8,'Rent Adjustments'!$G$8:$ZO$142,74,FALSE)="",0,IF(AND($G39=HLOOKUP(AG$8,'Rent Adjustments'!$G$8:$ZO$142,74,FALSE),$F39=HLOOKUP(AG$8,'Rent Adjustments'!$G$8:$ZO$142,75,FALSE)),1,0))),IF(OR(ISERROR(HLOOKUP(AG$8,'Rent Adjustments'!$G$8:$ZO$142,74,FALSE)),ISERROR(HLOOKUP(AG$8,'Rent Adjustments'!$G$8:$ZO$142,76,FALSE))),0,IF(HLOOKUP(AG$8,'Rent Adjustments'!$G$8:$ZO$142,74,FALSE)="",0,IF(AND($G39=HLOOKUP(AG$8,'Rent Adjustments'!$G$8:$ZO$142,74,FALSE),$F39=HLOOKUP(AG$8,'Rent Adjustments'!$G$8:$ZO$142,76,FALSE)),1,0))))</f>
        <v>0</v>
      </c>
      <c r="AH39" s="707">
        <f>SUM(W39:$W39)</f>
        <v>0</v>
      </c>
      <c r="AI39" s="707">
        <f>SUM($W39:X39)</f>
        <v>0</v>
      </c>
      <c r="AJ39" s="707">
        <f>SUM($W39:Y39)</f>
        <v>0</v>
      </c>
      <c r="AK39" s="707">
        <f>SUM($W39:Z39)</f>
        <v>0</v>
      </c>
      <c r="AL39" s="707">
        <f>SUM($W39:AA39)</f>
        <v>0</v>
      </c>
      <c r="AM39" s="707">
        <f>SUM($W39:AB39)</f>
        <v>0</v>
      </c>
      <c r="AN39" s="707">
        <f>SUM($W39:AC39)</f>
        <v>0</v>
      </c>
      <c r="AO39" s="707">
        <f>SUM($W39:AD39)</f>
        <v>0</v>
      </c>
      <c r="AP39" s="707">
        <f>SUM($W39:AE39)</f>
        <v>0</v>
      </c>
      <c r="AQ39" s="707">
        <f>SUM($W39:AF39)</f>
        <v>0</v>
      </c>
      <c r="AR39" s="707">
        <f>SUM($W39:AG39)</f>
        <v>0</v>
      </c>
      <c r="AS39" s="707" t="str">
        <f t="shared" si="11"/>
        <v/>
      </c>
      <c r="AT39" s="707" t="str">
        <f t="shared" si="11"/>
        <v/>
      </c>
      <c r="AU39" s="707" t="str">
        <f t="shared" si="11"/>
        <v/>
      </c>
      <c r="AV39" s="707" t="str">
        <f t="shared" si="11"/>
        <v/>
      </c>
      <c r="AW39" s="707" t="str">
        <f t="shared" si="11"/>
        <v/>
      </c>
      <c r="AX39" s="707" t="str">
        <f t="shared" si="11"/>
        <v/>
      </c>
      <c r="AY39" s="707" t="str">
        <f t="shared" si="11"/>
        <v/>
      </c>
      <c r="AZ39" s="707" t="str">
        <f t="shared" si="11"/>
        <v/>
      </c>
      <c r="BA39" s="707" t="str">
        <f t="shared" si="11"/>
        <v/>
      </c>
      <c r="BB39" s="707" t="str">
        <f t="shared" si="11"/>
        <v/>
      </c>
      <c r="BC39" s="707" t="str">
        <f t="shared" si="11"/>
        <v/>
      </c>
    </row>
    <row r="40" spans="1:55" ht="69.95" hidden="1" customHeight="1" x14ac:dyDescent="0.25">
      <c r="A40" s="972">
        <f t="shared" si="4"/>
        <v>0</v>
      </c>
      <c r="B40" s="4"/>
      <c r="C40" s="258"/>
      <c r="D40" s="4254" t="str">
        <f t="shared" si="8"/>
        <v/>
      </c>
      <c r="E40" s="4254"/>
      <c r="F40" s="3491" t="str">
        <f>IF(dpIncome_RentAdjustment_4="Construction Quality","B - Reinforced Concrete","B")</f>
        <v>B - Reinforced Concrete</v>
      </c>
      <c r="G40" s="4273"/>
      <c r="H40" s="4259"/>
      <c r="I40" s="4259"/>
      <c r="J40" s="4259"/>
      <c r="K40" s="4259"/>
      <c r="L40" s="3492" t="str">
        <f t="shared" si="5"/>
        <v/>
      </c>
      <c r="M40" s="4261"/>
      <c r="N40" s="4261"/>
      <c r="O40" s="4263"/>
      <c r="P40" s="3493" t="str">
        <f>IFERROR(L40+M39,"")</f>
        <v/>
      </c>
      <c r="Q40" s="3494"/>
      <c r="R40" s="6"/>
      <c r="T40" s="2100">
        <f t="shared" si="6"/>
        <v>0</v>
      </c>
      <c r="U40" s="707" t="str">
        <f t="shared" si="12"/>
        <v/>
      </c>
      <c r="V40" s="707"/>
      <c r="W40" s="707">
        <f>IF(AND(F40=Subject_ConstructionClass,G$39=Subject_ConstructionQuality),1,0)</f>
        <v>0</v>
      </c>
      <c r="X40" s="707">
        <f>IF(dpIncome_RentAdjustment_4="Construction Quality",IF(OR(ISERROR(HLOOKUP(X$8,'Rent Adjustments'!$G$8:$ZO$142,74,FALSE)),ISERROR(HLOOKUP(X$8,'Rent Adjustments'!$G$8:$ZO$142,75,FALSE))),0,IF(HLOOKUP(X$8,'Rent Adjustments'!$G$8:$ZO$142,74,FALSE)="",0,IF(AND($G39=HLOOKUP(X$8,'Rent Adjustments'!$G$8:$ZO$142,74,FALSE),$F40=HLOOKUP(X$8,'Rent Adjustments'!$G$8:$ZO$142,75,FALSE)),1,0))),IF(OR(ISERROR(HLOOKUP(X$8,'Rent Adjustments'!$G$8:$ZO$142,74,FALSE)),ISERROR(HLOOKUP(X$8,'Rent Adjustments'!$G$8:$ZO$142,76,FALSE))),0,IF(HLOOKUP(X$8,'Rent Adjustments'!$G$8:$ZO$142,74,FALSE)="",0,IF(AND($G39=HLOOKUP(X$8,'Rent Adjustments'!$G$8:$ZO$142,74,FALSE),$F40=HLOOKUP(X$8,'Rent Adjustments'!$G$8:$ZO$142,76,FALSE)),1,0))))</f>
        <v>0</v>
      </c>
      <c r="Y40" s="707">
        <f>IF(dpIncome_RentAdjustment_4="Construction Quality",IF(OR(ISERROR(HLOOKUP(Y$8,'Rent Adjustments'!$G$8:$ZO$142,74,FALSE)),ISERROR(HLOOKUP(Y$8,'Rent Adjustments'!$G$8:$ZO$142,75,FALSE))),0,IF(HLOOKUP(Y$8,'Rent Adjustments'!$G$8:$ZO$142,74,FALSE)="",0,IF(AND($G39=HLOOKUP(Y$8,'Rent Adjustments'!$G$8:$ZO$142,74,FALSE),$F40=HLOOKUP(Y$8,'Rent Adjustments'!$G$8:$ZO$142,75,FALSE)),1,0))),IF(OR(ISERROR(HLOOKUP(Y$8,'Rent Adjustments'!$G$8:$ZO$142,74,FALSE)),ISERROR(HLOOKUP(Y$8,'Rent Adjustments'!$G$8:$ZO$142,76,FALSE))),0,IF(HLOOKUP(Y$8,'Rent Adjustments'!$G$8:$ZO$142,74,FALSE)="",0,IF(AND($G39=HLOOKUP(Y$8,'Rent Adjustments'!$G$8:$ZO$142,74,FALSE),$F40=HLOOKUP(Y$8,'Rent Adjustments'!$G$8:$ZO$142,76,FALSE)),1,0))))</f>
        <v>0</v>
      </c>
      <c r="Z40" s="707">
        <f>IF(dpIncome_RentAdjustment_4="Construction Quality",IF(OR(ISERROR(HLOOKUP(Z$8,'Rent Adjustments'!$G$8:$ZO$142,74,FALSE)),ISERROR(HLOOKUP(Z$8,'Rent Adjustments'!$G$8:$ZO$142,75,FALSE))),0,IF(HLOOKUP(Z$8,'Rent Adjustments'!$G$8:$ZO$142,74,FALSE)="",0,IF(AND($G39=HLOOKUP(Z$8,'Rent Adjustments'!$G$8:$ZO$142,74,FALSE),$F40=HLOOKUP(Z$8,'Rent Adjustments'!$G$8:$ZO$142,75,FALSE)),1,0))),IF(OR(ISERROR(HLOOKUP(Z$8,'Rent Adjustments'!$G$8:$ZO$142,74,FALSE)),ISERROR(HLOOKUP(Z$8,'Rent Adjustments'!$G$8:$ZO$142,76,FALSE))),0,IF(HLOOKUP(Z$8,'Rent Adjustments'!$G$8:$ZO$142,74,FALSE)="",0,IF(AND($G39=HLOOKUP(Z$8,'Rent Adjustments'!$G$8:$ZO$142,74,FALSE),$F40=HLOOKUP(Z$8,'Rent Adjustments'!$G$8:$ZO$142,76,FALSE)),1,0))))</f>
        <v>0</v>
      </c>
      <c r="AA40" s="707">
        <f>IF(dpIncome_RentAdjustment_4="Construction Quality",IF(OR(ISERROR(HLOOKUP(AA$8,'Rent Adjustments'!$G$8:$ZO$142,74,FALSE)),ISERROR(HLOOKUP(AA$8,'Rent Adjustments'!$G$8:$ZO$142,75,FALSE))),0,IF(HLOOKUP(AA$8,'Rent Adjustments'!$G$8:$ZO$142,74,FALSE)="",0,IF(AND($G39=HLOOKUP(AA$8,'Rent Adjustments'!$G$8:$ZO$142,74,FALSE),$F40=HLOOKUP(AA$8,'Rent Adjustments'!$G$8:$ZO$142,75,FALSE)),1,0))),IF(OR(ISERROR(HLOOKUP(AA$8,'Rent Adjustments'!$G$8:$ZO$142,74,FALSE)),ISERROR(HLOOKUP(AA$8,'Rent Adjustments'!$G$8:$ZO$142,76,FALSE))),0,IF(HLOOKUP(AA$8,'Rent Adjustments'!$G$8:$ZO$142,74,FALSE)="",0,IF(AND($G39=HLOOKUP(AA$8,'Rent Adjustments'!$G$8:$ZO$142,74,FALSE),$F40=HLOOKUP(AA$8,'Rent Adjustments'!$G$8:$ZO$142,76,FALSE)),1,0))))</f>
        <v>0</v>
      </c>
      <c r="AB40" s="707">
        <f>IF(dpIncome_RentAdjustment_4="Construction Quality",IF(OR(ISERROR(HLOOKUP(AB$8,'Rent Adjustments'!$G$8:$ZO$142,74,FALSE)),ISERROR(HLOOKUP(AB$8,'Rent Adjustments'!$G$8:$ZO$142,75,FALSE))),0,IF(HLOOKUP(AB$8,'Rent Adjustments'!$G$8:$ZO$142,74,FALSE)="",0,IF(AND($G39=HLOOKUP(AB$8,'Rent Adjustments'!$G$8:$ZO$142,74,FALSE),$F40=HLOOKUP(AB$8,'Rent Adjustments'!$G$8:$ZO$142,75,FALSE)),1,0))),IF(OR(ISERROR(HLOOKUP(AB$8,'Rent Adjustments'!$G$8:$ZO$142,74,FALSE)),ISERROR(HLOOKUP(AB$8,'Rent Adjustments'!$G$8:$ZO$142,76,FALSE))),0,IF(HLOOKUP(AB$8,'Rent Adjustments'!$G$8:$ZO$142,74,FALSE)="",0,IF(AND($G39=HLOOKUP(AB$8,'Rent Adjustments'!$G$8:$ZO$142,74,FALSE),$F40=HLOOKUP(AB$8,'Rent Adjustments'!$G$8:$ZO$142,76,FALSE)),1,0))))</f>
        <v>0</v>
      </c>
      <c r="AC40" s="707">
        <f>IF(dpIncome_RentAdjustment_4="Construction Quality",IF(OR(ISERROR(HLOOKUP(AC$8,'Rent Adjustments'!$G$8:$ZO$142,74,FALSE)),ISERROR(HLOOKUP(AC$8,'Rent Adjustments'!$G$8:$ZO$142,75,FALSE))),0,IF(HLOOKUP(AC$8,'Rent Adjustments'!$G$8:$ZO$142,74,FALSE)="",0,IF(AND($G39=HLOOKUP(AC$8,'Rent Adjustments'!$G$8:$ZO$142,74,FALSE),$F40=HLOOKUP(AC$8,'Rent Adjustments'!$G$8:$ZO$142,75,FALSE)),1,0))),IF(OR(ISERROR(HLOOKUP(AC$8,'Rent Adjustments'!$G$8:$ZO$142,74,FALSE)),ISERROR(HLOOKUP(AC$8,'Rent Adjustments'!$G$8:$ZO$142,76,FALSE))),0,IF(HLOOKUP(AC$8,'Rent Adjustments'!$G$8:$ZO$142,74,FALSE)="",0,IF(AND($G39=HLOOKUP(AC$8,'Rent Adjustments'!$G$8:$ZO$142,74,FALSE),$F40=HLOOKUP(AC$8,'Rent Adjustments'!$G$8:$ZO$142,76,FALSE)),1,0))))</f>
        <v>0</v>
      </c>
      <c r="AD40" s="707">
        <f>IF(dpIncome_RentAdjustment_4="Construction Quality",IF(OR(ISERROR(HLOOKUP(AD$8,'Rent Adjustments'!$G$8:$ZO$142,74,FALSE)),ISERROR(HLOOKUP(AD$8,'Rent Adjustments'!$G$8:$ZO$142,75,FALSE))),0,IF(HLOOKUP(AD$8,'Rent Adjustments'!$G$8:$ZO$142,74,FALSE)="",0,IF(AND($G39=HLOOKUP(AD$8,'Rent Adjustments'!$G$8:$ZO$142,74,FALSE),$F40=HLOOKUP(AD$8,'Rent Adjustments'!$G$8:$ZO$142,75,FALSE)),1,0))),IF(OR(ISERROR(HLOOKUP(AD$8,'Rent Adjustments'!$G$8:$ZO$142,74,FALSE)),ISERROR(HLOOKUP(AD$8,'Rent Adjustments'!$G$8:$ZO$142,76,FALSE))),0,IF(HLOOKUP(AD$8,'Rent Adjustments'!$G$8:$ZO$142,74,FALSE)="",0,IF(AND($G39=HLOOKUP(AD$8,'Rent Adjustments'!$G$8:$ZO$142,74,FALSE),$F40=HLOOKUP(AD$8,'Rent Adjustments'!$G$8:$ZO$142,76,FALSE)),1,0))))</f>
        <v>0</v>
      </c>
      <c r="AE40" s="707">
        <f>IF(dpIncome_RentAdjustment_4="Construction Quality",IF(OR(ISERROR(HLOOKUP(AE$8,'Rent Adjustments'!$G$8:$ZO$142,74,FALSE)),ISERROR(HLOOKUP(AE$8,'Rent Adjustments'!$G$8:$ZO$142,75,FALSE))),0,IF(HLOOKUP(AE$8,'Rent Adjustments'!$G$8:$ZO$142,74,FALSE)="",0,IF(AND($G39=HLOOKUP(AE$8,'Rent Adjustments'!$G$8:$ZO$142,74,FALSE),$F40=HLOOKUP(AE$8,'Rent Adjustments'!$G$8:$ZO$142,75,FALSE)),1,0))),IF(OR(ISERROR(HLOOKUP(AE$8,'Rent Adjustments'!$G$8:$ZO$142,74,FALSE)),ISERROR(HLOOKUP(AE$8,'Rent Adjustments'!$G$8:$ZO$142,76,FALSE))),0,IF(HLOOKUP(AE$8,'Rent Adjustments'!$G$8:$ZO$142,74,FALSE)="",0,IF(AND($G39=HLOOKUP(AE$8,'Rent Adjustments'!$G$8:$ZO$142,74,FALSE),$F40=HLOOKUP(AE$8,'Rent Adjustments'!$G$8:$ZO$142,76,FALSE)),1,0))))</f>
        <v>0</v>
      </c>
      <c r="AF40" s="707">
        <f>IF(dpIncome_RentAdjustment_4="Construction Quality",IF(OR(ISERROR(HLOOKUP(AF$8,'Rent Adjustments'!$G$8:$ZO$142,74,FALSE)),ISERROR(HLOOKUP(AF$8,'Rent Adjustments'!$G$8:$ZO$142,75,FALSE))),0,IF(HLOOKUP(AF$8,'Rent Adjustments'!$G$8:$ZO$142,74,FALSE)="",0,IF(AND($G39=HLOOKUP(AF$8,'Rent Adjustments'!$G$8:$ZO$142,74,FALSE),$F40=HLOOKUP(AF$8,'Rent Adjustments'!$G$8:$ZO$142,75,FALSE)),1,0))),IF(OR(ISERROR(HLOOKUP(AF$8,'Rent Adjustments'!$G$8:$ZO$142,74,FALSE)),ISERROR(HLOOKUP(AF$8,'Rent Adjustments'!$G$8:$ZO$142,76,FALSE))),0,IF(HLOOKUP(AF$8,'Rent Adjustments'!$G$8:$ZO$142,74,FALSE)="",0,IF(AND($G39=HLOOKUP(AF$8,'Rent Adjustments'!$G$8:$ZO$142,74,FALSE),$F40=HLOOKUP(AF$8,'Rent Adjustments'!$G$8:$ZO$142,76,FALSE)),1,0))))</f>
        <v>0</v>
      </c>
      <c r="AG40" s="707">
        <f>IF(dpIncome_RentAdjustment_4="Construction Quality",IF(OR(ISERROR(HLOOKUP(AG$8,'Rent Adjustments'!$G$8:$ZO$142,74,FALSE)),ISERROR(HLOOKUP(AG$8,'Rent Adjustments'!$G$8:$ZO$142,75,FALSE))),0,IF(HLOOKUP(AG$8,'Rent Adjustments'!$G$8:$ZO$142,74,FALSE)="",0,IF(AND($G39=HLOOKUP(AG$8,'Rent Adjustments'!$G$8:$ZO$142,74,FALSE),$F40=HLOOKUP(AG$8,'Rent Adjustments'!$G$8:$ZO$142,75,FALSE)),1,0))),IF(OR(ISERROR(HLOOKUP(AG$8,'Rent Adjustments'!$G$8:$ZO$142,74,FALSE)),ISERROR(HLOOKUP(AG$8,'Rent Adjustments'!$G$8:$ZO$142,76,FALSE))),0,IF(HLOOKUP(AG$8,'Rent Adjustments'!$G$8:$ZO$142,74,FALSE)="",0,IF(AND($G39=HLOOKUP(AG$8,'Rent Adjustments'!$G$8:$ZO$142,74,FALSE),$F40=HLOOKUP(AG$8,'Rent Adjustments'!$G$8:$ZO$142,76,FALSE)),1,0))))</f>
        <v>0</v>
      </c>
      <c r="AH40" s="707">
        <f>SUM(W40:$W40)</f>
        <v>0</v>
      </c>
      <c r="AI40" s="707">
        <f>SUM($W40:X40)</f>
        <v>0</v>
      </c>
      <c r="AJ40" s="707">
        <f>SUM($W40:Y40)</f>
        <v>0</v>
      </c>
      <c r="AK40" s="707">
        <f>SUM($W40:Z40)</f>
        <v>0</v>
      </c>
      <c r="AL40" s="707">
        <f>SUM($W40:AA40)</f>
        <v>0</v>
      </c>
      <c r="AM40" s="707">
        <f>SUM($W40:AB40)</f>
        <v>0</v>
      </c>
      <c r="AN40" s="707">
        <f>SUM($W40:AC40)</f>
        <v>0</v>
      </c>
      <c r="AO40" s="707">
        <f>SUM($W40:AD40)</f>
        <v>0</v>
      </c>
      <c r="AP40" s="707">
        <f>SUM($W40:AE40)</f>
        <v>0</v>
      </c>
      <c r="AQ40" s="707">
        <f>SUM($W40:AF40)</f>
        <v>0</v>
      </c>
      <c r="AR40" s="707">
        <f>SUM($W40:AG40)</f>
        <v>0</v>
      </c>
      <c r="AS40" s="707" t="str">
        <f t="shared" si="11"/>
        <v/>
      </c>
      <c r="AT40" s="707" t="str">
        <f t="shared" si="11"/>
        <v/>
      </c>
      <c r="AU40" s="707" t="str">
        <f t="shared" si="11"/>
        <v/>
      </c>
      <c r="AV40" s="707" t="str">
        <f t="shared" si="11"/>
        <v/>
      </c>
      <c r="AW40" s="707" t="str">
        <f t="shared" si="11"/>
        <v/>
      </c>
      <c r="AX40" s="707" t="str">
        <f t="shared" si="11"/>
        <v/>
      </c>
      <c r="AY40" s="707" t="str">
        <f t="shared" si="11"/>
        <v/>
      </c>
      <c r="AZ40" s="707" t="str">
        <f t="shared" si="11"/>
        <v/>
      </c>
      <c r="BA40" s="707" t="str">
        <f t="shared" si="11"/>
        <v/>
      </c>
      <c r="BB40" s="707" t="str">
        <f t="shared" si="11"/>
        <v/>
      </c>
      <c r="BC40" s="707" t="str">
        <f t="shared" si="11"/>
        <v/>
      </c>
    </row>
    <row r="41" spans="1:55" ht="69.95" hidden="1" customHeight="1" x14ac:dyDescent="0.25">
      <c r="A41" s="972">
        <f t="shared" si="4"/>
        <v>0</v>
      </c>
      <c r="B41" s="4"/>
      <c r="C41" s="258"/>
      <c r="D41" s="4254" t="str">
        <f t="shared" si="8"/>
        <v/>
      </c>
      <c r="E41" s="4254"/>
      <c r="F41" s="3491" t="str">
        <f>IF(dpIncome_RentAdjustment_4="Construction Quality","C - Masonry","C")</f>
        <v>C - Masonry</v>
      </c>
      <c r="G41" s="4273"/>
      <c r="H41" s="4259"/>
      <c r="I41" s="4259"/>
      <c r="J41" s="4259"/>
      <c r="K41" s="4259"/>
      <c r="L41" s="3492" t="str">
        <f t="shared" si="5"/>
        <v/>
      </c>
      <c r="M41" s="4261"/>
      <c r="N41" s="4261"/>
      <c r="O41" s="4263"/>
      <c r="P41" s="3493" t="str">
        <f>IFERROR(L41+M39,"")</f>
        <v/>
      </c>
      <c r="Q41" s="3494"/>
      <c r="R41" s="6"/>
      <c r="T41" s="2100">
        <f t="shared" si="6"/>
        <v>0</v>
      </c>
      <c r="U41" s="707" t="str">
        <f t="shared" si="12"/>
        <v/>
      </c>
      <c r="V41" s="707"/>
      <c r="W41" s="707">
        <f>IF(AND(F41=Subject_ConstructionClass,G$39=Subject_ConstructionQuality),1,0)</f>
        <v>0</v>
      </c>
      <c r="X41" s="707">
        <f>IF(dpIncome_RentAdjustment_4="Construction Quality",IF(OR(ISERROR(HLOOKUP(X$8,'Rent Adjustments'!$G$8:$ZO$142,74,FALSE)),ISERROR(HLOOKUP(X$8,'Rent Adjustments'!$G$8:$ZO$142,75,FALSE))),0,IF(HLOOKUP(X$8,'Rent Adjustments'!$G$8:$ZO$142,74,FALSE)="",0,IF(AND($G39=HLOOKUP(X$8,'Rent Adjustments'!$G$8:$ZO$142,74,FALSE),$F41=HLOOKUP(X$8,'Rent Adjustments'!$G$8:$ZO$142,75,FALSE)),1,0))),IF(OR(ISERROR(HLOOKUP(X$8,'Rent Adjustments'!$G$8:$ZO$142,74,FALSE)),ISERROR(HLOOKUP(X$8,'Rent Adjustments'!$G$8:$ZO$142,76,FALSE))),0,IF(HLOOKUP(X$8,'Rent Adjustments'!$G$8:$ZO$142,74,FALSE)="",0,IF(AND($G39=HLOOKUP(X$8,'Rent Adjustments'!$G$8:$ZO$142,74,FALSE),$F41=HLOOKUP(X$8,'Rent Adjustments'!$G$8:$ZO$142,76,FALSE)),1,0))))</f>
        <v>0</v>
      </c>
      <c r="Y41" s="707">
        <f>IF(dpIncome_RentAdjustment_4="Construction Quality",IF(OR(ISERROR(HLOOKUP(Y$8,'Rent Adjustments'!$G$8:$ZO$142,74,FALSE)),ISERROR(HLOOKUP(Y$8,'Rent Adjustments'!$G$8:$ZO$142,75,FALSE))),0,IF(HLOOKUP(Y$8,'Rent Adjustments'!$G$8:$ZO$142,74,FALSE)="",0,IF(AND($G39=HLOOKUP(Y$8,'Rent Adjustments'!$G$8:$ZO$142,74,FALSE),$F41=HLOOKUP(Y$8,'Rent Adjustments'!$G$8:$ZO$142,75,FALSE)),1,0))),IF(OR(ISERROR(HLOOKUP(Y$8,'Rent Adjustments'!$G$8:$ZO$142,74,FALSE)),ISERROR(HLOOKUP(Y$8,'Rent Adjustments'!$G$8:$ZO$142,76,FALSE))),0,IF(HLOOKUP(Y$8,'Rent Adjustments'!$G$8:$ZO$142,74,FALSE)="",0,IF(AND($G39=HLOOKUP(Y$8,'Rent Adjustments'!$G$8:$ZO$142,74,FALSE),$F41=HLOOKUP(Y$8,'Rent Adjustments'!$G$8:$ZO$142,76,FALSE)),1,0))))</f>
        <v>0</v>
      </c>
      <c r="Z41" s="707">
        <f>IF(dpIncome_RentAdjustment_4="Construction Quality",IF(OR(ISERROR(HLOOKUP(Z$8,'Rent Adjustments'!$G$8:$ZO$142,74,FALSE)),ISERROR(HLOOKUP(Z$8,'Rent Adjustments'!$G$8:$ZO$142,75,FALSE))),0,IF(HLOOKUP(Z$8,'Rent Adjustments'!$G$8:$ZO$142,74,FALSE)="",0,IF(AND($G39=HLOOKUP(Z$8,'Rent Adjustments'!$G$8:$ZO$142,74,FALSE),$F41=HLOOKUP(Z$8,'Rent Adjustments'!$G$8:$ZO$142,75,FALSE)),1,0))),IF(OR(ISERROR(HLOOKUP(Z$8,'Rent Adjustments'!$G$8:$ZO$142,74,FALSE)),ISERROR(HLOOKUP(Z$8,'Rent Adjustments'!$G$8:$ZO$142,76,FALSE))),0,IF(HLOOKUP(Z$8,'Rent Adjustments'!$G$8:$ZO$142,74,FALSE)="",0,IF(AND($G39=HLOOKUP(Z$8,'Rent Adjustments'!$G$8:$ZO$142,74,FALSE),$F41=HLOOKUP(Z$8,'Rent Adjustments'!$G$8:$ZO$142,76,FALSE)),1,0))))</f>
        <v>0</v>
      </c>
      <c r="AA41" s="707">
        <f>IF(dpIncome_RentAdjustment_4="Construction Quality",IF(OR(ISERROR(HLOOKUP(AA$8,'Rent Adjustments'!$G$8:$ZO$142,74,FALSE)),ISERROR(HLOOKUP(AA$8,'Rent Adjustments'!$G$8:$ZO$142,75,FALSE))),0,IF(HLOOKUP(AA$8,'Rent Adjustments'!$G$8:$ZO$142,74,FALSE)="",0,IF(AND($G39=HLOOKUP(AA$8,'Rent Adjustments'!$G$8:$ZO$142,74,FALSE),$F41=HLOOKUP(AA$8,'Rent Adjustments'!$G$8:$ZO$142,75,FALSE)),1,0))),IF(OR(ISERROR(HLOOKUP(AA$8,'Rent Adjustments'!$G$8:$ZO$142,74,FALSE)),ISERROR(HLOOKUP(AA$8,'Rent Adjustments'!$G$8:$ZO$142,76,FALSE))),0,IF(HLOOKUP(AA$8,'Rent Adjustments'!$G$8:$ZO$142,74,FALSE)="",0,IF(AND($G39=HLOOKUP(AA$8,'Rent Adjustments'!$G$8:$ZO$142,74,FALSE),$F41=HLOOKUP(AA$8,'Rent Adjustments'!$G$8:$ZO$142,76,FALSE)),1,0))))</f>
        <v>0</v>
      </c>
      <c r="AB41" s="707">
        <f>IF(dpIncome_RentAdjustment_4="Construction Quality",IF(OR(ISERROR(HLOOKUP(AB$8,'Rent Adjustments'!$G$8:$ZO$142,74,FALSE)),ISERROR(HLOOKUP(AB$8,'Rent Adjustments'!$G$8:$ZO$142,75,FALSE))),0,IF(HLOOKUP(AB$8,'Rent Adjustments'!$G$8:$ZO$142,74,FALSE)="",0,IF(AND($G39=HLOOKUP(AB$8,'Rent Adjustments'!$G$8:$ZO$142,74,FALSE),$F41=HLOOKUP(AB$8,'Rent Adjustments'!$G$8:$ZO$142,75,FALSE)),1,0))),IF(OR(ISERROR(HLOOKUP(AB$8,'Rent Adjustments'!$G$8:$ZO$142,74,FALSE)),ISERROR(HLOOKUP(AB$8,'Rent Adjustments'!$G$8:$ZO$142,76,FALSE))),0,IF(HLOOKUP(AB$8,'Rent Adjustments'!$G$8:$ZO$142,74,FALSE)="",0,IF(AND($G39=HLOOKUP(AB$8,'Rent Adjustments'!$G$8:$ZO$142,74,FALSE),$F41=HLOOKUP(AB$8,'Rent Adjustments'!$G$8:$ZO$142,76,FALSE)),1,0))))</f>
        <v>0</v>
      </c>
      <c r="AC41" s="707">
        <f>IF(dpIncome_RentAdjustment_4="Construction Quality",IF(OR(ISERROR(HLOOKUP(AC$8,'Rent Adjustments'!$G$8:$ZO$142,74,FALSE)),ISERROR(HLOOKUP(AC$8,'Rent Adjustments'!$G$8:$ZO$142,75,FALSE))),0,IF(HLOOKUP(AC$8,'Rent Adjustments'!$G$8:$ZO$142,74,FALSE)="",0,IF(AND($G39=HLOOKUP(AC$8,'Rent Adjustments'!$G$8:$ZO$142,74,FALSE),$F41=HLOOKUP(AC$8,'Rent Adjustments'!$G$8:$ZO$142,75,FALSE)),1,0))),IF(OR(ISERROR(HLOOKUP(AC$8,'Rent Adjustments'!$G$8:$ZO$142,74,FALSE)),ISERROR(HLOOKUP(AC$8,'Rent Adjustments'!$G$8:$ZO$142,76,FALSE))),0,IF(HLOOKUP(AC$8,'Rent Adjustments'!$G$8:$ZO$142,74,FALSE)="",0,IF(AND($G39=HLOOKUP(AC$8,'Rent Adjustments'!$G$8:$ZO$142,74,FALSE),$F41=HLOOKUP(AC$8,'Rent Adjustments'!$G$8:$ZO$142,76,FALSE)),1,0))))</f>
        <v>0</v>
      </c>
      <c r="AD41" s="707">
        <f>IF(dpIncome_RentAdjustment_4="Construction Quality",IF(OR(ISERROR(HLOOKUP(AD$8,'Rent Adjustments'!$G$8:$ZO$142,74,FALSE)),ISERROR(HLOOKUP(AD$8,'Rent Adjustments'!$G$8:$ZO$142,75,FALSE))),0,IF(HLOOKUP(AD$8,'Rent Adjustments'!$G$8:$ZO$142,74,FALSE)="",0,IF(AND($G39=HLOOKUP(AD$8,'Rent Adjustments'!$G$8:$ZO$142,74,FALSE),$F41=HLOOKUP(AD$8,'Rent Adjustments'!$G$8:$ZO$142,75,FALSE)),1,0))),IF(OR(ISERROR(HLOOKUP(AD$8,'Rent Adjustments'!$G$8:$ZO$142,74,FALSE)),ISERROR(HLOOKUP(AD$8,'Rent Adjustments'!$G$8:$ZO$142,76,FALSE))),0,IF(HLOOKUP(AD$8,'Rent Adjustments'!$G$8:$ZO$142,74,FALSE)="",0,IF(AND($G39=HLOOKUP(AD$8,'Rent Adjustments'!$G$8:$ZO$142,74,FALSE),$F41=HLOOKUP(AD$8,'Rent Adjustments'!$G$8:$ZO$142,76,FALSE)),1,0))))</f>
        <v>0</v>
      </c>
      <c r="AE41" s="707">
        <f>IF(dpIncome_RentAdjustment_4="Construction Quality",IF(OR(ISERROR(HLOOKUP(AE$8,'Rent Adjustments'!$G$8:$ZO$142,74,FALSE)),ISERROR(HLOOKUP(AE$8,'Rent Adjustments'!$G$8:$ZO$142,75,FALSE))),0,IF(HLOOKUP(AE$8,'Rent Adjustments'!$G$8:$ZO$142,74,FALSE)="",0,IF(AND($G39=HLOOKUP(AE$8,'Rent Adjustments'!$G$8:$ZO$142,74,FALSE),$F41=HLOOKUP(AE$8,'Rent Adjustments'!$G$8:$ZO$142,75,FALSE)),1,0))),IF(OR(ISERROR(HLOOKUP(AE$8,'Rent Adjustments'!$G$8:$ZO$142,74,FALSE)),ISERROR(HLOOKUP(AE$8,'Rent Adjustments'!$G$8:$ZO$142,76,FALSE))),0,IF(HLOOKUP(AE$8,'Rent Adjustments'!$G$8:$ZO$142,74,FALSE)="",0,IF(AND($G39=HLOOKUP(AE$8,'Rent Adjustments'!$G$8:$ZO$142,74,FALSE),$F41=HLOOKUP(AE$8,'Rent Adjustments'!$G$8:$ZO$142,76,FALSE)),1,0))))</f>
        <v>0</v>
      </c>
      <c r="AF41" s="707">
        <f>IF(dpIncome_RentAdjustment_4="Construction Quality",IF(OR(ISERROR(HLOOKUP(AF$8,'Rent Adjustments'!$G$8:$ZO$142,74,FALSE)),ISERROR(HLOOKUP(AF$8,'Rent Adjustments'!$G$8:$ZO$142,75,FALSE))),0,IF(HLOOKUP(AF$8,'Rent Adjustments'!$G$8:$ZO$142,74,FALSE)="",0,IF(AND($G39=HLOOKUP(AF$8,'Rent Adjustments'!$G$8:$ZO$142,74,FALSE),$F41=HLOOKUP(AF$8,'Rent Adjustments'!$G$8:$ZO$142,75,FALSE)),1,0))),IF(OR(ISERROR(HLOOKUP(AF$8,'Rent Adjustments'!$G$8:$ZO$142,74,FALSE)),ISERROR(HLOOKUP(AF$8,'Rent Adjustments'!$G$8:$ZO$142,76,FALSE))),0,IF(HLOOKUP(AF$8,'Rent Adjustments'!$G$8:$ZO$142,74,FALSE)="",0,IF(AND($G39=HLOOKUP(AF$8,'Rent Adjustments'!$G$8:$ZO$142,74,FALSE),$F41=HLOOKUP(AF$8,'Rent Adjustments'!$G$8:$ZO$142,76,FALSE)),1,0))))</f>
        <v>0</v>
      </c>
      <c r="AG41" s="707">
        <f>IF(dpIncome_RentAdjustment_4="Construction Quality",IF(OR(ISERROR(HLOOKUP(AG$8,'Rent Adjustments'!$G$8:$ZO$142,74,FALSE)),ISERROR(HLOOKUP(AG$8,'Rent Adjustments'!$G$8:$ZO$142,75,FALSE))),0,IF(HLOOKUP(AG$8,'Rent Adjustments'!$G$8:$ZO$142,74,FALSE)="",0,IF(AND($G39=HLOOKUP(AG$8,'Rent Adjustments'!$G$8:$ZO$142,74,FALSE),$F41=HLOOKUP(AG$8,'Rent Adjustments'!$G$8:$ZO$142,75,FALSE)),1,0))),IF(OR(ISERROR(HLOOKUP(AG$8,'Rent Adjustments'!$G$8:$ZO$142,74,FALSE)),ISERROR(HLOOKUP(AG$8,'Rent Adjustments'!$G$8:$ZO$142,76,FALSE))),0,IF(HLOOKUP(AG$8,'Rent Adjustments'!$G$8:$ZO$142,74,FALSE)="",0,IF(AND($G39=HLOOKUP(AG$8,'Rent Adjustments'!$G$8:$ZO$142,74,FALSE),$F41=HLOOKUP(AG$8,'Rent Adjustments'!$G$8:$ZO$142,76,FALSE)),1,0))))</f>
        <v>0</v>
      </c>
      <c r="AH41" s="707">
        <f>SUM(W41:$W41)</f>
        <v>0</v>
      </c>
      <c r="AI41" s="707">
        <f>SUM($W41:X41)</f>
        <v>0</v>
      </c>
      <c r="AJ41" s="707">
        <f>SUM($W41:Y41)</f>
        <v>0</v>
      </c>
      <c r="AK41" s="707">
        <f>SUM($W41:Z41)</f>
        <v>0</v>
      </c>
      <c r="AL41" s="707">
        <f>SUM($W41:AA41)</f>
        <v>0</v>
      </c>
      <c r="AM41" s="707">
        <f>SUM($W41:AB41)</f>
        <v>0</v>
      </c>
      <c r="AN41" s="707">
        <f>SUM($W41:AC41)</f>
        <v>0</v>
      </c>
      <c r="AO41" s="707">
        <f>SUM($W41:AD41)</f>
        <v>0</v>
      </c>
      <c r="AP41" s="707">
        <f>SUM($W41:AE41)</f>
        <v>0</v>
      </c>
      <c r="AQ41" s="707">
        <f>SUM($W41:AF41)</f>
        <v>0</v>
      </c>
      <c r="AR41" s="707">
        <f>SUM($W41:AG41)</f>
        <v>0</v>
      </c>
      <c r="AS41" s="707" t="str">
        <f t="shared" si="11"/>
        <v/>
      </c>
      <c r="AT41" s="707" t="str">
        <f t="shared" si="11"/>
        <v/>
      </c>
      <c r="AU41" s="707" t="str">
        <f t="shared" si="11"/>
        <v/>
      </c>
      <c r="AV41" s="707" t="str">
        <f t="shared" si="11"/>
        <v/>
      </c>
      <c r="AW41" s="707" t="str">
        <f t="shared" si="11"/>
        <v/>
      </c>
      <c r="AX41" s="707" t="str">
        <f t="shared" si="11"/>
        <v/>
      </c>
      <c r="AY41" s="707" t="str">
        <f t="shared" si="11"/>
        <v/>
      </c>
      <c r="AZ41" s="707" t="str">
        <f t="shared" si="11"/>
        <v/>
      </c>
      <c r="BA41" s="707" t="str">
        <f t="shared" si="11"/>
        <v/>
      </c>
      <c r="BB41" s="707" t="str">
        <f t="shared" si="11"/>
        <v/>
      </c>
      <c r="BC41" s="707" t="str">
        <f t="shared" si="11"/>
        <v/>
      </c>
    </row>
    <row r="42" spans="1:55" ht="69.95" hidden="1" customHeight="1" x14ac:dyDescent="0.25">
      <c r="A42" s="972">
        <f t="shared" si="4"/>
        <v>0</v>
      </c>
      <c r="B42" s="4"/>
      <c r="C42" s="258"/>
      <c r="D42" s="4254" t="str">
        <f t="shared" si="8"/>
        <v/>
      </c>
      <c r="E42" s="4254"/>
      <c r="F42" s="3491" t="str">
        <f>IF(dpIncome_RentAdjustment_4="Construction Quality","D - Wood Frame","")</f>
        <v>D - Wood Frame</v>
      </c>
      <c r="G42" s="4273"/>
      <c r="H42" s="4259"/>
      <c r="I42" s="4259"/>
      <c r="J42" s="4259"/>
      <c r="K42" s="4259"/>
      <c r="L42" s="3492" t="str">
        <f t="shared" si="5"/>
        <v/>
      </c>
      <c r="M42" s="4261"/>
      <c r="N42" s="4261"/>
      <c r="O42" s="4263"/>
      <c r="P42" s="3493" t="str">
        <f>IFERROR(L42+M39,"")</f>
        <v/>
      </c>
      <c r="Q42" s="3494"/>
      <c r="R42" s="6"/>
      <c r="T42" s="2100">
        <f t="shared" si="6"/>
        <v>0</v>
      </c>
      <c r="U42" s="707" t="str">
        <f t="shared" si="12"/>
        <v/>
      </c>
      <c r="V42" s="707"/>
      <c r="W42" s="707">
        <f>IF(AND(F42=Subject_ConstructionClass,G$39=Subject_ConstructionQuality),1,0)</f>
        <v>0</v>
      </c>
      <c r="X42" s="707">
        <f>IF(dpIncome_RentAdjustment_4="Construction Quality",IF(OR(ISERROR(HLOOKUP(X$8,'Rent Adjustments'!$G$8:$ZO$142,74,FALSE)),ISERROR(HLOOKUP(X$8,'Rent Adjustments'!$G$8:$ZO$142,75,FALSE))),0,IF(HLOOKUP(X$8,'Rent Adjustments'!$G$8:$ZO$142,74,FALSE)="",0,IF(AND($G39=HLOOKUP(X$8,'Rent Adjustments'!$G$8:$ZO$142,74,FALSE),$F42=HLOOKUP(X$8,'Rent Adjustments'!$G$8:$ZO$142,75,FALSE)),1,0))),IF(OR(ISERROR(HLOOKUP(X$8,'Rent Adjustments'!$G$8:$ZO$142,74,FALSE)),ISERROR(HLOOKUP(X$8,'Rent Adjustments'!$G$8:$ZO$142,76,FALSE))),0,IF(HLOOKUP(X$8,'Rent Adjustments'!$G$8:$ZO$142,74,FALSE)="",0,IF(AND($G39=HLOOKUP(X$8,'Rent Adjustments'!$G$8:$ZO$142,74,FALSE),$F42=HLOOKUP(X$8,'Rent Adjustments'!$G$8:$ZO$142,76,FALSE)),1,0))))</f>
        <v>0</v>
      </c>
      <c r="Y42" s="707">
        <f>IF(dpIncome_RentAdjustment_4="Construction Quality",IF(OR(ISERROR(HLOOKUP(Y$8,'Rent Adjustments'!$G$8:$ZO$142,74,FALSE)),ISERROR(HLOOKUP(Y$8,'Rent Adjustments'!$G$8:$ZO$142,75,FALSE))),0,IF(HLOOKUP(Y$8,'Rent Adjustments'!$G$8:$ZO$142,74,FALSE)="",0,IF(AND($G39=HLOOKUP(Y$8,'Rent Adjustments'!$G$8:$ZO$142,74,FALSE),$F42=HLOOKUP(Y$8,'Rent Adjustments'!$G$8:$ZO$142,75,FALSE)),1,0))),IF(OR(ISERROR(HLOOKUP(Y$8,'Rent Adjustments'!$G$8:$ZO$142,74,FALSE)),ISERROR(HLOOKUP(Y$8,'Rent Adjustments'!$G$8:$ZO$142,76,FALSE))),0,IF(HLOOKUP(Y$8,'Rent Adjustments'!$G$8:$ZO$142,74,FALSE)="",0,IF(AND($G39=HLOOKUP(Y$8,'Rent Adjustments'!$G$8:$ZO$142,74,FALSE),$F42=HLOOKUP(Y$8,'Rent Adjustments'!$G$8:$ZO$142,76,FALSE)),1,0))))</f>
        <v>0</v>
      </c>
      <c r="Z42" s="707">
        <f>IF(dpIncome_RentAdjustment_4="Construction Quality",IF(OR(ISERROR(HLOOKUP(Z$8,'Rent Adjustments'!$G$8:$ZO$142,74,FALSE)),ISERROR(HLOOKUP(Z$8,'Rent Adjustments'!$G$8:$ZO$142,75,FALSE))),0,IF(HLOOKUP(Z$8,'Rent Adjustments'!$G$8:$ZO$142,74,FALSE)="",0,IF(AND($G39=HLOOKUP(Z$8,'Rent Adjustments'!$G$8:$ZO$142,74,FALSE),$F42=HLOOKUP(Z$8,'Rent Adjustments'!$G$8:$ZO$142,75,FALSE)),1,0))),IF(OR(ISERROR(HLOOKUP(Z$8,'Rent Adjustments'!$G$8:$ZO$142,74,FALSE)),ISERROR(HLOOKUP(Z$8,'Rent Adjustments'!$G$8:$ZO$142,76,FALSE))),0,IF(HLOOKUP(Z$8,'Rent Adjustments'!$G$8:$ZO$142,74,FALSE)="",0,IF(AND($G39=HLOOKUP(Z$8,'Rent Adjustments'!$G$8:$ZO$142,74,FALSE),$F42=HLOOKUP(Z$8,'Rent Adjustments'!$G$8:$ZO$142,76,FALSE)),1,0))))</f>
        <v>0</v>
      </c>
      <c r="AA42" s="707">
        <f>IF(dpIncome_RentAdjustment_4="Construction Quality",IF(OR(ISERROR(HLOOKUP(AA$8,'Rent Adjustments'!$G$8:$ZO$142,74,FALSE)),ISERROR(HLOOKUP(AA$8,'Rent Adjustments'!$G$8:$ZO$142,75,FALSE))),0,IF(HLOOKUP(AA$8,'Rent Adjustments'!$G$8:$ZO$142,74,FALSE)="",0,IF(AND($G39=HLOOKUP(AA$8,'Rent Adjustments'!$G$8:$ZO$142,74,FALSE),$F42=HLOOKUP(AA$8,'Rent Adjustments'!$G$8:$ZO$142,75,FALSE)),1,0))),IF(OR(ISERROR(HLOOKUP(AA$8,'Rent Adjustments'!$G$8:$ZO$142,74,FALSE)),ISERROR(HLOOKUP(AA$8,'Rent Adjustments'!$G$8:$ZO$142,76,FALSE))),0,IF(HLOOKUP(AA$8,'Rent Adjustments'!$G$8:$ZO$142,74,FALSE)="",0,IF(AND($G39=HLOOKUP(AA$8,'Rent Adjustments'!$G$8:$ZO$142,74,FALSE),$F42=HLOOKUP(AA$8,'Rent Adjustments'!$G$8:$ZO$142,76,FALSE)),1,0))))</f>
        <v>0</v>
      </c>
      <c r="AB42" s="707">
        <f>IF(dpIncome_RentAdjustment_4="Construction Quality",IF(OR(ISERROR(HLOOKUP(AB$8,'Rent Adjustments'!$G$8:$ZO$142,74,FALSE)),ISERROR(HLOOKUP(AB$8,'Rent Adjustments'!$G$8:$ZO$142,75,FALSE))),0,IF(HLOOKUP(AB$8,'Rent Adjustments'!$G$8:$ZO$142,74,FALSE)="",0,IF(AND($G39=HLOOKUP(AB$8,'Rent Adjustments'!$G$8:$ZO$142,74,FALSE),$F42=HLOOKUP(AB$8,'Rent Adjustments'!$G$8:$ZO$142,75,FALSE)),1,0))),IF(OR(ISERROR(HLOOKUP(AB$8,'Rent Adjustments'!$G$8:$ZO$142,74,FALSE)),ISERROR(HLOOKUP(AB$8,'Rent Adjustments'!$G$8:$ZO$142,76,FALSE))),0,IF(HLOOKUP(AB$8,'Rent Adjustments'!$G$8:$ZO$142,74,FALSE)="",0,IF(AND($G39=HLOOKUP(AB$8,'Rent Adjustments'!$G$8:$ZO$142,74,FALSE),$F42=HLOOKUP(AB$8,'Rent Adjustments'!$G$8:$ZO$142,76,FALSE)),1,0))))</f>
        <v>0</v>
      </c>
      <c r="AC42" s="707">
        <f>IF(dpIncome_RentAdjustment_4="Construction Quality",IF(OR(ISERROR(HLOOKUP(AC$8,'Rent Adjustments'!$G$8:$ZO$142,74,FALSE)),ISERROR(HLOOKUP(AC$8,'Rent Adjustments'!$G$8:$ZO$142,75,FALSE))),0,IF(HLOOKUP(AC$8,'Rent Adjustments'!$G$8:$ZO$142,74,FALSE)="",0,IF(AND($G39=HLOOKUP(AC$8,'Rent Adjustments'!$G$8:$ZO$142,74,FALSE),$F42=HLOOKUP(AC$8,'Rent Adjustments'!$G$8:$ZO$142,75,FALSE)),1,0))),IF(OR(ISERROR(HLOOKUP(AC$8,'Rent Adjustments'!$G$8:$ZO$142,74,FALSE)),ISERROR(HLOOKUP(AC$8,'Rent Adjustments'!$G$8:$ZO$142,76,FALSE))),0,IF(HLOOKUP(AC$8,'Rent Adjustments'!$G$8:$ZO$142,74,FALSE)="",0,IF(AND($G39=HLOOKUP(AC$8,'Rent Adjustments'!$G$8:$ZO$142,74,FALSE),$F42=HLOOKUP(AC$8,'Rent Adjustments'!$G$8:$ZO$142,76,FALSE)),1,0))))</f>
        <v>0</v>
      </c>
      <c r="AD42" s="707">
        <f>IF(dpIncome_RentAdjustment_4="Construction Quality",IF(OR(ISERROR(HLOOKUP(AD$8,'Rent Adjustments'!$G$8:$ZO$142,74,FALSE)),ISERROR(HLOOKUP(AD$8,'Rent Adjustments'!$G$8:$ZO$142,75,FALSE))),0,IF(HLOOKUP(AD$8,'Rent Adjustments'!$G$8:$ZO$142,74,FALSE)="",0,IF(AND($G39=HLOOKUP(AD$8,'Rent Adjustments'!$G$8:$ZO$142,74,FALSE),$F42=HLOOKUP(AD$8,'Rent Adjustments'!$G$8:$ZO$142,75,FALSE)),1,0))),IF(OR(ISERROR(HLOOKUP(AD$8,'Rent Adjustments'!$G$8:$ZO$142,74,FALSE)),ISERROR(HLOOKUP(AD$8,'Rent Adjustments'!$G$8:$ZO$142,76,FALSE))),0,IF(HLOOKUP(AD$8,'Rent Adjustments'!$G$8:$ZO$142,74,FALSE)="",0,IF(AND($G39=HLOOKUP(AD$8,'Rent Adjustments'!$G$8:$ZO$142,74,FALSE),$F42=HLOOKUP(AD$8,'Rent Adjustments'!$G$8:$ZO$142,76,FALSE)),1,0))))</f>
        <v>0</v>
      </c>
      <c r="AE42" s="707">
        <f>IF(dpIncome_RentAdjustment_4="Construction Quality",IF(OR(ISERROR(HLOOKUP(AE$8,'Rent Adjustments'!$G$8:$ZO$142,74,FALSE)),ISERROR(HLOOKUP(AE$8,'Rent Adjustments'!$G$8:$ZO$142,75,FALSE))),0,IF(HLOOKUP(AE$8,'Rent Adjustments'!$G$8:$ZO$142,74,FALSE)="",0,IF(AND($G39=HLOOKUP(AE$8,'Rent Adjustments'!$G$8:$ZO$142,74,FALSE),$F42=HLOOKUP(AE$8,'Rent Adjustments'!$G$8:$ZO$142,75,FALSE)),1,0))),IF(OR(ISERROR(HLOOKUP(AE$8,'Rent Adjustments'!$G$8:$ZO$142,74,FALSE)),ISERROR(HLOOKUP(AE$8,'Rent Adjustments'!$G$8:$ZO$142,76,FALSE))),0,IF(HLOOKUP(AE$8,'Rent Adjustments'!$G$8:$ZO$142,74,FALSE)="",0,IF(AND($G39=HLOOKUP(AE$8,'Rent Adjustments'!$G$8:$ZO$142,74,FALSE),$F42=HLOOKUP(AE$8,'Rent Adjustments'!$G$8:$ZO$142,76,FALSE)),1,0))))</f>
        <v>0</v>
      </c>
      <c r="AF42" s="707">
        <f>IF(dpIncome_RentAdjustment_4="Construction Quality",IF(OR(ISERROR(HLOOKUP(AF$8,'Rent Adjustments'!$G$8:$ZO$142,74,FALSE)),ISERROR(HLOOKUP(AF$8,'Rent Adjustments'!$G$8:$ZO$142,75,FALSE))),0,IF(HLOOKUP(AF$8,'Rent Adjustments'!$G$8:$ZO$142,74,FALSE)="",0,IF(AND($G39=HLOOKUP(AF$8,'Rent Adjustments'!$G$8:$ZO$142,74,FALSE),$F42=HLOOKUP(AF$8,'Rent Adjustments'!$G$8:$ZO$142,75,FALSE)),1,0))),IF(OR(ISERROR(HLOOKUP(AF$8,'Rent Adjustments'!$G$8:$ZO$142,74,FALSE)),ISERROR(HLOOKUP(AF$8,'Rent Adjustments'!$G$8:$ZO$142,76,FALSE))),0,IF(HLOOKUP(AF$8,'Rent Adjustments'!$G$8:$ZO$142,74,FALSE)="",0,IF(AND($G39=HLOOKUP(AF$8,'Rent Adjustments'!$G$8:$ZO$142,74,FALSE),$F42=HLOOKUP(AF$8,'Rent Adjustments'!$G$8:$ZO$142,76,FALSE)),1,0))))</f>
        <v>0</v>
      </c>
      <c r="AG42" s="707">
        <f>IF(dpIncome_RentAdjustment_4="Construction Quality",IF(OR(ISERROR(HLOOKUP(AG$8,'Rent Adjustments'!$G$8:$ZO$142,74,FALSE)),ISERROR(HLOOKUP(AG$8,'Rent Adjustments'!$G$8:$ZO$142,75,FALSE))),0,IF(HLOOKUP(AG$8,'Rent Adjustments'!$G$8:$ZO$142,74,FALSE)="",0,IF(AND($G39=HLOOKUP(AG$8,'Rent Adjustments'!$G$8:$ZO$142,74,FALSE),$F42=HLOOKUP(AG$8,'Rent Adjustments'!$G$8:$ZO$142,75,FALSE)),1,0))),IF(OR(ISERROR(HLOOKUP(AG$8,'Rent Adjustments'!$G$8:$ZO$142,74,FALSE)),ISERROR(HLOOKUP(AG$8,'Rent Adjustments'!$G$8:$ZO$142,76,FALSE))),0,IF(HLOOKUP(AG$8,'Rent Adjustments'!$G$8:$ZO$142,74,FALSE)="",0,IF(AND($G39=HLOOKUP(AG$8,'Rent Adjustments'!$G$8:$ZO$142,74,FALSE),$F42=HLOOKUP(AG$8,'Rent Adjustments'!$G$8:$ZO$142,76,FALSE)),1,0))))</f>
        <v>0</v>
      </c>
      <c r="AH42" s="707">
        <f>SUM(W42:$W42)</f>
        <v>0</v>
      </c>
      <c r="AI42" s="707">
        <f>SUM($W42:X42)</f>
        <v>0</v>
      </c>
      <c r="AJ42" s="707">
        <f>SUM($W42:Y42)</f>
        <v>0</v>
      </c>
      <c r="AK42" s="707">
        <f>SUM($W42:Z42)</f>
        <v>0</v>
      </c>
      <c r="AL42" s="707">
        <f>SUM($W42:AA42)</f>
        <v>0</v>
      </c>
      <c r="AM42" s="707">
        <f>SUM($W42:AB42)</f>
        <v>0</v>
      </c>
      <c r="AN42" s="707">
        <f>SUM($W42:AC42)</f>
        <v>0</v>
      </c>
      <c r="AO42" s="707">
        <f>SUM($W42:AD42)</f>
        <v>0</v>
      </c>
      <c r="AP42" s="707">
        <f>SUM($W42:AE42)</f>
        <v>0</v>
      </c>
      <c r="AQ42" s="707">
        <f>SUM($W42:AF42)</f>
        <v>0</v>
      </c>
      <c r="AR42" s="707">
        <f>SUM($W42:AG42)</f>
        <v>0</v>
      </c>
      <c r="AS42" s="707" t="str">
        <f t="shared" si="11"/>
        <v/>
      </c>
      <c r="AT42" s="707" t="str">
        <f t="shared" si="11"/>
        <v/>
      </c>
      <c r="AU42" s="707" t="str">
        <f t="shared" si="11"/>
        <v/>
      </c>
      <c r="AV42" s="707" t="str">
        <f t="shared" si="11"/>
        <v/>
      </c>
      <c r="AW42" s="707" t="str">
        <f t="shared" si="11"/>
        <v/>
      </c>
      <c r="AX42" s="707" t="str">
        <f t="shared" si="11"/>
        <v/>
      </c>
      <c r="AY42" s="707" t="str">
        <f t="shared" si="11"/>
        <v/>
      </c>
      <c r="AZ42" s="707" t="str">
        <f t="shared" si="11"/>
        <v/>
      </c>
      <c r="BA42" s="707" t="str">
        <f t="shared" si="11"/>
        <v/>
      </c>
      <c r="BB42" s="707" t="str">
        <f t="shared" si="11"/>
        <v/>
      </c>
      <c r="BC42" s="707" t="str">
        <f t="shared" si="11"/>
        <v/>
      </c>
    </row>
    <row r="43" spans="1:55" ht="69.95" hidden="1" customHeight="1" thickBot="1" x14ac:dyDescent="0.3">
      <c r="A43" s="972">
        <f t="shared" si="4"/>
        <v>0</v>
      </c>
      <c r="B43" s="4"/>
      <c r="C43" s="258"/>
      <c r="D43" s="4254" t="str">
        <f t="shared" si="8"/>
        <v/>
      </c>
      <c r="E43" s="4254"/>
      <c r="F43" s="3495" t="str">
        <f>IF(dpIncome_RentAdjustment_4="Construction Quality","S - Steel Frame","")</f>
        <v>S - Steel Frame</v>
      </c>
      <c r="G43" s="4274"/>
      <c r="H43" s="4268"/>
      <c r="I43" s="4268"/>
      <c r="J43" s="4268"/>
      <c r="K43" s="4268"/>
      <c r="L43" s="3496" t="str">
        <f t="shared" si="5"/>
        <v/>
      </c>
      <c r="M43" s="4262"/>
      <c r="N43" s="4262"/>
      <c r="O43" s="4263"/>
      <c r="P43" s="3493" t="str">
        <f>IFERROR(L43+M39,"")</f>
        <v/>
      </c>
      <c r="Q43" s="3494"/>
      <c r="R43" s="6"/>
      <c r="T43" s="2100">
        <f t="shared" si="6"/>
        <v>0</v>
      </c>
      <c r="U43" s="707" t="str">
        <f t="shared" si="12"/>
        <v/>
      </c>
      <c r="V43" s="707"/>
      <c r="W43" s="707">
        <f>IF(AND(F43=Subject_ConstructionClass,G$39=Subject_ConstructionQuality),1,0)</f>
        <v>0</v>
      </c>
      <c r="X43" s="707">
        <f>IF(dpIncome_RentAdjustment_4="Construction Quality",IF(OR(ISERROR(HLOOKUP(X$8,'Rent Adjustments'!$G$8:$ZO$142,74,FALSE)),ISERROR(HLOOKUP(X$8,'Rent Adjustments'!$G$8:$ZO$142,75,FALSE))),0,IF(HLOOKUP(X$8,'Rent Adjustments'!$G$8:$ZO$142,74,FALSE)="",0,IF(AND($G39=HLOOKUP(X$8,'Rent Adjustments'!$G$8:$ZO$142,74,FALSE),$F43=HLOOKUP(X$8,'Rent Adjustments'!$G$8:$ZO$142,75,FALSE)),1,0))),IF(OR(ISERROR(HLOOKUP(X$8,'Rent Adjustments'!$G$8:$ZO$142,74,FALSE)),ISERROR(HLOOKUP(X$8,'Rent Adjustments'!$G$8:$ZO$142,76,FALSE))),0,IF(HLOOKUP(X$8,'Rent Adjustments'!$G$8:$ZO$142,74,FALSE)="",0,IF(AND($G39=HLOOKUP(X$8,'Rent Adjustments'!$G$8:$ZO$142,74,FALSE),$F43=HLOOKUP(X$8,'Rent Adjustments'!$G$8:$ZO$142,76,FALSE)),1,0))))</f>
        <v>0</v>
      </c>
      <c r="Y43" s="707">
        <f>IF(dpIncome_RentAdjustment_4="Construction Quality",IF(OR(ISERROR(HLOOKUP(Y$8,'Rent Adjustments'!$G$8:$ZO$142,74,FALSE)),ISERROR(HLOOKUP(Y$8,'Rent Adjustments'!$G$8:$ZO$142,75,FALSE))),0,IF(HLOOKUP(Y$8,'Rent Adjustments'!$G$8:$ZO$142,74,FALSE)="",0,IF(AND($G39=HLOOKUP(Y$8,'Rent Adjustments'!$G$8:$ZO$142,74,FALSE),$F43=HLOOKUP(Y$8,'Rent Adjustments'!$G$8:$ZO$142,75,FALSE)),1,0))),IF(OR(ISERROR(HLOOKUP(Y$8,'Rent Adjustments'!$G$8:$ZO$142,74,FALSE)),ISERROR(HLOOKUP(Y$8,'Rent Adjustments'!$G$8:$ZO$142,76,FALSE))),0,IF(HLOOKUP(Y$8,'Rent Adjustments'!$G$8:$ZO$142,74,FALSE)="",0,IF(AND($G39=HLOOKUP(Y$8,'Rent Adjustments'!$G$8:$ZO$142,74,FALSE),$F43=HLOOKUP(Y$8,'Rent Adjustments'!$G$8:$ZO$142,76,FALSE)),1,0))))</f>
        <v>0</v>
      </c>
      <c r="Z43" s="707">
        <f>IF(dpIncome_RentAdjustment_4="Construction Quality",IF(OR(ISERROR(HLOOKUP(Z$8,'Rent Adjustments'!$G$8:$ZO$142,74,FALSE)),ISERROR(HLOOKUP(Z$8,'Rent Adjustments'!$G$8:$ZO$142,75,FALSE))),0,IF(HLOOKUP(Z$8,'Rent Adjustments'!$G$8:$ZO$142,74,FALSE)="",0,IF(AND($G39=HLOOKUP(Z$8,'Rent Adjustments'!$G$8:$ZO$142,74,FALSE),$F43=HLOOKUP(Z$8,'Rent Adjustments'!$G$8:$ZO$142,75,FALSE)),1,0))),IF(OR(ISERROR(HLOOKUP(Z$8,'Rent Adjustments'!$G$8:$ZO$142,74,FALSE)),ISERROR(HLOOKUP(Z$8,'Rent Adjustments'!$G$8:$ZO$142,76,FALSE))),0,IF(HLOOKUP(Z$8,'Rent Adjustments'!$G$8:$ZO$142,74,FALSE)="",0,IF(AND($G39=HLOOKUP(Z$8,'Rent Adjustments'!$G$8:$ZO$142,74,FALSE),$F43=HLOOKUP(Z$8,'Rent Adjustments'!$G$8:$ZO$142,76,FALSE)),1,0))))</f>
        <v>0</v>
      </c>
      <c r="AA43" s="707">
        <f>IF(dpIncome_RentAdjustment_4="Construction Quality",IF(OR(ISERROR(HLOOKUP(AA$8,'Rent Adjustments'!$G$8:$ZO$142,74,FALSE)),ISERROR(HLOOKUP(AA$8,'Rent Adjustments'!$G$8:$ZO$142,75,FALSE))),0,IF(HLOOKUP(AA$8,'Rent Adjustments'!$G$8:$ZO$142,74,FALSE)="",0,IF(AND($G39=HLOOKUP(AA$8,'Rent Adjustments'!$G$8:$ZO$142,74,FALSE),$F43=HLOOKUP(AA$8,'Rent Adjustments'!$G$8:$ZO$142,75,FALSE)),1,0))),IF(OR(ISERROR(HLOOKUP(AA$8,'Rent Adjustments'!$G$8:$ZO$142,74,FALSE)),ISERROR(HLOOKUP(AA$8,'Rent Adjustments'!$G$8:$ZO$142,76,FALSE))),0,IF(HLOOKUP(AA$8,'Rent Adjustments'!$G$8:$ZO$142,74,FALSE)="",0,IF(AND($G39=HLOOKUP(AA$8,'Rent Adjustments'!$G$8:$ZO$142,74,FALSE),$F43=HLOOKUP(AA$8,'Rent Adjustments'!$G$8:$ZO$142,76,FALSE)),1,0))))</f>
        <v>0</v>
      </c>
      <c r="AB43" s="707">
        <f>IF(dpIncome_RentAdjustment_4="Construction Quality",IF(OR(ISERROR(HLOOKUP(AB$8,'Rent Adjustments'!$G$8:$ZO$142,74,FALSE)),ISERROR(HLOOKUP(AB$8,'Rent Adjustments'!$G$8:$ZO$142,75,FALSE))),0,IF(HLOOKUP(AB$8,'Rent Adjustments'!$G$8:$ZO$142,74,FALSE)="",0,IF(AND($G39=HLOOKUP(AB$8,'Rent Adjustments'!$G$8:$ZO$142,74,FALSE),$F43=HLOOKUP(AB$8,'Rent Adjustments'!$G$8:$ZO$142,75,FALSE)),1,0))),IF(OR(ISERROR(HLOOKUP(AB$8,'Rent Adjustments'!$G$8:$ZO$142,74,FALSE)),ISERROR(HLOOKUP(AB$8,'Rent Adjustments'!$G$8:$ZO$142,76,FALSE))),0,IF(HLOOKUP(AB$8,'Rent Adjustments'!$G$8:$ZO$142,74,FALSE)="",0,IF(AND($G39=HLOOKUP(AB$8,'Rent Adjustments'!$G$8:$ZO$142,74,FALSE),$F43=HLOOKUP(AB$8,'Rent Adjustments'!$G$8:$ZO$142,76,FALSE)),1,0))))</f>
        <v>0</v>
      </c>
      <c r="AC43" s="707">
        <f>IF(dpIncome_RentAdjustment_4="Construction Quality",IF(OR(ISERROR(HLOOKUP(AC$8,'Rent Adjustments'!$G$8:$ZO$142,74,FALSE)),ISERROR(HLOOKUP(AC$8,'Rent Adjustments'!$G$8:$ZO$142,75,FALSE))),0,IF(HLOOKUP(AC$8,'Rent Adjustments'!$G$8:$ZO$142,74,FALSE)="",0,IF(AND($G39=HLOOKUP(AC$8,'Rent Adjustments'!$G$8:$ZO$142,74,FALSE),$F43=HLOOKUP(AC$8,'Rent Adjustments'!$G$8:$ZO$142,75,FALSE)),1,0))),IF(OR(ISERROR(HLOOKUP(AC$8,'Rent Adjustments'!$G$8:$ZO$142,74,FALSE)),ISERROR(HLOOKUP(AC$8,'Rent Adjustments'!$G$8:$ZO$142,76,FALSE))),0,IF(HLOOKUP(AC$8,'Rent Adjustments'!$G$8:$ZO$142,74,FALSE)="",0,IF(AND($G39=HLOOKUP(AC$8,'Rent Adjustments'!$G$8:$ZO$142,74,FALSE),$F43=HLOOKUP(AC$8,'Rent Adjustments'!$G$8:$ZO$142,76,FALSE)),1,0))))</f>
        <v>0</v>
      </c>
      <c r="AD43" s="707">
        <f>IF(dpIncome_RentAdjustment_4="Construction Quality",IF(OR(ISERROR(HLOOKUP(AD$8,'Rent Adjustments'!$G$8:$ZO$142,74,FALSE)),ISERROR(HLOOKUP(AD$8,'Rent Adjustments'!$G$8:$ZO$142,75,FALSE))),0,IF(HLOOKUP(AD$8,'Rent Adjustments'!$G$8:$ZO$142,74,FALSE)="",0,IF(AND($G39=HLOOKUP(AD$8,'Rent Adjustments'!$G$8:$ZO$142,74,FALSE),$F43=HLOOKUP(AD$8,'Rent Adjustments'!$G$8:$ZO$142,75,FALSE)),1,0))),IF(OR(ISERROR(HLOOKUP(AD$8,'Rent Adjustments'!$G$8:$ZO$142,74,FALSE)),ISERROR(HLOOKUP(AD$8,'Rent Adjustments'!$G$8:$ZO$142,76,FALSE))),0,IF(HLOOKUP(AD$8,'Rent Adjustments'!$G$8:$ZO$142,74,FALSE)="",0,IF(AND($G39=HLOOKUP(AD$8,'Rent Adjustments'!$G$8:$ZO$142,74,FALSE),$F43=HLOOKUP(AD$8,'Rent Adjustments'!$G$8:$ZO$142,76,FALSE)),1,0))))</f>
        <v>0</v>
      </c>
      <c r="AE43" s="707">
        <f>IF(dpIncome_RentAdjustment_4="Construction Quality",IF(OR(ISERROR(HLOOKUP(AE$8,'Rent Adjustments'!$G$8:$ZO$142,74,FALSE)),ISERROR(HLOOKUP(AE$8,'Rent Adjustments'!$G$8:$ZO$142,75,FALSE))),0,IF(HLOOKUP(AE$8,'Rent Adjustments'!$G$8:$ZO$142,74,FALSE)="",0,IF(AND($G39=HLOOKUP(AE$8,'Rent Adjustments'!$G$8:$ZO$142,74,FALSE),$F43=HLOOKUP(AE$8,'Rent Adjustments'!$G$8:$ZO$142,75,FALSE)),1,0))),IF(OR(ISERROR(HLOOKUP(AE$8,'Rent Adjustments'!$G$8:$ZO$142,74,FALSE)),ISERROR(HLOOKUP(AE$8,'Rent Adjustments'!$G$8:$ZO$142,76,FALSE))),0,IF(HLOOKUP(AE$8,'Rent Adjustments'!$G$8:$ZO$142,74,FALSE)="",0,IF(AND($G39=HLOOKUP(AE$8,'Rent Adjustments'!$G$8:$ZO$142,74,FALSE),$F43=HLOOKUP(AE$8,'Rent Adjustments'!$G$8:$ZO$142,76,FALSE)),1,0))))</f>
        <v>0</v>
      </c>
      <c r="AF43" s="707">
        <f>IF(dpIncome_RentAdjustment_4="Construction Quality",IF(OR(ISERROR(HLOOKUP(AF$8,'Rent Adjustments'!$G$8:$ZO$142,74,FALSE)),ISERROR(HLOOKUP(AF$8,'Rent Adjustments'!$G$8:$ZO$142,75,FALSE))),0,IF(HLOOKUP(AF$8,'Rent Adjustments'!$G$8:$ZO$142,74,FALSE)="",0,IF(AND($G39=HLOOKUP(AF$8,'Rent Adjustments'!$G$8:$ZO$142,74,FALSE),$F43=HLOOKUP(AF$8,'Rent Adjustments'!$G$8:$ZO$142,75,FALSE)),1,0))),IF(OR(ISERROR(HLOOKUP(AF$8,'Rent Adjustments'!$G$8:$ZO$142,74,FALSE)),ISERROR(HLOOKUP(AF$8,'Rent Adjustments'!$G$8:$ZO$142,76,FALSE))),0,IF(HLOOKUP(AF$8,'Rent Adjustments'!$G$8:$ZO$142,74,FALSE)="",0,IF(AND($G39=HLOOKUP(AF$8,'Rent Adjustments'!$G$8:$ZO$142,74,FALSE),$F43=HLOOKUP(AF$8,'Rent Adjustments'!$G$8:$ZO$142,76,FALSE)),1,0))))</f>
        <v>0</v>
      </c>
      <c r="AG43" s="707">
        <f>IF(dpIncome_RentAdjustment_4="Construction Quality",IF(OR(ISERROR(HLOOKUP(AG$8,'Rent Adjustments'!$G$8:$ZO$142,74,FALSE)),ISERROR(HLOOKUP(AG$8,'Rent Adjustments'!$G$8:$ZO$142,75,FALSE))),0,IF(HLOOKUP(AG$8,'Rent Adjustments'!$G$8:$ZO$142,74,FALSE)="",0,IF(AND($G39=HLOOKUP(AG$8,'Rent Adjustments'!$G$8:$ZO$142,74,FALSE),$F43=HLOOKUP(AG$8,'Rent Adjustments'!$G$8:$ZO$142,75,FALSE)),1,0))),IF(OR(ISERROR(HLOOKUP(AG$8,'Rent Adjustments'!$G$8:$ZO$142,74,FALSE)),ISERROR(HLOOKUP(AG$8,'Rent Adjustments'!$G$8:$ZO$142,76,FALSE))),0,IF(HLOOKUP(AG$8,'Rent Adjustments'!$G$8:$ZO$142,74,FALSE)="",0,IF(AND($G39=HLOOKUP(AG$8,'Rent Adjustments'!$G$8:$ZO$142,74,FALSE),$F43=HLOOKUP(AG$8,'Rent Adjustments'!$G$8:$ZO$142,76,FALSE)),1,0))))</f>
        <v>0</v>
      </c>
      <c r="AH43" s="707">
        <f>SUM(W43:$W43)</f>
        <v>0</v>
      </c>
      <c r="AI43" s="707">
        <f>SUM($W43:X43)</f>
        <v>0</v>
      </c>
      <c r="AJ43" s="707">
        <f>SUM($W43:Y43)</f>
        <v>0</v>
      </c>
      <c r="AK43" s="707">
        <f>SUM($W43:Z43)</f>
        <v>0</v>
      </c>
      <c r="AL43" s="707">
        <f>SUM($W43:AA43)</f>
        <v>0</v>
      </c>
      <c r="AM43" s="707">
        <f>SUM($W43:AB43)</f>
        <v>0</v>
      </c>
      <c r="AN43" s="707">
        <f>SUM($W43:AC43)</f>
        <v>0</v>
      </c>
      <c r="AO43" s="707">
        <f>SUM($W43:AD43)</f>
        <v>0</v>
      </c>
      <c r="AP43" s="707">
        <f>SUM($W43:AE43)</f>
        <v>0</v>
      </c>
      <c r="AQ43" s="707">
        <f>SUM($W43:AF43)</f>
        <v>0</v>
      </c>
      <c r="AR43" s="707">
        <f>SUM($W43:AG43)</f>
        <v>0</v>
      </c>
      <c r="AS43" s="707" t="str">
        <f t="shared" si="11"/>
        <v/>
      </c>
      <c r="AT43" s="707" t="str">
        <f t="shared" si="11"/>
        <v/>
      </c>
      <c r="AU43" s="707" t="str">
        <f t="shared" si="11"/>
        <v/>
      </c>
      <c r="AV43" s="707" t="str">
        <f t="shared" si="11"/>
        <v/>
      </c>
      <c r="AW43" s="707" t="str">
        <f t="shared" si="11"/>
        <v/>
      </c>
      <c r="AX43" s="707" t="str">
        <f t="shared" si="11"/>
        <v/>
      </c>
      <c r="AY43" s="707" t="str">
        <f t="shared" si="11"/>
        <v/>
      </c>
      <c r="AZ43" s="707" t="str">
        <f t="shared" si="11"/>
        <v/>
      </c>
      <c r="BA43" s="707" t="str">
        <f t="shared" si="11"/>
        <v/>
      </c>
      <c r="BB43" s="707" t="str">
        <f t="shared" si="11"/>
        <v/>
      </c>
      <c r="BC43" s="707" t="str">
        <f t="shared" si="11"/>
        <v/>
      </c>
    </row>
    <row r="44" spans="1:55" ht="15" customHeight="1" thickBot="1" x14ac:dyDescent="0.3">
      <c r="A44" s="957">
        <f t="shared" ref="A44:A49" si="13">IF(RentAdjustmentGrid="Single",1,0)</f>
        <v>1</v>
      </c>
      <c r="B44" s="8"/>
      <c r="C44" s="7"/>
      <c r="D44" s="741" t="s">
        <v>1809</v>
      </c>
      <c r="E44" s="133"/>
      <c r="F44" s="133"/>
      <c r="G44" s="133"/>
      <c r="H44" s="133"/>
      <c r="I44" s="133"/>
      <c r="J44" s="133"/>
      <c r="K44" s="133"/>
      <c r="L44" s="133"/>
      <c r="M44" s="133"/>
      <c r="N44" s="133"/>
      <c r="O44" s="133"/>
      <c r="P44" s="133"/>
      <c r="Q44" s="7"/>
      <c r="R44" s="9"/>
    </row>
    <row r="45" spans="1:55" ht="15" thickBot="1" x14ac:dyDescent="0.3">
      <c r="A45" s="957">
        <f t="shared" si="13"/>
        <v>1</v>
      </c>
    </row>
    <row r="46" spans="1:55" x14ac:dyDescent="0.25">
      <c r="A46" s="957">
        <f t="shared" si="13"/>
        <v>1</v>
      </c>
      <c r="B46" s="1"/>
      <c r="C46" s="2"/>
      <c r="D46" s="2"/>
      <c r="E46" s="2"/>
      <c r="F46" s="2"/>
      <c r="G46" s="2"/>
      <c r="H46" s="2"/>
      <c r="I46" s="2"/>
      <c r="J46" s="2"/>
      <c r="K46" s="2"/>
      <c r="L46" s="2"/>
      <c r="M46" s="2"/>
      <c r="N46" s="3"/>
    </row>
    <row r="47" spans="1:55" ht="15.95" customHeight="1" x14ac:dyDescent="0.3">
      <c r="A47" s="957">
        <f t="shared" si="13"/>
        <v>1</v>
      </c>
      <c r="B47" s="4"/>
      <c r="C47" s="5"/>
      <c r="D47" s="246" t="s">
        <v>555</v>
      </c>
      <c r="E47" s="5"/>
      <c r="F47" s="5"/>
      <c r="G47" s="5"/>
      <c r="H47" s="5"/>
      <c r="I47" s="5"/>
      <c r="J47" s="5"/>
      <c r="K47" s="5"/>
      <c r="L47" s="5"/>
      <c r="M47" s="5"/>
      <c r="N47" s="6"/>
    </row>
    <row r="48" spans="1:55" x14ac:dyDescent="0.25">
      <c r="A48" s="957">
        <f t="shared" si="13"/>
        <v>1</v>
      </c>
      <c r="B48" s="4"/>
      <c r="C48" s="150"/>
      <c r="D48" s="150"/>
      <c r="E48" s="150" t="s">
        <v>128</v>
      </c>
      <c r="F48" s="150" t="s">
        <v>551</v>
      </c>
      <c r="G48" s="150" t="s">
        <v>116</v>
      </c>
      <c r="H48" s="150" t="s">
        <v>552</v>
      </c>
      <c r="I48" s="150"/>
      <c r="J48" s="150"/>
      <c r="K48" s="4088" t="s">
        <v>554</v>
      </c>
      <c r="L48" s="4088"/>
      <c r="M48" s="150"/>
      <c r="N48" s="6"/>
    </row>
    <row r="49" spans="1:14" x14ac:dyDescent="0.25">
      <c r="A49" s="957">
        <f t="shared" si="13"/>
        <v>1</v>
      </c>
      <c r="B49" s="4"/>
      <c r="C49" s="150"/>
      <c r="D49" s="150" t="s">
        <v>274</v>
      </c>
      <c r="E49" s="150" t="s">
        <v>132</v>
      </c>
      <c r="F49" s="150" t="s">
        <v>1472</v>
      </c>
      <c r="G49" s="150" t="s">
        <v>1472</v>
      </c>
      <c r="H49" s="150" t="s">
        <v>191</v>
      </c>
      <c r="I49" s="150" t="s">
        <v>553</v>
      </c>
      <c r="J49" s="150"/>
      <c r="K49" s="4266">
        <v>1.4999999999999999E-2</v>
      </c>
      <c r="L49" s="4206"/>
      <c r="M49" s="150"/>
      <c r="N49" s="6"/>
    </row>
    <row r="50" spans="1:14" x14ac:dyDescent="0.25">
      <c r="A50" s="957">
        <f t="shared" ref="A50:A64" si="14">IF(RentAdjustmentGrid="Single",IF(ISERROR(E50),0,1),0)</f>
        <v>1</v>
      </c>
      <c r="B50" s="4"/>
      <c r="C50" s="258"/>
      <c r="D50" s="3535">
        <v>1</v>
      </c>
      <c r="E50" s="1531">
        <f>HLOOKUP($D50,'Rent Adjustments'!$G$8:$ZP$146,47,FALSE)</f>
        <v>17.75145890410959</v>
      </c>
      <c r="F50" s="351">
        <f>HLOOKUP($D50,'Rent Adjustments'!$G$8:$ZP$146,88,FALSE)</f>
        <v>0</v>
      </c>
      <c r="G50" s="351">
        <f t="shared" ref="G50:G64" si="15">Subject_ClearHeight</f>
        <v>0</v>
      </c>
      <c r="H50" s="351">
        <v>40</v>
      </c>
      <c r="I50" s="351">
        <f>IF(AND(H50&gt;G50,H50&gt;F50),G50-F50,IF(AND(OR(H50&lt;G50,H50=G50),OR(H50&lt;F50,H50=F50)),0,IF(OR(G50&gt;H50,G50=H50),H50-F50,G50-H50)))</f>
        <v>0</v>
      </c>
      <c r="J50" s="351"/>
      <c r="K50" s="4267">
        <f t="shared" ref="K50:K64" si="16">IF(ISERROR(I50*dpIncome_RentClearHeight_AdjperFoot),"",I50*dpIncome_RentClearHeight_AdjperFoot)</f>
        <v>0</v>
      </c>
      <c r="L50" s="4267"/>
      <c r="M50" s="258"/>
      <c r="N50" s="6"/>
    </row>
    <row r="51" spans="1:14" x14ac:dyDescent="0.25">
      <c r="A51" s="957">
        <f t="shared" si="14"/>
        <v>1</v>
      </c>
      <c r="B51" s="4"/>
      <c r="C51" s="258"/>
      <c r="D51" s="3535">
        <f>D50+1</f>
        <v>2</v>
      </c>
      <c r="E51" s="1531">
        <f>HLOOKUP($D51,'Rent Adjustments'!$G$8:$ZP$146,47,FALSE)</f>
        <v>15.673260273972604</v>
      </c>
      <c r="F51" s="351">
        <f>HLOOKUP($D51,'Rent Adjustments'!$G$8:$ZP$146,88,FALSE)</f>
        <v>0</v>
      </c>
      <c r="G51" s="351">
        <f t="shared" si="15"/>
        <v>0</v>
      </c>
      <c r="H51" s="351">
        <f t="shared" ref="H51:H64" si="17">dpIncome_RentMaxHeightAdj</f>
        <v>40</v>
      </c>
      <c r="I51" s="351">
        <f t="shared" ref="I51:I64" si="18">IF(AND(H51&gt;G51,H51&gt;F51),G51-F51,IF(AND(OR(H51&lt;G51,H51=G51),OR(H51&lt;F51,H51=F51)),0,IF(OR(G51&gt;H51,G51=H51),H51-F51,G51-H51)))</f>
        <v>0</v>
      </c>
      <c r="J51" s="351"/>
      <c r="K51" s="4267">
        <f t="shared" si="16"/>
        <v>0</v>
      </c>
      <c r="L51" s="4267"/>
      <c r="M51" s="258"/>
      <c r="N51" s="6"/>
    </row>
    <row r="52" spans="1:14" x14ac:dyDescent="0.25">
      <c r="A52" s="957">
        <f t="shared" si="14"/>
        <v>1</v>
      </c>
      <c r="B52" s="4"/>
      <c r="C52" s="258"/>
      <c r="D52" s="3535">
        <f t="shared" ref="D52:D64" si="19">D51+1</f>
        <v>3</v>
      </c>
      <c r="E52" s="1531">
        <f>HLOOKUP($D52,'Rent Adjustments'!$G$8:$ZP$146,47,FALSE)</f>
        <v>16.51945205479452</v>
      </c>
      <c r="F52" s="351">
        <f>HLOOKUP($D52,'Rent Adjustments'!$G$8:$ZP$146,88,FALSE)</f>
        <v>0</v>
      </c>
      <c r="G52" s="351">
        <f t="shared" si="15"/>
        <v>0</v>
      </c>
      <c r="H52" s="351">
        <f t="shared" si="17"/>
        <v>40</v>
      </c>
      <c r="I52" s="351">
        <f t="shared" si="18"/>
        <v>0</v>
      </c>
      <c r="J52" s="351"/>
      <c r="K52" s="4267">
        <f t="shared" si="16"/>
        <v>0</v>
      </c>
      <c r="L52" s="4267"/>
      <c r="M52" s="258"/>
      <c r="N52" s="6"/>
    </row>
    <row r="53" spans="1:14" hidden="1" x14ac:dyDescent="0.25">
      <c r="A53" s="957">
        <f t="shared" si="14"/>
        <v>1</v>
      </c>
      <c r="B53" s="4"/>
      <c r="C53" s="258"/>
      <c r="D53" s="3535">
        <f t="shared" si="19"/>
        <v>4</v>
      </c>
      <c r="E53" s="1531">
        <f>HLOOKUP($D53,'Rent Adjustments'!$G$8:$ZP$146,47,FALSE)</f>
        <v>15.943150684931508</v>
      </c>
      <c r="F53" s="351">
        <f>HLOOKUP($D53,'Rent Adjustments'!$G$8:$ZP$146,88,FALSE)</f>
        <v>0</v>
      </c>
      <c r="G53" s="351">
        <f t="shared" si="15"/>
        <v>0</v>
      </c>
      <c r="H53" s="351">
        <f t="shared" si="17"/>
        <v>40</v>
      </c>
      <c r="I53" s="351">
        <f t="shared" si="18"/>
        <v>0</v>
      </c>
      <c r="J53" s="351"/>
      <c r="K53" s="4267">
        <f t="shared" si="16"/>
        <v>0</v>
      </c>
      <c r="L53" s="4267"/>
      <c r="M53" s="258"/>
      <c r="N53" s="6"/>
    </row>
    <row r="54" spans="1:14" ht="15" thickBot="1" x14ac:dyDescent="0.3">
      <c r="A54" s="957">
        <f t="shared" si="14"/>
        <v>0</v>
      </c>
      <c r="B54" s="4"/>
      <c r="C54" s="258"/>
      <c r="D54" s="3535">
        <f t="shared" si="19"/>
        <v>5</v>
      </c>
      <c r="E54" s="1531" t="e">
        <f>HLOOKUP($D54,'Rent Adjustments'!$G$8:$ZP$146,47,FALSE)</f>
        <v>#N/A</v>
      </c>
      <c r="F54" s="351" t="e">
        <f>HLOOKUP($D54,'Rent Adjustments'!$G$8:$ZP$146,88,FALSE)</f>
        <v>#N/A</v>
      </c>
      <c r="G54" s="351">
        <f t="shared" si="15"/>
        <v>0</v>
      </c>
      <c r="H54" s="351">
        <f t="shared" si="17"/>
        <v>40</v>
      </c>
      <c r="I54" s="351" t="e">
        <f t="shared" si="18"/>
        <v>#N/A</v>
      </c>
      <c r="J54" s="351"/>
      <c r="K54" s="4267" t="str">
        <f t="shared" si="16"/>
        <v/>
      </c>
      <c r="L54" s="4267"/>
      <c r="M54" s="258"/>
      <c r="N54" s="6"/>
    </row>
    <row r="55" spans="1:14" hidden="1" x14ac:dyDescent="0.25">
      <c r="A55" s="957">
        <f t="shared" si="14"/>
        <v>0</v>
      </c>
      <c r="B55" s="4"/>
      <c r="C55" s="258"/>
      <c r="D55" s="3535">
        <f t="shared" si="19"/>
        <v>6</v>
      </c>
      <c r="E55" s="1531" t="e">
        <f>HLOOKUP($D55,'Rent Adjustments'!$G$8:$ZP$146,47,FALSE)</f>
        <v>#N/A</v>
      </c>
      <c r="F55" s="351" t="e">
        <f>HLOOKUP($D55,'Rent Adjustments'!$G$8:$ZP$146,88,FALSE)</f>
        <v>#N/A</v>
      </c>
      <c r="G55" s="351">
        <f t="shared" si="15"/>
        <v>0</v>
      </c>
      <c r="H55" s="351">
        <f t="shared" si="17"/>
        <v>40</v>
      </c>
      <c r="I55" s="351" t="e">
        <f t="shared" si="18"/>
        <v>#N/A</v>
      </c>
      <c r="J55" s="351"/>
      <c r="K55" s="4267" t="str">
        <f t="shared" si="16"/>
        <v/>
      </c>
      <c r="L55" s="4267"/>
      <c r="M55" s="258"/>
      <c r="N55" s="6"/>
    </row>
    <row r="56" spans="1:14" hidden="1" x14ac:dyDescent="0.25">
      <c r="A56" s="957">
        <f t="shared" si="14"/>
        <v>0</v>
      </c>
      <c r="B56" s="4"/>
      <c r="C56" s="258"/>
      <c r="D56" s="3535">
        <f t="shared" si="19"/>
        <v>7</v>
      </c>
      <c r="E56" s="1531" t="e">
        <f>HLOOKUP($D56,'Rent Adjustments'!$G$8:$ZP$146,47,FALSE)</f>
        <v>#N/A</v>
      </c>
      <c r="F56" s="351" t="e">
        <f>HLOOKUP($D56,'Rent Adjustments'!$G$8:$ZP$146,88,FALSE)</f>
        <v>#N/A</v>
      </c>
      <c r="G56" s="351">
        <f t="shared" si="15"/>
        <v>0</v>
      </c>
      <c r="H56" s="351">
        <f t="shared" si="17"/>
        <v>40</v>
      </c>
      <c r="I56" s="351" t="e">
        <f t="shared" si="18"/>
        <v>#N/A</v>
      </c>
      <c r="J56" s="351"/>
      <c r="K56" s="4267" t="str">
        <f t="shared" si="16"/>
        <v/>
      </c>
      <c r="L56" s="4267"/>
      <c r="M56" s="258"/>
      <c r="N56" s="6"/>
    </row>
    <row r="57" spans="1:14" hidden="1" x14ac:dyDescent="0.25">
      <c r="A57" s="957">
        <f t="shared" si="14"/>
        <v>0</v>
      </c>
      <c r="B57" s="4"/>
      <c r="C57" s="258"/>
      <c r="D57" s="3535">
        <f t="shared" si="19"/>
        <v>8</v>
      </c>
      <c r="E57" s="1531" t="e">
        <f>HLOOKUP($D57,'Rent Adjustments'!$G$8:$ZP$146,47,FALSE)</f>
        <v>#N/A</v>
      </c>
      <c r="F57" s="351" t="e">
        <f>HLOOKUP($D57,'Rent Adjustments'!$G$8:$ZP$146,88,FALSE)</f>
        <v>#N/A</v>
      </c>
      <c r="G57" s="351">
        <f t="shared" si="15"/>
        <v>0</v>
      </c>
      <c r="H57" s="351">
        <f t="shared" si="17"/>
        <v>40</v>
      </c>
      <c r="I57" s="351" t="e">
        <f t="shared" si="18"/>
        <v>#N/A</v>
      </c>
      <c r="J57" s="351"/>
      <c r="K57" s="4267" t="str">
        <f t="shared" si="16"/>
        <v/>
      </c>
      <c r="L57" s="4267"/>
      <c r="M57" s="258"/>
      <c r="N57" s="6"/>
    </row>
    <row r="58" spans="1:14" hidden="1" x14ac:dyDescent="0.25">
      <c r="A58" s="957">
        <f t="shared" si="14"/>
        <v>0</v>
      </c>
      <c r="B58" s="4"/>
      <c r="C58" s="258"/>
      <c r="D58" s="3535">
        <f t="shared" si="19"/>
        <v>9</v>
      </c>
      <c r="E58" s="1531" t="e">
        <f>HLOOKUP($D58,'Rent Adjustments'!$G$8:$ZP$146,47,FALSE)</f>
        <v>#N/A</v>
      </c>
      <c r="F58" s="351" t="e">
        <f>HLOOKUP($D58,'Rent Adjustments'!$G$8:$ZP$146,88,FALSE)</f>
        <v>#N/A</v>
      </c>
      <c r="G58" s="351">
        <f t="shared" si="15"/>
        <v>0</v>
      </c>
      <c r="H58" s="351">
        <f t="shared" si="17"/>
        <v>40</v>
      </c>
      <c r="I58" s="351" t="e">
        <f t="shared" si="18"/>
        <v>#N/A</v>
      </c>
      <c r="J58" s="351"/>
      <c r="K58" s="4267" t="str">
        <f t="shared" si="16"/>
        <v/>
      </c>
      <c r="L58" s="4267"/>
      <c r="M58" s="258"/>
      <c r="N58" s="6"/>
    </row>
    <row r="59" spans="1:14" hidden="1" x14ac:dyDescent="0.25">
      <c r="A59" s="957">
        <f t="shared" si="14"/>
        <v>0</v>
      </c>
      <c r="B59" s="4"/>
      <c r="C59" s="258"/>
      <c r="D59" s="3535">
        <f t="shared" si="19"/>
        <v>10</v>
      </c>
      <c r="E59" s="1531" t="e">
        <f>HLOOKUP($D59,'Rent Adjustments'!$G$8:$ZP$146,47,FALSE)</f>
        <v>#N/A</v>
      </c>
      <c r="F59" s="351" t="e">
        <f>HLOOKUP($D59,'Rent Adjustments'!$G$8:$ZP$146,88,FALSE)</f>
        <v>#N/A</v>
      </c>
      <c r="G59" s="351">
        <f t="shared" si="15"/>
        <v>0</v>
      </c>
      <c r="H59" s="351">
        <f t="shared" si="17"/>
        <v>40</v>
      </c>
      <c r="I59" s="351" t="e">
        <f t="shared" si="18"/>
        <v>#N/A</v>
      </c>
      <c r="J59" s="351"/>
      <c r="K59" s="4267" t="str">
        <f t="shared" si="16"/>
        <v/>
      </c>
      <c r="L59" s="4267"/>
      <c r="M59" s="258"/>
      <c r="N59" s="6"/>
    </row>
    <row r="60" spans="1:14" hidden="1" x14ac:dyDescent="0.25">
      <c r="A60" s="957">
        <f t="shared" si="14"/>
        <v>0</v>
      </c>
      <c r="B60" s="4"/>
      <c r="C60" s="258"/>
      <c r="D60" s="3535">
        <f t="shared" si="19"/>
        <v>11</v>
      </c>
      <c r="E60" s="1531" t="e">
        <f>HLOOKUP($D60,'Rent Adjustments'!$G$8:$ZP$146,47,FALSE)</f>
        <v>#N/A</v>
      </c>
      <c r="F60" s="351" t="e">
        <f>HLOOKUP($D60,'Rent Adjustments'!$G$8:$ZP$146,88,FALSE)</f>
        <v>#N/A</v>
      </c>
      <c r="G60" s="351">
        <f t="shared" si="15"/>
        <v>0</v>
      </c>
      <c r="H60" s="351">
        <f t="shared" si="17"/>
        <v>40</v>
      </c>
      <c r="I60" s="351" t="e">
        <f t="shared" si="18"/>
        <v>#N/A</v>
      </c>
      <c r="J60" s="351"/>
      <c r="K60" s="4267" t="str">
        <f t="shared" si="16"/>
        <v/>
      </c>
      <c r="L60" s="4267"/>
      <c r="M60" s="258"/>
      <c r="N60" s="6"/>
    </row>
    <row r="61" spans="1:14" hidden="1" x14ac:dyDescent="0.25">
      <c r="A61" s="957">
        <f t="shared" si="14"/>
        <v>0</v>
      </c>
      <c r="B61" s="4"/>
      <c r="C61" s="258"/>
      <c r="D61" s="3535">
        <f t="shared" si="19"/>
        <v>12</v>
      </c>
      <c r="E61" s="1531" t="e">
        <f>HLOOKUP($D61,'Rent Adjustments'!$G$8:$ZP$146,47,FALSE)</f>
        <v>#N/A</v>
      </c>
      <c r="F61" s="351" t="e">
        <f>HLOOKUP($D61,'Rent Adjustments'!$G$8:$ZP$146,88,FALSE)</f>
        <v>#N/A</v>
      </c>
      <c r="G61" s="351">
        <f t="shared" si="15"/>
        <v>0</v>
      </c>
      <c r="H61" s="351">
        <f t="shared" si="17"/>
        <v>40</v>
      </c>
      <c r="I61" s="351" t="e">
        <f t="shared" si="18"/>
        <v>#N/A</v>
      </c>
      <c r="J61" s="351"/>
      <c r="K61" s="4267" t="str">
        <f t="shared" si="16"/>
        <v/>
      </c>
      <c r="L61" s="4267"/>
      <c r="M61" s="258"/>
      <c r="N61" s="6"/>
    </row>
    <row r="62" spans="1:14" hidden="1" x14ac:dyDescent="0.25">
      <c r="A62" s="957">
        <f t="shared" si="14"/>
        <v>0</v>
      </c>
      <c r="B62" s="4"/>
      <c r="C62" s="258"/>
      <c r="D62" s="3535">
        <f t="shared" si="19"/>
        <v>13</v>
      </c>
      <c r="E62" s="1531" t="e">
        <f>HLOOKUP($D62,'Rent Adjustments'!$G$8:$ZP$146,47,FALSE)</f>
        <v>#N/A</v>
      </c>
      <c r="F62" s="351" t="e">
        <f>HLOOKUP($D62,'Rent Adjustments'!$G$8:$ZP$146,88,FALSE)</f>
        <v>#N/A</v>
      </c>
      <c r="G62" s="351">
        <f t="shared" si="15"/>
        <v>0</v>
      </c>
      <c r="H62" s="351">
        <f t="shared" si="17"/>
        <v>40</v>
      </c>
      <c r="I62" s="351" t="e">
        <f t="shared" si="18"/>
        <v>#N/A</v>
      </c>
      <c r="J62" s="351"/>
      <c r="K62" s="4267" t="str">
        <f t="shared" si="16"/>
        <v/>
      </c>
      <c r="L62" s="4267"/>
      <c r="M62" s="258"/>
      <c r="N62" s="6"/>
    </row>
    <row r="63" spans="1:14" hidden="1" x14ac:dyDescent="0.25">
      <c r="A63" s="957">
        <f t="shared" si="14"/>
        <v>0</v>
      </c>
      <c r="B63" s="4"/>
      <c r="C63" s="258"/>
      <c r="D63" s="3535">
        <f t="shared" si="19"/>
        <v>14</v>
      </c>
      <c r="E63" s="1531" t="e">
        <f>HLOOKUP($D63,'Rent Adjustments'!$G$8:$ZP$146,47,FALSE)</f>
        <v>#N/A</v>
      </c>
      <c r="F63" s="351" t="e">
        <f>HLOOKUP($D63,'Rent Adjustments'!$G$8:$ZP$146,88,FALSE)</f>
        <v>#N/A</v>
      </c>
      <c r="G63" s="351">
        <f t="shared" si="15"/>
        <v>0</v>
      </c>
      <c r="H63" s="351">
        <f t="shared" si="17"/>
        <v>40</v>
      </c>
      <c r="I63" s="351" t="e">
        <f t="shared" si="18"/>
        <v>#N/A</v>
      </c>
      <c r="J63" s="351"/>
      <c r="K63" s="4267" t="str">
        <f t="shared" si="16"/>
        <v/>
      </c>
      <c r="L63" s="4267"/>
      <c r="M63" s="258"/>
      <c r="N63" s="6"/>
    </row>
    <row r="64" spans="1:14" ht="15" hidden="1" thickBot="1" x14ac:dyDescent="0.3">
      <c r="A64" s="957">
        <f t="shared" si="14"/>
        <v>0</v>
      </c>
      <c r="B64" s="4" t="b">
        <v>0</v>
      </c>
      <c r="C64" s="258"/>
      <c r="D64" s="3535">
        <f t="shared" si="19"/>
        <v>15</v>
      </c>
      <c r="E64" s="1531" t="e">
        <f>HLOOKUP($D64,'Rent Adjustments'!$G$8:$ZP$146,47,FALSE)</f>
        <v>#N/A</v>
      </c>
      <c r="F64" s="351" t="e">
        <f>HLOOKUP($D64,'Rent Adjustments'!$G$8:$ZP$146,88,FALSE)</f>
        <v>#N/A</v>
      </c>
      <c r="G64" s="351">
        <f t="shared" si="15"/>
        <v>0</v>
      </c>
      <c r="H64" s="351">
        <f t="shared" si="17"/>
        <v>40</v>
      </c>
      <c r="I64" s="351" t="e">
        <f t="shared" si="18"/>
        <v>#N/A</v>
      </c>
      <c r="J64" s="351"/>
      <c r="K64" s="4267" t="str">
        <f t="shared" si="16"/>
        <v/>
      </c>
      <c r="L64" s="4267"/>
      <c r="M64" s="258"/>
      <c r="N64" s="6"/>
    </row>
    <row r="65" spans="1:14" ht="15" thickBot="1" x14ac:dyDescent="0.3">
      <c r="A65" s="957">
        <f>IF(RentAdjustmentGrid="Single",1,0)</f>
        <v>1</v>
      </c>
      <c r="B65" s="8"/>
      <c r="C65" s="7"/>
      <c r="D65" s="555" t="s">
        <v>875</v>
      </c>
      <c r="E65" s="133"/>
      <c r="F65" s="133"/>
      <c r="G65" s="133"/>
      <c r="H65" s="133"/>
      <c r="I65" s="133"/>
      <c r="J65" s="133"/>
      <c r="K65" s="133"/>
      <c r="L65" s="133"/>
      <c r="M65" s="7"/>
      <c r="N65" s="9"/>
    </row>
    <row r="66" spans="1:14" ht="15" thickBot="1" x14ac:dyDescent="0.3">
      <c r="A66" s="957">
        <f>IF(RentAdjustmentGrid="Single",1,0)</f>
        <v>1</v>
      </c>
    </row>
    <row r="67" spans="1:14" x14ac:dyDescent="0.25">
      <c r="A67" s="957">
        <f>IF(RentAdjustmentGrid="Single",1,0)</f>
        <v>1</v>
      </c>
      <c r="B67" s="1"/>
      <c r="C67" s="2"/>
      <c r="D67" s="2"/>
      <c r="E67" s="2"/>
      <c r="F67" s="2"/>
      <c r="G67" s="2"/>
      <c r="H67" s="2"/>
      <c r="I67" s="2"/>
      <c r="J67" s="2"/>
      <c r="K67" s="2"/>
      <c r="L67" s="228"/>
    </row>
    <row r="68" spans="1:14" ht="16.5" x14ac:dyDescent="0.3">
      <c r="A68" s="957">
        <f>IF(RentAdjustmentGrid="Single",1,0)</f>
        <v>1</v>
      </c>
      <c r="B68" s="4"/>
      <c r="C68" s="5"/>
      <c r="D68" s="246" t="s">
        <v>295</v>
      </c>
      <c r="E68" s="5"/>
      <c r="F68" s="5"/>
      <c r="G68" s="5"/>
      <c r="H68" s="5"/>
      <c r="I68" s="5"/>
      <c r="J68" s="5"/>
      <c r="K68" s="5"/>
      <c r="L68" s="228"/>
    </row>
    <row r="69" spans="1:14" ht="28.5" x14ac:dyDescent="0.25">
      <c r="A69" s="957">
        <f>IF(RentAdjustmentGrid="Single",1,0)</f>
        <v>1</v>
      </c>
      <c r="B69" s="4"/>
      <c r="D69" s="150" t="s">
        <v>274</v>
      </c>
      <c r="E69" s="290" t="s">
        <v>293</v>
      </c>
      <c r="F69" s="290" t="s">
        <v>1366</v>
      </c>
      <c r="G69" s="290" t="s">
        <v>1367</v>
      </c>
      <c r="H69" s="290" t="s">
        <v>1368</v>
      </c>
      <c r="I69" s="290" t="s">
        <v>1332</v>
      </c>
      <c r="J69" s="150"/>
      <c r="K69" s="53"/>
      <c r="L69" s="2084"/>
    </row>
    <row r="70" spans="1:14" x14ac:dyDescent="0.25">
      <c r="A70" s="957">
        <f t="shared" ref="A70:A84" si="20">IF(RentAdjustmentGrid="Single",IF(ISERROR(E70),0,1),0)</f>
        <v>1</v>
      </c>
      <c r="B70" s="4" t="b">
        <v>0</v>
      </c>
      <c r="C70" s="258"/>
      <c r="D70" s="3535">
        <v>1</v>
      </c>
      <c r="E70" s="3536">
        <f>HLOOKUP($D70,'Rent Adjustments'!$G$8:$ZP$146,118,FALSE)</f>
        <v>60</v>
      </c>
      <c r="F70" s="1340">
        <f>HLOOKUP($D70,'Rent Summary Detail'!$E$5:$Y$44,39,FALSE)</f>
        <v>0</v>
      </c>
      <c r="G70" s="2979">
        <f>F70/E70</f>
        <v>0</v>
      </c>
      <c r="H70" s="3537">
        <f>HLOOKUP($D70,'Rent Adjustments'!$G$8:$ZP$146,14,FALSE)</f>
        <v>12.75</v>
      </c>
      <c r="I70" s="1265">
        <f>-G70*H70</f>
        <v>0</v>
      </c>
      <c r="J70" s="258"/>
      <c r="K70" s="5"/>
      <c r="L70" s="228"/>
    </row>
    <row r="71" spans="1:14" x14ac:dyDescent="0.25">
      <c r="A71" s="957">
        <f t="shared" si="20"/>
        <v>1</v>
      </c>
      <c r="B71" s="4"/>
      <c r="C71" s="258"/>
      <c r="D71" s="3535">
        <f>D70+1</f>
        <v>2</v>
      </c>
      <c r="E71" s="3536">
        <f>HLOOKUP($D71,'Rent Adjustments'!$G$8:$ZP$146,118,FALSE)</f>
        <v>120</v>
      </c>
      <c r="F71" s="1340">
        <f>HLOOKUP($D71,'Rent Summary Detail'!$E$5:$Y$44,39,FALSE)</f>
        <v>0</v>
      </c>
      <c r="G71" s="2979">
        <f t="shared" ref="G71:G84" si="21">F71/E71</f>
        <v>0</v>
      </c>
      <c r="H71" s="3537">
        <f>HLOOKUP($D71,'Rent Adjustments'!$G$8:$ZP$146,14,FALSE)</f>
        <v>10.5</v>
      </c>
      <c r="I71" s="1265">
        <f t="shared" ref="I71:I84" si="22">-G71*H71</f>
        <v>0</v>
      </c>
      <c r="J71" s="258"/>
      <c r="K71" s="5"/>
      <c r="L71" s="228"/>
    </row>
    <row r="72" spans="1:14" x14ac:dyDescent="0.25">
      <c r="A72" s="957">
        <f t="shared" si="20"/>
        <v>1</v>
      </c>
      <c r="B72" s="4"/>
      <c r="C72" s="258"/>
      <c r="D72" s="3535">
        <f t="shared" ref="D72:D84" si="23">D71+1</f>
        <v>3</v>
      </c>
      <c r="E72" s="3536">
        <f>HLOOKUP($D72,'Rent Adjustments'!$G$8:$ZP$146,118,FALSE)</f>
        <v>60</v>
      </c>
      <c r="F72" s="1340">
        <f>HLOOKUP($D72,'Rent Summary Detail'!$E$5:$Y$44,39,FALSE)</f>
        <v>0</v>
      </c>
      <c r="G72" s="2979">
        <f t="shared" si="21"/>
        <v>0</v>
      </c>
      <c r="H72" s="3537">
        <f>HLOOKUP($D72,'Rent Adjustments'!$G$8:$ZP$146,14,FALSE)</f>
        <v>11</v>
      </c>
      <c r="I72" s="1265">
        <f t="shared" si="22"/>
        <v>0</v>
      </c>
      <c r="J72" s="258"/>
      <c r="K72" s="5"/>
      <c r="L72" s="228"/>
    </row>
    <row r="73" spans="1:14" hidden="1" x14ac:dyDescent="0.25">
      <c r="A73" s="957">
        <f t="shared" si="20"/>
        <v>1</v>
      </c>
      <c r="B73" s="4"/>
      <c r="C73" s="258"/>
      <c r="D73" s="3535">
        <f t="shared" si="23"/>
        <v>4</v>
      </c>
      <c r="E73" s="3536">
        <f>HLOOKUP($D73,'Rent Adjustments'!$G$8:$ZP$146,118,FALSE)</f>
        <v>60</v>
      </c>
      <c r="F73" s="1340">
        <f>HLOOKUP($D73,'Rent Summary Detail'!$E$5:$Y$44,39,FALSE)</f>
        <v>0</v>
      </c>
      <c r="G73" s="2979">
        <f t="shared" si="21"/>
        <v>0</v>
      </c>
      <c r="H73" s="3537">
        <f>HLOOKUP($D73,'Rent Adjustments'!$G$8:$ZP$146,14,FALSE)</f>
        <v>10</v>
      </c>
      <c r="I73" s="1265">
        <f t="shared" si="22"/>
        <v>0</v>
      </c>
      <c r="J73" s="258"/>
      <c r="K73" s="5"/>
      <c r="L73" s="228"/>
    </row>
    <row r="74" spans="1:14" ht="15" thickBot="1" x14ac:dyDescent="0.3">
      <c r="A74" s="957">
        <f t="shared" si="20"/>
        <v>0</v>
      </c>
      <c r="B74" s="4"/>
      <c r="C74" s="258"/>
      <c r="D74" s="3535">
        <f t="shared" si="23"/>
        <v>5</v>
      </c>
      <c r="E74" s="3536" t="e">
        <f>HLOOKUP($D74,'Rent Adjustments'!$G$8:$ZP$146,118,FALSE)</f>
        <v>#N/A</v>
      </c>
      <c r="F74" s="1340">
        <f>HLOOKUP($D74,'Rent Summary Detail'!$E$5:$Y$44,39,FALSE)</f>
        <v>0</v>
      </c>
      <c r="G74" s="2979" t="e">
        <f t="shared" si="21"/>
        <v>#N/A</v>
      </c>
      <c r="H74" s="3537" t="e">
        <f>HLOOKUP($D74,'Rent Adjustments'!$G$8:$ZP$146,14,FALSE)</f>
        <v>#N/A</v>
      </c>
      <c r="I74" s="1265" t="e">
        <f t="shared" si="22"/>
        <v>#N/A</v>
      </c>
      <c r="J74" s="258"/>
      <c r="K74" s="5"/>
      <c r="L74" s="228"/>
    </row>
    <row r="75" spans="1:14" hidden="1" x14ac:dyDescent="0.25">
      <c r="A75" s="957">
        <f t="shared" si="20"/>
        <v>0</v>
      </c>
      <c r="B75" s="4"/>
      <c r="C75" s="258"/>
      <c r="D75" s="3535">
        <f t="shared" si="23"/>
        <v>6</v>
      </c>
      <c r="E75" s="3536" t="e">
        <f>HLOOKUP($D75,'Rent Adjustments'!$G$8:$ZP$146,118,FALSE)</f>
        <v>#N/A</v>
      </c>
      <c r="F75" s="1340" t="e">
        <f>HLOOKUP($D75,'Rent Summary Detail'!$E$5:$Y$44,39,FALSE)</f>
        <v>#N/A</v>
      </c>
      <c r="G75" s="2979" t="e">
        <f t="shared" si="21"/>
        <v>#N/A</v>
      </c>
      <c r="H75" s="3537" t="e">
        <f>HLOOKUP($D75,'Rent Adjustments'!$G$8:$ZP$146,14,FALSE)</f>
        <v>#N/A</v>
      </c>
      <c r="I75" s="1265" t="e">
        <f t="shared" si="22"/>
        <v>#N/A</v>
      </c>
      <c r="J75" s="258"/>
      <c r="K75" s="5"/>
      <c r="L75" s="228"/>
    </row>
    <row r="76" spans="1:14" hidden="1" x14ac:dyDescent="0.25">
      <c r="A76" s="957">
        <f t="shared" si="20"/>
        <v>0</v>
      </c>
      <c r="B76" s="4"/>
      <c r="C76" s="258"/>
      <c r="D76" s="3535">
        <f t="shared" si="23"/>
        <v>7</v>
      </c>
      <c r="E76" s="3536" t="e">
        <f>HLOOKUP($D76,'Rent Adjustments'!$G$8:$ZP$146,118,FALSE)</f>
        <v>#N/A</v>
      </c>
      <c r="F76" s="1340" t="e">
        <f>HLOOKUP($D76,'Rent Summary Detail'!$E$5:$Y$44,39,FALSE)</f>
        <v>#N/A</v>
      </c>
      <c r="G76" s="2979" t="e">
        <f t="shared" si="21"/>
        <v>#N/A</v>
      </c>
      <c r="H76" s="3537" t="e">
        <f>HLOOKUP($D76,'Rent Adjustments'!$G$8:$ZP$146,14,FALSE)</f>
        <v>#N/A</v>
      </c>
      <c r="I76" s="1265" t="e">
        <f t="shared" si="22"/>
        <v>#N/A</v>
      </c>
      <c r="J76" s="258"/>
      <c r="K76" s="5"/>
      <c r="L76" s="228"/>
    </row>
    <row r="77" spans="1:14" hidden="1" x14ac:dyDescent="0.25">
      <c r="A77" s="957">
        <f t="shared" si="20"/>
        <v>0</v>
      </c>
      <c r="B77" s="4"/>
      <c r="C77" s="258"/>
      <c r="D77" s="3535">
        <f t="shared" si="23"/>
        <v>8</v>
      </c>
      <c r="E77" s="3536" t="e">
        <f>HLOOKUP($D77,'Rent Adjustments'!$G$8:$ZP$146,118,FALSE)</f>
        <v>#N/A</v>
      </c>
      <c r="F77" s="1340" t="e">
        <f>HLOOKUP($D77,'Rent Summary Detail'!$E$5:$Y$44,39,FALSE)</f>
        <v>#N/A</v>
      </c>
      <c r="G77" s="2979" t="e">
        <f t="shared" si="21"/>
        <v>#N/A</v>
      </c>
      <c r="H77" s="3537" t="e">
        <f>HLOOKUP($D77,'Rent Adjustments'!$G$8:$ZP$146,14,FALSE)</f>
        <v>#N/A</v>
      </c>
      <c r="I77" s="1265" t="e">
        <f t="shared" si="22"/>
        <v>#N/A</v>
      </c>
      <c r="J77" s="258"/>
      <c r="K77" s="5"/>
      <c r="L77" s="228"/>
    </row>
    <row r="78" spans="1:14" hidden="1" x14ac:dyDescent="0.25">
      <c r="A78" s="957">
        <f t="shared" si="20"/>
        <v>0</v>
      </c>
      <c r="B78" s="4"/>
      <c r="C78" s="258"/>
      <c r="D78" s="3535">
        <f t="shared" si="23"/>
        <v>9</v>
      </c>
      <c r="E78" s="3536" t="e">
        <f>HLOOKUP($D78,'Rent Adjustments'!$G$8:$ZP$146,118,FALSE)</f>
        <v>#N/A</v>
      </c>
      <c r="F78" s="1340" t="e">
        <f>HLOOKUP($D78,'Rent Summary Detail'!$E$5:$Y$44,39,FALSE)</f>
        <v>#N/A</v>
      </c>
      <c r="G78" s="2979" t="e">
        <f t="shared" si="21"/>
        <v>#N/A</v>
      </c>
      <c r="H78" s="3537" t="e">
        <f>HLOOKUP($D78,'Rent Adjustments'!$G$8:$ZP$146,14,FALSE)</f>
        <v>#N/A</v>
      </c>
      <c r="I78" s="1265" t="e">
        <f t="shared" si="22"/>
        <v>#N/A</v>
      </c>
      <c r="J78" s="258"/>
      <c r="K78" s="5"/>
      <c r="L78" s="228"/>
    </row>
    <row r="79" spans="1:14" hidden="1" x14ac:dyDescent="0.25">
      <c r="A79" s="957">
        <f t="shared" si="20"/>
        <v>0</v>
      </c>
      <c r="B79" s="4"/>
      <c r="C79" s="258"/>
      <c r="D79" s="3535">
        <f t="shared" si="23"/>
        <v>10</v>
      </c>
      <c r="E79" s="3536" t="e">
        <f>HLOOKUP($D79,'Rent Adjustments'!$G$8:$ZP$146,118,FALSE)</f>
        <v>#N/A</v>
      </c>
      <c r="F79" s="1340" t="e">
        <f>HLOOKUP($D79,'Rent Summary Detail'!$E$5:$Y$44,39,FALSE)</f>
        <v>#N/A</v>
      </c>
      <c r="G79" s="2979" t="e">
        <f t="shared" si="21"/>
        <v>#N/A</v>
      </c>
      <c r="H79" s="3537" t="e">
        <f>HLOOKUP($D79,'Rent Adjustments'!$G$8:$ZP$146,14,FALSE)</f>
        <v>#N/A</v>
      </c>
      <c r="I79" s="1265" t="e">
        <f t="shared" si="22"/>
        <v>#N/A</v>
      </c>
      <c r="J79" s="258"/>
      <c r="K79" s="5"/>
      <c r="L79" s="228"/>
    </row>
    <row r="80" spans="1:14" hidden="1" x14ac:dyDescent="0.25">
      <c r="A80" s="957">
        <f t="shared" si="20"/>
        <v>0</v>
      </c>
      <c r="B80" s="4" t="b">
        <v>0</v>
      </c>
      <c r="C80" s="258"/>
      <c r="D80" s="3535">
        <f t="shared" si="23"/>
        <v>11</v>
      </c>
      <c r="E80" s="3536" t="e">
        <f>HLOOKUP($D80,'Rent Adjustments'!$G$8:$ZP$146,118,FALSE)</f>
        <v>#N/A</v>
      </c>
      <c r="F80" s="1340" t="e">
        <f>HLOOKUP($D80,'Rent Summary Detail'!$E$5:$Y$44,39,FALSE)</f>
        <v>#N/A</v>
      </c>
      <c r="G80" s="2979" t="e">
        <f t="shared" si="21"/>
        <v>#N/A</v>
      </c>
      <c r="H80" s="3537" t="e">
        <f>HLOOKUP($D80,'Rent Adjustments'!$G$8:$ZP$146,14,FALSE)</f>
        <v>#N/A</v>
      </c>
      <c r="I80" s="1265" t="e">
        <f t="shared" si="22"/>
        <v>#N/A</v>
      </c>
      <c r="J80" s="258"/>
      <c r="K80" s="5"/>
      <c r="L80" s="228"/>
    </row>
    <row r="81" spans="1:14" hidden="1" x14ac:dyDescent="0.25">
      <c r="A81" s="957">
        <f t="shared" si="20"/>
        <v>0</v>
      </c>
      <c r="B81" s="4"/>
      <c r="C81" s="258"/>
      <c r="D81" s="3535">
        <f t="shared" si="23"/>
        <v>12</v>
      </c>
      <c r="E81" s="3536" t="e">
        <f>HLOOKUP($D81,'Rent Adjustments'!$G$8:$ZP$146,118,FALSE)</f>
        <v>#N/A</v>
      </c>
      <c r="F81" s="1340" t="e">
        <f>HLOOKUP($D81,'Rent Summary Detail'!$E$5:$Y$44,39,FALSE)</f>
        <v>#N/A</v>
      </c>
      <c r="G81" s="2979" t="e">
        <f t="shared" si="21"/>
        <v>#N/A</v>
      </c>
      <c r="H81" s="3537" t="e">
        <f>HLOOKUP($D81,'Rent Adjustments'!$G$8:$ZP$146,14,FALSE)</f>
        <v>#N/A</v>
      </c>
      <c r="I81" s="1265" t="e">
        <f t="shared" si="22"/>
        <v>#N/A</v>
      </c>
      <c r="J81" s="258"/>
      <c r="K81" s="5"/>
      <c r="L81" s="228"/>
    </row>
    <row r="82" spans="1:14" hidden="1" x14ac:dyDescent="0.25">
      <c r="A82" s="957">
        <f t="shared" si="20"/>
        <v>0</v>
      </c>
      <c r="B82" s="4"/>
      <c r="C82" s="258"/>
      <c r="D82" s="3535">
        <f t="shared" si="23"/>
        <v>13</v>
      </c>
      <c r="E82" s="3536" t="e">
        <f>HLOOKUP($D82,'Rent Adjustments'!$G$8:$ZP$146,118,FALSE)</f>
        <v>#N/A</v>
      </c>
      <c r="F82" s="1340" t="e">
        <f>HLOOKUP($D82,'Rent Summary Detail'!$E$5:$Y$44,39,FALSE)</f>
        <v>#N/A</v>
      </c>
      <c r="G82" s="2979" t="e">
        <f t="shared" si="21"/>
        <v>#N/A</v>
      </c>
      <c r="H82" s="3537" t="e">
        <f>HLOOKUP($D82,'Rent Adjustments'!$G$8:$ZP$146,14,FALSE)</f>
        <v>#N/A</v>
      </c>
      <c r="I82" s="1265" t="e">
        <f t="shared" si="22"/>
        <v>#N/A</v>
      </c>
      <c r="J82" s="258"/>
      <c r="K82" s="5"/>
      <c r="L82" s="228"/>
    </row>
    <row r="83" spans="1:14" hidden="1" x14ac:dyDescent="0.25">
      <c r="A83" s="957">
        <f t="shared" si="20"/>
        <v>0</v>
      </c>
      <c r="B83" s="4"/>
      <c r="C83" s="258"/>
      <c r="D83" s="3535">
        <f t="shared" si="23"/>
        <v>14</v>
      </c>
      <c r="E83" s="3536" t="e">
        <f>HLOOKUP($D83,'Rent Adjustments'!$G$8:$ZP$146,118,FALSE)</f>
        <v>#N/A</v>
      </c>
      <c r="F83" s="1340" t="e">
        <f>HLOOKUP($D83,'Rent Summary Detail'!$E$5:$Y$44,39,FALSE)</f>
        <v>#N/A</v>
      </c>
      <c r="G83" s="2979" t="e">
        <f t="shared" si="21"/>
        <v>#N/A</v>
      </c>
      <c r="H83" s="3537" t="e">
        <f>HLOOKUP($D83,'Rent Adjustments'!$G$8:$ZP$146,14,FALSE)</f>
        <v>#N/A</v>
      </c>
      <c r="I83" s="1265" t="e">
        <f t="shared" si="22"/>
        <v>#N/A</v>
      </c>
      <c r="J83" s="258"/>
      <c r="K83" s="5"/>
      <c r="L83" s="228"/>
    </row>
    <row r="84" spans="1:14" ht="15" hidden="1" thickBot="1" x14ac:dyDescent="0.3">
      <c r="A84" s="957">
        <f t="shared" si="20"/>
        <v>0</v>
      </c>
      <c r="B84" s="4"/>
      <c r="C84" s="258"/>
      <c r="D84" s="3535">
        <f t="shared" si="23"/>
        <v>15</v>
      </c>
      <c r="E84" s="3536" t="e">
        <f>HLOOKUP($D84,'Rent Adjustments'!$G$8:$ZP$146,118,FALSE)</f>
        <v>#N/A</v>
      </c>
      <c r="F84" s="1340" t="e">
        <f>HLOOKUP($D84,'Rent Summary Detail'!$E$5:$Y$44,39,FALSE)</f>
        <v>#N/A</v>
      </c>
      <c r="G84" s="2979" t="e">
        <f t="shared" si="21"/>
        <v>#N/A</v>
      </c>
      <c r="H84" s="3537" t="e">
        <f>HLOOKUP($D84,'Rent Adjustments'!$G$8:$ZP$146,14,FALSE)</f>
        <v>#N/A</v>
      </c>
      <c r="I84" s="1265" t="e">
        <f t="shared" si="22"/>
        <v>#N/A</v>
      </c>
      <c r="J84" s="258"/>
      <c r="K84" s="5"/>
      <c r="L84" s="228"/>
    </row>
    <row r="85" spans="1:14" ht="15" thickBot="1" x14ac:dyDescent="0.3">
      <c r="A85" s="957">
        <f>IF(RentAdjustmentGrid="Single",1,0)</f>
        <v>1</v>
      </c>
      <c r="B85" s="8"/>
      <c r="C85" s="7"/>
      <c r="D85" s="555" t="s">
        <v>1369</v>
      </c>
      <c r="E85" s="133"/>
      <c r="F85" s="133"/>
      <c r="G85" s="133"/>
      <c r="H85" s="133"/>
      <c r="I85" s="133"/>
      <c r="J85" s="7"/>
      <c r="K85" s="7"/>
      <c r="L85" s="228"/>
    </row>
    <row r="86" spans="1:14" ht="15" thickBot="1" x14ac:dyDescent="0.3">
      <c r="A86" s="957">
        <v>1</v>
      </c>
      <c r="B86" s="186"/>
      <c r="C86" s="186"/>
      <c r="D86" s="1389"/>
      <c r="E86" s="186"/>
      <c r="F86" s="186"/>
      <c r="G86" s="186"/>
      <c r="H86" s="186"/>
      <c r="I86" s="186"/>
      <c r="J86" s="186"/>
      <c r="K86" s="186"/>
      <c r="L86" s="370"/>
      <c r="M86" s="370"/>
      <c r="N86" s="370"/>
    </row>
    <row r="87" spans="1:14" ht="15" thickBot="1" x14ac:dyDescent="0.3">
      <c r="A87" s="41">
        <v>1</v>
      </c>
      <c r="B87" s="1"/>
      <c r="C87" s="2"/>
      <c r="D87" s="2"/>
      <c r="E87" s="2"/>
      <c r="F87" s="2"/>
      <c r="G87" s="2"/>
      <c r="H87" s="2"/>
      <c r="I87" s="2"/>
      <c r="J87" s="2"/>
      <c r="K87" s="2"/>
      <c r="L87" s="2"/>
      <c r="M87" s="2"/>
      <c r="N87" s="3"/>
    </row>
    <row r="88" spans="1:14" ht="16.5" hidden="1" x14ac:dyDescent="0.3">
      <c r="A88" s="957">
        <f t="shared" ref="A88:A105" si="24">IF(RentAdjustmentGrid="Buckets",IF(ISERROR(E88),0,1),0)</f>
        <v>0</v>
      </c>
      <c r="B88" s="4"/>
      <c r="C88" s="5"/>
      <c r="D88" s="246" t="str">
        <f>CONCATENATE("Clear Height Adjustment Calculations - ",dpIncome_SpaceCategory_MarketRent_1)</f>
        <v xml:space="preserve">Clear Height Adjustment Calculations - </v>
      </c>
      <c r="E88" s="5"/>
      <c r="F88" s="5"/>
      <c r="G88" s="5"/>
      <c r="H88" s="5"/>
      <c r="I88" s="5"/>
      <c r="J88" s="5"/>
      <c r="K88" s="5"/>
      <c r="L88" s="5"/>
      <c r="M88" s="5"/>
      <c r="N88" s="6"/>
    </row>
    <row r="89" spans="1:14" hidden="1" x14ac:dyDescent="0.25">
      <c r="A89" s="957">
        <f t="shared" si="24"/>
        <v>0</v>
      </c>
      <c r="B89" s="4" t="b">
        <v>0</v>
      </c>
      <c r="C89" s="150"/>
      <c r="D89" s="150"/>
      <c r="E89" s="150" t="s">
        <v>128</v>
      </c>
      <c r="F89" s="150" t="s">
        <v>551</v>
      </c>
      <c r="G89" s="150" t="s">
        <v>116</v>
      </c>
      <c r="H89" s="150" t="s">
        <v>552</v>
      </c>
      <c r="I89" s="150"/>
      <c r="J89" s="150"/>
      <c r="K89" s="4088" t="s">
        <v>554</v>
      </c>
      <c r="L89" s="4088"/>
      <c r="M89" s="150"/>
      <c r="N89" s="6"/>
    </row>
    <row r="90" spans="1:14" hidden="1" x14ac:dyDescent="0.25">
      <c r="A90" s="957">
        <f t="shared" si="24"/>
        <v>0</v>
      </c>
      <c r="B90" s="4"/>
      <c r="C90" s="150"/>
      <c r="D90" s="150" t="s">
        <v>274</v>
      </c>
      <c r="E90" s="150" t="s">
        <v>132</v>
      </c>
      <c r="F90" s="150" t="s">
        <v>1472</v>
      </c>
      <c r="G90" s="150" t="s">
        <v>1472</v>
      </c>
      <c r="H90" s="150" t="s">
        <v>191</v>
      </c>
      <c r="I90" s="150" t="s">
        <v>553</v>
      </c>
      <c r="J90" s="150"/>
      <c r="K90" s="4266">
        <v>1.4999999999999999E-2</v>
      </c>
      <c r="L90" s="4206"/>
      <c r="M90" s="150"/>
      <c r="N90" s="6"/>
    </row>
    <row r="91" spans="1:14" hidden="1" x14ac:dyDescent="0.25">
      <c r="A91" s="957">
        <f t="shared" si="24"/>
        <v>0</v>
      </c>
      <c r="B91" s="4"/>
      <c r="C91" s="258"/>
      <c r="D91" s="3535">
        <v>1</v>
      </c>
      <c r="E91" s="1531" t="e">
        <f>HLOOKUP($D91,'Rent Adjustments 1'!$G$8:$WU$146,47,FALSE)</f>
        <v>#VALUE!</v>
      </c>
      <c r="F91" s="351">
        <f>HLOOKUP($D91,'Rent Adjustments 1'!$G$8:$WU$146,88,FALSE)</f>
        <v>0</v>
      </c>
      <c r="G91" s="351">
        <f t="shared" ref="G91:G105" si="25">Subject_ClearHeight</f>
        <v>0</v>
      </c>
      <c r="H91" s="351">
        <v>40</v>
      </c>
      <c r="I91" s="351">
        <f>IF(AND(H91&gt;G91,H91&gt;F91),G91-F91,IF(AND(OR(H91&lt;G91,H91=G91),OR(H91&lt;F91,H91=F91)),0,IF(OR(G91&gt;H91,G91=H91),H91-F91,G91-H91)))</f>
        <v>0</v>
      </c>
      <c r="J91" s="351"/>
      <c r="K91" s="4267">
        <f t="shared" ref="K91:K105" si="26">IF(ISERROR(I91*dpIncome_RentClearHeight_AdjperFootB1),"",I91*dpIncome_RentClearHeight_AdjperFootB1)</f>
        <v>0</v>
      </c>
      <c r="L91" s="4267"/>
      <c r="M91" s="258"/>
      <c r="N91" s="6"/>
    </row>
    <row r="92" spans="1:14" hidden="1" x14ac:dyDescent="0.25">
      <c r="A92" s="957">
        <f t="shared" si="24"/>
        <v>0</v>
      </c>
      <c r="B92" s="4"/>
      <c r="C92" s="258"/>
      <c r="D92" s="3535">
        <f>D91+1</f>
        <v>2</v>
      </c>
      <c r="E92" s="1531" t="e">
        <f>HLOOKUP($D92,'Rent Adjustments 1'!$G$8:$WU$146,47,FALSE)</f>
        <v>#VALUE!</v>
      </c>
      <c r="F92" s="351">
        <f>HLOOKUP($D92,'Rent Adjustments 1'!$G$8:$WU$146,88,FALSE)</f>
        <v>0</v>
      </c>
      <c r="G92" s="351">
        <f t="shared" si="25"/>
        <v>0</v>
      </c>
      <c r="H92" s="351">
        <f t="shared" ref="H92:H105" si="27">dpIncome_RentMaxHeightAdj</f>
        <v>40</v>
      </c>
      <c r="I92" s="351">
        <f t="shared" ref="I92:I105" si="28">IF(AND(H92&gt;G92,H92&gt;F92),G92-F92,IF(AND(OR(H92&lt;G92,H92=G92),OR(H92&lt;F92,H92=F92)),0,IF(OR(G92&gt;H92,G92=H92),H92-F92,G92-H92)))</f>
        <v>0</v>
      </c>
      <c r="J92" s="351"/>
      <c r="K92" s="4267">
        <f t="shared" si="26"/>
        <v>0</v>
      </c>
      <c r="L92" s="4267"/>
      <c r="M92" s="258"/>
      <c r="N92" s="6"/>
    </row>
    <row r="93" spans="1:14" hidden="1" x14ac:dyDescent="0.25">
      <c r="A93" s="957">
        <f t="shared" si="24"/>
        <v>0</v>
      </c>
      <c r="B93" s="4"/>
      <c r="C93" s="258"/>
      <c r="D93" s="3535">
        <f t="shared" ref="D93:D105" si="29">D92+1</f>
        <v>3</v>
      </c>
      <c r="E93" s="1531" t="e">
        <f>HLOOKUP($D93,'Rent Adjustments 1'!$G$8:$WU$146,47,FALSE)</f>
        <v>#VALUE!</v>
      </c>
      <c r="F93" s="351">
        <f>HLOOKUP($D93,'Rent Adjustments 1'!$G$8:$WU$146,88,FALSE)</f>
        <v>0</v>
      </c>
      <c r="G93" s="351">
        <f t="shared" si="25"/>
        <v>0</v>
      </c>
      <c r="H93" s="351">
        <f t="shared" si="27"/>
        <v>40</v>
      </c>
      <c r="I93" s="351">
        <f t="shared" si="28"/>
        <v>0</v>
      </c>
      <c r="J93" s="351"/>
      <c r="K93" s="4267">
        <f t="shared" si="26"/>
        <v>0</v>
      </c>
      <c r="L93" s="4267"/>
      <c r="M93" s="258"/>
      <c r="N93" s="6"/>
    </row>
    <row r="94" spans="1:14" hidden="1" x14ac:dyDescent="0.25">
      <c r="A94" s="957">
        <f t="shared" si="24"/>
        <v>0</v>
      </c>
      <c r="B94" s="4"/>
      <c r="C94" s="258"/>
      <c r="D94" s="3535">
        <f t="shared" si="29"/>
        <v>4</v>
      </c>
      <c r="E94" s="1531" t="e">
        <f>HLOOKUP($D94,'Rent Adjustments 1'!$G$8:$WU$146,47,FALSE)</f>
        <v>#VALUE!</v>
      </c>
      <c r="F94" s="351">
        <f>HLOOKUP($D94,'Rent Adjustments 1'!$G$8:$WU$146,88,FALSE)</f>
        <v>0</v>
      </c>
      <c r="G94" s="351">
        <f t="shared" si="25"/>
        <v>0</v>
      </c>
      <c r="H94" s="351">
        <f t="shared" si="27"/>
        <v>40</v>
      </c>
      <c r="I94" s="351">
        <f t="shared" si="28"/>
        <v>0</v>
      </c>
      <c r="J94" s="351"/>
      <c r="K94" s="4267">
        <f t="shared" si="26"/>
        <v>0</v>
      </c>
      <c r="L94" s="4267"/>
      <c r="M94" s="258"/>
      <c r="N94" s="6"/>
    </row>
    <row r="95" spans="1:14" hidden="1" x14ac:dyDescent="0.25">
      <c r="A95" s="957">
        <f t="shared" si="24"/>
        <v>0</v>
      </c>
      <c r="B95" s="4" t="b">
        <v>0</v>
      </c>
      <c r="C95" s="258"/>
      <c r="D95" s="3535">
        <f t="shared" si="29"/>
        <v>5</v>
      </c>
      <c r="E95" s="1531" t="e">
        <f>HLOOKUP($D95,'Rent Adjustments 1'!$G$8:$WU$146,47,FALSE)</f>
        <v>#VALUE!</v>
      </c>
      <c r="F95" s="351">
        <f>HLOOKUP($D95,'Rent Adjustments 1'!$G$8:$WU$146,88,FALSE)</f>
        <v>0</v>
      </c>
      <c r="G95" s="351">
        <f t="shared" si="25"/>
        <v>0</v>
      </c>
      <c r="H95" s="351">
        <f t="shared" si="27"/>
        <v>40</v>
      </c>
      <c r="I95" s="351">
        <f t="shared" si="28"/>
        <v>0</v>
      </c>
      <c r="J95" s="351"/>
      <c r="K95" s="4267">
        <f t="shared" si="26"/>
        <v>0</v>
      </c>
      <c r="L95" s="4267"/>
      <c r="M95" s="258"/>
      <c r="N95" s="6"/>
    </row>
    <row r="96" spans="1:14" hidden="1" x14ac:dyDescent="0.25">
      <c r="A96" s="957">
        <f t="shared" si="24"/>
        <v>0</v>
      </c>
      <c r="B96" s="4"/>
      <c r="C96" s="258"/>
      <c r="D96" s="3535">
        <f t="shared" si="29"/>
        <v>6</v>
      </c>
      <c r="E96" s="1531" t="e">
        <f>HLOOKUP($D96,'Rent Adjustments 1'!$G$8:$WU$146,47,FALSE)</f>
        <v>#VALUE!</v>
      </c>
      <c r="F96" s="351">
        <f>HLOOKUP($D96,'Rent Adjustments 1'!$G$8:$WU$146,88,FALSE)</f>
        <v>0</v>
      </c>
      <c r="G96" s="351">
        <f t="shared" si="25"/>
        <v>0</v>
      </c>
      <c r="H96" s="351">
        <f t="shared" si="27"/>
        <v>40</v>
      </c>
      <c r="I96" s="351">
        <f t="shared" si="28"/>
        <v>0</v>
      </c>
      <c r="J96" s="351"/>
      <c r="K96" s="4267">
        <f t="shared" si="26"/>
        <v>0</v>
      </c>
      <c r="L96" s="4267"/>
      <c r="M96" s="258"/>
      <c r="N96" s="6"/>
    </row>
    <row r="97" spans="1:14" hidden="1" x14ac:dyDescent="0.25">
      <c r="A97" s="957">
        <f t="shared" si="24"/>
        <v>0</v>
      </c>
      <c r="B97" s="4"/>
      <c r="C97" s="258"/>
      <c r="D97" s="3535">
        <f t="shared" si="29"/>
        <v>7</v>
      </c>
      <c r="E97" s="1531" t="e">
        <f>HLOOKUP($D97,'Rent Adjustments 1'!$G$8:$WU$146,47,FALSE)</f>
        <v>#N/A</v>
      </c>
      <c r="F97" s="351" t="e">
        <f>HLOOKUP($D97,'Rent Adjustments 1'!$G$8:$WU$146,88,FALSE)</f>
        <v>#N/A</v>
      </c>
      <c r="G97" s="351">
        <f t="shared" si="25"/>
        <v>0</v>
      </c>
      <c r="H97" s="351">
        <f t="shared" si="27"/>
        <v>40</v>
      </c>
      <c r="I97" s="351" t="e">
        <f t="shared" si="28"/>
        <v>#N/A</v>
      </c>
      <c r="J97" s="351"/>
      <c r="K97" s="4267" t="str">
        <f t="shared" si="26"/>
        <v/>
      </c>
      <c r="L97" s="4267"/>
      <c r="M97" s="258"/>
      <c r="N97" s="6"/>
    </row>
    <row r="98" spans="1:14" hidden="1" x14ac:dyDescent="0.25">
      <c r="A98" s="957">
        <f t="shared" si="24"/>
        <v>0</v>
      </c>
      <c r="B98" s="4"/>
      <c r="C98" s="258"/>
      <c r="D98" s="3535">
        <f t="shared" si="29"/>
        <v>8</v>
      </c>
      <c r="E98" s="1531" t="e">
        <f>HLOOKUP($D98,'Rent Adjustments 1'!$G$8:$WU$146,47,FALSE)</f>
        <v>#N/A</v>
      </c>
      <c r="F98" s="351" t="e">
        <f>HLOOKUP($D98,'Rent Adjustments 1'!$G$8:$WU$146,88,FALSE)</f>
        <v>#N/A</v>
      </c>
      <c r="G98" s="351">
        <f t="shared" si="25"/>
        <v>0</v>
      </c>
      <c r="H98" s="351">
        <f t="shared" si="27"/>
        <v>40</v>
      </c>
      <c r="I98" s="351" t="e">
        <f t="shared" si="28"/>
        <v>#N/A</v>
      </c>
      <c r="J98" s="351"/>
      <c r="K98" s="4267" t="str">
        <f t="shared" si="26"/>
        <v/>
      </c>
      <c r="L98" s="4267"/>
      <c r="M98" s="258"/>
      <c r="N98" s="6"/>
    </row>
    <row r="99" spans="1:14" hidden="1" x14ac:dyDescent="0.25">
      <c r="A99" s="957">
        <f t="shared" si="24"/>
        <v>0</v>
      </c>
      <c r="B99" s="4"/>
      <c r="C99" s="258"/>
      <c r="D99" s="3535">
        <f t="shared" si="29"/>
        <v>9</v>
      </c>
      <c r="E99" s="1531" t="e">
        <f>HLOOKUP($D99,'Rent Adjustments 1'!$G$8:$WU$146,47,FALSE)</f>
        <v>#N/A</v>
      </c>
      <c r="F99" s="351" t="e">
        <f>HLOOKUP($D99,'Rent Adjustments 1'!$G$8:$WU$146,88,FALSE)</f>
        <v>#N/A</v>
      </c>
      <c r="G99" s="351">
        <f t="shared" si="25"/>
        <v>0</v>
      </c>
      <c r="H99" s="351">
        <f t="shared" si="27"/>
        <v>40</v>
      </c>
      <c r="I99" s="351" t="e">
        <f t="shared" si="28"/>
        <v>#N/A</v>
      </c>
      <c r="J99" s="351"/>
      <c r="K99" s="4267" t="str">
        <f t="shared" si="26"/>
        <v/>
      </c>
      <c r="L99" s="4267"/>
      <c r="M99" s="258"/>
      <c r="N99" s="6"/>
    </row>
    <row r="100" spans="1:14" hidden="1" x14ac:dyDescent="0.25">
      <c r="A100" s="957">
        <f t="shared" si="24"/>
        <v>0</v>
      </c>
      <c r="B100" s="4"/>
      <c r="C100" s="258"/>
      <c r="D100" s="3535">
        <f t="shared" si="29"/>
        <v>10</v>
      </c>
      <c r="E100" s="1531" t="e">
        <f>HLOOKUP($D100,'Rent Adjustments 1'!$G$8:$WU$146,47,FALSE)</f>
        <v>#N/A</v>
      </c>
      <c r="F100" s="351" t="e">
        <f>HLOOKUP($D100,'Rent Adjustments 1'!$G$8:$WU$146,88,FALSE)</f>
        <v>#N/A</v>
      </c>
      <c r="G100" s="351">
        <f t="shared" si="25"/>
        <v>0</v>
      </c>
      <c r="H100" s="351">
        <f t="shared" si="27"/>
        <v>40</v>
      </c>
      <c r="I100" s="351" t="e">
        <f t="shared" si="28"/>
        <v>#N/A</v>
      </c>
      <c r="J100" s="351"/>
      <c r="K100" s="4267" t="str">
        <f t="shared" si="26"/>
        <v/>
      </c>
      <c r="L100" s="4267"/>
      <c r="M100" s="258"/>
      <c r="N100" s="6"/>
    </row>
    <row r="101" spans="1:14" hidden="1" x14ac:dyDescent="0.25">
      <c r="A101" s="957">
        <f t="shared" si="24"/>
        <v>0</v>
      </c>
      <c r="B101" s="4" t="b">
        <v>1</v>
      </c>
      <c r="C101" s="258"/>
      <c r="D101" s="3535">
        <f t="shared" si="29"/>
        <v>11</v>
      </c>
      <c r="E101" s="1531" t="e">
        <f>HLOOKUP($D101,'Rent Adjustments 1'!$G$8:$WU$146,47,FALSE)</f>
        <v>#N/A</v>
      </c>
      <c r="F101" s="351" t="e">
        <f>HLOOKUP($D101,'Rent Adjustments 1'!$G$8:$WU$146,88,FALSE)</f>
        <v>#N/A</v>
      </c>
      <c r="G101" s="351">
        <f t="shared" si="25"/>
        <v>0</v>
      </c>
      <c r="H101" s="351">
        <f t="shared" si="27"/>
        <v>40</v>
      </c>
      <c r="I101" s="351" t="e">
        <f t="shared" si="28"/>
        <v>#N/A</v>
      </c>
      <c r="J101" s="351"/>
      <c r="K101" s="4267" t="str">
        <f t="shared" si="26"/>
        <v/>
      </c>
      <c r="L101" s="4267"/>
      <c r="M101" s="258"/>
      <c r="N101" s="6"/>
    </row>
    <row r="102" spans="1:14" hidden="1" x14ac:dyDescent="0.25">
      <c r="A102" s="957">
        <f t="shared" si="24"/>
        <v>0</v>
      </c>
      <c r="B102" s="4"/>
      <c r="C102" s="258"/>
      <c r="D102" s="3535">
        <f t="shared" si="29"/>
        <v>12</v>
      </c>
      <c r="E102" s="1531" t="e">
        <f>HLOOKUP($D102,'Rent Adjustments 1'!$G$8:$WU$146,47,FALSE)</f>
        <v>#N/A</v>
      </c>
      <c r="F102" s="351" t="e">
        <f>HLOOKUP($D102,'Rent Adjustments 1'!$G$8:$WU$146,88,FALSE)</f>
        <v>#N/A</v>
      </c>
      <c r="G102" s="351">
        <f t="shared" si="25"/>
        <v>0</v>
      </c>
      <c r="H102" s="351">
        <f t="shared" si="27"/>
        <v>40</v>
      </c>
      <c r="I102" s="351" t="e">
        <f t="shared" si="28"/>
        <v>#N/A</v>
      </c>
      <c r="J102" s="351"/>
      <c r="K102" s="4267" t="str">
        <f t="shared" si="26"/>
        <v/>
      </c>
      <c r="L102" s="4267"/>
      <c r="M102" s="258"/>
      <c r="N102" s="6"/>
    </row>
    <row r="103" spans="1:14" hidden="1" x14ac:dyDescent="0.25">
      <c r="A103" s="957">
        <f t="shared" si="24"/>
        <v>0</v>
      </c>
      <c r="B103" s="4"/>
      <c r="C103" s="258"/>
      <c r="D103" s="3535">
        <f t="shared" si="29"/>
        <v>13</v>
      </c>
      <c r="E103" s="1531" t="e">
        <f>HLOOKUP($D103,'Rent Adjustments 1'!$G$8:$WU$146,47,FALSE)</f>
        <v>#N/A</v>
      </c>
      <c r="F103" s="351" t="e">
        <f>HLOOKUP($D103,'Rent Adjustments 1'!$G$8:$WU$146,88,FALSE)</f>
        <v>#N/A</v>
      </c>
      <c r="G103" s="351">
        <f t="shared" si="25"/>
        <v>0</v>
      </c>
      <c r="H103" s="351">
        <f t="shared" si="27"/>
        <v>40</v>
      </c>
      <c r="I103" s="351" t="e">
        <f t="shared" si="28"/>
        <v>#N/A</v>
      </c>
      <c r="J103" s="351"/>
      <c r="K103" s="4267" t="str">
        <f t="shared" si="26"/>
        <v/>
      </c>
      <c r="L103" s="4267"/>
      <c r="M103" s="258"/>
      <c r="N103" s="6"/>
    </row>
    <row r="104" spans="1:14" hidden="1" x14ac:dyDescent="0.25">
      <c r="A104" s="957">
        <f t="shared" si="24"/>
        <v>0</v>
      </c>
      <c r="B104" s="4"/>
      <c r="C104" s="258"/>
      <c r="D104" s="3535">
        <f t="shared" si="29"/>
        <v>14</v>
      </c>
      <c r="E104" s="1531" t="e">
        <f>HLOOKUP($D104,'Rent Adjustments 1'!$G$8:$WU$146,47,FALSE)</f>
        <v>#N/A</v>
      </c>
      <c r="F104" s="351" t="e">
        <f>HLOOKUP($D104,'Rent Adjustments 1'!$G$8:$WU$146,88,FALSE)</f>
        <v>#N/A</v>
      </c>
      <c r="G104" s="351">
        <f t="shared" si="25"/>
        <v>0</v>
      </c>
      <c r="H104" s="351">
        <f t="shared" si="27"/>
        <v>40</v>
      </c>
      <c r="I104" s="351" t="e">
        <f t="shared" si="28"/>
        <v>#N/A</v>
      </c>
      <c r="J104" s="351"/>
      <c r="K104" s="4267" t="str">
        <f t="shared" si="26"/>
        <v/>
      </c>
      <c r="L104" s="4267"/>
      <c r="M104" s="258"/>
      <c r="N104" s="6"/>
    </row>
    <row r="105" spans="1:14" ht="15" hidden="1" thickBot="1" x14ac:dyDescent="0.3">
      <c r="A105" s="957">
        <f t="shared" si="24"/>
        <v>0</v>
      </c>
      <c r="B105" s="4"/>
      <c r="C105" s="258"/>
      <c r="D105" s="3535">
        <f t="shared" si="29"/>
        <v>15</v>
      </c>
      <c r="E105" s="1531" t="e">
        <f>HLOOKUP($D105,'Rent Adjustments 1'!$G$8:$WU$146,47,FALSE)</f>
        <v>#N/A</v>
      </c>
      <c r="F105" s="351" t="e">
        <f>HLOOKUP($D105,'Rent Adjustments 1'!$G$8:$WU$146,88,FALSE)</f>
        <v>#N/A</v>
      </c>
      <c r="G105" s="351">
        <f t="shared" si="25"/>
        <v>0</v>
      </c>
      <c r="H105" s="351">
        <f t="shared" si="27"/>
        <v>40</v>
      </c>
      <c r="I105" s="351" t="e">
        <f t="shared" si="28"/>
        <v>#N/A</v>
      </c>
      <c r="J105" s="351"/>
      <c r="K105" s="4267" t="str">
        <f t="shared" si="26"/>
        <v/>
      </c>
      <c r="L105" s="4267"/>
      <c r="M105" s="258"/>
      <c r="N105" s="6"/>
    </row>
    <row r="106" spans="1:14" ht="15" hidden="1" thickBot="1" x14ac:dyDescent="0.3">
      <c r="A106" s="41">
        <f>IF(RentAdjustmentGrid="Buckets",1,0)</f>
        <v>0</v>
      </c>
      <c r="B106" s="8"/>
      <c r="C106" s="7"/>
      <c r="D106" s="555" t="s">
        <v>1438</v>
      </c>
      <c r="E106" s="133"/>
      <c r="F106" s="133"/>
      <c r="G106" s="133"/>
      <c r="H106" s="133"/>
      <c r="I106" s="133"/>
      <c r="J106" s="133"/>
      <c r="K106" s="133"/>
      <c r="L106" s="133"/>
      <c r="M106" s="7"/>
      <c r="N106" s="9"/>
    </row>
    <row r="107" spans="1:14" ht="15" hidden="1" thickBot="1" x14ac:dyDescent="0.3">
      <c r="A107" s="41">
        <f>IF(RentAdjustmentGrid="Buckets",1,0)</f>
        <v>0</v>
      </c>
      <c r="B107" s="10" t="b">
        <v>0</v>
      </c>
    </row>
    <row r="108" spans="1:14" hidden="1" x14ac:dyDescent="0.25">
      <c r="A108" s="41">
        <f>IF(RentAdjustmentGrid="Buckets",1,0)</f>
        <v>0</v>
      </c>
      <c r="B108" s="1"/>
      <c r="C108" s="2"/>
      <c r="D108" s="2"/>
      <c r="E108" s="2"/>
      <c r="F108" s="2"/>
      <c r="G108" s="2"/>
      <c r="H108" s="2"/>
      <c r="I108" s="2"/>
      <c r="J108" s="2"/>
      <c r="K108" s="2"/>
      <c r="L108" s="228"/>
    </row>
    <row r="109" spans="1:14" ht="16.5" hidden="1" x14ac:dyDescent="0.3">
      <c r="A109" s="41">
        <f>IF(RentAdjustmentGrid="Buckets",1,0)</f>
        <v>0</v>
      </c>
      <c r="B109" s="4"/>
      <c r="C109" s="5"/>
      <c r="D109" s="246" t="str">
        <f>CONCATENATE("Rent Concessions - ",dpIncome_SpaceCategory_MarketRent_1)</f>
        <v xml:space="preserve">Rent Concessions - </v>
      </c>
      <c r="E109" s="5"/>
      <c r="F109" s="5"/>
      <c r="G109" s="5"/>
      <c r="H109" s="5"/>
      <c r="I109" s="5"/>
      <c r="J109" s="5"/>
      <c r="K109" s="5"/>
      <c r="L109" s="228"/>
    </row>
    <row r="110" spans="1:14" ht="28.5" hidden="1" x14ac:dyDescent="0.25">
      <c r="A110" s="41">
        <f>IF(RentAdjustmentGrid="Buckets",1,0)</f>
        <v>0</v>
      </c>
      <c r="B110" s="4"/>
      <c r="D110" s="150" t="s">
        <v>274</v>
      </c>
      <c r="E110" s="290" t="s">
        <v>293</v>
      </c>
      <c r="F110" s="290" t="s">
        <v>1366</v>
      </c>
      <c r="G110" s="290" t="s">
        <v>1367</v>
      </c>
      <c r="H110" s="290" t="s">
        <v>1368</v>
      </c>
      <c r="I110" s="290" t="s">
        <v>1332</v>
      </c>
      <c r="J110" s="150"/>
      <c r="K110" s="53"/>
      <c r="L110" s="2084"/>
    </row>
    <row r="111" spans="1:14" hidden="1" x14ac:dyDescent="0.25">
      <c r="A111" s="41">
        <f t="shared" ref="A111:A125" si="30">IF(RentAdjustmentGrid="Buckets",IF(ISERROR(E111),0,1),0)</f>
        <v>0</v>
      </c>
      <c r="B111" s="4"/>
      <c r="C111" s="258"/>
      <c r="D111" s="3535">
        <v>1</v>
      </c>
      <c r="E111" s="3536">
        <f>HLOOKUP($D111,'Rent Adjustments 1'!$G$8:$WU$146,118,FALSE)</f>
        <v>0</v>
      </c>
      <c r="F111" s="1340">
        <f>HLOOKUP($D111,'Rent Summary Detail'!$P$49:$AD$88,39,FALSE)</f>
        <v>0</v>
      </c>
      <c r="G111" s="2979" t="e">
        <f>F111/E111</f>
        <v>#DIV/0!</v>
      </c>
      <c r="H111" s="3537">
        <f>HLOOKUP($D111,'Rent Adjustments 1'!$G$8:$WU$146,14,FALSE)</f>
        <v>0</v>
      </c>
      <c r="I111" s="1265" t="e">
        <f>-G111*H111</f>
        <v>#DIV/0!</v>
      </c>
      <c r="J111" s="258"/>
      <c r="K111" s="5"/>
      <c r="L111" s="228"/>
    </row>
    <row r="112" spans="1:14" hidden="1" x14ac:dyDescent="0.25">
      <c r="A112" s="41">
        <f t="shared" si="30"/>
        <v>0</v>
      </c>
      <c r="B112" s="4"/>
      <c r="C112" s="258"/>
      <c r="D112" s="3535">
        <f>D111+1</f>
        <v>2</v>
      </c>
      <c r="E112" s="3536">
        <f>HLOOKUP($D112,'Rent Adjustments 1'!$G$8:$WU$146,118,FALSE)</f>
        <v>0</v>
      </c>
      <c r="F112" s="1340">
        <f>HLOOKUP($D112,'Rent Summary Detail'!$P$49:$AD$88,39,FALSE)</f>
        <v>0</v>
      </c>
      <c r="G112" s="2979" t="e">
        <f t="shared" ref="G112:G125" si="31">F112/E112</f>
        <v>#DIV/0!</v>
      </c>
      <c r="H112" s="3537">
        <f>HLOOKUP($D112,'Rent Adjustments 1'!$G$8:$WU$146,14,FALSE)</f>
        <v>0</v>
      </c>
      <c r="I112" s="1265" t="e">
        <f t="shared" ref="I112:I125" si="32">-G112*H112</f>
        <v>#DIV/0!</v>
      </c>
      <c r="J112" s="258"/>
      <c r="K112" s="5"/>
      <c r="L112" s="228"/>
    </row>
    <row r="113" spans="1:14" hidden="1" x14ac:dyDescent="0.25">
      <c r="A113" s="41">
        <f t="shared" si="30"/>
        <v>0</v>
      </c>
      <c r="B113" s="4" t="b">
        <v>0</v>
      </c>
      <c r="C113" s="258"/>
      <c r="D113" s="3535">
        <f t="shared" ref="D113:D125" si="33">D112+1</f>
        <v>3</v>
      </c>
      <c r="E113" s="3536">
        <f>HLOOKUP($D113,'Rent Adjustments 1'!$G$8:$WU$146,118,FALSE)</f>
        <v>0</v>
      </c>
      <c r="F113" s="1340">
        <f>HLOOKUP($D113,'Rent Summary Detail'!$P$49:$AD$88,39,FALSE)</f>
        <v>0</v>
      </c>
      <c r="G113" s="2979" t="e">
        <f t="shared" si="31"/>
        <v>#DIV/0!</v>
      </c>
      <c r="H113" s="3537">
        <f>HLOOKUP($D113,'Rent Adjustments 1'!$G$8:$WU$146,14,FALSE)</f>
        <v>0</v>
      </c>
      <c r="I113" s="1265" t="e">
        <f t="shared" si="32"/>
        <v>#DIV/0!</v>
      </c>
      <c r="J113" s="258"/>
      <c r="K113" s="5"/>
      <c r="L113" s="228"/>
    </row>
    <row r="114" spans="1:14" hidden="1" x14ac:dyDescent="0.25">
      <c r="A114" s="41">
        <f t="shared" si="30"/>
        <v>0</v>
      </c>
      <c r="B114" s="4"/>
      <c r="C114" s="258"/>
      <c r="D114" s="3535">
        <f t="shared" si="33"/>
        <v>4</v>
      </c>
      <c r="E114" s="3536">
        <f>HLOOKUP($D114,'Rent Adjustments 1'!$G$8:$WU$146,118,FALSE)</f>
        <v>0</v>
      </c>
      <c r="F114" s="1340">
        <f>HLOOKUP($D114,'Rent Summary Detail'!$P$49:$AD$88,39,FALSE)</f>
        <v>0</v>
      </c>
      <c r="G114" s="2979" t="e">
        <f t="shared" si="31"/>
        <v>#DIV/0!</v>
      </c>
      <c r="H114" s="3537">
        <f>HLOOKUP($D114,'Rent Adjustments 1'!$G$8:$WU$146,14,FALSE)</f>
        <v>0</v>
      </c>
      <c r="I114" s="1265" t="e">
        <f t="shared" si="32"/>
        <v>#DIV/0!</v>
      </c>
      <c r="J114" s="258"/>
      <c r="K114" s="5"/>
      <c r="L114" s="228"/>
    </row>
    <row r="115" spans="1:14" hidden="1" x14ac:dyDescent="0.25">
      <c r="A115" s="41">
        <f t="shared" si="30"/>
        <v>0</v>
      </c>
      <c r="B115" s="4"/>
      <c r="C115" s="258"/>
      <c r="D115" s="3535">
        <f t="shared" si="33"/>
        <v>5</v>
      </c>
      <c r="E115" s="3536">
        <f>HLOOKUP($D115,'Rent Adjustments 1'!$G$8:$WU$146,118,FALSE)</f>
        <v>0</v>
      </c>
      <c r="F115" s="1340">
        <f>HLOOKUP($D115,'Rent Summary Detail'!$P$49:$AD$88,39,FALSE)</f>
        <v>0</v>
      </c>
      <c r="G115" s="2979" t="e">
        <f t="shared" si="31"/>
        <v>#DIV/0!</v>
      </c>
      <c r="H115" s="3537">
        <f>HLOOKUP($D115,'Rent Adjustments 1'!$G$8:$WU$146,14,FALSE)</f>
        <v>0</v>
      </c>
      <c r="I115" s="1265" t="e">
        <f t="shared" si="32"/>
        <v>#DIV/0!</v>
      </c>
      <c r="J115" s="258"/>
      <c r="K115" s="5"/>
      <c r="L115" s="228"/>
    </row>
    <row r="116" spans="1:14" hidden="1" x14ac:dyDescent="0.25">
      <c r="A116" s="41">
        <f t="shared" si="30"/>
        <v>0</v>
      </c>
      <c r="B116" s="4"/>
      <c r="C116" s="258"/>
      <c r="D116" s="3535">
        <f t="shared" si="33"/>
        <v>6</v>
      </c>
      <c r="E116" s="3536">
        <f>HLOOKUP($D116,'Rent Adjustments 1'!$G$8:$WU$146,118,FALSE)</f>
        <v>0</v>
      </c>
      <c r="F116" s="1340">
        <f>HLOOKUP($D116,'Rent Summary Detail'!$P$49:$AD$88,39,FALSE)</f>
        <v>0</v>
      </c>
      <c r="G116" s="2979" t="e">
        <f t="shared" si="31"/>
        <v>#DIV/0!</v>
      </c>
      <c r="H116" s="3537">
        <f>HLOOKUP($D116,'Rent Adjustments 1'!$G$8:$WU$146,14,FALSE)</f>
        <v>0</v>
      </c>
      <c r="I116" s="1265" t="e">
        <f t="shared" si="32"/>
        <v>#DIV/0!</v>
      </c>
      <c r="J116" s="258"/>
      <c r="K116" s="5"/>
      <c r="L116" s="228"/>
    </row>
    <row r="117" spans="1:14" hidden="1" x14ac:dyDescent="0.25">
      <c r="A117" s="41">
        <f t="shared" si="30"/>
        <v>0</v>
      </c>
      <c r="B117" s="4"/>
      <c r="C117" s="258"/>
      <c r="D117" s="3535">
        <f t="shared" si="33"/>
        <v>7</v>
      </c>
      <c r="E117" s="3536" t="e">
        <f>HLOOKUP($D117,'Rent Adjustments 1'!$G$8:$WU$146,118,FALSE)</f>
        <v>#N/A</v>
      </c>
      <c r="F117" s="1340" t="e">
        <f>HLOOKUP($D117,'Rent Summary Detail'!$P$49:$AD$88,39,FALSE)</f>
        <v>#N/A</v>
      </c>
      <c r="G117" s="2979" t="e">
        <f t="shared" si="31"/>
        <v>#N/A</v>
      </c>
      <c r="H117" s="3537" t="e">
        <f>HLOOKUP($D117,'Rent Adjustments 1'!$G$8:$WU$146,14,FALSE)</f>
        <v>#N/A</v>
      </c>
      <c r="I117" s="1265" t="e">
        <f t="shared" si="32"/>
        <v>#N/A</v>
      </c>
      <c r="J117" s="258"/>
      <c r="K117" s="5"/>
      <c r="L117" s="228"/>
    </row>
    <row r="118" spans="1:14" hidden="1" x14ac:dyDescent="0.25">
      <c r="A118" s="41">
        <f t="shared" si="30"/>
        <v>0</v>
      </c>
      <c r="B118" s="4"/>
      <c r="C118" s="258"/>
      <c r="D118" s="3535">
        <f t="shared" si="33"/>
        <v>8</v>
      </c>
      <c r="E118" s="3536" t="e">
        <f>HLOOKUP($D118,'Rent Adjustments 1'!$G$8:$WU$146,118,FALSE)</f>
        <v>#N/A</v>
      </c>
      <c r="F118" s="1340" t="e">
        <f>HLOOKUP($D118,'Rent Summary Detail'!$P$49:$AD$88,39,FALSE)</f>
        <v>#N/A</v>
      </c>
      <c r="G118" s="2979" t="e">
        <f t="shared" si="31"/>
        <v>#N/A</v>
      </c>
      <c r="H118" s="3537" t="e">
        <f>HLOOKUP($D118,'Rent Adjustments 1'!$G$8:$WU$146,14,FALSE)</f>
        <v>#N/A</v>
      </c>
      <c r="I118" s="1265" t="e">
        <f t="shared" si="32"/>
        <v>#N/A</v>
      </c>
      <c r="J118" s="258"/>
      <c r="K118" s="5"/>
      <c r="L118" s="228"/>
    </row>
    <row r="119" spans="1:14" hidden="1" x14ac:dyDescent="0.25">
      <c r="A119" s="41">
        <f t="shared" si="30"/>
        <v>0</v>
      </c>
      <c r="B119" s="4" t="b">
        <v>0</v>
      </c>
      <c r="C119" s="258"/>
      <c r="D119" s="3535">
        <f t="shared" si="33"/>
        <v>9</v>
      </c>
      <c r="E119" s="3536" t="e">
        <f>HLOOKUP($D119,'Rent Adjustments 1'!$G$8:$WU$146,118,FALSE)</f>
        <v>#N/A</v>
      </c>
      <c r="F119" s="1340" t="e">
        <f>HLOOKUP($D119,'Rent Summary Detail'!$P$49:$AD$88,39,FALSE)</f>
        <v>#N/A</v>
      </c>
      <c r="G119" s="2979" t="e">
        <f t="shared" si="31"/>
        <v>#N/A</v>
      </c>
      <c r="H119" s="3537" t="e">
        <f>HLOOKUP($D119,'Rent Adjustments 1'!$G$8:$WU$146,14,FALSE)</f>
        <v>#N/A</v>
      </c>
      <c r="I119" s="1265" t="e">
        <f t="shared" si="32"/>
        <v>#N/A</v>
      </c>
      <c r="J119" s="258"/>
      <c r="K119" s="5"/>
      <c r="L119" s="228"/>
    </row>
    <row r="120" spans="1:14" hidden="1" x14ac:dyDescent="0.25">
      <c r="A120" s="41">
        <f t="shared" si="30"/>
        <v>0</v>
      </c>
      <c r="B120" s="4"/>
      <c r="C120" s="258"/>
      <c r="D120" s="3535">
        <f t="shared" si="33"/>
        <v>10</v>
      </c>
      <c r="E120" s="3536" t="e">
        <f>HLOOKUP($D120,'Rent Adjustments 1'!$G$8:$WU$146,118,FALSE)</f>
        <v>#N/A</v>
      </c>
      <c r="F120" s="1340" t="e">
        <f>HLOOKUP($D120,'Rent Summary Detail'!$P$49:$AD$88,39,FALSE)</f>
        <v>#N/A</v>
      </c>
      <c r="G120" s="2979" t="e">
        <f t="shared" si="31"/>
        <v>#N/A</v>
      </c>
      <c r="H120" s="3537" t="e">
        <f>HLOOKUP($D120,'Rent Adjustments 1'!$G$8:$WU$146,14,FALSE)</f>
        <v>#N/A</v>
      </c>
      <c r="I120" s="1265" t="e">
        <f t="shared" si="32"/>
        <v>#N/A</v>
      </c>
      <c r="J120" s="258"/>
      <c r="K120" s="5"/>
      <c r="L120" s="228"/>
    </row>
    <row r="121" spans="1:14" hidden="1" x14ac:dyDescent="0.25">
      <c r="A121" s="41">
        <f t="shared" si="30"/>
        <v>0</v>
      </c>
      <c r="B121" s="4"/>
      <c r="C121" s="258"/>
      <c r="D121" s="3535">
        <f t="shared" si="33"/>
        <v>11</v>
      </c>
      <c r="E121" s="3536" t="e">
        <f>HLOOKUP($D121,'Rent Adjustments 1'!$G$8:$WU$146,118,FALSE)</f>
        <v>#N/A</v>
      </c>
      <c r="F121" s="1340" t="e">
        <f>HLOOKUP($D121,'Rent Summary Detail'!$P$49:$AD$88,39,FALSE)</f>
        <v>#N/A</v>
      </c>
      <c r="G121" s="2979" t="e">
        <f t="shared" si="31"/>
        <v>#N/A</v>
      </c>
      <c r="H121" s="3537" t="e">
        <f>HLOOKUP($D121,'Rent Adjustments 1'!$G$8:$WU$146,14,FALSE)</f>
        <v>#N/A</v>
      </c>
      <c r="I121" s="1265" t="e">
        <f t="shared" si="32"/>
        <v>#N/A</v>
      </c>
      <c r="J121" s="258"/>
      <c r="K121" s="5"/>
      <c r="L121" s="228"/>
    </row>
    <row r="122" spans="1:14" hidden="1" x14ac:dyDescent="0.25">
      <c r="A122" s="41">
        <f t="shared" si="30"/>
        <v>0</v>
      </c>
      <c r="B122" s="4"/>
      <c r="C122" s="258"/>
      <c r="D122" s="3535">
        <f t="shared" si="33"/>
        <v>12</v>
      </c>
      <c r="E122" s="3536" t="e">
        <f>HLOOKUP($D122,'Rent Adjustments 1'!$G$8:$WU$146,118,FALSE)</f>
        <v>#N/A</v>
      </c>
      <c r="F122" s="1340" t="e">
        <f>HLOOKUP($D122,'Rent Summary Detail'!$P$49:$AD$88,39,FALSE)</f>
        <v>#N/A</v>
      </c>
      <c r="G122" s="2979" t="e">
        <f t="shared" si="31"/>
        <v>#N/A</v>
      </c>
      <c r="H122" s="3537" t="e">
        <f>HLOOKUP($D122,'Rent Adjustments 1'!$G$8:$WU$146,14,FALSE)</f>
        <v>#N/A</v>
      </c>
      <c r="I122" s="1265" t="e">
        <f t="shared" si="32"/>
        <v>#N/A</v>
      </c>
      <c r="J122" s="258"/>
      <c r="K122" s="5"/>
      <c r="L122" s="228"/>
    </row>
    <row r="123" spans="1:14" hidden="1" x14ac:dyDescent="0.25">
      <c r="A123" s="41">
        <f t="shared" si="30"/>
        <v>0</v>
      </c>
      <c r="B123" s="4"/>
      <c r="C123" s="258"/>
      <c r="D123" s="3535">
        <f t="shared" si="33"/>
        <v>13</v>
      </c>
      <c r="E123" s="3536" t="e">
        <f>HLOOKUP($D123,'Rent Adjustments 1'!$G$8:$WU$146,118,FALSE)</f>
        <v>#N/A</v>
      </c>
      <c r="F123" s="1340" t="e">
        <f>HLOOKUP($D123,'Rent Summary Detail'!$P$49:$AD$88,39,FALSE)</f>
        <v>#N/A</v>
      </c>
      <c r="G123" s="2979" t="e">
        <f t="shared" si="31"/>
        <v>#N/A</v>
      </c>
      <c r="H123" s="3537" t="e">
        <f>HLOOKUP($D123,'Rent Adjustments 1'!$G$8:$WU$146,14,FALSE)</f>
        <v>#N/A</v>
      </c>
      <c r="I123" s="1265" t="e">
        <f t="shared" si="32"/>
        <v>#N/A</v>
      </c>
      <c r="J123" s="258"/>
      <c r="K123" s="5"/>
      <c r="L123" s="228"/>
    </row>
    <row r="124" spans="1:14" hidden="1" x14ac:dyDescent="0.25">
      <c r="A124" s="41">
        <f t="shared" si="30"/>
        <v>0</v>
      </c>
      <c r="B124" s="4"/>
      <c r="C124" s="258"/>
      <c r="D124" s="3535">
        <f t="shared" si="33"/>
        <v>14</v>
      </c>
      <c r="E124" s="3536" t="e">
        <f>HLOOKUP($D124,'Rent Adjustments 1'!$G$8:$WU$146,118,FALSE)</f>
        <v>#N/A</v>
      </c>
      <c r="F124" s="1340" t="e">
        <f>HLOOKUP($D124,'Rent Summary Detail'!$P$49:$AD$88,39,FALSE)</f>
        <v>#N/A</v>
      </c>
      <c r="G124" s="2979" t="e">
        <f t="shared" si="31"/>
        <v>#N/A</v>
      </c>
      <c r="H124" s="3537" t="e">
        <f>HLOOKUP($D124,'Rent Adjustments 1'!$G$8:$WU$146,14,FALSE)</f>
        <v>#N/A</v>
      </c>
      <c r="I124" s="1265" t="e">
        <f t="shared" si="32"/>
        <v>#N/A</v>
      </c>
      <c r="J124" s="258"/>
      <c r="K124" s="5"/>
      <c r="L124" s="228"/>
    </row>
    <row r="125" spans="1:14" ht="15" hidden="1" thickBot="1" x14ac:dyDescent="0.3">
      <c r="A125" s="41">
        <f t="shared" si="30"/>
        <v>0</v>
      </c>
      <c r="B125" s="4" t="b">
        <v>0</v>
      </c>
      <c r="C125" s="258"/>
      <c r="D125" s="3535">
        <f t="shared" si="33"/>
        <v>15</v>
      </c>
      <c r="E125" s="3536" t="e">
        <f>HLOOKUP($D125,'Rent Adjustments 1'!$G$8:$WU$146,118,FALSE)</f>
        <v>#N/A</v>
      </c>
      <c r="F125" s="1340" t="e">
        <f>HLOOKUP($D125,'Rent Summary Detail'!$P$49:$AD$88,39,FALSE)</f>
        <v>#N/A</v>
      </c>
      <c r="G125" s="2979" t="e">
        <f t="shared" si="31"/>
        <v>#N/A</v>
      </c>
      <c r="H125" s="3537" t="e">
        <f>HLOOKUP($D125,'Rent Adjustments 1'!$G$8:$WU$146,14,FALSE)</f>
        <v>#N/A</v>
      </c>
      <c r="I125" s="1265" t="e">
        <f t="shared" si="32"/>
        <v>#N/A</v>
      </c>
      <c r="J125" s="258"/>
      <c r="K125" s="5"/>
      <c r="L125" s="228"/>
    </row>
    <row r="126" spans="1:14" ht="15" hidden="1" thickBot="1" x14ac:dyDescent="0.3">
      <c r="A126" s="41">
        <f>IF(RentAdjustmentGrid="Buckets",1,0)</f>
        <v>0</v>
      </c>
      <c r="B126" s="8"/>
      <c r="C126" s="7"/>
      <c r="D126" s="555" t="s">
        <v>1439</v>
      </c>
      <c r="E126" s="133"/>
      <c r="F126" s="133"/>
      <c r="G126" s="133"/>
      <c r="H126" s="133"/>
      <c r="I126" s="133"/>
      <c r="J126" s="7"/>
      <c r="K126" s="7"/>
      <c r="L126" s="228"/>
    </row>
    <row r="127" spans="1:14" ht="15" thickBot="1" x14ac:dyDescent="0.3">
      <c r="A127" s="41"/>
      <c r="B127" s="186"/>
      <c r="C127" s="186"/>
      <c r="D127" s="1389"/>
      <c r="E127" s="186"/>
      <c r="F127" s="186"/>
      <c r="G127" s="186"/>
      <c r="H127" s="186"/>
      <c r="I127" s="186"/>
      <c r="J127" s="186"/>
      <c r="K127" s="186"/>
      <c r="L127" s="370"/>
      <c r="M127" s="370"/>
      <c r="N127" s="370"/>
    </row>
    <row r="128" spans="1:14" ht="15" thickBot="1" x14ac:dyDescent="0.3">
      <c r="A128" s="41"/>
      <c r="B128" s="1"/>
      <c r="C128" s="2"/>
      <c r="D128" s="2"/>
      <c r="E128" s="2"/>
      <c r="F128" s="2"/>
      <c r="G128" s="2"/>
      <c r="H128" s="2"/>
      <c r="I128" s="2"/>
      <c r="J128" s="2"/>
      <c r="K128" s="2"/>
      <c r="L128" s="2"/>
      <c r="M128" s="2"/>
      <c r="N128" s="3"/>
    </row>
    <row r="129" spans="1:14" ht="16.5" hidden="1" x14ac:dyDescent="0.3">
      <c r="A129" s="957">
        <f t="shared" ref="A129:A146" si="34">IF(RentAdjustmentGrid="Buckets",IF(ISERROR(E129),0,1),0)</f>
        <v>0</v>
      </c>
      <c r="B129" s="4"/>
      <c r="C129" s="5"/>
      <c r="D129" s="246" t="str">
        <f>CONCATENATE("Clear Height Adjustment Calculations - ",dpIncome_SpaceCategory_MarketRent_2)</f>
        <v xml:space="preserve">Clear Height Adjustment Calculations - </v>
      </c>
      <c r="E129" s="5"/>
      <c r="F129" s="5"/>
      <c r="G129" s="5"/>
      <c r="H129" s="5"/>
      <c r="I129" s="5"/>
      <c r="J129" s="5"/>
      <c r="K129" s="5"/>
      <c r="L129" s="5"/>
      <c r="M129" s="5"/>
      <c r="N129" s="6"/>
    </row>
    <row r="130" spans="1:14" hidden="1" x14ac:dyDescent="0.25">
      <c r="A130" s="957">
        <f t="shared" si="34"/>
        <v>0</v>
      </c>
      <c r="B130" s="4"/>
      <c r="C130" s="150"/>
      <c r="D130" s="150"/>
      <c r="E130" s="150" t="s">
        <v>128</v>
      </c>
      <c r="F130" s="150" t="s">
        <v>551</v>
      </c>
      <c r="G130" s="150" t="s">
        <v>116</v>
      </c>
      <c r="H130" s="150" t="s">
        <v>552</v>
      </c>
      <c r="I130" s="150"/>
      <c r="J130" s="150"/>
      <c r="K130" s="4088" t="s">
        <v>554</v>
      </c>
      <c r="L130" s="4088"/>
      <c r="M130" s="150"/>
      <c r="N130" s="6"/>
    </row>
    <row r="131" spans="1:14" hidden="1" x14ac:dyDescent="0.25">
      <c r="A131" s="957">
        <f t="shared" si="34"/>
        <v>0</v>
      </c>
      <c r="B131" s="4"/>
      <c r="C131" s="150"/>
      <c r="D131" s="150" t="s">
        <v>274</v>
      </c>
      <c r="E131" s="150" t="s">
        <v>132</v>
      </c>
      <c r="F131" s="150" t="s">
        <v>1472</v>
      </c>
      <c r="G131" s="150" t="s">
        <v>1472</v>
      </c>
      <c r="H131" s="150" t="s">
        <v>191</v>
      </c>
      <c r="I131" s="150" t="s">
        <v>553</v>
      </c>
      <c r="J131" s="150"/>
      <c r="K131" s="4266">
        <v>1.4999999999999999E-2</v>
      </c>
      <c r="L131" s="4206"/>
      <c r="M131" s="150"/>
      <c r="N131" s="6"/>
    </row>
    <row r="132" spans="1:14" hidden="1" x14ac:dyDescent="0.25">
      <c r="A132" s="957">
        <f t="shared" si="34"/>
        <v>0</v>
      </c>
      <c r="B132" s="4" t="b">
        <v>0</v>
      </c>
      <c r="C132" s="258"/>
      <c r="D132" s="3535">
        <v>1</v>
      </c>
      <c r="E132" s="1531" t="e">
        <f>HLOOKUP($D132,'Rent Adjustments 2'!$G$8:$WP$146,47,FALSE)</f>
        <v>#VALUE!</v>
      </c>
      <c r="F132" s="351">
        <f>HLOOKUP($D132,'Rent Adjustments 2'!$G$8:$WP$146,88,FALSE)</f>
        <v>0</v>
      </c>
      <c r="G132" s="351">
        <f t="shared" ref="G132:G146" si="35">Subject_ClearHeight</f>
        <v>0</v>
      </c>
      <c r="H132" s="351">
        <v>40</v>
      </c>
      <c r="I132" s="351">
        <f>IF(AND(H132&gt;G132,H132&gt;F132),G132-F132,IF(AND(OR(H132&lt;G132,H132=G132),OR(H132&lt;F132,H132=F132)),0,IF(OR(G132&gt;H132,G132=H132),H132-F132,G132-H132)))</f>
        <v>0</v>
      </c>
      <c r="J132" s="351"/>
      <c r="K132" s="4267">
        <f t="shared" ref="K132:K146" si="36">IF(ISERROR(I132*dpIncome_RentClearHeight_AdjperFootB2),"",I132*dpIncome_RentClearHeight_AdjperFootB2)</f>
        <v>0</v>
      </c>
      <c r="L132" s="4267"/>
      <c r="M132" s="258"/>
      <c r="N132" s="6"/>
    </row>
    <row r="133" spans="1:14" hidden="1" x14ac:dyDescent="0.25">
      <c r="A133" s="957">
        <f t="shared" si="34"/>
        <v>0</v>
      </c>
      <c r="B133" s="4"/>
      <c r="C133" s="258"/>
      <c r="D133" s="3535">
        <f>D132+1</f>
        <v>2</v>
      </c>
      <c r="E133" s="1531" t="e">
        <f>HLOOKUP($D133,'Rent Adjustments 2'!$G$8:$WP$146,47,FALSE)</f>
        <v>#VALUE!</v>
      </c>
      <c r="F133" s="351">
        <f>HLOOKUP($D133,'Rent Adjustments 2'!$G$8:$WP$146,88,FALSE)</f>
        <v>0</v>
      </c>
      <c r="G133" s="351">
        <f t="shared" si="35"/>
        <v>0</v>
      </c>
      <c r="H133" s="351">
        <f t="shared" ref="H133:H146" si="37">dpIncome_RentMaxHeightAdj</f>
        <v>40</v>
      </c>
      <c r="I133" s="351">
        <f t="shared" ref="I133:I146" si="38">IF(AND(H133&gt;G133,H133&gt;F133),G133-F133,IF(AND(OR(H133&lt;G133,H133=G133),OR(H133&lt;F133,H133=F133)),0,IF(OR(G133&gt;H133,G133=H133),H133-F133,G133-H133)))</f>
        <v>0</v>
      </c>
      <c r="J133" s="351"/>
      <c r="K133" s="4267">
        <f t="shared" si="36"/>
        <v>0</v>
      </c>
      <c r="L133" s="4267"/>
      <c r="M133" s="258"/>
      <c r="N133" s="6"/>
    </row>
    <row r="134" spans="1:14" hidden="1" x14ac:dyDescent="0.25">
      <c r="A134" s="957">
        <f t="shared" si="34"/>
        <v>0</v>
      </c>
      <c r="B134" s="4"/>
      <c r="C134" s="258"/>
      <c r="D134" s="3535">
        <f t="shared" ref="D134:D146" si="39">D133+1</f>
        <v>3</v>
      </c>
      <c r="E134" s="1531" t="e">
        <f>HLOOKUP($D134,'Rent Adjustments 2'!$G$8:$WP$146,47,FALSE)</f>
        <v>#VALUE!</v>
      </c>
      <c r="F134" s="351">
        <f>HLOOKUP($D134,'Rent Adjustments 2'!$G$8:$WP$146,88,FALSE)</f>
        <v>0</v>
      </c>
      <c r="G134" s="351">
        <f t="shared" si="35"/>
        <v>0</v>
      </c>
      <c r="H134" s="351">
        <f t="shared" si="37"/>
        <v>40</v>
      </c>
      <c r="I134" s="351">
        <f t="shared" si="38"/>
        <v>0</v>
      </c>
      <c r="J134" s="351"/>
      <c r="K134" s="4267">
        <f t="shared" si="36"/>
        <v>0</v>
      </c>
      <c r="L134" s="4267"/>
      <c r="M134" s="258"/>
      <c r="N134" s="6"/>
    </row>
    <row r="135" spans="1:14" hidden="1" x14ac:dyDescent="0.25">
      <c r="A135" s="957">
        <f t="shared" si="34"/>
        <v>0</v>
      </c>
      <c r="B135" s="4"/>
      <c r="C135" s="258"/>
      <c r="D135" s="3535">
        <f t="shared" si="39"/>
        <v>4</v>
      </c>
      <c r="E135" s="1531" t="e">
        <f>HLOOKUP($D135,'Rent Adjustments 2'!$G$8:$WP$146,47,FALSE)</f>
        <v>#VALUE!</v>
      </c>
      <c r="F135" s="351">
        <f>HLOOKUP($D135,'Rent Adjustments 2'!$G$8:$WP$146,88,FALSE)</f>
        <v>0</v>
      </c>
      <c r="G135" s="351">
        <f t="shared" si="35"/>
        <v>0</v>
      </c>
      <c r="H135" s="351">
        <f t="shared" si="37"/>
        <v>40</v>
      </c>
      <c r="I135" s="351">
        <f t="shared" si="38"/>
        <v>0</v>
      </c>
      <c r="J135" s="351"/>
      <c r="K135" s="4267">
        <f t="shared" si="36"/>
        <v>0</v>
      </c>
      <c r="L135" s="4267"/>
      <c r="M135" s="258"/>
      <c r="N135" s="6"/>
    </row>
    <row r="136" spans="1:14" hidden="1" x14ac:dyDescent="0.25">
      <c r="A136" s="957">
        <f t="shared" si="34"/>
        <v>0</v>
      </c>
      <c r="B136" s="4"/>
      <c r="C136" s="258"/>
      <c r="D136" s="3535">
        <f t="shared" si="39"/>
        <v>5</v>
      </c>
      <c r="E136" s="1531" t="e">
        <f>HLOOKUP($D136,'Rent Adjustments 2'!$G$8:$WP$146,47,FALSE)</f>
        <v>#VALUE!</v>
      </c>
      <c r="F136" s="351">
        <f>HLOOKUP($D136,'Rent Adjustments 2'!$G$8:$WP$146,88,FALSE)</f>
        <v>0</v>
      </c>
      <c r="G136" s="351">
        <f t="shared" si="35"/>
        <v>0</v>
      </c>
      <c r="H136" s="351">
        <f t="shared" si="37"/>
        <v>40</v>
      </c>
      <c r="I136" s="351">
        <f t="shared" si="38"/>
        <v>0</v>
      </c>
      <c r="J136" s="351"/>
      <c r="K136" s="4267">
        <f t="shared" si="36"/>
        <v>0</v>
      </c>
      <c r="L136" s="4267"/>
      <c r="M136" s="258"/>
      <c r="N136" s="6"/>
    </row>
    <row r="137" spans="1:14" hidden="1" x14ac:dyDescent="0.25">
      <c r="A137" s="957">
        <f t="shared" si="34"/>
        <v>0</v>
      </c>
      <c r="B137" s="4"/>
      <c r="C137" s="258"/>
      <c r="D137" s="3535">
        <f t="shared" si="39"/>
        <v>6</v>
      </c>
      <c r="E137" s="1531" t="e">
        <f>HLOOKUP($D137,'Rent Adjustments 2'!$G$8:$WP$146,47,FALSE)</f>
        <v>#VALUE!</v>
      </c>
      <c r="F137" s="351">
        <f>HLOOKUP($D137,'Rent Adjustments 2'!$G$8:$WP$146,88,FALSE)</f>
        <v>0</v>
      </c>
      <c r="G137" s="351">
        <f t="shared" si="35"/>
        <v>0</v>
      </c>
      <c r="H137" s="351">
        <f t="shared" si="37"/>
        <v>40</v>
      </c>
      <c r="I137" s="351">
        <f t="shared" si="38"/>
        <v>0</v>
      </c>
      <c r="J137" s="351"/>
      <c r="K137" s="4267">
        <f t="shared" si="36"/>
        <v>0</v>
      </c>
      <c r="L137" s="4267"/>
      <c r="M137" s="258"/>
      <c r="N137" s="6"/>
    </row>
    <row r="138" spans="1:14" hidden="1" x14ac:dyDescent="0.25">
      <c r="A138" s="957">
        <f t="shared" si="34"/>
        <v>0</v>
      </c>
      <c r="B138" s="4" t="b">
        <v>0</v>
      </c>
      <c r="C138" s="258"/>
      <c r="D138" s="3535">
        <f t="shared" si="39"/>
        <v>7</v>
      </c>
      <c r="E138" s="1531" t="e">
        <f>HLOOKUP($D138,'Rent Adjustments 2'!$G$8:$WP$146,47,FALSE)</f>
        <v>#N/A</v>
      </c>
      <c r="F138" s="351" t="e">
        <f>HLOOKUP($D138,'Rent Adjustments 2'!$G$8:$WP$146,88,FALSE)</f>
        <v>#N/A</v>
      </c>
      <c r="G138" s="351">
        <f t="shared" si="35"/>
        <v>0</v>
      </c>
      <c r="H138" s="351">
        <f t="shared" si="37"/>
        <v>40</v>
      </c>
      <c r="I138" s="351" t="e">
        <f t="shared" si="38"/>
        <v>#N/A</v>
      </c>
      <c r="J138" s="351"/>
      <c r="K138" s="4267" t="str">
        <f t="shared" si="36"/>
        <v/>
      </c>
      <c r="L138" s="4267"/>
      <c r="M138" s="258"/>
      <c r="N138" s="6"/>
    </row>
    <row r="139" spans="1:14" hidden="1" x14ac:dyDescent="0.25">
      <c r="A139" s="957">
        <f t="shared" si="34"/>
        <v>0</v>
      </c>
      <c r="B139" s="4"/>
      <c r="C139" s="258"/>
      <c r="D139" s="3535">
        <f t="shared" si="39"/>
        <v>8</v>
      </c>
      <c r="E139" s="1531" t="e">
        <f>HLOOKUP($D139,'Rent Adjustments 2'!$G$8:$WP$146,47,FALSE)</f>
        <v>#N/A</v>
      </c>
      <c r="F139" s="351" t="e">
        <f>HLOOKUP($D139,'Rent Adjustments 2'!$G$8:$WP$146,88,FALSE)</f>
        <v>#N/A</v>
      </c>
      <c r="G139" s="351">
        <f t="shared" si="35"/>
        <v>0</v>
      </c>
      <c r="H139" s="351">
        <f t="shared" si="37"/>
        <v>40</v>
      </c>
      <c r="I139" s="351" t="e">
        <f t="shared" si="38"/>
        <v>#N/A</v>
      </c>
      <c r="J139" s="351"/>
      <c r="K139" s="4267" t="str">
        <f t="shared" si="36"/>
        <v/>
      </c>
      <c r="L139" s="4267"/>
      <c r="M139" s="258"/>
      <c r="N139" s="6"/>
    </row>
    <row r="140" spans="1:14" hidden="1" x14ac:dyDescent="0.25">
      <c r="A140" s="957">
        <f t="shared" si="34"/>
        <v>0</v>
      </c>
      <c r="B140" s="4"/>
      <c r="C140" s="258"/>
      <c r="D140" s="3535">
        <f t="shared" si="39"/>
        <v>9</v>
      </c>
      <c r="E140" s="1531" t="e">
        <f>HLOOKUP($D140,'Rent Adjustments 2'!$G$8:$WP$146,47,FALSE)</f>
        <v>#N/A</v>
      </c>
      <c r="F140" s="351" t="e">
        <f>HLOOKUP($D140,'Rent Adjustments 2'!$G$8:$WP$146,88,FALSE)</f>
        <v>#N/A</v>
      </c>
      <c r="G140" s="351">
        <f t="shared" si="35"/>
        <v>0</v>
      </c>
      <c r="H140" s="351">
        <f t="shared" si="37"/>
        <v>40</v>
      </c>
      <c r="I140" s="351" t="e">
        <f t="shared" si="38"/>
        <v>#N/A</v>
      </c>
      <c r="J140" s="351"/>
      <c r="K140" s="4267" t="str">
        <f t="shared" si="36"/>
        <v/>
      </c>
      <c r="L140" s="4267"/>
      <c r="M140" s="258"/>
      <c r="N140" s="6"/>
    </row>
    <row r="141" spans="1:14" hidden="1" x14ac:dyDescent="0.25">
      <c r="A141" s="957">
        <f t="shared" si="34"/>
        <v>0</v>
      </c>
      <c r="B141" s="4"/>
      <c r="C141" s="258"/>
      <c r="D141" s="3535">
        <f t="shared" si="39"/>
        <v>10</v>
      </c>
      <c r="E141" s="1531" t="e">
        <f>HLOOKUP($D141,'Rent Adjustments 2'!$G$8:$WP$146,47,FALSE)</f>
        <v>#N/A</v>
      </c>
      <c r="F141" s="351" t="e">
        <f>HLOOKUP($D141,'Rent Adjustments 2'!$G$8:$WP$146,88,FALSE)</f>
        <v>#N/A</v>
      </c>
      <c r="G141" s="351">
        <f t="shared" si="35"/>
        <v>0</v>
      </c>
      <c r="H141" s="351">
        <f t="shared" si="37"/>
        <v>40</v>
      </c>
      <c r="I141" s="351" t="e">
        <f t="shared" si="38"/>
        <v>#N/A</v>
      </c>
      <c r="J141" s="351"/>
      <c r="K141" s="4267" t="str">
        <f t="shared" si="36"/>
        <v/>
      </c>
      <c r="L141" s="4267"/>
      <c r="M141" s="258"/>
      <c r="N141" s="6"/>
    </row>
    <row r="142" spans="1:14" hidden="1" x14ac:dyDescent="0.25">
      <c r="A142" s="957">
        <f t="shared" si="34"/>
        <v>0</v>
      </c>
      <c r="B142" s="4"/>
      <c r="C142" s="258"/>
      <c r="D142" s="3535">
        <f t="shared" si="39"/>
        <v>11</v>
      </c>
      <c r="E142" s="1531" t="e">
        <f>HLOOKUP($D142,'Rent Adjustments 2'!$G$8:$WP$146,47,FALSE)</f>
        <v>#N/A</v>
      </c>
      <c r="F142" s="351" t="e">
        <f>HLOOKUP($D142,'Rent Adjustments 2'!$G$8:$WP$146,88,FALSE)</f>
        <v>#N/A</v>
      </c>
      <c r="G142" s="351">
        <f t="shared" si="35"/>
        <v>0</v>
      </c>
      <c r="H142" s="351">
        <f t="shared" si="37"/>
        <v>40</v>
      </c>
      <c r="I142" s="351" t="e">
        <f t="shared" si="38"/>
        <v>#N/A</v>
      </c>
      <c r="J142" s="351"/>
      <c r="K142" s="4267" t="str">
        <f t="shared" si="36"/>
        <v/>
      </c>
      <c r="L142" s="4267"/>
      <c r="M142" s="258"/>
      <c r="N142" s="6"/>
    </row>
    <row r="143" spans="1:14" hidden="1" x14ac:dyDescent="0.25">
      <c r="A143" s="957">
        <f t="shared" si="34"/>
        <v>0</v>
      </c>
      <c r="B143" s="4"/>
      <c r="C143" s="258"/>
      <c r="D143" s="3535">
        <f t="shared" si="39"/>
        <v>12</v>
      </c>
      <c r="E143" s="1531" t="e">
        <f>HLOOKUP($D143,'Rent Adjustments 2'!$G$8:$WP$146,47,FALSE)</f>
        <v>#N/A</v>
      </c>
      <c r="F143" s="351" t="e">
        <f>HLOOKUP($D143,'Rent Adjustments 2'!$G$8:$WP$146,88,FALSE)</f>
        <v>#N/A</v>
      </c>
      <c r="G143" s="351">
        <f t="shared" si="35"/>
        <v>0</v>
      </c>
      <c r="H143" s="351">
        <f t="shared" si="37"/>
        <v>40</v>
      </c>
      <c r="I143" s="351" t="e">
        <f t="shared" si="38"/>
        <v>#N/A</v>
      </c>
      <c r="J143" s="351"/>
      <c r="K143" s="4267" t="str">
        <f t="shared" si="36"/>
        <v/>
      </c>
      <c r="L143" s="4267"/>
      <c r="M143" s="258"/>
      <c r="N143" s="6"/>
    </row>
    <row r="144" spans="1:14" hidden="1" x14ac:dyDescent="0.25">
      <c r="A144" s="957">
        <f t="shared" si="34"/>
        <v>0</v>
      </c>
      <c r="B144" s="4"/>
      <c r="C144" s="258"/>
      <c r="D144" s="3535">
        <f t="shared" si="39"/>
        <v>13</v>
      </c>
      <c r="E144" s="1531" t="e">
        <f>HLOOKUP($D144,'Rent Adjustments 2'!$G$8:$WP$146,47,FALSE)</f>
        <v>#N/A</v>
      </c>
      <c r="F144" s="351" t="e">
        <f>HLOOKUP($D144,'Rent Adjustments 2'!$G$8:$WP$146,88,FALSE)</f>
        <v>#N/A</v>
      </c>
      <c r="G144" s="351">
        <f t="shared" si="35"/>
        <v>0</v>
      </c>
      <c r="H144" s="351">
        <f t="shared" si="37"/>
        <v>40</v>
      </c>
      <c r="I144" s="351" t="e">
        <f t="shared" si="38"/>
        <v>#N/A</v>
      </c>
      <c r="J144" s="351"/>
      <c r="K144" s="4267" t="str">
        <f t="shared" si="36"/>
        <v/>
      </c>
      <c r="L144" s="4267"/>
      <c r="M144" s="258"/>
      <c r="N144" s="6"/>
    </row>
    <row r="145" spans="1:14" hidden="1" x14ac:dyDescent="0.25">
      <c r="A145" s="957">
        <f t="shared" si="34"/>
        <v>0</v>
      </c>
      <c r="B145" s="4"/>
      <c r="C145" s="258"/>
      <c r="D145" s="3535">
        <f t="shared" si="39"/>
        <v>14</v>
      </c>
      <c r="E145" s="1531" t="e">
        <f>HLOOKUP($D145,'Rent Adjustments 2'!$G$8:$WP$146,47,FALSE)</f>
        <v>#N/A</v>
      </c>
      <c r="F145" s="351" t="e">
        <f>HLOOKUP($D145,'Rent Adjustments 2'!$G$8:$WP$146,88,FALSE)</f>
        <v>#N/A</v>
      </c>
      <c r="G145" s="351">
        <f t="shared" si="35"/>
        <v>0</v>
      </c>
      <c r="H145" s="351">
        <f t="shared" si="37"/>
        <v>40</v>
      </c>
      <c r="I145" s="351" t="e">
        <f t="shared" si="38"/>
        <v>#N/A</v>
      </c>
      <c r="J145" s="351"/>
      <c r="K145" s="4267" t="str">
        <f t="shared" si="36"/>
        <v/>
      </c>
      <c r="L145" s="4267"/>
      <c r="M145" s="258"/>
      <c r="N145" s="6"/>
    </row>
    <row r="146" spans="1:14" ht="15" hidden="1" thickBot="1" x14ac:dyDescent="0.3">
      <c r="A146" s="957">
        <f t="shared" si="34"/>
        <v>0</v>
      </c>
      <c r="B146" s="4"/>
      <c r="C146" s="258"/>
      <c r="D146" s="3535">
        <f t="shared" si="39"/>
        <v>15</v>
      </c>
      <c r="E146" s="1531" t="e">
        <f>HLOOKUP($D146,'Rent Adjustments 2'!$G$8:$WP$146,47,FALSE)</f>
        <v>#N/A</v>
      </c>
      <c r="F146" s="351" t="e">
        <f>HLOOKUP($D146,'Rent Adjustments 2'!$G$8:$WP$146,88,FALSE)</f>
        <v>#N/A</v>
      </c>
      <c r="G146" s="351">
        <f t="shared" si="35"/>
        <v>0</v>
      </c>
      <c r="H146" s="351">
        <f t="shared" si="37"/>
        <v>40</v>
      </c>
      <c r="I146" s="351" t="e">
        <f t="shared" si="38"/>
        <v>#N/A</v>
      </c>
      <c r="J146" s="351"/>
      <c r="K146" s="4267" t="str">
        <f t="shared" si="36"/>
        <v/>
      </c>
      <c r="L146" s="4267"/>
      <c r="M146" s="258"/>
      <c r="N146" s="6"/>
    </row>
    <row r="147" spans="1:14" ht="15" hidden="1" thickBot="1" x14ac:dyDescent="0.3">
      <c r="A147" s="41">
        <f>IF(RentAdjustmentGrid="Buckets",1,0)</f>
        <v>0</v>
      </c>
      <c r="B147" s="8"/>
      <c r="C147" s="7"/>
      <c r="D147" s="555" t="s">
        <v>1440</v>
      </c>
      <c r="E147" s="133"/>
      <c r="F147" s="133"/>
      <c r="G147" s="133"/>
      <c r="H147" s="133"/>
      <c r="I147" s="133"/>
      <c r="J147" s="133"/>
      <c r="K147" s="133"/>
      <c r="L147" s="133"/>
      <c r="M147" s="7"/>
      <c r="N147" s="9"/>
    </row>
    <row r="148" spans="1:14" ht="15" hidden="1" thickBot="1" x14ac:dyDescent="0.3">
      <c r="A148" s="41">
        <f>IF(RentAdjustmentGrid="Buckets",1,0)</f>
        <v>0</v>
      </c>
    </row>
    <row r="149" spans="1:14" hidden="1" x14ac:dyDescent="0.25">
      <c r="A149" s="41">
        <f>IF(RentAdjustmentGrid="Buckets",1,0)</f>
        <v>0</v>
      </c>
      <c r="B149" s="1"/>
      <c r="C149" s="2"/>
      <c r="D149" s="2"/>
      <c r="E149" s="2"/>
      <c r="F149" s="2"/>
      <c r="G149" s="2"/>
      <c r="H149" s="2"/>
      <c r="I149" s="2"/>
      <c r="J149" s="2"/>
      <c r="K149" s="2"/>
      <c r="L149" s="228"/>
    </row>
    <row r="150" spans="1:14" ht="16.5" hidden="1" x14ac:dyDescent="0.3">
      <c r="A150" s="41">
        <f>IF(RentAdjustmentGrid="Buckets",1,0)</f>
        <v>0</v>
      </c>
      <c r="B150" s="4"/>
      <c r="C150" s="5"/>
      <c r="D150" s="246" t="str">
        <f>CONCATENATE("Rent Concessions - ",dpIncome_SpaceCategory_MarketRent_2)</f>
        <v xml:space="preserve">Rent Concessions - </v>
      </c>
      <c r="E150" s="5"/>
      <c r="F150" s="5"/>
      <c r="G150" s="5"/>
      <c r="H150" s="5"/>
      <c r="I150" s="5"/>
      <c r="J150" s="5"/>
      <c r="K150" s="5"/>
      <c r="L150" s="228"/>
    </row>
    <row r="151" spans="1:14" ht="28.5" hidden="1" x14ac:dyDescent="0.25">
      <c r="A151" s="41">
        <f>IF(RentAdjustmentGrid="Buckets",1,0)</f>
        <v>0</v>
      </c>
      <c r="B151" s="4"/>
      <c r="D151" s="150" t="s">
        <v>274</v>
      </c>
      <c r="E151" s="290" t="s">
        <v>293</v>
      </c>
      <c r="F151" s="290" t="s">
        <v>1366</v>
      </c>
      <c r="G151" s="290" t="s">
        <v>1367</v>
      </c>
      <c r="H151" s="290" t="s">
        <v>1368</v>
      </c>
      <c r="I151" s="290" t="s">
        <v>1332</v>
      </c>
      <c r="J151" s="150"/>
      <c r="K151" s="53"/>
      <c r="L151" s="2084"/>
    </row>
    <row r="152" spans="1:14" hidden="1" x14ac:dyDescent="0.25">
      <c r="A152" s="41">
        <f t="shared" ref="A152:A166" si="40">IF(RentAdjustmentGrid="Buckets",IF(ISERROR(E152),0,1),0)</f>
        <v>0</v>
      </c>
      <c r="B152" s="4"/>
      <c r="C152" s="258"/>
      <c r="D152" s="3535">
        <v>1</v>
      </c>
      <c r="E152" s="3536">
        <f>HLOOKUP($D152,'Rent Adjustments 2'!$G$8:$WP$146,118,FALSE)</f>
        <v>0</v>
      </c>
      <c r="F152" s="1340">
        <f>HLOOKUP($D152,'Rent Summary Detail'!$AB$93:$AO$132,39,FALSE)</f>
        <v>0</v>
      </c>
      <c r="G152" s="2979" t="e">
        <f>F152/E152</f>
        <v>#DIV/0!</v>
      </c>
      <c r="H152" s="3537">
        <f>HLOOKUP($D152,'Rent Adjustments 2'!$G$8:$WP$146,14,FALSE)</f>
        <v>0</v>
      </c>
      <c r="I152" s="1265" t="e">
        <f>-G152*H152</f>
        <v>#DIV/0!</v>
      </c>
      <c r="J152" s="258"/>
      <c r="K152" s="5"/>
      <c r="L152" s="228"/>
    </row>
    <row r="153" spans="1:14" hidden="1" x14ac:dyDescent="0.25">
      <c r="A153" s="41">
        <f t="shared" si="40"/>
        <v>0</v>
      </c>
      <c r="B153" s="4"/>
      <c r="C153" s="258"/>
      <c r="D153" s="3535">
        <f>D152+1</f>
        <v>2</v>
      </c>
      <c r="E153" s="3536">
        <f>HLOOKUP($D153,'Rent Adjustments 2'!$G$8:$WP$146,118,FALSE)</f>
        <v>0</v>
      </c>
      <c r="F153" s="1340">
        <f>HLOOKUP($D153,'Rent Summary Detail'!$P$49:$AD$88,39,FALSE)</f>
        <v>0</v>
      </c>
      <c r="G153" s="2979" t="e">
        <f t="shared" ref="G153:G166" si="41">F153/E153</f>
        <v>#DIV/0!</v>
      </c>
      <c r="H153" s="3537">
        <f>HLOOKUP($D153,'Rent Adjustments 2'!$G$8:$WP$146,14,FALSE)</f>
        <v>0</v>
      </c>
      <c r="I153" s="1265" t="e">
        <f t="shared" ref="I153:I166" si="42">-G153*H153</f>
        <v>#DIV/0!</v>
      </c>
      <c r="J153" s="258"/>
      <c r="K153" s="5"/>
      <c r="L153" s="228"/>
    </row>
    <row r="154" spans="1:14" hidden="1" x14ac:dyDescent="0.25">
      <c r="A154" s="41">
        <f t="shared" si="40"/>
        <v>0</v>
      </c>
      <c r="B154" s="4"/>
      <c r="C154" s="258"/>
      <c r="D154" s="3535">
        <f t="shared" ref="D154:D166" si="43">D153+1</f>
        <v>3</v>
      </c>
      <c r="E154" s="3536">
        <f>HLOOKUP($D154,'Rent Adjustments 2'!$G$8:$WP$146,118,FALSE)</f>
        <v>0</v>
      </c>
      <c r="F154" s="1340">
        <f>HLOOKUP($D154,'Rent Summary Detail'!$P$49:$AD$88,39,FALSE)</f>
        <v>0</v>
      </c>
      <c r="G154" s="2979" t="e">
        <f t="shared" si="41"/>
        <v>#DIV/0!</v>
      </c>
      <c r="H154" s="3537">
        <f>HLOOKUP($D154,'Rent Adjustments 2'!$G$8:$WP$146,14,FALSE)</f>
        <v>0</v>
      </c>
      <c r="I154" s="1265" t="e">
        <f t="shared" si="42"/>
        <v>#DIV/0!</v>
      </c>
      <c r="J154" s="258"/>
      <c r="K154" s="5"/>
      <c r="L154" s="228"/>
    </row>
    <row r="155" spans="1:14" hidden="1" x14ac:dyDescent="0.25">
      <c r="A155" s="41">
        <f t="shared" si="40"/>
        <v>0</v>
      </c>
      <c r="B155" s="4"/>
      <c r="C155" s="258"/>
      <c r="D155" s="3535">
        <f t="shared" si="43"/>
        <v>4</v>
      </c>
      <c r="E155" s="3536">
        <f>HLOOKUP($D155,'Rent Adjustments 2'!$G$8:$WP$146,118,FALSE)</f>
        <v>0</v>
      </c>
      <c r="F155" s="1340">
        <f>HLOOKUP($D155,'Rent Summary Detail'!$P$49:$AD$88,39,FALSE)</f>
        <v>0</v>
      </c>
      <c r="G155" s="2979" t="e">
        <f t="shared" si="41"/>
        <v>#DIV/0!</v>
      </c>
      <c r="H155" s="3537">
        <f>HLOOKUP($D155,'Rent Adjustments 2'!$G$8:$WP$146,14,FALSE)</f>
        <v>0</v>
      </c>
      <c r="I155" s="1265" t="e">
        <f t="shared" si="42"/>
        <v>#DIV/0!</v>
      </c>
      <c r="J155" s="258"/>
      <c r="K155" s="5"/>
      <c r="L155" s="228"/>
    </row>
    <row r="156" spans="1:14" hidden="1" x14ac:dyDescent="0.25">
      <c r="A156" s="41">
        <f t="shared" si="40"/>
        <v>0</v>
      </c>
      <c r="B156" s="4"/>
      <c r="C156" s="258"/>
      <c r="D156" s="3535">
        <f t="shared" si="43"/>
        <v>5</v>
      </c>
      <c r="E156" s="3536">
        <f>HLOOKUP($D156,'Rent Adjustments 2'!$G$8:$WP$146,118,FALSE)</f>
        <v>0</v>
      </c>
      <c r="F156" s="1340">
        <f>HLOOKUP($D156,'Rent Summary Detail'!$P$49:$AD$88,39,FALSE)</f>
        <v>0</v>
      </c>
      <c r="G156" s="2979" t="e">
        <f t="shared" si="41"/>
        <v>#DIV/0!</v>
      </c>
      <c r="H156" s="3537">
        <f>HLOOKUP($D156,'Rent Adjustments 2'!$G$8:$WP$146,14,FALSE)</f>
        <v>0</v>
      </c>
      <c r="I156" s="1265" t="e">
        <f t="shared" si="42"/>
        <v>#DIV/0!</v>
      </c>
      <c r="J156" s="258"/>
      <c r="K156" s="5"/>
      <c r="L156" s="228"/>
    </row>
    <row r="157" spans="1:14" hidden="1" x14ac:dyDescent="0.25">
      <c r="A157" s="41">
        <f t="shared" si="40"/>
        <v>0</v>
      </c>
      <c r="B157" s="4"/>
      <c r="C157" s="258"/>
      <c r="D157" s="3535">
        <f t="shared" si="43"/>
        <v>6</v>
      </c>
      <c r="E157" s="3536">
        <f>HLOOKUP($D157,'Rent Adjustments 2'!$G$8:$WP$146,118,FALSE)</f>
        <v>0</v>
      </c>
      <c r="F157" s="1340">
        <f>HLOOKUP($D157,'Rent Summary Detail'!$P$49:$AD$88,39,FALSE)</f>
        <v>0</v>
      </c>
      <c r="G157" s="2979" t="e">
        <f t="shared" si="41"/>
        <v>#DIV/0!</v>
      </c>
      <c r="H157" s="3537">
        <f>HLOOKUP($D157,'Rent Adjustments 2'!$G$8:$WP$146,14,FALSE)</f>
        <v>0</v>
      </c>
      <c r="I157" s="1265" t="e">
        <f t="shared" si="42"/>
        <v>#DIV/0!</v>
      </c>
      <c r="J157" s="258"/>
      <c r="K157" s="5"/>
      <c r="L157" s="228"/>
    </row>
    <row r="158" spans="1:14" hidden="1" x14ac:dyDescent="0.25">
      <c r="A158" s="41">
        <f t="shared" si="40"/>
        <v>0</v>
      </c>
      <c r="B158" s="4"/>
      <c r="C158" s="258"/>
      <c r="D158" s="3535">
        <f t="shared" si="43"/>
        <v>7</v>
      </c>
      <c r="E158" s="3536" t="e">
        <f>HLOOKUP($D158,'Rent Adjustments 2'!$G$8:$WP$146,118,FALSE)</f>
        <v>#N/A</v>
      </c>
      <c r="F158" s="1340" t="e">
        <f>HLOOKUP($D158,'Rent Summary Detail'!$P$49:$AD$88,39,FALSE)</f>
        <v>#N/A</v>
      </c>
      <c r="G158" s="2979" t="e">
        <f t="shared" si="41"/>
        <v>#N/A</v>
      </c>
      <c r="H158" s="3537" t="e">
        <f>HLOOKUP($D158,'Rent Adjustments 2'!$G$8:$WP$146,14,FALSE)</f>
        <v>#N/A</v>
      </c>
      <c r="I158" s="1265" t="e">
        <f t="shared" si="42"/>
        <v>#N/A</v>
      </c>
      <c r="J158" s="258"/>
      <c r="K158" s="5"/>
      <c r="L158" s="228"/>
    </row>
    <row r="159" spans="1:14" hidden="1" x14ac:dyDescent="0.25">
      <c r="A159" s="41">
        <f t="shared" si="40"/>
        <v>0</v>
      </c>
      <c r="B159" s="4"/>
      <c r="C159" s="258"/>
      <c r="D159" s="3535">
        <f t="shared" si="43"/>
        <v>8</v>
      </c>
      <c r="E159" s="3536" t="e">
        <f>HLOOKUP($D159,'Rent Adjustments 2'!$G$8:$WP$146,118,FALSE)</f>
        <v>#N/A</v>
      </c>
      <c r="F159" s="1340" t="e">
        <f>HLOOKUP($D159,'Rent Summary Detail'!$P$49:$AD$88,39,FALSE)</f>
        <v>#N/A</v>
      </c>
      <c r="G159" s="2979" t="e">
        <f t="shared" si="41"/>
        <v>#N/A</v>
      </c>
      <c r="H159" s="3537" t="e">
        <f>HLOOKUP($D159,'Rent Adjustments 2'!$G$8:$WP$146,14,FALSE)</f>
        <v>#N/A</v>
      </c>
      <c r="I159" s="1265" t="e">
        <f t="shared" si="42"/>
        <v>#N/A</v>
      </c>
      <c r="J159" s="258"/>
      <c r="K159" s="5"/>
      <c r="L159" s="228"/>
    </row>
    <row r="160" spans="1:14" hidden="1" x14ac:dyDescent="0.25">
      <c r="A160" s="41">
        <f t="shared" si="40"/>
        <v>0</v>
      </c>
      <c r="B160" s="4"/>
      <c r="C160" s="258"/>
      <c r="D160" s="3535">
        <f t="shared" si="43"/>
        <v>9</v>
      </c>
      <c r="E160" s="3536" t="e">
        <f>HLOOKUP($D160,'Rent Adjustments 2'!$G$8:$WP$146,118,FALSE)</f>
        <v>#N/A</v>
      </c>
      <c r="F160" s="1340" t="e">
        <f>HLOOKUP($D160,'Rent Summary Detail'!$P$49:$AD$88,39,FALSE)</f>
        <v>#N/A</v>
      </c>
      <c r="G160" s="2979" t="e">
        <f t="shared" si="41"/>
        <v>#N/A</v>
      </c>
      <c r="H160" s="3537" t="e">
        <f>HLOOKUP($D160,'Rent Adjustments 2'!$G$8:$WP$146,14,FALSE)</f>
        <v>#N/A</v>
      </c>
      <c r="I160" s="1265" t="e">
        <f t="shared" si="42"/>
        <v>#N/A</v>
      </c>
      <c r="J160" s="258"/>
      <c r="K160" s="5"/>
      <c r="L160" s="228"/>
    </row>
    <row r="161" spans="1:12" hidden="1" x14ac:dyDescent="0.25">
      <c r="A161" s="41">
        <f t="shared" si="40"/>
        <v>0</v>
      </c>
      <c r="B161" s="4"/>
      <c r="C161" s="258"/>
      <c r="D161" s="3535">
        <f t="shared" si="43"/>
        <v>10</v>
      </c>
      <c r="E161" s="3536" t="e">
        <f>HLOOKUP($D161,'Rent Adjustments 2'!$G$8:$WP$146,118,FALSE)</f>
        <v>#N/A</v>
      </c>
      <c r="F161" s="1340" t="e">
        <f>HLOOKUP($D161,'Rent Summary Detail'!$P$49:$AD$88,39,FALSE)</f>
        <v>#N/A</v>
      </c>
      <c r="G161" s="2979" t="e">
        <f t="shared" si="41"/>
        <v>#N/A</v>
      </c>
      <c r="H161" s="3537" t="e">
        <f>HLOOKUP($D161,'Rent Adjustments 2'!$G$8:$WP$146,14,FALSE)</f>
        <v>#N/A</v>
      </c>
      <c r="I161" s="1265" t="e">
        <f t="shared" si="42"/>
        <v>#N/A</v>
      </c>
      <c r="J161" s="258"/>
      <c r="K161" s="5"/>
      <c r="L161" s="228"/>
    </row>
    <row r="162" spans="1:12" hidden="1" x14ac:dyDescent="0.25">
      <c r="A162" s="41">
        <f t="shared" si="40"/>
        <v>0</v>
      </c>
      <c r="B162" s="4"/>
      <c r="C162" s="258"/>
      <c r="D162" s="3535">
        <f t="shared" si="43"/>
        <v>11</v>
      </c>
      <c r="E162" s="3536" t="e">
        <f>HLOOKUP($D162,'Rent Adjustments 2'!$G$8:$WP$146,118,FALSE)</f>
        <v>#N/A</v>
      </c>
      <c r="F162" s="1340" t="e">
        <f>HLOOKUP($D162,'Rent Summary Detail'!$P$49:$AD$88,39,FALSE)</f>
        <v>#N/A</v>
      </c>
      <c r="G162" s="2979" t="e">
        <f t="shared" si="41"/>
        <v>#N/A</v>
      </c>
      <c r="H162" s="3537" t="e">
        <f>HLOOKUP($D162,'Rent Adjustments 2'!$G$8:$WP$146,14,FALSE)</f>
        <v>#N/A</v>
      </c>
      <c r="I162" s="1265" t="e">
        <f t="shared" si="42"/>
        <v>#N/A</v>
      </c>
      <c r="J162" s="258"/>
      <c r="K162" s="5"/>
      <c r="L162" s="228"/>
    </row>
    <row r="163" spans="1:12" hidden="1" x14ac:dyDescent="0.25">
      <c r="A163" s="41">
        <f t="shared" si="40"/>
        <v>0</v>
      </c>
      <c r="B163" s="4"/>
      <c r="C163" s="258"/>
      <c r="D163" s="3535">
        <f t="shared" si="43"/>
        <v>12</v>
      </c>
      <c r="E163" s="3536" t="e">
        <f>HLOOKUP($D163,'Rent Adjustments 2'!$G$8:$WP$146,118,FALSE)</f>
        <v>#N/A</v>
      </c>
      <c r="F163" s="1340" t="e">
        <f>HLOOKUP($D163,'Rent Summary Detail'!$P$49:$AD$88,39,FALSE)</f>
        <v>#N/A</v>
      </c>
      <c r="G163" s="2979" t="e">
        <f t="shared" si="41"/>
        <v>#N/A</v>
      </c>
      <c r="H163" s="3537" t="e">
        <f>HLOOKUP($D163,'Rent Adjustments 2'!$G$8:$WP$146,14,FALSE)</f>
        <v>#N/A</v>
      </c>
      <c r="I163" s="1265" t="e">
        <f t="shared" si="42"/>
        <v>#N/A</v>
      </c>
      <c r="J163" s="258"/>
      <c r="K163" s="5"/>
      <c r="L163" s="228"/>
    </row>
    <row r="164" spans="1:12" hidden="1" x14ac:dyDescent="0.25">
      <c r="A164" s="41">
        <f t="shared" si="40"/>
        <v>0</v>
      </c>
      <c r="B164" s="4"/>
      <c r="C164" s="258"/>
      <c r="D164" s="3535">
        <f t="shared" si="43"/>
        <v>13</v>
      </c>
      <c r="E164" s="3536" t="e">
        <f>HLOOKUP($D164,'Rent Adjustments 2'!$G$8:$WP$146,118,FALSE)</f>
        <v>#N/A</v>
      </c>
      <c r="F164" s="1340" t="e">
        <f>HLOOKUP($D164,'Rent Summary Detail'!$P$49:$AD$88,39,FALSE)</f>
        <v>#N/A</v>
      </c>
      <c r="G164" s="2979" t="e">
        <f t="shared" si="41"/>
        <v>#N/A</v>
      </c>
      <c r="H164" s="3537" t="e">
        <f>HLOOKUP($D164,'Rent Adjustments 2'!$G$8:$WP$146,14,FALSE)</f>
        <v>#N/A</v>
      </c>
      <c r="I164" s="1265" t="e">
        <f t="shared" si="42"/>
        <v>#N/A</v>
      </c>
      <c r="J164" s="258"/>
      <c r="K164" s="5"/>
      <c r="L164" s="228"/>
    </row>
    <row r="165" spans="1:12" hidden="1" x14ac:dyDescent="0.25">
      <c r="A165" s="41">
        <f t="shared" si="40"/>
        <v>0</v>
      </c>
      <c r="B165" s="4"/>
      <c r="C165" s="258"/>
      <c r="D165" s="3535">
        <f t="shared" si="43"/>
        <v>14</v>
      </c>
      <c r="E165" s="3536" t="e">
        <f>HLOOKUP($D165,'Rent Adjustments 2'!$G$8:$WP$146,118,FALSE)</f>
        <v>#N/A</v>
      </c>
      <c r="F165" s="1340" t="e">
        <f>HLOOKUP($D165,'Rent Summary Detail'!$P$49:$AD$88,39,FALSE)</f>
        <v>#N/A</v>
      </c>
      <c r="G165" s="2979" t="e">
        <f t="shared" si="41"/>
        <v>#N/A</v>
      </c>
      <c r="H165" s="3537" t="e">
        <f>HLOOKUP($D165,'Rent Adjustments 2'!$G$8:$WP$146,14,FALSE)</f>
        <v>#N/A</v>
      </c>
      <c r="I165" s="1265" t="e">
        <f t="shared" si="42"/>
        <v>#N/A</v>
      </c>
      <c r="J165" s="258"/>
      <c r="K165" s="5"/>
      <c r="L165" s="228"/>
    </row>
    <row r="166" spans="1:12" ht="15" hidden="1" thickBot="1" x14ac:dyDescent="0.3">
      <c r="A166" s="41">
        <f t="shared" si="40"/>
        <v>0</v>
      </c>
      <c r="B166" s="4"/>
      <c r="C166" s="258"/>
      <c r="D166" s="3535">
        <f t="shared" si="43"/>
        <v>15</v>
      </c>
      <c r="E166" s="3536" t="e">
        <f>HLOOKUP($D166,'Rent Adjustments 2'!$G$8:$WP$146,118,FALSE)</f>
        <v>#N/A</v>
      </c>
      <c r="F166" s="1340" t="e">
        <f>HLOOKUP($D166,'Rent Summary Detail'!$P$49:$AD$88,39,FALSE)</f>
        <v>#N/A</v>
      </c>
      <c r="G166" s="2979" t="e">
        <f t="shared" si="41"/>
        <v>#N/A</v>
      </c>
      <c r="H166" s="3537" t="e">
        <f>HLOOKUP($D166,'Rent Adjustments 2'!$G$8:$WP$146,14,FALSE)</f>
        <v>#N/A</v>
      </c>
      <c r="I166" s="1265" t="e">
        <f t="shared" si="42"/>
        <v>#N/A</v>
      </c>
      <c r="J166" s="258"/>
      <c r="K166" s="5"/>
      <c r="L166" s="228"/>
    </row>
    <row r="167" spans="1:12" ht="15" hidden="1" thickBot="1" x14ac:dyDescent="0.3">
      <c r="A167" s="41">
        <f>IF(RentAdjustmentGrid="Buckets",1,0)</f>
        <v>0</v>
      </c>
      <c r="B167" s="8"/>
      <c r="C167" s="7"/>
      <c r="D167" s="555" t="s">
        <v>1441</v>
      </c>
      <c r="E167" s="133"/>
      <c r="F167" s="133"/>
      <c r="G167" s="133"/>
      <c r="H167" s="133"/>
      <c r="I167" s="133"/>
      <c r="J167" s="7"/>
      <c r="K167" s="7"/>
      <c r="L167" s="228"/>
    </row>
    <row r="168" spans="1:12" x14ac:dyDescent="0.25">
      <c r="A168" s="41"/>
      <c r="B168" s="234"/>
      <c r="C168" s="234"/>
      <c r="D168" s="1392"/>
      <c r="E168" s="234"/>
      <c r="F168" s="234"/>
      <c r="G168" s="234"/>
      <c r="H168" s="234"/>
      <c r="I168" s="234"/>
      <c r="J168" s="234"/>
      <c r="K168" s="234"/>
    </row>
  </sheetData>
  <mergeCells count="122">
    <mergeCell ref="D18:E18"/>
    <mergeCell ref="D24:E24"/>
    <mergeCell ref="D25:E25"/>
    <mergeCell ref="D26:E26"/>
    <mergeCell ref="F7:F8"/>
    <mergeCell ref="O39:O43"/>
    <mergeCell ref="M9:N13"/>
    <mergeCell ref="M14:N18"/>
    <mergeCell ref="M24:N28"/>
    <mergeCell ref="M29:N33"/>
    <mergeCell ref="M34:N38"/>
    <mergeCell ref="M39:N43"/>
    <mergeCell ref="G39:G43"/>
    <mergeCell ref="G9:G13"/>
    <mergeCell ref="G14:G18"/>
    <mergeCell ref="G24:G28"/>
    <mergeCell ref="D27:E27"/>
    <mergeCell ref="D28:E28"/>
    <mergeCell ref="D41:E41"/>
    <mergeCell ref="D42:E42"/>
    <mergeCell ref="D43:E43"/>
    <mergeCell ref="D35:E35"/>
    <mergeCell ref="D36:E36"/>
    <mergeCell ref="D37:E37"/>
    <mergeCell ref="D38:E38"/>
    <mergeCell ref="D39:E39"/>
    <mergeCell ref="D40:E40"/>
    <mergeCell ref="D29:E29"/>
    <mergeCell ref="D30:E30"/>
    <mergeCell ref="D31:E31"/>
    <mergeCell ref="D32:E32"/>
    <mergeCell ref="D33:E33"/>
    <mergeCell ref="D34:E34"/>
    <mergeCell ref="U7:U8"/>
    <mergeCell ref="V7:V8"/>
    <mergeCell ref="H9:K13"/>
    <mergeCell ref="H14:K18"/>
    <mergeCell ref="H24:K28"/>
    <mergeCell ref="H29:K33"/>
    <mergeCell ref="H34:K38"/>
    <mergeCell ref="H8:K8"/>
    <mergeCell ref="M8:N8"/>
    <mergeCell ref="P8:Q8"/>
    <mergeCell ref="O9:O13"/>
    <mergeCell ref="O14:O18"/>
    <mergeCell ref="O24:O28"/>
    <mergeCell ref="L7:P7"/>
    <mergeCell ref="O29:O33"/>
    <mergeCell ref="O34:O38"/>
    <mergeCell ref="K146:L146"/>
    <mergeCell ref="K145:L145"/>
    <mergeCell ref="K144:L144"/>
    <mergeCell ref="K143:L143"/>
    <mergeCell ref="K142:L142"/>
    <mergeCell ref="K141:L141"/>
    <mergeCell ref="K140:L140"/>
    <mergeCell ref="K139:L139"/>
    <mergeCell ref="K138:L138"/>
    <mergeCell ref="K137:L137"/>
    <mergeCell ref="K136:L136"/>
    <mergeCell ref="K135:L135"/>
    <mergeCell ref="K93:L93"/>
    <mergeCell ref="K92:L92"/>
    <mergeCell ref="K134:L134"/>
    <mergeCell ref="K133:L133"/>
    <mergeCell ref="K132:L132"/>
    <mergeCell ref="K131:L131"/>
    <mergeCell ref="K130:L130"/>
    <mergeCell ref="K99:L99"/>
    <mergeCell ref="K98:L98"/>
    <mergeCell ref="K97:L97"/>
    <mergeCell ref="K96:L96"/>
    <mergeCell ref="K95:L95"/>
    <mergeCell ref="K94:L94"/>
    <mergeCell ref="K105:L105"/>
    <mergeCell ref="K104:L104"/>
    <mergeCell ref="K103:L103"/>
    <mergeCell ref="K102:L102"/>
    <mergeCell ref="K101:L101"/>
    <mergeCell ref="K100:L100"/>
    <mergeCell ref="K91:L91"/>
    <mergeCell ref="K90:L90"/>
    <mergeCell ref="K89:L89"/>
    <mergeCell ref="K59:L59"/>
    <mergeCell ref="K58:L58"/>
    <mergeCell ref="K57:L57"/>
    <mergeCell ref="K56:L56"/>
    <mergeCell ref="K55:L55"/>
    <mergeCell ref="K54:L54"/>
    <mergeCell ref="D8:E8"/>
    <mergeCell ref="K48:L48"/>
    <mergeCell ref="K49:L49"/>
    <mergeCell ref="K64:L64"/>
    <mergeCell ref="K63:L63"/>
    <mergeCell ref="K62:L62"/>
    <mergeCell ref="K61:L61"/>
    <mergeCell ref="K60:L60"/>
    <mergeCell ref="K53:L53"/>
    <mergeCell ref="K52:L52"/>
    <mergeCell ref="K51:L51"/>
    <mergeCell ref="K50:L50"/>
    <mergeCell ref="H39:K43"/>
    <mergeCell ref="D9:E9"/>
    <mergeCell ref="D10:E10"/>
    <mergeCell ref="D11:E11"/>
    <mergeCell ref="D12:E12"/>
    <mergeCell ref="D13:E13"/>
    <mergeCell ref="D14:E14"/>
    <mergeCell ref="D15:E15"/>
    <mergeCell ref="D16:E16"/>
    <mergeCell ref="D17:E17"/>
    <mergeCell ref="G29:G33"/>
    <mergeCell ref="G34:G38"/>
    <mergeCell ref="D19:E19"/>
    <mergeCell ref="G19:G23"/>
    <mergeCell ref="H19:K23"/>
    <mergeCell ref="M19:N23"/>
    <mergeCell ref="O19:O23"/>
    <mergeCell ref="D20:E20"/>
    <mergeCell ref="D21:E21"/>
    <mergeCell ref="D22:E22"/>
    <mergeCell ref="D23:E23"/>
  </mergeCells>
  <printOptions horizontalCentered="1"/>
  <pageMargins left="0.5" right="0.5" top="0.75" bottom="0.75" header="0.3" footer="0.3"/>
  <pageSetup orientation="portrait" horizontalDpi="1200" verticalDpi="1200" r:id="rId1"/>
  <drawing r:id="rId2"/>
  <legacyDrawing r:id="rId3"/>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6" filterMode="1">
    <tabColor theme="5" tint="-0.249977111117893"/>
    <pageSetUpPr fitToPage="1"/>
  </sheetPr>
  <dimension ref="A1:T172"/>
  <sheetViews>
    <sheetView zoomScaleNormal="100" workbookViewId="0">
      <selection activeCell="F2" sqref="F2"/>
    </sheetView>
  </sheetViews>
  <sheetFormatPr defaultColWidth="8.85546875" defaultRowHeight="14.25" x14ac:dyDescent="0.25"/>
  <cols>
    <col min="1" max="1" width="5.7109375" style="243" customWidth="1"/>
    <col min="2" max="2" width="1.7109375" style="11" customWidth="1"/>
    <col min="3" max="3" width="0.85546875" style="10" customWidth="1"/>
    <col min="4" max="4" width="23.7109375" style="10" customWidth="1"/>
    <col min="5" max="5" width="8.7109375" style="10" customWidth="1"/>
    <col min="6" max="6" width="16.28515625" style="13" customWidth="1"/>
    <col min="7" max="9" width="16.28515625" style="1774" customWidth="1"/>
    <col min="10" max="10" width="16.28515625" style="1943" customWidth="1"/>
    <col min="11" max="11" width="0.85546875" style="10" customWidth="1"/>
    <col min="12" max="13" width="1.7109375" style="10" customWidth="1"/>
    <col min="14" max="14" width="0.85546875" style="10" customWidth="1"/>
    <col min="15" max="15" width="30.7109375" style="10" customWidth="1"/>
    <col min="16" max="16" width="15.7109375" style="10" customWidth="1"/>
    <col min="17" max="18" width="17.7109375" style="10" customWidth="1"/>
    <col min="19" max="19" width="0.85546875" style="10" customWidth="1"/>
    <col min="20" max="20" width="1.7109375" style="10" customWidth="1"/>
    <col min="21" max="21" width="5.7109375" style="10" customWidth="1"/>
    <col min="22" max="22" width="1.7109375" style="10" customWidth="1"/>
    <col min="23" max="23" width="0.85546875" style="10" customWidth="1"/>
    <col min="24" max="24" width="30.7109375" style="10" customWidth="1"/>
    <col min="25" max="25" width="15.7109375" style="10" customWidth="1"/>
    <col min="26" max="27" width="17.7109375" style="10" customWidth="1"/>
    <col min="28" max="28" width="0.85546875" style="10" customWidth="1"/>
    <col min="29" max="29" width="1.7109375" style="10" customWidth="1"/>
    <col min="30" max="16384" width="8.85546875" style="10"/>
  </cols>
  <sheetData>
    <row r="1" spans="1:16" ht="60" customHeight="1" x14ac:dyDescent="0.25"/>
    <row r="2" spans="1:16" ht="15.95" customHeight="1" x14ac:dyDescent="0.25">
      <c r="D2" s="569"/>
      <c r="E2" s="751"/>
      <c r="G2" s="1775"/>
    </row>
    <row r="3" spans="1:16" ht="15.95" customHeight="1" x14ac:dyDescent="0.25">
      <c r="D3" s="569"/>
      <c r="E3" s="751"/>
      <c r="G3" s="1776"/>
    </row>
    <row r="4" spans="1:16" ht="15.95" customHeight="1" x14ac:dyDescent="0.25">
      <c r="D4" s="569"/>
      <c r="E4" s="751"/>
      <c r="G4" s="1776"/>
    </row>
    <row r="5" spans="1:16" ht="15.95" customHeight="1" thickBot="1" x14ac:dyDescent="0.3">
      <c r="D5" s="1391"/>
      <c r="E5" s="1529"/>
      <c r="G5" s="1776"/>
    </row>
    <row r="6" spans="1:16" ht="17.100000000000001" customHeight="1" x14ac:dyDescent="0.25">
      <c r="B6" s="94"/>
      <c r="C6" s="72"/>
      <c r="D6" s="72"/>
      <c r="E6" s="72"/>
      <c r="F6" s="77"/>
      <c r="G6" s="1777"/>
      <c r="H6" s="1777"/>
      <c r="I6" s="1777"/>
      <c r="J6" s="1944"/>
      <c r="K6" s="2"/>
      <c r="L6" s="3"/>
    </row>
    <row r="7" spans="1:16" ht="16.5" x14ac:dyDescent="0.3">
      <c r="B7" s="16"/>
      <c r="C7" s="92"/>
      <c r="D7" s="3759" t="s">
        <v>1078</v>
      </c>
      <c r="E7" s="97"/>
      <c r="F7" s="34"/>
      <c r="G7" s="1778"/>
      <c r="H7" s="1778"/>
      <c r="I7" s="1778"/>
      <c r="J7" s="1945"/>
      <c r="K7" s="5"/>
      <c r="L7" s="6"/>
    </row>
    <row r="8" spans="1:16" ht="14.25" customHeight="1" x14ac:dyDescent="0.25">
      <c r="B8" s="16"/>
      <c r="C8" s="3760"/>
      <c r="D8" s="3761"/>
      <c r="E8" s="3761"/>
      <c r="F8" s="3761"/>
      <c r="G8" s="3762">
        <v>1</v>
      </c>
      <c r="H8" s="3762">
        <v>2</v>
      </c>
      <c r="I8" s="3762">
        <v>3</v>
      </c>
      <c r="J8" s="3763">
        <v>4</v>
      </c>
      <c r="K8" s="3764"/>
      <c r="L8" s="6"/>
      <c r="O8" s="633"/>
    </row>
    <row r="9" spans="1:16" ht="4.9000000000000004" customHeight="1" thickBot="1" x14ac:dyDescent="0.3">
      <c r="B9" s="16"/>
      <c r="C9" s="92"/>
      <c r="D9" s="92"/>
      <c r="E9" s="742"/>
      <c r="F9" s="517"/>
      <c r="G9" s="1783"/>
      <c r="H9" s="1783"/>
      <c r="I9" s="1783"/>
      <c r="J9" s="1002"/>
      <c r="K9" s="258"/>
      <c r="L9" s="6"/>
      <c r="O9" s="633"/>
    </row>
    <row r="10" spans="1:16" ht="15" hidden="1" thickBot="1" x14ac:dyDescent="0.3">
      <c r="B10" s="16"/>
      <c r="C10" s="92"/>
      <c r="D10" s="742" t="s">
        <v>281</v>
      </c>
      <c r="E10" s="742"/>
      <c r="F10" s="517"/>
      <c r="G10" s="3538">
        <v>677468</v>
      </c>
      <c r="H10" s="3538">
        <v>707996</v>
      </c>
      <c r="I10" s="3538">
        <v>680701</v>
      </c>
      <c r="J10" s="3539">
        <v>678041</v>
      </c>
      <c r="K10" s="258"/>
      <c r="L10" s="6"/>
      <c r="O10" s="150" t="s">
        <v>1352</v>
      </c>
    </row>
    <row r="11" spans="1:16" ht="15" thickBot="1" x14ac:dyDescent="0.3">
      <c r="A11" s="957">
        <v>1</v>
      </c>
      <c r="B11" s="16"/>
      <c r="C11" s="92"/>
      <c r="D11" s="4277" t="s">
        <v>1585</v>
      </c>
      <c r="E11" s="4277"/>
      <c r="F11" s="1048">
        <v>45473</v>
      </c>
      <c r="G11" s="3540">
        <v>45472</v>
      </c>
      <c r="H11" s="3540">
        <v>45337</v>
      </c>
      <c r="I11" s="3540">
        <v>45078</v>
      </c>
      <c r="J11" s="3541">
        <v>44708</v>
      </c>
      <c r="K11" s="258"/>
      <c r="L11" s="6"/>
      <c r="O11" s="706" t="s">
        <v>750</v>
      </c>
    </row>
    <row r="12" spans="1:16" hidden="1" x14ac:dyDescent="0.25">
      <c r="A12" s="972">
        <v>0</v>
      </c>
      <c r="B12" s="16"/>
      <c r="C12" s="92"/>
      <c r="D12" s="92"/>
      <c r="E12" s="2022" t="s">
        <v>299</v>
      </c>
      <c r="F12" s="517"/>
      <c r="G12" s="3542">
        <v>45326</v>
      </c>
      <c r="H12" s="3542">
        <v>45672</v>
      </c>
      <c r="I12" s="3542">
        <v>45358</v>
      </c>
      <c r="J12" s="3543">
        <v>45333</v>
      </c>
      <c r="K12" s="258"/>
      <c r="L12" s="6"/>
    </row>
    <row r="13" spans="1:16" hidden="1" x14ac:dyDescent="0.25">
      <c r="A13" s="972">
        <v>0</v>
      </c>
      <c r="B13" s="16"/>
      <c r="C13" s="92"/>
      <c r="D13" s="92"/>
      <c r="E13" s="2022" t="s">
        <v>750</v>
      </c>
      <c r="F13" s="517"/>
      <c r="G13" s="3542">
        <v>45100</v>
      </c>
      <c r="H13" s="3542">
        <v>45292</v>
      </c>
      <c r="I13" s="3542">
        <v>45201</v>
      </c>
      <c r="J13" s="3543">
        <v>44896</v>
      </c>
      <c r="K13" s="258"/>
      <c r="L13" s="6"/>
      <c r="O13" s="41"/>
    </row>
    <row r="14" spans="1:16" hidden="1" x14ac:dyDescent="0.25">
      <c r="A14" s="972">
        <v>0</v>
      </c>
      <c r="B14" s="16"/>
      <c r="C14" s="92"/>
      <c r="D14" s="92"/>
      <c r="E14" s="2022" t="s">
        <v>1269</v>
      </c>
      <c r="F14" s="517"/>
      <c r="G14" s="3542">
        <v>45100</v>
      </c>
      <c r="H14" s="3542">
        <v>45323</v>
      </c>
      <c r="I14" s="3542">
        <v>45231</v>
      </c>
      <c r="J14" s="3543">
        <v>44896</v>
      </c>
      <c r="K14" s="258"/>
      <c r="L14" s="6"/>
    </row>
    <row r="15" spans="1:16" x14ac:dyDescent="0.25">
      <c r="A15" s="972">
        <v>1</v>
      </c>
      <c r="B15" s="16"/>
      <c r="C15" s="92"/>
      <c r="D15" s="742" t="s">
        <v>0</v>
      </c>
      <c r="E15" s="742"/>
      <c r="F15" s="3503" t="s">
        <v>19963</v>
      </c>
      <c r="G15" s="1783" t="s">
        <v>19963</v>
      </c>
      <c r="H15" s="1783" t="s">
        <v>19963</v>
      </c>
      <c r="I15" s="1783" t="s">
        <v>19963</v>
      </c>
      <c r="J15" s="1002" t="s">
        <v>19963</v>
      </c>
      <c r="K15" s="258"/>
      <c r="L15" s="6"/>
      <c r="O15" s="150" t="s">
        <v>1021</v>
      </c>
    </row>
    <row r="16" spans="1:16" ht="29.25" hidden="1" thickBot="1" x14ac:dyDescent="0.3">
      <c r="A16" s="972">
        <f>IF(M16="Show",1,0)</f>
        <v>0</v>
      </c>
      <c r="B16" s="16"/>
      <c r="C16" s="92"/>
      <c r="D16" s="742" t="s">
        <v>400</v>
      </c>
      <c r="E16" s="742"/>
      <c r="F16" s="3503"/>
      <c r="G16" s="1783" t="s">
        <v>19947</v>
      </c>
      <c r="H16" s="1783" t="s">
        <v>19960</v>
      </c>
      <c r="I16" s="1783" t="s">
        <v>19961</v>
      </c>
      <c r="J16" s="1002" t="s">
        <v>19962</v>
      </c>
      <c r="K16" s="258"/>
      <c r="L16" s="6"/>
      <c r="O16" s="702" t="s">
        <v>1013</v>
      </c>
      <c r="P16" s="12"/>
    </row>
    <row r="17" spans="1:12" hidden="1" x14ac:dyDescent="0.25">
      <c r="A17" s="972">
        <v>0</v>
      </c>
      <c r="B17" s="16"/>
      <c r="C17" s="92"/>
      <c r="D17" s="742" t="s">
        <v>441</v>
      </c>
      <c r="E17" s="742"/>
      <c r="F17" s="3463">
        <v>157501</v>
      </c>
      <c r="G17" s="3544">
        <v>5390</v>
      </c>
      <c r="H17" s="3544">
        <v>16864</v>
      </c>
      <c r="I17" s="3544">
        <v>30120</v>
      </c>
      <c r="J17" s="3545">
        <v>22500</v>
      </c>
      <c r="K17" s="258"/>
      <c r="L17" s="6"/>
    </row>
    <row r="18" spans="1:12" hidden="1" x14ac:dyDescent="0.25">
      <c r="A18" s="972">
        <v>0</v>
      </c>
      <c r="B18" s="16"/>
      <c r="C18" s="92"/>
      <c r="D18" s="742" t="s">
        <v>1067</v>
      </c>
      <c r="E18" s="742"/>
      <c r="F18" s="1663">
        <f>Subject_LandPrimary_UsableAcres</f>
        <v>0.99173553719008267</v>
      </c>
      <c r="G18" s="1783"/>
      <c r="H18" s="1783">
        <v>1.98689</v>
      </c>
      <c r="I18" s="1783">
        <v>3.1758999999999999</v>
      </c>
      <c r="J18" s="1002">
        <v>1.6729799999999999</v>
      </c>
      <c r="K18" s="258"/>
      <c r="L18" s="6"/>
    </row>
    <row r="19" spans="1:12" hidden="1" x14ac:dyDescent="0.25">
      <c r="A19" s="972">
        <f>IF(D19="",0,1)</f>
        <v>0</v>
      </c>
      <c r="B19" s="16"/>
      <c r="C19" s="92"/>
      <c r="D19" s="742"/>
      <c r="E19" s="742"/>
      <c r="F19" s="517"/>
      <c r="G19" s="1783"/>
      <c r="H19" s="1783"/>
      <c r="I19" s="1783"/>
      <c r="J19" s="1002"/>
      <c r="K19" s="258"/>
      <c r="L19" s="6"/>
    </row>
    <row r="20" spans="1:12" hidden="1" x14ac:dyDescent="0.25">
      <c r="A20" s="972">
        <f>IF(D20="",0,1)</f>
        <v>0</v>
      </c>
      <c r="B20" s="16"/>
      <c r="C20" s="92"/>
      <c r="D20" s="742"/>
      <c r="E20" s="742"/>
      <c r="F20" s="517"/>
      <c r="G20" s="1783"/>
      <c r="H20" s="1783"/>
      <c r="I20" s="1783"/>
      <c r="J20" s="1002"/>
      <c r="K20" s="258"/>
      <c r="L20" s="6"/>
    </row>
    <row r="21" spans="1:12" x14ac:dyDescent="0.25">
      <c r="A21" s="972">
        <v>1</v>
      </c>
      <c r="B21" s="16"/>
      <c r="C21" s="92"/>
      <c r="D21" s="3268" t="str">
        <f>IF(dpIncome_RentUnitDisplay="Annual","Annual Rental Rate","Monthly Rental Rate")</f>
        <v>Annual Rental Rate</v>
      </c>
      <c r="E21" s="742"/>
      <c r="F21" s="517"/>
      <c r="G21" s="3513">
        <v>12.75</v>
      </c>
      <c r="H21" s="3513">
        <v>10.5</v>
      </c>
      <c r="I21" s="3513">
        <v>11</v>
      </c>
      <c r="J21" s="3514">
        <v>10</v>
      </c>
      <c r="K21" s="258"/>
      <c r="L21" s="6"/>
    </row>
    <row r="22" spans="1:12" hidden="1" x14ac:dyDescent="0.25">
      <c r="A22" s="972">
        <v>0</v>
      </c>
      <c r="B22" s="16"/>
      <c r="C22" s="92"/>
      <c r="D22" s="92"/>
      <c r="E22" s="742"/>
      <c r="F22" s="2022" t="s">
        <v>1267</v>
      </c>
      <c r="G22" s="3546">
        <v>25.97</v>
      </c>
      <c r="H22" s="3546">
        <v>34.1</v>
      </c>
      <c r="I22" s="3546">
        <v>22</v>
      </c>
      <c r="J22" s="3753"/>
      <c r="K22" s="258"/>
      <c r="L22" s="6"/>
    </row>
    <row r="23" spans="1:12" hidden="1" x14ac:dyDescent="0.25">
      <c r="A23" s="972">
        <v>0</v>
      </c>
      <c r="B23" s="16"/>
      <c r="C23" s="92"/>
      <c r="D23" s="92"/>
      <c r="E23" s="742"/>
      <c r="F23" s="2022" t="s">
        <v>1268</v>
      </c>
      <c r="G23" s="3546">
        <v>25.97</v>
      </c>
      <c r="H23" s="3546">
        <v>34.1</v>
      </c>
      <c r="I23" s="3546">
        <v>22</v>
      </c>
      <c r="J23" s="3753">
        <v>25</v>
      </c>
      <c r="K23" s="258"/>
      <c r="L23" s="6"/>
    </row>
    <row r="24" spans="1:12" hidden="1" x14ac:dyDescent="0.25">
      <c r="A24" s="972">
        <v>0</v>
      </c>
      <c r="B24" s="16"/>
      <c r="C24" s="92"/>
      <c r="D24" s="92"/>
      <c r="E24" s="742"/>
      <c r="F24" s="2022" t="s">
        <v>690</v>
      </c>
      <c r="G24" s="3546"/>
      <c r="H24" s="3546"/>
      <c r="I24" s="3546"/>
      <c r="J24" s="3753"/>
      <c r="K24" s="258"/>
      <c r="L24" s="6"/>
    </row>
    <row r="25" spans="1:12" ht="4.9000000000000004" customHeight="1" x14ac:dyDescent="0.25">
      <c r="A25" s="972">
        <v>1</v>
      </c>
      <c r="B25" s="16"/>
      <c r="C25" s="92"/>
      <c r="D25" s="92"/>
      <c r="E25" s="742"/>
      <c r="F25" s="517"/>
      <c r="G25" s="3549"/>
      <c r="H25" s="3549"/>
      <c r="I25" s="3549"/>
      <c r="J25" s="3754"/>
      <c r="K25" s="258"/>
      <c r="L25" s="6"/>
    </row>
    <row r="26" spans="1:12" x14ac:dyDescent="0.25">
      <c r="A26" s="972">
        <v>1</v>
      </c>
      <c r="B26" s="16"/>
      <c r="C26" s="92"/>
      <c r="D26" s="3268" t="s">
        <v>161</v>
      </c>
      <c r="E26" s="3268"/>
      <c r="F26" s="517"/>
      <c r="G26" s="3501"/>
      <c r="H26" s="3501"/>
      <c r="I26" s="3501"/>
      <c r="J26" s="3502"/>
      <c r="K26" s="258"/>
      <c r="L26" s="6"/>
    </row>
    <row r="27" spans="1:12" x14ac:dyDescent="0.25">
      <c r="A27" s="972">
        <v>1</v>
      </c>
      <c r="B27" s="16"/>
      <c r="C27" s="92"/>
      <c r="D27" s="1493" t="s">
        <v>296</v>
      </c>
      <c r="E27" s="2022"/>
      <c r="F27" s="3550" t="str">
        <f>dpIncome_MarketRent_LeaseStructure</f>
        <v>Triple Net</v>
      </c>
      <c r="G27" s="1831" t="s">
        <v>290</v>
      </c>
      <c r="H27" s="1831" t="s">
        <v>290</v>
      </c>
      <c r="I27" s="1831" t="s">
        <v>290</v>
      </c>
      <c r="J27" s="1006" t="s">
        <v>290</v>
      </c>
      <c r="K27" s="258"/>
      <c r="L27" s="6"/>
    </row>
    <row r="28" spans="1:12" hidden="1" x14ac:dyDescent="0.25">
      <c r="A28" s="972">
        <v>0</v>
      </c>
      <c r="B28" s="16"/>
      <c r="C28" s="92"/>
      <c r="D28" s="3292"/>
      <c r="E28" s="2022"/>
      <c r="F28" s="3550" t="str">
        <f>IF(dpIncome_RentUnitDisplay="Annual","Annual Expenses (PSF)","Monthly Expenses (PSF)")</f>
        <v>Annual Expenses (PSF)</v>
      </c>
      <c r="G28" s="3551">
        <f t="shared" ref="G28:J28" si="0">IF(dpIncome_RentUnitDisplay="Annual",G29,G29/12)</f>
        <v>0</v>
      </c>
      <c r="H28" s="3551">
        <f t="shared" si="0"/>
        <v>0</v>
      </c>
      <c r="I28" s="3551">
        <f t="shared" si="0"/>
        <v>0</v>
      </c>
      <c r="J28" s="3552">
        <f t="shared" si="0"/>
        <v>7.87</v>
      </c>
      <c r="K28" s="258"/>
      <c r="L28" s="6"/>
    </row>
    <row r="29" spans="1:12" hidden="1" x14ac:dyDescent="0.25">
      <c r="A29" s="972">
        <v>0</v>
      </c>
      <c r="B29" s="16"/>
      <c r="C29" s="92"/>
      <c r="D29" s="3292"/>
      <c r="E29" s="2022"/>
      <c r="F29" s="2022" t="s">
        <v>300</v>
      </c>
      <c r="G29" s="3547"/>
      <c r="H29" s="3547"/>
      <c r="I29" s="3547"/>
      <c r="J29" s="3548">
        <v>7.87</v>
      </c>
      <c r="K29" s="258"/>
      <c r="L29" s="6"/>
    </row>
    <row r="30" spans="1:12" x14ac:dyDescent="0.25">
      <c r="A30" s="972">
        <f>IF(SUM(Rent_ExpenseReimbursementRange)=0,0,1)</f>
        <v>1</v>
      </c>
      <c r="B30" s="16"/>
      <c r="C30" s="92"/>
      <c r="D30" s="3504" t="s">
        <v>174</v>
      </c>
      <c r="E30" s="527"/>
      <c r="F30" s="517"/>
      <c r="G30" s="3547">
        <f t="shared" ref="G30:J30" si="1">G31</f>
        <v>5</v>
      </c>
      <c r="H30" s="3547">
        <f t="shared" si="1"/>
        <v>5</v>
      </c>
      <c r="I30" s="3547">
        <f t="shared" si="1"/>
        <v>5</v>
      </c>
      <c r="J30" s="3548">
        <f t="shared" si="1"/>
        <v>5</v>
      </c>
      <c r="K30" s="258"/>
      <c r="L30" s="6"/>
    </row>
    <row r="31" spans="1:12" hidden="1" x14ac:dyDescent="0.25">
      <c r="A31" s="972">
        <v>0</v>
      </c>
      <c r="B31" s="16"/>
      <c r="C31" s="92"/>
      <c r="D31" s="3287"/>
      <c r="E31" s="3553"/>
      <c r="F31" s="2022" t="s">
        <v>710</v>
      </c>
      <c r="G31" s="1791">
        <v>5</v>
      </c>
      <c r="H31" s="1791">
        <v>5</v>
      </c>
      <c r="I31" s="1791">
        <v>5</v>
      </c>
      <c r="J31" s="1953">
        <v>5</v>
      </c>
      <c r="K31" s="258"/>
      <c r="L31" s="6"/>
    </row>
    <row r="32" spans="1:12" ht="8.1" hidden="1" customHeight="1" x14ac:dyDescent="0.25">
      <c r="A32" s="972">
        <v>0</v>
      </c>
      <c r="B32" s="16"/>
      <c r="C32" s="92"/>
      <c r="D32" s="3292"/>
      <c r="E32" s="527"/>
      <c r="F32" s="517"/>
      <c r="G32" s="3549"/>
      <c r="H32" s="3549"/>
      <c r="I32" s="3549"/>
      <c r="J32" s="3754"/>
      <c r="K32" s="258"/>
      <c r="L32" s="6"/>
    </row>
    <row r="33" spans="1:12" x14ac:dyDescent="0.25">
      <c r="A33" s="972">
        <v>1</v>
      </c>
      <c r="B33" s="16"/>
      <c r="C33" s="92"/>
      <c r="D33" s="1493" t="s">
        <v>295</v>
      </c>
      <c r="E33" s="527"/>
      <c r="F33" s="1665"/>
      <c r="G33" s="3551">
        <v>0</v>
      </c>
      <c r="H33" s="3551">
        <v>0</v>
      </c>
      <c r="I33" s="3551">
        <v>0</v>
      </c>
      <c r="J33" s="3552">
        <v>0</v>
      </c>
      <c r="K33" s="258"/>
      <c r="L33" s="6"/>
    </row>
    <row r="34" spans="1:12" x14ac:dyDescent="0.25">
      <c r="A34" s="972">
        <v>1</v>
      </c>
      <c r="B34" s="16"/>
      <c r="C34" s="92"/>
      <c r="D34" s="3504" t="s">
        <v>174</v>
      </c>
      <c r="E34" s="527"/>
      <c r="F34" s="517"/>
      <c r="G34" s="3547">
        <v>0</v>
      </c>
      <c r="H34" s="3547">
        <v>0</v>
      </c>
      <c r="I34" s="3547">
        <v>0</v>
      </c>
      <c r="J34" s="3548">
        <v>0</v>
      </c>
      <c r="K34" s="258"/>
      <c r="L34" s="6"/>
    </row>
    <row r="35" spans="1:12" ht="8.1" customHeight="1" x14ac:dyDescent="0.25">
      <c r="A35" s="972">
        <v>1</v>
      </c>
      <c r="B35" s="16"/>
      <c r="C35" s="92"/>
      <c r="D35" s="3292"/>
      <c r="E35" s="527"/>
      <c r="F35" s="517"/>
      <c r="G35" s="3549"/>
      <c r="H35" s="3549"/>
      <c r="I35" s="3549"/>
      <c r="J35" s="3754"/>
      <c r="K35" s="258"/>
      <c r="L35" s="6"/>
    </row>
    <row r="36" spans="1:12" x14ac:dyDescent="0.25">
      <c r="A36" s="972">
        <v>1</v>
      </c>
      <c r="B36" s="16"/>
      <c r="C36" s="92"/>
      <c r="D36" s="1493" t="s">
        <v>1049</v>
      </c>
      <c r="E36" s="527"/>
      <c r="F36" s="517"/>
      <c r="G36" s="3547">
        <v>0</v>
      </c>
      <c r="H36" s="3547">
        <v>0</v>
      </c>
      <c r="I36" s="3547">
        <v>0</v>
      </c>
      <c r="J36" s="3548">
        <v>0</v>
      </c>
      <c r="K36" s="258"/>
      <c r="L36" s="6"/>
    </row>
    <row r="37" spans="1:12" x14ac:dyDescent="0.25">
      <c r="A37" s="972">
        <v>1</v>
      </c>
      <c r="B37" s="16"/>
      <c r="C37" s="92"/>
      <c r="D37" s="3504" t="s">
        <v>174</v>
      </c>
      <c r="E37" s="527"/>
      <c r="F37" s="2022"/>
      <c r="G37" s="3547">
        <f t="shared" ref="G37:J37" si="2">G38</f>
        <v>0</v>
      </c>
      <c r="H37" s="3547">
        <f t="shared" si="2"/>
        <v>0</v>
      </c>
      <c r="I37" s="3547">
        <f t="shared" si="2"/>
        <v>0</v>
      </c>
      <c r="J37" s="3548">
        <f t="shared" si="2"/>
        <v>0</v>
      </c>
      <c r="K37" s="258"/>
      <c r="L37" s="6"/>
    </row>
    <row r="38" spans="1:12" hidden="1" x14ac:dyDescent="0.25">
      <c r="A38" s="972">
        <v>0</v>
      </c>
      <c r="B38" s="16"/>
      <c r="C38" s="92"/>
      <c r="D38" s="3554"/>
      <c r="E38" s="527"/>
      <c r="F38" s="2022" t="s">
        <v>710</v>
      </c>
      <c r="G38" s="1791"/>
      <c r="H38" s="1791"/>
      <c r="I38" s="1791"/>
      <c r="J38" s="1953"/>
      <c r="K38" s="258"/>
      <c r="L38" s="6"/>
    </row>
    <row r="39" spans="1:12" x14ac:dyDescent="0.25">
      <c r="A39" s="972">
        <v>1</v>
      </c>
      <c r="B39" s="16"/>
      <c r="C39" s="92"/>
      <c r="D39" s="3504" t="s">
        <v>304</v>
      </c>
      <c r="E39" s="527"/>
      <c r="F39" s="517"/>
      <c r="G39" s="3555">
        <f t="shared" ref="G39:I39" si="3">G30+G34+G37</f>
        <v>5</v>
      </c>
      <c r="H39" s="3555">
        <f t="shared" si="3"/>
        <v>5</v>
      </c>
      <c r="I39" s="3555">
        <f t="shared" si="3"/>
        <v>5</v>
      </c>
      <c r="J39" s="3556">
        <f t="shared" ref="J39" si="4">J30+J34+J37</f>
        <v>5</v>
      </c>
      <c r="K39" s="258"/>
      <c r="L39" s="6"/>
    </row>
    <row r="40" spans="1:12" ht="8.1" customHeight="1" x14ac:dyDescent="0.25">
      <c r="A40" s="972">
        <v>1</v>
      </c>
      <c r="B40" s="16"/>
      <c r="C40" s="92"/>
      <c r="D40" s="3554"/>
      <c r="E40" s="527"/>
      <c r="F40" s="517"/>
      <c r="G40" s="3557"/>
      <c r="H40" s="3557"/>
      <c r="I40" s="3557"/>
      <c r="J40" s="3558"/>
      <c r="K40" s="258"/>
      <c r="L40" s="6"/>
    </row>
    <row r="41" spans="1:12" x14ac:dyDescent="0.25">
      <c r="A41" s="972">
        <v>1</v>
      </c>
      <c r="B41" s="16"/>
      <c r="C41" s="92"/>
      <c r="D41" s="3510" t="s">
        <v>1044</v>
      </c>
      <c r="E41" s="3227"/>
      <c r="F41" s="517"/>
      <c r="G41" s="3559">
        <f t="shared" ref="G41:I41" si="5">G21+G39</f>
        <v>17.75</v>
      </c>
      <c r="H41" s="3559">
        <f t="shared" si="5"/>
        <v>15.5</v>
      </c>
      <c r="I41" s="3559">
        <f t="shared" si="5"/>
        <v>16</v>
      </c>
      <c r="J41" s="3560">
        <f t="shared" ref="J41" si="6">J21+J39</f>
        <v>15</v>
      </c>
      <c r="K41" s="258"/>
      <c r="L41" s="6"/>
    </row>
    <row r="42" spans="1:12" ht="8.1" customHeight="1" x14ac:dyDescent="0.25">
      <c r="A42" s="972">
        <v>1</v>
      </c>
      <c r="B42" s="16"/>
      <c r="C42" s="92"/>
      <c r="D42" s="3561"/>
      <c r="E42" s="3227"/>
      <c r="F42" s="517"/>
      <c r="G42" s="3508"/>
      <c r="H42" s="3508"/>
      <c r="I42" s="3508"/>
      <c r="J42" s="3509"/>
      <c r="K42" s="258"/>
      <c r="L42" s="6"/>
    </row>
    <row r="43" spans="1:12" x14ac:dyDescent="0.25">
      <c r="A43" s="972">
        <v>1</v>
      </c>
      <c r="B43" s="16"/>
      <c r="C43" s="92"/>
      <c r="D43" s="1493" t="s">
        <v>313</v>
      </c>
      <c r="E43" s="3227"/>
      <c r="F43" s="718"/>
      <c r="G43" s="1792" t="s">
        <v>19946</v>
      </c>
      <c r="H43" s="1792" t="s">
        <v>19946</v>
      </c>
      <c r="I43" s="1792" t="s">
        <v>19946</v>
      </c>
      <c r="J43" s="1954" t="s">
        <v>19946</v>
      </c>
      <c r="K43" s="258"/>
      <c r="L43" s="6"/>
    </row>
    <row r="44" spans="1:12" x14ac:dyDescent="0.25">
      <c r="A44" s="972">
        <v>1</v>
      </c>
      <c r="B44" s="16"/>
      <c r="C44" s="92"/>
      <c r="D44" s="3504" t="s">
        <v>174</v>
      </c>
      <c r="E44" s="527"/>
      <c r="F44" s="517"/>
      <c r="G44" s="3547">
        <f t="shared" ref="G44:I44" si="7">IF(Income_RentAdjType&lt;&gt;"$ per Unit",IF(AND(G45=0,G46=0,G47=0),0,IF(G45&lt;&gt;0,G45*G41,IF(G46&lt;&gt;0,G46/(G$41*G$64),G47))),IF(Income_RentAdjType="$ per Unit",IF(AND(G45=0,G46=0,G47=0),0,IF(G45&lt;&gt;0,G45*G$41,IF(G46&lt;&gt;0,G46/G$64,G47)))))</f>
        <v>0</v>
      </c>
      <c r="H44" s="3547">
        <f t="shared" si="7"/>
        <v>0</v>
      </c>
      <c r="I44" s="3547">
        <f t="shared" si="7"/>
        <v>0</v>
      </c>
      <c r="J44" s="3548">
        <f t="shared" ref="J44" si="8">IF(Income_RentAdjType&lt;&gt;"$ per Unit",IF(AND(J45=0,J46=0,J47=0),0,IF(J45&lt;&gt;0,J45*J41,IF(J46&lt;&gt;0,J46/(J$41*J$64),J47))),IF(Income_RentAdjType="$ per Unit",IF(AND(J45=0,J46=0,J47=0),0,IF(J45&lt;&gt;0,J45*J$41,IF(J46&lt;&gt;0,J46/J$64,J47)))))</f>
        <v>0</v>
      </c>
      <c r="K44" s="258"/>
      <c r="L44" s="6"/>
    </row>
    <row r="45" spans="1:12" hidden="1" x14ac:dyDescent="0.25">
      <c r="A45" s="972">
        <v>0</v>
      </c>
      <c r="B45" s="16"/>
      <c r="C45" s="92"/>
      <c r="D45" s="3292"/>
      <c r="E45" s="527"/>
      <c r="F45" s="2022" t="s">
        <v>166</v>
      </c>
      <c r="G45" s="1793"/>
      <c r="H45" s="1793"/>
      <c r="I45" s="1793"/>
      <c r="J45" s="1955"/>
      <c r="K45" s="258"/>
      <c r="L45" s="6"/>
    </row>
    <row r="46" spans="1:12" hidden="1" x14ac:dyDescent="0.25">
      <c r="A46" s="972">
        <v>0</v>
      </c>
      <c r="B46" s="16"/>
      <c r="C46" s="92"/>
      <c r="D46" s="3292"/>
      <c r="E46" s="527"/>
      <c r="F46" s="2022" t="s">
        <v>167</v>
      </c>
      <c r="G46" s="1794"/>
      <c r="H46" s="1794"/>
      <c r="I46" s="1794"/>
      <c r="J46" s="1956"/>
      <c r="K46" s="258"/>
      <c r="L46" s="6"/>
    </row>
    <row r="47" spans="1:12" hidden="1" x14ac:dyDescent="0.25">
      <c r="A47" s="972">
        <v>0</v>
      </c>
      <c r="B47" s="16"/>
      <c r="C47" s="92"/>
      <c r="D47" s="3292"/>
      <c r="E47" s="527"/>
      <c r="F47" s="2022" t="s">
        <v>710</v>
      </c>
      <c r="G47" s="1791"/>
      <c r="H47" s="1791"/>
      <c r="I47" s="1791"/>
      <c r="J47" s="1953"/>
      <c r="K47" s="258"/>
      <c r="L47" s="6"/>
    </row>
    <row r="48" spans="1:12" x14ac:dyDescent="0.25">
      <c r="A48" s="972">
        <v>1</v>
      </c>
      <c r="B48" s="16"/>
      <c r="C48" s="92"/>
      <c r="D48" s="3510" t="s">
        <v>1365</v>
      </c>
      <c r="E48" s="527"/>
      <c r="F48" s="2022"/>
      <c r="G48" s="3513">
        <f t="shared" ref="G48:I48" si="9">G41+G44</f>
        <v>17.75</v>
      </c>
      <c r="H48" s="3513">
        <f t="shared" si="9"/>
        <v>15.5</v>
      </c>
      <c r="I48" s="3513">
        <f t="shared" si="9"/>
        <v>16</v>
      </c>
      <c r="J48" s="3514">
        <f t="shared" ref="J48" si="10">J41+J44</f>
        <v>15</v>
      </c>
      <c r="K48" s="258"/>
      <c r="L48" s="6"/>
    </row>
    <row r="49" spans="1:16" ht="5.0999999999999996" customHeight="1" x14ac:dyDescent="0.25">
      <c r="A49" s="972">
        <v>1</v>
      </c>
      <c r="B49" s="16"/>
      <c r="C49" s="92"/>
      <c r="D49" s="3292"/>
      <c r="E49" s="527"/>
      <c r="F49" s="517"/>
      <c r="G49" s="3508" t="b">
        <f t="shared" ref="G49:I49" si="11">IF(Sales_AdjType="Qualitative",IF(G54="Inferior",-1,IF(G54="Superior",1,0)))</f>
        <v>0</v>
      </c>
      <c r="H49" s="3508" t="b">
        <f t="shared" si="11"/>
        <v>0</v>
      </c>
      <c r="I49" s="3508" t="b">
        <f t="shared" si="11"/>
        <v>0</v>
      </c>
      <c r="J49" s="3509" t="b">
        <f t="shared" ref="J49" si="12">IF(Sales_AdjType="Qualitative",IF(J54="Inferior",-1,IF(J54="Superior",1,0)))</f>
        <v>0</v>
      </c>
      <c r="K49" s="258"/>
      <c r="L49" s="6"/>
    </row>
    <row r="50" spans="1:16" x14ac:dyDescent="0.25">
      <c r="A50" s="972">
        <v>1</v>
      </c>
      <c r="B50" s="16"/>
      <c r="C50" s="92"/>
      <c r="D50" s="3268" t="s">
        <v>162</v>
      </c>
      <c r="E50" s="3268"/>
      <c r="F50" s="3562"/>
      <c r="G50" s="1783"/>
      <c r="H50" s="1783"/>
      <c r="I50" s="1783"/>
      <c r="J50" s="1002"/>
      <c r="K50" s="258"/>
      <c r="L50" s="6"/>
      <c r="O50" s="4093" t="s">
        <v>944</v>
      </c>
    </row>
    <row r="51" spans="1:16" ht="15" thickBot="1" x14ac:dyDescent="0.3">
      <c r="A51" s="972">
        <v>1</v>
      </c>
      <c r="B51" s="16"/>
      <c r="C51" s="92"/>
      <c r="D51" s="1493" t="s">
        <v>171</v>
      </c>
      <c r="E51" s="527"/>
      <c r="F51" s="3563"/>
      <c r="G51" s="3511">
        <f t="shared" ref="G51:I51" si="13">(dpIncome_Rent_DOV-G11)/365</f>
        <v>2.7397260273972603E-3</v>
      </c>
      <c r="H51" s="3511">
        <f t="shared" si="13"/>
        <v>0.37260273972602742</v>
      </c>
      <c r="I51" s="3511">
        <f t="shared" si="13"/>
        <v>1.0821917808219179</v>
      </c>
      <c r="J51" s="3512">
        <f t="shared" ref="J51" si="14">(dpIncome_Rent_DOV-J11)/365</f>
        <v>2.095890410958904</v>
      </c>
      <c r="K51" s="258"/>
      <c r="L51" s="6"/>
      <c r="O51" s="4114"/>
    </row>
    <row r="52" spans="1:16" x14ac:dyDescent="0.25">
      <c r="A52" s="972">
        <v>1</v>
      </c>
      <c r="B52" s="16"/>
      <c r="C52" s="92"/>
      <c r="D52" s="3504" t="s">
        <v>172</v>
      </c>
      <c r="E52" s="527"/>
      <c r="F52" s="3254">
        <f>dpIncome_Rent_DOV</f>
        <v>45473</v>
      </c>
      <c r="G52" s="3505">
        <f t="shared" ref="G52:J52" si="15">IF(dpIncome_RentMktCondDate1="",0,IF(AND(dpIncome_RentMktCondDate2&lt;&gt;"",G$11&gt;dpIncome_RentMktCondDate1),0,(dpIncome_RentMktCondAdj1*((dpIncome_RentMktCondDate1-G$11)/365))))</f>
        <v>8.219178082191781E-5</v>
      </c>
      <c r="H52" s="3505">
        <f t="shared" si="15"/>
        <v>1.1178082191780823E-2</v>
      </c>
      <c r="I52" s="3505">
        <f t="shared" si="15"/>
        <v>3.2465753424657538E-2</v>
      </c>
      <c r="J52" s="3506">
        <f t="shared" si="15"/>
        <v>6.2876712328767126E-2</v>
      </c>
      <c r="K52" s="258"/>
      <c r="L52" s="6"/>
      <c r="O52" s="573">
        <v>0.03</v>
      </c>
    </row>
    <row r="53" spans="1:16" ht="15" hidden="1" thickBot="1" x14ac:dyDescent="0.3">
      <c r="A53" s="972">
        <f>IF(dpIncome_RentMktCondDate2="",0,1)</f>
        <v>0</v>
      </c>
      <c r="B53" s="16"/>
      <c r="C53" s="92"/>
      <c r="D53" s="3504" t="s">
        <v>173</v>
      </c>
      <c r="E53" s="527"/>
      <c r="F53" s="3254"/>
      <c r="G53" s="3505">
        <f t="shared" ref="G53:J53" si="16">IF(dpIncome_RentMktCondDate2="",0,IF(AND(G$11&lt;dpIncome_Rent_DOV,G$11&gt;dpIncome_RentMktCondDate1),dpIncome_RentMktCondAdj2*((dpIncome_Rent_DOV-G$11)/365),IF(G$11&lt;dpIncome_Rent_DOV,dpIncome_RentMktCondAdj2*((dpIncome_Rent_DOV-dpIncome_RentMktCondDate1)/365),dpIncome_RentMktCondAdj2*((dpIncome_Rent_DOV-G$11)/365))))</f>
        <v>0</v>
      </c>
      <c r="H53" s="3505">
        <f t="shared" si="16"/>
        <v>0</v>
      </c>
      <c r="I53" s="3505">
        <f t="shared" si="16"/>
        <v>0</v>
      </c>
      <c r="J53" s="3506">
        <f t="shared" si="16"/>
        <v>0</v>
      </c>
      <c r="K53" s="258"/>
      <c r="L53" s="6"/>
      <c r="O53" s="574"/>
      <c r="P53" s="12" t="s">
        <v>158</v>
      </c>
    </row>
    <row r="54" spans="1:16" x14ac:dyDescent="0.25">
      <c r="A54" s="1100">
        <v>1</v>
      </c>
      <c r="B54" s="16"/>
      <c r="C54" s="92"/>
      <c r="D54" s="3227" t="s">
        <v>1372</v>
      </c>
      <c r="E54" s="3227"/>
      <c r="F54" s="517"/>
      <c r="G54" s="3564">
        <f t="shared" ref="G54:I54" si="17">(1+G52)*(1+G53)*G48</f>
        <v>17.75145890410959</v>
      </c>
      <c r="H54" s="3564">
        <f t="shared" si="17"/>
        <v>15.673260273972604</v>
      </c>
      <c r="I54" s="3564">
        <f t="shared" si="17"/>
        <v>16.51945205479452</v>
      </c>
      <c r="J54" s="3565">
        <f t="shared" ref="J54" si="18">(1+J52)*(1+J53)*J48</f>
        <v>15.943150684931508</v>
      </c>
      <c r="K54" s="258"/>
      <c r="L54" s="6"/>
    </row>
    <row r="55" spans="1:16" ht="8.1" customHeight="1" x14ac:dyDescent="0.25">
      <c r="A55" s="1100">
        <v>1</v>
      </c>
      <c r="B55" s="16"/>
      <c r="C55" s="92"/>
      <c r="D55" s="3292"/>
      <c r="E55" s="527"/>
      <c r="F55" s="517"/>
      <c r="G55" s="3515">
        <f t="shared" ref="G55:I55" si="19">IF(AND(G60=0,G61=0,G62=0),0,IF(G60&lt;&gt;0,G60,IF(G61&lt;&gt;0,G61/(G$54*G$64),G62/G$54)))</f>
        <v>0</v>
      </c>
      <c r="H55" s="3515">
        <f t="shared" si="19"/>
        <v>0</v>
      </c>
      <c r="I55" s="3515">
        <f t="shared" si="19"/>
        <v>0</v>
      </c>
      <c r="J55" s="3516">
        <f t="shared" ref="J55" si="20">IF(AND(J60=0,J61=0,J62=0),0,IF(J60&lt;&gt;0,J60,IF(J61&lt;&gt;0,J61/(J$54*J$64),J62/J$54)))</f>
        <v>0</v>
      </c>
      <c r="K55" s="258"/>
      <c r="L55" s="6"/>
    </row>
    <row r="56" spans="1:16" x14ac:dyDescent="0.25">
      <c r="A56" s="1100">
        <v>1</v>
      </c>
      <c r="B56" s="16"/>
      <c r="C56" s="92"/>
      <c r="D56" s="3268" t="s">
        <v>312</v>
      </c>
      <c r="E56" s="3268"/>
      <c r="F56" s="517"/>
      <c r="G56" s="3501"/>
      <c r="H56" s="3501"/>
      <c r="I56" s="3501"/>
      <c r="J56" s="3502"/>
      <c r="K56" s="258"/>
      <c r="L56" s="6"/>
    </row>
    <row r="57" spans="1:16" s="142" customFormat="1" ht="28.5" x14ac:dyDescent="0.25">
      <c r="A57" s="1101">
        <f>A59</f>
        <v>1</v>
      </c>
      <c r="B57" s="140"/>
      <c r="C57" s="742"/>
      <c r="D57" s="1493" t="s">
        <v>95</v>
      </c>
      <c r="E57" s="527"/>
      <c r="F57" s="3566" t="s">
        <v>20072</v>
      </c>
      <c r="G57" s="1831" t="s">
        <v>20058</v>
      </c>
      <c r="H57" s="1831" t="s">
        <v>20083</v>
      </c>
      <c r="I57" s="1831" t="s">
        <v>20084</v>
      </c>
      <c r="J57" s="1006" t="s">
        <v>20085</v>
      </c>
      <c r="K57" s="2984"/>
      <c r="L57" s="288"/>
    </row>
    <row r="58" spans="1:16" s="142" customFormat="1" x14ac:dyDescent="0.25">
      <c r="A58" s="1101">
        <f>A59</f>
        <v>1</v>
      </c>
      <c r="B58" s="140"/>
      <c r="C58" s="742"/>
      <c r="D58" s="3283"/>
      <c r="E58" s="527"/>
      <c r="F58" s="3314" t="s">
        <v>19964</v>
      </c>
      <c r="G58" s="1831" t="s">
        <v>19964</v>
      </c>
      <c r="H58" s="1831" t="s">
        <v>20024</v>
      </c>
      <c r="I58" s="1831" t="s">
        <v>19964</v>
      </c>
      <c r="J58" s="1006" t="s">
        <v>19964</v>
      </c>
      <c r="K58" s="2984"/>
      <c r="L58" s="288"/>
    </row>
    <row r="59" spans="1:16" x14ac:dyDescent="0.25">
      <c r="A59" s="1100">
        <f>IF(B59=TRUE,1,2)</f>
        <v>1</v>
      </c>
      <c r="B59" s="1082" t="b">
        <v>1</v>
      </c>
      <c r="C59" s="3567"/>
      <c r="D59" s="3568" t="str">
        <f>IF(Income_RentAdjType&lt;&gt;"Qualitative","Adjustment","Relative Comparison")</f>
        <v>Adjustment</v>
      </c>
      <c r="E59" s="3569"/>
      <c r="F59" s="3570"/>
      <c r="G59" s="3505">
        <f t="shared" ref="G59:I59" si="21">IF(Income_RentAdjType="Percent",IF(AND(G60=0,G61=0,G62=0),0,IF(G60&lt;&gt;0,G60,IF(G61&lt;&gt;0,G61/(G$54*G$64),G62/G$54))),IF(Income_RentAdjType="$ per Unit",IF(AND(G60=0,G61=0,G62=0),0,IF(G60&lt;&gt;0,G60*G$54,IF(G61&lt;&gt;0,G61/G$64,G62))),IF(OR(G60&gt;0,G61&gt;0,G62&gt;0),"Inferior",IF(OR(G60&lt;0,G61&lt;0,G62&lt;0),"Superior","Similar"))))</f>
        <v>0</v>
      </c>
      <c r="H59" s="3505">
        <f t="shared" si="21"/>
        <v>0</v>
      </c>
      <c r="I59" s="3505">
        <f t="shared" si="21"/>
        <v>0</v>
      </c>
      <c r="J59" s="3506">
        <f t="shared" ref="J59" si="22">IF(Income_RentAdjType="Percent",IF(AND(J60=0,J61=0,J62=0),0,IF(J60&lt;&gt;0,J60,IF(J61&lt;&gt;0,J61/(J$54*J$64),J62/J$54))),IF(Income_RentAdjType="$ per Unit",IF(AND(J60=0,J61=0,J62=0),0,IF(J60&lt;&gt;0,J60*J$54,IF(J61&lt;&gt;0,J61/J$64,J62))),IF(OR(J60&gt;0,J61&gt;0,J62&gt;0),"Inferior",IF(OR(J60&lt;0,J61&lt;0,J62&lt;0),"Superior","Similar"))))</f>
        <v>0</v>
      </c>
      <c r="K59" s="258"/>
      <c r="L59" s="6"/>
    </row>
    <row r="60" spans="1:16" hidden="1" x14ac:dyDescent="0.25">
      <c r="A60" s="1100">
        <f>IF(A59=2,2,0)</f>
        <v>0</v>
      </c>
      <c r="B60" s="16"/>
      <c r="C60" s="92"/>
      <c r="D60" s="3283"/>
      <c r="E60" s="527"/>
      <c r="F60" s="2022" t="s">
        <v>166</v>
      </c>
      <c r="G60" s="1793"/>
      <c r="H60" s="1793"/>
      <c r="I60" s="1793"/>
      <c r="J60" s="1955"/>
      <c r="K60" s="258"/>
      <c r="L60" s="6"/>
    </row>
    <row r="61" spans="1:16" hidden="1" x14ac:dyDescent="0.25">
      <c r="A61" s="1100">
        <f>IF(A60=2,2,0)</f>
        <v>0</v>
      </c>
      <c r="B61" s="16"/>
      <c r="C61" s="92"/>
      <c r="D61" s="3283"/>
      <c r="E61" s="527"/>
      <c r="F61" s="2022" t="s">
        <v>167</v>
      </c>
      <c r="G61" s="1794"/>
      <c r="H61" s="1794"/>
      <c r="I61" s="1794"/>
      <c r="J61" s="1956"/>
      <c r="K61" s="258"/>
      <c r="L61" s="6"/>
    </row>
    <row r="62" spans="1:16" hidden="1" x14ac:dyDescent="0.25">
      <c r="A62" s="1100">
        <f>IF(A61=2,2,0)</f>
        <v>0</v>
      </c>
      <c r="B62" s="16"/>
      <c r="C62" s="92"/>
      <c r="D62" s="3283"/>
      <c r="E62" s="527"/>
      <c r="F62" s="2022" t="s">
        <v>710</v>
      </c>
      <c r="G62" s="1791"/>
      <c r="H62" s="1791"/>
      <c r="I62" s="1791"/>
      <c r="J62" s="1953"/>
      <c r="K62" s="258"/>
      <c r="L62" s="6"/>
    </row>
    <row r="63" spans="1:16" ht="8.1" customHeight="1" x14ac:dyDescent="0.25">
      <c r="A63" s="1100">
        <f>A65</f>
        <v>1</v>
      </c>
      <c r="B63" s="16"/>
      <c r="C63" s="92"/>
      <c r="D63" s="3283"/>
      <c r="E63" s="527"/>
      <c r="F63" s="517"/>
      <c r="G63" s="3515">
        <f t="shared" ref="G63:I63" si="23">IF(AND(G66=0,G67=0,G68=0),0,IF(G66&lt;&gt;0,G66,IF(G67&lt;&gt;0,G67/(G$54*G$64),G68/G$54)))</f>
        <v>0</v>
      </c>
      <c r="H63" s="3515">
        <f t="shared" si="23"/>
        <v>0</v>
      </c>
      <c r="I63" s="3515">
        <f t="shared" si="23"/>
        <v>0</v>
      </c>
      <c r="J63" s="3516">
        <f t="shared" ref="J63" si="24">IF(AND(J66=0,J67=0,J68=0),0,IF(J66&lt;&gt;0,J66,IF(J67&lt;&gt;0,J67/(J$54*J$64),J68/J$54)))</f>
        <v>0</v>
      </c>
      <c r="K63" s="258"/>
      <c r="L63" s="6"/>
    </row>
    <row r="64" spans="1:16" x14ac:dyDescent="0.25">
      <c r="A64" s="1100">
        <f>A65</f>
        <v>1</v>
      </c>
      <c r="B64" s="16"/>
      <c r="C64" s="92"/>
      <c r="D64" s="1493" t="s">
        <v>303</v>
      </c>
      <c r="E64" s="3519"/>
      <c r="F64" s="929" t="s">
        <v>20087</v>
      </c>
      <c r="G64" s="3571">
        <v>5632</v>
      </c>
      <c r="H64" s="3571">
        <v>1900</v>
      </c>
      <c r="I64" s="3571">
        <v>2056</v>
      </c>
      <c r="J64" s="3572">
        <v>4000</v>
      </c>
      <c r="K64" s="258"/>
      <c r="L64" s="6"/>
    </row>
    <row r="65" spans="1:15" x14ac:dyDescent="0.25">
      <c r="A65" s="1100">
        <f>IF(B65=TRUE,1,2)</f>
        <v>1</v>
      </c>
      <c r="B65" s="1082" t="b">
        <v>1</v>
      </c>
      <c r="C65" s="3567"/>
      <c r="D65" s="3568" t="str">
        <f>IF(Income_RentAdjType&lt;&gt;"Qualitative","Adjustment","Relative Comparison")</f>
        <v>Adjustment</v>
      </c>
      <c r="E65" s="3569"/>
      <c r="F65" s="3570"/>
      <c r="G65" s="3505">
        <f t="shared" ref="G65:I65" si="25">IF(Income_RentAdjType="Percent",IF(AND(G66=0,G67=0,G68=0),0,IF(G66&lt;&gt;0,G66,IF(G67&lt;&gt;0,G67/(G$54*G$64),G68/G$54))),IF(Income_RentAdjType="$ per Unit",IF(AND(G66=0,G67=0,G68=0),0,IF(G66&lt;&gt;0,G66*G$54,IF(G67&lt;&gt;0,G67/G$64,G68))),IF(OR(G66&gt;0,G67&gt;0,G68&gt;0),"Inferior",IF(OR(G66&lt;0,G67&lt;0,G68&lt;0),"Superior","Similar"))))</f>
        <v>0</v>
      </c>
      <c r="H65" s="3505">
        <f t="shared" si="25"/>
        <v>0</v>
      </c>
      <c r="I65" s="3505">
        <f t="shared" si="25"/>
        <v>0</v>
      </c>
      <c r="J65" s="3506">
        <f t="shared" ref="J65" si="26">IF(Income_RentAdjType="Percent",IF(AND(J66=0,J67=0,J68=0),0,IF(J66&lt;&gt;0,J66,IF(J67&lt;&gt;0,J67/(J$54*J$64),J68/J$54))),IF(Income_RentAdjType="$ per Unit",IF(AND(J66=0,J67=0,J68=0),0,IF(J66&lt;&gt;0,J66*J$54,IF(J67&lt;&gt;0,J67/J$64,J68))),IF(OR(J66&gt;0,J67&gt;0,J68&gt;0),"Inferior",IF(OR(J66&lt;0,J67&lt;0,J68&lt;0),"Superior","Similar"))))</f>
        <v>0</v>
      </c>
      <c r="K65" s="258"/>
      <c r="L65" s="6"/>
    </row>
    <row r="66" spans="1:15" hidden="1" x14ac:dyDescent="0.25">
      <c r="A66" s="1100">
        <f>IF(A65=2,2,0)</f>
        <v>0</v>
      </c>
      <c r="B66" s="16"/>
      <c r="C66" s="92"/>
      <c r="D66" s="3283"/>
      <c r="E66" s="527"/>
      <c r="F66" s="2022" t="s">
        <v>166</v>
      </c>
      <c r="G66" s="1793"/>
      <c r="H66" s="1793"/>
      <c r="I66" s="1793"/>
      <c r="J66" s="1955"/>
      <c r="K66" s="258"/>
      <c r="L66" s="6"/>
    </row>
    <row r="67" spans="1:15" hidden="1" x14ac:dyDescent="0.25">
      <c r="A67" s="1100">
        <f>IF(A66=2,2,0)</f>
        <v>0</v>
      </c>
      <c r="B67" s="16"/>
      <c r="C67" s="92"/>
      <c r="D67" s="3283"/>
      <c r="E67" s="527"/>
      <c r="F67" s="2022" t="s">
        <v>167</v>
      </c>
      <c r="G67" s="1794"/>
      <c r="H67" s="1794"/>
      <c r="I67" s="1794"/>
      <c r="J67" s="1956"/>
      <c r="K67" s="258"/>
      <c r="L67" s="6"/>
      <c r="O67" s="150"/>
    </row>
    <row r="68" spans="1:15" hidden="1" x14ac:dyDescent="0.25">
      <c r="A68" s="1100">
        <f>IF(A67=2,2,0)</f>
        <v>0</v>
      </c>
      <c r="B68" s="16"/>
      <c r="C68" s="92"/>
      <c r="D68" s="3283"/>
      <c r="E68" s="527"/>
      <c r="F68" s="2022" t="s">
        <v>710</v>
      </c>
      <c r="G68" s="1791"/>
      <c r="H68" s="1791"/>
      <c r="I68" s="1791"/>
      <c r="J68" s="1953"/>
      <c r="K68" s="258"/>
      <c r="L68" s="6"/>
    </row>
    <row r="69" spans="1:15" ht="8.1" customHeight="1" x14ac:dyDescent="0.25">
      <c r="A69" s="1100">
        <f>A75</f>
        <v>1</v>
      </c>
      <c r="B69" s="16"/>
      <c r="C69" s="92"/>
      <c r="D69" s="3283"/>
      <c r="E69" s="527"/>
      <c r="F69" s="517"/>
      <c r="G69" s="3515">
        <f t="shared" ref="G69:I69" si="27">IF(AND(G76=0,G76=0,G76=0),0,IF(G76&lt;&gt;0,G76,IF(G77&lt;&gt;0,G77/(G$54*G$64),G78/G$54)))</f>
        <v>0</v>
      </c>
      <c r="H69" s="3515">
        <f t="shared" si="27"/>
        <v>0</v>
      </c>
      <c r="I69" s="3515">
        <f t="shared" si="27"/>
        <v>0</v>
      </c>
      <c r="J69" s="3516">
        <f t="shared" ref="J69" si="28">IF(AND(J76=0,J76=0,J76=0),0,IF(J76&lt;&gt;0,J76,IF(J77&lt;&gt;0,J77/(J$54*J$64),J78/J$54)))</f>
        <v>0</v>
      </c>
      <c r="K69" s="258"/>
      <c r="L69" s="6"/>
    </row>
    <row r="70" spans="1:15" x14ac:dyDescent="0.25">
      <c r="A70" s="1101">
        <f>A75</f>
        <v>1</v>
      </c>
      <c r="B70" s="16"/>
      <c r="C70" s="92"/>
      <c r="D70" s="1493" t="s">
        <v>294</v>
      </c>
      <c r="E70" s="2022" t="s">
        <v>10</v>
      </c>
      <c r="F70" s="1741">
        <v>1988</v>
      </c>
      <c r="G70" s="1831">
        <v>1987</v>
      </c>
      <c r="H70" s="1831">
        <v>2000</v>
      </c>
      <c r="I70" s="1831">
        <v>1983</v>
      </c>
      <c r="J70" s="1006">
        <v>1964</v>
      </c>
      <c r="K70" s="258"/>
      <c r="L70" s="6"/>
    </row>
    <row r="71" spans="1:15" hidden="1" x14ac:dyDescent="0.25">
      <c r="A71" s="1101">
        <f>IF(A75=2,2,0)</f>
        <v>0</v>
      </c>
      <c r="B71" s="16"/>
      <c r="C71" s="92"/>
      <c r="D71" s="3283"/>
      <c r="E71" s="2022" t="s">
        <v>10</v>
      </c>
      <c r="F71" s="1742">
        <f>Subject_Year_Built</f>
        <v>2021</v>
      </c>
      <c r="G71" s="1783">
        <v>2008</v>
      </c>
      <c r="H71" s="1783">
        <v>2015</v>
      </c>
      <c r="I71" s="1783">
        <v>2005</v>
      </c>
      <c r="J71" s="1002">
        <v>2004</v>
      </c>
      <c r="K71" s="258"/>
      <c r="L71" s="6"/>
    </row>
    <row r="72" spans="1:15" hidden="1" x14ac:dyDescent="0.25">
      <c r="A72" s="1101">
        <f>IF(A75=2,2,0)</f>
        <v>0</v>
      </c>
      <c r="B72" s="16"/>
      <c r="C72" s="92"/>
      <c r="D72" s="3283"/>
      <c r="E72" s="2022" t="s">
        <v>1009</v>
      </c>
      <c r="F72" s="1742">
        <f>Subject_Year_Built_Range</f>
        <v>0</v>
      </c>
      <c r="G72" s="1783"/>
      <c r="H72" s="1783"/>
      <c r="I72" s="1783"/>
      <c r="J72" s="1002"/>
      <c r="K72" s="258"/>
      <c r="L72" s="6"/>
    </row>
    <row r="73" spans="1:15" x14ac:dyDescent="0.25">
      <c r="A73" s="1101">
        <v>1</v>
      </c>
      <c r="B73" s="16"/>
      <c r="C73" s="92"/>
      <c r="D73" s="3283"/>
      <c r="E73" s="2022" t="s">
        <v>538</v>
      </c>
      <c r="F73" s="1665" t="s">
        <v>306</v>
      </c>
      <c r="G73" s="1831" t="s">
        <v>306</v>
      </c>
      <c r="H73" s="1831" t="s">
        <v>306</v>
      </c>
      <c r="I73" s="1831" t="s">
        <v>306</v>
      </c>
      <c r="J73" s="1006" t="s">
        <v>306</v>
      </c>
      <c r="K73" s="258"/>
      <c r="L73" s="6"/>
    </row>
    <row r="74" spans="1:15" hidden="1" x14ac:dyDescent="0.25">
      <c r="A74" s="1101">
        <v>0</v>
      </c>
      <c r="B74" s="16"/>
      <c r="C74" s="92"/>
      <c r="D74" s="3283"/>
      <c r="E74" s="2022" t="s">
        <v>17</v>
      </c>
      <c r="F74" s="1743">
        <f>Subject_AgeEffective</f>
        <v>0</v>
      </c>
      <c r="G74" s="3517"/>
      <c r="H74" s="3517"/>
      <c r="I74" s="3517"/>
      <c r="J74" s="3518">
        <v>10</v>
      </c>
      <c r="K74" s="258"/>
      <c r="L74" s="6"/>
    </row>
    <row r="75" spans="1:15" x14ac:dyDescent="0.25">
      <c r="A75" s="1100">
        <f>IF(B75=TRUE,1,2)</f>
        <v>1</v>
      </c>
      <c r="B75" s="1082" t="b">
        <v>1</v>
      </c>
      <c r="C75" s="3567"/>
      <c r="D75" s="3568" t="str">
        <f>IF(Income_RentAdjType&lt;&gt;"Qualitative","Adjustment","Relative Comparison")</f>
        <v>Adjustment</v>
      </c>
      <c r="E75" s="3569"/>
      <c r="F75" s="3570"/>
      <c r="G75" s="3505">
        <f t="shared" ref="G75:I75" si="29">IF(Income_RentAdjType="Percent",IF(AND(G76=0,G77=0,G78=0),0,IF(G76&lt;&gt;0,G76,IF(G77&lt;&gt;0,G77/(G$54*G$64),G78/G$54))),IF(Income_RentAdjType="$ per Unit",IF(AND(G76=0,G77=0,G78=0),0,IF(G76&lt;&gt;0,G76*G$54,IF(G77&lt;&gt;0,G77/G$64,G78))),IF(OR(G76&gt;0,G77&gt;0,G78&gt;0),"Inferior",IF(OR(G76&lt;0,G77&lt;0,G78&lt;0),"Superior","Similar"))))</f>
        <v>0</v>
      </c>
      <c r="H75" s="3505">
        <f t="shared" si="29"/>
        <v>0</v>
      </c>
      <c r="I75" s="3505">
        <f t="shared" si="29"/>
        <v>0</v>
      </c>
      <c r="J75" s="3506">
        <f t="shared" ref="J75" si="30">IF(Income_RentAdjType="Percent",IF(AND(J76=0,J77=0,J78=0),0,IF(J76&lt;&gt;0,J76,IF(J77&lt;&gt;0,J77/(J$54*J$64),J78/J$54))),IF(Income_RentAdjType="$ per Unit",IF(AND(J76=0,J77=0,J78=0),0,IF(J76&lt;&gt;0,J76*J$54,IF(J77&lt;&gt;0,J77/J$64,J78))),IF(OR(J76&gt;0,J77&gt;0,J78&gt;0),"Inferior",IF(OR(J76&lt;0,J77&lt;0,J78&lt;0),"Superior","Similar"))))</f>
        <v>0</v>
      </c>
      <c r="K75" s="258"/>
      <c r="L75" s="6"/>
    </row>
    <row r="76" spans="1:15" hidden="1" x14ac:dyDescent="0.25">
      <c r="A76" s="1100">
        <f>IF(A75=2,2,0)</f>
        <v>0</v>
      </c>
      <c r="B76" s="16"/>
      <c r="C76" s="92"/>
      <c r="D76" s="3283"/>
      <c r="E76" s="527"/>
      <c r="F76" s="2022" t="s">
        <v>166</v>
      </c>
      <c r="G76" s="1793"/>
      <c r="H76" s="1793"/>
      <c r="I76" s="1793"/>
      <c r="J76" s="1955"/>
      <c r="K76" s="258"/>
      <c r="L76" s="6"/>
    </row>
    <row r="77" spans="1:15" hidden="1" x14ac:dyDescent="0.25">
      <c r="A77" s="1100">
        <f>IF(A76=2,2,0)</f>
        <v>0</v>
      </c>
      <c r="B77" s="16"/>
      <c r="C77" s="92"/>
      <c r="D77" s="3283"/>
      <c r="E77" s="527"/>
      <c r="F77" s="2022" t="s">
        <v>167</v>
      </c>
      <c r="G77" s="1794"/>
      <c r="H77" s="1794"/>
      <c r="I77" s="1794"/>
      <c r="J77" s="1956"/>
      <c r="K77" s="258"/>
      <c r="L77" s="6"/>
    </row>
    <row r="78" spans="1:15" hidden="1" x14ac:dyDescent="0.25">
      <c r="A78" s="1100">
        <f>IF(A77=2,2,0)</f>
        <v>0</v>
      </c>
      <c r="B78" s="16"/>
      <c r="C78" s="92"/>
      <c r="D78" s="3283"/>
      <c r="E78" s="527"/>
      <c r="F78" s="2022" t="s">
        <v>710</v>
      </c>
      <c r="G78" s="1791"/>
      <c r="H78" s="1791"/>
      <c r="I78" s="1791"/>
      <c r="J78" s="1953"/>
      <c r="K78" s="258"/>
      <c r="L78" s="6"/>
    </row>
    <row r="79" spans="1:15" ht="8.1" hidden="1" customHeight="1" x14ac:dyDescent="0.25">
      <c r="A79" s="1100">
        <f>A84</f>
        <v>2</v>
      </c>
      <c r="B79" s="16"/>
      <c r="C79" s="92"/>
      <c r="D79" s="3283"/>
      <c r="E79" s="527"/>
      <c r="F79" s="517"/>
      <c r="G79" s="3515">
        <f t="shared" ref="G79:I79" si="31">IF(AND(G85=0,G86=0,G87=0),0,IF(G85&lt;&gt;0,G85,IF(G86&lt;&gt;0,G86/(G$54*G$64),G87/G$54)))</f>
        <v>0</v>
      </c>
      <c r="H79" s="3515">
        <f t="shared" si="31"/>
        <v>0</v>
      </c>
      <c r="I79" s="3515">
        <f t="shared" si="31"/>
        <v>0</v>
      </c>
      <c r="J79" s="3516">
        <f t="shared" ref="J79" si="32">IF(AND(J85=0,J86=0,J87=0),0,IF(J85&lt;&gt;0,J85,IF(J86&lt;&gt;0,J86/(J$54*J$64),J87/J$54)))</f>
        <v>0</v>
      </c>
      <c r="K79" s="258"/>
      <c r="L79" s="6"/>
    </row>
    <row r="80" spans="1:15" ht="28.5" hidden="1" x14ac:dyDescent="0.25">
      <c r="A80" s="1100">
        <f>A84</f>
        <v>2</v>
      </c>
      <c r="B80" s="16"/>
      <c r="C80" s="92"/>
      <c r="D80" s="1493" t="s">
        <v>288</v>
      </c>
      <c r="E80" s="1002"/>
      <c r="F80" s="1665" t="str">
        <f>IF(dpIncome_RentAdjustment_4="Construction Quality",CONCATENATE(Subject_ConstructionQuality," Class ",Subject_ConstructionClass),CONCATENATE(Subject_ConstructionQuality," Class ",Subject_InvestmentClass))</f>
        <v>Good Class B</v>
      </c>
      <c r="G80" s="1831" t="str">
        <f t="shared" ref="G80:I80" si="33">IF(dpIncome_RentAdjustment_4="Construction Quality",CONCATENATE(G81," Class ",G82),CONCATENATE(G81," Class ",G83))</f>
        <v>Average Class C - Concrete</v>
      </c>
      <c r="H80" s="1831" t="str">
        <f t="shared" si="33"/>
        <v xml:space="preserve">Average Class C </v>
      </c>
      <c r="I80" s="1831" t="str">
        <f t="shared" si="33"/>
        <v>Good Class C - Concrete</v>
      </c>
      <c r="J80" s="1006" t="str">
        <f t="shared" ref="J80" si="34">IF(dpIncome_RentAdjustment_4="Construction Quality",CONCATENATE(J81," Class ",J82),CONCATENATE(J81," Class ",J83))</f>
        <v xml:space="preserve">Average Class C </v>
      </c>
      <c r="K80" s="258"/>
      <c r="L80" s="6"/>
    </row>
    <row r="81" spans="1:12" hidden="1" x14ac:dyDescent="0.25">
      <c r="A81" s="1101">
        <f>IF(A84=2,2,0)</f>
        <v>2</v>
      </c>
      <c r="B81" s="16"/>
      <c r="C81" s="92"/>
      <c r="D81" s="3519"/>
      <c r="E81" s="3519"/>
      <c r="F81" s="2022" t="s">
        <v>288</v>
      </c>
      <c r="G81" s="1783" t="s">
        <v>306</v>
      </c>
      <c r="H81" s="1783" t="s">
        <v>306</v>
      </c>
      <c r="I81" s="1783" t="s">
        <v>1460</v>
      </c>
      <c r="J81" s="1002" t="s">
        <v>306</v>
      </c>
      <c r="K81" s="258"/>
      <c r="L81" s="6"/>
    </row>
    <row r="82" spans="1:12" hidden="1" x14ac:dyDescent="0.25">
      <c r="A82" s="1101">
        <f>IF(A84=2,2,0)</f>
        <v>2</v>
      </c>
      <c r="B82" s="16"/>
      <c r="C82" s="92"/>
      <c r="D82" s="3519"/>
      <c r="E82" s="3519"/>
      <c r="F82" s="2022" t="s">
        <v>307</v>
      </c>
      <c r="G82" s="1783" t="s">
        <v>19921</v>
      </c>
      <c r="H82" s="1783" t="s">
        <v>19914</v>
      </c>
      <c r="I82" s="1783" t="s">
        <v>19921</v>
      </c>
      <c r="J82" s="1002" t="s">
        <v>19914</v>
      </c>
      <c r="K82" s="258"/>
      <c r="L82" s="6"/>
    </row>
    <row r="83" spans="1:12" hidden="1" x14ac:dyDescent="0.25">
      <c r="A83" s="1101">
        <f>IF(A84=2,2,0)</f>
        <v>2</v>
      </c>
      <c r="B83" s="16"/>
      <c r="C83" s="92"/>
      <c r="D83" s="3519"/>
      <c r="E83" s="3519"/>
      <c r="F83" s="2022" t="s">
        <v>308</v>
      </c>
      <c r="G83" s="1783" t="s">
        <v>2023</v>
      </c>
      <c r="H83" s="1783" t="s">
        <v>1878</v>
      </c>
      <c r="I83" s="1783" t="s">
        <v>1878</v>
      </c>
      <c r="J83" s="1002" t="s">
        <v>2023</v>
      </c>
      <c r="K83" s="258"/>
      <c r="L83" s="6"/>
    </row>
    <row r="84" spans="1:12" hidden="1" x14ac:dyDescent="0.25">
      <c r="A84" s="1100">
        <f>IF(B84=TRUE,1,2)</f>
        <v>2</v>
      </c>
      <c r="B84" s="1082" t="b">
        <v>0</v>
      </c>
      <c r="C84" s="3567"/>
      <c r="D84" s="3568" t="str">
        <f>IF(Income_RentAdjType&lt;&gt;"Qualitative","Adjustment","Relative Comparison")</f>
        <v>Adjustment</v>
      </c>
      <c r="E84" s="3569"/>
      <c r="F84" s="3570"/>
      <c r="G84" s="3505">
        <f t="shared" ref="G84:I84" si="35">IF(Income_RentAdjType="Percent",IF(AND(G85=0,G86=0,G87=0),0,IF(G85&lt;&gt;0,G85,IF(G86&lt;&gt;0,G86/(G$54*G$64),G87/G$54))),IF(Income_RentAdjType="$ per Unit",IF(AND(G85=0,G86=0,G87=0),0,IF(G85&lt;&gt;0,G85*G$54,IF(G86&lt;&gt;0,G86/G$64,G87))),IF(OR(G85&gt;0,G86&gt;0,G87&gt;0),"Inferior",IF(OR(G85&lt;0,G86&lt;0,G87&lt;0),"Superior","Similar"))))</f>
        <v>0</v>
      </c>
      <c r="H84" s="3505">
        <f t="shared" si="35"/>
        <v>0</v>
      </c>
      <c r="I84" s="3505">
        <f t="shared" si="35"/>
        <v>0</v>
      </c>
      <c r="J84" s="3506">
        <f t="shared" ref="J84" si="36">IF(Income_RentAdjType="Percent",IF(AND(J85=0,J86=0,J87=0),0,IF(J85&lt;&gt;0,J85,IF(J86&lt;&gt;0,J86/(J$54*J$64),J87/J$54))),IF(Income_RentAdjType="$ per Unit",IF(AND(J85=0,J86=0,J87=0),0,IF(J85&lt;&gt;0,J85*J$54,IF(J86&lt;&gt;0,J86/J$64,J87))),IF(OR(J85&gt;0,J86&gt;0,J87&gt;0),"Inferior",IF(OR(J85&lt;0,J86&lt;0,J87&lt;0),"Superior","Similar"))))</f>
        <v>0</v>
      </c>
      <c r="K84" s="258"/>
      <c r="L84" s="6"/>
    </row>
    <row r="85" spans="1:12" hidden="1" x14ac:dyDescent="0.25">
      <c r="A85" s="1100">
        <f>IF(A84=2,2,0)</f>
        <v>2</v>
      </c>
      <c r="B85" s="16"/>
      <c r="C85" s="92"/>
      <c r="D85" s="3283"/>
      <c r="E85" s="527"/>
      <c r="F85" s="2022" t="s">
        <v>166</v>
      </c>
      <c r="G85" s="1793"/>
      <c r="H85" s="1793"/>
      <c r="I85" s="1793"/>
      <c r="J85" s="1955"/>
      <c r="K85" s="258"/>
      <c r="L85" s="6"/>
    </row>
    <row r="86" spans="1:12" hidden="1" x14ac:dyDescent="0.25">
      <c r="A86" s="1100">
        <f>IF(A85=2,2,0)</f>
        <v>2</v>
      </c>
      <c r="B86" s="16"/>
      <c r="C86" s="92"/>
      <c r="D86" s="3283"/>
      <c r="E86" s="527"/>
      <c r="F86" s="2022" t="s">
        <v>167</v>
      </c>
      <c r="G86" s="1794"/>
      <c r="H86" s="1794"/>
      <c r="I86" s="1794"/>
      <c r="J86" s="1956"/>
      <c r="K86" s="258"/>
      <c r="L86" s="6"/>
    </row>
    <row r="87" spans="1:12" hidden="1" x14ac:dyDescent="0.25">
      <c r="A87" s="1100">
        <f>IF(A86=2,2,0)</f>
        <v>2</v>
      </c>
      <c r="B87" s="16"/>
      <c r="C87" s="92"/>
      <c r="D87" s="3283"/>
      <c r="E87" s="527"/>
      <c r="F87" s="2022" t="s">
        <v>710</v>
      </c>
      <c r="G87" s="1791"/>
      <c r="H87" s="1791"/>
      <c r="I87" s="1791"/>
      <c r="J87" s="1953"/>
      <c r="K87" s="258"/>
      <c r="L87" s="6"/>
    </row>
    <row r="88" spans="1:12" ht="8.1" hidden="1" customHeight="1" x14ac:dyDescent="0.25">
      <c r="A88" s="1100">
        <f>A90</f>
        <v>2</v>
      </c>
      <c r="B88" s="16"/>
      <c r="C88" s="92"/>
      <c r="D88" s="3283"/>
      <c r="E88" s="527"/>
      <c r="F88" s="517"/>
      <c r="G88" s="3515">
        <f t="shared" ref="G88:I88" si="37">IF(AND(G91=0,G92=0,G93=0),0,IF(G91&lt;&gt;0,G91,IF(G92&lt;&gt;0,G92/(G$54*G$64),G93/G$54)))</f>
        <v>0</v>
      </c>
      <c r="H88" s="3515">
        <f t="shared" si="37"/>
        <v>0</v>
      </c>
      <c r="I88" s="3515">
        <f t="shared" si="37"/>
        <v>0</v>
      </c>
      <c r="J88" s="3516">
        <f t="shared" ref="J88" si="38">IF(AND(J91=0,J92=0,J93=0),0,IF(J91&lt;&gt;0,J91,IF(J92&lt;&gt;0,J92/(J$54*J$64),J93/J$54)))</f>
        <v>0</v>
      </c>
      <c r="K88" s="258"/>
      <c r="L88" s="6"/>
    </row>
    <row r="89" spans="1:12" hidden="1" x14ac:dyDescent="0.25">
      <c r="A89" s="1100">
        <f>A90</f>
        <v>2</v>
      </c>
      <c r="B89" s="16"/>
      <c r="C89" s="92"/>
      <c r="D89" s="1493" t="s">
        <v>305</v>
      </c>
      <c r="E89" s="3519"/>
      <c r="F89" s="718"/>
      <c r="G89" s="1799"/>
      <c r="H89" s="1799"/>
      <c r="I89" s="1799"/>
      <c r="J89" s="1961"/>
      <c r="K89" s="258"/>
      <c r="L89" s="6"/>
    </row>
    <row r="90" spans="1:12" hidden="1" x14ac:dyDescent="0.25">
      <c r="A90" s="1100">
        <f>IF(B90=TRUE,1,2)</f>
        <v>2</v>
      </c>
      <c r="B90" s="1082" t="b">
        <v>0</v>
      </c>
      <c r="C90" s="3567"/>
      <c r="D90" s="3568" t="str">
        <f>IF(Income_RentAdjType&lt;&gt;"Qualitative","Adjustment","Relative Comparison")</f>
        <v>Adjustment</v>
      </c>
      <c r="E90" s="3569"/>
      <c r="F90" s="3570"/>
      <c r="G90" s="3505">
        <f t="shared" ref="G90:I90" si="39">IF(Income_RentAdjType="Percent",IF(AND(G91=0,G92=0,G93=0),0,IF(G91&lt;&gt;0,G91,IF(G92&lt;&gt;0,G92/(G$54*G$64),G93/G$54))),IF(Income_RentAdjType="$ per Unit",IF(AND(G91=0,G92=0,G93=0),0,IF(G91&lt;&gt;0,G91*G$54,IF(G92&lt;&gt;0,G92/G$64,G93))),IF(OR(G91&gt;0,G92&gt;0,G93&gt;0),"Inferior",IF(OR(G91&lt;0,G92&lt;0,G93&lt;0),"Superior","Similar"))))</f>
        <v>0</v>
      </c>
      <c r="H90" s="3505">
        <f t="shared" si="39"/>
        <v>0</v>
      </c>
      <c r="I90" s="3505">
        <f t="shared" si="39"/>
        <v>0</v>
      </c>
      <c r="J90" s="3506">
        <f t="shared" ref="J90" si="40">IF(Income_RentAdjType="Percent",IF(AND(J91=0,J92=0,J93=0),0,IF(J91&lt;&gt;0,J91,IF(J92&lt;&gt;0,J92/(J$54*J$64),J93/J$54))),IF(Income_RentAdjType="$ per Unit",IF(AND(J91=0,J92=0,J93=0),0,IF(J91&lt;&gt;0,J91*J$54,IF(J92&lt;&gt;0,J92/J$64,J93))),IF(OR(J91&gt;0,J92&gt;0,J93&gt;0),"Inferior",IF(OR(J91&lt;0,J92&lt;0,J93&lt;0),"Superior","Similar"))))</f>
        <v>0</v>
      </c>
      <c r="K90" s="258"/>
      <c r="L90" s="6"/>
    </row>
    <row r="91" spans="1:12" hidden="1" x14ac:dyDescent="0.25">
      <c r="A91" s="1100">
        <f>IF(A90=2,2,0)</f>
        <v>2</v>
      </c>
      <c r="B91" s="16"/>
      <c r="C91" s="92"/>
      <c r="D91" s="3283"/>
      <c r="E91" s="527"/>
      <c r="F91" s="2022" t="s">
        <v>166</v>
      </c>
      <c r="G91" s="1793"/>
      <c r="H91" s="1793"/>
      <c r="I91" s="1793"/>
      <c r="J91" s="1955"/>
      <c r="K91" s="258"/>
      <c r="L91" s="6"/>
    </row>
    <row r="92" spans="1:12" hidden="1" x14ac:dyDescent="0.25">
      <c r="A92" s="1100">
        <f>IF(A91=2,2,0)</f>
        <v>2</v>
      </c>
      <c r="B92" s="16"/>
      <c r="C92" s="92"/>
      <c r="D92" s="3283"/>
      <c r="E92" s="527"/>
      <c r="F92" s="2022" t="s">
        <v>167</v>
      </c>
      <c r="G92" s="1794"/>
      <c r="H92" s="1794"/>
      <c r="I92" s="1794"/>
      <c r="J92" s="1956"/>
      <c r="K92" s="258"/>
      <c r="L92" s="6"/>
    </row>
    <row r="93" spans="1:12" hidden="1" x14ac:dyDescent="0.25">
      <c r="A93" s="1100">
        <f>IF(A92=2,2,0)</f>
        <v>2</v>
      </c>
      <c r="B93" s="16"/>
      <c r="C93" s="92"/>
      <c r="D93" s="3283"/>
      <c r="E93" s="527"/>
      <c r="F93" s="2022" t="s">
        <v>710</v>
      </c>
      <c r="G93" s="1791"/>
      <c r="H93" s="1791"/>
      <c r="I93" s="1791"/>
      <c r="J93" s="1953"/>
      <c r="K93" s="258"/>
      <c r="L93" s="6"/>
    </row>
    <row r="94" spans="1:12" ht="8.1" hidden="1" customHeight="1" x14ac:dyDescent="0.25">
      <c r="A94" s="1100">
        <f>A96</f>
        <v>2</v>
      </c>
      <c r="B94" s="16"/>
      <c r="C94" s="92"/>
      <c r="D94" s="3283"/>
      <c r="E94" s="527"/>
      <c r="F94" s="517"/>
      <c r="G94" s="3515">
        <f t="shared" ref="G94:I94" si="41">IF(AND(G97=0,G98=0,G99=0),0,IF(G97&lt;&gt;0,G97,IF(G98&lt;&gt;0,G98/(G$54*G$64),G99/G$54)))</f>
        <v>0</v>
      </c>
      <c r="H94" s="3515">
        <f t="shared" si="41"/>
        <v>0</v>
      </c>
      <c r="I94" s="3515">
        <f t="shared" si="41"/>
        <v>0</v>
      </c>
      <c r="J94" s="3516">
        <f t="shared" ref="J94" si="42">IF(AND(J97=0,J98=0,J99=0),0,IF(J97&lt;&gt;0,J97,IF(J98&lt;&gt;0,J98/(J$54*J$64),J99/J$54)))</f>
        <v>0</v>
      </c>
      <c r="K94" s="258"/>
      <c r="L94" s="6"/>
    </row>
    <row r="95" spans="1:12" hidden="1" x14ac:dyDescent="0.25">
      <c r="A95" s="1100">
        <f>A96</f>
        <v>2</v>
      </c>
      <c r="B95" s="16"/>
      <c r="C95" s="92"/>
      <c r="D95" s="1493" t="s">
        <v>191</v>
      </c>
      <c r="E95" s="527"/>
      <c r="F95" s="1746">
        <f>Subject_ClearHeight</f>
        <v>0</v>
      </c>
      <c r="G95" s="3520"/>
      <c r="H95" s="3520"/>
      <c r="I95" s="3520"/>
      <c r="J95" s="3521"/>
      <c r="K95" s="258"/>
      <c r="L95" s="6"/>
    </row>
    <row r="96" spans="1:12" hidden="1" x14ac:dyDescent="0.25">
      <c r="A96" s="1100">
        <f>IF(B96=TRUE,1,2)</f>
        <v>2</v>
      </c>
      <c r="B96" s="1082" t="b">
        <v>0</v>
      </c>
      <c r="C96" s="3567"/>
      <c r="D96" s="3568" t="str">
        <f>IF(Income_RentAdjType&lt;&gt;"Qualitative","Adjustment","Relative Comparison")</f>
        <v>Adjustment</v>
      </c>
      <c r="E96" s="3569"/>
      <c r="F96" s="3570"/>
      <c r="G96" s="3505">
        <f t="shared" ref="G96:I96" si="43">IF(Income_RentAdjType="Percent",IF(AND(G97=0,G98=0,G99=0),0,IF(G97&lt;&gt;0,G97,IF(G98&lt;&gt;0,G98/(G$54*G$64),G99/G$54))),IF(Income_RentAdjType="$ per Unit",IF(AND(G97=0,G98=0,G99=0),0,IF(G97&lt;&gt;0,G97*G$54,IF(G98&lt;&gt;0,G98/G$64,G99))),IF(OR(G97&gt;0,G98&gt;0,G99&gt;0),"Inferior",IF(OR(G97&lt;0,G98&lt;0,G99&lt;0),"Superior","Similar"))))</f>
        <v>0</v>
      </c>
      <c r="H96" s="3505">
        <f t="shared" si="43"/>
        <v>0</v>
      </c>
      <c r="I96" s="3505">
        <f t="shared" si="43"/>
        <v>0</v>
      </c>
      <c r="J96" s="3506">
        <f t="shared" ref="J96" si="44">IF(Income_RentAdjType="Percent",IF(AND(J97=0,J98=0,J99=0),0,IF(J97&lt;&gt;0,J97,IF(J98&lt;&gt;0,J98/(J$54*J$64),J99/J$54))),IF(Income_RentAdjType="$ per Unit",IF(AND(J97=0,J98=0,J99=0),0,IF(J97&lt;&gt;0,J97*J$54,IF(J98&lt;&gt;0,J98/J$64,J99))),IF(OR(J97&gt;0,J98&gt;0,J99&gt;0),"Inferior",IF(OR(J97&lt;0,J98&lt;0,J99&lt;0),"Superior","Similar"))))</f>
        <v>0</v>
      </c>
      <c r="K96" s="258"/>
      <c r="L96" s="6"/>
    </row>
    <row r="97" spans="1:12" hidden="1" x14ac:dyDescent="0.25">
      <c r="A97" s="1100">
        <f>IF(A96=2,2,0)</f>
        <v>2</v>
      </c>
      <c r="B97" s="16"/>
      <c r="C97" s="92"/>
      <c r="D97" s="3283"/>
      <c r="E97" s="527"/>
      <c r="F97" s="2022" t="s">
        <v>166</v>
      </c>
      <c r="G97" s="1793"/>
      <c r="H97" s="1793"/>
      <c r="I97" s="1793"/>
      <c r="J97" s="1955"/>
      <c r="K97" s="258"/>
      <c r="L97" s="6"/>
    </row>
    <row r="98" spans="1:12" hidden="1" x14ac:dyDescent="0.25">
      <c r="A98" s="1100">
        <f>IF(A97=2,2,0)</f>
        <v>2</v>
      </c>
      <c r="B98" s="16"/>
      <c r="C98" s="92"/>
      <c r="D98" s="3283"/>
      <c r="E98" s="527"/>
      <c r="F98" s="2022" t="s">
        <v>167</v>
      </c>
      <c r="G98" s="1794"/>
      <c r="H98" s="1794"/>
      <c r="I98" s="1794"/>
      <c r="J98" s="1956"/>
      <c r="K98" s="258"/>
      <c r="L98" s="6"/>
    </row>
    <row r="99" spans="1:12" hidden="1" x14ac:dyDescent="0.25">
      <c r="A99" s="1100">
        <f>IF(A98=2,2,0)</f>
        <v>2</v>
      </c>
      <c r="B99" s="16"/>
      <c r="C99" s="92"/>
      <c r="D99" s="3283"/>
      <c r="E99" s="527"/>
      <c r="F99" s="2022" t="s">
        <v>710</v>
      </c>
      <c r="G99" s="1791"/>
      <c r="H99" s="1791"/>
      <c r="I99" s="1791"/>
      <c r="J99" s="1953"/>
      <c r="K99" s="258"/>
      <c r="L99" s="6"/>
    </row>
    <row r="100" spans="1:12" ht="8.1" hidden="1" customHeight="1" x14ac:dyDescent="0.25">
      <c r="A100" s="1100">
        <f>A102</f>
        <v>2</v>
      </c>
      <c r="B100" s="16"/>
      <c r="C100" s="92"/>
      <c r="D100" s="3283"/>
      <c r="E100" s="527"/>
      <c r="F100" s="517"/>
      <c r="G100" s="3515">
        <f t="shared" ref="G100:I100" si="45">IF(AND(G103=0,G104=0,G105=0),0,IF(G103&lt;&gt;0,G103,IF(G104&lt;&gt;0,G104/(G$54*G$64),G105/G$54)))</f>
        <v>0</v>
      </c>
      <c r="H100" s="3515">
        <f t="shared" si="45"/>
        <v>0</v>
      </c>
      <c r="I100" s="3515">
        <f t="shared" si="45"/>
        <v>0</v>
      </c>
      <c r="J100" s="3516">
        <f t="shared" ref="J100" si="46">IF(AND(J103=0,J104=0,J105=0),0,IF(J103&lt;&gt;0,J103,IF(J104&lt;&gt;0,J104/(J$54*J$64),J105/J$54)))</f>
        <v>0</v>
      </c>
      <c r="K100" s="258"/>
      <c r="L100" s="6"/>
    </row>
    <row r="101" spans="1:12" hidden="1" x14ac:dyDescent="0.25">
      <c r="A101" s="1100">
        <f>A102</f>
        <v>2</v>
      </c>
      <c r="B101" s="16"/>
      <c r="C101" s="92"/>
      <c r="D101" s="1493" t="s">
        <v>285</v>
      </c>
      <c r="E101" s="527"/>
      <c r="F101" s="1747">
        <f>Subject_PercentOfficeFinish</f>
        <v>7.4999999999999997E-2</v>
      </c>
      <c r="G101" s="1897"/>
      <c r="H101" s="1897"/>
      <c r="I101" s="1897"/>
      <c r="J101" s="1989"/>
      <c r="K101" s="258"/>
      <c r="L101" s="6"/>
    </row>
    <row r="102" spans="1:12" hidden="1" x14ac:dyDescent="0.25">
      <c r="A102" s="1100">
        <f>IF(B102=TRUE,1,2)</f>
        <v>2</v>
      </c>
      <c r="B102" s="1082" t="b">
        <v>0</v>
      </c>
      <c r="C102" s="3567"/>
      <c r="D102" s="3568" t="str">
        <f>IF(Income_RentAdjType&lt;&gt;"Qualitative","Adjustment","Relative Comparison")</f>
        <v>Adjustment</v>
      </c>
      <c r="E102" s="3569"/>
      <c r="F102" s="3570"/>
      <c r="G102" s="3505">
        <f t="shared" ref="G102:I102" si="47">IF(Income_RentAdjType="Percent",IF(AND(G103=0,G104=0,G105=0),0,IF(G103&lt;&gt;0,G103,IF(G104&lt;&gt;0,G104/(G$54*G$64),G105/G$54))),IF(Income_RentAdjType="$ per Unit",IF(AND(G103=0,G104=0,G105=0),0,IF(G103&lt;&gt;0,G103*G$54,IF(G104&lt;&gt;0,G104/G$64,G105))),IF(OR(G103&gt;0,G104&gt;0,G105&gt;0),"Inferior",IF(OR(G103&lt;0,G104&lt;0,G105&lt;0),"Superior","Similar"))))</f>
        <v>0</v>
      </c>
      <c r="H102" s="3505">
        <f t="shared" si="47"/>
        <v>0</v>
      </c>
      <c r="I102" s="3505">
        <f t="shared" si="47"/>
        <v>0</v>
      </c>
      <c r="J102" s="3506">
        <f t="shared" ref="J102" si="48">IF(Income_RentAdjType="Percent",IF(AND(J103=0,J104=0,J105=0),0,IF(J103&lt;&gt;0,J103,IF(J104&lt;&gt;0,J104/(J$54*J$64),J105/J$54))),IF(Income_RentAdjType="$ per Unit",IF(AND(J103=0,J104=0,J105=0),0,IF(J103&lt;&gt;0,J103*J$54,IF(J104&lt;&gt;0,J104/J$64,J105))),IF(OR(J103&gt;0,J104&gt;0,J105&gt;0),"Inferior",IF(OR(J103&lt;0,J104&lt;0,J105&lt;0),"Superior","Similar"))))</f>
        <v>0</v>
      </c>
      <c r="K102" s="258"/>
      <c r="L102" s="6"/>
    </row>
    <row r="103" spans="1:12" hidden="1" x14ac:dyDescent="0.25">
      <c r="A103" s="1100">
        <f>IF(A102=2,2,0)</f>
        <v>2</v>
      </c>
      <c r="B103" s="16"/>
      <c r="C103" s="92"/>
      <c r="D103" s="3283"/>
      <c r="E103" s="527"/>
      <c r="F103" s="2022" t="s">
        <v>166</v>
      </c>
      <c r="G103" s="1793"/>
      <c r="H103" s="1793"/>
      <c r="I103" s="1793"/>
      <c r="J103" s="1955"/>
      <c r="K103" s="258"/>
      <c r="L103" s="6"/>
    </row>
    <row r="104" spans="1:12" hidden="1" x14ac:dyDescent="0.25">
      <c r="A104" s="1100">
        <f>IF(A103=2,2,0)</f>
        <v>2</v>
      </c>
      <c r="B104" s="16"/>
      <c r="C104" s="92"/>
      <c r="D104" s="3283"/>
      <c r="E104" s="527"/>
      <c r="F104" s="2022" t="s">
        <v>167</v>
      </c>
      <c r="G104" s="1794"/>
      <c r="H104" s="1794"/>
      <c r="I104" s="1794"/>
      <c r="J104" s="1956"/>
      <c r="K104" s="258"/>
      <c r="L104" s="6"/>
    </row>
    <row r="105" spans="1:12" hidden="1" x14ac:dyDescent="0.25">
      <c r="A105" s="1100">
        <f>IF(A104=2,2,0)</f>
        <v>2</v>
      </c>
      <c r="B105" s="16"/>
      <c r="C105" s="92"/>
      <c r="D105" s="3283"/>
      <c r="E105" s="527"/>
      <c r="F105" s="2022" t="s">
        <v>710</v>
      </c>
      <c r="G105" s="1791"/>
      <c r="H105" s="1791"/>
      <c r="I105" s="1791"/>
      <c r="J105" s="1953"/>
      <c r="K105" s="258"/>
      <c r="L105" s="6"/>
    </row>
    <row r="106" spans="1:12" ht="8.1" hidden="1" customHeight="1" x14ac:dyDescent="0.25">
      <c r="A106" s="1100">
        <f>A108</f>
        <v>2</v>
      </c>
      <c r="B106" s="16"/>
      <c r="C106" s="92"/>
      <c r="D106" s="3283"/>
      <c r="E106" s="527"/>
      <c r="F106" s="517"/>
      <c r="G106" s="3515">
        <f t="shared" ref="G106:I106" si="49">IF(AND(G109=0,G110=0,G111=0),0,IF(G109&lt;&gt;0,G109,IF(G110&lt;&gt;0,G110/(G$54*G$64),G111/G$54)))</f>
        <v>0</v>
      </c>
      <c r="H106" s="3515">
        <f t="shared" si="49"/>
        <v>0</v>
      </c>
      <c r="I106" s="3515">
        <f t="shared" si="49"/>
        <v>0</v>
      </c>
      <c r="J106" s="3516">
        <f t="shared" ref="J106" si="50">IF(AND(J109=0,J110=0,J111=0),0,IF(J109&lt;&gt;0,J109,IF(J110&lt;&gt;0,J110/(J$54*J$64),J111/J$54)))</f>
        <v>0</v>
      </c>
      <c r="K106" s="258"/>
      <c r="L106" s="6"/>
    </row>
    <row r="107" spans="1:12" hidden="1" x14ac:dyDescent="0.25">
      <c r="A107" s="1100">
        <f>A108</f>
        <v>2</v>
      </c>
      <c r="B107" s="16"/>
      <c r="C107" s="92"/>
      <c r="D107" s="1493" t="s">
        <v>286</v>
      </c>
      <c r="E107" s="527"/>
      <c r="F107" s="1748">
        <f>Subject_LtoBRatio_Usable</f>
        <v>20.7</v>
      </c>
      <c r="G107" s="3522"/>
      <c r="H107" s="3522">
        <v>5.13</v>
      </c>
      <c r="I107" s="3522">
        <v>4.59</v>
      </c>
      <c r="J107" s="3523">
        <v>3.24</v>
      </c>
      <c r="K107" s="258"/>
      <c r="L107" s="6"/>
    </row>
    <row r="108" spans="1:12" hidden="1" x14ac:dyDescent="0.25">
      <c r="A108" s="1100">
        <f>IF(B108=TRUE,1,2)</f>
        <v>2</v>
      </c>
      <c r="B108" s="1082" t="b">
        <v>0</v>
      </c>
      <c r="C108" s="3567"/>
      <c r="D108" s="3568" t="str">
        <f>IF(Income_RentAdjType&lt;&gt;"Qualitative","Adjustment","Relative Comparison")</f>
        <v>Adjustment</v>
      </c>
      <c r="E108" s="3569"/>
      <c r="F108" s="3570"/>
      <c r="G108" s="3505">
        <f t="shared" ref="G108:I108" si="51">IF(Income_RentAdjType="Percent",IF(AND(G109=0,G110=0,G111=0),0,IF(G109&lt;&gt;0,G109,IF(G110&lt;&gt;0,G110/(G$54*G$64),G111/G$54))),IF(Income_RentAdjType="$ per Unit",IF(AND(G109=0,G110=0,G111=0),0,IF(G109&lt;&gt;0,G109*G$54,IF(G110&lt;&gt;0,G110/G$64,G111))),IF(OR(G109&gt;0,G110&gt;0,G111&gt;0),"Inferior",IF(OR(G109&lt;0,G110&lt;0,G111&lt;0),"Superior","Similar"))))</f>
        <v>0</v>
      </c>
      <c r="H108" s="3505">
        <f t="shared" si="51"/>
        <v>0</v>
      </c>
      <c r="I108" s="3505">
        <f t="shared" si="51"/>
        <v>0</v>
      </c>
      <c r="J108" s="3506">
        <f t="shared" ref="J108" si="52">IF(Income_RentAdjType="Percent",IF(AND(J109=0,J110=0,J111=0),0,IF(J109&lt;&gt;0,J109,IF(J110&lt;&gt;0,J110/(J$54*J$64),J111/J$54))),IF(Income_RentAdjType="$ per Unit",IF(AND(J109=0,J110=0,J111=0),0,IF(J109&lt;&gt;0,J109*J$54,IF(J110&lt;&gt;0,J110/J$64,J111))),IF(OR(J109&gt;0,J110&gt;0,J111&gt;0),"Inferior",IF(OR(J109&lt;0,J110&lt;0,J111&lt;0),"Superior","Similar"))))</f>
        <v>0</v>
      </c>
      <c r="K108" s="258"/>
      <c r="L108" s="6"/>
    </row>
    <row r="109" spans="1:12" hidden="1" x14ac:dyDescent="0.25">
      <c r="A109" s="1100">
        <f>IF(A108=2,2,0)</f>
        <v>2</v>
      </c>
      <c r="B109" s="16"/>
      <c r="C109" s="92"/>
      <c r="D109" s="3283"/>
      <c r="E109" s="527"/>
      <c r="F109" s="2022" t="s">
        <v>166</v>
      </c>
      <c r="G109" s="1793"/>
      <c r="H109" s="1793"/>
      <c r="I109" s="1793"/>
      <c r="J109" s="1955"/>
      <c r="K109" s="258"/>
      <c r="L109" s="6"/>
    </row>
    <row r="110" spans="1:12" hidden="1" x14ac:dyDescent="0.25">
      <c r="A110" s="1100">
        <f>IF(A109=2,2,0)</f>
        <v>2</v>
      </c>
      <c r="B110" s="16"/>
      <c r="C110" s="92"/>
      <c r="D110" s="3283"/>
      <c r="E110" s="527"/>
      <c r="F110" s="2022" t="s">
        <v>167</v>
      </c>
      <c r="G110" s="1794"/>
      <c r="H110" s="1794"/>
      <c r="I110" s="1794"/>
      <c r="J110" s="1956"/>
      <c r="K110" s="258"/>
      <c r="L110" s="6"/>
    </row>
    <row r="111" spans="1:12" hidden="1" x14ac:dyDescent="0.25">
      <c r="A111" s="1100">
        <f>IF(A110=2,2,0)</f>
        <v>2</v>
      </c>
      <c r="B111" s="16"/>
      <c r="C111" s="92"/>
      <c r="D111" s="3283"/>
      <c r="E111" s="527"/>
      <c r="F111" s="2022" t="s">
        <v>710</v>
      </c>
      <c r="G111" s="1791"/>
      <c r="H111" s="1791"/>
      <c r="I111" s="1791"/>
      <c r="J111" s="1953"/>
      <c r="K111" s="258"/>
      <c r="L111" s="6"/>
    </row>
    <row r="112" spans="1:12" ht="8.1" hidden="1" customHeight="1" x14ac:dyDescent="0.25">
      <c r="A112" s="1100">
        <f>A114</f>
        <v>2</v>
      </c>
      <c r="B112" s="16"/>
      <c r="C112" s="92"/>
      <c r="D112" s="3283"/>
      <c r="E112" s="527"/>
      <c r="F112" s="517"/>
      <c r="G112" s="3515">
        <f t="shared" ref="G112:I112" si="53">IF(AND(G115=0,G116=0,G117=0),0,IF(G115&lt;&gt;0,G115,IF(G116&lt;&gt;0,G116/(G$54*G$64),G117/G$54)))</f>
        <v>0</v>
      </c>
      <c r="H112" s="3515">
        <f t="shared" si="53"/>
        <v>0</v>
      </c>
      <c r="I112" s="3515">
        <f t="shared" si="53"/>
        <v>0</v>
      </c>
      <c r="J112" s="3516">
        <f t="shared" ref="J112" si="54">IF(AND(J115=0,J116=0,J117=0),0,IF(J115&lt;&gt;0,J115,IF(J116&lt;&gt;0,J116/(J$54*J$64),J117/J$54)))</f>
        <v>0</v>
      </c>
      <c r="K112" s="258"/>
      <c r="L112" s="6"/>
    </row>
    <row r="113" spans="1:12" hidden="1" x14ac:dyDescent="0.25">
      <c r="A113" s="1100">
        <f>A114</f>
        <v>2</v>
      </c>
      <c r="B113" s="16"/>
      <c r="C113" s="92"/>
      <c r="D113" s="1493" t="s">
        <v>1018</v>
      </c>
      <c r="E113" s="2984"/>
      <c r="F113" s="1749">
        <f>Subject_ParkingRatio</f>
        <v>2.95</v>
      </c>
      <c r="G113" s="3524">
        <v>5.19</v>
      </c>
      <c r="H113" s="3524">
        <v>18.920000000000002</v>
      </c>
      <c r="I113" s="3524">
        <v>5.25</v>
      </c>
      <c r="J113" s="3525">
        <v>3.02</v>
      </c>
      <c r="K113" s="258"/>
      <c r="L113" s="6"/>
    </row>
    <row r="114" spans="1:12" ht="14.25" hidden="1" customHeight="1" x14ac:dyDescent="0.25">
      <c r="A114" s="1100">
        <f>IF(B114=TRUE,1,2)</f>
        <v>2</v>
      </c>
      <c r="B114" s="1082" t="b">
        <v>0</v>
      </c>
      <c r="C114" s="92"/>
      <c r="D114" s="3568" t="str">
        <f>IF(Income_RentAdjType&lt;&gt;"Qualitative","Adjustment","Relative Comparison")</f>
        <v>Adjustment</v>
      </c>
      <c r="E114" s="3569"/>
      <c r="F114" s="3570"/>
      <c r="G114" s="3505">
        <f t="shared" ref="G114:I114" si="55">IF(Income_RentAdjType="Percent",IF(AND(G115=0,G116=0,G117=0),0,IF(G115&lt;&gt;0,G115,IF(G116&lt;&gt;0,G116/(G$54*G$64),G117/G$54))),IF(Income_RentAdjType="$ per Unit",IF(AND(G115=0,G116=0,G117=0),0,IF(G115&lt;&gt;0,G115*G$54,IF(G116&lt;&gt;0,G116/G$64,G117))),IF(OR(G115&gt;0,G116&gt;0,G117&gt;0),"Inferior",IF(OR(G115&lt;0,G116&lt;0,G117&lt;0),"Superior","Similar"))))</f>
        <v>0</v>
      </c>
      <c r="H114" s="3505">
        <f t="shared" si="55"/>
        <v>0</v>
      </c>
      <c r="I114" s="3505">
        <f t="shared" si="55"/>
        <v>0</v>
      </c>
      <c r="J114" s="3506">
        <f t="shared" ref="J114" si="56">IF(Income_RentAdjType="Percent",IF(AND(J115=0,J116=0,J117=0),0,IF(J115&lt;&gt;0,J115,IF(J116&lt;&gt;0,J116/(J$54*J$64),J117/J$54))),IF(Income_RentAdjType="$ per Unit",IF(AND(J115=0,J116=0,J117=0),0,IF(J115&lt;&gt;0,J115*J$54,IF(J116&lt;&gt;0,J116/J$64,J117))),IF(OR(J115&gt;0,J116&gt;0,J117&gt;0),"Inferior",IF(OR(J115&lt;0,J116&lt;0,J117&lt;0),"Superior","Similar"))))</f>
        <v>0</v>
      </c>
      <c r="K114" s="258"/>
      <c r="L114" s="6"/>
    </row>
    <row r="115" spans="1:12" ht="14.25" hidden="1" customHeight="1" x14ac:dyDescent="0.25">
      <c r="A115" s="1100">
        <f>IF(A114=2,2,0)</f>
        <v>2</v>
      </c>
      <c r="B115" s="16"/>
      <c r="C115" s="92"/>
      <c r="D115" s="3283"/>
      <c r="E115" s="527"/>
      <c r="F115" s="2022" t="s">
        <v>166</v>
      </c>
      <c r="G115" s="1793"/>
      <c r="H115" s="1793"/>
      <c r="I115" s="1793"/>
      <c r="J115" s="1955"/>
      <c r="K115" s="258"/>
      <c r="L115" s="6"/>
    </row>
    <row r="116" spans="1:12" ht="14.25" hidden="1" customHeight="1" x14ac:dyDescent="0.25">
      <c r="A116" s="1100">
        <f>IF(A115=2,2,0)</f>
        <v>2</v>
      </c>
      <c r="B116" s="16"/>
      <c r="C116" s="92"/>
      <c r="D116" s="3283"/>
      <c r="E116" s="527"/>
      <c r="F116" s="2022" t="s">
        <v>167</v>
      </c>
      <c r="G116" s="1794"/>
      <c r="H116" s="1794"/>
      <c r="I116" s="1794"/>
      <c r="J116" s="1956"/>
      <c r="K116" s="258"/>
      <c r="L116" s="6"/>
    </row>
    <row r="117" spans="1:12" ht="14.25" hidden="1" customHeight="1" x14ac:dyDescent="0.25">
      <c r="A117" s="1100">
        <f>IF(A116=2,2,0)</f>
        <v>2</v>
      </c>
      <c r="B117" s="16"/>
      <c r="C117" s="92"/>
      <c r="D117" s="3283"/>
      <c r="E117" s="527"/>
      <c r="F117" s="2022" t="s">
        <v>710</v>
      </c>
      <c r="G117" s="1791"/>
      <c r="H117" s="1791"/>
      <c r="I117" s="1791"/>
      <c r="J117" s="1953"/>
      <c r="K117" s="258"/>
      <c r="L117" s="6"/>
    </row>
    <row r="118" spans="1:12" ht="8.1" hidden="1" customHeight="1" x14ac:dyDescent="0.25">
      <c r="A118" s="1100">
        <f>A120</f>
        <v>2</v>
      </c>
      <c r="B118" s="16"/>
      <c r="C118" s="92"/>
      <c r="D118" s="3283"/>
      <c r="E118" s="527"/>
      <c r="F118" s="517"/>
      <c r="G118" s="3515">
        <f t="shared" ref="G118:I118" si="57">IF(AND(G121=0,G122=0,G123=0),0,IF(G121&lt;&gt;0,G121,IF(G122&lt;&gt;0,G122/(G$54*G$64),G123/G$54)))</f>
        <v>0</v>
      </c>
      <c r="H118" s="3515">
        <f t="shared" si="57"/>
        <v>0</v>
      </c>
      <c r="I118" s="3515">
        <f t="shared" si="57"/>
        <v>0</v>
      </c>
      <c r="J118" s="3516">
        <f t="shared" ref="J118" si="58">IF(AND(J121=0,J122=0,J123=0),0,IF(J121&lt;&gt;0,J121,IF(J122&lt;&gt;0,J122/(J$54*J$64),J123/J$54)))</f>
        <v>0</v>
      </c>
      <c r="K118" s="258"/>
      <c r="L118" s="6"/>
    </row>
    <row r="119" spans="1:12" hidden="1" x14ac:dyDescent="0.25">
      <c r="A119" s="1100">
        <f>A120</f>
        <v>2</v>
      </c>
      <c r="B119" s="277"/>
      <c r="C119" s="92"/>
      <c r="D119" s="1493" t="s">
        <v>292</v>
      </c>
      <c r="E119" s="527"/>
      <c r="F119" s="718"/>
      <c r="G119" s="1897" t="s">
        <v>19945</v>
      </c>
      <c r="H119" s="1897" t="s">
        <v>19957</v>
      </c>
      <c r="I119" s="1897" t="s">
        <v>19957</v>
      </c>
      <c r="J119" s="1989" t="s">
        <v>19944</v>
      </c>
      <c r="K119" s="258"/>
      <c r="L119" s="6"/>
    </row>
    <row r="120" spans="1:12" hidden="1" x14ac:dyDescent="0.25">
      <c r="A120" s="1100">
        <f>IF(B120=TRUE,1,2)</f>
        <v>2</v>
      </c>
      <c r="B120" s="1082" t="b">
        <v>0</v>
      </c>
      <c r="C120" s="3567"/>
      <c r="D120" s="3568" t="str">
        <f>IF(Income_RentAdjType&lt;&gt;"Qualitative","Adjustment","Relative Comparison")</f>
        <v>Adjustment</v>
      </c>
      <c r="E120" s="3569"/>
      <c r="F120" s="3570"/>
      <c r="G120" s="3505">
        <f t="shared" ref="G120:I120" si="59">IF(Income_RentAdjType="Percent",IF(AND(G121=0,G122=0,G123=0),0,IF(G121&lt;&gt;0,G121,IF(G122&lt;&gt;0,G122/(G$54*G$64),G123/G$54))),IF(Income_RentAdjType="$ per Unit",IF(AND(G121=0,G122=0,G123=0),0,IF(G121&lt;&gt;0,G121*G$54,IF(G122&lt;&gt;0,G122/G$64,G123))),IF(OR(G121&gt;0,G122&gt;0,G123&gt;0),"Inferior",IF(OR(G121&lt;0,G122&lt;0,G123&lt;0),"Superior","Similar"))))</f>
        <v>0</v>
      </c>
      <c r="H120" s="3505">
        <f t="shared" si="59"/>
        <v>0</v>
      </c>
      <c r="I120" s="3505">
        <f t="shared" si="59"/>
        <v>0</v>
      </c>
      <c r="J120" s="3506">
        <f t="shared" ref="J120" si="60">IF(Income_RentAdjType="Percent",IF(AND(J121=0,J122=0,J123=0),0,IF(J121&lt;&gt;0,J121,IF(J122&lt;&gt;0,J122/(J$54*J$64),J123/J$54))),IF(Income_RentAdjType="$ per Unit",IF(AND(J121=0,J122=0,J123=0),0,IF(J121&lt;&gt;0,J121*J$54,IF(J122&lt;&gt;0,J122/J$64,J123))),IF(OR(J121&gt;0,J122&gt;0,J123&gt;0),"Inferior",IF(OR(J121&lt;0,J122&lt;0,J123&lt;0),"Superior","Similar"))))</f>
        <v>0</v>
      </c>
      <c r="K120" s="258"/>
      <c r="L120" s="6"/>
    </row>
    <row r="121" spans="1:12" hidden="1" x14ac:dyDescent="0.25">
      <c r="A121" s="1100">
        <f>IF(A120=2,2,0)</f>
        <v>2</v>
      </c>
      <c r="B121" s="16"/>
      <c r="C121" s="92"/>
      <c r="D121" s="3283"/>
      <c r="E121" s="527"/>
      <c r="F121" s="2022" t="s">
        <v>166</v>
      </c>
      <c r="G121" s="1793"/>
      <c r="H121" s="1793"/>
      <c r="I121" s="1793"/>
      <c r="J121" s="1955"/>
      <c r="K121" s="258"/>
      <c r="L121" s="6"/>
    </row>
    <row r="122" spans="1:12" hidden="1" x14ac:dyDescent="0.25">
      <c r="A122" s="1100">
        <f>IF(A121=2,2,0)</f>
        <v>2</v>
      </c>
      <c r="B122" s="16"/>
      <c r="C122" s="92"/>
      <c r="D122" s="3283"/>
      <c r="E122" s="527"/>
      <c r="F122" s="2022" t="s">
        <v>167</v>
      </c>
      <c r="G122" s="1794"/>
      <c r="H122" s="1794"/>
      <c r="I122" s="1794"/>
      <c r="J122" s="1956"/>
      <c r="K122" s="258"/>
      <c r="L122" s="6"/>
    </row>
    <row r="123" spans="1:12" hidden="1" x14ac:dyDescent="0.25">
      <c r="A123" s="1100">
        <f>IF(A122=2,2,0)</f>
        <v>2</v>
      </c>
      <c r="B123" s="16"/>
      <c r="C123" s="92"/>
      <c r="D123" s="3283"/>
      <c r="E123" s="527"/>
      <c r="F123" s="2022" t="s">
        <v>710</v>
      </c>
      <c r="G123" s="1791"/>
      <c r="H123" s="1791"/>
      <c r="I123" s="1791"/>
      <c r="J123" s="1953"/>
      <c r="K123" s="258"/>
      <c r="L123" s="6"/>
    </row>
    <row r="124" spans="1:12" ht="8.1" hidden="1" customHeight="1" x14ac:dyDescent="0.25">
      <c r="A124" s="1100">
        <f>A127</f>
        <v>2</v>
      </c>
      <c r="B124" s="16"/>
      <c r="C124" s="92"/>
      <c r="D124" s="3283"/>
      <c r="E124" s="527"/>
      <c r="F124" s="517"/>
      <c r="G124" s="3515">
        <f t="shared" ref="G124:I124" si="61">IF(AND(G128=0,G129=0,G130=0),0,IF(G128&lt;&gt;0,G128,IF(G129&lt;&gt;0,G129/(G$54*G$64),G130/G$54)))</f>
        <v>0</v>
      </c>
      <c r="H124" s="3515">
        <f t="shared" si="61"/>
        <v>0</v>
      </c>
      <c r="I124" s="3515">
        <f t="shared" si="61"/>
        <v>0</v>
      </c>
      <c r="J124" s="3516">
        <f t="shared" ref="J124" si="62">IF(AND(J128=0,J129=0,J130=0),0,IF(J128&lt;&gt;0,J128,IF(J129&lt;&gt;0,J129/(J$54*J$64),J130/J$54)))</f>
        <v>0</v>
      </c>
      <c r="K124" s="258"/>
      <c r="L124" s="6"/>
    </row>
    <row r="125" spans="1:12" hidden="1" x14ac:dyDescent="0.25">
      <c r="A125" s="1100">
        <v>2</v>
      </c>
      <c r="B125" s="16"/>
      <c r="C125" s="92"/>
      <c r="D125" s="3283"/>
      <c r="E125" s="527"/>
      <c r="F125" s="517"/>
      <c r="G125" s="3573">
        <v>60</v>
      </c>
      <c r="H125" s="3573">
        <v>120</v>
      </c>
      <c r="I125" s="3573">
        <v>60</v>
      </c>
      <c r="J125" s="3574">
        <v>60</v>
      </c>
      <c r="K125" s="258"/>
      <c r="L125" s="6"/>
    </row>
    <row r="126" spans="1:12" hidden="1" x14ac:dyDescent="0.25">
      <c r="A126" s="1100">
        <f>A127</f>
        <v>2</v>
      </c>
      <c r="B126" s="16"/>
      <c r="C126" s="92"/>
      <c r="D126" s="1493" t="s">
        <v>293</v>
      </c>
      <c r="E126" s="527"/>
      <c r="F126" s="718"/>
      <c r="G126" s="3575">
        <f t="shared" ref="G126:I126" si="63">G125/12</f>
        <v>5</v>
      </c>
      <c r="H126" s="3575">
        <f t="shared" si="63"/>
        <v>10</v>
      </c>
      <c r="I126" s="3575">
        <f t="shared" si="63"/>
        <v>5</v>
      </c>
      <c r="J126" s="3576">
        <f t="shared" ref="J126" si="64">J125/12</f>
        <v>5</v>
      </c>
      <c r="K126" s="258"/>
      <c r="L126" s="6"/>
    </row>
    <row r="127" spans="1:12" hidden="1" x14ac:dyDescent="0.25">
      <c r="A127" s="1100">
        <f>IF(B127=TRUE,1,2)</f>
        <v>2</v>
      </c>
      <c r="B127" s="1082" t="b">
        <v>0</v>
      </c>
      <c r="C127" s="3567"/>
      <c r="D127" s="3568" t="str">
        <f>IF(Income_RentAdjType&lt;&gt;"Qualitative","Adjustment","Relative Comparison")</f>
        <v>Adjustment</v>
      </c>
      <c r="E127" s="3569"/>
      <c r="F127" s="3570"/>
      <c r="G127" s="3505">
        <f t="shared" ref="G127:I127" si="65">IF(Income_RentAdjType="Percent",IF(AND(G128=0,G129=0,G130=0),0,IF(G128&lt;&gt;0,G128,IF(G129&lt;&gt;0,G129/(G$54*G$64),G130/G$54))),IF(Income_RentAdjType="$ per Unit",IF(AND(G128=0,G129=0,G130=0),0,IF(G128&lt;&gt;0,G128*G$54,IF(G129&lt;&gt;0,G129/G$64,G130))),IF(OR(G128&gt;0,G129&gt;0,G130&gt;0),"Inferior",IF(OR(G128&lt;0,G129&lt;0,G130&lt;0),"Superior","Similar"))))</f>
        <v>0</v>
      </c>
      <c r="H127" s="3505">
        <f t="shared" si="65"/>
        <v>0</v>
      </c>
      <c r="I127" s="3505">
        <f t="shared" si="65"/>
        <v>0</v>
      </c>
      <c r="J127" s="3506">
        <f t="shared" ref="J127" si="66">IF(Income_RentAdjType="Percent",IF(AND(J128=0,J129=0,J130=0),0,IF(J128&lt;&gt;0,J128,IF(J129&lt;&gt;0,J129/(J$54*J$64),J130/J$54))),IF(Income_RentAdjType="$ per Unit",IF(AND(J128=0,J129=0,J130=0),0,IF(J128&lt;&gt;0,J128*J$54,IF(J129&lt;&gt;0,J129/J$64,J130))),IF(OR(J128&gt;0,J129&gt;0,J130&gt;0),"Inferior",IF(OR(J128&lt;0,J129&lt;0,J130&lt;0),"Superior","Similar"))))</f>
        <v>0</v>
      </c>
      <c r="K127" s="258"/>
      <c r="L127" s="6"/>
    </row>
    <row r="128" spans="1:12" hidden="1" x14ac:dyDescent="0.25">
      <c r="A128" s="1100">
        <f>IF(A127=2,2,0)</f>
        <v>2</v>
      </c>
      <c r="B128" s="16"/>
      <c r="C128" s="92"/>
      <c r="D128" s="3283"/>
      <c r="E128" s="527"/>
      <c r="F128" s="2022" t="s">
        <v>166</v>
      </c>
      <c r="G128" s="1793"/>
      <c r="H128" s="1793"/>
      <c r="I128" s="1793"/>
      <c r="J128" s="1955"/>
      <c r="K128" s="258"/>
      <c r="L128" s="6"/>
    </row>
    <row r="129" spans="1:15" hidden="1" x14ac:dyDescent="0.25">
      <c r="A129" s="1100">
        <f>IF(A128=2,2,0)</f>
        <v>2</v>
      </c>
      <c r="B129" s="16"/>
      <c r="C129" s="92"/>
      <c r="D129" s="3283"/>
      <c r="E129" s="527"/>
      <c r="F129" s="2022" t="s">
        <v>167</v>
      </c>
      <c r="G129" s="1794"/>
      <c r="H129" s="1794"/>
      <c r="I129" s="1794"/>
      <c r="J129" s="1956"/>
      <c r="K129" s="258"/>
      <c r="L129" s="6"/>
    </row>
    <row r="130" spans="1:15" hidden="1" x14ac:dyDescent="0.25">
      <c r="A130" s="1100">
        <f>IF(A129=2,2,0)</f>
        <v>2</v>
      </c>
      <c r="B130" s="16"/>
      <c r="C130" s="92"/>
      <c r="D130" s="3283"/>
      <c r="E130" s="527"/>
      <c r="F130" s="2022" t="s">
        <v>710</v>
      </c>
      <c r="G130" s="1791"/>
      <c r="H130" s="1791"/>
      <c r="I130" s="1791"/>
      <c r="J130" s="1953"/>
      <c r="K130" s="258"/>
      <c r="L130" s="6"/>
    </row>
    <row r="131" spans="1:15" ht="8.1" customHeight="1" x14ac:dyDescent="0.25">
      <c r="A131" s="1100">
        <f>A133</f>
        <v>1</v>
      </c>
      <c r="B131" s="16"/>
      <c r="C131" s="92"/>
      <c r="D131" s="3283"/>
      <c r="E131" s="527"/>
      <c r="F131" s="517"/>
      <c r="G131" s="3515">
        <f t="shared" ref="G131:I131" si="67">IF(AND(G134=0,G135=0,G136=0),0,IF(G134&lt;&gt;0,G134,IF(G135&lt;&gt;0,G135/(G$54*G$64),G136/G$54)))</f>
        <v>-0.05</v>
      </c>
      <c r="H131" s="3515">
        <f t="shared" si="67"/>
        <v>-0.05</v>
      </c>
      <c r="I131" s="3515">
        <f t="shared" si="67"/>
        <v>-0.05</v>
      </c>
      <c r="J131" s="3516">
        <f t="shared" ref="J131" si="68">IF(AND(J134=0,J135=0,J136=0),0,IF(J134&lt;&gt;0,J134,IF(J135&lt;&gt;0,J135/(J$54*J$64),J136/J$54)))</f>
        <v>-0.05</v>
      </c>
      <c r="K131" s="258"/>
      <c r="L131" s="6"/>
    </row>
    <row r="132" spans="1:15" x14ac:dyDescent="0.25">
      <c r="A132" s="1100">
        <f>A133</f>
        <v>1</v>
      </c>
      <c r="B132" s="16"/>
      <c r="C132" s="92"/>
      <c r="D132" s="1493" t="s">
        <v>20086</v>
      </c>
      <c r="E132" s="527"/>
      <c r="F132" s="718" t="s">
        <v>306</v>
      </c>
      <c r="G132" s="1799" t="s">
        <v>1464</v>
      </c>
      <c r="H132" s="1799" t="s">
        <v>1464</v>
      </c>
      <c r="I132" s="1799" t="s">
        <v>1464</v>
      </c>
      <c r="J132" s="1961" t="s">
        <v>1464</v>
      </c>
      <c r="K132" s="258"/>
      <c r="L132" s="6"/>
    </row>
    <row r="133" spans="1:15" x14ac:dyDescent="0.25">
      <c r="A133" s="1100">
        <f>IF(B133=TRUE,1,2)</f>
        <v>1</v>
      </c>
      <c r="B133" s="1082" t="b">
        <v>1</v>
      </c>
      <c r="C133" s="3567"/>
      <c r="D133" s="3568" t="str">
        <f>IF(Income_RentAdjType&lt;&gt;"Qualitative","Adjustment","Relative Comparison")</f>
        <v>Adjustment</v>
      </c>
      <c r="E133" s="3569"/>
      <c r="F133" s="3570"/>
      <c r="G133" s="3505">
        <f t="shared" ref="G133:I133" si="69">IF(Income_RentAdjType="Percent",IF(AND(G134=0,G135=0,G136=0),0,IF(G134&lt;&gt;0,G134,IF(G135&lt;&gt;0,G135/(G$54*G$64),G136/G$54))),IF(Income_RentAdjType="$ per Unit",IF(AND(G134=0,G135=0,G136=0),0,IF(G134&lt;&gt;0,G134*G$54,IF(G135&lt;&gt;0,G135/G$64,G136))),IF(OR(G134&gt;0,G135&gt;0,G136&gt;0),"Inferior",IF(OR(G134&lt;0,G135&lt;0,G136&lt;0),"Superior","Similar"))))</f>
        <v>-0.05</v>
      </c>
      <c r="H133" s="3505">
        <f t="shared" si="69"/>
        <v>-0.05</v>
      </c>
      <c r="I133" s="3505">
        <f t="shared" si="69"/>
        <v>-0.05</v>
      </c>
      <c r="J133" s="3506">
        <f t="shared" ref="J133" si="70">IF(Income_RentAdjType="Percent",IF(AND(J134=0,J135=0,J136=0),0,IF(J134&lt;&gt;0,J134,IF(J135&lt;&gt;0,J135/(J$54*J$64),J136/J$54))),IF(Income_RentAdjType="$ per Unit",IF(AND(J134=0,J135=0,J136=0),0,IF(J134&lt;&gt;0,J134*J$54,IF(J135&lt;&gt;0,J135/J$64,J136))),IF(OR(J134&gt;0,J135&gt;0,J136&gt;0),"Inferior",IF(OR(J134&lt;0,J135&lt;0,J136&lt;0),"Superior","Similar"))))</f>
        <v>-0.05</v>
      </c>
      <c r="K133" s="258"/>
      <c r="L133" s="6"/>
    </row>
    <row r="134" spans="1:15" hidden="1" x14ac:dyDescent="0.25">
      <c r="A134" s="1100">
        <f>IF(A133=2,2,0)</f>
        <v>0</v>
      </c>
      <c r="B134" s="16"/>
      <c r="C134" s="92"/>
      <c r="D134" s="3283"/>
      <c r="E134" s="527"/>
      <c r="F134" s="2022" t="s">
        <v>166</v>
      </c>
      <c r="G134" s="1793">
        <v>-0.05</v>
      </c>
      <c r="H134" s="1793">
        <v>-0.05</v>
      </c>
      <c r="I134" s="1793">
        <v>-0.05</v>
      </c>
      <c r="J134" s="1955">
        <v>-0.05</v>
      </c>
      <c r="K134" s="258"/>
      <c r="L134" s="6"/>
    </row>
    <row r="135" spans="1:15" hidden="1" x14ac:dyDescent="0.25">
      <c r="A135" s="1100">
        <f>IF(A134=2,2,0)</f>
        <v>0</v>
      </c>
      <c r="B135" s="16"/>
      <c r="C135" s="92"/>
      <c r="D135" s="3283"/>
      <c r="E135" s="527"/>
      <c r="F135" s="2022" t="s">
        <v>167</v>
      </c>
      <c r="G135" s="1794"/>
      <c r="H135" s="1794"/>
      <c r="I135" s="1794"/>
      <c r="J135" s="1956"/>
      <c r="K135" s="258"/>
      <c r="L135" s="6"/>
    </row>
    <row r="136" spans="1:15" hidden="1" x14ac:dyDescent="0.25">
      <c r="A136" s="1100">
        <f>IF(A135=2,2,0)</f>
        <v>0</v>
      </c>
      <c r="B136" s="16"/>
      <c r="C136" s="92"/>
      <c r="D136" s="3283"/>
      <c r="E136" s="527"/>
      <c r="F136" s="2022" t="s">
        <v>710</v>
      </c>
      <c r="G136" s="1791"/>
      <c r="H136" s="1791"/>
      <c r="I136" s="1791"/>
      <c r="J136" s="1953"/>
      <c r="K136" s="258"/>
      <c r="L136" s="6"/>
    </row>
    <row r="137" spans="1:15" ht="8.1" hidden="1" customHeight="1" x14ac:dyDescent="0.25">
      <c r="A137" s="1100">
        <f>A139</f>
        <v>2</v>
      </c>
      <c r="B137" s="16"/>
      <c r="C137" s="92"/>
      <c r="D137" s="3283"/>
      <c r="E137" s="527"/>
      <c r="F137" s="517"/>
      <c r="G137" s="3515">
        <f t="shared" ref="G137:I137" si="71">IF(AND(G140=0,G141=0,G142=0),0,IF(G140&lt;&gt;0,G140,IF(G141&lt;&gt;0,G141/(G$54*G$64),G142/G$54)))</f>
        <v>0</v>
      </c>
      <c r="H137" s="3515">
        <f t="shared" si="71"/>
        <v>0</v>
      </c>
      <c r="I137" s="3515">
        <f t="shared" si="71"/>
        <v>0</v>
      </c>
      <c r="J137" s="3516">
        <f t="shared" ref="J137" si="72">IF(AND(J140=0,J141=0,J142=0),0,IF(J140&lt;&gt;0,J140,IF(J141&lt;&gt;0,J141/(J$54*J$64),J142/J$54)))</f>
        <v>0</v>
      </c>
      <c r="K137" s="258"/>
      <c r="L137" s="6"/>
    </row>
    <row r="138" spans="1:15" hidden="1" x14ac:dyDescent="0.25">
      <c r="A138" s="1100">
        <f>A139</f>
        <v>2</v>
      </c>
      <c r="B138" s="16"/>
      <c r="C138" s="92"/>
      <c r="D138" s="1493" t="s">
        <v>104</v>
      </c>
      <c r="E138" s="527"/>
      <c r="F138" s="718"/>
      <c r="G138" s="1799"/>
      <c r="H138" s="1799"/>
      <c r="I138" s="1799"/>
      <c r="J138" s="1961"/>
      <c r="K138" s="258"/>
      <c r="L138" s="6"/>
    </row>
    <row r="139" spans="1:15" hidden="1" x14ac:dyDescent="0.25">
      <c r="A139" s="1100">
        <f>IF(B139=TRUE,1,2)</f>
        <v>2</v>
      </c>
      <c r="B139" s="1082" t="b">
        <v>0</v>
      </c>
      <c r="C139" s="3567"/>
      <c r="D139" s="3568" t="str">
        <f>IF(Income_RentAdjType&lt;&gt;"Qualitative","Adjustment","Relative Comparison")</f>
        <v>Adjustment</v>
      </c>
      <c r="E139" s="3569"/>
      <c r="F139" s="3570"/>
      <c r="G139" s="3505">
        <f t="shared" ref="G139:I139" si="73">IF(Income_RentAdjType="Percent",IF(AND(G140=0,G141=0,G142=0),0,IF(G140&lt;&gt;0,G140,IF(G141&lt;&gt;0,G141/(G$54*G$64),G142/G$54))),IF(Income_RentAdjType="$ per Unit",IF(AND(G140=0,G141=0,G142=0),0,IF(G140&lt;&gt;0,G140*G$54,IF(G141&lt;&gt;0,G141/G$64,G142))),IF(OR(G140&gt;0,G141&gt;0,G142&gt;0),"Inferior",IF(OR(G140&lt;0,G141&lt;0,G142&lt;0),"Superior","Similar"))))</f>
        <v>0</v>
      </c>
      <c r="H139" s="3505">
        <f t="shared" si="73"/>
        <v>0</v>
      </c>
      <c r="I139" s="3505">
        <f t="shared" si="73"/>
        <v>0</v>
      </c>
      <c r="J139" s="3506">
        <f t="shared" ref="J139" si="74">IF(Income_RentAdjType="Percent",IF(AND(J140=0,J141=0,J142=0),0,IF(J140&lt;&gt;0,J140,IF(J141&lt;&gt;0,J141/(J$54*J$64),J142/J$54))),IF(Income_RentAdjType="$ per Unit",IF(AND(J140=0,J141=0,J142=0),0,IF(J140&lt;&gt;0,J140*J$54,IF(J141&lt;&gt;0,J141/J$64,J142))),IF(OR(J140&gt;0,J141&gt;0,J142&gt;0),"Inferior",IF(OR(J140&lt;0,J141&lt;0,J142&lt;0),"Superior","Similar"))))</f>
        <v>0</v>
      </c>
      <c r="K139" s="258"/>
      <c r="L139" s="6"/>
    </row>
    <row r="140" spans="1:15" hidden="1" x14ac:dyDescent="0.25">
      <c r="A140" s="1100">
        <f>IF(A139=2,2,0)</f>
        <v>2</v>
      </c>
      <c r="B140" s="16"/>
      <c r="C140" s="92"/>
      <c r="D140" s="3283"/>
      <c r="E140" s="527"/>
      <c r="F140" s="2022" t="s">
        <v>166</v>
      </c>
      <c r="G140" s="1793"/>
      <c r="H140" s="1793"/>
      <c r="I140" s="1793"/>
      <c r="J140" s="1955"/>
      <c r="K140" s="258"/>
      <c r="L140" s="6"/>
    </row>
    <row r="141" spans="1:15" hidden="1" x14ac:dyDescent="0.25">
      <c r="A141" s="1100">
        <f>IF(A140=2,2,0)</f>
        <v>2</v>
      </c>
      <c r="B141" s="16"/>
      <c r="C141" s="92"/>
      <c r="D141" s="3283"/>
      <c r="E141" s="527"/>
      <c r="F141" s="2022" t="s">
        <v>167</v>
      </c>
      <c r="G141" s="1794"/>
      <c r="H141" s="1794"/>
      <c r="I141" s="1794"/>
      <c r="J141" s="1956"/>
      <c r="K141" s="258"/>
      <c r="L141" s="6"/>
    </row>
    <row r="142" spans="1:15" ht="15" hidden="1" customHeight="1" x14ac:dyDescent="0.25">
      <c r="A142" s="1100">
        <f>IF(A141=2,2,0)</f>
        <v>2</v>
      </c>
      <c r="B142" s="16"/>
      <c r="C142" s="92"/>
      <c r="D142" s="3283"/>
      <c r="E142" s="527"/>
      <c r="F142" s="2022" t="s">
        <v>710</v>
      </c>
      <c r="G142" s="1791"/>
      <c r="H142" s="1791"/>
      <c r="I142" s="1791"/>
      <c r="J142" s="1953"/>
      <c r="K142" s="258"/>
      <c r="L142" s="6"/>
    </row>
    <row r="143" spans="1:15" x14ac:dyDescent="0.25">
      <c r="A143" s="1100">
        <v>1</v>
      </c>
      <c r="B143" s="16"/>
      <c r="C143" s="92"/>
      <c r="D143" s="3504" t="str">
        <f>IF(Income_RentAdjType&lt;&gt;"Qualitative","Net Physical Adjustment","Net Relative Comparison")</f>
        <v>Net Physical Adjustment</v>
      </c>
      <c r="E143" s="3292"/>
      <c r="F143" s="93"/>
      <c r="G143" s="3577">
        <f t="shared" ref="G143:I143" si="75">IF(Income_RentAdjType&lt;&gt;"Qualitative",SUM(G59,G65,G75,G84,G90,G96,G102,G108,G114,G120,G127,G133,G139),SUM(G55,G63,G69,G79,G88,G94,G100,G106,G112,G118,G124,G131,G137))</f>
        <v>-0.05</v>
      </c>
      <c r="H143" s="3577">
        <f t="shared" si="75"/>
        <v>-0.05</v>
      </c>
      <c r="I143" s="3577">
        <f t="shared" si="75"/>
        <v>-0.05</v>
      </c>
      <c r="J143" s="3578">
        <f t="shared" ref="J143" si="76">IF(Income_RentAdjType&lt;&gt;"Qualitative",SUM(J59,J65,J75,J84,J90,J96,J102,J108,J114,J120,J127,J133,J139),SUM(J55,J63,J69,J79,J88,J94,J100,J106,J112,J118,J124,J131,J137))</f>
        <v>-0.05</v>
      </c>
      <c r="K143" s="258"/>
      <c r="L143" s="6"/>
      <c r="O143" s="633"/>
    </row>
    <row r="144" spans="1:15" hidden="1" x14ac:dyDescent="0.25">
      <c r="A144" s="1100">
        <v>0</v>
      </c>
      <c r="B144" s="16"/>
      <c r="C144" s="258"/>
      <c r="D144" s="3283" t="str">
        <f>IF(Income_RentAdjType&lt;&gt;"Qualitative","Gross Physical Adjustment","Gross Relative Comparison")</f>
        <v>Gross Physical Adjustment</v>
      </c>
      <c r="E144" s="258"/>
      <c r="F144" s="423"/>
      <c r="G144" s="3579">
        <f t="shared" ref="G144:I144" si="77">IF(Income_RentAdjType&lt;&gt;"Qualitative",SUM(ABS(G59),ABS(G65),ABS(G75),ABS(G84),ABS(G90),ABS(G96),ABS(G102),ABS(G108),ABS(G114),ABS(G120),ABS(G127),ABS(G133),ABS(G139)),SUM(ABS(G55),ABS(G63),ABS(G69),ABS(G79),ABS(G88),ABS(G94),ABS(G100),ABS(G106),ABS(G112),ABS(G118),ABS(G124),ABS(G131),ABS(G137)))</f>
        <v>0.05</v>
      </c>
      <c r="H144" s="3579">
        <f t="shared" si="77"/>
        <v>0.05</v>
      </c>
      <c r="I144" s="3579">
        <f t="shared" si="77"/>
        <v>0.05</v>
      </c>
      <c r="J144" s="3580">
        <f t="shared" ref="J144" si="78">IF(Income_RentAdjType&lt;&gt;"Qualitative",SUM(ABS(J59),ABS(J65),ABS(J75),ABS(J84),ABS(J90),ABS(J96),ABS(J102),ABS(J108),ABS(J114),ABS(J120),ABS(J127),ABS(J133),ABS(J139)),SUM(ABS(J55),ABS(J63),ABS(J69),ABS(J79),ABS(J88),ABS(J94),ABS(J100),ABS(J106),ABS(J112),ABS(J118),ABS(J124),ABS(J131),ABS(J137)))</f>
        <v>0.05</v>
      </c>
      <c r="K144" s="258"/>
      <c r="L144" s="6"/>
      <c r="O144" s="290"/>
    </row>
    <row r="145" spans="1:20" ht="14.25" hidden="1" customHeight="1" x14ac:dyDescent="0.25">
      <c r="A145" s="1100">
        <f>IF(Income_RentAdjType="Qualitative",1,0)</f>
        <v>0</v>
      </c>
      <c r="B145" s="16"/>
      <c r="C145" s="92"/>
      <c r="D145" s="3526" t="s">
        <v>1128</v>
      </c>
      <c r="E145" s="3292"/>
      <c r="F145" s="93"/>
      <c r="G145" s="3527" t="str">
        <f t="shared" ref="G145:I145" si="79">IF(G143&gt;0,"Inferior",IF(G143&lt;0,"Superior","Similar"))</f>
        <v>Superior</v>
      </c>
      <c r="H145" s="3527" t="str">
        <f t="shared" si="79"/>
        <v>Superior</v>
      </c>
      <c r="I145" s="3527" t="str">
        <f t="shared" si="79"/>
        <v>Superior</v>
      </c>
      <c r="J145" s="3528" t="str">
        <f t="shared" ref="J145" si="80">IF(J143&gt;0,"Inferior",IF(J143&lt;0,"Superior","Similar"))</f>
        <v>Superior</v>
      </c>
      <c r="K145" s="258"/>
      <c r="L145" s="6"/>
    </row>
    <row r="146" spans="1:20" ht="20.100000000000001" customHeight="1" thickBot="1" x14ac:dyDescent="0.3">
      <c r="A146" s="1670">
        <f>IF(Income_RentAdjType="Qualitative",0,1)</f>
        <v>1</v>
      </c>
      <c r="B146" s="16"/>
      <c r="C146" s="92"/>
      <c r="D146" s="3177" t="str">
        <f>IF(dpIncome_RentUnitDisplay="Annual","Adjusted Annual Rental Rate","Adjusted Monthly Rental Rate")</f>
        <v>Adjusted Annual Rental Rate</v>
      </c>
      <c r="E146" s="3379"/>
      <c r="F146" s="93"/>
      <c r="G146" s="3581">
        <f t="shared" ref="G146:I146" si="81">IF(Income_RentAdjType="Percent",G54*(1+G143),IF(Income_RentAdjType="$ per Unit",G54+G143,""))</f>
        <v>16.86388595890411</v>
      </c>
      <c r="H146" s="3581">
        <f t="shared" si="81"/>
        <v>14.889597260273973</v>
      </c>
      <c r="I146" s="3581">
        <f t="shared" si="81"/>
        <v>15.693479452054794</v>
      </c>
      <c r="J146" s="3582">
        <f t="shared" ref="J146" si="82">IF(Income_RentAdjType="Percent",J54*(1+J143),IF(Income_RentAdjType="$ per Unit",J54+J143,""))</f>
        <v>15.145993150684932</v>
      </c>
      <c r="K146" s="258"/>
      <c r="L146" s="6"/>
    </row>
    <row r="147" spans="1:20" ht="15" customHeight="1" thickBot="1" x14ac:dyDescent="0.3">
      <c r="A147" s="972">
        <v>1</v>
      </c>
      <c r="B147" s="95"/>
      <c r="C147" s="75"/>
      <c r="D147" s="555" t="s">
        <v>876</v>
      </c>
      <c r="E147" s="167"/>
      <c r="F147" s="168"/>
      <c r="G147" s="1806"/>
      <c r="H147" s="1806"/>
      <c r="I147" s="1806"/>
      <c r="J147" s="1968"/>
      <c r="K147" s="7"/>
      <c r="L147" s="9"/>
      <c r="O147" s="150"/>
    </row>
    <row r="148" spans="1:20" ht="30" customHeight="1" thickBot="1" x14ac:dyDescent="0.3">
      <c r="A148" s="972">
        <v>1</v>
      </c>
      <c r="O148" s="728" t="str">
        <f>IF(dpIncome_RentUnitDisplay="Annual","Annual Market Rental Rate Estimate (PSF)","Monthly Market Rental Rate Estimate (PSF)")</f>
        <v>Annual Market Rental Rate Estimate (PSF)</v>
      </c>
    </row>
    <row r="149" spans="1:20" ht="15.95" customHeight="1" thickBot="1" x14ac:dyDescent="0.3">
      <c r="A149" s="972">
        <v>1</v>
      </c>
      <c r="O149" s="583">
        <v>16</v>
      </c>
    </row>
    <row r="150" spans="1:20" ht="15" thickBot="1" x14ac:dyDescent="0.3">
      <c r="A150" s="972">
        <v>1</v>
      </c>
    </row>
    <row r="151" spans="1:20" x14ac:dyDescent="0.25">
      <c r="A151" s="972">
        <v>1</v>
      </c>
      <c r="M151" s="561"/>
      <c r="N151" s="562"/>
      <c r="O151" s="562"/>
      <c r="P151" s="2"/>
      <c r="Q151" s="2"/>
      <c r="R151" s="2"/>
      <c r="S151" s="2"/>
      <c r="T151" s="2"/>
    </row>
    <row r="152" spans="1:20" ht="15" customHeight="1" x14ac:dyDescent="0.3">
      <c r="A152" s="972">
        <v>1</v>
      </c>
      <c r="M152" s="567"/>
      <c r="N152" s="246"/>
      <c r="O152" s="3780" t="s">
        <v>950</v>
      </c>
      <c r="P152" s="246"/>
      <c r="Q152" s="246"/>
      <c r="R152" s="246"/>
      <c r="S152" s="246"/>
      <c r="T152" s="246"/>
    </row>
    <row r="153" spans="1:20" ht="15" customHeight="1" x14ac:dyDescent="0.25">
      <c r="A153" s="972">
        <v>1</v>
      </c>
      <c r="M153" s="563"/>
      <c r="N153" s="3781"/>
      <c r="O153" s="3777" t="s">
        <v>942</v>
      </c>
      <c r="P153" s="3767" t="s">
        <v>655</v>
      </c>
      <c r="Q153" s="3767" t="s">
        <v>1370</v>
      </c>
      <c r="R153" s="3767" t="s">
        <v>128</v>
      </c>
      <c r="S153" s="3781"/>
      <c r="T153" s="53"/>
    </row>
    <row r="154" spans="1:20" ht="15" customHeight="1" x14ac:dyDescent="0.25">
      <c r="A154" s="972">
        <v>1</v>
      </c>
      <c r="M154" s="563"/>
      <c r="N154" s="2987"/>
      <c r="O154" s="92" t="s">
        <v>1045</v>
      </c>
      <c r="P154" s="3329">
        <f>MIN(Rents_UnadjustedRange)</f>
        <v>10</v>
      </c>
      <c r="Q154" s="3329">
        <f>MIN(Income_RentAdjPrice3)</f>
        <v>15.673260273972604</v>
      </c>
      <c r="R154" s="3529">
        <f>IF(Income_RentAdjType="Qualitative","N/A",MIN(Rent_FinalAdjustedRange))</f>
        <v>14.889597260273973</v>
      </c>
      <c r="S154" s="92"/>
      <c r="T154" s="5"/>
    </row>
    <row r="155" spans="1:20" ht="15" customHeight="1" x14ac:dyDescent="0.25">
      <c r="A155" s="972">
        <v>1</v>
      </c>
      <c r="M155" s="563"/>
      <c r="N155" s="2987"/>
      <c r="O155" s="92" t="s">
        <v>1046</v>
      </c>
      <c r="P155" s="3329">
        <f>MAX(Rents_UnadjustedRange)</f>
        <v>12.75</v>
      </c>
      <c r="Q155" s="3329">
        <f>MAX(Income_RentAdjPrice3)</f>
        <v>17.75145890410959</v>
      </c>
      <c r="R155" s="3529">
        <f>IF(Income_RentAdjType="Qualitative","N/A",MAX(Rent_FinalAdjustedRange))</f>
        <v>16.86388595890411</v>
      </c>
      <c r="S155" s="92"/>
      <c r="T155" s="5"/>
    </row>
    <row r="156" spans="1:20" ht="15" customHeight="1" x14ac:dyDescent="0.25">
      <c r="A156" s="972">
        <v>1</v>
      </c>
      <c r="M156" s="563"/>
      <c r="N156" s="2987"/>
      <c r="O156" s="92" t="s">
        <v>1047</v>
      </c>
      <c r="P156" s="3329">
        <f>MEDIAN(Rents_UnadjustedRange)</f>
        <v>10.75</v>
      </c>
      <c r="Q156" s="3329">
        <f>MEDIAN(Income_RentAdjPrice3)</f>
        <v>16.231301369863015</v>
      </c>
      <c r="R156" s="3529">
        <f>IF(Income_RentAdjType="Qualitative","N/A",MEDIAN(Rent_FinalAdjustedRange))</f>
        <v>15.419736301369863</v>
      </c>
      <c r="S156" s="92"/>
      <c r="T156" s="5"/>
    </row>
    <row r="157" spans="1:20" ht="15" customHeight="1" thickBot="1" x14ac:dyDescent="0.3">
      <c r="A157" s="972">
        <v>1</v>
      </c>
      <c r="M157" s="563"/>
      <c r="N157" s="2987"/>
      <c r="O157" s="3330" t="s">
        <v>1048</v>
      </c>
      <c r="P157" s="3331">
        <f>AVERAGE(Rents_UnadjustedRange)</f>
        <v>11.0625</v>
      </c>
      <c r="Q157" s="3331">
        <f>AVERAGE(Income_RentAdjPrice3)</f>
        <v>16.471830479452056</v>
      </c>
      <c r="R157" s="3530">
        <f>IF(Income_RentAdjType="Qualitative","N/A",AVERAGE(Rent_FinalAdjustedRange))</f>
        <v>15.648238955479451</v>
      </c>
      <c r="S157" s="92"/>
      <c r="T157" s="5"/>
    </row>
    <row r="158" spans="1:20" ht="15" customHeight="1" x14ac:dyDescent="0.25">
      <c r="A158" s="972">
        <v>1</v>
      </c>
      <c r="M158" s="563"/>
      <c r="N158" s="52"/>
      <c r="O158" s="18" t="s">
        <v>958</v>
      </c>
      <c r="P158" s="894">
        <f>STDEV(Rents_UnadjustedRange)</f>
        <v>1.1967838846954226</v>
      </c>
      <c r="Q158" s="894">
        <f>STDEV(Income_RentAdjPrice3)</f>
        <v>0.92320698615269092</v>
      </c>
      <c r="R158" s="894">
        <f>IF(Sales_AdjType="Qualitative","N/A",STDEV(Rent_FinalAdjustedRange))</f>
        <v>0.87704663684505602</v>
      </c>
      <c r="S158" s="18"/>
      <c r="T158" s="5"/>
    </row>
    <row r="159" spans="1:20" ht="15" customHeight="1" thickBot="1" x14ac:dyDescent="0.3">
      <c r="A159" s="972">
        <v>1</v>
      </c>
      <c r="M159" s="564"/>
      <c r="N159" s="565"/>
      <c r="O159" s="552" t="s">
        <v>951</v>
      </c>
      <c r="P159" s="7"/>
      <c r="Q159" s="7"/>
      <c r="R159" s="7"/>
      <c r="S159" s="7"/>
      <c r="T159" s="7"/>
    </row>
    <row r="160" spans="1:20" ht="15" thickBot="1" x14ac:dyDescent="0.3">
      <c r="A160" s="972">
        <v>1</v>
      </c>
    </row>
    <row r="161" spans="1:20" x14ac:dyDescent="0.25">
      <c r="A161" s="972">
        <v>1</v>
      </c>
      <c r="M161" s="561"/>
      <c r="N161" s="562"/>
      <c r="O161" s="562"/>
      <c r="P161" s="2"/>
      <c r="Q161" s="2"/>
      <c r="R161" s="2"/>
      <c r="S161" s="2"/>
      <c r="T161" s="3"/>
    </row>
    <row r="162" spans="1:20" ht="16.5" x14ac:dyDescent="0.3">
      <c r="A162" s="972">
        <v>1</v>
      </c>
      <c r="M162" s="567"/>
      <c r="N162" s="246"/>
      <c r="O162" s="568" t="str">
        <f>IF(SUM(A164:A171)=1,"Market Rent Conclusion","Market Rent Conclusions")</f>
        <v>Market Rent Conclusion</v>
      </c>
      <c r="P162" s="246"/>
      <c r="Q162" s="246"/>
      <c r="R162" s="246"/>
      <c r="S162" s="246"/>
      <c r="T162" s="1732"/>
    </row>
    <row r="163" spans="1:20" x14ac:dyDescent="0.25">
      <c r="A163" s="972">
        <v>1</v>
      </c>
      <c r="M163" s="563"/>
      <c r="N163" s="150"/>
      <c r="O163" s="12" t="s">
        <v>315</v>
      </c>
      <c r="P163" s="55" t="s">
        <v>20</v>
      </c>
      <c r="Q163" s="55" t="s">
        <v>319</v>
      </c>
      <c r="R163" s="55" t="s">
        <v>742</v>
      </c>
      <c r="S163" s="150"/>
      <c r="T163" s="128"/>
    </row>
    <row r="164" spans="1:20" ht="15" thickBot="1" x14ac:dyDescent="0.3">
      <c r="A164" s="972">
        <f>IF(O164="",0,1)</f>
        <v>1</v>
      </c>
      <c r="M164" s="563"/>
      <c r="N164" s="2987"/>
      <c r="O164" s="1241" t="s">
        <v>20044</v>
      </c>
      <c r="P164" s="3583">
        <v>329940</v>
      </c>
      <c r="Q164" s="3329">
        <v>6.25</v>
      </c>
      <c r="R164" s="415" t="s">
        <v>290</v>
      </c>
      <c r="S164" s="92"/>
      <c r="T164" s="6"/>
    </row>
    <row r="165" spans="1:20" ht="15" hidden="1" thickBot="1" x14ac:dyDescent="0.3">
      <c r="A165" s="972">
        <f t="shared" ref="A165:A171" si="83">IF(O165="",0,1)</f>
        <v>0</v>
      </c>
      <c r="M165" s="563"/>
      <c r="N165" s="2987"/>
      <c r="O165" s="1241"/>
      <c r="P165" s="3583" t="e">
        <f t="shared" ref="P165:P171" si="84">VLOOKUP($O165,Income_DirectCap_AssumpMatrix,2,FALSE)</f>
        <v>#N/A</v>
      </c>
      <c r="Q165" s="3329" t="e">
        <f t="shared" ref="Q165:Q171" si="85">VLOOKUP($O165,Income_DirectCap_AssumpMatrix,3,FALSE)</f>
        <v>#N/A</v>
      </c>
      <c r="R165" s="415" t="e">
        <f t="shared" ref="R165:R171" si="86">VLOOKUP($O165,Income_DirectCap_AssumpMatrix,5,FALSE)</f>
        <v>#N/A</v>
      </c>
      <c r="S165" s="92"/>
      <c r="T165" s="6"/>
    </row>
    <row r="166" spans="1:20" ht="15" hidden="1" thickBot="1" x14ac:dyDescent="0.3">
      <c r="A166" s="972">
        <f t="shared" si="83"/>
        <v>0</v>
      </c>
      <c r="M166" s="563"/>
      <c r="N166" s="2987"/>
      <c r="O166" s="1241"/>
      <c r="P166" s="3583" t="e">
        <f t="shared" si="84"/>
        <v>#N/A</v>
      </c>
      <c r="Q166" s="3329" t="e">
        <f t="shared" si="85"/>
        <v>#N/A</v>
      </c>
      <c r="R166" s="415" t="e">
        <f t="shared" si="86"/>
        <v>#N/A</v>
      </c>
      <c r="S166" s="92"/>
      <c r="T166" s="6"/>
    </row>
    <row r="167" spans="1:20" ht="15" hidden="1" thickBot="1" x14ac:dyDescent="0.3">
      <c r="A167" s="972">
        <f t="shared" si="83"/>
        <v>0</v>
      </c>
      <c r="M167" s="563"/>
      <c r="N167" s="2987"/>
      <c r="O167" s="1241"/>
      <c r="P167" s="3583" t="e">
        <f t="shared" si="84"/>
        <v>#N/A</v>
      </c>
      <c r="Q167" s="3329" t="e">
        <f t="shared" si="85"/>
        <v>#N/A</v>
      </c>
      <c r="R167" s="415" t="e">
        <f t="shared" si="86"/>
        <v>#N/A</v>
      </c>
      <c r="S167" s="92"/>
      <c r="T167" s="6"/>
    </row>
    <row r="168" spans="1:20" ht="15" hidden="1" thickBot="1" x14ac:dyDescent="0.3">
      <c r="A168" s="972">
        <f t="shared" si="83"/>
        <v>0</v>
      </c>
      <c r="M168" s="563"/>
      <c r="N168" s="2987"/>
      <c r="O168" s="1241"/>
      <c r="P168" s="3583" t="e">
        <f t="shared" si="84"/>
        <v>#N/A</v>
      </c>
      <c r="Q168" s="3329" t="e">
        <f t="shared" si="85"/>
        <v>#N/A</v>
      </c>
      <c r="R168" s="415" t="e">
        <f t="shared" si="86"/>
        <v>#N/A</v>
      </c>
      <c r="S168" s="92"/>
      <c r="T168" s="6"/>
    </row>
    <row r="169" spans="1:20" ht="15" hidden="1" thickBot="1" x14ac:dyDescent="0.3">
      <c r="A169" s="972">
        <f t="shared" si="83"/>
        <v>0</v>
      </c>
      <c r="M169" s="563"/>
      <c r="N169" s="2987"/>
      <c r="O169" s="1241"/>
      <c r="P169" s="3583" t="e">
        <f t="shared" si="84"/>
        <v>#N/A</v>
      </c>
      <c r="Q169" s="3329" t="e">
        <f t="shared" si="85"/>
        <v>#N/A</v>
      </c>
      <c r="R169" s="415" t="e">
        <f t="shared" si="86"/>
        <v>#N/A</v>
      </c>
      <c r="S169" s="92"/>
      <c r="T169" s="6"/>
    </row>
    <row r="170" spans="1:20" ht="15" hidden="1" thickBot="1" x14ac:dyDescent="0.3">
      <c r="A170" s="972">
        <f t="shared" si="83"/>
        <v>0</v>
      </c>
      <c r="M170" s="563"/>
      <c r="N170" s="2987"/>
      <c r="O170" s="1241"/>
      <c r="P170" s="3583" t="e">
        <f t="shared" si="84"/>
        <v>#N/A</v>
      </c>
      <c r="Q170" s="3329" t="e">
        <f t="shared" si="85"/>
        <v>#N/A</v>
      </c>
      <c r="R170" s="415" t="e">
        <f t="shared" si="86"/>
        <v>#N/A</v>
      </c>
      <c r="S170" s="92"/>
      <c r="T170" s="6"/>
    </row>
    <row r="171" spans="1:20" ht="15" hidden="1" thickBot="1" x14ac:dyDescent="0.3">
      <c r="A171" s="972">
        <f t="shared" si="83"/>
        <v>0</v>
      </c>
      <c r="M171" s="563"/>
      <c r="N171" s="2987"/>
      <c r="O171" s="1730"/>
      <c r="P171" s="3584" t="e">
        <f t="shared" si="84"/>
        <v>#N/A</v>
      </c>
      <c r="Q171" s="3331" t="e">
        <f t="shared" si="85"/>
        <v>#N/A</v>
      </c>
      <c r="R171" s="415" t="e">
        <f t="shared" si="86"/>
        <v>#N/A</v>
      </c>
      <c r="S171" s="92"/>
      <c r="T171" s="6"/>
    </row>
    <row r="172" spans="1:20" ht="15" thickBot="1" x14ac:dyDescent="0.3">
      <c r="A172" s="972">
        <v>1</v>
      </c>
      <c r="M172" s="564"/>
      <c r="N172" s="565"/>
      <c r="O172" s="741" t="s">
        <v>1593</v>
      </c>
      <c r="P172" s="133"/>
      <c r="Q172" s="133"/>
      <c r="R172" s="133"/>
      <c r="S172" s="7"/>
      <c r="T172" s="9"/>
    </row>
  </sheetData>
  <autoFilter ref="A11:A172" xr:uid="{00000000-0001-0000-2900-000000000000}">
    <filterColumn colId="0" hiddenButton="1">
      <filters>
        <filter val="1"/>
      </filters>
    </filterColumn>
  </autoFilter>
  <mergeCells count="2">
    <mergeCell ref="O50:O51"/>
    <mergeCell ref="D11:E11"/>
  </mergeCells>
  <dataValidations xWindow="353" yWindow="312" count="2">
    <dataValidation type="list" allowBlank="1" showInputMessage="1" showErrorMessage="1" error="Invalid Option - Please Select from the List" prompt="Select Preferred Quality Rating Type" sqref="D80" xr:uid="{00000000-0002-0000-2900-000000000000}">
      <formula1>QualityList</formula1>
    </dataValidation>
    <dataValidation type="list" errorStyle="warning" allowBlank="1" showInputMessage="1" showErrorMessage="1" error="Invalid Option - Please Select from the List" prompt="Select Space Type (List Populates Based on Income Assumptions Entries)" sqref="O164:O171" xr:uid="{00000000-0002-0000-2900-000001000000}">
      <formula1>Income_SpaceTypeSelectionRange</formula1>
    </dataValidation>
  </dataValidations>
  <printOptions horizontalCentered="1"/>
  <pageMargins left="0.5" right="0.5" top="0.75" bottom="0.75" header="0.3" footer="0.3"/>
  <pageSetup scale="87" orientation="landscape" r:id="rId1"/>
  <drawing r:id="rId2"/>
  <legacyDrawing r:id="rId3"/>
  <extLst>
    <ext xmlns:x14="http://schemas.microsoft.com/office/spreadsheetml/2009/9/main" uri="{CCE6A557-97BC-4b89-ADB6-D9C93CAAB3DF}">
      <x14:dataValidations xmlns:xm="http://schemas.microsoft.com/office/excel/2006/main" xWindow="353" yWindow="312" count="3">
        <x14:dataValidation type="list" allowBlank="1" showInputMessage="1" showErrorMessage="1" error="Invalid Option - Please Select from the List" prompt="Select Date of Value for Market Rent to be used in Rent Adjustment Grid" xr:uid="{00000000-0002-0000-2900-000002000000}">
          <x14:formula1>
            <xm:f>'Selection Tables'!$G$9:$G$11</xm:f>
          </x14:formula1>
          <xm:sqref>F11</xm:sqref>
        </x14:dataValidation>
        <x14:dataValidation type="list" allowBlank="1" showInputMessage="1" showErrorMessage="1" error="Invalid Option - Please Select from the List" prompt="Select Whether Tenant Name Should Show or Hide" xr:uid="{00000000-0002-0000-2900-000003000000}">
          <x14:formula1>
            <xm:f>'Selection Tables'!$D$25:$D$26</xm:f>
          </x14:formula1>
          <xm:sqref>O16</xm:sqref>
        </x14:dataValidation>
        <x14:dataValidation type="list" allowBlank="1" showInputMessage="1" showErrorMessage="1" error="Invalid Option - Please Select from the List" prompt="Select Date Lease Signed or Commences for Market Conditions Adjustment" xr:uid="{00000000-0002-0000-2900-000004000000}">
          <x14:formula1>
            <xm:f>'Selection Tables'!$D$35:$D$36</xm:f>
          </x14:formula1>
          <xm:sqref>O11</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67">
    <tabColor theme="5" tint="-0.249977111117893"/>
  </sheetPr>
  <dimension ref="A1:AB175"/>
  <sheetViews>
    <sheetView workbookViewId="0">
      <selection activeCell="D4" sqref="D4"/>
    </sheetView>
  </sheetViews>
  <sheetFormatPr defaultRowHeight="14.25" x14ac:dyDescent="0.25"/>
  <cols>
    <col min="1" max="1" width="5.7109375" customWidth="1"/>
    <col min="2" max="2" width="1.7109375" customWidth="1"/>
    <col min="3" max="3" width="0.85546875" customWidth="1"/>
    <col min="4" max="4" width="17.7109375" customWidth="1"/>
    <col min="5" max="5" width="8.7109375" customWidth="1"/>
    <col min="6" max="6" width="16.28515625" customWidth="1"/>
    <col min="7" max="11" width="16.7109375" style="1875" customWidth="1"/>
    <col min="12" max="12" width="15.7109375" style="2047" customWidth="1"/>
    <col min="13" max="13" width="0.85546875" customWidth="1"/>
    <col min="14" max="15" width="1.7109375" customWidth="1"/>
    <col min="16" max="16" width="0.85546875" customWidth="1"/>
    <col min="17" max="17" width="30.7109375" customWidth="1"/>
    <col min="18" max="18" width="15.7109375" customWidth="1"/>
    <col min="19" max="20" width="17.7109375" customWidth="1"/>
    <col min="21" max="21" width="0.85546875" customWidth="1"/>
    <col min="22" max="22" width="1.7109375" customWidth="1"/>
    <col min="23" max="120" width="8.85546875" customWidth="1"/>
  </cols>
  <sheetData>
    <row r="1" spans="1:28" ht="60" customHeight="1" x14ac:dyDescent="0.25">
      <c r="A1" s="243"/>
      <c r="B1" s="11"/>
      <c r="C1" s="10"/>
      <c r="D1" s="10"/>
      <c r="E1" s="10"/>
      <c r="F1" s="13"/>
      <c r="G1" s="1839"/>
      <c r="H1" s="1839"/>
      <c r="I1" s="1839"/>
      <c r="J1" s="1839"/>
      <c r="K1" s="1839"/>
      <c r="L1" s="37"/>
      <c r="M1" s="10"/>
      <c r="N1" s="10"/>
      <c r="O1" s="10"/>
      <c r="P1" s="10"/>
      <c r="Q1" s="10"/>
      <c r="R1" s="10"/>
      <c r="S1" s="10"/>
      <c r="T1" s="10"/>
      <c r="U1" s="10"/>
      <c r="V1" s="10"/>
      <c r="W1" s="10"/>
      <c r="X1" s="10"/>
      <c r="Y1" s="10"/>
      <c r="Z1" s="10"/>
      <c r="AA1" s="10"/>
      <c r="AB1" s="10"/>
    </row>
    <row r="2" spans="1:28" ht="15.95" customHeight="1" x14ac:dyDescent="0.25">
      <c r="A2" s="243"/>
      <c r="B2" s="32"/>
      <c r="C2" s="32"/>
      <c r="D2" s="569"/>
      <c r="E2" s="751"/>
      <c r="F2" s="911"/>
      <c r="G2" s="1908"/>
      <c r="H2" s="1839"/>
      <c r="I2" s="1839"/>
      <c r="J2" s="1839"/>
      <c r="K2" s="1839"/>
      <c r="L2" s="37"/>
      <c r="M2" s="10"/>
      <c r="N2" s="10"/>
      <c r="O2" s="10"/>
      <c r="P2" s="10"/>
      <c r="Q2" s="10"/>
      <c r="R2" s="10"/>
      <c r="S2" s="10"/>
      <c r="T2" s="10"/>
      <c r="U2" s="10"/>
      <c r="V2" s="10"/>
      <c r="W2" s="10"/>
      <c r="X2" s="10"/>
      <c r="Y2" s="10"/>
      <c r="Z2" s="10"/>
      <c r="AA2" s="10"/>
      <c r="AB2" s="10"/>
    </row>
    <row r="3" spans="1:28" ht="15.95" customHeight="1" x14ac:dyDescent="0.25">
      <c r="A3" s="243"/>
      <c r="B3" s="32"/>
      <c r="C3" s="32"/>
      <c r="D3" s="569"/>
      <c r="E3" s="751"/>
      <c r="F3" s="911"/>
      <c r="G3" s="1909"/>
      <c r="H3" s="1839"/>
      <c r="I3" s="1839"/>
      <c r="J3" s="1839"/>
      <c r="K3" s="1839"/>
      <c r="L3" s="37"/>
      <c r="M3" s="10"/>
      <c r="N3" s="10"/>
      <c r="O3" s="10"/>
      <c r="P3" s="10"/>
      <c r="Q3" s="10"/>
      <c r="R3" s="10"/>
      <c r="S3" s="10"/>
      <c r="T3" s="10"/>
      <c r="U3" s="10"/>
      <c r="V3" s="10"/>
      <c r="W3" s="10"/>
      <c r="X3" s="10"/>
      <c r="Y3" s="10"/>
      <c r="Z3" s="10"/>
      <c r="AA3" s="10"/>
      <c r="AB3" s="10"/>
    </row>
    <row r="4" spans="1:28" ht="15.95" customHeight="1" x14ac:dyDescent="0.25">
      <c r="A4" s="243"/>
      <c r="B4" s="32"/>
      <c r="C4" s="32"/>
      <c r="D4" s="569"/>
      <c r="E4" s="751"/>
      <c r="F4" s="911"/>
      <c r="G4" s="1909"/>
      <c r="H4" s="1839"/>
      <c r="I4" s="1839"/>
      <c r="J4" s="1839"/>
      <c r="K4" s="1839"/>
      <c r="L4" s="37"/>
      <c r="M4" s="10"/>
      <c r="N4" s="10"/>
      <c r="O4" s="10"/>
      <c r="P4" s="10"/>
      <c r="Q4" s="10"/>
      <c r="R4" s="10"/>
      <c r="S4" s="10"/>
      <c r="T4" s="10"/>
      <c r="U4" s="10"/>
      <c r="V4" s="10"/>
      <c r="W4" s="10"/>
      <c r="X4" s="10"/>
      <c r="Y4" s="10"/>
      <c r="Z4" s="10"/>
      <c r="AA4" s="10"/>
      <c r="AB4" s="10"/>
    </row>
    <row r="5" spans="1:28" ht="15.95" customHeight="1" thickBot="1" x14ac:dyDescent="0.3">
      <c r="A5" s="243"/>
      <c r="B5" s="32"/>
      <c r="C5" s="32"/>
      <c r="D5" s="1391"/>
      <c r="E5" s="1529"/>
      <c r="F5" s="911"/>
      <c r="G5" s="1909"/>
      <c r="H5" s="1839"/>
      <c r="I5" s="1839"/>
      <c r="J5" s="1839"/>
      <c r="K5" s="1839"/>
      <c r="L5" s="37"/>
      <c r="M5" s="10"/>
      <c r="N5" s="10"/>
      <c r="O5" s="10"/>
      <c r="P5" s="10"/>
      <c r="Q5" s="10"/>
      <c r="R5" s="10"/>
      <c r="S5" s="10"/>
      <c r="T5" s="10"/>
      <c r="U5" s="10"/>
      <c r="V5" s="10"/>
      <c r="W5" s="10"/>
      <c r="X5" s="10"/>
      <c r="Y5" s="10"/>
      <c r="Z5" s="10"/>
      <c r="AA5" s="10"/>
      <c r="AB5" s="10"/>
    </row>
    <row r="6" spans="1:28" ht="17.100000000000001" customHeight="1" x14ac:dyDescent="0.25">
      <c r="A6" s="243"/>
      <c r="B6" s="94"/>
      <c r="C6" s="72"/>
      <c r="D6" s="72"/>
      <c r="E6" s="72"/>
      <c r="F6" s="77"/>
      <c r="G6" s="1910"/>
      <c r="H6" s="1910"/>
      <c r="I6" s="1910"/>
      <c r="J6" s="1910"/>
      <c r="K6" s="1910"/>
      <c r="L6" s="813"/>
      <c r="M6" s="2"/>
      <c r="N6" s="3"/>
      <c r="O6" s="10"/>
      <c r="P6" s="10"/>
      <c r="Q6" s="10"/>
      <c r="R6" s="10"/>
      <c r="S6" s="10"/>
      <c r="T6" s="10"/>
      <c r="U6" s="10"/>
      <c r="V6" s="10"/>
      <c r="W6" s="10"/>
      <c r="X6" s="10"/>
      <c r="Y6" s="10"/>
      <c r="Z6" s="10"/>
      <c r="AA6" s="10"/>
      <c r="AB6" s="10"/>
    </row>
    <row r="7" spans="1:28" ht="16.5" customHeight="1" x14ac:dyDescent="0.3">
      <c r="A7" s="243"/>
      <c r="B7" s="16"/>
      <c r="C7" s="92"/>
      <c r="D7" s="514" t="str">
        <f>CONCATENATE("Rent Comparable Adjustment Grid - ",dpIncome_SpaceCategory_MarketRent_1," Space")</f>
        <v>Rent Comparable Adjustment Grid -  Space</v>
      </c>
      <c r="E7" s="97"/>
      <c r="F7" s="34"/>
      <c r="G7" s="1911"/>
      <c r="H7" s="1911"/>
      <c r="I7" s="1911"/>
      <c r="J7" s="1911"/>
      <c r="K7" s="1911"/>
      <c r="L7" s="2043"/>
      <c r="M7" s="5"/>
      <c r="N7" s="6"/>
      <c r="O7" s="10"/>
      <c r="P7" s="10"/>
      <c r="Q7" s="10"/>
      <c r="R7" s="10"/>
      <c r="S7" s="10"/>
      <c r="T7" s="10"/>
      <c r="U7" s="10"/>
      <c r="V7" s="10"/>
      <c r="W7" s="10"/>
      <c r="X7" s="10"/>
      <c r="Y7" s="10"/>
      <c r="Z7" s="10"/>
      <c r="AA7" s="10"/>
      <c r="AB7" s="10"/>
    </row>
    <row r="8" spans="1:28" ht="14.25" customHeight="1" x14ac:dyDescent="0.25">
      <c r="A8" s="243"/>
      <c r="B8" s="16"/>
      <c r="C8" s="42"/>
      <c r="D8" s="41"/>
      <c r="E8" s="41"/>
      <c r="F8" s="41"/>
      <c r="G8" s="1912">
        <v>1</v>
      </c>
      <c r="H8" s="1912">
        <v>2</v>
      </c>
      <c r="I8" s="1912">
        <v>3</v>
      </c>
      <c r="J8" s="1912">
        <v>4</v>
      </c>
      <c r="K8" s="1912">
        <v>5</v>
      </c>
      <c r="L8" s="1946">
        <v>6</v>
      </c>
      <c r="M8" s="438"/>
      <c r="N8" s="6"/>
      <c r="O8" s="10"/>
      <c r="P8" s="10"/>
      <c r="Q8" s="633"/>
      <c r="R8" s="10"/>
      <c r="S8" s="10"/>
      <c r="T8" s="10"/>
      <c r="U8" s="10"/>
      <c r="V8" s="10"/>
      <c r="W8" s="10"/>
      <c r="X8" s="10"/>
      <c r="Y8" s="10"/>
      <c r="Z8" s="10"/>
      <c r="AA8" s="10"/>
      <c r="AB8" s="10"/>
    </row>
    <row r="9" spans="1:28" ht="5.0999999999999996" customHeight="1" x14ac:dyDescent="0.25">
      <c r="A9" s="243"/>
      <c r="B9" s="16"/>
      <c r="C9" s="130"/>
      <c r="D9" s="130"/>
      <c r="E9" s="522"/>
      <c r="F9" s="1127"/>
      <c r="G9" s="1913"/>
      <c r="H9" s="1913"/>
      <c r="I9" s="1913"/>
      <c r="J9" s="1913"/>
      <c r="K9" s="1913"/>
      <c r="L9" s="1120"/>
      <c r="M9" s="101"/>
      <c r="N9" s="6"/>
      <c r="O9" s="10"/>
      <c r="P9" s="10"/>
      <c r="Q9" s="633"/>
      <c r="R9" s="10"/>
      <c r="S9" s="10"/>
      <c r="T9" s="10"/>
      <c r="U9" s="10"/>
      <c r="V9" s="10"/>
      <c r="W9" s="10"/>
      <c r="X9" s="10"/>
      <c r="Y9" s="10"/>
      <c r="Z9" s="10"/>
      <c r="AA9" s="10"/>
      <c r="AB9" s="10"/>
    </row>
    <row r="10" spans="1:28" ht="15" customHeight="1" thickBot="1" x14ac:dyDescent="0.3">
      <c r="A10" s="243"/>
      <c r="B10" s="16"/>
      <c r="C10" s="130"/>
      <c r="D10" s="522" t="s">
        <v>281</v>
      </c>
      <c r="E10" s="522"/>
      <c r="F10" s="1127"/>
      <c r="G10" s="1846"/>
      <c r="H10" s="1846"/>
      <c r="I10" s="1846"/>
      <c r="J10" s="1846"/>
      <c r="K10" s="1846"/>
      <c r="L10" s="1128"/>
      <c r="M10" s="101"/>
      <c r="N10" s="6"/>
      <c r="O10" s="10"/>
      <c r="P10" s="10"/>
      <c r="Q10" s="150" t="s">
        <v>1352</v>
      </c>
      <c r="R10" s="10"/>
      <c r="S10" s="10"/>
      <c r="T10" s="10"/>
      <c r="U10" s="10"/>
      <c r="V10" s="10"/>
      <c r="W10" s="10"/>
      <c r="X10" s="10"/>
      <c r="Y10" s="10"/>
      <c r="Z10" s="10"/>
      <c r="AA10" s="10"/>
      <c r="AB10" s="10"/>
    </row>
    <row r="11" spans="1:28" ht="15" customHeight="1" thickBot="1" x14ac:dyDescent="0.3">
      <c r="A11" s="972">
        <v>1</v>
      </c>
      <c r="B11" s="16"/>
      <c r="C11" s="130"/>
      <c r="D11" s="522" t="s">
        <v>1585</v>
      </c>
      <c r="E11" s="522"/>
      <c r="F11" s="1048" t="s">
        <v>3</v>
      </c>
      <c r="G11" s="1847">
        <f t="shared" ref="G11:L11" si="0">IF(Income_Lease_SignCommence_1="Date Lease Signed",IF(OR(G13="",G13="N/A"),G12,G13),IF(OR(G14="",G14="N/A"),G12,G14))</f>
        <v>0</v>
      </c>
      <c r="H11" s="1847">
        <f t="shared" si="0"/>
        <v>0</v>
      </c>
      <c r="I11" s="1847">
        <f t="shared" si="0"/>
        <v>0</v>
      </c>
      <c r="J11" s="1847">
        <f t="shared" si="0"/>
        <v>0</v>
      </c>
      <c r="K11" s="1847">
        <f t="shared" si="0"/>
        <v>0</v>
      </c>
      <c r="L11" s="1130">
        <f t="shared" si="0"/>
        <v>0</v>
      </c>
      <c r="M11" s="101"/>
      <c r="N11" s="6"/>
      <c r="O11" s="10"/>
      <c r="P11" s="10"/>
      <c r="Q11" s="706" t="s">
        <v>750</v>
      </c>
      <c r="R11" s="10"/>
      <c r="S11" s="10"/>
      <c r="T11" s="10"/>
      <c r="U11" s="10"/>
      <c r="V11" s="10"/>
      <c r="W11" s="10"/>
      <c r="X11" s="10"/>
      <c r="Y11" s="10"/>
      <c r="Z11" s="10"/>
      <c r="AA11" s="10"/>
      <c r="AB11" s="10"/>
    </row>
    <row r="12" spans="1:28" ht="14.25" customHeight="1" x14ac:dyDescent="0.25">
      <c r="A12" s="972">
        <v>0</v>
      </c>
      <c r="B12" s="16"/>
      <c r="C12" s="130"/>
      <c r="D12" s="130"/>
      <c r="E12" s="1120" t="s">
        <v>299</v>
      </c>
      <c r="F12" s="1127"/>
      <c r="G12" s="1847"/>
      <c r="H12" s="1847"/>
      <c r="I12" s="1847"/>
      <c r="J12" s="1847"/>
      <c r="K12" s="1847"/>
      <c r="L12" s="1130"/>
      <c r="M12" s="101"/>
      <c r="N12" s="6"/>
      <c r="O12" s="10"/>
      <c r="P12" s="10"/>
      <c r="Q12" s="10"/>
      <c r="R12" s="10"/>
      <c r="S12" s="10"/>
      <c r="T12" s="10"/>
      <c r="U12" s="10"/>
      <c r="V12" s="10"/>
      <c r="W12" s="10"/>
      <c r="X12" s="10"/>
      <c r="Y12" s="10"/>
      <c r="Z12" s="10"/>
      <c r="AA12" s="10"/>
      <c r="AB12" s="10"/>
    </row>
    <row r="13" spans="1:28" ht="14.25" customHeight="1" x14ac:dyDescent="0.25">
      <c r="A13" s="972">
        <v>0</v>
      </c>
      <c r="B13" s="16"/>
      <c r="C13" s="130"/>
      <c r="D13" s="130"/>
      <c r="E13" s="1120" t="s">
        <v>750</v>
      </c>
      <c r="F13" s="1127"/>
      <c r="G13" s="1847"/>
      <c r="H13" s="1847"/>
      <c r="I13" s="1847"/>
      <c r="J13" s="1847"/>
      <c r="K13" s="1847"/>
      <c r="L13" s="1130"/>
      <c r="M13" s="101"/>
      <c r="N13" s="6"/>
      <c r="O13" s="10"/>
      <c r="P13" s="10"/>
      <c r="Q13" s="10"/>
      <c r="R13" s="10"/>
      <c r="S13" s="10"/>
      <c r="T13" s="10"/>
      <c r="U13" s="10"/>
      <c r="V13" s="10"/>
      <c r="W13" s="10"/>
      <c r="X13" s="10"/>
      <c r="Y13" s="10"/>
      <c r="Z13" s="10"/>
      <c r="AA13" s="10"/>
      <c r="AB13" s="10"/>
    </row>
    <row r="14" spans="1:28" ht="14.25" customHeight="1" x14ac:dyDescent="0.25">
      <c r="A14" s="972">
        <v>0</v>
      </c>
      <c r="B14" s="16"/>
      <c r="C14" s="130"/>
      <c r="D14" s="130"/>
      <c r="E14" s="1120" t="s">
        <v>1269</v>
      </c>
      <c r="F14" s="1127"/>
      <c r="G14" s="1847"/>
      <c r="H14" s="1847"/>
      <c r="I14" s="1847"/>
      <c r="J14" s="1847"/>
      <c r="K14" s="1847"/>
      <c r="L14" s="1130"/>
      <c r="M14" s="101"/>
      <c r="N14" s="6"/>
      <c r="O14" s="10"/>
      <c r="P14" s="10"/>
      <c r="Q14" s="10"/>
      <c r="R14" s="10"/>
      <c r="S14" s="10"/>
      <c r="T14" s="10"/>
      <c r="U14" s="10"/>
      <c r="V14" s="10"/>
      <c r="W14" s="10"/>
      <c r="X14" s="10"/>
      <c r="Y14" s="10"/>
      <c r="Z14" s="10"/>
      <c r="AA14" s="10"/>
      <c r="AB14" s="10"/>
    </row>
    <row r="15" spans="1:28" ht="15" customHeight="1" thickBot="1" x14ac:dyDescent="0.3">
      <c r="A15" s="972">
        <v>1</v>
      </c>
      <c r="B15" s="16"/>
      <c r="C15" s="130"/>
      <c r="D15" s="522" t="s">
        <v>0</v>
      </c>
      <c r="E15" s="522"/>
      <c r="F15" s="1187" t="str">
        <f>Subject_PropertyName</f>
        <v>FRANKLIN INDUSTRIAL GROUP LTD</v>
      </c>
      <c r="G15" s="1780"/>
      <c r="H15" s="1780"/>
      <c r="I15" s="1780"/>
      <c r="J15" s="1780"/>
      <c r="K15" s="1780"/>
      <c r="L15" s="1119"/>
      <c r="M15" s="101"/>
      <c r="N15" s="6"/>
      <c r="O15" s="10"/>
      <c r="P15" s="10"/>
      <c r="Q15" s="150" t="s">
        <v>1021</v>
      </c>
      <c r="R15" s="10"/>
      <c r="S15" s="10"/>
      <c r="T15" s="10"/>
      <c r="U15" s="10"/>
      <c r="V15" s="10"/>
      <c r="W15" s="10"/>
      <c r="X15" s="10"/>
      <c r="Y15" s="10"/>
      <c r="Z15" s="10"/>
      <c r="AA15" s="10"/>
      <c r="AB15" s="10"/>
    </row>
    <row r="16" spans="1:28" ht="15" customHeight="1" thickBot="1" x14ac:dyDescent="0.3">
      <c r="A16" s="972">
        <f>IF(O16="Show",1,0)</f>
        <v>0</v>
      </c>
      <c r="B16" s="16"/>
      <c r="C16" s="130"/>
      <c r="D16" s="522" t="s">
        <v>400</v>
      </c>
      <c r="E16" s="522"/>
      <c r="F16" s="1187"/>
      <c r="G16" s="1780"/>
      <c r="H16" s="1780"/>
      <c r="I16" s="1780"/>
      <c r="J16" s="1780"/>
      <c r="K16" s="1780"/>
      <c r="L16" s="1119"/>
      <c r="M16" s="101"/>
      <c r="N16" s="6"/>
      <c r="O16" s="10"/>
      <c r="P16" s="10"/>
      <c r="Q16" s="702" t="s">
        <v>1013</v>
      </c>
      <c r="R16" s="12"/>
      <c r="S16" s="10"/>
      <c r="T16" s="10"/>
      <c r="U16" s="10"/>
      <c r="V16" s="10"/>
      <c r="W16" s="10"/>
      <c r="X16" s="10"/>
      <c r="Y16" s="10"/>
      <c r="Z16" s="10"/>
      <c r="AA16" s="10"/>
      <c r="AB16" s="10"/>
    </row>
    <row r="17" spans="1:28" ht="14.25" customHeight="1" x14ac:dyDescent="0.25">
      <c r="A17" s="972">
        <v>1</v>
      </c>
      <c r="B17" s="16"/>
      <c r="C17" s="130"/>
      <c r="D17" s="522" t="s">
        <v>441</v>
      </c>
      <c r="E17" s="522"/>
      <c r="F17" s="521">
        <f>Subject_NRA</f>
        <v>209208</v>
      </c>
      <c r="G17" s="1914"/>
      <c r="H17" s="1914"/>
      <c r="I17" s="1914"/>
      <c r="J17" s="1914"/>
      <c r="K17" s="1914"/>
      <c r="L17" s="2023"/>
      <c r="M17" s="101"/>
      <c r="N17" s="6"/>
      <c r="O17" s="10"/>
      <c r="P17" s="10"/>
      <c r="Q17" s="10"/>
      <c r="R17" s="10"/>
      <c r="S17" s="10"/>
      <c r="T17" s="10"/>
      <c r="U17" s="10"/>
      <c r="V17" s="10"/>
      <c r="W17" s="10"/>
      <c r="X17" s="10"/>
      <c r="Y17" s="10"/>
      <c r="Z17" s="10"/>
      <c r="AA17" s="10"/>
      <c r="AB17" s="10"/>
    </row>
    <row r="18" spans="1:28" ht="14.25" customHeight="1" x14ac:dyDescent="0.25">
      <c r="A18" s="972">
        <v>1</v>
      </c>
      <c r="B18" s="16"/>
      <c r="C18" s="130"/>
      <c r="D18" s="522" t="s">
        <v>1067</v>
      </c>
      <c r="E18" s="522"/>
      <c r="F18" s="1136">
        <f>Subject_LandPrimary_UsableAcres</f>
        <v>0.99173553719008267</v>
      </c>
      <c r="G18" s="1913"/>
      <c r="H18" s="1913"/>
      <c r="I18" s="1913"/>
      <c r="J18" s="1913"/>
      <c r="K18" s="1913"/>
      <c r="L18" s="1120"/>
      <c r="M18" s="101"/>
      <c r="N18" s="6"/>
      <c r="O18" s="10"/>
      <c r="P18" s="10"/>
      <c r="Q18" s="10"/>
      <c r="R18" s="10"/>
      <c r="S18" s="10"/>
      <c r="T18" s="10"/>
      <c r="U18" s="10"/>
      <c r="V18" s="10"/>
      <c r="W18" s="10"/>
      <c r="X18" s="10"/>
      <c r="Y18" s="10"/>
      <c r="Z18" s="10"/>
      <c r="AA18" s="10"/>
      <c r="AB18" s="10"/>
    </row>
    <row r="19" spans="1:28" ht="14.25" customHeight="1" x14ac:dyDescent="0.25">
      <c r="A19" s="972">
        <f>IF(D19="",0,1)</f>
        <v>0</v>
      </c>
      <c r="B19" s="16"/>
      <c r="C19" s="130"/>
      <c r="D19" s="742"/>
      <c r="E19" s="742"/>
      <c r="F19" s="517"/>
      <c r="G19" s="1915"/>
      <c r="H19" s="1915"/>
      <c r="I19" s="1915"/>
      <c r="J19" s="1915"/>
      <c r="K19" s="1915"/>
      <c r="L19" s="2022"/>
      <c r="M19" s="101"/>
      <c r="N19" s="6"/>
      <c r="O19" s="10"/>
      <c r="P19" s="10"/>
      <c r="Q19" s="10"/>
      <c r="R19" s="10"/>
      <c r="S19" s="10"/>
      <c r="T19" s="10"/>
      <c r="U19" s="10"/>
      <c r="V19" s="10"/>
      <c r="W19" s="10"/>
      <c r="X19" s="10"/>
      <c r="Y19" s="10"/>
      <c r="Z19" s="10"/>
      <c r="AA19" s="10"/>
      <c r="AB19" s="10"/>
    </row>
    <row r="20" spans="1:28" ht="14.25" customHeight="1" x14ac:dyDescent="0.25">
      <c r="A20" s="972">
        <f>IF(D20="",0,1)</f>
        <v>0</v>
      </c>
      <c r="B20" s="16"/>
      <c r="C20" s="130"/>
      <c r="D20" s="742"/>
      <c r="E20" s="742"/>
      <c r="F20" s="517"/>
      <c r="G20" s="1915"/>
      <c r="H20" s="1915"/>
      <c r="I20" s="1915"/>
      <c r="J20" s="1915"/>
      <c r="K20" s="1915"/>
      <c r="L20" s="2022"/>
      <c r="M20" s="101"/>
      <c r="N20" s="6"/>
      <c r="O20" s="10"/>
      <c r="P20" s="10"/>
      <c r="Q20" s="10"/>
      <c r="R20" s="10"/>
      <c r="S20" s="10"/>
      <c r="T20" s="10"/>
      <c r="U20" s="10"/>
      <c r="V20" s="10"/>
      <c r="W20" s="10"/>
      <c r="X20" s="10"/>
      <c r="Y20" s="10"/>
      <c r="Z20" s="10"/>
      <c r="AA20" s="10"/>
      <c r="AB20" s="10"/>
    </row>
    <row r="21" spans="1:28" ht="14.25" customHeight="1" x14ac:dyDescent="0.25">
      <c r="A21" s="972">
        <v>1</v>
      </c>
      <c r="B21" s="16"/>
      <c r="C21" s="130"/>
      <c r="D21" s="1137" t="str">
        <f>IF(dpIncome_RentUnitDisplay_1="Annual","Annual Rental Rate","Monthly Rental Rate")</f>
        <v>Annual Rental Rate</v>
      </c>
      <c r="E21" s="522"/>
      <c r="F21" s="1127"/>
      <c r="G21" s="1852">
        <f t="shared" ref="G21:L21" si="1">IF(OR(G22="",G22="N/A"),G24,G22)</f>
        <v>0</v>
      </c>
      <c r="H21" s="1852">
        <f t="shared" si="1"/>
        <v>0</v>
      </c>
      <c r="I21" s="1852">
        <f t="shared" si="1"/>
        <v>0</v>
      </c>
      <c r="J21" s="1852">
        <f t="shared" si="1"/>
        <v>0</v>
      </c>
      <c r="K21" s="1852">
        <f t="shared" si="1"/>
        <v>0</v>
      </c>
      <c r="L21" s="1143">
        <f t="shared" si="1"/>
        <v>0</v>
      </c>
      <c r="M21" s="101"/>
      <c r="N21" s="6"/>
      <c r="O21" s="10"/>
      <c r="P21" s="10"/>
      <c r="Q21" s="10"/>
      <c r="R21" s="10"/>
      <c r="S21" s="10"/>
      <c r="T21" s="10"/>
      <c r="U21" s="10"/>
      <c r="V21" s="10"/>
      <c r="W21" s="10"/>
      <c r="X21" s="10"/>
      <c r="Y21" s="10"/>
      <c r="Z21" s="10"/>
      <c r="AA21" s="10"/>
      <c r="AB21" s="10"/>
    </row>
    <row r="22" spans="1:28" ht="14.25" customHeight="1" x14ac:dyDescent="0.25">
      <c r="A22" s="972">
        <v>0</v>
      </c>
      <c r="B22" s="16"/>
      <c r="C22" s="130"/>
      <c r="D22" s="130"/>
      <c r="E22" s="522"/>
      <c r="F22" s="1120" t="s">
        <v>1267</v>
      </c>
      <c r="G22" s="1916"/>
      <c r="H22" s="1917"/>
      <c r="I22" s="1916"/>
      <c r="J22" s="1916"/>
      <c r="K22" s="1916"/>
      <c r="L22" s="1140"/>
      <c r="M22" s="101"/>
      <c r="N22" s="6"/>
      <c r="O22" s="10"/>
      <c r="P22" s="10"/>
      <c r="Q22" s="10"/>
      <c r="R22" s="10"/>
      <c r="S22" s="10"/>
      <c r="T22" s="10"/>
      <c r="U22" s="10"/>
      <c r="V22" s="10"/>
      <c r="W22" s="10"/>
      <c r="X22" s="10"/>
      <c r="Y22" s="10"/>
      <c r="Z22" s="10"/>
      <c r="AA22" s="10"/>
      <c r="AB22" s="10"/>
    </row>
    <row r="23" spans="1:28" ht="14.25" customHeight="1" x14ac:dyDescent="0.25">
      <c r="A23" s="972">
        <v>0</v>
      </c>
      <c r="B23" s="16"/>
      <c r="C23" s="130"/>
      <c r="D23" s="130"/>
      <c r="E23" s="522"/>
      <c r="F23" s="1120" t="s">
        <v>1268</v>
      </c>
      <c r="G23" s="1916"/>
      <c r="H23" s="1917"/>
      <c r="I23" s="1916"/>
      <c r="J23" s="1916"/>
      <c r="K23" s="1916"/>
      <c r="L23" s="1140"/>
      <c r="M23" s="101"/>
      <c r="N23" s="6"/>
      <c r="O23" s="10"/>
      <c r="P23" s="10"/>
      <c r="Q23" s="10"/>
      <c r="R23" s="10"/>
      <c r="S23" s="10"/>
      <c r="T23" s="10"/>
      <c r="U23" s="10"/>
      <c r="V23" s="10"/>
      <c r="W23" s="10"/>
      <c r="X23" s="10"/>
      <c r="Y23" s="10"/>
      <c r="Z23" s="10"/>
      <c r="AA23" s="10"/>
      <c r="AB23" s="10"/>
    </row>
    <row r="24" spans="1:28" ht="14.25" customHeight="1" x14ac:dyDescent="0.25">
      <c r="A24" s="972">
        <v>0</v>
      </c>
      <c r="B24" s="16"/>
      <c r="C24" s="130"/>
      <c r="D24" s="130"/>
      <c r="E24" s="522"/>
      <c r="F24" s="1120" t="s">
        <v>690</v>
      </c>
      <c r="G24" s="1916"/>
      <c r="H24" s="1917"/>
      <c r="I24" s="1916"/>
      <c r="J24" s="1916"/>
      <c r="K24" s="1916"/>
      <c r="L24" s="1140"/>
      <c r="M24" s="101"/>
      <c r="N24" s="6"/>
      <c r="O24" s="10"/>
      <c r="P24" s="10"/>
      <c r="Q24" s="10"/>
      <c r="R24" s="10"/>
      <c r="S24" s="10"/>
      <c r="T24" s="10"/>
      <c r="U24" s="10"/>
      <c r="V24" s="10"/>
      <c r="W24" s="10"/>
      <c r="X24" s="10"/>
      <c r="Y24" s="10"/>
      <c r="Z24" s="10"/>
      <c r="AA24" s="10"/>
      <c r="AB24" s="10"/>
    </row>
    <row r="25" spans="1:28" ht="5.0999999999999996" customHeight="1" x14ac:dyDescent="0.25">
      <c r="A25" s="972">
        <v>1</v>
      </c>
      <c r="B25" s="16"/>
      <c r="C25" s="130"/>
      <c r="D25" s="130"/>
      <c r="E25" s="522"/>
      <c r="F25" s="1127"/>
      <c r="G25" s="1918"/>
      <c r="H25" s="1853"/>
      <c r="I25" s="1918"/>
      <c r="J25" s="1918"/>
      <c r="K25" s="1918"/>
      <c r="L25" s="1145"/>
      <c r="M25" s="101"/>
      <c r="N25" s="6"/>
      <c r="O25" s="10"/>
      <c r="P25" s="10"/>
      <c r="Q25" s="10"/>
      <c r="R25" s="10"/>
      <c r="S25" s="10"/>
      <c r="T25" s="10"/>
      <c r="U25" s="10"/>
      <c r="V25" s="10"/>
      <c r="W25" s="10"/>
      <c r="X25" s="10"/>
      <c r="Y25" s="10"/>
      <c r="Z25" s="10"/>
      <c r="AA25" s="10"/>
      <c r="AB25" s="10"/>
    </row>
    <row r="26" spans="1:28" ht="14.25" customHeight="1" x14ac:dyDescent="0.25">
      <c r="A26" s="972">
        <v>1</v>
      </c>
      <c r="B26" s="16"/>
      <c r="C26" s="130"/>
      <c r="D26" s="1137" t="s">
        <v>161</v>
      </c>
      <c r="E26" s="1137"/>
      <c r="F26" s="1127"/>
      <c r="G26" s="1854"/>
      <c r="H26" s="1854"/>
      <c r="I26" s="1854"/>
      <c r="J26" s="1854"/>
      <c r="K26" s="1854"/>
      <c r="L26" s="538"/>
      <c r="M26" s="101"/>
      <c r="N26" s="6"/>
      <c r="O26" s="10"/>
      <c r="P26" s="10"/>
      <c r="Q26" s="10"/>
      <c r="R26" s="10"/>
      <c r="S26" s="10"/>
      <c r="T26" s="10"/>
      <c r="U26" s="10"/>
      <c r="V26" s="10"/>
      <c r="W26" s="10"/>
      <c r="X26" s="10"/>
      <c r="Y26" s="10"/>
      <c r="Z26" s="10"/>
      <c r="AA26" s="10"/>
      <c r="AB26" s="10"/>
    </row>
    <row r="27" spans="1:28" x14ac:dyDescent="0.25">
      <c r="A27" s="972">
        <v>1</v>
      </c>
      <c r="B27" s="16"/>
      <c r="C27" s="130"/>
      <c r="D27" s="1489" t="s">
        <v>296</v>
      </c>
      <c r="E27" s="1120"/>
      <c r="F27" s="1166" t="str">
        <f>dpIncome_MarketRent_LeaseStructure_1</f>
        <v>Triple Net</v>
      </c>
      <c r="G27" s="1919"/>
      <c r="H27" s="1789"/>
      <c r="I27" s="1919"/>
      <c r="J27" s="1919"/>
      <c r="K27" s="1919"/>
      <c r="L27" s="1168"/>
      <c r="M27" s="101"/>
      <c r="N27" s="6"/>
      <c r="O27" s="10"/>
      <c r="P27" s="10"/>
      <c r="Q27" s="10"/>
      <c r="R27" s="10"/>
      <c r="S27" s="10"/>
      <c r="T27" s="10"/>
      <c r="U27" s="10"/>
      <c r="V27" s="10"/>
      <c r="W27" s="10"/>
      <c r="X27" s="10"/>
      <c r="Y27" s="10"/>
      <c r="Z27" s="10"/>
      <c r="AA27" s="10"/>
      <c r="AB27" s="10"/>
    </row>
    <row r="28" spans="1:28" ht="14.25" customHeight="1" x14ac:dyDescent="0.25">
      <c r="A28" s="972">
        <v>1</v>
      </c>
      <c r="B28" s="16"/>
      <c r="C28" s="130"/>
      <c r="D28" s="766"/>
      <c r="E28" s="1120"/>
      <c r="F28" s="1166" t="str">
        <f>IF(dpIncome_RentUnitDisplay_1="Annual","Annual Expenses (PSF)","Monthly Expenses (PSF)")</f>
        <v>Annual Expenses (PSF)</v>
      </c>
      <c r="G28" s="1920">
        <f t="shared" ref="G28:L28" si="2">IF(dpIncome_RentUnitDisplay_1="Annual",G29,G29/12)</f>
        <v>0</v>
      </c>
      <c r="H28" s="1920">
        <f t="shared" si="2"/>
        <v>0</v>
      </c>
      <c r="I28" s="1920">
        <f t="shared" si="2"/>
        <v>0</v>
      </c>
      <c r="J28" s="1920">
        <f t="shared" si="2"/>
        <v>0</v>
      </c>
      <c r="K28" s="1920">
        <f t="shared" si="2"/>
        <v>0</v>
      </c>
      <c r="L28" s="2024">
        <f t="shared" si="2"/>
        <v>0</v>
      </c>
      <c r="M28" s="101"/>
      <c r="N28" s="6"/>
      <c r="O28" s="10"/>
      <c r="P28" s="10"/>
      <c r="Q28" s="10"/>
      <c r="R28" s="10"/>
      <c r="S28" s="10"/>
      <c r="T28" s="10"/>
      <c r="U28" s="10"/>
      <c r="V28" s="10"/>
      <c r="W28" s="10"/>
      <c r="X28" s="10"/>
      <c r="Y28" s="10"/>
      <c r="Z28" s="10"/>
      <c r="AA28" s="10"/>
      <c r="AB28" s="10"/>
    </row>
    <row r="29" spans="1:28" ht="14.25" customHeight="1" x14ac:dyDescent="0.25">
      <c r="A29" s="972">
        <v>0</v>
      </c>
      <c r="B29" s="16"/>
      <c r="C29" s="130"/>
      <c r="D29" s="766"/>
      <c r="E29" s="1120"/>
      <c r="F29" s="1120" t="s">
        <v>300</v>
      </c>
      <c r="G29" s="1917"/>
      <c r="H29" s="1785"/>
      <c r="I29" s="1917"/>
      <c r="J29" s="1917"/>
      <c r="K29" s="1917"/>
      <c r="L29" s="1950"/>
      <c r="M29" s="101"/>
      <c r="N29" s="6"/>
      <c r="O29" s="10"/>
      <c r="P29" s="10"/>
      <c r="Q29" s="10"/>
      <c r="R29" s="10"/>
      <c r="S29" s="10"/>
      <c r="T29" s="10"/>
      <c r="U29" s="10"/>
      <c r="V29" s="10"/>
      <c r="W29" s="10"/>
      <c r="X29" s="10"/>
      <c r="Y29" s="10"/>
      <c r="Z29" s="10"/>
      <c r="AA29" s="10"/>
      <c r="AB29" s="10"/>
    </row>
    <row r="30" spans="1:28" ht="14.25" customHeight="1" x14ac:dyDescent="0.25">
      <c r="A30" s="972">
        <f>IF(SUM(Rent_ExpenseReimbursementRange_1)=0,0,1)</f>
        <v>0</v>
      </c>
      <c r="B30" s="16"/>
      <c r="C30" s="130"/>
      <c r="D30" s="520" t="s">
        <v>174</v>
      </c>
      <c r="E30" s="480"/>
      <c r="F30" s="1127"/>
      <c r="G30" s="1917">
        <f t="shared" ref="G30:L30" si="3">G31</f>
        <v>0</v>
      </c>
      <c r="H30" s="1917">
        <f t="shared" si="3"/>
        <v>0</v>
      </c>
      <c r="I30" s="1917">
        <f t="shared" si="3"/>
        <v>0</v>
      </c>
      <c r="J30" s="1917">
        <f t="shared" si="3"/>
        <v>0</v>
      </c>
      <c r="K30" s="1917">
        <f t="shared" si="3"/>
        <v>0</v>
      </c>
      <c r="L30" s="1140">
        <f t="shared" si="3"/>
        <v>0</v>
      </c>
      <c r="M30" s="101"/>
      <c r="N30" s="6"/>
      <c r="O30" s="10"/>
      <c r="P30" s="10"/>
      <c r="Q30" s="10"/>
      <c r="R30" s="10"/>
      <c r="S30" s="10"/>
      <c r="T30" s="10"/>
      <c r="U30" s="10"/>
      <c r="V30" s="10"/>
      <c r="W30" s="10"/>
      <c r="X30" s="10"/>
      <c r="Y30" s="10"/>
      <c r="Z30" s="10"/>
      <c r="AA30" s="10"/>
      <c r="AB30" s="10"/>
    </row>
    <row r="31" spans="1:28" ht="14.25" customHeight="1" x14ac:dyDescent="0.25">
      <c r="A31" s="972">
        <v>0</v>
      </c>
      <c r="B31" s="16"/>
      <c r="C31" s="130"/>
      <c r="D31" s="1151"/>
      <c r="E31" s="1205"/>
      <c r="F31" s="1120" t="s">
        <v>710</v>
      </c>
      <c r="G31" s="1921"/>
      <c r="H31" s="1921"/>
      <c r="I31" s="1921"/>
      <c r="J31" s="1921"/>
      <c r="K31" s="1921"/>
      <c r="L31" s="2025"/>
      <c r="M31" s="101"/>
      <c r="N31" s="6"/>
      <c r="O31" s="10"/>
      <c r="P31" s="10"/>
      <c r="Q31" s="10"/>
      <c r="R31" s="10"/>
      <c r="S31" s="10"/>
      <c r="T31" s="10"/>
      <c r="U31" s="10"/>
      <c r="V31" s="10"/>
      <c r="W31" s="10"/>
      <c r="X31" s="10"/>
      <c r="Y31" s="10"/>
      <c r="Z31" s="10"/>
      <c r="AA31" s="10"/>
      <c r="AB31" s="10"/>
    </row>
    <row r="32" spans="1:28" ht="8.1" customHeight="1" x14ac:dyDescent="0.25">
      <c r="A32" s="972">
        <v>1</v>
      </c>
      <c r="B32" s="16"/>
      <c r="C32" s="130"/>
      <c r="D32" s="766"/>
      <c r="E32" s="480"/>
      <c r="F32" s="1127"/>
      <c r="G32" s="1918"/>
      <c r="H32" s="1853"/>
      <c r="I32" s="1918"/>
      <c r="J32" s="1918"/>
      <c r="K32" s="1918"/>
      <c r="L32" s="1145"/>
      <c r="M32" s="101"/>
      <c r="N32" s="6"/>
      <c r="O32" s="10"/>
      <c r="P32" s="10"/>
      <c r="Q32" s="10"/>
      <c r="R32" s="10"/>
      <c r="S32" s="10"/>
      <c r="T32" s="10"/>
      <c r="U32" s="10"/>
      <c r="V32" s="10"/>
      <c r="W32" s="10"/>
      <c r="X32" s="10"/>
      <c r="Y32" s="10"/>
      <c r="Z32" s="10"/>
      <c r="AA32" s="10"/>
      <c r="AB32" s="10"/>
    </row>
    <row r="33" spans="1:28" x14ac:dyDescent="0.25">
      <c r="A33" s="972">
        <v>1</v>
      </c>
      <c r="B33" s="16"/>
      <c r="C33" s="130"/>
      <c r="D33" s="1489" t="s">
        <v>295</v>
      </c>
      <c r="E33" s="480"/>
      <c r="F33" s="1170"/>
      <c r="G33" s="1920"/>
      <c r="H33" s="1790"/>
      <c r="I33" s="1920"/>
      <c r="J33" s="1920"/>
      <c r="K33" s="1920"/>
      <c r="L33" s="1952"/>
      <c r="M33" s="101"/>
      <c r="N33" s="6"/>
      <c r="O33" s="10"/>
      <c r="P33" s="10"/>
      <c r="Q33" s="10"/>
      <c r="R33" s="10"/>
      <c r="S33" s="10"/>
      <c r="T33" s="10"/>
      <c r="U33" s="10"/>
      <c r="V33" s="10"/>
      <c r="W33" s="10"/>
      <c r="X33" s="10"/>
      <c r="Y33" s="10"/>
      <c r="Z33" s="10"/>
      <c r="AA33" s="10"/>
      <c r="AB33" s="10"/>
    </row>
    <row r="34" spans="1:28" ht="14.25" customHeight="1" x14ac:dyDescent="0.25">
      <c r="A34" s="972">
        <v>1</v>
      </c>
      <c r="B34" s="16"/>
      <c r="C34" s="130"/>
      <c r="D34" s="520" t="s">
        <v>174</v>
      </c>
      <c r="E34" s="480"/>
      <c r="F34" s="1127"/>
      <c r="G34" s="1917"/>
      <c r="H34" s="1917"/>
      <c r="I34" s="1917"/>
      <c r="J34" s="1917"/>
      <c r="K34" s="1917"/>
      <c r="L34" s="1140"/>
      <c r="M34" s="101"/>
      <c r="N34" s="6"/>
      <c r="O34" s="10"/>
      <c r="P34" s="10"/>
      <c r="Q34" s="10"/>
      <c r="R34" s="10"/>
      <c r="S34" s="10"/>
      <c r="T34" s="10"/>
      <c r="U34" s="10"/>
      <c r="V34" s="10"/>
      <c r="W34" s="10"/>
      <c r="X34" s="10"/>
      <c r="Y34" s="10"/>
      <c r="Z34" s="10"/>
      <c r="AA34" s="10"/>
      <c r="AB34" s="10"/>
    </row>
    <row r="35" spans="1:28" ht="8.1" customHeight="1" x14ac:dyDescent="0.25">
      <c r="A35" s="972">
        <v>1</v>
      </c>
      <c r="B35" s="16"/>
      <c r="C35" s="130"/>
      <c r="D35" s="766"/>
      <c r="E35" s="480"/>
      <c r="F35" s="1127"/>
      <c r="G35" s="1918"/>
      <c r="H35" s="1853"/>
      <c r="I35" s="1918"/>
      <c r="J35" s="1918"/>
      <c r="K35" s="1918"/>
      <c r="L35" s="1145"/>
      <c r="M35" s="101"/>
      <c r="N35" s="6"/>
      <c r="O35" s="10"/>
      <c r="P35" s="10"/>
      <c r="Q35" s="10"/>
      <c r="R35" s="10"/>
      <c r="S35" s="10"/>
      <c r="T35" s="10"/>
      <c r="U35" s="10"/>
      <c r="V35" s="10"/>
      <c r="W35" s="10"/>
      <c r="X35" s="10"/>
      <c r="Y35" s="10"/>
      <c r="Z35" s="10"/>
      <c r="AA35" s="10"/>
      <c r="AB35" s="10"/>
    </row>
    <row r="36" spans="1:28" x14ac:dyDescent="0.25">
      <c r="A36" s="972">
        <v>1</v>
      </c>
      <c r="B36" s="16"/>
      <c r="C36" s="130"/>
      <c r="D36" s="1489" t="s">
        <v>1049</v>
      </c>
      <c r="E36" s="480"/>
      <c r="F36" s="1127"/>
      <c r="G36" s="1917"/>
      <c r="H36" s="1917"/>
      <c r="I36" s="1917"/>
      <c r="J36" s="1917"/>
      <c r="K36" s="1917"/>
      <c r="L36" s="1140"/>
      <c r="M36" s="101"/>
      <c r="N36" s="6"/>
      <c r="O36" s="10"/>
      <c r="P36" s="10"/>
      <c r="Q36" s="10"/>
      <c r="R36" s="10"/>
      <c r="S36" s="10"/>
      <c r="T36" s="10"/>
      <c r="U36" s="10"/>
      <c r="V36" s="10"/>
      <c r="W36" s="10"/>
      <c r="X36" s="10"/>
      <c r="Y36" s="10"/>
      <c r="Z36" s="10"/>
      <c r="AA36" s="10"/>
      <c r="AB36" s="10"/>
    </row>
    <row r="37" spans="1:28" ht="14.25" customHeight="1" x14ac:dyDescent="0.25">
      <c r="A37" s="972">
        <v>1</v>
      </c>
      <c r="B37" s="16"/>
      <c r="C37" s="130"/>
      <c r="D37" s="520" t="s">
        <v>174</v>
      </c>
      <c r="E37" s="480"/>
      <c r="F37" s="1120"/>
      <c r="G37" s="1917">
        <f t="shared" ref="G37:L37" si="4">G38</f>
        <v>0</v>
      </c>
      <c r="H37" s="1917">
        <f t="shared" si="4"/>
        <v>0</v>
      </c>
      <c r="I37" s="1917">
        <f t="shared" si="4"/>
        <v>0</v>
      </c>
      <c r="J37" s="1917">
        <f t="shared" si="4"/>
        <v>0</v>
      </c>
      <c r="K37" s="1917">
        <f t="shared" si="4"/>
        <v>0</v>
      </c>
      <c r="L37" s="1140">
        <f t="shared" si="4"/>
        <v>0</v>
      </c>
      <c r="M37" s="101"/>
      <c r="N37" s="6"/>
      <c r="O37" s="10"/>
      <c r="P37" s="10"/>
      <c r="Q37" s="10"/>
      <c r="R37" s="10"/>
      <c r="S37" s="10"/>
      <c r="T37" s="10"/>
      <c r="U37" s="10"/>
      <c r="V37" s="10"/>
      <c r="W37" s="10"/>
      <c r="X37" s="10"/>
      <c r="Y37" s="10"/>
      <c r="Z37" s="10"/>
      <c r="AA37" s="10"/>
      <c r="AB37" s="10"/>
    </row>
    <row r="38" spans="1:28" ht="14.25" customHeight="1" x14ac:dyDescent="0.25">
      <c r="A38" s="972">
        <v>0</v>
      </c>
      <c r="B38" s="16"/>
      <c r="C38" s="130"/>
      <c r="D38" s="1160"/>
      <c r="E38" s="480"/>
      <c r="F38" s="1120" t="s">
        <v>710</v>
      </c>
      <c r="G38" s="1921"/>
      <c r="H38" s="1921"/>
      <c r="I38" s="1921"/>
      <c r="J38" s="1921"/>
      <c r="K38" s="1921"/>
      <c r="L38" s="2025"/>
      <c r="M38" s="101"/>
      <c r="N38" s="6"/>
      <c r="O38" s="10"/>
      <c r="P38" s="10"/>
      <c r="Q38" s="10"/>
      <c r="R38" s="10"/>
      <c r="S38" s="10"/>
      <c r="T38" s="10"/>
      <c r="U38" s="10"/>
      <c r="V38" s="10"/>
      <c r="W38" s="10"/>
      <c r="X38" s="10"/>
      <c r="Y38" s="10"/>
      <c r="Z38" s="10"/>
      <c r="AA38" s="10"/>
      <c r="AB38" s="10"/>
    </row>
    <row r="39" spans="1:28" ht="14.25" customHeight="1" x14ac:dyDescent="0.25">
      <c r="A39" s="972">
        <v>1</v>
      </c>
      <c r="B39" s="16"/>
      <c r="C39" s="130"/>
      <c r="D39" s="520" t="s">
        <v>304</v>
      </c>
      <c r="E39" s="480"/>
      <c r="F39" s="1127"/>
      <c r="G39" s="1922">
        <f t="shared" ref="G39:L39" si="5">G30+G34+G37</f>
        <v>0</v>
      </c>
      <c r="H39" s="1922">
        <f t="shared" si="5"/>
        <v>0</v>
      </c>
      <c r="I39" s="1922">
        <f t="shared" si="5"/>
        <v>0</v>
      </c>
      <c r="J39" s="1922">
        <f t="shared" si="5"/>
        <v>0</v>
      </c>
      <c r="K39" s="1922">
        <f t="shared" si="5"/>
        <v>0</v>
      </c>
      <c r="L39" s="2026">
        <f t="shared" si="5"/>
        <v>0</v>
      </c>
      <c r="M39" s="101"/>
      <c r="N39" s="6"/>
      <c r="O39" s="10"/>
      <c r="P39" s="10"/>
      <c r="Q39" s="10"/>
      <c r="R39" s="10"/>
      <c r="S39" s="10"/>
      <c r="T39" s="10"/>
      <c r="U39" s="10"/>
      <c r="V39" s="10"/>
      <c r="W39" s="10"/>
      <c r="X39" s="10"/>
      <c r="Y39" s="10"/>
      <c r="Z39" s="10"/>
      <c r="AA39" s="10"/>
      <c r="AB39" s="10"/>
    </row>
    <row r="40" spans="1:28" ht="8.1" customHeight="1" x14ac:dyDescent="0.25">
      <c r="A40" s="972">
        <v>1</v>
      </c>
      <c r="B40" s="16"/>
      <c r="C40" s="130"/>
      <c r="D40" s="1160"/>
      <c r="E40" s="480"/>
      <c r="F40" s="1127"/>
      <c r="G40" s="1923"/>
      <c r="H40" s="1923"/>
      <c r="I40" s="1923"/>
      <c r="J40" s="1923"/>
      <c r="K40" s="1923"/>
      <c r="L40" s="2027"/>
      <c r="M40" s="101"/>
      <c r="N40" s="6"/>
      <c r="O40" s="10"/>
      <c r="P40" s="10"/>
      <c r="Q40" s="10"/>
      <c r="R40" s="10"/>
      <c r="S40" s="10"/>
      <c r="T40" s="10"/>
      <c r="U40" s="10"/>
      <c r="V40" s="10"/>
      <c r="W40" s="10"/>
      <c r="X40" s="10"/>
      <c r="Y40" s="10"/>
      <c r="Z40" s="10"/>
      <c r="AA40" s="10"/>
      <c r="AB40" s="10"/>
    </row>
    <row r="41" spans="1:28" ht="14.25" customHeight="1" x14ac:dyDescent="0.25">
      <c r="A41" s="972">
        <v>1</v>
      </c>
      <c r="B41" s="16"/>
      <c r="C41" s="130"/>
      <c r="D41" s="1147" t="s">
        <v>1044</v>
      </c>
      <c r="E41" s="1206"/>
      <c r="F41" s="1127"/>
      <c r="G41" s="1924">
        <f t="shared" ref="G41:L41" si="6">G21+G39</f>
        <v>0</v>
      </c>
      <c r="H41" s="1924">
        <f t="shared" si="6"/>
        <v>0</v>
      </c>
      <c r="I41" s="1924">
        <f t="shared" si="6"/>
        <v>0</v>
      </c>
      <c r="J41" s="1924">
        <f t="shared" si="6"/>
        <v>0</v>
      </c>
      <c r="K41" s="1924">
        <f t="shared" si="6"/>
        <v>0</v>
      </c>
      <c r="L41" s="2028">
        <f t="shared" si="6"/>
        <v>0</v>
      </c>
      <c r="M41" s="101"/>
      <c r="N41" s="6"/>
      <c r="O41" s="10"/>
      <c r="P41" s="10"/>
      <c r="Q41" s="10"/>
      <c r="R41" s="10"/>
      <c r="S41" s="10"/>
      <c r="T41" s="10"/>
      <c r="U41" s="10"/>
      <c r="V41" s="10"/>
      <c r="W41" s="10"/>
      <c r="X41" s="10"/>
      <c r="Y41" s="10"/>
      <c r="Z41" s="10"/>
      <c r="AA41" s="10"/>
      <c r="AB41" s="10"/>
    </row>
    <row r="42" spans="1:28" ht="8.1" customHeight="1" x14ac:dyDescent="0.25">
      <c r="A42" s="972">
        <v>1</v>
      </c>
      <c r="B42" s="16"/>
      <c r="C42" s="130"/>
      <c r="D42" s="1157"/>
      <c r="E42" s="1206"/>
      <c r="F42" s="1127"/>
      <c r="G42" s="1853"/>
      <c r="H42" s="1853"/>
      <c r="I42" s="1853"/>
      <c r="J42" s="1853"/>
      <c r="K42" s="1853"/>
      <c r="L42" s="1145"/>
      <c r="M42" s="101"/>
      <c r="N42" s="6"/>
      <c r="O42" s="10"/>
      <c r="P42" s="10"/>
      <c r="Q42" s="10"/>
      <c r="R42" s="10"/>
      <c r="S42" s="10"/>
      <c r="T42" s="10"/>
      <c r="U42" s="10"/>
      <c r="V42" s="10"/>
      <c r="W42" s="10"/>
      <c r="X42" s="10"/>
      <c r="Y42" s="10"/>
      <c r="Z42" s="10"/>
      <c r="AA42" s="10"/>
      <c r="AB42" s="10"/>
    </row>
    <row r="43" spans="1:28" ht="14.25" customHeight="1" x14ac:dyDescent="0.25">
      <c r="A43" s="972">
        <v>1</v>
      </c>
      <c r="B43" s="16"/>
      <c r="C43" s="130"/>
      <c r="D43" s="1489" t="s">
        <v>313</v>
      </c>
      <c r="E43" s="1206"/>
      <c r="F43" s="1170"/>
      <c r="G43" s="1925"/>
      <c r="H43" s="1925"/>
      <c r="I43" s="1925"/>
      <c r="J43" s="1925"/>
      <c r="K43" s="1925"/>
      <c r="L43" s="2029"/>
      <c r="M43" s="101"/>
      <c r="N43" s="6"/>
      <c r="O43" s="10"/>
      <c r="P43" s="10"/>
      <c r="Q43" s="10"/>
      <c r="R43" s="10"/>
      <c r="S43" s="10"/>
      <c r="T43" s="10"/>
      <c r="U43" s="10"/>
      <c r="V43" s="10"/>
      <c r="W43" s="10"/>
      <c r="X43" s="10"/>
      <c r="Y43" s="10"/>
      <c r="Z43" s="10"/>
      <c r="AA43" s="10"/>
      <c r="AB43" s="10"/>
    </row>
    <row r="44" spans="1:28" ht="14.25" customHeight="1" x14ac:dyDescent="0.25">
      <c r="A44" s="972">
        <v>1</v>
      </c>
      <c r="B44" s="16"/>
      <c r="C44" s="130"/>
      <c r="D44" s="520" t="s">
        <v>174</v>
      </c>
      <c r="E44" s="480"/>
      <c r="F44" s="1127"/>
      <c r="G44" s="1917">
        <f t="shared" ref="G44:L44" si="7">IF(Income_RentAdjType_1&lt;&gt;"$ per Unit",IF(AND(G45=0,G46=0,G47=0),0,IF(G45&lt;&gt;0,G45*G41,IF(G46&lt;&gt;0,G46/(G$41*G$64),G47))),IF(Income_RentAdjType_1="$ per Unit",IF(AND(G45=0,G46=0,G47=0),0,IF(G45&lt;&gt;0,G45*G$41,IF(G46&lt;&gt;0,G46/G$64,G47)))))</f>
        <v>0</v>
      </c>
      <c r="H44" s="1917">
        <f t="shared" si="7"/>
        <v>0</v>
      </c>
      <c r="I44" s="1917">
        <f t="shared" si="7"/>
        <v>0</v>
      </c>
      <c r="J44" s="1917">
        <f t="shared" si="7"/>
        <v>0</v>
      </c>
      <c r="K44" s="1917">
        <f t="shared" si="7"/>
        <v>0</v>
      </c>
      <c r="L44" s="1140">
        <f t="shared" si="7"/>
        <v>0</v>
      </c>
      <c r="M44" s="101"/>
      <c r="N44" s="6"/>
      <c r="O44" s="10"/>
      <c r="P44" s="10"/>
      <c r="Q44" s="10"/>
      <c r="R44" s="10"/>
      <c r="S44" s="10"/>
      <c r="T44" s="10"/>
      <c r="U44" s="10"/>
      <c r="V44" s="10"/>
      <c r="W44" s="10"/>
      <c r="X44" s="10"/>
      <c r="Y44" s="10"/>
      <c r="Z44" s="10"/>
      <c r="AA44" s="10"/>
      <c r="AB44" s="10"/>
    </row>
    <row r="45" spans="1:28" ht="14.25" customHeight="1" x14ac:dyDescent="0.25">
      <c r="A45" s="972">
        <v>0</v>
      </c>
      <c r="B45" s="16"/>
      <c r="C45" s="130"/>
      <c r="D45" s="766"/>
      <c r="E45" s="480"/>
      <c r="F45" s="1120" t="s">
        <v>166</v>
      </c>
      <c r="G45" s="1926"/>
      <c r="H45" s="1926"/>
      <c r="I45" s="1926"/>
      <c r="J45" s="1926"/>
      <c r="K45" s="1926"/>
      <c r="L45" s="2030"/>
      <c r="M45" s="101"/>
      <c r="N45" s="6"/>
      <c r="O45" s="10"/>
      <c r="P45" s="10"/>
      <c r="Q45" s="10"/>
      <c r="R45" s="10"/>
      <c r="S45" s="10"/>
      <c r="T45" s="10"/>
      <c r="U45" s="10"/>
      <c r="V45" s="10"/>
      <c r="W45" s="10"/>
      <c r="X45" s="10"/>
      <c r="Y45" s="10"/>
      <c r="Z45" s="10"/>
      <c r="AA45" s="10"/>
      <c r="AB45" s="10"/>
    </row>
    <row r="46" spans="1:28" ht="14.25" customHeight="1" x14ac:dyDescent="0.25">
      <c r="A46" s="972">
        <v>0</v>
      </c>
      <c r="B46" s="16"/>
      <c r="C46" s="130"/>
      <c r="D46" s="766"/>
      <c r="E46" s="480"/>
      <c r="F46" s="1120" t="s">
        <v>167</v>
      </c>
      <c r="G46" s="1927"/>
      <c r="H46" s="1927"/>
      <c r="I46" s="1927"/>
      <c r="J46" s="1927"/>
      <c r="K46" s="1927"/>
      <c r="L46" s="2031"/>
      <c r="M46" s="101"/>
      <c r="N46" s="6"/>
      <c r="O46" s="10"/>
      <c r="P46" s="10"/>
      <c r="Q46" s="10"/>
      <c r="R46" s="10"/>
      <c r="S46" s="10"/>
      <c r="T46" s="10"/>
      <c r="U46" s="10"/>
      <c r="V46" s="10"/>
      <c r="W46" s="10"/>
      <c r="X46" s="10"/>
      <c r="Y46" s="10"/>
      <c r="Z46" s="10"/>
      <c r="AA46" s="10"/>
      <c r="AB46" s="10"/>
    </row>
    <row r="47" spans="1:28" ht="14.25" customHeight="1" x14ac:dyDescent="0.25">
      <c r="A47" s="972">
        <v>0</v>
      </c>
      <c r="B47" s="16"/>
      <c r="C47" s="130"/>
      <c r="D47" s="766"/>
      <c r="E47" s="480"/>
      <c r="F47" s="1120" t="s">
        <v>710</v>
      </c>
      <c r="G47" s="1921"/>
      <c r="H47" s="1921"/>
      <c r="I47" s="1921"/>
      <c r="J47" s="1921"/>
      <c r="K47" s="1921"/>
      <c r="L47" s="2025"/>
      <c r="M47" s="101"/>
      <c r="N47" s="6"/>
      <c r="O47" s="10"/>
      <c r="P47" s="10"/>
      <c r="Q47" s="10"/>
      <c r="R47" s="10"/>
      <c r="S47" s="10"/>
      <c r="T47" s="10"/>
      <c r="U47" s="10"/>
      <c r="V47" s="10"/>
      <c r="W47" s="10"/>
      <c r="X47" s="10"/>
      <c r="Y47" s="10"/>
      <c r="Z47" s="10"/>
      <c r="AA47" s="10"/>
      <c r="AB47" s="10"/>
    </row>
    <row r="48" spans="1:28" ht="14.25" customHeight="1" x14ac:dyDescent="0.25">
      <c r="A48" s="972">
        <v>1</v>
      </c>
      <c r="B48" s="16"/>
      <c r="C48" s="130"/>
      <c r="D48" s="1147" t="s">
        <v>1365</v>
      </c>
      <c r="E48" s="480"/>
      <c r="F48" s="1120"/>
      <c r="G48" s="1852">
        <f t="shared" ref="G48:L48" si="8">G41+G44</f>
        <v>0</v>
      </c>
      <c r="H48" s="1852">
        <f t="shared" si="8"/>
        <v>0</v>
      </c>
      <c r="I48" s="1852">
        <f t="shared" si="8"/>
        <v>0</v>
      </c>
      <c r="J48" s="1852">
        <f t="shared" si="8"/>
        <v>0</v>
      </c>
      <c r="K48" s="1852">
        <f t="shared" si="8"/>
        <v>0</v>
      </c>
      <c r="L48" s="1143">
        <f t="shared" si="8"/>
        <v>0</v>
      </c>
      <c r="M48" s="101"/>
      <c r="N48" s="6"/>
      <c r="O48" s="10"/>
      <c r="P48" s="10"/>
      <c r="Q48" s="10"/>
      <c r="R48" s="10"/>
      <c r="S48" s="10"/>
      <c r="T48" s="10"/>
      <c r="U48" s="10"/>
      <c r="V48" s="10"/>
      <c r="W48" s="10"/>
      <c r="X48" s="10"/>
      <c r="Y48" s="10"/>
      <c r="Z48" s="10"/>
      <c r="AA48" s="10"/>
      <c r="AB48" s="10"/>
    </row>
    <row r="49" spans="1:28" ht="5.0999999999999996" customHeight="1" x14ac:dyDescent="0.25">
      <c r="A49" s="972">
        <v>1</v>
      </c>
      <c r="B49" s="16"/>
      <c r="C49" s="130"/>
      <c r="D49" s="766"/>
      <c r="E49" s="480"/>
      <c r="F49" s="1127"/>
      <c r="G49" s="1853" t="b">
        <f t="shared" ref="G49:L49" si="9">IF(Sales_AdjType="Qualitative",IF(G54="Inferior",-1,IF(G54="Superior",1,0)))</f>
        <v>0</v>
      </c>
      <c r="H49" s="1853" t="b">
        <f t="shared" si="9"/>
        <v>0</v>
      </c>
      <c r="I49" s="1853" t="b">
        <f t="shared" si="9"/>
        <v>0</v>
      </c>
      <c r="J49" s="1853" t="b">
        <f t="shared" si="9"/>
        <v>0</v>
      </c>
      <c r="K49" s="1853" t="b">
        <f t="shared" si="9"/>
        <v>0</v>
      </c>
      <c r="L49" s="1145" t="b">
        <f t="shared" si="9"/>
        <v>0</v>
      </c>
      <c r="M49" s="101"/>
      <c r="N49" s="6"/>
      <c r="O49" s="10"/>
      <c r="P49" s="10"/>
      <c r="Q49" s="10"/>
      <c r="R49" s="10"/>
      <c r="S49" s="10"/>
      <c r="T49" s="10"/>
      <c r="U49" s="10"/>
      <c r="V49" s="10"/>
      <c r="W49" s="10"/>
      <c r="X49" s="10"/>
      <c r="Y49" s="10"/>
      <c r="Z49" s="10"/>
      <c r="AA49" s="10"/>
      <c r="AB49" s="10"/>
    </row>
    <row r="50" spans="1:28" ht="14.25" customHeight="1" x14ac:dyDescent="0.25">
      <c r="A50" s="972">
        <v>1</v>
      </c>
      <c r="B50" s="16"/>
      <c r="C50" s="130"/>
      <c r="D50" s="1137" t="s">
        <v>162</v>
      </c>
      <c r="E50" s="1137"/>
      <c r="F50" s="1207"/>
      <c r="G50" s="1913"/>
      <c r="H50" s="1917"/>
      <c r="I50" s="1913"/>
      <c r="J50" s="1913"/>
      <c r="K50" s="1913"/>
      <c r="L50" s="1140"/>
      <c r="M50" s="101"/>
      <c r="N50" s="6"/>
      <c r="O50" s="10"/>
      <c r="P50" s="10"/>
      <c r="Q50" s="4093" t="s">
        <v>944</v>
      </c>
      <c r="R50" s="10"/>
      <c r="S50" s="10"/>
      <c r="T50" s="10"/>
      <c r="U50" s="10"/>
      <c r="V50" s="10"/>
      <c r="W50" s="10"/>
      <c r="X50" s="10"/>
      <c r="Y50" s="10"/>
      <c r="Z50" s="10"/>
      <c r="AA50" s="10"/>
      <c r="AB50" s="10"/>
    </row>
    <row r="51" spans="1:28" ht="15" customHeight="1" thickBot="1" x14ac:dyDescent="0.3">
      <c r="A51" s="972">
        <v>1</v>
      </c>
      <c r="B51" s="16"/>
      <c r="C51" s="130"/>
      <c r="D51" s="1489" t="s">
        <v>171</v>
      </c>
      <c r="E51" s="480"/>
      <c r="F51" s="1208"/>
      <c r="G51" s="1928" t="e">
        <f t="shared" ref="G51:L51" si="10">(dpIncome_Rent_DOV_1-G11)/365</f>
        <v>#VALUE!</v>
      </c>
      <c r="H51" s="1928" t="e">
        <f t="shared" si="10"/>
        <v>#VALUE!</v>
      </c>
      <c r="I51" s="1928" t="e">
        <f t="shared" si="10"/>
        <v>#VALUE!</v>
      </c>
      <c r="J51" s="1928" t="e">
        <f t="shared" si="10"/>
        <v>#VALUE!</v>
      </c>
      <c r="K51" s="1928" t="e">
        <f t="shared" si="10"/>
        <v>#VALUE!</v>
      </c>
      <c r="L51" s="2032" t="e">
        <f t="shared" si="10"/>
        <v>#VALUE!</v>
      </c>
      <c r="M51" s="101"/>
      <c r="N51" s="6"/>
      <c r="O51" s="10"/>
      <c r="P51" s="10"/>
      <c r="Q51" s="4114"/>
      <c r="R51" s="10"/>
      <c r="S51" s="10"/>
      <c r="T51" s="10"/>
      <c r="U51" s="10"/>
      <c r="V51" s="10"/>
      <c r="W51" s="10"/>
      <c r="X51" s="10"/>
      <c r="Y51" s="10"/>
      <c r="Z51" s="10"/>
      <c r="AA51" s="10"/>
      <c r="AB51" s="10"/>
    </row>
    <row r="52" spans="1:28" ht="14.25" customHeight="1" x14ac:dyDescent="0.25">
      <c r="A52" s="972">
        <v>1</v>
      </c>
      <c r="B52" s="16"/>
      <c r="C52" s="130"/>
      <c r="D52" s="520" t="s">
        <v>172</v>
      </c>
      <c r="E52" s="480"/>
      <c r="F52" s="1176" t="str">
        <f>dpIncome_Rent_DOV_1</f>
        <v>N/A</v>
      </c>
      <c r="G52" s="1855" t="e">
        <f t="shared" ref="G52:L52" si="11">IF(dpIncome_RentMktCondDate1_1="",0,IF(AND(dpIncome_RentMktCondDate2_1&lt;&gt;"",G$11&gt;dpIncome_RentMktCondDate1_1),0,(dpIncome_RentMktCondAdj1_1*((dpIncome_RentMktCondDate1_1-G$11)/365))))</f>
        <v>#VALUE!</v>
      </c>
      <c r="H52" s="1855" t="e">
        <f t="shared" si="11"/>
        <v>#VALUE!</v>
      </c>
      <c r="I52" s="1855" t="e">
        <f t="shared" si="11"/>
        <v>#VALUE!</v>
      </c>
      <c r="J52" s="1855" t="e">
        <f t="shared" si="11"/>
        <v>#VALUE!</v>
      </c>
      <c r="K52" s="1855" t="e">
        <f t="shared" si="11"/>
        <v>#VALUE!</v>
      </c>
      <c r="L52" s="1150" t="e">
        <f t="shared" si="11"/>
        <v>#VALUE!</v>
      </c>
      <c r="M52" s="101"/>
      <c r="N52" s="6"/>
      <c r="O52" s="10"/>
      <c r="P52" s="10"/>
      <c r="Q52" s="573"/>
      <c r="R52" s="10"/>
      <c r="S52" s="10"/>
      <c r="T52" s="10"/>
      <c r="U52" s="10"/>
      <c r="V52" s="10"/>
      <c r="W52" s="10"/>
      <c r="X52" s="10"/>
      <c r="Y52" s="10"/>
      <c r="Z52" s="10"/>
      <c r="AA52" s="10"/>
      <c r="AB52" s="10"/>
    </row>
    <row r="53" spans="1:28" ht="15" customHeight="1" thickBot="1" x14ac:dyDescent="0.3">
      <c r="A53" s="972">
        <f>IF(dpIncome_RentMktCondDate2_1="",0,1)</f>
        <v>0</v>
      </c>
      <c r="B53" s="16"/>
      <c r="C53" s="130"/>
      <c r="D53" s="520" t="s">
        <v>173</v>
      </c>
      <c r="E53" s="480"/>
      <c r="F53" s="1177"/>
      <c r="G53" s="1855">
        <f t="shared" ref="G53:L53" si="12">IF(dpIncome_RentMktCondDate2_1="",0,IF(AND(G$11&lt;dpIncome_Rent_DOV_1,G$11&gt;dpIncome_RentMktCondDate1_1),dpIncome_RentMktCondAdj2_1*((dpIncome_Rent_DOV_1-G$11)/365),IF(G$11&lt;dpIncome_Rent_DOV_1,dpIncome_RentMktCondAdj2_1*((dpIncome_Rent_DOV_1-dpIncome_RentMktCondDate1_1)/365),dpIncome_RentMktCondAdj2_1*((dpIncome_Rent_DOV_1-G$11)/365))))</f>
        <v>0</v>
      </c>
      <c r="H53" s="1855">
        <f t="shared" si="12"/>
        <v>0</v>
      </c>
      <c r="I53" s="1855">
        <f t="shared" si="12"/>
        <v>0</v>
      </c>
      <c r="J53" s="1855">
        <f t="shared" si="12"/>
        <v>0</v>
      </c>
      <c r="K53" s="1855">
        <f t="shared" si="12"/>
        <v>0</v>
      </c>
      <c r="L53" s="1150">
        <f t="shared" si="12"/>
        <v>0</v>
      </c>
      <c r="M53" s="101"/>
      <c r="N53" s="6"/>
      <c r="O53" s="10"/>
      <c r="P53" s="10"/>
      <c r="Q53" s="574"/>
      <c r="R53" s="12" t="s">
        <v>158</v>
      </c>
      <c r="S53" s="10"/>
      <c r="T53" s="10"/>
      <c r="U53" s="10"/>
      <c r="V53" s="10"/>
      <c r="W53" s="10"/>
      <c r="X53" s="10"/>
      <c r="Y53" s="10"/>
      <c r="Z53" s="10"/>
      <c r="AA53" s="10"/>
      <c r="AB53" s="10"/>
    </row>
    <row r="54" spans="1:28" ht="14.25" customHeight="1" x14ac:dyDescent="0.25">
      <c r="A54" s="1100">
        <v>1</v>
      </c>
      <c r="B54" s="16"/>
      <c r="C54" s="130"/>
      <c r="D54" s="1206" t="s">
        <v>1372</v>
      </c>
      <c r="E54" s="1206"/>
      <c r="F54" s="1127"/>
      <c r="G54" s="1929" t="e">
        <f t="shared" ref="G54:L54" si="13">(1+G52)*(1+G53)*G48</f>
        <v>#VALUE!</v>
      </c>
      <c r="H54" s="1929" t="e">
        <f t="shared" si="13"/>
        <v>#VALUE!</v>
      </c>
      <c r="I54" s="1929" t="e">
        <f t="shared" si="13"/>
        <v>#VALUE!</v>
      </c>
      <c r="J54" s="1929" t="e">
        <f t="shared" si="13"/>
        <v>#VALUE!</v>
      </c>
      <c r="K54" s="1929" t="e">
        <f t="shared" si="13"/>
        <v>#VALUE!</v>
      </c>
      <c r="L54" s="2033" t="e">
        <f t="shared" si="13"/>
        <v>#VALUE!</v>
      </c>
      <c r="M54" s="101"/>
      <c r="N54" s="6"/>
      <c r="O54" s="10"/>
      <c r="P54" s="10"/>
      <c r="Q54" s="10"/>
      <c r="R54" s="10"/>
      <c r="S54" s="10"/>
      <c r="T54" s="10"/>
      <c r="U54" s="10"/>
      <c r="V54" s="10"/>
      <c r="W54" s="10"/>
      <c r="X54" s="10"/>
      <c r="Y54" s="10"/>
      <c r="Z54" s="10"/>
      <c r="AA54" s="10"/>
      <c r="AB54" s="10"/>
    </row>
    <row r="55" spans="1:28" ht="8.1" customHeight="1" x14ac:dyDescent="0.25">
      <c r="A55" s="1100">
        <v>1</v>
      </c>
      <c r="B55" s="16"/>
      <c r="C55" s="130"/>
      <c r="D55" s="766"/>
      <c r="E55" s="480"/>
      <c r="F55" s="1127"/>
      <c r="G55" s="1930">
        <f t="shared" ref="G55:L55" si="14">IF(AND(G60=0,G61=0,G62=0),0,IF(G60&lt;&gt;0,G60,IF(G61&lt;&gt;0,G61/(G$54*G$64),G62/G$54)))</f>
        <v>0</v>
      </c>
      <c r="H55" s="1930">
        <f t="shared" si="14"/>
        <v>0</v>
      </c>
      <c r="I55" s="1930">
        <f t="shared" si="14"/>
        <v>0</v>
      </c>
      <c r="J55" s="1930">
        <f t="shared" si="14"/>
        <v>0</v>
      </c>
      <c r="K55" s="1930">
        <f t="shared" si="14"/>
        <v>0</v>
      </c>
      <c r="L55" s="2034">
        <f t="shared" si="14"/>
        <v>0</v>
      </c>
      <c r="M55" s="101"/>
      <c r="N55" s="6"/>
      <c r="O55" s="10"/>
      <c r="P55" s="10"/>
      <c r="Q55" s="10"/>
      <c r="R55" s="10"/>
      <c r="S55" s="10"/>
      <c r="T55" s="10"/>
      <c r="U55" s="10"/>
      <c r="V55" s="10"/>
      <c r="W55" s="10"/>
      <c r="X55" s="10"/>
      <c r="Y55" s="10"/>
      <c r="Z55" s="10"/>
      <c r="AA55" s="10"/>
      <c r="AB55" s="10"/>
    </row>
    <row r="56" spans="1:28" ht="14.25" customHeight="1" x14ac:dyDescent="0.25">
      <c r="A56" s="1100">
        <v>1</v>
      </c>
      <c r="B56" s="16"/>
      <c r="C56" s="130"/>
      <c r="D56" s="1137" t="s">
        <v>312</v>
      </c>
      <c r="E56" s="1137"/>
      <c r="F56" s="1127"/>
      <c r="G56" s="1854"/>
      <c r="H56" s="1854"/>
      <c r="I56" s="1854"/>
      <c r="J56" s="1854"/>
      <c r="K56" s="1854"/>
      <c r="L56" s="538"/>
      <c r="M56" s="101"/>
      <c r="N56" s="6"/>
      <c r="O56" s="10"/>
      <c r="P56" s="10"/>
      <c r="Q56" s="10"/>
      <c r="R56" s="10"/>
      <c r="S56" s="10"/>
      <c r="T56" s="10"/>
      <c r="U56" s="10"/>
      <c r="V56" s="10"/>
      <c r="W56" s="10"/>
      <c r="X56" s="10"/>
      <c r="Y56" s="10"/>
      <c r="Z56" s="10"/>
      <c r="AA56" s="10"/>
      <c r="AB56" s="10"/>
    </row>
    <row r="57" spans="1:28" x14ac:dyDescent="0.25">
      <c r="A57" s="1101">
        <f>A59</f>
        <v>2</v>
      </c>
      <c r="B57" s="140"/>
      <c r="C57" s="522"/>
      <c r="D57" s="1489" t="s">
        <v>95</v>
      </c>
      <c r="E57" s="480"/>
      <c r="F57" s="1209" t="str">
        <f>Subject_Address</f>
        <v>4940 Oneida St</v>
      </c>
      <c r="G57" s="1788"/>
      <c r="H57" s="1788"/>
      <c r="I57" s="1788"/>
      <c r="J57" s="1788"/>
      <c r="K57" s="1788"/>
      <c r="L57" s="1162"/>
      <c r="M57" s="802"/>
      <c r="N57" s="288"/>
      <c r="O57" s="142"/>
      <c r="P57" s="142"/>
      <c r="Q57" s="142"/>
      <c r="R57" s="142"/>
      <c r="S57" s="142"/>
      <c r="T57" s="142"/>
      <c r="U57" s="142"/>
      <c r="V57" s="142"/>
      <c r="W57" s="142"/>
      <c r="X57" s="142"/>
      <c r="Y57" s="142"/>
      <c r="Z57" s="142"/>
      <c r="AA57" s="142"/>
      <c r="AB57" s="142"/>
    </row>
    <row r="58" spans="1:28" ht="14.25" customHeight="1" x14ac:dyDescent="0.25">
      <c r="A58" s="1101">
        <f>A59</f>
        <v>2</v>
      </c>
      <c r="B58" s="140"/>
      <c r="C58" s="522"/>
      <c r="D58" s="520"/>
      <c r="E58" s="480"/>
      <c r="F58" s="1650" t="str">
        <f>CONCATENATE(Subject_City,", ",Subject_State)</f>
        <v>Commerce City, Colorado</v>
      </c>
      <c r="G58" s="1788"/>
      <c r="H58" s="1788"/>
      <c r="I58" s="1788"/>
      <c r="J58" s="1788"/>
      <c r="K58" s="1788"/>
      <c r="L58" s="1162"/>
      <c r="M58" s="802"/>
      <c r="N58" s="288"/>
      <c r="O58" s="142"/>
      <c r="P58" s="142"/>
      <c r="Q58" s="142"/>
      <c r="R58" s="142"/>
      <c r="S58" s="142"/>
      <c r="T58" s="142"/>
      <c r="U58" s="142"/>
      <c r="V58" s="142"/>
      <c r="W58" s="142"/>
      <c r="X58" s="142"/>
      <c r="Y58" s="142"/>
      <c r="Z58" s="142"/>
      <c r="AA58" s="142"/>
      <c r="AB58" s="142"/>
    </row>
    <row r="59" spans="1:28" ht="14.25" customHeight="1" x14ac:dyDescent="0.25">
      <c r="A59" s="1100">
        <f>IF(B59=TRUE,1,2)</f>
        <v>2</v>
      </c>
      <c r="B59" s="1082" t="b">
        <v>0</v>
      </c>
      <c r="C59" s="1210"/>
      <c r="D59" s="1503" t="str">
        <f>IF(Income_RentAdjType_1&lt;&gt;"Qualitative","Adjustment","Relative Comparison")</f>
        <v>Adjustment</v>
      </c>
      <c r="E59" s="1211"/>
      <c r="F59" s="1212"/>
      <c r="G59" s="1855">
        <f t="shared" ref="G59:L59" si="15">IF(Income_RentAdjType_1="Percent",IF(AND(G60=0,G61=0,G62=0),0,IF(G60&lt;&gt;0,G60,IF(G61&lt;&gt;0,G61/(G$54*G$64),G62/G$54))),IF(Income_RentAdjType_1="$ per Unit",IF(AND(G60=0,G61=0,G62=0),0,IF(G60&lt;&gt;0,G60*G$54,IF(G61&lt;&gt;0,G61/G$64,G62))),IF(OR(G60&gt;0,G61&gt;0,G62&gt;0),"Inferior",IF(OR(G60&lt;0,G61&lt;0,G62&lt;0),"Superior","Similar"))))</f>
        <v>0</v>
      </c>
      <c r="H59" s="1855">
        <f t="shared" si="15"/>
        <v>0</v>
      </c>
      <c r="I59" s="1855">
        <f t="shared" si="15"/>
        <v>0</v>
      </c>
      <c r="J59" s="1855">
        <f t="shared" si="15"/>
        <v>0</v>
      </c>
      <c r="K59" s="1855">
        <f t="shared" si="15"/>
        <v>0</v>
      </c>
      <c r="L59" s="1150">
        <f t="shared" si="15"/>
        <v>0</v>
      </c>
      <c r="M59" s="101"/>
      <c r="N59" s="6"/>
      <c r="O59" s="10"/>
      <c r="P59" s="10"/>
      <c r="Q59" s="10"/>
      <c r="R59" s="10"/>
      <c r="S59" s="10"/>
      <c r="T59" s="10"/>
      <c r="U59" s="10"/>
      <c r="V59" s="10"/>
      <c r="W59" s="10"/>
      <c r="X59" s="10"/>
      <c r="Y59" s="10"/>
      <c r="Z59" s="10"/>
      <c r="AA59" s="10"/>
      <c r="AB59" s="10"/>
    </row>
    <row r="60" spans="1:28" ht="14.25" customHeight="1" x14ac:dyDescent="0.25">
      <c r="A60" s="1100">
        <f>IF(A59=2,2,0)</f>
        <v>2</v>
      </c>
      <c r="B60" s="16"/>
      <c r="C60" s="130"/>
      <c r="D60" s="520"/>
      <c r="E60" s="480"/>
      <c r="F60" s="1120" t="s">
        <v>166</v>
      </c>
      <c r="G60" s="1926"/>
      <c r="H60" s="1926"/>
      <c r="I60" s="1926"/>
      <c r="J60" s="1926"/>
      <c r="K60" s="1926"/>
      <c r="L60" s="2030"/>
      <c r="M60" s="101"/>
      <c r="N60" s="6"/>
      <c r="O60" s="10"/>
      <c r="P60" s="10"/>
      <c r="Q60" s="10"/>
      <c r="R60" s="10"/>
      <c r="S60" s="10"/>
      <c r="T60" s="10"/>
      <c r="U60" s="10"/>
      <c r="V60" s="10"/>
      <c r="W60" s="10"/>
      <c r="X60" s="10"/>
      <c r="Y60" s="10"/>
      <c r="Z60" s="10"/>
      <c r="AA60" s="10"/>
      <c r="AB60" s="10"/>
    </row>
    <row r="61" spans="1:28" ht="14.25" customHeight="1" x14ac:dyDescent="0.25">
      <c r="A61" s="1100">
        <f>IF(A60=2,2,0)</f>
        <v>2</v>
      </c>
      <c r="B61" s="16"/>
      <c r="C61" s="130"/>
      <c r="D61" s="520"/>
      <c r="E61" s="480"/>
      <c r="F61" s="1120" t="s">
        <v>167</v>
      </c>
      <c r="G61" s="1927"/>
      <c r="H61" s="1927"/>
      <c r="I61" s="1927"/>
      <c r="J61" s="1927"/>
      <c r="K61" s="1927"/>
      <c r="L61" s="2031"/>
      <c r="M61" s="101"/>
      <c r="N61" s="6"/>
      <c r="O61" s="10"/>
      <c r="P61" s="10"/>
      <c r="Q61" s="10"/>
      <c r="R61" s="10"/>
      <c r="S61" s="10"/>
      <c r="T61" s="10"/>
      <c r="U61" s="10"/>
      <c r="V61" s="10"/>
      <c r="W61" s="10"/>
      <c r="X61" s="10"/>
      <c r="Y61" s="10"/>
      <c r="Z61" s="10"/>
      <c r="AA61" s="10"/>
      <c r="AB61" s="10"/>
    </row>
    <row r="62" spans="1:28" ht="14.25" customHeight="1" x14ac:dyDescent="0.25">
      <c r="A62" s="1100">
        <f>IF(A61=2,2,0)</f>
        <v>2</v>
      </c>
      <c r="B62" s="16"/>
      <c r="C62" s="130"/>
      <c r="D62" s="520"/>
      <c r="E62" s="480"/>
      <c r="F62" s="1120" t="s">
        <v>710</v>
      </c>
      <c r="G62" s="1921"/>
      <c r="H62" s="1921"/>
      <c r="I62" s="1921"/>
      <c r="J62" s="1921"/>
      <c r="K62" s="1921"/>
      <c r="L62" s="2025"/>
      <c r="M62" s="101"/>
      <c r="N62" s="6"/>
      <c r="O62" s="10"/>
      <c r="P62" s="10"/>
      <c r="Q62" s="10"/>
      <c r="R62" s="10"/>
      <c r="S62" s="10"/>
      <c r="T62" s="10"/>
      <c r="U62" s="10"/>
      <c r="V62" s="10"/>
      <c r="W62" s="10"/>
      <c r="X62" s="10"/>
      <c r="Y62" s="10"/>
      <c r="Z62" s="10"/>
      <c r="AA62" s="10"/>
      <c r="AB62" s="10"/>
    </row>
    <row r="63" spans="1:28" ht="8.1" customHeight="1" x14ac:dyDescent="0.25">
      <c r="A63" s="1100">
        <f>A65</f>
        <v>2</v>
      </c>
      <c r="B63" s="16"/>
      <c r="C63" s="130"/>
      <c r="D63" s="520"/>
      <c r="E63" s="480"/>
      <c r="F63" s="1127"/>
      <c r="G63" s="1930">
        <f t="shared" ref="G63:L63" si="16">IF(AND(G66=0,G67=0,G68=0),0,IF(G66&lt;&gt;0,G66,IF(G67&lt;&gt;0,G67/(G$54*G$64),G68/G$54)))</f>
        <v>0</v>
      </c>
      <c r="H63" s="1930">
        <f t="shared" si="16"/>
        <v>0</v>
      </c>
      <c r="I63" s="1930">
        <f t="shared" si="16"/>
        <v>0</v>
      </c>
      <c r="J63" s="1930">
        <f t="shared" si="16"/>
        <v>0</v>
      </c>
      <c r="K63" s="1930">
        <f t="shared" si="16"/>
        <v>0</v>
      </c>
      <c r="L63" s="2034">
        <f t="shared" si="16"/>
        <v>0</v>
      </c>
      <c r="M63" s="101"/>
      <c r="N63" s="6"/>
      <c r="O63" s="10"/>
      <c r="P63" s="10"/>
      <c r="Q63" s="10"/>
      <c r="R63" s="10"/>
      <c r="S63" s="10"/>
      <c r="T63" s="10"/>
      <c r="U63" s="10"/>
      <c r="V63" s="10"/>
      <c r="W63" s="10"/>
      <c r="X63" s="10"/>
      <c r="Y63" s="10"/>
      <c r="Z63" s="10"/>
      <c r="AA63" s="10"/>
      <c r="AB63" s="10"/>
    </row>
    <row r="64" spans="1:28" x14ac:dyDescent="0.25">
      <c r="A64" s="1100">
        <f>A65</f>
        <v>2</v>
      </c>
      <c r="B64" s="16"/>
      <c r="C64" s="130"/>
      <c r="D64" s="1489" t="s">
        <v>303</v>
      </c>
      <c r="E64" s="1198"/>
      <c r="F64" s="929"/>
      <c r="G64" s="1931"/>
      <c r="H64" s="1931"/>
      <c r="I64" s="1931"/>
      <c r="J64" s="1931"/>
      <c r="K64" s="1931"/>
      <c r="L64" s="2035"/>
      <c r="M64" s="101"/>
      <c r="N64" s="6"/>
      <c r="O64" s="10"/>
      <c r="P64" s="10"/>
      <c r="Q64" s="10"/>
      <c r="R64" s="10"/>
      <c r="S64" s="10"/>
      <c r="T64" s="10"/>
      <c r="U64" s="10"/>
      <c r="V64" s="10"/>
      <c r="W64" s="10"/>
      <c r="X64" s="10"/>
      <c r="Y64" s="10"/>
      <c r="Z64" s="10"/>
      <c r="AA64" s="10"/>
      <c r="AB64" s="10"/>
    </row>
    <row r="65" spans="1:28" ht="14.25" customHeight="1" x14ac:dyDescent="0.25">
      <c r="A65" s="1100">
        <f>IF(B65=TRUE,1,2)</f>
        <v>2</v>
      </c>
      <c r="B65" s="1082" t="b">
        <v>0</v>
      </c>
      <c r="C65" s="1210"/>
      <c r="D65" s="1503" t="str">
        <f>IF(Income_RentAdjType_1&lt;&gt;"Qualitative","Adjustment","Relative Comparison")</f>
        <v>Adjustment</v>
      </c>
      <c r="E65" s="1211"/>
      <c r="F65" s="1212"/>
      <c r="G65" s="1855">
        <f t="shared" ref="G65:L65" si="17">IF(Income_RentAdjType_1="Percent",IF(AND(G66=0,G67=0,G68=0),0,IF(G66&lt;&gt;0,G66,IF(G67&lt;&gt;0,G67/(G$54*G$64),G68/G$54))),IF(Income_RentAdjType_1="$ per Unit",IF(AND(G66=0,G67=0,G68=0),0,IF(G66&lt;&gt;0,G66*G$54,IF(G67&lt;&gt;0,G67/G$64,G68))),IF(OR(G66&gt;0,G67&gt;0,G68&gt;0),"Inferior",IF(OR(G66&lt;0,G67&lt;0,G68&lt;0),"Superior","Similar"))))</f>
        <v>0</v>
      </c>
      <c r="H65" s="1855">
        <f t="shared" si="17"/>
        <v>0</v>
      </c>
      <c r="I65" s="1855">
        <f t="shared" si="17"/>
        <v>0</v>
      </c>
      <c r="J65" s="1855">
        <f t="shared" si="17"/>
        <v>0</v>
      </c>
      <c r="K65" s="1855">
        <f t="shared" si="17"/>
        <v>0</v>
      </c>
      <c r="L65" s="1150">
        <f t="shared" si="17"/>
        <v>0</v>
      </c>
      <c r="M65" s="101"/>
      <c r="N65" s="6"/>
      <c r="O65" s="10"/>
      <c r="P65" s="10"/>
      <c r="Q65" s="10"/>
      <c r="R65" s="10"/>
      <c r="S65" s="10"/>
      <c r="T65" s="10"/>
      <c r="U65" s="10"/>
      <c r="V65" s="10"/>
      <c r="W65" s="10"/>
      <c r="X65" s="10"/>
      <c r="Y65" s="10"/>
      <c r="Z65" s="10"/>
      <c r="AA65" s="10"/>
      <c r="AB65" s="10"/>
    </row>
    <row r="66" spans="1:28" ht="14.25" customHeight="1" x14ac:dyDescent="0.25">
      <c r="A66" s="1100">
        <f>IF(A65=2,2,0)</f>
        <v>2</v>
      </c>
      <c r="B66" s="16"/>
      <c r="C66" s="130"/>
      <c r="D66" s="520"/>
      <c r="E66" s="480"/>
      <c r="F66" s="1120" t="s">
        <v>166</v>
      </c>
      <c r="G66" s="1926"/>
      <c r="H66" s="1926"/>
      <c r="I66" s="1926"/>
      <c r="J66" s="1926"/>
      <c r="K66" s="1926"/>
      <c r="L66" s="2030"/>
      <c r="M66" s="101"/>
      <c r="N66" s="6"/>
      <c r="O66" s="10"/>
      <c r="P66" s="10"/>
      <c r="Q66" s="10"/>
      <c r="R66" s="10"/>
      <c r="S66" s="10"/>
      <c r="T66" s="10"/>
      <c r="U66" s="10"/>
      <c r="V66" s="10"/>
      <c r="W66" s="10"/>
      <c r="X66" s="10"/>
      <c r="Y66" s="10"/>
      <c r="Z66" s="10"/>
      <c r="AA66" s="10"/>
      <c r="AB66" s="10"/>
    </row>
    <row r="67" spans="1:28" ht="14.25" customHeight="1" x14ac:dyDescent="0.25">
      <c r="A67" s="1100">
        <f>IF(A66=2,2,0)</f>
        <v>2</v>
      </c>
      <c r="B67" s="16"/>
      <c r="C67" s="130"/>
      <c r="D67" s="520"/>
      <c r="E67" s="480"/>
      <c r="F67" s="1120" t="s">
        <v>167</v>
      </c>
      <c r="G67" s="1927"/>
      <c r="H67" s="1927"/>
      <c r="I67" s="1927"/>
      <c r="J67" s="1927"/>
      <c r="K67" s="1927"/>
      <c r="L67" s="2031"/>
      <c r="M67" s="101"/>
      <c r="N67" s="6"/>
      <c r="O67" s="10"/>
      <c r="P67" s="10"/>
      <c r="Q67" s="150"/>
      <c r="R67" s="10"/>
      <c r="S67" s="10"/>
      <c r="T67" s="10"/>
      <c r="U67" s="10"/>
      <c r="V67" s="10"/>
      <c r="W67" s="10"/>
      <c r="X67" s="10"/>
      <c r="Y67" s="10"/>
      <c r="Z67" s="10"/>
      <c r="AA67" s="10"/>
      <c r="AB67" s="10"/>
    </row>
    <row r="68" spans="1:28" ht="14.25" customHeight="1" x14ac:dyDescent="0.25">
      <c r="A68" s="1100">
        <f>IF(A67=2,2,0)</f>
        <v>2</v>
      </c>
      <c r="B68" s="16"/>
      <c r="C68" s="130"/>
      <c r="D68" s="520"/>
      <c r="E68" s="480"/>
      <c r="F68" s="1120" t="s">
        <v>710</v>
      </c>
      <c r="G68" s="1921"/>
      <c r="H68" s="1921"/>
      <c r="I68" s="1921"/>
      <c r="J68" s="1921"/>
      <c r="K68" s="1921"/>
      <c r="L68" s="2025"/>
      <c r="M68" s="101"/>
      <c r="N68" s="6"/>
      <c r="O68" s="10"/>
      <c r="P68" s="10"/>
      <c r="Q68" s="10"/>
      <c r="R68" s="10"/>
      <c r="S68" s="10"/>
      <c r="T68" s="10"/>
      <c r="U68" s="10"/>
      <c r="V68" s="10"/>
      <c r="W68" s="10"/>
      <c r="X68" s="10"/>
      <c r="Y68" s="10"/>
      <c r="Z68" s="10"/>
      <c r="AA68" s="10"/>
      <c r="AB68" s="10"/>
    </row>
    <row r="69" spans="1:28" ht="8.1" customHeight="1" x14ac:dyDescent="0.25">
      <c r="A69" s="1100">
        <f>A75</f>
        <v>2</v>
      </c>
      <c r="B69" s="16"/>
      <c r="C69" s="130"/>
      <c r="D69" s="520"/>
      <c r="E69" s="480"/>
      <c r="F69" s="1127"/>
      <c r="G69" s="1930">
        <f t="shared" ref="G69:L69" si="18">IF(AND(G76=0,G76=0,G76=0),0,IF(G76&lt;&gt;0,G76,IF(G77&lt;&gt;0,G77/(G$54*G$64),G78/G$54)))</f>
        <v>0</v>
      </c>
      <c r="H69" s="1930">
        <f t="shared" si="18"/>
        <v>0</v>
      </c>
      <c r="I69" s="1930">
        <f t="shared" si="18"/>
        <v>0</v>
      </c>
      <c r="J69" s="1930">
        <f t="shared" si="18"/>
        <v>0</v>
      </c>
      <c r="K69" s="1930">
        <f t="shared" si="18"/>
        <v>0</v>
      </c>
      <c r="L69" s="2034">
        <f t="shared" si="18"/>
        <v>0</v>
      </c>
      <c r="M69" s="101"/>
      <c r="N69" s="6"/>
      <c r="O69" s="10"/>
      <c r="P69" s="10"/>
      <c r="Q69" s="10"/>
      <c r="R69" s="10"/>
      <c r="S69" s="10"/>
      <c r="T69" s="10"/>
      <c r="U69" s="10"/>
      <c r="V69" s="10"/>
      <c r="W69" s="10"/>
      <c r="X69" s="10"/>
      <c r="Y69" s="10"/>
      <c r="Z69" s="10"/>
      <c r="AA69" s="10"/>
      <c r="AB69" s="10"/>
    </row>
    <row r="70" spans="1:28" x14ac:dyDescent="0.25">
      <c r="A70" s="1101">
        <f>A75</f>
        <v>2</v>
      </c>
      <c r="B70" s="16"/>
      <c r="C70" s="130"/>
      <c r="D70" s="1489" t="s">
        <v>294</v>
      </c>
      <c r="E70" s="1120" t="s">
        <v>10</v>
      </c>
      <c r="F70" s="1195">
        <f>IF(Subject_Year_Built="",Subject_Year_Built_Range,Subject_Year_Built)</f>
        <v>2021</v>
      </c>
      <c r="G70" s="1919">
        <f t="shared" ref="G70:L70" si="19">IF(OR(G71="",G71="N/A"),G72,G71)</f>
        <v>0</v>
      </c>
      <c r="H70" s="1919">
        <f t="shared" si="19"/>
        <v>0</v>
      </c>
      <c r="I70" s="1919">
        <f t="shared" si="19"/>
        <v>0</v>
      </c>
      <c r="J70" s="1919">
        <f t="shared" si="19"/>
        <v>0</v>
      </c>
      <c r="K70" s="1919">
        <f t="shared" si="19"/>
        <v>0</v>
      </c>
      <c r="L70" s="1166">
        <f t="shared" si="19"/>
        <v>0</v>
      </c>
      <c r="M70" s="101"/>
      <c r="N70" s="6"/>
      <c r="O70" s="10"/>
      <c r="P70" s="10"/>
      <c r="Q70" s="10"/>
      <c r="R70" s="10"/>
      <c r="S70" s="10"/>
      <c r="T70" s="10"/>
      <c r="U70" s="10"/>
      <c r="V70" s="10"/>
      <c r="W70" s="10"/>
      <c r="X70" s="10"/>
      <c r="Y70" s="10"/>
      <c r="Z70" s="10"/>
      <c r="AA70" s="10"/>
      <c r="AB70" s="10"/>
    </row>
    <row r="71" spans="1:28" ht="14.25" customHeight="1" x14ac:dyDescent="0.25">
      <c r="A71" s="1101">
        <f>IF(A75=2,2,0)</f>
        <v>2</v>
      </c>
      <c r="B71" s="16"/>
      <c r="C71" s="130"/>
      <c r="D71" s="520"/>
      <c r="E71" s="1120" t="s">
        <v>10</v>
      </c>
      <c r="F71" s="1196">
        <f>Subject_Year_Built</f>
        <v>2021</v>
      </c>
      <c r="G71" s="1913"/>
      <c r="H71" s="1846"/>
      <c r="I71" s="1913"/>
      <c r="J71" s="1913"/>
      <c r="K71" s="1913"/>
      <c r="L71" s="1128"/>
      <c r="M71" s="101"/>
      <c r="N71" s="6"/>
      <c r="O71" s="10"/>
      <c r="P71" s="10"/>
      <c r="Q71" s="10"/>
      <c r="R71" s="10"/>
      <c r="S71" s="10"/>
      <c r="T71" s="10"/>
      <c r="U71" s="10"/>
      <c r="V71" s="10"/>
      <c r="W71" s="10"/>
      <c r="X71" s="10"/>
      <c r="Y71" s="10"/>
      <c r="Z71" s="10"/>
      <c r="AA71" s="10"/>
      <c r="AB71" s="10"/>
    </row>
    <row r="72" spans="1:28" ht="14.25" customHeight="1" x14ac:dyDescent="0.25">
      <c r="A72" s="1101">
        <f>IF(A75=2,2,0)</f>
        <v>2</v>
      </c>
      <c r="B72" s="16"/>
      <c r="C72" s="130"/>
      <c r="D72" s="520"/>
      <c r="E72" s="1120" t="s">
        <v>1009</v>
      </c>
      <c r="F72" s="1196">
        <f>Subject_Year_Built_Range</f>
        <v>0</v>
      </c>
      <c r="G72" s="1913"/>
      <c r="H72" s="1846"/>
      <c r="I72" s="1913"/>
      <c r="J72" s="1913"/>
      <c r="K72" s="1913"/>
      <c r="L72" s="1128"/>
      <c r="M72" s="101"/>
      <c r="N72" s="6"/>
      <c r="O72" s="10"/>
      <c r="P72" s="10"/>
      <c r="Q72" s="10"/>
      <c r="R72" s="10"/>
      <c r="S72" s="10"/>
      <c r="T72" s="10"/>
      <c r="U72" s="10"/>
      <c r="V72" s="10"/>
      <c r="W72" s="10"/>
      <c r="X72" s="10"/>
      <c r="Y72" s="10"/>
      <c r="Z72" s="10"/>
      <c r="AA72" s="10"/>
      <c r="AB72" s="10"/>
    </row>
    <row r="73" spans="1:28" ht="14.25" customHeight="1" x14ac:dyDescent="0.25">
      <c r="A73" s="1101">
        <f>A75</f>
        <v>2</v>
      </c>
      <c r="B73" s="16"/>
      <c r="C73" s="130"/>
      <c r="D73" s="520"/>
      <c r="E73" s="1120" t="s">
        <v>538</v>
      </c>
      <c r="F73" s="1161" t="str">
        <f>Subject_Condition</f>
        <v>Average</v>
      </c>
      <c r="G73" s="1788"/>
      <c r="H73" s="1788"/>
      <c r="I73" s="1788"/>
      <c r="J73" s="1788"/>
      <c r="K73" s="1788"/>
      <c r="L73" s="1162"/>
      <c r="M73" s="101"/>
      <c r="N73" s="6"/>
      <c r="O73" s="10"/>
      <c r="P73" s="10"/>
      <c r="Q73" s="10"/>
      <c r="R73" s="10"/>
      <c r="S73" s="10"/>
      <c r="T73" s="10"/>
      <c r="U73" s="10"/>
      <c r="V73" s="10"/>
      <c r="W73" s="10"/>
      <c r="X73" s="10"/>
      <c r="Y73" s="10"/>
      <c r="Z73" s="10"/>
      <c r="AA73" s="10"/>
      <c r="AB73" s="10"/>
    </row>
    <row r="74" spans="1:28" ht="14.25" customHeight="1" x14ac:dyDescent="0.25">
      <c r="A74" s="1101">
        <f>A75</f>
        <v>2</v>
      </c>
      <c r="B74" s="16"/>
      <c r="C74" s="130"/>
      <c r="D74" s="520"/>
      <c r="E74" s="1120" t="s">
        <v>17</v>
      </c>
      <c r="F74" s="1197">
        <f>Subject_AgeEffective</f>
        <v>0</v>
      </c>
      <c r="G74" s="1932"/>
      <c r="H74" s="1932"/>
      <c r="I74" s="1932"/>
      <c r="J74" s="1932"/>
      <c r="K74" s="1932"/>
      <c r="L74" s="2036"/>
      <c r="M74" s="101"/>
      <c r="N74" s="6"/>
      <c r="O74" s="10"/>
      <c r="P74" s="10"/>
      <c r="Q74" s="10"/>
      <c r="R74" s="10"/>
      <c r="S74" s="10"/>
      <c r="T74" s="10"/>
      <c r="U74" s="10"/>
      <c r="V74" s="10"/>
      <c r="W74" s="10"/>
      <c r="X74" s="10"/>
      <c r="Y74" s="10"/>
      <c r="Z74" s="10"/>
      <c r="AA74" s="10"/>
      <c r="AB74" s="10"/>
    </row>
    <row r="75" spans="1:28" ht="14.25" customHeight="1" x14ac:dyDescent="0.25">
      <c r="A75" s="1100">
        <f>IF(B75=TRUE,1,2)</f>
        <v>2</v>
      </c>
      <c r="B75" s="1082" t="b">
        <v>0</v>
      </c>
      <c r="C75" s="1210"/>
      <c r="D75" s="1503" t="str">
        <f>IF(Income_RentAdjType_1&lt;&gt;"Qualitative","Adjustment","Relative Comparison")</f>
        <v>Adjustment</v>
      </c>
      <c r="E75" s="1211"/>
      <c r="F75" s="1212"/>
      <c r="G75" s="1855">
        <f t="shared" ref="G75:L75" si="20">IF(Income_RentAdjType_1="Percent",IF(AND(G76=0,G77=0,G78=0),0,IF(G76&lt;&gt;0,G76,IF(G77&lt;&gt;0,G77/(G$54*G$64),G78/G$54))),IF(Income_RentAdjType_1="$ per Unit",IF(AND(G76=0,G77=0,G78=0),0,IF(G76&lt;&gt;0,G76*G$54,IF(G77&lt;&gt;0,G77/G$64,G78))),IF(OR(G76&gt;0,G77&gt;0,G78&gt;0),"Inferior",IF(OR(G76&lt;0,G77&lt;0,G78&lt;0),"Superior","Similar"))))</f>
        <v>0</v>
      </c>
      <c r="H75" s="1855">
        <f t="shared" si="20"/>
        <v>0</v>
      </c>
      <c r="I75" s="1855">
        <f t="shared" si="20"/>
        <v>0</v>
      </c>
      <c r="J75" s="1855">
        <f t="shared" si="20"/>
        <v>0</v>
      </c>
      <c r="K75" s="1855">
        <f t="shared" si="20"/>
        <v>0</v>
      </c>
      <c r="L75" s="1150">
        <f t="shared" si="20"/>
        <v>0</v>
      </c>
      <c r="M75" s="101"/>
      <c r="N75" s="6"/>
      <c r="O75" s="10"/>
      <c r="P75" s="10"/>
      <c r="Q75" s="10"/>
      <c r="R75" s="10"/>
      <c r="S75" s="10"/>
      <c r="T75" s="10"/>
      <c r="U75" s="10"/>
      <c r="V75" s="10"/>
      <c r="W75" s="10"/>
      <c r="X75" s="10"/>
      <c r="Y75" s="10"/>
      <c r="Z75" s="10"/>
      <c r="AA75" s="10"/>
      <c r="AB75" s="10"/>
    </row>
    <row r="76" spans="1:28" ht="14.25" customHeight="1" x14ac:dyDescent="0.25">
      <c r="A76" s="1100">
        <f>IF(A75=2,2,0)</f>
        <v>2</v>
      </c>
      <c r="B76" s="16"/>
      <c r="C76" s="130"/>
      <c r="D76" s="520"/>
      <c r="E76" s="480"/>
      <c r="F76" s="1120" t="s">
        <v>166</v>
      </c>
      <c r="G76" s="1926"/>
      <c r="H76" s="1926"/>
      <c r="I76" s="1926"/>
      <c r="J76" s="1926"/>
      <c r="K76" s="1926"/>
      <c r="L76" s="2030"/>
      <c r="M76" s="101"/>
      <c r="N76" s="6"/>
      <c r="O76" s="10"/>
      <c r="P76" s="10"/>
      <c r="Q76" s="10"/>
      <c r="R76" s="10"/>
      <c r="S76" s="10"/>
      <c r="T76" s="10"/>
      <c r="U76" s="10"/>
      <c r="V76" s="10"/>
      <c r="W76" s="10"/>
      <c r="X76" s="10"/>
      <c r="Y76" s="10"/>
      <c r="Z76" s="10"/>
      <c r="AA76" s="10"/>
      <c r="AB76" s="10"/>
    </row>
    <row r="77" spans="1:28" ht="14.25" customHeight="1" x14ac:dyDescent="0.25">
      <c r="A77" s="1100">
        <f>IF(A76=2,2,0)</f>
        <v>2</v>
      </c>
      <c r="B77" s="16"/>
      <c r="C77" s="130"/>
      <c r="D77" s="520"/>
      <c r="E77" s="480"/>
      <c r="F77" s="1120" t="s">
        <v>167</v>
      </c>
      <c r="G77" s="1927"/>
      <c r="H77" s="1927"/>
      <c r="I77" s="1927"/>
      <c r="J77" s="1927"/>
      <c r="K77" s="1927"/>
      <c r="L77" s="2031"/>
      <c r="M77" s="101"/>
      <c r="N77" s="6"/>
      <c r="O77" s="10"/>
      <c r="P77" s="10"/>
      <c r="Q77" s="10"/>
      <c r="R77" s="10"/>
      <c r="S77" s="10"/>
      <c r="T77" s="10"/>
      <c r="U77" s="10"/>
      <c r="V77" s="10"/>
      <c r="W77" s="10"/>
      <c r="X77" s="10"/>
      <c r="Y77" s="10"/>
      <c r="Z77" s="10"/>
      <c r="AA77" s="10"/>
      <c r="AB77" s="10"/>
    </row>
    <row r="78" spans="1:28" ht="14.25" customHeight="1" x14ac:dyDescent="0.25">
      <c r="A78" s="1100">
        <f>IF(A77=2,2,0)</f>
        <v>2</v>
      </c>
      <c r="B78" s="16"/>
      <c r="C78" s="130"/>
      <c r="D78" s="520"/>
      <c r="E78" s="480"/>
      <c r="F78" s="1120" t="s">
        <v>710</v>
      </c>
      <c r="G78" s="1921"/>
      <c r="H78" s="1921"/>
      <c r="I78" s="1921"/>
      <c r="J78" s="1921"/>
      <c r="K78" s="1921"/>
      <c r="L78" s="2025"/>
      <c r="M78" s="101"/>
      <c r="N78" s="6"/>
      <c r="O78" s="10"/>
      <c r="P78" s="10"/>
      <c r="Q78" s="10"/>
      <c r="R78" s="10"/>
      <c r="S78" s="10"/>
      <c r="T78" s="10"/>
      <c r="U78" s="10"/>
      <c r="V78" s="10"/>
      <c r="W78" s="10"/>
      <c r="X78" s="10"/>
      <c r="Y78" s="10"/>
      <c r="Z78" s="10"/>
      <c r="AA78" s="10"/>
      <c r="AB78" s="10"/>
    </row>
    <row r="79" spans="1:28" ht="8.1" customHeight="1" x14ac:dyDescent="0.25">
      <c r="A79" s="1100">
        <f>A84</f>
        <v>2</v>
      </c>
      <c r="B79" s="16"/>
      <c r="C79" s="130"/>
      <c r="D79" s="520"/>
      <c r="E79" s="480"/>
      <c r="F79" s="1127"/>
      <c r="G79" s="1930">
        <f t="shared" ref="G79:L79" si="21">IF(AND(G85=0,G86=0,G87=0),0,IF(G85&lt;&gt;0,G85,IF(G86&lt;&gt;0,G86/(G$54*G$64),G87/G$54)))</f>
        <v>0</v>
      </c>
      <c r="H79" s="1930">
        <f t="shared" si="21"/>
        <v>0</v>
      </c>
      <c r="I79" s="1930">
        <f t="shared" si="21"/>
        <v>0</v>
      </c>
      <c r="J79" s="1930">
        <f t="shared" si="21"/>
        <v>0</v>
      </c>
      <c r="K79" s="1930">
        <f t="shared" si="21"/>
        <v>0</v>
      </c>
      <c r="L79" s="2034">
        <f t="shared" si="21"/>
        <v>0</v>
      </c>
      <c r="M79" s="101"/>
      <c r="N79" s="6"/>
      <c r="O79" s="10"/>
      <c r="P79" s="10"/>
      <c r="Q79" s="10"/>
      <c r="R79" s="10"/>
      <c r="S79" s="10"/>
      <c r="T79" s="10"/>
      <c r="U79" s="10"/>
      <c r="V79" s="10"/>
      <c r="W79" s="10"/>
      <c r="X79" s="10"/>
      <c r="Y79" s="10"/>
      <c r="Z79" s="10"/>
      <c r="AA79" s="10"/>
      <c r="AB79" s="10"/>
    </row>
    <row r="80" spans="1:28" x14ac:dyDescent="0.25">
      <c r="A80" s="1100">
        <f>A84</f>
        <v>2</v>
      </c>
      <c r="B80" s="16"/>
      <c r="C80" s="130"/>
      <c r="D80" s="1489" t="s">
        <v>288</v>
      </c>
      <c r="E80" s="1119"/>
      <c r="F80" s="1161" t="str">
        <f>IF(dpIncome_RentAdjustment_4_1="Construction Quality",CONCATENATE(Subject_ConstructionQuality," Class ",Subject_ConstructionClass),CONCATENATE(Subject_ConstructionQuality," Class ",Subject_InvestmentClass))</f>
        <v>Good Class B</v>
      </c>
      <c r="G80" s="1788" t="str">
        <f t="shared" ref="G80:L80" si="22">IF(dpIncome_RentAdjustment_4_1="Construction Quality",CONCATENATE(G81," Class ",G82),CONCATENATE(G81," Class ",G83))</f>
        <v xml:space="preserve"> Class </v>
      </c>
      <c r="H80" s="1788" t="str">
        <f t="shared" si="22"/>
        <v xml:space="preserve"> Class </v>
      </c>
      <c r="I80" s="1788" t="str">
        <f t="shared" si="22"/>
        <v xml:space="preserve"> Class </v>
      </c>
      <c r="J80" s="1788" t="str">
        <f t="shared" si="22"/>
        <v xml:space="preserve"> Class </v>
      </c>
      <c r="K80" s="1788" t="str">
        <f t="shared" si="22"/>
        <v xml:space="preserve"> Class </v>
      </c>
      <c r="L80" s="1162" t="str">
        <f t="shared" si="22"/>
        <v xml:space="preserve"> Class </v>
      </c>
      <c r="M80" s="101"/>
      <c r="N80" s="6"/>
      <c r="O80" s="10"/>
      <c r="P80" s="10"/>
      <c r="Q80" s="10"/>
      <c r="R80" s="10"/>
      <c r="S80" s="10"/>
      <c r="T80" s="10"/>
      <c r="U80" s="10"/>
      <c r="V80" s="10"/>
      <c r="W80" s="10"/>
      <c r="X80" s="10"/>
      <c r="Y80" s="10"/>
      <c r="Z80" s="10"/>
      <c r="AA80" s="10"/>
      <c r="AB80" s="10"/>
    </row>
    <row r="81" spans="1:28" ht="14.25" customHeight="1" x14ac:dyDescent="0.25">
      <c r="A81" s="1101">
        <f>IF(A84=2,2,0)</f>
        <v>2</v>
      </c>
      <c r="B81" s="16"/>
      <c r="C81" s="130"/>
      <c r="D81" s="1198"/>
      <c r="E81" s="1198"/>
      <c r="F81" s="1120" t="s">
        <v>288</v>
      </c>
      <c r="G81" s="1780"/>
      <c r="H81" s="1781"/>
      <c r="I81" s="1780"/>
      <c r="J81" s="1780"/>
      <c r="K81" s="1780"/>
      <c r="L81" s="1947"/>
      <c r="M81" s="101"/>
      <c r="N81" s="6"/>
      <c r="O81" s="10"/>
      <c r="P81" s="10"/>
      <c r="Q81" s="10"/>
      <c r="R81" s="10"/>
      <c r="S81" s="10"/>
      <c r="T81" s="10"/>
      <c r="U81" s="10"/>
      <c r="V81" s="10"/>
      <c r="W81" s="10"/>
      <c r="X81" s="10"/>
      <c r="Y81" s="10"/>
      <c r="Z81" s="10"/>
      <c r="AA81" s="10"/>
      <c r="AB81" s="10"/>
    </row>
    <row r="82" spans="1:28" ht="14.25" customHeight="1" x14ac:dyDescent="0.25">
      <c r="A82" s="1101">
        <f>IF(A84=2,2,0)</f>
        <v>2</v>
      </c>
      <c r="B82" s="16"/>
      <c r="C82" s="130"/>
      <c r="D82" s="1198"/>
      <c r="E82" s="1198"/>
      <c r="F82" s="1119" t="s">
        <v>307</v>
      </c>
      <c r="G82" s="1780"/>
      <c r="H82" s="1781"/>
      <c r="I82" s="1780"/>
      <c r="J82" s="1780"/>
      <c r="K82" s="1780"/>
      <c r="L82" s="1947"/>
      <c r="M82" s="101"/>
      <c r="N82" s="6"/>
      <c r="O82" s="10"/>
      <c r="P82" s="10"/>
      <c r="Q82" s="10"/>
      <c r="R82" s="10"/>
      <c r="S82" s="10"/>
      <c r="T82" s="10"/>
      <c r="U82" s="10"/>
      <c r="V82" s="10"/>
      <c r="W82" s="10"/>
      <c r="X82" s="10"/>
      <c r="Y82" s="10"/>
      <c r="Z82" s="10"/>
      <c r="AA82" s="10"/>
      <c r="AB82" s="10"/>
    </row>
    <row r="83" spans="1:28" ht="14.25" customHeight="1" x14ac:dyDescent="0.25">
      <c r="A83" s="1101">
        <f>IF(A84=2,2,0)</f>
        <v>2</v>
      </c>
      <c r="B83" s="16"/>
      <c r="C83" s="130"/>
      <c r="D83" s="1198"/>
      <c r="E83" s="1198"/>
      <c r="F83" s="1119" t="s">
        <v>308</v>
      </c>
      <c r="G83" s="1780"/>
      <c r="H83" s="1781"/>
      <c r="I83" s="1780"/>
      <c r="J83" s="1780"/>
      <c r="K83" s="1780"/>
      <c r="L83" s="1947"/>
      <c r="M83" s="101"/>
      <c r="N83" s="6"/>
      <c r="O83" s="10"/>
      <c r="P83" s="10"/>
      <c r="Q83" s="10"/>
      <c r="R83" s="10"/>
      <c r="S83" s="10"/>
      <c r="T83" s="10"/>
      <c r="U83" s="10"/>
      <c r="V83" s="10"/>
      <c r="W83" s="10"/>
      <c r="X83" s="10"/>
      <c r="Y83" s="10"/>
      <c r="Z83" s="10"/>
      <c r="AA83" s="10"/>
      <c r="AB83" s="10"/>
    </row>
    <row r="84" spans="1:28" ht="14.25" customHeight="1" x14ac:dyDescent="0.25">
      <c r="A84" s="1100">
        <f>IF(B84=TRUE,1,2)</f>
        <v>2</v>
      </c>
      <c r="B84" s="1082" t="b">
        <v>0</v>
      </c>
      <c r="C84" s="1210"/>
      <c r="D84" s="1503" t="str">
        <f>IF(Income_RentAdjType_1&lt;&gt;"Qualitative","Adjustment","Relative Comparison")</f>
        <v>Adjustment</v>
      </c>
      <c r="E84" s="1211"/>
      <c r="F84" s="1212"/>
      <c r="G84" s="1855">
        <f t="shared" ref="G84:L84" si="23">IF(Income_RentAdjType_1="Percent",IF(AND(G85=0,G86=0,G87=0),0,IF(G85&lt;&gt;0,G85,IF(G86&lt;&gt;0,G86/(G$54*G$64),G87/G$54))),IF(Income_RentAdjType_1="$ per Unit",IF(AND(G85=0,G86=0,G87=0),0,IF(G85&lt;&gt;0,G85*G$54,IF(G86&lt;&gt;0,G86/G$64,G87))),IF(OR(G85&gt;0,G86&gt;0,G87&gt;0),"Inferior",IF(OR(G85&lt;0,G86&lt;0,G87&lt;0),"Superior","Similar"))))</f>
        <v>0</v>
      </c>
      <c r="H84" s="1855">
        <f t="shared" si="23"/>
        <v>0</v>
      </c>
      <c r="I84" s="1855">
        <f t="shared" si="23"/>
        <v>0</v>
      </c>
      <c r="J84" s="1855">
        <f t="shared" si="23"/>
        <v>0</v>
      </c>
      <c r="K84" s="1855">
        <f t="shared" si="23"/>
        <v>0</v>
      </c>
      <c r="L84" s="1150">
        <f t="shared" si="23"/>
        <v>0</v>
      </c>
      <c r="M84" s="101"/>
      <c r="N84" s="6"/>
      <c r="O84" s="10"/>
      <c r="P84" s="10"/>
      <c r="Q84" s="10"/>
      <c r="R84" s="10"/>
      <c r="S84" s="10"/>
      <c r="T84" s="10"/>
      <c r="U84" s="10"/>
      <c r="V84" s="10"/>
      <c r="W84" s="10"/>
      <c r="X84" s="10"/>
      <c r="Y84" s="10"/>
      <c r="Z84" s="10"/>
      <c r="AA84" s="10"/>
      <c r="AB84" s="10"/>
    </row>
    <row r="85" spans="1:28" ht="14.25" customHeight="1" x14ac:dyDescent="0.25">
      <c r="A85" s="1100">
        <f>IF(A84=2,2,0)</f>
        <v>2</v>
      </c>
      <c r="B85" s="16"/>
      <c r="C85" s="130"/>
      <c r="D85" s="520"/>
      <c r="E85" s="480"/>
      <c r="F85" s="1120" t="s">
        <v>166</v>
      </c>
      <c r="G85" s="1926"/>
      <c r="H85" s="1926"/>
      <c r="I85" s="1926"/>
      <c r="J85" s="1926"/>
      <c r="K85" s="1926"/>
      <c r="L85" s="2030"/>
      <c r="M85" s="101"/>
      <c r="N85" s="6"/>
      <c r="O85" s="10"/>
      <c r="P85" s="10"/>
      <c r="Q85" s="10"/>
      <c r="R85" s="10"/>
      <c r="S85" s="10"/>
      <c r="T85" s="10"/>
      <c r="U85" s="10"/>
      <c r="V85" s="10"/>
      <c r="W85" s="10"/>
      <c r="X85" s="10"/>
      <c r="Y85" s="10"/>
      <c r="Z85" s="10"/>
      <c r="AA85" s="10"/>
      <c r="AB85" s="10"/>
    </row>
    <row r="86" spans="1:28" ht="14.25" customHeight="1" x14ac:dyDescent="0.25">
      <c r="A86" s="1100">
        <f>IF(A85=2,2,0)</f>
        <v>2</v>
      </c>
      <c r="B86" s="16"/>
      <c r="C86" s="130"/>
      <c r="D86" s="520"/>
      <c r="E86" s="480"/>
      <c r="F86" s="1120" t="s">
        <v>167</v>
      </c>
      <c r="G86" s="1927"/>
      <c r="H86" s="1927"/>
      <c r="I86" s="1927"/>
      <c r="J86" s="1927"/>
      <c r="K86" s="1927"/>
      <c r="L86" s="2031"/>
      <c r="M86" s="101"/>
      <c r="N86" s="6"/>
      <c r="O86" s="10"/>
      <c r="P86" s="10"/>
      <c r="Q86" s="10"/>
      <c r="R86" s="10"/>
      <c r="S86" s="10"/>
      <c r="T86" s="10"/>
      <c r="U86" s="10"/>
      <c r="V86" s="10"/>
      <c r="W86" s="10"/>
      <c r="X86" s="10"/>
      <c r="Y86" s="10"/>
      <c r="Z86" s="10"/>
      <c r="AA86" s="10"/>
      <c r="AB86" s="10"/>
    </row>
    <row r="87" spans="1:28" ht="14.25" customHeight="1" x14ac:dyDescent="0.25">
      <c r="A87" s="1100">
        <f>IF(A86=2,2,0)</f>
        <v>2</v>
      </c>
      <c r="B87" s="16"/>
      <c r="C87" s="130"/>
      <c r="D87" s="520"/>
      <c r="E87" s="480"/>
      <c r="F87" s="1120" t="s">
        <v>710</v>
      </c>
      <c r="G87" s="1921"/>
      <c r="H87" s="1921"/>
      <c r="I87" s="1921"/>
      <c r="J87" s="1921"/>
      <c r="K87" s="1921"/>
      <c r="L87" s="2025"/>
      <c r="M87" s="101"/>
      <c r="N87" s="6"/>
      <c r="O87" s="10"/>
      <c r="P87" s="10"/>
      <c r="Q87" s="10"/>
      <c r="R87" s="10"/>
      <c r="S87" s="10"/>
      <c r="T87" s="10"/>
      <c r="U87" s="10"/>
      <c r="V87" s="10"/>
      <c r="W87" s="10"/>
      <c r="X87" s="10"/>
      <c r="Y87" s="10"/>
      <c r="Z87" s="10"/>
      <c r="AA87" s="10"/>
      <c r="AB87" s="10"/>
    </row>
    <row r="88" spans="1:28" ht="8.1" customHeight="1" x14ac:dyDescent="0.25">
      <c r="A88" s="1100">
        <f>A90</f>
        <v>2</v>
      </c>
      <c r="B88" s="16"/>
      <c r="C88" s="130"/>
      <c r="D88" s="520"/>
      <c r="E88" s="480"/>
      <c r="F88" s="1127"/>
      <c r="G88" s="1930">
        <f t="shared" ref="G88:L88" si="24">IF(AND(G91=0,G92=0,G93=0),0,IF(G91&lt;&gt;0,G91,IF(G92&lt;&gt;0,G92/(G$54*G$64),G93/G$54)))</f>
        <v>0</v>
      </c>
      <c r="H88" s="1930">
        <f t="shared" si="24"/>
        <v>0</v>
      </c>
      <c r="I88" s="1930">
        <f t="shared" si="24"/>
        <v>0</v>
      </c>
      <c r="J88" s="1930">
        <f t="shared" si="24"/>
        <v>0</v>
      </c>
      <c r="K88" s="1930">
        <f t="shared" si="24"/>
        <v>0</v>
      </c>
      <c r="L88" s="2034">
        <f t="shared" si="24"/>
        <v>0</v>
      </c>
      <c r="M88" s="101"/>
      <c r="N88" s="6"/>
      <c r="O88" s="10"/>
      <c r="P88" s="10"/>
      <c r="Q88" s="10"/>
      <c r="R88" s="10"/>
      <c r="S88" s="10"/>
      <c r="T88" s="10"/>
      <c r="U88" s="10"/>
      <c r="V88" s="10"/>
      <c r="W88" s="10"/>
      <c r="X88" s="10"/>
      <c r="Y88" s="10"/>
      <c r="Z88" s="10"/>
      <c r="AA88" s="10"/>
      <c r="AB88" s="10"/>
    </row>
    <row r="89" spans="1:28" x14ac:dyDescent="0.25">
      <c r="A89" s="1100">
        <f>A90</f>
        <v>2</v>
      </c>
      <c r="B89" s="16"/>
      <c r="C89" s="130"/>
      <c r="D89" s="1489" t="s">
        <v>305</v>
      </c>
      <c r="E89" s="1198"/>
      <c r="F89" s="1170"/>
      <c r="G89" s="1933"/>
      <c r="H89" s="1933"/>
      <c r="I89" s="1933"/>
      <c r="J89" s="1933"/>
      <c r="K89" s="1933"/>
      <c r="L89" s="2037"/>
      <c r="M89" s="101"/>
      <c r="N89" s="6"/>
      <c r="O89" s="10"/>
      <c r="P89" s="10"/>
      <c r="Q89" s="10"/>
      <c r="R89" s="10"/>
      <c r="S89" s="10"/>
      <c r="T89" s="10"/>
      <c r="U89" s="10"/>
      <c r="V89" s="10"/>
      <c r="W89" s="10"/>
      <c r="X89" s="10"/>
      <c r="Y89" s="10"/>
      <c r="Z89" s="10"/>
      <c r="AA89" s="10"/>
      <c r="AB89" s="10"/>
    </row>
    <row r="90" spans="1:28" ht="14.25" customHeight="1" x14ac:dyDescent="0.25">
      <c r="A90" s="1100">
        <f>IF(B90=TRUE,1,2)</f>
        <v>2</v>
      </c>
      <c r="B90" s="1082" t="b">
        <v>0</v>
      </c>
      <c r="C90" s="1210"/>
      <c r="D90" s="1503" t="str">
        <f>IF(Income_RentAdjType_1&lt;&gt;"Qualitative","Adjustment","Relative Comparison")</f>
        <v>Adjustment</v>
      </c>
      <c r="E90" s="1211"/>
      <c r="F90" s="1212"/>
      <c r="G90" s="1855">
        <f t="shared" ref="G90:L90" si="25">IF(Income_RentAdjType_1="Percent",IF(AND(G91=0,G92=0,G93=0),0,IF(G91&lt;&gt;0,G91,IF(G92&lt;&gt;0,G92/(G$54*G$64),G93/G$54))),IF(Income_RentAdjType_1="$ per Unit",IF(AND(G91=0,G92=0,G93=0),0,IF(G91&lt;&gt;0,G91*G$54,IF(G92&lt;&gt;0,G92/G$64,G93))),IF(OR(G91&gt;0,G92&gt;0,G93&gt;0),"Inferior",IF(OR(G91&lt;0,G92&lt;0,G93&lt;0),"Superior","Similar"))))</f>
        <v>0</v>
      </c>
      <c r="H90" s="1855">
        <f t="shared" si="25"/>
        <v>0</v>
      </c>
      <c r="I90" s="1855">
        <f t="shared" si="25"/>
        <v>0</v>
      </c>
      <c r="J90" s="1855">
        <f t="shared" si="25"/>
        <v>0</v>
      </c>
      <c r="K90" s="1855">
        <f t="shared" si="25"/>
        <v>0</v>
      </c>
      <c r="L90" s="1150">
        <f t="shared" si="25"/>
        <v>0</v>
      </c>
      <c r="M90" s="101"/>
      <c r="N90" s="6"/>
      <c r="O90" s="10"/>
      <c r="P90" s="10"/>
      <c r="Q90" s="10"/>
      <c r="R90" s="10"/>
      <c r="S90" s="10"/>
      <c r="T90" s="10"/>
      <c r="U90" s="10"/>
      <c r="V90" s="10"/>
      <c r="W90" s="10"/>
      <c r="X90" s="10"/>
      <c r="Y90" s="10"/>
      <c r="Z90" s="10"/>
      <c r="AA90" s="10"/>
      <c r="AB90" s="10"/>
    </row>
    <row r="91" spans="1:28" ht="14.25" customHeight="1" x14ac:dyDescent="0.25">
      <c r="A91" s="1100">
        <f>IF(A90=2,2,0)</f>
        <v>2</v>
      </c>
      <c r="B91" s="16"/>
      <c r="C91" s="130"/>
      <c r="D91" s="520"/>
      <c r="E91" s="480"/>
      <c r="F91" s="1120" t="s">
        <v>166</v>
      </c>
      <c r="G91" s="1926"/>
      <c r="H91" s="1926"/>
      <c r="I91" s="1926"/>
      <c r="J91" s="1926"/>
      <c r="K91" s="1926"/>
      <c r="L91" s="2030"/>
      <c r="M91" s="101"/>
      <c r="N91" s="6"/>
      <c r="O91" s="10"/>
      <c r="P91" s="10"/>
      <c r="Q91" s="10"/>
      <c r="R91" s="10"/>
      <c r="S91" s="10"/>
      <c r="T91" s="10"/>
      <c r="U91" s="10"/>
      <c r="V91" s="10"/>
      <c r="W91" s="10"/>
      <c r="X91" s="10"/>
      <c r="Y91" s="10"/>
      <c r="Z91" s="10"/>
      <c r="AA91" s="10"/>
      <c r="AB91" s="10"/>
    </row>
    <row r="92" spans="1:28" ht="14.25" customHeight="1" x14ac:dyDescent="0.25">
      <c r="A92" s="1100">
        <f>IF(A91=2,2,0)</f>
        <v>2</v>
      </c>
      <c r="B92" s="16"/>
      <c r="C92" s="130"/>
      <c r="D92" s="520"/>
      <c r="E92" s="480"/>
      <c r="F92" s="1120" t="s">
        <v>167</v>
      </c>
      <c r="G92" s="1927"/>
      <c r="H92" s="1927"/>
      <c r="I92" s="1927"/>
      <c r="J92" s="1927"/>
      <c r="K92" s="1927"/>
      <c r="L92" s="2031"/>
      <c r="M92" s="101"/>
      <c r="N92" s="6"/>
      <c r="O92" s="10"/>
      <c r="P92" s="10"/>
      <c r="Q92" s="10"/>
      <c r="R92" s="10"/>
      <c r="S92" s="10"/>
      <c r="T92" s="10"/>
      <c r="U92" s="10"/>
      <c r="V92" s="10"/>
      <c r="W92" s="10"/>
      <c r="X92" s="10"/>
      <c r="Y92" s="10"/>
      <c r="Z92" s="10"/>
      <c r="AA92" s="10"/>
      <c r="AB92" s="10"/>
    </row>
    <row r="93" spans="1:28" ht="14.25" customHeight="1" x14ac:dyDescent="0.25">
      <c r="A93" s="1100">
        <f>IF(A92=2,2,0)</f>
        <v>2</v>
      </c>
      <c r="B93" s="16"/>
      <c r="C93" s="130"/>
      <c r="D93" s="520"/>
      <c r="E93" s="480"/>
      <c r="F93" s="1120" t="s">
        <v>710</v>
      </c>
      <c r="G93" s="1921"/>
      <c r="H93" s="1921"/>
      <c r="I93" s="1921"/>
      <c r="J93" s="1921"/>
      <c r="K93" s="1921"/>
      <c r="L93" s="2025"/>
      <c r="M93" s="101"/>
      <c r="N93" s="6"/>
      <c r="O93" s="10"/>
      <c r="P93" s="10"/>
      <c r="Q93" s="10"/>
      <c r="R93" s="10"/>
      <c r="S93" s="10"/>
      <c r="T93" s="10"/>
      <c r="U93" s="10"/>
      <c r="V93" s="10"/>
      <c r="W93" s="10"/>
      <c r="X93" s="10"/>
      <c r="Y93" s="10"/>
      <c r="Z93" s="10"/>
      <c r="AA93" s="10"/>
      <c r="AB93" s="10"/>
    </row>
    <row r="94" spans="1:28" ht="8.1" customHeight="1" x14ac:dyDescent="0.25">
      <c r="A94" s="1100">
        <f>A96</f>
        <v>2</v>
      </c>
      <c r="B94" s="16"/>
      <c r="C94" s="130"/>
      <c r="D94" s="520"/>
      <c r="E94" s="480"/>
      <c r="F94" s="1127"/>
      <c r="G94" s="1930">
        <f t="shared" ref="G94:L94" si="26">IF(AND(G97=0,G98=0,G99=0),0,IF(G97&lt;&gt;0,G97,IF(G98&lt;&gt;0,G98/(G$54*G$64),G99/G$54)))</f>
        <v>0</v>
      </c>
      <c r="H94" s="1930">
        <f t="shared" si="26"/>
        <v>0</v>
      </c>
      <c r="I94" s="1930">
        <f t="shared" si="26"/>
        <v>0</v>
      </c>
      <c r="J94" s="1930">
        <f t="shared" si="26"/>
        <v>0</v>
      </c>
      <c r="K94" s="1930" t="str">
        <f t="shared" si="26"/>
        <v/>
      </c>
      <c r="L94" s="2034" t="str">
        <f t="shared" si="26"/>
        <v/>
      </c>
      <c r="M94" s="101"/>
      <c r="N94" s="6"/>
      <c r="O94" s="10"/>
      <c r="P94" s="10"/>
      <c r="Q94" s="10"/>
      <c r="R94" s="10"/>
      <c r="S94" s="10"/>
      <c r="T94" s="10"/>
      <c r="U94" s="10"/>
      <c r="V94" s="10"/>
      <c r="W94" s="10"/>
      <c r="X94" s="10"/>
      <c r="Y94" s="10"/>
      <c r="Z94" s="10"/>
      <c r="AA94" s="10"/>
      <c r="AB94" s="10"/>
    </row>
    <row r="95" spans="1:28" x14ac:dyDescent="0.25">
      <c r="A95" s="1100">
        <f>A96</f>
        <v>2</v>
      </c>
      <c r="B95" s="16"/>
      <c r="C95" s="130"/>
      <c r="D95" s="1489" t="s">
        <v>191</v>
      </c>
      <c r="E95" s="480"/>
      <c r="F95" s="1199">
        <f>Subject_ClearHeight</f>
        <v>0</v>
      </c>
      <c r="G95" s="1934"/>
      <c r="H95" s="1934"/>
      <c r="I95" s="1934"/>
      <c r="J95" s="1934"/>
      <c r="K95" s="1934"/>
      <c r="L95" s="2038"/>
      <c r="M95" s="101"/>
      <c r="N95" s="6"/>
      <c r="O95" s="10"/>
      <c r="P95" s="10"/>
      <c r="Q95" s="10"/>
      <c r="R95" s="10"/>
      <c r="S95" s="10"/>
      <c r="T95" s="10"/>
      <c r="U95" s="10"/>
      <c r="V95" s="10"/>
      <c r="W95" s="10"/>
      <c r="X95" s="10"/>
      <c r="Y95" s="10"/>
      <c r="Z95" s="10"/>
      <c r="AA95" s="10"/>
      <c r="AB95" s="10"/>
    </row>
    <row r="96" spans="1:28" ht="14.25" customHeight="1" x14ac:dyDescent="0.25">
      <c r="A96" s="1100">
        <f>IF(B96=TRUE,1,2)</f>
        <v>2</v>
      </c>
      <c r="B96" s="1082" t="b">
        <v>0</v>
      </c>
      <c r="C96" s="1210"/>
      <c r="D96" s="1503" t="str">
        <f>IF(Income_RentAdjType_1&lt;&gt;"Qualitative","Adjustment","Relative Comparison")</f>
        <v>Adjustment</v>
      </c>
      <c r="E96" s="1211"/>
      <c r="F96" s="1212"/>
      <c r="G96" s="1855">
        <f t="shared" ref="G96:L96" si="27">IF(Income_RentAdjType_1="Percent",IF(AND(G97=0,G98=0,G99=0),0,IF(G97&lt;&gt;0,G97,IF(G98&lt;&gt;0,G98/(G$54*G$64),G99/G$54))),IF(Income_RentAdjType_1="$ per Unit",IF(AND(G97=0,G98=0,G99=0),0,IF(G97&lt;&gt;0,G97*G$54,IF(G98&lt;&gt;0,G98/G$64,G99))),IF(OR(G97&gt;0,G98&gt;0,G99&gt;0),"Inferior",IF(OR(G97&lt;0,G98&lt;0,G99&lt;0),"Superior","Similar"))))</f>
        <v>0</v>
      </c>
      <c r="H96" s="1855">
        <f t="shared" si="27"/>
        <v>0</v>
      </c>
      <c r="I96" s="1855">
        <f t="shared" si="27"/>
        <v>0</v>
      </c>
      <c r="J96" s="1855">
        <f t="shared" si="27"/>
        <v>0</v>
      </c>
      <c r="K96" s="1855" t="str">
        <f t="shared" si="27"/>
        <v/>
      </c>
      <c r="L96" s="1150" t="str">
        <f t="shared" si="27"/>
        <v/>
      </c>
      <c r="M96" s="101"/>
      <c r="N96" s="6"/>
      <c r="O96" s="10"/>
      <c r="P96" s="10"/>
      <c r="Q96" s="10"/>
      <c r="R96" s="10"/>
      <c r="S96" s="10"/>
      <c r="T96" s="10"/>
      <c r="U96" s="10"/>
      <c r="V96" s="10"/>
      <c r="W96" s="10"/>
      <c r="X96" s="10"/>
      <c r="Y96" s="10"/>
      <c r="Z96" s="10"/>
      <c r="AA96" s="10"/>
      <c r="AB96" s="10"/>
    </row>
    <row r="97" spans="1:28" ht="14.25" customHeight="1" x14ac:dyDescent="0.25">
      <c r="A97" s="1100">
        <f>IF(A96=2,2,0)</f>
        <v>2</v>
      </c>
      <c r="B97" s="16"/>
      <c r="C97" s="130"/>
      <c r="D97" s="520"/>
      <c r="E97" s="480"/>
      <c r="F97" s="1120" t="s">
        <v>166</v>
      </c>
      <c r="G97" s="1926">
        <f>'Automated Rent Adjustments'!$K$50</f>
        <v>0</v>
      </c>
      <c r="H97" s="1926">
        <f>'Automated Rent Adjustments'!$K$51</f>
        <v>0</v>
      </c>
      <c r="I97" s="1926">
        <f>'Automated Rent Adjustments'!$K$52</f>
        <v>0</v>
      </c>
      <c r="J97" s="1926">
        <f>'Automated Rent Adjustments'!$K$53</f>
        <v>0</v>
      </c>
      <c r="K97" s="1926" t="str">
        <f>'Automated Rent Adjustments'!$K$54</f>
        <v/>
      </c>
      <c r="L97" s="2030" t="str">
        <f>'Automated Rent Adjustments'!$K$55</f>
        <v/>
      </c>
      <c r="M97" s="101"/>
      <c r="N97" s="6"/>
      <c r="O97" s="10"/>
      <c r="P97" s="10"/>
      <c r="Q97" s="10"/>
      <c r="R97" s="10"/>
      <c r="S97" s="10"/>
      <c r="T97" s="10"/>
      <c r="U97" s="10"/>
      <c r="V97" s="10"/>
      <c r="W97" s="10"/>
      <c r="X97" s="10"/>
      <c r="Y97" s="10"/>
      <c r="Z97" s="10"/>
      <c r="AA97" s="10"/>
      <c r="AB97" s="10"/>
    </row>
    <row r="98" spans="1:28" ht="14.25" customHeight="1" x14ac:dyDescent="0.25">
      <c r="A98" s="1100">
        <f>IF(A97=2,2,0)</f>
        <v>2</v>
      </c>
      <c r="B98" s="16"/>
      <c r="C98" s="130"/>
      <c r="D98" s="520"/>
      <c r="E98" s="480"/>
      <c r="F98" s="1120" t="s">
        <v>167</v>
      </c>
      <c r="G98" s="1927"/>
      <c r="H98" s="1927"/>
      <c r="I98" s="1927"/>
      <c r="J98" s="1927"/>
      <c r="K98" s="1927"/>
      <c r="L98" s="2031"/>
      <c r="M98" s="101"/>
      <c r="N98" s="6"/>
      <c r="O98" s="10"/>
      <c r="P98" s="10"/>
      <c r="Q98" s="10"/>
      <c r="R98" s="10"/>
      <c r="S98" s="10"/>
      <c r="T98" s="10"/>
      <c r="U98" s="10"/>
      <c r="V98" s="10"/>
      <c r="W98" s="10"/>
      <c r="X98" s="10"/>
      <c r="Y98" s="10"/>
      <c r="Z98" s="10"/>
      <c r="AA98" s="10"/>
      <c r="AB98" s="10"/>
    </row>
    <row r="99" spans="1:28" ht="14.25" customHeight="1" x14ac:dyDescent="0.25">
      <c r="A99" s="1100">
        <f>IF(A98=2,2,0)</f>
        <v>2</v>
      </c>
      <c r="B99" s="16"/>
      <c r="C99" s="130"/>
      <c r="D99" s="520"/>
      <c r="E99" s="480"/>
      <c r="F99" s="1120" t="s">
        <v>710</v>
      </c>
      <c r="G99" s="1921"/>
      <c r="H99" s="1921"/>
      <c r="I99" s="1921"/>
      <c r="J99" s="1921"/>
      <c r="K99" s="1921"/>
      <c r="L99" s="2025"/>
      <c r="M99" s="101"/>
      <c r="N99" s="6"/>
      <c r="O99" s="10"/>
      <c r="P99" s="10"/>
      <c r="Q99" s="10"/>
      <c r="R99" s="10"/>
      <c r="S99" s="10"/>
      <c r="T99" s="10"/>
      <c r="U99" s="10"/>
      <c r="V99" s="10"/>
      <c r="W99" s="10"/>
      <c r="X99" s="10"/>
      <c r="Y99" s="10"/>
      <c r="Z99" s="10"/>
      <c r="AA99" s="10"/>
      <c r="AB99" s="10"/>
    </row>
    <row r="100" spans="1:28" ht="8.1" customHeight="1" x14ac:dyDescent="0.25">
      <c r="A100" s="1100">
        <f>A102</f>
        <v>2</v>
      </c>
      <c r="B100" s="16"/>
      <c r="C100" s="130"/>
      <c r="D100" s="520"/>
      <c r="E100" s="480"/>
      <c r="F100" s="1127"/>
      <c r="G100" s="1930">
        <f t="shared" ref="G100:L100" si="28">IF(AND(G103=0,G104=0,G105=0),0,IF(G103&lt;&gt;0,G103,IF(G104&lt;&gt;0,G104/(G$54*G$64),G105/G$54)))</f>
        <v>0</v>
      </c>
      <c r="H100" s="1930">
        <f t="shared" si="28"/>
        <v>0</v>
      </c>
      <c r="I100" s="1930">
        <f t="shared" si="28"/>
        <v>0</v>
      </c>
      <c r="J100" s="1930">
        <f>IF(AND(J103=0,J104=0,J105=0),0,IF(J103&lt;&gt;0,J103,IF(J104&lt;&gt;0,J104/(J$54*J$64),J105/J$54)))</f>
        <v>0</v>
      </c>
      <c r="K100" s="1930">
        <f t="shared" si="28"/>
        <v>0</v>
      </c>
      <c r="L100" s="2034">
        <f t="shared" si="28"/>
        <v>0</v>
      </c>
      <c r="M100" s="101"/>
      <c r="N100" s="6"/>
      <c r="O100" s="10"/>
      <c r="P100" s="10"/>
      <c r="Q100" s="10"/>
      <c r="R100" s="10"/>
      <c r="S100" s="10"/>
      <c r="T100" s="10"/>
      <c r="U100" s="10"/>
      <c r="V100" s="10"/>
      <c r="W100" s="10"/>
      <c r="X100" s="10"/>
      <c r="Y100" s="10"/>
      <c r="Z100" s="10"/>
      <c r="AA100" s="10"/>
      <c r="AB100" s="10"/>
    </row>
    <row r="101" spans="1:28" x14ac:dyDescent="0.25">
      <c r="A101" s="1100">
        <f>A102</f>
        <v>2</v>
      </c>
      <c r="B101" s="16"/>
      <c r="C101" s="130"/>
      <c r="D101" s="1489" t="s">
        <v>285</v>
      </c>
      <c r="E101" s="480"/>
      <c r="F101" s="1200">
        <f>Subject_PercentOfficeFinish</f>
        <v>7.4999999999999997E-2</v>
      </c>
      <c r="G101" s="1935"/>
      <c r="H101" s="1935"/>
      <c r="I101" s="1935"/>
      <c r="J101" s="1935"/>
      <c r="K101" s="1935"/>
      <c r="L101" s="2039"/>
      <c r="M101" s="101"/>
      <c r="N101" s="6"/>
      <c r="O101" s="10"/>
      <c r="P101" s="10"/>
      <c r="Q101" s="10"/>
      <c r="R101" s="10"/>
      <c r="S101" s="10"/>
      <c r="T101" s="10"/>
      <c r="U101" s="10"/>
      <c r="V101" s="10"/>
      <c r="W101" s="10"/>
      <c r="X101" s="10"/>
      <c r="Y101" s="10"/>
      <c r="Z101" s="10"/>
      <c r="AA101" s="10"/>
      <c r="AB101" s="10"/>
    </row>
    <row r="102" spans="1:28" ht="14.25" customHeight="1" x14ac:dyDescent="0.25">
      <c r="A102" s="1100">
        <f>IF(B102=TRUE,1,2)</f>
        <v>2</v>
      </c>
      <c r="B102" s="1082" t="b">
        <v>0</v>
      </c>
      <c r="C102" s="1210"/>
      <c r="D102" s="1503" t="str">
        <f>IF(Income_RentAdjType_1&lt;&gt;"Qualitative","Adjustment","Relative Comparison")</f>
        <v>Adjustment</v>
      </c>
      <c r="E102" s="1211"/>
      <c r="F102" s="1212"/>
      <c r="G102" s="1855">
        <f t="shared" ref="G102:L102" si="29">IF(Income_RentAdjType_1="Percent",IF(AND(G103=0,G104=0,G105=0),0,IF(G103&lt;&gt;0,G103,IF(G104&lt;&gt;0,G104/(G$54*G$64),G105/G$54))),IF(Income_RentAdjType_1="$ per Unit",IF(AND(G103=0,G104=0,G105=0),0,IF(G103&lt;&gt;0,G103*G$54,IF(G104&lt;&gt;0,G104/G$64,G105))),IF(OR(G103&gt;0,G104&gt;0,G105&gt;0),"Inferior",IF(OR(G103&lt;0,G104&lt;0,G105&lt;0),"Superior","Similar"))))</f>
        <v>0</v>
      </c>
      <c r="H102" s="1855">
        <f t="shared" si="29"/>
        <v>0</v>
      </c>
      <c r="I102" s="1855">
        <f t="shared" si="29"/>
        <v>0</v>
      </c>
      <c r="J102" s="1855">
        <f>IF(Income_RentAdjType_1="Percent",IF(AND(J103=0,J104=0,J105=0),0,IF(J103&lt;&gt;0,J103,IF(J104&lt;&gt;0,J104/(J$54*J$64),J105/J$54))),IF(Income_RentAdjType_1="$ per Unit",IF(AND(J103=0,J104=0,J105=0),0,IF(J103&lt;&gt;0,J103*J$54,IF(J104&lt;&gt;0,J104/J$64,J105))),IF(OR(J103&gt;0,J104&gt;0,J105&gt;0),"Inferior",IF(OR(J103&lt;0,J104&lt;0,J105&lt;0),"Superior","Similar"))))</f>
        <v>0</v>
      </c>
      <c r="K102" s="1855">
        <f t="shared" si="29"/>
        <v>0</v>
      </c>
      <c r="L102" s="1150">
        <f t="shared" si="29"/>
        <v>0</v>
      </c>
      <c r="M102" s="101"/>
      <c r="N102" s="6"/>
      <c r="O102" s="10"/>
      <c r="P102" s="10"/>
      <c r="Q102" s="10"/>
      <c r="R102" s="10"/>
      <c r="S102" s="10"/>
      <c r="T102" s="10"/>
      <c r="U102" s="10"/>
      <c r="V102" s="10"/>
      <c r="W102" s="10"/>
      <c r="X102" s="10"/>
      <c r="Y102" s="10"/>
      <c r="Z102" s="10"/>
      <c r="AA102" s="10"/>
      <c r="AB102" s="10"/>
    </row>
    <row r="103" spans="1:28" ht="14.25" customHeight="1" x14ac:dyDescent="0.25">
      <c r="A103" s="1100">
        <f>IF(A102=2,2,0)</f>
        <v>2</v>
      </c>
      <c r="B103" s="16"/>
      <c r="C103" s="130"/>
      <c r="D103" s="520"/>
      <c r="E103" s="480"/>
      <c r="F103" s="1120" t="s">
        <v>166</v>
      </c>
      <c r="G103" s="1926"/>
      <c r="H103" s="1926"/>
      <c r="I103" s="1926"/>
      <c r="J103" s="1926"/>
      <c r="K103" s="1926"/>
      <c r="L103" s="2030"/>
      <c r="M103" s="101"/>
      <c r="N103" s="6"/>
      <c r="O103" s="10"/>
      <c r="P103" s="10"/>
      <c r="Q103" s="10"/>
      <c r="R103" s="10"/>
      <c r="S103" s="10"/>
      <c r="T103" s="10"/>
      <c r="U103" s="10"/>
      <c r="V103" s="10"/>
      <c r="W103" s="10"/>
      <c r="X103" s="10"/>
      <c r="Y103" s="10"/>
      <c r="Z103" s="10"/>
      <c r="AA103" s="10"/>
      <c r="AB103" s="10"/>
    </row>
    <row r="104" spans="1:28" ht="14.25" customHeight="1" x14ac:dyDescent="0.25">
      <c r="A104" s="1100">
        <f>IF(A103=2,2,0)</f>
        <v>2</v>
      </c>
      <c r="B104" s="16"/>
      <c r="C104" s="130"/>
      <c r="D104" s="520"/>
      <c r="E104" s="480"/>
      <c r="F104" s="1120" t="s">
        <v>167</v>
      </c>
      <c r="G104" s="1927"/>
      <c r="H104" s="1927"/>
      <c r="I104" s="1927"/>
      <c r="J104" s="1927"/>
      <c r="K104" s="1927"/>
      <c r="L104" s="2031"/>
      <c r="M104" s="101"/>
      <c r="N104" s="6"/>
      <c r="O104" s="10"/>
      <c r="P104" s="10"/>
      <c r="Q104" s="10"/>
      <c r="R104" s="10"/>
      <c r="S104" s="10"/>
      <c r="T104" s="10"/>
      <c r="U104" s="10"/>
      <c r="V104" s="10"/>
      <c r="W104" s="10"/>
      <c r="X104" s="10"/>
      <c r="Y104" s="10"/>
      <c r="Z104" s="10"/>
      <c r="AA104" s="10"/>
      <c r="AB104" s="10"/>
    </row>
    <row r="105" spans="1:28" ht="14.25" customHeight="1" x14ac:dyDescent="0.25">
      <c r="A105" s="1100">
        <f>IF(A104=2,2,0)</f>
        <v>2</v>
      </c>
      <c r="B105" s="16"/>
      <c r="C105" s="130"/>
      <c r="D105" s="520"/>
      <c r="E105" s="480"/>
      <c r="F105" s="1120" t="s">
        <v>710</v>
      </c>
      <c r="G105" s="1921"/>
      <c r="H105" s="1921"/>
      <c r="I105" s="1921"/>
      <c r="J105" s="1921"/>
      <c r="K105" s="1921"/>
      <c r="L105" s="2025"/>
      <c r="M105" s="101"/>
      <c r="N105" s="6"/>
      <c r="O105" s="10"/>
      <c r="P105" s="10"/>
      <c r="Q105" s="10"/>
      <c r="R105" s="10"/>
      <c r="S105" s="10"/>
      <c r="T105" s="10"/>
      <c r="U105" s="10"/>
      <c r="V105" s="10"/>
      <c r="W105" s="10"/>
      <c r="X105" s="10"/>
      <c r="Y105" s="10"/>
      <c r="Z105" s="10"/>
      <c r="AA105" s="10"/>
      <c r="AB105" s="10"/>
    </row>
    <row r="106" spans="1:28" ht="8.1" customHeight="1" x14ac:dyDescent="0.25">
      <c r="A106" s="1100">
        <f>A108</f>
        <v>2</v>
      </c>
      <c r="B106" s="16"/>
      <c r="C106" s="130"/>
      <c r="D106" s="520"/>
      <c r="E106" s="480"/>
      <c r="F106" s="1127"/>
      <c r="G106" s="1930">
        <f t="shared" ref="G106:L106" si="30">IF(AND(G109=0,G110=0,G111=0),0,IF(G109&lt;&gt;0,G109,IF(G110&lt;&gt;0,G110/(G$54*G$64),G111/G$54)))</f>
        <v>0</v>
      </c>
      <c r="H106" s="1930">
        <f t="shared" si="30"/>
        <v>0</v>
      </c>
      <c r="I106" s="1930">
        <f t="shared" si="30"/>
        <v>0</v>
      </c>
      <c r="J106" s="1930">
        <f t="shared" si="30"/>
        <v>0</v>
      </c>
      <c r="K106" s="1930">
        <f t="shared" si="30"/>
        <v>0</v>
      </c>
      <c r="L106" s="2034">
        <f t="shared" si="30"/>
        <v>0</v>
      </c>
      <c r="M106" s="101"/>
      <c r="N106" s="6"/>
      <c r="O106" s="10"/>
      <c r="P106" s="10"/>
      <c r="Q106" s="10"/>
      <c r="R106" s="10"/>
      <c r="S106" s="10"/>
      <c r="T106" s="10"/>
      <c r="U106" s="10"/>
      <c r="V106" s="10"/>
      <c r="W106" s="10"/>
      <c r="X106" s="10"/>
      <c r="Y106" s="10"/>
      <c r="Z106" s="10"/>
      <c r="AA106" s="10"/>
      <c r="AB106" s="10"/>
    </row>
    <row r="107" spans="1:28" x14ac:dyDescent="0.25">
      <c r="A107" s="1100">
        <f>A108</f>
        <v>2</v>
      </c>
      <c r="B107" s="16"/>
      <c r="C107" s="130"/>
      <c r="D107" s="1489" t="s">
        <v>286</v>
      </c>
      <c r="E107" s="480"/>
      <c r="F107" s="1201">
        <f>Subject_LtoBRatio_Usable</f>
        <v>20.7</v>
      </c>
      <c r="G107" s="1936"/>
      <c r="H107" s="1936"/>
      <c r="I107" s="1936"/>
      <c r="J107" s="1936"/>
      <c r="K107" s="1936"/>
      <c r="L107" s="2040"/>
      <c r="M107" s="101"/>
      <c r="N107" s="6"/>
      <c r="O107" s="10"/>
      <c r="P107" s="10"/>
      <c r="Q107" s="10"/>
      <c r="R107" s="10"/>
      <c r="S107" s="10"/>
      <c r="T107" s="10"/>
      <c r="U107" s="10"/>
      <c r="V107" s="10"/>
      <c r="W107" s="10"/>
      <c r="X107" s="10"/>
      <c r="Y107" s="10"/>
      <c r="Z107" s="10"/>
      <c r="AA107" s="10"/>
      <c r="AB107" s="10"/>
    </row>
    <row r="108" spans="1:28" ht="14.25" customHeight="1" x14ac:dyDescent="0.25">
      <c r="A108" s="1100">
        <f>IF(B108=TRUE,1,2)</f>
        <v>2</v>
      </c>
      <c r="B108" s="1082" t="b">
        <v>0</v>
      </c>
      <c r="C108" s="1210"/>
      <c r="D108" s="1503" t="str">
        <f>IF(Income_RentAdjType_1&lt;&gt;"Qualitative","Adjustment","Relative Comparison")</f>
        <v>Adjustment</v>
      </c>
      <c r="E108" s="1211"/>
      <c r="F108" s="1212"/>
      <c r="G108" s="1855">
        <f t="shared" ref="G108:L108" si="31">IF(Income_RentAdjType_1="Percent",IF(AND(G109=0,G110=0,G111=0),0,IF(G109&lt;&gt;0,G109,IF(G110&lt;&gt;0,G110/(G$54*G$64),G111/G$54))),IF(Income_RentAdjType_1="$ per Unit",IF(AND(G109=0,G110=0,G111=0),0,IF(G109&lt;&gt;0,G109*G$54,IF(G110&lt;&gt;0,G110/G$64,G111))),IF(OR(G109&gt;0,G110&gt;0,G111&gt;0),"Inferior",IF(OR(G109&lt;0,G110&lt;0,G111&lt;0),"Superior","Similar"))))</f>
        <v>0</v>
      </c>
      <c r="H108" s="1855">
        <f t="shared" si="31"/>
        <v>0</v>
      </c>
      <c r="I108" s="1855">
        <f t="shared" si="31"/>
        <v>0</v>
      </c>
      <c r="J108" s="1855">
        <f t="shared" si="31"/>
        <v>0</v>
      </c>
      <c r="K108" s="1855">
        <f t="shared" si="31"/>
        <v>0</v>
      </c>
      <c r="L108" s="1150">
        <f t="shared" si="31"/>
        <v>0</v>
      </c>
      <c r="M108" s="101"/>
      <c r="N108" s="6"/>
      <c r="O108" s="10"/>
      <c r="P108" s="10"/>
      <c r="Q108" s="10"/>
      <c r="R108" s="10"/>
      <c r="S108" s="10"/>
      <c r="T108" s="10"/>
      <c r="U108" s="10"/>
      <c r="V108" s="10"/>
      <c r="W108" s="10"/>
      <c r="X108" s="10"/>
      <c r="Y108" s="10"/>
      <c r="Z108" s="10"/>
      <c r="AA108" s="10"/>
      <c r="AB108" s="10"/>
    </row>
    <row r="109" spans="1:28" ht="14.25" customHeight="1" x14ac:dyDescent="0.25">
      <c r="A109" s="1100">
        <f>IF(A108=2,2,0)</f>
        <v>2</v>
      </c>
      <c r="B109" s="16"/>
      <c r="C109" s="130"/>
      <c r="D109" s="520"/>
      <c r="E109" s="480"/>
      <c r="F109" s="1120" t="s">
        <v>166</v>
      </c>
      <c r="G109" s="1926"/>
      <c r="H109" s="1926"/>
      <c r="I109" s="1926"/>
      <c r="J109" s="1926"/>
      <c r="K109" s="1926"/>
      <c r="L109" s="2030"/>
      <c r="M109" s="101"/>
      <c r="N109" s="6"/>
      <c r="O109" s="10"/>
      <c r="P109" s="10"/>
      <c r="Q109" s="10"/>
      <c r="R109" s="10"/>
      <c r="S109" s="10"/>
      <c r="T109" s="10"/>
      <c r="U109" s="10"/>
      <c r="V109" s="10"/>
      <c r="W109" s="10"/>
      <c r="X109" s="10"/>
      <c r="Y109" s="10"/>
      <c r="Z109" s="10"/>
      <c r="AA109" s="10"/>
      <c r="AB109" s="10"/>
    </row>
    <row r="110" spans="1:28" ht="14.25" customHeight="1" x14ac:dyDescent="0.25">
      <c r="A110" s="1100">
        <f>IF(A109=2,2,0)</f>
        <v>2</v>
      </c>
      <c r="B110" s="16"/>
      <c r="C110" s="130"/>
      <c r="D110" s="520"/>
      <c r="E110" s="480"/>
      <c r="F110" s="1120" t="s">
        <v>167</v>
      </c>
      <c r="G110" s="1927"/>
      <c r="H110" s="1927"/>
      <c r="I110" s="1927"/>
      <c r="J110" s="1927"/>
      <c r="K110" s="1927"/>
      <c r="L110" s="2031"/>
      <c r="M110" s="101"/>
      <c r="N110" s="6"/>
      <c r="O110" s="10"/>
      <c r="P110" s="10"/>
      <c r="Q110" s="10"/>
      <c r="R110" s="10"/>
      <c r="S110" s="10"/>
      <c r="T110" s="10"/>
      <c r="U110" s="10"/>
      <c r="V110" s="10"/>
      <c r="W110" s="10"/>
      <c r="X110" s="10"/>
      <c r="Y110" s="10"/>
      <c r="Z110" s="10"/>
      <c r="AA110" s="10"/>
      <c r="AB110" s="10"/>
    </row>
    <row r="111" spans="1:28" ht="14.25" customHeight="1" x14ac:dyDescent="0.25">
      <c r="A111" s="1100">
        <f>IF(A110=2,2,0)</f>
        <v>2</v>
      </c>
      <c r="B111" s="16"/>
      <c r="C111" s="130"/>
      <c r="D111" s="520"/>
      <c r="E111" s="480"/>
      <c r="F111" s="1120" t="s">
        <v>710</v>
      </c>
      <c r="G111" s="1921"/>
      <c r="H111" s="1921"/>
      <c r="I111" s="1921"/>
      <c r="J111" s="1921"/>
      <c r="K111" s="1921"/>
      <c r="L111" s="2025"/>
      <c r="M111" s="101"/>
      <c r="N111" s="6"/>
      <c r="O111" s="10"/>
      <c r="P111" s="10"/>
      <c r="Q111" s="10"/>
      <c r="R111" s="10"/>
      <c r="S111" s="10"/>
      <c r="T111" s="10"/>
      <c r="U111" s="10"/>
      <c r="V111" s="10"/>
      <c r="W111" s="10"/>
      <c r="X111" s="10"/>
      <c r="Y111" s="10"/>
      <c r="Z111" s="10"/>
      <c r="AA111" s="10"/>
      <c r="AB111" s="10"/>
    </row>
    <row r="112" spans="1:28" ht="8.1" customHeight="1" x14ac:dyDescent="0.25">
      <c r="A112" s="1100">
        <f>A114</f>
        <v>2</v>
      </c>
      <c r="B112" s="16"/>
      <c r="C112" s="130"/>
      <c r="D112" s="520"/>
      <c r="E112" s="480"/>
      <c r="F112" s="1120"/>
      <c r="G112" s="1930">
        <f t="shared" ref="G112:L112" si="32">IF(AND(G115=0,G116=0,G117=0),0,IF(G115&lt;&gt;0,G115,IF(G116&lt;&gt;0,G116/(G$54*G$64),G117/G$54)))</f>
        <v>0</v>
      </c>
      <c r="H112" s="1930">
        <f t="shared" si="32"/>
        <v>0</v>
      </c>
      <c r="I112" s="1930">
        <f t="shared" si="32"/>
        <v>0</v>
      </c>
      <c r="J112" s="1930">
        <f t="shared" si="32"/>
        <v>0</v>
      </c>
      <c r="K112" s="1930">
        <f t="shared" si="32"/>
        <v>0</v>
      </c>
      <c r="L112" s="2034">
        <f t="shared" si="32"/>
        <v>0</v>
      </c>
      <c r="M112" s="101"/>
      <c r="N112" s="6"/>
      <c r="O112" s="10"/>
      <c r="P112" s="10"/>
      <c r="Q112" s="10"/>
      <c r="R112" s="10"/>
      <c r="S112" s="10"/>
      <c r="T112" s="10"/>
      <c r="U112" s="10"/>
      <c r="V112" s="10"/>
      <c r="W112" s="10"/>
      <c r="X112" s="10"/>
      <c r="Y112" s="10"/>
      <c r="Z112" s="10"/>
      <c r="AA112" s="10"/>
      <c r="AB112" s="10"/>
    </row>
    <row r="113" spans="1:28" x14ac:dyDescent="0.25">
      <c r="A113" s="1100">
        <f>A114</f>
        <v>2</v>
      </c>
      <c r="B113" s="16"/>
      <c r="C113" s="130"/>
      <c r="D113" s="1489" t="s">
        <v>1018</v>
      </c>
      <c r="E113" s="802"/>
      <c r="F113" s="1723">
        <f>Subject_ParkingRatio</f>
        <v>2.95</v>
      </c>
      <c r="G113" s="2082"/>
      <c r="H113" s="2082"/>
      <c r="I113" s="2082"/>
      <c r="J113" s="2082"/>
      <c r="K113" s="2082"/>
      <c r="L113" s="2083"/>
      <c r="M113" s="101"/>
      <c r="N113" s="6"/>
      <c r="O113" s="10"/>
      <c r="P113" s="10"/>
      <c r="Q113" s="10"/>
      <c r="R113" s="10"/>
      <c r="S113" s="10"/>
      <c r="T113" s="10"/>
      <c r="U113" s="10"/>
      <c r="V113" s="10"/>
      <c r="W113" s="10"/>
      <c r="X113" s="10"/>
      <c r="Y113" s="10"/>
      <c r="Z113" s="10"/>
      <c r="AA113" s="10"/>
      <c r="AB113" s="10"/>
    </row>
    <row r="114" spans="1:28" ht="14.25" customHeight="1" x14ac:dyDescent="0.25">
      <c r="A114" s="1100">
        <f>IF(B114=TRUE,1,2)</f>
        <v>2</v>
      </c>
      <c r="B114" s="16" t="b">
        <v>0</v>
      </c>
      <c r="C114" s="130"/>
      <c r="D114" s="1495" t="str">
        <f>IF(Income_RentAdjType&lt;&gt;"Qualitative","Adjustment","Relative Comparison")</f>
        <v>Adjustment</v>
      </c>
      <c r="E114" s="480"/>
      <c r="F114" s="1212"/>
      <c r="G114" s="1855">
        <f t="shared" ref="G114:L114" si="33">IF(Income_RentAdjType_1="Percent",IF(AND(G115=0,G116=0,G117=0),0,IF(G115&lt;&gt;0,G115,IF(G116&lt;&gt;0,G116/(G$54*G$64),G117/G$54))),IF(Income_RentAdjType_1="$ per Unit",IF(AND(G115=0,G116=0,G117=0),0,IF(G115&lt;&gt;0,G115*G$54,IF(G116&lt;&gt;0,G116/G$64,G117))),IF(OR(G115&gt;0,G116&gt;0,G117&gt;0),"Inferior",IF(OR(G115&lt;0,G116&lt;0,G117&lt;0),"Superior","Similar"))))</f>
        <v>0</v>
      </c>
      <c r="H114" s="1855">
        <f t="shared" si="33"/>
        <v>0</v>
      </c>
      <c r="I114" s="1855">
        <f t="shared" si="33"/>
        <v>0</v>
      </c>
      <c r="J114" s="1855">
        <f t="shared" si="33"/>
        <v>0</v>
      </c>
      <c r="K114" s="1855">
        <f t="shared" si="33"/>
        <v>0</v>
      </c>
      <c r="L114" s="1150">
        <f t="shared" si="33"/>
        <v>0</v>
      </c>
      <c r="M114" s="101"/>
      <c r="N114" s="6"/>
      <c r="O114" s="10"/>
      <c r="P114" s="10"/>
      <c r="Q114" s="10"/>
      <c r="R114" s="10"/>
      <c r="S114" s="10"/>
      <c r="T114" s="10"/>
      <c r="U114" s="10"/>
      <c r="V114" s="10"/>
      <c r="W114" s="10"/>
      <c r="X114" s="10"/>
      <c r="Y114" s="10"/>
      <c r="Z114" s="10"/>
      <c r="AA114" s="10"/>
      <c r="AB114" s="10"/>
    </row>
    <row r="115" spans="1:28" ht="14.25" customHeight="1" x14ac:dyDescent="0.25">
      <c r="A115" s="1100">
        <f>IF(A114=2,2,0)</f>
        <v>2</v>
      </c>
      <c r="B115" s="16"/>
      <c r="C115" s="130"/>
      <c r="D115" s="520"/>
      <c r="E115" s="480"/>
      <c r="F115" s="1120" t="s">
        <v>166</v>
      </c>
      <c r="G115" s="1926"/>
      <c r="H115" s="1926"/>
      <c r="I115" s="1926"/>
      <c r="J115" s="1926"/>
      <c r="K115" s="1926"/>
      <c r="L115" s="2030"/>
      <c r="M115" s="101"/>
      <c r="N115" s="6"/>
      <c r="O115" s="10"/>
      <c r="P115" s="10"/>
      <c r="Q115" s="10"/>
      <c r="R115" s="10"/>
      <c r="S115" s="10"/>
      <c r="T115" s="10"/>
      <c r="U115" s="10"/>
      <c r="V115" s="10"/>
      <c r="W115" s="10"/>
      <c r="X115" s="10"/>
      <c r="Y115" s="10"/>
      <c r="Z115" s="10"/>
      <c r="AA115" s="10"/>
      <c r="AB115" s="10"/>
    </row>
    <row r="116" spans="1:28" ht="14.25" customHeight="1" x14ac:dyDescent="0.25">
      <c r="A116" s="1100">
        <f>IF(A115=2,2,0)</f>
        <v>2</v>
      </c>
      <c r="B116" s="16"/>
      <c r="C116" s="130"/>
      <c r="D116" s="520"/>
      <c r="E116" s="480"/>
      <c r="F116" s="1120" t="s">
        <v>167</v>
      </c>
      <c r="G116" s="1921"/>
      <c r="H116" s="1921"/>
      <c r="I116" s="1921"/>
      <c r="J116" s="1921"/>
      <c r="K116" s="1921"/>
      <c r="L116" s="2025"/>
      <c r="M116" s="101"/>
      <c r="N116" s="6"/>
      <c r="O116" s="10"/>
      <c r="P116" s="10"/>
      <c r="Q116" s="10"/>
      <c r="R116" s="10"/>
      <c r="S116" s="10"/>
      <c r="T116" s="10"/>
      <c r="U116" s="10"/>
      <c r="V116" s="10"/>
      <c r="W116" s="10"/>
      <c r="X116" s="10"/>
      <c r="Y116" s="10"/>
      <c r="Z116" s="10"/>
      <c r="AA116" s="10"/>
      <c r="AB116" s="10"/>
    </row>
    <row r="117" spans="1:28" ht="14.25" customHeight="1" x14ac:dyDescent="0.25">
      <c r="A117" s="1100">
        <f>IF(A116=2,2,0)</f>
        <v>2</v>
      </c>
      <c r="B117" s="16"/>
      <c r="C117" s="130"/>
      <c r="D117" s="520"/>
      <c r="E117" s="480"/>
      <c r="F117" s="1120" t="s">
        <v>710</v>
      </c>
      <c r="G117" s="1921"/>
      <c r="H117" s="1921"/>
      <c r="I117" s="1921"/>
      <c r="J117" s="1921"/>
      <c r="K117" s="1921"/>
      <c r="L117" s="2025"/>
      <c r="M117" s="101"/>
      <c r="N117" s="6"/>
      <c r="O117" s="10"/>
      <c r="P117" s="10"/>
      <c r="Q117" s="10"/>
      <c r="R117" s="10"/>
      <c r="S117" s="10"/>
      <c r="T117" s="10"/>
      <c r="U117" s="10"/>
      <c r="V117" s="10"/>
      <c r="W117" s="10"/>
      <c r="X117" s="10"/>
      <c r="Y117" s="10"/>
      <c r="Z117" s="10"/>
      <c r="AA117" s="10"/>
      <c r="AB117" s="10"/>
    </row>
    <row r="118" spans="1:28" ht="8.1" customHeight="1" x14ac:dyDescent="0.25">
      <c r="A118" s="1100">
        <f>A120</f>
        <v>2</v>
      </c>
      <c r="B118" s="16"/>
      <c r="C118" s="130"/>
      <c r="D118" s="520"/>
      <c r="E118" s="480"/>
      <c r="F118" s="1127"/>
      <c r="G118" s="1930">
        <f t="shared" ref="G118:L118" si="34">IF(AND(G121=0,G122=0,G123=0),0,IF(G121&lt;&gt;0,G121,IF(G122&lt;&gt;0,G122/(G$54*G$64),G123/G$54)))</f>
        <v>0</v>
      </c>
      <c r="H118" s="1930">
        <f t="shared" si="34"/>
        <v>0</v>
      </c>
      <c r="I118" s="1930">
        <f t="shared" si="34"/>
        <v>0</v>
      </c>
      <c r="J118" s="1930">
        <f t="shared" si="34"/>
        <v>0</v>
      </c>
      <c r="K118" s="1930">
        <f t="shared" si="34"/>
        <v>0</v>
      </c>
      <c r="L118" s="2034">
        <f t="shared" si="34"/>
        <v>0</v>
      </c>
      <c r="M118" s="101"/>
      <c r="N118" s="6"/>
      <c r="O118" s="10"/>
      <c r="P118" s="10"/>
      <c r="Q118" s="10"/>
      <c r="R118" s="10"/>
      <c r="S118" s="10"/>
      <c r="T118" s="10"/>
      <c r="U118" s="10"/>
      <c r="V118" s="10"/>
      <c r="W118" s="10"/>
      <c r="X118" s="10"/>
      <c r="Y118" s="10"/>
      <c r="Z118" s="10"/>
      <c r="AA118" s="10"/>
      <c r="AB118" s="10"/>
    </row>
    <row r="119" spans="1:28" x14ac:dyDescent="0.25">
      <c r="A119" s="1100">
        <f>A120</f>
        <v>2</v>
      </c>
      <c r="B119" s="277"/>
      <c r="C119" s="130"/>
      <c r="D119" s="1489" t="s">
        <v>292</v>
      </c>
      <c r="E119" s="480"/>
      <c r="F119" s="1170"/>
      <c r="G119" s="1801"/>
      <c r="H119" s="1801"/>
      <c r="I119" s="1801"/>
      <c r="J119" s="1801"/>
      <c r="K119" s="1801"/>
      <c r="L119" s="1963"/>
      <c r="M119" s="101"/>
      <c r="N119" s="6"/>
      <c r="O119" s="10"/>
      <c r="P119" s="10"/>
      <c r="Q119" s="10"/>
      <c r="R119" s="10"/>
      <c r="S119" s="10"/>
      <c r="T119" s="10"/>
      <c r="U119" s="10"/>
      <c r="V119" s="10"/>
      <c r="W119" s="10"/>
      <c r="X119" s="10"/>
      <c r="Y119" s="10"/>
      <c r="Z119" s="10"/>
      <c r="AA119" s="10"/>
      <c r="AB119" s="10"/>
    </row>
    <row r="120" spans="1:28" ht="14.25" customHeight="1" x14ac:dyDescent="0.25">
      <c r="A120" s="1100">
        <f>IF(B120=TRUE,1,2)</f>
        <v>2</v>
      </c>
      <c r="B120" s="1082" t="b">
        <v>0</v>
      </c>
      <c r="C120" s="1210"/>
      <c r="D120" s="1503" t="str">
        <f>IF(Income_RentAdjType_1&lt;&gt;"Qualitative","Adjustment","Relative Comparison")</f>
        <v>Adjustment</v>
      </c>
      <c r="E120" s="1211"/>
      <c r="F120" s="1212"/>
      <c r="G120" s="1855">
        <f t="shared" ref="G120:L120" si="35">IF(Income_RentAdjType_1="Percent",IF(AND(G121=0,G122=0,G123=0),0,IF(G121&lt;&gt;0,G121,IF(G122&lt;&gt;0,G122/(G$54*G$64),G123/G$54))),IF(Income_RentAdjType_1="$ per Unit",IF(AND(G121=0,G122=0,G123=0),0,IF(G121&lt;&gt;0,G121*G$54,IF(G122&lt;&gt;0,G122/G$64,G123))),IF(OR(G121&gt;0,G122&gt;0,G123&gt;0),"Inferior",IF(OR(G121&lt;0,G122&lt;0,G123&lt;0),"Superior","Similar"))))</f>
        <v>0</v>
      </c>
      <c r="H120" s="1855">
        <f t="shared" si="35"/>
        <v>0</v>
      </c>
      <c r="I120" s="1855">
        <f t="shared" si="35"/>
        <v>0</v>
      </c>
      <c r="J120" s="1855">
        <f t="shared" si="35"/>
        <v>0</v>
      </c>
      <c r="K120" s="1855">
        <f t="shared" si="35"/>
        <v>0</v>
      </c>
      <c r="L120" s="1150">
        <f t="shared" si="35"/>
        <v>0</v>
      </c>
      <c r="M120" s="101"/>
      <c r="N120" s="6"/>
      <c r="O120" s="10"/>
      <c r="P120" s="10"/>
      <c r="Q120" s="10"/>
      <c r="R120" s="10"/>
      <c r="S120" s="10"/>
      <c r="T120" s="10"/>
      <c r="U120" s="10"/>
      <c r="V120" s="10"/>
      <c r="W120" s="10"/>
      <c r="X120" s="10"/>
      <c r="Y120" s="10"/>
      <c r="Z120" s="10"/>
      <c r="AA120" s="10"/>
      <c r="AB120" s="10"/>
    </row>
    <row r="121" spans="1:28" ht="14.25" customHeight="1" x14ac:dyDescent="0.25">
      <c r="A121" s="1100">
        <f>IF(A120=2,2,0)</f>
        <v>2</v>
      </c>
      <c r="B121" s="16"/>
      <c r="C121" s="130"/>
      <c r="D121" s="520"/>
      <c r="E121" s="480"/>
      <c r="F121" s="1120" t="s">
        <v>166</v>
      </c>
      <c r="G121" s="1926"/>
      <c r="H121" s="1926"/>
      <c r="I121" s="1926"/>
      <c r="J121" s="1926"/>
      <c r="K121" s="1926"/>
      <c r="L121" s="2030"/>
      <c r="M121" s="101"/>
      <c r="N121" s="6"/>
      <c r="O121" s="10"/>
      <c r="P121" s="10"/>
      <c r="Q121" s="10"/>
      <c r="R121" s="10"/>
      <c r="S121" s="10"/>
      <c r="T121" s="10"/>
      <c r="U121" s="10"/>
      <c r="V121" s="10"/>
      <c r="W121" s="10"/>
      <c r="X121" s="10"/>
      <c r="Y121" s="10"/>
      <c r="Z121" s="10"/>
      <c r="AA121" s="10"/>
      <c r="AB121" s="10"/>
    </row>
    <row r="122" spans="1:28" ht="14.25" customHeight="1" x14ac:dyDescent="0.25">
      <c r="A122" s="1100">
        <f>IF(A121=2,2,0)</f>
        <v>2</v>
      </c>
      <c r="B122" s="16"/>
      <c r="C122" s="130"/>
      <c r="D122" s="520"/>
      <c r="E122" s="480"/>
      <c r="F122" s="1120" t="s">
        <v>167</v>
      </c>
      <c r="G122" s="1927"/>
      <c r="H122" s="1927"/>
      <c r="I122" s="1927"/>
      <c r="J122" s="1927"/>
      <c r="K122" s="1927"/>
      <c r="L122" s="2031"/>
      <c r="M122" s="101"/>
      <c r="N122" s="6"/>
      <c r="O122" s="10"/>
      <c r="P122" s="10"/>
      <c r="Q122" s="10"/>
      <c r="R122" s="10"/>
      <c r="S122" s="10"/>
      <c r="T122" s="10"/>
      <c r="U122" s="10"/>
      <c r="V122" s="10"/>
      <c r="W122" s="10"/>
      <c r="X122" s="10"/>
      <c r="Y122" s="10"/>
      <c r="Z122" s="10"/>
      <c r="AA122" s="10"/>
      <c r="AB122" s="10"/>
    </row>
    <row r="123" spans="1:28" ht="14.25" customHeight="1" x14ac:dyDescent="0.25">
      <c r="A123" s="1100">
        <f>IF(A122=2,2,0)</f>
        <v>2</v>
      </c>
      <c r="B123" s="16"/>
      <c r="C123" s="130"/>
      <c r="D123" s="520"/>
      <c r="E123" s="480"/>
      <c r="F123" s="1120" t="s">
        <v>710</v>
      </c>
      <c r="G123" s="1921"/>
      <c r="H123" s="1921"/>
      <c r="I123" s="1921"/>
      <c r="J123" s="1921"/>
      <c r="K123" s="1921"/>
      <c r="L123" s="2025"/>
      <c r="M123" s="101"/>
      <c r="N123" s="6"/>
      <c r="O123" s="10"/>
      <c r="P123" s="10"/>
      <c r="Q123" s="10"/>
      <c r="R123" s="10"/>
      <c r="S123" s="10"/>
      <c r="T123" s="10"/>
      <c r="U123" s="10"/>
      <c r="V123" s="10"/>
      <c r="W123" s="10"/>
      <c r="X123" s="10"/>
      <c r="Y123" s="10"/>
      <c r="Z123" s="10"/>
      <c r="AA123" s="10"/>
      <c r="AB123" s="10"/>
    </row>
    <row r="124" spans="1:28" ht="8.1" customHeight="1" x14ac:dyDescent="0.25">
      <c r="A124" s="1100">
        <f>A127</f>
        <v>2</v>
      </c>
      <c r="B124" s="16"/>
      <c r="C124" s="130"/>
      <c r="D124" s="520"/>
      <c r="E124" s="480"/>
      <c r="F124" s="1127"/>
      <c r="G124" s="1930">
        <f t="shared" ref="G124:L124" si="36">IF(AND(G128=0,G129=0,G130=0),0,IF(G128&lt;&gt;0,G128,IF(G129&lt;&gt;0,G129/(G$54*G$64),G130/G$54)))</f>
        <v>0</v>
      </c>
      <c r="H124" s="1930">
        <f t="shared" si="36"/>
        <v>0</v>
      </c>
      <c r="I124" s="1930">
        <f t="shared" si="36"/>
        <v>0</v>
      </c>
      <c r="J124" s="1930">
        <f t="shared" si="36"/>
        <v>0</v>
      </c>
      <c r="K124" s="1930">
        <f t="shared" si="36"/>
        <v>0</v>
      </c>
      <c r="L124" s="2034">
        <f t="shared" si="36"/>
        <v>0</v>
      </c>
      <c r="M124" s="101"/>
      <c r="N124" s="6"/>
      <c r="O124" s="10"/>
      <c r="P124" s="10"/>
      <c r="Q124" s="10"/>
      <c r="R124" s="10"/>
      <c r="S124" s="10"/>
      <c r="T124" s="10"/>
      <c r="U124" s="10"/>
      <c r="V124" s="10"/>
      <c r="W124" s="10"/>
      <c r="X124" s="10"/>
      <c r="Y124" s="10"/>
      <c r="Z124" s="10"/>
      <c r="AA124" s="10"/>
      <c r="AB124" s="10"/>
    </row>
    <row r="125" spans="1:28" ht="14.25" customHeight="1" x14ac:dyDescent="0.25">
      <c r="A125" s="1100">
        <v>2</v>
      </c>
      <c r="B125" s="16"/>
      <c r="C125" s="130"/>
      <c r="D125" s="520"/>
      <c r="E125" s="480"/>
      <c r="F125" s="1127"/>
      <c r="G125" s="1937"/>
      <c r="H125" s="1937"/>
      <c r="I125" s="1937"/>
      <c r="J125" s="1937"/>
      <c r="K125" s="1937"/>
      <c r="L125" s="2041"/>
      <c r="M125" s="101"/>
      <c r="N125" s="6"/>
      <c r="O125" s="10"/>
      <c r="P125" s="10"/>
      <c r="Q125" s="10"/>
      <c r="R125" s="10"/>
      <c r="S125" s="10"/>
      <c r="T125" s="10"/>
      <c r="U125" s="10"/>
      <c r="V125" s="10"/>
      <c r="W125" s="10"/>
      <c r="X125" s="10"/>
      <c r="Y125" s="10"/>
      <c r="Z125" s="10"/>
      <c r="AA125" s="10"/>
      <c r="AB125" s="10"/>
    </row>
    <row r="126" spans="1:28" x14ac:dyDescent="0.25">
      <c r="A126" s="1100">
        <f>A127</f>
        <v>2</v>
      </c>
      <c r="B126" s="16"/>
      <c r="C126" s="130"/>
      <c r="D126" s="1489" t="s">
        <v>293</v>
      </c>
      <c r="E126" s="480"/>
      <c r="F126" s="1170"/>
      <c r="G126" s="1938">
        <f t="shared" ref="G126:L126" si="37">G125/12</f>
        <v>0</v>
      </c>
      <c r="H126" s="1938">
        <f t="shared" si="37"/>
        <v>0</v>
      </c>
      <c r="I126" s="1938">
        <f t="shared" si="37"/>
        <v>0</v>
      </c>
      <c r="J126" s="1938">
        <f t="shared" si="37"/>
        <v>0</v>
      </c>
      <c r="K126" s="1938">
        <f t="shared" si="37"/>
        <v>0</v>
      </c>
      <c r="L126" s="2042">
        <f t="shared" si="37"/>
        <v>0</v>
      </c>
      <c r="M126" s="101"/>
      <c r="N126" s="6"/>
      <c r="O126" s="10"/>
      <c r="P126" s="10"/>
      <c r="Q126" s="10"/>
      <c r="R126" s="10"/>
      <c r="S126" s="10"/>
      <c r="T126" s="10"/>
      <c r="U126" s="10"/>
      <c r="V126" s="10"/>
      <c r="W126" s="10"/>
      <c r="X126" s="10"/>
      <c r="Y126" s="10"/>
      <c r="Z126" s="10"/>
      <c r="AA126" s="10"/>
      <c r="AB126" s="10"/>
    </row>
    <row r="127" spans="1:28" ht="14.25" customHeight="1" x14ac:dyDescent="0.25">
      <c r="A127" s="1100">
        <f>IF(B127=TRUE,1,2)</f>
        <v>2</v>
      </c>
      <c r="B127" s="1082" t="b">
        <v>0</v>
      </c>
      <c r="C127" s="1210"/>
      <c r="D127" s="1503" t="str">
        <f>IF(Income_RentAdjType_1&lt;&gt;"Qualitative","Adjustment","Relative Comparison")</f>
        <v>Adjustment</v>
      </c>
      <c r="E127" s="1211"/>
      <c r="F127" s="1212"/>
      <c r="G127" s="1855">
        <f t="shared" ref="G127:L127" si="38">IF(Income_RentAdjType_1="Percent",IF(AND(G128=0,G129=0,G130=0),0,IF(G128&lt;&gt;0,G128,IF(G129&lt;&gt;0,G129/(G$54*G$64),G130/G$54))),IF(Income_RentAdjType_1="$ per Unit",IF(AND(G128=0,G129=0,G130=0),0,IF(G128&lt;&gt;0,G128*G$54,IF(G129&lt;&gt;0,G129/G$64,G130))),IF(OR(G128&gt;0,G129&gt;0,G130&gt;0),"Inferior",IF(OR(G128&lt;0,G129&lt;0,G130&lt;0),"Superior","Similar"))))</f>
        <v>0</v>
      </c>
      <c r="H127" s="1855">
        <f t="shared" si="38"/>
        <v>0</v>
      </c>
      <c r="I127" s="1855">
        <f t="shared" si="38"/>
        <v>0</v>
      </c>
      <c r="J127" s="1855">
        <f t="shared" si="38"/>
        <v>0</v>
      </c>
      <c r="K127" s="1855">
        <f t="shared" si="38"/>
        <v>0</v>
      </c>
      <c r="L127" s="1150">
        <f t="shared" si="38"/>
        <v>0</v>
      </c>
      <c r="M127" s="101"/>
      <c r="N127" s="6"/>
      <c r="O127" s="10"/>
      <c r="P127" s="10"/>
      <c r="Q127" s="10"/>
      <c r="R127" s="10"/>
      <c r="S127" s="10"/>
      <c r="T127" s="10"/>
      <c r="U127" s="10"/>
      <c r="V127" s="10"/>
      <c r="W127" s="10"/>
      <c r="X127" s="10"/>
      <c r="Y127" s="10"/>
      <c r="Z127" s="10"/>
      <c r="AA127" s="10"/>
      <c r="AB127" s="10"/>
    </row>
    <row r="128" spans="1:28" ht="14.25" customHeight="1" x14ac:dyDescent="0.25">
      <c r="A128" s="1100">
        <f>IF(A127=2,2,0)</f>
        <v>2</v>
      </c>
      <c r="B128" s="16"/>
      <c r="C128" s="130"/>
      <c r="D128" s="520"/>
      <c r="E128" s="480"/>
      <c r="F128" s="1120" t="s">
        <v>166</v>
      </c>
      <c r="G128" s="1926"/>
      <c r="H128" s="1926"/>
      <c r="I128" s="1926"/>
      <c r="J128" s="1926"/>
      <c r="K128" s="1926"/>
      <c r="L128" s="2030"/>
      <c r="M128" s="101"/>
      <c r="N128" s="6"/>
      <c r="O128" s="10"/>
      <c r="P128" s="10"/>
      <c r="Q128" s="10"/>
      <c r="R128" s="10"/>
      <c r="S128" s="10"/>
      <c r="T128" s="10"/>
      <c r="U128" s="10"/>
      <c r="V128" s="10"/>
      <c r="W128" s="10"/>
      <c r="X128" s="10"/>
      <c r="Y128" s="10"/>
      <c r="Z128" s="10"/>
      <c r="AA128" s="10"/>
      <c r="AB128" s="10"/>
    </row>
    <row r="129" spans="1:28" ht="14.25" customHeight="1" x14ac:dyDescent="0.25">
      <c r="A129" s="1100">
        <f>IF(A128=2,2,0)</f>
        <v>2</v>
      </c>
      <c r="B129" s="16"/>
      <c r="C129" s="130"/>
      <c r="D129" s="520"/>
      <c r="E129" s="480"/>
      <c r="F129" s="1120" t="s">
        <v>167</v>
      </c>
      <c r="G129" s="1927"/>
      <c r="H129" s="1927"/>
      <c r="I129" s="1927"/>
      <c r="J129" s="1927"/>
      <c r="K129" s="1927"/>
      <c r="L129" s="2031"/>
      <c r="M129" s="101"/>
      <c r="N129" s="6"/>
      <c r="O129" s="10"/>
      <c r="P129" s="10"/>
      <c r="Q129" s="10"/>
      <c r="R129" s="10"/>
      <c r="S129" s="10"/>
      <c r="T129" s="10"/>
      <c r="U129" s="10"/>
      <c r="V129" s="10"/>
      <c r="W129" s="10"/>
      <c r="X129" s="10"/>
      <c r="Y129" s="10"/>
      <c r="Z129" s="10"/>
      <c r="AA129" s="10"/>
      <c r="AB129" s="10"/>
    </row>
    <row r="130" spans="1:28" ht="14.25" customHeight="1" x14ac:dyDescent="0.25">
      <c r="A130" s="1100">
        <f>IF(A129=2,2,0)</f>
        <v>2</v>
      </c>
      <c r="B130" s="16"/>
      <c r="C130" s="130"/>
      <c r="D130" s="520"/>
      <c r="E130" s="480"/>
      <c r="F130" s="1120" t="s">
        <v>710</v>
      </c>
      <c r="G130" s="1921"/>
      <c r="H130" s="1921"/>
      <c r="I130" s="1921"/>
      <c r="J130" s="1921"/>
      <c r="K130" s="1921"/>
      <c r="L130" s="2025"/>
      <c r="M130" s="101"/>
      <c r="N130" s="6"/>
      <c r="O130" s="10"/>
      <c r="P130" s="10"/>
      <c r="Q130" s="10"/>
      <c r="R130" s="10"/>
      <c r="S130" s="10"/>
      <c r="T130" s="10"/>
      <c r="U130" s="10"/>
      <c r="V130" s="10"/>
      <c r="W130" s="10"/>
      <c r="X130" s="10"/>
      <c r="Y130" s="10"/>
      <c r="Z130" s="10"/>
      <c r="AA130" s="10"/>
      <c r="AB130" s="10"/>
    </row>
    <row r="131" spans="1:28" ht="8.1" customHeight="1" x14ac:dyDescent="0.25">
      <c r="A131" s="1100">
        <f>A133</f>
        <v>2</v>
      </c>
      <c r="B131" s="16"/>
      <c r="C131" s="130"/>
      <c r="D131" s="520"/>
      <c r="E131" s="480"/>
      <c r="F131" s="1127"/>
      <c r="G131" s="1930">
        <f t="shared" ref="G131:L131" si="39">IF(AND(G134=0,G135=0,G136=0),0,IF(G134&lt;&gt;0,G134,IF(G135&lt;&gt;0,G135/(G$54*G$64),G136/G$54)))</f>
        <v>0</v>
      </c>
      <c r="H131" s="1930">
        <f t="shared" si="39"/>
        <v>0</v>
      </c>
      <c r="I131" s="1930">
        <f t="shared" si="39"/>
        <v>0</v>
      </c>
      <c r="J131" s="1930">
        <f t="shared" si="39"/>
        <v>0</v>
      </c>
      <c r="K131" s="1930">
        <f t="shared" si="39"/>
        <v>0</v>
      </c>
      <c r="L131" s="2034">
        <f t="shared" si="39"/>
        <v>0</v>
      </c>
      <c r="M131" s="101"/>
      <c r="N131" s="6"/>
      <c r="O131" s="10"/>
      <c r="P131" s="10"/>
      <c r="Q131" s="10"/>
      <c r="R131" s="10"/>
      <c r="S131" s="10"/>
      <c r="T131" s="10"/>
      <c r="U131" s="10"/>
      <c r="V131" s="10"/>
      <c r="W131" s="10"/>
      <c r="X131" s="10"/>
      <c r="Y131" s="10"/>
      <c r="Z131" s="10"/>
      <c r="AA131" s="10"/>
      <c r="AB131" s="10"/>
    </row>
    <row r="132" spans="1:28" x14ac:dyDescent="0.25">
      <c r="A132" s="1100">
        <f>A133</f>
        <v>2</v>
      </c>
      <c r="B132" s="16"/>
      <c r="C132" s="130"/>
      <c r="D132" s="1493" t="s">
        <v>103</v>
      </c>
      <c r="E132" s="527"/>
      <c r="F132" s="718"/>
      <c r="G132" s="1933"/>
      <c r="H132" s="1933"/>
      <c r="I132" s="1933"/>
      <c r="J132" s="1933"/>
      <c r="K132" s="1933"/>
      <c r="L132" s="2037"/>
      <c r="M132" s="101"/>
      <c r="N132" s="6"/>
      <c r="O132" s="10"/>
      <c r="P132" s="10"/>
      <c r="Q132" s="10"/>
      <c r="R132" s="10"/>
      <c r="S132" s="10"/>
      <c r="T132" s="10"/>
      <c r="U132" s="10"/>
      <c r="V132" s="10"/>
      <c r="W132" s="10"/>
      <c r="X132" s="10"/>
      <c r="Y132" s="10"/>
      <c r="Z132" s="10"/>
      <c r="AA132" s="10"/>
      <c r="AB132" s="10"/>
    </row>
    <row r="133" spans="1:28" ht="14.25" customHeight="1" x14ac:dyDescent="0.25">
      <c r="A133" s="1100">
        <f>IF(B133=TRUE,1,2)</f>
        <v>2</v>
      </c>
      <c r="B133" s="1082" t="b">
        <v>0</v>
      </c>
      <c r="C133" s="1210"/>
      <c r="D133" s="1503" t="str">
        <f>IF(Income_RentAdjType_1&lt;&gt;"Qualitative","Adjustment","Relative Comparison")</f>
        <v>Adjustment</v>
      </c>
      <c r="E133" s="1211"/>
      <c r="F133" s="1212"/>
      <c r="G133" s="1855">
        <f t="shared" ref="G133:L133" si="40">IF(Income_RentAdjType_1="Percent",IF(AND(G134=0,G135=0,G136=0),0,IF(G134&lt;&gt;0,G134,IF(G135&lt;&gt;0,G135/(G$54*G$64),G136/G$54))),IF(Income_RentAdjType_1="$ per Unit",IF(AND(G134=0,G135=0,G136=0),0,IF(G134&lt;&gt;0,G134*G$54,IF(G135&lt;&gt;0,G135/G$64,G136))),IF(OR(G134&gt;0,G135&gt;0,G136&gt;0),"Inferior",IF(OR(G134&lt;0,G135&lt;0,G136&lt;0),"Superior","Similar"))))</f>
        <v>0</v>
      </c>
      <c r="H133" s="1855">
        <f t="shared" si="40"/>
        <v>0</v>
      </c>
      <c r="I133" s="1855">
        <f t="shared" si="40"/>
        <v>0</v>
      </c>
      <c r="J133" s="1855">
        <f t="shared" si="40"/>
        <v>0</v>
      </c>
      <c r="K133" s="1855">
        <f t="shared" si="40"/>
        <v>0</v>
      </c>
      <c r="L133" s="1150">
        <f t="shared" si="40"/>
        <v>0</v>
      </c>
      <c r="M133" s="101"/>
      <c r="N133" s="6"/>
      <c r="O133" s="10"/>
      <c r="P133" s="10"/>
      <c r="Q133" s="10"/>
      <c r="R133" s="10"/>
      <c r="S133" s="10"/>
      <c r="T133" s="10"/>
      <c r="U133" s="10"/>
      <c r="V133" s="10"/>
      <c r="W133" s="10"/>
      <c r="X133" s="10"/>
      <c r="Y133" s="10"/>
      <c r="Z133" s="10"/>
      <c r="AA133" s="10"/>
      <c r="AB133" s="10"/>
    </row>
    <row r="134" spans="1:28" ht="14.25" customHeight="1" x14ac:dyDescent="0.25">
      <c r="A134" s="1100">
        <f>IF(A133=2,2,0)</f>
        <v>2</v>
      </c>
      <c r="B134" s="16"/>
      <c r="C134" s="130"/>
      <c r="D134" s="520"/>
      <c r="E134" s="480"/>
      <c r="F134" s="1120" t="s">
        <v>166</v>
      </c>
      <c r="G134" s="1926"/>
      <c r="H134" s="1926"/>
      <c r="I134" s="1926"/>
      <c r="J134" s="1926"/>
      <c r="K134" s="1926"/>
      <c r="L134" s="2030"/>
      <c r="M134" s="101"/>
      <c r="N134" s="6"/>
      <c r="O134" s="10"/>
      <c r="P134" s="10"/>
      <c r="Q134" s="10"/>
      <c r="R134" s="10"/>
      <c r="S134" s="10"/>
      <c r="T134" s="10"/>
      <c r="U134" s="10"/>
      <c r="V134" s="10"/>
      <c r="W134" s="10"/>
      <c r="X134" s="10"/>
      <c r="Y134" s="10"/>
      <c r="Z134" s="10"/>
      <c r="AA134" s="10"/>
      <c r="AB134" s="10"/>
    </row>
    <row r="135" spans="1:28" ht="14.25" customHeight="1" x14ac:dyDescent="0.25">
      <c r="A135" s="1100">
        <f>IF(A134=2,2,0)</f>
        <v>2</v>
      </c>
      <c r="B135" s="16"/>
      <c r="C135" s="130"/>
      <c r="D135" s="520"/>
      <c r="E135" s="480"/>
      <c r="F135" s="1120" t="s">
        <v>167</v>
      </c>
      <c r="G135" s="1927"/>
      <c r="H135" s="1927"/>
      <c r="I135" s="1927"/>
      <c r="J135" s="1927"/>
      <c r="K135" s="1927"/>
      <c r="L135" s="2031"/>
      <c r="M135" s="101"/>
      <c r="N135" s="6"/>
      <c r="O135" s="10"/>
      <c r="P135" s="10"/>
      <c r="Q135" s="10"/>
      <c r="R135" s="10"/>
      <c r="S135" s="10"/>
      <c r="T135" s="10"/>
      <c r="U135" s="10"/>
      <c r="V135" s="10"/>
      <c r="W135" s="10"/>
      <c r="X135" s="10"/>
      <c r="Y135" s="10"/>
      <c r="Z135" s="10"/>
      <c r="AA135" s="10"/>
      <c r="AB135" s="10"/>
    </row>
    <row r="136" spans="1:28" ht="14.25" customHeight="1" x14ac:dyDescent="0.25">
      <c r="A136" s="1100">
        <f>IF(A135=2,2,0)</f>
        <v>2</v>
      </c>
      <c r="B136" s="16"/>
      <c r="C136" s="130"/>
      <c r="D136" s="520"/>
      <c r="E136" s="480"/>
      <c r="F136" s="1120" t="s">
        <v>710</v>
      </c>
      <c r="G136" s="1921"/>
      <c r="H136" s="1921"/>
      <c r="I136" s="1921"/>
      <c r="J136" s="1921"/>
      <c r="K136" s="1921"/>
      <c r="L136" s="2025"/>
      <c r="M136" s="101"/>
      <c r="N136" s="6"/>
      <c r="O136" s="10"/>
      <c r="P136" s="10"/>
      <c r="Q136" s="10"/>
      <c r="R136" s="10"/>
      <c r="S136" s="10"/>
      <c r="T136" s="10"/>
      <c r="U136" s="10"/>
      <c r="V136" s="10"/>
      <c r="W136" s="10"/>
      <c r="X136" s="10"/>
      <c r="Y136" s="10"/>
      <c r="Z136" s="10"/>
      <c r="AA136" s="10"/>
      <c r="AB136" s="10"/>
    </row>
    <row r="137" spans="1:28" ht="8.1" customHeight="1" x14ac:dyDescent="0.25">
      <c r="A137" s="1100">
        <f>A139</f>
        <v>2</v>
      </c>
      <c r="B137" s="16"/>
      <c r="C137" s="130"/>
      <c r="D137" s="520"/>
      <c r="E137" s="480"/>
      <c r="F137" s="1127"/>
      <c r="G137" s="1930">
        <f t="shared" ref="G137:L137" si="41">IF(AND(G140=0,G141=0,G142=0),0,IF(G140&lt;&gt;0,G140,IF(G141&lt;&gt;0,G141/(G$54*G$64),G142/G$54)))</f>
        <v>0</v>
      </c>
      <c r="H137" s="1930">
        <f t="shared" si="41"/>
        <v>0</v>
      </c>
      <c r="I137" s="1930">
        <f t="shared" si="41"/>
        <v>0</v>
      </c>
      <c r="J137" s="1930">
        <f t="shared" si="41"/>
        <v>0</v>
      </c>
      <c r="K137" s="1930">
        <f t="shared" si="41"/>
        <v>0</v>
      </c>
      <c r="L137" s="2034">
        <f t="shared" si="41"/>
        <v>0</v>
      </c>
      <c r="M137" s="101"/>
      <c r="N137" s="6"/>
      <c r="O137" s="10"/>
      <c r="P137" s="10"/>
      <c r="Q137" s="10"/>
      <c r="R137" s="10"/>
      <c r="S137" s="10"/>
      <c r="T137" s="10"/>
      <c r="U137" s="10"/>
      <c r="V137" s="10"/>
      <c r="W137" s="10"/>
      <c r="X137" s="10"/>
      <c r="Y137" s="10"/>
      <c r="Z137" s="10"/>
      <c r="AA137" s="10"/>
      <c r="AB137" s="10"/>
    </row>
    <row r="138" spans="1:28" x14ac:dyDescent="0.25">
      <c r="A138" s="1100">
        <f>A139</f>
        <v>2</v>
      </c>
      <c r="B138" s="16"/>
      <c r="C138" s="130"/>
      <c r="D138" s="1493" t="s">
        <v>104</v>
      </c>
      <c r="E138" s="527"/>
      <c r="F138" s="718"/>
      <c r="G138" s="1933"/>
      <c r="H138" s="1933"/>
      <c r="I138" s="1933"/>
      <c r="J138" s="1933"/>
      <c r="K138" s="1933"/>
      <c r="L138" s="2037"/>
      <c r="M138" s="101"/>
      <c r="N138" s="6"/>
      <c r="O138" s="10"/>
      <c r="P138" s="10"/>
      <c r="Q138" s="10"/>
      <c r="R138" s="10"/>
      <c r="S138" s="10"/>
      <c r="T138" s="10"/>
      <c r="U138" s="10"/>
      <c r="V138" s="10"/>
      <c r="W138" s="10"/>
      <c r="X138" s="10"/>
      <c r="Y138" s="10"/>
      <c r="Z138" s="10"/>
      <c r="AA138" s="10"/>
      <c r="AB138" s="10"/>
    </row>
    <row r="139" spans="1:28" ht="14.25" customHeight="1" x14ac:dyDescent="0.25">
      <c r="A139" s="1100">
        <f>IF(B139=TRUE,1,2)</f>
        <v>2</v>
      </c>
      <c r="B139" s="1082" t="b">
        <v>0</v>
      </c>
      <c r="C139" s="1210"/>
      <c r="D139" s="1503" t="str">
        <f>IF(Income_RentAdjType_1&lt;&gt;"Qualitative","Adjustment","Relative Comparison")</f>
        <v>Adjustment</v>
      </c>
      <c r="E139" s="1211"/>
      <c r="F139" s="1212"/>
      <c r="G139" s="1855">
        <f t="shared" ref="G139:L139" si="42">IF(Income_RentAdjType_1="Percent",IF(AND(G140=0,G141=0,G142=0),0,IF(G140&lt;&gt;0,G140,IF(G141&lt;&gt;0,G141/(G$54*G$64),G142/G$54))),IF(Income_RentAdjType_1="$ per Unit",IF(AND(G140=0,G141=0,G142=0),0,IF(G140&lt;&gt;0,G140*G$54,IF(G141&lt;&gt;0,G141/G$64,G142))),IF(OR(G140&gt;0,G141&gt;0,G142&gt;0),"Inferior",IF(OR(G140&lt;0,G141&lt;0,G142&lt;0),"Superior","Similar"))))</f>
        <v>0</v>
      </c>
      <c r="H139" s="1855">
        <f t="shared" si="42"/>
        <v>0</v>
      </c>
      <c r="I139" s="1855">
        <f t="shared" si="42"/>
        <v>0</v>
      </c>
      <c r="J139" s="1855">
        <f t="shared" si="42"/>
        <v>0</v>
      </c>
      <c r="K139" s="1855">
        <f t="shared" si="42"/>
        <v>0</v>
      </c>
      <c r="L139" s="1150">
        <f t="shared" si="42"/>
        <v>0</v>
      </c>
      <c r="M139" s="101"/>
      <c r="N139" s="6"/>
      <c r="O139" s="10"/>
      <c r="P139" s="10"/>
      <c r="Q139" s="10"/>
      <c r="R139" s="10"/>
      <c r="S139" s="10"/>
      <c r="T139" s="10"/>
      <c r="U139" s="10"/>
      <c r="V139" s="10"/>
      <c r="W139" s="10"/>
      <c r="X139" s="10"/>
      <c r="Y139" s="10"/>
      <c r="Z139" s="10"/>
      <c r="AA139" s="10"/>
      <c r="AB139" s="10"/>
    </row>
    <row r="140" spans="1:28" ht="14.25" customHeight="1" x14ac:dyDescent="0.25">
      <c r="A140" s="1100">
        <f>IF(A139=2,2,0)</f>
        <v>2</v>
      </c>
      <c r="B140" s="16"/>
      <c r="C140" s="130"/>
      <c r="D140" s="520"/>
      <c r="E140" s="480"/>
      <c r="F140" s="1120" t="s">
        <v>166</v>
      </c>
      <c r="G140" s="1926"/>
      <c r="H140" s="1926"/>
      <c r="I140" s="1926"/>
      <c r="J140" s="1926"/>
      <c r="K140" s="1926"/>
      <c r="L140" s="2030"/>
      <c r="M140" s="101"/>
      <c r="N140" s="6"/>
      <c r="O140" s="10"/>
      <c r="P140" s="10"/>
      <c r="Q140" s="10"/>
      <c r="R140" s="10"/>
      <c r="S140" s="10"/>
      <c r="T140" s="10"/>
      <c r="U140" s="10"/>
      <c r="V140" s="10"/>
      <c r="W140" s="10"/>
      <c r="X140" s="10"/>
      <c r="Y140" s="10"/>
      <c r="Z140" s="10"/>
      <c r="AA140" s="10"/>
      <c r="AB140" s="10"/>
    </row>
    <row r="141" spans="1:28" ht="14.25" customHeight="1" x14ac:dyDescent="0.25">
      <c r="A141" s="1100">
        <f>IF(A140=2,2,0)</f>
        <v>2</v>
      </c>
      <c r="B141" s="16"/>
      <c r="C141" s="130"/>
      <c r="D141" s="520"/>
      <c r="E141" s="480"/>
      <c r="F141" s="1120" t="s">
        <v>167</v>
      </c>
      <c r="G141" s="1927"/>
      <c r="H141" s="1927"/>
      <c r="I141" s="1927"/>
      <c r="J141" s="1927"/>
      <c r="K141" s="1927"/>
      <c r="L141" s="2031"/>
      <c r="M141" s="101"/>
      <c r="N141" s="6"/>
      <c r="O141" s="10"/>
      <c r="P141" s="10"/>
      <c r="Q141" s="10"/>
      <c r="R141" s="10"/>
      <c r="S141" s="10"/>
      <c r="T141" s="10"/>
      <c r="U141" s="10"/>
      <c r="V141" s="10"/>
      <c r="W141" s="10"/>
      <c r="X141" s="10"/>
      <c r="Y141" s="10"/>
      <c r="Z141" s="10"/>
      <c r="AA141" s="10"/>
      <c r="AB141" s="10"/>
    </row>
    <row r="142" spans="1:28" ht="15" customHeight="1" x14ac:dyDescent="0.25">
      <c r="A142" s="1100">
        <f>IF(A141=2,2,0)</f>
        <v>2</v>
      </c>
      <c r="B142" s="16"/>
      <c r="C142" s="130"/>
      <c r="D142" s="520"/>
      <c r="E142" s="480"/>
      <c r="F142" s="1120" t="s">
        <v>710</v>
      </c>
      <c r="G142" s="1921"/>
      <c r="H142" s="1921"/>
      <c r="I142" s="1921"/>
      <c r="J142" s="1921"/>
      <c r="K142" s="1921"/>
      <c r="L142" s="2025"/>
      <c r="M142" s="101"/>
      <c r="N142" s="6"/>
      <c r="O142" s="10"/>
      <c r="P142" s="10"/>
      <c r="Q142" s="10"/>
      <c r="R142" s="10"/>
      <c r="S142" s="10"/>
      <c r="T142" s="10"/>
      <c r="U142" s="10"/>
      <c r="V142" s="10"/>
      <c r="W142" s="10"/>
      <c r="X142" s="10"/>
      <c r="Y142" s="10"/>
      <c r="Z142" s="10"/>
      <c r="AA142" s="10"/>
      <c r="AB142" s="10"/>
    </row>
    <row r="143" spans="1:28" ht="14.25" customHeight="1" x14ac:dyDescent="0.25">
      <c r="A143" s="1100">
        <v>1</v>
      </c>
      <c r="B143" s="16"/>
      <c r="C143" s="130"/>
      <c r="D143" s="520" t="str">
        <f>IF(Income_RentAdjType_1&lt;&gt;"Qualitative","Net Physical Adjustment","Net Relative Comparison")</f>
        <v>Net Physical Adjustment</v>
      </c>
      <c r="E143" s="766"/>
      <c r="F143" s="765"/>
      <c r="G143" s="1803">
        <f t="shared" ref="G143:L143" si="43">IF(Income_RentAdjType_1&lt;&gt;"Qualitative",SUM(G59,G65,G75,G84,G90,G96,G102,G108,G114,G120,G127,G133,G139),SUM(G55,G63,G69,G79,G88,G94,G100,G106,G112,G118,G124,G131,G137))</f>
        <v>0</v>
      </c>
      <c r="H143" s="1803">
        <f t="shared" si="43"/>
        <v>0</v>
      </c>
      <c r="I143" s="1803">
        <f t="shared" si="43"/>
        <v>0</v>
      </c>
      <c r="J143" s="1803">
        <f t="shared" si="43"/>
        <v>0</v>
      </c>
      <c r="K143" s="1803">
        <f t="shared" si="43"/>
        <v>0</v>
      </c>
      <c r="L143" s="1965">
        <f t="shared" si="43"/>
        <v>0</v>
      </c>
      <c r="M143" s="101"/>
      <c r="N143" s="6"/>
      <c r="O143" s="10"/>
      <c r="P143" s="10"/>
      <c r="Q143" s="633"/>
      <c r="R143" s="10"/>
      <c r="S143" s="10"/>
      <c r="T143" s="10"/>
      <c r="U143" s="10"/>
      <c r="V143" s="10"/>
      <c r="W143" s="10"/>
      <c r="X143" s="10"/>
      <c r="Y143" s="10"/>
      <c r="Z143" s="10"/>
      <c r="AA143" s="10"/>
      <c r="AB143" s="10"/>
    </row>
    <row r="144" spans="1:28" ht="14.25" customHeight="1" x14ac:dyDescent="0.25">
      <c r="A144" s="1100">
        <v>0</v>
      </c>
      <c r="B144" s="16"/>
      <c r="C144" s="101"/>
      <c r="D144" s="520" t="str">
        <f>IF(Income_RentAdjType&lt;&gt;"Qualitative","Gross Physical Adjustment","Gross Relative Comparison")</f>
        <v>Gross Physical Adjustment</v>
      </c>
      <c r="E144" s="101"/>
      <c r="F144" s="137"/>
      <c r="G144" s="1804">
        <f t="shared" ref="G144:L144" si="44">IF(Income_RentAdjType_1&lt;&gt;"Qualitative",SUM(ABS(G59),ABS(G65),ABS(G75),ABS(G84),ABS(G90),ABS(G96),ABS(G102),ABS(G108),ABS(G114),ABS(G120),ABS(G127),ABS(G133),ABS(G139)),SUM(ABS(G55),ABS(G63),ABS(G69),ABS(G79),ABS(G88),ABS(G94),ABS(G100),ABS(G106),ABS(G112),ABS(G118),ABS(G124),ABS(G131),ABS(G137)))</f>
        <v>0</v>
      </c>
      <c r="H144" s="1804">
        <f t="shared" si="44"/>
        <v>0</v>
      </c>
      <c r="I144" s="1804">
        <f t="shared" si="44"/>
        <v>0</v>
      </c>
      <c r="J144" s="1804">
        <f t="shared" si="44"/>
        <v>0</v>
      </c>
      <c r="K144" s="1804" t="e">
        <f t="shared" si="44"/>
        <v>#VALUE!</v>
      </c>
      <c r="L144" s="1966" t="e">
        <f t="shared" si="44"/>
        <v>#VALUE!</v>
      </c>
      <c r="M144" s="101"/>
      <c r="N144" s="6"/>
      <c r="O144" s="10"/>
      <c r="P144" s="10"/>
      <c r="Q144" s="290"/>
      <c r="R144" s="10"/>
      <c r="S144" s="10"/>
      <c r="T144" s="10"/>
      <c r="U144" s="10"/>
      <c r="V144" s="10"/>
      <c r="W144" s="10"/>
      <c r="X144" s="10"/>
      <c r="Y144" s="10"/>
      <c r="Z144" s="10"/>
      <c r="AA144" s="10"/>
      <c r="AB144" s="10"/>
    </row>
    <row r="145" spans="1:28" ht="14.25" customHeight="1" x14ac:dyDescent="0.25">
      <c r="A145" s="1100">
        <f>IF(Income_RentAdjType_1="Qualitative",1,0)</f>
        <v>0</v>
      </c>
      <c r="B145" s="16"/>
      <c r="C145" s="130"/>
      <c r="D145" s="1497" t="s">
        <v>1128</v>
      </c>
      <c r="E145" s="766"/>
      <c r="F145" s="765"/>
      <c r="G145" s="1939" t="str">
        <f t="shared" ref="G145:L145" si="45">IF(G143&gt;0,"Inferior",IF(G143&lt;0,"Superior","Similar"))</f>
        <v>Similar</v>
      </c>
      <c r="H145" s="1939" t="str">
        <f t="shared" si="45"/>
        <v>Similar</v>
      </c>
      <c r="I145" s="1939" t="str">
        <f t="shared" si="45"/>
        <v>Similar</v>
      </c>
      <c r="J145" s="1939" t="str">
        <f t="shared" si="45"/>
        <v>Similar</v>
      </c>
      <c r="K145" s="1939" t="str">
        <f t="shared" si="45"/>
        <v>Similar</v>
      </c>
      <c r="L145" s="2044" t="str">
        <f t="shared" si="45"/>
        <v>Similar</v>
      </c>
      <c r="M145" s="101"/>
      <c r="N145" s="6"/>
      <c r="O145" s="10"/>
      <c r="P145" s="10"/>
      <c r="Q145" s="10"/>
      <c r="R145" s="10"/>
      <c r="S145" s="10"/>
      <c r="T145" s="10"/>
      <c r="U145" s="10"/>
      <c r="V145" s="10"/>
      <c r="W145" s="10"/>
      <c r="X145" s="10"/>
      <c r="Y145" s="10"/>
      <c r="Z145" s="10"/>
      <c r="AA145" s="10"/>
      <c r="AB145" s="10"/>
    </row>
    <row r="146" spans="1:28" ht="20.100000000000001" customHeight="1" thickBot="1" x14ac:dyDescent="0.3">
      <c r="A146" s="1670">
        <f>IF(Income_RentAdjType_1="Qualitative",0,1)</f>
        <v>1</v>
      </c>
      <c r="B146" s="16"/>
      <c r="C146" s="130"/>
      <c r="D146" s="171" t="str">
        <f>IF(dpIncome_RentUnitDisplay_1="Annual","Adjusted Annual Rental Rate","Adjusted Monthly Rental Rate")</f>
        <v>Adjusted Annual Rental Rate</v>
      </c>
      <c r="E146" s="921"/>
      <c r="F146" s="765"/>
      <c r="G146" s="1940" t="e">
        <f t="shared" ref="G146:L146" si="46">IF(Income_RentAdjType_1="Percent",G54*(1+G143),IF(Income_RentAdjType_1="$ per Unit",G54+G143,""))</f>
        <v>#VALUE!</v>
      </c>
      <c r="H146" s="1940" t="e">
        <f t="shared" si="46"/>
        <v>#VALUE!</v>
      </c>
      <c r="I146" s="1940" t="e">
        <f t="shared" si="46"/>
        <v>#VALUE!</v>
      </c>
      <c r="J146" s="1940" t="e">
        <f t="shared" si="46"/>
        <v>#VALUE!</v>
      </c>
      <c r="K146" s="1940" t="e">
        <f t="shared" si="46"/>
        <v>#VALUE!</v>
      </c>
      <c r="L146" s="2045" t="e">
        <f t="shared" si="46"/>
        <v>#VALUE!</v>
      </c>
      <c r="M146" s="101"/>
      <c r="N146" s="6"/>
      <c r="O146" s="10"/>
      <c r="P146" s="10"/>
      <c r="Q146" s="10"/>
      <c r="R146" s="10"/>
      <c r="S146" s="10"/>
      <c r="T146" s="10"/>
      <c r="U146" s="10"/>
      <c r="V146" s="10"/>
      <c r="W146" s="10"/>
      <c r="X146" s="10"/>
      <c r="Y146" s="10"/>
      <c r="Z146" s="10"/>
      <c r="AA146" s="10"/>
      <c r="AB146" s="10"/>
    </row>
    <row r="147" spans="1:28" ht="15" customHeight="1" thickBot="1" x14ac:dyDescent="0.3">
      <c r="A147" s="972">
        <v>1</v>
      </c>
      <c r="B147" s="95"/>
      <c r="C147" s="75"/>
      <c r="D147" s="555" t="s">
        <v>1518</v>
      </c>
      <c r="E147" s="167"/>
      <c r="F147" s="168"/>
      <c r="G147" s="1941"/>
      <c r="H147" s="1941"/>
      <c r="I147" s="1941"/>
      <c r="J147" s="1941"/>
      <c r="K147" s="1941"/>
      <c r="L147" s="2046"/>
      <c r="M147" s="7"/>
      <c r="N147" s="9"/>
      <c r="O147" s="10"/>
      <c r="P147" s="10"/>
      <c r="Q147" s="150">
        <f>dpIncome_SpaceCategory_MarketRent_1</f>
        <v>0</v>
      </c>
      <c r="R147" s="10"/>
      <c r="S147" s="10"/>
      <c r="T147" s="10"/>
      <c r="U147" s="10"/>
      <c r="V147" s="10"/>
      <c r="W147" s="10"/>
      <c r="X147" s="10"/>
      <c r="Y147" s="10"/>
      <c r="Z147" s="10"/>
      <c r="AA147" s="10"/>
      <c r="AB147" s="10"/>
    </row>
    <row r="148" spans="1:28" ht="30" customHeight="1" thickBot="1" x14ac:dyDescent="0.3">
      <c r="A148" s="972">
        <v>1</v>
      </c>
      <c r="B148" s="11"/>
      <c r="C148" s="10"/>
      <c r="D148" s="10"/>
      <c r="E148" s="10"/>
      <c r="F148" s="13"/>
      <c r="G148" s="1839"/>
      <c r="H148" s="1839"/>
      <c r="I148" s="1839"/>
      <c r="J148" s="1839"/>
      <c r="K148" s="1839"/>
      <c r="L148" s="37"/>
      <c r="M148" s="10"/>
      <c r="N148" s="10"/>
      <c r="O148" s="10"/>
      <c r="P148" s="10"/>
      <c r="Q148" s="728" t="str">
        <f>IF(dpIncome_RentUnitDisplay_1="Annual","Annual Market Rental Rate Estimate (PSF)","Monthly Market Rental Rate Estimate (PSF)")</f>
        <v>Annual Market Rental Rate Estimate (PSF)</v>
      </c>
      <c r="R148" s="10"/>
      <c r="S148" s="10"/>
      <c r="T148" s="10"/>
      <c r="U148" s="10"/>
      <c r="V148" s="10"/>
      <c r="W148" s="10"/>
      <c r="X148" s="10"/>
      <c r="Y148" s="10"/>
      <c r="Z148" s="10"/>
      <c r="AA148" s="10"/>
      <c r="AB148" s="10"/>
    </row>
    <row r="149" spans="1:28" ht="15.95" customHeight="1" thickBot="1" x14ac:dyDescent="0.3">
      <c r="A149" s="972">
        <v>1</v>
      </c>
      <c r="B149" s="11"/>
      <c r="C149" s="10"/>
      <c r="D149" s="10"/>
      <c r="E149" s="10"/>
      <c r="F149" s="13"/>
      <c r="G149" s="1839"/>
      <c r="H149" s="1839"/>
      <c r="I149" s="1839"/>
      <c r="J149" s="1839"/>
      <c r="K149" s="1839"/>
      <c r="L149" s="37"/>
      <c r="M149" s="10"/>
      <c r="N149" s="10"/>
      <c r="O149" s="10"/>
      <c r="P149" s="10"/>
      <c r="Q149" s="583"/>
      <c r="R149" s="10"/>
      <c r="S149" s="10"/>
      <c r="T149" s="10"/>
      <c r="U149" s="10"/>
      <c r="V149" s="10"/>
      <c r="W149" s="10"/>
      <c r="X149" s="10"/>
      <c r="Y149" s="10"/>
      <c r="Z149" s="10"/>
      <c r="AA149" s="10"/>
      <c r="AB149" s="10"/>
    </row>
    <row r="150" spans="1:28" ht="15" customHeight="1" thickBot="1" x14ac:dyDescent="0.3">
      <c r="A150" s="972">
        <v>1</v>
      </c>
      <c r="B150" s="11"/>
      <c r="C150" s="10"/>
      <c r="D150" s="10"/>
      <c r="E150" s="10"/>
      <c r="F150" s="13"/>
      <c r="G150" s="1839"/>
      <c r="H150" s="1839"/>
      <c r="I150" s="1839"/>
      <c r="J150" s="1839"/>
      <c r="K150" s="1839"/>
      <c r="L150" s="37"/>
      <c r="M150" s="10"/>
      <c r="N150" s="10"/>
      <c r="O150" s="10"/>
      <c r="P150" s="10"/>
      <c r="Q150" s="10"/>
      <c r="R150" s="10"/>
      <c r="S150" s="10"/>
      <c r="T150" s="10"/>
      <c r="U150" s="10"/>
      <c r="V150" s="10"/>
      <c r="W150" s="10"/>
      <c r="X150" s="10"/>
      <c r="Y150" s="10"/>
      <c r="Z150" s="10"/>
      <c r="AA150" s="10"/>
      <c r="AB150" s="10"/>
    </row>
    <row r="151" spans="1:28" ht="14.25" customHeight="1" x14ac:dyDescent="0.25">
      <c r="A151" s="972">
        <v>1</v>
      </c>
      <c r="B151" s="11"/>
      <c r="C151" s="10"/>
      <c r="D151" s="10"/>
      <c r="E151" s="10"/>
      <c r="F151" s="13"/>
      <c r="G151" s="1839"/>
      <c r="H151" s="1839"/>
      <c r="I151" s="1839"/>
      <c r="J151" s="1839"/>
      <c r="K151" s="1839"/>
      <c r="L151" s="37"/>
      <c r="M151" s="10"/>
      <c r="N151" s="10"/>
      <c r="O151" s="561"/>
      <c r="P151" s="562"/>
      <c r="Q151" s="562"/>
      <c r="R151" s="2"/>
      <c r="S151" s="2"/>
      <c r="T151" s="2"/>
      <c r="U151" s="2"/>
      <c r="V151" s="2"/>
      <c r="W151" s="10"/>
      <c r="X151" s="10"/>
      <c r="Y151" s="10"/>
      <c r="Z151" s="10"/>
      <c r="AA151" s="10"/>
      <c r="AB151" s="10"/>
    </row>
    <row r="152" spans="1:28" ht="15" customHeight="1" x14ac:dyDescent="0.3">
      <c r="A152" s="972">
        <v>1</v>
      </c>
      <c r="B152" s="11"/>
      <c r="C152" s="10"/>
      <c r="D152" s="10"/>
      <c r="E152" s="10"/>
      <c r="F152" s="13"/>
      <c r="G152" s="1839"/>
      <c r="H152" s="1839"/>
      <c r="I152" s="1839"/>
      <c r="J152" s="1839"/>
      <c r="K152" s="1839"/>
      <c r="L152" s="37"/>
      <c r="M152" s="10"/>
      <c r="N152" s="10"/>
      <c r="O152" s="567"/>
      <c r="P152" s="246"/>
      <c r="Q152" s="568" t="str">
        <f>CONCATENATE("Rent Comparable Statistics - ",dpIncome_SpaceCategory_MarketRent_1," Space")</f>
        <v>Rent Comparable Statistics -  Space</v>
      </c>
      <c r="R152" s="246"/>
      <c r="S152" s="246"/>
      <c r="T152" s="246"/>
      <c r="U152" s="246"/>
      <c r="V152" s="246"/>
      <c r="W152" s="10"/>
      <c r="X152" s="10"/>
      <c r="Y152" s="10"/>
      <c r="Z152" s="10"/>
      <c r="AA152" s="10"/>
      <c r="AB152" s="10"/>
    </row>
    <row r="153" spans="1:28" ht="15" customHeight="1" x14ac:dyDescent="0.25">
      <c r="A153" s="972">
        <v>1</v>
      </c>
      <c r="B153" s="11"/>
      <c r="C153" s="10"/>
      <c r="D153" s="10"/>
      <c r="E153" s="10"/>
      <c r="F153" s="13"/>
      <c r="G153" s="1839"/>
      <c r="H153" s="1839"/>
      <c r="I153" s="1839"/>
      <c r="J153" s="1839"/>
      <c r="K153" s="1839"/>
      <c r="L153" s="37"/>
      <c r="M153" s="10"/>
      <c r="N153" s="10"/>
      <c r="O153" s="563"/>
      <c r="P153" s="150"/>
      <c r="Q153" s="12" t="s">
        <v>942</v>
      </c>
      <c r="R153" s="55" t="s">
        <v>655</v>
      </c>
      <c r="S153" s="55" t="s">
        <v>1370</v>
      </c>
      <c r="T153" s="55" t="s">
        <v>128</v>
      </c>
      <c r="U153" s="150"/>
      <c r="V153" s="53"/>
      <c r="W153" s="10"/>
      <c r="X153" s="10"/>
      <c r="Y153" s="10"/>
      <c r="Z153" s="10"/>
      <c r="AA153" s="10"/>
      <c r="AB153" s="10"/>
    </row>
    <row r="154" spans="1:28" ht="15" customHeight="1" x14ac:dyDescent="0.25">
      <c r="A154" s="972">
        <v>1</v>
      </c>
      <c r="B154" s="11"/>
      <c r="C154" s="10"/>
      <c r="D154" s="10"/>
      <c r="E154" s="10"/>
      <c r="F154" s="13"/>
      <c r="G154" s="1839"/>
      <c r="H154" s="1839"/>
      <c r="I154" s="1839"/>
      <c r="J154" s="1839"/>
      <c r="K154" s="1839"/>
      <c r="L154" s="37"/>
      <c r="M154" s="10"/>
      <c r="N154" s="10"/>
      <c r="O154" s="563"/>
      <c r="P154" s="114"/>
      <c r="Q154" s="130" t="s">
        <v>1045</v>
      </c>
      <c r="R154" s="1174">
        <f>MIN(Rents_UnadjustedRange_1)</f>
        <v>0</v>
      </c>
      <c r="S154" s="1174" t="e">
        <f>MIN(Income_RentAdjPrice3_1)</f>
        <v>#VALUE!</v>
      </c>
      <c r="T154" s="1140" t="e">
        <f>IF(Income_RentAdjType_1="Qualitative","N/A",MIN(Rent_FinalAdjustedRange_1))</f>
        <v>#VALUE!</v>
      </c>
      <c r="U154" s="130"/>
      <c r="V154" s="5"/>
      <c r="W154" s="10"/>
      <c r="X154" s="10"/>
      <c r="Y154" s="10"/>
      <c r="Z154" s="10"/>
      <c r="AA154" s="10"/>
      <c r="AB154" s="10"/>
    </row>
    <row r="155" spans="1:28" ht="15" customHeight="1" x14ac:dyDescent="0.25">
      <c r="A155" s="972">
        <v>1</v>
      </c>
      <c r="B155" s="11"/>
      <c r="C155" s="10"/>
      <c r="D155" s="10"/>
      <c r="E155" s="10"/>
      <c r="F155" s="13"/>
      <c r="G155" s="1839"/>
      <c r="H155" s="1839"/>
      <c r="I155" s="1839"/>
      <c r="J155" s="1839"/>
      <c r="K155" s="1839"/>
      <c r="L155" s="37"/>
      <c r="M155" s="10"/>
      <c r="N155" s="10"/>
      <c r="O155" s="563"/>
      <c r="P155" s="114"/>
      <c r="Q155" s="130" t="s">
        <v>1046</v>
      </c>
      <c r="R155" s="1174">
        <f>MAX(Rents_UnadjustedRange_1)</f>
        <v>0</v>
      </c>
      <c r="S155" s="1174" t="e">
        <f>MAX(Income_RentAdjPrice3_1)</f>
        <v>#VALUE!</v>
      </c>
      <c r="T155" s="1140" t="e">
        <f>IF(Income_RentAdjType_1="Qualitative","N/A",MAX(Rent_FinalAdjustedRange_1))</f>
        <v>#VALUE!</v>
      </c>
      <c r="U155" s="130"/>
      <c r="V155" s="5"/>
      <c r="W155" s="10"/>
      <c r="X155" s="10"/>
      <c r="Y155" s="10"/>
      <c r="Z155" s="10"/>
      <c r="AA155" s="10"/>
      <c r="AB155" s="10"/>
    </row>
    <row r="156" spans="1:28" ht="15" customHeight="1" x14ac:dyDescent="0.25">
      <c r="A156" s="972">
        <v>1</v>
      </c>
      <c r="B156" s="11"/>
      <c r="C156" s="10"/>
      <c r="D156" s="10"/>
      <c r="E156" s="10"/>
      <c r="F156" s="13"/>
      <c r="G156" s="1839"/>
      <c r="H156" s="1839"/>
      <c r="I156" s="1839"/>
      <c r="J156" s="1839"/>
      <c r="K156" s="1839"/>
      <c r="L156" s="37"/>
      <c r="M156" s="10"/>
      <c r="N156" s="10"/>
      <c r="O156" s="563"/>
      <c r="P156" s="114"/>
      <c r="Q156" s="130" t="s">
        <v>1047</v>
      </c>
      <c r="R156" s="1174">
        <f>MEDIAN(Rents_UnadjustedRange_1)</f>
        <v>0</v>
      </c>
      <c r="S156" s="1174" t="e">
        <f>MEDIAN(Income_RentAdjPrice3_1)</f>
        <v>#VALUE!</v>
      </c>
      <c r="T156" s="1140" t="e">
        <f>IF(Income_RentAdjType_1="Qualitative","N/A",MEDIAN(Rent_FinalAdjustedRange_1))</f>
        <v>#VALUE!</v>
      </c>
      <c r="U156" s="130"/>
      <c r="V156" s="5"/>
      <c r="W156" s="10"/>
      <c r="X156" s="10"/>
      <c r="Y156" s="10"/>
      <c r="Z156" s="10"/>
      <c r="AA156" s="10"/>
      <c r="AB156" s="10"/>
    </row>
    <row r="157" spans="1:28" ht="15" customHeight="1" thickBot="1" x14ac:dyDescent="0.3">
      <c r="A157" s="972">
        <v>1</v>
      </c>
      <c r="B157" s="11"/>
      <c r="C157" s="10"/>
      <c r="D157" s="10"/>
      <c r="E157" s="10"/>
      <c r="F157" s="13"/>
      <c r="G157" s="1839"/>
      <c r="H157" s="1839"/>
      <c r="I157" s="1839"/>
      <c r="J157" s="1839"/>
      <c r="K157" s="1839"/>
      <c r="L157" s="37"/>
      <c r="M157" s="10"/>
      <c r="N157" s="10"/>
      <c r="O157" s="563"/>
      <c r="P157" s="114"/>
      <c r="Q157" s="99" t="s">
        <v>1048</v>
      </c>
      <c r="R157" s="1175">
        <f>AVERAGE(Rents_UnadjustedRange_1)</f>
        <v>0</v>
      </c>
      <c r="S157" s="1175" t="e">
        <f>AVERAGE(Income_RentAdjPrice3_1)</f>
        <v>#VALUE!</v>
      </c>
      <c r="T157" s="1202" t="e">
        <f>IF(Income_RentAdjType_1="Qualitative","N/A",AVERAGE(Rent_FinalAdjustedRange_1))</f>
        <v>#VALUE!</v>
      </c>
      <c r="U157" s="130"/>
      <c r="V157" s="5"/>
      <c r="W157" s="10"/>
      <c r="X157" s="10"/>
      <c r="Y157" s="10"/>
      <c r="Z157" s="10"/>
      <c r="AA157" s="10"/>
      <c r="AB157" s="10"/>
    </row>
    <row r="158" spans="1:28" ht="15" customHeight="1" x14ac:dyDescent="0.25">
      <c r="A158" s="972">
        <v>1</v>
      </c>
      <c r="B158" s="11"/>
      <c r="C158" s="10"/>
      <c r="D158" s="10"/>
      <c r="E158" s="10"/>
      <c r="F158" s="13"/>
      <c r="G158" s="1839"/>
      <c r="H158" s="1839"/>
      <c r="I158" s="1839"/>
      <c r="J158" s="1839"/>
      <c r="K158" s="1839"/>
      <c r="L158" s="37"/>
      <c r="M158" s="10"/>
      <c r="N158" s="10"/>
      <c r="O158" s="563"/>
      <c r="P158" s="52"/>
      <c r="Q158" s="18" t="s">
        <v>958</v>
      </c>
      <c r="R158" s="894">
        <f>STDEV(Rents_UnadjustedRange_1)</f>
        <v>0</v>
      </c>
      <c r="S158" s="894" t="e">
        <f>STDEV(Income_RentAdjPrice3_1)</f>
        <v>#VALUE!</v>
      </c>
      <c r="T158" s="894" t="e">
        <f>IF(Sales_AdjType="Qualitative","N/A",STDEV(Rent_FinalAdjustedRange_1))</f>
        <v>#VALUE!</v>
      </c>
      <c r="U158" s="18"/>
      <c r="V158" s="5"/>
      <c r="W158" s="10"/>
      <c r="X158" s="10"/>
      <c r="Y158" s="10"/>
      <c r="Z158" s="10"/>
      <c r="AA158" s="10"/>
      <c r="AB158" s="10"/>
    </row>
    <row r="159" spans="1:28" ht="15" customHeight="1" thickBot="1" x14ac:dyDescent="0.3">
      <c r="A159" s="972">
        <v>1</v>
      </c>
      <c r="B159" s="11"/>
      <c r="C159" s="10"/>
      <c r="D159" s="10"/>
      <c r="E159" s="10"/>
      <c r="F159" s="13"/>
      <c r="G159" s="1839"/>
      <c r="H159" s="1839"/>
      <c r="I159" s="1839"/>
      <c r="J159" s="1839"/>
      <c r="K159" s="1839"/>
      <c r="L159" s="37"/>
      <c r="M159" s="10"/>
      <c r="N159" s="10"/>
      <c r="O159" s="564"/>
      <c r="P159" s="565"/>
      <c r="Q159" s="552" t="s">
        <v>1434</v>
      </c>
      <c r="R159" s="7"/>
      <c r="S159" s="7"/>
      <c r="T159" s="7"/>
      <c r="U159" s="7"/>
      <c r="V159" s="7"/>
      <c r="W159" s="10"/>
      <c r="X159" s="10"/>
      <c r="Y159" s="10"/>
      <c r="Z159" s="10"/>
      <c r="AA159" s="10"/>
      <c r="AB159" s="10"/>
    </row>
    <row r="160" spans="1:28" ht="14.25" customHeight="1" thickBot="1" x14ac:dyDescent="0.3">
      <c r="A160" s="972">
        <v>1</v>
      </c>
      <c r="B160" s="11"/>
      <c r="C160" s="10"/>
      <c r="D160" s="10"/>
      <c r="E160" s="10"/>
      <c r="F160" s="13"/>
      <c r="G160" s="1839"/>
      <c r="H160" s="1839"/>
      <c r="I160" s="1839"/>
      <c r="J160" s="1839"/>
      <c r="K160" s="1839"/>
      <c r="L160" s="37"/>
      <c r="M160" s="10"/>
      <c r="N160" s="10"/>
      <c r="O160" s="10"/>
      <c r="P160" s="10"/>
      <c r="Q160" s="10"/>
      <c r="R160" s="10"/>
      <c r="S160" s="10"/>
      <c r="T160" s="10"/>
      <c r="U160" s="10"/>
      <c r="V160" s="10"/>
      <c r="W160" s="10"/>
      <c r="X160" s="10"/>
      <c r="Y160" s="10"/>
      <c r="Z160" s="10"/>
      <c r="AA160" s="10"/>
      <c r="AB160" s="10"/>
    </row>
    <row r="161" spans="1:28" ht="14.25" customHeight="1" x14ac:dyDescent="0.25">
      <c r="A161" s="972">
        <v>1</v>
      </c>
      <c r="B161" s="11"/>
      <c r="C161" s="10"/>
      <c r="D161" s="10"/>
      <c r="E161" s="10"/>
      <c r="F161" s="13"/>
      <c r="G161" s="1839"/>
      <c r="H161" s="1839"/>
      <c r="I161" s="1839"/>
      <c r="J161" s="1839"/>
      <c r="K161" s="1839"/>
      <c r="L161" s="37"/>
      <c r="M161" s="10"/>
      <c r="N161" s="10"/>
      <c r="O161" s="561"/>
      <c r="P161" s="562"/>
      <c r="Q161" s="562"/>
      <c r="R161" s="2"/>
      <c r="S161" s="2"/>
      <c r="T161" s="2"/>
      <c r="U161" s="2"/>
      <c r="V161" s="3"/>
      <c r="W161" s="10"/>
      <c r="X161" s="10"/>
      <c r="Y161" s="10"/>
      <c r="Z161" s="10"/>
      <c r="AA161" s="10"/>
      <c r="AB161" s="10"/>
    </row>
    <row r="162" spans="1:28" ht="14.25" customHeight="1" x14ac:dyDescent="0.3">
      <c r="A162" s="972">
        <v>1</v>
      </c>
      <c r="B162" s="11"/>
      <c r="C162" s="10"/>
      <c r="D162" s="10"/>
      <c r="E162" s="10"/>
      <c r="F162" s="13"/>
      <c r="G162" s="1839"/>
      <c r="H162" s="1839"/>
      <c r="I162" s="1839"/>
      <c r="J162" s="1839"/>
      <c r="K162" s="1839"/>
      <c r="L162" s="37"/>
      <c r="M162" s="10"/>
      <c r="N162" s="10"/>
      <c r="O162" s="567"/>
      <c r="P162" s="246"/>
      <c r="Q162" s="568" t="str">
        <f>IF(SUM(A164:A171)=1,"Market Rent Conclusion","Market Rent Conclusions")</f>
        <v>Market Rent Conclusions</v>
      </c>
      <c r="R162" s="246"/>
      <c r="S162" s="246"/>
      <c r="T162" s="246"/>
      <c r="U162" s="246"/>
      <c r="V162" s="1732"/>
      <c r="W162" s="10"/>
      <c r="X162" s="10"/>
      <c r="Y162" s="10"/>
      <c r="Z162" s="10"/>
      <c r="AA162" s="10"/>
      <c r="AB162" s="10"/>
    </row>
    <row r="163" spans="1:28" ht="14.25" customHeight="1" x14ac:dyDescent="0.25">
      <c r="A163" s="972">
        <v>1</v>
      </c>
      <c r="B163" s="11"/>
      <c r="C163" s="10"/>
      <c r="D163" s="10"/>
      <c r="E163" s="10"/>
      <c r="F163" s="13"/>
      <c r="G163" s="1839"/>
      <c r="H163" s="1839"/>
      <c r="I163" s="1839"/>
      <c r="J163" s="1839"/>
      <c r="K163" s="1839"/>
      <c r="L163" s="37"/>
      <c r="M163" s="10"/>
      <c r="N163" s="10"/>
      <c r="O163" s="563"/>
      <c r="P163" s="150"/>
      <c r="Q163" s="12" t="s">
        <v>315</v>
      </c>
      <c r="R163" s="55" t="s">
        <v>20</v>
      </c>
      <c r="S163" s="55" t="s">
        <v>319</v>
      </c>
      <c r="T163" s="55" t="s">
        <v>742</v>
      </c>
      <c r="U163" s="150"/>
      <c r="V163" s="128"/>
      <c r="W163" s="10"/>
      <c r="X163" s="10"/>
      <c r="Y163" s="10"/>
      <c r="Z163" s="10"/>
      <c r="AA163" s="10"/>
      <c r="AB163" s="10"/>
    </row>
    <row r="164" spans="1:28" ht="14.25" customHeight="1" x14ac:dyDescent="0.25">
      <c r="A164" s="972">
        <f>IF(Q164="",0,1)</f>
        <v>0</v>
      </c>
      <c r="B164" s="11"/>
      <c r="C164" s="10"/>
      <c r="D164" s="10"/>
      <c r="E164" s="10"/>
      <c r="F164" s="13"/>
      <c r="G164" s="1839"/>
      <c r="H164" s="1839"/>
      <c r="I164" s="1839"/>
      <c r="J164" s="1839"/>
      <c r="K164" s="1839"/>
      <c r="L164" s="37"/>
      <c r="M164" s="10"/>
      <c r="N164" s="10"/>
      <c r="O164" s="563"/>
      <c r="P164" s="114"/>
      <c r="Q164" s="1731"/>
      <c r="R164" s="1481" t="e">
        <f t="shared" ref="R164:R171" si="47">VLOOKUP($Q164,Income_DirectCap_AssumpMatrix,2,FALSE)</f>
        <v>#N/A</v>
      </c>
      <c r="S164" s="1174" t="e">
        <f t="shared" ref="S164:S171" si="48">VLOOKUP($Q164,Income_DirectCap_AssumpMatrix,3,FALSE)</f>
        <v>#N/A</v>
      </c>
      <c r="T164" s="875" t="e">
        <f t="shared" ref="T164:T171" si="49">VLOOKUP($Q164,Income_DirectCap_AssumpMatrix,5,FALSE)</f>
        <v>#N/A</v>
      </c>
      <c r="U164" s="130"/>
      <c r="V164" s="6"/>
      <c r="W164" s="10"/>
      <c r="X164" s="10"/>
      <c r="Y164" s="10"/>
      <c r="Z164" s="10"/>
      <c r="AA164" s="10"/>
      <c r="AB164" s="10"/>
    </row>
    <row r="165" spans="1:28" ht="14.25" customHeight="1" x14ac:dyDescent="0.25">
      <c r="A165" s="972">
        <f t="shared" ref="A165:A171" si="50">IF(Q165="",0,1)</f>
        <v>0</v>
      </c>
      <c r="B165" s="11"/>
      <c r="C165" s="10"/>
      <c r="D165" s="10"/>
      <c r="E165" s="10"/>
      <c r="F165" s="13"/>
      <c r="G165" s="1839"/>
      <c r="H165" s="1839"/>
      <c r="I165" s="1839"/>
      <c r="J165" s="1839"/>
      <c r="K165" s="1839"/>
      <c r="L165" s="37"/>
      <c r="M165" s="10"/>
      <c r="N165" s="10"/>
      <c r="O165" s="563"/>
      <c r="P165" s="114"/>
      <c r="Q165" s="1671"/>
      <c r="R165" s="1481" t="e">
        <f t="shared" si="47"/>
        <v>#N/A</v>
      </c>
      <c r="S165" s="1174" t="e">
        <f t="shared" si="48"/>
        <v>#N/A</v>
      </c>
      <c r="T165" s="875" t="e">
        <f t="shared" si="49"/>
        <v>#N/A</v>
      </c>
      <c r="U165" s="130"/>
      <c r="V165" s="6"/>
      <c r="W165" s="10"/>
      <c r="X165" s="10"/>
      <c r="Y165" s="10"/>
      <c r="Z165" s="10"/>
      <c r="AA165" s="10"/>
      <c r="AB165" s="10"/>
    </row>
    <row r="166" spans="1:28" ht="14.25" customHeight="1" x14ac:dyDescent="0.25">
      <c r="A166" s="972">
        <f t="shared" si="50"/>
        <v>0</v>
      </c>
      <c r="B166" s="11"/>
      <c r="C166" s="10"/>
      <c r="D166" s="10"/>
      <c r="E166" s="10"/>
      <c r="F166" s="13"/>
      <c r="G166" s="1839"/>
      <c r="H166" s="1839"/>
      <c r="I166" s="1839"/>
      <c r="J166" s="1839"/>
      <c r="K166" s="1839"/>
      <c r="L166" s="37"/>
      <c r="M166" s="10"/>
      <c r="N166" s="10"/>
      <c r="O166" s="563"/>
      <c r="P166" s="114"/>
      <c r="Q166" s="1671"/>
      <c r="R166" s="1481" t="e">
        <f t="shared" si="47"/>
        <v>#N/A</v>
      </c>
      <c r="S166" s="1174" t="e">
        <f t="shared" si="48"/>
        <v>#N/A</v>
      </c>
      <c r="T166" s="875" t="e">
        <f t="shared" si="49"/>
        <v>#N/A</v>
      </c>
      <c r="U166" s="130"/>
      <c r="V166" s="6"/>
      <c r="W166" s="10"/>
      <c r="X166" s="10"/>
      <c r="Y166" s="10"/>
      <c r="Z166" s="10"/>
      <c r="AA166" s="10"/>
      <c r="AB166" s="10"/>
    </row>
    <row r="167" spans="1:28" ht="14.25" customHeight="1" x14ac:dyDescent="0.25">
      <c r="A167" s="972">
        <f t="shared" si="50"/>
        <v>0</v>
      </c>
      <c r="B167" s="11"/>
      <c r="C167" s="10"/>
      <c r="D167" s="10"/>
      <c r="E167" s="10"/>
      <c r="F167" s="13"/>
      <c r="G167" s="1839"/>
      <c r="H167" s="1839"/>
      <c r="I167" s="1839"/>
      <c r="J167" s="1839"/>
      <c r="K167" s="1839"/>
      <c r="L167" s="37"/>
      <c r="M167" s="10"/>
      <c r="N167" s="10"/>
      <c r="O167" s="563"/>
      <c r="P167" s="114"/>
      <c r="Q167" s="1671"/>
      <c r="R167" s="1481" t="e">
        <f t="shared" si="47"/>
        <v>#N/A</v>
      </c>
      <c r="S167" s="1174" t="e">
        <f t="shared" si="48"/>
        <v>#N/A</v>
      </c>
      <c r="T167" s="875" t="e">
        <f t="shared" si="49"/>
        <v>#N/A</v>
      </c>
      <c r="U167" s="130"/>
      <c r="V167" s="6"/>
      <c r="W167" s="10"/>
      <c r="X167" s="10"/>
      <c r="Y167" s="10"/>
      <c r="Z167" s="10"/>
      <c r="AA167" s="10"/>
      <c r="AB167" s="10"/>
    </row>
    <row r="168" spans="1:28" ht="14.25" customHeight="1" x14ac:dyDescent="0.25">
      <c r="A168" s="972">
        <f t="shared" si="50"/>
        <v>0</v>
      </c>
      <c r="B168" s="11"/>
      <c r="C168" s="10"/>
      <c r="D168" s="10"/>
      <c r="E168" s="10"/>
      <c r="F168" s="13"/>
      <c r="G168" s="1839"/>
      <c r="H168" s="1839"/>
      <c r="I168" s="1839"/>
      <c r="J168" s="1839"/>
      <c r="K168" s="1839"/>
      <c r="L168" s="37"/>
      <c r="M168" s="10"/>
      <c r="N168" s="10"/>
      <c r="O168" s="563"/>
      <c r="P168" s="114"/>
      <c r="Q168" s="1671"/>
      <c r="R168" s="1481" t="e">
        <f t="shared" si="47"/>
        <v>#N/A</v>
      </c>
      <c r="S168" s="1174" t="e">
        <f t="shared" si="48"/>
        <v>#N/A</v>
      </c>
      <c r="T168" s="875" t="e">
        <f t="shared" si="49"/>
        <v>#N/A</v>
      </c>
      <c r="U168" s="130"/>
      <c r="V168" s="6"/>
      <c r="W168" s="10"/>
      <c r="X168" s="10"/>
      <c r="Y168" s="10"/>
      <c r="Z168" s="10"/>
      <c r="AA168" s="10"/>
      <c r="AB168" s="10"/>
    </row>
    <row r="169" spans="1:28" ht="14.25" customHeight="1" x14ac:dyDescent="0.25">
      <c r="A169" s="972">
        <f t="shared" si="50"/>
        <v>0</v>
      </c>
      <c r="B169" s="11"/>
      <c r="C169" s="10"/>
      <c r="D169" s="10"/>
      <c r="E169" s="10"/>
      <c r="F169" s="13"/>
      <c r="G169" s="1839"/>
      <c r="H169" s="1839"/>
      <c r="I169" s="1839"/>
      <c r="J169" s="1839"/>
      <c r="K169" s="1839"/>
      <c r="L169" s="37"/>
      <c r="M169" s="10"/>
      <c r="N169" s="10"/>
      <c r="O169" s="563"/>
      <c r="P169" s="114"/>
      <c r="Q169" s="1671"/>
      <c r="R169" s="1481" t="e">
        <f t="shared" si="47"/>
        <v>#N/A</v>
      </c>
      <c r="S169" s="1174" t="e">
        <f t="shared" si="48"/>
        <v>#N/A</v>
      </c>
      <c r="T169" s="875" t="e">
        <f t="shared" si="49"/>
        <v>#N/A</v>
      </c>
      <c r="U169" s="130"/>
      <c r="V169" s="6"/>
      <c r="W169" s="10"/>
      <c r="X169" s="10"/>
      <c r="Y169" s="10"/>
      <c r="Z169" s="10"/>
      <c r="AA169" s="10"/>
      <c r="AB169" s="10"/>
    </row>
    <row r="170" spans="1:28" ht="14.25" customHeight="1" x14ac:dyDescent="0.25">
      <c r="A170" s="972">
        <f t="shared" si="50"/>
        <v>0</v>
      </c>
      <c r="B170" s="11"/>
      <c r="C170" s="10"/>
      <c r="D170" s="10"/>
      <c r="E170" s="10"/>
      <c r="F170" s="13"/>
      <c r="G170" s="1839"/>
      <c r="H170" s="1839"/>
      <c r="I170" s="1839"/>
      <c r="J170" s="1839"/>
      <c r="K170" s="1839"/>
      <c r="L170" s="37"/>
      <c r="M170" s="10"/>
      <c r="N170" s="10"/>
      <c r="O170" s="563"/>
      <c r="P170" s="114"/>
      <c r="Q170" s="1671"/>
      <c r="R170" s="1481" t="e">
        <f t="shared" si="47"/>
        <v>#N/A</v>
      </c>
      <c r="S170" s="1174" t="e">
        <f t="shared" si="48"/>
        <v>#N/A</v>
      </c>
      <c r="T170" s="875" t="e">
        <f t="shared" si="49"/>
        <v>#N/A</v>
      </c>
      <c r="U170" s="130"/>
      <c r="V170" s="6"/>
      <c r="W170" s="10"/>
      <c r="X170" s="10"/>
      <c r="Y170" s="10"/>
      <c r="Z170" s="10"/>
      <c r="AA170" s="10"/>
      <c r="AB170" s="10"/>
    </row>
    <row r="171" spans="1:28" ht="14.25" customHeight="1" thickBot="1" x14ac:dyDescent="0.3">
      <c r="A171" s="972">
        <f t="shared" si="50"/>
        <v>0</v>
      </c>
      <c r="B171" s="11"/>
      <c r="C171" s="10"/>
      <c r="D171" s="10"/>
      <c r="E171" s="10"/>
      <c r="F171" s="13"/>
      <c r="G171" s="1839"/>
      <c r="H171" s="1839"/>
      <c r="I171" s="1839"/>
      <c r="J171" s="1839"/>
      <c r="K171" s="1839"/>
      <c r="L171" s="37"/>
      <c r="M171" s="10"/>
      <c r="N171" s="10"/>
      <c r="O171" s="563"/>
      <c r="P171" s="114"/>
      <c r="Q171" s="1730"/>
      <c r="R171" s="1484" t="e">
        <f t="shared" si="47"/>
        <v>#N/A</v>
      </c>
      <c r="S171" s="1175" t="e">
        <f t="shared" si="48"/>
        <v>#N/A</v>
      </c>
      <c r="T171" s="875" t="e">
        <f t="shared" si="49"/>
        <v>#N/A</v>
      </c>
      <c r="U171" s="130"/>
      <c r="V171" s="6"/>
      <c r="W171" s="10"/>
      <c r="X171" s="10"/>
      <c r="Y171" s="10"/>
      <c r="Z171" s="10"/>
      <c r="AA171" s="10"/>
      <c r="AB171" s="10"/>
    </row>
    <row r="172" spans="1:28" ht="14.25" customHeight="1" thickBot="1" x14ac:dyDescent="0.3">
      <c r="A172" s="972">
        <v>1</v>
      </c>
      <c r="B172" s="11"/>
      <c r="C172" s="10"/>
      <c r="D172" s="10"/>
      <c r="E172" s="10"/>
      <c r="F172" s="13"/>
      <c r="G172" s="1839"/>
      <c r="H172" s="1839"/>
      <c r="I172" s="1839"/>
      <c r="J172" s="1839"/>
      <c r="K172" s="1839"/>
      <c r="L172" s="37"/>
      <c r="M172" s="10"/>
      <c r="N172" s="10"/>
      <c r="O172" s="564"/>
      <c r="P172" s="565"/>
      <c r="Q172" s="741" t="s">
        <v>1595</v>
      </c>
      <c r="R172" s="133"/>
      <c r="S172" s="133"/>
      <c r="T172" s="133"/>
      <c r="U172" s="7"/>
      <c r="V172" s="9"/>
      <c r="W172" s="10"/>
      <c r="X172" s="10"/>
      <c r="Y172" s="10"/>
      <c r="Z172" s="10"/>
      <c r="AA172" s="10"/>
      <c r="AB172" s="10"/>
    </row>
    <row r="173" spans="1:28" ht="14.25" customHeight="1" x14ac:dyDescent="0.25">
      <c r="A173" s="243"/>
      <c r="B173" s="11"/>
      <c r="C173" s="10"/>
      <c r="D173" s="10"/>
      <c r="E173" s="10"/>
      <c r="F173" s="13"/>
      <c r="G173" s="1839"/>
      <c r="H173" s="1839"/>
      <c r="I173" s="1839"/>
      <c r="J173" s="1839"/>
      <c r="K173" s="1839"/>
      <c r="L173" s="37"/>
      <c r="M173" s="10"/>
      <c r="N173" s="10"/>
      <c r="O173" s="10"/>
      <c r="P173" s="10"/>
      <c r="Q173" s="10"/>
      <c r="R173" s="10"/>
      <c r="S173" s="10"/>
      <c r="T173" s="10"/>
      <c r="U173" s="10"/>
      <c r="V173" s="10"/>
      <c r="W173" s="10"/>
      <c r="X173" s="10"/>
      <c r="Y173" s="10"/>
      <c r="Z173" s="10"/>
      <c r="AA173" s="10"/>
      <c r="AB173" s="10"/>
    </row>
    <row r="174" spans="1:28" ht="14.25" customHeight="1" x14ac:dyDescent="0.25">
      <c r="A174" s="243"/>
      <c r="B174" s="11"/>
      <c r="C174" s="10"/>
      <c r="D174" s="10"/>
      <c r="E174" s="10"/>
      <c r="F174" s="13"/>
      <c r="G174" s="1839"/>
      <c r="H174" s="1839"/>
      <c r="I174" s="1839"/>
      <c r="J174" s="1839"/>
      <c r="K174" s="1839"/>
      <c r="L174" s="37"/>
      <c r="M174" s="10"/>
      <c r="N174" s="10"/>
      <c r="O174" s="10"/>
      <c r="P174" s="10"/>
      <c r="Q174" s="10"/>
      <c r="R174" s="10"/>
      <c r="S174" s="10"/>
      <c r="T174" s="10"/>
      <c r="U174" s="10"/>
      <c r="V174" s="10"/>
      <c r="W174" s="10"/>
      <c r="X174" s="10"/>
      <c r="Y174" s="10"/>
      <c r="Z174" s="10"/>
      <c r="AA174" s="10"/>
      <c r="AB174" s="10"/>
    </row>
    <row r="175" spans="1:28" ht="14.25" customHeight="1" x14ac:dyDescent="0.25">
      <c r="A175" s="243"/>
      <c r="B175" s="11"/>
      <c r="C175" s="10"/>
      <c r="D175" s="10"/>
      <c r="E175" s="10"/>
      <c r="F175" s="13"/>
      <c r="G175" s="1839"/>
      <c r="H175" s="1839"/>
      <c r="I175" s="1839"/>
      <c r="J175" s="1839"/>
      <c r="K175" s="1839"/>
      <c r="L175" s="37"/>
      <c r="M175" s="10"/>
      <c r="N175" s="10"/>
      <c r="O175" s="10"/>
      <c r="P175" s="10"/>
      <c r="Q175" s="10"/>
      <c r="R175" s="10"/>
      <c r="S175" s="10"/>
      <c r="T175" s="10"/>
      <c r="U175" s="10"/>
      <c r="V175" s="10"/>
      <c r="W175" s="10"/>
      <c r="X175" s="10"/>
      <c r="Y175" s="10"/>
      <c r="Z175" s="10"/>
      <c r="AA175" s="10"/>
      <c r="AB175" s="10"/>
    </row>
  </sheetData>
  <mergeCells count="1">
    <mergeCell ref="Q50:Q51"/>
  </mergeCells>
  <dataValidations count="2">
    <dataValidation type="list" allowBlank="1" showInputMessage="1" showErrorMessage="1" error="Invalid Option - Please Select from the List" prompt="Select Preferred Quality Rating Type" sqref="D80" xr:uid="{00000000-0002-0000-2A00-000000000000}">
      <formula1>QualityList</formula1>
    </dataValidation>
    <dataValidation type="list" errorStyle="warning" allowBlank="1" showInputMessage="1" showErrorMessage="1" error="Invalid Option - Please Select from the List" prompt="Select Space Type (List Populates Based on Income Assumptions Entries)" sqref="Q164:Q171" xr:uid="{00000000-0002-0000-2A00-000001000000}">
      <formula1>Income_SpaceTypeSelectionRange</formula1>
    </dataValidation>
  </dataValidations>
  <printOptions horizontalCentered="1"/>
  <pageMargins left="0.5" right="0.5" top="0.75" bottom="0.75" header="0.3" footer="0.3"/>
  <pageSetup orientation="landscape"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error="Invalid Option - Please Select from the List" prompt="Select Date Lease Signed or Commences for Market Conditions Adjustment" xr:uid="{00000000-0002-0000-2A00-000002000000}">
          <x14:formula1>
            <xm:f>'Selection Tables'!$D$35:$D$36</xm:f>
          </x14:formula1>
          <xm:sqref>Q11</xm:sqref>
        </x14:dataValidation>
        <x14:dataValidation type="list" allowBlank="1" showInputMessage="1" showErrorMessage="1" error="Invalid Option - Please Select from the List" prompt="Select Whether Tenant Name Should Show or Hide" xr:uid="{00000000-0002-0000-2A00-000003000000}">
          <x14:formula1>
            <xm:f>'Selection Tables'!$D$25:$D$26</xm:f>
          </x14:formula1>
          <xm:sqref>Q16</xm:sqref>
        </x14:dataValidation>
        <x14:dataValidation type="list" allowBlank="1" showInputMessage="1" showErrorMessage="1" error="Invalid Option - Please Select from the List" prompt="Select Date of Value for Market Rent to be used in Rent Adjustment Grid" xr:uid="{00000000-0002-0000-2A00-000004000000}">
          <x14:formula1>
            <xm:f>'Selection Tables'!$G$9:$G$11</xm:f>
          </x14:formula1>
          <xm:sqref>F11</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68">
    <tabColor theme="5" tint="-0.249977111117893"/>
  </sheetPr>
  <dimension ref="A1:AB174"/>
  <sheetViews>
    <sheetView workbookViewId="0">
      <selection activeCell="L159" sqref="L159"/>
    </sheetView>
  </sheetViews>
  <sheetFormatPr defaultRowHeight="14.25" x14ac:dyDescent="0.25"/>
  <cols>
    <col min="1" max="1" width="5.7109375" customWidth="1"/>
    <col min="2" max="2" width="1.7109375" customWidth="1"/>
    <col min="3" max="3" width="0.85546875" customWidth="1"/>
    <col min="4" max="4" width="17.7109375" customWidth="1"/>
    <col min="5" max="5" width="8.7109375" customWidth="1"/>
    <col min="6" max="6" width="16.28515625" customWidth="1"/>
    <col min="7" max="11" width="16.7109375" style="1875" customWidth="1"/>
    <col min="12" max="12" width="15.7109375" style="2047" customWidth="1"/>
    <col min="13" max="13" width="0.85546875" customWidth="1"/>
    <col min="14" max="15" width="1.7109375" customWidth="1"/>
    <col min="16" max="16" width="0.85546875" customWidth="1"/>
    <col min="17" max="17" width="30.7109375" customWidth="1"/>
    <col min="18" max="18" width="15.7109375" customWidth="1"/>
    <col min="19" max="20" width="17.7109375" customWidth="1"/>
    <col min="21" max="21" width="0.85546875" customWidth="1"/>
    <col min="22" max="22" width="1.7109375" customWidth="1"/>
    <col min="23" max="115" width="8.85546875" customWidth="1"/>
  </cols>
  <sheetData>
    <row r="1" spans="1:28" ht="60" customHeight="1" x14ac:dyDescent="0.25">
      <c r="A1" s="243"/>
      <c r="B1" s="11"/>
      <c r="C1" s="10"/>
      <c r="D1" s="10"/>
      <c r="E1" s="10"/>
      <c r="F1" s="13"/>
      <c r="G1" s="1839"/>
      <c r="H1" s="1839"/>
      <c r="I1" s="1839"/>
      <c r="J1" s="1839"/>
      <c r="K1" s="1839"/>
      <c r="L1" s="37"/>
      <c r="M1" s="10"/>
      <c r="N1" s="10"/>
      <c r="O1" s="10"/>
      <c r="P1" s="10"/>
      <c r="Q1" s="10"/>
      <c r="R1" s="10"/>
      <c r="S1" s="10"/>
      <c r="T1" s="10"/>
      <c r="U1" s="10"/>
      <c r="V1" s="10"/>
      <c r="W1" s="10"/>
      <c r="X1" s="10"/>
      <c r="Y1" s="10"/>
      <c r="Z1" s="10"/>
      <c r="AA1" s="10"/>
      <c r="AB1" s="10"/>
    </row>
    <row r="2" spans="1:28" ht="15.95" customHeight="1" x14ac:dyDescent="0.25">
      <c r="A2" s="243"/>
      <c r="B2" s="32"/>
      <c r="C2" s="32"/>
      <c r="D2" s="569"/>
      <c r="E2" s="569"/>
      <c r="F2" s="569"/>
      <c r="G2" s="751"/>
      <c r="H2" s="1909"/>
      <c r="I2" s="1839"/>
      <c r="J2" s="1839"/>
      <c r="K2" s="1839"/>
      <c r="L2" s="37"/>
      <c r="M2" s="10"/>
      <c r="N2" s="10"/>
      <c r="O2" s="10"/>
      <c r="P2" s="10"/>
      <c r="Q2" s="10"/>
      <c r="R2" s="10"/>
      <c r="S2" s="10"/>
      <c r="T2" s="10"/>
      <c r="U2" s="10"/>
      <c r="V2" s="10"/>
      <c r="W2" s="10"/>
      <c r="X2" s="10"/>
      <c r="Y2" s="10"/>
      <c r="Z2" s="10"/>
      <c r="AA2" s="10"/>
      <c r="AB2" s="10"/>
    </row>
    <row r="3" spans="1:28" ht="15.95" customHeight="1" x14ac:dyDescent="0.25">
      <c r="A3" s="243"/>
      <c r="B3" s="32"/>
      <c r="C3" s="32"/>
      <c r="D3" s="569"/>
      <c r="E3" s="569"/>
      <c r="F3" s="569"/>
      <c r="G3" s="751"/>
      <c r="H3" s="1909"/>
      <c r="I3" s="1839"/>
      <c r="J3" s="1839"/>
      <c r="K3" s="1839"/>
      <c r="L3" s="37"/>
      <c r="M3" s="10"/>
      <c r="N3" s="10"/>
      <c r="O3" s="10"/>
      <c r="P3" s="10"/>
      <c r="Q3" s="10"/>
      <c r="R3" s="10"/>
      <c r="S3" s="10"/>
      <c r="T3" s="10"/>
      <c r="U3" s="10"/>
      <c r="V3" s="10"/>
      <c r="W3" s="10"/>
      <c r="X3" s="10"/>
      <c r="Y3" s="10"/>
      <c r="Z3" s="10"/>
      <c r="AA3" s="10"/>
      <c r="AB3" s="10"/>
    </row>
    <row r="4" spans="1:28" ht="15.95" customHeight="1" x14ac:dyDescent="0.25">
      <c r="A4" s="243"/>
      <c r="B4" s="32"/>
      <c r="C4" s="32"/>
      <c r="D4" s="569"/>
      <c r="E4" s="569"/>
      <c r="F4" s="569"/>
      <c r="G4" s="751"/>
      <c r="H4" s="1909"/>
      <c r="I4" s="1839"/>
      <c r="J4" s="1839"/>
      <c r="K4" s="1839"/>
      <c r="L4" s="37"/>
      <c r="M4" s="10"/>
      <c r="N4" s="10"/>
      <c r="O4" s="10"/>
      <c r="P4" s="10"/>
      <c r="Q4" s="10"/>
      <c r="R4" s="10"/>
      <c r="S4" s="10"/>
      <c r="T4" s="10"/>
      <c r="U4" s="10"/>
      <c r="V4" s="10"/>
      <c r="W4" s="10"/>
      <c r="X4" s="10"/>
      <c r="Y4" s="10"/>
      <c r="Z4" s="10"/>
      <c r="AA4" s="10"/>
      <c r="AB4" s="10"/>
    </row>
    <row r="5" spans="1:28" ht="15.95" customHeight="1" thickBot="1" x14ac:dyDescent="0.3">
      <c r="A5" s="243"/>
      <c r="B5" s="32"/>
      <c r="C5" s="32"/>
      <c r="D5" s="1391"/>
      <c r="E5" s="1391"/>
      <c r="F5" s="1391"/>
      <c r="G5" s="1529"/>
      <c r="H5" s="1909"/>
      <c r="I5" s="1839"/>
      <c r="J5" s="1839"/>
      <c r="K5" s="1839"/>
      <c r="L5" s="37"/>
      <c r="M5" s="10"/>
      <c r="N5" s="10"/>
      <c r="O5" s="10"/>
      <c r="P5" s="10"/>
      <c r="Q5" s="10"/>
      <c r="R5" s="10"/>
      <c r="S5" s="10"/>
      <c r="T5" s="10"/>
      <c r="U5" s="10"/>
      <c r="V5" s="10"/>
      <c r="W5" s="10"/>
      <c r="X5" s="10"/>
      <c r="Y5" s="10"/>
      <c r="Z5" s="10"/>
      <c r="AA5" s="10"/>
      <c r="AB5" s="10"/>
    </row>
    <row r="6" spans="1:28" ht="17.100000000000001" customHeight="1" x14ac:dyDescent="0.25">
      <c r="A6" s="243"/>
      <c r="B6" s="94"/>
      <c r="C6" s="72"/>
      <c r="D6" s="72"/>
      <c r="E6" s="72"/>
      <c r="F6" s="77"/>
      <c r="G6" s="1910"/>
      <c r="H6" s="1910"/>
      <c r="I6" s="1910"/>
      <c r="J6" s="1910"/>
      <c r="K6" s="1910"/>
      <c r="L6" s="813"/>
      <c r="M6" s="2"/>
      <c r="N6" s="3"/>
      <c r="O6" s="10"/>
      <c r="P6" s="10"/>
      <c r="Q6" s="10"/>
      <c r="R6" s="10"/>
      <c r="S6" s="10"/>
      <c r="T6" s="10"/>
      <c r="U6" s="10"/>
      <c r="V6" s="10"/>
      <c r="W6" s="10"/>
      <c r="X6" s="10"/>
      <c r="Y6" s="10"/>
      <c r="Z6" s="10"/>
      <c r="AA6" s="10"/>
      <c r="AB6" s="10"/>
    </row>
    <row r="7" spans="1:28" ht="16.5" customHeight="1" x14ac:dyDescent="0.3">
      <c r="A7" s="243"/>
      <c r="B7" s="16"/>
      <c r="C7" s="92"/>
      <c r="D7" s="514" t="str">
        <f>CONCATENATE("Rent Comparable Adjustment Grid - ",dpIncome_SpaceCategory_MarketRent_2," Space")</f>
        <v>Rent Comparable Adjustment Grid -  Space</v>
      </c>
      <c r="E7" s="97"/>
      <c r="F7" s="34"/>
      <c r="G7" s="1911"/>
      <c r="H7" s="1911"/>
      <c r="I7" s="1911"/>
      <c r="J7" s="1911"/>
      <c r="K7" s="1911"/>
      <c r="L7" s="2043"/>
      <c r="M7" s="5"/>
      <c r="N7" s="6"/>
      <c r="O7" s="10"/>
      <c r="P7" s="10"/>
      <c r="Q7" s="10"/>
      <c r="R7" s="10"/>
      <c r="S7" s="10"/>
      <c r="T7" s="10"/>
      <c r="U7" s="10"/>
      <c r="V7" s="10"/>
      <c r="W7" s="10"/>
      <c r="X7" s="10"/>
      <c r="Y7" s="10"/>
      <c r="Z7" s="10"/>
      <c r="AA7" s="10"/>
      <c r="AB7" s="10"/>
    </row>
    <row r="8" spans="1:28" ht="14.25" customHeight="1" x14ac:dyDescent="0.25">
      <c r="A8" s="243"/>
      <c r="B8" s="16"/>
      <c r="C8" s="42"/>
      <c r="D8" s="41"/>
      <c r="E8" s="41"/>
      <c r="F8" s="41"/>
      <c r="G8" s="1912">
        <v>1</v>
      </c>
      <c r="H8" s="1912">
        <v>2</v>
      </c>
      <c r="I8" s="1912">
        <v>3</v>
      </c>
      <c r="J8" s="1912">
        <v>4</v>
      </c>
      <c r="K8" s="1912">
        <v>5</v>
      </c>
      <c r="L8" s="1946">
        <v>6</v>
      </c>
      <c r="M8" s="438"/>
      <c r="N8" s="6"/>
      <c r="O8" s="10"/>
      <c r="P8" s="10"/>
      <c r="Q8" s="633"/>
      <c r="R8" s="10"/>
      <c r="S8" s="10"/>
      <c r="T8" s="10"/>
      <c r="U8" s="10"/>
      <c r="V8" s="10"/>
      <c r="W8" s="10"/>
      <c r="X8" s="10"/>
      <c r="Y8" s="10"/>
      <c r="Z8" s="10"/>
      <c r="AA8" s="10"/>
      <c r="AB8" s="10"/>
    </row>
    <row r="9" spans="1:28" ht="5.0999999999999996" customHeight="1" x14ac:dyDescent="0.25">
      <c r="A9" s="243"/>
      <c r="B9" s="16"/>
      <c r="C9" s="130"/>
      <c r="D9" s="130"/>
      <c r="E9" s="522"/>
      <c r="F9" s="1127"/>
      <c r="G9" s="1913"/>
      <c r="H9" s="1913"/>
      <c r="I9" s="1913"/>
      <c r="J9" s="1913"/>
      <c r="K9" s="1913"/>
      <c r="L9" s="1120"/>
      <c r="M9" s="101"/>
      <c r="N9" s="6"/>
      <c r="O9" s="10"/>
      <c r="P9" s="10"/>
      <c r="Q9" s="633"/>
      <c r="R9" s="10"/>
      <c r="S9" s="10"/>
      <c r="T9" s="10"/>
      <c r="U9" s="10"/>
      <c r="V9" s="10"/>
      <c r="W9" s="10"/>
      <c r="X9" s="10"/>
      <c r="Y9" s="10"/>
      <c r="Z9" s="10"/>
      <c r="AA9" s="10"/>
      <c r="AB9" s="10"/>
    </row>
    <row r="10" spans="1:28" ht="15" customHeight="1" thickBot="1" x14ac:dyDescent="0.3">
      <c r="A10" s="243"/>
      <c r="B10" s="16"/>
      <c r="C10" s="130"/>
      <c r="D10" s="522" t="s">
        <v>281</v>
      </c>
      <c r="E10" s="522"/>
      <c r="F10" s="1127"/>
      <c r="G10" s="1846"/>
      <c r="H10" s="1846"/>
      <c r="I10" s="1846"/>
      <c r="J10" s="1846"/>
      <c r="K10" s="1846"/>
      <c r="L10" s="1128"/>
      <c r="M10" s="101"/>
      <c r="N10" s="6"/>
      <c r="O10" s="10"/>
      <c r="P10" s="10"/>
      <c r="Q10" s="150" t="s">
        <v>1352</v>
      </c>
      <c r="R10" s="10"/>
      <c r="S10" s="10"/>
      <c r="T10" s="10"/>
      <c r="U10" s="10"/>
      <c r="V10" s="10"/>
      <c r="W10" s="10"/>
      <c r="X10" s="10"/>
      <c r="Y10" s="10"/>
      <c r="Z10" s="10"/>
      <c r="AA10" s="10"/>
      <c r="AB10" s="10"/>
    </row>
    <row r="11" spans="1:28" ht="15" customHeight="1" thickBot="1" x14ac:dyDescent="0.3">
      <c r="A11" s="972">
        <v>1</v>
      </c>
      <c r="B11" s="16"/>
      <c r="C11" s="130"/>
      <c r="D11" s="522" t="s">
        <v>1585</v>
      </c>
      <c r="E11" s="522"/>
      <c r="F11" s="1048" t="s">
        <v>3</v>
      </c>
      <c r="G11" s="1847">
        <f t="shared" ref="G11:L11" si="0">IF(Income_Lease_SignCommence_2="Date Lease Signed",IF(OR(G13="",G13="N/A"),G12,G13),IF(OR(G14="",G14="N/A"),G12,G14))</f>
        <v>0</v>
      </c>
      <c r="H11" s="1847">
        <f t="shared" si="0"/>
        <v>0</v>
      </c>
      <c r="I11" s="1847">
        <f t="shared" si="0"/>
        <v>0</v>
      </c>
      <c r="J11" s="1847">
        <f t="shared" si="0"/>
        <v>0</v>
      </c>
      <c r="K11" s="1847">
        <f t="shared" si="0"/>
        <v>0</v>
      </c>
      <c r="L11" s="1130">
        <f t="shared" si="0"/>
        <v>0</v>
      </c>
      <c r="M11" s="101"/>
      <c r="N11" s="6"/>
      <c r="O11" s="10"/>
      <c r="P11" s="10"/>
      <c r="Q11" s="706" t="s">
        <v>750</v>
      </c>
      <c r="R11" s="10"/>
      <c r="S11" s="10"/>
      <c r="T11" s="10"/>
      <c r="U11" s="10"/>
      <c r="V11" s="10"/>
      <c r="W11" s="10"/>
      <c r="X11" s="10"/>
      <c r="Y11" s="10"/>
      <c r="Z11" s="10"/>
      <c r="AA11" s="10"/>
      <c r="AB11" s="10"/>
    </row>
    <row r="12" spans="1:28" ht="14.25" customHeight="1" x14ac:dyDescent="0.25">
      <c r="A12" s="972">
        <v>0</v>
      </c>
      <c r="B12" s="16"/>
      <c r="C12" s="130"/>
      <c r="D12" s="130"/>
      <c r="E12" s="1120" t="s">
        <v>299</v>
      </c>
      <c r="F12" s="1127"/>
      <c r="G12" s="1847"/>
      <c r="H12" s="1847"/>
      <c r="I12" s="1847"/>
      <c r="J12" s="1847"/>
      <c r="K12" s="1847"/>
      <c r="L12" s="1130"/>
      <c r="M12" s="101"/>
      <c r="N12" s="6"/>
      <c r="O12" s="10"/>
      <c r="P12" s="10"/>
      <c r="Q12" s="10"/>
      <c r="R12" s="10"/>
      <c r="S12" s="10"/>
      <c r="T12" s="10"/>
      <c r="U12" s="10"/>
      <c r="V12" s="10"/>
      <c r="W12" s="10"/>
      <c r="X12" s="10"/>
      <c r="Y12" s="10"/>
      <c r="Z12" s="10"/>
      <c r="AA12" s="10"/>
      <c r="AB12" s="10"/>
    </row>
    <row r="13" spans="1:28" ht="14.25" customHeight="1" x14ac:dyDescent="0.25">
      <c r="A13" s="972">
        <v>0</v>
      </c>
      <c r="B13" s="16"/>
      <c r="C13" s="130"/>
      <c r="D13" s="130"/>
      <c r="E13" s="1120" t="s">
        <v>750</v>
      </c>
      <c r="F13" s="1127"/>
      <c r="G13" s="1847"/>
      <c r="H13" s="1847"/>
      <c r="I13" s="1847"/>
      <c r="J13" s="1847"/>
      <c r="K13" s="1847"/>
      <c r="L13" s="1130"/>
      <c r="M13" s="101"/>
      <c r="N13" s="6"/>
      <c r="O13" s="10"/>
      <c r="P13" s="10"/>
      <c r="Q13" s="10"/>
      <c r="R13" s="10"/>
      <c r="S13" s="10"/>
      <c r="T13" s="10"/>
      <c r="U13" s="10"/>
      <c r="V13" s="10"/>
      <c r="W13" s="10"/>
      <c r="X13" s="10"/>
      <c r="Y13" s="10"/>
      <c r="Z13" s="10"/>
      <c r="AA13" s="10"/>
      <c r="AB13" s="10"/>
    </row>
    <row r="14" spans="1:28" ht="14.25" customHeight="1" x14ac:dyDescent="0.25">
      <c r="A14" s="972">
        <v>0</v>
      </c>
      <c r="B14" s="16"/>
      <c r="C14" s="130"/>
      <c r="D14" s="130"/>
      <c r="E14" s="1120" t="s">
        <v>1269</v>
      </c>
      <c r="F14" s="1127"/>
      <c r="G14" s="1847"/>
      <c r="H14" s="1847"/>
      <c r="I14" s="1847"/>
      <c r="J14" s="1847"/>
      <c r="K14" s="1847"/>
      <c r="L14" s="1130"/>
      <c r="M14" s="101"/>
      <c r="N14" s="6"/>
      <c r="O14" s="10"/>
      <c r="P14" s="10"/>
      <c r="Q14" s="10"/>
      <c r="R14" s="10"/>
      <c r="S14" s="10"/>
      <c r="T14" s="10"/>
      <c r="U14" s="10"/>
      <c r="V14" s="10"/>
      <c r="W14" s="10"/>
      <c r="X14" s="10"/>
      <c r="Y14" s="10"/>
      <c r="Z14" s="10"/>
      <c r="AA14" s="10"/>
      <c r="AB14" s="10"/>
    </row>
    <row r="15" spans="1:28" ht="15" customHeight="1" thickBot="1" x14ac:dyDescent="0.3">
      <c r="A15" s="972">
        <v>1</v>
      </c>
      <c r="B15" s="16"/>
      <c r="C15" s="130"/>
      <c r="D15" s="522" t="s">
        <v>0</v>
      </c>
      <c r="E15" s="522"/>
      <c r="F15" s="1187" t="str">
        <f>Subject_PropertyName</f>
        <v>FRANKLIN INDUSTRIAL GROUP LTD</v>
      </c>
      <c r="G15" s="1780"/>
      <c r="H15" s="1780"/>
      <c r="I15" s="1780"/>
      <c r="J15" s="1780"/>
      <c r="K15" s="1780"/>
      <c r="L15" s="1119"/>
      <c r="M15" s="101"/>
      <c r="N15" s="6"/>
      <c r="O15" s="10"/>
      <c r="P15" s="10"/>
      <c r="Q15" s="150" t="s">
        <v>1021</v>
      </c>
      <c r="R15" s="10"/>
      <c r="S15" s="10"/>
      <c r="T15" s="10"/>
      <c r="U15" s="10"/>
      <c r="V15" s="10"/>
      <c r="W15" s="10"/>
      <c r="X15" s="10"/>
      <c r="Y15" s="10"/>
      <c r="Z15" s="10"/>
      <c r="AA15" s="10"/>
      <c r="AB15" s="10"/>
    </row>
    <row r="16" spans="1:28" ht="15" customHeight="1" thickBot="1" x14ac:dyDescent="0.3">
      <c r="A16" s="972">
        <f>IF(O16="Show",1,0)</f>
        <v>0</v>
      </c>
      <c r="B16" s="16"/>
      <c r="C16" s="130"/>
      <c r="D16" s="522" t="s">
        <v>400</v>
      </c>
      <c r="E16" s="522"/>
      <c r="F16" s="1187"/>
      <c r="G16" s="1780"/>
      <c r="H16" s="1780"/>
      <c r="I16" s="1780"/>
      <c r="J16" s="1780"/>
      <c r="K16" s="1780"/>
      <c r="L16" s="1119"/>
      <c r="M16" s="101"/>
      <c r="N16" s="6"/>
      <c r="O16" s="10"/>
      <c r="P16" s="10"/>
      <c r="Q16" s="702" t="s">
        <v>1013</v>
      </c>
      <c r="R16" s="12"/>
      <c r="S16" s="10"/>
      <c r="T16" s="10"/>
      <c r="U16" s="10"/>
      <c r="V16" s="10"/>
      <c r="W16" s="10"/>
      <c r="X16" s="10"/>
      <c r="Y16" s="10"/>
      <c r="Z16" s="10"/>
      <c r="AA16" s="10"/>
      <c r="AB16" s="10"/>
    </row>
    <row r="17" spans="1:28" ht="14.25" customHeight="1" x14ac:dyDescent="0.25">
      <c r="A17" s="972">
        <v>1</v>
      </c>
      <c r="B17" s="16"/>
      <c r="C17" s="130"/>
      <c r="D17" s="522" t="s">
        <v>441</v>
      </c>
      <c r="E17" s="522"/>
      <c r="F17" s="521">
        <f>Subject_NRA</f>
        <v>209208</v>
      </c>
      <c r="G17" s="1914"/>
      <c r="H17" s="1914"/>
      <c r="I17" s="1914"/>
      <c r="J17" s="1914"/>
      <c r="K17" s="1914"/>
      <c r="L17" s="2023"/>
      <c r="M17" s="101"/>
      <c r="N17" s="6"/>
      <c r="O17" s="10"/>
      <c r="P17" s="10"/>
      <c r="Q17" s="10"/>
      <c r="R17" s="10"/>
      <c r="S17" s="10"/>
      <c r="T17" s="10"/>
      <c r="U17" s="10"/>
      <c r="V17" s="10"/>
      <c r="W17" s="10"/>
      <c r="X17" s="10"/>
      <c r="Y17" s="10"/>
      <c r="Z17" s="10"/>
      <c r="AA17" s="10"/>
      <c r="AB17" s="10"/>
    </row>
    <row r="18" spans="1:28" ht="14.25" customHeight="1" x14ac:dyDescent="0.25">
      <c r="A18" s="972">
        <v>1</v>
      </c>
      <c r="B18" s="16"/>
      <c r="C18" s="130"/>
      <c r="D18" s="522" t="s">
        <v>1067</v>
      </c>
      <c r="E18" s="522"/>
      <c r="F18" s="1136">
        <f>Subject_LandPrimary_UsableAcres</f>
        <v>0.99173553719008267</v>
      </c>
      <c r="G18" s="1913"/>
      <c r="H18" s="1913"/>
      <c r="I18" s="1913"/>
      <c r="J18" s="1913"/>
      <c r="K18" s="1913"/>
      <c r="L18" s="1120"/>
      <c r="M18" s="101"/>
      <c r="N18" s="6"/>
      <c r="O18" s="10"/>
      <c r="P18" s="10"/>
      <c r="Q18" s="10"/>
      <c r="R18" s="10"/>
      <c r="S18" s="10"/>
      <c r="T18" s="10"/>
      <c r="U18" s="10"/>
      <c r="V18" s="10"/>
      <c r="W18" s="10"/>
      <c r="X18" s="10"/>
      <c r="Y18" s="10"/>
      <c r="Z18" s="10"/>
      <c r="AA18" s="10"/>
      <c r="AB18" s="10"/>
    </row>
    <row r="19" spans="1:28" ht="14.25" customHeight="1" x14ac:dyDescent="0.25">
      <c r="A19" s="972">
        <f>IF(D19="",0,1)</f>
        <v>0</v>
      </c>
      <c r="B19" s="16"/>
      <c r="C19" s="130"/>
      <c r="D19" s="742"/>
      <c r="E19" s="742"/>
      <c r="F19" s="517"/>
      <c r="G19" s="1915"/>
      <c r="H19" s="1915"/>
      <c r="I19" s="1915"/>
      <c r="J19" s="1915"/>
      <c r="K19" s="1915"/>
      <c r="L19" s="2022"/>
      <c r="M19" s="101"/>
      <c r="N19" s="6"/>
      <c r="O19" s="10"/>
      <c r="P19" s="10"/>
      <c r="Q19" s="10"/>
      <c r="R19" s="10"/>
      <c r="S19" s="10"/>
      <c r="T19" s="10"/>
      <c r="U19" s="10"/>
      <c r="V19" s="10"/>
      <c r="W19" s="10"/>
      <c r="X19" s="10"/>
      <c r="Y19" s="10"/>
      <c r="Z19" s="10"/>
      <c r="AA19" s="10"/>
      <c r="AB19" s="10"/>
    </row>
    <row r="20" spans="1:28" ht="14.25" customHeight="1" x14ac:dyDescent="0.25">
      <c r="A20" s="972">
        <f>IF(D20="",0,1)</f>
        <v>0</v>
      </c>
      <c r="B20" s="16"/>
      <c r="C20" s="130"/>
      <c r="D20" s="742"/>
      <c r="E20" s="742"/>
      <c r="F20" s="517"/>
      <c r="G20" s="1915"/>
      <c r="H20" s="1915"/>
      <c r="I20" s="1915"/>
      <c r="J20" s="1915"/>
      <c r="K20" s="1915"/>
      <c r="L20" s="2022"/>
      <c r="M20" s="101"/>
      <c r="N20" s="6"/>
      <c r="O20" s="10"/>
      <c r="P20" s="10"/>
      <c r="Q20" s="10"/>
      <c r="R20" s="10"/>
      <c r="S20" s="10"/>
      <c r="T20" s="10"/>
      <c r="U20" s="10"/>
      <c r="V20" s="10"/>
      <c r="W20" s="10"/>
      <c r="X20" s="10"/>
      <c r="Y20" s="10"/>
      <c r="Z20" s="10"/>
      <c r="AA20" s="10"/>
      <c r="AB20" s="10"/>
    </row>
    <row r="21" spans="1:28" ht="14.25" customHeight="1" x14ac:dyDescent="0.25">
      <c r="A21" s="972">
        <v>1</v>
      </c>
      <c r="B21" s="16"/>
      <c r="C21" s="130"/>
      <c r="D21" s="1137" t="str">
        <f>IF(dpIncome_RentUnitDisplay_2="Annual","Annual Rental Rate","Monthly Rental Rate")</f>
        <v>Annual Rental Rate</v>
      </c>
      <c r="E21" s="522"/>
      <c r="F21" s="1127"/>
      <c r="G21" s="1852">
        <f t="shared" ref="G21:L21" si="1">IF(OR(G22="",G22="N/A"),G24,G22)</f>
        <v>0</v>
      </c>
      <c r="H21" s="1852">
        <f t="shared" si="1"/>
        <v>0</v>
      </c>
      <c r="I21" s="1852">
        <f t="shared" si="1"/>
        <v>0</v>
      </c>
      <c r="J21" s="1852">
        <f t="shared" si="1"/>
        <v>0</v>
      </c>
      <c r="K21" s="1852">
        <f t="shared" si="1"/>
        <v>0</v>
      </c>
      <c r="L21" s="1143">
        <f t="shared" si="1"/>
        <v>0</v>
      </c>
      <c r="M21" s="101"/>
      <c r="N21" s="6"/>
      <c r="O21" s="10"/>
      <c r="P21" s="10"/>
      <c r="Q21" s="10"/>
      <c r="R21" s="10"/>
      <c r="S21" s="10"/>
      <c r="T21" s="10"/>
      <c r="U21" s="10"/>
      <c r="V21" s="10"/>
      <c r="W21" s="10"/>
      <c r="X21" s="10"/>
      <c r="Y21" s="10"/>
      <c r="Z21" s="10"/>
      <c r="AA21" s="10"/>
      <c r="AB21" s="10"/>
    </row>
    <row r="22" spans="1:28" ht="14.25" customHeight="1" x14ac:dyDescent="0.25">
      <c r="A22" s="972">
        <v>0</v>
      </c>
      <c r="B22" s="16"/>
      <c r="C22" s="130"/>
      <c r="D22" s="130"/>
      <c r="E22" s="522"/>
      <c r="F22" s="1120" t="s">
        <v>1267</v>
      </c>
      <c r="G22" s="1916"/>
      <c r="H22" s="1917"/>
      <c r="I22" s="1916"/>
      <c r="J22" s="1916"/>
      <c r="K22" s="1916"/>
      <c r="L22" s="1140"/>
      <c r="M22" s="101"/>
      <c r="N22" s="6"/>
      <c r="O22" s="10"/>
      <c r="P22" s="10"/>
      <c r="Q22" s="10"/>
      <c r="R22" s="10"/>
      <c r="S22" s="10"/>
      <c r="T22" s="10"/>
      <c r="U22" s="10"/>
      <c r="V22" s="10"/>
      <c r="W22" s="10"/>
      <c r="X22" s="10"/>
      <c r="Y22" s="10"/>
      <c r="Z22" s="10"/>
      <c r="AA22" s="10"/>
      <c r="AB22" s="10"/>
    </row>
    <row r="23" spans="1:28" ht="14.25" customHeight="1" x14ac:dyDescent="0.25">
      <c r="A23" s="972">
        <v>0</v>
      </c>
      <c r="B23" s="16"/>
      <c r="C23" s="130"/>
      <c r="D23" s="130"/>
      <c r="E23" s="522"/>
      <c r="F23" s="1120" t="s">
        <v>1268</v>
      </c>
      <c r="G23" s="1916"/>
      <c r="H23" s="1917"/>
      <c r="I23" s="1916"/>
      <c r="J23" s="1916"/>
      <c r="K23" s="1916"/>
      <c r="L23" s="1140"/>
      <c r="M23" s="101"/>
      <c r="N23" s="6"/>
      <c r="O23" s="10"/>
      <c r="P23" s="10"/>
      <c r="Q23" s="10"/>
      <c r="R23" s="10"/>
      <c r="S23" s="10"/>
      <c r="T23" s="10"/>
      <c r="U23" s="10"/>
      <c r="V23" s="10"/>
      <c r="W23" s="10"/>
      <c r="X23" s="10"/>
      <c r="Y23" s="10"/>
      <c r="Z23" s="10"/>
      <c r="AA23" s="10"/>
      <c r="AB23" s="10"/>
    </row>
    <row r="24" spans="1:28" ht="14.25" customHeight="1" x14ac:dyDescent="0.25">
      <c r="A24" s="972">
        <v>0</v>
      </c>
      <c r="B24" s="16"/>
      <c r="C24" s="130"/>
      <c r="D24" s="130"/>
      <c r="E24" s="522"/>
      <c r="F24" s="1120" t="s">
        <v>690</v>
      </c>
      <c r="G24" s="1916"/>
      <c r="H24" s="1917"/>
      <c r="I24" s="1916"/>
      <c r="J24" s="1916"/>
      <c r="K24" s="1916"/>
      <c r="L24" s="1140"/>
      <c r="M24" s="101"/>
      <c r="N24" s="6"/>
      <c r="O24" s="10"/>
      <c r="P24" s="10"/>
      <c r="Q24" s="10"/>
      <c r="R24" s="10"/>
      <c r="S24" s="10"/>
      <c r="T24" s="10"/>
      <c r="U24" s="10"/>
      <c r="V24" s="10"/>
      <c r="W24" s="10"/>
      <c r="X24" s="10"/>
      <c r="Y24" s="10"/>
      <c r="Z24" s="10"/>
      <c r="AA24" s="10"/>
      <c r="AB24" s="10"/>
    </row>
    <row r="25" spans="1:28" ht="5.0999999999999996" customHeight="1" x14ac:dyDescent="0.25">
      <c r="A25" s="972">
        <v>1</v>
      </c>
      <c r="B25" s="16"/>
      <c r="C25" s="130"/>
      <c r="D25" s="130"/>
      <c r="E25" s="522"/>
      <c r="F25" s="1127"/>
      <c r="G25" s="1918"/>
      <c r="H25" s="1853"/>
      <c r="I25" s="1918"/>
      <c r="J25" s="1918"/>
      <c r="K25" s="1918"/>
      <c r="L25" s="1145"/>
      <c r="M25" s="101"/>
      <c r="N25" s="6"/>
      <c r="O25" s="10"/>
      <c r="P25" s="10"/>
      <c r="Q25" s="10"/>
      <c r="R25" s="10"/>
      <c r="S25" s="10"/>
      <c r="T25" s="10"/>
      <c r="U25" s="10"/>
      <c r="V25" s="10"/>
      <c r="W25" s="10"/>
      <c r="X25" s="10"/>
      <c r="Y25" s="10"/>
      <c r="Z25" s="10"/>
      <c r="AA25" s="10"/>
      <c r="AB25" s="10"/>
    </row>
    <row r="26" spans="1:28" ht="14.25" customHeight="1" x14ac:dyDescent="0.25">
      <c r="A26" s="972">
        <v>1</v>
      </c>
      <c r="B26" s="16"/>
      <c r="C26" s="130"/>
      <c r="D26" s="1206" t="s">
        <v>161</v>
      </c>
      <c r="E26" s="1137"/>
      <c r="F26" s="1127"/>
      <c r="G26" s="1854"/>
      <c r="H26" s="1854"/>
      <c r="I26" s="1854"/>
      <c r="J26" s="1854"/>
      <c r="K26" s="1854"/>
      <c r="L26" s="538"/>
      <c r="M26" s="101"/>
      <c r="N26" s="6"/>
      <c r="O26" s="10"/>
      <c r="P26" s="10"/>
      <c r="Q26" s="10"/>
      <c r="R26" s="10"/>
      <c r="S26" s="10"/>
      <c r="T26" s="10"/>
      <c r="U26" s="10"/>
      <c r="V26" s="10"/>
      <c r="W26" s="10"/>
      <c r="X26" s="10"/>
      <c r="Y26" s="10"/>
      <c r="Z26" s="10"/>
      <c r="AA26" s="10"/>
      <c r="AB26" s="10"/>
    </row>
    <row r="27" spans="1:28" x14ac:dyDescent="0.25">
      <c r="A27" s="972">
        <v>1</v>
      </c>
      <c r="B27" s="16"/>
      <c r="C27" s="130"/>
      <c r="D27" s="1489" t="s">
        <v>296</v>
      </c>
      <c r="E27" s="1120"/>
      <c r="F27" s="1166" t="str">
        <f>dpIncome_MarketRent_LeaseStructure_2</f>
        <v>Full Service</v>
      </c>
      <c r="G27" s="1919"/>
      <c r="H27" s="1789"/>
      <c r="I27" s="1919"/>
      <c r="J27" s="1919"/>
      <c r="K27" s="1919"/>
      <c r="L27" s="1168"/>
      <c r="M27" s="101"/>
      <c r="N27" s="6"/>
      <c r="O27" s="10"/>
      <c r="P27" s="10"/>
      <c r="Q27" s="10"/>
      <c r="R27" s="10"/>
      <c r="S27" s="10"/>
      <c r="T27" s="10"/>
      <c r="U27" s="10"/>
      <c r="V27" s="10"/>
      <c r="W27" s="10"/>
      <c r="X27" s="10"/>
      <c r="Y27" s="10"/>
      <c r="Z27" s="10"/>
      <c r="AA27" s="10"/>
      <c r="AB27" s="10"/>
    </row>
    <row r="28" spans="1:28" ht="14.25" customHeight="1" x14ac:dyDescent="0.25">
      <c r="A28" s="972">
        <v>1</v>
      </c>
      <c r="B28" s="16"/>
      <c r="C28" s="130"/>
      <c r="D28" s="766"/>
      <c r="E28" s="1120"/>
      <c r="F28" s="1166" t="str">
        <f>IF(dpIncome_RentUnitDisplay_2="Annual","Annual Expenses (PSF)","Monthly Expenses (PSF)")</f>
        <v>Annual Expenses (PSF)</v>
      </c>
      <c r="G28" s="1920">
        <f t="shared" ref="G28:L28" si="2">IF(dpIncome_RentUnitDisplay_2="Annual",G29,G29/12)</f>
        <v>0</v>
      </c>
      <c r="H28" s="1920">
        <f t="shared" si="2"/>
        <v>0</v>
      </c>
      <c r="I28" s="1920">
        <f t="shared" si="2"/>
        <v>0</v>
      </c>
      <c r="J28" s="1920">
        <f t="shared" si="2"/>
        <v>0</v>
      </c>
      <c r="K28" s="1920">
        <f t="shared" si="2"/>
        <v>0</v>
      </c>
      <c r="L28" s="2024">
        <f t="shared" si="2"/>
        <v>0</v>
      </c>
      <c r="M28" s="101"/>
      <c r="N28" s="6"/>
      <c r="O28" s="10"/>
      <c r="P28" s="10"/>
      <c r="Q28" s="10"/>
      <c r="R28" s="10"/>
      <c r="S28" s="10"/>
      <c r="T28" s="10"/>
      <c r="U28" s="10"/>
      <c r="V28" s="10"/>
      <c r="W28" s="10"/>
      <c r="X28" s="10"/>
      <c r="Y28" s="10"/>
      <c r="Z28" s="10"/>
      <c r="AA28" s="10"/>
      <c r="AB28" s="10"/>
    </row>
    <row r="29" spans="1:28" ht="14.25" customHeight="1" x14ac:dyDescent="0.25">
      <c r="A29" s="972">
        <v>0</v>
      </c>
      <c r="B29" s="16"/>
      <c r="C29" s="130"/>
      <c r="D29" s="766"/>
      <c r="E29" s="1120"/>
      <c r="F29" s="1120" t="s">
        <v>300</v>
      </c>
      <c r="G29" s="1917"/>
      <c r="H29" s="1785"/>
      <c r="I29" s="1917"/>
      <c r="J29" s="1917"/>
      <c r="K29" s="1917"/>
      <c r="L29" s="1950"/>
      <c r="M29" s="101"/>
      <c r="N29" s="6"/>
      <c r="O29" s="10"/>
      <c r="P29" s="10"/>
      <c r="Q29" s="10"/>
      <c r="R29" s="10"/>
      <c r="S29" s="10"/>
      <c r="T29" s="10"/>
      <c r="U29" s="10"/>
      <c r="V29" s="10"/>
      <c r="W29" s="10"/>
      <c r="X29" s="10"/>
      <c r="Y29" s="10"/>
      <c r="Z29" s="10"/>
      <c r="AA29" s="10"/>
      <c r="AB29" s="10"/>
    </row>
    <row r="30" spans="1:28" ht="14.25" customHeight="1" x14ac:dyDescent="0.25">
      <c r="A30" s="972">
        <f>IF(SUM(Rent_ExpenseReimbursementRange_2)=0,0,1)</f>
        <v>0</v>
      </c>
      <c r="B30" s="16"/>
      <c r="C30" s="130"/>
      <c r="D30" s="520" t="s">
        <v>174</v>
      </c>
      <c r="E30" s="480"/>
      <c r="F30" s="1127"/>
      <c r="G30" s="1917">
        <f t="shared" ref="G30:L30" si="3">G31</f>
        <v>0</v>
      </c>
      <c r="H30" s="1917">
        <f t="shared" si="3"/>
        <v>0</v>
      </c>
      <c r="I30" s="1917">
        <f t="shared" si="3"/>
        <v>0</v>
      </c>
      <c r="J30" s="1917">
        <f t="shared" si="3"/>
        <v>0</v>
      </c>
      <c r="K30" s="1917">
        <f t="shared" si="3"/>
        <v>0</v>
      </c>
      <c r="L30" s="1140">
        <f t="shared" si="3"/>
        <v>0</v>
      </c>
      <c r="M30" s="101"/>
      <c r="N30" s="6"/>
      <c r="O30" s="10"/>
      <c r="P30" s="10"/>
      <c r="Q30" s="10"/>
      <c r="R30" s="10"/>
      <c r="S30" s="10"/>
      <c r="T30" s="10"/>
      <c r="U30" s="10"/>
      <c r="V30" s="10"/>
      <c r="W30" s="10"/>
      <c r="X30" s="10"/>
      <c r="Y30" s="10"/>
      <c r="Z30" s="10"/>
      <c r="AA30" s="10"/>
      <c r="AB30" s="10"/>
    </row>
    <row r="31" spans="1:28" ht="14.25" customHeight="1" x14ac:dyDescent="0.25">
      <c r="A31" s="972">
        <v>0</v>
      </c>
      <c r="B31" s="16"/>
      <c r="C31" s="130"/>
      <c r="D31" s="1151"/>
      <c r="E31" s="1205"/>
      <c r="F31" s="1120" t="s">
        <v>710</v>
      </c>
      <c r="G31" s="1921"/>
      <c r="H31" s="1921"/>
      <c r="I31" s="1921"/>
      <c r="J31" s="1921"/>
      <c r="K31" s="1921"/>
      <c r="L31" s="2025"/>
      <c r="M31" s="101"/>
      <c r="N31" s="6"/>
      <c r="O31" s="10"/>
      <c r="P31" s="10"/>
      <c r="Q31" s="10"/>
      <c r="R31" s="10"/>
      <c r="S31" s="10"/>
      <c r="T31" s="10"/>
      <c r="U31" s="10"/>
      <c r="V31" s="10"/>
      <c r="W31" s="10"/>
      <c r="X31" s="10"/>
      <c r="Y31" s="10"/>
      <c r="Z31" s="10"/>
      <c r="AA31" s="10"/>
      <c r="AB31" s="10"/>
    </row>
    <row r="32" spans="1:28" ht="8.1" customHeight="1" x14ac:dyDescent="0.25">
      <c r="A32" s="972">
        <v>1</v>
      </c>
      <c r="B32" s="16"/>
      <c r="C32" s="130"/>
      <c r="D32" s="766"/>
      <c r="E32" s="480"/>
      <c r="F32" s="1127"/>
      <c r="G32" s="1918"/>
      <c r="H32" s="1853"/>
      <c r="I32" s="1918"/>
      <c r="J32" s="1918"/>
      <c r="K32" s="1918"/>
      <c r="L32" s="1145"/>
      <c r="M32" s="101"/>
      <c r="N32" s="6"/>
      <c r="O32" s="10"/>
      <c r="P32" s="10"/>
      <c r="Q32" s="10"/>
      <c r="R32" s="10"/>
      <c r="S32" s="10"/>
      <c r="T32" s="10"/>
      <c r="U32" s="10"/>
      <c r="V32" s="10"/>
      <c r="W32" s="10"/>
      <c r="X32" s="10"/>
      <c r="Y32" s="10"/>
      <c r="Z32" s="10"/>
      <c r="AA32" s="10"/>
      <c r="AB32" s="10"/>
    </row>
    <row r="33" spans="1:28" x14ac:dyDescent="0.25">
      <c r="A33" s="972">
        <v>1</v>
      </c>
      <c r="B33" s="16"/>
      <c r="C33" s="130"/>
      <c r="D33" s="1489" t="s">
        <v>295</v>
      </c>
      <c r="E33" s="480"/>
      <c r="F33" s="1170"/>
      <c r="G33" s="1920"/>
      <c r="H33" s="1790"/>
      <c r="I33" s="1920"/>
      <c r="J33" s="1920"/>
      <c r="K33" s="1920"/>
      <c r="L33" s="1952"/>
      <c r="M33" s="101"/>
      <c r="N33" s="6"/>
      <c r="O33" s="10"/>
      <c r="P33" s="10"/>
      <c r="Q33" s="10"/>
      <c r="R33" s="10"/>
      <c r="S33" s="10"/>
      <c r="T33" s="10"/>
      <c r="U33" s="10"/>
      <c r="V33" s="10"/>
      <c r="W33" s="10"/>
      <c r="X33" s="10"/>
      <c r="Y33" s="10"/>
      <c r="Z33" s="10"/>
      <c r="AA33" s="10"/>
      <c r="AB33" s="10"/>
    </row>
    <row r="34" spans="1:28" ht="14.25" customHeight="1" x14ac:dyDescent="0.25">
      <c r="A34" s="972">
        <v>1</v>
      </c>
      <c r="B34" s="16"/>
      <c r="C34" s="130"/>
      <c r="D34" s="520" t="s">
        <v>174</v>
      </c>
      <c r="E34" s="480"/>
      <c r="F34" s="1127"/>
      <c r="G34" s="1917"/>
      <c r="H34" s="1917"/>
      <c r="I34" s="1917"/>
      <c r="J34" s="1917"/>
      <c r="K34" s="1917"/>
      <c r="L34" s="1140"/>
      <c r="M34" s="101"/>
      <c r="N34" s="6"/>
      <c r="O34" s="10"/>
      <c r="P34" s="10"/>
      <c r="Q34" s="10"/>
      <c r="R34" s="10"/>
      <c r="S34" s="10"/>
      <c r="T34" s="10"/>
      <c r="U34" s="10"/>
      <c r="V34" s="10"/>
      <c r="W34" s="10"/>
      <c r="X34" s="10"/>
      <c r="Y34" s="10"/>
      <c r="Z34" s="10"/>
      <c r="AA34" s="10"/>
      <c r="AB34" s="10"/>
    </row>
    <row r="35" spans="1:28" ht="8.1" customHeight="1" x14ac:dyDescent="0.25">
      <c r="A35" s="972">
        <v>1</v>
      </c>
      <c r="B35" s="16"/>
      <c r="C35" s="130"/>
      <c r="D35" s="766"/>
      <c r="E35" s="480"/>
      <c r="F35" s="1127"/>
      <c r="G35" s="1918"/>
      <c r="H35" s="1853"/>
      <c r="I35" s="1918"/>
      <c r="J35" s="1918"/>
      <c r="K35" s="1918"/>
      <c r="L35" s="1145"/>
      <c r="M35" s="101"/>
      <c r="N35" s="6"/>
      <c r="O35" s="10"/>
      <c r="P35" s="10"/>
      <c r="Q35" s="10"/>
      <c r="R35" s="10"/>
      <c r="S35" s="10"/>
      <c r="T35" s="10"/>
      <c r="U35" s="10"/>
      <c r="V35" s="10"/>
      <c r="W35" s="10"/>
      <c r="X35" s="10"/>
      <c r="Y35" s="10"/>
      <c r="Z35" s="10"/>
      <c r="AA35" s="10"/>
      <c r="AB35" s="10"/>
    </row>
    <row r="36" spans="1:28" x14ac:dyDescent="0.25">
      <c r="A36" s="972">
        <v>1</v>
      </c>
      <c r="B36" s="16"/>
      <c r="C36" s="130"/>
      <c r="D36" s="1489" t="s">
        <v>1049</v>
      </c>
      <c r="E36" s="480"/>
      <c r="F36" s="1127"/>
      <c r="G36" s="1917"/>
      <c r="H36" s="1917"/>
      <c r="I36" s="1917"/>
      <c r="J36" s="1917"/>
      <c r="K36" s="1917"/>
      <c r="L36" s="1140"/>
      <c r="M36" s="101"/>
      <c r="N36" s="6"/>
      <c r="O36" s="10"/>
      <c r="P36" s="10"/>
      <c r="Q36" s="10"/>
      <c r="R36" s="10"/>
      <c r="S36" s="10"/>
      <c r="T36" s="10"/>
      <c r="U36" s="10"/>
      <c r="V36" s="10"/>
      <c r="W36" s="10"/>
      <c r="X36" s="10"/>
      <c r="Y36" s="10"/>
      <c r="Z36" s="10"/>
      <c r="AA36" s="10"/>
      <c r="AB36" s="10"/>
    </row>
    <row r="37" spans="1:28" ht="14.25" customHeight="1" x14ac:dyDescent="0.25">
      <c r="A37" s="972">
        <v>1</v>
      </c>
      <c r="B37" s="16"/>
      <c r="C37" s="130"/>
      <c r="D37" s="520" t="s">
        <v>174</v>
      </c>
      <c r="E37" s="480"/>
      <c r="F37" s="1120"/>
      <c r="G37" s="1917">
        <f t="shared" ref="G37:L37" si="4">G38</f>
        <v>0</v>
      </c>
      <c r="H37" s="1917">
        <f t="shared" si="4"/>
        <v>0</v>
      </c>
      <c r="I37" s="1917">
        <f t="shared" si="4"/>
        <v>0</v>
      </c>
      <c r="J37" s="1917">
        <f t="shared" si="4"/>
        <v>0</v>
      </c>
      <c r="K37" s="1917">
        <f t="shared" si="4"/>
        <v>0</v>
      </c>
      <c r="L37" s="1140">
        <f t="shared" si="4"/>
        <v>0</v>
      </c>
      <c r="M37" s="101"/>
      <c r="N37" s="6"/>
      <c r="O37" s="10"/>
      <c r="P37" s="10"/>
      <c r="Q37" s="10"/>
      <c r="R37" s="10"/>
      <c r="S37" s="10"/>
      <c r="T37" s="10"/>
      <c r="U37" s="10"/>
      <c r="V37" s="10"/>
      <c r="W37" s="10"/>
      <c r="X37" s="10"/>
      <c r="Y37" s="10"/>
      <c r="Z37" s="10"/>
      <c r="AA37" s="10"/>
      <c r="AB37" s="10"/>
    </row>
    <row r="38" spans="1:28" ht="14.25" customHeight="1" x14ac:dyDescent="0.25">
      <c r="A38" s="972">
        <v>0</v>
      </c>
      <c r="B38" s="16"/>
      <c r="C38" s="130"/>
      <c r="D38" s="1160"/>
      <c r="E38" s="480"/>
      <c r="F38" s="1120" t="s">
        <v>710</v>
      </c>
      <c r="G38" s="1921"/>
      <c r="H38" s="1921"/>
      <c r="I38" s="1921"/>
      <c r="J38" s="1921"/>
      <c r="K38" s="1921"/>
      <c r="L38" s="2025"/>
      <c r="M38" s="101"/>
      <c r="N38" s="6"/>
      <c r="O38" s="10"/>
      <c r="P38" s="10"/>
      <c r="Q38" s="10"/>
      <c r="R38" s="10"/>
      <c r="S38" s="10"/>
      <c r="T38" s="10"/>
      <c r="U38" s="10"/>
      <c r="V38" s="10"/>
      <c r="W38" s="10"/>
      <c r="X38" s="10"/>
      <c r="Y38" s="10"/>
      <c r="Z38" s="10"/>
      <c r="AA38" s="10"/>
      <c r="AB38" s="10"/>
    </row>
    <row r="39" spans="1:28" ht="14.25" customHeight="1" x14ac:dyDescent="0.25">
      <c r="A39" s="972">
        <v>1</v>
      </c>
      <c r="B39" s="16"/>
      <c r="C39" s="130"/>
      <c r="D39" s="520" t="s">
        <v>304</v>
      </c>
      <c r="E39" s="480"/>
      <c r="F39" s="1127"/>
      <c r="G39" s="1922">
        <f t="shared" ref="G39:L39" si="5">G30+G34+G37</f>
        <v>0</v>
      </c>
      <c r="H39" s="1922">
        <f t="shared" si="5"/>
        <v>0</v>
      </c>
      <c r="I39" s="1922">
        <f t="shared" si="5"/>
        <v>0</v>
      </c>
      <c r="J39" s="1922">
        <f t="shared" si="5"/>
        <v>0</v>
      </c>
      <c r="K39" s="1922">
        <f t="shared" si="5"/>
        <v>0</v>
      </c>
      <c r="L39" s="2026">
        <f t="shared" si="5"/>
        <v>0</v>
      </c>
      <c r="M39" s="101"/>
      <c r="N39" s="6"/>
      <c r="O39" s="10"/>
      <c r="P39" s="10"/>
      <c r="Q39" s="10"/>
      <c r="R39" s="10"/>
      <c r="S39" s="10"/>
      <c r="T39" s="10"/>
      <c r="U39" s="10"/>
      <c r="V39" s="10"/>
      <c r="W39" s="10"/>
      <c r="X39" s="10"/>
      <c r="Y39" s="10"/>
      <c r="Z39" s="10"/>
      <c r="AA39" s="10"/>
      <c r="AB39" s="10"/>
    </row>
    <row r="40" spans="1:28" ht="8.1" customHeight="1" x14ac:dyDescent="0.25">
      <c r="A40" s="972">
        <v>1</v>
      </c>
      <c r="B40" s="16"/>
      <c r="C40" s="130"/>
      <c r="D40" s="1160"/>
      <c r="E40" s="480"/>
      <c r="F40" s="1127"/>
      <c r="G40" s="1923"/>
      <c r="H40" s="1923"/>
      <c r="I40" s="1923"/>
      <c r="J40" s="1923"/>
      <c r="K40" s="1923"/>
      <c r="L40" s="2027"/>
      <c r="M40" s="101"/>
      <c r="N40" s="6"/>
      <c r="O40" s="10"/>
      <c r="P40" s="10"/>
      <c r="Q40" s="10"/>
      <c r="R40" s="10"/>
      <c r="S40" s="10"/>
      <c r="T40" s="10"/>
      <c r="U40" s="10"/>
      <c r="V40" s="10"/>
      <c r="W40" s="10"/>
      <c r="X40" s="10"/>
      <c r="Y40" s="10"/>
      <c r="Z40" s="10"/>
      <c r="AA40" s="10"/>
      <c r="AB40" s="10"/>
    </row>
    <row r="41" spans="1:28" ht="14.25" customHeight="1" x14ac:dyDescent="0.25">
      <c r="A41" s="972">
        <v>1</v>
      </c>
      <c r="B41" s="16"/>
      <c r="C41" s="130"/>
      <c r="D41" s="1492" t="s">
        <v>1044</v>
      </c>
      <c r="E41" s="1206"/>
      <c r="F41" s="1127"/>
      <c r="G41" s="1924">
        <f t="shared" ref="G41:L41" si="6">G21+G39</f>
        <v>0</v>
      </c>
      <c r="H41" s="1924">
        <f t="shared" si="6"/>
        <v>0</v>
      </c>
      <c r="I41" s="1924">
        <f t="shared" si="6"/>
        <v>0</v>
      </c>
      <c r="J41" s="1924">
        <f t="shared" si="6"/>
        <v>0</v>
      </c>
      <c r="K41" s="1924">
        <f t="shared" si="6"/>
        <v>0</v>
      </c>
      <c r="L41" s="2028">
        <f t="shared" si="6"/>
        <v>0</v>
      </c>
      <c r="M41" s="101"/>
      <c r="N41" s="6"/>
      <c r="O41" s="10"/>
      <c r="P41" s="10"/>
      <c r="Q41" s="10"/>
      <c r="R41" s="10"/>
      <c r="S41" s="10"/>
      <c r="T41" s="10"/>
      <c r="U41" s="10"/>
      <c r="V41" s="10"/>
      <c r="W41" s="10"/>
      <c r="X41" s="10"/>
      <c r="Y41" s="10"/>
      <c r="Z41" s="10"/>
      <c r="AA41" s="10"/>
      <c r="AB41" s="10"/>
    </row>
    <row r="42" spans="1:28" ht="8.1" customHeight="1" x14ac:dyDescent="0.25">
      <c r="A42" s="972">
        <v>1</v>
      </c>
      <c r="B42" s="16"/>
      <c r="C42" s="130"/>
      <c r="D42" s="1157"/>
      <c r="E42" s="1206"/>
      <c r="F42" s="1127"/>
      <c r="G42" s="1853"/>
      <c r="H42" s="1853"/>
      <c r="I42" s="1853"/>
      <c r="J42" s="1853"/>
      <c r="K42" s="1853"/>
      <c r="L42" s="1145"/>
      <c r="M42" s="101"/>
      <c r="N42" s="6"/>
      <c r="O42" s="10"/>
      <c r="P42" s="10"/>
      <c r="Q42" s="10"/>
      <c r="R42" s="10"/>
      <c r="S42" s="10"/>
      <c r="T42" s="10"/>
      <c r="U42" s="10"/>
      <c r="V42" s="10"/>
      <c r="W42" s="10"/>
      <c r="X42" s="10"/>
      <c r="Y42" s="10"/>
      <c r="Z42" s="10"/>
      <c r="AA42" s="10"/>
      <c r="AB42" s="10"/>
    </row>
    <row r="43" spans="1:28" ht="14.25" customHeight="1" x14ac:dyDescent="0.25">
      <c r="A43" s="972">
        <v>1</v>
      </c>
      <c r="B43" s="16"/>
      <c r="C43" s="130"/>
      <c r="D43" s="1489" t="s">
        <v>313</v>
      </c>
      <c r="E43" s="1206"/>
      <c r="F43" s="1170"/>
      <c r="G43" s="1925"/>
      <c r="H43" s="1925"/>
      <c r="I43" s="1925"/>
      <c r="J43" s="1925"/>
      <c r="K43" s="1925"/>
      <c r="L43" s="2029"/>
      <c r="M43" s="101"/>
      <c r="N43" s="6"/>
      <c r="O43" s="10"/>
      <c r="P43" s="10"/>
      <c r="Q43" s="10"/>
      <c r="R43" s="10"/>
      <c r="S43" s="10"/>
      <c r="T43" s="10"/>
      <c r="U43" s="10"/>
      <c r="V43" s="10"/>
      <c r="W43" s="10"/>
      <c r="X43" s="10"/>
      <c r="Y43" s="10"/>
      <c r="Z43" s="10"/>
      <c r="AA43" s="10"/>
      <c r="AB43" s="10"/>
    </row>
    <row r="44" spans="1:28" ht="14.25" customHeight="1" x14ac:dyDescent="0.25">
      <c r="A44" s="972">
        <v>1</v>
      </c>
      <c r="B44" s="16"/>
      <c r="C44" s="130"/>
      <c r="D44" s="520" t="s">
        <v>174</v>
      </c>
      <c r="E44" s="480"/>
      <c r="F44" s="1127"/>
      <c r="G44" s="1917">
        <f t="shared" ref="G44:L44" si="7">IF(Income_RentAdjType_2&lt;&gt;"$ per Unit",IF(AND(G45=0,G46=0,G47=0),0,IF(G45&lt;&gt;0,G45*G41,IF(G46&lt;&gt;0,G46/(G$41*G$64),G47))),IF(Income_RentAdjType_2="$ per Unit",IF(AND(G45=0,G46=0,G47=0),0,IF(G45&lt;&gt;0,G45*G$41,IF(G46&lt;&gt;0,G46/G$64,G47)))))</f>
        <v>0</v>
      </c>
      <c r="H44" s="1917">
        <f t="shared" si="7"/>
        <v>0</v>
      </c>
      <c r="I44" s="1917">
        <f t="shared" si="7"/>
        <v>0</v>
      </c>
      <c r="J44" s="1917">
        <f t="shared" si="7"/>
        <v>0</v>
      </c>
      <c r="K44" s="1917">
        <f t="shared" si="7"/>
        <v>0</v>
      </c>
      <c r="L44" s="1140">
        <f t="shared" si="7"/>
        <v>0</v>
      </c>
      <c r="M44" s="101"/>
      <c r="N44" s="6"/>
      <c r="O44" s="10"/>
      <c r="P44" s="10"/>
      <c r="Q44" s="10"/>
      <c r="R44" s="10"/>
      <c r="S44" s="10"/>
      <c r="T44" s="10"/>
      <c r="U44" s="10"/>
      <c r="V44" s="10"/>
      <c r="W44" s="10"/>
      <c r="X44" s="10"/>
      <c r="Y44" s="10"/>
      <c r="Z44" s="10"/>
      <c r="AA44" s="10"/>
      <c r="AB44" s="10"/>
    </row>
    <row r="45" spans="1:28" ht="14.25" customHeight="1" x14ac:dyDescent="0.25">
      <c r="A45" s="972">
        <v>0</v>
      </c>
      <c r="B45" s="16"/>
      <c r="C45" s="130"/>
      <c r="D45" s="766"/>
      <c r="E45" s="480"/>
      <c r="F45" s="1120" t="s">
        <v>166</v>
      </c>
      <c r="G45" s="1926"/>
      <c r="H45" s="1926"/>
      <c r="I45" s="1926"/>
      <c r="J45" s="1926"/>
      <c r="K45" s="1926"/>
      <c r="L45" s="2030"/>
      <c r="M45" s="101"/>
      <c r="N45" s="6"/>
      <c r="O45" s="10"/>
      <c r="P45" s="10"/>
      <c r="Q45" s="10"/>
      <c r="R45" s="10"/>
      <c r="S45" s="10"/>
      <c r="T45" s="10"/>
      <c r="U45" s="10"/>
      <c r="V45" s="10"/>
      <c r="W45" s="10"/>
      <c r="X45" s="10"/>
      <c r="Y45" s="10"/>
      <c r="Z45" s="10"/>
      <c r="AA45" s="10"/>
      <c r="AB45" s="10"/>
    </row>
    <row r="46" spans="1:28" ht="14.25" customHeight="1" x14ac:dyDescent="0.25">
      <c r="A46" s="972">
        <v>0</v>
      </c>
      <c r="B46" s="16"/>
      <c r="C46" s="130"/>
      <c r="D46" s="766"/>
      <c r="E46" s="480"/>
      <c r="F46" s="1120" t="s">
        <v>167</v>
      </c>
      <c r="G46" s="1927"/>
      <c r="H46" s="1927"/>
      <c r="I46" s="1927"/>
      <c r="J46" s="1927"/>
      <c r="K46" s="1927"/>
      <c r="L46" s="2031"/>
      <c r="M46" s="101"/>
      <c r="N46" s="6"/>
      <c r="O46" s="10"/>
      <c r="P46" s="10"/>
      <c r="Q46" s="10"/>
      <c r="R46" s="10"/>
      <c r="S46" s="10"/>
      <c r="T46" s="10"/>
      <c r="U46" s="10"/>
      <c r="V46" s="10"/>
      <c r="W46" s="10"/>
      <c r="X46" s="10"/>
      <c r="Y46" s="10"/>
      <c r="Z46" s="10"/>
      <c r="AA46" s="10"/>
      <c r="AB46" s="10"/>
    </row>
    <row r="47" spans="1:28" ht="14.25" customHeight="1" x14ac:dyDescent="0.25">
      <c r="A47" s="972">
        <v>0</v>
      </c>
      <c r="B47" s="16"/>
      <c r="C47" s="130"/>
      <c r="D47" s="766"/>
      <c r="E47" s="480"/>
      <c r="F47" s="1120" t="s">
        <v>710</v>
      </c>
      <c r="G47" s="1921"/>
      <c r="H47" s="1921"/>
      <c r="I47" s="1921"/>
      <c r="J47" s="1921"/>
      <c r="K47" s="1921"/>
      <c r="L47" s="2025"/>
      <c r="M47" s="101"/>
      <c r="N47" s="6"/>
      <c r="O47" s="10"/>
      <c r="P47" s="10"/>
      <c r="Q47" s="10"/>
      <c r="R47" s="10"/>
      <c r="S47" s="10"/>
      <c r="T47" s="10"/>
      <c r="U47" s="10"/>
      <c r="V47" s="10"/>
      <c r="W47" s="10"/>
      <c r="X47" s="10"/>
      <c r="Y47" s="10"/>
      <c r="Z47" s="10"/>
      <c r="AA47" s="10"/>
      <c r="AB47" s="10"/>
    </row>
    <row r="48" spans="1:28" ht="14.25" customHeight="1" x14ac:dyDescent="0.25">
      <c r="A48" s="972">
        <v>1</v>
      </c>
      <c r="B48" s="16"/>
      <c r="C48" s="130"/>
      <c r="D48" s="1492" t="s">
        <v>1365</v>
      </c>
      <c r="E48" s="480"/>
      <c r="F48" s="1120"/>
      <c r="G48" s="1852">
        <f t="shared" ref="G48:L48" si="8">G41+G44</f>
        <v>0</v>
      </c>
      <c r="H48" s="1852">
        <f t="shared" si="8"/>
        <v>0</v>
      </c>
      <c r="I48" s="1852">
        <f t="shared" si="8"/>
        <v>0</v>
      </c>
      <c r="J48" s="1852">
        <f t="shared" si="8"/>
        <v>0</v>
      </c>
      <c r="K48" s="1852">
        <f t="shared" si="8"/>
        <v>0</v>
      </c>
      <c r="L48" s="1143">
        <f t="shared" si="8"/>
        <v>0</v>
      </c>
      <c r="M48" s="101"/>
      <c r="N48" s="6"/>
      <c r="O48" s="10"/>
      <c r="P48" s="10"/>
      <c r="Q48" s="10"/>
      <c r="R48" s="10"/>
      <c r="S48" s="10"/>
      <c r="T48" s="10"/>
      <c r="U48" s="10"/>
      <c r="V48" s="10"/>
      <c r="W48" s="10"/>
      <c r="X48" s="10"/>
      <c r="Y48" s="10"/>
      <c r="Z48" s="10"/>
      <c r="AA48" s="10"/>
      <c r="AB48" s="10"/>
    </row>
    <row r="49" spans="1:28" ht="5.0999999999999996" customHeight="1" x14ac:dyDescent="0.25">
      <c r="A49" s="972">
        <v>1</v>
      </c>
      <c r="B49" s="16"/>
      <c r="C49" s="130"/>
      <c r="D49" s="766"/>
      <c r="E49" s="480"/>
      <c r="F49" s="1127"/>
      <c r="G49" s="1853" t="b">
        <f t="shared" ref="G49:L49" si="9">IF(Sales_AdjType="Qualitative",IF(G54="Inferior",-1,IF(G54="Superior",1,0)))</f>
        <v>0</v>
      </c>
      <c r="H49" s="1853" t="b">
        <f t="shared" si="9"/>
        <v>0</v>
      </c>
      <c r="I49" s="1853" t="b">
        <f t="shared" si="9"/>
        <v>0</v>
      </c>
      <c r="J49" s="1853" t="b">
        <f t="shared" si="9"/>
        <v>0</v>
      </c>
      <c r="K49" s="1853" t="b">
        <f t="shared" si="9"/>
        <v>0</v>
      </c>
      <c r="L49" s="1145" t="b">
        <f t="shared" si="9"/>
        <v>0</v>
      </c>
      <c r="M49" s="101"/>
      <c r="N49" s="6"/>
      <c r="O49" s="10"/>
      <c r="P49" s="10"/>
      <c r="Q49" s="10"/>
      <c r="R49" s="10"/>
      <c r="S49" s="10"/>
      <c r="T49" s="10"/>
      <c r="U49" s="10"/>
      <c r="V49" s="10"/>
      <c r="W49" s="10"/>
      <c r="X49" s="10"/>
      <c r="Y49" s="10"/>
      <c r="Z49" s="10"/>
      <c r="AA49" s="10"/>
      <c r="AB49" s="10"/>
    </row>
    <row r="50" spans="1:28" ht="14.25" customHeight="1" x14ac:dyDescent="0.25">
      <c r="A50" s="972">
        <v>1</v>
      </c>
      <c r="B50" s="16"/>
      <c r="C50" s="130"/>
      <c r="D50" s="1137" t="s">
        <v>162</v>
      </c>
      <c r="E50" s="1137"/>
      <c r="F50" s="1207"/>
      <c r="G50" s="1913"/>
      <c r="H50" s="1917"/>
      <c r="I50" s="1913"/>
      <c r="J50" s="1913"/>
      <c r="K50" s="1913"/>
      <c r="L50" s="1140"/>
      <c r="M50" s="101"/>
      <c r="N50" s="6"/>
      <c r="O50" s="10"/>
      <c r="P50" s="10"/>
      <c r="Q50" s="4093" t="s">
        <v>944</v>
      </c>
      <c r="R50" s="10"/>
      <c r="S50" s="10"/>
      <c r="T50" s="10"/>
      <c r="U50" s="10"/>
      <c r="V50" s="10"/>
      <c r="W50" s="10"/>
      <c r="X50" s="10"/>
      <c r="Y50" s="10"/>
      <c r="Z50" s="10"/>
      <c r="AA50" s="10"/>
      <c r="AB50" s="10"/>
    </row>
    <row r="51" spans="1:28" ht="15" customHeight="1" thickBot="1" x14ac:dyDescent="0.3">
      <c r="A51" s="972">
        <v>1</v>
      </c>
      <c r="B51" s="16"/>
      <c r="C51" s="130"/>
      <c r="D51" s="1489" t="s">
        <v>171</v>
      </c>
      <c r="E51" s="480"/>
      <c r="F51" s="1208"/>
      <c r="G51" s="1928" t="e">
        <f t="shared" ref="G51:L51" si="10">(dpIncome_Rent_DOV_2-G11)/365</f>
        <v>#VALUE!</v>
      </c>
      <c r="H51" s="1928" t="e">
        <f t="shared" si="10"/>
        <v>#VALUE!</v>
      </c>
      <c r="I51" s="1928" t="e">
        <f t="shared" si="10"/>
        <v>#VALUE!</v>
      </c>
      <c r="J51" s="1928" t="e">
        <f t="shared" si="10"/>
        <v>#VALUE!</v>
      </c>
      <c r="K51" s="1928" t="e">
        <f t="shared" si="10"/>
        <v>#VALUE!</v>
      </c>
      <c r="L51" s="2032" t="e">
        <f t="shared" si="10"/>
        <v>#VALUE!</v>
      </c>
      <c r="M51" s="101"/>
      <c r="N51" s="6"/>
      <c r="O51" s="10"/>
      <c r="P51" s="10"/>
      <c r="Q51" s="4114"/>
      <c r="R51" s="10"/>
      <c r="S51" s="10"/>
      <c r="T51" s="10"/>
      <c r="U51" s="10"/>
      <c r="V51" s="10"/>
      <c r="W51" s="10"/>
      <c r="X51" s="10"/>
      <c r="Y51" s="10"/>
      <c r="Z51" s="10"/>
      <c r="AA51" s="10"/>
      <c r="AB51" s="10"/>
    </row>
    <row r="52" spans="1:28" ht="14.25" customHeight="1" x14ac:dyDescent="0.25">
      <c r="A52" s="972">
        <v>1</v>
      </c>
      <c r="B52" s="16"/>
      <c r="C52" s="130"/>
      <c r="D52" s="520" t="s">
        <v>172</v>
      </c>
      <c r="E52" s="480"/>
      <c r="F52" s="1176" t="str">
        <f>dpIncome_Rent_DOV_2</f>
        <v>N/A</v>
      </c>
      <c r="G52" s="1855" t="e">
        <f t="shared" ref="G52:L52" si="11">IF(dpIncome_RentMktCondDate1_2="",0,IF(AND(dpIncome_RentMktCondDate2_2&lt;&gt;"",G$11&gt;dpIncome_RentMktCondDate1_2),0,(dpIncome_RentMktCondAdj1_2*((dpIncome_RentMktCondDate1_2-G$11)/365))))</f>
        <v>#VALUE!</v>
      </c>
      <c r="H52" s="1855" t="e">
        <f t="shared" si="11"/>
        <v>#VALUE!</v>
      </c>
      <c r="I52" s="1855" t="e">
        <f t="shared" si="11"/>
        <v>#VALUE!</v>
      </c>
      <c r="J52" s="1855" t="e">
        <f t="shared" si="11"/>
        <v>#VALUE!</v>
      </c>
      <c r="K52" s="1855" t="e">
        <f t="shared" si="11"/>
        <v>#VALUE!</v>
      </c>
      <c r="L52" s="1150" t="e">
        <f t="shared" si="11"/>
        <v>#VALUE!</v>
      </c>
      <c r="M52" s="101"/>
      <c r="N52" s="6"/>
      <c r="O52" s="10"/>
      <c r="P52" s="10"/>
      <c r="Q52" s="573"/>
      <c r="R52" s="10"/>
      <c r="S52" s="10"/>
      <c r="T52" s="10"/>
      <c r="U52" s="10"/>
      <c r="V52" s="10"/>
      <c r="W52" s="10"/>
      <c r="X52" s="10"/>
      <c r="Y52" s="10"/>
      <c r="Z52" s="10"/>
      <c r="AA52" s="10"/>
      <c r="AB52" s="10"/>
    </row>
    <row r="53" spans="1:28" ht="15" customHeight="1" thickBot="1" x14ac:dyDescent="0.3">
      <c r="A53" s="972">
        <f>IF(dpIncome_RentMktCondDate2_2="",0,1)</f>
        <v>0</v>
      </c>
      <c r="B53" s="16"/>
      <c r="C53" s="130"/>
      <c r="D53" s="520" t="s">
        <v>173</v>
      </c>
      <c r="E53" s="480"/>
      <c r="F53" s="1177"/>
      <c r="G53" s="1855">
        <f t="shared" ref="G53:L53" si="12">IF(dpIncome_RentMktCondDate2_2="",0,IF(AND(G$11&lt;dpIncome_Rent_DOV_2,G$11&gt;dpIncome_RentMktCondDate1_2),dpIncome_RentMktCondAdj2_2*((dpIncome_Rent_DOV_2-G$11)/365),IF(G$11&lt;dpIncome_Rent_DOV_2,dpIncome_RentMktCondAdj2_2*((dpIncome_Rent_DOV_2-dpIncome_RentMktCondDate1_2)/365),dpIncome_RentMktCondAdj2_2*((dpIncome_Rent_DOV_2-G$11)/365))))</f>
        <v>0</v>
      </c>
      <c r="H53" s="1855">
        <f t="shared" si="12"/>
        <v>0</v>
      </c>
      <c r="I53" s="1855">
        <f t="shared" si="12"/>
        <v>0</v>
      </c>
      <c r="J53" s="1855">
        <f t="shared" si="12"/>
        <v>0</v>
      </c>
      <c r="K53" s="1855">
        <f t="shared" si="12"/>
        <v>0</v>
      </c>
      <c r="L53" s="1150">
        <f t="shared" si="12"/>
        <v>0</v>
      </c>
      <c r="M53" s="101"/>
      <c r="N53" s="6"/>
      <c r="O53" s="10"/>
      <c r="P53" s="10"/>
      <c r="Q53" s="574"/>
      <c r="R53" s="12" t="s">
        <v>158</v>
      </c>
      <c r="S53" s="10"/>
      <c r="T53" s="10"/>
      <c r="U53" s="10"/>
      <c r="V53" s="10"/>
      <c r="W53" s="10"/>
      <c r="X53" s="10"/>
      <c r="Y53" s="10"/>
      <c r="Z53" s="10"/>
      <c r="AA53" s="10"/>
      <c r="AB53" s="10"/>
    </row>
    <row r="54" spans="1:28" ht="14.25" customHeight="1" x14ac:dyDescent="0.25">
      <c r="A54" s="1100">
        <v>1</v>
      </c>
      <c r="B54" s="16"/>
      <c r="C54" s="130"/>
      <c r="D54" s="1206" t="s">
        <v>1372</v>
      </c>
      <c r="E54" s="1206"/>
      <c r="F54" s="1127"/>
      <c r="G54" s="1929" t="e">
        <f t="shared" ref="G54:L54" si="13">(1+G52)*(1+G53)*G48</f>
        <v>#VALUE!</v>
      </c>
      <c r="H54" s="1929" t="e">
        <f t="shared" si="13"/>
        <v>#VALUE!</v>
      </c>
      <c r="I54" s="1929" t="e">
        <f t="shared" si="13"/>
        <v>#VALUE!</v>
      </c>
      <c r="J54" s="1929" t="e">
        <f t="shared" si="13"/>
        <v>#VALUE!</v>
      </c>
      <c r="K54" s="1929" t="e">
        <f t="shared" si="13"/>
        <v>#VALUE!</v>
      </c>
      <c r="L54" s="2033" t="e">
        <f t="shared" si="13"/>
        <v>#VALUE!</v>
      </c>
      <c r="M54" s="101"/>
      <c r="N54" s="6"/>
      <c r="O54" s="10"/>
      <c r="P54" s="10"/>
      <c r="Q54" s="10"/>
      <c r="R54" s="10"/>
      <c r="S54" s="10"/>
      <c r="T54" s="10"/>
      <c r="U54" s="10"/>
      <c r="V54" s="10"/>
      <c r="W54" s="10"/>
      <c r="X54" s="10"/>
      <c r="Y54" s="10"/>
      <c r="Z54" s="10"/>
      <c r="AA54" s="10"/>
      <c r="AB54" s="10"/>
    </row>
    <row r="55" spans="1:28" ht="8.1" customHeight="1" x14ac:dyDescent="0.25">
      <c r="A55" s="1100">
        <v>1</v>
      </c>
      <c r="B55" s="16"/>
      <c r="C55" s="130"/>
      <c r="D55" s="766"/>
      <c r="E55" s="480"/>
      <c r="F55" s="1127"/>
      <c r="G55" s="1930">
        <f t="shared" ref="G55:L55" si="14">IF(AND(G60=0,G61=0,G62=0),0,IF(G60&lt;&gt;0,G60,IF(G61&lt;&gt;0,G61/(G$54*G$64),G62/G$54)))</f>
        <v>0</v>
      </c>
      <c r="H55" s="1930">
        <f t="shared" si="14"/>
        <v>0</v>
      </c>
      <c r="I55" s="1930">
        <f t="shared" si="14"/>
        <v>0</v>
      </c>
      <c r="J55" s="1930">
        <f t="shared" si="14"/>
        <v>0</v>
      </c>
      <c r="K55" s="1930">
        <f t="shared" si="14"/>
        <v>0</v>
      </c>
      <c r="L55" s="2034">
        <f t="shared" si="14"/>
        <v>0</v>
      </c>
      <c r="M55" s="101"/>
      <c r="N55" s="6"/>
      <c r="O55" s="10"/>
      <c r="P55" s="10"/>
      <c r="Q55" s="10"/>
      <c r="R55" s="10"/>
      <c r="S55" s="10"/>
      <c r="T55" s="10"/>
      <c r="U55" s="10"/>
      <c r="V55" s="10"/>
      <c r="W55" s="10"/>
      <c r="X55" s="10"/>
      <c r="Y55" s="10"/>
      <c r="Z55" s="10"/>
      <c r="AA55" s="10"/>
      <c r="AB55" s="10"/>
    </row>
    <row r="56" spans="1:28" ht="14.25" customHeight="1" x14ac:dyDescent="0.25">
      <c r="A56" s="1100">
        <v>1</v>
      </c>
      <c r="B56" s="16"/>
      <c r="C56" s="130"/>
      <c r="D56" s="1137" t="s">
        <v>312</v>
      </c>
      <c r="E56" s="1137"/>
      <c r="F56" s="1127"/>
      <c r="G56" s="1854"/>
      <c r="H56" s="1854"/>
      <c r="I56" s="1854"/>
      <c r="J56" s="1854"/>
      <c r="K56" s="1854"/>
      <c r="L56" s="538"/>
      <c r="M56" s="101"/>
      <c r="N56" s="6"/>
      <c r="O56" s="10"/>
      <c r="P56" s="10"/>
      <c r="Q56" s="10"/>
      <c r="R56" s="10"/>
      <c r="S56" s="10"/>
      <c r="T56" s="10"/>
      <c r="U56" s="10"/>
      <c r="V56" s="10"/>
      <c r="W56" s="10"/>
      <c r="X56" s="10"/>
      <c r="Y56" s="10"/>
      <c r="Z56" s="10"/>
      <c r="AA56" s="10"/>
      <c r="AB56" s="10"/>
    </row>
    <row r="57" spans="1:28" x14ac:dyDescent="0.25">
      <c r="A57" s="1101">
        <f>A59</f>
        <v>2</v>
      </c>
      <c r="B57" s="140"/>
      <c r="C57" s="522"/>
      <c r="D57" s="1489" t="s">
        <v>95</v>
      </c>
      <c r="E57" s="480"/>
      <c r="F57" s="1209" t="str">
        <f>Subject_Address</f>
        <v>4940 Oneida St</v>
      </c>
      <c r="G57" s="1788"/>
      <c r="H57" s="1788"/>
      <c r="I57" s="1788"/>
      <c r="J57" s="1788"/>
      <c r="K57" s="1788"/>
      <c r="L57" s="1162"/>
      <c r="M57" s="802"/>
      <c r="N57" s="288"/>
      <c r="O57" s="142"/>
      <c r="P57" s="142"/>
      <c r="Q57" s="142"/>
      <c r="R57" s="142"/>
      <c r="S57" s="142"/>
      <c r="T57" s="142"/>
      <c r="U57" s="142"/>
      <c r="V57" s="142"/>
      <c r="W57" s="142"/>
      <c r="X57" s="142"/>
      <c r="Y57" s="142"/>
      <c r="Z57" s="142"/>
      <c r="AA57" s="142"/>
      <c r="AB57" s="142"/>
    </row>
    <row r="58" spans="1:28" ht="14.25" customHeight="1" x14ac:dyDescent="0.25">
      <c r="A58" s="1101">
        <f>A59</f>
        <v>2</v>
      </c>
      <c r="B58" s="140"/>
      <c r="C58" s="522"/>
      <c r="D58" s="520"/>
      <c r="E58" s="480"/>
      <c r="F58" s="1650" t="str">
        <f>CONCATENATE(Subject_City,", ",Subject_State)</f>
        <v>Commerce City, Colorado</v>
      </c>
      <c r="G58" s="1788"/>
      <c r="H58" s="1788"/>
      <c r="I58" s="1788"/>
      <c r="J58" s="1788"/>
      <c r="K58" s="1788"/>
      <c r="L58" s="1162"/>
      <c r="M58" s="802"/>
      <c r="N58" s="288"/>
      <c r="O58" s="142"/>
      <c r="P58" s="142"/>
      <c r="Q58" s="142"/>
      <c r="R58" s="142"/>
      <c r="S58" s="142"/>
      <c r="T58" s="142"/>
      <c r="U58" s="142"/>
      <c r="V58" s="142"/>
      <c r="W58" s="142"/>
      <c r="X58" s="142"/>
      <c r="Y58" s="142"/>
      <c r="Z58" s="142"/>
      <c r="AA58" s="142"/>
      <c r="AB58" s="142"/>
    </row>
    <row r="59" spans="1:28" ht="14.25" customHeight="1" x14ac:dyDescent="0.25">
      <c r="A59" s="1100">
        <f>IF(B59=TRUE,1,2)</f>
        <v>2</v>
      </c>
      <c r="B59" s="1082" t="b">
        <v>0</v>
      </c>
      <c r="C59" s="1210"/>
      <c r="D59" s="1503" t="str">
        <f>IF(Income_RentAdjType_2&lt;&gt;"Qualitative","Adjustment","Relative Comparison")</f>
        <v>Adjustment</v>
      </c>
      <c r="E59" s="1211"/>
      <c r="F59" s="1212"/>
      <c r="G59" s="1855">
        <f t="shared" ref="G59:L59" si="15">IF(Income_RentAdjType_2="Percent",IF(AND(G60=0,G61=0,G62=0),0,IF(G60&lt;&gt;0,G60,IF(G61&lt;&gt;0,G61/(G$54*G$64),G62/G$54))),IF(Income_RentAdjType_2="$ per Unit",IF(AND(G60=0,G61=0,G62=0),0,IF(G60&lt;&gt;0,G60*G$54,IF(G61&lt;&gt;0,G61/G$64,G62))),IF(OR(G60&gt;0,G61&gt;0,G62&gt;0),"Inferior",IF(OR(G60&lt;0,G61&lt;0,G62&lt;0),"Superior","Similar"))))</f>
        <v>0</v>
      </c>
      <c r="H59" s="1855">
        <f t="shared" si="15"/>
        <v>0</v>
      </c>
      <c r="I59" s="1855">
        <f t="shared" si="15"/>
        <v>0</v>
      </c>
      <c r="J59" s="1855">
        <f t="shared" si="15"/>
        <v>0</v>
      </c>
      <c r="K59" s="1855">
        <f t="shared" si="15"/>
        <v>0</v>
      </c>
      <c r="L59" s="1150">
        <f t="shared" si="15"/>
        <v>0</v>
      </c>
      <c r="M59" s="101"/>
      <c r="N59" s="6"/>
      <c r="O59" s="10"/>
      <c r="P59" s="10"/>
      <c r="Q59" s="10"/>
      <c r="R59" s="10"/>
      <c r="S59" s="10"/>
      <c r="T59" s="10"/>
      <c r="U59" s="10"/>
      <c r="V59" s="10"/>
      <c r="W59" s="10"/>
      <c r="X59" s="10"/>
      <c r="Y59" s="10"/>
      <c r="Z59" s="10"/>
      <c r="AA59" s="10"/>
      <c r="AB59" s="10"/>
    </row>
    <row r="60" spans="1:28" ht="14.25" customHeight="1" x14ac:dyDescent="0.25">
      <c r="A60" s="1100">
        <f>IF(A59=2,2,0)</f>
        <v>2</v>
      </c>
      <c r="B60" s="16"/>
      <c r="C60" s="130"/>
      <c r="D60" s="520"/>
      <c r="E60" s="480"/>
      <c r="F60" s="1120" t="s">
        <v>166</v>
      </c>
      <c r="G60" s="1926"/>
      <c r="H60" s="1926"/>
      <c r="I60" s="1926"/>
      <c r="J60" s="1926"/>
      <c r="K60" s="1926"/>
      <c r="L60" s="2030"/>
      <c r="M60" s="101"/>
      <c r="N60" s="6"/>
      <c r="O60" s="10"/>
      <c r="P60" s="10"/>
      <c r="Q60" s="10"/>
      <c r="R60" s="10"/>
      <c r="S60" s="10"/>
      <c r="T60" s="10"/>
      <c r="U60" s="10"/>
      <c r="V60" s="10"/>
      <c r="W60" s="10"/>
      <c r="X60" s="10"/>
      <c r="Y60" s="10"/>
      <c r="Z60" s="10"/>
      <c r="AA60" s="10"/>
      <c r="AB60" s="10"/>
    </row>
    <row r="61" spans="1:28" ht="14.25" customHeight="1" x14ac:dyDescent="0.25">
      <c r="A61" s="1100">
        <f>IF(A60=2,2,0)</f>
        <v>2</v>
      </c>
      <c r="B61" s="16"/>
      <c r="C61" s="130"/>
      <c r="D61" s="520"/>
      <c r="E61" s="480"/>
      <c r="F61" s="1120" t="s">
        <v>167</v>
      </c>
      <c r="G61" s="1927"/>
      <c r="H61" s="1927"/>
      <c r="I61" s="1927"/>
      <c r="J61" s="1927"/>
      <c r="K61" s="1927"/>
      <c r="L61" s="2031"/>
      <c r="M61" s="101"/>
      <c r="N61" s="6"/>
      <c r="O61" s="10"/>
      <c r="P61" s="10"/>
      <c r="Q61" s="10"/>
      <c r="R61" s="10"/>
      <c r="S61" s="10"/>
      <c r="T61" s="10"/>
      <c r="U61" s="10"/>
      <c r="V61" s="10"/>
      <c r="W61" s="10"/>
      <c r="X61" s="10"/>
      <c r="Y61" s="10"/>
      <c r="Z61" s="10"/>
      <c r="AA61" s="10"/>
      <c r="AB61" s="10"/>
    </row>
    <row r="62" spans="1:28" ht="14.25" customHeight="1" x14ac:dyDescent="0.25">
      <c r="A62" s="1100">
        <f>IF(A61=2,2,0)</f>
        <v>2</v>
      </c>
      <c r="B62" s="16"/>
      <c r="C62" s="130"/>
      <c r="D62" s="520"/>
      <c r="E62" s="480"/>
      <c r="F62" s="1120" t="s">
        <v>710</v>
      </c>
      <c r="G62" s="1921"/>
      <c r="H62" s="1921"/>
      <c r="I62" s="1921"/>
      <c r="J62" s="1921"/>
      <c r="K62" s="1921"/>
      <c r="L62" s="2025"/>
      <c r="M62" s="101"/>
      <c r="N62" s="6"/>
      <c r="O62" s="10"/>
      <c r="P62" s="10"/>
      <c r="Q62" s="10"/>
      <c r="R62" s="10"/>
      <c r="S62" s="10"/>
      <c r="T62" s="10"/>
      <c r="U62" s="10"/>
      <c r="V62" s="10"/>
      <c r="W62" s="10"/>
      <c r="X62" s="10"/>
      <c r="Y62" s="10"/>
      <c r="Z62" s="10"/>
      <c r="AA62" s="10"/>
      <c r="AB62" s="10"/>
    </row>
    <row r="63" spans="1:28" ht="8.1" customHeight="1" x14ac:dyDescent="0.25">
      <c r="A63" s="1100">
        <f>A65</f>
        <v>2</v>
      </c>
      <c r="B63" s="16"/>
      <c r="C63" s="130"/>
      <c r="D63" s="520"/>
      <c r="E63" s="480"/>
      <c r="F63" s="1127"/>
      <c r="G63" s="1930">
        <f t="shared" ref="G63:L63" si="16">IF(AND(G66=0,G67=0,G68=0),0,IF(G66&lt;&gt;0,G66,IF(G67&lt;&gt;0,G67/(G$54*G$64),G68/G$54)))</f>
        <v>0</v>
      </c>
      <c r="H63" s="1930">
        <f t="shared" si="16"/>
        <v>0</v>
      </c>
      <c r="I63" s="1930">
        <f t="shared" si="16"/>
        <v>0</v>
      </c>
      <c r="J63" s="1930">
        <f t="shared" si="16"/>
        <v>0</v>
      </c>
      <c r="K63" s="1930">
        <f t="shared" si="16"/>
        <v>0</v>
      </c>
      <c r="L63" s="2034">
        <f t="shared" si="16"/>
        <v>0</v>
      </c>
      <c r="M63" s="101"/>
      <c r="N63" s="6"/>
      <c r="O63" s="10"/>
      <c r="P63" s="10"/>
      <c r="Q63" s="10"/>
      <c r="R63" s="10"/>
      <c r="S63" s="10"/>
      <c r="T63" s="10"/>
      <c r="U63" s="10"/>
      <c r="V63" s="10"/>
      <c r="W63" s="10"/>
      <c r="X63" s="10"/>
      <c r="Y63" s="10"/>
      <c r="Z63" s="10"/>
      <c r="AA63" s="10"/>
      <c r="AB63" s="10"/>
    </row>
    <row r="64" spans="1:28" x14ac:dyDescent="0.25">
      <c r="A64" s="1100">
        <f>A65</f>
        <v>2</v>
      </c>
      <c r="B64" s="16"/>
      <c r="C64" s="130"/>
      <c r="D64" s="1489" t="s">
        <v>303</v>
      </c>
      <c r="E64" s="1198"/>
      <c r="F64" s="929"/>
      <c r="G64" s="1931"/>
      <c r="H64" s="1931"/>
      <c r="I64" s="1931"/>
      <c r="J64" s="1931"/>
      <c r="K64" s="1931"/>
      <c r="L64" s="2035"/>
      <c r="M64" s="101"/>
      <c r="N64" s="6"/>
      <c r="O64" s="10"/>
      <c r="P64" s="10"/>
      <c r="Q64" s="10"/>
      <c r="R64" s="10"/>
      <c r="S64" s="10"/>
      <c r="T64" s="10"/>
      <c r="U64" s="10"/>
      <c r="V64" s="10"/>
      <c r="W64" s="10"/>
      <c r="X64" s="10"/>
      <c r="Y64" s="10"/>
      <c r="Z64" s="10"/>
      <c r="AA64" s="10"/>
      <c r="AB64" s="10"/>
    </row>
    <row r="65" spans="1:28" ht="14.25" customHeight="1" x14ac:dyDescent="0.25">
      <c r="A65" s="1100">
        <f>IF(B65=TRUE,1,2)</f>
        <v>2</v>
      </c>
      <c r="B65" s="1082" t="b">
        <v>0</v>
      </c>
      <c r="C65" s="1210"/>
      <c r="D65" s="1503" t="str">
        <f>IF(Income_RentAdjType_2&lt;&gt;"Qualitative","Adjustment","Relative Comparison")</f>
        <v>Adjustment</v>
      </c>
      <c r="E65" s="1211"/>
      <c r="F65" s="1212"/>
      <c r="G65" s="1855">
        <f t="shared" ref="G65:L65" si="17">IF(Income_RentAdjType_2="Percent",IF(AND(G66=0,G67=0,G68=0),0,IF(G66&lt;&gt;0,G66,IF(G67&lt;&gt;0,G67/(G$54*G$64),G68/G$54))),IF(Income_RentAdjType_2="$ per Unit",IF(AND(G66=0,G67=0,G68=0),0,IF(G66&lt;&gt;0,G66*G$54,IF(G67&lt;&gt;0,G67/G$64,G68))),IF(OR(G66&gt;0,G67&gt;0,G68&gt;0),"Inferior",IF(OR(G66&lt;0,G67&lt;0,G68&lt;0),"Superior","Similar"))))</f>
        <v>0</v>
      </c>
      <c r="H65" s="1855">
        <f t="shared" si="17"/>
        <v>0</v>
      </c>
      <c r="I65" s="1855">
        <f t="shared" si="17"/>
        <v>0</v>
      </c>
      <c r="J65" s="1855">
        <f t="shared" si="17"/>
        <v>0</v>
      </c>
      <c r="K65" s="1855">
        <f t="shared" si="17"/>
        <v>0</v>
      </c>
      <c r="L65" s="1150">
        <f t="shared" si="17"/>
        <v>0</v>
      </c>
      <c r="M65" s="101"/>
      <c r="N65" s="6"/>
      <c r="O65" s="10"/>
      <c r="P65" s="10"/>
      <c r="Q65" s="10"/>
      <c r="R65" s="10"/>
      <c r="S65" s="10"/>
      <c r="T65" s="10"/>
      <c r="U65" s="10"/>
      <c r="V65" s="10"/>
      <c r="W65" s="10"/>
      <c r="X65" s="10"/>
      <c r="Y65" s="10"/>
      <c r="Z65" s="10"/>
      <c r="AA65" s="10"/>
      <c r="AB65" s="10"/>
    </row>
    <row r="66" spans="1:28" ht="14.25" customHeight="1" x14ac:dyDescent="0.25">
      <c r="A66" s="1100">
        <f>IF(A65=2,2,0)</f>
        <v>2</v>
      </c>
      <c r="B66" s="16"/>
      <c r="C66" s="130"/>
      <c r="D66" s="520"/>
      <c r="E66" s="480"/>
      <c r="F66" s="1120" t="s">
        <v>166</v>
      </c>
      <c r="G66" s="1926"/>
      <c r="H66" s="1926"/>
      <c r="I66" s="1926"/>
      <c r="J66" s="1926"/>
      <c r="K66" s="1926"/>
      <c r="L66" s="2030"/>
      <c r="M66" s="101"/>
      <c r="N66" s="6"/>
      <c r="O66" s="10"/>
      <c r="P66" s="10"/>
      <c r="Q66" s="10"/>
      <c r="R66" s="10"/>
      <c r="S66" s="10"/>
      <c r="T66" s="10"/>
      <c r="U66" s="10"/>
      <c r="V66" s="10"/>
      <c r="W66" s="10"/>
      <c r="X66" s="10"/>
      <c r="Y66" s="10"/>
      <c r="Z66" s="10"/>
      <c r="AA66" s="10"/>
      <c r="AB66" s="10"/>
    </row>
    <row r="67" spans="1:28" ht="14.25" customHeight="1" x14ac:dyDescent="0.25">
      <c r="A67" s="1100">
        <f>IF(A66=2,2,0)</f>
        <v>2</v>
      </c>
      <c r="B67" s="16"/>
      <c r="C67" s="130"/>
      <c r="D67" s="520"/>
      <c r="E67" s="480"/>
      <c r="F67" s="1120" t="s">
        <v>167</v>
      </c>
      <c r="G67" s="1927"/>
      <c r="H67" s="1927"/>
      <c r="I67" s="1927"/>
      <c r="J67" s="1927"/>
      <c r="K67" s="1927"/>
      <c r="L67" s="2031"/>
      <c r="M67" s="101"/>
      <c r="N67" s="6"/>
      <c r="O67" s="10"/>
      <c r="P67" s="10"/>
      <c r="Q67" s="150"/>
      <c r="R67" s="10"/>
      <c r="S67" s="10"/>
      <c r="T67" s="10"/>
      <c r="U67" s="10"/>
      <c r="V67" s="10"/>
      <c r="W67" s="10"/>
      <c r="X67" s="10"/>
      <c r="Y67" s="10"/>
      <c r="Z67" s="10"/>
      <c r="AA67" s="10"/>
      <c r="AB67" s="10"/>
    </row>
    <row r="68" spans="1:28" ht="14.25" customHeight="1" x14ac:dyDescent="0.25">
      <c r="A68" s="1100">
        <f>IF(A67=2,2,0)</f>
        <v>2</v>
      </c>
      <c r="B68" s="16"/>
      <c r="C68" s="130"/>
      <c r="D68" s="520"/>
      <c r="E68" s="480"/>
      <c r="F68" s="1120" t="s">
        <v>710</v>
      </c>
      <c r="G68" s="1921"/>
      <c r="H68" s="1921"/>
      <c r="I68" s="1921"/>
      <c r="J68" s="1921"/>
      <c r="K68" s="1921"/>
      <c r="L68" s="2025"/>
      <c r="M68" s="101"/>
      <c r="N68" s="6"/>
      <c r="O68" s="10"/>
      <c r="P68" s="10"/>
      <c r="Q68" s="10"/>
      <c r="R68" s="10"/>
      <c r="S68" s="10"/>
      <c r="T68" s="10"/>
      <c r="U68" s="10"/>
      <c r="V68" s="10"/>
      <c r="W68" s="10"/>
      <c r="X68" s="10"/>
      <c r="Y68" s="10"/>
      <c r="Z68" s="10"/>
      <c r="AA68" s="10"/>
      <c r="AB68" s="10"/>
    </row>
    <row r="69" spans="1:28" ht="8.1" customHeight="1" x14ac:dyDescent="0.25">
      <c r="A69" s="1100">
        <f>A75</f>
        <v>2</v>
      </c>
      <c r="B69" s="16"/>
      <c r="C69" s="130"/>
      <c r="D69" s="520"/>
      <c r="E69" s="480"/>
      <c r="F69" s="1127"/>
      <c r="G69" s="1930">
        <f t="shared" ref="G69:L69" si="18">IF(AND(G76=0,G76=0,G76=0),0,IF(G76&lt;&gt;0,G76,IF(G77&lt;&gt;0,G77/(G$54*G$64),G78/G$54)))</f>
        <v>0</v>
      </c>
      <c r="H69" s="1930">
        <f t="shared" si="18"/>
        <v>0</v>
      </c>
      <c r="I69" s="1930">
        <f t="shared" si="18"/>
        <v>0</v>
      </c>
      <c r="J69" s="1930">
        <f t="shared" si="18"/>
        <v>0</v>
      </c>
      <c r="K69" s="1930">
        <f t="shared" si="18"/>
        <v>0</v>
      </c>
      <c r="L69" s="2034">
        <f t="shared" si="18"/>
        <v>0</v>
      </c>
      <c r="M69" s="101"/>
      <c r="N69" s="6"/>
      <c r="O69" s="10"/>
      <c r="P69" s="10"/>
      <c r="Q69" s="10"/>
      <c r="R69" s="10"/>
      <c r="S69" s="10"/>
      <c r="T69" s="10"/>
      <c r="U69" s="10"/>
      <c r="V69" s="10"/>
      <c r="W69" s="10"/>
      <c r="X69" s="10"/>
      <c r="Y69" s="10"/>
      <c r="Z69" s="10"/>
      <c r="AA69" s="10"/>
      <c r="AB69" s="10"/>
    </row>
    <row r="70" spans="1:28" x14ac:dyDescent="0.25">
      <c r="A70" s="1101">
        <f>A75</f>
        <v>2</v>
      </c>
      <c r="B70" s="16"/>
      <c r="C70" s="130"/>
      <c r="D70" s="1489" t="s">
        <v>294</v>
      </c>
      <c r="E70" s="1120" t="s">
        <v>10</v>
      </c>
      <c r="F70" s="1195">
        <f>IF(Subject_Year_Built="",Subject_Year_Built_Range,Subject_Year_Built)</f>
        <v>2021</v>
      </c>
      <c r="G70" s="1919">
        <f t="shared" ref="G70:L70" si="19">IF(OR(G71="",G71="N/A"),G72,G71)</f>
        <v>0</v>
      </c>
      <c r="H70" s="1919">
        <f t="shared" si="19"/>
        <v>0</v>
      </c>
      <c r="I70" s="1919">
        <f t="shared" si="19"/>
        <v>0</v>
      </c>
      <c r="J70" s="1919">
        <f t="shared" si="19"/>
        <v>0</v>
      </c>
      <c r="K70" s="1919">
        <f t="shared" si="19"/>
        <v>0</v>
      </c>
      <c r="L70" s="1166">
        <f t="shared" si="19"/>
        <v>0</v>
      </c>
      <c r="M70" s="101"/>
      <c r="N70" s="6"/>
      <c r="O70" s="10"/>
      <c r="P70" s="10"/>
      <c r="Q70" s="10"/>
      <c r="R70" s="10"/>
      <c r="S70" s="10"/>
      <c r="T70" s="10"/>
      <c r="U70" s="10"/>
      <c r="V70" s="10"/>
      <c r="W70" s="10"/>
      <c r="X70" s="10"/>
      <c r="Y70" s="10"/>
      <c r="Z70" s="10"/>
      <c r="AA70" s="10"/>
      <c r="AB70" s="10"/>
    </row>
    <row r="71" spans="1:28" ht="14.25" customHeight="1" x14ac:dyDescent="0.25">
      <c r="A71" s="1101">
        <f>IF(A75=2,2,0)</f>
        <v>2</v>
      </c>
      <c r="B71" s="16"/>
      <c r="C71" s="130"/>
      <c r="D71" s="520"/>
      <c r="E71" s="1120" t="s">
        <v>10</v>
      </c>
      <c r="F71" s="1196">
        <f>Subject_Year_Built</f>
        <v>2021</v>
      </c>
      <c r="G71" s="1913"/>
      <c r="H71" s="1846"/>
      <c r="I71" s="1913"/>
      <c r="J71" s="1913"/>
      <c r="K71" s="1913"/>
      <c r="L71" s="1128"/>
      <c r="M71" s="101"/>
      <c r="N71" s="6"/>
      <c r="O71" s="10"/>
      <c r="P71" s="10"/>
      <c r="Q71" s="10"/>
      <c r="R71" s="10"/>
      <c r="S71" s="10"/>
      <c r="T71" s="10"/>
      <c r="U71" s="10"/>
      <c r="V71" s="10"/>
      <c r="W71" s="10"/>
      <c r="X71" s="10"/>
      <c r="Y71" s="10"/>
      <c r="Z71" s="10"/>
      <c r="AA71" s="10"/>
      <c r="AB71" s="10"/>
    </row>
    <row r="72" spans="1:28" ht="14.25" customHeight="1" x14ac:dyDescent="0.25">
      <c r="A72" s="1101">
        <f>IF(A75=2,2,0)</f>
        <v>2</v>
      </c>
      <c r="B72" s="16"/>
      <c r="C72" s="130"/>
      <c r="D72" s="520"/>
      <c r="E72" s="1120" t="s">
        <v>1009</v>
      </c>
      <c r="F72" s="1196">
        <f>Subject_Year_Built_Range</f>
        <v>0</v>
      </c>
      <c r="G72" s="1913"/>
      <c r="H72" s="1846"/>
      <c r="I72" s="1913"/>
      <c r="J72" s="1913"/>
      <c r="K72" s="1913"/>
      <c r="L72" s="1128"/>
      <c r="M72" s="101"/>
      <c r="N72" s="6"/>
      <c r="O72" s="10"/>
      <c r="P72" s="10"/>
      <c r="Q72" s="10"/>
      <c r="R72" s="10"/>
      <c r="S72" s="10"/>
      <c r="T72" s="10"/>
      <c r="U72" s="10"/>
      <c r="V72" s="10"/>
      <c r="W72" s="10"/>
      <c r="X72" s="10"/>
      <c r="Y72" s="10"/>
      <c r="Z72" s="10"/>
      <c r="AA72" s="10"/>
      <c r="AB72" s="10"/>
    </row>
    <row r="73" spans="1:28" ht="14.25" customHeight="1" x14ac:dyDescent="0.25">
      <c r="A73" s="1101">
        <f>A75</f>
        <v>2</v>
      </c>
      <c r="B73" s="16"/>
      <c r="C73" s="130"/>
      <c r="D73" s="520"/>
      <c r="E73" s="1120" t="s">
        <v>538</v>
      </c>
      <c r="F73" s="1161" t="str">
        <f>Subject_Condition</f>
        <v>Average</v>
      </c>
      <c r="G73" s="1788"/>
      <c r="H73" s="1788"/>
      <c r="I73" s="1788"/>
      <c r="J73" s="1788"/>
      <c r="K73" s="1788"/>
      <c r="L73" s="1162"/>
      <c r="M73" s="101"/>
      <c r="N73" s="6"/>
      <c r="O73" s="10"/>
      <c r="P73" s="10"/>
      <c r="Q73" s="10"/>
      <c r="R73" s="10"/>
      <c r="S73" s="10"/>
      <c r="T73" s="10"/>
      <c r="U73" s="10"/>
      <c r="V73" s="10"/>
      <c r="W73" s="10"/>
      <c r="X73" s="10"/>
      <c r="Y73" s="10"/>
      <c r="Z73" s="10"/>
      <c r="AA73" s="10"/>
      <c r="AB73" s="10"/>
    </row>
    <row r="74" spans="1:28" ht="14.25" customHeight="1" x14ac:dyDescent="0.25">
      <c r="A74" s="1101">
        <f>A75</f>
        <v>2</v>
      </c>
      <c r="B74" s="16"/>
      <c r="C74" s="130"/>
      <c r="D74" s="520"/>
      <c r="E74" s="1120" t="s">
        <v>17</v>
      </c>
      <c r="F74" s="1197">
        <f>Subject_AgeEffective</f>
        <v>0</v>
      </c>
      <c r="G74" s="1932"/>
      <c r="H74" s="1932"/>
      <c r="I74" s="1932"/>
      <c r="J74" s="1932"/>
      <c r="K74" s="1932"/>
      <c r="L74" s="2036"/>
      <c r="M74" s="101"/>
      <c r="N74" s="6"/>
      <c r="O74" s="10"/>
      <c r="P74" s="10"/>
      <c r="Q74" s="10"/>
      <c r="R74" s="10"/>
      <c r="S74" s="10"/>
      <c r="T74" s="10"/>
      <c r="U74" s="10"/>
      <c r="V74" s="10"/>
      <c r="W74" s="10"/>
      <c r="X74" s="10"/>
      <c r="Y74" s="10"/>
      <c r="Z74" s="10"/>
      <c r="AA74" s="10"/>
      <c r="AB74" s="10"/>
    </row>
    <row r="75" spans="1:28" ht="14.25" customHeight="1" x14ac:dyDescent="0.25">
      <c r="A75" s="1100">
        <f>IF(B75=TRUE,1,2)</f>
        <v>2</v>
      </c>
      <c r="B75" s="1082" t="b">
        <v>0</v>
      </c>
      <c r="C75" s="1210"/>
      <c r="D75" s="1503" t="str">
        <f>IF(Income_RentAdjType_2&lt;&gt;"Qualitative","Adjustment","Relative Comparison")</f>
        <v>Adjustment</v>
      </c>
      <c r="E75" s="1211"/>
      <c r="F75" s="1212"/>
      <c r="G75" s="1855">
        <f t="shared" ref="G75:L75" si="20">IF(Income_RentAdjType_2="Percent",IF(AND(G76=0,G77=0,G78=0),0,IF(G76&lt;&gt;0,G76,IF(G77&lt;&gt;0,G77/(G$54*G$64),G78/G$54))),IF(Income_RentAdjType_2="$ per Unit",IF(AND(G76=0,G77=0,G78=0),0,IF(G76&lt;&gt;0,G76*G$54,IF(G77&lt;&gt;0,G77/G$64,G78))),IF(OR(G76&gt;0,G77&gt;0,G78&gt;0),"Inferior",IF(OR(G76&lt;0,G77&lt;0,G78&lt;0),"Superior","Similar"))))</f>
        <v>0</v>
      </c>
      <c r="H75" s="1855">
        <f t="shared" si="20"/>
        <v>0</v>
      </c>
      <c r="I75" s="1855">
        <f t="shared" si="20"/>
        <v>0</v>
      </c>
      <c r="J75" s="1855">
        <f t="shared" si="20"/>
        <v>0</v>
      </c>
      <c r="K75" s="1855">
        <f t="shared" si="20"/>
        <v>0</v>
      </c>
      <c r="L75" s="1150">
        <f t="shared" si="20"/>
        <v>0</v>
      </c>
      <c r="M75" s="101"/>
      <c r="N75" s="6"/>
      <c r="O75" s="10"/>
      <c r="P75" s="10"/>
      <c r="Q75" s="10"/>
      <c r="R75" s="10"/>
      <c r="S75" s="10"/>
      <c r="T75" s="10"/>
      <c r="U75" s="10"/>
      <c r="V75" s="10"/>
      <c r="W75" s="10"/>
      <c r="X75" s="10"/>
      <c r="Y75" s="10"/>
      <c r="Z75" s="10"/>
      <c r="AA75" s="10"/>
      <c r="AB75" s="10"/>
    </row>
    <row r="76" spans="1:28" ht="14.25" customHeight="1" x14ac:dyDescent="0.25">
      <c r="A76" s="1100">
        <f>IF(A75=2,2,0)</f>
        <v>2</v>
      </c>
      <c r="B76" s="16"/>
      <c r="C76" s="130"/>
      <c r="D76" s="520"/>
      <c r="E76" s="480"/>
      <c r="F76" s="1120" t="s">
        <v>166</v>
      </c>
      <c r="G76" s="1926"/>
      <c r="H76" s="1926"/>
      <c r="I76" s="1926"/>
      <c r="J76" s="1926"/>
      <c r="K76" s="1926"/>
      <c r="L76" s="2030"/>
      <c r="M76" s="101"/>
      <c r="N76" s="6"/>
      <c r="O76" s="10"/>
      <c r="P76" s="10"/>
      <c r="Q76" s="10"/>
      <c r="R76" s="10"/>
      <c r="S76" s="10"/>
      <c r="T76" s="10"/>
      <c r="U76" s="10"/>
      <c r="V76" s="10"/>
      <c r="W76" s="10"/>
      <c r="X76" s="10"/>
      <c r="Y76" s="10"/>
      <c r="Z76" s="10"/>
      <c r="AA76" s="10"/>
      <c r="AB76" s="10"/>
    </row>
    <row r="77" spans="1:28" ht="14.25" customHeight="1" x14ac:dyDescent="0.25">
      <c r="A77" s="1100">
        <f>IF(A76=2,2,0)</f>
        <v>2</v>
      </c>
      <c r="B77" s="16"/>
      <c r="C77" s="130"/>
      <c r="D77" s="520"/>
      <c r="E77" s="480"/>
      <c r="F77" s="1120" t="s">
        <v>167</v>
      </c>
      <c r="G77" s="1927"/>
      <c r="H77" s="1927"/>
      <c r="I77" s="1927"/>
      <c r="J77" s="1927"/>
      <c r="K77" s="1927"/>
      <c r="L77" s="2031"/>
      <c r="M77" s="101"/>
      <c r="N77" s="6"/>
      <c r="O77" s="10"/>
      <c r="P77" s="10"/>
      <c r="Q77" s="10"/>
      <c r="R77" s="10"/>
      <c r="S77" s="10"/>
      <c r="T77" s="10"/>
      <c r="U77" s="10"/>
      <c r="V77" s="10"/>
      <c r="W77" s="10"/>
      <c r="X77" s="10"/>
      <c r="Y77" s="10"/>
      <c r="Z77" s="10"/>
      <c r="AA77" s="10"/>
      <c r="AB77" s="10"/>
    </row>
    <row r="78" spans="1:28" ht="14.25" customHeight="1" x14ac:dyDescent="0.25">
      <c r="A78" s="1100">
        <f>IF(A77=2,2,0)</f>
        <v>2</v>
      </c>
      <c r="B78" s="16"/>
      <c r="C78" s="130"/>
      <c r="D78" s="520"/>
      <c r="E78" s="480"/>
      <c r="F78" s="1120" t="s">
        <v>710</v>
      </c>
      <c r="G78" s="1921"/>
      <c r="H78" s="1921"/>
      <c r="I78" s="1921"/>
      <c r="J78" s="1921"/>
      <c r="K78" s="1921"/>
      <c r="L78" s="2025"/>
      <c r="M78" s="101"/>
      <c r="N78" s="6"/>
      <c r="O78" s="10"/>
      <c r="P78" s="10"/>
      <c r="Q78" s="10"/>
      <c r="R78" s="10"/>
      <c r="S78" s="10"/>
      <c r="T78" s="10"/>
      <c r="U78" s="10"/>
      <c r="V78" s="10"/>
      <c r="W78" s="10"/>
      <c r="X78" s="10"/>
      <c r="Y78" s="10"/>
      <c r="Z78" s="10"/>
      <c r="AA78" s="10"/>
      <c r="AB78" s="10"/>
    </row>
    <row r="79" spans="1:28" ht="8.1" customHeight="1" x14ac:dyDescent="0.25">
      <c r="A79" s="1100">
        <f>A84</f>
        <v>2</v>
      </c>
      <c r="B79" s="16"/>
      <c r="C79" s="130"/>
      <c r="D79" s="520"/>
      <c r="E79" s="480"/>
      <c r="F79" s="1127"/>
      <c r="G79" s="1930">
        <f t="shared" ref="G79:L79" si="21">IF(AND(G85=0,G86=0,G87=0),0,IF(G85&lt;&gt;0,G85,IF(G86&lt;&gt;0,G86/(G$54*G$64),G87/G$54)))</f>
        <v>0</v>
      </c>
      <c r="H79" s="1930">
        <f t="shared" si="21"/>
        <v>0</v>
      </c>
      <c r="I79" s="1930">
        <f t="shared" si="21"/>
        <v>0</v>
      </c>
      <c r="J79" s="1930">
        <f t="shared" si="21"/>
        <v>0</v>
      </c>
      <c r="K79" s="1930">
        <f t="shared" si="21"/>
        <v>0</v>
      </c>
      <c r="L79" s="2034">
        <f t="shared" si="21"/>
        <v>0</v>
      </c>
      <c r="M79" s="101"/>
      <c r="N79" s="6"/>
      <c r="O79" s="10"/>
      <c r="P79" s="10"/>
      <c r="Q79" s="10"/>
      <c r="R79" s="10"/>
      <c r="S79" s="10"/>
      <c r="T79" s="10"/>
      <c r="U79" s="10"/>
      <c r="V79" s="10"/>
      <c r="W79" s="10"/>
      <c r="X79" s="10"/>
      <c r="Y79" s="10"/>
      <c r="Z79" s="10"/>
      <c r="AA79" s="10"/>
      <c r="AB79" s="10"/>
    </row>
    <row r="80" spans="1:28" x14ac:dyDescent="0.25">
      <c r="A80" s="1100">
        <f>A84</f>
        <v>2</v>
      </c>
      <c r="B80" s="16"/>
      <c r="C80" s="130"/>
      <c r="D80" s="1489" t="s">
        <v>288</v>
      </c>
      <c r="E80" s="1119"/>
      <c r="F80" s="1161" t="str">
        <f>IF(dpIncome_RentAdjustment_4_2="Construction Quality",CONCATENATE(Subject_ConstructionQuality," Class ",Subject_ConstructionClass),CONCATENATE(Subject_ConstructionQuality," Class ",Subject_InvestmentClass))</f>
        <v>Good Class B</v>
      </c>
      <c r="G80" s="1788" t="str">
        <f t="shared" ref="G80:L80" si="22">IF(dpIncome_RentAdjustment_4_2="Construction Quality",CONCATENATE(G81," Class ",G82),CONCATENATE(G81," Class ",G83))</f>
        <v xml:space="preserve"> Class </v>
      </c>
      <c r="H80" s="1788" t="str">
        <f t="shared" si="22"/>
        <v xml:space="preserve"> Class </v>
      </c>
      <c r="I80" s="1788" t="str">
        <f t="shared" si="22"/>
        <v xml:space="preserve"> Class </v>
      </c>
      <c r="J80" s="1788" t="str">
        <f t="shared" si="22"/>
        <v xml:space="preserve"> Class </v>
      </c>
      <c r="K80" s="1788" t="str">
        <f t="shared" si="22"/>
        <v xml:space="preserve"> Class </v>
      </c>
      <c r="L80" s="1162" t="str">
        <f t="shared" si="22"/>
        <v xml:space="preserve"> Class </v>
      </c>
      <c r="M80" s="101"/>
      <c r="N80" s="6"/>
      <c r="O80" s="10"/>
      <c r="P80" s="10"/>
      <c r="Q80" s="10"/>
      <c r="R80" s="10"/>
      <c r="S80" s="10"/>
      <c r="T80" s="10"/>
      <c r="U80" s="10"/>
      <c r="V80" s="10"/>
      <c r="W80" s="10"/>
      <c r="X80" s="10"/>
      <c r="Y80" s="10"/>
      <c r="Z80" s="10"/>
      <c r="AA80" s="10"/>
      <c r="AB80" s="10"/>
    </row>
    <row r="81" spans="1:28" ht="14.25" customHeight="1" x14ac:dyDescent="0.25">
      <c r="A81" s="1101">
        <f>IF(A84=2,2,0)</f>
        <v>2</v>
      </c>
      <c r="B81" s="16"/>
      <c r="C81" s="130"/>
      <c r="D81" s="1198"/>
      <c r="E81" s="1198"/>
      <c r="F81" s="1120" t="s">
        <v>288</v>
      </c>
      <c r="G81" s="1780"/>
      <c r="H81" s="1781"/>
      <c r="I81" s="1780"/>
      <c r="J81" s="1780"/>
      <c r="K81" s="1780"/>
      <c r="L81" s="1947"/>
      <c r="M81" s="101"/>
      <c r="N81" s="6"/>
      <c r="O81" s="10"/>
      <c r="P81" s="10"/>
      <c r="Q81" s="10"/>
      <c r="R81" s="10"/>
      <c r="S81" s="10"/>
      <c r="T81" s="10"/>
      <c r="U81" s="10"/>
      <c r="V81" s="10"/>
      <c r="W81" s="10"/>
      <c r="X81" s="10"/>
      <c r="Y81" s="10"/>
      <c r="Z81" s="10"/>
      <c r="AA81" s="10"/>
      <c r="AB81" s="10"/>
    </row>
    <row r="82" spans="1:28" ht="14.25" customHeight="1" x14ac:dyDescent="0.25">
      <c r="A82" s="1101">
        <f>IF(A84=2,2,0)</f>
        <v>2</v>
      </c>
      <c r="B82" s="16"/>
      <c r="C82" s="130"/>
      <c r="D82" s="1198"/>
      <c r="E82" s="1198"/>
      <c r="F82" s="1119" t="s">
        <v>307</v>
      </c>
      <c r="G82" s="1780"/>
      <c r="H82" s="1781"/>
      <c r="I82" s="1780"/>
      <c r="J82" s="1780"/>
      <c r="K82" s="1780"/>
      <c r="L82" s="1947"/>
      <c r="M82" s="101"/>
      <c r="N82" s="6"/>
      <c r="O82" s="10"/>
      <c r="P82" s="10"/>
      <c r="Q82" s="10"/>
      <c r="R82" s="10"/>
      <c r="S82" s="10"/>
      <c r="T82" s="10"/>
      <c r="U82" s="10"/>
      <c r="V82" s="10"/>
      <c r="W82" s="10"/>
      <c r="X82" s="10"/>
      <c r="Y82" s="10"/>
      <c r="Z82" s="10"/>
      <c r="AA82" s="10"/>
      <c r="AB82" s="10"/>
    </row>
    <row r="83" spans="1:28" ht="14.25" customHeight="1" x14ac:dyDescent="0.25">
      <c r="A83" s="1101">
        <f>IF(A84=2,2,0)</f>
        <v>2</v>
      </c>
      <c r="B83" s="16"/>
      <c r="C83" s="130"/>
      <c r="D83" s="1198"/>
      <c r="E83" s="1198"/>
      <c r="F83" s="1119" t="s">
        <v>308</v>
      </c>
      <c r="G83" s="1780"/>
      <c r="H83" s="1781"/>
      <c r="I83" s="1780"/>
      <c r="J83" s="1780"/>
      <c r="K83" s="1780"/>
      <c r="L83" s="1947"/>
      <c r="M83" s="101"/>
      <c r="N83" s="6"/>
      <c r="O83" s="10"/>
      <c r="P83" s="10"/>
      <c r="Q83" s="10"/>
      <c r="R83" s="10"/>
      <c r="S83" s="10"/>
      <c r="T83" s="10"/>
      <c r="U83" s="10"/>
      <c r="V83" s="10"/>
      <c r="W83" s="10"/>
      <c r="X83" s="10"/>
      <c r="Y83" s="10"/>
      <c r="Z83" s="10"/>
      <c r="AA83" s="10"/>
      <c r="AB83" s="10"/>
    </row>
    <row r="84" spans="1:28" ht="14.25" customHeight="1" x14ac:dyDescent="0.25">
      <c r="A84" s="1100">
        <f>IF(B84=TRUE,1,2)</f>
        <v>2</v>
      </c>
      <c r="B84" s="1082" t="b">
        <v>0</v>
      </c>
      <c r="C84" s="1210"/>
      <c r="D84" s="1503" t="str">
        <f>IF(Income_RentAdjType_2&lt;&gt;"Qualitative","Adjustment","Relative Comparison")</f>
        <v>Adjustment</v>
      </c>
      <c r="E84" s="1211"/>
      <c r="F84" s="1212"/>
      <c r="G84" s="1855">
        <f t="shared" ref="G84:L84" si="23">IF(Income_RentAdjType_2="Percent",IF(AND(G85=0,G86=0,G87=0),0,IF(G85&lt;&gt;0,G85,IF(G86&lt;&gt;0,G86/(G$54*G$64),G87/G$54))),IF(Income_RentAdjType_2="$ per Unit",IF(AND(G85=0,G86=0,G87=0),0,IF(G85&lt;&gt;0,G85*G$54,IF(G86&lt;&gt;0,G86/G$64,G87))),IF(OR(G85&gt;0,G86&gt;0,G87&gt;0),"Inferior",IF(OR(G85&lt;0,G86&lt;0,G87&lt;0),"Superior","Similar"))))</f>
        <v>0</v>
      </c>
      <c r="H84" s="1855">
        <f t="shared" si="23"/>
        <v>0</v>
      </c>
      <c r="I84" s="1855">
        <f t="shared" si="23"/>
        <v>0</v>
      </c>
      <c r="J84" s="1855">
        <f t="shared" si="23"/>
        <v>0</v>
      </c>
      <c r="K84" s="1855">
        <f t="shared" si="23"/>
        <v>0</v>
      </c>
      <c r="L84" s="1150">
        <f t="shared" si="23"/>
        <v>0</v>
      </c>
      <c r="M84" s="101"/>
      <c r="N84" s="6"/>
      <c r="O84" s="10"/>
      <c r="P84" s="10"/>
      <c r="Q84" s="10"/>
      <c r="R84" s="10"/>
      <c r="S84" s="10"/>
      <c r="T84" s="10"/>
      <c r="U84" s="10"/>
      <c r="V84" s="10"/>
      <c r="W84" s="10"/>
      <c r="X84" s="10"/>
      <c r="Y84" s="10"/>
      <c r="Z84" s="10"/>
      <c r="AA84" s="10"/>
      <c r="AB84" s="10"/>
    </row>
    <row r="85" spans="1:28" ht="14.25" customHeight="1" x14ac:dyDescent="0.25">
      <c r="A85" s="1100">
        <f>IF(A84=2,2,0)</f>
        <v>2</v>
      </c>
      <c r="B85" s="16"/>
      <c r="C85" s="130"/>
      <c r="D85" s="520"/>
      <c r="E85" s="480"/>
      <c r="F85" s="1120" t="s">
        <v>166</v>
      </c>
      <c r="G85" s="1926"/>
      <c r="H85" s="1926"/>
      <c r="I85" s="1926"/>
      <c r="J85" s="1926"/>
      <c r="K85" s="1926"/>
      <c r="L85" s="2030"/>
      <c r="M85" s="101"/>
      <c r="N85" s="6"/>
      <c r="O85" s="10"/>
      <c r="P85" s="10"/>
      <c r="Q85" s="10"/>
      <c r="R85" s="10"/>
      <c r="S85" s="10"/>
      <c r="T85" s="10"/>
      <c r="U85" s="10"/>
      <c r="V85" s="10"/>
      <c r="W85" s="10"/>
      <c r="X85" s="10"/>
      <c r="Y85" s="10"/>
      <c r="Z85" s="10"/>
      <c r="AA85" s="10"/>
      <c r="AB85" s="10"/>
    </row>
    <row r="86" spans="1:28" ht="14.25" customHeight="1" x14ac:dyDescent="0.25">
      <c r="A86" s="1100">
        <f>IF(A85=2,2,0)</f>
        <v>2</v>
      </c>
      <c r="B86" s="16"/>
      <c r="C86" s="130"/>
      <c r="D86" s="520"/>
      <c r="E86" s="480"/>
      <c r="F86" s="1120" t="s">
        <v>167</v>
      </c>
      <c r="G86" s="1927"/>
      <c r="H86" s="1927"/>
      <c r="I86" s="1927"/>
      <c r="J86" s="1927"/>
      <c r="K86" s="1927"/>
      <c r="L86" s="2031"/>
      <c r="M86" s="101"/>
      <c r="N86" s="6"/>
      <c r="O86" s="10"/>
      <c r="P86" s="10"/>
      <c r="Q86" s="10"/>
      <c r="R86" s="10"/>
      <c r="S86" s="10"/>
      <c r="T86" s="10"/>
      <c r="U86" s="10"/>
      <c r="V86" s="10"/>
      <c r="W86" s="10"/>
      <c r="X86" s="10"/>
      <c r="Y86" s="10"/>
      <c r="Z86" s="10"/>
      <c r="AA86" s="10"/>
      <c r="AB86" s="10"/>
    </row>
    <row r="87" spans="1:28" ht="14.25" customHeight="1" x14ac:dyDescent="0.25">
      <c r="A87" s="1100">
        <f>IF(A86=2,2,0)</f>
        <v>2</v>
      </c>
      <c r="B87" s="16"/>
      <c r="C87" s="130"/>
      <c r="D87" s="520"/>
      <c r="E87" s="480"/>
      <c r="F87" s="1120" t="s">
        <v>710</v>
      </c>
      <c r="G87" s="1921"/>
      <c r="H87" s="1921"/>
      <c r="I87" s="1921"/>
      <c r="J87" s="1921"/>
      <c r="K87" s="1921"/>
      <c r="L87" s="2025"/>
      <c r="M87" s="101"/>
      <c r="N87" s="6"/>
      <c r="O87" s="10"/>
      <c r="P87" s="10"/>
      <c r="Q87" s="10"/>
      <c r="R87" s="10"/>
      <c r="S87" s="10"/>
      <c r="T87" s="10"/>
      <c r="U87" s="10"/>
      <c r="V87" s="10"/>
      <c r="W87" s="10"/>
      <c r="X87" s="10"/>
      <c r="Y87" s="10"/>
      <c r="Z87" s="10"/>
      <c r="AA87" s="10"/>
      <c r="AB87" s="10"/>
    </row>
    <row r="88" spans="1:28" ht="8.1" customHeight="1" x14ac:dyDescent="0.25">
      <c r="A88" s="1100">
        <f>A90</f>
        <v>2</v>
      </c>
      <c r="B88" s="16"/>
      <c r="C88" s="130"/>
      <c r="D88" s="520"/>
      <c r="E88" s="480"/>
      <c r="F88" s="1127"/>
      <c r="G88" s="1930">
        <f t="shared" ref="G88:L88" si="24">IF(AND(G91=0,G92=0,G93=0),0,IF(G91&lt;&gt;0,G91,IF(G92&lt;&gt;0,G92/(G$54*G$64),G93/G$54)))</f>
        <v>0</v>
      </c>
      <c r="H88" s="1930">
        <f t="shared" si="24"/>
        <v>0</v>
      </c>
      <c r="I88" s="1930">
        <f t="shared" si="24"/>
        <v>0</v>
      </c>
      <c r="J88" s="1930">
        <f t="shared" si="24"/>
        <v>0</v>
      </c>
      <c r="K88" s="1930">
        <f t="shared" si="24"/>
        <v>0</v>
      </c>
      <c r="L88" s="2034">
        <f t="shared" si="24"/>
        <v>0</v>
      </c>
      <c r="M88" s="101"/>
      <c r="N88" s="6"/>
      <c r="O88" s="10"/>
      <c r="P88" s="10"/>
      <c r="Q88" s="10"/>
      <c r="R88" s="10"/>
      <c r="S88" s="10"/>
      <c r="T88" s="10"/>
      <c r="U88" s="10"/>
      <c r="V88" s="10"/>
      <c r="W88" s="10"/>
      <c r="X88" s="10"/>
      <c r="Y88" s="10"/>
      <c r="Z88" s="10"/>
      <c r="AA88" s="10"/>
      <c r="AB88" s="10"/>
    </row>
    <row r="89" spans="1:28" x14ac:dyDescent="0.25">
      <c r="A89" s="1100">
        <f>A90</f>
        <v>2</v>
      </c>
      <c r="B89" s="16"/>
      <c r="C89" s="130"/>
      <c r="D89" s="1489" t="s">
        <v>305</v>
      </c>
      <c r="E89" s="1198"/>
      <c r="F89" s="1170"/>
      <c r="G89" s="1933"/>
      <c r="H89" s="1933"/>
      <c r="I89" s="1933"/>
      <c r="J89" s="1933"/>
      <c r="K89" s="1933"/>
      <c r="L89" s="2037"/>
      <c r="M89" s="101"/>
      <c r="N89" s="6"/>
      <c r="O89" s="10"/>
      <c r="P89" s="10"/>
      <c r="Q89" s="10"/>
      <c r="R89" s="10"/>
      <c r="S89" s="10"/>
      <c r="T89" s="10"/>
      <c r="U89" s="10"/>
      <c r="V89" s="10"/>
      <c r="W89" s="10"/>
      <c r="X89" s="10"/>
      <c r="Y89" s="10"/>
      <c r="Z89" s="10"/>
      <c r="AA89" s="10"/>
      <c r="AB89" s="10"/>
    </row>
    <row r="90" spans="1:28" ht="14.25" customHeight="1" x14ac:dyDescent="0.25">
      <c r="A90" s="1100">
        <f>IF(B90=TRUE,1,2)</f>
        <v>2</v>
      </c>
      <c r="B90" s="1082" t="b">
        <v>0</v>
      </c>
      <c r="C90" s="1210"/>
      <c r="D90" s="1503" t="str">
        <f>IF(Income_RentAdjType_2&lt;&gt;"Qualitative","Adjustment","Relative Comparison")</f>
        <v>Adjustment</v>
      </c>
      <c r="E90" s="1211"/>
      <c r="F90" s="1212"/>
      <c r="G90" s="1855">
        <f t="shared" ref="G90:L90" si="25">IF(Income_RentAdjType_2="Percent",IF(AND(G91=0,G92=0,G93=0),0,IF(G91&lt;&gt;0,G91,IF(G92&lt;&gt;0,G92/(G$54*G$64),G93/G$54))),IF(Income_RentAdjType_2="$ per Unit",IF(AND(G91=0,G92=0,G93=0),0,IF(G91&lt;&gt;0,G91*G$54,IF(G92&lt;&gt;0,G92/G$64,G93))),IF(OR(G91&gt;0,G92&gt;0,G93&gt;0),"Inferior",IF(OR(G91&lt;0,G92&lt;0,G93&lt;0),"Superior","Similar"))))</f>
        <v>0</v>
      </c>
      <c r="H90" s="1855">
        <f t="shared" si="25"/>
        <v>0</v>
      </c>
      <c r="I90" s="1855">
        <f t="shared" si="25"/>
        <v>0</v>
      </c>
      <c r="J90" s="1855">
        <f t="shared" si="25"/>
        <v>0</v>
      </c>
      <c r="K90" s="1855">
        <f t="shared" si="25"/>
        <v>0</v>
      </c>
      <c r="L90" s="1150">
        <f t="shared" si="25"/>
        <v>0</v>
      </c>
      <c r="M90" s="101"/>
      <c r="N90" s="6"/>
      <c r="O90" s="10"/>
      <c r="P90" s="10"/>
      <c r="Q90" s="10"/>
      <c r="R90" s="10"/>
      <c r="S90" s="10"/>
      <c r="T90" s="10"/>
      <c r="U90" s="10"/>
      <c r="V90" s="10"/>
      <c r="W90" s="10"/>
      <c r="X90" s="10"/>
      <c r="Y90" s="10"/>
      <c r="Z90" s="10"/>
      <c r="AA90" s="10"/>
      <c r="AB90" s="10"/>
    </row>
    <row r="91" spans="1:28" ht="14.25" customHeight="1" x14ac:dyDescent="0.25">
      <c r="A91" s="1100">
        <f>IF(A90=2,2,0)</f>
        <v>2</v>
      </c>
      <c r="B91" s="16"/>
      <c r="C91" s="130"/>
      <c r="D91" s="520"/>
      <c r="E91" s="480"/>
      <c r="F91" s="1120" t="s">
        <v>166</v>
      </c>
      <c r="G91" s="1926"/>
      <c r="H91" s="1926"/>
      <c r="I91" s="1926"/>
      <c r="J91" s="1926"/>
      <c r="K91" s="1926"/>
      <c r="L91" s="2030"/>
      <c r="M91" s="101"/>
      <c r="N91" s="6"/>
      <c r="O91" s="10"/>
      <c r="P91" s="10"/>
      <c r="Q91" s="10"/>
      <c r="R91" s="10"/>
      <c r="S91" s="10"/>
      <c r="T91" s="10"/>
      <c r="U91" s="10"/>
      <c r="V91" s="10"/>
      <c r="W91" s="10"/>
      <c r="X91" s="10"/>
      <c r="Y91" s="10"/>
      <c r="Z91" s="10"/>
      <c r="AA91" s="10"/>
      <c r="AB91" s="10"/>
    </row>
    <row r="92" spans="1:28" ht="14.25" customHeight="1" x14ac:dyDescent="0.25">
      <c r="A92" s="1100">
        <f>IF(A91=2,2,0)</f>
        <v>2</v>
      </c>
      <c r="B92" s="16"/>
      <c r="C92" s="130"/>
      <c r="D92" s="520"/>
      <c r="E92" s="480"/>
      <c r="F92" s="1120" t="s">
        <v>167</v>
      </c>
      <c r="G92" s="1927"/>
      <c r="H92" s="1927"/>
      <c r="I92" s="1927"/>
      <c r="J92" s="1927"/>
      <c r="K92" s="1927"/>
      <c r="L92" s="2031"/>
      <c r="M92" s="101"/>
      <c r="N92" s="6"/>
      <c r="O92" s="10"/>
      <c r="P92" s="10"/>
      <c r="Q92" s="10"/>
      <c r="R92" s="10"/>
      <c r="S92" s="10"/>
      <c r="T92" s="10"/>
      <c r="U92" s="10"/>
      <c r="V92" s="10"/>
      <c r="W92" s="10"/>
      <c r="X92" s="10"/>
      <c r="Y92" s="10"/>
      <c r="Z92" s="10"/>
      <c r="AA92" s="10"/>
      <c r="AB92" s="10"/>
    </row>
    <row r="93" spans="1:28" ht="14.25" customHeight="1" x14ac:dyDescent="0.25">
      <c r="A93" s="1100">
        <f>IF(A92=2,2,0)</f>
        <v>2</v>
      </c>
      <c r="B93" s="16"/>
      <c r="C93" s="130"/>
      <c r="D93" s="520"/>
      <c r="E93" s="480"/>
      <c r="F93" s="1120" t="s">
        <v>710</v>
      </c>
      <c r="G93" s="1921"/>
      <c r="H93" s="1921"/>
      <c r="I93" s="1921"/>
      <c r="J93" s="1921"/>
      <c r="K93" s="1921"/>
      <c r="L93" s="2025"/>
      <c r="M93" s="101"/>
      <c r="N93" s="6"/>
      <c r="O93" s="10"/>
      <c r="P93" s="10"/>
      <c r="Q93" s="10"/>
      <c r="R93" s="10"/>
      <c r="S93" s="10"/>
      <c r="T93" s="10"/>
      <c r="U93" s="10"/>
      <c r="V93" s="10"/>
      <c r="W93" s="10"/>
      <c r="X93" s="10"/>
      <c r="Y93" s="10"/>
      <c r="Z93" s="10"/>
      <c r="AA93" s="10"/>
      <c r="AB93" s="10"/>
    </row>
    <row r="94" spans="1:28" ht="8.1" customHeight="1" x14ac:dyDescent="0.25">
      <c r="A94" s="1100">
        <f>A96</f>
        <v>2</v>
      </c>
      <c r="B94" s="16"/>
      <c r="C94" s="130"/>
      <c r="D94" s="520"/>
      <c r="E94" s="480"/>
      <c r="F94" s="1127"/>
      <c r="G94" s="1930">
        <f t="shared" ref="G94:L94" si="26">IF(AND(G97=0,G98=0,G99=0),0,IF(G97&lt;&gt;0,G97,IF(G98&lt;&gt;0,G98/(G$54*G$64),G99/G$54)))</f>
        <v>0</v>
      </c>
      <c r="H94" s="1930">
        <f t="shared" si="26"/>
        <v>0</v>
      </c>
      <c r="I94" s="1930">
        <f t="shared" si="26"/>
        <v>0</v>
      </c>
      <c r="J94" s="1930">
        <f t="shared" si="26"/>
        <v>0</v>
      </c>
      <c r="K94" s="1930">
        <f t="shared" si="26"/>
        <v>0</v>
      </c>
      <c r="L94" s="2034">
        <f t="shared" si="26"/>
        <v>0</v>
      </c>
      <c r="M94" s="101"/>
      <c r="N94" s="6"/>
      <c r="O94" s="10"/>
      <c r="P94" s="10"/>
      <c r="Q94" s="10"/>
      <c r="R94" s="10"/>
      <c r="S94" s="10"/>
      <c r="T94" s="10"/>
      <c r="U94" s="10"/>
      <c r="V94" s="10"/>
      <c r="W94" s="10"/>
      <c r="X94" s="10"/>
      <c r="Y94" s="10"/>
      <c r="Z94" s="10"/>
      <c r="AA94" s="10"/>
      <c r="AB94" s="10"/>
    </row>
    <row r="95" spans="1:28" x14ac:dyDescent="0.25">
      <c r="A95" s="1100">
        <f>A96</f>
        <v>2</v>
      </c>
      <c r="B95" s="16"/>
      <c r="C95" s="130"/>
      <c r="D95" s="1489" t="s">
        <v>191</v>
      </c>
      <c r="E95" s="480"/>
      <c r="F95" s="1199">
        <f>Subject_ClearHeight</f>
        <v>0</v>
      </c>
      <c r="G95" s="1934"/>
      <c r="H95" s="1934"/>
      <c r="I95" s="1934"/>
      <c r="J95" s="1934"/>
      <c r="K95" s="1934"/>
      <c r="L95" s="2038"/>
      <c r="M95" s="101"/>
      <c r="N95" s="6"/>
      <c r="O95" s="10"/>
      <c r="P95" s="10"/>
      <c r="Q95" s="10"/>
      <c r="R95" s="10"/>
      <c r="S95" s="10"/>
      <c r="T95" s="10"/>
      <c r="U95" s="10"/>
      <c r="V95" s="10"/>
      <c r="W95" s="10"/>
      <c r="X95" s="10"/>
      <c r="Y95" s="10"/>
      <c r="Z95" s="10"/>
      <c r="AA95" s="10"/>
      <c r="AB95" s="10"/>
    </row>
    <row r="96" spans="1:28" ht="14.25" customHeight="1" x14ac:dyDescent="0.25">
      <c r="A96" s="1100">
        <f>IF(B96=TRUE,1,2)</f>
        <v>2</v>
      </c>
      <c r="B96" s="1082" t="b">
        <v>0</v>
      </c>
      <c r="C96" s="1210"/>
      <c r="D96" s="1503" t="str">
        <f>IF(Income_RentAdjType_2&lt;&gt;"Qualitative","Adjustment","Relative Comparison")</f>
        <v>Adjustment</v>
      </c>
      <c r="E96" s="1211"/>
      <c r="F96" s="1212"/>
      <c r="G96" s="1855">
        <f t="shared" ref="G96:L96" si="27">IF(Income_RentAdjType_2="Percent",IF(AND(G97=0,G98=0,G99=0),0,IF(G97&lt;&gt;0,G97,IF(G98&lt;&gt;0,G98/(G$54*G$64),G99/G$54))),IF(Income_RentAdjType_2="$ per Unit",IF(AND(G97=0,G98=0,G99=0),0,IF(G97&lt;&gt;0,G97*G$54,IF(G98&lt;&gt;0,G98/G$64,G99))),IF(OR(G97&gt;0,G98&gt;0,G99&gt;0),"Inferior",IF(OR(G97&lt;0,G98&lt;0,G99&lt;0),"Superior","Similar"))))</f>
        <v>0</v>
      </c>
      <c r="H96" s="1855">
        <f t="shared" si="27"/>
        <v>0</v>
      </c>
      <c r="I96" s="1855">
        <f t="shared" si="27"/>
        <v>0</v>
      </c>
      <c r="J96" s="1855">
        <f t="shared" si="27"/>
        <v>0</v>
      </c>
      <c r="K96" s="1855">
        <f t="shared" si="27"/>
        <v>0</v>
      </c>
      <c r="L96" s="1150">
        <f t="shared" si="27"/>
        <v>0</v>
      </c>
      <c r="M96" s="101"/>
      <c r="N96" s="6"/>
      <c r="O96" s="10"/>
      <c r="P96" s="10"/>
      <c r="Q96" s="10"/>
      <c r="R96" s="10"/>
      <c r="S96" s="10"/>
      <c r="T96" s="10"/>
      <c r="U96" s="10"/>
      <c r="V96" s="10"/>
      <c r="W96" s="10"/>
      <c r="X96" s="10"/>
      <c r="Y96" s="10"/>
      <c r="Z96" s="10"/>
      <c r="AA96" s="10"/>
      <c r="AB96" s="10"/>
    </row>
    <row r="97" spans="1:28" ht="14.25" customHeight="1" x14ac:dyDescent="0.25">
      <c r="A97" s="1100">
        <f>IF(A96=2,2,0)</f>
        <v>2</v>
      </c>
      <c r="B97" s="16"/>
      <c r="C97" s="130"/>
      <c r="D97" s="520"/>
      <c r="E97" s="480"/>
      <c r="F97" s="1120" t="s">
        <v>166</v>
      </c>
      <c r="G97" s="1926"/>
      <c r="H97" s="1926"/>
      <c r="I97" s="1926"/>
      <c r="J97" s="1926"/>
      <c r="K97" s="1926"/>
      <c r="L97" s="2030"/>
      <c r="M97" s="101"/>
      <c r="N97" s="6"/>
      <c r="O97" s="10"/>
      <c r="P97" s="10"/>
      <c r="Q97" s="10"/>
      <c r="R97" s="10"/>
      <c r="S97" s="10"/>
      <c r="T97" s="10"/>
      <c r="U97" s="10"/>
      <c r="V97" s="10"/>
      <c r="W97" s="10"/>
      <c r="X97" s="10"/>
      <c r="Y97" s="10"/>
      <c r="Z97" s="10"/>
      <c r="AA97" s="10"/>
      <c r="AB97" s="10"/>
    </row>
    <row r="98" spans="1:28" ht="14.25" customHeight="1" x14ac:dyDescent="0.25">
      <c r="A98" s="1100">
        <f>IF(A97=2,2,0)</f>
        <v>2</v>
      </c>
      <c r="B98" s="16"/>
      <c r="C98" s="130"/>
      <c r="D98" s="520"/>
      <c r="E98" s="480"/>
      <c r="F98" s="1120" t="s">
        <v>167</v>
      </c>
      <c r="G98" s="1927"/>
      <c r="H98" s="1927"/>
      <c r="I98" s="1927"/>
      <c r="J98" s="1927"/>
      <c r="K98" s="1927"/>
      <c r="L98" s="2031"/>
      <c r="M98" s="101"/>
      <c r="N98" s="6"/>
      <c r="O98" s="10"/>
      <c r="P98" s="10"/>
      <c r="Q98" s="10"/>
      <c r="R98" s="10"/>
      <c r="S98" s="10"/>
      <c r="T98" s="10"/>
      <c r="U98" s="10"/>
      <c r="V98" s="10"/>
      <c r="W98" s="10"/>
      <c r="X98" s="10"/>
      <c r="Y98" s="10"/>
      <c r="Z98" s="10"/>
      <c r="AA98" s="10"/>
      <c r="AB98" s="10"/>
    </row>
    <row r="99" spans="1:28" ht="14.25" customHeight="1" x14ac:dyDescent="0.25">
      <c r="A99" s="1100">
        <f>IF(A98=2,2,0)</f>
        <v>2</v>
      </c>
      <c r="B99" s="16"/>
      <c r="C99" s="130"/>
      <c r="D99" s="520"/>
      <c r="E99" s="480"/>
      <c r="F99" s="1120" t="s">
        <v>710</v>
      </c>
      <c r="G99" s="1921"/>
      <c r="H99" s="1921"/>
      <c r="I99" s="1921"/>
      <c r="J99" s="1921"/>
      <c r="K99" s="1921"/>
      <c r="L99" s="2025"/>
      <c r="M99" s="101"/>
      <c r="N99" s="6"/>
      <c r="O99" s="10"/>
      <c r="P99" s="10"/>
      <c r="Q99" s="10"/>
      <c r="R99" s="10"/>
      <c r="S99" s="10"/>
      <c r="T99" s="10"/>
      <c r="U99" s="10"/>
      <c r="V99" s="10"/>
      <c r="W99" s="10"/>
      <c r="X99" s="10"/>
      <c r="Y99" s="10"/>
      <c r="Z99" s="10"/>
      <c r="AA99" s="10"/>
      <c r="AB99" s="10"/>
    </row>
    <row r="100" spans="1:28" ht="8.1" customHeight="1" x14ac:dyDescent="0.25">
      <c r="A100" s="1100">
        <f>A102</f>
        <v>2</v>
      </c>
      <c r="B100" s="16"/>
      <c r="C100" s="130"/>
      <c r="D100" s="520"/>
      <c r="E100" s="480"/>
      <c r="F100" s="1127"/>
      <c r="G100" s="1930">
        <f t="shared" ref="G100:L100" si="28">IF(AND(G103=0,G104=0,G105=0),0,IF(G103&lt;&gt;0,G103,IF(G104&lt;&gt;0,G104/(G$54*G$64),G105/G$54)))</f>
        <v>0</v>
      </c>
      <c r="H100" s="1930">
        <f t="shared" si="28"/>
        <v>0</v>
      </c>
      <c r="I100" s="1930">
        <f t="shared" si="28"/>
        <v>0</v>
      </c>
      <c r="J100" s="1930">
        <f t="shared" si="28"/>
        <v>0</v>
      </c>
      <c r="K100" s="1930">
        <f t="shared" si="28"/>
        <v>0</v>
      </c>
      <c r="L100" s="2034">
        <f t="shared" si="28"/>
        <v>0</v>
      </c>
      <c r="M100" s="101"/>
      <c r="N100" s="6"/>
      <c r="O100" s="10"/>
      <c r="P100" s="10"/>
      <c r="Q100" s="10"/>
      <c r="R100" s="10"/>
      <c r="S100" s="10"/>
      <c r="T100" s="10"/>
      <c r="U100" s="10"/>
      <c r="V100" s="10"/>
      <c r="W100" s="10"/>
      <c r="X100" s="10"/>
      <c r="Y100" s="10"/>
      <c r="Z100" s="10"/>
      <c r="AA100" s="10"/>
      <c r="AB100" s="10"/>
    </row>
    <row r="101" spans="1:28" x14ac:dyDescent="0.25">
      <c r="A101" s="1100">
        <f>A102</f>
        <v>2</v>
      </c>
      <c r="B101" s="16"/>
      <c r="C101" s="130"/>
      <c r="D101" s="1489" t="s">
        <v>285</v>
      </c>
      <c r="E101" s="480"/>
      <c r="F101" s="1200">
        <f>Subject_PercentOfficeFinish</f>
        <v>7.4999999999999997E-2</v>
      </c>
      <c r="G101" s="1935"/>
      <c r="H101" s="1935"/>
      <c r="I101" s="1935"/>
      <c r="J101" s="1935"/>
      <c r="K101" s="1935"/>
      <c r="L101" s="2039"/>
      <c r="M101" s="101"/>
      <c r="N101" s="6"/>
      <c r="O101" s="10"/>
      <c r="P101" s="10"/>
      <c r="Q101" s="10"/>
      <c r="R101" s="10"/>
      <c r="S101" s="10"/>
      <c r="T101" s="10"/>
      <c r="U101" s="10"/>
      <c r="V101" s="10"/>
      <c r="W101" s="10"/>
      <c r="X101" s="10"/>
      <c r="Y101" s="10"/>
      <c r="Z101" s="10"/>
      <c r="AA101" s="10"/>
      <c r="AB101" s="10"/>
    </row>
    <row r="102" spans="1:28" ht="14.25" customHeight="1" x14ac:dyDescent="0.25">
      <c r="A102" s="1100">
        <f>IF(B102=TRUE,1,2)</f>
        <v>2</v>
      </c>
      <c r="B102" s="1082" t="b">
        <v>0</v>
      </c>
      <c r="C102" s="1210"/>
      <c r="D102" s="1503" t="str">
        <f>IF(Income_RentAdjType_2&lt;&gt;"Qualitative","Adjustment","Relative Comparison")</f>
        <v>Adjustment</v>
      </c>
      <c r="E102" s="1211"/>
      <c r="F102" s="1212"/>
      <c r="G102" s="1855">
        <f t="shared" ref="G102:L102" si="29">IF(Income_RentAdjType_2="Percent",IF(AND(G103=0,G104=0,G105=0),0,IF(G103&lt;&gt;0,G103,IF(G104&lt;&gt;0,G104/(G$54*G$64),G105/G$54))),IF(Income_RentAdjType_2="$ per Unit",IF(AND(G103=0,G104=0,G105=0),0,IF(G103&lt;&gt;0,G103*G$54,IF(G104&lt;&gt;0,G104/G$64,G105))),IF(OR(G103&gt;0,G104&gt;0,G105&gt;0),"Inferior",IF(OR(G103&lt;0,G104&lt;0,G105&lt;0),"Superior","Similar"))))</f>
        <v>0</v>
      </c>
      <c r="H102" s="1855">
        <f t="shared" si="29"/>
        <v>0</v>
      </c>
      <c r="I102" s="1855">
        <f t="shared" si="29"/>
        <v>0</v>
      </c>
      <c r="J102" s="1855">
        <f t="shared" si="29"/>
        <v>0</v>
      </c>
      <c r="K102" s="1855">
        <f t="shared" si="29"/>
        <v>0</v>
      </c>
      <c r="L102" s="1150">
        <f t="shared" si="29"/>
        <v>0</v>
      </c>
      <c r="M102" s="101"/>
      <c r="N102" s="6"/>
      <c r="O102" s="10"/>
      <c r="P102" s="10"/>
      <c r="Q102" s="10"/>
      <c r="R102" s="10"/>
      <c r="S102" s="10"/>
      <c r="T102" s="10"/>
      <c r="U102" s="10"/>
      <c r="V102" s="10"/>
      <c r="W102" s="10"/>
      <c r="X102" s="10"/>
      <c r="Y102" s="10"/>
      <c r="Z102" s="10"/>
      <c r="AA102" s="10"/>
      <c r="AB102" s="10"/>
    </row>
    <row r="103" spans="1:28" ht="14.25" customHeight="1" x14ac:dyDescent="0.25">
      <c r="A103" s="1100">
        <f>IF(A102=2,2,0)</f>
        <v>2</v>
      </c>
      <c r="B103" s="16"/>
      <c r="C103" s="130"/>
      <c r="D103" s="520"/>
      <c r="E103" s="480"/>
      <c r="F103" s="1120" t="s">
        <v>166</v>
      </c>
      <c r="G103" s="1926"/>
      <c r="H103" s="1926"/>
      <c r="I103" s="1926"/>
      <c r="J103" s="1926"/>
      <c r="K103" s="1926"/>
      <c r="L103" s="2030"/>
      <c r="M103" s="101"/>
      <c r="N103" s="6"/>
      <c r="O103" s="10"/>
      <c r="P103" s="10"/>
      <c r="Q103" s="10"/>
      <c r="R103" s="10"/>
      <c r="S103" s="10"/>
      <c r="T103" s="10"/>
      <c r="U103" s="10"/>
      <c r="V103" s="10"/>
      <c r="W103" s="10"/>
      <c r="X103" s="10"/>
      <c r="Y103" s="10"/>
      <c r="Z103" s="10"/>
      <c r="AA103" s="10"/>
      <c r="AB103" s="10"/>
    </row>
    <row r="104" spans="1:28" ht="14.25" customHeight="1" x14ac:dyDescent="0.25">
      <c r="A104" s="1100">
        <f>IF(A103=2,2,0)</f>
        <v>2</v>
      </c>
      <c r="B104" s="16"/>
      <c r="C104" s="130"/>
      <c r="D104" s="520"/>
      <c r="E104" s="480"/>
      <c r="F104" s="1120" t="s">
        <v>167</v>
      </c>
      <c r="G104" s="1927"/>
      <c r="H104" s="1927"/>
      <c r="I104" s="1927"/>
      <c r="J104" s="1927"/>
      <c r="K104" s="1927"/>
      <c r="L104" s="2031"/>
      <c r="M104" s="101"/>
      <c r="N104" s="6"/>
      <c r="O104" s="10"/>
      <c r="P104" s="10"/>
      <c r="Q104" s="10"/>
      <c r="R104" s="10"/>
      <c r="S104" s="10"/>
      <c r="T104" s="10"/>
      <c r="U104" s="10"/>
      <c r="V104" s="10"/>
      <c r="W104" s="10"/>
      <c r="X104" s="10"/>
      <c r="Y104" s="10"/>
      <c r="Z104" s="10"/>
      <c r="AA104" s="10"/>
      <c r="AB104" s="10"/>
    </row>
    <row r="105" spans="1:28" ht="14.25" customHeight="1" x14ac:dyDescent="0.25">
      <c r="A105" s="1100">
        <f>IF(A104=2,2,0)</f>
        <v>2</v>
      </c>
      <c r="B105" s="16"/>
      <c r="C105" s="130"/>
      <c r="D105" s="520"/>
      <c r="E105" s="480"/>
      <c r="F105" s="1120" t="s">
        <v>710</v>
      </c>
      <c r="G105" s="1921"/>
      <c r="H105" s="1921"/>
      <c r="I105" s="1921"/>
      <c r="J105" s="1921"/>
      <c r="K105" s="1921"/>
      <c r="L105" s="2025"/>
      <c r="M105" s="101"/>
      <c r="N105" s="6"/>
      <c r="O105" s="10"/>
      <c r="P105" s="10"/>
      <c r="Q105" s="10"/>
      <c r="R105" s="10"/>
      <c r="S105" s="10"/>
      <c r="T105" s="10"/>
      <c r="U105" s="10"/>
      <c r="V105" s="10"/>
      <c r="W105" s="10"/>
      <c r="X105" s="10"/>
      <c r="Y105" s="10"/>
      <c r="Z105" s="10"/>
      <c r="AA105" s="10"/>
      <c r="AB105" s="10"/>
    </row>
    <row r="106" spans="1:28" ht="8.1" customHeight="1" x14ac:dyDescent="0.25">
      <c r="A106" s="1100">
        <f>A108</f>
        <v>2</v>
      </c>
      <c r="B106" s="16"/>
      <c r="C106" s="130"/>
      <c r="D106" s="520"/>
      <c r="E106" s="480"/>
      <c r="F106" s="1127"/>
      <c r="G106" s="1930">
        <f t="shared" ref="G106:L106" si="30">IF(AND(G109=0,G110=0,G111=0),0,IF(G109&lt;&gt;0,G109,IF(G110&lt;&gt;0,G110/(G$54*G$64),G111/G$54)))</f>
        <v>0</v>
      </c>
      <c r="H106" s="1930">
        <f t="shared" si="30"/>
        <v>0</v>
      </c>
      <c r="I106" s="1930">
        <f t="shared" si="30"/>
        <v>0</v>
      </c>
      <c r="J106" s="1930">
        <f t="shared" si="30"/>
        <v>0</v>
      </c>
      <c r="K106" s="1930">
        <f t="shared" si="30"/>
        <v>0</v>
      </c>
      <c r="L106" s="2034">
        <f t="shared" si="30"/>
        <v>0</v>
      </c>
      <c r="M106" s="101"/>
      <c r="N106" s="6"/>
      <c r="O106" s="10"/>
      <c r="P106" s="10"/>
      <c r="Q106" s="10"/>
      <c r="R106" s="10"/>
      <c r="S106" s="10"/>
      <c r="T106" s="10"/>
      <c r="U106" s="10"/>
      <c r="V106" s="10"/>
      <c r="W106" s="10"/>
      <c r="X106" s="10"/>
      <c r="Y106" s="10"/>
      <c r="Z106" s="10"/>
      <c r="AA106" s="10"/>
      <c r="AB106" s="10"/>
    </row>
    <row r="107" spans="1:28" x14ac:dyDescent="0.25">
      <c r="A107" s="1100">
        <f>A108</f>
        <v>2</v>
      </c>
      <c r="B107" s="16"/>
      <c r="C107" s="130"/>
      <c r="D107" s="1489" t="s">
        <v>286</v>
      </c>
      <c r="E107" s="480"/>
      <c r="F107" s="1201">
        <f>Subject_LtoBRatio_Usable</f>
        <v>20.7</v>
      </c>
      <c r="G107" s="1936"/>
      <c r="H107" s="1936"/>
      <c r="I107" s="1936"/>
      <c r="J107" s="1936"/>
      <c r="K107" s="1936"/>
      <c r="L107" s="2040"/>
      <c r="M107" s="101"/>
      <c r="N107" s="6"/>
      <c r="O107" s="10"/>
      <c r="P107" s="10"/>
      <c r="Q107" s="10"/>
      <c r="R107" s="10"/>
      <c r="S107" s="10"/>
      <c r="T107" s="10"/>
      <c r="U107" s="10"/>
      <c r="V107" s="10"/>
      <c r="W107" s="10"/>
      <c r="X107" s="10"/>
      <c r="Y107" s="10"/>
      <c r="Z107" s="10"/>
      <c r="AA107" s="10"/>
      <c r="AB107" s="10"/>
    </row>
    <row r="108" spans="1:28" ht="14.25" customHeight="1" x14ac:dyDescent="0.25">
      <c r="A108" s="1100">
        <f>IF(B108=TRUE,1,2)</f>
        <v>2</v>
      </c>
      <c r="B108" s="1082" t="b">
        <v>0</v>
      </c>
      <c r="C108" s="1210"/>
      <c r="D108" s="1503" t="str">
        <f>IF(Income_RentAdjType_2&lt;&gt;"Qualitative","Adjustment","Relative Comparison")</f>
        <v>Adjustment</v>
      </c>
      <c r="E108" s="1211"/>
      <c r="F108" s="1212"/>
      <c r="G108" s="1855">
        <f t="shared" ref="G108:L108" si="31">IF(Income_RentAdjType_2="Percent",IF(AND(G109=0,G110=0,G111=0),0,IF(G109&lt;&gt;0,G109,IF(G110&lt;&gt;0,G110/(G$54*G$64),G111/G$54))),IF(Income_RentAdjType_2="$ per Unit",IF(AND(G109=0,G110=0,G111=0),0,IF(G109&lt;&gt;0,G109*G$54,IF(G110&lt;&gt;0,G110/G$64,G111))),IF(OR(G109&gt;0,G110&gt;0,G111&gt;0),"Inferior",IF(OR(G109&lt;0,G110&lt;0,G111&lt;0),"Superior","Similar"))))</f>
        <v>0</v>
      </c>
      <c r="H108" s="1855">
        <f t="shared" si="31"/>
        <v>0</v>
      </c>
      <c r="I108" s="1855">
        <f t="shared" si="31"/>
        <v>0</v>
      </c>
      <c r="J108" s="1855">
        <f t="shared" si="31"/>
        <v>0</v>
      </c>
      <c r="K108" s="1855">
        <f t="shared" si="31"/>
        <v>0</v>
      </c>
      <c r="L108" s="1150">
        <f t="shared" si="31"/>
        <v>0</v>
      </c>
      <c r="M108" s="101"/>
      <c r="N108" s="6"/>
      <c r="O108" s="10"/>
      <c r="P108" s="10"/>
      <c r="Q108" s="10"/>
      <c r="R108" s="10"/>
      <c r="S108" s="10"/>
      <c r="T108" s="10"/>
      <c r="U108" s="10"/>
      <c r="V108" s="10"/>
      <c r="W108" s="10"/>
      <c r="X108" s="10"/>
      <c r="Y108" s="10"/>
      <c r="Z108" s="10"/>
      <c r="AA108" s="10"/>
      <c r="AB108" s="10"/>
    </row>
    <row r="109" spans="1:28" ht="14.25" customHeight="1" x14ac:dyDescent="0.25">
      <c r="A109" s="1100">
        <f>IF(A108=2,2,0)</f>
        <v>2</v>
      </c>
      <c r="B109" s="16"/>
      <c r="C109" s="130"/>
      <c r="D109" s="520"/>
      <c r="E109" s="480"/>
      <c r="F109" s="1120" t="s">
        <v>166</v>
      </c>
      <c r="G109" s="1926"/>
      <c r="H109" s="1926"/>
      <c r="I109" s="1926"/>
      <c r="J109" s="1926"/>
      <c r="K109" s="1926"/>
      <c r="L109" s="2030"/>
      <c r="M109" s="101"/>
      <c r="N109" s="6"/>
      <c r="O109" s="10"/>
      <c r="P109" s="10"/>
      <c r="Q109" s="10"/>
      <c r="R109" s="10"/>
      <c r="S109" s="10"/>
      <c r="T109" s="10"/>
      <c r="U109" s="10"/>
      <c r="V109" s="10"/>
      <c r="W109" s="10"/>
      <c r="X109" s="10"/>
      <c r="Y109" s="10"/>
      <c r="Z109" s="10"/>
      <c r="AA109" s="10"/>
      <c r="AB109" s="10"/>
    </row>
    <row r="110" spans="1:28" ht="14.25" customHeight="1" x14ac:dyDescent="0.25">
      <c r="A110" s="1100">
        <f>IF(A109=2,2,0)</f>
        <v>2</v>
      </c>
      <c r="B110" s="16"/>
      <c r="C110" s="130"/>
      <c r="D110" s="520"/>
      <c r="E110" s="480"/>
      <c r="F110" s="1120" t="s">
        <v>167</v>
      </c>
      <c r="G110" s="1927"/>
      <c r="H110" s="1927"/>
      <c r="I110" s="1927"/>
      <c r="J110" s="1927"/>
      <c r="K110" s="1927"/>
      <c r="L110" s="2031"/>
      <c r="M110" s="101"/>
      <c r="N110" s="6"/>
      <c r="O110" s="10"/>
      <c r="P110" s="10"/>
      <c r="Q110" s="10"/>
      <c r="R110" s="10"/>
      <c r="S110" s="10"/>
      <c r="T110" s="10"/>
      <c r="U110" s="10"/>
      <c r="V110" s="10"/>
      <c r="W110" s="10"/>
      <c r="X110" s="10"/>
      <c r="Y110" s="10"/>
      <c r="Z110" s="10"/>
      <c r="AA110" s="10"/>
      <c r="AB110" s="10"/>
    </row>
    <row r="111" spans="1:28" ht="14.25" customHeight="1" x14ac:dyDescent="0.25">
      <c r="A111" s="1100">
        <f>IF(A110=2,2,0)</f>
        <v>2</v>
      </c>
      <c r="B111" s="16"/>
      <c r="C111" s="130"/>
      <c r="D111" s="520"/>
      <c r="E111" s="480"/>
      <c r="F111" s="1120" t="s">
        <v>710</v>
      </c>
      <c r="G111" s="1921"/>
      <c r="H111" s="1921"/>
      <c r="I111" s="1921"/>
      <c r="J111" s="1921"/>
      <c r="K111" s="1921"/>
      <c r="L111" s="2025"/>
      <c r="M111" s="101"/>
      <c r="N111" s="6"/>
      <c r="O111" s="10"/>
      <c r="P111" s="10"/>
      <c r="Q111" s="10"/>
      <c r="R111" s="10"/>
      <c r="S111" s="10"/>
      <c r="T111" s="10"/>
      <c r="U111" s="10"/>
      <c r="V111" s="10"/>
      <c r="W111" s="10"/>
      <c r="X111" s="10"/>
      <c r="Y111" s="10"/>
      <c r="Z111" s="10"/>
      <c r="AA111" s="10"/>
      <c r="AB111" s="10"/>
    </row>
    <row r="112" spans="1:28" ht="8.1" customHeight="1" x14ac:dyDescent="0.25">
      <c r="A112" s="1100">
        <f>A114</f>
        <v>2</v>
      </c>
      <c r="B112" s="16"/>
      <c r="C112" s="130"/>
      <c r="D112" s="520"/>
      <c r="E112" s="480"/>
      <c r="F112" s="1120"/>
      <c r="G112" s="1930">
        <f t="shared" ref="G112:L112" si="32">IF(AND(G115=0,G116=0,G117=0),0,IF(G115&lt;&gt;0,G115,IF(G116&lt;&gt;0,G116/(G$54*G$64),G117/G$54)))</f>
        <v>0</v>
      </c>
      <c r="H112" s="1930">
        <f t="shared" si="32"/>
        <v>0</v>
      </c>
      <c r="I112" s="1930">
        <f t="shared" si="32"/>
        <v>0</v>
      </c>
      <c r="J112" s="1930">
        <f t="shared" si="32"/>
        <v>0</v>
      </c>
      <c r="K112" s="1930">
        <f t="shared" si="32"/>
        <v>0</v>
      </c>
      <c r="L112" s="2034">
        <f t="shared" si="32"/>
        <v>0</v>
      </c>
      <c r="M112" s="101"/>
      <c r="N112" s="6"/>
      <c r="O112" s="10"/>
      <c r="P112" s="10"/>
      <c r="Q112" s="10"/>
      <c r="R112" s="10"/>
      <c r="S112" s="10"/>
      <c r="T112" s="10"/>
      <c r="U112" s="10"/>
      <c r="V112" s="10"/>
      <c r="W112" s="10"/>
      <c r="X112" s="10"/>
      <c r="Y112" s="10"/>
      <c r="Z112" s="10"/>
      <c r="AA112" s="10"/>
      <c r="AB112" s="10"/>
    </row>
    <row r="113" spans="1:28" ht="14.25" customHeight="1" x14ac:dyDescent="0.25">
      <c r="A113" s="1100">
        <f>A114</f>
        <v>2</v>
      </c>
      <c r="B113" s="16"/>
      <c r="C113" s="130"/>
      <c r="D113" s="1489" t="s">
        <v>1018</v>
      </c>
      <c r="E113" s="802"/>
      <c r="F113" s="1723">
        <f>Subject_ParkingRatio</f>
        <v>2.95</v>
      </c>
      <c r="G113" s="2082"/>
      <c r="H113" s="2082"/>
      <c r="I113" s="2082"/>
      <c r="J113" s="2082"/>
      <c r="K113" s="2082"/>
      <c r="L113" s="2083"/>
      <c r="M113" s="101"/>
      <c r="N113" s="6"/>
      <c r="O113" s="10"/>
      <c r="P113" s="10"/>
      <c r="Q113" s="10"/>
      <c r="R113" s="10"/>
      <c r="S113" s="10"/>
      <c r="T113" s="10"/>
      <c r="U113" s="10"/>
      <c r="V113" s="10"/>
      <c r="W113" s="10"/>
      <c r="X113" s="10"/>
      <c r="Y113" s="10"/>
      <c r="Z113" s="10"/>
      <c r="AA113" s="10"/>
      <c r="AB113" s="10"/>
    </row>
    <row r="114" spans="1:28" ht="14.25" customHeight="1" x14ac:dyDescent="0.25">
      <c r="A114" s="1100">
        <f>IF(B114=TRUE,1,2)</f>
        <v>2</v>
      </c>
      <c r="B114" s="16" t="b">
        <v>0</v>
      </c>
      <c r="C114" s="130"/>
      <c r="D114" s="1495" t="str">
        <f>IF(Income_RentAdjType&lt;&gt;"Qualitative","Adjustment","Relative Comparison")</f>
        <v>Adjustment</v>
      </c>
      <c r="E114" s="1211"/>
      <c r="F114" s="1212"/>
      <c r="G114" s="1855">
        <f t="shared" ref="G114:L114" si="33">IF(Income_RentAdjType_2="Percent",IF(AND(G115=0,G116=0,G117=0),0,IF(G115&lt;&gt;0,G115,IF(G116&lt;&gt;0,G116/(G$54*G$64),G117/G$54))),IF(Income_RentAdjType_2="$ per Unit",IF(AND(G115=0,G116=0,G117=0),0,IF(G115&lt;&gt;0,G115*G$54,IF(G116&lt;&gt;0,G116/G$64,G117))),IF(OR(G115&gt;0,G116&gt;0,G117&gt;0),"Inferior",IF(OR(G115&lt;0,G116&lt;0,G117&lt;0),"Superior","Similar"))))</f>
        <v>0</v>
      </c>
      <c r="H114" s="1855">
        <f t="shared" si="33"/>
        <v>0</v>
      </c>
      <c r="I114" s="1855">
        <f t="shared" si="33"/>
        <v>0</v>
      </c>
      <c r="J114" s="1855">
        <f t="shared" si="33"/>
        <v>0</v>
      </c>
      <c r="K114" s="1855">
        <f t="shared" si="33"/>
        <v>0</v>
      </c>
      <c r="L114" s="1150">
        <f t="shared" si="33"/>
        <v>0</v>
      </c>
      <c r="M114" s="101"/>
      <c r="N114" s="6"/>
      <c r="O114" s="10"/>
      <c r="P114" s="10"/>
      <c r="Q114" s="10"/>
      <c r="R114" s="10"/>
      <c r="S114" s="10"/>
      <c r="T114" s="10"/>
      <c r="U114" s="10"/>
      <c r="V114" s="10"/>
      <c r="W114" s="10"/>
      <c r="X114" s="10"/>
      <c r="Y114" s="10"/>
      <c r="Z114" s="10"/>
      <c r="AA114" s="10"/>
      <c r="AB114" s="10"/>
    </row>
    <row r="115" spans="1:28" ht="14.25" customHeight="1" x14ac:dyDescent="0.25">
      <c r="A115" s="1100">
        <f>IF(A114=2,2,0)</f>
        <v>2</v>
      </c>
      <c r="B115" s="16"/>
      <c r="C115" s="130"/>
      <c r="D115" s="520"/>
      <c r="E115" s="480"/>
      <c r="F115" s="1120" t="s">
        <v>166</v>
      </c>
      <c r="G115" s="1926"/>
      <c r="H115" s="1926"/>
      <c r="I115" s="1926"/>
      <c r="J115" s="1926"/>
      <c r="K115" s="1926"/>
      <c r="L115" s="2030"/>
      <c r="M115" s="101"/>
      <c r="N115" s="6"/>
      <c r="O115" s="10"/>
      <c r="P115" s="10"/>
      <c r="Q115" s="10"/>
      <c r="R115" s="10"/>
      <c r="S115" s="10"/>
      <c r="T115" s="10"/>
      <c r="U115" s="10"/>
      <c r="V115" s="10"/>
      <c r="W115" s="10"/>
      <c r="X115" s="10"/>
      <c r="Y115" s="10"/>
      <c r="Z115" s="10"/>
      <c r="AA115" s="10"/>
      <c r="AB115" s="10"/>
    </row>
    <row r="116" spans="1:28" ht="14.25" customHeight="1" x14ac:dyDescent="0.25">
      <c r="A116" s="1100">
        <f>IF(A115=2,2,0)</f>
        <v>2</v>
      </c>
      <c r="B116" s="16"/>
      <c r="C116" s="130"/>
      <c r="D116" s="520"/>
      <c r="E116" s="480"/>
      <c r="F116" s="1120" t="s">
        <v>167</v>
      </c>
      <c r="G116" s="1921"/>
      <c r="H116" s="1921"/>
      <c r="I116" s="1921"/>
      <c r="J116" s="1921"/>
      <c r="K116" s="1921"/>
      <c r="L116" s="2025"/>
      <c r="M116" s="101"/>
      <c r="N116" s="6"/>
      <c r="O116" s="10"/>
      <c r="P116" s="10"/>
      <c r="Q116" s="10"/>
      <c r="R116" s="10"/>
      <c r="S116" s="10"/>
      <c r="T116" s="10"/>
      <c r="U116" s="10"/>
      <c r="V116" s="10"/>
      <c r="W116" s="10"/>
      <c r="X116" s="10"/>
      <c r="Y116" s="10"/>
      <c r="Z116" s="10"/>
      <c r="AA116" s="10"/>
      <c r="AB116" s="10"/>
    </row>
    <row r="117" spans="1:28" ht="14.25" customHeight="1" x14ac:dyDescent="0.25">
      <c r="A117" s="1100">
        <f>IF(A116=2,2,0)</f>
        <v>2</v>
      </c>
      <c r="B117" s="16"/>
      <c r="C117" s="130"/>
      <c r="D117" s="520"/>
      <c r="E117" s="480"/>
      <c r="F117" s="1120" t="s">
        <v>710</v>
      </c>
      <c r="G117" s="1921"/>
      <c r="H117" s="1921"/>
      <c r="I117" s="1921"/>
      <c r="J117" s="1921"/>
      <c r="K117" s="1921"/>
      <c r="L117" s="2025"/>
      <c r="M117" s="101"/>
      <c r="N117" s="6"/>
      <c r="O117" s="10"/>
      <c r="P117" s="10"/>
      <c r="Q117" s="10"/>
      <c r="R117" s="10"/>
      <c r="S117" s="10"/>
      <c r="T117" s="10"/>
      <c r="U117" s="10"/>
      <c r="V117" s="10"/>
      <c r="W117" s="10"/>
      <c r="X117" s="10"/>
      <c r="Y117" s="10"/>
      <c r="Z117" s="10"/>
      <c r="AA117" s="10"/>
      <c r="AB117" s="10"/>
    </row>
    <row r="118" spans="1:28" ht="8.1" customHeight="1" x14ac:dyDescent="0.25">
      <c r="A118" s="1100">
        <f>A120</f>
        <v>2</v>
      </c>
      <c r="B118" s="16"/>
      <c r="C118" s="130"/>
      <c r="D118" s="520"/>
      <c r="E118" s="480"/>
      <c r="F118" s="1127"/>
      <c r="G118" s="1930">
        <f t="shared" ref="G118:L118" si="34">IF(AND(G121=0,G122=0,G123=0),0,IF(G121&lt;&gt;0,G121,IF(G122&lt;&gt;0,G122/(G$54*G$64),G123/G$54)))</f>
        <v>0</v>
      </c>
      <c r="H118" s="1930">
        <f t="shared" si="34"/>
        <v>0</v>
      </c>
      <c r="I118" s="1930">
        <f t="shared" si="34"/>
        <v>0</v>
      </c>
      <c r="J118" s="1930">
        <f t="shared" si="34"/>
        <v>0</v>
      </c>
      <c r="K118" s="1930">
        <f t="shared" si="34"/>
        <v>0</v>
      </c>
      <c r="L118" s="2034">
        <f t="shared" si="34"/>
        <v>0</v>
      </c>
      <c r="M118" s="101"/>
      <c r="N118" s="6"/>
      <c r="O118" s="10"/>
      <c r="P118" s="10"/>
      <c r="Q118" s="10"/>
      <c r="R118" s="10"/>
      <c r="S118" s="10"/>
      <c r="T118" s="10"/>
      <c r="U118" s="10"/>
      <c r="V118" s="10"/>
      <c r="W118" s="10"/>
      <c r="X118" s="10"/>
      <c r="Y118" s="10"/>
      <c r="Z118" s="10"/>
      <c r="AA118" s="10"/>
      <c r="AB118" s="10"/>
    </row>
    <row r="119" spans="1:28" x14ac:dyDescent="0.25">
      <c r="A119" s="1100">
        <f>A120</f>
        <v>2</v>
      </c>
      <c r="B119" s="277"/>
      <c r="C119" s="130"/>
      <c r="D119" s="1489" t="s">
        <v>292</v>
      </c>
      <c r="E119" s="480"/>
      <c r="F119" s="1170"/>
      <c r="G119" s="1801"/>
      <c r="H119" s="1801"/>
      <c r="I119" s="1801"/>
      <c r="J119" s="1801"/>
      <c r="K119" s="1801"/>
      <c r="L119" s="1963"/>
      <c r="M119" s="101"/>
      <c r="N119" s="6"/>
      <c r="O119" s="10"/>
      <c r="P119" s="10"/>
      <c r="Q119" s="10"/>
      <c r="R119" s="10"/>
      <c r="S119" s="10"/>
      <c r="T119" s="10"/>
      <c r="U119" s="10"/>
      <c r="V119" s="10"/>
      <c r="W119" s="10"/>
      <c r="X119" s="10"/>
      <c r="Y119" s="10"/>
      <c r="Z119" s="10"/>
      <c r="AA119" s="10"/>
      <c r="AB119" s="10"/>
    </row>
    <row r="120" spans="1:28" ht="14.25" customHeight="1" x14ac:dyDescent="0.25">
      <c r="A120" s="1100">
        <f>IF(B120=TRUE,1,2)</f>
        <v>2</v>
      </c>
      <c r="B120" s="1082" t="b">
        <v>0</v>
      </c>
      <c r="C120" s="1210"/>
      <c r="D120" s="1503" t="str">
        <f>IF(Income_RentAdjType_2&lt;&gt;"Qualitative","Adjustment","Relative Comparison")</f>
        <v>Adjustment</v>
      </c>
      <c r="E120" s="1211"/>
      <c r="F120" s="1212"/>
      <c r="G120" s="1855">
        <f t="shared" ref="G120:L120" si="35">IF(Income_RentAdjType_2="Percent",IF(AND(G121=0,G122=0,G123=0),0,IF(G121&lt;&gt;0,G121,IF(G122&lt;&gt;0,G122/(G$54*G$64),G123/G$54))),IF(Income_RentAdjType_2="$ per Unit",IF(AND(G121=0,G122=0,G123=0),0,IF(G121&lt;&gt;0,G121*G$54,IF(G122&lt;&gt;0,G122/G$64,G123))),IF(OR(G121&gt;0,G122&gt;0,G123&gt;0),"Inferior",IF(OR(G121&lt;0,G122&lt;0,G123&lt;0),"Superior","Similar"))))</f>
        <v>0</v>
      </c>
      <c r="H120" s="1855">
        <f t="shared" si="35"/>
        <v>0</v>
      </c>
      <c r="I120" s="1855">
        <f t="shared" si="35"/>
        <v>0</v>
      </c>
      <c r="J120" s="1855">
        <f t="shared" si="35"/>
        <v>0</v>
      </c>
      <c r="K120" s="1855">
        <f t="shared" si="35"/>
        <v>0</v>
      </c>
      <c r="L120" s="1150">
        <f t="shared" si="35"/>
        <v>0</v>
      </c>
      <c r="M120" s="101"/>
      <c r="N120" s="6"/>
      <c r="O120" s="10"/>
      <c r="P120" s="10"/>
      <c r="Q120" s="10"/>
      <c r="R120" s="10"/>
      <c r="S120" s="10"/>
      <c r="T120" s="10"/>
      <c r="U120" s="10"/>
      <c r="V120" s="10"/>
      <c r="W120" s="10"/>
      <c r="X120" s="10"/>
      <c r="Y120" s="10"/>
      <c r="Z120" s="10"/>
      <c r="AA120" s="10"/>
      <c r="AB120" s="10"/>
    </row>
    <row r="121" spans="1:28" ht="14.25" customHeight="1" x14ac:dyDescent="0.25">
      <c r="A121" s="1100">
        <f>IF(A120=2,2,0)</f>
        <v>2</v>
      </c>
      <c r="B121" s="16"/>
      <c r="C121" s="130"/>
      <c r="D121" s="520"/>
      <c r="E121" s="480"/>
      <c r="F121" s="1120" t="s">
        <v>166</v>
      </c>
      <c r="G121" s="1926"/>
      <c r="H121" s="1926"/>
      <c r="I121" s="1926"/>
      <c r="J121" s="1926"/>
      <c r="K121" s="1926"/>
      <c r="L121" s="2030"/>
      <c r="M121" s="101"/>
      <c r="N121" s="6"/>
      <c r="O121" s="10"/>
      <c r="P121" s="10"/>
      <c r="Q121" s="10"/>
      <c r="R121" s="10"/>
      <c r="S121" s="10"/>
      <c r="T121" s="10"/>
      <c r="U121" s="10"/>
      <c r="V121" s="10"/>
      <c r="W121" s="10"/>
      <c r="X121" s="10"/>
      <c r="Y121" s="10"/>
      <c r="Z121" s="10"/>
      <c r="AA121" s="10"/>
      <c r="AB121" s="10"/>
    </row>
    <row r="122" spans="1:28" ht="14.25" customHeight="1" x14ac:dyDescent="0.25">
      <c r="A122" s="1100">
        <f>IF(A121=2,2,0)</f>
        <v>2</v>
      </c>
      <c r="B122" s="16"/>
      <c r="C122" s="130"/>
      <c r="D122" s="520"/>
      <c r="E122" s="480"/>
      <c r="F122" s="1120" t="s">
        <v>167</v>
      </c>
      <c r="G122" s="1927"/>
      <c r="H122" s="1927"/>
      <c r="I122" s="1927"/>
      <c r="J122" s="1927"/>
      <c r="K122" s="1927"/>
      <c r="L122" s="2031"/>
      <c r="M122" s="101"/>
      <c r="N122" s="6"/>
      <c r="O122" s="10"/>
      <c r="P122" s="10"/>
      <c r="Q122" s="10"/>
      <c r="R122" s="10"/>
      <c r="S122" s="10"/>
      <c r="T122" s="10"/>
      <c r="U122" s="10"/>
      <c r="V122" s="10"/>
      <c r="W122" s="10"/>
      <c r="X122" s="10"/>
      <c r="Y122" s="10"/>
      <c r="Z122" s="10"/>
      <c r="AA122" s="10"/>
      <c r="AB122" s="10"/>
    </row>
    <row r="123" spans="1:28" ht="14.25" customHeight="1" x14ac:dyDescent="0.25">
      <c r="A123" s="1100">
        <f>IF(A122=2,2,0)</f>
        <v>2</v>
      </c>
      <c r="B123" s="16"/>
      <c r="C123" s="130"/>
      <c r="D123" s="520"/>
      <c r="E123" s="480"/>
      <c r="F123" s="1120" t="s">
        <v>710</v>
      </c>
      <c r="G123" s="1921"/>
      <c r="H123" s="1921"/>
      <c r="I123" s="1921"/>
      <c r="J123" s="1921"/>
      <c r="K123" s="1921"/>
      <c r="L123" s="2025"/>
      <c r="M123" s="101"/>
      <c r="N123" s="6"/>
      <c r="O123" s="10"/>
      <c r="P123" s="10"/>
      <c r="Q123" s="10"/>
      <c r="R123" s="10"/>
      <c r="S123" s="10"/>
      <c r="T123" s="10"/>
      <c r="U123" s="10"/>
      <c r="V123" s="10"/>
      <c r="W123" s="10"/>
      <c r="X123" s="10"/>
      <c r="Y123" s="10"/>
      <c r="Z123" s="10"/>
      <c r="AA123" s="10"/>
      <c r="AB123" s="10"/>
    </row>
    <row r="124" spans="1:28" ht="8.1" customHeight="1" x14ac:dyDescent="0.25">
      <c r="A124" s="1100">
        <f>A127</f>
        <v>2</v>
      </c>
      <c r="B124" s="16"/>
      <c r="C124" s="130"/>
      <c r="D124" s="520"/>
      <c r="E124" s="480"/>
      <c r="F124" s="1127"/>
      <c r="G124" s="1930">
        <f t="shared" ref="G124:L124" si="36">IF(AND(G128=0,G129=0,G130=0),0,IF(G128&lt;&gt;0,G128,IF(G129&lt;&gt;0,G129/(G$54*G$64),G130/G$54)))</f>
        <v>0</v>
      </c>
      <c r="H124" s="1930">
        <f t="shared" si="36"/>
        <v>0</v>
      </c>
      <c r="I124" s="1930">
        <f t="shared" si="36"/>
        <v>0</v>
      </c>
      <c r="J124" s="1930">
        <f t="shared" si="36"/>
        <v>0</v>
      </c>
      <c r="K124" s="1930">
        <f t="shared" si="36"/>
        <v>0</v>
      </c>
      <c r="L124" s="2034">
        <f t="shared" si="36"/>
        <v>0</v>
      </c>
      <c r="M124" s="101"/>
      <c r="N124" s="6"/>
      <c r="O124" s="10"/>
      <c r="P124" s="10"/>
      <c r="Q124" s="10"/>
      <c r="R124" s="10"/>
      <c r="S124" s="10"/>
      <c r="T124" s="10"/>
      <c r="U124" s="10"/>
      <c r="V124" s="10"/>
      <c r="W124" s="10"/>
      <c r="X124" s="10"/>
      <c r="Y124" s="10"/>
      <c r="Z124" s="10"/>
      <c r="AA124" s="10"/>
      <c r="AB124" s="10"/>
    </row>
    <row r="125" spans="1:28" ht="14.25" customHeight="1" x14ac:dyDescent="0.25">
      <c r="A125" s="1100">
        <v>2</v>
      </c>
      <c r="B125" s="16"/>
      <c r="C125" s="130"/>
      <c r="D125" s="520"/>
      <c r="E125" s="480"/>
      <c r="F125" s="1127"/>
      <c r="G125" s="1937"/>
      <c r="H125" s="1937"/>
      <c r="I125" s="1937"/>
      <c r="J125" s="1937"/>
      <c r="K125" s="1937"/>
      <c r="L125" s="2041"/>
      <c r="M125" s="101"/>
      <c r="N125" s="6"/>
      <c r="O125" s="10"/>
      <c r="P125" s="10"/>
      <c r="Q125" s="10"/>
      <c r="R125" s="10"/>
      <c r="S125" s="10"/>
      <c r="T125" s="10"/>
      <c r="U125" s="10"/>
      <c r="V125" s="10"/>
      <c r="W125" s="10"/>
      <c r="X125" s="10"/>
      <c r="Y125" s="10"/>
      <c r="Z125" s="10"/>
      <c r="AA125" s="10"/>
      <c r="AB125" s="10"/>
    </row>
    <row r="126" spans="1:28" x14ac:dyDescent="0.25">
      <c r="A126" s="1100">
        <f>A127</f>
        <v>2</v>
      </c>
      <c r="B126" s="16" t="b">
        <v>0</v>
      </c>
      <c r="C126" s="130"/>
      <c r="D126" s="1489" t="s">
        <v>293</v>
      </c>
      <c r="E126" s="480"/>
      <c r="F126" s="1170"/>
      <c r="G126" s="1938">
        <f t="shared" ref="G126:L126" si="37">G125/12</f>
        <v>0</v>
      </c>
      <c r="H126" s="1938">
        <f t="shared" si="37"/>
        <v>0</v>
      </c>
      <c r="I126" s="1938">
        <f t="shared" si="37"/>
        <v>0</v>
      </c>
      <c r="J126" s="1938">
        <f t="shared" si="37"/>
        <v>0</v>
      </c>
      <c r="K126" s="1938">
        <f t="shared" si="37"/>
        <v>0</v>
      </c>
      <c r="L126" s="2042">
        <f t="shared" si="37"/>
        <v>0</v>
      </c>
      <c r="M126" s="101"/>
      <c r="N126" s="6"/>
      <c r="O126" s="10"/>
      <c r="P126" s="10"/>
      <c r="Q126" s="10"/>
      <c r="R126" s="10"/>
      <c r="S126" s="10"/>
      <c r="T126" s="10"/>
      <c r="U126" s="10"/>
      <c r="V126" s="10"/>
      <c r="W126" s="10"/>
      <c r="X126" s="10"/>
      <c r="Y126" s="10"/>
      <c r="Z126" s="10"/>
      <c r="AA126" s="10"/>
      <c r="AB126" s="10"/>
    </row>
    <row r="127" spans="1:28" ht="14.25" customHeight="1" x14ac:dyDescent="0.25">
      <c r="A127" s="1100">
        <f>IF(B127=TRUE,1,2)</f>
        <v>2</v>
      </c>
      <c r="B127" s="1082" t="b">
        <v>0</v>
      </c>
      <c r="C127" s="1210"/>
      <c r="D127" s="1503" t="str">
        <f>IF(Income_RentAdjType_2&lt;&gt;"Qualitative","Adjustment","Relative Comparison")</f>
        <v>Adjustment</v>
      </c>
      <c r="E127" s="1211"/>
      <c r="F127" s="1212"/>
      <c r="G127" s="1855">
        <f t="shared" ref="G127:L127" si="38">IF(Income_RentAdjType_2="Percent",IF(AND(G128=0,G129=0,G130=0),0,IF(G128&lt;&gt;0,G128,IF(G129&lt;&gt;0,G129/(G$54*G$64),G130/G$54))),IF(Income_RentAdjType_2="$ per Unit",IF(AND(G128=0,G129=0,G130=0),0,IF(G128&lt;&gt;0,G128*G$54,IF(G129&lt;&gt;0,G129/G$64,G130))),IF(OR(G128&gt;0,G129&gt;0,G130&gt;0),"Inferior",IF(OR(G128&lt;0,G129&lt;0,G130&lt;0),"Superior","Similar"))))</f>
        <v>0</v>
      </c>
      <c r="H127" s="1855">
        <f t="shared" si="38"/>
        <v>0</v>
      </c>
      <c r="I127" s="1855">
        <f t="shared" si="38"/>
        <v>0</v>
      </c>
      <c r="J127" s="1855">
        <f t="shared" si="38"/>
        <v>0</v>
      </c>
      <c r="K127" s="1855">
        <f t="shared" si="38"/>
        <v>0</v>
      </c>
      <c r="L127" s="1150">
        <f t="shared" si="38"/>
        <v>0</v>
      </c>
      <c r="M127" s="101"/>
      <c r="N127" s="6"/>
      <c r="O127" s="10"/>
      <c r="P127" s="10"/>
      <c r="Q127" s="10"/>
      <c r="R127" s="10"/>
      <c r="S127" s="10"/>
      <c r="T127" s="10"/>
      <c r="U127" s="10"/>
      <c r="V127" s="10"/>
      <c r="W127" s="10"/>
      <c r="X127" s="10"/>
      <c r="Y127" s="10"/>
      <c r="Z127" s="10"/>
      <c r="AA127" s="10"/>
      <c r="AB127" s="10"/>
    </row>
    <row r="128" spans="1:28" ht="14.25" customHeight="1" x14ac:dyDescent="0.25">
      <c r="A128" s="1100">
        <f>IF(A127=2,2,0)</f>
        <v>2</v>
      </c>
      <c r="B128" s="16"/>
      <c r="C128" s="130"/>
      <c r="D128" s="520"/>
      <c r="E128" s="480"/>
      <c r="F128" s="1120" t="s">
        <v>166</v>
      </c>
      <c r="G128" s="1926"/>
      <c r="H128" s="1926"/>
      <c r="I128" s="1926"/>
      <c r="J128" s="1926"/>
      <c r="K128" s="1926"/>
      <c r="L128" s="2030"/>
      <c r="M128" s="101"/>
      <c r="N128" s="6"/>
      <c r="O128" s="10"/>
      <c r="P128" s="10"/>
      <c r="Q128" s="10"/>
      <c r="R128" s="10"/>
      <c r="S128" s="10"/>
      <c r="T128" s="10"/>
      <c r="U128" s="10"/>
      <c r="V128" s="10"/>
      <c r="W128" s="10"/>
      <c r="X128" s="10"/>
      <c r="Y128" s="10"/>
      <c r="Z128" s="10"/>
      <c r="AA128" s="10"/>
      <c r="AB128" s="10"/>
    </row>
    <row r="129" spans="1:28" ht="14.25" customHeight="1" x14ac:dyDescent="0.25">
      <c r="A129" s="1100">
        <f>IF(A128=2,2,0)</f>
        <v>2</v>
      </c>
      <c r="B129" s="16"/>
      <c r="C129" s="130"/>
      <c r="D129" s="520"/>
      <c r="E129" s="480"/>
      <c r="F129" s="1120" t="s">
        <v>167</v>
      </c>
      <c r="G129" s="1927"/>
      <c r="H129" s="1927"/>
      <c r="I129" s="1927"/>
      <c r="J129" s="1927"/>
      <c r="K129" s="1927"/>
      <c r="L129" s="2031"/>
      <c r="M129" s="101"/>
      <c r="N129" s="6"/>
      <c r="O129" s="10"/>
      <c r="P129" s="10"/>
      <c r="Q129" s="10"/>
      <c r="R129" s="10"/>
      <c r="S129" s="10"/>
      <c r="T129" s="10"/>
      <c r="U129" s="10"/>
      <c r="V129" s="10"/>
      <c r="W129" s="10"/>
      <c r="X129" s="10"/>
      <c r="Y129" s="10"/>
      <c r="Z129" s="10"/>
      <c r="AA129" s="10"/>
      <c r="AB129" s="10"/>
    </row>
    <row r="130" spans="1:28" ht="14.25" customHeight="1" x14ac:dyDescent="0.25">
      <c r="A130" s="1100">
        <f>IF(A129=2,2,0)</f>
        <v>2</v>
      </c>
      <c r="B130" s="16"/>
      <c r="C130" s="130"/>
      <c r="D130" s="520"/>
      <c r="E130" s="480"/>
      <c r="F130" s="1120" t="s">
        <v>710</v>
      </c>
      <c r="G130" s="1921"/>
      <c r="H130" s="1921"/>
      <c r="I130" s="1921"/>
      <c r="J130" s="1921"/>
      <c r="K130" s="1921"/>
      <c r="L130" s="2025"/>
      <c r="M130" s="101"/>
      <c r="N130" s="6"/>
      <c r="O130" s="10"/>
      <c r="P130" s="10"/>
      <c r="Q130" s="10"/>
      <c r="R130" s="10"/>
      <c r="S130" s="10"/>
      <c r="T130" s="10"/>
      <c r="U130" s="10"/>
      <c r="V130" s="10"/>
      <c r="W130" s="10"/>
      <c r="X130" s="10"/>
      <c r="Y130" s="10"/>
      <c r="Z130" s="10"/>
      <c r="AA130" s="10"/>
      <c r="AB130" s="10"/>
    </row>
    <row r="131" spans="1:28" ht="8.1" customHeight="1" x14ac:dyDescent="0.25">
      <c r="A131" s="1100">
        <f>A133</f>
        <v>2</v>
      </c>
      <c r="B131" s="16"/>
      <c r="C131" s="130"/>
      <c r="D131" s="520"/>
      <c r="E131" s="480"/>
      <c r="F131" s="1127"/>
      <c r="G131" s="1930">
        <f t="shared" ref="G131:L131" si="39">IF(AND(G134=0,G135=0,G136=0),0,IF(G134&lt;&gt;0,G134,IF(G135&lt;&gt;0,G135/(G$54*G$64),G136/G$54)))</f>
        <v>0</v>
      </c>
      <c r="H131" s="1930">
        <f t="shared" si="39"/>
        <v>0</v>
      </c>
      <c r="I131" s="1930">
        <f t="shared" si="39"/>
        <v>0</v>
      </c>
      <c r="J131" s="1930">
        <f t="shared" si="39"/>
        <v>0</v>
      </c>
      <c r="K131" s="1930">
        <f t="shared" si="39"/>
        <v>0</v>
      </c>
      <c r="L131" s="2034">
        <f t="shared" si="39"/>
        <v>0</v>
      </c>
      <c r="M131" s="101"/>
      <c r="N131" s="6"/>
      <c r="O131" s="10"/>
      <c r="P131" s="10"/>
      <c r="Q131" s="10"/>
      <c r="R131" s="10"/>
      <c r="S131" s="10"/>
      <c r="T131" s="10"/>
      <c r="U131" s="10"/>
      <c r="V131" s="10"/>
      <c r="W131" s="10"/>
      <c r="X131" s="10"/>
      <c r="Y131" s="10"/>
      <c r="Z131" s="10"/>
      <c r="AA131" s="10"/>
      <c r="AB131" s="10"/>
    </row>
    <row r="132" spans="1:28" x14ac:dyDescent="0.25">
      <c r="A132" s="1100">
        <f>A133</f>
        <v>2</v>
      </c>
      <c r="B132" s="16"/>
      <c r="C132" s="130"/>
      <c r="D132" s="1493" t="s">
        <v>103</v>
      </c>
      <c r="E132" s="527"/>
      <c r="F132" s="718"/>
      <c r="G132" s="1933"/>
      <c r="H132" s="1933"/>
      <c r="I132" s="1933"/>
      <c r="J132" s="1933"/>
      <c r="K132" s="1933"/>
      <c r="L132" s="2037"/>
      <c r="M132" s="101"/>
      <c r="N132" s="6"/>
      <c r="O132" s="10"/>
      <c r="P132" s="10"/>
      <c r="Q132" s="10"/>
      <c r="R132" s="10"/>
      <c r="S132" s="10"/>
      <c r="T132" s="10"/>
      <c r="U132" s="10"/>
      <c r="V132" s="10"/>
      <c r="W132" s="10"/>
      <c r="X132" s="10"/>
      <c r="Y132" s="10"/>
      <c r="Z132" s="10"/>
      <c r="AA132" s="10"/>
      <c r="AB132" s="10"/>
    </row>
    <row r="133" spans="1:28" ht="14.25" customHeight="1" x14ac:dyDescent="0.25">
      <c r="A133" s="1100">
        <f>IF(B133=TRUE,1,2)</f>
        <v>2</v>
      </c>
      <c r="B133" s="1082" t="b">
        <v>0</v>
      </c>
      <c r="C133" s="1210"/>
      <c r="D133" s="1503" t="str">
        <f>IF(Income_RentAdjType_2&lt;&gt;"Qualitative","Adjustment","Relative Comparison")</f>
        <v>Adjustment</v>
      </c>
      <c r="E133" s="1211"/>
      <c r="F133" s="1212"/>
      <c r="G133" s="1855">
        <f t="shared" ref="G133:L133" si="40">IF(Income_RentAdjType_2="Percent",IF(AND(G134=0,G135=0,G136=0),0,IF(G134&lt;&gt;0,G134,IF(G135&lt;&gt;0,G135/(G$54*G$64),G136/G$54))),IF(Income_RentAdjType_2="$ per Unit",IF(AND(G134=0,G135=0,G136=0),0,IF(G134&lt;&gt;0,G134*G$54,IF(G135&lt;&gt;0,G135/G$64,G136))),IF(OR(G134&gt;0,G135&gt;0,G136&gt;0),"Inferior",IF(OR(G134&lt;0,G135&lt;0,G136&lt;0),"Superior","Similar"))))</f>
        <v>0</v>
      </c>
      <c r="H133" s="1855">
        <f t="shared" si="40"/>
        <v>0</v>
      </c>
      <c r="I133" s="1855">
        <f t="shared" si="40"/>
        <v>0</v>
      </c>
      <c r="J133" s="1855">
        <f t="shared" si="40"/>
        <v>0</v>
      </c>
      <c r="K133" s="1855">
        <f t="shared" si="40"/>
        <v>0</v>
      </c>
      <c r="L133" s="1150">
        <f t="shared" si="40"/>
        <v>0</v>
      </c>
      <c r="M133" s="101"/>
      <c r="N133" s="6"/>
      <c r="O133" s="10"/>
      <c r="P133" s="10"/>
      <c r="Q133" s="10"/>
      <c r="R133" s="10"/>
      <c r="S133" s="10"/>
      <c r="T133" s="10"/>
      <c r="U133" s="10"/>
      <c r="V133" s="10"/>
      <c r="W133" s="10"/>
      <c r="X133" s="10"/>
      <c r="Y133" s="10"/>
      <c r="Z133" s="10"/>
      <c r="AA133" s="10"/>
      <c r="AB133" s="10"/>
    </row>
    <row r="134" spans="1:28" ht="14.25" customHeight="1" x14ac:dyDescent="0.25">
      <c r="A134" s="1100">
        <f>IF(A133=2,2,0)</f>
        <v>2</v>
      </c>
      <c r="B134" s="16"/>
      <c r="C134" s="130"/>
      <c r="D134" s="520"/>
      <c r="E134" s="480"/>
      <c r="F134" s="1120" t="s">
        <v>166</v>
      </c>
      <c r="G134" s="1926"/>
      <c r="H134" s="1926"/>
      <c r="I134" s="1926"/>
      <c r="J134" s="1926"/>
      <c r="K134" s="1926"/>
      <c r="L134" s="2030"/>
      <c r="M134" s="101"/>
      <c r="N134" s="6"/>
      <c r="O134" s="10"/>
      <c r="P134" s="10"/>
      <c r="Q134" s="10"/>
      <c r="R134" s="10"/>
      <c r="S134" s="10"/>
      <c r="T134" s="10"/>
      <c r="U134" s="10"/>
      <c r="V134" s="10"/>
      <c r="W134" s="10"/>
      <c r="X134" s="10"/>
      <c r="Y134" s="10"/>
      <c r="Z134" s="10"/>
      <c r="AA134" s="10"/>
      <c r="AB134" s="10"/>
    </row>
    <row r="135" spans="1:28" ht="14.25" customHeight="1" x14ac:dyDescent="0.25">
      <c r="A135" s="1100">
        <f>IF(A134=2,2,0)</f>
        <v>2</v>
      </c>
      <c r="B135" s="16"/>
      <c r="C135" s="130"/>
      <c r="D135" s="520"/>
      <c r="E135" s="480"/>
      <c r="F135" s="1120" t="s">
        <v>167</v>
      </c>
      <c r="G135" s="1927"/>
      <c r="H135" s="1927"/>
      <c r="I135" s="1927"/>
      <c r="J135" s="1927"/>
      <c r="K135" s="1927"/>
      <c r="L135" s="2031"/>
      <c r="M135" s="101"/>
      <c r="N135" s="6"/>
      <c r="O135" s="10"/>
      <c r="P135" s="10"/>
      <c r="Q135" s="10"/>
      <c r="R135" s="10"/>
      <c r="S135" s="10"/>
      <c r="T135" s="10"/>
      <c r="U135" s="10"/>
      <c r="V135" s="10"/>
      <c r="W135" s="10"/>
      <c r="X135" s="10"/>
      <c r="Y135" s="10"/>
      <c r="Z135" s="10"/>
      <c r="AA135" s="10"/>
      <c r="AB135" s="10"/>
    </row>
    <row r="136" spans="1:28" ht="14.25" customHeight="1" x14ac:dyDescent="0.25">
      <c r="A136" s="1100">
        <f>IF(A135=2,2,0)</f>
        <v>2</v>
      </c>
      <c r="B136" s="16"/>
      <c r="C136" s="130"/>
      <c r="D136" s="520"/>
      <c r="E136" s="480"/>
      <c r="F136" s="1120" t="s">
        <v>710</v>
      </c>
      <c r="G136" s="1921"/>
      <c r="H136" s="1921"/>
      <c r="I136" s="1921"/>
      <c r="J136" s="1921"/>
      <c r="K136" s="1921"/>
      <c r="L136" s="2025"/>
      <c r="M136" s="101"/>
      <c r="N136" s="6"/>
      <c r="O136" s="10"/>
      <c r="P136" s="10"/>
      <c r="Q136" s="10"/>
      <c r="R136" s="10"/>
      <c r="S136" s="10"/>
      <c r="T136" s="10"/>
      <c r="U136" s="10"/>
      <c r="V136" s="10"/>
      <c r="W136" s="10"/>
      <c r="X136" s="10"/>
      <c r="Y136" s="10"/>
      <c r="Z136" s="10"/>
      <c r="AA136" s="10"/>
      <c r="AB136" s="10"/>
    </row>
    <row r="137" spans="1:28" ht="8.1" customHeight="1" x14ac:dyDescent="0.25">
      <c r="A137" s="1100">
        <f>A139</f>
        <v>2</v>
      </c>
      <c r="B137" s="16"/>
      <c r="C137" s="130"/>
      <c r="D137" s="520"/>
      <c r="E137" s="480"/>
      <c r="F137" s="1127"/>
      <c r="G137" s="1930">
        <f t="shared" ref="G137:L137" si="41">IF(AND(G140=0,G141=0,G142=0),0,IF(G140&lt;&gt;0,G140,IF(G141&lt;&gt;0,G141/(G$54*G$64),G142/G$54)))</f>
        <v>0</v>
      </c>
      <c r="H137" s="1930">
        <f t="shared" si="41"/>
        <v>0</v>
      </c>
      <c r="I137" s="1930">
        <f t="shared" si="41"/>
        <v>0</v>
      </c>
      <c r="J137" s="1930">
        <f t="shared" si="41"/>
        <v>0</v>
      </c>
      <c r="K137" s="1930">
        <f t="shared" si="41"/>
        <v>0</v>
      </c>
      <c r="L137" s="2034">
        <f t="shared" si="41"/>
        <v>0</v>
      </c>
      <c r="M137" s="101"/>
      <c r="N137" s="6"/>
      <c r="O137" s="10"/>
      <c r="P137" s="10"/>
      <c r="Q137" s="10"/>
      <c r="R137" s="10"/>
      <c r="S137" s="10"/>
      <c r="T137" s="10"/>
      <c r="U137" s="10"/>
      <c r="V137" s="10"/>
      <c r="W137" s="10"/>
      <c r="X137" s="10"/>
      <c r="Y137" s="10"/>
      <c r="Z137" s="10"/>
      <c r="AA137" s="10"/>
      <c r="AB137" s="10"/>
    </row>
    <row r="138" spans="1:28" x14ac:dyDescent="0.25">
      <c r="A138" s="1100">
        <f>A139</f>
        <v>2</v>
      </c>
      <c r="B138" s="16"/>
      <c r="C138" s="130"/>
      <c r="D138" s="1493" t="s">
        <v>104</v>
      </c>
      <c r="E138" s="527"/>
      <c r="F138" s="718"/>
      <c r="G138" s="1933"/>
      <c r="H138" s="1933"/>
      <c r="I138" s="1933"/>
      <c r="J138" s="1933"/>
      <c r="K138" s="1933"/>
      <c r="L138" s="2037"/>
      <c r="M138" s="101"/>
      <c r="N138" s="6"/>
      <c r="O138" s="10"/>
      <c r="P138" s="10"/>
      <c r="Q138" s="10"/>
      <c r="R138" s="10"/>
      <c r="S138" s="10"/>
      <c r="T138" s="10"/>
      <c r="U138" s="10"/>
      <c r="V138" s="10"/>
      <c r="W138" s="10"/>
      <c r="X138" s="10"/>
      <c r="Y138" s="10"/>
      <c r="Z138" s="10"/>
      <c r="AA138" s="10"/>
      <c r="AB138" s="10"/>
    </row>
    <row r="139" spans="1:28" ht="14.25" customHeight="1" x14ac:dyDescent="0.25">
      <c r="A139" s="1100">
        <f>IF(B139=TRUE,1,2)</f>
        <v>2</v>
      </c>
      <c r="B139" s="1082" t="b">
        <v>0</v>
      </c>
      <c r="C139" s="1210"/>
      <c r="D139" s="1503" t="str">
        <f>IF(Income_RentAdjType_2&lt;&gt;"Qualitative","Adjustment","Relative Comparison")</f>
        <v>Adjustment</v>
      </c>
      <c r="E139" s="1211"/>
      <c r="F139" s="1212"/>
      <c r="G139" s="1855">
        <f t="shared" ref="G139:L139" si="42">IF(Income_RentAdjType_2="Percent",IF(AND(G140=0,G141=0,G142=0),0,IF(G140&lt;&gt;0,G140,IF(G141&lt;&gt;0,G141/(G$54*G$64),G142/G$54))),IF(Income_RentAdjType_2="$ per Unit",IF(AND(G140=0,G141=0,G142=0),0,IF(G140&lt;&gt;0,G140*G$54,IF(G141&lt;&gt;0,G141/G$64,G142))),IF(OR(G140&gt;0,G141&gt;0,G142&gt;0),"Inferior",IF(OR(G140&lt;0,G141&lt;0,G142&lt;0),"Superior","Similar"))))</f>
        <v>0</v>
      </c>
      <c r="H139" s="1855">
        <f t="shared" si="42"/>
        <v>0</v>
      </c>
      <c r="I139" s="1855">
        <f t="shared" si="42"/>
        <v>0</v>
      </c>
      <c r="J139" s="1855">
        <f t="shared" si="42"/>
        <v>0</v>
      </c>
      <c r="K139" s="1855">
        <f t="shared" si="42"/>
        <v>0</v>
      </c>
      <c r="L139" s="1150">
        <f t="shared" si="42"/>
        <v>0</v>
      </c>
      <c r="M139" s="101"/>
      <c r="N139" s="6"/>
      <c r="O139" s="10"/>
      <c r="P139" s="10"/>
      <c r="Q139" s="10"/>
      <c r="R139" s="10"/>
      <c r="S139" s="10"/>
      <c r="T139" s="10"/>
      <c r="U139" s="10"/>
      <c r="V139" s="10"/>
      <c r="W139" s="10"/>
      <c r="X139" s="10"/>
      <c r="Y139" s="10"/>
      <c r="Z139" s="10"/>
      <c r="AA139" s="10"/>
      <c r="AB139" s="10"/>
    </row>
    <row r="140" spans="1:28" ht="14.25" customHeight="1" x14ac:dyDescent="0.25">
      <c r="A140" s="1100">
        <f>IF(A139=2,2,0)</f>
        <v>2</v>
      </c>
      <c r="B140" s="16"/>
      <c r="C140" s="130"/>
      <c r="D140" s="520"/>
      <c r="E140" s="480"/>
      <c r="F140" s="1120" t="s">
        <v>166</v>
      </c>
      <c r="G140" s="1926"/>
      <c r="H140" s="1926"/>
      <c r="I140" s="1926"/>
      <c r="J140" s="1926"/>
      <c r="K140" s="1926"/>
      <c r="L140" s="2030"/>
      <c r="M140" s="101"/>
      <c r="N140" s="6"/>
      <c r="O140" s="10"/>
      <c r="P140" s="10"/>
      <c r="Q140" s="10"/>
      <c r="R140" s="10"/>
      <c r="S140" s="10"/>
      <c r="T140" s="10"/>
      <c r="U140" s="10"/>
      <c r="V140" s="10"/>
      <c r="W140" s="10"/>
      <c r="X140" s="10"/>
      <c r="Y140" s="10"/>
      <c r="Z140" s="10"/>
      <c r="AA140" s="10"/>
      <c r="AB140" s="10"/>
    </row>
    <row r="141" spans="1:28" ht="14.25" customHeight="1" x14ac:dyDescent="0.25">
      <c r="A141" s="1100">
        <f>IF(A140=2,2,0)</f>
        <v>2</v>
      </c>
      <c r="B141" s="16"/>
      <c r="C141" s="130"/>
      <c r="D141" s="520"/>
      <c r="E141" s="480"/>
      <c r="F141" s="1120" t="s">
        <v>167</v>
      </c>
      <c r="G141" s="1927"/>
      <c r="H141" s="1927"/>
      <c r="I141" s="1927"/>
      <c r="J141" s="1927"/>
      <c r="K141" s="1927"/>
      <c r="L141" s="2031"/>
      <c r="M141" s="101"/>
      <c r="N141" s="6"/>
      <c r="O141" s="10"/>
      <c r="P141" s="10"/>
      <c r="Q141" s="10"/>
      <c r="R141" s="10"/>
      <c r="S141" s="10"/>
      <c r="T141" s="10"/>
      <c r="U141" s="10"/>
      <c r="V141" s="10"/>
      <c r="W141" s="10"/>
      <c r="X141" s="10"/>
      <c r="Y141" s="10"/>
      <c r="Z141" s="10"/>
      <c r="AA141" s="10"/>
      <c r="AB141" s="10"/>
    </row>
    <row r="142" spans="1:28" ht="15" customHeight="1" x14ac:dyDescent="0.25">
      <c r="A142" s="1100">
        <f>IF(A141=2,2,0)</f>
        <v>2</v>
      </c>
      <c r="B142" s="16"/>
      <c r="C142" s="130"/>
      <c r="D142" s="520"/>
      <c r="E142" s="480"/>
      <c r="F142" s="1120" t="s">
        <v>710</v>
      </c>
      <c r="G142" s="1921"/>
      <c r="H142" s="1921"/>
      <c r="I142" s="1921"/>
      <c r="J142" s="1921"/>
      <c r="K142" s="1921"/>
      <c r="L142" s="2025"/>
      <c r="M142" s="101"/>
      <c r="N142" s="6"/>
      <c r="O142" s="10"/>
      <c r="P142" s="10"/>
      <c r="Q142" s="10"/>
      <c r="R142" s="10"/>
      <c r="S142" s="10"/>
      <c r="T142" s="10"/>
      <c r="U142" s="10"/>
      <c r="V142" s="10"/>
      <c r="W142" s="10"/>
      <c r="X142" s="10"/>
      <c r="Y142" s="10"/>
      <c r="Z142" s="10"/>
      <c r="AA142" s="10"/>
      <c r="AB142" s="10"/>
    </row>
    <row r="143" spans="1:28" ht="14.25" customHeight="1" x14ac:dyDescent="0.25">
      <c r="A143" s="1100">
        <v>1</v>
      </c>
      <c r="B143" s="16"/>
      <c r="C143" s="130"/>
      <c r="D143" s="520" t="str">
        <f>IF(Income_RentAdjType_2&lt;&gt;"Qualitative","Net Physical Adjustment","Net Relative Comparison")</f>
        <v>Net Physical Adjustment</v>
      </c>
      <c r="E143" s="766"/>
      <c r="F143" s="765"/>
      <c r="G143" s="1803">
        <f t="shared" ref="G143:L143" si="43">IF(Income_RentAdjType_2&lt;&gt;"Qualitative",SUM(G59,G65,G75,G84,G90,G96,G102,G108,G114,G120,G127,G133,G139),SUM(G55,G63,G69,G79,G88,G94,G100,G106,G112,G118,G124,G131,G137))</f>
        <v>0</v>
      </c>
      <c r="H143" s="1803">
        <f t="shared" si="43"/>
        <v>0</v>
      </c>
      <c r="I143" s="1803">
        <f t="shared" si="43"/>
        <v>0</v>
      </c>
      <c r="J143" s="1803">
        <f t="shared" si="43"/>
        <v>0</v>
      </c>
      <c r="K143" s="1803">
        <f t="shared" si="43"/>
        <v>0</v>
      </c>
      <c r="L143" s="1965">
        <f t="shared" si="43"/>
        <v>0</v>
      </c>
      <c r="M143" s="101"/>
      <c r="N143" s="6"/>
      <c r="O143" s="10"/>
      <c r="P143" s="10"/>
      <c r="Q143" s="633"/>
      <c r="R143" s="10"/>
      <c r="S143" s="10"/>
      <c r="T143" s="10"/>
      <c r="U143" s="10"/>
      <c r="V143" s="10"/>
      <c r="W143" s="10"/>
      <c r="X143" s="10"/>
      <c r="Y143" s="10"/>
      <c r="Z143" s="10"/>
      <c r="AA143" s="10"/>
      <c r="AB143" s="10"/>
    </row>
    <row r="144" spans="1:28" ht="14.25" customHeight="1" x14ac:dyDescent="0.25">
      <c r="A144" s="1100">
        <v>0</v>
      </c>
      <c r="B144" s="16"/>
      <c r="C144" s="101"/>
      <c r="D144" s="520" t="str">
        <f>IF(Income_RentAdjType&lt;&gt;"Qualitative","Gross Physical Adjustment","Gross Relative Comparison")</f>
        <v>Gross Physical Adjustment</v>
      </c>
      <c r="E144" s="101"/>
      <c r="F144" s="137"/>
      <c r="G144" s="1804">
        <f>IF(Income_RentAdjType_2&lt;&gt;"Qualitative",SUM(ABS(G59),ABS(G65),ABS(G75),ABS(G84),ABS(G90),ABS(G96),ABS(G102),ABS(G108),ABS(G114),ABS(G120),ABS(G127),ABS(G133),ABS(G139)),SUM(ABS(G55),ABS(G63),ABS(G69),ABS(G79),ABS(G88),ABS(G94),ABS(G100),ABS(G106),ABS(G112),ABS(G118),ABS(G124),ABS(G131),ABS(G137)))</f>
        <v>0</v>
      </c>
      <c r="H144" s="1804">
        <f>IF(Income_RentAdjType_2&lt;&gt;"Qualitative",SUM(ABS(H59),ABS(H65),ABS(H75),ABS(H84),ABS(H90),ABS(H96),ABS(H102),ABS(H108),ABS(H113),ABS(H120),ABS(H127),ABS(H133),ABS(H139)),SUM(ABS(H55),ABS(H63),ABS(H69),ABS(H79),ABS(H88),ABS(H94),ABS(H100),ABS(H106),ABS(H112),ABS(H118),ABS(H124),ABS(H131),ABS(H137)))</f>
        <v>0</v>
      </c>
      <c r="I144" s="1804">
        <f>IF(Income_RentAdjType_2&lt;&gt;"Qualitative",SUM(ABS(I59),ABS(I65),ABS(I75),ABS(I84),ABS(I90),ABS(I96),ABS(I102),ABS(I108),ABS(I113),ABS(I120),ABS(I127),ABS(I133),ABS(I139)),SUM(ABS(I55),ABS(I63),ABS(I69),ABS(I79),ABS(I88),ABS(I94),ABS(I100),ABS(I106),ABS(I112),ABS(I118),ABS(I124),ABS(I131),ABS(I137)))</f>
        <v>0</v>
      </c>
      <c r="J144" s="1804">
        <f>IF(Income_RentAdjType_2&lt;&gt;"Qualitative",SUM(ABS(J59),ABS(J65),ABS(J75),ABS(J84),ABS(J90),ABS(J96),ABS(J102),ABS(J108),ABS(J113),ABS(J120),ABS(J127),ABS(J133),ABS(J139)),SUM(ABS(J55),ABS(J63),ABS(J69),ABS(J79),ABS(J88),ABS(J94),ABS(J100),ABS(J106),ABS(J112),ABS(J118),ABS(J124),ABS(J131),ABS(J137)))</f>
        <v>0</v>
      </c>
      <c r="K144" s="1804">
        <f>IF(Income_RentAdjType_2&lt;&gt;"Qualitative",SUM(ABS(K59),ABS(K65),ABS(K75),ABS(K84),ABS(K90),ABS(K96),ABS(K102),ABS(K108),ABS(K113),ABS(K120),ABS(K127),ABS(K133),ABS(K139)),SUM(ABS(K55),ABS(K63),ABS(K69),ABS(K79),ABS(K88),ABS(K94),ABS(K100),ABS(K106),ABS(K112),ABS(K118),ABS(K124),ABS(K131),ABS(K137)))</f>
        <v>0</v>
      </c>
      <c r="L144" s="1966">
        <f>IF(Income_RentAdjType_2&lt;&gt;"Qualitative",SUM(ABS(L59),ABS(L65),ABS(L75),ABS(L84),ABS(L90),ABS(L96),ABS(L102),ABS(L108),ABS(L113),ABS(L120),ABS(L127),ABS(L133),ABS(L139)),SUM(ABS(L55),ABS(L63),ABS(L69),ABS(L79),ABS(L88),ABS(L94),ABS(L100),ABS(L106),ABS(L112),ABS(L118),ABS(L124),ABS(L131),ABS(L137)))</f>
        <v>0</v>
      </c>
      <c r="M144" s="101"/>
      <c r="N144" s="6"/>
      <c r="O144" s="10"/>
      <c r="P144" s="10"/>
      <c r="Q144" s="290"/>
      <c r="R144" s="10"/>
      <c r="S144" s="10"/>
      <c r="T144" s="10"/>
      <c r="U144" s="10"/>
      <c r="V144" s="10"/>
      <c r="W144" s="10"/>
      <c r="X144" s="10"/>
      <c r="Y144" s="10"/>
      <c r="Z144" s="10"/>
      <c r="AA144" s="10"/>
      <c r="AB144" s="10"/>
    </row>
    <row r="145" spans="1:28" ht="14.25" customHeight="1" x14ac:dyDescent="0.25">
      <c r="A145" s="1100">
        <f>IF(Income_RentAdjType_2="Qualitative",1,0)</f>
        <v>0</v>
      </c>
      <c r="B145" s="16"/>
      <c r="C145" s="130"/>
      <c r="D145" s="1497" t="s">
        <v>1128</v>
      </c>
      <c r="E145" s="766"/>
      <c r="F145" s="765"/>
      <c r="G145" s="1939" t="str">
        <f t="shared" ref="G145:L145" si="44">IF(G143&gt;0,"Inferior",IF(G143&lt;0,"Superior","Similar"))</f>
        <v>Similar</v>
      </c>
      <c r="H145" s="1939" t="str">
        <f t="shared" si="44"/>
        <v>Similar</v>
      </c>
      <c r="I145" s="1939" t="str">
        <f t="shared" si="44"/>
        <v>Similar</v>
      </c>
      <c r="J145" s="1939" t="str">
        <f t="shared" si="44"/>
        <v>Similar</v>
      </c>
      <c r="K145" s="1939" t="str">
        <f t="shared" si="44"/>
        <v>Similar</v>
      </c>
      <c r="L145" s="2044" t="str">
        <f t="shared" si="44"/>
        <v>Similar</v>
      </c>
      <c r="M145" s="101"/>
      <c r="N145" s="6"/>
      <c r="O145" s="10"/>
      <c r="P145" s="10"/>
      <c r="Q145" s="10"/>
      <c r="R145" s="10"/>
      <c r="S145" s="10"/>
      <c r="T145" s="10"/>
      <c r="U145" s="10"/>
      <c r="V145" s="10"/>
      <c r="W145" s="10"/>
      <c r="X145" s="10"/>
      <c r="Y145" s="10"/>
      <c r="Z145" s="10"/>
      <c r="AA145" s="10"/>
      <c r="AB145" s="10"/>
    </row>
    <row r="146" spans="1:28" ht="20.100000000000001" customHeight="1" thickBot="1" x14ac:dyDescent="0.3">
      <c r="A146" s="1670">
        <f>IF(Income_RentAdjType_2="Qualitative",0,1)</f>
        <v>1</v>
      </c>
      <c r="B146" s="16"/>
      <c r="C146" s="130"/>
      <c r="D146" s="171" t="str">
        <f>IF(dpIncome_RentUnitDisplay_2="Annual","Adjusted Annual Rental Rate","Adjusted Monthly Rental Rate")</f>
        <v>Adjusted Annual Rental Rate</v>
      </c>
      <c r="E146" s="921"/>
      <c r="F146" s="765"/>
      <c r="G146" s="1940" t="e">
        <f t="shared" ref="G146:L146" si="45">IF(Income_RentAdjType_2="Percent",G54*(1+G143),IF(Income_RentAdjType_2="$ per Unit",G54+G143,""))</f>
        <v>#VALUE!</v>
      </c>
      <c r="H146" s="1940" t="e">
        <f t="shared" si="45"/>
        <v>#VALUE!</v>
      </c>
      <c r="I146" s="1940" t="e">
        <f t="shared" si="45"/>
        <v>#VALUE!</v>
      </c>
      <c r="J146" s="1940" t="e">
        <f t="shared" si="45"/>
        <v>#VALUE!</v>
      </c>
      <c r="K146" s="1940" t="e">
        <f t="shared" si="45"/>
        <v>#VALUE!</v>
      </c>
      <c r="L146" s="2045" t="e">
        <f t="shared" si="45"/>
        <v>#VALUE!</v>
      </c>
      <c r="M146" s="101"/>
      <c r="N146" s="6"/>
      <c r="O146" s="10"/>
      <c r="P146" s="10"/>
      <c r="Q146" s="10"/>
      <c r="R146" s="10"/>
      <c r="S146" s="10"/>
      <c r="T146" s="10"/>
      <c r="U146" s="10"/>
      <c r="V146" s="10"/>
      <c r="W146" s="10"/>
      <c r="X146" s="10"/>
      <c r="Y146" s="10"/>
      <c r="Z146" s="10"/>
      <c r="AA146" s="10"/>
      <c r="AB146" s="10"/>
    </row>
    <row r="147" spans="1:28" ht="15" customHeight="1" thickBot="1" x14ac:dyDescent="0.3">
      <c r="A147" s="972">
        <v>1</v>
      </c>
      <c r="B147" s="95"/>
      <c r="C147" s="75"/>
      <c r="D147" s="555" t="s">
        <v>1519</v>
      </c>
      <c r="E147" s="167"/>
      <c r="F147" s="168"/>
      <c r="G147" s="1941"/>
      <c r="H147" s="1941"/>
      <c r="I147" s="1941"/>
      <c r="J147" s="1941"/>
      <c r="K147" s="1941"/>
      <c r="L147" s="2046"/>
      <c r="M147" s="7"/>
      <c r="N147" s="9"/>
      <c r="O147" s="10"/>
      <c r="P147" s="10"/>
      <c r="Q147" s="150">
        <f>dpIncome_SpaceCategory_MarketRent_2</f>
        <v>0</v>
      </c>
      <c r="R147" s="10"/>
      <c r="S147" s="10"/>
      <c r="T147" s="10"/>
      <c r="U147" s="10"/>
      <c r="V147" s="10"/>
      <c r="W147" s="10"/>
      <c r="X147" s="10"/>
      <c r="Y147" s="10"/>
      <c r="Z147" s="10"/>
      <c r="AA147" s="10"/>
      <c r="AB147" s="10"/>
    </row>
    <row r="148" spans="1:28" ht="30" customHeight="1" thickBot="1" x14ac:dyDescent="0.3">
      <c r="A148" s="972">
        <v>1</v>
      </c>
      <c r="B148" s="11"/>
      <c r="C148" s="10"/>
      <c r="D148" s="10"/>
      <c r="E148" s="10"/>
      <c r="F148" s="13"/>
      <c r="G148" s="1839"/>
      <c r="H148" s="1839"/>
      <c r="I148" s="1839"/>
      <c r="J148" s="1839"/>
      <c r="K148" s="1839"/>
      <c r="L148" s="37"/>
      <c r="M148" s="10"/>
      <c r="N148" s="10"/>
      <c r="O148" s="10"/>
      <c r="P148" s="10"/>
      <c r="Q148" s="728" t="str">
        <f>IF(dpIncome_RentUnitDisplay_2="Annual","Annual Market Rental Rate Estimate (PSF)","Monthly Market Rental Rate Estimate (PSF)")</f>
        <v>Annual Market Rental Rate Estimate (PSF)</v>
      </c>
      <c r="R148" s="10"/>
      <c r="S148" s="10"/>
      <c r="T148" s="10"/>
      <c r="U148" s="10"/>
      <c r="V148" s="10"/>
      <c r="W148" s="10"/>
      <c r="X148" s="10"/>
      <c r="Y148" s="10"/>
      <c r="Z148" s="10"/>
      <c r="AA148" s="10"/>
      <c r="AB148" s="10"/>
    </row>
    <row r="149" spans="1:28" ht="15.95" customHeight="1" thickBot="1" x14ac:dyDescent="0.3">
      <c r="A149" s="972">
        <v>1</v>
      </c>
      <c r="B149" s="11"/>
      <c r="C149" s="10"/>
      <c r="D149" s="10"/>
      <c r="E149" s="10"/>
      <c r="F149" s="13"/>
      <c r="G149" s="1839"/>
      <c r="H149" s="1839"/>
      <c r="I149" s="1839"/>
      <c r="J149" s="1839"/>
      <c r="K149" s="1839"/>
      <c r="L149" s="37"/>
      <c r="M149" s="10"/>
      <c r="N149" s="10"/>
      <c r="O149" s="10"/>
      <c r="P149" s="10"/>
      <c r="Q149" s="583"/>
      <c r="R149" s="10"/>
      <c r="S149" s="10"/>
      <c r="T149" s="10"/>
      <c r="U149" s="10"/>
      <c r="V149" s="10"/>
      <c r="W149" s="10"/>
      <c r="X149" s="10"/>
      <c r="Y149" s="10"/>
      <c r="Z149" s="10"/>
      <c r="AA149" s="10"/>
      <c r="AB149" s="10"/>
    </row>
    <row r="150" spans="1:28" ht="15" customHeight="1" thickBot="1" x14ac:dyDescent="0.3">
      <c r="A150" s="972">
        <v>1</v>
      </c>
      <c r="B150" s="11"/>
      <c r="C150" s="10"/>
      <c r="D150" s="10"/>
      <c r="E150" s="10"/>
      <c r="F150" s="13"/>
      <c r="G150" s="1839"/>
      <c r="H150" s="1839"/>
      <c r="I150" s="1839"/>
      <c r="J150" s="1839"/>
      <c r="K150" s="1839"/>
      <c r="L150" s="37"/>
      <c r="M150" s="10"/>
      <c r="N150" s="10"/>
      <c r="O150" s="10"/>
      <c r="P150" s="10"/>
      <c r="Q150" s="10"/>
      <c r="R150" s="10"/>
      <c r="S150" s="10"/>
      <c r="T150" s="10"/>
      <c r="U150" s="10"/>
      <c r="V150" s="10"/>
      <c r="W150" s="10"/>
      <c r="X150" s="10"/>
      <c r="Y150" s="10"/>
      <c r="Z150" s="10"/>
      <c r="AA150" s="10"/>
      <c r="AB150" s="10"/>
    </row>
    <row r="151" spans="1:28" ht="14.25" customHeight="1" x14ac:dyDescent="0.25">
      <c r="A151" s="972">
        <v>1</v>
      </c>
      <c r="B151" s="11"/>
      <c r="C151" s="10"/>
      <c r="D151" s="10"/>
      <c r="E151" s="10"/>
      <c r="F151" s="13"/>
      <c r="G151" s="1839"/>
      <c r="H151" s="1839"/>
      <c r="I151" s="1839"/>
      <c r="J151" s="1839"/>
      <c r="K151" s="1839"/>
      <c r="L151" s="37"/>
      <c r="M151" s="10"/>
      <c r="N151" s="10"/>
      <c r="O151" s="561"/>
      <c r="P151" s="562"/>
      <c r="Q151" s="562"/>
      <c r="R151" s="2"/>
      <c r="S151" s="2"/>
      <c r="T151" s="2"/>
      <c r="U151" s="2"/>
      <c r="V151" s="2"/>
      <c r="W151" s="10"/>
      <c r="X151" s="10"/>
      <c r="Y151" s="10"/>
      <c r="Z151" s="10"/>
      <c r="AA151" s="10"/>
      <c r="AB151" s="10"/>
    </row>
    <row r="152" spans="1:28" ht="15" customHeight="1" x14ac:dyDescent="0.3">
      <c r="A152" s="972">
        <v>1</v>
      </c>
      <c r="B152" s="11"/>
      <c r="C152" s="10"/>
      <c r="D152" s="10"/>
      <c r="E152" s="10"/>
      <c r="F152" s="13"/>
      <c r="G152" s="1839"/>
      <c r="H152" s="1839"/>
      <c r="I152" s="1839"/>
      <c r="J152" s="1839"/>
      <c r="K152" s="1839"/>
      <c r="L152" s="37"/>
      <c r="M152" s="10"/>
      <c r="N152" s="10"/>
      <c r="O152" s="567"/>
      <c r="P152" s="246"/>
      <c r="Q152" s="568" t="str">
        <f>CONCATENATE("Rent Comparable Statistics - ",dpIncome_SpaceCategory_MarketRent_2," Space")</f>
        <v>Rent Comparable Statistics -  Space</v>
      </c>
      <c r="R152" s="246"/>
      <c r="S152" s="246"/>
      <c r="T152" s="246"/>
      <c r="U152" s="246"/>
      <c r="V152" s="246"/>
      <c r="W152" s="10"/>
      <c r="X152" s="10"/>
      <c r="Y152" s="10"/>
      <c r="Z152" s="10"/>
      <c r="AA152" s="10"/>
      <c r="AB152" s="10"/>
    </row>
    <row r="153" spans="1:28" ht="15" customHeight="1" x14ac:dyDescent="0.25">
      <c r="A153" s="972">
        <v>1</v>
      </c>
      <c r="B153" s="11"/>
      <c r="C153" s="10"/>
      <c r="D153" s="10"/>
      <c r="E153" s="10"/>
      <c r="F153" s="13"/>
      <c r="G153" s="1839"/>
      <c r="H153" s="1839"/>
      <c r="I153" s="1839"/>
      <c r="J153" s="1839"/>
      <c r="K153" s="1839"/>
      <c r="L153" s="37"/>
      <c r="M153" s="10"/>
      <c r="N153" s="10"/>
      <c r="O153" s="563"/>
      <c r="P153" s="150"/>
      <c r="Q153" s="12" t="s">
        <v>942</v>
      </c>
      <c r="R153" s="55" t="s">
        <v>655</v>
      </c>
      <c r="S153" s="55" t="s">
        <v>1370</v>
      </c>
      <c r="T153" s="55" t="s">
        <v>128</v>
      </c>
      <c r="U153" s="150"/>
      <c r="V153" s="53"/>
      <c r="W153" s="10"/>
      <c r="X153" s="10"/>
      <c r="Y153" s="10"/>
      <c r="Z153" s="10"/>
      <c r="AA153" s="10"/>
      <c r="AB153" s="10"/>
    </row>
    <row r="154" spans="1:28" ht="15" customHeight="1" x14ac:dyDescent="0.25">
      <c r="A154" s="972">
        <v>1</v>
      </c>
      <c r="B154" s="11"/>
      <c r="C154" s="10"/>
      <c r="D154" s="10"/>
      <c r="E154" s="10"/>
      <c r="F154" s="13"/>
      <c r="G154" s="1839"/>
      <c r="H154" s="1839"/>
      <c r="I154" s="1839"/>
      <c r="J154" s="1839"/>
      <c r="K154" s="1839"/>
      <c r="L154" s="37"/>
      <c r="M154" s="10"/>
      <c r="N154" s="10"/>
      <c r="O154" s="563"/>
      <c r="P154" s="114"/>
      <c r="Q154" s="130" t="s">
        <v>1045</v>
      </c>
      <c r="R154" s="1174">
        <f>MIN(Rents_UnadjustedRange_2)</f>
        <v>0</v>
      </c>
      <c r="S154" s="1174" t="e">
        <f>MIN(Income_RentAdjPrice3_2)</f>
        <v>#VALUE!</v>
      </c>
      <c r="T154" s="1140" t="e">
        <f>IF(Income_RentAdjType_2="Qualitative","N/A",MIN(Rent_FinalAdjustedRange_2))</f>
        <v>#VALUE!</v>
      </c>
      <c r="U154" s="130"/>
      <c r="V154" s="5"/>
      <c r="W154" s="10"/>
      <c r="X154" s="10"/>
      <c r="Y154" s="10"/>
      <c r="Z154" s="10"/>
      <c r="AA154" s="10"/>
      <c r="AB154" s="10"/>
    </row>
    <row r="155" spans="1:28" ht="15" customHeight="1" x14ac:dyDescent="0.25">
      <c r="A155" s="972">
        <v>1</v>
      </c>
      <c r="B155" s="11"/>
      <c r="C155" s="10"/>
      <c r="D155" s="10"/>
      <c r="E155" s="10"/>
      <c r="F155" s="13"/>
      <c r="G155" s="1839"/>
      <c r="H155" s="1839"/>
      <c r="I155" s="1839"/>
      <c r="J155" s="1839"/>
      <c r="K155" s="1839"/>
      <c r="L155" s="37"/>
      <c r="M155" s="10"/>
      <c r="N155" s="10"/>
      <c r="O155" s="563"/>
      <c r="P155" s="114"/>
      <c r="Q155" s="130" t="s">
        <v>1046</v>
      </c>
      <c r="R155" s="1174">
        <f>MAX(Rents_UnadjustedRange_2)</f>
        <v>0</v>
      </c>
      <c r="S155" s="1174" t="e">
        <f>MAX(Income_RentAdjPrice3_2)</f>
        <v>#VALUE!</v>
      </c>
      <c r="T155" s="1140" t="e">
        <f>IF(Income_RentAdjType_2="Qualitative","N/A",MAX(Rent_FinalAdjustedRange_2))</f>
        <v>#VALUE!</v>
      </c>
      <c r="U155" s="130"/>
      <c r="V155" s="5"/>
      <c r="W155" s="10"/>
      <c r="X155" s="10"/>
      <c r="Y155" s="10"/>
      <c r="Z155" s="10"/>
      <c r="AA155" s="10"/>
      <c r="AB155" s="10"/>
    </row>
    <row r="156" spans="1:28" ht="15" customHeight="1" x14ac:dyDescent="0.25">
      <c r="A156" s="972">
        <v>1</v>
      </c>
      <c r="B156" s="11"/>
      <c r="C156" s="10"/>
      <c r="D156" s="10"/>
      <c r="E156" s="10"/>
      <c r="F156" s="13"/>
      <c r="G156" s="1839"/>
      <c r="H156" s="1839"/>
      <c r="I156" s="1839"/>
      <c r="J156" s="1839"/>
      <c r="K156" s="1839"/>
      <c r="L156" s="37"/>
      <c r="M156" s="10"/>
      <c r="N156" s="10"/>
      <c r="O156" s="563"/>
      <c r="P156" s="114"/>
      <c r="Q156" s="130" t="s">
        <v>1047</v>
      </c>
      <c r="R156" s="1174">
        <f>MEDIAN(Rents_UnadjustedRange_2)</f>
        <v>0</v>
      </c>
      <c r="S156" s="1174" t="e">
        <f>MEDIAN(Income_RentAdjPrice3_2)</f>
        <v>#VALUE!</v>
      </c>
      <c r="T156" s="1140" t="e">
        <f>IF(Income_RentAdjType_2="Qualitative","N/A",MEDIAN(Rent_FinalAdjustedRange_2))</f>
        <v>#VALUE!</v>
      </c>
      <c r="U156" s="130"/>
      <c r="V156" s="5"/>
      <c r="W156" s="10"/>
      <c r="X156" s="10"/>
      <c r="Y156" s="10"/>
      <c r="Z156" s="10"/>
      <c r="AA156" s="10"/>
      <c r="AB156" s="10"/>
    </row>
    <row r="157" spans="1:28" ht="15" customHeight="1" thickBot="1" x14ac:dyDescent="0.3">
      <c r="A157" s="972">
        <v>1</v>
      </c>
      <c r="B157" s="11"/>
      <c r="C157" s="10"/>
      <c r="D157" s="10"/>
      <c r="E157" s="10"/>
      <c r="F157" s="13"/>
      <c r="G157" s="1839"/>
      <c r="H157" s="1839"/>
      <c r="I157" s="1839"/>
      <c r="J157" s="1839"/>
      <c r="K157" s="1839"/>
      <c r="L157" s="37"/>
      <c r="M157" s="10"/>
      <c r="N157" s="10"/>
      <c r="O157" s="563"/>
      <c r="P157" s="114"/>
      <c r="Q157" s="99" t="s">
        <v>1048</v>
      </c>
      <c r="R157" s="1175">
        <f>AVERAGE(Rents_UnadjustedRange_2)</f>
        <v>0</v>
      </c>
      <c r="S157" s="1175" t="e">
        <f>AVERAGE(Income_RentAdjPrice3_2)</f>
        <v>#VALUE!</v>
      </c>
      <c r="T157" s="1202" t="e">
        <f>IF(Income_RentAdjType_2="Qualitative","N/A",AVERAGE(Rent_FinalAdjustedRange_2))</f>
        <v>#VALUE!</v>
      </c>
      <c r="U157" s="130"/>
      <c r="V157" s="5"/>
      <c r="W157" s="10"/>
      <c r="X157" s="10"/>
      <c r="Y157" s="10"/>
      <c r="Z157" s="10"/>
      <c r="AA157" s="10"/>
      <c r="AB157" s="10"/>
    </row>
    <row r="158" spans="1:28" ht="15" customHeight="1" x14ac:dyDescent="0.25">
      <c r="A158" s="972">
        <v>1</v>
      </c>
      <c r="B158" s="11"/>
      <c r="C158" s="10"/>
      <c r="D158" s="10"/>
      <c r="E158" s="10"/>
      <c r="F158" s="13"/>
      <c r="G158" s="1839"/>
      <c r="H158" s="1839"/>
      <c r="I158" s="1839"/>
      <c r="J158" s="1839"/>
      <c r="K158" s="1839"/>
      <c r="L158" s="37"/>
      <c r="M158" s="10"/>
      <c r="N158" s="10"/>
      <c r="O158" s="563"/>
      <c r="P158" s="52"/>
      <c r="Q158" s="18" t="s">
        <v>958</v>
      </c>
      <c r="R158" s="894">
        <f>STDEV(Rents_UnadjustedRange_2)</f>
        <v>0</v>
      </c>
      <c r="S158" s="894" t="e">
        <f>STDEV(Income_RentAdjPrice3_2)</f>
        <v>#VALUE!</v>
      </c>
      <c r="T158" s="894" t="e">
        <f>IF(Sales_AdjType="Qualitative","N/A",STDEV(Rent_FinalAdjustedRange_2))</f>
        <v>#VALUE!</v>
      </c>
      <c r="U158" s="18"/>
      <c r="V158" s="5"/>
      <c r="W158" s="10"/>
      <c r="X158" s="10"/>
      <c r="Y158" s="10"/>
      <c r="Z158" s="10"/>
      <c r="AA158" s="10"/>
      <c r="AB158" s="10"/>
    </row>
    <row r="159" spans="1:28" ht="15" customHeight="1" thickBot="1" x14ac:dyDescent="0.3">
      <c r="A159" s="972">
        <v>1</v>
      </c>
      <c r="B159" s="11"/>
      <c r="C159" s="10"/>
      <c r="D159" s="10"/>
      <c r="E159" s="10"/>
      <c r="F159" s="13"/>
      <c r="G159" s="1839"/>
      <c r="H159" s="1839"/>
      <c r="I159" s="1839"/>
      <c r="J159" s="1839"/>
      <c r="K159" s="1839"/>
      <c r="L159" s="37"/>
      <c r="M159" s="10"/>
      <c r="N159" s="10"/>
      <c r="O159" s="564"/>
      <c r="P159" s="565"/>
      <c r="Q159" s="552" t="s">
        <v>1435</v>
      </c>
      <c r="R159" s="7"/>
      <c r="S159" s="7"/>
      <c r="T159" s="7"/>
      <c r="U159" s="7"/>
      <c r="V159" s="7"/>
      <c r="W159" s="10"/>
      <c r="X159" s="10"/>
      <c r="Y159" s="10"/>
      <c r="Z159" s="10"/>
      <c r="AA159" s="10"/>
      <c r="AB159" s="10"/>
    </row>
    <row r="160" spans="1:28" ht="14.25" customHeight="1" thickBot="1" x14ac:dyDescent="0.3">
      <c r="A160" s="972">
        <v>1</v>
      </c>
      <c r="B160" s="11"/>
      <c r="C160" s="10"/>
      <c r="D160" s="10"/>
      <c r="E160" s="10"/>
      <c r="F160" s="13"/>
      <c r="G160" s="1839"/>
      <c r="H160" s="1839"/>
      <c r="I160" s="1839"/>
      <c r="J160" s="1839"/>
      <c r="K160" s="1839"/>
      <c r="L160" s="37"/>
      <c r="M160" s="10"/>
      <c r="N160" s="10"/>
      <c r="O160" s="10"/>
      <c r="P160" s="10"/>
      <c r="Q160" s="10"/>
      <c r="R160" s="10"/>
      <c r="S160" s="10"/>
      <c r="T160" s="10"/>
      <c r="U160" s="10"/>
      <c r="V160" s="10"/>
      <c r="W160" s="10"/>
      <c r="X160" s="10"/>
      <c r="Y160" s="10"/>
      <c r="Z160" s="10"/>
      <c r="AA160" s="10"/>
      <c r="AB160" s="10"/>
    </row>
    <row r="161" spans="1:28" ht="14.25" customHeight="1" x14ac:dyDescent="0.25">
      <c r="A161" s="972">
        <v>1</v>
      </c>
      <c r="B161" s="11"/>
      <c r="C161" s="10"/>
      <c r="D161" s="10"/>
      <c r="E161" s="10"/>
      <c r="F161" s="13"/>
      <c r="G161" s="1839"/>
      <c r="H161" s="1839"/>
      <c r="I161" s="1839"/>
      <c r="J161" s="1839"/>
      <c r="K161" s="1839"/>
      <c r="L161" s="37"/>
      <c r="M161" s="10"/>
      <c r="N161" s="10"/>
      <c r="O161" s="561"/>
      <c r="P161" s="562"/>
      <c r="Q161" s="562"/>
      <c r="R161" s="2"/>
      <c r="S161" s="2"/>
      <c r="T161" s="2"/>
      <c r="U161" s="2"/>
      <c r="V161" s="3"/>
      <c r="W161" s="10"/>
      <c r="X161" s="10"/>
      <c r="Y161" s="10"/>
      <c r="Z161" s="10"/>
      <c r="AA161" s="10"/>
      <c r="AB161" s="10"/>
    </row>
    <row r="162" spans="1:28" ht="14.25" customHeight="1" x14ac:dyDescent="0.3">
      <c r="A162" s="972">
        <v>1</v>
      </c>
      <c r="B162" s="11"/>
      <c r="C162" s="10"/>
      <c r="D162" s="10"/>
      <c r="E162" s="10"/>
      <c r="F162" s="13"/>
      <c r="G162" s="1839"/>
      <c r="H162" s="1839"/>
      <c r="I162" s="1839"/>
      <c r="J162" s="1839"/>
      <c r="K162" s="1839"/>
      <c r="L162" s="37"/>
      <c r="M162" s="10"/>
      <c r="N162" s="10"/>
      <c r="O162" s="567"/>
      <c r="P162" s="246"/>
      <c r="Q162" s="568" t="str">
        <f>IF(SUM(A164:A171)=1,"Market Rent Conclusion","Market Rent Conclusions")</f>
        <v>Market Rent Conclusions</v>
      </c>
      <c r="R162" s="246"/>
      <c r="S162" s="246"/>
      <c r="T162" s="246"/>
      <c r="U162" s="246"/>
      <c r="V162" s="1732"/>
      <c r="W162" s="10"/>
      <c r="X162" s="10"/>
      <c r="Y162" s="10"/>
      <c r="Z162" s="10"/>
      <c r="AA162" s="10"/>
      <c r="AB162" s="10"/>
    </row>
    <row r="163" spans="1:28" ht="14.25" customHeight="1" x14ac:dyDescent="0.25">
      <c r="A163" s="972">
        <v>1</v>
      </c>
      <c r="B163" s="11"/>
      <c r="C163" s="10"/>
      <c r="D163" s="10"/>
      <c r="E163" s="10"/>
      <c r="F163" s="13"/>
      <c r="G163" s="1839"/>
      <c r="H163" s="1839"/>
      <c r="I163" s="1839"/>
      <c r="J163" s="1839"/>
      <c r="K163" s="1839"/>
      <c r="L163" s="37"/>
      <c r="M163" s="10"/>
      <c r="N163" s="10"/>
      <c r="O163" s="563"/>
      <c r="P163" s="150"/>
      <c r="Q163" s="12" t="s">
        <v>315</v>
      </c>
      <c r="R163" s="55" t="s">
        <v>20</v>
      </c>
      <c r="S163" s="55" t="s">
        <v>319</v>
      </c>
      <c r="T163" s="55" t="s">
        <v>742</v>
      </c>
      <c r="U163" s="150"/>
      <c r="V163" s="128"/>
      <c r="W163" s="10"/>
      <c r="X163" s="10"/>
      <c r="Y163" s="10"/>
      <c r="Z163" s="10"/>
      <c r="AA163" s="10"/>
      <c r="AB163" s="10"/>
    </row>
    <row r="164" spans="1:28" ht="14.25" customHeight="1" x14ac:dyDescent="0.25">
      <c r="A164" s="972">
        <f>IF(Q164="",0,1)</f>
        <v>0</v>
      </c>
      <c r="B164" s="11"/>
      <c r="C164" s="10"/>
      <c r="D164" s="10"/>
      <c r="E164" s="10"/>
      <c r="F164" s="13"/>
      <c r="G164" s="1839"/>
      <c r="H164" s="1839"/>
      <c r="I164" s="1839"/>
      <c r="J164" s="1839"/>
      <c r="K164" s="1839"/>
      <c r="L164" s="37"/>
      <c r="M164" s="10"/>
      <c r="N164" s="10"/>
      <c r="O164" s="563"/>
      <c r="P164" s="114"/>
      <c r="Q164" s="1731"/>
      <c r="R164" s="1481" t="e">
        <f t="shared" ref="R164:R171" si="46">VLOOKUP($Q164,Income_DirectCap_AssumpMatrix,2,FALSE)</f>
        <v>#N/A</v>
      </c>
      <c r="S164" s="1174" t="e">
        <f t="shared" ref="S164:S171" si="47">VLOOKUP($Q164,Income_DirectCap_AssumpMatrix,3,FALSE)</f>
        <v>#N/A</v>
      </c>
      <c r="T164" s="875" t="e">
        <f t="shared" ref="T164:T171" si="48">VLOOKUP($Q164,Income_DirectCap_AssumpMatrix,5,FALSE)</f>
        <v>#N/A</v>
      </c>
      <c r="U164" s="130"/>
      <c r="V164" s="6"/>
      <c r="W164" s="10"/>
      <c r="X164" s="10"/>
      <c r="Y164" s="10"/>
      <c r="Z164" s="10"/>
      <c r="AA164" s="10"/>
      <c r="AB164" s="10"/>
    </row>
    <row r="165" spans="1:28" ht="14.25" customHeight="1" x14ac:dyDescent="0.25">
      <c r="A165" s="972">
        <f t="shared" ref="A165:A171" si="49">IF(Q165="",0,1)</f>
        <v>0</v>
      </c>
      <c r="B165" s="11"/>
      <c r="C165" s="10"/>
      <c r="D165" s="10"/>
      <c r="E165" s="10"/>
      <c r="F165" s="13"/>
      <c r="G165" s="1839"/>
      <c r="H165" s="1839"/>
      <c r="I165" s="1839"/>
      <c r="J165" s="1839"/>
      <c r="K165" s="1839"/>
      <c r="L165" s="37"/>
      <c r="M165" s="10"/>
      <c r="N165" s="10"/>
      <c r="O165" s="563"/>
      <c r="P165" s="114"/>
      <c r="Q165" s="1671"/>
      <c r="R165" s="1481" t="e">
        <f t="shared" si="46"/>
        <v>#N/A</v>
      </c>
      <c r="S165" s="1174" t="e">
        <f t="shared" si="47"/>
        <v>#N/A</v>
      </c>
      <c r="T165" s="875" t="e">
        <f t="shared" si="48"/>
        <v>#N/A</v>
      </c>
      <c r="U165" s="130"/>
      <c r="V165" s="6"/>
      <c r="W165" s="10"/>
      <c r="X165" s="10"/>
      <c r="Y165" s="10"/>
      <c r="Z165" s="10"/>
      <c r="AA165" s="10"/>
      <c r="AB165" s="10"/>
    </row>
    <row r="166" spans="1:28" ht="14.25" customHeight="1" x14ac:dyDescent="0.25">
      <c r="A166" s="972">
        <f t="shared" si="49"/>
        <v>0</v>
      </c>
      <c r="B166" s="11"/>
      <c r="C166" s="10"/>
      <c r="D166" s="10"/>
      <c r="E166" s="10"/>
      <c r="F166" s="13"/>
      <c r="G166" s="1839"/>
      <c r="H166" s="1839"/>
      <c r="I166" s="1839"/>
      <c r="J166" s="1839"/>
      <c r="K166" s="1839"/>
      <c r="L166" s="37"/>
      <c r="M166" s="10"/>
      <c r="N166" s="10"/>
      <c r="O166" s="563"/>
      <c r="P166" s="114"/>
      <c r="Q166" s="1671"/>
      <c r="R166" s="1481" t="e">
        <f t="shared" si="46"/>
        <v>#N/A</v>
      </c>
      <c r="S166" s="1174" t="e">
        <f t="shared" si="47"/>
        <v>#N/A</v>
      </c>
      <c r="T166" s="875" t="e">
        <f t="shared" si="48"/>
        <v>#N/A</v>
      </c>
      <c r="U166" s="130"/>
      <c r="V166" s="6"/>
      <c r="W166" s="10"/>
      <c r="X166" s="10"/>
      <c r="Y166" s="10"/>
      <c r="Z166" s="10"/>
      <c r="AA166" s="10"/>
      <c r="AB166" s="10"/>
    </row>
    <row r="167" spans="1:28" ht="14.25" customHeight="1" x14ac:dyDescent="0.25">
      <c r="A167" s="972">
        <f t="shared" si="49"/>
        <v>0</v>
      </c>
      <c r="B167" s="11"/>
      <c r="C167" s="10"/>
      <c r="D167" s="10"/>
      <c r="E167" s="10"/>
      <c r="F167" s="13"/>
      <c r="G167" s="1839"/>
      <c r="H167" s="1839"/>
      <c r="I167" s="1839"/>
      <c r="J167" s="1839"/>
      <c r="K167" s="1839"/>
      <c r="L167" s="37"/>
      <c r="M167" s="10"/>
      <c r="N167" s="10"/>
      <c r="O167" s="563"/>
      <c r="P167" s="114"/>
      <c r="Q167" s="1671"/>
      <c r="R167" s="1481" t="e">
        <f t="shared" si="46"/>
        <v>#N/A</v>
      </c>
      <c r="S167" s="1174" t="e">
        <f t="shared" si="47"/>
        <v>#N/A</v>
      </c>
      <c r="T167" s="875" t="e">
        <f t="shared" si="48"/>
        <v>#N/A</v>
      </c>
      <c r="U167" s="130"/>
      <c r="V167" s="6"/>
      <c r="W167" s="10"/>
      <c r="X167" s="10"/>
      <c r="Y167" s="10"/>
      <c r="Z167" s="10"/>
      <c r="AA167" s="10"/>
      <c r="AB167" s="10"/>
    </row>
    <row r="168" spans="1:28" ht="14.25" customHeight="1" x14ac:dyDescent="0.25">
      <c r="A168" s="972">
        <f t="shared" si="49"/>
        <v>0</v>
      </c>
      <c r="B168" s="11"/>
      <c r="C168" s="10"/>
      <c r="D168" s="10"/>
      <c r="E168" s="10"/>
      <c r="F168" s="13"/>
      <c r="G168" s="1839"/>
      <c r="H168" s="1839"/>
      <c r="I168" s="1839"/>
      <c r="J168" s="1839"/>
      <c r="K168" s="1839"/>
      <c r="L168" s="37"/>
      <c r="M168" s="10"/>
      <c r="N168" s="10"/>
      <c r="O168" s="563"/>
      <c r="P168" s="114"/>
      <c r="Q168" s="1671"/>
      <c r="R168" s="1481" t="e">
        <f t="shared" si="46"/>
        <v>#N/A</v>
      </c>
      <c r="S168" s="1174" t="e">
        <f t="shared" si="47"/>
        <v>#N/A</v>
      </c>
      <c r="T168" s="875" t="e">
        <f t="shared" si="48"/>
        <v>#N/A</v>
      </c>
      <c r="U168" s="130"/>
      <c r="V168" s="6"/>
      <c r="W168" s="10"/>
      <c r="X168" s="10"/>
      <c r="Y168" s="10"/>
      <c r="Z168" s="10"/>
      <c r="AA168" s="10"/>
      <c r="AB168" s="10"/>
    </row>
    <row r="169" spans="1:28" ht="14.25" customHeight="1" x14ac:dyDescent="0.25">
      <c r="A169" s="972">
        <f t="shared" si="49"/>
        <v>0</v>
      </c>
      <c r="B169" s="11"/>
      <c r="C169" s="10"/>
      <c r="D169" s="10"/>
      <c r="E169" s="10"/>
      <c r="F169" s="13"/>
      <c r="G169" s="1839"/>
      <c r="H169" s="1839"/>
      <c r="I169" s="1839"/>
      <c r="J169" s="1839"/>
      <c r="K169" s="1839"/>
      <c r="L169" s="37"/>
      <c r="M169" s="10"/>
      <c r="N169" s="10"/>
      <c r="O169" s="563"/>
      <c r="P169" s="114"/>
      <c r="Q169" s="1671"/>
      <c r="R169" s="1481" t="e">
        <f t="shared" si="46"/>
        <v>#N/A</v>
      </c>
      <c r="S169" s="1174" t="e">
        <f t="shared" si="47"/>
        <v>#N/A</v>
      </c>
      <c r="T169" s="875" t="e">
        <f t="shared" si="48"/>
        <v>#N/A</v>
      </c>
      <c r="U169" s="130"/>
      <c r="V169" s="6"/>
      <c r="W169" s="10"/>
      <c r="X169" s="10"/>
      <c r="Y169" s="10"/>
      <c r="Z169" s="10"/>
      <c r="AA169" s="10"/>
      <c r="AB169" s="10"/>
    </row>
    <row r="170" spans="1:28" ht="14.25" customHeight="1" x14ac:dyDescent="0.25">
      <c r="A170" s="972">
        <f t="shared" si="49"/>
        <v>0</v>
      </c>
      <c r="B170" s="11"/>
      <c r="C170" s="10"/>
      <c r="D170" s="10"/>
      <c r="E170" s="10"/>
      <c r="F170" s="13"/>
      <c r="G170" s="1839"/>
      <c r="H170" s="1839"/>
      <c r="I170" s="1839"/>
      <c r="J170" s="1839"/>
      <c r="K170" s="1839"/>
      <c r="L170" s="37"/>
      <c r="M170" s="10"/>
      <c r="N170" s="10"/>
      <c r="O170" s="563"/>
      <c r="P170" s="114"/>
      <c r="Q170" s="1671"/>
      <c r="R170" s="1481" t="e">
        <f t="shared" si="46"/>
        <v>#N/A</v>
      </c>
      <c r="S170" s="1174" t="e">
        <f t="shared" si="47"/>
        <v>#N/A</v>
      </c>
      <c r="T170" s="875" t="e">
        <f t="shared" si="48"/>
        <v>#N/A</v>
      </c>
      <c r="U170" s="130"/>
      <c r="V170" s="6"/>
      <c r="W170" s="10"/>
      <c r="X170" s="10"/>
      <c r="Y170" s="10"/>
      <c r="Z170" s="10"/>
      <c r="AA170" s="10"/>
      <c r="AB170" s="10"/>
    </row>
    <row r="171" spans="1:28" ht="14.25" customHeight="1" thickBot="1" x14ac:dyDescent="0.3">
      <c r="A171" s="972">
        <f t="shared" si="49"/>
        <v>0</v>
      </c>
      <c r="B171" s="11"/>
      <c r="C171" s="10"/>
      <c r="D171" s="10"/>
      <c r="E171" s="10"/>
      <c r="F171" s="13"/>
      <c r="G171" s="1839"/>
      <c r="H171" s="1839"/>
      <c r="I171" s="1839"/>
      <c r="J171" s="1839"/>
      <c r="K171" s="1839"/>
      <c r="L171" s="37"/>
      <c r="M171" s="10"/>
      <c r="N171" s="10"/>
      <c r="O171" s="563"/>
      <c r="P171" s="114"/>
      <c r="Q171" s="1730"/>
      <c r="R171" s="1484" t="e">
        <f t="shared" si="46"/>
        <v>#N/A</v>
      </c>
      <c r="S171" s="1175" t="e">
        <f t="shared" si="47"/>
        <v>#N/A</v>
      </c>
      <c r="T171" s="875" t="e">
        <f t="shared" si="48"/>
        <v>#N/A</v>
      </c>
      <c r="U171" s="130"/>
      <c r="V171" s="6"/>
      <c r="W171" s="10"/>
      <c r="X171" s="10"/>
      <c r="Y171" s="10"/>
      <c r="Z171" s="10"/>
      <c r="AA171" s="10"/>
      <c r="AB171" s="10"/>
    </row>
    <row r="172" spans="1:28" ht="14.25" customHeight="1" thickBot="1" x14ac:dyDescent="0.3">
      <c r="A172" s="972">
        <v>1</v>
      </c>
      <c r="B172" s="11"/>
      <c r="C172" s="10"/>
      <c r="D172" s="10"/>
      <c r="E172" s="10"/>
      <c r="F172" s="13"/>
      <c r="G172" s="1839"/>
      <c r="H172" s="1839"/>
      <c r="I172" s="1839"/>
      <c r="J172" s="1839"/>
      <c r="K172" s="1839"/>
      <c r="L172" s="37"/>
      <c r="M172" s="10"/>
      <c r="N172" s="10"/>
      <c r="O172" s="564"/>
      <c r="P172" s="565"/>
      <c r="Q172" s="741" t="s">
        <v>1594</v>
      </c>
      <c r="R172" s="133"/>
      <c r="S172" s="133"/>
      <c r="T172" s="133"/>
      <c r="U172" s="7"/>
      <c r="V172" s="9"/>
      <c r="W172" s="10"/>
      <c r="X172" s="10"/>
      <c r="Y172" s="10"/>
      <c r="Z172" s="10"/>
      <c r="AA172" s="10"/>
      <c r="AB172" s="10"/>
    </row>
    <row r="173" spans="1:28" ht="14.25" customHeight="1" x14ac:dyDescent="0.25">
      <c r="A173" s="243"/>
      <c r="B173" s="11"/>
      <c r="C173" s="10"/>
      <c r="D173" s="10"/>
      <c r="E173" s="10"/>
      <c r="F173" s="13"/>
      <c r="G173" s="1839"/>
      <c r="H173" s="1839"/>
      <c r="I173" s="1839"/>
      <c r="J173" s="1839"/>
      <c r="K173" s="1839"/>
      <c r="L173" s="37"/>
      <c r="M173" s="10"/>
      <c r="N173" s="10"/>
      <c r="O173" s="10"/>
      <c r="P173" s="10"/>
      <c r="Q173" s="10"/>
      <c r="R173" s="10"/>
      <c r="S173" s="10"/>
      <c r="T173" s="10"/>
      <c r="U173" s="10"/>
      <c r="V173" s="10"/>
      <c r="W173" s="10"/>
      <c r="X173" s="10"/>
      <c r="Y173" s="10"/>
      <c r="Z173" s="10"/>
      <c r="AA173" s="10"/>
      <c r="AB173" s="10"/>
    </row>
    <row r="174" spans="1:28" ht="14.25" customHeight="1" x14ac:dyDescent="0.25">
      <c r="A174" s="243"/>
      <c r="B174" s="11"/>
      <c r="C174" s="10"/>
      <c r="D174" s="10"/>
      <c r="E174" s="10"/>
      <c r="F174" s="13"/>
      <c r="G174" s="1839"/>
      <c r="H174" s="1839"/>
      <c r="I174" s="1839"/>
      <c r="J174" s="1839"/>
      <c r="K174" s="1839"/>
      <c r="L174" s="37"/>
      <c r="M174" s="10"/>
      <c r="N174" s="10"/>
      <c r="O174" s="10"/>
      <c r="P174" s="10"/>
      <c r="Q174" s="10"/>
      <c r="R174" s="10"/>
      <c r="S174" s="10"/>
      <c r="T174" s="10"/>
      <c r="U174" s="10"/>
      <c r="V174" s="10"/>
      <c r="W174" s="10"/>
      <c r="X174" s="10"/>
      <c r="Y174" s="10"/>
      <c r="Z174" s="10"/>
      <c r="AA174" s="10"/>
      <c r="AB174" s="10"/>
    </row>
  </sheetData>
  <mergeCells count="1">
    <mergeCell ref="Q50:Q51"/>
  </mergeCells>
  <dataValidations count="2">
    <dataValidation type="list" allowBlank="1" showInputMessage="1" showErrorMessage="1" error="Invalid Option - Please Select from the List" prompt="Select Preferred Quality Rating Type" sqref="D80" xr:uid="{00000000-0002-0000-2B00-000000000000}">
      <formula1>QualityList</formula1>
    </dataValidation>
    <dataValidation type="list" errorStyle="warning" allowBlank="1" showInputMessage="1" showErrorMessage="1" error="Invalid Option - Please Select from the List" prompt="Select Space Type (List Populates Based on Income Assumptions Entries)" sqref="Q164:Q171" xr:uid="{00000000-0002-0000-2B00-000001000000}">
      <formula1>Income_SpaceTypeSelectionRange</formula1>
    </dataValidation>
  </dataValidations>
  <printOptions horizontalCentered="1"/>
  <pageMargins left="0.5" right="0.5" top="0.75" bottom="0.75" header="0.3" footer="0.3"/>
  <pageSetup orientation="landscape" r:id="rId1"/>
  <drawing r:id="rId2"/>
  <legacyDrawing r:id="rId3"/>
  <extLst>
    <ext xmlns:x14="http://schemas.microsoft.com/office/spreadsheetml/2009/9/main" uri="{CCE6A557-97BC-4b89-ADB6-D9C93CAAB3DF}">
      <x14:dataValidations xmlns:xm="http://schemas.microsoft.com/office/excel/2006/main" count="3">
        <x14:dataValidation type="list" allowBlank="1" showInputMessage="1" showErrorMessage="1" error="Invalid Option - Please Select from the List" prompt="Select Date of Value for Market Rent to be used in Rent Adjustment Grid" xr:uid="{00000000-0002-0000-2B00-000002000000}">
          <x14:formula1>
            <xm:f>'Selection Tables'!$G$9:$G$11</xm:f>
          </x14:formula1>
          <xm:sqref>F11</xm:sqref>
        </x14:dataValidation>
        <x14:dataValidation type="list" allowBlank="1" showInputMessage="1" showErrorMessage="1" error="Invalid Option - Please Select from the List" prompt="Select Whether Tenant Name Should Show or Hide" xr:uid="{00000000-0002-0000-2B00-000003000000}">
          <x14:formula1>
            <xm:f>'Selection Tables'!$D$25:$D$26</xm:f>
          </x14:formula1>
          <xm:sqref>Q16</xm:sqref>
        </x14:dataValidation>
        <x14:dataValidation type="list" allowBlank="1" showInputMessage="1" showErrorMessage="1" error="Invalid Option - Please Select from the List" prompt="Select Date Lease Signed or Commences for Market Conditions Adjustment" xr:uid="{00000000-0002-0000-2B00-000004000000}">
          <x14:formula1>
            <xm:f>'Selection Tables'!$D$35:$D$36</xm:f>
          </x14:formula1>
          <xm:sqref>Q11</xm:sqref>
        </x14:dataValidation>
      </x14:dataValidations>
    </ext>
  </extLs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2">
    <tabColor theme="5" tint="-0.249977111117893"/>
    <pageSetUpPr fitToPage="1"/>
  </sheetPr>
  <dimension ref="A1:AY250"/>
  <sheetViews>
    <sheetView zoomScaleNormal="100" workbookViewId="0">
      <selection activeCell="O224" sqref="O224"/>
    </sheetView>
  </sheetViews>
  <sheetFormatPr defaultColWidth="10.28515625" defaultRowHeight="14.25" x14ac:dyDescent="0.25"/>
  <cols>
    <col min="1" max="2" width="5.7109375" style="2690" customWidth="1"/>
    <col min="3" max="3" width="1.7109375" style="2692" customWidth="1"/>
    <col min="4" max="4" width="0.85546875" style="2692" customWidth="1"/>
    <col min="5" max="5" width="25.28515625" style="2692" bestFit="1" customWidth="1"/>
    <col min="6" max="6" width="5.42578125" style="2397" bestFit="1" customWidth="1"/>
    <col min="7" max="7" width="8" style="2397" bestFit="1" customWidth="1"/>
    <col min="8" max="8" width="6.7109375" style="2397" bestFit="1" customWidth="1"/>
    <col min="9" max="9" width="8.5703125" style="2397" bestFit="1" customWidth="1"/>
    <col min="10" max="10" width="10.42578125" style="2397" bestFit="1" customWidth="1"/>
    <col min="11" max="11" width="20" style="2397" bestFit="1" customWidth="1"/>
    <col min="12" max="12" width="8.5703125" style="2397" bestFit="1" customWidth="1"/>
    <col min="13" max="13" width="10.42578125" style="2397" hidden="1" customWidth="1"/>
    <col min="14" max="14" width="11" style="2397" bestFit="1" customWidth="1"/>
    <col min="15" max="15" width="9.85546875" style="2397" bestFit="1" customWidth="1"/>
    <col min="16" max="16" width="0.85546875" style="2692" customWidth="1"/>
    <col min="17" max="18" width="1.7109375" style="2692" customWidth="1"/>
    <col min="19" max="19" width="26.7109375" style="2692" customWidth="1"/>
    <col min="20" max="20" width="1.7109375" style="2692" hidden="1" customWidth="1"/>
    <col min="21" max="21" width="24.7109375" style="2397" hidden="1" customWidth="1"/>
    <col min="22" max="22" width="1.7109375" style="2397" customWidth="1"/>
    <col min="23" max="23" width="24.7109375" style="2397" customWidth="1"/>
    <col min="24" max="24" width="1.85546875" style="2692" customWidth="1"/>
    <col min="25" max="32" width="22.7109375" style="2693" customWidth="1"/>
    <col min="33" max="33" width="1.7109375" style="2693" customWidth="1"/>
    <col min="34" max="35" width="12.7109375" style="2693" customWidth="1"/>
    <col min="36" max="36" width="9.85546875" style="2693" customWidth="1"/>
    <col min="37" max="37" width="1.7109375" style="2693" customWidth="1"/>
    <col min="38" max="38" width="11.7109375" style="2694" customWidth="1"/>
    <col min="39" max="39" width="1.7109375" style="2694" customWidth="1"/>
    <col min="40" max="40" width="11.7109375" style="2694" customWidth="1"/>
    <col min="41" max="41" width="1.7109375" style="2694" customWidth="1"/>
    <col min="42" max="42" width="11.7109375" style="2693" customWidth="1"/>
    <col min="43" max="43" width="1.7109375" style="2693" customWidth="1"/>
    <col min="44" max="44" width="11.7109375" style="2693" customWidth="1"/>
    <col min="45" max="45" width="1.7109375" style="2693" customWidth="1"/>
    <col min="46" max="46" width="11.7109375" style="2693" customWidth="1"/>
    <col min="47" max="16384" width="10.28515625" style="2693"/>
  </cols>
  <sheetData>
    <row r="1" spans="1:51" ht="60" customHeight="1" x14ac:dyDescent="0.25">
      <c r="A1" s="96"/>
      <c r="B1" s="96"/>
      <c r="C1" s="42"/>
      <c r="D1" s="42"/>
      <c r="E1" s="42"/>
      <c r="F1" s="54"/>
      <c r="G1" s="54"/>
      <c r="H1" s="54"/>
      <c r="I1" s="54"/>
      <c r="J1" s="54"/>
      <c r="K1" s="54"/>
      <c r="L1" s="54"/>
      <c r="M1" s="54"/>
      <c r="N1" s="54"/>
      <c r="O1" s="54"/>
      <c r="P1" s="42"/>
      <c r="Q1" s="42"/>
      <c r="R1" s="42"/>
      <c r="S1" s="42"/>
      <c r="T1" s="42"/>
      <c r="U1" s="54"/>
      <c r="V1" s="54"/>
      <c r="W1" s="54"/>
      <c r="X1" s="42"/>
      <c r="Y1" s="193"/>
      <c r="Z1" s="193"/>
      <c r="AA1" s="193"/>
      <c r="AB1" s="193"/>
      <c r="AC1" s="193"/>
      <c r="AD1" s="193"/>
      <c r="AE1" s="193"/>
      <c r="AF1" s="193"/>
      <c r="AG1" s="193"/>
      <c r="AH1" s="193"/>
      <c r="AI1" s="193"/>
      <c r="AJ1" s="193"/>
      <c r="AK1" s="193"/>
      <c r="AL1" s="208"/>
      <c r="AM1" s="208"/>
      <c r="AN1" s="208"/>
      <c r="AO1" s="208"/>
      <c r="AP1" s="193"/>
      <c r="AQ1" s="193"/>
      <c r="AR1" s="193"/>
      <c r="AS1" s="193"/>
      <c r="AT1" s="193"/>
      <c r="AU1" s="193"/>
      <c r="AV1" s="193"/>
      <c r="AW1" s="193"/>
      <c r="AX1" s="193"/>
      <c r="AY1" s="193"/>
    </row>
    <row r="2" spans="1:51" ht="39.950000000000003" customHeight="1" thickBot="1" x14ac:dyDescent="0.35">
      <c r="A2" s="96"/>
      <c r="B2" s="96"/>
      <c r="C2" s="42"/>
      <c r="D2" s="42"/>
      <c r="E2" s="42"/>
      <c r="F2" s="54"/>
      <c r="G2" s="54"/>
      <c r="H2" s="54"/>
      <c r="I2" s="54"/>
      <c r="J2" s="54"/>
      <c r="K2" s="1599"/>
      <c r="L2" s="54"/>
      <c r="M2" s="54"/>
      <c r="N2" s="54"/>
      <c r="O2" s="54"/>
      <c r="P2" s="42"/>
      <c r="Q2" s="42"/>
      <c r="R2" s="42"/>
      <c r="S2" s="2992" t="s">
        <v>18671</v>
      </c>
      <c r="T2" s="42"/>
      <c r="U2" s="2993" t="s">
        <v>742</v>
      </c>
      <c r="V2" s="1384"/>
      <c r="W2" s="2993" t="s">
        <v>1768</v>
      </c>
      <c r="X2" s="42"/>
      <c r="Y2" s="193"/>
      <c r="Z2" s="193"/>
      <c r="AA2" s="193"/>
      <c r="AB2" s="193"/>
      <c r="AC2" s="193"/>
      <c r="AD2" s="193"/>
      <c r="AE2" s="193"/>
      <c r="AF2" s="193"/>
      <c r="AG2" s="193"/>
      <c r="AH2" s="193"/>
      <c r="AI2" s="193"/>
      <c r="AJ2" s="193"/>
      <c r="AK2" s="193"/>
      <c r="AL2" s="208"/>
      <c r="AM2" s="208"/>
      <c r="AN2" s="208"/>
      <c r="AO2" s="208"/>
      <c r="AP2" s="193"/>
      <c r="AQ2" s="193"/>
      <c r="AR2" s="193"/>
      <c r="AS2" s="193"/>
      <c r="AT2" s="193"/>
      <c r="AU2" s="193"/>
      <c r="AV2" s="193"/>
      <c r="AW2" s="193"/>
      <c r="AX2" s="193"/>
      <c r="AY2" s="193"/>
    </row>
    <row r="3" spans="1:51" ht="15.95" customHeight="1" x14ac:dyDescent="0.25">
      <c r="A3" s="96"/>
      <c r="B3" s="96"/>
      <c r="C3" s="173"/>
      <c r="D3" s="72"/>
      <c r="E3" s="72"/>
      <c r="F3" s="77"/>
      <c r="G3" s="77"/>
      <c r="H3" s="77"/>
      <c r="I3" s="77"/>
      <c r="J3" s="77"/>
      <c r="K3" s="77"/>
      <c r="L3" s="77"/>
      <c r="M3" s="77"/>
      <c r="N3" s="77"/>
      <c r="O3" s="77"/>
      <c r="P3" s="72"/>
      <c r="Q3" s="73"/>
      <c r="R3" s="42"/>
      <c r="S3" s="4278" t="s">
        <v>18670</v>
      </c>
      <c r="T3" s="42"/>
      <c r="U3" s="4278" t="str">
        <f>IF(Income_RentRollSource="ARGUS","If Lease Structure is different than selected for space category, correct in adjacent spaces below","For ARGUS Use Only")</f>
        <v>For ARGUS Use Only</v>
      </c>
      <c r="V3" s="1384"/>
      <c r="W3" s="4278" t="s">
        <v>1770</v>
      </c>
      <c r="X3" s="254"/>
      <c r="Y3" s="193"/>
      <c r="Z3" s="193"/>
      <c r="AA3" s="193"/>
      <c r="AB3" s="193"/>
      <c r="AC3" s="193"/>
      <c r="AD3" s="193"/>
      <c r="AE3" s="193"/>
      <c r="AF3" s="193"/>
      <c r="AG3" s="193"/>
      <c r="AH3" s="193"/>
      <c r="AI3" s="193"/>
      <c r="AJ3" s="193"/>
      <c r="AK3" s="193"/>
      <c r="AL3" s="208"/>
      <c r="AM3" s="208"/>
      <c r="AN3" s="208"/>
      <c r="AO3" s="208"/>
      <c r="AP3" s="193"/>
      <c r="AQ3" s="193"/>
      <c r="AR3" s="193"/>
      <c r="AS3" s="193"/>
      <c r="AT3" s="193"/>
      <c r="AU3" s="193"/>
      <c r="AV3" s="193"/>
      <c r="AW3" s="193"/>
      <c r="AX3" s="193"/>
      <c r="AY3" s="193"/>
    </row>
    <row r="4" spans="1:51" s="2698" customFormat="1" ht="15.95" customHeight="1" x14ac:dyDescent="0.25">
      <c r="A4" s="243"/>
      <c r="B4" s="243"/>
      <c r="C4" s="1485"/>
      <c r="D4" s="212"/>
      <c r="E4" s="505" t="s">
        <v>959</v>
      </c>
      <c r="F4" s="213"/>
      <c r="G4" s="1600"/>
      <c r="H4" s="1601"/>
      <c r="I4" s="1601"/>
      <c r="J4" s="1601"/>
      <c r="K4" s="1601"/>
      <c r="L4" s="1601"/>
      <c r="M4" s="1601"/>
      <c r="N4" s="1601"/>
      <c r="O4" s="1601"/>
      <c r="P4" s="212"/>
      <c r="Q4" s="214"/>
      <c r="R4" s="750"/>
      <c r="S4" s="4278"/>
      <c r="T4" s="731"/>
      <c r="U4" s="4278"/>
      <c r="V4" s="2048"/>
      <c r="W4" s="4278"/>
      <c r="X4" s="255"/>
      <c r="Y4" s="1114"/>
      <c r="Z4" s="1114"/>
      <c r="AA4" s="1114"/>
      <c r="AB4" s="195"/>
      <c r="AC4" s="195"/>
      <c r="AD4" s="195"/>
      <c r="AE4" s="195"/>
      <c r="AF4" s="195"/>
      <c r="AG4" s="195"/>
      <c r="AH4" s="195"/>
      <c r="AI4" s="195"/>
      <c r="AJ4" s="195"/>
      <c r="AK4" s="195"/>
      <c r="AL4" s="196"/>
      <c r="AM4" s="209"/>
      <c r="AN4" s="209"/>
      <c r="AO4" s="209"/>
      <c r="AP4" s="195"/>
      <c r="AQ4" s="195"/>
      <c r="AR4" s="195"/>
      <c r="AS4" s="195"/>
      <c r="AT4" s="195"/>
      <c r="AU4" s="195"/>
      <c r="AV4" s="195"/>
      <c r="AW4" s="195"/>
      <c r="AX4" s="195"/>
      <c r="AY4" s="195"/>
    </row>
    <row r="5" spans="1:51" s="2699" customFormat="1" ht="18" customHeight="1" thickBot="1" x14ac:dyDescent="0.3">
      <c r="A5" s="243"/>
      <c r="B5" s="243"/>
      <c r="C5" s="1376"/>
      <c r="D5" s="161"/>
      <c r="E5" s="12"/>
      <c r="F5" s="150" t="s">
        <v>408</v>
      </c>
      <c r="G5" s="150" t="s">
        <v>271</v>
      </c>
      <c r="H5" s="4088" t="s">
        <v>293</v>
      </c>
      <c r="I5" s="4088"/>
      <c r="J5" s="4088"/>
      <c r="K5" s="150"/>
      <c r="L5" s="150" t="s">
        <v>1541</v>
      </c>
      <c r="M5" s="150" t="s">
        <v>60</v>
      </c>
      <c r="N5" s="150" t="s">
        <v>60</v>
      </c>
      <c r="O5" s="150" t="s">
        <v>271</v>
      </c>
      <c r="P5" s="161"/>
      <c r="Q5" s="1377"/>
      <c r="R5" s="652"/>
      <c r="S5" s="4278"/>
      <c r="T5" s="652"/>
      <c r="U5" s="4278"/>
      <c r="V5" s="2048"/>
      <c r="W5" s="4278"/>
      <c r="X5" s="255"/>
      <c r="Y5" s="4281" t="s">
        <v>409</v>
      </c>
      <c r="Z5" s="4281"/>
      <c r="AA5" s="4281"/>
      <c r="AB5" s="4281"/>
      <c r="AC5" s="4281"/>
      <c r="AD5" s="4281"/>
      <c r="AE5" s="4281"/>
      <c r="AF5" s="4281"/>
      <c r="AG5" s="194"/>
      <c r="AH5" s="196" t="s">
        <v>410</v>
      </c>
      <c r="AI5" s="196" t="s">
        <v>319</v>
      </c>
      <c r="AJ5" s="195"/>
      <c r="AK5" s="194"/>
      <c r="AL5" s="196" t="s">
        <v>130</v>
      </c>
      <c r="AM5" s="209"/>
      <c r="AN5" s="196" t="s">
        <v>130</v>
      </c>
      <c r="AO5" s="209"/>
      <c r="AP5" s="196" t="s">
        <v>130</v>
      </c>
      <c r="AQ5" s="209"/>
      <c r="AR5" s="196" t="s">
        <v>130</v>
      </c>
      <c r="AS5" s="194"/>
      <c r="AT5" s="196" t="s">
        <v>130</v>
      </c>
      <c r="AU5" s="194"/>
      <c r="AV5" s="194"/>
      <c r="AW5" s="194"/>
      <c r="AX5" s="194"/>
      <c r="AY5" s="194"/>
    </row>
    <row r="6" spans="1:51" s="2699" customFormat="1" ht="18" customHeight="1" thickBot="1" x14ac:dyDescent="0.3">
      <c r="A6" s="972">
        <v>1</v>
      </c>
      <c r="B6" s="243"/>
      <c r="C6" s="1376"/>
      <c r="D6" s="161"/>
      <c r="E6" s="12" t="s">
        <v>400</v>
      </c>
      <c r="F6" s="150" t="s">
        <v>113</v>
      </c>
      <c r="G6" s="150" t="s">
        <v>1538</v>
      </c>
      <c r="H6" s="150" t="s">
        <v>402</v>
      </c>
      <c r="I6" s="150" t="s">
        <v>1540</v>
      </c>
      <c r="J6" s="150" t="s">
        <v>397</v>
      </c>
      <c r="K6" s="150" t="s">
        <v>20</v>
      </c>
      <c r="L6" s="150" t="s">
        <v>20</v>
      </c>
      <c r="M6" s="150" t="s">
        <v>268</v>
      </c>
      <c r="N6" s="150" t="s">
        <v>132</v>
      </c>
      <c r="O6" s="150" t="s">
        <v>272</v>
      </c>
      <c r="P6" s="161"/>
      <c r="Q6" s="1377"/>
      <c r="R6" s="652"/>
      <c r="S6" s="4279"/>
      <c r="T6" s="652"/>
      <c r="U6" s="4279"/>
      <c r="V6" s="2048"/>
      <c r="W6" s="4279"/>
      <c r="X6" s="255"/>
      <c r="Y6" s="190" t="str">
        <f>Income_TCat1</f>
        <v>Industrial Office/Warehouse</v>
      </c>
      <c r="Z6" s="190" t="str">
        <f>Income_TCat2</f>
        <v>Land Storage</v>
      </c>
      <c r="AA6" s="190">
        <f>Income_TCat3</f>
        <v>0</v>
      </c>
      <c r="AB6" s="190">
        <f>Income_TCat4</f>
        <v>0</v>
      </c>
      <c r="AC6" s="190">
        <f>Income_TCat5</f>
        <v>0</v>
      </c>
      <c r="AD6" s="190">
        <f>Income_TCat6</f>
        <v>0</v>
      </c>
      <c r="AE6" s="190">
        <f>Income_TCat7</f>
        <v>0</v>
      </c>
      <c r="AF6" s="191">
        <f>Income_TCat8</f>
        <v>0</v>
      </c>
      <c r="AG6" s="194"/>
      <c r="AH6" s="192">
        <f ca="1">IF(ISERR(AH216/AJ216),0,AH216/AJ216)</f>
        <v>7.5003940712537398</v>
      </c>
      <c r="AI6" s="2689" t="e">
        <f ca="1">IF(ISERR(AI216/AJ216),0,AI216/AJ216)</f>
        <v>#N/A</v>
      </c>
      <c r="AJ6" s="195"/>
      <c r="AK6" s="194"/>
      <c r="AL6" s="196" t="s">
        <v>1122</v>
      </c>
      <c r="AM6" s="209"/>
      <c r="AN6" s="196" t="s">
        <v>1123</v>
      </c>
      <c r="AO6" s="209"/>
      <c r="AP6" s="196" t="s">
        <v>1124</v>
      </c>
      <c r="AQ6" s="209"/>
      <c r="AR6" s="196" t="s">
        <v>1125</v>
      </c>
      <c r="AS6" s="194"/>
      <c r="AT6" s="196" t="s">
        <v>1126</v>
      </c>
      <c r="AU6" s="194"/>
      <c r="AV6" s="194"/>
      <c r="AW6" s="194"/>
      <c r="AX6" s="194"/>
      <c r="AY6" s="194"/>
    </row>
    <row r="7" spans="1:51" s="2699" customFormat="1" ht="18" customHeight="1" x14ac:dyDescent="0.25">
      <c r="A7" s="972">
        <f ca="1">IF(OR(E7="",ISNUMBER(SEARCH("vacant",E7))),0,1)</f>
        <v>1</v>
      </c>
      <c r="B7" s="707">
        <v>1</v>
      </c>
      <c r="C7" s="1376"/>
      <c r="D7" s="3346"/>
      <c r="E7" s="3346" t="str">
        <f t="shared" ref="E7:E38" ca="1" si="0">IF(Income_RentRollSource="ARGUS",IF(OR(ISERROR(VLOOKUP($B7,ARGUS_TenantRentRollArray,2,FALSE)),ISNUMBER(SEARCH("Reabsorb",VLOOKUP($B7,ARGUS_TenantRentRollArray,2,FALSE)))),"",VLOOKUP($B7,ARGUS_TenantRentRollArray,2,FALSE)),IF(Datappraise_RentRoll_TenantCount&lt;B7,"",VLOOKUP($B7,Datappraise_RentRoll,2,FALSE)))</f>
        <v>Amberg Entertainment</v>
      </c>
      <c r="F7" s="1448" t="str">
        <f t="shared" ref="F7:F38" ca="1" si="1">IF(Income_RentRollSource="ARGUS",IF(OR(ISERROR(VLOOKUP($B7,ARGUS_TenantRentRollArray,2,FALSE)),ISNUMBER(SEARCH("Reabsorb",VLOOKUP($B7,ARGUS_TenantRentRollArray,2,FALSE))),ISNUMBER(SEARCH("Vacant",VLOOKUP($B7,ARGUS_TenantRentRollArray,2,FALSE)))),"",VLOOKUP($B7,ARGUS_TenantRentRollArray,3,FALSE)),IF(Datappraise_RentRoll_TenantCount&lt;$B7,"",VLOOKUP($B7,Datappraise_RentRoll,3,FALSE)))</f>
        <v>4940</v>
      </c>
      <c r="G7" s="1418" t="str">
        <f t="shared" ref="G7:G38" ca="1" si="2">IF(Income_RentRollSource="ARGUS",IF(OR(ISERROR(VLOOKUP($B7,ARGUS_TenantRentRollArray,2,FALSE)),ISNUMBER(SEARCH("Reabsorb",VLOOKUP($B7,ARGUS_TenantRentRollArray,2,FALSE)))),"",IF(ISERROR(SEARCH("Vacant",E7)),IF(H7&gt;dpIncome_RentRoll_DOV,"Prospective Contract","Contract"),"Speculative")),IF(Datappraise_RentRoll_TenantCount&lt;$B7,"",IF(ISERROR(SEARCH("Vacant",E7)),IF(H7&gt;dpIncome_RentRoll_DOV,"Prospective Contract","Contract"),"Speculative")))</f>
        <v>Contract</v>
      </c>
      <c r="H7" s="3589">
        <f t="shared" ref="H7:H38" ca="1" si="3">IF(Income_RentRollSource="ARGUS",IF(OR(ISERROR(VLOOKUP($B7,ARGUS_TenantRentRollArray,2,FALSE)),ISNUMBER(SEARCH("Reabsorb",VLOOKUP($B7,ARGUS_TenantRentRollArray,2,FALSE)))),"",VLOOKUP($B7,ARGUS_TenantRentRollArray,8,FALSE))+0,IF(Datappraise_RentRoll_TenantCount&lt;$B7,"",VLOOKUP($B7,Datappraise_RentRoll,10,FALSE)))</f>
        <v>43922</v>
      </c>
      <c r="I7" s="3589">
        <f t="shared" ref="I7:I38" ca="1" si="4">IF(Income_RentRollSource="ARGUS",IF(OR(ISERROR(VLOOKUP($B7,ARGUS_TenantRentRollArray,2,FALSE)),ISNUMBER(SEARCH("Reabsorb",VLOOKUP($B7,ARGUS_TenantRentRollArray,2,FALSE)))),"",VLOOKUP($B7,ARGUS_TenantRentRollArray,9,FALSE))+0,IF(Datappraise_RentRoll_TenantCount&lt;$B7,"",VLOOKUP($B7,Datappraise_RentRoll,11,FALSE)))</f>
        <v>45016</v>
      </c>
      <c r="J7" s="3590" t="str">
        <f ca="1">IF(OR(ISERR(YEARFRAC(dpIncome_RentRoll_DOV,I7)),G7="Speculative"),"",YEARFRAC(dpIncome_RentRoll_DOV,I7))</f>
        <v/>
      </c>
      <c r="K7" s="1422">
        <f t="shared" ref="K7:K38" ca="1" si="5">IF(Income_RentRollSource="ARGUS",IF(OR(ISERROR(VLOOKUP($B7,ARGUS_TenantRentRollArray,2,FALSE)),ISNUMBER(SEARCH("Reabsorb",VLOOKUP($B7,ARGUS_TenantRentRollArray,2,FALSE)))),"",VLOOKUP($B7,ARGUS_TenantRentRollArray,7,FALSE)),IF(Datappraise_RentRoll_TenantCount&lt;$B7,"",VLOOKUP($B7,Datappraise_RentRoll,7,FALSE)))</f>
        <v>5796</v>
      </c>
      <c r="L7" s="1431" t="e">
        <f ca="1">IF(E7="","",K7/$K$216)</f>
        <v>#VALUE!</v>
      </c>
      <c r="M7" s="3591" t="e">
        <f ca="1">IF(E7="","",IF(G7="Contract",L7,0))</f>
        <v>#VALUE!</v>
      </c>
      <c r="N7" s="3592">
        <f t="shared" ref="N7:N38" ca="1" si="6">IF(Income_RentRollSource="ARGUS",IF(A7=0,"",VLOOKUP(B7,ARGUS_TenantRentRollArray,10,FALSE)/K7),IF(A7=0,"",VLOOKUP($B7,Datappraise_RentRoll,9,FALSE)))</f>
        <v>7.5010000000000003</v>
      </c>
      <c r="O7" s="1420" t="str">
        <f ca="1">IF(U7="",IF(Income_RentRollSource="Datappraise/Manual Entry",VLOOKUP($B7,Datappraise_RentRoll,5,FALSE),IF(OR(Income_TechniqueUsed="Direct Capitalization",Income_TechniqueUsed="Direct Cap &amp; DCF"),VLOOKUP('Rent Roll'!S7,'Income Assumptions'!$D$11:$H$19,5,FALSE),VLOOKUP('Rent Roll'!S7,'Income Assumptions'!$D$50:$O$57,6,FALSE))),U7)</f>
        <v>Triple Net</v>
      </c>
      <c r="P7" s="3346"/>
      <c r="Q7" s="1377"/>
      <c r="R7" s="652"/>
      <c r="S7" s="2695" t="inlineStr">
        <is>
          <t xml:space="preserve">Industrial Office/Warehouse</t>
        </is>
      </c>
      <c r="T7" s="652"/>
      <c r="U7" s="2695"/>
      <c r="V7" s="652"/>
      <c r="W7" s="2695"/>
      <c r="X7" s="652"/>
      <c r="Y7" s="1576">
        <f t="shared" ref="Y7:Y38" ca="1" si="7">IF(AND($A7=1,$S7=Income_TCat1,$S7&lt;&gt;""),1,0)</f>
        <v>0</v>
      </c>
      <c r="Z7" s="1576">
        <f t="shared" ref="Z7:Z38" ca="1" si="8">IF(AND($A7=1,$S7=Income_TCat2,$S7&lt;&gt;""),1,0)</f>
        <v>0</v>
      </c>
      <c r="AA7" s="1576">
        <f t="shared" ref="AA7:AA38" ca="1" si="9">IF(AND($A7=1,$S7=Income_TCat3,$S7&lt;&gt;""),1,0)</f>
        <v>0</v>
      </c>
      <c r="AB7" s="1576">
        <f t="shared" ref="AB7:AB38" ca="1" si="10">IF(AND($A7=1,$S7=Income_TCat4,$S7&lt;&gt;""),1,0)</f>
        <v>0</v>
      </c>
      <c r="AC7" s="1576">
        <f t="shared" ref="AC7:AC38" ca="1" si="11">IF(AND($A7=1,$S7=Income_TCat5,$S7&lt;&gt;""),1,0)</f>
        <v>0</v>
      </c>
      <c r="AD7" s="1576">
        <f t="shared" ref="AD7:AD38" ca="1" si="12">IF(AND($A7=1,$S7=Income_TCat6,$S7&lt;&gt;""),1,0)</f>
        <v>0</v>
      </c>
      <c r="AE7" s="1576">
        <f t="shared" ref="AE7:AE38" ca="1" si="13">IF(AND($A7=1,$S7=Income_TCat7,$S7&lt;&gt;""),1,0)</f>
        <v>0</v>
      </c>
      <c r="AF7" s="1577">
        <f t="shared" ref="AF7:AF38" ca="1" si="14">IF(AND($A7=1,$S7=Income_TCat8,$S7&lt;&gt;""),1,0)</f>
        <v>0</v>
      </c>
      <c r="AG7" s="194"/>
      <c r="AH7" s="1575">
        <f t="shared" ref="AH7:AH38" ca="1" si="15">IF(OR(G7="Speculative",G7=""),"",K7*N7)</f>
        <v>43475.796000000002</v>
      </c>
      <c r="AI7" s="1576" t="e">
        <f t="shared" ref="AI7:AI38" ca="1" si="16">IF(OR(G7="Speculative",G7=""),"",K7*VLOOKUP(S7,Income_DirectCap_AssumpMatrix,3,FALSE))</f>
        <v>#N/A</v>
      </c>
      <c r="AJ7" s="1577">
        <f t="shared" ref="AJ7:AJ38" ca="1" si="17">IF(OR(G7="Speculative",G7=""),"",K7)</f>
        <v>5796</v>
      </c>
      <c r="AK7" s="194"/>
      <c r="AL7" s="1578">
        <f t="shared" ref="AL7:AL38" ca="1" si="18">IF(ISERROR(AND(OR($H7=Income_Absorb_Period1,$H7&gt;Income_Absorb_Period1),$A7=1)),0,IF(AND(OR($H7=Income_Absorb_Period1,$H7&gt;Income_Absorb_Period1),$A7=1),$K7,0))</f>
        <v>5796</v>
      </c>
      <c r="AM7" s="209"/>
      <c r="AN7" s="1578">
        <f t="shared" ref="AN7:AN38" ca="1" si="19">IF(ISERROR(AND(OR($H7=Income_Absorb_Period2,AND($H7&gt;Income_Absorb_Period2,$H7&lt;Income_Absorb_Period1)),$A7=1,Income_Absorb_Period2&lt;&gt;"")),0,IF(AND(OR($H7=Income_Absorb_Period2,AND($H7&gt;Income_Absorb_Period2,$H7&lt;Income_Absorb_Period1)),$A7=1,Income_Absorb_Period2&lt;&gt;""),$K7,0))</f>
        <v>0</v>
      </c>
      <c r="AO7" s="209"/>
      <c r="AP7" s="1578">
        <f t="shared" ref="AP7:AP38" ca="1" si="20">IF(ISERROR(AND(OR($H7=Income_Absorb_Period3,AND($H7&gt;Income_Absorb_Period3,$H7&lt;Income_Absorb_Period2)),$A7=1,Income_Absorb_Period3&lt;&gt;"")),0,IF(AND(OR($H7=Income_Absorb_Period3,AND($H7&gt;Income_Absorb_Period3,$H7&lt;Income_Absorb_Period2)),$A7=1,Income_Absorb_Period3&lt;&gt;""),$K7,0))</f>
        <v>0</v>
      </c>
      <c r="AQ7" s="209"/>
      <c r="AR7" s="1578">
        <f t="shared" ref="AR7:AR38" ca="1" si="21">IF(ISERROR(AND(OR($H7=Income_Absorb_Period4,AND($H7&gt;Income_Absorb_Period4,$H7&lt;Income_Absorb_Period3)),$A7=1,Income_Absorb_Period4&lt;&gt;"")),0,IF(AND(OR($H7=Income_Absorb_Period4,AND($H7&gt;Income_Absorb_Period4,$H7&lt;Income_Absorb_Period3)),$A7=1,Income_Absorb_Period4&lt;&gt;""),$K7,0))</f>
        <v>0</v>
      </c>
      <c r="AS7" s="194"/>
      <c r="AT7" s="1578">
        <f t="shared" ref="AT7:AT38" ca="1" si="22">IF(ISERROR(AND(OR($H7=Income_Absorb_Period5,AND($H7&gt;Income_Absorb_Period5,$H7&lt;Income_Absorb_Period4)),$A7=1,Income_Absorb_Period5&lt;&gt;"")),0,IF(AND(OR($H7=Income_Absorb_Period5,AND($H7&gt;Income_Absorb_Period5,$H7&lt;Income_Absorb_Period4)),$A7=1,Income_Absorb_Period5&lt;&gt;""),$K7,0))</f>
        <v>0</v>
      </c>
      <c r="AU7" s="194"/>
      <c r="AV7" s="194"/>
      <c r="AW7" s="194"/>
      <c r="AX7" s="194"/>
      <c r="AY7" s="194"/>
    </row>
    <row r="8" spans="1:51" s="2699" customFormat="1" ht="18" customHeight="1" thickBot="1" x14ac:dyDescent="0.3">
      <c r="A8" s="972">
        <f t="shared" ref="A8:A71" ca="1" si="23">IF(OR(E8="",ISNUMBER(SEARCH("vacant",E8))),0,1)</f>
        <v>1</v>
      </c>
      <c r="B8" s="707">
        <f>B7+1</f>
        <v>2</v>
      </c>
      <c r="C8" s="1376"/>
      <c r="D8" s="3346"/>
      <c r="E8" s="3346" t="str">
        <f t="shared" ca="1" si="0"/>
        <v>Fleet Repair Service</v>
      </c>
      <c r="F8" s="1448" t="str">
        <f t="shared" ca="1" si="1"/>
        <v>4950</v>
      </c>
      <c r="G8" s="1418" t="str">
        <f t="shared" ca="1" si="2"/>
        <v>Contract</v>
      </c>
      <c r="H8" s="3589">
        <f t="shared" ca="1" si="3"/>
        <v>43922</v>
      </c>
      <c r="I8" s="3589">
        <f t="shared" ca="1" si="4"/>
        <v>45016</v>
      </c>
      <c r="J8" s="3590" t="str">
        <f t="shared" ref="J8:J71" ca="1" si="24">IF(OR(ISERR(YEARFRAC(dpIncome_RentRoll_DOV,I8)),G8="Speculative"),"",YEARFRAC(dpIncome_RentRoll_DOV,I8))</f>
        <v/>
      </c>
      <c r="K8" s="1422">
        <f t="shared" ca="1" si="5"/>
        <v>8912</v>
      </c>
      <c r="L8" s="1431" t="e">
        <f t="shared" ref="L8:L71" ca="1" si="25">IF(E8="","",K8/$K$216)</f>
        <v>#VALUE!</v>
      </c>
      <c r="M8" s="3591" t="e">
        <f t="shared" ref="M8:M71" ca="1" si="26">IF(E8="","",IF(G8="Contract",L8,0))</f>
        <v>#VALUE!</v>
      </c>
      <c r="N8" s="3592">
        <f t="shared" ca="1" si="6"/>
        <v>7.5</v>
      </c>
      <c r="O8" s="1420" t="str">
        <f ca="1">IF(U8="",IF(Income_RentRollSource="Datappraise/Manual Entry",VLOOKUP($B8,Datappraise_RentRoll,5,FALSE),IF(OR(Income_TechniqueUsed="Direct Capitalization",Income_TechniqueUsed="Direct Cap &amp; DCF"),VLOOKUP('Rent Roll'!S8,'Income Assumptions'!$D$11:$H$19,5,FALSE),VLOOKUP('Rent Roll'!S8,'Income Assumptions'!$D$50:$O$57,6,FALSE))),U8)</f>
        <v>Triple Net</v>
      </c>
      <c r="P8" s="3346"/>
      <c r="Q8" s="1377"/>
      <c r="R8" s="652"/>
      <c r="S8" s="2696" t="inlineStr">
        <is>
          <t xml:space="preserve">Industrial Office/Warehouse</t>
        </is>
      </c>
      <c r="T8" s="652"/>
      <c r="U8" s="2696"/>
      <c r="V8" s="652"/>
      <c r="W8" s="2696"/>
      <c r="X8" s="652"/>
      <c r="Y8" s="1580">
        <f t="shared" ca="1" si="7"/>
        <v>0</v>
      </c>
      <c r="Z8" s="1580">
        <f t="shared" ca="1" si="8"/>
        <v>0</v>
      </c>
      <c r="AA8" s="1580">
        <f t="shared" ca="1" si="9"/>
        <v>0</v>
      </c>
      <c r="AB8" s="1580">
        <f t="shared" ca="1" si="10"/>
        <v>0</v>
      </c>
      <c r="AC8" s="1580">
        <f t="shared" ca="1" si="11"/>
        <v>0</v>
      </c>
      <c r="AD8" s="1580">
        <f t="shared" ca="1" si="12"/>
        <v>0</v>
      </c>
      <c r="AE8" s="1580">
        <f t="shared" ca="1" si="13"/>
        <v>0</v>
      </c>
      <c r="AF8" s="1581">
        <f t="shared" ca="1" si="14"/>
        <v>0</v>
      </c>
      <c r="AG8" s="194"/>
      <c r="AH8" s="1579">
        <f t="shared" ca="1" si="15"/>
        <v>66840</v>
      </c>
      <c r="AI8" s="1580" t="e">
        <f t="shared" ca="1" si="16"/>
        <v>#N/A</v>
      </c>
      <c r="AJ8" s="1581">
        <f t="shared" ca="1" si="17"/>
        <v>8912</v>
      </c>
      <c r="AK8" s="194"/>
      <c r="AL8" s="1582">
        <f t="shared" ca="1" si="18"/>
        <v>8912</v>
      </c>
      <c r="AM8" s="209"/>
      <c r="AN8" s="1582">
        <f t="shared" ca="1" si="19"/>
        <v>0</v>
      </c>
      <c r="AO8" s="209"/>
      <c r="AP8" s="1582">
        <f t="shared" ca="1" si="20"/>
        <v>0</v>
      </c>
      <c r="AQ8" s="209"/>
      <c r="AR8" s="1582">
        <f t="shared" ca="1" si="21"/>
        <v>0</v>
      </c>
      <c r="AS8" s="194"/>
      <c r="AT8" s="1582">
        <f t="shared" ca="1" si="22"/>
        <v>0</v>
      </c>
      <c r="AU8" s="194"/>
      <c r="AV8" s="194"/>
      <c r="AW8" s="194"/>
      <c r="AX8" s="194"/>
      <c r="AY8" s="194"/>
    </row>
    <row r="9" spans="1:51" s="2699" customFormat="1" ht="18" hidden="1" customHeight="1" x14ac:dyDescent="0.25">
      <c r="A9" s="972">
        <f t="shared" ca="1" si="23"/>
        <v>0</v>
      </c>
      <c r="B9" s="707">
        <f t="shared" ref="B9:B72" si="28">B8+1</f>
        <v>3</v>
      </c>
      <c r="C9" s="1376"/>
      <c r="D9" s="3346"/>
      <c r="E9" s="3346" t="str">
        <f t="shared" ca="1" si="0"/>
        <v/>
      </c>
      <c r="F9" s="1448" t="str">
        <f t="shared" ca="1" si="1"/>
        <v/>
      </c>
      <c r="G9" s="1418" t="str">
        <f t="shared" ca="1" si="2"/>
        <v/>
      </c>
      <c r="H9" s="3589" t="str">
        <f t="shared" ca="1" si="3"/>
        <v/>
      </c>
      <c r="I9" s="3589" t="str">
        <f t="shared" ca="1" si="4"/>
        <v/>
      </c>
      <c r="J9" s="3590" t="str">
        <f t="shared" ca="1" si="24"/>
        <v/>
      </c>
      <c r="K9" s="1422" t="str">
        <f t="shared" ca="1" si="5"/>
        <v/>
      </c>
      <c r="L9" s="1431" t="str">
        <f t="shared" ca="1" si="25"/>
        <v/>
      </c>
      <c r="M9" s="3591" t="str">
        <f t="shared" ca="1" si="26"/>
        <v/>
      </c>
      <c r="N9" s="3592" t="str">
        <f t="shared" ca="1" si="6"/>
        <v/>
      </c>
      <c r="O9" s="1420" t="e">
        <f ca="1">IF(U9="",IF(Income_RentRollSource="Datappraise/Manual Entry",VLOOKUP($B9,Datappraise_RentRoll,5,FALSE),IF(OR(Income_TechniqueUsed="Direct Capitalization",Income_TechniqueUsed="Direct Cap &amp; DCF"),VLOOKUP('Rent Roll'!S9,'Income Assumptions'!$D$11:$H$19,5,FALSE),VLOOKUP('Rent Roll'!S9,'Income Assumptions'!$D$50:$O$57,6,FALSE))),U9)</f>
        <v>#N/A</v>
      </c>
      <c r="P9" s="3346"/>
      <c r="Q9" s="1377"/>
      <c r="R9" s="652"/>
      <c r="S9" s="2696" t="inlineStr">
        <is>
          <t xml:space="preserve">Industrial Office/Warehouse</t>
        </is>
      </c>
      <c r="T9" s="652"/>
      <c r="U9" s="2696"/>
      <c r="V9" s="652"/>
      <c r="W9" s="2696"/>
      <c r="X9" s="652"/>
      <c r="Y9" s="1580">
        <f t="shared" ca="1" si="7"/>
        <v>0</v>
      </c>
      <c r="Z9" s="1580">
        <f t="shared" ca="1" si="8"/>
        <v>0</v>
      </c>
      <c r="AA9" s="1580">
        <f t="shared" ca="1" si="9"/>
        <v>0</v>
      </c>
      <c r="AB9" s="1580">
        <f t="shared" ca="1" si="10"/>
        <v>0</v>
      </c>
      <c r="AC9" s="1580">
        <f t="shared" ca="1" si="11"/>
        <v>0</v>
      </c>
      <c r="AD9" s="1580">
        <f t="shared" ca="1" si="12"/>
        <v>0</v>
      </c>
      <c r="AE9" s="1580">
        <f t="shared" ca="1" si="13"/>
        <v>0</v>
      </c>
      <c r="AF9" s="1581">
        <f t="shared" ca="1" si="14"/>
        <v>0</v>
      </c>
      <c r="AG9" s="194"/>
      <c r="AH9" s="1579" t="str">
        <f t="shared" ca="1" si="15"/>
        <v/>
      </c>
      <c r="AI9" s="1580" t="str">
        <f t="shared" ca="1" si="16"/>
        <v/>
      </c>
      <c r="AJ9" s="1581" t="str">
        <f t="shared" ca="1" si="17"/>
        <v/>
      </c>
      <c r="AK9" s="194"/>
      <c r="AL9" s="1582">
        <f t="shared" ca="1" si="18"/>
        <v>0</v>
      </c>
      <c r="AM9" s="209"/>
      <c r="AN9" s="1582">
        <f t="shared" ca="1" si="19"/>
        <v>0</v>
      </c>
      <c r="AO9" s="209"/>
      <c r="AP9" s="1582">
        <f t="shared" ca="1" si="20"/>
        <v>0</v>
      </c>
      <c r="AQ9" s="209"/>
      <c r="AR9" s="1582">
        <f t="shared" ca="1" si="21"/>
        <v>0</v>
      </c>
      <c r="AS9" s="194"/>
      <c r="AT9" s="1582">
        <f t="shared" ca="1" si="22"/>
        <v>0</v>
      </c>
      <c r="AU9" s="194"/>
      <c r="AV9" s="194"/>
      <c r="AW9" s="194"/>
      <c r="AX9" s="194"/>
      <c r="AY9" s="194"/>
    </row>
    <row r="10" spans="1:51" s="2699" customFormat="1" ht="18" hidden="1" customHeight="1" x14ac:dyDescent="0.25">
      <c r="A10" s="972">
        <f t="shared" ca="1" si="23"/>
        <v>0</v>
      </c>
      <c r="B10" s="707">
        <f t="shared" si="28"/>
        <v>4</v>
      </c>
      <c r="C10" s="1376"/>
      <c r="D10" s="3346"/>
      <c r="E10" s="3346" t="str">
        <f t="shared" ca="1" si="0"/>
        <v/>
      </c>
      <c r="F10" s="1448" t="str">
        <f t="shared" ca="1" si="1"/>
        <v/>
      </c>
      <c r="G10" s="1418" t="str">
        <f t="shared" ca="1" si="2"/>
        <v/>
      </c>
      <c r="H10" s="3589" t="str">
        <f t="shared" ca="1" si="3"/>
        <v/>
      </c>
      <c r="I10" s="3589" t="str">
        <f t="shared" ca="1" si="4"/>
        <v/>
      </c>
      <c r="J10" s="3590" t="str">
        <f t="shared" ca="1" si="24"/>
        <v/>
      </c>
      <c r="K10" s="1422" t="str">
        <f t="shared" ca="1" si="5"/>
        <v/>
      </c>
      <c r="L10" s="1431" t="str">
        <f t="shared" ca="1" si="25"/>
        <v/>
      </c>
      <c r="M10" s="3591" t="str">
        <f t="shared" ca="1" si="26"/>
        <v/>
      </c>
      <c r="N10" s="3592" t="str">
        <f t="shared" ca="1" si="6"/>
        <v/>
      </c>
      <c r="O10" s="1420" t="e">
        <f ca="1">IF(U10="",IF(Income_RentRollSource="Datappraise/Manual Entry",VLOOKUP($B10,Datappraise_RentRoll,5,FALSE),IF(OR(Income_TechniqueUsed="Direct Capitalization",Income_TechniqueUsed="Direct Cap &amp; DCF"),VLOOKUP('Rent Roll'!S10,'Income Assumptions'!$D$11:$H$19,5,FALSE),VLOOKUP('Rent Roll'!S10,'Income Assumptions'!$D$50:$O$57,6,FALSE))),U10)</f>
        <v>#N/A</v>
      </c>
      <c r="P10" s="3346"/>
      <c r="Q10" s="1377"/>
      <c r="R10" s="652"/>
      <c r="S10" s="2696" t="inlineStr">
        <is>
          <t xml:space="preserve">Industrial Office/Warehouse</t>
        </is>
      </c>
      <c r="T10" s="652"/>
      <c r="U10" s="2696"/>
      <c r="V10" s="652"/>
      <c r="W10" s="2696"/>
      <c r="X10" s="652"/>
      <c r="Y10" s="1580">
        <f t="shared" ca="1" si="7"/>
        <v>0</v>
      </c>
      <c r="Z10" s="1580">
        <f t="shared" ca="1" si="8"/>
        <v>0</v>
      </c>
      <c r="AA10" s="1580">
        <f t="shared" ca="1" si="9"/>
        <v>0</v>
      </c>
      <c r="AB10" s="1580">
        <f t="shared" ca="1" si="10"/>
        <v>0</v>
      </c>
      <c r="AC10" s="1580">
        <f t="shared" ca="1" si="11"/>
        <v>0</v>
      </c>
      <c r="AD10" s="1580">
        <f t="shared" ca="1" si="12"/>
        <v>0</v>
      </c>
      <c r="AE10" s="1580">
        <f t="shared" ca="1" si="13"/>
        <v>0</v>
      </c>
      <c r="AF10" s="1581">
        <f t="shared" ca="1" si="14"/>
        <v>0</v>
      </c>
      <c r="AG10" s="194"/>
      <c r="AH10" s="1579" t="str">
        <f t="shared" ca="1" si="15"/>
        <v/>
      </c>
      <c r="AI10" s="1580" t="str">
        <f t="shared" ca="1" si="16"/>
        <v/>
      </c>
      <c r="AJ10" s="1581" t="str">
        <f t="shared" ca="1" si="17"/>
        <v/>
      </c>
      <c r="AK10" s="194"/>
      <c r="AL10" s="1582">
        <f t="shared" ca="1" si="18"/>
        <v>0</v>
      </c>
      <c r="AM10" s="209"/>
      <c r="AN10" s="1582">
        <f t="shared" ca="1" si="19"/>
        <v>0</v>
      </c>
      <c r="AO10" s="209"/>
      <c r="AP10" s="1582">
        <f t="shared" ca="1" si="20"/>
        <v>0</v>
      </c>
      <c r="AQ10" s="209"/>
      <c r="AR10" s="1582">
        <f t="shared" ca="1" si="21"/>
        <v>0</v>
      </c>
      <c r="AS10" s="194"/>
      <c r="AT10" s="1582">
        <f t="shared" ca="1" si="22"/>
        <v>0</v>
      </c>
      <c r="AU10" s="194"/>
      <c r="AV10" s="194"/>
      <c r="AW10" s="194"/>
      <c r="AX10" s="194"/>
      <c r="AY10" s="194"/>
    </row>
    <row r="11" spans="1:51" s="2699" customFormat="1" ht="18" hidden="1" customHeight="1" x14ac:dyDescent="0.25">
      <c r="A11" s="972">
        <f t="shared" ca="1" si="23"/>
        <v>0</v>
      </c>
      <c r="B11" s="707">
        <f t="shared" si="28"/>
        <v>5</v>
      </c>
      <c r="C11" s="1376"/>
      <c r="D11" s="3346"/>
      <c r="E11" s="3346" t="str">
        <f t="shared" ca="1" si="0"/>
        <v/>
      </c>
      <c r="F11" s="1448" t="str">
        <f t="shared" ca="1" si="1"/>
        <v/>
      </c>
      <c r="G11" s="1418" t="str">
        <f t="shared" ca="1" si="2"/>
        <v/>
      </c>
      <c r="H11" s="3589" t="str">
        <f t="shared" ca="1" si="3"/>
        <v/>
      </c>
      <c r="I11" s="3589" t="str">
        <f t="shared" ca="1" si="4"/>
        <v/>
      </c>
      <c r="J11" s="3590" t="str">
        <f t="shared" ca="1" si="24"/>
        <v/>
      </c>
      <c r="K11" s="1422" t="str">
        <f t="shared" ca="1" si="5"/>
        <v/>
      </c>
      <c r="L11" s="1431" t="str">
        <f t="shared" ca="1" si="25"/>
        <v/>
      </c>
      <c r="M11" s="3591" t="str">
        <f t="shared" ca="1" si="26"/>
        <v/>
      </c>
      <c r="N11" s="3592" t="str">
        <f t="shared" ca="1" si="6"/>
        <v/>
      </c>
      <c r="O11" s="1420" t="e">
        <f ca="1">IF(U11="",IF(Income_RentRollSource="Datappraise/Manual Entry",VLOOKUP($B11,Datappraise_RentRoll,5,FALSE),IF(OR(Income_TechniqueUsed="Direct Capitalization",Income_TechniqueUsed="Direct Cap &amp; DCF"),VLOOKUP('Rent Roll'!S11,'Income Assumptions'!$D$11:$H$19,5,FALSE),VLOOKUP('Rent Roll'!S11,'Income Assumptions'!$D$50:$O$57,6,FALSE))),U11)</f>
        <v>#N/A</v>
      </c>
      <c r="P11" s="3346"/>
      <c r="Q11" s="1377"/>
      <c r="R11" s="652"/>
      <c r="S11" s="2696" t="inlineStr">
        <is>
          <t xml:space="preserve">Industrial Office/Warehouse</t>
        </is>
      </c>
      <c r="T11" s="652"/>
      <c r="U11" s="2696"/>
      <c r="V11" s="652"/>
      <c r="W11" s="2696"/>
      <c r="X11" s="652"/>
      <c r="Y11" s="1580">
        <f t="shared" ca="1" si="7"/>
        <v>0</v>
      </c>
      <c r="Z11" s="1580">
        <f t="shared" ca="1" si="8"/>
        <v>0</v>
      </c>
      <c r="AA11" s="1580">
        <f t="shared" ca="1" si="9"/>
        <v>0</v>
      </c>
      <c r="AB11" s="1580">
        <f t="shared" ca="1" si="10"/>
        <v>0</v>
      </c>
      <c r="AC11" s="1580">
        <f t="shared" ca="1" si="11"/>
        <v>0</v>
      </c>
      <c r="AD11" s="1580">
        <f t="shared" ca="1" si="12"/>
        <v>0</v>
      </c>
      <c r="AE11" s="1580">
        <f t="shared" ca="1" si="13"/>
        <v>0</v>
      </c>
      <c r="AF11" s="1581">
        <f t="shared" ca="1" si="14"/>
        <v>0</v>
      </c>
      <c r="AG11" s="194"/>
      <c r="AH11" s="1579" t="str">
        <f t="shared" ca="1" si="15"/>
        <v/>
      </c>
      <c r="AI11" s="1580" t="str">
        <f t="shared" ca="1" si="16"/>
        <v/>
      </c>
      <c r="AJ11" s="1581" t="str">
        <f t="shared" ca="1" si="17"/>
        <v/>
      </c>
      <c r="AK11" s="194"/>
      <c r="AL11" s="1582">
        <f t="shared" ca="1" si="18"/>
        <v>0</v>
      </c>
      <c r="AM11" s="209"/>
      <c r="AN11" s="1582">
        <f t="shared" ca="1" si="19"/>
        <v>0</v>
      </c>
      <c r="AO11" s="209"/>
      <c r="AP11" s="1582">
        <f t="shared" ca="1" si="20"/>
        <v>0</v>
      </c>
      <c r="AQ11" s="209"/>
      <c r="AR11" s="1582">
        <f t="shared" ca="1" si="21"/>
        <v>0</v>
      </c>
      <c r="AS11" s="194"/>
      <c r="AT11" s="1582">
        <f t="shared" ca="1" si="22"/>
        <v>0</v>
      </c>
      <c r="AU11" s="194"/>
      <c r="AV11" s="194"/>
      <c r="AW11" s="194"/>
      <c r="AX11" s="194"/>
      <c r="AY11" s="194"/>
    </row>
    <row r="12" spans="1:51" s="2699" customFormat="1" ht="18" hidden="1" customHeight="1" x14ac:dyDescent="0.25">
      <c r="A12" s="972">
        <f t="shared" ca="1" si="23"/>
        <v>0</v>
      </c>
      <c r="B12" s="707">
        <f t="shared" si="28"/>
        <v>6</v>
      </c>
      <c r="C12" s="1376"/>
      <c r="D12" s="3346"/>
      <c r="E12" s="3346" t="str">
        <f t="shared" ca="1" si="0"/>
        <v/>
      </c>
      <c r="F12" s="1448" t="str">
        <f t="shared" ca="1" si="1"/>
        <v/>
      </c>
      <c r="G12" s="1418" t="str">
        <f t="shared" ca="1" si="2"/>
        <v/>
      </c>
      <c r="H12" s="3589" t="str">
        <f t="shared" ca="1" si="3"/>
        <v/>
      </c>
      <c r="I12" s="3589" t="str">
        <f t="shared" ca="1" si="4"/>
        <v/>
      </c>
      <c r="J12" s="3590" t="str">
        <f t="shared" ca="1" si="24"/>
        <v/>
      </c>
      <c r="K12" s="1422" t="str">
        <f t="shared" ca="1" si="5"/>
        <v/>
      </c>
      <c r="L12" s="1431" t="str">
        <f t="shared" ca="1" si="25"/>
        <v/>
      </c>
      <c r="M12" s="3591" t="str">
        <f t="shared" ca="1" si="26"/>
        <v/>
      </c>
      <c r="N12" s="3592" t="str">
        <f t="shared" ca="1" si="6"/>
        <v/>
      </c>
      <c r="O12" s="1420" t="e">
        <f ca="1">IF(U12="",IF(Income_RentRollSource="Datappraise/Manual Entry",VLOOKUP($B12,Datappraise_RentRoll,5,FALSE),IF(OR(Income_TechniqueUsed="Direct Capitalization",Income_TechniqueUsed="Direct Cap &amp; DCF"),VLOOKUP('Rent Roll'!S12,'Income Assumptions'!$D$11:$H$19,5,FALSE),VLOOKUP('Rent Roll'!S12,'Income Assumptions'!$D$50:$O$57,6,FALSE))),U12)</f>
        <v>#N/A</v>
      </c>
      <c r="P12" s="3346"/>
      <c r="Q12" s="1377"/>
      <c r="R12" s="652"/>
      <c r="S12" s="2696" t="inlineStr">
        <is>
          <t xml:space="preserve">Industrial Office/Warehouse</t>
        </is>
      </c>
      <c r="T12" s="652"/>
      <c r="U12" s="2696"/>
      <c r="V12" s="652"/>
      <c r="W12" s="2696"/>
      <c r="X12" s="652"/>
      <c r="Y12" s="1580">
        <f t="shared" ca="1" si="7"/>
        <v>0</v>
      </c>
      <c r="Z12" s="1580">
        <f t="shared" ca="1" si="8"/>
        <v>0</v>
      </c>
      <c r="AA12" s="1580">
        <f t="shared" ca="1" si="9"/>
        <v>0</v>
      </c>
      <c r="AB12" s="1580">
        <f t="shared" ca="1" si="10"/>
        <v>0</v>
      </c>
      <c r="AC12" s="1580">
        <f t="shared" ca="1" si="11"/>
        <v>0</v>
      </c>
      <c r="AD12" s="1580">
        <f t="shared" ca="1" si="12"/>
        <v>0</v>
      </c>
      <c r="AE12" s="1580">
        <f t="shared" ca="1" si="13"/>
        <v>0</v>
      </c>
      <c r="AF12" s="1581">
        <f t="shared" ca="1" si="14"/>
        <v>0</v>
      </c>
      <c r="AG12" s="194"/>
      <c r="AH12" s="1579" t="str">
        <f t="shared" ca="1" si="15"/>
        <v/>
      </c>
      <c r="AI12" s="1580" t="str">
        <f t="shared" ca="1" si="16"/>
        <v/>
      </c>
      <c r="AJ12" s="1581" t="str">
        <f t="shared" ca="1" si="17"/>
        <v/>
      </c>
      <c r="AK12" s="194"/>
      <c r="AL12" s="1582">
        <f t="shared" ca="1" si="18"/>
        <v>0</v>
      </c>
      <c r="AM12" s="209"/>
      <c r="AN12" s="1582">
        <f t="shared" ca="1" si="19"/>
        <v>0</v>
      </c>
      <c r="AO12" s="209"/>
      <c r="AP12" s="1582">
        <f t="shared" ca="1" si="20"/>
        <v>0</v>
      </c>
      <c r="AQ12" s="209"/>
      <c r="AR12" s="1582">
        <f t="shared" ca="1" si="21"/>
        <v>0</v>
      </c>
      <c r="AS12" s="194"/>
      <c r="AT12" s="1582">
        <f t="shared" ca="1" si="22"/>
        <v>0</v>
      </c>
      <c r="AU12" s="194"/>
      <c r="AV12" s="194"/>
      <c r="AW12" s="194"/>
      <c r="AX12" s="194"/>
      <c r="AY12" s="194"/>
    </row>
    <row r="13" spans="1:51" s="2699" customFormat="1" ht="18" hidden="1" customHeight="1" x14ac:dyDescent="0.25">
      <c r="A13" s="972">
        <f t="shared" ca="1" si="23"/>
        <v>0</v>
      </c>
      <c r="B13" s="707">
        <f t="shared" si="28"/>
        <v>7</v>
      </c>
      <c r="C13" s="1376"/>
      <c r="D13" s="3346"/>
      <c r="E13" s="3346" t="str">
        <f t="shared" ca="1" si="0"/>
        <v/>
      </c>
      <c r="F13" s="1448" t="str">
        <f t="shared" ca="1" si="1"/>
        <v/>
      </c>
      <c r="G13" s="1418" t="str">
        <f t="shared" ca="1" si="2"/>
        <v/>
      </c>
      <c r="H13" s="3589" t="str">
        <f t="shared" ca="1" si="3"/>
        <v/>
      </c>
      <c r="I13" s="3589" t="str">
        <f t="shared" ca="1" si="4"/>
        <v/>
      </c>
      <c r="J13" s="3590" t="str">
        <f t="shared" ca="1" si="24"/>
        <v/>
      </c>
      <c r="K13" s="1422" t="str">
        <f t="shared" ca="1" si="5"/>
        <v/>
      </c>
      <c r="L13" s="1431" t="str">
        <f t="shared" ca="1" si="25"/>
        <v/>
      </c>
      <c r="M13" s="3591" t="str">
        <f t="shared" ca="1" si="26"/>
        <v/>
      </c>
      <c r="N13" s="3592" t="str">
        <f t="shared" ca="1" si="6"/>
        <v/>
      </c>
      <c r="O13" s="1420" t="e">
        <f ca="1">IF(U13="",IF(Income_RentRollSource="Datappraise/Manual Entry",VLOOKUP($B13,Datappraise_RentRoll,5,FALSE),IF(OR(Income_TechniqueUsed="Direct Capitalization",Income_TechniqueUsed="Direct Cap &amp; DCF"),VLOOKUP('Rent Roll'!S13,'Income Assumptions'!$D$11:$H$19,5,FALSE),VLOOKUP('Rent Roll'!S13,'Income Assumptions'!$D$50:$O$57,6,FALSE))),U13)</f>
        <v>#N/A</v>
      </c>
      <c r="P13" s="3346"/>
      <c r="Q13" s="1377"/>
      <c r="R13" s="652"/>
      <c r="S13" s="2696" t="inlineStr">
        <is>
          <t xml:space="preserve">Industrial Office/Warehouse</t>
        </is>
      </c>
      <c r="T13" s="652"/>
      <c r="U13" s="2696"/>
      <c r="V13" s="652"/>
      <c r="W13" s="2696"/>
      <c r="X13" s="652"/>
      <c r="Y13" s="1580">
        <f t="shared" ca="1" si="7"/>
        <v>0</v>
      </c>
      <c r="Z13" s="1580">
        <f t="shared" ca="1" si="8"/>
        <v>0</v>
      </c>
      <c r="AA13" s="1580">
        <f t="shared" ca="1" si="9"/>
        <v>0</v>
      </c>
      <c r="AB13" s="1580">
        <f t="shared" ca="1" si="10"/>
        <v>0</v>
      </c>
      <c r="AC13" s="1580">
        <f t="shared" ca="1" si="11"/>
        <v>0</v>
      </c>
      <c r="AD13" s="1580">
        <f t="shared" ca="1" si="12"/>
        <v>0</v>
      </c>
      <c r="AE13" s="1580">
        <f t="shared" ca="1" si="13"/>
        <v>0</v>
      </c>
      <c r="AF13" s="1581">
        <f t="shared" ca="1" si="14"/>
        <v>0</v>
      </c>
      <c r="AG13" s="194"/>
      <c r="AH13" s="1579" t="str">
        <f t="shared" ca="1" si="15"/>
        <v/>
      </c>
      <c r="AI13" s="1580" t="str">
        <f t="shared" ca="1" si="16"/>
        <v/>
      </c>
      <c r="AJ13" s="1581" t="str">
        <f t="shared" ca="1" si="17"/>
        <v/>
      </c>
      <c r="AK13" s="194"/>
      <c r="AL13" s="1582">
        <f t="shared" ca="1" si="18"/>
        <v>0</v>
      </c>
      <c r="AM13" s="209"/>
      <c r="AN13" s="1582">
        <f t="shared" ca="1" si="19"/>
        <v>0</v>
      </c>
      <c r="AO13" s="209"/>
      <c r="AP13" s="1582">
        <f t="shared" ca="1" si="20"/>
        <v>0</v>
      </c>
      <c r="AQ13" s="209"/>
      <c r="AR13" s="1582">
        <f t="shared" ca="1" si="21"/>
        <v>0</v>
      </c>
      <c r="AS13" s="194"/>
      <c r="AT13" s="1582">
        <f t="shared" ca="1" si="22"/>
        <v>0</v>
      </c>
      <c r="AU13" s="194"/>
      <c r="AV13" s="194"/>
      <c r="AW13" s="194"/>
      <c r="AX13" s="194"/>
      <c r="AY13" s="194"/>
    </row>
    <row r="14" spans="1:51" s="2699" customFormat="1" ht="18" hidden="1" customHeight="1" x14ac:dyDescent="0.25">
      <c r="A14" s="972">
        <f t="shared" ca="1" si="23"/>
        <v>0</v>
      </c>
      <c r="B14" s="707">
        <f t="shared" si="28"/>
        <v>8</v>
      </c>
      <c r="C14" s="1376"/>
      <c r="D14" s="3346"/>
      <c r="E14" s="3346" t="str">
        <f t="shared" ca="1" si="0"/>
        <v/>
      </c>
      <c r="F14" s="1448" t="str">
        <f t="shared" ca="1" si="1"/>
        <v/>
      </c>
      <c r="G14" s="1418" t="str">
        <f t="shared" ca="1" si="2"/>
        <v/>
      </c>
      <c r="H14" s="3589" t="str">
        <f t="shared" ca="1" si="3"/>
        <v/>
      </c>
      <c r="I14" s="3589" t="str">
        <f t="shared" ca="1" si="4"/>
        <v/>
      </c>
      <c r="J14" s="3590" t="str">
        <f t="shared" ca="1" si="24"/>
        <v/>
      </c>
      <c r="K14" s="1422" t="str">
        <f t="shared" ca="1" si="5"/>
        <v/>
      </c>
      <c r="L14" s="1431" t="str">
        <f t="shared" ca="1" si="25"/>
        <v/>
      </c>
      <c r="M14" s="3591" t="str">
        <f t="shared" ca="1" si="26"/>
        <v/>
      </c>
      <c r="N14" s="3592" t="str">
        <f t="shared" ca="1" si="6"/>
        <v/>
      </c>
      <c r="O14" s="1420" t="e">
        <f ca="1">IF(U14="",IF(Income_RentRollSource="Datappraise/Manual Entry",VLOOKUP($B14,Datappraise_RentRoll,5,FALSE),IF(OR(Income_TechniqueUsed="Direct Capitalization",Income_TechniqueUsed="Direct Cap &amp; DCF"),VLOOKUP('Rent Roll'!S14,'Income Assumptions'!$D$11:$H$19,5,FALSE),VLOOKUP('Rent Roll'!S14,'Income Assumptions'!$D$50:$O$57,6,FALSE))),U14)</f>
        <v>#N/A</v>
      </c>
      <c r="P14" s="3346"/>
      <c r="Q14" s="1377"/>
      <c r="R14" s="652"/>
      <c r="S14" s="2696" t="inlineStr">
        <is>
          <t xml:space="preserve">Industrial Office/Warehouse</t>
        </is>
      </c>
      <c r="T14" s="652"/>
      <c r="U14" s="2696"/>
      <c r="V14" s="652"/>
      <c r="W14" s="2696"/>
      <c r="X14" s="652"/>
      <c r="Y14" s="1580">
        <f t="shared" ca="1" si="7"/>
        <v>0</v>
      </c>
      <c r="Z14" s="1580">
        <f t="shared" ca="1" si="8"/>
        <v>0</v>
      </c>
      <c r="AA14" s="1580">
        <f t="shared" ca="1" si="9"/>
        <v>0</v>
      </c>
      <c r="AB14" s="1580">
        <f t="shared" ca="1" si="10"/>
        <v>0</v>
      </c>
      <c r="AC14" s="1580">
        <f t="shared" ca="1" si="11"/>
        <v>0</v>
      </c>
      <c r="AD14" s="1580">
        <f t="shared" ca="1" si="12"/>
        <v>0</v>
      </c>
      <c r="AE14" s="1580">
        <f t="shared" ca="1" si="13"/>
        <v>0</v>
      </c>
      <c r="AF14" s="1581">
        <f t="shared" ca="1" si="14"/>
        <v>0</v>
      </c>
      <c r="AG14" s="194"/>
      <c r="AH14" s="1579" t="str">
        <f t="shared" ca="1" si="15"/>
        <v/>
      </c>
      <c r="AI14" s="1580" t="str">
        <f t="shared" ca="1" si="16"/>
        <v/>
      </c>
      <c r="AJ14" s="1581" t="str">
        <f t="shared" ca="1" si="17"/>
        <v/>
      </c>
      <c r="AK14" s="194"/>
      <c r="AL14" s="1582">
        <f t="shared" ca="1" si="18"/>
        <v>0</v>
      </c>
      <c r="AM14" s="209"/>
      <c r="AN14" s="1582">
        <f t="shared" ca="1" si="19"/>
        <v>0</v>
      </c>
      <c r="AO14" s="209"/>
      <c r="AP14" s="1582">
        <f t="shared" ca="1" si="20"/>
        <v>0</v>
      </c>
      <c r="AQ14" s="209"/>
      <c r="AR14" s="1582">
        <f t="shared" ca="1" si="21"/>
        <v>0</v>
      </c>
      <c r="AS14" s="194"/>
      <c r="AT14" s="1582">
        <f t="shared" ca="1" si="22"/>
        <v>0</v>
      </c>
      <c r="AU14" s="194"/>
      <c r="AV14" s="194"/>
      <c r="AW14" s="194"/>
      <c r="AX14" s="194"/>
      <c r="AY14" s="194"/>
    </row>
    <row r="15" spans="1:51" s="2699" customFormat="1" ht="18" hidden="1" customHeight="1" x14ac:dyDescent="0.25">
      <c r="A15" s="972">
        <f t="shared" ca="1" si="23"/>
        <v>0</v>
      </c>
      <c r="B15" s="707">
        <f t="shared" si="28"/>
        <v>9</v>
      </c>
      <c r="C15" s="1376"/>
      <c r="D15" s="3346"/>
      <c r="E15" s="3346" t="str">
        <f t="shared" ca="1" si="0"/>
        <v/>
      </c>
      <c r="F15" s="1448" t="str">
        <f t="shared" ca="1" si="1"/>
        <v/>
      </c>
      <c r="G15" s="1418" t="str">
        <f t="shared" ca="1" si="2"/>
        <v/>
      </c>
      <c r="H15" s="3589" t="str">
        <f t="shared" ca="1" si="3"/>
        <v/>
      </c>
      <c r="I15" s="3589" t="str">
        <f t="shared" ca="1" si="4"/>
        <v/>
      </c>
      <c r="J15" s="3590" t="str">
        <f t="shared" ca="1" si="24"/>
        <v/>
      </c>
      <c r="K15" s="1422" t="str">
        <f t="shared" ca="1" si="5"/>
        <v/>
      </c>
      <c r="L15" s="1431" t="str">
        <f t="shared" ca="1" si="25"/>
        <v/>
      </c>
      <c r="M15" s="3591" t="str">
        <f t="shared" ca="1" si="26"/>
        <v/>
      </c>
      <c r="N15" s="3592" t="str">
        <f t="shared" ca="1" si="6"/>
        <v/>
      </c>
      <c r="O15" s="1420" t="e">
        <f ca="1">IF(U15="",IF(Income_RentRollSource="Datappraise/Manual Entry",VLOOKUP($B15,Datappraise_RentRoll,5,FALSE),IF(OR(Income_TechniqueUsed="Direct Capitalization",Income_TechniqueUsed="Direct Cap &amp; DCF"),VLOOKUP('Rent Roll'!S15,'Income Assumptions'!$D$11:$H$19,5,FALSE),VLOOKUP('Rent Roll'!S15,'Income Assumptions'!$D$50:$O$57,6,FALSE))),U15)</f>
        <v>#N/A</v>
      </c>
      <c r="P15" s="3346"/>
      <c r="Q15" s="1377"/>
      <c r="R15" s="652"/>
      <c r="S15" s="2696" t="inlineStr">
        <is>
          <t xml:space="preserve">Industrial Office/Warehouse</t>
        </is>
      </c>
      <c r="T15" s="652"/>
      <c r="U15" s="2696"/>
      <c r="V15" s="652"/>
      <c r="W15" s="2696"/>
      <c r="X15" s="652"/>
      <c r="Y15" s="1580">
        <f t="shared" ca="1" si="7"/>
        <v>0</v>
      </c>
      <c r="Z15" s="1580">
        <f t="shared" ca="1" si="8"/>
        <v>0</v>
      </c>
      <c r="AA15" s="1580">
        <f t="shared" ca="1" si="9"/>
        <v>0</v>
      </c>
      <c r="AB15" s="1580">
        <f t="shared" ca="1" si="10"/>
        <v>0</v>
      </c>
      <c r="AC15" s="1580">
        <f t="shared" ca="1" si="11"/>
        <v>0</v>
      </c>
      <c r="AD15" s="1580">
        <f t="shared" ca="1" si="12"/>
        <v>0</v>
      </c>
      <c r="AE15" s="1580">
        <f t="shared" ca="1" si="13"/>
        <v>0</v>
      </c>
      <c r="AF15" s="1581">
        <f t="shared" ca="1" si="14"/>
        <v>0</v>
      </c>
      <c r="AG15" s="194"/>
      <c r="AH15" s="1579" t="str">
        <f t="shared" ca="1" si="15"/>
        <v/>
      </c>
      <c r="AI15" s="1580" t="str">
        <f t="shared" ca="1" si="16"/>
        <v/>
      </c>
      <c r="AJ15" s="1581" t="str">
        <f t="shared" ca="1" si="17"/>
        <v/>
      </c>
      <c r="AK15" s="194"/>
      <c r="AL15" s="1582">
        <f t="shared" ca="1" si="18"/>
        <v>0</v>
      </c>
      <c r="AM15" s="209"/>
      <c r="AN15" s="1582">
        <f t="shared" ca="1" si="19"/>
        <v>0</v>
      </c>
      <c r="AO15" s="209"/>
      <c r="AP15" s="1582">
        <f t="shared" ca="1" si="20"/>
        <v>0</v>
      </c>
      <c r="AQ15" s="209"/>
      <c r="AR15" s="1582">
        <f t="shared" ca="1" si="21"/>
        <v>0</v>
      </c>
      <c r="AS15" s="194"/>
      <c r="AT15" s="1582">
        <f t="shared" ca="1" si="22"/>
        <v>0</v>
      </c>
      <c r="AU15" s="194"/>
      <c r="AV15" s="194"/>
      <c r="AW15" s="194"/>
      <c r="AX15" s="194"/>
      <c r="AY15" s="194"/>
    </row>
    <row r="16" spans="1:51" s="2699" customFormat="1" ht="18" hidden="1" customHeight="1" x14ac:dyDescent="0.25">
      <c r="A16" s="972">
        <f t="shared" ca="1" si="23"/>
        <v>0</v>
      </c>
      <c r="B16" s="707">
        <f t="shared" si="28"/>
        <v>10</v>
      </c>
      <c r="C16" s="1376"/>
      <c r="D16" s="3346"/>
      <c r="E16" s="3346" t="str">
        <f t="shared" ca="1" si="0"/>
        <v/>
      </c>
      <c r="F16" s="1448" t="str">
        <f t="shared" ca="1" si="1"/>
        <v/>
      </c>
      <c r="G16" s="1418" t="str">
        <f t="shared" ca="1" si="2"/>
        <v/>
      </c>
      <c r="H16" s="3589" t="str">
        <f t="shared" ca="1" si="3"/>
        <v/>
      </c>
      <c r="I16" s="3589" t="str">
        <f t="shared" ca="1" si="4"/>
        <v/>
      </c>
      <c r="J16" s="3590" t="str">
        <f t="shared" ca="1" si="24"/>
        <v/>
      </c>
      <c r="K16" s="1422" t="str">
        <f t="shared" ca="1" si="5"/>
        <v/>
      </c>
      <c r="L16" s="1431" t="str">
        <f t="shared" ca="1" si="25"/>
        <v/>
      </c>
      <c r="M16" s="3591" t="str">
        <f t="shared" ca="1" si="26"/>
        <v/>
      </c>
      <c r="N16" s="3592" t="str">
        <f t="shared" ca="1" si="6"/>
        <v/>
      </c>
      <c r="O16" s="1420" t="e">
        <f ca="1">IF(U16="",IF(Income_RentRollSource="Datappraise/Manual Entry",VLOOKUP($B16,Datappraise_RentRoll,5,FALSE),IF(OR(Income_TechniqueUsed="Direct Capitalization",Income_TechniqueUsed="Direct Cap &amp; DCF"),VLOOKUP('Rent Roll'!S16,'Income Assumptions'!$D$11:$H$19,5,FALSE),VLOOKUP('Rent Roll'!S16,'Income Assumptions'!$D$50:$O$57,6,FALSE))),U16)</f>
        <v>#N/A</v>
      </c>
      <c r="P16" s="3346"/>
      <c r="Q16" s="1377"/>
      <c r="R16" s="652"/>
      <c r="S16" s="2696" t="inlineStr">
        <is>
          <t xml:space="preserve">Industrial Office/Warehouse</t>
        </is>
      </c>
      <c r="T16" s="652"/>
      <c r="U16" s="2696"/>
      <c r="V16" s="652"/>
      <c r="W16" s="2696"/>
      <c r="X16" s="652"/>
      <c r="Y16" s="1580">
        <f t="shared" ca="1" si="7"/>
        <v>0</v>
      </c>
      <c r="Z16" s="1580">
        <f t="shared" ca="1" si="8"/>
        <v>0</v>
      </c>
      <c r="AA16" s="1580">
        <f t="shared" ca="1" si="9"/>
        <v>0</v>
      </c>
      <c r="AB16" s="1580">
        <f t="shared" ca="1" si="10"/>
        <v>0</v>
      </c>
      <c r="AC16" s="1580">
        <f t="shared" ca="1" si="11"/>
        <v>0</v>
      </c>
      <c r="AD16" s="1580">
        <f t="shared" ca="1" si="12"/>
        <v>0</v>
      </c>
      <c r="AE16" s="1580">
        <f t="shared" ca="1" si="13"/>
        <v>0</v>
      </c>
      <c r="AF16" s="1581">
        <f t="shared" ca="1" si="14"/>
        <v>0</v>
      </c>
      <c r="AG16" s="194"/>
      <c r="AH16" s="1579" t="str">
        <f t="shared" ca="1" si="15"/>
        <v/>
      </c>
      <c r="AI16" s="1580" t="str">
        <f t="shared" ca="1" si="16"/>
        <v/>
      </c>
      <c r="AJ16" s="1581" t="str">
        <f t="shared" ca="1" si="17"/>
        <v/>
      </c>
      <c r="AK16" s="194"/>
      <c r="AL16" s="1582">
        <f t="shared" ca="1" si="18"/>
        <v>0</v>
      </c>
      <c r="AM16" s="209"/>
      <c r="AN16" s="1582">
        <f t="shared" ca="1" si="19"/>
        <v>0</v>
      </c>
      <c r="AO16" s="209"/>
      <c r="AP16" s="1582">
        <f t="shared" ca="1" si="20"/>
        <v>0</v>
      </c>
      <c r="AQ16" s="209"/>
      <c r="AR16" s="1582">
        <f t="shared" ca="1" si="21"/>
        <v>0</v>
      </c>
      <c r="AS16" s="194"/>
      <c r="AT16" s="1582">
        <f t="shared" ca="1" si="22"/>
        <v>0</v>
      </c>
      <c r="AU16" s="194"/>
      <c r="AV16" s="194"/>
      <c r="AW16" s="194"/>
      <c r="AX16" s="194"/>
      <c r="AY16" s="194"/>
    </row>
    <row r="17" spans="1:51" s="2699" customFormat="1" ht="18" hidden="1" customHeight="1" x14ac:dyDescent="0.25">
      <c r="A17" s="972">
        <f t="shared" ca="1" si="23"/>
        <v>0</v>
      </c>
      <c r="B17" s="707">
        <f t="shared" si="28"/>
        <v>11</v>
      </c>
      <c r="C17" s="1376"/>
      <c r="D17" s="3346"/>
      <c r="E17" s="3346" t="str">
        <f t="shared" ca="1" si="0"/>
        <v/>
      </c>
      <c r="F17" s="1448" t="str">
        <f t="shared" ca="1" si="1"/>
        <v/>
      </c>
      <c r="G17" s="1418" t="str">
        <f t="shared" ca="1" si="2"/>
        <v/>
      </c>
      <c r="H17" s="3589" t="str">
        <f t="shared" ca="1" si="3"/>
        <v/>
      </c>
      <c r="I17" s="3589" t="str">
        <f t="shared" ca="1" si="4"/>
        <v/>
      </c>
      <c r="J17" s="3590" t="str">
        <f t="shared" ca="1" si="24"/>
        <v/>
      </c>
      <c r="K17" s="1422" t="str">
        <f t="shared" ca="1" si="5"/>
        <v/>
      </c>
      <c r="L17" s="1431" t="str">
        <f t="shared" ca="1" si="25"/>
        <v/>
      </c>
      <c r="M17" s="3591" t="str">
        <f t="shared" ca="1" si="26"/>
        <v/>
      </c>
      <c r="N17" s="3592" t="str">
        <f t="shared" ca="1" si="6"/>
        <v/>
      </c>
      <c r="O17" s="1420" t="e">
        <f ca="1">IF(U17="",IF(Income_RentRollSource="Datappraise/Manual Entry",VLOOKUP($B17,Datappraise_RentRoll,5,FALSE),IF(OR(Income_TechniqueUsed="Direct Capitalization",Income_TechniqueUsed="Direct Cap &amp; DCF"),VLOOKUP('Rent Roll'!S17,'Income Assumptions'!$D$11:$H$19,5,FALSE),VLOOKUP('Rent Roll'!S17,'Income Assumptions'!$D$50:$O$57,6,FALSE))),U17)</f>
        <v>#N/A</v>
      </c>
      <c r="P17" s="3346"/>
      <c r="Q17" s="1377"/>
      <c r="R17" s="652"/>
      <c r="S17" s="2696" t="inlineStr">
        <is>
          <t xml:space="preserve">Industrial Office/Warehouse</t>
        </is>
      </c>
      <c r="T17" s="652"/>
      <c r="U17" s="2696"/>
      <c r="V17" s="652"/>
      <c r="W17" s="2696"/>
      <c r="X17" s="652"/>
      <c r="Y17" s="1580">
        <f t="shared" ca="1" si="7"/>
        <v>0</v>
      </c>
      <c r="Z17" s="1580">
        <f t="shared" ca="1" si="8"/>
        <v>0</v>
      </c>
      <c r="AA17" s="1580">
        <f t="shared" ca="1" si="9"/>
        <v>0</v>
      </c>
      <c r="AB17" s="1580">
        <f t="shared" ca="1" si="10"/>
        <v>0</v>
      </c>
      <c r="AC17" s="1580">
        <f t="shared" ca="1" si="11"/>
        <v>0</v>
      </c>
      <c r="AD17" s="1580">
        <f t="shared" ca="1" si="12"/>
        <v>0</v>
      </c>
      <c r="AE17" s="1580">
        <f t="shared" ca="1" si="13"/>
        <v>0</v>
      </c>
      <c r="AF17" s="1581">
        <f t="shared" ca="1" si="14"/>
        <v>0</v>
      </c>
      <c r="AG17" s="194"/>
      <c r="AH17" s="1579" t="str">
        <f t="shared" ca="1" si="15"/>
        <v/>
      </c>
      <c r="AI17" s="1580" t="str">
        <f t="shared" ca="1" si="16"/>
        <v/>
      </c>
      <c r="AJ17" s="1581" t="str">
        <f t="shared" ca="1" si="17"/>
        <v/>
      </c>
      <c r="AK17" s="194"/>
      <c r="AL17" s="1582">
        <f t="shared" ca="1" si="18"/>
        <v>0</v>
      </c>
      <c r="AM17" s="209"/>
      <c r="AN17" s="1582">
        <f t="shared" ca="1" si="19"/>
        <v>0</v>
      </c>
      <c r="AO17" s="209"/>
      <c r="AP17" s="1582">
        <f t="shared" ca="1" si="20"/>
        <v>0</v>
      </c>
      <c r="AQ17" s="209"/>
      <c r="AR17" s="1582">
        <f t="shared" ca="1" si="21"/>
        <v>0</v>
      </c>
      <c r="AS17" s="194"/>
      <c r="AT17" s="1582">
        <f t="shared" ca="1" si="22"/>
        <v>0</v>
      </c>
      <c r="AU17" s="194"/>
      <c r="AV17" s="194"/>
      <c r="AW17" s="194"/>
      <c r="AX17" s="194"/>
      <c r="AY17" s="194"/>
    </row>
    <row r="18" spans="1:51" s="2699" customFormat="1" ht="18" hidden="1" customHeight="1" x14ac:dyDescent="0.25">
      <c r="A18" s="972">
        <f t="shared" ca="1" si="23"/>
        <v>0</v>
      </c>
      <c r="B18" s="707">
        <f t="shared" si="28"/>
        <v>12</v>
      </c>
      <c r="C18" s="1376"/>
      <c r="D18" s="3346"/>
      <c r="E18" s="3346" t="str">
        <f t="shared" ca="1" si="0"/>
        <v/>
      </c>
      <c r="F18" s="1448" t="str">
        <f t="shared" ca="1" si="1"/>
        <v/>
      </c>
      <c r="G18" s="1418" t="str">
        <f t="shared" ca="1" si="2"/>
        <v/>
      </c>
      <c r="H18" s="3589" t="str">
        <f t="shared" ca="1" si="3"/>
        <v/>
      </c>
      <c r="I18" s="3589" t="str">
        <f t="shared" ca="1" si="4"/>
        <v/>
      </c>
      <c r="J18" s="3590" t="str">
        <f t="shared" ca="1" si="24"/>
        <v/>
      </c>
      <c r="K18" s="1422" t="str">
        <f t="shared" ca="1" si="5"/>
        <v/>
      </c>
      <c r="L18" s="1431" t="str">
        <f t="shared" ca="1" si="25"/>
        <v/>
      </c>
      <c r="M18" s="3591" t="str">
        <f t="shared" ca="1" si="26"/>
        <v/>
      </c>
      <c r="N18" s="3592" t="str">
        <f t="shared" ca="1" si="6"/>
        <v/>
      </c>
      <c r="O18" s="1420" t="e">
        <f ca="1">IF(U18="",IF(Income_RentRollSource="Datappraise/Manual Entry",VLOOKUP($B18,Datappraise_RentRoll,5,FALSE),IF(OR(Income_TechniqueUsed="Direct Capitalization",Income_TechniqueUsed="Direct Cap &amp; DCF"),VLOOKUP('Rent Roll'!S18,'Income Assumptions'!$D$11:$H$19,5,FALSE),VLOOKUP('Rent Roll'!S18,'Income Assumptions'!$D$50:$O$57,6,FALSE))),U18)</f>
        <v>#N/A</v>
      </c>
      <c r="P18" s="3346"/>
      <c r="Q18" s="1377"/>
      <c r="R18" s="652"/>
      <c r="S18" s="2696" t="inlineStr">
        <is>
          <t xml:space="preserve">Industrial Office/Warehouse</t>
        </is>
      </c>
      <c r="T18" s="652"/>
      <c r="U18" s="2696"/>
      <c r="V18" s="652"/>
      <c r="W18" s="2696"/>
      <c r="X18" s="652"/>
      <c r="Y18" s="1580">
        <f t="shared" ca="1" si="7"/>
        <v>0</v>
      </c>
      <c r="Z18" s="1580">
        <f t="shared" ca="1" si="8"/>
        <v>0</v>
      </c>
      <c r="AA18" s="1580">
        <f t="shared" ca="1" si="9"/>
        <v>0</v>
      </c>
      <c r="AB18" s="1580">
        <f t="shared" ca="1" si="10"/>
        <v>0</v>
      </c>
      <c r="AC18" s="1580">
        <f t="shared" ca="1" si="11"/>
        <v>0</v>
      </c>
      <c r="AD18" s="1580">
        <f t="shared" ca="1" si="12"/>
        <v>0</v>
      </c>
      <c r="AE18" s="1580">
        <f t="shared" ca="1" si="13"/>
        <v>0</v>
      </c>
      <c r="AF18" s="1581">
        <f t="shared" ca="1" si="14"/>
        <v>0</v>
      </c>
      <c r="AG18" s="194"/>
      <c r="AH18" s="1579" t="str">
        <f t="shared" ca="1" si="15"/>
        <v/>
      </c>
      <c r="AI18" s="1580" t="str">
        <f t="shared" ca="1" si="16"/>
        <v/>
      </c>
      <c r="AJ18" s="1581" t="str">
        <f t="shared" ca="1" si="17"/>
        <v/>
      </c>
      <c r="AK18" s="194"/>
      <c r="AL18" s="1582">
        <f t="shared" ca="1" si="18"/>
        <v>0</v>
      </c>
      <c r="AM18" s="209"/>
      <c r="AN18" s="1582">
        <f t="shared" ca="1" si="19"/>
        <v>0</v>
      </c>
      <c r="AO18" s="209"/>
      <c r="AP18" s="1582">
        <f t="shared" ca="1" si="20"/>
        <v>0</v>
      </c>
      <c r="AQ18" s="209"/>
      <c r="AR18" s="1582">
        <f t="shared" ca="1" si="21"/>
        <v>0</v>
      </c>
      <c r="AS18" s="194"/>
      <c r="AT18" s="1582">
        <f t="shared" ca="1" si="22"/>
        <v>0</v>
      </c>
      <c r="AU18" s="194"/>
      <c r="AV18" s="194"/>
      <c r="AW18" s="194"/>
      <c r="AX18" s="194"/>
      <c r="AY18" s="194"/>
    </row>
    <row r="19" spans="1:51" s="2699" customFormat="1" ht="18" hidden="1" customHeight="1" x14ac:dyDescent="0.25">
      <c r="A19" s="972">
        <f t="shared" ca="1" si="23"/>
        <v>0</v>
      </c>
      <c r="B19" s="707">
        <f t="shared" si="28"/>
        <v>13</v>
      </c>
      <c r="C19" s="1376"/>
      <c r="D19" s="3346"/>
      <c r="E19" s="3346" t="str">
        <f t="shared" ca="1" si="0"/>
        <v/>
      </c>
      <c r="F19" s="1448" t="str">
        <f t="shared" ca="1" si="1"/>
        <v/>
      </c>
      <c r="G19" s="1418" t="str">
        <f t="shared" ca="1" si="2"/>
        <v/>
      </c>
      <c r="H19" s="3589" t="str">
        <f t="shared" ca="1" si="3"/>
        <v/>
      </c>
      <c r="I19" s="3589" t="str">
        <f t="shared" ca="1" si="4"/>
        <v/>
      </c>
      <c r="J19" s="3590" t="str">
        <f t="shared" ca="1" si="24"/>
        <v/>
      </c>
      <c r="K19" s="1422" t="str">
        <f t="shared" ca="1" si="5"/>
        <v/>
      </c>
      <c r="L19" s="1431" t="str">
        <f t="shared" ca="1" si="25"/>
        <v/>
      </c>
      <c r="M19" s="3591" t="str">
        <f t="shared" ca="1" si="26"/>
        <v/>
      </c>
      <c r="N19" s="3592" t="str">
        <f t="shared" ca="1" si="6"/>
        <v/>
      </c>
      <c r="O19" s="1420" t="e">
        <f ca="1">IF(U19="",IF(Income_RentRollSource="Datappraise/Manual Entry",VLOOKUP($B19,Datappraise_RentRoll,5,FALSE),IF(OR(Income_TechniqueUsed="Direct Capitalization",Income_TechniqueUsed="Direct Cap &amp; DCF"),VLOOKUP('Rent Roll'!S19,'Income Assumptions'!$D$11:$H$19,5,FALSE),VLOOKUP('Rent Roll'!S19,'Income Assumptions'!$D$50:$O$57,6,FALSE))),U19)</f>
        <v>#N/A</v>
      </c>
      <c r="P19" s="3346"/>
      <c r="Q19" s="1377"/>
      <c r="R19" s="652"/>
      <c r="S19" s="2696" t="inlineStr">
        <is>
          <t xml:space="preserve">Industrial Office/Warehouse</t>
        </is>
      </c>
      <c r="T19" s="652"/>
      <c r="U19" s="2696"/>
      <c r="V19" s="652"/>
      <c r="W19" s="2696"/>
      <c r="X19" s="652"/>
      <c r="Y19" s="1580">
        <f t="shared" ca="1" si="7"/>
        <v>0</v>
      </c>
      <c r="Z19" s="1580">
        <f t="shared" ca="1" si="8"/>
        <v>0</v>
      </c>
      <c r="AA19" s="1580">
        <f t="shared" ca="1" si="9"/>
        <v>0</v>
      </c>
      <c r="AB19" s="1580">
        <f t="shared" ca="1" si="10"/>
        <v>0</v>
      </c>
      <c r="AC19" s="1580">
        <f t="shared" ca="1" si="11"/>
        <v>0</v>
      </c>
      <c r="AD19" s="1580">
        <f t="shared" ca="1" si="12"/>
        <v>0</v>
      </c>
      <c r="AE19" s="1580">
        <f t="shared" ca="1" si="13"/>
        <v>0</v>
      </c>
      <c r="AF19" s="1581">
        <f t="shared" ca="1" si="14"/>
        <v>0</v>
      </c>
      <c r="AG19" s="194"/>
      <c r="AH19" s="1579" t="str">
        <f t="shared" ca="1" si="15"/>
        <v/>
      </c>
      <c r="AI19" s="1580" t="str">
        <f t="shared" ca="1" si="16"/>
        <v/>
      </c>
      <c r="AJ19" s="1581" t="str">
        <f t="shared" ca="1" si="17"/>
        <v/>
      </c>
      <c r="AK19" s="194"/>
      <c r="AL19" s="1582">
        <f t="shared" ca="1" si="18"/>
        <v>0</v>
      </c>
      <c r="AM19" s="209"/>
      <c r="AN19" s="1582">
        <f t="shared" ca="1" si="19"/>
        <v>0</v>
      </c>
      <c r="AO19" s="209"/>
      <c r="AP19" s="1582">
        <f t="shared" ca="1" si="20"/>
        <v>0</v>
      </c>
      <c r="AQ19" s="209"/>
      <c r="AR19" s="1582">
        <f t="shared" ca="1" si="21"/>
        <v>0</v>
      </c>
      <c r="AS19" s="194"/>
      <c r="AT19" s="1582">
        <f t="shared" ca="1" si="22"/>
        <v>0</v>
      </c>
      <c r="AU19" s="194"/>
      <c r="AV19" s="194"/>
      <c r="AW19" s="194"/>
      <c r="AX19" s="194"/>
      <c r="AY19" s="194"/>
    </row>
    <row r="20" spans="1:51" s="2699" customFormat="1" ht="18" hidden="1" customHeight="1" x14ac:dyDescent="0.25">
      <c r="A20" s="972">
        <f t="shared" ca="1" si="23"/>
        <v>0</v>
      </c>
      <c r="B20" s="707">
        <f t="shared" si="28"/>
        <v>14</v>
      </c>
      <c r="C20" s="1376"/>
      <c r="D20" s="3346"/>
      <c r="E20" s="3346" t="str">
        <f t="shared" ca="1" si="0"/>
        <v/>
      </c>
      <c r="F20" s="1448" t="str">
        <f t="shared" ca="1" si="1"/>
        <v/>
      </c>
      <c r="G20" s="1418" t="str">
        <f t="shared" ca="1" si="2"/>
        <v/>
      </c>
      <c r="H20" s="3589" t="str">
        <f t="shared" ca="1" si="3"/>
        <v/>
      </c>
      <c r="I20" s="3589" t="str">
        <f t="shared" ca="1" si="4"/>
        <v/>
      </c>
      <c r="J20" s="3590" t="str">
        <f t="shared" ca="1" si="24"/>
        <v/>
      </c>
      <c r="K20" s="1422" t="str">
        <f t="shared" ca="1" si="5"/>
        <v/>
      </c>
      <c r="L20" s="1431" t="str">
        <f t="shared" ca="1" si="25"/>
        <v/>
      </c>
      <c r="M20" s="3591" t="str">
        <f t="shared" ca="1" si="26"/>
        <v/>
      </c>
      <c r="N20" s="3592" t="str">
        <f t="shared" ca="1" si="6"/>
        <v/>
      </c>
      <c r="O20" s="1420" t="e">
        <f ca="1">IF(U20="",IF(Income_RentRollSource="Datappraise/Manual Entry",VLOOKUP($B20,Datappraise_RentRoll,5,FALSE),IF(OR(Income_TechniqueUsed="Direct Capitalization",Income_TechniqueUsed="Direct Cap &amp; DCF"),VLOOKUP('Rent Roll'!S20,'Income Assumptions'!$D$11:$H$19,5,FALSE),VLOOKUP('Rent Roll'!S20,'Income Assumptions'!$D$50:$O$57,6,FALSE))),U20)</f>
        <v>#N/A</v>
      </c>
      <c r="P20" s="3346"/>
      <c r="Q20" s="1377"/>
      <c r="R20" s="652"/>
      <c r="S20" s="2696" t="inlineStr">
        <is>
          <t xml:space="preserve">Industrial Office/Warehouse</t>
        </is>
      </c>
      <c r="T20" s="652"/>
      <c r="U20" s="2696"/>
      <c r="V20" s="652"/>
      <c r="W20" s="2696"/>
      <c r="X20" s="652"/>
      <c r="Y20" s="1580">
        <f t="shared" ca="1" si="7"/>
        <v>0</v>
      </c>
      <c r="Z20" s="1580">
        <f t="shared" ca="1" si="8"/>
        <v>0</v>
      </c>
      <c r="AA20" s="1580">
        <f t="shared" ca="1" si="9"/>
        <v>0</v>
      </c>
      <c r="AB20" s="1580">
        <f t="shared" ca="1" si="10"/>
        <v>0</v>
      </c>
      <c r="AC20" s="1580">
        <f t="shared" ca="1" si="11"/>
        <v>0</v>
      </c>
      <c r="AD20" s="1580">
        <f t="shared" ca="1" si="12"/>
        <v>0</v>
      </c>
      <c r="AE20" s="1580">
        <f t="shared" ca="1" si="13"/>
        <v>0</v>
      </c>
      <c r="AF20" s="1581">
        <f t="shared" ca="1" si="14"/>
        <v>0</v>
      </c>
      <c r="AG20" s="194"/>
      <c r="AH20" s="1579" t="str">
        <f t="shared" ca="1" si="15"/>
        <v/>
      </c>
      <c r="AI20" s="1580" t="str">
        <f t="shared" ca="1" si="16"/>
        <v/>
      </c>
      <c r="AJ20" s="1581" t="str">
        <f t="shared" ca="1" si="17"/>
        <v/>
      </c>
      <c r="AK20" s="194"/>
      <c r="AL20" s="1582">
        <f t="shared" ca="1" si="18"/>
        <v>0</v>
      </c>
      <c r="AM20" s="209"/>
      <c r="AN20" s="1582">
        <f t="shared" ca="1" si="19"/>
        <v>0</v>
      </c>
      <c r="AO20" s="209"/>
      <c r="AP20" s="1582">
        <f t="shared" ca="1" si="20"/>
        <v>0</v>
      </c>
      <c r="AQ20" s="209"/>
      <c r="AR20" s="1582">
        <f t="shared" ca="1" si="21"/>
        <v>0</v>
      </c>
      <c r="AS20" s="194"/>
      <c r="AT20" s="1582">
        <f t="shared" ca="1" si="22"/>
        <v>0</v>
      </c>
      <c r="AU20" s="194"/>
      <c r="AV20" s="194"/>
      <c r="AW20" s="194"/>
      <c r="AX20" s="194"/>
      <c r="AY20" s="194"/>
    </row>
    <row r="21" spans="1:51" s="2699" customFormat="1" ht="18" hidden="1" customHeight="1" x14ac:dyDescent="0.25">
      <c r="A21" s="972">
        <f t="shared" ca="1" si="23"/>
        <v>0</v>
      </c>
      <c r="B21" s="707">
        <f t="shared" si="28"/>
        <v>15</v>
      </c>
      <c r="C21" s="1376"/>
      <c r="D21" s="3346"/>
      <c r="E21" s="3346" t="str">
        <f t="shared" ca="1" si="0"/>
        <v/>
      </c>
      <c r="F21" s="1448" t="str">
        <f t="shared" ca="1" si="1"/>
        <v/>
      </c>
      <c r="G21" s="1418" t="str">
        <f t="shared" ca="1" si="2"/>
        <v/>
      </c>
      <c r="H21" s="3589" t="str">
        <f t="shared" ca="1" si="3"/>
        <v/>
      </c>
      <c r="I21" s="3589" t="str">
        <f t="shared" ca="1" si="4"/>
        <v/>
      </c>
      <c r="J21" s="3590" t="str">
        <f t="shared" ca="1" si="24"/>
        <v/>
      </c>
      <c r="K21" s="1422" t="str">
        <f t="shared" ca="1" si="5"/>
        <v/>
      </c>
      <c r="L21" s="1431" t="str">
        <f t="shared" ca="1" si="25"/>
        <v/>
      </c>
      <c r="M21" s="3591" t="str">
        <f t="shared" ca="1" si="26"/>
        <v/>
      </c>
      <c r="N21" s="3592" t="str">
        <f t="shared" ca="1" si="6"/>
        <v/>
      </c>
      <c r="O21" s="1420" t="e">
        <f ca="1">IF(U21="",IF(Income_RentRollSource="Datappraise/Manual Entry",VLOOKUP($B21,Datappraise_RentRoll,5,FALSE),IF(OR(Income_TechniqueUsed="Direct Capitalization",Income_TechniqueUsed="Direct Cap &amp; DCF"),VLOOKUP('Rent Roll'!S21,'Income Assumptions'!$D$11:$H$19,5,FALSE),VLOOKUP('Rent Roll'!S21,'Income Assumptions'!$D$50:$O$57,6,FALSE))),U21)</f>
        <v>#N/A</v>
      </c>
      <c r="P21" s="3346"/>
      <c r="Q21" s="1377"/>
      <c r="R21" s="652"/>
      <c r="S21" s="2696" t="inlineStr">
        <is>
          <t xml:space="preserve">Industrial Office/Warehouse</t>
        </is>
      </c>
      <c r="T21" s="652"/>
      <c r="U21" s="2696"/>
      <c r="V21" s="652"/>
      <c r="W21" s="2696"/>
      <c r="X21" s="652"/>
      <c r="Y21" s="1580">
        <f t="shared" ca="1" si="7"/>
        <v>0</v>
      </c>
      <c r="Z21" s="1580">
        <f t="shared" ca="1" si="8"/>
        <v>0</v>
      </c>
      <c r="AA21" s="1580">
        <f t="shared" ca="1" si="9"/>
        <v>0</v>
      </c>
      <c r="AB21" s="1580">
        <f t="shared" ca="1" si="10"/>
        <v>0</v>
      </c>
      <c r="AC21" s="1580">
        <f t="shared" ca="1" si="11"/>
        <v>0</v>
      </c>
      <c r="AD21" s="1580">
        <f t="shared" ca="1" si="12"/>
        <v>0</v>
      </c>
      <c r="AE21" s="1580">
        <f t="shared" ca="1" si="13"/>
        <v>0</v>
      </c>
      <c r="AF21" s="1581">
        <f t="shared" ca="1" si="14"/>
        <v>0</v>
      </c>
      <c r="AG21" s="194"/>
      <c r="AH21" s="1579" t="str">
        <f t="shared" ca="1" si="15"/>
        <v/>
      </c>
      <c r="AI21" s="1580" t="str">
        <f t="shared" ca="1" si="16"/>
        <v/>
      </c>
      <c r="AJ21" s="1581" t="str">
        <f t="shared" ca="1" si="17"/>
        <v/>
      </c>
      <c r="AK21" s="194"/>
      <c r="AL21" s="1582">
        <f t="shared" ca="1" si="18"/>
        <v>0</v>
      </c>
      <c r="AM21" s="209"/>
      <c r="AN21" s="1582">
        <f t="shared" ca="1" si="19"/>
        <v>0</v>
      </c>
      <c r="AO21" s="209"/>
      <c r="AP21" s="1582">
        <f t="shared" ca="1" si="20"/>
        <v>0</v>
      </c>
      <c r="AQ21" s="209"/>
      <c r="AR21" s="1582">
        <f t="shared" ca="1" si="21"/>
        <v>0</v>
      </c>
      <c r="AS21" s="194"/>
      <c r="AT21" s="1582">
        <f t="shared" ca="1" si="22"/>
        <v>0</v>
      </c>
      <c r="AU21" s="194"/>
      <c r="AV21" s="194"/>
      <c r="AW21" s="194"/>
      <c r="AX21" s="194"/>
      <c r="AY21" s="194"/>
    </row>
    <row r="22" spans="1:51" s="2699" customFormat="1" ht="18" hidden="1" customHeight="1" x14ac:dyDescent="0.25">
      <c r="A22" s="972">
        <f t="shared" ca="1" si="23"/>
        <v>0</v>
      </c>
      <c r="B22" s="707">
        <f t="shared" si="28"/>
        <v>16</v>
      </c>
      <c r="C22" s="1376"/>
      <c r="D22" s="3346"/>
      <c r="E22" s="3346" t="str">
        <f t="shared" ca="1" si="0"/>
        <v/>
      </c>
      <c r="F22" s="1448" t="str">
        <f t="shared" ca="1" si="1"/>
        <v/>
      </c>
      <c r="G22" s="1418" t="str">
        <f t="shared" ca="1" si="2"/>
        <v/>
      </c>
      <c r="H22" s="3589" t="str">
        <f t="shared" ca="1" si="3"/>
        <v/>
      </c>
      <c r="I22" s="3589" t="str">
        <f t="shared" ca="1" si="4"/>
        <v/>
      </c>
      <c r="J22" s="3590" t="str">
        <f t="shared" ca="1" si="24"/>
        <v/>
      </c>
      <c r="K22" s="1422" t="str">
        <f t="shared" ca="1" si="5"/>
        <v/>
      </c>
      <c r="L22" s="1431" t="str">
        <f t="shared" ca="1" si="25"/>
        <v/>
      </c>
      <c r="M22" s="3591" t="str">
        <f t="shared" ca="1" si="26"/>
        <v/>
      </c>
      <c r="N22" s="3592" t="str">
        <f t="shared" ca="1" si="6"/>
        <v/>
      </c>
      <c r="O22" s="1420" t="e">
        <f ca="1">IF(U22="",IF(Income_RentRollSource="Datappraise/Manual Entry",VLOOKUP($B22,Datappraise_RentRoll,5,FALSE),IF(OR(Income_TechniqueUsed="Direct Capitalization",Income_TechniqueUsed="Direct Cap &amp; DCF"),VLOOKUP('Rent Roll'!S22,'Income Assumptions'!$D$11:$H$19,5,FALSE),VLOOKUP('Rent Roll'!S22,'Income Assumptions'!$D$50:$O$57,6,FALSE))),U22)</f>
        <v>#N/A</v>
      </c>
      <c r="P22" s="3346"/>
      <c r="Q22" s="1377"/>
      <c r="R22" s="652"/>
      <c r="S22" s="2696" t="inlineStr">
        <is>
          <t xml:space="preserve">Industrial Office/Warehouse</t>
        </is>
      </c>
      <c r="T22" s="652"/>
      <c r="U22" s="2696"/>
      <c r="V22" s="652"/>
      <c r="W22" s="2696"/>
      <c r="X22" s="652"/>
      <c r="Y22" s="1580">
        <f t="shared" ca="1" si="7"/>
        <v>0</v>
      </c>
      <c r="Z22" s="1580">
        <f t="shared" ca="1" si="8"/>
        <v>0</v>
      </c>
      <c r="AA22" s="1580">
        <f t="shared" ca="1" si="9"/>
        <v>0</v>
      </c>
      <c r="AB22" s="1580">
        <f t="shared" ca="1" si="10"/>
        <v>0</v>
      </c>
      <c r="AC22" s="1580">
        <f t="shared" ca="1" si="11"/>
        <v>0</v>
      </c>
      <c r="AD22" s="1580">
        <f t="shared" ca="1" si="12"/>
        <v>0</v>
      </c>
      <c r="AE22" s="1580">
        <f t="shared" ca="1" si="13"/>
        <v>0</v>
      </c>
      <c r="AF22" s="1581">
        <f t="shared" ca="1" si="14"/>
        <v>0</v>
      </c>
      <c r="AG22" s="194"/>
      <c r="AH22" s="1579" t="str">
        <f t="shared" ca="1" si="15"/>
        <v/>
      </c>
      <c r="AI22" s="1580" t="str">
        <f t="shared" ca="1" si="16"/>
        <v/>
      </c>
      <c r="AJ22" s="1581" t="str">
        <f t="shared" ca="1" si="17"/>
        <v/>
      </c>
      <c r="AK22" s="194"/>
      <c r="AL22" s="1582">
        <f t="shared" ca="1" si="18"/>
        <v>0</v>
      </c>
      <c r="AM22" s="209"/>
      <c r="AN22" s="1582">
        <f t="shared" ca="1" si="19"/>
        <v>0</v>
      </c>
      <c r="AO22" s="209"/>
      <c r="AP22" s="1582">
        <f t="shared" ca="1" si="20"/>
        <v>0</v>
      </c>
      <c r="AQ22" s="209"/>
      <c r="AR22" s="1582">
        <f t="shared" ca="1" si="21"/>
        <v>0</v>
      </c>
      <c r="AS22" s="194"/>
      <c r="AT22" s="1582">
        <f t="shared" ca="1" si="22"/>
        <v>0</v>
      </c>
      <c r="AU22" s="194"/>
      <c r="AV22" s="194"/>
      <c r="AW22" s="194"/>
      <c r="AX22" s="194"/>
      <c r="AY22" s="194"/>
    </row>
    <row r="23" spans="1:51" s="2699" customFormat="1" ht="18" hidden="1" customHeight="1" x14ac:dyDescent="0.25">
      <c r="A23" s="972">
        <f t="shared" ca="1" si="23"/>
        <v>0</v>
      </c>
      <c r="B23" s="707">
        <f t="shared" si="28"/>
        <v>17</v>
      </c>
      <c r="C23" s="1376"/>
      <c r="D23" s="3346"/>
      <c r="E23" s="3346" t="str">
        <f t="shared" ca="1" si="0"/>
        <v/>
      </c>
      <c r="F23" s="1448" t="str">
        <f t="shared" ca="1" si="1"/>
        <v/>
      </c>
      <c r="G23" s="1418" t="str">
        <f t="shared" ca="1" si="2"/>
        <v/>
      </c>
      <c r="H23" s="3589" t="str">
        <f t="shared" ca="1" si="3"/>
        <v/>
      </c>
      <c r="I23" s="3589" t="str">
        <f t="shared" ca="1" si="4"/>
        <v/>
      </c>
      <c r="J23" s="3590" t="str">
        <f t="shared" ca="1" si="24"/>
        <v/>
      </c>
      <c r="K23" s="1422" t="str">
        <f t="shared" ca="1" si="5"/>
        <v/>
      </c>
      <c r="L23" s="1431" t="str">
        <f t="shared" ca="1" si="25"/>
        <v/>
      </c>
      <c r="M23" s="3591" t="str">
        <f t="shared" ca="1" si="26"/>
        <v/>
      </c>
      <c r="N23" s="3592" t="str">
        <f t="shared" ca="1" si="6"/>
        <v/>
      </c>
      <c r="O23" s="1420" t="e">
        <f ca="1">IF(U23="",IF(Income_RentRollSource="Datappraise/Manual Entry",VLOOKUP($B23,Datappraise_RentRoll,5,FALSE),IF(OR(Income_TechniqueUsed="Direct Capitalization",Income_TechniqueUsed="Direct Cap &amp; DCF"),VLOOKUP('Rent Roll'!S23,'Income Assumptions'!$D$11:$H$19,5,FALSE),VLOOKUP('Rent Roll'!S23,'Income Assumptions'!$D$50:$O$57,6,FALSE))),U23)</f>
        <v>#N/A</v>
      </c>
      <c r="P23" s="3346"/>
      <c r="Q23" s="1377"/>
      <c r="R23" s="652"/>
      <c r="S23" s="2696" t="inlineStr">
        <is>
          <t xml:space="preserve">Industrial Office/Warehouse</t>
        </is>
      </c>
      <c r="T23" s="652"/>
      <c r="U23" s="2696"/>
      <c r="V23" s="652"/>
      <c r="W23" s="2696"/>
      <c r="X23" s="652"/>
      <c r="Y23" s="1580">
        <f t="shared" ca="1" si="7"/>
        <v>0</v>
      </c>
      <c r="Z23" s="1580">
        <f t="shared" ca="1" si="8"/>
        <v>0</v>
      </c>
      <c r="AA23" s="1580">
        <f t="shared" ca="1" si="9"/>
        <v>0</v>
      </c>
      <c r="AB23" s="1580">
        <f t="shared" ca="1" si="10"/>
        <v>0</v>
      </c>
      <c r="AC23" s="1580">
        <f t="shared" ca="1" si="11"/>
        <v>0</v>
      </c>
      <c r="AD23" s="1580">
        <f t="shared" ca="1" si="12"/>
        <v>0</v>
      </c>
      <c r="AE23" s="1580">
        <f t="shared" ca="1" si="13"/>
        <v>0</v>
      </c>
      <c r="AF23" s="1581">
        <f t="shared" ca="1" si="14"/>
        <v>0</v>
      </c>
      <c r="AG23" s="194"/>
      <c r="AH23" s="1579" t="str">
        <f t="shared" ca="1" si="15"/>
        <v/>
      </c>
      <c r="AI23" s="1580" t="str">
        <f t="shared" ca="1" si="16"/>
        <v/>
      </c>
      <c r="AJ23" s="1581" t="str">
        <f t="shared" ca="1" si="17"/>
        <v/>
      </c>
      <c r="AK23" s="194"/>
      <c r="AL23" s="1582">
        <f t="shared" ca="1" si="18"/>
        <v>0</v>
      </c>
      <c r="AM23" s="209"/>
      <c r="AN23" s="1582">
        <f t="shared" ca="1" si="19"/>
        <v>0</v>
      </c>
      <c r="AO23" s="209"/>
      <c r="AP23" s="1582">
        <f t="shared" ca="1" si="20"/>
        <v>0</v>
      </c>
      <c r="AQ23" s="209"/>
      <c r="AR23" s="1582">
        <f t="shared" ca="1" si="21"/>
        <v>0</v>
      </c>
      <c r="AS23" s="194"/>
      <c r="AT23" s="1582">
        <f t="shared" ca="1" si="22"/>
        <v>0</v>
      </c>
      <c r="AU23" s="194"/>
      <c r="AV23" s="194"/>
      <c r="AW23" s="194"/>
      <c r="AX23" s="194"/>
      <c r="AY23" s="194"/>
    </row>
    <row r="24" spans="1:51" s="2699" customFormat="1" ht="18" hidden="1" customHeight="1" x14ac:dyDescent="0.25">
      <c r="A24" s="972">
        <f t="shared" ca="1" si="23"/>
        <v>0</v>
      </c>
      <c r="B24" s="707">
        <f t="shared" si="28"/>
        <v>18</v>
      </c>
      <c r="C24" s="1376"/>
      <c r="D24" s="3346"/>
      <c r="E24" s="3346" t="str">
        <f t="shared" ca="1" si="0"/>
        <v/>
      </c>
      <c r="F24" s="1448" t="str">
        <f t="shared" ca="1" si="1"/>
        <v/>
      </c>
      <c r="G24" s="1418" t="str">
        <f t="shared" ca="1" si="2"/>
        <v/>
      </c>
      <c r="H24" s="3589" t="str">
        <f t="shared" ca="1" si="3"/>
        <v/>
      </c>
      <c r="I24" s="3589" t="str">
        <f t="shared" ca="1" si="4"/>
        <v/>
      </c>
      <c r="J24" s="3590" t="str">
        <f t="shared" ca="1" si="24"/>
        <v/>
      </c>
      <c r="K24" s="1422" t="str">
        <f t="shared" ca="1" si="5"/>
        <v/>
      </c>
      <c r="L24" s="1431" t="str">
        <f t="shared" ca="1" si="25"/>
        <v/>
      </c>
      <c r="M24" s="3591" t="str">
        <f t="shared" ca="1" si="26"/>
        <v/>
      </c>
      <c r="N24" s="3592" t="str">
        <f t="shared" ca="1" si="6"/>
        <v/>
      </c>
      <c r="O24" s="1420" t="e">
        <f ca="1">IF(U24="",IF(Income_RentRollSource="Datappraise/Manual Entry",VLOOKUP($B24,Datappraise_RentRoll,5,FALSE),IF(OR(Income_TechniqueUsed="Direct Capitalization",Income_TechniqueUsed="Direct Cap &amp; DCF"),VLOOKUP('Rent Roll'!S24,'Income Assumptions'!$D$11:$H$19,5,FALSE),VLOOKUP('Rent Roll'!S24,'Income Assumptions'!$D$50:$O$57,6,FALSE))),U24)</f>
        <v>#N/A</v>
      </c>
      <c r="P24" s="3346"/>
      <c r="Q24" s="1377"/>
      <c r="R24" s="652"/>
      <c r="S24" s="2696" t="inlineStr">
        <is>
          <t xml:space="preserve">Industrial Office/Warehouse</t>
        </is>
      </c>
      <c r="T24" s="652"/>
      <c r="U24" s="2696"/>
      <c r="V24" s="652"/>
      <c r="W24" s="2696"/>
      <c r="X24" s="652"/>
      <c r="Y24" s="1580">
        <f t="shared" ca="1" si="7"/>
        <v>0</v>
      </c>
      <c r="Z24" s="1580">
        <f t="shared" ca="1" si="8"/>
        <v>0</v>
      </c>
      <c r="AA24" s="1580">
        <f t="shared" ca="1" si="9"/>
        <v>0</v>
      </c>
      <c r="AB24" s="1580">
        <f t="shared" ca="1" si="10"/>
        <v>0</v>
      </c>
      <c r="AC24" s="1580">
        <f t="shared" ca="1" si="11"/>
        <v>0</v>
      </c>
      <c r="AD24" s="1580">
        <f t="shared" ca="1" si="12"/>
        <v>0</v>
      </c>
      <c r="AE24" s="1580">
        <f t="shared" ca="1" si="13"/>
        <v>0</v>
      </c>
      <c r="AF24" s="1581">
        <f t="shared" ca="1" si="14"/>
        <v>0</v>
      </c>
      <c r="AG24" s="194"/>
      <c r="AH24" s="1579" t="str">
        <f t="shared" ca="1" si="15"/>
        <v/>
      </c>
      <c r="AI24" s="1580" t="str">
        <f t="shared" ca="1" si="16"/>
        <v/>
      </c>
      <c r="AJ24" s="1581" t="str">
        <f t="shared" ca="1" si="17"/>
        <v/>
      </c>
      <c r="AK24" s="194"/>
      <c r="AL24" s="1582">
        <f t="shared" ca="1" si="18"/>
        <v>0</v>
      </c>
      <c r="AM24" s="209"/>
      <c r="AN24" s="1582">
        <f t="shared" ca="1" si="19"/>
        <v>0</v>
      </c>
      <c r="AO24" s="209"/>
      <c r="AP24" s="1582">
        <f t="shared" ca="1" si="20"/>
        <v>0</v>
      </c>
      <c r="AQ24" s="209"/>
      <c r="AR24" s="1582">
        <f t="shared" ca="1" si="21"/>
        <v>0</v>
      </c>
      <c r="AS24" s="194"/>
      <c r="AT24" s="1582">
        <f t="shared" ca="1" si="22"/>
        <v>0</v>
      </c>
      <c r="AU24" s="194"/>
      <c r="AV24" s="194"/>
      <c r="AW24" s="194"/>
      <c r="AX24" s="194"/>
      <c r="AY24" s="194"/>
    </row>
    <row r="25" spans="1:51" s="2699" customFormat="1" ht="18" hidden="1" customHeight="1" x14ac:dyDescent="0.25">
      <c r="A25" s="972">
        <f t="shared" ca="1" si="23"/>
        <v>0</v>
      </c>
      <c r="B25" s="707">
        <f t="shared" si="28"/>
        <v>19</v>
      </c>
      <c r="C25" s="1376"/>
      <c r="D25" s="3346"/>
      <c r="E25" s="3346" t="str">
        <f t="shared" ca="1" si="0"/>
        <v/>
      </c>
      <c r="F25" s="1448" t="str">
        <f t="shared" ca="1" si="1"/>
        <v/>
      </c>
      <c r="G25" s="1418" t="str">
        <f t="shared" ca="1" si="2"/>
        <v/>
      </c>
      <c r="H25" s="3589" t="str">
        <f t="shared" ca="1" si="3"/>
        <v/>
      </c>
      <c r="I25" s="3589" t="str">
        <f t="shared" ca="1" si="4"/>
        <v/>
      </c>
      <c r="J25" s="3590" t="str">
        <f t="shared" ca="1" si="24"/>
        <v/>
      </c>
      <c r="K25" s="1422" t="str">
        <f t="shared" ca="1" si="5"/>
        <v/>
      </c>
      <c r="L25" s="1431" t="str">
        <f t="shared" ca="1" si="25"/>
        <v/>
      </c>
      <c r="M25" s="3591" t="str">
        <f t="shared" ca="1" si="26"/>
        <v/>
      </c>
      <c r="N25" s="3592" t="str">
        <f t="shared" ca="1" si="6"/>
        <v/>
      </c>
      <c r="O25" s="1420" t="e">
        <f ca="1">IF(U25="",IF(Income_RentRollSource="Datappraise/Manual Entry",VLOOKUP($B25,Datappraise_RentRoll,5,FALSE),IF(OR(Income_TechniqueUsed="Direct Capitalization",Income_TechniqueUsed="Direct Cap &amp; DCF"),VLOOKUP('Rent Roll'!S25,'Income Assumptions'!$D$11:$H$19,5,FALSE),VLOOKUP('Rent Roll'!S25,'Income Assumptions'!$D$50:$O$57,6,FALSE))),U25)</f>
        <v>#N/A</v>
      </c>
      <c r="P25" s="3346"/>
      <c r="Q25" s="1377"/>
      <c r="R25" s="652"/>
      <c r="S25" s="2696" t="inlineStr">
        <is>
          <t xml:space="preserve">Industrial Office/Warehouse</t>
        </is>
      </c>
      <c r="T25" s="652"/>
      <c r="U25" s="2696"/>
      <c r="V25" s="652"/>
      <c r="W25" s="2696"/>
      <c r="X25" s="652"/>
      <c r="Y25" s="1580">
        <f t="shared" ca="1" si="7"/>
        <v>0</v>
      </c>
      <c r="Z25" s="1580">
        <f t="shared" ca="1" si="8"/>
        <v>0</v>
      </c>
      <c r="AA25" s="1580">
        <f t="shared" ca="1" si="9"/>
        <v>0</v>
      </c>
      <c r="AB25" s="1580">
        <f t="shared" ca="1" si="10"/>
        <v>0</v>
      </c>
      <c r="AC25" s="1580">
        <f t="shared" ca="1" si="11"/>
        <v>0</v>
      </c>
      <c r="AD25" s="1580">
        <f t="shared" ca="1" si="12"/>
        <v>0</v>
      </c>
      <c r="AE25" s="1580">
        <f t="shared" ca="1" si="13"/>
        <v>0</v>
      </c>
      <c r="AF25" s="1581">
        <f t="shared" ca="1" si="14"/>
        <v>0</v>
      </c>
      <c r="AG25" s="194"/>
      <c r="AH25" s="1579" t="str">
        <f t="shared" ca="1" si="15"/>
        <v/>
      </c>
      <c r="AI25" s="1580" t="str">
        <f t="shared" ca="1" si="16"/>
        <v/>
      </c>
      <c r="AJ25" s="1581" t="str">
        <f t="shared" ca="1" si="17"/>
        <v/>
      </c>
      <c r="AK25" s="194"/>
      <c r="AL25" s="1582">
        <f t="shared" ca="1" si="18"/>
        <v>0</v>
      </c>
      <c r="AM25" s="209"/>
      <c r="AN25" s="1582">
        <f t="shared" ca="1" si="19"/>
        <v>0</v>
      </c>
      <c r="AO25" s="209"/>
      <c r="AP25" s="1582">
        <f t="shared" ca="1" si="20"/>
        <v>0</v>
      </c>
      <c r="AQ25" s="209"/>
      <c r="AR25" s="1582">
        <f t="shared" ca="1" si="21"/>
        <v>0</v>
      </c>
      <c r="AS25" s="194"/>
      <c r="AT25" s="1582">
        <f t="shared" ca="1" si="22"/>
        <v>0</v>
      </c>
      <c r="AU25" s="194"/>
      <c r="AV25" s="194"/>
      <c r="AW25" s="194"/>
      <c r="AX25" s="194"/>
      <c r="AY25" s="194"/>
    </row>
    <row r="26" spans="1:51" s="2699" customFormat="1" ht="18" hidden="1" customHeight="1" x14ac:dyDescent="0.25">
      <c r="A26" s="972">
        <f t="shared" ca="1" si="23"/>
        <v>0</v>
      </c>
      <c r="B26" s="707">
        <f t="shared" si="28"/>
        <v>20</v>
      </c>
      <c r="C26" s="1376"/>
      <c r="D26" s="3346"/>
      <c r="E26" s="3346" t="str">
        <f t="shared" ca="1" si="0"/>
        <v/>
      </c>
      <c r="F26" s="1448" t="str">
        <f t="shared" ca="1" si="1"/>
        <v/>
      </c>
      <c r="G26" s="1418" t="str">
        <f t="shared" ca="1" si="2"/>
        <v/>
      </c>
      <c r="H26" s="3589" t="str">
        <f t="shared" ca="1" si="3"/>
        <v/>
      </c>
      <c r="I26" s="3589" t="str">
        <f t="shared" ca="1" si="4"/>
        <v/>
      </c>
      <c r="J26" s="3590" t="str">
        <f t="shared" ca="1" si="24"/>
        <v/>
      </c>
      <c r="K26" s="1422" t="str">
        <f t="shared" ca="1" si="5"/>
        <v/>
      </c>
      <c r="L26" s="1431" t="str">
        <f t="shared" ca="1" si="25"/>
        <v/>
      </c>
      <c r="M26" s="3591" t="str">
        <f t="shared" ca="1" si="26"/>
        <v/>
      </c>
      <c r="N26" s="3592" t="str">
        <f t="shared" ca="1" si="6"/>
        <v/>
      </c>
      <c r="O26" s="1420" t="e">
        <f ca="1">IF(U26="",IF(Income_RentRollSource="Datappraise/Manual Entry",VLOOKUP($B26,Datappraise_RentRoll,5,FALSE),IF(OR(Income_TechniqueUsed="Direct Capitalization",Income_TechniqueUsed="Direct Cap &amp; DCF"),VLOOKUP('Rent Roll'!S26,'Income Assumptions'!$D$11:$H$19,5,FALSE),VLOOKUP('Rent Roll'!S26,'Income Assumptions'!$D$50:$O$57,6,FALSE))),U26)</f>
        <v>#N/A</v>
      </c>
      <c r="P26" s="3346"/>
      <c r="Q26" s="1377"/>
      <c r="R26" s="652"/>
      <c r="S26" s="2696" t="inlineStr">
        <is>
          <t xml:space="preserve">Industrial Office/Warehouse</t>
        </is>
      </c>
      <c r="T26" s="652"/>
      <c r="U26" s="2696"/>
      <c r="V26" s="652"/>
      <c r="W26" s="2696"/>
      <c r="X26" s="652"/>
      <c r="Y26" s="1580">
        <f t="shared" ca="1" si="7"/>
        <v>0</v>
      </c>
      <c r="Z26" s="1580">
        <f t="shared" ca="1" si="8"/>
        <v>0</v>
      </c>
      <c r="AA26" s="1580">
        <f t="shared" ca="1" si="9"/>
        <v>0</v>
      </c>
      <c r="AB26" s="1580">
        <f t="shared" ca="1" si="10"/>
        <v>0</v>
      </c>
      <c r="AC26" s="1580">
        <f t="shared" ca="1" si="11"/>
        <v>0</v>
      </c>
      <c r="AD26" s="1580">
        <f t="shared" ca="1" si="12"/>
        <v>0</v>
      </c>
      <c r="AE26" s="1580">
        <f t="shared" ca="1" si="13"/>
        <v>0</v>
      </c>
      <c r="AF26" s="1581">
        <f t="shared" ca="1" si="14"/>
        <v>0</v>
      </c>
      <c r="AG26" s="194"/>
      <c r="AH26" s="1579" t="str">
        <f t="shared" ca="1" si="15"/>
        <v/>
      </c>
      <c r="AI26" s="1580" t="str">
        <f t="shared" ca="1" si="16"/>
        <v/>
      </c>
      <c r="AJ26" s="1581" t="str">
        <f t="shared" ca="1" si="17"/>
        <v/>
      </c>
      <c r="AK26" s="194"/>
      <c r="AL26" s="1582">
        <f t="shared" ca="1" si="18"/>
        <v>0</v>
      </c>
      <c r="AM26" s="209"/>
      <c r="AN26" s="1582">
        <f t="shared" ca="1" si="19"/>
        <v>0</v>
      </c>
      <c r="AO26" s="209"/>
      <c r="AP26" s="1582">
        <f t="shared" ca="1" si="20"/>
        <v>0</v>
      </c>
      <c r="AQ26" s="209"/>
      <c r="AR26" s="1582">
        <f t="shared" ca="1" si="21"/>
        <v>0</v>
      </c>
      <c r="AS26" s="194"/>
      <c r="AT26" s="1582">
        <f t="shared" ca="1" si="22"/>
        <v>0</v>
      </c>
      <c r="AU26" s="194"/>
      <c r="AV26" s="194"/>
      <c r="AW26" s="194"/>
      <c r="AX26" s="194"/>
      <c r="AY26" s="194"/>
    </row>
    <row r="27" spans="1:51" s="2699" customFormat="1" ht="18" hidden="1" customHeight="1" x14ac:dyDescent="0.25">
      <c r="A27" s="972">
        <f t="shared" ca="1" si="23"/>
        <v>0</v>
      </c>
      <c r="B27" s="707">
        <f t="shared" si="28"/>
        <v>21</v>
      </c>
      <c r="C27" s="1376"/>
      <c r="D27" s="3346"/>
      <c r="E27" s="3346" t="str">
        <f t="shared" ca="1" si="0"/>
        <v/>
      </c>
      <c r="F27" s="1448" t="str">
        <f t="shared" ca="1" si="1"/>
        <v/>
      </c>
      <c r="G27" s="1418" t="str">
        <f t="shared" ca="1" si="2"/>
        <v/>
      </c>
      <c r="H27" s="3589" t="str">
        <f t="shared" ca="1" si="3"/>
        <v/>
      </c>
      <c r="I27" s="3589" t="str">
        <f t="shared" ca="1" si="4"/>
        <v/>
      </c>
      <c r="J27" s="3590" t="str">
        <f t="shared" ca="1" si="24"/>
        <v/>
      </c>
      <c r="K27" s="1422" t="str">
        <f t="shared" ca="1" si="5"/>
        <v/>
      </c>
      <c r="L27" s="1431" t="str">
        <f t="shared" ca="1" si="25"/>
        <v/>
      </c>
      <c r="M27" s="3591" t="str">
        <f t="shared" ca="1" si="26"/>
        <v/>
      </c>
      <c r="N27" s="3592" t="str">
        <f t="shared" ca="1" si="6"/>
        <v/>
      </c>
      <c r="O27" s="1420" t="e">
        <f ca="1">IF(U27="",IF(Income_RentRollSource="Datappraise/Manual Entry",VLOOKUP($B27,Datappraise_RentRoll,5,FALSE),IF(OR(Income_TechniqueUsed="Direct Capitalization",Income_TechniqueUsed="Direct Cap &amp; DCF"),VLOOKUP('Rent Roll'!S27,'Income Assumptions'!$D$11:$H$19,5,FALSE),VLOOKUP('Rent Roll'!S27,'Income Assumptions'!$D$50:$O$57,6,FALSE))),U27)</f>
        <v>#N/A</v>
      </c>
      <c r="P27" s="3346"/>
      <c r="Q27" s="1377"/>
      <c r="R27" s="652"/>
      <c r="S27" s="2696" t="inlineStr">
        <is>
          <t xml:space="preserve">Industrial Office/Warehouse</t>
        </is>
      </c>
      <c r="T27" s="652"/>
      <c r="U27" s="2696"/>
      <c r="V27" s="652"/>
      <c r="W27" s="2696"/>
      <c r="X27" s="652"/>
      <c r="Y27" s="1580">
        <f t="shared" ca="1" si="7"/>
        <v>0</v>
      </c>
      <c r="Z27" s="1580">
        <f t="shared" ca="1" si="8"/>
        <v>0</v>
      </c>
      <c r="AA27" s="1580">
        <f t="shared" ca="1" si="9"/>
        <v>0</v>
      </c>
      <c r="AB27" s="1580">
        <f t="shared" ca="1" si="10"/>
        <v>0</v>
      </c>
      <c r="AC27" s="1580">
        <f t="shared" ca="1" si="11"/>
        <v>0</v>
      </c>
      <c r="AD27" s="1580">
        <f t="shared" ca="1" si="12"/>
        <v>0</v>
      </c>
      <c r="AE27" s="1580">
        <f t="shared" ca="1" si="13"/>
        <v>0</v>
      </c>
      <c r="AF27" s="1581">
        <f t="shared" ca="1" si="14"/>
        <v>0</v>
      </c>
      <c r="AG27" s="194"/>
      <c r="AH27" s="1579" t="str">
        <f t="shared" ca="1" si="15"/>
        <v/>
      </c>
      <c r="AI27" s="1580" t="str">
        <f t="shared" ca="1" si="16"/>
        <v/>
      </c>
      <c r="AJ27" s="1581" t="str">
        <f t="shared" ca="1" si="17"/>
        <v/>
      </c>
      <c r="AK27" s="194"/>
      <c r="AL27" s="1582">
        <f t="shared" ca="1" si="18"/>
        <v>0</v>
      </c>
      <c r="AM27" s="209"/>
      <c r="AN27" s="1582">
        <f t="shared" ca="1" si="19"/>
        <v>0</v>
      </c>
      <c r="AO27" s="209"/>
      <c r="AP27" s="1582">
        <f t="shared" ca="1" si="20"/>
        <v>0</v>
      </c>
      <c r="AQ27" s="209"/>
      <c r="AR27" s="1582">
        <f t="shared" ca="1" si="21"/>
        <v>0</v>
      </c>
      <c r="AS27" s="194"/>
      <c r="AT27" s="1582">
        <f t="shared" ca="1" si="22"/>
        <v>0</v>
      </c>
      <c r="AU27" s="194"/>
      <c r="AV27" s="194"/>
      <c r="AW27" s="194"/>
      <c r="AX27" s="194"/>
      <c r="AY27" s="194"/>
    </row>
    <row r="28" spans="1:51" s="2699" customFormat="1" ht="18" hidden="1" customHeight="1" x14ac:dyDescent="0.25">
      <c r="A28" s="972">
        <f t="shared" ca="1" si="23"/>
        <v>0</v>
      </c>
      <c r="B28" s="707">
        <f t="shared" si="28"/>
        <v>22</v>
      </c>
      <c r="C28" s="1376"/>
      <c r="D28" s="3346"/>
      <c r="E28" s="3346" t="str">
        <f t="shared" ca="1" si="0"/>
        <v/>
      </c>
      <c r="F28" s="1448" t="str">
        <f t="shared" ca="1" si="1"/>
        <v/>
      </c>
      <c r="G28" s="1418" t="str">
        <f t="shared" ca="1" si="2"/>
        <v/>
      </c>
      <c r="H28" s="3589" t="str">
        <f t="shared" ca="1" si="3"/>
        <v/>
      </c>
      <c r="I28" s="3589" t="str">
        <f t="shared" ca="1" si="4"/>
        <v/>
      </c>
      <c r="J28" s="3590" t="str">
        <f t="shared" ca="1" si="24"/>
        <v/>
      </c>
      <c r="K28" s="1422" t="str">
        <f t="shared" ca="1" si="5"/>
        <v/>
      </c>
      <c r="L28" s="1431" t="str">
        <f t="shared" ca="1" si="25"/>
        <v/>
      </c>
      <c r="M28" s="3591" t="str">
        <f t="shared" ca="1" si="26"/>
        <v/>
      </c>
      <c r="N28" s="3592" t="str">
        <f t="shared" ca="1" si="6"/>
        <v/>
      </c>
      <c r="O28" s="1420" t="e">
        <f ca="1">IF(U28="",IF(Income_RentRollSource="Datappraise/Manual Entry",VLOOKUP($B28,Datappraise_RentRoll,5,FALSE),IF(OR(Income_TechniqueUsed="Direct Capitalization",Income_TechniqueUsed="Direct Cap &amp; DCF"),VLOOKUP('Rent Roll'!S28,'Income Assumptions'!$D$11:$H$19,5,FALSE),VLOOKUP('Rent Roll'!S28,'Income Assumptions'!$D$50:$O$57,6,FALSE))),U28)</f>
        <v>#N/A</v>
      </c>
      <c r="P28" s="3346"/>
      <c r="Q28" s="1377"/>
      <c r="R28" s="652"/>
      <c r="S28" s="2696" t="inlineStr">
        <is>
          <t xml:space="preserve">Industrial Office/Warehouse</t>
        </is>
      </c>
      <c r="T28" s="652"/>
      <c r="U28" s="2696"/>
      <c r="V28" s="652"/>
      <c r="W28" s="2696"/>
      <c r="X28" s="652"/>
      <c r="Y28" s="1580">
        <f t="shared" ca="1" si="7"/>
        <v>0</v>
      </c>
      <c r="Z28" s="1580">
        <f t="shared" ca="1" si="8"/>
        <v>0</v>
      </c>
      <c r="AA28" s="1580">
        <f t="shared" ca="1" si="9"/>
        <v>0</v>
      </c>
      <c r="AB28" s="1580">
        <f t="shared" ca="1" si="10"/>
        <v>0</v>
      </c>
      <c r="AC28" s="1580">
        <f t="shared" ca="1" si="11"/>
        <v>0</v>
      </c>
      <c r="AD28" s="1580">
        <f t="shared" ca="1" si="12"/>
        <v>0</v>
      </c>
      <c r="AE28" s="1580">
        <f t="shared" ca="1" si="13"/>
        <v>0</v>
      </c>
      <c r="AF28" s="1581">
        <f t="shared" ca="1" si="14"/>
        <v>0</v>
      </c>
      <c r="AG28" s="194"/>
      <c r="AH28" s="1579" t="str">
        <f t="shared" ca="1" si="15"/>
        <v/>
      </c>
      <c r="AI28" s="1580" t="str">
        <f t="shared" ca="1" si="16"/>
        <v/>
      </c>
      <c r="AJ28" s="1581" t="str">
        <f t="shared" ca="1" si="17"/>
        <v/>
      </c>
      <c r="AK28" s="194"/>
      <c r="AL28" s="1582">
        <f t="shared" ca="1" si="18"/>
        <v>0</v>
      </c>
      <c r="AM28" s="209"/>
      <c r="AN28" s="1582">
        <f t="shared" ca="1" si="19"/>
        <v>0</v>
      </c>
      <c r="AO28" s="209"/>
      <c r="AP28" s="1582">
        <f t="shared" ca="1" si="20"/>
        <v>0</v>
      </c>
      <c r="AQ28" s="209"/>
      <c r="AR28" s="1582">
        <f t="shared" ca="1" si="21"/>
        <v>0</v>
      </c>
      <c r="AS28" s="194"/>
      <c r="AT28" s="1582">
        <f t="shared" ca="1" si="22"/>
        <v>0</v>
      </c>
      <c r="AU28" s="194"/>
      <c r="AV28" s="194"/>
      <c r="AW28" s="194"/>
      <c r="AX28" s="194"/>
      <c r="AY28" s="194"/>
    </row>
    <row r="29" spans="1:51" s="2699" customFormat="1" ht="18" hidden="1" customHeight="1" x14ac:dyDescent="0.25">
      <c r="A29" s="972">
        <f t="shared" ca="1" si="23"/>
        <v>0</v>
      </c>
      <c r="B29" s="707">
        <f t="shared" si="28"/>
        <v>23</v>
      </c>
      <c r="C29" s="1376"/>
      <c r="D29" s="3346"/>
      <c r="E29" s="3346" t="str">
        <f t="shared" ca="1" si="0"/>
        <v/>
      </c>
      <c r="F29" s="1448" t="str">
        <f t="shared" ca="1" si="1"/>
        <v/>
      </c>
      <c r="G29" s="1418" t="str">
        <f t="shared" ca="1" si="2"/>
        <v/>
      </c>
      <c r="H29" s="3589" t="str">
        <f t="shared" ca="1" si="3"/>
        <v/>
      </c>
      <c r="I29" s="3589" t="str">
        <f t="shared" ca="1" si="4"/>
        <v/>
      </c>
      <c r="J29" s="3590" t="str">
        <f t="shared" ca="1" si="24"/>
        <v/>
      </c>
      <c r="K29" s="1422" t="str">
        <f t="shared" ca="1" si="5"/>
        <v/>
      </c>
      <c r="L29" s="1431" t="str">
        <f t="shared" ca="1" si="25"/>
        <v/>
      </c>
      <c r="M29" s="3591" t="str">
        <f t="shared" ca="1" si="26"/>
        <v/>
      </c>
      <c r="N29" s="3592" t="str">
        <f t="shared" ca="1" si="6"/>
        <v/>
      </c>
      <c r="O29" s="1420" t="e">
        <f ca="1">IF(U29="",IF(Income_RentRollSource="Datappraise/Manual Entry",VLOOKUP($B29,Datappraise_RentRoll,5,FALSE),IF(OR(Income_TechniqueUsed="Direct Capitalization",Income_TechniqueUsed="Direct Cap &amp; DCF"),VLOOKUP('Rent Roll'!S29,'Income Assumptions'!$D$11:$H$19,5,FALSE),VLOOKUP('Rent Roll'!S29,'Income Assumptions'!$D$50:$O$57,6,FALSE))),U29)</f>
        <v>#N/A</v>
      </c>
      <c r="P29" s="3346"/>
      <c r="Q29" s="1377"/>
      <c r="R29" s="652"/>
      <c r="S29" s="2696" t="inlineStr">
        <is>
          <t xml:space="preserve">Industrial Office/Warehouse</t>
        </is>
      </c>
      <c r="T29" s="652"/>
      <c r="U29" s="2696"/>
      <c r="V29" s="652"/>
      <c r="W29" s="2696"/>
      <c r="X29" s="652"/>
      <c r="Y29" s="1580">
        <f t="shared" ca="1" si="7"/>
        <v>0</v>
      </c>
      <c r="Z29" s="1580">
        <f t="shared" ca="1" si="8"/>
        <v>0</v>
      </c>
      <c r="AA29" s="1580">
        <f t="shared" ca="1" si="9"/>
        <v>0</v>
      </c>
      <c r="AB29" s="1580">
        <f t="shared" ca="1" si="10"/>
        <v>0</v>
      </c>
      <c r="AC29" s="1580">
        <f t="shared" ca="1" si="11"/>
        <v>0</v>
      </c>
      <c r="AD29" s="1580">
        <f t="shared" ca="1" si="12"/>
        <v>0</v>
      </c>
      <c r="AE29" s="1580">
        <f t="shared" ca="1" si="13"/>
        <v>0</v>
      </c>
      <c r="AF29" s="1581">
        <f t="shared" ca="1" si="14"/>
        <v>0</v>
      </c>
      <c r="AG29" s="194"/>
      <c r="AH29" s="1579" t="str">
        <f t="shared" ca="1" si="15"/>
        <v/>
      </c>
      <c r="AI29" s="1580" t="str">
        <f t="shared" ca="1" si="16"/>
        <v/>
      </c>
      <c r="AJ29" s="1581" t="str">
        <f t="shared" ca="1" si="17"/>
        <v/>
      </c>
      <c r="AK29" s="194"/>
      <c r="AL29" s="1582">
        <f t="shared" ca="1" si="18"/>
        <v>0</v>
      </c>
      <c r="AM29" s="209"/>
      <c r="AN29" s="1582">
        <f t="shared" ca="1" si="19"/>
        <v>0</v>
      </c>
      <c r="AO29" s="209"/>
      <c r="AP29" s="1582">
        <f t="shared" ca="1" si="20"/>
        <v>0</v>
      </c>
      <c r="AQ29" s="209"/>
      <c r="AR29" s="1582">
        <f t="shared" ca="1" si="21"/>
        <v>0</v>
      </c>
      <c r="AS29" s="194"/>
      <c r="AT29" s="1582">
        <f t="shared" ca="1" si="22"/>
        <v>0</v>
      </c>
      <c r="AU29" s="194"/>
      <c r="AV29" s="194"/>
      <c r="AW29" s="194"/>
      <c r="AX29" s="194"/>
      <c r="AY29" s="194"/>
    </row>
    <row r="30" spans="1:51" s="2699" customFormat="1" ht="18" hidden="1" customHeight="1" x14ac:dyDescent="0.25">
      <c r="A30" s="972">
        <f t="shared" ca="1" si="23"/>
        <v>0</v>
      </c>
      <c r="B30" s="707">
        <f t="shared" si="28"/>
        <v>24</v>
      </c>
      <c r="C30" s="1376"/>
      <c r="D30" s="3346"/>
      <c r="E30" s="3346" t="str">
        <f t="shared" ca="1" si="0"/>
        <v/>
      </c>
      <c r="F30" s="1448" t="str">
        <f t="shared" ca="1" si="1"/>
        <v/>
      </c>
      <c r="G30" s="1418" t="str">
        <f t="shared" ca="1" si="2"/>
        <v/>
      </c>
      <c r="H30" s="3589" t="str">
        <f t="shared" ca="1" si="3"/>
        <v/>
      </c>
      <c r="I30" s="3589" t="str">
        <f t="shared" ca="1" si="4"/>
        <v/>
      </c>
      <c r="J30" s="3590" t="str">
        <f t="shared" ca="1" si="24"/>
        <v/>
      </c>
      <c r="K30" s="1422" t="str">
        <f t="shared" ca="1" si="5"/>
        <v/>
      </c>
      <c r="L30" s="1431" t="str">
        <f t="shared" ca="1" si="25"/>
        <v/>
      </c>
      <c r="M30" s="3591" t="str">
        <f t="shared" ca="1" si="26"/>
        <v/>
      </c>
      <c r="N30" s="3592" t="str">
        <f t="shared" ca="1" si="6"/>
        <v/>
      </c>
      <c r="O30" s="1420" t="e">
        <f ca="1">IF(U30="",IF(Income_RentRollSource="Datappraise/Manual Entry",VLOOKUP($B30,Datappraise_RentRoll,5,FALSE),IF(OR(Income_TechniqueUsed="Direct Capitalization",Income_TechniqueUsed="Direct Cap &amp; DCF"),VLOOKUP('Rent Roll'!S30,'Income Assumptions'!$D$11:$H$19,5,FALSE),VLOOKUP('Rent Roll'!S30,'Income Assumptions'!$D$50:$O$57,6,FALSE))),U30)</f>
        <v>#N/A</v>
      </c>
      <c r="P30" s="3346"/>
      <c r="Q30" s="1377"/>
      <c r="R30" s="652"/>
      <c r="S30" s="2696" t="inlineStr">
        <is>
          <t xml:space="preserve">Industrial Office/Warehouse</t>
        </is>
      </c>
      <c r="T30" s="652"/>
      <c r="U30" s="2696"/>
      <c r="V30" s="652"/>
      <c r="W30" s="2696"/>
      <c r="X30" s="652"/>
      <c r="Y30" s="1580">
        <f t="shared" ca="1" si="7"/>
        <v>0</v>
      </c>
      <c r="Z30" s="1580">
        <f t="shared" ca="1" si="8"/>
        <v>0</v>
      </c>
      <c r="AA30" s="1580">
        <f t="shared" ca="1" si="9"/>
        <v>0</v>
      </c>
      <c r="AB30" s="1580">
        <f t="shared" ca="1" si="10"/>
        <v>0</v>
      </c>
      <c r="AC30" s="1580">
        <f t="shared" ca="1" si="11"/>
        <v>0</v>
      </c>
      <c r="AD30" s="1580">
        <f t="shared" ca="1" si="12"/>
        <v>0</v>
      </c>
      <c r="AE30" s="1580">
        <f t="shared" ca="1" si="13"/>
        <v>0</v>
      </c>
      <c r="AF30" s="1581">
        <f t="shared" ca="1" si="14"/>
        <v>0</v>
      </c>
      <c r="AG30" s="194"/>
      <c r="AH30" s="1579" t="str">
        <f t="shared" ca="1" si="15"/>
        <v/>
      </c>
      <c r="AI30" s="1580" t="str">
        <f t="shared" ca="1" si="16"/>
        <v/>
      </c>
      <c r="AJ30" s="1581" t="str">
        <f t="shared" ca="1" si="17"/>
        <v/>
      </c>
      <c r="AK30" s="194"/>
      <c r="AL30" s="1582">
        <f t="shared" ca="1" si="18"/>
        <v>0</v>
      </c>
      <c r="AM30" s="209"/>
      <c r="AN30" s="1582">
        <f t="shared" ca="1" si="19"/>
        <v>0</v>
      </c>
      <c r="AO30" s="209"/>
      <c r="AP30" s="1582">
        <f t="shared" ca="1" si="20"/>
        <v>0</v>
      </c>
      <c r="AQ30" s="209"/>
      <c r="AR30" s="1582">
        <f t="shared" ca="1" si="21"/>
        <v>0</v>
      </c>
      <c r="AS30" s="194"/>
      <c r="AT30" s="1582">
        <f t="shared" ca="1" si="22"/>
        <v>0</v>
      </c>
      <c r="AU30" s="194"/>
      <c r="AV30" s="194"/>
      <c r="AW30" s="194"/>
      <c r="AX30" s="194"/>
      <c r="AY30" s="194"/>
    </row>
    <row r="31" spans="1:51" s="2699" customFormat="1" ht="18" hidden="1" customHeight="1" x14ac:dyDescent="0.25">
      <c r="A31" s="972">
        <f t="shared" ca="1" si="23"/>
        <v>0</v>
      </c>
      <c r="B31" s="707">
        <f t="shared" si="28"/>
        <v>25</v>
      </c>
      <c r="C31" s="1376"/>
      <c r="D31" s="3346"/>
      <c r="E31" s="3346" t="str">
        <f t="shared" ca="1" si="0"/>
        <v/>
      </c>
      <c r="F31" s="1448" t="str">
        <f t="shared" ca="1" si="1"/>
        <v/>
      </c>
      <c r="G31" s="1418" t="str">
        <f t="shared" ca="1" si="2"/>
        <v/>
      </c>
      <c r="H31" s="3589" t="str">
        <f t="shared" ca="1" si="3"/>
        <v/>
      </c>
      <c r="I31" s="3589" t="str">
        <f t="shared" ca="1" si="4"/>
        <v/>
      </c>
      <c r="J31" s="3590" t="str">
        <f t="shared" ca="1" si="24"/>
        <v/>
      </c>
      <c r="K31" s="1422" t="str">
        <f t="shared" ca="1" si="5"/>
        <v/>
      </c>
      <c r="L31" s="1431" t="str">
        <f t="shared" ca="1" si="25"/>
        <v/>
      </c>
      <c r="M31" s="3591" t="str">
        <f t="shared" ca="1" si="26"/>
        <v/>
      </c>
      <c r="N31" s="3592" t="str">
        <f t="shared" ca="1" si="6"/>
        <v/>
      </c>
      <c r="O31" s="1420" t="e">
        <f ca="1">IF(U31="",IF(Income_RentRollSource="Datappraise/Manual Entry",VLOOKUP($B31,Datappraise_RentRoll,5,FALSE),IF(OR(Income_TechniqueUsed="Direct Capitalization",Income_TechniqueUsed="Direct Cap &amp; DCF"),VLOOKUP('Rent Roll'!S31,'Income Assumptions'!$D$11:$H$19,5,FALSE),VLOOKUP('Rent Roll'!S31,'Income Assumptions'!$D$50:$O$57,6,FALSE))),U31)</f>
        <v>#N/A</v>
      </c>
      <c r="P31" s="3346"/>
      <c r="Q31" s="1377"/>
      <c r="R31" s="652"/>
      <c r="S31" s="2696" t="inlineStr">
        <is>
          <t xml:space="preserve">Industrial Office/Warehouse</t>
        </is>
      </c>
      <c r="T31" s="652"/>
      <c r="U31" s="2696"/>
      <c r="V31" s="652"/>
      <c r="W31" s="2696"/>
      <c r="X31" s="652"/>
      <c r="Y31" s="1580">
        <f t="shared" ca="1" si="7"/>
        <v>0</v>
      </c>
      <c r="Z31" s="1580">
        <f t="shared" ca="1" si="8"/>
        <v>0</v>
      </c>
      <c r="AA31" s="1580">
        <f t="shared" ca="1" si="9"/>
        <v>0</v>
      </c>
      <c r="AB31" s="1580">
        <f t="shared" ca="1" si="10"/>
        <v>0</v>
      </c>
      <c r="AC31" s="1580">
        <f t="shared" ca="1" si="11"/>
        <v>0</v>
      </c>
      <c r="AD31" s="1580">
        <f t="shared" ca="1" si="12"/>
        <v>0</v>
      </c>
      <c r="AE31" s="1580">
        <f t="shared" ca="1" si="13"/>
        <v>0</v>
      </c>
      <c r="AF31" s="1581">
        <f t="shared" ca="1" si="14"/>
        <v>0</v>
      </c>
      <c r="AG31" s="194"/>
      <c r="AH31" s="1579" t="str">
        <f t="shared" ca="1" si="15"/>
        <v/>
      </c>
      <c r="AI31" s="1580" t="str">
        <f t="shared" ca="1" si="16"/>
        <v/>
      </c>
      <c r="AJ31" s="1581" t="str">
        <f t="shared" ca="1" si="17"/>
        <v/>
      </c>
      <c r="AK31" s="194"/>
      <c r="AL31" s="1582">
        <f t="shared" ca="1" si="18"/>
        <v>0</v>
      </c>
      <c r="AM31" s="209"/>
      <c r="AN31" s="1582">
        <f t="shared" ca="1" si="19"/>
        <v>0</v>
      </c>
      <c r="AO31" s="209"/>
      <c r="AP31" s="1582">
        <f t="shared" ca="1" si="20"/>
        <v>0</v>
      </c>
      <c r="AQ31" s="209"/>
      <c r="AR31" s="1582">
        <f t="shared" ca="1" si="21"/>
        <v>0</v>
      </c>
      <c r="AS31" s="194"/>
      <c r="AT31" s="1582">
        <f t="shared" ca="1" si="22"/>
        <v>0</v>
      </c>
      <c r="AU31" s="194"/>
      <c r="AV31" s="194"/>
      <c r="AW31" s="194"/>
      <c r="AX31" s="194"/>
      <c r="AY31" s="194"/>
    </row>
    <row r="32" spans="1:51" s="2699" customFormat="1" ht="18" hidden="1" customHeight="1" x14ac:dyDescent="0.25">
      <c r="A32" s="972">
        <f t="shared" ca="1" si="23"/>
        <v>0</v>
      </c>
      <c r="B32" s="707">
        <f t="shared" si="28"/>
        <v>26</v>
      </c>
      <c r="C32" s="1376"/>
      <c r="D32" s="3346"/>
      <c r="E32" s="3346" t="str">
        <f t="shared" ca="1" si="0"/>
        <v/>
      </c>
      <c r="F32" s="1448" t="str">
        <f t="shared" ca="1" si="1"/>
        <v/>
      </c>
      <c r="G32" s="1418" t="str">
        <f t="shared" ca="1" si="2"/>
        <v/>
      </c>
      <c r="H32" s="3589" t="str">
        <f t="shared" ca="1" si="3"/>
        <v/>
      </c>
      <c r="I32" s="3589" t="str">
        <f t="shared" ca="1" si="4"/>
        <v/>
      </c>
      <c r="J32" s="3590" t="str">
        <f t="shared" ca="1" si="24"/>
        <v/>
      </c>
      <c r="K32" s="1422" t="str">
        <f t="shared" ca="1" si="5"/>
        <v/>
      </c>
      <c r="L32" s="1431" t="str">
        <f t="shared" ca="1" si="25"/>
        <v/>
      </c>
      <c r="M32" s="3591" t="str">
        <f t="shared" ca="1" si="26"/>
        <v/>
      </c>
      <c r="N32" s="3592" t="str">
        <f t="shared" ca="1" si="6"/>
        <v/>
      </c>
      <c r="O32" s="1420" t="e">
        <f ca="1">IF(U32="",IF(Income_RentRollSource="Datappraise/Manual Entry",VLOOKUP($B32,Datappraise_RentRoll,5,FALSE),IF(OR(Income_TechniqueUsed="Direct Capitalization",Income_TechniqueUsed="Direct Cap &amp; DCF"),VLOOKUP('Rent Roll'!S32,'Income Assumptions'!$D$11:$H$19,5,FALSE),VLOOKUP('Rent Roll'!S32,'Income Assumptions'!$D$50:$O$57,6,FALSE))),U32)</f>
        <v>#N/A</v>
      </c>
      <c r="P32" s="3346"/>
      <c r="Q32" s="1377"/>
      <c r="R32" s="652"/>
      <c r="S32" s="2696" t="inlineStr">
        <is>
          <t xml:space="preserve">Industrial Office/Warehouse</t>
        </is>
      </c>
      <c r="T32" s="652"/>
      <c r="U32" s="2696"/>
      <c r="V32" s="652"/>
      <c r="W32" s="2696"/>
      <c r="X32" s="652"/>
      <c r="Y32" s="1580">
        <f t="shared" ca="1" si="7"/>
        <v>0</v>
      </c>
      <c r="Z32" s="1580">
        <f t="shared" ca="1" si="8"/>
        <v>0</v>
      </c>
      <c r="AA32" s="1580">
        <f t="shared" ca="1" si="9"/>
        <v>0</v>
      </c>
      <c r="AB32" s="1580">
        <f t="shared" ca="1" si="10"/>
        <v>0</v>
      </c>
      <c r="AC32" s="1580">
        <f t="shared" ca="1" si="11"/>
        <v>0</v>
      </c>
      <c r="AD32" s="1580">
        <f t="shared" ca="1" si="12"/>
        <v>0</v>
      </c>
      <c r="AE32" s="1580">
        <f t="shared" ca="1" si="13"/>
        <v>0</v>
      </c>
      <c r="AF32" s="1581">
        <f t="shared" ca="1" si="14"/>
        <v>0</v>
      </c>
      <c r="AG32" s="194"/>
      <c r="AH32" s="1579" t="str">
        <f t="shared" ca="1" si="15"/>
        <v/>
      </c>
      <c r="AI32" s="1580" t="str">
        <f t="shared" ca="1" si="16"/>
        <v/>
      </c>
      <c r="AJ32" s="1581" t="str">
        <f t="shared" ca="1" si="17"/>
        <v/>
      </c>
      <c r="AK32" s="194"/>
      <c r="AL32" s="1582">
        <f t="shared" ca="1" si="18"/>
        <v>0</v>
      </c>
      <c r="AM32" s="209"/>
      <c r="AN32" s="1582">
        <f t="shared" ca="1" si="19"/>
        <v>0</v>
      </c>
      <c r="AO32" s="209"/>
      <c r="AP32" s="1582">
        <f t="shared" ca="1" si="20"/>
        <v>0</v>
      </c>
      <c r="AQ32" s="209"/>
      <c r="AR32" s="1582">
        <f t="shared" ca="1" si="21"/>
        <v>0</v>
      </c>
      <c r="AS32" s="194"/>
      <c r="AT32" s="1582">
        <f t="shared" ca="1" si="22"/>
        <v>0</v>
      </c>
      <c r="AU32" s="194"/>
      <c r="AV32" s="194"/>
      <c r="AW32" s="194"/>
      <c r="AX32" s="194"/>
      <c r="AY32" s="194"/>
    </row>
    <row r="33" spans="1:51" s="2699" customFormat="1" ht="18" hidden="1" customHeight="1" x14ac:dyDescent="0.25">
      <c r="A33" s="972">
        <f t="shared" ca="1" si="23"/>
        <v>0</v>
      </c>
      <c r="B33" s="707">
        <f t="shared" si="28"/>
        <v>27</v>
      </c>
      <c r="C33" s="1376"/>
      <c r="D33" s="3346"/>
      <c r="E33" s="3346" t="str">
        <f t="shared" ca="1" si="0"/>
        <v/>
      </c>
      <c r="F33" s="1448" t="str">
        <f t="shared" ca="1" si="1"/>
        <v/>
      </c>
      <c r="G33" s="1418" t="str">
        <f t="shared" ca="1" si="2"/>
        <v/>
      </c>
      <c r="H33" s="3589" t="str">
        <f t="shared" ca="1" si="3"/>
        <v/>
      </c>
      <c r="I33" s="3589" t="str">
        <f t="shared" ca="1" si="4"/>
        <v/>
      </c>
      <c r="J33" s="3590" t="str">
        <f t="shared" ca="1" si="24"/>
        <v/>
      </c>
      <c r="K33" s="1422" t="str">
        <f t="shared" ca="1" si="5"/>
        <v/>
      </c>
      <c r="L33" s="1431" t="str">
        <f t="shared" ca="1" si="25"/>
        <v/>
      </c>
      <c r="M33" s="3591" t="str">
        <f t="shared" ca="1" si="26"/>
        <v/>
      </c>
      <c r="N33" s="3592" t="str">
        <f t="shared" ca="1" si="6"/>
        <v/>
      </c>
      <c r="O33" s="1420" t="e">
        <f ca="1">IF(U33="",IF(Income_RentRollSource="Datappraise/Manual Entry",VLOOKUP($B33,Datappraise_RentRoll,5,FALSE),IF(OR(Income_TechniqueUsed="Direct Capitalization",Income_TechniqueUsed="Direct Cap &amp; DCF"),VLOOKUP('Rent Roll'!S33,'Income Assumptions'!$D$11:$H$19,5,FALSE),VLOOKUP('Rent Roll'!S33,'Income Assumptions'!$D$50:$O$57,6,FALSE))),U33)</f>
        <v>#N/A</v>
      </c>
      <c r="P33" s="3346"/>
      <c r="Q33" s="1377"/>
      <c r="R33" s="652"/>
      <c r="S33" s="2696" t="inlineStr">
        <is>
          <t xml:space="preserve">Industrial Office/Warehouse</t>
        </is>
      </c>
      <c r="T33" s="652"/>
      <c r="U33" s="2696"/>
      <c r="V33" s="652"/>
      <c r="W33" s="2696"/>
      <c r="X33" s="652"/>
      <c r="Y33" s="1580">
        <f t="shared" ca="1" si="7"/>
        <v>0</v>
      </c>
      <c r="Z33" s="1580">
        <f t="shared" ca="1" si="8"/>
        <v>0</v>
      </c>
      <c r="AA33" s="1580">
        <f t="shared" ca="1" si="9"/>
        <v>0</v>
      </c>
      <c r="AB33" s="1580">
        <f t="shared" ca="1" si="10"/>
        <v>0</v>
      </c>
      <c r="AC33" s="1580">
        <f t="shared" ca="1" si="11"/>
        <v>0</v>
      </c>
      <c r="AD33" s="1580">
        <f t="shared" ca="1" si="12"/>
        <v>0</v>
      </c>
      <c r="AE33" s="1580">
        <f t="shared" ca="1" si="13"/>
        <v>0</v>
      </c>
      <c r="AF33" s="1581">
        <f t="shared" ca="1" si="14"/>
        <v>0</v>
      </c>
      <c r="AG33" s="194"/>
      <c r="AH33" s="1579" t="str">
        <f t="shared" ca="1" si="15"/>
        <v/>
      </c>
      <c r="AI33" s="1580" t="str">
        <f t="shared" ca="1" si="16"/>
        <v/>
      </c>
      <c r="AJ33" s="1581" t="str">
        <f t="shared" ca="1" si="17"/>
        <v/>
      </c>
      <c r="AK33" s="194"/>
      <c r="AL33" s="1582">
        <f t="shared" ca="1" si="18"/>
        <v>0</v>
      </c>
      <c r="AM33" s="209"/>
      <c r="AN33" s="1582">
        <f t="shared" ca="1" si="19"/>
        <v>0</v>
      </c>
      <c r="AO33" s="209"/>
      <c r="AP33" s="1582">
        <f t="shared" ca="1" si="20"/>
        <v>0</v>
      </c>
      <c r="AQ33" s="209"/>
      <c r="AR33" s="1582">
        <f t="shared" ca="1" si="21"/>
        <v>0</v>
      </c>
      <c r="AS33" s="194"/>
      <c r="AT33" s="1582">
        <f t="shared" ca="1" si="22"/>
        <v>0</v>
      </c>
      <c r="AU33" s="194"/>
      <c r="AV33" s="194"/>
      <c r="AW33" s="194"/>
      <c r="AX33" s="194"/>
      <c r="AY33" s="194"/>
    </row>
    <row r="34" spans="1:51" s="2699" customFormat="1" ht="18" hidden="1" customHeight="1" x14ac:dyDescent="0.25">
      <c r="A34" s="972">
        <f t="shared" ca="1" si="23"/>
        <v>0</v>
      </c>
      <c r="B34" s="707">
        <f t="shared" si="28"/>
        <v>28</v>
      </c>
      <c r="C34" s="1376"/>
      <c r="D34" s="3346"/>
      <c r="E34" s="3346" t="str">
        <f t="shared" ca="1" si="0"/>
        <v/>
      </c>
      <c r="F34" s="1448" t="str">
        <f t="shared" ca="1" si="1"/>
        <v/>
      </c>
      <c r="G34" s="1418" t="str">
        <f t="shared" ca="1" si="2"/>
        <v/>
      </c>
      <c r="H34" s="3589" t="str">
        <f t="shared" ca="1" si="3"/>
        <v/>
      </c>
      <c r="I34" s="3589" t="str">
        <f t="shared" ca="1" si="4"/>
        <v/>
      </c>
      <c r="J34" s="3590" t="str">
        <f t="shared" ca="1" si="24"/>
        <v/>
      </c>
      <c r="K34" s="1422" t="str">
        <f t="shared" ca="1" si="5"/>
        <v/>
      </c>
      <c r="L34" s="1431" t="str">
        <f t="shared" ca="1" si="25"/>
        <v/>
      </c>
      <c r="M34" s="3591" t="str">
        <f t="shared" ca="1" si="26"/>
        <v/>
      </c>
      <c r="N34" s="3592" t="str">
        <f t="shared" ca="1" si="6"/>
        <v/>
      </c>
      <c r="O34" s="1420" t="e">
        <f ca="1">IF(U34="",IF(Income_RentRollSource="Datappraise/Manual Entry",VLOOKUP($B34,Datappraise_RentRoll,5,FALSE),IF(OR(Income_TechniqueUsed="Direct Capitalization",Income_TechniqueUsed="Direct Cap &amp; DCF"),VLOOKUP('Rent Roll'!S34,'Income Assumptions'!$D$11:$H$19,5,FALSE),VLOOKUP('Rent Roll'!S34,'Income Assumptions'!$D$50:$O$57,6,FALSE))),U34)</f>
        <v>#N/A</v>
      </c>
      <c r="P34" s="3346"/>
      <c r="Q34" s="1377"/>
      <c r="R34" s="652"/>
      <c r="S34" s="2696" t="inlineStr">
        <is>
          <t xml:space="preserve">Industrial Office/Warehouse</t>
        </is>
      </c>
      <c r="T34" s="652"/>
      <c r="U34" s="2696"/>
      <c r="V34" s="652"/>
      <c r="W34" s="2696"/>
      <c r="X34" s="652"/>
      <c r="Y34" s="1580">
        <f t="shared" ca="1" si="7"/>
        <v>0</v>
      </c>
      <c r="Z34" s="1580">
        <f t="shared" ca="1" si="8"/>
        <v>0</v>
      </c>
      <c r="AA34" s="1580">
        <f t="shared" ca="1" si="9"/>
        <v>0</v>
      </c>
      <c r="AB34" s="1580">
        <f t="shared" ca="1" si="10"/>
        <v>0</v>
      </c>
      <c r="AC34" s="1580">
        <f t="shared" ca="1" si="11"/>
        <v>0</v>
      </c>
      <c r="AD34" s="1580">
        <f t="shared" ca="1" si="12"/>
        <v>0</v>
      </c>
      <c r="AE34" s="1580">
        <f t="shared" ca="1" si="13"/>
        <v>0</v>
      </c>
      <c r="AF34" s="1581">
        <f t="shared" ca="1" si="14"/>
        <v>0</v>
      </c>
      <c r="AG34" s="194"/>
      <c r="AH34" s="1579" t="str">
        <f t="shared" ca="1" si="15"/>
        <v/>
      </c>
      <c r="AI34" s="1580" t="str">
        <f t="shared" ca="1" si="16"/>
        <v/>
      </c>
      <c r="AJ34" s="1581" t="str">
        <f t="shared" ca="1" si="17"/>
        <v/>
      </c>
      <c r="AK34" s="194"/>
      <c r="AL34" s="1582">
        <f t="shared" ca="1" si="18"/>
        <v>0</v>
      </c>
      <c r="AM34" s="209"/>
      <c r="AN34" s="1582">
        <f t="shared" ca="1" si="19"/>
        <v>0</v>
      </c>
      <c r="AO34" s="209"/>
      <c r="AP34" s="1582">
        <f t="shared" ca="1" si="20"/>
        <v>0</v>
      </c>
      <c r="AQ34" s="209"/>
      <c r="AR34" s="1582">
        <f t="shared" ca="1" si="21"/>
        <v>0</v>
      </c>
      <c r="AS34" s="194"/>
      <c r="AT34" s="1582">
        <f t="shared" ca="1" si="22"/>
        <v>0</v>
      </c>
      <c r="AU34" s="194"/>
      <c r="AV34" s="194"/>
      <c r="AW34" s="194"/>
      <c r="AX34" s="194"/>
      <c r="AY34" s="194"/>
    </row>
    <row r="35" spans="1:51" s="2699" customFormat="1" ht="18" hidden="1" customHeight="1" x14ac:dyDescent="0.25">
      <c r="A35" s="972">
        <f t="shared" ca="1" si="23"/>
        <v>0</v>
      </c>
      <c r="B35" s="707">
        <f t="shared" si="28"/>
        <v>29</v>
      </c>
      <c r="C35" s="1376"/>
      <c r="D35" s="3346"/>
      <c r="E35" s="3346" t="str">
        <f t="shared" ca="1" si="0"/>
        <v/>
      </c>
      <c r="F35" s="1448" t="str">
        <f t="shared" ca="1" si="1"/>
        <v/>
      </c>
      <c r="G35" s="1418" t="str">
        <f t="shared" ca="1" si="2"/>
        <v/>
      </c>
      <c r="H35" s="3589" t="str">
        <f t="shared" ca="1" si="3"/>
        <v/>
      </c>
      <c r="I35" s="3589" t="str">
        <f t="shared" ca="1" si="4"/>
        <v/>
      </c>
      <c r="J35" s="3590" t="str">
        <f t="shared" ca="1" si="24"/>
        <v/>
      </c>
      <c r="K35" s="1422" t="str">
        <f t="shared" ca="1" si="5"/>
        <v/>
      </c>
      <c r="L35" s="1431" t="str">
        <f t="shared" ca="1" si="25"/>
        <v/>
      </c>
      <c r="M35" s="3591" t="str">
        <f t="shared" ca="1" si="26"/>
        <v/>
      </c>
      <c r="N35" s="3592" t="str">
        <f t="shared" ca="1" si="6"/>
        <v/>
      </c>
      <c r="O35" s="1420" t="e">
        <f ca="1">IF(U35="",IF(Income_RentRollSource="Datappraise/Manual Entry",VLOOKUP($B35,Datappraise_RentRoll,5,FALSE),IF(OR(Income_TechniqueUsed="Direct Capitalization",Income_TechniqueUsed="Direct Cap &amp; DCF"),VLOOKUP('Rent Roll'!S35,'Income Assumptions'!$D$11:$H$19,5,FALSE),VLOOKUP('Rent Roll'!S35,'Income Assumptions'!$D$50:$O$57,6,FALSE))),U35)</f>
        <v>#N/A</v>
      </c>
      <c r="P35" s="3346"/>
      <c r="Q35" s="1377"/>
      <c r="R35" s="652"/>
      <c r="S35" s="2696" t="inlineStr">
        <is>
          <t xml:space="preserve">Industrial Office/Warehouse</t>
        </is>
      </c>
      <c r="T35" s="652"/>
      <c r="U35" s="2696"/>
      <c r="V35" s="652"/>
      <c r="W35" s="2696"/>
      <c r="X35" s="652"/>
      <c r="Y35" s="1580">
        <f t="shared" ca="1" si="7"/>
        <v>0</v>
      </c>
      <c r="Z35" s="1580">
        <f t="shared" ca="1" si="8"/>
        <v>0</v>
      </c>
      <c r="AA35" s="1580">
        <f t="shared" ca="1" si="9"/>
        <v>0</v>
      </c>
      <c r="AB35" s="1580">
        <f t="shared" ca="1" si="10"/>
        <v>0</v>
      </c>
      <c r="AC35" s="1580">
        <f t="shared" ca="1" si="11"/>
        <v>0</v>
      </c>
      <c r="AD35" s="1580">
        <f t="shared" ca="1" si="12"/>
        <v>0</v>
      </c>
      <c r="AE35" s="1580">
        <f t="shared" ca="1" si="13"/>
        <v>0</v>
      </c>
      <c r="AF35" s="1581">
        <f t="shared" ca="1" si="14"/>
        <v>0</v>
      </c>
      <c r="AG35" s="194"/>
      <c r="AH35" s="1579" t="str">
        <f t="shared" ca="1" si="15"/>
        <v/>
      </c>
      <c r="AI35" s="1580" t="str">
        <f t="shared" ca="1" si="16"/>
        <v/>
      </c>
      <c r="AJ35" s="1581" t="str">
        <f t="shared" ca="1" si="17"/>
        <v/>
      </c>
      <c r="AK35" s="194"/>
      <c r="AL35" s="1582">
        <f t="shared" ca="1" si="18"/>
        <v>0</v>
      </c>
      <c r="AM35" s="209"/>
      <c r="AN35" s="1582">
        <f t="shared" ca="1" si="19"/>
        <v>0</v>
      </c>
      <c r="AO35" s="209"/>
      <c r="AP35" s="1582">
        <f t="shared" ca="1" si="20"/>
        <v>0</v>
      </c>
      <c r="AQ35" s="209"/>
      <c r="AR35" s="1582">
        <f t="shared" ca="1" si="21"/>
        <v>0</v>
      </c>
      <c r="AS35" s="194"/>
      <c r="AT35" s="1582">
        <f t="shared" ca="1" si="22"/>
        <v>0</v>
      </c>
      <c r="AU35" s="194"/>
      <c r="AV35" s="194"/>
      <c r="AW35" s="194"/>
      <c r="AX35" s="194"/>
      <c r="AY35" s="194"/>
    </row>
    <row r="36" spans="1:51" s="2699" customFormat="1" ht="18" hidden="1" customHeight="1" x14ac:dyDescent="0.25">
      <c r="A36" s="972">
        <f t="shared" ca="1" si="23"/>
        <v>0</v>
      </c>
      <c r="B36" s="707">
        <f t="shared" si="28"/>
        <v>30</v>
      </c>
      <c r="C36" s="1376"/>
      <c r="D36" s="3346"/>
      <c r="E36" s="3346" t="str">
        <f t="shared" ca="1" si="0"/>
        <v/>
      </c>
      <c r="F36" s="1448" t="str">
        <f t="shared" ca="1" si="1"/>
        <v/>
      </c>
      <c r="G36" s="1418" t="str">
        <f t="shared" ca="1" si="2"/>
        <v/>
      </c>
      <c r="H36" s="3589" t="str">
        <f t="shared" ca="1" si="3"/>
        <v/>
      </c>
      <c r="I36" s="3589" t="str">
        <f t="shared" ca="1" si="4"/>
        <v/>
      </c>
      <c r="J36" s="3590" t="str">
        <f t="shared" ca="1" si="24"/>
        <v/>
      </c>
      <c r="K36" s="1422" t="str">
        <f t="shared" ca="1" si="5"/>
        <v/>
      </c>
      <c r="L36" s="1431" t="str">
        <f t="shared" ca="1" si="25"/>
        <v/>
      </c>
      <c r="M36" s="3591" t="str">
        <f t="shared" ca="1" si="26"/>
        <v/>
      </c>
      <c r="N36" s="3592" t="str">
        <f t="shared" ca="1" si="6"/>
        <v/>
      </c>
      <c r="O36" s="1420" t="e">
        <f ca="1">IF(U36="",IF(Income_RentRollSource="Datappraise/Manual Entry",VLOOKUP($B36,Datappraise_RentRoll,5,FALSE),IF(OR(Income_TechniqueUsed="Direct Capitalization",Income_TechniqueUsed="Direct Cap &amp; DCF"),VLOOKUP('Rent Roll'!S36,'Income Assumptions'!$D$11:$H$19,5,FALSE),VLOOKUP('Rent Roll'!S36,'Income Assumptions'!$D$50:$O$57,6,FALSE))),U36)</f>
        <v>#N/A</v>
      </c>
      <c r="P36" s="3346"/>
      <c r="Q36" s="1377"/>
      <c r="R36" s="652"/>
      <c r="S36" s="2696" t="inlineStr">
        <is>
          <t xml:space="preserve">Industrial Office/Warehouse</t>
        </is>
      </c>
      <c r="T36" s="652"/>
      <c r="U36" s="2696"/>
      <c r="V36" s="652"/>
      <c r="W36" s="2696"/>
      <c r="X36" s="652"/>
      <c r="Y36" s="1580">
        <f t="shared" ca="1" si="7"/>
        <v>0</v>
      </c>
      <c r="Z36" s="1580">
        <f t="shared" ca="1" si="8"/>
        <v>0</v>
      </c>
      <c r="AA36" s="1580">
        <f t="shared" ca="1" si="9"/>
        <v>0</v>
      </c>
      <c r="AB36" s="1580">
        <f t="shared" ca="1" si="10"/>
        <v>0</v>
      </c>
      <c r="AC36" s="1580">
        <f t="shared" ca="1" si="11"/>
        <v>0</v>
      </c>
      <c r="AD36" s="1580">
        <f t="shared" ca="1" si="12"/>
        <v>0</v>
      </c>
      <c r="AE36" s="1580">
        <f t="shared" ca="1" si="13"/>
        <v>0</v>
      </c>
      <c r="AF36" s="1581">
        <f t="shared" ca="1" si="14"/>
        <v>0</v>
      </c>
      <c r="AG36" s="194"/>
      <c r="AH36" s="1579" t="str">
        <f t="shared" ca="1" si="15"/>
        <v/>
      </c>
      <c r="AI36" s="1580" t="str">
        <f t="shared" ca="1" si="16"/>
        <v/>
      </c>
      <c r="AJ36" s="1581" t="str">
        <f t="shared" ca="1" si="17"/>
        <v/>
      </c>
      <c r="AK36" s="194"/>
      <c r="AL36" s="1582">
        <f t="shared" ca="1" si="18"/>
        <v>0</v>
      </c>
      <c r="AM36" s="209"/>
      <c r="AN36" s="1582">
        <f t="shared" ca="1" si="19"/>
        <v>0</v>
      </c>
      <c r="AO36" s="209"/>
      <c r="AP36" s="1582">
        <f t="shared" ca="1" si="20"/>
        <v>0</v>
      </c>
      <c r="AQ36" s="209"/>
      <c r="AR36" s="1582">
        <f t="shared" ca="1" si="21"/>
        <v>0</v>
      </c>
      <c r="AS36" s="194"/>
      <c r="AT36" s="1582">
        <f t="shared" ca="1" si="22"/>
        <v>0</v>
      </c>
      <c r="AU36" s="194"/>
      <c r="AV36" s="194"/>
      <c r="AW36" s="194"/>
      <c r="AX36" s="194"/>
      <c r="AY36" s="194"/>
    </row>
    <row r="37" spans="1:51" s="2699" customFormat="1" ht="18" hidden="1" customHeight="1" x14ac:dyDescent="0.25">
      <c r="A37" s="972">
        <f t="shared" ca="1" si="23"/>
        <v>0</v>
      </c>
      <c r="B37" s="707">
        <f t="shared" si="28"/>
        <v>31</v>
      </c>
      <c r="C37" s="1376"/>
      <c r="D37" s="3346"/>
      <c r="E37" s="3346" t="str">
        <f t="shared" ca="1" si="0"/>
        <v/>
      </c>
      <c r="F37" s="1448" t="str">
        <f t="shared" ca="1" si="1"/>
        <v/>
      </c>
      <c r="G37" s="1418" t="str">
        <f t="shared" ca="1" si="2"/>
        <v/>
      </c>
      <c r="H37" s="3589" t="str">
        <f t="shared" ca="1" si="3"/>
        <v/>
      </c>
      <c r="I37" s="3589" t="str">
        <f t="shared" ca="1" si="4"/>
        <v/>
      </c>
      <c r="J37" s="3590" t="str">
        <f t="shared" ca="1" si="24"/>
        <v/>
      </c>
      <c r="K37" s="1422" t="str">
        <f t="shared" ca="1" si="5"/>
        <v/>
      </c>
      <c r="L37" s="1431" t="str">
        <f t="shared" ca="1" si="25"/>
        <v/>
      </c>
      <c r="M37" s="3591" t="str">
        <f t="shared" ca="1" si="26"/>
        <v/>
      </c>
      <c r="N37" s="3592" t="str">
        <f t="shared" ca="1" si="6"/>
        <v/>
      </c>
      <c r="O37" s="1420" t="e">
        <f ca="1">IF(U37="",IF(Income_RentRollSource="Datappraise/Manual Entry",VLOOKUP($B37,Datappraise_RentRoll,5,FALSE),IF(OR(Income_TechniqueUsed="Direct Capitalization",Income_TechniqueUsed="Direct Cap &amp; DCF"),VLOOKUP('Rent Roll'!S37,'Income Assumptions'!$D$11:$H$19,5,FALSE),VLOOKUP('Rent Roll'!S37,'Income Assumptions'!$D$50:$O$57,6,FALSE))),U37)</f>
        <v>#N/A</v>
      </c>
      <c r="P37" s="3346"/>
      <c r="Q37" s="1377"/>
      <c r="R37" s="652"/>
      <c r="S37" s="2696" t="inlineStr">
        <is>
          <t xml:space="preserve">Industrial Office/Warehouse</t>
        </is>
      </c>
      <c r="T37" s="652"/>
      <c r="U37" s="2696"/>
      <c r="V37" s="652"/>
      <c r="W37" s="2696"/>
      <c r="X37" s="652"/>
      <c r="Y37" s="1580">
        <f t="shared" ca="1" si="7"/>
        <v>0</v>
      </c>
      <c r="Z37" s="1580">
        <f t="shared" ca="1" si="8"/>
        <v>0</v>
      </c>
      <c r="AA37" s="1580">
        <f t="shared" ca="1" si="9"/>
        <v>0</v>
      </c>
      <c r="AB37" s="1580">
        <f t="shared" ca="1" si="10"/>
        <v>0</v>
      </c>
      <c r="AC37" s="1580">
        <f t="shared" ca="1" si="11"/>
        <v>0</v>
      </c>
      <c r="AD37" s="1580">
        <f t="shared" ca="1" si="12"/>
        <v>0</v>
      </c>
      <c r="AE37" s="1580">
        <f t="shared" ca="1" si="13"/>
        <v>0</v>
      </c>
      <c r="AF37" s="1581">
        <f t="shared" ca="1" si="14"/>
        <v>0</v>
      </c>
      <c r="AG37" s="194"/>
      <c r="AH37" s="1579" t="str">
        <f t="shared" ca="1" si="15"/>
        <v/>
      </c>
      <c r="AI37" s="1580" t="str">
        <f t="shared" ca="1" si="16"/>
        <v/>
      </c>
      <c r="AJ37" s="1581" t="str">
        <f t="shared" ca="1" si="17"/>
        <v/>
      </c>
      <c r="AK37" s="194"/>
      <c r="AL37" s="1582">
        <f t="shared" ca="1" si="18"/>
        <v>0</v>
      </c>
      <c r="AM37" s="209"/>
      <c r="AN37" s="1582">
        <f t="shared" ca="1" si="19"/>
        <v>0</v>
      </c>
      <c r="AO37" s="209"/>
      <c r="AP37" s="1582">
        <f t="shared" ca="1" si="20"/>
        <v>0</v>
      </c>
      <c r="AQ37" s="209"/>
      <c r="AR37" s="1582">
        <f t="shared" ca="1" si="21"/>
        <v>0</v>
      </c>
      <c r="AS37" s="194"/>
      <c r="AT37" s="1582">
        <f t="shared" ca="1" si="22"/>
        <v>0</v>
      </c>
      <c r="AU37" s="194"/>
      <c r="AV37" s="194"/>
      <c r="AW37" s="194"/>
      <c r="AX37" s="194"/>
      <c r="AY37" s="194"/>
    </row>
    <row r="38" spans="1:51" s="2699" customFormat="1" ht="18" hidden="1" customHeight="1" x14ac:dyDescent="0.25">
      <c r="A38" s="972">
        <f t="shared" ca="1" si="23"/>
        <v>0</v>
      </c>
      <c r="B38" s="707">
        <f t="shared" si="28"/>
        <v>32</v>
      </c>
      <c r="C38" s="1376"/>
      <c r="D38" s="3346"/>
      <c r="E38" s="3346" t="str">
        <f t="shared" ca="1" si="0"/>
        <v/>
      </c>
      <c r="F38" s="1448" t="str">
        <f t="shared" ca="1" si="1"/>
        <v/>
      </c>
      <c r="G38" s="1418" t="str">
        <f t="shared" ca="1" si="2"/>
        <v/>
      </c>
      <c r="H38" s="3589" t="str">
        <f t="shared" ca="1" si="3"/>
        <v/>
      </c>
      <c r="I38" s="3589" t="str">
        <f t="shared" ca="1" si="4"/>
        <v/>
      </c>
      <c r="J38" s="3590" t="str">
        <f t="shared" ca="1" si="24"/>
        <v/>
      </c>
      <c r="K38" s="1422" t="str">
        <f t="shared" ca="1" si="5"/>
        <v/>
      </c>
      <c r="L38" s="1431" t="str">
        <f t="shared" ca="1" si="25"/>
        <v/>
      </c>
      <c r="M38" s="3591" t="str">
        <f t="shared" ca="1" si="26"/>
        <v/>
      </c>
      <c r="N38" s="3592" t="str">
        <f t="shared" ca="1" si="6"/>
        <v/>
      </c>
      <c r="O38" s="1420" t="e">
        <f ca="1">IF(U38="",IF(Income_RentRollSource="Datappraise/Manual Entry",VLOOKUP($B38,Datappraise_RentRoll,5,FALSE),IF(OR(Income_TechniqueUsed="Direct Capitalization",Income_TechniqueUsed="Direct Cap &amp; DCF"),VLOOKUP('Rent Roll'!S38,'Income Assumptions'!$D$11:$H$19,5,FALSE),VLOOKUP('Rent Roll'!S38,'Income Assumptions'!$D$50:$O$57,6,FALSE))),U38)</f>
        <v>#N/A</v>
      </c>
      <c r="P38" s="3346"/>
      <c r="Q38" s="1377"/>
      <c r="R38" s="652"/>
      <c r="S38" s="2696" t="inlineStr">
        <is>
          <t xml:space="preserve">Industrial Office/Warehouse</t>
        </is>
      </c>
      <c r="T38" s="652"/>
      <c r="U38" s="2696"/>
      <c r="V38" s="652"/>
      <c r="W38" s="2696"/>
      <c r="X38" s="652"/>
      <c r="Y38" s="1580">
        <f t="shared" ca="1" si="7"/>
        <v>0</v>
      </c>
      <c r="Z38" s="1580">
        <f t="shared" ca="1" si="8"/>
        <v>0</v>
      </c>
      <c r="AA38" s="1580">
        <f t="shared" ca="1" si="9"/>
        <v>0</v>
      </c>
      <c r="AB38" s="1580">
        <f t="shared" ca="1" si="10"/>
        <v>0</v>
      </c>
      <c r="AC38" s="1580">
        <f t="shared" ca="1" si="11"/>
        <v>0</v>
      </c>
      <c r="AD38" s="1580">
        <f t="shared" ca="1" si="12"/>
        <v>0</v>
      </c>
      <c r="AE38" s="1580">
        <f t="shared" ca="1" si="13"/>
        <v>0</v>
      </c>
      <c r="AF38" s="1581">
        <f t="shared" ca="1" si="14"/>
        <v>0</v>
      </c>
      <c r="AG38" s="194"/>
      <c r="AH38" s="1579" t="str">
        <f t="shared" ca="1" si="15"/>
        <v/>
      </c>
      <c r="AI38" s="1580" t="str">
        <f t="shared" ca="1" si="16"/>
        <v/>
      </c>
      <c r="AJ38" s="1581" t="str">
        <f t="shared" ca="1" si="17"/>
        <v/>
      </c>
      <c r="AK38" s="194"/>
      <c r="AL38" s="1582">
        <f t="shared" ca="1" si="18"/>
        <v>0</v>
      </c>
      <c r="AM38" s="209"/>
      <c r="AN38" s="1582">
        <f t="shared" ca="1" si="19"/>
        <v>0</v>
      </c>
      <c r="AO38" s="209"/>
      <c r="AP38" s="1582">
        <f t="shared" ca="1" si="20"/>
        <v>0</v>
      </c>
      <c r="AQ38" s="209"/>
      <c r="AR38" s="1582">
        <f t="shared" ca="1" si="21"/>
        <v>0</v>
      </c>
      <c r="AS38" s="194"/>
      <c r="AT38" s="1582">
        <f t="shared" ca="1" si="22"/>
        <v>0</v>
      </c>
      <c r="AU38" s="194"/>
      <c r="AV38" s="194"/>
      <c r="AW38" s="194"/>
      <c r="AX38" s="194"/>
      <c r="AY38" s="194"/>
    </row>
    <row r="39" spans="1:51" s="2699" customFormat="1" ht="18" hidden="1" customHeight="1" x14ac:dyDescent="0.25">
      <c r="A39" s="972">
        <f t="shared" ca="1" si="23"/>
        <v>0</v>
      </c>
      <c r="B39" s="707">
        <f t="shared" si="28"/>
        <v>33</v>
      </c>
      <c r="C39" s="1376"/>
      <c r="D39" s="3346"/>
      <c r="E39" s="3346" t="str">
        <f t="shared" ref="E39:E70" ca="1" si="29">IF(Income_RentRollSource="ARGUS",IF(OR(ISERROR(VLOOKUP($B39,ARGUS_TenantRentRollArray,2,FALSE)),ISNUMBER(SEARCH("Reabsorb",VLOOKUP($B39,ARGUS_TenantRentRollArray,2,FALSE)))),"",VLOOKUP($B39,ARGUS_TenantRentRollArray,2,FALSE)),IF(Datappraise_RentRoll_TenantCount&lt;B39,"",VLOOKUP($B39,Datappraise_RentRoll,2,FALSE)))</f>
        <v/>
      </c>
      <c r="F39" s="1448" t="str">
        <f t="shared" ref="F39:F70" ca="1" si="30">IF(Income_RentRollSource="ARGUS",IF(OR(ISERROR(VLOOKUP($B39,ARGUS_TenantRentRollArray,2,FALSE)),ISNUMBER(SEARCH("Reabsorb",VLOOKUP($B39,ARGUS_TenantRentRollArray,2,FALSE))),ISNUMBER(SEARCH("Vacant",VLOOKUP($B39,ARGUS_TenantRentRollArray,2,FALSE)))),"",VLOOKUP($B39,ARGUS_TenantRentRollArray,3,FALSE)),IF(Datappraise_RentRoll_TenantCount&lt;$B39,"",VLOOKUP($B39,Datappraise_RentRoll,3,FALSE)))</f>
        <v/>
      </c>
      <c r="G39" s="1418" t="str">
        <f t="shared" ref="G39:G70" ca="1" si="31">IF(Income_RentRollSource="ARGUS",IF(OR(ISERROR(VLOOKUP($B39,ARGUS_TenantRentRollArray,2,FALSE)),ISNUMBER(SEARCH("Reabsorb",VLOOKUP($B39,ARGUS_TenantRentRollArray,2,FALSE)))),"",IF(ISERROR(SEARCH("Vacant",E39)),IF(H39&gt;dpIncome_RentRoll_DOV,"Prospective Contract","Contract"),"Speculative")),IF(Datappraise_RentRoll_TenantCount&lt;$B39,"",IF(ISERROR(SEARCH("Vacant",E39)),IF(H39&gt;dpIncome_RentRoll_DOV,"Prospective Contract","Contract"),"Speculative")))</f>
        <v/>
      </c>
      <c r="H39" s="3589" t="str">
        <f t="shared" ref="H39:H70" ca="1" si="32">IF(Income_RentRollSource="ARGUS",IF(OR(ISERROR(VLOOKUP($B39,ARGUS_TenantRentRollArray,2,FALSE)),ISNUMBER(SEARCH("Reabsorb",VLOOKUP($B39,ARGUS_TenantRentRollArray,2,FALSE)))),"",VLOOKUP($B39,ARGUS_TenantRentRollArray,8,FALSE))+0,IF(Datappraise_RentRoll_TenantCount&lt;$B39,"",VLOOKUP($B39,Datappraise_RentRoll,10,FALSE)))</f>
        <v/>
      </c>
      <c r="I39" s="3589" t="str">
        <f t="shared" ref="I39:I70" ca="1" si="33">IF(Income_RentRollSource="ARGUS",IF(OR(ISERROR(VLOOKUP($B39,ARGUS_TenantRentRollArray,2,FALSE)),ISNUMBER(SEARCH("Reabsorb",VLOOKUP($B39,ARGUS_TenantRentRollArray,2,FALSE)))),"",VLOOKUP($B39,ARGUS_TenantRentRollArray,9,FALSE))+0,IF(Datappraise_RentRoll_TenantCount&lt;$B39,"",VLOOKUP($B39,Datappraise_RentRoll,11,FALSE)))</f>
        <v/>
      </c>
      <c r="J39" s="3590" t="str">
        <f t="shared" ca="1" si="24"/>
        <v/>
      </c>
      <c r="K39" s="1422" t="str">
        <f t="shared" ref="K39:K70" ca="1" si="34">IF(Income_RentRollSource="ARGUS",IF(OR(ISERROR(VLOOKUP($B39,ARGUS_TenantRentRollArray,2,FALSE)),ISNUMBER(SEARCH("Reabsorb",VLOOKUP($B39,ARGUS_TenantRentRollArray,2,FALSE)))),"",VLOOKUP($B39,ARGUS_TenantRentRollArray,7,FALSE)),IF(Datappraise_RentRoll_TenantCount&lt;$B39,"",VLOOKUP($B39,Datappraise_RentRoll,7,FALSE)))</f>
        <v/>
      </c>
      <c r="L39" s="1431" t="str">
        <f t="shared" ca="1" si="25"/>
        <v/>
      </c>
      <c r="M39" s="3591" t="str">
        <f t="shared" ca="1" si="26"/>
        <v/>
      </c>
      <c r="N39" s="3592" t="str">
        <f t="shared" ref="N39:N70" ca="1" si="35">IF(Income_RentRollSource="ARGUS",IF(A39=0,"",VLOOKUP(B39,ARGUS_TenantRentRollArray,10,FALSE)/K39),IF(A39=0,"",VLOOKUP($B39,Datappraise_RentRoll,9,FALSE)))</f>
        <v/>
      </c>
      <c r="O39" s="1420" t="e">
        <f ca="1">IF(U39="",IF(Income_RentRollSource="Datappraise/Manual Entry",VLOOKUP($B39,Datappraise_RentRoll,5,FALSE),IF(OR(Income_TechniqueUsed="Direct Capitalization",Income_TechniqueUsed="Direct Cap &amp; DCF"),VLOOKUP('Rent Roll'!S39,'Income Assumptions'!$D$11:$H$19,5,FALSE),VLOOKUP('Rent Roll'!S39,'Income Assumptions'!$D$50:$O$57,6,FALSE))),U39)</f>
        <v>#N/A</v>
      </c>
      <c r="P39" s="3346"/>
      <c r="Q39" s="1377"/>
      <c r="R39" s="652"/>
      <c r="S39" s="2696" t="inlineStr">
        <is>
          <t xml:space="preserve">Industrial Office/Warehouse</t>
        </is>
      </c>
      <c r="T39" s="652"/>
      <c r="U39" s="2696"/>
      <c r="V39" s="652"/>
      <c r="W39" s="2696"/>
      <c r="X39" s="652"/>
      <c r="Y39" s="1580">
        <f t="shared" ref="Y39:Y70" ca="1" si="37">IF(AND($A39=1,$S39=Income_TCat1,$S39&lt;&gt;""),1,0)</f>
        <v>0</v>
      </c>
      <c r="Z39" s="1580">
        <f t="shared" ref="Z39:Z70" ca="1" si="38">IF(AND($A39=1,$S39=Income_TCat2,$S39&lt;&gt;""),1,0)</f>
        <v>0</v>
      </c>
      <c r="AA39" s="1580">
        <f t="shared" ref="AA39:AA70" ca="1" si="39">IF(AND($A39=1,$S39=Income_TCat3,$S39&lt;&gt;""),1,0)</f>
        <v>0</v>
      </c>
      <c r="AB39" s="1580">
        <f t="shared" ref="AB39:AB70" ca="1" si="40">IF(AND($A39=1,$S39=Income_TCat4,$S39&lt;&gt;""),1,0)</f>
        <v>0</v>
      </c>
      <c r="AC39" s="1580">
        <f t="shared" ref="AC39:AC70" ca="1" si="41">IF(AND($A39=1,$S39=Income_TCat5,$S39&lt;&gt;""),1,0)</f>
        <v>0</v>
      </c>
      <c r="AD39" s="1580">
        <f t="shared" ref="AD39:AD70" ca="1" si="42">IF(AND($A39=1,$S39=Income_TCat6,$S39&lt;&gt;""),1,0)</f>
        <v>0</v>
      </c>
      <c r="AE39" s="1580">
        <f t="shared" ref="AE39:AE70" ca="1" si="43">IF(AND($A39=1,$S39=Income_TCat7,$S39&lt;&gt;""),1,0)</f>
        <v>0</v>
      </c>
      <c r="AF39" s="1581">
        <f t="shared" ref="AF39:AF70" ca="1" si="44">IF(AND($A39=1,$S39=Income_TCat8,$S39&lt;&gt;""),1,0)</f>
        <v>0</v>
      </c>
      <c r="AG39" s="194"/>
      <c r="AH39" s="1579" t="str">
        <f t="shared" ref="AH39:AH70" ca="1" si="45">IF(OR(G39="Speculative",G39=""),"",K39*N39)</f>
        <v/>
      </c>
      <c r="AI39" s="1580" t="str">
        <f t="shared" ref="AI39:AI70" ca="1" si="46">IF(OR(G39="Speculative",G39=""),"",K39*VLOOKUP(S39,Income_DirectCap_AssumpMatrix,3,FALSE))</f>
        <v/>
      </c>
      <c r="AJ39" s="1581" t="str">
        <f t="shared" ref="AJ39:AJ70" ca="1" si="47">IF(OR(G39="Speculative",G39=""),"",K39)</f>
        <v/>
      </c>
      <c r="AK39" s="194"/>
      <c r="AL39" s="1582">
        <f t="shared" ref="AL39:AL70" ca="1" si="48">IF(ISERROR(AND(OR($H39=Income_Absorb_Period1,$H39&gt;Income_Absorb_Period1),$A39=1)),0,IF(AND(OR($H39=Income_Absorb_Period1,$H39&gt;Income_Absorb_Period1),$A39=1),$K39,0))</f>
        <v>0</v>
      </c>
      <c r="AM39" s="209"/>
      <c r="AN39" s="1582">
        <f t="shared" ref="AN39:AN70" ca="1" si="49">IF(ISERROR(AND(OR($H39=Income_Absorb_Period2,AND($H39&gt;Income_Absorb_Period2,$H39&lt;Income_Absorb_Period1)),$A39=1,Income_Absorb_Period2&lt;&gt;"")),0,IF(AND(OR($H39=Income_Absorb_Period2,AND($H39&gt;Income_Absorb_Period2,$H39&lt;Income_Absorb_Period1)),$A39=1,Income_Absorb_Period2&lt;&gt;""),$K39,0))</f>
        <v>0</v>
      </c>
      <c r="AO39" s="209"/>
      <c r="AP39" s="1582">
        <f t="shared" ref="AP39:AP70" ca="1" si="50">IF(ISERROR(AND(OR($H39=Income_Absorb_Period3,AND($H39&gt;Income_Absorb_Period3,$H39&lt;Income_Absorb_Period2)),$A39=1,Income_Absorb_Period3&lt;&gt;"")),0,IF(AND(OR($H39=Income_Absorb_Period3,AND($H39&gt;Income_Absorb_Period3,$H39&lt;Income_Absorb_Period2)),$A39=1,Income_Absorb_Period3&lt;&gt;""),$K39,0))</f>
        <v>0</v>
      </c>
      <c r="AQ39" s="209"/>
      <c r="AR39" s="1582">
        <f t="shared" ref="AR39:AR70" ca="1" si="51">IF(ISERROR(AND(OR($H39=Income_Absorb_Period4,AND($H39&gt;Income_Absorb_Period4,$H39&lt;Income_Absorb_Period3)),$A39=1,Income_Absorb_Period4&lt;&gt;"")),0,IF(AND(OR($H39=Income_Absorb_Period4,AND($H39&gt;Income_Absorb_Period4,$H39&lt;Income_Absorb_Period3)),$A39=1,Income_Absorb_Period4&lt;&gt;""),$K39,0))</f>
        <v>0</v>
      </c>
      <c r="AS39" s="194"/>
      <c r="AT39" s="1582">
        <f t="shared" ref="AT39:AT70" ca="1" si="52">IF(ISERROR(AND(OR($H39=Income_Absorb_Period5,AND($H39&gt;Income_Absorb_Period5,$H39&lt;Income_Absorb_Period4)),$A39=1,Income_Absorb_Period5&lt;&gt;"")),0,IF(AND(OR($H39=Income_Absorb_Period5,AND($H39&gt;Income_Absorb_Period5,$H39&lt;Income_Absorb_Period4)),$A39=1,Income_Absorb_Period5&lt;&gt;""),$K39,0))</f>
        <v>0</v>
      </c>
      <c r="AU39" s="194"/>
      <c r="AV39" s="194"/>
      <c r="AW39" s="194"/>
      <c r="AX39" s="194"/>
      <c r="AY39" s="194"/>
    </row>
    <row r="40" spans="1:51" s="2699" customFormat="1" ht="18" hidden="1" customHeight="1" x14ac:dyDescent="0.25">
      <c r="A40" s="972">
        <f t="shared" ca="1" si="23"/>
        <v>0</v>
      </c>
      <c r="B40" s="707">
        <f t="shared" si="28"/>
        <v>34</v>
      </c>
      <c r="C40" s="1376"/>
      <c r="D40" s="3346"/>
      <c r="E40" s="3346" t="str">
        <f t="shared" ca="1" si="29"/>
        <v/>
      </c>
      <c r="F40" s="1448" t="str">
        <f t="shared" ca="1" si="30"/>
        <v/>
      </c>
      <c r="G40" s="1418" t="str">
        <f t="shared" ca="1" si="31"/>
        <v/>
      </c>
      <c r="H40" s="3589" t="str">
        <f t="shared" ca="1" si="32"/>
        <v/>
      </c>
      <c r="I40" s="3589" t="str">
        <f t="shared" ca="1" si="33"/>
        <v/>
      </c>
      <c r="J40" s="3590" t="str">
        <f t="shared" ca="1" si="24"/>
        <v/>
      </c>
      <c r="K40" s="1422" t="str">
        <f t="shared" ca="1" si="34"/>
        <v/>
      </c>
      <c r="L40" s="1431" t="str">
        <f t="shared" ca="1" si="25"/>
        <v/>
      </c>
      <c r="M40" s="3591" t="str">
        <f t="shared" ca="1" si="26"/>
        <v/>
      </c>
      <c r="N40" s="3592" t="str">
        <f t="shared" ca="1" si="35"/>
        <v/>
      </c>
      <c r="O40" s="1420" t="e">
        <f ca="1">IF(U40="",IF(Income_RentRollSource="Datappraise/Manual Entry",VLOOKUP($B40,Datappraise_RentRoll,5,FALSE),IF(OR(Income_TechniqueUsed="Direct Capitalization",Income_TechniqueUsed="Direct Cap &amp; DCF"),VLOOKUP('Rent Roll'!S40,'Income Assumptions'!$D$11:$H$19,5,FALSE),VLOOKUP('Rent Roll'!S40,'Income Assumptions'!$D$50:$O$57,6,FALSE))),U40)</f>
        <v>#N/A</v>
      </c>
      <c r="P40" s="3346"/>
      <c r="Q40" s="1377"/>
      <c r="R40" s="652"/>
      <c r="S40" s="2696" t="inlineStr">
        <is>
          <t xml:space="preserve">Industrial Office/Warehouse</t>
        </is>
      </c>
      <c r="T40" s="652"/>
      <c r="U40" s="2696"/>
      <c r="V40" s="652"/>
      <c r="W40" s="2696"/>
      <c r="X40" s="652"/>
      <c r="Y40" s="1580">
        <f t="shared" ca="1" si="37"/>
        <v>0</v>
      </c>
      <c r="Z40" s="1580">
        <f t="shared" ca="1" si="38"/>
        <v>0</v>
      </c>
      <c r="AA40" s="1580">
        <f t="shared" ca="1" si="39"/>
        <v>0</v>
      </c>
      <c r="AB40" s="1580">
        <f t="shared" ca="1" si="40"/>
        <v>0</v>
      </c>
      <c r="AC40" s="1580">
        <f t="shared" ca="1" si="41"/>
        <v>0</v>
      </c>
      <c r="AD40" s="1580">
        <f t="shared" ca="1" si="42"/>
        <v>0</v>
      </c>
      <c r="AE40" s="1580">
        <f t="shared" ca="1" si="43"/>
        <v>0</v>
      </c>
      <c r="AF40" s="1581">
        <f t="shared" ca="1" si="44"/>
        <v>0</v>
      </c>
      <c r="AG40" s="194"/>
      <c r="AH40" s="1579" t="str">
        <f t="shared" ca="1" si="45"/>
        <v/>
      </c>
      <c r="AI40" s="1580" t="str">
        <f t="shared" ca="1" si="46"/>
        <v/>
      </c>
      <c r="AJ40" s="1581" t="str">
        <f t="shared" ca="1" si="47"/>
        <v/>
      </c>
      <c r="AK40" s="194"/>
      <c r="AL40" s="1582">
        <f t="shared" ca="1" si="48"/>
        <v>0</v>
      </c>
      <c r="AM40" s="209"/>
      <c r="AN40" s="1582">
        <f t="shared" ca="1" si="49"/>
        <v>0</v>
      </c>
      <c r="AO40" s="209"/>
      <c r="AP40" s="1582">
        <f t="shared" ca="1" si="50"/>
        <v>0</v>
      </c>
      <c r="AQ40" s="209"/>
      <c r="AR40" s="1582">
        <f t="shared" ca="1" si="51"/>
        <v>0</v>
      </c>
      <c r="AS40" s="194"/>
      <c r="AT40" s="1582">
        <f t="shared" ca="1" si="52"/>
        <v>0</v>
      </c>
      <c r="AU40" s="194"/>
      <c r="AV40" s="194"/>
      <c r="AW40" s="194"/>
      <c r="AX40" s="194"/>
      <c r="AY40" s="194"/>
    </row>
    <row r="41" spans="1:51" s="2699" customFormat="1" ht="18" hidden="1" customHeight="1" x14ac:dyDescent="0.25">
      <c r="A41" s="972">
        <f t="shared" ca="1" si="23"/>
        <v>0</v>
      </c>
      <c r="B41" s="707">
        <f t="shared" si="28"/>
        <v>35</v>
      </c>
      <c r="C41" s="1376"/>
      <c r="D41" s="3346"/>
      <c r="E41" s="3346" t="str">
        <f t="shared" ca="1" si="29"/>
        <v/>
      </c>
      <c r="F41" s="1448" t="str">
        <f t="shared" ca="1" si="30"/>
        <v/>
      </c>
      <c r="G41" s="1418" t="str">
        <f t="shared" ca="1" si="31"/>
        <v/>
      </c>
      <c r="H41" s="3589" t="str">
        <f t="shared" ca="1" si="32"/>
        <v/>
      </c>
      <c r="I41" s="3589" t="str">
        <f t="shared" ca="1" si="33"/>
        <v/>
      </c>
      <c r="J41" s="3590" t="str">
        <f t="shared" ca="1" si="24"/>
        <v/>
      </c>
      <c r="K41" s="1422" t="str">
        <f t="shared" ca="1" si="34"/>
        <v/>
      </c>
      <c r="L41" s="1431" t="str">
        <f t="shared" ca="1" si="25"/>
        <v/>
      </c>
      <c r="M41" s="3591" t="str">
        <f t="shared" ca="1" si="26"/>
        <v/>
      </c>
      <c r="N41" s="3592" t="str">
        <f t="shared" ca="1" si="35"/>
        <v/>
      </c>
      <c r="O41" s="1420" t="e">
        <f ca="1">IF(U41="",IF(Income_RentRollSource="Datappraise/Manual Entry",VLOOKUP($B41,Datappraise_RentRoll,5,FALSE),IF(OR(Income_TechniqueUsed="Direct Capitalization",Income_TechniqueUsed="Direct Cap &amp; DCF"),VLOOKUP('Rent Roll'!S41,'Income Assumptions'!$D$11:$H$19,5,FALSE),VLOOKUP('Rent Roll'!S41,'Income Assumptions'!$D$50:$O$57,6,FALSE))),U41)</f>
        <v>#N/A</v>
      </c>
      <c r="P41" s="3346"/>
      <c r="Q41" s="1377"/>
      <c r="R41" s="652"/>
      <c r="S41" s="2696" t="inlineStr">
        <is>
          <t xml:space="preserve">Industrial Office/Warehouse</t>
        </is>
      </c>
      <c r="T41" s="652"/>
      <c r="U41" s="2696"/>
      <c r="V41" s="652"/>
      <c r="W41" s="2696"/>
      <c r="X41" s="652"/>
      <c r="Y41" s="1580">
        <f t="shared" ca="1" si="37"/>
        <v>0</v>
      </c>
      <c r="Z41" s="1580">
        <f t="shared" ca="1" si="38"/>
        <v>0</v>
      </c>
      <c r="AA41" s="1580">
        <f t="shared" ca="1" si="39"/>
        <v>0</v>
      </c>
      <c r="AB41" s="1580">
        <f t="shared" ca="1" si="40"/>
        <v>0</v>
      </c>
      <c r="AC41" s="1580">
        <f t="shared" ca="1" si="41"/>
        <v>0</v>
      </c>
      <c r="AD41" s="1580">
        <f t="shared" ca="1" si="42"/>
        <v>0</v>
      </c>
      <c r="AE41" s="1580">
        <f t="shared" ca="1" si="43"/>
        <v>0</v>
      </c>
      <c r="AF41" s="1581">
        <f t="shared" ca="1" si="44"/>
        <v>0</v>
      </c>
      <c r="AG41" s="194"/>
      <c r="AH41" s="1579" t="str">
        <f t="shared" ca="1" si="45"/>
        <v/>
      </c>
      <c r="AI41" s="1580" t="str">
        <f t="shared" ca="1" si="46"/>
        <v/>
      </c>
      <c r="AJ41" s="1581" t="str">
        <f t="shared" ca="1" si="47"/>
        <v/>
      </c>
      <c r="AK41" s="194"/>
      <c r="AL41" s="1582">
        <f t="shared" ca="1" si="48"/>
        <v>0</v>
      </c>
      <c r="AM41" s="209"/>
      <c r="AN41" s="1582">
        <f t="shared" ca="1" si="49"/>
        <v>0</v>
      </c>
      <c r="AO41" s="209"/>
      <c r="AP41" s="1582">
        <f t="shared" ca="1" si="50"/>
        <v>0</v>
      </c>
      <c r="AQ41" s="209"/>
      <c r="AR41" s="1582">
        <f t="shared" ca="1" si="51"/>
        <v>0</v>
      </c>
      <c r="AS41" s="194"/>
      <c r="AT41" s="1582">
        <f t="shared" ca="1" si="52"/>
        <v>0</v>
      </c>
      <c r="AU41" s="194"/>
      <c r="AV41" s="194"/>
      <c r="AW41" s="194"/>
      <c r="AX41" s="194"/>
      <c r="AY41" s="194"/>
    </row>
    <row r="42" spans="1:51" s="2699" customFormat="1" ht="18" hidden="1" customHeight="1" x14ac:dyDescent="0.25">
      <c r="A42" s="972">
        <f t="shared" ca="1" si="23"/>
        <v>0</v>
      </c>
      <c r="B42" s="707">
        <f t="shared" si="28"/>
        <v>36</v>
      </c>
      <c r="C42" s="1376"/>
      <c r="D42" s="3346"/>
      <c r="E42" s="3346" t="str">
        <f t="shared" ca="1" si="29"/>
        <v/>
      </c>
      <c r="F42" s="1448" t="str">
        <f t="shared" ca="1" si="30"/>
        <v/>
      </c>
      <c r="G42" s="1418" t="str">
        <f t="shared" ca="1" si="31"/>
        <v/>
      </c>
      <c r="H42" s="3589" t="str">
        <f t="shared" ca="1" si="32"/>
        <v/>
      </c>
      <c r="I42" s="3589" t="str">
        <f t="shared" ca="1" si="33"/>
        <v/>
      </c>
      <c r="J42" s="3590" t="str">
        <f t="shared" ca="1" si="24"/>
        <v/>
      </c>
      <c r="K42" s="1422" t="str">
        <f t="shared" ca="1" si="34"/>
        <v/>
      </c>
      <c r="L42" s="1431" t="str">
        <f t="shared" ca="1" si="25"/>
        <v/>
      </c>
      <c r="M42" s="3591" t="str">
        <f t="shared" ca="1" si="26"/>
        <v/>
      </c>
      <c r="N42" s="3592" t="str">
        <f t="shared" ca="1" si="35"/>
        <v/>
      </c>
      <c r="O42" s="1420" t="e">
        <f ca="1">IF(U42="",IF(Income_RentRollSource="Datappraise/Manual Entry",VLOOKUP($B42,Datappraise_RentRoll,5,FALSE),IF(OR(Income_TechniqueUsed="Direct Capitalization",Income_TechniqueUsed="Direct Cap &amp; DCF"),VLOOKUP('Rent Roll'!S42,'Income Assumptions'!$D$11:$H$19,5,FALSE),VLOOKUP('Rent Roll'!S42,'Income Assumptions'!$D$50:$O$57,6,FALSE))),U42)</f>
        <v>#N/A</v>
      </c>
      <c r="P42" s="3346"/>
      <c r="Q42" s="1377"/>
      <c r="R42" s="652"/>
      <c r="S42" s="2696" t="inlineStr">
        <is>
          <t xml:space="preserve">Industrial Office/Warehouse</t>
        </is>
      </c>
      <c r="T42" s="652"/>
      <c r="U42" s="2696"/>
      <c r="V42" s="652"/>
      <c r="W42" s="2696"/>
      <c r="X42" s="652"/>
      <c r="Y42" s="1580">
        <f t="shared" ca="1" si="37"/>
        <v>0</v>
      </c>
      <c r="Z42" s="1580">
        <f t="shared" ca="1" si="38"/>
        <v>0</v>
      </c>
      <c r="AA42" s="1580">
        <f t="shared" ca="1" si="39"/>
        <v>0</v>
      </c>
      <c r="AB42" s="1580">
        <f t="shared" ca="1" si="40"/>
        <v>0</v>
      </c>
      <c r="AC42" s="1580">
        <f t="shared" ca="1" si="41"/>
        <v>0</v>
      </c>
      <c r="AD42" s="1580">
        <f t="shared" ca="1" si="42"/>
        <v>0</v>
      </c>
      <c r="AE42" s="1580">
        <f t="shared" ca="1" si="43"/>
        <v>0</v>
      </c>
      <c r="AF42" s="1581">
        <f t="shared" ca="1" si="44"/>
        <v>0</v>
      </c>
      <c r="AG42" s="194"/>
      <c r="AH42" s="1579" t="str">
        <f t="shared" ca="1" si="45"/>
        <v/>
      </c>
      <c r="AI42" s="1580" t="str">
        <f t="shared" ca="1" si="46"/>
        <v/>
      </c>
      <c r="AJ42" s="1581" t="str">
        <f t="shared" ca="1" si="47"/>
        <v/>
      </c>
      <c r="AK42" s="194"/>
      <c r="AL42" s="1582">
        <f t="shared" ca="1" si="48"/>
        <v>0</v>
      </c>
      <c r="AM42" s="209"/>
      <c r="AN42" s="1582">
        <f t="shared" ca="1" si="49"/>
        <v>0</v>
      </c>
      <c r="AO42" s="209"/>
      <c r="AP42" s="1582">
        <f t="shared" ca="1" si="50"/>
        <v>0</v>
      </c>
      <c r="AQ42" s="209"/>
      <c r="AR42" s="1582">
        <f t="shared" ca="1" si="51"/>
        <v>0</v>
      </c>
      <c r="AS42" s="194"/>
      <c r="AT42" s="1582">
        <f t="shared" ca="1" si="52"/>
        <v>0</v>
      </c>
      <c r="AU42" s="194"/>
      <c r="AV42" s="194"/>
      <c r="AW42" s="194"/>
      <c r="AX42" s="194"/>
      <c r="AY42" s="194"/>
    </row>
    <row r="43" spans="1:51" s="2699" customFormat="1" ht="18" hidden="1" customHeight="1" x14ac:dyDescent="0.25">
      <c r="A43" s="972">
        <f t="shared" ca="1" si="23"/>
        <v>0</v>
      </c>
      <c r="B43" s="707">
        <f t="shared" si="28"/>
        <v>37</v>
      </c>
      <c r="C43" s="1376"/>
      <c r="D43" s="3346"/>
      <c r="E43" s="3346" t="str">
        <f t="shared" ca="1" si="29"/>
        <v/>
      </c>
      <c r="F43" s="1448" t="str">
        <f t="shared" ca="1" si="30"/>
        <v/>
      </c>
      <c r="G43" s="1418" t="str">
        <f t="shared" ca="1" si="31"/>
        <v/>
      </c>
      <c r="H43" s="3589" t="str">
        <f t="shared" ca="1" si="32"/>
        <v/>
      </c>
      <c r="I43" s="3589" t="str">
        <f t="shared" ca="1" si="33"/>
        <v/>
      </c>
      <c r="J43" s="3590" t="str">
        <f t="shared" ca="1" si="24"/>
        <v/>
      </c>
      <c r="K43" s="1422" t="str">
        <f t="shared" ca="1" si="34"/>
        <v/>
      </c>
      <c r="L43" s="1431" t="str">
        <f t="shared" ca="1" si="25"/>
        <v/>
      </c>
      <c r="M43" s="3591" t="str">
        <f t="shared" ca="1" si="26"/>
        <v/>
      </c>
      <c r="N43" s="3592" t="str">
        <f t="shared" ca="1" si="35"/>
        <v/>
      </c>
      <c r="O43" s="1420" t="e">
        <f ca="1">IF(U43="",IF(Income_RentRollSource="Datappraise/Manual Entry",VLOOKUP($B43,Datappraise_RentRoll,5,FALSE),IF(OR(Income_TechniqueUsed="Direct Capitalization",Income_TechniqueUsed="Direct Cap &amp; DCF"),VLOOKUP('Rent Roll'!S43,'Income Assumptions'!$D$11:$H$19,5,FALSE),VLOOKUP('Rent Roll'!S43,'Income Assumptions'!$D$50:$O$57,6,FALSE))),U43)</f>
        <v>#N/A</v>
      </c>
      <c r="P43" s="3346"/>
      <c r="Q43" s="1377"/>
      <c r="R43" s="652"/>
      <c r="S43" s="2696" t="inlineStr">
        <is>
          <t xml:space="preserve">Industrial Office/Warehouse</t>
        </is>
      </c>
      <c r="T43" s="652"/>
      <c r="U43" s="2696"/>
      <c r="V43" s="652"/>
      <c r="W43" s="2696"/>
      <c r="X43" s="652"/>
      <c r="Y43" s="1580">
        <f t="shared" ca="1" si="37"/>
        <v>0</v>
      </c>
      <c r="Z43" s="1580">
        <f t="shared" ca="1" si="38"/>
        <v>0</v>
      </c>
      <c r="AA43" s="1580">
        <f t="shared" ca="1" si="39"/>
        <v>0</v>
      </c>
      <c r="AB43" s="1580">
        <f t="shared" ca="1" si="40"/>
        <v>0</v>
      </c>
      <c r="AC43" s="1580">
        <f t="shared" ca="1" si="41"/>
        <v>0</v>
      </c>
      <c r="AD43" s="1580">
        <f t="shared" ca="1" si="42"/>
        <v>0</v>
      </c>
      <c r="AE43" s="1580">
        <f t="shared" ca="1" si="43"/>
        <v>0</v>
      </c>
      <c r="AF43" s="1581">
        <f t="shared" ca="1" si="44"/>
        <v>0</v>
      </c>
      <c r="AG43" s="194"/>
      <c r="AH43" s="1579" t="str">
        <f t="shared" ca="1" si="45"/>
        <v/>
      </c>
      <c r="AI43" s="1580" t="str">
        <f t="shared" ca="1" si="46"/>
        <v/>
      </c>
      <c r="AJ43" s="1581" t="str">
        <f t="shared" ca="1" si="47"/>
        <v/>
      </c>
      <c r="AK43" s="194"/>
      <c r="AL43" s="1582">
        <f t="shared" ca="1" si="48"/>
        <v>0</v>
      </c>
      <c r="AM43" s="209"/>
      <c r="AN43" s="1582">
        <f t="shared" ca="1" si="49"/>
        <v>0</v>
      </c>
      <c r="AO43" s="209"/>
      <c r="AP43" s="1582">
        <f t="shared" ca="1" si="50"/>
        <v>0</v>
      </c>
      <c r="AQ43" s="209"/>
      <c r="AR43" s="1582">
        <f t="shared" ca="1" si="51"/>
        <v>0</v>
      </c>
      <c r="AS43" s="194"/>
      <c r="AT43" s="1582">
        <f t="shared" ca="1" si="52"/>
        <v>0</v>
      </c>
      <c r="AU43" s="194"/>
      <c r="AV43" s="194"/>
      <c r="AW43" s="194"/>
      <c r="AX43" s="194"/>
      <c r="AY43" s="194"/>
    </row>
    <row r="44" spans="1:51" s="2699" customFormat="1" ht="18" hidden="1" customHeight="1" x14ac:dyDescent="0.25">
      <c r="A44" s="972">
        <f t="shared" ca="1" si="23"/>
        <v>0</v>
      </c>
      <c r="B44" s="707">
        <f t="shared" si="28"/>
        <v>38</v>
      </c>
      <c r="C44" s="1376"/>
      <c r="D44" s="3346"/>
      <c r="E44" s="3346" t="str">
        <f t="shared" ca="1" si="29"/>
        <v/>
      </c>
      <c r="F44" s="1448" t="str">
        <f t="shared" ca="1" si="30"/>
        <v/>
      </c>
      <c r="G44" s="1418" t="str">
        <f t="shared" ca="1" si="31"/>
        <v/>
      </c>
      <c r="H44" s="3589" t="str">
        <f t="shared" ca="1" si="32"/>
        <v/>
      </c>
      <c r="I44" s="3589" t="str">
        <f t="shared" ca="1" si="33"/>
        <v/>
      </c>
      <c r="J44" s="3590" t="str">
        <f t="shared" ca="1" si="24"/>
        <v/>
      </c>
      <c r="K44" s="1422" t="str">
        <f t="shared" ca="1" si="34"/>
        <v/>
      </c>
      <c r="L44" s="1431" t="str">
        <f t="shared" ca="1" si="25"/>
        <v/>
      </c>
      <c r="M44" s="3591" t="str">
        <f t="shared" ca="1" si="26"/>
        <v/>
      </c>
      <c r="N44" s="3592" t="str">
        <f t="shared" ca="1" si="35"/>
        <v/>
      </c>
      <c r="O44" s="1420" t="e">
        <f ca="1">IF(U44="",IF(Income_RentRollSource="Datappraise/Manual Entry",VLOOKUP($B44,Datappraise_RentRoll,5,FALSE),IF(OR(Income_TechniqueUsed="Direct Capitalization",Income_TechniqueUsed="Direct Cap &amp; DCF"),VLOOKUP('Rent Roll'!S44,'Income Assumptions'!$D$11:$H$19,5,FALSE),VLOOKUP('Rent Roll'!S44,'Income Assumptions'!$D$50:$O$57,6,FALSE))),U44)</f>
        <v>#N/A</v>
      </c>
      <c r="P44" s="3346"/>
      <c r="Q44" s="1377"/>
      <c r="R44" s="652"/>
      <c r="S44" s="2696" t="inlineStr">
        <is>
          <t xml:space="preserve">Industrial Office/Warehouse</t>
        </is>
      </c>
      <c r="T44" s="652"/>
      <c r="U44" s="2696"/>
      <c r="V44" s="652"/>
      <c r="W44" s="2696"/>
      <c r="X44" s="652"/>
      <c r="Y44" s="1580">
        <f t="shared" ca="1" si="37"/>
        <v>0</v>
      </c>
      <c r="Z44" s="1580">
        <f t="shared" ca="1" si="38"/>
        <v>0</v>
      </c>
      <c r="AA44" s="1580">
        <f t="shared" ca="1" si="39"/>
        <v>0</v>
      </c>
      <c r="AB44" s="1580">
        <f t="shared" ca="1" si="40"/>
        <v>0</v>
      </c>
      <c r="AC44" s="1580">
        <f t="shared" ca="1" si="41"/>
        <v>0</v>
      </c>
      <c r="AD44" s="1580">
        <f t="shared" ca="1" si="42"/>
        <v>0</v>
      </c>
      <c r="AE44" s="1580">
        <f t="shared" ca="1" si="43"/>
        <v>0</v>
      </c>
      <c r="AF44" s="1581">
        <f t="shared" ca="1" si="44"/>
        <v>0</v>
      </c>
      <c r="AG44" s="194"/>
      <c r="AH44" s="1579" t="str">
        <f t="shared" ca="1" si="45"/>
        <v/>
      </c>
      <c r="AI44" s="1580" t="str">
        <f t="shared" ca="1" si="46"/>
        <v/>
      </c>
      <c r="AJ44" s="1581" t="str">
        <f t="shared" ca="1" si="47"/>
        <v/>
      </c>
      <c r="AK44" s="194"/>
      <c r="AL44" s="1582">
        <f t="shared" ca="1" si="48"/>
        <v>0</v>
      </c>
      <c r="AM44" s="209"/>
      <c r="AN44" s="1582">
        <f t="shared" ca="1" si="49"/>
        <v>0</v>
      </c>
      <c r="AO44" s="209"/>
      <c r="AP44" s="1582">
        <f t="shared" ca="1" si="50"/>
        <v>0</v>
      </c>
      <c r="AQ44" s="209"/>
      <c r="AR44" s="1582">
        <f t="shared" ca="1" si="51"/>
        <v>0</v>
      </c>
      <c r="AS44" s="194"/>
      <c r="AT44" s="1582">
        <f t="shared" ca="1" si="52"/>
        <v>0</v>
      </c>
      <c r="AU44" s="194"/>
      <c r="AV44" s="194"/>
      <c r="AW44" s="194"/>
      <c r="AX44" s="194"/>
      <c r="AY44" s="194"/>
    </row>
    <row r="45" spans="1:51" s="2699" customFormat="1" ht="18" hidden="1" customHeight="1" x14ac:dyDescent="0.25">
      <c r="A45" s="972">
        <f t="shared" ca="1" si="23"/>
        <v>0</v>
      </c>
      <c r="B45" s="707">
        <f t="shared" si="28"/>
        <v>39</v>
      </c>
      <c r="C45" s="1376"/>
      <c r="D45" s="3346"/>
      <c r="E45" s="3346" t="str">
        <f t="shared" ca="1" si="29"/>
        <v/>
      </c>
      <c r="F45" s="1448" t="str">
        <f t="shared" ca="1" si="30"/>
        <v/>
      </c>
      <c r="G45" s="1418" t="str">
        <f t="shared" ca="1" si="31"/>
        <v/>
      </c>
      <c r="H45" s="3589" t="str">
        <f t="shared" ca="1" si="32"/>
        <v/>
      </c>
      <c r="I45" s="3589" t="str">
        <f t="shared" ca="1" si="33"/>
        <v/>
      </c>
      <c r="J45" s="3590" t="str">
        <f t="shared" ca="1" si="24"/>
        <v/>
      </c>
      <c r="K45" s="1422" t="str">
        <f t="shared" ca="1" si="34"/>
        <v/>
      </c>
      <c r="L45" s="1431" t="str">
        <f t="shared" ca="1" si="25"/>
        <v/>
      </c>
      <c r="M45" s="3591" t="str">
        <f t="shared" ca="1" si="26"/>
        <v/>
      </c>
      <c r="N45" s="3592" t="str">
        <f t="shared" ca="1" si="35"/>
        <v/>
      </c>
      <c r="O45" s="1420" t="e">
        <f ca="1">IF(U45="",IF(Income_RentRollSource="Datappraise/Manual Entry",VLOOKUP($B45,Datappraise_RentRoll,5,FALSE),IF(OR(Income_TechniqueUsed="Direct Capitalization",Income_TechniqueUsed="Direct Cap &amp; DCF"),VLOOKUP('Rent Roll'!S45,'Income Assumptions'!$D$11:$H$19,5,FALSE),VLOOKUP('Rent Roll'!S45,'Income Assumptions'!$D$50:$O$57,6,FALSE))),U45)</f>
        <v>#N/A</v>
      </c>
      <c r="P45" s="3346"/>
      <c r="Q45" s="1377"/>
      <c r="R45" s="652"/>
      <c r="S45" s="2696" t="inlineStr">
        <is>
          <t xml:space="preserve">Industrial Office/Warehouse</t>
        </is>
      </c>
      <c r="T45" s="652"/>
      <c r="U45" s="2696"/>
      <c r="V45" s="652"/>
      <c r="W45" s="2696"/>
      <c r="X45" s="652"/>
      <c r="Y45" s="1580">
        <f t="shared" ca="1" si="37"/>
        <v>0</v>
      </c>
      <c r="Z45" s="1580">
        <f t="shared" ca="1" si="38"/>
        <v>0</v>
      </c>
      <c r="AA45" s="1580">
        <f t="shared" ca="1" si="39"/>
        <v>0</v>
      </c>
      <c r="AB45" s="1580">
        <f t="shared" ca="1" si="40"/>
        <v>0</v>
      </c>
      <c r="AC45" s="1580">
        <f t="shared" ca="1" si="41"/>
        <v>0</v>
      </c>
      <c r="AD45" s="1580">
        <f t="shared" ca="1" si="42"/>
        <v>0</v>
      </c>
      <c r="AE45" s="1580">
        <f t="shared" ca="1" si="43"/>
        <v>0</v>
      </c>
      <c r="AF45" s="1581">
        <f t="shared" ca="1" si="44"/>
        <v>0</v>
      </c>
      <c r="AG45" s="194"/>
      <c r="AH45" s="1579" t="str">
        <f t="shared" ca="1" si="45"/>
        <v/>
      </c>
      <c r="AI45" s="1580" t="str">
        <f t="shared" ca="1" si="46"/>
        <v/>
      </c>
      <c r="AJ45" s="1581" t="str">
        <f t="shared" ca="1" si="47"/>
        <v/>
      </c>
      <c r="AK45" s="194"/>
      <c r="AL45" s="1582">
        <f t="shared" ca="1" si="48"/>
        <v>0</v>
      </c>
      <c r="AM45" s="209"/>
      <c r="AN45" s="1582">
        <f t="shared" ca="1" si="49"/>
        <v>0</v>
      </c>
      <c r="AO45" s="209"/>
      <c r="AP45" s="1582">
        <f t="shared" ca="1" si="50"/>
        <v>0</v>
      </c>
      <c r="AQ45" s="209"/>
      <c r="AR45" s="1582">
        <f t="shared" ca="1" si="51"/>
        <v>0</v>
      </c>
      <c r="AS45" s="194"/>
      <c r="AT45" s="1582">
        <f t="shared" ca="1" si="52"/>
        <v>0</v>
      </c>
      <c r="AU45" s="194"/>
      <c r="AV45" s="194"/>
      <c r="AW45" s="194"/>
      <c r="AX45" s="194"/>
      <c r="AY45" s="194"/>
    </row>
    <row r="46" spans="1:51" s="2699" customFormat="1" ht="18" hidden="1" customHeight="1" x14ac:dyDescent="0.25">
      <c r="A46" s="972">
        <f t="shared" ca="1" si="23"/>
        <v>0</v>
      </c>
      <c r="B46" s="707">
        <f t="shared" si="28"/>
        <v>40</v>
      </c>
      <c r="C46" s="1376"/>
      <c r="D46" s="3346"/>
      <c r="E46" s="3346" t="str">
        <f t="shared" ca="1" si="29"/>
        <v/>
      </c>
      <c r="F46" s="1448" t="str">
        <f t="shared" ca="1" si="30"/>
        <v/>
      </c>
      <c r="G46" s="1418" t="str">
        <f t="shared" ca="1" si="31"/>
        <v/>
      </c>
      <c r="H46" s="3589" t="str">
        <f t="shared" ca="1" si="32"/>
        <v/>
      </c>
      <c r="I46" s="3589" t="str">
        <f t="shared" ca="1" si="33"/>
        <v/>
      </c>
      <c r="J46" s="3590" t="str">
        <f t="shared" ca="1" si="24"/>
        <v/>
      </c>
      <c r="K46" s="1422" t="str">
        <f t="shared" ca="1" si="34"/>
        <v/>
      </c>
      <c r="L46" s="1431" t="str">
        <f t="shared" ca="1" si="25"/>
        <v/>
      </c>
      <c r="M46" s="3591" t="str">
        <f t="shared" ca="1" si="26"/>
        <v/>
      </c>
      <c r="N46" s="3592" t="str">
        <f t="shared" ca="1" si="35"/>
        <v/>
      </c>
      <c r="O46" s="1420" t="e">
        <f ca="1">IF(U46="",IF(Income_RentRollSource="Datappraise/Manual Entry",VLOOKUP($B46,Datappraise_RentRoll,5,FALSE),IF(OR(Income_TechniqueUsed="Direct Capitalization",Income_TechniqueUsed="Direct Cap &amp; DCF"),VLOOKUP('Rent Roll'!S46,'Income Assumptions'!$D$11:$H$19,5,FALSE),VLOOKUP('Rent Roll'!S46,'Income Assumptions'!$D$50:$O$57,6,FALSE))),U46)</f>
        <v>#N/A</v>
      </c>
      <c r="P46" s="3346"/>
      <c r="Q46" s="1377"/>
      <c r="R46" s="652"/>
      <c r="S46" s="2696" t="inlineStr">
        <is>
          <t xml:space="preserve">Industrial Office/Warehouse</t>
        </is>
      </c>
      <c r="T46" s="652"/>
      <c r="U46" s="2696"/>
      <c r="V46" s="652"/>
      <c r="W46" s="2696"/>
      <c r="X46" s="652"/>
      <c r="Y46" s="1580">
        <f t="shared" ca="1" si="37"/>
        <v>0</v>
      </c>
      <c r="Z46" s="1580">
        <f t="shared" ca="1" si="38"/>
        <v>0</v>
      </c>
      <c r="AA46" s="1580">
        <f t="shared" ca="1" si="39"/>
        <v>0</v>
      </c>
      <c r="AB46" s="1580">
        <f t="shared" ca="1" si="40"/>
        <v>0</v>
      </c>
      <c r="AC46" s="1580">
        <f t="shared" ca="1" si="41"/>
        <v>0</v>
      </c>
      <c r="AD46" s="1580">
        <f t="shared" ca="1" si="42"/>
        <v>0</v>
      </c>
      <c r="AE46" s="1580">
        <f t="shared" ca="1" si="43"/>
        <v>0</v>
      </c>
      <c r="AF46" s="1581">
        <f t="shared" ca="1" si="44"/>
        <v>0</v>
      </c>
      <c r="AG46" s="194"/>
      <c r="AH46" s="1579" t="str">
        <f t="shared" ca="1" si="45"/>
        <v/>
      </c>
      <c r="AI46" s="1580" t="str">
        <f t="shared" ca="1" si="46"/>
        <v/>
      </c>
      <c r="AJ46" s="1581" t="str">
        <f t="shared" ca="1" si="47"/>
        <v/>
      </c>
      <c r="AK46" s="194"/>
      <c r="AL46" s="1582">
        <f t="shared" ca="1" si="48"/>
        <v>0</v>
      </c>
      <c r="AM46" s="209"/>
      <c r="AN46" s="1582">
        <f t="shared" ca="1" si="49"/>
        <v>0</v>
      </c>
      <c r="AO46" s="209"/>
      <c r="AP46" s="1582">
        <f t="shared" ca="1" si="50"/>
        <v>0</v>
      </c>
      <c r="AQ46" s="209"/>
      <c r="AR46" s="1582">
        <f t="shared" ca="1" si="51"/>
        <v>0</v>
      </c>
      <c r="AS46" s="194"/>
      <c r="AT46" s="1582">
        <f t="shared" ca="1" si="52"/>
        <v>0</v>
      </c>
      <c r="AU46" s="194"/>
      <c r="AV46" s="194"/>
      <c r="AW46" s="194"/>
      <c r="AX46" s="194"/>
      <c r="AY46" s="194"/>
    </row>
    <row r="47" spans="1:51" s="2699" customFormat="1" ht="18" hidden="1" customHeight="1" x14ac:dyDescent="0.25">
      <c r="A47" s="972">
        <f t="shared" ca="1" si="23"/>
        <v>0</v>
      </c>
      <c r="B47" s="707">
        <f t="shared" si="28"/>
        <v>41</v>
      </c>
      <c r="C47" s="1376"/>
      <c r="D47" s="3346"/>
      <c r="E47" s="3346" t="str">
        <f t="shared" ca="1" si="29"/>
        <v/>
      </c>
      <c r="F47" s="1448" t="str">
        <f t="shared" ca="1" si="30"/>
        <v/>
      </c>
      <c r="G47" s="1418" t="str">
        <f t="shared" ca="1" si="31"/>
        <v/>
      </c>
      <c r="H47" s="3589" t="str">
        <f t="shared" ca="1" si="32"/>
        <v/>
      </c>
      <c r="I47" s="3589" t="str">
        <f t="shared" ca="1" si="33"/>
        <v/>
      </c>
      <c r="J47" s="3590" t="str">
        <f t="shared" ca="1" si="24"/>
        <v/>
      </c>
      <c r="K47" s="1422" t="str">
        <f t="shared" ca="1" si="34"/>
        <v/>
      </c>
      <c r="L47" s="1431" t="str">
        <f t="shared" ca="1" si="25"/>
        <v/>
      </c>
      <c r="M47" s="3591" t="str">
        <f t="shared" ca="1" si="26"/>
        <v/>
      </c>
      <c r="N47" s="3592" t="str">
        <f t="shared" ca="1" si="35"/>
        <v/>
      </c>
      <c r="O47" s="1420" t="e">
        <f ca="1">IF(U47="",IF(Income_RentRollSource="Datappraise/Manual Entry",VLOOKUP($B47,Datappraise_RentRoll,5,FALSE),IF(OR(Income_TechniqueUsed="Direct Capitalization",Income_TechniqueUsed="Direct Cap &amp; DCF"),VLOOKUP('Rent Roll'!S47,'Income Assumptions'!$D$11:$H$19,5,FALSE),VLOOKUP('Rent Roll'!S47,'Income Assumptions'!$D$50:$O$57,6,FALSE))),U47)</f>
        <v>#N/A</v>
      </c>
      <c r="P47" s="3346"/>
      <c r="Q47" s="1377"/>
      <c r="R47" s="652"/>
      <c r="S47" s="2696" t="inlineStr">
        <is>
          <t xml:space="preserve">Industrial Office/Warehouse</t>
        </is>
      </c>
      <c r="T47" s="652"/>
      <c r="U47" s="2696"/>
      <c r="V47" s="652"/>
      <c r="W47" s="2696"/>
      <c r="X47" s="652"/>
      <c r="Y47" s="1580">
        <f t="shared" ca="1" si="37"/>
        <v>0</v>
      </c>
      <c r="Z47" s="1580">
        <f t="shared" ca="1" si="38"/>
        <v>0</v>
      </c>
      <c r="AA47" s="1580">
        <f t="shared" ca="1" si="39"/>
        <v>0</v>
      </c>
      <c r="AB47" s="1580">
        <f t="shared" ca="1" si="40"/>
        <v>0</v>
      </c>
      <c r="AC47" s="1580">
        <f t="shared" ca="1" si="41"/>
        <v>0</v>
      </c>
      <c r="AD47" s="1580">
        <f t="shared" ca="1" si="42"/>
        <v>0</v>
      </c>
      <c r="AE47" s="1580">
        <f t="shared" ca="1" si="43"/>
        <v>0</v>
      </c>
      <c r="AF47" s="1581">
        <f t="shared" ca="1" si="44"/>
        <v>0</v>
      </c>
      <c r="AG47" s="194"/>
      <c r="AH47" s="1579" t="str">
        <f t="shared" ca="1" si="45"/>
        <v/>
      </c>
      <c r="AI47" s="1580" t="str">
        <f t="shared" ca="1" si="46"/>
        <v/>
      </c>
      <c r="AJ47" s="1581" t="str">
        <f t="shared" ca="1" si="47"/>
        <v/>
      </c>
      <c r="AK47" s="194"/>
      <c r="AL47" s="1582">
        <f t="shared" ca="1" si="48"/>
        <v>0</v>
      </c>
      <c r="AM47" s="209"/>
      <c r="AN47" s="1582">
        <f t="shared" ca="1" si="49"/>
        <v>0</v>
      </c>
      <c r="AO47" s="209"/>
      <c r="AP47" s="1582">
        <f t="shared" ca="1" si="50"/>
        <v>0</v>
      </c>
      <c r="AQ47" s="209"/>
      <c r="AR47" s="1582">
        <f t="shared" ca="1" si="51"/>
        <v>0</v>
      </c>
      <c r="AS47" s="194"/>
      <c r="AT47" s="1582">
        <f t="shared" ca="1" si="52"/>
        <v>0</v>
      </c>
      <c r="AU47" s="194"/>
      <c r="AV47" s="194"/>
      <c r="AW47" s="194"/>
      <c r="AX47" s="194"/>
      <c r="AY47" s="194"/>
    </row>
    <row r="48" spans="1:51" s="2699" customFormat="1" ht="18" hidden="1" customHeight="1" x14ac:dyDescent="0.25">
      <c r="A48" s="972">
        <f t="shared" ca="1" si="23"/>
        <v>0</v>
      </c>
      <c r="B48" s="707">
        <f t="shared" si="28"/>
        <v>42</v>
      </c>
      <c r="C48" s="1376"/>
      <c r="D48" s="3346"/>
      <c r="E48" s="3346" t="str">
        <f t="shared" ca="1" si="29"/>
        <v/>
      </c>
      <c r="F48" s="1448" t="str">
        <f t="shared" ca="1" si="30"/>
        <v/>
      </c>
      <c r="G48" s="1418" t="str">
        <f t="shared" ca="1" si="31"/>
        <v/>
      </c>
      <c r="H48" s="3589" t="str">
        <f t="shared" ca="1" si="32"/>
        <v/>
      </c>
      <c r="I48" s="3589" t="str">
        <f t="shared" ca="1" si="33"/>
        <v/>
      </c>
      <c r="J48" s="3590" t="str">
        <f t="shared" ca="1" si="24"/>
        <v/>
      </c>
      <c r="K48" s="1422" t="str">
        <f t="shared" ca="1" si="34"/>
        <v/>
      </c>
      <c r="L48" s="1431" t="str">
        <f t="shared" ca="1" si="25"/>
        <v/>
      </c>
      <c r="M48" s="3591" t="str">
        <f t="shared" ca="1" si="26"/>
        <v/>
      </c>
      <c r="N48" s="3592" t="str">
        <f t="shared" ca="1" si="35"/>
        <v/>
      </c>
      <c r="O48" s="1420" t="e">
        <f ca="1">IF(U48="",IF(Income_RentRollSource="Datappraise/Manual Entry",VLOOKUP($B48,Datappraise_RentRoll,5,FALSE),IF(OR(Income_TechniqueUsed="Direct Capitalization",Income_TechniqueUsed="Direct Cap &amp; DCF"),VLOOKUP('Rent Roll'!S48,'Income Assumptions'!$D$11:$H$19,5,FALSE),VLOOKUP('Rent Roll'!S48,'Income Assumptions'!$D$50:$O$57,6,FALSE))),U48)</f>
        <v>#N/A</v>
      </c>
      <c r="P48" s="3346"/>
      <c r="Q48" s="1377"/>
      <c r="R48" s="652"/>
      <c r="S48" s="2696" t="inlineStr">
        <is>
          <t xml:space="preserve">Industrial Office/Warehouse</t>
        </is>
      </c>
      <c r="T48" s="652"/>
      <c r="U48" s="2696"/>
      <c r="V48" s="652"/>
      <c r="W48" s="2696"/>
      <c r="X48" s="652"/>
      <c r="Y48" s="1580">
        <f t="shared" ca="1" si="37"/>
        <v>0</v>
      </c>
      <c r="Z48" s="1580">
        <f t="shared" ca="1" si="38"/>
        <v>0</v>
      </c>
      <c r="AA48" s="1580">
        <f t="shared" ca="1" si="39"/>
        <v>0</v>
      </c>
      <c r="AB48" s="1580">
        <f t="shared" ca="1" si="40"/>
        <v>0</v>
      </c>
      <c r="AC48" s="1580">
        <f t="shared" ca="1" si="41"/>
        <v>0</v>
      </c>
      <c r="AD48" s="1580">
        <f t="shared" ca="1" si="42"/>
        <v>0</v>
      </c>
      <c r="AE48" s="1580">
        <f t="shared" ca="1" si="43"/>
        <v>0</v>
      </c>
      <c r="AF48" s="1581">
        <f t="shared" ca="1" si="44"/>
        <v>0</v>
      </c>
      <c r="AG48" s="194"/>
      <c r="AH48" s="1579" t="str">
        <f t="shared" ca="1" si="45"/>
        <v/>
      </c>
      <c r="AI48" s="1580" t="str">
        <f t="shared" ca="1" si="46"/>
        <v/>
      </c>
      <c r="AJ48" s="1581" t="str">
        <f t="shared" ca="1" si="47"/>
        <v/>
      </c>
      <c r="AK48" s="194"/>
      <c r="AL48" s="1582">
        <f t="shared" ca="1" si="48"/>
        <v>0</v>
      </c>
      <c r="AM48" s="209"/>
      <c r="AN48" s="1582">
        <f t="shared" ca="1" si="49"/>
        <v>0</v>
      </c>
      <c r="AO48" s="209"/>
      <c r="AP48" s="1582">
        <f t="shared" ca="1" si="50"/>
        <v>0</v>
      </c>
      <c r="AQ48" s="209"/>
      <c r="AR48" s="1582">
        <f t="shared" ca="1" si="51"/>
        <v>0</v>
      </c>
      <c r="AS48" s="194"/>
      <c r="AT48" s="1582">
        <f t="shared" ca="1" si="52"/>
        <v>0</v>
      </c>
      <c r="AU48" s="194"/>
      <c r="AV48" s="194"/>
      <c r="AW48" s="194"/>
      <c r="AX48" s="194"/>
      <c r="AY48" s="194"/>
    </row>
    <row r="49" spans="1:51" s="2699" customFormat="1" ht="18" hidden="1" customHeight="1" x14ac:dyDescent="0.25">
      <c r="A49" s="972">
        <f t="shared" ca="1" si="23"/>
        <v>0</v>
      </c>
      <c r="B49" s="707">
        <f t="shared" si="28"/>
        <v>43</v>
      </c>
      <c r="C49" s="1376"/>
      <c r="D49" s="3346"/>
      <c r="E49" s="3346" t="str">
        <f t="shared" ca="1" si="29"/>
        <v/>
      </c>
      <c r="F49" s="1448" t="str">
        <f t="shared" ca="1" si="30"/>
        <v/>
      </c>
      <c r="G49" s="1418" t="str">
        <f t="shared" ca="1" si="31"/>
        <v/>
      </c>
      <c r="H49" s="3589" t="str">
        <f t="shared" ca="1" si="32"/>
        <v/>
      </c>
      <c r="I49" s="3589" t="str">
        <f t="shared" ca="1" si="33"/>
        <v/>
      </c>
      <c r="J49" s="3590" t="str">
        <f t="shared" ca="1" si="24"/>
        <v/>
      </c>
      <c r="K49" s="1422" t="str">
        <f t="shared" ca="1" si="34"/>
        <v/>
      </c>
      <c r="L49" s="1431" t="str">
        <f t="shared" ca="1" si="25"/>
        <v/>
      </c>
      <c r="M49" s="3591" t="str">
        <f t="shared" ca="1" si="26"/>
        <v/>
      </c>
      <c r="N49" s="3592" t="str">
        <f t="shared" ca="1" si="35"/>
        <v/>
      </c>
      <c r="O49" s="1420" t="e">
        <f ca="1">IF(U49="",IF(Income_RentRollSource="Datappraise/Manual Entry",VLOOKUP($B49,Datappraise_RentRoll,5,FALSE),IF(OR(Income_TechniqueUsed="Direct Capitalization",Income_TechniqueUsed="Direct Cap &amp; DCF"),VLOOKUP('Rent Roll'!S49,'Income Assumptions'!$D$11:$H$19,5,FALSE),VLOOKUP('Rent Roll'!S49,'Income Assumptions'!$D$50:$O$57,6,FALSE))),U49)</f>
        <v>#N/A</v>
      </c>
      <c r="P49" s="3346"/>
      <c r="Q49" s="1377"/>
      <c r="R49" s="652"/>
      <c r="S49" s="2696" t="inlineStr">
        <is>
          <t xml:space="preserve">Industrial Office/Warehouse</t>
        </is>
      </c>
      <c r="T49" s="652"/>
      <c r="U49" s="2696"/>
      <c r="V49" s="652"/>
      <c r="W49" s="2696"/>
      <c r="X49" s="652"/>
      <c r="Y49" s="1580">
        <f t="shared" ca="1" si="37"/>
        <v>0</v>
      </c>
      <c r="Z49" s="1580">
        <f t="shared" ca="1" si="38"/>
        <v>0</v>
      </c>
      <c r="AA49" s="1580">
        <f t="shared" ca="1" si="39"/>
        <v>0</v>
      </c>
      <c r="AB49" s="1580">
        <f t="shared" ca="1" si="40"/>
        <v>0</v>
      </c>
      <c r="AC49" s="1580">
        <f t="shared" ca="1" si="41"/>
        <v>0</v>
      </c>
      <c r="AD49" s="1580">
        <f t="shared" ca="1" si="42"/>
        <v>0</v>
      </c>
      <c r="AE49" s="1580">
        <f t="shared" ca="1" si="43"/>
        <v>0</v>
      </c>
      <c r="AF49" s="1581">
        <f t="shared" ca="1" si="44"/>
        <v>0</v>
      </c>
      <c r="AG49" s="194"/>
      <c r="AH49" s="1579" t="str">
        <f t="shared" ca="1" si="45"/>
        <v/>
      </c>
      <c r="AI49" s="1580" t="str">
        <f t="shared" ca="1" si="46"/>
        <v/>
      </c>
      <c r="AJ49" s="1581" t="str">
        <f t="shared" ca="1" si="47"/>
        <v/>
      </c>
      <c r="AK49" s="194"/>
      <c r="AL49" s="1582">
        <f t="shared" ca="1" si="48"/>
        <v>0</v>
      </c>
      <c r="AM49" s="209"/>
      <c r="AN49" s="1582">
        <f t="shared" ca="1" si="49"/>
        <v>0</v>
      </c>
      <c r="AO49" s="209"/>
      <c r="AP49" s="1582">
        <f t="shared" ca="1" si="50"/>
        <v>0</v>
      </c>
      <c r="AQ49" s="209"/>
      <c r="AR49" s="1582">
        <f t="shared" ca="1" si="51"/>
        <v>0</v>
      </c>
      <c r="AS49" s="194"/>
      <c r="AT49" s="1582">
        <f t="shared" ca="1" si="52"/>
        <v>0</v>
      </c>
      <c r="AU49" s="194"/>
      <c r="AV49" s="194"/>
      <c r="AW49" s="194"/>
      <c r="AX49" s="194"/>
      <c r="AY49" s="194"/>
    </row>
    <row r="50" spans="1:51" s="2699" customFormat="1" ht="18" hidden="1" customHeight="1" x14ac:dyDescent="0.25">
      <c r="A50" s="972">
        <f t="shared" ca="1" si="23"/>
        <v>0</v>
      </c>
      <c r="B50" s="707">
        <f t="shared" si="28"/>
        <v>44</v>
      </c>
      <c r="C50" s="1376"/>
      <c r="D50" s="3346"/>
      <c r="E50" s="3346" t="str">
        <f t="shared" ca="1" si="29"/>
        <v/>
      </c>
      <c r="F50" s="1448" t="str">
        <f t="shared" ca="1" si="30"/>
        <v/>
      </c>
      <c r="G50" s="1418" t="str">
        <f t="shared" ca="1" si="31"/>
        <v/>
      </c>
      <c r="H50" s="3589" t="str">
        <f t="shared" ca="1" si="32"/>
        <v/>
      </c>
      <c r="I50" s="3589" t="str">
        <f t="shared" ca="1" si="33"/>
        <v/>
      </c>
      <c r="J50" s="3590" t="str">
        <f t="shared" ca="1" si="24"/>
        <v/>
      </c>
      <c r="K50" s="1422" t="str">
        <f t="shared" ca="1" si="34"/>
        <v/>
      </c>
      <c r="L50" s="1431" t="str">
        <f t="shared" ca="1" si="25"/>
        <v/>
      </c>
      <c r="M50" s="3591" t="str">
        <f t="shared" ca="1" si="26"/>
        <v/>
      </c>
      <c r="N50" s="3592" t="str">
        <f t="shared" ca="1" si="35"/>
        <v/>
      </c>
      <c r="O50" s="1420" t="e">
        <f ca="1">IF(U50="",IF(Income_RentRollSource="Datappraise/Manual Entry",VLOOKUP($B50,Datappraise_RentRoll,5,FALSE),IF(OR(Income_TechniqueUsed="Direct Capitalization",Income_TechniqueUsed="Direct Cap &amp; DCF"),VLOOKUP('Rent Roll'!S50,'Income Assumptions'!$D$11:$H$19,5,FALSE),VLOOKUP('Rent Roll'!S50,'Income Assumptions'!$D$50:$O$57,6,FALSE))),U50)</f>
        <v>#N/A</v>
      </c>
      <c r="P50" s="3346"/>
      <c r="Q50" s="1377"/>
      <c r="R50" s="652"/>
      <c r="S50" s="2696" t="inlineStr">
        <is>
          <t xml:space="preserve">Industrial Office/Warehouse</t>
        </is>
      </c>
      <c r="T50" s="652"/>
      <c r="U50" s="2696"/>
      <c r="V50" s="652"/>
      <c r="W50" s="2696"/>
      <c r="X50" s="652"/>
      <c r="Y50" s="1580">
        <f t="shared" ca="1" si="37"/>
        <v>0</v>
      </c>
      <c r="Z50" s="1580">
        <f t="shared" ca="1" si="38"/>
        <v>0</v>
      </c>
      <c r="AA50" s="1580">
        <f t="shared" ca="1" si="39"/>
        <v>0</v>
      </c>
      <c r="AB50" s="1580">
        <f t="shared" ca="1" si="40"/>
        <v>0</v>
      </c>
      <c r="AC50" s="1580">
        <f t="shared" ca="1" si="41"/>
        <v>0</v>
      </c>
      <c r="AD50" s="1580">
        <f t="shared" ca="1" si="42"/>
        <v>0</v>
      </c>
      <c r="AE50" s="1580">
        <f t="shared" ca="1" si="43"/>
        <v>0</v>
      </c>
      <c r="AF50" s="1581">
        <f t="shared" ca="1" si="44"/>
        <v>0</v>
      </c>
      <c r="AG50" s="194"/>
      <c r="AH50" s="1579" t="str">
        <f t="shared" ca="1" si="45"/>
        <v/>
      </c>
      <c r="AI50" s="1580" t="str">
        <f t="shared" ca="1" si="46"/>
        <v/>
      </c>
      <c r="AJ50" s="1581" t="str">
        <f t="shared" ca="1" si="47"/>
        <v/>
      </c>
      <c r="AK50" s="194"/>
      <c r="AL50" s="1582">
        <f t="shared" ca="1" si="48"/>
        <v>0</v>
      </c>
      <c r="AM50" s="209"/>
      <c r="AN50" s="1582">
        <f t="shared" ca="1" si="49"/>
        <v>0</v>
      </c>
      <c r="AO50" s="209"/>
      <c r="AP50" s="1582">
        <f t="shared" ca="1" si="50"/>
        <v>0</v>
      </c>
      <c r="AQ50" s="209"/>
      <c r="AR50" s="1582">
        <f t="shared" ca="1" si="51"/>
        <v>0</v>
      </c>
      <c r="AS50" s="194"/>
      <c r="AT50" s="1582">
        <f t="shared" ca="1" si="52"/>
        <v>0</v>
      </c>
      <c r="AU50" s="194"/>
      <c r="AV50" s="194"/>
      <c r="AW50" s="194"/>
      <c r="AX50" s="194"/>
      <c r="AY50" s="194"/>
    </row>
    <row r="51" spans="1:51" s="2699" customFormat="1" ht="18" hidden="1" customHeight="1" x14ac:dyDescent="0.25">
      <c r="A51" s="972">
        <f t="shared" ca="1" si="23"/>
        <v>0</v>
      </c>
      <c r="B51" s="707">
        <f t="shared" si="28"/>
        <v>45</v>
      </c>
      <c r="C51" s="1376"/>
      <c r="D51" s="3346"/>
      <c r="E51" s="3346" t="str">
        <f t="shared" ca="1" si="29"/>
        <v/>
      </c>
      <c r="F51" s="1448" t="str">
        <f t="shared" ca="1" si="30"/>
        <v/>
      </c>
      <c r="G51" s="1418" t="str">
        <f t="shared" ca="1" si="31"/>
        <v/>
      </c>
      <c r="H51" s="3589" t="str">
        <f t="shared" ca="1" si="32"/>
        <v/>
      </c>
      <c r="I51" s="3589" t="str">
        <f t="shared" ca="1" si="33"/>
        <v/>
      </c>
      <c r="J51" s="3590" t="str">
        <f t="shared" ca="1" si="24"/>
        <v/>
      </c>
      <c r="K51" s="1422" t="str">
        <f t="shared" ca="1" si="34"/>
        <v/>
      </c>
      <c r="L51" s="1431" t="str">
        <f t="shared" ca="1" si="25"/>
        <v/>
      </c>
      <c r="M51" s="3591" t="str">
        <f t="shared" ca="1" si="26"/>
        <v/>
      </c>
      <c r="N51" s="3592" t="str">
        <f t="shared" ca="1" si="35"/>
        <v/>
      </c>
      <c r="O51" s="1420" t="e">
        <f ca="1">IF(U51="",IF(Income_RentRollSource="Datappraise/Manual Entry",VLOOKUP($B51,Datappraise_RentRoll,5,FALSE),IF(OR(Income_TechniqueUsed="Direct Capitalization",Income_TechniqueUsed="Direct Cap &amp; DCF"),VLOOKUP('Rent Roll'!S51,'Income Assumptions'!$D$11:$H$19,5,FALSE),VLOOKUP('Rent Roll'!S51,'Income Assumptions'!$D$50:$O$57,6,FALSE))),U51)</f>
        <v>#N/A</v>
      </c>
      <c r="P51" s="3346"/>
      <c r="Q51" s="1377"/>
      <c r="R51" s="652"/>
      <c r="S51" s="2696" t="inlineStr">
        <is>
          <t xml:space="preserve">Industrial Office/Warehouse</t>
        </is>
      </c>
      <c r="T51" s="652"/>
      <c r="U51" s="2696"/>
      <c r="V51" s="652"/>
      <c r="W51" s="2696"/>
      <c r="X51" s="652"/>
      <c r="Y51" s="1580">
        <f t="shared" ca="1" si="37"/>
        <v>0</v>
      </c>
      <c r="Z51" s="1580">
        <f t="shared" ca="1" si="38"/>
        <v>0</v>
      </c>
      <c r="AA51" s="1580">
        <f t="shared" ca="1" si="39"/>
        <v>0</v>
      </c>
      <c r="AB51" s="1580">
        <f t="shared" ca="1" si="40"/>
        <v>0</v>
      </c>
      <c r="AC51" s="1580">
        <f t="shared" ca="1" si="41"/>
        <v>0</v>
      </c>
      <c r="AD51" s="1580">
        <f t="shared" ca="1" si="42"/>
        <v>0</v>
      </c>
      <c r="AE51" s="1580">
        <f t="shared" ca="1" si="43"/>
        <v>0</v>
      </c>
      <c r="AF51" s="1581">
        <f t="shared" ca="1" si="44"/>
        <v>0</v>
      </c>
      <c r="AG51" s="194"/>
      <c r="AH51" s="1579" t="str">
        <f t="shared" ca="1" si="45"/>
        <v/>
      </c>
      <c r="AI51" s="1580" t="str">
        <f t="shared" ca="1" si="46"/>
        <v/>
      </c>
      <c r="AJ51" s="1581" t="str">
        <f t="shared" ca="1" si="47"/>
        <v/>
      </c>
      <c r="AK51" s="194"/>
      <c r="AL51" s="1582">
        <f t="shared" ca="1" si="48"/>
        <v>0</v>
      </c>
      <c r="AM51" s="209"/>
      <c r="AN51" s="1582">
        <f t="shared" ca="1" si="49"/>
        <v>0</v>
      </c>
      <c r="AO51" s="209"/>
      <c r="AP51" s="1582">
        <f t="shared" ca="1" si="50"/>
        <v>0</v>
      </c>
      <c r="AQ51" s="209"/>
      <c r="AR51" s="1582">
        <f t="shared" ca="1" si="51"/>
        <v>0</v>
      </c>
      <c r="AS51" s="194"/>
      <c r="AT51" s="1582">
        <f t="shared" ca="1" si="52"/>
        <v>0</v>
      </c>
      <c r="AU51" s="194"/>
      <c r="AV51" s="194"/>
      <c r="AW51" s="194"/>
      <c r="AX51" s="194"/>
      <c r="AY51" s="194"/>
    </row>
    <row r="52" spans="1:51" s="2699" customFormat="1" ht="18" hidden="1" customHeight="1" x14ac:dyDescent="0.25">
      <c r="A52" s="972">
        <f t="shared" ca="1" si="23"/>
        <v>0</v>
      </c>
      <c r="B52" s="707">
        <f t="shared" si="28"/>
        <v>46</v>
      </c>
      <c r="C52" s="1376"/>
      <c r="D52" s="3346"/>
      <c r="E52" s="3346" t="str">
        <f t="shared" ca="1" si="29"/>
        <v/>
      </c>
      <c r="F52" s="1448" t="str">
        <f t="shared" ca="1" si="30"/>
        <v/>
      </c>
      <c r="G52" s="1418" t="str">
        <f t="shared" ca="1" si="31"/>
        <v/>
      </c>
      <c r="H52" s="3589" t="str">
        <f t="shared" ca="1" si="32"/>
        <v/>
      </c>
      <c r="I52" s="3589" t="str">
        <f t="shared" ca="1" si="33"/>
        <v/>
      </c>
      <c r="J52" s="3590" t="str">
        <f t="shared" ca="1" si="24"/>
        <v/>
      </c>
      <c r="K52" s="1422" t="str">
        <f t="shared" ca="1" si="34"/>
        <v/>
      </c>
      <c r="L52" s="1431" t="str">
        <f t="shared" ca="1" si="25"/>
        <v/>
      </c>
      <c r="M52" s="3591" t="str">
        <f t="shared" ca="1" si="26"/>
        <v/>
      </c>
      <c r="N52" s="3592" t="str">
        <f t="shared" ca="1" si="35"/>
        <v/>
      </c>
      <c r="O52" s="1420" t="e">
        <f ca="1">IF(U52="",IF(Income_RentRollSource="Datappraise/Manual Entry",VLOOKUP($B52,Datappraise_RentRoll,5,FALSE),IF(OR(Income_TechniqueUsed="Direct Capitalization",Income_TechniqueUsed="Direct Cap &amp; DCF"),VLOOKUP('Rent Roll'!S52,'Income Assumptions'!$D$11:$H$19,5,FALSE),VLOOKUP('Rent Roll'!S52,'Income Assumptions'!$D$50:$O$57,6,FALSE))),U52)</f>
        <v>#N/A</v>
      </c>
      <c r="P52" s="3346"/>
      <c r="Q52" s="1377"/>
      <c r="R52" s="652"/>
      <c r="S52" s="2696" t="inlineStr">
        <is>
          <t xml:space="preserve">Industrial Office/Warehouse</t>
        </is>
      </c>
      <c r="T52" s="652"/>
      <c r="U52" s="2696"/>
      <c r="V52" s="652"/>
      <c r="W52" s="2696"/>
      <c r="X52" s="652"/>
      <c r="Y52" s="1580">
        <f t="shared" ca="1" si="37"/>
        <v>0</v>
      </c>
      <c r="Z52" s="1580">
        <f t="shared" ca="1" si="38"/>
        <v>0</v>
      </c>
      <c r="AA52" s="1580">
        <f t="shared" ca="1" si="39"/>
        <v>0</v>
      </c>
      <c r="AB52" s="1580">
        <f t="shared" ca="1" si="40"/>
        <v>0</v>
      </c>
      <c r="AC52" s="1580">
        <f t="shared" ca="1" si="41"/>
        <v>0</v>
      </c>
      <c r="AD52" s="1580">
        <f t="shared" ca="1" si="42"/>
        <v>0</v>
      </c>
      <c r="AE52" s="1580">
        <f t="shared" ca="1" si="43"/>
        <v>0</v>
      </c>
      <c r="AF52" s="1581">
        <f t="shared" ca="1" si="44"/>
        <v>0</v>
      </c>
      <c r="AG52" s="194"/>
      <c r="AH52" s="1579" t="str">
        <f t="shared" ca="1" si="45"/>
        <v/>
      </c>
      <c r="AI52" s="1580" t="str">
        <f t="shared" ca="1" si="46"/>
        <v/>
      </c>
      <c r="AJ52" s="1581" t="str">
        <f t="shared" ca="1" si="47"/>
        <v/>
      </c>
      <c r="AK52" s="194"/>
      <c r="AL52" s="1582">
        <f t="shared" ca="1" si="48"/>
        <v>0</v>
      </c>
      <c r="AM52" s="209"/>
      <c r="AN52" s="1582">
        <f t="shared" ca="1" si="49"/>
        <v>0</v>
      </c>
      <c r="AO52" s="209"/>
      <c r="AP52" s="1582">
        <f t="shared" ca="1" si="50"/>
        <v>0</v>
      </c>
      <c r="AQ52" s="209"/>
      <c r="AR52" s="1582">
        <f t="shared" ca="1" si="51"/>
        <v>0</v>
      </c>
      <c r="AS52" s="194"/>
      <c r="AT52" s="1582">
        <f t="shared" ca="1" si="52"/>
        <v>0</v>
      </c>
      <c r="AU52" s="194"/>
      <c r="AV52" s="194"/>
      <c r="AW52" s="194"/>
      <c r="AX52" s="194"/>
      <c r="AY52" s="194"/>
    </row>
    <row r="53" spans="1:51" s="2699" customFormat="1" ht="18" hidden="1" customHeight="1" x14ac:dyDescent="0.25">
      <c r="A53" s="972">
        <f t="shared" ca="1" si="23"/>
        <v>0</v>
      </c>
      <c r="B53" s="707">
        <f t="shared" si="28"/>
        <v>47</v>
      </c>
      <c r="C53" s="1376"/>
      <c r="D53" s="3346"/>
      <c r="E53" s="3346" t="str">
        <f t="shared" ca="1" si="29"/>
        <v/>
      </c>
      <c r="F53" s="1448" t="str">
        <f t="shared" ca="1" si="30"/>
        <v/>
      </c>
      <c r="G53" s="1418" t="str">
        <f t="shared" ca="1" si="31"/>
        <v/>
      </c>
      <c r="H53" s="3589" t="str">
        <f t="shared" ca="1" si="32"/>
        <v/>
      </c>
      <c r="I53" s="3589" t="str">
        <f t="shared" ca="1" si="33"/>
        <v/>
      </c>
      <c r="J53" s="3590" t="str">
        <f t="shared" ca="1" si="24"/>
        <v/>
      </c>
      <c r="K53" s="1422" t="str">
        <f t="shared" ca="1" si="34"/>
        <v/>
      </c>
      <c r="L53" s="1431" t="str">
        <f t="shared" ca="1" si="25"/>
        <v/>
      </c>
      <c r="M53" s="3591" t="str">
        <f t="shared" ca="1" si="26"/>
        <v/>
      </c>
      <c r="N53" s="3592" t="str">
        <f t="shared" ca="1" si="35"/>
        <v/>
      </c>
      <c r="O53" s="1420" t="e">
        <f ca="1">IF(U53="",IF(Income_RentRollSource="Datappraise/Manual Entry",VLOOKUP($B53,Datappraise_RentRoll,5,FALSE),IF(OR(Income_TechniqueUsed="Direct Capitalization",Income_TechniqueUsed="Direct Cap &amp; DCF"),VLOOKUP('Rent Roll'!S53,'Income Assumptions'!$D$11:$H$19,5,FALSE),VLOOKUP('Rent Roll'!S53,'Income Assumptions'!$D$50:$O$57,6,FALSE))),U53)</f>
        <v>#N/A</v>
      </c>
      <c r="P53" s="3346"/>
      <c r="Q53" s="1377"/>
      <c r="R53" s="652"/>
      <c r="S53" s="2696" t="inlineStr">
        <is>
          <t xml:space="preserve">Industrial Office/Warehouse</t>
        </is>
      </c>
      <c r="T53" s="652"/>
      <c r="U53" s="2696"/>
      <c r="V53" s="652"/>
      <c r="W53" s="2696"/>
      <c r="X53" s="652"/>
      <c r="Y53" s="1580">
        <f t="shared" ca="1" si="37"/>
        <v>0</v>
      </c>
      <c r="Z53" s="1580">
        <f t="shared" ca="1" si="38"/>
        <v>0</v>
      </c>
      <c r="AA53" s="1580">
        <f t="shared" ca="1" si="39"/>
        <v>0</v>
      </c>
      <c r="AB53" s="1580">
        <f t="shared" ca="1" si="40"/>
        <v>0</v>
      </c>
      <c r="AC53" s="1580">
        <f t="shared" ca="1" si="41"/>
        <v>0</v>
      </c>
      <c r="AD53" s="1580">
        <f t="shared" ca="1" si="42"/>
        <v>0</v>
      </c>
      <c r="AE53" s="1580">
        <f t="shared" ca="1" si="43"/>
        <v>0</v>
      </c>
      <c r="AF53" s="1581">
        <f t="shared" ca="1" si="44"/>
        <v>0</v>
      </c>
      <c r="AG53" s="194"/>
      <c r="AH53" s="1579" t="str">
        <f t="shared" ca="1" si="45"/>
        <v/>
      </c>
      <c r="AI53" s="1580" t="str">
        <f t="shared" ca="1" si="46"/>
        <v/>
      </c>
      <c r="AJ53" s="1581" t="str">
        <f t="shared" ca="1" si="47"/>
        <v/>
      </c>
      <c r="AK53" s="194"/>
      <c r="AL53" s="1582">
        <f t="shared" ca="1" si="48"/>
        <v>0</v>
      </c>
      <c r="AM53" s="209"/>
      <c r="AN53" s="1582">
        <f t="shared" ca="1" si="49"/>
        <v>0</v>
      </c>
      <c r="AO53" s="209"/>
      <c r="AP53" s="1582">
        <f t="shared" ca="1" si="50"/>
        <v>0</v>
      </c>
      <c r="AQ53" s="209"/>
      <c r="AR53" s="1582">
        <f t="shared" ca="1" si="51"/>
        <v>0</v>
      </c>
      <c r="AS53" s="194"/>
      <c r="AT53" s="1582">
        <f t="shared" ca="1" si="52"/>
        <v>0</v>
      </c>
      <c r="AU53" s="194"/>
      <c r="AV53" s="194"/>
      <c r="AW53" s="194"/>
      <c r="AX53" s="194"/>
      <c r="AY53" s="194"/>
    </row>
    <row r="54" spans="1:51" s="2699" customFormat="1" ht="18" hidden="1" customHeight="1" x14ac:dyDescent="0.25">
      <c r="A54" s="972">
        <f t="shared" ca="1" si="23"/>
        <v>0</v>
      </c>
      <c r="B54" s="707">
        <f t="shared" si="28"/>
        <v>48</v>
      </c>
      <c r="C54" s="1376"/>
      <c r="D54" s="3346"/>
      <c r="E54" s="3346" t="str">
        <f t="shared" ca="1" si="29"/>
        <v/>
      </c>
      <c r="F54" s="1448" t="str">
        <f t="shared" ca="1" si="30"/>
        <v/>
      </c>
      <c r="G54" s="1418" t="str">
        <f t="shared" ca="1" si="31"/>
        <v/>
      </c>
      <c r="H54" s="3589" t="str">
        <f t="shared" ca="1" si="32"/>
        <v/>
      </c>
      <c r="I54" s="3589" t="str">
        <f t="shared" ca="1" si="33"/>
        <v/>
      </c>
      <c r="J54" s="3590" t="str">
        <f t="shared" ca="1" si="24"/>
        <v/>
      </c>
      <c r="K54" s="1422" t="str">
        <f t="shared" ca="1" si="34"/>
        <v/>
      </c>
      <c r="L54" s="1431" t="str">
        <f t="shared" ca="1" si="25"/>
        <v/>
      </c>
      <c r="M54" s="3591" t="str">
        <f t="shared" ca="1" si="26"/>
        <v/>
      </c>
      <c r="N54" s="3592" t="str">
        <f t="shared" ca="1" si="35"/>
        <v/>
      </c>
      <c r="O54" s="1420" t="e">
        <f ca="1">IF(U54="",IF(Income_RentRollSource="Datappraise/Manual Entry",VLOOKUP($B54,Datappraise_RentRoll,5,FALSE),IF(OR(Income_TechniqueUsed="Direct Capitalization",Income_TechniqueUsed="Direct Cap &amp; DCF"),VLOOKUP('Rent Roll'!S54,'Income Assumptions'!$D$11:$H$19,5,FALSE),VLOOKUP('Rent Roll'!S54,'Income Assumptions'!$D$50:$O$57,6,FALSE))),U54)</f>
        <v>#N/A</v>
      </c>
      <c r="P54" s="3346"/>
      <c r="Q54" s="1377"/>
      <c r="R54" s="652"/>
      <c r="S54" s="2696" t="inlineStr">
        <is>
          <t xml:space="preserve">Industrial Office/Warehouse</t>
        </is>
      </c>
      <c r="T54" s="652"/>
      <c r="U54" s="2696"/>
      <c r="V54" s="652"/>
      <c r="W54" s="2696"/>
      <c r="X54" s="652"/>
      <c r="Y54" s="1580">
        <f t="shared" ca="1" si="37"/>
        <v>0</v>
      </c>
      <c r="Z54" s="1580">
        <f t="shared" ca="1" si="38"/>
        <v>0</v>
      </c>
      <c r="AA54" s="1580">
        <f t="shared" ca="1" si="39"/>
        <v>0</v>
      </c>
      <c r="AB54" s="1580">
        <f t="shared" ca="1" si="40"/>
        <v>0</v>
      </c>
      <c r="AC54" s="1580">
        <f t="shared" ca="1" si="41"/>
        <v>0</v>
      </c>
      <c r="AD54" s="1580">
        <f t="shared" ca="1" si="42"/>
        <v>0</v>
      </c>
      <c r="AE54" s="1580">
        <f t="shared" ca="1" si="43"/>
        <v>0</v>
      </c>
      <c r="AF54" s="1581">
        <f t="shared" ca="1" si="44"/>
        <v>0</v>
      </c>
      <c r="AG54" s="194"/>
      <c r="AH54" s="1579" t="str">
        <f t="shared" ca="1" si="45"/>
        <v/>
      </c>
      <c r="AI54" s="1580" t="str">
        <f t="shared" ca="1" si="46"/>
        <v/>
      </c>
      <c r="AJ54" s="1581" t="str">
        <f t="shared" ca="1" si="47"/>
        <v/>
      </c>
      <c r="AK54" s="194"/>
      <c r="AL54" s="1582">
        <f t="shared" ca="1" si="48"/>
        <v>0</v>
      </c>
      <c r="AM54" s="209"/>
      <c r="AN54" s="1582">
        <f t="shared" ca="1" si="49"/>
        <v>0</v>
      </c>
      <c r="AO54" s="209"/>
      <c r="AP54" s="1582">
        <f t="shared" ca="1" si="50"/>
        <v>0</v>
      </c>
      <c r="AQ54" s="209"/>
      <c r="AR54" s="1582">
        <f t="shared" ca="1" si="51"/>
        <v>0</v>
      </c>
      <c r="AS54" s="194"/>
      <c r="AT54" s="1582">
        <f t="shared" ca="1" si="52"/>
        <v>0</v>
      </c>
      <c r="AU54" s="194"/>
      <c r="AV54" s="194"/>
      <c r="AW54" s="194"/>
      <c r="AX54" s="194"/>
      <c r="AY54" s="194"/>
    </row>
    <row r="55" spans="1:51" s="2699" customFormat="1" ht="18" hidden="1" customHeight="1" x14ac:dyDescent="0.25">
      <c r="A55" s="972">
        <f t="shared" ca="1" si="23"/>
        <v>0</v>
      </c>
      <c r="B55" s="707">
        <f t="shared" si="28"/>
        <v>49</v>
      </c>
      <c r="C55" s="1376"/>
      <c r="D55" s="3346"/>
      <c r="E55" s="3346" t="str">
        <f t="shared" ca="1" si="29"/>
        <v/>
      </c>
      <c r="F55" s="1448" t="str">
        <f t="shared" ca="1" si="30"/>
        <v/>
      </c>
      <c r="G55" s="1418" t="str">
        <f t="shared" ca="1" si="31"/>
        <v/>
      </c>
      <c r="H55" s="3589" t="str">
        <f t="shared" ca="1" si="32"/>
        <v/>
      </c>
      <c r="I55" s="3589" t="str">
        <f t="shared" ca="1" si="33"/>
        <v/>
      </c>
      <c r="J55" s="3590" t="str">
        <f t="shared" ca="1" si="24"/>
        <v/>
      </c>
      <c r="K55" s="1422" t="str">
        <f t="shared" ca="1" si="34"/>
        <v/>
      </c>
      <c r="L55" s="1431" t="str">
        <f t="shared" ca="1" si="25"/>
        <v/>
      </c>
      <c r="M55" s="3591" t="str">
        <f t="shared" ca="1" si="26"/>
        <v/>
      </c>
      <c r="N55" s="3592" t="str">
        <f t="shared" ca="1" si="35"/>
        <v/>
      </c>
      <c r="O55" s="1420" t="e">
        <f ca="1">IF(U55="",IF(Income_RentRollSource="Datappraise/Manual Entry",VLOOKUP($B55,Datappraise_RentRoll,5,FALSE),IF(OR(Income_TechniqueUsed="Direct Capitalization",Income_TechniqueUsed="Direct Cap &amp; DCF"),VLOOKUP('Rent Roll'!S55,'Income Assumptions'!$D$11:$H$19,5,FALSE),VLOOKUP('Rent Roll'!S55,'Income Assumptions'!$D$50:$O$57,6,FALSE))),U55)</f>
        <v>#N/A</v>
      </c>
      <c r="P55" s="3346"/>
      <c r="Q55" s="1377"/>
      <c r="R55" s="652"/>
      <c r="S55" s="2696" t="inlineStr">
        <is>
          <t xml:space="preserve">Industrial Office/Warehouse</t>
        </is>
      </c>
      <c r="T55" s="652"/>
      <c r="U55" s="2696"/>
      <c r="V55" s="652"/>
      <c r="W55" s="2696"/>
      <c r="X55" s="652"/>
      <c r="Y55" s="1580">
        <f t="shared" ca="1" si="37"/>
        <v>0</v>
      </c>
      <c r="Z55" s="1580">
        <f t="shared" ca="1" si="38"/>
        <v>0</v>
      </c>
      <c r="AA55" s="1580">
        <f t="shared" ca="1" si="39"/>
        <v>0</v>
      </c>
      <c r="AB55" s="1580">
        <f t="shared" ca="1" si="40"/>
        <v>0</v>
      </c>
      <c r="AC55" s="1580">
        <f t="shared" ca="1" si="41"/>
        <v>0</v>
      </c>
      <c r="AD55" s="1580">
        <f t="shared" ca="1" si="42"/>
        <v>0</v>
      </c>
      <c r="AE55" s="1580">
        <f t="shared" ca="1" si="43"/>
        <v>0</v>
      </c>
      <c r="AF55" s="1581">
        <f t="shared" ca="1" si="44"/>
        <v>0</v>
      </c>
      <c r="AG55" s="194"/>
      <c r="AH55" s="1579" t="str">
        <f t="shared" ca="1" si="45"/>
        <v/>
      </c>
      <c r="AI55" s="1580" t="str">
        <f t="shared" ca="1" si="46"/>
        <v/>
      </c>
      <c r="AJ55" s="1581" t="str">
        <f t="shared" ca="1" si="47"/>
        <v/>
      </c>
      <c r="AK55" s="194"/>
      <c r="AL55" s="1582">
        <f t="shared" ca="1" si="48"/>
        <v>0</v>
      </c>
      <c r="AM55" s="209"/>
      <c r="AN55" s="1582">
        <f t="shared" ca="1" si="49"/>
        <v>0</v>
      </c>
      <c r="AO55" s="209"/>
      <c r="AP55" s="1582">
        <f t="shared" ca="1" si="50"/>
        <v>0</v>
      </c>
      <c r="AQ55" s="209"/>
      <c r="AR55" s="1582">
        <f t="shared" ca="1" si="51"/>
        <v>0</v>
      </c>
      <c r="AS55" s="194"/>
      <c r="AT55" s="1582">
        <f t="shared" ca="1" si="52"/>
        <v>0</v>
      </c>
      <c r="AU55" s="194"/>
      <c r="AV55" s="194"/>
      <c r="AW55" s="194"/>
      <c r="AX55" s="194"/>
      <c r="AY55" s="194"/>
    </row>
    <row r="56" spans="1:51" s="2699" customFormat="1" ht="18" hidden="1" customHeight="1" x14ac:dyDescent="0.25">
      <c r="A56" s="972">
        <f t="shared" ca="1" si="23"/>
        <v>0</v>
      </c>
      <c r="B56" s="707">
        <f t="shared" si="28"/>
        <v>50</v>
      </c>
      <c r="C56" s="1376"/>
      <c r="D56" s="3346"/>
      <c r="E56" s="3346" t="str">
        <f t="shared" ca="1" si="29"/>
        <v/>
      </c>
      <c r="F56" s="1448" t="str">
        <f t="shared" ca="1" si="30"/>
        <v/>
      </c>
      <c r="G56" s="1418" t="str">
        <f t="shared" ca="1" si="31"/>
        <v/>
      </c>
      <c r="H56" s="3589" t="str">
        <f t="shared" ca="1" si="32"/>
        <v/>
      </c>
      <c r="I56" s="3589" t="str">
        <f t="shared" ca="1" si="33"/>
        <v/>
      </c>
      <c r="J56" s="3590" t="str">
        <f t="shared" ca="1" si="24"/>
        <v/>
      </c>
      <c r="K56" s="1422" t="str">
        <f t="shared" ca="1" si="34"/>
        <v/>
      </c>
      <c r="L56" s="1431" t="str">
        <f t="shared" ca="1" si="25"/>
        <v/>
      </c>
      <c r="M56" s="3591" t="str">
        <f t="shared" ca="1" si="26"/>
        <v/>
      </c>
      <c r="N56" s="3592" t="str">
        <f t="shared" ca="1" si="35"/>
        <v/>
      </c>
      <c r="O56" s="1420" t="e">
        <f ca="1">IF(U56="",IF(Income_RentRollSource="Datappraise/Manual Entry",VLOOKUP($B56,Datappraise_RentRoll,5,FALSE),IF(OR(Income_TechniqueUsed="Direct Capitalization",Income_TechniqueUsed="Direct Cap &amp; DCF"),VLOOKUP('Rent Roll'!S56,'Income Assumptions'!$D$11:$H$19,5,FALSE),VLOOKUP('Rent Roll'!S56,'Income Assumptions'!$D$50:$O$57,6,FALSE))),U56)</f>
        <v>#N/A</v>
      </c>
      <c r="P56" s="3346"/>
      <c r="Q56" s="1377"/>
      <c r="R56" s="652"/>
      <c r="S56" s="2696" t="inlineStr">
        <is>
          <t xml:space="preserve">Industrial Office/Warehouse</t>
        </is>
      </c>
      <c r="T56" s="652"/>
      <c r="U56" s="2696"/>
      <c r="V56" s="652"/>
      <c r="W56" s="2696"/>
      <c r="X56" s="652"/>
      <c r="Y56" s="1580">
        <f t="shared" ca="1" si="37"/>
        <v>0</v>
      </c>
      <c r="Z56" s="1580">
        <f t="shared" ca="1" si="38"/>
        <v>0</v>
      </c>
      <c r="AA56" s="1580">
        <f t="shared" ca="1" si="39"/>
        <v>0</v>
      </c>
      <c r="AB56" s="1580">
        <f t="shared" ca="1" si="40"/>
        <v>0</v>
      </c>
      <c r="AC56" s="1580">
        <f t="shared" ca="1" si="41"/>
        <v>0</v>
      </c>
      <c r="AD56" s="1580">
        <f t="shared" ca="1" si="42"/>
        <v>0</v>
      </c>
      <c r="AE56" s="1580">
        <f t="shared" ca="1" si="43"/>
        <v>0</v>
      </c>
      <c r="AF56" s="1581">
        <f t="shared" ca="1" si="44"/>
        <v>0</v>
      </c>
      <c r="AG56" s="194"/>
      <c r="AH56" s="1579" t="str">
        <f t="shared" ca="1" si="45"/>
        <v/>
      </c>
      <c r="AI56" s="1580" t="str">
        <f t="shared" ca="1" si="46"/>
        <v/>
      </c>
      <c r="AJ56" s="1581" t="str">
        <f t="shared" ca="1" si="47"/>
        <v/>
      </c>
      <c r="AK56" s="194"/>
      <c r="AL56" s="1582">
        <f t="shared" ca="1" si="48"/>
        <v>0</v>
      </c>
      <c r="AM56" s="209"/>
      <c r="AN56" s="1582">
        <f t="shared" ca="1" si="49"/>
        <v>0</v>
      </c>
      <c r="AO56" s="209"/>
      <c r="AP56" s="1582">
        <f t="shared" ca="1" si="50"/>
        <v>0</v>
      </c>
      <c r="AQ56" s="209"/>
      <c r="AR56" s="1582">
        <f t="shared" ca="1" si="51"/>
        <v>0</v>
      </c>
      <c r="AS56" s="194"/>
      <c r="AT56" s="1582">
        <f t="shared" ca="1" si="52"/>
        <v>0</v>
      </c>
      <c r="AU56" s="194"/>
      <c r="AV56" s="194"/>
      <c r="AW56" s="194"/>
      <c r="AX56" s="194"/>
      <c r="AY56" s="194"/>
    </row>
    <row r="57" spans="1:51" s="2699" customFormat="1" ht="18" hidden="1" customHeight="1" x14ac:dyDescent="0.25">
      <c r="A57" s="972">
        <f t="shared" ca="1" si="23"/>
        <v>0</v>
      </c>
      <c r="B57" s="707">
        <f t="shared" si="28"/>
        <v>51</v>
      </c>
      <c r="C57" s="1376"/>
      <c r="D57" s="3346"/>
      <c r="E57" s="3346" t="str">
        <f t="shared" ca="1" si="29"/>
        <v/>
      </c>
      <c r="F57" s="1448" t="str">
        <f t="shared" ca="1" si="30"/>
        <v/>
      </c>
      <c r="G57" s="1418" t="str">
        <f t="shared" ca="1" si="31"/>
        <v/>
      </c>
      <c r="H57" s="3589" t="str">
        <f t="shared" ca="1" si="32"/>
        <v/>
      </c>
      <c r="I57" s="3589" t="str">
        <f t="shared" ca="1" si="33"/>
        <v/>
      </c>
      <c r="J57" s="3590" t="str">
        <f t="shared" ca="1" si="24"/>
        <v/>
      </c>
      <c r="K57" s="1422" t="str">
        <f t="shared" ca="1" si="34"/>
        <v/>
      </c>
      <c r="L57" s="1431" t="str">
        <f t="shared" ca="1" si="25"/>
        <v/>
      </c>
      <c r="M57" s="3591" t="str">
        <f t="shared" ca="1" si="26"/>
        <v/>
      </c>
      <c r="N57" s="3592" t="str">
        <f t="shared" ca="1" si="35"/>
        <v/>
      </c>
      <c r="O57" s="1420" t="e">
        <f ca="1">IF(U57="",IF(Income_RentRollSource="Datappraise/Manual Entry",VLOOKUP($B57,Datappraise_RentRoll,5,FALSE),IF(OR(Income_TechniqueUsed="Direct Capitalization",Income_TechniqueUsed="Direct Cap &amp; DCF"),VLOOKUP('Rent Roll'!S57,'Income Assumptions'!$D$11:$H$19,5,FALSE),VLOOKUP('Rent Roll'!S57,'Income Assumptions'!$D$50:$O$57,6,FALSE))),U57)</f>
        <v>#N/A</v>
      </c>
      <c r="P57" s="3346"/>
      <c r="Q57" s="1377"/>
      <c r="R57" s="652"/>
      <c r="S57" s="2696" t="inlineStr">
        <is>
          <t xml:space="preserve">Industrial Office/Warehouse</t>
        </is>
      </c>
      <c r="T57" s="652"/>
      <c r="U57" s="2696"/>
      <c r="V57" s="652"/>
      <c r="W57" s="2696"/>
      <c r="X57" s="652"/>
      <c r="Y57" s="1580">
        <f t="shared" ca="1" si="37"/>
        <v>0</v>
      </c>
      <c r="Z57" s="1580">
        <f t="shared" ca="1" si="38"/>
        <v>0</v>
      </c>
      <c r="AA57" s="1580">
        <f t="shared" ca="1" si="39"/>
        <v>0</v>
      </c>
      <c r="AB57" s="1580">
        <f t="shared" ca="1" si="40"/>
        <v>0</v>
      </c>
      <c r="AC57" s="1580">
        <f t="shared" ca="1" si="41"/>
        <v>0</v>
      </c>
      <c r="AD57" s="1580">
        <f t="shared" ca="1" si="42"/>
        <v>0</v>
      </c>
      <c r="AE57" s="1580">
        <f t="shared" ca="1" si="43"/>
        <v>0</v>
      </c>
      <c r="AF57" s="1581">
        <f t="shared" ca="1" si="44"/>
        <v>0</v>
      </c>
      <c r="AG57" s="194"/>
      <c r="AH57" s="1579" t="str">
        <f t="shared" ca="1" si="45"/>
        <v/>
      </c>
      <c r="AI57" s="1580" t="str">
        <f t="shared" ca="1" si="46"/>
        <v/>
      </c>
      <c r="AJ57" s="1581" t="str">
        <f t="shared" ca="1" si="47"/>
        <v/>
      </c>
      <c r="AK57" s="194"/>
      <c r="AL57" s="1582">
        <f t="shared" ca="1" si="48"/>
        <v>0</v>
      </c>
      <c r="AM57" s="209"/>
      <c r="AN57" s="1582">
        <f t="shared" ca="1" si="49"/>
        <v>0</v>
      </c>
      <c r="AO57" s="209"/>
      <c r="AP57" s="1582">
        <f t="shared" ca="1" si="50"/>
        <v>0</v>
      </c>
      <c r="AQ57" s="209"/>
      <c r="AR57" s="1582">
        <f t="shared" ca="1" si="51"/>
        <v>0</v>
      </c>
      <c r="AS57" s="194"/>
      <c r="AT57" s="1582">
        <f t="shared" ca="1" si="52"/>
        <v>0</v>
      </c>
      <c r="AU57" s="194"/>
      <c r="AV57" s="194"/>
      <c r="AW57" s="194"/>
      <c r="AX57" s="194"/>
      <c r="AY57" s="194"/>
    </row>
    <row r="58" spans="1:51" s="2699" customFormat="1" ht="18" hidden="1" customHeight="1" x14ac:dyDescent="0.25">
      <c r="A58" s="972">
        <f t="shared" ca="1" si="23"/>
        <v>0</v>
      </c>
      <c r="B58" s="707">
        <f t="shared" si="28"/>
        <v>52</v>
      </c>
      <c r="C58" s="1376"/>
      <c r="D58" s="3346"/>
      <c r="E58" s="3346" t="str">
        <f t="shared" ca="1" si="29"/>
        <v/>
      </c>
      <c r="F58" s="1448" t="str">
        <f t="shared" ca="1" si="30"/>
        <v/>
      </c>
      <c r="G58" s="1418" t="str">
        <f t="shared" ca="1" si="31"/>
        <v/>
      </c>
      <c r="H58" s="3589" t="str">
        <f t="shared" ca="1" si="32"/>
        <v/>
      </c>
      <c r="I58" s="3589" t="str">
        <f t="shared" ca="1" si="33"/>
        <v/>
      </c>
      <c r="J58" s="3590" t="str">
        <f t="shared" ca="1" si="24"/>
        <v/>
      </c>
      <c r="K58" s="1422" t="str">
        <f t="shared" ca="1" si="34"/>
        <v/>
      </c>
      <c r="L58" s="1431" t="str">
        <f t="shared" ca="1" si="25"/>
        <v/>
      </c>
      <c r="M58" s="3591" t="str">
        <f t="shared" ca="1" si="26"/>
        <v/>
      </c>
      <c r="N58" s="3592" t="str">
        <f t="shared" ca="1" si="35"/>
        <v/>
      </c>
      <c r="O58" s="1420" t="e">
        <f ca="1">IF(U58="",IF(Income_RentRollSource="Datappraise/Manual Entry",VLOOKUP($B58,Datappraise_RentRoll,5,FALSE),IF(OR(Income_TechniqueUsed="Direct Capitalization",Income_TechniqueUsed="Direct Cap &amp; DCF"),VLOOKUP('Rent Roll'!S58,'Income Assumptions'!$D$11:$H$19,5,FALSE),VLOOKUP('Rent Roll'!S58,'Income Assumptions'!$D$50:$O$57,6,FALSE))),U58)</f>
        <v>#N/A</v>
      </c>
      <c r="P58" s="3346"/>
      <c r="Q58" s="1377"/>
      <c r="R58" s="652"/>
      <c r="S58" s="2696" t="inlineStr">
        <is>
          <t xml:space="preserve">Industrial Office/Warehouse</t>
        </is>
      </c>
      <c r="T58" s="652"/>
      <c r="U58" s="2696"/>
      <c r="V58" s="652"/>
      <c r="W58" s="2696"/>
      <c r="X58" s="652"/>
      <c r="Y58" s="1580">
        <f t="shared" ca="1" si="37"/>
        <v>0</v>
      </c>
      <c r="Z58" s="1580">
        <f t="shared" ca="1" si="38"/>
        <v>0</v>
      </c>
      <c r="AA58" s="1580">
        <f t="shared" ca="1" si="39"/>
        <v>0</v>
      </c>
      <c r="AB58" s="1580">
        <f t="shared" ca="1" si="40"/>
        <v>0</v>
      </c>
      <c r="AC58" s="1580">
        <f t="shared" ca="1" si="41"/>
        <v>0</v>
      </c>
      <c r="AD58" s="1580">
        <f t="shared" ca="1" si="42"/>
        <v>0</v>
      </c>
      <c r="AE58" s="1580">
        <f t="shared" ca="1" si="43"/>
        <v>0</v>
      </c>
      <c r="AF58" s="1581">
        <f t="shared" ca="1" si="44"/>
        <v>0</v>
      </c>
      <c r="AG58" s="194"/>
      <c r="AH58" s="1579" t="str">
        <f t="shared" ca="1" si="45"/>
        <v/>
      </c>
      <c r="AI58" s="1580" t="str">
        <f t="shared" ca="1" si="46"/>
        <v/>
      </c>
      <c r="AJ58" s="1581" t="str">
        <f t="shared" ca="1" si="47"/>
        <v/>
      </c>
      <c r="AK58" s="194"/>
      <c r="AL58" s="1582">
        <f t="shared" ca="1" si="48"/>
        <v>0</v>
      </c>
      <c r="AM58" s="209"/>
      <c r="AN58" s="1582">
        <f t="shared" ca="1" si="49"/>
        <v>0</v>
      </c>
      <c r="AO58" s="209"/>
      <c r="AP58" s="1582">
        <f t="shared" ca="1" si="50"/>
        <v>0</v>
      </c>
      <c r="AQ58" s="209"/>
      <c r="AR58" s="1582">
        <f t="shared" ca="1" si="51"/>
        <v>0</v>
      </c>
      <c r="AS58" s="194"/>
      <c r="AT58" s="1582">
        <f t="shared" ca="1" si="52"/>
        <v>0</v>
      </c>
      <c r="AU58" s="194"/>
      <c r="AV58" s="194"/>
      <c r="AW58" s="194"/>
      <c r="AX58" s="194"/>
      <c r="AY58" s="194"/>
    </row>
    <row r="59" spans="1:51" s="2699" customFormat="1" ht="18" hidden="1" customHeight="1" x14ac:dyDescent="0.25">
      <c r="A59" s="972">
        <f t="shared" ca="1" si="23"/>
        <v>0</v>
      </c>
      <c r="B59" s="707">
        <f t="shared" si="28"/>
        <v>53</v>
      </c>
      <c r="C59" s="1376"/>
      <c r="D59" s="3346"/>
      <c r="E59" s="3346" t="str">
        <f t="shared" ca="1" si="29"/>
        <v/>
      </c>
      <c r="F59" s="1448" t="str">
        <f t="shared" ca="1" si="30"/>
        <v/>
      </c>
      <c r="G59" s="1418" t="str">
        <f t="shared" ca="1" si="31"/>
        <v/>
      </c>
      <c r="H59" s="3589" t="str">
        <f t="shared" ca="1" si="32"/>
        <v/>
      </c>
      <c r="I59" s="3589" t="str">
        <f t="shared" ca="1" si="33"/>
        <v/>
      </c>
      <c r="J59" s="3590" t="str">
        <f t="shared" ca="1" si="24"/>
        <v/>
      </c>
      <c r="K59" s="1422" t="str">
        <f t="shared" ca="1" si="34"/>
        <v/>
      </c>
      <c r="L59" s="1431" t="str">
        <f t="shared" ca="1" si="25"/>
        <v/>
      </c>
      <c r="M59" s="3591" t="str">
        <f t="shared" ca="1" si="26"/>
        <v/>
      </c>
      <c r="N59" s="3592" t="str">
        <f t="shared" ca="1" si="35"/>
        <v/>
      </c>
      <c r="O59" s="1420" t="e">
        <f ca="1">IF(U59="",IF(Income_RentRollSource="Datappraise/Manual Entry",VLOOKUP($B59,Datappraise_RentRoll,5,FALSE),IF(OR(Income_TechniqueUsed="Direct Capitalization",Income_TechniqueUsed="Direct Cap &amp; DCF"),VLOOKUP('Rent Roll'!S59,'Income Assumptions'!$D$11:$H$19,5,FALSE),VLOOKUP('Rent Roll'!S59,'Income Assumptions'!$D$50:$O$57,6,FALSE))),U59)</f>
        <v>#N/A</v>
      </c>
      <c r="P59" s="3346"/>
      <c r="Q59" s="1377"/>
      <c r="R59" s="652"/>
      <c r="S59" s="2696" t="inlineStr">
        <is>
          <t xml:space="preserve">Industrial Office/Warehouse</t>
        </is>
      </c>
      <c r="T59" s="652"/>
      <c r="U59" s="2696"/>
      <c r="V59" s="652"/>
      <c r="W59" s="2696"/>
      <c r="X59" s="652"/>
      <c r="Y59" s="1580">
        <f t="shared" ca="1" si="37"/>
        <v>0</v>
      </c>
      <c r="Z59" s="1580">
        <f t="shared" ca="1" si="38"/>
        <v>0</v>
      </c>
      <c r="AA59" s="1580">
        <f t="shared" ca="1" si="39"/>
        <v>0</v>
      </c>
      <c r="AB59" s="1580">
        <f t="shared" ca="1" si="40"/>
        <v>0</v>
      </c>
      <c r="AC59" s="1580">
        <f t="shared" ca="1" si="41"/>
        <v>0</v>
      </c>
      <c r="AD59" s="1580">
        <f t="shared" ca="1" si="42"/>
        <v>0</v>
      </c>
      <c r="AE59" s="1580">
        <f t="shared" ca="1" si="43"/>
        <v>0</v>
      </c>
      <c r="AF59" s="1581">
        <f t="shared" ca="1" si="44"/>
        <v>0</v>
      </c>
      <c r="AG59" s="194"/>
      <c r="AH59" s="1579" t="str">
        <f t="shared" ca="1" si="45"/>
        <v/>
      </c>
      <c r="AI59" s="1580" t="str">
        <f t="shared" ca="1" si="46"/>
        <v/>
      </c>
      <c r="AJ59" s="1581" t="str">
        <f t="shared" ca="1" si="47"/>
        <v/>
      </c>
      <c r="AK59" s="194"/>
      <c r="AL59" s="1582">
        <f t="shared" ca="1" si="48"/>
        <v>0</v>
      </c>
      <c r="AM59" s="209"/>
      <c r="AN59" s="1582">
        <f t="shared" ca="1" si="49"/>
        <v>0</v>
      </c>
      <c r="AO59" s="209"/>
      <c r="AP59" s="1582">
        <f t="shared" ca="1" si="50"/>
        <v>0</v>
      </c>
      <c r="AQ59" s="209"/>
      <c r="AR59" s="1582">
        <f t="shared" ca="1" si="51"/>
        <v>0</v>
      </c>
      <c r="AS59" s="194"/>
      <c r="AT59" s="1582">
        <f t="shared" ca="1" si="52"/>
        <v>0</v>
      </c>
      <c r="AU59" s="194"/>
      <c r="AV59" s="194"/>
      <c r="AW59" s="194"/>
      <c r="AX59" s="194"/>
      <c r="AY59" s="194"/>
    </row>
    <row r="60" spans="1:51" s="2699" customFormat="1" ht="18" hidden="1" customHeight="1" x14ac:dyDescent="0.25">
      <c r="A60" s="972">
        <f t="shared" ca="1" si="23"/>
        <v>0</v>
      </c>
      <c r="B60" s="707">
        <f t="shared" si="28"/>
        <v>54</v>
      </c>
      <c r="C60" s="1376"/>
      <c r="D60" s="3346"/>
      <c r="E60" s="3346" t="str">
        <f t="shared" ca="1" si="29"/>
        <v/>
      </c>
      <c r="F60" s="1448" t="str">
        <f t="shared" ca="1" si="30"/>
        <v/>
      </c>
      <c r="G60" s="1418" t="str">
        <f t="shared" ca="1" si="31"/>
        <v/>
      </c>
      <c r="H60" s="3589" t="str">
        <f t="shared" ca="1" si="32"/>
        <v/>
      </c>
      <c r="I60" s="3589" t="str">
        <f t="shared" ca="1" si="33"/>
        <v/>
      </c>
      <c r="J60" s="3590" t="str">
        <f t="shared" ca="1" si="24"/>
        <v/>
      </c>
      <c r="K60" s="1422" t="str">
        <f t="shared" ca="1" si="34"/>
        <v/>
      </c>
      <c r="L60" s="1431" t="str">
        <f t="shared" ca="1" si="25"/>
        <v/>
      </c>
      <c r="M60" s="3591" t="str">
        <f t="shared" ca="1" si="26"/>
        <v/>
      </c>
      <c r="N60" s="3592" t="str">
        <f t="shared" ca="1" si="35"/>
        <v/>
      </c>
      <c r="O60" s="1420" t="e">
        <f ca="1">IF(U60="",IF(Income_RentRollSource="Datappraise/Manual Entry",VLOOKUP($B60,Datappraise_RentRoll,5,FALSE),IF(OR(Income_TechniqueUsed="Direct Capitalization",Income_TechniqueUsed="Direct Cap &amp; DCF"),VLOOKUP('Rent Roll'!S60,'Income Assumptions'!$D$11:$H$19,5,FALSE),VLOOKUP('Rent Roll'!S60,'Income Assumptions'!$D$50:$O$57,6,FALSE))),U60)</f>
        <v>#N/A</v>
      </c>
      <c r="P60" s="3346"/>
      <c r="Q60" s="1377"/>
      <c r="R60" s="652"/>
      <c r="S60" s="2696" t="inlineStr">
        <is>
          <t xml:space="preserve">Industrial Office/Warehouse</t>
        </is>
      </c>
      <c r="T60" s="652"/>
      <c r="U60" s="2696"/>
      <c r="V60" s="652"/>
      <c r="W60" s="2696"/>
      <c r="X60" s="652"/>
      <c r="Y60" s="1580">
        <f t="shared" ca="1" si="37"/>
        <v>0</v>
      </c>
      <c r="Z60" s="1580">
        <f t="shared" ca="1" si="38"/>
        <v>0</v>
      </c>
      <c r="AA60" s="1580">
        <f t="shared" ca="1" si="39"/>
        <v>0</v>
      </c>
      <c r="AB60" s="1580">
        <f t="shared" ca="1" si="40"/>
        <v>0</v>
      </c>
      <c r="AC60" s="1580">
        <f t="shared" ca="1" si="41"/>
        <v>0</v>
      </c>
      <c r="AD60" s="1580">
        <f t="shared" ca="1" si="42"/>
        <v>0</v>
      </c>
      <c r="AE60" s="1580">
        <f t="shared" ca="1" si="43"/>
        <v>0</v>
      </c>
      <c r="AF60" s="1581">
        <f t="shared" ca="1" si="44"/>
        <v>0</v>
      </c>
      <c r="AG60" s="194"/>
      <c r="AH60" s="1579" t="str">
        <f t="shared" ca="1" si="45"/>
        <v/>
      </c>
      <c r="AI60" s="1580" t="str">
        <f t="shared" ca="1" si="46"/>
        <v/>
      </c>
      <c r="AJ60" s="1581" t="str">
        <f t="shared" ca="1" si="47"/>
        <v/>
      </c>
      <c r="AK60" s="194"/>
      <c r="AL60" s="1582">
        <f t="shared" ca="1" si="48"/>
        <v>0</v>
      </c>
      <c r="AM60" s="209"/>
      <c r="AN60" s="1582">
        <f t="shared" ca="1" si="49"/>
        <v>0</v>
      </c>
      <c r="AO60" s="209"/>
      <c r="AP60" s="1582">
        <f t="shared" ca="1" si="50"/>
        <v>0</v>
      </c>
      <c r="AQ60" s="209"/>
      <c r="AR60" s="1582">
        <f t="shared" ca="1" si="51"/>
        <v>0</v>
      </c>
      <c r="AS60" s="194"/>
      <c r="AT60" s="1582">
        <f t="shared" ca="1" si="52"/>
        <v>0</v>
      </c>
      <c r="AU60" s="194"/>
      <c r="AV60" s="194"/>
      <c r="AW60" s="194"/>
      <c r="AX60" s="194"/>
      <c r="AY60" s="194"/>
    </row>
    <row r="61" spans="1:51" s="2699" customFormat="1" ht="18" hidden="1" customHeight="1" x14ac:dyDescent="0.25">
      <c r="A61" s="972">
        <f t="shared" ca="1" si="23"/>
        <v>0</v>
      </c>
      <c r="B61" s="707">
        <f t="shared" si="28"/>
        <v>55</v>
      </c>
      <c r="C61" s="1376"/>
      <c r="D61" s="3346"/>
      <c r="E61" s="3346" t="str">
        <f t="shared" ca="1" si="29"/>
        <v/>
      </c>
      <c r="F61" s="1448" t="str">
        <f t="shared" ca="1" si="30"/>
        <v/>
      </c>
      <c r="G61" s="1418" t="str">
        <f t="shared" ca="1" si="31"/>
        <v/>
      </c>
      <c r="H61" s="3589" t="str">
        <f t="shared" ca="1" si="32"/>
        <v/>
      </c>
      <c r="I61" s="3589" t="str">
        <f t="shared" ca="1" si="33"/>
        <v/>
      </c>
      <c r="J61" s="3590" t="str">
        <f t="shared" ca="1" si="24"/>
        <v/>
      </c>
      <c r="K61" s="1422" t="str">
        <f t="shared" ca="1" si="34"/>
        <v/>
      </c>
      <c r="L61" s="1431" t="str">
        <f t="shared" ca="1" si="25"/>
        <v/>
      </c>
      <c r="M61" s="3591" t="str">
        <f t="shared" ca="1" si="26"/>
        <v/>
      </c>
      <c r="N61" s="3592" t="str">
        <f t="shared" ca="1" si="35"/>
        <v/>
      </c>
      <c r="O61" s="1420" t="e">
        <f ca="1">IF(U61="",IF(Income_RentRollSource="Datappraise/Manual Entry",VLOOKUP($B61,Datappraise_RentRoll,5,FALSE),IF(OR(Income_TechniqueUsed="Direct Capitalization",Income_TechniqueUsed="Direct Cap &amp; DCF"),VLOOKUP('Rent Roll'!S61,'Income Assumptions'!$D$11:$H$19,5,FALSE),VLOOKUP('Rent Roll'!S61,'Income Assumptions'!$D$50:$O$57,6,FALSE))),U61)</f>
        <v>#N/A</v>
      </c>
      <c r="P61" s="3346"/>
      <c r="Q61" s="1377"/>
      <c r="R61" s="652"/>
      <c r="S61" s="2696" t="inlineStr">
        <is>
          <t xml:space="preserve">Industrial Office/Warehouse</t>
        </is>
      </c>
      <c r="T61" s="652"/>
      <c r="U61" s="2696"/>
      <c r="V61" s="652"/>
      <c r="W61" s="2696"/>
      <c r="X61" s="652"/>
      <c r="Y61" s="1580">
        <f t="shared" ca="1" si="37"/>
        <v>0</v>
      </c>
      <c r="Z61" s="1580">
        <f t="shared" ca="1" si="38"/>
        <v>0</v>
      </c>
      <c r="AA61" s="1580">
        <f t="shared" ca="1" si="39"/>
        <v>0</v>
      </c>
      <c r="AB61" s="1580">
        <f t="shared" ca="1" si="40"/>
        <v>0</v>
      </c>
      <c r="AC61" s="1580">
        <f t="shared" ca="1" si="41"/>
        <v>0</v>
      </c>
      <c r="AD61" s="1580">
        <f t="shared" ca="1" si="42"/>
        <v>0</v>
      </c>
      <c r="AE61" s="1580">
        <f t="shared" ca="1" si="43"/>
        <v>0</v>
      </c>
      <c r="AF61" s="1581">
        <f t="shared" ca="1" si="44"/>
        <v>0</v>
      </c>
      <c r="AG61" s="194"/>
      <c r="AH61" s="1579" t="str">
        <f t="shared" ca="1" si="45"/>
        <v/>
      </c>
      <c r="AI61" s="1580" t="str">
        <f t="shared" ca="1" si="46"/>
        <v/>
      </c>
      <c r="AJ61" s="1581" t="str">
        <f t="shared" ca="1" si="47"/>
        <v/>
      </c>
      <c r="AK61" s="194"/>
      <c r="AL61" s="1582">
        <f t="shared" ca="1" si="48"/>
        <v>0</v>
      </c>
      <c r="AM61" s="209"/>
      <c r="AN61" s="1582">
        <f t="shared" ca="1" si="49"/>
        <v>0</v>
      </c>
      <c r="AO61" s="209"/>
      <c r="AP61" s="1582">
        <f t="shared" ca="1" si="50"/>
        <v>0</v>
      </c>
      <c r="AQ61" s="209"/>
      <c r="AR61" s="1582">
        <f t="shared" ca="1" si="51"/>
        <v>0</v>
      </c>
      <c r="AS61" s="194"/>
      <c r="AT61" s="1582">
        <f t="shared" ca="1" si="52"/>
        <v>0</v>
      </c>
      <c r="AU61" s="194"/>
      <c r="AV61" s="194"/>
      <c r="AW61" s="194"/>
      <c r="AX61" s="194"/>
      <c r="AY61" s="194"/>
    </row>
    <row r="62" spans="1:51" s="2699" customFormat="1" ht="18" hidden="1" customHeight="1" x14ac:dyDescent="0.25">
      <c r="A62" s="972">
        <f t="shared" ca="1" si="23"/>
        <v>0</v>
      </c>
      <c r="B62" s="707">
        <f t="shared" si="28"/>
        <v>56</v>
      </c>
      <c r="C62" s="1376"/>
      <c r="D62" s="3346"/>
      <c r="E62" s="3346" t="str">
        <f t="shared" ca="1" si="29"/>
        <v/>
      </c>
      <c r="F62" s="1448" t="str">
        <f t="shared" ca="1" si="30"/>
        <v/>
      </c>
      <c r="G62" s="1418" t="str">
        <f t="shared" ca="1" si="31"/>
        <v/>
      </c>
      <c r="H62" s="3589" t="str">
        <f t="shared" ca="1" si="32"/>
        <v/>
      </c>
      <c r="I62" s="3589" t="str">
        <f t="shared" ca="1" si="33"/>
        <v/>
      </c>
      <c r="J62" s="3590" t="str">
        <f t="shared" ca="1" si="24"/>
        <v/>
      </c>
      <c r="K62" s="1422" t="str">
        <f t="shared" ca="1" si="34"/>
        <v/>
      </c>
      <c r="L62" s="1431" t="str">
        <f t="shared" ca="1" si="25"/>
        <v/>
      </c>
      <c r="M62" s="3591" t="str">
        <f t="shared" ca="1" si="26"/>
        <v/>
      </c>
      <c r="N62" s="3592" t="str">
        <f t="shared" ca="1" si="35"/>
        <v/>
      </c>
      <c r="O62" s="1420" t="e">
        <f ca="1">IF(U62="",IF(Income_RentRollSource="Datappraise/Manual Entry",VLOOKUP($B62,Datappraise_RentRoll,5,FALSE),IF(OR(Income_TechniqueUsed="Direct Capitalization",Income_TechniqueUsed="Direct Cap &amp; DCF"),VLOOKUP('Rent Roll'!S62,'Income Assumptions'!$D$11:$H$19,5,FALSE),VLOOKUP('Rent Roll'!S62,'Income Assumptions'!$D$50:$O$57,6,FALSE))),U62)</f>
        <v>#N/A</v>
      </c>
      <c r="P62" s="3346"/>
      <c r="Q62" s="1377"/>
      <c r="R62" s="652"/>
      <c r="S62" s="2696" t="inlineStr">
        <is>
          <t xml:space="preserve">Industrial Office/Warehouse</t>
        </is>
      </c>
      <c r="T62" s="652"/>
      <c r="U62" s="2696"/>
      <c r="V62" s="652"/>
      <c r="W62" s="2696"/>
      <c r="X62" s="652"/>
      <c r="Y62" s="1580">
        <f t="shared" ca="1" si="37"/>
        <v>0</v>
      </c>
      <c r="Z62" s="1580">
        <f t="shared" ca="1" si="38"/>
        <v>0</v>
      </c>
      <c r="AA62" s="1580">
        <f t="shared" ca="1" si="39"/>
        <v>0</v>
      </c>
      <c r="AB62" s="1580">
        <f t="shared" ca="1" si="40"/>
        <v>0</v>
      </c>
      <c r="AC62" s="1580">
        <f t="shared" ca="1" si="41"/>
        <v>0</v>
      </c>
      <c r="AD62" s="1580">
        <f t="shared" ca="1" si="42"/>
        <v>0</v>
      </c>
      <c r="AE62" s="1580">
        <f t="shared" ca="1" si="43"/>
        <v>0</v>
      </c>
      <c r="AF62" s="1581">
        <f t="shared" ca="1" si="44"/>
        <v>0</v>
      </c>
      <c r="AG62" s="194"/>
      <c r="AH62" s="1579" t="str">
        <f t="shared" ca="1" si="45"/>
        <v/>
      </c>
      <c r="AI62" s="1580" t="str">
        <f t="shared" ca="1" si="46"/>
        <v/>
      </c>
      <c r="AJ62" s="1581" t="str">
        <f t="shared" ca="1" si="47"/>
        <v/>
      </c>
      <c r="AK62" s="194"/>
      <c r="AL62" s="1582">
        <f t="shared" ca="1" si="48"/>
        <v>0</v>
      </c>
      <c r="AM62" s="209"/>
      <c r="AN62" s="1582">
        <f t="shared" ca="1" si="49"/>
        <v>0</v>
      </c>
      <c r="AO62" s="209"/>
      <c r="AP62" s="1582">
        <f t="shared" ca="1" si="50"/>
        <v>0</v>
      </c>
      <c r="AQ62" s="209"/>
      <c r="AR62" s="1582">
        <f t="shared" ca="1" si="51"/>
        <v>0</v>
      </c>
      <c r="AS62" s="194"/>
      <c r="AT62" s="1582">
        <f t="shared" ca="1" si="52"/>
        <v>0</v>
      </c>
      <c r="AU62" s="194"/>
      <c r="AV62" s="194"/>
      <c r="AW62" s="194"/>
      <c r="AX62" s="194"/>
      <c r="AY62" s="194"/>
    </row>
    <row r="63" spans="1:51" s="2699" customFormat="1" ht="18" hidden="1" customHeight="1" x14ac:dyDescent="0.25">
      <c r="A63" s="972">
        <f t="shared" ca="1" si="23"/>
        <v>0</v>
      </c>
      <c r="B63" s="707">
        <f t="shared" si="28"/>
        <v>57</v>
      </c>
      <c r="C63" s="1376"/>
      <c r="D63" s="3346"/>
      <c r="E63" s="3346" t="str">
        <f t="shared" ca="1" si="29"/>
        <v/>
      </c>
      <c r="F63" s="1448" t="str">
        <f t="shared" ca="1" si="30"/>
        <v/>
      </c>
      <c r="G63" s="1418" t="str">
        <f t="shared" ca="1" si="31"/>
        <v/>
      </c>
      <c r="H63" s="3589" t="str">
        <f t="shared" ca="1" si="32"/>
        <v/>
      </c>
      <c r="I63" s="3589" t="str">
        <f t="shared" ca="1" si="33"/>
        <v/>
      </c>
      <c r="J63" s="3590" t="str">
        <f t="shared" ca="1" si="24"/>
        <v/>
      </c>
      <c r="K63" s="1422" t="str">
        <f t="shared" ca="1" si="34"/>
        <v/>
      </c>
      <c r="L63" s="1431" t="str">
        <f t="shared" ca="1" si="25"/>
        <v/>
      </c>
      <c r="M63" s="3591" t="str">
        <f t="shared" ca="1" si="26"/>
        <v/>
      </c>
      <c r="N63" s="3592" t="str">
        <f t="shared" ca="1" si="35"/>
        <v/>
      </c>
      <c r="O63" s="1420" t="e">
        <f ca="1">IF(U63="",IF(Income_RentRollSource="Datappraise/Manual Entry",VLOOKUP($B63,Datappraise_RentRoll,5,FALSE),IF(OR(Income_TechniqueUsed="Direct Capitalization",Income_TechniqueUsed="Direct Cap &amp; DCF"),VLOOKUP('Rent Roll'!S63,'Income Assumptions'!$D$11:$H$19,5,FALSE),VLOOKUP('Rent Roll'!S63,'Income Assumptions'!$D$50:$O$57,6,FALSE))),U63)</f>
        <v>#N/A</v>
      </c>
      <c r="P63" s="3346"/>
      <c r="Q63" s="1377"/>
      <c r="R63" s="652"/>
      <c r="S63" s="2696" t="inlineStr">
        <is>
          <t xml:space="preserve">Industrial Office/Warehouse</t>
        </is>
      </c>
      <c r="T63" s="652"/>
      <c r="U63" s="2696"/>
      <c r="V63" s="652"/>
      <c r="W63" s="2696"/>
      <c r="X63" s="652"/>
      <c r="Y63" s="1580">
        <f t="shared" ca="1" si="37"/>
        <v>0</v>
      </c>
      <c r="Z63" s="1580">
        <f t="shared" ca="1" si="38"/>
        <v>0</v>
      </c>
      <c r="AA63" s="1580">
        <f t="shared" ca="1" si="39"/>
        <v>0</v>
      </c>
      <c r="AB63" s="1580">
        <f t="shared" ca="1" si="40"/>
        <v>0</v>
      </c>
      <c r="AC63" s="1580">
        <f t="shared" ca="1" si="41"/>
        <v>0</v>
      </c>
      <c r="AD63" s="1580">
        <f t="shared" ca="1" si="42"/>
        <v>0</v>
      </c>
      <c r="AE63" s="1580">
        <f t="shared" ca="1" si="43"/>
        <v>0</v>
      </c>
      <c r="AF63" s="1581">
        <f t="shared" ca="1" si="44"/>
        <v>0</v>
      </c>
      <c r="AG63" s="194"/>
      <c r="AH63" s="1579" t="str">
        <f t="shared" ca="1" si="45"/>
        <v/>
      </c>
      <c r="AI63" s="1580" t="str">
        <f t="shared" ca="1" si="46"/>
        <v/>
      </c>
      <c r="AJ63" s="1581" t="str">
        <f t="shared" ca="1" si="47"/>
        <v/>
      </c>
      <c r="AK63" s="194"/>
      <c r="AL63" s="1582">
        <f t="shared" ca="1" si="48"/>
        <v>0</v>
      </c>
      <c r="AM63" s="209"/>
      <c r="AN63" s="1582">
        <f t="shared" ca="1" si="49"/>
        <v>0</v>
      </c>
      <c r="AO63" s="209"/>
      <c r="AP63" s="1582">
        <f t="shared" ca="1" si="50"/>
        <v>0</v>
      </c>
      <c r="AQ63" s="209"/>
      <c r="AR63" s="1582">
        <f t="shared" ca="1" si="51"/>
        <v>0</v>
      </c>
      <c r="AS63" s="194"/>
      <c r="AT63" s="1582">
        <f t="shared" ca="1" si="52"/>
        <v>0</v>
      </c>
      <c r="AU63" s="194"/>
      <c r="AV63" s="194"/>
      <c r="AW63" s="194"/>
      <c r="AX63" s="194"/>
      <c r="AY63" s="194"/>
    </row>
    <row r="64" spans="1:51" s="2699" customFormat="1" ht="18" hidden="1" customHeight="1" x14ac:dyDescent="0.25">
      <c r="A64" s="972">
        <f t="shared" ca="1" si="23"/>
        <v>0</v>
      </c>
      <c r="B64" s="707">
        <f t="shared" si="28"/>
        <v>58</v>
      </c>
      <c r="C64" s="1376"/>
      <c r="D64" s="3346"/>
      <c r="E64" s="3346" t="str">
        <f t="shared" ca="1" si="29"/>
        <v/>
      </c>
      <c r="F64" s="1448" t="str">
        <f t="shared" ca="1" si="30"/>
        <v/>
      </c>
      <c r="G64" s="1418" t="str">
        <f t="shared" ca="1" si="31"/>
        <v/>
      </c>
      <c r="H64" s="3589" t="str">
        <f t="shared" ca="1" si="32"/>
        <v/>
      </c>
      <c r="I64" s="3589" t="str">
        <f t="shared" ca="1" si="33"/>
        <v/>
      </c>
      <c r="J64" s="3590" t="str">
        <f t="shared" ca="1" si="24"/>
        <v/>
      </c>
      <c r="K64" s="1422" t="str">
        <f t="shared" ca="1" si="34"/>
        <v/>
      </c>
      <c r="L64" s="1431" t="str">
        <f t="shared" ca="1" si="25"/>
        <v/>
      </c>
      <c r="M64" s="3591" t="str">
        <f t="shared" ca="1" si="26"/>
        <v/>
      </c>
      <c r="N64" s="3592" t="str">
        <f t="shared" ca="1" si="35"/>
        <v/>
      </c>
      <c r="O64" s="1420" t="e">
        <f ca="1">IF(U64="",IF(Income_RentRollSource="Datappraise/Manual Entry",VLOOKUP($B64,Datappraise_RentRoll,5,FALSE),IF(OR(Income_TechniqueUsed="Direct Capitalization",Income_TechniqueUsed="Direct Cap &amp; DCF"),VLOOKUP('Rent Roll'!S64,'Income Assumptions'!$D$11:$H$19,5,FALSE),VLOOKUP('Rent Roll'!S64,'Income Assumptions'!$D$50:$O$57,6,FALSE))),U64)</f>
        <v>#N/A</v>
      </c>
      <c r="P64" s="3346"/>
      <c r="Q64" s="1377"/>
      <c r="R64" s="652"/>
      <c r="S64" s="2696" t="inlineStr">
        <is>
          <t xml:space="preserve">Industrial Office/Warehouse</t>
        </is>
      </c>
      <c r="T64" s="652"/>
      <c r="U64" s="2696"/>
      <c r="V64" s="652"/>
      <c r="W64" s="2696"/>
      <c r="X64" s="652"/>
      <c r="Y64" s="1580">
        <f t="shared" ca="1" si="37"/>
        <v>0</v>
      </c>
      <c r="Z64" s="1580">
        <f t="shared" ca="1" si="38"/>
        <v>0</v>
      </c>
      <c r="AA64" s="1580">
        <f t="shared" ca="1" si="39"/>
        <v>0</v>
      </c>
      <c r="AB64" s="1580">
        <f t="shared" ca="1" si="40"/>
        <v>0</v>
      </c>
      <c r="AC64" s="1580">
        <f t="shared" ca="1" si="41"/>
        <v>0</v>
      </c>
      <c r="AD64" s="1580">
        <f t="shared" ca="1" si="42"/>
        <v>0</v>
      </c>
      <c r="AE64" s="1580">
        <f t="shared" ca="1" si="43"/>
        <v>0</v>
      </c>
      <c r="AF64" s="1581">
        <f t="shared" ca="1" si="44"/>
        <v>0</v>
      </c>
      <c r="AG64" s="194"/>
      <c r="AH64" s="1579" t="str">
        <f t="shared" ca="1" si="45"/>
        <v/>
      </c>
      <c r="AI64" s="1580" t="str">
        <f t="shared" ca="1" si="46"/>
        <v/>
      </c>
      <c r="AJ64" s="1581" t="str">
        <f t="shared" ca="1" si="47"/>
        <v/>
      </c>
      <c r="AK64" s="194"/>
      <c r="AL64" s="1582">
        <f t="shared" ca="1" si="48"/>
        <v>0</v>
      </c>
      <c r="AM64" s="209"/>
      <c r="AN64" s="1582">
        <f t="shared" ca="1" si="49"/>
        <v>0</v>
      </c>
      <c r="AO64" s="209"/>
      <c r="AP64" s="1582">
        <f t="shared" ca="1" si="50"/>
        <v>0</v>
      </c>
      <c r="AQ64" s="209"/>
      <c r="AR64" s="1582">
        <f t="shared" ca="1" si="51"/>
        <v>0</v>
      </c>
      <c r="AS64" s="194"/>
      <c r="AT64" s="1582">
        <f t="shared" ca="1" si="52"/>
        <v>0</v>
      </c>
      <c r="AU64" s="194"/>
      <c r="AV64" s="194"/>
      <c r="AW64" s="194"/>
      <c r="AX64" s="194"/>
      <c r="AY64" s="194"/>
    </row>
    <row r="65" spans="1:51" s="2699" customFormat="1" ht="18" hidden="1" customHeight="1" x14ac:dyDescent="0.25">
      <c r="A65" s="972">
        <f t="shared" ca="1" si="23"/>
        <v>0</v>
      </c>
      <c r="B65" s="707">
        <f t="shared" si="28"/>
        <v>59</v>
      </c>
      <c r="C65" s="1376"/>
      <c r="D65" s="3346"/>
      <c r="E65" s="3346" t="str">
        <f t="shared" ca="1" si="29"/>
        <v/>
      </c>
      <c r="F65" s="1448" t="str">
        <f t="shared" ca="1" si="30"/>
        <v/>
      </c>
      <c r="G65" s="1418" t="str">
        <f t="shared" ca="1" si="31"/>
        <v/>
      </c>
      <c r="H65" s="3589" t="str">
        <f t="shared" ca="1" si="32"/>
        <v/>
      </c>
      <c r="I65" s="3589" t="str">
        <f t="shared" ca="1" si="33"/>
        <v/>
      </c>
      <c r="J65" s="3590" t="str">
        <f t="shared" ca="1" si="24"/>
        <v/>
      </c>
      <c r="K65" s="1422" t="str">
        <f t="shared" ca="1" si="34"/>
        <v/>
      </c>
      <c r="L65" s="1431" t="str">
        <f t="shared" ca="1" si="25"/>
        <v/>
      </c>
      <c r="M65" s="3591" t="str">
        <f t="shared" ca="1" si="26"/>
        <v/>
      </c>
      <c r="N65" s="3592" t="str">
        <f t="shared" ca="1" si="35"/>
        <v/>
      </c>
      <c r="O65" s="1420" t="e">
        <f ca="1">IF(U65="",IF(Income_RentRollSource="Datappraise/Manual Entry",VLOOKUP($B65,Datappraise_RentRoll,5,FALSE),IF(OR(Income_TechniqueUsed="Direct Capitalization",Income_TechniqueUsed="Direct Cap &amp; DCF"),VLOOKUP('Rent Roll'!S65,'Income Assumptions'!$D$11:$H$19,5,FALSE),VLOOKUP('Rent Roll'!S65,'Income Assumptions'!$D$50:$O$57,6,FALSE))),U65)</f>
        <v>#N/A</v>
      </c>
      <c r="P65" s="3346"/>
      <c r="Q65" s="1377"/>
      <c r="R65" s="652"/>
      <c r="S65" s="2696" t="inlineStr">
        <is>
          <t xml:space="preserve">Industrial Office/Warehouse</t>
        </is>
      </c>
      <c r="T65" s="652"/>
      <c r="U65" s="2696"/>
      <c r="V65" s="652"/>
      <c r="W65" s="2696"/>
      <c r="X65" s="652"/>
      <c r="Y65" s="1580">
        <f t="shared" ca="1" si="37"/>
        <v>0</v>
      </c>
      <c r="Z65" s="1580">
        <f t="shared" ca="1" si="38"/>
        <v>0</v>
      </c>
      <c r="AA65" s="1580">
        <f t="shared" ca="1" si="39"/>
        <v>0</v>
      </c>
      <c r="AB65" s="1580">
        <f t="shared" ca="1" si="40"/>
        <v>0</v>
      </c>
      <c r="AC65" s="1580">
        <f t="shared" ca="1" si="41"/>
        <v>0</v>
      </c>
      <c r="AD65" s="1580">
        <f t="shared" ca="1" si="42"/>
        <v>0</v>
      </c>
      <c r="AE65" s="1580">
        <f t="shared" ca="1" si="43"/>
        <v>0</v>
      </c>
      <c r="AF65" s="1581">
        <f t="shared" ca="1" si="44"/>
        <v>0</v>
      </c>
      <c r="AG65" s="194"/>
      <c r="AH65" s="1579" t="str">
        <f t="shared" ca="1" si="45"/>
        <v/>
      </c>
      <c r="AI65" s="1580" t="str">
        <f t="shared" ca="1" si="46"/>
        <v/>
      </c>
      <c r="AJ65" s="1581" t="str">
        <f t="shared" ca="1" si="47"/>
        <v/>
      </c>
      <c r="AK65" s="194"/>
      <c r="AL65" s="1582">
        <f t="shared" ca="1" si="48"/>
        <v>0</v>
      </c>
      <c r="AM65" s="209"/>
      <c r="AN65" s="1582">
        <f t="shared" ca="1" si="49"/>
        <v>0</v>
      </c>
      <c r="AO65" s="209"/>
      <c r="AP65" s="1582">
        <f t="shared" ca="1" si="50"/>
        <v>0</v>
      </c>
      <c r="AQ65" s="209"/>
      <c r="AR65" s="1582">
        <f t="shared" ca="1" si="51"/>
        <v>0</v>
      </c>
      <c r="AS65" s="194"/>
      <c r="AT65" s="1582">
        <f t="shared" ca="1" si="52"/>
        <v>0</v>
      </c>
      <c r="AU65" s="194"/>
      <c r="AV65" s="194"/>
      <c r="AW65" s="194"/>
      <c r="AX65" s="194"/>
      <c r="AY65" s="194"/>
    </row>
    <row r="66" spans="1:51" s="2699" customFormat="1" ht="18" hidden="1" customHeight="1" x14ac:dyDescent="0.25">
      <c r="A66" s="972">
        <f t="shared" ca="1" si="23"/>
        <v>0</v>
      </c>
      <c r="B66" s="707">
        <f t="shared" si="28"/>
        <v>60</v>
      </c>
      <c r="C66" s="1376"/>
      <c r="D66" s="3346"/>
      <c r="E66" s="3346" t="str">
        <f t="shared" ca="1" si="29"/>
        <v/>
      </c>
      <c r="F66" s="1448" t="str">
        <f t="shared" ca="1" si="30"/>
        <v/>
      </c>
      <c r="G66" s="1418" t="str">
        <f t="shared" ca="1" si="31"/>
        <v/>
      </c>
      <c r="H66" s="3589" t="str">
        <f t="shared" ca="1" si="32"/>
        <v/>
      </c>
      <c r="I66" s="3589" t="str">
        <f t="shared" ca="1" si="33"/>
        <v/>
      </c>
      <c r="J66" s="3590" t="str">
        <f t="shared" ca="1" si="24"/>
        <v/>
      </c>
      <c r="K66" s="1422" t="str">
        <f t="shared" ca="1" si="34"/>
        <v/>
      </c>
      <c r="L66" s="1431" t="str">
        <f t="shared" ca="1" si="25"/>
        <v/>
      </c>
      <c r="M66" s="3591" t="str">
        <f t="shared" ca="1" si="26"/>
        <v/>
      </c>
      <c r="N66" s="3592" t="str">
        <f t="shared" ca="1" si="35"/>
        <v/>
      </c>
      <c r="O66" s="1420" t="e">
        <f ca="1">IF(U66="",IF(Income_RentRollSource="Datappraise/Manual Entry",VLOOKUP($B66,Datappraise_RentRoll,5,FALSE),IF(OR(Income_TechniqueUsed="Direct Capitalization",Income_TechniqueUsed="Direct Cap &amp; DCF"),VLOOKUP('Rent Roll'!S66,'Income Assumptions'!$D$11:$H$19,5,FALSE),VLOOKUP('Rent Roll'!S66,'Income Assumptions'!$D$50:$O$57,6,FALSE))),U66)</f>
        <v>#N/A</v>
      </c>
      <c r="P66" s="3346"/>
      <c r="Q66" s="1377"/>
      <c r="R66" s="652"/>
      <c r="S66" s="2696" t="inlineStr">
        <is>
          <t xml:space="preserve">Industrial Office/Warehouse</t>
        </is>
      </c>
      <c r="T66" s="652"/>
      <c r="U66" s="2696"/>
      <c r="V66" s="652"/>
      <c r="W66" s="2696"/>
      <c r="X66" s="652"/>
      <c r="Y66" s="1580">
        <f t="shared" ca="1" si="37"/>
        <v>0</v>
      </c>
      <c r="Z66" s="1580">
        <f t="shared" ca="1" si="38"/>
        <v>0</v>
      </c>
      <c r="AA66" s="1580">
        <f t="shared" ca="1" si="39"/>
        <v>0</v>
      </c>
      <c r="AB66" s="1580">
        <f t="shared" ca="1" si="40"/>
        <v>0</v>
      </c>
      <c r="AC66" s="1580">
        <f t="shared" ca="1" si="41"/>
        <v>0</v>
      </c>
      <c r="AD66" s="1580">
        <f t="shared" ca="1" si="42"/>
        <v>0</v>
      </c>
      <c r="AE66" s="1580">
        <f t="shared" ca="1" si="43"/>
        <v>0</v>
      </c>
      <c r="AF66" s="1581">
        <f t="shared" ca="1" si="44"/>
        <v>0</v>
      </c>
      <c r="AG66" s="194"/>
      <c r="AH66" s="1579" t="str">
        <f t="shared" ca="1" si="45"/>
        <v/>
      </c>
      <c r="AI66" s="1580" t="str">
        <f t="shared" ca="1" si="46"/>
        <v/>
      </c>
      <c r="AJ66" s="1581" t="str">
        <f t="shared" ca="1" si="47"/>
        <v/>
      </c>
      <c r="AK66" s="194"/>
      <c r="AL66" s="1582">
        <f t="shared" ca="1" si="48"/>
        <v>0</v>
      </c>
      <c r="AM66" s="209"/>
      <c r="AN66" s="1582">
        <f t="shared" ca="1" si="49"/>
        <v>0</v>
      </c>
      <c r="AO66" s="209"/>
      <c r="AP66" s="1582">
        <f t="shared" ca="1" si="50"/>
        <v>0</v>
      </c>
      <c r="AQ66" s="209"/>
      <c r="AR66" s="1582">
        <f t="shared" ca="1" si="51"/>
        <v>0</v>
      </c>
      <c r="AS66" s="194"/>
      <c r="AT66" s="1582">
        <f t="shared" ca="1" si="52"/>
        <v>0</v>
      </c>
      <c r="AU66" s="194"/>
      <c r="AV66" s="194"/>
      <c r="AW66" s="194"/>
      <c r="AX66" s="194"/>
      <c r="AY66" s="194"/>
    </row>
    <row r="67" spans="1:51" s="2699" customFormat="1" ht="18" hidden="1" customHeight="1" x14ac:dyDescent="0.25">
      <c r="A67" s="972">
        <f t="shared" ca="1" si="23"/>
        <v>0</v>
      </c>
      <c r="B67" s="707">
        <f t="shared" si="28"/>
        <v>61</v>
      </c>
      <c r="C67" s="1376"/>
      <c r="D67" s="3346"/>
      <c r="E67" s="3346" t="str">
        <f t="shared" ca="1" si="29"/>
        <v/>
      </c>
      <c r="F67" s="1448" t="str">
        <f t="shared" ca="1" si="30"/>
        <v/>
      </c>
      <c r="G67" s="1418" t="str">
        <f t="shared" ca="1" si="31"/>
        <v/>
      </c>
      <c r="H67" s="3589" t="str">
        <f t="shared" ca="1" si="32"/>
        <v/>
      </c>
      <c r="I67" s="3589" t="str">
        <f t="shared" ca="1" si="33"/>
        <v/>
      </c>
      <c r="J67" s="3590" t="str">
        <f t="shared" ca="1" si="24"/>
        <v/>
      </c>
      <c r="K67" s="1422" t="str">
        <f t="shared" ca="1" si="34"/>
        <v/>
      </c>
      <c r="L67" s="1431" t="str">
        <f t="shared" ca="1" si="25"/>
        <v/>
      </c>
      <c r="M67" s="3591" t="str">
        <f t="shared" ca="1" si="26"/>
        <v/>
      </c>
      <c r="N67" s="3592" t="str">
        <f t="shared" ca="1" si="35"/>
        <v/>
      </c>
      <c r="O67" s="1420" t="e">
        <f ca="1">IF(U67="",IF(Income_RentRollSource="Datappraise/Manual Entry",VLOOKUP($B67,Datappraise_RentRoll,5,FALSE),IF(OR(Income_TechniqueUsed="Direct Capitalization",Income_TechniqueUsed="Direct Cap &amp; DCF"),VLOOKUP('Rent Roll'!S67,'Income Assumptions'!$D$11:$H$19,5,FALSE),VLOOKUP('Rent Roll'!S67,'Income Assumptions'!$D$50:$O$57,6,FALSE))),U67)</f>
        <v>#N/A</v>
      </c>
      <c r="P67" s="3346"/>
      <c r="Q67" s="1377"/>
      <c r="R67" s="652"/>
      <c r="S67" s="2696" t="inlineStr">
        <is>
          <t xml:space="preserve">Industrial Office/Warehouse</t>
        </is>
      </c>
      <c r="T67" s="652"/>
      <c r="U67" s="2696"/>
      <c r="V67" s="652"/>
      <c r="W67" s="2696"/>
      <c r="X67" s="652"/>
      <c r="Y67" s="1580">
        <f t="shared" ca="1" si="37"/>
        <v>0</v>
      </c>
      <c r="Z67" s="1580">
        <f t="shared" ca="1" si="38"/>
        <v>0</v>
      </c>
      <c r="AA67" s="1580">
        <f t="shared" ca="1" si="39"/>
        <v>0</v>
      </c>
      <c r="AB67" s="1580">
        <f t="shared" ca="1" si="40"/>
        <v>0</v>
      </c>
      <c r="AC67" s="1580">
        <f t="shared" ca="1" si="41"/>
        <v>0</v>
      </c>
      <c r="AD67" s="1580">
        <f t="shared" ca="1" si="42"/>
        <v>0</v>
      </c>
      <c r="AE67" s="1580">
        <f t="shared" ca="1" si="43"/>
        <v>0</v>
      </c>
      <c r="AF67" s="1581">
        <f t="shared" ca="1" si="44"/>
        <v>0</v>
      </c>
      <c r="AG67" s="194"/>
      <c r="AH67" s="1579" t="str">
        <f t="shared" ca="1" si="45"/>
        <v/>
      </c>
      <c r="AI67" s="1580" t="str">
        <f t="shared" ca="1" si="46"/>
        <v/>
      </c>
      <c r="AJ67" s="1581" t="str">
        <f t="shared" ca="1" si="47"/>
        <v/>
      </c>
      <c r="AK67" s="194"/>
      <c r="AL67" s="1582">
        <f t="shared" ca="1" si="48"/>
        <v>0</v>
      </c>
      <c r="AM67" s="209"/>
      <c r="AN67" s="1582">
        <f t="shared" ca="1" si="49"/>
        <v>0</v>
      </c>
      <c r="AO67" s="209"/>
      <c r="AP67" s="1582">
        <f t="shared" ca="1" si="50"/>
        <v>0</v>
      </c>
      <c r="AQ67" s="209"/>
      <c r="AR67" s="1582">
        <f t="shared" ca="1" si="51"/>
        <v>0</v>
      </c>
      <c r="AS67" s="194"/>
      <c r="AT67" s="1582">
        <f t="shared" ca="1" si="52"/>
        <v>0</v>
      </c>
      <c r="AU67" s="194"/>
      <c r="AV67" s="194"/>
      <c r="AW67" s="194"/>
      <c r="AX67" s="194"/>
      <c r="AY67" s="194"/>
    </row>
    <row r="68" spans="1:51" s="2699" customFormat="1" ht="18" hidden="1" customHeight="1" x14ac:dyDescent="0.25">
      <c r="A68" s="972">
        <f t="shared" ca="1" si="23"/>
        <v>0</v>
      </c>
      <c r="B68" s="707">
        <f t="shared" si="28"/>
        <v>62</v>
      </c>
      <c r="C68" s="1376"/>
      <c r="D68" s="3346"/>
      <c r="E68" s="3346" t="str">
        <f t="shared" ca="1" si="29"/>
        <v/>
      </c>
      <c r="F68" s="1448" t="str">
        <f t="shared" ca="1" si="30"/>
        <v/>
      </c>
      <c r="G68" s="1418" t="str">
        <f t="shared" ca="1" si="31"/>
        <v/>
      </c>
      <c r="H68" s="3589" t="str">
        <f t="shared" ca="1" si="32"/>
        <v/>
      </c>
      <c r="I68" s="3589" t="str">
        <f t="shared" ca="1" si="33"/>
        <v/>
      </c>
      <c r="J68" s="3590" t="str">
        <f t="shared" ca="1" si="24"/>
        <v/>
      </c>
      <c r="K68" s="1422" t="str">
        <f t="shared" ca="1" si="34"/>
        <v/>
      </c>
      <c r="L68" s="1431" t="str">
        <f t="shared" ca="1" si="25"/>
        <v/>
      </c>
      <c r="M68" s="3591" t="str">
        <f t="shared" ca="1" si="26"/>
        <v/>
      </c>
      <c r="N68" s="3592" t="str">
        <f t="shared" ca="1" si="35"/>
        <v/>
      </c>
      <c r="O68" s="1420" t="e">
        <f ca="1">IF(U68="",IF(Income_RentRollSource="Datappraise/Manual Entry",VLOOKUP($B68,Datappraise_RentRoll,5,FALSE),IF(OR(Income_TechniqueUsed="Direct Capitalization",Income_TechniqueUsed="Direct Cap &amp; DCF"),VLOOKUP('Rent Roll'!S68,'Income Assumptions'!$D$11:$H$19,5,FALSE),VLOOKUP('Rent Roll'!S68,'Income Assumptions'!$D$50:$O$57,6,FALSE))),U68)</f>
        <v>#N/A</v>
      </c>
      <c r="P68" s="3346"/>
      <c r="Q68" s="1377"/>
      <c r="R68" s="652"/>
      <c r="S68" s="2696" t="inlineStr">
        <is>
          <t xml:space="preserve">Industrial Office/Warehouse</t>
        </is>
      </c>
      <c r="T68" s="652"/>
      <c r="U68" s="2696"/>
      <c r="V68" s="652"/>
      <c r="W68" s="2696"/>
      <c r="X68" s="652"/>
      <c r="Y68" s="1580">
        <f t="shared" ca="1" si="37"/>
        <v>0</v>
      </c>
      <c r="Z68" s="1580">
        <f t="shared" ca="1" si="38"/>
        <v>0</v>
      </c>
      <c r="AA68" s="1580">
        <f t="shared" ca="1" si="39"/>
        <v>0</v>
      </c>
      <c r="AB68" s="1580">
        <f t="shared" ca="1" si="40"/>
        <v>0</v>
      </c>
      <c r="AC68" s="1580">
        <f t="shared" ca="1" si="41"/>
        <v>0</v>
      </c>
      <c r="AD68" s="1580">
        <f t="shared" ca="1" si="42"/>
        <v>0</v>
      </c>
      <c r="AE68" s="1580">
        <f t="shared" ca="1" si="43"/>
        <v>0</v>
      </c>
      <c r="AF68" s="1581">
        <f t="shared" ca="1" si="44"/>
        <v>0</v>
      </c>
      <c r="AG68" s="194"/>
      <c r="AH68" s="1579" t="str">
        <f t="shared" ca="1" si="45"/>
        <v/>
      </c>
      <c r="AI68" s="1580" t="str">
        <f t="shared" ca="1" si="46"/>
        <v/>
      </c>
      <c r="AJ68" s="1581" t="str">
        <f t="shared" ca="1" si="47"/>
        <v/>
      </c>
      <c r="AK68" s="194"/>
      <c r="AL68" s="1582">
        <f t="shared" ca="1" si="48"/>
        <v>0</v>
      </c>
      <c r="AM68" s="209"/>
      <c r="AN68" s="1582">
        <f t="shared" ca="1" si="49"/>
        <v>0</v>
      </c>
      <c r="AO68" s="209"/>
      <c r="AP68" s="1582">
        <f t="shared" ca="1" si="50"/>
        <v>0</v>
      </c>
      <c r="AQ68" s="209"/>
      <c r="AR68" s="1582">
        <f t="shared" ca="1" si="51"/>
        <v>0</v>
      </c>
      <c r="AS68" s="194"/>
      <c r="AT68" s="1582">
        <f t="shared" ca="1" si="52"/>
        <v>0</v>
      </c>
      <c r="AU68" s="194"/>
      <c r="AV68" s="194"/>
      <c r="AW68" s="194"/>
      <c r="AX68" s="194"/>
      <c r="AY68" s="194"/>
    </row>
    <row r="69" spans="1:51" s="2699" customFormat="1" ht="18" hidden="1" customHeight="1" x14ac:dyDescent="0.25">
      <c r="A69" s="972">
        <f t="shared" ca="1" si="23"/>
        <v>0</v>
      </c>
      <c r="B69" s="707">
        <f t="shared" si="28"/>
        <v>63</v>
      </c>
      <c r="C69" s="1376"/>
      <c r="D69" s="3346"/>
      <c r="E69" s="3346" t="str">
        <f t="shared" ca="1" si="29"/>
        <v/>
      </c>
      <c r="F69" s="1448" t="str">
        <f t="shared" ca="1" si="30"/>
        <v/>
      </c>
      <c r="G69" s="1418" t="str">
        <f t="shared" ca="1" si="31"/>
        <v/>
      </c>
      <c r="H69" s="3589" t="str">
        <f t="shared" ca="1" si="32"/>
        <v/>
      </c>
      <c r="I69" s="3589" t="str">
        <f t="shared" ca="1" si="33"/>
        <v/>
      </c>
      <c r="J69" s="3590" t="str">
        <f t="shared" ca="1" si="24"/>
        <v/>
      </c>
      <c r="K69" s="1422" t="str">
        <f t="shared" ca="1" si="34"/>
        <v/>
      </c>
      <c r="L69" s="1431" t="str">
        <f t="shared" ca="1" si="25"/>
        <v/>
      </c>
      <c r="M69" s="3591" t="str">
        <f t="shared" ca="1" si="26"/>
        <v/>
      </c>
      <c r="N69" s="3592" t="str">
        <f t="shared" ca="1" si="35"/>
        <v/>
      </c>
      <c r="O69" s="1420" t="e">
        <f ca="1">IF(U69="",IF(Income_RentRollSource="Datappraise/Manual Entry",VLOOKUP($B69,Datappraise_RentRoll,5,FALSE),IF(OR(Income_TechniqueUsed="Direct Capitalization",Income_TechniqueUsed="Direct Cap &amp; DCF"),VLOOKUP('Rent Roll'!S69,'Income Assumptions'!$D$11:$H$19,5,FALSE),VLOOKUP('Rent Roll'!S69,'Income Assumptions'!$D$50:$O$57,6,FALSE))),U69)</f>
        <v>#N/A</v>
      </c>
      <c r="P69" s="3346"/>
      <c r="Q69" s="1377"/>
      <c r="R69" s="652"/>
      <c r="S69" s="2696" t="inlineStr">
        <is>
          <t xml:space="preserve">Industrial Office/Warehouse</t>
        </is>
      </c>
      <c r="T69" s="652"/>
      <c r="U69" s="2696"/>
      <c r="V69" s="652"/>
      <c r="W69" s="2696"/>
      <c r="X69" s="652"/>
      <c r="Y69" s="1580">
        <f t="shared" ca="1" si="37"/>
        <v>0</v>
      </c>
      <c r="Z69" s="1580">
        <f t="shared" ca="1" si="38"/>
        <v>0</v>
      </c>
      <c r="AA69" s="1580">
        <f t="shared" ca="1" si="39"/>
        <v>0</v>
      </c>
      <c r="AB69" s="1580">
        <f t="shared" ca="1" si="40"/>
        <v>0</v>
      </c>
      <c r="AC69" s="1580">
        <f t="shared" ca="1" si="41"/>
        <v>0</v>
      </c>
      <c r="AD69" s="1580">
        <f t="shared" ca="1" si="42"/>
        <v>0</v>
      </c>
      <c r="AE69" s="1580">
        <f t="shared" ca="1" si="43"/>
        <v>0</v>
      </c>
      <c r="AF69" s="1581">
        <f t="shared" ca="1" si="44"/>
        <v>0</v>
      </c>
      <c r="AG69" s="194"/>
      <c r="AH69" s="1579" t="str">
        <f t="shared" ca="1" si="45"/>
        <v/>
      </c>
      <c r="AI69" s="1580" t="str">
        <f t="shared" ca="1" si="46"/>
        <v/>
      </c>
      <c r="AJ69" s="1581" t="str">
        <f t="shared" ca="1" si="47"/>
        <v/>
      </c>
      <c r="AK69" s="194"/>
      <c r="AL69" s="1582">
        <f t="shared" ca="1" si="48"/>
        <v>0</v>
      </c>
      <c r="AM69" s="209"/>
      <c r="AN69" s="1582">
        <f t="shared" ca="1" si="49"/>
        <v>0</v>
      </c>
      <c r="AO69" s="209"/>
      <c r="AP69" s="1582">
        <f t="shared" ca="1" si="50"/>
        <v>0</v>
      </c>
      <c r="AQ69" s="209"/>
      <c r="AR69" s="1582">
        <f t="shared" ca="1" si="51"/>
        <v>0</v>
      </c>
      <c r="AS69" s="194"/>
      <c r="AT69" s="1582">
        <f t="shared" ca="1" si="52"/>
        <v>0</v>
      </c>
      <c r="AU69" s="194"/>
      <c r="AV69" s="194"/>
      <c r="AW69" s="194"/>
      <c r="AX69" s="194"/>
      <c r="AY69" s="194"/>
    </row>
    <row r="70" spans="1:51" s="2699" customFormat="1" ht="18" hidden="1" customHeight="1" x14ac:dyDescent="0.25">
      <c r="A70" s="972">
        <f t="shared" ca="1" si="23"/>
        <v>0</v>
      </c>
      <c r="B70" s="707">
        <f t="shared" si="28"/>
        <v>64</v>
      </c>
      <c r="C70" s="1376"/>
      <c r="D70" s="3346"/>
      <c r="E70" s="3346" t="str">
        <f t="shared" ca="1" si="29"/>
        <v/>
      </c>
      <c r="F70" s="1448" t="str">
        <f t="shared" ca="1" si="30"/>
        <v/>
      </c>
      <c r="G70" s="1418" t="str">
        <f t="shared" ca="1" si="31"/>
        <v/>
      </c>
      <c r="H70" s="3589" t="str">
        <f t="shared" ca="1" si="32"/>
        <v/>
      </c>
      <c r="I70" s="3589" t="str">
        <f t="shared" ca="1" si="33"/>
        <v/>
      </c>
      <c r="J70" s="3590" t="str">
        <f t="shared" ca="1" si="24"/>
        <v/>
      </c>
      <c r="K70" s="1422" t="str">
        <f t="shared" ca="1" si="34"/>
        <v/>
      </c>
      <c r="L70" s="1431" t="str">
        <f t="shared" ca="1" si="25"/>
        <v/>
      </c>
      <c r="M70" s="3591" t="str">
        <f t="shared" ca="1" si="26"/>
        <v/>
      </c>
      <c r="N70" s="3592" t="str">
        <f t="shared" ca="1" si="35"/>
        <v/>
      </c>
      <c r="O70" s="1420" t="e">
        <f ca="1">IF(U70="",IF(Income_RentRollSource="Datappraise/Manual Entry",VLOOKUP($B70,Datappraise_RentRoll,5,FALSE),IF(OR(Income_TechniqueUsed="Direct Capitalization",Income_TechniqueUsed="Direct Cap &amp; DCF"),VLOOKUP('Rent Roll'!S70,'Income Assumptions'!$D$11:$H$19,5,FALSE),VLOOKUP('Rent Roll'!S70,'Income Assumptions'!$D$50:$O$57,6,FALSE))),U70)</f>
        <v>#N/A</v>
      </c>
      <c r="P70" s="3346"/>
      <c r="Q70" s="1377"/>
      <c r="R70" s="652"/>
      <c r="S70" s="2696" t="inlineStr">
        <is>
          <t xml:space="preserve">Industrial Office/Warehouse</t>
        </is>
      </c>
      <c r="T70" s="652"/>
      <c r="U70" s="2696"/>
      <c r="V70" s="652"/>
      <c r="W70" s="2696"/>
      <c r="X70" s="652"/>
      <c r="Y70" s="1580">
        <f t="shared" ca="1" si="37"/>
        <v>0</v>
      </c>
      <c r="Z70" s="1580">
        <f t="shared" ca="1" si="38"/>
        <v>0</v>
      </c>
      <c r="AA70" s="1580">
        <f t="shared" ca="1" si="39"/>
        <v>0</v>
      </c>
      <c r="AB70" s="1580">
        <f t="shared" ca="1" si="40"/>
        <v>0</v>
      </c>
      <c r="AC70" s="1580">
        <f t="shared" ca="1" si="41"/>
        <v>0</v>
      </c>
      <c r="AD70" s="1580">
        <f t="shared" ca="1" si="42"/>
        <v>0</v>
      </c>
      <c r="AE70" s="1580">
        <f t="shared" ca="1" si="43"/>
        <v>0</v>
      </c>
      <c r="AF70" s="1581">
        <f t="shared" ca="1" si="44"/>
        <v>0</v>
      </c>
      <c r="AG70" s="194"/>
      <c r="AH70" s="1579" t="str">
        <f t="shared" ca="1" si="45"/>
        <v/>
      </c>
      <c r="AI70" s="1580" t="str">
        <f t="shared" ca="1" si="46"/>
        <v/>
      </c>
      <c r="AJ70" s="1581" t="str">
        <f t="shared" ca="1" si="47"/>
        <v/>
      </c>
      <c r="AK70" s="194"/>
      <c r="AL70" s="1582">
        <f t="shared" ca="1" si="48"/>
        <v>0</v>
      </c>
      <c r="AM70" s="209"/>
      <c r="AN70" s="1582">
        <f t="shared" ca="1" si="49"/>
        <v>0</v>
      </c>
      <c r="AO70" s="209"/>
      <c r="AP70" s="1582">
        <f t="shared" ca="1" si="50"/>
        <v>0</v>
      </c>
      <c r="AQ70" s="209"/>
      <c r="AR70" s="1582">
        <f t="shared" ca="1" si="51"/>
        <v>0</v>
      </c>
      <c r="AS70" s="194"/>
      <c r="AT70" s="1582">
        <f t="shared" ca="1" si="52"/>
        <v>0</v>
      </c>
      <c r="AU70" s="194"/>
      <c r="AV70" s="194"/>
      <c r="AW70" s="194"/>
      <c r="AX70" s="194"/>
      <c r="AY70" s="194"/>
    </row>
    <row r="71" spans="1:51" s="2699" customFormat="1" ht="18" hidden="1" customHeight="1" x14ac:dyDescent="0.25">
      <c r="A71" s="972">
        <f t="shared" ca="1" si="23"/>
        <v>0</v>
      </c>
      <c r="B71" s="707">
        <f t="shared" si="28"/>
        <v>65</v>
      </c>
      <c r="C71" s="1376"/>
      <c r="D71" s="3346"/>
      <c r="E71" s="3346" t="str">
        <f t="shared" ref="E71:E102" ca="1" si="53">IF(Income_RentRollSource="ARGUS",IF(OR(ISERROR(VLOOKUP($B71,ARGUS_TenantRentRollArray,2,FALSE)),ISNUMBER(SEARCH("Reabsorb",VLOOKUP($B71,ARGUS_TenantRentRollArray,2,FALSE)))),"",VLOOKUP($B71,ARGUS_TenantRentRollArray,2,FALSE)),IF(Datappraise_RentRoll_TenantCount&lt;B71,"",VLOOKUP($B71,Datappraise_RentRoll,2,FALSE)))</f>
        <v/>
      </c>
      <c r="F71" s="1448" t="str">
        <f t="shared" ref="F71:F102" ca="1" si="54">IF(Income_RentRollSource="ARGUS",IF(OR(ISERROR(VLOOKUP($B71,ARGUS_TenantRentRollArray,2,FALSE)),ISNUMBER(SEARCH("Reabsorb",VLOOKUP($B71,ARGUS_TenantRentRollArray,2,FALSE))),ISNUMBER(SEARCH("Vacant",VLOOKUP($B71,ARGUS_TenantRentRollArray,2,FALSE)))),"",VLOOKUP($B71,ARGUS_TenantRentRollArray,3,FALSE)),IF(Datappraise_RentRoll_TenantCount&lt;$B71,"",VLOOKUP($B71,Datappraise_RentRoll,3,FALSE)))</f>
        <v/>
      </c>
      <c r="G71" s="1418" t="str">
        <f t="shared" ref="G71:G102" ca="1" si="55">IF(Income_RentRollSource="ARGUS",IF(OR(ISERROR(VLOOKUP($B71,ARGUS_TenantRentRollArray,2,FALSE)),ISNUMBER(SEARCH("Reabsorb",VLOOKUP($B71,ARGUS_TenantRentRollArray,2,FALSE)))),"",IF(ISERROR(SEARCH("Vacant",E71)),IF(H71&gt;dpIncome_RentRoll_DOV,"Prospective Contract","Contract"),"Speculative")),IF(Datappraise_RentRoll_TenantCount&lt;$B71,"",IF(ISERROR(SEARCH("Vacant",E71)),IF(H71&gt;dpIncome_RentRoll_DOV,"Prospective Contract","Contract"),"Speculative")))</f>
        <v/>
      </c>
      <c r="H71" s="3589" t="str">
        <f t="shared" ref="H71:H102" ca="1" si="56">IF(Income_RentRollSource="ARGUS",IF(OR(ISERROR(VLOOKUP($B71,ARGUS_TenantRentRollArray,2,FALSE)),ISNUMBER(SEARCH("Reabsorb",VLOOKUP($B71,ARGUS_TenantRentRollArray,2,FALSE)))),"",VLOOKUP($B71,ARGUS_TenantRentRollArray,8,FALSE))+0,IF(Datappraise_RentRoll_TenantCount&lt;$B71,"",VLOOKUP($B71,Datappraise_RentRoll,10,FALSE)))</f>
        <v/>
      </c>
      <c r="I71" s="3589" t="str">
        <f t="shared" ref="I71:I102" ca="1" si="57">IF(Income_RentRollSource="ARGUS",IF(OR(ISERROR(VLOOKUP($B71,ARGUS_TenantRentRollArray,2,FALSE)),ISNUMBER(SEARCH("Reabsorb",VLOOKUP($B71,ARGUS_TenantRentRollArray,2,FALSE)))),"",VLOOKUP($B71,ARGUS_TenantRentRollArray,9,FALSE))+0,IF(Datappraise_RentRoll_TenantCount&lt;$B71,"",VLOOKUP($B71,Datappraise_RentRoll,11,FALSE)))</f>
        <v/>
      </c>
      <c r="J71" s="3590" t="str">
        <f t="shared" ca="1" si="24"/>
        <v/>
      </c>
      <c r="K71" s="1422" t="str">
        <f t="shared" ref="K71:K102" ca="1" si="58">IF(Income_RentRollSource="ARGUS",IF(OR(ISERROR(VLOOKUP($B71,ARGUS_TenantRentRollArray,2,FALSE)),ISNUMBER(SEARCH("Reabsorb",VLOOKUP($B71,ARGUS_TenantRentRollArray,2,FALSE)))),"",VLOOKUP($B71,ARGUS_TenantRentRollArray,7,FALSE)),IF(Datappraise_RentRoll_TenantCount&lt;$B71,"",VLOOKUP($B71,Datappraise_RentRoll,7,FALSE)))</f>
        <v/>
      </c>
      <c r="L71" s="1431" t="str">
        <f t="shared" ca="1" si="25"/>
        <v/>
      </c>
      <c r="M71" s="3591" t="str">
        <f t="shared" ca="1" si="26"/>
        <v/>
      </c>
      <c r="N71" s="3592" t="str">
        <f t="shared" ref="N71:N102" ca="1" si="59">IF(Income_RentRollSource="ARGUS",IF(A71=0,"",VLOOKUP(B71,ARGUS_TenantRentRollArray,10,FALSE)/K71),IF(A71=0,"",VLOOKUP($B71,Datappraise_RentRoll,9,FALSE)))</f>
        <v/>
      </c>
      <c r="O71" s="1420" t="e">
        <f ca="1">IF(U71="",IF(Income_RentRollSource="Datappraise/Manual Entry",VLOOKUP($B71,Datappraise_RentRoll,5,FALSE),IF(OR(Income_TechniqueUsed="Direct Capitalization",Income_TechniqueUsed="Direct Cap &amp; DCF"),VLOOKUP('Rent Roll'!S71,'Income Assumptions'!$D$11:$H$19,5,FALSE),VLOOKUP('Rent Roll'!S71,'Income Assumptions'!$D$50:$O$57,6,FALSE))),U71)</f>
        <v>#N/A</v>
      </c>
      <c r="P71" s="3346"/>
      <c r="Q71" s="1377"/>
      <c r="R71" s="652"/>
      <c r="S71" s="2696" t="inlineStr">
        <is>
          <t xml:space="preserve">Industrial Office/Warehouse</t>
        </is>
      </c>
      <c r="T71" s="652"/>
      <c r="U71" s="2696"/>
      <c r="V71" s="652"/>
      <c r="W71" s="2696"/>
      <c r="X71" s="652"/>
      <c r="Y71" s="1580">
        <f t="shared" ref="Y71:Y102" ca="1" si="61">IF(AND($A71=1,$S71=Income_TCat1,$S71&lt;&gt;""),1,0)</f>
        <v>0</v>
      </c>
      <c r="Z71" s="1580">
        <f t="shared" ref="Z71:Z102" ca="1" si="62">IF(AND($A71=1,$S71=Income_TCat2,$S71&lt;&gt;""),1,0)</f>
        <v>0</v>
      </c>
      <c r="AA71" s="1580">
        <f t="shared" ref="AA71:AA102" ca="1" si="63">IF(AND($A71=1,$S71=Income_TCat3,$S71&lt;&gt;""),1,0)</f>
        <v>0</v>
      </c>
      <c r="AB71" s="1580">
        <f t="shared" ref="AB71:AB102" ca="1" si="64">IF(AND($A71=1,$S71=Income_TCat4,$S71&lt;&gt;""),1,0)</f>
        <v>0</v>
      </c>
      <c r="AC71" s="1580">
        <f t="shared" ref="AC71:AC102" ca="1" si="65">IF(AND($A71=1,$S71=Income_TCat5,$S71&lt;&gt;""),1,0)</f>
        <v>0</v>
      </c>
      <c r="AD71" s="1580">
        <f t="shared" ref="AD71:AD102" ca="1" si="66">IF(AND($A71=1,$S71=Income_TCat6,$S71&lt;&gt;""),1,0)</f>
        <v>0</v>
      </c>
      <c r="AE71" s="1580">
        <f t="shared" ref="AE71:AE102" ca="1" si="67">IF(AND($A71=1,$S71=Income_TCat7,$S71&lt;&gt;""),1,0)</f>
        <v>0</v>
      </c>
      <c r="AF71" s="1581">
        <f t="shared" ref="AF71:AF102" ca="1" si="68">IF(AND($A71=1,$S71=Income_TCat8,$S71&lt;&gt;""),1,0)</f>
        <v>0</v>
      </c>
      <c r="AG71" s="194"/>
      <c r="AH71" s="1579" t="str">
        <f t="shared" ref="AH71:AH102" ca="1" si="69">IF(OR(G71="Speculative",G71=""),"",K71*N71)</f>
        <v/>
      </c>
      <c r="AI71" s="1580" t="str">
        <f t="shared" ref="AI71:AI102" ca="1" si="70">IF(OR(G71="Speculative",G71=""),"",K71*VLOOKUP(S71,Income_DirectCap_AssumpMatrix,3,FALSE))</f>
        <v/>
      </c>
      <c r="AJ71" s="1581" t="str">
        <f t="shared" ref="AJ71:AJ102" ca="1" si="71">IF(OR(G71="Speculative",G71=""),"",K71)</f>
        <v/>
      </c>
      <c r="AK71" s="194"/>
      <c r="AL71" s="1582">
        <f t="shared" ref="AL71:AL102" ca="1" si="72">IF(ISERROR(AND(OR($H71=Income_Absorb_Period1,$H71&gt;Income_Absorb_Period1),$A71=1)),0,IF(AND(OR($H71=Income_Absorb_Period1,$H71&gt;Income_Absorb_Period1),$A71=1),$K71,0))</f>
        <v>0</v>
      </c>
      <c r="AM71" s="209"/>
      <c r="AN71" s="1582">
        <f t="shared" ref="AN71:AN102" ca="1" si="73">IF(ISERROR(AND(OR($H71=Income_Absorb_Period2,AND($H71&gt;Income_Absorb_Period2,$H71&lt;Income_Absorb_Period1)),$A71=1,Income_Absorb_Period2&lt;&gt;"")),0,IF(AND(OR($H71=Income_Absorb_Period2,AND($H71&gt;Income_Absorb_Period2,$H71&lt;Income_Absorb_Period1)),$A71=1,Income_Absorb_Period2&lt;&gt;""),$K71,0))</f>
        <v>0</v>
      </c>
      <c r="AO71" s="209"/>
      <c r="AP71" s="1582">
        <f t="shared" ref="AP71:AP102" ca="1" si="74">IF(ISERROR(AND(OR($H71=Income_Absorb_Period3,AND($H71&gt;Income_Absorb_Period3,$H71&lt;Income_Absorb_Period2)),$A71=1,Income_Absorb_Period3&lt;&gt;"")),0,IF(AND(OR($H71=Income_Absorb_Period3,AND($H71&gt;Income_Absorb_Period3,$H71&lt;Income_Absorb_Period2)),$A71=1,Income_Absorb_Period3&lt;&gt;""),$K71,0))</f>
        <v>0</v>
      </c>
      <c r="AQ71" s="209"/>
      <c r="AR71" s="1582">
        <f t="shared" ref="AR71:AR102" ca="1" si="75">IF(ISERROR(AND(OR($H71=Income_Absorb_Period4,AND($H71&gt;Income_Absorb_Period4,$H71&lt;Income_Absorb_Period3)),$A71=1,Income_Absorb_Period4&lt;&gt;"")),0,IF(AND(OR($H71=Income_Absorb_Period4,AND($H71&gt;Income_Absorb_Period4,$H71&lt;Income_Absorb_Period3)),$A71=1,Income_Absorb_Period4&lt;&gt;""),$K71,0))</f>
        <v>0</v>
      </c>
      <c r="AS71" s="194"/>
      <c r="AT71" s="1582">
        <f t="shared" ref="AT71:AT102" ca="1" si="76">IF(ISERROR(AND(OR($H71=Income_Absorb_Period5,AND($H71&gt;Income_Absorb_Period5,$H71&lt;Income_Absorb_Period4)),$A71=1,Income_Absorb_Period5&lt;&gt;"")),0,IF(AND(OR($H71=Income_Absorb_Period5,AND($H71&gt;Income_Absorb_Period5,$H71&lt;Income_Absorb_Period4)),$A71=1,Income_Absorb_Period5&lt;&gt;""),$K71,0))</f>
        <v>0</v>
      </c>
      <c r="AU71" s="194"/>
      <c r="AV71" s="194"/>
      <c r="AW71" s="194"/>
      <c r="AX71" s="194"/>
      <c r="AY71" s="194"/>
    </row>
    <row r="72" spans="1:51" s="2699" customFormat="1" ht="18" hidden="1" customHeight="1" x14ac:dyDescent="0.25">
      <c r="A72" s="972">
        <f t="shared" ref="A72:A135" ca="1" si="77">IF(OR(E72="",ISNUMBER(SEARCH("vacant",E72))),0,1)</f>
        <v>0</v>
      </c>
      <c r="B72" s="707">
        <f t="shared" si="28"/>
        <v>66</v>
      </c>
      <c r="C72" s="1376"/>
      <c r="D72" s="3346"/>
      <c r="E72" s="3346" t="str">
        <f t="shared" ca="1" si="53"/>
        <v/>
      </c>
      <c r="F72" s="1448" t="str">
        <f t="shared" ca="1" si="54"/>
        <v/>
      </c>
      <c r="G72" s="1418" t="str">
        <f t="shared" ca="1" si="55"/>
        <v/>
      </c>
      <c r="H72" s="3589" t="str">
        <f t="shared" ca="1" si="56"/>
        <v/>
      </c>
      <c r="I72" s="3589" t="str">
        <f t="shared" ca="1" si="57"/>
        <v/>
      </c>
      <c r="J72" s="3590" t="str">
        <f t="shared" ref="J72:J135" ca="1" si="78">IF(OR(ISERR(YEARFRAC(dpIncome_RentRoll_DOV,I72)),G72="Speculative"),"",YEARFRAC(dpIncome_RentRoll_DOV,I72))</f>
        <v/>
      </c>
      <c r="K72" s="1422" t="str">
        <f t="shared" ca="1" si="58"/>
        <v/>
      </c>
      <c r="L72" s="1431" t="str">
        <f t="shared" ref="L72:L135" ca="1" si="79">IF(E72="","",K72/$K$216)</f>
        <v/>
      </c>
      <c r="M72" s="3591" t="str">
        <f t="shared" ref="M72:M135" ca="1" si="80">IF(E72="","",IF(G72="Contract",L72,0))</f>
        <v/>
      </c>
      <c r="N72" s="3592" t="str">
        <f t="shared" ca="1" si="59"/>
        <v/>
      </c>
      <c r="O72" s="1420" t="e">
        <f ca="1">IF(U72="",IF(Income_RentRollSource="Datappraise/Manual Entry",VLOOKUP($B72,Datappraise_RentRoll,5,FALSE),IF(OR(Income_TechniqueUsed="Direct Capitalization",Income_TechniqueUsed="Direct Cap &amp; DCF"),VLOOKUP('Rent Roll'!S72,'Income Assumptions'!$D$11:$H$19,5,FALSE),VLOOKUP('Rent Roll'!S72,'Income Assumptions'!$D$50:$O$57,6,FALSE))),U72)</f>
        <v>#N/A</v>
      </c>
      <c r="P72" s="3346"/>
      <c r="Q72" s="1377"/>
      <c r="R72" s="652"/>
      <c r="S72" s="2696" t="inlineStr">
        <is>
          <t xml:space="preserve">Industrial Office/Warehouse</t>
        </is>
      </c>
      <c r="T72" s="652"/>
      <c r="U72" s="2696"/>
      <c r="V72" s="652"/>
      <c r="W72" s="2696"/>
      <c r="X72" s="652"/>
      <c r="Y72" s="1580">
        <f t="shared" ca="1" si="61"/>
        <v>0</v>
      </c>
      <c r="Z72" s="1580">
        <f t="shared" ca="1" si="62"/>
        <v>0</v>
      </c>
      <c r="AA72" s="1580">
        <f t="shared" ca="1" si="63"/>
        <v>0</v>
      </c>
      <c r="AB72" s="1580">
        <f t="shared" ca="1" si="64"/>
        <v>0</v>
      </c>
      <c r="AC72" s="1580">
        <f t="shared" ca="1" si="65"/>
        <v>0</v>
      </c>
      <c r="AD72" s="1580">
        <f t="shared" ca="1" si="66"/>
        <v>0</v>
      </c>
      <c r="AE72" s="1580">
        <f t="shared" ca="1" si="67"/>
        <v>0</v>
      </c>
      <c r="AF72" s="1581">
        <f t="shared" ca="1" si="68"/>
        <v>0</v>
      </c>
      <c r="AG72" s="194"/>
      <c r="AH72" s="1579" t="str">
        <f t="shared" ca="1" si="69"/>
        <v/>
      </c>
      <c r="AI72" s="1580" t="str">
        <f t="shared" ca="1" si="70"/>
        <v/>
      </c>
      <c r="AJ72" s="1581" t="str">
        <f t="shared" ca="1" si="71"/>
        <v/>
      </c>
      <c r="AK72" s="194"/>
      <c r="AL72" s="1582">
        <f t="shared" ca="1" si="72"/>
        <v>0</v>
      </c>
      <c r="AM72" s="209"/>
      <c r="AN72" s="1582">
        <f t="shared" ca="1" si="73"/>
        <v>0</v>
      </c>
      <c r="AO72" s="209"/>
      <c r="AP72" s="1582">
        <f t="shared" ca="1" si="74"/>
        <v>0</v>
      </c>
      <c r="AQ72" s="209"/>
      <c r="AR72" s="1582">
        <f t="shared" ca="1" si="75"/>
        <v>0</v>
      </c>
      <c r="AS72" s="194"/>
      <c r="AT72" s="1582">
        <f t="shared" ca="1" si="76"/>
        <v>0</v>
      </c>
      <c r="AU72" s="194"/>
      <c r="AV72" s="194"/>
      <c r="AW72" s="194"/>
      <c r="AX72" s="194"/>
      <c r="AY72" s="194"/>
    </row>
    <row r="73" spans="1:51" s="2699" customFormat="1" ht="18" hidden="1" customHeight="1" x14ac:dyDescent="0.25">
      <c r="A73" s="972">
        <f t="shared" ca="1" si="77"/>
        <v>0</v>
      </c>
      <c r="B73" s="707">
        <f t="shared" ref="B73:B136" si="81">B72+1</f>
        <v>67</v>
      </c>
      <c r="C73" s="1376"/>
      <c r="D73" s="3346"/>
      <c r="E73" s="3346" t="str">
        <f t="shared" ca="1" si="53"/>
        <v/>
      </c>
      <c r="F73" s="1448" t="str">
        <f t="shared" ca="1" si="54"/>
        <v/>
      </c>
      <c r="G73" s="1418" t="str">
        <f t="shared" ca="1" si="55"/>
        <v/>
      </c>
      <c r="H73" s="3589" t="str">
        <f t="shared" ca="1" si="56"/>
        <v/>
      </c>
      <c r="I73" s="3589" t="str">
        <f t="shared" ca="1" si="57"/>
        <v/>
      </c>
      <c r="J73" s="3590" t="str">
        <f t="shared" ca="1" si="78"/>
        <v/>
      </c>
      <c r="K73" s="1422" t="str">
        <f t="shared" ca="1" si="58"/>
        <v/>
      </c>
      <c r="L73" s="1431" t="str">
        <f t="shared" ca="1" si="79"/>
        <v/>
      </c>
      <c r="M73" s="3591" t="str">
        <f t="shared" ca="1" si="80"/>
        <v/>
      </c>
      <c r="N73" s="3592" t="str">
        <f t="shared" ca="1" si="59"/>
        <v/>
      </c>
      <c r="O73" s="1420" t="e">
        <f ca="1">IF(U73="",IF(Income_RentRollSource="Datappraise/Manual Entry",VLOOKUP($B73,Datappraise_RentRoll,5,FALSE),IF(OR(Income_TechniqueUsed="Direct Capitalization",Income_TechniqueUsed="Direct Cap &amp; DCF"),VLOOKUP('Rent Roll'!S73,'Income Assumptions'!$D$11:$H$19,5,FALSE),VLOOKUP('Rent Roll'!S73,'Income Assumptions'!$D$50:$O$57,6,FALSE))),U73)</f>
        <v>#N/A</v>
      </c>
      <c r="P73" s="3346"/>
      <c r="Q73" s="1377"/>
      <c r="R73" s="652"/>
      <c r="S73" s="2696" t="inlineStr">
        <is>
          <t xml:space="preserve">Industrial Office/Warehouse</t>
        </is>
      </c>
      <c r="T73" s="652"/>
      <c r="U73" s="2696"/>
      <c r="V73" s="652"/>
      <c r="W73" s="2696"/>
      <c r="X73" s="652"/>
      <c r="Y73" s="1580">
        <f t="shared" ca="1" si="61"/>
        <v>0</v>
      </c>
      <c r="Z73" s="1580">
        <f t="shared" ca="1" si="62"/>
        <v>0</v>
      </c>
      <c r="AA73" s="1580">
        <f t="shared" ca="1" si="63"/>
        <v>0</v>
      </c>
      <c r="AB73" s="1580">
        <f t="shared" ca="1" si="64"/>
        <v>0</v>
      </c>
      <c r="AC73" s="1580">
        <f t="shared" ca="1" si="65"/>
        <v>0</v>
      </c>
      <c r="AD73" s="1580">
        <f t="shared" ca="1" si="66"/>
        <v>0</v>
      </c>
      <c r="AE73" s="1580">
        <f t="shared" ca="1" si="67"/>
        <v>0</v>
      </c>
      <c r="AF73" s="1581">
        <f t="shared" ca="1" si="68"/>
        <v>0</v>
      </c>
      <c r="AG73" s="194"/>
      <c r="AH73" s="1579" t="str">
        <f t="shared" ca="1" si="69"/>
        <v/>
      </c>
      <c r="AI73" s="1580" t="str">
        <f t="shared" ca="1" si="70"/>
        <v/>
      </c>
      <c r="AJ73" s="1581" t="str">
        <f t="shared" ca="1" si="71"/>
        <v/>
      </c>
      <c r="AK73" s="194"/>
      <c r="AL73" s="1582">
        <f t="shared" ca="1" si="72"/>
        <v>0</v>
      </c>
      <c r="AM73" s="209"/>
      <c r="AN73" s="1582">
        <f t="shared" ca="1" si="73"/>
        <v>0</v>
      </c>
      <c r="AO73" s="209"/>
      <c r="AP73" s="1582">
        <f t="shared" ca="1" si="74"/>
        <v>0</v>
      </c>
      <c r="AQ73" s="209"/>
      <c r="AR73" s="1582">
        <f t="shared" ca="1" si="75"/>
        <v>0</v>
      </c>
      <c r="AS73" s="194"/>
      <c r="AT73" s="1582">
        <f t="shared" ca="1" si="76"/>
        <v>0</v>
      </c>
      <c r="AU73" s="194"/>
      <c r="AV73" s="194"/>
      <c r="AW73" s="194"/>
      <c r="AX73" s="194"/>
      <c r="AY73" s="194"/>
    </row>
    <row r="74" spans="1:51" s="2699" customFormat="1" ht="18" hidden="1" customHeight="1" x14ac:dyDescent="0.25">
      <c r="A74" s="972">
        <f t="shared" ca="1" si="77"/>
        <v>0</v>
      </c>
      <c r="B74" s="707">
        <f t="shared" si="81"/>
        <v>68</v>
      </c>
      <c r="C74" s="1376"/>
      <c r="D74" s="3346"/>
      <c r="E74" s="3346" t="str">
        <f t="shared" ca="1" si="53"/>
        <v/>
      </c>
      <c r="F74" s="1448" t="str">
        <f t="shared" ca="1" si="54"/>
        <v/>
      </c>
      <c r="G74" s="1418" t="str">
        <f t="shared" ca="1" si="55"/>
        <v/>
      </c>
      <c r="H74" s="3589" t="str">
        <f t="shared" ca="1" si="56"/>
        <v/>
      </c>
      <c r="I74" s="3589" t="str">
        <f t="shared" ca="1" si="57"/>
        <v/>
      </c>
      <c r="J74" s="3590" t="str">
        <f t="shared" ca="1" si="78"/>
        <v/>
      </c>
      <c r="K74" s="1422" t="str">
        <f t="shared" ca="1" si="58"/>
        <v/>
      </c>
      <c r="L74" s="1431" t="str">
        <f t="shared" ca="1" si="79"/>
        <v/>
      </c>
      <c r="M74" s="3591" t="str">
        <f t="shared" ca="1" si="80"/>
        <v/>
      </c>
      <c r="N74" s="3592" t="str">
        <f t="shared" ca="1" si="59"/>
        <v/>
      </c>
      <c r="O74" s="1420" t="e">
        <f ca="1">IF(U74="",IF(Income_RentRollSource="Datappraise/Manual Entry",VLOOKUP($B74,Datappraise_RentRoll,5,FALSE),IF(OR(Income_TechniqueUsed="Direct Capitalization",Income_TechniqueUsed="Direct Cap &amp; DCF"),VLOOKUP('Rent Roll'!S74,'Income Assumptions'!$D$11:$H$19,5,FALSE),VLOOKUP('Rent Roll'!S74,'Income Assumptions'!$D$50:$O$57,6,FALSE))),U74)</f>
        <v>#N/A</v>
      </c>
      <c r="P74" s="3346"/>
      <c r="Q74" s="1377"/>
      <c r="R74" s="652"/>
      <c r="S74" s="2696" t="inlineStr">
        <is>
          <t xml:space="preserve">Industrial Office/Warehouse</t>
        </is>
      </c>
      <c r="T74" s="652"/>
      <c r="U74" s="2696"/>
      <c r="V74" s="652"/>
      <c r="W74" s="2696"/>
      <c r="X74" s="652"/>
      <c r="Y74" s="1580">
        <f t="shared" ca="1" si="61"/>
        <v>0</v>
      </c>
      <c r="Z74" s="1580">
        <f t="shared" ca="1" si="62"/>
        <v>0</v>
      </c>
      <c r="AA74" s="1580">
        <f t="shared" ca="1" si="63"/>
        <v>0</v>
      </c>
      <c r="AB74" s="1580">
        <f t="shared" ca="1" si="64"/>
        <v>0</v>
      </c>
      <c r="AC74" s="1580">
        <f t="shared" ca="1" si="65"/>
        <v>0</v>
      </c>
      <c r="AD74" s="1580">
        <f t="shared" ca="1" si="66"/>
        <v>0</v>
      </c>
      <c r="AE74" s="1580">
        <f t="shared" ca="1" si="67"/>
        <v>0</v>
      </c>
      <c r="AF74" s="1581">
        <f t="shared" ca="1" si="68"/>
        <v>0</v>
      </c>
      <c r="AG74" s="194"/>
      <c r="AH74" s="1579" t="str">
        <f t="shared" ca="1" si="69"/>
        <v/>
      </c>
      <c r="AI74" s="1580" t="str">
        <f t="shared" ca="1" si="70"/>
        <v/>
      </c>
      <c r="AJ74" s="1581" t="str">
        <f t="shared" ca="1" si="71"/>
        <v/>
      </c>
      <c r="AK74" s="194"/>
      <c r="AL74" s="1582">
        <f t="shared" ca="1" si="72"/>
        <v>0</v>
      </c>
      <c r="AM74" s="209"/>
      <c r="AN74" s="1582">
        <f t="shared" ca="1" si="73"/>
        <v>0</v>
      </c>
      <c r="AO74" s="209"/>
      <c r="AP74" s="1582">
        <f t="shared" ca="1" si="74"/>
        <v>0</v>
      </c>
      <c r="AQ74" s="209"/>
      <c r="AR74" s="1582">
        <f t="shared" ca="1" si="75"/>
        <v>0</v>
      </c>
      <c r="AS74" s="194"/>
      <c r="AT74" s="1582">
        <f t="shared" ca="1" si="76"/>
        <v>0</v>
      </c>
      <c r="AU74" s="194"/>
      <c r="AV74" s="194"/>
      <c r="AW74" s="194"/>
      <c r="AX74" s="194"/>
      <c r="AY74" s="194"/>
    </row>
    <row r="75" spans="1:51" s="2699" customFormat="1" ht="18" hidden="1" customHeight="1" x14ac:dyDescent="0.25">
      <c r="A75" s="972">
        <f t="shared" ca="1" si="77"/>
        <v>0</v>
      </c>
      <c r="B75" s="707">
        <f t="shared" si="81"/>
        <v>69</v>
      </c>
      <c r="C75" s="1376"/>
      <c r="D75" s="3346"/>
      <c r="E75" s="3346" t="str">
        <f t="shared" ca="1" si="53"/>
        <v/>
      </c>
      <c r="F75" s="1448" t="str">
        <f t="shared" ca="1" si="54"/>
        <v/>
      </c>
      <c r="G75" s="1418" t="str">
        <f t="shared" ca="1" si="55"/>
        <v/>
      </c>
      <c r="H75" s="3589" t="str">
        <f t="shared" ca="1" si="56"/>
        <v/>
      </c>
      <c r="I75" s="3589" t="str">
        <f t="shared" ca="1" si="57"/>
        <v/>
      </c>
      <c r="J75" s="3590" t="str">
        <f t="shared" ca="1" si="78"/>
        <v/>
      </c>
      <c r="K75" s="1422" t="str">
        <f t="shared" ca="1" si="58"/>
        <v/>
      </c>
      <c r="L75" s="1431" t="str">
        <f t="shared" ca="1" si="79"/>
        <v/>
      </c>
      <c r="M75" s="3591" t="str">
        <f t="shared" ca="1" si="80"/>
        <v/>
      </c>
      <c r="N75" s="3592" t="str">
        <f t="shared" ca="1" si="59"/>
        <v/>
      </c>
      <c r="O75" s="1420" t="e">
        <f ca="1">IF(U75="",IF(Income_RentRollSource="Datappraise/Manual Entry",VLOOKUP($B75,Datappraise_RentRoll,5,FALSE),IF(OR(Income_TechniqueUsed="Direct Capitalization",Income_TechniqueUsed="Direct Cap &amp; DCF"),VLOOKUP('Rent Roll'!S75,'Income Assumptions'!$D$11:$H$19,5,FALSE),VLOOKUP('Rent Roll'!S75,'Income Assumptions'!$D$50:$O$57,6,FALSE))),U75)</f>
        <v>#N/A</v>
      </c>
      <c r="P75" s="3346"/>
      <c r="Q75" s="1377"/>
      <c r="R75" s="652"/>
      <c r="S75" s="2696" t="inlineStr">
        <is>
          <t xml:space="preserve">Industrial Office/Warehouse</t>
        </is>
      </c>
      <c r="T75" s="652"/>
      <c r="U75" s="2696"/>
      <c r="V75" s="652"/>
      <c r="W75" s="2696"/>
      <c r="X75" s="652"/>
      <c r="Y75" s="1580">
        <f t="shared" ca="1" si="61"/>
        <v>0</v>
      </c>
      <c r="Z75" s="1580">
        <f t="shared" ca="1" si="62"/>
        <v>0</v>
      </c>
      <c r="AA75" s="1580">
        <f t="shared" ca="1" si="63"/>
        <v>0</v>
      </c>
      <c r="AB75" s="1580">
        <f t="shared" ca="1" si="64"/>
        <v>0</v>
      </c>
      <c r="AC75" s="1580">
        <f t="shared" ca="1" si="65"/>
        <v>0</v>
      </c>
      <c r="AD75" s="1580">
        <f t="shared" ca="1" si="66"/>
        <v>0</v>
      </c>
      <c r="AE75" s="1580">
        <f t="shared" ca="1" si="67"/>
        <v>0</v>
      </c>
      <c r="AF75" s="1581">
        <f t="shared" ca="1" si="68"/>
        <v>0</v>
      </c>
      <c r="AG75" s="194"/>
      <c r="AH75" s="1579" t="str">
        <f t="shared" ca="1" si="69"/>
        <v/>
      </c>
      <c r="AI75" s="1580" t="str">
        <f t="shared" ca="1" si="70"/>
        <v/>
      </c>
      <c r="AJ75" s="1581" t="str">
        <f t="shared" ca="1" si="71"/>
        <v/>
      </c>
      <c r="AK75" s="194"/>
      <c r="AL75" s="1582">
        <f t="shared" ca="1" si="72"/>
        <v>0</v>
      </c>
      <c r="AM75" s="209"/>
      <c r="AN75" s="1582">
        <f t="shared" ca="1" si="73"/>
        <v>0</v>
      </c>
      <c r="AO75" s="209"/>
      <c r="AP75" s="1582">
        <f t="shared" ca="1" si="74"/>
        <v>0</v>
      </c>
      <c r="AQ75" s="209"/>
      <c r="AR75" s="1582">
        <f t="shared" ca="1" si="75"/>
        <v>0</v>
      </c>
      <c r="AS75" s="194"/>
      <c r="AT75" s="1582">
        <f t="shared" ca="1" si="76"/>
        <v>0</v>
      </c>
      <c r="AU75" s="194"/>
      <c r="AV75" s="194"/>
      <c r="AW75" s="194"/>
      <c r="AX75" s="194"/>
      <c r="AY75" s="194"/>
    </row>
    <row r="76" spans="1:51" s="2699" customFormat="1" ht="18" hidden="1" customHeight="1" x14ac:dyDescent="0.25">
      <c r="A76" s="972">
        <f t="shared" ca="1" si="77"/>
        <v>0</v>
      </c>
      <c r="B76" s="707">
        <f t="shared" si="81"/>
        <v>70</v>
      </c>
      <c r="C76" s="1376"/>
      <c r="D76" s="3346"/>
      <c r="E76" s="3346" t="str">
        <f t="shared" ca="1" si="53"/>
        <v/>
      </c>
      <c r="F76" s="1448" t="str">
        <f t="shared" ca="1" si="54"/>
        <v/>
      </c>
      <c r="G76" s="1418" t="str">
        <f t="shared" ca="1" si="55"/>
        <v/>
      </c>
      <c r="H76" s="3589" t="str">
        <f t="shared" ca="1" si="56"/>
        <v/>
      </c>
      <c r="I76" s="3589" t="str">
        <f t="shared" ca="1" si="57"/>
        <v/>
      </c>
      <c r="J76" s="3590" t="str">
        <f t="shared" ca="1" si="78"/>
        <v/>
      </c>
      <c r="K76" s="1422" t="str">
        <f t="shared" ca="1" si="58"/>
        <v/>
      </c>
      <c r="L76" s="1431" t="str">
        <f t="shared" ca="1" si="79"/>
        <v/>
      </c>
      <c r="M76" s="3591" t="str">
        <f t="shared" ca="1" si="80"/>
        <v/>
      </c>
      <c r="N76" s="3592" t="str">
        <f t="shared" ca="1" si="59"/>
        <v/>
      </c>
      <c r="O76" s="1420" t="e">
        <f ca="1">IF(U76="",IF(Income_RentRollSource="Datappraise/Manual Entry",VLOOKUP($B76,Datappraise_RentRoll,5,FALSE),IF(OR(Income_TechniqueUsed="Direct Capitalization",Income_TechniqueUsed="Direct Cap &amp; DCF"),VLOOKUP('Rent Roll'!S76,'Income Assumptions'!$D$11:$H$19,5,FALSE),VLOOKUP('Rent Roll'!S76,'Income Assumptions'!$D$50:$O$57,6,FALSE))),U76)</f>
        <v>#N/A</v>
      </c>
      <c r="P76" s="3346"/>
      <c r="Q76" s="1377"/>
      <c r="R76" s="652"/>
      <c r="S76" s="2696" t="inlineStr">
        <is>
          <t xml:space="preserve">Industrial Office/Warehouse</t>
        </is>
      </c>
      <c r="T76" s="652"/>
      <c r="U76" s="2696"/>
      <c r="V76" s="652"/>
      <c r="W76" s="2696"/>
      <c r="X76" s="652"/>
      <c r="Y76" s="1580">
        <f t="shared" ca="1" si="61"/>
        <v>0</v>
      </c>
      <c r="Z76" s="1580">
        <f t="shared" ca="1" si="62"/>
        <v>0</v>
      </c>
      <c r="AA76" s="1580">
        <f t="shared" ca="1" si="63"/>
        <v>0</v>
      </c>
      <c r="AB76" s="1580">
        <f t="shared" ca="1" si="64"/>
        <v>0</v>
      </c>
      <c r="AC76" s="1580">
        <f t="shared" ca="1" si="65"/>
        <v>0</v>
      </c>
      <c r="AD76" s="1580">
        <f t="shared" ca="1" si="66"/>
        <v>0</v>
      </c>
      <c r="AE76" s="1580">
        <f t="shared" ca="1" si="67"/>
        <v>0</v>
      </c>
      <c r="AF76" s="1581">
        <f t="shared" ca="1" si="68"/>
        <v>0</v>
      </c>
      <c r="AG76" s="194"/>
      <c r="AH76" s="1579" t="str">
        <f t="shared" ca="1" si="69"/>
        <v/>
      </c>
      <c r="AI76" s="1580" t="str">
        <f t="shared" ca="1" si="70"/>
        <v/>
      </c>
      <c r="AJ76" s="1581" t="str">
        <f t="shared" ca="1" si="71"/>
        <v/>
      </c>
      <c r="AK76" s="194"/>
      <c r="AL76" s="1582">
        <f t="shared" ca="1" si="72"/>
        <v>0</v>
      </c>
      <c r="AM76" s="209"/>
      <c r="AN76" s="1582">
        <f t="shared" ca="1" si="73"/>
        <v>0</v>
      </c>
      <c r="AO76" s="209"/>
      <c r="AP76" s="1582">
        <f t="shared" ca="1" si="74"/>
        <v>0</v>
      </c>
      <c r="AQ76" s="209"/>
      <c r="AR76" s="1582">
        <f t="shared" ca="1" si="75"/>
        <v>0</v>
      </c>
      <c r="AS76" s="194"/>
      <c r="AT76" s="1582">
        <f t="shared" ca="1" si="76"/>
        <v>0</v>
      </c>
      <c r="AU76" s="194"/>
      <c r="AV76" s="194"/>
      <c r="AW76" s="194"/>
      <c r="AX76" s="194"/>
      <c r="AY76" s="194"/>
    </row>
    <row r="77" spans="1:51" s="2699" customFormat="1" ht="18" hidden="1" customHeight="1" x14ac:dyDescent="0.25">
      <c r="A77" s="972">
        <f t="shared" ca="1" si="77"/>
        <v>0</v>
      </c>
      <c r="B77" s="707">
        <f t="shared" si="81"/>
        <v>71</v>
      </c>
      <c r="C77" s="1376"/>
      <c r="D77" s="3346"/>
      <c r="E77" s="3346" t="str">
        <f t="shared" ca="1" si="53"/>
        <v/>
      </c>
      <c r="F77" s="1448" t="str">
        <f t="shared" ca="1" si="54"/>
        <v/>
      </c>
      <c r="G77" s="1418" t="str">
        <f t="shared" ca="1" si="55"/>
        <v/>
      </c>
      <c r="H77" s="3589" t="str">
        <f t="shared" ca="1" si="56"/>
        <v/>
      </c>
      <c r="I77" s="3589" t="str">
        <f t="shared" ca="1" si="57"/>
        <v/>
      </c>
      <c r="J77" s="3590" t="str">
        <f t="shared" ca="1" si="78"/>
        <v/>
      </c>
      <c r="K77" s="1422" t="str">
        <f t="shared" ca="1" si="58"/>
        <v/>
      </c>
      <c r="L77" s="1431" t="str">
        <f t="shared" ca="1" si="79"/>
        <v/>
      </c>
      <c r="M77" s="3591" t="str">
        <f t="shared" ca="1" si="80"/>
        <v/>
      </c>
      <c r="N77" s="3592" t="str">
        <f t="shared" ca="1" si="59"/>
        <v/>
      </c>
      <c r="O77" s="1420" t="e">
        <f ca="1">IF(U77="",IF(Income_RentRollSource="Datappraise/Manual Entry",VLOOKUP($B77,Datappraise_RentRoll,5,FALSE),IF(OR(Income_TechniqueUsed="Direct Capitalization",Income_TechniqueUsed="Direct Cap &amp; DCF"),VLOOKUP('Rent Roll'!S77,'Income Assumptions'!$D$11:$H$19,5,FALSE),VLOOKUP('Rent Roll'!S77,'Income Assumptions'!$D$50:$O$57,6,FALSE))),U77)</f>
        <v>#N/A</v>
      </c>
      <c r="P77" s="3346"/>
      <c r="Q77" s="1377"/>
      <c r="R77" s="652"/>
      <c r="S77" s="2696" t="inlineStr">
        <is>
          <t xml:space="preserve">Industrial Office/Warehouse</t>
        </is>
      </c>
      <c r="T77" s="652"/>
      <c r="U77" s="2696"/>
      <c r="V77" s="652"/>
      <c r="W77" s="2696"/>
      <c r="X77" s="652"/>
      <c r="Y77" s="1580">
        <f t="shared" ca="1" si="61"/>
        <v>0</v>
      </c>
      <c r="Z77" s="1580">
        <f t="shared" ca="1" si="62"/>
        <v>0</v>
      </c>
      <c r="AA77" s="1580">
        <f t="shared" ca="1" si="63"/>
        <v>0</v>
      </c>
      <c r="AB77" s="1580">
        <f t="shared" ca="1" si="64"/>
        <v>0</v>
      </c>
      <c r="AC77" s="1580">
        <f t="shared" ca="1" si="65"/>
        <v>0</v>
      </c>
      <c r="AD77" s="1580">
        <f t="shared" ca="1" si="66"/>
        <v>0</v>
      </c>
      <c r="AE77" s="1580">
        <f t="shared" ca="1" si="67"/>
        <v>0</v>
      </c>
      <c r="AF77" s="1581">
        <f t="shared" ca="1" si="68"/>
        <v>0</v>
      </c>
      <c r="AG77" s="194"/>
      <c r="AH77" s="1579" t="str">
        <f t="shared" ca="1" si="69"/>
        <v/>
      </c>
      <c r="AI77" s="1580" t="str">
        <f t="shared" ca="1" si="70"/>
        <v/>
      </c>
      <c r="AJ77" s="1581" t="str">
        <f t="shared" ca="1" si="71"/>
        <v/>
      </c>
      <c r="AK77" s="194"/>
      <c r="AL77" s="1582">
        <f t="shared" ca="1" si="72"/>
        <v>0</v>
      </c>
      <c r="AM77" s="209"/>
      <c r="AN77" s="1582">
        <f t="shared" ca="1" si="73"/>
        <v>0</v>
      </c>
      <c r="AO77" s="209"/>
      <c r="AP77" s="1582">
        <f t="shared" ca="1" si="74"/>
        <v>0</v>
      </c>
      <c r="AQ77" s="209"/>
      <c r="AR77" s="1582">
        <f t="shared" ca="1" si="75"/>
        <v>0</v>
      </c>
      <c r="AS77" s="194"/>
      <c r="AT77" s="1582">
        <f t="shared" ca="1" si="76"/>
        <v>0</v>
      </c>
      <c r="AU77" s="194"/>
      <c r="AV77" s="194"/>
      <c r="AW77" s="194"/>
      <c r="AX77" s="194"/>
      <c r="AY77" s="194"/>
    </row>
    <row r="78" spans="1:51" s="2699" customFormat="1" ht="18" hidden="1" customHeight="1" x14ac:dyDescent="0.25">
      <c r="A78" s="972">
        <f t="shared" ca="1" si="77"/>
        <v>0</v>
      </c>
      <c r="B78" s="707">
        <f t="shared" si="81"/>
        <v>72</v>
      </c>
      <c r="C78" s="1376"/>
      <c r="D78" s="3346"/>
      <c r="E78" s="3346" t="str">
        <f t="shared" ca="1" si="53"/>
        <v/>
      </c>
      <c r="F78" s="1448" t="str">
        <f t="shared" ca="1" si="54"/>
        <v/>
      </c>
      <c r="G78" s="1418" t="str">
        <f t="shared" ca="1" si="55"/>
        <v/>
      </c>
      <c r="H78" s="3589" t="str">
        <f t="shared" ca="1" si="56"/>
        <v/>
      </c>
      <c r="I78" s="3589" t="str">
        <f t="shared" ca="1" si="57"/>
        <v/>
      </c>
      <c r="J78" s="3590" t="str">
        <f t="shared" ca="1" si="78"/>
        <v/>
      </c>
      <c r="K78" s="1422" t="str">
        <f t="shared" ca="1" si="58"/>
        <v/>
      </c>
      <c r="L78" s="1431" t="str">
        <f t="shared" ca="1" si="79"/>
        <v/>
      </c>
      <c r="M78" s="3591" t="str">
        <f t="shared" ca="1" si="80"/>
        <v/>
      </c>
      <c r="N78" s="3592" t="str">
        <f t="shared" ca="1" si="59"/>
        <v/>
      </c>
      <c r="O78" s="1420" t="e">
        <f ca="1">IF(U78="",IF(Income_RentRollSource="Datappraise/Manual Entry",VLOOKUP($B78,Datappraise_RentRoll,5,FALSE),IF(OR(Income_TechniqueUsed="Direct Capitalization",Income_TechniqueUsed="Direct Cap &amp; DCF"),VLOOKUP('Rent Roll'!S78,'Income Assumptions'!$D$11:$H$19,5,FALSE),VLOOKUP('Rent Roll'!S78,'Income Assumptions'!$D$50:$O$57,6,FALSE))),U78)</f>
        <v>#N/A</v>
      </c>
      <c r="P78" s="3346"/>
      <c r="Q78" s="1377"/>
      <c r="R78" s="652"/>
      <c r="S78" s="2696" t="inlineStr">
        <is>
          <t xml:space="preserve">Industrial Office/Warehouse</t>
        </is>
      </c>
      <c r="T78" s="652"/>
      <c r="U78" s="2696"/>
      <c r="V78" s="652"/>
      <c r="W78" s="2696"/>
      <c r="X78" s="652"/>
      <c r="Y78" s="1580">
        <f t="shared" ca="1" si="61"/>
        <v>0</v>
      </c>
      <c r="Z78" s="1580">
        <f t="shared" ca="1" si="62"/>
        <v>0</v>
      </c>
      <c r="AA78" s="1580">
        <f t="shared" ca="1" si="63"/>
        <v>0</v>
      </c>
      <c r="AB78" s="1580">
        <f t="shared" ca="1" si="64"/>
        <v>0</v>
      </c>
      <c r="AC78" s="1580">
        <f t="shared" ca="1" si="65"/>
        <v>0</v>
      </c>
      <c r="AD78" s="1580">
        <f t="shared" ca="1" si="66"/>
        <v>0</v>
      </c>
      <c r="AE78" s="1580">
        <f t="shared" ca="1" si="67"/>
        <v>0</v>
      </c>
      <c r="AF78" s="1581">
        <f t="shared" ca="1" si="68"/>
        <v>0</v>
      </c>
      <c r="AG78" s="194"/>
      <c r="AH78" s="1579" t="str">
        <f t="shared" ca="1" si="69"/>
        <v/>
      </c>
      <c r="AI78" s="1580" t="str">
        <f t="shared" ca="1" si="70"/>
        <v/>
      </c>
      <c r="AJ78" s="1581" t="str">
        <f t="shared" ca="1" si="71"/>
        <v/>
      </c>
      <c r="AK78" s="194"/>
      <c r="AL78" s="1582">
        <f t="shared" ca="1" si="72"/>
        <v>0</v>
      </c>
      <c r="AM78" s="209"/>
      <c r="AN78" s="1582">
        <f t="shared" ca="1" si="73"/>
        <v>0</v>
      </c>
      <c r="AO78" s="209"/>
      <c r="AP78" s="1582">
        <f t="shared" ca="1" si="74"/>
        <v>0</v>
      </c>
      <c r="AQ78" s="209"/>
      <c r="AR78" s="1582">
        <f t="shared" ca="1" si="75"/>
        <v>0</v>
      </c>
      <c r="AS78" s="194"/>
      <c r="AT78" s="1582">
        <f t="shared" ca="1" si="76"/>
        <v>0</v>
      </c>
      <c r="AU78" s="194"/>
      <c r="AV78" s="194"/>
      <c r="AW78" s="194"/>
      <c r="AX78" s="194"/>
      <c r="AY78" s="194"/>
    </row>
    <row r="79" spans="1:51" s="2699" customFormat="1" ht="18" hidden="1" customHeight="1" x14ac:dyDescent="0.25">
      <c r="A79" s="972">
        <f t="shared" ca="1" si="77"/>
        <v>0</v>
      </c>
      <c r="B79" s="707">
        <f t="shared" si="81"/>
        <v>73</v>
      </c>
      <c r="C79" s="1376"/>
      <c r="D79" s="3346"/>
      <c r="E79" s="3346" t="str">
        <f t="shared" ca="1" si="53"/>
        <v/>
      </c>
      <c r="F79" s="1448" t="str">
        <f t="shared" ca="1" si="54"/>
        <v/>
      </c>
      <c r="G79" s="1418" t="str">
        <f t="shared" ca="1" si="55"/>
        <v/>
      </c>
      <c r="H79" s="3589" t="str">
        <f t="shared" ca="1" si="56"/>
        <v/>
      </c>
      <c r="I79" s="3589" t="str">
        <f t="shared" ca="1" si="57"/>
        <v/>
      </c>
      <c r="J79" s="3590" t="str">
        <f t="shared" ca="1" si="78"/>
        <v/>
      </c>
      <c r="K79" s="1422" t="str">
        <f t="shared" ca="1" si="58"/>
        <v/>
      </c>
      <c r="L79" s="1431" t="str">
        <f t="shared" ca="1" si="79"/>
        <v/>
      </c>
      <c r="M79" s="3591" t="str">
        <f t="shared" ca="1" si="80"/>
        <v/>
      </c>
      <c r="N79" s="3592" t="str">
        <f t="shared" ca="1" si="59"/>
        <v/>
      </c>
      <c r="O79" s="1420" t="e">
        <f ca="1">IF(U79="",IF(Income_RentRollSource="Datappraise/Manual Entry",VLOOKUP($B79,Datappraise_RentRoll,5,FALSE),IF(OR(Income_TechniqueUsed="Direct Capitalization",Income_TechniqueUsed="Direct Cap &amp; DCF"),VLOOKUP('Rent Roll'!S79,'Income Assumptions'!$D$11:$H$19,5,FALSE),VLOOKUP('Rent Roll'!S79,'Income Assumptions'!$D$50:$O$57,6,FALSE))),U79)</f>
        <v>#N/A</v>
      </c>
      <c r="P79" s="3346"/>
      <c r="Q79" s="1377"/>
      <c r="R79" s="652"/>
      <c r="S79" s="2696" t="inlineStr">
        <is>
          <t xml:space="preserve">Industrial Office/Warehouse</t>
        </is>
      </c>
      <c r="T79" s="652"/>
      <c r="U79" s="2696"/>
      <c r="V79" s="652"/>
      <c r="W79" s="2696"/>
      <c r="X79" s="652"/>
      <c r="Y79" s="1580">
        <f t="shared" ca="1" si="61"/>
        <v>0</v>
      </c>
      <c r="Z79" s="1580">
        <f t="shared" ca="1" si="62"/>
        <v>0</v>
      </c>
      <c r="AA79" s="1580">
        <f t="shared" ca="1" si="63"/>
        <v>0</v>
      </c>
      <c r="AB79" s="1580">
        <f t="shared" ca="1" si="64"/>
        <v>0</v>
      </c>
      <c r="AC79" s="1580">
        <f t="shared" ca="1" si="65"/>
        <v>0</v>
      </c>
      <c r="AD79" s="1580">
        <f t="shared" ca="1" si="66"/>
        <v>0</v>
      </c>
      <c r="AE79" s="1580">
        <f t="shared" ca="1" si="67"/>
        <v>0</v>
      </c>
      <c r="AF79" s="1581">
        <f t="shared" ca="1" si="68"/>
        <v>0</v>
      </c>
      <c r="AG79" s="194"/>
      <c r="AH79" s="1579" t="str">
        <f t="shared" ca="1" si="69"/>
        <v/>
      </c>
      <c r="AI79" s="1580" t="str">
        <f t="shared" ca="1" si="70"/>
        <v/>
      </c>
      <c r="AJ79" s="1581" t="str">
        <f t="shared" ca="1" si="71"/>
        <v/>
      </c>
      <c r="AK79" s="194"/>
      <c r="AL79" s="1582">
        <f t="shared" ca="1" si="72"/>
        <v>0</v>
      </c>
      <c r="AM79" s="209"/>
      <c r="AN79" s="1582">
        <f t="shared" ca="1" si="73"/>
        <v>0</v>
      </c>
      <c r="AO79" s="209"/>
      <c r="AP79" s="1582">
        <f t="shared" ca="1" si="74"/>
        <v>0</v>
      </c>
      <c r="AQ79" s="209"/>
      <c r="AR79" s="1582">
        <f t="shared" ca="1" si="75"/>
        <v>0</v>
      </c>
      <c r="AS79" s="194"/>
      <c r="AT79" s="1582">
        <f t="shared" ca="1" si="76"/>
        <v>0</v>
      </c>
      <c r="AU79" s="194"/>
      <c r="AV79" s="194"/>
      <c r="AW79" s="194"/>
      <c r="AX79" s="194"/>
      <c r="AY79" s="194"/>
    </row>
    <row r="80" spans="1:51" s="2699" customFormat="1" ht="18" hidden="1" customHeight="1" x14ac:dyDescent="0.25">
      <c r="A80" s="972">
        <f t="shared" ca="1" si="77"/>
        <v>0</v>
      </c>
      <c r="B80" s="707">
        <f t="shared" si="81"/>
        <v>74</v>
      </c>
      <c r="C80" s="1376"/>
      <c r="D80" s="3346"/>
      <c r="E80" s="3346" t="str">
        <f t="shared" ca="1" si="53"/>
        <v/>
      </c>
      <c r="F80" s="1448" t="str">
        <f t="shared" ca="1" si="54"/>
        <v/>
      </c>
      <c r="G80" s="1418" t="str">
        <f t="shared" ca="1" si="55"/>
        <v/>
      </c>
      <c r="H80" s="3589" t="str">
        <f t="shared" ca="1" si="56"/>
        <v/>
      </c>
      <c r="I80" s="3589" t="str">
        <f t="shared" ca="1" si="57"/>
        <v/>
      </c>
      <c r="J80" s="3590" t="str">
        <f t="shared" ca="1" si="78"/>
        <v/>
      </c>
      <c r="K80" s="1422" t="str">
        <f t="shared" ca="1" si="58"/>
        <v/>
      </c>
      <c r="L80" s="1431" t="str">
        <f t="shared" ca="1" si="79"/>
        <v/>
      </c>
      <c r="M80" s="3591" t="str">
        <f t="shared" ca="1" si="80"/>
        <v/>
      </c>
      <c r="N80" s="3592" t="str">
        <f t="shared" ca="1" si="59"/>
        <v/>
      </c>
      <c r="O80" s="1420" t="e">
        <f ca="1">IF(U80="",IF(Income_RentRollSource="Datappraise/Manual Entry",VLOOKUP($B80,Datappraise_RentRoll,5,FALSE),IF(OR(Income_TechniqueUsed="Direct Capitalization",Income_TechniqueUsed="Direct Cap &amp; DCF"),VLOOKUP('Rent Roll'!S80,'Income Assumptions'!$D$11:$H$19,5,FALSE),VLOOKUP('Rent Roll'!S80,'Income Assumptions'!$D$50:$O$57,6,FALSE))),U80)</f>
        <v>#N/A</v>
      </c>
      <c r="P80" s="3346"/>
      <c r="Q80" s="1377"/>
      <c r="R80" s="652"/>
      <c r="S80" s="2696" t="inlineStr">
        <is>
          <t xml:space="preserve">Industrial Office/Warehouse</t>
        </is>
      </c>
      <c r="T80" s="652"/>
      <c r="U80" s="2696"/>
      <c r="V80" s="652"/>
      <c r="W80" s="2696"/>
      <c r="X80" s="652"/>
      <c r="Y80" s="1580">
        <f t="shared" ca="1" si="61"/>
        <v>0</v>
      </c>
      <c r="Z80" s="1580">
        <f t="shared" ca="1" si="62"/>
        <v>0</v>
      </c>
      <c r="AA80" s="1580">
        <f t="shared" ca="1" si="63"/>
        <v>0</v>
      </c>
      <c r="AB80" s="1580">
        <f t="shared" ca="1" si="64"/>
        <v>0</v>
      </c>
      <c r="AC80" s="1580">
        <f t="shared" ca="1" si="65"/>
        <v>0</v>
      </c>
      <c r="AD80" s="1580">
        <f t="shared" ca="1" si="66"/>
        <v>0</v>
      </c>
      <c r="AE80" s="1580">
        <f t="shared" ca="1" si="67"/>
        <v>0</v>
      </c>
      <c r="AF80" s="1581">
        <f t="shared" ca="1" si="68"/>
        <v>0</v>
      </c>
      <c r="AG80" s="194"/>
      <c r="AH80" s="1579" t="str">
        <f t="shared" ca="1" si="69"/>
        <v/>
      </c>
      <c r="AI80" s="1580" t="str">
        <f t="shared" ca="1" si="70"/>
        <v/>
      </c>
      <c r="AJ80" s="1581" t="str">
        <f t="shared" ca="1" si="71"/>
        <v/>
      </c>
      <c r="AK80" s="194"/>
      <c r="AL80" s="1582">
        <f t="shared" ca="1" si="72"/>
        <v>0</v>
      </c>
      <c r="AM80" s="209"/>
      <c r="AN80" s="1582">
        <f t="shared" ca="1" si="73"/>
        <v>0</v>
      </c>
      <c r="AO80" s="209"/>
      <c r="AP80" s="1582">
        <f t="shared" ca="1" si="74"/>
        <v>0</v>
      </c>
      <c r="AQ80" s="209"/>
      <c r="AR80" s="1582">
        <f t="shared" ca="1" si="75"/>
        <v>0</v>
      </c>
      <c r="AS80" s="194"/>
      <c r="AT80" s="1582">
        <f t="shared" ca="1" si="76"/>
        <v>0</v>
      </c>
      <c r="AU80" s="194"/>
      <c r="AV80" s="194"/>
      <c r="AW80" s="194"/>
      <c r="AX80" s="194"/>
      <c r="AY80" s="194"/>
    </row>
    <row r="81" spans="1:51" s="2699" customFormat="1" ht="18" hidden="1" customHeight="1" x14ac:dyDescent="0.25">
      <c r="A81" s="972">
        <f t="shared" ca="1" si="77"/>
        <v>0</v>
      </c>
      <c r="B81" s="707">
        <f t="shared" si="81"/>
        <v>75</v>
      </c>
      <c r="C81" s="1376"/>
      <c r="D81" s="3346"/>
      <c r="E81" s="3346" t="str">
        <f t="shared" ca="1" si="53"/>
        <v/>
      </c>
      <c r="F81" s="1448" t="str">
        <f t="shared" ca="1" si="54"/>
        <v/>
      </c>
      <c r="G81" s="1418" t="str">
        <f t="shared" ca="1" si="55"/>
        <v/>
      </c>
      <c r="H81" s="3589" t="str">
        <f t="shared" ca="1" si="56"/>
        <v/>
      </c>
      <c r="I81" s="3589" t="str">
        <f t="shared" ca="1" si="57"/>
        <v/>
      </c>
      <c r="J81" s="3590" t="str">
        <f t="shared" ca="1" si="78"/>
        <v/>
      </c>
      <c r="K81" s="1422" t="str">
        <f t="shared" ca="1" si="58"/>
        <v/>
      </c>
      <c r="L81" s="1431" t="str">
        <f t="shared" ca="1" si="79"/>
        <v/>
      </c>
      <c r="M81" s="3591" t="str">
        <f t="shared" ca="1" si="80"/>
        <v/>
      </c>
      <c r="N81" s="3592" t="str">
        <f t="shared" ca="1" si="59"/>
        <v/>
      </c>
      <c r="O81" s="1420" t="e">
        <f ca="1">IF(U81="",IF(Income_RentRollSource="Datappraise/Manual Entry",VLOOKUP($B81,Datappraise_RentRoll,5,FALSE),IF(OR(Income_TechniqueUsed="Direct Capitalization",Income_TechniqueUsed="Direct Cap &amp; DCF"),VLOOKUP('Rent Roll'!S81,'Income Assumptions'!$D$11:$H$19,5,FALSE),VLOOKUP('Rent Roll'!S81,'Income Assumptions'!$D$50:$O$57,6,FALSE))),U81)</f>
        <v>#N/A</v>
      </c>
      <c r="P81" s="3346"/>
      <c r="Q81" s="1377"/>
      <c r="R81" s="652"/>
      <c r="S81" s="2696" t="inlineStr">
        <is>
          <t xml:space="preserve">Industrial Office/Warehouse</t>
        </is>
      </c>
      <c r="T81" s="652"/>
      <c r="U81" s="2696"/>
      <c r="V81" s="652"/>
      <c r="W81" s="2696"/>
      <c r="X81" s="652"/>
      <c r="Y81" s="1580">
        <f t="shared" ca="1" si="61"/>
        <v>0</v>
      </c>
      <c r="Z81" s="1580">
        <f t="shared" ca="1" si="62"/>
        <v>0</v>
      </c>
      <c r="AA81" s="1580">
        <f t="shared" ca="1" si="63"/>
        <v>0</v>
      </c>
      <c r="AB81" s="1580">
        <f t="shared" ca="1" si="64"/>
        <v>0</v>
      </c>
      <c r="AC81" s="1580">
        <f t="shared" ca="1" si="65"/>
        <v>0</v>
      </c>
      <c r="AD81" s="1580">
        <f t="shared" ca="1" si="66"/>
        <v>0</v>
      </c>
      <c r="AE81" s="1580">
        <f t="shared" ca="1" si="67"/>
        <v>0</v>
      </c>
      <c r="AF81" s="1581">
        <f t="shared" ca="1" si="68"/>
        <v>0</v>
      </c>
      <c r="AG81" s="194"/>
      <c r="AH81" s="1579" t="str">
        <f t="shared" ca="1" si="69"/>
        <v/>
      </c>
      <c r="AI81" s="1580" t="str">
        <f t="shared" ca="1" si="70"/>
        <v/>
      </c>
      <c r="AJ81" s="1581" t="str">
        <f t="shared" ca="1" si="71"/>
        <v/>
      </c>
      <c r="AK81" s="194"/>
      <c r="AL81" s="1582">
        <f t="shared" ca="1" si="72"/>
        <v>0</v>
      </c>
      <c r="AM81" s="209"/>
      <c r="AN81" s="1582">
        <f t="shared" ca="1" si="73"/>
        <v>0</v>
      </c>
      <c r="AO81" s="209"/>
      <c r="AP81" s="1582">
        <f t="shared" ca="1" si="74"/>
        <v>0</v>
      </c>
      <c r="AQ81" s="209"/>
      <c r="AR81" s="1582">
        <f t="shared" ca="1" si="75"/>
        <v>0</v>
      </c>
      <c r="AS81" s="194"/>
      <c r="AT81" s="1582">
        <f t="shared" ca="1" si="76"/>
        <v>0</v>
      </c>
      <c r="AU81" s="194"/>
      <c r="AV81" s="194"/>
      <c r="AW81" s="194"/>
      <c r="AX81" s="194"/>
      <c r="AY81" s="194"/>
    </row>
    <row r="82" spans="1:51" s="2699" customFormat="1" ht="18" hidden="1" customHeight="1" x14ac:dyDescent="0.25">
      <c r="A82" s="972">
        <f t="shared" ca="1" si="77"/>
        <v>0</v>
      </c>
      <c r="B82" s="707">
        <f t="shared" si="81"/>
        <v>76</v>
      </c>
      <c r="C82" s="1376"/>
      <c r="D82" s="3346"/>
      <c r="E82" s="3346" t="str">
        <f t="shared" ca="1" si="53"/>
        <v/>
      </c>
      <c r="F82" s="1448" t="str">
        <f t="shared" ca="1" si="54"/>
        <v/>
      </c>
      <c r="G82" s="1418" t="str">
        <f t="shared" ca="1" si="55"/>
        <v/>
      </c>
      <c r="H82" s="3589" t="str">
        <f t="shared" ca="1" si="56"/>
        <v/>
      </c>
      <c r="I82" s="3589" t="str">
        <f t="shared" ca="1" si="57"/>
        <v/>
      </c>
      <c r="J82" s="3590" t="str">
        <f t="shared" ca="1" si="78"/>
        <v/>
      </c>
      <c r="K82" s="1422" t="str">
        <f t="shared" ca="1" si="58"/>
        <v/>
      </c>
      <c r="L82" s="1431" t="str">
        <f t="shared" ca="1" si="79"/>
        <v/>
      </c>
      <c r="M82" s="3591" t="str">
        <f t="shared" ca="1" si="80"/>
        <v/>
      </c>
      <c r="N82" s="3592" t="str">
        <f t="shared" ca="1" si="59"/>
        <v/>
      </c>
      <c r="O82" s="1420" t="e">
        <f ca="1">IF(U82="",IF(Income_RentRollSource="Datappraise/Manual Entry",VLOOKUP($B82,Datappraise_RentRoll,5,FALSE),IF(OR(Income_TechniqueUsed="Direct Capitalization",Income_TechniqueUsed="Direct Cap &amp; DCF"),VLOOKUP('Rent Roll'!S82,'Income Assumptions'!$D$11:$H$19,5,FALSE),VLOOKUP('Rent Roll'!S82,'Income Assumptions'!$D$50:$O$57,6,FALSE))),U82)</f>
        <v>#N/A</v>
      </c>
      <c r="P82" s="3346"/>
      <c r="Q82" s="1377"/>
      <c r="R82" s="652"/>
      <c r="S82" s="2696" t="inlineStr">
        <is>
          <t xml:space="preserve">Industrial Office/Warehouse</t>
        </is>
      </c>
      <c r="T82" s="652"/>
      <c r="U82" s="2696"/>
      <c r="V82" s="652"/>
      <c r="W82" s="2696"/>
      <c r="X82" s="652"/>
      <c r="Y82" s="1580">
        <f t="shared" ca="1" si="61"/>
        <v>0</v>
      </c>
      <c r="Z82" s="1580">
        <f t="shared" ca="1" si="62"/>
        <v>0</v>
      </c>
      <c r="AA82" s="1580">
        <f t="shared" ca="1" si="63"/>
        <v>0</v>
      </c>
      <c r="AB82" s="1580">
        <f t="shared" ca="1" si="64"/>
        <v>0</v>
      </c>
      <c r="AC82" s="1580">
        <f t="shared" ca="1" si="65"/>
        <v>0</v>
      </c>
      <c r="AD82" s="1580">
        <f t="shared" ca="1" si="66"/>
        <v>0</v>
      </c>
      <c r="AE82" s="1580">
        <f t="shared" ca="1" si="67"/>
        <v>0</v>
      </c>
      <c r="AF82" s="1581">
        <f t="shared" ca="1" si="68"/>
        <v>0</v>
      </c>
      <c r="AG82" s="194"/>
      <c r="AH82" s="1579" t="str">
        <f t="shared" ca="1" si="69"/>
        <v/>
      </c>
      <c r="AI82" s="1580" t="str">
        <f t="shared" ca="1" si="70"/>
        <v/>
      </c>
      <c r="AJ82" s="1581" t="str">
        <f t="shared" ca="1" si="71"/>
        <v/>
      </c>
      <c r="AK82" s="194"/>
      <c r="AL82" s="1582">
        <f t="shared" ca="1" si="72"/>
        <v>0</v>
      </c>
      <c r="AM82" s="209"/>
      <c r="AN82" s="1582">
        <f t="shared" ca="1" si="73"/>
        <v>0</v>
      </c>
      <c r="AO82" s="209"/>
      <c r="AP82" s="1582">
        <f t="shared" ca="1" si="74"/>
        <v>0</v>
      </c>
      <c r="AQ82" s="209"/>
      <c r="AR82" s="1582">
        <f t="shared" ca="1" si="75"/>
        <v>0</v>
      </c>
      <c r="AS82" s="194"/>
      <c r="AT82" s="1582">
        <f t="shared" ca="1" si="76"/>
        <v>0</v>
      </c>
      <c r="AU82" s="194"/>
      <c r="AV82" s="194"/>
      <c r="AW82" s="194"/>
      <c r="AX82" s="194"/>
      <c r="AY82" s="194"/>
    </row>
    <row r="83" spans="1:51" s="2699" customFormat="1" ht="18" hidden="1" customHeight="1" x14ac:dyDescent="0.25">
      <c r="A83" s="972">
        <f t="shared" ca="1" si="77"/>
        <v>0</v>
      </c>
      <c r="B83" s="707">
        <f t="shared" si="81"/>
        <v>77</v>
      </c>
      <c r="C83" s="1376"/>
      <c r="D83" s="3346"/>
      <c r="E83" s="3346" t="str">
        <f t="shared" ca="1" si="53"/>
        <v/>
      </c>
      <c r="F83" s="1448" t="str">
        <f t="shared" ca="1" si="54"/>
        <v/>
      </c>
      <c r="G83" s="1418" t="str">
        <f t="shared" ca="1" si="55"/>
        <v/>
      </c>
      <c r="H83" s="3589" t="str">
        <f t="shared" ca="1" si="56"/>
        <v/>
      </c>
      <c r="I83" s="3589" t="str">
        <f t="shared" ca="1" si="57"/>
        <v/>
      </c>
      <c r="J83" s="3590" t="str">
        <f t="shared" ca="1" si="78"/>
        <v/>
      </c>
      <c r="K83" s="1422" t="str">
        <f t="shared" ca="1" si="58"/>
        <v/>
      </c>
      <c r="L83" s="1431" t="str">
        <f t="shared" ca="1" si="79"/>
        <v/>
      </c>
      <c r="M83" s="3591" t="str">
        <f t="shared" ca="1" si="80"/>
        <v/>
      </c>
      <c r="N83" s="3592" t="str">
        <f t="shared" ca="1" si="59"/>
        <v/>
      </c>
      <c r="O83" s="1420" t="e">
        <f ca="1">IF(U83="",IF(Income_RentRollSource="Datappraise/Manual Entry",VLOOKUP($B83,Datappraise_RentRoll,5,FALSE),IF(OR(Income_TechniqueUsed="Direct Capitalization",Income_TechniqueUsed="Direct Cap &amp; DCF"),VLOOKUP('Rent Roll'!S83,'Income Assumptions'!$D$11:$H$19,5,FALSE),VLOOKUP('Rent Roll'!S83,'Income Assumptions'!$D$50:$O$57,6,FALSE))),U83)</f>
        <v>#N/A</v>
      </c>
      <c r="P83" s="3346"/>
      <c r="Q83" s="1377"/>
      <c r="R83" s="652"/>
      <c r="S83" s="2696" t="inlineStr">
        <is>
          <t xml:space="preserve">Industrial Office/Warehouse</t>
        </is>
      </c>
      <c r="T83" s="652"/>
      <c r="U83" s="2696"/>
      <c r="V83" s="652"/>
      <c r="W83" s="2696"/>
      <c r="X83" s="652"/>
      <c r="Y83" s="1580">
        <f t="shared" ca="1" si="61"/>
        <v>0</v>
      </c>
      <c r="Z83" s="1580">
        <f t="shared" ca="1" si="62"/>
        <v>0</v>
      </c>
      <c r="AA83" s="1580">
        <f t="shared" ca="1" si="63"/>
        <v>0</v>
      </c>
      <c r="AB83" s="1580">
        <f t="shared" ca="1" si="64"/>
        <v>0</v>
      </c>
      <c r="AC83" s="1580">
        <f t="shared" ca="1" si="65"/>
        <v>0</v>
      </c>
      <c r="AD83" s="1580">
        <f t="shared" ca="1" si="66"/>
        <v>0</v>
      </c>
      <c r="AE83" s="1580">
        <f t="shared" ca="1" si="67"/>
        <v>0</v>
      </c>
      <c r="AF83" s="1581">
        <f t="shared" ca="1" si="68"/>
        <v>0</v>
      </c>
      <c r="AG83" s="194"/>
      <c r="AH83" s="1579" t="str">
        <f t="shared" ca="1" si="69"/>
        <v/>
      </c>
      <c r="AI83" s="1580" t="str">
        <f t="shared" ca="1" si="70"/>
        <v/>
      </c>
      <c r="AJ83" s="1581" t="str">
        <f t="shared" ca="1" si="71"/>
        <v/>
      </c>
      <c r="AK83" s="194"/>
      <c r="AL83" s="1582">
        <f t="shared" ca="1" si="72"/>
        <v>0</v>
      </c>
      <c r="AM83" s="209"/>
      <c r="AN83" s="1582">
        <f t="shared" ca="1" si="73"/>
        <v>0</v>
      </c>
      <c r="AO83" s="209"/>
      <c r="AP83" s="1582">
        <f t="shared" ca="1" si="74"/>
        <v>0</v>
      </c>
      <c r="AQ83" s="209"/>
      <c r="AR83" s="1582">
        <f t="shared" ca="1" si="75"/>
        <v>0</v>
      </c>
      <c r="AS83" s="194"/>
      <c r="AT83" s="1582">
        <f t="shared" ca="1" si="76"/>
        <v>0</v>
      </c>
      <c r="AU83" s="194"/>
      <c r="AV83" s="194"/>
      <c r="AW83" s="194"/>
      <c r="AX83" s="194"/>
      <c r="AY83" s="194"/>
    </row>
    <row r="84" spans="1:51" s="2699" customFormat="1" ht="18" hidden="1" customHeight="1" x14ac:dyDescent="0.25">
      <c r="A84" s="972">
        <f t="shared" ca="1" si="77"/>
        <v>0</v>
      </c>
      <c r="B84" s="707">
        <f t="shared" si="81"/>
        <v>78</v>
      </c>
      <c r="C84" s="1376"/>
      <c r="D84" s="3346"/>
      <c r="E84" s="3346" t="str">
        <f t="shared" ca="1" si="53"/>
        <v/>
      </c>
      <c r="F84" s="1448" t="str">
        <f t="shared" ca="1" si="54"/>
        <v/>
      </c>
      <c r="G84" s="1418" t="str">
        <f t="shared" ca="1" si="55"/>
        <v/>
      </c>
      <c r="H84" s="3589" t="str">
        <f t="shared" ca="1" si="56"/>
        <v/>
      </c>
      <c r="I84" s="3589" t="str">
        <f t="shared" ca="1" si="57"/>
        <v/>
      </c>
      <c r="J84" s="3590" t="str">
        <f t="shared" ca="1" si="78"/>
        <v/>
      </c>
      <c r="K84" s="1422" t="str">
        <f t="shared" ca="1" si="58"/>
        <v/>
      </c>
      <c r="L84" s="1431" t="str">
        <f t="shared" ca="1" si="79"/>
        <v/>
      </c>
      <c r="M84" s="3591" t="str">
        <f t="shared" ca="1" si="80"/>
        <v/>
      </c>
      <c r="N84" s="3592" t="str">
        <f t="shared" ca="1" si="59"/>
        <v/>
      </c>
      <c r="O84" s="1420" t="e">
        <f ca="1">IF(U84="",IF(Income_RentRollSource="Datappraise/Manual Entry",VLOOKUP($B84,Datappraise_RentRoll,5,FALSE),IF(OR(Income_TechniqueUsed="Direct Capitalization",Income_TechniqueUsed="Direct Cap &amp; DCF"),VLOOKUP('Rent Roll'!S84,'Income Assumptions'!$D$11:$H$19,5,FALSE),VLOOKUP('Rent Roll'!S84,'Income Assumptions'!$D$50:$O$57,6,FALSE))),U84)</f>
        <v>#N/A</v>
      </c>
      <c r="P84" s="3346"/>
      <c r="Q84" s="1377"/>
      <c r="R84" s="652"/>
      <c r="S84" s="2696" t="inlineStr">
        <is>
          <t xml:space="preserve">Industrial Office/Warehouse</t>
        </is>
      </c>
      <c r="T84" s="652"/>
      <c r="U84" s="2696"/>
      <c r="V84" s="652"/>
      <c r="W84" s="2696"/>
      <c r="X84" s="652"/>
      <c r="Y84" s="1580">
        <f t="shared" ca="1" si="61"/>
        <v>0</v>
      </c>
      <c r="Z84" s="1580">
        <f t="shared" ca="1" si="62"/>
        <v>0</v>
      </c>
      <c r="AA84" s="1580">
        <f t="shared" ca="1" si="63"/>
        <v>0</v>
      </c>
      <c r="AB84" s="1580">
        <f t="shared" ca="1" si="64"/>
        <v>0</v>
      </c>
      <c r="AC84" s="1580">
        <f t="shared" ca="1" si="65"/>
        <v>0</v>
      </c>
      <c r="AD84" s="1580">
        <f t="shared" ca="1" si="66"/>
        <v>0</v>
      </c>
      <c r="AE84" s="1580">
        <f t="shared" ca="1" si="67"/>
        <v>0</v>
      </c>
      <c r="AF84" s="1581">
        <f t="shared" ca="1" si="68"/>
        <v>0</v>
      </c>
      <c r="AG84" s="194"/>
      <c r="AH84" s="1579" t="str">
        <f t="shared" ca="1" si="69"/>
        <v/>
      </c>
      <c r="AI84" s="1580" t="str">
        <f t="shared" ca="1" si="70"/>
        <v/>
      </c>
      <c r="AJ84" s="1581" t="str">
        <f t="shared" ca="1" si="71"/>
        <v/>
      </c>
      <c r="AK84" s="194"/>
      <c r="AL84" s="1582">
        <f t="shared" ca="1" si="72"/>
        <v>0</v>
      </c>
      <c r="AM84" s="209"/>
      <c r="AN84" s="1582">
        <f t="shared" ca="1" si="73"/>
        <v>0</v>
      </c>
      <c r="AO84" s="209"/>
      <c r="AP84" s="1582">
        <f t="shared" ca="1" si="74"/>
        <v>0</v>
      </c>
      <c r="AQ84" s="209"/>
      <c r="AR84" s="1582">
        <f t="shared" ca="1" si="75"/>
        <v>0</v>
      </c>
      <c r="AS84" s="194"/>
      <c r="AT84" s="1582">
        <f t="shared" ca="1" si="76"/>
        <v>0</v>
      </c>
      <c r="AU84" s="194"/>
      <c r="AV84" s="194"/>
      <c r="AW84" s="194"/>
      <c r="AX84" s="194"/>
      <c r="AY84" s="194"/>
    </row>
    <row r="85" spans="1:51" s="2699" customFormat="1" ht="18" hidden="1" customHeight="1" x14ac:dyDescent="0.25">
      <c r="A85" s="972">
        <f t="shared" ca="1" si="77"/>
        <v>0</v>
      </c>
      <c r="B85" s="707">
        <f t="shared" si="81"/>
        <v>79</v>
      </c>
      <c r="C85" s="1376"/>
      <c r="D85" s="3346"/>
      <c r="E85" s="3346" t="str">
        <f t="shared" ca="1" si="53"/>
        <v/>
      </c>
      <c r="F85" s="1448" t="str">
        <f t="shared" ca="1" si="54"/>
        <v/>
      </c>
      <c r="G85" s="1418" t="str">
        <f t="shared" ca="1" si="55"/>
        <v/>
      </c>
      <c r="H85" s="3589" t="str">
        <f t="shared" ca="1" si="56"/>
        <v/>
      </c>
      <c r="I85" s="3589" t="str">
        <f t="shared" ca="1" si="57"/>
        <v/>
      </c>
      <c r="J85" s="3590" t="str">
        <f t="shared" ca="1" si="78"/>
        <v/>
      </c>
      <c r="K85" s="1422" t="str">
        <f t="shared" ca="1" si="58"/>
        <v/>
      </c>
      <c r="L85" s="1431" t="str">
        <f t="shared" ca="1" si="79"/>
        <v/>
      </c>
      <c r="M85" s="3591" t="str">
        <f t="shared" ca="1" si="80"/>
        <v/>
      </c>
      <c r="N85" s="3592" t="str">
        <f t="shared" ca="1" si="59"/>
        <v/>
      </c>
      <c r="O85" s="1420" t="e">
        <f ca="1">IF(U85="",IF(Income_RentRollSource="Datappraise/Manual Entry",VLOOKUP($B85,Datappraise_RentRoll,5,FALSE),IF(OR(Income_TechniqueUsed="Direct Capitalization",Income_TechniqueUsed="Direct Cap &amp; DCF"),VLOOKUP('Rent Roll'!S85,'Income Assumptions'!$D$11:$H$19,5,FALSE),VLOOKUP('Rent Roll'!S85,'Income Assumptions'!$D$50:$O$57,6,FALSE))),U85)</f>
        <v>#N/A</v>
      </c>
      <c r="P85" s="3346"/>
      <c r="Q85" s="1377"/>
      <c r="R85" s="652"/>
      <c r="S85" s="2696" t="inlineStr">
        <is>
          <t xml:space="preserve">Industrial Office/Warehouse</t>
        </is>
      </c>
      <c r="T85" s="652"/>
      <c r="U85" s="2696"/>
      <c r="V85" s="652"/>
      <c r="W85" s="2696"/>
      <c r="X85" s="652"/>
      <c r="Y85" s="1580">
        <f t="shared" ca="1" si="61"/>
        <v>0</v>
      </c>
      <c r="Z85" s="1580">
        <f t="shared" ca="1" si="62"/>
        <v>0</v>
      </c>
      <c r="AA85" s="1580">
        <f t="shared" ca="1" si="63"/>
        <v>0</v>
      </c>
      <c r="AB85" s="1580">
        <f t="shared" ca="1" si="64"/>
        <v>0</v>
      </c>
      <c r="AC85" s="1580">
        <f t="shared" ca="1" si="65"/>
        <v>0</v>
      </c>
      <c r="AD85" s="1580">
        <f t="shared" ca="1" si="66"/>
        <v>0</v>
      </c>
      <c r="AE85" s="1580">
        <f t="shared" ca="1" si="67"/>
        <v>0</v>
      </c>
      <c r="AF85" s="1581">
        <f t="shared" ca="1" si="68"/>
        <v>0</v>
      </c>
      <c r="AG85" s="194"/>
      <c r="AH85" s="1579" t="str">
        <f t="shared" ca="1" si="69"/>
        <v/>
      </c>
      <c r="AI85" s="1580" t="str">
        <f t="shared" ca="1" si="70"/>
        <v/>
      </c>
      <c r="AJ85" s="1581" t="str">
        <f t="shared" ca="1" si="71"/>
        <v/>
      </c>
      <c r="AK85" s="194"/>
      <c r="AL85" s="1582">
        <f t="shared" ca="1" si="72"/>
        <v>0</v>
      </c>
      <c r="AM85" s="209"/>
      <c r="AN85" s="1582">
        <f t="shared" ca="1" si="73"/>
        <v>0</v>
      </c>
      <c r="AO85" s="209"/>
      <c r="AP85" s="1582">
        <f t="shared" ca="1" si="74"/>
        <v>0</v>
      </c>
      <c r="AQ85" s="209"/>
      <c r="AR85" s="1582">
        <f t="shared" ca="1" si="75"/>
        <v>0</v>
      </c>
      <c r="AS85" s="194"/>
      <c r="AT85" s="1582">
        <f t="shared" ca="1" si="76"/>
        <v>0</v>
      </c>
      <c r="AU85" s="194"/>
      <c r="AV85" s="194"/>
      <c r="AW85" s="194"/>
      <c r="AX85" s="194"/>
      <c r="AY85" s="194"/>
    </row>
    <row r="86" spans="1:51" s="2699" customFormat="1" ht="18" hidden="1" customHeight="1" x14ac:dyDescent="0.25">
      <c r="A86" s="972">
        <f t="shared" ca="1" si="77"/>
        <v>0</v>
      </c>
      <c r="B86" s="707">
        <f t="shared" si="81"/>
        <v>80</v>
      </c>
      <c r="C86" s="1376"/>
      <c r="D86" s="3346"/>
      <c r="E86" s="3346" t="str">
        <f t="shared" ca="1" si="53"/>
        <v/>
      </c>
      <c r="F86" s="1448" t="str">
        <f t="shared" ca="1" si="54"/>
        <v/>
      </c>
      <c r="G86" s="1418" t="str">
        <f t="shared" ca="1" si="55"/>
        <v/>
      </c>
      <c r="H86" s="3589" t="str">
        <f t="shared" ca="1" si="56"/>
        <v/>
      </c>
      <c r="I86" s="3589" t="str">
        <f t="shared" ca="1" si="57"/>
        <v/>
      </c>
      <c r="J86" s="3590" t="str">
        <f t="shared" ca="1" si="78"/>
        <v/>
      </c>
      <c r="K86" s="1422" t="str">
        <f t="shared" ca="1" si="58"/>
        <v/>
      </c>
      <c r="L86" s="1431" t="str">
        <f t="shared" ca="1" si="79"/>
        <v/>
      </c>
      <c r="M86" s="3591" t="str">
        <f t="shared" ca="1" si="80"/>
        <v/>
      </c>
      <c r="N86" s="3592" t="str">
        <f t="shared" ca="1" si="59"/>
        <v/>
      </c>
      <c r="O86" s="1420" t="e">
        <f ca="1">IF(U86="",IF(Income_RentRollSource="Datappraise/Manual Entry",VLOOKUP($B86,Datappraise_RentRoll,5,FALSE),IF(OR(Income_TechniqueUsed="Direct Capitalization",Income_TechniqueUsed="Direct Cap &amp; DCF"),VLOOKUP('Rent Roll'!S86,'Income Assumptions'!$D$11:$H$19,5,FALSE),VLOOKUP('Rent Roll'!S86,'Income Assumptions'!$D$50:$O$57,6,FALSE))),U86)</f>
        <v>#N/A</v>
      </c>
      <c r="P86" s="3346"/>
      <c r="Q86" s="1377"/>
      <c r="R86" s="652"/>
      <c r="S86" s="2696" t="inlineStr">
        <is>
          <t xml:space="preserve">Industrial Office/Warehouse</t>
        </is>
      </c>
      <c r="T86" s="652"/>
      <c r="U86" s="2696"/>
      <c r="V86" s="652"/>
      <c r="W86" s="2696"/>
      <c r="X86" s="652"/>
      <c r="Y86" s="1580">
        <f t="shared" ca="1" si="61"/>
        <v>0</v>
      </c>
      <c r="Z86" s="1580">
        <f t="shared" ca="1" si="62"/>
        <v>0</v>
      </c>
      <c r="AA86" s="1580">
        <f t="shared" ca="1" si="63"/>
        <v>0</v>
      </c>
      <c r="AB86" s="1580">
        <f t="shared" ca="1" si="64"/>
        <v>0</v>
      </c>
      <c r="AC86" s="1580">
        <f t="shared" ca="1" si="65"/>
        <v>0</v>
      </c>
      <c r="AD86" s="1580">
        <f t="shared" ca="1" si="66"/>
        <v>0</v>
      </c>
      <c r="AE86" s="1580">
        <f t="shared" ca="1" si="67"/>
        <v>0</v>
      </c>
      <c r="AF86" s="1581">
        <f t="shared" ca="1" si="68"/>
        <v>0</v>
      </c>
      <c r="AG86" s="194"/>
      <c r="AH86" s="1579" t="str">
        <f t="shared" ca="1" si="69"/>
        <v/>
      </c>
      <c r="AI86" s="1580" t="str">
        <f t="shared" ca="1" si="70"/>
        <v/>
      </c>
      <c r="AJ86" s="1581" t="str">
        <f t="shared" ca="1" si="71"/>
        <v/>
      </c>
      <c r="AK86" s="194"/>
      <c r="AL86" s="1582">
        <f t="shared" ca="1" si="72"/>
        <v>0</v>
      </c>
      <c r="AM86" s="209"/>
      <c r="AN86" s="1582">
        <f t="shared" ca="1" si="73"/>
        <v>0</v>
      </c>
      <c r="AO86" s="209"/>
      <c r="AP86" s="1582">
        <f t="shared" ca="1" si="74"/>
        <v>0</v>
      </c>
      <c r="AQ86" s="209"/>
      <c r="AR86" s="1582">
        <f t="shared" ca="1" si="75"/>
        <v>0</v>
      </c>
      <c r="AS86" s="194"/>
      <c r="AT86" s="1582">
        <f t="shared" ca="1" si="76"/>
        <v>0</v>
      </c>
      <c r="AU86" s="194"/>
      <c r="AV86" s="194"/>
      <c r="AW86" s="194"/>
      <c r="AX86" s="194"/>
      <c r="AY86" s="194"/>
    </row>
    <row r="87" spans="1:51" s="2699" customFormat="1" ht="18" hidden="1" customHeight="1" x14ac:dyDescent="0.25">
      <c r="A87" s="972">
        <f t="shared" ca="1" si="77"/>
        <v>0</v>
      </c>
      <c r="B87" s="707">
        <f t="shared" si="81"/>
        <v>81</v>
      </c>
      <c r="C87" s="1376"/>
      <c r="D87" s="3346"/>
      <c r="E87" s="3346" t="str">
        <f t="shared" ca="1" si="53"/>
        <v/>
      </c>
      <c r="F87" s="1448" t="str">
        <f t="shared" ca="1" si="54"/>
        <v/>
      </c>
      <c r="G87" s="1418" t="str">
        <f t="shared" ca="1" si="55"/>
        <v/>
      </c>
      <c r="H87" s="3589" t="str">
        <f t="shared" ca="1" si="56"/>
        <v/>
      </c>
      <c r="I87" s="3589" t="str">
        <f t="shared" ca="1" si="57"/>
        <v/>
      </c>
      <c r="J87" s="3590" t="str">
        <f t="shared" ca="1" si="78"/>
        <v/>
      </c>
      <c r="K87" s="1422" t="str">
        <f t="shared" ca="1" si="58"/>
        <v/>
      </c>
      <c r="L87" s="1431" t="str">
        <f t="shared" ca="1" si="79"/>
        <v/>
      </c>
      <c r="M87" s="3591" t="str">
        <f t="shared" ca="1" si="80"/>
        <v/>
      </c>
      <c r="N87" s="3592" t="str">
        <f t="shared" ca="1" si="59"/>
        <v/>
      </c>
      <c r="O87" s="1420" t="e">
        <f ca="1">IF(U87="",IF(Income_RentRollSource="Datappraise/Manual Entry",VLOOKUP($B87,Datappraise_RentRoll,5,FALSE),IF(OR(Income_TechniqueUsed="Direct Capitalization",Income_TechniqueUsed="Direct Cap &amp; DCF"),VLOOKUP('Rent Roll'!S87,'Income Assumptions'!$D$11:$H$19,5,FALSE),VLOOKUP('Rent Roll'!S87,'Income Assumptions'!$D$50:$O$57,6,FALSE))),U87)</f>
        <v>#N/A</v>
      </c>
      <c r="P87" s="3346"/>
      <c r="Q87" s="1377"/>
      <c r="R87" s="652"/>
      <c r="S87" s="2696" t="inlineStr">
        <is>
          <t xml:space="preserve">Industrial Office/Warehouse</t>
        </is>
      </c>
      <c r="T87" s="652"/>
      <c r="U87" s="2696"/>
      <c r="V87" s="652"/>
      <c r="W87" s="2696"/>
      <c r="X87" s="652"/>
      <c r="Y87" s="1580">
        <f t="shared" ca="1" si="61"/>
        <v>0</v>
      </c>
      <c r="Z87" s="1580">
        <f t="shared" ca="1" si="62"/>
        <v>0</v>
      </c>
      <c r="AA87" s="1580">
        <f t="shared" ca="1" si="63"/>
        <v>0</v>
      </c>
      <c r="AB87" s="1580">
        <f t="shared" ca="1" si="64"/>
        <v>0</v>
      </c>
      <c r="AC87" s="1580">
        <f t="shared" ca="1" si="65"/>
        <v>0</v>
      </c>
      <c r="AD87" s="1580">
        <f t="shared" ca="1" si="66"/>
        <v>0</v>
      </c>
      <c r="AE87" s="1580">
        <f t="shared" ca="1" si="67"/>
        <v>0</v>
      </c>
      <c r="AF87" s="1581">
        <f t="shared" ca="1" si="68"/>
        <v>0</v>
      </c>
      <c r="AG87" s="194"/>
      <c r="AH87" s="1579" t="str">
        <f t="shared" ca="1" si="69"/>
        <v/>
      </c>
      <c r="AI87" s="1580" t="str">
        <f t="shared" ca="1" si="70"/>
        <v/>
      </c>
      <c r="AJ87" s="1581" t="str">
        <f t="shared" ca="1" si="71"/>
        <v/>
      </c>
      <c r="AK87" s="194"/>
      <c r="AL87" s="1582">
        <f t="shared" ca="1" si="72"/>
        <v>0</v>
      </c>
      <c r="AM87" s="209"/>
      <c r="AN87" s="1582">
        <f t="shared" ca="1" si="73"/>
        <v>0</v>
      </c>
      <c r="AO87" s="209"/>
      <c r="AP87" s="1582">
        <f t="shared" ca="1" si="74"/>
        <v>0</v>
      </c>
      <c r="AQ87" s="209"/>
      <c r="AR87" s="1582">
        <f t="shared" ca="1" si="75"/>
        <v>0</v>
      </c>
      <c r="AS87" s="194"/>
      <c r="AT87" s="1582">
        <f t="shared" ca="1" si="76"/>
        <v>0</v>
      </c>
      <c r="AU87" s="194"/>
      <c r="AV87" s="194"/>
      <c r="AW87" s="194"/>
      <c r="AX87" s="194"/>
      <c r="AY87" s="194"/>
    </row>
    <row r="88" spans="1:51" s="2699" customFormat="1" ht="18" hidden="1" customHeight="1" x14ac:dyDescent="0.25">
      <c r="A88" s="972">
        <f t="shared" ca="1" si="77"/>
        <v>0</v>
      </c>
      <c r="B88" s="707">
        <f t="shared" si="81"/>
        <v>82</v>
      </c>
      <c r="C88" s="1376"/>
      <c r="D88" s="3346"/>
      <c r="E88" s="3346" t="str">
        <f t="shared" ca="1" si="53"/>
        <v/>
      </c>
      <c r="F88" s="1448" t="str">
        <f t="shared" ca="1" si="54"/>
        <v/>
      </c>
      <c r="G88" s="1418" t="str">
        <f t="shared" ca="1" si="55"/>
        <v/>
      </c>
      <c r="H88" s="3589" t="str">
        <f t="shared" ca="1" si="56"/>
        <v/>
      </c>
      <c r="I88" s="3589" t="str">
        <f t="shared" ca="1" si="57"/>
        <v/>
      </c>
      <c r="J88" s="3590" t="str">
        <f t="shared" ca="1" si="78"/>
        <v/>
      </c>
      <c r="K88" s="1422" t="str">
        <f t="shared" ca="1" si="58"/>
        <v/>
      </c>
      <c r="L88" s="1431" t="str">
        <f t="shared" ca="1" si="79"/>
        <v/>
      </c>
      <c r="M88" s="3591" t="str">
        <f t="shared" ca="1" si="80"/>
        <v/>
      </c>
      <c r="N88" s="3592" t="str">
        <f t="shared" ca="1" si="59"/>
        <v/>
      </c>
      <c r="O88" s="1420" t="e">
        <f ca="1">IF(U88="",IF(Income_RentRollSource="Datappraise/Manual Entry",VLOOKUP($B88,Datappraise_RentRoll,5,FALSE),IF(OR(Income_TechniqueUsed="Direct Capitalization",Income_TechniqueUsed="Direct Cap &amp; DCF"),VLOOKUP('Rent Roll'!S88,'Income Assumptions'!$D$11:$H$19,5,FALSE),VLOOKUP('Rent Roll'!S88,'Income Assumptions'!$D$50:$O$57,6,FALSE))),U88)</f>
        <v>#N/A</v>
      </c>
      <c r="P88" s="3346"/>
      <c r="Q88" s="1377"/>
      <c r="R88" s="652"/>
      <c r="S88" s="2696" t="inlineStr">
        <is>
          <t xml:space="preserve">Industrial Office/Warehouse</t>
        </is>
      </c>
      <c r="T88" s="652"/>
      <c r="U88" s="2696"/>
      <c r="V88" s="652"/>
      <c r="W88" s="2696"/>
      <c r="X88" s="652"/>
      <c r="Y88" s="1580">
        <f t="shared" ca="1" si="61"/>
        <v>0</v>
      </c>
      <c r="Z88" s="1580">
        <f t="shared" ca="1" si="62"/>
        <v>0</v>
      </c>
      <c r="AA88" s="1580">
        <f t="shared" ca="1" si="63"/>
        <v>0</v>
      </c>
      <c r="AB88" s="1580">
        <f t="shared" ca="1" si="64"/>
        <v>0</v>
      </c>
      <c r="AC88" s="1580">
        <f t="shared" ca="1" si="65"/>
        <v>0</v>
      </c>
      <c r="AD88" s="1580">
        <f t="shared" ca="1" si="66"/>
        <v>0</v>
      </c>
      <c r="AE88" s="1580">
        <f t="shared" ca="1" si="67"/>
        <v>0</v>
      </c>
      <c r="AF88" s="1581">
        <f t="shared" ca="1" si="68"/>
        <v>0</v>
      </c>
      <c r="AG88" s="194"/>
      <c r="AH88" s="1579" t="str">
        <f t="shared" ca="1" si="69"/>
        <v/>
      </c>
      <c r="AI88" s="1580" t="str">
        <f t="shared" ca="1" si="70"/>
        <v/>
      </c>
      <c r="AJ88" s="1581" t="str">
        <f t="shared" ca="1" si="71"/>
        <v/>
      </c>
      <c r="AK88" s="194"/>
      <c r="AL88" s="1582">
        <f t="shared" ca="1" si="72"/>
        <v>0</v>
      </c>
      <c r="AM88" s="209"/>
      <c r="AN88" s="1582">
        <f t="shared" ca="1" si="73"/>
        <v>0</v>
      </c>
      <c r="AO88" s="209"/>
      <c r="AP88" s="1582">
        <f t="shared" ca="1" si="74"/>
        <v>0</v>
      </c>
      <c r="AQ88" s="209"/>
      <c r="AR88" s="1582">
        <f t="shared" ca="1" si="75"/>
        <v>0</v>
      </c>
      <c r="AS88" s="194"/>
      <c r="AT88" s="1582">
        <f t="shared" ca="1" si="76"/>
        <v>0</v>
      </c>
      <c r="AU88" s="194"/>
      <c r="AV88" s="194"/>
      <c r="AW88" s="194"/>
      <c r="AX88" s="194"/>
      <c r="AY88" s="194"/>
    </row>
    <row r="89" spans="1:51" s="2699" customFormat="1" ht="18" hidden="1" customHeight="1" x14ac:dyDescent="0.25">
      <c r="A89" s="972">
        <f t="shared" ca="1" si="77"/>
        <v>0</v>
      </c>
      <c r="B89" s="707">
        <f t="shared" si="81"/>
        <v>83</v>
      </c>
      <c r="C89" s="1376"/>
      <c r="D89" s="3346"/>
      <c r="E89" s="3346" t="str">
        <f t="shared" ca="1" si="53"/>
        <v/>
      </c>
      <c r="F89" s="1448" t="str">
        <f t="shared" ca="1" si="54"/>
        <v/>
      </c>
      <c r="G89" s="1418" t="str">
        <f t="shared" ca="1" si="55"/>
        <v/>
      </c>
      <c r="H89" s="3589" t="str">
        <f t="shared" ca="1" si="56"/>
        <v/>
      </c>
      <c r="I89" s="3589" t="str">
        <f t="shared" ca="1" si="57"/>
        <v/>
      </c>
      <c r="J89" s="3590" t="str">
        <f t="shared" ca="1" si="78"/>
        <v/>
      </c>
      <c r="K89" s="1422" t="str">
        <f t="shared" ca="1" si="58"/>
        <v/>
      </c>
      <c r="L89" s="1431" t="str">
        <f t="shared" ca="1" si="79"/>
        <v/>
      </c>
      <c r="M89" s="3591" t="str">
        <f t="shared" ca="1" si="80"/>
        <v/>
      </c>
      <c r="N89" s="3592" t="str">
        <f t="shared" ca="1" si="59"/>
        <v/>
      </c>
      <c r="O89" s="1420" t="e">
        <f ca="1">IF(U89="",IF(Income_RentRollSource="Datappraise/Manual Entry",VLOOKUP($B89,Datappraise_RentRoll,5,FALSE),IF(OR(Income_TechniqueUsed="Direct Capitalization",Income_TechniqueUsed="Direct Cap &amp; DCF"),VLOOKUP('Rent Roll'!S89,'Income Assumptions'!$D$11:$H$19,5,FALSE),VLOOKUP('Rent Roll'!S89,'Income Assumptions'!$D$50:$O$57,6,FALSE))),U89)</f>
        <v>#N/A</v>
      </c>
      <c r="P89" s="3346"/>
      <c r="Q89" s="1377"/>
      <c r="R89" s="652"/>
      <c r="S89" s="2696" t="inlineStr">
        <is>
          <t xml:space="preserve">Industrial Office/Warehouse</t>
        </is>
      </c>
      <c r="T89" s="652"/>
      <c r="U89" s="2696"/>
      <c r="V89" s="652"/>
      <c r="W89" s="2696"/>
      <c r="X89" s="652"/>
      <c r="Y89" s="1580">
        <f t="shared" ca="1" si="61"/>
        <v>0</v>
      </c>
      <c r="Z89" s="1580">
        <f t="shared" ca="1" si="62"/>
        <v>0</v>
      </c>
      <c r="AA89" s="1580">
        <f t="shared" ca="1" si="63"/>
        <v>0</v>
      </c>
      <c r="AB89" s="1580">
        <f t="shared" ca="1" si="64"/>
        <v>0</v>
      </c>
      <c r="AC89" s="1580">
        <f t="shared" ca="1" si="65"/>
        <v>0</v>
      </c>
      <c r="AD89" s="1580">
        <f t="shared" ca="1" si="66"/>
        <v>0</v>
      </c>
      <c r="AE89" s="1580">
        <f t="shared" ca="1" si="67"/>
        <v>0</v>
      </c>
      <c r="AF89" s="1581">
        <f t="shared" ca="1" si="68"/>
        <v>0</v>
      </c>
      <c r="AG89" s="194"/>
      <c r="AH89" s="1579" t="str">
        <f t="shared" ca="1" si="69"/>
        <v/>
      </c>
      <c r="AI89" s="1580" t="str">
        <f t="shared" ca="1" si="70"/>
        <v/>
      </c>
      <c r="AJ89" s="1581" t="str">
        <f t="shared" ca="1" si="71"/>
        <v/>
      </c>
      <c r="AK89" s="194"/>
      <c r="AL89" s="1582">
        <f t="shared" ca="1" si="72"/>
        <v>0</v>
      </c>
      <c r="AM89" s="209"/>
      <c r="AN89" s="1582">
        <f t="shared" ca="1" si="73"/>
        <v>0</v>
      </c>
      <c r="AO89" s="209"/>
      <c r="AP89" s="1582">
        <f t="shared" ca="1" si="74"/>
        <v>0</v>
      </c>
      <c r="AQ89" s="209"/>
      <c r="AR89" s="1582">
        <f t="shared" ca="1" si="75"/>
        <v>0</v>
      </c>
      <c r="AS89" s="194"/>
      <c r="AT89" s="1582">
        <f t="shared" ca="1" si="76"/>
        <v>0</v>
      </c>
      <c r="AU89" s="194"/>
      <c r="AV89" s="194"/>
      <c r="AW89" s="194"/>
      <c r="AX89" s="194"/>
      <c r="AY89" s="194"/>
    </row>
    <row r="90" spans="1:51" s="2699" customFormat="1" ht="18" hidden="1" customHeight="1" x14ac:dyDescent="0.25">
      <c r="A90" s="972">
        <f t="shared" ca="1" si="77"/>
        <v>0</v>
      </c>
      <c r="B90" s="707">
        <f t="shared" si="81"/>
        <v>84</v>
      </c>
      <c r="C90" s="1376"/>
      <c r="D90" s="3346"/>
      <c r="E90" s="3346" t="str">
        <f t="shared" ca="1" si="53"/>
        <v/>
      </c>
      <c r="F90" s="1448" t="str">
        <f t="shared" ca="1" si="54"/>
        <v/>
      </c>
      <c r="G90" s="1418" t="str">
        <f t="shared" ca="1" si="55"/>
        <v/>
      </c>
      <c r="H90" s="3589" t="str">
        <f t="shared" ca="1" si="56"/>
        <v/>
      </c>
      <c r="I90" s="3589" t="str">
        <f t="shared" ca="1" si="57"/>
        <v/>
      </c>
      <c r="J90" s="3590" t="str">
        <f t="shared" ca="1" si="78"/>
        <v/>
      </c>
      <c r="K90" s="1422" t="str">
        <f t="shared" ca="1" si="58"/>
        <v/>
      </c>
      <c r="L90" s="1431" t="str">
        <f t="shared" ca="1" si="79"/>
        <v/>
      </c>
      <c r="M90" s="3591" t="str">
        <f t="shared" ca="1" si="80"/>
        <v/>
      </c>
      <c r="N90" s="3592" t="str">
        <f t="shared" ca="1" si="59"/>
        <v/>
      </c>
      <c r="O90" s="1420" t="e">
        <f ca="1">IF(U90="",IF(Income_RentRollSource="Datappraise/Manual Entry",VLOOKUP($B90,Datappraise_RentRoll,5,FALSE),IF(OR(Income_TechniqueUsed="Direct Capitalization",Income_TechniqueUsed="Direct Cap &amp; DCF"),VLOOKUP('Rent Roll'!S90,'Income Assumptions'!$D$11:$H$19,5,FALSE),VLOOKUP('Rent Roll'!S90,'Income Assumptions'!$D$50:$O$57,6,FALSE))),U90)</f>
        <v>#N/A</v>
      </c>
      <c r="P90" s="3346"/>
      <c r="Q90" s="1377"/>
      <c r="R90" s="652"/>
      <c r="S90" s="2696" t="inlineStr">
        <is>
          <t xml:space="preserve">Industrial Office/Warehouse</t>
        </is>
      </c>
      <c r="T90" s="652"/>
      <c r="U90" s="2696"/>
      <c r="V90" s="652"/>
      <c r="W90" s="2696"/>
      <c r="X90" s="652"/>
      <c r="Y90" s="1580">
        <f t="shared" ca="1" si="61"/>
        <v>0</v>
      </c>
      <c r="Z90" s="1580">
        <f t="shared" ca="1" si="62"/>
        <v>0</v>
      </c>
      <c r="AA90" s="1580">
        <f t="shared" ca="1" si="63"/>
        <v>0</v>
      </c>
      <c r="AB90" s="1580">
        <f t="shared" ca="1" si="64"/>
        <v>0</v>
      </c>
      <c r="AC90" s="1580">
        <f t="shared" ca="1" si="65"/>
        <v>0</v>
      </c>
      <c r="AD90" s="1580">
        <f t="shared" ca="1" si="66"/>
        <v>0</v>
      </c>
      <c r="AE90" s="1580">
        <f t="shared" ca="1" si="67"/>
        <v>0</v>
      </c>
      <c r="AF90" s="1581">
        <f t="shared" ca="1" si="68"/>
        <v>0</v>
      </c>
      <c r="AG90" s="194"/>
      <c r="AH90" s="1579" t="str">
        <f t="shared" ca="1" si="69"/>
        <v/>
      </c>
      <c r="AI90" s="1580" t="str">
        <f t="shared" ca="1" si="70"/>
        <v/>
      </c>
      <c r="AJ90" s="1581" t="str">
        <f t="shared" ca="1" si="71"/>
        <v/>
      </c>
      <c r="AK90" s="194"/>
      <c r="AL90" s="1582">
        <f t="shared" ca="1" si="72"/>
        <v>0</v>
      </c>
      <c r="AM90" s="209"/>
      <c r="AN90" s="1582">
        <f t="shared" ca="1" si="73"/>
        <v>0</v>
      </c>
      <c r="AO90" s="209"/>
      <c r="AP90" s="1582">
        <f t="shared" ca="1" si="74"/>
        <v>0</v>
      </c>
      <c r="AQ90" s="209"/>
      <c r="AR90" s="1582">
        <f t="shared" ca="1" si="75"/>
        <v>0</v>
      </c>
      <c r="AS90" s="194"/>
      <c r="AT90" s="1582">
        <f t="shared" ca="1" si="76"/>
        <v>0</v>
      </c>
      <c r="AU90" s="194"/>
      <c r="AV90" s="194"/>
      <c r="AW90" s="194"/>
      <c r="AX90" s="194"/>
      <c r="AY90" s="194"/>
    </row>
    <row r="91" spans="1:51" s="2699" customFormat="1" ht="18" hidden="1" customHeight="1" x14ac:dyDescent="0.25">
      <c r="A91" s="972">
        <f t="shared" ca="1" si="77"/>
        <v>0</v>
      </c>
      <c r="B91" s="707">
        <f t="shared" si="81"/>
        <v>85</v>
      </c>
      <c r="C91" s="1376"/>
      <c r="D91" s="3346"/>
      <c r="E91" s="3346" t="str">
        <f t="shared" ca="1" si="53"/>
        <v/>
      </c>
      <c r="F91" s="1448" t="str">
        <f t="shared" ca="1" si="54"/>
        <v/>
      </c>
      <c r="G91" s="1418" t="str">
        <f t="shared" ca="1" si="55"/>
        <v/>
      </c>
      <c r="H91" s="3589" t="str">
        <f t="shared" ca="1" si="56"/>
        <v/>
      </c>
      <c r="I91" s="3589" t="str">
        <f t="shared" ca="1" si="57"/>
        <v/>
      </c>
      <c r="J91" s="3590" t="str">
        <f t="shared" ca="1" si="78"/>
        <v/>
      </c>
      <c r="K91" s="1422" t="str">
        <f t="shared" ca="1" si="58"/>
        <v/>
      </c>
      <c r="L91" s="1431" t="str">
        <f t="shared" ca="1" si="79"/>
        <v/>
      </c>
      <c r="M91" s="3591" t="str">
        <f t="shared" ca="1" si="80"/>
        <v/>
      </c>
      <c r="N91" s="3592" t="str">
        <f t="shared" ca="1" si="59"/>
        <v/>
      </c>
      <c r="O91" s="1420" t="e">
        <f ca="1">IF(U91="",IF(Income_RentRollSource="Datappraise/Manual Entry",VLOOKUP($B91,Datappraise_RentRoll,5,FALSE),IF(OR(Income_TechniqueUsed="Direct Capitalization",Income_TechniqueUsed="Direct Cap &amp; DCF"),VLOOKUP('Rent Roll'!S91,'Income Assumptions'!$D$11:$H$19,5,FALSE),VLOOKUP('Rent Roll'!S91,'Income Assumptions'!$D$50:$O$57,6,FALSE))),U91)</f>
        <v>#N/A</v>
      </c>
      <c r="P91" s="3346"/>
      <c r="Q91" s="1377"/>
      <c r="R91" s="652"/>
      <c r="S91" s="2696" t="inlineStr">
        <is>
          <t xml:space="preserve">Industrial Office/Warehouse</t>
        </is>
      </c>
      <c r="T91" s="652"/>
      <c r="U91" s="2696"/>
      <c r="V91" s="652"/>
      <c r="W91" s="2696"/>
      <c r="X91" s="652"/>
      <c r="Y91" s="1580">
        <f t="shared" ca="1" si="61"/>
        <v>0</v>
      </c>
      <c r="Z91" s="1580">
        <f t="shared" ca="1" si="62"/>
        <v>0</v>
      </c>
      <c r="AA91" s="1580">
        <f t="shared" ca="1" si="63"/>
        <v>0</v>
      </c>
      <c r="AB91" s="1580">
        <f t="shared" ca="1" si="64"/>
        <v>0</v>
      </c>
      <c r="AC91" s="1580">
        <f t="shared" ca="1" si="65"/>
        <v>0</v>
      </c>
      <c r="AD91" s="1580">
        <f t="shared" ca="1" si="66"/>
        <v>0</v>
      </c>
      <c r="AE91" s="1580">
        <f t="shared" ca="1" si="67"/>
        <v>0</v>
      </c>
      <c r="AF91" s="1581">
        <f t="shared" ca="1" si="68"/>
        <v>0</v>
      </c>
      <c r="AG91" s="194"/>
      <c r="AH91" s="1579" t="str">
        <f t="shared" ca="1" si="69"/>
        <v/>
      </c>
      <c r="AI91" s="1580" t="str">
        <f t="shared" ca="1" si="70"/>
        <v/>
      </c>
      <c r="AJ91" s="1581" t="str">
        <f t="shared" ca="1" si="71"/>
        <v/>
      </c>
      <c r="AK91" s="194"/>
      <c r="AL91" s="1582">
        <f t="shared" ca="1" si="72"/>
        <v>0</v>
      </c>
      <c r="AM91" s="209"/>
      <c r="AN91" s="1582">
        <f t="shared" ca="1" si="73"/>
        <v>0</v>
      </c>
      <c r="AO91" s="209"/>
      <c r="AP91" s="1582">
        <f t="shared" ca="1" si="74"/>
        <v>0</v>
      </c>
      <c r="AQ91" s="209"/>
      <c r="AR91" s="1582">
        <f t="shared" ca="1" si="75"/>
        <v>0</v>
      </c>
      <c r="AS91" s="194"/>
      <c r="AT91" s="1582">
        <f t="shared" ca="1" si="76"/>
        <v>0</v>
      </c>
      <c r="AU91" s="194"/>
      <c r="AV91" s="194"/>
      <c r="AW91" s="194"/>
      <c r="AX91" s="194"/>
      <c r="AY91" s="194"/>
    </row>
    <row r="92" spans="1:51" s="2699" customFormat="1" ht="18" hidden="1" customHeight="1" x14ac:dyDescent="0.25">
      <c r="A92" s="972">
        <f t="shared" ca="1" si="77"/>
        <v>0</v>
      </c>
      <c r="B92" s="707">
        <f t="shared" si="81"/>
        <v>86</v>
      </c>
      <c r="C92" s="1376"/>
      <c r="D92" s="3346"/>
      <c r="E92" s="3346" t="str">
        <f t="shared" ca="1" si="53"/>
        <v/>
      </c>
      <c r="F92" s="1448" t="str">
        <f t="shared" ca="1" si="54"/>
        <v/>
      </c>
      <c r="G92" s="1418" t="str">
        <f t="shared" ca="1" si="55"/>
        <v/>
      </c>
      <c r="H92" s="3589" t="str">
        <f t="shared" ca="1" si="56"/>
        <v/>
      </c>
      <c r="I92" s="3589" t="str">
        <f t="shared" ca="1" si="57"/>
        <v/>
      </c>
      <c r="J92" s="3590" t="str">
        <f t="shared" ca="1" si="78"/>
        <v/>
      </c>
      <c r="K92" s="1422" t="str">
        <f t="shared" ca="1" si="58"/>
        <v/>
      </c>
      <c r="L92" s="1431" t="str">
        <f t="shared" ca="1" si="79"/>
        <v/>
      </c>
      <c r="M92" s="3591" t="str">
        <f t="shared" ca="1" si="80"/>
        <v/>
      </c>
      <c r="N92" s="3592" t="str">
        <f t="shared" ca="1" si="59"/>
        <v/>
      </c>
      <c r="O92" s="1420" t="e">
        <f ca="1">IF(U92="",IF(Income_RentRollSource="Datappraise/Manual Entry",VLOOKUP($B92,Datappraise_RentRoll,5,FALSE),IF(OR(Income_TechniqueUsed="Direct Capitalization",Income_TechniqueUsed="Direct Cap &amp; DCF"),VLOOKUP('Rent Roll'!S92,'Income Assumptions'!$D$11:$H$19,5,FALSE),VLOOKUP('Rent Roll'!S92,'Income Assumptions'!$D$50:$O$57,6,FALSE))),U92)</f>
        <v>#N/A</v>
      </c>
      <c r="P92" s="3346"/>
      <c r="Q92" s="1377"/>
      <c r="R92" s="652"/>
      <c r="S92" s="2696" t="inlineStr">
        <is>
          <t xml:space="preserve">Industrial Office/Warehouse</t>
        </is>
      </c>
      <c r="T92" s="652"/>
      <c r="U92" s="2696"/>
      <c r="V92" s="652"/>
      <c r="W92" s="2696"/>
      <c r="X92" s="652"/>
      <c r="Y92" s="1580">
        <f t="shared" ca="1" si="61"/>
        <v>0</v>
      </c>
      <c r="Z92" s="1580">
        <f t="shared" ca="1" si="62"/>
        <v>0</v>
      </c>
      <c r="AA92" s="1580">
        <f t="shared" ca="1" si="63"/>
        <v>0</v>
      </c>
      <c r="AB92" s="1580">
        <f t="shared" ca="1" si="64"/>
        <v>0</v>
      </c>
      <c r="AC92" s="1580">
        <f t="shared" ca="1" si="65"/>
        <v>0</v>
      </c>
      <c r="AD92" s="1580">
        <f t="shared" ca="1" si="66"/>
        <v>0</v>
      </c>
      <c r="AE92" s="1580">
        <f t="shared" ca="1" si="67"/>
        <v>0</v>
      </c>
      <c r="AF92" s="1581">
        <f t="shared" ca="1" si="68"/>
        <v>0</v>
      </c>
      <c r="AG92" s="194"/>
      <c r="AH92" s="1579" t="str">
        <f t="shared" ca="1" si="69"/>
        <v/>
      </c>
      <c r="AI92" s="1580" t="str">
        <f t="shared" ca="1" si="70"/>
        <v/>
      </c>
      <c r="AJ92" s="1581" t="str">
        <f t="shared" ca="1" si="71"/>
        <v/>
      </c>
      <c r="AK92" s="194"/>
      <c r="AL92" s="1582">
        <f t="shared" ca="1" si="72"/>
        <v>0</v>
      </c>
      <c r="AM92" s="209"/>
      <c r="AN92" s="1582">
        <f t="shared" ca="1" si="73"/>
        <v>0</v>
      </c>
      <c r="AO92" s="209"/>
      <c r="AP92" s="1582">
        <f t="shared" ca="1" si="74"/>
        <v>0</v>
      </c>
      <c r="AQ92" s="209"/>
      <c r="AR92" s="1582">
        <f t="shared" ca="1" si="75"/>
        <v>0</v>
      </c>
      <c r="AS92" s="194"/>
      <c r="AT92" s="1582">
        <f t="shared" ca="1" si="76"/>
        <v>0</v>
      </c>
      <c r="AU92" s="194"/>
      <c r="AV92" s="194"/>
      <c r="AW92" s="194"/>
      <c r="AX92" s="194"/>
      <c r="AY92" s="194"/>
    </row>
    <row r="93" spans="1:51" s="2699" customFormat="1" ht="18" hidden="1" customHeight="1" x14ac:dyDescent="0.25">
      <c r="A93" s="972">
        <f t="shared" ca="1" si="77"/>
        <v>0</v>
      </c>
      <c r="B93" s="707">
        <f t="shared" si="81"/>
        <v>87</v>
      </c>
      <c r="C93" s="1376"/>
      <c r="D93" s="3346"/>
      <c r="E93" s="3346" t="str">
        <f t="shared" ca="1" si="53"/>
        <v/>
      </c>
      <c r="F93" s="1448" t="str">
        <f t="shared" ca="1" si="54"/>
        <v/>
      </c>
      <c r="G93" s="1418" t="str">
        <f t="shared" ca="1" si="55"/>
        <v/>
      </c>
      <c r="H93" s="3589" t="str">
        <f t="shared" ca="1" si="56"/>
        <v/>
      </c>
      <c r="I93" s="3589" t="str">
        <f t="shared" ca="1" si="57"/>
        <v/>
      </c>
      <c r="J93" s="3590" t="str">
        <f t="shared" ca="1" si="78"/>
        <v/>
      </c>
      <c r="K93" s="1422" t="str">
        <f t="shared" ca="1" si="58"/>
        <v/>
      </c>
      <c r="L93" s="1431" t="str">
        <f t="shared" ca="1" si="79"/>
        <v/>
      </c>
      <c r="M93" s="3591" t="str">
        <f t="shared" ca="1" si="80"/>
        <v/>
      </c>
      <c r="N93" s="3592" t="str">
        <f t="shared" ca="1" si="59"/>
        <v/>
      </c>
      <c r="O93" s="1420" t="e">
        <f ca="1">IF(U93="",IF(Income_RentRollSource="Datappraise/Manual Entry",VLOOKUP($B93,Datappraise_RentRoll,5,FALSE),IF(OR(Income_TechniqueUsed="Direct Capitalization",Income_TechniqueUsed="Direct Cap &amp; DCF"),VLOOKUP('Rent Roll'!S93,'Income Assumptions'!$D$11:$H$19,5,FALSE),VLOOKUP('Rent Roll'!S93,'Income Assumptions'!$D$50:$O$57,6,FALSE))),U93)</f>
        <v>#N/A</v>
      </c>
      <c r="P93" s="3346"/>
      <c r="Q93" s="1377"/>
      <c r="R93" s="652"/>
      <c r="S93" s="2696" t="inlineStr">
        <is>
          <t xml:space="preserve">Industrial Office/Warehouse</t>
        </is>
      </c>
      <c r="T93" s="652"/>
      <c r="U93" s="2696"/>
      <c r="V93" s="652"/>
      <c r="W93" s="2696"/>
      <c r="X93" s="652"/>
      <c r="Y93" s="1580">
        <f t="shared" ca="1" si="61"/>
        <v>0</v>
      </c>
      <c r="Z93" s="1580">
        <f t="shared" ca="1" si="62"/>
        <v>0</v>
      </c>
      <c r="AA93" s="1580">
        <f t="shared" ca="1" si="63"/>
        <v>0</v>
      </c>
      <c r="AB93" s="1580">
        <f t="shared" ca="1" si="64"/>
        <v>0</v>
      </c>
      <c r="AC93" s="1580">
        <f t="shared" ca="1" si="65"/>
        <v>0</v>
      </c>
      <c r="AD93" s="1580">
        <f t="shared" ca="1" si="66"/>
        <v>0</v>
      </c>
      <c r="AE93" s="1580">
        <f t="shared" ca="1" si="67"/>
        <v>0</v>
      </c>
      <c r="AF93" s="1581">
        <f t="shared" ca="1" si="68"/>
        <v>0</v>
      </c>
      <c r="AG93" s="194"/>
      <c r="AH93" s="1579" t="str">
        <f t="shared" ca="1" si="69"/>
        <v/>
      </c>
      <c r="AI93" s="1580" t="str">
        <f t="shared" ca="1" si="70"/>
        <v/>
      </c>
      <c r="AJ93" s="1581" t="str">
        <f t="shared" ca="1" si="71"/>
        <v/>
      </c>
      <c r="AK93" s="194"/>
      <c r="AL93" s="1582">
        <f t="shared" ca="1" si="72"/>
        <v>0</v>
      </c>
      <c r="AM93" s="209"/>
      <c r="AN93" s="1582">
        <f t="shared" ca="1" si="73"/>
        <v>0</v>
      </c>
      <c r="AO93" s="209"/>
      <c r="AP93" s="1582">
        <f t="shared" ca="1" si="74"/>
        <v>0</v>
      </c>
      <c r="AQ93" s="209"/>
      <c r="AR93" s="1582">
        <f t="shared" ca="1" si="75"/>
        <v>0</v>
      </c>
      <c r="AS93" s="194"/>
      <c r="AT93" s="1582">
        <f t="shared" ca="1" si="76"/>
        <v>0</v>
      </c>
      <c r="AU93" s="194"/>
      <c r="AV93" s="194"/>
      <c r="AW93" s="194"/>
      <c r="AX93" s="194"/>
      <c r="AY93" s="194"/>
    </row>
    <row r="94" spans="1:51" s="2699" customFormat="1" ht="18" hidden="1" customHeight="1" x14ac:dyDescent="0.25">
      <c r="A94" s="972">
        <f t="shared" ca="1" si="77"/>
        <v>0</v>
      </c>
      <c r="B94" s="707">
        <f t="shared" si="81"/>
        <v>88</v>
      </c>
      <c r="C94" s="1376"/>
      <c r="D94" s="3346"/>
      <c r="E94" s="3346" t="str">
        <f t="shared" ca="1" si="53"/>
        <v/>
      </c>
      <c r="F94" s="1448" t="str">
        <f t="shared" ca="1" si="54"/>
        <v/>
      </c>
      <c r="G94" s="1418" t="str">
        <f t="shared" ca="1" si="55"/>
        <v/>
      </c>
      <c r="H94" s="3589" t="str">
        <f t="shared" ca="1" si="56"/>
        <v/>
      </c>
      <c r="I94" s="3589" t="str">
        <f t="shared" ca="1" si="57"/>
        <v/>
      </c>
      <c r="J94" s="3590" t="str">
        <f t="shared" ca="1" si="78"/>
        <v/>
      </c>
      <c r="K94" s="1422" t="str">
        <f t="shared" ca="1" si="58"/>
        <v/>
      </c>
      <c r="L94" s="1431" t="str">
        <f t="shared" ca="1" si="79"/>
        <v/>
      </c>
      <c r="M94" s="3591" t="str">
        <f t="shared" ca="1" si="80"/>
        <v/>
      </c>
      <c r="N94" s="3592" t="str">
        <f t="shared" ca="1" si="59"/>
        <v/>
      </c>
      <c r="O94" s="1420" t="e">
        <f ca="1">IF(U94="",IF(Income_RentRollSource="Datappraise/Manual Entry",VLOOKUP($B94,Datappraise_RentRoll,5,FALSE),IF(OR(Income_TechniqueUsed="Direct Capitalization",Income_TechniqueUsed="Direct Cap &amp; DCF"),VLOOKUP('Rent Roll'!S94,'Income Assumptions'!$D$11:$H$19,5,FALSE),VLOOKUP('Rent Roll'!S94,'Income Assumptions'!$D$50:$O$57,6,FALSE))),U94)</f>
        <v>#N/A</v>
      </c>
      <c r="P94" s="3346"/>
      <c r="Q94" s="1377"/>
      <c r="R94" s="652"/>
      <c r="S94" s="2696" t="inlineStr">
        <is>
          <t xml:space="preserve">Industrial Office/Warehouse</t>
        </is>
      </c>
      <c r="T94" s="652"/>
      <c r="U94" s="2696"/>
      <c r="V94" s="652"/>
      <c r="W94" s="2696"/>
      <c r="X94" s="652"/>
      <c r="Y94" s="1580">
        <f t="shared" ca="1" si="61"/>
        <v>0</v>
      </c>
      <c r="Z94" s="1580">
        <f t="shared" ca="1" si="62"/>
        <v>0</v>
      </c>
      <c r="AA94" s="1580">
        <f t="shared" ca="1" si="63"/>
        <v>0</v>
      </c>
      <c r="AB94" s="1580">
        <f t="shared" ca="1" si="64"/>
        <v>0</v>
      </c>
      <c r="AC94" s="1580">
        <f t="shared" ca="1" si="65"/>
        <v>0</v>
      </c>
      <c r="AD94" s="1580">
        <f t="shared" ca="1" si="66"/>
        <v>0</v>
      </c>
      <c r="AE94" s="1580">
        <f t="shared" ca="1" si="67"/>
        <v>0</v>
      </c>
      <c r="AF94" s="1581">
        <f t="shared" ca="1" si="68"/>
        <v>0</v>
      </c>
      <c r="AG94" s="194"/>
      <c r="AH94" s="1579" t="str">
        <f t="shared" ca="1" si="69"/>
        <v/>
      </c>
      <c r="AI94" s="1580" t="str">
        <f t="shared" ca="1" si="70"/>
        <v/>
      </c>
      <c r="AJ94" s="1581" t="str">
        <f t="shared" ca="1" si="71"/>
        <v/>
      </c>
      <c r="AK94" s="194"/>
      <c r="AL94" s="1582">
        <f t="shared" ca="1" si="72"/>
        <v>0</v>
      </c>
      <c r="AM94" s="209"/>
      <c r="AN94" s="1582">
        <f t="shared" ca="1" si="73"/>
        <v>0</v>
      </c>
      <c r="AO94" s="209"/>
      <c r="AP94" s="1582">
        <f t="shared" ca="1" si="74"/>
        <v>0</v>
      </c>
      <c r="AQ94" s="209"/>
      <c r="AR94" s="1582">
        <f t="shared" ca="1" si="75"/>
        <v>0</v>
      </c>
      <c r="AS94" s="194"/>
      <c r="AT94" s="1582">
        <f t="shared" ca="1" si="76"/>
        <v>0</v>
      </c>
      <c r="AU94" s="194"/>
      <c r="AV94" s="194"/>
      <c r="AW94" s="194"/>
      <c r="AX94" s="194"/>
      <c r="AY94" s="194"/>
    </row>
    <row r="95" spans="1:51" s="2699" customFormat="1" ht="18" hidden="1" customHeight="1" x14ac:dyDescent="0.25">
      <c r="A95" s="972">
        <f t="shared" ca="1" si="77"/>
        <v>0</v>
      </c>
      <c r="B95" s="707">
        <f t="shared" si="81"/>
        <v>89</v>
      </c>
      <c r="C95" s="1376"/>
      <c r="D95" s="3346"/>
      <c r="E95" s="3346" t="str">
        <f t="shared" ca="1" si="53"/>
        <v/>
      </c>
      <c r="F95" s="1448" t="str">
        <f t="shared" ca="1" si="54"/>
        <v/>
      </c>
      <c r="G95" s="1418" t="str">
        <f t="shared" ca="1" si="55"/>
        <v/>
      </c>
      <c r="H95" s="3589" t="str">
        <f t="shared" ca="1" si="56"/>
        <v/>
      </c>
      <c r="I95" s="3589" t="str">
        <f t="shared" ca="1" si="57"/>
        <v/>
      </c>
      <c r="J95" s="3590" t="str">
        <f t="shared" ca="1" si="78"/>
        <v/>
      </c>
      <c r="K95" s="1422" t="str">
        <f t="shared" ca="1" si="58"/>
        <v/>
      </c>
      <c r="L95" s="1431" t="str">
        <f t="shared" ca="1" si="79"/>
        <v/>
      </c>
      <c r="M95" s="3591" t="str">
        <f t="shared" ca="1" si="80"/>
        <v/>
      </c>
      <c r="N95" s="3592" t="str">
        <f t="shared" ca="1" si="59"/>
        <v/>
      </c>
      <c r="O95" s="1420" t="e">
        <f ca="1">IF(U95="",IF(Income_RentRollSource="Datappraise/Manual Entry",VLOOKUP($B95,Datappraise_RentRoll,5,FALSE),IF(OR(Income_TechniqueUsed="Direct Capitalization",Income_TechniqueUsed="Direct Cap &amp; DCF"),VLOOKUP('Rent Roll'!S95,'Income Assumptions'!$D$11:$H$19,5,FALSE),VLOOKUP('Rent Roll'!S95,'Income Assumptions'!$D$50:$O$57,6,FALSE))),U95)</f>
        <v>#N/A</v>
      </c>
      <c r="P95" s="3346"/>
      <c r="Q95" s="1377"/>
      <c r="R95" s="652"/>
      <c r="S95" s="2696" t="str">
        <f t="shared" si="60"/>
        <v/>
      </c>
      <c r="T95" s="652"/>
      <c r="U95" s="2696"/>
      <c r="V95" s="652"/>
      <c r="W95" s="2696"/>
      <c r="X95" s="652"/>
      <c r="Y95" s="1580">
        <f t="shared" ca="1" si="61"/>
        <v>0</v>
      </c>
      <c r="Z95" s="1580">
        <f t="shared" ca="1" si="62"/>
        <v>0</v>
      </c>
      <c r="AA95" s="1580">
        <f t="shared" ca="1" si="63"/>
        <v>0</v>
      </c>
      <c r="AB95" s="1580">
        <f t="shared" ca="1" si="64"/>
        <v>0</v>
      </c>
      <c r="AC95" s="1580">
        <f t="shared" ca="1" si="65"/>
        <v>0</v>
      </c>
      <c r="AD95" s="1580">
        <f t="shared" ca="1" si="66"/>
        <v>0</v>
      </c>
      <c r="AE95" s="1580">
        <f t="shared" ca="1" si="67"/>
        <v>0</v>
      </c>
      <c r="AF95" s="1581">
        <f t="shared" ca="1" si="68"/>
        <v>0</v>
      </c>
      <c r="AG95" s="194"/>
      <c r="AH95" s="1579" t="str">
        <f t="shared" ca="1" si="69"/>
        <v/>
      </c>
      <c r="AI95" s="1580" t="str">
        <f t="shared" ca="1" si="70"/>
        <v/>
      </c>
      <c r="AJ95" s="1581" t="str">
        <f t="shared" ca="1" si="71"/>
        <v/>
      </c>
      <c r="AK95" s="194"/>
      <c r="AL95" s="1582">
        <f t="shared" ca="1" si="72"/>
        <v>0</v>
      </c>
      <c r="AM95" s="209"/>
      <c r="AN95" s="1582">
        <f t="shared" ca="1" si="73"/>
        <v>0</v>
      </c>
      <c r="AO95" s="209"/>
      <c r="AP95" s="1582">
        <f t="shared" ca="1" si="74"/>
        <v>0</v>
      </c>
      <c r="AQ95" s="209"/>
      <c r="AR95" s="1582">
        <f t="shared" ca="1" si="75"/>
        <v>0</v>
      </c>
      <c r="AS95" s="194"/>
      <c r="AT95" s="1582">
        <f t="shared" ca="1" si="76"/>
        <v>0</v>
      </c>
      <c r="AU95" s="194"/>
      <c r="AV95" s="194"/>
      <c r="AW95" s="194"/>
      <c r="AX95" s="194"/>
      <c r="AY95" s="194"/>
    </row>
    <row r="96" spans="1:51" s="2699" customFormat="1" ht="18" hidden="1" customHeight="1" x14ac:dyDescent="0.25">
      <c r="A96" s="972">
        <f t="shared" ca="1" si="77"/>
        <v>0</v>
      </c>
      <c r="B96" s="707">
        <f t="shared" si="81"/>
        <v>90</v>
      </c>
      <c r="C96" s="1376"/>
      <c r="D96" s="3346"/>
      <c r="E96" s="3346" t="str">
        <f t="shared" ca="1" si="53"/>
        <v/>
      </c>
      <c r="F96" s="1448" t="str">
        <f t="shared" ca="1" si="54"/>
        <v/>
      </c>
      <c r="G96" s="1418" t="str">
        <f t="shared" ca="1" si="55"/>
        <v/>
      </c>
      <c r="H96" s="3589" t="str">
        <f t="shared" ca="1" si="56"/>
        <v/>
      </c>
      <c r="I96" s="3589" t="str">
        <f t="shared" ca="1" si="57"/>
        <v/>
      </c>
      <c r="J96" s="3590" t="str">
        <f t="shared" ca="1" si="78"/>
        <v/>
      </c>
      <c r="K96" s="1422" t="str">
        <f t="shared" ca="1" si="58"/>
        <v/>
      </c>
      <c r="L96" s="1431" t="str">
        <f t="shared" ca="1" si="79"/>
        <v/>
      </c>
      <c r="M96" s="3591" t="str">
        <f t="shared" ca="1" si="80"/>
        <v/>
      </c>
      <c r="N96" s="3592" t="str">
        <f t="shared" ca="1" si="59"/>
        <v/>
      </c>
      <c r="O96" s="1420" t="e">
        <f ca="1">IF(U96="",IF(Income_RentRollSource="Datappraise/Manual Entry",VLOOKUP($B96,Datappraise_RentRoll,5,FALSE),IF(OR(Income_TechniqueUsed="Direct Capitalization",Income_TechniqueUsed="Direct Cap &amp; DCF"),VLOOKUP('Rent Roll'!S96,'Income Assumptions'!$D$11:$H$19,5,FALSE),VLOOKUP('Rent Roll'!S96,'Income Assumptions'!$D$50:$O$57,6,FALSE))),U96)</f>
        <v>#N/A</v>
      </c>
      <c r="P96" s="3346"/>
      <c r="Q96" s="1377"/>
      <c r="R96" s="652"/>
      <c r="S96" s="2696" t="str">
        <f t="shared" si="60"/>
        <v/>
      </c>
      <c r="T96" s="652"/>
      <c r="U96" s="2696"/>
      <c r="V96" s="652"/>
      <c r="W96" s="2696"/>
      <c r="X96" s="652"/>
      <c r="Y96" s="1580">
        <f t="shared" ca="1" si="61"/>
        <v>0</v>
      </c>
      <c r="Z96" s="1580">
        <f t="shared" ca="1" si="62"/>
        <v>0</v>
      </c>
      <c r="AA96" s="1580">
        <f t="shared" ca="1" si="63"/>
        <v>0</v>
      </c>
      <c r="AB96" s="1580">
        <f t="shared" ca="1" si="64"/>
        <v>0</v>
      </c>
      <c r="AC96" s="1580">
        <f t="shared" ca="1" si="65"/>
        <v>0</v>
      </c>
      <c r="AD96" s="1580">
        <f t="shared" ca="1" si="66"/>
        <v>0</v>
      </c>
      <c r="AE96" s="1580">
        <f t="shared" ca="1" si="67"/>
        <v>0</v>
      </c>
      <c r="AF96" s="1581">
        <f t="shared" ca="1" si="68"/>
        <v>0</v>
      </c>
      <c r="AG96" s="194"/>
      <c r="AH96" s="1579" t="str">
        <f t="shared" ca="1" si="69"/>
        <v/>
      </c>
      <c r="AI96" s="1580" t="str">
        <f t="shared" ca="1" si="70"/>
        <v/>
      </c>
      <c r="AJ96" s="1581" t="str">
        <f t="shared" ca="1" si="71"/>
        <v/>
      </c>
      <c r="AK96" s="194"/>
      <c r="AL96" s="1582">
        <f t="shared" ca="1" si="72"/>
        <v>0</v>
      </c>
      <c r="AM96" s="209"/>
      <c r="AN96" s="1582">
        <f t="shared" ca="1" si="73"/>
        <v>0</v>
      </c>
      <c r="AO96" s="209"/>
      <c r="AP96" s="1582">
        <f t="shared" ca="1" si="74"/>
        <v>0</v>
      </c>
      <c r="AQ96" s="209"/>
      <c r="AR96" s="1582">
        <f t="shared" ca="1" si="75"/>
        <v>0</v>
      </c>
      <c r="AS96" s="194"/>
      <c r="AT96" s="1582">
        <f t="shared" ca="1" si="76"/>
        <v>0</v>
      </c>
      <c r="AU96" s="194"/>
      <c r="AV96" s="194"/>
      <c r="AW96" s="194"/>
      <c r="AX96" s="194"/>
      <c r="AY96" s="194"/>
    </row>
    <row r="97" spans="1:51" s="2699" customFormat="1" ht="18" hidden="1" customHeight="1" x14ac:dyDescent="0.25">
      <c r="A97" s="972">
        <f t="shared" ca="1" si="77"/>
        <v>0</v>
      </c>
      <c r="B97" s="707">
        <f t="shared" si="81"/>
        <v>91</v>
      </c>
      <c r="C97" s="1376"/>
      <c r="D97" s="3346"/>
      <c r="E97" s="3346" t="str">
        <f t="shared" ca="1" si="53"/>
        <v/>
      </c>
      <c r="F97" s="1448" t="str">
        <f t="shared" ca="1" si="54"/>
        <v/>
      </c>
      <c r="G97" s="1418" t="str">
        <f t="shared" ca="1" si="55"/>
        <v/>
      </c>
      <c r="H97" s="3589" t="str">
        <f t="shared" ca="1" si="56"/>
        <v/>
      </c>
      <c r="I97" s="3589" t="str">
        <f t="shared" ca="1" si="57"/>
        <v/>
      </c>
      <c r="J97" s="3590" t="str">
        <f t="shared" ca="1" si="78"/>
        <v/>
      </c>
      <c r="K97" s="1422" t="str">
        <f t="shared" ca="1" si="58"/>
        <v/>
      </c>
      <c r="L97" s="1431" t="str">
        <f t="shared" ca="1" si="79"/>
        <v/>
      </c>
      <c r="M97" s="3591" t="str">
        <f t="shared" ca="1" si="80"/>
        <v/>
      </c>
      <c r="N97" s="3592" t="str">
        <f t="shared" ca="1" si="59"/>
        <v/>
      </c>
      <c r="O97" s="1420" t="e">
        <f ca="1">IF(U97="",IF(Income_RentRollSource="Datappraise/Manual Entry",VLOOKUP($B97,Datappraise_RentRoll,5,FALSE),IF(OR(Income_TechniqueUsed="Direct Capitalization",Income_TechniqueUsed="Direct Cap &amp; DCF"),VLOOKUP('Rent Roll'!S97,'Income Assumptions'!$D$11:$H$19,5,FALSE),VLOOKUP('Rent Roll'!S97,'Income Assumptions'!$D$50:$O$57,6,FALSE))),U97)</f>
        <v>#N/A</v>
      </c>
      <c r="P97" s="3346"/>
      <c r="Q97" s="1377"/>
      <c r="R97" s="652"/>
      <c r="S97" s="2696" t="str">
        <f t="shared" si="60"/>
        <v/>
      </c>
      <c r="T97" s="652"/>
      <c r="U97" s="2696"/>
      <c r="V97" s="652"/>
      <c r="W97" s="2696"/>
      <c r="X97" s="652"/>
      <c r="Y97" s="1580">
        <f t="shared" ca="1" si="61"/>
        <v>0</v>
      </c>
      <c r="Z97" s="1580">
        <f t="shared" ca="1" si="62"/>
        <v>0</v>
      </c>
      <c r="AA97" s="1580">
        <f t="shared" ca="1" si="63"/>
        <v>0</v>
      </c>
      <c r="AB97" s="1580">
        <f t="shared" ca="1" si="64"/>
        <v>0</v>
      </c>
      <c r="AC97" s="1580">
        <f t="shared" ca="1" si="65"/>
        <v>0</v>
      </c>
      <c r="AD97" s="1580">
        <f t="shared" ca="1" si="66"/>
        <v>0</v>
      </c>
      <c r="AE97" s="1580">
        <f t="shared" ca="1" si="67"/>
        <v>0</v>
      </c>
      <c r="AF97" s="1581">
        <f t="shared" ca="1" si="68"/>
        <v>0</v>
      </c>
      <c r="AG97" s="194"/>
      <c r="AH97" s="1579" t="str">
        <f t="shared" ca="1" si="69"/>
        <v/>
      </c>
      <c r="AI97" s="1580" t="str">
        <f t="shared" ca="1" si="70"/>
        <v/>
      </c>
      <c r="AJ97" s="1581" t="str">
        <f t="shared" ca="1" si="71"/>
        <v/>
      </c>
      <c r="AK97" s="194"/>
      <c r="AL97" s="1582">
        <f t="shared" ca="1" si="72"/>
        <v>0</v>
      </c>
      <c r="AM97" s="209"/>
      <c r="AN97" s="1582">
        <f t="shared" ca="1" si="73"/>
        <v>0</v>
      </c>
      <c r="AO97" s="209"/>
      <c r="AP97" s="1582">
        <f t="shared" ca="1" si="74"/>
        <v>0</v>
      </c>
      <c r="AQ97" s="209"/>
      <c r="AR97" s="1582">
        <f t="shared" ca="1" si="75"/>
        <v>0</v>
      </c>
      <c r="AS97" s="194"/>
      <c r="AT97" s="1582">
        <f t="shared" ca="1" si="76"/>
        <v>0</v>
      </c>
      <c r="AU97" s="194"/>
      <c r="AV97" s="194"/>
      <c r="AW97" s="194"/>
      <c r="AX97" s="194"/>
      <c r="AY97" s="194"/>
    </row>
    <row r="98" spans="1:51" s="2699" customFormat="1" ht="18" hidden="1" customHeight="1" x14ac:dyDescent="0.25">
      <c r="A98" s="972">
        <f t="shared" ca="1" si="77"/>
        <v>0</v>
      </c>
      <c r="B98" s="707">
        <f t="shared" si="81"/>
        <v>92</v>
      </c>
      <c r="C98" s="1376"/>
      <c r="D98" s="3346"/>
      <c r="E98" s="3346" t="str">
        <f t="shared" ca="1" si="53"/>
        <v/>
      </c>
      <c r="F98" s="1448" t="str">
        <f t="shared" ca="1" si="54"/>
        <v/>
      </c>
      <c r="G98" s="1418" t="str">
        <f t="shared" ca="1" si="55"/>
        <v/>
      </c>
      <c r="H98" s="3589" t="str">
        <f t="shared" ca="1" si="56"/>
        <v/>
      </c>
      <c r="I98" s="3589" t="str">
        <f t="shared" ca="1" si="57"/>
        <v/>
      </c>
      <c r="J98" s="3590" t="str">
        <f t="shared" ca="1" si="78"/>
        <v/>
      </c>
      <c r="K98" s="1422" t="str">
        <f t="shared" ca="1" si="58"/>
        <v/>
      </c>
      <c r="L98" s="1431" t="str">
        <f t="shared" ca="1" si="79"/>
        <v/>
      </c>
      <c r="M98" s="3591" t="str">
        <f t="shared" ca="1" si="80"/>
        <v/>
      </c>
      <c r="N98" s="3592" t="str">
        <f t="shared" ca="1" si="59"/>
        <v/>
      </c>
      <c r="O98" s="1420" t="e">
        <f ca="1">IF(U98="",IF(Income_RentRollSource="Datappraise/Manual Entry",VLOOKUP($B98,Datappraise_RentRoll,5,FALSE),IF(OR(Income_TechniqueUsed="Direct Capitalization",Income_TechniqueUsed="Direct Cap &amp; DCF"),VLOOKUP('Rent Roll'!S98,'Income Assumptions'!$D$11:$H$19,5,FALSE),VLOOKUP('Rent Roll'!S98,'Income Assumptions'!$D$50:$O$57,6,FALSE))),U98)</f>
        <v>#N/A</v>
      </c>
      <c r="P98" s="3346"/>
      <c r="Q98" s="1377"/>
      <c r="R98" s="652"/>
      <c r="S98" s="2696" t="str">
        <f t="shared" si="60"/>
        <v/>
      </c>
      <c r="T98" s="652"/>
      <c r="U98" s="2696"/>
      <c r="V98" s="652"/>
      <c r="W98" s="2696"/>
      <c r="X98" s="652"/>
      <c r="Y98" s="1580">
        <f t="shared" ca="1" si="61"/>
        <v>0</v>
      </c>
      <c r="Z98" s="1580">
        <f t="shared" ca="1" si="62"/>
        <v>0</v>
      </c>
      <c r="AA98" s="1580">
        <f t="shared" ca="1" si="63"/>
        <v>0</v>
      </c>
      <c r="AB98" s="1580">
        <f t="shared" ca="1" si="64"/>
        <v>0</v>
      </c>
      <c r="AC98" s="1580">
        <f t="shared" ca="1" si="65"/>
        <v>0</v>
      </c>
      <c r="AD98" s="1580">
        <f t="shared" ca="1" si="66"/>
        <v>0</v>
      </c>
      <c r="AE98" s="1580">
        <f t="shared" ca="1" si="67"/>
        <v>0</v>
      </c>
      <c r="AF98" s="1581">
        <f t="shared" ca="1" si="68"/>
        <v>0</v>
      </c>
      <c r="AG98" s="194"/>
      <c r="AH98" s="1579" t="str">
        <f t="shared" ca="1" si="69"/>
        <v/>
      </c>
      <c r="AI98" s="1580" t="str">
        <f t="shared" ca="1" si="70"/>
        <v/>
      </c>
      <c r="AJ98" s="1581" t="str">
        <f t="shared" ca="1" si="71"/>
        <v/>
      </c>
      <c r="AK98" s="194"/>
      <c r="AL98" s="1582">
        <f t="shared" ca="1" si="72"/>
        <v>0</v>
      </c>
      <c r="AM98" s="209"/>
      <c r="AN98" s="1582">
        <f t="shared" ca="1" si="73"/>
        <v>0</v>
      </c>
      <c r="AO98" s="209"/>
      <c r="AP98" s="1582">
        <f t="shared" ca="1" si="74"/>
        <v>0</v>
      </c>
      <c r="AQ98" s="209"/>
      <c r="AR98" s="1582">
        <f t="shared" ca="1" si="75"/>
        <v>0</v>
      </c>
      <c r="AS98" s="194"/>
      <c r="AT98" s="1582">
        <f t="shared" ca="1" si="76"/>
        <v>0</v>
      </c>
      <c r="AU98" s="194"/>
      <c r="AV98" s="194"/>
      <c r="AW98" s="194"/>
      <c r="AX98" s="194"/>
      <c r="AY98" s="194"/>
    </row>
    <row r="99" spans="1:51" s="2699" customFormat="1" ht="18" hidden="1" customHeight="1" x14ac:dyDescent="0.25">
      <c r="A99" s="972">
        <f t="shared" ca="1" si="77"/>
        <v>0</v>
      </c>
      <c r="B99" s="707">
        <f t="shared" si="81"/>
        <v>93</v>
      </c>
      <c r="C99" s="1376"/>
      <c r="D99" s="3346"/>
      <c r="E99" s="3346" t="str">
        <f t="shared" ca="1" si="53"/>
        <v/>
      </c>
      <c r="F99" s="1448" t="str">
        <f t="shared" ca="1" si="54"/>
        <v/>
      </c>
      <c r="G99" s="1418" t="str">
        <f t="shared" ca="1" si="55"/>
        <v/>
      </c>
      <c r="H99" s="3589" t="str">
        <f t="shared" ca="1" si="56"/>
        <v/>
      </c>
      <c r="I99" s="3589" t="str">
        <f t="shared" ca="1" si="57"/>
        <v/>
      </c>
      <c r="J99" s="3590" t="str">
        <f t="shared" ca="1" si="78"/>
        <v/>
      </c>
      <c r="K99" s="1422" t="str">
        <f t="shared" ca="1" si="58"/>
        <v/>
      </c>
      <c r="L99" s="1431" t="str">
        <f t="shared" ca="1" si="79"/>
        <v/>
      </c>
      <c r="M99" s="3591" t="str">
        <f t="shared" ca="1" si="80"/>
        <v/>
      </c>
      <c r="N99" s="3592" t="str">
        <f t="shared" ca="1" si="59"/>
        <v/>
      </c>
      <c r="O99" s="1420" t="e">
        <f ca="1">IF(U99="",IF(Income_RentRollSource="Datappraise/Manual Entry",VLOOKUP($B99,Datappraise_RentRoll,5,FALSE),IF(OR(Income_TechniqueUsed="Direct Capitalization",Income_TechniqueUsed="Direct Cap &amp; DCF"),VLOOKUP('Rent Roll'!S99,'Income Assumptions'!$D$11:$H$19,5,FALSE),VLOOKUP('Rent Roll'!S99,'Income Assumptions'!$D$50:$O$57,6,FALSE))),U99)</f>
        <v>#N/A</v>
      </c>
      <c r="P99" s="3346"/>
      <c r="Q99" s="1377"/>
      <c r="R99" s="652"/>
      <c r="S99" s="2696" t="str">
        <f t="shared" si="60"/>
        <v/>
      </c>
      <c r="T99" s="652"/>
      <c r="U99" s="2696"/>
      <c r="V99" s="652"/>
      <c r="W99" s="2696"/>
      <c r="X99" s="652"/>
      <c r="Y99" s="1580">
        <f t="shared" ca="1" si="61"/>
        <v>0</v>
      </c>
      <c r="Z99" s="1580">
        <f t="shared" ca="1" si="62"/>
        <v>0</v>
      </c>
      <c r="AA99" s="1580">
        <f t="shared" ca="1" si="63"/>
        <v>0</v>
      </c>
      <c r="AB99" s="1580">
        <f t="shared" ca="1" si="64"/>
        <v>0</v>
      </c>
      <c r="AC99" s="1580">
        <f t="shared" ca="1" si="65"/>
        <v>0</v>
      </c>
      <c r="AD99" s="1580">
        <f t="shared" ca="1" si="66"/>
        <v>0</v>
      </c>
      <c r="AE99" s="1580">
        <f t="shared" ca="1" si="67"/>
        <v>0</v>
      </c>
      <c r="AF99" s="1581">
        <f t="shared" ca="1" si="68"/>
        <v>0</v>
      </c>
      <c r="AG99" s="194"/>
      <c r="AH99" s="1579" t="str">
        <f t="shared" ca="1" si="69"/>
        <v/>
      </c>
      <c r="AI99" s="1580" t="str">
        <f t="shared" ca="1" si="70"/>
        <v/>
      </c>
      <c r="AJ99" s="1581" t="str">
        <f t="shared" ca="1" si="71"/>
        <v/>
      </c>
      <c r="AK99" s="194"/>
      <c r="AL99" s="1582">
        <f t="shared" ca="1" si="72"/>
        <v>0</v>
      </c>
      <c r="AM99" s="209"/>
      <c r="AN99" s="1582">
        <f t="shared" ca="1" si="73"/>
        <v>0</v>
      </c>
      <c r="AO99" s="209"/>
      <c r="AP99" s="1582">
        <f t="shared" ca="1" si="74"/>
        <v>0</v>
      </c>
      <c r="AQ99" s="209"/>
      <c r="AR99" s="1582">
        <f t="shared" ca="1" si="75"/>
        <v>0</v>
      </c>
      <c r="AS99" s="194"/>
      <c r="AT99" s="1582">
        <f t="shared" ca="1" si="76"/>
        <v>0</v>
      </c>
      <c r="AU99" s="194"/>
      <c r="AV99" s="194"/>
      <c r="AW99" s="194"/>
      <c r="AX99" s="194"/>
      <c r="AY99" s="194"/>
    </row>
    <row r="100" spans="1:51" s="2699" customFormat="1" ht="18" hidden="1" customHeight="1" x14ac:dyDescent="0.25">
      <c r="A100" s="972">
        <f t="shared" ca="1" si="77"/>
        <v>0</v>
      </c>
      <c r="B100" s="707">
        <f t="shared" si="81"/>
        <v>94</v>
      </c>
      <c r="C100" s="1376"/>
      <c r="D100" s="3346"/>
      <c r="E100" s="3346" t="str">
        <f t="shared" ca="1" si="53"/>
        <v/>
      </c>
      <c r="F100" s="1448" t="str">
        <f t="shared" ca="1" si="54"/>
        <v/>
      </c>
      <c r="G100" s="1418" t="str">
        <f t="shared" ca="1" si="55"/>
        <v/>
      </c>
      <c r="H100" s="3589" t="str">
        <f t="shared" ca="1" si="56"/>
        <v/>
      </c>
      <c r="I100" s="3589" t="str">
        <f t="shared" ca="1" si="57"/>
        <v/>
      </c>
      <c r="J100" s="3590" t="str">
        <f t="shared" ca="1" si="78"/>
        <v/>
      </c>
      <c r="K100" s="1422" t="str">
        <f t="shared" ca="1" si="58"/>
        <v/>
      </c>
      <c r="L100" s="1431" t="str">
        <f t="shared" ca="1" si="79"/>
        <v/>
      </c>
      <c r="M100" s="3591" t="str">
        <f t="shared" ca="1" si="80"/>
        <v/>
      </c>
      <c r="N100" s="3592" t="str">
        <f t="shared" ca="1" si="59"/>
        <v/>
      </c>
      <c r="O100" s="1420" t="e">
        <f ca="1">IF(U100="",IF(Income_RentRollSource="Datappraise/Manual Entry",VLOOKUP($B100,Datappraise_RentRoll,5,FALSE),IF(OR(Income_TechniqueUsed="Direct Capitalization",Income_TechniqueUsed="Direct Cap &amp; DCF"),VLOOKUP('Rent Roll'!S100,'Income Assumptions'!$D$11:$H$19,5,FALSE),VLOOKUP('Rent Roll'!S100,'Income Assumptions'!$D$50:$O$57,6,FALSE))),U100)</f>
        <v>#N/A</v>
      </c>
      <c r="P100" s="3346"/>
      <c r="Q100" s="1377"/>
      <c r="R100" s="652"/>
      <c r="S100" s="2696" t="str">
        <f t="shared" si="60"/>
        <v/>
      </c>
      <c r="T100" s="652"/>
      <c r="U100" s="2696"/>
      <c r="V100" s="652"/>
      <c r="W100" s="2696"/>
      <c r="X100" s="652"/>
      <c r="Y100" s="1580">
        <f t="shared" ca="1" si="61"/>
        <v>0</v>
      </c>
      <c r="Z100" s="1580">
        <f t="shared" ca="1" si="62"/>
        <v>0</v>
      </c>
      <c r="AA100" s="1580">
        <f t="shared" ca="1" si="63"/>
        <v>0</v>
      </c>
      <c r="AB100" s="1580">
        <f t="shared" ca="1" si="64"/>
        <v>0</v>
      </c>
      <c r="AC100" s="1580">
        <f t="shared" ca="1" si="65"/>
        <v>0</v>
      </c>
      <c r="AD100" s="1580">
        <f t="shared" ca="1" si="66"/>
        <v>0</v>
      </c>
      <c r="AE100" s="1580">
        <f t="shared" ca="1" si="67"/>
        <v>0</v>
      </c>
      <c r="AF100" s="1581">
        <f t="shared" ca="1" si="68"/>
        <v>0</v>
      </c>
      <c r="AG100" s="194"/>
      <c r="AH100" s="1579" t="str">
        <f t="shared" ca="1" si="69"/>
        <v/>
      </c>
      <c r="AI100" s="1580" t="str">
        <f t="shared" ca="1" si="70"/>
        <v/>
      </c>
      <c r="AJ100" s="1581" t="str">
        <f t="shared" ca="1" si="71"/>
        <v/>
      </c>
      <c r="AK100" s="194"/>
      <c r="AL100" s="1582">
        <f t="shared" ca="1" si="72"/>
        <v>0</v>
      </c>
      <c r="AM100" s="209"/>
      <c r="AN100" s="1582">
        <f t="shared" ca="1" si="73"/>
        <v>0</v>
      </c>
      <c r="AO100" s="209"/>
      <c r="AP100" s="1582">
        <f t="shared" ca="1" si="74"/>
        <v>0</v>
      </c>
      <c r="AQ100" s="209"/>
      <c r="AR100" s="1582">
        <f t="shared" ca="1" si="75"/>
        <v>0</v>
      </c>
      <c r="AS100" s="194"/>
      <c r="AT100" s="1582">
        <f t="shared" ca="1" si="76"/>
        <v>0</v>
      </c>
      <c r="AU100" s="194"/>
      <c r="AV100" s="194"/>
      <c r="AW100" s="194"/>
      <c r="AX100" s="194"/>
      <c r="AY100" s="194"/>
    </row>
    <row r="101" spans="1:51" s="2699" customFormat="1" ht="18" hidden="1" customHeight="1" x14ac:dyDescent="0.25">
      <c r="A101" s="972">
        <f t="shared" ca="1" si="77"/>
        <v>0</v>
      </c>
      <c r="B101" s="707">
        <f t="shared" si="81"/>
        <v>95</v>
      </c>
      <c r="C101" s="1376"/>
      <c r="D101" s="3346"/>
      <c r="E101" s="3346" t="str">
        <f t="shared" ca="1" si="53"/>
        <v/>
      </c>
      <c r="F101" s="1448" t="str">
        <f t="shared" ca="1" si="54"/>
        <v/>
      </c>
      <c r="G101" s="1418" t="str">
        <f t="shared" ca="1" si="55"/>
        <v/>
      </c>
      <c r="H101" s="3589" t="str">
        <f t="shared" ca="1" si="56"/>
        <v/>
      </c>
      <c r="I101" s="3589" t="str">
        <f t="shared" ca="1" si="57"/>
        <v/>
      </c>
      <c r="J101" s="3590" t="str">
        <f t="shared" ca="1" si="78"/>
        <v/>
      </c>
      <c r="K101" s="1422" t="str">
        <f t="shared" ca="1" si="58"/>
        <v/>
      </c>
      <c r="L101" s="1431" t="str">
        <f t="shared" ca="1" si="79"/>
        <v/>
      </c>
      <c r="M101" s="3591" t="str">
        <f t="shared" ca="1" si="80"/>
        <v/>
      </c>
      <c r="N101" s="3592" t="str">
        <f t="shared" ca="1" si="59"/>
        <v/>
      </c>
      <c r="O101" s="1420" t="e">
        <f ca="1">IF(U101="",IF(Income_RentRollSource="Datappraise/Manual Entry",VLOOKUP($B101,Datappraise_RentRoll,5,FALSE),IF(OR(Income_TechniqueUsed="Direct Capitalization",Income_TechniqueUsed="Direct Cap &amp; DCF"),VLOOKUP('Rent Roll'!S101,'Income Assumptions'!$D$11:$H$19,5,FALSE),VLOOKUP('Rent Roll'!S101,'Income Assumptions'!$D$50:$O$57,6,FALSE))),U101)</f>
        <v>#N/A</v>
      </c>
      <c r="P101" s="3346"/>
      <c r="Q101" s="1377"/>
      <c r="R101" s="652"/>
      <c r="S101" s="2696" t="str">
        <f t="shared" si="60"/>
        <v/>
      </c>
      <c r="T101" s="652"/>
      <c r="U101" s="2696"/>
      <c r="V101" s="652"/>
      <c r="W101" s="2696"/>
      <c r="X101" s="652"/>
      <c r="Y101" s="1580">
        <f t="shared" ca="1" si="61"/>
        <v>0</v>
      </c>
      <c r="Z101" s="1580">
        <f t="shared" ca="1" si="62"/>
        <v>0</v>
      </c>
      <c r="AA101" s="1580">
        <f t="shared" ca="1" si="63"/>
        <v>0</v>
      </c>
      <c r="AB101" s="1580">
        <f t="shared" ca="1" si="64"/>
        <v>0</v>
      </c>
      <c r="AC101" s="1580">
        <f t="shared" ca="1" si="65"/>
        <v>0</v>
      </c>
      <c r="AD101" s="1580">
        <f t="shared" ca="1" si="66"/>
        <v>0</v>
      </c>
      <c r="AE101" s="1580">
        <f t="shared" ca="1" si="67"/>
        <v>0</v>
      </c>
      <c r="AF101" s="1581">
        <f t="shared" ca="1" si="68"/>
        <v>0</v>
      </c>
      <c r="AG101" s="194"/>
      <c r="AH101" s="1579" t="str">
        <f t="shared" ca="1" si="69"/>
        <v/>
      </c>
      <c r="AI101" s="1580" t="str">
        <f t="shared" ca="1" si="70"/>
        <v/>
      </c>
      <c r="AJ101" s="1581" t="str">
        <f t="shared" ca="1" si="71"/>
        <v/>
      </c>
      <c r="AK101" s="194"/>
      <c r="AL101" s="1582">
        <f t="shared" ca="1" si="72"/>
        <v>0</v>
      </c>
      <c r="AM101" s="209"/>
      <c r="AN101" s="1582">
        <f t="shared" ca="1" si="73"/>
        <v>0</v>
      </c>
      <c r="AO101" s="209"/>
      <c r="AP101" s="1582">
        <f t="shared" ca="1" si="74"/>
        <v>0</v>
      </c>
      <c r="AQ101" s="209"/>
      <c r="AR101" s="1582">
        <f t="shared" ca="1" si="75"/>
        <v>0</v>
      </c>
      <c r="AS101" s="194"/>
      <c r="AT101" s="1582">
        <f t="shared" ca="1" si="76"/>
        <v>0</v>
      </c>
      <c r="AU101" s="194"/>
      <c r="AV101" s="194"/>
      <c r="AW101" s="194"/>
      <c r="AX101" s="194"/>
      <c r="AY101" s="194"/>
    </row>
    <row r="102" spans="1:51" s="2699" customFormat="1" ht="18" hidden="1" customHeight="1" x14ac:dyDescent="0.25">
      <c r="A102" s="972">
        <f t="shared" ca="1" si="77"/>
        <v>0</v>
      </c>
      <c r="B102" s="707">
        <f t="shared" si="81"/>
        <v>96</v>
      </c>
      <c r="C102" s="1376"/>
      <c r="D102" s="3346"/>
      <c r="E102" s="3346" t="str">
        <f t="shared" ca="1" si="53"/>
        <v/>
      </c>
      <c r="F102" s="1448" t="str">
        <f t="shared" ca="1" si="54"/>
        <v/>
      </c>
      <c r="G102" s="1418" t="str">
        <f t="shared" ca="1" si="55"/>
        <v/>
      </c>
      <c r="H102" s="3589" t="str">
        <f t="shared" ca="1" si="56"/>
        <v/>
      </c>
      <c r="I102" s="3589" t="str">
        <f t="shared" ca="1" si="57"/>
        <v/>
      </c>
      <c r="J102" s="3590" t="str">
        <f t="shared" ca="1" si="78"/>
        <v/>
      </c>
      <c r="K102" s="1422" t="str">
        <f t="shared" ca="1" si="58"/>
        <v/>
      </c>
      <c r="L102" s="1431" t="str">
        <f t="shared" ca="1" si="79"/>
        <v/>
      </c>
      <c r="M102" s="3591" t="str">
        <f t="shared" ca="1" si="80"/>
        <v/>
      </c>
      <c r="N102" s="3592" t="str">
        <f t="shared" ca="1" si="59"/>
        <v/>
      </c>
      <c r="O102" s="1420" t="e">
        <f ca="1">IF(U102="",IF(Income_RentRollSource="Datappraise/Manual Entry",VLOOKUP($B102,Datappraise_RentRoll,5,FALSE),IF(OR(Income_TechniqueUsed="Direct Capitalization",Income_TechniqueUsed="Direct Cap &amp; DCF"),VLOOKUP('Rent Roll'!S102,'Income Assumptions'!$D$11:$H$19,5,FALSE),VLOOKUP('Rent Roll'!S102,'Income Assumptions'!$D$50:$O$57,6,FALSE))),U102)</f>
        <v>#N/A</v>
      </c>
      <c r="P102" s="3346"/>
      <c r="Q102" s="1377"/>
      <c r="R102" s="652"/>
      <c r="S102" s="2696" t="str">
        <f t="shared" si="60"/>
        <v/>
      </c>
      <c r="T102" s="652"/>
      <c r="U102" s="2696"/>
      <c r="V102" s="652"/>
      <c r="W102" s="2696"/>
      <c r="X102" s="652"/>
      <c r="Y102" s="1580">
        <f t="shared" ca="1" si="61"/>
        <v>0</v>
      </c>
      <c r="Z102" s="1580">
        <f t="shared" ca="1" si="62"/>
        <v>0</v>
      </c>
      <c r="AA102" s="1580">
        <f t="shared" ca="1" si="63"/>
        <v>0</v>
      </c>
      <c r="AB102" s="1580">
        <f t="shared" ca="1" si="64"/>
        <v>0</v>
      </c>
      <c r="AC102" s="1580">
        <f t="shared" ca="1" si="65"/>
        <v>0</v>
      </c>
      <c r="AD102" s="1580">
        <f t="shared" ca="1" si="66"/>
        <v>0</v>
      </c>
      <c r="AE102" s="1580">
        <f t="shared" ca="1" si="67"/>
        <v>0</v>
      </c>
      <c r="AF102" s="1581">
        <f t="shared" ca="1" si="68"/>
        <v>0</v>
      </c>
      <c r="AG102" s="194"/>
      <c r="AH102" s="1579" t="str">
        <f t="shared" ca="1" si="69"/>
        <v/>
      </c>
      <c r="AI102" s="1580" t="str">
        <f t="shared" ca="1" si="70"/>
        <v/>
      </c>
      <c r="AJ102" s="1581" t="str">
        <f t="shared" ca="1" si="71"/>
        <v/>
      </c>
      <c r="AK102" s="194"/>
      <c r="AL102" s="1582">
        <f t="shared" ca="1" si="72"/>
        <v>0</v>
      </c>
      <c r="AM102" s="209"/>
      <c r="AN102" s="1582">
        <f t="shared" ca="1" si="73"/>
        <v>0</v>
      </c>
      <c r="AO102" s="209"/>
      <c r="AP102" s="1582">
        <f t="shared" ca="1" si="74"/>
        <v>0</v>
      </c>
      <c r="AQ102" s="209"/>
      <c r="AR102" s="1582">
        <f t="shared" ca="1" si="75"/>
        <v>0</v>
      </c>
      <c r="AS102" s="194"/>
      <c r="AT102" s="1582">
        <f t="shared" ca="1" si="76"/>
        <v>0</v>
      </c>
      <c r="AU102" s="194"/>
      <c r="AV102" s="194"/>
      <c r="AW102" s="194"/>
      <c r="AX102" s="194"/>
      <c r="AY102" s="194"/>
    </row>
    <row r="103" spans="1:51" s="2699" customFormat="1" ht="18" hidden="1" customHeight="1" x14ac:dyDescent="0.25">
      <c r="A103" s="972">
        <f t="shared" ca="1" si="77"/>
        <v>0</v>
      </c>
      <c r="B103" s="707">
        <f t="shared" si="81"/>
        <v>97</v>
      </c>
      <c r="C103" s="1376"/>
      <c r="D103" s="3346"/>
      <c r="E103" s="3346" t="str">
        <f t="shared" ref="E103:E134" ca="1" si="82">IF(Income_RentRollSource="ARGUS",IF(OR(ISERROR(VLOOKUP($B103,ARGUS_TenantRentRollArray,2,FALSE)),ISNUMBER(SEARCH("Reabsorb",VLOOKUP($B103,ARGUS_TenantRentRollArray,2,FALSE)))),"",VLOOKUP($B103,ARGUS_TenantRentRollArray,2,FALSE)),IF(Datappraise_RentRoll_TenantCount&lt;B103,"",VLOOKUP($B103,Datappraise_RentRoll,2,FALSE)))</f>
        <v/>
      </c>
      <c r="F103" s="1448" t="str">
        <f t="shared" ref="F103:F134" ca="1" si="83">IF(Income_RentRollSource="ARGUS",IF(OR(ISERROR(VLOOKUP($B103,ARGUS_TenantRentRollArray,2,FALSE)),ISNUMBER(SEARCH("Reabsorb",VLOOKUP($B103,ARGUS_TenantRentRollArray,2,FALSE))),ISNUMBER(SEARCH("Vacant",VLOOKUP($B103,ARGUS_TenantRentRollArray,2,FALSE)))),"",VLOOKUP($B103,ARGUS_TenantRentRollArray,3,FALSE)),IF(Datappraise_RentRoll_TenantCount&lt;$B103,"",VLOOKUP($B103,Datappraise_RentRoll,3,FALSE)))</f>
        <v/>
      </c>
      <c r="G103" s="1418" t="str">
        <f t="shared" ref="G103:G134" ca="1" si="84">IF(Income_RentRollSource="ARGUS",IF(OR(ISERROR(VLOOKUP($B103,ARGUS_TenantRentRollArray,2,FALSE)),ISNUMBER(SEARCH("Reabsorb",VLOOKUP($B103,ARGUS_TenantRentRollArray,2,FALSE)))),"",IF(ISERROR(SEARCH("Vacant",E103)),IF(H103&gt;dpIncome_RentRoll_DOV,"Prospective Contract","Contract"),"Speculative")),IF(Datappraise_RentRoll_TenantCount&lt;$B103,"",IF(ISERROR(SEARCH("Vacant",E103)),IF(H103&gt;dpIncome_RentRoll_DOV,"Prospective Contract","Contract"),"Speculative")))</f>
        <v/>
      </c>
      <c r="H103" s="3589" t="str">
        <f t="shared" ref="H103:H134" ca="1" si="85">IF(Income_RentRollSource="ARGUS",IF(OR(ISERROR(VLOOKUP($B103,ARGUS_TenantRentRollArray,2,FALSE)),ISNUMBER(SEARCH("Reabsorb",VLOOKUP($B103,ARGUS_TenantRentRollArray,2,FALSE)))),"",VLOOKUP($B103,ARGUS_TenantRentRollArray,8,FALSE))+0,IF(Datappraise_RentRoll_TenantCount&lt;$B103,"",VLOOKUP($B103,Datappraise_RentRoll,10,FALSE)))</f>
        <v/>
      </c>
      <c r="I103" s="3589" t="str">
        <f t="shared" ref="I103:I134" ca="1" si="86">IF(Income_RentRollSource="ARGUS",IF(OR(ISERROR(VLOOKUP($B103,ARGUS_TenantRentRollArray,2,FALSE)),ISNUMBER(SEARCH("Reabsorb",VLOOKUP($B103,ARGUS_TenantRentRollArray,2,FALSE)))),"",VLOOKUP($B103,ARGUS_TenantRentRollArray,9,FALSE))+0,IF(Datappraise_RentRoll_TenantCount&lt;$B103,"",VLOOKUP($B103,Datappraise_RentRoll,11,FALSE)))</f>
        <v/>
      </c>
      <c r="J103" s="3590" t="str">
        <f t="shared" ca="1" si="78"/>
        <v/>
      </c>
      <c r="K103" s="1422" t="str">
        <f t="shared" ref="K103:K134" ca="1" si="87">IF(Income_RentRollSource="ARGUS",IF(OR(ISERROR(VLOOKUP($B103,ARGUS_TenantRentRollArray,2,FALSE)),ISNUMBER(SEARCH("Reabsorb",VLOOKUP($B103,ARGUS_TenantRentRollArray,2,FALSE)))),"",VLOOKUP($B103,ARGUS_TenantRentRollArray,7,FALSE)),IF(Datappraise_RentRoll_TenantCount&lt;$B103,"",VLOOKUP($B103,Datappraise_RentRoll,7,FALSE)))</f>
        <v/>
      </c>
      <c r="L103" s="1431" t="str">
        <f t="shared" ca="1" si="79"/>
        <v/>
      </c>
      <c r="M103" s="3591" t="str">
        <f t="shared" ca="1" si="80"/>
        <v/>
      </c>
      <c r="N103" s="3592" t="str">
        <f t="shared" ref="N103:N134" ca="1" si="88">IF(Income_RentRollSource="ARGUS",IF(A103=0,"",VLOOKUP(B103,ARGUS_TenantRentRollArray,10,FALSE)/K103),IF(A103=0,"",VLOOKUP($B103,Datappraise_RentRoll,9,FALSE)))</f>
        <v/>
      </c>
      <c r="O103" s="1420" t="e">
        <f ca="1">IF(U103="",IF(Income_RentRollSource="Datappraise/Manual Entry",VLOOKUP($B103,Datappraise_RentRoll,5,FALSE),IF(OR(Income_TechniqueUsed="Direct Capitalization",Income_TechniqueUsed="Direct Cap &amp; DCF"),VLOOKUP('Rent Roll'!S103,'Income Assumptions'!$D$11:$H$19,5,FALSE),VLOOKUP('Rent Roll'!S103,'Income Assumptions'!$D$50:$O$57,6,FALSE))),U103)</f>
        <v>#N/A</v>
      </c>
      <c r="P103" s="3346"/>
      <c r="Q103" s="1377"/>
      <c r="R103" s="652"/>
      <c r="S103" s="2696" t="str">
        <f t="shared" ref="S103:S134" si="89">IF(Income_RentRollSource="Datappraise",IF(ISERROR(VLOOKUP($B103,Datappraise_RentRoll,4,FALSE))=FALSE,VLOOKUP($B103,Datappraise_RentRoll,4,FALSE),""),"")</f>
        <v/>
      </c>
      <c r="T103" s="652"/>
      <c r="U103" s="2696"/>
      <c r="V103" s="652"/>
      <c r="W103" s="2696"/>
      <c r="X103" s="652"/>
      <c r="Y103" s="1580">
        <f t="shared" ref="Y103:Y134" ca="1" si="90">IF(AND($A103=1,$S103=Income_TCat1,$S103&lt;&gt;""),1,0)</f>
        <v>0</v>
      </c>
      <c r="Z103" s="1580">
        <f t="shared" ref="Z103:Z134" ca="1" si="91">IF(AND($A103=1,$S103=Income_TCat2,$S103&lt;&gt;""),1,0)</f>
        <v>0</v>
      </c>
      <c r="AA103" s="1580">
        <f t="shared" ref="AA103:AA134" ca="1" si="92">IF(AND($A103=1,$S103=Income_TCat3,$S103&lt;&gt;""),1,0)</f>
        <v>0</v>
      </c>
      <c r="AB103" s="1580">
        <f t="shared" ref="AB103:AB134" ca="1" si="93">IF(AND($A103=1,$S103=Income_TCat4,$S103&lt;&gt;""),1,0)</f>
        <v>0</v>
      </c>
      <c r="AC103" s="1580">
        <f t="shared" ref="AC103:AC134" ca="1" si="94">IF(AND($A103=1,$S103=Income_TCat5,$S103&lt;&gt;""),1,0)</f>
        <v>0</v>
      </c>
      <c r="AD103" s="1580">
        <f t="shared" ref="AD103:AD134" ca="1" si="95">IF(AND($A103=1,$S103=Income_TCat6,$S103&lt;&gt;""),1,0)</f>
        <v>0</v>
      </c>
      <c r="AE103" s="1580">
        <f t="shared" ref="AE103:AE134" ca="1" si="96">IF(AND($A103=1,$S103=Income_TCat7,$S103&lt;&gt;""),1,0)</f>
        <v>0</v>
      </c>
      <c r="AF103" s="1581">
        <f t="shared" ref="AF103:AF134" ca="1" si="97">IF(AND($A103=1,$S103=Income_TCat8,$S103&lt;&gt;""),1,0)</f>
        <v>0</v>
      </c>
      <c r="AG103" s="194"/>
      <c r="AH103" s="1579" t="str">
        <f t="shared" ref="AH103:AH134" ca="1" si="98">IF(OR(G103="Speculative",G103=""),"",K103*N103)</f>
        <v/>
      </c>
      <c r="AI103" s="1580" t="str">
        <f t="shared" ref="AI103:AI134" ca="1" si="99">IF(OR(G103="Speculative",G103=""),"",K103*VLOOKUP(S103,Income_DirectCap_AssumpMatrix,3,FALSE))</f>
        <v/>
      </c>
      <c r="AJ103" s="1581" t="str">
        <f t="shared" ref="AJ103:AJ134" ca="1" si="100">IF(OR(G103="Speculative",G103=""),"",K103)</f>
        <v/>
      </c>
      <c r="AK103" s="194"/>
      <c r="AL103" s="1582">
        <f t="shared" ref="AL103:AL134" ca="1" si="101">IF(ISERROR(AND(OR($H103=Income_Absorb_Period1,$H103&gt;Income_Absorb_Period1),$A103=1)),0,IF(AND(OR($H103=Income_Absorb_Period1,$H103&gt;Income_Absorb_Period1),$A103=1),$K103,0))</f>
        <v>0</v>
      </c>
      <c r="AM103" s="209"/>
      <c r="AN103" s="1582">
        <f t="shared" ref="AN103:AN134" ca="1" si="102">IF(ISERROR(AND(OR($H103=Income_Absorb_Period2,AND($H103&gt;Income_Absorb_Period2,$H103&lt;Income_Absorb_Period1)),$A103=1,Income_Absorb_Period2&lt;&gt;"")),0,IF(AND(OR($H103=Income_Absorb_Period2,AND($H103&gt;Income_Absorb_Period2,$H103&lt;Income_Absorb_Period1)),$A103=1,Income_Absorb_Period2&lt;&gt;""),$K103,0))</f>
        <v>0</v>
      </c>
      <c r="AO103" s="209"/>
      <c r="AP103" s="1582">
        <f t="shared" ref="AP103:AP134" ca="1" si="103">IF(ISERROR(AND(OR($H103=Income_Absorb_Period3,AND($H103&gt;Income_Absorb_Period3,$H103&lt;Income_Absorb_Period2)),$A103=1,Income_Absorb_Period3&lt;&gt;"")),0,IF(AND(OR($H103=Income_Absorb_Period3,AND($H103&gt;Income_Absorb_Period3,$H103&lt;Income_Absorb_Period2)),$A103=1,Income_Absorb_Period3&lt;&gt;""),$K103,0))</f>
        <v>0</v>
      </c>
      <c r="AQ103" s="209"/>
      <c r="AR103" s="1582">
        <f t="shared" ref="AR103:AR134" ca="1" si="104">IF(ISERROR(AND(OR($H103=Income_Absorb_Period4,AND($H103&gt;Income_Absorb_Period4,$H103&lt;Income_Absorb_Period3)),$A103=1,Income_Absorb_Period4&lt;&gt;"")),0,IF(AND(OR($H103=Income_Absorb_Period4,AND($H103&gt;Income_Absorb_Period4,$H103&lt;Income_Absorb_Period3)),$A103=1,Income_Absorb_Period4&lt;&gt;""),$K103,0))</f>
        <v>0</v>
      </c>
      <c r="AS103" s="194"/>
      <c r="AT103" s="1582">
        <f t="shared" ref="AT103:AT134" ca="1" si="105">IF(ISERROR(AND(OR($H103=Income_Absorb_Period5,AND($H103&gt;Income_Absorb_Period5,$H103&lt;Income_Absorb_Period4)),$A103=1,Income_Absorb_Period5&lt;&gt;"")),0,IF(AND(OR($H103=Income_Absorb_Period5,AND($H103&gt;Income_Absorb_Period5,$H103&lt;Income_Absorb_Period4)),$A103=1,Income_Absorb_Period5&lt;&gt;""),$K103,0))</f>
        <v>0</v>
      </c>
      <c r="AU103" s="194"/>
      <c r="AV103" s="194"/>
      <c r="AW103" s="194"/>
      <c r="AX103" s="194"/>
      <c r="AY103" s="194"/>
    </row>
    <row r="104" spans="1:51" s="2699" customFormat="1" ht="18" hidden="1" customHeight="1" x14ac:dyDescent="0.25">
      <c r="A104" s="972">
        <f t="shared" ca="1" si="77"/>
        <v>0</v>
      </c>
      <c r="B104" s="707">
        <f t="shared" si="81"/>
        <v>98</v>
      </c>
      <c r="C104" s="1376"/>
      <c r="D104" s="3346"/>
      <c r="E104" s="3346" t="str">
        <f t="shared" ca="1" si="82"/>
        <v/>
      </c>
      <c r="F104" s="1448" t="str">
        <f t="shared" ca="1" si="83"/>
        <v/>
      </c>
      <c r="G104" s="1418" t="str">
        <f t="shared" ca="1" si="84"/>
        <v/>
      </c>
      <c r="H104" s="3589" t="str">
        <f t="shared" ca="1" si="85"/>
        <v/>
      </c>
      <c r="I104" s="3589" t="str">
        <f t="shared" ca="1" si="86"/>
        <v/>
      </c>
      <c r="J104" s="3590" t="str">
        <f t="shared" ca="1" si="78"/>
        <v/>
      </c>
      <c r="K104" s="1422" t="str">
        <f t="shared" ca="1" si="87"/>
        <v/>
      </c>
      <c r="L104" s="1431" t="str">
        <f t="shared" ca="1" si="79"/>
        <v/>
      </c>
      <c r="M104" s="3591" t="str">
        <f t="shared" ca="1" si="80"/>
        <v/>
      </c>
      <c r="N104" s="3592" t="str">
        <f t="shared" ca="1" si="88"/>
        <v/>
      </c>
      <c r="O104" s="1420" t="e">
        <f ca="1">IF(U104="",IF(Income_RentRollSource="Datappraise/Manual Entry",VLOOKUP($B104,Datappraise_RentRoll,5,FALSE),IF(OR(Income_TechniqueUsed="Direct Capitalization",Income_TechniqueUsed="Direct Cap &amp; DCF"),VLOOKUP('Rent Roll'!S104,'Income Assumptions'!$D$11:$H$19,5,FALSE),VLOOKUP('Rent Roll'!S104,'Income Assumptions'!$D$50:$O$57,6,FALSE))),U104)</f>
        <v>#N/A</v>
      </c>
      <c r="P104" s="3346"/>
      <c r="Q104" s="1377"/>
      <c r="R104" s="652"/>
      <c r="S104" s="2696" t="str">
        <f t="shared" si="89"/>
        <v/>
      </c>
      <c r="T104" s="652"/>
      <c r="U104" s="2696"/>
      <c r="V104" s="652"/>
      <c r="W104" s="2696"/>
      <c r="X104" s="652"/>
      <c r="Y104" s="1580">
        <f t="shared" ca="1" si="90"/>
        <v>0</v>
      </c>
      <c r="Z104" s="1580">
        <f t="shared" ca="1" si="91"/>
        <v>0</v>
      </c>
      <c r="AA104" s="1580">
        <f t="shared" ca="1" si="92"/>
        <v>0</v>
      </c>
      <c r="AB104" s="1580">
        <f t="shared" ca="1" si="93"/>
        <v>0</v>
      </c>
      <c r="AC104" s="1580">
        <f t="shared" ca="1" si="94"/>
        <v>0</v>
      </c>
      <c r="AD104" s="1580">
        <f t="shared" ca="1" si="95"/>
        <v>0</v>
      </c>
      <c r="AE104" s="1580">
        <f t="shared" ca="1" si="96"/>
        <v>0</v>
      </c>
      <c r="AF104" s="1581">
        <f t="shared" ca="1" si="97"/>
        <v>0</v>
      </c>
      <c r="AG104" s="194"/>
      <c r="AH104" s="1579" t="str">
        <f t="shared" ca="1" si="98"/>
        <v/>
      </c>
      <c r="AI104" s="1580" t="str">
        <f t="shared" ca="1" si="99"/>
        <v/>
      </c>
      <c r="AJ104" s="1581" t="str">
        <f t="shared" ca="1" si="100"/>
        <v/>
      </c>
      <c r="AK104" s="194"/>
      <c r="AL104" s="1582">
        <f t="shared" ca="1" si="101"/>
        <v>0</v>
      </c>
      <c r="AM104" s="209"/>
      <c r="AN104" s="1582">
        <f t="shared" ca="1" si="102"/>
        <v>0</v>
      </c>
      <c r="AO104" s="209"/>
      <c r="AP104" s="1582">
        <f t="shared" ca="1" si="103"/>
        <v>0</v>
      </c>
      <c r="AQ104" s="209"/>
      <c r="AR104" s="1582">
        <f t="shared" ca="1" si="104"/>
        <v>0</v>
      </c>
      <c r="AS104" s="194"/>
      <c r="AT104" s="1582">
        <f t="shared" ca="1" si="105"/>
        <v>0</v>
      </c>
      <c r="AU104" s="194"/>
      <c r="AV104" s="194"/>
      <c r="AW104" s="194"/>
      <c r="AX104" s="194"/>
      <c r="AY104" s="194"/>
    </row>
    <row r="105" spans="1:51" s="2699" customFormat="1" ht="18" hidden="1" customHeight="1" x14ac:dyDescent="0.25">
      <c r="A105" s="972">
        <f t="shared" ca="1" si="77"/>
        <v>0</v>
      </c>
      <c r="B105" s="707">
        <f t="shared" si="81"/>
        <v>99</v>
      </c>
      <c r="C105" s="1376"/>
      <c r="D105" s="3346"/>
      <c r="E105" s="3346" t="str">
        <f t="shared" ca="1" si="82"/>
        <v/>
      </c>
      <c r="F105" s="1448" t="str">
        <f t="shared" ca="1" si="83"/>
        <v/>
      </c>
      <c r="G105" s="1418" t="str">
        <f t="shared" ca="1" si="84"/>
        <v/>
      </c>
      <c r="H105" s="3589" t="str">
        <f t="shared" ca="1" si="85"/>
        <v/>
      </c>
      <c r="I105" s="3589" t="str">
        <f t="shared" ca="1" si="86"/>
        <v/>
      </c>
      <c r="J105" s="3590" t="str">
        <f t="shared" ca="1" si="78"/>
        <v/>
      </c>
      <c r="K105" s="1422" t="str">
        <f t="shared" ca="1" si="87"/>
        <v/>
      </c>
      <c r="L105" s="1431" t="str">
        <f t="shared" ca="1" si="79"/>
        <v/>
      </c>
      <c r="M105" s="3591" t="str">
        <f t="shared" ca="1" si="80"/>
        <v/>
      </c>
      <c r="N105" s="3592" t="str">
        <f t="shared" ca="1" si="88"/>
        <v/>
      </c>
      <c r="O105" s="1420" t="e">
        <f ca="1">IF(U105="",IF(Income_RentRollSource="Datappraise/Manual Entry",VLOOKUP($B105,Datappraise_RentRoll,5,FALSE),IF(OR(Income_TechniqueUsed="Direct Capitalization",Income_TechniqueUsed="Direct Cap &amp; DCF"),VLOOKUP('Rent Roll'!S105,'Income Assumptions'!$D$11:$H$19,5,FALSE),VLOOKUP('Rent Roll'!S105,'Income Assumptions'!$D$50:$O$57,6,FALSE))),U105)</f>
        <v>#N/A</v>
      </c>
      <c r="P105" s="3346"/>
      <c r="Q105" s="1377"/>
      <c r="R105" s="652"/>
      <c r="S105" s="2696" t="str">
        <f t="shared" si="89"/>
        <v/>
      </c>
      <c r="T105" s="652"/>
      <c r="U105" s="2696"/>
      <c r="V105" s="652"/>
      <c r="W105" s="2696"/>
      <c r="X105" s="652"/>
      <c r="Y105" s="1580">
        <f t="shared" ca="1" si="90"/>
        <v>0</v>
      </c>
      <c r="Z105" s="1580">
        <f t="shared" ca="1" si="91"/>
        <v>0</v>
      </c>
      <c r="AA105" s="1580">
        <f t="shared" ca="1" si="92"/>
        <v>0</v>
      </c>
      <c r="AB105" s="1580">
        <f t="shared" ca="1" si="93"/>
        <v>0</v>
      </c>
      <c r="AC105" s="1580">
        <f t="shared" ca="1" si="94"/>
        <v>0</v>
      </c>
      <c r="AD105" s="1580">
        <f t="shared" ca="1" si="95"/>
        <v>0</v>
      </c>
      <c r="AE105" s="1580">
        <f t="shared" ca="1" si="96"/>
        <v>0</v>
      </c>
      <c r="AF105" s="1581">
        <f t="shared" ca="1" si="97"/>
        <v>0</v>
      </c>
      <c r="AG105" s="194"/>
      <c r="AH105" s="1579" t="str">
        <f t="shared" ca="1" si="98"/>
        <v/>
      </c>
      <c r="AI105" s="1580" t="str">
        <f t="shared" ca="1" si="99"/>
        <v/>
      </c>
      <c r="AJ105" s="1581" t="str">
        <f t="shared" ca="1" si="100"/>
        <v/>
      </c>
      <c r="AK105" s="194"/>
      <c r="AL105" s="1582">
        <f t="shared" ca="1" si="101"/>
        <v>0</v>
      </c>
      <c r="AM105" s="209"/>
      <c r="AN105" s="1582">
        <f t="shared" ca="1" si="102"/>
        <v>0</v>
      </c>
      <c r="AO105" s="209"/>
      <c r="AP105" s="1582">
        <f t="shared" ca="1" si="103"/>
        <v>0</v>
      </c>
      <c r="AQ105" s="209"/>
      <c r="AR105" s="1582">
        <f t="shared" ca="1" si="104"/>
        <v>0</v>
      </c>
      <c r="AS105" s="194"/>
      <c r="AT105" s="1582">
        <f t="shared" ca="1" si="105"/>
        <v>0</v>
      </c>
      <c r="AU105" s="194"/>
      <c r="AV105" s="194"/>
      <c r="AW105" s="194"/>
      <c r="AX105" s="194"/>
      <c r="AY105" s="194"/>
    </row>
    <row r="106" spans="1:51" s="2699" customFormat="1" ht="18" hidden="1" customHeight="1" x14ac:dyDescent="0.25">
      <c r="A106" s="972">
        <f t="shared" ca="1" si="77"/>
        <v>0</v>
      </c>
      <c r="B106" s="707">
        <f t="shared" si="81"/>
        <v>100</v>
      </c>
      <c r="C106" s="1376"/>
      <c r="D106" s="3346"/>
      <c r="E106" s="3346" t="str">
        <f t="shared" ca="1" si="82"/>
        <v/>
      </c>
      <c r="F106" s="1448" t="str">
        <f t="shared" ca="1" si="83"/>
        <v/>
      </c>
      <c r="G106" s="1418" t="str">
        <f t="shared" ca="1" si="84"/>
        <v/>
      </c>
      <c r="H106" s="3589" t="str">
        <f t="shared" ca="1" si="85"/>
        <v/>
      </c>
      <c r="I106" s="3589" t="str">
        <f t="shared" ca="1" si="86"/>
        <v/>
      </c>
      <c r="J106" s="3590" t="str">
        <f t="shared" ca="1" si="78"/>
        <v/>
      </c>
      <c r="K106" s="1422" t="str">
        <f t="shared" ca="1" si="87"/>
        <v/>
      </c>
      <c r="L106" s="1431" t="str">
        <f t="shared" ca="1" si="79"/>
        <v/>
      </c>
      <c r="M106" s="3591" t="str">
        <f t="shared" ca="1" si="80"/>
        <v/>
      </c>
      <c r="N106" s="3592" t="str">
        <f t="shared" ca="1" si="88"/>
        <v/>
      </c>
      <c r="O106" s="1420" t="e">
        <f ca="1">IF(U106="",IF(Income_RentRollSource="Datappraise/Manual Entry",VLOOKUP($B106,Datappraise_RentRoll,5,FALSE),IF(OR(Income_TechniqueUsed="Direct Capitalization",Income_TechniqueUsed="Direct Cap &amp; DCF"),VLOOKUP('Rent Roll'!S106,'Income Assumptions'!$D$11:$H$19,5,FALSE),VLOOKUP('Rent Roll'!S106,'Income Assumptions'!$D$50:$O$57,6,FALSE))),U106)</f>
        <v>#N/A</v>
      </c>
      <c r="P106" s="3346"/>
      <c r="Q106" s="1377"/>
      <c r="R106" s="652"/>
      <c r="S106" s="2696" t="str">
        <f t="shared" si="89"/>
        <v/>
      </c>
      <c r="T106" s="652"/>
      <c r="U106" s="2696"/>
      <c r="V106" s="652"/>
      <c r="W106" s="2696"/>
      <c r="X106" s="652"/>
      <c r="Y106" s="1580">
        <f t="shared" ca="1" si="90"/>
        <v>0</v>
      </c>
      <c r="Z106" s="1580">
        <f t="shared" ca="1" si="91"/>
        <v>0</v>
      </c>
      <c r="AA106" s="1580">
        <f t="shared" ca="1" si="92"/>
        <v>0</v>
      </c>
      <c r="AB106" s="1580">
        <f t="shared" ca="1" si="93"/>
        <v>0</v>
      </c>
      <c r="AC106" s="1580">
        <f t="shared" ca="1" si="94"/>
        <v>0</v>
      </c>
      <c r="AD106" s="1580">
        <f t="shared" ca="1" si="95"/>
        <v>0</v>
      </c>
      <c r="AE106" s="1580">
        <f t="shared" ca="1" si="96"/>
        <v>0</v>
      </c>
      <c r="AF106" s="1581">
        <f t="shared" ca="1" si="97"/>
        <v>0</v>
      </c>
      <c r="AG106" s="194"/>
      <c r="AH106" s="1579" t="str">
        <f t="shared" ca="1" si="98"/>
        <v/>
      </c>
      <c r="AI106" s="1580" t="str">
        <f t="shared" ca="1" si="99"/>
        <v/>
      </c>
      <c r="AJ106" s="1581" t="str">
        <f t="shared" ca="1" si="100"/>
        <v/>
      </c>
      <c r="AK106" s="194"/>
      <c r="AL106" s="1582">
        <f t="shared" ca="1" si="101"/>
        <v>0</v>
      </c>
      <c r="AM106" s="209"/>
      <c r="AN106" s="1582">
        <f t="shared" ca="1" si="102"/>
        <v>0</v>
      </c>
      <c r="AO106" s="209"/>
      <c r="AP106" s="1582">
        <f t="shared" ca="1" si="103"/>
        <v>0</v>
      </c>
      <c r="AQ106" s="209"/>
      <c r="AR106" s="1582">
        <f t="shared" ca="1" si="104"/>
        <v>0</v>
      </c>
      <c r="AS106" s="194"/>
      <c r="AT106" s="1582">
        <f t="shared" ca="1" si="105"/>
        <v>0</v>
      </c>
      <c r="AU106" s="194"/>
      <c r="AV106" s="194"/>
      <c r="AW106" s="194"/>
      <c r="AX106" s="194"/>
      <c r="AY106" s="194"/>
    </row>
    <row r="107" spans="1:51" s="2699" customFormat="1" ht="18" hidden="1" customHeight="1" x14ac:dyDescent="0.25">
      <c r="A107" s="972">
        <f t="shared" ca="1" si="77"/>
        <v>0</v>
      </c>
      <c r="B107" s="707">
        <f t="shared" si="81"/>
        <v>101</v>
      </c>
      <c r="C107" s="1376"/>
      <c r="D107" s="3346"/>
      <c r="E107" s="3346" t="str">
        <f t="shared" ca="1" si="82"/>
        <v/>
      </c>
      <c r="F107" s="1448" t="str">
        <f t="shared" ca="1" si="83"/>
        <v/>
      </c>
      <c r="G107" s="1418" t="str">
        <f t="shared" ca="1" si="84"/>
        <v/>
      </c>
      <c r="H107" s="3589" t="str">
        <f t="shared" ca="1" si="85"/>
        <v/>
      </c>
      <c r="I107" s="3589" t="str">
        <f t="shared" ca="1" si="86"/>
        <v/>
      </c>
      <c r="J107" s="3590" t="str">
        <f t="shared" ca="1" si="78"/>
        <v/>
      </c>
      <c r="K107" s="1422" t="str">
        <f t="shared" ca="1" si="87"/>
        <v/>
      </c>
      <c r="L107" s="1431" t="str">
        <f t="shared" ca="1" si="79"/>
        <v/>
      </c>
      <c r="M107" s="3591" t="str">
        <f t="shared" ca="1" si="80"/>
        <v/>
      </c>
      <c r="N107" s="3592" t="str">
        <f t="shared" ca="1" si="88"/>
        <v/>
      </c>
      <c r="O107" s="1420" t="e">
        <f ca="1">IF(U107="",IF(Income_RentRollSource="Datappraise/Manual Entry",VLOOKUP($B107,Datappraise_RentRoll,5,FALSE),IF(OR(Income_TechniqueUsed="Direct Capitalization",Income_TechniqueUsed="Direct Cap &amp; DCF"),VLOOKUP('Rent Roll'!S107,'Income Assumptions'!$D$11:$H$19,5,FALSE),VLOOKUP('Rent Roll'!S107,'Income Assumptions'!$D$50:$O$57,6,FALSE))),U107)</f>
        <v>#N/A</v>
      </c>
      <c r="P107" s="3346"/>
      <c r="Q107" s="1377"/>
      <c r="R107" s="652"/>
      <c r="S107" s="2696" t="str">
        <f t="shared" si="89"/>
        <v/>
      </c>
      <c r="T107" s="652"/>
      <c r="U107" s="2696"/>
      <c r="V107" s="652"/>
      <c r="W107" s="2696"/>
      <c r="X107" s="652"/>
      <c r="Y107" s="1580">
        <f t="shared" ca="1" si="90"/>
        <v>0</v>
      </c>
      <c r="Z107" s="1580">
        <f t="shared" ca="1" si="91"/>
        <v>0</v>
      </c>
      <c r="AA107" s="1580">
        <f t="shared" ca="1" si="92"/>
        <v>0</v>
      </c>
      <c r="AB107" s="1580">
        <f t="shared" ca="1" si="93"/>
        <v>0</v>
      </c>
      <c r="AC107" s="1580">
        <f t="shared" ca="1" si="94"/>
        <v>0</v>
      </c>
      <c r="AD107" s="1580">
        <f t="shared" ca="1" si="95"/>
        <v>0</v>
      </c>
      <c r="AE107" s="1580">
        <f t="shared" ca="1" si="96"/>
        <v>0</v>
      </c>
      <c r="AF107" s="1581">
        <f t="shared" ca="1" si="97"/>
        <v>0</v>
      </c>
      <c r="AG107" s="194"/>
      <c r="AH107" s="1579" t="str">
        <f t="shared" ca="1" si="98"/>
        <v/>
      </c>
      <c r="AI107" s="1580" t="str">
        <f t="shared" ca="1" si="99"/>
        <v/>
      </c>
      <c r="AJ107" s="1581" t="str">
        <f t="shared" ca="1" si="100"/>
        <v/>
      </c>
      <c r="AK107" s="194"/>
      <c r="AL107" s="1582">
        <f t="shared" ca="1" si="101"/>
        <v>0</v>
      </c>
      <c r="AM107" s="209"/>
      <c r="AN107" s="1582">
        <f t="shared" ca="1" si="102"/>
        <v>0</v>
      </c>
      <c r="AO107" s="209"/>
      <c r="AP107" s="1582">
        <f t="shared" ca="1" si="103"/>
        <v>0</v>
      </c>
      <c r="AQ107" s="209"/>
      <c r="AR107" s="1582">
        <f t="shared" ca="1" si="104"/>
        <v>0</v>
      </c>
      <c r="AS107" s="194"/>
      <c r="AT107" s="1582">
        <f t="shared" ca="1" si="105"/>
        <v>0</v>
      </c>
      <c r="AU107" s="194"/>
      <c r="AV107" s="194"/>
      <c r="AW107" s="194"/>
      <c r="AX107" s="194"/>
      <c r="AY107" s="194"/>
    </row>
    <row r="108" spans="1:51" s="2699" customFormat="1" ht="18" hidden="1" customHeight="1" x14ac:dyDescent="0.25">
      <c r="A108" s="972">
        <f t="shared" ca="1" si="77"/>
        <v>0</v>
      </c>
      <c r="B108" s="707">
        <f t="shared" si="81"/>
        <v>102</v>
      </c>
      <c r="C108" s="1376"/>
      <c r="D108" s="3346"/>
      <c r="E108" s="3346" t="str">
        <f t="shared" ca="1" si="82"/>
        <v/>
      </c>
      <c r="F108" s="1448" t="str">
        <f t="shared" ca="1" si="83"/>
        <v/>
      </c>
      <c r="G108" s="1418" t="str">
        <f t="shared" ca="1" si="84"/>
        <v/>
      </c>
      <c r="H108" s="3589" t="str">
        <f t="shared" ca="1" si="85"/>
        <v/>
      </c>
      <c r="I108" s="3589" t="str">
        <f t="shared" ca="1" si="86"/>
        <v/>
      </c>
      <c r="J108" s="3590" t="str">
        <f t="shared" ca="1" si="78"/>
        <v/>
      </c>
      <c r="K108" s="1422" t="str">
        <f t="shared" ca="1" si="87"/>
        <v/>
      </c>
      <c r="L108" s="1431" t="str">
        <f t="shared" ca="1" si="79"/>
        <v/>
      </c>
      <c r="M108" s="3591" t="str">
        <f t="shared" ca="1" si="80"/>
        <v/>
      </c>
      <c r="N108" s="3592" t="str">
        <f t="shared" ca="1" si="88"/>
        <v/>
      </c>
      <c r="O108" s="1420" t="e">
        <f ca="1">IF(U108="",IF(Income_RentRollSource="Datappraise/Manual Entry",VLOOKUP($B108,Datappraise_RentRoll,5,FALSE),IF(OR(Income_TechniqueUsed="Direct Capitalization",Income_TechniqueUsed="Direct Cap &amp; DCF"),VLOOKUP('Rent Roll'!S108,'Income Assumptions'!$D$11:$H$19,5,FALSE),VLOOKUP('Rent Roll'!S108,'Income Assumptions'!$D$50:$O$57,6,FALSE))),U108)</f>
        <v>#N/A</v>
      </c>
      <c r="P108" s="3346"/>
      <c r="Q108" s="1377"/>
      <c r="R108" s="652"/>
      <c r="S108" s="2696" t="str">
        <f t="shared" si="89"/>
        <v/>
      </c>
      <c r="T108" s="652"/>
      <c r="U108" s="2696"/>
      <c r="V108" s="652"/>
      <c r="W108" s="2696"/>
      <c r="X108" s="652"/>
      <c r="Y108" s="1580">
        <f t="shared" ca="1" si="90"/>
        <v>0</v>
      </c>
      <c r="Z108" s="1580">
        <f t="shared" ca="1" si="91"/>
        <v>0</v>
      </c>
      <c r="AA108" s="1580">
        <f t="shared" ca="1" si="92"/>
        <v>0</v>
      </c>
      <c r="AB108" s="1580">
        <f t="shared" ca="1" si="93"/>
        <v>0</v>
      </c>
      <c r="AC108" s="1580">
        <f t="shared" ca="1" si="94"/>
        <v>0</v>
      </c>
      <c r="AD108" s="1580">
        <f t="shared" ca="1" si="95"/>
        <v>0</v>
      </c>
      <c r="AE108" s="1580">
        <f t="shared" ca="1" si="96"/>
        <v>0</v>
      </c>
      <c r="AF108" s="1581">
        <f t="shared" ca="1" si="97"/>
        <v>0</v>
      </c>
      <c r="AG108" s="194"/>
      <c r="AH108" s="1579" t="str">
        <f t="shared" ca="1" si="98"/>
        <v/>
      </c>
      <c r="AI108" s="1580" t="str">
        <f t="shared" ca="1" si="99"/>
        <v/>
      </c>
      <c r="AJ108" s="1581" t="str">
        <f t="shared" ca="1" si="100"/>
        <v/>
      </c>
      <c r="AK108" s="194"/>
      <c r="AL108" s="1582">
        <f t="shared" ca="1" si="101"/>
        <v>0</v>
      </c>
      <c r="AM108" s="209"/>
      <c r="AN108" s="1582">
        <f t="shared" ca="1" si="102"/>
        <v>0</v>
      </c>
      <c r="AO108" s="209"/>
      <c r="AP108" s="1582">
        <f t="shared" ca="1" si="103"/>
        <v>0</v>
      </c>
      <c r="AQ108" s="209"/>
      <c r="AR108" s="1582">
        <f t="shared" ca="1" si="104"/>
        <v>0</v>
      </c>
      <c r="AS108" s="194"/>
      <c r="AT108" s="1582">
        <f t="shared" ca="1" si="105"/>
        <v>0</v>
      </c>
      <c r="AU108" s="194"/>
      <c r="AV108" s="194"/>
      <c r="AW108" s="194"/>
      <c r="AX108" s="194"/>
      <c r="AY108" s="194"/>
    </row>
    <row r="109" spans="1:51" s="2699" customFormat="1" ht="18" hidden="1" customHeight="1" x14ac:dyDescent="0.25">
      <c r="A109" s="972">
        <f t="shared" ca="1" si="77"/>
        <v>0</v>
      </c>
      <c r="B109" s="707">
        <f t="shared" si="81"/>
        <v>103</v>
      </c>
      <c r="C109" s="1376"/>
      <c r="D109" s="3346"/>
      <c r="E109" s="3346" t="str">
        <f t="shared" ca="1" si="82"/>
        <v/>
      </c>
      <c r="F109" s="1448" t="str">
        <f t="shared" ca="1" si="83"/>
        <v/>
      </c>
      <c r="G109" s="1418" t="str">
        <f t="shared" ca="1" si="84"/>
        <v/>
      </c>
      <c r="H109" s="3589" t="str">
        <f t="shared" ca="1" si="85"/>
        <v/>
      </c>
      <c r="I109" s="3589" t="str">
        <f t="shared" ca="1" si="86"/>
        <v/>
      </c>
      <c r="J109" s="3590" t="str">
        <f t="shared" ca="1" si="78"/>
        <v/>
      </c>
      <c r="K109" s="1422" t="str">
        <f t="shared" ca="1" si="87"/>
        <v/>
      </c>
      <c r="L109" s="1431" t="str">
        <f t="shared" ca="1" si="79"/>
        <v/>
      </c>
      <c r="M109" s="3591" t="str">
        <f t="shared" ca="1" si="80"/>
        <v/>
      </c>
      <c r="N109" s="3592" t="str">
        <f t="shared" ca="1" si="88"/>
        <v/>
      </c>
      <c r="O109" s="1420" t="e">
        <f ca="1">IF(U109="",IF(Income_RentRollSource="Datappraise/Manual Entry",VLOOKUP($B109,Datappraise_RentRoll,5,FALSE),IF(OR(Income_TechniqueUsed="Direct Capitalization",Income_TechniqueUsed="Direct Cap &amp; DCF"),VLOOKUP('Rent Roll'!S109,'Income Assumptions'!$D$11:$H$19,5,FALSE),VLOOKUP('Rent Roll'!S109,'Income Assumptions'!$D$50:$O$57,6,FALSE))),U109)</f>
        <v>#N/A</v>
      </c>
      <c r="P109" s="3346"/>
      <c r="Q109" s="1377"/>
      <c r="R109" s="652"/>
      <c r="S109" s="2696" t="str">
        <f t="shared" si="89"/>
        <v/>
      </c>
      <c r="T109" s="652"/>
      <c r="U109" s="2696"/>
      <c r="V109" s="652"/>
      <c r="W109" s="2696"/>
      <c r="X109" s="652"/>
      <c r="Y109" s="1580">
        <f t="shared" ca="1" si="90"/>
        <v>0</v>
      </c>
      <c r="Z109" s="1580">
        <f t="shared" ca="1" si="91"/>
        <v>0</v>
      </c>
      <c r="AA109" s="1580">
        <f t="shared" ca="1" si="92"/>
        <v>0</v>
      </c>
      <c r="AB109" s="1580">
        <f t="shared" ca="1" si="93"/>
        <v>0</v>
      </c>
      <c r="AC109" s="1580">
        <f t="shared" ca="1" si="94"/>
        <v>0</v>
      </c>
      <c r="AD109" s="1580">
        <f t="shared" ca="1" si="95"/>
        <v>0</v>
      </c>
      <c r="AE109" s="1580">
        <f t="shared" ca="1" si="96"/>
        <v>0</v>
      </c>
      <c r="AF109" s="1581">
        <f t="shared" ca="1" si="97"/>
        <v>0</v>
      </c>
      <c r="AG109" s="194"/>
      <c r="AH109" s="1579" t="str">
        <f t="shared" ca="1" si="98"/>
        <v/>
      </c>
      <c r="AI109" s="1580" t="str">
        <f t="shared" ca="1" si="99"/>
        <v/>
      </c>
      <c r="AJ109" s="1581" t="str">
        <f t="shared" ca="1" si="100"/>
        <v/>
      </c>
      <c r="AK109" s="194"/>
      <c r="AL109" s="1582">
        <f t="shared" ca="1" si="101"/>
        <v>0</v>
      </c>
      <c r="AM109" s="209"/>
      <c r="AN109" s="1582">
        <f t="shared" ca="1" si="102"/>
        <v>0</v>
      </c>
      <c r="AO109" s="209"/>
      <c r="AP109" s="1582">
        <f t="shared" ca="1" si="103"/>
        <v>0</v>
      </c>
      <c r="AQ109" s="209"/>
      <c r="AR109" s="1582">
        <f t="shared" ca="1" si="104"/>
        <v>0</v>
      </c>
      <c r="AS109" s="194"/>
      <c r="AT109" s="1582">
        <f t="shared" ca="1" si="105"/>
        <v>0</v>
      </c>
      <c r="AU109" s="194"/>
      <c r="AV109" s="194"/>
      <c r="AW109" s="194"/>
      <c r="AX109" s="194"/>
      <c r="AY109" s="194"/>
    </row>
    <row r="110" spans="1:51" s="2699" customFormat="1" ht="18" hidden="1" customHeight="1" x14ac:dyDescent="0.25">
      <c r="A110" s="972">
        <f t="shared" ca="1" si="77"/>
        <v>0</v>
      </c>
      <c r="B110" s="707">
        <f t="shared" si="81"/>
        <v>104</v>
      </c>
      <c r="C110" s="1376"/>
      <c r="D110" s="3346"/>
      <c r="E110" s="3346" t="str">
        <f t="shared" ca="1" si="82"/>
        <v/>
      </c>
      <c r="F110" s="1448" t="str">
        <f t="shared" ca="1" si="83"/>
        <v/>
      </c>
      <c r="G110" s="1418" t="str">
        <f t="shared" ca="1" si="84"/>
        <v/>
      </c>
      <c r="H110" s="3589" t="str">
        <f t="shared" ca="1" si="85"/>
        <v/>
      </c>
      <c r="I110" s="3589" t="str">
        <f t="shared" ca="1" si="86"/>
        <v/>
      </c>
      <c r="J110" s="3590" t="str">
        <f t="shared" ca="1" si="78"/>
        <v/>
      </c>
      <c r="K110" s="1422" t="str">
        <f t="shared" ca="1" si="87"/>
        <v/>
      </c>
      <c r="L110" s="1431" t="str">
        <f t="shared" ca="1" si="79"/>
        <v/>
      </c>
      <c r="M110" s="3591" t="str">
        <f t="shared" ca="1" si="80"/>
        <v/>
      </c>
      <c r="N110" s="3592" t="str">
        <f t="shared" ca="1" si="88"/>
        <v/>
      </c>
      <c r="O110" s="1420" t="e">
        <f ca="1">IF(U110="",IF(Income_RentRollSource="Datappraise/Manual Entry",VLOOKUP($B110,Datappraise_RentRoll,5,FALSE),IF(OR(Income_TechniqueUsed="Direct Capitalization",Income_TechniqueUsed="Direct Cap &amp; DCF"),VLOOKUP('Rent Roll'!S110,'Income Assumptions'!$D$11:$H$19,5,FALSE),VLOOKUP('Rent Roll'!S110,'Income Assumptions'!$D$50:$O$57,6,FALSE))),U110)</f>
        <v>#N/A</v>
      </c>
      <c r="P110" s="3346"/>
      <c r="Q110" s="1377"/>
      <c r="R110" s="652"/>
      <c r="S110" s="2696" t="str">
        <f t="shared" si="89"/>
        <v/>
      </c>
      <c r="T110" s="652"/>
      <c r="U110" s="2696"/>
      <c r="V110" s="652"/>
      <c r="W110" s="2696"/>
      <c r="X110" s="652"/>
      <c r="Y110" s="1580">
        <f t="shared" ca="1" si="90"/>
        <v>0</v>
      </c>
      <c r="Z110" s="1580">
        <f t="shared" ca="1" si="91"/>
        <v>0</v>
      </c>
      <c r="AA110" s="1580">
        <f t="shared" ca="1" si="92"/>
        <v>0</v>
      </c>
      <c r="AB110" s="1580">
        <f t="shared" ca="1" si="93"/>
        <v>0</v>
      </c>
      <c r="AC110" s="1580">
        <f t="shared" ca="1" si="94"/>
        <v>0</v>
      </c>
      <c r="AD110" s="1580">
        <f t="shared" ca="1" si="95"/>
        <v>0</v>
      </c>
      <c r="AE110" s="1580">
        <f t="shared" ca="1" si="96"/>
        <v>0</v>
      </c>
      <c r="AF110" s="1581">
        <f t="shared" ca="1" si="97"/>
        <v>0</v>
      </c>
      <c r="AG110" s="194"/>
      <c r="AH110" s="1579" t="str">
        <f t="shared" ca="1" si="98"/>
        <v/>
      </c>
      <c r="AI110" s="1580" t="str">
        <f t="shared" ca="1" si="99"/>
        <v/>
      </c>
      <c r="AJ110" s="1581" t="str">
        <f t="shared" ca="1" si="100"/>
        <v/>
      </c>
      <c r="AK110" s="194"/>
      <c r="AL110" s="1582">
        <f t="shared" ca="1" si="101"/>
        <v>0</v>
      </c>
      <c r="AM110" s="209"/>
      <c r="AN110" s="1582">
        <f t="shared" ca="1" si="102"/>
        <v>0</v>
      </c>
      <c r="AO110" s="209"/>
      <c r="AP110" s="1582">
        <f t="shared" ca="1" si="103"/>
        <v>0</v>
      </c>
      <c r="AQ110" s="209"/>
      <c r="AR110" s="1582">
        <f t="shared" ca="1" si="104"/>
        <v>0</v>
      </c>
      <c r="AS110" s="194"/>
      <c r="AT110" s="1582">
        <f t="shared" ca="1" si="105"/>
        <v>0</v>
      </c>
      <c r="AU110" s="194"/>
      <c r="AV110" s="194"/>
      <c r="AW110" s="194"/>
      <c r="AX110" s="194"/>
      <c r="AY110" s="194"/>
    </row>
    <row r="111" spans="1:51" s="2699" customFormat="1" ht="18" hidden="1" customHeight="1" x14ac:dyDescent="0.25">
      <c r="A111" s="972">
        <f t="shared" ca="1" si="77"/>
        <v>0</v>
      </c>
      <c r="B111" s="707">
        <f t="shared" si="81"/>
        <v>105</v>
      </c>
      <c r="C111" s="1376"/>
      <c r="D111" s="3346"/>
      <c r="E111" s="3346" t="str">
        <f t="shared" ca="1" si="82"/>
        <v/>
      </c>
      <c r="F111" s="1448" t="str">
        <f t="shared" ca="1" si="83"/>
        <v/>
      </c>
      <c r="G111" s="1418" t="str">
        <f t="shared" ca="1" si="84"/>
        <v/>
      </c>
      <c r="H111" s="3589" t="str">
        <f t="shared" ca="1" si="85"/>
        <v/>
      </c>
      <c r="I111" s="3589" t="str">
        <f t="shared" ca="1" si="86"/>
        <v/>
      </c>
      <c r="J111" s="3590" t="str">
        <f t="shared" ca="1" si="78"/>
        <v/>
      </c>
      <c r="K111" s="1422" t="str">
        <f t="shared" ca="1" si="87"/>
        <v/>
      </c>
      <c r="L111" s="1431" t="str">
        <f t="shared" ca="1" si="79"/>
        <v/>
      </c>
      <c r="M111" s="3591" t="str">
        <f t="shared" ca="1" si="80"/>
        <v/>
      </c>
      <c r="N111" s="3592" t="str">
        <f t="shared" ca="1" si="88"/>
        <v/>
      </c>
      <c r="O111" s="1420" t="e">
        <f ca="1">IF(U111="",IF(Income_RentRollSource="Datappraise/Manual Entry",VLOOKUP($B111,Datappraise_RentRoll,5,FALSE),IF(OR(Income_TechniqueUsed="Direct Capitalization",Income_TechniqueUsed="Direct Cap &amp; DCF"),VLOOKUP('Rent Roll'!S111,'Income Assumptions'!$D$11:$H$19,5,FALSE),VLOOKUP('Rent Roll'!S111,'Income Assumptions'!$D$50:$O$57,6,FALSE))),U111)</f>
        <v>#N/A</v>
      </c>
      <c r="P111" s="3346"/>
      <c r="Q111" s="1377"/>
      <c r="R111" s="652"/>
      <c r="S111" s="2696" t="str">
        <f t="shared" si="89"/>
        <v/>
      </c>
      <c r="T111" s="652"/>
      <c r="U111" s="2696"/>
      <c r="V111" s="652"/>
      <c r="W111" s="2696"/>
      <c r="X111" s="652"/>
      <c r="Y111" s="1580">
        <f t="shared" ca="1" si="90"/>
        <v>0</v>
      </c>
      <c r="Z111" s="1580">
        <f t="shared" ca="1" si="91"/>
        <v>0</v>
      </c>
      <c r="AA111" s="1580">
        <f t="shared" ca="1" si="92"/>
        <v>0</v>
      </c>
      <c r="AB111" s="1580">
        <f t="shared" ca="1" si="93"/>
        <v>0</v>
      </c>
      <c r="AC111" s="1580">
        <f t="shared" ca="1" si="94"/>
        <v>0</v>
      </c>
      <c r="AD111" s="1580">
        <f t="shared" ca="1" si="95"/>
        <v>0</v>
      </c>
      <c r="AE111" s="1580">
        <f t="shared" ca="1" si="96"/>
        <v>0</v>
      </c>
      <c r="AF111" s="1581">
        <f t="shared" ca="1" si="97"/>
        <v>0</v>
      </c>
      <c r="AG111" s="194"/>
      <c r="AH111" s="1579" t="str">
        <f t="shared" ca="1" si="98"/>
        <v/>
      </c>
      <c r="AI111" s="1580" t="str">
        <f t="shared" ca="1" si="99"/>
        <v/>
      </c>
      <c r="AJ111" s="1581" t="str">
        <f t="shared" ca="1" si="100"/>
        <v/>
      </c>
      <c r="AK111" s="194"/>
      <c r="AL111" s="1582">
        <f t="shared" ca="1" si="101"/>
        <v>0</v>
      </c>
      <c r="AM111" s="209"/>
      <c r="AN111" s="1582">
        <f t="shared" ca="1" si="102"/>
        <v>0</v>
      </c>
      <c r="AO111" s="209"/>
      <c r="AP111" s="1582">
        <f t="shared" ca="1" si="103"/>
        <v>0</v>
      </c>
      <c r="AQ111" s="209"/>
      <c r="AR111" s="1582">
        <f t="shared" ca="1" si="104"/>
        <v>0</v>
      </c>
      <c r="AS111" s="194"/>
      <c r="AT111" s="1582">
        <f t="shared" ca="1" si="105"/>
        <v>0</v>
      </c>
      <c r="AU111" s="194"/>
      <c r="AV111" s="194"/>
      <c r="AW111" s="194"/>
      <c r="AX111" s="194"/>
      <c r="AY111" s="194"/>
    </row>
    <row r="112" spans="1:51" s="2699" customFormat="1" ht="18" hidden="1" customHeight="1" x14ac:dyDescent="0.25">
      <c r="A112" s="972">
        <f t="shared" ca="1" si="77"/>
        <v>0</v>
      </c>
      <c r="B112" s="707">
        <f t="shared" si="81"/>
        <v>106</v>
      </c>
      <c r="C112" s="1376"/>
      <c r="D112" s="3346"/>
      <c r="E112" s="3346" t="str">
        <f t="shared" ca="1" si="82"/>
        <v/>
      </c>
      <c r="F112" s="1448" t="str">
        <f t="shared" ca="1" si="83"/>
        <v/>
      </c>
      <c r="G112" s="1418" t="str">
        <f t="shared" ca="1" si="84"/>
        <v/>
      </c>
      <c r="H112" s="3589" t="str">
        <f t="shared" ca="1" si="85"/>
        <v/>
      </c>
      <c r="I112" s="3589" t="str">
        <f t="shared" ca="1" si="86"/>
        <v/>
      </c>
      <c r="J112" s="3590" t="str">
        <f t="shared" ca="1" si="78"/>
        <v/>
      </c>
      <c r="K112" s="1422" t="str">
        <f t="shared" ca="1" si="87"/>
        <v/>
      </c>
      <c r="L112" s="1431" t="str">
        <f t="shared" ca="1" si="79"/>
        <v/>
      </c>
      <c r="M112" s="3591" t="str">
        <f t="shared" ca="1" si="80"/>
        <v/>
      </c>
      <c r="N112" s="3592" t="str">
        <f t="shared" ca="1" si="88"/>
        <v/>
      </c>
      <c r="O112" s="1420" t="e">
        <f ca="1">IF(U112="",IF(Income_RentRollSource="Datappraise/Manual Entry",VLOOKUP($B112,Datappraise_RentRoll,5,FALSE),IF(OR(Income_TechniqueUsed="Direct Capitalization",Income_TechniqueUsed="Direct Cap &amp; DCF"),VLOOKUP('Rent Roll'!S112,'Income Assumptions'!$D$11:$H$19,5,FALSE),VLOOKUP('Rent Roll'!S112,'Income Assumptions'!$D$50:$O$57,6,FALSE))),U112)</f>
        <v>#N/A</v>
      </c>
      <c r="P112" s="3346"/>
      <c r="Q112" s="1377"/>
      <c r="R112" s="652"/>
      <c r="S112" s="2696" t="str">
        <f t="shared" si="89"/>
        <v/>
      </c>
      <c r="T112" s="652"/>
      <c r="U112" s="2696"/>
      <c r="V112" s="652"/>
      <c r="W112" s="2696"/>
      <c r="X112" s="652"/>
      <c r="Y112" s="1580">
        <f t="shared" ca="1" si="90"/>
        <v>0</v>
      </c>
      <c r="Z112" s="1580">
        <f t="shared" ca="1" si="91"/>
        <v>0</v>
      </c>
      <c r="AA112" s="1580">
        <f t="shared" ca="1" si="92"/>
        <v>0</v>
      </c>
      <c r="AB112" s="1580">
        <f t="shared" ca="1" si="93"/>
        <v>0</v>
      </c>
      <c r="AC112" s="1580">
        <f t="shared" ca="1" si="94"/>
        <v>0</v>
      </c>
      <c r="AD112" s="1580">
        <f t="shared" ca="1" si="95"/>
        <v>0</v>
      </c>
      <c r="AE112" s="1580">
        <f t="shared" ca="1" si="96"/>
        <v>0</v>
      </c>
      <c r="AF112" s="1581">
        <f t="shared" ca="1" si="97"/>
        <v>0</v>
      </c>
      <c r="AG112" s="194"/>
      <c r="AH112" s="1579" t="str">
        <f t="shared" ca="1" si="98"/>
        <v/>
      </c>
      <c r="AI112" s="1580" t="str">
        <f t="shared" ca="1" si="99"/>
        <v/>
      </c>
      <c r="AJ112" s="1581" t="str">
        <f t="shared" ca="1" si="100"/>
        <v/>
      </c>
      <c r="AK112" s="194"/>
      <c r="AL112" s="1582">
        <f t="shared" ca="1" si="101"/>
        <v>0</v>
      </c>
      <c r="AM112" s="209"/>
      <c r="AN112" s="1582">
        <f t="shared" ca="1" si="102"/>
        <v>0</v>
      </c>
      <c r="AO112" s="209"/>
      <c r="AP112" s="1582">
        <f t="shared" ca="1" si="103"/>
        <v>0</v>
      </c>
      <c r="AQ112" s="209"/>
      <c r="AR112" s="1582">
        <f t="shared" ca="1" si="104"/>
        <v>0</v>
      </c>
      <c r="AS112" s="194"/>
      <c r="AT112" s="1582">
        <f t="shared" ca="1" si="105"/>
        <v>0</v>
      </c>
      <c r="AU112" s="194"/>
      <c r="AV112" s="194"/>
      <c r="AW112" s="194"/>
      <c r="AX112" s="194"/>
      <c r="AY112" s="194"/>
    </row>
    <row r="113" spans="1:51" s="2699" customFormat="1" ht="18" hidden="1" customHeight="1" x14ac:dyDescent="0.25">
      <c r="A113" s="972">
        <f t="shared" ca="1" si="77"/>
        <v>0</v>
      </c>
      <c r="B113" s="707">
        <f t="shared" si="81"/>
        <v>107</v>
      </c>
      <c r="C113" s="1376"/>
      <c r="D113" s="3346"/>
      <c r="E113" s="3346" t="str">
        <f t="shared" ca="1" si="82"/>
        <v/>
      </c>
      <c r="F113" s="1448" t="str">
        <f t="shared" ca="1" si="83"/>
        <v/>
      </c>
      <c r="G113" s="1418" t="str">
        <f t="shared" ca="1" si="84"/>
        <v/>
      </c>
      <c r="H113" s="3589" t="str">
        <f t="shared" ca="1" si="85"/>
        <v/>
      </c>
      <c r="I113" s="3589" t="str">
        <f t="shared" ca="1" si="86"/>
        <v/>
      </c>
      <c r="J113" s="3590" t="str">
        <f t="shared" ca="1" si="78"/>
        <v/>
      </c>
      <c r="K113" s="1422" t="str">
        <f t="shared" ca="1" si="87"/>
        <v/>
      </c>
      <c r="L113" s="1431" t="str">
        <f t="shared" ca="1" si="79"/>
        <v/>
      </c>
      <c r="M113" s="3591" t="str">
        <f t="shared" ca="1" si="80"/>
        <v/>
      </c>
      <c r="N113" s="3592" t="str">
        <f t="shared" ca="1" si="88"/>
        <v/>
      </c>
      <c r="O113" s="1420" t="e">
        <f ca="1">IF(U113="",IF(Income_RentRollSource="Datappraise/Manual Entry",VLOOKUP($B113,Datappraise_RentRoll,5,FALSE),IF(OR(Income_TechniqueUsed="Direct Capitalization",Income_TechniqueUsed="Direct Cap &amp; DCF"),VLOOKUP('Rent Roll'!S113,'Income Assumptions'!$D$11:$H$19,5,FALSE),VLOOKUP('Rent Roll'!S113,'Income Assumptions'!$D$50:$O$57,6,FALSE))),U113)</f>
        <v>#N/A</v>
      </c>
      <c r="P113" s="3346"/>
      <c r="Q113" s="1377"/>
      <c r="R113" s="652"/>
      <c r="S113" s="2696" t="str">
        <f t="shared" si="89"/>
        <v/>
      </c>
      <c r="T113" s="652"/>
      <c r="U113" s="2696"/>
      <c r="V113" s="652"/>
      <c r="W113" s="2696"/>
      <c r="X113" s="652"/>
      <c r="Y113" s="1580">
        <f t="shared" ca="1" si="90"/>
        <v>0</v>
      </c>
      <c r="Z113" s="1580">
        <f t="shared" ca="1" si="91"/>
        <v>0</v>
      </c>
      <c r="AA113" s="1580">
        <f t="shared" ca="1" si="92"/>
        <v>0</v>
      </c>
      <c r="AB113" s="1580">
        <f t="shared" ca="1" si="93"/>
        <v>0</v>
      </c>
      <c r="AC113" s="1580">
        <f t="shared" ca="1" si="94"/>
        <v>0</v>
      </c>
      <c r="AD113" s="1580">
        <f t="shared" ca="1" si="95"/>
        <v>0</v>
      </c>
      <c r="AE113" s="1580">
        <f t="shared" ca="1" si="96"/>
        <v>0</v>
      </c>
      <c r="AF113" s="1581">
        <f t="shared" ca="1" si="97"/>
        <v>0</v>
      </c>
      <c r="AG113" s="194"/>
      <c r="AH113" s="1579" t="str">
        <f t="shared" ca="1" si="98"/>
        <v/>
      </c>
      <c r="AI113" s="1580" t="str">
        <f t="shared" ca="1" si="99"/>
        <v/>
      </c>
      <c r="AJ113" s="1581" t="str">
        <f t="shared" ca="1" si="100"/>
        <v/>
      </c>
      <c r="AK113" s="194"/>
      <c r="AL113" s="1582">
        <f t="shared" ca="1" si="101"/>
        <v>0</v>
      </c>
      <c r="AM113" s="209"/>
      <c r="AN113" s="1582">
        <f t="shared" ca="1" si="102"/>
        <v>0</v>
      </c>
      <c r="AO113" s="209"/>
      <c r="AP113" s="1582">
        <f t="shared" ca="1" si="103"/>
        <v>0</v>
      </c>
      <c r="AQ113" s="209"/>
      <c r="AR113" s="1582">
        <f t="shared" ca="1" si="104"/>
        <v>0</v>
      </c>
      <c r="AS113" s="194"/>
      <c r="AT113" s="1582">
        <f t="shared" ca="1" si="105"/>
        <v>0</v>
      </c>
      <c r="AU113" s="194"/>
      <c r="AV113" s="194"/>
      <c r="AW113" s="194"/>
      <c r="AX113" s="194"/>
      <c r="AY113" s="194"/>
    </row>
    <row r="114" spans="1:51" s="2699" customFormat="1" ht="18" hidden="1" customHeight="1" x14ac:dyDescent="0.25">
      <c r="A114" s="972">
        <f t="shared" ca="1" si="77"/>
        <v>0</v>
      </c>
      <c r="B114" s="707">
        <f t="shared" si="81"/>
        <v>108</v>
      </c>
      <c r="C114" s="1376"/>
      <c r="D114" s="3346"/>
      <c r="E114" s="3346" t="str">
        <f t="shared" ca="1" si="82"/>
        <v/>
      </c>
      <c r="F114" s="1448" t="str">
        <f t="shared" ca="1" si="83"/>
        <v/>
      </c>
      <c r="G114" s="1418" t="str">
        <f t="shared" ca="1" si="84"/>
        <v/>
      </c>
      <c r="H114" s="3589" t="str">
        <f t="shared" ca="1" si="85"/>
        <v/>
      </c>
      <c r="I114" s="3589" t="str">
        <f t="shared" ca="1" si="86"/>
        <v/>
      </c>
      <c r="J114" s="3590" t="str">
        <f t="shared" ca="1" si="78"/>
        <v/>
      </c>
      <c r="K114" s="1422" t="str">
        <f t="shared" ca="1" si="87"/>
        <v/>
      </c>
      <c r="L114" s="1431" t="str">
        <f t="shared" ca="1" si="79"/>
        <v/>
      </c>
      <c r="M114" s="3591" t="str">
        <f t="shared" ca="1" si="80"/>
        <v/>
      </c>
      <c r="N114" s="3592" t="str">
        <f t="shared" ca="1" si="88"/>
        <v/>
      </c>
      <c r="O114" s="1420" t="e">
        <f ca="1">IF(U114="",IF(Income_RentRollSource="Datappraise/Manual Entry",VLOOKUP($B114,Datappraise_RentRoll,5,FALSE),IF(OR(Income_TechniqueUsed="Direct Capitalization",Income_TechniqueUsed="Direct Cap &amp; DCF"),VLOOKUP('Rent Roll'!S114,'Income Assumptions'!$D$11:$H$19,5,FALSE),VLOOKUP('Rent Roll'!S114,'Income Assumptions'!$D$50:$O$57,6,FALSE))),U114)</f>
        <v>#N/A</v>
      </c>
      <c r="P114" s="3346"/>
      <c r="Q114" s="1377"/>
      <c r="R114" s="652"/>
      <c r="S114" s="2696" t="str">
        <f t="shared" si="89"/>
        <v/>
      </c>
      <c r="T114" s="652"/>
      <c r="U114" s="2696"/>
      <c r="V114" s="652"/>
      <c r="W114" s="2696"/>
      <c r="X114" s="652"/>
      <c r="Y114" s="1580">
        <f t="shared" ca="1" si="90"/>
        <v>0</v>
      </c>
      <c r="Z114" s="1580">
        <f t="shared" ca="1" si="91"/>
        <v>0</v>
      </c>
      <c r="AA114" s="1580">
        <f t="shared" ca="1" si="92"/>
        <v>0</v>
      </c>
      <c r="AB114" s="1580">
        <f t="shared" ca="1" si="93"/>
        <v>0</v>
      </c>
      <c r="AC114" s="1580">
        <f t="shared" ca="1" si="94"/>
        <v>0</v>
      </c>
      <c r="AD114" s="1580">
        <f t="shared" ca="1" si="95"/>
        <v>0</v>
      </c>
      <c r="AE114" s="1580">
        <f t="shared" ca="1" si="96"/>
        <v>0</v>
      </c>
      <c r="AF114" s="1581">
        <f t="shared" ca="1" si="97"/>
        <v>0</v>
      </c>
      <c r="AG114" s="194"/>
      <c r="AH114" s="1579" t="str">
        <f t="shared" ca="1" si="98"/>
        <v/>
      </c>
      <c r="AI114" s="1580" t="str">
        <f t="shared" ca="1" si="99"/>
        <v/>
      </c>
      <c r="AJ114" s="1581" t="str">
        <f t="shared" ca="1" si="100"/>
        <v/>
      </c>
      <c r="AK114" s="194"/>
      <c r="AL114" s="1582">
        <f t="shared" ca="1" si="101"/>
        <v>0</v>
      </c>
      <c r="AM114" s="209"/>
      <c r="AN114" s="1582">
        <f t="shared" ca="1" si="102"/>
        <v>0</v>
      </c>
      <c r="AO114" s="209"/>
      <c r="AP114" s="1582">
        <f t="shared" ca="1" si="103"/>
        <v>0</v>
      </c>
      <c r="AQ114" s="209"/>
      <c r="AR114" s="1582">
        <f t="shared" ca="1" si="104"/>
        <v>0</v>
      </c>
      <c r="AS114" s="194"/>
      <c r="AT114" s="1582">
        <f t="shared" ca="1" si="105"/>
        <v>0</v>
      </c>
      <c r="AU114" s="194"/>
      <c r="AV114" s="194"/>
      <c r="AW114" s="194"/>
      <c r="AX114" s="194"/>
      <c r="AY114" s="194"/>
    </row>
    <row r="115" spans="1:51" s="2699" customFormat="1" ht="18" hidden="1" customHeight="1" x14ac:dyDescent="0.25">
      <c r="A115" s="972">
        <f t="shared" ca="1" si="77"/>
        <v>0</v>
      </c>
      <c r="B115" s="707">
        <f t="shared" si="81"/>
        <v>109</v>
      </c>
      <c r="C115" s="1376"/>
      <c r="D115" s="3346"/>
      <c r="E115" s="3346" t="str">
        <f t="shared" ca="1" si="82"/>
        <v/>
      </c>
      <c r="F115" s="1448" t="str">
        <f t="shared" ca="1" si="83"/>
        <v/>
      </c>
      <c r="G115" s="1418" t="str">
        <f t="shared" ca="1" si="84"/>
        <v/>
      </c>
      <c r="H115" s="3589" t="str">
        <f t="shared" ca="1" si="85"/>
        <v/>
      </c>
      <c r="I115" s="3589" t="str">
        <f t="shared" ca="1" si="86"/>
        <v/>
      </c>
      <c r="J115" s="3590" t="str">
        <f t="shared" ca="1" si="78"/>
        <v/>
      </c>
      <c r="K115" s="1422" t="str">
        <f t="shared" ca="1" si="87"/>
        <v/>
      </c>
      <c r="L115" s="1431" t="str">
        <f t="shared" ca="1" si="79"/>
        <v/>
      </c>
      <c r="M115" s="3591" t="str">
        <f t="shared" ca="1" si="80"/>
        <v/>
      </c>
      <c r="N115" s="3592" t="str">
        <f t="shared" ca="1" si="88"/>
        <v/>
      </c>
      <c r="O115" s="1420" t="e">
        <f ca="1">IF(U115="",IF(Income_RentRollSource="Datappraise/Manual Entry",VLOOKUP($B115,Datappraise_RentRoll,5,FALSE),IF(OR(Income_TechniqueUsed="Direct Capitalization",Income_TechniqueUsed="Direct Cap &amp; DCF"),VLOOKUP('Rent Roll'!S115,'Income Assumptions'!$D$11:$H$19,5,FALSE),VLOOKUP('Rent Roll'!S115,'Income Assumptions'!$D$50:$O$57,6,FALSE))),U115)</f>
        <v>#N/A</v>
      </c>
      <c r="P115" s="3346"/>
      <c r="Q115" s="1377"/>
      <c r="R115" s="652"/>
      <c r="S115" s="2696" t="str">
        <f t="shared" si="89"/>
        <v/>
      </c>
      <c r="T115" s="652"/>
      <c r="U115" s="2696"/>
      <c r="V115" s="652"/>
      <c r="W115" s="2696"/>
      <c r="X115" s="652"/>
      <c r="Y115" s="1580">
        <f t="shared" ca="1" si="90"/>
        <v>0</v>
      </c>
      <c r="Z115" s="1580">
        <f t="shared" ca="1" si="91"/>
        <v>0</v>
      </c>
      <c r="AA115" s="1580">
        <f t="shared" ca="1" si="92"/>
        <v>0</v>
      </c>
      <c r="AB115" s="1580">
        <f t="shared" ca="1" si="93"/>
        <v>0</v>
      </c>
      <c r="AC115" s="1580">
        <f t="shared" ca="1" si="94"/>
        <v>0</v>
      </c>
      <c r="AD115" s="1580">
        <f t="shared" ca="1" si="95"/>
        <v>0</v>
      </c>
      <c r="AE115" s="1580">
        <f t="shared" ca="1" si="96"/>
        <v>0</v>
      </c>
      <c r="AF115" s="1581">
        <f t="shared" ca="1" si="97"/>
        <v>0</v>
      </c>
      <c r="AG115" s="194"/>
      <c r="AH115" s="1579" t="str">
        <f t="shared" ca="1" si="98"/>
        <v/>
      </c>
      <c r="AI115" s="1580" t="str">
        <f t="shared" ca="1" si="99"/>
        <v/>
      </c>
      <c r="AJ115" s="1581" t="str">
        <f t="shared" ca="1" si="100"/>
        <v/>
      </c>
      <c r="AK115" s="194"/>
      <c r="AL115" s="1582">
        <f t="shared" ca="1" si="101"/>
        <v>0</v>
      </c>
      <c r="AM115" s="209"/>
      <c r="AN115" s="1582">
        <f t="shared" ca="1" si="102"/>
        <v>0</v>
      </c>
      <c r="AO115" s="209"/>
      <c r="AP115" s="1582">
        <f t="shared" ca="1" si="103"/>
        <v>0</v>
      </c>
      <c r="AQ115" s="209"/>
      <c r="AR115" s="1582">
        <f t="shared" ca="1" si="104"/>
        <v>0</v>
      </c>
      <c r="AS115" s="194"/>
      <c r="AT115" s="1582">
        <f t="shared" ca="1" si="105"/>
        <v>0</v>
      </c>
      <c r="AU115" s="194"/>
      <c r="AV115" s="194"/>
      <c r="AW115" s="194"/>
      <c r="AX115" s="194"/>
      <c r="AY115" s="194"/>
    </row>
    <row r="116" spans="1:51" s="2699" customFormat="1" ht="18" hidden="1" customHeight="1" x14ac:dyDescent="0.25">
      <c r="A116" s="972">
        <f t="shared" ca="1" si="77"/>
        <v>0</v>
      </c>
      <c r="B116" s="707">
        <f t="shared" si="81"/>
        <v>110</v>
      </c>
      <c r="C116" s="1376"/>
      <c r="D116" s="3346"/>
      <c r="E116" s="3346" t="str">
        <f t="shared" ca="1" si="82"/>
        <v/>
      </c>
      <c r="F116" s="1448" t="str">
        <f t="shared" ca="1" si="83"/>
        <v/>
      </c>
      <c r="G116" s="1418" t="str">
        <f t="shared" ca="1" si="84"/>
        <v/>
      </c>
      <c r="H116" s="3589" t="str">
        <f t="shared" ca="1" si="85"/>
        <v/>
      </c>
      <c r="I116" s="3589" t="str">
        <f t="shared" ca="1" si="86"/>
        <v/>
      </c>
      <c r="J116" s="3590" t="str">
        <f t="shared" ca="1" si="78"/>
        <v/>
      </c>
      <c r="K116" s="1422" t="str">
        <f t="shared" ca="1" si="87"/>
        <v/>
      </c>
      <c r="L116" s="1431" t="str">
        <f t="shared" ca="1" si="79"/>
        <v/>
      </c>
      <c r="M116" s="3591" t="str">
        <f t="shared" ca="1" si="80"/>
        <v/>
      </c>
      <c r="N116" s="3592" t="str">
        <f t="shared" ca="1" si="88"/>
        <v/>
      </c>
      <c r="O116" s="1420" t="e">
        <f ca="1">IF(U116="",IF(Income_RentRollSource="Datappraise/Manual Entry",VLOOKUP($B116,Datappraise_RentRoll,5,FALSE),IF(OR(Income_TechniqueUsed="Direct Capitalization",Income_TechniqueUsed="Direct Cap &amp; DCF"),VLOOKUP('Rent Roll'!S116,'Income Assumptions'!$D$11:$H$19,5,FALSE),VLOOKUP('Rent Roll'!S116,'Income Assumptions'!$D$50:$O$57,6,FALSE))),U116)</f>
        <v>#N/A</v>
      </c>
      <c r="P116" s="3346"/>
      <c r="Q116" s="1377"/>
      <c r="R116" s="652"/>
      <c r="S116" s="2696" t="str">
        <f t="shared" si="89"/>
        <v/>
      </c>
      <c r="T116" s="652"/>
      <c r="U116" s="2696"/>
      <c r="V116" s="652"/>
      <c r="W116" s="2696"/>
      <c r="X116" s="652"/>
      <c r="Y116" s="1580">
        <f t="shared" ca="1" si="90"/>
        <v>0</v>
      </c>
      <c r="Z116" s="1580">
        <f t="shared" ca="1" si="91"/>
        <v>0</v>
      </c>
      <c r="AA116" s="1580">
        <f t="shared" ca="1" si="92"/>
        <v>0</v>
      </c>
      <c r="AB116" s="1580">
        <f t="shared" ca="1" si="93"/>
        <v>0</v>
      </c>
      <c r="AC116" s="1580">
        <f t="shared" ca="1" si="94"/>
        <v>0</v>
      </c>
      <c r="AD116" s="1580">
        <f t="shared" ca="1" si="95"/>
        <v>0</v>
      </c>
      <c r="AE116" s="1580">
        <f t="shared" ca="1" si="96"/>
        <v>0</v>
      </c>
      <c r="AF116" s="1581">
        <f t="shared" ca="1" si="97"/>
        <v>0</v>
      </c>
      <c r="AG116" s="194"/>
      <c r="AH116" s="1579" t="str">
        <f t="shared" ca="1" si="98"/>
        <v/>
      </c>
      <c r="AI116" s="1580" t="str">
        <f t="shared" ca="1" si="99"/>
        <v/>
      </c>
      <c r="AJ116" s="1581" t="str">
        <f t="shared" ca="1" si="100"/>
        <v/>
      </c>
      <c r="AK116" s="194"/>
      <c r="AL116" s="1582">
        <f t="shared" ca="1" si="101"/>
        <v>0</v>
      </c>
      <c r="AM116" s="209"/>
      <c r="AN116" s="1582">
        <f t="shared" ca="1" si="102"/>
        <v>0</v>
      </c>
      <c r="AO116" s="209"/>
      <c r="AP116" s="1582">
        <f t="shared" ca="1" si="103"/>
        <v>0</v>
      </c>
      <c r="AQ116" s="209"/>
      <c r="AR116" s="1582">
        <f t="shared" ca="1" si="104"/>
        <v>0</v>
      </c>
      <c r="AS116" s="194"/>
      <c r="AT116" s="1582">
        <f t="shared" ca="1" si="105"/>
        <v>0</v>
      </c>
      <c r="AU116" s="194"/>
      <c r="AV116" s="194"/>
      <c r="AW116" s="194"/>
      <c r="AX116" s="194"/>
      <c r="AY116" s="194"/>
    </row>
    <row r="117" spans="1:51" s="2699" customFormat="1" ht="18" hidden="1" customHeight="1" x14ac:dyDescent="0.25">
      <c r="A117" s="972">
        <f t="shared" ca="1" si="77"/>
        <v>0</v>
      </c>
      <c r="B117" s="707">
        <f t="shared" si="81"/>
        <v>111</v>
      </c>
      <c r="C117" s="1376"/>
      <c r="D117" s="3346"/>
      <c r="E117" s="3346" t="str">
        <f t="shared" ca="1" si="82"/>
        <v/>
      </c>
      <c r="F117" s="1448" t="str">
        <f t="shared" ca="1" si="83"/>
        <v/>
      </c>
      <c r="G117" s="1418" t="str">
        <f t="shared" ca="1" si="84"/>
        <v/>
      </c>
      <c r="H117" s="3589" t="str">
        <f t="shared" ca="1" si="85"/>
        <v/>
      </c>
      <c r="I117" s="3589" t="str">
        <f t="shared" ca="1" si="86"/>
        <v/>
      </c>
      <c r="J117" s="3590" t="str">
        <f t="shared" ca="1" si="78"/>
        <v/>
      </c>
      <c r="K117" s="1422" t="str">
        <f t="shared" ca="1" si="87"/>
        <v/>
      </c>
      <c r="L117" s="1431" t="str">
        <f t="shared" ca="1" si="79"/>
        <v/>
      </c>
      <c r="M117" s="3591" t="str">
        <f t="shared" ca="1" si="80"/>
        <v/>
      </c>
      <c r="N117" s="3592" t="str">
        <f t="shared" ca="1" si="88"/>
        <v/>
      </c>
      <c r="O117" s="1420" t="e">
        <f ca="1">IF(U117="",IF(Income_RentRollSource="Datappraise/Manual Entry",VLOOKUP($B117,Datappraise_RentRoll,5,FALSE),IF(OR(Income_TechniqueUsed="Direct Capitalization",Income_TechniqueUsed="Direct Cap &amp; DCF"),VLOOKUP('Rent Roll'!S117,'Income Assumptions'!$D$11:$H$19,5,FALSE),VLOOKUP('Rent Roll'!S117,'Income Assumptions'!$D$50:$O$57,6,FALSE))),U117)</f>
        <v>#N/A</v>
      </c>
      <c r="P117" s="3346"/>
      <c r="Q117" s="1377"/>
      <c r="R117" s="652"/>
      <c r="S117" s="2696" t="str">
        <f t="shared" si="89"/>
        <v/>
      </c>
      <c r="T117" s="652"/>
      <c r="U117" s="2696"/>
      <c r="V117" s="652"/>
      <c r="W117" s="2696"/>
      <c r="X117" s="652"/>
      <c r="Y117" s="1580">
        <f t="shared" ca="1" si="90"/>
        <v>0</v>
      </c>
      <c r="Z117" s="1580">
        <f t="shared" ca="1" si="91"/>
        <v>0</v>
      </c>
      <c r="AA117" s="1580">
        <f t="shared" ca="1" si="92"/>
        <v>0</v>
      </c>
      <c r="AB117" s="1580">
        <f t="shared" ca="1" si="93"/>
        <v>0</v>
      </c>
      <c r="AC117" s="1580">
        <f t="shared" ca="1" si="94"/>
        <v>0</v>
      </c>
      <c r="AD117" s="1580">
        <f t="shared" ca="1" si="95"/>
        <v>0</v>
      </c>
      <c r="AE117" s="1580">
        <f t="shared" ca="1" si="96"/>
        <v>0</v>
      </c>
      <c r="AF117" s="1581">
        <f t="shared" ca="1" si="97"/>
        <v>0</v>
      </c>
      <c r="AG117" s="194"/>
      <c r="AH117" s="1579" t="str">
        <f t="shared" ca="1" si="98"/>
        <v/>
      </c>
      <c r="AI117" s="1580" t="str">
        <f t="shared" ca="1" si="99"/>
        <v/>
      </c>
      <c r="AJ117" s="1581" t="str">
        <f t="shared" ca="1" si="100"/>
        <v/>
      </c>
      <c r="AK117" s="194"/>
      <c r="AL117" s="1582">
        <f t="shared" ca="1" si="101"/>
        <v>0</v>
      </c>
      <c r="AM117" s="209"/>
      <c r="AN117" s="1582">
        <f t="shared" ca="1" si="102"/>
        <v>0</v>
      </c>
      <c r="AO117" s="209"/>
      <c r="AP117" s="1582">
        <f t="shared" ca="1" si="103"/>
        <v>0</v>
      </c>
      <c r="AQ117" s="209"/>
      <c r="AR117" s="1582">
        <f t="shared" ca="1" si="104"/>
        <v>0</v>
      </c>
      <c r="AS117" s="194"/>
      <c r="AT117" s="1582">
        <f t="shared" ca="1" si="105"/>
        <v>0</v>
      </c>
      <c r="AU117" s="194"/>
      <c r="AV117" s="194"/>
      <c r="AW117" s="194"/>
      <c r="AX117" s="194"/>
      <c r="AY117" s="194"/>
    </row>
    <row r="118" spans="1:51" s="2699" customFormat="1" ht="18" hidden="1" customHeight="1" x14ac:dyDescent="0.25">
      <c r="A118" s="972">
        <f t="shared" ca="1" si="77"/>
        <v>0</v>
      </c>
      <c r="B118" s="707">
        <f t="shared" si="81"/>
        <v>112</v>
      </c>
      <c r="C118" s="1376"/>
      <c r="D118" s="3346"/>
      <c r="E118" s="3346" t="str">
        <f t="shared" ca="1" si="82"/>
        <v/>
      </c>
      <c r="F118" s="1448" t="str">
        <f t="shared" ca="1" si="83"/>
        <v/>
      </c>
      <c r="G118" s="1418" t="str">
        <f t="shared" ca="1" si="84"/>
        <v/>
      </c>
      <c r="H118" s="3589" t="str">
        <f t="shared" ca="1" si="85"/>
        <v/>
      </c>
      <c r="I118" s="3589" t="str">
        <f t="shared" ca="1" si="86"/>
        <v/>
      </c>
      <c r="J118" s="3590" t="str">
        <f t="shared" ca="1" si="78"/>
        <v/>
      </c>
      <c r="K118" s="1422" t="str">
        <f t="shared" ca="1" si="87"/>
        <v/>
      </c>
      <c r="L118" s="1431" t="str">
        <f t="shared" ca="1" si="79"/>
        <v/>
      </c>
      <c r="M118" s="3591" t="str">
        <f t="shared" ca="1" si="80"/>
        <v/>
      </c>
      <c r="N118" s="3592" t="str">
        <f t="shared" ca="1" si="88"/>
        <v/>
      </c>
      <c r="O118" s="1420" t="e">
        <f ca="1">IF(U118="",IF(Income_RentRollSource="Datappraise/Manual Entry",VLOOKUP($B118,Datappraise_RentRoll,5,FALSE),IF(OR(Income_TechniqueUsed="Direct Capitalization",Income_TechniqueUsed="Direct Cap &amp; DCF"),VLOOKUP('Rent Roll'!S118,'Income Assumptions'!$D$11:$H$19,5,FALSE),VLOOKUP('Rent Roll'!S118,'Income Assumptions'!$D$50:$O$57,6,FALSE))),U118)</f>
        <v>#N/A</v>
      </c>
      <c r="P118" s="3346"/>
      <c r="Q118" s="1377"/>
      <c r="R118" s="652"/>
      <c r="S118" s="2696" t="str">
        <f t="shared" si="89"/>
        <v/>
      </c>
      <c r="T118" s="652"/>
      <c r="U118" s="2696"/>
      <c r="V118" s="652"/>
      <c r="W118" s="2696"/>
      <c r="X118" s="652"/>
      <c r="Y118" s="1580">
        <f t="shared" ca="1" si="90"/>
        <v>0</v>
      </c>
      <c r="Z118" s="1580">
        <f t="shared" ca="1" si="91"/>
        <v>0</v>
      </c>
      <c r="AA118" s="1580">
        <f t="shared" ca="1" si="92"/>
        <v>0</v>
      </c>
      <c r="AB118" s="1580">
        <f t="shared" ca="1" si="93"/>
        <v>0</v>
      </c>
      <c r="AC118" s="1580">
        <f t="shared" ca="1" si="94"/>
        <v>0</v>
      </c>
      <c r="AD118" s="1580">
        <f t="shared" ca="1" si="95"/>
        <v>0</v>
      </c>
      <c r="AE118" s="1580">
        <f t="shared" ca="1" si="96"/>
        <v>0</v>
      </c>
      <c r="AF118" s="1581">
        <f t="shared" ca="1" si="97"/>
        <v>0</v>
      </c>
      <c r="AG118" s="194"/>
      <c r="AH118" s="1579" t="str">
        <f t="shared" ca="1" si="98"/>
        <v/>
      </c>
      <c r="AI118" s="1580" t="str">
        <f t="shared" ca="1" si="99"/>
        <v/>
      </c>
      <c r="AJ118" s="1581" t="str">
        <f t="shared" ca="1" si="100"/>
        <v/>
      </c>
      <c r="AK118" s="194"/>
      <c r="AL118" s="1582">
        <f t="shared" ca="1" si="101"/>
        <v>0</v>
      </c>
      <c r="AM118" s="209"/>
      <c r="AN118" s="1582">
        <f t="shared" ca="1" si="102"/>
        <v>0</v>
      </c>
      <c r="AO118" s="209"/>
      <c r="AP118" s="1582">
        <f t="shared" ca="1" si="103"/>
        <v>0</v>
      </c>
      <c r="AQ118" s="209"/>
      <c r="AR118" s="1582">
        <f t="shared" ca="1" si="104"/>
        <v>0</v>
      </c>
      <c r="AS118" s="194"/>
      <c r="AT118" s="1582">
        <f t="shared" ca="1" si="105"/>
        <v>0</v>
      </c>
      <c r="AU118" s="194"/>
      <c r="AV118" s="194"/>
      <c r="AW118" s="194"/>
      <c r="AX118" s="194"/>
      <c r="AY118" s="194"/>
    </row>
    <row r="119" spans="1:51" s="2699" customFormat="1" ht="18" hidden="1" customHeight="1" x14ac:dyDescent="0.25">
      <c r="A119" s="972">
        <f t="shared" ca="1" si="77"/>
        <v>0</v>
      </c>
      <c r="B119" s="707">
        <f t="shared" si="81"/>
        <v>113</v>
      </c>
      <c r="C119" s="1376"/>
      <c r="D119" s="3346"/>
      <c r="E119" s="3346" t="str">
        <f t="shared" ca="1" si="82"/>
        <v/>
      </c>
      <c r="F119" s="1448" t="str">
        <f t="shared" ca="1" si="83"/>
        <v/>
      </c>
      <c r="G119" s="1418" t="str">
        <f t="shared" ca="1" si="84"/>
        <v/>
      </c>
      <c r="H119" s="3589" t="str">
        <f t="shared" ca="1" si="85"/>
        <v/>
      </c>
      <c r="I119" s="3589" t="str">
        <f t="shared" ca="1" si="86"/>
        <v/>
      </c>
      <c r="J119" s="3590" t="str">
        <f t="shared" ca="1" si="78"/>
        <v/>
      </c>
      <c r="K119" s="1422" t="str">
        <f t="shared" ca="1" si="87"/>
        <v/>
      </c>
      <c r="L119" s="1431" t="str">
        <f t="shared" ca="1" si="79"/>
        <v/>
      </c>
      <c r="M119" s="3591" t="str">
        <f t="shared" ca="1" si="80"/>
        <v/>
      </c>
      <c r="N119" s="3592" t="str">
        <f t="shared" ca="1" si="88"/>
        <v/>
      </c>
      <c r="O119" s="1420" t="e">
        <f ca="1">IF(U119="",IF(Income_RentRollSource="Datappraise/Manual Entry",VLOOKUP($B119,Datappraise_RentRoll,5,FALSE),IF(OR(Income_TechniqueUsed="Direct Capitalization",Income_TechniqueUsed="Direct Cap &amp; DCF"),VLOOKUP('Rent Roll'!S119,'Income Assumptions'!$D$11:$H$19,5,FALSE),VLOOKUP('Rent Roll'!S119,'Income Assumptions'!$D$50:$O$57,6,FALSE))),U119)</f>
        <v>#N/A</v>
      </c>
      <c r="P119" s="3346"/>
      <c r="Q119" s="1377"/>
      <c r="R119" s="652"/>
      <c r="S119" s="2696" t="str">
        <f t="shared" si="89"/>
        <v/>
      </c>
      <c r="T119" s="652"/>
      <c r="U119" s="2696"/>
      <c r="V119" s="652"/>
      <c r="W119" s="2696"/>
      <c r="X119" s="652"/>
      <c r="Y119" s="1580">
        <f t="shared" ca="1" si="90"/>
        <v>0</v>
      </c>
      <c r="Z119" s="1580">
        <f t="shared" ca="1" si="91"/>
        <v>0</v>
      </c>
      <c r="AA119" s="1580">
        <f t="shared" ca="1" si="92"/>
        <v>0</v>
      </c>
      <c r="AB119" s="1580">
        <f t="shared" ca="1" si="93"/>
        <v>0</v>
      </c>
      <c r="AC119" s="1580">
        <f t="shared" ca="1" si="94"/>
        <v>0</v>
      </c>
      <c r="AD119" s="1580">
        <f t="shared" ca="1" si="95"/>
        <v>0</v>
      </c>
      <c r="AE119" s="1580">
        <f t="shared" ca="1" si="96"/>
        <v>0</v>
      </c>
      <c r="AF119" s="1581">
        <f t="shared" ca="1" si="97"/>
        <v>0</v>
      </c>
      <c r="AG119" s="194"/>
      <c r="AH119" s="1579" t="str">
        <f t="shared" ca="1" si="98"/>
        <v/>
      </c>
      <c r="AI119" s="1580" t="str">
        <f t="shared" ca="1" si="99"/>
        <v/>
      </c>
      <c r="AJ119" s="1581" t="str">
        <f t="shared" ca="1" si="100"/>
        <v/>
      </c>
      <c r="AK119" s="194"/>
      <c r="AL119" s="1582">
        <f t="shared" ca="1" si="101"/>
        <v>0</v>
      </c>
      <c r="AM119" s="209"/>
      <c r="AN119" s="1582">
        <f t="shared" ca="1" si="102"/>
        <v>0</v>
      </c>
      <c r="AO119" s="209"/>
      <c r="AP119" s="1582">
        <f t="shared" ca="1" si="103"/>
        <v>0</v>
      </c>
      <c r="AQ119" s="209"/>
      <c r="AR119" s="1582">
        <f t="shared" ca="1" si="104"/>
        <v>0</v>
      </c>
      <c r="AS119" s="194"/>
      <c r="AT119" s="1582">
        <f t="shared" ca="1" si="105"/>
        <v>0</v>
      </c>
      <c r="AU119" s="194"/>
      <c r="AV119" s="194"/>
      <c r="AW119" s="194"/>
      <c r="AX119" s="194"/>
      <c r="AY119" s="194"/>
    </row>
    <row r="120" spans="1:51" s="2699" customFormat="1" ht="18" hidden="1" customHeight="1" x14ac:dyDescent="0.25">
      <c r="A120" s="972">
        <f t="shared" ca="1" si="77"/>
        <v>0</v>
      </c>
      <c r="B120" s="707">
        <f t="shared" si="81"/>
        <v>114</v>
      </c>
      <c r="C120" s="1376"/>
      <c r="D120" s="3346"/>
      <c r="E120" s="3346" t="str">
        <f t="shared" ca="1" si="82"/>
        <v/>
      </c>
      <c r="F120" s="1448" t="str">
        <f t="shared" ca="1" si="83"/>
        <v/>
      </c>
      <c r="G120" s="1418" t="str">
        <f t="shared" ca="1" si="84"/>
        <v/>
      </c>
      <c r="H120" s="3589" t="str">
        <f t="shared" ca="1" si="85"/>
        <v/>
      </c>
      <c r="I120" s="3589" t="str">
        <f t="shared" ca="1" si="86"/>
        <v/>
      </c>
      <c r="J120" s="3590" t="str">
        <f t="shared" ca="1" si="78"/>
        <v/>
      </c>
      <c r="K120" s="1422" t="str">
        <f t="shared" ca="1" si="87"/>
        <v/>
      </c>
      <c r="L120" s="1431" t="str">
        <f t="shared" ca="1" si="79"/>
        <v/>
      </c>
      <c r="M120" s="3591" t="str">
        <f t="shared" ca="1" si="80"/>
        <v/>
      </c>
      <c r="N120" s="3592" t="str">
        <f t="shared" ca="1" si="88"/>
        <v/>
      </c>
      <c r="O120" s="1420" t="e">
        <f ca="1">IF(U120="",IF(Income_RentRollSource="Datappraise/Manual Entry",VLOOKUP($B120,Datappraise_RentRoll,5,FALSE),IF(OR(Income_TechniqueUsed="Direct Capitalization",Income_TechniqueUsed="Direct Cap &amp; DCF"),VLOOKUP('Rent Roll'!S120,'Income Assumptions'!$D$11:$H$19,5,FALSE),VLOOKUP('Rent Roll'!S120,'Income Assumptions'!$D$50:$O$57,6,FALSE))),U120)</f>
        <v>#N/A</v>
      </c>
      <c r="P120" s="3346"/>
      <c r="Q120" s="1377"/>
      <c r="R120" s="652"/>
      <c r="S120" s="2696" t="str">
        <f t="shared" si="89"/>
        <v/>
      </c>
      <c r="T120" s="652"/>
      <c r="U120" s="2696"/>
      <c r="V120" s="652"/>
      <c r="W120" s="2696"/>
      <c r="X120" s="652"/>
      <c r="Y120" s="1580">
        <f t="shared" ca="1" si="90"/>
        <v>0</v>
      </c>
      <c r="Z120" s="1580">
        <f t="shared" ca="1" si="91"/>
        <v>0</v>
      </c>
      <c r="AA120" s="1580">
        <f t="shared" ca="1" si="92"/>
        <v>0</v>
      </c>
      <c r="AB120" s="1580">
        <f t="shared" ca="1" si="93"/>
        <v>0</v>
      </c>
      <c r="AC120" s="1580">
        <f t="shared" ca="1" si="94"/>
        <v>0</v>
      </c>
      <c r="AD120" s="1580">
        <f t="shared" ca="1" si="95"/>
        <v>0</v>
      </c>
      <c r="AE120" s="1580">
        <f t="shared" ca="1" si="96"/>
        <v>0</v>
      </c>
      <c r="AF120" s="1581">
        <f t="shared" ca="1" si="97"/>
        <v>0</v>
      </c>
      <c r="AG120" s="194"/>
      <c r="AH120" s="1579" t="str">
        <f t="shared" ca="1" si="98"/>
        <v/>
      </c>
      <c r="AI120" s="1580" t="str">
        <f t="shared" ca="1" si="99"/>
        <v/>
      </c>
      <c r="AJ120" s="1581" t="str">
        <f t="shared" ca="1" si="100"/>
        <v/>
      </c>
      <c r="AK120" s="194"/>
      <c r="AL120" s="1582">
        <f t="shared" ca="1" si="101"/>
        <v>0</v>
      </c>
      <c r="AM120" s="209"/>
      <c r="AN120" s="1582">
        <f t="shared" ca="1" si="102"/>
        <v>0</v>
      </c>
      <c r="AO120" s="209"/>
      <c r="AP120" s="1582">
        <f t="shared" ca="1" si="103"/>
        <v>0</v>
      </c>
      <c r="AQ120" s="209"/>
      <c r="AR120" s="1582">
        <f t="shared" ca="1" si="104"/>
        <v>0</v>
      </c>
      <c r="AS120" s="194"/>
      <c r="AT120" s="1582">
        <f t="shared" ca="1" si="105"/>
        <v>0</v>
      </c>
      <c r="AU120" s="194"/>
      <c r="AV120" s="194"/>
      <c r="AW120" s="194"/>
      <c r="AX120" s="194"/>
      <c r="AY120" s="194"/>
    </row>
    <row r="121" spans="1:51" s="2699" customFormat="1" ht="18" hidden="1" customHeight="1" x14ac:dyDescent="0.25">
      <c r="A121" s="972">
        <f t="shared" ca="1" si="77"/>
        <v>0</v>
      </c>
      <c r="B121" s="707">
        <f t="shared" si="81"/>
        <v>115</v>
      </c>
      <c r="C121" s="1376"/>
      <c r="D121" s="3346"/>
      <c r="E121" s="3346" t="str">
        <f t="shared" ca="1" si="82"/>
        <v/>
      </c>
      <c r="F121" s="1448" t="str">
        <f t="shared" ca="1" si="83"/>
        <v/>
      </c>
      <c r="G121" s="1418" t="str">
        <f t="shared" ca="1" si="84"/>
        <v/>
      </c>
      <c r="H121" s="3589" t="str">
        <f t="shared" ca="1" si="85"/>
        <v/>
      </c>
      <c r="I121" s="3589" t="str">
        <f t="shared" ca="1" si="86"/>
        <v/>
      </c>
      <c r="J121" s="3590" t="str">
        <f t="shared" ca="1" si="78"/>
        <v/>
      </c>
      <c r="K121" s="1422" t="str">
        <f t="shared" ca="1" si="87"/>
        <v/>
      </c>
      <c r="L121" s="1431" t="str">
        <f t="shared" ca="1" si="79"/>
        <v/>
      </c>
      <c r="M121" s="3591" t="str">
        <f t="shared" ca="1" si="80"/>
        <v/>
      </c>
      <c r="N121" s="3592" t="str">
        <f t="shared" ca="1" si="88"/>
        <v/>
      </c>
      <c r="O121" s="1420" t="e">
        <f ca="1">IF(U121="",IF(Income_RentRollSource="Datappraise/Manual Entry",VLOOKUP($B121,Datappraise_RentRoll,5,FALSE),IF(OR(Income_TechniqueUsed="Direct Capitalization",Income_TechniqueUsed="Direct Cap &amp; DCF"),VLOOKUP('Rent Roll'!S121,'Income Assumptions'!$D$11:$H$19,5,FALSE),VLOOKUP('Rent Roll'!S121,'Income Assumptions'!$D$50:$O$57,6,FALSE))),U121)</f>
        <v>#N/A</v>
      </c>
      <c r="P121" s="3346"/>
      <c r="Q121" s="1377"/>
      <c r="R121" s="652"/>
      <c r="S121" s="2696" t="str">
        <f t="shared" si="89"/>
        <v/>
      </c>
      <c r="T121" s="652"/>
      <c r="U121" s="2696"/>
      <c r="V121" s="652"/>
      <c r="W121" s="2696"/>
      <c r="X121" s="652"/>
      <c r="Y121" s="1580">
        <f t="shared" ca="1" si="90"/>
        <v>0</v>
      </c>
      <c r="Z121" s="1580">
        <f t="shared" ca="1" si="91"/>
        <v>0</v>
      </c>
      <c r="AA121" s="1580">
        <f t="shared" ca="1" si="92"/>
        <v>0</v>
      </c>
      <c r="AB121" s="1580">
        <f t="shared" ca="1" si="93"/>
        <v>0</v>
      </c>
      <c r="AC121" s="1580">
        <f t="shared" ca="1" si="94"/>
        <v>0</v>
      </c>
      <c r="AD121" s="1580">
        <f t="shared" ca="1" si="95"/>
        <v>0</v>
      </c>
      <c r="AE121" s="1580">
        <f t="shared" ca="1" si="96"/>
        <v>0</v>
      </c>
      <c r="AF121" s="1581">
        <f t="shared" ca="1" si="97"/>
        <v>0</v>
      </c>
      <c r="AG121" s="194"/>
      <c r="AH121" s="1579" t="str">
        <f t="shared" ca="1" si="98"/>
        <v/>
      </c>
      <c r="AI121" s="1580" t="str">
        <f t="shared" ca="1" si="99"/>
        <v/>
      </c>
      <c r="AJ121" s="1581" t="str">
        <f t="shared" ca="1" si="100"/>
        <v/>
      </c>
      <c r="AK121" s="194"/>
      <c r="AL121" s="1582">
        <f t="shared" ca="1" si="101"/>
        <v>0</v>
      </c>
      <c r="AM121" s="209"/>
      <c r="AN121" s="1582">
        <f t="shared" ca="1" si="102"/>
        <v>0</v>
      </c>
      <c r="AO121" s="209"/>
      <c r="AP121" s="1582">
        <f t="shared" ca="1" si="103"/>
        <v>0</v>
      </c>
      <c r="AQ121" s="209"/>
      <c r="AR121" s="1582">
        <f t="shared" ca="1" si="104"/>
        <v>0</v>
      </c>
      <c r="AS121" s="194"/>
      <c r="AT121" s="1582">
        <f t="shared" ca="1" si="105"/>
        <v>0</v>
      </c>
      <c r="AU121" s="194"/>
      <c r="AV121" s="194"/>
      <c r="AW121" s="194"/>
      <c r="AX121" s="194"/>
      <c r="AY121" s="194"/>
    </row>
    <row r="122" spans="1:51" s="2699" customFormat="1" ht="18" hidden="1" customHeight="1" x14ac:dyDescent="0.25">
      <c r="A122" s="972">
        <f t="shared" ca="1" si="77"/>
        <v>0</v>
      </c>
      <c r="B122" s="707">
        <f t="shared" si="81"/>
        <v>116</v>
      </c>
      <c r="C122" s="1376"/>
      <c r="D122" s="3346"/>
      <c r="E122" s="3346" t="str">
        <f t="shared" ca="1" si="82"/>
        <v/>
      </c>
      <c r="F122" s="1448" t="str">
        <f t="shared" ca="1" si="83"/>
        <v/>
      </c>
      <c r="G122" s="1418" t="str">
        <f t="shared" ca="1" si="84"/>
        <v/>
      </c>
      <c r="H122" s="3589" t="str">
        <f t="shared" ca="1" si="85"/>
        <v/>
      </c>
      <c r="I122" s="3589" t="str">
        <f t="shared" ca="1" si="86"/>
        <v/>
      </c>
      <c r="J122" s="3590" t="str">
        <f t="shared" ca="1" si="78"/>
        <v/>
      </c>
      <c r="K122" s="1422" t="str">
        <f t="shared" ca="1" si="87"/>
        <v/>
      </c>
      <c r="L122" s="1431" t="str">
        <f t="shared" ca="1" si="79"/>
        <v/>
      </c>
      <c r="M122" s="3591" t="str">
        <f t="shared" ca="1" si="80"/>
        <v/>
      </c>
      <c r="N122" s="3592" t="str">
        <f t="shared" ca="1" si="88"/>
        <v/>
      </c>
      <c r="O122" s="1420" t="e">
        <f ca="1">IF(U122="",IF(Income_RentRollSource="Datappraise/Manual Entry",VLOOKUP($B122,Datappraise_RentRoll,5,FALSE),IF(OR(Income_TechniqueUsed="Direct Capitalization",Income_TechniqueUsed="Direct Cap &amp; DCF"),VLOOKUP('Rent Roll'!S122,'Income Assumptions'!$D$11:$H$19,5,FALSE),VLOOKUP('Rent Roll'!S122,'Income Assumptions'!$D$50:$O$57,6,FALSE))),U122)</f>
        <v>#N/A</v>
      </c>
      <c r="P122" s="3346"/>
      <c r="Q122" s="1377"/>
      <c r="R122" s="652"/>
      <c r="S122" s="2696" t="str">
        <f t="shared" si="89"/>
        <v/>
      </c>
      <c r="T122" s="652"/>
      <c r="U122" s="2696"/>
      <c r="V122" s="652"/>
      <c r="W122" s="2696"/>
      <c r="X122" s="652"/>
      <c r="Y122" s="1580">
        <f t="shared" ca="1" si="90"/>
        <v>0</v>
      </c>
      <c r="Z122" s="1580">
        <f t="shared" ca="1" si="91"/>
        <v>0</v>
      </c>
      <c r="AA122" s="1580">
        <f t="shared" ca="1" si="92"/>
        <v>0</v>
      </c>
      <c r="AB122" s="1580">
        <f t="shared" ca="1" si="93"/>
        <v>0</v>
      </c>
      <c r="AC122" s="1580">
        <f t="shared" ca="1" si="94"/>
        <v>0</v>
      </c>
      <c r="AD122" s="1580">
        <f t="shared" ca="1" si="95"/>
        <v>0</v>
      </c>
      <c r="AE122" s="1580">
        <f t="shared" ca="1" si="96"/>
        <v>0</v>
      </c>
      <c r="AF122" s="1581">
        <f t="shared" ca="1" si="97"/>
        <v>0</v>
      </c>
      <c r="AG122" s="194"/>
      <c r="AH122" s="1579" t="str">
        <f t="shared" ca="1" si="98"/>
        <v/>
      </c>
      <c r="AI122" s="1580" t="str">
        <f t="shared" ca="1" si="99"/>
        <v/>
      </c>
      <c r="AJ122" s="1581" t="str">
        <f t="shared" ca="1" si="100"/>
        <v/>
      </c>
      <c r="AK122" s="194"/>
      <c r="AL122" s="1582">
        <f t="shared" ca="1" si="101"/>
        <v>0</v>
      </c>
      <c r="AM122" s="209"/>
      <c r="AN122" s="1582">
        <f t="shared" ca="1" si="102"/>
        <v>0</v>
      </c>
      <c r="AO122" s="209"/>
      <c r="AP122" s="1582">
        <f t="shared" ca="1" si="103"/>
        <v>0</v>
      </c>
      <c r="AQ122" s="209"/>
      <c r="AR122" s="1582">
        <f t="shared" ca="1" si="104"/>
        <v>0</v>
      </c>
      <c r="AS122" s="194"/>
      <c r="AT122" s="1582">
        <f t="shared" ca="1" si="105"/>
        <v>0</v>
      </c>
      <c r="AU122" s="194"/>
      <c r="AV122" s="194"/>
      <c r="AW122" s="194"/>
      <c r="AX122" s="194"/>
      <c r="AY122" s="194"/>
    </row>
    <row r="123" spans="1:51" s="2699" customFormat="1" ht="18" hidden="1" customHeight="1" x14ac:dyDescent="0.25">
      <c r="A123" s="972">
        <f t="shared" ca="1" si="77"/>
        <v>0</v>
      </c>
      <c r="B123" s="707">
        <f t="shared" si="81"/>
        <v>117</v>
      </c>
      <c r="C123" s="1376"/>
      <c r="D123" s="3346"/>
      <c r="E123" s="3346" t="str">
        <f t="shared" ca="1" si="82"/>
        <v/>
      </c>
      <c r="F123" s="1448" t="str">
        <f t="shared" ca="1" si="83"/>
        <v/>
      </c>
      <c r="G123" s="1418" t="str">
        <f t="shared" ca="1" si="84"/>
        <v/>
      </c>
      <c r="H123" s="3589" t="str">
        <f t="shared" ca="1" si="85"/>
        <v/>
      </c>
      <c r="I123" s="3589" t="str">
        <f t="shared" ca="1" si="86"/>
        <v/>
      </c>
      <c r="J123" s="3590" t="str">
        <f t="shared" ca="1" si="78"/>
        <v/>
      </c>
      <c r="K123" s="1422" t="str">
        <f t="shared" ca="1" si="87"/>
        <v/>
      </c>
      <c r="L123" s="1431" t="str">
        <f t="shared" ca="1" si="79"/>
        <v/>
      </c>
      <c r="M123" s="3591" t="str">
        <f t="shared" ca="1" si="80"/>
        <v/>
      </c>
      <c r="N123" s="3592" t="str">
        <f t="shared" ca="1" si="88"/>
        <v/>
      </c>
      <c r="O123" s="1420" t="e">
        <f ca="1">IF(U123="",IF(Income_RentRollSource="Datappraise/Manual Entry",VLOOKUP($B123,Datappraise_RentRoll,5,FALSE),IF(OR(Income_TechniqueUsed="Direct Capitalization",Income_TechniqueUsed="Direct Cap &amp; DCF"),VLOOKUP('Rent Roll'!S123,'Income Assumptions'!$D$11:$H$19,5,FALSE),VLOOKUP('Rent Roll'!S123,'Income Assumptions'!$D$50:$O$57,6,FALSE))),U123)</f>
        <v>#N/A</v>
      </c>
      <c r="P123" s="3346"/>
      <c r="Q123" s="1377"/>
      <c r="R123" s="652"/>
      <c r="S123" s="2696" t="str">
        <f t="shared" si="89"/>
        <v/>
      </c>
      <c r="T123" s="652"/>
      <c r="U123" s="2696"/>
      <c r="V123" s="652"/>
      <c r="W123" s="2696"/>
      <c r="X123" s="652"/>
      <c r="Y123" s="1580">
        <f t="shared" ca="1" si="90"/>
        <v>0</v>
      </c>
      <c r="Z123" s="1580">
        <f t="shared" ca="1" si="91"/>
        <v>0</v>
      </c>
      <c r="AA123" s="1580">
        <f t="shared" ca="1" si="92"/>
        <v>0</v>
      </c>
      <c r="AB123" s="1580">
        <f t="shared" ca="1" si="93"/>
        <v>0</v>
      </c>
      <c r="AC123" s="1580">
        <f t="shared" ca="1" si="94"/>
        <v>0</v>
      </c>
      <c r="AD123" s="1580">
        <f t="shared" ca="1" si="95"/>
        <v>0</v>
      </c>
      <c r="AE123" s="1580">
        <f t="shared" ca="1" si="96"/>
        <v>0</v>
      </c>
      <c r="AF123" s="1581">
        <f t="shared" ca="1" si="97"/>
        <v>0</v>
      </c>
      <c r="AG123" s="194"/>
      <c r="AH123" s="1579" t="str">
        <f t="shared" ca="1" si="98"/>
        <v/>
      </c>
      <c r="AI123" s="1580" t="str">
        <f t="shared" ca="1" si="99"/>
        <v/>
      </c>
      <c r="AJ123" s="1581" t="str">
        <f t="shared" ca="1" si="100"/>
        <v/>
      </c>
      <c r="AK123" s="194"/>
      <c r="AL123" s="1582">
        <f t="shared" ca="1" si="101"/>
        <v>0</v>
      </c>
      <c r="AM123" s="209"/>
      <c r="AN123" s="1582">
        <f t="shared" ca="1" si="102"/>
        <v>0</v>
      </c>
      <c r="AO123" s="209"/>
      <c r="AP123" s="1582">
        <f t="shared" ca="1" si="103"/>
        <v>0</v>
      </c>
      <c r="AQ123" s="209"/>
      <c r="AR123" s="1582">
        <f t="shared" ca="1" si="104"/>
        <v>0</v>
      </c>
      <c r="AS123" s="194"/>
      <c r="AT123" s="1582">
        <f t="shared" ca="1" si="105"/>
        <v>0</v>
      </c>
      <c r="AU123" s="194"/>
      <c r="AV123" s="194"/>
      <c r="AW123" s="194"/>
      <c r="AX123" s="194"/>
      <c r="AY123" s="194"/>
    </row>
    <row r="124" spans="1:51" s="2699" customFormat="1" ht="18" hidden="1" customHeight="1" x14ac:dyDescent="0.25">
      <c r="A124" s="972">
        <f t="shared" ca="1" si="77"/>
        <v>0</v>
      </c>
      <c r="B124" s="707">
        <f t="shared" si="81"/>
        <v>118</v>
      </c>
      <c r="C124" s="1376"/>
      <c r="D124" s="3346"/>
      <c r="E124" s="3346" t="str">
        <f t="shared" ca="1" si="82"/>
        <v/>
      </c>
      <c r="F124" s="1448" t="str">
        <f t="shared" ca="1" si="83"/>
        <v/>
      </c>
      <c r="G124" s="1418" t="str">
        <f t="shared" ca="1" si="84"/>
        <v/>
      </c>
      <c r="H124" s="3589" t="str">
        <f t="shared" ca="1" si="85"/>
        <v/>
      </c>
      <c r="I124" s="3589" t="str">
        <f t="shared" ca="1" si="86"/>
        <v/>
      </c>
      <c r="J124" s="3590" t="str">
        <f t="shared" ca="1" si="78"/>
        <v/>
      </c>
      <c r="K124" s="1422" t="str">
        <f t="shared" ca="1" si="87"/>
        <v/>
      </c>
      <c r="L124" s="1431" t="str">
        <f t="shared" ca="1" si="79"/>
        <v/>
      </c>
      <c r="M124" s="3591" t="str">
        <f t="shared" ca="1" si="80"/>
        <v/>
      </c>
      <c r="N124" s="3592" t="str">
        <f t="shared" ca="1" si="88"/>
        <v/>
      </c>
      <c r="O124" s="1420" t="e">
        <f ca="1">IF(U124="",IF(Income_RentRollSource="Datappraise/Manual Entry",VLOOKUP($B124,Datappraise_RentRoll,5,FALSE),IF(OR(Income_TechniqueUsed="Direct Capitalization",Income_TechniqueUsed="Direct Cap &amp; DCF"),VLOOKUP('Rent Roll'!S124,'Income Assumptions'!$D$11:$H$19,5,FALSE),VLOOKUP('Rent Roll'!S124,'Income Assumptions'!$D$50:$O$57,6,FALSE))),U124)</f>
        <v>#N/A</v>
      </c>
      <c r="P124" s="3346"/>
      <c r="Q124" s="1377"/>
      <c r="R124" s="652"/>
      <c r="S124" s="2696" t="str">
        <f t="shared" si="89"/>
        <v/>
      </c>
      <c r="T124" s="652"/>
      <c r="U124" s="2696"/>
      <c r="V124" s="652"/>
      <c r="W124" s="2696"/>
      <c r="X124" s="652"/>
      <c r="Y124" s="1580">
        <f t="shared" ca="1" si="90"/>
        <v>0</v>
      </c>
      <c r="Z124" s="1580">
        <f t="shared" ca="1" si="91"/>
        <v>0</v>
      </c>
      <c r="AA124" s="1580">
        <f t="shared" ca="1" si="92"/>
        <v>0</v>
      </c>
      <c r="AB124" s="1580">
        <f t="shared" ca="1" si="93"/>
        <v>0</v>
      </c>
      <c r="AC124" s="1580">
        <f t="shared" ca="1" si="94"/>
        <v>0</v>
      </c>
      <c r="AD124" s="1580">
        <f t="shared" ca="1" si="95"/>
        <v>0</v>
      </c>
      <c r="AE124" s="1580">
        <f t="shared" ca="1" si="96"/>
        <v>0</v>
      </c>
      <c r="AF124" s="1581">
        <f t="shared" ca="1" si="97"/>
        <v>0</v>
      </c>
      <c r="AG124" s="194"/>
      <c r="AH124" s="1579" t="str">
        <f t="shared" ca="1" si="98"/>
        <v/>
      </c>
      <c r="AI124" s="1580" t="str">
        <f t="shared" ca="1" si="99"/>
        <v/>
      </c>
      <c r="AJ124" s="1581" t="str">
        <f t="shared" ca="1" si="100"/>
        <v/>
      </c>
      <c r="AK124" s="194"/>
      <c r="AL124" s="1582">
        <f t="shared" ca="1" si="101"/>
        <v>0</v>
      </c>
      <c r="AM124" s="209"/>
      <c r="AN124" s="1582">
        <f t="shared" ca="1" si="102"/>
        <v>0</v>
      </c>
      <c r="AO124" s="209"/>
      <c r="AP124" s="1582">
        <f t="shared" ca="1" si="103"/>
        <v>0</v>
      </c>
      <c r="AQ124" s="209"/>
      <c r="AR124" s="1582">
        <f t="shared" ca="1" si="104"/>
        <v>0</v>
      </c>
      <c r="AS124" s="194"/>
      <c r="AT124" s="1582">
        <f t="shared" ca="1" si="105"/>
        <v>0</v>
      </c>
      <c r="AU124" s="194"/>
      <c r="AV124" s="194"/>
      <c r="AW124" s="194"/>
      <c r="AX124" s="194"/>
      <c r="AY124" s="194"/>
    </row>
    <row r="125" spans="1:51" s="2699" customFormat="1" ht="18" hidden="1" customHeight="1" x14ac:dyDescent="0.25">
      <c r="A125" s="972">
        <f t="shared" ca="1" si="77"/>
        <v>0</v>
      </c>
      <c r="B125" s="707">
        <f t="shared" si="81"/>
        <v>119</v>
      </c>
      <c r="C125" s="1376"/>
      <c r="D125" s="3346"/>
      <c r="E125" s="3346" t="str">
        <f t="shared" ca="1" si="82"/>
        <v/>
      </c>
      <c r="F125" s="1448" t="str">
        <f t="shared" ca="1" si="83"/>
        <v/>
      </c>
      <c r="G125" s="1418" t="str">
        <f t="shared" ca="1" si="84"/>
        <v/>
      </c>
      <c r="H125" s="3589" t="str">
        <f t="shared" ca="1" si="85"/>
        <v/>
      </c>
      <c r="I125" s="3589" t="str">
        <f t="shared" ca="1" si="86"/>
        <v/>
      </c>
      <c r="J125" s="3590" t="str">
        <f t="shared" ca="1" si="78"/>
        <v/>
      </c>
      <c r="K125" s="1422" t="str">
        <f t="shared" ca="1" si="87"/>
        <v/>
      </c>
      <c r="L125" s="1431" t="str">
        <f t="shared" ca="1" si="79"/>
        <v/>
      </c>
      <c r="M125" s="3591" t="str">
        <f t="shared" ca="1" si="80"/>
        <v/>
      </c>
      <c r="N125" s="3592" t="str">
        <f t="shared" ca="1" si="88"/>
        <v/>
      </c>
      <c r="O125" s="1420" t="e">
        <f ca="1">IF(U125="",IF(Income_RentRollSource="Datappraise/Manual Entry",VLOOKUP($B125,Datappraise_RentRoll,5,FALSE),IF(OR(Income_TechniqueUsed="Direct Capitalization",Income_TechniqueUsed="Direct Cap &amp; DCF"),VLOOKUP('Rent Roll'!S125,'Income Assumptions'!$D$11:$H$19,5,FALSE),VLOOKUP('Rent Roll'!S125,'Income Assumptions'!$D$50:$O$57,6,FALSE))),U125)</f>
        <v>#N/A</v>
      </c>
      <c r="P125" s="3346"/>
      <c r="Q125" s="1377"/>
      <c r="R125" s="652"/>
      <c r="S125" s="2696" t="str">
        <f t="shared" si="89"/>
        <v/>
      </c>
      <c r="T125" s="652"/>
      <c r="U125" s="2696"/>
      <c r="V125" s="652"/>
      <c r="W125" s="2696"/>
      <c r="X125" s="652"/>
      <c r="Y125" s="1580">
        <f t="shared" ca="1" si="90"/>
        <v>0</v>
      </c>
      <c r="Z125" s="1580">
        <f t="shared" ca="1" si="91"/>
        <v>0</v>
      </c>
      <c r="AA125" s="1580">
        <f t="shared" ca="1" si="92"/>
        <v>0</v>
      </c>
      <c r="AB125" s="1580">
        <f t="shared" ca="1" si="93"/>
        <v>0</v>
      </c>
      <c r="AC125" s="1580">
        <f t="shared" ca="1" si="94"/>
        <v>0</v>
      </c>
      <c r="AD125" s="1580">
        <f t="shared" ca="1" si="95"/>
        <v>0</v>
      </c>
      <c r="AE125" s="1580">
        <f t="shared" ca="1" si="96"/>
        <v>0</v>
      </c>
      <c r="AF125" s="1581">
        <f t="shared" ca="1" si="97"/>
        <v>0</v>
      </c>
      <c r="AG125" s="194"/>
      <c r="AH125" s="1579" t="str">
        <f t="shared" ca="1" si="98"/>
        <v/>
      </c>
      <c r="AI125" s="1580" t="str">
        <f t="shared" ca="1" si="99"/>
        <v/>
      </c>
      <c r="AJ125" s="1581" t="str">
        <f t="shared" ca="1" si="100"/>
        <v/>
      </c>
      <c r="AK125" s="194"/>
      <c r="AL125" s="1582">
        <f t="shared" ca="1" si="101"/>
        <v>0</v>
      </c>
      <c r="AM125" s="209"/>
      <c r="AN125" s="1582">
        <f t="shared" ca="1" si="102"/>
        <v>0</v>
      </c>
      <c r="AO125" s="209"/>
      <c r="AP125" s="1582">
        <f t="shared" ca="1" si="103"/>
        <v>0</v>
      </c>
      <c r="AQ125" s="209"/>
      <c r="AR125" s="1582">
        <f t="shared" ca="1" si="104"/>
        <v>0</v>
      </c>
      <c r="AS125" s="194"/>
      <c r="AT125" s="1582">
        <f t="shared" ca="1" si="105"/>
        <v>0</v>
      </c>
      <c r="AU125" s="194"/>
      <c r="AV125" s="194"/>
      <c r="AW125" s="194"/>
      <c r="AX125" s="194"/>
      <c r="AY125" s="194"/>
    </row>
    <row r="126" spans="1:51" s="2699" customFormat="1" ht="18" hidden="1" customHeight="1" x14ac:dyDescent="0.25">
      <c r="A126" s="972">
        <f t="shared" ca="1" si="77"/>
        <v>0</v>
      </c>
      <c r="B126" s="707">
        <f t="shared" si="81"/>
        <v>120</v>
      </c>
      <c r="C126" s="1376"/>
      <c r="D126" s="3346"/>
      <c r="E126" s="3346" t="str">
        <f t="shared" ca="1" si="82"/>
        <v/>
      </c>
      <c r="F126" s="1448" t="str">
        <f t="shared" ca="1" si="83"/>
        <v/>
      </c>
      <c r="G126" s="1418" t="str">
        <f t="shared" ca="1" si="84"/>
        <v/>
      </c>
      <c r="H126" s="3589" t="str">
        <f t="shared" ca="1" si="85"/>
        <v/>
      </c>
      <c r="I126" s="3589" t="str">
        <f t="shared" ca="1" si="86"/>
        <v/>
      </c>
      <c r="J126" s="3590" t="str">
        <f t="shared" ca="1" si="78"/>
        <v/>
      </c>
      <c r="K126" s="1422" t="str">
        <f t="shared" ca="1" si="87"/>
        <v/>
      </c>
      <c r="L126" s="1431" t="str">
        <f t="shared" ca="1" si="79"/>
        <v/>
      </c>
      <c r="M126" s="3591" t="str">
        <f t="shared" ca="1" si="80"/>
        <v/>
      </c>
      <c r="N126" s="3592" t="str">
        <f t="shared" ca="1" si="88"/>
        <v/>
      </c>
      <c r="O126" s="1420" t="e">
        <f ca="1">IF(U126="",IF(Income_RentRollSource="Datappraise/Manual Entry",VLOOKUP($B126,Datappraise_RentRoll,5,FALSE),IF(OR(Income_TechniqueUsed="Direct Capitalization",Income_TechniqueUsed="Direct Cap &amp; DCF"),VLOOKUP('Rent Roll'!S126,'Income Assumptions'!$D$11:$H$19,5,FALSE),VLOOKUP('Rent Roll'!S126,'Income Assumptions'!$D$50:$O$57,6,FALSE))),U126)</f>
        <v>#N/A</v>
      </c>
      <c r="P126" s="3346"/>
      <c r="Q126" s="1377"/>
      <c r="R126" s="652"/>
      <c r="S126" s="2696" t="str">
        <f t="shared" si="89"/>
        <v/>
      </c>
      <c r="T126" s="652"/>
      <c r="U126" s="2696"/>
      <c r="V126" s="652"/>
      <c r="W126" s="2696"/>
      <c r="X126" s="652"/>
      <c r="Y126" s="1580">
        <f t="shared" ca="1" si="90"/>
        <v>0</v>
      </c>
      <c r="Z126" s="1580">
        <f t="shared" ca="1" si="91"/>
        <v>0</v>
      </c>
      <c r="AA126" s="1580">
        <f t="shared" ca="1" si="92"/>
        <v>0</v>
      </c>
      <c r="AB126" s="1580">
        <f t="shared" ca="1" si="93"/>
        <v>0</v>
      </c>
      <c r="AC126" s="1580">
        <f t="shared" ca="1" si="94"/>
        <v>0</v>
      </c>
      <c r="AD126" s="1580">
        <f t="shared" ca="1" si="95"/>
        <v>0</v>
      </c>
      <c r="AE126" s="1580">
        <f t="shared" ca="1" si="96"/>
        <v>0</v>
      </c>
      <c r="AF126" s="1581">
        <f t="shared" ca="1" si="97"/>
        <v>0</v>
      </c>
      <c r="AG126" s="194"/>
      <c r="AH126" s="1579" t="str">
        <f t="shared" ca="1" si="98"/>
        <v/>
      </c>
      <c r="AI126" s="1580" t="str">
        <f t="shared" ca="1" si="99"/>
        <v/>
      </c>
      <c r="AJ126" s="1581" t="str">
        <f t="shared" ca="1" si="100"/>
        <v/>
      </c>
      <c r="AK126" s="194"/>
      <c r="AL126" s="1582">
        <f t="shared" ca="1" si="101"/>
        <v>0</v>
      </c>
      <c r="AM126" s="209"/>
      <c r="AN126" s="1582">
        <f t="shared" ca="1" si="102"/>
        <v>0</v>
      </c>
      <c r="AO126" s="209"/>
      <c r="AP126" s="1582">
        <f t="shared" ca="1" si="103"/>
        <v>0</v>
      </c>
      <c r="AQ126" s="209"/>
      <c r="AR126" s="1582">
        <f t="shared" ca="1" si="104"/>
        <v>0</v>
      </c>
      <c r="AS126" s="194"/>
      <c r="AT126" s="1582">
        <f t="shared" ca="1" si="105"/>
        <v>0</v>
      </c>
      <c r="AU126" s="194"/>
      <c r="AV126" s="194"/>
      <c r="AW126" s="194"/>
      <c r="AX126" s="194"/>
      <c r="AY126" s="194"/>
    </row>
    <row r="127" spans="1:51" s="2699" customFormat="1" ht="18" hidden="1" customHeight="1" x14ac:dyDescent="0.25">
      <c r="A127" s="972">
        <f t="shared" ca="1" si="77"/>
        <v>0</v>
      </c>
      <c r="B127" s="707">
        <f t="shared" si="81"/>
        <v>121</v>
      </c>
      <c r="C127" s="1376"/>
      <c r="D127" s="3346"/>
      <c r="E127" s="3346" t="str">
        <f t="shared" ca="1" si="82"/>
        <v/>
      </c>
      <c r="F127" s="1448" t="str">
        <f t="shared" ca="1" si="83"/>
        <v/>
      </c>
      <c r="G127" s="1418" t="str">
        <f t="shared" ca="1" si="84"/>
        <v/>
      </c>
      <c r="H127" s="3589" t="str">
        <f t="shared" ca="1" si="85"/>
        <v/>
      </c>
      <c r="I127" s="3589" t="str">
        <f t="shared" ca="1" si="86"/>
        <v/>
      </c>
      <c r="J127" s="3590" t="str">
        <f t="shared" ca="1" si="78"/>
        <v/>
      </c>
      <c r="K127" s="1422" t="str">
        <f t="shared" ca="1" si="87"/>
        <v/>
      </c>
      <c r="L127" s="1431" t="str">
        <f t="shared" ca="1" si="79"/>
        <v/>
      </c>
      <c r="M127" s="3591" t="str">
        <f t="shared" ca="1" si="80"/>
        <v/>
      </c>
      <c r="N127" s="3592" t="str">
        <f t="shared" ca="1" si="88"/>
        <v/>
      </c>
      <c r="O127" s="1420" t="e">
        <f ca="1">IF(U127="",IF(Income_RentRollSource="Datappraise/Manual Entry",VLOOKUP($B127,Datappraise_RentRoll,5,FALSE),IF(OR(Income_TechniqueUsed="Direct Capitalization",Income_TechniqueUsed="Direct Cap &amp; DCF"),VLOOKUP('Rent Roll'!S127,'Income Assumptions'!$D$11:$H$19,5,FALSE),VLOOKUP('Rent Roll'!S127,'Income Assumptions'!$D$50:$O$57,6,FALSE))),U127)</f>
        <v>#N/A</v>
      </c>
      <c r="P127" s="3346"/>
      <c r="Q127" s="1377"/>
      <c r="R127" s="652"/>
      <c r="S127" s="2696" t="str">
        <f t="shared" si="89"/>
        <v/>
      </c>
      <c r="T127" s="652"/>
      <c r="U127" s="2696"/>
      <c r="V127" s="652"/>
      <c r="W127" s="2696"/>
      <c r="X127" s="652"/>
      <c r="Y127" s="1580">
        <f t="shared" ca="1" si="90"/>
        <v>0</v>
      </c>
      <c r="Z127" s="1580">
        <f t="shared" ca="1" si="91"/>
        <v>0</v>
      </c>
      <c r="AA127" s="1580">
        <f t="shared" ca="1" si="92"/>
        <v>0</v>
      </c>
      <c r="AB127" s="1580">
        <f t="shared" ca="1" si="93"/>
        <v>0</v>
      </c>
      <c r="AC127" s="1580">
        <f t="shared" ca="1" si="94"/>
        <v>0</v>
      </c>
      <c r="AD127" s="1580">
        <f t="shared" ca="1" si="95"/>
        <v>0</v>
      </c>
      <c r="AE127" s="1580">
        <f t="shared" ca="1" si="96"/>
        <v>0</v>
      </c>
      <c r="AF127" s="1581">
        <f t="shared" ca="1" si="97"/>
        <v>0</v>
      </c>
      <c r="AG127" s="194"/>
      <c r="AH127" s="1579" t="str">
        <f t="shared" ca="1" si="98"/>
        <v/>
      </c>
      <c r="AI127" s="1580" t="str">
        <f t="shared" ca="1" si="99"/>
        <v/>
      </c>
      <c r="AJ127" s="1581" t="str">
        <f t="shared" ca="1" si="100"/>
        <v/>
      </c>
      <c r="AK127" s="194"/>
      <c r="AL127" s="1582">
        <f t="shared" ca="1" si="101"/>
        <v>0</v>
      </c>
      <c r="AM127" s="209"/>
      <c r="AN127" s="1582">
        <f t="shared" ca="1" si="102"/>
        <v>0</v>
      </c>
      <c r="AO127" s="209"/>
      <c r="AP127" s="1582">
        <f t="shared" ca="1" si="103"/>
        <v>0</v>
      </c>
      <c r="AQ127" s="209"/>
      <c r="AR127" s="1582">
        <f t="shared" ca="1" si="104"/>
        <v>0</v>
      </c>
      <c r="AS127" s="194"/>
      <c r="AT127" s="1582">
        <f t="shared" ca="1" si="105"/>
        <v>0</v>
      </c>
      <c r="AU127" s="194"/>
      <c r="AV127" s="194"/>
      <c r="AW127" s="194"/>
      <c r="AX127" s="194"/>
      <c r="AY127" s="194"/>
    </row>
    <row r="128" spans="1:51" s="2699" customFormat="1" ht="18" hidden="1" customHeight="1" x14ac:dyDescent="0.25">
      <c r="A128" s="972">
        <f t="shared" ca="1" si="77"/>
        <v>0</v>
      </c>
      <c r="B128" s="707">
        <f t="shared" si="81"/>
        <v>122</v>
      </c>
      <c r="C128" s="1376"/>
      <c r="D128" s="3346"/>
      <c r="E128" s="3346" t="str">
        <f t="shared" ca="1" si="82"/>
        <v/>
      </c>
      <c r="F128" s="1448" t="str">
        <f t="shared" ca="1" si="83"/>
        <v/>
      </c>
      <c r="G128" s="1418" t="str">
        <f t="shared" ca="1" si="84"/>
        <v/>
      </c>
      <c r="H128" s="3589" t="str">
        <f t="shared" ca="1" si="85"/>
        <v/>
      </c>
      <c r="I128" s="3589" t="str">
        <f t="shared" ca="1" si="86"/>
        <v/>
      </c>
      <c r="J128" s="3590" t="str">
        <f t="shared" ca="1" si="78"/>
        <v/>
      </c>
      <c r="K128" s="1422" t="str">
        <f t="shared" ca="1" si="87"/>
        <v/>
      </c>
      <c r="L128" s="1431" t="str">
        <f t="shared" ca="1" si="79"/>
        <v/>
      </c>
      <c r="M128" s="3591" t="str">
        <f t="shared" ca="1" si="80"/>
        <v/>
      </c>
      <c r="N128" s="3592" t="str">
        <f t="shared" ca="1" si="88"/>
        <v/>
      </c>
      <c r="O128" s="1420" t="e">
        <f ca="1">IF(U128="",IF(Income_RentRollSource="Datappraise/Manual Entry",VLOOKUP($B128,Datappraise_RentRoll,5,FALSE),IF(OR(Income_TechniqueUsed="Direct Capitalization",Income_TechniqueUsed="Direct Cap &amp; DCF"),VLOOKUP('Rent Roll'!S128,'Income Assumptions'!$D$11:$H$19,5,FALSE),VLOOKUP('Rent Roll'!S128,'Income Assumptions'!$D$50:$O$57,6,FALSE))),U128)</f>
        <v>#N/A</v>
      </c>
      <c r="P128" s="3346"/>
      <c r="Q128" s="1377"/>
      <c r="R128" s="652"/>
      <c r="S128" s="2696" t="str">
        <f t="shared" si="89"/>
        <v/>
      </c>
      <c r="T128" s="652"/>
      <c r="U128" s="2696"/>
      <c r="V128" s="652"/>
      <c r="W128" s="2696"/>
      <c r="X128" s="652"/>
      <c r="Y128" s="1580">
        <f t="shared" ca="1" si="90"/>
        <v>0</v>
      </c>
      <c r="Z128" s="1580">
        <f t="shared" ca="1" si="91"/>
        <v>0</v>
      </c>
      <c r="AA128" s="1580">
        <f t="shared" ca="1" si="92"/>
        <v>0</v>
      </c>
      <c r="AB128" s="1580">
        <f t="shared" ca="1" si="93"/>
        <v>0</v>
      </c>
      <c r="AC128" s="1580">
        <f t="shared" ca="1" si="94"/>
        <v>0</v>
      </c>
      <c r="AD128" s="1580">
        <f t="shared" ca="1" si="95"/>
        <v>0</v>
      </c>
      <c r="AE128" s="1580">
        <f t="shared" ca="1" si="96"/>
        <v>0</v>
      </c>
      <c r="AF128" s="1581">
        <f t="shared" ca="1" si="97"/>
        <v>0</v>
      </c>
      <c r="AG128" s="194"/>
      <c r="AH128" s="1579" t="str">
        <f t="shared" ca="1" si="98"/>
        <v/>
      </c>
      <c r="AI128" s="1580" t="str">
        <f t="shared" ca="1" si="99"/>
        <v/>
      </c>
      <c r="AJ128" s="1581" t="str">
        <f t="shared" ca="1" si="100"/>
        <v/>
      </c>
      <c r="AK128" s="194"/>
      <c r="AL128" s="1582">
        <f t="shared" ca="1" si="101"/>
        <v>0</v>
      </c>
      <c r="AM128" s="209"/>
      <c r="AN128" s="1582">
        <f t="shared" ca="1" si="102"/>
        <v>0</v>
      </c>
      <c r="AO128" s="209"/>
      <c r="AP128" s="1582">
        <f t="shared" ca="1" si="103"/>
        <v>0</v>
      </c>
      <c r="AQ128" s="209"/>
      <c r="AR128" s="1582">
        <f t="shared" ca="1" si="104"/>
        <v>0</v>
      </c>
      <c r="AS128" s="194"/>
      <c r="AT128" s="1582">
        <f t="shared" ca="1" si="105"/>
        <v>0</v>
      </c>
      <c r="AU128" s="194"/>
      <c r="AV128" s="194"/>
      <c r="AW128" s="194"/>
      <c r="AX128" s="194"/>
      <c r="AY128" s="194"/>
    </row>
    <row r="129" spans="1:51" s="2699" customFormat="1" ht="18" hidden="1" customHeight="1" x14ac:dyDescent="0.25">
      <c r="A129" s="972">
        <f t="shared" ca="1" si="77"/>
        <v>0</v>
      </c>
      <c r="B129" s="707">
        <f t="shared" si="81"/>
        <v>123</v>
      </c>
      <c r="C129" s="1376"/>
      <c r="D129" s="3346"/>
      <c r="E129" s="3346" t="str">
        <f t="shared" ca="1" si="82"/>
        <v/>
      </c>
      <c r="F129" s="1448" t="str">
        <f t="shared" ca="1" si="83"/>
        <v/>
      </c>
      <c r="G129" s="1418" t="str">
        <f t="shared" ca="1" si="84"/>
        <v/>
      </c>
      <c r="H129" s="3589" t="str">
        <f t="shared" ca="1" si="85"/>
        <v/>
      </c>
      <c r="I129" s="3589" t="str">
        <f t="shared" ca="1" si="86"/>
        <v/>
      </c>
      <c r="J129" s="3590" t="str">
        <f t="shared" ca="1" si="78"/>
        <v/>
      </c>
      <c r="K129" s="1422" t="str">
        <f t="shared" ca="1" si="87"/>
        <v/>
      </c>
      <c r="L129" s="1431" t="str">
        <f t="shared" ca="1" si="79"/>
        <v/>
      </c>
      <c r="M129" s="3591" t="str">
        <f t="shared" ca="1" si="80"/>
        <v/>
      </c>
      <c r="N129" s="3592" t="str">
        <f t="shared" ca="1" si="88"/>
        <v/>
      </c>
      <c r="O129" s="1420" t="e">
        <f ca="1">IF(U129="",IF(Income_RentRollSource="Datappraise/Manual Entry",VLOOKUP($B129,Datappraise_RentRoll,5,FALSE),IF(OR(Income_TechniqueUsed="Direct Capitalization",Income_TechniqueUsed="Direct Cap &amp; DCF"),VLOOKUP('Rent Roll'!S129,'Income Assumptions'!$D$11:$H$19,5,FALSE),VLOOKUP('Rent Roll'!S129,'Income Assumptions'!$D$50:$O$57,6,FALSE))),U129)</f>
        <v>#N/A</v>
      </c>
      <c r="P129" s="3346"/>
      <c r="Q129" s="1377"/>
      <c r="R129" s="652"/>
      <c r="S129" s="2696" t="str">
        <f t="shared" si="89"/>
        <v/>
      </c>
      <c r="T129" s="652"/>
      <c r="U129" s="2696"/>
      <c r="V129" s="652"/>
      <c r="W129" s="2696"/>
      <c r="X129" s="652"/>
      <c r="Y129" s="1580">
        <f t="shared" ca="1" si="90"/>
        <v>0</v>
      </c>
      <c r="Z129" s="1580">
        <f t="shared" ca="1" si="91"/>
        <v>0</v>
      </c>
      <c r="AA129" s="1580">
        <f t="shared" ca="1" si="92"/>
        <v>0</v>
      </c>
      <c r="AB129" s="1580">
        <f t="shared" ca="1" si="93"/>
        <v>0</v>
      </c>
      <c r="AC129" s="1580">
        <f t="shared" ca="1" si="94"/>
        <v>0</v>
      </c>
      <c r="AD129" s="1580">
        <f t="shared" ca="1" si="95"/>
        <v>0</v>
      </c>
      <c r="AE129" s="1580">
        <f t="shared" ca="1" si="96"/>
        <v>0</v>
      </c>
      <c r="AF129" s="1581">
        <f t="shared" ca="1" si="97"/>
        <v>0</v>
      </c>
      <c r="AG129" s="194"/>
      <c r="AH129" s="1579" t="str">
        <f t="shared" ca="1" si="98"/>
        <v/>
      </c>
      <c r="AI129" s="1580" t="str">
        <f t="shared" ca="1" si="99"/>
        <v/>
      </c>
      <c r="AJ129" s="1581" t="str">
        <f t="shared" ca="1" si="100"/>
        <v/>
      </c>
      <c r="AK129" s="194"/>
      <c r="AL129" s="1582">
        <f t="shared" ca="1" si="101"/>
        <v>0</v>
      </c>
      <c r="AM129" s="209"/>
      <c r="AN129" s="1582">
        <f t="shared" ca="1" si="102"/>
        <v>0</v>
      </c>
      <c r="AO129" s="209"/>
      <c r="AP129" s="1582">
        <f t="shared" ca="1" si="103"/>
        <v>0</v>
      </c>
      <c r="AQ129" s="209"/>
      <c r="AR129" s="1582">
        <f t="shared" ca="1" si="104"/>
        <v>0</v>
      </c>
      <c r="AS129" s="194"/>
      <c r="AT129" s="1582">
        <f t="shared" ca="1" si="105"/>
        <v>0</v>
      </c>
      <c r="AU129" s="194"/>
      <c r="AV129" s="194"/>
      <c r="AW129" s="194"/>
      <c r="AX129" s="194"/>
      <c r="AY129" s="194"/>
    </row>
    <row r="130" spans="1:51" s="2699" customFormat="1" ht="18" hidden="1" customHeight="1" x14ac:dyDescent="0.25">
      <c r="A130" s="972">
        <f t="shared" ca="1" si="77"/>
        <v>0</v>
      </c>
      <c r="B130" s="707">
        <f t="shared" si="81"/>
        <v>124</v>
      </c>
      <c r="C130" s="1376"/>
      <c r="D130" s="3346"/>
      <c r="E130" s="3346" t="str">
        <f t="shared" ca="1" si="82"/>
        <v/>
      </c>
      <c r="F130" s="1448" t="str">
        <f t="shared" ca="1" si="83"/>
        <v/>
      </c>
      <c r="G130" s="1418" t="str">
        <f t="shared" ca="1" si="84"/>
        <v/>
      </c>
      <c r="H130" s="3589" t="str">
        <f t="shared" ca="1" si="85"/>
        <v/>
      </c>
      <c r="I130" s="3589" t="str">
        <f t="shared" ca="1" si="86"/>
        <v/>
      </c>
      <c r="J130" s="3590" t="str">
        <f t="shared" ca="1" si="78"/>
        <v/>
      </c>
      <c r="K130" s="1422" t="str">
        <f t="shared" ca="1" si="87"/>
        <v/>
      </c>
      <c r="L130" s="1431" t="str">
        <f t="shared" ca="1" si="79"/>
        <v/>
      </c>
      <c r="M130" s="3591" t="str">
        <f t="shared" ca="1" si="80"/>
        <v/>
      </c>
      <c r="N130" s="3592" t="str">
        <f t="shared" ca="1" si="88"/>
        <v/>
      </c>
      <c r="O130" s="1420" t="e">
        <f ca="1">IF(U130="",IF(Income_RentRollSource="Datappraise/Manual Entry",VLOOKUP($B130,Datappraise_RentRoll,5,FALSE),IF(OR(Income_TechniqueUsed="Direct Capitalization",Income_TechniqueUsed="Direct Cap &amp; DCF"),VLOOKUP('Rent Roll'!S130,'Income Assumptions'!$D$11:$H$19,5,FALSE),VLOOKUP('Rent Roll'!S130,'Income Assumptions'!$D$50:$O$57,6,FALSE))),U130)</f>
        <v>#N/A</v>
      </c>
      <c r="P130" s="3346"/>
      <c r="Q130" s="1377"/>
      <c r="R130" s="652"/>
      <c r="S130" s="2696" t="str">
        <f t="shared" si="89"/>
        <v/>
      </c>
      <c r="T130" s="652"/>
      <c r="U130" s="2696"/>
      <c r="V130" s="652"/>
      <c r="W130" s="2696"/>
      <c r="X130" s="652"/>
      <c r="Y130" s="1580">
        <f t="shared" ca="1" si="90"/>
        <v>0</v>
      </c>
      <c r="Z130" s="1580">
        <f t="shared" ca="1" si="91"/>
        <v>0</v>
      </c>
      <c r="AA130" s="1580">
        <f t="shared" ca="1" si="92"/>
        <v>0</v>
      </c>
      <c r="AB130" s="1580">
        <f t="shared" ca="1" si="93"/>
        <v>0</v>
      </c>
      <c r="AC130" s="1580">
        <f t="shared" ca="1" si="94"/>
        <v>0</v>
      </c>
      <c r="AD130" s="1580">
        <f t="shared" ca="1" si="95"/>
        <v>0</v>
      </c>
      <c r="AE130" s="1580">
        <f t="shared" ca="1" si="96"/>
        <v>0</v>
      </c>
      <c r="AF130" s="1581">
        <f t="shared" ca="1" si="97"/>
        <v>0</v>
      </c>
      <c r="AG130" s="194"/>
      <c r="AH130" s="1579" t="str">
        <f t="shared" ca="1" si="98"/>
        <v/>
      </c>
      <c r="AI130" s="1580" t="str">
        <f t="shared" ca="1" si="99"/>
        <v/>
      </c>
      <c r="AJ130" s="1581" t="str">
        <f t="shared" ca="1" si="100"/>
        <v/>
      </c>
      <c r="AK130" s="194"/>
      <c r="AL130" s="1582">
        <f t="shared" ca="1" si="101"/>
        <v>0</v>
      </c>
      <c r="AM130" s="209"/>
      <c r="AN130" s="1582">
        <f t="shared" ca="1" si="102"/>
        <v>0</v>
      </c>
      <c r="AO130" s="209"/>
      <c r="AP130" s="1582">
        <f t="shared" ca="1" si="103"/>
        <v>0</v>
      </c>
      <c r="AQ130" s="209"/>
      <c r="AR130" s="1582">
        <f t="shared" ca="1" si="104"/>
        <v>0</v>
      </c>
      <c r="AS130" s="194"/>
      <c r="AT130" s="1582">
        <f t="shared" ca="1" si="105"/>
        <v>0</v>
      </c>
      <c r="AU130" s="194"/>
      <c r="AV130" s="194"/>
      <c r="AW130" s="194"/>
      <c r="AX130" s="194"/>
      <c r="AY130" s="194"/>
    </row>
    <row r="131" spans="1:51" s="2699" customFormat="1" ht="18" hidden="1" customHeight="1" x14ac:dyDescent="0.25">
      <c r="A131" s="972">
        <f t="shared" ca="1" si="77"/>
        <v>0</v>
      </c>
      <c r="B131" s="707">
        <f t="shared" si="81"/>
        <v>125</v>
      </c>
      <c r="C131" s="1376"/>
      <c r="D131" s="3346"/>
      <c r="E131" s="3346" t="str">
        <f t="shared" ca="1" si="82"/>
        <v/>
      </c>
      <c r="F131" s="1448" t="str">
        <f t="shared" ca="1" si="83"/>
        <v/>
      </c>
      <c r="G131" s="1418" t="str">
        <f t="shared" ca="1" si="84"/>
        <v/>
      </c>
      <c r="H131" s="3589" t="str">
        <f t="shared" ca="1" si="85"/>
        <v/>
      </c>
      <c r="I131" s="3589" t="str">
        <f t="shared" ca="1" si="86"/>
        <v/>
      </c>
      <c r="J131" s="3590" t="str">
        <f t="shared" ca="1" si="78"/>
        <v/>
      </c>
      <c r="K131" s="1422" t="str">
        <f t="shared" ca="1" si="87"/>
        <v/>
      </c>
      <c r="L131" s="1431" t="str">
        <f t="shared" ca="1" si="79"/>
        <v/>
      </c>
      <c r="M131" s="3591" t="str">
        <f t="shared" ca="1" si="80"/>
        <v/>
      </c>
      <c r="N131" s="3592" t="str">
        <f t="shared" ca="1" si="88"/>
        <v/>
      </c>
      <c r="O131" s="1420" t="e">
        <f ca="1">IF(U131="",IF(Income_RentRollSource="Datappraise/Manual Entry",VLOOKUP($B131,Datappraise_RentRoll,5,FALSE),IF(OR(Income_TechniqueUsed="Direct Capitalization",Income_TechniqueUsed="Direct Cap &amp; DCF"),VLOOKUP('Rent Roll'!S131,'Income Assumptions'!$D$11:$H$19,5,FALSE),VLOOKUP('Rent Roll'!S131,'Income Assumptions'!$D$50:$O$57,6,FALSE))),U131)</f>
        <v>#N/A</v>
      </c>
      <c r="P131" s="3346"/>
      <c r="Q131" s="1377"/>
      <c r="R131" s="652"/>
      <c r="S131" s="2696" t="str">
        <f t="shared" si="89"/>
        <v/>
      </c>
      <c r="T131" s="652"/>
      <c r="U131" s="2696"/>
      <c r="V131" s="652"/>
      <c r="W131" s="2696"/>
      <c r="X131" s="652"/>
      <c r="Y131" s="1580">
        <f t="shared" ca="1" si="90"/>
        <v>0</v>
      </c>
      <c r="Z131" s="1580">
        <f t="shared" ca="1" si="91"/>
        <v>0</v>
      </c>
      <c r="AA131" s="1580">
        <f t="shared" ca="1" si="92"/>
        <v>0</v>
      </c>
      <c r="AB131" s="1580">
        <f t="shared" ca="1" si="93"/>
        <v>0</v>
      </c>
      <c r="AC131" s="1580">
        <f t="shared" ca="1" si="94"/>
        <v>0</v>
      </c>
      <c r="AD131" s="1580">
        <f t="shared" ca="1" si="95"/>
        <v>0</v>
      </c>
      <c r="AE131" s="1580">
        <f t="shared" ca="1" si="96"/>
        <v>0</v>
      </c>
      <c r="AF131" s="1581">
        <f t="shared" ca="1" si="97"/>
        <v>0</v>
      </c>
      <c r="AG131" s="194"/>
      <c r="AH131" s="1579" t="str">
        <f t="shared" ca="1" si="98"/>
        <v/>
      </c>
      <c r="AI131" s="1580" t="str">
        <f t="shared" ca="1" si="99"/>
        <v/>
      </c>
      <c r="AJ131" s="1581" t="str">
        <f t="shared" ca="1" si="100"/>
        <v/>
      </c>
      <c r="AK131" s="194"/>
      <c r="AL131" s="1582">
        <f t="shared" ca="1" si="101"/>
        <v>0</v>
      </c>
      <c r="AM131" s="209"/>
      <c r="AN131" s="1582">
        <f t="shared" ca="1" si="102"/>
        <v>0</v>
      </c>
      <c r="AO131" s="209"/>
      <c r="AP131" s="1582">
        <f t="shared" ca="1" si="103"/>
        <v>0</v>
      </c>
      <c r="AQ131" s="209"/>
      <c r="AR131" s="1582">
        <f t="shared" ca="1" si="104"/>
        <v>0</v>
      </c>
      <c r="AS131" s="194"/>
      <c r="AT131" s="1582">
        <f t="shared" ca="1" si="105"/>
        <v>0</v>
      </c>
      <c r="AU131" s="194"/>
      <c r="AV131" s="194"/>
      <c r="AW131" s="194"/>
      <c r="AX131" s="194"/>
      <c r="AY131" s="194"/>
    </row>
    <row r="132" spans="1:51" s="2699" customFormat="1" ht="18" hidden="1" customHeight="1" x14ac:dyDescent="0.25">
      <c r="A132" s="972">
        <f t="shared" ca="1" si="77"/>
        <v>0</v>
      </c>
      <c r="B132" s="707">
        <f t="shared" si="81"/>
        <v>126</v>
      </c>
      <c r="C132" s="1376"/>
      <c r="D132" s="3346"/>
      <c r="E132" s="3346" t="str">
        <f t="shared" ca="1" si="82"/>
        <v/>
      </c>
      <c r="F132" s="1448" t="str">
        <f t="shared" ca="1" si="83"/>
        <v/>
      </c>
      <c r="G132" s="1418" t="str">
        <f t="shared" ca="1" si="84"/>
        <v/>
      </c>
      <c r="H132" s="3589" t="str">
        <f t="shared" ca="1" si="85"/>
        <v/>
      </c>
      <c r="I132" s="3589" t="str">
        <f t="shared" ca="1" si="86"/>
        <v/>
      </c>
      <c r="J132" s="3590" t="str">
        <f t="shared" ca="1" si="78"/>
        <v/>
      </c>
      <c r="K132" s="1422" t="str">
        <f t="shared" ca="1" si="87"/>
        <v/>
      </c>
      <c r="L132" s="1431" t="str">
        <f t="shared" ca="1" si="79"/>
        <v/>
      </c>
      <c r="M132" s="3591" t="str">
        <f t="shared" ca="1" si="80"/>
        <v/>
      </c>
      <c r="N132" s="3592" t="str">
        <f t="shared" ca="1" si="88"/>
        <v/>
      </c>
      <c r="O132" s="1420" t="e">
        <f ca="1">IF(U132="",IF(Income_RentRollSource="Datappraise/Manual Entry",VLOOKUP($B132,Datappraise_RentRoll,5,FALSE),IF(OR(Income_TechniqueUsed="Direct Capitalization",Income_TechniqueUsed="Direct Cap &amp; DCF"),VLOOKUP('Rent Roll'!S132,'Income Assumptions'!$D$11:$H$19,5,FALSE),VLOOKUP('Rent Roll'!S132,'Income Assumptions'!$D$50:$O$57,6,FALSE))),U132)</f>
        <v>#N/A</v>
      </c>
      <c r="P132" s="3346"/>
      <c r="Q132" s="1377"/>
      <c r="R132" s="652"/>
      <c r="S132" s="2696" t="str">
        <f t="shared" si="89"/>
        <v/>
      </c>
      <c r="T132" s="652"/>
      <c r="U132" s="2696"/>
      <c r="V132" s="652"/>
      <c r="W132" s="2696"/>
      <c r="X132" s="652"/>
      <c r="Y132" s="1580">
        <f t="shared" ca="1" si="90"/>
        <v>0</v>
      </c>
      <c r="Z132" s="1580">
        <f t="shared" ca="1" si="91"/>
        <v>0</v>
      </c>
      <c r="AA132" s="1580">
        <f t="shared" ca="1" si="92"/>
        <v>0</v>
      </c>
      <c r="AB132" s="1580">
        <f t="shared" ca="1" si="93"/>
        <v>0</v>
      </c>
      <c r="AC132" s="1580">
        <f t="shared" ca="1" si="94"/>
        <v>0</v>
      </c>
      <c r="AD132" s="1580">
        <f t="shared" ca="1" si="95"/>
        <v>0</v>
      </c>
      <c r="AE132" s="1580">
        <f t="shared" ca="1" si="96"/>
        <v>0</v>
      </c>
      <c r="AF132" s="1581">
        <f t="shared" ca="1" si="97"/>
        <v>0</v>
      </c>
      <c r="AG132" s="194"/>
      <c r="AH132" s="1579" t="str">
        <f t="shared" ca="1" si="98"/>
        <v/>
      </c>
      <c r="AI132" s="1580" t="str">
        <f t="shared" ca="1" si="99"/>
        <v/>
      </c>
      <c r="AJ132" s="1581" t="str">
        <f t="shared" ca="1" si="100"/>
        <v/>
      </c>
      <c r="AK132" s="194"/>
      <c r="AL132" s="1582">
        <f t="shared" ca="1" si="101"/>
        <v>0</v>
      </c>
      <c r="AM132" s="209"/>
      <c r="AN132" s="1582">
        <f t="shared" ca="1" si="102"/>
        <v>0</v>
      </c>
      <c r="AO132" s="209"/>
      <c r="AP132" s="1582">
        <f t="shared" ca="1" si="103"/>
        <v>0</v>
      </c>
      <c r="AQ132" s="209"/>
      <c r="AR132" s="1582">
        <f t="shared" ca="1" si="104"/>
        <v>0</v>
      </c>
      <c r="AS132" s="194"/>
      <c r="AT132" s="1582">
        <f t="shared" ca="1" si="105"/>
        <v>0</v>
      </c>
      <c r="AU132" s="194"/>
      <c r="AV132" s="194"/>
      <c r="AW132" s="194"/>
      <c r="AX132" s="194"/>
      <c r="AY132" s="194"/>
    </row>
    <row r="133" spans="1:51" s="2699" customFormat="1" ht="18" hidden="1" customHeight="1" x14ac:dyDescent="0.25">
      <c r="A133" s="972">
        <f t="shared" ca="1" si="77"/>
        <v>0</v>
      </c>
      <c r="B133" s="707">
        <f t="shared" si="81"/>
        <v>127</v>
      </c>
      <c r="C133" s="1376"/>
      <c r="D133" s="3346"/>
      <c r="E133" s="3346" t="str">
        <f t="shared" ca="1" si="82"/>
        <v/>
      </c>
      <c r="F133" s="1448" t="str">
        <f t="shared" ca="1" si="83"/>
        <v/>
      </c>
      <c r="G133" s="1418" t="str">
        <f t="shared" ca="1" si="84"/>
        <v/>
      </c>
      <c r="H133" s="3589" t="str">
        <f t="shared" ca="1" si="85"/>
        <v/>
      </c>
      <c r="I133" s="3589" t="str">
        <f t="shared" ca="1" si="86"/>
        <v/>
      </c>
      <c r="J133" s="3590" t="str">
        <f t="shared" ca="1" si="78"/>
        <v/>
      </c>
      <c r="K133" s="1422" t="str">
        <f t="shared" ca="1" si="87"/>
        <v/>
      </c>
      <c r="L133" s="1431" t="str">
        <f t="shared" ca="1" si="79"/>
        <v/>
      </c>
      <c r="M133" s="3591" t="str">
        <f t="shared" ca="1" si="80"/>
        <v/>
      </c>
      <c r="N133" s="3592" t="str">
        <f t="shared" ca="1" si="88"/>
        <v/>
      </c>
      <c r="O133" s="1420" t="e">
        <f ca="1">IF(U133="",IF(Income_RentRollSource="Datappraise/Manual Entry",VLOOKUP($B133,Datappraise_RentRoll,5,FALSE),IF(OR(Income_TechniqueUsed="Direct Capitalization",Income_TechniqueUsed="Direct Cap &amp; DCF"),VLOOKUP('Rent Roll'!S133,'Income Assumptions'!$D$11:$H$19,5,FALSE),VLOOKUP('Rent Roll'!S133,'Income Assumptions'!$D$50:$O$57,6,FALSE))),U133)</f>
        <v>#N/A</v>
      </c>
      <c r="P133" s="3346"/>
      <c r="Q133" s="1377"/>
      <c r="R133" s="652"/>
      <c r="S133" s="2696" t="str">
        <f t="shared" si="89"/>
        <v/>
      </c>
      <c r="T133" s="652"/>
      <c r="U133" s="2696"/>
      <c r="V133" s="652"/>
      <c r="W133" s="2696"/>
      <c r="X133" s="652"/>
      <c r="Y133" s="1580">
        <f t="shared" ca="1" si="90"/>
        <v>0</v>
      </c>
      <c r="Z133" s="1580">
        <f t="shared" ca="1" si="91"/>
        <v>0</v>
      </c>
      <c r="AA133" s="1580">
        <f t="shared" ca="1" si="92"/>
        <v>0</v>
      </c>
      <c r="AB133" s="1580">
        <f t="shared" ca="1" si="93"/>
        <v>0</v>
      </c>
      <c r="AC133" s="1580">
        <f t="shared" ca="1" si="94"/>
        <v>0</v>
      </c>
      <c r="AD133" s="1580">
        <f t="shared" ca="1" si="95"/>
        <v>0</v>
      </c>
      <c r="AE133" s="1580">
        <f t="shared" ca="1" si="96"/>
        <v>0</v>
      </c>
      <c r="AF133" s="1581">
        <f t="shared" ca="1" si="97"/>
        <v>0</v>
      </c>
      <c r="AG133" s="194"/>
      <c r="AH133" s="1579" t="str">
        <f t="shared" ca="1" si="98"/>
        <v/>
      </c>
      <c r="AI133" s="1580" t="str">
        <f t="shared" ca="1" si="99"/>
        <v/>
      </c>
      <c r="AJ133" s="1581" t="str">
        <f t="shared" ca="1" si="100"/>
        <v/>
      </c>
      <c r="AK133" s="194"/>
      <c r="AL133" s="1582">
        <f t="shared" ca="1" si="101"/>
        <v>0</v>
      </c>
      <c r="AM133" s="209"/>
      <c r="AN133" s="1582">
        <f t="shared" ca="1" si="102"/>
        <v>0</v>
      </c>
      <c r="AO133" s="209"/>
      <c r="AP133" s="1582">
        <f t="shared" ca="1" si="103"/>
        <v>0</v>
      </c>
      <c r="AQ133" s="209"/>
      <c r="AR133" s="1582">
        <f t="shared" ca="1" si="104"/>
        <v>0</v>
      </c>
      <c r="AS133" s="194"/>
      <c r="AT133" s="1582">
        <f t="shared" ca="1" si="105"/>
        <v>0</v>
      </c>
      <c r="AU133" s="194"/>
      <c r="AV133" s="194"/>
      <c r="AW133" s="194"/>
      <c r="AX133" s="194"/>
      <c r="AY133" s="194"/>
    </row>
    <row r="134" spans="1:51" s="2699" customFormat="1" ht="18" hidden="1" customHeight="1" x14ac:dyDescent="0.25">
      <c r="A134" s="972">
        <f t="shared" ca="1" si="77"/>
        <v>0</v>
      </c>
      <c r="B134" s="707">
        <f t="shared" si="81"/>
        <v>128</v>
      </c>
      <c r="C134" s="1376"/>
      <c r="D134" s="3346"/>
      <c r="E134" s="3346" t="str">
        <f t="shared" ca="1" si="82"/>
        <v/>
      </c>
      <c r="F134" s="1448" t="str">
        <f t="shared" ca="1" si="83"/>
        <v/>
      </c>
      <c r="G134" s="1418" t="str">
        <f t="shared" ca="1" si="84"/>
        <v/>
      </c>
      <c r="H134" s="3589" t="str">
        <f t="shared" ca="1" si="85"/>
        <v/>
      </c>
      <c r="I134" s="3589" t="str">
        <f t="shared" ca="1" si="86"/>
        <v/>
      </c>
      <c r="J134" s="3590" t="str">
        <f t="shared" ca="1" si="78"/>
        <v/>
      </c>
      <c r="K134" s="1422" t="str">
        <f t="shared" ca="1" si="87"/>
        <v/>
      </c>
      <c r="L134" s="1431" t="str">
        <f t="shared" ca="1" si="79"/>
        <v/>
      </c>
      <c r="M134" s="3591" t="str">
        <f t="shared" ca="1" si="80"/>
        <v/>
      </c>
      <c r="N134" s="3592" t="str">
        <f t="shared" ca="1" si="88"/>
        <v/>
      </c>
      <c r="O134" s="1420" t="e">
        <f ca="1">IF(U134="",IF(Income_RentRollSource="Datappraise/Manual Entry",VLOOKUP($B134,Datappraise_RentRoll,5,FALSE),IF(OR(Income_TechniqueUsed="Direct Capitalization",Income_TechniqueUsed="Direct Cap &amp; DCF"),VLOOKUP('Rent Roll'!S134,'Income Assumptions'!$D$11:$H$19,5,FALSE),VLOOKUP('Rent Roll'!S134,'Income Assumptions'!$D$50:$O$57,6,FALSE))),U134)</f>
        <v>#N/A</v>
      </c>
      <c r="P134" s="3346"/>
      <c r="Q134" s="1377"/>
      <c r="R134" s="652"/>
      <c r="S134" s="2696" t="str">
        <f t="shared" si="89"/>
        <v/>
      </c>
      <c r="T134" s="652"/>
      <c r="U134" s="2696"/>
      <c r="V134" s="652"/>
      <c r="W134" s="2696"/>
      <c r="X134" s="652"/>
      <c r="Y134" s="1580">
        <f t="shared" ca="1" si="90"/>
        <v>0</v>
      </c>
      <c r="Z134" s="1580">
        <f t="shared" ca="1" si="91"/>
        <v>0</v>
      </c>
      <c r="AA134" s="1580">
        <f t="shared" ca="1" si="92"/>
        <v>0</v>
      </c>
      <c r="AB134" s="1580">
        <f t="shared" ca="1" si="93"/>
        <v>0</v>
      </c>
      <c r="AC134" s="1580">
        <f t="shared" ca="1" si="94"/>
        <v>0</v>
      </c>
      <c r="AD134" s="1580">
        <f t="shared" ca="1" si="95"/>
        <v>0</v>
      </c>
      <c r="AE134" s="1580">
        <f t="shared" ca="1" si="96"/>
        <v>0</v>
      </c>
      <c r="AF134" s="1581">
        <f t="shared" ca="1" si="97"/>
        <v>0</v>
      </c>
      <c r="AG134" s="194"/>
      <c r="AH134" s="1579" t="str">
        <f t="shared" ca="1" si="98"/>
        <v/>
      </c>
      <c r="AI134" s="1580" t="str">
        <f t="shared" ca="1" si="99"/>
        <v/>
      </c>
      <c r="AJ134" s="1581" t="str">
        <f t="shared" ca="1" si="100"/>
        <v/>
      </c>
      <c r="AK134" s="194"/>
      <c r="AL134" s="1582">
        <f t="shared" ca="1" si="101"/>
        <v>0</v>
      </c>
      <c r="AM134" s="209"/>
      <c r="AN134" s="1582">
        <f t="shared" ca="1" si="102"/>
        <v>0</v>
      </c>
      <c r="AO134" s="209"/>
      <c r="AP134" s="1582">
        <f t="shared" ca="1" si="103"/>
        <v>0</v>
      </c>
      <c r="AQ134" s="209"/>
      <c r="AR134" s="1582">
        <f t="shared" ca="1" si="104"/>
        <v>0</v>
      </c>
      <c r="AS134" s="194"/>
      <c r="AT134" s="1582">
        <f t="shared" ca="1" si="105"/>
        <v>0</v>
      </c>
      <c r="AU134" s="194"/>
      <c r="AV134" s="194"/>
      <c r="AW134" s="194"/>
      <c r="AX134" s="194"/>
      <c r="AY134" s="194"/>
    </row>
    <row r="135" spans="1:51" s="2699" customFormat="1" ht="18" hidden="1" customHeight="1" x14ac:dyDescent="0.25">
      <c r="A135" s="972">
        <f t="shared" ca="1" si="77"/>
        <v>0</v>
      </c>
      <c r="B135" s="707">
        <f t="shared" si="81"/>
        <v>129</v>
      </c>
      <c r="C135" s="1376"/>
      <c r="D135" s="3346"/>
      <c r="E135" s="3346" t="str">
        <f t="shared" ref="E135:E166" ca="1" si="106">IF(Income_RentRollSource="ARGUS",IF(OR(ISERROR(VLOOKUP($B135,ARGUS_TenantRentRollArray,2,FALSE)),ISNUMBER(SEARCH("Reabsorb",VLOOKUP($B135,ARGUS_TenantRentRollArray,2,FALSE)))),"",VLOOKUP($B135,ARGUS_TenantRentRollArray,2,FALSE)),IF(Datappraise_RentRoll_TenantCount&lt;B135,"",VLOOKUP($B135,Datappraise_RentRoll,2,FALSE)))</f>
        <v/>
      </c>
      <c r="F135" s="1448" t="str">
        <f t="shared" ref="F135:F166" ca="1" si="107">IF(Income_RentRollSource="ARGUS",IF(OR(ISERROR(VLOOKUP($B135,ARGUS_TenantRentRollArray,2,FALSE)),ISNUMBER(SEARCH("Reabsorb",VLOOKUP($B135,ARGUS_TenantRentRollArray,2,FALSE))),ISNUMBER(SEARCH("Vacant",VLOOKUP($B135,ARGUS_TenantRentRollArray,2,FALSE)))),"",VLOOKUP($B135,ARGUS_TenantRentRollArray,3,FALSE)),IF(Datappraise_RentRoll_TenantCount&lt;$B135,"",VLOOKUP($B135,Datappraise_RentRoll,3,FALSE)))</f>
        <v/>
      </c>
      <c r="G135" s="1418" t="str">
        <f t="shared" ref="G135:G166" ca="1" si="108">IF(Income_RentRollSource="ARGUS",IF(OR(ISERROR(VLOOKUP($B135,ARGUS_TenantRentRollArray,2,FALSE)),ISNUMBER(SEARCH("Reabsorb",VLOOKUP($B135,ARGUS_TenantRentRollArray,2,FALSE)))),"",IF(ISERROR(SEARCH("Vacant",E135)),IF(H135&gt;dpIncome_RentRoll_DOV,"Prospective Contract","Contract"),"Speculative")),IF(Datappraise_RentRoll_TenantCount&lt;$B135,"",IF(ISERROR(SEARCH("Vacant",E135)),IF(H135&gt;dpIncome_RentRoll_DOV,"Prospective Contract","Contract"),"Speculative")))</f>
        <v/>
      </c>
      <c r="H135" s="3589" t="str">
        <f t="shared" ref="H135:H166" ca="1" si="109">IF(Income_RentRollSource="ARGUS",IF(OR(ISERROR(VLOOKUP($B135,ARGUS_TenantRentRollArray,2,FALSE)),ISNUMBER(SEARCH("Reabsorb",VLOOKUP($B135,ARGUS_TenantRentRollArray,2,FALSE)))),"",VLOOKUP($B135,ARGUS_TenantRentRollArray,8,FALSE))+0,IF(Datappraise_RentRoll_TenantCount&lt;$B135,"",VLOOKUP($B135,Datappraise_RentRoll,10,FALSE)))</f>
        <v/>
      </c>
      <c r="I135" s="3589" t="str">
        <f t="shared" ref="I135:I166" ca="1" si="110">IF(Income_RentRollSource="ARGUS",IF(OR(ISERROR(VLOOKUP($B135,ARGUS_TenantRentRollArray,2,FALSE)),ISNUMBER(SEARCH("Reabsorb",VLOOKUP($B135,ARGUS_TenantRentRollArray,2,FALSE)))),"",VLOOKUP($B135,ARGUS_TenantRentRollArray,9,FALSE))+0,IF(Datappraise_RentRoll_TenantCount&lt;$B135,"",VLOOKUP($B135,Datappraise_RentRoll,11,FALSE)))</f>
        <v/>
      </c>
      <c r="J135" s="3590" t="str">
        <f t="shared" ca="1" si="78"/>
        <v/>
      </c>
      <c r="K135" s="1422" t="str">
        <f t="shared" ref="K135:K166" ca="1" si="111">IF(Income_RentRollSource="ARGUS",IF(OR(ISERROR(VLOOKUP($B135,ARGUS_TenantRentRollArray,2,FALSE)),ISNUMBER(SEARCH("Reabsorb",VLOOKUP($B135,ARGUS_TenantRentRollArray,2,FALSE)))),"",VLOOKUP($B135,ARGUS_TenantRentRollArray,7,FALSE)),IF(Datappraise_RentRoll_TenantCount&lt;$B135,"",VLOOKUP($B135,Datappraise_RentRoll,7,FALSE)))</f>
        <v/>
      </c>
      <c r="L135" s="1431" t="str">
        <f t="shared" ca="1" si="79"/>
        <v/>
      </c>
      <c r="M135" s="3591" t="str">
        <f t="shared" ca="1" si="80"/>
        <v/>
      </c>
      <c r="N135" s="3592" t="str">
        <f t="shared" ref="N135:N166" ca="1" si="112">IF(Income_RentRollSource="ARGUS",IF(A135=0,"",VLOOKUP(B135,ARGUS_TenantRentRollArray,10,FALSE)/K135),IF(A135=0,"",VLOOKUP($B135,Datappraise_RentRoll,9,FALSE)))</f>
        <v/>
      </c>
      <c r="O135" s="1420" t="e">
        <f ca="1">IF(U135="",IF(Income_RentRollSource="Datappraise/Manual Entry",VLOOKUP($B135,Datappraise_RentRoll,5,FALSE),IF(OR(Income_TechniqueUsed="Direct Capitalization",Income_TechniqueUsed="Direct Cap &amp; DCF"),VLOOKUP('Rent Roll'!S135,'Income Assumptions'!$D$11:$H$19,5,FALSE),VLOOKUP('Rent Roll'!S135,'Income Assumptions'!$D$50:$O$57,6,FALSE))),U135)</f>
        <v>#N/A</v>
      </c>
      <c r="P135" s="3346"/>
      <c r="Q135" s="1377"/>
      <c r="R135" s="652"/>
      <c r="S135" s="2696" t="str">
        <f t="shared" ref="S135:S166" si="113">IF(Income_RentRollSource="Datappraise",IF(ISERROR(VLOOKUP($B135,Datappraise_RentRoll,4,FALSE))=FALSE,VLOOKUP($B135,Datappraise_RentRoll,4,FALSE),""),"")</f>
        <v/>
      </c>
      <c r="T135" s="652"/>
      <c r="U135" s="2696"/>
      <c r="V135" s="652"/>
      <c r="W135" s="2696"/>
      <c r="X135" s="652"/>
      <c r="Y135" s="1580">
        <f t="shared" ref="Y135:Y166" ca="1" si="114">IF(AND($A135=1,$S135=Income_TCat1,$S135&lt;&gt;""),1,0)</f>
        <v>0</v>
      </c>
      <c r="Z135" s="1580">
        <f t="shared" ref="Z135:Z166" ca="1" si="115">IF(AND($A135=1,$S135=Income_TCat2,$S135&lt;&gt;""),1,0)</f>
        <v>0</v>
      </c>
      <c r="AA135" s="1580">
        <f t="shared" ref="AA135:AA166" ca="1" si="116">IF(AND($A135=1,$S135=Income_TCat3,$S135&lt;&gt;""),1,0)</f>
        <v>0</v>
      </c>
      <c r="AB135" s="1580">
        <f t="shared" ref="AB135:AB166" ca="1" si="117">IF(AND($A135=1,$S135=Income_TCat4,$S135&lt;&gt;""),1,0)</f>
        <v>0</v>
      </c>
      <c r="AC135" s="1580">
        <f t="shared" ref="AC135:AC166" ca="1" si="118">IF(AND($A135=1,$S135=Income_TCat5,$S135&lt;&gt;""),1,0)</f>
        <v>0</v>
      </c>
      <c r="AD135" s="1580">
        <f t="shared" ref="AD135:AD166" ca="1" si="119">IF(AND($A135=1,$S135=Income_TCat6,$S135&lt;&gt;""),1,0)</f>
        <v>0</v>
      </c>
      <c r="AE135" s="1580">
        <f t="shared" ref="AE135:AE166" ca="1" si="120">IF(AND($A135=1,$S135=Income_TCat7,$S135&lt;&gt;""),1,0)</f>
        <v>0</v>
      </c>
      <c r="AF135" s="1581">
        <f t="shared" ref="AF135:AF166" ca="1" si="121">IF(AND($A135=1,$S135=Income_TCat8,$S135&lt;&gt;""),1,0)</f>
        <v>0</v>
      </c>
      <c r="AG135" s="194"/>
      <c r="AH135" s="1579" t="str">
        <f t="shared" ref="AH135:AH166" ca="1" si="122">IF(OR(G135="Speculative",G135=""),"",K135*N135)</f>
        <v/>
      </c>
      <c r="AI135" s="1580" t="str">
        <f t="shared" ref="AI135:AI166" ca="1" si="123">IF(OR(G135="Speculative",G135=""),"",K135*VLOOKUP(S135,Income_DirectCap_AssumpMatrix,3,FALSE))</f>
        <v/>
      </c>
      <c r="AJ135" s="1581" t="str">
        <f t="shared" ref="AJ135:AJ166" ca="1" si="124">IF(OR(G135="Speculative",G135=""),"",K135)</f>
        <v/>
      </c>
      <c r="AK135" s="194"/>
      <c r="AL135" s="1582">
        <f t="shared" ref="AL135:AL166" ca="1" si="125">IF(ISERROR(AND(OR($H135=Income_Absorb_Period1,$H135&gt;Income_Absorb_Period1),$A135=1)),0,IF(AND(OR($H135=Income_Absorb_Period1,$H135&gt;Income_Absorb_Period1),$A135=1),$K135,0))</f>
        <v>0</v>
      </c>
      <c r="AM135" s="209"/>
      <c r="AN135" s="1582">
        <f t="shared" ref="AN135:AN166" ca="1" si="126">IF(ISERROR(AND(OR($H135=Income_Absorb_Period2,AND($H135&gt;Income_Absorb_Period2,$H135&lt;Income_Absorb_Period1)),$A135=1,Income_Absorb_Period2&lt;&gt;"")),0,IF(AND(OR($H135=Income_Absorb_Period2,AND($H135&gt;Income_Absorb_Period2,$H135&lt;Income_Absorb_Period1)),$A135=1,Income_Absorb_Period2&lt;&gt;""),$K135,0))</f>
        <v>0</v>
      </c>
      <c r="AO135" s="209"/>
      <c r="AP135" s="1582">
        <f t="shared" ref="AP135:AP166" ca="1" si="127">IF(ISERROR(AND(OR($H135=Income_Absorb_Period3,AND($H135&gt;Income_Absorb_Period3,$H135&lt;Income_Absorb_Period2)),$A135=1,Income_Absorb_Period3&lt;&gt;"")),0,IF(AND(OR($H135=Income_Absorb_Period3,AND($H135&gt;Income_Absorb_Period3,$H135&lt;Income_Absorb_Period2)),$A135=1,Income_Absorb_Period3&lt;&gt;""),$K135,0))</f>
        <v>0</v>
      </c>
      <c r="AQ135" s="209"/>
      <c r="AR135" s="1582">
        <f t="shared" ref="AR135:AR166" ca="1" si="128">IF(ISERROR(AND(OR($H135=Income_Absorb_Period4,AND($H135&gt;Income_Absorb_Period4,$H135&lt;Income_Absorb_Period3)),$A135=1,Income_Absorb_Period4&lt;&gt;"")),0,IF(AND(OR($H135=Income_Absorb_Period4,AND($H135&gt;Income_Absorb_Period4,$H135&lt;Income_Absorb_Period3)),$A135=1,Income_Absorb_Period4&lt;&gt;""),$K135,0))</f>
        <v>0</v>
      </c>
      <c r="AS135" s="194"/>
      <c r="AT135" s="1582">
        <f t="shared" ref="AT135:AT166" ca="1" si="129">IF(ISERROR(AND(OR($H135=Income_Absorb_Period5,AND($H135&gt;Income_Absorb_Period5,$H135&lt;Income_Absorb_Period4)),$A135=1,Income_Absorb_Period5&lt;&gt;"")),0,IF(AND(OR($H135=Income_Absorb_Period5,AND($H135&gt;Income_Absorb_Period5,$H135&lt;Income_Absorb_Period4)),$A135=1,Income_Absorb_Period5&lt;&gt;""),$K135,0))</f>
        <v>0</v>
      </c>
      <c r="AU135" s="194"/>
      <c r="AV135" s="194"/>
      <c r="AW135" s="194"/>
      <c r="AX135" s="194"/>
      <c r="AY135" s="194"/>
    </row>
    <row r="136" spans="1:51" s="2699" customFormat="1" ht="18" hidden="1" customHeight="1" x14ac:dyDescent="0.25">
      <c r="A136" s="972">
        <f t="shared" ref="A136:A199" ca="1" si="130">IF(OR(E136="",ISNUMBER(SEARCH("vacant",E136))),0,1)</f>
        <v>0</v>
      </c>
      <c r="B136" s="707">
        <f t="shared" si="81"/>
        <v>130</v>
      </c>
      <c r="C136" s="1376"/>
      <c r="D136" s="3346"/>
      <c r="E136" s="3346" t="str">
        <f t="shared" ca="1" si="106"/>
        <v/>
      </c>
      <c r="F136" s="1448" t="str">
        <f t="shared" ca="1" si="107"/>
        <v/>
      </c>
      <c r="G136" s="1418" t="str">
        <f t="shared" ca="1" si="108"/>
        <v/>
      </c>
      <c r="H136" s="3589" t="str">
        <f t="shared" ca="1" si="109"/>
        <v/>
      </c>
      <c r="I136" s="3589" t="str">
        <f t="shared" ca="1" si="110"/>
        <v/>
      </c>
      <c r="J136" s="3590" t="str">
        <f t="shared" ref="J136:J199" ca="1" si="131">IF(OR(ISERR(YEARFRAC(dpIncome_RentRoll_DOV,I136)),G136="Speculative"),"",YEARFRAC(dpIncome_RentRoll_DOV,I136))</f>
        <v/>
      </c>
      <c r="K136" s="1422" t="str">
        <f t="shared" ca="1" si="111"/>
        <v/>
      </c>
      <c r="L136" s="1431" t="str">
        <f t="shared" ref="L136:L199" ca="1" si="132">IF(E136="","",K136/$K$216)</f>
        <v/>
      </c>
      <c r="M136" s="3591" t="str">
        <f t="shared" ref="M136:M199" ca="1" si="133">IF(E136="","",IF(G136="Contract",L136,0))</f>
        <v/>
      </c>
      <c r="N136" s="3592" t="str">
        <f t="shared" ca="1" si="112"/>
        <v/>
      </c>
      <c r="O136" s="1420" t="e">
        <f ca="1">IF(U136="",IF(Income_RentRollSource="Datappraise/Manual Entry",VLOOKUP($B136,Datappraise_RentRoll,5,FALSE),IF(OR(Income_TechniqueUsed="Direct Capitalization",Income_TechniqueUsed="Direct Cap &amp; DCF"),VLOOKUP('Rent Roll'!S136,'Income Assumptions'!$D$11:$H$19,5,FALSE),VLOOKUP('Rent Roll'!S136,'Income Assumptions'!$D$50:$O$57,6,FALSE))),U136)</f>
        <v>#N/A</v>
      </c>
      <c r="P136" s="3346"/>
      <c r="Q136" s="1377"/>
      <c r="R136" s="652"/>
      <c r="S136" s="2696" t="str">
        <f t="shared" si="113"/>
        <v/>
      </c>
      <c r="T136" s="652"/>
      <c r="U136" s="2696"/>
      <c r="V136" s="652"/>
      <c r="W136" s="2696"/>
      <c r="X136" s="652"/>
      <c r="Y136" s="1580">
        <f t="shared" ca="1" si="114"/>
        <v>0</v>
      </c>
      <c r="Z136" s="1580">
        <f t="shared" ca="1" si="115"/>
        <v>0</v>
      </c>
      <c r="AA136" s="1580">
        <f t="shared" ca="1" si="116"/>
        <v>0</v>
      </c>
      <c r="AB136" s="1580">
        <f t="shared" ca="1" si="117"/>
        <v>0</v>
      </c>
      <c r="AC136" s="1580">
        <f t="shared" ca="1" si="118"/>
        <v>0</v>
      </c>
      <c r="AD136" s="1580">
        <f t="shared" ca="1" si="119"/>
        <v>0</v>
      </c>
      <c r="AE136" s="1580">
        <f t="shared" ca="1" si="120"/>
        <v>0</v>
      </c>
      <c r="AF136" s="1581">
        <f t="shared" ca="1" si="121"/>
        <v>0</v>
      </c>
      <c r="AG136" s="194"/>
      <c r="AH136" s="1579" t="str">
        <f t="shared" ca="1" si="122"/>
        <v/>
      </c>
      <c r="AI136" s="1580" t="str">
        <f t="shared" ca="1" si="123"/>
        <v/>
      </c>
      <c r="AJ136" s="1581" t="str">
        <f t="shared" ca="1" si="124"/>
        <v/>
      </c>
      <c r="AK136" s="194"/>
      <c r="AL136" s="1582">
        <f t="shared" ca="1" si="125"/>
        <v>0</v>
      </c>
      <c r="AM136" s="209"/>
      <c r="AN136" s="1582">
        <f t="shared" ca="1" si="126"/>
        <v>0</v>
      </c>
      <c r="AO136" s="209"/>
      <c r="AP136" s="1582">
        <f t="shared" ca="1" si="127"/>
        <v>0</v>
      </c>
      <c r="AQ136" s="209"/>
      <c r="AR136" s="1582">
        <f t="shared" ca="1" si="128"/>
        <v>0</v>
      </c>
      <c r="AS136" s="194"/>
      <c r="AT136" s="1582">
        <f t="shared" ca="1" si="129"/>
        <v>0</v>
      </c>
      <c r="AU136" s="194"/>
      <c r="AV136" s="194"/>
      <c r="AW136" s="194"/>
      <c r="AX136" s="194"/>
      <c r="AY136" s="194"/>
    </row>
    <row r="137" spans="1:51" s="2699" customFormat="1" ht="18" hidden="1" customHeight="1" x14ac:dyDescent="0.25">
      <c r="A137" s="972">
        <f t="shared" ca="1" si="130"/>
        <v>0</v>
      </c>
      <c r="B137" s="707">
        <f t="shared" ref="B137:B200" si="134">B136+1</f>
        <v>131</v>
      </c>
      <c r="C137" s="1376"/>
      <c r="D137" s="3346"/>
      <c r="E137" s="3346" t="str">
        <f t="shared" ca="1" si="106"/>
        <v/>
      </c>
      <c r="F137" s="1448" t="str">
        <f t="shared" ca="1" si="107"/>
        <v/>
      </c>
      <c r="G137" s="1418" t="str">
        <f t="shared" ca="1" si="108"/>
        <v/>
      </c>
      <c r="H137" s="3589" t="str">
        <f t="shared" ca="1" si="109"/>
        <v/>
      </c>
      <c r="I137" s="3589" t="str">
        <f t="shared" ca="1" si="110"/>
        <v/>
      </c>
      <c r="J137" s="3590" t="str">
        <f t="shared" ca="1" si="131"/>
        <v/>
      </c>
      <c r="K137" s="1422" t="str">
        <f t="shared" ca="1" si="111"/>
        <v/>
      </c>
      <c r="L137" s="1431" t="str">
        <f t="shared" ca="1" si="132"/>
        <v/>
      </c>
      <c r="M137" s="3591" t="str">
        <f t="shared" ca="1" si="133"/>
        <v/>
      </c>
      <c r="N137" s="3592" t="str">
        <f t="shared" ca="1" si="112"/>
        <v/>
      </c>
      <c r="O137" s="1420" t="e">
        <f ca="1">IF(U137="",IF(Income_RentRollSource="Datappraise/Manual Entry",VLOOKUP($B137,Datappraise_RentRoll,5,FALSE),IF(OR(Income_TechniqueUsed="Direct Capitalization",Income_TechniqueUsed="Direct Cap &amp; DCF"),VLOOKUP('Rent Roll'!S137,'Income Assumptions'!$D$11:$H$19,5,FALSE),VLOOKUP('Rent Roll'!S137,'Income Assumptions'!$D$50:$O$57,6,FALSE))),U137)</f>
        <v>#N/A</v>
      </c>
      <c r="P137" s="3346"/>
      <c r="Q137" s="1377"/>
      <c r="R137" s="652"/>
      <c r="S137" s="2696" t="str">
        <f t="shared" si="113"/>
        <v/>
      </c>
      <c r="T137" s="652"/>
      <c r="U137" s="2696"/>
      <c r="V137" s="652"/>
      <c r="W137" s="2696"/>
      <c r="X137" s="652"/>
      <c r="Y137" s="1580">
        <f t="shared" ca="1" si="114"/>
        <v>0</v>
      </c>
      <c r="Z137" s="1580">
        <f t="shared" ca="1" si="115"/>
        <v>0</v>
      </c>
      <c r="AA137" s="1580">
        <f t="shared" ca="1" si="116"/>
        <v>0</v>
      </c>
      <c r="AB137" s="1580">
        <f t="shared" ca="1" si="117"/>
        <v>0</v>
      </c>
      <c r="AC137" s="1580">
        <f t="shared" ca="1" si="118"/>
        <v>0</v>
      </c>
      <c r="AD137" s="1580">
        <f t="shared" ca="1" si="119"/>
        <v>0</v>
      </c>
      <c r="AE137" s="1580">
        <f t="shared" ca="1" si="120"/>
        <v>0</v>
      </c>
      <c r="AF137" s="1581">
        <f t="shared" ca="1" si="121"/>
        <v>0</v>
      </c>
      <c r="AG137" s="194"/>
      <c r="AH137" s="1579" t="str">
        <f t="shared" ca="1" si="122"/>
        <v/>
      </c>
      <c r="AI137" s="1580" t="str">
        <f t="shared" ca="1" si="123"/>
        <v/>
      </c>
      <c r="AJ137" s="1581" t="str">
        <f t="shared" ca="1" si="124"/>
        <v/>
      </c>
      <c r="AK137" s="194"/>
      <c r="AL137" s="1582">
        <f t="shared" ca="1" si="125"/>
        <v>0</v>
      </c>
      <c r="AM137" s="209"/>
      <c r="AN137" s="1582">
        <f t="shared" ca="1" si="126"/>
        <v>0</v>
      </c>
      <c r="AO137" s="209"/>
      <c r="AP137" s="1582">
        <f t="shared" ca="1" si="127"/>
        <v>0</v>
      </c>
      <c r="AQ137" s="209"/>
      <c r="AR137" s="1582">
        <f t="shared" ca="1" si="128"/>
        <v>0</v>
      </c>
      <c r="AS137" s="194"/>
      <c r="AT137" s="1582">
        <f t="shared" ca="1" si="129"/>
        <v>0</v>
      </c>
      <c r="AU137" s="194"/>
      <c r="AV137" s="194"/>
      <c r="AW137" s="194"/>
      <c r="AX137" s="194"/>
      <c r="AY137" s="194"/>
    </row>
    <row r="138" spans="1:51" s="2699" customFormat="1" ht="18" hidden="1" customHeight="1" x14ac:dyDescent="0.25">
      <c r="A138" s="972">
        <f t="shared" ca="1" si="130"/>
        <v>0</v>
      </c>
      <c r="B138" s="707">
        <f t="shared" si="134"/>
        <v>132</v>
      </c>
      <c r="C138" s="1376"/>
      <c r="D138" s="3346"/>
      <c r="E138" s="3346" t="str">
        <f t="shared" ca="1" si="106"/>
        <v/>
      </c>
      <c r="F138" s="1448" t="str">
        <f t="shared" ca="1" si="107"/>
        <v/>
      </c>
      <c r="G138" s="1418" t="str">
        <f t="shared" ca="1" si="108"/>
        <v/>
      </c>
      <c r="H138" s="3589" t="str">
        <f t="shared" ca="1" si="109"/>
        <v/>
      </c>
      <c r="I138" s="3589" t="str">
        <f t="shared" ca="1" si="110"/>
        <v/>
      </c>
      <c r="J138" s="3590" t="str">
        <f t="shared" ca="1" si="131"/>
        <v/>
      </c>
      <c r="K138" s="1422" t="str">
        <f t="shared" ca="1" si="111"/>
        <v/>
      </c>
      <c r="L138" s="1431" t="str">
        <f t="shared" ca="1" si="132"/>
        <v/>
      </c>
      <c r="M138" s="3591" t="str">
        <f t="shared" ca="1" si="133"/>
        <v/>
      </c>
      <c r="N138" s="3592" t="str">
        <f t="shared" ca="1" si="112"/>
        <v/>
      </c>
      <c r="O138" s="1420" t="e">
        <f ca="1">IF(U138="",IF(Income_RentRollSource="Datappraise/Manual Entry",VLOOKUP($B138,Datappraise_RentRoll,5,FALSE),IF(OR(Income_TechniqueUsed="Direct Capitalization",Income_TechniqueUsed="Direct Cap &amp; DCF"),VLOOKUP('Rent Roll'!S138,'Income Assumptions'!$D$11:$H$19,5,FALSE),VLOOKUP('Rent Roll'!S138,'Income Assumptions'!$D$50:$O$57,6,FALSE))),U138)</f>
        <v>#N/A</v>
      </c>
      <c r="P138" s="3346"/>
      <c r="Q138" s="1377"/>
      <c r="R138" s="652"/>
      <c r="S138" s="2696" t="str">
        <f t="shared" si="113"/>
        <v/>
      </c>
      <c r="T138" s="652"/>
      <c r="U138" s="2696"/>
      <c r="V138" s="652"/>
      <c r="W138" s="2696"/>
      <c r="X138" s="652"/>
      <c r="Y138" s="1580">
        <f t="shared" ca="1" si="114"/>
        <v>0</v>
      </c>
      <c r="Z138" s="1580">
        <f t="shared" ca="1" si="115"/>
        <v>0</v>
      </c>
      <c r="AA138" s="1580">
        <f t="shared" ca="1" si="116"/>
        <v>0</v>
      </c>
      <c r="AB138" s="1580">
        <f t="shared" ca="1" si="117"/>
        <v>0</v>
      </c>
      <c r="AC138" s="1580">
        <f t="shared" ca="1" si="118"/>
        <v>0</v>
      </c>
      <c r="AD138" s="1580">
        <f t="shared" ca="1" si="119"/>
        <v>0</v>
      </c>
      <c r="AE138" s="1580">
        <f t="shared" ca="1" si="120"/>
        <v>0</v>
      </c>
      <c r="AF138" s="1581">
        <f t="shared" ca="1" si="121"/>
        <v>0</v>
      </c>
      <c r="AG138" s="194"/>
      <c r="AH138" s="1579" t="str">
        <f t="shared" ca="1" si="122"/>
        <v/>
      </c>
      <c r="AI138" s="1580" t="str">
        <f t="shared" ca="1" si="123"/>
        <v/>
      </c>
      <c r="AJ138" s="1581" t="str">
        <f t="shared" ca="1" si="124"/>
        <v/>
      </c>
      <c r="AK138" s="194"/>
      <c r="AL138" s="1582">
        <f t="shared" ca="1" si="125"/>
        <v>0</v>
      </c>
      <c r="AM138" s="209"/>
      <c r="AN138" s="1582">
        <f t="shared" ca="1" si="126"/>
        <v>0</v>
      </c>
      <c r="AO138" s="209"/>
      <c r="AP138" s="1582">
        <f t="shared" ca="1" si="127"/>
        <v>0</v>
      </c>
      <c r="AQ138" s="209"/>
      <c r="AR138" s="1582">
        <f t="shared" ca="1" si="128"/>
        <v>0</v>
      </c>
      <c r="AS138" s="194"/>
      <c r="AT138" s="1582">
        <f t="shared" ca="1" si="129"/>
        <v>0</v>
      </c>
      <c r="AU138" s="194"/>
      <c r="AV138" s="194"/>
      <c r="AW138" s="194"/>
      <c r="AX138" s="194"/>
      <c r="AY138" s="194"/>
    </row>
    <row r="139" spans="1:51" s="2699" customFormat="1" ht="18" hidden="1" customHeight="1" x14ac:dyDescent="0.25">
      <c r="A139" s="972">
        <f t="shared" ca="1" si="130"/>
        <v>0</v>
      </c>
      <c r="B139" s="707">
        <f t="shared" si="134"/>
        <v>133</v>
      </c>
      <c r="C139" s="1376"/>
      <c r="D139" s="3346"/>
      <c r="E139" s="3346" t="str">
        <f t="shared" ca="1" si="106"/>
        <v/>
      </c>
      <c r="F139" s="1448" t="str">
        <f t="shared" ca="1" si="107"/>
        <v/>
      </c>
      <c r="G139" s="1418" t="str">
        <f t="shared" ca="1" si="108"/>
        <v/>
      </c>
      <c r="H139" s="3589" t="str">
        <f t="shared" ca="1" si="109"/>
        <v/>
      </c>
      <c r="I139" s="3589" t="str">
        <f t="shared" ca="1" si="110"/>
        <v/>
      </c>
      <c r="J139" s="3590" t="str">
        <f t="shared" ca="1" si="131"/>
        <v/>
      </c>
      <c r="K139" s="1422" t="str">
        <f t="shared" ca="1" si="111"/>
        <v/>
      </c>
      <c r="L139" s="1431" t="str">
        <f t="shared" ca="1" si="132"/>
        <v/>
      </c>
      <c r="M139" s="3591" t="str">
        <f t="shared" ca="1" si="133"/>
        <v/>
      </c>
      <c r="N139" s="3592" t="str">
        <f t="shared" ca="1" si="112"/>
        <v/>
      </c>
      <c r="O139" s="1420" t="e">
        <f ca="1">IF(U139="",IF(Income_RentRollSource="Datappraise/Manual Entry",VLOOKUP($B139,Datappraise_RentRoll,5,FALSE),IF(OR(Income_TechniqueUsed="Direct Capitalization",Income_TechniqueUsed="Direct Cap &amp; DCF"),VLOOKUP('Rent Roll'!S139,'Income Assumptions'!$D$11:$H$19,5,FALSE),VLOOKUP('Rent Roll'!S139,'Income Assumptions'!$D$50:$O$57,6,FALSE))),U139)</f>
        <v>#N/A</v>
      </c>
      <c r="P139" s="3346"/>
      <c r="Q139" s="1377"/>
      <c r="R139" s="652"/>
      <c r="S139" s="2696" t="str">
        <f t="shared" si="113"/>
        <v/>
      </c>
      <c r="T139" s="652"/>
      <c r="U139" s="2696"/>
      <c r="V139" s="652"/>
      <c r="W139" s="2696"/>
      <c r="X139" s="652"/>
      <c r="Y139" s="1580">
        <f t="shared" ca="1" si="114"/>
        <v>0</v>
      </c>
      <c r="Z139" s="1580">
        <f t="shared" ca="1" si="115"/>
        <v>0</v>
      </c>
      <c r="AA139" s="1580">
        <f t="shared" ca="1" si="116"/>
        <v>0</v>
      </c>
      <c r="AB139" s="1580">
        <f t="shared" ca="1" si="117"/>
        <v>0</v>
      </c>
      <c r="AC139" s="1580">
        <f t="shared" ca="1" si="118"/>
        <v>0</v>
      </c>
      <c r="AD139" s="1580">
        <f t="shared" ca="1" si="119"/>
        <v>0</v>
      </c>
      <c r="AE139" s="1580">
        <f t="shared" ca="1" si="120"/>
        <v>0</v>
      </c>
      <c r="AF139" s="1581">
        <f t="shared" ca="1" si="121"/>
        <v>0</v>
      </c>
      <c r="AG139" s="194"/>
      <c r="AH139" s="1579" t="str">
        <f t="shared" ca="1" si="122"/>
        <v/>
      </c>
      <c r="AI139" s="1580" t="str">
        <f t="shared" ca="1" si="123"/>
        <v/>
      </c>
      <c r="AJ139" s="1581" t="str">
        <f t="shared" ca="1" si="124"/>
        <v/>
      </c>
      <c r="AK139" s="194"/>
      <c r="AL139" s="1582">
        <f t="shared" ca="1" si="125"/>
        <v>0</v>
      </c>
      <c r="AM139" s="209"/>
      <c r="AN139" s="1582">
        <f t="shared" ca="1" si="126"/>
        <v>0</v>
      </c>
      <c r="AO139" s="209"/>
      <c r="AP139" s="1582">
        <f t="shared" ca="1" si="127"/>
        <v>0</v>
      </c>
      <c r="AQ139" s="209"/>
      <c r="AR139" s="1582">
        <f t="shared" ca="1" si="128"/>
        <v>0</v>
      </c>
      <c r="AS139" s="194"/>
      <c r="AT139" s="1582">
        <f t="shared" ca="1" si="129"/>
        <v>0</v>
      </c>
      <c r="AU139" s="194"/>
      <c r="AV139" s="194"/>
      <c r="AW139" s="194"/>
      <c r="AX139" s="194"/>
      <c r="AY139" s="194"/>
    </row>
    <row r="140" spans="1:51" s="2699" customFormat="1" ht="18" hidden="1" customHeight="1" x14ac:dyDescent="0.25">
      <c r="A140" s="972">
        <f t="shared" ca="1" si="130"/>
        <v>0</v>
      </c>
      <c r="B140" s="707">
        <f t="shared" si="134"/>
        <v>134</v>
      </c>
      <c r="C140" s="1376"/>
      <c r="D140" s="3346"/>
      <c r="E140" s="3346" t="str">
        <f t="shared" ca="1" si="106"/>
        <v/>
      </c>
      <c r="F140" s="1448" t="str">
        <f t="shared" ca="1" si="107"/>
        <v/>
      </c>
      <c r="G140" s="1418" t="str">
        <f t="shared" ca="1" si="108"/>
        <v/>
      </c>
      <c r="H140" s="3589" t="str">
        <f t="shared" ca="1" si="109"/>
        <v/>
      </c>
      <c r="I140" s="3589" t="str">
        <f t="shared" ca="1" si="110"/>
        <v/>
      </c>
      <c r="J140" s="3590" t="str">
        <f t="shared" ca="1" si="131"/>
        <v/>
      </c>
      <c r="K140" s="1422" t="str">
        <f t="shared" ca="1" si="111"/>
        <v/>
      </c>
      <c r="L140" s="1431" t="str">
        <f t="shared" ca="1" si="132"/>
        <v/>
      </c>
      <c r="M140" s="3591" t="str">
        <f t="shared" ca="1" si="133"/>
        <v/>
      </c>
      <c r="N140" s="3592" t="str">
        <f t="shared" ca="1" si="112"/>
        <v/>
      </c>
      <c r="O140" s="1420" t="e">
        <f ca="1">IF(U140="",IF(Income_RentRollSource="Datappraise/Manual Entry",VLOOKUP($B140,Datappraise_RentRoll,5,FALSE),IF(OR(Income_TechniqueUsed="Direct Capitalization",Income_TechniqueUsed="Direct Cap &amp; DCF"),VLOOKUP('Rent Roll'!S140,'Income Assumptions'!$D$11:$H$19,5,FALSE),VLOOKUP('Rent Roll'!S140,'Income Assumptions'!$D$50:$O$57,6,FALSE))),U140)</f>
        <v>#N/A</v>
      </c>
      <c r="P140" s="3346"/>
      <c r="Q140" s="1377"/>
      <c r="R140" s="652"/>
      <c r="S140" s="2696" t="str">
        <f t="shared" si="113"/>
        <v/>
      </c>
      <c r="T140" s="652"/>
      <c r="U140" s="2696"/>
      <c r="V140" s="652"/>
      <c r="W140" s="2696"/>
      <c r="X140" s="652"/>
      <c r="Y140" s="1580">
        <f t="shared" ca="1" si="114"/>
        <v>0</v>
      </c>
      <c r="Z140" s="1580">
        <f t="shared" ca="1" si="115"/>
        <v>0</v>
      </c>
      <c r="AA140" s="1580">
        <f t="shared" ca="1" si="116"/>
        <v>0</v>
      </c>
      <c r="AB140" s="1580">
        <f t="shared" ca="1" si="117"/>
        <v>0</v>
      </c>
      <c r="AC140" s="1580">
        <f t="shared" ca="1" si="118"/>
        <v>0</v>
      </c>
      <c r="AD140" s="1580">
        <f t="shared" ca="1" si="119"/>
        <v>0</v>
      </c>
      <c r="AE140" s="1580">
        <f t="shared" ca="1" si="120"/>
        <v>0</v>
      </c>
      <c r="AF140" s="1581">
        <f t="shared" ca="1" si="121"/>
        <v>0</v>
      </c>
      <c r="AG140" s="194"/>
      <c r="AH140" s="1579" t="str">
        <f t="shared" ca="1" si="122"/>
        <v/>
      </c>
      <c r="AI140" s="1580" t="str">
        <f t="shared" ca="1" si="123"/>
        <v/>
      </c>
      <c r="AJ140" s="1581" t="str">
        <f t="shared" ca="1" si="124"/>
        <v/>
      </c>
      <c r="AK140" s="194"/>
      <c r="AL140" s="1582">
        <f t="shared" ca="1" si="125"/>
        <v>0</v>
      </c>
      <c r="AM140" s="209"/>
      <c r="AN140" s="1582">
        <f t="shared" ca="1" si="126"/>
        <v>0</v>
      </c>
      <c r="AO140" s="209"/>
      <c r="AP140" s="1582">
        <f t="shared" ca="1" si="127"/>
        <v>0</v>
      </c>
      <c r="AQ140" s="209"/>
      <c r="AR140" s="1582">
        <f t="shared" ca="1" si="128"/>
        <v>0</v>
      </c>
      <c r="AS140" s="194"/>
      <c r="AT140" s="1582">
        <f t="shared" ca="1" si="129"/>
        <v>0</v>
      </c>
      <c r="AU140" s="194"/>
      <c r="AV140" s="194"/>
      <c r="AW140" s="194"/>
      <c r="AX140" s="194"/>
      <c r="AY140" s="194"/>
    </row>
    <row r="141" spans="1:51" s="2699" customFormat="1" ht="18" hidden="1" customHeight="1" x14ac:dyDescent="0.25">
      <c r="A141" s="972">
        <f t="shared" ca="1" si="130"/>
        <v>0</v>
      </c>
      <c r="B141" s="707">
        <f t="shared" si="134"/>
        <v>135</v>
      </c>
      <c r="C141" s="1376"/>
      <c r="D141" s="3346"/>
      <c r="E141" s="3346" t="str">
        <f t="shared" ca="1" si="106"/>
        <v/>
      </c>
      <c r="F141" s="1448" t="str">
        <f t="shared" ca="1" si="107"/>
        <v/>
      </c>
      <c r="G141" s="1418" t="str">
        <f t="shared" ca="1" si="108"/>
        <v/>
      </c>
      <c r="H141" s="3589" t="str">
        <f t="shared" ca="1" si="109"/>
        <v/>
      </c>
      <c r="I141" s="3589" t="str">
        <f t="shared" ca="1" si="110"/>
        <v/>
      </c>
      <c r="J141" s="3590" t="str">
        <f t="shared" ca="1" si="131"/>
        <v/>
      </c>
      <c r="K141" s="1422" t="str">
        <f t="shared" ca="1" si="111"/>
        <v/>
      </c>
      <c r="L141" s="1431" t="str">
        <f t="shared" ca="1" si="132"/>
        <v/>
      </c>
      <c r="M141" s="3591" t="str">
        <f t="shared" ca="1" si="133"/>
        <v/>
      </c>
      <c r="N141" s="3592" t="str">
        <f t="shared" ca="1" si="112"/>
        <v/>
      </c>
      <c r="O141" s="1420" t="e">
        <f ca="1">IF(U141="",IF(Income_RentRollSource="Datappraise/Manual Entry",VLOOKUP($B141,Datappraise_RentRoll,5,FALSE),IF(OR(Income_TechniqueUsed="Direct Capitalization",Income_TechniqueUsed="Direct Cap &amp; DCF"),VLOOKUP('Rent Roll'!S141,'Income Assumptions'!$D$11:$H$19,5,FALSE),VLOOKUP('Rent Roll'!S141,'Income Assumptions'!$D$50:$O$57,6,FALSE))),U141)</f>
        <v>#N/A</v>
      </c>
      <c r="P141" s="3346"/>
      <c r="Q141" s="1377"/>
      <c r="R141" s="652"/>
      <c r="S141" s="2696" t="str">
        <f t="shared" si="113"/>
        <v/>
      </c>
      <c r="T141" s="652"/>
      <c r="U141" s="2696"/>
      <c r="V141" s="652"/>
      <c r="W141" s="2696"/>
      <c r="X141" s="652"/>
      <c r="Y141" s="1580">
        <f t="shared" ca="1" si="114"/>
        <v>0</v>
      </c>
      <c r="Z141" s="1580">
        <f t="shared" ca="1" si="115"/>
        <v>0</v>
      </c>
      <c r="AA141" s="1580">
        <f t="shared" ca="1" si="116"/>
        <v>0</v>
      </c>
      <c r="AB141" s="1580">
        <f t="shared" ca="1" si="117"/>
        <v>0</v>
      </c>
      <c r="AC141" s="1580">
        <f t="shared" ca="1" si="118"/>
        <v>0</v>
      </c>
      <c r="AD141" s="1580">
        <f t="shared" ca="1" si="119"/>
        <v>0</v>
      </c>
      <c r="AE141" s="1580">
        <f t="shared" ca="1" si="120"/>
        <v>0</v>
      </c>
      <c r="AF141" s="1581">
        <f t="shared" ca="1" si="121"/>
        <v>0</v>
      </c>
      <c r="AG141" s="194"/>
      <c r="AH141" s="1579" t="str">
        <f t="shared" ca="1" si="122"/>
        <v/>
      </c>
      <c r="AI141" s="1580" t="str">
        <f t="shared" ca="1" si="123"/>
        <v/>
      </c>
      <c r="AJ141" s="1581" t="str">
        <f t="shared" ca="1" si="124"/>
        <v/>
      </c>
      <c r="AK141" s="194"/>
      <c r="AL141" s="1582">
        <f t="shared" ca="1" si="125"/>
        <v>0</v>
      </c>
      <c r="AM141" s="209"/>
      <c r="AN141" s="1582">
        <f t="shared" ca="1" si="126"/>
        <v>0</v>
      </c>
      <c r="AO141" s="209"/>
      <c r="AP141" s="1582">
        <f t="shared" ca="1" si="127"/>
        <v>0</v>
      </c>
      <c r="AQ141" s="209"/>
      <c r="AR141" s="1582">
        <f t="shared" ca="1" si="128"/>
        <v>0</v>
      </c>
      <c r="AS141" s="194"/>
      <c r="AT141" s="1582">
        <f t="shared" ca="1" si="129"/>
        <v>0</v>
      </c>
      <c r="AU141" s="194"/>
      <c r="AV141" s="194"/>
      <c r="AW141" s="194"/>
      <c r="AX141" s="194"/>
      <c r="AY141" s="194"/>
    </row>
    <row r="142" spans="1:51" s="2699" customFormat="1" ht="18" hidden="1" customHeight="1" x14ac:dyDescent="0.25">
      <c r="A142" s="972">
        <f t="shared" ca="1" si="130"/>
        <v>0</v>
      </c>
      <c r="B142" s="707">
        <f t="shared" si="134"/>
        <v>136</v>
      </c>
      <c r="C142" s="1376"/>
      <c r="D142" s="3346"/>
      <c r="E142" s="3346" t="str">
        <f t="shared" ca="1" si="106"/>
        <v/>
      </c>
      <c r="F142" s="1448" t="str">
        <f t="shared" ca="1" si="107"/>
        <v/>
      </c>
      <c r="G142" s="1418" t="str">
        <f t="shared" ca="1" si="108"/>
        <v/>
      </c>
      <c r="H142" s="3589" t="str">
        <f t="shared" ca="1" si="109"/>
        <v/>
      </c>
      <c r="I142" s="3589" t="str">
        <f t="shared" ca="1" si="110"/>
        <v/>
      </c>
      <c r="J142" s="3590" t="str">
        <f t="shared" ca="1" si="131"/>
        <v/>
      </c>
      <c r="K142" s="1422" t="str">
        <f t="shared" ca="1" si="111"/>
        <v/>
      </c>
      <c r="L142" s="1431" t="str">
        <f t="shared" ca="1" si="132"/>
        <v/>
      </c>
      <c r="M142" s="3591" t="str">
        <f t="shared" ca="1" si="133"/>
        <v/>
      </c>
      <c r="N142" s="3592" t="str">
        <f t="shared" ca="1" si="112"/>
        <v/>
      </c>
      <c r="O142" s="1420" t="e">
        <f ca="1">IF(U142="",IF(Income_RentRollSource="Datappraise/Manual Entry",VLOOKUP($B142,Datappraise_RentRoll,5,FALSE),IF(OR(Income_TechniqueUsed="Direct Capitalization",Income_TechniqueUsed="Direct Cap &amp; DCF"),VLOOKUP('Rent Roll'!S142,'Income Assumptions'!$D$11:$H$19,5,FALSE),VLOOKUP('Rent Roll'!S142,'Income Assumptions'!$D$50:$O$57,6,FALSE))),U142)</f>
        <v>#N/A</v>
      </c>
      <c r="P142" s="3346"/>
      <c r="Q142" s="1377"/>
      <c r="R142" s="652"/>
      <c r="S142" s="2696" t="str">
        <f t="shared" si="113"/>
        <v/>
      </c>
      <c r="T142" s="652"/>
      <c r="U142" s="2696"/>
      <c r="V142" s="652"/>
      <c r="W142" s="2696"/>
      <c r="X142" s="652"/>
      <c r="Y142" s="1580">
        <f t="shared" ca="1" si="114"/>
        <v>0</v>
      </c>
      <c r="Z142" s="1580">
        <f t="shared" ca="1" si="115"/>
        <v>0</v>
      </c>
      <c r="AA142" s="1580">
        <f t="shared" ca="1" si="116"/>
        <v>0</v>
      </c>
      <c r="AB142" s="1580">
        <f t="shared" ca="1" si="117"/>
        <v>0</v>
      </c>
      <c r="AC142" s="1580">
        <f t="shared" ca="1" si="118"/>
        <v>0</v>
      </c>
      <c r="AD142" s="1580">
        <f t="shared" ca="1" si="119"/>
        <v>0</v>
      </c>
      <c r="AE142" s="1580">
        <f t="shared" ca="1" si="120"/>
        <v>0</v>
      </c>
      <c r="AF142" s="1581">
        <f t="shared" ca="1" si="121"/>
        <v>0</v>
      </c>
      <c r="AG142" s="194"/>
      <c r="AH142" s="1579" t="str">
        <f t="shared" ca="1" si="122"/>
        <v/>
      </c>
      <c r="AI142" s="1580" t="str">
        <f t="shared" ca="1" si="123"/>
        <v/>
      </c>
      <c r="AJ142" s="1581" t="str">
        <f t="shared" ca="1" si="124"/>
        <v/>
      </c>
      <c r="AK142" s="194"/>
      <c r="AL142" s="1582">
        <f t="shared" ca="1" si="125"/>
        <v>0</v>
      </c>
      <c r="AM142" s="209"/>
      <c r="AN142" s="1582">
        <f t="shared" ca="1" si="126"/>
        <v>0</v>
      </c>
      <c r="AO142" s="209"/>
      <c r="AP142" s="1582">
        <f t="shared" ca="1" si="127"/>
        <v>0</v>
      </c>
      <c r="AQ142" s="209"/>
      <c r="AR142" s="1582">
        <f t="shared" ca="1" si="128"/>
        <v>0</v>
      </c>
      <c r="AS142" s="194"/>
      <c r="AT142" s="1582">
        <f t="shared" ca="1" si="129"/>
        <v>0</v>
      </c>
      <c r="AU142" s="194"/>
      <c r="AV142" s="194"/>
      <c r="AW142" s="194"/>
      <c r="AX142" s="194"/>
      <c r="AY142" s="194"/>
    </row>
    <row r="143" spans="1:51" s="2699" customFormat="1" ht="18" hidden="1" customHeight="1" x14ac:dyDescent="0.25">
      <c r="A143" s="972">
        <f t="shared" ca="1" si="130"/>
        <v>0</v>
      </c>
      <c r="B143" s="707">
        <f t="shared" si="134"/>
        <v>137</v>
      </c>
      <c r="C143" s="1376"/>
      <c r="D143" s="3346"/>
      <c r="E143" s="3346" t="str">
        <f t="shared" ca="1" si="106"/>
        <v/>
      </c>
      <c r="F143" s="1448" t="str">
        <f t="shared" ca="1" si="107"/>
        <v/>
      </c>
      <c r="G143" s="1418" t="str">
        <f t="shared" ca="1" si="108"/>
        <v/>
      </c>
      <c r="H143" s="3589" t="str">
        <f t="shared" ca="1" si="109"/>
        <v/>
      </c>
      <c r="I143" s="3589" t="str">
        <f t="shared" ca="1" si="110"/>
        <v/>
      </c>
      <c r="J143" s="3590" t="str">
        <f t="shared" ca="1" si="131"/>
        <v/>
      </c>
      <c r="K143" s="1422" t="str">
        <f t="shared" ca="1" si="111"/>
        <v/>
      </c>
      <c r="L143" s="1431" t="str">
        <f t="shared" ca="1" si="132"/>
        <v/>
      </c>
      <c r="M143" s="3591" t="str">
        <f t="shared" ca="1" si="133"/>
        <v/>
      </c>
      <c r="N143" s="3592" t="str">
        <f t="shared" ca="1" si="112"/>
        <v/>
      </c>
      <c r="O143" s="1420" t="e">
        <f ca="1">IF(U143="",IF(Income_RentRollSource="Datappraise/Manual Entry",VLOOKUP($B143,Datappraise_RentRoll,5,FALSE),IF(OR(Income_TechniqueUsed="Direct Capitalization",Income_TechniqueUsed="Direct Cap &amp; DCF"),VLOOKUP('Rent Roll'!S143,'Income Assumptions'!$D$11:$H$19,5,FALSE),VLOOKUP('Rent Roll'!S143,'Income Assumptions'!$D$50:$O$57,6,FALSE))),U143)</f>
        <v>#N/A</v>
      </c>
      <c r="P143" s="3346"/>
      <c r="Q143" s="1377"/>
      <c r="R143" s="652"/>
      <c r="S143" s="2696" t="str">
        <f t="shared" si="113"/>
        <v/>
      </c>
      <c r="T143" s="652"/>
      <c r="U143" s="2696"/>
      <c r="V143" s="652"/>
      <c r="W143" s="2696"/>
      <c r="X143" s="652"/>
      <c r="Y143" s="1580">
        <f t="shared" ca="1" si="114"/>
        <v>0</v>
      </c>
      <c r="Z143" s="1580">
        <f t="shared" ca="1" si="115"/>
        <v>0</v>
      </c>
      <c r="AA143" s="1580">
        <f t="shared" ca="1" si="116"/>
        <v>0</v>
      </c>
      <c r="AB143" s="1580">
        <f t="shared" ca="1" si="117"/>
        <v>0</v>
      </c>
      <c r="AC143" s="1580">
        <f t="shared" ca="1" si="118"/>
        <v>0</v>
      </c>
      <c r="AD143" s="1580">
        <f t="shared" ca="1" si="119"/>
        <v>0</v>
      </c>
      <c r="AE143" s="1580">
        <f t="shared" ca="1" si="120"/>
        <v>0</v>
      </c>
      <c r="AF143" s="1581">
        <f t="shared" ca="1" si="121"/>
        <v>0</v>
      </c>
      <c r="AG143" s="194"/>
      <c r="AH143" s="1579" t="str">
        <f t="shared" ca="1" si="122"/>
        <v/>
      </c>
      <c r="AI143" s="1580" t="str">
        <f t="shared" ca="1" si="123"/>
        <v/>
      </c>
      <c r="AJ143" s="1581" t="str">
        <f t="shared" ca="1" si="124"/>
        <v/>
      </c>
      <c r="AK143" s="194"/>
      <c r="AL143" s="1582">
        <f t="shared" ca="1" si="125"/>
        <v>0</v>
      </c>
      <c r="AM143" s="209"/>
      <c r="AN143" s="1582">
        <f t="shared" ca="1" si="126"/>
        <v>0</v>
      </c>
      <c r="AO143" s="209"/>
      <c r="AP143" s="1582">
        <f t="shared" ca="1" si="127"/>
        <v>0</v>
      </c>
      <c r="AQ143" s="209"/>
      <c r="AR143" s="1582">
        <f t="shared" ca="1" si="128"/>
        <v>0</v>
      </c>
      <c r="AS143" s="194"/>
      <c r="AT143" s="1582">
        <f t="shared" ca="1" si="129"/>
        <v>0</v>
      </c>
      <c r="AU143" s="194"/>
      <c r="AV143" s="194"/>
      <c r="AW143" s="194"/>
      <c r="AX143" s="194"/>
      <c r="AY143" s="194"/>
    </row>
    <row r="144" spans="1:51" s="2699" customFormat="1" ht="18" hidden="1" customHeight="1" x14ac:dyDescent="0.25">
      <c r="A144" s="972">
        <f t="shared" ca="1" si="130"/>
        <v>0</v>
      </c>
      <c r="B144" s="707">
        <f t="shared" si="134"/>
        <v>138</v>
      </c>
      <c r="C144" s="1376"/>
      <c r="D144" s="3346"/>
      <c r="E144" s="3346" t="str">
        <f t="shared" ca="1" si="106"/>
        <v/>
      </c>
      <c r="F144" s="1448" t="str">
        <f t="shared" ca="1" si="107"/>
        <v/>
      </c>
      <c r="G144" s="1418" t="str">
        <f t="shared" ca="1" si="108"/>
        <v/>
      </c>
      <c r="H144" s="3589" t="str">
        <f t="shared" ca="1" si="109"/>
        <v/>
      </c>
      <c r="I144" s="3589" t="str">
        <f t="shared" ca="1" si="110"/>
        <v/>
      </c>
      <c r="J144" s="3590" t="str">
        <f t="shared" ca="1" si="131"/>
        <v/>
      </c>
      <c r="K144" s="1422" t="str">
        <f t="shared" ca="1" si="111"/>
        <v/>
      </c>
      <c r="L144" s="1431" t="str">
        <f t="shared" ca="1" si="132"/>
        <v/>
      </c>
      <c r="M144" s="3591" t="str">
        <f t="shared" ca="1" si="133"/>
        <v/>
      </c>
      <c r="N144" s="3592" t="str">
        <f t="shared" ca="1" si="112"/>
        <v/>
      </c>
      <c r="O144" s="1420" t="e">
        <f ca="1">IF(U144="",IF(Income_RentRollSource="Datappraise/Manual Entry",VLOOKUP($B144,Datappraise_RentRoll,5,FALSE),IF(OR(Income_TechniqueUsed="Direct Capitalization",Income_TechniqueUsed="Direct Cap &amp; DCF"),VLOOKUP('Rent Roll'!S144,'Income Assumptions'!$D$11:$H$19,5,FALSE),VLOOKUP('Rent Roll'!S144,'Income Assumptions'!$D$50:$O$57,6,FALSE))),U144)</f>
        <v>#N/A</v>
      </c>
      <c r="P144" s="3346"/>
      <c r="Q144" s="1377"/>
      <c r="R144" s="652"/>
      <c r="S144" s="2696" t="str">
        <f t="shared" si="113"/>
        <v/>
      </c>
      <c r="T144" s="652"/>
      <c r="U144" s="2696"/>
      <c r="V144" s="652"/>
      <c r="W144" s="2696"/>
      <c r="X144" s="652"/>
      <c r="Y144" s="1580">
        <f t="shared" ca="1" si="114"/>
        <v>0</v>
      </c>
      <c r="Z144" s="1580">
        <f t="shared" ca="1" si="115"/>
        <v>0</v>
      </c>
      <c r="AA144" s="1580">
        <f t="shared" ca="1" si="116"/>
        <v>0</v>
      </c>
      <c r="AB144" s="1580">
        <f t="shared" ca="1" si="117"/>
        <v>0</v>
      </c>
      <c r="AC144" s="1580">
        <f t="shared" ca="1" si="118"/>
        <v>0</v>
      </c>
      <c r="AD144" s="1580">
        <f t="shared" ca="1" si="119"/>
        <v>0</v>
      </c>
      <c r="AE144" s="1580">
        <f t="shared" ca="1" si="120"/>
        <v>0</v>
      </c>
      <c r="AF144" s="1581">
        <f t="shared" ca="1" si="121"/>
        <v>0</v>
      </c>
      <c r="AG144" s="194"/>
      <c r="AH144" s="1579" t="str">
        <f t="shared" ca="1" si="122"/>
        <v/>
      </c>
      <c r="AI144" s="1580" t="str">
        <f t="shared" ca="1" si="123"/>
        <v/>
      </c>
      <c r="AJ144" s="1581" t="str">
        <f t="shared" ca="1" si="124"/>
        <v/>
      </c>
      <c r="AK144" s="194"/>
      <c r="AL144" s="1582">
        <f t="shared" ca="1" si="125"/>
        <v>0</v>
      </c>
      <c r="AM144" s="209"/>
      <c r="AN144" s="1582">
        <f t="shared" ca="1" si="126"/>
        <v>0</v>
      </c>
      <c r="AO144" s="209"/>
      <c r="AP144" s="1582">
        <f t="shared" ca="1" si="127"/>
        <v>0</v>
      </c>
      <c r="AQ144" s="209"/>
      <c r="AR144" s="1582">
        <f t="shared" ca="1" si="128"/>
        <v>0</v>
      </c>
      <c r="AS144" s="194"/>
      <c r="AT144" s="1582">
        <f t="shared" ca="1" si="129"/>
        <v>0</v>
      </c>
      <c r="AU144" s="194"/>
      <c r="AV144" s="194"/>
      <c r="AW144" s="194"/>
      <c r="AX144" s="194"/>
      <c r="AY144" s="194"/>
    </row>
    <row r="145" spans="1:51" s="2699" customFormat="1" ht="18" hidden="1" customHeight="1" x14ac:dyDescent="0.25">
      <c r="A145" s="972">
        <f t="shared" ca="1" si="130"/>
        <v>0</v>
      </c>
      <c r="B145" s="707">
        <f t="shared" si="134"/>
        <v>139</v>
      </c>
      <c r="C145" s="1376"/>
      <c r="D145" s="3346"/>
      <c r="E145" s="3346" t="str">
        <f t="shared" ca="1" si="106"/>
        <v/>
      </c>
      <c r="F145" s="1448" t="str">
        <f t="shared" ca="1" si="107"/>
        <v/>
      </c>
      <c r="G145" s="1418" t="str">
        <f t="shared" ca="1" si="108"/>
        <v/>
      </c>
      <c r="H145" s="3589" t="str">
        <f t="shared" ca="1" si="109"/>
        <v/>
      </c>
      <c r="I145" s="3589" t="str">
        <f t="shared" ca="1" si="110"/>
        <v/>
      </c>
      <c r="J145" s="3590" t="str">
        <f t="shared" ca="1" si="131"/>
        <v/>
      </c>
      <c r="K145" s="1422" t="str">
        <f t="shared" ca="1" si="111"/>
        <v/>
      </c>
      <c r="L145" s="1431" t="str">
        <f t="shared" ca="1" si="132"/>
        <v/>
      </c>
      <c r="M145" s="3591" t="str">
        <f t="shared" ca="1" si="133"/>
        <v/>
      </c>
      <c r="N145" s="3592" t="str">
        <f t="shared" ca="1" si="112"/>
        <v/>
      </c>
      <c r="O145" s="1420" t="e">
        <f ca="1">IF(U145="",IF(Income_RentRollSource="Datappraise/Manual Entry",VLOOKUP($B145,Datappraise_RentRoll,5,FALSE),IF(OR(Income_TechniqueUsed="Direct Capitalization",Income_TechniqueUsed="Direct Cap &amp; DCF"),VLOOKUP('Rent Roll'!S145,'Income Assumptions'!$D$11:$H$19,5,FALSE),VLOOKUP('Rent Roll'!S145,'Income Assumptions'!$D$50:$O$57,6,FALSE))),U145)</f>
        <v>#N/A</v>
      </c>
      <c r="P145" s="3346"/>
      <c r="Q145" s="1377"/>
      <c r="R145" s="652"/>
      <c r="S145" s="2696" t="str">
        <f t="shared" si="113"/>
        <v/>
      </c>
      <c r="T145" s="652"/>
      <c r="U145" s="2696"/>
      <c r="V145" s="652"/>
      <c r="W145" s="2696"/>
      <c r="X145" s="652"/>
      <c r="Y145" s="1580">
        <f t="shared" ca="1" si="114"/>
        <v>0</v>
      </c>
      <c r="Z145" s="1580">
        <f t="shared" ca="1" si="115"/>
        <v>0</v>
      </c>
      <c r="AA145" s="1580">
        <f t="shared" ca="1" si="116"/>
        <v>0</v>
      </c>
      <c r="AB145" s="1580">
        <f t="shared" ca="1" si="117"/>
        <v>0</v>
      </c>
      <c r="AC145" s="1580">
        <f t="shared" ca="1" si="118"/>
        <v>0</v>
      </c>
      <c r="AD145" s="1580">
        <f t="shared" ca="1" si="119"/>
        <v>0</v>
      </c>
      <c r="AE145" s="1580">
        <f t="shared" ca="1" si="120"/>
        <v>0</v>
      </c>
      <c r="AF145" s="1581">
        <f t="shared" ca="1" si="121"/>
        <v>0</v>
      </c>
      <c r="AG145" s="194"/>
      <c r="AH145" s="1579" t="str">
        <f t="shared" ca="1" si="122"/>
        <v/>
      </c>
      <c r="AI145" s="1580" t="str">
        <f t="shared" ca="1" si="123"/>
        <v/>
      </c>
      <c r="AJ145" s="1581" t="str">
        <f t="shared" ca="1" si="124"/>
        <v/>
      </c>
      <c r="AK145" s="194"/>
      <c r="AL145" s="1582">
        <f t="shared" ca="1" si="125"/>
        <v>0</v>
      </c>
      <c r="AM145" s="209"/>
      <c r="AN145" s="1582">
        <f t="shared" ca="1" si="126"/>
        <v>0</v>
      </c>
      <c r="AO145" s="209"/>
      <c r="AP145" s="1582">
        <f t="shared" ca="1" si="127"/>
        <v>0</v>
      </c>
      <c r="AQ145" s="209"/>
      <c r="AR145" s="1582">
        <f t="shared" ca="1" si="128"/>
        <v>0</v>
      </c>
      <c r="AS145" s="194"/>
      <c r="AT145" s="1582">
        <f t="shared" ca="1" si="129"/>
        <v>0</v>
      </c>
      <c r="AU145" s="194"/>
      <c r="AV145" s="194"/>
      <c r="AW145" s="194"/>
      <c r="AX145" s="194"/>
      <c r="AY145" s="194"/>
    </row>
    <row r="146" spans="1:51" s="2699" customFormat="1" ht="18" hidden="1" customHeight="1" x14ac:dyDescent="0.25">
      <c r="A146" s="972">
        <f t="shared" ca="1" si="130"/>
        <v>0</v>
      </c>
      <c r="B146" s="707">
        <f t="shared" si="134"/>
        <v>140</v>
      </c>
      <c r="C146" s="1376"/>
      <c r="D146" s="3346"/>
      <c r="E146" s="3346" t="str">
        <f t="shared" ca="1" si="106"/>
        <v/>
      </c>
      <c r="F146" s="1448" t="str">
        <f t="shared" ca="1" si="107"/>
        <v/>
      </c>
      <c r="G146" s="1418" t="str">
        <f t="shared" ca="1" si="108"/>
        <v/>
      </c>
      <c r="H146" s="3589" t="str">
        <f t="shared" ca="1" si="109"/>
        <v/>
      </c>
      <c r="I146" s="3589" t="str">
        <f t="shared" ca="1" si="110"/>
        <v/>
      </c>
      <c r="J146" s="3590" t="str">
        <f t="shared" ca="1" si="131"/>
        <v/>
      </c>
      <c r="K146" s="1422" t="str">
        <f t="shared" ca="1" si="111"/>
        <v/>
      </c>
      <c r="L146" s="1431" t="str">
        <f t="shared" ca="1" si="132"/>
        <v/>
      </c>
      <c r="M146" s="3591" t="str">
        <f t="shared" ca="1" si="133"/>
        <v/>
      </c>
      <c r="N146" s="3592" t="str">
        <f t="shared" ca="1" si="112"/>
        <v/>
      </c>
      <c r="O146" s="1420" t="e">
        <f ca="1">IF(U146="",IF(Income_RentRollSource="Datappraise/Manual Entry",VLOOKUP($B146,Datappraise_RentRoll,5,FALSE),IF(OR(Income_TechniqueUsed="Direct Capitalization",Income_TechniqueUsed="Direct Cap &amp; DCF"),VLOOKUP('Rent Roll'!S146,'Income Assumptions'!$D$11:$H$19,5,FALSE),VLOOKUP('Rent Roll'!S146,'Income Assumptions'!$D$50:$O$57,6,FALSE))),U146)</f>
        <v>#N/A</v>
      </c>
      <c r="P146" s="3346"/>
      <c r="Q146" s="1377"/>
      <c r="R146" s="652"/>
      <c r="S146" s="2696" t="str">
        <f t="shared" si="113"/>
        <v/>
      </c>
      <c r="T146" s="652"/>
      <c r="U146" s="2696"/>
      <c r="V146" s="652"/>
      <c r="W146" s="2696"/>
      <c r="X146" s="652"/>
      <c r="Y146" s="1580">
        <f t="shared" ca="1" si="114"/>
        <v>0</v>
      </c>
      <c r="Z146" s="1580">
        <f t="shared" ca="1" si="115"/>
        <v>0</v>
      </c>
      <c r="AA146" s="1580">
        <f t="shared" ca="1" si="116"/>
        <v>0</v>
      </c>
      <c r="AB146" s="1580">
        <f t="shared" ca="1" si="117"/>
        <v>0</v>
      </c>
      <c r="AC146" s="1580">
        <f t="shared" ca="1" si="118"/>
        <v>0</v>
      </c>
      <c r="AD146" s="1580">
        <f t="shared" ca="1" si="119"/>
        <v>0</v>
      </c>
      <c r="AE146" s="1580">
        <f t="shared" ca="1" si="120"/>
        <v>0</v>
      </c>
      <c r="AF146" s="1581">
        <f t="shared" ca="1" si="121"/>
        <v>0</v>
      </c>
      <c r="AG146" s="194"/>
      <c r="AH146" s="1579" t="str">
        <f t="shared" ca="1" si="122"/>
        <v/>
      </c>
      <c r="AI146" s="1580" t="str">
        <f t="shared" ca="1" si="123"/>
        <v/>
      </c>
      <c r="AJ146" s="1581" t="str">
        <f t="shared" ca="1" si="124"/>
        <v/>
      </c>
      <c r="AK146" s="194"/>
      <c r="AL146" s="1582">
        <f t="shared" ca="1" si="125"/>
        <v>0</v>
      </c>
      <c r="AM146" s="209"/>
      <c r="AN146" s="1582">
        <f t="shared" ca="1" si="126"/>
        <v>0</v>
      </c>
      <c r="AO146" s="209"/>
      <c r="AP146" s="1582">
        <f t="shared" ca="1" si="127"/>
        <v>0</v>
      </c>
      <c r="AQ146" s="209"/>
      <c r="AR146" s="1582">
        <f t="shared" ca="1" si="128"/>
        <v>0</v>
      </c>
      <c r="AS146" s="194"/>
      <c r="AT146" s="1582">
        <f t="shared" ca="1" si="129"/>
        <v>0</v>
      </c>
      <c r="AU146" s="194"/>
      <c r="AV146" s="194"/>
      <c r="AW146" s="194"/>
      <c r="AX146" s="194"/>
      <c r="AY146" s="194"/>
    </row>
    <row r="147" spans="1:51" s="2699" customFormat="1" ht="18" hidden="1" customHeight="1" x14ac:dyDescent="0.25">
      <c r="A147" s="972">
        <f t="shared" ca="1" si="130"/>
        <v>0</v>
      </c>
      <c r="B147" s="707">
        <f t="shared" si="134"/>
        <v>141</v>
      </c>
      <c r="C147" s="1376"/>
      <c r="D147" s="3346"/>
      <c r="E147" s="3346" t="str">
        <f t="shared" ca="1" si="106"/>
        <v/>
      </c>
      <c r="F147" s="1448" t="str">
        <f t="shared" ca="1" si="107"/>
        <v/>
      </c>
      <c r="G147" s="1418" t="str">
        <f t="shared" ca="1" si="108"/>
        <v/>
      </c>
      <c r="H147" s="3589" t="str">
        <f t="shared" ca="1" si="109"/>
        <v/>
      </c>
      <c r="I147" s="3589" t="str">
        <f t="shared" ca="1" si="110"/>
        <v/>
      </c>
      <c r="J147" s="3590" t="str">
        <f t="shared" ca="1" si="131"/>
        <v/>
      </c>
      <c r="K147" s="1422" t="str">
        <f t="shared" ca="1" si="111"/>
        <v/>
      </c>
      <c r="L147" s="1431" t="str">
        <f t="shared" ca="1" si="132"/>
        <v/>
      </c>
      <c r="M147" s="3591" t="str">
        <f t="shared" ca="1" si="133"/>
        <v/>
      </c>
      <c r="N147" s="3592" t="str">
        <f t="shared" ca="1" si="112"/>
        <v/>
      </c>
      <c r="O147" s="1420" t="e">
        <f ca="1">IF(U147="",IF(Income_RentRollSource="Datappraise/Manual Entry",VLOOKUP($B147,Datappraise_RentRoll,5,FALSE),IF(OR(Income_TechniqueUsed="Direct Capitalization",Income_TechniqueUsed="Direct Cap &amp; DCF"),VLOOKUP('Rent Roll'!S147,'Income Assumptions'!$D$11:$H$19,5,FALSE),VLOOKUP('Rent Roll'!S147,'Income Assumptions'!$D$50:$O$57,6,FALSE))),U147)</f>
        <v>#N/A</v>
      </c>
      <c r="P147" s="3346"/>
      <c r="Q147" s="1377"/>
      <c r="R147" s="652"/>
      <c r="S147" s="2696" t="str">
        <f t="shared" si="113"/>
        <v/>
      </c>
      <c r="T147" s="652"/>
      <c r="U147" s="2696"/>
      <c r="V147" s="652"/>
      <c r="W147" s="2696"/>
      <c r="X147" s="652"/>
      <c r="Y147" s="1580">
        <f t="shared" ca="1" si="114"/>
        <v>0</v>
      </c>
      <c r="Z147" s="1580">
        <f t="shared" ca="1" si="115"/>
        <v>0</v>
      </c>
      <c r="AA147" s="1580">
        <f t="shared" ca="1" si="116"/>
        <v>0</v>
      </c>
      <c r="AB147" s="1580">
        <f t="shared" ca="1" si="117"/>
        <v>0</v>
      </c>
      <c r="AC147" s="1580">
        <f t="shared" ca="1" si="118"/>
        <v>0</v>
      </c>
      <c r="AD147" s="1580">
        <f t="shared" ca="1" si="119"/>
        <v>0</v>
      </c>
      <c r="AE147" s="1580">
        <f t="shared" ca="1" si="120"/>
        <v>0</v>
      </c>
      <c r="AF147" s="1581">
        <f t="shared" ca="1" si="121"/>
        <v>0</v>
      </c>
      <c r="AG147" s="194"/>
      <c r="AH147" s="1579" t="str">
        <f t="shared" ca="1" si="122"/>
        <v/>
      </c>
      <c r="AI147" s="1580" t="str">
        <f t="shared" ca="1" si="123"/>
        <v/>
      </c>
      <c r="AJ147" s="1581" t="str">
        <f t="shared" ca="1" si="124"/>
        <v/>
      </c>
      <c r="AK147" s="194"/>
      <c r="AL147" s="1582">
        <f t="shared" ca="1" si="125"/>
        <v>0</v>
      </c>
      <c r="AM147" s="209"/>
      <c r="AN147" s="1582">
        <f t="shared" ca="1" si="126"/>
        <v>0</v>
      </c>
      <c r="AO147" s="209"/>
      <c r="AP147" s="1582">
        <f t="shared" ca="1" si="127"/>
        <v>0</v>
      </c>
      <c r="AQ147" s="209"/>
      <c r="AR147" s="1582">
        <f t="shared" ca="1" si="128"/>
        <v>0</v>
      </c>
      <c r="AS147" s="194"/>
      <c r="AT147" s="1582">
        <f t="shared" ca="1" si="129"/>
        <v>0</v>
      </c>
      <c r="AU147" s="194"/>
      <c r="AV147" s="194"/>
      <c r="AW147" s="194"/>
      <c r="AX147" s="194"/>
      <c r="AY147" s="194"/>
    </row>
    <row r="148" spans="1:51" s="2699" customFormat="1" ht="18" hidden="1" customHeight="1" x14ac:dyDescent="0.25">
      <c r="A148" s="972">
        <f t="shared" ca="1" si="130"/>
        <v>0</v>
      </c>
      <c r="B148" s="707">
        <f t="shared" si="134"/>
        <v>142</v>
      </c>
      <c r="C148" s="1376"/>
      <c r="D148" s="3346"/>
      <c r="E148" s="3346" t="str">
        <f t="shared" ca="1" si="106"/>
        <v/>
      </c>
      <c r="F148" s="1448" t="str">
        <f t="shared" ca="1" si="107"/>
        <v/>
      </c>
      <c r="G148" s="1418" t="str">
        <f t="shared" ca="1" si="108"/>
        <v/>
      </c>
      <c r="H148" s="3589" t="str">
        <f t="shared" ca="1" si="109"/>
        <v/>
      </c>
      <c r="I148" s="3589" t="str">
        <f t="shared" ca="1" si="110"/>
        <v/>
      </c>
      <c r="J148" s="3590" t="str">
        <f t="shared" ca="1" si="131"/>
        <v/>
      </c>
      <c r="K148" s="1422" t="str">
        <f t="shared" ca="1" si="111"/>
        <v/>
      </c>
      <c r="L148" s="1431" t="str">
        <f t="shared" ca="1" si="132"/>
        <v/>
      </c>
      <c r="M148" s="3591" t="str">
        <f t="shared" ca="1" si="133"/>
        <v/>
      </c>
      <c r="N148" s="3592" t="str">
        <f t="shared" ca="1" si="112"/>
        <v/>
      </c>
      <c r="O148" s="1420" t="e">
        <f ca="1">IF(U148="",IF(Income_RentRollSource="Datappraise/Manual Entry",VLOOKUP($B148,Datappraise_RentRoll,5,FALSE),IF(OR(Income_TechniqueUsed="Direct Capitalization",Income_TechniqueUsed="Direct Cap &amp; DCF"),VLOOKUP('Rent Roll'!S148,'Income Assumptions'!$D$11:$H$19,5,FALSE),VLOOKUP('Rent Roll'!S148,'Income Assumptions'!$D$50:$O$57,6,FALSE))),U148)</f>
        <v>#N/A</v>
      </c>
      <c r="P148" s="3346"/>
      <c r="Q148" s="1377"/>
      <c r="R148" s="652"/>
      <c r="S148" s="2696" t="str">
        <f t="shared" si="113"/>
        <v/>
      </c>
      <c r="T148" s="652"/>
      <c r="U148" s="2696"/>
      <c r="V148" s="652"/>
      <c r="W148" s="2696"/>
      <c r="X148" s="652"/>
      <c r="Y148" s="1580">
        <f t="shared" ca="1" si="114"/>
        <v>0</v>
      </c>
      <c r="Z148" s="1580">
        <f t="shared" ca="1" si="115"/>
        <v>0</v>
      </c>
      <c r="AA148" s="1580">
        <f t="shared" ca="1" si="116"/>
        <v>0</v>
      </c>
      <c r="AB148" s="1580">
        <f t="shared" ca="1" si="117"/>
        <v>0</v>
      </c>
      <c r="AC148" s="1580">
        <f t="shared" ca="1" si="118"/>
        <v>0</v>
      </c>
      <c r="AD148" s="1580">
        <f t="shared" ca="1" si="119"/>
        <v>0</v>
      </c>
      <c r="AE148" s="1580">
        <f t="shared" ca="1" si="120"/>
        <v>0</v>
      </c>
      <c r="AF148" s="1581">
        <f t="shared" ca="1" si="121"/>
        <v>0</v>
      </c>
      <c r="AG148" s="194"/>
      <c r="AH148" s="1579" t="str">
        <f t="shared" ca="1" si="122"/>
        <v/>
      </c>
      <c r="AI148" s="1580" t="str">
        <f t="shared" ca="1" si="123"/>
        <v/>
      </c>
      <c r="AJ148" s="1581" t="str">
        <f t="shared" ca="1" si="124"/>
        <v/>
      </c>
      <c r="AK148" s="194"/>
      <c r="AL148" s="1582">
        <f t="shared" ca="1" si="125"/>
        <v>0</v>
      </c>
      <c r="AM148" s="209"/>
      <c r="AN148" s="1582">
        <f t="shared" ca="1" si="126"/>
        <v>0</v>
      </c>
      <c r="AO148" s="209"/>
      <c r="AP148" s="1582">
        <f t="shared" ca="1" si="127"/>
        <v>0</v>
      </c>
      <c r="AQ148" s="209"/>
      <c r="AR148" s="1582">
        <f t="shared" ca="1" si="128"/>
        <v>0</v>
      </c>
      <c r="AS148" s="194"/>
      <c r="AT148" s="1582">
        <f t="shared" ca="1" si="129"/>
        <v>0</v>
      </c>
      <c r="AU148" s="194"/>
      <c r="AV148" s="194"/>
      <c r="AW148" s="194"/>
      <c r="AX148" s="194"/>
      <c r="AY148" s="194"/>
    </row>
    <row r="149" spans="1:51" s="2699" customFormat="1" ht="18" hidden="1" customHeight="1" x14ac:dyDescent="0.25">
      <c r="A149" s="972">
        <f t="shared" ca="1" si="130"/>
        <v>0</v>
      </c>
      <c r="B149" s="707">
        <f t="shared" si="134"/>
        <v>143</v>
      </c>
      <c r="C149" s="1376"/>
      <c r="D149" s="3346"/>
      <c r="E149" s="3346" t="str">
        <f t="shared" ca="1" si="106"/>
        <v/>
      </c>
      <c r="F149" s="1448" t="str">
        <f t="shared" ca="1" si="107"/>
        <v/>
      </c>
      <c r="G149" s="1418" t="str">
        <f t="shared" ca="1" si="108"/>
        <v/>
      </c>
      <c r="H149" s="3589" t="str">
        <f t="shared" ca="1" si="109"/>
        <v/>
      </c>
      <c r="I149" s="3589" t="str">
        <f t="shared" ca="1" si="110"/>
        <v/>
      </c>
      <c r="J149" s="3590" t="str">
        <f t="shared" ca="1" si="131"/>
        <v/>
      </c>
      <c r="K149" s="1422" t="str">
        <f t="shared" ca="1" si="111"/>
        <v/>
      </c>
      <c r="L149" s="1431" t="str">
        <f t="shared" ca="1" si="132"/>
        <v/>
      </c>
      <c r="M149" s="3591" t="str">
        <f t="shared" ca="1" si="133"/>
        <v/>
      </c>
      <c r="N149" s="3592" t="str">
        <f t="shared" ca="1" si="112"/>
        <v/>
      </c>
      <c r="O149" s="1420" t="e">
        <f ca="1">IF(U149="",IF(Income_RentRollSource="Datappraise/Manual Entry",VLOOKUP($B149,Datappraise_RentRoll,5,FALSE),IF(OR(Income_TechniqueUsed="Direct Capitalization",Income_TechniqueUsed="Direct Cap &amp; DCF"),VLOOKUP('Rent Roll'!S149,'Income Assumptions'!$D$11:$H$19,5,FALSE),VLOOKUP('Rent Roll'!S149,'Income Assumptions'!$D$50:$O$57,6,FALSE))),U149)</f>
        <v>#N/A</v>
      </c>
      <c r="P149" s="3346"/>
      <c r="Q149" s="1377"/>
      <c r="R149" s="652"/>
      <c r="S149" s="2696" t="str">
        <f t="shared" si="113"/>
        <v/>
      </c>
      <c r="T149" s="652"/>
      <c r="U149" s="2696"/>
      <c r="V149" s="652"/>
      <c r="W149" s="2696"/>
      <c r="X149" s="652"/>
      <c r="Y149" s="1580">
        <f t="shared" ca="1" si="114"/>
        <v>0</v>
      </c>
      <c r="Z149" s="1580">
        <f t="shared" ca="1" si="115"/>
        <v>0</v>
      </c>
      <c r="AA149" s="1580">
        <f t="shared" ca="1" si="116"/>
        <v>0</v>
      </c>
      <c r="AB149" s="1580">
        <f t="shared" ca="1" si="117"/>
        <v>0</v>
      </c>
      <c r="AC149" s="1580">
        <f t="shared" ca="1" si="118"/>
        <v>0</v>
      </c>
      <c r="AD149" s="1580">
        <f t="shared" ca="1" si="119"/>
        <v>0</v>
      </c>
      <c r="AE149" s="1580">
        <f t="shared" ca="1" si="120"/>
        <v>0</v>
      </c>
      <c r="AF149" s="1581">
        <f t="shared" ca="1" si="121"/>
        <v>0</v>
      </c>
      <c r="AG149" s="194"/>
      <c r="AH149" s="1579" t="str">
        <f t="shared" ca="1" si="122"/>
        <v/>
      </c>
      <c r="AI149" s="1580" t="str">
        <f t="shared" ca="1" si="123"/>
        <v/>
      </c>
      <c r="AJ149" s="1581" t="str">
        <f t="shared" ca="1" si="124"/>
        <v/>
      </c>
      <c r="AK149" s="194"/>
      <c r="AL149" s="1582">
        <f t="shared" ca="1" si="125"/>
        <v>0</v>
      </c>
      <c r="AM149" s="209"/>
      <c r="AN149" s="1582">
        <f t="shared" ca="1" si="126"/>
        <v>0</v>
      </c>
      <c r="AO149" s="209"/>
      <c r="AP149" s="1582">
        <f t="shared" ca="1" si="127"/>
        <v>0</v>
      </c>
      <c r="AQ149" s="209"/>
      <c r="AR149" s="1582">
        <f t="shared" ca="1" si="128"/>
        <v>0</v>
      </c>
      <c r="AS149" s="194"/>
      <c r="AT149" s="1582">
        <f t="shared" ca="1" si="129"/>
        <v>0</v>
      </c>
      <c r="AU149" s="194"/>
      <c r="AV149" s="194"/>
      <c r="AW149" s="194"/>
      <c r="AX149" s="194"/>
      <c r="AY149" s="194"/>
    </row>
    <row r="150" spans="1:51" s="2699" customFormat="1" ht="18" hidden="1" customHeight="1" x14ac:dyDescent="0.25">
      <c r="A150" s="972">
        <f t="shared" ca="1" si="130"/>
        <v>0</v>
      </c>
      <c r="B150" s="707">
        <f t="shared" si="134"/>
        <v>144</v>
      </c>
      <c r="C150" s="1376"/>
      <c r="D150" s="3346"/>
      <c r="E150" s="3346" t="str">
        <f t="shared" ca="1" si="106"/>
        <v/>
      </c>
      <c r="F150" s="1448" t="str">
        <f t="shared" ca="1" si="107"/>
        <v/>
      </c>
      <c r="G150" s="1418" t="str">
        <f t="shared" ca="1" si="108"/>
        <v/>
      </c>
      <c r="H150" s="3589" t="str">
        <f t="shared" ca="1" si="109"/>
        <v/>
      </c>
      <c r="I150" s="3589" t="str">
        <f t="shared" ca="1" si="110"/>
        <v/>
      </c>
      <c r="J150" s="3590" t="str">
        <f t="shared" ca="1" si="131"/>
        <v/>
      </c>
      <c r="K150" s="1422" t="str">
        <f t="shared" ca="1" si="111"/>
        <v/>
      </c>
      <c r="L150" s="1431" t="str">
        <f t="shared" ca="1" si="132"/>
        <v/>
      </c>
      <c r="M150" s="3591" t="str">
        <f t="shared" ca="1" si="133"/>
        <v/>
      </c>
      <c r="N150" s="3592" t="str">
        <f t="shared" ca="1" si="112"/>
        <v/>
      </c>
      <c r="O150" s="1420" t="e">
        <f ca="1">IF(U150="",IF(Income_RentRollSource="Datappraise/Manual Entry",VLOOKUP($B150,Datappraise_RentRoll,5,FALSE),IF(OR(Income_TechniqueUsed="Direct Capitalization",Income_TechniqueUsed="Direct Cap &amp; DCF"),VLOOKUP('Rent Roll'!S150,'Income Assumptions'!$D$11:$H$19,5,FALSE),VLOOKUP('Rent Roll'!S150,'Income Assumptions'!$D$50:$O$57,6,FALSE))),U150)</f>
        <v>#N/A</v>
      </c>
      <c r="P150" s="3346"/>
      <c r="Q150" s="1377"/>
      <c r="R150" s="652"/>
      <c r="S150" s="2696" t="str">
        <f t="shared" si="113"/>
        <v/>
      </c>
      <c r="T150" s="652"/>
      <c r="U150" s="2696"/>
      <c r="V150" s="652"/>
      <c r="W150" s="2696"/>
      <c r="X150" s="652"/>
      <c r="Y150" s="1580">
        <f t="shared" ca="1" si="114"/>
        <v>0</v>
      </c>
      <c r="Z150" s="1580">
        <f t="shared" ca="1" si="115"/>
        <v>0</v>
      </c>
      <c r="AA150" s="1580">
        <f t="shared" ca="1" si="116"/>
        <v>0</v>
      </c>
      <c r="AB150" s="1580">
        <f t="shared" ca="1" si="117"/>
        <v>0</v>
      </c>
      <c r="AC150" s="1580">
        <f t="shared" ca="1" si="118"/>
        <v>0</v>
      </c>
      <c r="AD150" s="1580">
        <f t="shared" ca="1" si="119"/>
        <v>0</v>
      </c>
      <c r="AE150" s="1580">
        <f t="shared" ca="1" si="120"/>
        <v>0</v>
      </c>
      <c r="AF150" s="1581">
        <f t="shared" ca="1" si="121"/>
        <v>0</v>
      </c>
      <c r="AG150" s="194"/>
      <c r="AH150" s="1579" t="str">
        <f t="shared" ca="1" si="122"/>
        <v/>
      </c>
      <c r="AI150" s="1580" t="str">
        <f t="shared" ca="1" si="123"/>
        <v/>
      </c>
      <c r="AJ150" s="1581" t="str">
        <f t="shared" ca="1" si="124"/>
        <v/>
      </c>
      <c r="AK150" s="194"/>
      <c r="AL150" s="1582">
        <f t="shared" ca="1" si="125"/>
        <v>0</v>
      </c>
      <c r="AM150" s="209"/>
      <c r="AN150" s="1582">
        <f t="shared" ca="1" si="126"/>
        <v>0</v>
      </c>
      <c r="AO150" s="209"/>
      <c r="AP150" s="1582">
        <f t="shared" ca="1" si="127"/>
        <v>0</v>
      </c>
      <c r="AQ150" s="209"/>
      <c r="AR150" s="1582">
        <f t="shared" ca="1" si="128"/>
        <v>0</v>
      </c>
      <c r="AS150" s="194"/>
      <c r="AT150" s="1582">
        <f t="shared" ca="1" si="129"/>
        <v>0</v>
      </c>
      <c r="AU150" s="194"/>
      <c r="AV150" s="194"/>
      <c r="AW150" s="194"/>
      <c r="AX150" s="194"/>
      <c r="AY150" s="194"/>
    </row>
    <row r="151" spans="1:51" s="2699" customFormat="1" ht="18" hidden="1" customHeight="1" x14ac:dyDescent="0.25">
      <c r="A151" s="972">
        <f t="shared" ca="1" si="130"/>
        <v>0</v>
      </c>
      <c r="B151" s="707">
        <f t="shared" si="134"/>
        <v>145</v>
      </c>
      <c r="C151" s="1376"/>
      <c r="D151" s="3346"/>
      <c r="E151" s="3346" t="str">
        <f t="shared" ca="1" si="106"/>
        <v/>
      </c>
      <c r="F151" s="1448" t="str">
        <f t="shared" ca="1" si="107"/>
        <v/>
      </c>
      <c r="G151" s="1418" t="str">
        <f t="shared" ca="1" si="108"/>
        <v/>
      </c>
      <c r="H151" s="3589" t="str">
        <f t="shared" ca="1" si="109"/>
        <v/>
      </c>
      <c r="I151" s="3589" t="str">
        <f t="shared" ca="1" si="110"/>
        <v/>
      </c>
      <c r="J151" s="3590" t="str">
        <f t="shared" ca="1" si="131"/>
        <v/>
      </c>
      <c r="K151" s="1422" t="str">
        <f t="shared" ca="1" si="111"/>
        <v/>
      </c>
      <c r="L151" s="1431" t="str">
        <f t="shared" ca="1" si="132"/>
        <v/>
      </c>
      <c r="M151" s="3591" t="str">
        <f t="shared" ca="1" si="133"/>
        <v/>
      </c>
      <c r="N151" s="3592" t="str">
        <f t="shared" ca="1" si="112"/>
        <v/>
      </c>
      <c r="O151" s="1420" t="e">
        <f ca="1">IF(U151="",IF(Income_RentRollSource="Datappraise/Manual Entry",VLOOKUP($B151,Datappraise_RentRoll,5,FALSE),IF(OR(Income_TechniqueUsed="Direct Capitalization",Income_TechniqueUsed="Direct Cap &amp; DCF"),VLOOKUP('Rent Roll'!S151,'Income Assumptions'!$D$11:$H$19,5,FALSE),VLOOKUP('Rent Roll'!S151,'Income Assumptions'!$D$50:$O$57,6,FALSE))),U151)</f>
        <v>#N/A</v>
      </c>
      <c r="P151" s="3346"/>
      <c r="Q151" s="1377"/>
      <c r="R151" s="652"/>
      <c r="S151" s="2696" t="str">
        <f t="shared" si="113"/>
        <v/>
      </c>
      <c r="T151" s="652"/>
      <c r="U151" s="2696"/>
      <c r="V151" s="652"/>
      <c r="W151" s="2696"/>
      <c r="X151" s="652"/>
      <c r="Y151" s="1580">
        <f t="shared" ca="1" si="114"/>
        <v>0</v>
      </c>
      <c r="Z151" s="1580">
        <f t="shared" ca="1" si="115"/>
        <v>0</v>
      </c>
      <c r="AA151" s="1580">
        <f t="shared" ca="1" si="116"/>
        <v>0</v>
      </c>
      <c r="AB151" s="1580">
        <f t="shared" ca="1" si="117"/>
        <v>0</v>
      </c>
      <c r="AC151" s="1580">
        <f t="shared" ca="1" si="118"/>
        <v>0</v>
      </c>
      <c r="AD151" s="1580">
        <f t="shared" ca="1" si="119"/>
        <v>0</v>
      </c>
      <c r="AE151" s="1580">
        <f t="shared" ca="1" si="120"/>
        <v>0</v>
      </c>
      <c r="AF151" s="1581">
        <f t="shared" ca="1" si="121"/>
        <v>0</v>
      </c>
      <c r="AG151" s="194"/>
      <c r="AH151" s="1579" t="str">
        <f t="shared" ca="1" si="122"/>
        <v/>
      </c>
      <c r="AI151" s="1580" t="str">
        <f t="shared" ca="1" si="123"/>
        <v/>
      </c>
      <c r="AJ151" s="1581" t="str">
        <f t="shared" ca="1" si="124"/>
        <v/>
      </c>
      <c r="AK151" s="194"/>
      <c r="AL151" s="1582">
        <f t="shared" ca="1" si="125"/>
        <v>0</v>
      </c>
      <c r="AM151" s="209"/>
      <c r="AN151" s="1582">
        <f t="shared" ca="1" si="126"/>
        <v>0</v>
      </c>
      <c r="AO151" s="209"/>
      <c r="AP151" s="1582">
        <f t="shared" ca="1" si="127"/>
        <v>0</v>
      </c>
      <c r="AQ151" s="209"/>
      <c r="AR151" s="1582">
        <f t="shared" ca="1" si="128"/>
        <v>0</v>
      </c>
      <c r="AS151" s="194"/>
      <c r="AT151" s="1582">
        <f t="shared" ca="1" si="129"/>
        <v>0</v>
      </c>
      <c r="AU151" s="194"/>
      <c r="AV151" s="194"/>
      <c r="AW151" s="194"/>
      <c r="AX151" s="194"/>
      <c r="AY151" s="194"/>
    </row>
    <row r="152" spans="1:51" s="2699" customFormat="1" ht="18" hidden="1" customHeight="1" x14ac:dyDescent="0.25">
      <c r="A152" s="972">
        <f t="shared" ca="1" si="130"/>
        <v>0</v>
      </c>
      <c r="B152" s="707">
        <f t="shared" si="134"/>
        <v>146</v>
      </c>
      <c r="C152" s="1376"/>
      <c r="D152" s="3346"/>
      <c r="E152" s="3346" t="str">
        <f t="shared" ca="1" si="106"/>
        <v/>
      </c>
      <c r="F152" s="1448" t="str">
        <f t="shared" ca="1" si="107"/>
        <v/>
      </c>
      <c r="G152" s="1418" t="str">
        <f t="shared" ca="1" si="108"/>
        <v/>
      </c>
      <c r="H152" s="3589" t="str">
        <f t="shared" ca="1" si="109"/>
        <v/>
      </c>
      <c r="I152" s="3589" t="str">
        <f t="shared" ca="1" si="110"/>
        <v/>
      </c>
      <c r="J152" s="3590" t="str">
        <f t="shared" ca="1" si="131"/>
        <v/>
      </c>
      <c r="K152" s="1422" t="str">
        <f t="shared" ca="1" si="111"/>
        <v/>
      </c>
      <c r="L152" s="1431" t="str">
        <f t="shared" ca="1" si="132"/>
        <v/>
      </c>
      <c r="M152" s="3591" t="str">
        <f t="shared" ca="1" si="133"/>
        <v/>
      </c>
      <c r="N152" s="3592" t="str">
        <f t="shared" ca="1" si="112"/>
        <v/>
      </c>
      <c r="O152" s="1420" t="e">
        <f ca="1">IF(U152="",IF(Income_RentRollSource="Datappraise/Manual Entry",VLOOKUP($B152,Datappraise_RentRoll,5,FALSE),IF(OR(Income_TechniqueUsed="Direct Capitalization",Income_TechniqueUsed="Direct Cap &amp; DCF"),VLOOKUP('Rent Roll'!S152,'Income Assumptions'!$D$11:$H$19,5,FALSE),VLOOKUP('Rent Roll'!S152,'Income Assumptions'!$D$50:$O$57,6,FALSE))),U152)</f>
        <v>#N/A</v>
      </c>
      <c r="P152" s="3346"/>
      <c r="Q152" s="1377"/>
      <c r="R152" s="652"/>
      <c r="S152" s="2696" t="str">
        <f t="shared" si="113"/>
        <v/>
      </c>
      <c r="T152" s="652"/>
      <c r="U152" s="2696"/>
      <c r="V152" s="652"/>
      <c r="W152" s="2696"/>
      <c r="X152" s="652"/>
      <c r="Y152" s="1580">
        <f t="shared" ca="1" si="114"/>
        <v>0</v>
      </c>
      <c r="Z152" s="1580">
        <f t="shared" ca="1" si="115"/>
        <v>0</v>
      </c>
      <c r="AA152" s="1580">
        <f t="shared" ca="1" si="116"/>
        <v>0</v>
      </c>
      <c r="AB152" s="1580">
        <f t="shared" ca="1" si="117"/>
        <v>0</v>
      </c>
      <c r="AC152" s="1580">
        <f t="shared" ca="1" si="118"/>
        <v>0</v>
      </c>
      <c r="AD152" s="1580">
        <f t="shared" ca="1" si="119"/>
        <v>0</v>
      </c>
      <c r="AE152" s="1580">
        <f t="shared" ca="1" si="120"/>
        <v>0</v>
      </c>
      <c r="AF152" s="1581">
        <f t="shared" ca="1" si="121"/>
        <v>0</v>
      </c>
      <c r="AG152" s="194"/>
      <c r="AH152" s="1579" t="str">
        <f t="shared" ca="1" si="122"/>
        <v/>
      </c>
      <c r="AI152" s="1580" t="str">
        <f t="shared" ca="1" si="123"/>
        <v/>
      </c>
      <c r="AJ152" s="1581" t="str">
        <f t="shared" ca="1" si="124"/>
        <v/>
      </c>
      <c r="AK152" s="194"/>
      <c r="AL152" s="1582">
        <f t="shared" ca="1" si="125"/>
        <v>0</v>
      </c>
      <c r="AM152" s="209"/>
      <c r="AN152" s="1582">
        <f t="shared" ca="1" si="126"/>
        <v>0</v>
      </c>
      <c r="AO152" s="209"/>
      <c r="AP152" s="1582">
        <f t="shared" ca="1" si="127"/>
        <v>0</v>
      </c>
      <c r="AQ152" s="209"/>
      <c r="AR152" s="1582">
        <f t="shared" ca="1" si="128"/>
        <v>0</v>
      </c>
      <c r="AS152" s="194"/>
      <c r="AT152" s="1582">
        <f t="shared" ca="1" si="129"/>
        <v>0</v>
      </c>
      <c r="AU152" s="194"/>
      <c r="AV152" s="194"/>
      <c r="AW152" s="194"/>
      <c r="AX152" s="194"/>
      <c r="AY152" s="194"/>
    </row>
    <row r="153" spans="1:51" s="2699" customFormat="1" ht="18" hidden="1" customHeight="1" x14ac:dyDescent="0.25">
      <c r="A153" s="972">
        <f t="shared" ca="1" si="130"/>
        <v>0</v>
      </c>
      <c r="B153" s="707">
        <f t="shared" si="134"/>
        <v>147</v>
      </c>
      <c r="C153" s="1376"/>
      <c r="D153" s="3346"/>
      <c r="E153" s="3346" t="str">
        <f t="shared" ca="1" si="106"/>
        <v/>
      </c>
      <c r="F153" s="1448" t="str">
        <f t="shared" ca="1" si="107"/>
        <v/>
      </c>
      <c r="G153" s="1418" t="str">
        <f t="shared" ca="1" si="108"/>
        <v/>
      </c>
      <c r="H153" s="3589" t="str">
        <f t="shared" ca="1" si="109"/>
        <v/>
      </c>
      <c r="I153" s="3589" t="str">
        <f t="shared" ca="1" si="110"/>
        <v/>
      </c>
      <c r="J153" s="3590" t="str">
        <f t="shared" ca="1" si="131"/>
        <v/>
      </c>
      <c r="K153" s="1422" t="str">
        <f t="shared" ca="1" si="111"/>
        <v/>
      </c>
      <c r="L153" s="1431" t="str">
        <f t="shared" ca="1" si="132"/>
        <v/>
      </c>
      <c r="M153" s="3591" t="str">
        <f t="shared" ca="1" si="133"/>
        <v/>
      </c>
      <c r="N153" s="3592" t="str">
        <f t="shared" ca="1" si="112"/>
        <v/>
      </c>
      <c r="O153" s="1420" t="e">
        <f ca="1">IF(U153="",IF(Income_RentRollSource="Datappraise/Manual Entry",VLOOKUP($B153,Datappraise_RentRoll,5,FALSE),IF(OR(Income_TechniqueUsed="Direct Capitalization",Income_TechniqueUsed="Direct Cap &amp; DCF"),VLOOKUP('Rent Roll'!S153,'Income Assumptions'!$D$11:$H$19,5,FALSE),VLOOKUP('Rent Roll'!S153,'Income Assumptions'!$D$50:$O$57,6,FALSE))),U153)</f>
        <v>#N/A</v>
      </c>
      <c r="P153" s="3346"/>
      <c r="Q153" s="1377"/>
      <c r="R153" s="652"/>
      <c r="S153" s="2696" t="str">
        <f t="shared" si="113"/>
        <v/>
      </c>
      <c r="T153" s="652"/>
      <c r="U153" s="2696"/>
      <c r="V153" s="652"/>
      <c r="W153" s="2696"/>
      <c r="X153" s="652"/>
      <c r="Y153" s="1580">
        <f t="shared" ca="1" si="114"/>
        <v>0</v>
      </c>
      <c r="Z153" s="1580">
        <f t="shared" ca="1" si="115"/>
        <v>0</v>
      </c>
      <c r="AA153" s="1580">
        <f t="shared" ca="1" si="116"/>
        <v>0</v>
      </c>
      <c r="AB153" s="1580">
        <f t="shared" ca="1" si="117"/>
        <v>0</v>
      </c>
      <c r="AC153" s="1580">
        <f t="shared" ca="1" si="118"/>
        <v>0</v>
      </c>
      <c r="AD153" s="1580">
        <f t="shared" ca="1" si="119"/>
        <v>0</v>
      </c>
      <c r="AE153" s="1580">
        <f t="shared" ca="1" si="120"/>
        <v>0</v>
      </c>
      <c r="AF153" s="1581">
        <f t="shared" ca="1" si="121"/>
        <v>0</v>
      </c>
      <c r="AG153" s="194"/>
      <c r="AH153" s="1579" t="str">
        <f t="shared" ca="1" si="122"/>
        <v/>
      </c>
      <c r="AI153" s="1580" t="str">
        <f t="shared" ca="1" si="123"/>
        <v/>
      </c>
      <c r="AJ153" s="1581" t="str">
        <f t="shared" ca="1" si="124"/>
        <v/>
      </c>
      <c r="AK153" s="194"/>
      <c r="AL153" s="1582">
        <f t="shared" ca="1" si="125"/>
        <v>0</v>
      </c>
      <c r="AM153" s="209"/>
      <c r="AN153" s="1582">
        <f t="shared" ca="1" si="126"/>
        <v>0</v>
      </c>
      <c r="AO153" s="209"/>
      <c r="AP153" s="1582">
        <f t="shared" ca="1" si="127"/>
        <v>0</v>
      </c>
      <c r="AQ153" s="209"/>
      <c r="AR153" s="1582">
        <f t="shared" ca="1" si="128"/>
        <v>0</v>
      </c>
      <c r="AS153" s="194"/>
      <c r="AT153" s="1582">
        <f t="shared" ca="1" si="129"/>
        <v>0</v>
      </c>
      <c r="AU153" s="194"/>
      <c r="AV153" s="194"/>
      <c r="AW153" s="194"/>
      <c r="AX153" s="194"/>
      <c r="AY153" s="194"/>
    </row>
    <row r="154" spans="1:51" s="2699" customFormat="1" ht="18" hidden="1" customHeight="1" x14ac:dyDescent="0.25">
      <c r="A154" s="972">
        <f t="shared" ca="1" si="130"/>
        <v>0</v>
      </c>
      <c r="B154" s="707">
        <f t="shared" si="134"/>
        <v>148</v>
      </c>
      <c r="C154" s="1376"/>
      <c r="D154" s="3346"/>
      <c r="E154" s="3346" t="str">
        <f t="shared" ca="1" si="106"/>
        <v/>
      </c>
      <c r="F154" s="1448" t="str">
        <f t="shared" ca="1" si="107"/>
        <v/>
      </c>
      <c r="G154" s="1418" t="str">
        <f t="shared" ca="1" si="108"/>
        <v/>
      </c>
      <c r="H154" s="3589" t="str">
        <f t="shared" ca="1" si="109"/>
        <v/>
      </c>
      <c r="I154" s="3589" t="str">
        <f t="shared" ca="1" si="110"/>
        <v/>
      </c>
      <c r="J154" s="3590" t="str">
        <f t="shared" ca="1" si="131"/>
        <v/>
      </c>
      <c r="K154" s="1422" t="str">
        <f t="shared" ca="1" si="111"/>
        <v/>
      </c>
      <c r="L154" s="1431" t="str">
        <f t="shared" ca="1" si="132"/>
        <v/>
      </c>
      <c r="M154" s="3591" t="str">
        <f t="shared" ca="1" si="133"/>
        <v/>
      </c>
      <c r="N154" s="3592" t="str">
        <f t="shared" ca="1" si="112"/>
        <v/>
      </c>
      <c r="O154" s="1420" t="e">
        <f ca="1">IF(U154="",IF(Income_RentRollSource="Datappraise/Manual Entry",VLOOKUP($B154,Datappraise_RentRoll,5,FALSE),IF(OR(Income_TechniqueUsed="Direct Capitalization",Income_TechniqueUsed="Direct Cap &amp; DCF"),VLOOKUP('Rent Roll'!S154,'Income Assumptions'!$D$11:$H$19,5,FALSE),VLOOKUP('Rent Roll'!S154,'Income Assumptions'!$D$50:$O$57,6,FALSE))),U154)</f>
        <v>#N/A</v>
      </c>
      <c r="P154" s="3346"/>
      <c r="Q154" s="1377"/>
      <c r="R154" s="652"/>
      <c r="S154" s="2696" t="str">
        <f t="shared" si="113"/>
        <v/>
      </c>
      <c r="T154" s="652"/>
      <c r="U154" s="2696"/>
      <c r="V154" s="652"/>
      <c r="W154" s="2696"/>
      <c r="X154" s="652"/>
      <c r="Y154" s="1580">
        <f t="shared" ca="1" si="114"/>
        <v>0</v>
      </c>
      <c r="Z154" s="1580">
        <f t="shared" ca="1" si="115"/>
        <v>0</v>
      </c>
      <c r="AA154" s="1580">
        <f t="shared" ca="1" si="116"/>
        <v>0</v>
      </c>
      <c r="AB154" s="1580">
        <f t="shared" ca="1" si="117"/>
        <v>0</v>
      </c>
      <c r="AC154" s="1580">
        <f t="shared" ca="1" si="118"/>
        <v>0</v>
      </c>
      <c r="AD154" s="1580">
        <f t="shared" ca="1" si="119"/>
        <v>0</v>
      </c>
      <c r="AE154" s="1580">
        <f t="shared" ca="1" si="120"/>
        <v>0</v>
      </c>
      <c r="AF154" s="1581">
        <f t="shared" ca="1" si="121"/>
        <v>0</v>
      </c>
      <c r="AG154" s="194"/>
      <c r="AH154" s="1579" t="str">
        <f t="shared" ca="1" si="122"/>
        <v/>
      </c>
      <c r="AI154" s="1580" t="str">
        <f t="shared" ca="1" si="123"/>
        <v/>
      </c>
      <c r="AJ154" s="1581" t="str">
        <f t="shared" ca="1" si="124"/>
        <v/>
      </c>
      <c r="AK154" s="194"/>
      <c r="AL154" s="1582">
        <f t="shared" ca="1" si="125"/>
        <v>0</v>
      </c>
      <c r="AM154" s="209"/>
      <c r="AN154" s="1582">
        <f t="shared" ca="1" si="126"/>
        <v>0</v>
      </c>
      <c r="AO154" s="209"/>
      <c r="AP154" s="1582">
        <f t="shared" ca="1" si="127"/>
        <v>0</v>
      </c>
      <c r="AQ154" s="209"/>
      <c r="AR154" s="1582">
        <f t="shared" ca="1" si="128"/>
        <v>0</v>
      </c>
      <c r="AS154" s="194"/>
      <c r="AT154" s="1582">
        <f t="shared" ca="1" si="129"/>
        <v>0</v>
      </c>
      <c r="AU154" s="194"/>
      <c r="AV154" s="194"/>
      <c r="AW154" s="194"/>
      <c r="AX154" s="194"/>
      <c r="AY154" s="194"/>
    </row>
    <row r="155" spans="1:51" s="2699" customFormat="1" ht="18" hidden="1" customHeight="1" x14ac:dyDescent="0.25">
      <c r="A155" s="972">
        <f t="shared" ca="1" si="130"/>
        <v>0</v>
      </c>
      <c r="B155" s="707">
        <f t="shared" si="134"/>
        <v>149</v>
      </c>
      <c r="C155" s="1376"/>
      <c r="D155" s="3346"/>
      <c r="E155" s="3346" t="str">
        <f t="shared" ca="1" si="106"/>
        <v/>
      </c>
      <c r="F155" s="1448" t="str">
        <f t="shared" ca="1" si="107"/>
        <v/>
      </c>
      <c r="G155" s="1418" t="str">
        <f t="shared" ca="1" si="108"/>
        <v/>
      </c>
      <c r="H155" s="3589" t="str">
        <f t="shared" ca="1" si="109"/>
        <v/>
      </c>
      <c r="I155" s="3589" t="str">
        <f t="shared" ca="1" si="110"/>
        <v/>
      </c>
      <c r="J155" s="3590" t="str">
        <f t="shared" ca="1" si="131"/>
        <v/>
      </c>
      <c r="K155" s="1422" t="str">
        <f t="shared" ca="1" si="111"/>
        <v/>
      </c>
      <c r="L155" s="1431" t="str">
        <f t="shared" ca="1" si="132"/>
        <v/>
      </c>
      <c r="M155" s="3591" t="str">
        <f t="shared" ca="1" si="133"/>
        <v/>
      </c>
      <c r="N155" s="3592" t="str">
        <f t="shared" ca="1" si="112"/>
        <v/>
      </c>
      <c r="O155" s="1420" t="e">
        <f ca="1">IF(U155="",IF(Income_RentRollSource="Datappraise/Manual Entry",VLOOKUP($B155,Datappraise_RentRoll,5,FALSE),IF(OR(Income_TechniqueUsed="Direct Capitalization",Income_TechniqueUsed="Direct Cap &amp; DCF"),VLOOKUP('Rent Roll'!S155,'Income Assumptions'!$D$11:$H$19,5,FALSE),VLOOKUP('Rent Roll'!S155,'Income Assumptions'!$D$50:$O$57,6,FALSE))),U155)</f>
        <v>#N/A</v>
      </c>
      <c r="P155" s="3346"/>
      <c r="Q155" s="1377"/>
      <c r="R155" s="652"/>
      <c r="S155" s="2696" t="str">
        <f t="shared" si="113"/>
        <v/>
      </c>
      <c r="T155" s="652"/>
      <c r="U155" s="2696"/>
      <c r="V155" s="652"/>
      <c r="W155" s="2696"/>
      <c r="X155" s="652"/>
      <c r="Y155" s="1580">
        <f t="shared" ca="1" si="114"/>
        <v>0</v>
      </c>
      <c r="Z155" s="1580">
        <f t="shared" ca="1" si="115"/>
        <v>0</v>
      </c>
      <c r="AA155" s="1580">
        <f t="shared" ca="1" si="116"/>
        <v>0</v>
      </c>
      <c r="AB155" s="1580">
        <f t="shared" ca="1" si="117"/>
        <v>0</v>
      </c>
      <c r="AC155" s="1580">
        <f t="shared" ca="1" si="118"/>
        <v>0</v>
      </c>
      <c r="AD155" s="1580">
        <f t="shared" ca="1" si="119"/>
        <v>0</v>
      </c>
      <c r="AE155" s="1580">
        <f t="shared" ca="1" si="120"/>
        <v>0</v>
      </c>
      <c r="AF155" s="1581">
        <f t="shared" ca="1" si="121"/>
        <v>0</v>
      </c>
      <c r="AG155" s="194"/>
      <c r="AH155" s="1579" t="str">
        <f t="shared" ca="1" si="122"/>
        <v/>
      </c>
      <c r="AI155" s="1580" t="str">
        <f t="shared" ca="1" si="123"/>
        <v/>
      </c>
      <c r="AJ155" s="1581" t="str">
        <f t="shared" ca="1" si="124"/>
        <v/>
      </c>
      <c r="AK155" s="194"/>
      <c r="AL155" s="1582">
        <f t="shared" ca="1" si="125"/>
        <v>0</v>
      </c>
      <c r="AM155" s="209"/>
      <c r="AN155" s="1582">
        <f t="shared" ca="1" si="126"/>
        <v>0</v>
      </c>
      <c r="AO155" s="209"/>
      <c r="AP155" s="1582">
        <f t="shared" ca="1" si="127"/>
        <v>0</v>
      </c>
      <c r="AQ155" s="209"/>
      <c r="AR155" s="1582">
        <f t="shared" ca="1" si="128"/>
        <v>0</v>
      </c>
      <c r="AS155" s="194"/>
      <c r="AT155" s="1582">
        <f t="shared" ca="1" si="129"/>
        <v>0</v>
      </c>
      <c r="AU155" s="194"/>
      <c r="AV155" s="194"/>
      <c r="AW155" s="194"/>
      <c r="AX155" s="194"/>
      <c r="AY155" s="194"/>
    </row>
    <row r="156" spans="1:51" s="2699" customFormat="1" ht="18" hidden="1" customHeight="1" x14ac:dyDescent="0.25">
      <c r="A156" s="972">
        <f t="shared" ca="1" si="130"/>
        <v>0</v>
      </c>
      <c r="B156" s="707">
        <f t="shared" si="134"/>
        <v>150</v>
      </c>
      <c r="C156" s="1376"/>
      <c r="D156" s="3346"/>
      <c r="E156" s="3346" t="str">
        <f t="shared" ca="1" si="106"/>
        <v/>
      </c>
      <c r="F156" s="1448" t="str">
        <f t="shared" ca="1" si="107"/>
        <v/>
      </c>
      <c r="G156" s="1418" t="str">
        <f t="shared" ca="1" si="108"/>
        <v/>
      </c>
      <c r="H156" s="3589" t="str">
        <f t="shared" ca="1" si="109"/>
        <v/>
      </c>
      <c r="I156" s="3589" t="str">
        <f t="shared" ca="1" si="110"/>
        <v/>
      </c>
      <c r="J156" s="3590" t="str">
        <f t="shared" ca="1" si="131"/>
        <v/>
      </c>
      <c r="K156" s="1422" t="str">
        <f t="shared" ca="1" si="111"/>
        <v/>
      </c>
      <c r="L156" s="1431" t="str">
        <f t="shared" ca="1" si="132"/>
        <v/>
      </c>
      <c r="M156" s="3591" t="str">
        <f t="shared" ca="1" si="133"/>
        <v/>
      </c>
      <c r="N156" s="3592" t="str">
        <f t="shared" ca="1" si="112"/>
        <v/>
      </c>
      <c r="O156" s="1420" t="e">
        <f ca="1">IF(U156="",IF(Income_RentRollSource="Datappraise/Manual Entry",VLOOKUP($B156,Datappraise_RentRoll,5,FALSE),IF(OR(Income_TechniqueUsed="Direct Capitalization",Income_TechniqueUsed="Direct Cap &amp; DCF"),VLOOKUP('Rent Roll'!S156,'Income Assumptions'!$D$11:$H$19,5,FALSE),VLOOKUP('Rent Roll'!S156,'Income Assumptions'!$D$50:$O$57,6,FALSE))),U156)</f>
        <v>#N/A</v>
      </c>
      <c r="P156" s="3346"/>
      <c r="Q156" s="1377"/>
      <c r="R156" s="652"/>
      <c r="S156" s="2696" t="str">
        <f t="shared" si="113"/>
        <v/>
      </c>
      <c r="T156" s="652"/>
      <c r="U156" s="2696"/>
      <c r="V156" s="652"/>
      <c r="W156" s="2696"/>
      <c r="X156" s="652"/>
      <c r="Y156" s="1580">
        <f t="shared" ca="1" si="114"/>
        <v>0</v>
      </c>
      <c r="Z156" s="1580">
        <f t="shared" ca="1" si="115"/>
        <v>0</v>
      </c>
      <c r="AA156" s="1580">
        <f t="shared" ca="1" si="116"/>
        <v>0</v>
      </c>
      <c r="AB156" s="1580">
        <f t="shared" ca="1" si="117"/>
        <v>0</v>
      </c>
      <c r="AC156" s="1580">
        <f t="shared" ca="1" si="118"/>
        <v>0</v>
      </c>
      <c r="AD156" s="1580">
        <f t="shared" ca="1" si="119"/>
        <v>0</v>
      </c>
      <c r="AE156" s="1580">
        <f t="shared" ca="1" si="120"/>
        <v>0</v>
      </c>
      <c r="AF156" s="1581">
        <f t="shared" ca="1" si="121"/>
        <v>0</v>
      </c>
      <c r="AG156" s="194"/>
      <c r="AH156" s="1579" t="str">
        <f t="shared" ca="1" si="122"/>
        <v/>
      </c>
      <c r="AI156" s="1580" t="str">
        <f t="shared" ca="1" si="123"/>
        <v/>
      </c>
      <c r="AJ156" s="1581" t="str">
        <f t="shared" ca="1" si="124"/>
        <v/>
      </c>
      <c r="AK156" s="194"/>
      <c r="AL156" s="1582">
        <f t="shared" ca="1" si="125"/>
        <v>0</v>
      </c>
      <c r="AM156" s="209"/>
      <c r="AN156" s="1582">
        <f t="shared" ca="1" si="126"/>
        <v>0</v>
      </c>
      <c r="AO156" s="209"/>
      <c r="AP156" s="1582">
        <f t="shared" ca="1" si="127"/>
        <v>0</v>
      </c>
      <c r="AQ156" s="209"/>
      <c r="AR156" s="1582">
        <f t="shared" ca="1" si="128"/>
        <v>0</v>
      </c>
      <c r="AS156" s="194"/>
      <c r="AT156" s="1582">
        <f t="shared" ca="1" si="129"/>
        <v>0</v>
      </c>
      <c r="AU156" s="194"/>
      <c r="AV156" s="194"/>
      <c r="AW156" s="194"/>
      <c r="AX156" s="194"/>
      <c r="AY156" s="194"/>
    </row>
    <row r="157" spans="1:51" s="2699" customFormat="1" ht="18" hidden="1" customHeight="1" x14ac:dyDescent="0.25">
      <c r="A157" s="972">
        <f t="shared" ca="1" si="130"/>
        <v>0</v>
      </c>
      <c r="B157" s="707">
        <f t="shared" si="134"/>
        <v>151</v>
      </c>
      <c r="C157" s="1376"/>
      <c r="D157" s="3346"/>
      <c r="E157" s="3346" t="str">
        <f t="shared" ca="1" si="106"/>
        <v/>
      </c>
      <c r="F157" s="1448" t="str">
        <f t="shared" ca="1" si="107"/>
        <v/>
      </c>
      <c r="G157" s="1418" t="str">
        <f t="shared" ca="1" si="108"/>
        <v/>
      </c>
      <c r="H157" s="3589" t="str">
        <f t="shared" ca="1" si="109"/>
        <v/>
      </c>
      <c r="I157" s="3589" t="str">
        <f t="shared" ca="1" si="110"/>
        <v/>
      </c>
      <c r="J157" s="3590" t="str">
        <f t="shared" ca="1" si="131"/>
        <v/>
      </c>
      <c r="K157" s="1422" t="str">
        <f t="shared" ca="1" si="111"/>
        <v/>
      </c>
      <c r="L157" s="1431" t="str">
        <f t="shared" ca="1" si="132"/>
        <v/>
      </c>
      <c r="M157" s="3591" t="str">
        <f t="shared" ca="1" si="133"/>
        <v/>
      </c>
      <c r="N157" s="3592" t="str">
        <f t="shared" ca="1" si="112"/>
        <v/>
      </c>
      <c r="O157" s="1420" t="e">
        <f ca="1">IF(U157="",IF(Income_RentRollSource="Datappraise/Manual Entry",VLOOKUP($B157,Datappraise_RentRoll,5,FALSE),IF(OR(Income_TechniqueUsed="Direct Capitalization",Income_TechniqueUsed="Direct Cap &amp; DCF"),VLOOKUP('Rent Roll'!S157,'Income Assumptions'!$D$11:$H$19,5,FALSE),VLOOKUP('Rent Roll'!S157,'Income Assumptions'!$D$50:$O$57,6,FALSE))),U157)</f>
        <v>#N/A</v>
      </c>
      <c r="P157" s="3346"/>
      <c r="Q157" s="1377"/>
      <c r="R157" s="652"/>
      <c r="S157" s="2696" t="str">
        <f t="shared" si="113"/>
        <v/>
      </c>
      <c r="T157" s="652"/>
      <c r="U157" s="2696"/>
      <c r="V157" s="652"/>
      <c r="W157" s="2696"/>
      <c r="X157" s="652"/>
      <c r="Y157" s="1580">
        <f t="shared" ca="1" si="114"/>
        <v>0</v>
      </c>
      <c r="Z157" s="1580">
        <f t="shared" ca="1" si="115"/>
        <v>0</v>
      </c>
      <c r="AA157" s="1580">
        <f t="shared" ca="1" si="116"/>
        <v>0</v>
      </c>
      <c r="AB157" s="1580">
        <f t="shared" ca="1" si="117"/>
        <v>0</v>
      </c>
      <c r="AC157" s="1580">
        <f t="shared" ca="1" si="118"/>
        <v>0</v>
      </c>
      <c r="AD157" s="1580">
        <f t="shared" ca="1" si="119"/>
        <v>0</v>
      </c>
      <c r="AE157" s="1580">
        <f t="shared" ca="1" si="120"/>
        <v>0</v>
      </c>
      <c r="AF157" s="1581">
        <f t="shared" ca="1" si="121"/>
        <v>0</v>
      </c>
      <c r="AG157" s="194"/>
      <c r="AH157" s="1579" t="str">
        <f t="shared" ca="1" si="122"/>
        <v/>
      </c>
      <c r="AI157" s="1580" t="str">
        <f t="shared" ca="1" si="123"/>
        <v/>
      </c>
      <c r="AJ157" s="1581" t="str">
        <f t="shared" ca="1" si="124"/>
        <v/>
      </c>
      <c r="AK157" s="194"/>
      <c r="AL157" s="1582">
        <f t="shared" ca="1" si="125"/>
        <v>0</v>
      </c>
      <c r="AM157" s="209"/>
      <c r="AN157" s="1582">
        <f t="shared" ca="1" si="126"/>
        <v>0</v>
      </c>
      <c r="AO157" s="209"/>
      <c r="AP157" s="1582">
        <f t="shared" ca="1" si="127"/>
        <v>0</v>
      </c>
      <c r="AQ157" s="209"/>
      <c r="AR157" s="1582">
        <f t="shared" ca="1" si="128"/>
        <v>0</v>
      </c>
      <c r="AS157" s="194"/>
      <c r="AT157" s="1582">
        <f t="shared" ca="1" si="129"/>
        <v>0</v>
      </c>
      <c r="AU157" s="194"/>
      <c r="AV157" s="194"/>
      <c r="AW157" s="194"/>
      <c r="AX157" s="194"/>
      <c r="AY157" s="194"/>
    </row>
    <row r="158" spans="1:51" s="2699" customFormat="1" ht="18" hidden="1" customHeight="1" x14ac:dyDescent="0.25">
      <c r="A158" s="972">
        <f t="shared" ca="1" si="130"/>
        <v>0</v>
      </c>
      <c r="B158" s="707">
        <f t="shared" si="134"/>
        <v>152</v>
      </c>
      <c r="C158" s="1376"/>
      <c r="D158" s="3346"/>
      <c r="E158" s="3346" t="str">
        <f t="shared" ca="1" si="106"/>
        <v/>
      </c>
      <c r="F158" s="1448" t="str">
        <f t="shared" ca="1" si="107"/>
        <v/>
      </c>
      <c r="G158" s="1418" t="str">
        <f t="shared" ca="1" si="108"/>
        <v/>
      </c>
      <c r="H158" s="3589" t="str">
        <f t="shared" ca="1" si="109"/>
        <v/>
      </c>
      <c r="I158" s="3589" t="str">
        <f t="shared" ca="1" si="110"/>
        <v/>
      </c>
      <c r="J158" s="3590" t="str">
        <f t="shared" ca="1" si="131"/>
        <v/>
      </c>
      <c r="K158" s="1422" t="str">
        <f t="shared" ca="1" si="111"/>
        <v/>
      </c>
      <c r="L158" s="1431" t="str">
        <f t="shared" ca="1" si="132"/>
        <v/>
      </c>
      <c r="M158" s="3591" t="str">
        <f t="shared" ca="1" si="133"/>
        <v/>
      </c>
      <c r="N158" s="3592" t="str">
        <f t="shared" ca="1" si="112"/>
        <v/>
      </c>
      <c r="O158" s="1420" t="e">
        <f ca="1">IF(U158="",IF(Income_RentRollSource="Datappraise/Manual Entry",VLOOKUP($B158,Datappraise_RentRoll,5,FALSE),IF(OR(Income_TechniqueUsed="Direct Capitalization",Income_TechniqueUsed="Direct Cap &amp; DCF"),VLOOKUP('Rent Roll'!S158,'Income Assumptions'!$D$11:$H$19,5,FALSE),VLOOKUP('Rent Roll'!S158,'Income Assumptions'!$D$50:$O$57,6,FALSE))),U158)</f>
        <v>#N/A</v>
      </c>
      <c r="P158" s="3346"/>
      <c r="Q158" s="1377"/>
      <c r="R158" s="652"/>
      <c r="S158" s="2696" t="str">
        <f t="shared" si="113"/>
        <v/>
      </c>
      <c r="T158" s="652"/>
      <c r="U158" s="2696"/>
      <c r="V158" s="652"/>
      <c r="W158" s="2696"/>
      <c r="X158" s="652"/>
      <c r="Y158" s="1580">
        <f t="shared" ca="1" si="114"/>
        <v>0</v>
      </c>
      <c r="Z158" s="1580">
        <f t="shared" ca="1" si="115"/>
        <v>0</v>
      </c>
      <c r="AA158" s="1580">
        <f t="shared" ca="1" si="116"/>
        <v>0</v>
      </c>
      <c r="AB158" s="1580">
        <f t="shared" ca="1" si="117"/>
        <v>0</v>
      </c>
      <c r="AC158" s="1580">
        <f t="shared" ca="1" si="118"/>
        <v>0</v>
      </c>
      <c r="AD158" s="1580">
        <f t="shared" ca="1" si="119"/>
        <v>0</v>
      </c>
      <c r="AE158" s="1580">
        <f t="shared" ca="1" si="120"/>
        <v>0</v>
      </c>
      <c r="AF158" s="1581">
        <f t="shared" ca="1" si="121"/>
        <v>0</v>
      </c>
      <c r="AG158" s="194"/>
      <c r="AH158" s="1579" t="str">
        <f t="shared" ca="1" si="122"/>
        <v/>
      </c>
      <c r="AI158" s="1580" t="str">
        <f t="shared" ca="1" si="123"/>
        <v/>
      </c>
      <c r="AJ158" s="1581" t="str">
        <f t="shared" ca="1" si="124"/>
        <v/>
      </c>
      <c r="AK158" s="194"/>
      <c r="AL158" s="1582">
        <f t="shared" ca="1" si="125"/>
        <v>0</v>
      </c>
      <c r="AM158" s="209"/>
      <c r="AN158" s="1582">
        <f t="shared" ca="1" si="126"/>
        <v>0</v>
      </c>
      <c r="AO158" s="209"/>
      <c r="AP158" s="1582">
        <f t="shared" ca="1" si="127"/>
        <v>0</v>
      </c>
      <c r="AQ158" s="209"/>
      <c r="AR158" s="1582">
        <f t="shared" ca="1" si="128"/>
        <v>0</v>
      </c>
      <c r="AS158" s="194"/>
      <c r="AT158" s="1582">
        <f t="shared" ca="1" si="129"/>
        <v>0</v>
      </c>
      <c r="AU158" s="194"/>
      <c r="AV158" s="194"/>
      <c r="AW158" s="194"/>
      <c r="AX158" s="194"/>
      <c r="AY158" s="194"/>
    </row>
    <row r="159" spans="1:51" s="2699" customFormat="1" ht="18" hidden="1" customHeight="1" x14ac:dyDescent="0.25">
      <c r="A159" s="972">
        <f t="shared" ca="1" si="130"/>
        <v>0</v>
      </c>
      <c r="B159" s="707">
        <f t="shared" si="134"/>
        <v>153</v>
      </c>
      <c r="C159" s="1376"/>
      <c r="D159" s="3346"/>
      <c r="E159" s="3346" t="str">
        <f t="shared" ca="1" si="106"/>
        <v/>
      </c>
      <c r="F159" s="1448" t="str">
        <f t="shared" ca="1" si="107"/>
        <v/>
      </c>
      <c r="G159" s="1418" t="str">
        <f t="shared" ca="1" si="108"/>
        <v/>
      </c>
      <c r="H159" s="3589" t="str">
        <f t="shared" ca="1" si="109"/>
        <v/>
      </c>
      <c r="I159" s="3589" t="str">
        <f t="shared" ca="1" si="110"/>
        <v/>
      </c>
      <c r="J159" s="3590" t="str">
        <f t="shared" ca="1" si="131"/>
        <v/>
      </c>
      <c r="K159" s="1422" t="str">
        <f t="shared" ca="1" si="111"/>
        <v/>
      </c>
      <c r="L159" s="1431" t="str">
        <f t="shared" ca="1" si="132"/>
        <v/>
      </c>
      <c r="M159" s="3591" t="str">
        <f t="shared" ca="1" si="133"/>
        <v/>
      </c>
      <c r="N159" s="3592" t="str">
        <f t="shared" ca="1" si="112"/>
        <v/>
      </c>
      <c r="O159" s="1420" t="e">
        <f ca="1">IF(U159="",IF(Income_RentRollSource="Datappraise/Manual Entry",VLOOKUP($B159,Datappraise_RentRoll,5,FALSE),IF(OR(Income_TechniqueUsed="Direct Capitalization",Income_TechniqueUsed="Direct Cap &amp; DCF"),VLOOKUP('Rent Roll'!S159,'Income Assumptions'!$D$11:$H$19,5,FALSE),VLOOKUP('Rent Roll'!S159,'Income Assumptions'!$D$50:$O$57,6,FALSE))),U159)</f>
        <v>#N/A</v>
      </c>
      <c r="P159" s="3346"/>
      <c r="Q159" s="1377"/>
      <c r="R159" s="652"/>
      <c r="S159" s="2696" t="str">
        <f t="shared" si="113"/>
        <v/>
      </c>
      <c r="T159" s="652"/>
      <c r="U159" s="2696"/>
      <c r="V159" s="652"/>
      <c r="W159" s="2696"/>
      <c r="X159" s="652"/>
      <c r="Y159" s="1580">
        <f t="shared" ca="1" si="114"/>
        <v>0</v>
      </c>
      <c r="Z159" s="1580">
        <f t="shared" ca="1" si="115"/>
        <v>0</v>
      </c>
      <c r="AA159" s="1580">
        <f t="shared" ca="1" si="116"/>
        <v>0</v>
      </c>
      <c r="AB159" s="1580">
        <f t="shared" ca="1" si="117"/>
        <v>0</v>
      </c>
      <c r="AC159" s="1580">
        <f t="shared" ca="1" si="118"/>
        <v>0</v>
      </c>
      <c r="AD159" s="1580">
        <f t="shared" ca="1" si="119"/>
        <v>0</v>
      </c>
      <c r="AE159" s="1580">
        <f t="shared" ca="1" si="120"/>
        <v>0</v>
      </c>
      <c r="AF159" s="1581">
        <f t="shared" ca="1" si="121"/>
        <v>0</v>
      </c>
      <c r="AG159" s="194"/>
      <c r="AH159" s="1579" t="str">
        <f t="shared" ca="1" si="122"/>
        <v/>
      </c>
      <c r="AI159" s="1580" t="str">
        <f t="shared" ca="1" si="123"/>
        <v/>
      </c>
      <c r="AJ159" s="1581" t="str">
        <f t="shared" ca="1" si="124"/>
        <v/>
      </c>
      <c r="AK159" s="194"/>
      <c r="AL159" s="1582">
        <f t="shared" ca="1" si="125"/>
        <v>0</v>
      </c>
      <c r="AM159" s="209"/>
      <c r="AN159" s="1582">
        <f t="shared" ca="1" si="126"/>
        <v>0</v>
      </c>
      <c r="AO159" s="209"/>
      <c r="AP159" s="1582">
        <f t="shared" ca="1" si="127"/>
        <v>0</v>
      </c>
      <c r="AQ159" s="209"/>
      <c r="AR159" s="1582">
        <f t="shared" ca="1" si="128"/>
        <v>0</v>
      </c>
      <c r="AS159" s="194"/>
      <c r="AT159" s="1582">
        <f t="shared" ca="1" si="129"/>
        <v>0</v>
      </c>
      <c r="AU159" s="194"/>
      <c r="AV159" s="194"/>
      <c r="AW159" s="194"/>
      <c r="AX159" s="194"/>
      <c r="AY159" s="194"/>
    </row>
    <row r="160" spans="1:51" s="2699" customFormat="1" ht="18" hidden="1" customHeight="1" x14ac:dyDescent="0.25">
      <c r="A160" s="972">
        <f t="shared" ca="1" si="130"/>
        <v>0</v>
      </c>
      <c r="B160" s="707">
        <f t="shared" si="134"/>
        <v>154</v>
      </c>
      <c r="C160" s="1376"/>
      <c r="D160" s="3346"/>
      <c r="E160" s="3346" t="str">
        <f t="shared" ca="1" si="106"/>
        <v/>
      </c>
      <c r="F160" s="1448" t="str">
        <f t="shared" ca="1" si="107"/>
        <v/>
      </c>
      <c r="G160" s="1418" t="str">
        <f t="shared" ca="1" si="108"/>
        <v/>
      </c>
      <c r="H160" s="3589" t="str">
        <f t="shared" ca="1" si="109"/>
        <v/>
      </c>
      <c r="I160" s="3589" t="str">
        <f t="shared" ca="1" si="110"/>
        <v/>
      </c>
      <c r="J160" s="3590" t="str">
        <f t="shared" ca="1" si="131"/>
        <v/>
      </c>
      <c r="K160" s="1422" t="str">
        <f t="shared" ca="1" si="111"/>
        <v/>
      </c>
      <c r="L160" s="1431" t="str">
        <f t="shared" ca="1" si="132"/>
        <v/>
      </c>
      <c r="M160" s="3591" t="str">
        <f t="shared" ca="1" si="133"/>
        <v/>
      </c>
      <c r="N160" s="3592" t="str">
        <f t="shared" ca="1" si="112"/>
        <v/>
      </c>
      <c r="O160" s="1420" t="e">
        <f ca="1">IF(U160="",IF(Income_RentRollSource="Datappraise/Manual Entry",VLOOKUP($B160,Datappraise_RentRoll,5,FALSE),IF(OR(Income_TechniqueUsed="Direct Capitalization",Income_TechniqueUsed="Direct Cap &amp; DCF"),VLOOKUP('Rent Roll'!S160,'Income Assumptions'!$D$11:$H$19,5,FALSE),VLOOKUP('Rent Roll'!S160,'Income Assumptions'!$D$50:$O$57,6,FALSE))),U160)</f>
        <v>#N/A</v>
      </c>
      <c r="P160" s="3346"/>
      <c r="Q160" s="1377"/>
      <c r="R160" s="652"/>
      <c r="S160" s="2696" t="str">
        <f t="shared" si="113"/>
        <v/>
      </c>
      <c r="T160" s="652"/>
      <c r="U160" s="2696"/>
      <c r="V160" s="652"/>
      <c r="W160" s="2696"/>
      <c r="X160" s="652"/>
      <c r="Y160" s="1580">
        <f t="shared" ca="1" si="114"/>
        <v>0</v>
      </c>
      <c r="Z160" s="1580">
        <f t="shared" ca="1" si="115"/>
        <v>0</v>
      </c>
      <c r="AA160" s="1580">
        <f t="shared" ca="1" si="116"/>
        <v>0</v>
      </c>
      <c r="AB160" s="1580">
        <f t="shared" ca="1" si="117"/>
        <v>0</v>
      </c>
      <c r="AC160" s="1580">
        <f t="shared" ca="1" si="118"/>
        <v>0</v>
      </c>
      <c r="AD160" s="1580">
        <f t="shared" ca="1" si="119"/>
        <v>0</v>
      </c>
      <c r="AE160" s="1580">
        <f t="shared" ca="1" si="120"/>
        <v>0</v>
      </c>
      <c r="AF160" s="1581">
        <f t="shared" ca="1" si="121"/>
        <v>0</v>
      </c>
      <c r="AG160" s="194"/>
      <c r="AH160" s="1579" t="str">
        <f t="shared" ca="1" si="122"/>
        <v/>
      </c>
      <c r="AI160" s="1580" t="str">
        <f t="shared" ca="1" si="123"/>
        <v/>
      </c>
      <c r="AJ160" s="1581" t="str">
        <f t="shared" ca="1" si="124"/>
        <v/>
      </c>
      <c r="AK160" s="194"/>
      <c r="AL160" s="1582">
        <f t="shared" ca="1" si="125"/>
        <v>0</v>
      </c>
      <c r="AM160" s="209"/>
      <c r="AN160" s="1582">
        <f t="shared" ca="1" si="126"/>
        <v>0</v>
      </c>
      <c r="AO160" s="209"/>
      <c r="AP160" s="1582">
        <f t="shared" ca="1" si="127"/>
        <v>0</v>
      </c>
      <c r="AQ160" s="209"/>
      <c r="AR160" s="1582">
        <f t="shared" ca="1" si="128"/>
        <v>0</v>
      </c>
      <c r="AS160" s="194"/>
      <c r="AT160" s="1582">
        <f t="shared" ca="1" si="129"/>
        <v>0</v>
      </c>
      <c r="AU160" s="194"/>
      <c r="AV160" s="194"/>
      <c r="AW160" s="194"/>
      <c r="AX160" s="194"/>
      <c r="AY160" s="194"/>
    </row>
    <row r="161" spans="1:51" s="2699" customFormat="1" ht="18" hidden="1" customHeight="1" x14ac:dyDescent="0.25">
      <c r="A161" s="972">
        <f t="shared" ca="1" si="130"/>
        <v>0</v>
      </c>
      <c r="B161" s="707">
        <f t="shared" si="134"/>
        <v>155</v>
      </c>
      <c r="C161" s="1376"/>
      <c r="D161" s="3346"/>
      <c r="E161" s="3346" t="str">
        <f t="shared" ca="1" si="106"/>
        <v/>
      </c>
      <c r="F161" s="1448" t="str">
        <f t="shared" ca="1" si="107"/>
        <v/>
      </c>
      <c r="G161" s="1418" t="str">
        <f t="shared" ca="1" si="108"/>
        <v/>
      </c>
      <c r="H161" s="3589" t="str">
        <f t="shared" ca="1" si="109"/>
        <v/>
      </c>
      <c r="I161" s="3589" t="str">
        <f t="shared" ca="1" si="110"/>
        <v/>
      </c>
      <c r="J161" s="3590" t="str">
        <f t="shared" ca="1" si="131"/>
        <v/>
      </c>
      <c r="K161" s="1422" t="str">
        <f t="shared" ca="1" si="111"/>
        <v/>
      </c>
      <c r="L161" s="1431" t="str">
        <f t="shared" ca="1" si="132"/>
        <v/>
      </c>
      <c r="M161" s="3591" t="str">
        <f t="shared" ca="1" si="133"/>
        <v/>
      </c>
      <c r="N161" s="3592" t="str">
        <f t="shared" ca="1" si="112"/>
        <v/>
      </c>
      <c r="O161" s="1420" t="e">
        <f ca="1">IF(U161="",IF(Income_RentRollSource="Datappraise/Manual Entry",VLOOKUP($B161,Datappraise_RentRoll,5,FALSE),IF(OR(Income_TechniqueUsed="Direct Capitalization",Income_TechniqueUsed="Direct Cap &amp; DCF"),VLOOKUP('Rent Roll'!S161,'Income Assumptions'!$D$11:$H$19,5,FALSE),VLOOKUP('Rent Roll'!S161,'Income Assumptions'!$D$50:$O$57,6,FALSE))),U161)</f>
        <v>#N/A</v>
      </c>
      <c r="P161" s="3346"/>
      <c r="Q161" s="1377"/>
      <c r="R161" s="652"/>
      <c r="S161" s="2696" t="str">
        <f t="shared" si="113"/>
        <v/>
      </c>
      <c r="T161" s="652"/>
      <c r="U161" s="2696"/>
      <c r="V161" s="652"/>
      <c r="W161" s="2696"/>
      <c r="X161" s="652"/>
      <c r="Y161" s="1580">
        <f t="shared" ca="1" si="114"/>
        <v>0</v>
      </c>
      <c r="Z161" s="1580">
        <f t="shared" ca="1" si="115"/>
        <v>0</v>
      </c>
      <c r="AA161" s="1580">
        <f t="shared" ca="1" si="116"/>
        <v>0</v>
      </c>
      <c r="AB161" s="1580">
        <f t="shared" ca="1" si="117"/>
        <v>0</v>
      </c>
      <c r="AC161" s="1580">
        <f t="shared" ca="1" si="118"/>
        <v>0</v>
      </c>
      <c r="AD161" s="1580">
        <f t="shared" ca="1" si="119"/>
        <v>0</v>
      </c>
      <c r="AE161" s="1580">
        <f t="shared" ca="1" si="120"/>
        <v>0</v>
      </c>
      <c r="AF161" s="1581">
        <f t="shared" ca="1" si="121"/>
        <v>0</v>
      </c>
      <c r="AG161" s="194"/>
      <c r="AH161" s="1579" t="str">
        <f t="shared" ca="1" si="122"/>
        <v/>
      </c>
      <c r="AI161" s="1580" t="str">
        <f t="shared" ca="1" si="123"/>
        <v/>
      </c>
      <c r="AJ161" s="1581" t="str">
        <f t="shared" ca="1" si="124"/>
        <v/>
      </c>
      <c r="AK161" s="194"/>
      <c r="AL161" s="1582">
        <f t="shared" ca="1" si="125"/>
        <v>0</v>
      </c>
      <c r="AM161" s="209"/>
      <c r="AN161" s="1582">
        <f t="shared" ca="1" si="126"/>
        <v>0</v>
      </c>
      <c r="AO161" s="209"/>
      <c r="AP161" s="1582">
        <f t="shared" ca="1" si="127"/>
        <v>0</v>
      </c>
      <c r="AQ161" s="209"/>
      <c r="AR161" s="1582">
        <f t="shared" ca="1" si="128"/>
        <v>0</v>
      </c>
      <c r="AS161" s="194"/>
      <c r="AT161" s="1582">
        <f t="shared" ca="1" si="129"/>
        <v>0</v>
      </c>
      <c r="AU161" s="194"/>
      <c r="AV161" s="194"/>
      <c r="AW161" s="194"/>
      <c r="AX161" s="194"/>
      <c r="AY161" s="194"/>
    </row>
    <row r="162" spans="1:51" s="2699" customFormat="1" ht="18" hidden="1" customHeight="1" x14ac:dyDescent="0.25">
      <c r="A162" s="972">
        <f t="shared" ca="1" si="130"/>
        <v>0</v>
      </c>
      <c r="B162" s="707">
        <f t="shared" si="134"/>
        <v>156</v>
      </c>
      <c r="C162" s="1376"/>
      <c r="D162" s="3346"/>
      <c r="E162" s="3346" t="str">
        <f t="shared" ca="1" si="106"/>
        <v/>
      </c>
      <c r="F162" s="1448" t="str">
        <f t="shared" ca="1" si="107"/>
        <v/>
      </c>
      <c r="G162" s="1418" t="str">
        <f t="shared" ca="1" si="108"/>
        <v/>
      </c>
      <c r="H162" s="3589" t="str">
        <f t="shared" ca="1" si="109"/>
        <v/>
      </c>
      <c r="I162" s="3589" t="str">
        <f t="shared" ca="1" si="110"/>
        <v/>
      </c>
      <c r="J162" s="3590" t="str">
        <f t="shared" ca="1" si="131"/>
        <v/>
      </c>
      <c r="K162" s="1422" t="str">
        <f t="shared" ca="1" si="111"/>
        <v/>
      </c>
      <c r="L162" s="1431" t="str">
        <f t="shared" ca="1" si="132"/>
        <v/>
      </c>
      <c r="M162" s="3591" t="str">
        <f t="shared" ca="1" si="133"/>
        <v/>
      </c>
      <c r="N162" s="3592" t="str">
        <f t="shared" ca="1" si="112"/>
        <v/>
      </c>
      <c r="O162" s="1420" t="e">
        <f ca="1">IF(U162="",IF(Income_RentRollSource="Datappraise/Manual Entry",VLOOKUP($B162,Datappraise_RentRoll,5,FALSE),IF(OR(Income_TechniqueUsed="Direct Capitalization",Income_TechniqueUsed="Direct Cap &amp; DCF"),VLOOKUP('Rent Roll'!S162,'Income Assumptions'!$D$11:$H$19,5,FALSE),VLOOKUP('Rent Roll'!S162,'Income Assumptions'!$D$50:$O$57,6,FALSE))),U162)</f>
        <v>#N/A</v>
      </c>
      <c r="P162" s="3346"/>
      <c r="Q162" s="1377"/>
      <c r="R162" s="652"/>
      <c r="S162" s="2696" t="str">
        <f t="shared" si="113"/>
        <v/>
      </c>
      <c r="T162" s="652"/>
      <c r="U162" s="2696"/>
      <c r="V162" s="652"/>
      <c r="W162" s="2696"/>
      <c r="X162" s="652"/>
      <c r="Y162" s="1580">
        <f t="shared" ca="1" si="114"/>
        <v>0</v>
      </c>
      <c r="Z162" s="1580">
        <f t="shared" ca="1" si="115"/>
        <v>0</v>
      </c>
      <c r="AA162" s="1580">
        <f t="shared" ca="1" si="116"/>
        <v>0</v>
      </c>
      <c r="AB162" s="1580">
        <f t="shared" ca="1" si="117"/>
        <v>0</v>
      </c>
      <c r="AC162" s="1580">
        <f t="shared" ca="1" si="118"/>
        <v>0</v>
      </c>
      <c r="AD162" s="1580">
        <f t="shared" ca="1" si="119"/>
        <v>0</v>
      </c>
      <c r="AE162" s="1580">
        <f t="shared" ca="1" si="120"/>
        <v>0</v>
      </c>
      <c r="AF162" s="1581">
        <f t="shared" ca="1" si="121"/>
        <v>0</v>
      </c>
      <c r="AG162" s="194"/>
      <c r="AH162" s="1579" t="str">
        <f t="shared" ca="1" si="122"/>
        <v/>
      </c>
      <c r="AI162" s="1580" t="str">
        <f t="shared" ca="1" si="123"/>
        <v/>
      </c>
      <c r="AJ162" s="1581" t="str">
        <f t="shared" ca="1" si="124"/>
        <v/>
      </c>
      <c r="AK162" s="194"/>
      <c r="AL162" s="1582">
        <f t="shared" ca="1" si="125"/>
        <v>0</v>
      </c>
      <c r="AM162" s="209"/>
      <c r="AN162" s="1582">
        <f t="shared" ca="1" si="126"/>
        <v>0</v>
      </c>
      <c r="AO162" s="209"/>
      <c r="AP162" s="1582">
        <f t="shared" ca="1" si="127"/>
        <v>0</v>
      </c>
      <c r="AQ162" s="209"/>
      <c r="AR162" s="1582">
        <f t="shared" ca="1" si="128"/>
        <v>0</v>
      </c>
      <c r="AS162" s="194"/>
      <c r="AT162" s="1582">
        <f t="shared" ca="1" si="129"/>
        <v>0</v>
      </c>
      <c r="AU162" s="194"/>
      <c r="AV162" s="194"/>
      <c r="AW162" s="194"/>
      <c r="AX162" s="194"/>
      <c r="AY162" s="194"/>
    </row>
    <row r="163" spans="1:51" s="2699" customFormat="1" ht="18" hidden="1" customHeight="1" x14ac:dyDescent="0.25">
      <c r="A163" s="972">
        <f t="shared" ca="1" si="130"/>
        <v>0</v>
      </c>
      <c r="B163" s="707">
        <f t="shared" si="134"/>
        <v>157</v>
      </c>
      <c r="C163" s="1376"/>
      <c r="D163" s="3346"/>
      <c r="E163" s="3346" t="str">
        <f t="shared" ca="1" si="106"/>
        <v/>
      </c>
      <c r="F163" s="1448" t="str">
        <f t="shared" ca="1" si="107"/>
        <v/>
      </c>
      <c r="G163" s="1418" t="str">
        <f t="shared" ca="1" si="108"/>
        <v/>
      </c>
      <c r="H163" s="3589" t="str">
        <f t="shared" ca="1" si="109"/>
        <v/>
      </c>
      <c r="I163" s="3589" t="str">
        <f t="shared" ca="1" si="110"/>
        <v/>
      </c>
      <c r="J163" s="3590" t="str">
        <f t="shared" ca="1" si="131"/>
        <v/>
      </c>
      <c r="K163" s="1422" t="str">
        <f t="shared" ca="1" si="111"/>
        <v/>
      </c>
      <c r="L163" s="1431" t="str">
        <f t="shared" ca="1" si="132"/>
        <v/>
      </c>
      <c r="M163" s="3591" t="str">
        <f t="shared" ca="1" si="133"/>
        <v/>
      </c>
      <c r="N163" s="3592" t="str">
        <f t="shared" ca="1" si="112"/>
        <v/>
      </c>
      <c r="O163" s="1420" t="e">
        <f ca="1">IF(U163="",IF(Income_RentRollSource="Datappraise/Manual Entry",VLOOKUP($B163,Datappraise_RentRoll,5,FALSE),IF(OR(Income_TechniqueUsed="Direct Capitalization",Income_TechniqueUsed="Direct Cap &amp; DCF"),VLOOKUP('Rent Roll'!S163,'Income Assumptions'!$D$11:$H$19,5,FALSE),VLOOKUP('Rent Roll'!S163,'Income Assumptions'!$D$50:$O$57,6,FALSE))),U163)</f>
        <v>#N/A</v>
      </c>
      <c r="P163" s="3346"/>
      <c r="Q163" s="1377"/>
      <c r="R163" s="652"/>
      <c r="S163" s="2696" t="str">
        <f t="shared" si="113"/>
        <v/>
      </c>
      <c r="T163" s="652"/>
      <c r="U163" s="2696"/>
      <c r="V163" s="652"/>
      <c r="W163" s="2696"/>
      <c r="X163" s="652"/>
      <c r="Y163" s="1580">
        <f t="shared" ca="1" si="114"/>
        <v>0</v>
      </c>
      <c r="Z163" s="1580">
        <f t="shared" ca="1" si="115"/>
        <v>0</v>
      </c>
      <c r="AA163" s="1580">
        <f t="shared" ca="1" si="116"/>
        <v>0</v>
      </c>
      <c r="AB163" s="1580">
        <f t="shared" ca="1" si="117"/>
        <v>0</v>
      </c>
      <c r="AC163" s="1580">
        <f t="shared" ca="1" si="118"/>
        <v>0</v>
      </c>
      <c r="AD163" s="1580">
        <f t="shared" ca="1" si="119"/>
        <v>0</v>
      </c>
      <c r="AE163" s="1580">
        <f t="shared" ca="1" si="120"/>
        <v>0</v>
      </c>
      <c r="AF163" s="1581">
        <f t="shared" ca="1" si="121"/>
        <v>0</v>
      </c>
      <c r="AG163" s="194"/>
      <c r="AH163" s="1579" t="str">
        <f t="shared" ca="1" si="122"/>
        <v/>
      </c>
      <c r="AI163" s="1580" t="str">
        <f t="shared" ca="1" si="123"/>
        <v/>
      </c>
      <c r="AJ163" s="1581" t="str">
        <f t="shared" ca="1" si="124"/>
        <v/>
      </c>
      <c r="AK163" s="194"/>
      <c r="AL163" s="1582">
        <f t="shared" ca="1" si="125"/>
        <v>0</v>
      </c>
      <c r="AM163" s="209"/>
      <c r="AN163" s="1582">
        <f t="shared" ca="1" si="126"/>
        <v>0</v>
      </c>
      <c r="AO163" s="209"/>
      <c r="AP163" s="1582">
        <f t="shared" ca="1" si="127"/>
        <v>0</v>
      </c>
      <c r="AQ163" s="209"/>
      <c r="AR163" s="1582">
        <f t="shared" ca="1" si="128"/>
        <v>0</v>
      </c>
      <c r="AS163" s="194"/>
      <c r="AT163" s="1582">
        <f t="shared" ca="1" si="129"/>
        <v>0</v>
      </c>
      <c r="AU163" s="194"/>
      <c r="AV163" s="194"/>
      <c r="AW163" s="194"/>
      <c r="AX163" s="194"/>
      <c r="AY163" s="194"/>
    </row>
    <row r="164" spans="1:51" s="2699" customFormat="1" ht="18" hidden="1" customHeight="1" x14ac:dyDescent="0.25">
      <c r="A164" s="972">
        <f t="shared" ca="1" si="130"/>
        <v>0</v>
      </c>
      <c r="B164" s="707">
        <f t="shared" si="134"/>
        <v>158</v>
      </c>
      <c r="C164" s="1376"/>
      <c r="D164" s="3346"/>
      <c r="E164" s="3346" t="str">
        <f t="shared" ca="1" si="106"/>
        <v/>
      </c>
      <c r="F164" s="1448" t="str">
        <f t="shared" ca="1" si="107"/>
        <v/>
      </c>
      <c r="G164" s="1418" t="str">
        <f t="shared" ca="1" si="108"/>
        <v/>
      </c>
      <c r="H164" s="3589" t="str">
        <f t="shared" ca="1" si="109"/>
        <v/>
      </c>
      <c r="I164" s="3589" t="str">
        <f t="shared" ca="1" si="110"/>
        <v/>
      </c>
      <c r="J164" s="3590" t="str">
        <f t="shared" ca="1" si="131"/>
        <v/>
      </c>
      <c r="K164" s="1422" t="str">
        <f t="shared" ca="1" si="111"/>
        <v/>
      </c>
      <c r="L164" s="1431" t="str">
        <f t="shared" ca="1" si="132"/>
        <v/>
      </c>
      <c r="M164" s="3591" t="str">
        <f t="shared" ca="1" si="133"/>
        <v/>
      </c>
      <c r="N164" s="3592" t="str">
        <f t="shared" ca="1" si="112"/>
        <v/>
      </c>
      <c r="O164" s="1420" t="e">
        <f ca="1">IF(U164="",IF(Income_RentRollSource="Datappraise/Manual Entry",VLOOKUP($B164,Datappraise_RentRoll,5,FALSE),IF(OR(Income_TechniqueUsed="Direct Capitalization",Income_TechniqueUsed="Direct Cap &amp; DCF"),VLOOKUP('Rent Roll'!S164,'Income Assumptions'!$D$11:$H$19,5,FALSE),VLOOKUP('Rent Roll'!S164,'Income Assumptions'!$D$50:$O$57,6,FALSE))),U164)</f>
        <v>#N/A</v>
      </c>
      <c r="P164" s="3346"/>
      <c r="Q164" s="1377"/>
      <c r="R164" s="652"/>
      <c r="S164" s="2696" t="str">
        <f t="shared" si="113"/>
        <v/>
      </c>
      <c r="T164" s="652"/>
      <c r="U164" s="2696"/>
      <c r="V164" s="652"/>
      <c r="W164" s="2696"/>
      <c r="X164" s="652"/>
      <c r="Y164" s="1580">
        <f t="shared" ca="1" si="114"/>
        <v>0</v>
      </c>
      <c r="Z164" s="1580">
        <f t="shared" ca="1" si="115"/>
        <v>0</v>
      </c>
      <c r="AA164" s="1580">
        <f t="shared" ca="1" si="116"/>
        <v>0</v>
      </c>
      <c r="AB164" s="1580">
        <f t="shared" ca="1" si="117"/>
        <v>0</v>
      </c>
      <c r="AC164" s="1580">
        <f t="shared" ca="1" si="118"/>
        <v>0</v>
      </c>
      <c r="AD164" s="1580">
        <f t="shared" ca="1" si="119"/>
        <v>0</v>
      </c>
      <c r="AE164" s="1580">
        <f t="shared" ca="1" si="120"/>
        <v>0</v>
      </c>
      <c r="AF164" s="1581">
        <f t="shared" ca="1" si="121"/>
        <v>0</v>
      </c>
      <c r="AG164" s="194"/>
      <c r="AH164" s="1579" t="str">
        <f t="shared" ca="1" si="122"/>
        <v/>
      </c>
      <c r="AI164" s="1580" t="str">
        <f t="shared" ca="1" si="123"/>
        <v/>
      </c>
      <c r="AJ164" s="1581" t="str">
        <f t="shared" ca="1" si="124"/>
        <v/>
      </c>
      <c r="AK164" s="194"/>
      <c r="AL164" s="1582">
        <f t="shared" ca="1" si="125"/>
        <v>0</v>
      </c>
      <c r="AM164" s="209"/>
      <c r="AN164" s="1582">
        <f t="shared" ca="1" si="126"/>
        <v>0</v>
      </c>
      <c r="AO164" s="209"/>
      <c r="AP164" s="1582">
        <f t="shared" ca="1" si="127"/>
        <v>0</v>
      </c>
      <c r="AQ164" s="209"/>
      <c r="AR164" s="1582">
        <f t="shared" ca="1" si="128"/>
        <v>0</v>
      </c>
      <c r="AS164" s="194"/>
      <c r="AT164" s="1582">
        <f t="shared" ca="1" si="129"/>
        <v>0</v>
      </c>
      <c r="AU164" s="194"/>
      <c r="AV164" s="194"/>
      <c r="AW164" s="194"/>
      <c r="AX164" s="194"/>
      <c r="AY164" s="194"/>
    </row>
    <row r="165" spans="1:51" s="2699" customFormat="1" ht="18" hidden="1" customHeight="1" x14ac:dyDescent="0.25">
      <c r="A165" s="972">
        <f t="shared" ca="1" si="130"/>
        <v>0</v>
      </c>
      <c r="B165" s="707">
        <f t="shared" si="134"/>
        <v>159</v>
      </c>
      <c r="C165" s="1376"/>
      <c r="D165" s="3346"/>
      <c r="E165" s="3346" t="str">
        <f t="shared" ca="1" si="106"/>
        <v/>
      </c>
      <c r="F165" s="1448" t="str">
        <f t="shared" ca="1" si="107"/>
        <v/>
      </c>
      <c r="G165" s="1418" t="str">
        <f t="shared" ca="1" si="108"/>
        <v/>
      </c>
      <c r="H165" s="3589" t="str">
        <f t="shared" ca="1" si="109"/>
        <v/>
      </c>
      <c r="I165" s="3589" t="str">
        <f t="shared" ca="1" si="110"/>
        <v/>
      </c>
      <c r="J165" s="3590" t="str">
        <f t="shared" ca="1" si="131"/>
        <v/>
      </c>
      <c r="K165" s="1422" t="str">
        <f t="shared" ca="1" si="111"/>
        <v/>
      </c>
      <c r="L165" s="1431" t="str">
        <f t="shared" ca="1" si="132"/>
        <v/>
      </c>
      <c r="M165" s="3591" t="str">
        <f t="shared" ca="1" si="133"/>
        <v/>
      </c>
      <c r="N165" s="3592" t="str">
        <f t="shared" ca="1" si="112"/>
        <v/>
      </c>
      <c r="O165" s="1420" t="e">
        <f ca="1">IF(U165="",IF(Income_RentRollSource="Datappraise/Manual Entry",VLOOKUP($B165,Datappraise_RentRoll,5,FALSE),IF(OR(Income_TechniqueUsed="Direct Capitalization",Income_TechniqueUsed="Direct Cap &amp; DCF"),VLOOKUP('Rent Roll'!S165,'Income Assumptions'!$D$11:$H$19,5,FALSE),VLOOKUP('Rent Roll'!S165,'Income Assumptions'!$D$50:$O$57,6,FALSE))),U165)</f>
        <v>#N/A</v>
      </c>
      <c r="P165" s="3346"/>
      <c r="Q165" s="1377"/>
      <c r="R165" s="652"/>
      <c r="S165" s="2696" t="str">
        <f t="shared" si="113"/>
        <v/>
      </c>
      <c r="T165" s="652"/>
      <c r="U165" s="2696"/>
      <c r="V165" s="652"/>
      <c r="W165" s="2696"/>
      <c r="X165" s="652"/>
      <c r="Y165" s="1580">
        <f t="shared" ca="1" si="114"/>
        <v>0</v>
      </c>
      <c r="Z165" s="1580">
        <f t="shared" ca="1" si="115"/>
        <v>0</v>
      </c>
      <c r="AA165" s="1580">
        <f t="shared" ca="1" si="116"/>
        <v>0</v>
      </c>
      <c r="AB165" s="1580">
        <f t="shared" ca="1" si="117"/>
        <v>0</v>
      </c>
      <c r="AC165" s="1580">
        <f t="shared" ca="1" si="118"/>
        <v>0</v>
      </c>
      <c r="AD165" s="1580">
        <f t="shared" ca="1" si="119"/>
        <v>0</v>
      </c>
      <c r="AE165" s="1580">
        <f t="shared" ca="1" si="120"/>
        <v>0</v>
      </c>
      <c r="AF165" s="1581">
        <f t="shared" ca="1" si="121"/>
        <v>0</v>
      </c>
      <c r="AG165" s="194"/>
      <c r="AH165" s="1579" t="str">
        <f t="shared" ca="1" si="122"/>
        <v/>
      </c>
      <c r="AI165" s="1580" t="str">
        <f t="shared" ca="1" si="123"/>
        <v/>
      </c>
      <c r="AJ165" s="1581" t="str">
        <f t="shared" ca="1" si="124"/>
        <v/>
      </c>
      <c r="AK165" s="194"/>
      <c r="AL165" s="1582">
        <f t="shared" ca="1" si="125"/>
        <v>0</v>
      </c>
      <c r="AM165" s="209"/>
      <c r="AN165" s="1582">
        <f t="shared" ca="1" si="126"/>
        <v>0</v>
      </c>
      <c r="AO165" s="209"/>
      <c r="AP165" s="1582">
        <f t="shared" ca="1" si="127"/>
        <v>0</v>
      </c>
      <c r="AQ165" s="209"/>
      <c r="AR165" s="1582">
        <f t="shared" ca="1" si="128"/>
        <v>0</v>
      </c>
      <c r="AS165" s="194"/>
      <c r="AT165" s="1582">
        <f t="shared" ca="1" si="129"/>
        <v>0</v>
      </c>
      <c r="AU165" s="194"/>
      <c r="AV165" s="194"/>
      <c r="AW165" s="194"/>
      <c r="AX165" s="194"/>
      <c r="AY165" s="194"/>
    </row>
    <row r="166" spans="1:51" s="2699" customFormat="1" ht="18" hidden="1" customHeight="1" x14ac:dyDescent="0.25">
      <c r="A166" s="972">
        <f t="shared" ca="1" si="130"/>
        <v>0</v>
      </c>
      <c r="B166" s="707">
        <f t="shared" si="134"/>
        <v>160</v>
      </c>
      <c r="C166" s="1376"/>
      <c r="D166" s="3346"/>
      <c r="E166" s="3346" t="str">
        <f t="shared" ca="1" si="106"/>
        <v/>
      </c>
      <c r="F166" s="1448" t="str">
        <f t="shared" ca="1" si="107"/>
        <v/>
      </c>
      <c r="G166" s="1418" t="str">
        <f t="shared" ca="1" si="108"/>
        <v/>
      </c>
      <c r="H166" s="3589" t="str">
        <f t="shared" ca="1" si="109"/>
        <v/>
      </c>
      <c r="I166" s="3589" t="str">
        <f t="shared" ca="1" si="110"/>
        <v/>
      </c>
      <c r="J166" s="3590" t="str">
        <f t="shared" ca="1" si="131"/>
        <v/>
      </c>
      <c r="K166" s="1422" t="str">
        <f t="shared" ca="1" si="111"/>
        <v/>
      </c>
      <c r="L166" s="1431" t="str">
        <f t="shared" ca="1" si="132"/>
        <v/>
      </c>
      <c r="M166" s="3591" t="str">
        <f t="shared" ca="1" si="133"/>
        <v/>
      </c>
      <c r="N166" s="3592" t="str">
        <f t="shared" ca="1" si="112"/>
        <v/>
      </c>
      <c r="O166" s="1420" t="e">
        <f ca="1">IF(U166="",IF(Income_RentRollSource="Datappraise/Manual Entry",VLOOKUP($B166,Datappraise_RentRoll,5,FALSE),IF(OR(Income_TechniqueUsed="Direct Capitalization",Income_TechniqueUsed="Direct Cap &amp; DCF"),VLOOKUP('Rent Roll'!S166,'Income Assumptions'!$D$11:$H$19,5,FALSE),VLOOKUP('Rent Roll'!S166,'Income Assumptions'!$D$50:$O$57,6,FALSE))),U166)</f>
        <v>#N/A</v>
      </c>
      <c r="P166" s="3346"/>
      <c r="Q166" s="1377"/>
      <c r="R166" s="652"/>
      <c r="S166" s="2696" t="str">
        <f t="shared" si="113"/>
        <v/>
      </c>
      <c r="T166" s="652"/>
      <c r="U166" s="2696"/>
      <c r="V166" s="652"/>
      <c r="W166" s="2696"/>
      <c r="X166" s="652"/>
      <c r="Y166" s="1580">
        <f t="shared" ca="1" si="114"/>
        <v>0</v>
      </c>
      <c r="Z166" s="1580">
        <f t="shared" ca="1" si="115"/>
        <v>0</v>
      </c>
      <c r="AA166" s="1580">
        <f t="shared" ca="1" si="116"/>
        <v>0</v>
      </c>
      <c r="AB166" s="1580">
        <f t="shared" ca="1" si="117"/>
        <v>0</v>
      </c>
      <c r="AC166" s="1580">
        <f t="shared" ca="1" si="118"/>
        <v>0</v>
      </c>
      <c r="AD166" s="1580">
        <f t="shared" ca="1" si="119"/>
        <v>0</v>
      </c>
      <c r="AE166" s="1580">
        <f t="shared" ca="1" si="120"/>
        <v>0</v>
      </c>
      <c r="AF166" s="1581">
        <f t="shared" ca="1" si="121"/>
        <v>0</v>
      </c>
      <c r="AG166" s="194"/>
      <c r="AH166" s="1579" t="str">
        <f t="shared" ca="1" si="122"/>
        <v/>
      </c>
      <c r="AI166" s="1580" t="str">
        <f t="shared" ca="1" si="123"/>
        <v/>
      </c>
      <c r="AJ166" s="1581" t="str">
        <f t="shared" ca="1" si="124"/>
        <v/>
      </c>
      <c r="AK166" s="194"/>
      <c r="AL166" s="1582">
        <f t="shared" ca="1" si="125"/>
        <v>0</v>
      </c>
      <c r="AM166" s="209"/>
      <c r="AN166" s="1582">
        <f t="shared" ca="1" si="126"/>
        <v>0</v>
      </c>
      <c r="AO166" s="209"/>
      <c r="AP166" s="1582">
        <f t="shared" ca="1" si="127"/>
        <v>0</v>
      </c>
      <c r="AQ166" s="209"/>
      <c r="AR166" s="1582">
        <f t="shared" ca="1" si="128"/>
        <v>0</v>
      </c>
      <c r="AS166" s="194"/>
      <c r="AT166" s="1582">
        <f t="shared" ca="1" si="129"/>
        <v>0</v>
      </c>
      <c r="AU166" s="194"/>
      <c r="AV166" s="194"/>
      <c r="AW166" s="194"/>
      <c r="AX166" s="194"/>
      <c r="AY166" s="194"/>
    </row>
    <row r="167" spans="1:51" s="2699" customFormat="1" ht="18" hidden="1" customHeight="1" x14ac:dyDescent="0.25">
      <c r="A167" s="972">
        <f t="shared" ca="1" si="130"/>
        <v>0</v>
      </c>
      <c r="B167" s="707">
        <f t="shared" si="134"/>
        <v>161</v>
      </c>
      <c r="C167" s="1376"/>
      <c r="D167" s="3346"/>
      <c r="E167" s="3346" t="str">
        <f t="shared" ref="E167:E198" ca="1" si="135">IF(Income_RentRollSource="ARGUS",IF(OR(ISERROR(VLOOKUP($B167,ARGUS_TenantRentRollArray,2,FALSE)),ISNUMBER(SEARCH("Reabsorb",VLOOKUP($B167,ARGUS_TenantRentRollArray,2,FALSE)))),"",VLOOKUP($B167,ARGUS_TenantRentRollArray,2,FALSE)),IF(Datappraise_RentRoll_TenantCount&lt;B167,"",VLOOKUP($B167,Datappraise_RentRoll,2,FALSE)))</f>
        <v/>
      </c>
      <c r="F167" s="1448" t="str">
        <f t="shared" ref="F167:F198" ca="1" si="136">IF(Income_RentRollSource="ARGUS",IF(OR(ISERROR(VLOOKUP($B167,ARGUS_TenantRentRollArray,2,FALSE)),ISNUMBER(SEARCH("Reabsorb",VLOOKUP($B167,ARGUS_TenantRentRollArray,2,FALSE))),ISNUMBER(SEARCH("Vacant",VLOOKUP($B167,ARGUS_TenantRentRollArray,2,FALSE)))),"",VLOOKUP($B167,ARGUS_TenantRentRollArray,3,FALSE)),IF(Datappraise_RentRoll_TenantCount&lt;$B167,"",VLOOKUP($B167,Datappraise_RentRoll,3,FALSE)))</f>
        <v/>
      </c>
      <c r="G167" s="1418" t="str">
        <f t="shared" ref="G167:G198" ca="1" si="137">IF(Income_RentRollSource="ARGUS",IF(OR(ISERROR(VLOOKUP($B167,ARGUS_TenantRentRollArray,2,FALSE)),ISNUMBER(SEARCH("Reabsorb",VLOOKUP($B167,ARGUS_TenantRentRollArray,2,FALSE)))),"",IF(ISERROR(SEARCH("Vacant",E167)),IF(H167&gt;dpIncome_RentRoll_DOV,"Prospective Contract","Contract"),"Speculative")),IF(Datappraise_RentRoll_TenantCount&lt;$B167,"",IF(ISERROR(SEARCH("Vacant",E167)),IF(H167&gt;dpIncome_RentRoll_DOV,"Prospective Contract","Contract"),"Speculative")))</f>
        <v/>
      </c>
      <c r="H167" s="3589" t="str">
        <f t="shared" ref="H167:H198" ca="1" si="138">IF(Income_RentRollSource="ARGUS",IF(OR(ISERROR(VLOOKUP($B167,ARGUS_TenantRentRollArray,2,FALSE)),ISNUMBER(SEARCH("Reabsorb",VLOOKUP($B167,ARGUS_TenantRentRollArray,2,FALSE)))),"",VLOOKUP($B167,ARGUS_TenantRentRollArray,8,FALSE))+0,IF(Datappraise_RentRoll_TenantCount&lt;$B167,"",VLOOKUP($B167,Datappraise_RentRoll,10,FALSE)))</f>
        <v/>
      </c>
      <c r="I167" s="3589" t="str">
        <f t="shared" ref="I167:I198" ca="1" si="139">IF(Income_RentRollSource="ARGUS",IF(OR(ISERROR(VLOOKUP($B167,ARGUS_TenantRentRollArray,2,FALSE)),ISNUMBER(SEARCH("Reabsorb",VLOOKUP($B167,ARGUS_TenantRentRollArray,2,FALSE)))),"",VLOOKUP($B167,ARGUS_TenantRentRollArray,9,FALSE))+0,IF(Datappraise_RentRoll_TenantCount&lt;$B167,"",VLOOKUP($B167,Datappraise_RentRoll,11,FALSE)))</f>
        <v/>
      </c>
      <c r="J167" s="3590" t="str">
        <f t="shared" ca="1" si="131"/>
        <v/>
      </c>
      <c r="K167" s="1422" t="str">
        <f t="shared" ref="K167:K198" ca="1" si="140">IF(Income_RentRollSource="ARGUS",IF(OR(ISERROR(VLOOKUP($B167,ARGUS_TenantRentRollArray,2,FALSE)),ISNUMBER(SEARCH("Reabsorb",VLOOKUP($B167,ARGUS_TenantRentRollArray,2,FALSE)))),"",VLOOKUP($B167,ARGUS_TenantRentRollArray,7,FALSE)),IF(Datappraise_RentRoll_TenantCount&lt;$B167,"",VLOOKUP($B167,Datappraise_RentRoll,7,FALSE)))</f>
        <v/>
      </c>
      <c r="L167" s="1431" t="str">
        <f t="shared" ca="1" si="132"/>
        <v/>
      </c>
      <c r="M167" s="3591" t="str">
        <f t="shared" ca="1" si="133"/>
        <v/>
      </c>
      <c r="N167" s="3592" t="str">
        <f t="shared" ref="N167:N198" ca="1" si="141">IF(Income_RentRollSource="ARGUS",IF(A167=0,"",VLOOKUP(B167,ARGUS_TenantRentRollArray,10,FALSE)/K167),IF(A167=0,"",VLOOKUP($B167,Datappraise_RentRoll,9,FALSE)))</f>
        <v/>
      </c>
      <c r="O167" s="1420" t="e">
        <f ca="1">IF(U167="",IF(Income_RentRollSource="Datappraise/Manual Entry",VLOOKUP($B167,Datappraise_RentRoll,5,FALSE),IF(OR(Income_TechniqueUsed="Direct Capitalization",Income_TechniqueUsed="Direct Cap &amp; DCF"),VLOOKUP('Rent Roll'!S167,'Income Assumptions'!$D$11:$H$19,5,FALSE),VLOOKUP('Rent Roll'!S167,'Income Assumptions'!$D$50:$O$57,6,FALSE))),U167)</f>
        <v>#N/A</v>
      </c>
      <c r="P167" s="3346"/>
      <c r="Q167" s="1377"/>
      <c r="R167" s="652"/>
      <c r="S167" s="2696" t="str">
        <f t="shared" ref="S167:S198" si="142">IF(Income_RentRollSource="Datappraise",IF(ISERROR(VLOOKUP($B167,Datappraise_RentRoll,4,FALSE))=FALSE,VLOOKUP($B167,Datappraise_RentRoll,4,FALSE),""),"")</f>
        <v/>
      </c>
      <c r="T167" s="652"/>
      <c r="U167" s="2696"/>
      <c r="V167" s="652"/>
      <c r="W167" s="2696"/>
      <c r="X167" s="652"/>
      <c r="Y167" s="1580">
        <f t="shared" ref="Y167:Y198" ca="1" si="143">IF(AND($A167=1,$S167=Income_TCat1,$S167&lt;&gt;""),1,0)</f>
        <v>0</v>
      </c>
      <c r="Z167" s="1580">
        <f t="shared" ref="Z167:Z198" ca="1" si="144">IF(AND($A167=1,$S167=Income_TCat2,$S167&lt;&gt;""),1,0)</f>
        <v>0</v>
      </c>
      <c r="AA167" s="1580">
        <f t="shared" ref="AA167:AA198" ca="1" si="145">IF(AND($A167=1,$S167=Income_TCat3,$S167&lt;&gt;""),1,0)</f>
        <v>0</v>
      </c>
      <c r="AB167" s="1580">
        <f t="shared" ref="AB167:AB198" ca="1" si="146">IF(AND($A167=1,$S167=Income_TCat4,$S167&lt;&gt;""),1,0)</f>
        <v>0</v>
      </c>
      <c r="AC167" s="1580">
        <f t="shared" ref="AC167:AC198" ca="1" si="147">IF(AND($A167=1,$S167=Income_TCat5,$S167&lt;&gt;""),1,0)</f>
        <v>0</v>
      </c>
      <c r="AD167" s="1580">
        <f t="shared" ref="AD167:AD198" ca="1" si="148">IF(AND($A167=1,$S167=Income_TCat6,$S167&lt;&gt;""),1,0)</f>
        <v>0</v>
      </c>
      <c r="AE167" s="1580">
        <f t="shared" ref="AE167:AE198" ca="1" si="149">IF(AND($A167=1,$S167=Income_TCat7,$S167&lt;&gt;""),1,0)</f>
        <v>0</v>
      </c>
      <c r="AF167" s="1581">
        <f t="shared" ref="AF167:AF198" ca="1" si="150">IF(AND($A167=1,$S167=Income_TCat8,$S167&lt;&gt;""),1,0)</f>
        <v>0</v>
      </c>
      <c r="AG167" s="194"/>
      <c r="AH167" s="1579" t="str">
        <f t="shared" ref="AH167:AH198" ca="1" si="151">IF(OR(G167="Speculative",G167=""),"",K167*N167)</f>
        <v/>
      </c>
      <c r="AI167" s="1580" t="str">
        <f t="shared" ref="AI167:AI198" ca="1" si="152">IF(OR(G167="Speculative",G167=""),"",K167*VLOOKUP(S167,Income_DirectCap_AssumpMatrix,3,FALSE))</f>
        <v/>
      </c>
      <c r="AJ167" s="1581" t="str">
        <f t="shared" ref="AJ167:AJ198" ca="1" si="153">IF(OR(G167="Speculative",G167=""),"",K167)</f>
        <v/>
      </c>
      <c r="AK167" s="194"/>
      <c r="AL167" s="1582">
        <f t="shared" ref="AL167:AL198" ca="1" si="154">IF(ISERROR(AND(OR($H167=Income_Absorb_Period1,$H167&gt;Income_Absorb_Period1),$A167=1)),0,IF(AND(OR($H167=Income_Absorb_Period1,$H167&gt;Income_Absorb_Period1),$A167=1),$K167,0))</f>
        <v>0</v>
      </c>
      <c r="AM167" s="209"/>
      <c r="AN167" s="1582">
        <f t="shared" ref="AN167:AN198" ca="1" si="155">IF(ISERROR(AND(OR($H167=Income_Absorb_Period2,AND($H167&gt;Income_Absorb_Period2,$H167&lt;Income_Absorb_Period1)),$A167=1,Income_Absorb_Period2&lt;&gt;"")),0,IF(AND(OR($H167=Income_Absorb_Period2,AND($H167&gt;Income_Absorb_Period2,$H167&lt;Income_Absorb_Period1)),$A167=1,Income_Absorb_Period2&lt;&gt;""),$K167,0))</f>
        <v>0</v>
      </c>
      <c r="AO167" s="209"/>
      <c r="AP167" s="1582">
        <f t="shared" ref="AP167:AP198" ca="1" si="156">IF(ISERROR(AND(OR($H167=Income_Absorb_Period3,AND($H167&gt;Income_Absorb_Period3,$H167&lt;Income_Absorb_Period2)),$A167=1,Income_Absorb_Period3&lt;&gt;"")),0,IF(AND(OR($H167=Income_Absorb_Period3,AND($H167&gt;Income_Absorb_Period3,$H167&lt;Income_Absorb_Period2)),$A167=1,Income_Absorb_Period3&lt;&gt;""),$K167,0))</f>
        <v>0</v>
      </c>
      <c r="AQ167" s="209"/>
      <c r="AR167" s="1582">
        <f t="shared" ref="AR167:AR198" ca="1" si="157">IF(ISERROR(AND(OR($H167=Income_Absorb_Period4,AND($H167&gt;Income_Absorb_Period4,$H167&lt;Income_Absorb_Period3)),$A167=1,Income_Absorb_Period4&lt;&gt;"")),0,IF(AND(OR($H167=Income_Absorb_Period4,AND($H167&gt;Income_Absorb_Period4,$H167&lt;Income_Absorb_Period3)),$A167=1,Income_Absorb_Period4&lt;&gt;""),$K167,0))</f>
        <v>0</v>
      </c>
      <c r="AS167" s="194"/>
      <c r="AT167" s="1582">
        <f t="shared" ref="AT167:AT198" ca="1" si="158">IF(ISERROR(AND(OR($H167=Income_Absorb_Period5,AND($H167&gt;Income_Absorb_Period5,$H167&lt;Income_Absorb_Period4)),$A167=1,Income_Absorb_Period5&lt;&gt;"")),0,IF(AND(OR($H167=Income_Absorb_Period5,AND($H167&gt;Income_Absorb_Period5,$H167&lt;Income_Absorb_Period4)),$A167=1,Income_Absorb_Period5&lt;&gt;""),$K167,0))</f>
        <v>0</v>
      </c>
      <c r="AU167" s="194"/>
      <c r="AV167" s="194"/>
      <c r="AW167" s="194"/>
      <c r="AX167" s="194"/>
      <c r="AY167" s="194"/>
    </row>
    <row r="168" spans="1:51" s="2699" customFormat="1" ht="18" hidden="1" customHeight="1" x14ac:dyDescent="0.25">
      <c r="A168" s="972">
        <f t="shared" ca="1" si="130"/>
        <v>0</v>
      </c>
      <c r="B168" s="707">
        <f t="shared" si="134"/>
        <v>162</v>
      </c>
      <c r="C168" s="1376"/>
      <c r="D168" s="3346"/>
      <c r="E168" s="3346" t="str">
        <f t="shared" ca="1" si="135"/>
        <v/>
      </c>
      <c r="F168" s="1448" t="str">
        <f t="shared" ca="1" si="136"/>
        <v/>
      </c>
      <c r="G168" s="1418" t="str">
        <f t="shared" ca="1" si="137"/>
        <v/>
      </c>
      <c r="H168" s="3589" t="str">
        <f t="shared" ca="1" si="138"/>
        <v/>
      </c>
      <c r="I168" s="3589" t="str">
        <f t="shared" ca="1" si="139"/>
        <v/>
      </c>
      <c r="J168" s="3590" t="str">
        <f t="shared" ca="1" si="131"/>
        <v/>
      </c>
      <c r="K168" s="1422" t="str">
        <f t="shared" ca="1" si="140"/>
        <v/>
      </c>
      <c r="L168" s="1431" t="str">
        <f t="shared" ca="1" si="132"/>
        <v/>
      </c>
      <c r="M168" s="3591" t="str">
        <f t="shared" ca="1" si="133"/>
        <v/>
      </c>
      <c r="N168" s="3592" t="str">
        <f t="shared" ca="1" si="141"/>
        <v/>
      </c>
      <c r="O168" s="1420" t="e">
        <f ca="1">IF(U168="",IF(Income_RentRollSource="Datappraise/Manual Entry",VLOOKUP($B168,Datappraise_RentRoll,5,FALSE),IF(OR(Income_TechniqueUsed="Direct Capitalization",Income_TechniqueUsed="Direct Cap &amp; DCF"),VLOOKUP('Rent Roll'!S168,'Income Assumptions'!$D$11:$H$19,5,FALSE),VLOOKUP('Rent Roll'!S168,'Income Assumptions'!$D$50:$O$57,6,FALSE))),U168)</f>
        <v>#N/A</v>
      </c>
      <c r="P168" s="3346"/>
      <c r="Q168" s="1377"/>
      <c r="R168" s="652"/>
      <c r="S168" s="2696" t="str">
        <f t="shared" si="142"/>
        <v/>
      </c>
      <c r="T168" s="652"/>
      <c r="U168" s="2696"/>
      <c r="V168" s="652"/>
      <c r="W168" s="2696"/>
      <c r="X168" s="652"/>
      <c r="Y168" s="1580">
        <f t="shared" ca="1" si="143"/>
        <v>0</v>
      </c>
      <c r="Z168" s="1580">
        <f t="shared" ca="1" si="144"/>
        <v>0</v>
      </c>
      <c r="AA168" s="1580">
        <f t="shared" ca="1" si="145"/>
        <v>0</v>
      </c>
      <c r="AB168" s="1580">
        <f t="shared" ca="1" si="146"/>
        <v>0</v>
      </c>
      <c r="AC168" s="1580">
        <f t="shared" ca="1" si="147"/>
        <v>0</v>
      </c>
      <c r="AD168" s="1580">
        <f t="shared" ca="1" si="148"/>
        <v>0</v>
      </c>
      <c r="AE168" s="1580">
        <f t="shared" ca="1" si="149"/>
        <v>0</v>
      </c>
      <c r="AF168" s="1581">
        <f t="shared" ca="1" si="150"/>
        <v>0</v>
      </c>
      <c r="AG168" s="194"/>
      <c r="AH168" s="1579" t="str">
        <f t="shared" ca="1" si="151"/>
        <v/>
      </c>
      <c r="AI168" s="1580" t="str">
        <f t="shared" ca="1" si="152"/>
        <v/>
      </c>
      <c r="AJ168" s="1581" t="str">
        <f t="shared" ca="1" si="153"/>
        <v/>
      </c>
      <c r="AK168" s="194"/>
      <c r="AL168" s="1582">
        <f t="shared" ca="1" si="154"/>
        <v>0</v>
      </c>
      <c r="AM168" s="209"/>
      <c r="AN168" s="1582">
        <f t="shared" ca="1" si="155"/>
        <v>0</v>
      </c>
      <c r="AO168" s="209"/>
      <c r="AP168" s="1582">
        <f t="shared" ca="1" si="156"/>
        <v>0</v>
      </c>
      <c r="AQ168" s="209"/>
      <c r="AR168" s="1582">
        <f t="shared" ca="1" si="157"/>
        <v>0</v>
      </c>
      <c r="AS168" s="194"/>
      <c r="AT168" s="1582">
        <f t="shared" ca="1" si="158"/>
        <v>0</v>
      </c>
      <c r="AU168" s="194"/>
      <c r="AV168" s="194"/>
      <c r="AW168" s="194"/>
      <c r="AX168" s="194"/>
      <c r="AY168" s="194"/>
    </row>
    <row r="169" spans="1:51" s="2699" customFormat="1" ht="18" hidden="1" customHeight="1" x14ac:dyDescent="0.25">
      <c r="A169" s="972">
        <f t="shared" ca="1" si="130"/>
        <v>0</v>
      </c>
      <c r="B169" s="707">
        <f t="shared" si="134"/>
        <v>163</v>
      </c>
      <c r="C169" s="1376"/>
      <c r="D169" s="3346"/>
      <c r="E169" s="3346" t="str">
        <f t="shared" ca="1" si="135"/>
        <v/>
      </c>
      <c r="F169" s="1448" t="str">
        <f t="shared" ca="1" si="136"/>
        <v/>
      </c>
      <c r="G169" s="1418" t="str">
        <f t="shared" ca="1" si="137"/>
        <v/>
      </c>
      <c r="H169" s="3589" t="str">
        <f t="shared" ca="1" si="138"/>
        <v/>
      </c>
      <c r="I169" s="3589" t="str">
        <f t="shared" ca="1" si="139"/>
        <v/>
      </c>
      <c r="J169" s="3590" t="str">
        <f t="shared" ca="1" si="131"/>
        <v/>
      </c>
      <c r="K169" s="1422" t="str">
        <f t="shared" ca="1" si="140"/>
        <v/>
      </c>
      <c r="L169" s="1431" t="str">
        <f t="shared" ca="1" si="132"/>
        <v/>
      </c>
      <c r="M169" s="3591" t="str">
        <f t="shared" ca="1" si="133"/>
        <v/>
      </c>
      <c r="N169" s="3592" t="str">
        <f t="shared" ca="1" si="141"/>
        <v/>
      </c>
      <c r="O169" s="1420" t="e">
        <f ca="1">IF(U169="",IF(Income_RentRollSource="Datappraise/Manual Entry",VLOOKUP($B169,Datappraise_RentRoll,5,FALSE),IF(OR(Income_TechniqueUsed="Direct Capitalization",Income_TechniqueUsed="Direct Cap &amp; DCF"),VLOOKUP('Rent Roll'!S169,'Income Assumptions'!$D$11:$H$19,5,FALSE),VLOOKUP('Rent Roll'!S169,'Income Assumptions'!$D$50:$O$57,6,FALSE))),U169)</f>
        <v>#N/A</v>
      </c>
      <c r="P169" s="3346"/>
      <c r="Q169" s="1377"/>
      <c r="R169" s="652"/>
      <c r="S169" s="2696" t="str">
        <f t="shared" si="142"/>
        <v/>
      </c>
      <c r="T169" s="652"/>
      <c r="U169" s="2696"/>
      <c r="V169" s="652"/>
      <c r="W169" s="2696"/>
      <c r="X169" s="652"/>
      <c r="Y169" s="1580">
        <f t="shared" ca="1" si="143"/>
        <v>0</v>
      </c>
      <c r="Z169" s="1580">
        <f t="shared" ca="1" si="144"/>
        <v>0</v>
      </c>
      <c r="AA169" s="1580">
        <f t="shared" ca="1" si="145"/>
        <v>0</v>
      </c>
      <c r="AB169" s="1580">
        <f t="shared" ca="1" si="146"/>
        <v>0</v>
      </c>
      <c r="AC169" s="1580">
        <f t="shared" ca="1" si="147"/>
        <v>0</v>
      </c>
      <c r="AD169" s="1580">
        <f t="shared" ca="1" si="148"/>
        <v>0</v>
      </c>
      <c r="AE169" s="1580">
        <f t="shared" ca="1" si="149"/>
        <v>0</v>
      </c>
      <c r="AF169" s="1581">
        <f t="shared" ca="1" si="150"/>
        <v>0</v>
      </c>
      <c r="AG169" s="194"/>
      <c r="AH169" s="1579" t="str">
        <f t="shared" ca="1" si="151"/>
        <v/>
      </c>
      <c r="AI169" s="1580" t="str">
        <f t="shared" ca="1" si="152"/>
        <v/>
      </c>
      <c r="AJ169" s="1581" t="str">
        <f t="shared" ca="1" si="153"/>
        <v/>
      </c>
      <c r="AK169" s="194"/>
      <c r="AL169" s="1582">
        <f t="shared" ca="1" si="154"/>
        <v>0</v>
      </c>
      <c r="AM169" s="209"/>
      <c r="AN169" s="1582">
        <f t="shared" ca="1" si="155"/>
        <v>0</v>
      </c>
      <c r="AO169" s="209"/>
      <c r="AP169" s="1582">
        <f t="shared" ca="1" si="156"/>
        <v>0</v>
      </c>
      <c r="AQ169" s="209"/>
      <c r="AR169" s="1582">
        <f t="shared" ca="1" si="157"/>
        <v>0</v>
      </c>
      <c r="AS169" s="194"/>
      <c r="AT169" s="1582">
        <f t="shared" ca="1" si="158"/>
        <v>0</v>
      </c>
      <c r="AU169" s="194"/>
      <c r="AV169" s="194"/>
      <c r="AW169" s="194"/>
      <c r="AX169" s="194"/>
      <c r="AY169" s="194"/>
    </row>
    <row r="170" spans="1:51" s="2699" customFormat="1" ht="18" hidden="1" customHeight="1" x14ac:dyDescent="0.25">
      <c r="A170" s="972">
        <f t="shared" ca="1" si="130"/>
        <v>0</v>
      </c>
      <c r="B170" s="707">
        <f t="shared" si="134"/>
        <v>164</v>
      </c>
      <c r="C170" s="1376"/>
      <c r="D170" s="3346"/>
      <c r="E170" s="3346" t="str">
        <f t="shared" ca="1" si="135"/>
        <v/>
      </c>
      <c r="F170" s="1448" t="str">
        <f t="shared" ca="1" si="136"/>
        <v/>
      </c>
      <c r="G170" s="1418" t="str">
        <f t="shared" ca="1" si="137"/>
        <v/>
      </c>
      <c r="H170" s="3589" t="str">
        <f t="shared" ca="1" si="138"/>
        <v/>
      </c>
      <c r="I170" s="3589" t="str">
        <f t="shared" ca="1" si="139"/>
        <v/>
      </c>
      <c r="J170" s="3590" t="str">
        <f t="shared" ca="1" si="131"/>
        <v/>
      </c>
      <c r="K170" s="1422" t="str">
        <f t="shared" ca="1" si="140"/>
        <v/>
      </c>
      <c r="L170" s="1431" t="str">
        <f t="shared" ca="1" si="132"/>
        <v/>
      </c>
      <c r="M170" s="3591" t="str">
        <f t="shared" ca="1" si="133"/>
        <v/>
      </c>
      <c r="N170" s="3592" t="str">
        <f t="shared" ca="1" si="141"/>
        <v/>
      </c>
      <c r="O170" s="1420" t="e">
        <f ca="1">IF(U170="",IF(Income_RentRollSource="Datappraise/Manual Entry",VLOOKUP($B170,Datappraise_RentRoll,5,FALSE),IF(OR(Income_TechniqueUsed="Direct Capitalization",Income_TechniqueUsed="Direct Cap &amp; DCF"),VLOOKUP('Rent Roll'!S170,'Income Assumptions'!$D$11:$H$19,5,FALSE),VLOOKUP('Rent Roll'!S170,'Income Assumptions'!$D$50:$O$57,6,FALSE))),U170)</f>
        <v>#N/A</v>
      </c>
      <c r="P170" s="3346"/>
      <c r="Q170" s="1377"/>
      <c r="R170" s="652"/>
      <c r="S170" s="2696" t="str">
        <f t="shared" si="142"/>
        <v/>
      </c>
      <c r="T170" s="652"/>
      <c r="U170" s="2696"/>
      <c r="V170" s="652"/>
      <c r="W170" s="2696"/>
      <c r="X170" s="652"/>
      <c r="Y170" s="1580">
        <f t="shared" ca="1" si="143"/>
        <v>0</v>
      </c>
      <c r="Z170" s="1580">
        <f t="shared" ca="1" si="144"/>
        <v>0</v>
      </c>
      <c r="AA170" s="1580">
        <f t="shared" ca="1" si="145"/>
        <v>0</v>
      </c>
      <c r="AB170" s="1580">
        <f t="shared" ca="1" si="146"/>
        <v>0</v>
      </c>
      <c r="AC170" s="1580">
        <f t="shared" ca="1" si="147"/>
        <v>0</v>
      </c>
      <c r="AD170" s="1580">
        <f t="shared" ca="1" si="148"/>
        <v>0</v>
      </c>
      <c r="AE170" s="1580">
        <f t="shared" ca="1" si="149"/>
        <v>0</v>
      </c>
      <c r="AF170" s="1581">
        <f t="shared" ca="1" si="150"/>
        <v>0</v>
      </c>
      <c r="AG170" s="194"/>
      <c r="AH170" s="1579" t="str">
        <f t="shared" ca="1" si="151"/>
        <v/>
      </c>
      <c r="AI170" s="1580" t="str">
        <f t="shared" ca="1" si="152"/>
        <v/>
      </c>
      <c r="AJ170" s="1581" t="str">
        <f t="shared" ca="1" si="153"/>
        <v/>
      </c>
      <c r="AK170" s="194"/>
      <c r="AL170" s="1582">
        <f t="shared" ca="1" si="154"/>
        <v>0</v>
      </c>
      <c r="AM170" s="209"/>
      <c r="AN170" s="1582">
        <f t="shared" ca="1" si="155"/>
        <v>0</v>
      </c>
      <c r="AO170" s="209"/>
      <c r="AP170" s="1582">
        <f t="shared" ca="1" si="156"/>
        <v>0</v>
      </c>
      <c r="AQ170" s="209"/>
      <c r="AR170" s="1582">
        <f t="shared" ca="1" si="157"/>
        <v>0</v>
      </c>
      <c r="AS170" s="194"/>
      <c r="AT170" s="1582">
        <f t="shared" ca="1" si="158"/>
        <v>0</v>
      </c>
      <c r="AU170" s="194"/>
      <c r="AV170" s="194"/>
      <c r="AW170" s="194"/>
      <c r="AX170" s="194"/>
      <c r="AY170" s="194"/>
    </row>
    <row r="171" spans="1:51" s="2699" customFormat="1" ht="18" hidden="1" customHeight="1" x14ac:dyDescent="0.25">
      <c r="A171" s="972">
        <f t="shared" ca="1" si="130"/>
        <v>0</v>
      </c>
      <c r="B171" s="707">
        <f t="shared" si="134"/>
        <v>165</v>
      </c>
      <c r="C171" s="1376"/>
      <c r="D171" s="3346"/>
      <c r="E171" s="3346" t="str">
        <f t="shared" ca="1" si="135"/>
        <v/>
      </c>
      <c r="F171" s="1448" t="str">
        <f t="shared" ca="1" si="136"/>
        <v/>
      </c>
      <c r="G171" s="1418" t="str">
        <f t="shared" ca="1" si="137"/>
        <v/>
      </c>
      <c r="H171" s="3589" t="str">
        <f t="shared" ca="1" si="138"/>
        <v/>
      </c>
      <c r="I171" s="3589" t="str">
        <f t="shared" ca="1" si="139"/>
        <v/>
      </c>
      <c r="J171" s="3590" t="str">
        <f t="shared" ca="1" si="131"/>
        <v/>
      </c>
      <c r="K171" s="1422" t="str">
        <f t="shared" ca="1" si="140"/>
        <v/>
      </c>
      <c r="L171" s="1431" t="str">
        <f t="shared" ca="1" si="132"/>
        <v/>
      </c>
      <c r="M171" s="3591" t="str">
        <f t="shared" ca="1" si="133"/>
        <v/>
      </c>
      <c r="N171" s="3592" t="str">
        <f t="shared" ca="1" si="141"/>
        <v/>
      </c>
      <c r="O171" s="1420" t="e">
        <f ca="1">IF(U171="",IF(Income_RentRollSource="Datappraise/Manual Entry",VLOOKUP($B171,Datappraise_RentRoll,5,FALSE),IF(OR(Income_TechniqueUsed="Direct Capitalization",Income_TechniqueUsed="Direct Cap &amp; DCF"),VLOOKUP('Rent Roll'!S171,'Income Assumptions'!$D$11:$H$19,5,FALSE),VLOOKUP('Rent Roll'!S171,'Income Assumptions'!$D$50:$O$57,6,FALSE))),U171)</f>
        <v>#N/A</v>
      </c>
      <c r="P171" s="3346"/>
      <c r="Q171" s="1377"/>
      <c r="R171" s="652"/>
      <c r="S171" s="2696" t="str">
        <f t="shared" si="142"/>
        <v/>
      </c>
      <c r="T171" s="652"/>
      <c r="U171" s="2696"/>
      <c r="V171" s="652"/>
      <c r="W171" s="2696"/>
      <c r="X171" s="652"/>
      <c r="Y171" s="1580">
        <f t="shared" ca="1" si="143"/>
        <v>0</v>
      </c>
      <c r="Z171" s="1580">
        <f t="shared" ca="1" si="144"/>
        <v>0</v>
      </c>
      <c r="AA171" s="1580">
        <f t="shared" ca="1" si="145"/>
        <v>0</v>
      </c>
      <c r="AB171" s="1580">
        <f t="shared" ca="1" si="146"/>
        <v>0</v>
      </c>
      <c r="AC171" s="1580">
        <f t="shared" ca="1" si="147"/>
        <v>0</v>
      </c>
      <c r="AD171" s="1580">
        <f t="shared" ca="1" si="148"/>
        <v>0</v>
      </c>
      <c r="AE171" s="1580">
        <f t="shared" ca="1" si="149"/>
        <v>0</v>
      </c>
      <c r="AF171" s="1581">
        <f t="shared" ca="1" si="150"/>
        <v>0</v>
      </c>
      <c r="AG171" s="194"/>
      <c r="AH171" s="1579" t="str">
        <f t="shared" ca="1" si="151"/>
        <v/>
      </c>
      <c r="AI171" s="1580" t="str">
        <f t="shared" ca="1" si="152"/>
        <v/>
      </c>
      <c r="AJ171" s="1581" t="str">
        <f t="shared" ca="1" si="153"/>
        <v/>
      </c>
      <c r="AK171" s="194"/>
      <c r="AL171" s="1582">
        <f t="shared" ca="1" si="154"/>
        <v>0</v>
      </c>
      <c r="AM171" s="209"/>
      <c r="AN171" s="1582">
        <f t="shared" ca="1" si="155"/>
        <v>0</v>
      </c>
      <c r="AO171" s="209"/>
      <c r="AP171" s="1582">
        <f t="shared" ca="1" si="156"/>
        <v>0</v>
      </c>
      <c r="AQ171" s="209"/>
      <c r="AR171" s="1582">
        <f t="shared" ca="1" si="157"/>
        <v>0</v>
      </c>
      <c r="AS171" s="194"/>
      <c r="AT171" s="1582">
        <f t="shared" ca="1" si="158"/>
        <v>0</v>
      </c>
      <c r="AU171" s="194"/>
      <c r="AV171" s="194"/>
      <c r="AW171" s="194"/>
      <c r="AX171" s="194"/>
      <c r="AY171" s="194"/>
    </row>
    <row r="172" spans="1:51" s="2699" customFormat="1" ht="18" hidden="1" customHeight="1" x14ac:dyDescent="0.25">
      <c r="A172" s="972">
        <f t="shared" ca="1" si="130"/>
        <v>0</v>
      </c>
      <c r="B172" s="707">
        <f t="shared" si="134"/>
        <v>166</v>
      </c>
      <c r="C172" s="1376"/>
      <c r="D172" s="3346"/>
      <c r="E172" s="3346" t="str">
        <f t="shared" ca="1" si="135"/>
        <v/>
      </c>
      <c r="F172" s="1448" t="str">
        <f t="shared" ca="1" si="136"/>
        <v/>
      </c>
      <c r="G172" s="1418" t="str">
        <f t="shared" ca="1" si="137"/>
        <v/>
      </c>
      <c r="H172" s="3589" t="str">
        <f t="shared" ca="1" si="138"/>
        <v/>
      </c>
      <c r="I172" s="3589" t="str">
        <f t="shared" ca="1" si="139"/>
        <v/>
      </c>
      <c r="J172" s="3590" t="str">
        <f t="shared" ca="1" si="131"/>
        <v/>
      </c>
      <c r="K172" s="1422" t="str">
        <f t="shared" ca="1" si="140"/>
        <v/>
      </c>
      <c r="L172" s="1431" t="str">
        <f t="shared" ca="1" si="132"/>
        <v/>
      </c>
      <c r="M172" s="3591" t="str">
        <f t="shared" ca="1" si="133"/>
        <v/>
      </c>
      <c r="N172" s="3592" t="str">
        <f t="shared" ca="1" si="141"/>
        <v/>
      </c>
      <c r="O172" s="1420" t="e">
        <f ca="1">IF(U172="",IF(Income_RentRollSource="Datappraise/Manual Entry",VLOOKUP($B172,Datappraise_RentRoll,5,FALSE),IF(OR(Income_TechniqueUsed="Direct Capitalization",Income_TechniqueUsed="Direct Cap &amp; DCF"),VLOOKUP('Rent Roll'!S172,'Income Assumptions'!$D$11:$H$19,5,FALSE),VLOOKUP('Rent Roll'!S172,'Income Assumptions'!$D$50:$O$57,6,FALSE))),U172)</f>
        <v>#N/A</v>
      </c>
      <c r="P172" s="3346"/>
      <c r="Q172" s="1377"/>
      <c r="R172" s="652"/>
      <c r="S172" s="2696" t="str">
        <f t="shared" si="142"/>
        <v/>
      </c>
      <c r="T172" s="652"/>
      <c r="U172" s="2696"/>
      <c r="V172" s="652"/>
      <c r="W172" s="2696"/>
      <c r="X172" s="652"/>
      <c r="Y172" s="1580">
        <f t="shared" ca="1" si="143"/>
        <v>0</v>
      </c>
      <c r="Z172" s="1580">
        <f t="shared" ca="1" si="144"/>
        <v>0</v>
      </c>
      <c r="AA172" s="1580">
        <f t="shared" ca="1" si="145"/>
        <v>0</v>
      </c>
      <c r="AB172" s="1580">
        <f t="shared" ca="1" si="146"/>
        <v>0</v>
      </c>
      <c r="AC172" s="1580">
        <f t="shared" ca="1" si="147"/>
        <v>0</v>
      </c>
      <c r="AD172" s="1580">
        <f t="shared" ca="1" si="148"/>
        <v>0</v>
      </c>
      <c r="AE172" s="1580">
        <f t="shared" ca="1" si="149"/>
        <v>0</v>
      </c>
      <c r="AF172" s="1581">
        <f t="shared" ca="1" si="150"/>
        <v>0</v>
      </c>
      <c r="AG172" s="194"/>
      <c r="AH172" s="1579" t="str">
        <f t="shared" ca="1" si="151"/>
        <v/>
      </c>
      <c r="AI172" s="1580" t="str">
        <f t="shared" ca="1" si="152"/>
        <v/>
      </c>
      <c r="AJ172" s="1581" t="str">
        <f t="shared" ca="1" si="153"/>
        <v/>
      </c>
      <c r="AK172" s="194"/>
      <c r="AL172" s="1582">
        <f t="shared" ca="1" si="154"/>
        <v>0</v>
      </c>
      <c r="AM172" s="209"/>
      <c r="AN172" s="1582">
        <f t="shared" ca="1" si="155"/>
        <v>0</v>
      </c>
      <c r="AO172" s="209"/>
      <c r="AP172" s="1582">
        <f t="shared" ca="1" si="156"/>
        <v>0</v>
      </c>
      <c r="AQ172" s="209"/>
      <c r="AR172" s="1582">
        <f t="shared" ca="1" si="157"/>
        <v>0</v>
      </c>
      <c r="AS172" s="194"/>
      <c r="AT172" s="1582">
        <f t="shared" ca="1" si="158"/>
        <v>0</v>
      </c>
      <c r="AU172" s="194"/>
      <c r="AV172" s="194"/>
      <c r="AW172" s="194"/>
      <c r="AX172" s="194"/>
      <c r="AY172" s="194"/>
    </row>
    <row r="173" spans="1:51" s="2699" customFormat="1" ht="18" hidden="1" customHeight="1" x14ac:dyDescent="0.25">
      <c r="A173" s="972">
        <f t="shared" ca="1" si="130"/>
        <v>0</v>
      </c>
      <c r="B173" s="707">
        <f t="shared" si="134"/>
        <v>167</v>
      </c>
      <c r="C173" s="1376"/>
      <c r="D173" s="3346"/>
      <c r="E173" s="3346" t="str">
        <f t="shared" ca="1" si="135"/>
        <v/>
      </c>
      <c r="F173" s="1448" t="str">
        <f t="shared" ca="1" si="136"/>
        <v/>
      </c>
      <c r="G173" s="1418" t="str">
        <f t="shared" ca="1" si="137"/>
        <v/>
      </c>
      <c r="H173" s="3589" t="str">
        <f t="shared" ca="1" si="138"/>
        <v/>
      </c>
      <c r="I173" s="3589" t="str">
        <f t="shared" ca="1" si="139"/>
        <v/>
      </c>
      <c r="J173" s="3590" t="str">
        <f t="shared" ca="1" si="131"/>
        <v/>
      </c>
      <c r="K173" s="1422" t="str">
        <f t="shared" ca="1" si="140"/>
        <v/>
      </c>
      <c r="L173" s="1431" t="str">
        <f t="shared" ca="1" si="132"/>
        <v/>
      </c>
      <c r="M173" s="3591" t="str">
        <f t="shared" ca="1" si="133"/>
        <v/>
      </c>
      <c r="N173" s="3592" t="str">
        <f t="shared" ca="1" si="141"/>
        <v/>
      </c>
      <c r="O173" s="1420" t="e">
        <f ca="1">IF(U173="",IF(Income_RentRollSource="Datappraise/Manual Entry",VLOOKUP($B173,Datappraise_RentRoll,5,FALSE),IF(OR(Income_TechniqueUsed="Direct Capitalization",Income_TechniqueUsed="Direct Cap &amp; DCF"),VLOOKUP('Rent Roll'!S173,'Income Assumptions'!$D$11:$H$19,5,FALSE),VLOOKUP('Rent Roll'!S173,'Income Assumptions'!$D$50:$O$57,6,FALSE))),U173)</f>
        <v>#N/A</v>
      </c>
      <c r="P173" s="3346"/>
      <c r="Q173" s="1377"/>
      <c r="R173" s="652"/>
      <c r="S173" s="2696" t="str">
        <f t="shared" si="142"/>
        <v/>
      </c>
      <c r="T173" s="652"/>
      <c r="U173" s="2696"/>
      <c r="V173" s="652"/>
      <c r="W173" s="2696"/>
      <c r="X173" s="652"/>
      <c r="Y173" s="1580">
        <f t="shared" ca="1" si="143"/>
        <v>0</v>
      </c>
      <c r="Z173" s="1580">
        <f t="shared" ca="1" si="144"/>
        <v>0</v>
      </c>
      <c r="AA173" s="1580">
        <f t="shared" ca="1" si="145"/>
        <v>0</v>
      </c>
      <c r="AB173" s="1580">
        <f t="shared" ca="1" si="146"/>
        <v>0</v>
      </c>
      <c r="AC173" s="1580">
        <f t="shared" ca="1" si="147"/>
        <v>0</v>
      </c>
      <c r="AD173" s="1580">
        <f t="shared" ca="1" si="148"/>
        <v>0</v>
      </c>
      <c r="AE173" s="1580">
        <f t="shared" ca="1" si="149"/>
        <v>0</v>
      </c>
      <c r="AF173" s="1581">
        <f t="shared" ca="1" si="150"/>
        <v>0</v>
      </c>
      <c r="AG173" s="194"/>
      <c r="AH173" s="1579" t="str">
        <f t="shared" ca="1" si="151"/>
        <v/>
      </c>
      <c r="AI173" s="1580" t="str">
        <f t="shared" ca="1" si="152"/>
        <v/>
      </c>
      <c r="AJ173" s="1581" t="str">
        <f t="shared" ca="1" si="153"/>
        <v/>
      </c>
      <c r="AK173" s="194"/>
      <c r="AL173" s="1582">
        <f t="shared" ca="1" si="154"/>
        <v>0</v>
      </c>
      <c r="AM173" s="209"/>
      <c r="AN173" s="1582">
        <f t="shared" ca="1" si="155"/>
        <v>0</v>
      </c>
      <c r="AO173" s="209"/>
      <c r="AP173" s="1582">
        <f t="shared" ca="1" si="156"/>
        <v>0</v>
      </c>
      <c r="AQ173" s="209"/>
      <c r="AR173" s="1582">
        <f t="shared" ca="1" si="157"/>
        <v>0</v>
      </c>
      <c r="AS173" s="194"/>
      <c r="AT173" s="1582">
        <f t="shared" ca="1" si="158"/>
        <v>0</v>
      </c>
      <c r="AU173" s="194"/>
      <c r="AV173" s="194"/>
      <c r="AW173" s="194"/>
      <c r="AX173" s="194"/>
      <c r="AY173" s="194"/>
    </row>
    <row r="174" spans="1:51" s="2699" customFormat="1" ht="18" hidden="1" customHeight="1" x14ac:dyDescent="0.25">
      <c r="A174" s="972">
        <f t="shared" ca="1" si="130"/>
        <v>0</v>
      </c>
      <c r="B174" s="707">
        <f t="shared" si="134"/>
        <v>168</v>
      </c>
      <c r="C174" s="1376"/>
      <c r="D174" s="3346"/>
      <c r="E174" s="3346" t="str">
        <f t="shared" ca="1" si="135"/>
        <v/>
      </c>
      <c r="F174" s="1448" t="str">
        <f t="shared" ca="1" si="136"/>
        <v/>
      </c>
      <c r="G174" s="1418" t="str">
        <f t="shared" ca="1" si="137"/>
        <v/>
      </c>
      <c r="H174" s="3589" t="str">
        <f t="shared" ca="1" si="138"/>
        <v/>
      </c>
      <c r="I174" s="3589" t="str">
        <f t="shared" ca="1" si="139"/>
        <v/>
      </c>
      <c r="J174" s="3590" t="str">
        <f t="shared" ca="1" si="131"/>
        <v/>
      </c>
      <c r="K174" s="1422" t="str">
        <f t="shared" ca="1" si="140"/>
        <v/>
      </c>
      <c r="L174" s="1431" t="str">
        <f t="shared" ca="1" si="132"/>
        <v/>
      </c>
      <c r="M174" s="3591" t="str">
        <f t="shared" ca="1" si="133"/>
        <v/>
      </c>
      <c r="N174" s="3592" t="str">
        <f t="shared" ca="1" si="141"/>
        <v/>
      </c>
      <c r="O174" s="1420" t="e">
        <f ca="1">IF(U174="",IF(Income_RentRollSource="Datappraise/Manual Entry",VLOOKUP($B174,Datappraise_RentRoll,5,FALSE),IF(OR(Income_TechniqueUsed="Direct Capitalization",Income_TechniqueUsed="Direct Cap &amp; DCF"),VLOOKUP('Rent Roll'!S174,'Income Assumptions'!$D$11:$H$19,5,FALSE),VLOOKUP('Rent Roll'!S174,'Income Assumptions'!$D$50:$O$57,6,FALSE))),U174)</f>
        <v>#N/A</v>
      </c>
      <c r="P174" s="3346"/>
      <c r="Q174" s="1377"/>
      <c r="R174" s="652"/>
      <c r="S174" s="2696" t="str">
        <f t="shared" si="142"/>
        <v/>
      </c>
      <c r="T174" s="652"/>
      <c r="U174" s="2696"/>
      <c r="V174" s="652"/>
      <c r="W174" s="2696"/>
      <c r="X174" s="652"/>
      <c r="Y174" s="1580">
        <f t="shared" ca="1" si="143"/>
        <v>0</v>
      </c>
      <c r="Z174" s="1580">
        <f t="shared" ca="1" si="144"/>
        <v>0</v>
      </c>
      <c r="AA174" s="1580">
        <f t="shared" ca="1" si="145"/>
        <v>0</v>
      </c>
      <c r="AB174" s="1580">
        <f t="shared" ca="1" si="146"/>
        <v>0</v>
      </c>
      <c r="AC174" s="1580">
        <f t="shared" ca="1" si="147"/>
        <v>0</v>
      </c>
      <c r="AD174" s="1580">
        <f t="shared" ca="1" si="148"/>
        <v>0</v>
      </c>
      <c r="AE174" s="1580">
        <f t="shared" ca="1" si="149"/>
        <v>0</v>
      </c>
      <c r="AF174" s="1581">
        <f t="shared" ca="1" si="150"/>
        <v>0</v>
      </c>
      <c r="AG174" s="194"/>
      <c r="AH174" s="1579" t="str">
        <f t="shared" ca="1" si="151"/>
        <v/>
      </c>
      <c r="AI174" s="1580" t="str">
        <f t="shared" ca="1" si="152"/>
        <v/>
      </c>
      <c r="AJ174" s="1581" t="str">
        <f t="shared" ca="1" si="153"/>
        <v/>
      </c>
      <c r="AK174" s="194"/>
      <c r="AL174" s="1582">
        <f t="shared" ca="1" si="154"/>
        <v>0</v>
      </c>
      <c r="AM174" s="209"/>
      <c r="AN174" s="1582">
        <f t="shared" ca="1" si="155"/>
        <v>0</v>
      </c>
      <c r="AO174" s="209"/>
      <c r="AP174" s="1582">
        <f t="shared" ca="1" si="156"/>
        <v>0</v>
      </c>
      <c r="AQ174" s="209"/>
      <c r="AR174" s="1582">
        <f t="shared" ca="1" si="157"/>
        <v>0</v>
      </c>
      <c r="AS174" s="194"/>
      <c r="AT174" s="1582">
        <f t="shared" ca="1" si="158"/>
        <v>0</v>
      </c>
      <c r="AU174" s="194"/>
      <c r="AV174" s="194"/>
      <c r="AW174" s="194"/>
      <c r="AX174" s="194"/>
      <c r="AY174" s="194"/>
    </row>
    <row r="175" spans="1:51" s="2699" customFormat="1" ht="18" hidden="1" customHeight="1" x14ac:dyDescent="0.25">
      <c r="A175" s="972">
        <f t="shared" ca="1" si="130"/>
        <v>0</v>
      </c>
      <c r="B175" s="707">
        <f t="shared" si="134"/>
        <v>169</v>
      </c>
      <c r="C175" s="1376"/>
      <c r="D175" s="3346"/>
      <c r="E175" s="3346" t="str">
        <f t="shared" ca="1" si="135"/>
        <v/>
      </c>
      <c r="F175" s="1448" t="str">
        <f t="shared" ca="1" si="136"/>
        <v/>
      </c>
      <c r="G175" s="1418" t="str">
        <f t="shared" ca="1" si="137"/>
        <v/>
      </c>
      <c r="H175" s="3589" t="str">
        <f t="shared" ca="1" si="138"/>
        <v/>
      </c>
      <c r="I175" s="3589" t="str">
        <f t="shared" ca="1" si="139"/>
        <v/>
      </c>
      <c r="J175" s="3590" t="str">
        <f t="shared" ca="1" si="131"/>
        <v/>
      </c>
      <c r="K175" s="1422" t="str">
        <f t="shared" ca="1" si="140"/>
        <v/>
      </c>
      <c r="L175" s="1431" t="str">
        <f t="shared" ca="1" si="132"/>
        <v/>
      </c>
      <c r="M175" s="3591" t="str">
        <f t="shared" ca="1" si="133"/>
        <v/>
      </c>
      <c r="N175" s="3592" t="str">
        <f t="shared" ca="1" si="141"/>
        <v/>
      </c>
      <c r="O175" s="1420" t="e">
        <f ca="1">IF(U175="",IF(Income_RentRollSource="Datappraise/Manual Entry",VLOOKUP($B175,Datappraise_RentRoll,5,FALSE),IF(OR(Income_TechniqueUsed="Direct Capitalization",Income_TechniqueUsed="Direct Cap &amp; DCF"),VLOOKUP('Rent Roll'!S175,'Income Assumptions'!$D$11:$H$19,5,FALSE),VLOOKUP('Rent Roll'!S175,'Income Assumptions'!$D$50:$O$57,6,FALSE))),U175)</f>
        <v>#N/A</v>
      </c>
      <c r="P175" s="3346"/>
      <c r="Q175" s="1377"/>
      <c r="R175" s="652"/>
      <c r="S175" s="2696" t="str">
        <f t="shared" si="142"/>
        <v/>
      </c>
      <c r="T175" s="652"/>
      <c r="U175" s="2696"/>
      <c r="V175" s="652"/>
      <c r="W175" s="2696"/>
      <c r="X175" s="652"/>
      <c r="Y175" s="1580">
        <f t="shared" ca="1" si="143"/>
        <v>0</v>
      </c>
      <c r="Z175" s="1580">
        <f t="shared" ca="1" si="144"/>
        <v>0</v>
      </c>
      <c r="AA175" s="1580">
        <f t="shared" ca="1" si="145"/>
        <v>0</v>
      </c>
      <c r="AB175" s="1580">
        <f t="shared" ca="1" si="146"/>
        <v>0</v>
      </c>
      <c r="AC175" s="1580">
        <f t="shared" ca="1" si="147"/>
        <v>0</v>
      </c>
      <c r="AD175" s="1580">
        <f t="shared" ca="1" si="148"/>
        <v>0</v>
      </c>
      <c r="AE175" s="1580">
        <f t="shared" ca="1" si="149"/>
        <v>0</v>
      </c>
      <c r="AF175" s="1581">
        <f t="shared" ca="1" si="150"/>
        <v>0</v>
      </c>
      <c r="AG175" s="194"/>
      <c r="AH175" s="1579" t="str">
        <f t="shared" ca="1" si="151"/>
        <v/>
      </c>
      <c r="AI175" s="1580" t="str">
        <f t="shared" ca="1" si="152"/>
        <v/>
      </c>
      <c r="AJ175" s="1581" t="str">
        <f t="shared" ca="1" si="153"/>
        <v/>
      </c>
      <c r="AK175" s="194"/>
      <c r="AL175" s="1582">
        <f t="shared" ca="1" si="154"/>
        <v>0</v>
      </c>
      <c r="AM175" s="209"/>
      <c r="AN175" s="1582">
        <f t="shared" ca="1" si="155"/>
        <v>0</v>
      </c>
      <c r="AO175" s="209"/>
      <c r="AP175" s="1582">
        <f t="shared" ca="1" si="156"/>
        <v>0</v>
      </c>
      <c r="AQ175" s="209"/>
      <c r="AR175" s="1582">
        <f t="shared" ca="1" si="157"/>
        <v>0</v>
      </c>
      <c r="AS175" s="194"/>
      <c r="AT175" s="1582">
        <f t="shared" ca="1" si="158"/>
        <v>0</v>
      </c>
      <c r="AU175" s="194"/>
      <c r="AV175" s="194"/>
      <c r="AW175" s="194"/>
      <c r="AX175" s="194"/>
      <c r="AY175" s="194"/>
    </row>
    <row r="176" spans="1:51" s="2699" customFormat="1" ht="18" hidden="1" customHeight="1" x14ac:dyDescent="0.25">
      <c r="A176" s="972">
        <f t="shared" ca="1" si="130"/>
        <v>0</v>
      </c>
      <c r="B176" s="707">
        <f t="shared" si="134"/>
        <v>170</v>
      </c>
      <c r="C176" s="1376"/>
      <c r="D176" s="3346"/>
      <c r="E176" s="3346" t="str">
        <f t="shared" ca="1" si="135"/>
        <v/>
      </c>
      <c r="F176" s="1448" t="str">
        <f t="shared" ca="1" si="136"/>
        <v/>
      </c>
      <c r="G176" s="1418" t="str">
        <f t="shared" ca="1" si="137"/>
        <v/>
      </c>
      <c r="H176" s="3589" t="str">
        <f t="shared" ca="1" si="138"/>
        <v/>
      </c>
      <c r="I176" s="3589" t="str">
        <f t="shared" ca="1" si="139"/>
        <v/>
      </c>
      <c r="J176" s="3590" t="str">
        <f t="shared" ca="1" si="131"/>
        <v/>
      </c>
      <c r="K176" s="1422" t="str">
        <f t="shared" ca="1" si="140"/>
        <v/>
      </c>
      <c r="L176" s="1431" t="str">
        <f t="shared" ca="1" si="132"/>
        <v/>
      </c>
      <c r="M176" s="3591" t="str">
        <f t="shared" ca="1" si="133"/>
        <v/>
      </c>
      <c r="N176" s="3592" t="str">
        <f t="shared" ca="1" si="141"/>
        <v/>
      </c>
      <c r="O176" s="1420" t="e">
        <f ca="1">IF(U176="",IF(Income_RentRollSource="Datappraise/Manual Entry",VLOOKUP($B176,Datappraise_RentRoll,5,FALSE),IF(OR(Income_TechniqueUsed="Direct Capitalization",Income_TechniqueUsed="Direct Cap &amp; DCF"),VLOOKUP('Rent Roll'!S176,'Income Assumptions'!$D$11:$H$19,5,FALSE),VLOOKUP('Rent Roll'!S176,'Income Assumptions'!$D$50:$O$57,6,FALSE))),U176)</f>
        <v>#N/A</v>
      </c>
      <c r="P176" s="3346"/>
      <c r="Q176" s="1377"/>
      <c r="R176" s="652"/>
      <c r="S176" s="2696" t="str">
        <f t="shared" si="142"/>
        <v/>
      </c>
      <c r="T176" s="652"/>
      <c r="U176" s="2696"/>
      <c r="V176" s="652"/>
      <c r="W176" s="2696"/>
      <c r="X176" s="652"/>
      <c r="Y176" s="1580">
        <f t="shared" ca="1" si="143"/>
        <v>0</v>
      </c>
      <c r="Z176" s="1580">
        <f t="shared" ca="1" si="144"/>
        <v>0</v>
      </c>
      <c r="AA176" s="1580">
        <f t="shared" ca="1" si="145"/>
        <v>0</v>
      </c>
      <c r="AB176" s="1580">
        <f t="shared" ca="1" si="146"/>
        <v>0</v>
      </c>
      <c r="AC176" s="1580">
        <f t="shared" ca="1" si="147"/>
        <v>0</v>
      </c>
      <c r="AD176" s="1580">
        <f t="shared" ca="1" si="148"/>
        <v>0</v>
      </c>
      <c r="AE176" s="1580">
        <f t="shared" ca="1" si="149"/>
        <v>0</v>
      </c>
      <c r="AF176" s="1581">
        <f t="shared" ca="1" si="150"/>
        <v>0</v>
      </c>
      <c r="AG176" s="194"/>
      <c r="AH176" s="1579" t="str">
        <f t="shared" ca="1" si="151"/>
        <v/>
      </c>
      <c r="AI176" s="1580" t="str">
        <f t="shared" ca="1" si="152"/>
        <v/>
      </c>
      <c r="AJ176" s="1581" t="str">
        <f t="shared" ca="1" si="153"/>
        <v/>
      </c>
      <c r="AK176" s="194"/>
      <c r="AL176" s="1582">
        <f t="shared" ca="1" si="154"/>
        <v>0</v>
      </c>
      <c r="AM176" s="209"/>
      <c r="AN176" s="1582">
        <f t="shared" ca="1" si="155"/>
        <v>0</v>
      </c>
      <c r="AO176" s="209"/>
      <c r="AP176" s="1582">
        <f t="shared" ca="1" si="156"/>
        <v>0</v>
      </c>
      <c r="AQ176" s="209"/>
      <c r="AR176" s="1582">
        <f t="shared" ca="1" si="157"/>
        <v>0</v>
      </c>
      <c r="AS176" s="194"/>
      <c r="AT176" s="1582">
        <f t="shared" ca="1" si="158"/>
        <v>0</v>
      </c>
      <c r="AU176" s="194"/>
      <c r="AV176" s="194"/>
      <c r="AW176" s="194"/>
      <c r="AX176" s="194"/>
      <c r="AY176" s="194"/>
    </row>
    <row r="177" spans="1:51" s="2699" customFormat="1" ht="18" hidden="1" customHeight="1" x14ac:dyDescent="0.25">
      <c r="A177" s="972">
        <f t="shared" ca="1" si="130"/>
        <v>0</v>
      </c>
      <c r="B177" s="707">
        <f t="shared" si="134"/>
        <v>171</v>
      </c>
      <c r="C177" s="1376"/>
      <c r="D177" s="3346"/>
      <c r="E177" s="3346" t="str">
        <f t="shared" ca="1" si="135"/>
        <v/>
      </c>
      <c r="F177" s="1448" t="str">
        <f t="shared" ca="1" si="136"/>
        <v/>
      </c>
      <c r="G177" s="1418" t="str">
        <f t="shared" ca="1" si="137"/>
        <v/>
      </c>
      <c r="H177" s="3589" t="str">
        <f t="shared" ca="1" si="138"/>
        <v/>
      </c>
      <c r="I177" s="3589" t="str">
        <f t="shared" ca="1" si="139"/>
        <v/>
      </c>
      <c r="J177" s="3590" t="str">
        <f t="shared" ca="1" si="131"/>
        <v/>
      </c>
      <c r="K177" s="1422" t="str">
        <f t="shared" ca="1" si="140"/>
        <v/>
      </c>
      <c r="L177" s="1431" t="str">
        <f t="shared" ca="1" si="132"/>
        <v/>
      </c>
      <c r="M177" s="3591" t="str">
        <f t="shared" ca="1" si="133"/>
        <v/>
      </c>
      <c r="N177" s="3592" t="str">
        <f t="shared" ca="1" si="141"/>
        <v/>
      </c>
      <c r="O177" s="1420" t="e">
        <f ca="1">IF(U177="",IF(Income_RentRollSource="Datappraise/Manual Entry",VLOOKUP($B177,Datappraise_RentRoll,5,FALSE),IF(OR(Income_TechniqueUsed="Direct Capitalization",Income_TechniqueUsed="Direct Cap &amp; DCF"),VLOOKUP('Rent Roll'!S177,'Income Assumptions'!$D$11:$H$19,5,FALSE),VLOOKUP('Rent Roll'!S177,'Income Assumptions'!$D$50:$O$57,6,FALSE))),U177)</f>
        <v>#N/A</v>
      </c>
      <c r="P177" s="3346"/>
      <c r="Q177" s="1377"/>
      <c r="R177" s="652"/>
      <c r="S177" s="2696" t="str">
        <f t="shared" si="142"/>
        <v/>
      </c>
      <c r="T177" s="652"/>
      <c r="U177" s="2696"/>
      <c r="V177" s="652"/>
      <c r="W177" s="2696"/>
      <c r="X177" s="652"/>
      <c r="Y177" s="1580">
        <f t="shared" ca="1" si="143"/>
        <v>0</v>
      </c>
      <c r="Z177" s="1580">
        <f t="shared" ca="1" si="144"/>
        <v>0</v>
      </c>
      <c r="AA177" s="1580">
        <f t="shared" ca="1" si="145"/>
        <v>0</v>
      </c>
      <c r="AB177" s="1580">
        <f t="shared" ca="1" si="146"/>
        <v>0</v>
      </c>
      <c r="AC177" s="1580">
        <f t="shared" ca="1" si="147"/>
        <v>0</v>
      </c>
      <c r="AD177" s="1580">
        <f t="shared" ca="1" si="148"/>
        <v>0</v>
      </c>
      <c r="AE177" s="1580">
        <f t="shared" ca="1" si="149"/>
        <v>0</v>
      </c>
      <c r="AF177" s="1581">
        <f t="shared" ca="1" si="150"/>
        <v>0</v>
      </c>
      <c r="AG177" s="194"/>
      <c r="AH177" s="1579" t="str">
        <f t="shared" ca="1" si="151"/>
        <v/>
      </c>
      <c r="AI177" s="1580" t="str">
        <f t="shared" ca="1" si="152"/>
        <v/>
      </c>
      <c r="AJ177" s="1581" t="str">
        <f t="shared" ca="1" si="153"/>
        <v/>
      </c>
      <c r="AK177" s="194"/>
      <c r="AL177" s="1582">
        <f t="shared" ca="1" si="154"/>
        <v>0</v>
      </c>
      <c r="AM177" s="209"/>
      <c r="AN177" s="1582">
        <f t="shared" ca="1" si="155"/>
        <v>0</v>
      </c>
      <c r="AO177" s="209"/>
      <c r="AP177" s="1582">
        <f t="shared" ca="1" si="156"/>
        <v>0</v>
      </c>
      <c r="AQ177" s="209"/>
      <c r="AR177" s="1582">
        <f t="shared" ca="1" si="157"/>
        <v>0</v>
      </c>
      <c r="AS177" s="194"/>
      <c r="AT177" s="1582">
        <f t="shared" ca="1" si="158"/>
        <v>0</v>
      </c>
      <c r="AU177" s="194"/>
      <c r="AV177" s="194"/>
      <c r="AW177" s="194"/>
      <c r="AX177" s="194"/>
      <c r="AY177" s="194"/>
    </row>
    <row r="178" spans="1:51" s="2699" customFormat="1" ht="18" hidden="1" customHeight="1" x14ac:dyDescent="0.25">
      <c r="A178" s="972">
        <f t="shared" ca="1" si="130"/>
        <v>0</v>
      </c>
      <c r="B178" s="707">
        <f t="shared" si="134"/>
        <v>172</v>
      </c>
      <c r="C178" s="1376"/>
      <c r="D178" s="3346"/>
      <c r="E178" s="3346" t="str">
        <f t="shared" ca="1" si="135"/>
        <v/>
      </c>
      <c r="F178" s="1448" t="str">
        <f t="shared" ca="1" si="136"/>
        <v/>
      </c>
      <c r="G178" s="1418" t="str">
        <f t="shared" ca="1" si="137"/>
        <v/>
      </c>
      <c r="H178" s="3589" t="str">
        <f t="shared" ca="1" si="138"/>
        <v/>
      </c>
      <c r="I178" s="3589" t="str">
        <f t="shared" ca="1" si="139"/>
        <v/>
      </c>
      <c r="J178" s="3590" t="str">
        <f t="shared" ca="1" si="131"/>
        <v/>
      </c>
      <c r="K178" s="1422" t="str">
        <f t="shared" ca="1" si="140"/>
        <v/>
      </c>
      <c r="L178" s="1431" t="str">
        <f t="shared" ca="1" si="132"/>
        <v/>
      </c>
      <c r="M178" s="3591" t="str">
        <f t="shared" ca="1" si="133"/>
        <v/>
      </c>
      <c r="N178" s="3592" t="str">
        <f t="shared" ca="1" si="141"/>
        <v/>
      </c>
      <c r="O178" s="1420" t="e">
        <f ca="1">IF(U178="",IF(Income_RentRollSource="Datappraise/Manual Entry",VLOOKUP($B178,Datappraise_RentRoll,5,FALSE),IF(OR(Income_TechniqueUsed="Direct Capitalization",Income_TechniqueUsed="Direct Cap &amp; DCF"),VLOOKUP('Rent Roll'!S178,'Income Assumptions'!$D$11:$H$19,5,FALSE),VLOOKUP('Rent Roll'!S178,'Income Assumptions'!$D$50:$O$57,6,FALSE))),U178)</f>
        <v>#N/A</v>
      </c>
      <c r="P178" s="3346"/>
      <c r="Q178" s="1377"/>
      <c r="R178" s="652"/>
      <c r="S178" s="2696" t="str">
        <f t="shared" si="142"/>
        <v/>
      </c>
      <c r="T178" s="652"/>
      <c r="U178" s="2696"/>
      <c r="V178" s="652"/>
      <c r="W178" s="2696"/>
      <c r="X178" s="652"/>
      <c r="Y178" s="1580">
        <f t="shared" ca="1" si="143"/>
        <v>0</v>
      </c>
      <c r="Z178" s="1580">
        <f t="shared" ca="1" si="144"/>
        <v>0</v>
      </c>
      <c r="AA178" s="1580">
        <f t="shared" ca="1" si="145"/>
        <v>0</v>
      </c>
      <c r="AB178" s="1580">
        <f t="shared" ca="1" si="146"/>
        <v>0</v>
      </c>
      <c r="AC178" s="1580">
        <f t="shared" ca="1" si="147"/>
        <v>0</v>
      </c>
      <c r="AD178" s="1580">
        <f t="shared" ca="1" si="148"/>
        <v>0</v>
      </c>
      <c r="AE178" s="1580">
        <f t="shared" ca="1" si="149"/>
        <v>0</v>
      </c>
      <c r="AF178" s="1581">
        <f t="shared" ca="1" si="150"/>
        <v>0</v>
      </c>
      <c r="AG178" s="194"/>
      <c r="AH178" s="1579" t="str">
        <f t="shared" ca="1" si="151"/>
        <v/>
      </c>
      <c r="AI178" s="1580" t="str">
        <f t="shared" ca="1" si="152"/>
        <v/>
      </c>
      <c r="AJ178" s="1581" t="str">
        <f t="shared" ca="1" si="153"/>
        <v/>
      </c>
      <c r="AK178" s="194"/>
      <c r="AL178" s="1582">
        <f t="shared" ca="1" si="154"/>
        <v>0</v>
      </c>
      <c r="AM178" s="209"/>
      <c r="AN178" s="1582">
        <f t="shared" ca="1" si="155"/>
        <v>0</v>
      </c>
      <c r="AO178" s="209"/>
      <c r="AP178" s="1582">
        <f t="shared" ca="1" si="156"/>
        <v>0</v>
      </c>
      <c r="AQ178" s="209"/>
      <c r="AR178" s="1582">
        <f t="shared" ca="1" si="157"/>
        <v>0</v>
      </c>
      <c r="AS178" s="194"/>
      <c r="AT178" s="1582">
        <f t="shared" ca="1" si="158"/>
        <v>0</v>
      </c>
      <c r="AU178" s="194"/>
      <c r="AV178" s="194"/>
      <c r="AW178" s="194"/>
      <c r="AX178" s="194"/>
      <c r="AY178" s="194"/>
    </row>
    <row r="179" spans="1:51" s="2699" customFormat="1" ht="18" hidden="1" customHeight="1" x14ac:dyDescent="0.25">
      <c r="A179" s="972">
        <f t="shared" ca="1" si="130"/>
        <v>0</v>
      </c>
      <c r="B179" s="707">
        <f t="shared" si="134"/>
        <v>173</v>
      </c>
      <c r="C179" s="1376"/>
      <c r="D179" s="3346"/>
      <c r="E179" s="3346" t="str">
        <f t="shared" ca="1" si="135"/>
        <v/>
      </c>
      <c r="F179" s="1448" t="str">
        <f t="shared" ca="1" si="136"/>
        <v/>
      </c>
      <c r="G179" s="1418" t="str">
        <f t="shared" ca="1" si="137"/>
        <v/>
      </c>
      <c r="H179" s="3589" t="str">
        <f t="shared" ca="1" si="138"/>
        <v/>
      </c>
      <c r="I179" s="3589" t="str">
        <f t="shared" ca="1" si="139"/>
        <v/>
      </c>
      <c r="J179" s="3590" t="str">
        <f t="shared" ca="1" si="131"/>
        <v/>
      </c>
      <c r="K179" s="1422" t="str">
        <f t="shared" ca="1" si="140"/>
        <v/>
      </c>
      <c r="L179" s="1431" t="str">
        <f t="shared" ca="1" si="132"/>
        <v/>
      </c>
      <c r="M179" s="3591" t="str">
        <f t="shared" ca="1" si="133"/>
        <v/>
      </c>
      <c r="N179" s="3592" t="str">
        <f t="shared" ca="1" si="141"/>
        <v/>
      </c>
      <c r="O179" s="1420" t="e">
        <f ca="1">IF(U179="",IF(Income_RentRollSource="Datappraise/Manual Entry",VLOOKUP($B179,Datappraise_RentRoll,5,FALSE),IF(OR(Income_TechniqueUsed="Direct Capitalization",Income_TechniqueUsed="Direct Cap &amp; DCF"),VLOOKUP('Rent Roll'!S179,'Income Assumptions'!$D$11:$H$19,5,FALSE),VLOOKUP('Rent Roll'!S179,'Income Assumptions'!$D$50:$O$57,6,FALSE))),U179)</f>
        <v>#N/A</v>
      </c>
      <c r="P179" s="3346"/>
      <c r="Q179" s="1377"/>
      <c r="R179" s="652"/>
      <c r="S179" s="2696" t="str">
        <f t="shared" si="142"/>
        <v/>
      </c>
      <c r="T179" s="652"/>
      <c r="U179" s="2696"/>
      <c r="V179" s="652"/>
      <c r="W179" s="2696"/>
      <c r="X179" s="652"/>
      <c r="Y179" s="1580">
        <f t="shared" ca="1" si="143"/>
        <v>0</v>
      </c>
      <c r="Z179" s="1580">
        <f t="shared" ca="1" si="144"/>
        <v>0</v>
      </c>
      <c r="AA179" s="1580">
        <f t="shared" ca="1" si="145"/>
        <v>0</v>
      </c>
      <c r="AB179" s="1580">
        <f t="shared" ca="1" si="146"/>
        <v>0</v>
      </c>
      <c r="AC179" s="1580">
        <f t="shared" ca="1" si="147"/>
        <v>0</v>
      </c>
      <c r="AD179" s="1580">
        <f t="shared" ca="1" si="148"/>
        <v>0</v>
      </c>
      <c r="AE179" s="1580">
        <f t="shared" ca="1" si="149"/>
        <v>0</v>
      </c>
      <c r="AF179" s="1581">
        <f t="shared" ca="1" si="150"/>
        <v>0</v>
      </c>
      <c r="AG179" s="194"/>
      <c r="AH179" s="1579" t="str">
        <f t="shared" ca="1" si="151"/>
        <v/>
      </c>
      <c r="AI179" s="1580" t="str">
        <f t="shared" ca="1" si="152"/>
        <v/>
      </c>
      <c r="AJ179" s="1581" t="str">
        <f t="shared" ca="1" si="153"/>
        <v/>
      </c>
      <c r="AK179" s="194"/>
      <c r="AL179" s="1582">
        <f t="shared" ca="1" si="154"/>
        <v>0</v>
      </c>
      <c r="AM179" s="209"/>
      <c r="AN179" s="1582">
        <f t="shared" ca="1" si="155"/>
        <v>0</v>
      </c>
      <c r="AO179" s="209"/>
      <c r="AP179" s="1582">
        <f t="shared" ca="1" si="156"/>
        <v>0</v>
      </c>
      <c r="AQ179" s="209"/>
      <c r="AR179" s="1582">
        <f t="shared" ca="1" si="157"/>
        <v>0</v>
      </c>
      <c r="AS179" s="194"/>
      <c r="AT179" s="1582">
        <f t="shared" ca="1" si="158"/>
        <v>0</v>
      </c>
      <c r="AU179" s="194"/>
      <c r="AV179" s="194"/>
      <c r="AW179" s="194"/>
      <c r="AX179" s="194"/>
      <c r="AY179" s="194"/>
    </row>
    <row r="180" spans="1:51" s="2699" customFormat="1" ht="18" hidden="1" customHeight="1" x14ac:dyDescent="0.25">
      <c r="A180" s="972">
        <f t="shared" ca="1" si="130"/>
        <v>0</v>
      </c>
      <c r="B180" s="707">
        <f t="shared" si="134"/>
        <v>174</v>
      </c>
      <c r="C180" s="1376"/>
      <c r="D180" s="3346"/>
      <c r="E180" s="3346" t="str">
        <f t="shared" ca="1" si="135"/>
        <v/>
      </c>
      <c r="F180" s="1448" t="str">
        <f t="shared" ca="1" si="136"/>
        <v/>
      </c>
      <c r="G180" s="1418" t="str">
        <f t="shared" ca="1" si="137"/>
        <v/>
      </c>
      <c r="H180" s="3589" t="str">
        <f t="shared" ca="1" si="138"/>
        <v/>
      </c>
      <c r="I180" s="3589" t="str">
        <f t="shared" ca="1" si="139"/>
        <v/>
      </c>
      <c r="J180" s="3590" t="str">
        <f t="shared" ca="1" si="131"/>
        <v/>
      </c>
      <c r="K180" s="1422" t="str">
        <f t="shared" ca="1" si="140"/>
        <v/>
      </c>
      <c r="L180" s="1431" t="str">
        <f t="shared" ca="1" si="132"/>
        <v/>
      </c>
      <c r="M180" s="3591" t="str">
        <f t="shared" ca="1" si="133"/>
        <v/>
      </c>
      <c r="N180" s="3592" t="str">
        <f t="shared" ca="1" si="141"/>
        <v/>
      </c>
      <c r="O180" s="1420" t="e">
        <f ca="1">IF(U180="",IF(Income_RentRollSource="Datappraise/Manual Entry",VLOOKUP($B180,Datappraise_RentRoll,5,FALSE),IF(OR(Income_TechniqueUsed="Direct Capitalization",Income_TechniqueUsed="Direct Cap &amp; DCF"),VLOOKUP('Rent Roll'!S180,'Income Assumptions'!$D$11:$H$19,5,FALSE),VLOOKUP('Rent Roll'!S180,'Income Assumptions'!$D$50:$O$57,6,FALSE))),U180)</f>
        <v>#N/A</v>
      </c>
      <c r="P180" s="3346"/>
      <c r="Q180" s="1377"/>
      <c r="R180" s="652"/>
      <c r="S180" s="2696" t="str">
        <f t="shared" si="142"/>
        <v/>
      </c>
      <c r="T180" s="652"/>
      <c r="U180" s="2696"/>
      <c r="V180" s="652"/>
      <c r="W180" s="2696"/>
      <c r="X180" s="652"/>
      <c r="Y180" s="1580">
        <f t="shared" ca="1" si="143"/>
        <v>0</v>
      </c>
      <c r="Z180" s="1580">
        <f t="shared" ca="1" si="144"/>
        <v>0</v>
      </c>
      <c r="AA180" s="1580">
        <f t="shared" ca="1" si="145"/>
        <v>0</v>
      </c>
      <c r="AB180" s="1580">
        <f t="shared" ca="1" si="146"/>
        <v>0</v>
      </c>
      <c r="AC180" s="1580">
        <f t="shared" ca="1" si="147"/>
        <v>0</v>
      </c>
      <c r="AD180" s="1580">
        <f t="shared" ca="1" si="148"/>
        <v>0</v>
      </c>
      <c r="AE180" s="1580">
        <f t="shared" ca="1" si="149"/>
        <v>0</v>
      </c>
      <c r="AF180" s="1581">
        <f t="shared" ca="1" si="150"/>
        <v>0</v>
      </c>
      <c r="AG180" s="194"/>
      <c r="AH180" s="1579" t="str">
        <f t="shared" ca="1" si="151"/>
        <v/>
      </c>
      <c r="AI180" s="1580" t="str">
        <f t="shared" ca="1" si="152"/>
        <v/>
      </c>
      <c r="AJ180" s="1581" t="str">
        <f t="shared" ca="1" si="153"/>
        <v/>
      </c>
      <c r="AK180" s="194"/>
      <c r="AL180" s="1582">
        <f t="shared" ca="1" si="154"/>
        <v>0</v>
      </c>
      <c r="AM180" s="209"/>
      <c r="AN180" s="1582">
        <f t="shared" ca="1" si="155"/>
        <v>0</v>
      </c>
      <c r="AO180" s="209"/>
      <c r="AP180" s="1582">
        <f t="shared" ca="1" si="156"/>
        <v>0</v>
      </c>
      <c r="AQ180" s="209"/>
      <c r="AR180" s="1582">
        <f t="shared" ca="1" si="157"/>
        <v>0</v>
      </c>
      <c r="AS180" s="194"/>
      <c r="AT180" s="1582">
        <f t="shared" ca="1" si="158"/>
        <v>0</v>
      </c>
      <c r="AU180" s="194"/>
      <c r="AV180" s="194"/>
      <c r="AW180" s="194"/>
      <c r="AX180" s="194"/>
      <c r="AY180" s="194"/>
    </row>
    <row r="181" spans="1:51" s="2699" customFormat="1" ht="18" hidden="1" customHeight="1" x14ac:dyDescent="0.25">
      <c r="A181" s="972">
        <f t="shared" ca="1" si="130"/>
        <v>0</v>
      </c>
      <c r="B181" s="707">
        <f t="shared" si="134"/>
        <v>175</v>
      </c>
      <c r="C181" s="1376"/>
      <c r="D181" s="3346"/>
      <c r="E181" s="3346" t="str">
        <f t="shared" ca="1" si="135"/>
        <v/>
      </c>
      <c r="F181" s="1448" t="str">
        <f t="shared" ca="1" si="136"/>
        <v/>
      </c>
      <c r="G181" s="1418" t="str">
        <f t="shared" ca="1" si="137"/>
        <v/>
      </c>
      <c r="H181" s="3589" t="str">
        <f t="shared" ca="1" si="138"/>
        <v/>
      </c>
      <c r="I181" s="3589" t="str">
        <f t="shared" ca="1" si="139"/>
        <v/>
      </c>
      <c r="J181" s="3590" t="str">
        <f t="shared" ca="1" si="131"/>
        <v/>
      </c>
      <c r="K181" s="1422" t="str">
        <f t="shared" ca="1" si="140"/>
        <v/>
      </c>
      <c r="L181" s="1431" t="str">
        <f t="shared" ca="1" si="132"/>
        <v/>
      </c>
      <c r="M181" s="3591" t="str">
        <f t="shared" ca="1" si="133"/>
        <v/>
      </c>
      <c r="N181" s="3592" t="str">
        <f t="shared" ca="1" si="141"/>
        <v/>
      </c>
      <c r="O181" s="1420" t="e">
        <f ca="1">IF(U181="",IF(Income_RentRollSource="Datappraise/Manual Entry",VLOOKUP($B181,Datappraise_RentRoll,5,FALSE),IF(OR(Income_TechniqueUsed="Direct Capitalization",Income_TechniqueUsed="Direct Cap &amp; DCF"),VLOOKUP('Rent Roll'!S181,'Income Assumptions'!$D$11:$H$19,5,FALSE),VLOOKUP('Rent Roll'!S181,'Income Assumptions'!$D$50:$O$57,6,FALSE))),U181)</f>
        <v>#N/A</v>
      </c>
      <c r="P181" s="3346"/>
      <c r="Q181" s="1377"/>
      <c r="R181" s="652"/>
      <c r="S181" s="2696"/>
      <c r="T181" s="652"/>
      <c r="U181" s="2696"/>
      <c r="V181" s="652"/>
      <c r="W181" s="2696"/>
      <c r="X181" s="652"/>
      <c r="Y181" s="1580">
        <f t="shared" ca="1" si="143"/>
        <v>0</v>
      </c>
      <c r="Z181" s="1580">
        <f t="shared" ca="1" si="144"/>
        <v>0</v>
      </c>
      <c r="AA181" s="1580">
        <f t="shared" ca="1" si="145"/>
        <v>0</v>
      </c>
      <c r="AB181" s="1580">
        <f t="shared" ca="1" si="146"/>
        <v>0</v>
      </c>
      <c r="AC181" s="1580">
        <f t="shared" ca="1" si="147"/>
        <v>0</v>
      </c>
      <c r="AD181" s="1580">
        <f t="shared" ca="1" si="148"/>
        <v>0</v>
      </c>
      <c r="AE181" s="1580">
        <f t="shared" ca="1" si="149"/>
        <v>0</v>
      </c>
      <c r="AF181" s="1581">
        <f t="shared" ca="1" si="150"/>
        <v>0</v>
      </c>
      <c r="AG181" s="194"/>
      <c r="AH181" s="1579" t="str">
        <f t="shared" ca="1" si="151"/>
        <v/>
      </c>
      <c r="AI181" s="1580" t="str">
        <f t="shared" ca="1" si="152"/>
        <v/>
      </c>
      <c r="AJ181" s="1581" t="str">
        <f t="shared" ca="1" si="153"/>
        <v/>
      </c>
      <c r="AK181" s="194"/>
      <c r="AL181" s="1582">
        <f t="shared" ca="1" si="154"/>
        <v>0</v>
      </c>
      <c r="AM181" s="209"/>
      <c r="AN181" s="1582">
        <f t="shared" ca="1" si="155"/>
        <v>0</v>
      </c>
      <c r="AO181" s="209"/>
      <c r="AP181" s="1582">
        <f t="shared" ca="1" si="156"/>
        <v>0</v>
      </c>
      <c r="AQ181" s="209"/>
      <c r="AR181" s="1582">
        <f t="shared" ca="1" si="157"/>
        <v>0</v>
      </c>
      <c r="AS181" s="194"/>
      <c r="AT181" s="1582">
        <f t="shared" ca="1" si="158"/>
        <v>0</v>
      </c>
      <c r="AU181" s="194"/>
      <c r="AV181" s="194"/>
      <c r="AW181" s="194"/>
      <c r="AX181" s="194"/>
      <c r="AY181" s="194"/>
    </row>
    <row r="182" spans="1:51" s="2699" customFormat="1" ht="18" hidden="1" customHeight="1" x14ac:dyDescent="0.25">
      <c r="A182" s="972">
        <f t="shared" ca="1" si="130"/>
        <v>0</v>
      </c>
      <c r="B182" s="707">
        <f t="shared" si="134"/>
        <v>176</v>
      </c>
      <c r="C182" s="1376"/>
      <c r="D182" s="3346"/>
      <c r="E182" s="3346" t="str">
        <f t="shared" ca="1" si="135"/>
        <v/>
      </c>
      <c r="F182" s="1448" t="str">
        <f t="shared" ca="1" si="136"/>
        <v/>
      </c>
      <c r="G182" s="1418" t="str">
        <f t="shared" ca="1" si="137"/>
        <v/>
      </c>
      <c r="H182" s="3589" t="str">
        <f t="shared" ca="1" si="138"/>
        <v/>
      </c>
      <c r="I182" s="3589" t="str">
        <f t="shared" ca="1" si="139"/>
        <v/>
      </c>
      <c r="J182" s="3590" t="str">
        <f t="shared" ca="1" si="131"/>
        <v/>
      </c>
      <c r="K182" s="1422" t="str">
        <f t="shared" ca="1" si="140"/>
        <v/>
      </c>
      <c r="L182" s="1431" t="str">
        <f t="shared" ca="1" si="132"/>
        <v/>
      </c>
      <c r="M182" s="3591" t="str">
        <f t="shared" ca="1" si="133"/>
        <v/>
      </c>
      <c r="N182" s="3592" t="str">
        <f t="shared" ca="1" si="141"/>
        <v/>
      </c>
      <c r="O182" s="1420" t="e">
        <f ca="1">IF(U182="",IF(Income_RentRollSource="Datappraise/Manual Entry",VLOOKUP($B182,Datappraise_RentRoll,5,FALSE),IF(OR(Income_TechniqueUsed="Direct Capitalization",Income_TechniqueUsed="Direct Cap &amp; DCF"),VLOOKUP('Rent Roll'!S182,'Income Assumptions'!$D$11:$H$19,5,FALSE),VLOOKUP('Rent Roll'!S182,'Income Assumptions'!$D$50:$O$57,6,FALSE))),U182)</f>
        <v>#N/A</v>
      </c>
      <c r="P182" s="3346"/>
      <c r="Q182" s="1377"/>
      <c r="R182" s="652"/>
      <c r="S182" s="2696" t="str">
        <f t="shared" si="142"/>
        <v/>
      </c>
      <c r="T182" s="652"/>
      <c r="U182" s="2696"/>
      <c r="V182" s="652"/>
      <c r="W182" s="2696"/>
      <c r="X182" s="652"/>
      <c r="Y182" s="1580">
        <f t="shared" ca="1" si="143"/>
        <v>0</v>
      </c>
      <c r="Z182" s="1580">
        <f t="shared" ca="1" si="144"/>
        <v>0</v>
      </c>
      <c r="AA182" s="1580">
        <f t="shared" ca="1" si="145"/>
        <v>0</v>
      </c>
      <c r="AB182" s="1580">
        <f t="shared" ca="1" si="146"/>
        <v>0</v>
      </c>
      <c r="AC182" s="1580">
        <f t="shared" ca="1" si="147"/>
        <v>0</v>
      </c>
      <c r="AD182" s="1580">
        <f t="shared" ca="1" si="148"/>
        <v>0</v>
      </c>
      <c r="AE182" s="1580">
        <f t="shared" ca="1" si="149"/>
        <v>0</v>
      </c>
      <c r="AF182" s="1581">
        <f t="shared" ca="1" si="150"/>
        <v>0</v>
      </c>
      <c r="AG182" s="194"/>
      <c r="AH182" s="1579" t="str">
        <f t="shared" ca="1" si="151"/>
        <v/>
      </c>
      <c r="AI182" s="1580" t="str">
        <f t="shared" ca="1" si="152"/>
        <v/>
      </c>
      <c r="AJ182" s="1581" t="str">
        <f t="shared" ca="1" si="153"/>
        <v/>
      </c>
      <c r="AK182" s="194"/>
      <c r="AL182" s="1582">
        <f t="shared" ca="1" si="154"/>
        <v>0</v>
      </c>
      <c r="AM182" s="209"/>
      <c r="AN182" s="1582">
        <f t="shared" ca="1" si="155"/>
        <v>0</v>
      </c>
      <c r="AO182" s="209"/>
      <c r="AP182" s="1582">
        <f t="shared" ca="1" si="156"/>
        <v>0</v>
      </c>
      <c r="AQ182" s="209"/>
      <c r="AR182" s="1582">
        <f t="shared" ca="1" si="157"/>
        <v>0</v>
      </c>
      <c r="AS182" s="194"/>
      <c r="AT182" s="1582">
        <f t="shared" ca="1" si="158"/>
        <v>0</v>
      </c>
      <c r="AU182" s="194"/>
      <c r="AV182" s="194"/>
      <c r="AW182" s="194"/>
      <c r="AX182" s="194"/>
      <c r="AY182" s="194"/>
    </row>
    <row r="183" spans="1:51" s="2699" customFormat="1" ht="18" hidden="1" customHeight="1" x14ac:dyDescent="0.25">
      <c r="A183" s="972">
        <f t="shared" ca="1" si="130"/>
        <v>0</v>
      </c>
      <c r="B183" s="707">
        <f t="shared" si="134"/>
        <v>177</v>
      </c>
      <c r="C183" s="1376"/>
      <c r="D183" s="3346"/>
      <c r="E183" s="3346" t="str">
        <f t="shared" ca="1" si="135"/>
        <v/>
      </c>
      <c r="F183" s="1448" t="str">
        <f t="shared" ca="1" si="136"/>
        <v/>
      </c>
      <c r="G183" s="1418" t="str">
        <f t="shared" ca="1" si="137"/>
        <v/>
      </c>
      <c r="H183" s="3589" t="str">
        <f t="shared" ca="1" si="138"/>
        <v/>
      </c>
      <c r="I183" s="3589" t="str">
        <f t="shared" ca="1" si="139"/>
        <v/>
      </c>
      <c r="J183" s="3590" t="str">
        <f t="shared" ca="1" si="131"/>
        <v/>
      </c>
      <c r="K183" s="1422" t="str">
        <f t="shared" ca="1" si="140"/>
        <v/>
      </c>
      <c r="L183" s="1431" t="str">
        <f t="shared" ca="1" si="132"/>
        <v/>
      </c>
      <c r="M183" s="3591" t="str">
        <f t="shared" ca="1" si="133"/>
        <v/>
      </c>
      <c r="N183" s="3592" t="str">
        <f t="shared" ca="1" si="141"/>
        <v/>
      </c>
      <c r="O183" s="1420" t="e">
        <f ca="1">IF(U183="",IF(Income_RentRollSource="Datappraise/Manual Entry",VLOOKUP($B183,Datappraise_RentRoll,5,FALSE),IF(OR(Income_TechniqueUsed="Direct Capitalization",Income_TechniqueUsed="Direct Cap &amp; DCF"),VLOOKUP('Rent Roll'!S183,'Income Assumptions'!$D$11:$H$19,5,FALSE),VLOOKUP('Rent Roll'!S183,'Income Assumptions'!$D$50:$O$57,6,FALSE))),U183)</f>
        <v>#N/A</v>
      </c>
      <c r="P183" s="3346"/>
      <c r="Q183" s="1377"/>
      <c r="R183" s="652"/>
      <c r="S183" s="2696" t="str">
        <f t="shared" si="142"/>
        <v/>
      </c>
      <c r="T183" s="652"/>
      <c r="U183" s="2696"/>
      <c r="V183" s="652"/>
      <c r="W183" s="2696"/>
      <c r="X183" s="652"/>
      <c r="Y183" s="1580">
        <f t="shared" ca="1" si="143"/>
        <v>0</v>
      </c>
      <c r="Z183" s="1580">
        <f t="shared" ca="1" si="144"/>
        <v>0</v>
      </c>
      <c r="AA183" s="1580">
        <f t="shared" ca="1" si="145"/>
        <v>0</v>
      </c>
      <c r="AB183" s="1580">
        <f t="shared" ca="1" si="146"/>
        <v>0</v>
      </c>
      <c r="AC183" s="1580">
        <f t="shared" ca="1" si="147"/>
        <v>0</v>
      </c>
      <c r="AD183" s="1580">
        <f t="shared" ca="1" si="148"/>
        <v>0</v>
      </c>
      <c r="AE183" s="1580">
        <f t="shared" ca="1" si="149"/>
        <v>0</v>
      </c>
      <c r="AF183" s="1581">
        <f t="shared" ca="1" si="150"/>
        <v>0</v>
      </c>
      <c r="AG183" s="194"/>
      <c r="AH183" s="1579" t="str">
        <f t="shared" ca="1" si="151"/>
        <v/>
      </c>
      <c r="AI183" s="1580" t="str">
        <f t="shared" ca="1" si="152"/>
        <v/>
      </c>
      <c r="AJ183" s="1581" t="str">
        <f t="shared" ca="1" si="153"/>
        <v/>
      </c>
      <c r="AK183" s="194"/>
      <c r="AL183" s="1582">
        <f t="shared" ca="1" si="154"/>
        <v>0</v>
      </c>
      <c r="AM183" s="209"/>
      <c r="AN183" s="1582">
        <f t="shared" ca="1" si="155"/>
        <v>0</v>
      </c>
      <c r="AO183" s="209"/>
      <c r="AP183" s="1582">
        <f t="shared" ca="1" si="156"/>
        <v>0</v>
      </c>
      <c r="AQ183" s="209"/>
      <c r="AR183" s="1582">
        <f t="shared" ca="1" si="157"/>
        <v>0</v>
      </c>
      <c r="AS183" s="194"/>
      <c r="AT183" s="1582">
        <f t="shared" ca="1" si="158"/>
        <v>0</v>
      </c>
      <c r="AU183" s="194"/>
      <c r="AV183" s="194"/>
      <c r="AW183" s="194"/>
      <c r="AX183" s="194"/>
      <c r="AY183" s="194"/>
    </row>
    <row r="184" spans="1:51" s="2699" customFormat="1" ht="18" hidden="1" customHeight="1" x14ac:dyDescent="0.25">
      <c r="A184" s="972">
        <f t="shared" ca="1" si="130"/>
        <v>0</v>
      </c>
      <c r="B184" s="707">
        <f t="shared" si="134"/>
        <v>178</v>
      </c>
      <c r="C184" s="1376"/>
      <c r="D184" s="3346"/>
      <c r="E184" s="3346" t="str">
        <f t="shared" ca="1" si="135"/>
        <v/>
      </c>
      <c r="F184" s="1448" t="str">
        <f t="shared" ca="1" si="136"/>
        <v/>
      </c>
      <c r="G184" s="1418" t="str">
        <f t="shared" ca="1" si="137"/>
        <v/>
      </c>
      <c r="H184" s="3589" t="str">
        <f t="shared" ca="1" si="138"/>
        <v/>
      </c>
      <c r="I184" s="3589" t="str">
        <f t="shared" ca="1" si="139"/>
        <v/>
      </c>
      <c r="J184" s="3590" t="str">
        <f t="shared" ca="1" si="131"/>
        <v/>
      </c>
      <c r="K184" s="1422" t="str">
        <f t="shared" ca="1" si="140"/>
        <v/>
      </c>
      <c r="L184" s="1431" t="str">
        <f t="shared" ca="1" si="132"/>
        <v/>
      </c>
      <c r="M184" s="3591" t="str">
        <f t="shared" ca="1" si="133"/>
        <v/>
      </c>
      <c r="N184" s="3592" t="str">
        <f t="shared" ca="1" si="141"/>
        <v/>
      </c>
      <c r="O184" s="1420" t="e">
        <f ca="1">IF(U184="",IF(Income_RentRollSource="Datappraise/Manual Entry",VLOOKUP($B184,Datappraise_RentRoll,5,FALSE),IF(OR(Income_TechniqueUsed="Direct Capitalization",Income_TechniqueUsed="Direct Cap &amp; DCF"),VLOOKUP('Rent Roll'!S184,'Income Assumptions'!$D$11:$H$19,5,FALSE),VLOOKUP('Rent Roll'!S184,'Income Assumptions'!$D$50:$O$57,6,FALSE))),U184)</f>
        <v>#N/A</v>
      </c>
      <c r="P184" s="3346"/>
      <c r="Q184" s="1377"/>
      <c r="R184" s="652"/>
      <c r="S184" s="2696" t="str">
        <f t="shared" si="142"/>
        <v/>
      </c>
      <c r="T184" s="652"/>
      <c r="U184" s="2696"/>
      <c r="V184" s="652"/>
      <c r="W184" s="2696"/>
      <c r="X184" s="652"/>
      <c r="Y184" s="1580">
        <f t="shared" ca="1" si="143"/>
        <v>0</v>
      </c>
      <c r="Z184" s="1580">
        <f t="shared" ca="1" si="144"/>
        <v>0</v>
      </c>
      <c r="AA184" s="1580">
        <f t="shared" ca="1" si="145"/>
        <v>0</v>
      </c>
      <c r="AB184" s="1580">
        <f t="shared" ca="1" si="146"/>
        <v>0</v>
      </c>
      <c r="AC184" s="1580">
        <f t="shared" ca="1" si="147"/>
        <v>0</v>
      </c>
      <c r="AD184" s="1580">
        <f t="shared" ca="1" si="148"/>
        <v>0</v>
      </c>
      <c r="AE184" s="1580">
        <f t="shared" ca="1" si="149"/>
        <v>0</v>
      </c>
      <c r="AF184" s="1581">
        <f t="shared" ca="1" si="150"/>
        <v>0</v>
      </c>
      <c r="AG184" s="194"/>
      <c r="AH184" s="1579" t="str">
        <f t="shared" ca="1" si="151"/>
        <v/>
      </c>
      <c r="AI184" s="1580" t="str">
        <f t="shared" ca="1" si="152"/>
        <v/>
      </c>
      <c r="AJ184" s="1581" t="str">
        <f t="shared" ca="1" si="153"/>
        <v/>
      </c>
      <c r="AK184" s="194"/>
      <c r="AL184" s="1582">
        <f t="shared" ca="1" si="154"/>
        <v>0</v>
      </c>
      <c r="AM184" s="209"/>
      <c r="AN184" s="1582">
        <f t="shared" ca="1" si="155"/>
        <v>0</v>
      </c>
      <c r="AO184" s="209"/>
      <c r="AP184" s="1582">
        <f t="shared" ca="1" si="156"/>
        <v>0</v>
      </c>
      <c r="AQ184" s="209"/>
      <c r="AR184" s="1582">
        <f t="shared" ca="1" si="157"/>
        <v>0</v>
      </c>
      <c r="AS184" s="194"/>
      <c r="AT184" s="1582">
        <f t="shared" ca="1" si="158"/>
        <v>0</v>
      </c>
      <c r="AU184" s="194"/>
      <c r="AV184" s="194"/>
      <c r="AW184" s="194"/>
      <c r="AX184" s="194"/>
      <c r="AY184" s="194"/>
    </row>
    <row r="185" spans="1:51" s="2699" customFormat="1" ht="18" hidden="1" customHeight="1" x14ac:dyDescent="0.25">
      <c r="A185" s="972">
        <f t="shared" ca="1" si="130"/>
        <v>0</v>
      </c>
      <c r="B185" s="707">
        <f t="shared" si="134"/>
        <v>179</v>
      </c>
      <c r="C185" s="1376"/>
      <c r="D185" s="3346"/>
      <c r="E185" s="3346" t="str">
        <f t="shared" ca="1" si="135"/>
        <v/>
      </c>
      <c r="F185" s="1448" t="str">
        <f t="shared" ca="1" si="136"/>
        <v/>
      </c>
      <c r="G185" s="1418" t="str">
        <f t="shared" ca="1" si="137"/>
        <v/>
      </c>
      <c r="H185" s="3589" t="str">
        <f t="shared" ca="1" si="138"/>
        <v/>
      </c>
      <c r="I185" s="3589" t="str">
        <f t="shared" ca="1" si="139"/>
        <v/>
      </c>
      <c r="J185" s="3590" t="str">
        <f t="shared" ca="1" si="131"/>
        <v/>
      </c>
      <c r="K185" s="1422" t="str">
        <f t="shared" ca="1" si="140"/>
        <v/>
      </c>
      <c r="L185" s="1431" t="str">
        <f t="shared" ca="1" si="132"/>
        <v/>
      </c>
      <c r="M185" s="3591" t="str">
        <f t="shared" ca="1" si="133"/>
        <v/>
      </c>
      <c r="N185" s="3592" t="str">
        <f t="shared" ca="1" si="141"/>
        <v/>
      </c>
      <c r="O185" s="1420" t="e">
        <f ca="1">IF(U185="",IF(Income_RentRollSource="Datappraise/Manual Entry",VLOOKUP($B185,Datappraise_RentRoll,5,FALSE),IF(OR(Income_TechniqueUsed="Direct Capitalization",Income_TechniqueUsed="Direct Cap &amp; DCF"),VLOOKUP('Rent Roll'!S185,'Income Assumptions'!$D$11:$H$19,5,FALSE),VLOOKUP('Rent Roll'!S185,'Income Assumptions'!$D$50:$O$57,6,FALSE))),U185)</f>
        <v>#N/A</v>
      </c>
      <c r="P185" s="3346"/>
      <c r="Q185" s="1377"/>
      <c r="R185" s="652"/>
      <c r="S185" s="2696" t="str">
        <f t="shared" si="142"/>
        <v/>
      </c>
      <c r="T185" s="652"/>
      <c r="U185" s="2696"/>
      <c r="V185" s="652"/>
      <c r="W185" s="2696"/>
      <c r="X185" s="652"/>
      <c r="Y185" s="1580">
        <f t="shared" ca="1" si="143"/>
        <v>0</v>
      </c>
      <c r="Z185" s="1580">
        <f t="shared" ca="1" si="144"/>
        <v>0</v>
      </c>
      <c r="AA185" s="1580">
        <f t="shared" ca="1" si="145"/>
        <v>0</v>
      </c>
      <c r="AB185" s="1580">
        <f t="shared" ca="1" si="146"/>
        <v>0</v>
      </c>
      <c r="AC185" s="1580">
        <f t="shared" ca="1" si="147"/>
        <v>0</v>
      </c>
      <c r="AD185" s="1580">
        <f t="shared" ca="1" si="148"/>
        <v>0</v>
      </c>
      <c r="AE185" s="1580">
        <f t="shared" ca="1" si="149"/>
        <v>0</v>
      </c>
      <c r="AF185" s="1581">
        <f t="shared" ca="1" si="150"/>
        <v>0</v>
      </c>
      <c r="AG185" s="194"/>
      <c r="AH185" s="1579" t="str">
        <f t="shared" ca="1" si="151"/>
        <v/>
      </c>
      <c r="AI185" s="1580" t="str">
        <f t="shared" ca="1" si="152"/>
        <v/>
      </c>
      <c r="AJ185" s="1581" t="str">
        <f t="shared" ca="1" si="153"/>
        <v/>
      </c>
      <c r="AK185" s="194"/>
      <c r="AL185" s="1582">
        <f t="shared" ca="1" si="154"/>
        <v>0</v>
      </c>
      <c r="AM185" s="209"/>
      <c r="AN185" s="1582">
        <f t="shared" ca="1" si="155"/>
        <v>0</v>
      </c>
      <c r="AO185" s="209"/>
      <c r="AP185" s="1582">
        <f t="shared" ca="1" si="156"/>
        <v>0</v>
      </c>
      <c r="AQ185" s="209"/>
      <c r="AR185" s="1582">
        <f t="shared" ca="1" si="157"/>
        <v>0</v>
      </c>
      <c r="AS185" s="194"/>
      <c r="AT185" s="1582">
        <f t="shared" ca="1" si="158"/>
        <v>0</v>
      </c>
      <c r="AU185" s="194"/>
      <c r="AV185" s="194"/>
      <c r="AW185" s="194"/>
      <c r="AX185" s="194"/>
      <c r="AY185" s="194"/>
    </row>
    <row r="186" spans="1:51" s="2699" customFormat="1" ht="18" hidden="1" customHeight="1" x14ac:dyDescent="0.25">
      <c r="A186" s="972">
        <f t="shared" ca="1" si="130"/>
        <v>0</v>
      </c>
      <c r="B186" s="707">
        <f t="shared" si="134"/>
        <v>180</v>
      </c>
      <c r="C186" s="1376"/>
      <c r="D186" s="3346"/>
      <c r="E186" s="3346" t="str">
        <f t="shared" ca="1" si="135"/>
        <v/>
      </c>
      <c r="F186" s="1448" t="str">
        <f t="shared" ca="1" si="136"/>
        <v/>
      </c>
      <c r="G186" s="1418" t="str">
        <f t="shared" ca="1" si="137"/>
        <v/>
      </c>
      <c r="H186" s="3589" t="str">
        <f t="shared" ca="1" si="138"/>
        <v/>
      </c>
      <c r="I186" s="3589" t="str">
        <f t="shared" ca="1" si="139"/>
        <v/>
      </c>
      <c r="J186" s="3590" t="str">
        <f t="shared" ca="1" si="131"/>
        <v/>
      </c>
      <c r="K186" s="1422" t="str">
        <f t="shared" ca="1" si="140"/>
        <v/>
      </c>
      <c r="L186" s="1431" t="str">
        <f t="shared" ca="1" si="132"/>
        <v/>
      </c>
      <c r="M186" s="3591" t="str">
        <f t="shared" ca="1" si="133"/>
        <v/>
      </c>
      <c r="N186" s="3592" t="str">
        <f t="shared" ca="1" si="141"/>
        <v/>
      </c>
      <c r="O186" s="1420" t="e">
        <f ca="1">IF(U186="",IF(Income_RentRollSource="Datappraise/Manual Entry",VLOOKUP($B186,Datappraise_RentRoll,5,FALSE),IF(OR(Income_TechniqueUsed="Direct Capitalization",Income_TechniqueUsed="Direct Cap &amp; DCF"),VLOOKUP('Rent Roll'!S186,'Income Assumptions'!$D$11:$H$19,5,FALSE),VLOOKUP('Rent Roll'!S186,'Income Assumptions'!$D$50:$O$57,6,FALSE))),U186)</f>
        <v>#N/A</v>
      </c>
      <c r="P186" s="3346"/>
      <c r="Q186" s="1377"/>
      <c r="R186" s="652"/>
      <c r="S186" s="2696" t="str">
        <f t="shared" si="142"/>
        <v/>
      </c>
      <c r="T186" s="652"/>
      <c r="U186" s="2696"/>
      <c r="V186" s="652"/>
      <c r="W186" s="2696"/>
      <c r="X186" s="652"/>
      <c r="Y186" s="1580">
        <f t="shared" ca="1" si="143"/>
        <v>0</v>
      </c>
      <c r="Z186" s="1580">
        <f t="shared" ca="1" si="144"/>
        <v>0</v>
      </c>
      <c r="AA186" s="1580">
        <f t="shared" ca="1" si="145"/>
        <v>0</v>
      </c>
      <c r="AB186" s="1580">
        <f t="shared" ca="1" si="146"/>
        <v>0</v>
      </c>
      <c r="AC186" s="1580">
        <f t="shared" ca="1" si="147"/>
        <v>0</v>
      </c>
      <c r="AD186" s="1580">
        <f t="shared" ca="1" si="148"/>
        <v>0</v>
      </c>
      <c r="AE186" s="1580">
        <f t="shared" ca="1" si="149"/>
        <v>0</v>
      </c>
      <c r="AF186" s="1581">
        <f t="shared" ca="1" si="150"/>
        <v>0</v>
      </c>
      <c r="AG186" s="194"/>
      <c r="AH186" s="1579" t="str">
        <f t="shared" ca="1" si="151"/>
        <v/>
      </c>
      <c r="AI186" s="1580" t="str">
        <f t="shared" ca="1" si="152"/>
        <v/>
      </c>
      <c r="AJ186" s="1581" t="str">
        <f t="shared" ca="1" si="153"/>
        <v/>
      </c>
      <c r="AK186" s="194"/>
      <c r="AL186" s="1582">
        <f t="shared" ca="1" si="154"/>
        <v>0</v>
      </c>
      <c r="AM186" s="209"/>
      <c r="AN186" s="1582">
        <f t="shared" ca="1" si="155"/>
        <v>0</v>
      </c>
      <c r="AO186" s="209"/>
      <c r="AP186" s="1582">
        <f t="shared" ca="1" si="156"/>
        <v>0</v>
      </c>
      <c r="AQ186" s="209"/>
      <c r="AR186" s="1582">
        <f t="shared" ca="1" si="157"/>
        <v>0</v>
      </c>
      <c r="AS186" s="194"/>
      <c r="AT186" s="1582">
        <f t="shared" ca="1" si="158"/>
        <v>0</v>
      </c>
      <c r="AU186" s="194"/>
      <c r="AV186" s="194"/>
      <c r="AW186" s="194"/>
      <c r="AX186" s="194"/>
      <c r="AY186" s="194"/>
    </row>
    <row r="187" spans="1:51" s="2699" customFormat="1" ht="18" hidden="1" customHeight="1" x14ac:dyDescent="0.25">
      <c r="A187" s="972">
        <f t="shared" ca="1" si="130"/>
        <v>0</v>
      </c>
      <c r="B187" s="707">
        <f t="shared" si="134"/>
        <v>181</v>
      </c>
      <c r="C187" s="1376"/>
      <c r="D187" s="3346"/>
      <c r="E187" s="3346" t="str">
        <f t="shared" ca="1" si="135"/>
        <v/>
      </c>
      <c r="F187" s="1448" t="str">
        <f t="shared" ca="1" si="136"/>
        <v/>
      </c>
      <c r="G187" s="1418" t="str">
        <f t="shared" ca="1" si="137"/>
        <v/>
      </c>
      <c r="H187" s="3589" t="str">
        <f t="shared" ca="1" si="138"/>
        <v/>
      </c>
      <c r="I187" s="3589" t="str">
        <f t="shared" ca="1" si="139"/>
        <v/>
      </c>
      <c r="J187" s="3590" t="str">
        <f t="shared" ca="1" si="131"/>
        <v/>
      </c>
      <c r="K187" s="1422" t="str">
        <f t="shared" ca="1" si="140"/>
        <v/>
      </c>
      <c r="L187" s="1431" t="str">
        <f t="shared" ca="1" si="132"/>
        <v/>
      </c>
      <c r="M187" s="3591" t="str">
        <f t="shared" ca="1" si="133"/>
        <v/>
      </c>
      <c r="N187" s="3592" t="str">
        <f t="shared" ca="1" si="141"/>
        <v/>
      </c>
      <c r="O187" s="1420" t="e">
        <f ca="1">IF(U187="",IF(Income_RentRollSource="Datappraise/Manual Entry",VLOOKUP($B187,Datappraise_RentRoll,5,FALSE),IF(OR(Income_TechniqueUsed="Direct Capitalization",Income_TechniqueUsed="Direct Cap &amp; DCF"),VLOOKUP('Rent Roll'!S187,'Income Assumptions'!$D$11:$H$19,5,FALSE),VLOOKUP('Rent Roll'!S187,'Income Assumptions'!$D$50:$O$57,6,FALSE))),U187)</f>
        <v>#N/A</v>
      </c>
      <c r="P187" s="3346"/>
      <c r="Q187" s="1377"/>
      <c r="R187" s="652"/>
      <c r="S187" s="2696" t="str">
        <f t="shared" si="142"/>
        <v/>
      </c>
      <c r="T187" s="652"/>
      <c r="U187" s="2696"/>
      <c r="V187" s="652"/>
      <c r="W187" s="2696"/>
      <c r="X187" s="652"/>
      <c r="Y187" s="1580">
        <f t="shared" ca="1" si="143"/>
        <v>0</v>
      </c>
      <c r="Z187" s="1580">
        <f t="shared" ca="1" si="144"/>
        <v>0</v>
      </c>
      <c r="AA187" s="1580">
        <f t="shared" ca="1" si="145"/>
        <v>0</v>
      </c>
      <c r="AB187" s="1580">
        <f t="shared" ca="1" si="146"/>
        <v>0</v>
      </c>
      <c r="AC187" s="1580">
        <f t="shared" ca="1" si="147"/>
        <v>0</v>
      </c>
      <c r="AD187" s="1580">
        <f t="shared" ca="1" si="148"/>
        <v>0</v>
      </c>
      <c r="AE187" s="1580">
        <f t="shared" ca="1" si="149"/>
        <v>0</v>
      </c>
      <c r="AF187" s="1581">
        <f t="shared" ca="1" si="150"/>
        <v>0</v>
      </c>
      <c r="AG187" s="194"/>
      <c r="AH187" s="1579" t="str">
        <f t="shared" ca="1" si="151"/>
        <v/>
      </c>
      <c r="AI187" s="1580" t="str">
        <f t="shared" ca="1" si="152"/>
        <v/>
      </c>
      <c r="AJ187" s="1581" t="str">
        <f t="shared" ca="1" si="153"/>
        <v/>
      </c>
      <c r="AK187" s="194"/>
      <c r="AL187" s="1582">
        <f t="shared" ca="1" si="154"/>
        <v>0</v>
      </c>
      <c r="AM187" s="209"/>
      <c r="AN187" s="1582">
        <f t="shared" ca="1" si="155"/>
        <v>0</v>
      </c>
      <c r="AO187" s="209"/>
      <c r="AP187" s="1582">
        <f t="shared" ca="1" si="156"/>
        <v>0</v>
      </c>
      <c r="AQ187" s="209"/>
      <c r="AR187" s="1582">
        <f t="shared" ca="1" si="157"/>
        <v>0</v>
      </c>
      <c r="AS187" s="194"/>
      <c r="AT187" s="1582">
        <f t="shared" ca="1" si="158"/>
        <v>0</v>
      </c>
      <c r="AU187" s="194"/>
      <c r="AV187" s="194"/>
      <c r="AW187" s="194"/>
      <c r="AX187" s="194"/>
      <c r="AY187" s="194"/>
    </row>
    <row r="188" spans="1:51" s="2699" customFormat="1" ht="18" hidden="1" customHeight="1" x14ac:dyDescent="0.25">
      <c r="A188" s="972">
        <f t="shared" ca="1" si="130"/>
        <v>0</v>
      </c>
      <c r="B188" s="707">
        <f t="shared" si="134"/>
        <v>182</v>
      </c>
      <c r="C188" s="1376"/>
      <c r="D188" s="3346"/>
      <c r="E188" s="3346" t="str">
        <f t="shared" ca="1" si="135"/>
        <v/>
      </c>
      <c r="F188" s="1448" t="str">
        <f t="shared" ca="1" si="136"/>
        <v/>
      </c>
      <c r="G188" s="1418" t="str">
        <f t="shared" ca="1" si="137"/>
        <v/>
      </c>
      <c r="H188" s="3589" t="str">
        <f t="shared" ca="1" si="138"/>
        <v/>
      </c>
      <c r="I188" s="3589" t="str">
        <f t="shared" ca="1" si="139"/>
        <v/>
      </c>
      <c r="J188" s="3590" t="str">
        <f t="shared" ca="1" si="131"/>
        <v/>
      </c>
      <c r="K188" s="1422" t="str">
        <f t="shared" ca="1" si="140"/>
        <v/>
      </c>
      <c r="L188" s="1431" t="str">
        <f t="shared" ca="1" si="132"/>
        <v/>
      </c>
      <c r="M188" s="3591" t="str">
        <f t="shared" ca="1" si="133"/>
        <v/>
      </c>
      <c r="N188" s="3592" t="str">
        <f t="shared" ca="1" si="141"/>
        <v/>
      </c>
      <c r="O188" s="1420" t="e">
        <f ca="1">IF(U188="",IF(Income_RentRollSource="Datappraise/Manual Entry",VLOOKUP($B188,Datappraise_RentRoll,5,FALSE),IF(OR(Income_TechniqueUsed="Direct Capitalization",Income_TechniqueUsed="Direct Cap &amp; DCF"),VLOOKUP('Rent Roll'!S188,'Income Assumptions'!$D$11:$H$19,5,FALSE),VLOOKUP('Rent Roll'!S188,'Income Assumptions'!$D$50:$O$57,6,FALSE))),U188)</f>
        <v>#N/A</v>
      </c>
      <c r="P188" s="3346"/>
      <c r="Q188" s="1377"/>
      <c r="R188" s="652"/>
      <c r="S188" s="2696" t="str">
        <f t="shared" si="142"/>
        <v/>
      </c>
      <c r="T188" s="652"/>
      <c r="U188" s="2696"/>
      <c r="V188" s="652"/>
      <c r="W188" s="2696"/>
      <c r="X188" s="652"/>
      <c r="Y188" s="1580">
        <f t="shared" ca="1" si="143"/>
        <v>0</v>
      </c>
      <c r="Z188" s="1580">
        <f t="shared" ca="1" si="144"/>
        <v>0</v>
      </c>
      <c r="AA188" s="1580">
        <f t="shared" ca="1" si="145"/>
        <v>0</v>
      </c>
      <c r="AB188" s="1580">
        <f t="shared" ca="1" si="146"/>
        <v>0</v>
      </c>
      <c r="AC188" s="1580">
        <f t="shared" ca="1" si="147"/>
        <v>0</v>
      </c>
      <c r="AD188" s="1580">
        <f t="shared" ca="1" si="148"/>
        <v>0</v>
      </c>
      <c r="AE188" s="1580">
        <f t="shared" ca="1" si="149"/>
        <v>0</v>
      </c>
      <c r="AF188" s="1581">
        <f t="shared" ca="1" si="150"/>
        <v>0</v>
      </c>
      <c r="AG188" s="194"/>
      <c r="AH188" s="1579" t="str">
        <f t="shared" ca="1" si="151"/>
        <v/>
      </c>
      <c r="AI188" s="1580" t="str">
        <f t="shared" ca="1" si="152"/>
        <v/>
      </c>
      <c r="AJ188" s="1581" t="str">
        <f t="shared" ca="1" si="153"/>
        <v/>
      </c>
      <c r="AK188" s="194"/>
      <c r="AL188" s="1582">
        <f t="shared" ca="1" si="154"/>
        <v>0</v>
      </c>
      <c r="AM188" s="209"/>
      <c r="AN188" s="1582">
        <f t="shared" ca="1" si="155"/>
        <v>0</v>
      </c>
      <c r="AO188" s="209"/>
      <c r="AP188" s="1582">
        <f t="shared" ca="1" si="156"/>
        <v>0</v>
      </c>
      <c r="AQ188" s="209"/>
      <c r="AR188" s="1582">
        <f t="shared" ca="1" si="157"/>
        <v>0</v>
      </c>
      <c r="AS188" s="194"/>
      <c r="AT188" s="1582">
        <f t="shared" ca="1" si="158"/>
        <v>0</v>
      </c>
      <c r="AU188" s="194"/>
      <c r="AV188" s="194"/>
      <c r="AW188" s="194"/>
      <c r="AX188" s="194"/>
      <c r="AY188" s="194"/>
    </row>
    <row r="189" spans="1:51" s="2699" customFormat="1" ht="18" hidden="1" customHeight="1" x14ac:dyDescent="0.25">
      <c r="A189" s="972">
        <f t="shared" ca="1" si="130"/>
        <v>0</v>
      </c>
      <c r="B189" s="707">
        <f t="shared" si="134"/>
        <v>183</v>
      </c>
      <c r="C189" s="1376"/>
      <c r="D189" s="3346"/>
      <c r="E189" s="3346" t="str">
        <f t="shared" ca="1" si="135"/>
        <v/>
      </c>
      <c r="F189" s="1448" t="str">
        <f t="shared" ca="1" si="136"/>
        <v/>
      </c>
      <c r="G189" s="1418" t="str">
        <f t="shared" ca="1" si="137"/>
        <v/>
      </c>
      <c r="H189" s="3589" t="str">
        <f t="shared" ca="1" si="138"/>
        <v/>
      </c>
      <c r="I189" s="3589" t="str">
        <f t="shared" ca="1" si="139"/>
        <v/>
      </c>
      <c r="J189" s="3590" t="str">
        <f t="shared" ca="1" si="131"/>
        <v/>
      </c>
      <c r="K189" s="1422" t="str">
        <f t="shared" ca="1" si="140"/>
        <v/>
      </c>
      <c r="L189" s="1431" t="str">
        <f t="shared" ca="1" si="132"/>
        <v/>
      </c>
      <c r="M189" s="3591" t="str">
        <f t="shared" ca="1" si="133"/>
        <v/>
      </c>
      <c r="N189" s="3592" t="str">
        <f t="shared" ca="1" si="141"/>
        <v/>
      </c>
      <c r="O189" s="1420" t="e">
        <f ca="1">IF(U189="",IF(Income_RentRollSource="Datappraise/Manual Entry",VLOOKUP($B189,Datappraise_RentRoll,5,FALSE),IF(OR(Income_TechniqueUsed="Direct Capitalization",Income_TechniqueUsed="Direct Cap &amp; DCF"),VLOOKUP('Rent Roll'!S189,'Income Assumptions'!$D$11:$H$19,5,FALSE),VLOOKUP('Rent Roll'!S189,'Income Assumptions'!$D$50:$O$57,6,FALSE))),U189)</f>
        <v>#N/A</v>
      </c>
      <c r="P189" s="3346"/>
      <c r="Q189" s="1377"/>
      <c r="R189" s="652"/>
      <c r="S189" s="2696" t="str">
        <f t="shared" si="142"/>
        <v/>
      </c>
      <c r="T189" s="652"/>
      <c r="U189" s="2696"/>
      <c r="V189" s="652"/>
      <c r="W189" s="2696"/>
      <c r="X189" s="652"/>
      <c r="Y189" s="1580">
        <f t="shared" ca="1" si="143"/>
        <v>0</v>
      </c>
      <c r="Z189" s="1580">
        <f t="shared" ca="1" si="144"/>
        <v>0</v>
      </c>
      <c r="AA189" s="1580">
        <f t="shared" ca="1" si="145"/>
        <v>0</v>
      </c>
      <c r="AB189" s="1580">
        <f t="shared" ca="1" si="146"/>
        <v>0</v>
      </c>
      <c r="AC189" s="1580">
        <f t="shared" ca="1" si="147"/>
        <v>0</v>
      </c>
      <c r="AD189" s="1580">
        <f t="shared" ca="1" si="148"/>
        <v>0</v>
      </c>
      <c r="AE189" s="1580">
        <f t="shared" ca="1" si="149"/>
        <v>0</v>
      </c>
      <c r="AF189" s="1581">
        <f t="shared" ca="1" si="150"/>
        <v>0</v>
      </c>
      <c r="AG189" s="194"/>
      <c r="AH189" s="1579" t="str">
        <f t="shared" ca="1" si="151"/>
        <v/>
      </c>
      <c r="AI189" s="1580" t="str">
        <f t="shared" ca="1" si="152"/>
        <v/>
      </c>
      <c r="AJ189" s="1581" t="str">
        <f t="shared" ca="1" si="153"/>
        <v/>
      </c>
      <c r="AK189" s="194"/>
      <c r="AL189" s="1582">
        <f t="shared" ca="1" si="154"/>
        <v>0</v>
      </c>
      <c r="AM189" s="209"/>
      <c r="AN189" s="1582">
        <f t="shared" ca="1" si="155"/>
        <v>0</v>
      </c>
      <c r="AO189" s="209"/>
      <c r="AP189" s="1582">
        <f t="shared" ca="1" si="156"/>
        <v>0</v>
      </c>
      <c r="AQ189" s="209"/>
      <c r="AR189" s="1582">
        <f t="shared" ca="1" si="157"/>
        <v>0</v>
      </c>
      <c r="AS189" s="194"/>
      <c r="AT189" s="1582">
        <f t="shared" ca="1" si="158"/>
        <v>0</v>
      </c>
      <c r="AU189" s="194"/>
      <c r="AV189" s="194"/>
      <c r="AW189" s="194"/>
      <c r="AX189" s="194"/>
      <c r="AY189" s="194"/>
    </row>
    <row r="190" spans="1:51" s="2699" customFormat="1" ht="18" hidden="1" customHeight="1" x14ac:dyDescent="0.25">
      <c r="A190" s="972">
        <f t="shared" ca="1" si="130"/>
        <v>0</v>
      </c>
      <c r="B190" s="707">
        <f t="shared" si="134"/>
        <v>184</v>
      </c>
      <c r="C190" s="1376"/>
      <c r="D190" s="3346"/>
      <c r="E190" s="3346" t="str">
        <f t="shared" ca="1" si="135"/>
        <v/>
      </c>
      <c r="F190" s="1448" t="str">
        <f t="shared" ca="1" si="136"/>
        <v/>
      </c>
      <c r="G190" s="1418" t="str">
        <f t="shared" ca="1" si="137"/>
        <v/>
      </c>
      <c r="H190" s="3589" t="str">
        <f t="shared" ca="1" si="138"/>
        <v/>
      </c>
      <c r="I190" s="3589" t="str">
        <f t="shared" ca="1" si="139"/>
        <v/>
      </c>
      <c r="J190" s="3590" t="str">
        <f t="shared" ca="1" si="131"/>
        <v/>
      </c>
      <c r="K190" s="1422" t="str">
        <f t="shared" ca="1" si="140"/>
        <v/>
      </c>
      <c r="L190" s="1431" t="str">
        <f t="shared" ca="1" si="132"/>
        <v/>
      </c>
      <c r="M190" s="3591" t="str">
        <f t="shared" ca="1" si="133"/>
        <v/>
      </c>
      <c r="N190" s="3592" t="str">
        <f t="shared" ca="1" si="141"/>
        <v/>
      </c>
      <c r="O190" s="1420" t="e">
        <f ca="1">IF(U190="",IF(Income_RentRollSource="Datappraise/Manual Entry",VLOOKUP($B190,Datappraise_RentRoll,5,FALSE),IF(OR(Income_TechniqueUsed="Direct Capitalization",Income_TechniqueUsed="Direct Cap &amp; DCF"),VLOOKUP('Rent Roll'!S190,'Income Assumptions'!$D$11:$H$19,5,FALSE),VLOOKUP('Rent Roll'!S190,'Income Assumptions'!$D$50:$O$57,6,FALSE))),U190)</f>
        <v>#N/A</v>
      </c>
      <c r="P190" s="3346"/>
      <c r="Q190" s="1377"/>
      <c r="R190" s="652"/>
      <c r="S190" s="2696" t="str">
        <f t="shared" si="142"/>
        <v/>
      </c>
      <c r="T190" s="652"/>
      <c r="U190" s="2696"/>
      <c r="V190" s="652"/>
      <c r="W190" s="2696"/>
      <c r="X190" s="652"/>
      <c r="Y190" s="1580">
        <f t="shared" ca="1" si="143"/>
        <v>0</v>
      </c>
      <c r="Z190" s="1580">
        <f t="shared" ca="1" si="144"/>
        <v>0</v>
      </c>
      <c r="AA190" s="1580">
        <f t="shared" ca="1" si="145"/>
        <v>0</v>
      </c>
      <c r="AB190" s="1580">
        <f t="shared" ca="1" si="146"/>
        <v>0</v>
      </c>
      <c r="AC190" s="1580">
        <f t="shared" ca="1" si="147"/>
        <v>0</v>
      </c>
      <c r="AD190" s="1580">
        <f t="shared" ca="1" si="148"/>
        <v>0</v>
      </c>
      <c r="AE190" s="1580">
        <f t="shared" ca="1" si="149"/>
        <v>0</v>
      </c>
      <c r="AF190" s="1581">
        <f t="shared" ca="1" si="150"/>
        <v>0</v>
      </c>
      <c r="AG190" s="194"/>
      <c r="AH190" s="1579" t="str">
        <f t="shared" ca="1" si="151"/>
        <v/>
      </c>
      <c r="AI190" s="1580" t="str">
        <f t="shared" ca="1" si="152"/>
        <v/>
      </c>
      <c r="AJ190" s="1581" t="str">
        <f t="shared" ca="1" si="153"/>
        <v/>
      </c>
      <c r="AK190" s="194"/>
      <c r="AL190" s="1582">
        <f t="shared" ca="1" si="154"/>
        <v>0</v>
      </c>
      <c r="AM190" s="209"/>
      <c r="AN190" s="1582">
        <f t="shared" ca="1" si="155"/>
        <v>0</v>
      </c>
      <c r="AO190" s="209"/>
      <c r="AP190" s="1582">
        <f t="shared" ca="1" si="156"/>
        <v>0</v>
      </c>
      <c r="AQ190" s="209"/>
      <c r="AR190" s="1582">
        <f t="shared" ca="1" si="157"/>
        <v>0</v>
      </c>
      <c r="AS190" s="194"/>
      <c r="AT190" s="1582">
        <f t="shared" ca="1" si="158"/>
        <v>0</v>
      </c>
      <c r="AU190" s="194"/>
      <c r="AV190" s="194"/>
      <c r="AW190" s="194"/>
      <c r="AX190" s="194"/>
      <c r="AY190" s="194"/>
    </row>
    <row r="191" spans="1:51" s="2699" customFormat="1" ht="18" hidden="1" customHeight="1" x14ac:dyDescent="0.25">
      <c r="A191" s="972">
        <f t="shared" ca="1" si="130"/>
        <v>0</v>
      </c>
      <c r="B191" s="707">
        <f t="shared" si="134"/>
        <v>185</v>
      </c>
      <c r="C191" s="1376"/>
      <c r="D191" s="3346"/>
      <c r="E191" s="3346" t="str">
        <f t="shared" ca="1" si="135"/>
        <v/>
      </c>
      <c r="F191" s="1448" t="str">
        <f t="shared" ca="1" si="136"/>
        <v/>
      </c>
      <c r="G191" s="1418" t="str">
        <f t="shared" ca="1" si="137"/>
        <v/>
      </c>
      <c r="H191" s="3589" t="str">
        <f t="shared" ca="1" si="138"/>
        <v/>
      </c>
      <c r="I191" s="3589" t="str">
        <f t="shared" ca="1" si="139"/>
        <v/>
      </c>
      <c r="J191" s="3590" t="str">
        <f t="shared" ca="1" si="131"/>
        <v/>
      </c>
      <c r="K191" s="1422" t="str">
        <f t="shared" ca="1" si="140"/>
        <v/>
      </c>
      <c r="L191" s="1431" t="str">
        <f t="shared" ca="1" si="132"/>
        <v/>
      </c>
      <c r="M191" s="3591" t="str">
        <f t="shared" ca="1" si="133"/>
        <v/>
      </c>
      <c r="N191" s="3592" t="str">
        <f t="shared" ca="1" si="141"/>
        <v/>
      </c>
      <c r="O191" s="1420" t="e">
        <f ca="1">IF(U191="",IF(Income_RentRollSource="Datappraise/Manual Entry",VLOOKUP($B191,Datappraise_RentRoll,5,FALSE),IF(OR(Income_TechniqueUsed="Direct Capitalization",Income_TechniqueUsed="Direct Cap &amp; DCF"),VLOOKUP('Rent Roll'!S191,'Income Assumptions'!$D$11:$H$19,5,FALSE),VLOOKUP('Rent Roll'!S191,'Income Assumptions'!$D$50:$O$57,6,FALSE))),U191)</f>
        <v>#N/A</v>
      </c>
      <c r="P191" s="3346"/>
      <c r="Q191" s="1377"/>
      <c r="R191" s="652"/>
      <c r="S191" s="2696" t="str">
        <f t="shared" si="142"/>
        <v/>
      </c>
      <c r="T191" s="652"/>
      <c r="U191" s="2696"/>
      <c r="V191" s="652"/>
      <c r="W191" s="2696"/>
      <c r="X191" s="652"/>
      <c r="Y191" s="1580">
        <f t="shared" ca="1" si="143"/>
        <v>0</v>
      </c>
      <c r="Z191" s="1580">
        <f t="shared" ca="1" si="144"/>
        <v>0</v>
      </c>
      <c r="AA191" s="1580">
        <f t="shared" ca="1" si="145"/>
        <v>0</v>
      </c>
      <c r="AB191" s="1580">
        <f t="shared" ca="1" si="146"/>
        <v>0</v>
      </c>
      <c r="AC191" s="1580">
        <f t="shared" ca="1" si="147"/>
        <v>0</v>
      </c>
      <c r="AD191" s="1580">
        <f t="shared" ca="1" si="148"/>
        <v>0</v>
      </c>
      <c r="AE191" s="1580">
        <f t="shared" ca="1" si="149"/>
        <v>0</v>
      </c>
      <c r="AF191" s="1581">
        <f t="shared" ca="1" si="150"/>
        <v>0</v>
      </c>
      <c r="AG191" s="194"/>
      <c r="AH191" s="1579" t="str">
        <f t="shared" ca="1" si="151"/>
        <v/>
      </c>
      <c r="AI191" s="1580" t="str">
        <f t="shared" ca="1" si="152"/>
        <v/>
      </c>
      <c r="AJ191" s="1581" t="str">
        <f t="shared" ca="1" si="153"/>
        <v/>
      </c>
      <c r="AK191" s="194"/>
      <c r="AL191" s="1582">
        <f t="shared" ca="1" si="154"/>
        <v>0</v>
      </c>
      <c r="AM191" s="209"/>
      <c r="AN191" s="1582">
        <f t="shared" ca="1" si="155"/>
        <v>0</v>
      </c>
      <c r="AO191" s="209"/>
      <c r="AP191" s="1582">
        <f t="shared" ca="1" si="156"/>
        <v>0</v>
      </c>
      <c r="AQ191" s="209"/>
      <c r="AR191" s="1582">
        <f t="shared" ca="1" si="157"/>
        <v>0</v>
      </c>
      <c r="AS191" s="194"/>
      <c r="AT191" s="1582">
        <f t="shared" ca="1" si="158"/>
        <v>0</v>
      </c>
      <c r="AU191" s="194"/>
      <c r="AV191" s="194"/>
      <c r="AW191" s="194"/>
      <c r="AX191" s="194"/>
      <c r="AY191" s="194"/>
    </row>
    <row r="192" spans="1:51" s="2699" customFormat="1" ht="18" hidden="1" customHeight="1" x14ac:dyDescent="0.25">
      <c r="A192" s="972">
        <f t="shared" ca="1" si="130"/>
        <v>0</v>
      </c>
      <c r="B192" s="707">
        <f t="shared" si="134"/>
        <v>186</v>
      </c>
      <c r="C192" s="1376"/>
      <c r="D192" s="3346"/>
      <c r="E192" s="3346" t="str">
        <f t="shared" ca="1" si="135"/>
        <v/>
      </c>
      <c r="F192" s="1448" t="str">
        <f t="shared" ca="1" si="136"/>
        <v/>
      </c>
      <c r="G192" s="1418" t="str">
        <f t="shared" ca="1" si="137"/>
        <v/>
      </c>
      <c r="H192" s="3589" t="str">
        <f t="shared" ca="1" si="138"/>
        <v/>
      </c>
      <c r="I192" s="3589" t="str">
        <f t="shared" ca="1" si="139"/>
        <v/>
      </c>
      <c r="J192" s="3590" t="str">
        <f t="shared" ca="1" si="131"/>
        <v/>
      </c>
      <c r="K192" s="1422" t="str">
        <f t="shared" ca="1" si="140"/>
        <v/>
      </c>
      <c r="L192" s="1431" t="str">
        <f t="shared" ca="1" si="132"/>
        <v/>
      </c>
      <c r="M192" s="3591" t="str">
        <f t="shared" ca="1" si="133"/>
        <v/>
      </c>
      <c r="N192" s="3592" t="str">
        <f t="shared" ca="1" si="141"/>
        <v/>
      </c>
      <c r="O192" s="1420" t="e">
        <f ca="1">IF(U192="",IF(Income_RentRollSource="Datappraise/Manual Entry",VLOOKUP($B192,Datappraise_RentRoll,5,FALSE),IF(OR(Income_TechniqueUsed="Direct Capitalization",Income_TechniqueUsed="Direct Cap &amp; DCF"),VLOOKUP('Rent Roll'!S192,'Income Assumptions'!$D$11:$H$19,5,FALSE),VLOOKUP('Rent Roll'!S192,'Income Assumptions'!$D$50:$O$57,6,FALSE))),U192)</f>
        <v>#N/A</v>
      </c>
      <c r="P192" s="3346"/>
      <c r="Q192" s="1377"/>
      <c r="R192" s="652"/>
      <c r="S192" s="2696" t="str">
        <f t="shared" si="142"/>
        <v/>
      </c>
      <c r="T192" s="652"/>
      <c r="U192" s="2696"/>
      <c r="V192" s="652"/>
      <c r="W192" s="2696"/>
      <c r="X192" s="652"/>
      <c r="Y192" s="1580">
        <f t="shared" ca="1" si="143"/>
        <v>0</v>
      </c>
      <c r="Z192" s="1580">
        <f t="shared" ca="1" si="144"/>
        <v>0</v>
      </c>
      <c r="AA192" s="1580">
        <f t="shared" ca="1" si="145"/>
        <v>0</v>
      </c>
      <c r="AB192" s="1580">
        <f t="shared" ca="1" si="146"/>
        <v>0</v>
      </c>
      <c r="AC192" s="1580">
        <f t="shared" ca="1" si="147"/>
        <v>0</v>
      </c>
      <c r="AD192" s="1580">
        <f t="shared" ca="1" si="148"/>
        <v>0</v>
      </c>
      <c r="AE192" s="1580">
        <f t="shared" ca="1" si="149"/>
        <v>0</v>
      </c>
      <c r="AF192" s="1581">
        <f t="shared" ca="1" si="150"/>
        <v>0</v>
      </c>
      <c r="AG192" s="194"/>
      <c r="AH192" s="1579" t="str">
        <f t="shared" ca="1" si="151"/>
        <v/>
      </c>
      <c r="AI192" s="1580" t="str">
        <f t="shared" ca="1" si="152"/>
        <v/>
      </c>
      <c r="AJ192" s="1581" t="str">
        <f t="shared" ca="1" si="153"/>
        <v/>
      </c>
      <c r="AK192" s="194"/>
      <c r="AL192" s="1582">
        <f t="shared" ca="1" si="154"/>
        <v>0</v>
      </c>
      <c r="AM192" s="209"/>
      <c r="AN192" s="1582">
        <f t="shared" ca="1" si="155"/>
        <v>0</v>
      </c>
      <c r="AO192" s="209"/>
      <c r="AP192" s="1582">
        <f t="shared" ca="1" si="156"/>
        <v>0</v>
      </c>
      <c r="AQ192" s="209"/>
      <c r="AR192" s="1582">
        <f t="shared" ca="1" si="157"/>
        <v>0</v>
      </c>
      <c r="AS192" s="194"/>
      <c r="AT192" s="1582">
        <f t="shared" ca="1" si="158"/>
        <v>0</v>
      </c>
      <c r="AU192" s="194"/>
      <c r="AV192" s="194"/>
      <c r="AW192" s="194"/>
      <c r="AX192" s="194"/>
      <c r="AY192" s="194"/>
    </row>
    <row r="193" spans="1:51" s="2699" customFormat="1" ht="18" hidden="1" customHeight="1" x14ac:dyDescent="0.25">
      <c r="A193" s="972">
        <f t="shared" ca="1" si="130"/>
        <v>0</v>
      </c>
      <c r="B193" s="707">
        <f t="shared" si="134"/>
        <v>187</v>
      </c>
      <c r="C193" s="1376"/>
      <c r="D193" s="3346"/>
      <c r="E193" s="3346" t="str">
        <f t="shared" ca="1" si="135"/>
        <v/>
      </c>
      <c r="F193" s="1448" t="str">
        <f t="shared" ca="1" si="136"/>
        <v/>
      </c>
      <c r="G193" s="1418" t="str">
        <f t="shared" ca="1" si="137"/>
        <v/>
      </c>
      <c r="H193" s="3589" t="str">
        <f t="shared" ca="1" si="138"/>
        <v/>
      </c>
      <c r="I193" s="3589" t="str">
        <f t="shared" ca="1" si="139"/>
        <v/>
      </c>
      <c r="J193" s="3590" t="str">
        <f t="shared" ca="1" si="131"/>
        <v/>
      </c>
      <c r="K193" s="1422" t="str">
        <f t="shared" ca="1" si="140"/>
        <v/>
      </c>
      <c r="L193" s="1431" t="str">
        <f t="shared" ca="1" si="132"/>
        <v/>
      </c>
      <c r="M193" s="3591" t="str">
        <f t="shared" ca="1" si="133"/>
        <v/>
      </c>
      <c r="N193" s="3592" t="str">
        <f t="shared" ca="1" si="141"/>
        <v/>
      </c>
      <c r="O193" s="1420" t="e">
        <f ca="1">IF(U193="",IF(Income_RentRollSource="Datappraise/Manual Entry",VLOOKUP($B193,Datappraise_RentRoll,5,FALSE),IF(OR(Income_TechniqueUsed="Direct Capitalization",Income_TechniqueUsed="Direct Cap &amp; DCF"),VLOOKUP('Rent Roll'!S193,'Income Assumptions'!$D$11:$H$19,5,FALSE),VLOOKUP('Rent Roll'!S193,'Income Assumptions'!$D$50:$O$57,6,FALSE))),U193)</f>
        <v>#N/A</v>
      </c>
      <c r="P193" s="3346"/>
      <c r="Q193" s="1377"/>
      <c r="R193" s="652"/>
      <c r="S193" s="2696" t="str">
        <f t="shared" si="142"/>
        <v/>
      </c>
      <c r="T193" s="652"/>
      <c r="U193" s="2696"/>
      <c r="V193" s="652"/>
      <c r="W193" s="2696"/>
      <c r="X193" s="652"/>
      <c r="Y193" s="1580">
        <f t="shared" ca="1" si="143"/>
        <v>0</v>
      </c>
      <c r="Z193" s="1580">
        <f t="shared" ca="1" si="144"/>
        <v>0</v>
      </c>
      <c r="AA193" s="1580">
        <f t="shared" ca="1" si="145"/>
        <v>0</v>
      </c>
      <c r="AB193" s="1580">
        <f t="shared" ca="1" si="146"/>
        <v>0</v>
      </c>
      <c r="AC193" s="1580">
        <f t="shared" ca="1" si="147"/>
        <v>0</v>
      </c>
      <c r="AD193" s="1580">
        <f t="shared" ca="1" si="148"/>
        <v>0</v>
      </c>
      <c r="AE193" s="1580">
        <f t="shared" ca="1" si="149"/>
        <v>0</v>
      </c>
      <c r="AF193" s="1581">
        <f t="shared" ca="1" si="150"/>
        <v>0</v>
      </c>
      <c r="AG193" s="194"/>
      <c r="AH193" s="1579" t="str">
        <f t="shared" ca="1" si="151"/>
        <v/>
      </c>
      <c r="AI193" s="1580" t="str">
        <f t="shared" ca="1" si="152"/>
        <v/>
      </c>
      <c r="AJ193" s="1581" t="str">
        <f t="shared" ca="1" si="153"/>
        <v/>
      </c>
      <c r="AK193" s="194"/>
      <c r="AL193" s="1582">
        <f t="shared" ca="1" si="154"/>
        <v>0</v>
      </c>
      <c r="AM193" s="209"/>
      <c r="AN193" s="1582">
        <f t="shared" ca="1" si="155"/>
        <v>0</v>
      </c>
      <c r="AO193" s="209"/>
      <c r="AP193" s="1582">
        <f t="shared" ca="1" si="156"/>
        <v>0</v>
      </c>
      <c r="AQ193" s="209"/>
      <c r="AR193" s="1582">
        <f t="shared" ca="1" si="157"/>
        <v>0</v>
      </c>
      <c r="AS193" s="194"/>
      <c r="AT193" s="1582">
        <f t="shared" ca="1" si="158"/>
        <v>0</v>
      </c>
      <c r="AU193" s="194"/>
      <c r="AV193" s="194"/>
      <c r="AW193" s="194"/>
      <c r="AX193" s="194"/>
      <c r="AY193" s="194"/>
    </row>
    <row r="194" spans="1:51" s="2699" customFormat="1" ht="18" hidden="1" customHeight="1" x14ac:dyDescent="0.25">
      <c r="A194" s="972">
        <f t="shared" ca="1" si="130"/>
        <v>0</v>
      </c>
      <c r="B194" s="707">
        <f t="shared" si="134"/>
        <v>188</v>
      </c>
      <c r="C194" s="1376"/>
      <c r="D194" s="3346"/>
      <c r="E194" s="3346" t="str">
        <f t="shared" ca="1" si="135"/>
        <v/>
      </c>
      <c r="F194" s="1448" t="str">
        <f t="shared" ca="1" si="136"/>
        <v/>
      </c>
      <c r="G194" s="1418" t="str">
        <f t="shared" ca="1" si="137"/>
        <v/>
      </c>
      <c r="H194" s="3589" t="str">
        <f t="shared" ca="1" si="138"/>
        <v/>
      </c>
      <c r="I194" s="3589" t="str">
        <f t="shared" ca="1" si="139"/>
        <v/>
      </c>
      <c r="J194" s="3590" t="str">
        <f t="shared" ca="1" si="131"/>
        <v/>
      </c>
      <c r="K194" s="1422" t="str">
        <f t="shared" ca="1" si="140"/>
        <v/>
      </c>
      <c r="L194" s="1431" t="str">
        <f t="shared" ca="1" si="132"/>
        <v/>
      </c>
      <c r="M194" s="3591" t="str">
        <f t="shared" ca="1" si="133"/>
        <v/>
      </c>
      <c r="N194" s="3592" t="str">
        <f t="shared" ca="1" si="141"/>
        <v/>
      </c>
      <c r="O194" s="1420" t="e">
        <f ca="1">IF(U194="",IF(Income_RentRollSource="Datappraise/Manual Entry",VLOOKUP($B194,Datappraise_RentRoll,5,FALSE),IF(OR(Income_TechniqueUsed="Direct Capitalization",Income_TechniqueUsed="Direct Cap &amp; DCF"),VLOOKUP('Rent Roll'!S194,'Income Assumptions'!$D$11:$H$19,5,FALSE),VLOOKUP('Rent Roll'!S194,'Income Assumptions'!$D$50:$O$57,6,FALSE))),U194)</f>
        <v>#N/A</v>
      </c>
      <c r="P194" s="3346"/>
      <c r="Q194" s="1377"/>
      <c r="R194" s="652"/>
      <c r="S194" s="2696" t="str">
        <f t="shared" si="142"/>
        <v/>
      </c>
      <c r="T194" s="652"/>
      <c r="U194" s="2696"/>
      <c r="V194" s="652"/>
      <c r="W194" s="2696"/>
      <c r="X194" s="652"/>
      <c r="Y194" s="1580">
        <f t="shared" ca="1" si="143"/>
        <v>0</v>
      </c>
      <c r="Z194" s="1580">
        <f t="shared" ca="1" si="144"/>
        <v>0</v>
      </c>
      <c r="AA194" s="1580">
        <f t="shared" ca="1" si="145"/>
        <v>0</v>
      </c>
      <c r="AB194" s="1580">
        <f t="shared" ca="1" si="146"/>
        <v>0</v>
      </c>
      <c r="AC194" s="1580">
        <f t="shared" ca="1" si="147"/>
        <v>0</v>
      </c>
      <c r="AD194" s="1580">
        <f t="shared" ca="1" si="148"/>
        <v>0</v>
      </c>
      <c r="AE194" s="1580">
        <f t="shared" ca="1" si="149"/>
        <v>0</v>
      </c>
      <c r="AF194" s="1581">
        <f t="shared" ca="1" si="150"/>
        <v>0</v>
      </c>
      <c r="AG194" s="194"/>
      <c r="AH194" s="1579" t="str">
        <f t="shared" ca="1" si="151"/>
        <v/>
      </c>
      <c r="AI194" s="1580" t="str">
        <f t="shared" ca="1" si="152"/>
        <v/>
      </c>
      <c r="AJ194" s="1581" t="str">
        <f t="shared" ca="1" si="153"/>
        <v/>
      </c>
      <c r="AK194" s="194"/>
      <c r="AL194" s="1582">
        <f t="shared" ca="1" si="154"/>
        <v>0</v>
      </c>
      <c r="AM194" s="209"/>
      <c r="AN194" s="1582">
        <f t="shared" ca="1" si="155"/>
        <v>0</v>
      </c>
      <c r="AO194" s="209"/>
      <c r="AP194" s="1582">
        <f t="shared" ca="1" si="156"/>
        <v>0</v>
      </c>
      <c r="AQ194" s="209"/>
      <c r="AR194" s="1582">
        <f t="shared" ca="1" si="157"/>
        <v>0</v>
      </c>
      <c r="AS194" s="194"/>
      <c r="AT194" s="1582">
        <f t="shared" ca="1" si="158"/>
        <v>0</v>
      </c>
      <c r="AU194" s="194"/>
      <c r="AV194" s="194"/>
      <c r="AW194" s="194"/>
      <c r="AX194" s="194"/>
      <c r="AY194" s="194"/>
    </row>
    <row r="195" spans="1:51" s="2699" customFormat="1" ht="18" hidden="1" customHeight="1" x14ac:dyDescent="0.25">
      <c r="A195" s="972">
        <f t="shared" ca="1" si="130"/>
        <v>0</v>
      </c>
      <c r="B195" s="707">
        <f t="shared" si="134"/>
        <v>189</v>
      </c>
      <c r="C195" s="1376"/>
      <c r="D195" s="3346"/>
      <c r="E195" s="3346" t="str">
        <f t="shared" ca="1" si="135"/>
        <v/>
      </c>
      <c r="F195" s="1448" t="str">
        <f t="shared" ca="1" si="136"/>
        <v/>
      </c>
      <c r="G195" s="1418" t="str">
        <f t="shared" ca="1" si="137"/>
        <v/>
      </c>
      <c r="H195" s="3589" t="str">
        <f t="shared" ca="1" si="138"/>
        <v/>
      </c>
      <c r="I195" s="3589" t="str">
        <f t="shared" ca="1" si="139"/>
        <v/>
      </c>
      <c r="J195" s="3590" t="str">
        <f t="shared" ca="1" si="131"/>
        <v/>
      </c>
      <c r="K195" s="1422" t="str">
        <f t="shared" ca="1" si="140"/>
        <v/>
      </c>
      <c r="L195" s="1431" t="str">
        <f t="shared" ca="1" si="132"/>
        <v/>
      </c>
      <c r="M195" s="3591" t="str">
        <f t="shared" ca="1" si="133"/>
        <v/>
      </c>
      <c r="N195" s="3592" t="str">
        <f t="shared" ca="1" si="141"/>
        <v/>
      </c>
      <c r="O195" s="1420" t="e">
        <f ca="1">IF(U195="",IF(Income_RentRollSource="Datappraise/Manual Entry",VLOOKUP($B195,Datappraise_RentRoll,5,FALSE),IF(OR(Income_TechniqueUsed="Direct Capitalization",Income_TechniqueUsed="Direct Cap &amp; DCF"),VLOOKUP('Rent Roll'!S195,'Income Assumptions'!$D$11:$H$19,5,FALSE),VLOOKUP('Rent Roll'!S195,'Income Assumptions'!$D$50:$O$57,6,FALSE))),U195)</f>
        <v>#N/A</v>
      </c>
      <c r="P195" s="3346"/>
      <c r="Q195" s="1377"/>
      <c r="R195" s="652"/>
      <c r="S195" s="2696" t="str">
        <f t="shared" si="142"/>
        <v/>
      </c>
      <c r="T195" s="652"/>
      <c r="U195" s="2696"/>
      <c r="V195" s="652"/>
      <c r="W195" s="2696"/>
      <c r="X195" s="652"/>
      <c r="Y195" s="1580">
        <f t="shared" ca="1" si="143"/>
        <v>0</v>
      </c>
      <c r="Z195" s="1580">
        <f t="shared" ca="1" si="144"/>
        <v>0</v>
      </c>
      <c r="AA195" s="1580">
        <f t="shared" ca="1" si="145"/>
        <v>0</v>
      </c>
      <c r="AB195" s="1580">
        <f t="shared" ca="1" si="146"/>
        <v>0</v>
      </c>
      <c r="AC195" s="1580">
        <f t="shared" ca="1" si="147"/>
        <v>0</v>
      </c>
      <c r="AD195" s="1580">
        <f t="shared" ca="1" si="148"/>
        <v>0</v>
      </c>
      <c r="AE195" s="1580">
        <f t="shared" ca="1" si="149"/>
        <v>0</v>
      </c>
      <c r="AF195" s="1581">
        <f t="shared" ca="1" si="150"/>
        <v>0</v>
      </c>
      <c r="AG195" s="194"/>
      <c r="AH195" s="1579" t="str">
        <f t="shared" ca="1" si="151"/>
        <v/>
      </c>
      <c r="AI195" s="1580" t="str">
        <f t="shared" ca="1" si="152"/>
        <v/>
      </c>
      <c r="AJ195" s="1581" t="str">
        <f t="shared" ca="1" si="153"/>
        <v/>
      </c>
      <c r="AK195" s="194"/>
      <c r="AL195" s="1582">
        <f t="shared" ca="1" si="154"/>
        <v>0</v>
      </c>
      <c r="AM195" s="209"/>
      <c r="AN195" s="1582">
        <f t="shared" ca="1" si="155"/>
        <v>0</v>
      </c>
      <c r="AO195" s="209"/>
      <c r="AP195" s="1582">
        <f t="shared" ca="1" si="156"/>
        <v>0</v>
      </c>
      <c r="AQ195" s="209"/>
      <c r="AR195" s="1582">
        <f t="shared" ca="1" si="157"/>
        <v>0</v>
      </c>
      <c r="AS195" s="194"/>
      <c r="AT195" s="1582">
        <f t="shared" ca="1" si="158"/>
        <v>0</v>
      </c>
      <c r="AU195" s="194"/>
      <c r="AV195" s="194"/>
      <c r="AW195" s="194"/>
      <c r="AX195" s="194"/>
      <c r="AY195" s="194"/>
    </row>
    <row r="196" spans="1:51" s="2699" customFormat="1" ht="18" hidden="1" customHeight="1" x14ac:dyDescent="0.25">
      <c r="A196" s="972">
        <f t="shared" ca="1" si="130"/>
        <v>0</v>
      </c>
      <c r="B196" s="707">
        <f t="shared" si="134"/>
        <v>190</v>
      </c>
      <c r="C196" s="1376"/>
      <c r="D196" s="3346"/>
      <c r="E196" s="3346" t="str">
        <f t="shared" ca="1" si="135"/>
        <v/>
      </c>
      <c r="F196" s="1448" t="str">
        <f t="shared" ca="1" si="136"/>
        <v/>
      </c>
      <c r="G196" s="1418" t="str">
        <f t="shared" ca="1" si="137"/>
        <v/>
      </c>
      <c r="H196" s="3589" t="str">
        <f t="shared" ca="1" si="138"/>
        <v/>
      </c>
      <c r="I196" s="3589" t="str">
        <f t="shared" ca="1" si="139"/>
        <v/>
      </c>
      <c r="J196" s="3590" t="str">
        <f t="shared" ca="1" si="131"/>
        <v/>
      </c>
      <c r="K196" s="1422" t="str">
        <f t="shared" ca="1" si="140"/>
        <v/>
      </c>
      <c r="L196" s="1431" t="str">
        <f t="shared" ca="1" si="132"/>
        <v/>
      </c>
      <c r="M196" s="3591" t="str">
        <f t="shared" ca="1" si="133"/>
        <v/>
      </c>
      <c r="N196" s="3592" t="str">
        <f t="shared" ca="1" si="141"/>
        <v/>
      </c>
      <c r="O196" s="1420" t="e">
        <f ca="1">IF(U196="",IF(Income_RentRollSource="Datappraise/Manual Entry",VLOOKUP($B196,Datappraise_RentRoll,5,FALSE),IF(OR(Income_TechniqueUsed="Direct Capitalization",Income_TechniqueUsed="Direct Cap &amp; DCF"),VLOOKUP('Rent Roll'!S196,'Income Assumptions'!$D$11:$H$19,5,FALSE),VLOOKUP('Rent Roll'!S196,'Income Assumptions'!$D$50:$O$57,6,FALSE))),U196)</f>
        <v>#N/A</v>
      </c>
      <c r="P196" s="3346"/>
      <c r="Q196" s="1377"/>
      <c r="R196" s="652"/>
      <c r="S196" s="2696" t="str">
        <f t="shared" si="142"/>
        <v/>
      </c>
      <c r="T196" s="652"/>
      <c r="U196" s="2696"/>
      <c r="V196" s="652"/>
      <c r="W196" s="2696"/>
      <c r="X196" s="652"/>
      <c r="Y196" s="1580">
        <f t="shared" ca="1" si="143"/>
        <v>0</v>
      </c>
      <c r="Z196" s="1580">
        <f t="shared" ca="1" si="144"/>
        <v>0</v>
      </c>
      <c r="AA196" s="1580">
        <f t="shared" ca="1" si="145"/>
        <v>0</v>
      </c>
      <c r="AB196" s="1580">
        <f t="shared" ca="1" si="146"/>
        <v>0</v>
      </c>
      <c r="AC196" s="1580">
        <f t="shared" ca="1" si="147"/>
        <v>0</v>
      </c>
      <c r="AD196" s="1580">
        <f t="shared" ca="1" si="148"/>
        <v>0</v>
      </c>
      <c r="AE196" s="1580">
        <f t="shared" ca="1" si="149"/>
        <v>0</v>
      </c>
      <c r="AF196" s="1581">
        <f t="shared" ca="1" si="150"/>
        <v>0</v>
      </c>
      <c r="AG196" s="194"/>
      <c r="AH196" s="1579" t="str">
        <f t="shared" ca="1" si="151"/>
        <v/>
      </c>
      <c r="AI196" s="1580" t="str">
        <f t="shared" ca="1" si="152"/>
        <v/>
      </c>
      <c r="AJ196" s="1581" t="str">
        <f t="shared" ca="1" si="153"/>
        <v/>
      </c>
      <c r="AK196" s="194"/>
      <c r="AL196" s="1582">
        <f t="shared" ca="1" si="154"/>
        <v>0</v>
      </c>
      <c r="AM196" s="209"/>
      <c r="AN196" s="1582">
        <f t="shared" ca="1" si="155"/>
        <v>0</v>
      </c>
      <c r="AO196" s="209"/>
      <c r="AP196" s="1582">
        <f t="shared" ca="1" si="156"/>
        <v>0</v>
      </c>
      <c r="AQ196" s="209"/>
      <c r="AR196" s="1582">
        <f t="shared" ca="1" si="157"/>
        <v>0</v>
      </c>
      <c r="AS196" s="194"/>
      <c r="AT196" s="1582">
        <f t="shared" ca="1" si="158"/>
        <v>0</v>
      </c>
      <c r="AU196" s="194"/>
      <c r="AV196" s="194"/>
      <c r="AW196" s="194"/>
      <c r="AX196" s="194"/>
      <c r="AY196" s="194"/>
    </row>
    <row r="197" spans="1:51" s="2699" customFormat="1" ht="18" hidden="1" customHeight="1" x14ac:dyDescent="0.25">
      <c r="A197" s="972">
        <f t="shared" ca="1" si="130"/>
        <v>0</v>
      </c>
      <c r="B197" s="707">
        <f t="shared" si="134"/>
        <v>191</v>
      </c>
      <c r="C197" s="1376"/>
      <c r="D197" s="3346"/>
      <c r="E197" s="3346" t="str">
        <f t="shared" ca="1" si="135"/>
        <v/>
      </c>
      <c r="F197" s="1448" t="str">
        <f t="shared" ca="1" si="136"/>
        <v/>
      </c>
      <c r="G197" s="1418" t="str">
        <f t="shared" ca="1" si="137"/>
        <v/>
      </c>
      <c r="H197" s="3589" t="str">
        <f t="shared" ca="1" si="138"/>
        <v/>
      </c>
      <c r="I197" s="3589" t="str">
        <f t="shared" ca="1" si="139"/>
        <v/>
      </c>
      <c r="J197" s="3590" t="str">
        <f t="shared" ca="1" si="131"/>
        <v/>
      </c>
      <c r="K197" s="1422" t="str">
        <f t="shared" ca="1" si="140"/>
        <v/>
      </c>
      <c r="L197" s="1431" t="str">
        <f t="shared" ca="1" si="132"/>
        <v/>
      </c>
      <c r="M197" s="3591" t="str">
        <f t="shared" ca="1" si="133"/>
        <v/>
      </c>
      <c r="N197" s="3592" t="str">
        <f t="shared" ca="1" si="141"/>
        <v/>
      </c>
      <c r="O197" s="1420" t="e">
        <f ca="1">IF(U197="",IF(Income_RentRollSource="Datappraise/Manual Entry",VLOOKUP($B197,Datappraise_RentRoll,5,FALSE),IF(OR(Income_TechniqueUsed="Direct Capitalization",Income_TechniqueUsed="Direct Cap &amp; DCF"),VLOOKUP('Rent Roll'!S197,'Income Assumptions'!$D$11:$H$19,5,FALSE),VLOOKUP('Rent Roll'!S197,'Income Assumptions'!$D$50:$O$57,6,FALSE))),U197)</f>
        <v>#N/A</v>
      </c>
      <c r="P197" s="3346"/>
      <c r="Q197" s="1377"/>
      <c r="R197" s="652"/>
      <c r="S197" s="2696" t="str">
        <f t="shared" si="142"/>
        <v/>
      </c>
      <c r="T197" s="652"/>
      <c r="U197" s="2696"/>
      <c r="V197" s="652"/>
      <c r="W197" s="2696"/>
      <c r="X197" s="652"/>
      <c r="Y197" s="1580">
        <f t="shared" ca="1" si="143"/>
        <v>0</v>
      </c>
      <c r="Z197" s="1580">
        <f t="shared" ca="1" si="144"/>
        <v>0</v>
      </c>
      <c r="AA197" s="1580">
        <f t="shared" ca="1" si="145"/>
        <v>0</v>
      </c>
      <c r="AB197" s="1580">
        <f t="shared" ca="1" si="146"/>
        <v>0</v>
      </c>
      <c r="AC197" s="1580">
        <f t="shared" ca="1" si="147"/>
        <v>0</v>
      </c>
      <c r="AD197" s="1580">
        <f t="shared" ca="1" si="148"/>
        <v>0</v>
      </c>
      <c r="AE197" s="1580">
        <f t="shared" ca="1" si="149"/>
        <v>0</v>
      </c>
      <c r="AF197" s="1581">
        <f t="shared" ca="1" si="150"/>
        <v>0</v>
      </c>
      <c r="AG197" s="194"/>
      <c r="AH197" s="1579" t="str">
        <f t="shared" ca="1" si="151"/>
        <v/>
      </c>
      <c r="AI197" s="1580" t="str">
        <f t="shared" ca="1" si="152"/>
        <v/>
      </c>
      <c r="AJ197" s="1581" t="str">
        <f t="shared" ca="1" si="153"/>
        <v/>
      </c>
      <c r="AK197" s="194"/>
      <c r="AL197" s="1582">
        <f t="shared" ca="1" si="154"/>
        <v>0</v>
      </c>
      <c r="AM197" s="209"/>
      <c r="AN197" s="1582">
        <f t="shared" ca="1" si="155"/>
        <v>0</v>
      </c>
      <c r="AO197" s="209"/>
      <c r="AP197" s="1582">
        <f t="shared" ca="1" si="156"/>
        <v>0</v>
      </c>
      <c r="AQ197" s="209"/>
      <c r="AR197" s="1582">
        <f t="shared" ca="1" si="157"/>
        <v>0</v>
      </c>
      <c r="AS197" s="194"/>
      <c r="AT197" s="1582">
        <f t="shared" ca="1" si="158"/>
        <v>0</v>
      </c>
      <c r="AU197" s="194"/>
      <c r="AV197" s="194"/>
      <c r="AW197" s="194"/>
      <c r="AX197" s="194"/>
      <c r="AY197" s="194"/>
    </row>
    <row r="198" spans="1:51" s="2699" customFormat="1" ht="18" hidden="1" customHeight="1" x14ac:dyDescent="0.25">
      <c r="A198" s="972">
        <f t="shared" ca="1" si="130"/>
        <v>0</v>
      </c>
      <c r="B198" s="707">
        <f t="shared" si="134"/>
        <v>192</v>
      </c>
      <c r="C198" s="1376"/>
      <c r="D198" s="3346"/>
      <c r="E198" s="3346" t="str">
        <f t="shared" ca="1" si="135"/>
        <v/>
      </c>
      <c r="F198" s="1448" t="str">
        <f t="shared" ca="1" si="136"/>
        <v/>
      </c>
      <c r="G198" s="1418" t="str">
        <f t="shared" ca="1" si="137"/>
        <v/>
      </c>
      <c r="H198" s="3589" t="str">
        <f t="shared" ca="1" si="138"/>
        <v/>
      </c>
      <c r="I198" s="3589" t="str">
        <f t="shared" ca="1" si="139"/>
        <v/>
      </c>
      <c r="J198" s="3590" t="str">
        <f t="shared" ca="1" si="131"/>
        <v/>
      </c>
      <c r="K198" s="1422" t="str">
        <f t="shared" ca="1" si="140"/>
        <v/>
      </c>
      <c r="L198" s="1431" t="str">
        <f t="shared" ca="1" si="132"/>
        <v/>
      </c>
      <c r="M198" s="3591" t="str">
        <f t="shared" ca="1" si="133"/>
        <v/>
      </c>
      <c r="N198" s="3592" t="str">
        <f t="shared" ca="1" si="141"/>
        <v/>
      </c>
      <c r="O198" s="1420" t="e">
        <f ca="1">IF(U198="",IF(Income_RentRollSource="Datappraise/Manual Entry",VLOOKUP($B198,Datappraise_RentRoll,5,FALSE),IF(OR(Income_TechniqueUsed="Direct Capitalization",Income_TechniqueUsed="Direct Cap &amp; DCF"),VLOOKUP('Rent Roll'!S198,'Income Assumptions'!$D$11:$H$19,5,FALSE),VLOOKUP('Rent Roll'!S198,'Income Assumptions'!$D$50:$O$57,6,FALSE))),U198)</f>
        <v>#N/A</v>
      </c>
      <c r="P198" s="3346"/>
      <c r="Q198" s="1377"/>
      <c r="R198" s="652"/>
      <c r="S198" s="2696" t="str">
        <f t="shared" si="142"/>
        <v/>
      </c>
      <c r="T198" s="652"/>
      <c r="U198" s="2696"/>
      <c r="V198" s="652"/>
      <c r="W198" s="2696"/>
      <c r="X198" s="652"/>
      <c r="Y198" s="1580">
        <f t="shared" ca="1" si="143"/>
        <v>0</v>
      </c>
      <c r="Z198" s="1580">
        <f t="shared" ca="1" si="144"/>
        <v>0</v>
      </c>
      <c r="AA198" s="1580">
        <f t="shared" ca="1" si="145"/>
        <v>0</v>
      </c>
      <c r="AB198" s="1580">
        <f t="shared" ca="1" si="146"/>
        <v>0</v>
      </c>
      <c r="AC198" s="1580">
        <f t="shared" ca="1" si="147"/>
        <v>0</v>
      </c>
      <c r="AD198" s="1580">
        <f t="shared" ca="1" si="148"/>
        <v>0</v>
      </c>
      <c r="AE198" s="1580">
        <f t="shared" ca="1" si="149"/>
        <v>0</v>
      </c>
      <c r="AF198" s="1581">
        <f t="shared" ca="1" si="150"/>
        <v>0</v>
      </c>
      <c r="AG198" s="194"/>
      <c r="AH198" s="1579" t="str">
        <f t="shared" ca="1" si="151"/>
        <v/>
      </c>
      <c r="AI198" s="1580" t="str">
        <f t="shared" ca="1" si="152"/>
        <v/>
      </c>
      <c r="AJ198" s="1581" t="str">
        <f t="shared" ca="1" si="153"/>
        <v/>
      </c>
      <c r="AK198" s="194"/>
      <c r="AL198" s="1582">
        <f t="shared" ca="1" si="154"/>
        <v>0</v>
      </c>
      <c r="AM198" s="209"/>
      <c r="AN198" s="1582">
        <f t="shared" ca="1" si="155"/>
        <v>0</v>
      </c>
      <c r="AO198" s="209"/>
      <c r="AP198" s="1582">
        <f t="shared" ca="1" si="156"/>
        <v>0</v>
      </c>
      <c r="AQ198" s="209"/>
      <c r="AR198" s="1582">
        <f t="shared" ca="1" si="157"/>
        <v>0</v>
      </c>
      <c r="AS198" s="194"/>
      <c r="AT198" s="1582">
        <f t="shared" ca="1" si="158"/>
        <v>0</v>
      </c>
      <c r="AU198" s="194"/>
      <c r="AV198" s="194"/>
      <c r="AW198" s="194"/>
      <c r="AX198" s="194"/>
      <c r="AY198" s="194"/>
    </row>
    <row r="199" spans="1:51" s="2699" customFormat="1" ht="18" hidden="1" customHeight="1" x14ac:dyDescent="0.25">
      <c r="A199" s="972">
        <f t="shared" ca="1" si="130"/>
        <v>0</v>
      </c>
      <c r="B199" s="707">
        <f t="shared" si="134"/>
        <v>193</v>
      </c>
      <c r="C199" s="1376"/>
      <c r="D199" s="3346"/>
      <c r="E199" s="3346" t="str">
        <f t="shared" ref="E199:E206" ca="1" si="159">IF(Income_RentRollSource="ARGUS",IF(OR(ISERROR(VLOOKUP($B199,ARGUS_TenantRentRollArray,2,FALSE)),ISNUMBER(SEARCH("Reabsorb",VLOOKUP($B199,ARGUS_TenantRentRollArray,2,FALSE)))),"",VLOOKUP($B199,ARGUS_TenantRentRollArray,2,FALSE)),IF(Datappraise_RentRoll_TenantCount&lt;B199,"",VLOOKUP($B199,Datappraise_RentRoll,2,FALSE)))</f>
        <v/>
      </c>
      <c r="F199" s="1448" t="str">
        <f t="shared" ref="F199:F206" ca="1" si="160">IF(Income_RentRollSource="ARGUS",IF(OR(ISERROR(VLOOKUP($B199,ARGUS_TenantRentRollArray,2,FALSE)),ISNUMBER(SEARCH("Reabsorb",VLOOKUP($B199,ARGUS_TenantRentRollArray,2,FALSE))),ISNUMBER(SEARCH("Vacant",VLOOKUP($B199,ARGUS_TenantRentRollArray,2,FALSE)))),"",VLOOKUP($B199,ARGUS_TenantRentRollArray,3,FALSE)),IF(Datappraise_RentRoll_TenantCount&lt;$B199,"",VLOOKUP($B199,Datappraise_RentRoll,3,FALSE)))</f>
        <v/>
      </c>
      <c r="G199" s="1418" t="str">
        <f t="shared" ref="G199:G206" ca="1" si="161">IF(Income_RentRollSource="ARGUS",IF(OR(ISERROR(VLOOKUP($B199,ARGUS_TenantRentRollArray,2,FALSE)),ISNUMBER(SEARCH("Reabsorb",VLOOKUP($B199,ARGUS_TenantRentRollArray,2,FALSE)))),"",IF(ISERROR(SEARCH("Vacant",E199)),IF(H199&gt;dpIncome_RentRoll_DOV,"Prospective Contract","Contract"),"Speculative")),IF(Datappraise_RentRoll_TenantCount&lt;$B199,"",IF(ISERROR(SEARCH("Vacant",E199)),IF(H199&gt;dpIncome_RentRoll_DOV,"Prospective Contract","Contract"),"Speculative")))</f>
        <v/>
      </c>
      <c r="H199" s="3589" t="str">
        <f t="shared" ref="H199:H206" ca="1" si="162">IF(Income_RentRollSource="ARGUS",IF(OR(ISERROR(VLOOKUP($B199,ARGUS_TenantRentRollArray,2,FALSE)),ISNUMBER(SEARCH("Reabsorb",VLOOKUP($B199,ARGUS_TenantRentRollArray,2,FALSE)))),"",VLOOKUP($B199,ARGUS_TenantRentRollArray,8,FALSE))+0,IF(Datappraise_RentRoll_TenantCount&lt;$B199,"",VLOOKUP($B199,Datappraise_RentRoll,10,FALSE)))</f>
        <v/>
      </c>
      <c r="I199" s="3589" t="str">
        <f t="shared" ref="I199:I206" ca="1" si="163">IF(Income_RentRollSource="ARGUS",IF(OR(ISERROR(VLOOKUP($B199,ARGUS_TenantRentRollArray,2,FALSE)),ISNUMBER(SEARCH("Reabsorb",VLOOKUP($B199,ARGUS_TenantRentRollArray,2,FALSE)))),"",VLOOKUP($B199,ARGUS_TenantRentRollArray,9,FALSE))+0,IF(Datappraise_RentRoll_TenantCount&lt;$B199,"",VLOOKUP($B199,Datappraise_RentRoll,11,FALSE)))</f>
        <v/>
      </c>
      <c r="J199" s="3590" t="str">
        <f t="shared" ca="1" si="131"/>
        <v/>
      </c>
      <c r="K199" s="1422" t="str">
        <f t="shared" ref="K199:K206" ca="1" si="164">IF(Income_RentRollSource="ARGUS",IF(OR(ISERROR(VLOOKUP($B199,ARGUS_TenantRentRollArray,2,FALSE)),ISNUMBER(SEARCH("Reabsorb",VLOOKUP($B199,ARGUS_TenantRentRollArray,2,FALSE)))),"",VLOOKUP($B199,ARGUS_TenantRentRollArray,7,FALSE)),IF(Datappraise_RentRoll_TenantCount&lt;$B199,"",VLOOKUP($B199,Datappraise_RentRoll,7,FALSE)))</f>
        <v/>
      </c>
      <c r="L199" s="1431" t="str">
        <f t="shared" ca="1" si="132"/>
        <v/>
      </c>
      <c r="M199" s="3591" t="str">
        <f t="shared" ca="1" si="133"/>
        <v/>
      </c>
      <c r="N199" s="3592" t="str">
        <f t="shared" ref="N199:N206" ca="1" si="165">IF(Income_RentRollSource="ARGUS",IF(A199=0,"",VLOOKUP(B199,ARGUS_TenantRentRollArray,10,FALSE)/K199),IF(A199=0,"",VLOOKUP($B199,Datappraise_RentRoll,9,FALSE)))</f>
        <v/>
      </c>
      <c r="O199" s="1420" t="e">
        <f ca="1">IF(U199="",IF(Income_RentRollSource="Datappraise/Manual Entry",VLOOKUP($B199,Datappraise_RentRoll,5,FALSE),IF(OR(Income_TechniqueUsed="Direct Capitalization",Income_TechniqueUsed="Direct Cap &amp; DCF"),VLOOKUP('Rent Roll'!S199,'Income Assumptions'!$D$11:$H$19,5,FALSE),VLOOKUP('Rent Roll'!S199,'Income Assumptions'!$D$50:$O$57,6,FALSE))),U199)</f>
        <v>#N/A</v>
      </c>
      <c r="P199" s="3346"/>
      <c r="Q199" s="1377"/>
      <c r="R199" s="652"/>
      <c r="S199" s="2696" t="str">
        <f t="shared" ref="S199:S206" si="166">IF(Income_RentRollSource="Datappraise",IF(ISERROR(VLOOKUP($B199,Datappraise_RentRoll,4,FALSE))=FALSE,VLOOKUP($B199,Datappraise_RentRoll,4,FALSE),""),"")</f>
        <v/>
      </c>
      <c r="T199" s="652"/>
      <c r="U199" s="2696"/>
      <c r="V199" s="652"/>
      <c r="W199" s="2696"/>
      <c r="X199" s="652"/>
      <c r="Y199" s="1580">
        <f t="shared" ref="Y199:Y206" ca="1" si="167">IF(AND($A199=1,$S199=Income_TCat1,$S199&lt;&gt;""),1,0)</f>
        <v>0</v>
      </c>
      <c r="Z199" s="1580">
        <f t="shared" ref="Z199:Z206" ca="1" si="168">IF(AND($A199=1,$S199=Income_TCat2,$S199&lt;&gt;""),1,0)</f>
        <v>0</v>
      </c>
      <c r="AA199" s="1580">
        <f t="shared" ref="AA199:AA206" ca="1" si="169">IF(AND($A199=1,$S199=Income_TCat3,$S199&lt;&gt;""),1,0)</f>
        <v>0</v>
      </c>
      <c r="AB199" s="1580">
        <f t="shared" ref="AB199:AB206" ca="1" si="170">IF(AND($A199=1,$S199=Income_TCat4,$S199&lt;&gt;""),1,0)</f>
        <v>0</v>
      </c>
      <c r="AC199" s="1580">
        <f t="shared" ref="AC199:AC206" ca="1" si="171">IF(AND($A199=1,$S199=Income_TCat5,$S199&lt;&gt;""),1,0)</f>
        <v>0</v>
      </c>
      <c r="AD199" s="1580">
        <f t="shared" ref="AD199:AD206" ca="1" si="172">IF(AND($A199=1,$S199=Income_TCat6,$S199&lt;&gt;""),1,0)</f>
        <v>0</v>
      </c>
      <c r="AE199" s="1580">
        <f t="shared" ref="AE199:AE206" ca="1" si="173">IF(AND($A199=1,$S199=Income_TCat7,$S199&lt;&gt;""),1,0)</f>
        <v>0</v>
      </c>
      <c r="AF199" s="1581">
        <f t="shared" ref="AF199:AF206" ca="1" si="174">IF(AND($A199=1,$S199=Income_TCat8,$S199&lt;&gt;""),1,0)</f>
        <v>0</v>
      </c>
      <c r="AG199" s="194"/>
      <c r="AH199" s="1579" t="str">
        <f t="shared" ref="AH199:AH206" ca="1" si="175">IF(OR(G199="Speculative",G199=""),"",K199*N199)</f>
        <v/>
      </c>
      <c r="AI199" s="1580" t="str">
        <f t="shared" ref="AI199:AI206" ca="1" si="176">IF(OR(G199="Speculative",G199=""),"",K199*VLOOKUP(S199,Income_DirectCap_AssumpMatrix,3,FALSE))</f>
        <v/>
      </c>
      <c r="AJ199" s="1581" t="str">
        <f t="shared" ref="AJ199:AJ206" ca="1" si="177">IF(OR(G199="Speculative",G199=""),"",K199)</f>
        <v/>
      </c>
      <c r="AK199" s="194"/>
      <c r="AL199" s="1582">
        <f t="shared" ref="AL199:AL206" ca="1" si="178">IF(ISERROR(AND(OR($H199=Income_Absorb_Period1,$H199&gt;Income_Absorb_Period1),$A199=1)),0,IF(AND(OR($H199=Income_Absorb_Period1,$H199&gt;Income_Absorb_Period1),$A199=1),$K199,0))</f>
        <v>0</v>
      </c>
      <c r="AM199" s="209"/>
      <c r="AN199" s="1582">
        <f t="shared" ref="AN199:AN206" ca="1" si="179">IF(ISERROR(AND(OR($H199=Income_Absorb_Period2,AND($H199&gt;Income_Absorb_Period2,$H199&lt;Income_Absorb_Period1)),$A199=1,Income_Absorb_Period2&lt;&gt;"")),0,IF(AND(OR($H199=Income_Absorb_Period2,AND($H199&gt;Income_Absorb_Period2,$H199&lt;Income_Absorb_Period1)),$A199=1,Income_Absorb_Period2&lt;&gt;""),$K199,0))</f>
        <v>0</v>
      </c>
      <c r="AO199" s="209"/>
      <c r="AP199" s="1582">
        <f t="shared" ref="AP199:AP206" ca="1" si="180">IF(ISERROR(AND(OR($H199=Income_Absorb_Period3,AND($H199&gt;Income_Absorb_Period3,$H199&lt;Income_Absorb_Period2)),$A199=1,Income_Absorb_Period3&lt;&gt;"")),0,IF(AND(OR($H199=Income_Absorb_Period3,AND($H199&gt;Income_Absorb_Period3,$H199&lt;Income_Absorb_Period2)),$A199=1,Income_Absorb_Period3&lt;&gt;""),$K199,0))</f>
        <v>0</v>
      </c>
      <c r="AQ199" s="209"/>
      <c r="AR199" s="1582">
        <f t="shared" ref="AR199:AR206" ca="1" si="181">IF(ISERROR(AND(OR($H199=Income_Absorb_Period4,AND($H199&gt;Income_Absorb_Period4,$H199&lt;Income_Absorb_Period3)),$A199=1,Income_Absorb_Period4&lt;&gt;"")),0,IF(AND(OR($H199=Income_Absorb_Period4,AND($H199&gt;Income_Absorb_Period4,$H199&lt;Income_Absorb_Period3)),$A199=1,Income_Absorb_Period4&lt;&gt;""),$K199,0))</f>
        <v>0</v>
      </c>
      <c r="AS199" s="194"/>
      <c r="AT199" s="1582">
        <f t="shared" ref="AT199:AT206" ca="1" si="182">IF(ISERROR(AND(OR($H199=Income_Absorb_Period5,AND($H199&gt;Income_Absorb_Period5,$H199&lt;Income_Absorb_Period4)),$A199=1,Income_Absorb_Period5&lt;&gt;"")),0,IF(AND(OR($H199=Income_Absorb_Period5,AND($H199&gt;Income_Absorb_Period5,$H199&lt;Income_Absorb_Period4)),$A199=1,Income_Absorb_Period5&lt;&gt;""),$K199,0))</f>
        <v>0</v>
      </c>
      <c r="AU199" s="194"/>
      <c r="AV199" s="194"/>
      <c r="AW199" s="194"/>
      <c r="AX199" s="194"/>
      <c r="AY199" s="194"/>
    </row>
    <row r="200" spans="1:51" s="2699" customFormat="1" ht="18" hidden="1" customHeight="1" x14ac:dyDescent="0.25">
      <c r="A200" s="972">
        <f t="shared" ref="A200:A206" ca="1" si="183">IF(OR(E200="",ISNUMBER(SEARCH("vacant",E200))),0,1)</f>
        <v>0</v>
      </c>
      <c r="B200" s="707">
        <f t="shared" si="134"/>
        <v>194</v>
      </c>
      <c r="C200" s="1376"/>
      <c r="D200" s="3346"/>
      <c r="E200" s="3346" t="str">
        <f t="shared" ca="1" si="159"/>
        <v/>
      </c>
      <c r="F200" s="1448" t="str">
        <f t="shared" ca="1" si="160"/>
        <v/>
      </c>
      <c r="G200" s="1418" t="str">
        <f t="shared" ca="1" si="161"/>
        <v/>
      </c>
      <c r="H200" s="3589" t="str">
        <f t="shared" ca="1" si="162"/>
        <v/>
      </c>
      <c r="I200" s="3589" t="str">
        <f t="shared" ca="1" si="163"/>
        <v/>
      </c>
      <c r="J200" s="3590" t="str">
        <f t="shared" ref="J200:J206" ca="1" si="184">IF(OR(ISERR(YEARFRAC(dpIncome_RentRoll_DOV,I200)),G200="Speculative"),"",YEARFRAC(dpIncome_RentRoll_DOV,I200))</f>
        <v/>
      </c>
      <c r="K200" s="1422" t="str">
        <f t="shared" ca="1" si="164"/>
        <v/>
      </c>
      <c r="L200" s="1431" t="str">
        <f t="shared" ref="L200:L206" ca="1" si="185">IF(E200="","",K200/$K$216)</f>
        <v/>
      </c>
      <c r="M200" s="3591" t="str">
        <f t="shared" ref="M200:M206" ca="1" si="186">IF(E200="","",IF(G200="Contract",L200,0))</f>
        <v/>
      </c>
      <c r="N200" s="3592" t="str">
        <f t="shared" ca="1" si="165"/>
        <v/>
      </c>
      <c r="O200" s="1420" t="e">
        <f ca="1">IF(U200="",IF(Income_RentRollSource="Datappraise/Manual Entry",VLOOKUP($B200,Datappraise_RentRoll,5,FALSE),IF(OR(Income_TechniqueUsed="Direct Capitalization",Income_TechniqueUsed="Direct Cap &amp; DCF"),VLOOKUP('Rent Roll'!S200,'Income Assumptions'!$D$11:$H$19,5,FALSE),VLOOKUP('Rent Roll'!S200,'Income Assumptions'!$D$50:$O$57,6,FALSE))),U200)</f>
        <v>#N/A</v>
      </c>
      <c r="P200" s="3346"/>
      <c r="Q200" s="1377"/>
      <c r="R200" s="652"/>
      <c r="S200" s="2696" t="str">
        <f t="shared" si="166"/>
        <v/>
      </c>
      <c r="T200" s="652"/>
      <c r="U200" s="2696"/>
      <c r="V200" s="652"/>
      <c r="W200" s="2696"/>
      <c r="X200" s="652"/>
      <c r="Y200" s="1580">
        <f t="shared" ca="1" si="167"/>
        <v>0</v>
      </c>
      <c r="Z200" s="1580">
        <f t="shared" ca="1" si="168"/>
        <v>0</v>
      </c>
      <c r="AA200" s="1580">
        <f t="shared" ca="1" si="169"/>
        <v>0</v>
      </c>
      <c r="AB200" s="1580">
        <f t="shared" ca="1" si="170"/>
        <v>0</v>
      </c>
      <c r="AC200" s="1580">
        <f t="shared" ca="1" si="171"/>
        <v>0</v>
      </c>
      <c r="AD200" s="1580">
        <f t="shared" ca="1" si="172"/>
        <v>0</v>
      </c>
      <c r="AE200" s="1580">
        <f t="shared" ca="1" si="173"/>
        <v>0</v>
      </c>
      <c r="AF200" s="1581">
        <f t="shared" ca="1" si="174"/>
        <v>0</v>
      </c>
      <c r="AG200" s="194"/>
      <c r="AH200" s="1579" t="str">
        <f t="shared" ca="1" si="175"/>
        <v/>
      </c>
      <c r="AI200" s="1580" t="str">
        <f t="shared" ca="1" si="176"/>
        <v/>
      </c>
      <c r="AJ200" s="1581" t="str">
        <f t="shared" ca="1" si="177"/>
        <v/>
      </c>
      <c r="AK200" s="194"/>
      <c r="AL200" s="1582">
        <f t="shared" ca="1" si="178"/>
        <v>0</v>
      </c>
      <c r="AM200" s="209"/>
      <c r="AN200" s="1582">
        <f t="shared" ca="1" si="179"/>
        <v>0</v>
      </c>
      <c r="AO200" s="209"/>
      <c r="AP200" s="1582">
        <f t="shared" ca="1" si="180"/>
        <v>0</v>
      </c>
      <c r="AQ200" s="209"/>
      <c r="AR200" s="1582">
        <f t="shared" ca="1" si="181"/>
        <v>0</v>
      </c>
      <c r="AS200" s="194"/>
      <c r="AT200" s="1582">
        <f t="shared" ca="1" si="182"/>
        <v>0</v>
      </c>
      <c r="AU200" s="194"/>
      <c r="AV200" s="194"/>
      <c r="AW200" s="194"/>
      <c r="AX200" s="194"/>
      <c r="AY200" s="194"/>
    </row>
    <row r="201" spans="1:51" s="2699" customFormat="1" ht="18" hidden="1" customHeight="1" x14ac:dyDescent="0.25">
      <c r="A201" s="972">
        <f t="shared" ca="1" si="183"/>
        <v>0</v>
      </c>
      <c r="B201" s="707">
        <f t="shared" ref="B201:B206" si="187">B200+1</f>
        <v>195</v>
      </c>
      <c r="C201" s="1376"/>
      <c r="D201" s="3346"/>
      <c r="E201" s="3346" t="str">
        <f t="shared" ca="1" si="159"/>
        <v/>
      </c>
      <c r="F201" s="1448" t="str">
        <f t="shared" ca="1" si="160"/>
        <v/>
      </c>
      <c r="G201" s="1418" t="str">
        <f t="shared" ca="1" si="161"/>
        <v/>
      </c>
      <c r="H201" s="3589" t="str">
        <f t="shared" ca="1" si="162"/>
        <v/>
      </c>
      <c r="I201" s="3589" t="str">
        <f t="shared" ca="1" si="163"/>
        <v/>
      </c>
      <c r="J201" s="3590" t="str">
        <f t="shared" ca="1" si="184"/>
        <v/>
      </c>
      <c r="K201" s="1422" t="str">
        <f t="shared" ca="1" si="164"/>
        <v/>
      </c>
      <c r="L201" s="1431" t="str">
        <f t="shared" ca="1" si="185"/>
        <v/>
      </c>
      <c r="M201" s="3591" t="str">
        <f t="shared" ca="1" si="186"/>
        <v/>
      </c>
      <c r="N201" s="3592" t="str">
        <f t="shared" ca="1" si="165"/>
        <v/>
      </c>
      <c r="O201" s="1420" t="e">
        <f ca="1">IF(U201="",IF(Income_RentRollSource="Datappraise/Manual Entry",VLOOKUP($B201,Datappraise_RentRoll,5,FALSE),IF(OR(Income_TechniqueUsed="Direct Capitalization",Income_TechniqueUsed="Direct Cap &amp; DCF"),VLOOKUP('Rent Roll'!S201,'Income Assumptions'!$D$11:$H$19,5,FALSE),VLOOKUP('Rent Roll'!S201,'Income Assumptions'!$D$50:$O$57,6,FALSE))),U201)</f>
        <v>#N/A</v>
      </c>
      <c r="P201" s="3346"/>
      <c r="Q201" s="1377"/>
      <c r="R201" s="652"/>
      <c r="S201" s="2696" t="str">
        <f t="shared" si="166"/>
        <v/>
      </c>
      <c r="T201" s="652"/>
      <c r="U201" s="2696"/>
      <c r="V201" s="652"/>
      <c r="W201" s="2696"/>
      <c r="X201" s="652"/>
      <c r="Y201" s="1580">
        <f t="shared" ca="1" si="167"/>
        <v>0</v>
      </c>
      <c r="Z201" s="1580">
        <f t="shared" ca="1" si="168"/>
        <v>0</v>
      </c>
      <c r="AA201" s="1580">
        <f t="shared" ca="1" si="169"/>
        <v>0</v>
      </c>
      <c r="AB201" s="1580">
        <f t="shared" ca="1" si="170"/>
        <v>0</v>
      </c>
      <c r="AC201" s="1580">
        <f t="shared" ca="1" si="171"/>
        <v>0</v>
      </c>
      <c r="AD201" s="1580">
        <f t="shared" ca="1" si="172"/>
        <v>0</v>
      </c>
      <c r="AE201" s="1580">
        <f t="shared" ca="1" si="173"/>
        <v>0</v>
      </c>
      <c r="AF201" s="1581">
        <f t="shared" ca="1" si="174"/>
        <v>0</v>
      </c>
      <c r="AG201" s="194"/>
      <c r="AH201" s="1579" t="str">
        <f t="shared" ca="1" si="175"/>
        <v/>
      </c>
      <c r="AI201" s="1580" t="str">
        <f t="shared" ca="1" si="176"/>
        <v/>
      </c>
      <c r="AJ201" s="1581" t="str">
        <f t="shared" ca="1" si="177"/>
        <v/>
      </c>
      <c r="AK201" s="194"/>
      <c r="AL201" s="1582">
        <f t="shared" ca="1" si="178"/>
        <v>0</v>
      </c>
      <c r="AM201" s="209"/>
      <c r="AN201" s="1582">
        <f t="shared" ca="1" si="179"/>
        <v>0</v>
      </c>
      <c r="AO201" s="209"/>
      <c r="AP201" s="1582">
        <f t="shared" ca="1" si="180"/>
        <v>0</v>
      </c>
      <c r="AQ201" s="209"/>
      <c r="AR201" s="1582">
        <f t="shared" ca="1" si="181"/>
        <v>0</v>
      </c>
      <c r="AS201" s="194"/>
      <c r="AT201" s="1582">
        <f t="shared" ca="1" si="182"/>
        <v>0</v>
      </c>
      <c r="AU201" s="194"/>
      <c r="AV201" s="194"/>
      <c r="AW201" s="194"/>
      <c r="AX201" s="194"/>
      <c r="AY201" s="194"/>
    </row>
    <row r="202" spans="1:51" s="2699" customFormat="1" ht="18" hidden="1" customHeight="1" x14ac:dyDescent="0.25">
      <c r="A202" s="972">
        <f t="shared" ca="1" si="183"/>
        <v>0</v>
      </c>
      <c r="B202" s="707">
        <f t="shared" si="187"/>
        <v>196</v>
      </c>
      <c r="C202" s="1376"/>
      <c r="D202" s="3346"/>
      <c r="E202" s="3346" t="str">
        <f t="shared" ca="1" si="159"/>
        <v/>
      </c>
      <c r="F202" s="1448" t="str">
        <f t="shared" ca="1" si="160"/>
        <v/>
      </c>
      <c r="G202" s="1418" t="str">
        <f t="shared" ca="1" si="161"/>
        <v/>
      </c>
      <c r="H202" s="3589" t="str">
        <f t="shared" ca="1" si="162"/>
        <v/>
      </c>
      <c r="I202" s="3589" t="str">
        <f t="shared" ca="1" si="163"/>
        <v/>
      </c>
      <c r="J202" s="3590" t="str">
        <f t="shared" ca="1" si="184"/>
        <v/>
      </c>
      <c r="K202" s="1422" t="str">
        <f t="shared" ca="1" si="164"/>
        <v/>
      </c>
      <c r="L202" s="1431" t="str">
        <f t="shared" ca="1" si="185"/>
        <v/>
      </c>
      <c r="M202" s="3591" t="str">
        <f t="shared" ca="1" si="186"/>
        <v/>
      </c>
      <c r="N202" s="3592" t="str">
        <f t="shared" ca="1" si="165"/>
        <v/>
      </c>
      <c r="O202" s="1420" t="e">
        <f ca="1">IF(U202="",IF(Income_RentRollSource="Datappraise/Manual Entry",VLOOKUP($B202,Datappraise_RentRoll,5,FALSE),IF(OR(Income_TechniqueUsed="Direct Capitalization",Income_TechniqueUsed="Direct Cap &amp; DCF"),VLOOKUP('Rent Roll'!S202,'Income Assumptions'!$D$11:$H$19,5,FALSE),VLOOKUP('Rent Roll'!S202,'Income Assumptions'!$D$50:$O$57,6,FALSE))),U202)</f>
        <v>#N/A</v>
      </c>
      <c r="P202" s="3346"/>
      <c r="Q202" s="1377"/>
      <c r="R202" s="652"/>
      <c r="S202" s="2696" t="str">
        <f t="shared" si="166"/>
        <v/>
      </c>
      <c r="T202" s="652"/>
      <c r="U202" s="2696"/>
      <c r="V202" s="652"/>
      <c r="W202" s="2696"/>
      <c r="X202" s="652"/>
      <c r="Y202" s="1580">
        <f t="shared" ca="1" si="167"/>
        <v>0</v>
      </c>
      <c r="Z202" s="1580">
        <f t="shared" ca="1" si="168"/>
        <v>0</v>
      </c>
      <c r="AA202" s="1580">
        <f t="shared" ca="1" si="169"/>
        <v>0</v>
      </c>
      <c r="AB202" s="1580">
        <f t="shared" ca="1" si="170"/>
        <v>0</v>
      </c>
      <c r="AC202" s="1580">
        <f t="shared" ca="1" si="171"/>
        <v>0</v>
      </c>
      <c r="AD202" s="1580">
        <f t="shared" ca="1" si="172"/>
        <v>0</v>
      </c>
      <c r="AE202" s="1580">
        <f t="shared" ca="1" si="173"/>
        <v>0</v>
      </c>
      <c r="AF202" s="1581">
        <f t="shared" ca="1" si="174"/>
        <v>0</v>
      </c>
      <c r="AG202" s="194"/>
      <c r="AH202" s="1579" t="str">
        <f t="shared" ca="1" si="175"/>
        <v/>
      </c>
      <c r="AI202" s="1580" t="str">
        <f t="shared" ca="1" si="176"/>
        <v/>
      </c>
      <c r="AJ202" s="1581" t="str">
        <f t="shared" ca="1" si="177"/>
        <v/>
      </c>
      <c r="AK202" s="194"/>
      <c r="AL202" s="1582">
        <f t="shared" ca="1" si="178"/>
        <v>0</v>
      </c>
      <c r="AM202" s="209"/>
      <c r="AN202" s="1582">
        <f t="shared" ca="1" si="179"/>
        <v>0</v>
      </c>
      <c r="AO202" s="209"/>
      <c r="AP202" s="1582">
        <f t="shared" ca="1" si="180"/>
        <v>0</v>
      </c>
      <c r="AQ202" s="209"/>
      <c r="AR202" s="1582">
        <f t="shared" ca="1" si="181"/>
        <v>0</v>
      </c>
      <c r="AS202" s="194"/>
      <c r="AT202" s="1582">
        <f t="shared" ca="1" si="182"/>
        <v>0</v>
      </c>
      <c r="AU202" s="194"/>
      <c r="AV202" s="194"/>
      <c r="AW202" s="194"/>
      <c r="AX202" s="194"/>
      <c r="AY202" s="194"/>
    </row>
    <row r="203" spans="1:51" s="2699" customFormat="1" ht="18" hidden="1" customHeight="1" x14ac:dyDescent="0.25">
      <c r="A203" s="972">
        <f t="shared" ca="1" si="183"/>
        <v>0</v>
      </c>
      <c r="B203" s="707">
        <f t="shared" si="187"/>
        <v>197</v>
      </c>
      <c r="C203" s="1376"/>
      <c r="D203" s="3346"/>
      <c r="E203" s="3346" t="str">
        <f t="shared" ca="1" si="159"/>
        <v/>
      </c>
      <c r="F203" s="1448" t="str">
        <f t="shared" ca="1" si="160"/>
        <v/>
      </c>
      <c r="G203" s="1418" t="str">
        <f t="shared" ca="1" si="161"/>
        <v/>
      </c>
      <c r="H203" s="3589" t="str">
        <f t="shared" ca="1" si="162"/>
        <v/>
      </c>
      <c r="I203" s="3589" t="str">
        <f t="shared" ca="1" si="163"/>
        <v/>
      </c>
      <c r="J203" s="3590" t="str">
        <f t="shared" ca="1" si="184"/>
        <v/>
      </c>
      <c r="K203" s="1422" t="str">
        <f t="shared" ca="1" si="164"/>
        <v/>
      </c>
      <c r="L203" s="1431" t="str">
        <f t="shared" ca="1" si="185"/>
        <v/>
      </c>
      <c r="M203" s="3591" t="str">
        <f t="shared" ca="1" si="186"/>
        <v/>
      </c>
      <c r="N203" s="3592" t="str">
        <f t="shared" ca="1" si="165"/>
        <v/>
      </c>
      <c r="O203" s="1420" t="e">
        <f ca="1">IF(U203="",IF(Income_RentRollSource="Datappraise/Manual Entry",VLOOKUP($B203,Datappraise_RentRoll,5,FALSE),IF(OR(Income_TechniqueUsed="Direct Capitalization",Income_TechniqueUsed="Direct Cap &amp; DCF"),VLOOKUP('Rent Roll'!S203,'Income Assumptions'!$D$11:$H$19,5,FALSE),VLOOKUP('Rent Roll'!S203,'Income Assumptions'!$D$50:$O$57,6,FALSE))),U203)</f>
        <v>#N/A</v>
      </c>
      <c r="P203" s="3346"/>
      <c r="Q203" s="1377"/>
      <c r="R203" s="652"/>
      <c r="S203" s="2696" t="str">
        <f t="shared" si="166"/>
        <v/>
      </c>
      <c r="T203" s="652"/>
      <c r="U203" s="2696"/>
      <c r="V203" s="652"/>
      <c r="W203" s="2696"/>
      <c r="X203" s="652"/>
      <c r="Y203" s="1580">
        <f t="shared" ca="1" si="167"/>
        <v>0</v>
      </c>
      <c r="Z203" s="1580">
        <f t="shared" ca="1" si="168"/>
        <v>0</v>
      </c>
      <c r="AA203" s="1580">
        <f t="shared" ca="1" si="169"/>
        <v>0</v>
      </c>
      <c r="AB203" s="1580">
        <f t="shared" ca="1" si="170"/>
        <v>0</v>
      </c>
      <c r="AC203" s="1580">
        <f t="shared" ca="1" si="171"/>
        <v>0</v>
      </c>
      <c r="AD203" s="1580">
        <f t="shared" ca="1" si="172"/>
        <v>0</v>
      </c>
      <c r="AE203" s="1580">
        <f t="shared" ca="1" si="173"/>
        <v>0</v>
      </c>
      <c r="AF203" s="1581">
        <f t="shared" ca="1" si="174"/>
        <v>0</v>
      </c>
      <c r="AG203" s="194"/>
      <c r="AH203" s="1579" t="str">
        <f t="shared" ca="1" si="175"/>
        <v/>
      </c>
      <c r="AI203" s="1580" t="str">
        <f t="shared" ca="1" si="176"/>
        <v/>
      </c>
      <c r="AJ203" s="1581" t="str">
        <f t="shared" ca="1" si="177"/>
        <v/>
      </c>
      <c r="AK203" s="194"/>
      <c r="AL203" s="1582">
        <f t="shared" ca="1" si="178"/>
        <v>0</v>
      </c>
      <c r="AM203" s="209"/>
      <c r="AN203" s="1582">
        <f t="shared" ca="1" si="179"/>
        <v>0</v>
      </c>
      <c r="AO203" s="209"/>
      <c r="AP203" s="1582">
        <f t="shared" ca="1" si="180"/>
        <v>0</v>
      </c>
      <c r="AQ203" s="209"/>
      <c r="AR203" s="1582">
        <f t="shared" ca="1" si="181"/>
        <v>0</v>
      </c>
      <c r="AS203" s="194"/>
      <c r="AT203" s="1582">
        <f t="shared" ca="1" si="182"/>
        <v>0</v>
      </c>
      <c r="AU203" s="194"/>
      <c r="AV203" s="194"/>
      <c r="AW203" s="194"/>
      <c r="AX203" s="194"/>
      <c r="AY203" s="194"/>
    </row>
    <row r="204" spans="1:51" s="2699" customFormat="1" ht="18" hidden="1" customHeight="1" x14ac:dyDescent="0.25">
      <c r="A204" s="972">
        <f t="shared" ca="1" si="183"/>
        <v>0</v>
      </c>
      <c r="B204" s="707">
        <f t="shared" si="187"/>
        <v>198</v>
      </c>
      <c r="C204" s="1376"/>
      <c r="D204" s="3346"/>
      <c r="E204" s="3346" t="str">
        <f t="shared" ca="1" si="159"/>
        <v/>
      </c>
      <c r="F204" s="1448" t="str">
        <f t="shared" ca="1" si="160"/>
        <v/>
      </c>
      <c r="G204" s="1418" t="str">
        <f t="shared" ca="1" si="161"/>
        <v/>
      </c>
      <c r="H204" s="3589" t="str">
        <f t="shared" ca="1" si="162"/>
        <v/>
      </c>
      <c r="I204" s="3589" t="str">
        <f t="shared" ca="1" si="163"/>
        <v/>
      </c>
      <c r="J204" s="3590" t="str">
        <f t="shared" ca="1" si="184"/>
        <v/>
      </c>
      <c r="K204" s="1422" t="str">
        <f t="shared" ca="1" si="164"/>
        <v/>
      </c>
      <c r="L204" s="1431" t="str">
        <f t="shared" ca="1" si="185"/>
        <v/>
      </c>
      <c r="M204" s="3591" t="str">
        <f t="shared" ca="1" si="186"/>
        <v/>
      </c>
      <c r="N204" s="3592" t="str">
        <f t="shared" ca="1" si="165"/>
        <v/>
      </c>
      <c r="O204" s="1420" t="e">
        <f ca="1">IF(U204="",IF(Income_RentRollSource="Datappraise/Manual Entry",VLOOKUP($B204,Datappraise_RentRoll,5,FALSE),IF(OR(Income_TechniqueUsed="Direct Capitalization",Income_TechniqueUsed="Direct Cap &amp; DCF"),VLOOKUP('Rent Roll'!S204,'Income Assumptions'!$D$11:$H$19,5,FALSE),VLOOKUP('Rent Roll'!S204,'Income Assumptions'!$D$50:$O$57,6,FALSE))),U204)</f>
        <v>#N/A</v>
      </c>
      <c r="P204" s="3346"/>
      <c r="Q204" s="1377"/>
      <c r="R204" s="652"/>
      <c r="S204" s="2696" t="str">
        <f t="shared" si="166"/>
        <v/>
      </c>
      <c r="T204" s="652"/>
      <c r="U204" s="2696"/>
      <c r="V204" s="652"/>
      <c r="W204" s="2696"/>
      <c r="X204" s="652"/>
      <c r="Y204" s="1580">
        <f t="shared" ca="1" si="167"/>
        <v>0</v>
      </c>
      <c r="Z204" s="1580">
        <f t="shared" ca="1" si="168"/>
        <v>0</v>
      </c>
      <c r="AA204" s="1580">
        <f t="shared" ca="1" si="169"/>
        <v>0</v>
      </c>
      <c r="AB204" s="1580">
        <f t="shared" ca="1" si="170"/>
        <v>0</v>
      </c>
      <c r="AC204" s="1580">
        <f t="shared" ca="1" si="171"/>
        <v>0</v>
      </c>
      <c r="AD204" s="1580">
        <f t="shared" ca="1" si="172"/>
        <v>0</v>
      </c>
      <c r="AE204" s="1580">
        <f t="shared" ca="1" si="173"/>
        <v>0</v>
      </c>
      <c r="AF204" s="1581">
        <f t="shared" ca="1" si="174"/>
        <v>0</v>
      </c>
      <c r="AG204" s="194"/>
      <c r="AH204" s="1579" t="str">
        <f t="shared" ca="1" si="175"/>
        <v/>
      </c>
      <c r="AI204" s="1580" t="str">
        <f t="shared" ca="1" si="176"/>
        <v/>
      </c>
      <c r="AJ204" s="1581" t="str">
        <f t="shared" ca="1" si="177"/>
        <v/>
      </c>
      <c r="AK204" s="194"/>
      <c r="AL204" s="1582">
        <f t="shared" ca="1" si="178"/>
        <v>0</v>
      </c>
      <c r="AM204" s="209"/>
      <c r="AN204" s="1582">
        <f t="shared" ca="1" si="179"/>
        <v>0</v>
      </c>
      <c r="AO204" s="209"/>
      <c r="AP204" s="1582">
        <f t="shared" ca="1" si="180"/>
        <v>0</v>
      </c>
      <c r="AQ204" s="209"/>
      <c r="AR204" s="1582">
        <f t="shared" ca="1" si="181"/>
        <v>0</v>
      </c>
      <c r="AS204" s="194"/>
      <c r="AT204" s="1582">
        <f t="shared" ca="1" si="182"/>
        <v>0</v>
      </c>
      <c r="AU204" s="194"/>
      <c r="AV204" s="194"/>
      <c r="AW204" s="194"/>
      <c r="AX204" s="194"/>
      <c r="AY204" s="194"/>
    </row>
    <row r="205" spans="1:51" s="2699" customFormat="1" ht="18" hidden="1" customHeight="1" x14ac:dyDescent="0.25">
      <c r="A205" s="972">
        <f t="shared" ca="1" si="183"/>
        <v>0</v>
      </c>
      <c r="B205" s="707">
        <f t="shared" si="187"/>
        <v>199</v>
      </c>
      <c r="C205" s="1376"/>
      <c r="D205" s="3346"/>
      <c r="E205" s="3346" t="str">
        <f t="shared" ca="1" si="159"/>
        <v/>
      </c>
      <c r="F205" s="1448" t="str">
        <f t="shared" ca="1" si="160"/>
        <v/>
      </c>
      <c r="G205" s="1418" t="str">
        <f t="shared" ca="1" si="161"/>
        <v/>
      </c>
      <c r="H205" s="3589" t="str">
        <f t="shared" ca="1" si="162"/>
        <v/>
      </c>
      <c r="I205" s="3589" t="str">
        <f t="shared" ca="1" si="163"/>
        <v/>
      </c>
      <c r="J205" s="3590" t="str">
        <f t="shared" ca="1" si="184"/>
        <v/>
      </c>
      <c r="K205" s="1422" t="str">
        <f t="shared" ca="1" si="164"/>
        <v/>
      </c>
      <c r="L205" s="1431" t="str">
        <f t="shared" ca="1" si="185"/>
        <v/>
      </c>
      <c r="M205" s="3591" t="str">
        <f t="shared" ca="1" si="186"/>
        <v/>
      </c>
      <c r="N205" s="3592" t="str">
        <f t="shared" ca="1" si="165"/>
        <v/>
      </c>
      <c r="O205" s="1420" t="e">
        <f ca="1">IF(U205="",IF(Income_RentRollSource="Datappraise/Manual Entry",VLOOKUP($B205,Datappraise_RentRoll,5,FALSE),IF(OR(Income_TechniqueUsed="Direct Capitalization",Income_TechniqueUsed="Direct Cap &amp; DCF"),VLOOKUP('Rent Roll'!S205,'Income Assumptions'!$D$11:$H$19,5,FALSE),VLOOKUP('Rent Roll'!S205,'Income Assumptions'!$D$50:$O$57,6,FALSE))),U205)</f>
        <v>#N/A</v>
      </c>
      <c r="P205" s="3346"/>
      <c r="Q205" s="1377"/>
      <c r="R205" s="652"/>
      <c r="S205" s="2696" t="str">
        <f t="shared" si="166"/>
        <v/>
      </c>
      <c r="T205" s="652"/>
      <c r="U205" s="2696"/>
      <c r="V205" s="652"/>
      <c r="W205" s="2696"/>
      <c r="X205" s="652"/>
      <c r="Y205" s="1580">
        <f t="shared" ca="1" si="167"/>
        <v>0</v>
      </c>
      <c r="Z205" s="1580">
        <f t="shared" ca="1" si="168"/>
        <v>0</v>
      </c>
      <c r="AA205" s="1580">
        <f t="shared" ca="1" si="169"/>
        <v>0</v>
      </c>
      <c r="AB205" s="1580">
        <f t="shared" ca="1" si="170"/>
        <v>0</v>
      </c>
      <c r="AC205" s="1580">
        <f t="shared" ca="1" si="171"/>
        <v>0</v>
      </c>
      <c r="AD205" s="1580">
        <f t="shared" ca="1" si="172"/>
        <v>0</v>
      </c>
      <c r="AE205" s="1580">
        <f t="shared" ca="1" si="173"/>
        <v>0</v>
      </c>
      <c r="AF205" s="1581">
        <f t="shared" ca="1" si="174"/>
        <v>0</v>
      </c>
      <c r="AG205" s="194"/>
      <c r="AH205" s="1579" t="str">
        <f t="shared" ca="1" si="175"/>
        <v/>
      </c>
      <c r="AI205" s="1580" t="str">
        <f t="shared" ca="1" si="176"/>
        <v/>
      </c>
      <c r="AJ205" s="1581" t="str">
        <f t="shared" ca="1" si="177"/>
        <v/>
      </c>
      <c r="AK205" s="194"/>
      <c r="AL205" s="1582">
        <f t="shared" ca="1" si="178"/>
        <v>0</v>
      </c>
      <c r="AM205" s="209"/>
      <c r="AN205" s="1582">
        <f t="shared" ca="1" si="179"/>
        <v>0</v>
      </c>
      <c r="AO205" s="209"/>
      <c r="AP205" s="1582">
        <f t="shared" ca="1" si="180"/>
        <v>0</v>
      </c>
      <c r="AQ205" s="209"/>
      <c r="AR205" s="1582">
        <f t="shared" ca="1" si="181"/>
        <v>0</v>
      </c>
      <c r="AS205" s="194"/>
      <c r="AT205" s="1582">
        <f t="shared" ca="1" si="182"/>
        <v>0</v>
      </c>
      <c r="AU205" s="194"/>
      <c r="AV205" s="194"/>
      <c r="AW205" s="194"/>
      <c r="AX205" s="194"/>
      <c r="AY205" s="194"/>
    </row>
    <row r="206" spans="1:51" s="2699" customFormat="1" ht="18" hidden="1" customHeight="1" thickBot="1" x14ac:dyDescent="0.3">
      <c r="A206" s="972">
        <f t="shared" ca="1" si="183"/>
        <v>0</v>
      </c>
      <c r="B206" s="707">
        <f t="shared" si="187"/>
        <v>200</v>
      </c>
      <c r="C206" s="1376"/>
      <c r="D206" s="3346"/>
      <c r="E206" s="3593" t="str">
        <f t="shared" ca="1" si="159"/>
        <v/>
      </c>
      <c r="F206" s="1448" t="str">
        <f t="shared" ca="1" si="160"/>
        <v/>
      </c>
      <c r="G206" s="1418" t="str">
        <f t="shared" ca="1" si="161"/>
        <v/>
      </c>
      <c r="H206" s="3594" t="str">
        <f t="shared" ca="1" si="162"/>
        <v/>
      </c>
      <c r="I206" s="3594" t="str">
        <f t="shared" ca="1" si="163"/>
        <v/>
      </c>
      <c r="J206" s="3595" t="str">
        <f t="shared" ca="1" si="184"/>
        <v/>
      </c>
      <c r="K206" s="3596" t="str">
        <f t="shared" ca="1" si="164"/>
        <v/>
      </c>
      <c r="L206" s="3597" t="str">
        <f t="shared" ca="1" si="185"/>
        <v/>
      </c>
      <c r="M206" s="3598" t="str">
        <f t="shared" ca="1" si="186"/>
        <v/>
      </c>
      <c r="N206" s="3592" t="str">
        <f t="shared" ca="1" si="165"/>
        <v/>
      </c>
      <c r="O206" s="3599" t="e">
        <f ca="1">IF(U206="",IF(Income_RentRollSource="Datappraise/Manual Entry",VLOOKUP($B206,Datappraise_RentRoll,5,FALSE),IF(OR(Income_TechniqueUsed="Direct Capitalization",Income_TechniqueUsed="Direct Cap &amp; DCF"),VLOOKUP('Rent Roll'!S206,'Income Assumptions'!$D$11:$H$19,5,FALSE),VLOOKUP('Rent Roll'!S206,'Income Assumptions'!$D$50:$O$57,6,FALSE))),U206)</f>
        <v>#N/A</v>
      </c>
      <c r="P206" s="3346"/>
      <c r="Q206" s="1377"/>
      <c r="R206" s="652"/>
      <c r="S206" s="2697" t="str">
        <f t="shared" si="166"/>
        <v/>
      </c>
      <c r="T206" s="652"/>
      <c r="U206" s="2697"/>
      <c r="V206" s="652"/>
      <c r="W206" s="2697"/>
      <c r="X206" s="652"/>
      <c r="Y206" s="1584">
        <f t="shared" ca="1" si="167"/>
        <v>0</v>
      </c>
      <c r="Z206" s="1584">
        <f t="shared" ca="1" si="168"/>
        <v>0</v>
      </c>
      <c r="AA206" s="1584">
        <f t="shared" ca="1" si="169"/>
        <v>0</v>
      </c>
      <c r="AB206" s="1584">
        <f t="shared" ca="1" si="170"/>
        <v>0</v>
      </c>
      <c r="AC206" s="1584">
        <f t="shared" ca="1" si="171"/>
        <v>0</v>
      </c>
      <c r="AD206" s="1584">
        <f t="shared" ca="1" si="172"/>
        <v>0</v>
      </c>
      <c r="AE206" s="1584">
        <f t="shared" ca="1" si="173"/>
        <v>0</v>
      </c>
      <c r="AF206" s="1585">
        <f t="shared" ca="1" si="174"/>
        <v>0</v>
      </c>
      <c r="AG206" s="194"/>
      <c r="AH206" s="1583" t="str">
        <f t="shared" ca="1" si="175"/>
        <v/>
      </c>
      <c r="AI206" s="1580" t="str">
        <f t="shared" ca="1" si="176"/>
        <v/>
      </c>
      <c r="AJ206" s="1585" t="str">
        <f t="shared" ca="1" si="177"/>
        <v/>
      </c>
      <c r="AK206" s="194"/>
      <c r="AL206" s="1586">
        <f t="shared" ca="1" si="178"/>
        <v>0</v>
      </c>
      <c r="AM206" s="209"/>
      <c r="AN206" s="1586">
        <f t="shared" ca="1" si="179"/>
        <v>0</v>
      </c>
      <c r="AO206" s="209"/>
      <c r="AP206" s="1586">
        <f t="shared" ca="1" si="180"/>
        <v>0</v>
      </c>
      <c r="AQ206" s="209"/>
      <c r="AR206" s="1586">
        <f t="shared" ca="1" si="181"/>
        <v>0</v>
      </c>
      <c r="AS206" s="194"/>
      <c r="AT206" s="1586">
        <f t="shared" ca="1" si="182"/>
        <v>0</v>
      </c>
      <c r="AU206" s="194"/>
      <c r="AV206" s="194"/>
      <c r="AW206" s="194"/>
      <c r="AX206" s="194"/>
      <c r="AY206" s="194"/>
    </row>
    <row r="207" spans="1:51" s="2699" customFormat="1" ht="18" customHeight="1" thickBot="1" x14ac:dyDescent="0.3">
      <c r="A207" s="972">
        <v>1</v>
      </c>
      <c r="B207" s="243"/>
      <c r="C207" s="1376"/>
      <c r="D207" s="3346"/>
      <c r="E207" s="3600" t="s">
        <v>1539</v>
      </c>
      <c r="F207" s="3601"/>
      <c r="G207" s="3602"/>
      <c r="H207" s="3603"/>
      <c r="I207" s="3603" t="e">
        <f ca="1">dpIncome_RentRoll_DOV+(dpIncome_Lease_AvgRemTerm*365)</f>
        <v>#VALUE!</v>
      </c>
      <c r="J207" s="3604" t="str">
        <f ca="1">IF(ISERR(AVERAGE(J7:J206)),"",SUMPRODUCT(J7:J206,K7:K206)/AJ216)</f>
        <v/>
      </c>
      <c r="K207" s="3605">
        <f ca="1">SUMIF($E$7:$E$206,"&lt;&gt;*vacant*",K7:K206)</f>
        <v>14708</v>
      </c>
      <c r="L207" s="3606">
        <f ca="1">IF(ISERR(K207/$K$216),0,K207/$K$216)</f>
        <v>0</v>
      </c>
      <c r="M207" s="3607" t="e">
        <f ca="1">IF(Income_RentRollSource="No Rent Roll",1-dpIncome_VacancyActual,SUM(M7:M206))</f>
        <v>#VALUE!</v>
      </c>
      <c r="N207" s="3608">
        <f ca="1">SUMPRODUCT(K7:K206,N7:N206)/K207</f>
        <v>7.5003940712537398</v>
      </c>
      <c r="O207" s="3609" t="str">
        <f t="array" aca="1" ref="O207" ca="1">IFERROR(INDEX($O$7:$O$206,MODE(IF(ISERROR($O$7:$O$206)=FALSE,MATCH($O$7:$O$206,$O$7:$O$206,0)))),O7)</f>
        <v>Triple Net</v>
      </c>
      <c r="P207" s="3346"/>
      <c r="Q207" s="1377"/>
      <c r="R207" s="652"/>
      <c r="S207" s="1587"/>
      <c r="T207" s="652"/>
      <c r="U207" s="1587"/>
      <c r="V207" s="626"/>
      <c r="W207" s="1587"/>
      <c r="X207" s="652"/>
      <c r="Y207" s="1588"/>
      <c r="Z207" s="1589"/>
      <c r="AA207" s="1589"/>
      <c r="AB207" s="1589"/>
      <c r="AC207" s="1589"/>
      <c r="AD207" s="1589"/>
      <c r="AE207" s="1589"/>
      <c r="AF207" s="1589"/>
      <c r="AG207" s="194"/>
      <c r="AH207" s="1589"/>
      <c r="AI207" s="1589"/>
      <c r="AJ207" s="1589"/>
      <c r="AK207" s="194"/>
      <c r="AL207" s="1589"/>
      <c r="AM207" s="209"/>
      <c r="AN207" s="1589"/>
      <c r="AO207" s="209"/>
      <c r="AP207" s="1589"/>
      <c r="AQ207" s="209"/>
      <c r="AR207" s="1589"/>
      <c r="AS207" s="194"/>
      <c r="AT207" s="1589"/>
      <c r="AU207" s="194"/>
      <c r="AV207" s="194"/>
      <c r="AW207" s="194"/>
      <c r="AX207" s="194"/>
      <c r="AY207" s="194"/>
    </row>
    <row r="208" spans="1:51" s="2699" customFormat="1" ht="18" hidden="1" customHeight="1" thickBot="1" x14ac:dyDescent="0.3">
      <c r="A208" s="972">
        <f ca="1">IF(K208=0,0,1)</f>
        <v>0</v>
      </c>
      <c r="B208" s="243"/>
      <c r="C208" s="1376"/>
      <c r="D208" s="3346"/>
      <c r="E208" s="3346" t="str">
        <f>CONCATENATE("Vacant ",Income_TCat1)</f>
        <v>Vacant Industrial Office/Warehouse</v>
      </c>
      <c r="F208" s="1448"/>
      <c r="G208" s="1420"/>
      <c r="H208" s="3589"/>
      <c r="I208" s="3589"/>
      <c r="J208" s="3590"/>
      <c r="K208" s="1422">
        <f ca="1">SUMIFS($K$7:$K$206,$E$7:$E$206,"*vacant*",$S$7:$S$206,Income_TCat1)</f>
        <v>0</v>
      </c>
      <c r="L208" s="1431" t="e">
        <f ca="1">K208/$K$216</f>
        <v>#VALUE!</v>
      </c>
      <c r="M208" s="1431"/>
      <c r="N208" s="3592">
        <f>Income_TCat1_MarketRent</f>
        <v>16</v>
      </c>
      <c r="O208" s="1420" t="str">
        <f>Income_TCat1_LeaseStructure</f>
        <v>Triple Net</v>
      </c>
      <c r="P208" s="3346"/>
      <c r="Q208" s="1377"/>
      <c r="R208" s="652"/>
      <c r="S208" s="652"/>
      <c r="T208" s="652"/>
      <c r="U208" s="626"/>
      <c r="V208" s="626"/>
      <c r="W208" s="626"/>
      <c r="X208" s="652"/>
      <c r="Y208" s="1591">
        <f ca="1">IF($K208&gt;0,1,0)</f>
        <v>0</v>
      </c>
      <c r="Z208" s="1592"/>
      <c r="AA208" s="1590"/>
      <c r="AB208" s="1590"/>
      <c r="AC208" s="1590"/>
      <c r="AD208" s="1590"/>
      <c r="AE208" s="1590"/>
      <c r="AF208" s="1590"/>
      <c r="AG208" s="194"/>
      <c r="AH208" s="1590"/>
      <c r="AI208" s="1590"/>
      <c r="AJ208" s="1590"/>
      <c r="AK208" s="194"/>
      <c r="AL208" s="1590"/>
      <c r="AM208" s="209"/>
      <c r="AN208" s="1590"/>
      <c r="AO208" s="209"/>
      <c r="AP208" s="1590"/>
      <c r="AQ208" s="209"/>
      <c r="AR208" s="1590"/>
      <c r="AS208" s="194"/>
      <c r="AT208" s="1590"/>
      <c r="AU208" s="194"/>
      <c r="AV208" s="194"/>
      <c r="AW208" s="194"/>
      <c r="AX208" s="194"/>
      <c r="AY208" s="194"/>
    </row>
    <row r="209" spans="1:51" s="2699" customFormat="1" ht="18" hidden="1" customHeight="1" thickBot="1" x14ac:dyDescent="0.3">
      <c r="A209" s="972">
        <f t="shared" ref="A209:A215" ca="1" si="188">IF(K209=0,0,1)</f>
        <v>0</v>
      </c>
      <c r="B209" s="243"/>
      <c r="C209" s="1376"/>
      <c r="D209" s="3346"/>
      <c r="E209" s="3346" t="str">
        <f>CONCATENATE("Vacant ",Income_TCat2)</f>
        <v>Vacant Land Storage</v>
      </c>
      <c r="F209" s="1448"/>
      <c r="G209" s="1420"/>
      <c r="H209" s="3589"/>
      <c r="I209" s="3589"/>
      <c r="J209" s="3590"/>
      <c r="K209" s="1422">
        <f ca="1">SUMIFS($K$7:$K$206,$E$7:$E$206,"*vacant*",$S$7:$S$206,Income_TCat2)</f>
        <v>0</v>
      </c>
      <c r="L209" s="1431" t="e">
        <f t="shared" ref="L209:L215" ca="1" si="189">K209/$K$216</f>
        <v>#VALUE!</v>
      </c>
      <c r="M209" s="1431"/>
      <c r="N209" s="3592">
        <f>Income_TCat2_MarketRent</f>
        <v>1.5</v>
      </c>
      <c r="O209" s="1420" t="str">
        <f>Income_TCat2_LeaseStructure</f>
        <v>Triple Net</v>
      </c>
      <c r="P209" s="3346"/>
      <c r="Q209" s="1377"/>
      <c r="R209" s="652"/>
      <c r="S209" s="652"/>
      <c r="T209" s="652"/>
      <c r="U209" s="626"/>
      <c r="V209" s="626"/>
      <c r="W209" s="626"/>
      <c r="X209" s="652"/>
      <c r="Y209" s="1590"/>
      <c r="Z209" s="1591">
        <f ca="1">IF($K209&gt;0,1,0)</f>
        <v>0</v>
      </c>
      <c r="AA209" s="1590"/>
      <c r="AB209" s="1590"/>
      <c r="AC209" s="1590"/>
      <c r="AD209" s="1590"/>
      <c r="AE209" s="1590"/>
      <c r="AF209" s="1590"/>
      <c r="AG209" s="194"/>
      <c r="AH209" s="1590"/>
      <c r="AI209" s="1590"/>
      <c r="AJ209" s="1590"/>
      <c r="AK209" s="194"/>
      <c r="AL209" s="1590"/>
      <c r="AM209" s="209"/>
      <c r="AN209" s="1590"/>
      <c r="AO209" s="209"/>
      <c r="AP209" s="1590"/>
      <c r="AQ209" s="209"/>
      <c r="AR209" s="1590"/>
      <c r="AS209" s="194"/>
      <c r="AT209" s="1590"/>
      <c r="AU209" s="194"/>
      <c r="AV209" s="194"/>
      <c r="AW209" s="194"/>
      <c r="AX209" s="194"/>
      <c r="AY209" s="194"/>
    </row>
    <row r="210" spans="1:51" s="2699" customFormat="1" ht="18" hidden="1" customHeight="1" thickBot="1" x14ac:dyDescent="0.3">
      <c r="A210" s="972">
        <f t="shared" ca="1" si="188"/>
        <v>0</v>
      </c>
      <c r="B210" s="243"/>
      <c r="C210" s="1376"/>
      <c r="D210" s="3346"/>
      <c r="E210" s="3346" t="str">
        <f>CONCATENATE("Vacant ",Income_TCat3)</f>
        <v xml:space="preserve">Vacant </v>
      </c>
      <c r="F210" s="1448"/>
      <c r="G210" s="1420"/>
      <c r="H210" s="3589"/>
      <c r="I210" s="3589"/>
      <c r="J210" s="3590"/>
      <c r="K210" s="1422">
        <f ca="1">SUMIFS($K$7:$K$206,$E$7:$E$206,"*vacant*",$S$7:$S$206,Income_TCat3)</f>
        <v>0</v>
      </c>
      <c r="L210" s="1431" t="e">
        <f t="shared" ca="1" si="189"/>
        <v>#VALUE!</v>
      </c>
      <c r="M210" s="1431"/>
      <c r="N210" s="3592">
        <f>Income_TCat3_MarketRent</f>
        <v>0</v>
      </c>
      <c r="O210" s="1420">
        <f>Income_TCat3_LeaseStructure</f>
        <v>0</v>
      </c>
      <c r="P210" s="3346"/>
      <c r="Q210" s="1377"/>
      <c r="R210" s="652"/>
      <c r="S210" s="652"/>
      <c r="T210" s="652"/>
      <c r="U210" s="626"/>
      <c r="V210" s="626"/>
      <c r="W210" s="626"/>
      <c r="X210" s="652"/>
      <c r="Y210" s="1590"/>
      <c r="Z210" s="1590"/>
      <c r="AA210" s="1591">
        <f ca="1">IF($K210&gt;0,1,0)</f>
        <v>0</v>
      </c>
      <c r="AB210" s="1590"/>
      <c r="AC210" s="1590"/>
      <c r="AD210" s="1590"/>
      <c r="AE210" s="1590"/>
      <c r="AF210" s="1590"/>
      <c r="AG210" s="194"/>
      <c r="AH210" s="1590"/>
      <c r="AI210" s="1590"/>
      <c r="AJ210" s="1590"/>
      <c r="AK210" s="194"/>
      <c r="AL210" s="1590"/>
      <c r="AM210" s="209"/>
      <c r="AN210" s="1590"/>
      <c r="AO210" s="209"/>
      <c r="AP210" s="1590"/>
      <c r="AQ210" s="209"/>
      <c r="AR210" s="1590"/>
      <c r="AS210" s="194"/>
      <c r="AT210" s="1590"/>
      <c r="AU210" s="194"/>
      <c r="AV210" s="194"/>
      <c r="AW210" s="194"/>
      <c r="AX210" s="194"/>
      <c r="AY210" s="194"/>
    </row>
    <row r="211" spans="1:51" s="2699" customFormat="1" ht="18" hidden="1" customHeight="1" thickBot="1" x14ac:dyDescent="0.3">
      <c r="A211" s="972">
        <f t="shared" ca="1" si="188"/>
        <v>0</v>
      </c>
      <c r="B211" s="243"/>
      <c r="C211" s="1376"/>
      <c r="D211" s="3346"/>
      <c r="E211" s="3346" t="str">
        <f>CONCATENATE("Vacant ",Income_TCat4)</f>
        <v xml:space="preserve">Vacant </v>
      </c>
      <c r="F211" s="1448"/>
      <c r="G211" s="1420"/>
      <c r="H211" s="3589"/>
      <c r="I211" s="3589"/>
      <c r="J211" s="3590"/>
      <c r="K211" s="1422">
        <f ca="1">SUMIFS($K$7:$K$206,$E$7:$E$206,"*vacant*",$S$7:$S$206,Income_TCat4)</f>
        <v>0</v>
      </c>
      <c r="L211" s="1431" t="e">
        <f t="shared" ca="1" si="189"/>
        <v>#VALUE!</v>
      </c>
      <c r="M211" s="1431"/>
      <c r="N211" s="3592">
        <f>Income_TCat4_MarketRent</f>
        <v>0</v>
      </c>
      <c r="O211" s="1420">
        <f>Income_TCat4_LeaseStructure</f>
        <v>0</v>
      </c>
      <c r="P211" s="3346"/>
      <c r="Q211" s="1377"/>
      <c r="R211" s="652"/>
      <c r="S211" s="652"/>
      <c r="T211" s="652"/>
      <c r="U211" s="626"/>
      <c r="V211" s="626"/>
      <c r="W211" s="626"/>
      <c r="X211" s="652"/>
      <c r="Y211" s="1590"/>
      <c r="Z211" s="1590"/>
      <c r="AA211" s="1590"/>
      <c r="AB211" s="1591">
        <f ca="1">IF($K211&gt;0,1,0)</f>
        <v>0</v>
      </c>
      <c r="AC211" s="1590"/>
      <c r="AD211" s="1590"/>
      <c r="AE211" s="1590"/>
      <c r="AF211" s="1590"/>
      <c r="AG211" s="194"/>
      <c r="AH211" s="1590"/>
      <c r="AI211" s="1590"/>
      <c r="AJ211" s="1590"/>
      <c r="AK211" s="194"/>
      <c r="AL211" s="1590"/>
      <c r="AM211" s="209"/>
      <c r="AN211" s="1590"/>
      <c r="AO211" s="209"/>
      <c r="AP211" s="1590"/>
      <c r="AQ211" s="209"/>
      <c r="AR211" s="1590"/>
      <c r="AS211" s="194"/>
      <c r="AT211" s="1590"/>
      <c r="AU211" s="194"/>
      <c r="AV211" s="194"/>
      <c r="AW211" s="194"/>
      <c r="AX211" s="194"/>
      <c r="AY211" s="194"/>
    </row>
    <row r="212" spans="1:51" s="2699" customFormat="1" ht="18" hidden="1" customHeight="1" thickBot="1" x14ac:dyDescent="0.3">
      <c r="A212" s="972">
        <f t="shared" ca="1" si="188"/>
        <v>0</v>
      </c>
      <c r="B212" s="243"/>
      <c r="C212" s="1376"/>
      <c r="D212" s="3346"/>
      <c r="E212" s="3346" t="str">
        <f>CONCATENATE("Vacant ",Income_TCat5)</f>
        <v xml:space="preserve">Vacant </v>
      </c>
      <c r="F212" s="1448"/>
      <c r="G212" s="1420"/>
      <c r="H212" s="3589"/>
      <c r="I212" s="3589"/>
      <c r="J212" s="3590"/>
      <c r="K212" s="1422">
        <f ca="1">SUMIFS($K$7:$K$206,$E$7:$E$206,"*vacant*",$S$7:$S$206,Income_TCat5)</f>
        <v>0</v>
      </c>
      <c r="L212" s="1431" t="e">
        <f t="shared" ca="1" si="189"/>
        <v>#VALUE!</v>
      </c>
      <c r="M212" s="1431"/>
      <c r="N212" s="3592">
        <f>Income_TCat5_MarketRent</f>
        <v>0</v>
      </c>
      <c r="O212" s="1420">
        <f>Income_TCat5_LeaseStructure</f>
        <v>0</v>
      </c>
      <c r="P212" s="3346"/>
      <c r="Q212" s="1377"/>
      <c r="R212" s="652"/>
      <c r="S212" s="652"/>
      <c r="T212" s="652"/>
      <c r="U212" s="626"/>
      <c r="V212" s="626"/>
      <c r="W212" s="626"/>
      <c r="X212" s="652"/>
      <c r="Y212" s="1590"/>
      <c r="Z212" s="1590"/>
      <c r="AA212" s="1590"/>
      <c r="AB212" s="1590"/>
      <c r="AC212" s="1591">
        <f ca="1">IF($K212&gt;0,1,0)</f>
        <v>0</v>
      </c>
      <c r="AD212" s="1590"/>
      <c r="AE212" s="1590"/>
      <c r="AF212" s="1590"/>
      <c r="AG212" s="194"/>
      <c r="AH212" s="1590"/>
      <c r="AI212" s="1590"/>
      <c r="AJ212" s="1590"/>
      <c r="AK212" s="194"/>
      <c r="AL212" s="1590"/>
      <c r="AM212" s="209"/>
      <c r="AN212" s="1590"/>
      <c r="AO212" s="209"/>
      <c r="AP212" s="1590"/>
      <c r="AQ212" s="209"/>
      <c r="AR212" s="1590"/>
      <c r="AS212" s="194"/>
      <c r="AT212" s="1590"/>
      <c r="AU212" s="194"/>
      <c r="AV212" s="194"/>
      <c r="AW212" s="194"/>
      <c r="AX212" s="194"/>
      <c r="AY212" s="194"/>
    </row>
    <row r="213" spans="1:51" s="2699" customFormat="1" ht="18" hidden="1" customHeight="1" thickBot="1" x14ac:dyDescent="0.3">
      <c r="A213" s="972">
        <f t="shared" ca="1" si="188"/>
        <v>0</v>
      </c>
      <c r="B213" s="243"/>
      <c r="C213" s="1376"/>
      <c r="D213" s="3346"/>
      <c r="E213" s="3346" t="str">
        <f>CONCATENATE("Vacant ",Income_TCat6)</f>
        <v xml:space="preserve">Vacant </v>
      </c>
      <c r="F213" s="1448"/>
      <c r="G213" s="1420"/>
      <c r="H213" s="3589"/>
      <c r="I213" s="3589"/>
      <c r="J213" s="3590"/>
      <c r="K213" s="1422">
        <f ca="1">SUMIFS($K$7:$K$206,$E$7:$E$206,"*vacant*",$S$7:$S$206,Income_TCat6)</f>
        <v>0</v>
      </c>
      <c r="L213" s="1431" t="e">
        <f t="shared" ca="1" si="189"/>
        <v>#VALUE!</v>
      </c>
      <c r="M213" s="1431"/>
      <c r="N213" s="3592">
        <f>Income_TCat6_MarketRent</f>
        <v>0</v>
      </c>
      <c r="O213" s="1420">
        <f>Income_TCat6_LeaseStructure</f>
        <v>0</v>
      </c>
      <c r="P213" s="3346"/>
      <c r="Q213" s="1377"/>
      <c r="R213" s="652"/>
      <c r="S213" s="652"/>
      <c r="T213" s="652"/>
      <c r="U213" s="626"/>
      <c r="V213" s="626"/>
      <c r="W213" s="626"/>
      <c r="X213" s="652"/>
      <c r="Y213" s="1590"/>
      <c r="Z213" s="1590"/>
      <c r="AA213" s="1590"/>
      <c r="AB213" s="1590"/>
      <c r="AC213" s="1590"/>
      <c r="AD213" s="1591">
        <f ca="1">IF($K213&gt;0,1,0)</f>
        <v>0</v>
      </c>
      <c r="AE213" s="1590"/>
      <c r="AF213" s="1590"/>
      <c r="AG213" s="194"/>
      <c r="AH213" s="1590"/>
      <c r="AI213" s="1590"/>
      <c r="AJ213" s="1590"/>
      <c r="AK213" s="194"/>
      <c r="AL213" s="1590"/>
      <c r="AM213" s="209"/>
      <c r="AN213" s="1590"/>
      <c r="AO213" s="209"/>
      <c r="AP213" s="1590"/>
      <c r="AQ213" s="209"/>
      <c r="AR213" s="1590"/>
      <c r="AS213" s="194"/>
      <c r="AT213" s="1590"/>
      <c r="AU213" s="194"/>
      <c r="AV213" s="194"/>
      <c r="AW213" s="194"/>
      <c r="AX213" s="194"/>
      <c r="AY213" s="194"/>
    </row>
    <row r="214" spans="1:51" s="2699" customFormat="1" ht="18" hidden="1" customHeight="1" thickBot="1" x14ac:dyDescent="0.3">
      <c r="A214" s="972">
        <f t="shared" ca="1" si="188"/>
        <v>0</v>
      </c>
      <c r="B214" s="243"/>
      <c r="C214" s="1376"/>
      <c r="D214" s="3346"/>
      <c r="E214" s="3346" t="str">
        <f>CONCATENATE("Vacant ",Income_TCat7)</f>
        <v xml:space="preserve">Vacant </v>
      </c>
      <c r="F214" s="1448"/>
      <c r="G214" s="1420"/>
      <c r="H214" s="3589"/>
      <c r="I214" s="3589"/>
      <c r="J214" s="3590"/>
      <c r="K214" s="1422">
        <f ca="1">SUMIFS($K$7:$K$206,$E$7:$E$206,"*vacant*",$S$7:$S$206,Income_TCat7)</f>
        <v>0</v>
      </c>
      <c r="L214" s="1431" t="e">
        <f t="shared" ca="1" si="189"/>
        <v>#VALUE!</v>
      </c>
      <c r="M214" s="1431"/>
      <c r="N214" s="3592">
        <f>Income_TCat7_MarketRent</f>
        <v>0</v>
      </c>
      <c r="O214" s="1420">
        <f>Income_TCat7_LeaseStructure</f>
        <v>0</v>
      </c>
      <c r="P214" s="3346"/>
      <c r="Q214" s="1377"/>
      <c r="R214" s="652"/>
      <c r="S214" s="652"/>
      <c r="T214" s="652"/>
      <c r="U214" s="626"/>
      <c r="V214" s="626"/>
      <c r="W214" s="626"/>
      <c r="X214" s="652"/>
      <c r="Y214" s="1590"/>
      <c r="Z214" s="1590"/>
      <c r="AA214" s="1590"/>
      <c r="AB214" s="1590"/>
      <c r="AC214" s="1590"/>
      <c r="AD214" s="1590"/>
      <c r="AE214" s="1591">
        <f ca="1">IF($K214&gt;0,1,0)</f>
        <v>0</v>
      </c>
      <c r="AF214" s="1590"/>
      <c r="AG214" s="194"/>
      <c r="AH214" s="1590"/>
      <c r="AI214" s="1590"/>
      <c r="AJ214" s="1590"/>
      <c r="AK214" s="194"/>
      <c r="AL214" s="1590"/>
      <c r="AM214" s="209"/>
      <c r="AN214" s="1590"/>
      <c r="AO214" s="209"/>
      <c r="AP214" s="1590"/>
      <c r="AQ214" s="209"/>
      <c r="AR214" s="1590"/>
      <c r="AS214" s="194"/>
      <c r="AT214" s="1590"/>
      <c r="AU214" s="194"/>
      <c r="AV214" s="194"/>
      <c r="AW214" s="194"/>
      <c r="AX214" s="194"/>
      <c r="AY214" s="194"/>
    </row>
    <row r="215" spans="1:51" s="2699" customFormat="1" ht="18" hidden="1" customHeight="1" thickBot="1" x14ac:dyDescent="0.3">
      <c r="A215" s="972">
        <f t="shared" ca="1" si="188"/>
        <v>0</v>
      </c>
      <c r="B215" s="243"/>
      <c r="C215" s="1376"/>
      <c r="D215" s="3346"/>
      <c r="E215" s="3346" t="str">
        <f>CONCATENATE("Vacant ",Income_TCat8)</f>
        <v xml:space="preserve">Vacant </v>
      </c>
      <c r="F215" s="1448"/>
      <c r="G215" s="1420"/>
      <c r="H215" s="3589"/>
      <c r="I215" s="3589"/>
      <c r="J215" s="3590"/>
      <c r="K215" s="1422">
        <f ca="1">SUMIFS($K$7:$K$206,$E$7:$E$206,"*vacant*",$S$7:$S$206,Income_TCat8)</f>
        <v>0</v>
      </c>
      <c r="L215" s="1431" t="e">
        <f t="shared" ca="1" si="189"/>
        <v>#VALUE!</v>
      </c>
      <c r="M215" s="1431"/>
      <c r="N215" s="3592">
        <f>Income_TCat8_MarketRent</f>
        <v>0</v>
      </c>
      <c r="O215" s="1420">
        <f>Income_TCat8_LeaseStructure</f>
        <v>0</v>
      </c>
      <c r="P215" s="3346"/>
      <c r="Q215" s="1377"/>
      <c r="R215" s="652"/>
      <c r="S215" s="652"/>
      <c r="T215" s="652"/>
      <c r="U215" s="626"/>
      <c r="V215" s="626"/>
      <c r="W215" s="626"/>
      <c r="X215" s="652"/>
      <c r="Y215" s="1590"/>
      <c r="Z215" s="1590"/>
      <c r="AA215" s="1590"/>
      <c r="AB215" s="1590"/>
      <c r="AC215" s="1590"/>
      <c r="AD215" s="1590"/>
      <c r="AE215" s="1590"/>
      <c r="AF215" s="1591">
        <f ca="1">IF($K215&gt;0,1,0)</f>
        <v>0</v>
      </c>
      <c r="AG215" s="194"/>
      <c r="AH215" s="1593"/>
      <c r="AI215" s="1593"/>
      <c r="AJ215" s="1593"/>
      <c r="AK215" s="194"/>
      <c r="AL215" s="1590"/>
      <c r="AM215" s="209"/>
      <c r="AN215" s="1590"/>
      <c r="AO215" s="209"/>
      <c r="AP215" s="1590"/>
      <c r="AQ215" s="209"/>
      <c r="AR215" s="1590"/>
      <c r="AS215" s="194"/>
      <c r="AT215" s="1590"/>
      <c r="AU215" s="194"/>
      <c r="AV215" s="194"/>
      <c r="AW215" s="194"/>
      <c r="AX215" s="194"/>
      <c r="AY215" s="194"/>
    </row>
    <row r="216" spans="1:51" s="2699" customFormat="1" ht="18" customHeight="1" thickBot="1" x14ac:dyDescent="0.3">
      <c r="A216" s="1594">
        <f ca="1">IF(L207=1,0,1)</f>
        <v>1</v>
      </c>
      <c r="B216" s="243" t="str">
        <f ca="1">SpellNumber(SUM(A7:A206))</f>
        <v>two</v>
      </c>
      <c r="C216" s="1376"/>
      <c r="D216" s="3346"/>
      <c r="E216" s="3610" t="s">
        <v>1531</v>
      </c>
      <c r="F216" s="3611"/>
      <c r="G216" s="3611"/>
      <c r="H216" s="3611"/>
      <c r="I216" s="3611"/>
      <c r="J216" s="3611"/>
      <c r="K216" s="3612" t="str">
        <f ca="1">IF(K207+SUM(K208:K215)=Subject_NRA,Subject_NRA,"Does Not Match NRA")</f>
        <v>Does Not Match NRA</v>
      </c>
      <c r="L216" s="3613" t="e">
        <f ca="1">SUM(L207:L215)</f>
        <v>#VALUE!</v>
      </c>
      <c r="M216" s="3613" t="e">
        <f ca="1">M207</f>
        <v>#VALUE!</v>
      </c>
      <c r="N216" s="3614" t="e">
        <f ca="1">SUMPRODUCT(K207:K215,N207:N215)/$K$216</f>
        <v>#VALUE!</v>
      </c>
      <c r="O216" s="3615" t="str">
        <f ca="1">dpIncome_ContractLeaseStructure</f>
        <v>Triple Net</v>
      </c>
      <c r="P216" s="3346"/>
      <c r="Q216" s="1377"/>
      <c r="R216" s="652"/>
      <c r="S216" s="652"/>
      <c r="T216" s="652"/>
      <c r="U216" s="626"/>
      <c r="V216" s="626"/>
      <c r="W216" s="626"/>
      <c r="X216" s="652"/>
      <c r="Y216" s="1595"/>
      <c r="Z216" s="1595"/>
      <c r="AA216" s="1595"/>
      <c r="AB216" s="1595"/>
      <c r="AC216" s="1595"/>
      <c r="AD216" s="1595"/>
      <c r="AE216" s="1595"/>
      <c r="AF216" s="1595"/>
      <c r="AG216" s="194"/>
      <c r="AH216" s="1596">
        <f ca="1">SUM(AH7:AH206)</f>
        <v>110315.796</v>
      </c>
      <c r="AI216" s="2688" t="e">
        <f ca="1">SUM(AI7:AI206)</f>
        <v>#N/A</v>
      </c>
      <c r="AJ216" s="1597">
        <f ca="1">SUM(AJ7:AJ206)</f>
        <v>14708</v>
      </c>
      <c r="AK216" s="194"/>
      <c r="AL216" s="1591">
        <f ca="1">SUM(AL7:AL206)</f>
        <v>14708</v>
      </c>
      <c r="AM216" s="209"/>
      <c r="AN216" s="1591">
        <f ca="1">SUM(AN7:AN206)</f>
        <v>0</v>
      </c>
      <c r="AO216" s="209"/>
      <c r="AP216" s="1591">
        <f ca="1">SUM(AP7:AP206)</f>
        <v>0</v>
      </c>
      <c r="AQ216" s="194"/>
      <c r="AR216" s="1591">
        <f ca="1">SUM(AR7:AR206)</f>
        <v>0</v>
      </c>
      <c r="AS216" s="194"/>
      <c r="AT216" s="1591">
        <f ca="1">SUM(AT7:AT206)</f>
        <v>0</v>
      </c>
      <c r="AU216" s="194"/>
      <c r="AV216" s="194"/>
      <c r="AW216" s="194"/>
      <c r="AX216" s="194"/>
      <c r="AY216" s="194"/>
    </row>
    <row r="217" spans="1:51" s="2699" customFormat="1" ht="20.100000000000001" customHeight="1" thickBot="1" x14ac:dyDescent="0.3">
      <c r="A217" s="972">
        <v>1</v>
      </c>
      <c r="B217" s="243">
        <f ca="1">SUM(A7:A206)</f>
        <v>2</v>
      </c>
      <c r="C217" s="650"/>
      <c r="D217" s="641"/>
      <c r="E217" s="648" t="s">
        <v>877</v>
      </c>
      <c r="F217" s="924"/>
      <c r="G217" s="924"/>
      <c r="H217" s="924"/>
      <c r="I217" s="924"/>
      <c r="J217" s="924"/>
      <c r="K217" s="924"/>
      <c r="L217" s="924"/>
      <c r="M217" s="924"/>
      <c r="N217" s="924"/>
      <c r="O217" s="924"/>
      <c r="P217" s="641"/>
      <c r="Q217" s="651"/>
      <c r="R217" s="652"/>
      <c r="S217" s="42"/>
      <c r="T217" s="652"/>
      <c r="U217" s="626"/>
      <c r="V217" s="626"/>
      <c r="W217" s="626"/>
      <c r="X217" s="652"/>
      <c r="Y217" s="194"/>
      <c r="Z217" s="194"/>
      <c r="AA217" s="194"/>
      <c r="AB217" s="194"/>
      <c r="AC217" s="194"/>
      <c r="AD217" s="194"/>
      <c r="AE217" s="194"/>
      <c r="AF217" s="194"/>
      <c r="AG217" s="194"/>
      <c r="AH217" s="194"/>
      <c r="AI217" s="194"/>
      <c r="AJ217" s="194"/>
      <c r="AK217" s="194"/>
      <c r="AL217" s="209"/>
      <c r="AM217" s="209"/>
      <c r="AN217" s="209"/>
      <c r="AO217" s="209"/>
      <c r="AP217" s="194"/>
      <c r="AQ217" s="194"/>
      <c r="AR217" s="194"/>
      <c r="AS217" s="194"/>
      <c r="AT217" s="194"/>
      <c r="AU217" s="194"/>
      <c r="AV217" s="194"/>
      <c r="AW217" s="194"/>
      <c r="AX217" s="194"/>
      <c r="AY217" s="194"/>
    </row>
    <row r="218" spans="1:51" s="2691" customFormat="1" x14ac:dyDescent="0.25">
      <c r="A218" s="96"/>
      <c r="B218" s="96"/>
      <c r="C218" s="32"/>
      <c r="D218" s="32"/>
      <c r="E218" s="32"/>
      <c r="F218" s="96"/>
      <c r="G218" s="96"/>
      <c r="H218" s="96"/>
      <c r="I218" s="96"/>
      <c r="J218" s="96"/>
      <c r="K218" s="96"/>
      <c r="L218" s="96"/>
      <c r="M218" s="96"/>
      <c r="N218" s="96"/>
      <c r="O218" s="96"/>
      <c r="P218" s="32"/>
      <c r="Q218" s="32"/>
      <c r="R218" s="32"/>
      <c r="S218" s="32"/>
      <c r="T218" s="32"/>
      <c r="U218" s="96"/>
      <c r="V218" s="96"/>
      <c r="W218" s="96"/>
      <c r="X218" s="32"/>
      <c r="Y218" s="211"/>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row>
    <row r="219" spans="1:51" s="2691" customFormat="1" x14ac:dyDescent="0.25">
      <c r="A219" s="96"/>
      <c r="B219" s="96"/>
      <c r="C219" s="32"/>
      <c r="D219" s="32"/>
      <c r="E219" s="4280" t="s">
        <v>1542</v>
      </c>
      <c r="F219" s="4280"/>
      <c r="G219" s="4280"/>
      <c r="H219" s="4280"/>
      <c r="I219" s="4280"/>
      <c r="J219" s="4280"/>
      <c r="K219" s="4280"/>
      <c r="L219" s="96"/>
      <c r="M219" s="41">
        <f ca="1">IF(ISERROR(dpIncome_RentRollOccupancy=L207)=TRUE,0,IF(dpIncome_RentRollOccupancy=L207,0,1))</f>
        <v>0</v>
      </c>
      <c r="N219" s="41">
        <v>1</v>
      </c>
      <c r="O219" s="41">
        <v>1</v>
      </c>
      <c r="P219" s="41">
        <v>1</v>
      </c>
      <c r="Q219" s="41">
        <v>1</v>
      </c>
      <c r="R219" s="41">
        <v>1</v>
      </c>
      <c r="S219" s="41">
        <v>1</v>
      </c>
      <c r="T219" s="41">
        <f>IF(Income_RentRollSource="Datappraise/Manual Entry",0,1)</f>
        <v>0</v>
      </c>
      <c r="U219" s="41">
        <f>IF(Income_RentRollSource="Datappraise/Manual Entry",0,1)</f>
        <v>0</v>
      </c>
      <c r="V219" s="41"/>
      <c r="W219" s="41"/>
      <c r="X219" s="96"/>
      <c r="Y219" s="211"/>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row>
    <row r="220" spans="1:51" s="2691" customFormat="1" ht="30" customHeight="1" x14ac:dyDescent="0.25">
      <c r="A220" s="96"/>
      <c r="B220" s="96"/>
      <c r="C220" s="32"/>
      <c r="D220" s="32"/>
      <c r="E220" s="4280"/>
      <c r="F220" s="4280"/>
      <c r="G220" s="4280"/>
      <c r="H220" s="4280"/>
      <c r="I220" s="4280"/>
      <c r="J220" s="4280"/>
      <c r="K220" s="4280"/>
      <c r="L220" s="96"/>
      <c r="M220" s="41"/>
      <c r="N220" s="96"/>
      <c r="O220" s="96"/>
      <c r="P220" s="32"/>
      <c r="Q220" s="32"/>
      <c r="R220" s="32"/>
      <c r="S220" s="32"/>
      <c r="T220" s="32"/>
      <c r="U220" s="96"/>
      <c r="V220" s="96"/>
      <c r="W220" s="96"/>
      <c r="X220" s="32"/>
      <c r="Y220" s="211"/>
      <c r="Z220" s="211"/>
      <c r="AA220" s="211"/>
      <c r="AB220" s="211"/>
      <c r="AC220" s="211"/>
      <c r="AD220" s="211"/>
      <c r="AE220" s="211"/>
      <c r="AF220" s="211"/>
      <c r="AG220" s="211"/>
      <c r="AH220" s="211"/>
      <c r="AI220" s="211"/>
      <c r="AJ220" s="211"/>
      <c r="AK220" s="211"/>
      <c r="AL220" s="211"/>
      <c r="AM220" s="211"/>
      <c r="AN220" s="211"/>
      <c r="AO220" s="211"/>
      <c r="AP220" s="211"/>
      <c r="AQ220" s="211"/>
      <c r="AR220" s="211"/>
      <c r="AS220" s="211"/>
      <c r="AT220" s="211"/>
      <c r="AU220" s="211"/>
      <c r="AV220" s="211"/>
      <c r="AW220" s="211"/>
      <c r="AX220" s="211"/>
      <c r="AY220" s="211"/>
    </row>
    <row r="221" spans="1:51" s="2691" customFormat="1" ht="30" customHeight="1" x14ac:dyDescent="0.25">
      <c r="A221" s="96"/>
      <c r="B221" s="96"/>
      <c r="C221" s="32"/>
      <c r="D221" s="32"/>
      <c r="E221" s="4280"/>
      <c r="F221" s="4280"/>
      <c r="G221" s="4280"/>
      <c r="H221" s="4280"/>
      <c r="I221" s="4280"/>
      <c r="J221" s="4280"/>
      <c r="K221" s="4280"/>
      <c r="L221" s="96"/>
      <c r="M221" s="96"/>
      <c r="N221" s="96"/>
      <c r="O221" s="96"/>
      <c r="P221" s="32"/>
      <c r="Q221" s="32"/>
      <c r="R221" s="32"/>
      <c r="S221" s="32"/>
      <c r="T221" s="32"/>
      <c r="U221" s="96"/>
      <c r="V221" s="96"/>
      <c r="W221" s="96"/>
      <c r="X221" s="32"/>
      <c r="Y221" s="211"/>
      <c r="Z221" s="211"/>
      <c r="AA221" s="211"/>
      <c r="AB221" s="211"/>
      <c r="AC221" s="211"/>
      <c r="AD221" s="211"/>
      <c r="AE221" s="211"/>
      <c r="AF221" s="211"/>
      <c r="AG221" s="211"/>
      <c r="AH221" s="211"/>
      <c r="AI221" s="211"/>
      <c r="AJ221" s="211"/>
      <c r="AK221" s="211"/>
      <c r="AL221" s="211"/>
      <c r="AM221" s="211"/>
      <c r="AN221" s="211"/>
      <c r="AO221" s="211"/>
      <c r="AP221" s="211"/>
      <c r="AQ221" s="211"/>
      <c r="AR221" s="211"/>
      <c r="AS221" s="211"/>
      <c r="AT221" s="211"/>
      <c r="AU221" s="211"/>
      <c r="AV221" s="211"/>
      <c r="AW221" s="211"/>
      <c r="AX221" s="211"/>
      <c r="AY221" s="211"/>
    </row>
    <row r="222" spans="1:51" s="2691" customFormat="1" x14ac:dyDescent="0.25">
      <c r="A222" s="96"/>
      <c r="B222" s="96"/>
      <c r="C222" s="32"/>
      <c r="D222" s="32"/>
      <c r="E222" s="32"/>
      <c r="F222" s="96"/>
      <c r="G222" s="96"/>
      <c r="H222" s="96"/>
      <c r="I222" s="96"/>
      <c r="J222" s="96"/>
      <c r="K222" s="96"/>
      <c r="L222" s="96"/>
      <c r="M222" s="96"/>
      <c r="N222" s="96"/>
      <c r="O222" s="96"/>
      <c r="P222" s="32"/>
      <c r="Q222" s="32"/>
      <c r="R222" s="32"/>
      <c r="S222" s="32"/>
      <c r="T222" s="32"/>
      <c r="U222" s="96"/>
      <c r="V222" s="96"/>
      <c r="W222" s="96"/>
      <c r="X222" s="32"/>
      <c r="Y222" s="211"/>
      <c r="Z222" s="211"/>
      <c r="AA222" s="211"/>
      <c r="AB222" s="211"/>
      <c r="AC222" s="211"/>
      <c r="AD222" s="211"/>
      <c r="AE222" s="211"/>
      <c r="AF222" s="211"/>
      <c r="AG222" s="211"/>
      <c r="AH222" s="211"/>
      <c r="AI222" s="211"/>
      <c r="AJ222" s="211"/>
      <c r="AK222" s="211"/>
      <c r="AL222" s="211"/>
      <c r="AM222" s="211"/>
      <c r="AN222" s="211"/>
      <c r="AO222" s="211"/>
      <c r="AP222" s="211"/>
      <c r="AQ222" s="211"/>
      <c r="AR222" s="211"/>
      <c r="AS222" s="211"/>
      <c r="AT222" s="211"/>
      <c r="AU222" s="211"/>
      <c r="AV222" s="211"/>
      <c r="AW222" s="211"/>
      <c r="AX222" s="211"/>
      <c r="AY222" s="211"/>
    </row>
    <row r="223" spans="1:51" s="2691" customFormat="1" x14ac:dyDescent="0.25">
      <c r="A223" s="96"/>
      <c r="B223" s="96"/>
      <c r="C223" s="32"/>
      <c r="D223" s="32"/>
      <c r="E223" s="32"/>
      <c r="F223" s="96"/>
      <c r="G223" s="96"/>
      <c r="H223" s="96"/>
      <c r="I223" s="96"/>
      <c r="J223" s="96"/>
      <c r="K223" s="96"/>
      <c r="L223" s="96"/>
      <c r="M223" s="96"/>
      <c r="N223" s="96"/>
      <c r="O223" s="96"/>
      <c r="P223" s="32"/>
      <c r="Q223" s="32"/>
      <c r="R223" s="32"/>
      <c r="S223" s="32"/>
      <c r="T223" s="32"/>
      <c r="U223" s="96"/>
      <c r="V223" s="96"/>
      <c r="W223" s="96"/>
      <c r="X223" s="32"/>
      <c r="Y223" s="211"/>
      <c r="Z223" s="211"/>
      <c r="AA223" s="211"/>
      <c r="AB223" s="211"/>
      <c r="AC223" s="211"/>
      <c r="AD223" s="211"/>
      <c r="AE223" s="211"/>
      <c r="AF223" s="211"/>
      <c r="AG223" s="211"/>
      <c r="AH223" s="211"/>
      <c r="AI223" s="211"/>
      <c r="AJ223" s="211"/>
      <c r="AK223" s="211"/>
      <c r="AL223" s="211"/>
      <c r="AM223" s="211"/>
      <c r="AN223" s="211"/>
      <c r="AO223" s="211"/>
      <c r="AP223" s="211"/>
      <c r="AQ223" s="211"/>
      <c r="AR223" s="211"/>
      <c r="AS223" s="211"/>
      <c r="AT223" s="211"/>
      <c r="AU223" s="211"/>
      <c r="AV223" s="211"/>
      <c r="AW223" s="211"/>
      <c r="AX223" s="211"/>
      <c r="AY223" s="211"/>
    </row>
    <row r="224" spans="1:51" x14ac:dyDescent="0.25">
      <c r="A224" s="96"/>
      <c r="B224" s="96"/>
      <c r="C224" s="42"/>
      <c r="D224" s="42"/>
      <c r="E224" s="42"/>
      <c r="F224" s="54"/>
      <c r="G224" s="54"/>
      <c r="H224" s="54"/>
      <c r="I224" s="54"/>
      <c r="J224" s="54"/>
      <c r="K224" s="54"/>
      <c r="L224" s="54"/>
      <c r="M224" s="54"/>
      <c r="N224" s="54"/>
      <c r="O224" s="54"/>
      <c r="P224" s="42"/>
      <c r="Q224" s="42"/>
      <c r="R224" s="42"/>
      <c r="S224" s="42"/>
      <c r="T224" s="42"/>
      <c r="U224" s="54"/>
      <c r="V224" s="54"/>
      <c r="W224" s="54"/>
      <c r="X224" s="42"/>
      <c r="Y224" s="193"/>
      <c r="Z224" s="193"/>
      <c r="AA224" s="193"/>
      <c r="AB224" s="193"/>
      <c r="AC224" s="193"/>
      <c r="AD224" s="193"/>
      <c r="AE224" s="193"/>
      <c r="AF224" s="193"/>
      <c r="AG224" s="193"/>
      <c r="AH224" s="193"/>
      <c r="AI224" s="193"/>
      <c r="AJ224" s="193"/>
      <c r="AK224" s="193"/>
      <c r="AL224" s="208"/>
      <c r="AM224" s="208"/>
      <c r="AN224" s="208"/>
      <c r="AO224" s="208"/>
      <c r="AP224" s="193"/>
      <c r="AQ224" s="193"/>
      <c r="AR224" s="193"/>
      <c r="AS224" s="193"/>
      <c r="AT224" s="193"/>
      <c r="AU224" s="193"/>
      <c r="AV224" s="193"/>
      <c r="AW224" s="193"/>
      <c r="AX224" s="193"/>
      <c r="AY224" s="193"/>
    </row>
    <row r="225" spans="1:51" x14ac:dyDescent="0.25">
      <c r="A225" s="96"/>
      <c r="B225" s="96"/>
      <c r="C225" s="42"/>
      <c r="D225" s="42"/>
      <c r="E225" s="42"/>
      <c r="F225" s="54"/>
      <c r="G225" s="54"/>
      <c r="H225" s="54"/>
      <c r="I225" s="54"/>
      <c r="J225" s="54"/>
      <c r="K225" s="54"/>
      <c r="L225" s="54"/>
      <c r="M225" s="54"/>
      <c r="N225" s="54"/>
      <c r="O225" s="54"/>
      <c r="P225" s="42"/>
      <c r="Q225" s="42"/>
      <c r="R225" s="42"/>
      <c r="S225" s="42"/>
      <c r="T225" s="42"/>
      <c r="U225" s="54"/>
      <c r="V225" s="54"/>
      <c r="W225" s="54"/>
      <c r="X225" s="42"/>
      <c r="Y225" s="193"/>
      <c r="Z225" s="193"/>
      <c r="AA225" s="193"/>
      <c r="AB225" s="193"/>
      <c r="AC225" s="193"/>
      <c r="AD225" s="193"/>
      <c r="AE225" s="193"/>
      <c r="AF225" s="193"/>
      <c r="AG225" s="193"/>
      <c r="AH225" s="193"/>
      <c r="AI225" s="193"/>
      <c r="AJ225" s="193"/>
      <c r="AK225" s="193"/>
      <c r="AL225" s="208"/>
      <c r="AM225" s="208"/>
      <c r="AN225" s="208"/>
      <c r="AO225" s="208"/>
      <c r="AP225" s="193"/>
      <c r="AQ225" s="193"/>
      <c r="AR225" s="193"/>
      <c r="AS225" s="193"/>
      <c r="AT225" s="193"/>
      <c r="AU225" s="193"/>
      <c r="AV225" s="193"/>
      <c r="AW225" s="193"/>
      <c r="AX225" s="193"/>
      <c r="AY225" s="193"/>
    </row>
    <row r="226" spans="1:51" x14ac:dyDescent="0.25">
      <c r="A226" s="96"/>
      <c r="B226" s="96"/>
      <c r="C226" s="42"/>
      <c r="D226" s="42"/>
      <c r="E226" s="42"/>
      <c r="F226" s="54"/>
      <c r="G226" s="54"/>
      <c r="H226" s="54"/>
      <c r="I226" s="54"/>
      <c r="J226" s="54"/>
      <c r="K226" s="54"/>
      <c r="L226" s="54"/>
      <c r="M226" s="54"/>
      <c r="N226" s="54"/>
      <c r="O226" s="54"/>
      <c r="P226" s="42"/>
      <c r="Q226" s="42"/>
      <c r="R226" s="42"/>
      <c r="S226" s="42"/>
      <c r="T226" s="42"/>
      <c r="U226" s="54"/>
      <c r="V226" s="54"/>
      <c r="W226" s="54"/>
      <c r="X226" s="42"/>
      <c r="Y226" s="193"/>
      <c r="Z226" s="193"/>
      <c r="AA226" s="193"/>
      <c r="AB226" s="193"/>
      <c r="AC226" s="193"/>
      <c r="AD226" s="193"/>
      <c r="AE226" s="193"/>
      <c r="AF226" s="193"/>
      <c r="AG226" s="193"/>
      <c r="AH226" s="193"/>
      <c r="AI226" s="193"/>
      <c r="AJ226" s="193"/>
      <c r="AK226" s="193"/>
      <c r="AL226" s="208"/>
      <c r="AM226" s="208"/>
      <c r="AN226" s="208"/>
      <c r="AO226" s="208"/>
      <c r="AP226" s="193"/>
      <c r="AQ226" s="193"/>
      <c r="AR226" s="193"/>
      <c r="AS226" s="193"/>
      <c r="AT226" s="193"/>
      <c r="AU226" s="193"/>
      <c r="AV226" s="193"/>
      <c r="AW226" s="193"/>
      <c r="AX226" s="193"/>
      <c r="AY226" s="193"/>
    </row>
    <row r="227" spans="1:51" x14ac:dyDescent="0.25">
      <c r="A227" s="96"/>
      <c r="B227" s="96"/>
      <c r="C227" s="42"/>
      <c r="D227" s="42"/>
      <c r="E227" s="42"/>
      <c r="F227" s="54"/>
      <c r="G227" s="54"/>
      <c r="H227" s="54"/>
      <c r="I227" s="54"/>
      <c r="J227" s="54"/>
      <c r="K227" s="54"/>
      <c r="L227" s="54"/>
      <c r="M227" s="54"/>
      <c r="N227" s="54"/>
      <c r="O227" s="54"/>
      <c r="P227" s="42"/>
      <c r="Q227" s="42"/>
      <c r="R227" s="42"/>
      <c r="S227" s="42"/>
      <c r="T227" s="42"/>
      <c r="U227" s="54"/>
      <c r="V227" s="54"/>
      <c r="W227" s="54"/>
      <c r="X227" s="42"/>
      <c r="Y227" s="193"/>
      <c r="Z227" s="193"/>
      <c r="AA227" s="193"/>
      <c r="AB227" s="193"/>
      <c r="AC227" s="193"/>
      <c r="AD227" s="193"/>
      <c r="AE227" s="193"/>
      <c r="AF227" s="193"/>
      <c r="AG227" s="193"/>
      <c r="AH227" s="193"/>
      <c r="AI227" s="193"/>
      <c r="AJ227" s="193"/>
      <c r="AK227" s="193"/>
      <c r="AL227" s="208"/>
      <c r="AM227" s="208"/>
      <c r="AN227" s="208"/>
      <c r="AO227" s="208"/>
      <c r="AP227" s="193"/>
      <c r="AQ227" s="193"/>
      <c r="AR227" s="193"/>
      <c r="AS227" s="193"/>
      <c r="AT227" s="193"/>
      <c r="AU227" s="193"/>
      <c r="AV227" s="193"/>
      <c r="AW227" s="193"/>
      <c r="AX227" s="193"/>
      <c r="AY227" s="193"/>
    </row>
    <row r="228" spans="1:51" x14ac:dyDescent="0.25">
      <c r="A228" s="96"/>
      <c r="B228" s="96"/>
      <c r="C228" s="42"/>
      <c r="D228" s="42"/>
      <c r="E228" s="42"/>
      <c r="F228" s="54"/>
      <c r="G228" s="54"/>
      <c r="H228" s="54"/>
      <c r="I228" s="54"/>
      <c r="J228" s="54"/>
      <c r="K228" s="54"/>
      <c r="L228" s="54"/>
      <c r="M228" s="54"/>
      <c r="N228" s="54"/>
      <c r="O228" s="54"/>
      <c r="P228" s="42"/>
      <c r="Q228" s="42"/>
      <c r="R228" s="42"/>
      <c r="S228" s="42"/>
      <c r="T228" s="42"/>
      <c r="U228" s="54"/>
      <c r="V228" s="54"/>
      <c r="W228" s="54"/>
      <c r="X228" s="42"/>
      <c r="Y228" s="193"/>
      <c r="Z228" s="193"/>
      <c r="AA228" s="193"/>
      <c r="AB228" s="193"/>
      <c r="AC228" s="193"/>
      <c r="AD228" s="193"/>
      <c r="AE228" s="193"/>
      <c r="AF228" s="193"/>
      <c r="AG228" s="193"/>
      <c r="AH228" s="193"/>
      <c r="AI228" s="193"/>
      <c r="AJ228" s="193"/>
      <c r="AK228" s="193"/>
      <c r="AL228" s="208"/>
      <c r="AM228" s="208"/>
      <c r="AN228" s="208"/>
      <c r="AO228" s="208"/>
      <c r="AP228" s="193"/>
      <c r="AQ228" s="193"/>
      <c r="AR228" s="193"/>
      <c r="AS228" s="193"/>
      <c r="AT228" s="193"/>
      <c r="AU228" s="193"/>
      <c r="AV228" s="193"/>
      <c r="AW228" s="193"/>
      <c r="AX228" s="193"/>
      <c r="AY228" s="193"/>
    </row>
    <row r="229" spans="1:51" x14ac:dyDescent="0.25">
      <c r="A229" s="96"/>
      <c r="B229" s="96"/>
      <c r="C229" s="42"/>
      <c r="D229" s="42"/>
      <c r="E229" s="42"/>
      <c r="F229" s="54"/>
      <c r="G229" s="54"/>
      <c r="H229" s="54"/>
      <c r="I229" s="54"/>
      <c r="J229" s="54"/>
      <c r="K229" s="54"/>
      <c r="L229" s="54"/>
      <c r="M229" s="54"/>
      <c r="N229" s="54"/>
      <c r="O229" s="54"/>
      <c r="P229" s="42"/>
      <c r="Q229" s="42"/>
      <c r="R229" s="42"/>
      <c r="S229" s="42"/>
      <c r="T229" s="42"/>
      <c r="U229" s="54"/>
      <c r="V229" s="54"/>
      <c r="W229" s="54"/>
      <c r="X229" s="42"/>
      <c r="Y229" s="193"/>
      <c r="Z229" s="193"/>
      <c r="AA229" s="193"/>
      <c r="AB229" s="193"/>
      <c r="AC229" s="193"/>
      <c r="AD229" s="193"/>
      <c r="AE229" s="193"/>
      <c r="AF229" s="193"/>
      <c r="AG229" s="193"/>
      <c r="AH229" s="193"/>
      <c r="AI229" s="193"/>
      <c r="AJ229" s="193"/>
      <c r="AK229" s="193"/>
      <c r="AL229" s="208"/>
      <c r="AM229" s="208"/>
      <c r="AN229" s="208"/>
      <c r="AO229" s="208"/>
      <c r="AP229" s="193"/>
      <c r="AQ229" s="193"/>
      <c r="AR229" s="193"/>
      <c r="AS229" s="193"/>
      <c r="AT229" s="193"/>
      <c r="AU229" s="193"/>
      <c r="AV229" s="193"/>
      <c r="AW229" s="193"/>
      <c r="AX229" s="193"/>
      <c r="AY229" s="193"/>
    </row>
    <row r="230" spans="1:51" x14ac:dyDescent="0.25">
      <c r="A230" s="96"/>
      <c r="B230" s="96"/>
      <c r="C230" s="42"/>
      <c r="D230" s="42"/>
      <c r="E230" s="42"/>
      <c r="F230" s="54"/>
      <c r="G230" s="54"/>
      <c r="H230" s="54"/>
      <c r="I230" s="54"/>
      <c r="J230" s="54"/>
      <c r="K230" s="54"/>
      <c r="L230" s="54"/>
      <c r="M230" s="54"/>
      <c r="N230" s="54"/>
      <c r="O230" s="54"/>
      <c r="P230" s="42"/>
      <c r="Q230" s="42"/>
      <c r="R230" s="42"/>
      <c r="S230" s="42"/>
      <c r="T230" s="42"/>
      <c r="U230" s="54"/>
      <c r="V230" s="54"/>
      <c r="W230" s="54"/>
      <c r="X230" s="42"/>
      <c r="Y230" s="193"/>
      <c r="Z230" s="193"/>
      <c r="AA230" s="193"/>
      <c r="AB230" s="193"/>
      <c r="AC230" s="193"/>
      <c r="AD230" s="193"/>
      <c r="AE230" s="193"/>
      <c r="AF230" s="193"/>
      <c r="AG230" s="193"/>
      <c r="AH230" s="193"/>
      <c r="AI230" s="193"/>
      <c r="AJ230" s="193"/>
      <c r="AK230" s="193"/>
      <c r="AL230" s="208"/>
      <c r="AM230" s="208"/>
      <c r="AN230" s="208"/>
      <c r="AO230" s="208"/>
      <c r="AP230" s="193"/>
      <c r="AQ230" s="193"/>
      <c r="AR230" s="193"/>
      <c r="AS230" s="193"/>
      <c r="AT230" s="193"/>
      <c r="AU230" s="193"/>
      <c r="AV230" s="193"/>
      <c r="AW230" s="193"/>
      <c r="AX230" s="193"/>
      <c r="AY230" s="193"/>
    </row>
    <row r="231" spans="1:51" x14ac:dyDescent="0.25">
      <c r="A231" s="96"/>
      <c r="B231" s="96"/>
      <c r="C231" s="42"/>
      <c r="D231" s="42"/>
      <c r="E231" s="42"/>
      <c r="F231" s="54"/>
      <c r="G231" s="54"/>
      <c r="H231" s="54"/>
      <c r="I231" s="54"/>
      <c r="J231" s="54"/>
      <c r="K231" s="54"/>
      <c r="L231" s="54"/>
      <c r="M231" s="54"/>
      <c r="N231" s="54"/>
      <c r="O231" s="54"/>
      <c r="P231" s="42"/>
      <c r="Q231" s="42"/>
      <c r="R231" s="42"/>
      <c r="S231" s="42"/>
      <c r="T231" s="42"/>
      <c r="U231" s="54"/>
      <c r="V231" s="54"/>
      <c r="W231" s="54"/>
      <c r="X231" s="42"/>
      <c r="Y231" s="193"/>
      <c r="Z231" s="193"/>
      <c r="AA231" s="193"/>
      <c r="AB231" s="193"/>
      <c r="AC231" s="193"/>
      <c r="AD231" s="193"/>
      <c r="AE231" s="193"/>
      <c r="AF231" s="193"/>
      <c r="AG231" s="193"/>
      <c r="AH231" s="193"/>
      <c r="AI231" s="193"/>
      <c r="AJ231" s="193"/>
      <c r="AK231" s="193"/>
      <c r="AL231" s="208"/>
      <c r="AM231" s="208"/>
      <c r="AN231" s="208"/>
      <c r="AO231" s="208"/>
      <c r="AP231" s="193"/>
      <c r="AQ231" s="193"/>
      <c r="AR231" s="193"/>
      <c r="AS231" s="193"/>
      <c r="AT231" s="193"/>
      <c r="AU231" s="193"/>
      <c r="AV231" s="193"/>
      <c r="AW231" s="193"/>
      <c r="AX231" s="193"/>
      <c r="AY231" s="193"/>
    </row>
    <row r="232" spans="1:51" x14ac:dyDescent="0.25">
      <c r="A232" s="96"/>
      <c r="B232" s="96"/>
      <c r="C232" s="42"/>
      <c r="D232" s="42"/>
      <c r="E232" s="42"/>
      <c r="F232" s="54"/>
      <c r="G232" s="54"/>
      <c r="H232" s="54"/>
      <c r="I232" s="54"/>
      <c r="J232" s="54"/>
      <c r="K232" s="54"/>
      <c r="L232" s="54"/>
      <c r="M232" s="54"/>
      <c r="N232" s="54"/>
      <c r="O232" s="54"/>
      <c r="P232" s="42"/>
      <c r="Q232" s="42"/>
      <c r="R232" s="42"/>
      <c r="S232" s="42"/>
      <c r="T232" s="42"/>
      <c r="U232" s="54"/>
      <c r="V232" s="54"/>
      <c r="W232" s="54"/>
      <c r="X232" s="42"/>
      <c r="Y232" s="193"/>
      <c r="Z232" s="193"/>
      <c r="AA232" s="193"/>
      <c r="AB232" s="193"/>
      <c r="AC232" s="193"/>
      <c r="AD232" s="193"/>
      <c r="AE232" s="193"/>
      <c r="AF232" s="193"/>
      <c r="AG232" s="193"/>
      <c r="AH232" s="193"/>
      <c r="AI232" s="193"/>
      <c r="AJ232" s="193"/>
      <c r="AK232" s="193"/>
      <c r="AL232" s="208"/>
      <c r="AM232" s="208"/>
      <c r="AN232" s="208"/>
      <c r="AO232" s="208"/>
      <c r="AP232" s="193"/>
      <c r="AQ232" s="193"/>
      <c r="AR232" s="193"/>
      <c r="AS232" s="193"/>
      <c r="AT232" s="193"/>
      <c r="AU232" s="193"/>
      <c r="AV232" s="193"/>
      <c r="AW232" s="193"/>
      <c r="AX232" s="193"/>
      <c r="AY232" s="193"/>
    </row>
    <row r="233" spans="1:51" x14ac:dyDescent="0.25">
      <c r="A233" s="96"/>
      <c r="B233" s="96"/>
      <c r="C233" s="42"/>
      <c r="D233" s="42"/>
      <c r="E233" s="42"/>
      <c r="F233" s="54"/>
      <c r="G233" s="54"/>
      <c r="H233" s="54"/>
      <c r="I233" s="54"/>
      <c r="J233" s="54"/>
      <c r="K233" s="54"/>
      <c r="L233" s="54"/>
      <c r="M233" s="54"/>
      <c r="N233" s="54"/>
      <c r="O233" s="54"/>
      <c r="P233" s="42"/>
      <c r="Q233" s="42"/>
      <c r="R233" s="42"/>
      <c r="S233" s="42"/>
      <c r="T233" s="42"/>
      <c r="U233" s="54"/>
      <c r="V233" s="54"/>
      <c r="W233" s="54"/>
      <c r="X233" s="42"/>
      <c r="Y233" s="193"/>
      <c r="Z233" s="193"/>
      <c r="AA233" s="193"/>
      <c r="AB233" s="193"/>
      <c r="AC233" s="193"/>
      <c r="AD233" s="193"/>
      <c r="AE233" s="193"/>
      <c r="AF233" s="193"/>
      <c r="AG233" s="193"/>
      <c r="AH233" s="193"/>
      <c r="AI233" s="193"/>
      <c r="AJ233" s="193"/>
      <c r="AK233" s="193"/>
      <c r="AL233" s="208"/>
      <c r="AM233" s="208"/>
      <c r="AN233" s="208"/>
      <c r="AO233" s="208"/>
      <c r="AP233" s="193"/>
      <c r="AQ233" s="193"/>
      <c r="AR233" s="193"/>
      <c r="AS233" s="193"/>
      <c r="AT233" s="193"/>
      <c r="AU233" s="193"/>
      <c r="AV233" s="193"/>
      <c r="AW233" s="193"/>
      <c r="AX233" s="193"/>
      <c r="AY233" s="193"/>
    </row>
    <row r="234" spans="1:51" x14ac:dyDescent="0.25">
      <c r="A234" s="96"/>
      <c r="B234" s="96"/>
      <c r="C234" s="42"/>
      <c r="D234" s="42"/>
      <c r="E234" s="42"/>
      <c r="F234" s="54"/>
      <c r="G234" s="54"/>
      <c r="H234" s="54"/>
      <c r="I234" s="54"/>
      <c r="J234" s="54"/>
      <c r="K234" s="54"/>
      <c r="L234" s="54"/>
      <c r="M234" s="54"/>
      <c r="N234" s="54"/>
      <c r="O234" s="54"/>
      <c r="P234" s="42"/>
      <c r="Q234" s="42"/>
      <c r="R234" s="42"/>
      <c r="S234" s="42"/>
      <c r="T234" s="42"/>
      <c r="U234" s="54"/>
      <c r="V234" s="54"/>
      <c r="W234" s="54"/>
      <c r="X234" s="42"/>
      <c r="Y234" s="193"/>
      <c r="Z234" s="193"/>
      <c r="AA234" s="193"/>
      <c r="AB234" s="193"/>
      <c r="AC234" s="193"/>
      <c r="AD234" s="193"/>
      <c r="AE234" s="193"/>
      <c r="AF234" s="193"/>
      <c r="AG234" s="193"/>
      <c r="AH234" s="193"/>
      <c r="AI234" s="193"/>
      <c r="AJ234" s="193"/>
      <c r="AK234" s="193"/>
      <c r="AL234" s="208"/>
      <c r="AM234" s="208"/>
      <c r="AN234" s="208"/>
      <c r="AO234" s="208"/>
      <c r="AP234" s="193"/>
      <c r="AQ234" s="193"/>
      <c r="AR234" s="193"/>
      <c r="AS234" s="193"/>
      <c r="AT234" s="193"/>
      <c r="AU234" s="193"/>
      <c r="AV234" s="193"/>
      <c r="AW234" s="193"/>
      <c r="AX234" s="193"/>
      <c r="AY234" s="193"/>
    </row>
    <row r="235" spans="1:51" x14ac:dyDescent="0.25">
      <c r="A235" s="96"/>
      <c r="B235" s="96"/>
      <c r="C235" s="42"/>
      <c r="D235" s="42"/>
      <c r="E235" s="42"/>
      <c r="F235" s="54"/>
      <c r="G235" s="54"/>
      <c r="H235" s="54"/>
      <c r="I235" s="54"/>
      <c r="J235" s="54"/>
      <c r="K235" s="54"/>
      <c r="L235" s="54"/>
      <c r="M235" s="54"/>
      <c r="N235" s="54"/>
      <c r="O235" s="54"/>
      <c r="P235" s="42"/>
      <c r="Q235" s="42"/>
      <c r="R235" s="42"/>
      <c r="S235" s="42"/>
      <c r="T235" s="42"/>
      <c r="U235" s="54"/>
      <c r="V235" s="54"/>
      <c r="W235" s="54"/>
      <c r="X235" s="42"/>
      <c r="Y235" s="193"/>
      <c r="Z235" s="193"/>
      <c r="AA235" s="193"/>
      <c r="AB235" s="193"/>
      <c r="AC235" s="193"/>
      <c r="AD235" s="193"/>
      <c r="AE235" s="193"/>
      <c r="AF235" s="193"/>
      <c r="AG235" s="193"/>
      <c r="AH235" s="193"/>
      <c r="AI235" s="193"/>
      <c r="AJ235" s="193"/>
      <c r="AK235" s="193"/>
      <c r="AL235" s="208"/>
      <c r="AM235" s="208"/>
      <c r="AN235" s="208"/>
      <c r="AO235" s="208"/>
      <c r="AP235" s="193"/>
      <c r="AQ235" s="193"/>
      <c r="AR235" s="193"/>
      <c r="AS235" s="193"/>
      <c r="AT235" s="193"/>
      <c r="AU235" s="193"/>
      <c r="AV235" s="193"/>
      <c r="AW235" s="193"/>
      <c r="AX235" s="193"/>
      <c r="AY235" s="193"/>
    </row>
    <row r="236" spans="1:51" x14ac:dyDescent="0.25">
      <c r="A236" s="96"/>
      <c r="B236" s="96"/>
      <c r="C236" s="42"/>
      <c r="D236" s="42"/>
      <c r="E236" s="42"/>
      <c r="F236" s="54"/>
      <c r="G236" s="54"/>
      <c r="H236" s="54"/>
      <c r="I236" s="54"/>
      <c r="J236" s="54"/>
      <c r="K236" s="54"/>
      <c r="L236" s="54"/>
      <c r="M236" s="54"/>
      <c r="N236" s="54"/>
      <c r="O236" s="54"/>
      <c r="P236" s="42"/>
      <c r="Q236" s="42"/>
      <c r="R236" s="42"/>
      <c r="S236" s="42"/>
      <c r="T236" s="42"/>
      <c r="U236" s="54"/>
      <c r="V236" s="54"/>
      <c r="W236" s="54"/>
      <c r="X236" s="42"/>
      <c r="Y236" s="193"/>
      <c r="Z236" s="193"/>
      <c r="AA236" s="193"/>
      <c r="AB236" s="193"/>
      <c r="AC236" s="193"/>
      <c r="AD236" s="193"/>
      <c r="AE236" s="193"/>
      <c r="AF236" s="193"/>
      <c r="AG236" s="193"/>
      <c r="AH236" s="193"/>
      <c r="AI236" s="193"/>
      <c r="AJ236" s="193"/>
      <c r="AK236" s="193"/>
      <c r="AL236" s="208"/>
      <c r="AM236" s="208"/>
      <c r="AN236" s="208"/>
      <c r="AO236" s="208"/>
      <c r="AP236" s="193"/>
      <c r="AQ236" s="193"/>
      <c r="AR236" s="193"/>
      <c r="AS236" s="193"/>
      <c r="AT236" s="193"/>
      <c r="AU236" s="193"/>
      <c r="AV236" s="193"/>
      <c r="AW236" s="193"/>
      <c r="AX236" s="193"/>
      <c r="AY236" s="193"/>
    </row>
    <row r="237" spans="1:51" x14ac:dyDescent="0.25">
      <c r="A237" s="96"/>
      <c r="B237" s="96"/>
      <c r="C237" s="42"/>
      <c r="D237" s="42"/>
      <c r="E237" s="42"/>
      <c r="F237" s="54"/>
      <c r="G237" s="54"/>
      <c r="H237" s="54"/>
      <c r="I237" s="54"/>
      <c r="J237" s="54"/>
      <c r="K237" s="54"/>
      <c r="L237" s="54"/>
      <c r="M237" s="54"/>
      <c r="N237" s="54"/>
      <c r="O237" s="54"/>
      <c r="P237" s="42"/>
      <c r="Q237" s="42"/>
      <c r="R237" s="42"/>
      <c r="S237" s="42"/>
      <c r="T237" s="42"/>
      <c r="U237" s="54"/>
      <c r="V237" s="54"/>
      <c r="W237" s="54"/>
      <c r="X237" s="42"/>
      <c r="Y237" s="193"/>
      <c r="Z237" s="193"/>
      <c r="AA237" s="193"/>
      <c r="AB237" s="193"/>
      <c r="AC237" s="193"/>
      <c r="AD237" s="193"/>
      <c r="AE237" s="193"/>
      <c r="AF237" s="193"/>
      <c r="AG237" s="193"/>
      <c r="AH237" s="193"/>
      <c r="AI237" s="193"/>
      <c r="AJ237" s="193"/>
      <c r="AK237" s="193"/>
      <c r="AL237" s="208"/>
      <c r="AM237" s="208"/>
      <c r="AN237" s="208"/>
      <c r="AO237" s="208"/>
      <c r="AP237" s="193"/>
      <c r="AQ237" s="193"/>
      <c r="AR237" s="193"/>
      <c r="AS237" s="193"/>
      <c r="AT237" s="193"/>
      <c r="AU237" s="193"/>
      <c r="AV237" s="193"/>
      <c r="AW237" s="193"/>
      <c r="AX237" s="193"/>
      <c r="AY237" s="193"/>
    </row>
    <row r="238" spans="1:51" x14ac:dyDescent="0.25">
      <c r="A238" s="96"/>
      <c r="B238" s="96"/>
      <c r="C238" s="42"/>
      <c r="D238" s="42"/>
      <c r="E238" s="42"/>
      <c r="F238" s="54"/>
      <c r="G238" s="54"/>
      <c r="H238" s="54"/>
      <c r="I238" s="54"/>
      <c r="J238" s="54"/>
      <c r="K238" s="54"/>
      <c r="L238" s="54"/>
      <c r="M238" s="54"/>
      <c r="N238" s="54"/>
      <c r="O238" s="54"/>
      <c r="P238" s="42"/>
      <c r="Q238" s="42"/>
      <c r="R238" s="42"/>
      <c r="S238" s="42"/>
      <c r="T238" s="42"/>
      <c r="U238" s="54"/>
      <c r="V238" s="54"/>
      <c r="W238" s="54"/>
      <c r="X238" s="42"/>
      <c r="Y238" s="193"/>
      <c r="Z238" s="193"/>
      <c r="AA238" s="193"/>
      <c r="AB238" s="193"/>
      <c r="AC238" s="193"/>
      <c r="AD238" s="193"/>
      <c r="AE238" s="193"/>
      <c r="AF238" s="193"/>
      <c r="AG238" s="193"/>
      <c r="AH238" s="193"/>
      <c r="AI238" s="193"/>
      <c r="AJ238" s="193"/>
      <c r="AK238" s="193"/>
      <c r="AL238" s="208"/>
      <c r="AM238" s="208"/>
      <c r="AN238" s="208"/>
      <c r="AO238" s="208"/>
      <c r="AP238" s="193"/>
      <c r="AQ238" s="193"/>
      <c r="AR238" s="193"/>
      <c r="AS238" s="193"/>
      <c r="AT238" s="193"/>
      <c r="AU238" s="193"/>
      <c r="AV238" s="193"/>
      <c r="AW238" s="193"/>
      <c r="AX238" s="193"/>
      <c r="AY238" s="193"/>
    </row>
    <row r="239" spans="1:51" x14ac:dyDescent="0.25">
      <c r="A239" s="96"/>
      <c r="B239" s="96"/>
      <c r="C239" s="42"/>
      <c r="D239" s="42"/>
      <c r="E239" s="42"/>
      <c r="F239" s="54"/>
      <c r="G239" s="54"/>
      <c r="H239" s="54"/>
      <c r="I239" s="54"/>
      <c r="J239" s="54"/>
      <c r="K239" s="54"/>
      <c r="L239" s="54"/>
      <c r="M239" s="54"/>
      <c r="N239" s="54"/>
      <c r="O239" s="54"/>
      <c r="P239" s="42"/>
      <c r="Q239" s="42"/>
      <c r="R239" s="42"/>
      <c r="S239" s="42"/>
      <c r="T239" s="42"/>
      <c r="U239" s="54"/>
      <c r="V239" s="54"/>
      <c r="W239" s="54"/>
      <c r="X239" s="42"/>
      <c r="Y239" s="193"/>
      <c r="Z239" s="193"/>
      <c r="AA239" s="193"/>
      <c r="AB239" s="193"/>
      <c r="AC239" s="193"/>
      <c r="AD239" s="193"/>
      <c r="AE239" s="193"/>
      <c r="AF239" s="193"/>
      <c r="AG239" s="193"/>
      <c r="AH239" s="193"/>
      <c r="AI239" s="193"/>
      <c r="AJ239" s="193"/>
      <c r="AK239" s="193"/>
      <c r="AL239" s="208"/>
      <c r="AM239" s="208"/>
      <c r="AN239" s="208"/>
      <c r="AO239" s="208"/>
      <c r="AP239" s="193"/>
      <c r="AQ239" s="193"/>
      <c r="AR239" s="193"/>
      <c r="AS239" s="193"/>
      <c r="AT239" s="193"/>
      <c r="AU239" s="193"/>
      <c r="AV239" s="193"/>
      <c r="AW239" s="193"/>
      <c r="AX239" s="193"/>
      <c r="AY239" s="193"/>
    </row>
    <row r="240" spans="1:51" x14ac:dyDescent="0.25">
      <c r="A240" s="96"/>
      <c r="B240" s="96"/>
      <c r="C240" s="42"/>
      <c r="D240" s="42"/>
      <c r="E240" s="42"/>
      <c r="F240" s="54"/>
      <c r="G240" s="54"/>
      <c r="H240" s="54"/>
      <c r="I240" s="54"/>
      <c r="J240" s="54"/>
      <c r="K240" s="54"/>
      <c r="L240" s="54"/>
      <c r="M240" s="54"/>
      <c r="N240" s="54"/>
      <c r="O240" s="54"/>
      <c r="P240" s="42"/>
      <c r="Q240" s="42"/>
      <c r="R240" s="42"/>
      <c r="S240" s="42"/>
      <c r="T240" s="42"/>
      <c r="U240" s="54"/>
      <c r="V240" s="54"/>
      <c r="W240" s="54"/>
      <c r="X240" s="42"/>
      <c r="Y240" s="193"/>
      <c r="Z240" s="193"/>
      <c r="AA240" s="193"/>
      <c r="AB240" s="193"/>
      <c r="AC240" s="193"/>
      <c r="AD240" s="193"/>
      <c r="AE240" s="193"/>
      <c r="AF240" s="193"/>
      <c r="AG240" s="193"/>
      <c r="AH240" s="193"/>
      <c r="AI240" s="193"/>
      <c r="AJ240" s="193"/>
      <c r="AK240" s="193"/>
      <c r="AL240" s="208"/>
      <c r="AM240" s="208"/>
      <c r="AN240" s="208"/>
      <c r="AO240" s="208"/>
      <c r="AP240" s="193"/>
      <c r="AQ240" s="193"/>
      <c r="AR240" s="193"/>
      <c r="AS240" s="193"/>
      <c r="AT240" s="193"/>
      <c r="AU240" s="193"/>
      <c r="AV240" s="193"/>
      <c r="AW240" s="193"/>
      <c r="AX240" s="193"/>
      <c r="AY240" s="193"/>
    </row>
    <row r="241" spans="1:51" x14ac:dyDescent="0.25">
      <c r="A241" s="96"/>
      <c r="B241" s="96"/>
      <c r="C241" s="42"/>
      <c r="D241" s="42"/>
      <c r="E241" s="42"/>
      <c r="F241" s="54"/>
      <c r="G241" s="54"/>
      <c r="H241" s="54"/>
      <c r="I241" s="54"/>
      <c r="J241" s="54"/>
      <c r="K241" s="54"/>
      <c r="L241" s="54"/>
      <c r="M241" s="54"/>
      <c r="N241" s="54"/>
      <c r="O241" s="54"/>
      <c r="P241" s="42"/>
      <c r="Q241" s="42"/>
      <c r="R241" s="42"/>
      <c r="S241" s="42"/>
      <c r="T241" s="42"/>
      <c r="U241" s="54"/>
      <c r="V241" s="54"/>
      <c r="W241" s="54"/>
      <c r="X241" s="42"/>
      <c r="Y241" s="193"/>
      <c r="Z241" s="193"/>
      <c r="AA241" s="193"/>
      <c r="AB241" s="193"/>
      <c r="AC241" s="193"/>
      <c r="AD241" s="193"/>
      <c r="AE241" s="193"/>
      <c r="AF241" s="193"/>
      <c r="AG241" s="193"/>
      <c r="AH241" s="193"/>
      <c r="AI241" s="193"/>
      <c r="AJ241" s="193"/>
      <c r="AK241" s="193"/>
      <c r="AL241" s="208"/>
      <c r="AM241" s="208"/>
      <c r="AN241" s="208"/>
      <c r="AO241" s="208"/>
      <c r="AP241" s="193"/>
      <c r="AQ241" s="193"/>
      <c r="AR241" s="193"/>
      <c r="AS241" s="193"/>
      <c r="AT241" s="193"/>
      <c r="AU241" s="193"/>
      <c r="AV241" s="193"/>
      <c r="AW241" s="193"/>
      <c r="AX241" s="193"/>
      <c r="AY241" s="193"/>
    </row>
    <row r="242" spans="1:51" x14ac:dyDescent="0.25">
      <c r="A242" s="96"/>
      <c r="B242" s="96"/>
      <c r="C242" s="42"/>
      <c r="D242" s="42"/>
      <c r="E242" s="42"/>
      <c r="F242" s="54"/>
      <c r="G242" s="54"/>
      <c r="H242" s="54"/>
      <c r="I242" s="54"/>
      <c r="J242" s="54"/>
      <c r="K242" s="54"/>
      <c r="L242" s="54"/>
      <c r="M242" s="54"/>
      <c r="N242" s="54"/>
      <c r="O242" s="54"/>
      <c r="P242" s="42"/>
      <c r="Q242" s="42"/>
      <c r="R242" s="42"/>
      <c r="S242" s="42"/>
      <c r="T242" s="42"/>
      <c r="U242" s="54"/>
      <c r="V242" s="54"/>
      <c r="W242" s="54"/>
      <c r="X242" s="42"/>
      <c r="Y242" s="193"/>
      <c r="Z242" s="193"/>
      <c r="AA242" s="193"/>
      <c r="AB242" s="193"/>
      <c r="AC242" s="193"/>
      <c r="AD242" s="193"/>
      <c r="AE242" s="193"/>
      <c r="AF242" s="193"/>
      <c r="AG242" s="193"/>
      <c r="AH242" s="193"/>
      <c r="AI242" s="193"/>
      <c r="AJ242" s="193"/>
      <c r="AK242" s="193"/>
      <c r="AL242" s="208"/>
      <c r="AM242" s="208"/>
      <c r="AN242" s="208"/>
      <c r="AO242" s="208"/>
      <c r="AP242" s="193"/>
      <c r="AQ242" s="193"/>
      <c r="AR242" s="193"/>
      <c r="AS242" s="193"/>
      <c r="AT242" s="193"/>
      <c r="AU242" s="193"/>
      <c r="AV242" s="193"/>
      <c r="AW242" s="193"/>
      <c r="AX242" s="193"/>
      <c r="AY242" s="193"/>
    </row>
    <row r="243" spans="1:51" x14ac:dyDescent="0.25">
      <c r="A243" s="96"/>
      <c r="B243" s="96"/>
      <c r="C243" s="42"/>
      <c r="D243" s="42"/>
      <c r="E243" s="42"/>
      <c r="F243" s="54"/>
      <c r="G243" s="54"/>
      <c r="H243" s="54"/>
      <c r="I243" s="54"/>
      <c r="J243" s="54"/>
      <c r="K243" s="54"/>
      <c r="L243" s="54"/>
      <c r="M243" s="54"/>
      <c r="N243" s="54"/>
      <c r="O243" s="54"/>
      <c r="P243" s="42"/>
      <c r="Q243" s="42"/>
      <c r="R243" s="42"/>
      <c r="S243" s="42"/>
      <c r="T243" s="42"/>
      <c r="U243" s="54"/>
      <c r="V243" s="54"/>
      <c r="W243" s="54"/>
      <c r="X243" s="42"/>
      <c r="Y243" s="193"/>
      <c r="Z243" s="193"/>
      <c r="AA243" s="193"/>
      <c r="AB243" s="193"/>
      <c r="AC243" s="193"/>
      <c r="AD243" s="193"/>
      <c r="AE243" s="193"/>
      <c r="AF243" s="193"/>
      <c r="AG243" s="193"/>
      <c r="AH243" s="193"/>
      <c r="AI243" s="193"/>
      <c r="AJ243" s="193"/>
      <c r="AK243" s="193"/>
      <c r="AL243" s="208"/>
      <c r="AM243" s="208"/>
      <c r="AN243" s="208"/>
      <c r="AO243" s="208"/>
      <c r="AP243" s="193"/>
      <c r="AQ243" s="193"/>
      <c r="AR243" s="193"/>
      <c r="AS243" s="193"/>
      <c r="AT243" s="193"/>
      <c r="AU243" s="193"/>
      <c r="AV243" s="193"/>
      <c r="AW243" s="193"/>
      <c r="AX243" s="193"/>
      <c r="AY243" s="193"/>
    </row>
    <row r="244" spans="1:51" x14ac:dyDescent="0.25">
      <c r="A244" s="96"/>
      <c r="B244" s="96"/>
      <c r="C244" s="42"/>
      <c r="D244" s="42"/>
      <c r="E244" s="42"/>
      <c r="F244" s="54"/>
      <c r="G244" s="54"/>
      <c r="H244" s="54"/>
      <c r="I244" s="54"/>
      <c r="J244" s="54"/>
      <c r="K244" s="54"/>
      <c r="L244" s="54"/>
      <c r="M244" s="54"/>
      <c r="N244" s="54"/>
      <c r="O244" s="54"/>
      <c r="P244" s="42"/>
      <c r="Q244" s="42"/>
      <c r="R244" s="42"/>
      <c r="S244" s="42"/>
      <c r="T244" s="42"/>
      <c r="U244" s="54"/>
      <c r="V244" s="54"/>
      <c r="W244" s="54"/>
      <c r="X244" s="42"/>
      <c r="Y244" s="193"/>
      <c r="Z244" s="193"/>
      <c r="AA244" s="193"/>
      <c r="AB244" s="193"/>
      <c r="AC244" s="193"/>
      <c r="AD244" s="193"/>
      <c r="AE244" s="193"/>
      <c r="AF244" s="193"/>
      <c r="AG244" s="193"/>
      <c r="AH244" s="193"/>
      <c r="AI244" s="193"/>
      <c r="AJ244" s="193"/>
      <c r="AK244" s="193"/>
      <c r="AL244" s="208"/>
      <c r="AM244" s="208"/>
      <c r="AN244" s="208"/>
      <c r="AO244" s="208"/>
      <c r="AP244" s="193"/>
      <c r="AQ244" s="193"/>
      <c r="AR244" s="193"/>
      <c r="AS244" s="193"/>
      <c r="AT244" s="193"/>
      <c r="AU244" s="193"/>
      <c r="AV244" s="193"/>
      <c r="AW244" s="193"/>
      <c r="AX244" s="193"/>
      <c r="AY244" s="193"/>
    </row>
    <row r="245" spans="1:51" x14ac:dyDescent="0.25">
      <c r="A245" s="96"/>
      <c r="B245" s="96"/>
      <c r="C245" s="42"/>
      <c r="D245" s="42"/>
      <c r="E245" s="42"/>
      <c r="F245" s="54"/>
      <c r="G245" s="54"/>
      <c r="H245" s="54"/>
      <c r="I245" s="54"/>
      <c r="J245" s="54"/>
      <c r="K245" s="54"/>
      <c r="L245" s="54"/>
      <c r="M245" s="54"/>
      <c r="N245" s="54"/>
      <c r="O245" s="54"/>
      <c r="P245" s="42"/>
      <c r="Q245" s="42"/>
      <c r="R245" s="42"/>
      <c r="S245" s="42"/>
      <c r="T245" s="42"/>
      <c r="U245" s="54"/>
      <c r="V245" s="54"/>
      <c r="W245" s="54"/>
      <c r="X245" s="42"/>
      <c r="Y245" s="193"/>
      <c r="Z245" s="193"/>
      <c r="AA245" s="193"/>
      <c r="AB245" s="193"/>
      <c r="AC245" s="193"/>
      <c r="AD245" s="193"/>
      <c r="AE245" s="193"/>
      <c r="AF245" s="193"/>
      <c r="AG245" s="193"/>
      <c r="AH245" s="193"/>
      <c r="AI245" s="193"/>
      <c r="AJ245" s="193"/>
      <c r="AK245" s="193"/>
      <c r="AL245" s="208"/>
      <c r="AM245" s="208"/>
      <c r="AN245" s="208"/>
      <c r="AO245" s="208"/>
      <c r="AP245" s="193"/>
      <c r="AQ245" s="193"/>
      <c r="AR245" s="193"/>
      <c r="AS245" s="193"/>
      <c r="AT245" s="193"/>
      <c r="AU245" s="193"/>
      <c r="AV245" s="193"/>
      <c r="AW245" s="193"/>
      <c r="AX245" s="193"/>
      <c r="AY245" s="193"/>
    </row>
    <row r="246" spans="1:51" x14ac:dyDescent="0.25">
      <c r="A246" s="96"/>
      <c r="B246" s="96"/>
      <c r="C246" s="42"/>
      <c r="D246" s="42"/>
      <c r="E246" s="42"/>
      <c r="F246" s="54"/>
      <c r="G246" s="54"/>
      <c r="H246" s="54"/>
      <c r="I246" s="54"/>
      <c r="J246" s="54"/>
      <c r="K246" s="54"/>
      <c r="L246" s="54"/>
      <c r="M246" s="54"/>
      <c r="N246" s="54"/>
      <c r="O246" s="54"/>
      <c r="P246" s="42"/>
      <c r="Q246" s="42"/>
      <c r="R246" s="42"/>
      <c r="S246" s="42"/>
      <c r="T246" s="42"/>
      <c r="U246" s="54"/>
      <c r="V246" s="54"/>
      <c r="W246" s="54"/>
      <c r="X246" s="42"/>
      <c r="Y246" s="193"/>
      <c r="Z246" s="193"/>
      <c r="AA246" s="193"/>
      <c r="AB246" s="193"/>
      <c r="AC246" s="193"/>
      <c r="AD246" s="193"/>
      <c r="AE246" s="193"/>
      <c r="AF246" s="193"/>
      <c r="AG246" s="193"/>
      <c r="AH246" s="193"/>
      <c r="AI246" s="193"/>
      <c r="AJ246" s="193"/>
      <c r="AK246" s="193"/>
      <c r="AL246" s="208"/>
      <c r="AM246" s="208"/>
      <c r="AN246" s="208"/>
      <c r="AO246" s="208"/>
      <c r="AP246" s="193"/>
      <c r="AQ246" s="193"/>
      <c r="AR246" s="193"/>
      <c r="AS246" s="193"/>
      <c r="AT246" s="193"/>
      <c r="AU246" s="193"/>
      <c r="AV246" s="193"/>
      <c r="AW246" s="193"/>
      <c r="AX246" s="193"/>
      <c r="AY246" s="193"/>
    </row>
    <row r="247" spans="1:51" x14ac:dyDescent="0.25">
      <c r="A247" s="96"/>
      <c r="B247" s="96"/>
      <c r="C247" s="42"/>
      <c r="D247" s="42"/>
      <c r="E247" s="42"/>
      <c r="F247" s="54"/>
      <c r="G247" s="54"/>
      <c r="H247" s="54"/>
      <c r="I247" s="54"/>
      <c r="J247" s="54"/>
      <c r="K247" s="54"/>
      <c r="L247" s="54"/>
      <c r="M247" s="54"/>
      <c r="N247" s="54"/>
      <c r="O247" s="54"/>
      <c r="P247" s="42"/>
      <c r="Q247" s="42"/>
      <c r="R247" s="42"/>
      <c r="S247" s="42"/>
      <c r="T247" s="42"/>
      <c r="U247" s="54"/>
      <c r="V247" s="54"/>
      <c r="W247" s="54"/>
      <c r="X247" s="42"/>
      <c r="Y247" s="193"/>
      <c r="Z247" s="193"/>
      <c r="AA247" s="193"/>
      <c r="AB247" s="193"/>
      <c r="AC247" s="193"/>
      <c r="AD247" s="193"/>
      <c r="AE247" s="193"/>
      <c r="AF247" s="193"/>
      <c r="AG247" s="193"/>
      <c r="AH247" s="193"/>
      <c r="AI247" s="193"/>
      <c r="AJ247" s="193"/>
      <c r="AK247" s="193"/>
      <c r="AL247" s="208"/>
      <c r="AM247" s="208"/>
      <c r="AN247" s="208"/>
      <c r="AO247" s="208"/>
      <c r="AP247" s="193"/>
      <c r="AQ247" s="193"/>
      <c r="AR247" s="193"/>
      <c r="AS247" s="193"/>
      <c r="AT247" s="193"/>
      <c r="AU247" s="193"/>
      <c r="AV247" s="193"/>
      <c r="AW247" s="193"/>
      <c r="AX247" s="193"/>
      <c r="AY247" s="193"/>
    </row>
    <row r="248" spans="1:51" x14ac:dyDescent="0.25">
      <c r="A248" s="96"/>
      <c r="B248" s="96"/>
      <c r="C248" s="42"/>
      <c r="D248" s="42"/>
      <c r="E248" s="42"/>
      <c r="F248" s="54"/>
      <c r="G248" s="54"/>
      <c r="H248" s="54"/>
      <c r="I248" s="54"/>
      <c r="J248" s="54"/>
      <c r="K248" s="54"/>
      <c r="L248" s="54"/>
      <c r="M248" s="54"/>
      <c r="N248" s="54"/>
      <c r="O248" s="54"/>
      <c r="P248" s="42"/>
      <c r="Q248" s="42"/>
      <c r="R248" s="42"/>
      <c r="S248" s="42"/>
      <c r="T248" s="42"/>
      <c r="U248" s="54"/>
      <c r="V248" s="54"/>
      <c r="W248" s="54"/>
      <c r="X248" s="42"/>
      <c r="Y248" s="193"/>
      <c r="Z248" s="193"/>
      <c r="AA248" s="193"/>
      <c r="AB248" s="193"/>
      <c r="AC248" s="193"/>
      <c r="AD248" s="193"/>
      <c r="AE248" s="193"/>
      <c r="AF248" s="193"/>
      <c r="AG248" s="193"/>
      <c r="AH248" s="193"/>
      <c r="AI248" s="193"/>
      <c r="AJ248" s="193"/>
      <c r="AK248" s="193"/>
      <c r="AL248" s="208"/>
      <c r="AM248" s="208"/>
      <c r="AN248" s="208"/>
      <c r="AO248" s="208"/>
      <c r="AP248" s="193"/>
      <c r="AQ248" s="193"/>
      <c r="AR248" s="193"/>
      <c r="AS248" s="193"/>
      <c r="AT248" s="193"/>
      <c r="AU248" s="193"/>
      <c r="AV248" s="193"/>
      <c r="AW248" s="193"/>
      <c r="AX248" s="193"/>
      <c r="AY248" s="193"/>
    </row>
    <row r="249" spans="1:51" x14ac:dyDescent="0.25">
      <c r="A249" s="96"/>
      <c r="B249" s="96"/>
      <c r="C249" s="42"/>
      <c r="D249" s="42"/>
      <c r="E249" s="42"/>
      <c r="F249" s="54"/>
      <c r="G249" s="54"/>
      <c r="H249" s="54"/>
      <c r="I249" s="54"/>
      <c r="J249" s="54"/>
      <c r="K249" s="54"/>
      <c r="L249" s="54"/>
      <c r="M249" s="54"/>
      <c r="N249" s="54"/>
      <c r="O249" s="54"/>
      <c r="P249" s="42"/>
      <c r="Q249" s="42"/>
      <c r="R249" s="42"/>
      <c r="S249" s="42"/>
      <c r="T249" s="42"/>
      <c r="U249" s="54"/>
      <c r="V249" s="54"/>
      <c r="W249" s="54"/>
      <c r="X249" s="42"/>
      <c r="Y249" s="193"/>
      <c r="Z249" s="193"/>
      <c r="AA249" s="193"/>
      <c r="AB249" s="193"/>
      <c r="AC249" s="193"/>
      <c r="AD249" s="193"/>
      <c r="AE249" s="193"/>
      <c r="AF249" s="193"/>
      <c r="AG249" s="193"/>
      <c r="AH249" s="193"/>
      <c r="AI249" s="193"/>
      <c r="AJ249" s="193"/>
      <c r="AK249" s="193"/>
      <c r="AL249" s="208"/>
      <c r="AM249" s="208"/>
      <c r="AN249" s="208"/>
      <c r="AO249" s="208"/>
      <c r="AP249" s="193"/>
      <c r="AQ249" s="193"/>
      <c r="AR249" s="193"/>
      <c r="AS249" s="193"/>
      <c r="AT249" s="193"/>
      <c r="AU249" s="193"/>
      <c r="AV249" s="193"/>
      <c r="AW249" s="193"/>
      <c r="AX249" s="193"/>
      <c r="AY249" s="193"/>
    </row>
    <row r="250" spans="1:51" x14ac:dyDescent="0.25">
      <c r="A250" s="96"/>
      <c r="B250" s="96"/>
      <c r="C250" s="42"/>
      <c r="D250" s="42"/>
      <c r="E250" s="42"/>
      <c r="F250" s="54"/>
      <c r="G250" s="54"/>
      <c r="H250" s="54"/>
      <c r="I250" s="54"/>
      <c r="J250" s="54"/>
      <c r="K250" s="54"/>
      <c r="L250" s="54"/>
      <c r="M250" s="54"/>
      <c r="N250" s="54"/>
      <c r="O250" s="54"/>
      <c r="P250" s="42"/>
      <c r="Q250" s="42"/>
      <c r="R250" s="42"/>
      <c r="S250" s="42"/>
      <c r="T250" s="42"/>
      <c r="U250" s="54"/>
      <c r="V250" s="54"/>
      <c r="W250" s="54"/>
      <c r="X250" s="42"/>
      <c r="Y250" s="193"/>
      <c r="Z250" s="193"/>
      <c r="AA250" s="193"/>
      <c r="AB250" s="193"/>
      <c r="AC250" s="193"/>
      <c r="AD250" s="193"/>
      <c r="AE250" s="193"/>
      <c r="AF250" s="193"/>
      <c r="AG250" s="193"/>
      <c r="AH250" s="193"/>
      <c r="AI250" s="193"/>
      <c r="AJ250" s="193"/>
      <c r="AK250" s="193"/>
      <c r="AL250" s="208"/>
      <c r="AM250" s="208"/>
      <c r="AN250" s="208"/>
      <c r="AO250" s="208"/>
      <c r="AP250" s="193"/>
      <c r="AQ250" s="193"/>
      <c r="AR250" s="193"/>
      <c r="AS250" s="193"/>
      <c r="AT250" s="193"/>
      <c r="AU250" s="193"/>
      <c r="AV250" s="193"/>
      <c r="AW250" s="193"/>
      <c r="AX250" s="193"/>
      <c r="AY250" s="193"/>
    </row>
  </sheetData>
  <mergeCells count="6">
    <mergeCell ref="S3:S6"/>
    <mergeCell ref="U3:U6"/>
    <mergeCell ref="E219:K221"/>
    <mergeCell ref="H5:J5"/>
    <mergeCell ref="Y5:AF5"/>
    <mergeCell ref="W3:W6"/>
  </mergeCells>
  <dataValidations count="1">
    <dataValidation type="list" allowBlank="1" showInputMessage="1" showErrorMessage="1" error="Invalid Option - Please Select from the List" prompt="Select Space Category" sqref="S7:S206" xr:uid="{00000000-0002-0000-2C00-000000000000}">
      <formula1>Income_SpaceTypeSelectionRange</formula1>
    </dataValidation>
  </dataValidations>
  <printOptions horizontalCentered="1"/>
  <pageMargins left="0.5" right="0.5" top="0.75" bottom="0.75" header="0.3" footer="0.3"/>
  <pageSetup orientation="landscape" r:id="rId1"/>
  <drawing r:id="rId2"/>
  <legacyDrawing r:id="rId3"/>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1">
    <tabColor theme="5" tint="-0.249977111117893"/>
  </sheetPr>
  <dimension ref="B1:T118"/>
  <sheetViews>
    <sheetView zoomScaleNormal="100" workbookViewId="0">
      <selection activeCell="E17" sqref="E101:H108"/>
    </sheetView>
  </sheetViews>
  <sheetFormatPr defaultColWidth="9.140625" defaultRowHeight="14.25" x14ac:dyDescent="0.25"/>
  <cols>
    <col min="1" max="1" width="5.7109375" style="10" customWidth="1"/>
    <col min="2" max="2" width="1.7109375" style="10" customWidth="1"/>
    <col min="3" max="3" width="0.85546875" style="10" customWidth="1"/>
    <col min="4" max="4" width="5.7109375" style="13" customWidth="1"/>
    <col min="5" max="5" width="22.7109375" style="10" customWidth="1"/>
    <col min="6" max="6" width="26.140625" style="13" customWidth="1"/>
    <col min="7" max="7" width="22.7109375" style="13" customWidth="1"/>
    <col min="8" max="8" width="18.7109375" style="13" customWidth="1"/>
    <col min="9" max="9" width="20.7109375" style="24" customWidth="1"/>
    <col min="10" max="10" width="10.7109375" style="13" customWidth="1"/>
    <col min="11" max="11" width="10.7109375" style="1092" customWidth="1"/>
    <col min="12" max="13" width="10.7109375" style="13" customWidth="1"/>
    <col min="14" max="14" width="11.42578125" style="13" bestFit="1" customWidth="1"/>
    <col min="15" max="15" width="10.7109375" style="13" customWidth="1"/>
    <col min="16" max="17" width="20.7109375" style="13" customWidth="1"/>
    <col min="18" max="18" width="100.7109375" style="13" customWidth="1"/>
    <col min="19" max="19" width="0.85546875" style="10" customWidth="1"/>
    <col min="20" max="20" width="1.7109375" style="10" customWidth="1"/>
    <col min="21" max="16384" width="9.140625" style="10"/>
  </cols>
  <sheetData>
    <row r="1" spans="2:20" ht="69.95" customHeight="1" thickBot="1" x14ac:dyDescent="0.3"/>
    <row r="2" spans="2:20" s="36" customFormat="1" ht="37.5" customHeight="1" thickBot="1" x14ac:dyDescent="0.3">
      <c r="D2" s="395"/>
      <c r="E2" s="161" t="s">
        <v>1264</v>
      </c>
      <c r="F2" s="1106">
        <f ca="1">MAX($D$3:Income_RentRoll_ManualEntry_End)</f>
        <v>2</v>
      </c>
      <c r="G2" s="395"/>
      <c r="H2" s="395"/>
      <c r="I2" s="1095"/>
      <c r="J2" s="395"/>
      <c r="K2" s="1096"/>
      <c r="L2" s="395"/>
      <c r="M2" s="395"/>
      <c r="N2" s="395"/>
      <c r="O2" s="395"/>
      <c r="P2" s="395"/>
      <c r="Q2" s="395"/>
      <c r="R2" s="395"/>
    </row>
    <row r="3" spans="2:20" ht="24.95" customHeight="1" x14ac:dyDescent="0.3">
      <c r="B3" s="1"/>
      <c r="C3" s="2"/>
      <c r="D3" s="202"/>
      <c r="E3" s="1088" t="s">
        <v>1263</v>
      </c>
      <c r="F3" s="202"/>
      <c r="G3" s="202"/>
      <c r="H3" s="202"/>
      <c r="I3" s="25"/>
      <c r="J3" s="202"/>
      <c r="K3" s="1093"/>
      <c r="L3" s="202"/>
      <c r="M3" s="202"/>
      <c r="N3" s="202"/>
      <c r="O3" s="202"/>
      <c r="P3" s="202"/>
      <c r="Q3" s="202"/>
      <c r="R3" s="202"/>
      <c r="S3" s="2"/>
      <c r="T3" s="3"/>
    </row>
    <row r="4" spans="2:20" ht="27.95" customHeight="1" x14ac:dyDescent="0.25">
      <c r="B4" s="4"/>
      <c r="D4" s="188" t="s">
        <v>314</v>
      </c>
      <c r="E4" s="905" t="s">
        <v>400</v>
      </c>
      <c r="F4" s="905" t="s">
        <v>403</v>
      </c>
      <c r="G4" s="1094" t="s">
        <v>1072</v>
      </c>
      <c r="H4" s="905" t="s">
        <v>742</v>
      </c>
      <c r="I4" s="907" t="s">
        <v>18669</v>
      </c>
      <c r="J4" s="905" t="s">
        <v>20</v>
      </c>
      <c r="K4" s="1094" t="s">
        <v>1175</v>
      </c>
      <c r="L4" s="905" t="s">
        <v>404</v>
      </c>
      <c r="M4" s="905" t="s">
        <v>405</v>
      </c>
      <c r="N4" s="905" t="s">
        <v>406</v>
      </c>
      <c r="O4" s="1091" t="s">
        <v>1074</v>
      </c>
      <c r="P4" s="1091" t="s">
        <v>1070</v>
      </c>
      <c r="Q4" s="1091" t="s">
        <v>1071</v>
      </c>
      <c r="R4" s="1091" t="s">
        <v>1075</v>
      </c>
      <c r="S4" s="906"/>
      <c r="T4" s="6"/>
    </row>
    <row r="5" spans="2:20" x14ac:dyDescent="0.25">
      <c r="B5" s="4"/>
      <c r="C5" s="5"/>
      <c r="D5" s="220">
        <f>IF(E5="",0,1)</f>
        <v>0</v>
      </c>
      <c r="E5" s="1107"/>
      <c r="F5" s="1108" t="s">
        <v>545</v>
      </c>
      <c r="G5" s="1107"/>
      <c r="H5" s="1107"/>
      <c r="I5" s="1109"/>
      <c r="J5" s="1110"/>
      <c r="K5" s="1237"/>
      <c r="L5" s="1111"/>
      <c r="M5" s="1112"/>
      <c r="N5" s="1112"/>
      <c r="O5" s="1238"/>
      <c r="P5" s="1235"/>
      <c r="Q5" s="1235"/>
      <c r="R5" s="1235"/>
      <c r="S5" s="5"/>
      <c r="T5" s="6"/>
    </row>
    <row r="6" spans="2:20" x14ac:dyDescent="0.25">
      <c r="B6" s="4"/>
      <c r="C6" s="5"/>
      <c r="D6" s="5"/>
      <c r="E6" s="5"/>
      <c r="F6" s="5"/>
      <c r="G6" s="5"/>
      <c r="H6" s="5"/>
      <c r="I6" s="20"/>
      <c r="J6" s="5"/>
      <c r="K6" s="18"/>
      <c r="L6" s="5"/>
      <c r="M6" s="5"/>
      <c r="N6" s="5"/>
      <c r="O6" s="18"/>
      <c r="P6" s="18"/>
      <c r="Q6" s="18"/>
      <c r="R6" s="18"/>
      <c r="S6" s="5"/>
      <c r="T6" s="6"/>
    </row>
    <row r="7" spans="2:20" ht="15" thickBot="1" x14ac:dyDescent="0.3">
      <c r="B7" s="8"/>
      <c r="C7" s="7"/>
      <c r="D7" s="14"/>
      <c r="E7" s="7"/>
      <c r="F7" s="7"/>
      <c r="G7" s="7"/>
      <c r="H7" s="7"/>
      <c r="I7" s="29"/>
      <c r="J7" s="7"/>
      <c r="K7" s="75"/>
      <c r="L7" s="7"/>
      <c r="M7" s="7"/>
      <c r="N7" s="7"/>
      <c r="O7" s="75"/>
      <c r="P7" s="75"/>
      <c r="Q7" s="75"/>
      <c r="R7" s="75"/>
      <c r="S7" s="7"/>
      <c r="T7" s="9"/>
    </row>
    <row r="8" spans="2:20" ht="15" thickBot="1" x14ac:dyDescent="0.3"/>
    <row r="9" spans="2:20" ht="24.95" customHeight="1" x14ac:dyDescent="0.3">
      <c r="B9" s="1"/>
      <c r="C9" s="2"/>
      <c r="D9" s="202"/>
      <c r="E9" s="1088" t="s">
        <v>1258</v>
      </c>
      <c r="F9" s="202"/>
      <c r="G9" s="202"/>
      <c r="H9" s="202"/>
      <c r="I9" s="25"/>
      <c r="J9" s="202"/>
      <c r="K9" s="1093"/>
      <c r="L9" s="202"/>
      <c r="M9" s="202"/>
      <c r="N9" s="202"/>
      <c r="O9" s="202"/>
      <c r="P9" s="202"/>
      <c r="Q9" s="202"/>
      <c r="R9" s="202"/>
      <c r="S9" s="2"/>
      <c r="T9" s="3"/>
    </row>
    <row r="10" spans="2:20" ht="27.95" customHeight="1" x14ac:dyDescent="0.25">
      <c r="B10" s="4"/>
      <c r="D10" s="188" t="s">
        <v>314</v>
      </c>
      <c r="E10" s="905" t="s">
        <v>400</v>
      </c>
      <c r="F10" s="905" t="s">
        <v>403</v>
      </c>
      <c r="G10" s="1094" t="s">
        <v>1072</v>
      </c>
      <c r="H10" s="905" t="s">
        <v>742</v>
      </c>
      <c r="I10" s="907" t="s">
        <v>18669</v>
      </c>
      <c r="J10" s="905" t="s">
        <v>20</v>
      </c>
      <c r="K10" s="1094" t="s">
        <v>1175</v>
      </c>
      <c r="L10" s="905" t="s">
        <v>404</v>
      </c>
      <c r="M10" s="905" t="s">
        <v>405</v>
      </c>
      <c r="N10" s="905" t="s">
        <v>406</v>
      </c>
      <c r="O10" s="1091" t="s">
        <v>1074</v>
      </c>
      <c r="P10" s="1091" t="s">
        <v>1070</v>
      </c>
      <c r="Q10" s="1091" t="s">
        <v>1071</v>
      </c>
      <c r="R10" s="1091" t="s">
        <v>1075</v>
      </c>
      <c r="S10" s="906"/>
      <c r="T10" s="6"/>
    </row>
    <row r="11" spans="2:20" x14ac:dyDescent="0.25">
      <c r="B11" s="4"/>
      <c r="C11" s="5"/>
      <c r="D11" s="1113">
        <v>1</v>
      </c>
      <c r="E11" s="1080" t="inlineStr">
        <is>
          <t xml:space="preserve">CVP Management Office</t>
        </is>
      </c>
      <c r="F11" s="1098" t="inlineStr">
        <is>
          <t xml:space="preserve">5800 100</t>
        </is>
      </c>
      <c r="G11" s="1080"/>
      <c r="H11" s="1080"/>
      <c r="I11" s="1099" t="inlineStr">
        <is>
          <t xml:space="preserve">Industrial Office/Warehouse</t>
        </is>
      </c>
      <c r="J11" s="30">
        <v>500</v>
      </c>
      <c r="K11" s="1236"/>
      <c r="L11" s="1090"/>
      <c r="M11" s="61"/>
      <c r="N11" s="61"/>
      <c r="O11" s="1239"/>
      <c r="P11" s="28"/>
      <c r="Q11" s="28"/>
      <c r="R11" s="28"/>
      <c r="S11" s="5"/>
      <c r="T11" s="6"/>
    </row>
    <row r="12" spans="2:20" x14ac:dyDescent="0.25">
      <c r="B12" s="4"/>
      <c r="C12" s="5"/>
      <c r="D12" s="1113">
        <v>2</v>
      </c>
      <c r="E12" s="1080" t="inlineStr">
        <is>
          <t xml:space="preserve">MR Solutions</t>
        </is>
      </c>
      <c r="F12" s="1098" t="inlineStr">
        <is>
          <t xml:space="preserve">5800 101</t>
        </is>
      </c>
      <c r="G12" s="1080"/>
      <c r="H12" s="1080" t="inlineStr">
        <is>
          <t xml:space="preserve">Triple Net</t>
        </is>
      </c>
      <c r="I12" s="1099" t="inlineStr">
        <is>
          <t xml:space="preserve">Industrial Office/Warehouse</t>
        </is>
      </c>
      <c r="J12" s="30">
        <v>1048</v>
      </c>
      <c r="K12" s="1236">
        <v>14</v>
      </c>
      <c r="L12" s="1090">
        <v>14</v>
      </c>
      <c r="M12" s="61">
        <v>45139</v>
      </c>
      <c r="N12" s="61">
        <v>45504</v>
      </c>
      <c r="O12" s="1239"/>
      <c r="P12" s="28"/>
      <c r="Q12" s="28"/>
      <c r="R12" s="28"/>
      <c r="S12" s="5"/>
      <c r="T12" s="6"/>
    </row>
    <row r="13" spans="2:20" x14ac:dyDescent="0.25">
      <c r="B13" s="4"/>
      <c r="C13" s="5"/>
      <c r="D13" s="1097">
        <v>3</v>
      </c>
      <c r="E13" s="1080" t="inlineStr">
        <is>
          <t xml:space="preserve">R. Baker</t>
        </is>
      </c>
      <c r="F13" s="1089" t="inlineStr">
        <is>
          <t xml:space="preserve">5800 102</t>
        </is>
      </c>
      <c r="G13" s="5"/>
      <c r="H13" s="5" t="inlineStr">
        <is>
          <t xml:space="preserve">Triple Net</t>
        </is>
      </c>
      <c r="I13" s="20" t="inlineStr">
        <is>
          <t xml:space="preserve">Industrial Office/Warehouse</t>
        </is>
      </c>
      <c r="J13" s="30">
        <v>960</v>
      </c>
      <c r="K13" s="1236">
        <v>9.78</v>
      </c>
      <c r="L13" s="1090">
        <v>9.78</v>
      </c>
      <c r="M13" s="61">
        <v>44805</v>
      </c>
      <c r="N13" s="61">
        <v>45473</v>
      </c>
      <c r="O13" s="1239"/>
      <c r="P13" s="28"/>
      <c r="Q13" s="28"/>
      <c r="R13" s="28"/>
      <c r="S13" s="5"/>
      <c r="T13" s="6"/>
    </row>
    <row r="14" spans="2:20" ht="30" customHeight="1" thickBot="1" x14ac:dyDescent="0.3">
      <c r="B14" s="8"/>
      <c r="C14" s="7"/>
      <c r="D14" s="14">
        <v>4</v>
      </c>
      <c r="E14" s="7" t="inlineStr">
        <is>
          <t xml:space="preserve">Vacant</t>
        </is>
      </c>
      <c r="F14" s="7" t="inlineStr">
        <is>
          <t xml:space="preserve">5800 104A</t>
        </is>
      </c>
      <c r="G14" s="7"/>
      <c r="H14" s="7"/>
      <c r="I14" s="29" t="inlineStr">
        <is>
          <t xml:space="preserve">Industrial Office/Warehouse</t>
        </is>
      </c>
      <c r="J14" s="7">
        <v>121</v>
      </c>
      <c r="K14" s="75"/>
      <c r="L14" s="7"/>
      <c r="M14" s="7"/>
      <c r="N14" s="7"/>
      <c r="O14" s="75"/>
      <c r="P14" s="75"/>
      <c r="Q14" s="75"/>
      <c r="R14" s="75"/>
      <c r="S14" s="7"/>
      <c r="T14" s="9"/>
    </row>
    <row r="15" spans="2:20" x14ac:dyDescent="0.25">
      <c r="B15" s="4"/>
      <c r="C15" s="5"/>
      <c r="D15" s="1113">
        <v>5</v>
      </c>
      <c r="E15" s="1080" t="inlineStr">
        <is>
          <t xml:space="preserve">Vacant</t>
        </is>
      </c>
      <c r="F15" s="1098" t="inlineStr">
        <is>
          <t xml:space="preserve">5800 104B</t>
        </is>
      </c>
      <c r="G15" s="1080"/>
      <c r="H15" s="1080"/>
      <c r="I15" s="1099" t="inlineStr">
        <is>
          <t xml:space="preserve">Industrial Office/Warehouse</t>
        </is>
      </c>
      <c r="J15" s="30">
        <v>121</v>
      </c>
      <c r="K15" s="1236"/>
      <c r="L15" s="1090"/>
      <c r="M15" s="61"/>
      <c r="N15" s="61"/>
      <c r="O15" s="1239"/>
      <c r="P15" s="28"/>
      <c r="Q15" s="28"/>
      <c r="R15" s="28"/>
      <c r="S15" s="5"/>
      <c r="T15" s="6"/>
    </row>
    <row r="16" spans="2:20" x14ac:dyDescent="0.25">
      <c r="B16" s="4"/>
      <c r="C16" s="5"/>
      <c r="D16" s="1113">
        <v>6</v>
      </c>
      <c r="E16" s="1080" t="inlineStr">
        <is>
          <t xml:space="preserve">Vacant</t>
        </is>
      </c>
      <c r="F16" s="1098" t="inlineStr">
        <is>
          <t xml:space="preserve">5800 104C</t>
        </is>
      </c>
      <c r="G16" s="1080"/>
      <c r="H16" s="1080"/>
      <c r="I16" s="1099" t="inlineStr">
        <is>
          <t xml:space="preserve">Industrial Office/Warehouse</t>
        </is>
      </c>
      <c r="J16" s="30">
        <v>121</v>
      </c>
      <c r="K16" s="1236"/>
      <c r="L16" s="1090"/>
      <c r="M16" s="61"/>
      <c r="N16" s="61"/>
      <c r="O16" s="1239"/>
      <c r="P16" s="28"/>
      <c r="Q16" s="28"/>
      <c r="R16" s="28"/>
      <c r="S16" s="5"/>
      <c r="T16" s="6"/>
    </row>
    <row r="17" spans="2:20" x14ac:dyDescent="0.25">
      <c r="B17" s="4"/>
      <c r="C17" s="5"/>
      <c r="D17" s="1113">
        <v>7</v>
      </c>
      <c r="E17" s="1080" t="inlineStr">
        <is>
          <t xml:space="preserve">Training Room 103</t>
        </is>
      </c>
      <c r="F17" s="1098" t="inlineStr">
        <is>
          <t xml:space="preserve">5800 104</t>
        </is>
      </c>
      <c r="G17" s="1080"/>
      <c r="H17" s="1080"/>
      <c r="I17" s="1099" t="inlineStr">
        <is>
          <t xml:space="preserve">Industrial Office/Warehouse</t>
        </is>
      </c>
      <c r="J17" s="30">
        <v>722</v>
      </c>
      <c r="K17" s="1236"/>
      <c r="L17" s="1090"/>
      <c r="M17" s="61"/>
      <c r="N17" s="61"/>
      <c r="O17" s="1239"/>
      <c r="P17" s="28"/>
      <c r="Q17" s="28"/>
      <c r="R17" s="28"/>
      <c r="S17" s="5"/>
      <c r="T17" s="6"/>
    </row>
    <row r="18" spans="2:20" x14ac:dyDescent="0.25">
      <c r="B18" s="4"/>
      <c r="C18" s="5"/>
      <c r="D18" s="1113">
        <v>8</v>
      </c>
      <c r="E18" s="1080" t="inlineStr">
        <is>
          <t xml:space="preserve">Common Area</t>
        </is>
      </c>
      <c r="F18" s="1098" t="inlineStr">
        <is>
          <t xml:space="preserve">5800 CA</t>
        </is>
      </c>
      <c r="G18" s="1080"/>
      <c r="H18" s="1080"/>
      <c r="I18" s="1099" t="inlineStr">
        <is>
          <t xml:space="preserve">Industrial Office/Warehouse</t>
        </is>
      </c>
      <c r="J18" s="30">
        <v>1435</v>
      </c>
      <c r="K18" s="1236"/>
      <c r="L18" s="1090"/>
      <c r="M18" s="61"/>
      <c r="N18" s="61"/>
      <c r="O18" s="1239"/>
      <c r="P18" s="28"/>
      <c r="Q18" s="28"/>
      <c r="R18" s="28"/>
      <c r="S18" s="5"/>
      <c r="T18" s="6"/>
    </row>
    <row r="19" spans="2:20" x14ac:dyDescent="0.25">
      <c r="B19" s="4"/>
      <c r="C19" s="5"/>
      <c r="D19" s="1113">
        <v>9</v>
      </c>
      <c r="E19" s="1080" t="inlineStr">
        <is>
          <t xml:space="preserve">Vacant</t>
        </is>
      </c>
      <c r="F19" s="1098" t="inlineStr">
        <is>
          <t xml:space="preserve">5800 A</t>
        </is>
      </c>
      <c r="G19" s="1080"/>
      <c r="H19" s="1080"/>
      <c r="I19" s="1099" t="inlineStr">
        <is>
          <t xml:space="preserve">Industrial Office/Warehouse</t>
        </is>
      </c>
      <c r="J19" s="30">
        <v>196</v>
      </c>
      <c r="K19" s="1236"/>
      <c r="L19" s="1090"/>
      <c r="M19" s="61"/>
      <c r="N19" s="61"/>
      <c r="O19" s="1239"/>
      <c r="P19" s="28"/>
      <c r="Q19" s="28"/>
      <c r="R19" s="28"/>
      <c r="S19" s="5"/>
      <c r="T19" s="6"/>
    </row>
    <row r="20" spans="2:20" x14ac:dyDescent="0.25">
      <c r="B20" s="4"/>
      <c r="C20" s="5"/>
      <c r="D20" s="1113">
        <v>10</v>
      </c>
      <c r="E20" s="1080" t="inlineStr">
        <is>
          <t xml:space="preserve">Vacant</t>
        </is>
      </c>
      <c r="F20" s="1098" t="inlineStr">
        <is>
          <t xml:space="preserve">5800 B</t>
        </is>
      </c>
      <c r="G20" s="1080"/>
      <c r="H20" s="1080"/>
      <c r="I20" s="1099" t="inlineStr">
        <is>
          <t xml:space="preserve">Industrial Office/Warehouse</t>
        </is>
      </c>
      <c r="J20" s="30">
        <v>121</v>
      </c>
      <c r="K20" s="1236"/>
      <c r="L20" s="1090"/>
      <c r="M20" s="61"/>
      <c r="N20" s="61"/>
      <c r="O20" s="1239"/>
      <c r="P20" s="28"/>
      <c r="Q20" s="28"/>
      <c r="R20" s="28"/>
      <c r="S20" s="5"/>
      <c r="T20" s="6"/>
    </row>
    <row r="21" spans="2:20" x14ac:dyDescent="0.25">
      <c r="B21" s="4"/>
      <c r="C21" s="5"/>
      <c r="D21" s="1113">
        <v>11</v>
      </c>
      <c r="E21" s="1080" t="inlineStr">
        <is>
          <t xml:space="preserve">WEIL Construction Inc.</t>
        </is>
      </c>
      <c r="F21" s="1098" t="inlineStr">
        <is>
          <t xml:space="preserve">5800 C</t>
        </is>
      </c>
      <c r="G21" s="1080"/>
      <c r="H21" s="1080" t="inlineStr">
        <is>
          <t xml:space="preserve">Full Service Gross</t>
        </is>
      </c>
      <c r="I21" s="1099" t="inlineStr">
        <is>
          <t xml:space="preserve">Industrial Office/Warehouse</t>
        </is>
      </c>
      <c r="J21" s="30">
        <v>196</v>
      </c>
      <c r="K21" s="1236">
        <v>32.79</v>
      </c>
      <c r="L21" s="1090">
        <v>32.79</v>
      </c>
      <c r="M21" s="61">
        <v>44805</v>
      </c>
      <c r="N21" s="61">
        <v>45535</v>
      </c>
      <c r="O21" s="1239"/>
      <c r="P21" s="28"/>
      <c r="Q21" s="28"/>
      <c r="R21" s="28"/>
      <c r="S21" s="5"/>
      <c r="T21" s="6"/>
    </row>
    <row r="22" spans="2:20" x14ac:dyDescent="0.25">
      <c r="B22" s="4"/>
      <c r="C22" s="5"/>
      <c r="D22" s="1113">
        <v>12</v>
      </c>
      <c r="E22" s="1080" t="inlineStr">
        <is>
          <t xml:space="preserve">Vacant</t>
        </is>
      </c>
      <c r="F22" s="1098" t="inlineStr">
        <is>
          <t xml:space="preserve">5800 D</t>
        </is>
      </c>
      <c r="G22" s="1080"/>
      <c r="H22" s="1080"/>
      <c r="I22" s="1099" t="inlineStr">
        <is>
          <t xml:space="preserve">Industrial Office/Warehouse</t>
        </is>
      </c>
      <c r="J22" s="30">
        <v>121</v>
      </c>
      <c r="K22" s="1236"/>
      <c r="L22" s="1090"/>
      <c r="M22" s="61"/>
      <c r="N22" s="61"/>
      <c r="O22" s="1239"/>
      <c r="P22" s="28"/>
      <c r="Q22" s="28"/>
      <c r="R22" s="28"/>
      <c r="S22" s="5"/>
      <c r="T22" s="6"/>
    </row>
    <row r="23" spans="2:20" x14ac:dyDescent="0.25">
      <c r="B23" s="4"/>
      <c r="C23" s="5"/>
      <c r="D23" s="1113">
        <v>13</v>
      </c>
      <c r="E23" s="1080" t="inlineStr">
        <is>
          <t xml:space="preserve">WEIL Construction Inc.</t>
        </is>
      </c>
      <c r="F23" s="1098" t="inlineStr">
        <is>
          <t xml:space="preserve">5800 E</t>
        </is>
      </c>
      <c r="G23" s="1080"/>
      <c r="H23" s="1080" t="inlineStr">
        <is>
          <t xml:space="preserve">Full Service Gross</t>
        </is>
      </c>
      <c r="I23" s="1099" t="inlineStr">
        <is>
          <t xml:space="preserve">Industrial Office/Warehouse</t>
        </is>
      </c>
      <c r="J23" s="30">
        <v>196</v>
      </c>
      <c r="K23" s="1236">
        <v>31.54</v>
      </c>
      <c r="L23" s="1090">
        <v>31.54</v>
      </c>
      <c r="M23" s="61">
        <v>45108</v>
      </c>
      <c r="N23" s="61">
        <v>45535</v>
      </c>
      <c r="O23" s="1239"/>
      <c r="P23" s="28"/>
      <c r="Q23" s="28"/>
      <c r="R23" s="28"/>
      <c r="S23" s="5"/>
      <c r="T23" s="6"/>
    </row>
    <row r="24" spans="2:20" x14ac:dyDescent="0.25">
      <c r="B24" s="4"/>
      <c r="C24" s="5"/>
      <c r="D24" s="1113">
        <v>14</v>
      </c>
      <c r="E24" s="1080" t="inlineStr">
        <is>
          <t xml:space="preserve">Vacant</t>
        </is>
      </c>
      <c r="F24" s="1098" t="inlineStr">
        <is>
          <t xml:space="preserve">5800 Copy Room</t>
        </is>
      </c>
      <c r="G24" s="1080"/>
      <c r="H24" s="1080"/>
      <c r="I24" s="1099" t="inlineStr">
        <is>
          <t xml:space="preserve">Industrial Office/Warehouse</t>
        </is>
      </c>
      <c r="J24" s="30">
        <v>107.2</v>
      </c>
      <c r="K24" s="1236"/>
      <c r="L24" s="1090"/>
      <c r="M24" s="61"/>
      <c r="N24" s="61"/>
      <c r="O24" s="1239"/>
      <c r="P24" s="28"/>
      <c r="Q24" s="28"/>
      <c r="R24" s="28"/>
      <c r="S24" s="5"/>
      <c r="T24" s="6"/>
    </row>
    <row r="25" spans="2:20" x14ac:dyDescent="0.25">
      <c r="B25" s="4"/>
      <c r="C25" s="5"/>
      <c r="D25" s="1113">
        <v>15</v>
      </c>
      <c r="E25" s="1080" t="inlineStr">
        <is>
          <t xml:space="preserve">S&amp;R Environmental Consulting, Inc.</t>
        </is>
      </c>
      <c r="F25" s="1098" t="inlineStr">
        <is>
          <t xml:space="preserve">5800 106</t>
        </is>
      </c>
      <c r="G25" s="1080"/>
      <c r="H25" s="1080" t="inlineStr">
        <is>
          <t xml:space="preserve">Triple Net</t>
        </is>
      </c>
      <c r="I25" s="1099" t="inlineStr">
        <is>
          <t xml:space="preserve">Industrial Office/Warehouse</t>
        </is>
      </c>
      <c r="J25" s="30">
        <v>706</v>
      </c>
      <c r="K25" s="1236">
        <v>10.69</v>
      </c>
      <c r="L25" s="1090">
        <v>10.69</v>
      </c>
      <c r="M25" s="61">
        <v>45261</v>
      </c>
      <c r="N25" s="61">
        <v>45626</v>
      </c>
      <c r="O25" s="1239"/>
      <c r="P25" s="28"/>
      <c r="Q25" s="28"/>
      <c r="R25" s="28"/>
      <c r="S25" s="5"/>
      <c r="T25" s="6"/>
    </row>
    <row r="26" spans="2:20" x14ac:dyDescent="0.25">
      <c r="B26" s="4"/>
      <c r="C26" s="5"/>
      <c r="D26" s="1113">
        <v>16</v>
      </c>
      <c r="E26" s="1080" t="inlineStr">
        <is>
          <t xml:space="preserve">Global IT Innovative Systems</t>
        </is>
      </c>
      <c r="F26" s="1098" t="inlineStr">
        <is>
          <t xml:space="preserve">5800 201</t>
        </is>
      </c>
      <c r="G26" s="1080"/>
      <c r="H26" s="1080" t="inlineStr">
        <is>
          <t xml:space="preserve">Triple Net</t>
        </is>
      </c>
      <c r="I26" s="1099" t="inlineStr">
        <is>
          <t xml:space="preserve">Industrial Office/Warehouse</t>
        </is>
      </c>
      <c r="J26" s="30">
        <v>2114.9</v>
      </c>
      <c r="K26" s="1236">
        <v>4.31</v>
      </c>
      <c r="L26" s="1090">
        <v>4.31</v>
      </c>
      <c r="M26" s="61">
        <v>45200</v>
      </c>
      <c r="N26" s="61">
        <v>45565</v>
      </c>
      <c r="O26" s="1239"/>
      <c r="P26" s="28"/>
      <c r="Q26" s="28"/>
      <c r="R26" s="28"/>
      <c r="S26" s="5"/>
      <c r="T26" s="6"/>
    </row>
    <row r="27" spans="2:20" x14ac:dyDescent="0.25">
      <c r="B27" s="4"/>
      <c r="C27" s="5"/>
      <c r="D27" s="1113">
        <v>17</v>
      </c>
      <c r="E27" s="1080" t="inlineStr">
        <is>
          <t xml:space="preserve">Global IT Innovative Systems</t>
        </is>
      </c>
      <c r="F27" s="1098" t="inlineStr">
        <is>
          <t xml:space="preserve">5800 201a</t>
        </is>
      </c>
      <c r="G27" s="1080"/>
      <c r="H27" s="1080" t="inlineStr">
        <is>
          <t xml:space="preserve">Triple Net</t>
        </is>
      </c>
      <c r="I27" s="1099" t="inlineStr">
        <is>
          <t xml:space="preserve">Industrial Office/Warehouse</t>
        </is>
      </c>
      <c r="J27" s="30">
        <v>1385.1</v>
      </c>
      <c r="K27" s="1236"/>
      <c r="L27" s="1090"/>
      <c r="M27" s="61">
        <v>45200</v>
      </c>
      <c r="N27" s="61">
        <v>45565</v>
      </c>
      <c r="O27" s="1239"/>
      <c r="P27" s="28"/>
      <c r="Q27" s="28"/>
      <c r="R27" s="28"/>
      <c r="S27" s="5"/>
      <c r="T27" s="6"/>
    </row>
    <row r="28" spans="2:20" x14ac:dyDescent="0.25">
      <c r="B28" s="4"/>
      <c r="C28" s="5"/>
      <c r="D28" s="1113">
        <v>18</v>
      </c>
      <c r="E28" s="1080" t="inlineStr">
        <is>
          <t xml:space="preserve">Global IT Innovative Systems</t>
        </is>
      </c>
      <c r="F28" s="1098" t="inlineStr">
        <is>
          <t xml:space="preserve">5800 200, 202</t>
        </is>
      </c>
      <c r="G28" s="1080"/>
      <c r="H28" s="1080" t="inlineStr">
        <is>
          <t xml:space="preserve">Triple Net</t>
        </is>
      </c>
      <c r="I28" s="1099" t="inlineStr">
        <is>
          <t xml:space="preserve">Industrial Office/Warehouse</t>
        </is>
      </c>
      <c r="J28" s="30">
        <v>3108.59</v>
      </c>
      <c r="K28" s="1236"/>
      <c r="L28" s="1090"/>
      <c r="M28" s="61">
        <v>45200</v>
      </c>
      <c r="N28" s="61">
        <v>45565</v>
      </c>
      <c r="O28" s="1239"/>
      <c r="P28" s="28"/>
      <c r="Q28" s="28"/>
      <c r="R28" s="28"/>
      <c r="S28" s="5"/>
      <c r="T28" s="6"/>
    </row>
    <row r="29" spans="2:20" x14ac:dyDescent="0.25">
      <c r="B29" s="4"/>
      <c r="C29" s="5"/>
      <c r="D29" s="1113">
        <v>19</v>
      </c>
      <c r="E29" s="1080" t="inlineStr">
        <is>
          <t xml:space="preserve">Global IT Innovative Systems</t>
        </is>
      </c>
      <c r="F29" s="1098" t="inlineStr">
        <is>
          <t xml:space="preserve">5800 CA</t>
        </is>
      </c>
      <c r="G29" s="1080"/>
      <c r="H29" s="1080" t="inlineStr">
        <is>
          <t xml:space="preserve">Triple Net</t>
        </is>
      </c>
      <c r="I29" s="1099" t="inlineStr">
        <is>
          <t xml:space="preserve">Industrial Office/Warehouse</t>
        </is>
      </c>
      <c r="J29" s="30">
        <v>299.4</v>
      </c>
      <c r="K29" s="1236"/>
      <c r="L29" s="1090"/>
      <c r="M29" s="61">
        <v>45200</v>
      </c>
      <c r="N29" s="61">
        <v>45565</v>
      </c>
      <c r="O29" s="1239"/>
      <c r="P29" s="28"/>
      <c r="Q29" s="28"/>
      <c r="R29" s="28"/>
      <c r="S29" s="5"/>
      <c r="T29" s="6"/>
    </row>
    <row r="30" spans="2:20" x14ac:dyDescent="0.25">
      <c r="B30" s="4"/>
      <c r="C30" s="5"/>
      <c r="D30" s="1113">
        <v>20</v>
      </c>
      <c r="E30" s="1080" t="inlineStr">
        <is>
          <t xml:space="preserve">Colorado Construction Cleaning, Inc.</t>
        </is>
      </c>
      <c r="F30" s="1098" t="inlineStr">
        <is>
          <t xml:space="preserve">5802 107</t>
        </is>
      </c>
      <c r="G30" s="1080"/>
      <c r="H30" s="1080" t="inlineStr">
        <is>
          <t xml:space="preserve">Triple Net</t>
        </is>
      </c>
      <c r="I30" s="1099" t="inlineStr">
        <is>
          <t xml:space="preserve">Industrial Office/Warehouse</t>
        </is>
      </c>
      <c r="J30" s="30">
        <v>2274</v>
      </c>
      <c r="K30" s="1236">
        <v>4.67</v>
      </c>
      <c r="L30" s="1090">
        <v>4.67</v>
      </c>
      <c r="M30" s="61">
        <v>45078</v>
      </c>
      <c r="N30" s="61">
        <v>45443</v>
      </c>
      <c r="O30" s="1239"/>
      <c r="P30" s="28"/>
      <c r="Q30" s="28"/>
      <c r="R30" s="28"/>
      <c r="S30" s="5"/>
      <c r="T30" s="6"/>
    </row>
    <row r="31" spans="2:20" x14ac:dyDescent="0.25">
      <c r="B31" s="4"/>
      <c r="C31" s="5"/>
      <c r="D31" s="1113">
        <v>21</v>
      </c>
      <c r="E31" s="1080" t="inlineStr">
        <is>
          <t xml:space="preserve">Global IT Innovative Systems</t>
        </is>
      </c>
      <c r="F31" s="1098" t="inlineStr">
        <is>
          <t xml:space="preserve">5802 203</t>
        </is>
      </c>
      <c r="G31" s="1080"/>
      <c r="H31" s="1080" t="inlineStr">
        <is>
          <t xml:space="preserve">Triple Net</t>
        </is>
      </c>
      <c r="I31" s="1099" t="inlineStr">
        <is>
          <t xml:space="preserve">Industrial Office/Warehouse</t>
        </is>
      </c>
      <c r="J31" s="30">
        <v>380.25</v>
      </c>
      <c r="K31" s="1236"/>
      <c r="L31" s="1090"/>
      <c r="M31" s="61">
        <v>45200</v>
      </c>
      <c r="N31" s="61">
        <v>45565</v>
      </c>
      <c r="O31" s="1239"/>
      <c r="P31" s="28"/>
      <c r="Q31" s="28"/>
      <c r="R31" s="28"/>
      <c r="S31" s="5"/>
      <c r="T31" s="6"/>
    </row>
    <row r="32" spans="2:20" x14ac:dyDescent="0.25">
      <c r="B32" s="4"/>
      <c r="C32" s="5"/>
      <c r="D32" s="1113">
        <v>22</v>
      </c>
      <c r="E32" s="1080" t="inlineStr">
        <is>
          <t xml:space="preserve">Global IT Innovative Systems</t>
        </is>
      </c>
      <c r="F32" s="1098" t="inlineStr">
        <is>
          <t xml:space="preserve">5802 205</t>
        </is>
      </c>
      <c r="G32" s="1080"/>
      <c r="H32" s="1080" t="inlineStr">
        <is>
          <t xml:space="preserve">Triple Net</t>
        </is>
      </c>
      <c r="I32" s="1099" t="inlineStr">
        <is>
          <t xml:space="preserve">Industrial Office/Warehouse</t>
        </is>
      </c>
      <c r="J32" s="30">
        <v>736</v>
      </c>
      <c r="K32" s="1236"/>
      <c r="L32" s="1090"/>
      <c r="M32" s="61">
        <v>45200</v>
      </c>
      <c r="N32" s="61">
        <v>45565</v>
      </c>
      <c r="O32" s="1239"/>
      <c r="P32" s="28"/>
      <c r="Q32" s="28"/>
      <c r="R32" s="28"/>
      <c r="S32" s="5"/>
      <c r="T32" s="6"/>
    </row>
    <row r="33" spans="2:20" x14ac:dyDescent="0.25">
      <c r="B33" s="4"/>
      <c r="C33" s="5"/>
      <c r="D33" s="1113">
        <v>23</v>
      </c>
      <c r="E33" s="1080" t="inlineStr">
        <is>
          <t xml:space="preserve">Global IT Innovative Systems</t>
        </is>
      </c>
      <c r="F33" s="1098" t="inlineStr">
        <is>
          <t xml:space="preserve">5802 204</t>
        </is>
      </c>
      <c r="G33" s="1080"/>
      <c r="H33" s="1080" t="inlineStr">
        <is>
          <t xml:space="preserve">Triple Net</t>
        </is>
      </c>
      <c r="I33" s="1099" t="inlineStr">
        <is>
          <t xml:space="preserve">Industrial Office/Warehouse</t>
        </is>
      </c>
      <c r="J33" s="30">
        <v>713</v>
      </c>
      <c r="K33" s="1236"/>
      <c r="L33" s="1090"/>
      <c r="M33" s="61">
        <v>45200</v>
      </c>
      <c r="N33" s="61">
        <v>45565</v>
      </c>
      <c r="O33" s="1239"/>
      <c r="P33" s="28"/>
      <c r="Q33" s="28"/>
      <c r="R33" s="28"/>
      <c r="S33" s="5"/>
      <c r="T33" s="6"/>
    </row>
    <row r="34" spans="2:20" x14ac:dyDescent="0.25">
      <c r="B34" s="4"/>
      <c r="C34" s="5"/>
      <c r="D34" s="1113">
        <v>24</v>
      </c>
      <c r="E34" s="1080" t="inlineStr">
        <is>
          <t xml:space="preserve">Global IT Innovative Systems</t>
        </is>
      </c>
      <c r="F34" s="1098" t="inlineStr">
        <is>
          <t xml:space="preserve">5802 206</t>
        </is>
      </c>
      <c r="G34" s="1080"/>
      <c r="H34" s="1080" t="inlineStr">
        <is>
          <t xml:space="preserve">Triple Net</t>
        </is>
      </c>
      <c r="I34" s="1099" t="inlineStr">
        <is>
          <t xml:space="preserve">Industrial Office/Warehouse</t>
        </is>
      </c>
      <c r="J34" s="30">
        <v>713</v>
      </c>
      <c r="K34" s="1236"/>
      <c r="L34" s="1090"/>
      <c r="M34" s="61">
        <v>45200</v>
      </c>
      <c r="N34" s="61">
        <v>45565</v>
      </c>
      <c r="O34" s="1239"/>
      <c r="P34" s="28"/>
      <c r="Q34" s="28"/>
      <c r="R34" s="28"/>
      <c r="S34" s="5"/>
      <c r="T34" s="6"/>
    </row>
    <row r="35" spans="2:20" x14ac:dyDescent="0.25">
      <c r="B35" s="4"/>
      <c r="C35" s="5"/>
      <c r="D35" s="1113">
        <v>25</v>
      </c>
      <c r="E35" s="1080" t="inlineStr">
        <is>
          <t xml:space="preserve">Global IT Innovative Systems</t>
        </is>
      </c>
      <c r="F35" s="1098" t="inlineStr">
        <is>
          <t xml:space="preserve">5802 Storage</t>
        </is>
      </c>
      <c r="G35" s="1080"/>
      <c r="H35" s="1080" t="inlineStr">
        <is>
          <t xml:space="preserve">Triple Net</t>
        </is>
      </c>
      <c r="I35" s="1099" t="inlineStr">
        <is>
          <t xml:space="preserve">Industrial Office/Warehouse</t>
        </is>
      </c>
      <c r="J35" s="30">
        <v>75.6</v>
      </c>
      <c r="K35" s="1236"/>
      <c r="L35" s="1090"/>
      <c r="M35" s="61">
        <v>45200</v>
      </c>
      <c r="N35" s="61">
        <v>45565</v>
      </c>
      <c r="O35" s="1239"/>
      <c r="P35" s="28"/>
      <c r="Q35" s="28"/>
      <c r="R35" s="28"/>
      <c r="S35" s="5"/>
      <c r="T35" s="6"/>
    </row>
    <row r="36" spans="2:20" x14ac:dyDescent="0.25">
      <c r="B36" s="4"/>
      <c r="C36" s="5"/>
      <c r="D36" s="1113">
        <v>26</v>
      </c>
      <c r="E36" s="1080" t="inlineStr">
        <is>
          <t xml:space="preserve">P&amp;H Equipment</t>
        </is>
      </c>
      <c r="F36" s="1098" t="inlineStr">
        <is>
          <t xml:space="preserve">5802 Unit M-105</t>
        </is>
      </c>
      <c r="G36" s="1080"/>
      <c r="H36" s="1080" t="inlineStr">
        <is>
          <t xml:space="preserve">Triple Net</t>
        </is>
      </c>
      <c r="I36" s="1099" t="inlineStr">
        <is>
          <t xml:space="preserve">Industrial Office/Warehouse</t>
        </is>
      </c>
      <c r="J36" s="30">
        <v>584</v>
      </c>
      <c r="K36" s="1236">
        <v>6.73</v>
      </c>
      <c r="L36" s="1090">
        <v>6.73</v>
      </c>
      <c r="M36" s="61">
        <v>45170</v>
      </c>
      <c r="N36" s="61">
        <v>45535</v>
      </c>
      <c r="O36" s="1239"/>
      <c r="P36" s="28"/>
      <c r="Q36" s="28"/>
      <c r="R36" s="28"/>
      <c r="S36" s="5"/>
      <c r="T36" s="6"/>
    </row>
    <row r="37" spans="2:20" x14ac:dyDescent="0.25">
      <c r="B37" s="4"/>
      <c r="C37" s="5"/>
      <c r="D37" s="1113">
        <v>27</v>
      </c>
      <c r="E37" s="1080" t="inlineStr">
        <is>
          <t xml:space="preserve">Global IT Innovative Systems</t>
        </is>
      </c>
      <c r="F37" s="1098" t="inlineStr">
        <is>
          <t xml:space="preserve">5806 A-n</t>
        </is>
      </c>
      <c r="G37" s="1080"/>
      <c r="H37" s="1080" t="inlineStr">
        <is>
          <t xml:space="preserve">Triple Net</t>
        </is>
      </c>
      <c r="I37" s="1099" t="inlineStr">
        <is>
          <t xml:space="preserve">Industrial Office/Warehouse</t>
        </is>
      </c>
      <c r="J37" s="30">
        <v>875</v>
      </c>
      <c r="K37" s="1236"/>
      <c r="L37" s="1090"/>
      <c r="M37" s="61">
        <v>45200</v>
      </c>
      <c r="N37" s="61">
        <v>45565</v>
      </c>
      <c r="O37" s="1239"/>
      <c r="P37" s="28"/>
      <c r="Q37" s="28"/>
      <c r="R37" s="28"/>
      <c r="S37" s="5"/>
      <c r="T37" s="6"/>
    </row>
    <row r="38" spans="2:20" x14ac:dyDescent="0.25">
      <c r="B38" s="4"/>
      <c r="C38" s="5"/>
      <c r="D38" s="1113">
        <v>28</v>
      </c>
      <c r="E38" s="1080" t="inlineStr">
        <is>
          <t xml:space="preserve">Global IT Innovative Systems</t>
        </is>
      </c>
      <c r="F38" s="1098" t="inlineStr">
        <is>
          <t xml:space="preserve">5806 A-s</t>
        </is>
      </c>
      <c r="G38" s="1080"/>
      <c r="H38" s="1080" t="inlineStr">
        <is>
          <t xml:space="preserve">Triple Net</t>
        </is>
      </c>
      <c r="I38" s="1099" t="inlineStr">
        <is>
          <t xml:space="preserve">Industrial Office/Warehouse</t>
        </is>
      </c>
      <c r="J38" s="30">
        <v>875</v>
      </c>
      <c r="K38" s="1236"/>
      <c r="L38" s="1090"/>
      <c r="M38" s="61">
        <v>45200</v>
      </c>
      <c r="N38" s="61">
        <v>45565</v>
      </c>
      <c r="O38" s="1239"/>
      <c r="P38" s="28"/>
      <c r="Q38" s="28"/>
      <c r="R38" s="28"/>
      <c r="S38" s="5"/>
      <c r="T38" s="6"/>
    </row>
    <row r="39" spans="2:20" x14ac:dyDescent="0.25">
      <c r="B39" s="4"/>
      <c r="C39" s="5"/>
      <c r="D39" s="1113">
        <v>29</v>
      </c>
      <c r="E39" s="1080" t="inlineStr">
        <is>
          <t xml:space="preserve">Global IT Innovative Systems</t>
        </is>
      </c>
      <c r="F39" s="1098" t="inlineStr">
        <is>
          <t xml:space="preserve">5806 B-s</t>
        </is>
      </c>
      <c r="G39" s="1080"/>
      <c r="H39" s="1080" t="inlineStr">
        <is>
          <t xml:space="preserve">Triple Net</t>
        </is>
      </c>
      <c r="I39" s="1099" t="inlineStr">
        <is>
          <t xml:space="preserve">Industrial Office/Warehouse</t>
        </is>
      </c>
      <c r="J39" s="30">
        <v>1221</v>
      </c>
      <c r="K39" s="1236">
        <v>4.414</v>
      </c>
      <c r="L39" s="1090">
        <v>4.414</v>
      </c>
      <c r="M39" s="61">
        <v>45200</v>
      </c>
      <c r="N39" s="61">
        <v>45565</v>
      </c>
      <c r="O39" s="1239"/>
      <c r="P39" s="28"/>
      <c r="Q39" s="28"/>
      <c r="R39" s="28"/>
      <c r="S39" s="5"/>
      <c r="T39" s="6"/>
    </row>
    <row r="40" spans="2:20" x14ac:dyDescent="0.25">
      <c r="B40" s="4"/>
      <c r="C40" s="5"/>
      <c r="D40" s="1113">
        <v>30</v>
      </c>
      <c r="E40" s="1080" t="inlineStr">
        <is>
          <t xml:space="preserve">Global IT Innovative Systems</t>
        </is>
      </c>
      <c r="F40" s="1098" t="inlineStr">
        <is>
          <t xml:space="preserve">5806 B-n</t>
        </is>
      </c>
      <c r="G40" s="1080"/>
      <c r="H40" s="1080" t="inlineStr">
        <is>
          <t xml:space="preserve">Triple Net</t>
        </is>
      </c>
      <c r="I40" s="1099" t="inlineStr">
        <is>
          <t xml:space="preserve">Industrial Office/Warehouse</t>
        </is>
      </c>
      <c r="J40" s="30">
        <v>350</v>
      </c>
      <c r="K40" s="1236">
        <v>16.61</v>
      </c>
      <c r="L40" s="1090">
        <v>16.61</v>
      </c>
      <c r="M40" s="61">
        <v>45200</v>
      </c>
      <c r="N40" s="61">
        <v>45565</v>
      </c>
      <c r="O40" s="1239"/>
      <c r="P40" s="28"/>
      <c r="Q40" s="28"/>
      <c r="R40" s="28"/>
      <c r="S40" s="5"/>
      <c r="T40" s="6"/>
    </row>
    <row r="41" spans="2:20" x14ac:dyDescent="0.25">
      <c r="B41" s="4"/>
      <c r="C41" s="5"/>
      <c r="D41" s="1113">
        <v>31</v>
      </c>
      <c r="E41" s="1080" t="inlineStr">
        <is>
          <t xml:space="preserve">Miggy &amp; Ernie's</t>
        </is>
      </c>
      <c r="F41" s="1098" t="inlineStr">
        <is>
          <t xml:space="preserve">5808 A</t>
        </is>
      </c>
      <c r="G41" s="1080"/>
      <c r="H41" s="1080" t="inlineStr">
        <is>
          <t xml:space="preserve">Triple Net</t>
        </is>
      </c>
      <c r="I41" s="1099" t="inlineStr">
        <is>
          <t xml:space="preserve">Industrial Office/Warehouse</t>
        </is>
      </c>
      <c r="J41" s="30">
        <v>3550</v>
      </c>
      <c r="K41" s="1236">
        <v>5.43</v>
      </c>
      <c r="L41" s="1090">
        <v>5.43</v>
      </c>
      <c r="M41" s="61">
        <v>44986</v>
      </c>
      <c r="N41" s="61">
        <v>45350</v>
      </c>
      <c r="O41" s="1239"/>
      <c r="P41" s="28"/>
      <c r="Q41" s="28"/>
      <c r="R41" s="28"/>
      <c r="S41" s="5"/>
      <c r="T41" s="6"/>
    </row>
    <row r="42" spans="2:20" x14ac:dyDescent="0.25">
      <c r="B42" s="4"/>
      <c r="C42" s="5"/>
      <c r="D42" s="1113">
        <v>32</v>
      </c>
      <c r="E42" s="1080" t="inlineStr">
        <is>
          <t xml:space="preserve">Keiths Paint Shop LLC</t>
        </is>
      </c>
      <c r="F42" s="1098" t="inlineStr">
        <is>
          <t xml:space="preserve">1609 A-B</t>
        </is>
      </c>
      <c r="G42" s="1080"/>
      <c r="H42" s="1080" t="inlineStr">
        <is>
          <t xml:space="preserve">Triple Net</t>
        </is>
      </c>
      <c r="I42" s="1099" t="inlineStr">
        <is>
          <t xml:space="preserve">Industrial Office/Warehouse</t>
        </is>
      </c>
      <c r="J42" s="30">
        <v>3500</v>
      </c>
      <c r="K42" s="1236">
        <v>6.25</v>
      </c>
      <c r="L42" s="1090">
        <v>6.25</v>
      </c>
      <c r="M42" s="61">
        <v>45413</v>
      </c>
      <c r="N42" s="61">
        <v>45777</v>
      </c>
      <c r="O42" s="1239"/>
      <c r="P42" s="28"/>
      <c r="Q42" s="28"/>
      <c r="R42" s="28"/>
      <c r="S42" s="5"/>
      <c r="T42" s="6"/>
    </row>
    <row r="43" spans="2:20" x14ac:dyDescent="0.25">
      <c r="B43" s="4"/>
      <c r="C43" s="5"/>
      <c r="D43" s="1113">
        <v>33</v>
      </c>
      <c r="E43" s="1080" t="inlineStr">
        <is>
          <t xml:space="preserve">Keiths Paint Shop LLC</t>
        </is>
      </c>
      <c r="F43" s="1098" t="inlineStr">
        <is>
          <t xml:space="preserve">1609 C</t>
        </is>
      </c>
      <c r="G43" s="1080"/>
      <c r="H43" s="1080" t="inlineStr">
        <is>
          <t xml:space="preserve">Triple Net</t>
        </is>
      </c>
      <c r="I43" s="1099" t="inlineStr">
        <is>
          <t xml:space="preserve">Industrial Office/Warehouse</t>
        </is>
      </c>
      <c r="J43" s="30">
        <v>1750</v>
      </c>
      <c r="K43" s="1236">
        <v>6.25</v>
      </c>
      <c r="L43" s="1090">
        <v>6.25</v>
      </c>
      <c r="M43" s="61">
        <v>45413</v>
      </c>
      <c r="N43" s="61">
        <v>45777</v>
      </c>
      <c r="O43" s="1239"/>
      <c r="P43" s="28"/>
      <c r="Q43" s="28"/>
      <c r="R43" s="28"/>
      <c r="S43" s="5"/>
      <c r="T43" s="6"/>
    </row>
    <row r="44" spans="2:20" x14ac:dyDescent="0.25">
      <c r="B44" s="4"/>
      <c r="C44" s="5"/>
      <c r="D44" s="1113">
        <v>34</v>
      </c>
      <c r="E44" s="1080" t="inlineStr">
        <is>
          <t xml:space="preserve">Keiths Paint Shop LLC</t>
        </is>
      </c>
      <c r="F44" s="1098" t="inlineStr">
        <is>
          <t xml:space="preserve">1609 D-E</t>
        </is>
      </c>
      <c r="G44" s="1080"/>
      <c r="H44" s="1080" t="inlineStr">
        <is>
          <t xml:space="preserve">Triple Net</t>
        </is>
      </c>
      <c r="I44" s="1099" t="inlineStr">
        <is>
          <t xml:space="preserve">Industrial Office/Warehouse</t>
        </is>
      </c>
      <c r="J44" s="30">
        <v>3250</v>
      </c>
      <c r="K44" s="1236">
        <v>6.25</v>
      </c>
      <c r="L44" s="1090">
        <v>6.25</v>
      </c>
      <c r="M44" s="61">
        <v>45413</v>
      </c>
      <c r="N44" s="61">
        <v>45777</v>
      </c>
      <c r="O44" s="1239"/>
      <c r="P44" s="28"/>
      <c r="Q44" s="28"/>
      <c r="R44" s="28"/>
      <c r="S44" s="5"/>
      <c r="T44" s="6"/>
    </row>
    <row r="45" spans="2:20" x14ac:dyDescent="0.25">
      <c r="B45" s="4"/>
      <c r="C45" s="5"/>
      <c r="D45" s="1113">
        <v>35</v>
      </c>
      <c r="E45" s="1080" t="inlineStr">
        <is>
          <t xml:space="preserve">Keiths Paint Shop LLC</t>
        </is>
      </c>
      <c r="F45" s="1098" t="inlineStr">
        <is>
          <t xml:space="preserve">1609 F</t>
        </is>
      </c>
      <c r="G45" s="1080"/>
      <c r="H45" s="1080" t="inlineStr">
        <is>
          <t xml:space="preserve">Triple Net</t>
        </is>
      </c>
      <c r="I45" s="1099" t="inlineStr">
        <is>
          <t xml:space="preserve">Industrial Office/Warehouse</t>
        </is>
      </c>
      <c r="J45" s="30">
        <v>1564</v>
      </c>
      <c r="K45" s="1236">
        <v>6.25</v>
      </c>
      <c r="L45" s="1090">
        <v>6.25</v>
      </c>
      <c r="M45" s="61">
        <v>45413</v>
      </c>
      <c r="N45" s="61">
        <v>45777</v>
      </c>
      <c r="O45" s="1239"/>
      <c r="P45" s="28"/>
      <c r="Q45" s="28"/>
      <c r="R45" s="28"/>
      <c r="S45" s="5"/>
      <c r="T45" s="6"/>
    </row>
    <row r="46" spans="2:20" x14ac:dyDescent="0.25">
      <c r="B46" s="4"/>
      <c r="C46" s="5"/>
      <c r="D46" s="1113">
        <v>36</v>
      </c>
      <c r="E46" s="1080" t="inlineStr">
        <is>
          <t xml:space="preserve">Adessa</t>
        </is>
      </c>
      <c r="F46" s="1098" t="inlineStr">
        <is>
          <t xml:space="preserve">1609 G</t>
        </is>
      </c>
      <c r="G46" s="1080"/>
      <c r="H46" s="1080" t="inlineStr">
        <is>
          <t xml:space="preserve">Triple Net</t>
        </is>
      </c>
      <c r="I46" s="1099" t="inlineStr">
        <is>
          <t xml:space="preserve">Industrial Office/Warehouse</t>
        </is>
      </c>
      <c r="J46" s="30">
        <v>1750</v>
      </c>
      <c r="K46" s="1236">
        <v>6.18</v>
      </c>
      <c r="L46" s="1090">
        <v>6.18</v>
      </c>
      <c r="M46" s="61">
        <v>45108</v>
      </c>
      <c r="N46" s="61">
        <v>45473</v>
      </c>
      <c r="O46" s="1239"/>
      <c r="P46" s="28"/>
      <c r="Q46" s="28"/>
      <c r="R46" s="28"/>
      <c r="S46" s="5"/>
      <c r="T46" s="6"/>
    </row>
    <row r="47" spans="2:20" x14ac:dyDescent="0.25">
      <c r="B47" s="4"/>
      <c r="C47" s="5"/>
      <c r="D47" s="1113">
        <v>37</v>
      </c>
      <c r="E47" s="1080" t="inlineStr">
        <is>
          <t xml:space="preserve">Keiths Paint Shop LLC</t>
        </is>
      </c>
      <c r="F47" s="1098" t="inlineStr">
        <is>
          <t xml:space="preserve">1609 H-I</t>
        </is>
      </c>
      <c r="G47" s="1080"/>
      <c r="H47" s="1080" t="inlineStr">
        <is>
          <t xml:space="preserve">Triple Net</t>
        </is>
      </c>
      <c r="I47" s="1099" t="inlineStr">
        <is>
          <t xml:space="preserve">Industrial Office/Warehouse</t>
        </is>
      </c>
      <c r="J47" s="30">
        <v>3500</v>
      </c>
      <c r="K47" s="1236">
        <v>6.25</v>
      </c>
      <c r="L47" s="1090">
        <v>6.25</v>
      </c>
      <c r="M47" s="61">
        <v>45413</v>
      </c>
      <c r="N47" s="61">
        <v>45777</v>
      </c>
      <c r="O47" s="1239"/>
      <c r="P47" s="28"/>
      <c r="Q47" s="28"/>
      <c r="R47" s="28"/>
      <c r="S47" s="5"/>
      <c r="T47" s="6"/>
    </row>
    <row r="48" spans="2:20" x14ac:dyDescent="0.25">
      <c r="B48" s="4"/>
      <c r="C48" s="5"/>
      <c r="D48" s="1113">
        <v>38</v>
      </c>
      <c r="E48" s="1080" t="inlineStr">
        <is>
          <t xml:space="preserve">Certified Mapping and Technical Testing Inc.</t>
        </is>
      </c>
      <c r="F48" s="1098" t="inlineStr">
        <is>
          <t xml:space="preserve">1707-09 A07-B09</t>
        </is>
      </c>
      <c r="G48" s="1080"/>
      <c r="H48" s="1080" t="inlineStr">
        <is>
          <t xml:space="preserve">Triple Net</t>
        </is>
      </c>
      <c r="I48" s="1099" t="inlineStr">
        <is>
          <t xml:space="preserve">Industrial Office/Warehouse</t>
        </is>
      </c>
      <c r="J48" s="30">
        <v>15000</v>
      </c>
      <c r="K48" s="1236">
        <v>4.02</v>
      </c>
      <c r="L48" s="1090">
        <v>4.02</v>
      </c>
      <c r="M48" s="61">
        <v>45108</v>
      </c>
      <c r="N48" s="61">
        <v>45473</v>
      </c>
      <c r="O48" s="1239"/>
      <c r="P48" s="28"/>
      <c r="Q48" s="28"/>
      <c r="R48" s="28"/>
      <c r="S48" s="5"/>
      <c r="T48" s="6"/>
    </row>
    <row r="49" spans="2:20" x14ac:dyDescent="0.25">
      <c r="B49" s="4"/>
      <c r="C49" s="5"/>
      <c r="D49" s="1113">
        <v>39</v>
      </c>
      <c r="E49" s="1080" t="inlineStr">
        <is>
          <t xml:space="preserve">Good Bread</t>
        </is>
      </c>
      <c r="F49" s="1098" t="inlineStr">
        <is>
          <t xml:space="preserve">1721-23 A21</t>
        </is>
      </c>
      <c r="G49" s="1080"/>
      <c r="H49" s="1080" t="inlineStr">
        <is>
          <t xml:space="preserve">Triple Net</t>
        </is>
      </c>
      <c r="I49" s="1099" t="inlineStr">
        <is>
          <t xml:space="preserve">Industrial Office/Warehouse</t>
        </is>
      </c>
      <c r="J49" s="30">
        <v>7500</v>
      </c>
      <c r="K49" s="1236">
        <v>8.24</v>
      </c>
      <c r="L49" s="1090">
        <v>8.24</v>
      </c>
      <c r="M49" s="61">
        <v>45444</v>
      </c>
      <c r="N49" s="61">
        <v>45808</v>
      </c>
      <c r="O49" s="1239"/>
      <c r="P49" s="28"/>
      <c r="Q49" s="28"/>
      <c r="R49" s="28"/>
      <c r="S49" s="5"/>
      <c r="T49" s="6"/>
    </row>
    <row r="50" spans="2:20" x14ac:dyDescent="0.25">
      <c r="B50" s="4"/>
      <c r="C50" s="5"/>
      <c r="D50" s="1113">
        <v>40</v>
      </c>
      <c r="E50" s="1080" t="inlineStr">
        <is>
          <t xml:space="preserve">Good Bread</t>
        </is>
      </c>
      <c r="F50" s="1098" t="inlineStr">
        <is>
          <t xml:space="preserve">1721-23 B23</t>
        </is>
      </c>
      <c r="G50" s="1080"/>
      <c r="H50" s="1080" t="inlineStr">
        <is>
          <t xml:space="preserve">Triple Net</t>
        </is>
      </c>
      <c r="I50" s="1099" t="inlineStr">
        <is>
          <t xml:space="preserve">Industrial Office/Warehouse</t>
        </is>
      </c>
      <c r="J50" s="30">
        <v>2728.17</v>
      </c>
      <c r="K50" s="1236">
        <v>8.24</v>
      </c>
      <c r="L50" s="1090">
        <v>8.24</v>
      </c>
      <c r="M50" s="61">
        <v>45444</v>
      </c>
      <c r="N50" s="61">
        <v>45808</v>
      </c>
      <c r="O50" s="1239"/>
      <c r="P50" s="28"/>
      <c r="Q50" s="28"/>
      <c r="R50" s="28"/>
      <c r="S50" s="5"/>
      <c r="T50" s="6"/>
    </row>
    <row r="51" spans="2:20" x14ac:dyDescent="0.25">
      <c r="B51" s="4"/>
      <c r="C51" s="5"/>
      <c r="D51" s="1113">
        <v>41</v>
      </c>
      <c r="E51" s="1080" t="inlineStr">
        <is>
          <t xml:space="preserve">Good Bread Freezer</t>
        </is>
      </c>
      <c r="F51" s="1098" t="inlineStr">
        <is>
          <t xml:space="preserve">1721-23 C23 w/h freeze</t>
        </is>
      </c>
      <c r="G51" s="1080"/>
      <c r="H51" s="1080" t="inlineStr">
        <is>
          <t xml:space="preserve">Triple Net</t>
        </is>
      </c>
      <c r="I51" s="1099" t="inlineStr">
        <is>
          <t xml:space="preserve">Industrial Office/Warehouse</t>
        </is>
      </c>
      <c r="J51" s="30">
        <v>277.98</v>
      </c>
      <c r="K51" s="1236">
        <v>8.24</v>
      </c>
      <c r="L51" s="1090">
        <v>8.24</v>
      </c>
      <c r="M51" s="61">
        <v>45444</v>
      </c>
      <c r="N51" s="61">
        <v>45808</v>
      </c>
      <c r="O51" s="1239"/>
      <c r="P51" s="28"/>
      <c r="Q51" s="28"/>
      <c r="R51" s="28"/>
      <c r="S51" s="5"/>
      <c r="T51" s="6"/>
    </row>
    <row r="52" spans="2:20" x14ac:dyDescent="0.25">
      <c r="B52" s="4"/>
      <c r="C52" s="5"/>
      <c r="D52" s="1113">
        <v>42</v>
      </c>
      <c r="E52" s="1080" t="inlineStr">
        <is>
          <t xml:space="preserve">Good Bread</t>
        </is>
      </c>
      <c r="F52" s="1098" t="inlineStr">
        <is>
          <t xml:space="preserve">1721-23 C23 w/h</t>
        </is>
      </c>
      <c r="G52" s="1080"/>
      <c r="H52" s="1080" t="inlineStr">
        <is>
          <t xml:space="preserve">Triple Net</t>
        </is>
      </c>
      <c r="I52" s="1099" t="inlineStr">
        <is>
          <t xml:space="preserve">Industrial Office/Warehouse</t>
        </is>
      </c>
      <c r="J52" s="30">
        <v>4557.12</v>
      </c>
      <c r="K52" s="1236">
        <v>8.24</v>
      </c>
      <c r="L52" s="1090">
        <v>8.24</v>
      </c>
      <c r="M52" s="61">
        <v>45444</v>
      </c>
      <c r="N52" s="61">
        <v>45808</v>
      </c>
      <c r="O52" s="1239"/>
      <c r="P52" s="28"/>
      <c r="Q52" s="28"/>
      <c r="R52" s="28"/>
      <c r="S52" s="5"/>
      <c r="T52" s="6"/>
    </row>
    <row r="53" spans="2:20" x14ac:dyDescent="0.25">
      <c r="B53" s="4"/>
      <c r="C53" s="5"/>
      <c r="D53" s="1113">
        <v>43</v>
      </c>
      <c r="E53" s="1080" t="inlineStr">
        <is>
          <t xml:space="preserve">Coda Coffee Company</t>
        </is>
      </c>
      <c r="F53" s="1098" t="inlineStr">
        <is>
          <t xml:space="preserve">1751 A</t>
        </is>
      </c>
      <c r="G53" s="1080"/>
      <c r="H53" s="1080" t="inlineStr">
        <is>
          <t xml:space="preserve">Triple Net</t>
        </is>
      </c>
      <c r="I53" s="1099" t="inlineStr">
        <is>
          <t xml:space="preserve">Industrial Office/Warehouse</t>
        </is>
      </c>
      <c r="J53" s="30">
        <v>4866.3</v>
      </c>
      <c r="K53" s="1236">
        <v>9.5</v>
      </c>
      <c r="L53" s="1090">
        <v>9.5</v>
      </c>
      <c r="M53" s="61">
        <v>45170</v>
      </c>
      <c r="N53" s="61">
        <v>45535</v>
      </c>
      <c r="O53" s="1239"/>
      <c r="P53" s="28"/>
      <c r="Q53" s="28"/>
      <c r="R53" s="28"/>
      <c r="S53" s="5"/>
      <c r="T53" s="6"/>
    </row>
    <row r="54" spans="2:20" x14ac:dyDescent="0.25">
      <c r="B54" s="4"/>
      <c r="C54" s="5"/>
      <c r="D54" s="1113">
        <v>44</v>
      </c>
      <c r="E54" s="1080" t="inlineStr">
        <is>
          <t xml:space="preserve">Coda Coffee Company</t>
        </is>
      </c>
      <c r="F54" s="1098" t="inlineStr">
        <is>
          <t xml:space="preserve">1751 B-2</t>
        </is>
      </c>
      <c r="G54" s="1080"/>
      <c r="H54" s="1080" t="inlineStr">
        <is>
          <t xml:space="preserve">Triple Net</t>
        </is>
      </c>
      <c r="I54" s="1099" t="inlineStr">
        <is>
          <t xml:space="preserve">Industrial Office/Warehouse</t>
        </is>
      </c>
      <c r="J54" s="30">
        <v>1921.48</v>
      </c>
      <c r="K54" s="1236">
        <v>9.5</v>
      </c>
      <c r="L54" s="1090">
        <v>9.5</v>
      </c>
      <c r="M54" s="61">
        <v>45170</v>
      </c>
      <c r="N54" s="61">
        <v>45535</v>
      </c>
      <c r="O54" s="1239"/>
      <c r="P54" s="28"/>
      <c r="Q54" s="28"/>
      <c r="R54" s="28"/>
      <c r="S54" s="5"/>
      <c r="T54" s="6"/>
    </row>
    <row r="55" spans="2:20" x14ac:dyDescent="0.25">
      <c r="B55" s="4"/>
      <c r="C55" s="5"/>
      <c r="D55" s="1113">
        <v>45</v>
      </c>
      <c r="E55" s="1080" t="inlineStr">
        <is>
          <t xml:space="preserve">Coda Coffee Company</t>
        </is>
      </c>
      <c r="F55" s="1098" t="inlineStr">
        <is>
          <t xml:space="preserve">1751 B-1</t>
        </is>
      </c>
      <c r="G55" s="1080"/>
      <c r="H55" s="1080" t="inlineStr">
        <is>
          <t xml:space="preserve">Triple Net</t>
        </is>
      </c>
      <c r="I55" s="1099" t="inlineStr">
        <is>
          <t xml:space="preserve">Industrial Office/Warehouse</t>
        </is>
      </c>
      <c r="J55" s="30">
        <v>1132.83</v>
      </c>
      <c r="K55" s="1236">
        <v>9.5</v>
      </c>
      <c r="L55" s="1090">
        <v>9.5</v>
      </c>
      <c r="M55" s="61">
        <v>45170</v>
      </c>
      <c r="N55" s="61">
        <v>45535</v>
      </c>
      <c r="O55" s="1239"/>
      <c r="P55" s="28"/>
      <c r="Q55" s="28"/>
      <c r="R55" s="28"/>
      <c r="S55" s="5"/>
      <c r="T55" s="6"/>
    </row>
    <row r="56" spans="2:20" x14ac:dyDescent="0.25">
      <c r="B56" s="4"/>
      <c r="C56" s="5"/>
      <c r="D56" s="1113">
        <v>46</v>
      </c>
      <c r="E56" s="1080" t="inlineStr">
        <is>
          <t xml:space="preserve">Coda Coffee Company</t>
        </is>
      </c>
      <c r="F56" s="1098" t="inlineStr">
        <is>
          <t xml:space="preserve">1751 B-3</t>
        </is>
      </c>
      <c r="G56" s="1080"/>
      <c r="H56" s="1080" t="inlineStr">
        <is>
          <t xml:space="preserve">Triple Net</t>
        </is>
      </c>
      <c r="I56" s="1099" t="inlineStr">
        <is>
          <t xml:space="preserve">Industrial Office/Warehouse</t>
        </is>
      </c>
      <c r="J56" s="30">
        <v>3450</v>
      </c>
      <c r="K56" s="1236">
        <v>9.5</v>
      </c>
      <c r="L56" s="1090">
        <v>9.5</v>
      </c>
      <c r="M56" s="61">
        <v>45170</v>
      </c>
      <c r="N56" s="61">
        <v>45535</v>
      </c>
      <c r="O56" s="1239"/>
      <c r="P56" s="28"/>
      <c r="Q56" s="28"/>
      <c r="R56" s="28"/>
      <c r="S56" s="5"/>
      <c r="T56" s="6"/>
    </row>
    <row r="57" spans="2:20" x14ac:dyDescent="0.25">
      <c r="B57" s="4"/>
      <c r="C57" s="5"/>
      <c r="D57" s="1113">
        <v>47</v>
      </c>
      <c r="E57" s="1080" t="inlineStr">
        <is>
          <t xml:space="preserve">Coda Coffee Company</t>
        </is>
      </c>
      <c r="F57" s="1098" t="inlineStr">
        <is>
          <t xml:space="preserve">1751 D east</t>
        </is>
      </c>
      <c r="G57" s="1080"/>
      <c r="H57" s="1080" t="inlineStr">
        <is>
          <t xml:space="preserve">Triple Net</t>
        </is>
      </c>
      <c r="I57" s="1099" t="inlineStr">
        <is>
          <t xml:space="preserve">Industrial Office/Warehouse</t>
        </is>
      </c>
      <c r="J57" s="30">
        <v>855.88</v>
      </c>
      <c r="K57" s="1236">
        <v>9.5</v>
      </c>
      <c r="L57" s="1090">
        <v>9.5</v>
      </c>
      <c r="M57" s="61">
        <v>45170</v>
      </c>
      <c r="N57" s="61">
        <v>45535</v>
      </c>
      <c r="O57" s="1239"/>
      <c r="P57" s="28"/>
      <c r="Q57" s="28"/>
      <c r="R57" s="28"/>
      <c r="S57" s="5"/>
      <c r="T57" s="6"/>
    </row>
    <row r="58" spans="2:20" x14ac:dyDescent="0.25">
      <c r="B58" s="4"/>
      <c r="C58" s="5"/>
      <c r="D58" s="1113">
        <v>48</v>
      </c>
      <c r="E58" s="1080" t="inlineStr">
        <is>
          <t xml:space="preserve">Unoccupied (2nd floor small storage)</t>
        </is>
      </c>
      <c r="F58" s="1098" t="inlineStr">
        <is>
          <t xml:space="preserve">1751 D 2nd floor</t>
        </is>
      </c>
      <c r="G58" s="1080"/>
      <c r="H58" s="1080"/>
      <c r="I58" s="1099" t="inlineStr">
        <is>
          <t xml:space="preserve">Industrial Office/Warehouse</t>
        </is>
      </c>
      <c r="J58" s="30">
        <v>650.92</v>
      </c>
      <c r="K58" s="1236"/>
      <c r="L58" s="1090"/>
      <c r="M58" s="61"/>
      <c r="N58" s="61"/>
      <c r="O58" s="1239"/>
      <c r="P58" s="28"/>
      <c r="Q58" s="28"/>
      <c r="R58" s="28"/>
      <c r="S58" s="5"/>
      <c r="T58" s="6"/>
    </row>
    <row r="59" spans="2:20" x14ac:dyDescent="0.25">
      <c r="B59" s="4"/>
      <c r="C59" s="5"/>
      <c r="D59" s="1113">
        <v>49</v>
      </c>
      <c r="E59" s="1080" t="inlineStr">
        <is>
          <t xml:space="preserve">Coda Coffee Company</t>
        </is>
      </c>
      <c r="F59" s="1098" t="inlineStr">
        <is>
          <t xml:space="preserve">1751 D west</t>
        </is>
      </c>
      <c r="G59" s="1080"/>
      <c r="H59" s="1080" t="inlineStr">
        <is>
          <t xml:space="preserve">Triple Net</t>
        </is>
      </c>
      <c r="I59" s="1099" t="inlineStr">
        <is>
          <t xml:space="preserve">Industrial Office/Warehouse</t>
        </is>
      </c>
      <c r="J59" s="30">
        <v>993.08</v>
      </c>
      <c r="K59" s="1236">
        <v>9.5</v>
      </c>
      <c r="L59" s="1090">
        <v>9.5</v>
      </c>
      <c r="M59" s="61">
        <v>45170</v>
      </c>
      <c r="N59" s="61">
        <v>45535</v>
      </c>
      <c r="O59" s="1239"/>
      <c r="P59" s="28"/>
      <c r="Q59" s="28"/>
      <c r="R59" s="28"/>
      <c r="S59" s="5"/>
      <c r="T59" s="6"/>
    </row>
    <row r="60" spans="2:20" x14ac:dyDescent="0.25">
      <c r="B60" s="4"/>
      <c r="C60" s="5"/>
      <c r="D60" s="1113">
        <v>50</v>
      </c>
      <c r="E60" s="1080" t="inlineStr">
        <is>
          <t xml:space="preserve">Reliant Dry Ice</t>
        </is>
      </c>
      <c r="F60" s="1098" t="inlineStr">
        <is>
          <t xml:space="preserve">1751 E</t>
        </is>
      </c>
      <c r="G60" s="1080"/>
      <c r="H60" s="1080" t="inlineStr">
        <is>
          <t xml:space="preserve">Triple Net</t>
        </is>
      </c>
      <c r="I60" s="1099" t="inlineStr">
        <is>
          <t xml:space="preserve">Industrial Office/Warehouse</t>
        </is>
      </c>
      <c r="J60" s="30">
        <v>5000</v>
      </c>
      <c r="K60" s="1236">
        <v>6.2</v>
      </c>
      <c r="L60" s="1090">
        <v>6.2</v>
      </c>
      <c r="M60" s="61">
        <v>45231</v>
      </c>
      <c r="N60" s="61">
        <v>45596</v>
      </c>
      <c r="O60" s="1239"/>
      <c r="P60" s="28"/>
      <c r="Q60" s="28"/>
      <c r="R60" s="28"/>
      <c r="S60" s="5"/>
      <c r="T60" s="6"/>
    </row>
    <row r="61" spans="2:20" x14ac:dyDescent="0.25">
      <c r="B61" s="4"/>
      <c r="C61" s="5"/>
      <c r="D61" s="1113">
        <v>51</v>
      </c>
      <c r="E61" s="1080" t="inlineStr">
        <is>
          <t xml:space="preserve">ReEnergize</t>
        </is>
      </c>
      <c r="F61" s="1098" t="inlineStr">
        <is>
          <t xml:space="preserve">1791 A</t>
        </is>
      </c>
      <c r="G61" s="1080"/>
      <c r="H61" s="1080" t="inlineStr">
        <is>
          <t xml:space="preserve">Triple Net</t>
        </is>
      </c>
      <c r="I61" s="1099" t="inlineStr">
        <is>
          <t xml:space="preserve">Industrial Office/Warehouse</t>
        </is>
      </c>
      <c r="J61" s="30">
        <v>5157</v>
      </c>
      <c r="K61" s="1236">
        <v>6.36</v>
      </c>
      <c r="L61" s="1090">
        <v>6.36</v>
      </c>
      <c r="M61" s="61">
        <v>45444</v>
      </c>
      <c r="N61" s="61">
        <v>45808</v>
      </c>
      <c r="O61" s="1239"/>
      <c r="P61" s="28"/>
      <c r="Q61" s="28"/>
      <c r="R61" s="28"/>
      <c r="S61" s="5"/>
      <c r="T61" s="6"/>
    </row>
    <row r="62" spans="2:20" x14ac:dyDescent="0.25">
      <c r="B62" s="4"/>
      <c r="C62" s="5"/>
      <c r="D62" s="1113">
        <v>52</v>
      </c>
      <c r="E62" s="1080" t="inlineStr">
        <is>
          <t xml:space="preserve">Coda Coffee Company</t>
        </is>
      </c>
      <c r="F62" s="1098" t="inlineStr">
        <is>
          <t xml:space="preserve">1791 B</t>
        </is>
      </c>
      <c r="G62" s="1080"/>
      <c r="H62" s="1080" t="inlineStr">
        <is>
          <t xml:space="preserve">Triple Net</t>
        </is>
      </c>
      <c r="I62" s="1099" t="inlineStr">
        <is>
          <t xml:space="preserve">Industrial Office/Warehouse</t>
        </is>
      </c>
      <c r="J62" s="30">
        <v>4000</v>
      </c>
      <c r="K62" s="1236">
        <v>9.5</v>
      </c>
      <c r="L62" s="1090">
        <v>9.5</v>
      </c>
      <c r="M62" s="61">
        <v>45170</v>
      </c>
      <c r="N62" s="61">
        <v>45535</v>
      </c>
      <c r="O62" s="1239"/>
      <c r="P62" s="28"/>
      <c r="Q62" s="28"/>
      <c r="R62" s="28"/>
      <c r="S62" s="5"/>
      <c r="T62" s="6"/>
    </row>
    <row r="63" spans="2:20" x14ac:dyDescent="0.25">
      <c r="B63" s="4"/>
      <c r="C63" s="5"/>
      <c r="D63" s="1113">
        <v>53</v>
      </c>
      <c r="E63" s="1080" t="inlineStr">
        <is>
          <t xml:space="preserve">Allcomm Data Supplies Inc.</t>
        </is>
      </c>
      <c r="F63" s="1098" t="inlineStr">
        <is>
          <t xml:space="preserve">1791 C &amp; D</t>
        </is>
      </c>
      <c r="G63" s="1080"/>
      <c r="H63" s="1080" t="inlineStr">
        <is>
          <t xml:space="preserve">Triple Net</t>
        </is>
      </c>
      <c r="I63" s="1099" t="inlineStr">
        <is>
          <t xml:space="preserve">Industrial Office/Warehouse</t>
        </is>
      </c>
      <c r="J63" s="30">
        <v>4000</v>
      </c>
      <c r="K63" s="1236">
        <v>5.4</v>
      </c>
      <c r="L63" s="1090">
        <v>5.4</v>
      </c>
      <c r="M63" s="61">
        <v>44805</v>
      </c>
      <c r="N63" s="61">
        <v>45535</v>
      </c>
      <c r="O63" s="1239"/>
      <c r="P63" s="28"/>
      <c r="Q63" s="28"/>
      <c r="R63" s="28"/>
      <c r="S63" s="5"/>
      <c r="T63" s="6"/>
    </row>
    <row r="64" spans="2:20" x14ac:dyDescent="0.25">
      <c r="B64" s="4"/>
      <c r="C64" s="5"/>
      <c r="D64" s="1113">
        <v>54</v>
      </c>
      <c r="E64" s="1080" t="inlineStr">
        <is>
          <t xml:space="preserve">RossComm LLC</t>
        </is>
      </c>
      <c r="F64" s="1098" t="inlineStr">
        <is>
          <t xml:space="preserve">1791 E</t>
        </is>
      </c>
      <c r="G64" s="1080"/>
      <c r="H64" s="1080" t="inlineStr">
        <is>
          <t xml:space="preserve">Triple Net</t>
        </is>
      </c>
      <c r="I64" s="1099" t="inlineStr">
        <is>
          <t xml:space="preserve">Industrial Office/Warehouse</t>
        </is>
      </c>
      <c r="J64" s="30">
        <v>2000</v>
      </c>
      <c r="K64" s="1236">
        <v>6.75</v>
      </c>
      <c r="L64" s="1090">
        <v>6.75</v>
      </c>
      <c r="M64" s="61">
        <v>45413</v>
      </c>
      <c r="N64" s="61">
        <v>45777</v>
      </c>
      <c r="O64" s="1239"/>
      <c r="P64" s="28"/>
      <c r="Q64" s="28"/>
      <c r="R64" s="28"/>
      <c r="S64" s="5"/>
      <c r="T64" s="6"/>
    </row>
    <row r="65" spans="2:20" x14ac:dyDescent="0.25">
      <c r="B65" s="4"/>
      <c r="C65" s="5"/>
      <c r="D65" s="1113">
        <v>55</v>
      </c>
      <c r="E65" s="1080" t="inlineStr">
        <is>
          <t xml:space="preserve">R&amp;O Heating Inc.</t>
        </is>
      </c>
      <c r="F65" s="1098" t="inlineStr">
        <is>
          <t xml:space="preserve">1791 F</t>
        </is>
      </c>
      <c r="G65" s="1080"/>
      <c r="H65" s="1080" t="inlineStr">
        <is>
          <t xml:space="preserve">Triple Net</t>
        </is>
      </c>
      <c r="I65" s="1099" t="inlineStr">
        <is>
          <t xml:space="preserve">Industrial Office/Warehouse</t>
        </is>
      </c>
      <c r="J65" s="30">
        <v>2000</v>
      </c>
      <c r="K65" s="1236">
        <v>7</v>
      </c>
      <c r="L65" s="1090">
        <v>7</v>
      </c>
      <c r="M65" s="61">
        <v>45139</v>
      </c>
      <c r="N65" s="61">
        <v>45504</v>
      </c>
      <c r="O65" s="1239"/>
      <c r="P65" s="28"/>
      <c r="Q65" s="28"/>
      <c r="R65" s="28"/>
      <c r="S65" s="5"/>
      <c r="T65" s="6"/>
    </row>
    <row r="66" spans="2:20" x14ac:dyDescent="0.25">
      <c r="B66" s="4"/>
      <c r="C66" s="5"/>
      <c r="D66" s="1113">
        <v>56</v>
      </c>
      <c r="E66" s="1080" t="inlineStr">
        <is>
          <t xml:space="preserve">R&amp;O Heating Inc.</t>
        </is>
      </c>
      <c r="F66" s="1098" t="inlineStr">
        <is>
          <t xml:space="preserve">1791 G</t>
        </is>
      </c>
      <c r="G66" s="1080"/>
      <c r="H66" s="1080" t="inlineStr">
        <is>
          <t xml:space="preserve">Triple Net</t>
        </is>
      </c>
      <c r="I66" s="1099" t="inlineStr">
        <is>
          <t xml:space="preserve">Industrial Office/Warehouse</t>
        </is>
      </c>
      <c r="J66" s="30">
        <v>2000</v>
      </c>
      <c r="K66" s="1236">
        <v>7</v>
      </c>
      <c r="L66" s="1090">
        <v>7</v>
      </c>
      <c r="M66" s="61">
        <v>45139</v>
      </c>
      <c r="N66" s="61">
        <v>45504</v>
      </c>
      <c r="O66" s="1239"/>
      <c r="P66" s="28"/>
      <c r="Q66" s="28"/>
      <c r="R66" s="28"/>
      <c r="S66" s="5"/>
      <c r="T66" s="6"/>
    </row>
    <row r="67" spans="2:20" x14ac:dyDescent="0.25">
      <c r="B67" s="4"/>
      <c r="C67" s="5"/>
      <c r="D67" s="1113">
        <v>57</v>
      </c>
      <c r="E67" s="1080" t="inlineStr">
        <is>
          <t xml:space="preserve">R&amp;O Heating Inc.</t>
        </is>
      </c>
      <c r="F67" s="1098" t="inlineStr">
        <is>
          <t xml:space="preserve">1791 H</t>
        </is>
      </c>
      <c r="G67" s="1080"/>
      <c r="H67" s="1080" t="inlineStr">
        <is>
          <t xml:space="preserve">Triple Net</t>
        </is>
      </c>
      <c r="I67" s="1099" t="inlineStr">
        <is>
          <t xml:space="preserve">Industrial Office/Warehouse</t>
        </is>
      </c>
      <c r="J67" s="30">
        <v>2000</v>
      </c>
      <c r="K67" s="1236">
        <v>7</v>
      </c>
      <c r="L67" s="1090">
        <v>7</v>
      </c>
      <c r="M67" s="61">
        <v>45139</v>
      </c>
      <c r="N67" s="61">
        <v>45504</v>
      </c>
      <c r="O67" s="1239"/>
      <c r="P67" s="28"/>
      <c r="Q67" s="28"/>
      <c r="R67" s="28"/>
      <c r="S67" s="5"/>
      <c r="T67" s="6"/>
    </row>
    <row r="68" spans="2:20" x14ac:dyDescent="0.25">
      <c r="B68" s="4"/>
      <c r="C68" s="5"/>
      <c r="D68" s="1113">
        <v>58</v>
      </c>
      <c r="E68" s="1080" t="inlineStr">
        <is>
          <t xml:space="preserve">Harlan Bakeries Co LLC</t>
        </is>
      </c>
      <c r="F68" s="1098" t="inlineStr">
        <is>
          <t xml:space="preserve">1791 M</t>
        </is>
      </c>
      <c r="G68" s="1080"/>
      <c r="H68" s="1080" t="inlineStr">
        <is>
          <t xml:space="preserve">Triple Net</t>
        </is>
      </c>
      <c r="I68" s="1099" t="inlineStr">
        <is>
          <t xml:space="preserve">Industrial Office/Warehouse</t>
        </is>
      </c>
      <c r="J68" s="30">
        <v>2000</v>
      </c>
      <c r="K68" s="1236">
        <v>6.24</v>
      </c>
      <c r="L68" s="1090">
        <v>6.24</v>
      </c>
      <c r="M68" s="61">
        <v>44958</v>
      </c>
      <c r="N68" s="61">
        <v>45688</v>
      </c>
      <c r="O68" s="1239"/>
      <c r="P68" s="28"/>
      <c r="Q68" s="28"/>
      <c r="R68" s="28"/>
      <c r="S68" s="5"/>
      <c r="T68" s="6"/>
    </row>
    <row r="69" spans="2:20" x14ac:dyDescent="0.25">
      <c r="B69" s="4"/>
      <c r="C69" s="5"/>
      <c r="D69" s="1113">
        <v>59</v>
      </c>
      <c r="E69" s="1080" t="inlineStr">
        <is>
          <t xml:space="preserve">Mr. Dino's Baths</t>
        </is>
      </c>
      <c r="F69" s="1098" t="inlineStr">
        <is>
          <t xml:space="preserve">1791 N</t>
        </is>
      </c>
      <c r="G69" s="1080"/>
      <c r="H69" s="1080" t="inlineStr">
        <is>
          <t xml:space="preserve">Triple Net</t>
        </is>
      </c>
      <c r="I69" s="1099" t="inlineStr">
        <is>
          <t xml:space="preserve">Industrial Office/Warehouse</t>
        </is>
      </c>
      <c r="J69" s="30">
        <v>2000</v>
      </c>
      <c r="K69" s="1236"/>
      <c r="L69" s="1090"/>
      <c r="M69" s="61"/>
      <c r="N69" s="61">
        <v>45443</v>
      </c>
      <c r="O69" s="1239"/>
      <c r="P69" s="28"/>
      <c r="Q69" s="28"/>
      <c r="R69" s="28"/>
      <c r="S69" s="5"/>
      <c r="T69" s="6"/>
    </row>
    <row r="70" spans="2:20" x14ac:dyDescent="0.25">
      <c r="B70" s="4"/>
      <c r="C70" s="5"/>
      <c r="D70" s="1113">
        <v>60</v>
      </c>
      <c r="E70" s="1080" t="inlineStr">
        <is>
          <t xml:space="preserve">Colorado Comfort Air</t>
        </is>
      </c>
      <c r="F70" s="1098" t="inlineStr">
        <is>
          <t xml:space="preserve">1771 A/A-1</t>
        </is>
      </c>
      <c r="G70" s="1080"/>
      <c r="H70" s="1080" t="inlineStr">
        <is>
          <t xml:space="preserve">Triple Net</t>
        </is>
      </c>
      <c r="I70" s="1099" t="inlineStr">
        <is>
          <t xml:space="preserve">Industrial Office/Warehouse</t>
        </is>
      </c>
      <c r="J70" s="30">
        <v>3760</v>
      </c>
      <c r="K70" s="1236">
        <v>6.2</v>
      </c>
      <c r="L70" s="1090">
        <v>6.2</v>
      </c>
      <c r="M70" s="61">
        <v>45108</v>
      </c>
      <c r="N70" s="61">
        <v>45473</v>
      </c>
      <c r="O70" s="1239"/>
      <c r="P70" s="28"/>
      <c r="Q70" s="28"/>
      <c r="R70" s="28"/>
      <c r="S70" s="5"/>
      <c r="T70" s="6"/>
    </row>
    <row r="71" spans="2:20" x14ac:dyDescent="0.25">
      <c r="B71" s="4"/>
      <c r="C71" s="5"/>
      <c r="D71" s="1113">
        <v>61</v>
      </c>
      <c r="E71" s="1080" t="inlineStr">
        <is>
          <t xml:space="preserve">CODA Coffee</t>
        </is>
      </c>
      <c r="F71" s="1098" t="inlineStr">
        <is>
          <t xml:space="preserve">1771 B</t>
        </is>
      </c>
      <c r="G71" s="1080"/>
      <c r="H71" s="1080" t="inlineStr">
        <is>
          <t xml:space="preserve">Triple Net</t>
        </is>
      </c>
      <c r="I71" s="1099" t="inlineStr">
        <is>
          <t xml:space="preserve">Industrial Office/Warehouse</t>
        </is>
      </c>
      <c r="J71" s="30">
        <v>3987.76</v>
      </c>
      <c r="K71" s="1236">
        <v>6</v>
      </c>
      <c r="L71" s="1090">
        <v>6</v>
      </c>
      <c r="M71" s="61">
        <v>45337</v>
      </c>
      <c r="N71" s="61">
        <v>45535</v>
      </c>
      <c r="O71" s="1239"/>
      <c r="P71" s="28"/>
      <c r="Q71" s="28"/>
      <c r="R71" s="28"/>
      <c r="S71" s="5"/>
      <c r="T71" s="6"/>
    </row>
    <row r="72" spans="2:20" x14ac:dyDescent="0.25">
      <c r="B72" s="4"/>
      <c r="C72" s="5"/>
      <c r="D72" s="1113">
        <v>62</v>
      </c>
      <c r="E72" s="1080" t="inlineStr">
        <is>
          <t xml:space="preserve">REDCO Tire</t>
        </is>
      </c>
      <c r="F72" s="1098" t="inlineStr">
        <is>
          <t xml:space="preserve">1771 C</t>
        </is>
      </c>
      <c r="G72" s="1080"/>
      <c r="H72" s="1080" t="inlineStr">
        <is>
          <t xml:space="preserve">Triple Net</t>
        </is>
      </c>
      <c r="I72" s="1099" t="inlineStr">
        <is>
          <t xml:space="preserve">Industrial Office/Warehouse</t>
        </is>
      </c>
      <c r="J72" s="30">
        <v>2562.24</v>
      </c>
      <c r="K72" s="1236">
        <v>6</v>
      </c>
      <c r="L72" s="1090">
        <v>6</v>
      </c>
      <c r="M72" s="61">
        <v>45108</v>
      </c>
      <c r="N72" s="61">
        <v>45473</v>
      </c>
      <c r="O72" s="1239"/>
      <c r="P72" s="28"/>
      <c r="Q72" s="28"/>
      <c r="R72" s="28"/>
      <c r="S72" s="5"/>
      <c r="T72" s="6"/>
    </row>
    <row r="73" spans="2:20" x14ac:dyDescent="0.25">
      <c r="B73" s="4"/>
      <c r="C73" s="5"/>
      <c r="D73" s="1113">
        <v>63</v>
      </c>
      <c r="E73" s="1080" t="inlineStr">
        <is>
          <t xml:space="preserve">Coda Coffee</t>
        </is>
      </c>
      <c r="F73" s="1098" t="inlineStr">
        <is>
          <t xml:space="preserve">1771 D</t>
        </is>
      </c>
      <c r="G73" s="1080"/>
      <c r="H73" s="1080" t="inlineStr">
        <is>
          <t xml:space="preserve">Triple Net</t>
        </is>
      </c>
      <c r="I73" s="1099" t="inlineStr">
        <is>
          <t xml:space="preserve">Industrial Office/Warehouse</t>
        </is>
      </c>
      <c r="J73" s="30">
        <v>4585.15</v>
      </c>
      <c r="K73" s="1236">
        <v>9.5</v>
      </c>
      <c r="L73" s="1090">
        <v>9.5</v>
      </c>
      <c r="M73" s="61">
        <v>45170</v>
      </c>
      <c r="N73" s="61">
        <v>45535</v>
      </c>
      <c r="O73" s="1239"/>
      <c r="P73" s="28"/>
      <c r="Q73" s="28"/>
      <c r="R73" s="28"/>
      <c r="S73" s="5"/>
      <c r="T73" s="6"/>
    </row>
    <row r="74" spans="2:20" x14ac:dyDescent="0.25">
      <c r="B74" s="4"/>
      <c r="C74" s="5"/>
      <c r="D74" s="1113">
        <v>64</v>
      </c>
      <c r="E74" s="1080" t="inlineStr">
        <is>
          <t xml:space="preserve">Happel &amp; Associates Inc.</t>
        </is>
      </c>
      <c r="F74" s="1098" t="inlineStr">
        <is>
          <t xml:space="preserve">1771 E &amp; F</t>
        </is>
      </c>
      <c r="G74" s="1080"/>
      <c r="H74" s="1080" t="inlineStr">
        <is>
          <t xml:space="preserve">Triple Net</t>
        </is>
      </c>
      <c r="I74" s="1099" t="inlineStr">
        <is>
          <t xml:space="preserve">Industrial Office/Warehouse</t>
        </is>
      </c>
      <c r="J74" s="30">
        <v>5000</v>
      </c>
      <c r="K74" s="1236">
        <v>6.49</v>
      </c>
      <c r="L74" s="1090">
        <v>6.49</v>
      </c>
      <c r="M74" s="61">
        <v>45170</v>
      </c>
      <c r="N74" s="61">
        <v>45535</v>
      </c>
      <c r="O74" s="1239"/>
      <c r="P74" s="28"/>
      <c r="Q74" s="28"/>
      <c r="R74" s="28"/>
      <c r="S74" s="5"/>
      <c r="T74" s="6"/>
    </row>
    <row r="75" spans="2:20" x14ac:dyDescent="0.25">
      <c r="B75" s="4"/>
      <c r="C75" s="5"/>
      <c r="D75" s="1113">
        <v>65</v>
      </c>
      <c r="E75" s="1080" t="inlineStr">
        <is>
          <t xml:space="preserve">Harlan Bakeries</t>
        </is>
      </c>
      <c r="F75" s="1098" t="inlineStr">
        <is>
          <t xml:space="preserve">1761 A</t>
        </is>
      </c>
      <c r="G75" s="1080"/>
      <c r="H75" s="1080" t="inlineStr">
        <is>
          <t xml:space="preserve">Triple Net</t>
        </is>
      </c>
      <c r="I75" s="1099" t="inlineStr">
        <is>
          <t xml:space="preserve">Industrial Office/Warehouse</t>
        </is>
      </c>
      <c r="J75" s="30">
        <v>2625</v>
      </c>
      <c r="K75" s="1236">
        <v>4.85</v>
      </c>
      <c r="L75" s="1090">
        <v>4.85</v>
      </c>
      <c r="M75" s="61">
        <v>45170</v>
      </c>
      <c r="N75" s="61">
        <v>45535</v>
      </c>
      <c r="O75" s="1239"/>
      <c r="P75" s="28"/>
      <c r="Q75" s="28"/>
      <c r="R75" s="28"/>
      <c r="S75" s="5"/>
      <c r="T75" s="6"/>
    </row>
    <row r="76" spans="2:20" x14ac:dyDescent="0.25">
      <c r="B76" s="4"/>
      <c r="C76" s="5"/>
      <c r="D76" s="1113">
        <v>66</v>
      </c>
      <c r="E76" s="1080" t="inlineStr">
        <is>
          <t xml:space="preserve">Good Bread Inc.</t>
        </is>
      </c>
      <c r="F76" s="1098" t="inlineStr">
        <is>
          <t xml:space="preserve">1761 A-5</t>
        </is>
      </c>
      <c r="G76" s="1080"/>
      <c r="H76" s="1080" t="inlineStr">
        <is>
          <t xml:space="preserve">Triple Net</t>
        </is>
      </c>
      <c r="I76" s="1099" t="inlineStr">
        <is>
          <t xml:space="preserve">Industrial Office/Warehouse</t>
        </is>
      </c>
      <c r="J76" s="30">
        <v>3750</v>
      </c>
      <c r="K76" s="1236">
        <v>5.1008</v>
      </c>
      <c r="L76" s="1090">
        <v>5.1008</v>
      </c>
      <c r="M76" s="61">
        <v>45444</v>
      </c>
      <c r="N76" s="61">
        <v>45808</v>
      </c>
      <c r="O76" s="1239"/>
      <c r="P76" s="28"/>
      <c r="Q76" s="28"/>
      <c r="R76" s="28"/>
      <c r="S76" s="5"/>
      <c r="T76" s="6"/>
    </row>
    <row r="77" spans="2:20" x14ac:dyDescent="0.25">
      <c r="B77" s="4"/>
      <c r="C77" s="5"/>
      <c r="D77" s="1113">
        <v>67</v>
      </c>
      <c r="E77" s="1080" t="inlineStr">
        <is>
          <t xml:space="preserve">Santa Fe Mechanical</t>
        </is>
      </c>
      <c r="F77" s="1098" t="inlineStr">
        <is>
          <t xml:space="preserve">1761 A3</t>
        </is>
      </c>
      <c r="G77" s="1080"/>
      <c r="H77" s="1080" t="inlineStr">
        <is>
          <t xml:space="preserve">Triple Net</t>
        </is>
      </c>
      <c r="I77" s="1099" t="inlineStr">
        <is>
          <t xml:space="preserve">Industrial Office/Warehouse</t>
        </is>
      </c>
      <c r="J77" s="30">
        <v>1250</v>
      </c>
      <c r="K77" s="1236">
        <v>7.21</v>
      </c>
      <c r="L77" s="1090">
        <v>7.21</v>
      </c>
      <c r="M77" s="61">
        <v>45170</v>
      </c>
      <c r="N77" s="61">
        <v>45535</v>
      </c>
      <c r="O77" s="1239"/>
      <c r="P77" s="28"/>
      <c r="Q77" s="28"/>
      <c r="R77" s="28"/>
      <c r="S77" s="5"/>
      <c r="T77" s="6"/>
    </row>
    <row r="78" spans="2:20" x14ac:dyDescent="0.25">
      <c r="B78" s="4"/>
      <c r="C78" s="5"/>
      <c r="D78" s="1113">
        <v>68</v>
      </c>
      <c r="E78" s="1080" t="inlineStr">
        <is>
          <t xml:space="preserve">Santa Fe Mechanical</t>
        </is>
      </c>
      <c r="F78" s="1098" t="inlineStr">
        <is>
          <t xml:space="preserve">1761 A4</t>
        </is>
      </c>
      <c r="G78" s="1080"/>
      <c r="H78" s="1080" t="inlineStr">
        <is>
          <t xml:space="preserve">Triple Net</t>
        </is>
      </c>
      <c r="I78" s="1099" t="inlineStr">
        <is>
          <t xml:space="preserve">Industrial Office/Warehouse</t>
        </is>
      </c>
      <c r="J78" s="30">
        <v>5000</v>
      </c>
      <c r="K78" s="1236">
        <v>7.21</v>
      </c>
      <c r="L78" s="1090">
        <v>7.21</v>
      </c>
      <c r="M78" s="61">
        <v>45170</v>
      </c>
      <c r="N78" s="61">
        <v>45535</v>
      </c>
      <c r="O78" s="1239"/>
      <c r="P78" s="28"/>
      <c r="Q78" s="28"/>
      <c r="R78" s="28"/>
      <c r="S78" s="5"/>
      <c r="T78" s="6"/>
    </row>
    <row r="79" spans="2:20" x14ac:dyDescent="0.25">
      <c r="B79" s="4"/>
      <c r="C79" s="5"/>
      <c r="D79" s="1113">
        <v>69</v>
      </c>
      <c r="E79" s="1080" t="inlineStr">
        <is>
          <t xml:space="preserve">Whatnot Ventures LLC</t>
        </is>
      </c>
      <c r="F79" s="1098" t="inlineStr">
        <is>
          <t xml:space="preserve">1761 (cont.) A1</t>
        </is>
      </c>
      <c r="G79" s="1080"/>
      <c r="H79" s="1080" t="inlineStr">
        <is>
          <t xml:space="preserve">Triple Net</t>
        </is>
      </c>
      <c r="I79" s="1099" t="inlineStr">
        <is>
          <t xml:space="preserve">Industrial Office/Warehouse</t>
        </is>
      </c>
      <c r="J79" s="30">
        <v>6675</v>
      </c>
      <c r="K79" s="1236">
        <v>4.93</v>
      </c>
      <c r="L79" s="1090">
        <v>4.93</v>
      </c>
      <c r="M79" s="61">
        <v>45444</v>
      </c>
      <c r="N79" s="61">
        <v>45808</v>
      </c>
      <c r="O79" s="1239"/>
      <c r="P79" s="28"/>
      <c r="Q79" s="28"/>
      <c r="R79" s="28"/>
      <c r="S79" s="5"/>
      <c r="T79" s="6"/>
    </row>
    <row r="80" spans="2:20" x14ac:dyDescent="0.25">
      <c r="B80" s="4"/>
      <c r="C80" s="5"/>
      <c r="D80" s="1113">
        <v>70</v>
      </c>
      <c r="E80" s="1080" t="inlineStr">
        <is>
          <t xml:space="preserve">Inland Island Brewing</t>
        </is>
      </c>
      <c r="F80" s="1098" t="inlineStr">
        <is>
          <t xml:space="preserve">1761 (cont.) A2</t>
        </is>
      </c>
      <c r="G80" s="1080"/>
      <c r="H80" s="1080" t="inlineStr">
        <is>
          <t xml:space="preserve">Triple Net</t>
        </is>
      </c>
      <c r="I80" s="1099" t="inlineStr">
        <is>
          <t xml:space="preserve">Industrial Office/Warehouse</t>
        </is>
      </c>
      <c r="J80" s="30">
        <v>3200</v>
      </c>
      <c r="K80" s="1236">
        <v>4.54</v>
      </c>
      <c r="L80" s="1090">
        <v>4.54</v>
      </c>
      <c r="M80" s="61">
        <v>44835</v>
      </c>
      <c r="N80" s="61">
        <v>45565</v>
      </c>
      <c r="O80" s="1239"/>
      <c r="P80" s="28"/>
      <c r="Q80" s="28"/>
      <c r="R80" s="28"/>
      <c r="S80" s="5"/>
      <c r="T80" s="6"/>
    </row>
    <row r="81" spans="2:20" x14ac:dyDescent="0.25">
      <c r="B81" s="4"/>
      <c r="C81" s="5"/>
      <c r="D81" s="1113">
        <v>71</v>
      </c>
      <c r="E81" s="1080" t="inlineStr">
        <is>
          <t xml:space="preserve">Inland Island Brewing</t>
        </is>
      </c>
      <c r="F81" s="1098" t="inlineStr">
        <is>
          <t xml:space="preserve">1761 (cont.) B</t>
        </is>
      </c>
      <c r="G81" s="1080"/>
      <c r="H81" s="1080" t="inlineStr">
        <is>
          <t xml:space="preserve">Triple Net</t>
        </is>
      </c>
      <c r="I81" s="1099" t="inlineStr">
        <is>
          <t xml:space="preserve">Industrial Office/Warehouse</t>
        </is>
      </c>
      <c r="J81" s="30">
        <v>2765</v>
      </c>
      <c r="K81" s="1236">
        <v>4.54</v>
      </c>
      <c r="L81" s="1090">
        <v>4.54</v>
      </c>
      <c r="M81" s="61">
        <v>44835</v>
      </c>
      <c r="N81" s="61">
        <v>45565</v>
      </c>
      <c r="O81" s="1239"/>
      <c r="P81" s="28"/>
      <c r="Q81" s="28"/>
      <c r="R81" s="28"/>
      <c r="S81" s="5"/>
      <c r="T81" s="6"/>
    </row>
    <row r="82" spans="2:20" x14ac:dyDescent="0.25">
      <c r="B82" s="4"/>
      <c r="C82" s="5"/>
      <c r="D82" s="1113">
        <v>72</v>
      </c>
      <c r="E82" s="1080" t="inlineStr">
        <is>
          <t xml:space="preserve">Inland Island Brewing</t>
        </is>
      </c>
      <c r="F82" s="1098" t="inlineStr">
        <is>
          <t xml:space="preserve">1761 (cont.) B add on</t>
        </is>
      </c>
      <c r="G82" s="1080"/>
      <c r="H82" s="1080" t="inlineStr">
        <is>
          <t xml:space="preserve">Triple Net</t>
        </is>
      </c>
      <c r="I82" s="1099" t="inlineStr">
        <is>
          <t xml:space="preserve">Industrial Office/Warehouse</t>
        </is>
      </c>
      <c r="J82" s="30">
        <v>1150</v>
      </c>
      <c r="K82" s="1236">
        <v>6.25</v>
      </c>
      <c r="L82" s="1090">
        <v>6.25</v>
      </c>
      <c r="M82" s="61">
        <v>45200</v>
      </c>
      <c r="N82" s="61">
        <v>45565</v>
      </c>
      <c r="O82" s="1239"/>
      <c r="P82" s="28"/>
      <c r="Q82" s="28"/>
      <c r="R82" s="28"/>
      <c r="S82" s="5"/>
      <c r="T82" s="6"/>
    </row>
    <row r="83" spans="2:20" x14ac:dyDescent="0.25">
      <c r="B83" s="4"/>
      <c r="C83" s="5"/>
      <c r="D83" s="1113">
        <v>73</v>
      </c>
      <c r="E83" s="1080" t="inlineStr">
        <is>
          <t xml:space="preserve">Coda Coffee</t>
        </is>
      </c>
      <c r="F83" s="1098" t="inlineStr">
        <is>
          <t xml:space="preserve">1761 (cont.) C&amp;D</t>
        </is>
      </c>
      <c r="G83" s="1080"/>
      <c r="H83" s="1080" t="inlineStr">
        <is>
          <t xml:space="preserve">Triple Net</t>
        </is>
      </c>
      <c r="I83" s="1099" t="inlineStr">
        <is>
          <t xml:space="preserve">Industrial Office/Warehouse</t>
        </is>
      </c>
      <c r="J83" s="30">
        <v>6465</v>
      </c>
      <c r="K83" s="1236">
        <v>9.5</v>
      </c>
      <c r="L83" s="1090">
        <v>9.5</v>
      </c>
      <c r="M83" s="61">
        <v>45200</v>
      </c>
      <c r="N83" s="61">
        <v>45565</v>
      </c>
      <c r="O83" s="1239"/>
      <c r="P83" s="28"/>
      <c r="Q83" s="28"/>
      <c r="R83" s="28"/>
      <c r="S83" s="5"/>
      <c r="T83" s="6"/>
    </row>
    <row r="84" spans="2:20" x14ac:dyDescent="0.25">
      <c r="B84" s="4"/>
      <c r="C84" s="5"/>
      <c r="D84" s="1113">
        <v>74</v>
      </c>
      <c r="E84" s="1080" t="inlineStr">
        <is>
          <t xml:space="preserve">Savory Retail Group, LLC</t>
        </is>
      </c>
      <c r="F84" s="1098" t="inlineStr">
        <is>
          <t xml:space="preserve">1805 A,B</t>
        </is>
      </c>
      <c r="G84" s="1080"/>
      <c r="H84" s="1080" t="inlineStr">
        <is>
          <t xml:space="preserve">Triple Net</t>
        </is>
      </c>
      <c r="I84" s="1099" t="inlineStr">
        <is>
          <t xml:space="preserve">Industrial Office/Warehouse</t>
        </is>
      </c>
      <c r="J84" s="30">
        <v>3000</v>
      </c>
      <c r="K84" s="1236">
        <v>5.35</v>
      </c>
      <c r="L84" s="1090">
        <v>5.35</v>
      </c>
      <c r="M84" s="61">
        <v>45383</v>
      </c>
      <c r="N84" s="61">
        <v>45747</v>
      </c>
      <c r="O84" s="1239"/>
      <c r="P84" s="28"/>
      <c r="Q84" s="28"/>
      <c r="R84" s="28"/>
      <c r="S84" s="5"/>
      <c r="T84" s="6"/>
    </row>
    <row r="85" spans="2:20" x14ac:dyDescent="0.25">
      <c r="B85" s="4"/>
      <c r="C85" s="5"/>
      <c r="D85" s="1113">
        <v>75</v>
      </c>
      <c r="E85" s="1080" t="inlineStr">
        <is>
          <t xml:space="preserve">Savory</t>
        </is>
      </c>
      <c r="F85" s="1098" t="inlineStr">
        <is>
          <t xml:space="preserve">1805 C</t>
        </is>
      </c>
      <c r="G85" s="1080"/>
      <c r="H85" s="1080" t="inlineStr">
        <is>
          <t xml:space="preserve">Triple Net</t>
        </is>
      </c>
      <c r="I85" s="1099" t="inlineStr">
        <is>
          <t xml:space="preserve">Industrial Office/Warehouse</t>
        </is>
      </c>
      <c r="J85" s="30">
        <v>3000</v>
      </c>
      <c r="K85" s="1236">
        <v>5.35</v>
      </c>
      <c r="L85" s="1090">
        <v>5.35</v>
      </c>
      <c r="M85" s="61">
        <v>45383</v>
      </c>
      <c r="N85" s="61">
        <v>45747</v>
      </c>
      <c r="O85" s="1239"/>
      <c r="P85" s="28"/>
      <c r="Q85" s="28"/>
      <c r="R85" s="28"/>
      <c r="S85" s="5"/>
      <c r="T85" s="6"/>
    </row>
    <row r="86" spans="2:20" x14ac:dyDescent="0.25">
      <c r="B86" s="4"/>
      <c r="C86" s="5"/>
      <c r="D86" s="1113">
        <v>76</v>
      </c>
      <c r="E86" s="1080" t="inlineStr">
        <is>
          <t xml:space="preserve">Savory</t>
        </is>
      </c>
      <c r="F86" s="1098" t="inlineStr">
        <is>
          <t xml:space="preserve">1805 D</t>
        </is>
      </c>
      <c r="G86" s="1080"/>
      <c r="H86" s="1080" t="inlineStr">
        <is>
          <t xml:space="preserve">Triple Net</t>
        </is>
      </c>
      <c r="I86" s="1099" t="inlineStr">
        <is>
          <t xml:space="preserve">Industrial Office/Warehouse</t>
        </is>
      </c>
      <c r="J86" s="30">
        <v>2000</v>
      </c>
      <c r="K86" s="1236">
        <v>5.35</v>
      </c>
      <c r="L86" s="1090">
        <v>5.35</v>
      </c>
      <c r="M86" s="61">
        <v>45383</v>
      </c>
      <c r="N86" s="61">
        <v>45747</v>
      </c>
      <c r="O86" s="1239"/>
      <c r="P86" s="28"/>
      <c r="Q86" s="28"/>
      <c r="R86" s="28"/>
      <c r="S86" s="5"/>
      <c r="T86" s="6"/>
    </row>
    <row r="87" spans="2:20" x14ac:dyDescent="0.25">
      <c r="B87" s="4"/>
      <c r="C87" s="5"/>
      <c r="D87" s="1113">
        <v>77</v>
      </c>
      <c r="E87" s="1080" t="inlineStr">
        <is>
          <t xml:space="preserve">Savory</t>
        </is>
      </c>
      <c r="F87" s="1098" t="inlineStr">
        <is>
          <t xml:space="preserve">1805 E,F,G</t>
        </is>
      </c>
      <c r="G87" s="1080"/>
      <c r="H87" s="1080" t="inlineStr">
        <is>
          <t xml:space="preserve">Triple Net</t>
        </is>
      </c>
      <c r="I87" s="1099" t="inlineStr">
        <is>
          <t xml:space="preserve">Industrial Office/Warehouse</t>
        </is>
      </c>
      <c r="J87" s="30">
        <v>6000</v>
      </c>
      <c r="K87" s="1236">
        <v>5.35</v>
      </c>
      <c r="L87" s="1090">
        <v>5.35</v>
      </c>
      <c r="M87" s="61">
        <v>45383</v>
      </c>
      <c r="N87" s="61">
        <v>45747</v>
      </c>
      <c r="O87" s="1239"/>
      <c r="P87" s="28"/>
      <c r="Q87" s="28"/>
      <c r="R87" s="28"/>
      <c r="S87" s="5"/>
      <c r="T87" s="6"/>
    </row>
    <row r="88" spans="2:20" x14ac:dyDescent="0.25">
      <c r="B88" s="4"/>
      <c r="C88" s="5"/>
      <c r="D88" s="1113">
        <v>78</v>
      </c>
      <c r="E88" s="1080" t="inlineStr">
        <is>
          <t xml:space="preserve">M.R. Solutions, Inc.</t>
        </is>
      </c>
      <c r="F88" s="1098" t="inlineStr">
        <is>
          <t xml:space="preserve">1805 H</t>
        </is>
      </c>
      <c r="G88" s="1080"/>
      <c r="H88" s="1080" t="inlineStr">
        <is>
          <t xml:space="preserve">Triple Net</t>
        </is>
      </c>
      <c r="I88" s="1099" t="inlineStr">
        <is>
          <t xml:space="preserve">Industrial Office/Warehouse</t>
        </is>
      </c>
      <c r="J88" s="30">
        <v>2000</v>
      </c>
      <c r="K88" s="1236">
        <v>8.5</v>
      </c>
      <c r="L88" s="1090">
        <v>8.5</v>
      </c>
      <c r="M88" s="61">
        <v>45139</v>
      </c>
      <c r="N88" s="61">
        <v>45504</v>
      </c>
      <c r="O88" s="1239"/>
      <c r="P88" s="28"/>
      <c r="Q88" s="28"/>
      <c r="R88" s="28"/>
      <c r="S88" s="5"/>
      <c r="T88" s="6"/>
    </row>
    <row r="89" spans="2:20" x14ac:dyDescent="0.25">
      <c r="B89" s="4"/>
      <c r="C89" s="5"/>
      <c r="D89" s="1113">
        <v>79</v>
      </c>
      <c r="E89" s="1080" t="inlineStr">
        <is>
          <t xml:space="preserve">M.R. Solutions, Inc.</t>
        </is>
      </c>
      <c r="F89" s="1098" t="inlineStr">
        <is>
          <t xml:space="preserve">1805 I</t>
        </is>
      </c>
      <c r="G89" s="1080"/>
      <c r="H89" s="1080" t="inlineStr">
        <is>
          <t xml:space="preserve">Triple Net</t>
        </is>
      </c>
      <c r="I89" s="1099" t="inlineStr">
        <is>
          <t xml:space="preserve">Industrial Office/Warehouse</t>
        </is>
      </c>
      <c r="J89" s="30">
        <v>2000</v>
      </c>
      <c r="K89" s="1236">
        <v>8.5</v>
      </c>
      <c r="L89" s="1090">
        <v>8.5</v>
      </c>
      <c r="M89" s="61">
        <v>45139</v>
      </c>
      <c r="N89" s="61">
        <v>45504</v>
      </c>
      <c r="O89" s="1239"/>
      <c r="P89" s="28"/>
      <c r="Q89" s="28"/>
      <c r="R89" s="28"/>
      <c r="S89" s="5"/>
      <c r="T89" s="6"/>
    </row>
    <row r="90" spans="2:20" x14ac:dyDescent="0.25">
      <c r="B90" s="4"/>
      <c r="C90" s="5"/>
      <c r="D90" s="1113">
        <v>80</v>
      </c>
      <c r="E90" s="1080" t="inlineStr">
        <is>
          <t xml:space="preserve">ReEnergize</t>
        </is>
      </c>
      <c r="F90" s="1098" t="inlineStr">
        <is>
          <t xml:space="preserve">1805 J-s</t>
        </is>
      </c>
      <c r="G90" s="1080"/>
      <c r="H90" s="1080" t="inlineStr">
        <is>
          <t xml:space="preserve">Triple Net</t>
        </is>
      </c>
      <c r="I90" s="1099" t="inlineStr">
        <is>
          <t xml:space="preserve">Industrial Office/Warehouse</t>
        </is>
      </c>
      <c r="J90" s="30">
        <v>2172</v>
      </c>
      <c r="K90" s="1236">
        <v>5.72</v>
      </c>
      <c r="L90" s="1090">
        <v>5.72</v>
      </c>
      <c r="M90" s="61">
        <v>45078</v>
      </c>
      <c r="N90" s="61">
        <v>45443</v>
      </c>
      <c r="O90" s="1239"/>
      <c r="P90" s="28"/>
      <c r="Q90" s="28"/>
      <c r="R90" s="28"/>
      <c r="S90" s="5"/>
      <c r="T90" s="6"/>
    </row>
    <row r="91" spans="2:20" x14ac:dyDescent="0.25">
      <c r="B91" s="4"/>
      <c r="C91" s="5"/>
      <c r="D91" s="1113">
        <v>81</v>
      </c>
      <c r="E91" s="1080" t="inlineStr">
        <is>
          <t xml:space="preserve">P&amp;H Equipment</t>
        </is>
      </c>
      <c r="F91" s="1098" t="inlineStr">
        <is>
          <t xml:space="preserve">1805 J (Ne)</t>
        </is>
      </c>
      <c r="G91" s="1080"/>
      <c r="H91" s="1080" t="inlineStr">
        <is>
          <t xml:space="preserve">Triple Net</t>
        </is>
      </c>
      <c r="I91" s="1099" t="inlineStr">
        <is>
          <t xml:space="preserve">Industrial Office/Warehouse</t>
        </is>
      </c>
      <c r="J91" s="30">
        <v>1475</v>
      </c>
      <c r="K91" s="1236">
        <v>6.5</v>
      </c>
      <c r="L91" s="1090">
        <v>6.5</v>
      </c>
      <c r="M91" s="61">
        <v>45170</v>
      </c>
      <c r="N91" s="61">
        <v>45535</v>
      </c>
      <c r="O91" s="1239"/>
      <c r="P91" s="28"/>
      <c r="Q91" s="28"/>
      <c r="R91" s="28"/>
      <c r="S91" s="5"/>
      <c r="T91" s="6"/>
    </row>
    <row r="92" spans="2:20" x14ac:dyDescent="0.25">
      <c r="B92" s="4"/>
      <c r="C92" s="5"/>
      <c r="D92" s="1113">
        <v>82</v>
      </c>
      <c r="E92" s="1080" t="inlineStr">
        <is>
          <t xml:space="preserve">ReEnergize</t>
        </is>
      </c>
      <c r="F92" s="1098" t="inlineStr">
        <is>
          <t xml:space="preserve">1805 J (Nw)</t>
        </is>
      </c>
      <c r="G92" s="1080"/>
      <c r="H92" s="1080" t="inlineStr">
        <is>
          <t xml:space="preserve">Triple Net</t>
        </is>
      </c>
      <c r="I92" s="1099" t="inlineStr">
        <is>
          <t xml:space="preserve">Industrial Office/Warehouse</t>
        </is>
      </c>
      <c r="J92" s="30">
        <v>440</v>
      </c>
      <c r="K92" s="1236">
        <v>5.72</v>
      </c>
      <c r="L92" s="1090">
        <v>5.72</v>
      </c>
      <c r="M92" s="61">
        <v>45078</v>
      </c>
      <c r="N92" s="61">
        <v>45443</v>
      </c>
      <c r="O92" s="1239"/>
      <c r="P92" s="28"/>
      <c r="Q92" s="28"/>
      <c r="R92" s="28"/>
      <c r="S92" s="5"/>
      <c r="T92" s="6"/>
    </row>
    <row r="93" spans="2:20" x14ac:dyDescent="0.25">
      <c r="B93" s="4"/>
      <c r="C93" s="5"/>
      <c r="D93" s="1113">
        <v>83</v>
      </c>
      <c r="E93" s="1080" t="inlineStr">
        <is>
          <t xml:space="preserve">ReEnergize</t>
        </is>
      </c>
      <c r="F93" s="1098" t="inlineStr">
        <is>
          <t xml:space="preserve">1805 K</t>
        </is>
      </c>
      <c r="G93" s="1080"/>
      <c r="H93" s="1080" t="inlineStr">
        <is>
          <t xml:space="preserve">Triple Net</t>
        </is>
      </c>
      <c r="I93" s="1099" t="inlineStr">
        <is>
          <t xml:space="preserve">Industrial Office/Warehouse</t>
        </is>
      </c>
      <c r="J93" s="30">
        <v>1325</v>
      </c>
      <c r="K93" s="1236">
        <v>5.72</v>
      </c>
      <c r="L93" s="1090">
        <v>5.72</v>
      </c>
      <c r="M93" s="61">
        <v>45078</v>
      </c>
      <c r="N93" s="61">
        <v>45443</v>
      </c>
      <c r="O93" s="1239"/>
      <c r="P93" s="28"/>
      <c r="Q93" s="28"/>
      <c r="R93" s="28"/>
      <c r="S93" s="5"/>
      <c r="T93" s="6"/>
    </row>
    <row r="94" spans="2:20" x14ac:dyDescent="0.25">
      <c r="B94" s="4"/>
      <c r="C94" s="5"/>
      <c r="D94" s="1113">
        <v>84</v>
      </c>
      <c r="E94" s="1080" t="inlineStr">
        <is>
          <t xml:space="preserve">ReEnergize</t>
        </is>
      </c>
      <c r="F94" s="1098" t="inlineStr">
        <is>
          <t xml:space="preserve">1805 K office</t>
        </is>
      </c>
      <c r="G94" s="1080"/>
      <c r="H94" s="1080" t="inlineStr">
        <is>
          <t xml:space="preserve">Triple Net</t>
        </is>
      </c>
      <c r="I94" s="1099" t="inlineStr">
        <is>
          <t xml:space="preserve">Industrial Office/Warehouse</t>
        </is>
      </c>
      <c r="J94" s="30">
        <v>680</v>
      </c>
      <c r="K94" s="1236">
        <v>5.72</v>
      </c>
      <c r="L94" s="1090">
        <v>5.72</v>
      </c>
      <c r="M94" s="61">
        <v>45078</v>
      </c>
      <c r="N94" s="61">
        <v>45443</v>
      </c>
      <c r="O94" s="1239"/>
      <c r="P94" s="28"/>
      <c r="Q94" s="28"/>
      <c r="R94" s="28"/>
      <c r="S94" s="5"/>
      <c r="T94" s="6"/>
    </row>
    <row r="95" spans="2:20" x14ac:dyDescent="0.25">
      <c r="B95" s="4"/>
      <c r="C95" s="5"/>
      <c r="D95" s="1113">
        <v>85</v>
      </c>
      <c r="E95" s="1080" t="inlineStr">
        <is>
          <t xml:space="preserve">ReEnergize</t>
        </is>
      </c>
      <c r="F95" s="1098" t="inlineStr">
        <is>
          <t xml:space="preserve">1805 L</t>
        </is>
      </c>
      <c r="G95" s="1080"/>
      <c r="H95" s="1080" t="inlineStr">
        <is>
          <t xml:space="preserve">Triple Net</t>
        </is>
      </c>
      <c r="I95" s="1099" t="inlineStr">
        <is>
          <t xml:space="preserve">Industrial Office/Warehouse</t>
        </is>
      </c>
      <c r="J95" s="30">
        <v>2005</v>
      </c>
      <c r="K95" s="1236">
        <v>5.72</v>
      </c>
      <c r="L95" s="1090">
        <v>5.72</v>
      </c>
      <c r="M95" s="61">
        <v>45078</v>
      </c>
      <c r="N95" s="61">
        <v>45443</v>
      </c>
      <c r="O95" s="1239"/>
      <c r="P95" s="28"/>
      <c r="Q95" s="28"/>
      <c r="R95" s="28"/>
      <c r="S95" s="5"/>
      <c r="T95" s="6"/>
    </row>
    <row r="96" spans="2:20" x14ac:dyDescent="0.25">
      <c r="B96" s="4"/>
      <c r="C96" s="5"/>
      <c r="D96" s="1113">
        <v>86</v>
      </c>
      <c r="E96" s="1080" t="inlineStr">
        <is>
          <t xml:space="preserve">Savory Spice</t>
        </is>
      </c>
      <c r="F96" s="1098" t="inlineStr">
        <is>
          <t xml:space="preserve">1805 M</t>
        </is>
      </c>
      <c r="G96" s="1080"/>
      <c r="H96" s="1080" t="inlineStr">
        <is>
          <t xml:space="preserve">Triple Net</t>
        </is>
      </c>
      <c r="I96" s="1099" t="inlineStr">
        <is>
          <t xml:space="preserve">Industrial Office/Warehouse</t>
        </is>
      </c>
      <c r="J96" s="30">
        <v>3005</v>
      </c>
      <c r="K96" s="1236">
        <v>6.37</v>
      </c>
      <c r="L96" s="1090">
        <v>6.37</v>
      </c>
      <c r="M96" s="61">
        <v>45444</v>
      </c>
      <c r="N96" s="61">
        <v>45808</v>
      </c>
      <c r="O96" s="1239"/>
      <c r="P96" s="28"/>
      <c r="Q96" s="28"/>
      <c r="R96" s="28"/>
      <c r="S96" s="5"/>
      <c r="T96" s="6"/>
    </row>
    <row r="97" spans="2:20" x14ac:dyDescent="0.25">
      <c r="B97" s="4"/>
      <c r="C97" s="5"/>
      <c r="D97" s="1113">
        <v>87</v>
      </c>
      <c r="E97" s="1080" t="inlineStr">
        <is>
          <t xml:space="preserve">Harlan</t>
        </is>
      </c>
      <c r="F97" s="1098" t="inlineStr">
        <is>
          <t xml:space="preserve">1805 N</t>
        </is>
      </c>
      <c r="G97" s="1080"/>
      <c r="H97" s="1080" t="inlineStr">
        <is>
          <t xml:space="preserve">Triple Net</t>
        </is>
      </c>
      <c r="I97" s="1099" t="inlineStr">
        <is>
          <t xml:space="preserve">Industrial Office/Warehouse</t>
        </is>
      </c>
      <c r="J97" s="30">
        <v>3000</v>
      </c>
      <c r="K97" s="1236">
        <v>1.5</v>
      </c>
      <c r="L97" s="1090">
        <v>1.5</v>
      </c>
      <c r="M97" s="61">
        <v>45170</v>
      </c>
      <c r="N97" s="61">
        <v>45535</v>
      </c>
      <c r="O97" s="1239"/>
      <c r="P97" s="28"/>
      <c r="Q97" s="28"/>
      <c r="R97" s="28"/>
      <c r="S97" s="5"/>
      <c r="T97" s="6"/>
    </row>
    <row r="98" spans="2:20" x14ac:dyDescent="0.25">
      <c r="B98" s="4"/>
      <c r="C98" s="5"/>
      <c r="D98" s="1113">
        <v>88</v>
      </c>
      <c r="E98" s="1080" t="inlineStr">
        <is>
          <t xml:space="preserve">Coda Coffee</t>
        </is>
      </c>
      <c r="F98" s="1098" t="inlineStr">
        <is>
          <t xml:space="preserve">1805 O1, O2, O3</t>
        </is>
      </c>
      <c r="G98" s="1080"/>
      <c r="H98" s="1080" t="inlineStr">
        <is>
          <t xml:space="preserve">Triple Net</t>
        </is>
      </c>
      <c r="I98" s="1099" t="inlineStr">
        <is>
          <t xml:space="preserve">Industrial Office/Warehouse</t>
        </is>
      </c>
      <c r="J98" s="30">
        <v>9000</v>
      </c>
      <c r="K98" s="1236">
        <v>9.5</v>
      </c>
      <c r="L98" s="1090">
        <v>9.5</v>
      </c>
      <c r="M98" s="61">
        <v>45170</v>
      </c>
      <c r="N98" s="61">
        <v>45535</v>
      </c>
      <c r="O98" s="1239"/>
      <c r="P98" s="28"/>
      <c r="Q98" s="28"/>
      <c r="R98" s="28"/>
      <c r="S98" s="5"/>
      <c r="T98" s="6"/>
    </row>
    <row r="99" spans="2:20" ht="15" thickBot="1" x14ac:dyDescent="0.3"/>
    <row r="100" spans="2:20" x14ac:dyDescent="0.25">
      <c r="D100" s="1"/>
      <c r="E100" s="2"/>
      <c r="F100" s="202"/>
      <c r="G100" s="2"/>
      <c r="H100" s="202"/>
      <c r="I100" s="25"/>
      <c r="J100" s="596"/>
    </row>
    <row r="101" spans="4:11" ht="15.75" x14ac:dyDescent="0.3">
      <c r="D101" s="4"/>
      <c r="E101" s="3978" t="s">
        <v>1068</v>
      </c>
      <c r="F101" s="3781"/>
      <c r="G101" s="3781"/>
      <c r="H101" s="3781"/>
      <c r="I101" s="20"/>
      <c r="J101" s="596"/>
    </row>
    <row r="102" spans="4:11" x14ac:dyDescent="0.25">
      <c r="D102" s="4"/>
      <c r="E102" s="1573" t="s">
        <v>400</v>
      </c>
      <c r="F102" s="527" t="inlineStr">
        <is>
          <t xml:space="preserve">Coda Coffee Company</t>
        </is>
      </c>
      <c r="G102" s="527" t="s">
        <v>1174</v>
      </c>
      <c r="H102" s="1566">
        <f>VLOOKUP($F$102,$E$5:$S$98,7,FALSE)</f>
        <v>7.5</v>
      </c>
      <c r="I102" s="20"/>
      <c r="J102" s="596"/>
    </row>
    <row r="103" spans="4:11" x14ac:dyDescent="0.25">
      <c r="D103" s="4"/>
      <c r="E103" s="1573" t="s">
        <v>441</v>
      </c>
      <c r="F103" s="1567">
        <f>VLOOKUP($F$102,$E$5:$S$98,6,FALSE)</f>
        <v>5796</v>
      </c>
      <c r="G103" s="742" t="s">
        <v>1307</v>
      </c>
      <c r="H103" s="1566">
        <f>VLOOKUP($F$102,$E$5:$S$98,8,FALSE)</f>
        <v>7.5010000000000003</v>
      </c>
      <c r="I103" s="20"/>
      <c r="J103" s="596"/>
    </row>
    <row r="104" spans="4:11" x14ac:dyDescent="0.25">
      <c r="D104" s="4"/>
      <c r="E104" s="1573" t="s">
        <v>1069</v>
      </c>
      <c r="F104" s="1568">
        <f>VLOOKUP($F$102,$E$5:$S$98,9,FALSE)</f>
        <v>43922</v>
      </c>
      <c r="G104" s="527" t="s">
        <v>742</v>
      </c>
      <c r="H104" s="527" t="str">
        <f>VLOOKUP($F$102,$E$5:$S$98,4,FALSE)</f>
        <v>Triple Net</v>
      </c>
      <c r="I104" s="1245"/>
      <c r="J104" s="156"/>
    </row>
    <row r="105" spans="4:11" x14ac:dyDescent="0.25">
      <c r="D105" s="4"/>
      <c r="E105" s="1573" t="s">
        <v>1308</v>
      </c>
      <c r="F105" s="1568">
        <f>VLOOKUP($F$102,$E$5:$S$98,10,FALSE)</f>
        <v>45016</v>
      </c>
      <c r="G105" s="527" t="s">
        <v>1072</v>
      </c>
      <c r="H105" s="1569" t="s">
        <v>19969</v>
      </c>
      <c r="I105" s="1246"/>
      <c r="J105" s="1244"/>
    </row>
    <row r="106" spans="4:11" x14ac:dyDescent="0.25">
      <c r="D106" s="4"/>
      <c r="E106" s="1573" t="s">
        <v>293</v>
      </c>
      <c r="F106" s="1570">
        <f>YEARFRAC(VLOOKUP($F$102,$E$5:$S$98,9,FALSE),VLOOKUP($F$102,$E$5:$S$98,10,FALSE))</f>
        <v>3</v>
      </c>
      <c r="G106" s="527" t="s">
        <v>1071</v>
      </c>
      <c r="H106" s="1571" t="s">
        <v>19969</v>
      </c>
      <c r="I106" s="149"/>
      <c r="J106" s="42"/>
    </row>
    <row r="107" spans="4:11" x14ac:dyDescent="0.25">
      <c r="D107" s="4"/>
      <c r="E107" s="1573" t="s">
        <v>1070</v>
      </c>
      <c r="F107" s="1570" t="s">
        <v>19969</v>
      </c>
      <c r="G107" s="527" t="s">
        <v>498</v>
      </c>
      <c r="H107" s="1572" t="s">
        <v>19969</v>
      </c>
      <c r="I107" s="149"/>
      <c r="J107" s="42"/>
    </row>
    <row r="108" spans="4:11" ht="15.75" customHeight="1" thickBot="1" x14ac:dyDescent="0.3">
      <c r="D108" s="4"/>
      <c r="E108" s="1565" t="s">
        <v>1073</v>
      </c>
      <c r="F108" s="4283" t="s">
        <v>20056</v>
      </c>
      <c r="G108" s="4283"/>
      <c r="H108" s="4283"/>
      <c r="I108" s="20"/>
      <c r="J108" s="596"/>
    </row>
    <row r="109" spans="4:11" s="1334" customFormat="1" ht="18" customHeight="1" x14ac:dyDescent="0.25">
      <c r="D109" s="1331"/>
      <c r="E109" s="1336" t="s">
        <v>1374</v>
      </c>
      <c r="F109" s="1329"/>
      <c r="G109" s="1329"/>
      <c r="H109" s="1329"/>
      <c r="I109" s="1329"/>
      <c r="J109" s="1332"/>
      <c r="K109" s="1333"/>
    </row>
    <row r="110" spans="4:11" ht="15.75" x14ac:dyDescent="0.3">
      <c r="D110" s="4"/>
      <c r="E110" s="3978" t="s">
        <v>1068</v>
      </c>
      <c r="F110" s="3781"/>
      <c r="G110" s="3781"/>
      <c r="H110" s="3781"/>
      <c r="I110" s="20"/>
      <c r="J110" s="596"/>
    </row>
    <row r="111" spans="4:11" x14ac:dyDescent="0.25">
      <c r="D111" s="4"/>
      <c r="E111" s="738" t="s">
        <v>400</v>
      </c>
      <c r="F111" s="1241" t="inlineStr">
        <is>
          <t xml:space="preserve">Good Bread</t>
        </is>
      </c>
      <c r="G111" s="1241" t="s">
        <v>1174</v>
      </c>
      <c r="H111" s="1243">
        <f>VLOOKUP($F$111,$E$5:$S$98,7,FALSE)</f>
        <v>7.5</v>
      </c>
      <c r="I111" s="20"/>
      <c r="J111" s="596"/>
    </row>
    <row r="112" spans="4:11" x14ac:dyDescent="0.25">
      <c r="D112" s="4"/>
      <c r="E112" s="738" t="s">
        <v>441</v>
      </c>
      <c r="F112" s="913">
        <f>VLOOKUP($F$111,$E$5:$S$98,6,FALSE)</f>
        <v>8912</v>
      </c>
      <c r="G112" s="92" t="s">
        <v>1307</v>
      </c>
      <c r="H112" s="1243">
        <f>VLOOKUP($F$111,$E$5:$S$98,8,FALSE)</f>
        <v>7.5</v>
      </c>
      <c r="I112" s="20"/>
      <c r="J112" s="596"/>
    </row>
    <row r="113" spans="4:11" x14ac:dyDescent="0.25">
      <c r="D113" s="4"/>
      <c r="E113" s="738" t="s">
        <v>1069</v>
      </c>
      <c r="F113" s="735">
        <f>VLOOKUP($F$111,$E$5:$S$98,9,FALSE)</f>
        <v>43922</v>
      </c>
      <c r="G113" s="1241" t="s">
        <v>742</v>
      </c>
      <c r="H113" s="1241" t="str">
        <f>VLOOKUP($F$111,$E$5:$S$98,4,FALSE)</f>
        <v>Triple Net</v>
      </c>
      <c r="I113" s="20"/>
      <c r="J113" s="596"/>
    </row>
    <row r="114" spans="4:11" x14ac:dyDescent="0.25">
      <c r="D114" s="4"/>
      <c r="E114" s="738" t="s">
        <v>1308</v>
      </c>
      <c r="F114" s="735">
        <f>VLOOKUP($F$111,$E$5:$S$98,10,FALSE)</f>
        <v>45016</v>
      </c>
      <c r="G114" s="1241" t="s">
        <v>1072</v>
      </c>
      <c r="H114" s="1240" t="s">
        <v>19969</v>
      </c>
      <c r="I114" s="20"/>
      <c r="J114" s="596"/>
    </row>
    <row r="115" spans="4:11" x14ac:dyDescent="0.25">
      <c r="D115" s="4"/>
      <c r="E115" s="738" t="s">
        <v>293</v>
      </c>
      <c r="F115" s="736">
        <f>YEARFRAC(VLOOKUP($F$111,$E$5:$S$98,9,FALSE),VLOOKUP($F$111,$E$5:$S$98,10,FALSE))</f>
        <v>3</v>
      </c>
      <c r="G115" s="1241" t="s">
        <v>1071</v>
      </c>
      <c r="H115" s="737" t="s">
        <v>19969</v>
      </c>
      <c r="I115" s="20"/>
      <c r="J115" s="596"/>
    </row>
    <row r="116" spans="4:11" x14ac:dyDescent="0.25">
      <c r="D116" s="4"/>
      <c r="E116" s="738" t="s">
        <v>1070</v>
      </c>
      <c r="F116" s="736" t="s">
        <v>19969</v>
      </c>
      <c r="G116" s="1241" t="s">
        <v>498</v>
      </c>
      <c r="H116" s="1242" t="s">
        <v>19969</v>
      </c>
      <c r="I116" s="20"/>
      <c r="J116" s="596"/>
    </row>
    <row r="117" spans="4:11" ht="15.75" customHeight="1" thickBot="1" x14ac:dyDescent="0.3">
      <c r="D117" s="4"/>
      <c r="E117" s="739" t="s">
        <v>1073</v>
      </c>
      <c r="F117" s="4282" t="s">
        <v>407</v>
      </c>
      <c r="G117" s="4282"/>
      <c r="H117" s="4282"/>
      <c r="I117" s="20"/>
      <c r="J117" s="596"/>
    </row>
    <row r="118" spans="4:11" s="1334" customFormat="1" ht="18" customHeight="1" thickBot="1" x14ac:dyDescent="0.3">
      <c r="D118" s="1335"/>
      <c r="E118" s="1337" t="s">
        <v>1375</v>
      </c>
      <c r="F118" s="1330"/>
      <c r="G118" s="1330"/>
      <c r="H118" s="1330"/>
      <c r="I118" s="1330"/>
      <c r="J118" s="1332"/>
      <c r="K118" s="1333"/>
    </row>
  </sheetData>
  <mergeCells count="2">
    <mergeCell ref="F117:H117"/>
    <mergeCell ref="F108:H108"/>
  </mergeCells>
  <pageMargins left="0.7" right="0.7" top="0.75" bottom="0.75" header="0.3" footer="0.3"/>
  <pageSetup orientation="portrait" r:id="rId1"/>
  <drawing r:id="rId2"/>
  <legacyDrawing r:id="rId3"/>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0" filterMode="1">
    <tabColor theme="5" tint="-0.249977111117893"/>
    <pageSetUpPr fitToPage="1"/>
  </sheetPr>
  <dimension ref="A1:CM1724"/>
  <sheetViews>
    <sheetView zoomScaleNormal="100" workbookViewId="0">
      <selection activeCell="D4" sqref="D4:F4"/>
    </sheetView>
  </sheetViews>
  <sheetFormatPr defaultColWidth="9.140625" defaultRowHeight="14.25" x14ac:dyDescent="0.25"/>
  <cols>
    <col min="1" max="1" width="5.7109375" style="96" customWidth="1"/>
    <col min="2" max="2" width="1.7109375" style="96" customWidth="1"/>
    <col min="3" max="3" width="0.85546875" style="96" customWidth="1"/>
    <col min="4" max="4" width="30.7109375" style="96" customWidth="1"/>
    <col min="5" max="5" width="16.42578125" style="96" bestFit="1" customWidth="1"/>
    <col min="6" max="7" width="12.7109375" style="96" customWidth="1"/>
    <col min="8" max="8" width="0.85546875" style="96" customWidth="1"/>
    <col min="9" max="11" width="1.7109375" style="96" customWidth="1"/>
    <col min="12" max="12" width="0.85546875" style="96" customWidth="1"/>
    <col min="13" max="13" width="30.7109375" style="96" customWidth="1"/>
    <col min="14" max="15" width="12.7109375" style="96" customWidth="1"/>
    <col min="16" max="16" width="0.85546875" style="96" customWidth="1"/>
    <col min="17" max="19" width="1.7109375" style="96" customWidth="1"/>
    <col min="20" max="20" width="0.85546875" style="96" customWidth="1"/>
    <col min="21" max="21" width="7.140625" style="96" bestFit="1" customWidth="1"/>
    <col min="22" max="22" width="12.5703125" style="96" bestFit="1" customWidth="1"/>
    <col min="23" max="23" width="4.85546875" style="96" bestFit="1" customWidth="1"/>
    <col min="24" max="24" width="9.42578125" style="96" bestFit="1" customWidth="1"/>
    <col min="25" max="25" width="0.85546875" style="96" customWidth="1"/>
    <col min="26" max="26" width="1.7109375" style="96" customWidth="1"/>
    <col min="27" max="27" width="1.7109375" style="10" customWidth="1"/>
    <col min="28" max="28" width="0.85546875" style="10" customWidth="1"/>
    <col min="29" max="29" width="9.140625" style="10" bestFit="1" customWidth="1"/>
    <col min="30" max="30" width="11.85546875" style="10" bestFit="1" customWidth="1"/>
    <col min="31" max="31" width="4.85546875" style="37" bestFit="1" customWidth="1"/>
    <col min="32" max="32" width="11" style="37" bestFit="1" customWidth="1"/>
    <col min="33" max="33" width="0.85546875" style="10" customWidth="1"/>
    <col min="34" max="35" width="1.7109375" style="10" customWidth="1"/>
    <col min="36" max="36" width="0.85546875" style="41" customWidth="1"/>
    <col min="37" max="37" width="9.140625" style="41" bestFit="1" customWidth="1"/>
    <col min="38" max="38" width="11.85546875" style="11" bestFit="1" customWidth="1"/>
    <col min="39" max="39" width="4.85546875" style="124" bestFit="1" customWidth="1"/>
    <col min="40" max="40" width="11" style="37" bestFit="1" customWidth="1"/>
    <col min="41" max="41" width="0.85546875" style="10" customWidth="1"/>
    <col min="42" max="43" width="1.7109375" style="10" customWidth="1"/>
    <col min="44" max="44" width="0.85546875" style="10" customWidth="1"/>
    <col min="45" max="45" width="9.140625" style="10" bestFit="1" customWidth="1"/>
    <col min="46" max="46" width="11.85546875" style="10" bestFit="1" customWidth="1"/>
    <col min="47" max="47" width="4.85546875" style="10" bestFit="1" customWidth="1"/>
    <col min="48" max="48" width="11" style="10" bestFit="1" customWidth="1"/>
    <col min="49" max="49" width="0.85546875" style="10" customWidth="1"/>
    <col min="50" max="51" width="1.7109375" style="10" customWidth="1"/>
    <col min="52" max="52" width="0.85546875" style="182" customWidth="1"/>
    <col min="53" max="53" width="9.140625" style="182" bestFit="1" customWidth="1"/>
    <col min="54" max="54" width="11.85546875" style="182" bestFit="1" customWidth="1"/>
    <col min="55" max="55" width="4.85546875" style="182" bestFit="1" customWidth="1"/>
    <col min="56" max="56" width="11" style="182" bestFit="1" customWidth="1"/>
    <col min="57" max="57" width="0.85546875" style="182" customWidth="1"/>
    <col min="58" max="59" width="1.7109375" style="182" customWidth="1"/>
    <col min="60" max="60" width="0.85546875" style="182" customWidth="1"/>
    <col min="61" max="61" width="9.140625" style="182" bestFit="1" customWidth="1"/>
    <col min="62" max="62" width="11.85546875" style="182" bestFit="1" customWidth="1"/>
    <col min="63" max="63" width="4.85546875" style="182" bestFit="1" customWidth="1"/>
    <col min="64" max="64" width="11" style="182" bestFit="1" customWidth="1"/>
    <col min="65" max="65" width="0.85546875" style="182" customWidth="1"/>
    <col min="66" max="67" width="1.7109375" style="182" customWidth="1"/>
    <col min="68" max="68" width="0.85546875" style="182" customWidth="1"/>
    <col min="69" max="69" width="9.140625" style="182" bestFit="1" customWidth="1"/>
    <col min="70" max="70" width="11.85546875" style="182" bestFit="1" customWidth="1"/>
    <col min="71" max="71" width="4.85546875" style="182" bestFit="1" customWidth="1"/>
    <col min="72" max="72" width="11" style="182" bestFit="1" customWidth="1"/>
    <col min="73" max="73" width="0.85546875" style="182" customWidth="1"/>
    <col min="74" max="75" width="1.7109375" style="182" customWidth="1"/>
    <col min="76" max="76" width="0.85546875" style="182" customWidth="1"/>
    <col min="77" max="77" width="9.140625" style="182" bestFit="1" customWidth="1"/>
    <col min="78" max="78" width="11.85546875" style="182" bestFit="1" customWidth="1"/>
    <col min="79" max="79" width="4.85546875" style="182" bestFit="1" customWidth="1"/>
    <col min="80" max="80" width="11" style="182" bestFit="1" customWidth="1"/>
    <col min="81" max="81" width="0.85546875" style="182" customWidth="1"/>
    <col min="82" max="83" width="1.7109375" style="182" customWidth="1"/>
    <col min="84" max="84" width="0.85546875" style="182" customWidth="1"/>
    <col min="85" max="85" width="9.140625" style="182" bestFit="1" customWidth="1"/>
    <col min="86" max="86" width="11.85546875" style="182" bestFit="1" customWidth="1"/>
    <col min="87" max="87" width="4.85546875" style="182" bestFit="1" customWidth="1"/>
    <col min="88" max="88" width="11" style="182" bestFit="1" customWidth="1"/>
    <col min="89" max="89" width="0.85546875" style="182" customWidth="1"/>
    <col min="90" max="90" width="1.7109375" style="182" customWidth="1"/>
    <col min="91" max="16384" width="9.140625" style="182"/>
  </cols>
  <sheetData>
    <row r="1" spans="1:51" ht="60" customHeight="1" x14ac:dyDescent="0.25">
      <c r="AI1" s="32"/>
      <c r="AN1" s="1322"/>
    </row>
    <row r="2" spans="1:51" ht="15" thickBot="1" x14ac:dyDescent="0.3">
      <c r="AI2" s="32"/>
      <c r="AN2" s="1322"/>
    </row>
    <row r="3" spans="1:51" x14ac:dyDescent="0.25">
      <c r="A3" s="957">
        <v>1</v>
      </c>
      <c r="B3" s="1"/>
      <c r="C3" s="2"/>
      <c r="D3" s="2"/>
      <c r="E3" s="2"/>
      <c r="F3" s="2"/>
      <c r="G3" s="2"/>
      <c r="H3" s="2"/>
      <c r="I3" s="3"/>
      <c r="AI3" s="32"/>
      <c r="AN3" s="1322"/>
    </row>
    <row r="4" spans="1:51" ht="15.95" customHeight="1" x14ac:dyDescent="0.3">
      <c r="A4" s="957">
        <v>1</v>
      </c>
      <c r="B4" s="4"/>
      <c r="C4" s="52"/>
      <c r="D4" s="4285" t="s">
        <v>18647</v>
      </c>
      <c r="E4" s="4285"/>
      <c r="F4" s="4285"/>
      <c r="G4" s="27"/>
      <c r="H4" s="52"/>
      <c r="I4" s="6"/>
      <c r="AI4" s="32"/>
      <c r="AN4" s="1322"/>
    </row>
    <row r="5" spans="1:51" x14ac:dyDescent="0.25">
      <c r="A5" s="957">
        <v>1</v>
      </c>
      <c r="B5" s="4"/>
      <c r="C5" s="11"/>
      <c r="D5" s="207"/>
      <c r="E5" s="55" t="str">
        <f>IF(Income_RentRollSource="No Rent Roll","","Number of")</f>
        <v>Number of</v>
      </c>
      <c r="F5" s="55"/>
      <c r="G5" s="55" t="s">
        <v>399</v>
      </c>
      <c r="H5" s="11"/>
      <c r="I5" s="6"/>
      <c r="AI5" s="32"/>
      <c r="AN5" s="1322"/>
    </row>
    <row r="6" spans="1:51" x14ac:dyDescent="0.25">
      <c r="A6" s="957">
        <v>1</v>
      </c>
      <c r="B6" s="4"/>
      <c r="C6" s="11"/>
      <c r="D6" s="207" t="s">
        <v>315</v>
      </c>
      <c r="E6" s="55" t="str">
        <f>IF(Income_RentRollSource="No Rent Roll","","Occupied Spaces")</f>
        <v>Occupied Spaces</v>
      </c>
      <c r="F6" s="55" t="s">
        <v>20</v>
      </c>
      <c r="G6" s="55" t="s">
        <v>105</v>
      </c>
      <c r="H6" s="11"/>
      <c r="I6" s="6"/>
      <c r="AI6" s="32"/>
      <c r="AN6" s="1322"/>
    </row>
    <row r="7" spans="1:51" ht="15.95" hidden="1" customHeight="1" x14ac:dyDescent="0.25">
      <c r="A7" s="957">
        <f ca="1">IF(F7=0,0,1)</f>
        <v>0</v>
      </c>
      <c r="B7" s="4"/>
      <c r="C7" s="258"/>
      <c r="D7" s="2893" t="s">
        <v>20050</v>
      </c>
      <c r="E7" s="3583" t="str">
        <f ca="1">IF(SUM('Rent Roll'!Y7:Y206)=0,"",SUM('Rent Roll'!Y7:Y206))</f>
        <v/>
      </c>
      <c r="F7" s="3616">
        <f ca="1">IF(Income_RentRollSource="No Rent Roll",Income_TCat1_NRA_Manual,Income_TCat1_NRA)</f>
        <v>0</v>
      </c>
      <c r="G7" s="3399">
        <f ca="1">Income_TCat1_NRA/Subject_NRA</f>
        <v>0</v>
      </c>
      <c r="H7" s="258"/>
      <c r="I7" s="6"/>
    </row>
    <row r="8" spans="1:51" ht="15.95" hidden="1" customHeight="1" x14ac:dyDescent="0.25">
      <c r="A8" s="957">
        <f t="shared" ref="A8:A14" ca="1" si="0">IF(F8=0,0,1)</f>
        <v>0</v>
      </c>
      <c r="B8" s="4"/>
      <c r="C8" s="258"/>
      <c r="D8" s="2893" t="s">
        <v>20036</v>
      </c>
      <c r="E8" s="3583" t="str">
        <f ca="1">IF(SUM('Rent Roll'!Z7:Z206)=0,"",SUM('Rent Roll'!Z7:Z206))</f>
        <v/>
      </c>
      <c r="F8" s="3616">
        <f ca="1">IF(Income_RentRollSource="No Rent Roll",Income_TCat2_NRA_Manual,Income_TCat2_NRA)</f>
        <v>0</v>
      </c>
      <c r="G8" s="3399">
        <f ca="1">Income_TCat2_NRA/Subject_NRA</f>
        <v>0</v>
      </c>
      <c r="H8" s="258"/>
      <c r="I8" s="6"/>
    </row>
    <row r="9" spans="1:51" ht="15.95" hidden="1" customHeight="1" x14ac:dyDescent="0.25">
      <c r="A9" s="957">
        <f t="shared" ca="1" si="0"/>
        <v>0</v>
      </c>
      <c r="B9" s="4"/>
      <c r="C9" s="258"/>
      <c r="D9" s="2893"/>
      <c r="E9" s="3583" t="str">
        <f ca="1">IF(SUM('Rent Roll'!AA7:AA206)=0,"",SUM('Rent Roll'!AA7:AA206))</f>
        <v/>
      </c>
      <c r="F9" s="3616">
        <f ca="1">IF(Income_RentRollSource="No Rent Roll",Income_TCat3_NRA_Manual,Income_TCat3_NRA)</f>
        <v>0</v>
      </c>
      <c r="G9" s="3399">
        <f ca="1">Income_TCat3_NRA/Subject_NRA</f>
        <v>0</v>
      </c>
      <c r="H9" s="258"/>
      <c r="I9" s="6"/>
    </row>
    <row r="10" spans="1:51" ht="15.95" hidden="1" customHeight="1" x14ac:dyDescent="0.25">
      <c r="A10" s="957">
        <f t="shared" ca="1" si="0"/>
        <v>0</v>
      </c>
      <c r="B10" s="4"/>
      <c r="C10" s="258"/>
      <c r="D10" s="2893"/>
      <c r="E10" s="3583" t="str">
        <f ca="1">IF(SUM('Rent Roll'!AB7:AB206)=0,"",SUM('Rent Roll'!AB7:AB206))</f>
        <v/>
      </c>
      <c r="F10" s="3616">
        <f ca="1">IF(Income_RentRollSource="No Rent Roll",Income_TCat4_NRA_Manual,Income_TCat4_NRA)</f>
        <v>0</v>
      </c>
      <c r="G10" s="3399">
        <f ca="1">Income_TCat4_NRA/Subject_NRA</f>
        <v>0</v>
      </c>
      <c r="H10" s="258"/>
      <c r="I10" s="6"/>
      <c r="AI10" s="32"/>
      <c r="AN10" s="1322"/>
    </row>
    <row r="11" spans="1:51" ht="15.95" hidden="1" customHeight="1" x14ac:dyDescent="0.25">
      <c r="A11" s="957">
        <f t="shared" ca="1" si="0"/>
        <v>0</v>
      </c>
      <c r="B11" s="4"/>
      <c r="C11" s="258"/>
      <c r="D11" s="2893"/>
      <c r="E11" s="3583" t="str">
        <f ca="1">IF(SUM('Rent Roll'!AC7:AC206)=0,"",SUM('Rent Roll'!AC7:AC206))</f>
        <v/>
      </c>
      <c r="F11" s="3616">
        <f ca="1">IF(Income_RentRollSource="No Rent Roll",Income_TCat5_NRA_Manual,Income_TCat5_NRA)</f>
        <v>0</v>
      </c>
      <c r="G11" s="3399">
        <f ca="1">Income_TCat5_NRA/Subject_NRA</f>
        <v>0</v>
      </c>
      <c r="H11" s="258"/>
      <c r="I11" s="6"/>
    </row>
    <row r="12" spans="1:51" ht="15.95" hidden="1" customHeight="1" x14ac:dyDescent="0.25">
      <c r="A12" s="957">
        <f t="shared" ca="1" si="0"/>
        <v>0</v>
      </c>
      <c r="B12" s="4"/>
      <c r="C12" s="258"/>
      <c r="D12" s="2893"/>
      <c r="E12" s="3583" t="str">
        <f ca="1">IF(SUM('Rent Roll'!AD7:AD206)=0,"",SUM('Rent Roll'!AD7:AD206))</f>
        <v/>
      </c>
      <c r="F12" s="3616">
        <f ca="1">IF(Income_RentRollSource="No Rent Roll",Income_TCat6_NRA_Manual,Income_TCat6_NRA)</f>
        <v>0</v>
      </c>
      <c r="G12" s="3399">
        <f ca="1">Income_TCat6_NRA/Subject_NRA</f>
        <v>0</v>
      </c>
      <c r="H12" s="258"/>
      <c r="I12" s="6"/>
    </row>
    <row r="13" spans="1:51" ht="15.95" hidden="1" customHeight="1" x14ac:dyDescent="0.25">
      <c r="A13" s="957">
        <f t="shared" ca="1" si="0"/>
        <v>0</v>
      </c>
      <c r="B13" s="4"/>
      <c r="C13" s="258"/>
      <c r="D13" s="2893"/>
      <c r="E13" s="3583" t="str">
        <f ca="1">IF(SUM('Rent Roll'!AE7:AE206)=0,"",SUM('Rent Roll'!AE7:AE206))</f>
        <v/>
      </c>
      <c r="F13" s="3616">
        <f ca="1">IF(Income_RentRollSource="No Rent Roll",Income_TCat7_NRA_Manual,Income_TCat7_NRA)</f>
        <v>0</v>
      </c>
      <c r="G13" s="3399">
        <f ca="1">Income_TCat7_NRA/Subject_NRA</f>
        <v>0</v>
      </c>
      <c r="H13" s="258"/>
      <c r="I13" s="6"/>
    </row>
    <row r="14" spans="1:51" ht="15.95" hidden="1" customHeight="1" x14ac:dyDescent="0.25">
      <c r="A14" s="957">
        <f t="shared" ca="1" si="0"/>
        <v>0</v>
      </c>
      <c r="B14" s="4"/>
      <c r="C14" s="258"/>
      <c r="D14" s="2893"/>
      <c r="E14" s="3583" t="str">
        <f ca="1">IF(SUM('Rent Roll'!AF7:AF206)=0,"",SUM('Rent Roll'!AF7:AF206))</f>
        <v/>
      </c>
      <c r="F14" s="3616">
        <f ca="1">IF(Income_RentRollSource="No Rent Roll",Income_TCat8_NRA_Manual,Income_TCat8_NRA)</f>
        <v>0</v>
      </c>
      <c r="G14" s="3399">
        <f ca="1">Income_TCat8_NRA/Subject_NRA</f>
        <v>0</v>
      </c>
      <c r="H14" s="258"/>
      <c r="I14" s="6"/>
    </row>
    <row r="15" spans="1:51" ht="15" hidden="1" thickBot="1" x14ac:dyDescent="0.3">
      <c r="A15" s="957">
        <f ca="1">IF(SUM(A7:A14)&gt;1,1,0)</f>
        <v>0</v>
      </c>
      <c r="B15" s="4"/>
      <c r="C15" s="258"/>
      <c r="D15" s="3341" t="s">
        <v>412</v>
      </c>
      <c r="E15" s="3617">
        <f ca="1">IF(Income_RentRollSource="No Rent Roll","",SUM(E7:E14))</f>
        <v>0</v>
      </c>
      <c r="F15" s="3618" t="str">
        <f ca="1">IF(SUM(F7:F14)=Subject_NRA,Subject_NRA,"Does not Match NRA")</f>
        <v>Does not Match NRA</v>
      </c>
      <c r="G15" s="1277" t="e">
        <f ca="1">F15/Subject_NRA</f>
        <v>#VALUE!</v>
      </c>
      <c r="H15" s="258"/>
      <c r="I15" s="6"/>
    </row>
    <row r="16" spans="1:51" s="786" customFormat="1" ht="20.100000000000001" customHeight="1" thickBot="1" x14ac:dyDescent="0.3">
      <c r="A16" s="972">
        <v>1</v>
      </c>
      <c r="B16" s="646"/>
      <c r="C16" s="647"/>
      <c r="D16" s="615" t="s">
        <v>878</v>
      </c>
      <c r="E16" s="647"/>
      <c r="F16" s="647"/>
      <c r="G16" s="647"/>
      <c r="H16" s="647"/>
      <c r="I16" s="649"/>
      <c r="J16" s="243"/>
      <c r="K16" s="243"/>
      <c r="L16" s="243"/>
      <c r="M16" s="243"/>
      <c r="N16" s="243"/>
      <c r="O16" s="243"/>
      <c r="P16" s="243"/>
      <c r="Q16" s="243"/>
      <c r="R16" s="243"/>
      <c r="S16" s="243"/>
      <c r="T16" s="243"/>
      <c r="U16" s="243"/>
      <c r="V16" s="243"/>
      <c r="W16" s="243"/>
      <c r="X16" s="243"/>
      <c r="Y16" s="243"/>
      <c r="Z16" s="243"/>
      <c r="AA16" s="36"/>
      <c r="AB16" s="36"/>
      <c r="AC16" s="36"/>
      <c r="AD16" s="36"/>
      <c r="AE16" s="902"/>
      <c r="AF16" s="902"/>
      <c r="AG16" s="36"/>
      <c r="AH16" s="36"/>
      <c r="AI16" s="750"/>
      <c r="AJ16" s="707"/>
      <c r="AK16" s="707"/>
      <c r="AL16" s="731"/>
      <c r="AM16" s="1543"/>
      <c r="AN16" s="1555"/>
      <c r="AO16" s="36"/>
      <c r="AP16" s="36"/>
      <c r="AQ16" s="36"/>
      <c r="AR16" s="36"/>
      <c r="AS16" s="36"/>
      <c r="AT16" s="36"/>
      <c r="AU16" s="36"/>
      <c r="AV16" s="36"/>
      <c r="AW16" s="36"/>
      <c r="AX16" s="36"/>
      <c r="AY16" s="36"/>
    </row>
    <row r="17" spans="1:51" s="218" customFormat="1" ht="9.9499999999999993" customHeight="1" thickBot="1" x14ac:dyDescent="0.3">
      <c r="A17" s="957">
        <v>1</v>
      </c>
      <c r="B17" s="96"/>
      <c r="C17" s="96"/>
      <c r="D17" s="96"/>
      <c r="E17" s="96"/>
      <c r="F17" s="96"/>
      <c r="G17" s="96"/>
      <c r="H17" s="96"/>
      <c r="I17" s="96"/>
      <c r="J17" s="96"/>
      <c r="K17" s="96"/>
      <c r="L17" s="96"/>
      <c r="M17" s="96"/>
      <c r="N17" s="96"/>
      <c r="O17" s="96"/>
      <c r="P17" s="96"/>
      <c r="Q17" s="96"/>
      <c r="R17" s="96"/>
      <c r="S17" s="96"/>
      <c r="T17" s="96"/>
      <c r="U17" s="96"/>
      <c r="V17" s="96"/>
      <c r="W17" s="96"/>
      <c r="X17" s="96"/>
      <c r="Y17" s="96"/>
      <c r="Z17" s="96"/>
      <c r="AA17" s="11"/>
      <c r="AB17" s="11"/>
      <c r="AC17" s="11"/>
      <c r="AD17" s="41"/>
      <c r="AE17" s="124"/>
      <c r="AF17" s="124"/>
      <c r="AG17" s="11"/>
      <c r="AH17" s="11"/>
      <c r="AI17" s="32"/>
      <c r="AJ17" s="41"/>
      <c r="AK17" s="41"/>
      <c r="AL17" s="11"/>
      <c r="AM17" s="124"/>
      <c r="AN17" s="1322"/>
      <c r="AO17" s="11"/>
      <c r="AP17" s="11"/>
      <c r="AQ17" s="11"/>
      <c r="AR17" s="11"/>
      <c r="AS17" s="11"/>
      <c r="AT17" s="11"/>
      <c r="AU17" s="11"/>
      <c r="AV17" s="11"/>
      <c r="AW17" s="11"/>
      <c r="AX17" s="11"/>
      <c r="AY17" s="11"/>
    </row>
    <row r="18" spans="1:51" s="218" customFormat="1" ht="14.85" customHeight="1" x14ac:dyDescent="0.25">
      <c r="A18" s="957">
        <v>1</v>
      </c>
      <c r="B18" s="96"/>
      <c r="C18" s="96"/>
      <c r="D18" s="96"/>
      <c r="E18" s="96"/>
      <c r="F18" s="96"/>
      <c r="G18" s="96"/>
      <c r="H18" s="96"/>
      <c r="I18" s="96"/>
      <c r="J18" s="96"/>
      <c r="K18" s="1"/>
      <c r="L18" s="2"/>
      <c r="M18" s="2"/>
      <c r="N18" s="2"/>
      <c r="O18" s="2"/>
      <c r="P18" s="2"/>
      <c r="Q18" s="3"/>
      <c r="R18" s="10"/>
      <c r="S18" s="10"/>
      <c r="T18" s="10"/>
      <c r="U18" s="11" t="s">
        <v>18463</v>
      </c>
      <c r="V18" s="10"/>
      <c r="W18" s="10"/>
      <c r="X18" s="10"/>
      <c r="Y18" s="10"/>
      <c r="Z18" s="96"/>
      <c r="AA18" s="11"/>
      <c r="AB18" s="11"/>
      <c r="AC18" s="11"/>
      <c r="AD18" s="41"/>
      <c r="AE18" s="124"/>
      <c r="AF18" s="124"/>
      <c r="AG18" s="11"/>
      <c r="AH18" s="11"/>
      <c r="AI18" s="32"/>
      <c r="AJ18" s="41"/>
      <c r="AK18" s="41"/>
      <c r="AL18" s="11"/>
      <c r="AM18" s="124"/>
      <c r="AN18" s="1322"/>
      <c r="AO18" s="11"/>
      <c r="AP18" s="11"/>
      <c r="AQ18" s="11"/>
      <c r="AR18" s="11"/>
      <c r="AS18" s="11"/>
      <c r="AT18" s="11"/>
      <c r="AU18" s="11"/>
      <c r="AV18" s="11"/>
      <c r="AW18" s="11"/>
      <c r="AX18" s="11"/>
      <c r="AY18" s="11"/>
    </row>
    <row r="19" spans="1:51" s="785" customFormat="1" ht="14.85" customHeight="1" x14ac:dyDescent="0.3">
      <c r="A19" s="978">
        <v>1</v>
      </c>
      <c r="B19" s="677"/>
      <c r="C19" s="677"/>
      <c r="D19" s="677"/>
      <c r="E19" s="677" t="s">
        <v>1433</v>
      </c>
      <c r="F19" s="677" t="s">
        <v>1433</v>
      </c>
      <c r="G19" s="677" t="s">
        <v>1433</v>
      </c>
      <c r="H19" s="677"/>
      <c r="I19" s="677"/>
      <c r="J19" s="677"/>
      <c r="K19" s="4"/>
      <c r="L19" s="52"/>
      <c r="M19" s="4285" t="s">
        <v>1769</v>
      </c>
      <c r="N19" s="4285"/>
      <c r="O19" s="27"/>
      <c r="P19" s="52"/>
      <c r="Q19" s="6"/>
      <c r="R19" s="10"/>
      <c r="S19" s="10"/>
      <c r="T19" s="10"/>
      <c r="U19" s="11" t="s">
        <v>18464</v>
      </c>
      <c r="V19" s="10"/>
      <c r="W19" s="10"/>
      <c r="X19" s="10"/>
      <c r="Y19" s="10"/>
      <c r="Z19" s="677"/>
      <c r="AA19" s="336"/>
      <c r="AB19" s="336"/>
      <c r="AC19" s="336"/>
      <c r="AD19" s="337"/>
      <c r="AE19" s="1544"/>
      <c r="AF19" s="1544"/>
      <c r="AG19" s="336"/>
      <c r="AH19" s="336"/>
      <c r="AI19" s="566"/>
      <c r="AJ19" s="337"/>
      <c r="AK19" s="337"/>
      <c r="AL19" s="336"/>
      <c r="AM19" s="1544"/>
      <c r="AN19" s="1556"/>
      <c r="AO19" s="336"/>
      <c r="AP19" s="336"/>
      <c r="AQ19" s="336"/>
      <c r="AR19" s="336"/>
      <c r="AS19" s="336"/>
      <c r="AT19" s="336"/>
      <c r="AU19" s="336"/>
      <c r="AV19" s="336"/>
      <c r="AW19" s="336"/>
      <c r="AX19" s="336"/>
      <c r="AY19" s="336"/>
    </row>
    <row r="20" spans="1:51" s="218" customFormat="1" x14ac:dyDescent="0.25">
      <c r="A20" s="957">
        <v>1</v>
      </c>
      <c r="B20" s="96"/>
      <c r="C20" s="96"/>
      <c r="D20" s="96"/>
      <c r="E20" s="96"/>
      <c r="F20" s="96"/>
      <c r="G20" s="96"/>
      <c r="H20" s="96"/>
      <c r="I20" s="96"/>
      <c r="J20" s="96"/>
      <c r="K20" s="4"/>
      <c r="L20" s="11"/>
      <c r="M20" s="207"/>
      <c r="N20" s="55"/>
      <c r="O20" s="55" t="s">
        <v>399</v>
      </c>
      <c r="P20" s="11"/>
      <c r="Q20" s="6"/>
      <c r="R20" s="10"/>
      <c r="S20" s="10"/>
      <c r="T20" s="10"/>
      <c r="U20" s="2892" t="s">
        <v>18466</v>
      </c>
      <c r="V20" s="10"/>
      <c r="W20" s="10"/>
      <c r="X20" s="10"/>
      <c r="Y20" s="10"/>
      <c r="Z20" s="96"/>
      <c r="AA20" s="11"/>
      <c r="AB20" s="11"/>
      <c r="AC20" s="11"/>
      <c r="AD20" s="41"/>
      <c r="AE20" s="124"/>
      <c r="AF20" s="124"/>
      <c r="AG20" s="11"/>
      <c r="AH20" s="11"/>
      <c r="AI20" s="32"/>
      <c r="AJ20" s="41"/>
      <c r="AK20" s="41"/>
      <c r="AL20" s="11"/>
      <c r="AM20" s="124"/>
      <c r="AN20" s="1322"/>
      <c r="AO20" s="11"/>
      <c r="AP20" s="11"/>
      <c r="AQ20" s="11"/>
      <c r="AR20" s="11"/>
      <c r="AS20" s="11"/>
      <c r="AT20" s="11"/>
      <c r="AU20" s="11"/>
      <c r="AV20" s="11"/>
      <c r="AW20" s="11"/>
      <c r="AX20" s="11"/>
      <c r="AY20" s="11"/>
    </row>
    <row r="21" spans="1:51" s="218" customFormat="1" x14ac:dyDescent="0.25">
      <c r="A21" s="957">
        <v>1</v>
      </c>
      <c r="B21" s="96"/>
      <c r="C21" s="96"/>
      <c r="D21" s="96"/>
      <c r="E21" s="96"/>
      <c r="F21" s="96"/>
      <c r="G21" s="96"/>
      <c r="H21" s="96"/>
      <c r="I21" s="96"/>
      <c r="J21" s="96"/>
      <c r="K21" s="4"/>
      <c r="L21" s="11"/>
      <c r="M21" s="207" t="s">
        <v>436</v>
      </c>
      <c r="N21" s="55" t="s">
        <v>20</v>
      </c>
      <c r="O21" s="55" t="s">
        <v>105</v>
      </c>
      <c r="P21" s="11"/>
      <c r="Q21" s="6"/>
      <c r="R21" s="10"/>
      <c r="S21" s="10"/>
      <c r="T21" s="10"/>
      <c r="U21" s="2892" t="s">
        <v>18465</v>
      </c>
      <c r="V21" s="10"/>
      <c r="W21" s="10"/>
      <c r="X21" s="10"/>
      <c r="Y21" s="10"/>
      <c r="Z21" s="96"/>
      <c r="AA21" s="11"/>
      <c r="AB21" s="11"/>
      <c r="AC21" s="11"/>
      <c r="AD21" s="41"/>
      <c r="AE21" s="124"/>
      <c r="AF21" s="124"/>
      <c r="AG21" s="11"/>
      <c r="AH21" s="11"/>
      <c r="AI21" s="32"/>
      <c r="AJ21" s="41"/>
      <c r="AK21" s="41"/>
      <c r="AL21" s="11"/>
      <c r="AM21" s="124"/>
      <c r="AN21" s="1322"/>
      <c r="AO21" s="11"/>
      <c r="AP21" s="11"/>
      <c r="AQ21" s="11"/>
      <c r="AR21" s="11"/>
      <c r="AS21" s="11"/>
      <c r="AT21" s="11"/>
      <c r="AU21" s="11"/>
      <c r="AV21" s="11"/>
      <c r="AW21" s="11"/>
      <c r="AX21" s="11"/>
      <c r="AY21" s="11"/>
    </row>
    <row r="22" spans="1:51" s="218" customFormat="1" hidden="1" x14ac:dyDescent="0.25">
      <c r="A22" s="957">
        <f t="shared" ref="A22:A29" si="1">IF(M22="",0,1)</f>
        <v>0</v>
      </c>
      <c r="B22" s="96"/>
      <c r="C22" s="96"/>
      <c r="D22" s="96"/>
      <c r="E22" s="96"/>
      <c r="F22" s="96"/>
      <c r="G22" s="96"/>
      <c r="H22" s="96"/>
      <c r="I22" s="96"/>
      <c r="J22" s="96"/>
      <c r="K22" s="4"/>
      <c r="L22" s="258"/>
      <c r="M22" s="2895"/>
      <c r="N22" s="3616">
        <f>SUMIF('Rent Roll'!$W$7:$W$206,M22,'Rent Roll'!$K$7:$K$206)</f>
        <v>0</v>
      </c>
      <c r="O22" s="3399">
        <f t="shared" ref="O22:O29" si="2">N22/Subject_NRA</f>
        <v>0</v>
      </c>
      <c r="P22" s="258"/>
      <c r="Q22" s="6"/>
      <c r="R22" s="10"/>
      <c r="S22" s="10"/>
      <c r="T22" s="10"/>
      <c r="U22" s="2892" t="s">
        <v>18467</v>
      </c>
      <c r="V22" s="2222"/>
      <c r="W22" s="10"/>
      <c r="X22" s="10"/>
      <c r="Y22" s="10"/>
      <c r="Z22" s="96"/>
      <c r="AA22" s="11"/>
      <c r="AB22" s="11"/>
      <c r="AC22" s="11"/>
      <c r="AD22" s="41"/>
      <c r="AE22" s="124"/>
      <c r="AF22" s="124"/>
      <c r="AG22" s="11"/>
      <c r="AH22" s="11"/>
      <c r="AI22" s="32"/>
      <c r="AJ22" s="41"/>
      <c r="AK22" s="41"/>
      <c r="AL22" s="11"/>
      <c r="AM22" s="124"/>
      <c r="AN22" s="1322"/>
      <c r="AO22" s="11"/>
      <c r="AP22" s="11"/>
      <c r="AQ22" s="11"/>
      <c r="AR22" s="11"/>
      <c r="AS22" s="11"/>
      <c r="AT22" s="11"/>
      <c r="AU22" s="11"/>
      <c r="AV22" s="11"/>
      <c r="AW22" s="11"/>
      <c r="AX22" s="11"/>
      <c r="AY22" s="11"/>
    </row>
    <row r="23" spans="1:51" s="218" customFormat="1" hidden="1" x14ac:dyDescent="0.25">
      <c r="A23" s="957">
        <f t="shared" si="1"/>
        <v>0</v>
      </c>
      <c r="B23" s="96"/>
      <c r="C23" s="96"/>
      <c r="D23" s="96"/>
      <c r="E23" s="96"/>
      <c r="F23" s="96"/>
      <c r="G23" s="96"/>
      <c r="H23" s="96"/>
      <c r="I23" s="96"/>
      <c r="J23" s="96"/>
      <c r="K23" s="4"/>
      <c r="L23" s="258"/>
      <c r="M23" s="2895"/>
      <c r="N23" s="3616">
        <f>SUMIF('Rent Roll'!$W$7:$W$206,M23,'Rent Roll'!$K$7:$K$206)</f>
        <v>0</v>
      </c>
      <c r="O23" s="3399">
        <f t="shared" si="2"/>
        <v>0</v>
      </c>
      <c r="P23" s="258"/>
      <c r="Q23" s="6"/>
      <c r="R23" s="10"/>
      <c r="S23" s="10"/>
      <c r="T23" s="10"/>
      <c r="U23" s="2892" t="s">
        <v>18469</v>
      </c>
      <c r="V23" s="2222"/>
      <c r="W23" s="10"/>
      <c r="X23" s="10"/>
      <c r="Y23" s="10"/>
      <c r="Z23" s="96"/>
      <c r="AA23" s="11"/>
      <c r="AB23" s="11"/>
      <c r="AC23" s="11"/>
      <c r="AD23" s="41"/>
      <c r="AE23" s="124"/>
      <c r="AF23" s="124"/>
      <c r="AG23" s="11"/>
      <c r="AH23" s="11"/>
      <c r="AI23" s="32"/>
      <c r="AJ23" s="41"/>
      <c r="AK23" s="41"/>
      <c r="AL23" s="11"/>
      <c r="AM23" s="124"/>
      <c r="AN23" s="1322"/>
      <c r="AO23" s="11"/>
      <c r="AP23" s="11"/>
      <c r="AQ23" s="11"/>
      <c r="AR23" s="11"/>
      <c r="AS23" s="11"/>
      <c r="AT23" s="11"/>
      <c r="AU23" s="11"/>
      <c r="AV23" s="11"/>
      <c r="AW23" s="11"/>
      <c r="AX23" s="11"/>
      <c r="AY23" s="11"/>
    </row>
    <row r="24" spans="1:51" s="218" customFormat="1" hidden="1" x14ac:dyDescent="0.25">
      <c r="A24" s="957">
        <f t="shared" si="1"/>
        <v>0</v>
      </c>
      <c r="B24" s="96"/>
      <c r="C24" s="96"/>
      <c r="D24" s="96"/>
      <c r="E24" s="96"/>
      <c r="F24" s="96"/>
      <c r="G24" s="96"/>
      <c r="H24" s="96"/>
      <c r="I24" s="96"/>
      <c r="J24" s="96"/>
      <c r="K24" s="4"/>
      <c r="L24" s="258"/>
      <c r="M24" s="2895"/>
      <c r="N24" s="3616">
        <f>SUMIF('Rent Roll'!$W$7:$W$206,M24,'Rent Roll'!$K$7:$K$206)</f>
        <v>0</v>
      </c>
      <c r="O24" s="3399">
        <f t="shared" si="2"/>
        <v>0</v>
      </c>
      <c r="P24" s="258"/>
      <c r="Q24" s="6"/>
      <c r="R24" s="10"/>
      <c r="S24" s="10"/>
      <c r="T24" s="10"/>
      <c r="U24" s="2892"/>
      <c r="V24" s="2222"/>
      <c r="W24" s="10"/>
      <c r="X24" s="10"/>
      <c r="Y24" s="10"/>
      <c r="Z24" s="96"/>
      <c r="AA24" s="11"/>
      <c r="AB24" s="11"/>
      <c r="AC24" s="11"/>
      <c r="AD24" s="41"/>
      <c r="AE24" s="124"/>
      <c r="AF24" s="124"/>
      <c r="AG24" s="11"/>
      <c r="AH24" s="11"/>
      <c r="AI24" s="32"/>
      <c r="AJ24" s="41"/>
      <c r="AK24" s="41"/>
      <c r="AL24" s="11"/>
      <c r="AM24" s="124"/>
      <c r="AN24" s="1322"/>
      <c r="AO24" s="11"/>
      <c r="AP24" s="11"/>
      <c r="AQ24" s="11"/>
      <c r="AR24" s="11"/>
      <c r="AS24" s="11"/>
      <c r="AT24" s="11"/>
      <c r="AU24" s="11"/>
      <c r="AV24" s="11"/>
      <c r="AW24" s="11"/>
      <c r="AX24" s="11"/>
      <c r="AY24" s="11"/>
    </row>
    <row r="25" spans="1:51" s="218" customFormat="1" hidden="1" x14ac:dyDescent="0.25">
      <c r="A25" s="957">
        <f t="shared" si="1"/>
        <v>0</v>
      </c>
      <c r="B25" s="96"/>
      <c r="C25" s="96"/>
      <c r="D25" s="96"/>
      <c r="E25" s="96"/>
      <c r="F25" s="96"/>
      <c r="G25" s="96"/>
      <c r="H25" s="96"/>
      <c r="I25" s="96"/>
      <c r="J25" s="96"/>
      <c r="K25" s="4"/>
      <c r="L25" s="258"/>
      <c r="M25" s="2895"/>
      <c r="N25" s="3616">
        <f>SUMIF('Rent Roll'!$W$7:$W$206,M25,'Rent Roll'!$K$7:$K$206)</f>
        <v>0</v>
      </c>
      <c r="O25" s="3399">
        <f t="shared" si="2"/>
        <v>0</v>
      </c>
      <c r="P25" s="258"/>
      <c r="Q25" s="6"/>
      <c r="R25" s="10"/>
      <c r="S25" s="10"/>
      <c r="T25" s="10"/>
      <c r="U25" s="2892"/>
      <c r="V25" s="10"/>
      <c r="W25" s="10"/>
      <c r="X25" s="10"/>
      <c r="Y25" s="10"/>
      <c r="Z25" s="96"/>
      <c r="AA25" s="11"/>
      <c r="AB25" s="11"/>
      <c r="AC25" s="11"/>
      <c r="AD25" s="41"/>
      <c r="AE25" s="124"/>
      <c r="AF25" s="124"/>
      <c r="AG25" s="11"/>
      <c r="AH25" s="11"/>
      <c r="AI25" s="32"/>
      <c r="AJ25" s="41"/>
      <c r="AK25" s="41"/>
      <c r="AL25" s="11"/>
      <c r="AM25" s="124"/>
      <c r="AN25" s="1322"/>
      <c r="AO25" s="11"/>
      <c r="AP25" s="11"/>
      <c r="AQ25" s="11"/>
      <c r="AR25" s="11"/>
      <c r="AS25" s="11"/>
      <c r="AT25" s="11"/>
      <c r="AU25" s="11"/>
      <c r="AV25" s="11"/>
      <c r="AW25" s="11"/>
      <c r="AX25" s="11"/>
      <c r="AY25" s="11"/>
    </row>
    <row r="26" spans="1:51" s="218" customFormat="1" ht="15.95" hidden="1" customHeight="1" x14ac:dyDescent="0.25">
      <c r="A26" s="957">
        <f t="shared" si="1"/>
        <v>0</v>
      </c>
      <c r="B26" s="96"/>
      <c r="C26" s="96"/>
      <c r="D26" s="96"/>
      <c r="E26" s="96"/>
      <c r="F26" s="96"/>
      <c r="G26" s="96"/>
      <c r="H26" s="96"/>
      <c r="I26" s="96"/>
      <c r="J26" s="96"/>
      <c r="K26" s="4"/>
      <c r="L26" s="258"/>
      <c r="M26" s="2895"/>
      <c r="N26" s="3616">
        <f>SUMIF('Rent Roll'!$W$7:$W$206,M26,'Rent Roll'!$K$7:$K$206)</f>
        <v>0</v>
      </c>
      <c r="O26" s="3399">
        <f t="shared" si="2"/>
        <v>0</v>
      </c>
      <c r="P26" s="258"/>
      <c r="Q26" s="6"/>
      <c r="R26" s="10"/>
      <c r="S26" s="10"/>
      <c r="T26" s="10"/>
      <c r="U26" s="10"/>
      <c r="V26" s="10"/>
      <c r="W26" s="10"/>
      <c r="X26" s="10"/>
      <c r="Y26" s="10"/>
      <c r="Z26" s="96"/>
      <c r="AA26" s="11"/>
      <c r="AB26" s="11"/>
      <c r="AC26" s="11"/>
      <c r="AD26" s="41"/>
      <c r="AE26" s="124"/>
      <c r="AF26" s="124"/>
      <c r="AG26" s="11"/>
      <c r="AH26" s="11"/>
      <c r="AI26" s="32"/>
      <c r="AJ26" s="41"/>
      <c r="AK26" s="41"/>
      <c r="AL26" s="11"/>
      <c r="AM26" s="124"/>
      <c r="AN26" s="1322"/>
      <c r="AO26" s="11"/>
      <c r="AP26" s="11"/>
      <c r="AQ26" s="11"/>
      <c r="AR26" s="11"/>
      <c r="AS26" s="11"/>
      <c r="AT26" s="11"/>
      <c r="AU26" s="11"/>
      <c r="AV26" s="11"/>
      <c r="AW26" s="11"/>
      <c r="AX26" s="11"/>
      <c r="AY26" s="11"/>
    </row>
    <row r="27" spans="1:51" s="218" customFormat="1" ht="15.95" hidden="1" customHeight="1" x14ac:dyDescent="0.25">
      <c r="A27" s="957">
        <f t="shared" si="1"/>
        <v>0</v>
      </c>
      <c r="B27" s="96"/>
      <c r="C27" s="96"/>
      <c r="D27" s="96"/>
      <c r="E27" s="96"/>
      <c r="F27" s="96"/>
      <c r="G27" s="96"/>
      <c r="H27" s="96"/>
      <c r="I27" s="96"/>
      <c r="J27" s="96"/>
      <c r="K27" s="4"/>
      <c r="L27" s="258"/>
      <c r="M27" s="2895"/>
      <c r="N27" s="3616">
        <f>SUMIF('Rent Roll'!$W$7:$W$206,M27,'Rent Roll'!$K$7:$K$206)</f>
        <v>0</v>
      </c>
      <c r="O27" s="3399">
        <f t="shared" si="2"/>
        <v>0</v>
      </c>
      <c r="P27" s="258"/>
      <c r="Q27" s="6"/>
      <c r="R27" s="10"/>
      <c r="S27" s="10"/>
      <c r="T27" s="10"/>
      <c r="U27" s="10"/>
      <c r="V27" s="10"/>
      <c r="W27" s="10"/>
      <c r="X27" s="10"/>
      <c r="Y27" s="10"/>
      <c r="Z27" s="96"/>
      <c r="AA27" s="11"/>
      <c r="AB27" s="11"/>
      <c r="AC27" s="11"/>
      <c r="AD27" s="41"/>
      <c r="AE27" s="124"/>
      <c r="AF27" s="124"/>
      <c r="AG27" s="11"/>
      <c r="AH27" s="11"/>
      <c r="AI27" s="32"/>
      <c r="AJ27" s="41"/>
      <c r="AK27" s="41"/>
      <c r="AL27" s="11"/>
      <c r="AM27" s="124"/>
      <c r="AN27" s="1322"/>
      <c r="AO27" s="11"/>
      <c r="AP27" s="11"/>
      <c r="AQ27" s="11"/>
      <c r="AR27" s="11"/>
      <c r="AS27" s="11"/>
      <c r="AT27" s="11"/>
      <c r="AU27" s="11"/>
      <c r="AV27" s="11"/>
      <c r="AW27" s="11"/>
      <c r="AX27" s="11"/>
      <c r="AY27" s="11"/>
    </row>
    <row r="28" spans="1:51" s="218" customFormat="1" ht="15.95" hidden="1" customHeight="1" x14ac:dyDescent="0.25">
      <c r="A28" s="957">
        <f t="shared" si="1"/>
        <v>0</v>
      </c>
      <c r="B28" s="96"/>
      <c r="C28" s="96"/>
      <c r="D28" s="96"/>
      <c r="E28" s="96"/>
      <c r="F28" s="96"/>
      <c r="G28" s="96"/>
      <c r="H28" s="96"/>
      <c r="I28" s="96"/>
      <c r="J28" s="96"/>
      <c r="K28" s="4"/>
      <c r="L28" s="258"/>
      <c r="M28" s="2895"/>
      <c r="N28" s="3616">
        <f>SUMIF('Rent Roll'!$W$7:$W$206,M28,'Rent Roll'!$K$7:$K$206)</f>
        <v>0</v>
      </c>
      <c r="O28" s="3399">
        <f t="shared" si="2"/>
        <v>0</v>
      </c>
      <c r="P28" s="258"/>
      <c r="Q28" s="6"/>
      <c r="R28" s="10"/>
      <c r="S28" s="10"/>
      <c r="T28" s="10"/>
      <c r="U28" s="10"/>
      <c r="V28" s="10"/>
      <c r="W28" s="10"/>
      <c r="X28" s="10"/>
      <c r="Y28" s="10"/>
      <c r="Z28" s="96"/>
      <c r="AA28" s="11"/>
      <c r="AB28" s="11"/>
      <c r="AC28" s="11"/>
      <c r="AD28" s="41"/>
      <c r="AE28" s="124"/>
      <c r="AF28" s="124"/>
      <c r="AG28" s="11"/>
      <c r="AH28" s="11"/>
      <c r="AI28" s="32"/>
      <c r="AJ28" s="41"/>
      <c r="AK28" s="41"/>
      <c r="AL28" s="11"/>
      <c r="AM28" s="124"/>
      <c r="AN28" s="1322"/>
      <c r="AO28" s="11"/>
      <c r="AP28" s="11"/>
      <c r="AQ28" s="11"/>
      <c r="AR28" s="11"/>
      <c r="AS28" s="11"/>
      <c r="AT28" s="11"/>
      <c r="AU28" s="11"/>
      <c r="AV28" s="11"/>
      <c r="AW28" s="11"/>
      <c r="AX28" s="11"/>
      <c r="AY28" s="11"/>
    </row>
    <row r="29" spans="1:51" s="218" customFormat="1" ht="15.95" hidden="1" customHeight="1" x14ac:dyDescent="0.25">
      <c r="A29" s="957">
        <f t="shared" si="1"/>
        <v>0</v>
      </c>
      <c r="B29" s="96"/>
      <c r="C29" s="96"/>
      <c r="D29" s="96"/>
      <c r="E29" s="96"/>
      <c r="F29" s="96"/>
      <c r="G29" s="96"/>
      <c r="H29" s="96"/>
      <c r="I29" s="96"/>
      <c r="J29" s="96"/>
      <c r="K29" s="4"/>
      <c r="L29" s="258"/>
      <c r="M29" s="2895"/>
      <c r="N29" s="3616">
        <f>SUMIF('Rent Roll'!$W$7:$W$206,M29,'Rent Roll'!$K$7:$K$206)</f>
        <v>0</v>
      </c>
      <c r="O29" s="3399">
        <f t="shared" si="2"/>
        <v>0</v>
      </c>
      <c r="P29" s="258"/>
      <c r="Q29" s="6"/>
      <c r="R29" s="10"/>
      <c r="S29" s="10"/>
      <c r="T29" s="10"/>
      <c r="U29" s="10"/>
      <c r="V29" s="10"/>
      <c r="W29" s="10"/>
      <c r="X29" s="10"/>
      <c r="Y29" s="10"/>
      <c r="Z29" s="96"/>
      <c r="AA29" s="11"/>
      <c r="AB29" s="11"/>
      <c r="AC29" s="11"/>
      <c r="AD29" s="41"/>
      <c r="AE29" s="124"/>
      <c r="AF29" s="124"/>
      <c r="AG29" s="11"/>
      <c r="AH29" s="11"/>
      <c r="AI29" s="32"/>
      <c r="AJ29" s="41"/>
      <c r="AK29" s="41"/>
      <c r="AL29" s="11"/>
      <c r="AM29" s="124"/>
      <c r="AN29" s="1322"/>
      <c r="AO29" s="11"/>
      <c r="AP29" s="11"/>
      <c r="AQ29" s="11"/>
      <c r="AR29" s="11"/>
      <c r="AS29" s="11"/>
      <c r="AT29" s="11"/>
      <c r="AU29" s="11"/>
      <c r="AV29" s="11"/>
      <c r="AW29" s="11"/>
      <c r="AX29" s="11"/>
      <c r="AY29" s="11"/>
    </row>
    <row r="30" spans="1:51" s="218" customFormat="1" ht="15.95" customHeight="1" thickBot="1" x14ac:dyDescent="0.3">
      <c r="A30" s="957">
        <v>1</v>
      </c>
      <c r="B30" s="96"/>
      <c r="C30" s="96"/>
      <c r="D30" s="96"/>
      <c r="E30" s="96"/>
      <c r="F30" s="96"/>
      <c r="G30" s="96"/>
      <c r="H30" s="96"/>
      <c r="I30" s="96"/>
      <c r="J30" s="96"/>
      <c r="K30" s="4"/>
      <c r="L30" s="258"/>
      <c r="M30" s="3341" t="s">
        <v>412</v>
      </c>
      <c r="N30" s="3618" t="str">
        <f>IF(SUM(N22:N29)=Subject_NRA,Subject_NRA,"Does not Match NRA")</f>
        <v>Does not Match NRA</v>
      </c>
      <c r="O30" s="1277" t="e">
        <f>N30/Subject_NRA</f>
        <v>#VALUE!</v>
      </c>
      <c r="P30" s="258"/>
      <c r="Q30" s="6"/>
      <c r="R30" s="10"/>
      <c r="S30" s="10"/>
      <c r="T30" s="10"/>
      <c r="U30" s="10"/>
      <c r="V30" s="10"/>
      <c r="W30" s="10"/>
      <c r="X30" s="10"/>
      <c r="Y30" s="10"/>
      <c r="Z30" s="96"/>
      <c r="AA30" s="11"/>
      <c r="AB30" s="11"/>
      <c r="AC30" s="11"/>
      <c r="AD30" s="41"/>
      <c r="AE30" s="124"/>
      <c r="AF30" s="124"/>
      <c r="AG30" s="11"/>
      <c r="AH30" s="11"/>
      <c r="AI30" s="32"/>
      <c r="AJ30" s="41"/>
      <c r="AK30" s="41"/>
      <c r="AL30" s="11"/>
      <c r="AM30" s="124"/>
      <c r="AN30" s="1322"/>
      <c r="AO30" s="11"/>
      <c r="AP30" s="11"/>
      <c r="AQ30" s="11"/>
      <c r="AR30" s="11"/>
      <c r="AS30" s="11"/>
      <c r="AT30" s="11"/>
      <c r="AU30" s="11"/>
      <c r="AV30" s="11"/>
      <c r="AW30" s="11"/>
      <c r="AX30" s="11"/>
      <c r="AY30" s="11"/>
    </row>
    <row r="31" spans="1:51" s="790" customFormat="1" ht="20.100000000000001" customHeight="1" thickBot="1" x14ac:dyDescent="0.3">
      <c r="A31" s="972">
        <v>1</v>
      </c>
      <c r="B31" s="243"/>
      <c r="C31" s="243"/>
      <c r="D31" s="243"/>
      <c r="E31" s="243"/>
      <c r="F31" s="243"/>
      <c r="G31" s="243"/>
      <c r="H31" s="243"/>
      <c r="I31" s="243"/>
      <c r="J31" s="243"/>
      <c r="K31" s="646"/>
      <c r="L31" s="647"/>
      <c r="M31" s="615" t="s">
        <v>1771</v>
      </c>
      <c r="N31" s="647"/>
      <c r="O31" s="647"/>
      <c r="P31" s="647"/>
      <c r="Q31" s="649"/>
      <c r="R31" s="36"/>
      <c r="S31" s="36"/>
      <c r="T31" s="36"/>
      <c r="U31" s="36"/>
      <c r="V31" s="36"/>
      <c r="W31" s="36"/>
      <c r="X31" s="36"/>
      <c r="Y31" s="36"/>
      <c r="Z31" s="243"/>
      <c r="AA31" s="731"/>
      <c r="AB31" s="731"/>
      <c r="AC31" s="731"/>
      <c r="AD31" s="707"/>
      <c r="AE31" s="1543"/>
      <c r="AF31" s="1543"/>
      <c r="AG31" s="731"/>
      <c r="AH31" s="731"/>
      <c r="AI31" s="750"/>
      <c r="AJ31" s="707"/>
      <c r="AK31" s="707"/>
      <c r="AL31" s="731"/>
      <c r="AM31" s="1543"/>
      <c r="AN31" s="1555"/>
      <c r="AO31" s="731"/>
      <c r="AP31" s="731"/>
      <c r="AQ31" s="731"/>
      <c r="AR31" s="731"/>
      <c r="AS31" s="731"/>
      <c r="AT31" s="731"/>
      <c r="AU31" s="731"/>
      <c r="AV31" s="731"/>
      <c r="AW31" s="731"/>
      <c r="AX31" s="731"/>
      <c r="AY31" s="731"/>
    </row>
    <row r="32" spans="1:51" s="218" customFormat="1" ht="9.9499999999999993" customHeight="1" x14ac:dyDescent="0.25">
      <c r="A32" s="957">
        <v>1</v>
      </c>
      <c r="B32" s="96"/>
      <c r="C32" s="96"/>
      <c r="D32" s="96"/>
      <c r="E32" s="96"/>
      <c r="F32" s="96"/>
      <c r="G32" s="96"/>
      <c r="H32" s="96"/>
      <c r="I32" s="96"/>
      <c r="J32" s="96"/>
      <c r="K32" s="96"/>
      <c r="L32" s="96"/>
      <c r="M32" s="96"/>
      <c r="N32" s="96"/>
      <c r="O32" s="96"/>
      <c r="P32" s="96"/>
      <c r="Q32" s="96"/>
      <c r="R32" s="96"/>
      <c r="S32" s="96"/>
      <c r="T32" s="96"/>
      <c r="U32" s="96"/>
      <c r="V32" s="96"/>
      <c r="W32" s="96"/>
      <c r="X32" s="96"/>
      <c r="Y32" s="96"/>
      <c r="Z32" s="96"/>
      <c r="AA32" s="11"/>
      <c r="AB32" s="11"/>
      <c r="AC32" s="11"/>
      <c r="AD32" s="41"/>
      <c r="AE32" s="124"/>
      <c r="AF32" s="124"/>
      <c r="AG32" s="11"/>
      <c r="AH32" s="11"/>
      <c r="AI32" s="32"/>
      <c r="AJ32" s="41"/>
      <c r="AK32" s="41"/>
      <c r="AL32" s="11"/>
      <c r="AM32" s="124"/>
      <c r="AN32" s="1322"/>
      <c r="AO32" s="11"/>
      <c r="AP32" s="11"/>
      <c r="AQ32" s="11"/>
      <c r="AR32" s="11"/>
      <c r="AS32" s="11"/>
      <c r="AT32" s="11"/>
      <c r="AU32" s="11"/>
      <c r="AV32" s="11"/>
      <c r="AW32" s="11"/>
      <c r="AX32" s="11"/>
      <c r="AY32" s="11"/>
    </row>
    <row r="33" spans="1:51" s="218" customFormat="1" ht="200.1" hidden="1" customHeight="1" x14ac:dyDescent="0.25">
      <c r="A33" s="972">
        <f>IF(SUM(A22:A29)=0,0,1)</f>
        <v>0</v>
      </c>
      <c r="B33" s="96"/>
      <c r="C33" s="96"/>
      <c r="D33" s="96"/>
      <c r="E33" s="96"/>
      <c r="F33" s="96"/>
      <c r="G33" s="96"/>
      <c r="H33" s="96"/>
      <c r="I33" s="96"/>
      <c r="J33" s="96"/>
      <c r="K33" s="2049"/>
      <c r="L33" s="2049"/>
      <c r="M33" s="2049"/>
      <c r="N33" s="2049"/>
      <c r="O33" s="2049"/>
      <c r="P33" s="2049"/>
      <c r="Q33" s="2049"/>
      <c r="R33" s="96"/>
      <c r="S33" s="96"/>
      <c r="T33" s="96"/>
      <c r="U33" s="96"/>
      <c r="V33" s="96"/>
      <c r="W33" s="96"/>
      <c r="X33" s="96"/>
      <c r="Y33" s="96"/>
      <c r="Z33" s="96"/>
      <c r="AA33" s="11"/>
      <c r="AB33" s="11"/>
      <c r="AC33" s="11"/>
      <c r="AD33" s="41"/>
      <c r="AE33" s="124"/>
      <c r="AF33" s="124"/>
      <c r="AG33" s="11"/>
      <c r="AH33" s="11"/>
      <c r="AI33" s="32"/>
      <c r="AJ33" s="41"/>
      <c r="AK33" s="41"/>
      <c r="AL33" s="11"/>
      <c r="AM33" s="124"/>
      <c r="AN33" s="1322"/>
      <c r="AO33" s="11"/>
      <c r="AP33" s="11"/>
      <c r="AQ33" s="11"/>
      <c r="AR33" s="11"/>
      <c r="AS33" s="11"/>
      <c r="AT33" s="11"/>
      <c r="AU33" s="11"/>
      <c r="AV33" s="11"/>
      <c r="AW33" s="11"/>
      <c r="AX33" s="11"/>
      <c r="AY33" s="11"/>
    </row>
    <row r="34" spans="1:51" s="790" customFormat="1" ht="20.100000000000001" customHeight="1" x14ac:dyDescent="0.25">
      <c r="A34" s="972">
        <v>1</v>
      </c>
      <c r="B34" s="243"/>
      <c r="C34" s="243"/>
      <c r="D34" s="243"/>
      <c r="E34" s="243"/>
      <c r="F34" s="243"/>
      <c r="G34" s="243"/>
      <c r="H34" s="243"/>
      <c r="I34" s="243"/>
      <c r="J34" s="243"/>
      <c r="K34" s="1601"/>
      <c r="L34" s="2050" t="s">
        <v>1772</v>
      </c>
      <c r="M34" s="1601"/>
      <c r="N34" s="1601"/>
      <c r="O34" s="1601"/>
      <c r="P34" s="1601"/>
      <c r="Q34" s="1601"/>
      <c r="R34" s="243"/>
      <c r="S34" s="243"/>
      <c r="T34" s="243"/>
      <c r="U34" s="243"/>
      <c r="V34" s="243"/>
      <c r="W34" s="243"/>
      <c r="X34" s="243"/>
      <c r="Y34" s="243"/>
      <c r="Z34" s="243"/>
      <c r="AA34" s="731"/>
      <c r="AB34" s="731"/>
      <c r="AC34" s="731"/>
      <c r="AD34" s="707"/>
      <c r="AE34" s="1543"/>
      <c r="AF34" s="1543"/>
      <c r="AG34" s="731"/>
      <c r="AH34" s="731"/>
      <c r="AI34" s="750"/>
      <c r="AJ34" s="707"/>
      <c r="AK34" s="707"/>
      <c r="AL34" s="731"/>
      <c r="AM34" s="1543"/>
      <c r="AN34" s="1555"/>
      <c r="AO34" s="731"/>
      <c r="AP34" s="731"/>
      <c r="AQ34" s="731"/>
      <c r="AR34" s="731"/>
      <c r="AS34" s="731"/>
      <c r="AT34" s="731"/>
      <c r="AU34" s="731"/>
      <c r="AV34" s="731"/>
      <c r="AW34" s="731"/>
      <c r="AX34" s="731"/>
      <c r="AY34" s="731"/>
    </row>
    <row r="35" spans="1:51" s="218" customFormat="1" ht="9.9499999999999993" customHeight="1" thickBot="1" x14ac:dyDescent="0.3">
      <c r="A35" s="957">
        <v>1</v>
      </c>
      <c r="B35" s="96"/>
      <c r="C35" s="96"/>
      <c r="D35" s="96"/>
      <c r="E35" s="96"/>
      <c r="F35" s="96"/>
      <c r="G35" s="96"/>
      <c r="H35" s="96"/>
      <c r="I35" s="96"/>
      <c r="J35" s="96"/>
      <c r="K35" s="96"/>
      <c r="L35" s="96"/>
      <c r="M35" s="96"/>
      <c r="N35" s="96"/>
      <c r="O35" s="96"/>
      <c r="P35" s="96"/>
      <c r="Q35" s="96"/>
      <c r="R35" s="96"/>
      <c r="S35" s="96"/>
      <c r="T35" s="96"/>
      <c r="U35" s="96"/>
      <c r="V35" s="96"/>
      <c r="W35" s="96"/>
      <c r="X35" s="96"/>
      <c r="Y35" s="96"/>
      <c r="Z35" s="96"/>
      <c r="AA35" s="11"/>
      <c r="AB35" s="11"/>
      <c r="AC35" s="11"/>
      <c r="AD35" s="41"/>
      <c r="AE35" s="124"/>
      <c r="AF35" s="124"/>
      <c r="AG35" s="11"/>
      <c r="AH35" s="11"/>
      <c r="AI35" s="32"/>
      <c r="AJ35" s="41"/>
      <c r="AK35" s="41"/>
      <c r="AL35" s="11"/>
      <c r="AM35" s="124"/>
      <c r="AN35" s="1322"/>
      <c r="AO35" s="11"/>
      <c r="AP35" s="11"/>
      <c r="AQ35" s="11"/>
      <c r="AR35" s="11"/>
      <c r="AS35" s="11"/>
      <c r="AT35" s="11"/>
      <c r="AU35" s="11"/>
      <c r="AV35" s="11"/>
      <c r="AW35" s="11"/>
      <c r="AX35" s="11"/>
      <c r="AY35" s="11"/>
    </row>
    <row r="36" spans="1:51" s="218" customFormat="1" ht="9.9499999999999993" customHeight="1" x14ac:dyDescent="0.25">
      <c r="A36" s="957">
        <v>1</v>
      </c>
      <c r="B36" s="96"/>
      <c r="C36" s="96"/>
      <c r="D36" s="96"/>
      <c r="E36" s="96"/>
      <c r="F36" s="96"/>
      <c r="G36" s="96"/>
      <c r="H36" s="96"/>
      <c r="I36" s="96"/>
      <c r="J36" s="96"/>
      <c r="K36" s="96"/>
      <c r="L36" s="96"/>
      <c r="M36" s="96"/>
      <c r="N36" s="96"/>
      <c r="O36" s="96"/>
      <c r="P36" s="96"/>
      <c r="Q36" s="96"/>
      <c r="R36" s="96"/>
      <c r="S36" s="1"/>
      <c r="T36" s="2"/>
      <c r="U36" s="2"/>
      <c r="V36" s="2"/>
      <c r="W36" s="2"/>
      <c r="X36" s="2"/>
      <c r="Y36" s="2"/>
      <c r="Z36" s="3"/>
      <c r="AA36" s="11"/>
      <c r="AB36" s="11"/>
      <c r="AC36" s="11"/>
      <c r="AD36" s="41"/>
      <c r="AE36" s="124"/>
      <c r="AF36" s="124"/>
      <c r="AG36" s="11"/>
      <c r="AH36" s="11"/>
      <c r="AI36" s="32"/>
      <c r="AJ36" s="41"/>
      <c r="AK36" s="41"/>
      <c r="AL36" s="11"/>
      <c r="AM36" s="124"/>
      <c r="AN36" s="1322"/>
      <c r="AO36" s="11"/>
      <c r="AP36" s="11"/>
      <c r="AQ36" s="11"/>
      <c r="AR36" s="11"/>
      <c r="AS36" s="11"/>
      <c r="AT36" s="11"/>
      <c r="AU36" s="11"/>
      <c r="AV36" s="11"/>
      <c r="AW36" s="11"/>
      <c r="AX36" s="11"/>
      <c r="AY36" s="11"/>
    </row>
    <row r="37" spans="1:51" s="218" customFormat="1" ht="15.95" customHeight="1" x14ac:dyDescent="0.3">
      <c r="A37" s="957">
        <v>1</v>
      </c>
      <c r="B37" s="96"/>
      <c r="C37" s="96"/>
      <c r="D37" s="96"/>
      <c r="E37" s="96"/>
      <c r="F37" s="96"/>
      <c r="G37" s="96"/>
      <c r="H37" s="96"/>
      <c r="I37" s="96"/>
      <c r="J37" s="96"/>
      <c r="K37" s="96"/>
      <c r="L37" s="96"/>
      <c r="M37" s="96"/>
      <c r="N37" s="96"/>
      <c r="O37" s="96"/>
      <c r="P37" s="96"/>
      <c r="Q37" s="96"/>
      <c r="R37" s="96"/>
      <c r="S37" s="4"/>
      <c r="T37" s="5"/>
      <c r="U37" s="4284" t="s">
        <v>18460</v>
      </c>
      <c r="V37" s="4284"/>
      <c r="W37" s="4284"/>
      <c r="X37" s="4284"/>
      <c r="Y37" s="27"/>
      <c r="Z37" s="6"/>
      <c r="AA37" s="11"/>
      <c r="AB37" s="11"/>
      <c r="AC37" s="11" t="s">
        <v>18468</v>
      </c>
      <c r="AD37" s="41"/>
      <c r="AE37" s="124"/>
      <c r="AF37" s="124"/>
      <c r="AG37" s="11"/>
      <c r="AH37" s="11"/>
      <c r="AI37" s="32"/>
      <c r="AJ37" s="41"/>
      <c r="AK37" s="41"/>
      <c r="AL37" s="11"/>
      <c r="AM37" s="124"/>
      <c r="AN37" s="1322"/>
      <c r="AO37" s="11"/>
      <c r="AP37" s="11"/>
      <c r="AQ37" s="11"/>
      <c r="AR37" s="11"/>
      <c r="AS37" s="11"/>
      <c r="AT37" s="11"/>
      <c r="AU37" s="11"/>
      <c r="AV37" s="11"/>
      <c r="AW37" s="11"/>
      <c r="AX37" s="11"/>
      <c r="AY37" s="11"/>
    </row>
    <row r="38" spans="1:51" s="218" customFormat="1" ht="15.95" customHeight="1" x14ac:dyDescent="0.25">
      <c r="A38" s="957">
        <v>1</v>
      </c>
      <c r="B38" s="96"/>
      <c r="C38" s="96"/>
      <c r="D38" s="96"/>
      <c r="E38" s="96"/>
      <c r="F38" s="96"/>
      <c r="G38" s="96"/>
      <c r="H38" s="96"/>
      <c r="I38" s="96"/>
      <c r="J38" s="96"/>
      <c r="K38" s="96"/>
      <c r="L38" s="96"/>
      <c r="M38" s="96"/>
      <c r="N38" s="96"/>
      <c r="O38" s="96"/>
      <c r="P38" s="96"/>
      <c r="Q38" s="96"/>
      <c r="R38" s="96"/>
      <c r="S38" s="4"/>
      <c r="T38" s="12"/>
      <c r="U38" s="12" t="s">
        <v>398</v>
      </c>
      <c r="V38" s="150" t="s">
        <v>18428</v>
      </c>
      <c r="W38" s="55" t="s">
        <v>20</v>
      </c>
      <c r="X38" s="55" t="s">
        <v>18429</v>
      </c>
      <c r="Y38" s="150"/>
      <c r="Z38" s="6"/>
      <c r="AA38" s="11"/>
      <c r="AB38" s="11"/>
      <c r="AC38" s="11" t="s">
        <v>18461</v>
      </c>
      <c r="AD38" s="41"/>
      <c r="AE38" s="124"/>
      <c r="AF38" s="124"/>
      <c r="AG38" s="11"/>
      <c r="AH38" s="11"/>
      <c r="AI38" s="32"/>
      <c r="AJ38" s="41"/>
      <c r="AK38" s="41"/>
      <c r="AL38" s="11"/>
      <c r="AM38" s="124"/>
      <c r="AN38" s="1322"/>
      <c r="AO38" s="11"/>
      <c r="AP38" s="11"/>
      <c r="AQ38" s="11"/>
      <c r="AR38" s="11"/>
      <c r="AS38" s="11"/>
      <c r="AT38" s="11"/>
      <c r="AU38" s="11"/>
      <c r="AV38" s="11"/>
      <c r="AW38" s="11"/>
      <c r="AX38" s="11"/>
      <c r="AY38" s="11"/>
    </row>
    <row r="39" spans="1:51" s="218" customFormat="1" ht="15.95" hidden="1" customHeight="1" x14ac:dyDescent="0.25">
      <c r="A39" s="957">
        <f ca="1">IF(OR(X39="",X39&lt;0.049),0,1)</f>
        <v>0</v>
      </c>
      <c r="B39" s="96"/>
      <c r="C39" s="96"/>
      <c r="D39" s="96"/>
      <c r="E39" s="96"/>
      <c r="F39" s="96"/>
      <c r="G39" s="96"/>
      <c r="H39" s="96"/>
      <c r="I39" s="96"/>
      <c r="J39" s="96"/>
      <c r="K39" s="96"/>
      <c r="L39" s="96"/>
      <c r="M39" s="96"/>
      <c r="N39" s="96"/>
      <c r="O39" s="41">
        <v>1</v>
      </c>
      <c r="P39" s="96"/>
      <c r="Q39" s="96"/>
      <c r="R39" s="96"/>
      <c r="S39" s="4" t="s">
        <v>1584</v>
      </c>
      <c r="T39" s="258"/>
      <c r="U39" s="258" t="str">
        <f ca="1">IFERROR(IF(OR(LARGE('Rent Roll'!$K$7:$K$206,O39)/Subject_NRA&lt;0.05,ISNUMBER(SEARCH("vacant",INDEX('Rent Roll'!$E$7:$K$206,MATCH(LARGE('Rent Roll'!$K$7:$K$206,O39),'Rent Roll'!$K$7:$K$206,0),1)))),"",INDEX('Rent Roll'!$E$7:$K$206,MATCH(LARGE('Rent Roll'!$K$7:$K$206,O39),'Rent Roll'!$K$7:$K$206,0),1)),"")</f>
        <v/>
      </c>
      <c r="V39" s="1183"/>
      <c r="W39" s="3616" t="str">
        <f ca="1">IF(LEN(U39)&gt;1,SUMIF('Rent Roll'!$E$7:$E$206,LEFT(U39,5) &amp; "*",'Rent Roll'!$K$7:$K$206),"")</f>
        <v/>
      </c>
      <c r="X39" s="3619" t="str">
        <f t="shared" ref="X39:X58" ca="1" si="3">IFERROR(W39/Subject_NRA,"")</f>
        <v/>
      </c>
      <c r="Y39" s="1531"/>
      <c r="Z39" s="6"/>
      <c r="AA39" s="11"/>
      <c r="AB39" s="11"/>
      <c r="AC39" s="11"/>
      <c r="AD39" s="41"/>
      <c r="AE39" s="124"/>
      <c r="AF39" s="124"/>
      <c r="AG39" s="11"/>
      <c r="AH39" s="11"/>
      <c r="AI39" s="32"/>
      <c r="AJ39" s="41"/>
      <c r="AK39" s="41"/>
      <c r="AL39" s="11"/>
      <c r="AM39" s="124"/>
      <c r="AN39" s="1322"/>
      <c r="AO39" s="11"/>
      <c r="AP39" s="11"/>
      <c r="AQ39" s="11"/>
      <c r="AR39" s="11"/>
      <c r="AS39" s="11"/>
      <c r="AT39" s="11"/>
      <c r="AU39" s="11"/>
      <c r="AV39" s="11"/>
      <c r="AW39" s="11"/>
      <c r="AX39" s="11"/>
      <c r="AY39" s="11"/>
    </row>
    <row r="40" spans="1:51" s="218" customFormat="1" ht="15.95" hidden="1" customHeight="1" x14ac:dyDescent="0.25">
      <c r="A40" s="957">
        <f ca="1">IF(OR(X40="",X40&lt;0.049),0,1)</f>
        <v>0</v>
      </c>
      <c r="B40" s="96"/>
      <c r="C40" s="96"/>
      <c r="D40" s="96"/>
      <c r="E40" s="96"/>
      <c r="F40" s="96"/>
      <c r="G40" s="96"/>
      <c r="H40" s="96"/>
      <c r="I40" s="96"/>
      <c r="J40" s="96"/>
      <c r="K40" s="96"/>
      <c r="L40" s="96"/>
      <c r="M40" s="96"/>
      <c r="N40" s="96"/>
      <c r="O40" s="41">
        <f>O39+1</f>
        <v>2</v>
      </c>
      <c r="P40" s="96"/>
      <c r="Q40" s="96"/>
      <c r="R40" s="96"/>
      <c r="S40" s="4" t="s">
        <v>1584</v>
      </c>
      <c r="T40" s="258"/>
      <c r="U40" s="258" t="str">
        <f ca="1">IFERROR(IF(OR(LARGE('Rent Roll'!$K$7:$K$206,O40)/Subject_NRA&lt;0.05,ISNUMBER(SEARCH("vacant",INDEX('Rent Roll'!$E$7:$K$206,MATCH(LARGE('Rent Roll'!$K$7:$K$206,O40),'Rent Roll'!$K$7:$K$206,0),1))),ISNUMBER(_xlfn.IFNA(MATCH(INDEX('Rent Roll'!$E$7:$K$206,MATCH(LARGE('Rent Roll'!$K$7:$K$206,O40),'Rent Roll'!$K$7:$K$206,0),1),$U$39:U39,0),""))),"",INDEX('Rent Roll'!$E$7:$K$206,MATCH(LARGE('Rent Roll'!$K$7:$K$206,O40),'Rent Roll'!$K$7:$K$206,0),1)),"")</f>
        <v/>
      </c>
      <c r="V40" s="1184"/>
      <c r="W40" s="3616" t="str">
        <f ca="1">IF(LEN(U40)&gt;1,SUMIF('Rent Roll'!$E$7:$E$206,LEFT(U40,5) &amp; "*",'Rent Roll'!$K$7:$K$206),"")</f>
        <v/>
      </c>
      <c r="X40" s="3619" t="str">
        <f t="shared" ca="1" si="3"/>
        <v/>
      </c>
      <c r="Y40" s="1531"/>
      <c r="Z40" s="6"/>
      <c r="AA40" s="11"/>
      <c r="AB40" s="11"/>
      <c r="AC40" s="11"/>
      <c r="AD40" s="41"/>
      <c r="AE40" s="124"/>
      <c r="AF40" s="124"/>
      <c r="AG40" s="11"/>
      <c r="AH40" s="11"/>
      <c r="AI40" s="32"/>
      <c r="AJ40" s="41"/>
      <c r="AK40" s="41"/>
      <c r="AL40" s="11"/>
      <c r="AM40" s="124"/>
      <c r="AN40" s="1322"/>
      <c r="AO40" s="11"/>
      <c r="AP40" s="11"/>
      <c r="AQ40" s="11"/>
      <c r="AR40" s="11"/>
      <c r="AS40" s="11"/>
      <c r="AT40" s="11"/>
      <c r="AU40" s="11"/>
      <c r="AV40" s="11"/>
      <c r="AW40" s="11"/>
      <c r="AX40" s="11"/>
      <c r="AY40" s="11"/>
    </row>
    <row r="41" spans="1:51" s="218" customFormat="1" ht="15.95" hidden="1" customHeight="1" x14ac:dyDescent="0.25">
      <c r="A41" s="957">
        <f ca="1">IF(OR(X41="",X41&lt;0.049),0,1)</f>
        <v>0</v>
      </c>
      <c r="B41" s="96"/>
      <c r="C41" s="96"/>
      <c r="D41" s="96"/>
      <c r="E41" s="96"/>
      <c r="F41" s="96"/>
      <c r="G41" s="96"/>
      <c r="H41" s="96"/>
      <c r="I41" s="96"/>
      <c r="J41" s="96"/>
      <c r="K41" s="96"/>
      <c r="L41" s="96"/>
      <c r="M41" s="96"/>
      <c r="N41" s="96"/>
      <c r="O41" s="41">
        <f t="shared" ref="O41:O57" si="4">O40+1</f>
        <v>3</v>
      </c>
      <c r="P41" s="96"/>
      <c r="Q41" s="96"/>
      <c r="R41" s="96"/>
      <c r="S41" s="4" t="s">
        <v>1584</v>
      </c>
      <c r="T41" s="258"/>
      <c r="U41" s="258" t="str">
        <f ca="1">IFERROR(IF(OR(LARGE('Rent Roll'!$K$7:$K$206,O41)/Subject_NRA&lt;0.05,ISNUMBER(SEARCH("vacant",INDEX('Rent Roll'!$E$7:$K$206,MATCH(LARGE('Rent Roll'!$K$7:$K$206,O41),'Rent Roll'!$K$7:$K$206,0),1))),ISNUMBER(_xlfn.IFNA(MATCH(INDEX('Rent Roll'!$E$7:$K$206,MATCH(LARGE('Rent Roll'!$K$7:$K$206,O41),'Rent Roll'!$K$7:$K$206,0),1),$U$39:U40,0),""))),"",INDEX('Rent Roll'!$E$7:$K$206,MATCH(LARGE('Rent Roll'!$K$7:$K$206,O41),'Rent Roll'!$K$7:$K$206,0),1)),"")</f>
        <v/>
      </c>
      <c r="V41" s="1184"/>
      <c r="W41" s="3616" t="str">
        <f ca="1">IF(LEN(U41)&gt;1,SUMIF('Rent Roll'!$E$7:$E$206,LEFT(U41,5) &amp; "*",'Rent Roll'!$K$7:$K$206),"")</f>
        <v/>
      </c>
      <c r="X41" s="3619" t="str">
        <f t="shared" ca="1" si="3"/>
        <v/>
      </c>
      <c r="Y41" s="1531"/>
      <c r="Z41" s="6"/>
      <c r="AA41" s="11"/>
      <c r="AB41" s="11"/>
      <c r="AC41" s="11"/>
      <c r="AD41" s="41"/>
      <c r="AE41" s="124"/>
      <c r="AF41" s="124"/>
      <c r="AG41" s="11"/>
      <c r="AH41" s="11"/>
      <c r="AI41" s="32"/>
      <c r="AJ41" s="41"/>
      <c r="AK41" s="41"/>
      <c r="AL41" s="11"/>
      <c r="AM41" s="124"/>
      <c r="AN41" s="1322"/>
      <c r="AO41" s="11"/>
      <c r="AP41" s="11"/>
      <c r="AQ41" s="11"/>
      <c r="AR41" s="11"/>
      <c r="AS41" s="11"/>
      <c r="AT41" s="11"/>
      <c r="AU41" s="11"/>
      <c r="AV41" s="11"/>
      <c r="AW41" s="11"/>
      <c r="AX41" s="11"/>
      <c r="AY41" s="11"/>
    </row>
    <row r="42" spans="1:51" s="218" customFormat="1" ht="15.95" hidden="1" customHeight="1" x14ac:dyDescent="0.25">
      <c r="A42" s="957">
        <f t="shared" ref="A42:A58" ca="1" si="5">IF(OR(X42="",X42&lt;0.049),0,1)</f>
        <v>0</v>
      </c>
      <c r="B42" s="96"/>
      <c r="C42" s="96"/>
      <c r="D42" s="96"/>
      <c r="E42" s="96"/>
      <c r="F42" s="96"/>
      <c r="G42" s="96"/>
      <c r="H42" s="96"/>
      <c r="I42" s="96"/>
      <c r="J42" s="96"/>
      <c r="K42" s="96"/>
      <c r="L42" s="96"/>
      <c r="M42" s="96"/>
      <c r="N42" s="96"/>
      <c r="O42" s="41">
        <f t="shared" si="4"/>
        <v>4</v>
      </c>
      <c r="P42" s="96"/>
      <c r="Q42" s="96"/>
      <c r="R42" s="96"/>
      <c r="S42" s="4" t="s">
        <v>1584</v>
      </c>
      <c r="T42" s="258"/>
      <c r="U42" s="258" t="str">
        <f ca="1">IFERROR(IF(OR(LARGE('Rent Roll'!$K$7:$K$206,O42)/Subject_NRA&lt;0.05,ISNUMBER(SEARCH("vacant",INDEX('Rent Roll'!$E$7:$K$206,MATCH(LARGE('Rent Roll'!$K$7:$K$206,O42),'Rent Roll'!$K$7:$K$206,0),1))),ISNUMBER(_xlfn.IFNA(MATCH(INDEX('Rent Roll'!$E$7:$K$206,MATCH(LARGE('Rent Roll'!$K$7:$K$206,O42),'Rent Roll'!$K$7:$K$206,0),1),$U$39:U41,0),""))),"",INDEX('Rent Roll'!$E$7:$K$206,MATCH(LARGE('Rent Roll'!$K$7:$K$206,O42),'Rent Roll'!$K$7:$K$206,0),1)),"")</f>
        <v/>
      </c>
      <c r="V42" s="1184"/>
      <c r="W42" s="3616" t="str">
        <f ca="1">IF(LEN(U42)&gt;1,SUMIF('Rent Roll'!$E$7:$E$206,LEFT(U42,5) &amp; "*",'Rent Roll'!$K$7:$K$206),"")</f>
        <v/>
      </c>
      <c r="X42" s="3619" t="str">
        <f t="shared" ca="1" si="3"/>
        <v/>
      </c>
      <c r="Y42" s="1531"/>
      <c r="Z42" s="6"/>
      <c r="AA42" s="11"/>
      <c r="AB42" s="11"/>
      <c r="AC42" s="11"/>
      <c r="AD42" s="41"/>
      <c r="AE42" s="124"/>
      <c r="AF42" s="124"/>
      <c r="AG42" s="11"/>
      <c r="AH42" s="11"/>
      <c r="AI42" s="32"/>
      <c r="AJ42" s="41"/>
      <c r="AK42" s="41"/>
      <c r="AL42" s="11"/>
      <c r="AM42" s="124"/>
      <c r="AN42" s="1322"/>
      <c r="AO42" s="11"/>
      <c r="AP42" s="11"/>
      <c r="AQ42" s="11"/>
      <c r="AR42" s="11"/>
      <c r="AS42" s="11"/>
      <c r="AT42" s="11"/>
      <c r="AU42" s="11"/>
      <c r="AV42" s="11"/>
      <c r="AW42" s="11"/>
      <c r="AX42" s="11"/>
      <c r="AY42" s="11"/>
    </row>
    <row r="43" spans="1:51" s="218" customFormat="1" ht="15.95" hidden="1" customHeight="1" x14ac:dyDescent="0.25">
      <c r="A43" s="957">
        <f t="shared" ca="1" si="5"/>
        <v>0</v>
      </c>
      <c r="B43" s="96"/>
      <c r="C43" s="96"/>
      <c r="D43" s="96"/>
      <c r="E43" s="96"/>
      <c r="F43" s="96"/>
      <c r="G43" s="96"/>
      <c r="H43" s="96"/>
      <c r="I43" s="96"/>
      <c r="J43" s="96"/>
      <c r="K43" s="96"/>
      <c r="L43" s="96"/>
      <c r="M43" s="96"/>
      <c r="N43" s="96"/>
      <c r="O43" s="41">
        <f t="shared" si="4"/>
        <v>5</v>
      </c>
      <c r="P43" s="96"/>
      <c r="Q43" s="96"/>
      <c r="R43" s="96"/>
      <c r="S43" s="4" t="s">
        <v>1584</v>
      </c>
      <c r="T43" s="258"/>
      <c r="U43" s="258" t="str">
        <f ca="1">IFERROR(IF(OR(LARGE('Rent Roll'!$K$7:$K$206,O43)/Subject_NRA&lt;0.05,ISNUMBER(SEARCH("vacant",INDEX('Rent Roll'!$E$7:$K$206,MATCH(LARGE('Rent Roll'!$K$7:$K$206,O43),'Rent Roll'!$K$7:$K$206,0),1))),ISNUMBER(_xlfn.IFNA(MATCH(INDEX('Rent Roll'!$E$7:$K$206,MATCH(LARGE('Rent Roll'!$K$7:$K$206,O43),'Rent Roll'!$K$7:$K$206,0),1),$U$39:U42,0),""))),"",INDEX('Rent Roll'!$E$7:$K$206,MATCH(LARGE('Rent Roll'!$K$7:$K$206,O43),'Rent Roll'!$K$7:$K$206,0),1)),"")</f>
        <v/>
      </c>
      <c r="V43" s="1184"/>
      <c r="W43" s="3616" t="str">
        <f ca="1">IF(LEN(U43)&gt;1,SUMIF('Rent Roll'!$E$7:$E$206,LEFT(U43,5) &amp; "*",'Rent Roll'!$K$7:$K$206),"")</f>
        <v/>
      </c>
      <c r="X43" s="3619" t="str">
        <f t="shared" ca="1" si="3"/>
        <v/>
      </c>
      <c r="Y43" s="1531"/>
      <c r="Z43" s="6"/>
      <c r="AA43" s="11"/>
      <c r="AB43" s="11"/>
      <c r="AC43" s="11"/>
      <c r="AD43" s="41"/>
      <c r="AE43" s="124"/>
      <c r="AF43" s="124"/>
      <c r="AG43" s="11"/>
      <c r="AH43" s="11"/>
      <c r="AI43" s="32"/>
      <c r="AJ43" s="41"/>
      <c r="AK43" s="41"/>
      <c r="AL43" s="11"/>
      <c r="AM43" s="124"/>
      <c r="AN43" s="1322"/>
      <c r="AO43" s="11"/>
      <c r="AP43" s="11"/>
      <c r="AQ43" s="11"/>
      <c r="AR43" s="11"/>
      <c r="AS43" s="11"/>
      <c r="AT43" s="11"/>
      <c r="AU43" s="11"/>
      <c r="AV43" s="11"/>
      <c r="AW43" s="11"/>
      <c r="AX43" s="11"/>
      <c r="AY43" s="11"/>
    </row>
    <row r="44" spans="1:51" s="218" customFormat="1" ht="15.95" hidden="1" customHeight="1" x14ac:dyDescent="0.25">
      <c r="A44" s="957">
        <f t="shared" ca="1" si="5"/>
        <v>0</v>
      </c>
      <c r="B44" s="96"/>
      <c r="C44" s="96"/>
      <c r="D44" s="96"/>
      <c r="E44" s="96"/>
      <c r="F44" s="96"/>
      <c r="G44" s="96"/>
      <c r="H44" s="96"/>
      <c r="I44" s="96"/>
      <c r="J44" s="96"/>
      <c r="K44" s="96"/>
      <c r="L44" s="96"/>
      <c r="M44" s="96"/>
      <c r="N44" s="96"/>
      <c r="O44" s="41">
        <f t="shared" si="4"/>
        <v>6</v>
      </c>
      <c r="P44" s="96"/>
      <c r="Q44" s="96"/>
      <c r="R44" s="96"/>
      <c r="S44" s="4" t="s">
        <v>1584</v>
      </c>
      <c r="T44" s="258"/>
      <c r="U44" s="258" t="str">
        <f ca="1">IFERROR(IF(OR(LARGE('Rent Roll'!$K$7:$K$206,O44)/Subject_NRA&lt;0.05,ISNUMBER(SEARCH("vacant",INDEX('Rent Roll'!$E$7:$K$206,MATCH(LARGE('Rent Roll'!$K$7:$K$206,O44),'Rent Roll'!$K$7:$K$206,0),1))),ISNUMBER(_xlfn.IFNA(MATCH(INDEX('Rent Roll'!$E$7:$K$206,MATCH(LARGE('Rent Roll'!$K$7:$K$206,O44),'Rent Roll'!$K$7:$K$206,0),1),$U$39:U43,0),""))),"",INDEX('Rent Roll'!$E$7:$K$206,MATCH(LARGE('Rent Roll'!$K$7:$K$206,O44),'Rent Roll'!$K$7:$K$206,0),1)),"")</f>
        <v/>
      </c>
      <c r="V44" s="1184"/>
      <c r="W44" s="3616" t="str">
        <f ca="1">IF(LEN(U44)&gt;1,SUMIF('Rent Roll'!$E$7:$E$206,LEFT(U44,5) &amp; "*",'Rent Roll'!$K$7:$K$206),"")</f>
        <v/>
      </c>
      <c r="X44" s="3619" t="str">
        <f t="shared" ca="1" si="3"/>
        <v/>
      </c>
      <c r="Y44" s="1531"/>
      <c r="Z44" s="6"/>
      <c r="AA44" s="11"/>
      <c r="AB44" s="11"/>
      <c r="AC44" s="11"/>
      <c r="AD44" s="41"/>
      <c r="AE44" s="124"/>
      <c r="AF44" s="124"/>
      <c r="AG44" s="11"/>
      <c r="AH44" s="11"/>
      <c r="AI44" s="32"/>
      <c r="AJ44" s="41"/>
      <c r="AK44" s="41"/>
      <c r="AL44" s="11"/>
      <c r="AM44" s="124"/>
      <c r="AN44" s="1322"/>
      <c r="AO44" s="11"/>
      <c r="AP44" s="11"/>
      <c r="AQ44" s="11"/>
      <c r="AR44" s="11"/>
      <c r="AS44" s="11"/>
      <c r="AT44" s="11"/>
      <c r="AU44" s="11"/>
      <c r="AV44" s="11"/>
      <c r="AW44" s="11"/>
      <c r="AX44" s="11"/>
      <c r="AY44" s="11"/>
    </row>
    <row r="45" spans="1:51" s="218" customFormat="1" ht="15.95" hidden="1" customHeight="1" x14ac:dyDescent="0.25">
      <c r="A45" s="957">
        <f t="shared" ca="1" si="5"/>
        <v>0</v>
      </c>
      <c r="B45" s="96"/>
      <c r="C45" s="96"/>
      <c r="D45" s="96"/>
      <c r="E45" s="96"/>
      <c r="F45" s="96"/>
      <c r="G45" s="96"/>
      <c r="H45" s="96"/>
      <c r="I45" s="96"/>
      <c r="J45" s="96"/>
      <c r="K45" s="96"/>
      <c r="L45" s="96"/>
      <c r="M45" s="96"/>
      <c r="N45" s="96"/>
      <c r="O45" s="41">
        <f t="shared" si="4"/>
        <v>7</v>
      </c>
      <c r="P45" s="96"/>
      <c r="Q45" s="96"/>
      <c r="R45" s="96"/>
      <c r="S45" s="4" t="s">
        <v>1584</v>
      </c>
      <c r="T45" s="258"/>
      <c r="U45" s="258" t="str">
        <f ca="1">IFERROR(IF(OR(LARGE('Rent Roll'!$K$7:$K$206,O45)/Subject_NRA&lt;0.05,ISNUMBER(SEARCH("vacant",INDEX('Rent Roll'!$E$7:$K$206,MATCH(LARGE('Rent Roll'!$K$7:$K$206,O45),'Rent Roll'!$K$7:$K$206,0),1))),ISNUMBER(_xlfn.IFNA(MATCH(INDEX('Rent Roll'!$E$7:$K$206,MATCH(LARGE('Rent Roll'!$K$7:$K$206,O45),'Rent Roll'!$K$7:$K$206,0),1),$U$39:U44,0),""))),"",INDEX('Rent Roll'!$E$7:$K$206,MATCH(LARGE('Rent Roll'!$K$7:$K$206,O45),'Rent Roll'!$K$7:$K$206,0),1)),"")</f>
        <v/>
      </c>
      <c r="V45" s="1184"/>
      <c r="W45" s="3616" t="str">
        <f ca="1">IF(LEN(U45)&gt;1,SUMIF('Rent Roll'!$E$7:$E$206,LEFT(U45,5) &amp; "*",'Rent Roll'!$K$7:$K$206),"")</f>
        <v/>
      </c>
      <c r="X45" s="3619" t="str">
        <f t="shared" ca="1" si="3"/>
        <v/>
      </c>
      <c r="Y45" s="1531"/>
      <c r="Z45" s="6"/>
      <c r="AA45" s="11"/>
      <c r="AB45" s="11"/>
      <c r="AC45" s="11"/>
      <c r="AD45" s="41"/>
      <c r="AE45" s="124"/>
      <c r="AF45" s="124"/>
      <c r="AG45" s="11"/>
      <c r="AH45" s="11"/>
      <c r="AI45" s="32"/>
      <c r="AJ45" s="41"/>
      <c r="AK45" s="41"/>
      <c r="AL45" s="11"/>
      <c r="AM45" s="124"/>
      <c r="AN45" s="1322"/>
      <c r="AO45" s="11"/>
      <c r="AP45" s="11"/>
      <c r="AQ45" s="11"/>
      <c r="AR45" s="11"/>
      <c r="AS45" s="11"/>
      <c r="AT45" s="11"/>
      <c r="AU45" s="11"/>
      <c r="AV45" s="11"/>
      <c r="AW45" s="11"/>
      <c r="AX45" s="11"/>
      <c r="AY45" s="11"/>
    </row>
    <row r="46" spans="1:51" s="218" customFormat="1" ht="15.95" hidden="1" customHeight="1" x14ac:dyDescent="0.25">
      <c r="A46" s="957">
        <f t="shared" ca="1" si="5"/>
        <v>0</v>
      </c>
      <c r="B46" s="96"/>
      <c r="C46" s="96"/>
      <c r="D46" s="96"/>
      <c r="E46" s="96"/>
      <c r="F46" s="96"/>
      <c r="G46" s="96"/>
      <c r="H46" s="96"/>
      <c r="I46" s="96"/>
      <c r="J46" s="96"/>
      <c r="K46" s="96"/>
      <c r="L46" s="96"/>
      <c r="M46" s="96"/>
      <c r="N46" s="96"/>
      <c r="O46" s="41">
        <f t="shared" si="4"/>
        <v>8</v>
      </c>
      <c r="P46" s="96"/>
      <c r="Q46" s="96"/>
      <c r="R46" s="96"/>
      <c r="S46" s="4" t="s">
        <v>1584</v>
      </c>
      <c r="T46" s="258"/>
      <c r="U46" s="258" t="str">
        <f ca="1">IFERROR(IF(OR(LARGE('Rent Roll'!$K$7:$K$206,O46)/Subject_NRA&lt;0.05,ISNUMBER(SEARCH("vacant",INDEX('Rent Roll'!$E$7:$K$206,MATCH(LARGE('Rent Roll'!$K$7:$K$206,O46),'Rent Roll'!$K$7:$K$206,0),1))),ISNUMBER(_xlfn.IFNA(MATCH(INDEX('Rent Roll'!$E$7:$K$206,MATCH(LARGE('Rent Roll'!$K$7:$K$206,O46),'Rent Roll'!$K$7:$K$206,0),1),$U$39:U45,0),""))),"",INDEX('Rent Roll'!$E$7:$K$206,MATCH(LARGE('Rent Roll'!$K$7:$K$206,O46),'Rent Roll'!$K$7:$K$206,0),1)),"")</f>
        <v/>
      </c>
      <c r="V46" s="1184"/>
      <c r="W46" s="3616" t="str">
        <f ca="1">IF(LEN(U46)&gt;1,SUMIF('Rent Roll'!$E$7:$E$206,LEFT(U46,5) &amp; "*",'Rent Roll'!$K$7:$K$206),"")</f>
        <v/>
      </c>
      <c r="X46" s="3619" t="str">
        <f t="shared" ca="1" si="3"/>
        <v/>
      </c>
      <c r="Y46" s="1531"/>
      <c r="Z46" s="6"/>
      <c r="AA46" s="11"/>
      <c r="AB46" s="11"/>
      <c r="AC46" s="11"/>
      <c r="AD46" s="41"/>
      <c r="AE46" s="124"/>
      <c r="AF46" s="124"/>
      <c r="AG46" s="11"/>
      <c r="AH46" s="11"/>
      <c r="AI46" s="32"/>
      <c r="AJ46" s="41"/>
      <c r="AK46" s="41"/>
      <c r="AL46" s="11"/>
      <c r="AM46" s="124"/>
      <c r="AN46" s="1322"/>
      <c r="AO46" s="11"/>
      <c r="AP46" s="11"/>
      <c r="AQ46" s="11"/>
      <c r="AR46" s="11"/>
      <c r="AS46" s="11"/>
      <c r="AT46" s="11"/>
      <c r="AU46" s="11"/>
      <c r="AV46" s="11"/>
      <c r="AW46" s="11"/>
      <c r="AX46" s="11"/>
      <c r="AY46" s="11"/>
    </row>
    <row r="47" spans="1:51" s="218" customFormat="1" ht="15.95" hidden="1" customHeight="1" x14ac:dyDescent="0.25">
      <c r="A47" s="957">
        <f t="shared" ca="1" si="5"/>
        <v>0</v>
      </c>
      <c r="B47" s="96"/>
      <c r="C47" s="96"/>
      <c r="D47" s="96"/>
      <c r="E47" s="96"/>
      <c r="F47" s="96"/>
      <c r="G47" s="96"/>
      <c r="H47" s="96"/>
      <c r="I47" s="96"/>
      <c r="J47" s="96"/>
      <c r="K47" s="96"/>
      <c r="L47" s="96"/>
      <c r="M47" s="96"/>
      <c r="N47" s="96"/>
      <c r="O47" s="41">
        <f t="shared" si="4"/>
        <v>9</v>
      </c>
      <c r="P47" s="96"/>
      <c r="Q47" s="96"/>
      <c r="R47" s="96"/>
      <c r="S47" s="4" t="s">
        <v>1584</v>
      </c>
      <c r="T47" s="258"/>
      <c r="U47" s="258" t="str">
        <f ca="1">IFERROR(IF(OR(LARGE('Rent Roll'!$K$7:$K$206,O47)/Subject_NRA&lt;0.05,ISNUMBER(SEARCH("vacant",INDEX('Rent Roll'!$E$7:$K$206,MATCH(LARGE('Rent Roll'!$K$7:$K$206,O47),'Rent Roll'!$K$7:$K$206,0),1))),ISNUMBER(_xlfn.IFNA(MATCH(INDEX('Rent Roll'!$E$7:$K$206,MATCH(LARGE('Rent Roll'!$K$7:$K$206,O47),'Rent Roll'!$K$7:$K$206,0),1),$U$39:U46,0),""))),"",INDEX('Rent Roll'!$E$7:$K$206,MATCH(LARGE('Rent Roll'!$K$7:$K$206,O47),'Rent Roll'!$K$7:$K$206,0),1)),"")</f>
        <v/>
      </c>
      <c r="V47" s="1184"/>
      <c r="W47" s="3616" t="str">
        <f ca="1">IF(LEN(U47)&gt;1,SUMIF('Rent Roll'!$E$7:$E$206,LEFT(U47,5) &amp; "*",'Rent Roll'!$K$7:$K$206),"")</f>
        <v/>
      </c>
      <c r="X47" s="3619" t="str">
        <f t="shared" ca="1" si="3"/>
        <v/>
      </c>
      <c r="Y47" s="1531"/>
      <c r="Z47" s="6"/>
      <c r="AA47" s="11"/>
      <c r="AB47" s="11"/>
      <c r="AC47" s="11"/>
      <c r="AD47" s="41"/>
      <c r="AE47" s="124"/>
      <c r="AF47" s="124"/>
      <c r="AG47" s="11"/>
      <c r="AH47" s="11"/>
      <c r="AI47" s="32"/>
      <c r="AJ47" s="41"/>
      <c r="AK47" s="41"/>
      <c r="AL47" s="11"/>
      <c r="AM47" s="124"/>
      <c r="AN47" s="1322"/>
      <c r="AO47" s="11"/>
      <c r="AP47" s="11"/>
      <c r="AQ47" s="11"/>
      <c r="AR47" s="11"/>
      <c r="AS47" s="11"/>
      <c r="AT47" s="11"/>
      <c r="AU47" s="11"/>
      <c r="AV47" s="11"/>
      <c r="AW47" s="11"/>
      <c r="AX47" s="11"/>
      <c r="AY47" s="11"/>
    </row>
    <row r="48" spans="1:51" s="218" customFormat="1" ht="15.95" hidden="1" customHeight="1" x14ac:dyDescent="0.25">
      <c r="A48" s="957">
        <f t="shared" ca="1" si="5"/>
        <v>0</v>
      </c>
      <c r="B48" s="96"/>
      <c r="C48" s="96"/>
      <c r="D48" s="96"/>
      <c r="E48" s="96"/>
      <c r="F48" s="96"/>
      <c r="G48" s="96"/>
      <c r="H48" s="96"/>
      <c r="I48" s="96"/>
      <c r="J48" s="96"/>
      <c r="K48" s="96"/>
      <c r="L48" s="96"/>
      <c r="M48" s="96"/>
      <c r="N48" s="96"/>
      <c r="O48" s="41">
        <f t="shared" si="4"/>
        <v>10</v>
      </c>
      <c r="P48" s="96"/>
      <c r="Q48" s="96"/>
      <c r="R48" s="96"/>
      <c r="S48" s="4" t="s">
        <v>1584</v>
      </c>
      <c r="T48" s="258"/>
      <c r="U48" s="258" t="str">
        <f ca="1">IFERROR(IF(OR(LARGE('Rent Roll'!$K$7:$K$206,O48)/Subject_NRA&lt;0.05,ISNUMBER(SEARCH("vacant",INDEX('Rent Roll'!$E$7:$K$206,MATCH(LARGE('Rent Roll'!$K$7:$K$206,O48),'Rent Roll'!$K$7:$K$206,0),1))),ISNUMBER(_xlfn.IFNA(MATCH(INDEX('Rent Roll'!$E$7:$K$206,MATCH(LARGE('Rent Roll'!$K$7:$K$206,O48),'Rent Roll'!$K$7:$K$206,0),1),$U$39:U47,0),""))),"",INDEX('Rent Roll'!$E$7:$K$206,MATCH(LARGE('Rent Roll'!$K$7:$K$206,O48),'Rent Roll'!$K$7:$K$206,0),1)),"")</f>
        <v/>
      </c>
      <c r="V48" s="1184"/>
      <c r="W48" s="3616" t="str">
        <f ca="1">IF(LEN(U48)&gt;1,SUMIF('Rent Roll'!$E$7:$E$206,LEFT(U48,5) &amp; "*",'Rent Roll'!$K$7:$K$206),"")</f>
        <v/>
      </c>
      <c r="X48" s="3619" t="str">
        <f t="shared" ca="1" si="3"/>
        <v/>
      </c>
      <c r="Y48" s="1531"/>
      <c r="Z48" s="6"/>
      <c r="AA48" s="11"/>
      <c r="AB48" s="11"/>
      <c r="AC48" s="11"/>
      <c r="AD48" s="41"/>
      <c r="AE48" s="124"/>
      <c r="AF48" s="124"/>
      <c r="AG48" s="11"/>
      <c r="AH48" s="11"/>
      <c r="AI48" s="32"/>
      <c r="AJ48" s="41"/>
      <c r="AK48" s="41"/>
      <c r="AL48" s="11"/>
      <c r="AM48" s="124"/>
      <c r="AN48" s="1322"/>
      <c r="AO48" s="11"/>
      <c r="AP48" s="11"/>
      <c r="AQ48" s="11"/>
      <c r="AR48" s="11"/>
      <c r="AS48" s="11"/>
      <c r="AT48" s="11"/>
      <c r="AU48" s="11"/>
      <c r="AV48" s="11"/>
      <c r="AW48" s="11"/>
      <c r="AX48" s="11"/>
      <c r="AY48" s="11"/>
    </row>
    <row r="49" spans="1:51" s="218" customFormat="1" ht="15.95" hidden="1" customHeight="1" x14ac:dyDescent="0.25">
      <c r="A49" s="957">
        <f t="shared" ca="1" si="5"/>
        <v>0</v>
      </c>
      <c r="B49" s="96"/>
      <c r="C49" s="96"/>
      <c r="D49" s="96"/>
      <c r="E49" s="96"/>
      <c r="F49" s="96"/>
      <c r="G49" s="96"/>
      <c r="H49" s="96"/>
      <c r="I49" s="96"/>
      <c r="J49" s="96"/>
      <c r="K49" s="96"/>
      <c r="L49" s="96"/>
      <c r="M49" s="96"/>
      <c r="N49" s="96"/>
      <c r="O49" s="41">
        <f t="shared" si="4"/>
        <v>11</v>
      </c>
      <c r="P49" s="96"/>
      <c r="Q49" s="96"/>
      <c r="R49" s="96"/>
      <c r="S49" s="4" t="s">
        <v>1584</v>
      </c>
      <c r="T49" s="258"/>
      <c r="U49" s="258" t="str">
        <f ca="1">IFERROR(IF(OR(LARGE('Rent Roll'!$K$7:$K$206,O49)/Subject_NRA&lt;0.05,ISNUMBER(SEARCH("vacant",INDEX('Rent Roll'!$E$7:$K$206,MATCH(LARGE('Rent Roll'!$K$7:$K$206,O49),'Rent Roll'!$K$7:$K$206,0),1))),ISNUMBER(_xlfn.IFNA(MATCH(INDEX('Rent Roll'!$E$7:$K$206,MATCH(LARGE('Rent Roll'!$K$7:$K$206,O49),'Rent Roll'!$K$7:$K$206,0),1),$U$39:U48,0),""))),"",INDEX('Rent Roll'!$E$7:$K$206,MATCH(LARGE('Rent Roll'!$K$7:$K$206,O49),'Rent Roll'!$K$7:$K$206,0),1)),"")</f>
        <v/>
      </c>
      <c r="V49" s="1184"/>
      <c r="W49" s="3616" t="str">
        <f ca="1">IF(LEN(U49)&gt;1,SUMIF('Rent Roll'!$E$7:$E$206,LEFT(U49,5) &amp; "*",'Rent Roll'!$K$7:$K$206),"")</f>
        <v/>
      </c>
      <c r="X49" s="3619" t="str">
        <f t="shared" ca="1" si="3"/>
        <v/>
      </c>
      <c r="Y49" s="1531"/>
      <c r="Z49" s="6"/>
      <c r="AA49" s="11"/>
      <c r="AB49" s="11"/>
      <c r="AC49" s="11"/>
      <c r="AD49" s="41"/>
      <c r="AE49" s="124"/>
      <c r="AF49" s="124"/>
      <c r="AG49" s="11"/>
      <c r="AH49" s="11"/>
      <c r="AI49" s="32"/>
      <c r="AJ49" s="41"/>
      <c r="AK49" s="41"/>
      <c r="AL49" s="11"/>
      <c r="AM49" s="124"/>
      <c r="AN49" s="1322"/>
      <c r="AO49" s="11"/>
      <c r="AP49" s="11"/>
      <c r="AQ49" s="11"/>
      <c r="AR49" s="11"/>
      <c r="AS49" s="11"/>
      <c r="AT49" s="11"/>
      <c r="AU49" s="11"/>
      <c r="AV49" s="11"/>
      <c r="AW49" s="11"/>
      <c r="AX49" s="11"/>
      <c r="AY49" s="11"/>
    </row>
    <row r="50" spans="1:51" s="218" customFormat="1" ht="15.95" hidden="1" customHeight="1" x14ac:dyDescent="0.25">
      <c r="A50" s="957">
        <f t="shared" ca="1" si="5"/>
        <v>0</v>
      </c>
      <c r="B50" s="96"/>
      <c r="C50" s="96"/>
      <c r="D50" s="96"/>
      <c r="E50" s="96"/>
      <c r="F50" s="96"/>
      <c r="G50" s="96"/>
      <c r="H50" s="96"/>
      <c r="I50" s="96"/>
      <c r="J50" s="96"/>
      <c r="K50" s="96"/>
      <c r="L50" s="96"/>
      <c r="M50" s="96"/>
      <c r="N50" s="96"/>
      <c r="O50" s="41">
        <f t="shared" si="4"/>
        <v>12</v>
      </c>
      <c r="P50" s="96"/>
      <c r="Q50" s="96"/>
      <c r="R50" s="96"/>
      <c r="S50" s="4" t="s">
        <v>1584</v>
      </c>
      <c r="T50" s="258"/>
      <c r="U50" s="258" t="str">
        <f ca="1">IFERROR(IF(OR(LARGE('Rent Roll'!$K$7:$K$206,O50)/Subject_NRA&lt;0.05,ISNUMBER(SEARCH("vacant",INDEX('Rent Roll'!$E$7:$K$206,MATCH(LARGE('Rent Roll'!$K$7:$K$206,O50),'Rent Roll'!$K$7:$K$206,0),1))),ISNUMBER(_xlfn.IFNA(MATCH(INDEX('Rent Roll'!$E$7:$K$206,MATCH(LARGE('Rent Roll'!$K$7:$K$206,O50),'Rent Roll'!$K$7:$K$206,0),1),$U$39:U49,0),""))),"",INDEX('Rent Roll'!$E$7:$K$206,MATCH(LARGE('Rent Roll'!$K$7:$K$206,O50),'Rent Roll'!$K$7:$K$206,0),1)),"")</f>
        <v/>
      </c>
      <c r="V50" s="1184"/>
      <c r="W50" s="3616" t="str">
        <f ca="1">IF(LEN(U50)&gt;1,SUMIF('Rent Roll'!$E$7:$E$206,LEFT(U50,5) &amp; "*",'Rent Roll'!$K$7:$K$206),"")</f>
        <v/>
      </c>
      <c r="X50" s="3619" t="str">
        <f t="shared" ca="1" si="3"/>
        <v/>
      </c>
      <c r="Y50" s="1531"/>
      <c r="Z50" s="6"/>
      <c r="AA50" s="11"/>
      <c r="AB50" s="11"/>
      <c r="AC50" s="11"/>
      <c r="AD50" s="41"/>
      <c r="AE50" s="124"/>
      <c r="AF50" s="124"/>
      <c r="AG50" s="11"/>
      <c r="AH50" s="11"/>
      <c r="AI50" s="32"/>
      <c r="AJ50" s="41"/>
      <c r="AK50" s="41"/>
      <c r="AL50" s="11"/>
      <c r="AM50" s="124"/>
      <c r="AN50" s="1322"/>
      <c r="AO50" s="11"/>
      <c r="AP50" s="11"/>
      <c r="AQ50" s="11"/>
      <c r="AR50" s="11"/>
      <c r="AS50" s="11"/>
      <c r="AT50" s="11"/>
      <c r="AU50" s="11"/>
      <c r="AV50" s="11"/>
      <c r="AW50" s="11"/>
      <c r="AX50" s="11"/>
      <c r="AY50" s="11"/>
    </row>
    <row r="51" spans="1:51" s="218" customFormat="1" ht="15.95" hidden="1" customHeight="1" x14ac:dyDescent="0.25">
      <c r="A51" s="957">
        <f t="shared" ca="1" si="5"/>
        <v>0</v>
      </c>
      <c r="B51" s="96"/>
      <c r="C51" s="96"/>
      <c r="D51" s="96"/>
      <c r="E51" s="96"/>
      <c r="F51" s="96"/>
      <c r="G51" s="96"/>
      <c r="H51" s="96"/>
      <c r="I51" s="96"/>
      <c r="J51" s="96"/>
      <c r="K51" s="96"/>
      <c r="L51" s="96"/>
      <c r="M51" s="96"/>
      <c r="N51" s="96"/>
      <c r="O51" s="41">
        <f t="shared" si="4"/>
        <v>13</v>
      </c>
      <c r="P51" s="96"/>
      <c r="Q51" s="96"/>
      <c r="R51" s="96"/>
      <c r="S51" s="4" t="s">
        <v>1584</v>
      </c>
      <c r="T51" s="258"/>
      <c r="U51" s="258" t="str">
        <f ca="1">IFERROR(IF(OR(LARGE('Rent Roll'!$K$7:$K$206,O51)/Subject_NRA&lt;0.05,ISNUMBER(SEARCH("vacant",INDEX('Rent Roll'!$E$7:$K$206,MATCH(LARGE('Rent Roll'!$K$7:$K$206,O51),'Rent Roll'!$K$7:$K$206,0),1))),ISNUMBER(_xlfn.IFNA(MATCH(INDEX('Rent Roll'!$E$7:$K$206,MATCH(LARGE('Rent Roll'!$K$7:$K$206,O51),'Rent Roll'!$K$7:$K$206,0),1),$U$39:U50,0),""))),"",INDEX('Rent Roll'!$E$7:$K$206,MATCH(LARGE('Rent Roll'!$K$7:$K$206,O51),'Rent Roll'!$K$7:$K$206,0),1)),"")</f>
        <v/>
      </c>
      <c r="V51" s="1184"/>
      <c r="W51" s="3616" t="str">
        <f ca="1">IF(LEN(U51)&gt;1,SUMIF('Rent Roll'!$E$7:$E$206,LEFT(U51,5) &amp; "*",'Rent Roll'!$K$7:$K$206),"")</f>
        <v/>
      </c>
      <c r="X51" s="3619" t="str">
        <f t="shared" ca="1" si="3"/>
        <v/>
      </c>
      <c r="Y51" s="1531"/>
      <c r="Z51" s="6"/>
      <c r="AA51" s="11"/>
      <c r="AB51" s="11"/>
      <c r="AC51" s="11"/>
      <c r="AD51" s="41"/>
      <c r="AE51" s="124"/>
      <c r="AF51" s="124"/>
      <c r="AG51" s="11"/>
      <c r="AH51" s="11"/>
      <c r="AI51" s="32"/>
      <c r="AJ51" s="41"/>
      <c r="AK51" s="41"/>
      <c r="AL51" s="11"/>
      <c r="AM51" s="124"/>
      <c r="AN51" s="1322"/>
      <c r="AO51" s="11"/>
      <c r="AP51" s="11"/>
      <c r="AQ51" s="11"/>
      <c r="AR51" s="11"/>
      <c r="AS51" s="11"/>
      <c r="AT51" s="11"/>
      <c r="AU51" s="11"/>
      <c r="AV51" s="11"/>
      <c r="AW51" s="11"/>
      <c r="AX51" s="11"/>
      <c r="AY51" s="11"/>
    </row>
    <row r="52" spans="1:51" s="218" customFormat="1" ht="15.95" hidden="1" customHeight="1" x14ac:dyDescent="0.25">
      <c r="A52" s="957">
        <f t="shared" ca="1" si="5"/>
        <v>0</v>
      </c>
      <c r="B52" s="96"/>
      <c r="C52" s="96"/>
      <c r="D52" s="96"/>
      <c r="E52" s="96"/>
      <c r="F52" s="96"/>
      <c r="G52" s="96"/>
      <c r="H52" s="96"/>
      <c r="I52" s="96"/>
      <c r="J52" s="96"/>
      <c r="K52" s="96"/>
      <c r="L52" s="96"/>
      <c r="M52" s="96"/>
      <c r="N52" s="96"/>
      <c r="O52" s="41">
        <f t="shared" si="4"/>
        <v>14</v>
      </c>
      <c r="P52" s="96"/>
      <c r="Q52" s="96"/>
      <c r="R52" s="96"/>
      <c r="S52" s="4" t="s">
        <v>1584</v>
      </c>
      <c r="T52" s="258"/>
      <c r="U52" s="258" t="str">
        <f ca="1">IFERROR(IF(OR(LARGE('Rent Roll'!$K$7:$K$206,O52)/Subject_NRA&lt;0.05,ISNUMBER(SEARCH("vacant",INDEX('Rent Roll'!$E$7:$K$206,MATCH(LARGE('Rent Roll'!$K$7:$K$206,O52),'Rent Roll'!$K$7:$K$206,0),1))),ISNUMBER(_xlfn.IFNA(MATCH(INDEX('Rent Roll'!$E$7:$K$206,MATCH(LARGE('Rent Roll'!$K$7:$K$206,O52),'Rent Roll'!$K$7:$K$206,0),1),$U$39:U51,0),""))),"",INDEX('Rent Roll'!$E$7:$K$206,MATCH(LARGE('Rent Roll'!$K$7:$K$206,O52),'Rent Roll'!$K$7:$K$206,0),1)),"")</f>
        <v/>
      </c>
      <c r="V52" s="1184"/>
      <c r="W52" s="3616" t="str">
        <f ca="1">IF(LEN(U52)&gt;1,SUMIF('Rent Roll'!$E$7:$E$206,LEFT(U52,5) &amp; "*",'Rent Roll'!$K$7:$K$206),"")</f>
        <v/>
      </c>
      <c r="X52" s="3619" t="str">
        <f t="shared" ca="1" si="3"/>
        <v/>
      </c>
      <c r="Y52" s="1531"/>
      <c r="Z52" s="6"/>
      <c r="AA52" s="11"/>
      <c r="AB52" s="11"/>
      <c r="AC52" s="11"/>
      <c r="AD52" s="41"/>
      <c r="AE52" s="124"/>
      <c r="AF52" s="124"/>
      <c r="AG52" s="11"/>
      <c r="AH52" s="11"/>
      <c r="AI52" s="32"/>
      <c r="AJ52" s="41"/>
      <c r="AK52" s="41"/>
      <c r="AL52" s="11"/>
      <c r="AM52" s="124"/>
      <c r="AN52" s="1322"/>
      <c r="AO52" s="11"/>
      <c r="AP52" s="11"/>
      <c r="AQ52" s="11"/>
      <c r="AR52" s="11"/>
      <c r="AS52" s="11"/>
      <c r="AT52" s="11"/>
      <c r="AU52" s="11"/>
      <c r="AV52" s="11"/>
      <c r="AW52" s="11"/>
      <c r="AX52" s="11"/>
      <c r="AY52" s="11"/>
    </row>
    <row r="53" spans="1:51" s="218" customFormat="1" ht="15.95" hidden="1" customHeight="1" x14ac:dyDescent="0.25">
      <c r="A53" s="957">
        <f t="shared" ca="1" si="5"/>
        <v>0</v>
      </c>
      <c r="B53" s="96"/>
      <c r="C53" s="96"/>
      <c r="D53" s="96"/>
      <c r="E53" s="96"/>
      <c r="F53" s="96"/>
      <c r="G53" s="96"/>
      <c r="H53" s="96"/>
      <c r="I53" s="96"/>
      <c r="J53" s="96"/>
      <c r="K53" s="96"/>
      <c r="L53" s="96"/>
      <c r="M53" s="96"/>
      <c r="N53" s="96"/>
      <c r="O53" s="41">
        <f t="shared" si="4"/>
        <v>15</v>
      </c>
      <c r="P53" s="96"/>
      <c r="Q53" s="96"/>
      <c r="R53" s="96"/>
      <c r="S53" s="4" t="s">
        <v>1584</v>
      </c>
      <c r="T53" s="258"/>
      <c r="U53" s="258" t="str">
        <f ca="1">IFERROR(IF(OR(LARGE('Rent Roll'!$K$7:$K$206,O53)/Subject_NRA&lt;0.05,ISNUMBER(SEARCH("vacant",INDEX('Rent Roll'!$E$7:$K$206,MATCH(LARGE('Rent Roll'!$K$7:$K$206,O53),'Rent Roll'!$K$7:$K$206,0),1))),ISNUMBER(_xlfn.IFNA(MATCH(INDEX('Rent Roll'!$E$7:$K$206,MATCH(LARGE('Rent Roll'!$K$7:$K$206,O53),'Rent Roll'!$K$7:$K$206,0),1),$U$39:U52,0),""))),"",INDEX('Rent Roll'!$E$7:$K$206,MATCH(LARGE('Rent Roll'!$K$7:$K$206,O53),'Rent Roll'!$K$7:$K$206,0),1)),"")</f>
        <v/>
      </c>
      <c r="V53" s="1184"/>
      <c r="W53" s="3616" t="str">
        <f ca="1">IF(LEN(U53)&gt;1,SUMIF('Rent Roll'!$E$7:$E$206,LEFT(U53,5) &amp; "*",'Rent Roll'!$K$7:$K$206),"")</f>
        <v/>
      </c>
      <c r="X53" s="3619" t="str">
        <f t="shared" ca="1" si="3"/>
        <v/>
      </c>
      <c r="Y53" s="1531"/>
      <c r="Z53" s="6"/>
      <c r="AA53" s="11"/>
      <c r="AB53" s="11"/>
      <c r="AC53" s="11"/>
      <c r="AD53" s="41"/>
      <c r="AE53" s="124"/>
      <c r="AF53" s="124"/>
      <c r="AG53" s="11"/>
      <c r="AH53" s="11"/>
      <c r="AI53" s="32"/>
      <c r="AJ53" s="41"/>
      <c r="AK53" s="41"/>
      <c r="AL53" s="11"/>
      <c r="AM53" s="124"/>
      <c r="AN53" s="1322"/>
      <c r="AO53" s="11"/>
      <c r="AP53" s="11"/>
      <c r="AQ53" s="11"/>
      <c r="AR53" s="11"/>
      <c r="AS53" s="11"/>
      <c r="AT53" s="11"/>
      <c r="AU53" s="11"/>
      <c r="AV53" s="11"/>
      <c r="AW53" s="11"/>
      <c r="AX53" s="11"/>
      <c r="AY53" s="11"/>
    </row>
    <row r="54" spans="1:51" s="218" customFormat="1" ht="15.95" hidden="1" customHeight="1" x14ac:dyDescent="0.25">
      <c r="A54" s="957">
        <f t="shared" ca="1" si="5"/>
        <v>0</v>
      </c>
      <c r="B54" s="96"/>
      <c r="C54" s="96"/>
      <c r="D54" s="96"/>
      <c r="E54" s="96"/>
      <c r="F54" s="96"/>
      <c r="G54" s="96"/>
      <c r="H54" s="96"/>
      <c r="I54" s="96"/>
      <c r="J54" s="96"/>
      <c r="K54" s="96"/>
      <c r="L54" s="96"/>
      <c r="M54" s="96"/>
      <c r="N54" s="96"/>
      <c r="O54" s="41">
        <f>O53+1</f>
        <v>16</v>
      </c>
      <c r="P54" s="96"/>
      <c r="Q54" s="96"/>
      <c r="R54" s="96"/>
      <c r="S54" s="4" t="s">
        <v>1584</v>
      </c>
      <c r="T54" s="258"/>
      <c r="U54" s="258" t="str">
        <f ca="1">IFERROR(IF(OR(LARGE('Rent Roll'!$K$7:$K$206,O54)/Subject_NRA&lt;0.05,ISNUMBER(SEARCH("vacant",INDEX('Rent Roll'!$E$7:$K$206,MATCH(LARGE('Rent Roll'!$K$7:$K$206,O54),'Rent Roll'!$K$7:$K$206,0),1))),ISNUMBER(_xlfn.IFNA(MATCH(INDEX('Rent Roll'!$E$7:$K$206,MATCH(LARGE('Rent Roll'!$K$7:$K$206,O54),'Rent Roll'!$K$7:$K$206,0),1),$U$39:U53,0),""))),"",INDEX('Rent Roll'!$E$7:$K$206,MATCH(LARGE('Rent Roll'!$K$7:$K$206,O54),'Rent Roll'!$K$7:$K$206,0),1)),"")</f>
        <v/>
      </c>
      <c r="V54" s="1184"/>
      <c r="W54" s="3616" t="str">
        <f ca="1">IF(LEN(U54)&gt;1,SUMIF('Rent Roll'!$E$7:$E$206,LEFT(U54,5) &amp; "*",'Rent Roll'!$K$7:$K$206),"")</f>
        <v/>
      </c>
      <c r="X54" s="3619" t="str">
        <f t="shared" ca="1" si="3"/>
        <v/>
      </c>
      <c r="Y54" s="1531"/>
      <c r="Z54" s="6"/>
      <c r="AA54" s="11"/>
      <c r="AB54" s="11"/>
      <c r="AC54" s="11"/>
      <c r="AD54" s="41"/>
      <c r="AE54" s="124"/>
      <c r="AF54" s="124"/>
      <c r="AG54" s="11"/>
      <c r="AH54" s="11"/>
      <c r="AI54" s="32"/>
      <c r="AJ54" s="41"/>
      <c r="AK54" s="41"/>
      <c r="AL54" s="11"/>
      <c r="AM54" s="124"/>
      <c r="AN54" s="1322"/>
      <c r="AO54" s="11"/>
      <c r="AP54" s="11"/>
      <c r="AQ54" s="11"/>
      <c r="AR54" s="11"/>
      <c r="AS54" s="11"/>
      <c r="AT54" s="11"/>
      <c r="AU54" s="11"/>
      <c r="AV54" s="11"/>
      <c r="AW54" s="11"/>
      <c r="AX54" s="11"/>
      <c r="AY54" s="11"/>
    </row>
    <row r="55" spans="1:51" s="218" customFormat="1" ht="15.95" hidden="1" customHeight="1" x14ac:dyDescent="0.25">
      <c r="A55" s="957">
        <f t="shared" ca="1" si="5"/>
        <v>0</v>
      </c>
      <c r="B55" s="96"/>
      <c r="C55" s="96"/>
      <c r="D55" s="96"/>
      <c r="E55" s="96"/>
      <c r="F55" s="96"/>
      <c r="G55" s="96"/>
      <c r="H55" s="96"/>
      <c r="I55" s="96"/>
      <c r="J55" s="96"/>
      <c r="K55" s="96"/>
      <c r="L55" s="96"/>
      <c r="M55" s="96"/>
      <c r="N55" s="96"/>
      <c r="O55" s="41">
        <f t="shared" si="4"/>
        <v>17</v>
      </c>
      <c r="P55" s="96"/>
      <c r="Q55" s="96"/>
      <c r="R55" s="96"/>
      <c r="S55" s="4" t="s">
        <v>1584</v>
      </c>
      <c r="T55" s="258"/>
      <c r="U55" s="258" t="str">
        <f ca="1">IFERROR(IF(OR(LARGE('Rent Roll'!$K$7:$K$206,O55)/Subject_NRA&lt;0.05,ISNUMBER(SEARCH("vacant",INDEX('Rent Roll'!$E$7:$K$206,MATCH(LARGE('Rent Roll'!$K$7:$K$206,O55),'Rent Roll'!$K$7:$K$206,0),1))),ISNUMBER(_xlfn.IFNA(MATCH(INDEX('Rent Roll'!$E$7:$K$206,MATCH(LARGE('Rent Roll'!$K$7:$K$206,O55),'Rent Roll'!$K$7:$K$206,0),1),$U$39:U54,0),""))),"",INDEX('Rent Roll'!$E$7:$K$206,MATCH(LARGE('Rent Roll'!$K$7:$K$206,O55),'Rent Roll'!$K$7:$K$206,0),1)),"")</f>
        <v/>
      </c>
      <c r="V55" s="1184"/>
      <c r="W55" s="3616" t="str">
        <f ca="1">IF(LEN(U55)&gt;1,SUMIF('Rent Roll'!$E$7:$E$206,LEFT(U55,5) &amp; "*",'Rent Roll'!$K$7:$K$206),"")</f>
        <v/>
      </c>
      <c r="X55" s="3619" t="str">
        <f t="shared" ca="1" si="3"/>
        <v/>
      </c>
      <c r="Y55" s="1531"/>
      <c r="Z55" s="6"/>
      <c r="AA55" s="11"/>
      <c r="AB55" s="11"/>
      <c r="AC55" s="11"/>
      <c r="AD55" s="41"/>
      <c r="AE55" s="124"/>
      <c r="AF55" s="124"/>
      <c r="AG55" s="11"/>
      <c r="AH55" s="11"/>
      <c r="AI55" s="32"/>
      <c r="AJ55" s="41"/>
      <c r="AK55" s="41"/>
      <c r="AL55" s="11"/>
      <c r="AM55" s="124"/>
      <c r="AN55" s="1322"/>
      <c r="AO55" s="11"/>
      <c r="AP55" s="11"/>
      <c r="AQ55" s="11"/>
      <c r="AR55" s="11"/>
      <c r="AS55" s="11"/>
      <c r="AT55" s="11"/>
      <c r="AU55" s="11"/>
      <c r="AV55" s="11"/>
      <c r="AW55" s="11"/>
      <c r="AX55" s="11"/>
      <c r="AY55" s="11"/>
    </row>
    <row r="56" spans="1:51" s="218" customFormat="1" ht="15.95" hidden="1" customHeight="1" x14ac:dyDescent="0.25">
      <c r="A56" s="957">
        <f t="shared" ca="1" si="5"/>
        <v>0</v>
      </c>
      <c r="B56" s="96"/>
      <c r="C56" s="96"/>
      <c r="D56" s="96"/>
      <c r="E56" s="96"/>
      <c r="F56" s="96"/>
      <c r="G56" s="96"/>
      <c r="H56" s="96"/>
      <c r="I56" s="96"/>
      <c r="J56" s="96"/>
      <c r="K56" s="96"/>
      <c r="L56" s="96"/>
      <c r="M56" s="96"/>
      <c r="N56" s="96"/>
      <c r="O56" s="41">
        <f t="shared" si="4"/>
        <v>18</v>
      </c>
      <c r="P56" s="96"/>
      <c r="Q56" s="96"/>
      <c r="R56" s="96"/>
      <c r="S56" s="4" t="s">
        <v>1584</v>
      </c>
      <c r="T56" s="258"/>
      <c r="U56" s="258" t="str">
        <f ca="1">IFERROR(IF(OR(LARGE('Rent Roll'!$K$7:$K$206,O56)/Subject_NRA&lt;0.05,ISNUMBER(SEARCH("vacant",INDEX('Rent Roll'!$E$7:$K$206,MATCH(LARGE('Rent Roll'!$K$7:$K$206,O56),'Rent Roll'!$K$7:$K$206,0),1))),ISNUMBER(_xlfn.IFNA(MATCH(INDEX('Rent Roll'!$E$7:$K$206,MATCH(LARGE('Rent Roll'!$K$7:$K$206,O56),'Rent Roll'!$K$7:$K$206,0),1),$U$39:U55,0),""))),"",INDEX('Rent Roll'!$E$7:$K$206,MATCH(LARGE('Rent Roll'!$K$7:$K$206,O56),'Rent Roll'!$K$7:$K$206,0),1)),"")</f>
        <v/>
      </c>
      <c r="V56" s="1184"/>
      <c r="W56" s="3616" t="str">
        <f ca="1">IF(LEN(U56)&gt;1,SUMIF('Rent Roll'!$E$7:$E$206,LEFT(U56,5) &amp; "*",'Rent Roll'!$K$7:$K$206),"")</f>
        <v/>
      </c>
      <c r="X56" s="3619" t="str">
        <f t="shared" ca="1" si="3"/>
        <v/>
      </c>
      <c r="Y56" s="1531"/>
      <c r="Z56" s="6"/>
      <c r="AA56" s="11"/>
      <c r="AB56" s="11"/>
      <c r="AC56" s="11"/>
      <c r="AD56" s="41"/>
      <c r="AE56" s="124"/>
      <c r="AF56" s="124"/>
      <c r="AG56" s="11"/>
      <c r="AH56" s="11"/>
      <c r="AI56" s="32"/>
      <c r="AJ56" s="41"/>
      <c r="AK56" s="41"/>
      <c r="AL56" s="11"/>
      <c r="AM56" s="124"/>
      <c r="AN56" s="1322"/>
      <c r="AO56" s="11"/>
      <c r="AP56" s="11"/>
      <c r="AQ56" s="11"/>
      <c r="AR56" s="11"/>
      <c r="AS56" s="11"/>
      <c r="AT56" s="11"/>
      <c r="AU56" s="11"/>
      <c r="AV56" s="11"/>
      <c r="AW56" s="11"/>
      <c r="AX56" s="11"/>
      <c r="AY56" s="11"/>
    </row>
    <row r="57" spans="1:51" s="218" customFormat="1" ht="15.95" hidden="1" customHeight="1" x14ac:dyDescent="0.25">
      <c r="A57" s="957">
        <f t="shared" ca="1" si="5"/>
        <v>0</v>
      </c>
      <c r="B57" s="96"/>
      <c r="C57" s="96"/>
      <c r="D57" s="96"/>
      <c r="E57" s="96"/>
      <c r="F57" s="96"/>
      <c r="G57" s="96"/>
      <c r="H57" s="96"/>
      <c r="I57" s="96"/>
      <c r="J57" s="96"/>
      <c r="K57" s="96"/>
      <c r="L57" s="96"/>
      <c r="M57" s="96"/>
      <c r="N57" s="96"/>
      <c r="O57" s="41">
        <f t="shared" si="4"/>
        <v>19</v>
      </c>
      <c r="P57" s="96"/>
      <c r="Q57" s="96"/>
      <c r="R57" s="96"/>
      <c r="S57" s="4" t="s">
        <v>1584</v>
      </c>
      <c r="T57" s="258"/>
      <c r="U57" s="258" t="str">
        <f ca="1">IFERROR(IF(OR(LARGE('Rent Roll'!$K$7:$K$206,O57)/Subject_NRA&lt;0.05,ISNUMBER(SEARCH("vacant",INDEX('Rent Roll'!$E$7:$K$206,MATCH(LARGE('Rent Roll'!$K$7:$K$206,O57),'Rent Roll'!$K$7:$K$206,0),1))),ISNUMBER(_xlfn.IFNA(MATCH(INDEX('Rent Roll'!$E$7:$K$206,MATCH(LARGE('Rent Roll'!$K$7:$K$206,O57),'Rent Roll'!$K$7:$K$206,0),1),$U$39:U56,0),""))),"",INDEX('Rent Roll'!$E$7:$K$206,MATCH(LARGE('Rent Roll'!$K$7:$K$206,O57),'Rent Roll'!$K$7:$K$206,0),1)),"")</f>
        <v/>
      </c>
      <c r="V57" s="1184"/>
      <c r="W57" s="3616" t="str">
        <f ca="1">IF(LEN(U57)&gt;1,SUMIF('Rent Roll'!$E$7:$E$206,LEFT(U57,5) &amp; "*",'Rent Roll'!$K$7:$K$206),"")</f>
        <v/>
      </c>
      <c r="X57" s="3619" t="str">
        <f t="shared" ca="1" si="3"/>
        <v/>
      </c>
      <c r="Y57" s="1531"/>
      <c r="Z57" s="6"/>
      <c r="AA57" s="11"/>
      <c r="AB57" s="11"/>
      <c r="AC57" s="11"/>
      <c r="AD57" s="41"/>
      <c r="AE57" s="124"/>
      <c r="AF57" s="124"/>
      <c r="AG57" s="11"/>
      <c r="AH57" s="11"/>
      <c r="AI57" s="32"/>
      <c r="AJ57" s="41"/>
      <c r="AK57" s="41"/>
      <c r="AL57" s="11"/>
      <c r="AM57" s="124"/>
      <c r="AN57" s="1322"/>
      <c r="AO57" s="11"/>
      <c r="AP57" s="11"/>
      <c r="AQ57" s="11"/>
      <c r="AR57" s="11"/>
      <c r="AS57" s="11"/>
      <c r="AT57" s="11"/>
      <c r="AU57" s="11"/>
      <c r="AV57" s="11"/>
      <c r="AW57" s="11"/>
      <c r="AX57" s="11"/>
      <c r="AY57" s="11"/>
    </row>
    <row r="58" spans="1:51" s="218" customFormat="1" ht="15.95" hidden="1" customHeight="1" x14ac:dyDescent="0.25">
      <c r="A58" s="957">
        <f t="shared" ca="1" si="5"/>
        <v>0</v>
      </c>
      <c r="B58" s="96"/>
      <c r="C58" s="96"/>
      <c r="D58" s="96"/>
      <c r="E58" s="96"/>
      <c r="F58" s="96"/>
      <c r="G58" s="96"/>
      <c r="H58" s="96"/>
      <c r="I58" s="96"/>
      <c r="J58" s="96"/>
      <c r="K58" s="96"/>
      <c r="L58" s="96"/>
      <c r="M58" s="96"/>
      <c r="N58" s="96"/>
      <c r="O58" s="41">
        <f>O57+1</f>
        <v>20</v>
      </c>
      <c r="P58" s="96"/>
      <c r="Q58" s="96"/>
      <c r="R58" s="96"/>
      <c r="S58" s="4" t="s">
        <v>1584</v>
      </c>
      <c r="T58" s="258"/>
      <c r="U58" s="258" t="str">
        <f ca="1">IFERROR(IF(OR(LARGE('Rent Roll'!$K$7:$K$206,O58)/Subject_NRA&lt;0.05,ISNUMBER(SEARCH("vacant",INDEX('Rent Roll'!$E$7:$K$206,MATCH(LARGE('Rent Roll'!$K$7:$K$206,O58),'Rent Roll'!$K$7:$K$206,0),1))),ISNUMBER(_xlfn.IFNA(MATCH(INDEX('Rent Roll'!$E$7:$K$206,MATCH(LARGE('Rent Roll'!$K$7:$K$206,O58),'Rent Roll'!$K$7:$K$206,0),1),$U$39:U57,0),""))),"",INDEX('Rent Roll'!$E$7:$K$206,MATCH(LARGE('Rent Roll'!$K$7:$K$206,O58),'Rent Roll'!$K$7:$K$206,0),1)),"")</f>
        <v/>
      </c>
      <c r="V58" s="1185"/>
      <c r="W58" s="3616" t="str">
        <f ca="1">IF(LEN(U58)&gt;1,SUMIF('Rent Roll'!$E$7:$E$206,LEFT(U58,5) &amp; "*",'Rent Roll'!$K$7:$K$206),"")</f>
        <v/>
      </c>
      <c r="X58" s="3619" t="str">
        <f t="shared" ca="1" si="3"/>
        <v/>
      </c>
      <c r="Y58" s="1531"/>
      <c r="Z58" s="6"/>
      <c r="AA58" s="11"/>
      <c r="AB58" s="11"/>
      <c r="AC58" s="11"/>
      <c r="AD58" s="41"/>
      <c r="AE58" s="124"/>
      <c r="AF58" s="124"/>
      <c r="AG58" s="11"/>
      <c r="AH58" s="11"/>
      <c r="AI58" s="32"/>
      <c r="AJ58" s="41"/>
      <c r="AK58" s="41"/>
      <c r="AL58" s="11"/>
      <c r="AM58" s="124"/>
      <c r="AN58" s="1322"/>
      <c r="AO58" s="11"/>
      <c r="AP58" s="11"/>
      <c r="AQ58" s="11"/>
      <c r="AR58" s="11"/>
      <c r="AS58" s="11"/>
      <c r="AT58" s="11"/>
      <c r="AU58" s="11"/>
      <c r="AV58" s="11"/>
      <c r="AW58" s="11"/>
      <c r="AX58" s="11"/>
      <c r="AY58" s="11"/>
    </row>
    <row r="59" spans="1:51" s="218" customFormat="1" ht="15.95" customHeight="1" thickBot="1" x14ac:dyDescent="0.3">
      <c r="A59" s="957">
        <v>1</v>
      </c>
      <c r="B59" s="96"/>
      <c r="C59" s="96"/>
      <c r="D59" s="96"/>
      <c r="E59" s="96"/>
      <c r="F59" s="96"/>
      <c r="G59" s="96"/>
      <c r="H59" s="96"/>
      <c r="I59" s="96"/>
      <c r="J59" s="96"/>
      <c r="K59" s="96"/>
      <c r="L59" s="96"/>
      <c r="M59" s="96"/>
      <c r="N59" s="96"/>
      <c r="O59" s="96"/>
      <c r="P59" s="96"/>
      <c r="Q59" s="96"/>
      <c r="R59" s="96"/>
      <c r="S59" s="781"/>
      <c r="T59" s="3620"/>
      <c r="U59" s="3621" t="s">
        <v>93</v>
      </c>
      <c r="V59" s="3622"/>
      <c r="W59" s="3623">
        <f ca="1">SUMIF(X39:X58,"&gt;.049",W39:W58)</f>
        <v>0</v>
      </c>
      <c r="X59" s="3624">
        <f ca="1">W59/Subject_NRA</f>
        <v>0</v>
      </c>
      <c r="Y59" s="3620"/>
      <c r="Z59" s="756"/>
      <c r="AA59" s="11"/>
      <c r="AB59" s="11"/>
      <c r="AC59" s="11"/>
      <c r="AD59" s="41"/>
      <c r="AE59" s="124"/>
      <c r="AF59" s="124"/>
      <c r="AG59" s="11"/>
      <c r="AH59" s="11"/>
      <c r="AI59" s="32"/>
      <c r="AJ59" s="41"/>
      <c r="AK59" s="41"/>
      <c r="AL59" s="11"/>
      <c r="AM59" s="124"/>
      <c r="AN59" s="1322"/>
      <c r="AO59" s="11"/>
      <c r="AP59" s="11"/>
      <c r="AQ59" s="11"/>
      <c r="AR59" s="11"/>
      <c r="AS59" s="11"/>
      <c r="AT59" s="11"/>
      <c r="AU59" s="11"/>
      <c r="AV59" s="11"/>
      <c r="AW59" s="11"/>
      <c r="AX59" s="11"/>
      <c r="AY59" s="11"/>
    </row>
    <row r="60" spans="1:51" s="218" customFormat="1" ht="15.95" customHeight="1" thickBot="1" x14ac:dyDescent="0.3">
      <c r="A60" s="957">
        <v>1</v>
      </c>
      <c r="B60" s="96"/>
      <c r="C60" s="96"/>
      <c r="D60" s="96"/>
      <c r="E60" s="96"/>
      <c r="F60" s="96"/>
      <c r="G60" s="96"/>
      <c r="H60" s="96"/>
      <c r="I60" s="96"/>
      <c r="J60" s="96"/>
      <c r="K60" s="96"/>
      <c r="L60" s="96"/>
      <c r="M60" s="96"/>
      <c r="N60" s="96"/>
      <c r="O60" s="96"/>
      <c r="P60" s="96"/>
      <c r="Q60" s="96"/>
      <c r="R60" s="96"/>
      <c r="S60" s="762"/>
      <c r="T60" s="679"/>
      <c r="U60" s="552" t="s">
        <v>18462</v>
      </c>
      <c r="V60" s="679"/>
      <c r="W60" s="679"/>
      <c r="X60" s="679"/>
      <c r="Y60" s="679"/>
      <c r="Z60" s="2839"/>
      <c r="AA60" s="11"/>
      <c r="AB60" s="11"/>
      <c r="AC60" s="11"/>
      <c r="AD60" s="41"/>
      <c r="AE60" s="124"/>
      <c r="AF60" s="124"/>
      <c r="AG60" s="11"/>
      <c r="AH60" s="11"/>
      <c r="AI60" s="32"/>
      <c r="AJ60" s="41"/>
      <c r="AK60" s="41"/>
      <c r="AL60" s="11"/>
      <c r="AM60" s="124"/>
      <c r="AN60" s="1322"/>
      <c r="AO60" s="11"/>
      <c r="AP60" s="11"/>
      <c r="AQ60" s="11"/>
      <c r="AR60" s="11"/>
      <c r="AS60" s="11"/>
      <c r="AT60" s="11"/>
      <c r="AU60" s="11"/>
      <c r="AV60" s="11"/>
      <c r="AW60" s="11"/>
      <c r="AX60" s="11"/>
      <c r="AY60" s="11"/>
    </row>
    <row r="61" spans="1:51" s="218" customFormat="1" ht="9.9499999999999993" customHeight="1" thickBot="1" x14ac:dyDescent="0.3">
      <c r="A61" s="957">
        <v>1</v>
      </c>
      <c r="B61" s="96"/>
      <c r="C61" s="96"/>
      <c r="D61" s="96"/>
      <c r="E61" s="96"/>
      <c r="F61" s="96"/>
      <c r="G61" s="96"/>
      <c r="H61" s="96"/>
      <c r="I61" s="96"/>
      <c r="J61" s="96"/>
      <c r="K61" s="96"/>
      <c r="L61" s="96"/>
      <c r="M61" s="96"/>
      <c r="N61" s="96"/>
      <c r="O61" s="96"/>
      <c r="P61" s="96"/>
      <c r="Q61" s="96"/>
      <c r="R61" s="96"/>
      <c r="S61" s="96"/>
      <c r="T61" s="96"/>
      <c r="U61" s="96"/>
      <c r="V61" s="96"/>
      <c r="W61" s="96"/>
      <c r="X61" s="96"/>
      <c r="Y61" s="96"/>
      <c r="Z61" s="96"/>
      <c r="AA61" s="11"/>
      <c r="AB61" s="11"/>
      <c r="AC61" s="11"/>
      <c r="AD61" s="41"/>
      <c r="AE61" s="124"/>
      <c r="AF61" s="124"/>
      <c r="AG61" s="11"/>
      <c r="AH61" s="11"/>
      <c r="AI61" s="32"/>
      <c r="AJ61" s="41"/>
      <c r="AK61" s="41"/>
      <c r="AL61" s="11"/>
      <c r="AM61" s="124"/>
      <c r="AN61" s="1322"/>
      <c r="AO61" s="11"/>
      <c r="AP61" s="11"/>
      <c r="AQ61" s="11"/>
      <c r="AR61" s="11"/>
      <c r="AS61" s="11"/>
      <c r="AT61" s="11"/>
      <c r="AU61" s="11"/>
      <c r="AV61" s="11"/>
      <c r="AW61" s="11"/>
      <c r="AX61" s="11"/>
      <c r="AY61" s="11"/>
    </row>
    <row r="62" spans="1:51" x14ac:dyDescent="0.25">
      <c r="A62" s="957">
        <v>1</v>
      </c>
      <c r="AA62" s="1"/>
      <c r="AB62" s="2"/>
      <c r="AC62" s="2"/>
      <c r="AD62" s="2"/>
      <c r="AE62" s="123"/>
      <c r="AF62" s="123"/>
      <c r="AG62" s="2"/>
      <c r="AH62" s="3"/>
      <c r="AI62" s="11"/>
      <c r="AN62" s="124"/>
      <c r="AO62" s="11"/>
      <c r="AP62" s="32"/>
    </row>
    <row r="63" spans="1:51" ht="15.95" customHeight="1" x14ac:dyDescent="0.3">
      <c r="A63" s="957">
        <v>1</v>
      </c>
      <c r="AA63" s="4"/>
      <c r="AB63" s="5"/>
      <c r="AC63" s="4284" t="str">
        <f>Income_TCat1</f>
        <v>Industrial Office/Warehouse</v>
      </c>
      <c r="AD63" s="4284"/>
      <c r="AE63" s="4284"/>
      <c r="AF63" s="4284"/>
      <c r="AG63" s="27"/>
      <c r="AH63" s="6"/>
      <c r="AI63" s="11"/>
      <c r="AN63" s="124"/>
      <c r="AO63" s="11"/>
      <c r="AP63" s="32"/>
    </row>
    <row r="64" spans="1:51" ht="15.95" customHeight="1" x14ac:dyDescent="0.25">
      <c r="A64" s="957">
        <v>1</v>
      </c>
      <c r="AA64" s="4"/>
      <c r="AB64" s="12"/>
      <c r="AC64" s="12" t="s">
        <v>398</v>
      </c>
      <c r="AD64" s="150" t="s">
        <v>401</v>
      </c>
      <c r="AE64" s="55" t="s">
        <v>20</v>
      </c>
      <c r="AF64" s="55" t="s">
        <v>132</v>
      </c>
      <c r="AG64" s="150"/>
      <c r="AH64" s="6"/>
      <c r="AI64" s="11"/>
      <c r="AN64" s="124"/>
      <c r="AO64" s="11"/>
      <c r="AP64" s="32"/>
    </row>
    <row r="65" spans="1:42" ht="15.95" hidden="1" customHeight="1" x14ac:dyDescent="0.25">
      <c r="A65" s="957">
        <f ca="1">IF(AC65="",0,1)</f>
        <v>0</v>
      </c>
      <c r="AA65" s="4"/>
      <c r="AB65" s="5"/>
      <c r="AC65" s="5" t="str">
        <f ca="1">IF('Rent Roll'!$Y7=1,'Rent Roll'!E7,"")</f>
        <v/>
      </c>
      <c r="AD65" s="39" t="str">
        <f ca="1">IF('Rent Roll'!$Y7=1,'Rent Roll'!G7,"")</f>
        <v/>
      </c>
      <c r="AE65" s="1547" t="str">
        <f ca="1">IF('Rent Roll'!$Y7=1,'Rent Roll'!K7,"")</f>
        <v/>
      </c>
      <c r="AF65" s="1551" t="str">
        <f ca="1">IF('Rent Roll'!$Y7=1,'Rent Roll'!N7,"")</f>
        <v/>
      </c>
      <c r="AG65" s="223"/>
      <c r="AH65" s="6"/>
      <c r="AI65" s="11"/>
      <c r="AJ65" s="1536"/>
      <c r="AK65" s="1537"/>
      <c r="AL65" s="1536"/>
      <c r="AM65" s="1545"/>
      <c r="AN65" s="124"/>
      <c r="AO65" s="11"/>
      <c r="AP65" s="32"/>
    </row>
    <row r="66" spans="1:42" ht="15.95" hidden="1" customHeight="1" x14ac:dyDescent="0.25">
      <c r="A66" s="957">
        <f t="shared" ref="A66:A129" ca="1" si="6">IF(AC66="",0,1)</f>
        <v>0</v>
      </c>
      <c r="AA66" s="4"/>
      <c r="AB66" s="5"/>
      <c r="AC66" s="5" t="str">
        <f ca="1">IF('Rent Roll'!$Y8=1,'Rent Roll'!E8,"")</f>
        <v/>
      </c>
      <c r="AD66" s="39" t="str">
        <f ca="1">IF('Rent Roll'!$Y8=1,'Rent Roll'!G8,"")</f>
        <v/>
      </c>
      <c r="AE66" s="1547" t="str">
        <f ca="1">IF('Rent Roll'!$Y8=1,'Rent Roll'!K8,"")</f>
        <v/>
      </c>
      <c r="AF66" s="1551" t="str">
        <f ca="1">IF('Rent Roll'!$Y8=1,'Rent Roll'!N8,"")</f>
        <v/>
      </c>
      <c r="AG66" s="223"/>
      <c r="AH66" s="6"/>
      <c r="AI66" s="11"/>
      <c r="AJ66" s="1536"/>
      <c r="AK66" s="1537"/>
      <c r="AL66" s="1536"/>
      <c r="AM66" s="1545"/>
      <c r="AN66" s="124"/>
      <c r="AO66" s="11"/>
      <c r="AP66" s="32"/>
    </row>
    <row r="67" spans="1:42" ht="15.95" hidden="1" customHeight="1" x14ac:dyDescent="0.25">
      <c r="A67" s="957">
        <f t="shared" ca="1" si="6"/>
        <v>0</v>
      </c>
      <c r="AA67" s="4"/>
      <c r="AB67" s="5"/>
      <c r="AC67" s="5" t="str">
        <f ca="1">IF('Rent Roll'!$Y9=1,'Rent Roll'!E9,"")</f>
        <v/>
      </c>
      <c r="AD67" s="39" t="str">
        <f ca="1">IF('Rent Roll'!$Y9=1,'Rent Roll'!G9,"")</f>
        <v/>
      </c>
      <c r="AE67" s="1547" t="str">
        <f ca="1">IF('Rent Roll'!$Y9=1,'Rent Roll'!K9,"")</f>
        <v/>
      </c>
      <c r="AF67" s="1551" t="str">
        <f ca="1">IF('Rent Roll'!$Y9=1,'Rent Roll'!N9,"")</f>
        <v/>
      </c>
      <c r="AG67" s="223"/>
      <c r="AH67" s="6"/>
      <c r="AI67" s="11"/>
      <c r="AJ67" s="1536"/>
      <c r="AK67" s="1537"/>
      <c r="AL67" s="1536"/>
      <c r="AM67" s="1545"/>
      <c r="AN67" s="124"/>
      <c r="AO67" s="11"/>
      <c r="AP67" s="32"/>
    </row>
    <row r="68" spans="1:42" ht="15.95" hidden="1" customHeight="1" x14ac:dyDescent="0.25">
      <c r="A68" s="957">
        <f t="shared" ca="1" si="6"/>
        <v>0</v>
      </c>
      <c r="AA68" s="4"/>
      <c r="AB68" s="5"/>
      <c r="AC68" s="5" t="str">
        <f ca="1">IF('Rent Roll'!$Y10=1,'Rent Roll'!E10,"")</f>
        <v/>
      </c>
      <c r="AD68" s="39" t="str">
        <f ca="1">IF('Rent Roll'!$Y10=1,'Rent Roll'!G10,"")</f>
        <v/>
      </c>
      <c r="AE68" s="1547" t="str">
        <f ca="1">IF('Rent Roll'!$Y10=1,'Rent Roll'!K10,"")</f>
        <v/>
      </c>
      <c r="AF68" s="1551" t="str">
        <f ca="1">IF('Rent Roll'!$Y10=1,'Rent Roll'!N10,"")</f>
        <v/>
      </c>
      <c r="AG68" s="223"/>
      <c r="AH68" s="6"/>
      <c r="AI68" s="11"/>
      <c r="AJ68" s="1536"/>
      <c r="AK68" s="1537"/>
      <c r="AL68" s="1536"/>
      <c r="AM68" s="1545"/>
      <c r="AN68" s="124"/>
      <c r="AO68" s="11"/>
      <c r="AP68" s="32"/>
    </row>
    <row r="69" spans="1:42" ht="15.95" hidden="1" customHeight="1" x14ac:dyDescent="0.25">
      <c r="A69" s="957">
        <f t="shared" ca="1" si="6"/>
        <v>0</v>
      </c>
      <c r="AA69" s="4"/>
      <c r="AB69" s="5"/>
      <c r="AC69" s="5" t="str">
        <f ca="1">IF('Rent Roll'!$Y11=1,'Rent Roll'!E11,"")</f>
        <v/>
      </c>
      <c r="AD69" s="39" t="str">
        <f ca="1">IF('Rent Roll'!$Y11=1,'Rent Roll'!G11,"")</f>
        <v/>
      </c>
      <c r="AE69" s="1547" t="str">
        <f ca="1">IF('Rent Roll'!$Y11=1,'Rent Roll'!K11,"")</f>
        <v/>
      </c>
      <c r="AF69" s="1551" t="str">
        <f ca="1">IF('Rent Roll'!$Y11=1,'Rent Roll'!N11,"")</f>
        <v/>
      </c>
      <c r="AG69" s="223"/>
      <c r="AH69" s="6"/>
      <c r="AI69" s="11"/>
      <c r="AJ69" s="1536"/>
      <c r="AK69" s="1537"/>
      <c r="AL69" s="1536"/>
      <c r="AM69" s="1545"/>
      <c r="AN69" s="124"/>
      <c r="AO69" s="11"/>
      <c r="AP69" s="32"/>
    </row>
    <row r="70" spans="1:42" ht="15.95" hidden="1" customHeight="1" x14ac:dyDescent="0.25">
      <c r="A70" s="957">
        <f t="shared" ca="1" si="6"/>
        <v>0</v>
      </c>
      <c r="AA70" s="4"/>
      <c r="AB70" s="5"/>
      <c r="AC70" s="5" t="str">
        <f ca="1">IF('Rent Roll'!$Y12=1,'Rent Roll'!E12,"")</f>
        <v/>
      </c>
      <c r="AD70" s="39" t="str">
        <f ca="1">IF('Rent Roll'!$Y12=1,'Rent Roll'!G12,"")</f>
        <v/>
      </c>
      <c r="AE70" s="1547" t="str">
        <f ca="1">IF('Rent Roll'!$Y12=1,'Rent Roll'!K12,"")</f>
        <v/>
      </c>
      <c r="AF70" s="1551" t="str">
        <f ca="1">IF('Rent Roll'!$Y12=1,'Rent Roll'!N12,"")</f>
        <v/>
      </c>
      <c r="AG70" s="223"/>
      <c r="AH70" s="6"/>
      <c r="AI70" s="11"/>
      <c r="AJ70" s="1536"/>
      <c r="AK70" s="1537"/>
      <c r="AL70" s="1536"/>
      <c r="AM70" s="1545"/>
      <c r="AN70" s="124"/>
      <c r="AO70" s="11"/>
      <c r="AP70" s="32"/>
    </row>
    <row r="71" spans="1:42" ht="15.95" hidden="1" customHeight="1" x14ac:dyDescent="0.25">
      <c r="A71" s="957">
        <f t="shared" ca="1" si="6"/>
        <v>0</v>
      </c>
      <c r="AA71" s="4"/>
      <c r="AB71" s="5"/>
      <c r="AC71" s="5" t="str">
        <f ca="1">IF('Rent Roll'!$Y13=1,'Rent Roll'!E13,"")</f>
        <v/>
      </c>
      <c r="AD71" s="39" t="str">
        <f ca="1">IF('Rent Roll'!$Y13=1,'Rent Roll'!G13,"")</f>
        <v/>
      </c>
      <c r="AE71" s="1547" t="str">
        <f ca="1">IF('Rent Roll'!$Y13=1,'Rent Roll'!K13,"")</f>
        <v/>
      </c>
      <c r="AF71" s="1551" t="str">
        <f ca="1">IF('Rent Roll'!$Y13=1,'Rent Roll'!N13,"")</f>
        <v/>
      </c>
      <c r="AG71" s="223"/>
      <c r="AH71" s="6"/>
      <c r="AI71" s="11"/>
      <c r="AJ71" s="1536"/>
      <c r="AK71" s="1537"/>
      <c r="AL71" s="1536"/>
      <c r="AM71" s="1545"/>
      <c r="AN71" s="124"/>
      <c r="AO71" s="11"/>
      <c r="AP71" s="32"/>
    </row>
    <row r="72" spans="1:42" ht="15.95" hidden="1" customHeight="1" x14ac:dyDescent="0.25">
      <c r="A72" s="957">
        <f t="shared" ca="1" si="6"/>
        <v>0</v>
      </c>
      <c r="AA72" s="4"/>
      <c r="AB72" s="5"/>
      <c r="AC72" s="5" t="str">
        <f ca="1">IF('Rent Roll'!$Y14=1,'Rent Roll'!E14,"")</f>
        <v/>
      </c>
      <c r="AD72" s="39" t="str">
        <f ca="1">IF('Rent Roll'!$Y14=1,'Rent Roll'!G14,"")</f>
        <v/>
      </c>
      <c r="AE72" s="1547" t="str">
        <f ca="1">IF('Rent Roll'!$Y14=1,'Rent Roll'!K14,"")</f>
        <v/>
      </c>
      <c r="AF72" s="1551" t="str">
        <f ca="1">IF('Rent Roll'!$Y14=1,'Rent Roll'!N14,"")</f>
        <v/>
      </c>
      <c r="AG72" s="223"/>
      <c r="AH72" s="6"/>
      <c r="AI72" s="11"/>
      <c r="AJ72" s="1536"/>
      <c r="AK72" s="1537"/>
      <c r="AL72" s="1536"/>
      <c r="AM72" s="1545"/>
      <c r="AN72" s="124"/>
      <c r="AO72" s="11"/>
      <c r="AP72" s="32"/>
    </row>
    <row r="73" spans="1:42" ht="15.95" hidden="1" customHeight="1" x14ac:dyDescent="0.25">
      <c r="A73" s="957">
        <f t="shared" ca="1" si="6"/>
        <v>0</v>
      </c>
      <c r="AA73" s="4"/>
      <c r="AB73" s="5"/>
      <c r="AC73" s="5" t="str">
        <f ca="1">IF('Rent Roll'!$Y15=1,'Rent Roll'!E15,"")</f>
        <v/>
      </c>
      <c r="AD73" s="39" t="str">
        <f ca="1">IF('Rent Roll'!$Y15=1,'Rent Roll'!G15,"")</f>
        <v/>
      </c>
      <c r="AE73" s="1547" t="str">
        <f ca="1">IF('Rent Roll'!$Y15=1,'Rent Roll'!K15,"")</f>
        <v/>
      </c>
      <c r="AF73" s="1551" t="str">
        <f ca="1">IF('Rent Roll'!$Y15=1,'Rent Roll'!N15,"")</f>
        <v/>
      </c>
      <c r="AG73" s="223"/>
      <c r="AH73" s="6"/>
      <c r="AI73" s="11"/>
      <c r="AJ73" s="1536"/>
      <c r="AK73" s="1537"/>
      <c r="AL73" s="1536"/>
      <c r="AM73" s="1545"/>
      <c r="AN73" s="124"/>
      <c r="AO73" s="11"/>
      <c r="AP73" s="32"/>
    </row>
    <row r="74" spans="1:42" ht="15.95" hidden="1" customHeight="1" x14ac:dyDescent="0.25">
      <c r="A74" s="957">
        <f t="shared" ca="1" si="6"/>
        <v>0</v>
      </c>
      <c r="AA74" s="4"/>
      <c r="AB74" s="5"/>
      <c r="AC74" s="5" t="str">
        <f ca="1">IF('Rent Roll'!$Y16=1,'Rent Roll'!E16,"")</f>
        <v/>
      </c>
      <c r="AD74" s="39" t="str">
        <f ca="1">IF('Rent Roll'!$Y16=1,'Rent Roll'!G16,"")</f>
        <v/>
      </c>
      <c r="AE74" s="1547" t="str">
        <f ca="1">IF('Rent Roll'!$Y16=1,'Rent Roll'!K16,"")</f>
        <v/>
      </c>
      <c r="AF74" s="1551" t="str">
        <f ca="1">IF('Rent Roll'!$Y16=1,'Rent Roll'!N16,"")</f>
        <v/>
      </c>
      <c r="AG74" s="223"/>
      <c r="AH74" s="6"/>
      <c r="AI74" s="11"/>
      <c r="AJ74" s="1536"/>
      <c r="AK74" s="1537"/>
      <c r="AL74" s="1536"/>
      <c r="AM74" s="1545"/>
      <c r="AN74" s="124"/>
      <c r="AO74" s="11"/>
      <c r="AP74" s="32"/>
    </row>
    <row r="75" spans="1:42" ht="15.95" hidden="1" customHeight="1" x14ac:dyDescent="0.25">
      <c r="A75" s="957">
        <f t="shared" ca="1" si="6"/>
        <v>0</v>
      </c>
      <c r="AA75" s="4"/>
      <c r="AB75" s="5"/>
      <c r="AC75" s="5" t="str">
        <f ca="1">IF('Rent Roll'!$Y17=1,'Rent Roll'!E17,"")</f>
        <v/>
      </c>
      <c r="AD75" s="39" t="str">
        <f ca="1">IF('Rent Roll'!$Y17=1,'Rent Roll'!G17,"")</f>
        <v/>
      </c>
      <c r="AE75" s="1547" t="str">
        <f ca="1">IF('Rent Roll'!$Y17=1,'Rent Roll'!K17,"")</f>
        <v/>
      </c>
      <c r="AF75" s="1551" t="str">
        <f ca="1">IF('Rent Roll'!$Y17=1,'Rent Roll'!N17,"")</f>
        <v/>
      </c>
      <c r="AG75" s="223"/>
      <c r="AH75" s="6"/>
      <c r="AI75" s="11"/>
      <c r="AJ75" s="1536"/>
      <c r="AK75" s="1537"/>
      <c r="AL75" s="1536"/>
      <c r="AM75" s="1545"/>
      <c r="AN75" s="124"/>
      <c r="AO75" s="11"/>
      <c r="AP75" s="32"/>
    </row>
    <row r="76" spans="1:42" ht="15.95" hidden="1" customHeight="1" x14ac:dyDescent="0.25">
      <c r="A76" s="957">
        <f t="shared" ca="1" si="6"/>
        <v>0</v>
      </c>
      <c r="AA76" s="4"/>
      <c r="AB76" s="5"/>
      <c r="AC76" s="5" t="str">
        <f ca="1">IF('Rent Roll'!$Y18=1,'Rent Roll'!E18,"")</f>
        <v/>
      </c>
      <c r="AD76" s="39" t="str">
        <f ca="1">IF('Rent Roll'!$Y18=1,'Rent Roll'!G18,"")</f>
        <v/>
      </c>
      <c r="AE76" s="1547" t="str">
        <f ca="1">IF('Rent Roll'!$Y18=1,'Rent Roll'!K18,"")</f>
        <v/>
      </c>
      <c r="AF76" s="1551" t="str">
        <f ca="1">IF('Rent Roll'!$Y18=1,'Rent Roll'!N18,"")</f>
        <v/>
      </c>
      <c r="AG76" s="223"/>
      <c r="AH76" s="6"/>
      <c r="AI76" s="11"/>
      <c r="AJ76" s="1536"/>
      <c r="AK76" s="1537"/>
      <c r="AL76" s="1536"/>
      <c r="AM76" s="1545"/>
      <c r="AN76" s="124"/>
      <c r="AO76" s="11"/>
      <c r="AP76" s="32"/>
    </row>
    <row r="77" spans="1:42" ht="15.95" hidden="1" customHeight="1" x14ac:dyDescent="0.25">
      <c r="A77" s="957">
        <f t="shared" ca="1" si="6"/>
        <v>0</v>
      </c>
      <c r="AA77" s="4"/>
      <c r="AB77" s="5"/>
      <c r="AC77" s="5" t="str">
        <f ca="1">IF('Rent Roll'!$Y19=1,'Rent Roll'!E19,"")</f>
        <v/>
      </c>
      <c r="AD77" s="39" t="str">
        <f ca="1">IF('Rent Roll'!$Y19=1,'Rent Roll'!G19,"")</f>
        <v/>
      </c>
      <c r="AE77" s="1547" t="str">
        <f ca="1">IF('Rent Roll'!$Y19=1,'Rent Roll'!K19,"")</f>
        <v/>
      </c>
      <c r="AF77" s="1551" t="str">
        <f ca="1">IF('Rent Roll'!$Y19=1,'Rent Roll'!N19,"")</f>
        <v/>
      </c>
      <c r="AG77" s="223"/>
      <c r="AH77" s="6"/>
      <c r="AI77" s="11"/>
      <c r="AJ77" s="1536"/>
      <c r="AK77" s="1537"/>
      <c r="AL77" s="1536"/>
      <c r="AM77" s="1545"/>
      <c r="AN77" s="124"/>
      <c r="AO77" s="11"/>
      <c r="AP77" s="32"/>
    </row>
    <row r="78" spans="1:42" ht="15.95" hidden="1" customHeight="1" x14ac:dyDescent="0.25">
      <c r="A78" s="957">
        <f t="shared" ca="1" si="6"/>
        <v>0</v>
      </c>
      <c r="AA78" s="4"/>
      <c r="AB78" s="5"/>
      <c r="AC78" s="5" t="str">
        <f ca="1">IF('Rent Roll'!$Y20=1,'Rent Roll'!E20,"")</f>
        <v/>
      </c>
      <c r="AD78" s="39" t="str">
        <f ca="1">IF('Rent Roll'!$Y20=1,'Rent Roll'!G20,"")</f>
        <v/>
      </c>
      <c r="AE78" s="1547" t="str">
        <f ca="1">IF('Rent Roll'!$Y20=1,'Rent Roll'!K20,"")</f>
        <v/>
      </c>
      <c r="AF78" s="1551" t="str">
        <f ca="1">IF('Rent Roll'!$Y20=1,'Rent Roll'!N20,"")</f>
        <v/>
      </c>
      <c r="AG78" s="223"/>
      <c r="AH78" s="6"/>
      <c r="AI78" s="11"/>
      <c r="AJ78" s="1536"/>
      <c r="AK78" s="1537"/>
      <c r="AL78" s="1536"/>
      <c r="AM78" s="1545"/>
      <c r="AN78" s="124"/>
      <c r="AO78" s="11"/>
      <c r="AP78" s="32"/>
    </row>
    <row r="79" spans="1:42" ht="15.95" hidden="1" customHeight="1" x14ac:dyDescent="0.25">
      <c r="A79" s="957">
        <f t="shared" ca="1" si="6"/>
        <v>0</v>
      </c>
      <c r="AA79" s="4"/>
      <c r="AB79" s="5"/>
      <c r="AC79" s="5" t="str">
        <f ca="1">IF('Rent Roll'!$Y21=1,'Rent Roll'!E21,"")</f>
        <v/>
      </c>
      <c r="AD79" s="39" t="str">
        <f ca="1">IF('Rent Roll'!$Y21=1,'Rent Roll'!G21,"")</f>
        <v/>
      </c>
      <c r="AE79" s="1547" t="str">
        <f ca="1">IF('Rent Roll'!$Y21=1,'Rent Roll'!K21,"")</f>
        <v/>
      </c>
      <c r="AF79" s="1551" t="str">
        <f ca="1">IF('Rent Roll'!$Y21=1,'Rent Roll'!N21,"")</f>
        <v/>
      </c>
      <c r="AG79" s="223"/>
      <c r="AH79" s="6"/>
      <c r="AI79" s="11"/>
      <c r="AJ79" s="1536"/>
      <c r="AK79" s="1537"/>
      <c r="AL79" s="1536"/>
      <c r="AM79" s="1545"/>
      <c r="AN79" s="124"/>
      <c r="AO79" s="11"/>
      <c r="AP79" s="32"/>
    </row>
    <row r="80" spans="1:42" ht="15.95" hidden="1" customHeight="1" x14ac:dyDescent="0.25">
      <c r="A80" s="957">
        <f t="shared" ca="1" si="6"/>
        <v>0</v>
      </c>
      <c r="AA80" s="4"/>
      <c r="AB80" s="5"/>
      <c r="AC80" s="5" t="str">
        <f ca="1">IF('Rent Roll'!$Y22=1,'Rent Roll'!E22,"")</f>
        <v/>
      </c>
      <c r="AD80" s="39" t="str">
        <f ca="1">IF('Rent Roll'!$Y22=1,'Rent Roll'!G22,"")</f>
        <v/>
      </c>
      <c r="AE80" s="1547" t="str">
        <f ca="1">IF('Rent Roll'!$Y22=1,'Rent Roll'!K22,"")</f>
        <v/>
      </c>
      <c r="AF80" s="1551" t="str">
        <f ca="1">IF('Rent Roll'!$Y22=1,'Rent Roll'!N22,"")</f>
        <v/>
      </c>
      <c r="AG80" s="223"/>
      <c r="AH80" s="6"/>
      <c r="AI80" s="11"/>
      <c r="AJ80" s="1536"/>
      <c r="AK80" s="1537"/>
      <c r="AL80" s="1536"/>
      <c r="AM80" s="1545"/>
      <c r="AN80" s="124"/>
      <c r="AO80" s="11"/>
      <c r="AP80" s="32"/>
    </row>
    <row r="81" spans="1:42" ht="15.95" hidden="1" customHeight="1" x14ac:dyDescent="0.25">
      <c r="A81" s="957">
        <f t="shared" ca="1" si="6"/>
        <v>0</v>
      </c>
      <c r="AA81" s="4"/>
      <c r="AB81" s="5"/>
      <c r="AC81" s="5" t="str">
        <f ca="1">IF('Rent Roll'!$Y23=1,'Rent Roll'!E23,"")</f>
        <v/>
      </c>
      <c r="AD81" s="39" t="str">
        <f ca="1">IF('Rent Roll'!$Y23=1,'Rent Roll'!G23,"")</f>
        <v/>
      </c>
      <c r="AE81" s="1547" t="str">
        <f ca="1">IF('Rent Roll'!$Y23=1,'Rent Roll'!K23,"")</f>
        <v/>
      </c>
      <c r="AF81" s="1551" t="str">
        <f ca="1">IF('Rent Roll'!$Y23=1,'Rent Roll'!N23,"")</f>
        <v/>
      </c>
      <c r="AG81" s="223"/>
      <c r="AH81" s="6"/>
      <c r="AI81" s="11"/>
      <c r="AJ81" s="1536"/>
      <c r="AK81" s="1537"/>
      <c r="AL81" s="1536"/>
      <c r="AM81" s="1545"/>
      <c r="AN81" s="124"/>
      <c r="AO81" s="11"/>
      <c r="AP81" s="32"/>
    </row>
    <row r="82" spans="1:42" ht="15.95" hidden="1" customHeight="1" x14ac:dyDescent="0.25">
      <c r="A82" s="957">
        <f t="shared" ca="1" si="6"/>
        <v>0</v>
      </c>
      <c r="AA82" s="4"/>
      <c r="AB82" s="5"/>
      <c r="AC82" s="5" t="str">
        <f ca="1">IF('Rent Roll'!$Y24=1,'Rent Roll'!E24,"")</f>
        <v/>
      </c>
      <c r="AD82" s="39" t="str">
        <f ca="1">IF('Rent Roll'!$Y24=1,'Rent Roll'!G24,"")</f>
        <v/>
      </c>
      <c r="AE82" s="1547" t="str">
        <f ca="1">IF('Rent Roll'!$Y24=1,'Rent Roll'!K24,"")</f>
        <v/>
      </c>
      <c r="AF82" s="1551" t="str">
        <f ca="1">IF('Rent Roll'!$Y24=1,'Rent Roll'!N24,"")</f>
        <v/>
      </c>
      <c r="AG82" s="223"/>
      <c r="AH82" s="6"/>
      <c r="AI82" s="11"/>
      <c r="AJ82" s="1536"/>
      <c r="AK82" s="1537"/>
      <c r="AL82" s="1536"/>
      <c r="AM82" s="1545"/>
      <c r="AN82" s="124"/>
      <c r="AO82" s="11"/>
      <c r="AP82" s="32"/>
    </row>
    <row r="83" spans="1:42" ht="15.95" hidden="1" customHeight="1" x14ac:dyDescent="0.25">
      <c r="A83" s="957">
        <f t="shared" ca="1" si="6"/>
        <v>0</v>
      </c>
      <c r="AA83" s="4"/>
      <c r="AB83" s="5"/>
      <c r="AC83" s="5" t="str">
        <f ca="1">IF('Rent Roll'!$Y25=1,'Rent Roll'!E25,"")</f>
        <v/>
      </c>
      <c r="AD83" s="39" t="str">
        <f ca="1">IF('Rent Roll'!$Y25=1,'Rent Roll'!G25,"")</f>
        <v/>
      </c>
      <c r="AE83" s="1547" t="str">
        <f ca="1">IF('Rent Roll'!$Y25=1,'Rent Roll'!K25,"")</f>
        <v/>
      </c>
      <c r="AF83" s="1551" t="str">
        <f ca="1">IF('Rent Roll'!$Y25=1,'Rent Roll'!N25,"")</f>
        <v/>
      </c>
      <c r="AG83" s="223"/>
      <c r="AH83" s="6"/>
      <c r="AI83" s="11"/>
      <c r="AJ83" s="1536"/>
      <c r="AK83" s="1537"/>
      <c r="AL83" s="1536"/>
      <c r="AM83" s="1545"/>
      <c r="AN83" s="124"/>
      <c r="AO83" s="11"/>
      <c r="AP83" s="32"/>
    </row>
    <row r="84" spans="1:42" ht="15.95" hidden="1" customHeight="1" x14ac:dyDescent="0.25">
      <c r="A84" s="957">
        <f t="shared" ca="1" si="6"/>
        <v>0</v>
      </c>
      <c r="AA84" s="4"/>
      <c r="AB84" s="5"/>
      <c r="AC84" s="5" t="str">
        <f ca="1">IF('Rent Roll'!$Y26=1,'Rent Roll'!E26,"")</f>
        <v/>
      </c>
      <c r="AD84" s="39" t="str">
        <f ca="1">IF('Rent Roll'!$Y26=1,'Rent Roll'!G26,"")</f>
        <v/>
      </c>
      <c r="AE84" s="1547" t="str">
        <f ca="1">IF('Rent Roll'!$Y26=1,'Rent Roll'!K26,"")</f>
        <v/>
      </c>
      <c r="AF84" s="1551" t="str">
        <f ca="1">IF('Rent Roll'!$Y26=1,'Rent Roll'!N26,"")</f>
        <v/>
      </c>
      <c r="AG84" s="223"/>
      <c r="AH84" s="6"/>
      <c r="AI84" s="11"/>
      <c r="AJ84" s="1536"/>
      <c r="AK84" s="1537"/>
      <c r="AL84" s="1536"/>
      <c r="AM84" s="1545"/>
      <c r="AN84" s="124"/>
      <c r="AO84" s="11"/>
      <c r="AP84" s="32"/>
    </row>
    <row r="85" spans="1:42" ht="15.95" hidden="1" customHeight="1" x14ac:dyDescent="0.25">
      <c r="A85" s="957">
        <f t="shared" ca="1" si="6"/>
        <v>0</v>
      </c>
      <c r="AA85" s="4"/>
      <c r="AB85" s="5"/>
      <c r="AC85" s="5" t="str">
        <f ca="1">IF('Rent Roll'!$Y27=1,'Rent Roll'!E27,"")</f>
        <v/>
      </c>
      <c r="AD85" s="39" t="str">
        <f ca="1">IF('Rent Roll'!$Y27=1,'Rent Roll'!G27,"")</f>
        <v/>
      </c>
      <c r="AE85" s="1547" t="str">
        <f ca="1">IF('Rent Roll'!$Y27=1,'Rent Roll'!K27,"")</f>
        <v/>
      </c>
      <c r="AF85" s="1551" t="str">
        <f ca="1">IF('Rent Roll'!$Y27=1,'Rent Roll'!N27,"")</f>
        <v/>
      </c>
      <c r="AG85" s="223"/>
      <c r="AH85" s="6"/>
      <c r="AI85" s="11"/>
      <c r="AJ85" s="1536"/>
      <c r="AK85" s="1537"/>
      <c r="AL85" s="1536"/>
      <c r="AM85" s="1545"/>
      <c r="AN85" s="124"/>
      <c r="AO85" s="11"/>
      <c r="AP85" s="32"/>
    </row>
    <row r="86" spans="1:42" ht="15.95" hidden="1" customHeight="1" x14ac:dyDescent="0.25">
      <c r="A86" s="957">
        <f t="shared" ca="1" si="6"/>
        <v>0</v>
      </c>
      <c r="AA86" s="4"/>
      <c r="AB86" s="5"/>
      <c r="AC86" s="5" t="str">
        <f ca="1">IF('Rent Roll'!$Y28=1,'Rent Roll'!E28,"")</f>
        <v/>
      </c>
      <c r="AD86" s="39" t="str">
        <f ca="1">IF('Rent Roll'!$Y28=1,'Rent Roll'!G28,"")</f>
        <v/>
      </c>
      <c r="AE86" s="1547" t="str">
        <f ca="1">IF('Rent Roll'!$Y28=1,'Rent Roll'!K28,"")</f>
        <v/>
      </c>
      <c r="AF86" s="1551" t="str">
        <f ca="1">IF('Rent Roll'!$Y28=1,'Rent Roll'!N28,"")</f>
        <v/>
      </c>
      <c r="AG86" s="223"/>
      <c r="AH86" s="6"/>
      <c r="AI86" s="11"/>
      <c r="AJ86" s="1536"/>
      <c r="AK86" s="1537"/>
      <c r="AL86" s="1536"/>
      <c r="AM86" s="1545"/>
      <c r="AN86" s="124"/>
      <c r="AO86" s="11"/>
      <c r="AP86" s="32"/>
    </row>
    <row r="87" spans="1:42" ht="15.95" hidden="1" customHeight="1" x14ac:dyDescent="0.25">
      <c r="A87" s="957">
        <f t="shared" ca="1" si="6"/>
        <v>0</v>
      </c>
      <c r="AA87" s="4"/>
      <c r="AB87" s="5"/>
      <c r="AC87" s="5" t="str">
        <f ca="1">IF('Rent Roll'!$Y29=1,'Rent Roll'!E29,"")</f>
        <v/>
      </c>
      <c r="AD87" s="39" t="str">
        <f ca="1">IF('Rent Roll'!$Y29=1,'Rent Roll'!G29,"")</f>
        <v/>
      </c>
      <c r="AE87" s="1547" t="str">
        <f ca="1">IF('Rent Roll'!$Y29=1,'Rent Roll'!K29,"")</f>
        <v/>
      </c>
      <c r="AF87" s="1551" t="str">
        <f ca="1">IF('Rent Roll'!$Y29=1,'Rent Roll'!N29,"")</f>
        <v/>
      </c>
      <c r="AG87" s="223"/>
      <c r="AH87" s="6"/>
      <c r="AI87" s="11"/>
      <c r="AJ87" s="1536"/>
      <c r="AK87" s="1537"/>
      <c r="AL87" s="1536"/>
      <c r="AM87" s="1545"/>
      <c r="AN87" s="124"/>
      <c r="AO87" s="11"/>
      <c r="AP87" s="32"/>
    </row>
    <row r="88" spans="1:42" ht="15.95" hidden="1" customHeight="1" x14ac:dyDescent="0.25">
      <c r="A88" s="957">
        <f t="shared" ca="1" si="6"/>
        <v>0</v>
      </c>
      <c r="AA88" s="4"/>
      <c r="AB88" s="5"/>
      <c r="AC88" s="5" t="str">
        <f ca="1">IF('Rent Roll'!$Y30=1,'Rent Roll'!E30,"")</f>
        <v/>
      </c>
      <c r="AD88" s="39" t="str">
        <f ca="1">IF('Rent Roll'!$Y30=1,'Rent Roll'!G30,"")</f>
        <v/>
      </c>
      <c r="AE88" s="1547" t="str">
        <f ca="1">IF('Rent Roll'!$Y30=1,'Rent Roll'!K30,"")</f>
        <v/>
      </c>
      <c r="AF88" s="1551" t="str">
        <f ca="1">IF('Rent Roll'!$Y30=1,'Rent Roll'!N30,"")</f>
        <v/>
      </c>
      <c r="AG88" s="223"/>
      <c r="AH88" s="6"/>
      <c r="AI88" s="11"/>
      <c r="AJ88" s="1536"/>
      <c r="AK88" s="1537"/>
      <c r="AL88" s="1536"/>
      <c r="AM88" s="1545"/>
      <c r="AN88" s="124"/>
      <c r="AO88" s="11"/>
      <c r="AP88" s="32"/>
    </row>
    <row r="89" spans="1:42" ht="15.95" hidden="1" customHeight="1" x14ac:dyDescent="0.25">
      <c r="A89" s="957">
        <f t="shared" ca="1" si="6"/>
        <v>0</v>
      </c>
      <c r="AA89" s="4"/>
      <c r="AB89" s="5"/>
      <c r="AC89" s="5" t="str">
        <f ca="1">IF('Rent Roll'!$Y31=1,'Rent Roll'!E31,"")</f>
        <v/>
      </c>
      <c r="AD89" s="39" t="str">
        <f ca="1">IF('Rent Roll'!$Y31=1,'Rent Roll'!G31,"")</f>
        <v/>
      </c>
      <c r="AE89" s="1547" t="str">
        <f ca="1">IF('Rent Roll'!$Y31=1,'Rent Roll'!K31,"")</f>
        <v/>
      </c>
      <c r="AF89" s="1551" t="str">
        <f ca="1">IF('Rent Roll'!$Y31=1,'Rent Roll'!N31,"")</f>
        <v/>
      </c>
      <c r="AG89" s="223"/>
      <c r="AH89" s="6"/>
      <c r="AI89" s="11"/>
      <c r="AJ89" s="1536"/>
      <c r="AK89" s="1537"/>
      <c r="AL89" s="1536"/>
      <c r="AM89" s="1545"/>
      <c r="AN89" s="124"/>
      <c r="AO89" s="11"/>
      <c r="AP89" s="32"/>
    </row>
    <row r="90" spans="1:42" ht="15.95" hidden="1" customHeight="1" x14ac:dyDescent="0.25">
      <c r="A90" s="957">
        <f t="shared" ca="1" si="6"/>
        <v>0</v>
      </c>
      <c r="AA90" s="4"/>
      <c r="AB90" s="5"/>
      <c r="AC90" s="5" t="str">
        <f ca="1">IF('Rent Roll'!$Y32=1,'Rent Roll'!E32,"")</f>
        <v/>
      </c>
      <c r="AD90" s="39" t="str">
        <f ca="1">IF('Rent Roll'!$Y32=1,'Rent Roll'!G32,"")</f>
        <v/>
      </c>
      <c r="AE90" s="1547" t="str">
        <f ca="1">IF('Rent Roll'!$Y32=1,'Rent Roll'!K32,"")</f>
        <v/>
      </c>
      <c r="AF90" s="1551" t="str">
        <f ca="1">IF('Rent Roll'!$Y32=1,'Rent Roll'!N32,"")</f>
        <v/>
      </c>
      <c r="AG90" s="223"/>
      <c r="AH90" s="6"/>
      <c r="AI90" s="11"/>
      <c r="AJ90" s="1536"/>
      <c r="AK90" s="1537"/>
      <c r="AL90" s="1536"/>
      <c r="AM90" s="1545"/>
      <c r="AN90" s="124"/>
      <c r="AO90" s="11"/>
      <c r="AP90" s="32"/>
    </row>
    <row r="91" spans="1:42" ht="15.95" hidden="1" customHeight="1" x14ac:dyDescent="0.25">
      <c r="A91" s="957">
        <f t="shared" ca="1" si="6"/>
        <v>0</v>
      </c>
      <c r="AA91" s="4"/>
      <c r="AB91" s="5"/>
      <c r="AC91" s="5" t="str">
        <f ca="1">IF('Rent Roll'!$Y33=1,'Rent Roll'!E33,"")</f>
        <v/>
      </c>
      <c r="AD91" s="39" t="str">
        <f ca="1">IF('Rent Roll'!$Y33=1,'Rent Roll'!G33,"")</f>
        <v/>
      </c>
      <c r="AE91" s="1547" t="str">
        <f ca="1">IF('Rent Roll'!$Y33=1,'Rent Roll'!K33,"")</f>
        <v/>
      </c>
      <c r="AF91" s="1551" t="str">
        <f ca="1">IF('Rent Roll'!$Y33=1,'Rent Roll'!N33,"")</f>
        <v/>
      </c>
      <c r="AG91" s="223"/>
      <c r="AH91" s="6"/>
      <c r="AI91" s="11"/>
      <c r="AJ91" s="1536"/>
      <c r="AK91" s="1537"/>
      <c r="AL91" s="1536"/>
      <c r="AM91" s="1545"/>
      <c r="AN91" s="124"/>
      <c r="AO91" s="11"/>
      <c r="AP91" s="32"/>
    </row>
    <row r="92" spans="1:42" ht="15.95" hidden="1" customHeight="1" x14ac:dyDescent="0.25">
      <c r="A92" s="957">
        <f t="shared" ca="1" si="6"/>
        <v>0</v>
      </c>
      <c r="AA92" s="4"/>
      <c r="AB92" s="5"/>
      <c r="AC92" s="5" t="str">
        <f ca="1">IF('Rent Roll'!$Y34=1,'Rent Roll'!E34,"")</f>
        <v/>
      </c>
      <c r="AD92" s="39" t="str">
        <f ca="1">IF('Rent Roll'!$Y34=1,'Rent Roll'!G34,"")</f>
        <v/>
      </c>
      <c r="AE92" s="1547" t="str">
        <f ca="1">IF('Rent Roll'!$Y34=1,'Rent Roll'!K34,"")</f>
        <v/>
      </c>
      <c r="AF92" s="1551" t="str">
        <f ca="1">IF('Rent Roll'!$Y34=1,'Rent Roll'!N34,"")</f>
        <v/>
      </c>
      <c r="AG92" s="223"/>
      <c r="AH92" s="6"/>
      <c r="AI92" s="11"/>
      <c r="AJ92" s="1536"/>
      <c r="AK92" s="1537"/>
      <c r="AL92" s="1536"/>
      <c r="AM92" s="1545"/>
      <c r="AN92" s="124"/>
      <c r="AO92" s="11"/>
      <c r="AP92" s="32"/>
    </row>
    <row r="93" spans="1:42" ht="15.95" hidden="1" customHeight="1" x14ac:dyDescent="0.25">
      <c r="A93" s="957">
        <f t="shared" ca="1" si="6"/>
        <v>0</v>
      </c>
      <c r="AA93" s="4"/>
      <c r="AB93" s="5"/>
      <c r="AC93" s="5" t="str">
        <f ca="1">IF('Rent Roll'!$Y35=1,'Rent Roll'!E35,"")</f>
        <v/>
      </c>
      <c r="AD93" s="39" t="str">
        <f ca="1">IF('Rent Roll'!$Y35=1,'Rent Roll'!G35,"")</f>
        <v/>
      </c>
      <c r="AE93" s="1547" t="str">
        <f ca="1">IF('Rent Roll'!$Y35=1,'Rent Roll'!K35,"")</f>
        <v/>
      </c>
      <c r="AF93" s="1551" t="str">
        <f ca="1">IF('Rent Roll'!$Y35=1,'Rent Roll'!N35,"")</f>
        <v/>
      </c>
      <c r="AG93" s="223"/>
      <c r="AH93" s="6"/>
      <c r="AI93" s="11"/>
      <c r="AJ93" s="1536"/>
      <c r="AK93" s="1537"/>
      <c r="AL93" s="1536"/>
      <c r="AM93" s="1545"/>
      <c r="AN93" s="124"/>
      <c r="AO93" s="11"/>
      <c r="AP93" s="32"/>
    </row>
    <row r="94" spans="1:42" ht="15.95" hidden="1" customHeight="1" x14ac:dyDescent="0.25">
      <c r="A94" s="957">
        <f t="shared" ca="1" si="6"/>
        <v>0</v>
      </c>
      <c r="AA94" s="4"/>
      <c r="AB94" s="5"/>
      <c r="AC94" s="5" t="str">
        <f ca="1">IF('Rent Roll'!$Y36=1,'Rent Roll'!E36,"")</f>
        <v/>
      </c>
      <c r="AD94" s="39" t="str">
        <f ca="1">IF('Rent Roll'!$Y36=1,'Rent Roll'!G36,"")</f>
        <v/>
      </c>
      <c r="AE94" s="1547" t="str">
        <f ca="1">IF('Rent Roll'!$Y36=1,'Rent Roll'!K36,"")</f>
        <v/>
      </c>
      <c r="AF94" s="1551" t="str">
        <f ca="1">IF('Rent Roll'!$Y36=1,'Rent Roll'!N36,"")</f>
        <v/>
      </c>
      <c r="AG94" s="223"/>
      <c r="AH94" s="6"/>
      <c r="AI94" s="11"/>
      <c r="AJ94" s="1536"/>
      <c r="AK94" s="1537"/>
      <c r="AL94" s="1536"/>
      <c r="AM94" s="1545"/>
      <c r="AN94" s="124"/>
      <c r="AO94" s="11"/>
      <c r="AP94" s="32"/>
    </row>
    <row r="95" spans="1:42" ht="15.95" hidden="1" customHeight="1" x14ac:dyDescent="0.25">
      <c r="A95" s="957">
        <f t="shared" ca="1" si="6"/>
        <v>0</v>
      </c>
      <c r="AA95" s="4"/>
      <c r="AB95" s="5"/>
      <c r="AC95" s="5" t="str">
        <f ca="1">IF('Rent Roll'!$Y37=1,'Rent Roll'!E37,"")</f>
        <v/>
      </c>
      <c r="AD95" s="39" t="str">
        <f ca="1">IF('Rent Roll'!$Y37=1,'Rent Roll'!G37,"")</f>
        <v/>
      </c>
      <c r="AE95" s="1547" t="str">
        <f ca="1">IF('Rent Roll'!$Y37=1,'Rent Roll'!K37,"")</f>
        <v/>
      </c>
      <c r="AF95" s="1551" t="str">
        <f ca="1">IF('Rent Roll'!$Y37=1,'Rent Roll'!N37,"")</f>
        <v/>
      </c>
      <c r="AG95" s="223"/>
      <c r="AH95" s="6"/>
      <c r="AI95" s="11"/>
      <c r="AJ95" s="1536"/>
      <c r="AK95" s="1537"/>
      <c r="AL95" s="1536"/>
      <c r="AM95" s="1545"/>
      <c r="AN95" s="124"/>
      <c r="AO95" s="11"/>
      <c r="AP95" s="32"/>
    </row>
    <row r="96" spans="1:42" ht="15.95" hidden="1" customHeight="1" x14ac:dyDescent="0.25">
      <c r="A96" s="957">
        <f t="shared" ca="1" si="6"/>
        <v>0</v>
      </c>
      <c r="AA96" s="4"/>
      <c r="AB96" s="5"/>
      <c r="AC96" s="5" t="str">
        <f ca="1">IF('Rent Roll'!$Y38=1,'Rent Roll'!E38,"")</f>
        <v/>
      </c>
      <c r="AD96" s="39" t="str">
        <f ca="1">IF('Rent Roll'!$Y38=1,'Rent Roll'!G38,"")</f>
        <v/>
      </c>
      <c r="AE96" s="1547" t="str">
        <f ca="1">IF('Rent Roll'!$Y38=1,'Rent Roll'!K38,"")</f>
        <v/>
      </c>
      <c r="AF96" s="1551" t="str">
        <f ca="1">IF('Rent Roll'!$Y38=1,'Rent Roll'!N38,"")</f>
        <v/>
      </c>
      <c r="AG96" s="223"/>
      <c r="AH96" s="6"/>
      <c r="AI96" s="11"/>
      <c r="AJ96" s="1536"/>
      <c r="AK96" s="1537"/>
      <c r="AL96" s="1536"/>
      <c r="AM96" s="1545"/>
      <c r="AN96" s="124"/>
      <c r="AO96" s="11"/>
      <c r="AP96" s="32"/>
    </row>
    <row r="97" spans="1:42" ht="15.95" hidden="1" customHeight="1" x14ac:dyDescent="0.25">
      <c r="A97" s="957">
        <f t="shared" ca="1" si="6"/>
        <v>0</v>
      </c>
      <c r="AA97" s="4"/>
      <c r="AB97" s="5"/>
      <c r="AC97" s="5" t="str">
        <f ca="1">IF('Rent Roll'!$Y39=1,'Rent Roll'!E39,"")</f>
        <v/>
      </c>
      <c r="AD97" s="39" t="str">
        <f ca="1">IF('Rent Roll'!$Y39=1,'Rent Roll'!G39,"")</f>
        <v/>
      </c>
      <c r="AE97" s="1547" t="str">
        <f ca="1">IF('Rent Roll'!$Y39=1,'Rent Roll'!K39,"")</f>
        <v/>
      </c>
      <c r="AF97" s="1551" t="str">
        <f ca="1">IF('Rent Roll'!$Y39=1,'Rent Roll'!N39,"")</f>
        <v/>
      </c>
      <c r="AG97" s="223"/>
      <c r="AH97" s="6"/>
      <c r="AI97" s="11"/>
      <c r="AJ97" s="1536"/>
      <c r="AK97" s="1537"/>
      <c r="AL97" s="1536"/>
      <c r="AM97" s="1545"/>
      <c r="AN97" s="124"/>
      <c r="AO97" s="11"/>
      <c r="AP97" s="32"/>
    </row>
    <row r="98" spans="1:42" ht="15.95" hidden="1" customHeight="1" x14ac:dyDescent="0.25">
      <c r="A98" s="957">
        <f t="shared" ca="1" si="6"/>
        <v>0</v>
      </c>
      <c r="AA98" s="4"/>
      <c r="AB98" s="5"/>
      <c r="AC98" s="5" t="str">
        <f ca="1">IF('Rent Roll'!$Y40=1,'Rent Roll'!E40,"")</f>
        <v/>
      </c>
      <c r="AD98" s="39" t="str">
        <f ca="1">IF('Rent Roll'!$Y40=1,'Rent Roll'!G40,"")</f>
        <v/>
      </c>
      <c r="AE98" s="1547" t="str">
        <f ca="1">IF('Rent Roll'!$Y40=1,'Rent Roll'!K40,"")</f>
        <v/>
      </c>
      <c r="AF98" s="1551" t="str">
        <f ca="1">IF('Rent Roll'!$Y40=1,'Rent Roll'!N40,"")</f>
        <v/>
      </c>
      <c r="AG98" s="223"/>
      <c r="AH98" s="6"/>
      <c r="AI98" s="11"/>
      <c r="AJ98" s="1536"/>
      <c r="AK98" s="1537"/>
      <c r="AL98" s="1536"/>
      <c r="AM98" s="1545"/>
      <c r="AN98" s="124"/>
      <c r="AO98" s="11"/>
      <c r="AP98" s="32"/>
    </row>
    <row r="99" spans="1:42" ht="15.95" hidden="1" customHeight="1" x14ac:dyDescent="0.25">
      <c r="A99" s="957">
        <f t="shared" ca="1" si="6"/>
        <v>0</v>
      </c>
      <c r="AA99" s="4"/>
      <c r="AB99" s="5"/>
      <c r="AC99" s="5" t="str">
        <f ca="1">IF('Rent Roll'!$Y41=1,'Rent Roll'!E41,"")</f>
        <v/>
      </c>
      <c r="AD99" s="39" t="str">
        <f ca="1">IF('Rent Roll'!$Y41=1,'Rent Roll'!G41,"")</f>
        <v/>
      </c>
      <c r="AE99" s="1547" t="str">
        <f ca="1">IF('Rent Roll'!$Y41=1,'Rent Roll'!K41,"")</f>
        <v/>
      </c>
      <c r="AF99" s="1551" t="str">
        <f ca="1">IF('Rent Roll'!$Y41=1,'Rent Roll'!N41,"")</f>
        <v/>
      </c>
      <c r="AG99" s="223"/>
      <c r="AH99" s="6"/>
      <c r="AI99" s="11"/>
      <c r="AJ99" s="1536"/>
      <c r="AK99" s="1537"/>
      <c r="AL99" s="1536"/>
      <c r="AM99" s="1545"/>
      <c r="AN99" s="124"/>
      <c r="AO99" s="11"/>
      <c r="AP99" s="32"/>
    </row>
    <row r="100" spans="1:42" ht="15.95" hidden="1" customHeight="1" x14ac:dyDescent="0.25">
      <c r="A100" s="957">
        <f t="shared" ca="1" si="6"/>
        <v>0</v>
      </c>
      <c r="AA100" s="4"/>
      <c r="AB100" s="5"/>
      <c r="AC100" s="5" t="str">
        <f ca="1">IF('Rent Roll'!$Y42=1,'Rent Roll'!E42,"")</f>
        <v/>
      </c>
      <c r="AD100" s="39" t="str">
        <f ca="1">IF('Rent Roll'!$Y42=1,'Rent Roll'!G42,"")</f>
        <v/>
      </c>
      <c r="AE100" s="1547" t="str">
        <f ca="1">IF('Rent Roll'!$Y42=1,'Rent Roll'!K42,"")</f>
        <v/>
      </c>
      <c r="AF100" s="1551" t="str">
        <f ca="1">IF('Rent Roll'!$Y42=1,'Rent Roll'!N42,"")</f>
        <v/>
      </c>
      <c r="AG100" s="223"/>
      <c r="AH100" s="6"/>
      <c r="AI100" s="11"/>
      <c r="AJ100" s="1536"/>
      <c r="AK100" s="1537"/>
      <c r="AL100" s="1536"/>
      <c r="AM100" s="1545"/>
      <c r="AN100" s="124"/>
      <c r="AO100" s="11"/>
      <c r="AP100" s="32"/>
    </row>
    <row r="101" spans="1:42" ht="15.95" hidden="1" customHeight="1" x14ac:dyDescent="0.25">
      <c r="A101" s="957">
        <f t="shared" ca="1" si="6"/>
        <v>0</v>
      </c>
      <c r="AA101" s="4"/>
      <c r="AB101" s="5"/>
      <c r="AC101" s="5" t="str">
        <f ca="1">IF('Rent Roll'!$Y43=1,'Rent Roll'!E43,"")</f>
        <v/>
      </c>
      <c r="AD101" s="39" t="str">
        <f ca="1">IF('Rent Roll'!$Y43=1,'Rent Roll'!G43,"")</f>
        <v/>
      </c>
      <c r="AE101" s="1547" t="str">
        <f ca="1">IF('Rent Roll'!$Y43=1,'Rent Roll'!K43,"")</f>
        <v/>
      </c>
      <c r="AF101" s="1551" t="str">
        <f ca="1">IF('Rent Roll'!$Y43=1,'Rent Roll'!N43,"")</f>
        <v/>
      </c>
      <c r="AG101" s="223"/>
      <c r="AH101" s="6"/>
      <c r="AI101" s="11"/>
      <c r="AJ101" s="1536"/>
      <c r="AK101" s="1537"/>
      <c r="AL101" s="1536"/>
      <c r="AM101" s="1545"/>
      <c r="AN101" s="124"/>
      <c r="AO101" s="11"/>
      <c r="AP101" s="32"/>
    </row>
    <row r="102" spans="1:42" ht="15.95" hidden="1" customHeight="1" x14ac:dyDescent="0.25">
      <c r="A102" s="957">
        <f t="shared" ca="1" si="6"/>
        <v>0</v>
      </c>
      <c r="AA102" s="4"/>
      <c r="AB102" s="5"/>
      <c r="AC102" s="5" t="str">
        <f ca="1">IF('Rent Roll'!$Y44=1,'Rent Roll'!E44,"")</f>
        <v/>
      </c>
      <c r="AD102" s="39" t="str">
        <f ca="1">IF('Rent Roll'!$Y44=1,'Rent Roll'!G44,"")</f>
        <v/>
      </c>
      <c r="AE102" s="1547" t="str">
        <f ca="1">IF('Rent Roll'!$Y44=1,'Rent Roll'!K44,"")</f>
        <v/>
      </c>
      <c r="AF102" s="1551" t="str">
        <f ca="1">IF('Rent Roll'!$Y44=1,'Rent Roll'!N44,"")</f>
        <v/>
      </c>
      <c r="AG102" s="223"/>
      <c r="AH102" s="6"/>
      <c r="AI102" s="11"/>
      <c r="AJ102" s="1536"/>
      <c r="AK102" s="1537"/>
      <c r="AL102" s="1536"/>
      <c r="AM102" s="1545"/>
      <c r="AN102" s="124"/>
      <c r="AO102" s="11"/>
      <c r="AP102" s="32"/>
    </row>
    <row r="103" spans="1:42" ht="15.95" hidden="1" customHeight="1" x14ac:dyDescent="0.25">
      <c r="A103" s="957">
        <f t="shared" ca="1" si="6"/>
        <v>0</v>
      </c>
      <c r="AA103" s="4"/>
      <c r="AB103" s="5"/>
      <c r="AC103" s="5" t="str">
        <f ca="1">IF('Rent Roll'!$Y45=1,'Rent Roll'!E45,"")</f>
        <v/>
      </c>
      <c r="AD103" s="39" t="str">
        <f ca="1">IF('Rent Roll'!$Y45=1,'Rent Roll'!G45,"")</f>
        <v/>
      </c>
      <c r="AE103" s="1547" t="str">
        <f ca="1">IF('Rent Roll'!$Y45=1,'Rent Roll'!K45,"")</f>
        <v/>
      </c>
      <c r="AF103" s="1551" t="str">
        <f ca="1">IF('Rent Roll'!$Y45=1,'Rent Roll'!N45,"")</f>
        <v/>
      </c>
      <c r="AG103" s="223"/>
      <c r="AH103" s="6"/>
      <c r="AI103" s="11"/>
      <c r="AJ103" s="1536"/>
      <c r="AK103" s="1537"/>
      <c r="AL103" s="1536"/>
      <c r="AM103" s="1545"/>
      <c r="AN103" s="124"/>
      <c r="AO103" s="11"/>
      <c r="AP103" s="32"/>
    </row>
    <row r="104" spans="1:42" ht="15.95" hidden="1" customHeight="1" x14ac:dyDescent="0.25">
      <c r="A104" s="957">
        <f t="shared" ca="1" si="6"/>
        <v>0</v>
      </c>
      <c r="AA104" s="4"/>
      <c r="AB104" s="5"/>
      <c r="AC104" s="5" t="str">
        <f ca="1">IF('Rent Roll'!$Y46=1,'Rent Roll'!E46,"")</f>
        <v/>
      </c>
      <c r="AD104" s="39" t="str">
        <f ca="1">IF('Rent Roll'!$Y46=1,'Rent Roll'!G46,"")</f>
        <v/>
      </c>
      <c r="AE104" s="1547" t="str">
        <f ca="1">IF('Rent Roll'!$Y46=1,'Rent Roll'!K46,"")</f>
        <v/>
      </c>
      <c r="AF104" s="1551" t="str">
        <f ca="1">IF('Rent Roll'!$Y46=1,'Rent Roll'!N46,"")</f>
        <v/>
      </c>
      <c r="AG104" s="223"/>
      <c r="AH104" s="6"/>
      <c r="AI104" s="11"/>
      <c r="AJ104" s="1536"/>
      <c r="AK104" s="1537"/>
      <c r="AL104" s="1536"/>
      <c r="AM104" s="1545"/>
      <c r="AN104" s="124"/>
      <c r="AO104" s="11"/>
      <c r="AP104" s="32"/>
    </row>
    <row r="105" spans="1:42" ht="15.95" hidden="1" customHeight="1" x14ac:dyDescent="0.25">
      <c r="A105" s="957">
        <f t="shared" ca="1" si="6"/>
        <v>0</v>
      </c>
      <c r="AA105" s="4"/>
      <c r="AB105" s="5"/>
      <c r="AC105" s="5" t="str">
        <f ca="1">IF('Rent Roll'!$Y47=1,'Rent Roll'!E47,"")</f>
        <v/>
      </c>
      <c r="AD105" s="39" t="str">
        <f ca="1">IF('Rent Roll'!$Y47=1,'Rent Roll'!G47,"")</f>
        <v/>
      </c>
      <c r="AE105" s="1547" t="str">
        <f ca="1">IF('Rent Roll'!$Y47=1,'Rent Roll'!K47,"")</f>
        <v/>
      </c>
      <c r="AF105" s="1551" t="str">
        <f ca="1">IF('Rent Roll'!$Y47=1,'Rent Roll'!N47,"")</f>
        <v/>
      </c>
      <c r="AG105" s="223"/>
      <c r="AH105" s="6"/>
      <c r="AI105" s="11"/>
      <c r="AJ105" s="1536"/>
      <c r="AK105" s="1537"/>
      <c r="AL105" s="1536"/>
      <c r="AM105" s="1545"/>
      <c r="AN105" s="124"/>
      <c r="AO105" s="11"/>
      <c r="AP105" s="32"/>
    </row>
    <row r="106" spans="1:42" ht="15.95" hidden="1" customHeight="1" x14ac:dyDescent="0.25">
      <c r="A106" s="957">
        <f t="shared" ca="1" si="6"/>
        <v>0</v>
      </c>
      <c r="AA106" s="4"/>
      <c r="AB106" s="5"/>
      <c r="AC106" s="5" t="str">
        <f ca="1">IF('Rent Roll'!$Y48=1,'Rent Roll'!E48,"")</f>
        <v/>
      </c>
      <c r="AD106" s="39" t="str">
        <f ca="1">IF('Rent Roll'!$Y48=1,'Rent Roll'!G48,"")</f>
        <v/>
      </c>
      <c r="AE106" s="1547" t="str">
        <f ca="1">IF('Rent Roll'!$Y48=1,'Rent Roll'!K48,"")</f>
        <v/>
      </c>
      <c r="AF106" s="1551" t="str">
        <f ca="1">IF('Rent Roll'!$Y48=1,'Rent Roll'!N48,"")</f>
        <v/>
      </c>
      <c r="AG106" s="223"/>
      <c r="AH106" s="6"/>
      <c r="AI106" s="11"/>
      <c r="AJ106" s="1536"/>
      <c r="AK106" s="1537"/>
      <c r="AL106" s="1536"/>
      <c r="AM106" s="1545"/>
      <c r="AN106" s="124"/>
      <c r="AO106" s="11"/>
      <c r="AP106" s="32"/>
    </row>
    <row r="107" spans="1:42" ht="15.95" hidden="1" customHeight="1" x14ac:dyDescent="0.25">
      <c r="A107" s="957">
        <f t="shared" ca="1" si="6"/>
        <v>0</v>
      </c>
      <c r="AA107" s="4"/>
      <c r="AB107" s="5"/>
      <c r="AC107" s="5" t="str">
        <f ca="1">IF('Rent Roll'!$Y49=1,'Rent Roll'!E49,"")</f>
        <v/>
      </c>
      <c r="AD107" s="39" t="str">
        <f ca="1">IF('Rent Roll'!$Y49=1,'Rent Roll'!G49,"")</f>
        <v/>
      </c>
      <c r="AE107" s="1547" t="str">
        <f ca="1">IF('Rent Roll'!$Y49=1,'Rent Roll'!K49,"")</f>
        <v/>
      </c>
      <c r="AF107" s="1551" t="str">
        <f ca="1">IF('Rent Roll'!$Y49=1,'Rent Roll'!N49,"")</f>
        <v/>
      </c>
      <c r="AG107" s="223"/>
      <c r="AH107" s="6"/>
      <c r="AI107" s="11"/>
      <c r="AJ107" s="1536"/>
      <c r="AK107" s="1537"/>
      <c r="AL107" s="1536"/>
      <c r="AM107" s="1545"/>
      <c r="AN107" s="124"/>
      <c r="AO107" s="11"/>
      <c r="AP107" s="32"/>
    </row>
    <row r="108" spans="1:42" ht="15.95" hidden="1" customHeight="1" x14ac:dyDescent="0.25">
      <c r="A108" s="957">
        <f t="shared" ca="1" si="6"/>
        <v>0</v>
      </c>
      <c r="AA108" s="4"/>
      <c r="AB108" s="5"/>
      <c r="AC108" s="5" t="str">
        <f ca="1">IF('Rent Roll'!$Y50=1,'Rent Roll'!E50,"")</f>
        <v/>
      </c>
      <c r="AD108" s="39" t="str">
        <f ca="1">IF('Rent Roll'!$Y50=1,'Rent Roll'!G50,"")</f>
        <v/>
      </c>
      <c r="AE108" s="1547" t="str">
        <f ca="1">IF('Rent Roll'!$Y50=1,'Rent Roll'!K50,"")</f>
        <v/>
      </c>
      <c r="AF108" s="1551" t="str">
        <f ca="1">IF('Rent Roll'!$Y50=1,'Rent Roll'!N50,"")</f>
        <v/>
      </c>
      <c r="AG108" s="223"/>
      <c r="AH108" s="6"/>
      <c r="AI108" s="11"/>
      <c r="AJ108" s="1536"/>
      <c r="AK108" s="1537"/>
      <c r="AL108" s="1536"/>
      <c r="AM108" s="1545"/>
      <c r="AN108" s="124"/>
      <c r="AO108" s="11"/>
      <c r="AP108" s="32"/>
    </row>
    <row r="109" spans="1:42" ht="15.95" hidden="1" customHeight="1" x14ac:dyDescent="0.25">
      <c r="A109" s="957">
        <f t="shared" ca="1" si="6"/>
        <v>0</v>
      </c>
      <c r="AA109" s="4"/>
      <c r="AB109" s="5"/>
      <c r="AC109" s="5" t="str">
        <f ca="1">IF('Rent Roll'!$Y51=1,'Rent Roll'!E51,"")</f>
        <v/>
      </c>
      <c r="AD109" s="39" t="str">
        <f ca="1">IF('Rent Roll'!$Y51=1,'Rent Roll'!G51,"")</f>
        <v/>
      </c>
      <c r="AE109" s="1547" t="str">
        <f ca="1">IF('Rent Roll'!$Y51=1,'Rent Roll'!K51,"")</f>
        <v/>
      </c>
      <c r="AF109" s="1551" t="str">
        <f ca="1">IF('Rent Roll'!$Y51=1,'Rent Roll'!N51,"")</f>
        <v/>
      </c>
      <c r="AG109" s="223"/>
      <c r="AH109" s="6"/>
      <c r="AI109" s="11"/>
      <c r="AJ109" s="1536"/>
      <c r="AK109" s="1537"/>
      <c r="AL109" s="1536"/>
      <c r="AM109" s="1545"/>
      <c r="AN109" s="124"/>
      <c r="AO109" s="11"/>
      <c r="AP109" s="32"/>
    </row>
    <row r="110" spans="1:42" ht="15.95" hidden="1" customHeight="1" x14ac:dyDescent="0.25">
      <c r="A110" s="957">
        <f t="shared" ca="1" si="6"/>
        <v>0</v>
      </c>
      <c r="AA110" s="4"/>
      <c r="AB110" s="5"/>
      <c r="AC110" s="5" t="str">
        <f ca="1">IF('Rent Roll'!$Y52=1,'Rent Roll'!E52,"")</f>
        <v/>
      </c>
      <c r="AD110" s="39" t="str">
        <f ca="1">IF('Rent Roll'!$Y52=1,'Rent Roll'!G52,"")</f>
        <v/>
      </c>
      <c r="AE110" s="1547" t="str">
        <f ca="1">IF('Rent Roll'!$Y52=1,'Rent Roll'!K52,"")</f>
        <v/>
      </c>
      <c r="AF110" s="1551" t="str">
        <f ca="1">IF('Rent Roll'!$Y52=1,'Rent Roll'!N52,"")</f>
        <v/>
      </c>
      <c r="AG110" s="223"/>
      <c r="AH110" s="6"/>
      <c r="AI110" s="11"/>
      <c r="AJ110" s="1536"/>
      <c r="AK110" s="1537"/>
      <c r="AL110" s="1536"/>
      <c r="AM110" s="1545"/>
      <c r="AN110" s="124"/>
      <c r="AO110" s="11"/>
      <c r="AP110" s="32"/>
    </row>
    <row r="111" spans="1:42" ht="15.95" hidden="1" customHeight="1" x14ac:dyDescent="0.25">
      <c r="A111" s="957">
        <f t="shared" ca="1" si="6"/>
        <v>0</v>
      </c>
      <c r="AA111" s="4"/>
      <c r="AB111" s="5"/>
      <c r="AC111" s="5" t="str">
        <f ca="1">IF('Rent Roll'!$Y53=1,'Rent Roll'!E53,"")</f>
        <v/>
      </c>
      <c r="AD111" s="39" t="str">
        <f ca="1">IF('Rent Roll'!$Y53=1,'Rent Roll'!G53,"")</f>
        <v/>
      </c>
      <c r="AE111" s="1547" t="str">
        <f ca="1">IF('Rent Roll'!$Y53=1,'Rent Roll'!K53,"")</f>
        <v/>
      </c>
      <c r="AF111" s="1551" t="str">
        <f ca="1">IF('Rent Roll'!$Y53=1,'Rent Roll'!N53,"")</f>
        <v/>
      </c>
      <c r="AG111" s="223"/>
      <c r="AH111" s="6"/>
      <c r="AI111" s="11"/>
      <c r="AJ111" s="1536"/>
      <c r="AK111" s="1537"/>
      <c r="AL111" s="1536"/>
      <c r="AM111" s="1545"/>
      <c r="AN111" s="124"/>
      <c r="AO111" s="11"/>
      <c r="AP111" s="32"/>
    </row>
    <row r="112" spans="1:42" ht="15.95" hidden="1" customHeight="1" x14ac:dyDescent="0.25">
      <c r="A112" s="957">
        <f t="shared" ca="1" si="6"/>
        <v>0</v>
      </c>
      <c r="AA112" s="4"/>
      <c r="AB112" s="5"/>
      <c r="AC112" s="5" t="str">
        <f ca="1">IF('Rent Roll'!$Y54=1,'Rent Roll'!E54,"")</f>
        <v/>
      </c>
      <c r="AD112" s="39" t="str">
        <f ca="1">IF('Rent Roll'!$Y54=1,'Rent Roll'!G54,"")</f>
        <v/>
      </c>
      <c r="AE112" s="1547" t="str">
        <f ca="1">IF('Rent Roll'!$Y54=1,'Rent Roll'!K54,"")</f>
        <v/>
      </c>
      <c r="AF112" s="1551" t="str">
        <f ca="1">IF('Rent Roll'!$Y54=1,'Rent Roll'!N54,"")</f>
        <v/>
      </c>
      <c r="AG112" s="223"/>
      <c r="AH112" s="6"/>
      <c r="AI112" s="11"/>
      <c r="AJ112" s="1536"/>
      <c r="AK112" s="1537"/>
      <c r="AL112" s="1536"/>
      <c r="AM112" s="1545"/>
      <c r="AN112" s="124"/>
      <c r="AO112" s="11"/>
      <c r="AP112" s="32"/>
    </row>
    <row r="113" spans="1:42" ht="15.95" hidden="1" customHeight="1" x14ac:dyDescent="0.25">
      <c r="A113" s="957">
        <f t="shared" ca="1" si="6"/>
        <v>0</v>
      </c>
      <c r="AA113" s="4"/>
      <c r="AB113" s="5"/>
      <c r="AC113" s="5" t="str">
        <f ca="1">IF('Rent Roll'!$Y55=1,'Rent Roll'!E55,"")</f>
        <v/>
      </c>
      <c r="AD113" s="39" t="str">
        <f ca="1">IF('Rent Roll'!$Y55=1,'Rent Roll'!G55,"")</f>
        <v/>
      </c>
      <c r="AE113" s="1547" t="str">
        <f ca="1">IF('Rent Roll'!$Y55=1,'Rent Roll'!K55,"")</f>
        <v/>
      </c>
      <c r="AF113" s="1551" t="str">
        <f ca="1">IF('Rent Roll'!$Y55=1,'Rent Roll'!N55,"")</f>
        <v/>
      </c>
      <c r="AG113" s="223"/>
      <c r="AH113" s="6"/>
      <c r="AI113" s="11"/>
      <c r="AJ113" s="1536"/>
      <c r="AK113" s="1537"/>
      <c r="AL113" s="1536"/>
      <c r="AM113" s="1545"/>
      <c r="AN113" s="124"/>
      <c r="AO113" s="11"/>
      <c r="AP113" s="32"/>
    </row>
    <row r="114" spans="1:42" ht="15.95" hidden="1" customHeight="1" x14ac:dyDescent="0.25">
      <c r="A114" s="957">
        <f t="shared" ca="1" si="6"/>
        <v>0</v>
      </c>
      <c r="AA114" s="4"/>
      <c r="AB114" s="5"/>
      <c r="AC114" s="5" t="str">
        <f ca="1">IF('Rent Roll'!$Y56=1,'Rent Roll'!E56,"")</f>
        <v/>
      </c>
      <c r="AD114" s="39" t="str">
        <f ca="1">IF('Rent Roll'!$Y56=1,'Rent Roll'!G56,"")</f>
        <v/>
      </c>
      <c r="AE114" s="1547" t="str">
        <f ca="1">IF('Rent Roll'!$Y56=1,'Rent Roll'!K56,"")</f>
        <v/>
      </c>
      <c r="AF114" s="1551" t="str">
        <f ca="1">IF('Rent Roll'!$Y56=1,'Rent Roll'!N56,"")</f>
        <v/>
      </c>
      <c r="AG114" s="223"/>
      <c r="AH114" s="6"/>
      <c r="AI114" s="11"/>
      <c r="AJ114" s="1536"/>
      <c r="AK114" s="1537"/>
      <c r="AL114" s="1536"/>
      <c r="AM114" s="1545"/>
      <c r="AN114" s="124"/>
      <c r="AO114" s="11"/>
      <c r="AP114" s="32"/>
    </row>
    <row r="115" spans="1:42" ht="15.95" hidden="1" customHeight="1" x14ac:dyDescent="0.25">
      <c r="A115" s="957">
        <f t="shared" ca="1" si="6"/>
        <v>0</v>
      </c>
      <c r="AA115" s="4"/>
      <c r="AB115" s="5"/>
      <c r="AC115" s="5" t="str">
        <f ca="1">IF('Rent Roll'!$Y57=1,'Rent Roll'!E57,"")</f>
        <v/>
      </c>
      <c r="AD115" s="39" t="str">
        <f ca="1">IF('Rent Roll'!$Y57=1,'Rent Roll'!G57,"")</f>
        <v/>
      </c>
      <c r="AE115" s="1547" t="str">
        <f ca="1">IF('Rent Roll'!$Y57=1,'Rent Roll'!K57,"")</f>
        <v/>
      </c>
      <c r="AF115" s="1551" t="str">
        <f ca="1">IF('Rent Roll'!$Y57=1,'Rent Roll'!N57,"")</f>
        <v/>
      </c>
      <c r="AG115" s="223"/>
      <c r="AH115" s="6"/>
      <c r="AI115" s="11"/>
      <c r="AJ115" s="1536"/>
      <c r="AK115" s="1537"/>
      <c r="AL115" s="1536"/>
      <c r="AM115" s="1545"/>
      <c r="AN115" s="124"/>
      <c r="AO115" s="11"/>
      <c r="AP115" s="32"/>
    </row>
    <row r="116" spans="1:42" ht="15.95" hidden="1" customHeight="1" x14ac:dyDescent="0.25">
      <c r="A116" s="957">
        <f t="shared" ca="1" si="6"/>
        <v>0</v>
      </c>
      <c r="AA116" s="4"/>
      <c r="AB116" s="5"/>
      <c r="AC116" s="5" t="str">
        <f ca="1">IF('Rent Roll'!$Y58=1,'Rent Roll'!E58,"")</f>
        <v/>
      </c>
      <c r="AD116" s="39" t="str">
        <f ca="1">IF('Rent Roll'!$Y58=1,'Rent Roll'!G58,"")</f>
        <v/>
      </c>
      <c r="AE116" s="1547" t="str">
        <f ca="1">IF('Rent Roll'!$Y58=1,'Rent Roll'!K58,"")</f>
        <v/>
      </c>
      <c r="AF116" s="1551" t="str">
        <f ca="1">IF('Rent Roll'!$Y58=1,'Rent Roll'!N58,"")</f>
        <v/>
      </c>
      <c r="AG116" s="223"/>
      <c r="AH116" s="6"/>
      <c r="AI116" s="11"/>
      <c r="AJ116" s="1536"/>
      <c r="AK116" s="1537"/>
      <c r="AL116" s="1536"/>
      <c r="AM116" s="1545"/>
      <c r="AN116" s="124"/>
      <c r="AO116" s="11"/>
      <c r="AP116" s="32"/>
    </row>
    <row r="117" spans="1:42" ht="15.95" hidden="1" customHeight="1" x14ac:dyDescent="0.25">
      <c r="A117" s="957">
        <f t="shared" ca="1" si="6"/>
        <v>0</v>
      </c>
      <c r="AA117" s="4"/>
      <c r="AB117" s="5"/>
      <c r="AC117" s="5" t="str">
        <f ca="1">IF('Rent Roll'!$Y59=1,'Rent Roll'!E59,"")</f>
        <v/>
      </c>
      <c r="AD117" s="39" t="str">
        <f ca="1">IF('Rent Roll'!$Y59=1,'Rent Roll'!G59,"")</f>
        <v/>
      </c>
      <c r="AE117" s="1547" t="str">
        <f ca="1">IF('Rent Roll'!$Y59=1,'Rent Roll'!K59,"")</f>
        <v/>
      </c>
      <c r="AF117" s="1551" t="str">
        <f ca="1">IF('Rent Roll'!$Y59=1,'Rent Roll'!N59,"")</f>
        <v/>
      </c>
      <c r="AG117" s="223"/>
      <c r="AH117" s="6"/>
      <c r="AI117" s="11"/>
      <c r="AJ117" s="1536"/>
      <c r="AK117" s="1537"/>
      <c r="AL117" s="1536"/>
      <c r="AM117" s="1545"/>
      <c r="AN117" s="124"/>
      <c r="AO117" s="11"/>
      <c r="AP117" s="32"/>
    </row>
    <row r="118" spans="1:42" ht="15.95" hidden="1" customHeight="1" x14ac:dyDescent="0.25">
      <c r="A118" s="957">
        <f t="shared" ca="1" si="6"/>
        <v>0</v>
      </c>
      <c r="AA118" s="4"/>
      <c r="AB118" s="5"/>
      <c r="AC118" s="5" t="str">
        <f ca="1">IF('Rent Roll'!$Y60=1,'Rent Roll'!E60,"")</f>
        <v/>
      </c>
      <c r="AD118" s="39" t="str">
        <f ca="1">IF('Rent Roll'!$Y60=1,'Rent Roll'!G60,"")</f>
        <v/>
      </c>
      <c r="AE118" s="1547" t="str">
        <f ca="1">IF('Rent Roll'!$Y60=1,'Rent Roll'!K60,"")</f>
        <v/>
      </c>
      <c r="AF118" s="1551" t="str">
        <f ca="1">IF('Rent Roll'!$Y60=1,'Rent Roll'!N60,"")</f>
        <v/>
      </c>
      <c r="AG118" s="223"/>
      <c r="AH118" s="6"/>
      <c r="AI118" s="11"/>
      <c r="AJ118" s="1536"/>
      <c r="AK118" s="1537"/>
      <c r="AL118" s="1536"/>
      <c r="AM118" s="1545"/>
      <c r="AN118" s="124"/>
      <c r="AO118" s="11"/>
      <c r="AP118" s="32"/>
    </row>
    <row r="119" spans="1:42" ht="15.95" hidden="1" customHeight="1" x14ac:dyDescent="0.25">
      <c r="A119" s="957">
        <f t="shared" ca="1" si="6"/>
        <v>0</v>
      </c>
      <c r="AA119" s="4"/>
      <c r="AB119" s="5"/>
      <c r="AC119" s="5" t="str">
        <f ca="1">IF('Rent Roll'!$Y61=1,'Rent Roll'!E61,"")</f>
        <v/>
      </c>
      <c r="AD119" s="39" t="str">
        <f ca="1">IF('Rent Roll'!$Y61=1,'Rent Roll'!G61,"")</f>
        <v/>
      </c>
      <c r="AE119" s="1547" t="str">
        <f ca="1">IF('Rent Roll'!$Y61=1,'Rent Roll'!K61,"")</f>
        <v/>
      </c>
      <c r="AF119" s="1551" t="str">
        <f ca="1">IF('Rent Roll'!$Y61=1,'Rent Roll'!N61,"")</f>
        <v/>
      </c>
      <c r="AG119" s="223"/>
      <c r="AH119" s="6"/>
      <c r="AI119" s="11"/>
      <c r="AJ119" s="1536"/>
      <c r="AK119" s="1537"/>
      <c r="AL119" s="1536"/>
      <c r="AM119" s="1545"/>
      <c r="AN119" s="124"/>
      <c r="AO119" s="11"/>
      <c r="AP119" s="32"/>
    </row>
    <row r="120" spans="1:42" ht="15.95" hidden="1" customHeight="1" x14ac:dyDescent="0.25">
      <c r="A120" s="957">
        <f t="shared" ca="1" si="6"/>
        <v>0</v>
      </c>
      <c r="AA120" s="4"/>
      <c r="AB120" s="5"/>
      <c r="AC120" s="5" t="str">
        <f ca="1">IF('Rent Roll'!$Y62=1,'Rent Roll'!E62,"")</f>
        <v/>
      </c>
      <c r="AD120" s="39" t="str">
        <f ca="1">IF('Rent Roll'!$Y62=1,'Rent Roll'!G62,"")</f>
        <v/>
      </c>
      <c r="AE120" s="1547" t="str">
        <f ca="1">IF('Rent Roll'!$Y62=1,'Rent Roll'!K62,"")</f>
        <v/>
      </c>
      <c r="AF120" s="1551" t="str">
        <f ca="1">IF('Rent Roll'!$Y62=1,'Rent Roll'!N62,"")</f>
        <v/>
      </c>
      <c r="AG120" s="223"/>
      <c r="AH120" s="6"/>
      <c r="AI120" s="11"/>
      <c r="AJ120" s="1536"/>
      <c r="AK120" s="1537"/>
      <c r="AL120" s="1536"/>
      <c r="AM120" s="1545"/>
      <c r="AN120" s="124"/>
      <c r="AO120" s="11"/>
      <c r="AP120" s="32"/>
    </row>
    <row r="121" spans="1:42" ht="15.95" hidden="1" customHeight="1" x14ac:dyDescent="0.25">
      <c r="A121" s="957">
        <f t="shared" ca="1" si="6"/>
        <v>0</v>
      </c>
      <c r="AA121" s="4"/>
      <c r="AB121" s="5"/>
      <c r="AC121" s="5" t="str">
        <f ca="1">IF('Rent Roll'!$Y63=1,'Rent Roll'!E63,"")</f>
        <v/>
      </c>
      <c r="AD121" s="39" t="str">
        <f ca="1">IF('Rent Roll'!$Y63=1,'Rent Roll'!G63,"")</f>
        <v/>
      </c>
      <c r="AE121" s="1547" t="str">
        <f ca="1">IF('Rent Roll'!$Y63=1,'Rent Roll'!K63,"")</f>
        <v/>
      </c>
      <c r="AF121" s="1551" t="str">
        <f ca="1">IF('Rent Roll'!$Y63=1,'Rent Roll'!N63,"")</f>
        <v/>
      </c>
      <c r="AG121" s="223"/>
      <c r="AH121" s="6"/>
      <c r="AI121" s="11"/>
      <c r="AJ121" s="1536"/>
      <c r="AK121" s="1537"/>
      <c r="AL121" s="1536"/>
      <c r="AM121" s="1545"/>
      <c r="AN121" s="124"/>
      <c r="AO121" s="11"/>
      <c r="AP121" s="32"/>
    </row>
    <row r="122" spans="1:42" ht="15.95" hidden="1" customHeight="1" x14ac:dyDescent="0.25">
      <c r="A122" s="957">
        <f t="shared" ca="1" si="6"/>
        <v>0</v>
      </c>
      <c r="AA122" s="4"/>
      <c r="AB122" s="5"/>
      <c r="AC122" s="5" t="str">
        <f ca="1">IF('Rent Roll'!$Y64=1,'Rent Roll'!E64,"")</f>
        <v/>
      </c>
      <c r="AD122" s="39" t="str">
        <f ca="1">IF('Rent Roll'!$Y64=1,'Rent Roll'!G64,"")</f>
        <v/>
      </c>
      <c r="AE122" s="1547" t="str">
        <f ca="1">IF('Rent Roll'!$Y64=1,'Rent Roll'!K64,"")</f>
        <v/>
      </c>
      <c r="AF122" s="1551" t="str">
        <f ca="1">IF('Rent Roll'!$Y64=1,'Rent Roll'!N64,"")</f>
        <v/>
      </c>
      <c r="AG122" s="223"/>
      <c r="AH122" s="6"/>
      <c r="AI122" s="11"/>
      <c r="AJ122" s="1536"/>
      <c r="AK122" s="1537"/>
      <c r="AL122" s="1536"/>
      <c r="AM122" s="1545"/>
      <c r="AN122" s="124"/>
      <c r="AO122" s="11"/>
      <c r="AP122" s="32"/>
    </row>
    <row r="123" spans="1:42" ht="15.95" hidden="1" customHeight="1" x14ac:dyDescent="0.25">
      <c r="A123" s="957">
        <f t="shared" ca="1" si="6"/>
        <v>0</v>
      </c>
      <c r="AA123" s="4"/>
      <c r="AB123" s="5"/>
      <c r="AC123" s="5" t="str">
        <f ca="1">IF('Rent Roll'!$Y65=1,'Rent Roll'!E65,"")</f>
        <v/>
      </c>
      <c r="AD123" s="39" t="str">
        <f ca="1">IF('Rent Roll'!$Y65=1,'Rent Roll'!G65,"")</f>
        <v/>
      </c>
      <c r="AE123" s="1547" t="str">
        <f ca="1">IF('Rent Roll'!$Y65=1,'Rent Roll'!K65,"")</f>
        <v/>
      </c>
      <c r="AF123" s="1551" t="str">
        <f ca="1">IF('Rent Roll'!$Y65=1,'Rent Roll'!N65,"")</f>
        <v/>
      </c>
      <c r="AG123" s="223"/>
      <c r="AH123" s="6"/>
      <c r="AI123" s="11"/>
      <c r="AJ123" s="1536"/>
      <c r="AK123" s="1537"/>
      <c r="AL123" s="1536"/>
      <c r="AM123" s="1545"/>
      <c r="AN123" s="124"/>
      <c r="AO123" s="11"/>
      <c r="AP123" s="32"/>
    </row>
    <row r="124" spans="1:42" ht="15.95" hidden="1" customHeight="1" x14ac:dyDescent="0.25">
      <c r="A124" s="957">
        <f t="shared" ca="1" si="6"/>
        <v>0</v>
      </c>
      <c r="AA124" s="4"/>
      <c r="AB124" s="5"/>
      <c r="AC124" s="5" t="str">
        <f ca="1">IF('Rent Roll'!$Y66=1,'Rent Roll'!E66,"")</f>
        <v/>
      </c>
      <c r="AD124" s="39" t="str">
        <f ca="1">IF('Rent Roll'!$Y66=1,'Rent Roll'!G66,"")</f>
        <v/>
      </c>
      <c r="AE124" s="1547" t="str">
        <f ca="1">IF('Rent Roll'!$Y66=1,'Rent Roll'!K66,"")</f>
        <v/>
      </c>
      <c r="AF124" s="1551" t="str">
        <f ca="1">IF('Rent Roll'!$Y66=1,'Rent Roll'!N66,"")</f>
        <v/>
      </c>
      <c r="AG124" s="223"/>
      <c r="AH124" s="6"/>
      <c r="AI124" s="11"/>
      <c r="AJ124" s="1536"/>
      <c r="AK124" s="1537"/>
      <c r="AL124" s="1536"/>
      <c r="AM124" s="1545"/>
      <c r="AN124" s="124"/>
      <c r="AO124" s="11"/>
      <c r="AP124" s="32"/>
    </row>
    <row r="125" spans="1:42" ht="15.95" hidden="1" customHeight="1" x14ac:dyDescent="0.25">
      <c r="A125" s="957">
        <f t="shared" ca="1" si="6"/>
        <v>0</v>
      </c>
      <c r="AA125" s="4"/>
      <c r="AB125" s="5"/>
      <c r="AC125" s="5" t="str">
        <f ca="1">IF('Rent Roll'!$Y67=1,'Rent Roll'!E67,"")</f>
        <v/>
      </c>
      <c r="AD125" s="39" t="str">
        <f ca="1">IF('Rent Roll'!$Y67=1,'Rent Roll'!G67,"")</f>
        <v/>
      </c>
      <c r="AE125" s="1547" t="str">
        <f ca="1">IF('Rent Roll'!$Y67=1,'Rent Roll'!K67,"")</f>
        <v/>
      </c>
      <c r="AF125" s="1551" t="str">
        <f ca="1">IF('Rent Roll'!$Y67=1,'Rent Roll'!N67,"")</f>
        <v/>
      </c>
      <c r="AG125" s="223"/>
      <c r="AH125" s="6"/>
      <c r="AI125" s="11"/>
      <c r="AJ125" s="1536"/>
      <c r="AK125" s="1537"/>
      <c r="AL125" s="1536"/>
      <c r="AM125" s="1545"/>
      <c r="AN125" s="124"/>
      <c r="AO125" s="11"/>
      <c r="AP125" s="32"/>
    </row>
    <row r="126" spans="1:42" ht="15.95" hidden="1" customHeight="1" x14ac:dyDescent="0.25">
      <c r="A126" s="957">
        <f t="shared" ca="1" si="6"/>
        <v>0</v>
      </c>
      <c r="AA126" s="4"/>
      <c r="AB126" s="5"/>
      <c r="AC126" s="5" t="str">
        <f ca="1">IF('Rent Roll'!$Y68=1,'Rent Roll'!E68,"")</f>
        <v/>
      </c>
      <c r="AD126" s="39" t="str">
        <f ca="1">IF('Rent Roll'!$Y68=1,'Rent Roll'!G68,"")</f>
        <v/>
      </c>
      <c r="AE126" s="1547" t="str">
        <f ca="1">IF('Rent Roll'!$Y68=1,'Rent Roll'!K68,"")</f>
        <v/>
      </c>
      <c r="AF126" s="1551" t="str">
        <f ca="1">IF('Rent Roll'!$Y68=1,'Rent Roll'!N68,"")</f>
        <v/>
      </c>
      <c r="AG126" s="223"/>
      <c r="AH126" s="6"/>
      <c r="AI126" s="11"/>
      <c r="AJ126" s="1536"/>
      <c r="AK126" s="1537"/>
      <c r="AL126" s="1536"/>
      <c r="AM126" s="1545"/>
      <c r="AN126" s="124"/>
      <c r="AO126" s="11"/>
      <c r="AP126" s="32"/>
    </row>
    <row r="127" spans="1:42" ht="15.95" hidden="1" customHeight="1" x14ac:dyDescent="0.25">
      <c r="A127" s="957">
        <f t="shared" ca="1" si="6"/>
        <v>0</v>
      </c>
      <c r="AA127" s="4"/>
      <c r="AB127" s="5"/>
      <c r="AC127" s="5" t="str">
        <f ca="1">IF('Rent Roll'!$Y69=1,'Rent Roll'!E69,"")</f>
        <v/>
      </c>
      <c r="AD127" s="39" t="str">
        <f ca="1">IF('Rent Roll'!$Y69=1,'Rent Roll'!G69,"")</f>
        <v/>
      </c>
      <c r="AE127" s="1547" t="str">
        <f ca="1">IF('Rent Roll'!$Y69=1,'Rent Roll'!K69,"")</f>
        <v/>
      </c>
      <c r="AF127" s="1551" t="str">
        <f ca="1">IF('Rent Roll'!$Y69=1,'Rent Roll'!N69,"")</f>
        <v/>
      </c>
      <c r="AG127" s="223"/>
      <c r="AH127" s="6"/>
      <c r="AI127" s="11"/>
      <c r="AJ127" s="1536"/>
      <c r="AK127" s="1537"/>
      <c r="AL127" s="1536"/>
      <c r="AM127" s="1545"/>
      <c r="AN127" s="124"/>
      <c r="AO127" s="11"/>
      <c r="AP127" s="32"/>
    </row>
    <row r="128" spans="1:42" ht="15.95" hidden="1" customHeight="1" x14ac:dyDescent="0.25">
      <c r="A128" s="957">
        <f t="shared" ca="1" si="6"/>
        <v>0</v>
      </c>
      <c r="AA128" s="4"/>
      <c r="AB128" s="5"/>
      <c r="AC128" s="5" t="str">
        <f ca="1">IF('Rent Roll'!$Y70=1,'Rent Roll'!E70,"")</f>
        <v/>
      </c>
      <c r="AD128" s="39" t="str">
        <f ca="1">IF('Rent Roll'!$Y70=1,'Rent Roll'!G70,"")</f>
        <v/>
      </c>
      <c r="AE128" s="1547" t="str">
        <f ca="1">IF('Rent Roll'!$Y70=1,'Rent Roll'!K70,"")</f>
        <v/>
      </c>
      <c r="AF128" s="1551" t="str">
        <f ca="1">IF('Rent Roll'!$Y70=1,'Rent Roll'!N70,"")</f>
        <v/>
      </c>
      <c r="AG128" s="223"/>
      <c r="AH128" s="6"/>
      <c r="AI128" s="11"/>
      <c r="AJ128" s="1536"/>
      <c r="AK128" s="1537"/>
      <c r="AL128" s="1536"/>
      <c r="AM128" s="1545"/>
      <c r="AN128" s="124"/>
      <c r="AO128" s="11"/>
      <c r="AP128" s="32"/>
    </row>
    <row r="129" spans="1:42" ht="15.95" hidden="1" customHeight="1" x14ac:dyDescent="0.25">
      <c r="A129" s="957">
        <f t="shared" ca="1" si="6"/>
        <v>0</v>
      </c>
      <c r="AA129" s="4"/>
      <c r="AB129" s="5"/>
      <c r="AC129" s="5" t="str">
        <f ca="1">IF('Rent Roll'!$Y71=1,'Rent Roll'!E71,"")</f>
        <v/>
      </c>
      <c r="AD129" s="39" t="str">
        <f ca="1">IF('Rent Roll'!$Y71=1,'Rent Roll'!G71,"")</f>
        <v/>
      </c>
      <c r="AE129" s="1547" t="str">
        <f ca="1">IF('Rent Roll'!$Y71=1,'Rent Roll'!K71,"")</f>
        <v/>
      </c>
      <c r="AF129" s="1551" t="str">
        <f ca="1">IF('Rent Roll'!$Y71=1,'Rent Roll'!N71,"")</f>
        <v/>
      </c>
      <c r="AG129" s="223"/>
      <c r="AH129" s="6"/>
      <c r="AI129" s="11"/>
      <c r="AJ129" s="1536"/>
      <c r="AK129" s="1537"/>
      <c r="AL129" s="1536"/>
      <c r="AM129" s="1545"/>
      <c r="AN129" s="124"/>
      <c r="AO129" s="11"/>
      <c r="AP129" s="32"/>
    </row>
    <row r="130" spans="1:42" ht="15.95" hidden="1" customHeight="1" x14ac:dyDescent="0.25">
      <c r="A130" s="957">
        <f t="shared" ref="A130:A193" ca="1" si="7">IF(AC130="",0,1)</f>
        <v>0</v>
      </c>
      <c r="AA130" s="4"/>
      <c r="AB130" s="5"/>
      <c r="AC130" s="5" t="str">
        <f ca="1">IF('Rent Roll'!$Y72=1,'Rent Roll'!E72,"")</f>
        <v/>
      </c>
      <c r="AD130" s="39" t="str">
        <f ca="1">IF('Rent Roll'!$Y72=1,'Rent Roll'!G72,"")</f>
        <v/>
      </c>
      <c r="AE130" s="1547" t="str">
        <f ca="1">IF('Rent Roll'!$Y72=1,'Rent Roll'!K72,"")</f>
        <v/>
      </c>
      <c r="AF130" s="1551" t="str">
        <f ca="1">IF('Rent Roll'!$Y72=1,'Rent Roll'!N72,"")</f>
        <v/>
      </c>
      <c r="AG130" s="223"/>
      <c r="AH130" s="6"/>
      <c r="AI130" s="11"/>
      <c r="AJ130" s="1536"/>
      <c r="AK130" s="1537"/>
      <c r="AL130" s="1536"/>
      <c r="AM130" s="1545"/>
      <c r="AN130" s="124"/>
      <c r="AO130" s="11"/>
      <c r="AP130" s="32"/>
    </row>
    <row r="131" spans="1:42" ht="15.95" hidden="1" customHeight="1" x14ac:dyDescent="0.25">
      <c r="A131" s="957">
        <f t="shared" ca="1" si="7"/>
        <v>0</v>
      </c>
      <c r="AA131" s="4"/>
      <c r="AB131" s="5"/>
      <c r="AC131" s="5" t="str">
        <f ca="1">IF('Rent Roll'!$Y73=1,'Rent Roll'!E73,"")</f>
        <v/>
      </c>
      <c r="AD131" s="39" t="str">
        <f ca="1">IF('Rent Roll'!$Y73=1,'Rent Roll'!G73,"")</f>
        <v/>
      </c>
      <c r="AE131" s="1547" t="str">
        <f ca="1">IF('Rent Roll'!$Y73=1,'Rent Roll'!K73,"")</f>
        <v/>
      </c>
      <c r="AF131" s="1551" t="str">
        <f ca="1">IF('Rent Roll'!$Y73=1,'Rent Roll'!N73,"")</f>
        <v/>
      </c>
      <c r="AG131" s="223"/>
      <c r="AH131" s="6"/>
      <c r="AI131" s="11"/>
      <c r="AJ131" s="1536"/>
      <c r="AK131" s="1537"/>
      <c r="AL131" s="1536"/>
      <c r="AM131" s="1545"/>
      <c r="AN131" s="124"/>
      <c r="AO131" s="11"/>
      <c r="AP131" s="32"/>
    </row>
    <row r="132" spans="1:42" ht="15.95" hidden="1" customHeight="1" x14ac:dyDescent="0.25">
      <c r="A132" s="957">
        <f t="shared" ca="1" si="7"/>
        <v>0</v>
      </c>
      <c r="AA132" s="4"/>
      <c r="AB132" s="5"/>
      <c r="AC132" s="5" t="str">
        <f ca="1">IF('Rent Roll'!$Y74=1,'Rent Roll'!E74,"")</f>
        <v/>
      </c>
      <c r="AD132" s="39" t="str">
        <f ca="1">IF('Rent Roll'!$Y74=1,'Rent Roll'!G74,"")</f>
        <v/>
      </c>
      <c r="AE132" s="1547" t="str">
        <f ca="1">IF('Rent Roll'!$Y74=1,'Rent Roll'!K74,"")</f>
        <v/>
      </c>
      <c r="AF132" s="1551" t="str">
        <f ca="1">IF('Rent Roll'!$Y74=1,'Rent Roll'!N74,"")</f>
        <v/>
      </c>
      <c r="AG132" s="223"/>
      <c r="AH132" s="6"/>
      <c r="AI132" s="11"/>
      <c r="AJ132" s="1536"/>
      <c r="AK132" s="1537"/>
      <c r="AL132" s="1536"/>
      <c r="AM132" s="1545"/>
      <c r="AN132" s="124"/>
      <c r="AO132" s="11"/>
      <c r="AP132" s="32"/>
    </row>
    <row r="133" spans="1:42" ht="15.95" hidden="1" customHeight="1" x14ac:dyDescent="0.25">
      <c r="A133" s="957">
        <f t="shared" ca="1" si="7"/>
        <v>0</v>
      </c>
      <c r="AA133" s="4"/>
      <c r="AB133" s="5"/>
      <c r="AC133" s="5" t="str">
        <f ca="1">IF('Rent Roll'!$Y75=1,'Rent Roll'!E75,"")</f>
        <v/>
      </c>
      <c r="AD133" s="39" t="str">
        <f ca="1">IF('Rent Roll'!$Y75=1,'Rent Roll'!G75,"")</f>
        <v/>
      </c>
      <c r="AE133" s="1547" t="str">
        <f ca="1">IF('Rent Roll'!$Y75=1,'Rent Roll'!K75,"")</f>
        <v/>
      </c>
      <c r="AF133" s="1551" t="str">
        <f ca="1">IF('Rent Roll'!$Y75=1,'Rent Roll'!N75,"")</f>
        <v/>
      </c>
      <c r="AG133" s="223"/>
      <c r="AH133" s="6"/>
      <c r="AI133" s="11"/>
      <c r="AJ133" s="1536"/>
      <c r="AK133" s="1537"/>
      <c r="AL133" s="1536"/>
      <c r="AM133" s="1545"/>
      <c r="AN133" s="124"/>
      <c r="AO133" s="11"/>
      <c r="AP133" s="32"/>
    </row>
    <row r="134" spans="1:42" ht="15.95" hidden="1" customHeight="1" x14ac:dyDescent="0.25">
      <c r="A134" s="957">
        <f t="shared" ca="1" si="7"/>
        <v>0</v>
      </c>
      <c r="AA134" s="4"/>
      <c r="AB134" s="5"/>
      <c r="AC134" s="5" t="str">
        <f ca="1">IF('Rent Roll'!$Y76=1,'Rent Roll'!E76,"")</f>
        <v/>
      </c>
      <c r="AD134" s="39" t="str">
        <f ca="1">IF('Rent Roll'!$Y76=1,'Rent Roll'!G76,"")</f>
        <v/>
      </c>
      <c r="AE134" s="1547" t="str">
        <f ca="1">IF('Rent Roll'!$Y76=1,'Rent Roll'!K76,"")</f>
        <v/>
      </c>
      <c r="AF134" s="1551" t="str">
        <f ca="1">IF('Rent Roll'!$Y76=1,'Rent Roll'!N76,"")</f>
        <v/>
      </c>
      <c r="AG134" s="223"/>
      <c r="AH134" s="6"/>
      <c r="AI134" s="11"/>
      <c r="AJ134" s="1536"/>
      <c r="AK134" s="1537"/>
      <c r="AL134" s="1536"/>
      <c r="AM134" s="1545"/>
      <c r="AN134" s="124"/>
      <c r="AO134" s="11"/>
      <c r="AP134" s="32"/>
    </row>
    <row r="135" spans="1:42" ht="15.95" hidden="1" customHeight="1" x14ac:dyDescent="0.25">
      <c r="A135" s="957">
        <f t="shared" ca="1" si="7"/>
        <v>0</v>
      </c>
      <c r="AA135" s="4"/>
      <c r="AB135" s="5"/>
      <c r="AC135" s="5" t="str">
        <f ca="1">IF('Rent Roll'!$Y77=1,'Rent Roll'!E77,"")</f>
        <v/>
      </c>
      <c r="AD135" s="39" t="str">
        <f ca="1">IF('Rent Roll'!$Y77=1,'Rent Roll'!G77,"")</f>
        <v/>
      </c>
      <c r="AE135" s="1547" t="str">
        <f ca="1">IF('Rent Roll'!$Y77=1,'Rent Roll'!K77,"")</f>
        <v/>
      </c>
      <c r="AF135" s="1551" t="str">
        <f ca="1">IF('Rent Roll'!$Y77=1,'Rent Roll'!N77,"")</f>
        <v/>
      </c>
      <c r="AG135" s="223"/>
      <c r="AH135" s="6"/>
      <c r="AI135" s="11"/>
      <c r="AJ135" s="1536"/>
      <c r="AK135" s="1537"/>
      <c r="AL135" s="1536"/>
      <c r="AM135" s="1545"/>
      <c r="AN135" s="124"/>
      <c r="AO135" s="11"/>
      <c r="AP135" s="32"/>
    </row>
    <row r="136" spans="1:42" ht="15.95" hidden="1" customHeight="1" x14ac:dyDescent="0.25">
      <c r="A136" s="957">
        <f t="shared" ca="1" si="7"/>
        <v>0</v>
      </c>
      <c r="AA136" s="4"/>
      <c r="AB136" s="5"/>
      <c r="AC136" s="5" t="str">
        <f ca="1">IF('Rent Roll'!$Y78=1,'Rent Roll'!E78,"")</f>
        <v/>
      </c>
      <c r="AD136" s="39" t="str">
        <f ca="1">IF('Rent Roll'!$Y78=1,'Rent Roll'!G78,"")</f>
        <v/>
      </c>
      <c r="AE136" s="1547" t="str">
        <f ca="1">IF('Rent Roll'!$Y78=1,'Rent Roll'!K78,"")</f>
        <v/>
      </c>
      <c r="AF136" s="1551" t="str">
        <f ca="1">IF('Rent Roll'!$Y78=1,'Rent Roll'!N78,"")</f>
        <v/>
      </c>
      <c r="AG136" s="223"/>
      <c r="AH136" s="6"/>
      <c r="AI136" s="11"/>
      <c r="AJ136" s="1536"/>
      <c r="AK136" s="1537"/>
      <c r="AL136" s="1536"/>
      <c r="AM136" s="1545"/>
      <c r="AN136" s="124"/>
      <c r="AO136" s="11"/>
      <c r="AP136" s="32"/>
    </row>
    <row r="137" spans="1:42" ht="15.95" hidden="1" customHeight="1" x14ac:dyDescent="0.25">
      <c r="A137" s="957">
        <f t="shared" ca="1" si="7"/>
        <v>0</v>
      </c>
      <c r="AA137" s="4"/>
      <c r="AB137" s="5"/>
      <c r="AC137" s="5" t="str">
        <f ca="1">IF('Rent Roll'!$Y79=1,'Rent Roll'!E79,"")</f>
        <v/>
      </c>
      <c r="AD137" s="39" t="str">
        <f ca="1">IF('Rent Roll'!$Y79=1,'Rent Roll'!G79,"")</f>
        <v/>
      </c>
      <c r="AE137" s="1547" t="str">
        <f ca="1">IF('Rent Roll'!$Y79=1,'Rent Roll'!K79,"")</f>
        <v/>
      </c>
      <c r="AF137" s="1551" t="str">
        <f ca="1">IF('Rent Roll'!$Y79=1,'Rent Roll'!N79,"")</f>
        <v/>
      </c>
      <c r="AG137" s="223"/>
      <c r="AH137" s="6"/>
      <c r="AI137" s="11"/>
      <c r="AJ137" s="1536"/>
      <c r="AK137" s="1537"/>
      <c r="AL137" s="1536"/>
      <c r="AM137" s="1545"/>
      <c r="AN137" s="124"/>
      <c r="AO137" s="11"/>
      <c r="AP137" s="32"/>
    </row>
    <row r="138" spans="1:42" ht="15.95" hidden="1" customHeight="1" x14ac:dyDescent="0.25">
      <c r="A138" s="957">
        <f t="shared" ca="1" si="7"/>
        <v>0</v>
      </c>
      <c r="AA138" s="4"/>
      <c r="AB138" s="5"/>
      <c r="AC138" s="5" t="str">
        <f ca="1">IF('Rent Roll'!$Y80=1,'Rent Roll'!E80,"")</f>
        <v/>
      </c>
      <c r="AD138" s="39" t="str">
        <f ca="1">IF('Rent Roll'!$Y80=1,'Rent Roll'!G80,"")</f>
        <v/>
      </c>
      <c r="AE138" s="1547" t="str">
        <f ca="1">IF('Rent Roll'!$Y80=1,'Rent Roll'!K80,"")</f>
        <v/>
      </c>
      <c r="AF138" s="1551" t="str">
        <f ca="1">IF('Rent Roll'!$Y80=1,'Rent Roll'!N80,"")</f>
        <v/>
      </c>
      <c r="AG138" s="223"/>
      <c r="AH138" s="6"/>
      <c r="AI138" s="11"/>
      <c r="AJ138" s="1536"/>
      <c r="AK138" s="1537"/>
      <c r="AL138" s="1536"/>
      <c r="AM138" s="1545"/>
      <c r="AN138" s="124"/>
      <c r="AO138" s="11"/>
      <c r="AP138" s="32"/>
    </row>
    <row r="139" spans="1:42" ht="15.95" hidden="1" customHeight="1" x14ac:dyDescent="0.25">
      <c r="A139" s="957">
        <f t="shared" ca="1" si="7"/>
        <v>0</v>
      </c>
      <c r="AA139" s="4"/>
      <c r="AB139" s="5"/>
      <c r="AC139" s="5" t="str">
        <f ca="1">IF('Rent Roll'!$Y81=1,'Rent Roll'!E81,"")</f>
        <v/>
      </c>
      <c r="AD139" s="39" t="str">
        <f ca="1">IF('Rent Roll'!$Y81=1,'Rent Roll'!G81,"")</f>
        <v/>
      </c>
      <c r="AE139" s="1547" t="str">
        <f ca="1">IF('Rent Roll'!$Y81=1,'Rent Roll'!K81,"")</f>
        <v/>
      </c>
      <c r="AF139" s="1551" t="str">
        <f ca="1">IF('Rent Roll'!$Y81=1,'Rent Roll'!N81,"")</f>
        <v/>
      </c>
      <c r="AG139" s="223"/>
      <c r="AH139" s="6"/>
      <c r="AI139" s="11"/>
      <c r="AJ139" s="1536"/>
      <c r="AK139" s="1537"/>
      <c r="AL139" s="1536"/>
      <c r="AM139" s="1545"/>
      <c r="AN139" s="124"/>
      <c r="AO139" s="11"/>
      <c r="AP139" s="32"/>
    </row>
    <row r="140" spans="1:42" ht="15.95" hidden="1" customHeight="1" x14ac:dyDescent="0.25">
      <c r="A140" s="957">
        <f t="shared" ca="1" si="7"/>
        <v>0</v>
      </c>
      <c r="AA140" s="4"/>
      <c r="AB140" s="5"/>
      <c r="AC140" s="5" t="str">
        <f ca="1">IF('Rent Roll'!$Y82=1,'Rent Roll'!E82,"")</f>
        <v/>
      </c>
      <c r="AD140" s="39" t="str">
        <f ca="1">IF('Rent Roll'!$Y82=1,'Rent Roll'!G82,"")</f>
        <v/>
      </c>
      <c r="AE140" s="1547" t="str">
        <f ca="1">IF('Rent Roll'!$Y82=1,'Rent Roll'!K82,"")</f>
        <v/>
      </c>
      <c r="AF140" s="1551" t="str">
        <f ca="1">IF('Rent Roll'!$Y82=1,'Rent Roll'!N82,"")</f>
        <v/>
      </c>
      <c r="AG140" s="223"/>
      <c r="AH140" s="6"/>
      <c r="AI140" s="11"/>
      <c r="AJ140" s="1536"/>
      <c r="AK140" s="1537"/>
      <c r="AL140" s="1536"/>
      <c r="AM140" s="1545"/>
      <c r="AN140" s="124"/>
      <c r="AO140" s="11"/>
      <c r="AP140" s="32"/>
    </row>
    <row r="141" spans="1:42" ht="15.95" hidden="1" customHeight="1" x14ac:dyDescent="0.25">
      <c r="A141" s="957">
        <f t="shared" ca="1" si="7"/>
        <v>0</v>
      </c>
      <c r="AA141" s="4"/>
      <c r="AB141" s="5"/>
      <c r="AC141" s="5" t="str">
        <f ca="1">IF('Rent Roll'!$Y83=1,'Rent Roll'!E83,"")</f>
        <v/>
      </c>
      <c r="AD141" s="39" t="str">
        <f ca="1">IF('Rent Roll'!$Y83=1,'Rent Roll'!G83,"")</f>
        <v/>
      </c>
      <c r="AE141" s="1547" t="str">
        <f ca="1">IF('Rent Roll'!$Y83=1,'Rent Roll'!K83,"")</f>
        <v/>
      </c>
      <c r="AF141" s="1551" t="str">
        <f ca="1">IF('Rent Roll'!$Y83=1,'Rent Roll'!N83,"")</f>
        <v/>
      </c>
      <c r="AG141" s="223"/>
      <c r="AH141" s="6"/>
      <c r="AI141" s="11"/>
      <c r="AJ141" s="1536"/>
      <c r="AK141" s="1537"/>
      <c r="AL141" s="1536"/>
      <c r="AM141" s="1545"/>
      <c r="AN141" s="124"/>
      <c r="AO141" s="11"/>
      <c r="AP141" s="32"/>
    </row>
    <row r="142" spans="1:42" ht="15.95" hidden="1" customHeight="1" x14ac:dyDescent="0.25">
      <c r="A142" s="957">
        <f t="shared" ca="1" si="7"/>
        <v>0</v>
      </c>
      <c r="AA142" s="4"/>
      <c r="AB142" s="5"/>
      <c r="AC142" s="5" t="str">
        <f ca="1">IF('Rent Roll'!$Y84=1,'Rent Roll'!E84,"")</f>
        <v/>
      </c>
      <c r="AD142" s="39" t="str">
        <f ca="1">IF('Rent Roll'!$Y84=1,'Rent Roll'!G84,"")</f>
        <v/>
      </c>
      <c r="AE142" s="1547" t="str">
        <f ca="1">IF('Rent Roll'!$Y84=1,'Rent Roll'!K84,"")</f>
        <v/>
      </c>
      <c r="AF142" s="1551" t="str">
        <f ca="1">IF('Rent Roll'!$Y84=1,'Rent Roll'!N84,"")</f>
        <v/>
      </c>
      <c r="AG142" s="223"/>
      <c r="AH142" s="6"/>
      <c r="AI142" s="11"/>
      <c r="AJ142" s="1536"/>
      <c r="AK142" s="1537"/>
      <c r="AL142" s="1536"/>
      <c r="AM142" s="1545"/>
      <c r="AN142" s="124"/>
      <c r="AO142" s="11"/>
      <c r="AP142" s="32"/>
    </row>
    <row r="143" spans="1:42" ht="15.95" hidden="1" customHeight="1" x14ac:dyDescent="0.25">
      <c r="A143" s="957">
        <f t="shared" ca="1" si="7"/>
        <v>0</v>
      </c>
      <c r="AA143" s="4"/>
      <c r="AB143" s="5"/>
      <c r="AC143" s="5" t="str">
        <f ca="1">IF('Rent Roll'!$Y85=1,'Rent Roll'!E85,"")</f>
        <v/>
      </c>
      <c r="AD143" s="39" t="str">
        <f ca="1">IF('Rent Roll'!$Y85=1,'Rent Roll'!G85,"")</f>
        <v/>
      </c>
      <c r="AE143" s="1547" t="str">
        <f ca="1">IF('Rent Roll'!$Y85=1,'Rent Roll'!K85,"")</f>
        <v/>
      </c>
      <c r="AF143" s="1551" t="str">
        <f ca="1">IF('Rent Roll'!$Y85=1,'Rent Roll'!N85,"")</f>
        <v/>
      </c>
      <c r="AG143" s="223"/>
      <c r="AH143" s="6"/>
      <c r="AI143" s="11"/>
      <c r="AJ143" s="1536"/>
      <c r="AK143" s="1537"/>
      <c r="AL143" s="1536"/>
      <c r="AM143" s="1545"/>
      <c r="AN143" s="124"/>
      <c r="AO143" s="11"/>
      <c r="AP143" s="32"/>
    </row>
    <row r="144" spans="1:42" ht="15.95" hidden="1" customHeight="1" x14ac:dyDescent="0.25">
      <c r="A144" s="957">
        <f t="shared" ca="1" si="7"/>
        <v>0</v>
      </c>
      <c r="AA144" s="4"/>
      <c r="AB144" s="5"/>
      <c r="AC144" s="5" t="str">
        <f ca="1">IF('Rent Roll'!$Y86=1,'Rent Roll'!E86,"")</f>
        <v/>
      </c>
      <c r="AD144" s="39" t="str">
        <f ca="1">IF('Rent Roll'!$Y86=1,'Rent Roll'!G86,"")</f>
        <v/>
      </c>
      <c r="AE144" s="1547" t="str">
        <f ca="1">IF('Rent Roll'!$Y86=1,'Rent Roll'!K86,"")</f>
        <v/>
      </c>
      <c r="AF144" s="1551" t="str">
        <f ca="1">IF('Rent Roll'!$Y86=1,'Rent Roll'!N86,"")</f>
        <v/>
      </c>
      <c r="AG144" s="223"/>
      <c r="AH144" s="6"/>
      <c r="AI144" s="11"/>
      <c r="AJ144" s="1536"/>
      <c r="AK144" s="1537"/>
      <c r="AL144" s="1536"/>
      <c r="AM144" s="1545"/>
      <c r="AN144" s="124"/>
      <c r="AO144" s="11"/>
      <c r="AP144" s="32"/>
    </row>
    <row r="145" spans="1:42" ht="15.95" hidden="1" customHeight="1" x14ac:dyDescent="0.25">
      <c r="A145" s="957">
        <f t="shared" ca="1" si="7"/>
        <v>0</v>
      </c>
      <c r="AA145" s="4"/>
      <c r="AB145" s="5"/>
      <c r="AC145" s="5" t="str">
        <f ca="1">IF('Rent Roll'!$Y87=1,'Rent Roll'!E87,"")</f>
        <v/>
      </c>
      <c r="AD145" s="39" t="str">
        <f ca="1">IF('Rent Roll'!$Y87=1,'Rent Roll'!G87,"")</f>
        <v/>
      </c>
      <c r="AE145" s="1547" t="str">
        <f ca="1">IF('Rent Roll'!$Y87=1,'Rent Roll'!K87,"")</f>
        <v/>
      </c>
      <c r="AF145" s="1551" t="str">
        <f ca="1">IF('Rent Roll'!$Y87=1,'Rent Roll'!N87,"")</f>
        <v/>
      </c>
      <c r="AG145" s="223"/>
      <c r="AH145" s="6"/>
      <c r="AI145" s="11"/>
      <c r="AJ145" s="1536"/>
      <c r="AK145" s="1537"/>
      <c r="AL145" s="1536"/>
      <c r="AM145" s="1545"/>
      <c r="AN145" s="124"/>
      <c r="AO145" s="11"/>
      <c r="AP145" s="32"/>
    </row>
    <row r="146" spans="1:42" ht="15.95" hidden="1" customHeight="1" x14ac:dyDescent="0.25">
      <c r="A146" s="957">
        <f t="shared" ca="1" si="7"/>
        <v>0</v>
      </c>
      <c r="AA146" s="4"/>
      <c r="AB146" s="5"/>
      <c r="AC146" s="5" t="str">
        <f ca="1">IF('Rent Roll'!$Y88=1,'Rent Roll'!E88,"")</f>
        <v/>
      </c>
      <c r="AD146" s="39" t="str">
        <f ca="1">IF('Rent Roll'!$Y88=1,'Rent Roll'!G88,"")</f>
        <v/>
      </c>
      <c r="AE146" s="1547" t="str">
        <f ca="1">IF('Rent Roll'!$Y88=1,'Rent Roll'!K88,"")</f>
        <v/>
      </c>
      <c r="AF146" s="1551" t="str">
        <f ca="1">IF('Rent Roll'!$Y88=1,'Rent Roll'!N88,"")</f>
        <v/>
      </c>
      <c r="AG146" s="223"/>
      <c r="AH146" s="6"/>
      <c r="AI146" s="11"/>
      <c r="AJ146" s="1536"/>
      <c r="AK146" s="1537"/>
      <c r="AL146" s="1536"/>
      <c r="AM146" s="1545"/>
      <c r="AN146" s="124"/>
      <c r="AO146" s="11"/>
      <c r="AP146" s="32"/>
    </row>
    <row r="147" spans="1:42" ht="15.95" hidden="1" customHeight="1" x14ac:dyDescent="0.25">
      <c r="A147" s="957">
        <f t="shared" ca="1" si="7"/>
        <v>0</v>
      </c>
      <c r="AA147" s="4"/>
      <c r="AB147" s="5"/>
      <c r="AC147" s="5" t="str">
        <f ca="1">IF('Rent Roll'!$Y89=1,'Rent Roll'!E89,"")</f>
        <v/>
      </c>
      <c r="AD147" s="39" t="str">
        <f ca="1">IF('Rent Roll'!$Y89=1,'Rent Roll'!G89,"")</f>
        <v/>
      </c>
      <c r="AE147" s="1547" t="str">
        <f ca="1">IF('Rent Roll'!$Y89=1,'Rent Roll'!K89,"")</f>
        <v/>
      </c>
      <c r="AF147" s="1551" t="str">
        <f ca="1">IF('Rent Roll'!$Y89=1,'Rent Roll'!N89,"")</f>
        <v/>
      </c>
      <c r="AG147" s="223"/>
      <c r="AH147" s="6"/>
      <c r="AI147" s="11"/>
      <c r="AJ147" s="1536"/>
      <c r="AK147" s="1537"/>
      <c r="AL147" s="1536"/>
      <c r="AM147" s="1545"/>
      <c r="AN147" s="124"/>
      <c r="AO147" s="11"/>
      <c r="AP147" s="32"/>
    </row>
    <row r="148" spans="1:42" ht="15.95" hidden="1" customHeight="1" x14ac:dyDescent="0.25">
      <c r="A148" s="957">
        <f t="shared" ca="1" si="7"/>
        <v>0</v>
      </c>
      <c r="AA148" s="4"/>
      <c r="AB148" s="5"/>
      <c r="AC148" s="5" t="str">
        <f ca="1">IF('Rent Roll'!$Y90=1,'Rent Roll'!E90,"")</f>
        <v/>
      </c>
      <c r="AD148" s="39" t="str">
        <f ca="1">IF('Rent Roll'!$Y90=1,'Rent Roll'!G90,"")</f>
        <v/>
      </c>
      <c r="AE148" s="1547" t="str">
        <f ca="1">IF('Rent Roll'!$Y90=1,'Rent Roll'!K90,"")</f>
        <v/>
      </c>
      <c r="AF148" s="1551" t="str">
        <f ca="1">IF('Rent Roll'!$Y90=1,'Rent Roll'!N90,"")</f>
        <v/>
      </c>
      <c r="AG148" s="223"/>
      <c r="AH148" s="6"/>
      <c r="AI148" s="11"/>
      <c r="AJ148" s="1536"/>
      <c r="AK148" s="1537"/>
      <c r="AL148" s="1536"/>
      <c r="AM148" s="1545"/>
      <c r="AN148" s="124"/>
      <c r="AO148" s="11"/>
      <c r="AP148" s="32"/>
    </row>
    <row r="149" spans="1:42" ht="15.95" hidden="1" customHeight="1" x14ac:dyDescent="0.25">
      <c r="A149" s="957">
        <f t="shared" ca="1" si="7"/>
        <v>0</v>
      </c>
      <c r="AA149" s="4"/>
      <c r="AB149" s="5"/>
      <c r="AC149" s="5" t="str">
        <f ca="1">IF('Rent Roll'!$Y91=1,'Rent Roll'!E91,"")</f>
        <v/>
      </c>
      <c r="AD149" s="39" t="str">
        <f ca="1">IF('Rent Roll'!$Y91=1,'Rent Roll'!G91,"")</f>
        <v/>
      </c>
      <c r="AE149" s="1547" t="str">
        <f ca="1">IF('Rent Roll'!$Y91=1,'Rent Roll'!K91,"")</f>
        <v/>
      </c>
      <c r="AF149" s="1551" t="str">
        <f ca="1">IF('Rent Roll'!$Y91=1,'Rent Roll'!N91,"")</f>
        <v/>
      </c>
      <c r="AG149" s="223"/>
      <c r="AH149" s="6"/>
      <c r="AI149" s="11"/>
      <c r="AJ149" s="1536"/>
      <c r="AK149" s="1537"/>
      <c r="AL149" s="1536"/>
      <c r="AM149" s="1545"/>
      <c r="AN149" s="124"/>
      <c r="AO149" s="11"/>
      <c r="AP149" s="32"/>
    </row>
    <row r="150" spans="1:42" ht="15.95" hidden="1" customHeight="1" x14ac:dyDescent="0.25">
      <c r="A150" s="957">
        <f t="shared" ca="1" si="7"/>
        <v>0</v>
      </c>
      <c r="AA150" s="4"/>
      <c r="AB150" s="5"/>
      <c r="AC150" s="5" t="str">
        <f ca="1">IF('Rent Roll'!$Y92=1,'Rent Roll'!E92,"")</f>
        <v/>
      </c>
      <c r="AD150" s="39" t="str">
        <f ca="1">IF('Rent Roll'!$Y92=1,'Rent Roll'!G92,"")</f>
        <v/>
      </c>
      <c r="AE150" s="1547" t="str">
        <f ca="1">IF('Rent Roll'!$Y92=1,'Rent Roll'!K92,"")</f>
        <v/>
      </c>
      <c r="AF150" s="1551" t="str">
        <f ca="1">IF('Rent Roll'!$Y92=1,'Rent Roll'!N92,"")</f>
        <v/>
      </c>
      <c r="AG150" s="223"/>
      <c r="AH150" s="6"/>
      <c r="AI150" s="11"/>
      <c r="AJ150" s="1536"/>
      <c r="AK150" s="1537"/>
      <c r="AL150" s="1536"/>
      <c r="AM150" s="1545"/>
      <c r="AN150" s="124"/>
      <c r="AO150" s="11"/>
      <c r="AP150" s="32"/>
    </row>
    <row r="151" spans="1:42" ht="15.95" hidden="1" customHeight="1" x14ac:dyDescent="0.25">
      <c r="A151" s="957">
        <f t="shared" ca="1" si="7"/>
        <v>0</v>
      </c>
      <c r="AA151" s="4"/>
      <c r="AB151" s="5"/>
      <c r="AC151" s="5" t="str">
        <f ca="1">IF('Rent Roll'!$Y93=1,'Rent Roll'!E93,"")</f>
        <v/>
      </c>
      <c r="AD151" s="39" t="str">
        <f ca="1">IF('Rent Roll'!$Y93=1,'Rent Roll'!G93,"")</f>
        <v/>
      </c>
      <c r="AE151" s="1547" t="str">
        <f ca="1">IF('Rent Roll'!$Y93=1,'Rent Roll'!K93,"")</f>
        <v/>
      </c>
      <c r="AF151" s="1551" t="str">
        <f ca="1">IF('Rent Roll'!$Y93=1,'Rent Roll'!N93,"")</f>
        <v/>
      </c>
      <c r="AG151" s="223"/>
      <c r="AH151" s="6"/>
      <c r="AI151" s="11"/>
      <c r="AJ151" s="1536"/>
      <c r="AK151" s="1537"/>
      <c r="AL151" s="1536"/>
      <c r="AM151" s="1545"/>
      <c r="AN151" s="124"/>
      <c r="AO151" s="11"/>
      <c r="AP151" s="32"/>
    </row>
    <row r="152" spans="1:42" ht="15.95" hidden="1" customHeight="1" x14ac:dyDescent="0.25">
      <c r="A152" s="957">
        <f t="shared" ca="1" si="7"/>
        <v>0</v>
      </c>
      <c r="AA152" s="4"/>
      <c r="AB152" s="5"/>
      <c r="AC152" s="5" t="str">
        <f ca="1">IF('Rent Roll'!$Y94=1,'Rent Roll'!E94,"")</f>
        <v/>
      </c>
      <c r="AD152" s="39" t="str">
        <f ca="1">IF('Rent Roll'!$Y94=1,'Rent Roll'!G94,"")</f>
        <v/>
      </c>
      <c r="AE152" s="1547" t="str">
        <f ca="1">IF('Rent Roll'!$Y94=1,'Rent Roll'!K94,"")</f>
        <v/>
      </c>
      <c r="AF152" s="1551" t="str">
        <f ca="1">IF('Rent Roll'!$Y94=1,'Rent Roll'!N94,"")</f>
        <v/>
      </c>
      <c r="AG152" s="223"/>
      <c r="AH152" s="6"/>
      <c r="AI152" s="11"/>
      <c r="AJ152" s="1536"/>
      <c r="AK152" s="1537"/>
      <c r="AL152" s="1536"/>
      <c r="AM152" s="1545"/>
      <c r="AN152" s="124"/>
      <c r="AO152" s="11"/>
      <c r="AP152" s="32"/>
    </row>
    <row r="153" spans="1:42" ht="15.95" hidden="1" customHeight="1" x14ac:dyDescent="0.25">
      <c r="A153" s="957">
        <f t="shared" ca="1" si="7"/>
        <v>0</v>
      </c>
      <c r="AA153" s="4"/>
      <c r="AB153" s="5"/>
      <c r="AC153" s="5" t="str">
        <f ca="1">IF('Rent Roll'!$Y95=1,'Rent Roll'!E95,"")</f>
        <v/>
      </c>
      <c r="AD153" s="39" t="str">
        <f ca="1">IF('Rent Roll'!$Y95=1,'Rent Roll'!G95,"")</f>
        <v/>
      </c>
      <c r="AE153" s="1547" t="str">
        <f ca="1">IF('Rent Roll'!$Y95=1,'Rent Roll'!K95,"")</f>
        <v/>
      </c>
      <c r="AF153" s="1551" t="str">
        <f ca="1">IF('Rent Roll'!$Y95=1,'Rent Roll'!N95,"")</f>
        <v/>
      </c>
      <c r="AG153" s="223"/>
      <c r="AH153" s="6"/>
      <c r="AI153" s="11"/>
      <c r="AJ153" s="1536"/>
      <c r="AK153" s="1537"/>
      <c r="AL153" s="1536"/>
      <c r="AM153" s="1545"/>
      <c r="AN153" s="124"/>
      <c r="AO153" s="11"/>
      <c r="AP153" s="32"/>
    </row>
    <row r="154" spans="1:42" ht="15.95" hidden="1" customHeight="1" x14ac:dyDescent="0.25">
      <c r="A154" s="957">
        <f t="shared" ca="1" si="7"/>
        <v>0</v>
      </c>
      <c r="AA154" s="4"/>
      <c r="AB154" s="5"/>
      <c r="AC154" s="5" t="str">
        <f ca="1">IF('Rent Roll'!$Y96=1,'Rent Roll'!E96,"")</f>
        <v/>
      </c>
      <c r="AD154" s="39" t="str">
        <f ca="1">IF('Rent Roll'!$Y96=1,'Rent Roll'!G96,"")</f>
        <v/>
      </c>
      <c r="AE154" s="1547" t="str">
        <f ca="1">IF('Rent Roll'!$Y96=1,'Rent Roll'!K96,"")</f>
        <v/>
      </c>
      <c r="AF154" s="1551" t="str">
        <f ca="1">IF('Rent Roll'!$Y96=1,'Rent Roll'!N96,"")</f>
        <v/>
      </c>
      <c r="AG154" s="223"/>
      <c r="AH154" s="6"/>
      <c r="AI154" s="11"/>
      <c r="AJ154" s="1536"/>
      <c r="AK154" s="1537"/>
      <c r="AL154" s="1536"/>
      <c r="AM154" s="1545"/>
      <c r="AN154" s="124"/>
      <c r="AO154" s="11"/>
      <c r="AP154" s="32"/>
    </row>
    <row r="155" spans="1:42" ht="15.95" hidden="1" customHeight="1" x14ac:dyDescent="0.25">
      <c r="A155" s="957">
        <f t="shared" ca="1" si="7"/>
        <v>0</v>
      </c>
      <c r="AA155" s="4"/>
      <c r="AB155" s="5"/>
      <c r="AC155" s="5" t="str">
        <f ca="1">IF('Rent Roll'!$Y97=1,'Rent Roll'!E97,"")</f>
        <v/>
      </c>
      <c r="AD155" s="39" t="str">
        <f ca="1">IF('Rent Roll'!$Y97=1,'Rent Roll'!G97,"")</f>
        <v/>
      </c>
      <c r="AE155" s="1547" t="str">
        <f ca="1">IF('Rent Roll'!$Y97=1,'Rent Roll'!K97,"")</f>
        <v/>
      </c>
      <c r="AF155" s="1551" t="str">
        <f ca="1">IF('Rent Roll'!$Y97=1,'Rent Roll'!N97,"")</f>
        <v/>
      </c>
      <c r="AG155" s="223"/>
      <c r="AH155" s="6"/>
      <c r="AI155" s="11"/>
      <c r="AJ155" s="1536"/>
      <c r="AK155" s="1537"/>
      <c r="AL155" s="1536"/>
      <c r="AM155" s="1545"/>
      <c r="AN155" s="124"/>
      <c r="AO155" s="11"/>
      <c r="AP155" s="32"/>
    </row>
    <row r="156" spans="1:42" ht="15.95" hidden="1" customHeight="1" x14ac:dyDescent="0.25">
      <c r="A156" s="957">
        <f t="shared" ca="1" si="7"/>
        <v>0</v>
      </c>
      <c r="AA156" s="4"/>
      <c r="AB156" s="5"/>
      <c r="AC156" s="5" t="str">
        <f ca="1">IF('Rent Roll'!$Y98=1,'Rent Roll'!E98,"")</f>
        <v/>
      </c>
      <c r="AD156" s="39" t="str">
        <f ca="1">IF('Rent Roll'!$Y98=1,'Rent Roll'!G98,"")</f>
        <v/>
      </c>
      <c r="AE156" s="1547" t="str">
        <f ca="1">IF('Rent Roll'!$Y98=1,'Rent Roll'!K98,"")</f>
        <v/>
      </c>
      <c r="AF156" s="1551" t="str">
        <f ca="1">IF('Rent Roll'!$Y98=1,'Rent Roll'!N98,"")</f>
        <v/>
      </c>
      <c r="AG156" s="223"/>
      <c r="AH156" s="6"/>
      <c r="AI156" s="11"/>
      <c r="AJ156" s="1536"/>
      <c r="AK156" s="1537"/>
      <c r="AL156" s="1536"/>
      <c r="AM156" s="1545"/>
      <c r="AN156" s="124"/>
      <c r="AO156" s="11"/>
      <c r="AP156" s="32"/>
    </row>
    <row r="157" spans="1:42" ht="15.95" hidden="1" customHeight="1" x14ac:dyDescent="0.25">
      <c r="A157" s="957">
        <f t="shared" ca="1" si="7"/>
        <v>0</v>
      </c>
      <c r="AA157" s="4"/>
      <c r="AB157" s="5"/>
      <c r="AC157" s="5" t="str">
        <f ca="1">IF('Rent Roll'!$Y99=1,'Rent Roll'!E99,"")</f>
        <v/>
      </c>
      <c r="AD157" s="39" t="str">
        <f ca="1">IF('Rent Roll'!$Y99=1,'Rent Roll'!G99,"")</f>
        <v/>
      </c>
      <c r="AE157" s="1547" t="str">
        <f ca="1">IF('Rent Roll'!$Y99=1,'Rent Roll'!K99,"")</f>
        <v/>
      </c>
      <c r="AF157" s="1551" t="str">
        <f ca="1">IF('Rent Roll'!$Y99=1,'Rent Roll'!N99,"")</f>
        <v/>
      </c>
      <c r="AG157" s="223"/>
      <c r="AH157" s="6"/>
      <c r="AI157" s="11"/>
      <c r="AJ157" s="1536"/>
      <c r="AK157" s="1537"/>
      <c r="AL157" s="1536"/>
      <c r="AM157" s="1545"/>
      <c r="AN157" s="124"/>
      <c r="AO157" s="11"/>
      <c r="AP157" s="32"/>
    </row>
    <row r="158" spans="1:42" ht="15.95" hidden="1" customHeight="1" x14ac:dyDescent="0.25">
      <c r="A158" s="957">
        <f t="shared" ca="1" si="7"/>
        <v>0</v>
      </c>
      <c r="AA158" s="4"/>
      <c r="AB158" s="5"/>
      <c r="AC158" s="5" t="str">
        <f ca="1">IF('Rent Roll'!$Y100=1,'Rent Roll'!E100,"")</f>
        <v/>
      </c>
      <c r="AD158" s="39" t="str">
        <f ca="1">IF('Rent Roll'!$Y100=1,'Rent Roll'!G100,"")</f>
        <v/>
      </c>
      <c r="AE158" s="1547" t="str">
        <f ca="1">IF('Rent Roll'!$Y100=1,'Rent Roll'!K100,"")</f>
        <v/>
      </c>
      <c r="AF158" s="1551" t="str">
        <f ca="1">IF('Rent Roll'!$Y100=1,'Rent Roll'!N100,"")</f>
        <v/>
      </c>
      <c r="AG158" s="223"/>
      <c r="AH158" s="6"/>
      <c r="AI158" s="11"/>
      <c r="AJ158" s="1536"/>
      <c r="AK158" s="1537"/>
      <c r="AL158" s="1536"/>
      <c r="AM158" s="1545"/>
      <c r="AN158" s="124"/>
      <c r="AO158" s="11"/>
      <c r="AP158" s="32"/>
    </row>
    <row r="159" spans="1:42" ht="15.95" hidden="1" customHeight="1" x14ac:dyDescent="0.25">
      <c r="A159" s="957">
        <f t="shared" ca="1" si="7"/>
        <v>0</v>
      </c>
      <c r="AA159" s="4"/>
      <c r="AB159" s="5"/>
      <c r="AC159" s="5" t="str">
        <f ca="1">IF('Rent Roll'!$Y101=1,'Rent Roll'!E101,"")</f>
        <v/>
      </c>
      <c r="AD159" s="39" t="str">
        <f ca="1">IF('Rent Roll'!$Y101=1,'Rent Roll'!G101,"")</f>
        <v/>
      </c>
      <c r="AE159" s="1547" t="str">
        <f ca="1">IF('Rent Roll'!$Y101=1,'Rent Roll'!K101,"")</f>
        <v/>
      </c>
      <c r="AF159" s="1551" t="str">
        <f ca="1">IF('Rent Roll'!$Y101=1,'Rent Roll'!N101,"")</f>
        <v/>
      </c>
      <c r="AG159" s="223"/>
      <c r="AH159" s="6"/>
      <c r="AI159" s="11"/>
      <c r="AJ159" s="1536"/>
      <c r="AK159" s="1537"/>
      <c r="AL159" s="1536"/>
      <c r="AM159" s="1545"/>
      <c r="AN159" s="124"/>
      <c r="AO159" s="11"/>
      <c r="AP159" s="32"/>
    </row>
    <row r="160" spans="1:42" ht="15.95" hidden="1" customHeight="1" x14ac:dyDescent="0.25">
      <c r="A160" s="957">
        <f t="shared" ca="1" si="7"/>
        <v>0</v>
      </c>
      <c r="AA160" s="4"/>
      <c r="AB160" s="5"/>
      <c r="AC160" s="5" t="str">
        <f ca="1">IF('Rent Roll'!$Y102=1,'Rent Roll'!E102,"")</f>
        <v/>
      </c>
      <c r="AD160" s="39" t="str">
        <f ca="1">IF('Rent Roll'!$Y102=1,'Rent Roll'!G102,"")</f>
        <v/>
      </c>
      <c r="AE160" s="1547" t="str">
        <f ca="1">IF('Rent Roll'!$Y102=1,'Rent Roll'!K102,"")</f>
        <v/>
      </c>
      <c r="AF160" s="1551" t="str">
        <f ca="1">IF('Rent Roll'!$Y102=1,'Rent Roll'!N102,"")</f>
        <v/>
      </c>
      <c r="AG160" s="223"/>
      <c r="AH160" s="6"/>
      <c r="AI160" s="11"/>
      <c r="AJ160" s="1536"/>
      <c r="AK160" s="1537"/>
      <c r="AL160" s="1536"/>
      <c r="AM160" s="1545"/>
      <c r="AN160" s="124"/>
      <c r="AO160" s="11"/>
      <c r="AP160" s="32"/>
    </row>
    <row r="161" spans="1:42" ht="15.95" hidden="1" customHeight="1" x14ac:dyDescent="0.25">
      <c r="A161" s="957">
        <f t="shared" ca="1" si="7"/>
        <v>0</v>
      </c>
      <c r="AA161" s="4"/>
      <c r="AB161" s="5"/>
      <c r="AC161" s="5" t="str">
        <f ca="1">IF('Rent Roll'!$Y103=1,'Rent Roll'!E103,"")</f>
        <v/>
      </c>
      <c r="AD161" s="39" t="str">
        <f ca="1">IF('Rent Roll'!$Y103=1,'Rent Roll'!G103,"")</f>
        <v/>
      </c>
      <c r="AE161" s="1547" t="str">
        <f ca="1">IF('Rent Roll'!$Y103=1,'Rent Roll'!K103,"")</f>
        <v/>
      </c>
      <c r="AF161" s="1551" t="str">
        <f ca="1">IF('Rent Roll'!$Y103=1,'Rent Roll'!N103,"")</f>
        <v/>
      </c>
      <c r="AG161" s="223"/>
      <c r="AH161" s="6"/>
      <c r="AI161" s="11"/>
      <c r="AJ161" s="1536"/>
      <c r="AK161" s="1537"/>
      <c r="AL161" s="1536"/>
      <c r="AM161" s="1545"/>
      <c r="AN161" s="124"/>
      <c r="AO161" s="11"/>
      <c r="AP161" s="32"/>
    </row>
    <row r="162" spans="1:42" ht="15.95" hidden="1" customHeight="1" x14ac:dyDescent="0.25">
      <c r="A162" s="957">
        <f t="shared" ca="1" si="7"/>
        <v>0</v>
      </c>
      <c r="AA162" s="4"/>
      <c r="AB162" s="5"/>
      <c r="AC162" s="5" t="str">
        <f ca="1">IF('Rent Roll'!$Y104=1,'Rent Roll'!E104,"")</f>
        <v/>
      </c>
      <c r="AD162" s="39" t="str">
        <f ca="1">IF('Rent Roll'!$Y104=1,'Rent Roll'!G104,"")</f>
        <v/>
      </c>
      <c r="AE162" s="1547" t="str">
        <f ca="1">IF('Rent Roll'!$Y104=1,'Rent Roll'!K104,"")</f>
        <v/>
      </c>
      <c r="AF162" s="1551" t="str">
        <f ca="1">IF('Rent Roll'!$Y104=1,'Rent Roll'!N104,"")</f>
        <v/>
      </c>
      <c r="AG162" s="223"/>
      <c r="AH162" s="6"/>
      <c r="AI162" s="11"/>
      <c r="AJ162" s="1536"/>
      <c r="AK162" s="1537"/>
      <c r="AL162" s="1536"/>
      <c r="AM162" s="1545"/>
      <c r="AN162" s="124"/>
      <c r="AO162" s="11"/>
      <c r="AP162" s="32"/>
    </row>
    <row r="163" spans="1:42" ht="15.95" hidden="1" customHeight="1" x14ac:dyDescent="0.25">
      <c r="A163" s="957">
        <f t="shared" ca="1" si="7"/>
        <v>0</v>
      </c>
      <c r="AA163" s="4"/>
      <c r="AB163" s="5"/>
      <c r="AC163" s="5" t="str">
        <f ca="1">IF('Rent Roll'!$Y105=1,'Rent Roll'!E105,"")</f>
        <v/>
      </c>
      <c r="AD163" s="39" t="str">
        <f ca="1">IF('Rent Roll'!$Y105=1,'Rent Roll'!G105,"")</f>
        <v/>
      </c>
      <c r="AE163" s="1547" t="str">
        <f ca="1">IF('Rent Roll'!$Y105=1,'Rent Roll'!K105,"")</f>
        <v/>
      </c>
      <c r="AF163" s="1551" t="str">
        <f ca="1">IF('Rent Roll'!$Y105=1,'Rent Roll'!N105,"")</f>
        <v/>
      </c>
      <c r="AG163" s="223"/>
      <c r="AH163" s="6"/>
      <c r="AI163" s="11"/>
      <c r="AJ163" s="1536"/>
      <c r="AK163" s="1537"/>
      <c r="AL163" s="1536"/>
      <c r="AM163" s="1545"/>
      <c r="AN163" s="124"/>
      <c r="AO163" s="11"/>
      <c r="AP163" s="32"/>
    </row>
    <row r="164" spans="1:42" ht="15.95" hidden="1" customHeight="1" x14ac:dyDescent="0.25">
      <c r="A164" s="957">
        <f t="shared" ca="1" si="7"/>
        <v>0</v>
      </c>
      <c r="AA164" s="4"/>
      <c r="AB164" s="5"/>
      <c r="AC164" s="5" t="str">
        <f ca="1">IF('Rent Roll'!$Y106=1,'Rent Roll'!E106,"")</f>
        <v/>
      </c>
      <c r="AD164" s="39" t="str">
        <f ca="1">IF('Rent Roll'!$Y106=1,'Rent Roll'!G106,"")</f>
        <v/>
      </c>
      <c r="AE164" s="1547" t="str">
        <f ca="1">IF('Rent Roll'!$Y106=1,'Rent Roll'!K106,"")</f>
        <v/>
      </c>
      <c r="AF164" s="1551" t="str">
        <f ca="1">IF('Rent Roll'!$Y106=1,'Rent Roll'!N106,"")</f>
        <v/>
      </c>
      <c r="AG164" s="223"/>
      <c r="AH164" s="6"/>
      <c r="AI164" s="11"/>
      <c r="AJ164" s="1536"/>
      <c r="AK164" s="1537"/>
      <c r="AL164" s="1536"/>
      <c r="AM164" s="1545"/>
      <c r="AN164" s="124"/>
      <c r="AO164" s="11"/>
      <c r="AP164" s="32"/>
    </row>
    <row r="165" spans="1:42" ht="15.95" hidden="1" customHeight="1" x14ac:dyDescent="0.25">
      <c r="A165" s="957">
        <f t="shared" ca="1" si="7"/>
        <v>0</v>
      </c>
      <c r="AA165" s="4"/>
      <c r="AB165" s="5"/>
      <c r="AC165" s="5" t="str">
        <f ca="1">IF('Rent Roll'!$Y107=1,'Rent Roll'!E107,"")</f>
        <v/>
      </c>
      <c r="AD165" s="39" t="str">
        <f ca="1">IF('Rent Roll'!$Y107=1,'Rent Roll'!G107,"")</f>
        <v/>
      </c>
      <c r="AE165" s="1547" t="str">
        <f ca="1">IF('Rent Roll'!$Y107=1,'Rent Roll'!K107,"")</f>
        <v/>
      </c>
      <c r="AF165" s="1551" t="str">
        <f ca="1">IF('Rent Roll'!$Y107=1,'Rent Roll'!N107,"")</f>
        <v/>
      </c>
      <c r="AG165" s="223"/>
      <c r="AH165" s="6"/>
      <c r="AI165" s="11"/>
      <c r="AJ165" s="1536"/>
      <c r="AK165" s="1537"/>
      <c r="AL165" s="1536"/>
      <c r="AM165" s="1545"/>
      <c r="AN165" s="124"/>
      <c r="AO165" s="11"/>
      <c r="AP165" s="32"/>
    </row>
    <row r="166" spans="1:42" ht="15.95" hidden="1" customHeight="1" x14ac:dyDescent="0.25">
      <c r="A166" s="957">
        <f t="shared" ca="1" si="7"/>
        <v>0</v>
      </c>
      <c r="AA166" s="4"/>
      <c r="AB166" s="5"/>
      <c r="AC166" s="5" t="str">
        <f ca="1">IF('Rent Roll'!$Y108=1,'Rent Roll'!E108,"")</f>
        <v/>
      </c>
      <c r="AD166" s="39" t="str">
        <f ca="1">IF('Rent Roll'!$Y108=1,'Rent Roll'!G108,"")</f>
        <v/>
      </c>
      <c r="AE166" s="1547" t="str">
        <f ca="1">IF('Rent Roll'!$Y108=1,'Rent Roll'!K108,"")</f>
        <v/>
      </c>
      <c r="AF166" s="1551" t="str">
        <f ca="1">IF('Rent Roll'!$Y108=1,'Rent Roll'!N108,"")</f>
        <v/>
      </c>
      <c r="AG166" s="223"/>
      <c r="AH166" s="6"/>
      <c r="AI166" s="11"/>
      <c r="AJ166" s="1536"/>
      <c r="AK166" s="1537"/>
      <c r="AL166" s="1536"/>
      <c r="AM166" s="1545"/>
      <c r="AN166" s="124"/>
      <c r="AO166" s="11"/>
      <c r="AP166" s="32"/>
    </row>
    <row r="167" spans="1:42" ht="15.95" hidden="1" customHeight="1" x14ac:dyDescent="0.25">
      <c r="A167" s="957">
        <f t="shared" ca="1" si="7"/>
        <v>0</v>
      </c>
      <c r="AA167" s="4"/>
      <c r="AB167" s="5"/>
      <c r="AC167" s="5" t="str">
        <f ca="1">IF('Rent Roll'!$Y109=1,'Rent Roll'!E109,"")</f>
        <v/>
      </c>
      <c r="AD167" s="39" t="str">
        <f ca="1">IF('Rent Roll'!$Y109=1,'Rent Roll'!G109,"")</f>
        <v/>
      </c>
      <c r="AE167" s="1547" t="str">
        <f ca="1">IF('Rent Roll'!$Y109=1,'Rent Roll'!K109,"")</f>
        <v/>
      </c>
      <c r="AF167" s="1551" t="str">
        <f ca="1">IF('Rent Roll'!$Y109=1,'Rent Roll'!N109,"")</f>
        <v/>
      </c>
      <c r="AG167" s="223"/>
      <c r="AH167" s="6"/>
      <c r="AI167" s="11"/>
      <c r="AJ167" s="1536"/>
      <c r="AK167" s="1537"/>
      <c r="AL167" s="1536"/>
      <c r="AM167" s="1545"/>
      <c r="AN167" s="124"/>
      <c r="AO167" s="11"/>
      <c r="AP167" s="32"/>
    </row>
    <row r="168" spans="1:42" ht="15.95" hidden="1" customHeight="1" x14ac:dyDescent="0.25">
      <c r="A168" s="957">
        <f t="shared" ca="1" si="7"/>
        <v>0</v>
      </c>
      <c r="AA168" s="4"/>
      <c r="AB168" s="5"/>
      <c r="AC168" s="5" t="str">
        <f ca="1">IF('Rent Roll'!$Y110=1,'Rent Roll'!E110,"")</f>
        <v/>
      </c>
      <c r="AD168" s="39" t="str">
        <f ca="1">IF('Rent Roll'!$Y110=1,'Rent Roll'!G110,"")</f>
        <v/>
      </c>
      <c r="AE168" s="1547" t="str">
        <f ca="1">IF('Rent Roll'!$Y110=1,'Rent Roll'!K110,"")</f>
        <v/>
      </c>
      <c r="AF168" s="1551" t="str">
        <f ca="1">IF('Rent Roll'!$Y110=1,'Rent Roll'!N110,"")</f>
        <v/>
      </c>
      <c r="AG168" s="223"/>
      <c r="AH168" s="6"/>
      <c r="AI168" s="11"/>
      <c r="AJ168" s="1536"/>
      <c r="AK168" s="1537"/>
      <c r="AL168" s="1536"/>
      <c r="AM168" s="1545"/>
      <c r="AN168" s="124"/>
      <c r="AO168" s="11"/>
      <c r="AP168" s="32"/>
    </row>
    <row r="169" spans="1:42" ht="15.95" hidden="1" customHeight="1" x14ac:dyDescent="0.25">
      <c r="A169" s="957">
        <f t="shared" ca="1" si="7"/>
        <v>0</v>
      </c>
      <c r="AA169" s="4"/>
      <c r="AB169" s="5"/>
      <c r="AC169" s="5" t="str">
        <f ca="1">IF('Rent Roll'!$Y111=1,'Rent Roll'!E111,"")</f>
        <v/>
      </c>
      <c r="AD169" s="39" t="str">
        <f ca="1">IF('Rent Roll'!$Y111=1,'Rent Roll'!G111,"")</f>
        <v/>
      </c>
      <c r="AE169" s="1547" t="str">
        <f ca="1">IF('Rent Roll'!$Y111=1,'Rent Roll'!K111,"")</f>
        <v/>
      </c>
      <c r="AF169" s="1551" t="str">
        <f ca="1">IF('Rent Roll'!$Y111=1,'Rent Roll'!N111,"")</f>
        <v/>
      </c>
      <c r="AG169" s="223"/>
      <c r="AH169" s="6"/>
      <c r="AI169" s="11"/>
      <c r="AJ169" s="1536"/>
      <c r="AK169" s="1537"/>
      <c r="AL169" s="1536"/>
      <c r="AM169" s="1545"/>
      <c r="AN169" s="124"/>
      <c r="AO169" s="11"/>
      <c r="AP169" s="32"/>
    </row>
    <row r="170" spans="1:42" ht="15.95" hidden="1" customHeight="1" x14ac:dyDescent="0.25">
      <c r="A170" s="957">
        <f t="shared" ca="1" si="7"/>
        <v>0</v>
      </c>
      <c r="AA170" s="4"/>
      <c r="AB170" s="5"/>
      <c r="AC170" s="5" t="str">
        <f ca="1">IF('Rent Roll'!$Y112=1,'Rent Roll'!E112,"")</f>
        <v/>
      </c>
      <c r="AD170" s="39" t="str">
        <f ca="1">IF('Rent Roll'!$Y112=1,'Rent Roll'!G112,"")</f>
        <v/>
      </c>
      <c r="AE170" s="1547" t="str">
        <f ca="1">IF('Rent Roll'!$Y112=1,'Rent Roll'!K112,"")</f>
        <v/>
      </c>
      <c r="AF170" s="1551" t="str">
        <f ca="1">IF('Rent Roll'!$Y112=1,'Rent Roll'!N112,"")</f>
        <v/>
      </c>
      <c r="AG170" s="223"/>
      <c r="AH170" s="6"/>
      <c r="AI170" s="11"/>
      <c r="AJ170" s="1536"/>
      <c r="AK170" s="1537"/>
      <c r="AL170" s="1536"/>
      <c r="AM170" s="1545"/>
      <c r="AN170" s="124"/>
      <c r="AO170" s="11"/>
      <c r="AP170" s="32"/>
    </row>
    <row r="171" spans="1:42" ht="15.95" hidden="1" customHeight="1" x14ac:dyDescent="0.25">
      <c r="A171" s="957">
        <f t="shared" ca="1" si="7"/>
        <v>0</v>
      </c>
      <c r="AA171" s="4"/>
      <c r="AB171" s="5"/>
      <c r="AC171" s="5" t="str">
        <f ca="1">IF('Rent Roll'!$Y113=1,'Rent Roll'!E113,"")</f>
        <v/>
      </c>
      <c r="AD171" s="39" t="str">
        <f ca="1">IF('Rent Roll'!$Y113=1,'Rent Roll'!G113,"")</f>
        <v/>
      </c>
      <c r="AE171" s="1547" t="str">
        <f ca="1">IF('Rent Roll'!$Y113=1,'Rent Roll'!K113,"")</f>
        <v/>
      </c>
      <c r="AF171" s="1551" t="str">
        <f ca="1">IF('Rent Roll'!$Y113=1,'Rent Roll'!N113,"")</f>
        <v/>
      </c>
      <c r="AG171" s="223"/>
      <c r="AH171" s="6"/>
      <c r="AI171" s="11"/>
      <c r="AJ171" s="1536"/>
      <c r="AK171" s="1537"/>
      <c r="AL171" s="1536"/>
      <c r="AM171" s="1545"/>
      <c r="AN171" s="124"/>
      <c r="AO171" s="11"/>
      <c r="AP171" s="32"/>
    </row>
    <row r="172" spans="1:42" ht="15.95" hidden="1" customHeight="1" x14ac:dyDescent="0.25">
      <c r="A172" s="957">
        <f t="shared" ca="1" si="7"/>
        <v>0</v>
      </c>
      <c r="AA172" s="4"/>
      <c r="AB172" s="5"/>
      <c r="AC172" s="5" t="str">
        <f ca="1">IF('Rent Roll'!$Y114=1,'Rent Roll'!E114,"")</f>
        <v/>
      </c>
      <c r="AD172" s="39" t="str">
        <f ca="1">IF('Rent Roll'!$Y114=1,'Rent Roll'!G114,"")</f>
        <v/>
      </c>
      <c r="AE172" s="1547" t="str">
        <f ca="1">IF('Rent Roll'!$Y114=1,'Rent Roll'!K114,"")</f>
        <v/>
      </c>
      <c r="AF172" s="1551" t="str">
        <f ca="1">IF('Rent Roll'!$Y114=1,'Rent Roll'!N114,"")</f>
        <v/>
      </c>
      <c r="AG172" s="223"/>
      <c r="AH172" s="6"/>
      <c r="AI172" s="11"/>
      <c r="AJ172" s="1536"/>
      <c r="AK172" s="1537"/>
      <c r="AL172" s="1536"/>
      <c r="AM172" s="1545"/>
      <c r="AN172" s="124"/>
      <c r="AO172" s="11"/>
      <c r="AP172" s="32"/>
    </row>
    <row r="173" spans="1:42" ht="15.95" hidden="1" customHeight="1" x14ac:dyDescent="0.25">
      <c r="A173" s="957">
        <f t="shared" ca="1" si="7"/>
        <v>0</v>
      </c>
      <c r="AA173" s="4"/>
      <c r="AB173" s="5"/>
      <c r="AC173" s="5" t="str">
        <f ca="1">IF('Rent Roll'!$Y115=1,'Rent Roll'!E115,"")</f>
        <v/>
      </c>
      <c r="AD173" s="39" t="str">
        <f ca="1">IF('Rent Roll'!$Y115=1,'Rent Roll'!G115,"")</f>
        <v/>
      </c>
      <c r="AE173" s="1547" t="str">
        <f ca="1">IF('Rent Roll'!$Y115=1,'Rent Roll'!K115,"")</f>
        <v/>
      </c>
      <c r="AF173" s="1551" t="str">
        <f ca="1">IF('Rent Roll'!$Y115=1,'Rent Roll'!N115,"")</f>
        <v/>
      </c>
      <c r="AG173" s="223"/>
      <c r="AH173" s="6"/>
      <c r="AI173" s="11"/>
      <c r="AJ173" s="1536"/>
      <c r="AK173" s="1537"/>
      <c r="AL173" s="1536"/>
      <c r="AM173" s="1545"/>
      <c r="AN173" s="124"/>
      <c r="AO173" s="11"/>
      <c r="AP173" s="32"/>
    </row>
    <row r="174" spans="1:42" ht="15.95" hidden="1" customHeight="1" x14ac:dyDescent="0.25">
      <c r="A174" s="957">
        <f t="shared" ca="1" si="7"/>
        <v>0</v>
      </c>
      <c r="AA174" s="4"/>
      <c r="AB174" s="5"/>
      <c r="AC174" s="5" t="str">
        <f ca="1">IF('Rent Roll'!$Y116=1,'Rent Roll'!E116,"")</f>
        <v/>
      </c>
      <c r="AD174" s="39" t="str">
        <f ca="1">IF('Rent Roll'!$Y116=1,'Rent Roll'!G116,"")</f>
        <v/>
      </c>
      <c r="AE174" s="1547" t="str">
        <f ca="1">IF('Rent Roll'!$Y116=1,'Rent Roll'!K116,"")</f>
        <v/>
      </c>
      <c r="AF174" s="1551" t="str">
        <f ca="1">IF('Rent Roll'!$Y116=1,'Rent Roll'!N116,"")</f>
        <v/>
      </c>
      <c r="AG174" s="223"/>
      <c r="AH174" s="6"/>
      <c r="AI174" s="11"/>
      <c r="AJ174" s="1536"/>
      <c r="AK174" s="1537"/>
      <c r="AL174" s="1536"/>
      <c r="AM174" s="1545"/>
      <c r="AN174" s="124"/>
      <c r="AO174" s="11"/>
      <c r="AP174" s="32"/>
    </row>
    <row r="175" spans="1:42" ht="15.95" hidden="1" customHeight="1" x14ac:dyDescent="0.25">
      <c r="A175" s="957">
        <f t="shared" ca="1" si="7"/>
        <v>0</v>
      </c>
      <c r="AA175" s="4"/>
      <c r="AB175" s="5"/>
      <c r="AC175" s="5" t="str">
        <f ca="1">IF('Rent Roll'!$Y117=1,'Rent Roll'!E117,"")</f>
        <v/>
      </c>
      <c r="AD175" s="39" t="str">
        <f ca="1">IF('Rent Roll'!$Y117=1,'Rent Roll'!G117,"")</f>
        <v/>
      </c>
      <c r="AE175" s="1547" t="str">
        <f ca="1">IF('Rent Roll'!$Y117=1,'Rent Roll'!K117,"")</f>
        <v/>
      </c>
      <c r="AF175" s="1551" t="str">
        <f ca="1">IF('Rent Roll'!$Y117=1,'Rent Roll'!N117,"")</f>
        <v/>
      </c>
      <c r="AG175" s="223"/>
      <c r="AH175" s="6"/>
      <c r="AI175" s="11"/>
      <c r="AJ175" s="1536"/>
      <c r="AK175" s="1537"/>
      <c r="AL175" s="1536"/>
      <c r="AM175" s="1545"/>
      <c r="AN175" s="124"/>
      <c r="AO175" s="11"/>
      <c r="AP175" s="32"/>
    </row>
    <row r="176" spans="1:42" ht="15.95" hidden="1" customHeight="1" x14ac:dyDescent="0.25">
      <c r="A176" s="957">
        <f t="shared" ca="1" si="7"/>
        <v>0</v>
      </c>
      <c r="AA176" s="4"/>
      <c r="AB176" s="5"/>
      <c r="AC176" s="5" t="str">
        <f ca="1">IF('Rent Roll'!$Y118=1,'Rent Roll'!E118,"")</f>
        <v/>
      </c>
      <c r="AD176" s="39" t="str">
        <f ca="1">IF('Rent Roll'!$Y118=1,'Rent Roll'!G118,"")</f>
        <v/>
      </c>
      <c r="AE176" s="1547" t="str">
        <f ca="1">IF('Rent Roll'!$Y118=1,'Rent Roll'!K118,"")</f>
        <v/>
      </c>
      <c r="AF176" s="1551" t="str">
        <f ca="1">IF('Rent Roll'!$Y118=1,'Rent Roll'!N118,"")</f>
        <v/>
      </c>
      <c r="AG176" s="223"/>
      <c r="AH176" s="6"/>
      <c r="AI176" s="11"/>
      <c r="AJ176" s="1536"/>
      <c r="AK176" s="1537"/>
      <c r="AL176" s="1536"/>
      <c r="AM176" s="1545"/>
      <c r="AN176" s="124"/>
      <c r="AO176" s="11"/>
      <c r="AP176" s="32"/>
    </row>
    <row r="177" spans="1:42" ht="15.95" hidden="1" customHeight="1" x14ac:dyDescent="0.25">
      <c r="A177" s="957">
        <f t="shared" ca="1" si="7"/>
        <v>0</v>
      </c>
      <c r="AA177" s="4"/>
      <c r="AB177" s="5"/>
      <c r="AC177" s="5" t="str">
        <f ca="1">IF('Rent Roll'!$Y119=1,'Rent Roll'!E119,"")</f>
        <v/>
      </c>
      <c r="AD177" s="39" t="str">
        <f ca="1">IF('Rent Roll'!$Y119=1,'Rent Roll'!G119,"")</f>
        <v/>
      </c>
      <c r="AE177" s="1547" t="str">
        <f ca="1">IF('Rent Roll'!$Y119=1,'Rent Roll'!K119,"")</f>
        <v/>
      </c>
      <c r="AF177" s="1551" t="str">
        <f ca="1">IF('Rent Roll'!$Y119=1,'Rent Roll'!N119,"")</f>
        <v/>
      </c>
      <c r="AG177" s="223"/>
      <c r="AH177" s="6"/>
      <c r="AI177" s="11"/>
      <c r="AJ177" s="1536"/>
      <c r="AK177" s="1537"/>
      <c r="AL177" s="1536"/>
      <c r="AM177" s="1545"/>
      <c r="AN177" s="124"/>
      <c r="AO177" s="11"/>
      <c r="AP177" s="32"/>
    </row>
    <row r="178" spans="1:42" ht="15.95" hidden="1" customHeight="1" x14ac:dyDescent="0.25">
      <c r="A178" s="957">
        <f t="shared" ca="1" si="7"/>
        <v>0</v>
      </c>
      <c r="AA178" s="4"/>
      <c r="AB178" s="5"/>
      <c r="AC178" s="5" t="str">
        <f ca="1">IF('Rent Roll'!$Y120=1,'Rent Roll'!E120,"")</f>
        <v/>
      </c>
      <c r="AD178" s="39" t="str">
        <f ca="1">IF('Rent Roll'!$Y120=1,'Rent Roll'!G120,"")</f>
        <v/>
      </c>
      <c r="AE178" s="1547" t="str">
        <f ca="1">IF('Rent Roll'!$Y120=1,'Rent Roll'!K120,"")</f>
        <v/>
      </c>
      <c r="AF178" s="1551" t="str">
        <f ca="1">IF('Rent Roll'!$Y120=1,'Rent Roll'!N120,"")</f>
        <v/>
      </c>
      <c r="AG178" s="223"/>
      <c r="AH178" s="6"/>
      <c r="AI178" s="11"/>
      <c r="AJ178" s="1536"/>
      <c r="AK178" s="1537"/>
      <c r="AL178" s="1536"/>
      <c r="AM178" s="1545"/>
      <c r="AN178" s="124"/>
      <c r="AO178" s="11"/>
      <c r="AP178" s="32"/>
    </row>
    <row r="179" spans="1:42" ht="15.95" hidden="1" customHeight="1" x14ac:dyDescent="0.25">
      <c r="A179" s="957">
        <f t="shared" ca="1" si="7"/>
        <v>0</v>
      </c>
      <c r="AA179" s="4"/>
      <c r="AB179" s="5"/>
      <c r="AC179" s="5" t="str">
        <f ca="1">IF('Rent Roll'!$Y121=1,'Rent Roll'!E121,"")</f>
        <v/>
      </c>
      <c r="AD179" s="39" t="str">
        <f ca="1">IF('Rent Roll'!$Y121=1,'Rent Roll'!G121,"")</f>
        <v/>
      </c>
      <c r="AE179" s="1547" t="str">
        <f ca="1">IF('Rent Roll'!$Y121=1,'Rent Roll'!K121,"")</f>
        <v/>
      </c>
      <c r="AF179" s="1551" t="str">
        <f ca="1">IF('Rent Roll'!$Y121=1,'Rent Roll'!N121,"")</f>
        <v/>
      </c>
      <c r="AG179" s="223"/>
      <c r="AH179" s="6"/>
      <c r="AI179" s="11"/>
      <c r="AJ179" s="1536"/>
      <c r="AK179" s="1537"/>
      <c r="AL179" s="1536"/>
      <c r="AM179" s="1545"/>
      <c r="AN179" s="124"/>
      <c r="AO179" s="11"/>
      <c r="AP179" s="32"/>
    </row>
    <row r="180" spans="1:42" ht="15.95" hidden="1" customHeight="1" x14ac:dyDescent="0.25">
      <c r="A180" s="957">
        <f t="shared" ca="1" si="7"/>
        <v>0</v>
      </c>
      <c r="AA180" s="4"/>
      <c r="AB180" s="5"/>
      <c r="AC180" s="5" t="str">
        <f ca="1">IF('Rent Roll'!$Y122=1,'Rent Roll'!E122,"")</f>
        <v/>
      </c>
      <c r="AD180" s="39" t="str">
        <f ca="1">IF('Rent Roll'!$Y122=1,'Rent Roll'!G122,"")</f>
        <v/>
      </c>
      <c r="AE180" s="1547" t="str">
        <f ca="1">IF('Rent Roll'!$Y122=1,'Rent Roll'!K122,"")</f>
        <v/>
      </c>
      <c r="AF180" s="1551" t="str">
        <f ca="1">IF('Rent Roll'!$Y122=1,'Rent Roll'!N122,"")</f>
        <v/>
      </c>
      <c r="AG180" s="223"/>
      <c r="AH180" s="6"/>
      <c r="AI180" s="11"/>
      <c r="AJ180" s="1536"/>
      <c r="AK180" s="1537"/>
      <c r="AL180" s="1536"/>
      <c r="AM180" s="1545"/>
      <c r="AN180" s="124"/>
      <c r="AO180" s="11"/>
      <c r="AP180" s="32"/>
    </row>
    <row r="181" spans="1:42" ht="15.95" hidden="1" customHeight="1" x14ac:dyDescent="0.25">
      <c r="A181" s="957">
        <f t="shared" ca="1" si="7"/>
        <v>0</v>
      </c>
      <c r="AA181" s="4"/>
      <c r="AB181" s="5"/>
      <c r="AC181" s="5" t="str">
        <f ca="1">IF('Rent Roll'!$Y123=1,'Rent Roll'!E123,"")</f>
        <v/>
      </c>
      <c r="AD181" s="39" t="str">
        <f ca="1">IF('Rent Roll'!$Y123=1,'Rent Roll'!G123,"")</f>
        <v/>
      </c>
      <c r="AE181" s="1547" t="str">
        <f ca="1">IF('Rent Roll'!$Y123=1,'Rent Roll'!K123,"")</f>
        <v/>
      </c>
      <c r="AF181" s="1551" t="str">
        <f ca="1">IF('Rent Roll'!$Y123=1,'Rent Roll'!N123,"")</f>
        <v/>
      </c>
      <c r="AG181" s="223"/>
      <c r="AH181" s="6"/>
      <c r="AI181" s="11"/>
      <c r="AJ181" s="1536"/>
      <c r="AK181" s="1537"/>
      <c r="AL181" s="1536"/>
      <c r="AM181" s="1545"/>
      <c r="AN181" s="124"/>
      <c r="AO181" s="11"/>
      <c r="AP181" s="32"/>
    </row>
    <row r="182" spans="1:42" ht="15.95" hidden="1" customHeight="1" x14ac:dyDescent="0.25">
      <c r="A182" s="957">
        <f t="shared" ca="1" si="7"/>
        <v>0</v>
      </c>
      <c r="AA182" s="4"/>
      <c r="AB182" s="5"/>
      <c r="AC182" s="5" t="str">
        <f ca="1">IF('Rent Roll'!$Y124=1,'Rent Roll'!E124,"")</f>
        <v/>
      </c>
      <c r="AD182" s="39" t="str">
        <f ca="1">IF('Rent Roll'!$Y124=1,'Rent Roll'!G124,"")</f>
        <v/>
      </c>
      <c r="AE182" s="1547" t="str">
        <f ca="1">IF('Rent Roll'!$Y124=1,'Rent Roll'!K124,"")</f>
        <v/>
      </c>
      <c r="AF182" s="1551" t="str">
        <f ca="1">IF('Rent Roll'!$Y124=1,'Rent Roll'!N124,"")</f>
        <v/>
      </c>
      <c r="AG182" s="223"/>
      <c r="AH182" s="6"/>
      <c r="AI182" s="11"/>
      <c r="AJ182" s="1536"/>
      <c r="AK182" s="1537"/>
      <c r="AL182" s="1536"/>
      <c r="AM182" s="1545"/>
      <c r="AN182" s="124"/>
      <c r="AO182" s="11"/>
      <c r="AP182" s="32"/>
    </row>
    <row r="183" spans="1:42" ht="15.95" hidden="1" customHeight="1" x14ac:dyDescent="0.25">
      <c r="A183" s="957">
        <f t="shared" ca="1" si="7"/>
        <v>0</v>
      </c>
      <c r="AA183" s="4"/>
      <c r="AB183" s="5"/>
      <c r="AC183" s="5" t="str">
        <f ca="1">IF('Rent Roll'!$Y125=1,'Rent Roll'!E125,"")</f>
        <v/>
      </c>
      <c r="AD183" s="39" t="str">
        <f ca="1">IF('Rent Roll'!$Y125=1,'Rent Roll'!G125,"")</f>
        <v/>
      </c>
      <c r="AE183" s="1547" t="str">
        <f ca="1">IF('Rent Roll'!$Y125=1,'Rent Roll'!K125,"")</f>
        <v/>
      </c>
      <c r="AF183" s="1551" t="str">
        <f ca="1">IF('Rent Roll'!$Y125=1,'Rent Roll'!N125,"")</f>
        <v/>
      </c>
      <c r="AG183" s="223"/>
      <c r="AH183" s="6"/>
      <c r="AI183" s="11"/>
      <c r="AJ183" s="1536"/>
      <c r="AK183" s="1537"/>
      <c r="AL183" s="1536"/>
      <c r="AM183" s="1545"/>
      <c r="AN183" s="124"/>
      <c r="AO183" s="11"/>
      <c r="AP183" s="32"/>
    </row>
    <row r="184" spans="1:42" ht="15.95" hidden="1" customHeight="1" x14ac:dyDescent="0.25">
      <c r="A184" s="957">
        <f t="shared" ca="1" si="7"/>
        <v>0</v>
      </c>
      <c r="AA184" s="4"/>
      <c r="AB184" s="5"/>
      <c r="AC184" s="5" t="str">
        <f ca="1">IF('Rent Roll'!$Y126=1,'Rent Roll'!E126,"")</f>
        <v/>
      </c>
      <c r="AD184" s="39" t="str">
        <f ca="1">IF('Rent Roll'!$Y126=1,'Rent Roll'!G126,"")</f>
        <v/>
      </c>
      <c r="AE184" s="1547" t="str">
        <f ca="1">IF('Rent Roll'!$Y126=1,'Rent Roll'!K126,"")</f>
        <v/>
      </c>
      <c r="AF184" s="1551" t="str">
        <f ca="1">IF('Rent Roll'!$Y126=1,'Rent Roll'!N126,"")</f>
        <v/>
      </c>
      <c r="AG184" s="223"/>
      <c r="AH184" s="6"/>
      <c r="AI184" s="11"/>
      <c r="AJ184" s="1536"/>
      <c r="AK184" s="1537"/>
      <c r="AL184" s="1536"/>
      <c r="AM184" s="1545"/>
      <c r="AN184" s="124"/>
      <c r="AO184" s="11"/>
      <c r="AP184" s="32"/>
    </row>
    <row r="185" spans="1:42" ht="15.95" hidden="1" customHeight="1" x14ac:dyDescent="0.25">
      <c r="A185" s="957">
        <f t="shared" ca="1" si="7"/>
        <v>0</v>
      </c>
      <c r="AA185" s="4"/>
      <c r="AB185" s="5"/>
      <c r="AC185" s="5" t="str">
        <f ca="1">IF('Rent Roll'!$Y127=1,'Rent Roll'!E127,"")</f>
        <v/>
      </c>
      <c r="AD185" s="39" t="str">
        <f ca="1">IF('Rent Roll'!$Y127=1,'Rent Roll'!G127,"")</f>
        <v/>
      </c>
      <c r="AE185" s="1547" t="str">
        <f ca="1">IF('Rent Roll'!$Y127=1,'Rent Roll'!K127,"")</f>
        <v/>
      </c>
      <c r="AF185" s="1551" t="str">
        <f ca="1">IF('Rent Roll'!$Y127=1,'Rent Roll'!N127,"")</f>
        <v/>
      </c>
      <c r="AG185" s="223"/>
      <c r="AH185" s="6"/>
      <c r="AI185" s="11"/>
      <c r="AJ185" s="1536"/>
      <c r="AK185" s="1537"/>
      <c r="AL185" s="1536"/>
      <c r="AM185" s="1545"/>
      <c r="AN185" s="124"/>
      <c r="AO185" s="11"/>
      <c r="AP185" s="32"/>
    </row>
    <row r="186" spans="1:42" ht="15.95" hidden="1" customHeight="1" x14ac:dyDescent="0.25">
      <c r="A186" s="957">
        <f t="shared" ca="1" si="7"/>
        <v>0</v>
      </c>
      <c r="AA186" s="4"/>
      <c r="AB186" s="5"/>
      <c r="AC186" s="5" t="str">
        <f ca="1">IF('Rent Roll'!$Y128=1,'Rent Roll'!E128,"")</f>
        <v/>
      </c>
      <c r="AD186" s="39" t="str">
        <f ca="1">IF('Rent Roll'!$Y128=1,'Rent Roll'!G128,"")</f>
        <v/>
      </c>
      <c r="AE186" s="1547" t="str">
        <f ca="1">IF('Rent Roll'!$Y128=1,'Rent Roll'!K128,"")</f>
        <v/>
      </c>
      <c r="AF186" s="1551" t="str">
        <f ca="1">IF('Rent Roll'!$Y128=1,'Rent Roll'!N128,"")</f>
        <v/>
      </c>
      <c r="AG186" s="223"/>
      <c r="AH186" s="6"/>
      <c r="AI186" s="11"/>
      <c r="AJ186" s="1536"/>
      <c r="AK186" s="1537"/>
      <c r="AL186" s="1536"/>
      <c r="AM186" s="1545"/>
      <c r="AN186" s="124"/>
      <c r="AO186" s="11"/>
      <c r="AP186" s="32"/>
    </row>
    <row r="187" spans="1:42" ht="15.95" hidden="1" customHeight="1" x14ac:dyDescent="0.25">
      <c r="A187" s="957">
        <f t="shared" ca="1" si="7"/>
        <v>0</v>
      </c>
      <c r="AA187" s="4"/>
      <c r="AB187" s="5"/>
      <c r="AC187" s="5" t="str">
        <f ca="1">IF('Rent Roll'!$Y129=1,'Rent Roll'!E129,"")</f>
        <v/>
      </c>
      <c r="AD187" s="39" t="str">
        <f ca="1">IF('Rent Roll'!$Y129=1,'Rent Roll'!G129,"")</f>
        <v/>
      </c>
      <c r="AE187" s="1547" t="str">
        <f ca="1">IF('Rent Roll'!$Y129=1,'Rent Roll'!K129,"")</f>
        <v/>
      </c>
      <c r="AF187" s="1551" t="str">
        <f ca="1">IF('Rent Roll'!$Y129=1,'Rent Roll'!N129,"")</f>
        <v/>
      </c>
      <c r="AG187" s="223"/>
      <c r="AH187" s="6"/>
      <c r="AI187" s="11"/>
      <c r="AJ187" s="1536"/>
      <c r="AK187" s="1537"/>
      <c r="AL187" s="1536"/>
      <c r="AM187" s="1545"/>
      <c r="AN187" s="124"/>
      <c r="AO187" s="11"/>
      <c r="AP187" s="32"/>
    </row>
    <row r="188" spans="1:42" ht="15.95" hidden="1" customHeight="1" x14ac:dyDescent="0.25">
      <c r="A188" s="957">
        <f t="shared" ca="1" si="7"/>
        <v>0</v>
      </c>
      <c r="AA188" s="4"/>
      <c r="AB188" s="5"/>
      <c r="AC188" s="5" t="str">
        <f ca="1">IF('Rent Roll'!$Y130=1,'Rent Roll'!E130,"")</f>
        <v/>
      </c>
      <c r="AD188" s="39" t="str">
        <f ca="1">IF('Rent Roll'!$Y130=1,'Rent Roll'!G130,"")</f>
        <v/>
      </c>
      <c r="AE188" s="1547" t="str">
        <f ca="1">IF('Rent Roll'!$Y130=1,'Rent Roll'!K130,"")</f>
        <v/>
      </c>
      <c r="AF188" s="1551" t="str">
        <f ca="1">IF('Rent Roll'!$Y130=1,'Rent Roll'!N130,"")</f>
        <v/>
      </c>
      <c r="AG188" s="223"/>
      <c r="AH188" s="6"/>
      <c r="AI188" s="11"/>
      <c r="AJ188" s="1536"/>
      <c r="AK188" s="1537"/>
      <c r="AL188" s="1536"/>
      <c r="AM188" s="1545"/>
      <c r="AN188" s="124"/>
      <c r="AO188" s="11"/>
      <c r="AP188" s="32"/>
    </row>
    <row r="189" spans="1:42" ht="15.95" hidden="1" customHeight="1" x14ac:dyDescent="0.25">
      <c r="A189" s="957">
        <f t="shared" ca="1" si="7"/>
        <v>0</v>
      </c>
      <c r="AA189" s="4"/>
      <c r="AB189" s="5"/>
      <c r="AC189" s="5" t="str">
        <f ca="1">IF('Rent Roll'!$Y131=1,'Rent Roll'!E131,"")</f>
        <v/>
      </c>
      <c r="AD189" s="39" t="str">
        <f ca="1">IF('Rent Roll'!$Y131=1,'Rent Roll'!G131,"")</f>
        <v/>
      </c>
      <c r="AE189" s="1547" t="str">
        <f ca="1">IF('Rent Roll'!$Y131=1,'Rent Roll'!K131,"")</f>
        <v/>
      </c>
      <c r="AF189" s="1551" t="str">
        <f ca="1">IF('Rent Roll'!$Y131=1,'Rent Roll'!N131,"")</f>
        <v/>
      </c>
      <c r="AG189" s="223"/>
      <c r="AH189" s="6"/>
      <c r="AI189" s="11"/>
      <c r="AJ189" s="1536"/>
      <c r="AK189" s="1537"/>
      <c r="AL189" s="1536"/>
      <c r="AM189" s="1545"/>
      <c r="AN189" s="124"/>
      <c r="AO189" s="11"/>
      <c r="AP189" s="32"/>
    </row>
    <row r="190" spans="1:42" ht="15.95" hidden="1" customHeight="1" x14ac:dyDescent="0.25">
      <c r="A190" s="957">
        <f t="shared" ca="1" si="7"/>
        <v>0</v>
      </c>
      <c r="AA190" s="4"/>
      <c r="AB190" s="5"/>
      <c r="AC190" s="5" t="str">
        <f ca="1">IF('Rent Roll'!$Y132=1,'Rent Roll'!E132,"")</f>
        <v/>
      </c>
      <c r="AD190" s="39" t="str">
        <f ca="1">IF('Rent Roll'!$Y132=1,'Rent Roll'!G132,"")</f>
        <v/>
      </c>
      <c r="AE190" s="1547" t="str">
        <f ca="1">IF('Rent Roll'!$Y132=1,'Rent Roll'!K132,"")</f>
        <v/>
      </c>
      <c r="AF190" s="1551" t="str">
        <f ca="1">IF('Rent Roll'!$Y132=1,'Rent Roll'!N132,"")</f>
        <v/>
      </c>
      <c r="AG190" s="223"/>
      <c r="AH190" s="6"/>
      <c r="AI190" s="11"/>
      <c r="AJ190" s="1536"/>
      <c r="AK190" s="1537"/>
      <c r="AL190" s="1536"/>
      <c r="AM190" s="1545"/>
      <c r="AN190" s="124"/>
      <c r="AO190" s="11"/>
      <c r="AP190" s="32"/>
    </row>
    <row r="191" spans="1:42" ht="15.95" hidden="1" customHeight="1" x14ac:dyDescent="0.25">
      <c r="A191" s="957">
        <f t="shared" ca="1" si="7"/>
        <v>0</v>
      </c>
      <c r="AA191" s="4"/>
      <c r="AB191" s="5"/>
      <c r="AC191" s="5" t="str">
        <f ca="1">IF('Rent Roll'!$Y133=1,'Rent Roll'!E133,"")</f>
        <v/>
      </c>
      <c r="AD191" s="39" t="str">
        <f ca="1">IF('Rent Roll'!$Y133=1,'Rent Roll'!G133,"")</f>
        <v/>
      </c>
      <c r="AE191" s="1547" t="str">
        <f ca="1">IF('Rent Roll'!$Y133=1,'Rent Roll'!K133,"")</f>
        <v/>
      </c>
      <c r="AF191" s="1551" t="str">
        <f ca="1">IF('Rent Roll'!$Y133=1,'Rent Roll'!N133,"")</f>
        <v/>
      </c>
      <c r="AG191" s="223"/>
      <c r="AH191" s="6"/>
      <c r="AI191" s="11"/>
      <c r="AJ191" s="1536"/>
      <c r="AK191" s="1537"/>
      <c r="AL191" s="1536"/>
      <c r="AM191" s="1545"/>
      <c r="AN191" s="124"/>
      <c r="AO191" s="11"/>
      <c r="AP191" s="32"/>
    </row>
    <row r="192" spans="1:42" ht="15.95" hidden="1" customHeight="1" x14ac:dyDescent="0.25">
      <c r="A192" s="957">
        <f t="shared" ca="1" si="7"/>
        <v>0</v>
      </c>
      <c r="AA192" s="4"/>
      <c r="AB192" s="5"/>
      <c r="AC192" s="5" t="str">
        <f ca="1">IF('Rent Roll'!$Y134=1,'Rent Roll'!E134,"")</f>
        <v/>
      </c>
      <c r="AD192" s="39" t="str">
        <f ca="1">IF('Rent Roll'!$Y134=1,'Rent Roll'!G134,"")</f>
        <v/>
      </c>
      <c r="AE192" s="1547" t="str">
        <f ca="1">IF('Rent Roll'!$Y134=1,'Rent Roll'!K134,"")</f>
        <v/>
      </c>
      <c r="AF192" s="1551" t="str">
        <f ca="1">IF('Rent Roll'!$Y134=1,'Rent Roll'!N134,"")</f>
        <v/>
      </c>
      <c r="AG192" s="5"/>
      <c r="AH192" s="6"/>
      <c r="AI192" s="11"/>
      <c r="AJ192" s="1536"/>
      <c r="AK192" s="1537"/>
      <c r="AL192" s="1536"/>
      <c r="AM192" s="1545"/>
      <c r="AN192" s="124"/>
      <c r="AO192" s="11"/>
      <c r="AP192" s="32"/>
    </row>
    <row r="193" spans="1:42" ht="15.95" hidden="1" customHeight="1" x14ac:dyDescent="0.25">
      <c r="A193" s="957">
        <f t="shared" ca="1" si="7"/>
        <v>0</v>
      </c>
      <c r="AA193" s="4"/>
      <c r="AB193" s="5"/>
      <c r="AC193" s="5" t="str">
        <f ca="1">IF('Rent Roll'!$Y135=1,'Rent Roll'!E135,"")</f>
        <v/>
      </c>
      <c r="AD193" s="39" t="str">
        <f ca="1">IF('Rent Roll'!$Y135=1,'Rent Roll'!G135,"")</f>
        <v/>
      </c>
      <c r="AE193" s="1547" t="str">
        <f ca="1">IF('Rent Roll'!$Y135=1,'Rent Roll'!K135,"")</f>
        <v/>
      </c>
      <c r="AF193" s="1551" t="str">
        <f ca="1">IF('Rent Roll'!$Y135=1,'Rent Roll'!N135,"")</f>
        <v/>
      </c>
      <c r="AG193" s="5"/>
      <c r="AH193" s="6"/>
      <c r="AI193" s="11"/>
      <c r="AJ193" s="1536"/>
      <c r="AK193" s="1537"/>
      <c r="AL193" s="1536"/>
      <c r="AM193" s="1545"/>
      <c r="AN193" s="124"/>
      <c r="AO193" s="11"/>
      <c r="AP193" s="32"/>
    </row>
    <row r="194" spans="1:42" ht="15.95" hidden="1" customHeight="1" x14ac:dyDescent="0.25">
      <c r="A194" s="957">
        <f ca="1">IF(AC194="",0,1)</f>
        <v>0</v>
      </c>
      <c r="AA194" s="4"/>
      <c r="AB194" s="5"/>
      <c r="AC194" s="5" t="str">
        <f ca="1">IF('Rent Roll'!$Y136=1,'Rent Roll'!E136,"")</f>
        <v/>
      </c>
      <c r="AD194" s="39" t="str">
        <f ca="1">IF('Rent Roll'!$Y136=1,'Rent Roll'!G136,"")</f>
        <v/>
      </c>
      <c r="AE194" s="1547" t="str">
        <f ca="1">IF('Rent Roll'!$Y136=1,'Rent Roll'!K136,"")</f>
        <v/>
      </c>
      <c r="AF194" s="1551" t="str">
        <f ca="1">IF('Rent Roll'!$Y136=1,'Rent Roll'!N136,"")</f>
        <v/>
      </c>
      <c r="AG194" s="5"/>
      <c r="AH194" s="6"/>
      <c r="AI194" s="11"/>
      <c r="AJ194" s="1536"/>
      <c r="AK194" s="1537"/>
      <c r="AL194" s="1536"/>
      <c r="AM194" s="1545"/>
      <c r="AN194" s="124"/>
      <c r="AO194" s="11"/>
      <c r="AP194" s="32"/>
    </row>
    <row r="195" spans="1:42" ht="15.95" hidden="1" customHeight="1" x14ac:dyDescent="0.25">
      <c r="A195" s="957">
        <f ca="1">IF(AC195="",0,1)</f>
        <v>0</v>
      </c>
      <c r="AA195" s="4"/>
      <c r="AB195" s="5"/>
      <c r="AC195" s="5" t="str">
        <f ca="1">IF('Rent Roll'!$Y137=1,'Rent Roll'!E137,"")</f>
        <v/>
      </c>
      <c r="AD195" s="39" t="str">
        <f ca="1">IF('Rent Roll'!$Y137=1,'Rent Roll'!G137,"")</f>
        <v/>
      </c>
      <c r="AE195" s="1547" t="str">
        <f ca="1">IF('Rent Roll'!$Y137=1,'Rent Roll'!K137,"")</f>
        <v/>
      </c>
      <c r="AF195" s="1551" t="str">
        <f ca="1">IF('Rent Roll'!$Y137=1,'Rent Roll'!N137,"")</f>
        <v/>
      </c>
      <c r="AG195" s="5"/>
      <c r="AH195" s="6"/>
      <c r="AI195" s="11"/>
      <c r="AJ195" s="1536"/>
      <c r="AK195" s="1537"/>
      <c r="AL195" s="1536"/>
      <c r="AM195" s="1545"/>
      <c r="AN195" s="124"/>
      <c r="AO195" s="11"/>
      <c r="AP195" s="32"/>
    </row>
    <row r="196" spans="1:42" ht="15.95" hidden="1" customHeight="1" x14ac:dyDescent="0.25">
      <c r="A196" s="957">
        <f t="shared" ref="A196:A259" ca="1" si="8">IF(AC196="",0,1)</f>
        <v>0</v>
      </c>
      <c r="AA196" s="4"/>
      <c r="AB196" s="5"/>
      <c r="AC196" s="5" t="str">
        <f ca="1">IF('Rent Roll'!$Y138=1,'Rent Roll'!E138,"")</f>
        <v/>
      </c>
      <c r="AD196" s="39" t="str">
        <f ca="1">IF('Rent Roll'!$Y138=1,'Rent Roll'!G138,"")</f>
        <v/>
      </c>
      <c r="AE196" s="1547" t="str">
        <f ca="1">IF('Rent Roll'!$Y138=1,'Rent Roll'!K138,"")</f>
        <v/>
      </c>
      <c r="AF196" s="1551" t="str">
        <f ca="1">IF('Rent Roll'!$Y138=1,'Rent Roll'!N138,"")</f>
        <v/>
      </c>
      <c r="AG196" s="5"/>
      <c r="AH196" s="6"/>
      <c r="AI196" s="11"/>
      <c r="AJ196" s="1536"/>
      <c r="AK196" s="1537"/>
      <c r="AL196" s="1536"/>
      <c r="AM196" s="1545"/>
      <c r="AN196" s="124"/>
      <c r="AO196" s="11"/>
      <c r="AP196" s="32"/>
    </row>
    <row r="197" spans="1:42" ht="15.95" hidden="1" customHeight="1" x14ac:dyDescent="0.25">
      <c r="A197" s="957">
        <f t="shared" ca="1" si="8"/>
        <v>0</v>
      </c>
      <c r="AA197" s="4"/>
      <c r="AB197" s="5"/>
      <c r="AC197" s="5" t="str">
        <f ca="1">IF('Rent Roll'!$Y139=1,'Rent Roll'!E139,"")</f>
        <v/>
      </c>
      <c r="AD197" s="39" t="str">
        <f ca="1">IF('Rent Roll'!$Y139=1,'Rent Roll'!G139,"")</f>
        <v/>
      </c>
      <c r="AE197" s="1547" t="str">
        <f ca="1">IF('Rent Roll'!$Y139=1,'Rent Roll'!K139,"")</f>
        <v/>
      </c>
      <c r="AF197" s="1551" t="str">
        <f ca="1">IF('Rent Roll'!$Y139=1,'Rent Roll'!N139,"")</f>
        <v/>
      </c>
      <c r="AG197" s="5"/>
      <c r="AH197" s="6"/>
      <c r="AI197" s="11"/>
      <c r="AJ197" s="1536"/>
      <c r="AK197" s="1537"/>
      <c r="AL197" s="1536"/>
      <c r="AM197" s="1545"/>
      <c r="AN197" s="124"/>
      <c r="AO197" s="11"/>
      <c r="AP197" s="32"/>
    </row>
    <row r="198" spans="1:42" ht="15.95" hidden="1" customHeight="1" x14ac:dyDescent="0.25">
      <c r="A198" s="957">
        <f t="shared" ca="1" si="8"/>
        <v>0</v>
      </c>
      <c r="AA198" s="4"/>
      <c r="AB198" s="5"/>
      <c r="AC198" s="5" t="str">
        <f ca="1">IF('Rent Roll'!$Y140=1,'Rent Roll'!E140,"")</f>
        <v/>
      </c>
      <c r="AD198" s="39" t="str">
        <f ca="1">IF('Rent Roll'!$Y140=1,'Rent Roll'!G140,"")</f>
        <v/>
      </c>
      <c r="AE198" s="1547" t="str">
        <f ca="1">IF('Rent Roll'!$Y140=1,'Rent Roll'!K140,"")</f>
        <v/>
      </c>
      <c r="AF198" s="1551" t="str">
        <f ca="1">IF('Rent Roll'!$Y140=1,'Rent Roll'!N140,"")</f>
        <v/>
      </c>
      <c r="AG198" s="5"/>
      <c r="AH198" s="6"/>
      <c r="AI198" s="11"/>
      <c r="AJ198" s="1536"/>
      <c r="AK198" s="1537"/>
      <c r="AL198" s="1536"/>
      <c r="AM198" s="1545"/>
      <c r="AN198" s="124"/>
      <c r="AO198" s="11"/>
      <c r="AP198" s="32"/>
    </row>
    <row r="199" spans="1:42" ht="15.95" hidden="1" customHeight="1" x14ac:dyDescent="0.25">
      <c r="A199" s="957">
        <f t="shared" ca="1" si="8"/>
        <v>0</v>
      </c>
      <c r="AA199" s="4"/>
      <c r="AB199" s="5"/>
      <c r="AC199" s="5" t="str">
        <f ca="1">IF('Rent Roll'!$Y141=1,'Rent Roll'!E141,"")</f>
        <v/>
      </c>
      <c r="AD199" s="39" t="str">
        <f ca="1">IF('Rent Roll'!$Y141=1,'Rent Roll'!G141,"")</f>
        <v/>
      </c>
      <c r="AE199" s="1547" t="str">
        <f ca="1">IF('Rent Roll'!$Y141=1,'Rent Roll'!K141,"")</f>
        <v/>
      </c>
      <c r="AF199" s="1551" t="str">
        <f ca="1">IF('Rent Roll'!$Y141=1,'Rent Roll'!N141,"")</f>
        <v/>
      </c>
      <c r="AG199" s="5"/>
      <c r="AH199" s="6"/>
      <c r="AI199" s="11"/>
      <c r="AJ199" s="1536"/>
      <c r="AK199" s="1537"/>
      <c r="AL199" s="1536"/>
      <c r="AM199" s="1545"/>
      <c r="AN199" s="124"/>
      <c r="AO199" s="11"/>
      <c r="AP199" s="32"/>
    </row>
    <row r="200" spans="1:42" ht="15.95" hidden="1" customHeight="1" x14ac:dyDescent="0.25">
      <c r="A200" s="957">
        <f t="shared" ca="1" si="8"/>
        <v>0</v>
      </c>
      <c r="AA200" s="4"/>
      <c r="AB200" s="5"/>
      <c r="AC200" s="5" t="str">
        <f ca="1">IF('Rent Roll'!$Y142=1,'Rent Roll'!E142,"")</f>
        <v/>
      </c>
      <c r="AD200" s="39" t="str">
        <f ca="1">IF('Rent Roll'!$Y142=1,'Rent Roll'!G142,"")</f>
        <v/>
      </c>
      <c r="AE200" s="1547" t="str">
        <f ca="1">IF('Rent Roll'!$Y142=1,'Rent Roll'!K142,"")</f>
        <v/>
      </c>
      <c r="AF200" s="1551" t="str">
        <f ca="1">IF('Rent Roll'!$Y142=1,'Rent Roll'!N142,"")</f>
        <v/>
      </c>
      <c r="AG200" s="5"/>
      <c r="AH200" s="6"/>
      <c r="AI200" s="11"/>
      <c r="AJ200" s="1536"/>
      <c r="AK200" s="1537"/>
      <c r="AL200" s="1536"/>
      <c r="AM200" s="1545"/>
      <c r="AN200" s="124"/>
      <c r="AO200" s="11"/>
      <c r="AP200" s="32"/>
    </row>
    <row r="201" spans="1:42" ht="15.95" hidden="1" customHeight="1" x14ac:dyDescent="0.25">
      <c r="A201" s="957">
        <f t="shared" ca="1" si="8"/>
        <v>0</v>
      </c>
      <c r="AA201" s="4"/>
      <c r="AB201" s="5"/>
      <c r="AC201" s="5" t="str">
        <f ca="1">IF('Rent Roll'!$Y143=1,'Rent Roll'!E143,"")</f>
        <v/>
      </c>
      <c r="AD201" s="39" t="str">
        <f ca="1">IF('Rent Roll'!$Y143=1,'Rent Roll'!G143,"")</f>
        <v/>
      </c>
      <c r="AE201" s="1547" t="str">
        <f ca="1">IF('Rent Roll'!$Y143=1,'Rent Roll'!K143,"")</f>
        <v/>
      </c>
      <c r="AF201" s="1551" t="str">
        <f ca="1">IF('Rent Roll'!$Y143=1,'Rent Roll'!N143,"")</f>
        <v/>
      </c>
      <c r="AG201" s="5"/>
      <c r="AH201" s="6"/>
      <c r="AI201" s="11"/>
      <c r="AJ201" s="1536"/>
      <c r="AK201" s="1537"/>
      <c r="AL201" s="1536"/>
      <c r="AM201" s="1545"/>
      <c r="AN201" s="124"/>
      <c r="AO201" s="11"/>
      <c r="AP201" s="32"/>
    </row>
    <row r="202" spans="1:42" ht="15.95" hidden="1" customHeight="1" x14ac:dyDescent="0.25">
      <c r="A202" s="957">
        <f t="shared" ca="1" si="8"/>
        <v>0</v>
      </c>
      <c r="AA202" s="4"/>
      <c r="AB202" s="5"/>
      <c r="AC202" s="5" t="str">
        <f ca="1">IF('Rent Roll'!$Y144=1,'Rent Roll'!E144,"")</f>
        <v/>
      </c>
      <c r="AD202" s="39" t="str">
        <f ca="1">IF('Rent Roll'!$Y144=1,'Rent Roll'!G144,"")</f>
        <v/>
      </c>
      <c r="AE202" s="1547" t="str">
        <f ca="1">IF('Rent Roll'!$Y144=1,'Rent Roll'!K144,"")</f>
        <v/>
      </c>
      <c r="AF202" s="1551" t="str">
        <f ca="1">IF('Rent Roll'!$Y144=1,'Rent Roll'!N144,"")</f>
        <v/>
      </c>
      <c r="AG202" s="5"/>
      <c r="AH202" s="6"/>
      <c r="AI202" s="11"/>
      <c r="AJ202" s="1536"/>
      <c r="AK202" s="1537"/>
      <c r="AL202" s="1536"/>
      <c r="AM202" s="1545"/>
      <c r="AN202" s="124"/>
      <c r="AO202" s="11"/>
      <c r="AP202" s="32"/>
    </row>
    <row r="203" spans="1:42" ht="15.95" hidden="1" customHeight="1" x14ac:dyDescent="0.25">
      <c r="A203" s="957">
        <f t="shared" ca="1" si="8"/>
        <v>0</v>
      </c>
      <c r="AA203" s="4"/>
      <c r="AB203" s="5"/>
      <c r="AC203" s="5" t="str">
        <f ca="1">IF('Rent Roll'!$Y145=1,'Rent Roll'!E145,"")</f>
        <v/>
      </c>
      <c r="AD203" s="39" t="str">
        <f ca="1">IF('Rent Roll'!$Y145=1,'Rent Roll'!G145,"")</f>
        <v/>
      </c>
      <c r="AE203" s="1547" t="str">
        <f ca="1">IF('Rent Roll'!$Y145=1,'Rent Roll'!K145,"")</f>
        <v/>
      </c>
      <c r="AF203" s="1551" t="str">
        <f ca="1">IF('Rent Roll'!$Y145=1,'Rent Roll'!N145,"")</f>
        <v/>
      </c>
      <c r="AG203" s="5"/>
      <c r="AH203" s="6"/>
      <c r="AI203" s="11"/>
      <c r="AJ203" s="1536"/>
      <c r="AK203" s="1537"/>
      <c r="AL203" s="1536"/>
      <c r="AM203" s="1545"/>
      <c r="AN203" s="124"/>
      <c r="AO203" s="11"/>
      <c r="AP203" s="32"/>
    </row>
    <row r="204" spans="1:42" ht="15.95" hidden="1" customHeight="1" x14ac:dyDescent="0.25">
      <c r="A204" s="957">
        <f t="shared" ca="1" si="8"/>
        <v>0</v>
      </c>
      <c r="AA204" s="4"/>
      <c r="AB204" s="5"/>
      <c r="AC204" s="5" t="str">
        <f ca="1">IF('Rent Roll'!$Y146=1,'Rent Roll'!E146,"")</f>
        <v/>
      </c>
      <c r="AD204" s="39" t="str">
        <f ca="1">IF('Rent Roll'!$Y146=1,'Rent Roll'!G146,"")</f>
        <v/>
      </c>
      <c r="AE204" s="1547" t="str">
        <f ca="1">IF('Rent Roll'!$Y146=1,'Rent Roll'!K146,"")</f>
        <v/>
      </c>
      <c r="AF204" s="1551" t="str">
        <f ca="1">IF('Rent Roll'!$Y146=1,'Rent Roll'!N146,"")</f>
        <v/>
      </c>
      <c r="AG204" s="5"/>
      <c r="AH204" s="6"/>
      <c r="AI204" s="11"/>
      <c r="AJ204" s="1536"/>
      <c r="AK204" s="1537"/>
      <c r="AL204" s="1536"/>
      <c r="AM204" s="1545"/>
      <c r="AN204" s="124"/>
      <c r="AO204" s="11"/>
      <c r="AP204" s="32"/>
    </row>
    <row r="205" spans="1:42" ht="15.95" hidden="1" customHeight="1" x14ac:dyDescent="0.25">
      <c r="A205" s="957">
        <f t="shared" ca="1" si="8"/>
        <v>0</v>
      </c>
      <c r="AA205" s="4"/>
      <c r="AB205" s="5"/>
      <c r="AC205" s="5" t="str">
        <f ca="1">IF('Rent Roll'!$Y147=1,'Rent Roll'!E147,"")</f>
        <v/>
      </c>
      <c r="AD205" s="39" t="str">
        <f ca="1">IF('Rent Roll'!$Y147=1,'Rent Roll'!G147,"")</f>
        <v/>
      </c>
      <c r="AE205" s="1547" t="str">
        <f ca="1">IF('Rent Roll'!$Y147=1,'Rent Roll'!K147,"")</f>
        <v/>
      </c>
      <c r="AF205" s="1551" t="str">
        <f ca="1">IF('Rent Roll'!$Y147=1,'Rent Roll'!N147,"")</f>
        <v/>
      </c>
      <c r="AG205" s="5"/>
      <c r="AH205" s="6"/>
      <c r="AI205" s="11"/>
      <c r="AJ205" s="1536"/>
      <c r="AK205" s="1537"/>
      <c r="AL205" s="1536"/>
      <c r="AM205" s="1545"/>
      <c r="AN205" s="124"/>
      <c r="AO205" s="11"/>
      <c r="AP205" s="32"/>
    </row>
    <row r="206" spans="1:42" ht="15.95" hidden="1" customHeight="1" x14ac:dyDescent="0.25">
      <c r="A206" s="957">
        <f t="shared" ca="1" si="8"/>
        <v>0</v>
      </c>
      <c r="AA206" s="4"/>
      <c r="AB206" s="5"/>
      <c r="AC206" s="5" t="str">
        <f ca="1">IF('Rent Roll'!$Y148=1,'Rent Roll'!E148,"")</f>
        <v/>
      </c>
      <c r="AD206" s="39" t="str">
        <f ca="1">IF('Rent Roll'!$Y148=1,'Rent Roll'!G148,"")</f>
        <v/>
      </c>
      <c r="AE206" s="1547" t="str">
        <f ca="1">IF('Rent Roll'!$Y148=1,'Rent Roll'!K148,"")</f>
        <v/>
      </c>
      <c r="AF206" s="1551" t="str">
        <f ca="1">IF('Rent Roll'!$Y148=1,'Rent Roll'!N148,"")</f>
        <v/>
      </c>
      <c r="AG206" s="5"/>
      <c r="AH206" s="6"/>
      <c r="AI206" s="11"/>
      <c r="AJ206" s="1536"/>
      <c r="AK206" s="1537"/>
      <c r="AL206" s="1536"/>
      <c r="AM206" s="1545"/>
      <c r="AN206" s="124"/>
      <c r="AO206" s="11"/>
      <c r="AP206" s="32"/>
    </row>
    <row r="207" spans="1:42" ht="15.95" hidden="1" customHeight="1" x14ac:dyDescent="0.25">
      <c r="A207" s="957">
        <f t="shared" ca="1" si="8"/>
        <v>0</v>
      </c>
      <c r="AA207" s="4"/>
      <c r="AB207" s="5"/>
      <c r="AC207" s="5" t="str">
        <f ca="1">IF('Rent Roll'!$Y149=1,'Rent Roll'!E149,"")</f>
        <v/>
      </c>
      <c r="AD207" s="39" t="str">
        <f ca="1">IF('Rent Roll'!$Y149=1,'Rent Roll'!G149,"")</f>
        <v/>
      </c>
      <c r="AE207" s="1547" t="str">
        <f ca="1">IF('Rent Roll'!$Y149=1,'Rent Roll'!K149,"")</f>
        <v/>
      </c>
      <c r="AF207" s="1551" t="str">
        <f ca="1">IF('Rent Roll'!$Y149=1,'Rent Roll'!N149,"")</f>
        <v/>
      </c>
      <c r="AG207" s="5"/>
      <c r="AH207" s="6"/>
      <c r="AI207" s="11"/>
      <c r="AJ207" s="1536"/>
      <c r="AK207" s="1537"/>
      <c r="AL207" s="1536"/>
      <c r="AM207" s="1545"/>
      <c r="AN207" s="124"/>
      <c r="AO207" s="11"/>
      <c r="AP207" s="32"/>
    </row>
    <row r="208" spans="1:42" ht="15.95" hidden="1" customHeight="1" x14ac:dyDescent="0.25">
      <c r="A208" s="957">
        <f t="shared" ca="1" si="8"/>
        <v>0</v>
      </c>
      <c r="AA208" s="4"/>
      <c r="AB208" s="5"/>
      <c r="AC208" s="5" t="str">
        <f ca="1">IF('Rent Roll'!$Y150=1,'Rent Roll'!E150,"")</f>
        <v/>
      </c>
      <c r="AD208" s="39" t="str">
        <f ca="1">IF('Rent Roll'!$Y150=1,'Rent Roll'!G150,"")</f>
        <v/>
      </c>
      <c r="AE208" s="1547" t="str">
        <f ca="1">IF('Rent Roll'!$Y150=1,'Rent Roll'!K150,"")</f>
        <v/>
      </c>
      <c r="AF208" s="1551" t="str">
        <f ca="1">IF('Rent Roll'!$Y150=1,'Rent Roll'!N150,"")</f>
        <v/>
      </c>
      <c r="AG208" s="5"/>
      <c r="AH208" s="6"/>
      <c r="AI208" s="11"/>
      <c r="AJ208" s="1536"/>
      <c r="AK208" s="1537"/>
      <c r="AL208" s="1536"/>
      <c r="AM208" s="1545"/>
      <c r="AN208" s="124"/>
      <c r="AO208" s="11"/>
      <c r="AP208" s="32"/>
    </row>
    <row r="209" spans="1:42" ht="15.95" hidden="1" customHeight="1" x14ac:dyDescent="0.25">
      <c r="A209" s="957">
        <f t="shared" ca="1" si="8"/>
        <v>0</v>
      </c>
      <c r="AA209" s="4"/>
      <c r="AB209" s="5"/>
      <c r="AC209" s="5" t="str">
        <f ca="1">IF('Rent Roll'!$Y151=1,'Rent Roll'!E151,"")</f>
        <v/>
      </c>
      <c r="AD209" s="39" t="str">
        <f ca="1">IF('Rent Roll'!$Y151=1,'Rent Roll'!G151,"")</f>
        <v/>
      </c>
      <c r="AE209" s="1547" t="str">
        <f ca="1">IF('Rent Roll'!$Y151=1,'Rent Roll'!K151,"")</f>
        <v/>
      </c>
      <c r="AF209" s="1551" t="str">
        <f ca="1">IF('Rent Roll'!$Y151=1,'Rent Roll'!N151,"")</f>
        <v/>
      </c>
      <c r="AG209" s="5"/>
      <c r="AH209" s="6"/>
      <c r="AI209" s="11"/>
      <c r="AJ209" s="1536"/>
      <c r="AK209" s="1537"/>
      <c r="AL209" s="1536"/>
      <c r="AM209" s="1545"/>
      <c r="AN209" s="124"/>
      <c r="AO209" s="11"/>
      <c r="AP209" s="32"/>
    </row>
    <row r="210" spans="1:42" ht="15.95" hidden="1" customHeight="1" x14ac:dyDescent="0.25">
      <c r="A210" s="957">
        <f t="shared" ca="1" si="8"/>
        <v>0</v>
      </c>
      <c r="AA210" s="4"/>
      <c r="AB210" s="5"/>
      <c r="AC210" s="5" t="str">
        <f ca="1">IF('Rent Roll'!$Y152=1,'Rent Roll'!E152,"")</f>
        <v/>
      </c>
      <c r="AD210" s="39" t="str">
        <f ca="1">IF('Rent Roll'!$Y152=1,'Rent Roll'!G152,"")</f>
        <v/>
      </c>
      <c r="AE210" s="1547" t="str">
        <f ca="1">IF('Rent Roll'!$Y152=1,'Rent Roll'!K152,"")</f>
        <v/>
      </c>
      <c r="AF210" s="1551" t="str">
        <f ca="1">IF('Rent Roll'!$Y152=1,'Rent Roll'!N152,"")</f>
        <v/>
      </c>
      <c r="AG210" s="5"/>
      <c r="AH210" s="6"/>
      <c r="AI210" s="11"/>
      <c r="AJ210" s="1536"/>
      <c r="AK210" s="1537"/>
      <c r="AL210" s="1536"/>
      <c r="AM210" s="1545"/>
      <c r="AN210" s="124"/>
      <c r="AO210" s="11"/>
      <c r="AP210" s="32"/>
    </row>
    <row r="211" spans="1:42" ht="15.95" hidden="1" customHeight="1" x14ac:dyDescent="0.25">
      <c r="A211" s="957">
        <f t="shared" ca="1" si="8"/>
        <v>0</v>
      </c>
      <c r="AA211" s="4"/>
      <c r="AB211" s="5"/>
      <c r="AC211" s="5" t="str">
        <f ca="1">IF('Rent Roll'!$Y153=1,'Rent Roll'!E153,"")</f>
        <v/>
      </c>
      <c r="AD211" s="39" t="str">
        <f ca="1">IF('Rent Roll'!$Y153=1,'Rent Roll'!G153,"")</f>
        <v/>
      </c>
      <c r="AE211" s="1547" t="str">
        <f ca="1">IF('Rent Roll'!$Y153=1,'Rent Roll'!K153,"")</f>
        <v/>
      </c>
      <c r="AF211" s="1551" t="str">
        <f ca="1">IF('Rent Roll'!$Y153=1,'Rent Roll'!N153,"")</f>
        <v/>
      </c>
      <c r="AG211" s="5"/>
      <c r="AH211" s="6"/>
      <c r="AI211" s="11"/>
      <c r="AJ211" s="1536"/>
      <c r="AK211" s="1537"/>
      <c r="AL211" s="1536"/>
      <c r="AM211" s="1545"/>
      <c r="AN211" s="124"/>
      <c r="AO211" s="11"/>
      <c r="AP211" s="32"/>
    </row>
    <row r="212" spans="1:42" ht="15.95" hidden="1" customHeight="1" x14ac:dyDescent="0.25">
      <c r="A212" s="957">
        <f t="shared" ca="1" si="8"/>
        <v>0</v>
      </c>
      <c r="AA212" s="4"/>
      <c r="AB212" s="5"/>
      <c r="AC212" s="5" t="str">
        <f ca="1">IF('Rent Roll'!$Y154=1,'Rent Roll'!E154,"")</f>
        <v/>
      </c>
      <c r="AD212" s="39" t="str">
        <f ca="1">IF('Rent Roll'!$Y154=1,'Rent Roll'!G154,"")</f>
        <v/>
      </c>
      <c r="AE212" s="1547" t="str">
        <f ca="1">IF('Rent Roll'!$Y154=1,'Rent Roll'!K154,"")</f>
        <v/>
      </c>
      <c r="AF212" s="1551" t="str">
        <f ca="1">IF('Rent Roll'!$Y154=1,'Rent Roll'!N154,"")</f>
        <v/>
      </c>
      <c r="AG212" s="5"/>
      <c r="AH212" s="6"/>
      <c r="AI212" s="11"/>
      <c r="AJ212" s="1536"/>
      <c r="AK212" s="1537"/>
      <c r="AL212" s="1536"/>
      <c r="AM212" s="1545"/>
      <c r="AN212" s="124"/>
      <c r="AO212" s="11"/>
      <c r="AP212" s="32"/>
    </row>
    <row r="213" spans="1:42" ht="15.95" hidden="1" customHeight="1" x14ac:dyDescent="0.25">
      <c r="A213" s="957">
        <f t="shared" ca="1" si="8"/>
        <v>0</v>
      </c>
      <c r="AA213" s="4"/>
      <c r="AB213" s="5"/>
      <c r="AC213" s="5" t="str">
        <f ca="1">IF('Rent Roll'!$Y155=1,'Rent Roll'!E155,"")</f>
        <v/>
      </c>
      <c r="AD213" s="39" t="str">
        <f ca="1">IF('Rent Roll'!$Y155=1,'Rent Roll'!G155,"")</f>
        <v/>
      </c>
      <c r="AE213" s="1547" t="str">
        <f ca="1">IF('Rent Roll'!$Y155=1,'Rent Roll'!K155,"")</f>
        <v/>
      </c>
      <c r="AF213" s="1551" t="str">
        <f ca="1">IF('Rent Roll'!$Y155=1,'Rent Roll'!N155,"")</f>
        <v/>
      </c>
      <c r="AG213" s="5"/>
      <c r="AH213" s="6"/>
      <c r="AI213" s="11"/>
      <c r="AJ213" s="1536"/>
      <c r="AK213" s="1537"/>
      <c r="AL213" s="1536"/>
      <c r="AM213" s="1545"/>
      <c r="AN213" s="124"/>
      <c r="AO213" s="11"/>
      <c r="AP213" s="32"/>
    </row>
    <row r="214" spans="1:42" ht="15.95" hidden="1" customHeight="1" x14ac:dyDescent="0.25">
      <c r="A214" s="957">
        <f t="shared" ca="1" si="8"/>
        <v>0</v>
      </c>
      <c r="AA214" s="4"/>
      <c r="AB214" s="5"/>
      <c r="AC214" s="5" t="str">
        <f ca="1">IF('Rent Roll'!$Y156=1,'Rent Roll'!E156,"")</f>
        <v/>
      </c>
      <c r="AD214" s="39" t="str">
        <f ca="1">IF('Rent Roll'!$Y156=1,'Rent Roll'!G156,"")</f>
        <v/>
      </c>
      <c r="AE214" s="1547" t="str">
        <f ca="1">IF('Rent Roll'!$Y156=1,'Rent Roll'!K156,"")</f>
        <v/>
      </c>
      <c r="AF214" s="1551" t="str">
        <f ca="1">IF('Rent Roll'!$Y156=1,'Rent Roll'!N156,"")</f>
        <v/>
      </c>
      <c r="AG214" s="5"/>
      <c r="AH214" s="6"/>
      <c r="AI214" s="11"/>
      <c r="AJ214" s="1536"/>
      <c r="AK214" s="1537"/>
      <c r="AL214" s="1536"/>
      <c r="AM214" s="1545"/>
      <c r="AN214" s="124"/>
      <c r="AO214" s="11"/>
      <c r="AP214" s="32"/>
    </row>
    <row r="215" spans="1:42" ht="15.95" hidden="1" customHeight="1" x14ac:dyDescent="0.25">
      <c r="A215" s="957">
        <f t="shared" ca="1" si="8"/>
        <v>0</v>
      </c>
      <c r="AA215" s="4"/>
      <c r="AB215" s="5"/>
      <c r="AC215" s="5" t="str">
        <f ca="1">IF('Rent Roll'!$Y157=1,'Rent Roll'!E157,"")</f>
        <v/>
      </c>
      <c r="AD215" s="39" t="str">
        <f ca="1">IF('Rent Roll'!$Y157=1,'Rent Roll'!G157,"")</f>
        <v/>
      </c>
      <c r="AE215" s="1547" t="str">
        <f ca="1">IF('Rent Roll'!$Y157=1,'Rent Roll'!K157,"")</f>
        <v/>
      </c>
      <c r="AF215" s="1551" t="str">
        <f ca="1">IF('Rent Roll'!$Y157=1,'Rent Roll'!N157,"")</f>
        <v/>
      </c>
      <c r="AG215" s="5"/>
      <c r="AH215" s="6"/>
      <c r="AI215" s="11"/>
      <c r="AJ215" s="1536"/>
      <c r="AK215" s="1537"/>
      <c r="AL215" s="1536"/>
      <c r="AM215" s="1545"/>
      <c r="AN215" s="124"/>
      <c r="AO215" s="11"/>
      <c r="AP215" s="32"/>
    </row>
    <row r="216" spans="1:42" ht="15.95" hidden="1" customHeight="1" x14ac:dyDescent="0.25">
      <c r="A216" s="957">
        <f t="shared" ca="1" si="8"/>
        <v>0</v>
      </c>
      <c r="AA216" s="4"/>
      <c r="AB216" s="5"/>
      <c r="AC216" s="5" t="str">
        <f ca="1">IF('Rent Roll'!$Y158=1,'Rent Roll'!E158,"")</f>
        <v/>
      </c>
      <c r="AD216" s="39" t="str">
        <f ca="1">IF('Rent Roll'!$Y158=1,'Rent Roll'!G158,"")</f>
        <v/>
      </c>
      <c r="AE216" s="1547" t="str">
        <f ca="1">IF('Rent Roll'!$Y158=1,'Rent Roll'!K158,"")</f>
        <v/>
      </c>
      <c r="AF216" s="1551" t="str">
        <f ca="1">IF('Rent Roll'!$Y158=1,'Rent Roll'!N158,"")</f>
        <v/>
      </c>
      <c r="AG216" s="5"/>
      <c r="AH216" s="6"/>
      <c r="AI216" s="11"/>
      <c r="AJ216" s="1536"/>
      <c r="AK216" s="1537"/>
      <c r="AL216" s="1536"/>
      <c r="AM216" s="1545"/>
      <c r="AN216" s="124"/>
      <c r="AO216" s="11"/>
      <c r="AP216" s="32"/>
    </row>
    <row r="217" spans="1:42" ht="15.95" hidden="1" customHeight="1" x14ac:dyDescent="0.25">
      <c r="A217" s="957">
        <f t="shared" ca="1" si="8"/>
        <v>0</v>
      </c>
      <c r="AA217" s="4"/>
      <c r="AB217" s="5"/>
      <c r="AC217" s="5" t="str">
        <f ca="1">IF('Rent Roll'!$Y159=1,'Rent Roll'!E159,"")</f>
        <v/>
      </c>
      <c r="AD217" s="39" t="str">
        <f ca="1">IF('Rent Roll'!$Y159=1,'Rent Roll'!G159,"")</f>
        <v/>
      </c>
      <c r="AE217" s="1547" t="str">
        <f ca="1">IF('Rent Roll'!$Y159=1,'Rent Roll'!K159,"")</f>
        <v/>
      </c>
      <c r="AF217" s="1551" t="str">
        <f ca="1">IF('Rent Roll'!$Y159=1,'Rent Roll'!N159,"")</f>
        <v/>
      </c>
      <c r="AG217" s="5"/>
      <c r="AH217" s="6"/>
      <c r="AI217" s="11"/>
      <c r="AJ217" s="1536"/>
      <c r="AK217" s="1537"/>
      <c r="AL217" s="1536"/>
      <c r="AM217" s="1545"/>
      <c r="AN217" s="124"/>
      <c r="AO217" s="11"/>
      <c r="AP217" s="32"/>
    </row>
    <row r="218" spans="1:42" ht="15.95" hidden="1" customHeight="1" x14ac:dyDescent="0.25">
      <c r="A218" s="957">
        <f t="shared" ca="1" si="8"/>
        <v>0</v>
      </c>
      <c r="AA218" s="4"/>
      <c r="AB218" s="5"/>
      <c r="AC218" s="5" t="str">
        <f ca="1">IF('Rent Roll'!$Y160=1,'Rent Roll'!E160,"")</f>
        <v/>
      </c>
      <c r="AD218" s="39" t="str">
        <f ca="1">IF('Rent Roll'!$Y160=1,'Rent Roll'!G160,"")</f>
        <v/>
      </c>
      <c r="AE218" s="1547" t="str">
        <f ca="1">IF('Rent Roll'!$Y160=1,'Rent Roll'!K160,"")</f>
        <v/>
      </c>
      <c r="AF218" s="1551" t="str">
        <f ca="1">IF('Rent Roll'!$Y160=1,'Rent Roll'!N160,"")</f>
        <v/>
      </c>
      <c r="AG218" s="5"/>
      <c r="AH218" s="6"/>
      <c r="AI218" s="11"/>
      <c r="AJ218" s="1536"/>
      <c r="AK218" s="1537"/>
      <c r="AL218" s="1536"/>
      <c r="AM218" s="1545"/>
      <c r="AN218" s="124"/>
      <c r="AO218" s="11"/>
      <c r="AP218" s="32"/>
    </row>
    <row r="219" spans="1:42" ht="15.95" hidden="1" customHeight="1" x14ac:dyDescent="0.25">
      <c r="A219" s="957">
        <f t="shared" ca="1" si="8"/>
        <v>0</v>
      </c>
      <c r="AA219" s="4"/>
      <c r="AB219" s="5"/>
      <c r="AC219" s="5" t="str">
        <f ca="1">IF('Rent Roll'!$Y161=1,'Rent Roll'!E161,"")</f>
        <v/>
      </c>
      <c r="AD219" s="39" t="str">
        <f ca="1">IF('Rent Roll'!$Y161=1,'Rent Roll'!G161,"")</f>
        <v/>
      </c>
      <c r="AE219" s="1547" t="str">
        <f ca="1">IF('Rent Roll'!$Y161=1,'Rent Roll'!K161,"")</f>
        <v/>
      </c>
      <c r="AF219" s="1551" t="str">
        <f ca="1">IF('Rent Roll'!$Y161=1,'Rent Roll'!N161,"")</f>
        <v/>
      </c>
      <c r="AG219" s="5"/>
      <c r="AH219" s="6"/>
      <c r="AI219" s="11"/>
      <c r="AJ219" s="1536"/>
      <c r="AK219" s="1537"/>
      <c r="AL219" s="1536"/>
      <c r="AM219" s="1545"/>
      <c r="AN219" s="124"/>
      <c r="AO219" s="11"/>
      <c r="AP219" s="32"/>
    </row>
    <row r="220" spans="1:42" ht="15.95" hidden="1" customHeight="1" x14ac:dyDescent="0.25">
      <c r="A220" s="957">
        <f t="shared" ca="1" si="8"/>
        <v>0</v>
      </c>
      <c r="AA220" s="4"/>
      <c r="AB220" s="5"/>
      <c r="AC220" s="5" t="str">
        <f ca="1">IF('Rent Roll'!$Y162=1,'Rent Roll'!E162,"")</f>
        <v/>
      </c>
      <c r="AD220" s="39" t="str">
        <f ca="1">IF('Rent Roll'!$Y162=1,'Rent Roll'!G162,"")</f>
        <v/>
      </c>
      <c r="AE220" s="1547" t="str">
        <f ca="1">IF('Rent Roll'!$Y162=1,'Rent Roll'!K162,"")</f>
        <v/>
      </c>
      <c r="AF220" s="1551" t="str">
        <f ca="1">IF('Rent Roll'!$Y162=1,'Rent Roll'!N162,"")</f>
        <v/>
      </c>
      <c r="AG220" s="5"/>
      <c r="AH220" s="6"/>
      <c r="AI220" s="11"/>
      <c r="AJ220" s="1536"/>
      <c r="AK220" s="1537"/>
      <c r="AL220" s="1536"/>
      <c r="AM220" s="1545"/>
      <c r="AN220" s="124"/>
      <c r="AO220" s="11"/>
      <c r="AP220" s="32"/>
    </row>
    <row r="221" spans="1:42" ht="15.95" hidden="1" customHeight="1" x14ac:dyDescent="0.25">
      <c r="A221" s="957">
        <f t="shared" ca="1" si="8"/>
        <v>0</v>
      </c>
      <c r="AA221" s="4"/>
      <c r="AB221" s="5"/>
      <c r="AC221" s="5" t="str">
        <f ca="1">IF('Rent Roll'!$Y163=1,'Rent Roll'!E163,"")</f>
        <v/>
      </c>
      <c r="AD221" s="39" t="str">
        <f ca="1">IF('Rent Roll'!$Y163=1,'Rent Roll'!G163,"")</f>
        <v/>
      </c>
      <c r="AE221" s="1547" t="str">
        <f ca="1">IF('Rent Roll'!$Y163=1,'Rent Roll'!K163,"")</f>
        <v/>
      </c>
      <c r="AF221" s="1551" t="str">
        <f ca="1">IF('Rent Roll'!$Y163=1,'Rent Roll'!N163,"")</f>
        <v/>
      </c>
      <c r="AG221" s="5"/>
      <c r="AH221" s="6"/>
      <c r="AI221" s="11"/>
      <c r="AJ221" s="1536"/>
      <c r="AK221" s="1537"/>
      <c r="AL221" s="1536"/>
      <c r="AM221" s="1545"/>
      <c r="AN221" s="124"/>
      <c r="AO221" s="11"/>
      <c r="AP221" s="32"/>
    </row>
    <row r="222" spans="1:42" ht="15.95" hidden="1" customHeight="1" x14ac:dyDescent="0.25">
      <c r="A222" s="957">
        <f t="shared" ca="1" si="8"/>
        <v>0</v>
      </c>
      <c r="AA222" s="4"/>
      <c r="AB222" s="5"/>
      <c r="AC222" s="5" t="str">
        <f ca="1">IF('Rent Roll'!$Y164=1,'Rent Roll'!E164,"")</f>
        <v/>
      </c>
      <c r="AD222" s="39" t="str">
        <f ca="1">IF('Rent Roll'!$Y164=1,'Rent Roll'!G164,"")</f>
        <v/>
      </c>
      <c r="AE222" s="1547" t="str">
        <f ca="1">IF('Rent Roll'!$Y164=1,'Rent Roll'!K164,"")</f>
        <v/>
      </c>
      <c r="AF222" s="1551" t="str">
        <f ca="1">IF('Rent Roll'!$Y164=1,'Rent Roll'!N164,"")</f>
        <v/>
      </c>
      <c r="AG222" s="5"/>
      <c r="AH222" s="6"/>
      <c r="AI222" s="11"/>
      <c r="AJ222" s="1536"/>
      <c r="AK222" s="1537"/>
      <c r="AL222" s="1536"/>
      <c r="AM222" s="1545"/>
      <c r="AN222" s="124"/>
      <c r="AO222" s="11"/>
      <c r="AP222" s="32"/>
    </row>
    <row r="223" spans="1:42" ht="15.95" hidden="1" customHeight="1" x14ac:dyDescent="0.25">
      <c r="A223" s="957">
        <f t="shared" ca="1" si="8"/>
        <v>0</v>
      </c>
      <c r="AA223" s="4"/>
      <c r="AB223" s="5"/>
      <c r="AC223" s="5" t="str">
        <f ca="1">IF('Rent Roll'!$Y165=1,'Rent Roll'!E165,"")</f>
        <v/>
      </c>
      <c r="AD223" s="39" t="str">
        <f ca="1">IF('Rent Roll'!$Y165=1,'Rent Roll'!G165,"")</f>
        <v/>
      </c>
      <c r="AE223" s="1547" t="str">
        <f ca="1">IF('Rent Roll'!$Y165=1,'Rent Roll'!K165,"")</f>
        <v/>
      </c>
      <c r="AF223" s="1551" t="str">
        <f ca="1">IF('Rent Roll'!$Y165=1,'Rent Roll'!N165,"")</f>
        <v/>
      </c>
      <c r="AG223" s="5"/>
      <c r="AH223" s="6"/>
      <c r="AI223" s="11"/>
      <c r="AJ223" s="1536"/>
      <c r="AK223" s="1537"/>
      <c r="AL223" s="1536"/>
      <c r="AM223" s="1545"/>
      <c r="AN223" s="124"/>
      <c r="AO223" s="11"/>
      <c r="AP223" s="32"/>
    </row>
    <row r="224" spans="1:42" ht="15.95" hidden="1" customHeight="1" x14ac:dyDescent="0.25">
      <c r="A224" s="957">
        <f t="shared" ca="1" si="8"/>
        <v>0</v>
      </c>
      <c r="AA224" s="4"/>
      <c r="AB224" s="5"/>
      <c r="AC224" s="5" t="str">
        <f ca="1">IF('Rent Roll'!$Y166=1,'Rent Roll'!E166,"")</f>
        <v/>
      </c>
      <c r="AD224" s="39" t="str">
        <f ca="1">IF('Rent Roll'!$Y166=1,'Rent Roll'!G166,"")</f>
        <v/>
      </c>
      <c r="AE224" s="1547" t="str">
        <f ca="1">IF('Rent Roll'!$Y166=1,'Rent Roll'!K166,"")</f>
        <v/>
      </c>
      <c r="AF224" s="1551" t="str">
        <f ca="1">IF('Rent Roll'!$Y166=1,'Rent Roll'!N166,"")</f>
        <v/>
      </c>
      <c r="AG224" s="5"/>
      <c r="AH224" s="6"/>
      <c r="AI224" s="11"/>
      <c r="AJ224" s="1536"/>
      <c r="AK224" s="1537"/>
      <c r="AL224" s="1536"/>
      <c r="AM224" s="1545"/>
      <c r="AN224" s="124"/>
      <c r="AO224" s="11"/>
      <c r="AP224" s="32"/>
    </row>
    <row r="225" spans="1:42" ht="15.95" hidden="1" customHeight="1" x14ac:dyDescent="0.25">
      <c r="A225" s="957">
        <f t="shared" ca="1" si="8"/>
        <v>0</v>
      </c>
      <c r="AA225" s="4"/>
      <c r="AB225" s="5"/>
      <c r="AC225" s="5" t="str">
        <f ca="1">IF('Rent Roll'!$Y167=1,'Rent Roll'!E167,"")</f>
        <v/>
      </c>
      <c r="AD225" s="39" t="str">
        <f ca="1">IF('Rent Roll'!$Y167=1,'Rent Roll'!G167,"")</f>
        <v/>
      </c>
      <c r="AE225" s="1547" t="str">
        <f ca="1">IF('Rent Roll'!$Y167=1,'Rent Roll'!K167,"")</f>
        <v/>
      </c>
      <c r="AF225" s="1551" t="str">
        <f ca="1">IF('Rent Roll'!$Y167=1,'Rent Roll'!N167,"")</f>
        <v/>
      </c>
      <c r="AG225" s="5"/>
      <c r="AH225" s="6"/>
      <c r="AI225" s="11"/>
      <c r="AJ225" s="1536"/>
      <c r="AK225" s="1537"/>
      <c r="AL225" s="1536"/>
      <c r="AM225" s="1545"/>
      <c r="AN225" s="124"/>
      <c r="AO225" s="11"/>
      <c r="AP225" s="32"/>
    </row>
    <row r="226" spans="1:42" ht="15.95" hidden="1" customHeight="1" x14ac:dyDescent="0.25">
      <c r="A226" s="957">
        <f t="shared" ca="1" si="8"/>
        <v>0</v>
      </c>
      <c r="AA226" s="4"/>
      <c r="AB226" s="5"/>
      <c r="AC226" s="5" t="str">
        <f ca="1">IF('Rent Roll'!$Y168=1,'Rent Roll'!E168,"")</f>
        <v/>
      </c>
      <c r="AD226" s="39" t="str">
        <f ca="1">IF('Rent Roll'!$Y168=1,'Rent Roll'!G168,"")</f>
        <v/>
      </c>
      <c r="AE226" s="1547" t="str">
        <f ca="1">IF('Rent Roll'!$Y168=1,'Rent Roll'!K168,"")</f>
        <v/>
      </c>
      <c r="AF226" s="1551" t="str">
        <f ca="1">IF('Rent Roll'!$Y168=1,'Rent Roll'!N168,"")</f>
        <v/>
      </c>
      <c r="AG226" s="5"/>
      <c r="AH226" s="6"/>
      <c r="AI226" s="11"/>
      <c r="AJ226" s="1536"/>
      <c r="AK226" s="1537"/>
      <c r="AL226" s="1536"/>
      <c r="AM226" s="1545"/>
      <c r="AN226" s="124"/>
      <c r="AO226" s="11"/>
      <c r="AP226" s="32"/>
    </row>
    <row r="227" spans="1:42" ht="15.95" hidden="1" customHeight="1" x14ac:dyDescent="0.25">
      <c r="A227" s="957">
        <f t="shared" ca="1" si="8"/>
        <v>0</v>
      </c>
      <c r="AA227" s="4"/>
      <c r="AB227" s="5"/>
      <c r="AC227" s="5" t="str">
        <f ca="1">IF('Rent Roll'!$Y169=1,'Rent Roll'!E169,"")</f>
        <v/>
      </c>
      <c r="AD227" s="39" t="str">
        <f ca="1">IF('Rent Roll'!$Y169=1,'Rent Roll'!G169,"")</f>
        <v/>
      </c>
      <c r="AE227" s="1547" t="str">
        <f ca="1">IF('Rent Roll'!$Y169=1,'Rent Roll'!K169,"")</f>
        <v/>
      </c>
      <c r="AF227" s="1551" t="str">
        <f ca="1">IF('Rent Roll'!$Y169=1,'Rent Roll'!N169,"")</f>
        <v/>
      </c>
      <c r="AG227" s="5"/>
      <c r="AH227" s="6"/>
      <c r="AI227" s="11"/>
      <c r="AJ227" s="1536"/>
      <c r="AK227" s="1537"/>
      <c r="AL227" s="1536"/>
      <c r="AM227" s="1545"/>
      <c r="AN227" s="124"/>
      <c r="AO227" s="11"/>
      <c r="AP227" s="32"/>
    </row>
    <row r="228" spans="1:42" ht="15.95" hidden="1" customHeight="1" x14ac:dyDescent="0.25">
      <c r="A228" s="957">
        <f t="shared" ca="1" si="8"/>
        <v>0</v>
      </c>
      <c r="AA228" s="4"/>
      <c r="AB228" s="5"/>
      <c r="AC228" s="5" t="str">
        <f ca="1">IF('Rent Roll'!$Y170=1,'Rent Roll'!E170,"")</f>
        <v/>
      </c>
      <c r="AD228" s="39" t="str">
        <f ca="1">IF('Rent Roll'!$Y170=1,'Rent Roll'!G170,"")</f>
        <v/>
      </c>
      <c r="AE228" s="1547" t="str">
        <f ca="1">IF('Rent Roll'!$Y170=1,'Rent Roll'!K170,"")</f>
        <v/>
      </c>
      <c r="AF228" s="1551" t="str">
        <f ca="1">IF('Rent Roll'!$Y170=1,'Rent Roll'!N170,"")</f>
        <v/>
      </c>
      <c r="AG228" s="5"/>
      <c r="AH228" s="6"/>
      <c r="AI228" s="11"/>
      <c r="AJ228" s="1536"/>
      <c r="AK228" s="1537"/>
      <c r="AL228" s="1536"/>
      <c r="AM228" s="1545"/>
      <c r="AN228" s="124"/>
      <c r="AO228" s="11"/>
      <c r="AP228" s="32"/>
    </row>
    <row r="229" spans="1:42" ht="15.95" hidden="1" customHeight="1" x14ac:dyDescent="0.25">
      <c r="A229" s="957">
        <f t="shared" ca="1" si="8"/>
        <v>0</v>
      </c>
      <c r="AA229" s="4"/>
      <c r="AB229" s="5"/>
      <c r="AC229" s="5" t="str">
        <f ca="1">IF('Rent Roll'!$Y171=1,'Rent Roll'!E171,"")</f>
        <v/>
      </c>
      <c r="AD229" s="39" t="str">
        <f ca="1">IF('Rent Roll'!$Y171=1,'Rent Roll'!G171,"")</f>
        <v/>
      </c>
      <c r="AE229" s="1547" t="str">
        <f ca="1">IF('Rent Roll'!$Y171=1,'Rent Roll'!K171,"")</f>
        <v/>
      </c>
      <c r="AF229" s="1551" t="str">
        <f ca="1">IF('Rent Roll'!$Y171=1,'Rent Roll'!N171,"")</f>
        <v/>
      </c>
      <c r="AG229" s="5"/>
      <c r="AH229" s="6"/>
      <c r="AI229" s="11"/>
      <c r="AJ229" s="1536"/>
      <c r="AK229" s="1537"/>
      <c r="AL229" s="1536"/>
      <c r="AM229" s="1545"/>
      <c r="AN229" s="124"/>
      <c r="AO229" s="11"/>
      <c r="AP229" s="32"/>
    </row>
    <row r="230" spans="1:42" ht="15.95" hidden="1" customHeight="1" x14ac:dyDescent="0.25">
      <c r="A230" s="957">
        <f t="shared" ca="1" si="8"/>
        <v>0</v>
      </c>
      <c r="AA230" s="4"/>
      <c r="AB230" s="5"/>
      <c r="AC230" s="5" t="str">
        <f ca="1">IF('Rent Roll'!$Y172=1,'Rent Roll'!E172,"")</f>
        <v/>
      </c>
      <c r="AD230" s="39" t="str">
        <f ca="1">IF('Rent Roll'!$Y172=1,'Rent Roll'!G172,"")</f>
        <v/>
      </c>
      <c r="AE230" s="1547" t="str">
        <f ca="1">IF('Rent Roll'!$Y172=1,'Rent Roll'!K172,"")</f>
        <v/>
      </c>
      <c r="AF230" s="1551" t="str">
        <f ca="1">IF('Rent Roll'!$Y172=1,'Rent Roll'!N172,"")</f>
        <v/>
      </c>
      <c r="AG230" s="5"/>
      <c r="AH230" s="6"/>
      <c r="AI230" s="11"/>
      <c r="AJ230" s="1536"/>
      <c r="AK230" s="1537"/>
      <c r="AL230" s="1536"/>
      <c r="AM230" s="1545"/>
      <c r="AN230" s="124"/>
      <c r="AO230" s="11"/>
      <c r="AP230" s="32"/>
    </row>
    <row r="231" spans="1:42" ht="15.95" hidden="1" customHeight="1" x14ac:dyDescent="0.25">
      <c r="A231" s="957">
        <f t="shared" ca="1" si="8"/>
        <v>0</v>
      </c>
      <c r="AA231" s="4"/>
      <c r="AB231" s="5"/>
      <c r="AC231" s="5" t="str">
        <f ca="1">IF('Rent Roll'!$Y173=1,'Rent Roll'!E173,"")</f>
        <v/>
      </c>
      <c r="AD231" s="39" t="str">
        <f ca="1">IF('Rent Roll'!$Y173=1,'Rent Roll'!G173,"")</f>
        <v/>
      </c>
      <c r="AE231" s="1547" t="str">
        <f ca="1">IF('Rent Roll'!$Y173=1,'Rent Roll'!K173,"")</f>
        <v/>
      </c>
      <c r="AF231" s="1551" t="str">
        <f ca="1">IF('Rent Roll'!$Y173=1,'Rent Roll'!N173,"")</f>
        <v/>
      </c>
      <c r="AG231" s="5"/>
      <c r="AH231" s="6"/>
      <c r="AI231" s="11"/>
      <c r="AJ231" s="1536"/>
      <c r="AK231" s="1537"/>
      <c r="AL231" s="1536"/>
      <c r="AM231" s="1545"/>
      <c r="AN231" s="124"/>
      <c r="AO231" s="11"/>
      <c r="AP231" s="32"/>
    </row>
    <row r="232" spans="1:42" ht="15.95" hidden="1" customHeight="1" x14ac:dyDescent="0.25">
      <c r="A232" s="957">
        <f t="shared" ca="1" si="8"/>
        <v>0</v>
      </c>
      <c r="AA232" s="4"/>
      <c r="AB232" s="5"/>
      <c r="AC232" s="5" t="str">
        <f ca="1">IF('Rent Roll'!$Y174=1,'Rent Roll'!E174,"")</f>
        <v/>
      </c>
      <c r="AD232" s="39" t="str">
        <f ca="1">IF('Rent Roll'!$Y174=1,'Rent Roll'!G174,"")</f>
        <v/>
      </c>
      <c r="AE232" s="1547" t="str">
        <f ca="1">IF('Rent Roll'!$Y174=1,'Rent Roll'!K174,"")</f>
        <v/>
      </c>
      <c r="AF232" s="1551" t="str">
        <f ca="1">IF('Rent Roll'!$Y174=1,'Rent Roll'!N174,"")</f>
        <v/>
      </c>
      <c r="AG232" s="5"/>
      <c r="AH232" s="6"/>
      <c r="AI232" s="11"/>
      <c r="AJ232" s="1536"/>
      <c r="AK232" s="1537"/>
      <c r="AL232" s="1536"/>
      <c r="AM232" s="1545"/>
      <c r="AN232" s="124"/>
      <c r="AO232" s="11"/>
      <c r="AP232" s="32"/>
    </row>
    <row r="233" spans="1:42" ht="15.95" hidden="1" customHeight="1" x14ac:dyDescent="0.25">
      <c r="A233" s="957">
        <f t="shared" ca="1" si="8"/>
        <v>0</v>
      </c>
      <c r="AA233" s="4"/>
      <c r="AB233" s="5"/>
      <c r="AC233" s="5" t="str">
        <f ca="1">IF('Rent Roll'!$Y175=1,'Rent Roll'!E175,"")</f>
        <v/>
      </c>
      <c r="AD233" s="39" t="str">
        <f ca="1">IF('Rent Roll'!$Y175=1,'Rent Roll'!G175,"")</f>
        <v/>
      </c>
      <c r="AE233" s="1547" t="str">
        <f ca="1">IF('Rent Roll'!$Y175=1,'Rent Roll'!K175,"")</f>
        <v/>
      </c>
      <c r="AF233" s="1551" t="str">
        <f ca="1">IF('Rent Roll'!$Y175=1,'Rent Roll'!N175,"")</f>
        <v/>
      </c>
      <c r="AG233" s="5"/>
      <c r="AH233" s="6"/>
      <c r="AI233" s="11"/>
      <c r="AJ233" s="1536"/>
      <c r="AK233" s="1537"/>
      <c r="AL233" s="1536"/>
      <c r="AM233" s="1545"/>
      <c r="AN233" s="124"/>
      <c r="AO233" s="11"/>
      <c r="AP233" s="32"/>
    </row>
    <row r="234" spans="1:42" ht="15.95" hidden="1" customHeight="1" x14ac:dyDescent="0.25">
      <c r="A234" s="957">
        <f t="shared" ca="1" si="8"/>
        <v>0</v>
      </c>
      <c r="AA234" s="4"/>
      <c r="AB234" s="5"/>
      <c r="AC234" s="5" t="str">
        <f ca="1">IF('Rent Roll'!$Y176=1,'Rent Roll'!E176,"")</f>
        <v/>
      </c>
      <c r="AD234" s="39" t="str">
        <f ca="1">IF('Rent Roll'!$Y176=1,'Rent Roll'!G176,"")</f>
        <v/>
      </c>
      <c r="AE234" s="1547" t="str">
        <f ca="1">IF('Rent Roll'!$Y176=1,'Rent Roll'!K176,"")</f>
        <v/>
      </c>
      <c r="AF234" s="1551" t="str">
        <f ca="1">IF('Rent Roll'!$Y176=1,'Rent Roll'!N176,"")</f>
        <v/>
      </c>
      <c r="AG234" s="5"/>
      <c r="AH234" s="6"/>
      <c r="AI234" s="11"/>
      <c r="AJ234" s="1536"/>
      <c r="AK234" s="1537"/>
      <c r="AL234" s="1536"/>
      <c r="AM234" s="1545"/>
      <c r="AN234" s="124"/>
      <c r="AO234" s="11"/>
      <c r="AP234" s="32"/>
    </row>
    <row r="235" spans="1:42" ht="15.95" hidden="1" customHeight="1" x14ac:dyDescent="0.25">
      <c r="A235" s="957">
        <f t="shared" ca="1" si="8"/>
        <v>0</v>
      </c>
      <c r="AA235" s="4"/>
      <c r="AB235" s="5"/>
      <c r="AC235" s="5" t="str">
        <f ca="1">IF('Rent Roll'!$Y177=1,'Rent Roll'!E177,"")</f>
        <v/>
      </c>
      <c r="AD235" s="39" t="str">
        <f ca="1">IF('Rent Roll'!$Y177=1,'Rent Roll'!G177,"")</f>
        <v/>
      </c>
      <c r="AE235" s="1547" t="str">
        <f ca="1">IF('Rent Roll'!$Y177=1,'Rent Roll'!K177,"")</f>
        <v/>
      </c>
      <c r="AF235" s="1551" t="str">
        <f ca="1">IF('Rent Roll'!$Y177=1,'Rent Roll'!N177,"")</f>
        <v/>
      </c>
      <c r="AG235" s="5"/>
      <c r="AH235" s="6"/>
      <c r="AI235" s="11"/>
      <c r="AJ235" s="1536"/>
      <c r="AK235" s="1537"/>
      <c r="AL235" s="1536"/>
      <c r="AM235" s="1545"/>
      <c r="AN235" s="124"/>
      <c r="AO235" s="11"/>
      <c r="AP235" s="32"/>
    </row>
    <row r="236" spans="1:42" ht="15.95" hidden="1" customHeight="1" x14ac:dyDescent="0.25">
      <c r="A236" s="957">
        <f t="shared" ca="1" si="8"/>
        <v>0</v>
      </c>
      <c r="AA236" s="4"/>
      <c r="AB236" s="5"/>
      <c r="AC236" s="5" t="str">
        <f ca="1">IF('Rent Roll'!$Y178=1,'Rent Roll'!E178,"")</f>
        <v/>
      </c>
      <c r="AD236" s="39" t="str">
        <f ca="1">IF('Rent Roll'!$Y178=1,'Rent Roll'!G178,"")</f>
        <v/>
      </c>
      <c r="AE236" s="1547" t="str">
        <f ca="1">IF('Rent Roll'!$Y178=1,'Rent Roll'!K178,"")</f>
        <v/>
      </c>
      <c r="AF236" s="1551" t="str">
        <f ca="1">IF('Rent Roll'!$Y178=1,'Rent Roll'!N178,"")</f>
        <v/>
      </c>
      <c r="AG236" s="5"/>
      <c r="AH236" s="6"/>
      <c r="AI236" s="11"/>
      <c r="AJ236" s="1536"/>
      <c r="AK236" s="1537"/>
      <c r="AL236" s="1536"/>
      <c r="AM236" s="1545"/>
      <c r="AN236" s="124"/>
      <c r="AO236" s="11"/>
      <c r="AP236" s="32"/>
    </row>
    <row r="237" spans="1:42" ht="15.95" hidden="1" customHeight="1" x14ac:dyDescent="0.25">
      <c r="A237" s="957">
        <f t="shared" ca="1" si="8"/>
        <v>0</v>
      </c>
      <c r="AA237" s="4"/>
      <c r="AB237" s="5"/>
      <c r="AC237" s="5" t="str">
        <f ca="1">IF('Rent Roll'!$Y179=1,'Rent Roll'!E179,"")</f>
        <v/>
      </c>
      <c r="AD237" s="39" t="str">
        <f ca="1">IF('Rent Roll'!$Y179=1,'Rent Roll'!G179,"")</f>
        <v/>
      </c>
      <c r="AE237" s="1547" t="str">
        <f ca="1">IF('Rent Roll'!$Y179=1,'Rent Roll'!K179,"")</f>
        <v/>
      </c>
      <c r="AF237" s="1551" t="str">
        <f ca="1">IF('Rent Roll'!$Y179=1,'Rent Roll'!N179,"")</f>
        <v/>
      </c>
      <c r="AG237" s="5"/>
      <c r="AH237" s="6"/>
      <c r="AI237" s="11"/>
      <c r="AJ237" s="1536"/>
      <c r="AK237" s="1537"/>
      <c r="AL237" s="1536"/>
      <c r="AM237" s="1545"/>
      <c r="AN237" s="124"/>
      <c r="AO237" s="11"/>
      <c r="AP237" s="32"/>
    </row>
    <row r="238" spans="1:42" ht="15.95" hidden="1" customHeight="1" x14ac:dyDescent="0.25">
      <c r="A238" s="957">
        <f t="shared" ca="1" si="8"/>
        <v>0</v>
      </c>
      <c r="AA238" s="4"/>
      <c r="AB238" s="5"/>
      <c r="AC238" s="5" t="str">
        <f ca="1">IF('Rent Roll'!$Y180=1,'Rent Roll'!E180,"")</f>
        <v/>
      </c>
      <c r="AD238" s="39" t="str">
        <f ca="1">IF('Rent Roll'!$Y180=1,'Rent Roll'!G180,"")</f>
        <v/>
      </c>
      <c r="AE238" s="1547" t="str">
        <f ca="1">IF('Rent Roll'!$Y180=1,'Rent Roll'!K180,"")</f>
        <v/>
      </c>
      <c r="AF238" s="1551" t="str">
        <f ca="1">IF('Rent Roll'!$Y180=1,'Rent Roll'!N180,"")</f>
        <v/>
      </c>
      <c r="AG238" s="5"/>
      <c r="AH238" s="6"/>
      <c r="AI238" s="11"/>
      <c r="AJ238" s="1536"/>
      <c r="AK238" s="1537"/>
      <c r="AL238" s="1536"/>
      <c r="AM238" s="1545"/>
      <c r="AN238" s="124"/>
      <c r="AO238" s="11"/>
      <c r="AP238" s="32"/>
    </row>
    <row r="239" spans="1:42" ht="15.95" hidden="1" customHeight="1" x14ac:dyDescent="0.25">
      <c r="A239" s="957">
        <f t="shared" ca="1" si="8"/>
        <v>0</v>
      </c>
      <c r="AA239" s="4"/>
      <c r="AB239" s="5"/>
      <c r="AC239" s="5" t="str">
        <f ca="1">IF('Rent Roll'!$Y181=1,'Rent Roll'!E181,"")</f>
        <v/>
      </c>
      <c r="AD239" s="39" t="str">
        <f ca="1">IF('Rent Roll'!$Y181=1,'Rent Roll'!G181,"")</f>
        <v/>
      </c>
      <c r="AE239" s="1547" t="str">
        <f ca="1">IF('Rent Roll'!$Y181=1,'Rent Roll'!K181,"")</f>
        <v/>
      </c>
      <c r="AF239" s="1551" t="str">
        <f ca="1">IF('Rent Roll'!$Y181=1,'Rent Roll'!N181,"")</f>
        <v/>
      </c>
      <c r="AG239" s="5"/>
      <c r="AH239" s="6"/>
      <c r="AI239" s="11"/>
      <c r="AJ239" s="1536"/>
      <c r="AK239" s="1537"/>
      <c r="AL239" s="1536"/>
      <c r="AM239" s="1545"/>
      <c r="AN239" s="124"/>
      <c r="AO239" s="11"/>
      <c r="AP239" s="32"/>
    </row>
    <row r="240" spans="1:42" ht="15.95" hidden="1" customHeight="1" x14ac:dyDescent="0.25">
      <c r="A240" s="957">
        <f t="shared" ca="1" si="8"/>
        <v>0</v>
      </c>
      <c r="AA240" s="4"/>
      <c r="AB240" s="5"/>
      <c r="AC240" s="5" t="str">
        <f ca="1">IF('Rent Roll'!$Y182=1,'Rent Roll'!E182,"")</f>
        <v/>
      </c>
      <c r="AD240" s="39" t="str">
        <f ca="1">IF('Rent Roll'!$Y182=1,'Rent Roll'!G182,"")</f>
        <v/>
      </c>
      <c r="AE240" s="1547" t="str">
        <f ca="1">IF('Rent Roll'!$Y182=1,'Rent Roll'!K182,"")</f>
        <v/>
      </c>
      <c r="AF240" s="1551" t="str">
        <f ca="1">IF('Rent Roll'!$Y182=1,'Rent Roll'!N182,"")</f>
        <v/>
      </c>
      <c r="AG240" s="5"/>
      <c r="AH240" s="6"/>
      <c r="AI240" s="11"/>
      <c r="AJ240" s="1536"/>
      <c r="AK240" s="1537"/>
      <c r="AL240" s="1536"/>
      <c r="AM240" s="1545"/>
      <c r="AN240" s="124"/>
      <c r="AO240" s="11"/>
      <c r="AP240" s="32"/>
    </row>
    <row r="241" spans="1:42" ht="15.95" hidden="1" customHeight="1" x14ac:dyDescent="0.25">
      <c r="A241" s="957">
        <f t="shared" ca="1" si="8"/>
        <v>0</v>
      </c>
      <c r="AA241" s="4"/>
      <c r="AB241" s="5"/>
      <c r="AC241" s="5" t="str">
        <f ca="1">IF('Rent Roll'!$Y183=1,'Rent Roll'!E183,"")</f>
        <v/>
      </c>
      <c r="AD241" s="39" t="str">
        <f ca="1">IF('Rent Roll'!$Y183=1,'Rent Roll'!G183,"")</f>
        <v/>
      </c>
      <c r="AE241" s="1547" t="str">
        <f ca="1">IF('Rent Roll'!$Y183=1,'Rent Roll'!K183,"")</f>
        <v/>
      </c>
      <c r="AF241" s="1551" t="str">
        <f ca="1">IF('Rent Roll'!$Y183=1,'Rent Roll'!N183,"")</f>
        <v/>
      </c>
      <c r="AG241" s="5"/>
      <c r="AH241" s="6"/>
      <c r="AI241" s="11"/>
      <c r="AJ241" s="1536"/>
      <c r="AK241" s="1537"/>
      <c r="AL241" s="1536"/>
      <c r="AM241" s="1545"/>
      <c r="AN241" s="124"/>
      <c r="AO241" s="11"/>
      <c r="AP241" s="32"/>
    </row>
    <row r="242" spans="1:42" ht="15.95" hidden="1" customHeight="1" x14ac:dyDescent="0.25">
      <c r="A242" s="957">
        <f t="shared" ca="1" si="8"/>
        <v>0</v>
      </c>
      <c r="AA242" s="4"/>
      <c r="AB242" s="5"/>
      <c r="AC242" s="5" t="str">
        <f ca="1">IF('Rent Roll'!$Y184=1,'Rent Roll'!E184,"")</f>
        <v/>
      </c>
      <c r="AD242" s="39" t="str">
        <f ca="1">IF('Rent Roll'!$Y184=1,'Rent Roll'!G184,"")</f>
        <v/>
      </c>
      <c r="AE242" s="1547" t="str">
        <f ca="1">IF('Rent Roll'!$Y184=1,'Rent Roll'!K184,"")</f>
        <v/>
      </c>
      <c r="AF242" s="1551" t="str">
        <f ca="1">IF('Rent Roll'!$Y184=1,'Rent Roll'!N184,"")</f>
        <v/>
      </c>
      <c r="AG242" s="5"/>
      <c r="AH242" s="6"/>
      <c r="AI242" s="11"/>
      <c r="AJ242" s="1536"/>
      <c r="AK242" s="1537"/>
      <c r="AL242" s="1536"/>
      <c r="AM242" s="1545"/>
      <c r="AN242" s="124"/>
      <c r="AO242" s="11"/>
      <c r="AP242" s="32"/>
    </row>
    <row r="243" spans="1:42" ht="15.95" hidden="1" customHeight="1" x14ac:dyDescent="0.25">
      <c r="A243" s="957">
        <f t="shared" ca="1" si="8"/>
        <v>0</v>
      </c>
      <c r="AA243" s="4"/>
      <c r="AB243" s="5"/>
      <c r="AC243" s="5" t="str">
        <f ca="1">IF('Rent Roll'!$Y185=1,'Rent Roll'!E185,"")</f>
        <v/>
      </c>
      <c r="AD243" s="39" t="str">
        <f ca="1">IF('Rent Roll'!$Y185=1,'Rent Roll'!G185,"")</f>
        <v/>
      </c>
      <c r="AE243" s="1547" t="str">
        <f ca="1">IF('Rent Roll'!$Y185=1,'Rent Roll'!K185,"")</f>
        <v/>
      </c>
      <c r="AF243" s="1551" t="str">
        <f ca="1">IF('Rent Roll'!$Y185=1,'Rent Roll'!N185,"")</f>
        <v/>
      </c>
      <c r="AG243" s="5"/>
      <c r="AH243" s="6"/>
      <c r="AI243" s="11"/>
      <c r="AJ243" s="1536"/>
      <c r="AK243" s="1537"/>
      <c r="AL243" s="1536"/>
      <c r="AM243" s="1545"/>
      <c r="AN243" s="124"/>
      <c r="AO243" s="11"/>
      <c r="AP243" s="32"/>
    </row>
    <row r="244" spans="1:42" ht="15.95" hidden="1" customHeight="1" x14ac:dyDescent="0.25">
      <c r="A244" s="957">
        <f t="shared" ca="1" si="8"/>
        <v>0</v>
      </c>
      <c r="AA244" s="4"/>
      <c r="AB244" s="5"/>
      <c r="AC244" s="5" t="str">
        <f ca="1">IF('Rent Roll'!$Y186=1,'Rent Roll'!E186,"")</f>
        <v/>
      </c>
      <c r="AD244" s="39" t="str">
        <f ca="1">IF('Rent Roll'!$Y186=1,'Rent Roll'!G186,"")</f>
        <v/>
      </c>
      <c r="AE244" s="1547" t="str">
        <f ca="1">IF('Rent Roll'!$Y186=1,'Rent Roll'!K186,"")</f>
        <v/>
      </c>
      <c r="AF244" s="1551" t="str">
        <f ca="1">IF('Rent Roll'!$Y186=1,'Rent Roll'!N186,"")</f>
        <v/>
      </c>
      <c r="AG244" s="5"/>
      <c r="AH244" s="6"/>
      <c r="AI244" s="11"/>
      <c r="AJ244" s="1536"/>
      <c r="AK244" s="1537"/>
      <c r="AL244" s="1536"/>
      <c r="AM244" s="1545"/>
      <c r="AN244" s="124"/>
      <c r="AO244" s="11"/>
      <c r="AP244" s="32"/>
    </row>
    <row r="245" spans="1:42" ht="15.95" hidden="1" customHeight="1" x14ac:dyDescent="0.25">
      <c r="A245" s="957">
        <f t="shared" ca="1" si="8"/>
        <v>0</v>
      </c>
      <c r="AA245" s="4"/>
      <c r="AB245" s="5"/>
      <c r="AC245" s="5" t="str">
        <f ca="1">IF('Rent Roll'!$Y187=1,'Rent Roll'!E187,"")</f>
        <v/>
      </c>
      <c r="AD245" s="39" t="str">
        <f ca="1">IF('Rent Roll'!$Y187=1,'Rent Roll'!G187,"")</f>
        <v/>
      </c>
      <c r="AE245" s="1547" t="str">
        <f ca="1">IF('Rent Roll'!$Y187=1,'Rent Roll'!K187,"")</f>
        <v/>
      </c>
      <c r="AF245" s="1551" t="str">
        <f ca="1">IF('Rent Roll'!$Y187=1,'Rent Roll'!N187,"")</f>
        <v/>
      </c>
      <c r="AG245" s="5"/>
      <c r="AH245" s="6"/>
      <c r="AI245" s="11"/>
      <c r="AJ245" s="1536"/>
      <c r="AK245" s="1537"/>
      <c r="AL245" s="1536"/>
      <c r="AM245" s="1545"/>
      <c r="AN245" s="124"/>
      <c r="AO245" s="11"/>
      <c r="AP245" s="32"/>
    </row>
    <row r="246" spans="1:42" ht="15.95" hidden="1" customHeight="1" x14ac:dyDescent="0.25">
      <c r="A246" s="957">
        <f t="shared" ca="1" si="8"/>
        <v>0</v>
      </c>
      <c r="AA246" s="4"/>
      <c r="AB246" s="5"/>
      <c r="AC246" s="5" t="str">
        <f ca="1">IF('Rent Roll'!$Y188=1,'Rent Roll'!E188,"")</f>
        <v/>
      </c>
      <c r="AD246" s="39" t="str">
        <f ca="1">IF('Rent Roll'!$Y188=1,'Rent Roll'!G188,"")</f>
        <v/>
      </c>
      <c r="AE246" s="1547" t="str">
        <f ca="1">IF('Rent Roll'!$Y188=1,'Rent Roll'!K188,"")</f>
        <v/>
      </c>
      <c r="AF246" s="1551" t="str">
        <f ca="1">IF('Rent Roll'!$Y188=1,'Rent Roll'!N188,"")</f>
        <v/>
      </c>
      <c r="AG246" s="5"/>
      <c r="AH246" s="6"/>
      <c r="AI246" s="11"/>
      <c r="AJ246" s="1536"/>
      <c r="AK246" s="1537"/>
      <c r="AL246" s="1536"/>
      <c r="AM246" s="1545"/>
      <c r="AN246" s="124"/>
      <c r="AO246" s="11"/>
      <c r="AP246" s="32"/>
    </row>
    <row r="247" spans="1:42" ht="15.95" hidden="1" customHeight="1" x14ac:dyDescent="0.25">
      <c r="A247" s="957">
        <f t="shared" ca="1" si="8"/>
        <v>0</v>
      </c>
      <c r="AA247" s="4"/>
      <c r="AB247" s="5"/>
      <c r="AC247" s="5" t="str">
        <f ca="1">IF('Rent Roll'!$Y189=1,'Rent Roll'!E189,"")</f>
        <v/>
      </c>
      <c r="AD247" s="39" t="str">
        <f ca="1">IF('Rent Roll'!$Y189=1,'Rent Roll'!G189,"")</f>
        <v/>
      </c>
      <c r="AE247" s="1547" t="str">
        <f ca="1">IF('Rent Roll'!$Y189=1,'Rent Roll'!K189,"")</f>
        <v/>
      </c>
      <c r="AF247" s="1551" t="str">
        <f ca="1">IF('Rent Roll'!$Y189=1,'Rent Roll'!N189,"")</f>
        <v/>
      </c>
      <c r="AG247" s="5"/>
      <c r="AH247" s="6"/>
      <c r="AI247" s="11"/>
      <c r="AJ247" s="1536"/>
      <c r="AK247" s="1537"/>
      <c r="AL247" s="1536"/>
      <c r="AM247" s="1545"/>
      <c r="AN247" s="124"/>
      <c r="AO247" s="11"/>
      <c r="AP247" s="32"/>
    </row>
    <row r="248" spans="1:42" ht="15.95" hidden="1" customHeight="1" x14ac:dyDescent="0.25">
      <c r="A248" s="957">
        <f t="shared" ca="1" si="8"/>
        <v>0</v>
      </c>
      <c r="AA248" s="4"/>
      <c r="AB248" s="5"/>
      <c r="AC248" s="5" t="str">
        <f ca="1">IF('Rent Roll'!$Y190=1,'Rent Roll'!E190,"")</f>
        <v/>
      </c>
      <c r="AD248" s="39" t="str">
        <f ca="1">IF('Rent Roll'!$Y190=1,'Rent Roll'!G190,"")</f>
        <v/>
      </c>
      <c r="AE248" s="1547" t="str">
        <f ca="1">IF('Rent Roll'!$Y190=1,'Rent Roll'!K190,"")</f>
        <v/>
      </c>
      <c r="AF248" s="1551" t="str">
        <f ca="1">IF('Rent Roll'!$Y190=1,'Rent Roll'!N190,"")</f>
        <v/>
      </c>
      <c r="AG248" s="5"/>
      <c r="AH248" s="6"/>
      <c r="AI248" s="11"/>
      <c r="AJ248" s="1536"/>
      <c r="AK248" s="1537"/>
      <c r="AL248" s="1536"/>
      <c r="AM248" s="1545"/>
      <c r="AN248" s="124"/>
      <c r="AO248" s="11"/>
      <c r="AP248" s="32"/>
    </row>
    <row r="249" spans="1:42" ht="15.95" hidden="1" customHeight="1" x14ac:dyDescent="0.25">
      <c r="A249" s="957">
        <f t="shared" ca="1" si="8"/>
        <v>0</v>
      </c>
      <c r="AA249" s="4"/>
      <c r="AB249" s="5"/>
      <c r="AC249" s="5" t="str">
        <f ca="1">IF('Rent Roll'!$Y191=1,'Rent Roll'!E191,"")</f>
        <v/>
      </c>
      <c r="AD249" s="39" t="str">
        <f ca="1">IF('Rent Roll'!$Y191=1,'Rent Roll'!G191,"")</f>
        <v/>
      </c>
      <c r="AE249" s="1547" t="str">
        <f ca="1">IF('Rent Roll'!$Y191=1,'Rent Roll'!K191,"")</f>
        <v/>
      </c>
      <c r="AF249" s="1551" t="str">
        <f ca="1">IF('Rent Roll'!$Y191=1,'Rent Roll'!N191,"")</f>
        <v/>
      </c>
      <c r="AG249" s="5"/>
      <c r="AH249" s="6"/>
      <c r="AI249" s="11"/>
      <c r="AJ249" s="1536"/>
      <c r="AK249" s="1537"/>
      <c r="AL249" s="1536"/>
      <c r="AM249" s="1545"/>
      <c r="AN249" s="124"/>
      <c r="AO249" s="11"/>
      <c r="AP249" s="32"/>
    </row>
    <row r="250" spans="1:42" ht="15.95" hidden="1" customHeight="1" x14ac:dyDescent="0.25">
      <c r="A250" s="957">
        <f t="shared" ca="1" si="8"/>
        <v>0</v>
      </c>
      <c r="AA250" s="4"/>
      <c r="AB250" s="5"/>
      <c r="AC250" s="5" t="str">
        <f ca="1">IF('Rent Roll'!$Y192=1,'Rent Roll'!E192,"")</f>
        <v/>
      </c>
      <c r="AD250" s="39" t="str">
        <f ca="1">IF('Rent Roll'!$Y192=1,'Rent Roll'!G192,"")</f>
        <v/>
      </c>
      <c r="AE250" s="1547" t="str">
        <f ca="1">IF('Rent Roll'!$Y192=1,'Rent Roll'!K192,"")</f>
        <v/>
      </c>
      <c r="AF250" s="1551" t="str">
        <f ca="1">IF('Rent Roll'!$Y192=1,'Rent Roll'!N192,"")</f>
        <v/>
      </c>
      <c r="AG250" s="5"/>
      <c r="AH250" s="6"/>
      <c r="AI250" s="11"/>
      <c r="AJ250" s="1536"/>
      <c r="AK250" s="1537"/>
      <c r="AL250" s="1536"/>
      <c r="AM250" s="1545"/>
      <c r="AN250" s="124"/>
      <c r="AO250" s="11"/>
      <c r="AP250" s="32"/>
    </row>
    <row r="251" spans="1:42" ht="15.95" hidden="1" customHeight="1" x14ac:dyDescent="0.25">
      <c r="A251" s="957">
        <f t="shared" ca="1" si="8"/>
        <v>0</v>
      </c>
      <c r="AA251" s="4"/>
      <c r="AB251" s="5"/>
      <c r="AC251" s="5" t="str">
        <f ca="1">IF('Rent Roll'!$Y193=1,'Rent Roll'!E193,"")</f>
        <v/>
      </c>
      <c r="AD251" s="39" t="str">
        <f ca="1">IF('Rent Roll'!$Y193=1,'Rent Roll'!G193,"")</f>
        <v/>
      </c>
      <c r="AE251" s="1547" t="str">
        <f ca="1">IF('Rent Roll'!$Y193=1,'Rent Roll'!K193,"")</f>
        <v/>
      </c>
      <c r="AF251" s="1551" t="str">
        <f ca="1">IF('Rent Roll'!$Y193=1,'Rent Roll'!N193,"")</f>
        <v/>
      </c>
      <c r="AG251" s="5"/>
      <c r="AH251" s="6"/>
      <c r="AI251" s="11"/>
      <c r="AJ251" s="1536"/>
      <c r="AK251" s="1537"/>
      <c r="AL251" s="1536"/>
      <c r="AM251" s="1545"/>
      <c r="AN251" s="124"/>
      <c r="AO251" s="11"/>
      <c r="AP251" s="32"/>
    </row>
    <row r="252" spans="1:42" ht="15.95" hidden="1" customHeight="1" x14ac:dyDescent="0.25">
      <c r="A252" s="957">
        <f t="shared" ca="1" si="8"/>
        <v>0</v>
      </c>
      <c r="AA252" s="4"/>
      <c r="AB252" s="5"/>
      <c r="AC252" s="5" t="str">
        <f ca="1">IF('Rent Roll'!$Y194=1,'Rent Roll'!E194,"")</f>
        <v/>
      </c>
      <c r="AD252" s="39" t="str">
        <f ca="1">IF('Rent Roll'!$Y194=1,'Rent Roll'!G194,"")</f>
        <v/>
      </c>
      <c r="AE252" s="1547" t="str">
        <f ca="1">IF('Rent Roll'!$Y194=1,'Rent Roll'!K194,"")</f>
        <v/>
      </c>
      <c r="AF252" s="1551" t="str">
        <f ca="1">IF('Rent Roll'!$Y194=1,'Rent Roll'!N194,"")</f>
        <v/>
      </c>
      <c r="AG252" s="5"/>
      <c r="AH252" s="6"/>
      <c r="AI252" s="11"/>
      <c r="AJ252" s="1536"/>
      <c r="AK252" s="1537"/>
      <c r="AL252" s="1536"/>
      <c r="AM252" s="1545"/>
      <c r="AN252" s="124"/>
      <c r="AO252" s="11"/>
      <c r="AP252" s="32"/>
    </row>
    <row r="253" spans="1:42" ht="15.95" hidden="1" customHeight="1" x14ac:dyDescent="0.25">
      <c r="A253" s="957">
        <f t="shared" ca="1" si="8"/>
        <v>0</v>
      </c>
      <c r="AA253" s="4"/>
      <c r="AB253" s="5"/>
      <c r="AC253" s="5" t="str">
        <f ca="1">IF('Rent Roll'!$Y195=1,'Rent Roll'!E195,"")</f>
        <v/>
      </c>
      <c r="AD253" s="39" t="str">
        <f ca="1">IF('Rent Roll'!$Y195=1,'Rent Roll'!G195,"")</f>
        <v/>
      </c>
      <c r="AE253" s="1547" t="str">
        <f ca="1">IF('Rent Roll'!$Y195=1,'Rent Roll'!K195,"")</f>
        <v/>
      </c>
      <c r="AF253" s="1551" t="str">
        <f ca="1">IF('Rent Roll'!$Y195=1,'Rent Roll'!N195,"")</f>
        <v/>
      </c>
      <c r="AG253" s="5"/>
      <c r="AH253" s="6"/>
      <c r="AI253" s="11"/>
      <c r="AJ253" s="1536"/>
      <c r="AK253" s="1537"/>
      <c r="AL253" s="1536"/>
      <c r="AM253" s="1545"/>
      <c r="AN253" s="124"/>
      <c r="AO253" s="11"/>
      <c r="AP253" s="32"/>
    </row>
    <row r="254" spans="1:42" ht="15.95" hidden="1" customHeight="1" x14ac:dyDescent="0.25">
      <c r="A254" s="957">
        <f t="shared" ca="1" si="8"/>
        <v>0</v>
      </c>
      <c r="AA254" s="4"/>
      <c r="AB254" s="5"/>
      <c r="AC254" s="5" t="str">
        <f ca="1">IF('Rent Roll'!$Y196=1,'Rent Roll'!E196,"")</f>
        <v/>
      </c>
      <c r="AD254" s="39" t="str">
        <f ca="1">IF('Rent Roll'!$Y196=1,'Rent Roll'!G196,"")</f>
        <v/>
      </c>
      <c r="AE254" s="1547" t="str">
        <f ca="1">IF('Rent Roll'!$Y196=1,'Rent Roll'!K196,"")</f>
        <v/>
      </c>
      <c r="AF254" s="1551" t="str">
        <f ca="1">IF('Rent Roll'!$Y196=1,'Rent Roll'!N196,"")</f>
        <v/>
      </c>
      <c r="AG254" s="5"/>
      <c r="AH254" s="6"/>
      <c r="AI254" s="11"/>
      <c r="AJ254" s="1536"/>
      <c r="AK254" s="1537"/>
      <c r="AL254" s="1536"/>
      <c r="AM254" s="1545"/>
      <c r="AN254" s="124"/>
      <c r="AO254" s="11"/>
      <c r="AP254" s="32"/>
    </row>
    <row r="255" spans="1:42" ht="15.95" hidden="1" customHeight="1" x14ac:dyDescent="0.25">
      <c r="A255" s="957">
        <f t="shared" ca="1" si="8"/>
        <v>0</v>
      </c>
      <c r="AA255" s="4"/>
      <c r="AB255" s="5"/>
      <c r="AC255" s="5" t="str">
        <f ca="1">IF('Rent Roll'!$Y197=1,'Rent Roll'!E197,"")</f>
        <v/>
      </c>
      <c r="AD255" s="39" t="str">
        <f ca="1">IF('Rent Roll'!$Y197=1,'Rent Roll'!G197,"")</f>
        <v/>
      </c>
      <c r="AE255" s="1547" t="str">
        <f ca="1">IF('Rent Roll'!$Y197=1,'Rent Roll'!K197,"")</f>
        <v/>
      </c>
      <c r="AF255" s="1551" t="str">
        <f ca="1">IF('Rent Roll'!$Y197=1,'Rent Roll'!N197,"")</f>
        <v/>
      </c>
      <c r="AG255" s="5"/>
      <c r="AH255" s="6"/>
      <c r="AI255" s="11"/>
      <c r="AJ255" s="1536"/>
      <c r="AK255" s="1537"/>
      <c r="AL255" s="1536"/>
      <c r="AM255" s="1545"/>
      <c r="AN255" s="124"/>
      <c r="AO255" s="11"/>
      <c r="AP255" s="32"/>
    </row>
    <row r="256" spans="1:42" ht="15.95" hidden="1" customHeight="1" x14ac:dyDescent="0.25">
      <c r="A256" s="957">
        <f t="shared" ca="1" si="8"/>
        <v>0</v>
      </c>
      <c r="AA256" s="4"/>
      <c r="AB256" s="5"/>
      <c r="AC256" s="5" t="str">
        <f ca="1">IF('Rent Roll'!$Y198=1,'Rent Roll'!E198,"")</f>
        <v/>
      </c>
      <c r="AD256" s="39" t="str">
        <f ca="1">IF('Rent Roll'!$Y198=1,'Rent Roll'!G198,"")</f>
        <v/>
      </c>
      <c r="AE256" s="1547" t="str">
        <f ca="1">IF('Rent Roll'!$Y198=1,'Rent Roll'!K198,"")</f>
        <v/>
      </c>
      <c r="AF256" s="1551" t="str">
        <f ca="1">IF('Rent Roll'!$Y198=1,'Rent Roll'!N198,"")</f>
        <v/>
      </c>
      <c r="AG256" s="5"/>
      <c r="AH256" s="6"/>
      <c r="AI256" s="11"/>
      <c r="AJ256" s="1536"/>
      <c r="AK256" s="1537"/>
      <c r="AL256" s="1536"/>
      <c r="AM256" s="1545"/>
      <c r="AN256" s="124"/>
      <c r="AO256" s="11"/>
      <c r="AP256" s="32"/>
    </row>
    <row r="257" spans="1:50" ht="15.95" hidden="1" customHeight="1" x14ac:dyDescent="0.25">
      <c r="A257" s="957">
        <f t="shared" ca="1" si="8"/>
        <v>0</v>
      </c>
      <c r="AA257" s="4"/>
      <c r="AB257" s="5"/>
      <c r="AC257" s="5" t="str">
        <f ca="1">IF('Rent Roll'!$Y199=1,'Rent Roll'!E199,"")</f>
        <v/>
      </c>
      <c r="AD257" s="39" t="str">
        <f ca="1">IF('Rent Roll'!$Y199=1,'Rent Roll'!G199,"")</f>
        <v/>
      </c>
      <c r="AE257" s="1547" t="str">
        <f ca="1">IF('Rent Roll'!$Y199=1,'Rent Roll'!K199,"")</f>
        <v/>
      </c>
      <c r="AF257" s="1551" t="str">
        <f ca="1">IF('Rent Roll'!$Y199=1,'Rent Roll'!N199,"")</f>
        <v/>
      </c>
      <c r="AG257" s="5"/>
      <c r="AH257" s="6"/>
      <c r="AI257" s="11"/>
      <c r="AJ257" s="1536"/>
      <c r="AK257" s="1537"/>
      <c r="AL257" s="1536"/>
      <c r="AM257" s="1545"/>
      <c r="AN257" s="124"/>
      <c r="AO257" s="11"/>
      <c r="AP257" s="32"/>
    </row>
    <row r="258" spans="1:50" ht="15.95" hidden="1" customHeight="1" x14ac:dyDescent="0.25">
      <c r="A258" s="957">
        <f t="shared" ca="1" si="8"/>
        <v>0</v>
      </c>
      <c r="AA258" s="4"/>
      <c r="AB258" s="5"/>
      <c r="AC258" s="5" t="str">
        <f ca="1">IF('Rent Roll'!$Y200=1,'Rent Roll'!E200,"")</f>
        <v/>
      </c>
      <c r="AD258" s="39" t="str">
        <f ca="1">IF('Rent Roll'!$Y200=1,'Rent Roll'!G200,"")</f>
        <v/>
      </c>
      <c r="AE258" s="1547" t="str">
        <f ca="1">IF('Rent Roll'!$Y200=1,'Rent Roll'!K200,"")</f>
        <v/>
      </c>
      <c r="AF258" s="1551" t="str">
        <f ca="1">IF('Rent Roll'!$Y200=1,'Rent Roll'!N200,"")</f>
        <v/>
      </c>
      <c r="AG258" s="5"/>
      <c r="AH258" s="6"/>
      <c r="AI258" s="11"/>
      <c r="AJ258" s="1536"/>
      <c r="AK258" s="1537"/>
      <c r="AL258" s="1536"/>
      <c r="AM258" s="1545"/>
      <c r="AN258" s="124"/>
      <c r="AO258" s="11"/>
      <c r="AP258" s="32"/>
    </row>
    <row r="259" spans="1:50" ht="15.95" hidden="1" customHeight="1" x14ac:dyDescent="0.25">
      <c r="A259" s="957">
        <f t="shared" ca="1" si="8"/>
        <v>0</v>
      </c>
      <c r="AA259" s="4"/>
      <c r="AB259" s="5"/>
      <c r="AC259" s="5" t="str">
        <f ca="1">IF('Rent Roll'!$Y201=1,'Rent Roll'!E201,"")</f>
        <v/>
      </c>
      <c r="AD259" s="39" t="str">
        <f ca="1">IF('Rent Roll'!$Y201=1,'Rent Roll'!G201,"")</f>
        <v/>
      </c>
      <c r="AE259" s="1547" t="str">
        <f ca="1">IF('Rent Roll'!$Y201=1,'Rent Roll'!K201,"")</f>
        <v/>
      </c>
      <c r="AF259" s="1551" t="str">
        <f ca="1">IF('Rent Roll'!$Y201=1,'Rent Roll'!N201,"")</f>
        <v/>
      </c>
      <c r="AG259" s="5"/>
      <c r="AH259" s="6"/>
      <c r="AI259" s="11"/>
      <c r="AJ259" s="1536"/>
      <c r="AK259" s="1537"/>
      <c r="AL259" s="1536"/>
      <c r="AM259" s="1545"/>
      <c r="AN259" s="124"/>
      <c r="AO259" s="11"/>
      <c r="AP259" s="32"/>
    </row>
    <row r="260" spans="1:50" ht="15.95" hidden="1" customHeight="1" x14ac:dyDescent="0.25">
      <c r="A260" s="957">
        <f ca="1">IF(AC260="",0,1)</f>
        <v>0</v>
      </c>
      <c r="AA260" s="4"/>
      <c r="AB260" s="5"/>
      <c r="AC260" s="5" t="str">
        <f ca="1">IF('Rent Roll'!$Y202=1,'Rent Roll'!E202,"")</f>
        <v/>
      </c>
      <c r="AD260" s="39" t="str">
        <f ca="1">IF('Rent Roll'!$Y202=1,'Rent Roll'!G202,"")</f>
        <v/>
      </c>
      <c r="AE260" s="1547" t="str">
        <f ca="1">IF('Rent Roll'!$Y202=1,'Rent Roll'!K202,"")</f>
        <v/>
      </c>
      <c r="AF260" s="1551" t="str">
        <f ca="1">IF('Rent Roll'!$Y202=1,'Rent Roll'!N202,"")</f>
        <v/>
      </c>
      <c r="AG260" s="5"/>
      <c r="AH260" s="6"/>
      <c r="AI260" s="11"/>
      <c r="AJ260" s="1536"/>
      <c r="AK260" s="1537"/>
      <c r="AL260" s="1536"/>
      <c r="AM260" s="1545"/>
      <c r="AN260" s="124"/>
      <c r="AO260" s="11"/>
      <c r="AP260" s="32"/>
    </row>
    <row r="261" spans="1:50" ht="15.95" hidden="1" customHeight="1" x14ac:dyDescent="0.25">
      <c r="A261" s="957">
        <f ca="1">IF(AC261="",0,1)</f>
        <v>0</v>
      </c>
      <c r="AA261" s="4"/>
      <c r="AB261" s="5"/>
      <c r="AC261" s="5" t="str">
        <f ca="1">IF('Rent Roll'!$Y203=1,'Rent Roll'!E203,"")</f>
        <v/>
      </c>
      <c r="AD261" s="39" t="str">
        <f ca="1">IF('Rent Roll'!$Y203=1,'Rent Roll'!G203,"")</f>
        <v/>
      </c>
      <c r="AE261" s="1547" t="str">
        <f ca="1">IF('Rent Roll'!$Y203=1,'Rent Roll'!K203,"")</f>
        <v/>
      </c>
      <c r="AF261" s="1551" t="str">
        <f ca="1">IF('Rent Roll'!$Y203=1,'Rent Roll'!N203,"")</f>
        <v/>
      </c>
      <c r="AG261" s="5"/>
      <c r="AH261" s="6"/>
      <c r="AI261" s="11"/>
      <c r="AJ261" s="1536"/>
      <c r="AK261" s="1537"/>
      <c r="AL261" s="1536"/>
      <c r="AM261" s="1545"/>
      <c r="AN261" s="124"/>
      <c r="AO261" s="11"/>
      <c r="AP261" s="32"/>
    </row>
    <row r="262" spans="1:50" ht="15.95" hidden="1" customHeight="1" x14ac:dyDescent="0.25">
      <c r="A262" s="957">
        <f ca="1">IF(AC262="",0,1)</f>
        <v>0</v>
      </c>
      <c r="AA262" s="4"/>
      <c r="AB262" s="5"/>
      <c r="AC262" s="5" t="str">
        <f ca="1">IF('Rent Roll'!$Y204=1,'Rent Roll'!E204,"")</f>
        <v/>
      </c>
      <c r="AD262" s="39" t="str">
        <f ca="1">IF('Rent Roll'!$Y204=1,'Rent Roll'!G204,"")</f>
        <v/>
      </c>
      <c r="AE262" s="1547" t="str">
        <f ca="1">IF('Rent Roll'!$Y204=1,'Rent Roll'!K204,"")</f>
        <v/>
      </c>
      <c r="AF262" s="1551" t="str">
        <f ca="1">IF('Rent Roll'!$Y204=1,'Rent Roll'!N204,"")</f>
        <v/>
      </c>
      <c r="AG262" s="5"/>
      <c r="AH262" s="6"/>
      <c r="AI262" s="11"/>
      <c r="AJ262" s="1536"/>
      <c r="AK262" s="1537"/>
      <c r="AL262" s="1536"/>
      <c r="AM262" s="1545"/>
      <c r="AN262" s="124"/>
      <c r="AO262" s="11"/>
      <c r="AP262" s="32"/>
    </row>
    <row r="263" spans="1:50" ht="15.95" hidden="1" customHeight="1" x14ac:dyDescent="0.25">
      <c r="A263" s="957">
        <f ca="1">IF(AC263="",0,1)</f>
        <v>0</v>
      </c>
      <c r="AA263" s="4"/>
      <c r="AB263" s="5"/>
      <c r="AC263" s="5" t="str">
        <f ca="1">IF('Rent Roll'!$Y205=1,'Rent Roll'!E205,"")</f>
        <v/>
      </c>
      <c r="AD263" s="39" t="str">
        <f ca="1">IF('Rent Roll'!$Y205=1,'Rent Roll'!G205,"")</f>
        <v/>
      </c>
      <c r="AE263" s="1547" t="str">
        <f ca="1">IF('Rent Roll'!$Y205=1,'Rent Roll'!K205,"")</f>
        <v/>
      </c>
      <c r="AF263" s="1551" t="str">
        <f ca="1">IF('Rent Roll'!$Y205=1,'Rent Roll'!N205,"")</f>
        <v/>
      </c>
      <c r="AG263" s="5"/>
      <c r="AH263" s="6"/>
      <c r="AI263" s="11"/>
      <c r="AJ263" s="1536"/>
      <c r="AK263" s="1537"/>
      <c r="AL263" s="1536"/>
      <c r="AM263" s="1545"/>
      <c r="AN263" s="124"/>
      <c r="AO263" s="11"/>
      <c r="AP263" s="32"/>
    </row>
    <row r="264" spans="1:50" ht="15.95" hidden="1" customHeight="1" x14ac:dyDescent="0.25">
      <c r="A264" s="957">
        <f ca="1">IF(AC264="",0,1)</f>
        <v>0</v>
      </c>
      <c r="AA264" s="4"/>
      <c r="AB264" s="5"/>
      <c r="AC264" s="5" t="str">
        <f ca="1">IF('Rent Roll'!$Y206=1,'Rent Roll'!E206,"")</f>
        <v/>
      </c>
      <c r="AD264" s="217" t="str">
        <f ca="1">IF('Rent Roll'!$Y206=1,'Rent Roll'!G206,"")</f>
        <v/>
      </c>
      <c r="AE264" s="1548" t="str">
        <f ca="1">IF('Rent Roll'!$Y206=1,'Rent Roll'!K206,"")</f>
        <v/>
      </c>
      <c r="AF264" s="1552" t="str">
        <f ca="1">IF('Rent Roll'!$Y206=1,'Rent Roll'!N206,"")</f>
        <v/>
      </c>
      <c r="AG264" s="5"/>
      <c r="AH264" s="6"/>
      <c r="AI264" s="11"/>
      <c r="AJ264" s="1536"/>
      <c r="AK264" s="1537"/>
      <c r="AL264" s="1536"/>
      <c r="AM264" s="1545"/>
      <c r="AN264" s="124"/>
      <c r="AO264" s="11"/>
      <c r="AP264" s="32"/>
    </row>
    <row r="265" spans="1:50" ht="15.95" hidden="1" customHeight="1" x14ac:dyDescent="0.25">
      <c r="A265" s="957">
        <f ca="1">IF(dpIncome_TCat1_NRA_Vacant=0,0,1)</f>
        <v>0</v>
      </c>
      <c r="AA265" s="4"/>
      <c r="AB265" s="5"/>
      <c r="AC265" s="1535" t="s">
        <v>142</v>
      </c>
      <c r="AD265" s="1541"/>
      <c r="AE265" s="1549">
        <f ca="1">IF(Income_RentRollSource="No Rent Roll",Income_TCat1_NRA_Manual,SUM(AE65:AE264))</f>
        <v>0</v>
      </c>
      <c r="AF265" s="1553" t="e">
        <f ca="1">SUMPRODUCT(AE65:AE264,AF65:AF264)/AE265</f>
        <v>#DIV/0!</v>
      </c>
      <c r="AG265" s="5"/>
      <c r="AH265" s="6"/>
      <c r="AI265" s="11"/>
      <c r="AJ265" s="1536"/>
      <c r="AK265" s="1537"/>
      <c r="AL265" s="1536"/>
      <c r="AM265" s="1545"/>
      <c r="AN265" s="124"/>
      <c r="AO265" s="11"/>
      <c r="AP265" s="32"/>
    </row>
    <row r="266" spans="1:50" ht="15.95" hidden="1" customHeight="1" x14ac:dyDescent="0.25">
      <c r="A266" s="957">
        <f ca="1">IF(dpIncome_TCat1_NRA_Vacant=0,0,1)</f>
        <v>0</v>
      </c>
      <c r="AA266" s="4"/>
      <c r="AB266" s="5"/>
      <c r="AC266" s="1540" t="s">
        <v>139</v>
      </c>
      <c r="AD266" s="1541"/>
      <c r="AE266" s="1549">
        <f ca="1">'Rent Roll'!K208</f>
        <v>0</v>
      </c>
      <c r="AF266" s="1553">
        <f>Income_TCat1_MarketRent</f>
        <v>16</v>
      </c>
      <c r="AG266" s="5"/>
      <c r="AH266" s="6"/>
      <c r="AI266" s="11"/>
      <c r="AJ266" s="1536"/>
      <c r="AK266" s="1537"/>
      <c r="AL266" s="1536"/>
      <c r="AM266" s="1545"/>
      <c r="AN266" s="124"/>
      <c r="AO266" s="11"/>
      <c r="AP266" s="32"/>
    </row>
    <row r="267" spans="1:50" ht="15.95" customHeight="1" thickBot="1" x14ac:dyDescent="0.3">
      <c r="A267" s="957">
        <v>1</v>
      </c>
      <c r="AA267" s="4"/>
      <c r="AB267" s="5"/>
      <c r="AC267" s="219" t="s">
        <v>93</v>
      </c>
      <c r="AD267" s="1542"/>
      <c r="AE267" s="1550">
        <f ca="1">SUM(AE265:AE266)</f>
        <v>0</v>
      </c>
      <c r="AF267" s="1554" t="e">
        <f ca="1">SUMPRODUCT(AE265:AE266,AF265:AF266)/Income_TCat1_NRA</f>
        <v>#DIV/0!</v>
      </c>
      <c r="AG267" s="5"/>
      <c r="AH267" s="6"/>
      <c r="AI267" s="11"/>
      <c r="AJ267" s="1538"/>
      <c r="AK267" s="1539"/>
      <c r="AL267" s="1538"/>
      <c r="AM267" s="1546"/>
      <c r="AN267" s="1557"/>
      <c r="AO267" s="11"/>
      <c r="AP267" s="32"/>
    </row>
    <row r="268" spans="1:50" x14ac:dyDescent="0.25">
      <c r="A268" s="957">
        <v>1</v>
      </c>
      <c r="AA268" s="4"/>
      <c r="AB268" s="5"/>
      <c r="AC268" s="556" t="s">
        <v>879</v>
      </c>
      <c r="AD268" s="5"/>
      <c r="AE268" s="19"/>
      <c r="AF268" s="19"/>
      <c r="AG268" s="5"/>
      <c r="AH268" s="6"/>
      <c r="AI268" s="11"/>
      <c r="AN268" s="1558"/>
      <c r="AO268" s="11"/>
      <c r="AP268" s="32"/>
    </row>
    <row r="269" spans="1:50" ht="9.9499999999999993" customHeight="1" thickBot="1" x14ac:dyDescent="0.3">
      <c r="A269" s="957">
        <v>1</v>
      </c>
      <c r="AA269" s="11"/>
      <c r="AB269" s="11"/>
      <c r="AC269" s="11"/>
      <c r="AD269" s="41"/>
      <c r="AE269" s="124"/>
      <c r="AF269" s="124"/>
      <c r="AG269" s="11"/>
      <c r="AH269" s="11"/>
      <c r="AI269" s="32"/>
      <c r="AJ269" s="96"/>
      <c r="AK269" s="96"/>
      <c r="AL269" s="32"/>
      <c r="AM269" s="1322"/>
      <c r="AN269" s="1559"/>
      <c r="AO269" s="32"/>
      <c r="AP269" s="32"/>
    </row>
    <row r="270" spans="1:50" x14ac:dyDescent="0.25">
      <c r="A270" s="957">
        <v>1</v>
      </c>
      <c r="AI270" s="1"/>
      <c r="AJ270" s="2"/>
      <c r="AK270" s="2"/>
      <c r="AL270" s="2"/>
      <c r="AM270" s="123"/>
      <c r="AN270" s="123"/>
      <c r="AO270" s="2"/>
      <c r="AP270" s="3"/>
      <c r="AQ270" s="32"/>
      <c r="AR270" s="96"/>
      <c r="AS270" s="96"/>
      <c r="AT270" s="32"/>
      <c r="AU270" s="32"/>
      <c r="AV270" s="225"/>
      <c r="AW270" s="32"/>
      <c r="AX270" s="32"/>
    </row>
    <row r="271" spans="1:50" ht="15.95" customHeight="1" x14ac:dyDescent="0.3">
      <c r="A271" s="957">
        <v>1</v>
      </c>
      <c r="AI271" s="4"/>
      <c r="AJ271" s="5"/>
      <c r="AK271" s="4284" t="str">
        <f>Income_TCat2</f>
        <v>Land Storage</v>
      </c>
      <c r="AL271" s="4284"/>
      <c r="AM271" s="4284"/>
      <c r="AN271" s="4284"/>
      <c r="AO271" s="27"/>
      <c r="AP271" s="6"/>
      <c r="AQ271" s="32"/>
      <c r="AR271" s="96"/>
      <c r="AS271" s="96"/>
      <c r="AT271" s="32"/>
      <c r="AU271" s="32"/>
      <c r="AV271" s="225"/>
      <c r="AW271" s="32"/>
      <c r="AX271" s="32"/>
    </row>
    <row r="272" spans="1:50" ht="15.95" customHeight="1" x14ac:dyDescent="0.25">
      <c r="A272" s="957">
        <v>1</v>
      </c>
      <c r="AI272" s="4"/>
      <c r="AJ272" s="12"/>
      <c r="AK272" s="12" t="s">
        <v>398</v>
      </c>
      <c r="AL272" s="150" t="s">
        <v>401</v>
      </c>
      <c r="AM272" s="55" t="s">
        <v>20</v>
      </c>
      <c r="AN272" s="55" t="s">
        <v>132</v>
      </c>
      <c r="AO272" s="150"/>
      <c r="AP272" s="6"/>
      <c r="AQ272" s="32"/>
      <c r="AR272" s="96"/>
      <c r="AS272" s="96"/>
      <c r="AT272" s="32"/>
      <c r="AU272" s="32"/>
      <c r="AV272" s="225"/>
      <c r="AW272" s="32"/>
      <c r="AX272" s="32"/>
    </row>
    <row r="273" spans="1:50" ht="15.95" hidden="1" customHeight="1" x14ac:dyDescent="0.25">
      <c r="A273" s="957">
        <f t="shared" ref="A273:A304" ca="1" si="9">IF(AK273="",0,1)</f>
        <v>0</v>
      </c>
      <c r="AI273" s="4"/>
      <c r="AJ273" s="5"/>
      <c r="AK273" s="5" t="str">
        <f ca="1">IF('Rent Roll'!$Z7=1,'Rent Roll'!E7,"")</f>
        <v/>
      </c>
      <c r="AL273" s="39" t="str">
        <f ca="1">IF('Rent Roll'!$Z7=1,'Rent Roll'!G7,"")</f>
        <v/>
      </c>
      <c r="AM273" s="1547" t="str">
        <f ca="1">IF('Rent Roll'!$Z7=1,'Rent Roll'!K7,"")</f>
        <v/>
      </c>
      <c r="AN273" s="1551" t="str">
        <f ca="1">IF('Rent Roll'!$Z7=1,'Rent Roll'!N7,"")</f>
        <v/>
      </c>
      <c r="AO273" s="223"/>
      <c r="AP273" s="6"/>
      <c r="AQ273" s="32"/>
      <c r="AR273" s="342"/>
      <c r="AS273" s="343"/>
      <c r="AT273" s="342"/>
      <c r="AU273" s="343"/>
      <c r="AV273" s="32"/>
      <c r="AW273" s="32"/>
      <c r="AX273" s="32"/>
    </row>
    <row r="274" spans="1:50" ht="15.95" hidden="1" customHeight="1" x14ac:dyDescent="0.25">
      <c r="A274" s="957">
        <f t="shared" ca="1" si="9"/>
        <v>0</v>
      </c>
      <c r="AI274" s="4"/>
      <c r="AJ274" s="5"/>
      <c r="AK274" s="5" t="str">
        <f ca="1">IF('Rent Roll'!$Z8=1,'Rent Roll'!E8,"")</f>
        <v/>
      </c>
      <c r="AL274" s="39" t="str">
        <f ca="1">IF('Rent Roll'!$Z8=1,'Rent Roll'!G8,"")</f>
        <v/>
      </c>
      <c r="AM274" s="1547" t="str">
        <f ca="1">IF('Rent Roll'!$Z8=1,'Rent Roll'!K8,"")</f>
        <v/>
      </c>
      <c r="AN274" s="1551" t="str">
        <f ca="1">IF('Rent Roll'!$Z8=1,'Rent Roll'!N8,"")</f>
        <v/>
      </c>
      <c r="AO274" s="223"/>
      <c r="AP274" s="6"/>
      <c r="AQ274" s="32"/>
      <c r="AR274" s="342"/>
      <c r="AS274" s="343"/>
      <c r="AT274" s="342"/>
      <c r="AU274" s="343"/>
      <c r="AV274" s="32"/>
      <c r="AW274" s="32"/>
      <c r="AX274" s="32"/>
    </row>
    <row r="275" spans="1:50" ht="15.95" hidden="1" customHeight="1" x14ac:dyDescent="0.25">
      <c r="A275" s="957">
        <f t="shared" ca="1" si="9"/>
        <v>0</v>
      </c>
      <c r="AI275" s="4"/>
      <c r="AJ275" s="5"/>
      <c r="AK275" s="5" t="str">
        <f ca="1">IF('Rent Roll'!$Z9=1,'Rent Roll'!E9,"")</f>
        <v/>
      </c>
      <c r="AL275" s="39" t="str">
        <f ca="1">IF('Rent Roll'!$Z9=1,'Rent Roll'!G9,"")</f>
        <v/>
      </c>
      <c r="AM275" s="1547" t="str">
        <f ca="1">IF('Rent Roll'!$Z9=1,'Rent Roll'!K9,"")</f>
        <v/>
      </c>
      <c r="AN275" s="1551" t="str">
        <f ca="1">IF('Rent Roll'!$Z9=1,'Rent Roll'!N9,"")</f>
        <v/>
      </c>
      <c r="AO275" s="223"/>
      <c r="AP275" s="6"/>
      <c r="AQ275" s="32"/>
      <c r="AR275" s="342"/>
      <c r="AS275" s="343"/>
      <c r="AT275" s="342"/>
      <c r="AU275" s="343"/>
      <c r="AV275" s="32"/>
      <c r="AW275" s="32"/>
      <c r="AX275" s="32"/>
    </row>
    <row r="276" spans="1:50" ht="15.95" hidden="1" customHeight="1" x14ac:dyDescent="0.25">
      <c r="A276" s="957">
        <f t="shared" ca="1" si="9"/>
        <v>0</v>
      </c>
      <c r="AI276" s="4"/>
      <c r="AJ276" s="5"/>
      <c r="AK276" s="5" t="str">
        <f ca="1">IF('Rent Roll'!$Z10=1,'Rent Roll'!E10,"")</f>
        <v/>
      </c>
      <c r="AL276" s="39" t="str">
        <f ca="1">IF('Rent Roll'!$Z10=1,'Rent Roll'!G10,"")</f>
        <v/>
      </c>
      <c r="AM276" s="1547" t="str">
        <f ca="1">IF('Rent Roll'!$Z10=1,'Rent Roll'!K10,"")</f>
        <v/>
      </c>
      <c r="AN276" s="1551" t="str">
        <f ca="1">IF('Rent Roll'!$Z10=1,'Rent Roll'!N10,"")</f>
        <v/>
      </c>
      <c r="AO276" s="223"/>
      <c r="AP276" s="6"/>
      <c r="AQ276" s="32"/>
      <c r="AR276" s="342"/>
      <c r="AS276" s="343"/>
      <c r="AT276" s="342"/>
      <c r="AU276" s="343"/>
      <c r="AV276" s="32"/>
      <c r="AW276" s="32"/>
      <c r="AX276" s="32"/>
    </row>
    <row r="277" spans="1:50" ht="15.95" hidden="1" customHeight="1" x14ac:dyDescent="0.25">
      <c r="A277" s="957">
        <f t="shared" ca="1" si="9"/>
        <v>0</v>
      </c>
      <c r="AI277" s="4"/>
      <c r="AJ277" s="5"/>
      <c r="AK277" s="5" t="str">
        <f ca="1">IF('Rent Roll'!$Z11=1,'Rent Roll'!E11,"")</f>
        <v/>
      </c>
      <c r="AL277" s="39" t="str">
        <f ca="1">IF('Rent Roll'!$Z11=1,'Rent Roll'!G11,"")</f>
        <v/>
      </c>
      <c r="AM277" s="1547" t="str">
        <f ca="1">IF('Rent Roll'!$Z11=1,'Rent Roll'!K11,"")</f>
        <v/>
      </c>
      <c r="AN277" s="1551" t="str">
        <f ca="1">IF('Rent Roll'!$Z11=1,'Rent Roll'!N11,"")</f>
        <v/>
      </c>
      <c r="AO277" s="223"/>
      <c r="AP277" s="6"/>
      <c r="AQ277" s="32"/>
      <c r="AR277" s="342"/>
      <c r="AS277" s="343"/>
      <c r="AT277" s="342"/>
      <c r="AU277" s="343"/>
      <c r="AV277" s="32"/>
      <c r="AW277" s="32"/>
      <c r="AX277" s="32"/>
    </row>
    <row r="278" spans="1:50" ht="15.95" hidden="1" customHeight="1" x14ac:dyDescent="0.25">
      <c r="A278" s="957">
        <f t="shared" ca="1" si="9"/>
        <v>0</v>
      </c>
      <c r="AI278" s="4"/>
      <c r="AJ278" s="5"/>
      <c r="AK278" s="5" t="str">
        <f ca="1">IF('Rent Roll'!$Z12=1,'Rent Roll'!E12,"")</f>
        <v/>
      </c>
      <c r="AL278" s="39" t="str">
        <f ca="1">IF('Rent Roll'!$Z12=1,'Rent Roll'!G12,"")</f>
        <v/>
      </c>
      <c r="AM278" s="1547" t="str">
        <f ca="1">IF('Rent Roll'!$Z12=1,'Rent Roll'!K12,"")</f>
        <v/>
      </c>
      <c r="AN278" s="1551" t="str">
        <f ca="1">IF('Rent Roll'!$Z12=1,'Rent Roll'!N12,"")</f>
        <v/>
      </c>
      <c r="AO278" s="223"/>
      <c r="AP278" s="6"/>
      <c r="AQ278" s="32"/>
      <c r="AR278" s="342"/>
      <c r="AS278" s="343"/>
      <c r="AT278" s="342"/>
      <c r="AU278" s="343"/>
      <c r="AV278" s="32"/>
      <c r="AW278" s="32"/>
      <c r="AX278" s="32"/>
    </row>
    <row r="279" spans="1:50" ht="15.95" hidden="1" customHeight="1" x14ac:dyDescent="0.25">
      <c r="A279" s="957">
        <f t="shared" ca="1" si="9"/>
        <v>0</v>
      </c>
      <c r="AI279" s="4"/>
      <c r="AJ279" s="5"/>
      <c r="AK279" s="5" t="str">
        <f ca="1">IF('Rent Roll'!$Z13=1,'Rent Roll'!E13,"")</f>
        <v/>
      </c>
      <c r="AL279" s="39" t="str">
        <f ca="1">IF('Rent Roll'!$Z13=1,'Rent Roll'!G13,"")</f>
        <v/>
      </c>
      <c r="AM279" s="1547" t="str">
        <f ca="1">IF('Rent Roll'!$Z13=1,'Rent Roll'!K13,"")</f>
        <v/>
      </c>
      <c r="AN279" s="1551" t="str">
        <f ca="1">IF('Rent Roll'!$Z13=1,'Rent Roll'!N13,"")</f>
        <v/>
      </c>
      <c r="AO279" s="223"/>
      <c r="AP279" s="6"/>
      <c r="AQ279" s="32"/>
      <c r="AR279" s="342"/>
      <c r="AS279" s="343"/>
      <c r="AT279" s="342"/>
      <c r="AU279" s="343"/>
      <c r="AV279" s="32"/>
      <c r="AW279" s="32"/>
      <c r="AX279" s="32"/>
    </row>
    <row r="280" spans="1:50" ht="15.95" hidden="1" customHeight="1" x14ac:dyDescent="0.25">
      <c r="A280" s="957">
        <f t="shared" ca="1" si="9"/>
        <v>0</v>
      </c>
      <c r="AI280" s="4"/>
      <c r="AJ280" s="5"/>
      <c r="AK280" s="5" t="str">
        <f ca="1">IF('Rent Roll'!$Z14=1,'Rent Roll'!E14,"")</f>
        <v/>
      </c>
      <c r="AL280" s="39" t="str">
        <f ca="1">IF('Rent Roll'!$Z14=1,'Rent Roll'!G14,"")</f>
        <v/>
      </c>
      <c r="AM280" s="1547" t="str">
        <f ca="1">IF('Rent Roll'!$Z14=1,'Rent Roll'!K14,"")</f>
        <v/>
      </c>
      <c r="AN280" s="1551" t="str">
        <f ca="1">IF('Rent Roll'!$Z14=1,'Rent Roll'!N14,"")</f>
        <v/>
      </c>
      <c r="AO280" s="223"/>
      <c r="AP280" s="6"/>
      <c r="AQ280" s="32"/>
      <c r="AR280" s="342"/>
      <c r="AS280" s="343"/>
      <c r="AT280" s="342"/>
      <c r="AU280" s="343"/>
      <c r="AV280" s="32"/>
      <c r="AW280" s="32"/>
      <c r="AX280" s="32"/>
    </row>
    <row r="281" spans="1:50" ht="15.95" hidden="1" customHeight="1" x14ac:dyDescent="0.25">
      <c r="A281" s="957">
        <f t="shared" ca="1" si="9"/>
        <v>0</v>
      </c>
      <c r="AI281" s="4"/>
      <c r="AJ281" s="5"/>
      <c r="AK281" s="5" t="str">
        <f ca="1">IF('Rent Roll'!$Z15=1,'Rent Roll'!E15,"")</f>
        <v/>
      </c>
      <c r="AL281" s="39" t="str">
        <f ca="1">IF('Rent Roll'!$Z15=1,'Rent Roll'!G15,"")</f>
        <v/>
      </c>
      <c r="AM281" s="1547" t="str">
        <f ca="1">IF('Rent Roll'!$Z15=1,'Rent Roll'!K15,"")</f>
        <v/>
      </c>
      <c r="AN281" s="1551" t="str">
        <f ca="1">IF('Rent Roll'!$Z15=1,'Rent Roll'!N15,"")</f>
        <v/>
      </c>
      <c r="AO281" s="223"/>
      <c r="AP281" s="6"/>
      <c r="AQ281" s="32"/>
      <c r="AR281" s="342"/>
      <c r="AS281" s="343"/>
      <c r="AT281" s="342"/>
      <c r="AU281" s="343"/>
      <c r="AV281" s="32"/>
      <c r="AW281" s="32"/>
      <c r="AX281" s="32"/>
    </row>
    <row r="282" spans="1:50" ht="15.95" hidden="1" customHeight="1" x14ac:dyDescent="0.25">
      <c r="A282" s="957">
        <f t="shared" ca="1" si="9"/>
        <v>0</v>
      </c>
      <c r="AI282" s="4"/>
      <c r="AJ282" s="5"/>
      <c r="AK282" s="5" t="str">
        <f ca="1">IF('Rent Roll'!$Z16=1,'Rent Roll'!E16,"")</f>
        <v/>
      </c>
      <c r="AL282" s="39" t="str">
        <f ca="1">IF('Rent Roll'!$Z16=1,'Rent Roll'!G16,"")</f>
        <v/>
      </c>
      <c r="AM282" s="1547" t="str">
        <f ca="1">IF('Rent Roll'!$Z16=1,'Rent Roll'!K16,"")</f>
        <v/>
      </c>
      <c r="AN282" s="1551" t="str">
        <f ca="1">IF('Rent Roll'!$Z16=1,'Rent Roll'!N16,"")</f>
        <v/>
      </c>
      <c r="AO282" s="223"/>
      <c r="AP282" s="6"/>
      <c r="AQ282" s="32"/>
      <c r="AR282" s="342"/>
      <c r="AS282" s="343"/>
      <c r="AT282" s="342"/>
      <c r="AU282" s="343"/>
      <c r="AV282" s="32"/>
      <c r="AW282" s="32"/>
      <c r="AX282" s="32"/>
    </row>
    <row r="283" spans="1:50" ht="15.95" hidden="1" customHeight="1" x14ac:dyDescent="0.25">
      <c r="A283" s="957">
        <f t="shared" ca="1" si="9"/>
        <v>0</v>
      </c>
      <c r="AI283" s="4"/>
      <c r="AJ283" s="5"/>
      <c r="AK283" s="5" t="str">
        <f ca="1">IF('Rent Roll'!$Z17=1,'Rent Roll'!E17,"")</f>
        <v/>
      </c>
      <c r="AL283" s="39" t="str">
        <f ca="1">IF('Rent Roll'!$Z17=1,'Rent Roll'!G17,"")</f>
        <v/>
      </c>
      <c r="AM283" s="1547" t="str">
        <f ca="1">IF('Rent Roll'!$Z17=1,'Rent Roll'!K17,"")</f>
        <v/>
      </c>
      <c r="AN283" s="1551" t="str">
        <f ca="1">IF('Rent Roll'!$Z17=1,'Rent Roll'!N17,"")</f>
        <v/>
      </c>
      <c r="AO283" s="223"/>
      <c r="AP283" s="6"/>
      <c r="AQ283" s="32"/>
      <c r="AR283" s="342"/>
      <c r="AS283" s="343"/>
      <c r="AT283" s="342"/>
      <c r="AU283" s="343"/>
      <c r="AV283" s="32"/>
      <c r="AW283" s="32"/>
      <c r="AX283" s="32"/>
    </row>
    <row r="284" spans="1:50" ht="15.95" hidden="1" customHeight="1" x14ac:dyDescent="0.25">
      <c r="A284" s="957">
        <f t="shared" ca="1" si="9"/>
        <v>0</v>
      </c>
      <c r="AI284" s="4"/>
      <c r="AJ284" s="5"/>
      <c r="AK284" s="5" t="str">
        <f ca="1">IF('Rent Roll'!$Z18=1,'Rent Roll'!E18,"")</f>
        <v/>
      </c>
      <c r="AL284" s="39" t="str">
        <f ca="1">IF('Rent Roll'!$Z18=1,'Rent Roll'!G18,"")</f>
        <v/>
      </c>
      <c r="AM284" s="1547" t="str">
        <f ca="1">IF('Rent Roll'!$Z18=1,'Rent Roll'!K18,"")</f>
        <v/>
      </c>
      <c r="AN284" s="1551" t="str">
        <f ca="1">IF('Rent Roll'!$Z18=1,'Rent Roll'!N18,"")</f>
        <v/>
      </c>
      <c r="AO284" s="223"/>
      <c r="AP284" s="6"/>
      <c r="AQ284" s="32"/>
      <c r="AR284" s="342"/>
      <c r="AS284" s="343"/>
      <c r="AT284" s="342"/>
      <c r="AU284" s="343"/>
      <c r="AV284" s="32"/>
      <c r="AW284" s="32"/>
      <c r="AX284" s="32"/>
    </row>
    <row r="285" spans="1:50" ht="15.95" hidden="1" customHeight="1" x14ac:dyDescent="0.25">
      <c r="A285" s="957">
        <f t="shared" ca="1" si="9"/>
        <v>0</v>
      </c>
      <c r="AI285" s="4"/>
      <c r="AJ285" s="5"/>
      <c r="AK285" s="5" t="str">
        <f ca="1">IF('Rent Roll'!$Z19=1,'Rent Roll'!E19,"")</f>
        <v/>
      </c>
      <c r="AL285" s="39" t="str">
        <f ca="1">IF('Rent Roll'!$Z19=1,'Rent Roll'!G19,"")</f>
        <v/>
      </c>
      <c r="AM285" s="1547" t="str">
        <f ca="1">IF('Rent Roll'!$Z19=1,'Rent Roll'!K19,"")</f>
        <v/>
      </c>
      <c r="AN285" s="1551" t="str">
        <f ca="1">IF('Rent Roll'!$Z19=1,'Rent Roll'!N19,"")</f>
        <v/>
      </c>
      <c r="AO285" s="223"/>
      <c r="AP285" s="6"/>
      <c r="AQ285" s="32"/>
      <c r="AR285" s="342"/>
      <c r="AS285" s="343"/>
      <c r="AT285" s="342"/>
      <c r="AU285" s="343"/>
      <c r="AV285" s="32"/>
      <c r="AW285" s="32"/>
      <c r="AX285" s="32"/>
    </row>
    <row r="286" spans="1:50" ht="15.95" hidden="1" customHeight="1" x14ac:dyDescent="0.25">
      <c r="A286" s="957">
        <f t="shared" ca="1" si="9"/>
        <v>0</v>
      </c>
      <c r="AI286" s="4"/>
      <c r="AJ286" s="5"/>
      <c r="AK286" s="5" t="str">
        <f ca="1">IF('Rent Roll'!$Z20=1,'Rent Roll'!E20,"")</f>
        <v/>
      </c>
      <c r="AL286" s="39" t="str">
        <f ca="1">IF('Rent Roll'!$Z20=1,'Rent Roll'!G20,"")</f>
        <v/>
      </c>
      <c r="AM286" s="1547" t="str">
        <f ca="1">IF('Rent Roll'!$Z20=1,'Rent Roll'!K20,"")</f>
        <v/>
      </c>
      <c r="AN286" s="1551" t="str">
        <f ca="1">IF('Rent Roll'!$Z20=1,'Rent Roll'!N20,"")</f>
        <v/>
      </c>
      <c r="AO286" s="223"/>
      <c r="AP286" s="6"/>
      <c r="AQ286" s="32"/>
      <c r="AR286" s="342"/>
      <c r="AS286" s="343"/>
      <c r="AT286" s="342"/>
      <c r="AU286" s="343"/>
      <c r="AV286" s="32"/>
      <c r="AW286" s="32"/>
      <c r="AX286" s="32"/>
    </row>
    <row r="287" spans="1:50" ht="15.95" hidden="1" customHeight="1" x14ac:dyDescent="0.25">
      <c r="A287" s="957">
        <f t="shared" ca="1" si="9"/>
        <v>0</v>
      </c>
      <c r="AI287" s="4"/>
      <c r="AJ287" s="5"/>
      <c r="AK287" s="5" t="str">
        <f ca="1">IF('Rent Roll'!$Z21=1,'Rent Roll'!E21,"")</f>
        <v/>
      </c>
      <c r="AL287" s="39" t="str">
        <f ca="1">IF('Rent Roll'!$Z21=1,'Rent Roll'!G21,"")</f>
        <v/>
      </c>
      <c r="AM287" s="1547" t="str">
        <f ca="1">IF('Rent Roll'!$Z21=1,'Rent Roll'!K21,"")</f>
        <v/>
      </c>
      <c r="AN287" s="1551" t="str">
        <f ca="1">IF('Rent Roll'!$Z21=1,'Rent Roll'!N21,"")</f>
        <v/>
      </c>
      <c r="AO287" s="223"/>
      <c r="AP287" s="6"/>
      <c r="AQ287" s="32"/>
      <c r="AR287" s="342"/>
      <c r="AS287" s="343"/>
      <c r="AT287" s="342"/>
      <c r="AU287" s="343"/>
      <c r="AV287" s="32"/>
      <c r="AW287" s="32"/>
      <c r="AX287" s="32"/>
    </row>
    <row r="288" spans="1:50" ht="15.95" hidden="1" customHeight="1" x14ac:dyDescent="0.25">
      <c r="A288" s="957">
        <f t="shared" ca="1" si="9"/>
        <v>0</v>
      </c>
      <c r="AI288" s="4"/>
      <c r="AJ288" s="5"/>
      <c r="AK288" s="5" t="str">
        <f ca="1">IF('Rent Roll'!$Z22=1,'Rent Roll'!E22,"")</f>
        <v/>
      </c>
      <c r="AL288" s="39" t="str">
        <f ca="1">IF('Rent Roll'!$Z22=1,'Rent Roll'!G22,"")</f>
        <v/>
      </c>
      <c r="AM288" s="1547" t="str">
        <f ca="1">IF('Rent Roll'!$Z22=1,'Rent Roll'!K22,"")</f>
        <v/>
      </c>
      <c r="AN288" s="1551" t="str">
        <f ca="1">IF('Rent Roll'!$Z22=1,'Rent Roll'!N22,"")</f>
        <v/>
      </c>
      <c r="AO288" s="223"/>
      <c r="AP288" s="6"/>
      <c r="AQ288" s="32"/>
      <c r="AR288" s="342"/>
      <c r="AS288" s="343"/>
      <c r="AT288" s="342"/>
      <c r="AU288" s="343"/>
      <c r="AV288" s="32"/>
      <c r="AW288" s="32"/>
      <c r="AX288" s="32"/>
    </row>
    <row r="289" spans="1:50" ht="15.95" hidden="1" customHeight="1" x14ac:dyDescent="0.25">
      <c r="A289" s="957">
        <f t="shared" ca="1" si="9"/>
        <v>0</v>
      </c>
      <c r="AI289" s="4"/>
      <c r="AJ289" s="5"/>
      <c r="AK289" s="5" t="str">
        <f ca="1">IF('Rent Roll'!$Z23=1,'Rent Roll'!E23,"")</f>
        <v/>
      </c>
      <c r="AL289" s="39" t="str">
        <f ca="1">IF('Rent Roll'!$Z23=1,'Rent Roll'!G23,"")</f>
        <v/>
      </c>
      <c r="AM289" s="1547" t="str">
        <f ca="1">IF('Rent Roll'!$Z23=1,'Rent Roll'!K23,"")</f>
        <v/>
      </c>
      <c r="AN289" s="1551" t="str">
        <f ca="1">IF('Rent Roll'!$Z23=1,'Rent Roll'!N23,"")</f>
        <v/>
      </c>
      <c r="AO289" s="223"/>
      <c r="AP289" s="6"/>
      <c r="AQ289" s="32"/>
      <c r="AR289" s="342"/>
      <c r="AS289" s="343"/>
      <c r="AT289" s="342"/>
      <c r="AU289" s="343"/>
      <c r="AV289" s="32"/>
      <c r="AW289" s="32"/>
      <c r="AX289" s="32"/>
    </row>
    <row r="290" spans="1:50" ht="15.95" hidden="1" customHeight="1" x14ac:dyDescent="0.25">
      <c r="A290" s="957">
        <f t="shared" ca="1" si="9"/>
        <v>0</v>
      </c>
      <c r="AI290" s="4"/>
      <c r="AJ290" s="5"/>
      <c r="AK290" s="5" t="str">
        <f ca="1">IF('Rent Roll'!$Z24=1,'Rent Roll'!E24,"")</f>
        <v/>
      </c>
      <c r="AL290" s="39" t="str">
        <f ca="1">IF('Rent Roll'!$Z24=1,'Rent Roll'!G24,"")</f>
        <v/>
      </c>
      <c r="AM290" s="1547" t="str">
        <f ca="1">IF('Rent Roll'!$Z24=1,'Rent Roll'!K24,"")</f>
        <v/>
      </c>
      <c r="AN290" s="1551" t="str">
        <f ca="1">IF('Rent Roll'!$Z24=1,'Rent Roll'!N24,"")</f>
        <v/>
      </c>
      <c r="AO290" s="223"/>
      <c r="AP290" s="6"/>
      <c r="AQ290" s="32"/>
      <c r="AR290" s="342"/>
      <c r="AS290" s="343"/>
      <c r="AT290" s="342"/>
      <c r="AU290" s="343"/>
      <c r="AV290" s="32"/>
      <c r="AW290" s="32"/>
      <c r="AX290" s="32"/>
    </row>
    <row r="291" spans="1:50" ht="15.95" hidden="1" customHeight="1" x14ac:dyDescent="0.25">
      <c r="A291" s="957">
        <f t="shared" ca="1" si="9"/>
        <v>0</v>
      </c>
      <c r="AI291" s="4"/>
      <c r="AJ291" s="5"/>
      <c r="AK291" s="5" t="str">
        <f ca="1">IF('Rent Roll'!$Z25=1,'Rent Roll'!E25,"")</f>
        <v/>
      </c>
      <c r="AL291" s="39" t="str">
        <f ca="1">IF('Rent Roll'!$Z25=1,'Rent Roll'!G25,"")</f>
        <v/>
      </c>
      <c r="AM291" s="1547" t="str">
        <f ca="1">IF('Rent Roll'!$Z25=1,'Rent Roll'!K25,"")</f>
        <v/>
      </c>
      <c r="AN291" s="1551" t="str">
        <f ca="1">IF('Rent Roll'!$Z25=1,'Rent Roll'!N25,"")</f>
        <v/>
      </c>
      <c r="AO291" s="223"/>
      <c r="AP291" s="6"/>
      <c r="AQ291" s="32"/>
      <c r="AR291" s="342"/>
      <c r="AS291" s="343"/>
      <c r="AT291" s="342"/>
      <c r="AU291" s="343"/>
      <c r="AV291" s="32"/>
      <c r="AW291" s="32"/>
      <c r="AX291" s="32"/>
    </row>
    <row r="292" spans="1:50" ht="15.95" hidden="1" customHeight="1" x14ac:dyDescent="0.25">
      <c r="A292" s="957">
        <f t="shared" ca="1" si="9"/>
        <v>0</v>
      </c>
      <c r="AI292" s="4"/>
      <c r="AJ292" s="5"/>
      <c r="AK292" s="5" t="str">
        <f ca="1">IF('Rent Roll'!$Z26=1,'Rent Roll'!E26,"")</f>
        <v/>
      </c>
      <c r="AL292" s="39" t="str">
        <f ca="1">IF('Rent Roll'!$Z26=1,'Rent Roll'!G26,"")</f>
        <v/>
      </c>
      <c r="AM292" s="1547" t="str">
        <f ca="1">IF('Rent Roll'!$Z26=1,'Rent Roll'!K26,"")</f>
        <v/>
      </c>
      <c r="AN292" s="1551" t="str">
        <f ca="1">IF('Rent Roll'!$Z26=1,'Rent Roll'!N26,"")</f>
        <v/>
      </c>
      <c r="AO292" s="223"/>
      <c r="AP292" s="6"/>
      <c r="AQ292" s="32"/>
      <c r="AR292" s="342"/>
      <c r="AS292" s="343"/>
      <c r="AT292" s="342"/>
      <c r="AU292" s="343"/>
      <c r="AV292" s="32"/>
      <c r="AW292" s="32"/>
      <c r="AX292" s="32"/>
    </row>
    <row r="293" spans="1:50" ht="15.95" hidden="1" customHeight="1" x14ac:dyDescent="0.25">
      <c r="A293" s="957">
        <f t="shared" ca="1" si="9"/>
        <v>0</v>
      </c>
      <c r="AI293" s="4"/>
      <c r="AJ293" s="5"/>
      <c r="AK293" s="5" t="str">
        <f ca="1">IF('Rent Roll'!$Z27=1,'Rent Roll'!E27,"")</f>
        <v/>
      </c>
      <c r="AL293" s="39" t="str">
        <f ca="1">IF('Rent Roll'!$Z27=1,'Rent Roll'!G27,"")</f>
        <v/>
      </c>
      <c r="AM293" s="1547" t="str">
        <f ca="1">IF('Rent Roll'!$Z27=1,'Rent Roll'!K27,"")</f>
        <v/>
      </c>
      <c r="AN293" s="1551" t="str">
        <f ca="1">IF('Rent Roll'!$Z27=1,'Rent Roll'!N27,"")</f>
        <v/>
      </c>
      <c r="AO293" s="223"/>
      <c r="AP293" s="6"/>
      <c r="AQ293" s="32"/>
      <c r="AR293" s="342"/>
      <c r="AS293" s="343"/>
      <c r="AT293" s="342"/>
      <c r="AU293" s="343"/>
      <c r="AV293" s="32"/>
      <c r="AW293" s="32"/>
      <c r="AX293" s="32"/>
    </row>
    <row r="294" spans="1:50" ht="15.95" hidden="1" customHeight="1" x14ac:dyDescent="0.25">
      <c r="A294" s="957">
        <f t="shared" ca="1" si="9"/>
        <v>0</v>
      </c>
      <c r="AI294" s="4"/>
      <c r="AJ294" s="5"/>
      <c r="AK294" s="5" t="str">
        <f ca="1">IF('Rent Roll'!$Z28=1,'Rent Roll'!E28,"")</f>
        <v/>
      </c>
      <c r="AL294" s="39" t="str">
        <f ca="1">IF('Rent Roll'!$Z28=1,'Rent Roll'!G28,"")</f>
        <v/>
      </c>
      <c r="AM294" s="1547" t="str">
        <f ca="1">IF('Rent Roll'!$Z28=1,'Rent Roll'!K28,"")</f>
        <v/>
      </c>
      <c r="AN294" s="1551" t="str">
        <f ca="1">IF('Rent Roll'!$Z28=1,'Rent Roll'!N28,"")</f>
        <v/>
      </c>
      <c r="AO294" s="223"/>
      <c r="AP294" s="6"/>
      <c r="AQ294" s="32"/>
      <c r="AR294" s="342"/>
      <c r="AS294" s="343"/>
      <c r="AT294" s="342"/>
      <c r="AU294" s="343"/>
      <c r="AV294" s="32"/>
      <c r="AW294" s="32"/>
      <c r="AX294" s="32"/>
    </row>
    <row r="295" spans="1:50" ht="15.95" hidden="1" customHeight="1" x14ac:dyDescent="0.25">
      <c r="A295" s="957">
        <f t="shared" ca="1" si="9"/>
        <v>0</v>
      </c>
      <c r="AI295" s="4"/>
      <c r="AJ295" s="5"/>
      <c r="AK295" s="5" t="str">
        <f ca="1">IF('Rent Roll'!$Z29=1,'Rent Roll'!E29,"")</f>
        <v/>
      </c>
      <c r="AL295" s="39" t="str">
        <f ca="1">IF('Rent Roll'!$Z29=1,'Rent Roll'!G29,"")</f>
        <v/>
      </c>
      <c r="AM295" s="1547" t="str">
        <f ca="1">IF('Rent Roll'!$Z29=1,'Rent Roll'!K29,"")</f>
        <v/>
      </c>
      <c r="AN295" s="1551" t="str">
        <f ca="1">IF('Rent Roll'!$Z29=1,'Rent Roll'!N29,"")</f>
        <v/>
      </c>
      <c r="AO295" s="223"/>
      <c r="AP295" s="6"/>
      <c r="AQ295" s="32"/>
      <c r="AR295" s="342"/>
      <c r="AS295" s="343"/>
      <c r="AT295" s="342"/>
      <c r="AU295" s="343"/>
      <c r="AV295" s="32"/>
      <c r="AW295" s="32"/>
      <c r="AX295" s="32"/>
    </row>
    <row r="296" spans="1:50" ht="15.95" hidden="1" customHeight="1" x14ac:dyDescent="0.25">
      <c r="A296" s="957">
        <f t="shared" ca="1" si="9"/>
        <v>0</v>
      </c>
      <c r="AI296" s="4"/>
      <c r="AJ296" s="5"/>
      <c r="AK296" s="5" t="str">
        <f ca="1">IF('Rent Roll'!$Z30=1,'Rent Roll'!E30,"")</f>
        <v/>
      </c>
      <c r="AL296" s="39" t="str">
        <f ca="1">IF('Rent Roll'!$Z30=1,'Rent Roll'!G30,"")</f>
        <v/>
      </c>
      <c r="AM296" s="1547" t="str">
        <f ca="1">IF('Rent Roll'!$Z30=1,'Rent Roll'!K30,"")</f>
        <v/>
      </c>
      <c r="AN296" s="1551" t="str">
        <f ca="1">IF('Rent Roll'!$Z30=1,'Rent Roll'!N30,"")</f>
        <v/>
      </c>
      <c r="AO296" s="223"/>
      <c r="AP296" s="6"/>
      <c r="AQ296" s="32"/>
      <c r="AR296" s="342"/>
      <c r="AS296" s="343"/>
      <c r="AT296" s="342"/>
      <c r="AU296" s="343"/>
      <c r="AV296" s="32"/>
      <c r="AW296" s="32"/>
      <c r="AX296" s="32"/>
    </row>
    <row r="297" spans="1:50" ht="15.95" hidden="1" customHeight="1" x14ac:dyDescent="0.25">
      <c r="A297" s="957">
        <f t="shared" ca="1" si="9"/>
        <v>0</v>
      </c>
      <c r="AI297" s="4"/>
      <c r="AJ297" s="5"/>
      <c r="AK297" s="5" t="str">
        <f ca="1">IF('Rent Roll'!$Z31=1,'Rent Roll'!E31,"")</f>
        <v/>
      </c>
      <c r="AL297" s="39" t="str">
        <f ca="1">IF('Rent Roll'!$Z31=1,'Rent Roll'!G31,"")</f>
        <v/>
      </c>
      <c r="AM297" s="1547" t="str">
        <f ca="1">IF('Rent Roll'!$Z31=1,'Rent Roll'!K31,"")</f>
        <v/>
      </c>
      <c r="AN297" s="1551" t="str">
        <f ca="1">IF('Rent Roll'!$Z31=1,'Rent Roll'!N31,"")</f>
        <v/>
      </c>
      <c r="AO297" s="223"/>
      <c r="AP297" s="6"/>
      <c r="AQ297" s="32"/>
      <c r="AR297" s="342"/>
      <c r="AS297" s="343"/>
      <c r="AT297" s="342"/>
      <c r="AU297" s="343"/>
      <c r="AV297" s="32"/>
      <c r="AW297" s="32"/>
      <c r="AX297" s="32"/>
    </row>
    <row r="298" spans="1:50" ht="15.95" hidden="1" customHeight="1" x14ac:dyDescent="0.25">
      <c r="A298" s="957">
        <f t="shared" ca="1" si="9"/>
        <v>0</v>
      </c>
      <c r="AI298" s="4"/>
      <c r="AJ298" s="5"/>
      <c r="AK298" s="5" t="str">
        <f ca="1">IF('Rent Roll'!$Z32=1,'Rent Roll'!E32,"")</f>
        <v/>
      </c>
      <c r="AL298" s="39" t="str">
        <f ca="1">IF('Rent Roll'!$Z32=1,'Rent Roll'!G32,"")</f>
        <v/>
      </c>
      <c r="AM298" s="1547" t="str">
        <f ca="1">IF('Rent Roll'!$Z32=1,'Rent Roll'!K32,"")</f>
        <v/>
      </c>
      <c r="AN298" s="1551" t="str">
        <f ca="1">IF('Rent Roll'!$Z32=1,'Rent Roll'!N32,"")</f>
        <v/>
      </c>
      <c r="AO298" s="223"/>
      <c r="AP298" s="6"/>
      <c r="AQ298" s="32"/>
      <c r="AR298" s="342"/>
      <c r="AS298" s="343"/>
      <c r="AT298" s="342"/>
      <c r="AU298" s="343"/>
      <c r="AV298" s="32"/>
      <c r="AW298" s="32"/>
      <c r="AX298" s="32"/>
    </row>
    <row r="299" spans="1:50" ht="15.95" hidden="1" customHeight="1" x14ac:dyDescent="0.25">
      <c r="A299" s="957">
        <f t="shared" ca="1" si="9"/>
        <v>0</v>
      </c>
      <c r="AI299" s="4"/>
      <c r="AJ299" s="5"/>
      <c r="AK299" s="5" t="str">
        <f ca="1">IF('Rent Roll'!$Z33=1,'Rent Roll'!E33,"")</f>
        <v/>
      </c>
      <c r="AL299" s="39" t="str">
        <f ca="1">IF('Rent Roll'!$Z33=1,'Rent Roll'!G33,"")</f>
        <v/>
      </c>
      <c r="AM299" s="1547" t="str">
        <f ca="1">IF('Rent Roll'!$Z33=1,'Rent Roll'!K33,"")</f>
        <v/>
      </c>
      <c r="AN299" s="1551" t="str">
        <f ca="1">IF('Rent Roll'!$Z33=1,'Rent Roll'!N33,"")</f>
        <v/>
      </c>
      <c r="AO299" s="223"/>
      <c r="AP299" s="6"/>
      <c r="AQ299" s="32"/>
      <c r="AR299" s="342"/>
      <c r="AS299" s="343"/>
      <c r="AT299" s="342"/>
      <c r="AU299" s="343"/>
      <c r="AV299" s="32"/>
      <c r="AW299" s="32"/>
      <c r="AX299" s="32"/>
    </row>
    <row r="300" spans="1:50" ht="15.95" hidden="1" customHeight="1" x14ac:dyDescent="0.25">
      <c r="A300" s="957">
        <f t="shared" ca="1" si="9"/>
        <v>0</v>
      </c>
      <c r="AI300" s="4"/>
      <c r="AJ300" s="5"/>
      <c r="AK300" s="5" t="str">
        <f ca="1">IF('Rent Roll'!$Z34=1,'Rent Roll'!E34,"")</f>
        <v/>
      </c>
      <c r="AL300" s="39" t="str">
        <f ca="1">IF('Rent Roll'!$Z34=1,'Rent Roll'!G34,"")</f>
        <v/>
      </c>
      <c r="AM300" s="1547" t="str">
        <f ca="1">IF('Rent Roll'!$Z34=1,'Rent Roll'!K34,"")</f>
        <v/>
      </c>
      <c r="AN300" s="1551" t="str">
        <f ca="1">IF('Rent Roll'!$Z34=1,'Rent Roll'!N34,"")</f>
        <v/>
      </c>
      <c r="AO300" s="223"/>
      <c r="AP300" s="6"/>
      <c r="AQ300" s="32"/>
      <c r="AR300" s="342"/>
      <c r="AS300" s="343"/>
      <c r="AT300" s="342"/>
      <c r="AU300" s="343"/>
      <c r="AV300" s="32"/>
      <c r="AW300" s="32"/>
      <c r="AX300" s="32"/>
    </row>
    <row r="301" spans="1:50" ht="15.95" hidden="1" customHeight="1" x14ac:dyDescent="0.25">
      <c r="A301" s="957">
        <f t="shared" ca="1" si="9"/>
        <v>0</v>
      </c>
      <c r="AI301" s="4"/>
      <c r="AJ301" s="5"/>
      <c r="AK301" s="5" t="str">
        <f ca="1">IF('Rent Roll'!$Z35=1,'Rent Roll'!E35,"")</f>
        <v/>
      </c>
      <c r="AL301" s="39" t="str">
        <f ca="1">IF('Rent Roll'!$Z35=1,'Rent Roll'!G35,"")</f>
        <v/>
      </c>
      <c r="AM301" s="1547" t="str">
        <f ca="1">IF('Rent Roll'!$Z35=1,'Rent Roll'!K35,"")</f>
        <v/>
      </c>
      <c r="AN301" s="1551" t="str">
        <f ca="1">IF('Rent Roll'!$Z35=1,'Rent Roll'!N35,"")</f>
        <v/>
      </c>
      <c r="AO301" s="223"/>
      <c r="AP301" s="6"/>
      <c r="AQ301" s="32"/>
      <c r="AR301" s="342"/>
      <c r="AS301" s="343"/>
      <c r="AT301" s="342"/>
      <c r="AU301" s="343"/>
      <c r="AV301" s="32"/>
      <c r="AW301" s="32"/>
      <c r="AX301" s="32"/>
    </row>
    <row r="302" spans="1:50" ht="15.95" hidden="1" customHeight="1" x14ac:dyDescent="0.25">
      <c r="A302" s="957">
        <f t="shared" ca="1" si="9"/>
        <v>0</v>
      </c>
      <c r="AI302" s="4"/>
      <c r="AJ302" s="5"/>
      <c r="AK302" s="5" t="str">
        <f ca="1">IF('Rent Roll'!$Z36=1,'Rent Roll'!E36,"")</f>
        <v/>
      </c>
      <c r="AL302" s="39" t="str">
        <f ca="1">IF('Rent Roll'!$Z36=1,'Rent Roll'!G36,"")</f>
        <v/>
      </c>
      <c r="AM302" s="1547" t="str">
        <f ca="1">IF('Rent Roll'!$Z36=1,'Rent Roll'!K36,"")</f>
        <v/>
      </c>
      <c r="AN302" s="1551" t="str">
        <f ca="1">IF('Rent Roll'!$Z36=1,'Rent Roll'!N36,"")</f>
        <v/>
      </c>
      <c r="AO302" s="223"/>
      <c r="AP302" s="6"/>
      <c r="AQ302" s="32"/>
      <c r="AR302" s="342"/>
      <c r="AS302" s="343"/>
      <c r="AT302" s="342"/>
      <c r="AU302" s="343"/>
      <c r="AV302" s="32"/>
      <c r="AW302" s="32"/>
      <c r="AX302" s="32"/>
    </row>
    <row r="303" spans="1:50" ht="15.95" hidden="1" customHeight="1" x14ac:dyDescent="0.25">
      <c r="A303" s="957">
        <f t="shared" ca="1" si="9"/>
        <v>0</v>
      </c>
      <c r="AI303" s="4"/>
      <c r="AJ303" s="5"/>
      <c r="AK303" s="5" t="str">
        <f ca="1">IF('Rent Roll'!$Z37=1,'Rent Roll'!E37,"")</f>
        <v/>
      </c>
      <c r="AL303" s="39" t="str">
        <f ca="1">IF('Rent Roll'!$Z37=1,'Rent Roll'!G37,"")</f>
        <v/>
      </c>
      <c r="AM303" s="1547" t="str">
        <f ca="1">IF('Rent Roll'!$Z37=1,'Rent Roll'!K37,"")</f>
        <v/>
      </c>
      <c r="AN303" s="1551" t="str">
        <f ca="1">IF('Rent Roll'!$Z37=1,'Rent Roll'!N37,"")</f>
        <v/>
      </c>
      <c r="AO303" s="223"/>
      <c r="AP303" s="6"/>
      <c r="AQ303" s="32"/>
      <c r="AR303" s="342"/>
      <c r="AS303" s="343"/>
      <c r="AT303" s="342"/>
      <c r="AU303" s="343"/>
      <c r="AV303" s="32"/>
      <c r="AW303" s="32"/>
      <c r="AX303" s="32"/>
    </row>
    <row r="304" spans="1:50" ht="15.95" hidden="1" customHeight="1" x14ac:dyDescent="0.25">
      <c r="A304" s="957">
        <f t="shared" ca="1" si="9"/>
        <v>0</v>
      </c>
      <c r="AI304" s="4"/>
      <c r="AJ304" s="5"/>
      <c r="AK304" s="5" t="str">
        <f ca="1">IF('Rent Roll'!$Z38=1,'Rent Roll'!E38,"")</f>
        <v/>
      </c>
      <c r="AL304" s="39" t="str">
        <f ca="1">IF('Rent Roll'!$Z38=1,'Rent Roll'!G38,"")</f>
        <v/>
      </c>
      <c r="AM304" s="1547" t="str">
        <f ca="1">IF('Rent Roll'!$Z38=1,'Rent Roll'!K38,"")</f>
        <v/>
      </c>
      <c r="AN304" s="1551" t="str">
        <f ca="1">IF('Rent Roll'!$Z38=1,'Rent Roll'!N38,"")</f>
        <v/>
      </c>
      <c r="AO304" s="223"/>
      <c r="AP304" s="6"/>
      <c r="AQ304" s="32"/>
      <c r="AR304" s="342"/>
      <c r="AS304" s="343"/>
      <c r="AT304" s="342"/>
      <c r="AU304" s="343"/>
      <c r="AV304" s="32"/>
      <c r="AW304" s="32"/>
      <c r="AX304" s="32"/>
    </row>
    <row r="305" spans="1:50" ht="15.95" hidden="1" customHeight="1" x14ac:dyDescent="0.25">
      <c r="A305" s="957">
        <f t="shared" ref="A305:A336" ca="1" si="10">IF(AK305="",0,1)</f>
        <v>0</v>
      </c>
      <c r="AI305" s="4"/>
      <c r="AJ305" s="5"/>
      <c r="AK305" s="5" t="str">
        <f ca="1">IF('Rent Roll'!$Z39=1,'Rent Roll'!E39,"")</f>
        <v/>
      </c>
      <c r="AL305" s="39" t="str">
        <f ca="1">IF('Rent Roll'!$Z39=1,'Rent Roll'!G39,"")</f>
        <v/>
      </c>
      <c r="AM305" s="1547" t="str">
        <f ca="1">IF('Rent Roll'!$Z39=1,'Rent Roll'!K39,"")</f>
        <v/>
      </c>
      <c r="AN305" s="1551" t="str">
        <f ca="1">IF('Rent Roll'!$Z39=1,'Rent Roll'!N39,"")</f>
        <v/>
      </c>
      <c r="AO305" s="223"/>
      <c r="AP305" s="6"/>
      <c r="AQ305" s="32"/>
      <c r="AR305" s="342"/>
      <c r="AS305" s="343"/>
      <c r="AT305" s="342"/>
      <c r="AU305" s="343"/>
      <c r="AV305" s="32"/>
      <c r="AW305" s="32"/>
      <c r="AX305" s="32"/>
    </row>
    <row r="306" spans="1:50" ht="15.95" hidden="1" customHeight="1" x14ac:dyDescent="0.25">
      <c r="A306" s="957">
        <f t="shared" ca="1" si="10"/>
        <v>0</v>
      </c>
      <c r="AI306" s="4"/>
      <c r="AJ306" s="5"/>
      <c r="AK306" s="5" t="str">
        <f ca="1">IF('Rent Roll'!$Z40=1,'Rent Roll'!E40,"")</f>
        <v/>
      </c>
      <c r="AL306" s="39" t="str">
        <f ca="1">IF('Rent Roll'!$Z40=1,'Rent Roll'!G40,"")</f>
        <v/>
      </c>
      <c r="AM306" s="1547" t="str">
        <f ca="1">IF('Rent Roll'!$Z40=1,'Rent Roll'!K40,"")</f>
        <v/>
      </c>
      <c r="AN306" s="1551" t="str">
        <f ca="1">IF('Rent Roll'!$Z40=1,'Rent Roll'!N40,"")</f>
        <v/>
      </c>
      <c r="AO306" s="223"/>
      <c r="AP306" s="6"/>
      <c r="AQ306" s="32"/>
      <c r="AR306" s="342"/>
      <c r="AS306" s="343"/>
      <c r="AT306" s="342"/>
      <c r="AU306" s="343"/>
      <c r="AV306" s="32"/>
      <c r="AW306" s="32"/>
      <c r="AX306" s="32"/>
    </row>
    <row r="307" spans="1:50" ht="15.95" hidden="1" customHeight="1" x14ac:dyDescent="0.25">
      <c r="A307" s="957">
        <f t="shared" ca="1" si="10"/>
        <v>0</v>
      </c>
      <c r="AI307" s="4"/>
      <c r="AJ307" s="5"/>
      <c r="AK307" s="5" t="str">
        <f ca="1">IF('Rent Roll'!$Z41=1,'Rent Roll'!E41,"")</f>
        <v/>
      </c>
      <c r="AL307" s="39" t="str">
        <f ca="1">IF('Rent Roll'!$Z41=1,'Rent Roll'!G41,"")</f>
        <v/>
      </c>
      <c r="AM307" s="1547" t="str">
        <f ca="1">IF('Rent Roll'!$Z41=1,'Rent Roll'!K41,"")</f>
        <v/>
      </c>
      <c r="AN307" s="1551" t="str">
        <f ca="1">IF('Rent Roll'!$Z41=1,'Rent Roll'!N41,"")</f>
        <v/>
      </c>
      <c r="AO307" s="223"/>
      <c r="AP307" s="6"/>
      <c r="AQ307" s="32"/>
      <c r="AR307" s="342"/>
      <c r="AS307" s="343"/>
      <c r="AT307" s="342"/>
      <c r="AU307" s="343"/>
      <c r="AV307" s="32"/>
      <c r="AW307" s="32"/>
      <c r="AX307" s="32"/>
    </row>
    <row r="308" spans="1:50" ht="15.95" hidden="1" customHeight="1" x14ac:dyDescent="0.25">
      <c r="A308" s="957">
        <f t="shared" ca="1" si="10"/>
        <v>0</v>
      </c>
      <c r="AI308" s="4"/>
      <c r="AJ308" s="5"/>
      <c r="AK308" s="5" t="str">
        <f ca="1">IF('Rent Roll'!$Z42=1,'Rent Roll'!E42,"")</f>
        <v/>
      </c>
      <c r="AL308" s="39" t="str">
        <f ca="1">IF('Rent Roll'!$Z42=1,'Rent Roll'!G42,"")</f>
        <v/>
      </c>
      <c r="AM308" s="1547" t="str">
        <f ca="1">IF('Rent Roll'!$Z42=1,'Rent Roll'!K42,"")</f>
        <v/>
      </c>
      <c r="AN308" s="1551" t="str">
        <f ca="1">IF('Rent Roll'!$Z42=1,'Rent Roll'!N42,"")</f>
        <v/>
      </c>
      <c r="AO308" s="223"/>
      <c r="AP308" s="6"/>
      <c r="AQ308" s="32"/>
      <c r="AR308" s="342"/>
      <c r="AS308" s="343"/>
      <c r="AT308" s="342"/>
      <c r="AU308" s="343"/>
      <c r="AV308" s="32"/>
      <c r="AW308" s="32"/>
      <c r="AX308" s="32"/>
    </row>
    <row r="309" spans="1:50" ht="15.95" hidden="1" customHeight="1" x14ac:dyDescent="0.25">
      <c r="A309" s="957">
        <f t="shared" ca="1" si="10"/>
        <v>0</v>
      </c>
      <c r="AI309" s="4"/>
      <c r="AJ309" s="5"/>
      <c r="AK309" s="5" t="str">
        <f ca="1">IF('Rent Roll'!$Z43=1,'Rent Roll'!E43,"")</f>
        <v/>
      </c>
      <c r="AL309" s="39" t="str">
        <f ca="1">IF('Rent Roll'!$Z43=1,'Rent Roll'!G43,"")</f>
        <v/>
      </c>
      <c r="AM309" s="1547" t="str">
        <f ca="1">IF('Rent Roll'!$Z43=1,'Rent Roll'!K43,"")</f>
        <v/>
      </c>
      <c r="AN309" s="1551" t="str">
        <f ca="1">IF('Rent Roll'!$Z43=1,'Rent Roll'!N43,"")</f>
        <v/>
      </c>
      <c r="AO309" s="223"/>
      <c r="AP309" s="6"/>
      <c r="AQ309" s="32"/>
      <c r="AR309" s="342"/>
      <c r="AS309" s="343"/>
      <c r="AT309" s="342"/>
      <c r="AU309" s="343"/>
      <c r="AV309" s="32"/>
      <c r="AW309" s="32"/>
      <c r="AX309" s="32"/>
    </row>
    <row r="310" spans="1:50" ht="15.95" hidden="1" customHeight="1" x14ac:dyDescent="0.25">
      <c r="A310" s="957">
        <f t="shared" ca="1" si="10"/>
        <v>0</v>
      </c>
      <c r="AI310" s="4"/>
      <c r="AJ310" s="5"/>
      <c r="AK310" s="5" t="str">
        <f ca="1">IF('Rent Roll'!$Z44=1,'Rent Roll'!E44,"")</f>
        <v/>
      </c>
      <c r="AL310" s="39" t="str">
        <f ca="1">IF('Rent Roll'!$Z44=1,'Rent Roll'!G44,"")</f>
        <v/>
      </c>
      <c r="AM310" s="1547" t="str">
        <f ca="1">IF('Rent Roll'!$Z44=1,'Rent Roll'!K44,"")</f>
        <v/>
      </c>
      <c r="AN310" s="1551" t="str">
        <f ca="1">IF('Rent Roll'!$Z44=1,'Rent Roll'!N44,"")</f>
        <v/>
      </c>
      <c r="AO310" s="223"/>
      <c r="AP310" s="6"/>
      <c r="AQ310" s="32"/>
      <c r="AR310" s="342"/>
      <c r="AS310" s="343"/>
      <c r="AT310" s="342"/>
      <c r="AU310" s="343"/>
      <c r="AV310" s="32"/>
      <c r="AW310" s="32"/>
      <c r="AX310" s="32"/>
    </row>
    <row r="311" spans="1:50" ht="15.95" hidden="1" customHeight="1" x14ac:dyDescent="0.25">
      <c r="A311" s="957">
        <f t="shared" ca="1" si="10"/>
        <v>0</v>
      </c>
      <c r="AI311" s="4"/>
      <c r="AJ311" s="5"/>
      <c r="AK311" s="5" t="str">
        <f ca="1">IF('Rent Roll'!$Z45=1,'Rent Roll'!E45,"")</f>
        <v/>
      </c>
      <c r="AL311" s="39" t="str">
        <f ca="1">IF('Rent Roll'!$Z45=1,'Rent Roll'!G45,"")</f>
        <v/>
      </c>
      <c r="AM311" s="1547" t="str">
        <f ca="1">IF('Rent Roll'!$Z45=1,'Rent Roll'!K45,"")</f>
        <v/>
      </c>
      <c r="AN311" s="1551" t="str">
        <f ca="1">IF('Rent Roll'!$Z45=1,'Rent Roll'!N45,"")</f>
        <v/>
      </c>
      <c r="AO311" s="223"/>
      <c r="AP311" s="6"/>
      <c r="AQ311" s="32"/>
      <c r="AR311" s="342"/>
      <c r="AS311" s="343"/>
      <c r="AT311" s="342"/>
      <c r="AU311" s="343"/>
      <c r="AV311" s="32"/>
      <c r="AW311" s="32"/>
      <c r="AX311" s="32"/>
    </row>
    <row r="312" spans="1:50" ht="15.95" hidden="1" customHeight="1" x14ac:dyDescent="0.25">
      <c r="A312" s="957">
        <f t="shared" ca="1" si="10"/>
        <v>0</v>
      </c>
      <c r="AI312" s="4"/>
      <c r="AJ312" s="5"/>
      <c r="AK312" s="5" t="str">
        <f ca="1">IF('Rent Roll'!$Z46=1,'Rent Roll'!E46,"")</f>
        <v/>
      </c>
      <c r="AL312" s="39" t="str">
        <f ca="1">IF('Rent Roll'!$Z46=1,'Rent Roll'!G46,"")</f>
        <v/>
      </c>
      <c r="AM312" s="1547" t="str">
        <f ca="1">IF('Rent Roll'!$Z46=1,'Rent Roll'!K46,"")</f>
        <v/>
      </c>
      <c r="AN312" s="1551" t="str">
        <f ca="1">IF('Rent Roll'!$Z46=1,'Rent Roll'!N46,"")</f>
        <v/>
      </c>
      <c r="AO312" s="223"/>
      <c r="AP312" s="6"/>
      <c r="AQ312" s="32"/>
      <c r="AR312" s="342"/>
      <c r="AS312" s="343"/>
      <c r="AT312" s="342"/>
      <c r="AU312" s="343"/>
      <c r="AV312" s="32"/>
      <c r="AW312" s="32"/>
      <c r="AX312" s="32"/>
    </row>
    <row r="313" spans="1:50" ht="15.95" hidden="1" customHeight="1" x14ac:dyDescent="0.25">
      <c r="A313" s="957">
        <f t="shared" ca="1" si="10"/>
        <v>0</v>
      </c>
      <c r="AI313" s="4"/>
      <c r="AJ313" s="5"/>
      <c r="AK313" s="5" t="str">
        <f ca="1">IF('Rent Roll'!$Z47=1,'Rent Roll'!E47,"")</f>
        <v/>
      </c>
      <c r="AL313" s="39" t="str">
        <f ca="1">IF('Rent Roll'!$Z47=1,'Rent Roll'!G47,"")</f>
        <v/>
      </c>
      <c r="AM313" s="1547" t="str">
        <f ca="1">IF('Rent Roll'!$Z47=1,'Rent Roll'!K47,"")</f>
        <v/>
      </c>
      <c r="AN313" s="1551" t="str">
        <f ca="1">IF('Rent Roll'!$Z47=1,'Rent Roll'!N47,"")</f>
        <v/>
      </c>
      <c r="AO313" s="223"/>
      <c r="AP313" s="6"/>
      <c r="AQ313" s="32"/>
      <c r="AR313" s="342"/>
      <c r="AS313" s="343"/>
      <c r="AT313" s="342"/>
      <c r="AU313" s="343"/>
      <c r="AV313" s="32"/>
      <c r="AW313" s="32"/>
      <c r="AX313" s="32"/>
    </row>
    <row r="314" spans="1:50" ht="15.95" hidden="1" customHeight="1" x14ac:dyDescent="0.25">
      <c r="A314" s="957">
        <f t="shared" ca="1" si="10"/>
        <v>0</v>
      </c>
      <c r="AI314" s="4"/>
      <c r="AJ314" s="5"/>
      <c r="AK314" s="5" t="str">
        <f ca="1">IF('Rent Roll'!$Z48=1,'Rent Roll'!E48,"")</f>
        <v/>
      </c>
      <c r="AL314" s="39" t="str">
        <f ca="1">IF('Rent Roll'!$Z48=1,'Rent Roll'!G48,"")</f>
        <v/>
      </c>
      <c r="AM314" s="1547" t="str">
        <f ca="1">IF('Rent Roll'!$Z48=1,'Rent Roll'!K48,"")</f>
        <v/>
      </c>
      <c r="AN314" s="1551" t="str">
        <f ca="1">IF('Rent Roll'!$Z48=1,'Rent Roll'!N48,"")</f>
        <v/>
      </c>
      <c r="AO314" s="223"/>
      <c r="AP314" s="6"/>
      <c r="AQ314" s="32"/>
      <c r="AR314" s="342"/>
      <c r="AS314" s="343"/>
      <c r="AT314" s="342"/>
      <c r="AU314" s="343"/>
      <c r="AV314" s="32"/>
      <c r="AW314" s="32"/>
      <c r="AX314" s="32"/>
    </row>
    <row r="315" spans="1:50" ht="15.95" hidden="1" customHeight="1" x14ac:dyDescent="0.25">
      <c r="A315" s="957">
        <f t="shared" ca="1" si="10"/>
        <v>0</v>
      </c>
      <c r="AI315" s="4"/>
      <c r="AJ315" s="5"/>
      <c r="AK315" s="5" t="str">
        <f ca="1">IF('Rent Roll'!$Z49=1,'Rent Roll'!E49,"")</f>
        <v/>
      </c>
      <c r="AL315" s="39" t="str">
        <f ca="1">IF('Rent Roll'!$Z49=1,'Rent Roll'!G49,"")</f>
        <v/>
      </c>
      <c r="AM315" s="1547" t="str">
        <f ca="1">IF('Rent Roll'!$Z49=1,'Rent Roll'!K49,"")</f>
        <v/>
      </c>
      <c r="AN315" s="1551" t="str">
        <f ca="1">IF('Rent Roll'!$Z49=1,'Rent Roll'!N49,"")</f>
        <v/>
      </c>
      <c r="AO315" s="223"/>
      <c r="AP315" s="6"/>
      <c r="AQ315" s="32"/>
      <c r="AR315" s="342"/>
      <c r="AS315" s="343"/>
      <c r="AT315" s="342"/>
      <c r="AU315" s="343"/>
      <c r="AV315" s="32"/>
      <c r="AW315" s="32"/>
      <c r="AX315" s="32"/>
    </row>
    <row r="316" spans="1:50" ht="15.95" hidden="1" customHeight="1" x14ac:dyDescent="0.25">
      <c r="A316" s="957">
        <f t="shared" ca="1" si="10"/>
        <v>0</v>
      </c>
      <c r="AI316" s="4"/>
      <c r="AJ316" s="5"/>
      <c r="AK316" s="5" t="str">
        <f ca="1">IF('Rent Roll'!$Z50=1,'Rent Roll'!E50,"")</f>
        <v/>
      </c>
      <c r="AL316" s="39" t="str">
        <f ca="1">IF('Rent Roll'!$Z50=1,'Rent Roll'!G50,"")</f>
        <v/>
      </c>
      <c r="AM316" s="1547" t="str">
        <f ca="1">IF('Rent Roll'!$Z50=1,'Rent Roll'!K50,"")</f>
        <v/>
      </c>
      <c r="AN316" s="1551" t="str">
        <f ca="1">IF('Rent Roll'!$Z50=1,'Rent Roll'!N50,"")</f>
        <v/>
      </c>
      <c r="AO316" s="223"/>
      <c r="AP316" s="6"/>
      <c r="AQ316" s="32"/>
      <c r="AR316" s="342"/>
      <c r="AS316" s="343"/>
      <c r="AT316" s="342"/>
      <c r="AU316" s="343"/>
      <c r="AV316" s="32"/>
      <c r="AW316" s="32"/>
      <c r="AX316" s="32"/>
    </row>
    <row r="317" spans="1:50" ht="15.95" hidden="1" customHeight="1" x14ac:dyDescent="0.25">
      <c r="A317" s="957">
        <f t="shared" ca="1" si="10"/>
        <v>0</v>
      </c>
      <c r="AI317" s="4"/>
      <c r="AJ317" s="5"/>
      <c r="AK317" s="5" t="str">
        <f ca="1">IF('Rent Roll'!$Z51=1,'Rent Roll'!E51,"")</f>
        <v/>
      </c>
      <c r="AL317" s="39" t="str">
        <f ca="1">IF('Rent Roll'!$Z51=1,'Rent Roll'!G51,"")</f>
        <v/>
      </c>
      <c r="AM317" s="1547" t="str">
        <f ca="1">IF('Rent Roll'!$Z51=1,'Rent Roll'!K51,"")</f>
        <v/>
      </c>
      <c r="AN317" s="1551" t="str">
        <f ca="1">IF('Rent Roll'!$Z51=1,'Rent Roll'!N51,"")</f>
        <v/>
      </c>
      <c r="AO317" s="223"/>
      <c r="AP317" s="6"/>
      <c r="AQ317" s="32"/>
      <c r="AR317" s="342"/>
      <c r="AS317" s="343"/>
      <c r="AT317" s="342"/>
      <c r="AU317" s="343"/>
      <c r="AV317" s="32"/>
      <c r="AW317" s="32"/>
      <c r="AX317" s="32"/>
    </row>
    <row r="318" spans="1:50" ht="15.95" hidden="1" customHeight="1" x14ac:dyDescent="0.25">
      <c r="A318" s="957">
        <f t="shared" ca="1" si="10"/>
        <v>0</v>
      </c>
      <c r="AI318" s="4"/>
      <c r="AJ318" s="5"/>
      <c r="AK318" s="5" t="str">
        <f ca="1">IF('Rent Roll'!$Z52=1,'Rent Roll'!E52,"")</f>
        <v/>
      </c>
      <c r="AL318" s="39" t="str">
        <f ca="1">IF('Rent Roll'!$Z52=1,'Rent Roll'!G52,"")</f>
        <v/>
      </c>
      <c r="AM318" s="1547" t="str">
        <f ca="1">IF('Rent Roll'!$Z52=1,'Rent Roll'!K52,"")</f>
        <v/>
      </c>
      <c r="AN318" s="1551" t="str">
        <f ca="1">IF('Rent Roll'!$Z52=1,'Rent Roll'!N52,"")</f>
        <v/>
      </c>
      <c r="AO318" s="223"/>
      <c r="AP318" s="6"/>
      <c r="AQ318" s="32"/>
      <c r="AR318" s="342"/>
      <c r="AS318" s="343"/>
      <c r="AT318" s="342"/>
      <c r="AU318" s="343"/>
      <c r="AV318" s="32"/>
      <c r="AW318" s="32"/>
      <c r="AX318" s="32"/>
    </row>
    <row r="319" spans="1:50" ht="15.95" hidden="1" customHeight="1" x14ac:dyDescent="0.25">
      <c r="A319" s="957">
        <f t="shared" ca="1" si="10"/>
        <v>0</v>
      </c>
      <c r="AI319" s="4"/>
      <c r="AJ319" s="5"/>
      <c r="AK319" s="5" t="str">
        <f ca="1">IF('Rent Roll'!$Z53=1,'Rent Roll'!E53,"")</f>
        <v/>
      </c>
      <c r="AL319" s="39" t="str">
        <f ca="1">IF('Rent Roll'!$Z53=1,'Rent Roll'!G53,"")</f>
        <v/>
      </c>
      <c r="AM319" s="1547" t="str">
        <f ca="1">IF('Rent Roll'!$Z53=1,'Rent Roll'!K53,"")</f>
        <v/>
      </c>
      <c r="AN319" s="1551" t="str">
        <f ca="1">IF('Rent Roll'!$Z53=1,'Rent Roll'!N53,"")</f>
        <v/>
      </c>
      <c r="AO319" s="223"/>
      <c r="AP319" s="6"/>
      <c r="AQ319" s="32"/>
      <c r="AR319" s="342"/>
      <c r="AS319" s="343"/>
      <c r="AT319" s="342"/>
      <c r="AU319" s="343"/>
      <c r="AV319" s="32"/>
      <c r="AW319" s="32"/>
      <c r="AX319" s="32"/>
    </row>
    <row r="320" spans="1:50" ht="15.95" hidden="1" customHeight="1" x14ac:dyDescent="0.25">
      <c r="A320" s="957">
        <f t="shared" ca="1" si="10"/>
        <v>0</v>
      </c>
      <c r="AI320" s="4"/>
      <c r="AJ320" s="5"/>
      <c r="AK320" s="5" t="str">
        <f ca="1">IF('Rent Roll'!$Z54=1,'Rent Roll'!E54,"")</f>
        <v/>
      </c>
      <c r="AL320" s="39" t="str">
        <f ca="1">IF('Rent Roll'!$Z54=1,'Rent Roll'!G54,"")</f>
        <v/>
      </c>
      <c r="AM320" s="1547" t="str">
        <f ca="1">IF('Rent Roll'!$Z54=1,'Rent Roll'!K54,"")</f>
        <v/>
      </c>
      <c r="AN320" s="1551" t="str">
        <f ca="1">IF('Rent Roll'!$Z54=1,'Rent Roll'!N54,"")</f>
        <v/>
      </c>
      <c r="AO320" s="223"/>
      <c r="AP320" s="6"/>
      <c r="AQ320" s="32"/>
      <c r="AR320" s="342"/>
      <c r="AS320" s="343"/>
      <c r="AT320" s="342"/>
      <c r="AU320" s="343"/>
      <c r="AV320" s="32"/>
      <c r="AW320" s="32"/>
      <c r="AX320" s="32"/>
    </row>
    <row r="321" spans="1:50" ht="15.95" hidden="1" customHeight="1" x14ac:dyDescent="0.25">
      <c r="A321" s="957">
        <f t="shared" ca="1" si="10"/>
        <v>0</v>
      </c>
      <c r="AI321" s="4"/>
      <c r="AJ321" s="5"/>
      <c r="AK321" s="5" t="str">
        <f ca="1">IF('Rent Roll'!$Z55=1,'Rent Roll'!E55,"")</f>
        <v/>
      </c>
      <c r="AL321" s="39" t="str">
        <f ca="1">IF('Rent Roll'!$Z55=1,'Rent Roll'!G55,"")</f>
        <v/>
      </c>
      <c r="AM321" s="1547" t="str">
        <f ca="1">IF('Rent Roll'!$Z55=1,'Rent Roll'!K55,"")</f>
        <v/>
      </c>
      <c r="AN321" s="1551" t="str">
        <f ca="1">IF('Rent Roll'!$Z55=1,'Rent Roll'!N55,"")</f>
        <v/>
      </c>
      <c r="AO321" s="223"/>
      <c r="AP321" s="6"/>
      <c r="AQ321" s="32"/>
      <c r="AR321" s="342"/>
      <c r="AS321" s="343"/>
      <c r="AT321" s="342"/>
      <c r="AU321" s="343"/>
      <c r="AV321" s="32"/>
      <c r="AW321" s="32"/>
      <c r="AX321" s="32"/>
    </row>
    <row r="322" spans="1:50" ht="15.95" hidden="1" customHeight="1" x14ac:dyDescent="0.25">
      <c r="A322" s="957">
        <f t="shared" ca="1" si="10"/>
        <v>0</v>
      </c>
      <c r="AI322" s="4"/>
      <c r="AJ322" s="5"/>
      <c r="AK322" s="5" t="str">
        <f ca="1">IF('Rent Roll'!$Z56=1,'Rent Roll'!E56,"")</f>
        <v/>
      </c>
      <c r="AL322" s="39" t="str">
        <f ca="1">IF('Rent Roll'!$Z56=1,'Rent Roll'!G56,"")</f>
        <v/>
      </c>
      <c r="AM322" s="1547" t="str">
        <f ca="1">IF('Rent Roll'!$Z56=1,'Rent Roll'!K56,"")</f>
        <v/>
      </c>
      <c r="AN322" s="1551" t="str">
        <f ca="1">IF('Rent Roll'!$Z56=1,'Rent Roll'!N56,"")</f>
        <v/>
      </c>
      <c r="AO322" s="223"/>
      <c r="AP322" s="6"/>
      <c r="AQ322" s="32"/>
      <c r="AR322" s="342"/>
      <c r="AS322" s="343"/>
      <c r="AT322" s="342"/>
      <c r="AU322" s="343"/>
      <c r="AV322" s="32"/>
      <c r="AW322" s="32"/>
      <c r="AX322" s="32"/>
    </row>
    <row r="323" spans="1:50" ht="15.95" hidden="1" customHeight="1" x14ac:dyDescent="0.25">
      <c r="A323" s="957">
        <f t="shared" ca="1" si="10"/>
        <v>0</v>
      </c>
      <c r="AI323" s="4"/>
      <c r="AJ323" s="5"/>
      <c r="AK323" s="5" t="str">
        <f ca="1">IF('Rent Roll'!$Z57=1,'Rent Roll'!E57,"")</f>
        <v/>
      </c>
      <c r="AL323" s="39" t="str">
        <f ca="1">IF('Rent Roll'!$Z57=1,'Rent Roll'!G57,"")</f>
        <v/>
      </c>
      <c r="AM323" s="1547" t="str">
        <f ca="1">IF('Rent Roll'!$Z57=1,'Rent Roll'!K57,"")</f>
        <v/>
      </c>
      <c r="AN323" s="1551" t="str">
        <f ca="1">IF('Rent Roll'!$Z57=1,'Rent Roll'!N57,"")</f>
        <v/>
      </c>
      <c r="AO323" s="223"/>
      <c r="AP323" s="6"/>
      <c r="AQ323" s="32"/>
      <c r="AR323" s="342"/>
      <c r="AS323" s="343"/>
      <c r="AT323" s="342"/>
      <c r="AU323" s="343"/>
      <c r="AV323" s="32"/>
      <c r="AW323" s="32"/>
      <c r="AX323" s="32"/>
    </row>
    <row r="324" spans="1:50" ht="15.95" hidden="1" customHeight="1" x14ac:dyDescent="0.25">
      <c r="A324" s="957">
        <f t="shared" ca="1" si="10"/>
        <v>0</v>
      </c>
      <c r="AI324" s="4"/>
      <c r="AJ324" s="5"/>
      <c r="AK324" s="5" t="str">
        <f ca="1">IF('Rent Roll'!$Z58=1,'Rent Roll'!E58,"")</f>
        <v/>
      </c>
      <c r="AL324" s="39" t="str">
        <f ca="1">IF('Rent Roll'!$Z58=1,'Rent Roll'!G58,"")</f>
        <v/>
      </c>
      <c r="AM324" s="1547" t="str">
        <f ca="1">IF('Rent Roll'!$Z58=1,'Rent Roll'!K58,"")</f>
        <v/>
      </c>
      <c r="AN324" s="1551" t="str">
        <f ca="1">IF('Rent Roll'!$Z58=1,'Rent Roll'!N58,"")</f>
        <v/>
      </c>
      <c r="AO324" s="223"/>
      <c r="AP324" s="6"/>
      <c r="AQ324" s="32"/>
      <c r="AR324" s="342"/>
      <c r="AS324" s="343"/>
      <c r="AT324" s="342"/>
      <c r="AU324" s="343"/>
      <c r="AV324" s="32"/>
      <c r="AW324" s="32"/>
      <c r="AX324" s="32"/>
    </row>
    <row r="325" spans="1:50" ht="15.95" hidden="1" customHeight="1" x14ac:dyDescent="0.25">
      <c r="A325" s="957">
        <f t="shared" ca="1" si="10"/>
        <v>0</v>
      </c>
      <c r="AI325" s="4"/>
      <c r="AJ325" s="5"/>
      <c r="AK325" s="5" t="str">
        <f ca="1">IF('Rent Roll'!$Z59=1,'Rent Roll'!E59,"")</f>
        <v/>
      </c>
      <c r="AL325" s="39" t="str">
        <f ca="1">IF('Rent Roll'!$Z59=1,'Rent Roll'!G59,"")</f>
        <v/>
      </c>
      <c r="AM325" s="1547" t="str">
        <f ca="1">IF('Rent Roll'!$Z59=1,'Rent Roll'!K59,"")</f>
        <v/>
      </c>
      <c r="AN325" s="1551" t="str">
        <f ca="1">IF('Rent Roll'!$Z59=1,'Rent Roll'!N59,"")</f>
        <v/>
      </c>
      <c r="AO325" s="223"/>
      <c r="AP325" s="6"/>
      <c r="AQ325" s="32"/>
      <c r="AR325" s="342"/>
      <c r="AS325" s="343"/>
      <c r="AT325" s="342"/>
      <c r="AU325" s="343"/>
      <c r="AV325" s="32"/>
      <c r="AW325" s="32"/>
      <c r="AX325" s="32"/>
    </row>
    <row r="326" spans="1:50" ht="15.95" hidden="1" customHeight="1" x14ac:dyDescent="0.25">
      <c r="A326" s="957">
        <f t="shared" ca="1" si="10"/>
        <v>0</v>
      </c>
      <c r="AI326" s="4"/>
      <c r="AJ326" s="5"/>
      <c r="AK326" s="5" t="str">
        <f ca="1">IF('Rent Roll'!$Z60=1,'Rent Roll'!E60,"")</f>
        <v/>
      </c>
      <c r="AL326" s="39" t="str">
        <f ca="1">IF('Rent Roll'!$Z60=1,'Rent Roll'!G60,"")</f>
        <v/>
      </c>
      <c r="AM326" s="1547" t="str">
        <f ca="1">IF('Rent Roll'!$Z60=1,'Rent Roll'!K60,"")</f>
        <v/>
      </c>
      <c r="AN326" s="1551" t="str">
        <f ca="1">IF('Rent Roll'!$Z60=1,'Rent Roll'!N60,"")</f>
        <v/>
      </c>
      <c r="AO326" s="223"/>
      <c r="AP326" s="6"/>
      <c r="AQ326" s="32"/>
      <c r="AR326" s="342"/>
      <c r="AS326" s="343"/>
      <c r="AT326" s="342"/>
      <c r="AU326" s="343"/>
      <c r="AV326" s="32"/>
      <c r="AW326" s="32"/>
      <c r="AX326" s="32"/>
    </row>
    <row r="327" spans="1:50" ht="15.95" hidden="1" customHeight="1" x14ac:dyDescent="0.25">
      <c r="A327" s="957">
        <f t="shared" ca="1" si="10"/>
        <v>0</v>
      </c>
      <c r="AI327" s="4"/>
      <c r="AJ327" s="5"/>
      <c r="AK327" s="5" t="str">
        <f ca="1">IF('Rent Roll'!$Z61=1,'Rent Roll'!E61,"")</f>
        <v/>
      </c>
      <c r="AL327" s="39" t="str">
        <f ca="1">IF('Rent Roll'!$Z61=1,'Rent Roll'!G61,"")</f>
        <v/>
      </c>
      <c r="AM327" s="1547" t="str">
        <f ca="1">IF('Rent Roll'!$Z61=1,'Rent Roll'!K61,"")</f>
        <v/>
      </c>
      <c r="AN327" s="1551" t="str">
        <f ca="1">IF('Rent Roll'!$Z61=1,'Rent Roll'!N61,"")</f>
        <v/>
      </c>
      <c r="AO327" s="223"/>
      <c r="AP327" s="6"/>
      <c r="AQ327" s="32"/>
      <c r="AR327" s="342"/>
      <c r="AS327" s="343"/>
      <c r="AT327" s="342"/>
      <c r="AU327" s="343"/>
      <c r="AV327" s="32"/>
      <c r="AW327" s="32"/>
      <c r="AX327" s="32"/>
    </row>
    <row r="328" spans="1:50" ht="15.95" hidden="1" customHeight="1" x14ac:dyDescent="0.25">
      <c r="A328" s="957">
        <f t="shared" ca="1" si="10"/>
        <v>0</v>
      </c>
      <c r="AI328" s="4"/>
      <c r="AJ328" s="5"/>
      <c r="AK328" s="5" t="str">
        <f ca="1">IF('Rent Roll'!$Z62=1,'Rent Roll'!E62,"")</f>
        <v/>
      </c>
      <c r="AL328" s="39" t="str">
        <f ca="1">IF('Rent Roll'!$Z62=1,'Rent Roll'!G62,"")</f>
        <v/>
      </c>
      <c r="AM328" s="1547" t="str">
        <f ca="1">IF('Rent Roll'!$Z62=1,'Rent Roll'!K62,"")</f>
        <v/>
      </c>
      <c r="AN328" s="1551" t="str">
        <f ca="1">IF('Rent Roll'!$Z62=1,'Rent Roll'!N62,"")</f>
        <v/>
      </c>
      <c r="AO328" s="223"/>
      <c r="AP328" s="6"/>
      <c r="AQ328" s="32"/>
      <c r="AR328" s="342"/>
      <c r="AS328" s="343"/>
      <c r="AT328" s="342"/>
      <c r="AU328" s="343"/>
      <c r="AV328" s="32"/>
      <c r="AW328" s="32"/>
      <c r="AX328" s="32"/>
    </row>
    <row r="329" spans="1:50" ht="15.95" hidden="1" customHeight="1" x14ac:dyDescent="0.25">
      <c r="A329" s="957">
        <f t="shared" ca="1" si="10"/>
        <v>0</v>
      </c>
      <c r="AI329" s="4"/>
      <c r="AJ329" s="5"/>
      <c r="AK329" s="5" t="str">
        <f ca="1">IF('Rent Roll'!$Z63=1,'Rent Roll'!E63,"")</f>
        <v/>
      </c>
      <c r="AL329" s="39" t="str">
        <f ca="1">IF('Rent Roll'!$Z63=1,'Rent Roll'!G63,"")</f>
        <v/>
      </c>
      <c r="AM329" s="1547" t="str">
        <f ca="1">IF('Rent Roll'!$Z63=1,'Rent Roll'!K63,"")</f>
        <v/>
      </c>
      <c r="AN329" s="1551" t="str">
        <f ca="1">IF('Rent Roll'!$Z63=1,'Rent Roll'!N63,"")</f>
        <v/>
      </c>
      <c r="AO329" s="223"/>
      <c r="AP329" s="6"/>
      <c r="AQ329" s="32"/>
      <c r="AR329" s="342"/>
      <c r="AS329" s="343"/>
      <c r="AT329" s="342"/>
      <c r="AU329" s="343"/>
      <c r="AV329" s="32"/>
      <c r="AW329" s="32"/>
      <c r="AX329" s="32"/>
    </row>
    <row r="330" spans="1:50" ht="15.95" hidden="1" customHeight="1" x14ac:dyDescent="0.25">
      <c r="A330" s="957">
        <f t="shared" ca="1" si="10"/>
        <v>0</v>
      </c>
      <c r="AI330" s="4"/>
      <c r="AJ330" s="5"/>
      <c r="AK330" s="5" t="str">
        <f ca="1">IF('Rent Roll'!$Z64=1,'Rent Roll'!E64,"")</f>
        <v/>
      </c>
      <c r="AL330" s="39" t="str">
        <f ca="1">IF('Rent Roll'!$Z64=1,'Rent Roll'!G64,"")</f>
        <v/>
      </c>
      <c r="AM330" s="1547" t="str">
        <f ca="1">IF('Rent Roll'!$Z64=1,'Rent Roll'!K64,"")</f>
        <v/>
      </c>
      <c r="AN330" s="1551" t="str">
        <f ca="1">IF('Rent Roll'!$Z64=1,'Rent Roll'!N64,"")</f>
        <v/>
      </c>
      <c r="AO330" s="223"/>
      <c r="AP330" s="6"/>
      <c r="AQ330" s="32"/>
      <c r="AR330" s="342"/>
      <c r="AS330" s="343"/>
      <c r="AT330" s="342"/>
      <c r="AU330" s="343"/>
      <c r="AV330" s="32"/>
      <c r="AW330" s="32"/>
      <c r="AX330" s="32"/>
    </row>
    <row r="331" spans="1:50" ht="15.95" hidden="1" customHeight="1" x14ac:dyDescent="0.25">
      <c r="A331" s="957">
        <f t="shared" ca="1" si="10"/>
        <v>0</v>
      </c>
      <c r="AI331" s="4"/>
      <c r="AJ331" s="5"/>
      <c r="AK331" s="5" t="str">
        <f ca="1">IF('Rent Roll'!$Z65=1,'Rent Roll'!E65,"")</f>
        <v/>
      </c>
      <c r="AL331" s="39" t="str">
        <f ca="1">IF('Rent Roll'!$Z65=1,'Rent Roll'!G65,"")</f>
        <v/>
      </c>
      <c r="AM331" s="1547" t="str">
        <f ca="1">IF('Rent Roll'!$Z65=1,'Rent Roll'!K65,"")</f>
        <v/>
      </c>
      <c r="AN331" s="1551" t="str">
        <f ca="1">IF('Rent Roll'!$Z65=1,'Rent Roll'!N65,"")</f>
        <v/>
      </c>
      <c r="AO331" s="223"/>
      <c r="AP331" s="6"/>
      <c r="AQ331" s="32"/>
      <c r="AR331" s="342"/>
      <c r="AS331" s="343"/>
      <c r="AT331" s="342"/>
      <c r="AU331" s="343"/>
      <c r="AV331" s="32"/>
      <c r="AW331" s="32"/>
      <c r="AX331" s="32"/>
    </row>
    <row r="332" spans="1:50" ht="15.95" hidden="1" customHeight="1" x14ac:dyDescent="0.25">
      <c r="A332" s="957">
        <f t="shared" ca="1" si="10"/>
        <v>0</v>
      </c>
      <c r="AI332" s="4"/>
      <c r="AJ332" s="5"/>
      <c r="AK332" s="5" t="str">
        <f ca="1">IF('Rent Roll'!$Z66=1,'Rent Roll'!E66,"")</f>
        <v/>
      </c>
      <c r="AL332" s="39" t="str">
        <f ca="1">IF('Rent Roll'!$Z66=1,'Rent Roll'!G66,"")</f>
        <v/>
      </c>
      <c r="AM332" s="1547" t="str">
        <f ca="1">IF('Rent Roll'!$Z66=1,'Rent Roll'!K66,"")</f>
        <v/>
      </c>
      <c r="AN332" s="1551" t="str">
        <f ca="1">IF('Rent Roll'!$Z66=1,'Rent Roll'!N66,"")</f>
        <v/>
      </c>
      <c r="AO332" s="223"/>
      <c r="AP332" s="6"/>
      <c r="AQ332" s="32"/>
      <c r="AR332" s="342"/>
      <c r="AS332" s="343"/>
      <c r="AT332" s="342"/>
      <c r="AU332" s="343"/>
      <c r="AV332" s="32"/>
      <c r="AW332" s="32"/>
      <c r="AX332" s="32"/>
    </row>
    <row r="333" spans="1:50" ht="15.95" hidden="1" customHeight="1" x14ac:dyDescent="0.25">
      <c r="A333" s="957">
        <f t="shared" ca="1" si="10"/>
        <v>0</v>
      </c>
      <c r="AI333" s="4"/>
      <c r="AJ333" s="5"/>
      <c r="AK333" s="5" t="str">
        <f ca="1">IF('Rent Roll'!$Z67=1,'Rent Roll'!E67,"")</f>
        <v/>
      </c>
      <c r="AL333" s="39" t="str">
        <f ca="1">IF('Rent Roll'!$Z67=1,'Rent Roll'!G67,"")</f>
        <v/>
      </c>
      <c r="AM333" s="1547" t="str">
        <f ca="1">IF('Rent Roll'!$Z67=1,'Rent Roll'!K67,"")</f>
        <v/>
      </c>
      <c r="AN333" s="1551" t="str">
        <f ca="1">IF('Rent Roll'!$Z67=1,'Rent Roll'!N67,"")</f>
        <v/>
      </c>
      <c r="AO333" s="223"/>
      <c r="AP333" s="6"/>
      <c r="AQ333" s="32"/>
      <c r="AR333" s="342"/>
      <c r="AS333" s="343"/>
      <c r="AT333" s="342"/>
      <c r="AU333" s="343"/>
      <c r="AV333" s="32"/>
      <c r="AW333" s="32"/>
      <c r="AX333" s="32"/>
    </row>
    <row r="334" spans="1:50" ht="15.95" hidden="1" customHeight="1" x14ac:dyDescent="0.25">
      <c r="A334" s="957">
        <f t="shared" ca="1" si="10"/>
        <v>0</v>
      </c>
      <c r="AI334" s="4"/>
      <c r="AJ334" s="5"/>
      <c r="AK334" s="5" t="str">
        <f ca="1">IF('Rent Roll'!$Z68=1,'Rent Roll'!E68,"")</f>
        <v/>
      </c>
      <c r="AL334" s="39" t="str">
        <f ca="1">IF('Rent Roll'!$Z68=1,'Rent Roll'!G68,"")</f>
        <v/>
      </c>
      <c r="AM334" s="1547" t="str">
        <f ca="1">IF('Rent Roll'!$Z68=1,'Rent Roll'!K68,"")</f>
        <v/>
      </c>
      <c r="AN334" s="1551" t="str">
        <f ca="1">IF('Rent Roll'!$Z68=1,'Rent Roll'!N68,"")</f>
        <v/>
      </c>
      <c r="AO334" s="223"/>
      <c r="AP334" s="6"/>
      <c r="AQ334" s="32"/>
      <c r="AR334" s="342"/>
      <c r="AS334" s="343"/>
      <c r="AT334" s="342"/>
      <c r="AU334" s="343"/>
      <c r="AV334" s="32"/>
      <c r="AW334" s="32"/>
      <c r="AX334" s="32"/>
    </row>
    <row r="335" spans="1:50" ht="15.95" hidden="1" customHeight="1" x14ac:dyDescent="0.25">
      <c r="A335" s="957">
        <f t="shared" ca="1" si="10"/>
        <v>0</v>
      </c>
      <c r="AI335" s="4"/>
      <c r="AJ335" s="5"/>
      <c r="AK335" s="5" t="str">
        <f ca="1">IF('Rent Roll'!$Z69=1,'Rent Roll'!E69,"")</f>
        <v/>
      </c>
      <c r="AL335" s="39" t="str">
        <f ca="1">IF('Rent Roll'!$Z69=1,'Rent Roll'!G69,"")</f>
        <v/>
      </c>
      <c r="AM335" s="1547" t="str">
        <f ca="1">IF('Rent Roll'!$Z69=1,'Rent Roll'!K69,"")</f>
        <v/>
      </c>
      <c r="AN335" s="1551" t="str">
        <f ca="1">IF('Rent Roll'!$Z69=1,'Rent Roll'!N69,"")</f>
        <v/>
      </c>
      <c r="AO335" s="223"/>
      <c r="AP335" s="6"/>
      <c r="AQ335" s="32"/>
      <c r="AR335" s="342"/>
      <c r="AS335" s="343"/>
      <c r="AT335" s="342"/>
      <c r="AU335" s="343"/>
      <c r="AV335" s="32"/>
      <c r="AW335" s="32"/>
      <c r="AX335" s="32"/>
    </row>
    <row r="336" spans="1:50" ht="15.95" hidden="1" customHeight="1" x14ac:dyDescent="0.25">
      <c r="A336" s="957">
        <f t="shared" ca="1" si="10"/>
        <v>0</v>
      </c>
      <c r="AI336" s="4"/>
      <c r="AJ336" s="5"/>
      <c r="AK336" s="5" t="str">
        <f ca="1">IF('Rent Roll'!$Z70=1,'Rent Roll'!E70,"")</f>
        <v/>
      </c>
      <c r="AL336" s="39" t="str">
        <f ca="1">IF('Rent Roll'!$Z70=1,'Rent Roll'!G70,"")</f>
        <v/>
      </c>
      <c r="AM336" s="1547" t="str">
        <f ca="1">IF('Rent Roll'!$Z70=1,'Rent Roll'!K70,"")</f>
        <v/>
      </c>
      <c r="AN336" s="1551" t="str">
        <f ca="1">IF('Rent Roll'!$Z70=1,'Rent Roll'!N70,"")</f>
        <v/>
      </c>
      <c r="AO336" s="223"/>
      <c r="AP336" s="6"/>
      <c r="AQ336" s="32"/>
      <c r="AR336" s="342"/>
      <c r="AS336" s="343"/>
      <c r="AT336" s="342"/>
      <c r="AU336" s="343"/>
      <c r="AV336" s="32"/>
      <c r="AW336" s="32"/>
      <c r="AX336" s="32"/>
    </row>
    <row r="337" spans="1:50" ht="15.95" hidden="1" customHeight="1" x14ac:dyDescent="0.25">
      <c r="A337" s="957">
        <f t="shared" ref="A337:A368" ca="1" si="11">IF(AK337="",0,1)</f>
        <v>0</v>
      </c>
      <c r="AI337" s="4"/>
      <c r="AJ337" s="5"/>
      <c r="AK337" s="5" t="str">
        <f ca="1">IF('Rent Roll'!$Z71=1,'Rent Roll'!E71,"")</f>
        <v/>
      </c>
      <c r="AL337" s="39" t="str">
        <f ca="1">IF('Rent Roll'!$Z71=1,'Rent Roll'!G71,"")</f>
        <v/>
      </c>
      <c r="AM337" s="1547" t="str">
        <f ca="1">IF('Rent Roll'!$Z71=1,'Rent Roll'!K71,"")</f>
        <v/>
      </c>
      <c r="AN337" s="1551" t="str">
        <f ca="1">IF('Rent Roll'!$Z71=1,'Rent Roll'!N71,"")</f>
        <v/>
      </c>
      <c r="AO337" s="223"/>
      <c r="AP337" s="6"/>
      <c r="AQ337" s="32"/>
      <c r="AR337" s="342"/>
      <c r="AS337" s="343"/>
      <c r="AT337" s="342"/>
      <c r="AU337" s="343"/>
      <c r="AV337" s="32"/>
      <c r="AW337" s="32"/>
      <c r="AX337" s="32"/>
    </row>
    <row r="338" spans="1:50" ht="15.95" hidden="1" customHeight="1" x14ac:dyDescent="0.25">
      <c r="A338" s="957">
        <f t="shared" ca="1" si="11"/>
        <v>0</v>
      </c>
      <c r="AI338" s="4"/>
      <c r="AJ338" s="5"/>
      <c r="AK338" s="5" t="str">
        <f ca="1">IF('Rent Roll'!$Z72=1,'Rent Roll'!E72,"")</f>
        <v/>
      </c>
      <c r="AL338" s="39" t="str">
        <f ca="1">IF('Rent Roll'!$Z72=1,'Rent Roll'!G72,"")</f>
        <v/>
      </c>
      <c r="AM338" s="1547" t="str">
        <f ca="1">IF('Rent Roll'!$Z72=1,'Rent Roll'!K72,"")</f>
        <v/>
      </c>
      <c r="AN338" s="1551" t="str">
        <f ca="1">IF('Rent Roll'!$Z72=1,'Rent Roll'!N72,"")</f>
        <v/>
      </c>
      <c r="AO338" s="223"/>
      <c r="AP338" s="6"/>
      <c r="AQ338" s="32"/>
      <c r="AR338" s="342"/>
      <c r="AS338" s="343"/>
      <c r="AT338" s="342"/>
      <c r="AU338" s="343"/>
      <c r="AV338" s="32"/>
      <c r="AW338" s="32"/>
      <c r="AX338" s="32"/>
    </row>
    <row r="339" spans="1:50" ht="15.95" hidden="1" customHeight="1" x14ac:dyDescent="0.25">
      <c r="A339" s="957">
        <f t="shared" ca="1" si="11"/>
        <v>0</v>
      </c>
      <c r="AI339" s="4"/>
      <c r="AJ339" s="5"/>
      <c r="AK339" s="5" t="str">
        <f ca="1">IF('Rent Roll'!$Z73=1,'Rent Roll'!E73,"")</f>
        <v/>
      </c>
      <c r="AL339" s="39" t="str">
        <f ca="1">IF('Rent Roll'!$Z73=1,'Rent Roll'!G73,"")</f>
        <v/>
      </c>
      <c r="AM339" s="1547" t="str">
        <f ca="1">IF('Rent Roll'!$Z73=1,'Rent Roll'!K73,"")</f>
        <v/>
      </c>
      <c r="AN339" s="1551" t="str">
        <f ca="1">IF('Rent Roll'!$Z73=1,'Rent Roll'!N73,"")</f>
        <v/>
      </c>
      <c r="AO339" s="223"/>
      <c r="AP339" s="6"/>
      <c r="AQ339" s="32"/>
      <c r="AR339" s="342"/>
      <c r="AS339" s="343"/>
      <c r="AT339" s="342"/>
      <c r="AU339" s="343"/>
      <c r="AV339" s="32"/>
      <c r="AW339" s="32"/>
      <c r="AX339" s="32"/>
    </row>
    <row r="340" spans="1:50" ht="15.95" hidden="1" customHeight="1" x14ac:dyDescent="0.25">
      <c r="A340" s="957">
        <f t="shared" ca="1" si="11"/>
        <v>0</v>
      </c>
      <c r="AI340" s="4"/>
      <c r="AJ340" s="5"/>
      <c r="AK340" s="5" t="str">
        <f ca="1">IF('Rent Roll'!$Z74=1,'Rent Roll'!E74,"")</f>
        <v/>
      </c>
      <c r="AL340" s="39" t="str">
        <f ca="1">IF('Rent Roll'!$Z74=1,'Rent Roll'!G74,"")</f>
        <v/>
      </c>
      <c r="AM340" s="1547" t="str">
        <f ca="1">IF('Rent Roll'!$Z74=1,'Rent Roll'!K74,"")</f>
        <v/>
      </c>
      <c r="AN340" s="1551" t="str">
        <f ca="1">IF('Rent Roll'!$Z74=1,'Rent Roll'!N74,"")</f>
        <v/>
      </c>
      <c r="AO340" s="223"/>
      <c r="AP340" s="6"/>
      <c r="AQ340" s="32"/>
      <c r="AR340" s="342"/>
      <c r="AS340" s="343"/>
      <c r="AT340" s="342"/>
      <c r="AU340" s="343"/>
      <c r="AV340" s="32"/>
      <c r="AW340" s="32"/>
      <c r="AX340" s="32"/>
    </row>
    <row r="341" spans="1:50" ht="15.95" hidden="1" customHeight="1" x14ac:dyDescent="0.25">
      <c r="A341" s="957">
        <f t="shared" ca="1" si="11"/>
        <v>0</v>
      </c>
      <c r="AI341" s="4"/>
      <c r="AJ341" s="5"/>
      <c r="AK341" s="5" t="str">
        <f ca="1">IF('Rent Roll'!$Z75=1,'Rent Roll'!E75,"")</f>
        <v/>
      </c>
      <c r="AL341" s="39" t="str">
        <f ca="1">IF('Rent Roll'!$Z75=1,'Rent Roll'!G75,"")</f>
        <v/>
      </c>
      <c r="AM341" s="1547" t="str">
        <f ca="1">IF('Rent Roll'!$Z75=1,'Rent Roll'!K75,"")</f>
        <v/>
      </c>
      <c r="AN341" s="1551" t="str">
        <f ca="1">IF('Rent Roll'!$Z75=1,'Rent Roll'!N75,"")</f>
        <v/>
      </c>
      <c r="AO341" s="223"/>
      <c r="AP341" s="6"/>
      <c r="AQ341" s="32"/>
      <c r="AR341" s="342"/>
      <c r="AS341" s="343"/>
      <c r="AT341" s="342"/>
      <c r="AU341" s="343"/>
      <c r="AV341" s="32"/>
      <c r="AW341" s="32"/>
      <c r="AX341" s="32"/>
    </row>
    <row r="342" spans="1:50" ht="15.95" hidden="1" customHeight="1" x14ac:dyDescent="0.25">
      <c r="A342" s="957">
        <f t="shared" ca="1" si="11"/>
        <v>0</v>
      </c>
      <c r="AI342" s="4"/>
      <c r="AJ342" s="5"/>
      <c r="AK342" s="5" t="str">
        <f ca="1">IF('Rent Roll'!$Z76=1,'Rent Roll'!E76,"")</f>
        <v/>
      </c>
      <c r="AL342" s="39" t="str">
        <f ca="1">IF('Rent Roll'!$Z76=1,'Rent Roll'!G76,"")</f>
        <v/>
      </c>
      <c r="AM342" s="1547" t="str">
        <f ca="1">IF('Rent Roll'!$Z76=1,'Rent Roll'!K76,"")</f>
        <v/>
      </c>
      <c r="AN342" s="1551" t="str">
        <f ca="1">IF('Rent Roll'!$Z76=1,'Rent Roll'!N76,"")</f>
        <v/>
      </c>
      <c r="AO342" s="223"/>
      <c r="AP342" s="6"/>
      <c r="AQ342" s="32"/>
      <c r="AR342" s="342"/>
      <c r="AS342" s="343"/>
      <c r="AT342" s="342"/>
      <c r="AU342" s="343"/>
      <c r="AV342" s="32"/>
      <c r="AW342" s="32"/>
      <c r="AX342" s="32"/>
    </row>
    <row r="343" spans="1:50" ht="15.95" hidden="1" customHeight="1" x14ac:dyDescent="0.25">
      <c r="A343" s="957">
        <f t="shared" ca="1" si="11"/>
        <v>0</v>
      </c>
      <c r="AI343" s="4"/>
      <c r="AJ343" s="5"/>
      <c r="AK343" s="5" t="str">
        <f ca="1">IF('Rent Roll'!$Z77=1,'Rent Roll'!E77,"")</f>
        <v/>
      </c>
      <c r="AL343" s="39" t="str">
        <f ca="1">IF('Rent Roll'!$Z77=1,'Rent Roll'!G77,"")</f>
        <v/>
      </c>
      <c r="AM343" s="1547" t="str">
        <f ca="1">IF('Rent Roll'!$Z77=1,'Rent Roll'!K77,"")</f>
        <v/>
      </c>
      <c r="AN343" s="1551" t="str">
        <f ca="1">IF('Rent Roll'!$Z77=1,'Rent Roll'!N77,"")</f>
        <v/>
      </c>
      <c r="AO343" s="223"/>
      <c r="AP343" s="6"/>
      <c r="AQ343" s="32"/>
      <c r="AR343" s="342"/>
      <c r="AS343" s="343"/>
      <c r="AT343" s="342"/>
      <c r="AU343" s="343"/>
      <c r="AV343" s="32"/>
      <c r="AW343" s="32"/>
      <c r="AX343" s="32"/>
    </row>
    <row r="344" spans="1:50" ht="15.95" hidden="1" customHeight="1" x14ac:dyDescent="0.25">
      <c r="A344" s="957">
        <f t="shared" ca="1" si="11"/>
        <v>0</v>
      </c>
      <c r="AI344" s="4"/>
      <c r="AJ344" s="5"/>
      <c r="AK344" s="5" t="str">
        <f ca="1">IF('Rent Roll'!$Z78=1,'Rent Roll'!E78,"")</f>
        <v/>
      </c>
      <c r="AL344" s="39" t="str">
        <f ca="1">IF('Rent Roll'!$Z78=1,'Rent Roll'!G78,"")</f>
        <v/>
      </c>
      <c r="AM344" s="1547" t="str">
        <f ca="1">IF('Rent Roll'!$Z78=1,'Rent Roll'!K78,"")</f>
        <v/>
      </c>
      <c r="AN344" s="1551" t="str">
        <f ca="1">IF('Rent Roll'!$Z78=1,'Rent Roll'!N78,"")</f>
        <v/>
      </c>
      <c r="AO344" s="223"/>
      <c r="AP344" s="6"/>
      <c r="AQ344" s="32"/>
      <c r="AR344" s="342"/>
      <c r="AS344" s="343"/>
      <c r="AT344" s="342"/>
      <c r="AU344" s="343"/>
      <c r="AV344" s="32"/>
      <c r="AW344" s="32"/>
      <c r="AX344" s="32"/>
    </row>
    <row r="345" spans="1:50" ht="15.95" hidden="1" customHeight="1" x14ac:dyDescent="0.25">
      <c r="A345" s="957">
        <f t="shared" ca="1" si="11"/>
        <v>0</v>
      </c>
      <c r="AI345" s="4"/>
      <c r="AJ345" s="5"/>
      <c r="AK345" s="5" t="str">
        <f ca="1">IF('Rent Roll'!$Z79=1,'Rent Roll'!E79,"")</f>
        <v/>
      </c>
      <c r="AL345" s="39" t="str">
        <f ca="1">IF('Rent Roll'!$Z79=1,'Rent Roll'!G79,"")</f>
        <v/>
      </c>
      <c r="AM345" s="1547" t="str">
        <f ca="1">IF('Rent Roll'!$Z79=1,'Rent Roll'!K79,"")</f>
        <v/>
      </c>
      <c r="AN345" s="1551" t="str">
        <f ca="1">IF('Rent Roll'!$Z79=1,'Rent Roll'!N79,"")</f>
        <v/>
      </c>
      <c r="AO345" s="223"/>
      <c r="AP345" s="6"/>
      <c r="AQ345" s="32"/>
      <c r="AR345" s="342"/>
      <c r="AS345" s="343"/>
      <c r="AT345" s="342"/>
      <c r="AU345" s="343"/>
      <c r="AV345" s="32"/>
      <c r="AW345" s="32"/>
      <c r="AX345" s="32"/>
    </row>
    <row r="346" spans="1:50" ht="15.95" hidden="1" customHeight="1" x14ac:dyDescent="0.25">
      <c r="A346" s="957">
        <f t="shared" ca="1" si="11"/>
        <v>0</v>
      </c>
      <c r="AI346" s="4"/>
      <c r="AJ346" s="5"/>
      <c r="AK346" s="5" t="str">
        <f ca="1">IF('Rent Roll'!$Z80=1,'Rent Roll'!E80,"")</f>
        <v/>
      </c>
      <c r="AL346" s="39" t="str">
        <f ca="1">IF('Rent Roll'!$Z80=1,'Rent Roll'!G80,"")</f>
        <v/>
      </c>
      <c r="AM346" s="1547" t="str">
        <f ca="1">IF('Rent Roll'!$Z80=1,'Rent Roll'!K80,"")</f>
        <v/>
      </c>
      <c r="AN346" s="1551" t="str">
        <f ca="1">IF('Rent Roll'!$Z80=1,'Rent Roll'!N80,"")</f>
        <v/>
      </c>
      <c r="AO346" s="223"/>
      <c r="AP346" s="6"/>
      <c r="AQ346" s="32"/>
      <c r="AR346" s="342"/>
      <c r="AS346" s="343"/>
      <c r="AT346" s="342"/>
      <c r="AU346" s="343"/>
      <c r="AV346" s="32"/>
      <c r="AW346" s="32"/>
      <c r="AX346" s="32"/>
    </row>
    <row r="347" spans="1:50" ht="15.95" hidden="1" customHeight="1" x14ac:dyDescent="0.25">
      <c r="A347" s="957">
        <f t="shared" ca="1" si="11"/>
        <v>0</v>
      </c>
      <c r="AI347" s="4"/>
      <c r="AJ347" s="5"/>
      <c r="AK347" s="5" t="str">
        <f ca="1">IF('Rent Roll'!$Z81=1,'Rent Roll'!E81,"")</f>
        <v/>
      </c>
      <c r="AL347" s="39" t="str">
        <f ca="1">IF('Rent Roll'!$Z81=1,'Rent Roll'!G81,"")</f>
        <v/>
      </c>
      <c r="AM347" s="1547" t="str">
        <f ca="1">IF('Rent Roll'!$Z81=1,'Rent Roll'!K81,"")</f>
        <v/>
      </c>
      <c r="AN347" s="1551" t="str">
        <f ca="1">IF('Rent Roll'!$Z81=1,'Rent Roll'!N81,"")</f>
        <v/>
      </c>
      <c r="AO347" s="223"/>
      <c r="AP347" s="6"/>
      <c r="AQ347" s="32"/>
      <c r="AR347" s="342"/>
      <c r="AS347" s="343"/>
      <c r="AT347" s="342"/>
      <c r="AU347" s="343"/>
      <c r="AV347" s="32"/>
      <c r="AW347" s="32"/>
      <c r="AX347" s="32"/>
    </row>
    <row r="348" spans="1:50" ht="15.95" hidden="1" customHeight="1" x14ac:dyDescent="0.25">
      <c r="A348" s="957">
        <f t="shared" ca="1" si="11"/>
        <v>0</v>
      </c>
      <c r="AI348" s="4"/>
      <c r="AJ348" s="5"/>
      <c r="AK348" s="5" t="str">
        <f ca="1">IF('Rent Roll'!$Z82=1,'Rent Roll'!E82,"")</f>
        <v/>
      </c>
      <c r="AL348" s="39" t="str">
        <f ca="1">IF('Rent Roll'!$Z82=1,'Rent Roll'!G82,"")</f>
        <v/>
      </c>
      <c r="AM348" s="1547" t="str">
        <f ca="1">IF('Rent Roll'!$Z82=1,'Rent Roll'!K82,"")</f>
        <v/>
      </c>
      <c r="AN348" s="1551" t="str">
        <f ca="1">IF('Rent Roll'!$Z82=1,'Rent Roll'!N82,"")</f>
        <v/>
      </c>
      <c r="AO348" s="223"/>
      <c r="AP348" s="6"/>
      <c r="AQ348" s="32"/>
      <c r="AR348" s="342"/>
      <c r="AS348" s="343"/>
      <c r="AT348" s="342"/>
      <c r="AU348" s="343"/>
      <c r="AV348" s="32"/>
      <c r="AW348" s="32"/>
      <c r="AX348" s="32"/>
    </row>
    <row r="349" spans="1:50" ht="15.95" hidden="1" customHeight="1" x14ac:dyDescent="0.25">
      <c r="A349" s="957">
        <f t="shared" ca="1" si="11"/>
        <v>0</v>
      </c>
      <c r="AI349" s="4"/>
      <c r="AJ349" s="5"/>
      <c r="AK349" s="5" t="str">
        <f ca="1">IF('Rent Roll'!$Z83=1,'Rent Roll'!E83,"")</f>
        <v/>
      </c>
      <c r="AL349" s="39" t="str">
        <f ca="1">IF('Rent Roll'!$Z83=1,'Rent Roll'!G83,"")</f>
        <v/>
      </c>
      <c r="AM349" s="1547" t="str">
        <f ca="1">IF('Rent Roll'!$Z83=1,'Rent Roll'!K83,"")</f>
        <v/>
      </c>
      <c r="AN349" s="1551" t="str">
        <f ca="1">IF('Rent Roll'!$Z83=1,'Rent Roll'!N83,"")</f>
        <v/>
      </c>
      <c r="AO349" s="223"/>
      <c r="AP349" s="6"/>
      <c r="AQ349" s="32"/>
      <c r="AR349" s="342"/>
      <c r="AS349" s="343"/>
      <c r="AT349" s="342"/>
      <c r="AU349" s="343"/>
      <c r="AV349" s="32"/>
      <c r="AW349" s="32"/>
      <c r="AX349" s="32"/>
    </row>
    <row r="350" spans="1:50" ht="15.95" hidden="1" customHeight="1" x14ac:dyDescent="0.25">
      <c r="A350" s="957">
        <f t="shared" ca="1" si="11"/>
        <v>0</v>
      </c>
      <c r="AI350" s="4"/>
      <c r="AJ350" s="5"/>
      <c r="AK350" s="5" t="str">
        <f ca="1">IF('Rent Roll'!$Z84=1,'Rent Roll'!E84,"")</f>
        <v/>
      </c>
      <c r="AL350" s="39" t="str">
        <f ca="1">IF('Rent Roll'!$Z84=1,'Rent Roll'!G84,"")</f>
        <v/>
      </c>
      <c r="AM350" s="1547" t="str">
        <f ca="1">IF('Rent Roll'!$Z84=1,'Rent Roll'!K84,"")</f>
        <v/>
      </c>
      <c r="AN350" s="1551" t="str">
        <f ca="1">IF('Rent Roll'!$Z84=1,'Rent Roll'!N84,"")</f>
        <v/>
      </c>
      <c r="AO350" s="223"/>
      <c r="AP350" s="6"/>
      <c r="AQ350" s="32"/>
      <c r="AR350" s="342"/>
      <c r="AS350" s="343"/>
      <c r="AT350" s="342"/>
      <c r="AU350" s="343"/>
      <c r="AV350" s="32"/>
      <c r="AW350" s="32"/>
      <c r="AX350" s="32"/>
    </row>
    <row r="351" spans="1:50" ht="15.95" hidden="1" customHeight="1" x14ac:dyDescent="0.25">
      <c r="A351" s="957">
        <f t="shared" ca="1" si="11"/>
        <v>0</v>
      </c>
      <c r="AI351" s="4"/>
      <c r="AJ351" s="5"/>
      <c r="AK351" s="5" t="str">
        <f ca="1">IF('Rent Roll'!$Z85=1,'Rent Roll'!E85,"")</f>
        <v/>
      </c>
      <c r="AL351" s="39" t="str">
        <f ca="1">IF('Rent Roll'!$Z85=1,'Rent Roll'!G85,"")</f>
        <v/>
      </c>
      <c r="AM351" s="1547" t="str">
        <f ca="1">IF('Rent Roll'!$Z85=1,'Rent Roll'!K85,"")</f>
        <v/>
      </c>
      <c r="AN351" s="1551" t="str">
        <f ca="1">IF('Rent Roll'!$Z85=1,'Rent Roll'!N85,"")</f>
        <v/>
      </c>
      <c r="AO351" s="223"/>
      <c r="AP351" s="6"/>
      <c r="AQ351" s="32"/>
      <c r="AR351" s="342"/>
      <c r="AS351" s="343"/>
      <c r="AT351" s="342"/>
      <c r="AU351" s="343"/>
      <c r="AV351" s="32"/>
      <c r="AW351" s="32"/>
      <c r="AX351" s="32"/>
    </row>
    <row r="352" spans="1:50" ht="15.95" hidden="1" customHeight="1" x14ac:dyDescent="0.25">
      <c r="A352" s="957">
        <f t="shared" ca="1" si="11"/>
        <v>0</v>
      </c>
      <c r="AI352" s="4"/>
      <c r="AJ352" s="5"/>
      <c r="AK352" s="5" t="str">
        <f ca="1">IF('Rent Roll'!$Z86=1,'Rent Roll'!E86,"")</f>
        <v/>
      </c>
      <c r="AL352" s="39" t="str">
        <f ca="1">IF('Rent Roll'!$Z86=1,'Rent Roll'!G86,"")</f>
        <v/>
      </c>
      <c r="AM352" s="1547" t="str">
        <f ca="1">IF('Rent Roll'!$Z86=1,'Rent Roll'!K86,"")</f>
        <v/>
      </c>
      <c r="AN352" s="1551" t="str">
        <f ca="1">IF('Rent Roll'!$Z86=1,'Rent Roll'!N86,"")</f>
        <v/>
      </c>
      <c r="AO352" s="223"/>
      <c r="AP352" s="6"/>
      <c r="AQ352" s="32"/>
      <c r="AR352" s="342"/>
      <c r="AS352" s="343"/>
      <c r="AT352" s="342"/>
      <c r="AU352" s="343"/>
      <c r="AV352" s="32"/>
      <c r="AW352" s="32"/>
      <c r="AX352" s="32"/>
    </row>
    <row r="353" spans="1:50" ht="15.95" hidden="1" customHeight="1" x14ac:dyDescent="0.25">
      <c r="A353" s="957">
        <f t="shared" ca="1" si="11"/>
        <v>0</v>
      </c>
      <c r="AI353" s="4"/>
      <c r="AJ353" s="5"/>
      <c r="AK353" s="5" t="str">
        <f ca="1">IF('Rent Roll'!$Z87=1,'Rent Roll'!E87,"")</f>
        <v/>
      </c>
      <c r="AL353" s="39" t="str">
        <f ca="1">IF('Rent Roll'!$Z87=1,'Rent Roll'!G87,"")</f>
        <v/>
      </c>
      <c r="AM353" s="1547" t="str">
        <f ca="1">IF('Rent Roll'!$Z87=1,'Rent Roll'!K87,"")</f>
        <v/>
      </c>
      <c r="AN353" s="1551" t="str">
        <f ca="1">IF('Rent Roll'!$Z87=1,'Rent Roll'!N87,"")</f>
        <v/>
      </c>
      <c r="AO353" s="223"/>
      <c r="AP353" s="6"/>
      <c r="AQ353" s="32"/>
      <c r="AR353" s="342"/>
      <c r="AS353" s="343"/>
      <c r="AT353" s="342"/>
      <c r="AU353" s="343"/>
      <c r="AV353" s="32"/>
      <c r="AW353" s="32"/>
      <c r="AX353" s="32"/>
    </row>
    <row r="354" spans="1:50" ht="15.95" hidden="1" customHeight="1" x14ac:dyDescent="0.25">
      <c r="A354" s="957">
        <f t="shared" ca="1" si="11"/>
        <v>0</v>
      </c>
      <c r="AI354" s="4"/>
      <c r="AJ354" s="5"/>
      <c r="AK354" s="5" t="str">
        <f ca="1">IF('Rent Roll'!$Z88=1,'Rent Roll'!E88,"")</f>
        <v/>
      </c>
      <c r="AL354" s="39" t="str">
        <f ca="1">IF('Rent Roll'!$Z88=1,'Rent Roll'!G88,"")</f>
        <v/>
      </c>
      <c r="AM354" s="1547" t="str">
        <f ca="1">IF('Rent Roll'!$Z88=1,'Rent Roll'!K88,"")</f>
        <v/>
      </c>
      <c r="AN354" s="1551" t="str">
        <f ca="1">IF('Rent Roll'!$Z88=1,'Rent Roll'!N88,"")</f>
        <v/>
      </c>
      <c r="AO354" s="223"/>
      <c r="AP354" s="6"/>
      <c r="AQ354" s="32"/>
      <c r="AR354" s="342"/>
      <c r="AS354" s="343"/>
      <c r="AT354" s="342"/>
      <c r="AU354" s="343"/>
      <c r="AV354" s="32"/>
      <c r="AW354" s="32"/>
      <c r="AX354" s="32"/>
    </row>
    <row r="355" spans="1:50" ht="15.95" hidden="1" customHeight="1" x14ac:dyDescent="0.25">
      <c r="A355" s="957">
        <f t="shared" ca="1" si="11"/>
        <v>0</v>
      </c>
      <c r="AI355" s="4"/>
      <c r="AJ355" s="5"/>
      <c r="AK355" s="5" t="str">
        <f ca="1">IF('Rent Roll'!$Z89=1,'Rent Roll'!E89,"")</f>
        <v/>
      </c>
      <c r="AL355" s="39" t="str">
        <f ca="1">IF('Rent Roll'!$Z89=1,'Rent Roll'!G89,"")</f>
        <v/>
      </c>
      <c r="AM355" s="1547" t="str">
        <f ca="1">IF('Rent Roll'!$Z89=1,'Rent Roll'!K89,"")</f>
        <v/>
      </c>
      <c r="AN355" s="1551" t="str">
        <f ca="1">IF('Rent Roll'!$Z89=1,'Rent Roll'!N89,"")</f>
        <v/>
      </c>
      <c r="AO355" s="223"/>
      <c r="AP355" s="6"/>
      <c r="AQ355" s="32"/>
      <c r="AR355" s="342"/>
      <c r="AS355" s="343"/>
      <c r="AT355" s="342"/>
      <c r="AU355" s="343"/>
      <c r="AV355" s="32"/>
      <c r="AW355" s="32"/>
      <c r="AX355" s="32"/>
    </row>
    <row r="356" spans="1:50" ht="15.95" hidden="1" customHeight="1" x14ac:dyDescent="0.25">
      <c r="A356" s="957">
        <f t="shared" ca="1" si="11"/>
        <v>0</v>
      </c>
      <c r="AI356" s="4"/>
      <c r="AJ356" s="5"/>
      <c r="AK356" s="5" t="str">
        <f ca="1">IF('Rent Roll'!$Z90=1,'Rent Roll'!E90,"")</f>
        <v/>
      </c>
      <c r="AL356" s="39" t="str">
        <f ca="1">IF('Rent Roll'!$Z90=1,'Rent Roll'!G90,"")</f>
        <v/>
      </c>
      <c r="AM356" s="1547" t="str">
        <f ca="1">IF('Rent Roll'!$Z90=1,'Rent Roll'!K90,"")</f>
        <v/>
      </c>
      <c r="AN356" s="1551" t="str">
        <f ca="1">IF('Rent Roll'!$Z90=1,'Rent Roll'!N90,"")</f>
        <v/>
      </c>
      <c r="AO356" s="223"/>
      <c r="AP356" s="6"/>
      <c r="AQ356" s="32"/>
      <c r="AR356" s="342"/>
      <c r="AS356" s="343"/>
      <c r="AT356" s="342"/>
      <c r="AU356" s="343"/>
      <c r="AV356" s="32"/>
      <c r="AW356" s="32"/>
      <c r="AX356" s="32"/>
    </row>
    <row r="357" spans="1:50" ht="15.95" hidden="1" customHeight="1" x14ac:dyDescent="0.25">
      <c r="A357" s="957">
        <f t="shared" ca="1" si="11"/>
        <v>0</v>
      </c>
      <c r="AI357" s="4"/>
      <c r="AJ357" s="5"/>
      <c r="AK357" s="5" t="str">
        <f ca="1">IF('Rent Roll'!$Z91=1,'Rent Roll'!E91,"")</f>
        <v/>
      </c>
      <c r="AL357" s="39" t="str">
        <f ca="1">IF('Rent Roll'!$Z91=1,'Rent Roll'!G91,"")</f>
        <v/>
      </c>
      <c r="AM357" s="1547" t="str">
        <f ca="1">IF('Rent Roll'!$Z91=1,'Rent Roll'!K91,"")</f>
        <v/>
      </c>
      <c r="AN357" s="1551" t="str">
        <f ca="1">IF('Rent Roll'!$Z91=1,'Rent Roll'!N91,"")</f>
        <v/>
      </c>
      <c r="AO357" s="223"/>
      <c r="AP357" s="6"/>
      <c r="AQ357" s="32"/>
      <c r="AR357" s="342"/>
      <c r="AS357" s="343"/>
      <c r="AT357" s="342"/>
      <c r="AU357" s="343"/>
      <c r="AV357" s="32"/>
      <c r="AW357" s="32"/>
      <c r="AX357" s="32"/>
    </row>
    <row r="358" spans="1:50" ht="15.95" hidden="1" customHeight="1" x14ac:dyDescent="0.25">
      <c r="A358" s="957">
        <f t="shared" ca="1" si="11"/>
        <v>0</v>
      </c>
      <c r="AI358" s="4"/>
      <c r="AJ358" s="5"/>
      <c r="AK358" s="5" t="str">
        <f ca="1">IF('Rent Roll'!$Z92=1,'Rent Roll'!E92,"")</f>
        <v/>
      </c>
      <c r="AL358" s="39" t="str">
        <f ca="1">IF('Rent Roll'!$Z92=1,'Rent Roll'!G92,"")</f>
        <v/>
      </c>
      <c r="AM358" s="1547" t="str">
        <f ca="1">IF('Rent Roll'!$Z92=1,'Rent Roll'!K92,"")</f>
        <v/>
      </c>
      <c r="AN358" s="1551" t="str">
        <f ca="1">IF('Rent Roll'!$Z92=1,'Rent Roll'!N92,"")</f>
        <v/>
      </c>
      <c r="AO358" s="223"/>
      <c r="AP358" s="6"/>
      <c r="AQ358" s="32"/>
      <c r="AR358" s="342"/>
      <c r="AS358" s="343"/>
      <c r="AT358" s="342"/>
      <c r="AU358" s="343"/>
      <c r="AV358" s="32"/>
      <c r="AW358" s="32"/>
      <c r="AX358" s="32"/>
    </row>
    <row r="359" spans="1:50" ht="15.95" hidden="1" customHeight="1" x14ac:dyDescent="0.25">
      <c r="A359" s="957">
        <f t="shared" ca="1" si="11"/>
        <v>0</v>
      </c>
      <c r="AI359" s="4"/>
      <c r="AJ359" s="5"/>
      <c r="AK359" s="5" t="str">
        <f ca="1">IF('Rent Roll'!$Z93=1,'Rent Roll'!E93,"")</f>
        <v/>
      </c>
      <c r="AL359" s="39" t="str">
        <f ca="1">IF('Rent Roll'!$Z93=1,'Rent Roll'!G93,"")</f>
        <v/>
      </c>
      <c r="AM359" s="1547" t="str">
        <f ca="1">IF('Rent Roll'!$Z93=1,'Rent Roll'!K93,"")</f>
        <v/>
      </c>
      <c r="AN359" s="1551" t="str">
        <f ca="1">IF('Rent Roll'!$Z93=1,'Rent Roll'!N93,"")</f>
        <v/>
      </c>
      <c r="AO359" s="223"/>
      <c r="AP359" s="6"/>
      <c r="AQ359" s="32"/>
      <c r="AR359" s="342"/>
      <c r="AS359" s="343"/>
      <c r="AT359" s="342"/>
      <c r="AU359" s="343"/>
      <c r="AV359" s="32"/>
      <c r="AW359" s="32"/>
      <c r="AX359" s="32"/>
    </row>
    <row r="360" spans="1:50" ht="15.95" hidden="1" customHeight="1" x14ac:dyDescent="0.25">
      <c r="A360" s="957">
        <f t="shared" ca="1" si="11"/>
        <v>0</v>
      </c>
      <c r="AI360" s="4"/>
      <c r="AJ360" s="5"/>
      <c r="AK360" s="5" t="str">
        <f ca="1">IF('Rent Roll'!$Z94=1,'Rent Roll'!E94,"")</f>
        <v/>
      </c>
      <c r="AL360" s="39" t="str">
        <f ca="1">IF('Rent Roll'!$Z94=1,'Rent Roll'!G94,"")</f>
        <v/>
      </c>
      <c r="AM360" s="1547" t="str">
        <f ca="1">IF('Rent Roll'!$Z94=1,'Rent Roll'!K94,"")</f>
        <v/>
      </c>
      <c r="AN360" s="1551" t="str">
        <f ca="1">IF('Rent Roll'!$Z94=1,'Rent Roll'!N94,"")</f>
        <v/>
      </c>
      <c r="AO360" s="223"/>
      <c r="AP360" s="6"/>
      <c r="AQ360" s="32"/>
      <c r="AR360" s="342"/>
      <c r="AS360" s="343"/>
      <c r="AT360" s="342"/>
      <c r="AU360" s="343"/>
      <c r="AV360" s="32"/>
      <c r="AW360" s="32"/>
      <c r="AX360" s="32"/>
    </row>
    <row r="361" spans="1:50" ht="15.95" hidden="1" customHeight="1" x14ac:dyDescent="0.25">
      <c r="A361" s="957">
        <f t="shared" ca="1" si="11"/>
        <v>0</v>
      </c>
      <c r="AI361" s="4"/>
      <c r="AJ361" s="5"/>
      <c r="AK361" s="5" t="str">
        <f ca="1">IF('Rent Roll'!$Z95=1,'Rent Roll'!E95,"")</f>
        <v/>
      </c>
      <c r="AL361" s="39" t="str">
        <f ca="1">IF('Rent Roll'!$Z95=1,'Rent Roll'!G95,"")</f>
        <v/>
      </c>
      <c r="AM361" s="1547" t="str">
        <f ca="1">IF('Rent Roll'!$Z95=1,'Rent Roll'!K95,"")</f>
        <v/>
      </c>
      <c r="AN361" s="1551" t="str">
        <f ca="1">IF('Rent Roll'!$Z95=1,'Rent Roll'!N95,"")</f>
        <v/>
      </c>
      <c r="AO361" s="223"/>
      <c r="AP361" s="6"/>
      <c r="AQ361" s="32"/>
      <c r="AR361" s="342"/>
      <c r="AS361" s="343"/>
      <c r="AT361" s="342"/>
      <c r="AU361" s="343"/>
      <c r="AV361" s="32"/>
      <c r="AW361" s="32"/>
      <c r="AX361" s="32"/>
    </row>
    <row r="362" spans="1:50" ht="15.95" hidden="1" customHeight="1" x14ac:dyDescent="0.25">
      <c r="A362" s="957">
        <f t="shared" ca="1" si="11"/>
        <v>0</v>
      </c>
      <c r="AI362" s="4"/>
      <c r="AJ362" s="5"/>
      <c r="AK362" s="5" t="str">
        <f ca="1">IF('Rent Roll'!$Z96=1,'Rent Roll'!E96,"")</f>
        <v/>
      </c>
      <c r="AL362" s="39" t="str">
        <f ca="1">IF('Rent Roll'!$Z96=1,'Rent Roll'!G96,"")</f>
        <v/>
      </c>
      <c r="AM362" s="1547" t="str">
        <f ca="1">IF('Rent Roll'!$Z96=1,'Rent Roll'!K96,"")</f>
        <v/>
      </c>
      <c r="AN362" s="1551" t="str">
        <f ca="1">IF('Rent Roll'!$Z96=1,'Rent Roll'!N96,"")</f>
        <v/>
      </c>
      <c r="AO362" s="223"/>
      <c r="AP362" s="6"/>
      <c r="AQ362" s="32"/>
      <c r="AR362" s="342"/>
      <c r="AS362" s="343"/>
      <c r="AT362" s="342"/>
      <c r="AU362" s="343"/>
      <c r="AV362" s="32"/>
      <c r="AW362" s="32"/>
      <c r="AX362" s="32"/>
    </row>
    <row r="363" spans="1:50" ht="15.95" hidden="1" customHeight="1" x14ac:dyDescent="0.25">
      <c r="A363" s="957">
        <f t="shared" ca="1" si="11"/>
        <v>0</v>
      </c>
      <c r="AI363" s="4"/>
      <c r="AJ363" s="5"/>
      <c r="AK363" s="5" t="str">
        <f ca="1">IF('Rent Roll'!$Z97=1,'Rent Roll'!E97,"")</f>
        <v/>
      </c>
      <c r="AL363" s="39" t="str">
        <f ca="1">IF('Rent Roll'!$Z97=1,'Rent Roll'!G97,"")</f>
        <v/>
      </c>
      <c r="AM363" s="1547" t="str">
        <f ca="1">IF('Rent Roll'!$Z97=1,'Rent Roll'!K97,"")</f>
        <v/>
      </c>
      <c r="AN363" s="1551" t="str">
        <f ca="1">IF('Rent Roll'!$Z97=1,'Rent Roll'!N97,"")</f>
        <v/>
      </c>
      <c r="AO363" s="223"/>
      <c r="AP363" s="6"/>
      <c r="AQ363" s="32"/>
      <c r="AR363" s="342"/>
      <c r="AS363" s="343"/>
      <c r="AT363" s="342"/>
      <c r="AU363" s="343"/>
      <c r="AV363" s="32"/>
      <c r="AW363" s="32"/>
      <c r="AX363" s="32"/>
    </row>
    <row r="364" spans="1:50" ht="15.95" hidden="1" customHeight="1" x14ac:dyDescent="0.25">
      <c r="A364" s="957">
        <f t="shared" ca="1" si="11"/>
        <v>0</v>
      </c>
      <c r="AI364" s="4"/>
      <c r="AJ364" s="5"/>
      <c r="AK364" s="5" t="str">
        <f ca="1">IF('Rent Roll'!$Z98=1,'Rent Roll'!E98,"")</f>
        <v/>
      </c>
      <c r="AL364" s="39" t="str">
        <f ca="1">IF('Rent Roll'!$Z98=1,'Rent Roll'!G98,"")</f>
        <v/>
      </c>
      <c r="AM364" s="1547" t="str">
        <f ca="1">IF('Rent Roll'!$Z98=1,'Rent Roll'!K98,"")</f>
        <v/>
      </c>
      <c r="AN364" s="1551" t="str">
        <f ca="1">IF('Rent Roll'!$Z98=1,'Rent Roll'!N98,"")</f>
        <v/>
      </c>
      <c r="AO364" s="223"/>
      <c r="AP364" s="6"/>
      <c r="AQ364" s="32"/>
      <c r="AR364" s="342"/>
      <c r="AS364" s="343"/>
      <c r="AT364" s="342"/>
      <c r="AU364" s="343"/>
      <c r="AV364" s="32"/>
      <c r="AW364" s="32"/>
      <c r="AX364" s="32"/>
    </row>
    <row r="365" spans="1:50" ht="15.95" hidden="1" customHeight="1" x14ac:dyDescent="0.25">
      <c r="A365" s="957">
        <f t="shared" ca="1" si="11"/>
        <v>0</v>
      </c>
      <c r="AI365" s="4"/>
      <c r="AJ365" s="5"/>
      <c r="AK365" s="5" t="str">
        <f ca="1">IF('Rent Roll'!$Z99=1,'Rent Roll'!E99,"")</f>
        <v/>
      </c>
      <c r="AL365" s="39" t="str">
        <f ca="1">IF('Rent Roll'!$Z99=1,'Rent Roll'!G99,"")</f>
        <v/>
      </c>
      <c r="AM365" s="1547" t="str">
        <f ca="1">IF('Rent Roll'!$Z99=1,'Rent Roll'!K99,"")</f>
        <v/>
      </c>
      <c r="AN365" s="1551" t="str">
        <f ca="1">IF('Rent Roll'!$Z99=1,'Rent Roll'!N99,"")</f>
        <v/>
      </c>
      <c r="AO365" s="223"/>
      <c r="AP365" s="6"/>
      <c r="AQ365" s="32"/>
      <c r="AR365" s="342"/>
      <c r="AS365" s="343"/>
      <c r="AT365" s="342"/>
      <c r="AU365" s="343"/>
      <c r="AV365" s="32"/>
      <c r="AW365" s="32"/>
      <c r="AX365" s="32"/>
    </row>
    <row r="366" spans="1:50" ht="15.95" hidden="1" customHeight="1" x14ac:dyDescent="0.25">
      <c r="A366" s="957">
        <f t="shared" ca="1" si="11"/>
        <v>0</v>
      </c>
      <c r="AI366" s="4"/>
      <c r="AJ366" s="5"/>
      <c r="AK366" s="5" t="str">
        <f ca="1">IF('Rent Roll'!$Z100=1,'Rent Roll'!E100,"")</f>
        <v/>
      </c>
      <c r="AL366" s="39" t="str">
        <f ca="1">IF('Rent Roll'!$Z100=1,'Rent Roll'!G100,"")</f>
        <v/>
      </c>
      <c r="AM366" s="1547" t="str">
        <f ca="1">IF('Rent Roll'!$Z100=1,'Rent Roll'!K100,"")</f>
        <v/>
      </c>
      <c r="AN366" s="1551" t="str">
        <f ca="1">IF('Rent Roll'!$Z100=1,'Rent Roll'!N100,"")</f>
        <v/>
      </c>
      <c r="AO366" s="223"/>
      <c r="AP366" s="6"/>
      <c r="AQ366" s="32"/>
      <c r="AR366" s="342"/>
      <c r="AS366" s="343"/>
      <c r="AT366" s="342"/>
      <c r="AU366" s="343"/>
      <c r="AV366" s="32"/>
      <c r="AW366" s="32"/>
      <c r="AX366" s="32"/>
    </row>
    <row r="367" spans="1:50" ht="15.95" hidden="1" customHeight="1" x14ac:dyDescent="0.25">
      <c r="A367" s="957">
        <f t="shared" ca="1" si="11"/>
        <v>0</v>
      </c>
      <c r="AI367" s="4"/>
      <c r="AJ367" s="5"/>
      <c r="AK367" s="5" t="str">
        <f ca="1">IF('Rent Roll'!$Z101=1,'Rent Roll'!E101,"")</f>
        <v/>
      </c>
      <c r="AL367" s="39" t="str">
        <f ca="1">IF('Rent Roll'!$Z101=1,'Rent Roll'!G101,"")</f>
        <v/>
      </c>
      <c r="AM367" s="1547" t="str">
        <f ca="1">IF('Rent Roll'!$Z101=1,'Rent Roll'!K101,"")</f>
        <v/>
      </c>
      <c r="AN367" s="1551" t="str">
        <f ca="1">IF('Rent Roll'!$Z101=1,'Rent Roll'!N101,"")</f>
        <v/>
      </c>
      <c r="AO367" s="223"/>
      <c r="AP367" s="6"/>
      <c r="AQ367" s="32"/>
      <c r="AR367" s="342"/>
      <c r="AS367" s="343"/>
      <c r="AT367" s="342"/>
      <c r="AU367" s="343"/>
      <c r="AV367" s="32"/>
      <c r="AW367" s="32"/>
      <c r="AX367" s="32"/>
    </row>
    <row r="368" spans="1:50" ht="15.95" hidden="1" customHeight="1" x14ac:dyDescent="0.25">
      <c r="A368" s="957">
        <f t="shared" ca="1" si="11"/>
        <v>0</v>
      </c>
      <c r="AI368" s="4"/>
      <c r="AJ368" s="5"/>
      <c r="AK368" s="5" t="str">
        <f ca="1">IF('Rent Roll'!$Z102=1,'Rent Roll'!E102,"")</f>
        <v/>
      </c>
      <c r="AL368" s="39" t="str">
        <f ca="1">IF('Rent Roll'!$Z102=1,'Rent Roll'!G102,"")</f>
        <v/>
      </c>
      <c r="AM368" s="1547" t="str">
        <f ca="1">IF('Rent Roll'!$Z102=1,'Rent Roll'!K102,"")</f>
        <v/>
      </c>
      <c r="AN368" s="1551" t="str">
        <f ca="1">IF('Rent Roll'!$Z102=1,'Rent Roll'!N102,"")</f>
        <v/>
      </c>
      <c r="AO368" s="223"/>
      <c r="AP368" s="6"/>
      <c r="AQ368" s="32"/>
      <c r="AR368" s="342"/>
      <c r="AS368" s="343"/>
      <c r="AT368" s="342"/>
      <c r="AU368" s="343"/>
      <c r="AV368" s="32"/>
      <c r="AW368" s="32"/>
      <c r="AX368" s="32"/>
    </row>
    <row r="369" spans="1:50" ht="15.95" hidden="1" customHeight="1" x14ac:dyDescent="0.25">
      <c r="A369" s="957">
        <f t="shared" ref="A369:A400" ca="1" si="12">IF(AK369="",0,1)</f>
        <v>0</v>
      </c>
      <c r="AI369" s="4"/>
      <c r="AJ369" s="5"/>
      <c r="AK369" s="5" t="str">
        <f ca="1">IF('Rent Roll'!$Z103=1,'Rent Roll'!E103,"")</f>
        <v/>
      </c>
      <c r="AL369" s="39" t="str">
        <f ca="1">IF('Rent Roll'!$Z103=1,'Rent Roll'!G103,"")</f>
        <v/>
      </c>
      <c r="AM369" s="1547" t="str">
        <f ca="1">IF('Rent Roll'!$Z103=1,'Rent Roll'!K103,"")</f>
        <v/>
      </c>
      <c r="AN369" s="1551" t="str">
        <f ca="1">IF('Rent Roll'!$Z103=1,'Rent Roll'!N103,"")</f>
        <v/>
      </c>
      <c r="AO369" s="223"/>
      <c r="AP369" s="6"/>
      <c r="AQ369" s="32"/>
      <c r="AR369" s="342"/>
      <c r="AS369" s="343"/>
      <c r="AT369" s="342"/>
      <c r="AU369" s="343"/>
      <c r="AV369" s="32"/>
      <c r="AW369" s="32"/>
      <c r="AX369" s="32"/>
    </row>
    <row r="370" spans="1:50" ht="15.95" hidden="1" customHeight="1" x14ac:dyDescent="0.25">
      <c r="A370" s="957">
        <f t="shared" ca="1" si="12"/>
        <v>0</v>
      </c>
      <c r="AI370" s="4"/>
      <c r="AJ370" s="5"/>
      <c r="AK370" s="5" t="str">
        <f ca="1">IF('Rent Roll'!$Z104=1,'Rent Roll'!E104,"")</f>
        <v/>
      </c>
      <c r="AL370" s="39" t="str">
        <f ca="1">IF('Rent Roll'!$Z104=1,'Rent Roll'!G104,"")</f>
        <v/>
      </c>
      <c r="AM370" s="1547" t="str">
        <f ca="1">IF('Rent Roll'!$Z104=1,'Rent Roll'!K104,"")</f>
        <v/>
      </c>
      <c r="AN370" s="1551" t="str">
        <f ca="1">IF('Rent Roll'!$Z104=1,'Rent Roll'!N104,"")</f>
        <v/>
      </c>
      <c r="AO370" s="223"/>
      <c r="AP370" s="6"/>
      <c r="AQ370" s="32"/>
      <c r="AR370" s="342"/>
      <c r="AS370" s="343"/>
      <c r="AT370" s="342"/>
      <c r="AU370" s="343"/>
      <c r="AV370" s="32"/>
      <c r="AW370" s="32"/>
      <c r="AX370" s="32"/>
    </row>
    <row r="371" spans="1:50" ht="15.95" hidden="1" customHeight="1" x14ac:dyDescent="0.25">
      <c r="A371" s="957">
        <f t="shared" ca="1" si="12"/>
        <v>0</v>
      </c>
      <c r="AI371" s="4"/>
      <c r="AJ371" s="5"/>
      <c r="AK371" s="5" t="str">
        <f ca="1">IF('Rent Roll'!$Z105=1,'Rent Roll'!E105,"")</f>
        <v/>
      </c>
      <c r="AL371" s="39" t="str">
        <f ca="1">IF('Rent Roll'!$Z105=1,'Rent Roll'!G105,"")</f>
        <v/>
      </c>
      <c r="AM371" s="1547" t="str">
        <f ca="1">IF('Rent Roll'!$Z105=1,'Rent Roll'!K105,"")</f>
        <v/>
      </c>
      <c r="AN371" s="1551" t="str">
        <f ca="1">IF('Rent Roll'!$Z105=1,'Rent Roll'!N105,"")</f>
        <v/>
      </c>
      <c r="AO371" s="223"/>
      <c r="AP371" s="6"/>
      <c r="AQ371" s="32"/>
      <c r="AR371" s="342"/>
      <c r="AS371" s="343"/>
      <c r="AT371" s="342"/>
      <c r="AU371" s="343"/>
      <c r="AV371" s="32"/>
      <c r="AW371" s="32"/>
      <c r="AX371" s="32"/>
    </row>
    <row r="372" spans="1:50" ht="15.95" hidden="1" customHeight="1" x14ac:dyDescent="0.25">
      <c r="A372" s="957">
        <f t="shared" ca="1" si="12"/>
        <v>0</v>
      </c>
      <c r="AI372" s="4"/>
      <c r="AJ372" s="5"/>
      <c r="AK372" s="5" t="str">
        <f ca="1">IF('Rent Roll'!$Z106=1,'Rent Roll'!E106,"")</f>
        <v/>
      </c>
      <c r="AL372" s="39" t="str">
        <f ca="1">IF('Rent Roll'!$Z106=1,'Rent Roll'!G106,"")</f>
        <v/>
      </c>
      <c r="AM372" s="1547" t="str">
        <f ca="1">IF('Rent Roll'!$Z106=1,'Rent Roll'!K106,"")</f>
        <v/>
      </c>
      <c r="AN372" s="1551" t="str">
        <f ca="1">IF('Rent Roll'!$Z106=1,'Rent Roll'!N106,"")</f>
        <v/>
      </c>
      <c r="AO372" s="223"/>
      <c r="AP372" s="6"/>
      <c r="AQ372" s="32"/>
      <c r="AR372" s="342"/>
      <c r="AS372" s="343"/>
      <c r="AT372" s="342"/>
      <c r="AU372" s="343"/>
      <c r="AV372" s="32"/>
      <c r="AW372" s="32"/>
      <c r="AX372" s="32"/>
    </row>
    <row r="373" spans="1:50" ht="15.95" hidden="1" customHeight="1" x14ac:dyDescent="0.25">
      <c r="A373" s="957">
        <f t="shared" ca="1" si="12"/>
        <v>0</v>
      </c>
      <c r="AI373" s="4"/>
      <c r="AJ373" s="5"/>
      <c r="AK373" s="5" t="str">
        <f ca="1">IF('Rent Roll'!$Z107=1,'Rent Roll'!E107,"")</f>
        <v/>
      </c>
      <c r="AL373" s="39" t="str">
        <f ca="1">IF('Rent Roll'!$Z107=1,'Rent Roll'!G107,"")</f>
        <v/>
      </c>
      <c r="AM373" s="1547" t="str">
        <f ca="1">IF('Rent Roll'!$Z107=1,'Rent Roll'!K107,"")</f>
        <v/>
      </c>
      <c r="AN373" s="1551" t="str">
        <f ca="1">IF('Rent Roll'!$Z107=1,'Rent Roll'!N107,"")</f>
        <v/>
      </c>
      <c r="AO373" s="223"/>
      <c r="AP373" s="6"/>
      <c r="AQ373" s="32"/>
      <c r="AR373" s="342"/>
      <c r="AS373" s="343"/>
      <c r="AT373" s="342"/>
      <c r="AU373" s="343"/>
      <c r="AV373" s="32"/>
      <c r="AW373" s="32"/>
      <c r="AX373" s="32"/>
    </row>
    <row r="374" spans="1:50" ht="15.95" hidden="1" customHeight="1" x14ac:dyDescent="0.25">
      <c r="A374" s="957">
        <f t="shared" ca="1" si="12"/>
        <v>0</v>
      </c>
      <c r="AI374" s="4"/>
      <c r="AJ374" s="5"/>
      <c r="AK374" s="5" t="str">
        <f ca="1">IF('Rent Roll'!$Z108=1,'Rent Roll'!E108,"")</f>
        <v/>
      </c>
      <c r="AL374" s="39" t="str">
        <f ca="1">IF('Rent Roll'!$Z108=1,'Rent Roll'!G108,"")</f>
        <v/>
      </c>
      <c r="AM374" s="1547" t="str">
        <f ca="1">IF('Rent Roll'!$Z108=1,'Rent Roll'!K108,"")</f>
        <v/>
      </c>
      <c r="AN374" s="1551" t="str">
        <f ca="1">IF('Rent Roll'!$Z108=1,'Rent Roll'!N108,"")</f>
        <v/>
      </c>
      <c r="AO374" s="223"/>
      <c r="AP374" s="6"/>
      <c r="AQ374" s="32"/>
      <c r="AR374" s="342"/>
      <c r="AS374" s="343"/>
      <c r="AT374" s="342"/>
      <c r="AU374" s="343"/>
      <c r="AV374" s="32"/>
      <c r="AW374" s="32"/>
      <c r="AX374" s="32"/>
    </row>
    <row r="375" spans="1:50" ht="15.95" hidden="1" customHeight="1" x14ac:dyDescent="0.25">
      <c r="A375" s="957">
        <f t="shared" ca="1" si="12"/>
        <v>0</v>
      </c>
      <c r="AI375" s="4"/>
      <c r="AJ375" s="5"/>
      <c r="AK375" s="5" t="str">
        <f ca="1">IF('Rent Roll'!$Z109=1,'Rent Roll'!E109,"")</f>
        <v/>
      </c>
      <c r="AL375" s="39" t="str">
        <f ca="1">IF('Rent Roll'!$Z109=1,'Rent Roll'!G109,"")</f>
        <v/>
      </c>
      <c r="AM375" s="1547" t="str">
        <f ca="1">IF('Rent Roll'!$Z109=1,'Rent Roll'!K109,"")</f>
        <v/>
      </c>
      <c r="AN375" s="1551" t="str">
        <f ca="1">IF('Rent Roll'!$Z109=1,'Rent Roll'!N109,"")</f>
        <v/>
      </c>
      <c r="AO375" s="223"/>
      <c r="AP375" s="6"/>
      <c r="AQ375" s="32"/>
      <c r="AR375" s="342"/>
      <c r="AS375" s="343"/>
      <c r="AT375" s="342"/>
      <c r="AU375" s="343"/>
      <c r="AV375" s="32"/>
      <c r="AW375" s="32"/>
      <c r="AX375" s="32"/>
    </row>
    <row r="376" spans="1:50" ht="15.95" hidden="1" customHeight="1" x14ac:dyDescent="0.25">
      <c r="A376" s="957">
        <f t="shared" ca="1" si="12"/>
        <v>0</v>
      </c>
      <c r="AI376" s="4"/>
      <c r="AJ376" s="5"/>
      <c r="AK376" s="5" t="str">
        <f ca="1">IF('Rent Roll'!$Z110=1,'Rent Roll'!E110,"")</f>
        <v/>
      </c>
      <c r="AL376" s="39" t="str">
        <f ca="1">IF('Rent Roll'!$Z110=1,'Rent Roll'!G110,"")</f>
        <v/>
      </c>
      <c r="AM376" s="1547" t="str">
        <f ca="1">IF('Rent Roll'!$Z110=1,'Rent Roll'!K110,"")</f>
        <v/>
      </c>
      <c r="AN376" s="1551" t="str">
        <f ca="1">IF('Rent Roll'!$Z110=1,'Rent Roll'!N110,"")</f>
        <v/>
      </c>
      <c r="AO376" s="223"/>
      <c r="AP376" s="6"/>
      <c r="AQ376" s="32"/>
      <c r="AR376" s="342"/>
      <c r="AS376" s="343"/>
      <c r="AT376" s="342"/>
      <c r="AU376" s="343"/>
      <c r="AV376" s="32"/>
      <c r="AW376" s="32"/>
      <c r="AX376" s="32"/>
    </row>
    <row r="377" spans="1:50" ht="15.95" hidden="1" customHeight="1" x14ac:dyDescent="0.25">
      <c r="A377" s="957">
        <f t="shared" ca="1" si="12"/>
        <v>0</v>
      </c>
      <c r="AI377" s="4"/>
      <c r="AJ377" s="5"/>
      <c r="AK377" s="5" t="str">
        <f ca="1">IF('Rent Roll'!$Z111=1,'Rent Roll'!E111,"")</f>
        <v/>
      </c>
      <c r="AL377" s="39" t="str">
        <f ca="1">IF('Rent Roll'!$Z111=1,'Rent Roll'!G111,"")</f>
        <v/>
      </c>
      <c r="AM377" s="1547" t="str">
        <f ca="1">IF('Rent Roll'!$Z111=1,'Rent Roll'!K111,"")</f>
        <v/>
      </c>
      <c r="AN377" s="1551" t="str">
        <f ca="1">IF('Rent Roll'!$Z111=1,'Rent Roll'!N111,"")</f>
        <v/>
      </c>
      <c r="AO377" s="223"/>
      <c r="AP377" s="6"/>
      <c r="AQ377" s="32"/>
      <c r="AR377" s="342"/>
      <c r="AS377" s="343"/>
      <c r="AT377" s="342"/>
      <c r="AU377" s="343"/>
      <c r="AV377" s="32"/>
      <c r="AW377" s="32"/>
      <c r="AX377" s="32"/>
    </row>
    <row r="378" spans="1:50" ht="15.95" hidden="1" customHeight="1" x14ac:dyDescent="0.25">
      <c r="A378" s="957">
        <f t="shared" ca="1" si="12"/>
        <v>0</v>
      </c>
      <c r="AI378" s="4"/>
      <c r="AJ378" s="5"/>
      <c r="AK378" s="5" t="str">
        <f ca="1">IF('Rent Roll'!$Z112=1,'Rent Roll'!E112,"")</f>
        <v/>
      </c>
      <c r="AL378" s="39" t="str">
        <f ca="1">IF('Rent Roll'!$Z112=1,'Rent Roll'!G112,"")</f>
        <v/>
      </c>
      <c r="AM378" s="1547" t="str">
        <f ca="1">IF('Rent Roll'!$Z112=1,'Rent Roll'!K112,"")</f>
        <v/>
      </c>
      <c r="AN378" s="1551" t="str">
        <f ca="1">IF('Rent Roll'!$Z112=1,'Rent Roll'!N112,"")</f>
        <v/>
      </c>
      <c r="AO378" s="223"/>
      <c r="AP378" s="6"/>
      <c r="AQ378" s="32"/>
      <c r="AR378" s="342"/>
      <c r="AS378" s="343"/>
      <c r="AT378" s="342"/>
      <c r="AU378" s="343"/>
      <c r="AV378" s="32"/>
      <c r="AW378" s="32"/>
      <c r="AX378" s="32"/>
    </row>
    <row r="379" spans="1:50" ht="15.95" hidden="1" customHeight="1" x14ac:dyDescent="0.25">
      <c r="A379" s="957">
        <f t="shared" ca="1" si="12"/>
        <v>0</v>
      </c>
      <c r="AI379" s="4"/>
      <c r="AJ379" s="5"/>
      <c r="AK379" s="5" t="str">
        <f ca="1">IF('Rent Roll'!$Z113=1,'Rent Roll'!E113,"")</f>
        <v/>
      </c>
      <c r="AL379" s="39" t="str">
        <f ca="1">IF('Rent Roll'!$Z113=1,'Rent Roll'!G113,"")</f>
        <v/>
      </c>
      <c r="AM379" s="1547" t="str">
        <f ca="1">IF('Rent Roll'!$Z113=1,'Rent Roll'!K113,"")</f>
        <v/>
      </c>
      <c r="AN379" s="1551" t="str">
        <f ca="1">IF('Rent Roll'!$Z113=1,'Rent Roll'!N113,"")</f>
        <v/>
      </c>
      <c r="AO379" s="223"/>
      <c r="AP379" s="6"/>
      <c r="AQ379" s="32"/>
      <c r="AR379" s="342"/>
      <c r="AS379" s="343"/>
      <c r="AT379" s="342"/>
      <c r="AU379" s="343"/>
      <c r="AV379" s="32"/>
      <c r="AW379" s="32"/>
      <c r="AX379" s="32"/>
    </row>
    <row r="380" spans="1:50" ht="15.95" hidden="1" customHeight="1" x14ac:dyDescent="0.25">
      <c r="A380" s="957">
        <f t="shared" ca="1" si="12"/>
        <v>0</v>
      </c>
      <c r="AI380" s="4"/>
      <c r="AJ380" s="5"/>
      <c r="AK380" s="5" t="str">
        <f ca="1">IF('Rent Roll'!$Z114=1,'Rent Roll'!E114,"")</f>
        <v/>
      </c>
      <c r="AL380" s="39" t="str">
        <f ca="1">IF('Rent Roll'!$Z114=1,'Rent Roll'!G114,"")</f>
        <v/>
      </c>
      <c r="AM380" s="1547" t="str">
        <f ca="1">IF('Rent Roll'!$Z114=1,'Rent Roll'!K114,"")</f>
        <v/>
      </c>
      <c r="AN380" s="1551" t="str">
        <f ca="1">IF('Rent Roll'!$Z114=1,'Rent Roll'!N114,"")</f>
        <v/>
      </c>
      <c r="AO380" s="223"/>
      <c r="AP380" s="6"/>
      <c r="AQ380" s="32"/>
      <c r="AR380" s="342"/>
      <c r="AS380" s="343"/>
      <c r="AT380" s="342"/>
      <c r="AU380" s="343"/>
      <c r="AV380" s="32"/>
      <c r="AW380" s="32"/>
      <c r="AX380" s="32"/>
    </row>
    <row r="381" spans="1:50" ht="15.95" hidden="1" customHeight="1" x14ac:dyDescent="0.25">
      <c r="A381" s="957">
        <f t="shared" ca="1" si="12"/>
        <v>0</v>
      </c>
      <c r="AI381" s="4"/>
      <c r="AJ381" s="5"/>
      <c r="AK381" s="5" t="str">
        <f ca="1">IF('Rent Roll'!$Z115=1,'Rent Roll'!E115,"")</f>
        <v/>
      </c>
      <c r="AL381" s="39" t="str">
        <f ca="1">IF('Rent Roll'!$Z115=1,'Rent Roll'!G115,"")</f>
        <v/>
      </c>
      <c r="AM381" s="1547" t="str">
        <f ca="1">IF('Rent Roll'!$Z115=1,'Rent Roll'!K115,"")</f>
        <v/>
      </c>
      <c r="AN381" s="1551" t="str">
        <f ca="1">IF('Rent Roll'!$Z115=1,'Rent Roll'!N115,"")</f>
        <v/>
      </c>
      <c r="AO381" s="223"/>
      <c r="AP381" s="6"/>
      <c r="AQ381" s="32"/>
      <c r="AR381" s="342"/>
      <c r="AS381" s="343"/>
      <c r="AT381" s="342"/>
      <c r="AU381" s="343"/>
      <c r="AV381" s="32"/>
      <c r="AW381" s="32"/>
      <c r="AX381" s="32"/>
    </row>
    <row r="382" spans="1:50" ht="15.95" hidden="1" customHeight="1" x14ac:dyDescent="0.25">
      <c r="A382" s="957">
        <f t="shared" ca="1" si="12"/>
        <v>0</v>
      </c>
      <c r="AI382" s="4"/>
      <c r="AJ382" s="5"/>
      <c r="AK382" s="5" t="str">
        <f ca="1">IF('Rent Roll'!$Z116=1,'Rent Roll'!E116,"")</f>
        <v/>
      </c>
      <c r="AL382" s="39" t="str">
        <f ca="1">IF('Rent Roll'!$Z116=1,'Rent Roll'!G116,"")</f>
        <v/>
      </c>
      <c r="AM382" s="1547" t="str">
        <f ca="1">IF('Rent Roll'!$Z116=1,'Rent Roll'!K116,"")</f>
        <v/>
      </c>
      <c r="AN382" s="1551" t="str">
        <f ca="1">IF('Rent Roll'!$Z116=1,'Rent Roll'!N116,"")</f>
        <v/>
      </c>
      <c r="AO382" s="223"/>
      <c r="AP382" s="6"/>
      <c r="AQ382" s="32"/>
      <c r="AR382" s="342"/>
      <c r="AS382" s="343"/>
      <c r="AT382" s="342"/>
      <c r="AU382" s="343"/>
      <c r="AV382" s="32"/>
      <c r="AW382" s="32"/>
      <c r="AX382" s="32"/>
    </row>
    <row r="383" spans="1:50" ht="15.95" hidden="1" customHeight="1" x14ac:dyDescent="0.25">
      <c r="A383" s="957">
        <f t="shared" ca="1" si="12"/>
        <v>0</v>
      </c>
      <c r="AI383" s="4"/>
      <c r="AJ383" s="5"/>
      <c r="AK383" s="5" t="str">
        <f ca="1">IF('Rent Roll'!$Z117=1,'Rent Roll'!E117,"")</f>
        <v/>
      </c>
      <c r="AL383" s="39" t="str">
        <f ca="1">IF('Rent Roll'!$Z117=1,'Rent Roll'!G117,"")</f>
        <v/>
      </c>
      <c r="AM383" s="1547" t="str">
        <f ca="1">IF('Rent Roll'!$Z117=1,'Rent Roll'!K117,"")</f>
        <v/>
      </c>
      <c r="AN383" s="1551" t="str">
        <f ca="1">IF('Rent Roll'!$Z117=1,'Rent Roll'!N117,"")</f>
        <v/>
      </c>
      <c r="AO383" s="223"/>
      <c r="AP383" s="6"/>
      <c r="AQ383" s="32"/>
      <c r="AR383" s="342"/>
      <c r="AS383" s="343"/>
      <c r="AT383" s="342"/>
      <c r="AU383" s="343"/>
      <c r="AV383" s="32"/>
      <c r="AW383" s="32"/>
      <c r="AX383" s="32"/>
    </row>
    <row r="384" spans="1:50" ht="15.95" hidden="1" customHeight="1" x14ac:dyDescent="0.25">
      <c r="A384" s="957">
        <f t="shared" ca="1" si="12"/>
        <v>0</v>
      </c>
      <c r="AI384" s="4"/>
      <c r="AJ384" s="5"/>
      <c r="AK384" s="5" t="str">
        <f ca="1">IF('Rent Roll'!$Z118=1,'Rent Roll'!E118,"")</f>
        <v/>
      </c>
      <c r="AL384" s="39" t="str">
        <f ca="1">IF('Rent Roll'!$Z118=1,'Rent Roll'!G118,"")</f>
        <v/>
      </c>
      <c r="AM384" s="1547" t="str">
        <f ca="1">IF('Rent Roll'!$Z118=1,'Rent Roll'!K118,"")</f>
        <v/>
      </c>
      <c r="AN384" s="1551" t="str">
        <f ca="1">IF('Rent Roll'!$Z118=1,'Rent Roll'!N118,"")</f>
        <v/>
      </c>
      <c r="AO384" s="223"/>
      <c r="AP384" s="6"/>
      <c r="AQ384" s="32"/>
      <c r="AR384" s="342"/>
      <c r="AS384" s="343"/>
      <c r="AT384" s="342"/>
      <c r="AU384" s="343"/>
      <c r="AV384" s="32"/>
      <c r="AW384" s="32"/>
      <c r="AX384" s="32"/>
    </row>
    <row r="385" spans="1:50" ht="15.95" hidden="1" customHeight="1" x14ac:dyDescent="0.25">
      <c r="A385" s="957">
        <f t="shared" ca="1" si="12"/>
        <v>0</v>
      </c>
      <c r="AI385" s="4"/>
      <c r="AJ385" s="5"/>
      <c r="AK385" s="5" t="str">
        <f ca="1">IF('Rent Roll'!$Z119=1,'Rent Roll'!E119,"")</f>
        <v/>
      </c>
      <c r="AL385" s="39" t="str">
        <f ca="1">IF('Rent Roll'!$Z119=1,'Rent Roll'!G119,"")</f>
        <v/>
      </c>
      <c r="AM385" s="1547" t="str">
        <f ca="1">IF('Rent Roll'!$Z119=1,'Rent Roll'!K119,"")</f>
        <v/>
      </c>
      <c r="AN385" s="1551" t="str">
        <f ca="1">IF('Rent Roll'!$Z119=1,'Rent Roll'!N119,"")</f>
        <v/>
      </c>
      <c r="AO385" s="223"/>
      <c r="AP385" s="6"/>
      <c r="AQ385" s="32"/>
      <c r="AR385" s="342"/>
      <c r="AS385" s="343"/>
      <c r="AT385" s="342"/>
      <c r="AU385" s="343"/>
      <c r="AV385" s="32"/>
      <c r="AW385" s="32"/>
      <c r="AX385" s="32"/>
    </row>
    <row r="386" spans="1:50" ht="15.95" hidden="1" customHeight="1" x14ac:dyDescent="0.25">
      <c r="A386" s="957">
        <f t="shared" ca="1" si="12"/>
        <v>0</v>
      </c>
      <c r="AI386" s="4"/>
      <c r="AJ386" s="5"/>
      <c r="AK386" s="5" t="str">
        <f ca="1">IF('Rent Roll'!$Z120=1,'Rent Roll'!E120,"")</f>
        <v/>
      </c>
      <c r="AL386" s="39" t="str">
        <f ca="1">IF('Rent Roll'!$Z120=1,'Rent Roll'!G120,"")</f>
        <v/>
      </c>
      <c r="AM386" s="1547" t="str">
        <f ca="1">IF('Rent Roll'!$Z120=1,'Rent Roll'!K120,"")</f>
        <v/>
      </c>
      <c r="AN386" s="1551" t="str">
        <f ca="1">IF('Rent Roll'!$Z120=1,'Rent Roll'!N120,"")</f>
        <v/>
      </c>
      <c r="AO386" s="223"/>
      <c r="AP386" s="6"/>
      <c r="AQ386" s="32"/>
      <c r="AR386" s="342"/>
      <c r="AS386" s="343"/>
      <c r="AT386" s="342"/>
      <c r="AU386" s="343"/>
      <c r="AV386" s="32"/>
      <c r="AW386" s="32"/>
      <c r="AX386" s="32"/>
    </row>
    <row r="387" spans="1:50" ht="15.95" hidden="1" customHeight="1" x14ac:dyDescent="0.25">
      <c r="A387" s="957">
        <f t="shared" ca="1" si="12"/>
        <v>0</v>
      </c>
      <c r="AI387" s="4"/>
      <c r="AJ387" s="5"/>
      <c r="AK387" s="5" t="str">
        <f ca="1">IF('Rent Roll'!$Z121=1,'Rent Roll'!E121,"")</f>
        <v/>
      </c>
      <c r="AL387" s="39" t="str">
        <f ca="1">IF('Rent Roll'!$Z121=1,'Rent Roll'!G121,"")</f>
        <v/>
      </c>
      <c r="AM387" s="1547" t="str">
        <f ca="1">IF('Rent Roll'!$Z121=1,'Rent Roll'!K121,"")</f>
        <v/>
      </c>
      <c r="AN387" s="1551" t="str">
        <f ca="1">IF('Rent Roll'!$Z121=1,'Rent Roll'!N121,"")</f>
        <v/>
      </c>
      <c r="AO387" s="223"/>
      <c r="AP387" s="6"/>
      <c r="AQ387" s="32"/>
      <c r="AR387" s="342"/>
      <c r="AS387" s="343"/>
      <c r="AT387" s="342"/>
      <c r="AU387" s="343"/>
      <c r="AV387" s="32"/>
      <c r="AW387" s="32"/>
      <c r="AX387" s="32"/>
    </row>
    <row r="388" spans="1:50" ht="15.95" hidden="1" customHeight="1" x14ac:dyDescent="0.25">
      <c r="A388" s="957">
        <f t="shared" ca="1" si="12"/>
        <v>0</v>
      </c>
      <c r="AI388" s="4"/>
      <c r="AJ388" s="5"/>
      <c r="AK388" s="5" t="str">
        <f ca="1">IF('Rent Roll'!$Z122=1,'Rent Roll'!E122,"")</f>
        <v/>
      </c>
      <c r="AL388" s="39" t="str">
        <f ca="1">IF('Rent Roll'!$Z122=1,'Rent Roll'!G122,"")</f>
        <v/>
      </c>
      <c r="AM388" s="1547" t="str">
        <f ca="1">IF('Rent Roll'!$Z122=1,'Rent Roll'!K122,"")</f>
        <v/>
      </c>
      <c r="AN388" s="1551" t="str">
        <f ca="1">IF('Rent Roll'!$Z122=1,'Rent Roll'!N122,"")</f>
        <v/>
      </c>
      <c r="AO388" s="223"/>
      <c r="AP388" s="6"/>
      <c r="AQ388" s="32"/>
      <c r="AR388" s="342"/>
      <c r="AS388" s="343"/>
      <c r="AT388" s="342"/>
      <c r="AU388" s="343"/>
      <c r="AV388" s="32"/>
      <c r="AW388" s="32"/>
      <c r="AX388" s="32"/>
    </row>
    <row r="389" spans="1:50" ht="15.95" hidden="1" customHeight="1" x14ac:dyDescent="0.25">
      <c r="A389" s="957">
        <f t="shared" ca="1" si="12"/>
        <v>0</v>
      </c>
      <c r="AI389" s="4"/>
      <c r="AJ389" s="5"/>
      <c r="AK389" s="5" t="str">
        <f ca="1">IF('Rent Roll'!$Z123=1,'Rent Roll'!E123,"")</f>
        <v/>
      </c>
      <c r="AL389" s="39" t="str">
        <f ca="1">IF('Rent Roll'!$Z123=1,'Rent Roll'!G123,"")</f>
        <v/>
      </c>
      <c r="AM389" s="1547" t="str">
        <f ca="1">IF('Rent Roll'!$Z123=1,'Rent Roll'!K123,"")</f>
        <v/>
      </c>
      <c r="AN389" s="1551" t="str">
        <f ca="1">IF('Rent Roll'!$Z123=1,'Rent Roll'!N123,"")</f>
        <v/>
      </c>
      <c r="AO389" s="223"/>
      <c r="AP389" s="6"/>
      <c r="AQ389" s="32"/>
      <c r="AR389" s="342"/>
      <c r="AS389" s="343"/>
      <c r="AT389" s="342"/>
      <c r="AU389" s="343"/>
      <c r="AV389" s="32"/>
      <c r="AW389" s="32"/>
      <c r="AX389" s="32"/>
    </row>
    <row r="390" spans="1:50" ht="15.95" hidden="1" customHeight="1" x14ac:dyDescent="0.25">
      <c r="A390" s="957">
        <f t="shared" ca="1" si="12"/>
        <v>0</v>
      </c>
      <c r="AI390" s="4"/>
      <c r="AJ390" s="5"/>
      <c r="AK390" s="5" t="str">
        <f ca="1">IF('Rent Roll'!$Z124=1,'Rent Roll'!E124,"")</f>
        <v/>
      </c>
      <c r="AL390" s="39" t="str">
        <f ca="1">IF('Rent Roll'!$Z124=1,'Rent Roll'!G124,"")</f>
        <v/>
      </c>
      <c r="AM390" s="1547" t="str">
        <f ca="1">IF('Rent Roll'!$Z124=1,'Rent Roll'!K124,"")</f>
        <v/>
      </c>
      <c r="AN390" s="1551" t="str">
        <f ca="1">IF('Rent Roll'!$Z124=1,'Rent Roll'!N124,"")</f>
        <v/>
      </c>
      <c r="AO390" s="223"/>
      <c r="AP390" s="6"/>
      <c r="AQ390" s="32"/>
      <c r="AR390" s="342"/>
      <c r="AS390" s="343"/>
      <c r="AT390" s="342"/>
      <c r="AU390" s="343"/>
      <c r="AV390" s="32"/>
      <c r="AW390" s="32"/>
      <c r="AX390" s="32"/>
    </row>
    <row r="391" spans="1:50" ht="15.95" hidden="1" customHeight="1" x14ac:dyDescent="0.25">
      <c r="A391" s="957">
        <f t="shared" ca="1" si="12"/>
        <v>0</v>
      </c>
      <c r="AI391" s="4"/>
      <c r="AJ391" s="5"/>
      <c r="AK391" s="5" t="str">
        <f ca="1">IF('Rent Roll'!$Z125=1,'Rent Roll'!E125,"")</f>
        <v/>
      </c>
      <c r="AL391" s="39" t="str">
        <f ca="1">IF('Rent Roll'!$Z125=1,'Rent Roll'!G125,"")</f>
        <v/>
      </c>
      <c r="AM391" s="1547" t="str">
        <f ca="1">IF('Rent Roll'!$Z125=1,'Rent Roll'!K125,"")</f>
        <v/>
      </c>
      <c r="AN391" s="1551" t="str">
        <f ca="1">IF('Rent Roll'!$Z125=1,'Rent Roll'!N125,"")</f>
        <v/>
      </c>
      <c r="AO391" s="223"/>
      <c r="AP391" s="6"/>
      <c r="AQ391" s="32"/>
      <c r="AR391" s="342"/>
      <c r="AS391" s="343"/>
      <c r="AT391" s="342"/>
      <c r="AU391" s="343"/>
      <c r="AV391" s="32"/>
      <c r="AW391" s="32"/>
      <c r="AX391" s="32"/>
    </row>
    <row r="392" spans="1:50" ht="15.95" hidden="1" customHeight="1" x14ac:dyDescent="0.25">
      <c r="A392" s="957">
        <f t="shared" ca="1" si="12"/>
        <v>0</v>
      </c>
      <c r="AI392" s="4"/>
      <c r="AJ392" s="5"/>
      <c r="AK392" s="5" t="str">
        <f ca="1">IF('Rent Roll'!$Z126=1,'Rent Roll'!E126,"")</f>
        <v/>
      </c>
      <c r="AL392" s="39" t="str">
        <f ca="1">IF('Rent Roll'!$Z126=1,'Rent Roll'!G126,"")</f>
        <v/>
      </c>
      <c r="AM392" s="1547" t="str">
        <f ca="1">IF('Rent Roll'!$Z126=1,'Rent Roll'!K126,"")</f>
        <v/>
      </c>
      <c r="AN392" s="1551" t="str">
        <f ca="1">IF('Rent Roll'!$Z126=1,'Rent Roll'!N126,"")</f>
        <v/>
      </c>
      <c r="AO392" s="223"/>
      <c r="AP392" s="6"/>
      <c r="AQ392" s="32"/>
      <c r="AR392" s="342"/>
      <c r="AS392" s="343"/>
      <c r="AT392" s="342"/>
      <c r="AU392" s="343"/>
      <c r="AV392" s="32"/>
      <c r="AW392" s="32"/>
      <c r="AX392" s="32"/>
    </row>
    <row r="393" spans="1:50" ht="15.95" hidden="1" customHeight="1" x14ac:dyDescent="0.25">
      <c r="A393" s="957">
        <f t="shared" ca="1" si="12"/>
        <v>0</v>
      </c>
      <c r="AI393" s="4"/>
      <c r="AJ393" s="5"/>
      <c r="AK393" s="5" t="str">
        <f ca="1">IF('Rent Roll'!$Z127=1,'Rent Roll'!E127,"")</f>
        <v/>
      </c>
      <c r="AL393" s="39" t="str">
        <f ca="1">IF('Rent Roll'!$Z127=1,'Rent Roll'!G127,"")</f>
        <v/>
      </c>
      <c r="AM393" s="1547" t="str">
        <f ca="1">IF('Rent Roll'!$Z127=1,'Rent Roll'!K127,"")</f>
        <v/>
      </c>
      <c r="AN393" s="1551" t="str">
        <f ca="1">IF('Rent Roll'!$Z127=1,'Rent Roll'!N127,"")</f>
        <v/>
      </c>
      <c r="AO393" s="223"/>
      <c r="AP393" s="6"/>
      <c r="AQ393" s="32"/>
      <c r="AR393" s="342"/>
      <c r="AS393" s="343"/>
      <c r="AT393" s="342"/>
      <c r="AU393" s="343"/>
      <c r="AV393" s="32"/>
      <c r="AW393" s="32"/>
      <c r="AX393" s="32"/>
    </row>
    <row r="394" spans="1:50" ht="15.95" hidden="1" customHeight="1" x14ac:dyDescent="0.25">
      <c r="A394" s="957">
        <f t="shared" ca="1" si="12"/>
        <v>0</v>
      </c>
      <c r="AI394" s="4"/>
      <c r="AJ394" s="5"/>
      <c r="AK394" s="5" t="str">
        <f ca="1">IF('Rent Roll'!$Z128=1,'Rent Roll'!E128,"")</f>
        <v/>
      </c>
      <c r="AL394" s="39" t="str">
        <f ca="1">IF('Rent Roll'!$Z128=1,'Rent Roll'!G128,"")</f>
        <v/>
      </c>
      <c r="AM394" s="1547" t="str">
        <f ca="1">IF('Rent Roll'!$Z128=1,'Rent Roll'!K128,"")</f>
        <v/>
      </c>
      <c r="AN394" s="1551" t="str">
        <f ca="1">IF('Rent Roll'!$Z128=1,'Rent Roll'!N128,"")</f>
        <v/>
      </c>
      <c r="AO394" s="223"/>
      <c r="AP394" s="6"/>
      <c r="AQ394" s="32"/>
      <c r="AR394" s="342"/>
      <c r="AS394" s="343"/>
      <c r="AT394" s="342"/>
      <c r="AU394" s="343"/>
      <c r="AV394" s="32"/>
      <c r="AW394" s="32"/>
      <c r="AX394" s="32"/>
    </row>
    <row r="395" spans="1:50" ht="15.95" hidden="1" customHeight="1" x14ac:dyDescent="0.25">
      <c r="A395" s="957">
        <f t="shared" ca="1" si="12"/>
        <v>0</v>
      </c>
      <c r="AI395" s="4"/>
      <c r="AJ395" s="5"/>
      <c r="AK395" s="5" t="str">
        <f ca="1">IF('Rent Roll'!$Z129=1,'Rent Roll'!E129,"")</f>
        <v/>
      </c>
      <c r="AL395" s="39" t="str">
        <f ca="1">IF('Rent Roll'!$Z129=1,'Rent Roll'!G129,"")</f>
        <v/>
      </c>
      <c r="AM395" s="1547" t="str">
        <f ca="1">IF('Rent Roll'!$Z129=1,'Rent Roll'!K129,"")</f>
        <v/>
      </c>
      <c r="AN395" s="1551" t="str">
        <f ca="1">IF('Rent Roll'!$Z129=1,'Rent Roll'!N129,"")</f>
        <v/>
      </c>
      <c r="AO395" s="223"/>
      <c r="AP395" s="6"/>
      <c r="AQ395" s="32"/>
      <c r="AR395" s="342"/>
      <c r="AS395" s="343"/>
      <c r="AT395" s="342"/>
      <c r="AU395" s="343"/>
      <c r="AV395" s="32"/>
      <c r="AW395" s="32"/>
      <c r="AX395" s="32"/>
    </row>
    <row r="396" spans="1:50" ht="15.95" hidden="1" customHeight="1" x14ac:dyDescent="0.25">
      <c r="A396" s="957">
        <f t="shared" ca="1" si="12"/>
        <v>0</v>
      </c>
      <c r="AI396" s="4"/>
      <c r="AJ396" s="5"/>
      <c r="AK396" s="5" t="str">
        <f ca="1">IF('Rent Roll'!$Z130=1,'Rent Roll'!E130,"")</f>
        <v/>
      </c>
      <c r="AL396" s="39" t="str">
        <f ca="1">IF('Rent Roll'!$Z130=1,'Rent Roll'!G130,"")</f>
        <v/>
      </c>
      <c r="AM396" s="1547" t="str">
        <f ca="1">IF('Rent Roll'!$Z130=1,'Rent Roll'!K130,"")</f>
        <v/>
      </c>
      <c r="AN396" s="1551" t="str">
        <f ca="1">IF('Rent Roll'!$Z130=1,'Rent Roll'!N130,"")</f>
        <v/>
      </c>
      <c r="AO396" s="223"/>
      <c r="AP396" s="6"/>
      <c r="AQ396" s="32"/>
      <c r="AR396" s="342"/>
      <c r="AS396" s="343"/>
      <c r="AT396" s="342"/>
      <c r="AU396" s="343"/>
      <c r="AV396" s="32"/>
      <c r="AW396" s="32"/>
      <c r="AX396" s="32"/>
    </row>
    <row r="397" spans="1:50" ht="15.95" hidden="1" customHeight="1" x14ac:dyDescent="0.25">
      <c r="A397" s="957">
        <f t="shared" ca="1" si="12"/>
        <v>0</v>
      </c>
      <c r="AI397" s="4"/>
      <c r="AJ397" s="5"/>
      <c r="AK397" s="5" t="str">
        <f ca="1">IF('Rent Roll'!$Z131=1,'Rent Roll'!E131,"")</f>
        <v/>
      </c>
      <c r="AL397" s="39" t="str">
        <f ca="1">IF('Rent Roll'!$Z131=1,'Rent Roll'!G131,"")</f>
        <v/>
      </c>
      <c r="AM397" s="1547" t="str">
        <f ca="1">IF('Rent Roll'!$Z131=1,'Rent Roll'!K131,"")</f>
        <v/>
      </c>
      <c r="AN397" s="1551" t="str">
        <f ca="1">IF('Rent Roll'!$Z131=1,'Rent Roll'!N131,"")</f>
        <v/>
      </c>
      <c r="AO397" s="223"/>
      <c r="AP397" s="6"/>
      <c r="AQ397" s="32"/>
      <c r="AR397" s="342"/>
      <c r="AS397" s="343"/>
      <c r="AT397" s="342"/>
      <c r="AU397" s="343"/>
      <c r="AV397" s="32"/>
      <c r="AW397" s="32"/>
      <c r="AX397" s="32"/>
    </row>
    <row r="398" spans="1:50" ht="15.95" hidden="1" customHeight="1" x14ac:dyDescent="0.25">
      <c r="A398" s="957">
        <f t="shared" ca="1" si="12"/>
        <v>0</v>
      </c>
      <c r="AI398" s="4"/>
      <c r="AJ398" s="5"/>
      <c r="AK398" s="5" t="str">
        <f ca="1">IF('Rent Roll'!$Z132=1,'Rent Roll'!E132,"")</f>
        <v/>
      </c>
      <c r="AL398" s="39" t="str">
        <f ca="1">IF('Rent Roll'!$Z132=1,'Rent Roll'!G132,"")</f>
        <v/>
      </c>
      <c r="AM398" s="1547" t="str">
        <f ca="1">IF('Rent Roll'!$Z132=1,'Rent Roll'!K132,"")</f>
        <v/>
      </c>
      <c r="AN398" s="1551" t="str">
        <f ca="1">IF('Rent Roll'!$Z132=1,'Rent Roll'!N132,"")</f>
        <v/>
      </c>
      <c r="AO398" s="223"/>
      <c r="AP398" s="6"/>
      <c r="AQ398" s="32"/>
      <c r="AR398" s="342"/>
      <c r="AS398" s="343"/>
      <c r="AT398" s="342"/>
      <c r="AU398" s="343"/>
      <c r="AV398" s="32"/>
      <c r="AW398" s="32"/>
      <c r="AX398" s="32"/>
    </row>
    <row r="399" spans="1:50" ht="15.95" hidden="1" customHeight="1" x14ac:dyDescent="0.25">
      <c r="A399" s="957">
        <f t="shared" ca="1" si="12"/>
        <v>0</v>
      </c>
      <c r="AI399" s="4"/>
      <c r="AJ399" s="5"/>
      <c r="AK399" s="5" t="str">
        <f ca="1">IF('Rent Roll'!$Z133=1,'Rent Roll'!E133,"")</f>
        <v/>
      </c>
      <c r="AL399" s="39" t="str">
        <f ca="1">IF('Rent Roll'!$Z133=1,'Rent Roll'!G133,"")</f>
        <v/>
      </c>
      <c r="AM399" s="1547" t="str">
        <f ca="1">IF('Rent Roll'!$Z133=1,'Rent Roll'!K133,"")</f>
        <v/>
      </c>
      <c r="AN399" s="1551" t="str">
        <f ca="1">IF('Rent Roll'!$Z133=1,'Rent Roll'!N133,"")</f>
        <v/>
      </c>
      <c r="AO399" s="223"/>
      <c r="AP399" s="6"/>
      <c r="AQ399" s="32"/>
      <c r="AR399" s="342"/>
      <c r="AS399" s="343"/>
      <c r="AT399" s="342"/>
      <c r="AU399" s="343"/>
      <c r="AV399" s="32"/>
      <c r="AW399" s="32"/>
      <c r="AX399" s="32"/>
    </row>
    <row r="400" spans="1:50" ht="15.95" hidden="1" customHeight="1" x14ac:dyDescent="0.25">
      <c r="A400" s="957">
        <f t="shared" ca="1" si="12"/>
        <v>0</v>
      </c>
      <c r="AI400" s="4"/>
      <c r="AJ400" s="5"/>
      <c r="AK400" s="5" t="str">
        <f ca="1">IF('Rent Roll'!$Z134=1,'Rent Roll'!E134,"")</f>
        <v/>
      </c>
      <c r="AL400" s="39" t="str">
        <f ca="1">IF('Rent Roll'!$Z134=1,'Rent Roll'!G134,"")</f>
        <v/>
      </c>
      <c r="AM400" s="1547" t="str">
        <f ca="1">IF('Rent Roll'!$Z134=1,'Rent Roll'!K134,"")</f>
        <v/>
      </c>
      <c r="AN400" s="1551" t="str">
        <f ca="1">IF('Rent Roll'!$Z134=1,'Rent Roll'!N134,"")</f>
        <v/>
      </c>
      <c r="AO400" s="5"/>
      <c r="AP400" s="6"/>
      <c r="AQ400" s="32"/>
      <c r="AR400" s="342"/>
      <c r="AS400" s="343"/>
      <c r="AT400" s="342"/>
      <c r="AU400" s="343"/>
      <c r="AV400" s="32"/>
      <c r="AW400" s="32"/>
      <c r="AX400" s="32"/>
    </row>
    <row r="401" spans="1:50" ht="15.95" hidden="1" customHeight="1" x14ac:dyDescent="0.25">
      <c r="A401" s="957">
        <f t="shared" ref="A401:A432" ca="1" si="13">IF(AK401="",0,1)</f>
        <v>0</v>
      </c>
      <c r="AI401" s="4"/>
      <c r="AJ401" s="5"/>
      <c r="AK401" s="5" t="str">
        <f ca="1">IF('Rent Roll'!$Z135=1,'Rent Roll'!E135,"")</f>
        <v/>
      </c>
      <c r="AL401" s="39" t="str">
        <f ca="1">IF('Rent Roll'!$Z135=1,'Rent Roll'!G135,"")</f>
        <v/>
      </c>
      <c r="AM401" s="1547" t="str">
        <f ca="1">IF('Rent Roll'!$Z135=1,'Rent Roll'!K135,"")</f>
        <v/>
      </c>
      <c r="AN401" s="1551" t="str">
        <f ca="1">IF('Rent Roll'!$Z135=1,'Rent Roll'!N135,"")</f>
        <v/>
      </c>
      <c r="AO401" s="5"/>
      <c r="AP401" s="6"/>
      <c r="AQ401" s="32"/>
      <c r="AR401" s="342"/>
      <c r="AS401" s="343"/>
      <c r="AT401" s="342"/>
      <c r="AU401" s="343"/>
      <c r="AV401" s="32"/>
      <c r="AW401" s="32"/>
      <c r="AX401" s="32"/>
    </row>
    <row r="402" spans="1:50" ht="15.95" hidden="1" customHeight="1" x14ac:dyDescent="0.25">
      <c r="A402" s="957">
        <f t="shared" ca="1" si="13"/>
        <v>0</v>
      </c>
      <c r="AI402" s="4"/>
      <c r="AJ402" s="5"/>
      <c r="AK402" s="5" t="str">
        <f ca="1">IF('Rent Roll'!$Z136=1,'Rent Roll'!E136,"")</f>
        <v/>
      </c>
      <c r="AL402" s="39" t="str">
        <f ca="1">IF('Rent Roll'!$Z136=1,'Rent Roll'!G136,"")</f>
        <v/>
      </c>
      <c r="AM402" s="1547" t="str">
        <f ca="1">IF('Rent Roll'!$Z136=1,'Rent Roll'!K136,"")</f>
        <v/>
      </c>
      <c r="AN402" s="1551" t="str">
        <f ca="1">IF('Rent Roll'!$Z136=1,'Rent Roll'!N136,"")</f>
        <v/>
      </c>
      <c r="AO402" s="5"/>
      <c r="AP402" s="6"/>
      <c r="AQ402" s="32"/>
      <c r="AR402" s="342"/>
      <c r="AS402" s="343"/>
      <c r="AT402" s="342"/>
      <c r="AU402" s="343"/>
      <c r="AV402" s="32"/>
      <c r="AW402" s="32"/>
      <c r="AX402" s="32"/>
    </row>
    <row r="403" spans="1:50" ht="15.95" hidden="1" customHeight="1" x14ac:dyDescent="0.25">
      <c r="A403" s="957">
        <f t="shared" ca="1" si="13"/>
        <v>0</v>
      </c>
      <c r="AI403" s="4"/>
      <c r="AJ403" s="5"/>
      <c r="AK403" s="5" t="str">
        <f ca="1">IF('Rent Roll'!$Z137=1,'Rent Roll'!E137,"")</f>
        <v/>
      </c>
      <c r="AL403" s="39" t="str">
        <f ca="1">IF('Rent Roll'!$Z137=1,'Rent Roll'!G137,"")</f>
        <v/>
      </c>
      <c r="AM403" s="1547" t="str">
        <f ca="1">IF('Rent Roll'!$Z137=1,'Rent Roll'!K137,"")</f>
        <v/>
      </c>
      <c r="AN403" s="1551" t="str">
        <f ca="1">IF('Rent Roll'!$Z137=1,'Rent Roll'!N137,"")</f>
        <v/>
      </c>
      <c r="AO403" s="5"/>
      <c r="AP403" s="6"/>
      <c r="AQ403" s="32"/>
      <c r="AR403" s="342"/>
      <c r="AS403" s="343"/>
      <c r="AT403" s="342"/>
      <c r="AU403" s="343"/>
      <c r="AV403" s="32"/>
      <c r="AW403" s="32"/>
      <c r="AX403" s="32"/>
    </row>
    <row r="404" spans="1:50" ht="15.95" hidden="1" customHeight="1" x14ac:dyDescent="0.25">
      <c r="A404" s="957">
        <f t="shared" ca="1" si="13"/>
        <v>0</v>
      </c>
      <c r="AI404" s="4"/>
      <c r="AJ404" s="5"/>
      <c r="AK404" s="5" t="str">
        <f ca="1">IF('Rent Roll'!$Z138=1,'Rent Roll'!E138,"")</f>
        <v/>
      </c>
      <c r="AL404" s="39" t="str">
        <f ca="1">IF('Rent Roll'!$Z138=1,'Rent Roll'!G138,"")</f>
        <v/>
      </c>
      <c r="AM404" s="1547" t="str">
        <f ca="1">IF('Rent Roll'!$Z138=1,'Rent Roll'!K138,"")</f>
        <v/>
      </c>
      <c r="AN404" s="1551" t="str">
        <f ca="1">IF('Rent Roll'!$Z138=1,'Rent Roll'!N138,"")</f>
        <v/>
      </c>
      <c r="AO404" s="5"/>
      <c r="AP404" s="6"/>
      <c r="AQ404" s="32"/>
      <c r="AR404" s="342"/>
      <c r="AS404" s="343"/>
      <c r="AT404" s="342"/>
      <c r="AU404" s="343"/>
      <c r="AV404" s="32"/>
      <c r="AW404" s="32"/>
      <c r="AX404" s="32"/>
    </row>
    <row r="405" spans="1:50" ht="15.95" hidden="1" customHeight="1" x14ac:dyDescent="0.25">
      <c r="A405" s="957">
        <f t="shared" ca="1" si="13"/>
        <v>0</v>
      </c>
      <c r="AI405" s="4"/>
      <c r="AJ405" s="5"/>
      <c r="AK405" s="5" t="str">
        <f ca="1">IF('Rent Roll'!$Z139=1,'Rent Roll'!E139,"")</f>
        <v/>
      </c>
      <c r="AL405" s="39" t="str">
        <f ca="1">IF('Rent Roll'!$Z139=1,'Rent Roll'!G139,"")</f>
        <v/>
      </c>
      <c r="AM405" s="1547" t="str">
        <f ca="1">IF('Rent Roll'!$Z139=1,'Rent Roll'!K139,"")</f>
        <v/>
      </c>
      <c r="AN405" s="1551" t="str">
        <f ca="1">IF('Rent Roll'!$Z139=1,'Rent Roll'!N139,"")</f>
        <v/>
      </c>
      <c r="AO405" s="5"/>
      <c r="AP405" s="6"/>
      <c r="AQ405" s="32"/>
      <c r="AR405" s="342"/>
      <c r="AS405" s="343"/>
      <c r="AT405" s="342"/>
      <c r="AU405" s="343"/>
      <c r="AV405" s="32"/>
      <c r="AW405" s="32"/>
      <c r="AX405" s="32"/>
    </row>
    <row r="406" spans="1:50" ht="15.95" hidden="1" customHeight="1" x14ac:dyDescent="0.25">
      <c r="A406" s="957">
        <f t="shared" ca="1" si="13"/>
        <v>0</v>
      </c>
      <c r="AI406" s="4"/>
      <c r="AJ406" s="5"/>
      <c r="AK406" s="5" t="str">
        <f ca="1">IF('Rent Roll'!$Z140=1,'Rent Roll'!E140,"")</f>
        <v/>
      </c>
      <c r="AL406" s="39" t="str">
        <f ca="1">IF('Rent Roll'!$Z140=1,'Rent Roll'!G140,"")</f>
        <v/>
      </c>
      <c r="AM406" s="1547" t="str">
        <f ca="1">IF('Rent Roll'!$Z140=1,'Rent Roll'!K140,"")</f>
        <v/>
      </c>
      <c r="AN406" s="1551" t="str">
        <f ca="1">IF('Rent Roll'!$Z140=1,'Rent Roll'!N140,"")</f>
        <v/>
      </c>
      <c r="AO406" s="5"/>
      <c r="AP406" s="6"/>
      <c r="AQ406" s="32"/>
      <c r="AR406" s="342"/>
      <c r="AS406" s="343"/>
      <c r="AT406" s="342"/>
      <c r="AU406" s="343"/>
      <c r="AV406" s="32"/>
      <c r="AW406" s="32"/>
      <c r="AX406" s="32"/>
    </row>
    <row r="407" spans="1:50" ht="15.95" hidden="1" customHeight="1" x14ac:dyDescent="0.25">
      <c r="A407" s="957">
        <f t="shared" ca="1" si="13"/>
        <v>0</v>
      </c>
      <c r="AI407" s="4"/>
      <c r="AJ407" s="5"/>
      <c r="AK407" s="5" t="str">
        <f ca="1">IF('Rent Roll'!$Z141=1,'Rent Roll'!E141,"")</f>
        <v/>
      </c>
      <c r="AL407" s="39" t="str">
        <f ca="1">IF('Rent Roll'!$Z141=1,'Rent Roll'!G141,"")</f>
        <v/>
      </c>
      <c r="AM407" s="1547" t="str">
        <f ca="1">IF('Rent Roll'!$Z141=1,'Rent Roll'!K141,"")</f>
        <v/>
      </c>
      <c r="AN407" s="1551" t="str">
        <f ca="1">IF('Rent Roll'!$Z141=1,'Rent Roll'!N141,"")</f>
        <v/>
      </c>
      <c r="AO407" s="5"/>
      <c r="AP407" s="6"/>
      <c r="AQ407" s="32"/>
      <c r="AR407" s="342"/>
      <c r="AS407" s="343"/>
      <c r="AT407" s="342"/>
      <c r="AU407" s="343"/>
      <c r="AV407" s="32"/>
      <c r="AW407" s="32"/>
      <c r="AX407" s="32"/>
    </row>
    <row r="408" spans="1:50" ht="15.95" hidden="1" customHeight="1" x14ac:dyDescent="0.25">
      <c r="A408" s="957">
        <f t="shared" ca="1" si="13"/>
        <v>0</v>
      </c>
      <c r="AI408" s="4"/>
      <c r="AJ408" s="5"/>
      <c r="AK408" s="5" t="str">
        <f ca="1">IF('Rent Roll'!$Z142=1,'Rent Roll'!E142,"")</f>
        <v/>
      </c>
      <c r="AL408" s="39" t="str">
        <f ca="1">IF('Rent Roll'!$Z142=1,'Rent Roll'!G142,"")</f>
        <v/>
      </c>
      <c r="AM408" s="1547" t="str">
        <f ca="1">IF('Rent Roll'!$Z142=1,'Rent Roll'!K142,"")</f>
        <v/>
      </c>
      <c r="AN408" s="1551" t="str">
        <f ca="1">IF('Rent Roll'!$Z142=1,'Rent Roll'!N142,"")</f>
        <v/>
      </c>
      <c r="AO408" s="5"/>
      <c r="AP408" s="6"/>
      <c r="AQ408" s="32"/>
      <c r="AR408" s="342"/>
      <c r="AS408" s="343"/>
      <c r="AT408" s="342"/>
      <c r="AU408" s="343"/>
      <c r="AV408" s="32"/>
      <c r="AW408" s="32"/>
      <c r="AX408" s="32"/>
    </row>
    <row r="409" spans="1:50" ht="15.95" hidden="1" customHeight="1" x14ac:dyDescent="0.25">
      <c r="A409" s="957">
        <f t="shared" ca="1" si="13"/>
        <v>0</v>
      </c>
      <c r="AI409" s="4"/>
      <c r="AJ409" s="5"/>
      <c r="AK409" s="5" t="str">
        <f ca="1">IF('Rent Roll'!$Z143=1,'Rent Roll'!E143,"")</f>
        <v/>
      </c>
      <c r="AL409" s="39" t="str">
        <f ca="1">IF('Rent Roll'!$Z143=1,'Rent Roll'!G143,"")</f>
        <v/>
      </c>
      <c r="AM409" s="1547" t="str">
        <f ca="1">IF('Rent Roll'!$Z143=1,'Rent Roll'!K143,"")</f>
        <v/>
      </c>
      <c r="AN409" s="1551" t="str">
        <f ca="1">IF('Rent Roll'!$Z143=1,'Rent Roll'!N143,"")</f>
        <v/>
      </c>
      <c r="AO409" s="5"/>
      <c r="AP409" s="6"/>
      <c r="AQ409" s="32"/>
      <c r="AR409" s="342"/>
      <c r="AS409" s="343"/>
      <c r="AT409" s="342"/>
      <c r="AU409" s="343"/>
      <c r="AV409" s="32"/>
      <c r="AW409" s="32"/>
      <c r="AX409" s="32"/>
    </row>
    <row r="410" spans="1:50" ht="15.95" hidden="1" customHeight="1" x14ac:dyDescent="0.25">
      <c r="A410" s="957">
        <f t="shared" ca="1" si="13"/>
        <v>0</v>
      </c>
      <c r="AI410" s="4"/>
      <c r="AJ410" s="5"/>
      <c r="AK410" s="5" t="str">
        <f ca="1">IF('Rent Roll'!$Z144=1,'Rent Roll'!E144,"")</f>
        <v/>
      </c>
      <c r="AL410" s="39" t="str">
        <f ca="1">IF('Rent Roll'!$Z144=1,'Rent Roll'!G144,"")</f>
        <v/>
      </c>
      <c r="AM410" s="1547" t="str">
        <f ca="1">IF('Rent Roll'!$Z144=1,'Rent Roll'!K144,"")</f>
        <v/>
      </c>
      <c r="AN410" s="1551" t="str">
        <f ca="1">IF('Rent Roll'!$Z144=1,'Rent Roll'!N144,"")</f>
        <v/>
      </c>
      <c r="AO410" s="5"/>
      <c r="AP410" s="6"/>
      <c r="AQ410" s="32"/>
      <c r="AR410" s="342"/>
      <c r="AS410" s="343"/>
      <c r="AT410" s="342"/>
      <c r="AU410" s="343"/>
      <c r="AV410" s="32"/>
      <c r="AW410" s="32"/>
      <c r="AX410" s="32"/>
    </row>
    <row r="411" spans="1:50" ht="15.95" hidden="1" customHeight="1" x14ac:dyDescent="0.25">
      <c r="A411" s="957">
        <f t="shared" ca="1" si="13"/>
        <v>0</v>
      </c>
      <c r="AI411" s="4"/>
      <c r="AJ411" s="5"/>
      <c r="AK411" s="5" t="str">
        <f ca="1">IF('Rent Roll'!$Z145=1,'Rent Roll'!E145,"")</f>
        <v/>
      </c>
      <c r="AL411" s="39" t="str">
        <f ca="1">IF('Rent Roll'!$Z145=1,'Rent Roll'!G145,"")</f>
        <v/>
      </c>
      <c r="AM411" s="1547" t="str">
        <f ca="1">IF('Rent Roll'!$Z145=1,'Rent Roll'!K145,"")</f>
        <v/>
      </c>
      <c r="AN411" s="1551" t="str">
        <f ca="1">IF('Rent Roll'!$Z145=1,'Rent Roll'!N145,"")</f>
        <v/>
      </c>
      <c r="AO411" s="5"/>
      <c r="AP411" s="6"/>
      <c r="AQ411" s="32"/>
      <c r="AR411" s="342"/>
      <c r="AS411" s="343"/>
      <c r="AT411" s="342"/>
      <c r="AU411" s="343"/>
      <c r="AV411" s="32"/>
      <c r="AW411" s="32"/>
      <c r="AX411" s="32"/>
    </row>
    <row r="412" spans="1:50" ht="15.95" hidden="1" customHeight="1" x14ac:dyDescent="0.25">
      <c r="A412" s="957">
        <f t="shared" ca="1" si="13"/>
        <v>0</v>
      </c>
      <c r="AI412" s="4"/>
      <c r="AJ412" s="5"/>
      <c r="AK412" s="5" t="str">
        <f ca="1">IF('Rent Roll'!$Z146=1,'Rent Roll'!E146,"")</f>
        <v/>
      </c>
      <c r="AL412" s="39" t="str">
        <f ca="1">IF('Rent Roll'!$Z146=1,'Rent Roll'!G146,"")</f>
        <v/>
      </c>
      <c r="AM412" s="1547" t="str">
        <f ca="1">IF('Rent Roll'!$Z146=1,'Rent Roll'!K146,"")</f>
        <v/>
      </c>
      <c r="AN412" s="1551" t="str">
        <f ca="1">IF('Rent Roll'!$Z146=1,'Rent Roll'!N146,"")</f>
        <v/>
      </c>
      <c r="AO412" s="5"/>
      <c r="AP412" s="6"/>
      <c r="AQ412" s="32"/>
      <c r="AR412" s="342"/>
      <c r="AS412" s="343"/>
      <c r="AT412" s="342"/>
      <c r="AU412" s="343"/>
      <c r="AV412" s="32"/>
      <c r="AW412" s="32"/>
      <c r="AX412" s="32"/>
    </row>
    <row r="413" spans="1:50" ht="15.95" hidden="1" customHeight="1" x14ac:dyDescent="0.25">
      <c r="A413" s="957">
        <f t="shared" ca="1" si="13"/>
        <v>0</v>
      </c>
      <c r="AI413" s="4"/>
      <c r="AJ413" s="5"/>
      <c r="AK413" s="5" t="str">
        <f ca="1">IF('Rent Roll'!$Z147=1,'Rent Roll'!E147,"")</f>
        <v/>
      </c>
      <c r="AL413" s="39" t="str">
        <f ca="1">IF('Rent Roll'!$Z147=1,'Rent Roll'!G147,"")</f>
        <v/>
      </c>
      <c r="AM413" s="1547" t="str">
        <f ca="1">IF('Rent Roll'!$Z147=1,'Rent Roll'!K147,"")</f>
        <v/>
      </c>
      <c r="AN413" s="1551" t="str">
        <f ca="1">IF('Rent Roll'!$Z147=1,'Rent Roll'!N147,"")</f>
        <v/>
      </c>
      <c r="AO413" s="5"/>
      <c r="AP413" s="6"/>
      <c r="AQ413" s="32"/>
      <c r="AR413" s="342"/>
      <c r="AS413" s="343"/>
      <c r="AT413" s="342"/>
      <c r="AU413" s="343"/>
      <c r="AV413" s="32"/>
      <c r="AW413" s="32"/>
      <c r="AX413" s="32"/>
    </row>
    <row r="414" spans="1:50" ht="15.95" hidden="1" customHeight="1" x14ac:dyDescent="0.25">
      <c r="A414" s="957">
        <f t="shared" ca="1" si="13"/>
        <v>0</v>
      </c>
      <c r="AI414" s="4"/>
      <c r="AJ414" s="5"/>
      <c r="AK414" s="5" t="str">
        <f ca="1">IF('Rent Roll'!$Z148=1,'Rent Roll'!E148,"")</f>
        <v/>
      </c>
      <c r="AL414" s="39" t="str">
        <f ca="1">IF('Rent Roll'!$Z148=1,'Rent Roll'!G148,"")</f>
        <v/>
      </c>
      <c r="AM414" s="1547" t="str">
        <f ca="1">IF('Rent Roll'!$Z148=1,'Rent Roll'!K148,"")</f>
        <v/>
      </c>
      <c r="AN414" s="1551" t="str">
        <f ca="1">IF('Rent Roll'!$Z148=1,'Rent Roll'!N148,"")</f>
        <v/>
      </c>
      <c r="AO414" s="5"/>
      <c r="AP414" s="6"/>
      <c r="AQ414" s="32"/>
      <c r="AR414" s="342"/>
      <c r="AS414" s="343"/>
      <c r="AT414" s="342"/>
      <c r="AU414" s="343"/>
      <c r="AV414" s="32"/>
      <c r="AW414" s="32"/>
      <c r="AX414" s="32"/>
    </row>
    <row r="415" spans="1:50" ht="15.95" hidden="1" customHeight="1" x14ac:dyDescent="0.25">
      <c r="A415" s="957">
        <f t="shared" ca="1" si="13"/>
        <v>0</v>
      </c>
      <c r="AI415" s="4"/>
      <c r="AJ415" s="5"/>
      <c r="AK415" s="5" t="str">
        <f ca="1">IF('Rent Roll'!$Z149=1,'Rent Roll'!E149,"")</f>
        <v/>
      </c>
      <c r="AL415" s="39" t="str">
        <f ca="1">IF('Rent Roll'!$Z149=1,'Rent Roll'!G149,"")</f>
        <v/>
      </c>
      <c r="AM415" s="1547" t="str">
        <f ca="1">IF('Rent Roll'!$Z149=1,'Rent Roll'!K149,"")</f>
        <v/>
      </c>
      <c r="AN415" s="1551" t="str">
        <f ca="1">IF('Rent Roll'!$Z149=1,'Rent Roll'!N149,"")</f>
        <v/>
      </c>
      <c r="AO415" s="5"/>
      <c r="AP415" s="6"/>
      <c r="AQ415" s="32"/>
      <c r="AR415" s="342"/>
      <c r="AS415" s="343"/>
      <c r="AT415" s="342"/>
      <c r="AU415" s="343"/>
      <c r="AV415" s="32"/>
      <c r="AW415" s="32"/>
      <c r="AX415" s="32"/>
    </row>
    <row r="416" spans="1:50" ht="15.95" hidden="1" customHeight="1" x14ac:dyDescent="0.25">
      <c r="A416" s="957">
        <f t="shared" ca="1" si="13"/>
        <v>0</v>
      </c>
      <c r="AI416" s="4"/>
      <c r="AJ416" s="5"/>
      <c r="AK416" s="5" t="str">
        <f ca="1">IF('Rent Roll'!$Z150=1,'Rent Roll'!E150,"")</f>
        <v/>
      </c>
      <c r="AL416" s="39" t="str">
        <f ca="1">IF('Rent Roll'!$Z150=1,'Rent Roll'!G150,"")</f>
        <v/>
      </c>
      <c r="AM416" s="1547" t="str">
        <f ca="1">IF('Rent Roll'!$Z150=1,'Rent Roll'!K150,"")</f>
        <v/>
      </c>
      <c r="AN416" s="1551" t="str">
        <f ca="1">IF('Rent Roll'!$Z150=1,'Rent Roll'!N150,"")</f>
        <v/>
      </c>
      <c r="AO416" s="5"/>
      <c r="AP416" s="6"/>
      <c r="AQ416" s="32"/>
      <c r="AR416" s="342"/>
      <c r="AS416" s="343"/>
      <c r="AT416" s="342"/>
      <c r="AU416" s="343"/>
      <c r="AV416" s="32"/>
      <c r="AW416" s="32"/>
      <c r="AX416" s="32"/>
    </row>
    <row r="417" spans="1:50" ht="15.95" hidden="1" customHeight="1" x14ac:dyDescent="0.25">
      <c r="A417" s="957">
        <f t="shared" ca="1" si="13"/>
        <v>0</v>
      </c>
      <c r="AI417" s="4"/>
      <c r="AJ417" s="5"/>
      <c r="AK417" s="5" t="str">
        <f ca="1">IF('Rent Roll'!$Z151=1,'Rent Roll'!E151,"")</f>
        <v/>
      </c>
      <c r="AL417" s="39" t="str">
        <f ca="1">IF('Rent Roll'!$Z151=1,'Rent Roll'!G151,"")</f>
        <v/>
      </c>
      <c r="AM417" s="1547" t="str">
        <f ca="1">IF('Rent Roll'!$Z151=1,'Rent Roll'!K151,"")</f>
        <v/>
      </c>
      <c r="AN417" s="1551" t="str">
        <f ca="1">IF('Rent Roll'!$Z151=1,'Rent Roll'!N151,"")</f>
        <v/>
      </c>
      <c r="AO417" s="5"/>
      <c r="AP417" s="6"/>
      <c r="AQ417" s="32"/>
      <c r="AR417" s="342"/>
      <c r="AS417" s="343"/>
      <c r="AT417" s="342"/>
      <c r="AU417" s="343"/>
      <c r="AV417" s="32"/>
      <c r="AW417" s="32"/>
      <c r="AX417" s="32"/>
    </row>
    <row r="418" spans="1:50" ht="15.95" hidden="1" customHeight="1" x14ac:dyDescent="0.25">
      <c r="A418" s="957">
        <f t="shared" ca="1" si="13"/>
        <v>0</v>
      </c>
      <c r="AI418" s="4"/>
      <c r="AJ418" s="5"/>
      <c r="AK418" s="5" t="str">
        <f ca="1">IF('Rent Roll'!$Z152=1,'Rent Roll'!E152,"")</f>
        <v/>
      </c>
      <c r="AL418" s="39" t="str">
        <f ca="1">IF('Rent Roll'!$Z152=1,'Rent Roll'!G152,"")</f>
        <v/>
      </c>
      <c r="AM418" s="1547" t="str">
        <f ca="1">IF('Rent Roll'!$Z152=1,'Rent Roll'!K152,"")</f>
        <v/>
      </c>
      <c r="AN418" s="1551" t="str">
        <f ca="1">IF('Rent Roll'!$Z152=1,'Rent Roll'!N152,"")</f>
        <v/>
      </c>
      <c r="AO418" s="5"/>
      <c r="AP418" s="6"/>
      <c r="AQ418" s="32"/>
      <c r="AR418" s="342"/>
      <c r="AS418" s="343"/>
      <c r="AT418" s="342"/>
      <c r="AU418" s="343"/>
      <c r="AV418" s="32"/>
      <c r="AW418" s="32"/>
      <c r="AX418" s="32"/>
    </row>
    <row r="419" spans="1:50" ht="15.95" hidden="1" customHeight="1" x14ac:dyDescent="0.25">
      <c r="A419" s="957">
        <f t="shared" ca="1" si="13"/>
        <v>0</v>
      </c>
      <c r="AI419" s="4"/>
      <c r="AJ419" s="5"/>
      <c r="AK419" s="5" t="str">
        <f ca="1">IF('Rent Roll'!$Z153=1,'Rent Roll'!E153,"")</f>
        <v/>
      </c>
      <c r="AL419" s="39" t="str">
        <f ca="1">IF('Rent Roll'!$Z153=1,'Rent Roll'!G153,"")</f>
        <v/>
      </c>
      <c r="AM419" s="1547" t="str">
        <f ca="1">IF('Rent Roll'!$Z153=1,'Rent Roll'!K153,"")</f>
        <v/>
      </c>
      <c r="AN419" s="1551" t="str">
        <f ca="1">IF('Rent Roll'!$Z153=1,'Rent Roll'!N153,"")</f>
        <v/>
      </c>
      <c r="AO419" s="5"/>
      <c r="AP419" s="6"/>
      <c r="AQ419" s="32"/>
      <c r="AR419" s="342"/>
      <c r="AS419" s="343"/>
      <c r="AT419" s="342"/>
      <c r="AU419" s="343"/>
      <c r="AV419" s="32"/>
      <c r="AW419" s="32"/>
      <c r="AX419" s="32"/>
    </row>
    <row r="420" spans="1:50" ht="15.95" hidden="1" customHeight="1" x14ac:dyDescent="0.25">
      <c r="A420" s="957">
        <f t="shared" ca="1" si="13"/>
        <v>0</v>
      </c>
      <c r="AI420" s="4"/>
      <c r="AJ420" s="5"/>
      <c r="AK420" s="5" t="str">
        <f ca="1">IF('Rent Roll'!$Z154=1,'Rent Roll'!E154,"")</f>
        <v/>
      </c>
      <c r="AL420" s="39" t="str">
        <f ca="1">IF('Rent Roll'!$Z154=1,'Rent Roll'!G154,"")</f>
        <v/>
      </c>
      <c r="AM420" s="1547" t="str">
        <f ca="1">IF('Rent Roll'!$Z154=1,'Rent Roll'!K154,"")</f>
        <v/>
      </c>
      <c r="AN420" s="1551" t="str">
        <f ca="1">IF('Rent Roll'!$Z154=1,'Rent Roll'!N154,"")</f>
        <v/>
      </c>
      <c r="AO420" s="5"/>
      <c r="AP420" s="6"/>
      <c r="AQ420" s="32"/>
      <c r="AR420" s="342"/>
      <c r="AS420" s="343"/>
      <c r="AT420" s="342"/>
      <c r="AU420" s="343"/>
      <c r="AV420" s="32"/>
      <c r="AW420" s="32"/>
      <c r="AX420" s="32"/>
    </row>
    <row r="421" spans="1:50" ht="15.95" hidden="1" customHeight="1" x14ac:dyDescent="0.25">
      <c r="A421" s="957">
        <f t="shared" ca="1" si="13"/>
        <v>0</v>
      </c>
      <c r="AI421" s="4"/>
      <c r="AJ421" s="5"/>
      <c r="AK421" s="5" t="str">
        <f ca="1">IF('Rent Roll'!$Z155=1,'Rent Roll'!E155,"")</f>
        <v/>
      </c>
      <c r="AL421" s="39" t="str">
        <f ca="1">IF('Rent Roll'!$Z155=1,'Rent Roll'!G155,"")</f>
        <v/>
      </c>
      <c r="AM421" s="1547" t="str">
        <f ca="1">IF('Rent Roll'!$Z155=1,'Rent Roll'!K155,"")</f>
        <v/>
      </c>
      <c r="AN421" s="1551" t="str">
        <f ca="1">IF('Rent Roll'!$Z155=1,'Rent Roll'!N155,"")</f>
        <v/>
      </c>
      <c r="AO421" s="5"/>
      <c r="AP421" s="6"/>
      <c r="AQ421" s="32"/>
      <c r="AR421" s="342"/>
      <c r="AS421" s="343"/>
      <c r="AT421" s="342"/>
      <c r="AU421" s="343"/>
      <c r="AV421" s="32"/>
      <c r="AW421" s="32"/>
      <c r="AX421" s="32"/>
    </row>
    <row r="422" spans="1:50" ht="15.95" hidden="1" customHeight="1" x14ac:dyDescent="0.25">
      <c r="A422" s="957">
        <f t="shared" ca="1" si="13"/>
        <v>0</v>
      </c>
      <c r="AI422" s="4"/>
      <c r="AJ422" s="5"/>
      <c r="AK422" s="5" t="str">
        <f ca="1">IF('Rent Roll'!$Z156=1,'Rent Roll'!E156,"")</f>
        <v/>
      </c>
      <c r="AL422" s="39" t="str">
        <f ca="1">IF('Rent Roll'!$Z156=1,'Rent Roll'!G156,"")</f>
        <v/>
      </c>
      <c r="AM422" s="1547" t="str">
        <f ca="1">IF('Rent Roll'!$Z156=1,'Rent Roll'!K156,"")</f>
        <v/>
      </c>
      <c r="AN422" s="1551" t="str">
        <f ca="1">IF('Rent Roll'!$Z156=1,'Rent Roll'!N156,"")</f>
        <v/>
      </c>
      <c r="AO422" s="5"/>
      <c r="AP422" s="6"/>
      <c r="AQ422" s="32"/>
      <c r="AR422" s="342"/>
      <c r="AS422" s="343"/>
      <c r="AT422" s="342"/>
      <c r="AU422" s="343"/>
      <c r="AV422" s="32"/>
      <c r="AW422" s="32"/>
      <c r="AX422" s="32"/>
    </row>
    <row r="423" spans="1:50" ht="15.95" hidden="1" customHeight="1" x14ac:dyDescent="0.25">
      <c r="A423" s="957">
        <f t="shared" ca="1" si="13"/>
        <v>0</v>
      </c>
      <c r="AI423" s="4"/>
      <c r="AJ423" s="5"/>
      <c r="AK423" s="5" t="str">
        <f ca="1">IF('Rent Roll'!$Z157=1,'Rent Roll'!E157,"")</f>
        <v/>
      </c>
      <c r="AL423" s="39" t="str">
        <f ca="1">IF('Rent Roll'!$Z157=1,'Rent Roll'!G157,"")</f>
        <v/>
      </c>
      <c r="AM423" s="1547" t="str">
        <f ca="1">IF('Rent Roll'!$Z157=1,'Rent Roll'!K157,"")</f>
        <v/>
      </c>
      <c r="AN423" s="1551" t="str">
        <f ca="1">IF('Rent Roll'!$Z157=1,'Rent Roll'!N157,"")</f>
        <v/>
      </c>
      <c r="AO423" s="5"/>
      <c r="AP423" s="6"/>
      <c r="AQ423" s="32"/>
      <c r="AR423" s="342"/>
      <c r="AS423" s="343"/>
      <c r="AT423" s="342"/>
      <c r="AU423" s="343"/>
      <c r="AV423" s="32"/>
      <c r="AW423" s="32"/>
      <c r="AX423" s="32"/>
    </row>
    <row r="424" spans="1:50" ht="15.95" hidden="1" customHeight="1" x14ac:dyDescent="0.25">
      <c r="A424" s="957">
        <f t="shared" ca="1" si="13"/>
        <v>0</v>
      </c>
      <c r="AI424" s="4"/>
      <c r="AJ424" s="5"/>
      <c r="AK424" s="5" t="str">
        <f ca="1">IF('Rent Roll'!$Z158=1,'Rent Roll'!E158,"")</f>
        <v/>
      </c>
      <c r="AL424" s="39" t="str">
        <f ca="1">IF('Rent Roll'!$Z158=1,'Rent Roll'!G158,"")</f>
        <v/>
      </c>
      <c r="AM424" s="1547" t="str">
        <f ca="1">IF('Rent Roll'!$Z158=1,'Rent Roll'!K158,"")</f>
        <v/>
      </c>
      <c r="AN424" s="1551" t="str">
        <f ca="1">IF('Rent Roll'!$Z158=1,'Rent Roll'!N158,"")</f>
        <v/>
      </c>
      <c r="AO424" s="5"/>
      <c r="AP424" s="6"/>
      <c r="AQ424" s="32"/>
      <c r="AR424" s="342"/>
      <c r="AS424" s="343"/>
      <c r="AT424" s="342"/>
      <c r="AU424" s="343"/>
      <c r="AV424" s="32"/>
      <c r="AW424" s="32"/>
      <c r="AX424" s="32"/>
    </row>
    <row r="425" spans="1:50" ht="15.95" hidden="1" customHeight="1" x14ac:dyDescent="0.25">
      <c r="A425" s="957">
        <f t="shared" ca="1" si="13"/>
        <v>0</v>
      </c>
      <c r="AI425" s="4"/>
      <c r="AJ425" s="5"/>
      <c r="AK425" s="5" t="str">
        <f ca="1">IF('Rent Roll'!$Z159=1,'Rent Roll'!E159,"")</f>
        <v/>
      </c>
      <c r="AL425" s="39" t="str">
        <f ca="1">IF('Rent Roll'!$Z159=1,'Rent Roll'!G159,"")</f>
        <v/>
      </c>
      <c r="AM425" s="1547" t="str">
        <f ca="1">IF('Rent Roll'!$Z159=1,'Rent Roll'!K159,"")</f>
        <v/>
      </c>
      <c r="AN425" s="1551" t="str">
        <f ca="1">IF('Rent Roll'!$Z159=1,'Rent Roll'!N159,"")</f>
        <v/>
      </c>
      <c r="AO425" s="5"/>
      <c r="AP425" s="6"/>
      <c r="AQ425" s="32"/>
      <c r="AR425" s="342"/>
      <c r="AS425" s="343"/>
      <c r="AT425" s="342"/>
      <c r="AU425" s="343"/>
      <c r="AV425" s="32"/>
      <c r="AW425" s="32"/>
      <c r="AX425" s="32"/>
    </row>
    <row r="426" spans="1:50" ht="15.95" hidden="1" customHeight="1" x14ac:dyDescent="0.25">
      <c r="A426" s="957">
        <f t="shared" ca="1" si="13"/>
        <v>0</v>
      </c>
      <c r="AI426" s="4"/>
      <c r="AJ426" s="5"/>
      <c r="AK426" s="5" t="str">
        <f ca="1">IF('Rent Roll'!$Z160=1,'Rent Roll'!E160,"")</f>
        <v/>
      </c>
      <c r="AL426" s="39" t="str">
        <f ca="1">IF('Rent Roll'!$Z160=1,'Rent Roll'!G160,"")</f>
        <v/>
      </c>
      <c r="AM426" s="1547" t="str">
        <f ca="1">IF('Rent Roll'!$Z160=1,'Rent Roll'!K160,"")</f>
        <v/>
      </c>
      <c r="AN426" s="1551" t="str">
        <f ca="1">IF('Rent Roll'!$Z160=1,'Rent Roll'!N160,"")</f>
        <v/>
      </c>
      <c r="AO426" s="5"/>
      <c r="AP426" s="6"/>
      <c r="AQ426" s="32"/>
      <c r="AR426" s="342"/>
      <c r="AS426" s="343"/>
      <c r="AT426" s="342"/>
      <c r="AU426" s="343"/>
      <c r="AV426" s="32"/>
      <c r="AW426" s="32"/>
      <c r="AX426" s="32"/>
    </row>
    <row r="427" spans="1:50" ht="15.95" hidden="1" customHeight="1" x14ac:dyDescent="0.25">
      <c r="A427" s="957">
        <f t="shared" ca="1" si="13"/>
        <v>0</v>
      </c>
      <c r="AI427" s="4"/>
      <c r="AJ427" s="5"/>
      <c r="AK427" s="5" t="str">
        <f ca="1">IF('Rent Roll'!$Z161=1,'Rent Roll'!E161,"")</f>
        <v/>
      </c>
      <c r="AL427" s="39" t="str">
        <f ca="1">IF('Rent Roll'!$Z161=1,'Rent Roll'!G161,"")</f>
        <v/>
      </c>
      <c r="AM427" s="1547" t="str">
        <f ca="1">IF('Rent Roll'!$Z161=1,'Rent Roll'!K161,"")</f>
        <v/>
      </c>
      <c r="AN427" s="1551" t="str">
        <f ca="1">IF('Rent Roll'!$Z161=1,'Rent Roll'!N161,"")</f>
        <v/>
      </c>
      <c r="AO427" s="5"/>
      <c r="AP427" s="6"/>
      <c r="AQ427" s="32"/>
      <c r="AR427" s="342"/>
      <c r="AS427" s="343"/>
      <c r="AT427" s="342"/>
      <c r="AU427" s="343"/>
      <c r="AV427" s="32"/>
      <c r="AW427" s="32"/>
      <c r="AX427" s="32"/>
    </row>
    <row r="428" spans="1:50" ht="15.95" hidden="1" customHeight="1" x14ac:dyDescent="0.25">
      <c r="A428" s="957">
        <f t="shared" ca="1" si="13"/>
        <v>0</v>
      </c>
      <c r="AI428" s="4"/>
      <c r="AJ428" s="5"/>
      <c r="AK428" s="5" t="str">
        <f ca="1">IF('Rent Roll'!$Z162=1,'Rent Roll'!E162,"")</f>
        <v/>
      </c>
      <c r="AL428" s="39" t="str">
        <f ca="1">IF('Rent Roll'!$Z162=1,'Rent Roll'!G162,"")</f>
        <v/>
      </c>
      <c r="AM428" s="1547" t="str">
        <f ca="1">IF('Rent Roll'!$Z162=1,'Rent Roll'!K162,"")</f>
        <v/>
      </c>
      <c r="AN428" s="1551" t="str">
        <f ca="1">IF('Rent Roll'!$Z162=1,'Rent Roll'!N162,"")</f>
        <v/>
      </c>
      <c r="AO428" s="5"/>
      <c r="AP428" s="6"/>
      <c r="AQ428" s="32"/>
      <c r="AR428" s="342"/>
      <c r="AS428" s="343"/>
      <c r="AT428" s="342"/>
      <c r="AU428" s="343"/>
      <c r="AV428" s="32"/>
      <c r="AW428" s="32"/>
      <c r="AX428" s="32"/>
    </row>
    <row r="429" spans="1:50" ht="15.95" hidden="1" customHeight="1" x14ac:dyDescent="0.25">
      <c r="A429" s="957">
        <f t="shared" ca="1" si="13"/>
        <v>0</v>
      </c>
      <c r="AI429" s="4"/>
      <c r="AJ429" s="5"/>
      <c r="AK429" s="5" t="str">
        <f ca="1">IF('Rent Roll'!$Z163=1,'Rent Roll'!E163,"")</f>
        <v/>
      </c>
      <c r="AL429" s="39" t="str">
        <f ca="1">IF('Rent Roll'!$Z163=1,'Rent Roll'!G163,"")</f>
        <v/>
      </c>
      <c r="AM429" s="1547" t="str">
        <f ca="1">IF('Rent Roll'!$Z163=1,'Rent Roll'!K163,"")</f>
        <v/>
      </c>
      <c r="AN429" s="1551" t="str">
        <f ca="1">IF('Rent Roll'!$Z163=1,'Rent Roll'!N163,"")</f>
        <v/>
      </c>
      <c r="AO429" s="5"/>
      <c r="AP429" s="6"/>
      <c r="AQ429" s="32"/>
      <c r="AR429" s="342"/>
      <c r="AS429" s="343"/>
      <c r="AT429" s="342"/>
      <c r="AU429" s="343"/>
      <c r="AV429" s="32"/>
      <c r="AW429" s="32"/>
      <c r="AX429" s="32"/>
    </row>
    <row r="430" spans="1:50" ht="15.95" hidden="1" customHeight="1" x14ac:dyDescent="0.25">
      <c r="A430" s="957">
        <f t="shared" ca="1" si="13"/>
        <v>0</v>
      </c>
      <c r="AI430" s="4"/>
      <c r="AJ430" s="5"/>
      <c r="AK430" s="5" t="str">
        <f ca="1">IF('Rent Roll'!$Z164=1,'Rent Roll'!E164,"")</f>
        <v/>
      </c>
      <c r="AL430" s="39" t="str">
        <f ca="1">IF('Rent Roll'!$Z164=1,'Rent Roll'!G164,"")</f>
        <v/>
      </c>
      <c r="AM430" s="1547" t="str">
        <f ca="1">IF('Rent Roll'!$Z164=1,'Rent Roll'!K164,"")</f>
        <v/>
      </c>
      <c r="AN430" s="1551" t="str">
        <f ca="1">IF('Rent Roll'!$Z164=1,'Rent Roll'!N164,"")</f>
        <v/>
      </c>
      <c r="AO430" s="5"/>
      <c r="AP430" s="6"/>
      <c r="AQ430" s="32"/>
      <c r="AR430" s="342"/>
      <c r="AS430" s="343"/>
      <c r="AT430" s="342"/>
      <c r="AU430" s="343"/>
      <c r="AV430" s="32"/>
      <c r="AW430" s="32"/>
      <c r="AX430" s="32"/>
    </row>
    <row r="431" spans="1:50" ht="15.95" hidden="1" customHeight="1" x14ac:dyDescent="0.25">
      <c r="A431" s="957">
        <f t="shared" ca="1" si="13"/>
        <v>0</v>
      </c>
      <c r="AI431" s="4"/>
      <c r="AJ431" s="5"/>
      <c r="AK431" s="5" t="str">
        <f ca="1">IF('Rent Roll'!$Z165=1,'Rent Roll'!E165,"")</f>
        <v/>
      </c>
      <c r="AL431" s="39" t="str">
        <f ca="1">IF('Rent Roll'!$Z165=1,'Rent Roll'!G165,"")</f>
        <v/>
      </c>
      <c r="AM431" s="1547" t="str">
        <f ca="1">IF('Rent Roll'!$Z165=1,'Rent Roll'!K165,"")</f>
        <v/>
      </c>
      <c r="AN431" s="1551" t="str">
        <f ca="1">IF('Rent Roll'!$Z165=1,'Rent Roll'!N165,"")</f>
        <v/>
      </c>
      <c r="AO431" s="5"/>
      <c r="AP431" s="6"/>
      <c r="AQ431" s="32"/>
      <c r="AR431" s="342"/>
      <c r="AS431" s="343"/>
      <c r="AT431" s="342"/>
      <c r="AU431" s="343"/>
      <c r="AV431" s="32"/>
      <c r="AW431" s="32"/>
      <c r="AX431" s="32"/>
    </row>
    <row r="432" spans="1:50" ht="15.95" hidden="1" customHeight="1" x14ac:dyDescent="0.25">
      <c r="A432" s="957">
        <f t="shared" ca="1" si="13"/>
        <v>0</v>
      </c>
      <c r="AI432" s="4"/>
      <c r="AJ432" s="5"/>
      <c r="AK432" s="5" t="str">
        <f ca="1">IF('Rent Roll'!$Z166=1,'Rent Roll'!E166,"")</f>
        <v/>
      </c>
      <c r="AL432" s="39" t="str">
        <f ca="1">IF('Rent Roll'!$Z166=1,'Rent Roll'!G166,"")</f>
        <v/>
      </c>
      <c r="AM432" s="1547" t="str">
        <f ca="1">IF('Rent Roll'!$Z166=1,'Rent Roll'!K166,"")</f>
        <v/>
      </c>
      <c r="AN432" s="1551" t="str">
        <f ca="1">IF('Rent Roll'!$Z166=1,'Rent Roll'!N166,"")</f>
        <v/>
      </c>
      <c r="AO432" s="5"/>
      <c r="AP432" s="6"/>
      <c r="AQ432" s="32"/>
      <c r="AR432" s="342"/>
      <c r="AS432" s="343"/>
      <c r="AT432" s="342"/>
      <c r="AU432" s="343"/>
      <c r="AV432" s="32"/>
      <c r="AW432" s="32"/>
      <c r="AX432" s="32"/>
    </row>
    <row r="433" spans="1:50" ht="15.95" hidden="1" customHeight="1" x14ac:dyDescent="0.25">
      <c r="A433" s="957">
        <f t="shared" ref="A433:A464" ca="1" si="14">IF(AK433="",0,1)</f>
        <v>0</v>
      </c>
      <c r="AI433" s="4"/>
      <c r="AJ433" s="5"/>
      <c r="AK433" s="5" t="str">
        <f ca="1">IF('Rent Roll'!$Z167=1,'Rent Roll'!E167,"")</f>
        <v/>
      </c>
      <c r="AL433" s="39" t="str">
        <f ca="1">IF('Rent Roll'!$Z167=1,'Rent Roll'!G167,"")</f>
        <v/>
      </c>
      <c r="AM433" s="1547" t="str">
        <f ca="1">IF('Rent Roll'!$Z167=1,'Rent Roll'!K167,"")</f>
        <v/>
      </c>
      <c r="AN433" s="1551" t="str">
        <f ca="1">IF('Rent Roll'!$Z167=1,'Rent Roll'!N167,"")</f>
        <v/>
      </c>
      <c r="AO433" s="5"/>
      <c r="AP433" s="6"/>
      <c r="AQ433" s="32"/>
      <c r="AR433" s="342"/>
      <c r="AS433" s="343"/>
      <c r="AT433" s="342"/>
      <c r="AU433" s="343"/>
      <c r="AV433" s="32"/>
      <c r="AW433" s="32"/>
      <c r="AX433" s="32"/>
    </row>
    <row r="434" spans="1:50" ht="15.95" hidden="1" customHeight="1" x14ac:dyDescent="0.25">
      <c r="A434" s="957">
        <f t="shared" ca="1" si="14"/>
        <v>0</v>
      </c>
      <c r="AI434" s="4"/>
      <c r="AJ434" s="5"/>
      <c r="AK434" s="5" t="str">
        <f ca="1">IF('Rent Roll'!$Z168=1,'Rent Roll'!E168,"")</f>
        <v/>
      </c>
      <c r="AL434" s="39" t="str">
        <f ca="1">IF('Rent Roll'!$Z168=1,'Rent Roll'!G168,"")</f>
        <v/>
      </c>
      <c r="AM434" s="1547" t="str">
        <f ca="1">IF('Rent Roll'!$Z168=1,'Rent Roll'!K168,"")</f>
        <v/>
      </c>
      <c r="AN434" s="1551" t="str">
        <f ca="1">IF('Rent Roll'!$Z168=1,'Rent Roll'!N168,"")</f>
        <v/>
      </c>
      <c r="AO434" s="5"/>
      <c r="AP434" s="6"/>
      <c r="AQ434" s="32"/>
      <c r="AR434" s="342"/>
      <c r="AS434" s="343"/>
      <c r="AT434" s="342"/>
      <c r="AU434" s="343"/>
      <c r="AV434" s="32"/>
      <c r="AW434" s="32"/>
      <c r="AX434" s="32"/>
    </row>
    <row r="435" spans="1:50" ht="15.95" hidden="1" customHeight="1" x14ac:dyDescent="0.25">
      <c r="A435" s="957">
        <f t="shared" ca="1" si="14"/>
        <v>0</v>
      </c>
      <c r="AI435" s="4"/>
      <c r="AJ435" s="5"/>
      <c r="AK435" s="5" t="str">
        <f ca="1">IF('Rent Roll'!$Z169=1,'Rent Roll'!E169,"")</f>
        <v/>
      </c>
      <c r="AL435" s="39" t="str">
        <f ca="1">IF('Rent Roll'!$Z169=1,'Rent Roll'!G169,"")</f>
        <v/>
      </c>
      <c r="AM435" s="1547" t="str">
        <f ca="1">IF('Rent Roll'!$Z169=1,'Rent Roll'!K169,"")</f>
        <v/>
      </c>
      <c r="AN435" s="1551" t="str">
        <f ca="1">IF('Rent Roll'!$Z169=1,'Rent Roll'!N169,"")</f>
        <v/>
      </c>
      <c r="AO435" s="5"/>
      <c r="AP435" s="6"/>
      <c r="AQ435" s="32"/>
      <c r="AR435" s="342"/>
      <c r="AS435" s="343"/>
      <c r="AT435" s="342"/>
      <c r="AU435" s="343"/>
      <c r="AV435" s="32"/>
      <c r="AW435" s="32"/>
      <c r="AX435" s="32"/>
    </row>
    <row r="436" spans="1:50" ht="15.95" hidden="1" customHeight="1" x14ac:dyDescent="0.25">
      <c r="A436" s="957">
        <f t="shared" ca="1" si="14"/>
        <v>0</v>
      </c>
      <c r="AI436" s="4"/>
      <c r="AJ436" s="5"/>
      <c r="AK436" s="5" t="str">
        <f ca="1">IF('Rent Roll'!$Z170=1,'Rent Roll'!E170,"")</f>
        <v/>
      </c>
      <c r="AL436" s="39" t="str">
        <f ca="1">IF('Rent Roll'!$Z170=1,'Rent Roll'!G170,"")</f>
        <v/>
      </c>
      <c r="AM436" s="1547" t="str">
        <f ca="1">IF('Rent Roll'!$Z170=1,'Rent Roll'!K170,"")</f>
        <v/>
      </c>
      <c r="AN436" s="1551" t="str">
        <f ca="1">IF('Rent Roll'!$Z170=1,'Rent Roll'!N170,"")</f>
        <v/>
      </c>
      <c r="AO436" s="5"/>
      <c r="AP436" s="6"/>
      <c r="AQ436" s="32"/>
      <c r="AR436" s="342"/>
      <c r="AS436" s="343"/>
      <c r="AT436" s="342"/>
      <c r="AU436" s="343"/>
      <c r="AV436" s="32"/>
      <c r="AW436" s="32"/>
      <c r="AX436" s="32"/>
    </row>
    <row r="437" spans="1:50" ht="15.95" hidden="1" customHeight="1" x14ac:dyDescent="0.25">
      <c r="A437" s="957">
        <f t="shared" ca="1" si="14"/>
        <v>0</v>
      </c>
      <c r="AI437" s="4"/>
      <c r="AJ437" s="5"/>
      <c r="AK437" s="5" t="str">
        <f ca="1">IF('Rent Roll'!$Z171=1,'Rent Roll'!E171,"")</f>
        <v/>
      </c>
      <c r="AL437" s="39" t="str">
        <f ca="1">IF('Rent Roll'!$Z171=1,'Rent Roll'!G171,"")</f>
        <v/>
      </c>
      <c r="AM437" s="1547" t="str">
        <f ca="1">IF('Rent Roll'!$Z171=1,'Rent Roll'!K171,"")</f>
        <v/>
      </c>
      <c r="AN437" s="1551" t="str">
        <f ca="1">IF('Rent Roll'!$Z171=1,'Rent Roll'!N171,"")</f>
        <v/>
      </c>
      <c r="AO437" s="5"/>
      <c r="AP437" s="6"/>
      <c r="AQ437" s="32"/>
      <c r="AR437" s="342"/>
      <c r="AS437" s="343"/>
      <c r="AT437" s="342"/>
      <c r="AU437" s="343"/>
      <c r="AV437" s="32"/>
      <c r="AW437" s="32"/>
      <c r="AX437" s="32"/>
    </row>
    <row r="438" spans="1:50" ht="15.95" hidden="1" customHeight="1" x14ac:dyDescent="0.25">
      <c r="A438" s="957">
        <f t="shared" ca="1" si="14"/>
        <v>0</v>
      </c>
      <c r="AI438" s="4"/>
      <c r="AJ438" s="5"/>
      <c r="AK438" s="5" t="str">
        <f ca="1">IF('Rent Roll'!$Z172=1,'Rent Roll'!E172,"")</f>
        <v/>
      </c>
      <c r="AL438" s="39" t="str">
        <f ca="1">IF('Rent Roll'!$Z172=1,'Rent Roll'!G172,"")</f>
        <v/>
      </c>
      <c r="AM438" s="1547" t="str">
        <f ca="1">IF('Rent Roll'!$Z172=1,'Rent Roll'!K172,"")</f>
        <v/>
      </c>
      <c r="AN438" s="1551" t="str">
        <f ca="1">IF('Rent Roll'!$Z172=1,'Rent Roll'!N172,"")</f>
        <v/>
      </c>
      <c r="AO438" s="5"/>
      <c r="AP438" s="6"/>
      <c r="AQ438" s="32"/>
      <c r="AR438" s="342"/>
      <c r="AS438" s="343"/>
      <c r="AT438" s="342"/>
      <c r="AU438" s="343"/>
      <c r="AV438" s="32"/>
      <c r="AW438" s="32"/>
      <c r="AX438" s="32"/>
    </row>
    <row r="439" spans="1:50" ht="15.95" hidden="1" customHeight="1" x14ac:dyDescent="0.25">
      <c r="A439" s="957">
        <f t="shared" ca="1" si="14"/>
        <v>0</v>
      </c>
      <c r="AI439" s="4"/>
      <c r="AJ439" s="5"/>
      <c r="AK439" s="5" t="str">
        <f ca="1">IF('Rent Roll'!$Z173=1,'Rent Roll'!E173,"")</f>
        <v/>
      </c>
      <c r="AL439" s="39" t="str">
        <f ca="1">IF('Rent Roll'!$Z173=1,'Rent Roll'!G173,"")</f>
        <v/>
      </c>
      <c r="AM439" s="1547" t="str">
        <f ca="1">IF('Rent Roll'!$Z173=1,'Rent Roll'!K173,"")</f>
        <v/>
      </c>
      <c r="AN439" s="1551" t="str">
        <f ca="1">IF('Rent Roll'!$Z173=1,'Rent Roll'!N173,"")</f>
        <v/>
      </c>
      <c r="AO439" s="5"/>
      <c r="AP439" s="6"/>
      <c r="AQ439" s="32"/>
      <c r="AR439" s="342"/>
      <c r="AS439" s="343"/>
      <c r="AT439" s="342"/>
      <c r="AU439" s="343"/>
      <c r="AV439" s="32"/>
      <c r="AW439" s="32"/>
      <c r="AX439" s="32"/>
    </row>
    <row r="440" spans="1:50" ht="15.95" hidden="1" customHeight="1" x14ac:dyDescent="0.25">
      <c r="A440" s="957">
        <f t="shared" ca="1" si="14"/>
        <v>0</v>
      </c>
      <c r="AI440" s="4"/>
      <c r="AJ440" s="5"/>
      <c r="AK440" s="5" t="str">
        <f ca="1">IF('Rent Roll'!$Z174=1,'Rent Roll'!E174,"")</f>
        <v/>
      </c>
      <c r="AL440" s="39" t="str">
        <f ca="1">IF('Rent Roll'!$Z174=1,'Rent Roll'!G174,"")</f>
        <v/>
      </c>
      <c r="AM440" s="1547" t="str">
        <f ca="1">IF('Rent Roll'!$Z174=1,'Rent Roll'!K174,"")</f>
        <v/>
      </c>
      <c r="AN440" s="1551" t="str">
        <f ca="1">IF('Rent Roll'!$Z174=1,'Rent Roll'!N174,"")</f>
        <v/>
      </c>
      <c r="AO440" s="5"/>
      <c r="AP440" s="6"/>
      <c r="AQ440" s="32"/>
      <c r="AR440" s="342"/>
      <c r="AS440" s="343"/>
      <c r="AT440" s="342"/>
      <c r="AU440" s="343"/>
      <c r="AV440" s="32"/>
      <c r="AW440" s="32"/>
      <c r="AX440" s="32"/>
    </row>
    <row r="441" spans="1:50" ht="15.95" hidden="1" customHeight="1" x14ac:dyDescent="0.25">
      <c r="A441" s="957">
        <f t="shared" ca="1" si="14"/>
        <v>0</v>
      </c>
      <c r="AI441" s="4"/>
      <c r="AJ441" s="5"/>
      <c r="AK441" s="5" t="str">
        <f ca="1">IF('Rent Roll'!$Z175=1,'Rent Roll'!E175,"")</f>
        <v/>
      </c>
      <c r="AL441" s="39" t="str">
        <f ca="1">IF('Rent Roll'!$Z175=1,'Rent Roll'!G175,"")</f>
        <v/>
      </c>
      <c r="AM441" s="1547" t="str">
        <f ca="1">IF('Rent Roll'!$Z175=1,'Rent Roll'!K175,"")</f>
        <v/>
      </c>
      <c r="AN441" s="1551" t="str">
        <f ca="1">IF('Rent Roll'!$Z175=1,'Rent Roll'!N175,"")</f>
        <v/>
      </c>
      <c r="AO441" s="5"/>
      <c r="AP441" s="6"/>
      <c r="AQ441" s="32"/>
      <c r="AR441" s="342"/>
      <c r="AS441" s="343"/>
      <c r="AT441" s="342"/>
      <c r="AU441" s="343"/>
      <c r="AV441" s="32"/>
      <c r="AW441" s="32"/>
      <c r="AX441" s="32"/>
    </row>
    <row r="442" spans="1:50" ht="15.95" hidden="1" customHeight="1" x14ac:dyDescent="0.25">
      <c r="A442" s="957">
        <f t="shared" ca="1" si="14"/>
        <v>0</v>
      </c>
      <c r="AI442" s="4"/>
      <c r="AJ442" s="5"/>
      <c r="AK442" s="5" t="str">
        <f ca="1">IF('Rent Roll'!$Z176=1,'Rent Roll'!E176,"")</f>
        <v/>
      </c>
      <c r="AL442" s="39" t="str">
        <f ca="1">IF('Rent Roll'!$Z176=1,'Rent Roll'!G176,"")</f>
        <v/>
      </c>
      <c r="AM442" s="1547" t="str">
        <f ca="1">IF('Rent Roll'!$Z176=1,'Rent Roll'!K176,"")</f>
        <v/>
      </c>
      <c r="AN442" s="1551" t="str">
        <f ca="1">IF('Rent Roll'!$Z176=1,'Rent Roll'!N176,"")</f>
        <v/>
      </c>
      <c r="AO442" s="5"/>
      <c r="AP442" s="6"/>
      <c r="AQ442" s="32"/>
      <c r="AR442" s="342"/>
      <c r="AS442" s="343"/>
      <c r="AT442" s="342"/>
      <c r="AU442" s="343"/>
      <c r="AV442" s="32"/>
      <c r="AW442" s="32"/>
      <c r="AX442" s="32"/>
    </row>
    <row r="443" spans="1:50" ht="15.95" hidden="1" customHeight="1" x14ac:dyDescent="0.25">
      <c r="A443" s="957">
        <f t="shared" ca="1" si="14"/>
        <v>0</v>
      </c>
      <c r="AI443" s="4"/>
      <c r="AJ443" s="5"/>
      <c r="AK443" s="5" t="str">
        <f ca="1">IF('Rent Roll'!$Z177=1,'Rent Roll'!E177,"")</f>
        <v/>
      </c>
      <c r="AL443" s="39" t="str">
        <f ca="1">IF('Rent Roll'!$Z177=1,'Rent Roll'!G177,"")</f>
        <v/>
      </c>
      <c r="AM443" s="1547" t="str">
        <f ca="1">IF('Rent Roll'!$Z177=1,'Rent Roll'!K177,"")</f>
        <v/>
      </c>
      <c r="AN443" s="1551" t="str">
        <f ca="1">IF('Rent Roll'!$Z177=1,'Rent Roll'!N177,"")</f>
        <v/>
      </c>
      <c r="AO443" s="5"/>
      <c r="AP443" s="6"/>
      <c r="AQ443" s="32"/>
      <c r="AR443" s="342"/>
      <c r="AS443" s="343"/>
      <c r="AT443" s="342"/>
      <c r="AU443" s="343"/>
      <c r="AV443" s="32"/>
      <c r="AW443" s="32"/>
      <c r="AX443" s="32"/>
    </row>
    <row r="444" spans="1:50" ht="15.95" hidden="1" customHeight="1" x14ac:dyDescent="0.25">
      <c r="A444" s="957">
        <f t="shared" ca="1" si="14"/>
        <v>0</v>
      </c>
      <c r="AI444" s="4"/>
      <c r="AJ444" s="5"/>
      <c r="AK444" s="5" t="str">
        <f ca="1">IF('Rent Roll'!$Z178=1,'Rent Roll'!E178,"")</f>
        <v/>
      </c>
      <c r="AL444" s="39" t="str">
        <f ca="1">IF('Rent Roll'!$Z178=1,'Rent Roll'!G178,"")</f>
        <v/>
      </c>
      <c r="AM444" s="1547" t="str">
        <f ca="1">IF('Rent Roll'!$Z178=1,'Rent Roll'!K178,"")</f>
        <v/>
      </c>
      <c r="AN444" s="1551" t="str">
        <f ca="1">IF('Rent Roll'!$Z178=1,'Rent Roll'!N178,"")</f>
        <v/>
      </c>
      <c r="AO444" s="5"/>
      <c r="AP444" s="6"/>
      <c r="AQ444" s="32"/>
      <c r="AR444" s="342"/>
      <c r="AS444" s="343"/>
      <c r="AT444" s="342"/>
      <c r="AU444" s="343"/>
      <c r="AV444" s="32"/>
      <c r="AW444" s="32"/>
      <c r="AX444" s="32"/>
    </row>
    <row r="445" spans="1:50" ht="15.95" hidden="1" customHeight="1" x14ac:dyDescent="0.25">
      <c r="A445" s="957">
        <f t="shared" ca="1" si="14"/>
        <v>0</v>
      </c>
      <c r="AI445" s="4"/>
      <c r="AJ445" s="5"/>
      <c r="AK445" s="5" t="str">
        <f ca="1">IF('Rent Roll'!$Z179=1,'Rent Roll'!E179,"")</f>
        <v/>
      </c>
      <c r="AL445" s="39" t="str">
        <f ca="1">IF('Rent Roll'!$Z179=1,'Rent Roll'!G179,"")</f>
        <v/>
      </c>
      <c r="AM445" s="1547" t="str">
        <f ca="1">IF('Rent Roll'!$Z179=1,'Rent Roll'!K179,"")</f>
        <v/>
      </c>
      <c r="AN445" s="1551" t="str">
        <f ca="1">IF('Rent Roll'!$Z179=1,'Rent Roll'!N179,"")</f>
        <v/>
      </c>
      <c r="AO445" s="5"/>
      <c r="AP445" s="6"/>
      <c r="AQ445" s="32"/>
      <c r="AR445" s="342"/>
      <c r="AS445" s="343"/>
      <c r="AT445" s="342"/>
      <c r="AU445" s="343"/>
      <c r="AV445" s="32"/>
      <c r="AW445" s="32"/>
      <c r="AX445" s="32"/>
    </row>
    <row r="446" spans="1:50" ht="15.95" hidden="1" customHeight="1" x14ac:dyDescent="0.25">
      <c r="A446" s="957">
        <f t="shared" ca="1" si="14"/>
        <v>0</v>
      </c>
      <c r="AI446" s="4"/>
      <c r="AJ446" s="5"/>
      <c r="AK446" s="5" t="str">
        <f ca="1">IF('Rent Roll'!$Z180=1,'Rent Roll'!E180,"")</f>
        <v/>
      </c>
      <c r="AL446" s="39" t="str">
        <f ca="1">IF('Rent Roll'!$Z180=1,'Rent Roll'!G180,"")</f>
        <v/>
      </c>
      <c r="AM446" s="1547" t="str">
        <f ca="1">IF('Rent Roll'!$Z180=1,'Rent Roll'!K180,"")</f>
        <v/>
      </c>
      <c r="AN446" s="1551" t="str">
        <f ca="1">IF('Rent Roll'!$Z180=1,'Rent Roll'!N180,"")</f>
        <v/>
      </c>
      <c r="AO446" s="5"/>
      <c r="AP446" s="6"/>
      <c r="AQ446" s="32"/>
      <c r="AR446" s="342"/>
      <c r="AS446" s="343"/>
      <c r="AT446" s="342"/>
      <c r="AU446" s="343"/>
      <c r="AV446" s="32"/>
      <c r="AW446" s="32"/>
      <c r="AX446" s="32"/>
    </row>
    <row r="447" spans="1:50" ht="15.95" hidden="1" customHeight="1" x14ac:dyDescent="0.25">
      <c r="A447" s="957">
        <f t="shared" ca="1" si="14"/>
        <v>0</v>
      </c>
      <c r="AI447" s="4"/>
      <c r="AJ447" s="5"/>
      <c r="AK447" s="5" t="str">
        <f ca="1">IF('Rent Roll'!$Z181=1,'Rent Roll'!E181,"")</f>
        <v/>
      </c>
      <c r="AL447" s="39" t="str">
        <f ca="1">IF('Rent Roll'!$Z181=1,'Rent Roll'!G181,"")</f>
        <v/>
      </c>
      <c r="AM447" s="1547" t="str">
        <f ca="1">IF('Rent Roll'!$Z181=1,'Rent Roll'!K181,"")</f>
        <v/>
      </c>
      <c r="AN447" s="1551" t="str">
        <f ca="1">IF('Rent Roll'!$Z181=1,'Rent Roll'!N181,"")</f>
        <v/>
      </c>
      <c r="AO447" s="5"/>
      <c r="AP447" s="6"/>
      <c r="AQ447" s="32"/>
      <c r="AR447" s="342"/>
      <c r="AS447" s="343"/>
      <c r="AT447" s="342"/>
      <c r="AU447" s="343"/>
      <c r="AV447" s="32"/>
      <c r="AW447" s="32"/>
      <c r="AX447" s="32"/>
    </row>
    <row r="448" spans="1:50" ht="15.95" hidden="1" customHeight="1" x14ac:dyDescent="0.25">
      <c r="A448" s="957">
        <f t="shared" ca="1" si="14"/>
        <v>0</v>
      </c>
      <c r="AI448" s="4"/>
      <c r="AJ448" s="5"/>
      <c r="AK448" s="5" t="str">
        <f ca="1">IF('Rent Roll'!$Z182=1,'Rent Roll'!E182,"")</f>
        <v/>
      </c>
      <c r="AL448" s="39" t="str">
        <f ca="1">IF('Rent Roll'!$Z182=1,'Rent Roll'!G182,"")</f>
        <v/>
      </c>
      <c r="AM448" s="1547" t="str">
        <f ca="1">IF('Rent Roll'!$Z182=1,'Rent Roll'!K182,"")</f>
        <v/>
      </c>
      <c r="AN448" s="1551" t="str">
        <f ca="1">IF('Rent Roll'!$Z182=1,'Rent Roll'!N182,"")</f>
        <v/>
      </c>
      <c r="AO448" s="5"/>
      <c r="AP448" s="6"/>
      <c r="AQ448" s="32"/>
      <c r="AR448" s="342"/>
      <c r="AS448" s="343"/>
      <c r="AT448" s="342"/>
      <c r="AU448" s="343"/>
      <c r="AV448" s="32"/>
      <c r="AW448" s="32"/>
      <c r="AX448" s="32"/>
    </row>
    <row r="449" spans="1:50" ht="15.95" hidden="1" customHeight="1" x14ac:dyDescent="0.25">
      <c r="A449" s="957">
        <f t="shared" ca="1" si="14"/>
        <v>0</v>
      </c>
      <c r="AI449" s="4"/>
      <c r="AJ449" s="5"/>
      <c r="AK449" s="5" t="str">
        <f ca="1">IF('Rent Roll'!$Z183=1,'Rent Roll'!E183,"")</f>
        <v/>
      </c>
      <c r="AL449" s="39" t="str">
        <f ca="1">IF('Rent Roll'!$Z183=1,'Rent Roll'!G183,"")</f>
        <v/>
      </c>
      <c r="AM449" s="1547" t="str">
        <f ca="1">IF('Rent Roll'!$Z183=1,'Rent Roll'!K183,"")</f>
        <v/>
      </c>
      <c r="AN449" s="1551" t="str">
        <f ca="1">IF('Rent Roll'!$Z183=1,'Rent Roll'!N183,"")</f>
        <v/>
      </c>
      <c r="AO449" s="5"/>
      <c r="AP449" s="6"/>
      <c r="AQ449" s="32"/>
      <c r="AR449" s="342"/>
      <c r="AS449" s="343"/>
      <c r="AT449" s="342"/>
      <c r="AU449" s="343"/>
      <c r="AV449" s="32"/>
      <c r="AW449" s="32"/>
      <c r="AX449" s="32"/>
    </row>
    <row r="450" spans="1:50" ht="15.95" hidden="1" customHeight="1" x14ac:dyDescent="0.25">
      <c r="A450" s="957">
        <f t="shared" ca="1" si="14"/>
        <v>0</v>
      </c>
      <c r="AI450" s="4"/>
      <c r="AJ450" s="5"/>
      <c r="AK450" s="5" t="str">
        <f ca="1">IF('Rent Roll'!$Z184=1,'Rent Roll'!E184,"")</f>
        <v/>
      </c>
      <c r="AL450" s="39" t="str">
        <f ca="1">IF('Rent Roll'!$Z184=1,'Rent Roll'!G184,"")</f>
        <v/>
      </c>
      <c r="AM450" s="1547" t="str">
        <f ca="1">IF('Rent Roll'!$Z184=1,'Rent Roll'!K184,"")</f>
        <v/>
      </c>
      <c r="AN450" s="1551" t="str">
        <f ca="1">IF('Rent Roll'!$Z184=1,'Rent Roll'!N184,"")</f>
        <v/>
      </c>
      <c r="AO450" s="5"/>
      <c r="AP450" s="6"/>
      <c r="AQ450" s="32"/>
      <c r="AR450" s="342"/>
      <c r="AS450" s="343"/>
      <c r="AT450" s="342"/>
      <c r="AU450" s="343"/>
      <c r="AV450" s="32"/>
      <c r="AW450" s="32"/>
      <c r="AX450" s="32"/>
    </row>
    <row r="451" spans="1:50" ht="15.95" hidden="1" customHeight="1" x14ac:dyDescent="0.25">
      <c r="A451" s="957">
        <f t="shared" ca="1" si="14"/>
        <v>0</v>
      </c>
      <c r="AI451" s="4"/>
      <c r="AJ451" s="5"/>
      <c r="AK451" s="5" t="str">
        <f ca="1">IF('Rent Roll'!$Z185=1,'Rent Roll'!E185,"")</f>
        <v/>
      </c>
      <c r="AL451" s="39" t="str">
        <f ca="1">IF('Rent Roll'!$Z185=1,'Rent Roll'!G185,"")</f>
        <v/>
      </c>
      <c r="AM451" s="1547" t="str">
        <f ca="1">IF('Rent Roll'!$Z185=1,'Rent Roll'!K185,"")</f>
        <v/>
      </c>
      <c r="AN451" s="1551" t="str">
        <f ca="1">IF('Rent Roll'!$Z185=1,'Rent Roll'!N185,"")</f>
        <v/>
      </c>
      <c r="AO451" s="5"/>
      <c r="AP451" s="6"/>
      <c r="AQ451" s="32"/>
      <c r="AR451" s="342"/>
      <c r="AS451" s="343"/>
      <c r="AT451" s="342"/>
      <c r="AU451" s="343"/>
      <c r="AV451" s="32"/>
      <c r="AW451" s="32"/>
      <c r="AX451" s="32"/>
    </row>
    <row r="452" spans="1:50" ht="15.95" hidden="1" customHeight="1" x14ac:dyDescent="0.25">
      <c r="A452" s="957">
        <f t="shared" ca="1" si="14"/>
        <v>0</v>
      </c>
      <c r="AI452" s="4"/>
      <c r="AJ452" s="5"/>
      <c r="AK452" s="5" t="str">
        <f ca="1">IF('Rent Roll'!$Z186=1,'Rent Roll'!E186,"")</f>
        <v/>
      </c>
      <c r="AL452" s="39" t="str">
        <f ca="1">IF('Rent Roll'!$Z186=1,'Rent Roll'!G186,"")</f>
        <v/>
      </c>
      <c r="AM452" s="1547" t="str">
        <f ca="1">IF('Rent Roll'!$Z186=1,'Rent Roll'!K186,"")</f>
        <v/>
      </c>
      <c r="AN452" s="1551" t="str">
        <f ca="1">IF('Rent Roll'!$Z186=1,'Rent Roll'!N186,"")</f>
        <v/>
      </c>
      <c r="AO452" s="5"/>
      <c r="AP452" s="6"/>
      <c r="AQ452" s="32"/>
      <c r="AR452" s="342"/>
      <c r="AS452" s="343"/>
      <c r="AT452" s="342"/>
      <c r="AU452" s="343"/>
      <c r="AV452" s="32"/>
      <c r="AW452" s="32"/>
      <c r="AX452" s="32"/>
    </row>
    <row r="453" spans="1:50" ht="15.95" hidden="1" customHeight="1" x14ac:dyDescent="0.25">
      <c r="A453" s="957">
        <f t="shared" ca="1" si="14"/>
        <v>0</v>
      </c>
      <c r="AI453" s="4"/>
      <c r="AJ453" s="5"/>
      <c r="AK453" s="5" t="str">
        <f ca="1">IF('Rent Roll'!$Z187=1,'Rent Roll'!E187,"")</f>
        <v/>
      </c>
      <c r="AL453" s="39" t="str">
        <f ca="1">IF('Rent Roll'!$Z187=1,'Rent Roll'!G187,"")</f>
        <v/>
      </c>
      <c r="AM453" s="1547" t="str">
        <f ca="1">IF('Rent Roll'!$Z187=1,'Rent Roll'!K187,"")</f>
        <v/>
      </c>
      <c r="AN453" s="1551" t="str">
        <f ca="1">IF('Rent Roll'!$Z187=1,'Rent Roll'!N187,"")</f>
        <v/>
      </c>
      <c r="AO453" s="5"/>
      <c r="AP453" s="6"/>
      <c r="AQ453" s="32"/>
      <c r="AR453" s="342"/>
      <c r="AS453" s="343"/>
      <c r="AT453" s="342"/>
      <c r="AU453" s="343"/>
      <c r="AV453" s="32"/>
      <c r="AW453" s="32"/>
      <c r="AX453" s="32"/>
    </row>
    <row r="454" spans="1:50" ht="15.95" hidden="1" customHeight="1" x14ac:dyDescent="0.25">
      <c r="A454" s="957">
        <f t="shared" ca="1" si="14"/>
        <v>0</v>
      </c>
      <c r="AI454" s="4"/>
      <c r="AJ454" s="5"/>
      <c r="AK454" s="5" t="str">
        <f ca="1">IF('Rent Roll'!$Z188=1,'Rent Roll'!E188,"")</f>
        <v/>
      </c>
      <c r="AL454" s="39" t="str">
        <f ca="1">IF('Rent Roll'!$Z188=1,'Rent Roll'!G188,"")</f>
        <v/>
      </c>
      <c r="AM454" s="1547" t="str">
        <f ca="1">IF('Rent Roll'!$Z188=1,'Rent Roll'!K188,"")</f>
        <v/>
      </c>
      <c r="AN454" s="1551" t="str">
        <f ca="1">IF('Rent Roll'!$Z188=1,'Rent Roll'!N188,"")</f>
        <v/>
      </c>
      <c r="AO454" s="5"/>
      <c r="AP454" s="6"/>
      <c r="AQ454" s="32"/>
      <c r="AR454" s="342"/>
      <c r="AS454" s="343"/>
      <c r="AT454" s="342"/>
      <c r="AU454" s="343"/>
      <c r="AV454" s="32"/>
      <c r="AW454" s="32"/>
      <c r="AX454" s="32"/>
    </row>
    <row r="455" spans="1:50" ht="15.95" hidden="1" customHeight="1" x14ac:dyDescent="0.25">
      <c r="A455" s="957">
        <f t="shared" ca="1" si="14"/>
        <v>0</v>
      </c>
      <c r="AI455" s="4"/>
      <c r="AJ455" s="5"/>
      <c r="AK455" s="5" t="str">
        <f ca="1">IF('Rent Roll'!$Z189=1,'Rent Roll'!E189,"")</f>
        <v/>
      </c>
      <c r="AL455" s="39" t="str">
        <f ca="1">IF('Rent Roll'!$Z189=1,'Rent Roll'!G189,"")</f>
        <v/>
      </c>
      <c r="AM455" s="1547" t="str">
        <f ca="1">IF('Rent Roll'!$Z189=1,'Rent Roll'!K189,"")</f>
        <v/>
      </c>
      <c r="AN455" s="1551" t="str">
        <f ca="1">IF('Rent Roll'!$Z189=1,'Rent Roll'!N189,"")</f>
        <v/>
      </c>
      <c r="AO455" s="5"/>
      <c r="AP455" s="6"/>
      <c r="AQ455" s="32"/>
      <c r="AR455" s="342"/>
      <c r="AS455" s="343"/>
      <c r="AT455" s="342"/>
      <c r="AU455" s="343"/>
      <c r="AV455" s="32"/>
      <c r="AW455" s="32"/>
      <c r="AX455" s="32"/>
    </row>
    <row r="456" spans="1:50" ht="15.95" hidden="1" customHeight="1" x14ac:dyDescent="0.25">
      <c r="A456" s="957">
        <f t="shared" ca="1" si="14"/>
        <v>0</v>
      </c>
      <c r="AI456" s="4"/>
      <c r="AJ456" s="5"/>
      <c r="AK456" s="5" t="str">
        <f ca="1">IF('Rent Roll'!$Z190=1,'Rent Roll'!E190,"")</f>
        <v/>
      </c>
      <c r="AL456" s="39" t="str">
        <f ca="1">IF('Rent Roll'!$Z190=1,'Rent Roll'!G190,"")</f>
        <v/>
      </c>
      <c r="AM456" s="1547" t="str">
        <f ca="1">IF('Rent Roll'!$Z190=1,'Rent Roll'!K190,"")</f>
        <v/>
      </c>
      <c r="AN456" s="1551" t="str">
        <f ca="1">IF('Rent Roll'!$Z190=1,'Rent Roll'!N190,"")</f>
        <v/>
      </c>
      <c r="AO456" s="5"/>
      <c r="AP456" s="6"/>
      <c r="AQ456" s="32"/>
      <c r="AR456" s="342"/>
      <c r="AS456" s="343"/>
      <c r="AT456" s="342"/>
      <c r="AU456" s="343"/>
      <c r="AV456" s="32"/>
      <c r="AW456" s="32"/>
      <c r="AX456" s="32"/>
    </row>
    <row r="457" spans="1:50" ht="15.95" hidden="1" customHeight="1" x14ac:dyDescent="0.25">
      <c r="A457" s="957">
        <f t="shared" ca="1" si="14"/>
        <v>0</v>
      </c>
      <c r="AI457" s="4"/>
      <c r="AJ457" s="5"/>
      <c r="AK457" s="5" t="str">
        <f ca="1">IF('Rent Roll'!$Z191=1,'Rent Roll'!E191,"")</f>
        <v/>
      </c>
      <c r="AL457" s="39" t="str">
        <f ca="1">IF('Rent Roll'!$Z191=1,'Rent Roll'!G191,"")</f>
        <v/>
      </c>
      <c r="AM457" s="1547" t="str">
        <f ca="1">IF('Rent Roll'!$Z191=1,'Rent Roll'!K191,"")</f>
        <v/>
      </c>
      <c r="AN457" s="1551" t="str">
        <f ca="1">IF('Rent Roll'!$Z191=1,'Rent Roll'!N191,"")</f>
        <v/>
      </c>
      <c r="AO457" s="5"/>
      <c r="AP457" s="6"/>
      <c r="AQ457" s="32"/>
      <c r="AR457" s="342"/>
      <c r="AS457" s="343"/>
      <c r="AT457" s="342"/>
      <c r="AU457" s="343"/>
      <c r="AV457" s="32"/>
      <c r="AW457" s="32"/>
      <c r="AX457" s="32"/>
    </row>
    <row r="458" spans="1:50" ht="15.95" hidden="1" customHeight="1" x14ac:dyDescent="0.25">
      <c r="A458" s="957">
        <f t="shared" ca="1" si="14"/>
        <v>0</v>
      </c>
      <c r="AI458" s="4"/>
      <c r="AJ458" s="5"/>
      <c r="AK458" s="5" t="str">
        <f ca="1">IF('Rent Roll'!$Z192=1,'Rent Roll'!E192,"")</f>
        <v/>
      </c>
      <c r="AL458" s="39" t="str">
        <f ca="1">IF('Rent Roll'!$Z192=1,'Rent Roll'!G192,"")</f>
        <v/>
      </c>
      <c r="AM458" s="1547" t="str">
        <f ca="1">IF('Rent Roll'!$Z192=1,'Rent Roll'!K192,"")</f>
        <v/>
      </c>
      <c r="AN458" s="1551" t="str">
        <f ca="1">IF('Rent Roll'!$Z192=1,'Rent Roll'!N192,"")</f>
        <v/>
      </c>
      <c r="AO458" s="5"/>
      <c r="AP458" s="6"/>
      <c r="AQ458" s="32"/>
      <c r="AR458" s="342"/>
      <c r="AS458" s="343"/>
      <c r="AT458" s="342"/>
      <c r="AU458" s="343"/>
      <c r="AV458" s="32"/>
      <c r="AW458" s="32"/>
      <c r="AX458" s="32"/>
    </row>
    <row r="459" spans="1:50" ht="15.95" hidden="1" customHeight="1" x14ac:dyDescent="0.25">
      <c r="A459" s="957">
        <f t="shared" ca="1" si="14"/>
        <v>0</v>
      </c>
      <c r="AI459" s="4"/>
      <c r="AJ459" s="5"/>
      <c r="AK459" s="5" t="str">
        <f ca="1">IF('Rent Roll'!$Z193=1,'Rent Roll'!E193,"")</f>
        <v/>
      </c>
      <c r="AL459" s="39" t="str">
        <f ca="1">IF('Rent Roll'!$Z193=1,'Rent Roll'!G193,"")</f>
        <v/>
      </c>
      <c r="AM459" s="1547" t="str">
        <f ca="1">IF('Rent Roll'!$Z193=1,'Rent Roll'!K193,"")</f>
        <v/>
      </c>
      <c r="AN459" s="1551" t="str">
        <f ca="1">IF('Rent Roll'!$Z193=1,'Rent Roll'!N193,"")</f>
        <v/>
      </c>
      <c r="AO459" s="5"/>
      <c r="AP459" s="6"/>
      <c r="AQ459" s="32"/>
      <c r="AR459" s="342"/>
      <c r="AS459" s="343"/>
      <c r="AT459" s="342"/>
      <c r="AU459" s="343"/>
      <c r="AV459" s="32"/>
      <c r="AW459" s="32"/>
      <c r="AX459" s="32"/>
    </row>
    <row r="460" spans="1:50" ht="15.95" hidden="1" customHeight="1" x14ac:dyDescent="0.25">
      <c r="A460" s="957">
        <f t="shared" ca="1" si="14"/>
        <v>0</v>
      </c>
      <c r="AI460" s="4"/>
      <c r="AJ460" s="5"/>
      <c r="AK460" s="5" t="str">
        <f ca="1">IF('Rent Roll'!$Z194=1,'Rent Roll'!E194,"")</f>
        <v/>
      </c>
      <c r="AL460" s="39" t="str">
        <f ca="1">IF('Rent Roll'!$Z194=1,'Rent Roll'!G194,"")</f>
        <v/>
      </c>
      <c r="AM460" s="1547" t="str">
        <f ca="1">IF('Rent Roll'!$Z194=1,'Rent Roll'!K194,"")</f>
        <v/>
      </c>
      <c r="AN460" s="1551" t="str">
        <f ca="1">IF('Rent Roll'!$Z194=1,'Rent Roll'!N194,"")</f>
        <v/>
      </c>
      <c r="AO460" s="5"/>
      <c r="AP460" s="6"/>
      <c r="AQ460" s="32"/>
      <c r="AR460" s="342"/>
      <c r="AS460" s="343"/>
      <c r="AT460" s="342"/>
      <c r="AU460" s="343"/>
      <c r="AV460" s="32"/>
      <c r="AW460" s="32"/>
      <c r="AX460" s="32"/>
    </row>
    <row r="461" spans="1:50" ht="15.95" hidden="1" customHeight="1" x14ac:dyDescent="0.25">
      <c r="A461" s="957">
        <f t="shared" ca="1" si="14"/>
        <v>0</v>
      </c>
      <c r="AI461" s="4"/>
      <c r="AJ461" s="5"/>
      <c r="AK461" s="5" t="str">
        <f ca="1">IF('Rent Roll'!$Z195=1,'Rent Roll'!E195,"")</f>
        <v/>
      </c>
      <c r="AL461" s="39" t="str">
        <f ca="1">IF('Rent Roll'!$Z195=1,'Rent Roll'!G195,"")</f>
        <v/>
      </c>
      <c r="AM461" s="1547" t="str">
        <f ca="1">IF('Rent Roll'!$Z195=1,'Rent Roll'!K195,"")</f>
        <v/>
      </c>
      <c r="AN461" s="1551" t="str">
        <f ca="1">IF('Rent Roll'!$Z195=1,'Rent Roll'!N195,"")</f>
        <v/>
      </c>
      <c r="AO461" s="5"/>
      <c r="AP461" s="6"/>
      <c r="AQ461" s="32"/>
      <c r="AR461" s="342"/>
      <c r="AS461" s="343"/>
      <c r="AT461" s="342"/>
      <c r="AU461" s="343"/>
      <c r="AV461" s="32"/>
      <c r="AW461" s="32"/>
      <c r="AX461" s="32"/>
    </row>
    <row r="462" spans="1:50" ht="15.95" hidden="1" customHeight="1" x14ac:dyDescent="0.25">
      <c r="A462" s="957">
        <f t="shared" ca="1" si="14"/>
        <v>0</v>
      </c>
      <c r="AI462" s="4"/>
      <c r="AJ462" s="5"/>
      <c r="AK462" s="5" t="str">
        <f ca="1">IF('Rent Roll'!$Z196=1,'Rent Roll'!E196,"")</f>
        <v/>
      </c>
      <c r="AL462" s="39" t="str">
        <f ca="1">IF('Rent Roll'!$Z196=1,'Rent Roll'!G196,"")</f>
        <v/>
      </c>
      <c r="AM462" s="1547" t="str">
        <f ca="1">IF('Rent Roll'!$Z196=1,'Rent Roll'!K196,"")</f>
        <v/>
      </c>
      <c r="AN462" s="1551" t="str">
        <f ca="1">IF('Rent Roll'!$Z196=1,'Rent Roll'!N196,"")</f>
        <v/>
      </c>
      <c r="AO462" s="5"/>
      <c r="AP462" s="6"/>
      <c r="AQ462" s="32"/>
      <c r="AR462" s="342"/>
      <c r="AS462" s="343"/>
      <c r="AT462" s="342"/>
      <c r="AU462" s="343"/>
      <c r="AV462" s="32"/>
      <c r="AW462" s="32"/>
      <c r="AX462" s="32"/>
    </row>
    <row r="463" spans="1:50" ht="15.95" hidden="1" customHeight="1" x14ac:dyDescent="0.25">
      <c r="A463" s="957">
        <f t="shared" ca="1" si="14"/>
        <v>0</v>
      </c>
      <c r="AI463" s="4"/>
      <c r="AJ463" s="5"/>
      <c r="AK463" s="5" t="str">
        <f ca="1">IF('Rent Roll'!$Z197=1,'Rent Roll'!E197,"")</f>
        <v/>
      </c>
      <c r="AL463" s="39" t="str">
        <f ca="1">IF('Rent Roll'!$Z197=1,'Rent Roll'!G197,"")</f>
        <v/>
      </c>
      <c r="AM463" s="1547" t="str">
        <f ca="1">IF('Rent Roll'!$Z197=1,'Rent Roll'!K197,"")</f>
        <v/>
      </c>
      <c r="AN463" s="1551" t="str">
        <f ca="1">IF('Rent Roll'!$Z197=1,'Rent Roll'!N197,"")</f>
        <v/>
      </c>
      <c r="AO463" s="5"/>
      <c r="AP463" s="6"/>
      <c r="AQ463" s="32"/>
      <c r="AR463" s="342"/>
      <c r="AS463" s="343"/>
      <c r="AT463" s="342"/>
      <c r="AU463" s="343"/>
      <c r="AV463" s="32"/>
      <c r="AW463" s="32"/>
      <c r="AX463" s="32"/>
    </row>
    <row r="464" spans="1:50" ht="15.95" hidden="1" customHeight="1" x14ac:dyDescent="0.25">
      <c r="A464" s="957">
        <f t="shared" ca="1" si="14"/>
        <v>0</v>
      </c>
      <c r="AI464" s="4"/>
      <c r="AJ464" s="5"/>
      <c r="AK464" s="5" t="str">
        <f ca="1">IF('Rent Roll'!$Z198=1,'Rent Roll'!E198,"")</f>
        <v/>
      </c>
      <c r="AL464" s="39" t="str">
        <f ca="1">IF('Rent Roll'!$Z198=1,'Rent Roll'!G198,"")</f>
        <v/>
      </c>
      <c r="AM464" s="1547" t="str">
        <f ca="1">IF('Rent Roll'!$Z198=1,'Rent Roll'!K198,"")</f>
        <v/>
      </c>
      <c r="AN464" s="1551" t="str">
        <f ca="1">IF('Rent Roll'!$Z198=1,'Rent Roll'!N198,"")</f>
        <v/>
      </c>
      <c r="AO464" s="5"/>
      <c r="AP464" s="6"/>
      <c r="AQ464" s="32"/>
      <c r="AR464" s="342"/>
      <c r="AS464" s="343"/>
      <c r="AT464" s="342"/>
      <c r="AU464" s="343"/>
      <c r="AV464" s="32"/>
      <c r="AW464" s="32"/>
      <c r="AX464" s="32"/>
    </row>
    <row r="465" spans="1:58" ht="15.95" hidden="1" customHeight="1" x14ac:dyDescent="0.25">
      <c r="A465" s="957">
        <f t="shared" ref="A465:A472" ca="1" si="15">IF(AK465="",0,1)</f>
        <v>0</v>
      </c>
      <c r="AI465" s="4"/>
      <c r="AJ465" s="5"/>
      <c r="AK465" s="5" t="str">
        <f ca="1">IF('Rent Roll'!$Z199=1,'Rent Roll'!E199,"")</f>
        <v/>
      </c>
      <c r="AL465" s="39" t="str">
        <f ca="1">IF('Rent Roll'!$Z199=1,'Rent Roll'!G199,"")</f>
        <v/>
      </c>
      <c r="AM465" s="1547" t="str">
        <f ca="1">IF('Rent Roll'!$Z199=1,'Rent Roll'!K199,"")</f>
        <v/>
      </c>
      <c r="AN465" s="1551" t="str">
        <f ca="1">IF('Rent Roll'!$Z199=1,'Rent Roll'!N199,"")</f>
        <v/>
      </c>
      <c r="AO465" s="5"/>
      <c r="AP465" s="6"/>
      <c r="AQ465" s="32"/>
      <c r="AR465" s="342"/>
      <c r="AS465" s="343"/>
      <c r="AT465" s="342"/>
      <c r="AU465" s="343"/>
      <c r="AV465" s="32"/>
      <c r="AW465" s="32"/>
      <c r="AX465" s="32"/>
    </row>
    <row r="466" spans="1:58" ht="15.95" hidden="1" customHeight="1" x14ac:dyDescent="0.25">
      <c r="A466" s="957">
        <f t="shared" ca="1" si="15"/>
        <v>0</v>
      </c>
      <c r="AI466" s="4"/>
      <c r="AJ466" s="5"/>
      <c r="AK466" s="5" t="str">
        <f ca="1">IF('Rent Roll'!$Z200=1,'Rent Roll'!E200,"")</f>
        <v/>
      </c>
      <c r="AL466" s="39" t="str">
        <f ca="1">IF('Rent Roll'!$Z200=1,'Rent Roll'!G200,"")</f>
        <v/>
      </c>
      <c r="AM466" s="1547" t="str">
        <f ca="1">IF('Rent Roll'!$Z200=1,'Rent Roll'!K200,"")</f>
        <v/>
      </c>
      <c r="AN466" s="1551" t="str">
        <f ca="1">IF('Rent Roll'!$Z200=1,'Rent Roll'!N200,"")</f>
        <v/>
      </c>
      <c r="AO466" s="5"/>
      <c r="AP466" s="6"/>
      <c r="AQ466" s="32"/>
      <c r="AR466" s="342"/>
      <c r="AS466" s="343"/>
      <c r="AT466" s="342"/>
      <c r="AU466" s="343"/>
      <c r="AV466" s="32"/>
      <c r="AW466" s="32"/>
      <c r="AX466" s="32"/>
    </row>
    <row r="467" spans="1:58" ht="15.95" hidden="1" customHeight="1" x14ac:dyDescent="0.25">
      <c r="A467" s="957">
        <f t="shared" ca="1" si="15"/>
        <v>0</v>
      </c>
      <c r="AI467" s="4"/>
      <c r="AJ467" s="5"/>
      <c r="AK467" s="5" t="str">
        <f ca="1">IF('Rent Roll'!$Z201=1,'Rent Roll'!E201,"")</f>
        <v/>
      </c>
      <c r="AL467" s="39" t="str">
        <f ca="1">IF('Rent Roll'!$Z201=1,'Rent Roll'!G201,"")</f>
        <v/>
      </c>
      <c r="AM467" s="1547" t="str">
        <f ca="1">IF('Rent Roll'!$Z201=1,'Rent Roll'!K201,"")</f>
        <v/>
      </c>
      <c r="AN467" s="1551" t="str">
        <f ca="1">IF('Rent Roll'!$Z201=1,'Rent Roll'!N201,"")</f>
        <v/>
      </c>
      <c r="AO467" s="5"/>
      <c r="AP467" s="6"/>
      <c r="AQ467" s="32"/>
      <c r="AR467" s="342"/>
      <c r="AS467" s="343"/>
      <c r="AT467" s="342"/>
      <c r="AU467" s="343"/>
      <c r="AV467" s="32"/>
      <c r="AW467" s="32"/>
      <c r="AX467" s="32"/>
    </row>
    <row r="468" spans="1:58" ht="15.95" hidden="1" customHeight="1" x14ac:dyDescent="0.25">
      <c r="A468" s="957">
        <f t="shared" ca="1" si="15"/>
        <v>0</v>
      </c>
      <c r="AI468" s="4"/>
      <c r="AJ468" s="5"/>
      <c r="AK468" s="5" t="str">
        <f ca="1">IF('Rent Roll'!$Z202=1,'Rent Roll'!E202,"")</f>
        <v/>
      </c>
      <c r="AL468" s="39" t="str">
        <f ca="1">IF('Rent Roll'!$Z202=1,'Rent Roll'!G202,"")</f>
        <v/>
      </c>
      <c r="AM468" s="1547" t="str">
        <f ca="1">IF('Rent Roll'!$Z202=1,'Rent Roll'!K202,"")</f>
        <v/>
      </c>
      <c r="AN468" s="1551" t="str">
        <f ca="1">IF('Rent Roll'!$Z202=1,'Rent Roll'!N202,"")</f>
        <v/>
      </c>
      <c r="AO468" s="5"/>
      <c r="AP468" s="6"/>
      <c r="AQ468" s="32"/>
      <c r="AR468" s="342"/>
      <c r="AS468" s="343"/>
      <c r="AT468" s="342"/>
      <c r="AU468" s="343"/>
      <c r="AV468" s="32"/>
      <c r="AW468" s="32"/>
      <c r="AX468" s="32"/>
    </row>
    <row r="469" spans="1:58" ht="15.95" hidden="1" customHeight="1" x14ac:dyDescent="0.25">
      <c r="A469" s="957">
        <f t="shared" ca="1" si="15"/>
        <v>0</v>
      </c>
      <c r="AI469" s="4"/>
      <c r="AJ469" s="5"/>
      <c r="AK469" s="5" t="str">
        <f ca="1">IF('Rent Roll'!$Z203=1,'Rent Roll'!E203,"")</f>
        <v/>
      </c>
      <c r="AL469" s="39" t="str">
        <f ca="1">IF('Rent Roll'!$Z203=1,'Rent Roll'!G203,"")</f>
        <v/>
      </c>
      <c r="AM469" s="1547" t="str">
        <f ca="1">IF('Rent Roll'!$Z203=1,'Rent Roll'!K203,"")</f>
        <v/>
      </c>
      <c r="AN469" s="1551" t="str">
        <f ca="1">IF('Rent Roll'!$Z203=1,'Rent Roll'!N203,"")</f>
        <v/>
      </c>
      <c r="AO469" s="5"/>
      <c r="AP469" s="6"/>
      <c r="AQ469" s="32"/>
      <c r="AR469" s="342"/>
      <c r="AS469" s="343"/>
      <c r="AT469" s="342"/>
      <c r="AU469" s="343"/>
      <c r="AV469" s="32"/>
      <c r="AW469" s="32"/>
      <c r="AX469" s="32"/>
    </row>
    <row r="470" spans="1:58" ht="15.95" hidden="1" customHeight="1" x14ac:dyDescent="0.25">
      <c r="A470" s="957">
        <f t="shared" ca="1" si="15"/>
        <v>0</v>
      </c>
      <c r="AI470" s="4"/>
      <c r="AJ470" s="5"/>
      <c r="AK470" s="5" t="str">
        <f ca="1">IF('Rent Roll'!$Z204=1,'Rent Roll'!E204,"")</f>
        <v/>
      </c>
      <c r="AL470" s="39" t="str">
        <f ca="1">IF('Rent Roll'!$Z204=1,'Rent Roll'!G204,"")</f>
        <v/>
      </c>
      <c r="AM470" s="1547" t="str">
        <f ca="1">IF('Rent Roll'!$Z204=1,'Rent Roll'!K204,"")</f>
        <v/>
      </c>
      <c r="AN470" s="1551" t="str">
        <f ca="1">IF('Rent Roll'!$Z204=1,'Rent Roll'!N204,"")</f>
        <v/>
      </c>
      <c r="AO470" s="5"/>
      <c r="AP470" s="6"/>
      <c r="AQ470" s="32"/>
      <c r="AR470" s="342"/>
      <c r="AS470" s="343"/>
      <c r="AT470" s="342"/>
      <c r="AU470" s="343"/>
      <c r="AV470" s="32"/>
      <c r="AW470" s="32"/>
      <c r="AX470" s="32"/>
    </row>
    <row r="471" spans="1:58" ht="15.95" hidden="1" customHeight="1" x14ac:dyDescent="0.25">
      <c r="A471" s="957">
        <f t="shared" ca="1" si="15"/>
        <v>0</v>
      </c>
      <c r="AI471" s="4"/>
      <c r="AJ471" s="5"/>
      <c r="AK471" s="5" t="str">
        <f ca="1">IF('Rent Roll'!$Z205=1,'Rent Roll'!E205,"")</f>
        <v/>
      </c>
      <c r="AL471" s="39" t="str">
        <f ca="1">IF('Rent Roll'!$Z205=1,'Rent Roll'!G205,"")</f>
        <v/>
      </c>
      <c r="AM471" s="1547" t="str">
        <f ca="1">IF('Rent Roll'!$Z205=1,'Rent Roll'!K205,"")</f>
        <v/>
      </c>
      <c r="AN471" s="1551" t="str">
        <f ca="1">IF('Rent Roll'!$Z205=1,'Rent Roll'!N205,"")</f>
        <v/>
      </c>
      <c r="AO471" s="5"/>
      <c r="AP471" s="6"/>
      <c r="AQ471" s="32"/>
      <c r="AR471" s="342"/>
      <c r="AS471" s="343"/>
      <c r="AT471" s="342"/>
      <c r="AU471" s="343"/>
      <c r="AV471" s="32"/>
      <c r="AW471" s="32"/>
      <c r="AX471" s="32"/>
    </row>
    <row r="472" spans="1:58" ht="15.95" hidden="1" customHeight="1" x14ac:dyDescent="0.25">
      <c r="A472" s="957">
        <f t="shared" ca="1" si="15"/>
        <v>0</v>
      </c>
      <c r="AI472" s="4"/>
      <c r="AJ472" s="5"/>
      <c r="AK472" s="5" t="str">
        <f ca="1">IF('Rent Roll'!$Z206=1,'Rent Roll'!E206,"")</f>
        <v/>
      </c>
      <c r="AL472" s="39" t="str">
        <f ca="1">IF('Rent Roll'!$Z206=1,'Rent Roll'!G206,"")</f>
        <v/>
      </c>
      <c r="AM472" s="1547" t="str">
        <f ca="1">IF('Rent Roll'!$Z206=1,'Rent Roll'!K206,"")</f>
        <v/>
      </c>
      <c r="AN472" s="1551" t="str">
        <f ca="1">IF('Rent Roll'!$Z206=1,'Rent Roll'!N206,"")</f>
        <v/>
      </c>
      <c r="AO472" s="5"/>
      <c r="AP472" s="6"/>
      <c r="AQ472" s="32"/>
      <c r="AR472" s="342"/>
      <c r="AS472" s="343"/>
      <c r="AT472" s="342"/>
      <c r="AU472" s="343"/>
      <c r="AV472" s="32"/>
      <c r="AW472" s="32"/>
      <c r="AX472" s="32"/>
    </row>
    <row r="473" spans="1:58" ht="15.95" hidden="1" customHeight="1" x14ac:dyDescent="0.25">
      <c r="A473" s="957">
        <f ca="1">IF(dpIncome_TCat2_NRA_Vacant=0,0,1)</f>
        <v>0</v>
      </c>
      <c r="AI473" s="4"/>
      <c r="AJ473" s="5"/>
      <c r="AK473" s="1535" t="s">
        <v>142</v>
      </c>
      <c r="AL473" s="1560"/>
      <c r="AM473" s="1561">
        <f ca="1">IF(Income_RentRollSource="No Rent Roll",Income_TCat2_NRA_Manual,SUM(AM273:AM472))</f>
        <v>0</v>
      </c>
      <c r="AN473" s="1562" t="e">
        <f ca="1">SUMPRODUCT(AM273:AM472,AN273:AN472)/AM473</f>
        <v>#DIV/0!</v>
      </c>
      <c r="AO473" s="5"/>
      <c r="AP473" s="6"/>
      <c r="AQ473" s="32"/>
      <c r="AR473" s="342"/>
      <c r="AS473" s="343"/>
      <c r="AT473" s="342"/>
      <c r="AU473" s="343"/>
      <c r="AV473" s="32"/>
      <c r="AW473" s="32"/>
      <c r="AX473" s="32"/>
    </row>
    <row r="474" spans="1:58" ht="15.95" hidden="1" customHeight="1" x14ac:dyDescent="0.25">
      <c r="A474" s="957">
        <f ca="1">IF(dpIncome_TCat2_NRA_Vacant=0,0,1)</f>
        <v>0</v>
      </c>
      <c r="AI474" s="4"/>
      <c r="AJ474" s="5"/>
      <c r="AK474" s="1540" t="s">
        <v>139</v>
      </c>
      <c r="AL474" s="1541"/>
      <c r="AM474" s="1549">
        <f ca="1">'Rent Roll'!K209</f>
        <v>0</v>
      </c>
      <c r="AN474" s="1553">
        <f>Income_TCat2_MarketRent</f>
        <v>1.5</v>
      </c>
      <c r="AO474" s="5"/>
      <c r="AP474" s="6"/>
      <c r="AQ474" s="32"/>
      <c r="AR474" s="342"/>
      <c r="AS474" s="343"/>
      <c r="AT474" s="342"/>
      <c r="AU474" s="343"/>
      <c r="AV474" s="32"/>
      <c r="AW474" s="32"/>
      <c r="AX474" s="32"/>
    </row>
    <row r="475" spans="1:58" ht="15.95" customHeight="1" thickBot="1" x14ac:dyDescent="0.3">
      <c r="A475" s="957">
        <v>1</v>
      </c>
      <c r="AI475" s="4"/>
      <c r="AJ475" s="5"/>
      <c r="AK475" s="219" t="s">
        <v>93</v>
      </c>
      <c r="AL475" s="1542"/>
      <c r="AM475" s="1550">
        <f ca="1">SUM(AM473:AM474)</f>
        <v>0</v>
      </c>
      <c r="AN475" s="1554" t="e">
        <f ca="1">SUMPRODUCT(AM473:AM474,AN473:AN474)/Income_TCat2_NRA</f>
        <v>#DIV/0!</v>
      </c>
      <c r="AO475" s="5"/>
      <c r="AP475" s="6"/>
      <c r="AQ475" s="32"/>
      <c r="AR475" s="344"/>
      <c r="AS475" s="345"/>
      <c r="AT475" s="344"/>
      <c r="AU475" s="345"/>
      <c r="AV475" s="346"/>
      <c r="AW475" s="32"/>
      <c r="AX475" s="32"/>
    </row>
    <row r="476" spans="1:58" x14ac:dyDescent="0.25">
      <c r="A476" s="957">
        <v>1</v>
      </c>
      <c r="AI476" s="4"/>
      <c r="AJ476" s="5"/>
      <c r="AK476" s="556" t="s">
        <v>880</v>
      </c>
      <c r="AL476" s="5"/>
      <c r="AM476" s="19"/>
      <c r="AN476" s="19"/>
      <c r="AO476" s="5"/>
      <c r="AP476" s="6"/>
      <c r="AQ476" s="32"/>
      <c r="AR476" s="96"/>
      <c r="AS476" s="96"/>
      <c r="AT476" s="32"/>
      <c r="AU476" s="32"/>
      <c r="AV476" s="225"/>
      <c r="AW476" s="32"/>
      <c r="AX476" s="32"/>
    </row>
    <row r="477" spans="1:58" ht="9.9499999999999993" customHeight="1" thickBot="1" x14ac:dyDescent="0.3">
      <c r="A477" s="957">
        <v>1</v>
      </c>
      <c r="AI477" s="11"/>
      <c r="AJ477" s="11"/>
      <c r="AK477" s="11"/>
      <c r="AL477" s="41"/>
      <c r="AN477" s="124"/>
      <c r="AO477" s="11"/>
      <c r="AP477" s="11"/>
      <c r="AQ477" s="32"/>
      <c r="AR477" s="96"/>
      <c r="AS477" s="96"/>
      <c r="AT477" s="32"/>
      <c r="AU477" s="32"/>
      <c r="AV477" s="225"/>
      <c r="AW477" s="32"/>
      <c r="AX477" s="32"/>
    </row>
    <row r="478" spans="1:58" x14ac:dyDescent="0.25">
      <c r="A478" s="957">
        <v>1</v>
      </c>
      <c r="AQ478" s="1"/>
      <c r="AR478" s="2"/>
      <c r="AS478" s="2"/>
      <c r="AT478" s="2"/>
      <c r="AU478" s="2"/>
      <c r="AV478" s="2"/>
      <c r="AW478" s="2"/>
      <c r="AX478" s="3"/>
      <c r="AY478" s="32"/>
      <c r="AZ478" s="96"/>
      <c r="BA478" s="96"/>
      <c r="BB478" s="32"/>
      <c r="BC478" s="32"/>
      <c r="BD478" s="225"/>
      <c r="BE478" s="187"/>
      <c r="BF478" s="187"/>
    </row>
    <row r="479" spans="1:58" ht="15.95" customHeight="1" x14ac:dyDescent="0.3">
      <c r="A479" s="957">
        <v>1</v>
      </c>
      <c r="AQ479" s="4"/>
      <c r="AR479" s="5"/>
      <c r="AS479" s="4284">
        <f>Income_TCat3</f>
        <v>0</v>
      </c>
      <c r="AT479" s="4284"/>
      <c r="AU479" s="4284"/>
      <c r="AV479" s="4284"/>
      <c r="AW479" s="27"/>
      <c r="AX479" s="6"/>
      <c r="AY479" s="32"/>
      <c r="AZ479" s="96"/>
      <c r="BA479" s="96"/>
      <c r="BB479" s="32"/>
      <c r="BC479" s="32"/>
      <c r="BD479" s="225"/>
      <c r="BE479" s="187"/>
      <c r="BF479" s="187"/>
    </row>
    <row r="480" spans="1:58" ht="15.95" customHeight="1" x14ac:dyDescent="0.25">
      <c r="A480" s="957">
        <v>1</v>
      </c>
      <c r="AQ480" s="4"/>
      <c r="AR480" s="12"/>
      <c r="AS480" s="12" t="s">
        <v>398</v>
      </c>
      <c r="AT480" s="150" t="s">
        <v>401</v>
      </c>
      <c r="AU480" s="55" t="s">
        <v>20</v>
      </c>
      <c r="AV480" s="55" t="s">
        <v>132</v>
      </c>
      <c r="AW480" s="150"/>
      <c r="AX480" s="6"/>
      <c r="AY480" s="32"/>
      <c r="AZ480" s="96"/>
      <c r="BA480" s="96"/>
      <c r="BB480" s="32"/>
      <c r="BC480" s="32"/>
      <c r="BD480" s="225"/>
      <c r="BE480" s="187"/>
      <c r="BF480" s="187"/>
    </row>
    <row r="481" spans="1:58" ht="15.95" hidden="1" customHeight="1" x14ac:dyDescent="0.25">
      <c r="A481" s="957">
        <f t="shared" ref="A481:A512" ca="1" si="16">IF(AS481="",0,1)</f>
        <v>0</v>
      </c>
      <c r="AQ481" s="4"/>
      <c r="AR481" s="5"/>
      <c r="AS481" s="5" t="str">
        <f ca="1">IF('Rent Roll'!$AA7=1,'Rent Roll'!E7,"")</f>
        <v/>
      </c>
      <c r="AT481" s="39" t="str">
        <f ca="1">IF('Rent Roll'!$AA7=1,'Rent Roll'!G7,"")</f>
        <v/>
      </c>
      <c r="AU481" s="1547" t="str">
        <f ca="1">IF('Rent Roll'!$AA7=1,'Rent Roll'!K7,"")</f>
        <v/>
      </c>
      <c r="AV481" s="1551" t="str">
        <f ca="1">IF('Rent Roll'!$AA7=1,'Rent Roll'!N7,"")</f>
        <v/>
      </c>
      <c r="AW481" s="223"/>
      <c r="AX481" s="6"/>
      <c r="AY481" s="32"/>
      <c r="AZ481" s="342"/>
      <c r="BA481" s="343"/>
      <c r="BB481" s="342"/>
      <c r="BC481" s="343"/>
      <c r="BD481" s="32"/>
      <c r="BE481" s="187"/>
      <c r="BF481" s="187"/>
    </row>
    <row r="482" spans="1:58" ht="15.95" hidden="1" customHeight="1" x14ac:dyDescent="0.25">
      <c r="A482" s="957">
        <f t="shared" ca="1" si="16"/>
        <v>0</v>
      </c>
      <c r="AQ482" s="4"/>
      <c r="AR482" s="5"/>
      <c r="AS482" s="5" t="str">
        <f ca="1">IF('Rent Roll'!$AA8=1,'Rent Roll'!E8,"")</f>
        <v/>
      </c>
      <c r="AT482" s="39" t="str">
        <f ca="1">IF('Rent Roll'!$AA8=1,'Rent Roll'!G8,"")</f>
        <v/>
      </c>
      <c r="AU482" s="1547" t="str">
        <f ca="1">IF('Rent Roll'!$AA8=1,'Rent Roll'!K8,"")</f>
        <v/>
      </c>
      <c r="AV482" s="1551" t="str">
        <f ca="1">IF('Rent Roll'!$AA8=1,'Rent Roll'!N8,"")</f>
        <v/>
      </c>
      <c r="AW482" s="223"/>
      <c r="AX482" s="6"/>
      <c r="AY482" s="32"/>
      <c r="AZ482" s="342"/>
      <c r="BA482" s="343"/>
      <c r="BB482" s="342"/>
      <c r="BC482" s="343"/>
      <c r="BD482" s="32"/>
      <c r="BE482" s="187"/>
      <c r="BF482" s="187"/>
    </row>
    <row r="483" spans="1:58" ht="15.95" hidden="1" customHeight="1" x14ac:dyDescent="0.25">
      <c r="A483" s="957">
        <f t="shared" ca="1" si="16"/>
        <v>0</v>
      </c>
      <c r="AQ483" s="4"/>
      <c r="AR483" s="5"/>
      <c r="AS483" s="5" t="str">
        <f ca="1">IF('Rent Roll'!$AA9=1,'Rent Roll'!E9,"")</f>
        <v/>
      </c>
      <c r="AT483" s="39" t="str">
        <f ca="1">IF('Rent Roll'!$AA9=1,'Rent Roll'!G9,"")</f>
        <v/>
      </c>
      <c r="AU483" s="1547" t="str">
        <f ca="1">IF('Rent Roll'!$AA9=1,'Rent Roll'!K9,"")</f>
        <v/>
      </c>
      <c r="AV483" s="1551" t="str">
        <f ca="1">IF('Rent Roll'!$AA9=1,'Rent Roll'!N9,"")</f>
        <v/>
      </c>
      <c r="AW483" s="223"/>
      <c r="AX483" s="6"/>
      <c r="AY483" s="32"/>
      <c r="AZ483" s="342"/>
      <c r="BA483" s="343"/>
      <c r="BB483" s="342"/>
      <c r="BC483" s="343"/>
      <c r="BD483" s="32"/>
      <c r="BE483" s="187"/>
      <c r="BF483" s="187"/>
    </row>
    <row r="484" spans="1:58" ht="15.95" hidden="1" customHeight="1" x14ac:dyDescent="0.25">
      <c r="A484" s="957">
        <f t="shared" ca="1" si="16"/>
        <v>0</v>
      </c>
      <c r="AQ484" s="4"/>
      <c r="AR484" s="5"/>
      <c r="AS484" s="5" t="str">
        <f ca="1">IF('Rent Roll'!$AA10=1,'Rent Roll'!E10,"")</f>
        <v/>
      </c>
      <c r="AT484" s="39" t="str">
        <f ca="1">IF('Rent Roll'!$AA10=1,'Rent Roll'!G10,"")</f>
        <v/>
      </c>
      <c r="AU484" s="1547" t="str">
        <f ca="1">IF('Rent Roll'!$AA10=1,'Rent Roll'!K10,"")</f>
        <v/>
      </c>
      <c r="AV484" s="1551" t="str">
        <f ca="1">IF('Rent Roll'!$AA10=1,'Rent Roll'!N10,"")</f>
        <v/>
      </c>
      <c r="AW484" s="223"/>
      <c r="AX484" s="6"/>
      <c r="AY484" s="32"/>
      <c r="AZ484" s="342"/>
      <c r="BA484" s="343"/>
      <c r="BB484" s="342"/>
      <c r="BC484" s="343"/>
      <c r="BD484" s="32"/>
      <c r="BE484" s="187"/>
      <c r="BF484" s="187"/>
    </row>
    <row r="485" spans="1:58" ht="15.95" hidden="1" customHeight="1" x14ac:dyDescent="0.25">
      <c r="A485" s="957">
        <f t="shared" ca="1" si="16"/>
        <v>0</v>
      </c>
      <c r="AQ485" s="4"/>
      <c r="AR485" s="5"/>
      <c r="AS485" s="5" t="str">
        <f ca="1">IF('Rent Roll'!$AA11=1,'Rent Roll'!E11,"")</f>
        <v/>
      </c>
      <c r="AT485" s="39" t="str">
        <f ca="1">IF('Rent Roll'!$AA11=1,'Rent Roll'!G11,"")</f>
        <v/>
      </c>
      <c r="AU485" s="1547" t="str">
        <f ca="1">IF('Rent Roll'!$AA11=1,'Rent Roll'!K11,"")</f>
        <v/>
      </c>
      <c r="AV485" s="1551" t="str">
        <f ca="1">IF('Rent Roll'!$AA11=1,'Rent Roll'!N11,"")</f>
        <v/>
      </c>
      <c r="AW485" s="223"/>
      <c r="AX485" s="6"/>
      <c r="AY485" s="32"/>
      <c r="AZ485" s="342"/>
      <c r="BA485" s="343"/>
      <c r="BB485" s="342"/>
      <c r="BC485" s="343"/>
      <c r="BD485" s="32"/>
      <c r="BE485" s="187"/>
      <c r="BF485" s="187"/>
    </row>
    <row r="486" spans="1:58" ht="15.95" hidden="1" customHeight="1" x14ac:dyDescent="0.25">
      <c r="A486" s="957">
        <f t="shared" ca="1" si="16"/>
        <v>0</v>
      </c>
      <c r="AQ486" s="4"/>
      <c r="AR486" s="5"/>
      <c r="AS486" s="5" t="str">
        <f ca="1">IF('Rent Roll'!$AA12=1,'Rent Roll'!E12,"")</f>
        <v/>
      </c>
      <c r="AT486" s="39" t="str">
        <f ca="1">IF('Rent Roll'!$AA12=1,'Rent Roll'!G12,"")</f>
        <v/>
      </c>
      <c r="AU486" s="1547" t="str">
        <f ca="1">IF('Rent Roll'!$AA12=1,'Rent Roll'!K12,"")</f>
        <v/>
      </c>
      <c r="AV486" s="1551" t="str">
        <f ca="1">IF('Rent Roll'!$AA12=1,'Rent Roll'!N12,"")</f>
        <v/>
      </c>
      <c r="AW486" s="223"/>
      <c r="AX486" s="6"/>
      <c r="AY486" s="32"/>
      <c r="AZ486" s="342"/>
      <c r="BA486" s="343"/>
      <c r="BB486" s="342"/>
      <c r="BC486" s="343"/>
      <c r="BD486" s="32"/>
      <c r="BE486" s="187"/>
      <c r="BF486" s="187"/>
    </row>
    <row r="487" spans="1:58" ht="15.95" hidden="1" customHeight="1" x14ac:dyDescent="0.25">
      <c r="A487" s="957">
        <f t="shared" ca="1" si="16"/>
        <v>0</v>
      </c>
      <c r="AQ487" s="4"/>
      <c r="AR487" s="5"/>
      <c r="AS487" s="5" t="str">
        <f ca="1">IF('Rent Roll'!$AA13=1,'Rent Roll'!E13,"")</f>
        <v/>
      </c>
      <c r="AT487" s="39" t="str">
        <f ca="1">IF('Rent Roll'!$AA13=1,'Rent Roll'!G13,"")</f>
        <v/>
      </c>
      <c r="AU487" s="1547" t="str">
        <f ca="1">IF('Rent Roll'!$AA13=1,'Rent Roll'!K13,"")</f>
        <v/>
      </c>
      <c r="AV487" s="1551" t="str">
        <f ca="1">IF('Rent Roll'!$AA13=1,'Rent Roll'!N13,"")</f>
        <v/>
      </c>
      <c r="AW487" s="223"/>
      <c r="AX487" s="6"/>
      <c r="AY487" s="32"/>
      <c r="AZ487" s="342"/>
      <c r="BA487" s="343"/>
      <c r="BB487" s="342"/>
      <c r="BC487" s="343"/>
      <c r="BD487" s="32"/>
      <c r="BE487" s="187"/>
      <c r="BF487" s="187"/>
    </row>
    <row r="488" spans="1:58" ht="15.95" hidden="1" customHeight="1" x14ac:dyDescent="0.25">
      <c r="A488" s="957">
        <f t="shared" ca="1" si="16"/>
        <v>0</v>
      </c>
      <c r="AQ488" s="4"/>
      <c r="AR488" s="5"/>
      <c r="AS488" s="5" t="str">
        <f ca="1">IF('Rent Roll'!$AA14=1,'Rent Roll'!E14,"")</f>
        <v/>
      </c>
      <c r="AT488" s="39" t="str">
        <f ca="1">IF('Rent Roll'!$AA14=1,'Rent Roll'!G14,"")</f>
        <v/>
      </c>
      <c r="AU488" s="1547" t="str">
        <f ca="1">IF('Rent Roll'!$AA14=1,'Rent Roll'!K14,"")</f>
        <v/>
      </c>
      <c r="AV488" s="1551" t="str">
        <f ca="1">IF('Rent Roll'!$AA14=1,'Rent Roll'!N14,"")</f>
        <v/>
      </c>
      <c r="AW488" s="223"/>
      <c r="AX488" s="6"/>
      <c r="AY488" s="32"/>
      <c r="AZ488" s="342"/>
      <c r="BA488" s="343"/>
      <c r="BB488" s="342"/>
      <c r="BC488" s="343"/>
      <c r="BD488" s="32"/>
      <c r="BE488" s="187"/>
      <c r="BF488" s="187"/>
    </row>
    <row r="489" spans="1:58" ht="15.95" hidden="1" customHeight="1" x14ac:dyDescent="0.25">
      <c r="A489" s="957">
        <f t="shared" ca="1" si="16"/>
        <v>0</v>
      </c>
      <c r="AQ489" s="4"/>
      <c r="AR489" s="5"/>
      <c r="AS489" s="5" t="str">
        <f ca="1">IF('Rent Roll'!$AA15=1,'Rent Roll'!E15,"")</f>
        <v/>
      </c>
      <c r="AT489" s="39" t="str">
        <f ca="1">IF('Rent Roll'!$AA15=1,'Rent Roll'!G15,"")</f>
        <v/>
      </c>
      <c r="AU489" s="1547" t="str">
        <f ca="1">IF('Rent Roll'!$AA15=1,'Rent Roll'!K15,"")</f>
        <v/>
      </c>
      <c r="AV489" s="1551" t="str">
        <f ca="1">IF('Rent Roll'!$AA15=1,'Rent Roll'!N15,"")</f>
        <v/>
      </c>
      <c r="AW489" s="223"/>
      <c r="AX489" s="6"/>
      <c r="AY489" s="32"/>
      <c r="AZ489" s="342"/>
      <c r="BA489" s="343"/>
      <c r="BB489" s="342"/>
      <c r="BC489" s="343"/>
      <c r="BD489" s="32"/>
      <c r="BE489" s="187"/>
      <c r="BF489" s="187"/>
    </row>
    <row r="490" spans="1:58" ht="15.95" hidden="1" customHeight="1" x14ac:dyDescent="0.25">
      <c r="A490" s="957">
        <f t="shared" ca="1" si="16"/>
        <v>0</v>
      </c>
      <c r="AQ490" s="4"/>
      <c r="AR490" s="5"/>
      <c r="AS490" s="5" t="str">
        <f ca="1">IF('Rent Roll'!$AA16=1,'Rent Roll'!E16,"")</f>
        <v/>
      </c>
      <c r="AT490" s="39" t="str">
        <f ca="1">IF('Rent Roll'!$AA16=1,'Rent Roll'!G16,"")</f>
        <v/>
      </c>
      <c r="AU490" s="1547" t="str">
        <f ca="1">IF('Rent Roll'!$AA16=1,'Rent Roll'!K16,"")</f>
        <v/>
      </c>
      <c r="AV490" s="1551" t="str">
        <f ca="1">IF('Rent Roll'!$AA16=1,'Rent Roll'!N16,"")</f>
        <v/>
      </c>
      <c r="AW490" s="223"/>
      <c r="AX490" s="6"/>
      <c r="AY490" s="32"/>
      <c r="AZ490" s="342"/>
      <c r="BA490" s="343"/>
      <c r="BB490" s="342"/>
      <c r="BC490" s="343"/>
      <c r="BD490" s="32"/>
      <c r="BE490" s="187"/>
      <c r="BF490" s="187"/>
    </row>
    <row r="491" spans="1:58" ht="15.95" hidden="1" customHeight="1" x14ac:dyDescent="0.25">
      <c r="A491" s="957">
        <f t="shared" ca="1" si="16"/>
        <v>0</v>
      </c>
      <c r="AQ491" s="4"/>
      <c r="AR491" s="5"/>
      <c r="AS491" s="5" t="str">
        <f ca="1">IF('Rent Roll'!$AA17=1,'Rent Roll'!E17,"")</f>
        <v/>
      </c>
      <c r="AT491" s="39" t="str">
        <f ca="1">IF('Rent Roll'!$AA17=1,'Rent Roll'!G17,"")</f>
        <v/>
      </c>
      <c r="AU491" s="1547" t="str">
        <f ca="1">IF('Rent Roll'!$AA17=1,'Rent Roll'!K17,"")</f>
        <v/>
      </c>
      <c r="AV491" s="1551" t="str">
        <f ca="1">IF('Rent Roll'!$AA17=1,'Rent Roll'!N17,"")</f>
        <v/>
      </c>
      <c r="AW491" s="223"/>
      <c r="AX491" s="6"/>
      <c r="AY491" s="32"/>
      <c r="AZ491" s="342"/>
      <c r="BA491" s="343"/>
      <c r="BB491" s="342"/>
      <c r="BC491" s="343"/>
      <c r="BD491" s="32"/>
      <c r="BE491" s="187"/>
      <c r="BF491" s="187"/>
    </row>
    <row r="492" spans="1:58" ht="15.95" hidden="1" customHeight="1" x14ac:dyDescent="0.25">
      <c r="A492" s="957">
        <f t="shared" ca="1" si="16"/>
        <v>0</v>
      </c>
      <c r="AQ492" s="4"/>
      <c r="AR492" s="5"/>
      <c r="AS492" s="5" t="str">
        <f ca="1">IF('Rent Roll'!$AA18=1,'Rent Roll'!E18,"")</f>
        <v/>
      </c>
      <c r="AT492" s="39" t="str">
        <f ca="1">IF('Rent Roll'!$AA18=1,'Rent Roll'!G18,"")</f>
        <v/>
      </c>
      <c r="AU492" s="1547" t="str">
        <f ca="1">IF('Rent Roll'!$AA18=1,'Rent Roll'!K18,"")</f>
        <v/>
      </c>
      <c r="AV492" s="1551" t="str">
        <f ca="1">IF('Rent Roll'!$AA18=1,'Rent Roll'!N18,"")</f>
        <v/>
      </c>
      <c r="AW492" s="223"/>
      <c r="AX492" s="6"/>
      <c r="AY492" s="32"/>
      <c r="AZ492" s="342"/>
      <c r="BA492" s="343"/>
      <c r="BB492" s="342"/>
      <c r="BC492" s="343"/>
      <c r="BD492" s="32"/>
      <c r="BE492" s="187"/>
      <c r="BF492" s="187"/>
    </row>
    <row r="493" spans="1:58" ht="15.95" hidden="1" customHeight="1" x14ac:dyDescent="0.25">
      <c r="A493" s="957">
        <f t="shared" ca="1" si="16"/>
        <v>0</v>
      </c>
      <c r="AQ493" s="4"/>
      <c r="AR493" s="5"/>
      <c r="AS493" s="5" t="str">
        <f ca="1">IF('Rent Roll'!$AA19=1,'Rent Roll'!E19,"")</f>
        <v/>
      </c>
      <c r="AT493" s="39" t="str">
        <f ca="1">IF('Rent Roll'!$AA19=1,'Rent Roll'!G19,"")</f>
        <v/>
      </c>
      <c r="AU493" s="1547" t="str">
        <f ca="1">IF('Rent Roll'!$AA19=1,'Rent Roll'!K19,"")</f>
        <v/>
      </c>
      <c r="AV493" s="1551" t="str">
        <f ca="1">IF('Rent Roll'!$AA19=1,'Rent Roll'!N19,"")</f>
        <v/>
      </c>
      <c r="AW493" s="223"/>
      <c r="AX493" s="6"/>
      <c r="AY493" s="32"/>
      <c r="AZ493" s="342"/>
      <c r="BA493" s="343"/>
      <c r="BB493" s="342"/>
      <c r="BC493" s="343"/>
      <c r="BD493" s="32"/>
      <c r="BE493" s="187"/>
      <c r="BF493" s="187"/>
    </row>
    <row r="494" spans="1:58" ht="15.95" hidden="1" customHeight="1" x14ac:dyDescent="0.25">
      <c r="A494" s="957">
        <f t="shared" ca="1" si="16"/>
        <v>0</v>
      </c>
      <c r="AQ494" s="4"/>
      <c r="AR494" s="5"/>
      <c r="AS494" s="5" t="str">
        <f ca="1">IF('Rent Roll'!$AA20=1,'Rent Roll'!E20,"")</f>
        <v/>
      </c>
      <c r="AT494" s="39" t="str">
        <f ca="1">IF('Rent Roll'!$AA20=1,'Rent Roll'!G20,"")</f>
        <v/>
      </c>
      <c r="AU494" s="1547" t="str">
        <f ca="1">IF('Rent Roll'!$AA20=1,'Rent Roll'!K20,"")</f>
        <v/>
      </c>
      <c r="AV494" s="1551" t="str">
        <f ca="1">IF('Rent Roll'!$AA20=1,'Rent Roll'!N20,"")</f>
        <v/>
      </c>
      <c r="AW494" s="223"/>
      <c r="AX494" s="6"/>
      <c r="AY494" s="32"/>
      <c r="AZ494" s="342"/>
      <c r="BA494" s="343"/>
      <c r="BB494" s="342"/>
      <c r="BC494" s="343"/>
      <c r="BD494" s="32"/>
      <c r="BE494" s="187"/>
      <c r="BF494" s="187"/>
    </row>
    <row r="495" spans="1:58" ht="15.95" hidden="1" customHeight="1" x14ac:dyDescent="0.25">
      <c r="A495" s="957">
        <f t="shared" ca="1" si="16"/>
        <v>0</v>
      </c>
      <c r="AQ495" s="4"/>
      <c r="AR495" s="5"/>
      <c r="AS495" s="5" t="str">
        <f ca="1">IF('Rent Roll'!$AA21=1,'Rent Roll'!E21,"")</f>
        <v/>
      </c>
      <c r="AT495" s="39" t="str">
        <f ca="1">IF('Rent Roll'!$AA21=1,'Rent Roll'!G21,"")</f>
        <v/>
      </c>
      <c r="AU495" s="1547" t="str">
        <f ca="1">IF('Rent Roll'!$AA21=1,'Rent Roll'!K21,"")</f>
        <v/>
      </c>
      <c r="AV495" s="1551" t="str">
        <f ca="1">IF('Rent Roll'!$AA21=1,'Rent Roll'!N21,"")</f>
        <v/>
      </c>
      <c r="AW495" s="223"/>
      <c r="AX495" s="6"/>
      <c r="AY495" s="32"/>
      <c r="AZ495" s="342"/>
      <c r="BA495" s="343"/>
      <c r="BB495" s="342"/>
      <c r="BC495" s="343"/>
      <c r="BD495" s="32"/>
      <c r="BE495" s="187"/>
      <c r="BF495" s="187"/>
    </row>
    <row r="496" spans="1:58" ht="15.95" hidden="1" customHeight="1" x14ac:dyDescent="0.25">
      <c r="A496" s="957">
        <f t="shared" ca="1" si="16"/>
        <v>0</v>
      </c>
      <c r="AQ496" s="4"/>
      <c r="AR496" s="5"/>
      <c r="AS496" s="5" t="str">
        <f ca="1">IF('Rent Roll'!$AA22=1,'Rent Roll'!E22,"")</f>
        <v/>
      </c>
      <c r="AT496" s="39" t="str">
        <f ca="1">IF('Rent Roll'!$AA22=1,'Rent Roll'!G22,"")</f>
        <v/>
      </c>
      <c r="AU496" s="1547" t="str">
        <f ca="1">IF('Rent Roll'!$AA22=1,'Rent Roll'!K22,"")</f>
        <v/>
      </c>
      <c r="AV496" s="1551" t="str">
        <f ca="1">IF('Rent Roll'!$AA22=1,'Rent Roll'!N22,"")</f>
        <v/>
      </c>
      <c r="AW496" s="223"/>
      <c r="AX496" s="6"/>
      <c r="AY496" s="32"/>
      <c r="AZ496" s="342"/>
      <c r="BA496" s="343"/>
      <c r="BB496" s="342"/>
      <c r="BC496" s="343"/>
      <c r="BD496" s="32"/>
      <c r="BE496" s="187"/>
      <c r="BF496" s="187"/>
    </row>
    <row r="497" spans="1:58" ht="15.95" hidden="1" customHeight="1" x14ac:dyDescent="0.25">
      <c r="A497" s="957">
        <f t="shared" ca="1" si="16"/>
        <v>0</v>
      </c>
      <c r="AQ497" s="4"/>
      <c r="AR497" s="5"/>
      <c r="AS497" s="5" t="str">
        <f ca="1">IF('Rent Roll'!$AA23=1,'Rent Roll'!E23,"")</f>
        <v/>
      </c>
      <c r="AT497" s="39" t="str">
        <f ca="1">IF('Rent Roll'!$AA23=1,'Rent Roll'!G23,"")</f>
        <v/>
      </c>
      <c r="AU497" s="1547" t="str">
        <f ca="1">IF('Rent Roll'!$AA23=1,'Rent Roll'!K23,"")</f>
        <v/>
      </c>
      <c r="AV497" s="1551" t="str">
        <f ca="1">IF('Rent Roll'!$AA23=1,'Rent Roll'!N23,"")</f>
        <v/>
      </c>
      <c r="AW497" s="223"/>
      <c r="AX497" s="6"/>
      <c r="AY497" s="32"/>
      <c r="AZ497" s="342"/>
      <c r="BA497" s="343"/>
      <c r="BB497" s="342"/>
      <c r="BC497" s="343"/>
      <c r="BD497" s="32"/>
      <c r="BE497" s="187"/>
      <c r="BF497" s="187"/>
    </row>
    <row r="498" spans="1:58" ht="15.95" hidden="1" customHeight="1" x14ac:dyDescent="0.25">
      <c r="A498" s="957">
        <f t="shared" ca="1" si="16"/>
        <v>0</v>
      </c>
      <c r="AQ498" s="4"/>
      <c r="AR498" s="5"/>
      <c r="AS498" s="5" t="str">
        <f ca="1">IF('Rent Roll'!$AA24=1,'Rent Roll'!E24,"")</f>
        <v/>
      </c>
      <c r="AT498" s="39" t="str">
        <f ca="1">IF('Rent Roll'!$AA24=1,'Rent Roll'!G24,"")</f>
        <v/>
      </c>
      <c r="AU498" s="1547" t="str">
        <f ca="1">IF('Rent Roll'!$AA24=1,'Rent Roll'!K24,"")</f>
        <v/>
      </c>
      <c r="AV498" s="1551" t="str">
        <f ca="1">IF('Rent Roll'!$AA24=1,'Rent Roll'!N24,"")</f>
        <v/>
      </c>
      <c r="AW498" s="223"/>
      <c r="AX498" s="6"/>
      <c r="AY498" s="32"/>
      <c r="AZ498" s="342"/>
      <c r="BA498" s="343"/>
      <c r="BB498" s="342"/>
      <c r="BC498" s="343"/>
      <c r="BD498" s="32"/>
      <c r="BE498" s="187"/>
      <c r="BF498" s="187"/>
    </row>
    <row r="499" spans="1:58" ht="15.95" hidden="1" customHeight="1" x14ac:dyDescent="0.25">
      <c r="A499" s="957">
        <f t="shared" ca="1" si="16"/>
        <v>0</v>
      </c>
      <c r="AQ499" s="4"/>
      <c r="AR499" s="5"/>
      <c r="AS499" s="5" t="str">
        <f ca="1">IF('Rent Roll'!$AA25=1,'Rent Roll'!E25,"")</f>
        <v/>
      </c>
      <c r="AT499" s="39" t="str">
        <f ca="1">IF('Rent Roll'!$AA25=1,'Rent Roll'!G25,"")</f>
        <v/>
      </c>
      <c r="AU499" s="1547" t="str">
        <f ca="1">IF('Rent Roll'!$AA25=1,'Rent Roll'!K25,"")</f>
        <v/>
      </c>
      <c r="AV499" s="1551" t="str">
        <f ca="1">IF('Rent Roll'!$AA25=1,'Rent Roll'!N25,"")</f>
        <v/>
      </c>
      <c r="AW499" s="223"/>
      <c r="AX499" s="6"/>
      <c r="AY499" s="32"/>
      <c r="AZ499" s="342"/>
      <c r="BA499" s="343"/>
      <c r="BB499" s="342"/>
      <c r="BC499" s="343"/>
      <c r="BD499" s="32"/>
      <c r="BE499" s="187"/>
      <c r="BF499" s="187"/>
    </row>
    <row r="500" spans="1:58" ht="15.95" hidden="1" customHeight="1" x14ac:dyDescent="0.25">
      <c r="A500" s="957">
        <f t="shared" ca="1" si="16"/>
        <v>0</v>
      </c>
      <c r="AQ500" s="4"/>
      <c r="AR500" s="5"/>
      <c r="AS500" s="5" t="str">
        <f ca="1">IF('Rent Roll'!$AA26=1,'Rent Roll'!E26,"")</f>
        <v/>
      </c>
      <c r="AT500" s="39" t="str">
        <f ca="1">IF('Rent Roll'!$AA26=1,'Rent Roll'!G26,"")</f>
        <v/>
      </c>
      <c r="AU500" s="1547" t="str">
        <f ca="1">IF('Rent Roll'!$AA26=1,'Rent Roll'!K26,"")</f>
        <v/>
      </c>
      <c r="AV500" s="1551" t="str">
        <f ca="1">IF('Rent Roll'!$AA26=1,'Rent Roll'!N26,"")</f>
        <v/>
      </c>
      <c r="AW500" s="223"/>
      <c r="AX500" s="6"/>
      <c r="AY500" s="32"/>
      <c r="AZ500" s="342"/>
      <c r="BA500" s="343"/>
      <c r="BB500" s="342"/>
      <c r="BC500" s="343"/>
      <c r="BD500" s="32"/>
      <c r="BE500" s="187"/>
      <c r="BF500" s="187"/>
    </row>
    <row r="501" spans="1:58" ht="15.95" hidden="1" customHeight="1" x14ac:dyDescent="0.25">
      <c r="A501" s="957">
        <f t="shared" ca="1" si="16"/>
        <v>0</v>
      </c>
      <c r="AQ501" s="4"/>
      <c r="AR501" s="5"/>
      <c r="AS501" s="5" t="str">
        <f ca="1">IF('Rent Roll'!$AA27=1,'Rent Roll'!E27,"")</f>
        <v/>
      </c>
      <c r="AT501" s="39" t="str">
        <f ca="1">IF('Rent Roll'!$AA27=1,'Rent Roll'!G27,"")</f>
        <v/>
      </c>
      <c r="AU501" s="1547" t="str">
        <f ca="1">IF('Rent Roll'!$AA27=1,'Rent Roll'!K27,"")</f>
        <v/>
      </c>
      <c r="AV501" s="1551" t="str">
        <f ca="1">IF('Rent Roll'!$AA27=1,'Rent Roll'!N27,"")</f>
        <v/>
      </c>
      <c r="AW501" s="223"/>
      <c r="AX501" s="6"/>
      <c r="AY501" s="32"/>
      <c r="AZ501" s="342"/>
      <c r="BA501" s="343"/>
      <c r="BB501" s="342"/>
      <c r="BC501" s="343"/>
      <c r="BD501" s="32"/>
      <c r="BE501" s="187"/>
      <c r="BF501" s="187"/>
    </row>
    <row r="502" spans="1:58" ht="15.95" hidden="1" customHeight="1" x14ac:dyDescent="0.25">
      <c r="A502" s="957">
        <f t="shared" ca="1" si="16"/>
        <v>0</v>
      </c>
      <c r="AQ502" s="4"/>
      <c r="AR502" s="5"/>
      <c r="AS502" s="5" t="str">
        <f ca="1">IF('Rent Roll'!$AA28=1,'Rent Roll'!E28,"")</f>
        <v/>
      </c>
      <c r="AT502" s="39" t="str">
        <f ca="1">IF('Rent Roll'!$AA28=1,'Rent Roll'!G28,"")</f>
        <v/>
      </c>
      <c r="AU502" s="1547" t="str">
        <f ca="1">IF('Rent Roll'!$AA28=1,'Rent Roll'!K28,"")</f>
        <v/>
      </c>
      <c r="AV502" s="1551" t="str">
        <f ca="1">IF('Rent Roll'!$AA28=1,'Rent Roll'!N28,"")</f>
        <v/>
      </c>
      <c r="AW502" s="223"/>
      <c r="AX502" s="6"/>
      <c r="AY502" s="32"/>
      <c r="AZ502" s="342"/>
      <c r="BA502" s="343"/>
      <c r="BB502" s="342"/>
      <c r="BC502" s="343"/>
      <c r="BD502" s="32"/>
      <c r="BE502" s="187"/>
      <c r="BF502" s="187"/>
    </row>
    <row r="503" spans="1:58" ht="15.95" hidden="1" customHeight="1" x14ac:dyDescent="0.25">
      <c r="A503" s="957">
        <f t="shared" ca="1" si="16"/>
        <v>0</v>
      </c>
      <c r="AQ503" s="4"/>
      <c r="AR503" s="5"/>
      <c r="AS503" s="5" t="str">
        <f ca="1">IF('Rent Roll'!$AA29=1,'Rent Roll'!E29,"")</f>
        <v/>
      </c>
      <c r="AT503" s="39" t="str">
        <f ca="1">IF('Rent Roll'!$AA29=1,'Rent Roll'!G29,"")</f>
        <v/>
      </c>
      <c r="AU503" s="1547" t="str">
        <f ca="1">IF('Rent Roll'!$AA29=1,'Rent Roll'!K29,"")</f>
        <v/>
      </c>
      <c r="AV503" s="1551" t="str">
        <f ca="1">IF('Rent Roll'!$AA29=1,'Rent Roll'!N29,"")</f>
        <v/>
      </c>
      <c r="AW503" s="223"/>
      <c r="AX503" s="6"/>
      <c r="AY503" s="32"/>
      <c r="AZ503" s="342"/>
      <c r="BA503" s="343"/>
      <c r="BB503" s="342"/>
      <c r="BC503" s="343"/>
      <c r="BD503" s="32"/>
      <c r="BE503" s="187"/>
      <c r="BF503" s="187"/>
    </row>
    <row r="504" spans="1:58" ht="15.95" hidden="1" customHeight="1" x14ac:dyDescent="0.25">
      <c r="A504" s="957">
        <f t="shared" ca="1" si="16"/>
        <v>0</v>
      </c>
      <c r="AQ504" s="4"/>
      <c r="AR504" s="5"/>
      <c r="AS504" s="5" t="str">
        <f ca="1">IF('Rent Roll'!$AA30=1,'Rent Roll'!E30,"")</f>
        <v/>
      </c>
      <c r="AT504" s="39" t="str">
        <f ca="1">IF('Rent Roll'!$AA30=1,'Rent Roll'!G30,"")</f>
        <v/>
      </c>
      <c r="AU504" s="1547" t="str">
        <f ca="1">IF('Rent Roll'!$AA30=1,'Rent Roll'!K30,"")</f>
        <v/>
      </c>
      <c r="AV504" s="1551" t="str">
        <f ca="1">IF('Rent Roll'!$AA30=1,'Rent Roll'!N30,"")</f>
        <v/>
      </c>
      <c r="AW504" s="223"/>
      <c r="AX504" s="6"/>
      <c r="AY504" s="32"/>
      <c r="AZ504" s="342"/>
      <c r="BA504" s="343"/>
      <c r="BB504" s="342"/>
      <c r="BC504" s="343"/>
      <c r="BD504" s="32"/>
      <c r="BE504" s="187"/>
      <c r="BF504" s="187"/>
    </row>
    <row r="505" spans="1:58" ht="15.95" hidden="1" customHeight="1" x14ac:dyDescent="0.25">
      <c r="A505" s="957">
        <f t="shared" ca="1" si="16"/>
        <v>0</v>
      </c>
      <c r="AQ505" s="4"/>
      <c r="AR505" s="5"/>
      <c r="AS505" s="5" t="str">
        <f ca="1">IF('Rent Roll'!$AA31=1,'Rent Roll'!E31,"")</f>
        <v/>
      </c>
      <c r="AT505" s="39" t="str">
        <f ca="1">IF('Rent Roll'!$AA31=1,'Rent Roll'!G31,"")</f>
        <v/>
      </c>
      <c r="AU505" s="1547" t="str">
        <f ca="1">IF('Rent Roll'!$AA31=1,'Rent Roll'!K31,"")</f>
        <v/>
      </c>
      <c r="AV505" s="1551" t="str">
        <f ca="1">IF('Rent Roll'!$AA31=1,'Rent Roll'!N31,"")</f>
        <v/>
      </c>
      <c r="AW505" s="223"/>
      <c r="AX505" s="6"/>
      <c r="AY505" s="32"/>
      <c r="AZ505" s="342"/>
      <c r="BA505" s="343"/>
      <c r="BB505" s="342"/>
      <c r="BC505" s="343"/>
      <c r="BD505" s="32"/>
      <c r="BE505" s="187"/>
      <c r="BF505" s="187"/>
    </row>
    <row r="506" spans="1:58" ht="15.95" hidden="1" customHeight="1" x14ac:dyDescent="0.25">
      <c r="A506" s="957">
        <f t="shared" ca="1" si="16"/>
        <v>0</v>
      </c>
      <c r="AQ506" s="4"/>
      <c r="AR506" s="5"/>
      <c r="AS506" s="5" t="str">
        <f ca="1">IF('Rent Roll'!$AA32=1,'Rent Roll'!E32,"")</f>
        <v/>
      </c>
      <c r="AT506" s="39" t="str">
        <f ca="1">IF('Rent Roll'!$AA32=1,'Rent Roll'!G32,"")</f>
        <v/>
      </c>
      <c r="AU506" s="1547" t="str">
        <f ca="1">IF('Rent Roll'!$AA32=1,'Rent Roll'!K32,"")</f>
        <v/>
      </c>
      <c r="AV506" s="1551" t="str">
        <f ca="1">IF('Rent Roll'!$AA32=1,'Rent Roll'!N32,"")</f>
        <v/>
      </c>
      <c r="AW506" s="223"/>
      <c r="AX506" s="6"/>
      <c r="AY506" s="32"/>
      <c r="AZ506" s="342"/>
      <c r="BA506" s="343"/>
      <c r="BB506" s="342"/>
      <c r="BC506" s="343"/>
      <c r="BD506" s="32"/>
      <c r="BE506" s="187"/>
      <c r="BF506" s="187"/>
    </row>
    <row r="507" spans="1:58" ht="15.95" hidden="1" customHeight="1" x14ac:dyDescent="0.25">
      <c r="A507" s="957">
        <f t="shared" ca="1" si="16"/>
        <v>0</v>
      </c>
      <c r="AQ507" s="4"/>
      <c r="AR507" s="5"/>
      <c r="AS507" s="5" t="str">
        <f ca="1">IF('Rent Roll'!$AA33=1,'Rent Roll'!E33,"")</f>
        <v/>
      </c>
      <c r="AT507" s="39" t="str">
        <f ca="1">IF('Rent Roll'!$AA33=1,'Rent Roll'!G33,"")</f>
        <v/>
      </c>
      <c r="AU507" s="1547" t="str">
        <f ca="1">IF('Rent Roll'!$AA33=1,'Rent Roll'!K33,"")</f>
        <v/>
      </c>
      <c r="AV507" s="1551" t="str">
        <f ca="1">IF('Rent Roll'!$AA33=1,'Rent Roll'!N33,"")</f>
        <v/>
      </c>
      <c r="AW507" s="223"/>
      <c r="AX507" s="6"/>
      <c r="AY507" s="32"/>
      <c r="AZ507" s="342"/>
      <c r="BA507" s="343"/>
      <c r="BB507" s="342"/>
      <c r="BC507" s="343"/>
      <c r="BD507" s="32"/>
      <c r="BE507" s="187"/>
      <c r="BF507" s="187"/>
    </row>
    <row r="508" spans="1:58" ht="15.95" hidden="1" customHeight="1" x14ac:dyDescent="0.25">
      <c r="A508" s="957">
        <f t="shared" ca="1" si="16"/>
        <v>0</v>
      </c>
      <c r="AQ508" s="4"/>
      <c r="AR508" s="5"/>
      <c r="AS508" s="5" t="str">
        <f ca="1">IF('Rent Roll'!$AA34=1,'Rent Roll'!E34,"")</f>
        <v/>
      </c>
      <c r="AT508" s="39" t="str">
        <f ca="1">IF('Rent Roll'!$AA34=1,'Rent Roll'!G34,"")</f>
        <v/>
      </c>
      <c r="AU508" s="1547" t="str">
        <f ca="1">IF('Rent Roll'!$AA34=1,'Rent Roll'!K34,"")</f>
        <v/>
      </c>
      <c r="AV508" s="1551" t="str">
        <f ca="1">IF('Rent Roll'!$AA34=1,'Rent Roll'!N34,"")</f>
        <v/>
      </c>
      <c r="AW508" s="223"/>
      <c r="AX508" s="6"/>
      <c r="AY508" s="32"/>
      <c r="AZ508" s="342"/>
      <c r="BA508" s="343"/>
      <c r="BB508" s="342"/>
      <c r="BC508" s="343"/>
      <c r="BD508" s="32"/>
      <c r="BE508" s="187"/>
      <c r="BF508" s="187"/>
    </row>
    <row r="509" spans="1:58" ht="15.95" hidden="1" customHeight="1" x14ac:dyDescent="0.25">
      <c r="A509" s="957">
        <f t="shared" ca="1" si="16"/>
        <v>0</v>
      </c>
      <c r="AQ509" s="4"/>
      <c r="AR509" s="5"/>
      <c r="AS509" s="5" t="str">
        <f ca="1">IF('Rent Roll'!$AA35=1,'Rent Roll'!E35,"")</f>
        <v/>
      </c>
      <c r="AT509" s="39" t="str">
        <f ca="1">IF('Rent Roll'!$AA35=1,'Rent Roll'!G35,"")</f>
        <v/>
      </c>
      <c r="AU509" s="1547" t="str">
        <f ca="1">IF('Rent Roll'!$AA35=1,'Rent Roll'!K35,"")</f>
        <v/>
      </c>
      <c r="AV509" s="1551" t="str">
        <f ca="1">IF('Rent Roll'!$AA35=1,'Rent Roll'!N35,"")</f>
        <v/>
      </c>
      <c r="AW509" s="223"/>
      <c r="AX509" s="6"/>
      <c r="AY509" s="32"/>
      <c r="AZ509" s="342"/>
      <c r="BA509" s="343"/>
      <c r="BB509" s="342"/>
      <c r="BC509" s="343"/>
      <c r="BD509" s="32"/>
      <c r="BE509" s="187"/>
      <c r="BF509" s="187"/>
    </row>
    <row r="510" spans="1:58" ht="15.95" hidden="1" customHeight="1" x14ac:dyDescent="0.25">
      <c r="A510" s="957">
        <f t="shared" ca="1" si="16"/>
        <v>0</v>
      </c>
      <c r="AQ510" s="4"/>
      <c r="AR510" s="5"/>
      <c r="AS510" s="5" t="str">
        <f ca="1">IF('Rent Roll'!$AA36=1,'Rent Roll'!E36,"")</f>
        <v/>
      </c>
      <c r="AT510" s="39" t="str">
        <f ca="1">IF('Rent Roll'!$AA36=1,'Rent Roll'!G36,"")</f>
        <v/>
      </c>
      <c r="AU510" s="1547" t="str">
        <f ca="1">IF('Rent Roll'!$AA36=1,'Rent Roll'!K36,"")</f>
        <v/>
      </c>
      <c r="AV510" s="1551" t="str">
        <f ca="1">IF('Rent Roll'!$AA36=1,'Rent Roll'!N36,"")</f>
        <v/>
      </c>
      <c r="AW510" s="223"/>
      <c r="AX510" s="6"/>
      <c r="AY510" s="32"/>
      <c r="AZ510" s="342"/>
      <c r="BA510" s="343"/>
      <c r="BB510" s="342"/>
      <c r="BC510" s="343"/>
      <c r="BD510" s="32"/>
      <c r="BE510" s="187"/>
      <c r="BF510" s="187"/>
    </row>
    <row r="511" spans="1:58" ht="15.95" hidden="1" customHeight="1" x14ac:dyDescent="0.25">
      <c r="A511" s="957">
        <f t="shared" ca="1" si="16"/>
        <v>0</v>
      </c>
      <c r="AQ511" s="4"/>
      <c r="AR511" s="5"/>
      <c r="AS511" s="5" t="str">
        <f ca="1">IF('Rent Roll'!$AA37=1,'Rent Roll'!E37,"")</f>
        <v/>
      </c>
      <c r="AT511" s="39" t="str">
        <f ca="1">IF('Rent Roll'!$AA37=1,'Rent Roll'!G37,"")</f>
        <v/>
      </c>
      <c r="AU511" s="1547" t="str">
        <f ca="1">IF('Rent Roll'!$AA37=1,'Rent Roll'!K37,"")</f>
        <v/>
      </c>
      <c r="AV511" s="1551" t="str">
        <f ca="1">IF('Rent Roll'!$AA37=1,'Rent Roll'!N37,"")</f>
        <v/>
      </c>
      <c r="AW511" s="223"/>
      <c r="AX511" s="6"/>
      <c r="AY511" s="32"/>
      <c r="AZ511" s="342"/>
      <c r="BA511" s="343"/>
      <c r="BB511" s="342"/>
      <c r="BC511" s="343"/>
      <c r="BD511" s="32"/>
      <c r="BE511" s="187"/>
      <c r="BF511" s="187"/>
    </row>
    <row r="512" spans="1:58" ht="15.95" hidden="1" customHeight="1" x14ac:dyDescent="0.25">
      <c r="A512" s="957">
        <f t="shared" ca="1" si="16"/>
        <v>0</v>
      </c>
      <c r="AQ512" s="4"/>
      <c r="AR512" s="5"/>
      <c r="AS512" s="5" t="str">
        <f ca="1">IF('Rent Roll'!$AA38=1,'Rent Roll'!E38,"")</f>
        <v/>
      </c>
      <c r="AT512" s="39" t="str">
        <f ca="1">IF('Rent Roll'!$AA38=1,'Rent Roll'!G38,"")</f>
        <v/>
      </c>
      <c r="AU512" s="1547" t="str">
        <f ca="1">IF('Rent Roll'!$AA38=1,'Rent Roll'!K38,"")</f>
        <v/>
      </c>
      <c r="AV512" s="1551" t="str">
        <f ca="1">IF('Rent Roll'!$AA38=1,'Rent Roll'!N38,"")</f>
        <v/>
      </c>
      <c r="AW512" s="223"/>
      <c r="AX512" s="6"/>
      <c r="AY512" s="32"/>
      <c r="AZ512" s="342"/>
      <c r="BA512" s="343"/>
      <c r="BB512" s="342"/>
      <c r="BC512" s="343"/>
      <c r="BD512" s="32"/>
      <c r="BE512" s="187"/>
      <c r="BF512" s="187"/>
    </row>
    <row r="513" spans="1:58" ht="15.95" hidden="1" customHeight="1" x14ac:dyDescent="0.25">
      <c r="A513" s="957">
        <f t="shared" ref="A513:A544" ca="1" si="17">IF(AS513="",0,1)</f>
        <v>0</v>
      </c>
      <c r="AQ513" s="4"/>
      <c r="AR513" s="5"/>
      <c r="AS513" s="5" t="str">
        <f ca="1">IF('Rent Roll'!$AA39=1,'Rent Roll'!E39,"")</f>
        <v/>
      </c>
      <c r="AT513" s="39" t="str">
        <f ca="1">IF('Rent Roll'!$AA39=1,'Rent Roll'!G39,"")</f>
        <v/>
      </c>
      <c r="AU513" s="1547" t="str">
        <f ca="1">IF('Rent Roll'!$AA39=1,'Rent Roll'!K39,"")</f>
        <v/>
      </c>
      <c r="AV513" s="1551" t="str">
        <f ca="1">IF('Rent Roll'!$AA39=1,'Rent Roll'!N39,"")</f>
        <v/>
      </c>
      <c r="AW513" s="223"/>
      <c r="AX513" s="6"/>
      <c r="AY513" s="32"/>
      <c r="AZ513" s="342"/>
      <c r="BA513" s="343"/>
      <c r="BB513" s="342"/>
      <c r="BC513" s="343"/>
      <c r="BD513" s="32"/>
      <c r="BE513" s="187"/>
      <c r="BF513" s="187"/>
    </row>
    <row r="514" spans="1:58" ht="15.95" hidden="1" customHeight="1" x14ac:dyDescent="0.25">
      <c r="A514" s="957">
        <f t="shared" ca="1" si="17"/>
        <v>0</v>
      </c>
      <c r="AQ514" s="4"/>
      <c r="AR514" s="5"/>
      <c r="AS514" s="5" t="str">
        <f ca="1">IF('Rent Roll'!$AA40=1,'Rent Roll'!E40,"")</f>
        <v/>
      </c>
      <c r="AT514" s="39" t="str">
        <f ca="1">IF('Rent Roll'!$AA40=1,'Rent Roll'!G40,"")</f>
        <v/>
      </c>
      <c r="AU514" s="1547" t="str">
        <f ca="1">IF('Rent Roll'!$AA40=1,'Rent Roll'!K40,"")</f>
        <v/>
      </c>
      <c r="AV514" s="1551" t="str">
        <f ca="1">IF('Rent Roll'!$AA40=1,'Rent Roll'!N40,"")</f>
        <v/>
      </c>
      <c r="AW514" s="223"/>
      <c r="AX514" s="6"/>
      <c r="AY514" s="32"/>
      <c r="AZ514" s="342"/>
      <c r="BA514" s="343"/>
      <c r="BB514" s="342"/>
      <c r="BC514" s="343"/>
      <c r="BD514" s="32"/>
      <c r="BE514" s="187"/>
      <c r="BF514" s="187"/>
    </row>
    <row r="515" spans="1:58" ht="15.95" hidden="1" customHeight="1" x14ac:dyDescent="0.25">
      <c r="A515" s="957">
        <f t="shared" ca="1" si="17"/>
        <v>0</v>
      </c>
      <c r="AQ515" s="4"/>
      <c r="AR515" s="5"/>
      <c r="AS515" s="5" t="str">
        <f ca="1">IF('Rent Roll'!$AA41=1,'Rent Roll'!E41,"")</f>
        <v/>
      </c>
      <c r="AT515" s="39" t="str">
        <f ca="1">IF('Rent Roll'!$AA41=1,'Rent Roll'!G41,"")</f>
        <v/>
      </c>
      <c r="AU515" s="1547" t="str">
        <f ca="1">IF('Rent Roll'!$AA41=1,'Rent Roll'!K41,"")</f>
        <v/>
      </c>
      <c r="AV515" s="1551" t="str">
        <f ca="1">IF('Rent Roll'!$AA41=1,'Rent Roll'!N41,"")</f>
        <v/>
      </c>
      <c r="AW515" s="223"/>
      <c r="AX515" s="6"/>
      <c r="AY515" s="32"/>
      <c r="AZ515" s="342"/>
      <c r="BA515" s="343"/>
      <c r="BB515" s="342"/>
      <c r="BC515" s="343"/>
      <c r="BD515" s="32"/>
      <c r="BE515" s="187"/>
      <c r="BF515" s="187"/>
    </row>
    <row r="516" spans="1:58" ht="15.95" hidden="1" customHeight="1" x14ac:dyDescent="0.25">
      <c r="A516" s="957">
        <f t="shared" ca="1" si="17"/>
        <v>0</v>
      </c>
      <c r="AQ516" s="4"/>
      <c r="AR516" s="5"/>
      <c r="AS516" s="5" t="str">
        <f ca="1">IF('Rent Roll'!$AA42=1,'Rent Roll'!E42,"")</f>
        <v/>
      </c>
      <c r="AT516" s="39" t="str">
        <f ca="1">IF('Rent Roll'!$AA42=1,'Rent Roll'!G42,"")</f>
        <v/>
      </c>
      <c r="AU516" s="1547" t="str">
        <f ca="1">IF('Rent Roll'!$AA42=1,'Rent Roll'!K42,"")</f>
        <v/>
      </c>
      <c r="AV516" s="1551" t="str">
        <f ca="1">IF('Rent Roll'!$AA42=1,'Rent Roll'!N42,"")</f>
        <v/>
      </c>
      <c r="AW516" s="223"/>
      <c r="AX516" s="6"/>
      <c r="AY516" s="32"/>
      <c r="AZ516" s="342"/>
      <c r="BA516" s="343"/>
      <c r="BB516" s="342"/>
      <c r="BC516" s="343"/>
      <c r="BD516" s="32"/>
      <c r="BE516" s="187"/>
      <c r="BF516" s="187"/>
    </row>
    <row r="517" spans="1:58" ht="15.95" hidden="1" customHeight="1" x14ac:dyDescent="0.25">
      <c r="A517" s="957">
        <f t="shared" ca="1" si="17"/>
        <v>0</v>
      </c>
      <c r="AQ517" s="4"/>
      <c r="AR517" s="5"/>
      <c r="AS517" s="5" t="str">
        <f ca="1">IF('Rent Roll'!$AA43=1,'Rent Roll'!E43,"")</f>
        <v/>
      </c>
      <c r="AT517" s="39" t="str">
        <f ca="1">IF('Rent Roll'!$AA43=1,'Rent Roll'!G43,"")</f>
        <v/>
      </c>
      <c r="AU517" s="1547" t="str">
        <f ca="1">IF('Rent Roll'!$AA43=1,'Rent Roll'!K43,"")</f>
        <v/>
      </c>
      <c r="AV517" s="1551" t="str">
        <f ca="1">IF('Rent Roll'!$AA43=1,'Rent Roll'!N43,"")</f>
        <v/>
      </c>
      <c r="AW517" s="223"/>
      <c r="AX517" s="6"/>
      <c r="AY517" s="32"/>
      <c r="AZ517" s="342"/>
      <c r="BA517" s="343"/>
      <c r="BB517" s="342"/>
      <c r="BC517" s="343"/>
      <c r="BD517" s="32"/>
      <c r="BE517" s="187"/>
      <c r="BF517" s="187"/>
    </row>
    <row r="518" spans="1:58" ht="15.95" hidden="1" customHeight="1" x14ac:dyDescent="0.25">
      <c r="A518" s="957">
        <f t="shared" ca="1" si="17"/>
        <v>0</v>
      </c>
      <c r="AQ518" s="4"/>
      <c r="AR518" s="5"/>
      <c r="AS518" s="5" t="str">
        <f ca="1">IF('Rent Roll'!$AA44=1,'Rent Roll'!E44,"")</f>
        <v/>
      </c>
      <c r="AT518" s="39" t="str">
        <f ca="1">IF('Rent Roll'!$AA44=1,'Rent Roll'!G44,"")</f>
        <v/>
      </c>
      <c r="AU518" s="1547" t="str">
        <f ca="1">IF('Rent Roll'!$AA44=1,'Rent Roll'!K44,"")</f>
        <v/>
      </c>
      <c r="AV518" s="1551" t="str">
        <f ca="1">IF('Rent Roll'!$AA44=1,'Rent Roll'!N44,"")</f>
        <v/>
      </c>
      <c r="AW518" s="223"/>
      <c r="AX518" s="6"/>
      <c r="AY518" s="32"/>
      <c r="AZ518" s="342"/>
      <c r="BA518" s="343"/>
      <c r="BB518" s="342"/>
      <c r="BC518" s="343"/>
      <c r="BD518" s="32"/>
      <c r="BE518" s="187"/>
      <c r="BF518" s="187"/>
    </row>
    <row r="519" spans="1:58" ht="15.95" hidden="1" customHeight="1" x14ac:dyDescent="0.25">
      <c r="A519" s="957">
        <f t="shared" ca="1" si="17"/>
        <v>0</v>
      </c>
      <c r="AQ519" s="4"/>
      <c r="AR519" s="5"/>
      <c r="AS519" s="5" t="str">
        <f ca="1">IF('Rent Roll'!$AA45=1,'Rent Roll'!E45,"")</f>
        <v/>
      </c>
      <c r="AT519" s="39" t="str">
        <f ca="1">IF('Rent Roll'!$AA45=1,'Rent Roll'!G45,"")</f>
        <v/>
      </c>
      <c r="AU519" s="1547" t="str">
        <f ca="1">IF('Rent Roll'!$AA45=1,'Rent Roll'!K45,"")</f>
        <v/>
      </c>
      <c r="AV519" s="1551" t="str">
        <f ca="1">IF('Rent Roll'!$AA45=1,'Rent Roll'!N45,"")</f>
        <v/>
      </c>
      <c r="AW519" s="223"/>
      <c r="AX519" s="6"/>
      <c r="AY519" s="32"/>
      <c r="AZ519" s="342"/>
      <c r="BA519" s="343"/>
      <c r="BB519" s="342"/>
      <c r="BC519" s="343"/>
      <c r="BD519" s="32"/>
      <c r="BE519" s="187"/>
      <c r="BF519" s="187"/>
    </row>
    <row r="520" spans="1:58" ht="15.95" hidden="1" customHeight="1" x14ac:dyDescent="0.25">
      <c r="A520" s="957">
        <f t="shared" ca="1" si="17"/>
        <v>0</v>
      </c>
      <c r="AQ520" s="4"/>
      <c r="AR520" s="5"/>
      <c r="AS520" s="5" t="str">
        <f ca="1">IF('Rent Roll'!$AA46=1,'Rent Roll'!E46,"")</f>
        <v/>
      </c>
      <c r="AT520" s="39" t="str">
        <f ca="1">IF('Rent Roll'!$AA46=1,'Rent Roll'!G46,"")</f>
        <v/>
      </c>
      <c r="AU520" s="1547" t="str">
        <f ca="1">IF('Rent Roll'!$AA46=1,'Rent Roll'!K46,"")</f>
        <v/>
      </c>
      <c r="AV520" s="1551" t="str">
        <f ca="1">IF('Rent Roll'!$AA46=1,'Rent Roll'!N46,"")</f>
        <v/>
      </c>
      <c r="AW520" s="223"/>
      <c r="AX520" s="6"/>
      <c r="AY520" s="32"/>
      <c r="AZ520" s="342"/>
      <c r="BA520" s="343"/>
      <c r="BB520" s="342"/>
      <c r="BC520" s="343"/>
      <c r="BD520" s="32"/>
      <c r="BE520" s="187"/>
      <c r="BF520" s="187"/>
    </row>
    <row r="521" spans="1:58" ht="15.95" hidden="1" customHeight="1" x14ac:dyDescent="0.25">
      <c r="A521" s="957">
        <f t="shared" ca="1" si="17"/>
        <v>0</v>
      </c>
      <c r="AQ521" s="4"/>
      <c r="AR521" s="5"/>
      <c r="AS521" s="5" t="str">
        <f ca="1">IF('Rent Roll'!$AA47=1,'Rent Roll'!E47,"")</f>
        <v/>
      </c>
      <c r="AT521" s="39" t="str">
        <f ca="1">IF('Rent Roll'!$AA47=1,'Rent Roll'!G47,"")</f>
        <v/>
      </c>
      <c r="AU521" s="1547" t="str">
        <f ca="1">IF('Rent Roll'!$AA47=1,'Rent Roll'!K47,"")</f>
        <v/>
      </c>
      <c r="AV521" s="1551" t="str">
        <f ca="1">IF('Rent Roll'!$AA47=1,'Rent Roll'!N47,"")</f>
        <v/>
      </c>
      <c r="AW521" s="223"/>
      <c r="AX521" s="6"/>
      <c r="AY521" s="32"/>
      <c r="AZ521" s="342"/>
      <c r="BA521" s="343"/>
      <c r="BB521" s="342"/>
      <c r="BC521" s="343"/>
      <c r="BD521" s="32"/>
      <c r="BE521" s="187"/>
      <c r="BF521" s="187"/>
    </row>
    <row r="522" spans="1:58" ht="15.95" hidden="1" customHeight="1" x14ac:dyDescent="0.25">
      <c r="A522" s="957">
        <f t="shared" ca="1" si="17"/>
        <v>0</v>
      </c>
      <c r="AQ522" s="4"/>
      <c r="AR522" s="5"/>
      <c r="AS522" s="5" t="str">
        <f ca="1">IF('Rent Roll'!$AA48=1,'Rent Roll'!E48,"")</f>
        <v/>
      </c>
      <c r="AT522" s="39" t="str">
        <f ca="1">IF('Rent Roll'!$AA48=1,'Rent Roll'!G48,"")</f>
        <v/>
      </c>
      <c r="AU522" s="1547" t="str">
        <f ca="1">IF('Rent Roll'!$AA48=1,'Rent Roll'!K48,"")</f>
        <v/>
      </c>
      <c r="AV522" s="1551" t="str">
        <f ca="1">IF('Rent Roll'!$AA48=1,'Rent Roll'!N48,"")</f>
        <v/>
      </c>
      <c r="AW522" s="223"/>
      <c r="AX522" s="6"/>
      <c r="AY522" s="32"/>
      <c r="AZ522" s="342"/>
      <c r="BA522" s="343"/>
      <c r="BB522" s="342"/>
      <c r="BC522" s="343"/>
      <c r="BD522" s="32"/>
      <c r="BE522" s="187"/>
      <c r="BF522" s="187"/>
    </row>
    <row r="523" spans="1:58" ht="15.95" hidden="1" customHeight="1" x14ac:dyDescent="0.25">
      <c r="A523" s="957">
        <f t="shared" ca="1" si="17"/>
        <v>0</v>
      </c>
      <c r="AQ523" s="4"/>
      <c r="AR523" s="5"/>
      <c r="AS523" s="5" t="str">
        <f ca="1">IF('Rent Roll'!$AA49=1,'Rent Roll'!E49,"")</f>
        <v/>
      </c>
      <c r="AT523" s="39" t="str">
        <f ca="1">IF('Rent Roll'!$AA49=1,'Rent Roll'!G49,"")</f>
        <v/>
      </c>
      <c r="AU523" s="1547" t="str">
        <f ca="1">IF('Rent Roll'!$AA49=1,'Rent Roll'!K49,"")</f>
        <v/>
      </c>
      <c r="AV523" s="1551" t="str">
        <f ca="1">IF('Rent Roll'!$AA49=1,'Rent Roll'!N49,"")</f>
        <v/>
      </c>
      <c r="AW523" s="223"/>
      <c r="AX523" s="6"/>
      <c r="AY523" s="32"/>
      <c r="AZ523" s="342"/>
      <c r="BA523" s="343"/>
      <c r="BB523" s="342"/>
      <c r="BC523" s="343"/>
      <c r="BD523" s="32"/>
      <c r="BE523" s="187"/>
      <c r="BF523" s="187"/>
    </row>
    <row r="524" spans="1:58" ht="15.95" hidden="1" customHeight="1" x14ac:dyDescent="0.25">
      <c r="A524" s="957">
        <f t="shared" ca="1" si="17"/>
        <v>0</v>
      </c>
      <c r="AQ524" s="4"/>
      <c r="AR524" s="5"/>
      <c r="AS524" s="5" t="str">
        <f ca="1">IF('Rent Roll'!$AA50=1,'Rent Roll'!E50,"")</f>
        <v/>
      </c>
      <c r="AT524" s="39" t="str">
        <f ca="1">IF('Rent Roll'!$AA50=1,'Rent Roll'!G50,"")</f>
        <v/>
      </c>
      <c r="AU524" s="1547" t="str">
        <f ca="1">IF('Rent Roll'!$AA50=1,'Rent Roll'!K50,"")</f>
        <v/>
      </c>
      <c r="AV524" s="1551" t="str">
        <f ca="1">IF('Rent Roll'!$AA50=1,'Rent Roll'!N50,"")</f>
        <v/>
      </c>
      <c r="AW524" s="223"/>
      <c r="AX524" s="6"/>
      <c r="AY524" s="32"/>
      <c r="AZ524" s="342"/>
      <c r="BA524" s="343"/>
      <c r="BB524" s="342"/>
      <c r="BC524" s="343"/>
      <c r="BD524" s="32"/>
      <c r="BE524" s="187"/>
      <c r="BF524" s="187"/>
    </row>
    <row r="525" spans="1:58" ht="15.95" hidden="1" customHeight="1" x14ac:dyDescent="0.25">
      <c r="A525" s="957">
        <f t="shared" ca="1" si="17"/>
        <v>0</v>
      </c>
      <c r="AQ525" s="4"/>
      <c r="AR525" s="5"/>
      <c r="AS525" s="5" t="str">
        <f ca="1">IF('Rent Roll'!$AA51=1,'Rent Roll'!E51,"")</f>
        <v/>
      </c>
      <c r="AT525" s="39" t="str">
        <f ca="1">IF('Rent Roll'!$AA51=1,'Rent Roll'!G51,"")</f>
        <v/>
      </c>
      <c r="AU525" s="1547" t="str">
        <f ca="1">IF('Rent Roll'!$AA51=1,'Rent Roll'!K51,"")</f>
        <v/>
      </c>
      <c r="AV525" s="1551" t="str">
        <f ca="1">IF('Rent Roll'!$AA51=1,'Rent Roll'!N51,"")</f>
        <v/>
      </c>
      <c r="AW525" s="223"/>
      <c r="AX525" s="6"/>
      <c r="AY525" s="32"/>
      <c r="AZ525" s="342"/>
      <c r="BA525" s="343"/>
      <c r="BB525" s="342"/>
      <c r="BC525" s="343"/>
      <c r="BD525" s="32"/>
      <c r="BE525" s="187"/>
      <c r="BF525" s="187"/>
    </row>
    <row r="526" spans="1:58" ht="15.95" hidden="1" customHeight="1" x14ac:dyDescent="0.25">
      <c r="A526" s="957">
        <f t="shared" ca="1" si="17"/>
        <v>0</v>
      </c>
      <c r="AQ526" s="4"/>
      <c r="AR526" s="5"/>
      <c r="AS526" s="5" t="str">
        <f ca="1">IF('Rent Roll'!$AA52=1,'Rent Roll'!E52,"")</f>
        <v/>
      </c>
      <c r="AT526" s="39" t="str">
        <f ca="1">IF('Rent Roll'!$AA52=1,'Rent Roll'!G52,"")</f>
        <v/>
      </c>
      <c r="AU526" s="1547" t="str">
        <f ca="1">IF('Rent Roll'!$AA52=1,'Rent Roll'!K52,"")</f>
        <v/>
      </c>
      <c r="AV526" s="1551" t="str">
        <f ca="1">IF('Rent Roll'!$AA52=1,'Rent Roll'!N52,"")</f>
        <v/>
      </c>
      <c r="AW526" s="223"/>
      <c r="AX526" s="6"/>
      <c r="AY526" s="32"/>
      <c r="AZ526" s="342"/>
      <c r="BA526" s="343"/>
      <c r="BB526" s="342"/>
      <c r="BC526" s="343"/>
      <c r="BD526" s="32"/>
      <c r="BE526" s="187"/>
      <c r="BF526" s="187"/>
    </row>
    <row r="527" spans="1:58" ht="15.95" hidden="1" customHeight="1" x14ac:dyDescent="0.25">
      <c r="A527" s="957">
        <f t="shared" ca="1" si="17"/>
        <v>0</v>
      </c>
      <c r="AQ527" s="4"/>
      <c r="AR527" s="5"/>
      <c r="AS527" s="5" t="str">
        <f ca="1">IF('Rent Roll'!$AA53=1,'Rent Roll'!E53,"")</f>
        <v/>
      </c>
      <c r="AT527" s="39" t="str">
        <f ca="1">IF('Rent Roll'!$AA53=1,'Rent Roll'!G53,"")</f>
        <v/>
      </c>
      <c r="AU527" s="1547" t="str">
        <f ca="1">IF('Rent Roll'!$AA53=1,'Rent Roll'!K53,"")</f>
        <v/>
      </c>
      <c r="AV527" s="1551" t="str">
        <f ca="1">IF('Rent Roll'!$AA53=1,'Rent Roll'!N53,"")</f>
        <v/>
      </c>
      <c r="AW527" s="223"/>
      <c r="AX527" s="6"/>
      <c r="AY527" s="32"/>
      <c r="AZ527" s="342"/>
      <c r="BA527" s="343"/>
      <c r="BB527" s="342"/>
      <c r="BC527" s="343"/>
      <c r="BD527" s="32"/>
      <c r="BE527" s="187"/>
      <c r="BF527" s="187"/>
    </row>
    <row r="528" spans="1:58" ht="15.95" hidden="1" customHeight="1" x14ac:dyDescent="0.25">
      <c r="A528" s="957">
        <f t="shared" ca="1" si="17"/>
        <v>0</v>
      </c>
      <c r="AQ528" s="4"/>
      <c r="AR528" s="5"/>
      <c r="AS528" s="5" t="str">
        <f ca="1">IF('Rent Roll'!$AA54=1,'Rent Roll'!E54,"")</f>
        <v/>
      </c>
      <c r="AT528" s="39" t="str">
        <f ca="1">IF('Rent Roll'!$AA54=1,'Rent Roll'!G54,"")</f>
        <v/>
      </c>
      <c r="AU528" s="1547" t="str">
        <f ca="1">IF('Rent Roll'!$AA54=1,'Rent Roll'!K54,"")</f>
        <v/>
      </c>
      <c r="AV528" s="1551" t="str">
        <f ca="1">IF('Rent Roll'!$AA54=1,'Rent Roll'!N54,"")</f>
        <v/>
      </c>
      <c r="AW528" s="223"/>
      <c r="AX528" s="6"/>
      <c r="AY528" s="32"/>
      <c r="AZ528" s="342"/>
      <c r="BA528" s="343"/>
      <c r="BB528" s="342"/>
      <c r="BC528" s="343"/>
      <c r="BD528" s="32"/>
      <c r="BE528" s="187"/>
      <c r="BF528" s="187"/>
    </row>
    <row r="529" spans="1:58" ht="15.95" hidden="1" customHeight="1" x14ac:dyDescent="0.25">
      <c r="A529" s="957">
        <f t="shared" ca="1" si="17"/>
        <v>0</v>
      </c>
      <c r="AQ529" s="4"/>
      <c r="AR529" s="5"/>
      <c r="AS529" s="5" t="str">
        <f ca="1">IF('Rent Roll'!$AA55=1,'Rent Roll'!E55,"")</f>
        <v/>
      </c>
      <c r="AT529" s="39" t="str">
        <f ca="1">IF('Rent Roll'!$AA55=1,'Rent Roll'!G55,"")</f>
        <v/>
      </c>
      <c r="AU529" s="1547" t="str">
        <f ca="1">IF('Rent Roll'!$AA55=1,'Rent Roll'!K55,"")</f>
        <v/>
      </c>
      <c r="AV529" s="1551" t="str">
        <f ca="1">IF('Rent Roll'!$AA55=1,'Rent Roll'!N55,"")</f>
        <v/>
      </c>
      <c r="AW529" s="223"/>
      <c r="AX529" s="6"/>
      <c r="AY529" s="32"/>
      <c r="AZ529" s="342"/>
      <c r="BA529" s="343"/>
      <c r="BB529" s="342"/>
      <c r="BC529" s="343"/>
      <c r="BD529" s="32"/>
      <c r="BE529" s="187"/>
      <c r="BF529" s="187"/>
    </row>
    <row r="530" spans="1:58" ht="15.95" hidden="1" customHeight="1" x14ac:dyDescent="0.25">
      <c r="A530" s="957">
        <f t="shared" ca="1" si="17"/>
        <v>0</v>
      </c>
      <c r="AQ530" s="4"/>
      <c r="AR530" s="5"/>
      <c r="AS530" s="5" t="str">
        <f ca="1">IF('Rent Roll'!$AA56=1,'Rent Roll'!E56,"")</f>
        <v/>
      </c>
      <c r="AT530" s="39" t="str">
        <f ca="1">IF('Rent Roll'!$AA56=1,'Rent Roll'!G56,"")</f>
        <v/>
      </c>
      <c r="AU530" s="1547" t="str">
        <f ca="1">IF('Rent Roll'!$AA56=1,'Rent Roll'!K56,"")</f>
        <v/>
      </c>
      <c r="AV530" s="1551" t="str">
        <f ca="1">IF('Rent Roll'!$AA56=1,'Rent Roll'!N56,"")</f>
        <v/>
      </c>
      <c r="AW530" s="223"/>
      <c r="AX530" s="6"/>
      <c r="AY530" s="32"/>
      <c r="AZ530" s="342"/>
      <c r="BA530" s="343"/>
      <c r="BB530" s="342"/>
      <c r="BC530" s="343"/>
      <c r="BD530" s="32"/>
      <c r="BE530" s="187"/>
      <c r="BF530" s="187"/>
    </row>
    <row r="531" spans="1:58" ht="15.95" hidden="1" customHeight="1" x14ac:dyDescent="0.25">
      <c r="A531" s="957">
        <f t="shared" ca="1" si="17"/>
        <v>0</v>
      </c>
      <c r="AQ531" s="4"/>
      <c r="AR531" s="5"/>
      <c r="AS531" s="5" t="str">
        <f ca="1">IF('Rent Roll'!$AA57=1,'Rent Roll'!E57,"")</f>
        <v/>
      </c>
      <c r="AT531" s="39" t="str">
        <f ca="1">IF('Rent Roll'!$AA57=1,'Rent Roll'!G57,"")</f>
        <v/>
      </c>
      <c r="AU531" s="1547" t="str">
        <f ca="1">IF('Rent Roll'!$AA57=1,'Rent Roll'!K57,"")</f>
        <v/>
      </c>
      <c r="AV531" s="1551" t="str">
        <f ca="1">IF('Rent Roll'!$AA57=1,'Rent Roll'!N57,"")</f>
        <v/>
      </c>
      <c r="AW531" s="223"/>
      <c r="AX531" s="6"/>
      <c r="AY531" s="32"/>
      <c r="AZ531" s="342"/>
      <c r="BA531" s="343"/>
      <c r="BB531" s="342"/>
      <c r="BC531" s="343"/>
      <c r="BD531" s="32"/>
      <c r="BE531" s="187"/>
      <c r="BF531" s="187"/>
    </row>
    <row r="532" spans="1:58" ht="15.95" hidden="1" customHeight="1" x14ac:dyDescent="0.25">
      <c r="A532" s="957">
        <f t="shared" ca="1" si="17"/>
        <v>0</v>
      </c>
      <c r="AQ532" s="4"/>
      <c r="AR532" s="5"/>
      <c r="AS532" s="5" t="str">
        <f ca="1">IF('Rent Roll'!$AA58=1,'Rent Roll'!E58,"")</f>
        <v/>
      </c>
      <c r="AT532" s="39" t="str">
        <f ca="1">IF('Rent Roll'!$AA58=1,'Rent Roll'!G58,"")</f>
        <v/>
      </c>
      <c r="AU532" s="1547" t="str">
        <f ca="1">IF('Rent Roll'!$AA58=1,'Rent Roll'!K58,"")</f>
        <v/>
      </c>
      <c r="AV532" s="1551" t="str">
        <f ca="1">IF('Rent Roll'!$AA58=1,'Rent Roll'!N58,"")</f>
        <v/>
      </c>
      <c r="AW532" s="223"/>
      <c r="AX532" s="6"/>
      <c r="AY532" s="32"/>
      <c r="AZ532" s="342"/>
      <c r="BA532" s="343"/>
      <c r="BB532" s="342"/>
      <c r="BC532" s="343"/>
      <c r="BD532" s="32"/>
      <c r="BE532" s="187"/>
      <c r="BF532" s="187"/>
    </row>
    <row r="533" spans="1:58" ht="15.95" hidden="1" customHeight="1" x14ac:dyDescent="0.25">
      <c r="A533" s="957">
        <f t="shared" ca="1" si="17"/>
        <v>0</v>
      </c>
      <c r="AQ533" s="4"/>
      <c r="AR533" s="5"/>
      <c r="AS533" s="5" t="str">
        <f ca="1">IF('Rent Roll'!$AA59=1,'Rent Roll'!E59,"")</f>
        <v/>
      </c>
      <c r="AT533" s="39" t="str">
        <f ca="1">IF('Rent Roll'!$AA59=1,'Rent Roll'!G59,"")</f>
        <v/>
      </c>
      <c r="AU533" s="1547" t="str">
        <f ca="1">IF('Rent Roll'!$AA59=1,'Rent Roll'!K59,"")</f>
        <v/>
      </c>
      <c r="AV533" s="1551" t="str">
        <f ca="1">IF('Rent Roll'!$AA59=1,'Rent Roll'!N59,"")</f>
        <v/>
      </c>
      <c r="AW533" s="223"/>
      <c r="AX533" s="6"/>
      <c r="AY533" s="32"/>
      <c r="AZ533" s="342"/>
      <c r="BA533" s="343"/>
      <c r="BB533" s="342"/>
      <c r="BC533" s="343"/>
      <c r="BD533" s="32"/>
      <c r="BE533" s="187"/>
      <c r="BF533" s="187"/>
    </row>
    <row r="534" spans="1:58" ht="15.95" hidden="1" customHeight="1" x14ac:dyDescent="0.25">
      <c r="A534" s="957">
        <f t="shared" ca="1" si="17"/>
        <v>0</v>
      </c>
      <c r="AQ534" s="4"/>
      <c r="AR534" s="5"/>
      <c r="AS534" s="5" t="str">
        <f ca="1">IF('Rent Roll'!$AA60=1,'Rent Roll'!E60,"")</f>
        <v/>
      </c>
      <c r="AT534" s="39" t="str">
        <f ca="1">IF('Rent Roll'!$AA60=1,'Rent Roll'!G60,"")</f>
        <v/>
      </c>
      <c r="AU534" s="1547" t="str">
        <f ca="1">IF('Rent Roll'!$AA60=1,'Rent Roll'!K60,"")</f>
        <v/>
      </c>
      <c r="AV534" s="1551" t="str">
        <f ca="1">IF('Rent Roll'!$AA60=1,'Rent Roll'!N60,"")</f>
        <v/>
      </c>
      <c r="AW534" s="223"/>
      <c r="AX534" s="6"/>
      <c r="AY534" s="32"/>
      <c r="AZ534" s="342"/>
      <c r="BA534" s="343"/>
      <c r="BB534" s="342"/>
      <c r="BC534" s="343"/>
      <c r="BD534" s="32"/>
      <c r="BE534" s="187"/>
      <c r="BF534" s="187"/>
    </row>
    <row r="535" spans="1:58" ht="15.95" hidden="1" customHeight="1" x14ac:dyDescent="0.25">
      <c r="A535" s="957">
        <f t="shared" ca="1" si="17"/>
        <v>0</v>
      </c>
      <c r="AQ535" s="4"/>
      <c r="AR535" s="5"/>
      <c r="AS535" s="5" t="str">
        <f ca="1">IF('Rent Roll'!$AA61=1,'Rent Roll'!E61,"")</f>
        <v/>
      </c>
      <c r="AT535" s="39" t="str">
        <f ca="1">IF('Rent Roll'!$AA61=1,'Rent Roll'!G61,"")</f>
        <v/>
      </c>
      <c r="AU535" s="1547" t="str">
        <f ca="1">IF('Rent Roll'!$AA61=1,'Rent Roll'!K61,"")</f>
        <v/>
      </c>
      <c r="AV535" s="1551" t="str">
        <f ca="1">IF('Rent Roll'!$AA61=1,'Rent Roll'!N61,"")</f>
        <v/>
      </c>
      <c r="AW535" s="223"/>
      <c r="AX535" s="6"/>
      <c r="AY535" s="32"/>
      <c r="AZ535" s="342"/>
      <c r="BA535" s="343"/>
      <c r="BB535" s="342"/>
      <c r="BC535" s="343"/>
      <c r="BD535" s="32"/>
      <c r="BE535" s="187"/>
      <c r="BF535" s="187"/>
    </row>
    <row r="536" spans="1:58" ht="15.95" hidden="1" customHeight="1" x14ac:dyDescent="0.25">
      <c r="A536" s="957">
        <f t="shared" ca="1" si="17"/>
        <v>0</v>
      </c>
      <c r="AQ536" s="4"/>
      <c r="AR536" s="5"/>
      <c r="AS536" s="5" t="str">
        <f ca="1">IF('Rent Roll'!$AA62=1,'Rent Roll'!E62,"")</f>
        <v/>
      </c>
      <c r="AT536" s="39" t="str">
        <f ca="1">IF('Rent Roll'!$AA62=1,'Rent Roll'!G62,"")</f>
        <v/>
      </c>
      <c r="AU536" s="1547" t="str">
        <f ca="1">IF('Rent Roll'!$AA62=1,'Rent Roll'!K62,"")</f>
        <v/>
      </c>
      <c r="AV536" s="1551" t="str">
        <f ca="1">IF('Rent Roll'!$AA62=1,'Rent Roll'!N62,"")</f>
        <v/>
      </c>
      <c r="AW536" s="223"/>
      <c r="AX536" s="6"/>
      <c r="AY536" s="32"/>
      <c r="AZ536" s="342"/>
      <c r="BA536" s="343"/>
      <c r="BB536" s="342"/>
      <c r="BC536" s="343"/>
      <c r="BD536" s="32"/>
      <c r="BE536" s="187"/>
      <c r="BF536" s="187"/>
    </row>
    <row r="537" spans="1:58" ht="15.95" hidden="1" customHeight="1" x14ac:dyDescent="0.25">
      <c r="A537" s="957">
        <f t="shared" ca="1" si="17"/>
        <v>0</v>
      </c>
      <c r="AQ537" s="4"/>
      <c r="AR537" s="5"/>
      <c r="AS537" s="5" t="str">
        <f ca="1">IF('Rent Roll'!$AA63=1,'Rent Roll'!E63,"")</f>
        <v/>
      </c>
      <c r="AT537" s="39" t="str">
        <f ca="1">IF('Rent Roll'!$AA63=1,'Rent Roll'!G63,"")</f>
        <v/>
      </c>
      <c r="AU537" s="1547" t="str">
        <f ca="1">IF('Rent Roll'!$AA63=1,'Rent Roll'!K63,"")</f>
        <v/>
      </c>
      <c r="AV537" s="1551" t="str">
        <f ca="1">IF('Rent Roll'!$AA63=1,'Rent Roll'!N63,"")</f>
        <v/>
      </c>
      <c r="AW537" s="223"/>
      <c r="AX537" s="6"/>
      <c r="AY537" s="32"/>
      <c r="AZ537" s="342"/>
      <c r="BA537" s="343"/>
      <c r="BB537" s="342"/>
      <c r="BC537" s="343"/>
      <c r="BD537" s="32"/>
      <c r="BE537" s="187"/>
      <c r="BF537" s="187"/>
    </row>
    <row r="538" spans="1:58" ht="15.95" hidden="1" customHeight="1" x14ac:dyDescent="0.25">
      <c r="A538" s="957">
        <f t="shared" ca="1" si="17"/>
        <v>0</v>
      </c>
      <c r="AQ538" s="4"/>
      <c r="AR538" s="5"/>
      <c r="AS538" s="5" t="str">
        <f ca="1">IF('Rent Roll'!$AA64=1,'Rent Roll'!E64,"")</f>
        <v/>
      </c>
      <c r="AT538" s="39" t="str">
        <f ca="1">IF('Rent Roll'!$AA64=1,'Rent Roll'!G64,"")</f>
        <v/>
      </c>
      <c r="AU538" s="1547" t="str">
        <f ca="1">IF('Rent Roll'!$AA64=1,'Rent Roll'!K64,"")</f>
        <v/>
      </c>
      <c r="AV538" s="1551" t="str">
        <f ca="1">IF('Rent Roll'!$AA64=1,'Rent Roll'!N64,"")</f>
        <v/>
      </c>
      <c r="AW538" s="223"/>
      <c r="AX538" s="6"/>
      <c r="AY538" s="32"/>
      <c r="AZ538" s="342"/>
      <c r="BA538" s="343"/>
      <c r="BB538" s="342"/>
      <c r="BC538" s="343"/>
      <c r="BD538" s="32"/>
      <c r="BE538" s="187"/>
      <c r="BF538" s="187"/>
    </row>
    <row r="539" spans="1:58" ht="15.95" hidden="1" customHeight="1" x14ac:dyDescent="0.25">
      <c r="A539" s="957">
        <f t="shared" ca="1" si="17"/>
        <v>0</v>
      </c>
      <c r="AQ539" s="4"/>
      <c r="AR539" s="5"/>
      <c r="AS539" s="5" t="str">
        <f ca="1">IF('Rent Roll'!$AA65=1,'Rent Roll'!E65,"")</f>
        <v/>
      </c>
      <c r="AT539" s="39" t="str">
        <f ca="1">IF('Rent Roll'!$AA65=1,'Rent Roll'!G65,"")</f>
        <v/>
      </c>
      <c r="AU539" s="1547" t="str">
        <f ca="1">IF('Rent Roll'!$AA65=1,'Rent Roll'!K65,"")</f>
        <v/>
      </c>
      <c r="AV539" s="1551" t="str">
        <f ca="1">IF('Rent Roll'!$AA65=1,'Rent Roll'!N65,"")</f>
        <v/>
      </c>
      <c r="AW539" s="223"/>
      <c r="AX539" s="6"/>
      <c r="AY539" s="32"/>
      <c r="AZ539" s="342"/>
      <c r="BA539" s="343"/>
      <c r="BB539" s="342"/>
      <c r="BC539" s="343"/>
      <c r="BD539" s="32"/>
      <c r="BE539" s="187"/>
      <c r="BF539" s="187"/>
    </row>
    <row r="540" spans="1:58" ht="15.95" hidden="1" customHeight="1" x14ac:dyDescent="0.25">
      <c r="A540" s="957">
        <f t="shared" ca="1" si="17"/>
        <v>0</v>
      </c>
      <c r="AQ540" s="4"/>
      <c r="AR540" s="5"/>
      <c r="AS540" s="5" t="str">
        <f ca="1">IF('Rent Roll'!$AA66=1,'Rent Roll'!E66,"")</f>
        <v/>
      </c>
      <c r="AT540" s="39" t="str">
        <f ca="1">IF('Rent Roll'!$AA66=1,'Rent Roll'!G66,"")</f>
        <v/>
      </c>
      <c r="AU540" s="1547" t="str">
        <f ca="1">IF('Rent Roll'!$AA66=1,'Rent Roll'!K66,"")</f>
        <v/>
      </c>
      <c r="AV540" s="1551" t="str">
        <f ca="1">IF('Rent Roll'!$AA66=1,'Rent Roll'!N66,"")</f>
        <v/>
      </c>
      <c r="AW540" s="223"/>
      <c r="AX540" s="6"/>
      <c r="AY540" s="32"/>
      <c r="AZ540" s="342"/>
      <c r="BA540" s="343"/>
      <c r="BB540" s="342"/>
      <c r="BC540" s="343"/>
      <c r="BD540" s="32"/>
      <c r="BE540" s="187"/>
      <c r="BF540" s="187"/>
    </row>
    <row r="541" spans="1:58" ht="15.95" hidden="1" customHeight="1" x14ac:dyDescent="0.25">
      <c r="A541" s="957">
        <f t="shared" ca="1" si="17"/>
        <v>0</v>
      </c>
      <c r="AQ541" s="4"/>
      <c r="AR541" s="5"/>
      <c r="AS541" s="5" t="str">
        <f ca="1">IF('Rent Roll'!$AA67=1,'Rent Roll'!E67,"")</f>
        <v/>
      </c>
      <c r="AT541" s="39" t="str">
        <f ca="1">IF('Rent Roll'!$AA67=1,'Rent Roll'!G67,"")</f>
        <v/>
      </c>
      <c r="AU541" s="1547" t="str">
        <f ca="1">IF('Rent Roll'!$AA67=1,'Rent Roll'!K67,"")</f>
        <v/>
      </c>
      <c r="AV541" s="1551" t="str">
        <f ca="1">IF('Rent Roll'!$AA67=1,'Rent Roll'!N67,"")</f>
        <v/>
      </c>
      <c r="AW541" s="223"/>
      <c r="AX541" s="6"/>
      <c r="AY541" s="32"/>
      <c r="AZ541" s="342"/>
      <c r="BA541" s="343"/>
      <c r="BB541" s="342"/>
      <c r="BC541" s="343"/>
      <c r="BD541" s="32"/>
      <c r="BE541" s="187"/>
      <c r="BF541" s="187"/>
    </row>
    <row r="542" spans="1:58" ht="15.95" hidden="1" customHeight="1" x14ac:dyDescent="0.25">
      <c r="A542" s="957">
        <f t="shared" ca="1" si="17"/>
        <v>0</v>
      </c>
      <c r="AQ542" s="4"/>
      <c r="AR542" s="5"/>
      <c r="AS542" s="5" t="str">
        <f ca="1">IF('Rent Roll'!$AA68=1,'Rent Roll'!E68,"")</f>
        <v/>
      </c>
      <c r="AT542" s="39" t="str">
        <f ca="1">IF('Rent Roll'!$AA68=1,'Rent Roll'!G68,"")</f>
        <v/>
      </c>
      <c r="AU542" s="1547" t="str">
        <f ca="1">IF('Rent Roll'!$AA68=1,'Rent Roll'!K68,"")</f>
        <v/>
      </c>
      <c r="AV542" s="1551" t="str">
        <f ca="1">IF('Rent Roll'!$AA68=1,'Rent Roll'!N68,"")</f>
        <v/>
      </c>
      <c r="AW542" s="223"/>
      <c r="AX542" s="6"/>
      <c r="AY542" s="32"/>
      <c r="AZ542" s="342"/>
      <c r="BA542" s="343"/>
      <c r="BB542" s="342"/>
      <c r="BC542" s="343"/>
      <c r="BD542" s="32"/>
      <c r="BE542" s="187"/>
      <c r="BF542" s="187"/>
    </row>
    <row r="543" spans="1:58" ht="15.95" hidden="1" customHeight="1" x14ac:dyDescent="0.25">
      <c r="A543" s="957">
        <f t="shared" ca="1" si="17"/>
        <v>0</v>
      </c>
      <c r="AQ543" s="4"/>
      <c r="AR543" s="5"/>
      <c r="AS543" s="5" t="str">
        <f ca="1">IF('Rent Roll'!$AA69=1,'Rent Roll'!E69,"")</f>
        <v/>
      </c>
      <c r="AT543" s="39" t="str">
        <f ca="1">IF('Rent Roll'!$AA69=1,'Rent Roll'!G69,"")</f>
        <v/>
      </c>
      <c r="AU543" s="1547" t="str">
        <f ca="1">IF('Rent Roll'!$AA69=1,'Rent Roll'!K69,"")</f>
        <v/>
      </c>
      <c r="AV543" s="1551" t="str">
        <f ca="1">IF('Rent Roll'!$AA69=1,'Rent Roll'!N69,"")</f>
        <v/>
      </c>
      <c r="AW543" s="223"/>
      <c r="AX543" s="6"/>
      <c r="AY543" s="32"/>
      <c r="AZ543" s="342"/>
      <c r="BA543" s="343"/>
      <c r="BB543" s="342"/>
      <c r="BC543" s="343"/>
      <c r="BD543" s="32"/>
      <c r="BE543" s="187"/>
      <c r="BF543" s="187"/>
    </row>
    <row r="544" spans="1:58" ht="15.95" hidden="1" customHeight="1" x14ac:dyDescent="0.25">
      <c r="A544" s="957">
        <f t="shared" ca="1" si="17"/>
        <v>0</v>
      </c>
      <c r="AQ544" s="4"/>
      <c r="AR544" s="5"/>
      <c r="AS544" s="5" t="str">
        <f ca="1">IF('Rent Roll'!$AA70=1,'Rent Roll'!E70,"")</f>
        <v/>
      </c>
      <c r="AT544" s="39" t="str">
        <f ca="1">IF('Rent Roll'!$AA70=1,'Rent Roll'!G70,"")</f>
        <v/>
      </c>
      <c r="AU544" s="1547" t="str">
        <f ca="1">IF('Rent Roll'!$AA70=1,'Rent Roll'!K70,"")</f>
        <v/>
      </c>
      <c r="AV544" s="1551" t="str">
        <f ca="1">IF('Rent Roll'!$AA70=1,'Rent Roll'!N70,"")</f>
        <v/>
      </c>
      <c r="AW544" s="223"/>
      <c r="AX544" s="6"/>
      <c r="AY544" s="32"/>
      <c r="AZ544" s="342"/>
      <c r="BA544" s="343"/>
      <c r="BB544" s="342"/>
      <c r="BC544" s="343"/>
      <c r="BD544" s="32"/>
      <c r="BE544" s="187"/>
      <c r="BF544" s="187"/>
    </row>
    <row r="545" spans="1:58" ht="15.95" hidden="1" customHeight="1" x14ac:dyDescent="0.25">
      <c r="A545" s="957">
        <f t="shared" ref="A545:A576" ca="1" si="18">IF(AS545="",0,1)</f>
        <v>0</v>
      </c>
      <c r="AQ545" s="4"/>
      <c r="AR545" s="5"/>
      <c r="AS545" s="5" t="str">
        <f ca="1">IF('Rent Roll'!$AA71=1,'Rent Roll'!E71,"")</f>
        <v/>
      </c>
      <c r="AT545" s="39" t="str">
        <f ca="1">IF('Rent Roll'!$AA71=1,'Rent Roll'!G71,"")</f>
        <v/>
      </c>
      <c r="AU545" s="1547" t="str">
        <f ca="1">IF('Rent Roll'!$AA71=1,'Rent Roll'!K71,"")</f>
        <v/>
      </c>
      <c r="AV545" s="1551" t="str">
        <f ca="1">IF('Rent Roll'!$AA71=1,'Rent Roll'!N71,"")</f>
        <v/>
      </c>
      <c r="AW545" s="223"/>
      <c r="AX545" s="6"/>
      <c r="AY545" s="32"/>
      <c r="AZ545" s="342"/>
      <c r="BA545" s="343"/>
      <c r="BB545" s="342"/>
      <c r="BC545" s="343"/>
      <c r="BD545" s="32"/>
      <c r="BE545" s="187"/>
      <c r="BF545" s="187"/>
    </row>
    <row r="546" spans="1:58" ht="15.95" hidden="1" customHeight="1" x14ac:dyDescent="0.25">
      <c r="A546" s="957">
        <f t="shared" ca="1" si="18"/>
        <v>0</v>
      </c>
      <c r="AQ546" s="4"/>
      <c r="AR546" s="5"/>
      <c r="AS546" s="5" t="str">
        <f ca="1">IF('Rent Roll'!$AA72=1,'Rent Roll'!E72,"")</f>
        <v/>
      </c>
      <c r="AT546" s="39" t="str">
        <f ca="1">IF('Rent Roll'!$AA72=1,'Rent Roll'!G72,"")</f>
        <v/>
      </c>
      <c r="AU546" s="1547" t="str">
        <f ca="1">IF('Rent Roll'!$AA72=1,'Rent Roll'!K72,"")</f>
        <v/>
      </c>
      <c r="AV546" s="1551" t="str">
        <f ca="1">IF('Rent Roll'!$AA72=1,'Rent Roll'!N72,"")</f>
        <v/>
      </c>
      <c r="AW546" s="223"/>
      <c r="AX546" s="6"/>
      <c r="AY546" s="32"/>
      <c r="AZ546" s="342"/>
      <c r="BA546" s="343"/>
      <c r="BB546" s="342"/>
      <c r="BC546" s="343"/>
      <c r="BD546" s="32"/>
      <c r="BE546" s="187"/>
      <c r="BF546" s="187"/>
    </row>
    <row r="547" spans="1:58" ht="15.95" hidden="1" customHeight="1" x14ac:dyDescent="0.25">
      <c r="A547" s="957">
        <f t="shared" ca="1" si="18"/>
        <v>0</v>
      </c>
      <c r="AQ547" s="4"/>
      <c r="AR547" s="5"/>
      <c r="AS547" s="5" t="str">
        <f ca="1">IF('Rent Roll'!$AA73=1,'Rent Roll'!E73,"")</f>
        <v/>
      </c>
      <c r="AT547" s="39" t="str">
        <f ca="1">IF('Rent Roll'!$AA73=1,'Rent Roll'!G73,"")</f>
        <v/>
      </c>
      <c r="AU547" s="1547" t="str">
        <f ca="1">IF('Rent Roll'!$AA73=1,'Rent Roll'!K73,"")</f>
        <v/>
      </c>
      <c r="AV547" s="1551" t="str">
        <f ca="1">IF('Rent Roll'!$AA73=1,'Rent Roll'!N73,"")</f>
        <v/>
      </c>
      <c r="AW547" s="223"/>
      <c r="AX547" s="6"/>
      <c r="AY547" s="32"/>
      <c r="AZ547" s="342"/>
      <c r="BA547" s="343"/>
      <c r="BB547" s="342"/>
      <c r="BC547" s="343"/>
      <c r="BD547" s="32"/>
      <c r="BE547" s="187"/>
      <c r="BF547" s="187"/>
    </row>
    <row r="548" spans="1:58" ht="15.95" hidden="1" customHeight="1" x14ac:dyDescent="0.25">
      <c r="A548" s="957">
        <f t="shared" ca="1" si="18"/>
        <v>0</v>
      </c>
      <c r="AQ548" s="4"/>
      <c r="AR548" s="5"/>
      <c r="AS548" s="5" t="str">
        <f ca="1">IF('Rent Roll'!$AA74=1,'Rent Roll'!E74,"")</f>
        <v/>
      </c>
      <c r="AT548" s="39" t="str">
        <f ca="1">IF('Rent Roll'!$AA74=1,'Rent Roll'!G74,"")</f>
        <v/>
      </c>
      <c r="AU548" s="1547" t="str">
        <f ca="1">IF('Rent Roll'!$AA74=1,'Rent Roll'!K74,"")</f>
        <v/>
      </c>
      <c r="AV548" s="1551" t="str">
        <f ca="1">IF('Rent Roll'!$AA74=1,'Rent Roll'!N74,"")</f>
        <v/>
      </c>
      <c r="AW548" s="223"/>
      <c r="AX548" s="6"/>
      <c r="AY548" s="32"/>
      <c r="AZ548" s="342"/>
      <c r="BA548" s="343"/>
      <c r="BB548" s="342"/>
      <c r="BC548" s="343"/>
      <c r="BD548" s="32"/>
      <c r="BE548" s="187"/>
      <c r="BF548" s="187"/>
    </row>
    <row r="549" spans="1:58" ht="15.95" hidden="1" customHeight="1" x14ac:dyDescent="0.25">
      <c r="A549" s="957">
        <f t="shared" ca="1" si="18"/>
        <v>0</v>
      </c>
      <c r="AQ549" s="4"/>
      <c r="AR549" s="5"/>
      <c r="AS549" s="5" t="str">
        <f ca="1">IF('Rent Roll'!$AA75=1,'Rent Roll'!E75,"")</f>
        <v/>
      </c>
      <c r="AT549" s="39" t="str">
        <f ca="1">IF('Rent Roll'!$AA75=1,'Rent Roll'!G75,"")</f>
        <v/>
      </c>
      <c r="AU549" s="1547" t="str">
        <f ca="1">IF('Rent Roll'!$AA75=1,'Rent Roll'!K75,"")</f>
        <v/>
      </c>
      <c r="AV549" s="1551" t="str">
        <f ca="1">IF('Rent Roll'!$AA75=1,'Rent Roll'!N75,"")</f>
        <v/>
      </c>
      <c r="AW549" s="223"/>
      <c r="AX549" s="6"/>
      <c r="AY549" s="32"/>
      <c r="AZ549" s="342"/>
      <c r="BA549" s="343"/>
      <c r="BB549" s="342"/>
      <c r="BC549" s="343"/>
      <c r="BD549" s="32"/>
      <c r="BE549" s="187"/>
      <c r="BF549" s="187"/>
    </row>
    <row r="550" spans="1:58" ht="15.95" hidden="1" customHeight="1" x14ac:dyDescent="0.25">
      <c r="A550" s="957">
        <f t="shared" ca="1" si="18"/>
        <v>0</v>
      </c>
      <c r="AQ550" s="4"/>
      <c r="AR550" s="5"/>
      <c r="AS550" s="5" t="str">
        <f ca="1">IF('Rent Roll'!$AA76=1,'Rent Roll'!E76,"")</f>
        <v/>
      </c>
      <c r="AT550" s="39" t="str">
        <f ca="1">IF('Rent Roll'!$AA76=1,'Rent Roll'!G76,"")</f>
        <v/>
      </c>
      <c r="AU550" s="1547" t="str">
        <f ca="1">IF('Rent Roll'!$AA76=1,'Rent Roll'!K76,"")</f>
        <v/>
      </c>
      <c r="AV550" s="1551" t="str">
        <f ca="1">IF('Rent Roll'!$AA76=1,'Rent Roll'!N76,"")</f>
        <v/>
      </c>
      <c r="AW550" s="223"/>
      <c r="AX550" s="6"/>
      <c r="AY550" s="32"/>
      <c r="AZ550" s="342"/>
      <c r="BA550" s="343"/>
      <c r="BB550" s="342"/>
      <c r="BC550" s="343"/>
      <c r="BD550" s="32"/>
      <c r="BE550" s="187"/>
      <c r="BF550" s="187"/>
    </row>
    <row r="551" spans="1:58" ht="15.95" hidden="1" customHeight="1" x14ac:dyDescent="0.25">
      <c r="A551" s="957">
        <f t="shared" ca="1" si="18"/>
        <v>0</v>
      </c>
      <c r="AQ551" s="4"/>
      <c r="AR551" s="5"/>
      <c r="AS551" s="5" t="str">
        <f ca="1">IF('Rent Roll'!$AA77=1,'Rent Roll'!E77,"")</f>
        <v/>
      </c>
      <c r="AT551" s="39" t="str">
        <f ca="1">IF('Rent Roll'!$AA77=1,'Rent Roll'!G77,"")</f>
        <v/>
      </c>
      <c r="AU551" s="1547" t="str">
        <f ca="1">IF('Rent Roll'!$AA77=1,'Rent Roll'!K77,"")</f>
        <v/>
      </c>
      <c r="AV551" s="1551" t="str">
        <f ca="1">IF('Rent Roll'!$AA77=1,'Rent Roll'!N77,"")</f>
        <v/>
      </c>
      <c r="AW551" s="223"/>
      <c r="AX551" s="6"/>
      <c r="AY551" s="32"/>
      <c r="AZ551" s="342"/>
      <c r="BA551" s="343"/>
      <c r="BB551" s="342"/>
      <c r="BC551" s="343"/>
      <c r="BD551" s="32"/>
      <c r="BE551" s="187"/>
      <c r="BF551" s="187"/>
    </row>
    <row r="552" spans="1:58" ht="15.95" hidden="1" customHeight="1" x14ac:dyDescent="0.25">
      <c r="A552" s="957">
        <f t="shared" ca="1" si="18"/>
        <v>0</v>
      </c>
      <c r="AQ552" s="4"/>
      <c r="AR552" s="5"/>
      <c r="AS552" s="5" t="str">
        <f ca="1">IF('Rent Roll'!$AA78=1,'Rent Roll'!E78,"")</f>
        <v/>
      </c>
      <c r="AT552" s="39" t="str">
        <f ca="1">IF('Rent Roll'!$AA78=1,'Rent Roll'!G78,"")</f>
        <v/>
      </c>
      <c r="AU552" s="1547" t="str">
        <f ca="1">IF('Rent Roll'!$AA78=1,'Rent Roll'!K78,"")</f>
        <v/>
      </c>
      <c r="AV552" s="1551" t="str">
        <f ca="1">IF('Rent Roll'!$AA78=1,'Rent Roll'!N78,"")</f>
        <v/>
      </c>
      <c r="AW552" s="223"/>
      <c r="AX552" s="6"/>
      <c r="AY552" s="32"/>
      <c r="AZ552" s="342"/>
      <c r="BA552" s="343"/>
      <c r="BB552" s="342"/>
      <c r="BC552" s="343"/>
      <c r="BD552" s="32"/>
      <c r="BE552" s="187"/>
      <c r="BF552" s="187"/>
    </row>
    <row r="553" spans="1:58" ht="15.95" hidden="1" customHeight="1" x14ac:dyDescent="0.25">
      <c r="A553" s="957">
        <f t="shared" ca="1" si="18"/>
        <v>0</v>
      </c>
      <c r="AQ553" s="4"/>
      <c r="AR553" s="5"/>
      <c r="AS553" s="5" t="str">
        <f ca="1">IF('Rent Roll'!$AA79=1,'Rent Roll'!E79,"")</f>
        <v/>
      </c>
      <c r="AT553" s="39" t="str">
        <f ca="1">IF('Rent Roll'!$AA79=1,'Rent Roll'!G79,"")</f>
        <v/>
      </c>
      <c r="AU553" s="1547" t="str">
        <f ca="1">IF('Rent Roll'!$AA79=1,'Rent Roll'!K79,"")</f>
        <v/>
      </c>
      <c r="AV553" s="1551" t="str">
        <f ca="1">IF('Rent Roll'!$AA79=1,'Rent Roll'!N79,"")</f>
        <v/>
      </c>
      <c r="AW553" s="223"/>
      <c r="AX553" s="6"/>
      <c r="AY553" s="32"/>
      <c r="AZ553" s="342"/>
      <c r="BA553" s="343"/>
      <c r="BB553" s="342"/>
      <c r="BC553" s="343"/>
      <c r="BD553" s="32"/>
      <c r="BE553" s="187"/>
      <c r="BF553" s="187"/>
    </row>
    <row r="554" spans="1:58" ht="15.95" hidden="1" customHeight="1" x14ac:dyDescent="0.25">
      <c r="A554" s="957">
        <f t="shared" ca="1" si="18"/>
        <v>0</v>
      </c>
      <c r="AQ554" s="4"/>
      <c r="AR554" s="5"/>
      <c r="AS554" s="5" t="str">
        <f ca="1">IF('Rent Roll'!$AA80=1,'Rent Roll'!E80,"")</f>
        <v/>
      </c>
      <c r="AT554" s="39" t="str">
        <f ca="1">IF('Rent Roll'!$AA80=1,'Rent Roll'!G80,"")</f>
        <v/>
      </c>
      <c r="AU554" s="1547" t="str">
        <f ca="1">IF('Rent Roll'!$AA80=1,'Rent Roll'!K80,"")</f>
        <v/>
      </c>
      <c r="AV554" s="1551" t="str">
        <f ca="1">IF('Rent Roll'!$AA80=1,'Rent Roll'!N80,"")</f>
        <v/>
      </c>
      <c r="AW554" s="223"/>
      <c r="AX554" s="6"/>
      <c r="AY554" s="32"/>
      <c r="AZ554" s="342"/>
      <c r="BA554" s="343"/>
      <c r="BB554" s="342"/>
      <c r="BC554" s="343"/>
      <c r="BD554" s="32"/>
      <c r="BE554" s="187"/>
      <c r="BF554" s="187"/>
    </row>
    <row r="555" spans="1:58" ht="15.95" hidden="1" customHeight="1" x14ac:dyDescent="0.25">
      <c r="A555" s="957">
        <f t="shared" ca="1" si="18"/>
        <v>0</v>
      </c>
      <c r="AQ555" s="4"/>
      <c r="AR555" s="5"/>
      <c r="AS555" s="5" t="str">
        <f ca="1">IF('Rent Roll'!$AA81=1,'Rent Roll'!E81,"")</f>
        <v/>
      </c>
      <c r="AT555" s="39" t="str">
        <f ca="1">IF('Rent Roll'!$AA81=1,'Rent Roll'!G81,"")</f>
        <v/>
      </c>
      <c r="AU555" s="1547" t="str">
        <f ca="1">IF('Rent Roll'!$AA81=1,'Rent Roll'!K81,"")</f>
        <v/>
      </c>
      <c r="AV555" s="1551" t="str">
        <f ca="1">IF('Rent Roll'!$AA81=1,'Rent Roll'!N81,"")</f>
        <v/>
      </c>
      <c r="AW555" s="223"/>
      <c r="AX555" s="6"/>
      <c r="AY555" s="32"/>
      <c r="AZ555" s="342"/>
      <c r="BA555" s="343"/>
      <c r="BB555" s="342"/>
      <c r="BC555" s="343"/>
      <c r="BD555" s="32"/>
      <c r="BE555" s="187"/>
      <c r="BF555" s="187"/>
    </row>
    <row r="556" spans="1:58" ht="15.95" hidden="1" customHeight="1" x14ac:dyDescent="0.25">
      <c r="A556" s="957">
        <f t="shared" ca="1" si="18"/>
        <v>0</v>
      </c>
      <c r="AQ556" s="4"/>
      <c r="AR556" s="5"/>
      <c r="AS556" s="5" t="str">
        <f ca="1">IF('Rent Roll'!$AA82=1,'Rent Roll'!E82,"")</f>
        <v/>
      </c>
      <c r="AT556" s="39" t="str">
        <f ca="1">IF('Rent Roll'!$AA82=1,'Rent Roll'!G82,"")</f>
        <v/>
      </c>
      <c r="AU556" s="1547" t="str">
        <f ca="1">IF('Rent Roll'!$AA82=1,'Rent Roll'!K82,"")</f>
        <v/>
      </c>
      <c r="AV556" s="1551" t="str">
        <f ca="1">IF('Rent Roll'!$AA82=1,'Rent Roll'!N82,"")</f>
        <v/>
      </c>
      <c r="AW556" s="223"/>
      <c r="AX556" s="6"/>
      <c r="AY556" s="32"/>
      <c r="AZ556" s="342"/>
      <c r="BA556" s="343"/>
      <c r="BB556" s="342"/>
      <c r="BC556" s="343"/>
      <c r="BD556" s="32"/>
      <c r="BE556" s="187"/>
      <c r="BF556" s="187"/>
    </row>
    <row r="557" spans="1:58" ht="15.95" hidden="1" customHeight="1" x14ac:dyDescent="0.25">
      <c r="A557" s="957">
        <f t="shared" ca="1" si="18"/>
        <v>0</v>
      </c>
      <c r="AQ557" s="4"/>
      <c r="AR557" s="5"/>
      <c r="AS557" s="5" t="str">
        <f ca="1">IF('Rent Roll'!$AA83=1,'Rent Roll'!E83,"")</f>
        <v/>
      </c>
      <c r="AT557" s="39" t="str">
        <f ca="1">IF('Rent Roll'!$AA83=1,'Rent Roll'!G83,"")</f>
        <v/>
      </c>
      <c r="AU557" s="1547" t="str">
        <f ca="1">IF('Rent Roll'!$AA83=1,'Rent Roll'!K83,"")</f>
        <v/>
      </c>
      <c r="AV557" s="1551" t="str">
        <f ca="1">IF('Rent Roll'!$AA83=1,'Rent Roll'!N83,"")</f>
        <v/>
      </c>
      <c r="AW557" s="223"/>
      <c r="AX557" s="6"/>
      <c r="AY557" s="32"/>
      <c r="AZ557" s="342"/>
      <c r="BA557" s="343"/>
      <c r="BB557" s="342"/>
      <c r="BC557" s="343"/>
      <c r="BD557" s="32"/>
      <c r="BE557" s="187"/>
      <c r="BF557" s="187"/>
    </row>
    <row r="558" spans="1:58" ht="15.95" hidden="1" customHeight="1" x14ac:dyDescent="0.25">
      <c r="A558" s="957">
        <f t="shared" ca="1" si="18"/>
        <v>0</v>
      </c>
      <c r="AQ558" s="4"/>
      <c r="AR558" s="5"/>
      <c r="AS558" s="5" t="str">
        <f ca="1">IF('Rent Roll'!$AA84=1,'Rent Roll'!E84,"")</f>
        <v/>
      </c>
      <c r="AT558" s="39" t="str">
        <f ca="1">IF('Rent Roll'!$AA84=1,'Rent Roll'!G84,"")</f>
        <v/>
      </c>
      <c r="AU558" s="1547" t="str">
        <f ca="1">IF('Rent Roll'!$AA84=1,'Rent Roll'!K84,"")</f>
        <v/>
      </c>
      <c r="AV558" s="1551" t="str">
        <f ca="1">IF('Rent Roll'!$AA84=1,'Rent Roll'!N84,"")</f>
        <v/>
      </c>
      <c r="AW558" s="223"/>
      <c r="AX558" s="6"/>
      <c r="AY558" s="32"/>
      <c r="AZ558" s="342"/>
      <c r="BA558" s="343"/>
      <c r="BB558" s="342"/>
      <c r="BC558" s="343"/>
      <c r="BD558" s="32"/>
      <c r="BE558" s="187"/>
      <c r="BF558" s="187"/>
    </row>
    <row r="559" spans="1:58" ht="15.95" hidden="1" customHeight="1" x14ac:dyDescent="0.25">
      <c r="A559" s="957">
        <f t="shared" ca="1" si="18"/>
        <v>0</v>
      </c>
      <c r="AQ559" s="4"/>
      <c r="AR559" s="5"/>
      <c r="AS559" s="5" t="str">
        <f ca="1">IF('Rent Roll'!$AA85=1,'Rent Roll'!E85,"")</f>
        <v/>
      </c>
      <c r="AT559" s="39" t="str">
        <f ca="1">IF('Rent Roll'!$AA85=1,'Rent Roll'!G85,"")</f>
        <v/>
      </c>
      <c r="AU559" s="1547" t="str">
        <f ca="1">IF('Rent Roll'!$AA85=1,'Rent Roll'!K85,"")</f>
        <v/>
      </c>
      <c r="AV559" s="1551" t="str">
        <f ca="1">IF('Rent Roll'!$AA85=1,'Rent Roll'!N85,"")</f>
        <v/>
      </c>
      <c r="AW559" s="223"/>
      <c r="AX559" s="6"/>
      <c r="AY559" s="32"/>
      <c r="AZ559" s="342"/>
      <c r="BA559" s="343"/>
      <c r="BB559" s="342"/>
      <c r="BC559" s="343"/>
      <c r="BD559" s="32"/>
      <c r="BE559" s="187"/>
      <c r="BF559" s="187"/>
    </row>
    <row r="560" spans="1:58" ht="15.95" hidden="1" customHeight="1" x14ac:dyDescent="0.25">
      <c r="A560" s="957">
        <f t="shared" ca="1" si="18"/>
        <v>0</v>
      </c>
      <c r="AQ560" s="4"/>
      <c r="AR560" s="5"/>
      <c r="AS560" s="5" t="str">
        <f ca="1">IF('Rent Roll'!$AA86=1,'Rent Roll'!E86,"")</f>
        <v/>
      </c>
      <c r="AT560" s="39" t="str">
        <f ca="1">IF('Rent Roll'!$AA86=1,'Rent Roll'!G86,"")</f>
        <v/>
      </c>
      <c r="AU560" s="1547" t="str">
        <f ca="1">IF('Rent Roll'!$AA86=1,'Rent Roll'!K86,"")</f>
        <v/>
      </c>
      <c r="AV560" s="1551" t="str">
        <f ca="1">IF('Rent Roll'!$AA86=1,'Rent Roll'!N86,"")</f>
        <v/>
      </c>
      <c r="AW560" s="223"/>
      <c r="AX560" s="6"/>
      <c r="AY560" s="32"/>
      <c r="AZ560" s="342"/>
      <c r="BA560" s="343"/>
      <c r="BB560" s="342"/>
      <c r="BC560" s="343"/>
      <c r="BD560" s="32"/>
      <c r="BE560" s="187"/>
      <c r="BF560" s="187"/>
    </row>
    <row r="561" spans="1:58" ht="15.95" hidden="1" customHeight="1" x14ac:dyDescent="0.25">
      <c r="A561" s="957">
        <f t="shared" ca="1" si="18"/>
        <v>0</v>
      </c>
      <c r="AQ561" s="4"/>
      <c r="AR561" s="5"/>
      <c r="AS561" s="5" t="str">
        <f ca="1">IF('Rent Roll'!$AA87=1,'Rent Roll'!E87,"")</f>
        <v/>
      </c>
      <c r="AT561" s="39" t="str">
        <f ca="1">IF('Rent Roll'!$AA87=1,'Rent Roll'!G87,"")</f>
        <v/>
      </c>
      <c r="AU561" s="1547" t="str">
        <f ca="1">IF('Rent Roll'!$AA87=1,'Rent Roll'!K87,"")</f>
        <v/>
      </c>
      <c r="AV561" s="1551" t="str">
        <f ca="1">IF('Rent Roll'!$AA87=1,'Rent Roll'!N87,"")</f>
        <v/>
      </c>
      <c r="AW561" s="223"/>
      <c r="AX561" s="6"/>
      <c r="AY561" s="32"/>
      <c r="AZ561" s="342"/>
      <c r="BA561" s="343"/>
      <c r="BB561" s="342"/>
      <c r="BC561" s="343"/>
      <c r="BD561" s="32"/>
      <c r="BE561" s="187"/>
      <c r="BF561" s="187"/>
    </row>
    <row r="562" spans="1:58" ht="15.95" hidden="1" customHeight="1" x14ac:dyDescent="0.25">
      <c r="A562" s="957">
        <f t="shared" ca="1" si="18"/>
        <v>0</v>
      </c>
      <c r="AQ562" s="4"/>
      <c r="AR562" s="5"/>
      <c r="AS562" s="5" t="str">
        <f ca="1">IF('Rent Roll'!$AA88=1,'Rent Roll'!E88,"")</f>
        <v/>
      </c>
      <c r="AT562" s="39" t="str">
        <f ca="1">IF('Rent Roll'!$AA88=1,'Rent Roll'!G88,"")</f>
        <v/>
      </c>
      <c r="AU562" s="1547" t="str">
        <f ca="1">IF('Rent Roll'!$AA88=1,'Rent Roll'!K88,"")</f>
        <v/>
      </c>
      <c r="AV562" s="1551" t="str">
        <f ca="1">IF('Rent Roll'!$AA88=1,'Rent Roll'!N88,"")</f>
        <v/>
      </c>
      <c r="AW562" s="223"/>
      <c r="AX562" s="6"/>
      <c r="AY562" s="32"/>
      <c r="AZ562" s="342"/>
      <c r="BA562" s="343"/>
      <c r="BB562" s="342"/>
      <c r="BC562" s="343"/>
      <c r="BD562" s="32"/>
      <c r="BE562" s="187"/>
      <c r="BF562" s="187"/>
    </row>
    <row r="563" spans="1:58" ht="15.95" hidden="1" customHeight="1" x14ac:dyDescent="0.25">
      <c r="A563" s="957">
        <f t="shared" ca="1" si="18"/>
        <v>0</v>
      </c>
      <c r="AQ563" s="4"/>
      <c r="AR563" s="5"/>
      <c r="AS563" s="5" t="str">
        <f ca="1">IF('Rent Roll'!$AA89=1,'Rent Roll'!E89,"")</f>
        <v/>
      </c>
      <c r="AT563" s="39" t="str">
        <f ca="1">IF('Rent Roll'!$AA89=1,'Rent Roll'!G89,"")</f>
        <v/>
      </c>
      <c r="AU563" s="1547" t="str">
        <f ca="1">IF('Rent Roll'!$AA89=1,'Rent Roll'!K89,"")</f>
        <v/>
      </c>
      <c r="AV563" s="1551" t="str">
        <f ca="1">IF('Rent Roll'!$AA89=1,'Rent Roll'!N89,"")</f>
        <v/>
      </c>
      <c r="AW563" s="223"/>
      <c r="AX563" s="6"/>
      <c r="AY563" s="32"/>
      <c r="AZ563" s="342"/>
      <c r="BA563" s="343"/>
      <c r="BB563" s="342"/>
      <c r="BC563" s="343"/>
      <c r="BD563" s="32"/>
      <c r="BE563" s="187"/>
      <c r="BF563" s="187"/>
    </row>
    <row r="564" spans="1:58" ht="15.95" hidden="1" customHeight="1" x14ac:dyDescent="0.25">
      <c r="A564" s="957">
        <f t="shared" ca="1" si="18"/>
        <v>0</v>
      </c>
      <c r="AQ564" s="4"/>
      <c r="AR564" s="5"/>
      <c r="AS564" s="5" t="str">
        <f ca="1">IF('Rent Roll'!$AA90=1,'Rent Roll'!E90,"")</f>
        <v/>
      </c>
      <c r="AT564" s="39" t="str">
        <f ca="1">IF('Rent Roll'!$AA90=1,'Rent Roll'!G90,"")</f>
        <v/>
      </c>
      <c r="AU564" s="1547" t="str">
        <f ca="1">IF('Rent Roll'!$AA90=1,'Rent Roll'!K90,"")</f>
        <v/>
      </c>
      <c r="AV564" s="1551" t="str">
        <f ca="1">IF('Rent Roll'!$AA90=1,'Rent Roll'!N90,"")</f>
        <v/>
      </c>
      <c r="AW564" s="223"/>
      <c r="AX564" s="6"/>
      <c r="AY564" s="32"/>
      <c r="AZ564" s="342"/>
      <c r="BA564" s="343"/>
      <c r="BB564" s="342"/>
      <c r="BC564" s="343"/>
      <c r="BD564" s="32"/>
      <c r="BE564" s="187"/>
      <c r="BF564" s="187"/>
    </row>
    <row r="565" spans="1:58" ht="15.95" hidden="1" customHeight="1" x14ac:dyDescent="0.25">
      <c r="A565" s="957">
        <f t="shared" ca="1" si="18"/>
        <v>0</v>
      </c>
      <c r="AQ565" s="4"/>
      <c r="AR565" s="5"/>
      <c r="AS565" s="5" t="str">
        <f ca="1">IF('Rent Roll'!$AA91=1,'Rent Roll'!E91,"")</f>
        <v/>
      </c>
      <c r="AT565" s="39" t="str">
        <f ca="1">IF('Rent Roll'!$AA91=1,'Rent Roll'!G91,"")</f>
        <v/>
      </c>
      <c r="AU565" s="1547" t="str">
        <f ca="1">IF('Rent Roll'!$AA91=1,'Rent Roll'!K91,"")</f>
        <v/>
      </c>
      <c r="AV565" s="1551" t="str">
        <f ca="1">IF('Rent Roll'!$AA91=1,'Rent Roll'!N91,"")</f>
        <v/>
      </c>
      <c r="AW565" s="223"/>
      <c r="AX565" s="6"/>
      <c r="AY565" s="32"/>
      <c r="AZ565" s="342"/>
      <c r="BA565" s="343"/>
      <c r="BB565" s="342"/>
      <c r="BC565" s="343"/>
      <c r="BD565" s="32"/>
      <c r="BE565" s="187"/>
      <c r="BF565" s="187"/>
    </row>
    <row r="566" spans="1:58" ht="15.95" hidden="1" customHeight="1" x14ac:dyDescent="0.25">
      <c r="A566" s="957">
        <f t="shared" ca="1" si="18"/>
        <v>0</v>
      </c>
      <c r="AQ566" s="4"/>
      <c r="AR566" s="5"/>
      <c r="AS566" s="5" t="str">
        <f ca="1">IF('Rent Roll'!$AA92=1,'Rent Roll'!E92,"")</f>
        <v/>
      </c>
      <c r="AT566" s="39" t="str">
        <f ca="1">IF('Rent Roll'!$AA92=1,'Rent Roll'!G92,"")</f>
        <v/>
      </c>
      <c r="AU566" s="1547" t="str">
        <f ca="1">IF('Rent Roll'!$AA92=1,'Rent Roll'!K92,"")</f>
        <v/>
      </c>
      <c r="AV566" s="1551" t="str">
        <f ca="1">IF('Rent Roll'!$AA92=1,'Rent Roll'!N92,"")</f>
        <v/>
      </c>
      <c r="AW566" s="223"/>
      <c r="AX566" s="6"/>
      <c r="AY566" s="32"/>
      <c r="AZ566" s="342"/>
      <c r="BA566" s="343"/>
      <c r="BB566" s="342"/>
      <c r="BC566" s="343"/>
      <c r="BD566" s="32"/>
      <c r="BE566" s="187"/>
      <c r="BF566" s="187"/>
    </row>
    <row r="567" spans="1:58" ht="15.95" hidden="1" customHeight="1" x14ac:dyDescent="0.25">
      <c r="A567" s="957">
        <f t="shared" ca="1" si="18"/>
        <v>0</v>
      </c>
      <c r="AQ567" s="4"/>
      <c r="AR567" s="5"/>
      <c r="AS567" s="5" t="str">
        <f ca="1">IF('Rent Roll'!$AA93=1,'Rent Roll'!E93,"")</f>
        <v/>
      </c>
      <c r="AT567" s="39" t="str">
        <f ca="1">IF('Rent Roll'!$AA93=1,'Rent Roll'!G93,"")</f>
        <v/>
      </c>
      <c r="AU567" s="1547" t="str">
        <f ca="1">IF('Rent Roll'!$AA93=1,'Rent Roll'!K93,"")</f>
        <v/>
      </c>
      <c r="AV567" s="1551" t="str">
        <f ca="1">IF('Rent Roll'!$AA93=1,'Rent Roll'!N93,"")</f>
        <v/>
      </c>
      <c r="AW567" s="223"/>
      <c r="AX567" s="6"/>
      <c r="AY567" s="32"/>
      <c r="AZ567" s="342"/>
      <c r="BA567" s="343"/>
      <c r="BB567" s="342"/>
      <c r="BC567" s="343"/>
      <c r="BD567" s="32"/>
      <c r="BE567" s="187"/>
      <c r="BF567" s="187"/>
    </row>
    <row r="568" spans="1:58" ht="15.95" hidden="1" customHeight="1" x14ac:dyDescent="0.25">
      <c r="A568" s="957">
        <f t="shared" ca="1" si="18"/>
        <v>0</v>
      </c>
      <c r="AQ568" s="4"/>
      <c r="AR568" s="5"/>
      <c r="AS568" s="5" t="str">
        <f ca="1">IF('Rent Roll'!$AA94=1,'Rent Roll'!E94,"")</f>
        <v/>
      </c>
      <c r="AT568" s="39" t="str">
        <f ca="1">IF('Rent Roll'!$AA94=1,'Rent Roll'!G94,"")</f>
        <v/>
      </c>
      <c r="AU568" s="1547" t="str">
        <f ca="1">IF('Rent Roll'!$AA94=1,'Rent Roll'!K94,"")</f>
        <v/>
      </c>
      <c r="AV568" s="1551" t="str">
        <f ca="1">IF('Rent Roll'!$AA94=1,'Rent Roll'!N94,"")</f>
        <v/>
      </c>
      <c r="AW568" s="223"/>
      <c r="AX568" s="6"/>
      <c r="AY568" s="32"/>
      <c r="AZ568" s="342"/>
      <c r="BA568" s="343"/>
      <c r="BB568" s="342"/>
      <c r="BC568" s="343"/>
      <c r="BD568" s="32"/>
      <c r="BE568" s="187"/>
      <c r="BF568" s="187"/>
    </row>
    <row r="569" spans="1:58" ht="15.95" hidden="1" customHeight="1" x14ac:dyDescent="0.25">
      <c r="A569" s="957">
        <f t="shared" ca="1" si="18"/>
        <v>0</v>
      </c>
      <c r="AQ569" s="4"/>
      <c r="AR569" s="5"/>
      <c r="AS569" s="5" t="str">
        <f ca="1">IF('Rent Roll'!$AA95=1,'Rent Roll'!E95,"")</f>
        <v/>
      </c>
      <c r="AT569" s="39" t="str">
        <f ca="1">IF('Rent Roll'!$AA95=1,'Rent Roll'!G95,"")</f>
        <v/>
      </c>
      <c r="AU569" s="1547" t="str">
        <f ca="1">IF('Rent Roll'!$AA95=1,'Rent Roll'!K95,"")</f>
        <v/>
      </c>
      <c r="AV569" s="1551" t="str">
        <f ca="1">IF('Rent Roll'!$AA95=1,'Rent Roll'!N95,"")</f>
        <v/>
      </c>
      <c r="AW569" s="223"/>
      <c r="AX569" s="6"/>
      <c r="AY569" s="32"/>
      <c r="AZ569" s="342"/>
      <c r="BA569" s="343"/>
      <c r="BB569" s="342"/>
      <c r="BC569" s="343"/>
      <c r="BD569" s="32"/>
      <c r="BE569" s="187"/>
      <c r="BF569" s="187"/>
    </row>
    <row r="570" spans="1:58" ht="15.95" hidden="1" customHeight="1" x14ac:dyDescent="0.25">
      <c r="A570" s="957">
        <f t="shared" ca="1" si="18"/>
        <v>0</v>
      </c>
      <c r="AQ570" s="4"/>
      <c r="AR570" s="5"/>
      <c r="AS570" s="5" t="str">
        <f ca="1">IF('Rent Roll'!$AA96=1,'Rent Roll'!E96,"")</f>
        <v/>
      </c>
      <c r="AT570" s="39" t="str">
        <f ca="1">IF('Rent Roll'!$AA96=1,'Rent Roll'!G96,"")</f>
        <v/>
      </c>
      <c r="AU570" s="1547" t="str">
        <f ca="1">IF('Rent Roll'!$AA96=1,'Rent Roll'!K96,"")</f>
        <v/>
      </c>
      <c r="AV570" s="1551" t="str">
        <f ca="1">IF('Rent Roll'!$AA96=1,'Rent Roll'!N96,"")</f>
        <v/>
      </c>
      <c r="AW570" s="223"/>
      <c r="AX570" s="6"/>
      <c r="AY570" s="32"/>
      <c r="AZ570" s="342"/>
      <c r="BA570" s="343"/>
      <c r="BB570" s="342"/>
      <c r="BC570" s="343"/>
      <c r="BD570" s="32"/>
      <c r="BE570" s="187"/>
      <c r="BF570" s="187"/>
    </row>
    <row r="571" spans="1:58" ht="15.95" hidden="1" customHeight="1" x14ac:dyDescent="0.25">
      <c r="A571" s="957">
        <f t="shared" ca="1" si="18"/>
        <v>0</v>
      </c>
      <c r="AQ571" s="4"/>
      <c r="AR571" s="5"/>
      <c r="AS571" s="5" t="str">
        <f ca="1">IF('Rent Roll'!$AA97=1,'Rent Roll'!E97,"")</f>
        <v/>
      </c>
      <c r="AT571" s="39" t="str">
        <f ca="1">IF('Rent Roll'!$AA97=1,'Rent Roll'!G97,"")</f>
        <v/>
      </c>
      <c r="AU571" s="1547" t="str">
        <f ca="1">IF('Rent Roll'!$AA97=1,'Rent Roll'!K97,"")</f>
        <v/>
      </c>
      <c r="AV571" s="1551" t="str">
        <f ca="1">IF('Rent Roll'!$AA97=1,'Rent Roll'!N97,"")</f>
        <v/>
      </c>
      <c r="AW571" s="223"/>
      <c r="AX571" s="6"/>
      <c r="AY571" s="32"/>
      <c r="AZ571" s="342"/>
      <c r="BA571" s="343"/>
      <c r="BB571" s="342"/>
      <c r="BC571" s="343"/>
      <c r="BD571" s="32"/>
      <c r="BE571" s="187"/>
      <c r="BF571" s="187"/>
    </row>
    <row r="572" spans="1:58" ht="15.95" hidden="1" customHeight="1" x14ac:dyDescent="0.25">
      <c r="A572" s="957">
        <f t="shared" ca="1" si="18"/>
        <v>0</v>
      </c>
      <c r="AQ572" s="4"/>
      <c r="AR572" s="5"/>
      <c r="AS572" s="5" t="str">
        <f ca="1">IF('Rent Roll'!$AA98=1,'Rent Roll'!E98,"")</f>
        <v/>
      </c>
      <c r="AT572" s="39" t="str">
        <f ca="1">IF('Rent Roll'!$AA98=1,'Rent Roll'!G98,"")</f>
        <v/>
      </c>
      <c r="AU572" s="1547" t="str">
        <f ca="1">IF('Rent Roll'!$AA98=1,'Rent Roll'!K98,"")</f>
        <v/>
      </c>
      <c r="AV572" s="1551" t="str">
        <f ca="1">IF('Rent Roll'!$AA98=1,'Rent Roll'!N98,"")</f>
        <v/>
      </c>
      <c r="AW572" s="223"/>
      <c r="AX572" s="6"/>
      <c r="AY572" s="32"/>
      <c r="AZ572" s="342"/>
      <c r="BA572" s="343"/>
      <c r="BB572" s="342"/>
      <c r="BC572" s="343"/>
      <c r="BD572" s="32"/>
      <c r="BE572" s="187"/>
      <c r="BF572" s="187"/>
    </row>
    <row r="573" spans="1:58" ht="15.95" hidden="1" customHeight="1" x14ac:dyDescent="0.25">
      <c r="A573" s="957">
        <f t="shared" ca="1" si="18"/>
        <v>0</v>
      </c>
      <c r="AQ573" s="4"/>
      <c r="AR573" s="5"/>
      <c r="AS573" s="5" t="str">
        <f ca="1">IF('Rent Roll'!$AA99=1,'Rent Roll'!E99,"")</f>
        <v/>
      </c>
      <c r="AT573" s="39" t="str">
        <f ca="1">IF('Rent Roll'!$AA99=1,'Rent Roll'!G99,"")</f>
        <v/>
      </c>
      <c r="AU573" s="1547" t="str">
        <f ca="1">IF('Rent Roll'!$AA99=1,'Rent Roll'!K99,"")</f>
        <v/>
      </c>
      <c r="AV573" s="1551" t="str">
        <f ca="1">IF('Rent Roll'!$AA99=1,'Rent Roll'!N99,"")</f>
        <v/>
      </c>
      <c r="AW573" s="223"/>
      <c r="AX573" s="6"/>
      <c r="AY573" s="32"/>
      <c r="AZ573" s="342"/>
      <c r="BA573" s="343"/>
      <c r="BB573" s="342"/>
      <c r="BC573" s="343"/>
      <c r="BD573" s="32"/>
      <c r="BE573" s="187"/>
      <c r="BF573" s="187"/>
    </row>
    <row r="574" spans="1:58" ht="15.95" hidden="1" customHeight="1" x14ac:dyDescent="0.25">
      <c r="A574" s="957">
        <f t="shared" ca="1" si="18"/>
        <v>0</v>
      </c>
      <c r="AQ574" s="4"/>
      <c r="AR574" s="5"/>
      <c r="AS574" s="5" t="str">
        <f ca="1">IF('Rent Roll'!$AA100=1,'Rent Roll'!E100,"")</f>
        <v/>
      </c>
      <c r="AT574" s="39" t="str">
        <f ca="1">IF('Rent Roll'!$AA100=1,'Rent Roll'!G100,"")</f>
        <v/>
      </c>
      <c r="AU574" s="1547" t="str">
        <f ca="1">IF('Rent Roll'!$AA100=1,'Rent Roll'!K100,"")</f>
        <v/>
      </c>
      <c r="AV574" s="1551" t="str">
        <f ca="1">IF('Rent Roll'!$AA100=1,'Rent Roll'!N100,"")</f>
        <v/>
      </c>
      <c r="AW574" s="223"/>
      <c r="AX574" s="6"/>
      <c r="AY574" s="32"/>
      <c r="AZ574" s="342"/>
      <c r="BA574" s="343"/>
      <c r="BB574" s="342"/>
      <c r="BC574" s="343"/>
      <c r="BD574" s="32"/>
      <c r="BE574" s="187"/>
      <c r="BF574" s="187"/>
    </row>
    <row r="575" spans="1:58" ht="15.95" hidden="1" customHeight="1" x14ac:dyDescent="0.25">
      <c r="A575" s="957">
        <f t="shared" ca="1" si="18"/>
        <v>0</v>
      </c>
      <c r="AQ575" s="4"/>
      <c r="AR575" s="5"/>
      <c r="AS575" s="5" t="str">
        <f ca="1">IF('Rent Roll'!$AA101=1,'Rent Roll'!E101,"")</f>
        <v/>
      </c>
      <c r="AT575" s="39" t="str">
        <f ca="1">IF('Rent Roll'!$AA101=1,'Rent Roll'!G101,"")</f>
        <v/>
      </c>
      <c r="AU575" s="1547" t="str">
        <f ca="1">IF('Rent Roll'!$AA101=1,'Rent Roll'!K101,"")</f>
        <v/>
      </c>
      <c r="AV575" s="1551" t="str">
        <f ca="1">IF('Rent Roll'!$AA101=1,'Rent Roll'!N101,"")</f>
        <v/>
      </c>
      <c r="AW575" s="223"/>
      <c r="AX575" s="6"/>
      <c r="AY575" s="32"/>
      <c r="AZ575" s="342"/>
      <c r="BA575" s="343"/>
      <c r="BB575" s="342"/>
      <c r="BC575" s="343"/>
      <c r="BD575" s="32"/>
      <c r="BE575" s="187"/>
      <c r="BF575" s="187"/>
    </row>
    <row r="576" spans="1:58" ht="15.95" hidden="1" customHeight="1" x14ac:dyDescent="0.25">
      <c r="A576" s="957">
        <f t="shared" ca="1" si="18"/>
        <v>0</v>
      </c>
      <c r="AQ576" s="4"/>
      <c r="AR576" s="5"/>
      <c r="AS576" s="5" t="str">
        <f ca="1">IF('Rent Roll'!$AA102=1,'Rent Roll'!E102,"")</f>
        <v/>
      </c>
      <c r="AT576" s="39" t="str">
        <f ca="1">IF('Rent Roll'!$AA102=1,'Rent Roll'!G102,"")</f>
        <v/>
      </c>
      <c r="AU576" s="1547" t="str">
        <f ca="1">IF('Rent Roll'!$AA102=1,'Rent Roll'!K102,"")</f>
        <v/>
      </c>
      <c r="AV576" s="1551" t="str">
        <f ca="1">IF('Rent Roll'!$AA102=1,'Rent Roll'!N102,"")</f>
        <v/>
      </c>
      <c r="AW576" s="223"/>
      <c r="AX576" s="6"/>
      <c r="AY576" s="32"/>
      <c r="AZ576" s="342"/>
      <c r="BA576" s="343"/>
      <c r="BB576" s="342"/>
      <c r="BC576" s="343"/>
      <c r="BD576" s="32"/>
      <c r="BE576" s="187"/>
      <c r="BF576" s="187"/>
    </row>
    <row r="577" spans="1:58" ht="15.95" hidden="1" customHeight="1" x14ac:dyDescent="0.25">
      <c r="A577" s="957">
        <f t="shared" ref="A577:A608" ca="1" si="19">IF(AS577="",0,1)</f>
        <v>0</v>
      </c>
      <c r="AQ577" s="4"/>
      <c r="AR577" s="5"/>
      <c r="AS577" s="5" t="str">
        <f ca="1">IF('Rent Roll'!$AA103=1,'Rent Roll'!E103,"")</f>
        <v/>
      </c>
      <c r="AT577" s="39" t="str">
        <f ca="1">IF('Rent Roll'!$AA103=1,'Rent Roll'!G103,"")</f>
        <v/>
      </c>
      <c r="AU577" s="1547" t="str">
        <f ca="1">IF('Rent Roll'!$AA103=1,'Rent Roll'!K103,"")</f>
        <v/>
      </c>
      <c r="AV577" s="1551" t="str">
        <f ca="1">IF('Rent Roll'!$AA103=1,'Rent Roll'!N103,"")</f>
        <v/>
      </c>
      <c r="AW577" s="223"/>
      <c r="AX577" s="6"/>
      <c r="AY577" s="32"/>
      <c r="AZ577" s="342"/>
      <c r="BA577" s="343"/>
      <c r="BB577" s="342"/>
      <c r="BC577" s="343"/>
      <c r="BD577" s="32"/>
      <c r="BE577" s="187"/>
      <c r="BF577" s="187"/>
    </row>
    <row r="578" spans="1:58" ht="15.95" hidden="1" customHeight="1" x14ac:dyDescent="0.25">
      <c r="A578" s="957">
        <f t="shared" ca="1" si="19"/>
        <v>0</v>
      </c>
      <c r="AQ578" s="4"/>
      <c r="AR578" s="5"/>
      <c r="AS578" s="5" t="str">
        <f ca="1">IF('Rent Roll'!$AA104=1,'Rent Roll'!E104,"")</f>
        <v/>
      </c>
      <c r="AT578" s="39" t="str">
        <f ca="1">IF('Rent Roll'!$AA104=1,'Rent Roll'!G104,"")</f>
        <v/>
      </c>
      <c r="AU578" s="1547" t="str">
        <f ca="1">IF('Rent Roll'!$AA104=1,'Rent Roll'!K104,"")</f>
        <v/>
      </c>
      <c r="AV578" s="1551" t="str">
        <f ca="1">IF('Rent Roll'!$AA104=1,'Rent Roll'!N104,"")</f>
        <v/>
      </c>
      <c r="AW578" s="223"/>
      <c r="AX578" s="6"/>
      <c r="AY578" s="32"/>
      <c r="AZ578" s="342"/>
      <c r="BA578" s="343"/>
      <c r="BB578" s="342"/>
      <c r="BC578" s="343"/>
      <c r="BD578" s="32"/>
      <c r="BE578" s="187"/>
      <c r="BF578" s="187"/>
    </row>
    <row r="579" spans="1:58" ht="15.95" hidden="1" customHeight="1" x14ac:dyDescent="0.25">
      <c r="A579" s="957">
        <f t="shared" ca="1" si="19"/>
        <v>0</v>
      </c>
      <c r="AQ579" s="4"/>
      <c r="AR579" s="5"/>
      <c r="AS579" s="5" t="str">
        <f ca="1">IF('Rent Roll'!$AA105=1,'Rent Roll'!E105,"")</f>
        <v/>
      </c>
      <c r="AT579" s="39" t="str">
        <f ca="1">IF('Rent Roll'!$AA105=1,'Rent Roll'!G105,"")</f>
        <v/>
      </c>
      <c r="AU579" s="1547" t="str">
        <f ca="1">IF('Rent Roll'!$AA105=1,'Rent Roll'!K105,"")</f>
        <v/>
      </c>
      <c r="AV579" s="1551" t="str">
        <f ca="1">IF('Rent Roll'!$AA105=1,'Rent Roll'!N105,"")</f>
        <v/>
      </c>
      <c r="AW579" s="223"/>
      <c r="AX579" s="6"/>
      <c r="AY579" s="32"/>
      <c r="AZ579" s="342"/>
      <c r="BA579" s="343"/>
      <c r="BB579" s="342"/>
      <c r="BC579" s="343"/>
      <c r="BD579" s="32"/>
      <c r="BE579" s="187"/>
      <c r="BF579" s="187"/>
    </row>
    <row r="580" spans="1:58" ht="15.95" hidden="1" customHeight="1" x14ac:dyDescent="0.25">
      <c r="A580" s="957">
        <f t="shared" ca="1" si="19"/>
        <v>0</v>
      </c>
      <c r="AQ580" s="4"/>
      <c r="AR580" s="5"/>
      <c r="AS580" s="5" t="str">
        <f ca="1">IF('Rent Roll'!$AA106=1,'Rent Roll'!E106,"")</f>
        <v/>
      </c>
      <c r="AT580" s="39" t="str">
        <f ca="1">IF('Rent Roll'!$AA106=1,'Rent Roll'!G106,"")</f>
        <v/>
      </c>
      <c r="AU580" s="1547" t="str">
        <f ca="1">IF('Rent Roll'!$AA106=1,'Rent Roll'!K106,"")</f>
        <v/>
      </c>
      <c r="AV580" s="1551" t="str">
        <f ca="1">IF('Rent Roll'!$AA106=1,'Rent Roll'!N106,"")</f>
        <v/>
      </c>
      <c r="AW580" s="223"/>
      <c r="AX580" s="6"/>
      <c r="AY580" s="32"/>
      <c r="AZ580" s="342"/>
      <c r="BA580" s="343"/>
      <c r="BB580" s="342"/>
      <c r="BC580" s="343"/>
      <c r="BD580" s="32"/>
      <c r="BE580" s="187"/>
      <c r="BF580" s="187"/>
    </row>
    <row r="581" spans="1:58" ht="15.95" hidden="1" customHeight="1" x14ac:dyDescent="0.25">
      <c r="A581" s="957">
        <f t="shared" ca="1" si="19"/>
        <v>0</v>
      </c>
      <c r="AQ581" s="4"/>
      <c r="AR581" s="5"/>
      <c r="AS581" s="5" t="str">
        <f ca="1">IF('Rent Roll'!$AA107=1,'Rent Roll'!E107,"")</f>
        <v/>
      </c>
      <c r="AT581" s="39" t="str">
        <f ca="1">IF('Rent Roll'!$AA107=1,'Rent Roll'!G107,"")</f>
        <v/>
      </c>
      <c r="AU581" s="1547" t="str">
        <f ca="1">IF('Rent Roll'!$AA107=1,'Rent Roll'!K107,"")</f>
        <v/>
      </c>
      <c r="AV581" s="1551" t="str">
        <f ca="1">IF('Rent Roll'!$AA107=1,'Rent Roll'!N107,"")</f>
        <v/>
      </c>
      <c r="AW581" s="223"/>
      <c r="AX581" s="6"/>
      <c r="AY581" s="32"/>
      <c r="AZ581" s="342"/>
      <c r="BA581" s="343"/>
      <c r="BB581" s="342"/>
      <c r="BC581" s="343"/>
      <c r="BD581" s="32"/>
      <c r="BE581" s="187"/>
      <c r="BF581" s="187"/>
    </row>
    <row r="582" spans="1:58" ht="15.95" hidden="1" customHeight="1" x14ac:dyDescent="0.25">
      <c r="A582" s="957">
        <f t="shared" ca="1" si="19"/>
        <v>0</v>
      </c>
      <c r="AQ582" s="4"/>
      <c r="AR582" s="5"/>
      <c r="AS582" s="5" t="str">
        <f ca="1">IF('Rent Roll'!$AA108=1,'Rent Roll'!E108,"")</f>
        <v/>
      </c>
      <c r="AT582" s="39" t="str">
        <f ca="1">IF('Rent Roll'!$AA108=1,'Rent Roll'!G108,"")</f>
        <v/>
      </c>
      <c r="AU582" s="1547" t="str">
        <f ca="1">IF('Rent Roll'!$AA108=1,'Rent Roll'!K108,"")</f>
        <v/>
      </c>
      <c r="AV582" s="1551" t="str">
        <f ca="1">IF('Rent Roll'!$AA108=1,'Rent Roll'!N108,"")</f>
        <v/>
      </c>
      <c r="AW582" s="223"/>
      <c r="AX582" s="6"/>
      <c r="AY582" s="32"/>
      <c r="AZ582" s="342"/>
      <c r="BA582" s="343"/>
      <c r="BB582" s="342"/>
      <c r="BC582" s="343"/>
      <c r="BD582" s="32"/>
      <c r="BE582" s="187"/>
      <c r="BF582" s="187"/>
    </row>
    <row r="583" spans="1:58" ht="15.95" hidden="1" customHeight="1" x14ac:dyDescent="0.25">
      <c r="A583" s="957">
        <f t="shared" ca="1" si="19"/>
        <v>0</v>
      </c>
      <c r="AQ583" s="4"/>
      <c r="AR583" s="5"/>
      <c r="AS583" s="5" t="str">
        <f ca="1">IF('Rent Roll'!$AA109=1,'Rent Roll'!E109,"")</f>
        <v/>
      </c>
      <c r="AT583" s="39" t="str">
        <f ca="1">IF('Rent Roll'!$AA109=1,'Rent Roll'!G109,"")</f>
        <v/>
      </c>
      <c r="AU583" s="1547" t="str">
        <f ca="1">IF('Rent Roll'!$AA109=1,'Rent Roll'!K109,"")</f>
        <v/>
      </c>
      <c r="AV583" s="1551" t="str">
        <f ca="1">IF('Rent Roll'!$AA109=1,'Rent Roll'!N109,"")</f>
        <v/>
      </c>
      <c r="AW583" s="223"/>
      <c r="AX583" s="6"/>
      <c r="AY583" s="32"/>
      <c r="AZ583" s="342"/>
      <c r="BA583" s="343"/>
      <c r="BB583" s="342"/>
      <c r="BC583" s="343"/>
      <c r="BD583" s="32"/>
      <c r="BE583" s="187"/>
      <c r="BF583" s="187"/>
    </row>
    <row r="584" spans="1:58" ht="15.95" hidden="1" customHeight="1" x14ac:dyDescent="0.25">
      <c r="A584" s="957">
        <f t="shared" ca="1" si="19"/>
        <v>0</v>
      </c>
      <c r="AQ584" s="4"/>
      <c r="AR584" s="5"/>
      <c r="AS584" s="5" t="str">
        <f ca="1">IF('Rent Roll'!$AA110=1,'Rent Roll'!E110,"")</f>
        <v/>
      </c>
      <c r="AT584" s="39" t="str">
        <f ca="1">IF('Rent Roll'!$AA110=1,'Rent Roll'!G110,"")</f>
        <v/>
      </c>
      <c r="AU584" s="1547" t="str">
        <f ca="1">IF('Rent Roll'!$AA110=1,'Rent Roll'!K110,"")</f>
        <v/>
      </c>
      <c r="AV584" s="1551" t="str">
        <f ca="1">IF('Rent Roll'!$AA110=1,'Rent Roll'!N110,"")</f>
        <v/>
      </c>
      <c r="AW584" s="223"/>
      <c r="AX584" s="6"/>
      <c r="AY584" s="32"/>
      <c r="AZ584" s="342"/>
      <c r="BA584" s="343"/>
      <c r="BB584" s="342"/>
      <c r="BC584" s="343"/>
      <c r="BD584" s="32"/>
      <c r="BE584" s="187"/>
      <c r="BF584" s="187"/>
    </row>
    <row r="585" spans="1:58" ht="15.95" hidden="1" customHeight="1" x14ac:dyDescent="0.25">
      <c r="A585" s="957">
        <f t="shared" ca="1" si="19"/>
        <v>0</v>
      </c>
      <c r="AQ585" s="4"/>
      <c r="AR585" s="5"/>
      <c r="AS585" s="5" t="str">
        <f ca="1">IF('Rent Roll'!$AA111=1,'Rent Roll'!E111,"")</f>
        <v/>
      </c>
      <c r="AT585" s="39" t="str">
        <f ca="1">IF('Rent Roll'!$AA111=1,'Rent Roll'!G111,"")</f>
        <v/>
      </c>
      <c r="AU585" s="1547" t="str">
        <f ca="1">IF('Rent Roll'!$AA111=1,'Rent Roll'!K111,"")</f>
        <v/>
      </c>
      <c r="AV585" s="1551" t="str">
        <f ca="1">IF('Rent Roll'!$AA111=1,'Rent Roll'!N111,"")</f>
        <v/>
      </c>
      <c r="AW585" s="223"/>
      <c r="AX585" s="6"/>
      <c r="AY585" s="32"/>
      <c r="AZ585" s="342"/>
      <c r="BA585" s="343"/>
      <c r="BB585" s="342"/>
      <c r="BC585" s="343"/>
      <c r="BD585" s="32"/>
      <c r="BE585" s="187"/>
      <c r="BF585" s="187"/>
    </row>
    <row r="586" spans="1:58" ht="15.95" hidden="1" customHeight="1" x14ac:dyDescent="0.25">
      <c r="A586" s="957">
        <f t="shared" ca="1" si="19"/>
        <v>0</v>
      </c>
      <c r="AQ586" s="4"/>
      <c r="AR586" s="5"/>
      <c r="AS586" s="5" t="str">
        <f ca="1">IF('Rent Roll'!$AA112=1,'Rent Roll'!E112,"")</f>
        <v/>
      </c>
      <c r="AT586" s="39" t="str">
        <f ca="1">IF('Rent Roll'!$AA112=1,'Rent Roll'!G112,"")</f>
        <v/>
      </c>
      <c r="AU586" s="1547" t="str">
        <f ca="1">IF('Rent Roll'!$AA112=1,'Rent Roll'!K112,"")</f>
        <v/>
      </c>
      <c r="AV586" s="1551" t="str">
        <f ca="1">IF('Rent Roll'!$AA112=1,'Rent Roll'!N112,"")</f>
        <v/>
      </c>
      <c r="AW586" s="223"/>
      <c r="AX586" s="6"/>
      <c r="AY586" s="32"/>
      <c r="AZ586" s="342"/>
      <c r="BA586" s="343"/>
      <c r="BB586" s="342"/>
      <c r="BC586" s="343"/>
      <c r="BD586" s="32"/>
      <c r="BE586" s="187"/>
      <c r="BF586" s="187"/>
    </row>
    <row r="587" spans="1:58" ht="15.95" hidden="1" customHeight="1" x14ac:dyDescent="0.25">
      <c r="A587" s="957">
        <f t="shared" ca="1" si="19"/>
        <v>0</v>
      </c>
      <c r="AQ587" s="4"/>
      <c r="AR587" s="5"/>
      <c r="AS587" s="5" t="str">
        <f ca="1">IF('Rent Roll'!$AA113=1,'Rent Roll'!E113,"")</f>
        <v/>
      </c>
      <c r="AT587" s="39" t="str">
        <f ca="1">IF('Rent Roll'!$AA113=1,'Rent Roll'!G113,"")</f>
        <v/>
      </c>
      <c r="AU587" s="1547" t="str">
        <f ca="1">IF('Rent Roll'!$AA113=1,'Rent Roll'!K113,"")</f>
        <v/>
      </c>
      <c r="AV587" s="1551" t="str">
        <f ca="1">IF('Rent Roll'!$AA113=1,'Rent Roll'!N113,"")</f>
        <v/>
      </c>
      <c r="AW587" s="223"/>
      <c r="AX587" s="6"/>
      <c r="AY587" s="32"/>
      <c r="AZ587" s="342"/>
      <c r="BA587" s="343"/>
      <c r="BB587" s="342"/>
      <c r="BC587" s="343"/>
      <c r="BD587" s="32"/>
      <c r="BE587" s="187"/>
      <c r="BF587" s="187"/>
    </row>
    <row r="588" spans="1:58" ht="15.95" hidden="1" customHeight="1" x14ac:dyDescent="0.25">
      <c r="A588" s="957">
        <f t="shared" ca="1" si="19"/>
        <v>0</v>
      </c>
      <c r="AQ588" s="4"/>
      <c r="AR588" s="5"/>
      <c r="AS588" s="5" t="str">
        <f ca="1">IF('Rent Roll'!$AA114=1,'Rent Roll'!E114,"")</f>
        <v/>
      </c>
      <c r="AT588" s="39" t="str">
        <f ca="1">IF('Rent Roll'!$AA114=1,'Rent Roll'!G114,"")</f>
        <v/>
      </c>
      <c r="AU588" s="1547" t="str">
        <f ca="1">IF('Rent Roll'!$AA114=1,'Rent Roll'!K114,"")</f>
        <v/>
      </c>
      <c r="AV588" s="1551" t="str">
        <f ca="1">IF('Rent Roll'!$AA114=1,'Rent Roll'!N114,"")</f>
        <v/>
      </c>
      <c r="AW588" s="223"/>
      <c r="AX588" s="6"/>
      <c r="AY588" s="32"/>
      <c r="AZ588" s="342"/>
      <c r="BA588" s="343"/>
      <c r="BB588" s="342"/>
      <c r="BC588" s="343"/>
      <c r="BD588" s="32"/>
      <c r="BE588" s="187"/>
      <c r="BF588" s="187"/>
    </row>
    <row r="589" spans="1:58" ht="15.95" hidden="1" customHeight="1" x14ac:dyDescent="0.25">
      <c r="A589" s="957">
        <f t="shared" ca="1" si="19"/>
        <v>0</v>
      </c>
      <c r="AQ589" s="4"/>
      <c r="AR589" s="5"/>
      <c r="AS589" s="5" t="str">
        <f ca="1">IF('Rent Roll'!$AA115=1,'Rent Roll'!E115,"")</f>
        <v/>
      </c>
      <c r="AT589" s="39" t="str">
        <f ca="1">IF('Rent Roll'!$AA115=1,'Rent Roll'!G115,"")</f>
        <v/>
      </c>
      <c r="AU589" s="1547" t="str">
        <f ca="1">IF('Rent Roll'!$AA115=1,'Rent Roll'!K115,"")</f>
        <v/>
      </c>
      <c r="AV589" s="1551" t="str">
        <f ca="1">IF('Rent Roll'!$AA115=1,'Rent Roll'!N115,"")</f>
        <v/>
      </c>
      <c r="AW589" s="223"/>
      <c r="AX589" s="6"/>
      <c r="AY589" s="32"/>
      <c r="AZ589" s="342"/>
      <c r="BA589" s="343"/>
      <c r="BB589" s="342"/>
      <c r="BC589" s="343"/>
      <c r="BD589" s="32"/>
      <c r="BE589" s="187"/>
      <c r="BF589" s="187"/>
    </row>
    <row r="590" spans="1:58" ht="15.95" hidden="1" customHeight="1" x14ac:dyDescent="0.25">
      <c r="A590" s="957">
        <f t="shared" ca="1" si="19"/>
        <v>0</v>
      </c>
      <c r="AQ590" s="4"/>
      <c r="AR590" s="5"/>
      <c r="AS590" s="5" t="str">
        <f ca="1">IF('Rent Roll'!$AA116=1,'Rent Roll'!E116,"")</f>
        <v/>
      </c>
      <c r="AT590" s="39" t="str">
        <f ca="1">IF('Rent Roll'!$AA116=1,'Rent Roll'!G116,"")</f>
        <v/>
      </c>
      <c r="AU590" s="1547" t="str">
        <f ca="1">IF('Rent Roll'!$AA116=1,'Rent Roll'!K116,"")</f>
        <v/>
      </c>
      <c r="AV590" s="1551" t="str">
        <f ca="1">IF('Rent Roll'!$AA116=1,'Rent Roll'!N116,"")</f>
        <v/>
      </c>
      <c r="AW590" s="223"/>
      <c r="AX590" s="6"/>
      <c r="AY590" s="32"/>
      <c r="AZ590" s="342"/>
      <c r="BA590" s="343"/>
      <c r="BB590" s="342"/>
      <c r="BC590" s="343"/>
      <c r="BD590" s="32"/>
      <c r="BE590" s="187"/>
      <c r="BF590" s="187"/>
    </row>
    <row r="591" spans="1:58" ht="15.95" hidden="1" customHeight="1" x14ac:dyDescent="0.25">
      <c r="A591" s="957">
        <f t="shared" ca="1" si="19"/>
        <v>0</v>
      </c>
      <c r="AQ591" s="4"/>
      <c r="AR591" s="5"/>
      <c r="AS591" s="5" t="str">
        <f ca="1">IF('Rent Roll'!$AA117=1,'Rent Roll'!E117,"")</f>
        <v/>
      </c>
      <c r="AT591" s="39" t="str">
        <f ca="1">IF('Rent Roll'!$AA117=1,'Rent Roll'!G117,"")</f>
        <v/>
      </c>
      <c r="AU591" s="1547" t="str">
        <f ca="1">IF('Rent Roll'!$AA117=1,'Rent Roll'!K117,"")</f>
        <v/>
      </c>
      <c r="AV591" s="1551" t="str">
        <f ca="1">IF('Rent Roll'!$AA117=1,'Rent Roll'!N117,"")</f>
        <v/>
      </c>
      <c r="AW591" s="223"/>
      <c r="AX591" s="6"/>
      <c r="AY591" s="32"/>
      <c r="AZ591" s="342"/>
      <c r="BA591" s="343"/>
      <c r="BB591" s="342"/>
      <c r="BC591" s="343"/>
      <c r="BD591" s="32"/>
      <c r="BE591" s="187"/>
      <c r="BF591" s="187"/>
    </row>
    <row r="592" spans="1:58" ht="15.95" hidden="1" customHeight="1" x14ac:dyDescent="0.25">
      <c r="A592" s="957">
        <f t="shared" ca="1" si="19"/>
        <v>0</v>
      </c>
      <c r="AQ592" s="4"/>
      <c r="AR592" s="5"/>
      <c r="AS592" s="5" t="str">
        <f ca="1">IF('Rent Roll'!$AA118=1,'Rent Roll'!E118,"")</f>
        <v/>
      </c>
      <c r="AT592" s="39" t="str">
        <f ca="1">IF('Rent Roll'!$AA118=1,'Rent Roll'!G118,"")</f>
        <v/>
      </c>
      <c r="AU592" s="1547" t="str">
        <f ca="1">IF('Rent Roll'!$AA118=1,'Rent Roll'!K118,"")</f>
        <v/>
      </c>
      <c r="AV592" s="1551" t="str">
        <f ca="1">IF('Rent Roll'!$AA118=1,'Rent Roll'!N118,"")</f>
        <v/>
      </c>
      <c r="AW592" s="223"/>
      <c r="AX592" s="6"/>
      <c r="AY592" s="32"/>
      <c r="AZ592" s="342"/>
      <c r="BA592" s="343"/>
      <c r="BB592" s="342"/>
      <c r="BC592" s="343"/>
      <c r="BD592" s="32"/>
      <c r="BE592" s="187"/>
      <c r="BF592" s="187"/>
    </row>
    <row r="593" spans="1:58" ht="15.95" hidden="1" customHeight="1" x14ac:dyDescent="0.25">
      <c r="A593" s="957">
        <f t="shared" ca="1" si="19"/>
        <v>0</v>
      </c>
      <c r="AQ593" s="4"/>
      <c r="AR593" s="5"/>
      <c r="AS593" s="5" t="str">
        <f ca="1">IF('Rent Roll'!$AA119=1,'Rent Roll'!E119,"")</f>
        <v/>
      </c>
      <c r="AT593" s="39" t="str">
        <f ca="1">IF('Rent Roll'!$AA119=1,'Rent Roll'!G119,"")</f>
        <v/>
      </c>
      <c r="AU593" s="1547" t="str">
        <f ca="1">IF('Rent Roll'!$AA119=1,'Rent Roll'!K119,"")</f>
        <v/>
      </c>
      <c r="AV593" s="1551" t="str">
        <f ca="1">IF('Rent Roll'!$AA119=1,'Rent Roll'!N119,"")</f>
        <v/>
      </c>
      <c r="AW593" s="223"/>
      <c r="AX593" s="6"/>
      <c r="AY593" s="32"/>
      <c r="AZ593" s="342"/>
      <c r="BA593" s="343"/>
      <c r="BB593" s="342"/>
      <c r="BC593" s="343"/>
      <c r="BD593" s="32"/>
      <c r="BE593" s="187"/>
      <c r="BF593" s="187"/>
    </row>
    <row r="594" spans="1:58" ht="15.95" hidden="1" customHeight="1" x14ac:dyDescent="0.25">
      <c r="A594" s="957">
        <f t="shared" ca="1" si="19"/>
        <v>0</v>
      </c>
      <c r="AQ594" s="4"/>
      <c r="AR594" s="5"/>
      <c r="AS594" s="5" t="str">
        <f ca="1">IF('Rent Roll'!$AA120=1,'Rent Roll'!E120,"")</f>
        <v/>
      </c>
      <c r="AT594" s="39" t="str">
        <f ca="1">IF('Rent Roll'!$AA120=1,'Rent Roll'!G120,"")</f>
        <v/>
      </c>
      <c r="AU594" s="1547" t="str">
        <f ca="1">IF('Rent Roll'!$AA120=1,'Rent Roll'!K120,"")</f>
        <v/>
      </c>
      <c r="AV594" s="1551" t="str">
        <f ca="1">IF('Rent Roll'!$AA120=1,'Rent Roll'!N120,"")</f>
        <v/>
      </c>
      <c r="AW594" s="223"/>
      <c r="AX594" s="6"/>
      <c r="AY594" s="32"/>
      <c r="AZ594" s="342"/>
      <c r="BA594" s="343"/>
      <c r="BB594" s="342"/>
      <c r="BC594" s="343"/>
      <c r="BD594" s="32"/>
      <c r="BE594" s="187"/>
      <c r="BF594" s="187"/>
    </row>
    <row r="595" spans="1:58" ht="15.95" hidden="1" customHeight="1" x14ac:dyDescent="0.25">
      <c r="A595" s="957">
        <f t="shared" ca="1" si="19"/>
        <v>0</v>
      </c>
      <c r="AQ595" s="4"/>
      <c r="AR595" s="5"/>
      <c r="AS595" s="5" t="str">
        <f ca="1">IF('Rent Roll'!$AA121=1,'Rent Roll'!E121,"")</f>
        <v/>
      </c>
      <c r="AT595" s="39" t="str">
        <f ca="1">IF('Rent Roll'!$AA121=1,'Rent Roll'!G121,"")</f>
        <v/>
      </c>
      <c r="AU595" s="1547" t="str">
        <f ca="1">IF('Rent Roll'!$AA121=1,'Rent Roll'!K121,"")</f>
        <v/>
      </c>
      <c r="AV595" s="1551" t="str">
        <f ca="1">IF('Rent Roll'!$AA121=1,'Rent Roll'!N121,"")</f>
        <v/>
      </c>
      <c r="AW595" s="223"/>
      <c r="AX595" s="6"/>
      <c r="AY595" s="32"/>
      <c r="AZ595" s="342"/>
      <c r="BA595" s="343"/>
      <c r="BB595" s="342"/>
      <c r="BC595" s="343"/>
      <c r="BD595" s="32"/>
      <c r="BE595" s="187"/>
      <c r="BF595" s="187"/>
    </row>
    <row r="596" spans="1:58" ht="15.95" hidden="1" customHeight="1" x14ac:dyDescent="0.25">
      <c r="A596" s="957">
        <f t="shared" ca="1" si="19"/>
        <v>0</v>
      </c>
      <c r="AQ596" s="4"/>
      <c r="AR596" s="5"/>
      <c r="AS596" s="5" t="str">
        <f ca="1">IF('Rent Roll'!$AA122=1,'Rent Roll'!E122,"")</f>
        <v/>
      </c>
      <c r="AT596" s="39" t="str">
        <f ca="1">IF('Rent Roll'!$AA122=1,'Rent Roll'!G122,"")</f>
        <v/>
      </c>
      <c r="AU596" s="1547" t="str">
        <f ca="1">IF('Rent Roll'!$AA122=1,'Rent Roll'!K122,"")</f>
        <v/>
      </c>
      <c r="AV596" s="1551" t="str">
        <f ca="1">IF('Rent Roll'!$AA122=1,'Rent Roll'!N122,"")</f>
        <v/>
      </c>
      <c r="AW596" s="223"/>
      <c r="AX596" s="6"/>
      <c r="AY596" s="32"/>
      <c r="AZ596" s="342"/>
      <c r="BA596" s="343"/>
      <c r="BB596" s="342"/>
      <c r="BC596" s="343"/>
      <c r="BD596" s="32"/>
      <c r="BE596" s="187"/>
      <c r="BF596" s="187"/>
    </row>
    <row r="597" spans="1:58" ht="15.95" hidden="1" customHeight="1" x14ac:dyDescent="0.25">
      <c r="A597" s="957">
        <f t="shared" ca="1" si="19"/>
        <v>0</v>
      </c>
      <c r="AQ597" s="4"/>
      <c r="AR597" s="5"/>
      <c r="AS597" s="5" t="str">
        <f ca="1">IF('Rent Roll'!$AA123=1,'Rent Roll'!E123,"")</f>
        <v/>
      </c>
      <c r="AT597" s="39" t="str">
        <f ca="1">IF('Rent Roll'!$AA123=1,'Rent Roll'!G123,"")</f>
        <v/>
      </c>
      <c r="AU597" s="1547" t="str">
        <f ca="1">IF('Rent Roll'!$AA123=1,'Rent Roll'!K123,"")</f>
        <v/>
      </c>
      <c r="AV597" s="1551" t="str">
        <f ca="1">IF('Rent Roll'!$AA123=1,'Rent Roll'!N123,"")</f>
        <v/>
      </c>
      <c r="AW597" s="223"/>
      <c r="AX597" s="6"/>
      <c r="AY597" s="32"/>
      <c r="AZ597" s="342"/>
      <c r="BA597" s="343"/>
      <c r="BB597" s="342"/>
      <c r="BC597" s="343"/>
      <c r="BD597" s="32"/>
      <c r="BE597" s="187"/>
      <c r="BF597" s="187"/>
    </row>
    <row r="598" spans="1:58" ht="15.95" hidden="1" customHeight="1" x14ac:dyDescent="0.25">
      <c r="A598" s="957">
        <f t="shared" ca="1" si="19"/>
        <v>0</v>
      </c>
      <c r="AQ598" s="4"/>
      <c r="AR598" s="5"/>
      <c r="AS598" s="5" t="str">
        <f ca="1">IF('Rent Roll'!$AA124=1,'Rent Roll'!E124,"")</f>
        <v/>
      </c>
      <c r="AT598" s="39" t="str">
        <f ca="1">IF('Rent Roll'!$AA124=1,'Rent Roll'!G124,"")</f>
        <v/>
      </c>
      <c r="AU598" s="1547" t="str">
        <f ca="1">IF('Rent Roll'!$AA124=1,'Rent Roll'!K124,"")</f>
        <v/>
      </c>
      <c r="AV598" s="1551" t="str">
        <f ca="1">IF('Rent Roll'!$AA124=1,'Rent Roll'!N124,"")</f>
        <v/>
      </c>
      <c r="AW598" s="223"/>
      <c r="AX598" s="6"/>
      <c r="AY598" s="32"/>
      <c r="AZ598" s="342"/>
      <c r="BA598" s="343"/>
      <c r="BB598" s="342"/>
      <c r="BC598" s="343"/>
      <c r="BD598" s="32"/>
      <c r="BE598" s="187"/>
      <c r="BF598" s="187"/>
    </row>
    <row r="599" spans="1:58" ht="15.95" hidden="1" customHeight="1" x14ac:dyDescent="0.25">
      <c r="A599" s="957">
        <f t="shared" ca="1" si="19"/>
        <v>0</v>
      </c>
      <c r="AQ599" s="4"/>
      <c r="AR599" s="5"/>
      <c r="AS599" s="5" t="str">
        <f ca="1">IF('Rent Roll'!$AA125=1,'Rent Roll'!E125,"")</f>
        <v/>
      </c>
      <c r="AT599" s="39" t="str">
        <f ca="1">IF('Rent Roll'!$AA125=1,'Rent Roll'!G125,"")</f>
        <v/>
      </c>
      <c r="AU599" s="1547" t="str">
        <f ca="1">IF('Rent Roll'!$AA125=1,'Rent Roll'!K125,"")</f>
        <v/>
      </c>
      <c r="AV599" s="1551" t="str">
        <f ca="1">IF('Rent Roll'!$AA125=1,'Rent Roll'!N125,"")</f>
        <v/>
      </c>
      <c r="AW599" s="223"/>
      <c r="AX599" s="6"/>
      <c r="AY599" s="32"/>
      <c r="AZ599" s="342"/>
      <c r="BA599" s="343"/>
      <c r="BB599" s="342"/>
      <c r="BC599" s="343"/>
      <c r="BD599" s="32"/>
      <c r="BE599" s="187"/>
      <c r="BF599" s="187"/>
    </row>
    <row r="600" spans="1:58" ht="15.95" hidden="1" customHeight="1" x14ac:dyDescent="0.25">
      <c r="A600" s="957">
        <f t="shared" ca="1" si="19"/>
        <v>0</v>
      </c>
      <c r="AQ600" s="4"/>
      <c r="AR600" s="5"/>
      <c r="AS600" s="5" t="str">
        <f ca="1">IF('Rent Roll'!$AA126=1,'Rent Roll'!E126,"")</f>
        <v/>
      </c>
      <c r="AT600" s="39" t="str">
        <f ca="1">IF('Rent Roll'!$AA126=1,'Rent Roll'!G126,"")</f>
        <v/>
      </c>
      <c r="AU600" s="1547" t="str">
        <f ca="1">IF('Rent Roll'!$AA126=1,'Rent Roll'!K126,"")</f>
        <v/>
      </c>
      <c r="AV600" s="1551" t="str">
        <f ca="1">IF('Rent Roll'!$AA126=1,'Rent Roll'!N126,"")</f>
        <v/>
      </c>
      <c r="AW600" s="223"/>
      <c r="AX600" s="6"/>
      <c r="AY600" s="32"/>
      <c r="AZ600" s="342"/>
      <c r="BA600" s="343"/>
      <c r="BB600" s="342"/>
      <c r="BC600" s="343"/>
      <c r="BD600" s="32"/>
      <c r="BE600" s="187"/>
      <c r="BF600" s="187"/>
    </row>
    <row r="601" spans="1:58" ht="15.95" hidden="1" customHeight="1" x14ac:dyDescent="0.25">
      <c r="A601" s="957">
        <f t="shared" ca="1" si="19"/>
        <v>0</v>
      </c>
      <c r="AQ601" s="4"/>
      <c r="AR601" s="5"/>
      <c r="AS601" s="5" t="str">
        <f ca="1">IF('Rent Roll'!$AA127=1,'Rent Roll'!E127,"")</f>
        <v/>
      </c>
      <c r="AT601" s="39" t="str">
        <f ca="1">IF('Rent Roll'!$AA127=1,'Rent Roll'!G127,"")</f>
        <v/>
      </c>
      <c r="AU601" s="1547" t="str">
        <f ca="1">IF('Rent Roll'!$AA127=1,'Rent Roll'!K127,"")</f>
        <v/>
      </c>
      <c r="AV601" s="1551" t="str">
        <f ca="1">IF('Rent Roll'!$AA127=1,'Rent Roll'!N127,"")</f>
        <v/>
      </c>
      <c r="AW601" s="223"/>
      <c r="AX601" s="6"/>
      <c r="AY601" s="32"/>
      <c r="AZ601" s="342"/>
      <c r="BA601" s="343"/>
      <c r="BB601" s="342"/>
      <c r="BC601" s="343"/>
      <c r="BD601" s="32"/>
      <c r="BE601" s="187"/>
      <c r="BF601" s="187"/>
    </row>
    <row r="602" spans="1:58" ht="15.95" hidden="1" customHeight="1" x14ac:dyDescent="0.25">
      <c r="A602" s="957">
        <f t="shared" ca="1" si="19"/>
        <v>0</v>
      </c>
      <c r="AQ602" s="4"/>
      <c r="AR602" s="5"/>
      <c r="AS602" s="5" t="str">
        <f ca="1">IF('Rent Roll'!$AA128=1,'Rent Roll'!E128,"")</f>
        <v/>
      </c>
      <c r="AT602" s="39" t="str">
        <f ca="1">IF('Rent Roll'!$AA128=1,'Rent Roll'!G128,"")</f>
        <v/>
      </c>
      <c r="AU602" s="1547" t="str">
        <f ca="1">IF('Rent Roll'!$AA128=1,'Rent Roll'!K128,"")</f>
        <v/>
      </c>
      <c r="AV602" s="1551" t="str">
        <f ca="1">IF('Rent Roll'!$AA128=1,'Rent Roll'!N128,"")</f>
        <v/>
      </c>
      <c r="AW602" s="223"/>
      <c r="AX602" s="6"/>
      <c r="AY602" s="32"/>
      <c r="AZ602" s="342"/>
      <c r="BA602" s="343"/>
      <c r="BB602" s="342"/>
      <c r="BC602" s="343"/>
      <c r="BD602" s="32"/>
      <c r="BE602" s="187"/>
      <c r="BF602" s="187"/>
    </row>
    <row r="603" spans="1:58" ht="15.95" hidden="1" customHeight="1" x14ac:dyDescent="0.25">
      <c r="A603" s="957">
        <f t="shared" ca="1" si="19"/>
        <v>0</v>
      </c>
      <c r="AQ603" s="4"/>
      <c r="AR603" s="5"/>
      <c r="AS603" s="5" t="str">
        <f ca="1">IF('Rent Roll'!$AA129=1,'Rent Roll'!E129,"")</f>
        <v/>
      </c>
      <c r="AT603" s="39" t="str">
        <f ca="1">IF('Rent Roll'!$AA129=1,'Rent Roll'!G129,"")</f>
        <v/>
      </c>
      <c r="AU603" s="1547" t="str">
        <f ca="1">IF('Rent Roll'!$AA129=1,'Rent Roll'!K129,"")</f>
        <v/>
      </c>
      <c r="AV603" s="1551" t="str">
        <f ca="1">IF('Rent Roll'!$AA129=1,'Rent Roll'!N129,"")</f>
        <v/>
      </c>
      <c r="AW603" s="223"/>
      <c r="AX603" s="6"/>
      <c r="AY603" s="32"/>
      <c r="AZ603" s="342"/>
      <c r="BA603" s="343"/>
      <c r="BB603" s="342"/>
      <c r="BC603" s="343"/>
      <c r="BD603" s="32"/>
      <c r="BE603" s="187"/>
      <c r="BF603" s="187"/>
    </row>
    <row r="604" spans="1:58" ht="15.95" hidden="1" customHeight="1" x14ac:dyDescent="0.25">
      <c r="A604" s="957">
        <f t="shared" ca="1" si="19"/>
        <v>0</v>
      </c>
      <c r="AQ604" s="4"/>
      <c r="AR604" s="5"/>
      <c r="AS604" s="5" t="str">
        <f ca="1">IF('Rent Roll'!$AA130=1,'Rent Roll'!E130,"")</f>
        <v/>
      </c>
      <c r="AT604" s="39" t="str">
        <f ca="1">IF('Rent Roll'!$AA130=1,'Rent Roll'!G130,"")</f>
        <v/>
      </c>
      <c r="AU604" s="1547" t="str">
        <f ca="1">IF('Rent Roll'!$AA130=1,'Rent Roll'!K130,"")</f>
        <v/>
      </c>
      <c r="AV604" s="1551" t="str">
        <f ca="1">IF('Rent Roll'!$AA130=1,'Rent Roll'!N130,"")</f>
        <v/>
      </c>
      <c r="AW604" s="223"/>
      <c r="AX604" s="6"/>
      <c r="AY604" s="32"/>
      <c r="AZ604" s="342"/>
      <c r="BA604" s="343"/>
      <c r="BB604" s="342"/>
      <c r="BC604" s="343"/>
      <c r="BD604" s="32"/>
      <c r="BE604" s="187"/>
      <c r="BF604" s="187"/>
    </row>
    <row r="605" spans="1:58" ht="15.95" hidden="1" customHeight="1" x14ac:dyDescent="0.25">
      <c r="A605" s="957">
        <f t="shared" ca="1" si="19"/>
        <v>0</v>
      </c>
      <c r="AQ605" s="4"/>
      <c r="AR605" s="5"/>
      <c r="AS605" s="5" t="str">
        <f ca="1">IF('Rent Roll'!$AA131=1,'Rent Roll'!E131,"")</f>
        <v/>
      </c>
      <c r="AT605" s="39" t="str">
        <f ca="1">IF('Rent Roll'!$AA131=1,'Rent Roll'!G131,"")</f>
        <v/>
      </c>
      <c r="AU605" s="1547" t="str">
        <f ca="1">IF('Rent Roll'!$AA131=1,'Rent Roll'!K131,"")</f>
        <v/>
      </c>
      <c r="AV605" s="1551" t="str">
        <f ca="1">IF('Rent Roll'!$AA131=1,'Rent Roll'!N131,"")</f>
        <v/>
      </c>
      <c r="AW605" s="223"/>
      <c r="AX605" s="6"/>
      <c r="AY605" s="32"/>
      <c r="AZ605" s="342"/>
      <c r="BA605" s="343"/>
      <c r="BB605" s="342"/>
      <c r="BC605" s="343"/>
      <c r="BD605" s="32"/>
      <c r="BE605" s="187"/>
      <c r="BF605" s="187"/>
    </row>
    <row r="606" spans="1:58" ht="15.95" hidden="1" customHeight="1" x14ac:dyDescent="0.25">
      <c r="A606" s="957">
        <f t="shared" ca="1" si="19"/>
        <v>0</v>
      </c>
      <c r="AQ606" s="4"/>
      <c r="AR606" s="5"/>
      <c r="AS606" s="5" t="str">
        <f ca="1">IF('Rent Roll'!$AA132=1,'Rent Roll'!E132,"")</f>
        <v/>
      </c>
      <c r="AT606" s="39" t="str">
        <f ca="1">IF('Rent Roll'!$AA132=1,'Rent Roll'!G132,"")</f>
        <v/>
      </c>
      <c r="AU606" s="1547" t="str">
        <f ca="1">IF('Rent Roll'!$AA132=1,'Rent Roll'!K132,"")</f>
        <v/>
      </c>
      <c r="AV606" s="1551" t="str">
        <f ca="1">IF('Rent Roll'!$AA132=1,'Rent Roll'!N132,"")</f>
        <v/>
      </c>
      <c r="AW606" s="223"/>
      <c r="AX606" s="6"/>
      <c r="AY606" s="32"/>
      <c r="AZ606" s="342"/>
      <c r="BA606" s="343"/>
      <c r="BB606" s="342"/>
      <c r="BC606" s="343"/>
      <c r="BD606" s="32"/>
      <c r="BE606" s="187"/>
      <c r="BF606" s="187"/>
    </row>
    <row r="607" spans="1:58" ht="15.95" hidden="1" customHeight="1" x14ac:dyDescent="0.25">
      <c r="A607" s="957">
        <f t="shared" ca="1" si="19"/>
        <v>0</v>
      </c>
      <c r="AQ607" s="4"/>
      <c r="AR607" s="5"/>
      <c r="AS607" s="5" t="str">
        <f ca="1">IF('Rent Roll'!$AA133=1,'Rent Roll'!E133,"")</f>
        <v/>
      </c>
      <c r="AT607" s="39" t="str">
        <f ca="1">IF('Rent Roll'!$AA133=1,'Rent Roll'!G133,"")</f>
        <v/>
      </c>
      <c r="AU607" s="1547" t="str">
        <f ca="1">IF('Rent Roll'!$AA133=1,'Rent Roll'!K133,"")</f>
        <v/>
      </c>
      <c r="AV607" s="1551" t="str">
        <f ca="1">IF('Rent Roll'!$AA133=1,'Rent Roll'!N133,"")</f>
        <v/>
      </c>
      <c r="AW607" s="223"/>
      <c r="AX607" s="6"/>
      <c r="AY607" s="32"/>
      <c r="AZ607" s="342"/>
      <c r="BA607" s="343"/>
      <c r="BB607" s="342"/>
      <c r="BC607" s="343"/>
      <c r="BD607" s="32"/>
      <c r="BE607" s="187"/>
      <c r="BF607" s="187"/>
    </row>
    <row r="608" spans="1:58" ht="15.95" hidden="1" customHeight="1" x14ac:dyDescent="0.25">
      <c r="A608" s="957">
        <f t="shared" ca="1" si="19"/>
        <v>0</v>
      </c>
      <c r="AQ608" s="4"/>
      <c r="AR608" s="5"/>
      <c r="AS608" s="5" t="str">
        <f ca="1">IF('Rent Roll'!$AA134=1,'Rent Roll'!E134,"")</f>
        <v/>
      </c>
      <c r="AT608" s="39" t="str">
        <f ca="1">IF('Rent Roll'!$AA134=1,'Rent Roll'!G134,"")</f>
        <v/>
      </c>
      <c r="AU608" s="1547" t="str">
        <f ca="1">IF('Rent Roll'!$AA134=1,'Rent Roll'!K134,"")</f>
        <v/>
      </c>
      <c r="AV608" s="1551" t="str">
        <f ca="1">IF('Rent Roll'!$AA134=1,'Rent Roll'!N134,"")</f>
        <v/>
      </c>
      <c r="AW608" s="5"/>
      <c r="AX608" s="6"/>
      <c r="AY608" s="32"/>
      <c r="AZ608" s="342"/>
      <c r="BA608" s="343"/>
      <c r="BB608" s="342"/>
      <c r="BC608" s="343"/>
      <c r="BD608" s="32"/>
      <c r="BE608" s="187"/>
      <c r="BF608" s="187"/>
    </row>
    <row r="609" spans="1:58" ht="15.95" hidden="1" customHeight="1" x14ac:dyDescent="0.25">
      <c r="A609" s="957">
        <f t="shared" ref="A609:A640" ca="1" si="20">IF(AS609="",0,1)</f>
        <v>0</v>
      </c>
      <c r="AQ609" s="4"/>
      <c r="AR609" s="5"/>
      <c r="AS609" s="5" t="str">
        <f ca="1">IF('Rent Roll'!$AA135=1,'Rent Roll'!E135,"")</f>
        <v/>
      </c>
      <c r="AT609" s="39" t="str">
        <f ca="1">IF('Rent Roll'!$AA135=1,'Rent Roll'!G135,"")</f>
        <v/>
      </c>
      <c r="AU609" s="1547" t="str">
        <f ca="1">IF('Rent Roll'!$AA135=1,'Rent Roll'!K135,"")</f>
        <v/>
      </c>
      <c r="AV609" s="1551" t="str">
        <f ca="1">IF('Rent Roll'!$AA135=1,'Rent Roll'!N135,"")</f>
        <v/>
      </c>
      <c r="AW609" s="5"/>
      <c r="AX609" s="6"/>
      <c r="AY609" s="32"/>
      <c r="AZ609" s="342"/>
      <c r="BA609" s="343"/>
      <c r="BB609" s="342"/>
      <c r="BC609" s="343"/>
      <c r="BD609" s="32"/>
      <c r="BE609" s="187"/>
      <c r="BF609" s="187"/>
    </row>
    <row r="610" spans="1:58" ht="15.95" hidden="1" customHeight="1" x14ac:dyDescent="0.25">
      <c r="A610" s="957">
        <f t="shared" ca="1" si="20"/>
        <v>0</v>
      </c>
      <c r="AQ610" s="4"/>
      <c r="AR610" s="5"/>
      <c r="AS610" s="5" t="str">
        <f ca="1">IF('Rent Roll'!$AA136=1,'Rent Roll'!E136,"")</f>
        <v/>
      </c>
      <c r="AT610" s="39" t="str">
        <f ca="1">IF('Rent Roll'!$AA136=1,'Rent Roll'!G136,"")</f>
        <v/>
      </c>
      <c r="AU610" s="1547" t="str">
        <f ca="1">IF('Rent Roll'!$AA136=1,'Rent Roll'!K136,"")</f>
        <v/>
      </c>
      <c r="AV610" s="1551" t="str">
        <f ca="1">IF('Rent Roll'!$AA136=1,'Rent Roll'!N136,"")</f>
        <v/>
      </c>
      <c r="AW610" s="5"/>
      <c r="AX610" s="6"/>
      <c r="AY610" s="32"/>
      <c r="AZ610" s="342"/>
      <c r="BA610" s="343"/>
      <c r="BB610" s="342"/>
      <c r="BC610" s="343"/>
      <c r="BD610" s="32"/>
      <c r="BE610" s="187"/>
      <c r="BF610" s="187"/>
    </row>
    <row r="611" spans="1:58" ht="15.95" hidden="1" customHeight="1" x14ac:dyDescent="0.25">
      <c r="A611" s="957">
        <f t="shared" ca="1" si="20"/>
        <v>0</v>
      </c>
      <c r="AQ611" s="4"/>
      <c r="AR611" s="5"/>
      <c r="AS611" s="5" t="str">
        <f ca="1">IF('Rent Roll'!$AA137=1,'Rent Roll'!E137,"")</f>
        <v/>
      </c>
      <c r="AT611" s="39" t="str">
        <f ca="1">IF('Rent Roll'!$AA137=1,'Rent Roll'!G137,"")</f>
        <v/>
      </c>
      <c r="AU611" s="1547" t="str">
        <f ca="1">IF('Rent Roll'!$AA137=1,'Rent Roll'!K137,"")</f>
        <v/>
      </c>
      <c r="AV611" s="1551" t="str">
        <f ca="1">IF('Rent Roll'!$AA137=1,'Rent Roll'!N137,"")</f>
        <v/>
      </c>
      <c r="AW611" s="5"/>
      <c r="AX611" s="6"/>
      <c r="AY611" s="32"/>
      <c r="AZ611" s="342"/>
      <c r="BA611" s="343"/>
      <c r="BB611" s="342"/>
      <c r="BC611" s="343"/>
      <c r="BD611" s="32"/>
      <c r="BE611" s="187"/>
      <c r="BF611" s="187"/>
    </row>
    <row r="612" spans="1:58" ht="15.95" hidden="1" customHeight="1" x14ac:dyDescent="0.25">
      <c r="A612" s="957">
        <f t="shared" ca="1" si="20"/>
        <v>0</v>
      </c>
      <c r="AQ612" s="4"/>
      <c r="AR612" s="5"/>
      <c r="AS612" s="5" t="str">
        <f ca="1">IF('Rent Roll'!$AA138=1,'Rent Roll'!E138,"")</f>
        <v/>
      </c>
      <c r="AT612" s="39" t="str">
        <f ca="1">IF('Rent Roll'!$AA138=1,'Rent Roll'!G138,"")</f>
        <v/>
      </c>
      <c r="AU612" s="1547" t="str">
        <f ca="1">IF('Rent Roll'!$AA138=1,'Rent Roll'!K138,"")</f>
        <v/>
      </c>
      <c r="AV612" s="1551" t="str">
        <f ca="1">IF('Rent Roll'!$AA138=1,'Rent Roll'!N138,"")</f>
        <v/>
      </c>
      <c r="AW612" s="5"/>
      <c r="AX612" s="6"/>
      <c r="AY612" s="32"/>
      <c r="AZ612" s="342"/>
      <c r="BA612" s="343"/>
      <c r="BB612" s="342"/>
      <c r="BC612" s="343"/>
      <c r="BD612" s="32"/>
      <c r="BE612" s="187"/>
      <c r="BF612" s="187"/>
    </row>
    <row r="613" spans="1:58" ht="15.95" hidden="1" customHeight="1" x14ac:dyDescent="0.25">
      <c r="A613" s="957">
        <f t="shared" ca="1" si="20"/>
        <v>0</v>
      </c>
      <c r="AQ613" s="4"/>
      <c r="AR613" s="5"/>
      <c r="AS613" s="5" t="str">
        <f ca="1">IF('Rent Roll'!$AA139=1,'Rent Roll'!E139,"")</f>
        <v/>
      </c>
      <c r="AT613" s="39" t="str">
        <f ca="1">IF('Rent Roll'!$AA139=1,'Rent Roll'!G139,"")</f>
        <v/>
      </c>
      <c r="AU613" s="1547" t="str">
        <f ca="1">IF('Rent Roll'!$AA139=1,'Rent Roll'!K139,"")</f>
        <v/>
      </c>
      <c r="AV613" s="1551" t="str">
        <f ca="1">IF('Rent Roll'!$AA139=1,'Rent Roll'!N139,"")</f>
        <v/>
      </c>
      <c r="AW613" s="5"/>
      <c r="AX613" s="6"/>
      <c r="AY613" s="32"/>
      <c r="AZ613" s="342"/>
      <c r="BA613" s="343"/>
      <c r="BB613" s="342"/>
      <c r="BC613" s="343"/>
      <c r="BD613" s="32"/>
      <c r="BE613" s="187"/>
      <c r="BF613" s="187"/>
    </row>
    <row r="614" spans="1:58" ht="15.95" hidden="1" customHeight="1" x14ac:dyDescent="0.25">
      <c r="A614" s="957">
        <f t="shared" ca="1" si="20"/>
        <v>0</v>
      </c>
      <c r="AQ614" s="4"/>
      <c r="AR614" s="5"/>
      <c r="AS614" s="5" t="str">
        <f ca="1">IF('Rent Roll'!$AA140=1,'Rent Roll'!E140,"")</f>
        <v/>
      </c>
      <c r="AT614" s="39" t="str">
        <f ca="1">IF('Rent Roll'!$AA140=1,'Rent Roll'!G140,"")</f>
        <v/>
      </c>
      <c r="AU614" s="1547" t="str">
        <f ca="1">IF('Rent Roll'!$AA140=1,'Rent Roll'!K140,"")</f>
        <v/>
      </c>
      <c r="AV614" s="1551" t="str">
        <f ca="1">IF('Rent Roll'!$AA140=1,'Rent Roll'!N140,"")</f>
        <v/>
      </c>
      <c r="AW614" s="5"/>
      <c r="AX614" s="6"/>
      <c r="AY614" s="32"/>
      <c r="AZ614" s="342"/>
      <c r="BA614" s="343"/>
      <c r="BB614" s="342"/>
      <c r="BC614" s="343"/>
      <c r="BD614" s="32"/>
      <c r="BE614" s="187"/>
      <c r="BF614" s="187"/>
    </row>
    <row r="615" spans="1:58" ht="15.95" hidden="1" customHeight="1" x14ac:dyDescent="0.25">
      <c r="A615" s="957">
        <f t="shared" ca="1" si="20"/>
        <v>0</v>
      </c>
      <c r="AQ615" s="4"/>
      <c r="AR615" s="5"/>
      <c r="AS615" s="5" t="str">
        <f ca="1">IF('Rent Roll'!$AA141=1,'Rent Roll'!E141,"")</f>
        <v/>
      </c>
      <c r="AT615" s="39" t="str">
        <f ca="1">IF('Rent Roll'!$AA141=1,'Rent Roll'!G141,"")</f>
        <v/>
      </c>
      <c r="AU615" s="1547" t="str">
        <f ca="1">IF('Rent Roll'!$AA141=1,'Rent Roll'!K141,"")</f>
        <v/>
      </c>
      <c r="AV615" s="1551" t="str">
        <f ca="1">IF('Rent Roll'!$AA141=1,'Rent Roll'!N141,"")</f>
        <v/>
      </c>
      <c r="AW615" s="5"/>
      <c r="AX615" s="6"/>
      <c r="AY615" s="32"/>
      <c r="AZ615" s="342"/>
      <c r="BA615" s="343"/>
      <c r="BB615" s="342"/>
      <c r="BC615" s="343"/>
      <c r="BD615" s="32"/>
      <c r="BE615" s="187"/>
      <c r="BF615" s="187"/>
    </row>
    <row r="616" spans="1:58" ht="15.95" hidden="1" customHeight="1" x14ac:dyDescent="0.25">
      <c r="A616" s="957">
        <f t="shared" ca="1" si="20"/>
        <v>0</v>
      </c>
      <c r="AQ616" s="4"/>
      <c r="AR616" s="5"/>
      <c r="AS616" s="5" t="str">
        <f ca="1">IF('Rent Roll'!$AA142=1,'Rent Roll'!E142,"")</f>
        <v/>
      </c>
      <c r="AT616" s="39" t="str">
        <f ca="1">IF('Rent Roll'!$AA142=1,'Rent Roll'!G142,"")</f>
        <v/>
      </c>
      <c r="AU616" s="1547" t="str">
        <f ca="1">IF('Rent Roll'!$AA142=1,'Rent Roll'!K142,"")</f>
        <v/>
      </c>
      <c r="AV616" s="1551" t="str">
        <f ca="1">IF('Rent Roll'!$AA142=1,'Rent Roll'!N142,"")</f>
        <v/>
      </c>
      <c r="AW616" s="5"/>
      <c r="AX616" s="6"/>
      <c r="AY616" s="32"/>
      <c r="AZ616" s="342"/>
      <c r="BA616" s="343"/>
      <c r="BB616" s="342"/>
      <c r="BC616" s="343"/>
      <c r="BD616" s="32"/>
      <c r="BE616" s="187"/>
      <c r="BF616" s="187"/>
    </row>
    <row r="617" spans="1:58" ht="15.95" hidden="1" customHeight="1" x14ac:dyDescent="0.25">
      <c r="A617" s="957">
        <f t="shared" ca="1" si="20"/>
        <v>0</v>
      </c>
      <c r="AQ617" s="4"/>
      <c r="AR617" s="5"/>
      <c r="AS617" s="5" t="str">
        <f ca="1">IF('Rent Roll'!$AA143=1,'Rent Roll'!E143,"")</f>
        <v/>
      </c>
      <c r="AT617" s="39" t="str">
        <f ca="1">IF('Rent Roll'!$AA143=1,'Rent Roll'!G143,"")</f>
        <v/>
      </c>
      <c r="AU617" s="1547" t="str">
        <f ca="1">IF('Rent Roll'!$AA143=1,'Rent Roll'!K143,"")</f>
        <v/>
      </c>
      <c r="AV617" s="1551" t="str">
        <f ca="1">IF('Rent Roll'!$AA143=1,'Rent Roll'!N143,"")</f>
        <v/>
      </c>
      <c r="AW617" s="5"/>
      <c r="AX617" s="6"/>
      <c r="AY617" s="32"/>
      <c r="AZ617" s="342"/>
      <c r="BA617" s="343"/>
      <c r="BB617" s="342"/>
      <c r="BC617" s="343"/>
      <c r="BD617" s="32"/>
      <c r="BE617" s="187"/>
      <c r="BF617" s="187"/>
    </row>
    <row r="618" spans="1:58" ht="15.95" hidden="1" customHeight="1" x14ac:dyDescent="0.25">
      <c r="A618" s="957">
        <f t="shared" ca="1" si="20"/>
        <v>0</v>
      </c>
      <c r="AQ618" s="4"/>
      <c r="AR618" s="5"/>
      <c r="AS618" s="5" t="str">
        <f ca="1">IF('Rent Roll'!$AA144=1,'Rent Roll'!E144,"")</f>
        <v/>
      </c>
      <c r="AT618" s="39" t="str">
        <f ca="1">IF('Rent Roll'!$AA144=1,'Rent Roll'!G144,"")</f>
        <v/>
      </c>
      <c r="AU618" s="1547" t="str">
        <f ca="1">IF('Rent Roll'!$AA144=1,'Rent Roll'!K144,"")</f>
        <v/>
      </c>
      <c r="AV618" s="1551" t="str">
        <f ca="1">IF('Rent Roll'!$AA144=1,'Rent Roll'!N144,"")</f>
        <v/>
      </c>
      <c r="AW618" s="5"/>
      <c r="AX618" s="6"/>
      <c r="AY618" s="32"/>
      <c r="AZ618" s="342"/>
      <c r="BA618" s="343"/>
      <c r="BB618" s="342"/>
      <c r="BC618" s="343"/>
      <c r="BD618" s="32"/>
      <c r="BE618" s="187"/>
      <c r="BF618" s="187"/>
    </row>
    <row r="619" spans="1:58" ht="15.95" hidden="1" customHeight="1" x14ac:dyDescent="0.25">
      <c r="A619" s="957">
        <f t="shared" ca="1" si="20"/>
        <v>0</v>
      </c>
      <c r="AQ619" s="4"/>
      <c r="AR619" s="5"/>
      <c r="AS619" s="5" t="str">
        <f ca="1">IF('Rent Roll'!$AA145=1,'Rent Roll'!E145,"")</f>
        <v/>
      </c>
      <c r="AT619" s="39" t="str">
        <f ca="1">IF('Rent Roll'!$AA145=1,'Rent Roll'!G145,"")</f>
        <v/>
      </c>
      <c r="AU619" s="1547" t="str">
        <f ca="1">IF('Rent Roll'!$AA145=1,'Rent Roll'!K145,"")</f>
        <v/>
      </c>
      <c r="AV619" s="1551" t="str">
        <f ca="1">IF('Rent Roll'!$AA145=1,'Rent Roll'!N145,"")</f>
        <v/>
      </c>
      <c r="AW619" s="5"/>
      <c r="AX619" s="6"/>
      <c r="AY619" s="32"/>
      <c r="AZ619" s="342"/>
      <c r="BA619" s="343"/>
      <c r="BB619" s="342"/>
      <c r="BC619" s="343"/>
      <c r="BD619" s="32"/>
      <c r="BE619" s="187"/>
      <c r="BF619" s="187"/>
    </row>
    <row r="620" spans="1:58" ht="15.95" hidden="1" customHeight="1" x14ac:dyDescent="0.25">
      <c r="A620" s="957">
        <f t="shared" ca="1" si="20"/>
        <v>0</v>
      </c>
      <c r="AQ620" s="4"/>
      <c r="AR620" s="5"/>
      <c r="AS620" s="5" t="str">
        <f ca="1">IF('Rent Roll'!$AA146=1,'Rent Roll'!E146,"")</f>
        <v/>
      </c>
      <c r="AT620" s="39" t="str">
        <f ca="1">IF('Rent Roll'!$AA146=1,'Rent Roll'!G146,"")</f>
        <v/>
      </c>
      <c r="AU620" s="1547" t="str">
        <f ca="1">IF('Rent Roll'!$AA146=1,'Rent Roll'!K146,"")</f>
        <v/>
      </c>
      <c r="AV620" s="1551" t="str">
        <f ca="1">IF('Rent Roll'!$AA146=1,'Rent Roll'!N146,"")</f>
        <v/>
      </c>
      <c r="AW620" s="5"/>
      <c r="AX620" s="6"/>
      <c r="AY620" s="32"/>
      <c r="AZ620" s="342"/>
      <c r="BA620" s="343"/>
      <c r="BB620" s="342"/>
      <c r="BC620" s="343"/>
      <c r="BD620" s="32"/>
      <c r="BE620" s="187"/>
      <c r="BF620" s="187"/>
    </row>
    <row r="621" spans="1:58" ht="15.95" hidden="1" customHeight="1" x14ac:dyDescent="0.25">
      <c r="A621" s="957">
        <f t="shared" ca="1" si="20"/>
        <v>0</v>
      </c>
      <c r="AQ621" s="4"/>
      <c r="AR621" s="5"/>
      <c r="AS621" s="5" t="str">
        <f ca="1">IF('Rent Roll'!$AA147=1,'Rent Roll'!E147,"")</f>
        <v/>
      </c>
      <c r="AT621" s="39" t="str">
        <f ca="1">IF('Rent Roll'!$AA147=1,'Rent Roll'!G147,"")</f>
        <v/>
      </c>
      <c r="AU621" s="1547" t="str">
        <f ca="1">IF('Rent Roll'!$AA147=1,'Rent Roll'!K147,"")</f>
        <v/>
      </c>
      <c r="AV621" s="1551" t="str">
        <f ca="1">IF('Rent Roll'!$AA147=1,'Rent Roll'!N147,"")</f>
        <v/>
      </c>
      <c r="AW621" s="5"/>
      <c r="AX621" s="6"/>
      <c r="AY621" s="32"/>
      <c r="AZ621" s="342"/>
      <c r="BA621" s="343"/>
      <c r="BB621" s="342"/>
      <c r="BC621" s="343"/>
      <c r="BD621" s="32"/>
      <c r="BE621" s="187"/>
      <c r="BF621" s="187"/>
    </row>
    <row r="622" spans="1:58" ht="15.95" hidden="1" customHeight="1" x14ac:dyDescent="0.25">
      <c r="A622" s="957">
        <f t="shared" ca="1" si="20"/>
        <v>0</v>
      </c>
      <c r="AQ622" s="4"/>
      <c r="AR622" s="5"/>
      <c r="AS622" s="5" t="str">
        <f ca="1">IF('Rent Roll'!$AA148=1,'Rent Roll'!E148,"")</f>
        <v/>
      </c>
      <c r="AT622" s="39" t="str">
        <f ca="1">IF('Rent Roll'!$AA148=1,'Rent Roll'!G148,"")</f>
        <v/>
      </c>
      <c r="AU622" s="1547" t="str">
        <f ca="1">IF('Rent Roll'!$AA148=1,'Rent Roll'!K148,"")</f>
        <v/>
      </c>
      <c r="AV622" s="1551" t="str">
        <f ca="1">IF('Rent Roll'!$AA148=1,'Rent Roll'!N148,"")</f>
        <v/>
      </c>
      <c r="AW622" s="5"/>
      <c r="AX622" s="6"/>
      <c r="AY622" s="32"/>
      <c r="AZ622" s="342"/>
      <c r="BA622" s="343"/>
      <c r="BB622" s="342"/>
      <c r="BC622" s="343"/>
      <c r="BD622" s="32"/>
      <c r="BE622" s="187"/>
      <c r="BF622" s="187"/>
    </row>
    <row r="623" spans="1:58" ht="15.95" hidden="1" customHeight="1" x14ac:dyDescent="0.25">
      <c r="A623" s="957">
        <f t="shared" ca="1" si="20"/>
        <v>0</v>
      </c>
      <c r="AQ623" s="4"/>
      <c r="AR623" s="5"/>
      <c r="AS623" s="5" t="str">
        <f ca="1">IF('Rent Roll'!$AA149=1,'Rent Roll'!E149,"")</f>
        <v/>
      </c>
      <c r="AT623" s="39" t="str">
        <f ca="1">IF('Rent Roll'!$AA149=1,'Rent Roll'!G149,"")</f>
        <v/>
      </c>
      <c r="AU623" s="1547" t="str">
        <f ca="1">IF('Rent Roll'!$AA149=1,'Rent Roll'!K149,"")</f>
        <v/>
      </c>
      <c r="AV623" s="1551" t="str">
        <f ca="1">IF('Rent Roll'!$AA149=1,'Rent Roll'!N149,"")</f>
        <v/>
      </c>
      <c r="AW623" s="5"/>
      <c r="AX623" s="6"/>
      <c r="AY623" s="32"/>
      <c r="AZ623" s="342"/>
      <c r="BA623" s="343"/>
      <c r="BB623" s="342"/>
      <c r="BC623" s="343"/>
      <c r="BD623" s="32"/>
      <c r="BE623" s="187"/>
      <c r="BF623" s="187"/>
    </row>
    <row r="624" spans="1:58" ht="15.95" hidden="1" customHeight="1" x14ac:dyDescent="0.25">
      <c r="A624" s="957">
        <f t="shared" ca="1" si="20"/>
        <v>0</v>
      </c>
      <c r="AQ624" s="4"/>
      <c r="AR624" s="5"/>
      <c r="AS624" s="5" t="str">
        <f ca="1">IF('Rent Roll'!$AA150=1,'Rent Roll'!E150,"")</f>
        <v/>
      </c>
      <c r="AT624" s="39" t="str">
        <f ca="1">IF('Rent Roll'!$AA150=1,'Rent Roll'!G150,"")</f>
        <v/>
      </c>
      <c r="AU624" s="1547" t="str">
        <f ca="1">IF('Rent Roll'!$AA150=1,'Rent Roll'!K150,"")</f>
        <v/>
      </c>
      <c r="AV624" s="1551" t="str">
        <f ca="1">IF('Rent Roll'!$AA150=1,'Rent Roll'!N150,"")</f>
        <v/>
      </c>
      <c r="AW624" s="5"/>
      <c r="AX624" s="6"/>
      <c r="AY624" s="32"/>
      <c r="AZ624" s="342"/>
      <c r="BA624" s="343"/>
      <c r="BB624" s="342"/>
      <c r="BC624" s="343"/>
      <c r="BD624" s="32"/>
      <c r="BE624" s="187"/>
      <c r="BF624" s="187"/>
    </row>
    <row r="625" spans="1:58" ht="15.95" hidden="1" customHeight="1" x14ac:dyDescent="0.25">
      <c r="A625" s="957">
        <f t="shared" ca="1" si="20"/>
        <v>0</v>
      </c>
      <c r="AQ625" s="4"/>
      <c r="AR625" s="5"/>
      <c r="AS625" s="5" t="str">
        <f ca="1">IF('Rent Roll'!$AA151=1,'Rent Roll'!E151,"")</f>
        <v/>
      </c>
      <c r="AT625" s="39" t="str">
        <f ca="1">IF('Rent Roll'!$AA151=1,'Rent Roll'!G151,"")</f>
        <v/>
      </c>
      <c r="AU625" s="1547" t="str">
        <f ca="1">IF('Rent Roll'!$AA151=1,'Rent Roll'!K151,"")</f>
        <v/>
      </c>
      <c r="AV625" s="1551" t="str">
        <f ca="1">IF('Rent Roll'!$AA151=1,'Rent Roll'!N151,"")</f>
        <v/>
      </c>
      <c r="AW625" s="5"/>
      <c r="AX625" s="6"/>
      <c r="AY625" s="32"/>
      <c r="AZ625" s="342"/>
      <c r="BA625" s="343"/>
      <c r="BB625" s="342"/>
      <c r="BC625" s="343"/>
      <c r="BD625" s="32"/>
      <c r="BE625" s="187"/>
      <c r="BF625" s="187"/>
    </row>
    <row r="626" spans="1:58" ht="15.95" hidden="1" customHeight="1" x14ac:dyDescent="0.25">
      <c r="A626" s="957">
        <f t="shared" ca="1" si="20"/>
        <v>0</v>
      </c>
      <c r="AQ626" s="4"/>
      <c r="AR626" s="5"/>
      <c r="AS626" s="5" t="str">
        <f ca="1">IF('Rent Roll'!$AA152=1,'Rent Roll'!E152,"")</f>
        <v/>
      </c>
      <c r="AT626" s="39" t="str">
        <f ca="1">IF('Rent Roll'!$AA152=1,'Rent Roll'!G152,"")</f>
        <v/>
      </c>
      <c r="AU626" s="1547" t="str">
        <f ca="1">IF('Rent Roll'!$AA152=1,'Rent Roll'!K152,"")</f>
        <v/>
      </c>
      <c r="AV626" s="1551" t="str">
        <f ca="1">IF('Rent Roll'!$AA152=1,'Rent Roll'!N152,"")</f>
        <v/>
      </c>
      <c r="AW626" s="5"/>
      <c r="AX626" s="6"/>
      <c r="AY626" s="32"/>
      <c r="AZ626" s="342"/>
      <c r="BA626" s="343"/>
      <c r="BB626" s="342"/>
      <c r="BC626" s="343"/>
      <c r="BD626" s="32"/>
      <c r="BE626" s="187"/>
      <c r="BF626" s="187"/>
    </row>
    <row r="627" spans="1:58" ht="15.95" hidden="1" customHeight="1" x14ac:dyDescent="0.25">
      <c r="A627" s="957">
        <f t="shared" ca="1" si="20"/>
        <v>0</v>
      </c>
      <c r="AQ627" s="4"/>
      <c r="AR627" s="5"/>
      <c r="AS627" s="5" t="str">
        <f ca="1">IF('Rent Roll'!$AA153=1,'Rent Roll'!E153,"")</f>
        <v/>
      </c>
      <c r="AT627" s="39" t="str">
        <f ca="1">IF('Rent Roll'!$AA153=1,'Rent Roll'!G153,"")</f>
        <v/>
      </c>
      <c r="AU627" s="1547" t="str">
        <f ca="1">IF('Rent Roll'!$AA153=1,'Rent Roll'!K153,"")</f>
        <v/>
      </c>
      <c r="AV627" s="1551" t="str">
        <f ca="1">IF('Rent Roll'!$AA153=1,'Rent Roll'!N153,"")</f>
        <v/>
      </c>
      <c r="AW627" s="5"/>
      <c r="AX627" s="6"/>
      <c r="AY627" s="32"/>
      <c r="AZ627" s="342"/>
      <c r="BA627" s="343"/>
      <c r="BB627" s="342"/>
      <c r="BC627" s="343"/>
      <c r="BD627" s="32"/>
      <c r="BE627" s="187"/>
      <c r="BF627" s="187"/>
    </row>
    <row r="628" spans="1:58" ht="15.95" hidden="1" customHeight="1" x14ac:dyDescent="0.25">
      <c r="A628" s="957">
        <f t="shared" ca="1" si="20"/>
        <v>0</v>
      </c>
      <c r="AQ628" s="4"/>
      <c r="AR628" s="5"/>
      <c r="AS628" s="5" t="str">
        <f ca="1">IF('Rent Roll'!$AA154=1,'Rent Roll'!E154,"")</f>
        <v/>
      </c>
      <c r="AT628" s="39" t="str">
        <f ca="1">IF('Rent Roll'!$AA154=1,'Rent Roll'!G154,"")</f>
        <v/>
      </c>
      <c r="AU628" s="1547" t="str">
        <f ca="1">IF('Rent Roll'!$AA154=1,'Rent Roll'!K154,"")</f>
        <v/>
      </c>
      <c r="AV628" s="1551" t="str">
        <f ca="1">IF('Rent Roll'!$AA154=1,'Rent Roll'!N154,"")</f>
        <v/>
      </c>
      <c r="AW628" s="5"/>
      <c r="AX628" s="6"/>
      <c r="AY628" s="32"/>
      <c r="AZ628" s="342"/>
      <c r="BA628" s="343"/>
      <c r="BB628" s="342"/>
      <c r="BC628" s="343"/>
      <c r="BD628" s="32"/>
      <c r="BE628" s="187"/>
      <c r="BF628" s="187"/>
    </row>
    <row r="629" spans="1:58" ht="15.95" hidden="1" customHeight="1" x14ac:dyDescent="0.25">
      <c r="A629" s="957">
        <f t="shared" ca="1" si="20"/>
        <v>0</v>
      </c>
      <c r="AQ629" s="4"/>
      <c r="AR629" s="5"/>
      <c r="AS629" s="5" t="str">
        <f ca="1">IF('Rent Roll'!$AA155=1,'Rent Roll'!E155,"")</f>
        <v/>
      </c>
      <c r="AT629" s="39" t="str">
        <f ca="1">IF('Rent Roll'!$AA155=1,'Rent Roll'!G155,"")</f>
        <v/>
      </c>
      <c r="AU629" s="1547" t="str">
        <f ca="1">IF('Rent Roll'!$AA155=1,'Rent Roll'!K155,"")</f>
        <v/>
      </c>
      <c r="AV629" s="1551" t="str">
        <f ca="1">IF('Rent Roll'!$AA155=1,'Rent Roll'!N155,"")</f>
        <v/>
      </c>
      <c r="AW629" s="5"/>
      <c r="AX629" s="6"/>
      <c r="AY629" s="32"/>
      <c r="AZ629" s="342"/>
      <c r="BA629" s="343"/>
      <c r="BB629" s="342"/>
      <c r="BC629" s="343"/>
      <c r="BD629" s="32"/>
      <c r="BE629" s="187"/>
      <c r="BF629" s="187"/>
    </row>
    <row r="630" spans="1:58" ht="15.95" hidden="1" customHeight="1" x14ac:dyDescent="0.25">
      <c r="A630" s="957">
        <f t="shared" ca="1" si="20"/>
        <v>0</v>
      </c>
      <c r="AQ630" s="4"/>
      <c r="AR630" s="5"/>
      <c r="AS630" s="5" t="str">
        <f ca="1">IF('Rent Roll'!$AA156=1,'Rent Roll'!E156,"")</f>
        <v/>
      </c>
      <c r="AT630" s="39" t="str">
        <f ca="1">IF('Rent Roll'!$AA156=1,'Rent Roll'!G156,"")</f>
        <v/>
      </c>
      <c r="AU630" s="1547" t="str">
        <f ca="1">IF('Rent Roll'!$AA156=1,'Rent Roll'!K156,"")</f>
        <v/>
      </c>
      <c r="AV630" s="1551" t="str">
        <f ca="1">IF('Rent Roll'!$AA156=1,'Rent Roll'!N156,"")</f>
        <v/>
      </c>
      <c r="AW630" s="5"/>
      <c r="AX630" s="6"/>
      <c r="AY630" s="32"/>
      <c r="AZ630" s="342"/>
      <c r="BA630" s="343"/>
      <c r="BB630" s="342"/>
      <c r="BC630" s="343"/>
      <c r="BD630" s="32"/>
      <c r="BE630" s="187"/>
      <c r="BF630" s="187"/>
    </row>
    <row r="631" spans="1:58" ht="15.95" hidden="1" customHeight="1" x14ac:dyDescent="0.25">
      <c r="A631" s="957">
        <f t="shared" ca="1" si="20"/>
        <v>0</v>
      </c>
      <c r="AQ631" s="4"/>
      <c r="AR631" s="5"/>
      <c r="AS631" s="5" t="str">
        <f ca="1">IF('Rent Roll'!$AA157=1,'Rent Roll'!E157,"")</f>
        <v/>
      </c>
      <c r="AT631" s="39" t="str">
        <f ca="1">IF('Rent Roll'!$AA157=1,'Rent Roll'!G157,"")</f>
        <v/>
      </c>
      <c r="AU631" s="1547" t="str">
        <f ca="1">IF('Rent Roll'!$AA157=1,'Rent Roll'!K157,"")</f>
        <v/>
      </c>
      <c r="AV631" s="1551" t="str">
        <f ca="1">IF('Rent Roll'!$AA157=1,'Rent Roll'!N157,"")</f>
        <v/>
      </c>
      <c r="AW631" s="5"/>
      <c r="AX631" s="6"/>
      <c r="AY631" s="32"/>
      <c r="AZ631" s="342"/>
      <c r="BA631" s="343"/>
      <c r="BB631" s="342"/>
      <c r="BC631" s="343"/>
      <c r="BD631" s="32"/>
      <c r="BE631" s="187"/>
      <c r="BF631" s="187"/>
    </row>
    <row r="632" spans="1:58" ht="15.95" hidden="1" customHeight="1" x14ac:dyDescent="0.25">
      <c r="A632" s="957">
        <f t="shared" ca="1" si="20"/>
        <v>0</v>
      </c>
      <c r="AQ632" s="4"/>
      <c r="AR632" s="5"/>
      <c r="AS632" s="5" t="str">
        <f ca="1">IF('Rent Roll'!$AA158=1,'Rent Roll'!E158,"")</f>
        <v/>
      </c>
      <c r="AT632" s="39" t="str">
        <f ca="1">IF('Rent Roll'!$AA158=1,'Rent Roll'!G158,"")</f>
        <v/>
      </c>
      <c r="AU632" s="1547" t="str">
        <f ca="1">IF('Rent Roll'!$AA158=1,'Rent Roll'!K158,"")</f>
        <v/>
      </c>
      <c r="AV632" s="1551" t="str">
        <f ca="1">IF('Rent Roll'!$AA158=1,'Rent Roll'!N158,"")</f>
        <v/>
      </c>
      <c r="AW632" s="5"/>
      <c r="AX632" s="6"/>
      <c r="AY632" s="32"/>
      <c r="AZ632" s="342"/>
      <c r="BA632" s="343"/>
      <c r="BB632" s="342"/>
      <c r="BC632" s="343"/>
      <c r="BD632" s="32"/>
      <c r="BE632" s="187"/>
      <c r="BF632" s="187"/>
    </row>
    <row r="633" spans="1:58" ht="15.95" hidden="1" customHeight="1" x14ac:dyDescent="0.25">
      <c r="A633" s="957">
        <f t="shared" ca="1" si="20"/>
        <v>0</v>
      </c>
      <c r="AQ633" s="4"/>
      <c r="AR633" s="5"/>
      <c r="AS633" s="5" t="str">
        <f ca="1">IF('Rent Roll'!$AA159=1,'Rent Roll'!E159,"")</f>
        <v/>
      </c>
      <c r="AT633" s="39" t="str">
        <f ca="1">IF('Rent Roll'!$AA159=1,'Rent Roll'!G159,"")</f>
        <v/>
      </c>
      <c r="AU633" s="1547" t="str">
        <f ca="1">IF('Rent Roll'!$AA159=1,'Rent Roll'!K159,"")</f>
        <v/>
      </c>
      <c r="AV633" s="1551" t="str">
        <f ca="1">IF('Rent Roll'!$AA159=1,'Rent Roll'!N159,"")</f>
        <v/>
      </c>
      <c r="AW633" s="5"/>
      <c r="AX633" s="6"/>
      <c r="AY633" s="32"/>
      <c r="AZ633" s="342"/>
      <c r="BA633" s="343"/>
      <c r="BB633" s="342"/>
      <c r="BC633" s="343"/>
      <c r="BD633" s="32"/>
      <c r="BE633" s="187"/>
      <c r="BF633" s="187"/>
    </row>
    <row r="634" spans="1:58" ht="15.95" hidden="1" customHeight="1" x14ac:dyDescent="0.25">
      <c r="A634" s="957">
        <f t="shared" ca="1" si="20"/>
        <v>0</v>
      </c>
      <c r="AQ634" s="4"/>
      <c r="AR634" s="5"/>
      <c r="AS634" s="5" t="str">
        <f ca="1">IF('Rent Roll'!$AA160=1,'Rent Roll'!E160,"")</f>
        <v/>
      </c>
      <c r="AT634" s="39" t="str">
        <f ca="1">IF('Rent Roll'!$AA160=1,'Rent Roll'!G160,"")</f>
        <v/>
      </c>
      <c r="AU634" s="1547" t="str">
        <f ca="1">IF('Rent Roll'!$AA160=1,'Rent Roll'!K160,"")</f>
        <v/>
      </c>
      <c r="AV634" s="1551" t="str">
        <f ca="1">IF('Rent Roll'!$AA160=1,'Rent Roll'!N160,"")</f>
        <v/>
      </c>
      <c r="AW634" s="5"/>
      <c r="AX634" s="6"/>
      <c r="AY634" s="32"/>
      <c r="AZ634" s="342"/>
      <c r="BA634" s="343"/>
      <c r="BB634" s="342"/>
      <c r="BC634" s="343"/>
      <c r="BD634" s="32"/>
      <c r="BE634" s="187"/>
      <c r="BF634" s="187"/>
    </row>
    <row r="635" spans="1:58" ht="15.95" hidden="1" customHeight="1" x14ac:dyDescent="0.25">
      <c r="A635" s="957">
        <f t="shared" ca="1" si="20"/>
        <v>0</v>
      </c>
      <c r="AQ635" s="4"/>
      <c r="AR635" s="5"/>
      <c r="AS635" s="5" t="str">
        <f ca="1">IF('Rent Roll'!$AA161=1,'Rent Roll'!E161,"")</f>
        <v/>
      </c>
      <c r="AT635" s="39" t="str">
        <f ca="1">IF('Rent Roll'!$AA161=1,'Rent Roll'!G161,"")</f>
        <v/>
      </c>
      <c r="AU635" s="1547" t="str">
        <f ca="1">IF('Rent Roll'!$AA161=1,'Rent Roll'!K161,"")</f>
        <v/>
      </c>
      <c r="AV635" s="1551" t="str">
        <f ca="1">IF('Rent Roll'!$AA161=1,'Rent Roll'!N161,"")</f>
        <v/>
      </c>
      <c r="AW635" s="5"/>
      <c r="AX635" s="6"/>
      <c r="AY635" s="32"/>
      <c r="AZ635" s="342"/>
      <c r="BA635" s="343"/>
      <c r="BB635" s="342"/>
      <c r="BC635" s="343"/>
      <c r="BD635" s="32"/>
      <c r="BE635" s="187"/>
      <c r="BF635" s="187"/>
    </row>
    <row r="636" spans="1:58" ht="15.95" hidden="1" customHeight="1" x14ac:dyDescent="0.25">
      <c r="A636" s="957">
        <f t="shared" ca="1" si="20"/>
        <v>0</v>
      </c>
      <c r="AQ636" s="4"/>
      <c r="AR636" s="5"/>
      <c r="AS636" s="5" t="str">
        <f ca="1">IF('Rent Roll'!$AA162=1,'Rent Roll'!E162,"")</f>
        <v/>
      </c>
      <c r="AT636" s="39" t="str">
        <f ca="1">IF('Rent Roll'!$AA162=1,'Rent Roll'!G162,"")</f>
        <v/>
      </c>
      <c r="AU636" s="1547" t="str">
        <f ca="1">IF('Rent Roll'!$AA162=1,'Rent Roll'!K162,"")</f>
        <v/>
      </c>
      <c r="AV636" s="1551" t="str">
        <f ca="1">IF('Rent Roll'!$AA162=1,'Rent Roll'!N162,"")</f>
        <v/>
      </c>
      <c r="AW636" s="5"/>
      <c r="AX636" s="6"/>
      <c r="AY636" s="32"/>
      <c r="AZ636" s="342"/>
      <c r="BA636" s="343"/>
      <c r="BB636" s="342"/>
      <c r="BC636" s="343"/>
      <c r="BD636" s="32"/>
      <c r="BE636" s="187"/>
      <c r="BF636" s="187"/>
    </row>
    <row r="637" spans="1:58" ht="15.95" hidden="1" customHeight="1" x14ac:dyDescent="0.25">
      <c r="A637" s="957">
        <f t="shared" ca="1" si="20"/>
        <v>0</v>
      </c>
      <c r="AQ637" s="4"/>
      <c r="AR637" s="5"/>
      <c r="AS637" s="5" t="str">
        <f ca="1">IF('Rent Roll'!$AA163=1,'Rent Roll'!E163,"")</f>
        <v/>
      </c>
      <c r="AT637" s="39" t="str">
        <f ca="1">IF('Rent Roll'!$AA163=1,'Rent Roll'!G163,"")</f>
        <v/>
      </c>
      <c r="AU637" s="1547" t="str">
        <f ca="1">IF('Rent Roll'!$AA163=1,'Rent Roll'!K163,"")</f>
        <v/>
      </c>
      <c r="AV637" s="1551" t="str">
        <f ca="1">IF('Rent Roll'!$AA163=1,'Rent Roll'!N163,"")</f>
        <v/>
      </c>
      <c r="AW637" s="5"/>
      <c r="AX637" s="6"/>
      <c r="AY637" s="32"/>
      <c r="AZ637" s="342"/>
      <c r="BA637" s="343"/>
      <c r="BB637" s="342"/>
      <c r="BC637" s="343"/>
      <c r="BD637" s="32"/>
      <c r="BE637" s="187"/>
      <c r="BF637" s="187"/>
    </row>
    <row r="638" spans="1:58" ht="15.95" hidden="1" customHeight="1" x14ac:dyDescent="0.25">
      <c r="A638" s="957">
        <f t="shared" ca="1" si="20"/>
        <v>0</v>
      </c>
      <c r="AQ638" s="4"/>
      <c r="AR638" s="5"/>
      <c r="AS638" s="5" t="str">
        <f ca="1">IF('Rent Roll'!$AA164=1,'Rent Roll'!E164,"")</f>
        <v/>
      </c>
      <c r="AT638" s="39" t="str">
        <f ca="1">IF('Rent Roll'!$AA164=1,'Rent Roll'!G164,"")</f>
        <v/>
      </c>
      <c r="AU638" s="1547" t="str">
        <f ca="1">IF('Rent Roll'!$AA164=1,'Rent Roll'!K164,"")</f>
        <v/>
      </c>
      <c r="AV638" s="1551" t="str">
        <f ca="1">IF('Rent Roll'!$AA164=1,'Rent Roll'!N164,"")</f>
        <v/>
      </c>
      <c r="AW638" s="5"/>
      <c r="AX638" s="6"/>
      <c r="AY638" s="32"/>
      <c r="AZ638" s="342"/>
      <c r="BA638" s="343"/>
      <c r="BB638" s="342"/>
      <c r="BC638" s="343"/>
      <c r="BD638" s="32"/>
      <c r="BE638" s="187"/>
      <c r="BF638" s="187"/>
    </row>
    <row r="639" spans="1:58" ht="15.95" hidden="1" customHeight="1" x14ac:dyDescent="0.25">
      <c r="A639" s="957">
        <f t="shared" ca="1" si="20"/>
        <v>0</v>
      </c>
      <c r="AQ639" s="4"/>
      <c r="AR639" s="5"/>
      <c r="AS639" s="5" t="str">
        <f ca="1">IF('Rent Roll'!$AA165=1,'Rent Roll'!E165,"")</f>
        <v/>
      </c>
      <c r="AT639" s="39" t="str">
        <f ca="1">IF('Rent Roll'!$AA165=1,'Rent Roll'!G165,"")</f>
        <v/>
      </c>
      <c r="AU639" s="1547" t="str">
        <f ca="1">IF('Rent Roll'!$AA165=1,'Rent Roll'!K165,"")</f>
        <v/>
      </c>
      <c r="AV639" s="1551" t="str">
        <f ca="1">IF('Rent Roll'!$AA165=1,'Rent Roll'!N165,"")</f>
        <v/>
      </c>
      <c r="AW639" s="5"/>
      <c r="AX639" s="6"/>
      <c r="AY639" s="32"/>
      <c r="AZ639" s="342"/>
      <c r="BA639" s="343"/>
      <c r="BB639" s="342"/>
      <c r="BC639" s="343"/>
      <c r="BD639" s="32"/>
      <c r="BE639" s="187"/>
      <c r="BF639" s="187"/>
    </row>
    <row r="640" spans="1:58" ht="15.95" hidden="1" customHeight="1" x14ac:dyDescent="0.25">
      <c r="A640" s="957">
        <f t="shared" ca="1" si="20"/>
        <v>0</v>
      </c>
      <c r="AQ640" s="4"/>
      <c r="AR640" s="5"/>
      <c r="AS640" s="5" t="str">
        <f ca="1">IF('Rent Roll'!$AA166=1,'Rent Roll'!E166,"")</f>
        <v/>
      </c>
      <c r="AT640" s="39" t="str">
        <f ca="1">IF('Rent Roll'!$AA166=1,'Rent Roll'!G166,"")</f>
        <v/>
      </c>
      <c r="AU640" s="1547" t="str">
        <f ca="1">IF('Rent Roll'!$AA166=1,'Rent Roll'!K166,"")</f>
        <v/>
      </c>
      <c r="AV640" s="1551" t="str">
        <f ca="1">IF('Rent Roll'!$AA166=1,'Rent Roll'!N166,"")</f>
        <v/>
      </c>
      <c r="AW640" s="5"/>
      <c r="AX640" s="6"/>
      <c r="AY640" s="32"/>
      <c r="AZ640" s="342"/>
      <c r="BA640" s="343"/>
      <c r="BB640" s="342"/>
      <c r="BC640" s="343"/>
      <c r="BD640" s="32"/>
      <c r="BE640" s="187"/>
      <c r="BF640" s="187"/>
    </row>
    <row r="641" spans="1:58" ht="15.95" hidden="1" customHeight="1" x14ac:dyDescent="0.25">
      <c r="A641" s="957">
        <f t="shared" ref="A641:A672" ca="1" si="21">IF(AS641="",0,1)</f>
        <v>0</v>
      </c>
      <c r="AQ641" s="4"/>
      <c r="AR641" s="5"/>
      <c r="AS641" s="5" t="str">
        <f ca="1">IF('Rent Roll'!$AA167=1,'Rent Roll'!E167,"")</f>
        <v/>
      </c>
      <c r="AT641" s="39" t="str">
        <f ca="1">IF('Rent Roll'!$AA167=1,'Rent Roll'!G167,"")</f>
        <v/>
      </c>
      <c r="AU641" s="1547" t="str">
        <f ca="1">IF('Rent Roll'!$AA167=1,'Rent Roll'!K167,"")</f>
        <v/>
      </c>
      <c r="AV641" s="1551" t="str">
        <f ca="1">IF('Rent Roll'!$AA167=1,'Rent Roll'!N167,"")</f>
        <v/>
      </c>
      <c r="AW641" s="5"/>
      <c r="AX641" s="6"/>
      <c r="AY641" s="32"/>
      <c r="AZ641" s="342"/>
      <c r="BA641" s="343"/>
      <c r="BB641" s="342"/>
      <c r="BC641" s="343"/>
      <c r="BD641" s="32"/>
      <c r="BE641" s="187"/>
      <c r="BF641" s="187"/>
    </row>
    <row r="642" spans="1:58" ht="15.95" hidden="1" customHeight="1" x14ac:dyDescent="0.25">
      <c r="A642" s="957">
        <f t="shared" ca="1" si="21"/>
        <v>0</v>
      </c>
      <c r="AQ642" s="4"/>
      <c r="AR642" s="5"/>
      <c r="AS642" s="5" t="str">
        <f ca="1">IF('Rent Roll'!$AA168=1,'Rent Roll'!E168,"")</f>
        <v/>
      </c>
      <c r="AT642" s="39" t="str">
        <f ca="1">IF('Rent Roll'!$AA168=1,'Rent Roll'!G168,"")</f>
        <v/>
      </c>
      <c r="AU642" s="1547" t="str">
        <f ca="1">IF('Rent Roll'!$AA168=1,'Rent Roll'!K168,"")</f>
        <v/>
      </c>
      <c r="AV642" s="1551" t="str">
        <f ca="1">IF('Rent Roll'!$AA168=1,'Rent Roll'!N168,"")</f>
        <v/>
      </c>
      <c r="AW642" s="5"/>
      <c r="AX642" s="6"/>
      <c r="AY642" s="32"/>
      <c r="AZ642" s="342"/>
      <c r="BA642" s="343"/>
      <c r="BB642" s="342"/>
      <c r="BC642" s="343"/>
      <c r="BD642" s="32"/>
      <c r="BE642" s="187"/>
      <c r="BF642" s="187"/>
    </row>
    <row r="643" spans="1:58" ht="15.95" hidden="1" customHeight="1" x14ac:dyDescent="0.25">
      <c r="A643" s="957">
        <f t="shared" ca="1" si="21"/>
        <v>0</v>
      </c>
      <c r="AQ643" s="4"/>
      <c r="AR643" s="5"/>
      <c r="AS643" s="5" t="str">
        <f ca="1">IF('Rent Roll'!$AA169=1,'Rent Roll'!E169,"")</f>
        <v/>
      </c>
      <c r="AT643" s="39" t="str">
        <f ca="1">IF('Rent Roll'!$AA169=1,'Rent Roll'!G169,"")</f>
        <v/>
      </c>
      <c r="AU643" s="1547" t="str">
        <f ca="1">IF('Rent Roll'!$AA169=1,'Rent Roll'!K169,"")</f>
        <v/>
      </c>
      <c r="AV643" s="1551" t="str">
        <f ca="1">IF('Rent Roll'!$AA169=1,'Rent Roll'!N169,"")</f>
        <v/>
      </c>
      <c r="AW643" s="5"/>
      <c r="AX643" s="6"/>
      <c r="AY643" s="32"/>
      <c r="AZ643" s="342"/>
      <c r="BA643" s="343"/>
      <c r="BB643" s="342"/>
      <c r="BC643" s="343"/>
      <c r="BD643" s="32"/>
      <c r="BE643" s="187"/>
      <c r="BF643" s="187"/>
    </row>
    <row r="644" spans="1:58" ht="15.95" hidden="1" customHeight="1" x14ac:dyDescent="0.25">
      <c r="A644" s="957">
        <f t="shared" ca="1" si="21"/>
        <v>0</v>
      </c>
      <c r="AQ644" s="4"/>
      <c r="AR644" s="5"/>
      <c r="AS644" s="5" t="str">
        <f ca="1">IF('Rent Roll'!$AA170=1,'Rent Roll'!E170,"")</f>
        <v/>
      </c>
      <c r="AT644" s="39" t="str">
        <f ca="1">IF('Rent Roll'!$AA170=1,'Rent Roll'!G170,"")</f>
        <v/>
      </c>
      <c r="AU644" s="1547" t="str">
        <f ca="1">IF('Rent Roll'!$AA170=1,'Rent Roll'!K170,"")</f>
        <v/>
      </c>
      <c r="AV644" s="1551" t="str">
        <f ca="1">IF('Rent Roll'!$AA170=1,'Rent Roll'!N170,"")</f>
        <v/>
      </c>
      <c r="AW644" s="5"/>
      <c r="AX644" s="6"/>
      <c r="AY644" s="32"/>
      <c r="AZ644" s="342"/>
      <c r="BA644" s="343"/>
      <c r="BB644" s="342"/>
      <c r="BC644" s="343"/>
      <c r="BD644" s="32"/>
      <c r="BE644" s="187"/>
      <c r="BF644" s="187"/>
    </row>
    <row r="645" spans="1:58" ht="15.95" hidden="1" customHeight="1" x14ac:dyDescent="0.25">
      <c r="A645" s="957">
        <f t="shared" ca="1" si="21"/>
        <v>0</v>
      </c>
      <c r="AQ645" s="4"/>
      <c r="AR645" s="5"/>
      <c r="AS645" s="5" t="str">
        <f ca="1">IF('Rent Roll'!$AA171=1,'Rent Roll'!E171,"")</f>
        <v/>
      </c>
      <c r="AT645" s="39" t="str">
        <f ca="1">IF('Rent Roll'!$AA171=1,'Rent Roll'!G171,"")</f>
        <v/>
      </c>
      <c r="AU645" s="1547" t="str">
        <f ca="1">IF('Rent Roll'!$AA171=1,'Rent Roll'!K171,"")</f>
        <v/>
      </c>
      <c r="AV645" s="1551" t="str">
        <f ca="1">IF('Rent Roll'!$AA171=1,'Rent Roll'!N171,"")</f>
        <v/>
      </c>
      <c r="AW645" s="5"/>
      <c r="AX645" s="6"/>
      <c r="AY645" s="32"/>
      <c r="AZ645" s="342"/>
      <c r="BA645" s="343"/>
      <c r="BB645" s="342"/>
      <c r="BC645" s="343"/>
      <c r="BD645" s="32"/>
      <c r="BE645" s="187"/>
      <c r="BF645" s="187"/>
    </row>
    <row r="646" spans="1:58" ht="15.95" hidden="1" customHeight="1" x14ac:dyDescent="0.25">
      <c r="A646" s="957">
        <f t="shared" ca="1" si="21"/>
        <v>0</v>
      </c>
      <c r="AQ646" s="4"/>
      <c r="AR646" s="5"/>
      <c r="AS646" s="5" t="str">
        <f ca="1">IF('Rent Roll'!$AA172=1,'Rent Roll'!E172,"")</f>
        <v/>
      </c>
      <c r="AT646" s="39" t="str">
        <f ca="1">IF('Rent Roll'!$AA172=1,'Rent Roll'!G172,"")</f>
        <v/>
      </c>
      <c r="AU646" s="1547" t="str">
        <f ca="1">IF('Rent Roll'!$AA172=1,'Rent Roll'!K172,"")</f>
        <v/>
      </c>
      <c r="AV646" s="1551" t="str">
        <f ca="1">IF('Rent Roll'!$AA172=1,'Rent Roll'!N172,"")</f>
        <v/>
      </c>
      <c r="AW646" s="5"/>
      <c r="AX646" s="6"/>
      <c r="AY646" s="32"/>
      <c r="AZ646" s="342"/>
      <c r="BA646" s="343"/>
      <c r="BB646" s="342"/>
      <c r="BC646" s="343"/>
      <c r="BD646" s="32"/>
      <c r="BE646" s="187"/>
      <c r="BF646" s="187"/>
    </row>
    <row r="647" spans="1:58" ht="15.95" hidden="1" customHeight="1" x14ac:dyDescent="0.25">
      <c r="A647" s="957">
        <f t="shared" ca="1" si="21"/>
        <v>0</v>
      </c>
      <c r="AQ647" s="4"/>
      <c r="AR647" s="5"/>
      <c r="AS647" s="5" t="str">
        <f ca="1">IF('Rent Roll'!$AA173=1,'Rent Roll'!E173,"")</f>
        <v/>
      </c>
      <c r="AT647" s="39" t="str">
        <f ca="1">IF('Rent Roll'!$AA173=1,'Rent Roll'!G173,"")</f>
        <v/>
      </c>
      <c r="AU647" s="1547" t="str">
        <f ca="1">IF('Rent Roll'!$AA173=1,'Rent Roll'!K173,"")</f>
        <v/>
      </c>
      <c r="AV647" s="1551" t="str">
        <f ca="1">IF('Rent Roll'!$AA173=1,'Rent Roll'!N173,"")</f>
        <v/>
      </c>
      <c r="AW647" s="5"/>
      <c r="AX647" s="6"/>
      <c r="AY647" s="32"/>
      <c r="AZ647" s="342"/>
      <c r="BA647" s="343"/>
      <c r="BB647" s="342"/>
      <c r="BC647" s="343"/>
      <c r="BD647" s="32"/>
      <c r="BE647" s="187"/>
      <c r="BF647" s="187"/>
    </row>
    <row r="648" spans="1:58" ht="15.95" hidden="1" customHeight="1" x14ac:dyDescent="0.25">
      <c r="A648" s="957">
        <f t="shared" ca="1" si="21"/>
        <v>0</v>
      </c>
      <c r="AQ648" s="4"/>
      <c r="AR648" s="5"/>
      <c r="AS648" s="5" t="str">
        <f ca="1">IF('Rent Roll'!$AA174=1,'Rent Roll'!E174,"")</f>
        <v/>
      </c>
      <c r="AT648" s="39" t="str">
        <f ca="1">IF('Rent Roll'!$AA174=1,'Rent Roll'!G174,"")</f>
        <v/>
      </c>
      <c r="AU648" s="1547" t="str">
        <f ca="1">IF('Rent Roll'!$AA174=1,'Rent Roll'!K174,"")</f>
        <v/>
      </c>
      <c r="AV648" s="1551" t="str">
        <f ca="1">IF('Rent Roll'!$AA174=1,'Rent Roll'!N174,"")</f>
        <v/>
      </c>
      <c r="AW648" s="5"/>
      <c r="AX648" s="6"/>
      <c r="AY648" s="32"/>
      <c r="AZ648" s="342"/>
      <c r="BA648" s="343"/>
      <c r="BB648" s="342"/>
      <c r="BC648" s="343"/>
      <c r="BD648" s="32"/>
      <c r="BE648" s="187"/>
      <c r="BF648" s="187"/>
    </row>
    <row r="649" spans="1:58" ht="15.95" hidden="1" customHeight="1" x14ac:dyDescent="0.25">
      <c r="A649" s="957">
        <f t="shared" ca="1" si="21"/>
        <v>0</v>
      </c>
      <c r="AQ649" s="4"/>
      <c r="AR649" s="5"/>
      <c r="AS649" s="5" t="str">
        <f ca="1">IF('Rent Roll'!$AA175=1,'Rent Roll'!E175,"")</f>
        <v/>
      </c>
      <c r="AT649" s="39" t="str">
        <f ca="1">IF('Rent Roll'!$AA175=1,'Rent Roll'!G175,"")</f>
        <v/>
      </c>
      <c r="AU649" s="1547" t="str">
        <f ca="1">IF('Rent Roll'!$AA175=1,'Rent Roll'!K175,"")</f>
        <v/>
      </c>
      <c r="AV649" s="1551" t="str">
        <f ca="1">IF('Rent Roll'!$AA175=1,'Rent Roll'!N175,"")</f>
        <v/>
      </c>
      <c r="AW649" s="5"/>
      <c r="AX649" s="6"/>
      <c r="AY649" s="32"/>
      <c r="AZ649" s="342"/>
      <c r="BA649" s="343"/>
      <c r="BB649" s="342"/>
      <c r="BC649" s="343"/>
      <c r="BD649" s="32"/>
      <c r="BE649" s="187"/>
      <c r="BF649" s="187"/>
    </row>
    <row r="650" spans="1:58" ht="15.95" hidden="1" customHeight="1" x14ac:dyDescent="0.25">
      <c r="A650" s="957">
        <f t="shared" ca="1" si="21"/>
        <v>0</v>
      </c>
      <c r="AQ650" s="4"/>
      <c r="AR650" s="5"/>
      <c r="AS650" s="5" t="str">
        <f ca="1">IF('Rent Roll'!$AA176=1,'Rent Roll'!E176,"")</f>
        <v/>
      </c>
      <c r="AT650" s="39" t="str">
        <f ca="1">IF('Rent Roll'!$AA176=1,'Rent Roll'!G176,"")</f>
        <v/>
      </c>
      <c r="AU650" s="1547" t="str">
        <f ca="1">IF('Rent Roll'!$AA176=1,'Rent Roll'!K176,"")</f>
        <v/>
      </c>
      <c r="AV650" s="1551" t="str">
        <f ca="1">IF('Rent Roll'!$AA176=1,'Rent Roll'!N176,"")</f>
        <v/>
      </c>
      <c r="AW650" s="5"/>
      <c r="AX650" s="6"/>
      <c r="AY650" s="32"/>
      <c r="AZ650" s="342"/>
      <c r="BA650" s="343"/>
      <c r="BB650" s="342"/>
      <c r="BC650" s="343"/>
      <c r="BD650" s="32"/>
      <c r="BE650" s="187"/>
      <c r="BF650" s="187"/>
    </row>
    <row r="651" spans="1:58" ht="15.95" hidden="1" customHeight="1" x14ac:dyDescent="0.25">
      <c r="A651" s="957">
        <f t="shared" ca="1" si="21"/>
        <v>0</v>
      </c>
      <c r="AQ651" s="4"/>
      <c r="AR651" s="5"/>
      <c r="AS651" s="5" t="str">
        <f ca="1">IF('Rent Roll'!$AA177=1,'Rent Roll'!E177,"")</f>
        <v/>
      </c>
      <c r="AT651" s="39" t="str">
        <f ca="1">IF('Rent Roll'!$AA177=1,'Rent Roll'!G177,"")</f>
        <v/>
      </c>
      <c r="AU651" s="1547" t="str">
        <f ca="1">IF('Rent Roll'!$AA177=1,'Rent Roll'!K177,"")</f>
        <v/>
      </c>
      <c r="AV651" s="1551" t="str">
        <f ca="1">IF('Rent Roll'!$AA177=1,'Rent Roll'!N177,"")</f>
        <v/>
      </c>
      <c r="AW651" s="5"/>
      <c r="AX651" s="6"/>
      <c r="AY651" s="32"/>
      <c r="AZ651" s="342"/>
      <c r="BA651" s="343"/>
      <c r="BB651" s="342"/>
      <c r="BC651" s="343"/>
      <c r="BD651" s="32"/>
      <c r="BE651" s="187"/>
      <c r="BF651" s="187"/>
    </row>
    <row r="652" spans="1:58" ht="15.95" hidden="1" customHeight="1" x14ac:dyDescent="0.25">
      <c r="A652" s="957">
        <f t="shared" ca="1" si="21"/>
        <v>0</v>
      </c>
      <c r="AQ652" s="4"/>
      <c r="AR652" s="5"/>
      <c r="AS652" s="5" t="str">
        <f ca="1">IF('Rent Roll'!$AA178=1,'Rent Roll'!E178,"")</f>
        <v/>
      </c>
      <c r="AT652" s="39" t="str">
        <f ca="1">IF('Rent Roll'!$AA178=1,'Rent Roll'!G178,"")</f>
        <v/>
      </c>
      <c r="AU652" s="1547" t="str">
        <f ca="1">IF('Rent Roll'!$AA178=1,'Rent Roll'!K178,"")</f>
        <v/>
      </c>
      <c r="AV652" s="1551" t="str">
        <f ca="1">IF('Rent Roll'!$AA178=1,'Rent Roll'!N178,"")</f>
        <v/>
      </c>
      <c r="AW652" s="5"/>
      <c r="AX652" s="6"/>
      <c r="AY652" s="32"/>
      <c r="AZ652" s="342"/>
      <c r="BA652" s="343"/>
      <c r="BB652" s="342"/>
      <c r="BC652" s="343"/>
      <c r="BD652" s="32"/>
      <c r="BE652" s="187"/>
      <c r="BF652" s="187"/>
    </row>
    <row r="653" spans="1:58" ht="15.95" hidden="1" customHeight="1" x14ac:dyDescent="0.25">
      <c r="A653" s="957">
        <f t="shared" ca="1" si="21"/>
        <v>0</v>
      </c>
      <c r="AQ653" s="4"/>
      <c r="AR653" s="5"/>
      <c r="AS653" s="5" t="str">
        <f ca="1">IF('Rent Roll'!$AA179=1,'Rent Roll'!E179,"")</f>
        <v/>
      </c>
      <c r="AT653" s="39" t="str">
        <f ca="1">IF('Rent Roll'!$AA179=1,'Rent Roll'!G179,"")</f>
        <v/>
      </c>
      <c r="AU653" s="1547" t="str">
        <f ca="1">IF('Rent Roll'!$AA179=1,'Rent Roll'!K179,"")</f>
        <v/>
      </c>
      <c r="AV653" s="1551" t="str">
        <f ca="1">IF('Rent Roll'!$AA179=1,'Rent Roll'!N179,"")</f>
        <v/>
      </c>
      <c r="AW653" s="5"/>
      <c r="AX653" s="6"/>
      <c r="AY653" s="32"/>
      <c r="AZ653" s="342"/>
      <c r="BA653" s="343"/>
      <c r="BB653" s="342"/>
      <c r="BC653" s="343"/>
      <c r="BD653" s="32"/>
      <c r="BE653" s="187"/>
      <c r="BF653" s="187"/>
    </row>
    <row r="654" spans="1:58" ht="15.95" hidden="1" customHeight="1" x14ac:dyDescent="0.25">
      <c r="A654" s="957">
        <f t="shared" ca="1" si="21"/>
        <v>0</v>
      </c>
      <c r="AQ654" s="4"/>
      <c r="AR654" s="5"/>
      <c r="AS654" s="5" t="str">
        <f ca="1">IF('Rent Roll'!$AA180=1,'Rent Roll'!E180,"")</f>
        <v/>
      </c>
      <c r="AT654" s="39" t="str">
        <f ca="1">IF('Rent Roll'!$AA180=1,'Rent Roll'!G180,"")</f>
        <v/>
      </c>
      <c r="AU654" s="1547" t="str">
        <f ca="1">IF('Rent Roll'!$AA180=1,'Rent Roll'!K180,"")</f>
        <v/>
      </c>
      <c r="AV654" s="1551" t="str">
        <f ca="1">IF('Rent Roll'!$AA180=1,'Rent Roll'!N180,"")</f>
        <v/>
      </c>
      <c r="AW654" s="5"/>
      <c r="AX654" s="6"/>
      <c r="AY654" s="32"/>
      <c r="AZ654" s="342"/>
      <c r="BA654" s="343"/>
      <c r="BB654" s="342"/>
      <c r="BC654" s="343"/>
      <c r="BD654" s="32"/>
      <c r="BE654" s="187"/>
      <c r="BF654" s="187"/>
    </row>
    <row r="655" spans="1:58" ht="15.95" hidden="1" customHeight="1" x14ac:dyDescent="0.25">
      <c r="A655" s="957">
        <f t="shared" ca="1" si="21"/>
        <v>0</v>
      </c>
      <c r="AQ655" s="4"/>
      <c r="AR655" s="5"/>
      <c r="AS655" s="5" t="str">
        <f ca="1">IF('Rent Roll'!$AA181=1,'Rent Roll'!E181,"")</f>
        <v/>
      </c>
      <c r="AT655" s="39" t="str">
        <f ca="1">IF('Rent Roll'!$AA181=1,'Rent Roll'!G181,"")</f>
        <v/>
      </c>
      <c r="AU655" s="1547" t="str">
        <f ca="1">IF('Rent Roll'!$AA181=1,'Rent Roll'!K181,"")</f>
        <v/>
      </c>
      <c r="AV655" s="1551" t="str">
        <f ca="1">IF('Rent Roll'!$AA181=1,'Rent Roll'!N181,"")</f>
        <v/>
      </c>
      <c r="AW655" s="5"/>
      <c r="AX655" s="6"/>
      <c r="AY655" s="32"/>
      <c r="AZ655" s="342"/>
      <c r="BA655" s="343"/>
      <c r="BB655" s="342"/>
      <c r="BC655" s="343"/>
      <c r="BD655" s="32"/>
      <c r="BE655" s="187"/>
      <c r="BF655" s="187"/>
    </row>
    <row r="656" spans="1:58" ht="15.95" hidden="1" customHeight="1" x14ac:dyDescent="0.25">
      <c r="A656" s="957">
        <f t="shared" ca="1" si="21"/>
        <v>0</v>
      </c>
      <c r="AQ656" s="4"/>
      <c r="AR656" s="5"/>
      <c r="AS656" s="5" t="str">
        <f ca="1">IF('Rent Roll'!$AA182=1,'Rent Roll'!E182,"")</f>
        <v/>
      </c>
      <c r="AT656" s="39" t="str">
        <f ca="1">IF('Rent Roll'!$AA182=1,'Rent Roll'!G182,"")</f>
        <v/>
      </c>
      <c r="AU656" s="1547" t="str">
        <f ca="1">IF('Rent Roll'!$AA182=1,'Rent Roll'!K182,"")</f>
        <v/>
      </c>
      <c r="AV656" s="1551" t="str">
        <f ca="1">IF('Rent Roll'!$AA182=1,'Rent Roll'!N182,"")</f>
        <v/>
      </c>
      <c r="AW656" s="5"/>
      <c r="AX656" s="6"/>
      <c r="AY656" s="32"/>
      <c r="AZ656" s="342"/>
      <c r="BA656" s="343"/>
      <c r="BB656" s="342"/>
      <c r="BC656" s="343"/>
      <c r="BD656" s="32"/>
      <c r="BE656" s="187"/>
      <c r="BF656" s="187"/>
    </row>
    <row r="657" spans="1:58" ht="15.95" hidden="1" customHeight="1" x14ac:dyDescent="0.25">
      <c r="A657" s="957">
        <f t="shared" ca="1" si="21"/>
        <v>0</v>
      </c>
      <c r="AQ657" s="4"/>
      <c r="AR657" s="5"/>
      <c r="AS657" s="5" t="str">
        <f ca="1">IF('Rent Roll'!$AA183=1,'Rent Roll'!E183,"")</f>
        <v/>
      </c>
      <c r="AT657" s="39" t="str">
        <f ca="1">IF('Rent Roll'!$AA183=1,'Rent Roll'!G183,"")</f>
        <v/>
      </c>
      <c r="AU657" s="1547" t="str">
        <f ca="1">IF('Rent Roll'!$AA183=1,'Rent Roll'!K183,"")</f>
        <v/>
      </c>
      <c r="AV657" s="1551" t="str">
        <f ca="1">IF('Rent Roll'!$AA183=1,'Rent Roll'!N183,"")</f>
        <v/>
      </c>
      <c r="AW657" s="5"/>
      <c r="AX657" s="6"/>
      <c r="AY657" s="32"/>
      <c r="AZ657" s="342"/>
      <c r="BA657" s="343"/>
      <c r="BB657" s="342"/>
      <c r="BC657" s="343"/>
      <c r="BD657" s="32"/>
      <c r="BE657" s="187"/>
      <c r="BF657" s="187"/>
    </row>
    <row r="658" spans="1:58" ht="15.95" hidden="1" customHeight="1" x14ac:dyDescent="0.25">
      <c r="A658" s="957">
        <f t="shared" ca="1" si="21"/>
        <v>0</v>
      </c>
      <c r="AQ658" s="4"/>
      <c r="AR658" s="5"/>
      <c r="AS658" s="5" t="str">
        <f ca="1">IF('Rent Roll'!$AA184=1,'Rent Roll'!E184,"")</f>
        <v/>
      </c>
      <c r="AT658" s="39" t="str">
        <f ca="1">IF('Rent Roll'!$AA184=1,'Rent Roll'!G184,"")</f>
        <v/>
      </c>
      <c r="AU658" s="1547" t="str">
        <f ca="1">IF('Rent Roll'!$AA184=1,'Rent Roll'!K184,"")</f>
        <v/>
      </c>
      <c r="AV658" s="1551" t="str">
        <f ca="1">IF('Rent Roll'!$AA184=1,'Rent Roll'!N184,"")</f>
        <v/>
      </c>
      <c r="AW658" s="5"/>
      <c r="AX658" s="6"/>
      <c r="AY658" s="32"/>
      <c r="AZ658" s="342"/>
      <c r="BA658" s="343"/>
      <c r="BB658" s="342"/>
      <c r="BC658" s="343"/>
      <c r="BD658" s="32"/>
      <c r="BE658" s="187"/>
      <c r="BF658" s="187"/>
    </row>
    <row r="659" spans="1:58" ht="15.95" hidden="1" customHeight="1" x14ac:dyDescent="0.25">
      <c r="A659" s="957">
        <f t="shared" ca="1" si="21"/>
        <v>0</v>
      </c>
      <c r="AQ659" s="4"/>
      <c r="AR659" s="5"/>
      <c r="AS659" s="5" t="str">
        <f ca="1">IF('Rent Roll'!$AA185=1,'Rent Roll'!E185,"")</f>
        <v/>
      </c>
      <c r="AT659" s="39" t="str">
        <f ca="1">IF('Rent Roll'!$AA185=1,'Rent Roll'!G185,"")</f>
        <v/>
      </c>
      <c r="AU659" s="1547" t="str">
        <f ca="1">IF('Rent Roll'!$AA185=1,'Rent Roll'!K185,"")</f>
        <v/>
      </c>
      <c r="AV659" s="1551" t="str">
        <f ca="1">IF('Rent Roll'!$AA185=1,'Rent Roll'!N185,"")</f>
        <v/>
      </c>
      <c r="AW659" s="5"/>
      <c r="AX659" s="6"/>
      <c r="AY659" s="32"/>
      <c r="AZ659" s="342"/>
      <c r="BA659" s="343"/>
      <c r="BB659" s="342"/>
      <c r="BC659" s="343"/>
      <c r="BD659" s="32"/>
      <c r="BE659" s="187"/>
      <c r="BF659" s="187"/>
    </row>
    <row r="660" spans="1:58" ht="15.95" hidden="1" customHeight="1" x14ac:dyDescent="0.25">
      <c r="A660" s="957">
        <f t="shared" ca="1" si="21"/>
        <v>0</v>
      </c>
      <c r="AQ660" s="4"/>
      <c r="AR660" s="5"/>
      <c r="AS660" s="5" t="str">
        <f ca="1">IF('Rent Roll'!$AA186=1,'Rent Roll'!E186,"")</f>
        <v/>
      </c>
      <c r="AT660" s="39" t="str">
        <f ca="1">IF('Rent Roll'!$AA186=1,'Rent Roll'!G186,"")</f>
        <v/>
      </c>
      <c r="AU660" s="1547" t="str">
        <f ca="1">IF('Rent Roll'!$AA186=1,'Rent Roll'!K186,"")</f>
        <v/>
      </c>
      <c r="AV660" s="1551" t="str">
        <f ca="1">IF('Rent Roll'!$AA186=1,'Rent Roll'!N186,"")</f>
        <v/>
      </c>
      <c r="AW660" s="5"/>
      <c r="AX660" s="6"/>
      <c r="AY660" s="32"/>
      <c r="AZ660" s="342"/>
      <c r="BA660" s="343"/>
      <c r="BB660" s="342"/>
      <c r="BC660" s="343"/>
      <c r="BD660" s="32"/>
      <c r="BE660" s="187"/>
      <c r="BF660" s="187"/>
    </row>
    <row r="661" spans="1:58" ht="15.95" hidden="1" customHeight="1" x14ac:dyDescent="0.25">
      <c r="A661" s="957">
        <f t="shared" ca="1" si="21"/>
        <v>0</v>
      </c>
      <c r="AQ661" s="4"/>
      <c r="AR661" s="5"/>
      <c r="AS661" s="5" t="str">
        <f ca="1">IF('Rent Roll'!$AA187=1,'Rent Roll'!E187,"")</f>
        <v/>
      </c>
      <c r="AT661" s="39" t="str">
        <f ca="1">IF('Rent Roll'!$AA187=1,'Rent Roll'!G187,"")</f>
        <v/>
      </c>
      <c r="AU661" s="1547" t="str">
        <f ca="1">IF('Rent Roll'!$AA187=1,'Rent Roll'!K187,"")</f>
        <v/>
      </c>
      <c r="AV661" s="1551" t="str">
        <f ca="1">IF('Rent Roll'!$AA187=1,'Rent Roll'!N187,"")</f>
        <v/>
      </c>
      <c r="AW661" s="5"/>
      <c r="AX661" s="6"/>
      <c r="AY661" s="32"/>
      <c r="AZ661" s="342"/>
      <c r="BA661" s="343"/>
      <c r="BB661" s="342"/>
      <c r="BC661" s="343"/>
      <c r="BD661" s="32"/>
      <c r="BE661" s="187"/>
      <c r="BF661" s="187"/>
    </row>
    <row r="662" spans="1:58" ht="15.95" hidden="1" customHeight="1" x14ac:dyDescent="0.25">
      <c r="A662" s="957">
        <f t="shared" ca="1" si="21"/>
        <v>0</v>
      </c>
      <c r="AQ662" s="4"/>
      <c r="AR662" s="5"/>
      <c r="AS662" s="5" t="str">
        <f ca="1">IF('Rent Roll'!$AA188=1,'Rent Roll'!E188,"")</f>
        <v/>
      </c>
      <c r="AT662" s="39" t="str">
        <f ca="1">IF('Rent Roll'!$AA188=1,'Rent Roll'!G188,"")</f>
        <v/>
      </c>
      <c r="AU662" s="1547" t="str">
        <f ca="1">IF('Rent Roll'!$AA188=1,'Rent Roll'!K188,"")</f>
        <v/>
      </c>
      <c r="AV662" s="1551" t="str">
        <f ca="1">IF('Rent Roll'!$AA188=1,'Rent Roll'!N188,"")</f>
        <v/>
      </c>
      <c r="AW662" s="5"/>
      <c r="AX662" s="6"/>
      <c r="AY662" s="32"/>
      <c r="AZ662" s="342"/>
      <c r="BA662" s="343"/>
      <c r="BB662" s="342"/>
      <c r="BC662" s="343"/>
      <c r="BD662" s="32"/>
      <c r="BE662" s="187"/>
      <c r="BF662" s="187"/>
    </row>
    <row r="663" spans="1:58" ht="15.95" hidden="1" customHeight="1" x14ac:dyDescent="0.25">
      <c r="A663" s="957">
        <f t="shared" ca="1" si="21"/>
        <v>0</v>
      </c>
      <c r="AQ663" s="4"/>
      <c r="AR663" s="5"/>
      <c r="AS663" s="5" t="str">
        <f ca="1">IF('Rent Roll'!$AA189=1,'Rent Roll'!E189,"")</f>
        <v/>
      </c>
      <c r="AT663" s="39" t="str">
        <f ca="1">IF('Rent Roll'!$AA189=1,'Rent Roll'!G189,"")</f>
        <v/>
      </c>
      <c r="AU663" s="1547" t="str">
        <f ca="1">IF('Rent Roll'!$AA189=1,'Rent Roll'!K189,"")</f>
        <v/>
      </c>
      <c r="AV663" s="1551" t="str">
        <f ca="1">IF('Rent Roll'!$AA189=1,'Rent Roll'!N189,"")</f>
        <v/>
      </c>
      <c r="AW663" s="5"/>
      <c r="AX663" s="6"/>
      <c r="AY663" s="32"/>
      <c r="AZ663" s="342"/>
      <c r="BA663" s="343"/>
      <c r="BB663" s="342"/>
      <c r="BC663" s="343"/>
      <c r="BD663" s="32"/>
      <c r="BE663" s="187"/>
      <c r="BF663" s="187"/>
    </row>
    <row r="664" spans="1:58" ht="15.95" hidden="1" customHeight="1" x14ac:dyDescent="0.25">
      <c r="A664" s="957">
        <f t="shared" ca="1" si="21"/>
        <v>0</v>
      </c>
      <c r="AQ664" s="4"/>
      <c r="AR664" s="5"/>
      <c r="AS664" s="5" t="str">
        <f ca="1">IF('Rent Roll'!$AA190=1,'Rent Roll'!E190,"")</f>
        <v/>
      </c>
      <c r="AT664" s="39" t="str">
        <f ca="1">IF('Rent Roll'!$AA190=1,'Rent Roll'!G190,"")</f>
        <v/>
      </c>
      <c r="AU664" s="1547" t="str">
        <f ca="1">IF('Rent Roll'!$AA190=1,'Rent Roll'!K190,"")</f>
        <v/>
      </c>
      <c r="AV664" s="1551" t="str">
        <f ca="1">IF('Rent Roll'!$AA190=1,'Rent Roll'!N190,"")</f>
        <v/>
      </c>
      <c r="AW664" s="5"/>
      <c r="AX664" s="6"/>
      <c r="AY664" s="32"/>
      <c r="AZ664" s="342"/>
      <c r="BA664" s="343"/>
      <c r="BB664" s="342"/>
      <c r="BC664" s="343"/>
      <c r="BD664" s="32"/>
      <c r="BE664" s="187"/>
      <c r="BF664" s="187"/>
    </row>
    <row r="665" spans="1:58" ht="15.95" hidden="1" customHeight="1" x14ac:dyDescent="0.25">
      <c r="A665" s="957">
        <f t="shared" ca="1" si="21"/>
        <v>0</v>
      </c>
      <c r="AQ665" s="4"/>
      <c r="AR665" s="5"/>
      <c r="AS665" s="5" t="str">
        <f ca="1">IF('Rent Roll'!$AA191=1,'Rent Roll'!E191,"")</f>
        <v/>
      </c>
      <c r="AT665" s="39" t="str">
        <f ca="1">IF('Rent Roll'!$AA191=1,'Rent Roll'!G191,"")</f>
        <v/>
      </c>
      <c r="AU665" s="1547" t="str">
        <f ca="1">IF('Rent Roll'!$AA191=1,'Rent Roll'!K191,"")</f>
        <v/>
      </c>
      <c r="AV665" s="1551" t="str">
        <f ca="1">IF('Rent Roll'!$AA191=1,'Rent Roll'!N191,"")</f>
        <v/>
      </c>
      <c r="AW665" s="5"/>
      <c r="AX665" s="6"/>
      <c r="AY665" s="32"/>
      <c r="AZ665" s="342"/>
      <c r="BA665" s="343"/>
      <c r="BB665" s="342"/>
      <c r="BC665" s="343"/>
      <c r="BD665" s="32"/>
      <c r="BE665" s="187"/>
      <c r="BF665" s="187"/>
    </row>
    <row r="666" spans="1:58" ht="15.95" hidden="1" customHeight="1" x14ac:dyDescent="0.25">
      <c r="A666" s="957">
        <f t="shared" ca="1" si="21"/>
        <v>0</v>
      </c>
      <c r="AQ666" s="4"/>
      <c r="AR666" s="5"/>
      <c r="AS666" s="5" t="str">
        <f ca="1">IF('Rent Roll'!$AA192=1,'Rent Roll'!E192,"")</f>
        <v/>
      </c>
      <c r="AT666" s="39" t="str">
        <f ca="1">IF('Rent Roll'!$AA192=1,'Rent Roll'!G192,"")</f>
        <v/>
      </c>
      <c r="AU666" s="1547" t="str">
        <f ca="1">IF('Rent Roll'!$AA192=1,'Rent Roll'!K192,"")</f>
        <v/>
      </c>
      <c r="AV666" s="1551" t="str">
        <f ca="1">IF('Rent Roll'!$AA192=1,'Rent Roll'!N192,"")</f>
        <v/>
      </c>
      <c r="AW666" s="5"/>
      <c r="AX666" s="6"/>
      <c r="AY666" s="32"/>
      <c r="AZ666" s="342"/>
      <c r="BA666" s="343"/>
      <c r="BB666" s="342"/>
      <c r="BC666" s="343"/>
      <c r="BD666" s="32"/>
      <c r="BE666" s="187"/>
      <c r="BF666" s="187"/>
    </row>
    <row r="667" spans="1:58" ht="15.95" hidden="1" customHeight="1" x14ac:dyDescent="0.25">
      <c r="A667" s="957">
        <f t="shared" ca="1" si="21"/>
        <v>0</v>
      </c>
      <c r="AQ667" s="4"/>
      <c r="AR667" s="5"/>
      <c r="AS667" s="5" t="str">
        <f ca="1">IF('Rent Roll'!$AA193=1,'Rent Roll'!E193,"")</f>
        <v/>
      </c>
      <c r="AT667" s="39" t="str">
        <f ca="1">IF('Rent Roll'!$AA193=1,'Rent Roll'!G193,"")</f>
        <v/>
      </c>
      <c r="AU667" s="1547" t="str">
        <f ca="1">IF('Rent Roll'!$AA193=1,'Rent Roll'!K193,"")</f>
        <v/>
      </c>
      <c r="AV667" s="1551" t="str">
        <f ca="1">IF('Rent Roll'!$AA193=1,'Rent Roll'!N193,"")</f>
        <v/>
      </c>
      <c r="AW667" s="5"/>
      <c r="AX667" s="6"/>
      <c r="AY667" s="32"/>
      <c r="AZ667" s="342"/>
      <c r="BA667" s="343"/>
      <c r="BB667" s="342"/>
      <c r="BC667" s="343"/>
      <c r="BD667" s="32"/>
      <c r="BE667" s="187"/>
      <c r="BF667" s="187"/>
    </row>
    <row r="668" spans="1:58" ht="15.95" hidden="1" customHeight="1" x14ac:dyDescent="0.25">
      <c r="A668" s="957">
        <f t="shared" ca="1" si="21"/>
        <v>0</v>
      </c>
      <c r="AQ668" s="4"/>
      <c r="AR668" s="5"/>
      <c r="AS668" s="5" t="str">
        <f ca="1">IF('Rent Roll'!$AA194=1,'Rent Roll'!E194,"")</f>
        <v/>
      </c>
      <c r="AT668" s="39" t="str">
        <f ca="1">IF('Rent Roll'!$AA194=1,'Rent Roll'!G194,"")</f>
        <v/>
      </c>
      <c r="AU668" s="1547" t="str">
        <f ca="1">IF('Rent Roll'!$AA194=1,'Rent Roll'!K194,"")</f>
        <v/>
      </c>
      <c r="AV668" s="1551" t="str">
        <f ca="1">IF('Rent Roll'!$AA194=1,'Rent Roll'!N194,"")</f>
        <v/>
      </c>
      <c r="AW668" s="5"/>
      <c r="AX668" s="6"/>
      <c r="AY668" s="32"/>
      <c r="AZ668" s="342"/>
      <c r="BA668" s="343"/>
      <c r="BB668" s="342"/>
      <c r="BC668" s="343"/>
      <c r="BD668" s="32"/>
      <c r="BE668" s="187"/>
      <c r="BF668" s="187"/>
    </row>
    <row r="669" spans="1:58" ht="15.95" hidden="1" customHeight="1" x14ac:dyDescent="0.25">
      <c r="A669" s="957">
        <f t="shared" ca="1" si="21"/>
        <v>0</v>
      </c>
      <c r="AQ669" s="4"/>
      <c r="AR669" s="5"/>
      <c r="AS669" s="5" t="str">
        <f ca="1">IF('Rent Roll'!$AA195=1,'Rent Roll'!E195,"")</f>
        <v/>
      </c>
      <c r="AT669" s="39" t="str">
        <f ca="1">IF('Rent Roll'!$AA195=1,'Rent Roll'!G195,"")</f>
        <v/>
      </c>
      <c r="AU669" s="1547" t="str">
        <f ca="1">IF('Rent Roll'!$AA195=1,'Rent Roll'!K195,"")</f>
        <v/>
      </c>
      <c r="AV669" s="1551" t="str">
        <f ca="1">IF('Rent Roll'!$AA195=1,'Rent Roll'!N195,"")</f>
        <v/>
      </c>
      <c r="AW669" s="5"/>
      <c r="AX669" s="6"/>
      <c r="AY669" s="32"/>
      <c r="AZ669" s="342"/>
      <c r="BA669" s="343"/>
      <c r="BB669" s="342"/>
      <c r="BC669" s="343"/>
      <c r="BD669" s="32"/>
      <c r="BE669" s="187"/>
      <c r="BF669" s="187"/>
    </row>
    <row r="670" spans="1:58" ht="15.95" hidden="1" customHeight="1" x14ac:dyDescent="0.25">
      <c r="A670" s="957">
        <f t="shared" ca="1" si="21"/>
        <v>0</v>
      </c>
      <c r="AQ670" s="4"/>
      <c r="AR670" s="5"/>
      <c r="AS670" s="5" t="str">
        <f ca="1">IF('Rent Roll'!$AA196=1,'Rent Roll'!E196,"")</f>
        <v/>
      </c>
      <c r="AT670" s="39" t="str">
        <f ca="1">IF('Rent Roll'!$AA196=1,'Rent Roll'!G196,"")</f>
        <v/>
      </c>
      <c r="AU670" s="1547" t="str">
        <f ca="1">IF('Rent Roll'!$AA196=1,'Rent Roll'!K196,"")</f>
        <v/>
      </c>
      <c r="AV670" s="1551" t="str">
        <f ca="1">IF('Rent Roll'!$AA196=1,'Rent Roll'!N196,"")</f>
        <v/>
      </c>
      <c r="AW670" s="5"/>
      <c r="AX670" s="6"/>
      <c r="AY670" s="32"/>
      <c r="AZ670" s="342"/>
      <c r="BA670" s="343"/>
      <c r="BB670" s="342"/>
      <c r="BC670" s="343"/>
      <c r="BD670" s="32"/>
      <c r="BE670" s="187"/>
      <c r="BF670" s="187"/>
    </row>
    <row r="671" spans="1:58" ht="15.95" hidden="1" customHeight="1" x14ac:dyDescent="0.25">
      <c r="A671" s="957">
        <f t="shared" ca="1" si="21"/>
        <v>0</v>
      </c>
      <c r="AQ671" s="4"/>
      <c r="AR671" s="5"/>
      <c r="AS671" s="5" t="str">
        <f ca="1">IF('Rent Roll'!$AA197=1,'Rent Roll'!E197,"")</f>
        <v/>
      </c>
      <c r="AT671" s="39" t="str">
        <f ca="1">IF('Rent Roll'!$AA197=1,'Rent Roll'!G197,"")</f>
        <v/>
      </c>
      <c r="AU671" s="1547" t="str">
        <f ca="1">IF('Rent Roll'!$AA197=1,'Rent Roll'!K197,"")</f>
        <v/>
      </c>
      <c r="AV671" s="1551" t="str">
        <f ca="1">IF('Rent Roll'!$AA197=1,'Rent Roll'!N197,"")</f>
        <v/>
      </c>
      <c r="AW671" s="5"/>
      <c r="AX671" s="6"/>
      <c r="AY671" s="32"/>
      <c r="AZ671" s="342"/>
      <c r="BA671" s="343"/>
      <c r="BB671" s="342"/>
      <c r="BC671" s="343"/>
      <c r="BD671" s="32"/>
      <c r="BE671" s="187"/>
      <c r="BF671" s="187"/>
    </row>
    <row r="672" spans="1:58" ht="15.95" hidden="1" customHeight="1" x14ac:dyDescent="0.25">
      <c r="A672" s="957">
        <f t="shared" ca="1" si="21"/>
        <v>0</v>
      </c>
      <c r="AQ672" s="4"/>
      <c r="AR672" s="5"/>
      <c r="AS672" s="5" t="str">
        <f ca="1">IF('Rent Roll'!$AA198=1,'Rent Roll'!E198,"")</f>
        <v/>
      </c>
      <c r="AT672" s="39" t="str">
        <f ca="1">IF('Rent Roll'!$AA198=1,'Rent Roll'!G198,"")</f>
        <v/>
      </c>
      <c r="AU672" s="1547" t="str">
        <f ca="1">IF('Rent Roll'!$AA198=1,'Rent Roll'!K198,"")</f>
        <v/>
      </c>
      <c r="AV672" s="1551" t="str">
        <f ca="1">IF('Rent Roll'!$AA198=1,'Rent Roll'!N198,"")</f>
        <v/>
      </c>
      <c r="AW672" s="5"/>
      <c r="AX672" s="6"/>
      <c r="AY672" s="32"/>
      <c r="AZ672" s="342"/>
      <c r="BA672" s="343"/>
      <c r="BB672" s="342"/>
      <c r="BC672" s="343"/>
      <c r="BD672" s="32"/>
      <c r="BE672" s="187"/>
      <c r="BF672" s="187"/>
    </row>
    <row r="673" spans="1:66" ht="15.95" hidden="1" customHeight="1" x14ac:dyDescent="0.25">
      <c r="A673" s="957">
        <f t="shared" ref="A673:A680" ca="1" si="22">IF(AS673="",0,1)</f>
        <v>0</v>
      </c>
      <c r="AQ673" s="4"/>
      <c r="AR673" s="5"/>
      <c r="AS673" s="5" t="str">
        <f ca="1">IF('Rent Roll'!$AA199=1,'Rent Roll'!E199,"")</f>
        <v/>
      </c>
      <c r="AT673" s="39" t="str">
        <f ca="1">IF('Rent Roll'!$AA199=1,'Rent Roll'!G199,"")</f>
        <v/>
      </c>
      <c r="AU673" s="1547" t="str">
        <f ca="1">IF('Rent Roll'!$AA199=1,'Rent Roll'!K199,"")</f>
        <v/>
      </c>
      <c r="AV673" s="1551" t="str">
        <f ca="1">IF('Rent Roll'!$AA199=1,'Rent Roll'!N199,"")</f>
        <v/>
      </c>
      <c r="AW673" s="5"/>
      <c r="AX673" s="6"/>
      <c r="AY673" s="32"/>
      <c r="AZ673" s="342"/>
      <c r="BA673" s="343"/>
      <c r="BB673" s="342"/>
      <c r="BC673" s="343"/>
      <c r="BD673" s="32"/>
      <c r="BE673" s="187"/>
      <c r="BF673" s="187"/>
    </row>
    <row r="674" spans="1:66" ht="15.95" hidden="1" customHeight="1" x14ac:dyDescent="0.25">
      <c r="A674" s="957">
        <f t="shared" ca="1" si="22"/>
        <v>0</v>
      </c>
      <c r="AQ674" s="4"/>
      <c r="AR674" s="5"/>
      <c r="AS674" s="5" t="str">
        <f ca="1">IF('Rent Roll'!$AA200=1,'Rent Roll'!E200,"")</f>
        <v/>
      </c>
      <c r="AT674" s="39" t="str">
        <f ca="1">IF('Rent Roll'!$AA200=1,'Rent Roll'!G200,"")</f>
        <v/>
      </c>
      <c r="AU674" s="1547" t="str">
        <f ca="1">IF('Rent Roll'!$AA200=1,'Rent Roll'!K200,"")</f>
        <v/>
      </c>
      <c r="AV674" s="1551" t="str">
        <f ca="1">IF('Rent Roll'!$AA200=1,'Rent Roll'!N200,"")</f>
        <v/>
      </c>
      <c r="AW674" s="5"/>
      <c r="AX674" s="6"/>
      <c r="AY674" s="32"/>
      <c r="AZ674" s="342"/>
      <c r="BA674" s="343"/>
      <c r="BB674" s="342"/>
      <c r="BC674" s="343"/>
      <c r="BD674" s="32"/>
      <c r="BE674" s="187"/>
      <c r="BF674" s="187"/>
    </row>
    <row r="675" spans="1:66" ht="15.95" hidden="1" customHeight="1" x14ac:dyDescent="0.25">
      <c r="A675" s="957">
        <f t="shared" ca="1" si="22"/>
        <v>0</v>
      </c>
      <c r="AQ675" s="4"/>
      <c r="AR675" s="5"/>
      <c r="AS675" s="5" t="str">
        <f ca="1">IF('Rent Roll'!$AA201=1,'Rent Roll'!E201,"")</f>
        <v/>
      </c>
      <c r="AT675" s="39" t="str">
        <f ca="1">IF('Rent Roll'!$AA201=1,'Rent Roll'!G201,"")</f>
        <v/>
      </c>
      <c r="AU675" s="1547" t="str">
        <f ca="1">IF('Rent Roll'!$AA201=1,'Rent Roll'!K201,"")</f>
        <v/>
      </c>
      <c r="AV675" s="1551" t="str">
        <f ca="1">IF('Rent Roll'!$AA201=1,'Rent Roll'!N201,"")</f>
        <v/>
      </c>
      <c r="AW675" s="5"/>
      <c r="AX675" s="6"/>
      <c r="AY675" s="32"/>
      <c r="AZ675" s="342"/>
      <c r="BA675" s="343"/>
      <c r="BB675" s="342"/>
      <c r="BC675" s="343"/>
      <c r="BD675" s="32"/>
      <c r="BE675" s="187"/>
      <c r="BF675" s="187"/>
    </row>
    <row r="676" spans="1:66" ht="15.95" hidden="1" customHeight="1" x14ac:dyDescent="0.25">
      <c r="A676" s="957">
        <f t="shared" ca="1" si="22"/>
        <v>0</v>
      </c>
      <c r="AQ676" s="4"/>
      <c r="AR676" s="5"/>
      <c r="AS676" s="5" t="str">
        <f ca="1">IF('Rent Roll'!$AA202=1,'Rent Roll'!E202,"")</f>
        <v/>
      </c>
      <c r="AT676" s="39" t="str">
        <f ca="1">IF('Rent Roll'!$AA202=1,'Rent Roll'!G202,"")</f>
        <v/>
      </c>
      <c r="AU676" s="1547" t="str">
        <f ca="1">IF('Rent Roll'!$AA202=1,'Rent Roll'!K202,"")</f>
        <v/>
      </c>
      <c r="AV676" s="1551" t="str">
        <f ca="1">IF('Rent Roll'!$AA202=1,'Rent Roll'!N202,"")</f>
        <v/>
      </c>
      <c r="AW676" s="5"/>
      <c r="AX676" s="6"/>
      <c r="AY676" s="32"/>
      <c r="AZ676" s="342"/>
      <c r="BA676" s="343"/>
      <c r="BB676" s="342"/>
      <c r="BC676" s="343"/>
      <c r="BD676" s="32"/>
      <c r="BE676" s="187"/>
      <c r="BF676" s="187"/>
    </row>
    <row r="677" spans="1:66" ht="15.95" hidden="1" customHeight="1" x14ac:dyDescent="0.25">
      <c r="A677" s="957">
        <f t="shared" ca="1" si="22"/>
        <v>0</v>
      </c>
      <c r="AQ677" s="4"/>
      <c r="AR677" s="5"/>
      <c r="AS677" s="5" t="str">
        <f ca="1">IF('Rent Roll'!$AA203=1,'Rent Roll'!E203,"")</f>
        <v/>
      </c>
      <c r="AT677" s="39" t="str">
        <f ca="1">IF('Rent Roll'!$AA203=1,'Rent Roll'!G203,"")</f>
        <v/>
      </c>
      <c r="AU677" s="1547" t="str">
        <f ca="1">IF('Rent Roll'!$AA203=1,'Rent Roll'!K203,"")</f>
        <v/>
      </c>
      <c r="AV677" s="1551" t="str">
        <f ca="1">IF('Rent Roll'!$AA203=1,'Rent Roll'!N203,"")</f>
        <v/>
      </c>
      <c r="AW677" s="5"/>
      <c r="AX677" s="6"/>
      <c r="AY677" s="32"/>
      <c r="AZ677" s="342"/>
      <c r="BA677" s="343"/>
      <c r="BB677" s="342"/>
      <c r="BC677" s="343"/>
      <c r="BD677" s="32"/>
      <c r="BE677" s="187"/>
      <c r="BF677" s="187"/>
    </row>
    <row r="678" spans="1:66" ht="15.95" hidden="1" customHeight="1" x14ac:dyDescent="0.25">
      <c r="A678" s="957">
        <f t="shared" ca="1" si="22"/>
        <v>0</v>
      </c>
      <c r="AQ678" s="4"/>
      <c r="AR678" s="5"/>
      <c r="AS678" s="5" t="str">
        <f ca="1">IF('Rent Roll'!$AA204=1,'Rent Roll'!E204,"")</f>
        <v/>
      </c>
      <c r="AT678" s="39" t="str">
        <f ca="1">IF('Rent Roll'!$AA204=1,'Rent Roll'!G204,"")</f>
        <v/>
      </c>
      <c r="AU678" s="1547" t="str">
        <f ca="1">IF('Rent Roll'!$AA204=1,'Rent Roll'!K204,"")</f>
        <v/>
      </c>
      <c r="AV678" s="1551" t="str">
        <f ca="1">IF('Rent Roll'!$AA204=1,'Rent Roll'!N204,"")</f>
        <v/>
      </c>
      <c r="AW678" s="5"/>
      <c r="AX678" s="6"/>
      <c r="AY678" s="32"/>
      <c r="AZ678" s="342"/>
      <c r="BA678" s="343"/>
      <c r="BB678" s="342"/>
      <c r="BC678" s="343"/>
      <c r="BD678" s="32"/>
      <c r="BE678" s="187"/>
      <c r="BF678" s="187"/>
    </row>
    <row r="679" spans="1:66" ht="15.95" hidden="1" customHeight="1" x14ac:dyDescent="0.25">
      <c r="A679" s="957">
        <f t="shared" ca="1" si="22"/>
        <v>0</v>
      </c>
      <c r="AQ679" s="4"/>
      <c r="AR679" s="5"/>
      <c r="AS679" s="5" t="str">
        <f ca="1">IF('Rent Roll'!$AA205=1,'Rent Roll'!E205,"")</f>
        <v/>
      </c>
      <c r="AT679" s="39" t="str">
        <f ca="1">IF('Rent Roll'!$AA205=1,'Rent Roll'!G205,"")</f>
        <v/>
      </c>
      <c r="AU679" s="1547" t="str">
        <f ca="1">IF('Rent Roll'!$AA205=1,'Rent Roll'!K205,"")</f>
        <v/>
      </c>
      <c r="AV679" s="1551" t="str">
        <f ca="1">IF('Rent Roll'!$AA205=1,'Rent Roll'!N205,"")</f>
        <v/>
      </c>
      <c r="AW679" s="5"/>
      <c r="AX679" s="6"/>
      <c r="AY679" s="32"/>
      <c r="AZ679" s="342"/>
      <c r="BA679" s="343"/>
      <c r="BB679" s="342"/>
      <c r="BC679" s="343"/>
      <c r="BD679" s="32"/>
      <c r="BE679" s="187"/>
      <c r="BF679" s="187"/>
    </row>
    <row r="680" spans="1:66" ht="15.95" hidden="1" customHeight="1" x14ac:dyDescent="0.25">
      <c r="A680" s="957">
        <f t="shared" ca="1" si="22"/>
        <v>0</v>
      </c>
      <c r="AQ680" s="4"/>
      <c r="AR680" s="5"/>
      <c r="AS680" s="5" t="str">
        <f ca="1">IF('Rent Roll'!$AA206=1,'Rent Roll'!E206,"")</f>
        <v/>
      </c>
      <c r="AT680" s="39" t="str">
        <f ca="1">IF('Rent Roll'!$AA206=1,'Rent Roll'!G206,"")</f>
        <v/>
      </c>
      <c r="AU680" s="1547" t="str">
        <f ca="1">IF('Rent Roll'!$AA206=1,'Rent Roll'!K206,"")</f>
        <v/>
      </c>
      <c r="AV680" s="1551" t="str">
        <f ca="1">IF('Rent Roll'!$AA206=1,'Rent Roll'!N206,"")</f>
        <v/>
      </c>
      <c r="AW680" s="5"/>
      <c r="AX680" s="6"/>
      <c r="AY680" s="32"/>
      <c r="AZ680" s="342"/>
      <c r="BA680" s="343"/>
      <c r="BB680" s="342"/>
      <c r="BC680" s="343"/>
      <c r="BD680" s="32"/>
      <c r="BE680" s="187"/>
      <c r="BF680" s="187"/>
    </row>
    <row r="681" spans="1:66" ht="15.95" hidden="1" customHeight="1" x14ac:dyDescent="0.25">
      <c r="A681" s="957">
        <f ca="1">IF(dpIncome_TCat3_NRA_Vacant=0,0,1)</f>
        <v>0</v>
      </c>
      <c r="AQ681" s="4"/>
      <c r="AR681" s="5"/>
      <c r="AS681" s="1535" t="s">
        <v>142</v>
      </c>
      <c r="AT681" s="1560"/>
      <c r="AU681" s="1561">
        <f ca="1">IF(Income_RentRollSource="No Rent Roll",Income_TCat3_NRA_Manual,SUM(AU481:AU680))</f>
        <v>0</v>
      </c>
      <c r="AV681" s="1562" t="e">
        <f ca="1">SUMPRODUCT(AU481:AU680,AV481:AV680)/AU681</f>
        <v>#DIV/0!</v>
      </c>
      <c r="AW681" s="5"/>
      <c r="AX681" s="6"/>
      <c r="AY681" s="32"/>
      <c r="AZ681" s="342"/>
      <c r="BA681" s="343"/>
      <c r="BB681" s="342"/>
      <c r="BC681" s="343"/>
      <c r="BD681" s="32"/>
      <c r="BE681" s="187"/>
      <c r="BF681" s="187"/>
    </row>
    <row r="682" spans="1:66" ht="15.95" hidden="1" customHeight="1" x14ac:dyDescent="0.25">
      <c r="A682" s="957">
        <f ca="1">IF(dpIncome_TCat3_NRA_Vacant=0,0,1)</f>
        <v>0</v>
      </c>
      <c r="AQ682" s="4"/>
      <c r="AR682" s="5"/>
      <c r="AS682" s="1540" t="s">
        <v>139</v>
      </c>
      <c r="AT682" s="1541"/>
      <c r="AU682" s="1549">
        <f ca="1">'Rent Roll'!K210</f>
        <v>0</v>
      </c>
      <c r="AV682" s="1553">
        <f>Income_TCat3_MarketRent</f>
        <v>0</v>
      </c>
      <c r="AW682" s="5"/>
      <c r="AX682" s="6"/>
      <c r="AY682" s="32"/>
      <c r="AZ682" s="342"/>
      <c r="BA682" s="343"/>
      <c r="BB682" s="342"/>
      <c r="BC682" s="343"/>
      <c r="BD682" s="32"/>
      <c r="BE682" s="187"/>
      <c r="BF682" s="187"/>
    </row>
    <row r="683" spans="1:66" ht="15.95" customHeight="1" thickBot="1" x14ac:dyDescent="0.3">
      <c r="A683" s="957">
        <v>1</v>
      </c>
      <c r="AQ683" s="4"/>
      <c r="AR683" s="5"/>
      <c r="AS683" s="219" t="s">
        <v>93</v>
      </c>
      <c r="AT683" s="1542"/>
      <c r="AU683" s="1550">
        <f ca="1">SUM(AU681:AU682)</f>
        <v>0</v>
      </c>
      <c r="AV683" s="1554" t="e">
        <f ca="1">SUMPRODUCT(AU681:AU682,AV681:AV682)/Income_TCat3_NRA</f>
        <v>#DIV/0!</v>
      </c>
      <c r="AW683" s="5"/>
      <c r="AX683" s="6"/>
      <c r="AY683" s="32"/>
      <c r="AZ683" s="344"/>
      <c r="BA683" s="345"/>
      <c r="BB683" s="344"/>
      <c r="BC683" s="345"/>
      <c r="BD683" s="346"/>
      <c r="BE683" s="187"/>
      <c r="BF683" s="187"/>
    </row>
    <row r="684" spans="1:66" x14ac:dyDescent="0.25">
      <c r="A684" s="957">
        <v>1</v>
      </c>
      <c r="AQ684" s="4"/>
      <c r="AR684" s="5"/>
      <c r="AS684" s="556" t="s">
        <v>881</v>
      </c>
      <c r="AT684" s="5"/>
      <c r="AU684" s="5"/>
      <c r="AV684" s="5"/>
      <c r="AW684" s="5"/>
      <c r="AX684" s="6"/>
      <c r="AY684" s="32"/>
      <c r="AZ684" s="96"/>
      <c r="BA684" s="96"/>
      <c r="BB684" s="32"/>
      <c r="BC684" s="32"/>
      <c r="BD684" s="32"/>
      <c r="BE684" s="187"/>
      <c r="BF684" s="187"/>
    </row>
    <row r="685" spans="1:66" ht="9.9499999999999993" customHeight="1" thickBot="1" x14ac:dyDescent="0.3">
      <c r="A685" s="957">
        <v>1</v>
      </c>
      <c r="AQ685" s="11"/>
      <c r="AR685" s="11"/>
      <c r="AS685" s="11"/>
      <c r="AT685" s="41"/>
      <c r="AU685" s="11"/>
      <c r="AV685" s="11"/>
      <c r="AW685" s="11"/>
      <c r="AX685" s="11"/>
      <c r="AY685" s="32"/>
      <c r="AZ685" s="96"/>
      <c r="BA685" s="96"/>
      <c r="BB685" s="32"/>
      <c r="BC685" s="32"/>
      <c r="BD685" s="32"/>
      <c r="BE685" s="187"/>
      <c r="BF685" s="187"/>
    </row>
    <row r="686" spans="1:66" x14ac:dyDescent="0.25">
      <c r="A686" s="957">
        <v>1</v>
      </c>
      <c r="AY686" s="1"/>
      <c r="AZ686" s="2"/>
      <c r="BA686" s="2"/>
      <c r="BB686" s="2"/>
      <c r="BC686" s="2"/>
      <c r="BD686" s="2"/>
      <c r="BE686" s="2"/>
      <c r="BF686" s="3"/>
      <c r="BG686" s="32"/>
      <c r="BH686" s="96"/>
      <c r="BI686" s="96"/>
      <c r="BJ686" s="32"/>
      <c r="BK686" s="32"/>
      <c r="BL686" s="32"/>
      <c r="BM686" s="187"/>
      <c r="BN686" s="187"/>
    </row>
    <row r="687" spans="1:66" ht="15.95" customHeight="1" x14ac:dyDescent="0.3">
      <c r="A687" s="957">
        <v>1</v>
      </c>
      <c r="AY687" s="4"/>
      <c r="AZ687" s="5"/>
      <c r="BA687" s="4284">
        <f>Income_TCat4</f>
        <v>0</v>
      </c>
      <c r="BB687" s="4284"/>
      <c r="BC687" s="4284"/>
      <c r="BD687" s="4284"/>
      <c r="BE687" s="27"/>
      <c r="BF687" s="6"/>
      <c r="BG687" s="32"/>
      <c r="BH687" s="96"/>
      <c r="BI687" s="96"/>
      <c r="BJ687" s="32"/>
      <c r="BK687" s="32"/>
      <c r="BL687" s="32"/>
      <c r="BM687" s="187"/>
      <c r="BN687" s="187"/>
    </row>
    <row r="688" spans="1:66" ht="15.95" customHeight="1" x14ac:dyDescent="0.25">
      <c r="A688" s="957">
        <v>1</v>
      </c>
      <c r="AY688" s="4"/>
      <c r="AZ688" s="12"/>
      <c r="BA688" s="12" t="s">
        <v>398</v>
      </c>
      <c r="BB688" s="150" t="s">
        <v>401</v>
      </c>
      <c r="BC688" s="55" t="s">
        <v>20</v>
      </c>
      <c r="BD688" s="55" t="s">
        <v>132</v>
      </c>
      <c r="BE688" s="150"/>
      <c r="BF688" s="6"/>
      <c r="BG688" s="32"/>
      <c r="BH688" s="96"/>
      <c r="BI688" s="96"/>
      <c r="BJ688" s="32"/>
      <c r="BK688" s="32"/>
      <c r="BL688" s="32"/>
      <c r="BM688" s="187"/>
      <c r="BN688" s="187"/>
    </row>
    <row r="689" spans="1:66" ht="15.95" hidden="1" customHeight="1" x14ac:dyDescent="0.25">
      <c r="A689" s="957">
        <f t="shared" ref="A689:A720" ca="1" si="23">IF(BA689="",0,1)</f>
        <v>0</v>
      </c>
      <c r="AY689" s="4"/>
      <c r="AZ689" s="5"/>
      <c r="BA689" s="5" t="str">
        <f ca="1">IF('Rent Roll'!$AB7=1,'Rent Roll'!E7,"")</f>
        <v/>
      </c>
      <c r="BB689" s="39" t="str">
        <f ca="1">IF('Rent Roll'!$AB7=1,'Rent Roll'!G7,"")</f>
        <v/>
      </c>
      <c r="BC689" s="1547" t="str">
        <f ca="1">IF('Rent Roll'!$AB7=1,'Rent Roll'!K7,"")</f>
        <v/>
      </c>
      <c r="BD689" s="1551" t="str">
        <f ca="1">IF('Rent Roll'!$AB7=1,'Rent Roll'!N7,"")</f>
        <v/>
      </c>
      <c r="BE689" s="223"/>
      <c r="BF689" s="6"/>
      <c r="BG689" s="32"/>
      <c r="BH689" s="342"/>
      <c r="BI689" s="343"/>
      <c r="BJ689" s="342"/>
      <c r="BK689" s="343"/>
      <c r="BL689" s="32"/>
      <c r="BM689" s="187"/>
      <c r="BN689" s="187"/>
    </row>
    <row r="690" spans="1:66" ht="15.95" hidden="1" customHeight="1" x14ac:dyDescent="0.25">
      <c r="A690" s="957">
        <f t="shared" ca="1" si="23"/>
        <v>0</v>
      </c>
      <c r="AY690" s="4"/>
      <c r="AZ690" s="5"/>
      <c r="BA690" s="5" t="str">
        <f ca="1">IF('Rent Roll'!$AB8=1,'Rent Roll'!E8,"")</f>
        <v/>
      </c>
      <c r="BB690" s="39" t="str">
        <f ca="1">IF('Rent Roll'!$AB8=1,'Rent Roll'!G8,"")</f>
        <v/>
      </c>
      <c r="BC690" s="1547" t="str">
        <f ca="1">IF('Rent Roll'!$AB8=1,'Rent Roll'!K8,"")</f>
        <v/>
      </c>
      <c r="BD690" s="1551" t="str">
        <f ca="1">IF('Rent Roll'!$AB8=1,'Rent Roll'!N8,"")</f>
        <v/>
      </c>
      <c r="BE690" s="223"/>
      <c r="BF690" s="6"/>
      <c r="BG690" s="32"/>
      <c r="BH690" s="342"/>
      <c r="BI690" s="343"/>
      <c r="BJ690" s="342"/>
      <c r="BK690" s="343"/>
      <c r="BL690" s="32"/>
      <c r="BM690" s="187"/>
      <c r="BN690" s="187"/>
    </row>
    <row r="691" spans="1:66" ht="15.95" hidden="1" customHeight="1" x14ac:dyDescent="0.25">
      <c r="A691" s="957">
        <f t="shared" ca="1" si="23"/>
        <v>0</v>
      </c>
      <c r="AY691" s="4"/>
      <c r="AZ691" s="5"/>
      <c r="BA691" s="5" t="str">
        <f ca="1">IF('Rent Roll'!$AB9=1,'Rent Roll'!E9,"")</f>
        <v/>
      </c>
      <c r="BB691" s="39" t="str">
        <f ca="1">IF('Rent Roll'!$AB9=1,'Rent Roll'!G9,"")</f>
        <v/>
      </c>
      <c r="BC691" s="1547" t="str">
        <f ca="1">IF('Rent Roll'!$AB9=1,'Rent Roll'!K9,"")</f>
        <v/>
      </c>
      <c r="BD691" s="1551" t="str">
        <f ca="1">IF('Rent Roll'!$AB9=1,'Rent Roll'!N9,"")</f>
        <v/>
      </c>
      <c r="BE691" s="223"/>
      <c r="BF691" s="6"/>
      <c r="BG691" s="32"/>
      <c r="BH691" s="342"/>
      <c r="BI691" s="343"/>
      <c r="BJ691" s="342"/>
      <c r="BK691" s="343"/>
      <c r="BL691" s="32"/>
      <c r="BM691" s="187"/>
      <c r="BN691" s="187"/>
    </row>
    <row r="692" spans="1:66" ht="15.95" hidden="1" customHeight="1" x14ac:dyDescent="0.25">
      <c r="A692" s="957">
        <f t="shared" ca="1" si="23"/>
        <v>0</v>
      </c>
      <c r="AY692" s="4"/>
      <c r="AZ692" s="5"/>
      <c r="BA692" s="5" t="str">
        <f ca="1">IF('Rent Roll'!$AB10=1,'Rent Roll'!E10,"")</f>
        <v/>
      </c>
      <c r="BB692" s="39" t="str">
        <f ca="1">IF('Rent Roll'!$AB10=1,'Rent Roll'!G10,"")</f>
        <v/>
      </c>
      <c r="BC692" s="1547" t="str">
        <f ca="1">IF('Rent Roll'!$AB10=1,'Rent Roll'!K10,"")</f>
        <v/>
      </c>
      <c r="BD692" s="1551" t="str">
        <f ca="1">IF('Rent Roll'!$AB10=1,'Rent Roll'!N10,"")</f>
        <v/>
      </c>
      <c r="BE692" s="223"/>
      <c r="BF692" s="6"/>
      <c r="BG692" s="32"/>
      <c r="BH692" s="342"/>
      <c r="BI692" s="343"/>
      <c r="BJ692" s="342"/>
      <c r="BK692" s="343"/>
      <c r="BL692" s="32"/>
      <c r="BM692" s="187"/>
      <c r="BN692" s="187"/>
    </row>
    <row r="693" spans="1:66" ht="15.95" hidden="1" customHeight="1" x14ac:dyDescent="0.25">
      <c r="A693" s="957">
        <f t="shared" ca="1" si="23"/>
        <v>0</v>
      </c>
      <c r="AY693" s="4"/>
      <c r="AZ693" s="5"/>
      <c r="BA693" s="5" t="str">
        <f ca="1">IF('Rent Roll'!$AB11=1,'Rent Roll'!E11,"")</f>
        <v/>
      </c>
      <c r="BB693" s="39" t="str">
        <f ca="1">IF('Rent Roll'!$AB11=1,'Rent Roll'!G11,"")</f>
        <v/>
      </c>
      <c r="BC693" s="1547" t="str">
        <f ca="1">IF('Rent Roll'!$AB11=1,'Rent Roll'!K11,"")</f>
        <v/>
      </c>
      <c r="BD693" s="1551" t="str">
        <f ca="1">IF('Rent Roll'!$AB11=1,'Rent Roll'!N11,"")</f>
        <v/>
      </c>
      <c r="BE693" s="223"/>
      <c r="BF693" s="6"/>
      <c r="BG693" s="32"/>
      <c r="BH693" s="342"/>
      <c r="BI693" s="343"/>
      <c r="BJ693" s="342"/>
      <c r="BK693" s="343"/>
      <c r="BL693" s="32"/>
      <c r="BM693" s="187"/>
      <c r="BN693" s="187"/>
    </row>
    <row r="694" spans="1:66" ht="15.95" hidden="1" customHeight="1" x14ac:dyDescent="0.25">
      <c r="A694" s="957">
        <f t="shared" ca="1" si="23"/>
        <v>0</v>
      </c>
      <c r="AY694" s="4"/>
      <c r="AZ694" s="5"/>
      <c r="BA694" s="5" t="str">
        <f ca="1">IF('Rent Roll'!$AB12=1,'Rent Roll'!E12,"")</f>
        <v/>
      </c>
      <c r="BB694" s="39" t="str">
        <f ca="1">IF('Rent Roll'!$AB12=1,'Rent Roll'!G12,"")</f>
        <v/>
      </c>
      <c r="BC694" s="1547" t="str">
        <f ca="1">IF('Rent Roll'!$AB12=1,'Rent Roll'!K12,"")</f>
        <v/>
      </c>
      <c r="BD694" s="1551" t="str">
        <f ca="1">IF('Rent Roll'!$AB12=1,'Rent Roll'!N12,"")</f>
        <v/>
      </c>
      <c r="BE694" s="223"/>
      <c r="BF694" s="6"/>
      <c r="BG694" s="32"/>
      <c r="BH694" s="342"/>
      <c r="BI694" s="343"/>
      <c r="BJ694" s="342"/>
      <c r="BK694" s="343"/>
      <c r="BL694" s="32"/>
      <c r="BM694" s="187"/>
      <c r="BN694" s="187"/>
    </row>
    <row r="695" spans="1:66" ht="15.95" hidden="1" customHeight="1" x14ac:dyDescent="0.25">
      <c r="A695" s="957">
        <f t="shared" ca="1" si="23"/>
        <v>0</v>
      </c>
      <c r="AY695" s="4"/>
      <c r="AZ695" s="5"/>
      <c r="BA695" s="5" t="str">
        <f ca="1">IF('Rent Roll'!$AB13=1,'Rent Roll'!E13,"")</f>
        <v/>
      </c>
      <c r="BB695" s="39" t="str">
        <f ca="1">IF('Rent Roll'!$AB13=1,'Rent Roll'!G13,"")</f>
        <v/>
      </c>
      <c r="BC695" s="1547" t="str">
        <f ca="1">IF('Rent Roll'!$AB13=1,'Rent Roll'!K13,"")</f>
        <v/>
      </c>
      <c r="BD695" s="1551" t="str">
        <f ca="1">IF('Rent Roll'!$AB13=1,'Rent Roll'!N13,"")</f>
        <v/>
      </c>
      <c r="BE695" s="223"/>
      <c r="BF695" s="6"/>
      <c r="BG695" s="32"/>
      <c r="BH695" s="342"/>
      <c r="BI695" s="343"/>
      <c r="BJ695" s="342"/>
      <c r="BK695" s="343"/>
      <c r="BL695" s="32"/>
      <c r="BM695" s="187"/>
      <c r="BN695" s="187"/>
    </row>
    <row r="696" spans="1:66" ht="15.95" hidden="1" customHeight="1" x14ac:dyDescent="0.25">
      <c r="A696" s="957">
        <f t="shared" ca="1" si="23"/>
        <v>0</v>
      </c>
      <c r="AY696" s="4"/>
      <c r="AZ696" s="5"/>
      <c r="BA696" s="5" t="str">
        <f ca="1">IF('Rent Roll'!$AB14=1,'Rent Roll'!E14,"")</f>
        <v/>
      </c>
      <c r="BB696" s="39" t="str">
        <f ca="1">IF('Rent Roll'!$AB14=1,'Rent Roll'!G14,"")</f>
        <v/>
      </c>
      <c r="BC696" s="1547" t="str">
        <f ca="1">IF('Rent Roll'!$AB14=1,'Rent Roll'!K14,"")</f>
        <v/>
      </c>
      <c r="BD696" s="1551" t="str">
        <f ca="1">IF('Rent Roll'!$AB14=1,'Rent Roll'!N14,"")</f>
        <v/>
      </c>
      <c r="BE696" s="223"/>
      <c r="BF696" s="6"/>
      <c r="BG696" s="32"/>
      <c r="BH696" s="342"/>
      <c r="BI696" s="343"/>
      <c r="BJ696" s="342"/>
      <c r="BK696" s="343"/>
      <c r="BL696" s="32"/>
      <c r="BM696" s="187"/>
      <c r="BN696" s="187"/>
    </row>
    <row r="697" spans="1:66" ht="15.95" hidden="1" customHeight="1" x14ac:dyDescent="0.25">
      <c r="A697" s="957">
        <f t="shared" ca="1" si="23"/>
        <v>0</v>
      </c>
      <c r="AY697" s="4"/>
      <c r="AZ697" s="5"/>
      <c r="BA697" s="5" t="str">
        <f ca="1">IF('Rent Roll'!$AB15=1,'Rent Roll'!E15,"")</f>
        <v/>
      </c>
      <c r="BB697" s="39" t="str">
        <f ca="1">IF('Rent Roll'!$AB15=1,'Rent Roll'!G15,"")</f>
        <v/>
      </c>
      <c r="BC697" s="1547" t="str">
        <f ca="1">IF('Rent Roll'!$AB15=1,'Rent Roll'!K15,"")</f>
        <v/>
      </c>
      <c r="BD697" s="1551" t="str">
        <f ca="1">IF('Rent Roll'!$AB15=1,'Rent Roll'!N15,"")</f>
        <v/>
      </c>
      <c r="BE697" s="223"/>
      <c r="BF697" s="6"/>
      <c r="BG697" s="32"/>
      <c r="BH697" s="342"/>
      <c r="BI697" s="343"/>
      <c r="BJ697" s="342"/>
      <c r="BK697" s="343"/>
      <c r="BL697" s="32"/>
      <c r="BM697" s="187"/>
      <c r="BN697" s="187"/>
    </row>
    <row r="698" spans="1:66" ht="15.95" hidden="1" customHeight="1" x14ac:dyDescent="0.25">
      <c r="A698" s="957">
        <f t="shared" ca="1" si="23"/>
        <v>0</v>
      </c>
      <c r="AY698" s="4"/>
      <c r="AZ698" s="5"/>
      <c r="BA698" s="5" t="str">
        <f ca="1">IF('Rent Roll'!$AB16=1,'Rent Roll'!E16,"")</f>
        <v/>
      </c>
      <c r="BB698" s="39" t="str">
        <f ca="1">IF('Rent Roll'!$AB16=1,'Rent Roll'!G16,"")</f>
        <v/>
      </c>
      <c r="BC698" s="1547" t="str">
        <f ca="1">IF('Rent Roll'!$AB16=1,'Rent Roll'!K16,"")</f>
        <v/>
      </c>
      <c r="BD698" s="1551" t="str">
        <f ca="1">IF('Rent Roll'!$AB16=1,'Rent Roll'!N16,"")</f>
        <v/>
      </c>
      <c r="BE698" s="223"/>
      <c r="BF698" s="6"/>
      <c r="BG698" s="32"/>
      <c r="BH698" s="342"/>
      <c r="BI698" s="343"/>
      <c r="BJ698" s="342"/>
      <c r="BK698" s="343"/>
      <c r="BL698" s="32"/>
      <c r="BM698" s="187"/>
      <c r="BN698" s="187"/>
    </row>
    <row r="699" spans="1:66" ht="15.95" hidden="1" customHeight="1" x14ac:dyDescent="0.25">
      <c r="A699" s="957">
        <f t="shared" ca="1" si="23"/>
        <v>0</v>
      </c>
      <c r="AY699" s="4"/>
      <c r="AZ699" s="5"/>
      <c r="BA699" s="5" t="str">
        <f ca="1">IF('Rent Roll'!$AB17=1,'Rent Roll'!E17,"")</f>
        <v/>
      </c>
      <c r="BB699" s="39" t="str">
        <f ca="1">IF('Rent Roll'!$AB17=1,'Rent Roll'!G17,"")</f>
        <v/>
      </c>
      <c r="BC699" s="1547" t="str">
        <f ca="1">IF('Rent Roll'!$AB17=1,'Rent Roll'!K17,"")</f>
        <v/>
      </c>
      <c r="BD699" s="1551" t="str">
        <f ca="1">IF('Rent Roll'!$AB17=1,'Rent Roll'!N17,"")</f>
        <v/>
      </c>
      <c r="BE699" s="223"/>
      <c r="BF699" s="6"/>
      <c r="BG699" s="32"/>
      <c r="BH699" s="342"/>
      <c r="BI699" s="343"/>
      <c r="BJ699" s="342"/>
      <c r="BK699" s="343"/>
      <c r="BL699" s="32"/>
      <c r="BM699" s="187"/>
      <c r="BN699" s="187"/>
    </row>
    <row r="700" spans="1:66" ht="15.95" hidden="1" customHeight="1" x14ac:dyDescent="0.25">
      <c r="A700" s="957">
        <f t="shared" ca="1" si="23"/>
        <v>0</v>
      </c>
      <c r="AY700" s="4"/>
      <c r="AZ700" s="5"/>
      <c r="BA700" s="5" t="str">
        <f ca="1">IF('Rent Roll'!$AB18=1,'Rent Roll'!E18,"")</f>
        <v/>
      </c>
      <c r="BB700" s="39" t="str">
        <f ca="1">IF('Rent Roll'!$AB18=1,'Rent Roll'!G18,"")</f>
        <v/>
      </c>
      <c r="BC700" s="1547" t="str">
        <f ca="1">IF('Rent Roll'!$AB18=1,'Rent Roll'!K18,"")</f>
        <v/>
      </c>
      <c r="BD700" s="1551" t="str">
        <f ca="1">IF('Rent Roll'!$AB18=1,'Rent Roll'!N18,"")</f>
        <v/>
      </c>
      <c r="BE700" s="223"/>
      <c r="BF700" s="6"/>
      <c r="BG700" s="32"/>
      <c r="BH700" s="342"/>
      <c r="BI700" s="343"/>
      <c r="BJ700" s="342"/>
      <c r="BK700" s="343"/>
      <c r="BL700" s="32"/>
      <c r="BM700" s="187"/>
      <c r="BN700" s="187"/>
    </row>
    <row r="701" spans="1:66" ht="15.95" hidden="1" customHeight="1" x14ac:dyDescent="0.25">
      <c r="A701" s="957">
        <f t="shared" ca="1" si="23"/>
        <v>0</v>
      </c>
      <c r="AY701" s="4"/>
      <c r="AZ701" s="5"/>
      <c r="BA701" s="5" t="str">
        <f ca="1">IF('Rent Roll'!$AB19=1,'Rent Roll'!E19,"")</f>
        <v/>
      </c>
      <c r="BB701" s="39" t="str">
        <f ca="1">IF('Rent Roll'!$AB19=1,'Rent Roll'!G19,"")</f>
        <v/>
      </c>
      <c r="BC701" s="1547" t="str">
        <f ca="1">IF('Rent Roll'!$AB19=1,'Rent Roll'!K19,"")</f>
        <v/>
      </c>
      <c r="BD701" s="1551" t="str">
        <f ca="1">IF('Rent Roll'!$AB19=1,'Rent Roll'!N19,"")</f>
        <v/>
      </c>
      <c r="BE701" s="223"/>
      <c r="BF701" s="6"/>
      <c r="BG701" s="32"/>
      <c r="BH701" s="342"/>
      <c r="BI701" s="343"/>
      <c r="BJ701" s="342"/>
      <c r="BK701" s="343"/>
      <c r="BL701" s="32"/>
      <c r="BM701" s="187"/>
      <c r="BN701" s="187"/>
    </row>
    <row r="702" spans="1:66" ht="15.95" hidden="1" customHeight="1" x14ac:dyDescent="0.25">
      <c r="A702" s="957">
        <f t="shared" ca="1" si="23"/>
        <v>0</v>
      </c>
      <c r="AY702" s="4"/>
      <c r="AZ702" s="5"/>
      <c r="BA702" s="5" t="str">
        <f ca="1">IF('Rent Roll'!$AB20=1,'Rent Roll'!E20,"")</f>
        <v/>
      </c>
      <c r="BB702" s="39" t="str">
        <f ca="1">IF('Rent Roll'!$AB20=1,'Rent Roll'!G20,"")</f>
        <v/>
      </c>
      <c r="BC702" s="1547" t="str">
        <f ca="1">IF('Rent Roll'!$AB20=1,'Rent Roll'!K20,"")</f>
        <v/>
      </c>
      <c r="BD702" s="1551" t="str">
        <f ca="1">IF('Rent Roll'!$AB20=1,'Rent Roll'!N20,"")</f>
        <v/>
      </c>
      <c r="BE702" s="223"/>
      <c r="BF702" s="6"/>
      <c r="BG702" s="32"/>
      <c r="BH702" s="342"/>
      <c r="BI702" s="343"/>
      <c r="BJ702" s="342"/>
      <c r="BK702" s="343"/>
      <c r="BL702" s="32"/>
      <c r="BM702" s="187"/>
      <c r="BN702" s="187"/>
    </row>
    <row r="703" spans="1:66" ht="15.95" hidden="1" customHeight="1" x14ac:dyDescent="0.25">
      <c r="A703" s="957">
        <f t="shared" ca="1" si="23"/>
        <v>0</v>
      </c>
      <c r="AY703" s="4"/>
      <c r="AZ703" s="5"/>
      <c r="BA703" s="5" t="str">
        <f ca="1">IF('Rent Roll'!$AB21=1,'Rent Roll'!E21,"")</f>
        <v/>
      </c>
      <c r="BB703" s="39" t="str">
        <f ca="1">IF('Rent Roll'!$AB21=1,'Rent Roll'!G21,"")</f>
        <v/>
      </c>
      <c r="BC703" s="1547" t="str">
        <f ca="1">IF('Rent Roll'!$AB21=1,'Rent Roll'!K21,"")</f>
        <v/>
      </c>
      <c r="BD703" s="1551" t="str">
        <f ca="1">IF('Rent Roll'!$AB21=1,'Rent Roll'!N21,"")</f>
        <v/>
      </c>
      <c r="BE703" s="223"/>
      <c r="BF703" s="6"/>
      <c r="BG703" s="32"/>
      <c r="BH703" s="342"/>
      <c r="BI703" s="343"/>
      <c r="BJ703" s="342"/>
      <c r="BK703" s="343"/>
      <c r="BL703" s="32"/>
      <c r="BM703" s="187"/>
      <c r="BN703" s="187"/>
    </row>
    <row r="704" spans="1:66" ht="15.95" hidden="1" customHeight="1" x14ac:dyDescent="0.25">
      <c r="A704" s="957">
        <f t="shared" ca="1" si="23"/>
        <v>0</v>
      </c>
      <c r="AY704" s="4"/>
      <c r="AZ704" s="5"/>
      <c r="BA704" s="5" t="str">
        <f ca="1">IF('Rent Roll'!$AB22=1,'Rent Roll'!E22,"")</f>
        <v/>
      </c>
      <c r="BB704" s="39" t="str">
        <f ca="1">IF('Rent Roll'!$AB22=1,'Rent Roll'!G22,"")</f>
        <v/>
      </c>
      <c r="BC704" s="1547" t="str">
        <f ca="1">IF('Rent Roll'!$AB22=1,'Rent Roll'!K22,"")</f>
        <v/>
      </c>
      <c r="BD704" s="1551" t="str">
        <f ca="1">IF('Rent Roll'!$AB22=1,'Rent Roll'!N22,"")</f>
        <v/>
      </c>
      <c r="BE704" s="223"/>
      <c r="BF704" s="6"/>
      <c r="BG704" s="32"/>
      <c r="BH704" s="342"/>
      <c r="BI704" s="343"/>
      <c r="BJ704" s="342"/>
      <c r="BK704" s="343"/>
      <c r="BL704" s="32"/>
      <c r="BM704" s="187"/>
      <c r="BN704" s="187"/>
    </row>
    <row r="705" spans="1:66" ht="15.95" hidden="1" customHeight="1" x14ac:dyDescent="0.25">
      <c r="A705" s="957">
        <f t="shared" ca="1" si="23"/>
        <v>0</v>
      </c>
      <c r="AY705" s="4"/>
      <c r="AZ705" s="5"/>
      <c r="BA705" s="5" t="str">
        <f ca="1">IF('Rent Roll'!$AB23=1,'Rent Roll'!E23,"")</f>
        <v/>
      </c>
      <c r="BB705" s="39" t="str">
        <f ca="1">IF('Rent Roll'!$AB23=1,'Rent Roll'!G23,"")</f>
        <v/>
      </c>
      <c r="BC705" s="1547" t="str">
        <f ca="1">IF('Rent Roll'!$AB23=1,'Rent Roll'!K23,"")</f>
        <v/>
      </c>
      <c r="BD705" s="1551" t="str">
        <f ca="1">IF('Rent Roll'!$AB23=1,'Rent Roll'!N23,"")</f>
        <v/>
      </c>
      <c r="BE705" s="223"/>
      <c r="BF705" s="6"/>
      <c r="BG705" s="32"/>
      <c r="BH705" s="342"/>
      <c r="BI705" s="343"/>
      <c r="BJ705" s="342"/>
      <c r="BK705" s="343"/>
      <c r="BL705" s="32"/>
      <c r="BM705" s="187"/>
      <c r="BN705" s="187"/>
    </row>
    <row r="706" spans="1:66" ht="15.95" hidden="1" customHeight="1" x14ac:dyDescent="0.25">
      <c r="A706" s="957">
        <f t="shared" ca="1" si="23"/>
        <v>0</v>
      </c>
      <c r="AY706" s="4"/>
      <c r="AZ706" s="5"/>
      <c r="BA706" s="5" t="str">
        <f ca="1">IF('Rent Roll'!$AB24=1,'Rent Roll'!E24,"")</f>
        <v/>
      </c>
      <c r="BB706" s="39" t="str">
        <f ca="1">IF('Rent Roll'!$AB24=1,'Rent Roll'!G24,"")</f>
        <v/>
      </c>
      <c r="BC706" s="1547" t="str">
        <f ca="1">IF('Rent Roll'!$AB24=1,'Rent Roll'!K24,"")</f>
        <v/>
      </c>
      <c r="BD706" s="1551" t="str">
        <f ca="1">IF('Rent Roll'!$AB24=1,'Rent Roll'!N24,"")</f>
        <v/>
      </c>
      <c r="BE706" s="223"/>
      <c r="BF706" s="6"/>
      <c r="BG706" s="32"/>
      <c r="BH706" s="342"/>
      <c r="BI706" s="343"/>
      <c r="BJ706" s="342"/>
      <c r="BK706" s="343"/>
      <c r="BL706" s="32"/>
      <c r="BM706" s="187"/>
      <c r="BN706" s="187"/>
    </row>
    <row r="707" spans="1:66" ht="15.95" hidden="1" customHeight="1" x14ac:dyDescent="0.25">
      <c r="A707" s="957">
        <f t="shared" ca="1" si="23"/>
        <v>0</v>
      </c>
      <c r="AY707" s="4"/>
      <c r="AZ707" s="5"/>
      <c r="BA707" s="5" t="str">
        <f ca="1">IF('Rent Roll'!$AB25=1,'Rent Roll'!E25,"")</f>
        <v/>
      </c>
      <c r="BB707" s="39" t="str">
        <f ca="1">IF('Rent Roll'!$AB25=1,'Rent Roll'!G25,"")</f>
        <v/>
      </c>
      <c r="BC707" s="1547" t="str">
        <f ca="1">IF('Rent Roll'!$AB25=1,'Rent Roll'!K25,"")</f>
        <v/>
      </c>
      <c r="BD707" s="1551" t="str">
        <f ca="1">IF('Rent Roll'!$AB25=1,'Rent Roll'!N25,"")</f>
        <v/>
      </c>
      <c r="BE707" s="223"/>
      <c r="BF707" s="6"/>
      <c r="BG707" s="32"/>
      <c r="BH707" s="342"/>
      <c r="BI707" s="343"/>
      <c r="BJ707" s="342"/>
      <c r="BK707" s="343"/>
      <c r="BL707" s="32"/>
      <c r="BM707" s="187"/>
      <c r="BN707" s="187"/>
    </row>
    <row r="708" spans="1:66" ht="15.95" hidden="1" customHeight="1" x14ac:dyDescent="0.25">
      <c r="A708" s="957">
        <f t="shared" ca="1" si="23"/>
        <v>0</v>
      </c>
      <c r="AY708" s="4"/>
      <c r="AZ708" s="5"/>
      <c r="BA708" s="5" t="str">
        <f ca="1">IF('Rent Roll'!$AB26=1,'Rent Roll'!E26,"")</f>
        <v/>
      </c>
      <c r="BB708" s="39" t="str">
        <f ca="1">IF('Rent Roll'!$AB26=1,'Rent Roll'!G26,"")</f>
        <v/>
      </c>
      <c r="BC708" s="1547" t="str">
        <f ca="1">IF('Rent Roll'!$AB26=1,'Rent Roll'!K26,"")</f>
        <v/>
      </c>
      <c r="BD708" s="1551" t="str">
        <f ca="1">IF('Rent Roll'!$AB26=1,'Rent Roll'!N26,"")</f>
        <v/>
      </c>
      <c r="BE708" s="223"/>
      <c r="BF708" s="6"/>
      <c r="BG708" s="32"/>
      <c r="BH708" s="342"/>
      <c r="BI708" s="343"/>
      <c r="BJ708" s="342"/>
      <c r="BK708" s="343"/>
      <c r="BL708" s="32"/>
      <c r="BM708" s="187"/>
      <c r="BN708" s="187"/>
    </row>
    <row r="709" spans="1:66" ht="15.95" hidden="1" customHeight="1" x14ac:dyDescent="0.25">
      <c r="A709" s="957">
        <f t="shared" ca="1" si="23"/>
        <v>0</v>
      </c>
      <c r="AY709" s="4"/>
      <c r="AZ709" s="5"/>
      <c r="BA709" s="5" t="str">
        <f ca="1">IF('Rent Roll'!$AB27=1,'Rent Roll'!E27,"")</f>
        <v/>
      </c>
      <c r="BB709" s="39" t="str">
        <f ca="1">IF('Rent Roll'!$AB27=1,'Rent Roll'!G27,"")</f>
        <v/>
      </c>
      <c r="BC709" s="1547" t="str">
        <f ca="1">IF('Rent Roll'!$AB27=1,'Rent Roll'!K27,"")</f>
        <v/>
      </c>
      <c r="BD709" s="1551" t="str">
        <f ca="1">IF('Rent Roll'!$AB27=1,'Rent Roll'!N27,"")</f>
        <v/>
      </c>
      <c r="BE709" s="223"/>
      <c r="BF709" s="6"/>
      <c r="BG709" s="32"/>
      <c r="BH709" s="342"/>
      <c r="BI709" s="343"/>
      <c r="BJ709" s="342"/>
      <c r="BK709" s="343"/>
      <c r="BL709" s="32"/>
      <c r="BM709" s="187"/>
      <c r="BN709" s="187"/>
    </row>
    <row r="710" spans="1:66" ht="15.95" hidden="1" customHeight="1" x14ac:dyDescent="0.25">
      <c r="A710" s="957">
        <f t="shared" ca="1" si="23"/>
        <v>0</v>
      </c>
      <c r="AY710" s="4"/>
      <c r="AZ710" s="5"/>
      <c r="BA710" s="5" t="str">
        <f ca="1">IF('Rent Roll'!$AB28=1,'Rent Roll'!E28,"")</f>
        <v/>
      </c>
      <c r="BB710" s="39" t="str">
        <f ca="1">IF('Rent Roll'!$AB28=1,'Rent Roll'!G28,"")</f>
        <v/>
      </c>
      <c r="BC710" s="1547" t="str">
        <f ca="1">IF('Rent Roll'!$AB28=1,'Rent Roll'!K28,"")</f>
        <v/>
      </c>
      <c r="BD710" s="1551" t="str">
        <f ca="1">IF('Rent Roll'!$AB28=1,'Rent Roll'!N28,"")</f>
        <v/>
      </c>
      <c r="BE710" s="223"/>
      <c r="BF710" s="6"/>
      <c r="BG710" s="32"/>
      <c r="BH710" s="342"/>
      <c r="BI710" s="343"/>
      <c r="BJ710" s="342"/>
      <c r="BK710" s="343"/>
      <c r="BL710" s="32"/>
      <c r="BM710" s="187"/>
      <c r="BN710" s="187"/>
    </row>
    <row r="711" spans="1:66" ht="15.95" hidden="1" customHeight="1" x14ac:dyDescent="0.25">
      <c r="A711" s="957">
        <f t="shared" ca="1" si="23"/>
        <v>0</v>
      </c>
      <c r="AY711" s="4"/>
      <c r="AZ711" s="5"/>
      <c r="BA711" s="5" t="str">
        <f ca="1">IF('Rent Roll'!$AB29=1,'Rent Roll'!E29,"")</f>
        <v/>
      </c>
      <c r="BB711" s="39" t="str">
        <f ca="1">IF('Rent Roll'!$AB29=1,'Rent Roll'!G29,"")</f>
        <v/>
      </c>
      <c r="BC711" s="1547" t="str">
        <f ca="1">IF('Rent Roll'!$AB29=1,'Rent Roll'!K29,"")</f>
        <v/>
      </c>
      <c r="BD711" s="1551" t="str">
        <f ca="1">IF('Rent Roll'!$AB29=1,'Rent Roll'!N29,"")</f>
        <v/>
      </c>
      <c r="BE711" s="223"/>
      <c r="BF711" s="6"/>
      <c r="BG711" s="32"/>
      <c r="BH711" s="342"/>
      <c r="BI711" s="343"/>
      <c r="BJ711" s="342"/>
      <c r="BK711" s="343"/>
      <c r="BL711" s="32"/>
      <c r="BM711" s="187"/>
      <c r="BN711" s="187"/>
    </row>
    <row r="712" spans="1:66" ht="15.95" hidden="1" customHeight="1" x14ac:dyDescent="0.25">
      <c r="A712" s="957">
        <f t="shared" ca="1" si="23"/>
        <v>0</v>
      </c>
      <c r="AY712" s="4"/>
      <c r="AZ712" s="5"/>
      <c r="BA712" s="5" t="str">
        <f ca="1">IF('Rent Roll'!$AB30=1,'Rent Roll'!E30,"")</f>
        <v/>
      </c>
      <c r="BB712" s="39" t="str">
        <f ca="1">IF('Rent Roll'!$AB30=1,'Rent Roll'!G30,"")</f>
        <v/>
      </c>
      <c r="BC712" s="1547" t="str">
        <f ca="1">IF('Rent Roll'!$AB30=1,'Rent Roll'!K30,"")</f>
        <v/>
      </c>
      <c r="BD712" s="1551" t="str">
        <f ca="1">IF('Rent Roll'!$AB30=1,'Rent Roll'!N30,"")</f>
        <v/>
      </c>
      <c r="BE712" s="223"/>
      <c r="BF712" s="6"/>
      <c r="BG712" s="32"/>
      <c r="BH712" s="342"/>
      <c r="BI712" s="343"/>
      <c r="BJ712" s="342"/>
      <c r="BK712" s="343"/>
      <c r="BL712" s="32"/>
      <c r="BM712" s="187"/>
      <c r="BN712" s="187"/>
    </row>
    <row r="713" spans="1:66" ht="15.95" hidden="1" customHeight="1" x14ac:dyDescent="0.25">
      <c r="A713" s="957">
        <f t="shared" ca="1" si="23"/>
        <v>0</v>
      </c>
      <c r="AY713" s="4"/>
      <c r="AZ713" s="5"/>
      <c r="BA713" s="5" t="str">
        <f ca="1">IF('Rent Roll'!$AB31=1,'Rent Roll'!E31,"")</f>
        <v/>
      </c>
      <c r="BB713" s="39" t="str">
        <f ca="1">IF('Rent Roll'!$AB31=1,'Rent Roll'!G31,"")</f>
        <v/>
      </c>
      <c r="BC713" s="1547" t="str">
        <f ca="1">IF('Rent Roll'!$AB31=1,'Rent Roll'!K31,"")</f>
        <v/>
      </c>
      <c r="BD713" s="1551" t="str">
        <f ca="1">IF('Rent Roll'!$AB31=1,'Rent Roll'!N31,"")</f>
        <v/>
      </c>
      <c r="BE713" s="223"/>
      <c r="BF713" s="6"/>
      <c r="BG713" s="32"/>
      <c r="BH713" s="342"/>
      <c r="BI713" s="343"/>
      <c r="BJ713" s="342"/>
      <c r="BK713" s="343"/>
      <c r="BL713" s="32"/>
      <c r="BM713" s="187"/>
      <c r="BN713" s="187"/>
    </row>
    <row r="714" spans="1:66" ht="15.95" hidden="1" customHeight="1" x14ac:dyDescent="0.25">
      <c r="A714" s="957">
        <f t="shared" ca="1" si="23"/>
        <v>0</v>
      </c>
      <c r="AY714" s="4"/>
      <c r="AZ714" s="5"/>
      <c r="BA714" s="5" t="str">
        <f ca="1">IF('Rent Roll'!$AB32=1,'Rent Roll'!E32,"")</f>
        <v/>
      </c>
      <c r="BB714" s="39" t="str">
        <f ca="1">IF('Rent Roll'!$AB32=1,'Rent Roll'!G32,"")</f>
        <v/>
      </c>
      <c r="BC714" s="1547" t="str">
        <f ca="1">IF('Rent Roll'!$AB32=1,'Rent Roll'!K32,"")</f>
        <v/>
      </c>
      <c r="BD714" s="1551" t="str">
        <f ca="1">IF('Rent Roll'!$AB32=1,'Rent Roll'!N32,"")</f>
        <v/>
      </c>
      <c r="BE714" s="223"/>
      <c r="BF714" s="6"/>
      <c r="BG714" s="32"/>
      <c r="BH714" s="342"/>
      <c r="BI714" s="343"/>
      <c r="BJ714" s="342"/>
      <c r="BK714" s="343"/>
      <c r="BL714" s="32"/>
      <c r="BM714" s="187"/>
      <c r="BN714" s="187"/>
    </row>
    <row r="715" spans="1:66" ht="15.95" hidden="1" customHeight="1" x14ac:dyDescent="0.25">
      <c r="A715" s="957">
        <f t="shared" ca="1" si="23"/>
        <v>0</v>
      </c>
      <c r="AY715" s="4"/>
      <c r="AZ715" s="5"/>
      <c r="BA715" s="5" t="str">
        <f ca="1">IF('Rent Roll'!$AB33=1,'Rent Roll'!E33,"")</f>
        <v/>
      </c>
      <c r="BB715" s="39" t="str">
        <f ca="1">IF('Rent Roll'!$AB33=1,'Rent Roll'!G33,"")</f>
        <v/>
      </c>
      <c r="BC715" s="1547" t="str">
        <f ca="1">IF('Rent Roll'!$AB33=1,'Rent Roll'!K33,"")</f>
        <v/>
      </c>
      <c r="BD715" s="1551" t="str">
        <f ca="1">IF('Rent Roll'!$AB33=1,'Rent Roll'!N33,"")</f>
        <v/>
      </c>
      <c r="BE715" s="223"/>
      <c r="BF715" s="6"/>
      <c r="BG715" s="32"/>
      <c r="BH715" s="342"/>
      <c r="BI715" s="343"/>
      <c r="BJ715" s="342"/>
      <c r="BK715" s="343"/>
      <c r="BL715" s="32"/>
      <c r="BM715" s="187"/>
      <c r="BN715" s="187"/>
    </row>
    <row r="716" spans="1:66" ht="15.95" hidden="1" customHeight="1" x14ac:dyDescent="0.25">
      <c r="A716" s="957">
        <f t="shared" ca="1" si="23"/>
        <v>0</v>
      </c>
      <c r="AY716" s="4"/>
      <c r="AZ716" s="5"/>
      <c r="BA716" s="5" t="str">
        <f ca="1">IF('Rent Roll'!$AB34=1,'Rent Roll'!E34,"")</f>
        <v/>
      </c>
      <c r="BB716" s="39" t="str">
        <f ca="1">IF('Rent Roll'!$AB34=1,'Rent Roll'!G34,"")</f>
        <v/>
      </c>
      <c r="BC716" s="1547" t="str">
        <f ca="1">IF('Rent Roll'!$AB34=1,'Rent Roll'!K34,"")</f>
        <v/>
      </c>
      <c r="BD716" s="1551" t="str">
        <f ca="1">IF('Rent Roll'!$AB34=1,'Rent Roll'!N34,"")</f>
        <v/>
      </c>
      <c r="BE716" s="223"/>
      <c r="BF716" s="6"/>
      <c r="BG716" s="32"/>
      <c r="BH716" s="342"/>
      <c r="BI716" s="343"/>
      <c r="BJ716" s="342"/>
      <c r="BK716" s="343"/>
      <c r="BL716" s="32"/>
      <c r="BM716" s="187"/>
      <c r="BN716" s="187"/>
    </row>
    <row r="717" spans="1:66" ht="15.95" hidden="1" customHeight="1" x14ac:dyDescent="0.25">
      <c r="A717" s="957">
        <f t="shared" ca="1" si="23"/>
        <v>0</v>
      </c>
      <c r="AY717" s="4"/>
      <c r="AZ717" s="5"/>
      <c r="BA717" s="5" t="str">
        <f ca="1">IF('Rent Roll'!$AB35=1,'Rent Roll'!E35,"")</f>
        <v/>
      </c>
      <c r="BB717" s="39" t="str">
        <f ca="1">IF('Rent Roll'!$AB35=1,'Rent Roll'!G35,"")</f>
        <v/>
      </c>
      <c r="BC717" s="1547" t="str">
        <f ca="1">IF('Rent Roll'!$AB35=1,'Rent Roll'!K35,"")</f>
        <v/>
      </c>
      <c r="BD717" s="1551" t="str">
        <f ca="1">IF('Rent Roll'!$AB35=1,'Rent Roll'!N35,"")</f>
        <v/>
      </c>
      <c r="BE717" s="223"/>
      <c r="BF717" s="6"/>
      <c r="BG717" s="32"/>
      <c r="BH717" s="342"/>
      <c r="BI717" s="343"/>
      <c r="BJ717" s="342"/>
      <c r="BK717" s="343"/>
      <c r="BL717" s="32"/>
      <c r="BM717" s="187"/>
      <c r="BN717" s="187"/>
    </row>
    <row r="718" spans="1:66" ht="15.95" hidden="1" customHeight="1" x14ac:dyDescent="0.25">
      <c r="A718" s="957">
        <f t="shared" ca="1" si="23"/>
        <v>0</v>
      </c>
      <c r="AY718" s="4"/>
      <c r="AZ718" s="5"/>
      <c r="BA718" s="5" t="str">
        <f ca="1">IF('Rent Roll'!$AB36=1,'Rent Roll'!E36,"")</f>
        <v/>
      </c>
      <c r="BB718" s="39" t="str">
        <f ca="1">IF('Rent Roll'!$AB36=1,'Rent Roll'!G36,"")</f>
        <v/>
      </c>
      <c r="BC718" s="1547" t="str">
        <f ca="1">IF('Rent Roll'!$AB36=1,'Rent Roll'!K36,"")</f>
        <v/>
      </c>
      <c r="BD718" s="1551" t="str">
        <f ca="1">IF('Rent Roll'!$AB36=1,'Rent Roll'!N36,"")</f>
        <v/>
      </c>
      <c r="BE718" s="223"/>
      <c r="BF718" s="6"/>
      <c r="BG718" s="32"/>
      <c r="BH718" s="342"/>
      <c r="BI718" s="343"/>
      <c r="BJ718" s="342"/>
      <c r="BK718" s="343"/>
      <c r="BL718" s="32"/>
      <c r="BM718" s="187"/>
      <c r="BN718" s="187"/>
    </row>
    <row r="719" spans="1:66" ht="15.95" hidden="1" customHeight="1" x14ac:dyDescent="0.25">
      <c r="A719" s="957">
        <f t="shared" ca="1" si="23"/>
        <v>0</v>
      </c>
      <c r="AY719" s="4"/>
      <c r="AZ719" s="5"/>
      <c r="BA719" s="5" t="str">
        <f ca="1">IF('Rent Roll'!$AB37=1,'Rent Roll'!E37,"")</f>
        <v/>
      </c>
      <c r="BB719" s="39" t="str">
        <f ca="1">IF('Rent Roll'!$AB37=1,'Rent Roll'!G37,"")</f>
        <v/>
      </c>
      <c r="BC719" s="1547" t="str">
        <f ca="1">IF('Rent Roll'!$AB37=1,'Rent Roll'!K37,"")</f>
        <v/>
      </c>
      <c r="BD719" s="1551" t="str">
        <f ca="1">IF('Rent Roll'!$AB37=1,'Rent Roll'!N37,"")</f>
        <v/>
      </c>
      <c r="BE719" s="223"/>
      <c r="BF719" s="6"/>
      <c r="BG719" s="32"/>
      <c r="BH719" s="342"/>
      <c r="BI719" s="343"/>
      <c r="BJ719" s="342"/>
      <c r="BK719" s="343"/>
      <c r="BL719" s="32"/>
      <c r="BM719" s="187"/>
      <c r="BN719" s="187"/>
    </row>
    <row r="720" spans="1:66" ht="15.95" hidden="1" customHeight="1" x14ac:dyDescent="0.25">
      <c r="A720" s="957">
        <f t="shared" ca="1" si="23"/>
        <v>0</v>
      </c>
      <c r="AY720" s="4"/>
      <c r="AZ720" s="5"/>
      <c r="BA720" s="5" t="str">
        <f ca="1">IF('Rent Roll'!$AB38=1,'Rent Roll'!E38,"")</f>
        <v/>
      </c>
      <c r="BB720" s="39" t="str">
        <f ca="1">IF('Rent Roll'!$AB38=1,'Rent Roll'!G38,"")</f>
        <v/>
      </c>
      <c r="BC720" s="1547" t="str">
        <f ca="1">IF('Rent Roll'!$AB38=1,'Rent Roll'!K38,"")</f>
        <v/>
      </c>
      <c r="BD720" s="1551" t="str">
        <f ca="1">IF('Rent Roll'!$AB38=1,'Rent Roll'!N38,"")</f>
        <v/>
      </c>
      <c r="BE720" s="223"/>
      <c r="BF720" s="6"/>
      <c r="BG720" s="32"/>
      <c r="BH720" s="342"/>
      <c r="BI720" s="343"/>
      <c r="BJ720" s="342"/>
      <c r="BK720" s="343"/>
      <c r="BL720" s="32"/>
      <c r="BM720" s="187"/>
      <c r="BN720" s="187"/>
    </row>
    <row r="721" spans="1:66" ht="15.95" hidden="1" customHeight="1" x14ac:dyDescent="0.25">
      <c r="A721" s="957">
        <f t="shared" ref="A721:A752" ca="1" si="24">IF(BA721="",0,1)</f>
        <v>0</v>
      </c>
      <c r="AY721" s="4"/>
      <c r="AZ721" s="5"/>
      <c r="BA721" s="5" t="str">
        <f ca="1">IF('Rent Roll'!$AB39=1,'Rent Roll'!E39,"")</f>
        <v/>
      </c>
      <c r="BB721" s="39" t="str">
        <f ca="1">IF('Rent Roll'!$AB39=1,'Rent Roll'!G39,"")</f>
        <v/>
      </c>
      <c r="BC721" s="1547" t="str">
        <f ca="1">IF('Rent Roll'!$AB39=1,'Rent Roll'!K39,"")</f>
        <v/>
      </c>
      <c r="BD721" s="1551" t="str">
        <f ca="1">IF('Rent Roll'!$AB39=1,'Rent Roll'!N39,"")</f>
        <v/>
      </c>
      <c r="BE721" s="223"/>
      <c r="BF721" s="6"/>
      <c r="BG721" s="32"/>
      <c r="BH721" s="342"/>
      <c r="BI721" s="343"/>
      <c r="BJ721" s="342"/>
      <c r="BK721" s="343"/>
      <c r="BL721" s="32"/>
      <c r="BM721" s="187"/>
      <c r="BN721" s="187"/>
    </row>
    <row r="722" spans="1:66" ht="15.95" hidden="1" customHeight="1" x14ac:dyDescent="0.25">
      <c r="A722" s="957">
        <f t="shared" ca="1" si="24"/>
        <v>0</v>
      </c>
      <c r="AY722" s="4"/>
      <c r="AZ722" s="5"/>
      <c r="BA722" s="5" t="str">
        <f ca="1">IF('Rent Roll'!$AB40=1,'Rent Roll'!E40,"")</f>
        <v/>
      </c>
      <c r="BB722" s="39" t="str">
        <f ca="1">IF('Rent Roll'!$AB40=1,'Rent Roll'!G40,"")</f>
        <v/>
      </c>
      <c r="BC722" s="1547" t="str">
        <f ca="1">IF('Rent Roll'!$AB40=1,'Rent Roll'!K40,"")</f>
        <v/>
      </c>
      <c r="BD722" s="1551" t="str">
        <f ca="1">IF('Rent Roll'!$AB40=1,'Rent Roll'!N40,"")</f>
        <v/>
      </c>
      <c r="BE722" s="223"/>
      <c r="BF722" s="6"/>
      <c r="BG722" s="32"/>
      <c r="BH722" s="342"/>
      <c r="BI722" s="343"/>
      <c r="BJ722" s="342"/>
      <c r="BK722" s="343"/>
      <c r="BL722" s="32"/>
      <c r="BM722" s="187"/>
      <c r="BN722" s="187"/>
    </row>
    <row r="723" spans="1:66" ht="15.95" hidden="1" customHeight="1" x14ac:dyDescent="0.25">
      <c r="A723" s="957">
        <f t="shared" ca="1" si="24"/>
        <v>0</v>
      </c>
      <c r="AY723" s="4"/>
      <c r="AZ723" s="5"/>
      <c r="BA723" s="5" t="str">
        <f ca="1">IF('Rent Roll'!$AB41=1,'Rent Roll'!E41,"")</f>
        <v/>
      </c>
      <c r="BB723" s="39" t="str">
        <f ca="1">IF('Rent Roll'!$AB41=1,'Rent Roll'!G41,"")</f>
        <v/>
      </c>
      <c r="BC723" s="1547" t="str">
        <f ca="1">IF('Rent Roll'!$AB41=1,'Rent Roll'!K41,"")</f>
        <v/>
      </c>
      <c r="BD723" s="1551" t="str">
        <f ca="1">IF('Rent Roll'!$AB41=1,'Rent Roll'!N41,"")</f>
        <v/>
      </c>
      <c r="BE723" s="223"/>
      <c r="BF723" s="6"/>
      <c r="BG723" s="32"/>
      <c r="BH723" s="342"/>
      <c r="BI723" s="343"/>
      <c r="BJ723" s="342"/>
      <c r="BK723" s="343"/>
      <c r="BL723" s="32"/>
      <c r="BM723" s="187"/>
      <c r="BN723" s="187"/>
    </row>
    <row r="724" spans="1:66" ht="15.95" hidden="1" customHeight="1" x14ac:dyDescent="0.25">
      <c r="A724" s="957">
        <f t="shared" ca="1" si="24"/>
        <v>0</v>
      </c>
      <c r="AY724" s="4"/>
      <c r="AZ724" s="5"/>
      <c r="BA724" s="5" t="str">
        <f ca="1">IF('Rent Roll'!$AB42=1,'Rent Roll'!E42,"")</f>
        <v/>
      </c>
      <c r="BB724" s="39" t="str">
        <f ca="1">IF('Rent Roll'!$AB42=1,'Rent Roll'!G42,"")</f>
        <v/>
      </c>
      <c r="BC724" s="1547" t="str">
        <f ca="1">IF('Rent Roll'!$AB42=1,'Rent Roll'!K42,"")</f>
        <v/>
      </c>
      <c r="BD724" s="1551" t="str">
        <f ca="1">IF('Rent Roll'!$AB42=1,'Rent Roll'!N42,"")</f>
        <v/>
      </c>
      <c r="BE724" s="223"/>
      <c r="BF724" s="6"/>
      <c r="BG724" s="32"/>
      <c r="BH724" s="342"/>
      <c r="BI724" s="343"/>
      <c r="BJ724" s="342"/>
      <c r="BK724" s="343"/>
      <c r="BL724" s="32"/>
      <c r="BM724" s="187"/>
      <c r="BN724" s="187"/>
    </row>
    <row r="725" spans="1:66" ht="15.95" hidden="1" customHeight="1" x14ac:dyDescent="0.25">
      <c r="A725" s="957">
        <f t="shared" ca="1" si="24"/>
        <v>0</v>
      </c>
      <c r="AY725" s="4"/>
      <c r="AZ725" s="5"/>
      <c r="BA725" s="5" t="str">
        <f ca="1">IF('Rent Roll'!$AB43=1,'Rent Roll'!E43,"")</f>
        <v/>
      </c>
      <c r="BB725" s="39" t="str">
        <f ca="1">IF('Rent Roll'!$AB43=1,'Rent Roll'!G43,"")</f>
        <v/>
      </c>
      <c r="BC725" s="1547" t="str">
        <f ca="1">IF('Rent Roll'!$AB43=1,'Rent Roll'!K43,"")</f>
        <v/>
      </c>
      <c r="BD725" s="1551" t="str">
        <f ca="1">IF('Rent Roll'!$AB43=1,'Rent Roll'!N43,"")</f>
        <v/>
      </c>
      <c r="BE725" s="223"/>
      <c r="BF725" s="6"/>
      <c r="BG725" s="32"/>
      <c r="BH725" s="342"/>
      <c r="BI725" s="343"/>
      <c r="BJ725" s="342"/>
      <c r="BK725" s="343"/>
      <c r="BL725" s="32"/>
      <c r="BM725" s="187"/>
      <c r="BN725" s="187"/>
    </row>
    <row r="726" spans="1:66" ht="15.95" hidden="1" customHeight="1" x14ac:dyDescent="0.25">
      <c r="A726" s="957">
        <f t="shared" ca="1" si="24"/>
        <v>0</v>
      </c>
      <c r="AY726" s="4"/>
      <c r="AZ726" s="5"/>
      <c r="BA726" s="5" t="str">
        <f ca="1">IF('Rent Roll'!$AB44=1,'Rent Roll'!E44,"")</f>
        <v/>
      </c>
      <c r="BB726" s="39" t="str">
        <f ca="1">IF('Rent Roll'!$AB44=1,'Rent Roll'!G44,"")</f>
        <v/>
      </c>
      <c r="BC726" s="1547" t="str">
        <f ca="1">IF('Rent Roll'!$AB44=1,'Rent Roll'!K44,"")</f>
        <v/>
      </c>
      <c r="BD726" s="1551" t="str">
        <f ca="1">IF('Rent Roll'!$AB44=1,'Rent Roll'!N44,"")</f>
        <v/>
      </c>
      <c r="BE726" s="223"/>
      <c r="BF726" s="6"/>
      <c r="BG726" s="32"/>
      <c r="BH726" s="342"/>
      <c r="BI726" s="343"/>
      <c r="BJ726" s="342"/>
      <c r="BK726" s="343"/>
      <c r="BL726" s="32"/>
      <c r="BM726" s="187"/>
      <c r="BN726" s="187"/>
    </row>
    <row r="727" spans="1:66" ht="15.95" hidden="1" customHeight="1" x14ac:dyDescent="0.25">
      <c r="A727" s="957">
        <f t="shared" ca="1" si="24"/>
        <v>0</v>
      </c>
      <c r="AY727" s="4"/>
      <c r="AZ727" s="5"/>
      <c r="BA727" s="5" t="str">
        <f ca="1">IF('Rent Roll'!$AB45=1,'Rent Roll'!E45,"")</f>
        <v/>
      </c>
      <c r="BB727" s="39" t="str">
        <f ca="1">IF('Rent Roll'!$AB45=1,'Rent Roll'!G45,"")</f>
        <v/>
      </c>
      <c r="BC727" s="1547" t="str">
        <f ca="1">IF('Rent Roll'!$AB45=1,'Rent Roll'!K45,"")</f>
        <v/>
      </c>
      <c r="BD727" s="1551" t="str">
        <f ca="1">IF('Rent Roll'!$AB45=1,'Rent Roll'!N45,"")</f>
        <v/>
      </c>
      <c r="BE727" s="223"/>
      <c r="BF727" s="6"/>
      <c r="BG727" s="32"/>
      <c r="BH727" s="342"/>
      <c r="BI727" s="343"/>
      <c r="BJ727" s="342"/>
      <c r="BK727" s="343"/>
      <c r="BL727" s="32"/>
      <c r="BM727" s="187"/>
      <c r="BN727" s="187"/>
    </row>
    <row r="728" spans="1:66" ht="15.95" hidden="1" customHeight="1" x14ac:dyDescent="0.25">
      <c r="A728" s="957">
        <f t="shared" ca="1" si="24"/>
        <v>0</v>
      </c>
      <c r="AY728" s="4"/>
      <c r="AZ728" s="5"/>
      <c r="BA728" s="5" t="str">
        <f ca="1">IF('Rent Roll'!$AB46=1,'Rent Roll'!E46,"")</f>
        <v/>
      </c>
      <c r="BB728" s="39" t="str">
        <f ca="1">IF('Rent Roll'!$AB46=1,'Rent Roll'!G46,"")</f>
        <v/>
      </c>
      <c r="BC728" s="1547" t="str">
        <f ca="1">IF('Rent Roll'!$AB46=1,'Rent Roll'!K46,"")</f>
        <v/>
      </c>
      <c r="BD728" s="1551" t="str">
        <f ca="1">IF('Rent Roll'!$AB46=1,'Rent Roll'!N46,"")</f>
        <v/>
      </c>
      <c r="BE728" s="223"/>
      <c r="BF728" s="6"/>
      <c r="BG728" s="32"/>
      <c r="BH728" s="342"/>
      <c r="BI728" s="343"/>
      <c r="BJ728" s="342"/>
      <c r="BK728" s="343"/>
      <c r="BL728" s="32"/>
      <c r="BM728" s="187"/>
      <c r="BN728" s="187"/>
    </row>
    <row r="729" spans="1:66" ht="15.95" hidden="1" customHeight="1" x14ac:dyDescent="0.25">
      <c r="A729" s="957">
        <f t="shared" ca="1" si="24"/>
        <v>0</v>
      </c>
      <c r="AY729" s="4"/>
      <c r="AZ729" s="5"/>
      <c r="BA729" s="5" t="str">
        <f ca="1">IF('Rent Roll'!$AB47=1,'Rent Roll'!E47,"")</f>
        <v/>
      </c>
      <c r="BB729" s="39" t="str">
        <f ca="1">IF('Rent Roll'!$AB47=1,'Rent Roll'!G47,"")</f>
        <v/>
      </c>
      <c r="BC729" s="1547" t="str">
        <f ca="1">IF('Rent Roll'!$AB47=1,'Rent Roll'!K47,"")</f>
        <v/>
      </c>
      <c r="BD729" s="1551" t="str">
        <f ca="1">IF('Rent Roll'!$AB47=1,'Rent Roll'!N47,"")</f>
        <v/>
      </c>
      <c r="BE729" s="223"/>
      <c r="BF729" s="6"/>
      <c r="BG729" s="32"/>
      <c r="BH729" s="342"/>
      <c r="BI729" s="343"/>
      <c r="BJ729" s="342"/>
      <c r="BK729" s="343"/>
      <c r="BL729" s="32"/>
      <c r="BM729" s="187"/>
      <c r="BN729" s="187"/>
    </row>
    <row r="730" spans="1:66" ht="15.95" hidden="1" customHeight="1" x14ac:dyDescent="0.25">
      <c r="A730" s="957">
        <f t="shared" ca="1" si="24"/>
        <v>0</v>
      </c>
      <c r="AY730" s="4"/>
      <c r="AZ730" s="5"/>
      <c r="BA730" s="5" t="str">
        <f ca="1">IF('Rent Roll'!$AB48=1,'Rent Roll'!E48,"")</f>
        <v/>
      </c>
      <c r="BB730" s="39" t="str">
        <f ca="1">IF('Rent Roll'!$AB48=1,'Rent Roll'!G48,"")</f>
        <v/>
      </c>
      <c r="BC730" s="1547" t="str">
        <f ca="1">IF('Rent Roll'!$AB48=1,'Rent Roll'!K48,"")</f>
        <v/>
      </c>
      <c r="BD730" s="1551" t="str">
        <f ca="1">IF('Rent Roll'!$AB48=1,'Rent Roll'!N48,"")</f>
        <v/>
      </c>
      <c r="BE730" s="223"/>
      <c r="BF730" s="6"/>
      <c r="BG730" s="32"/>
      <c r="BH730" s="342"/>
      <c r="BI730" s="343"/>
      <c r="BJ730" s="342"/>
      <c r="BK730" s="343"/>
      <c r="BL730" s="32"/>
      <c r="BM730" s="187"/>
      <c r="BN730" s="187"/>
    </row>
    <row r="731" spans="1:66" ht="15.95" hidden="1" customHeight="1" x14ac:dyDescent="0.25">
      <c r="A731" s="957">
        <f t="shared" ca="1" si="24"/>
        <v>0</v>
      </c>
      <c r="AY731" s="4"/>
      <c r="AZ731" s="5"/>
      <c r="BA731" s="5" t="str">
        <f ca="1">IF('Rent Roll'!$AB49=1,'Rent Roll'!E49,"")</f>
        <v/>
      </c>
      <c r="BB731" s="39" t="str">
        <f ca="1">IF('Rent Roll'!$AB49=1,'Rent Roll'!G49,"")</f>
        <v/>
      </c>
      <c r="BC731" s="1547" t="str">
        <f ca="1">IF('Rent Roll'!$AB49=1,'Rent Roll'!K49,"")</f>
        <v/>
      </c>
      <c r="BD731" s="1551" t="str">
        <f ca="1">IF('Rent Roll'!$AB49=1,'Rent Roll'!N49,"")</f>
        <v/>
      </c>
      <c r="BE731" s="223"/>
      <c r="BF731" s="6"/>
      <c r="BG731" s="32"/>
      <c r="BH731" s="342"/>
      <c r="BI731" s="343"/>
      <c r="BJ731" s="342"/>
      <c r="BK731" s="343"/>
      <c r="BL731" s="32"/>
      <c r="BM731" s="187"/>
      <c r="BN731" s="187"/>
    </row>
    <row r="732" spans="1:66" ht="15.95" hidden="1" customHeight="1" x14ac:dyDescent="0.25">
      <c r="A732" s="957">
        <f t="shared" ca="1" si="24"/>
        <v>0</v>
      </c>
      <c r="AY732" s="4"/>
      <c r="AZ732" s="5"/>
      <c r="BA732" s="5" t="str">
        <f ca="1">IF('Rent Roll'!$AB50=1,'Rent Roll'!E50,"")</f>
        <v/>
      </c>
      <c r="BB732" s="39" t="str">
        <f ca="1">IF('Rent Roll'!$AB50=1,'Rent Roll'!G50,"")</f>
        <v/>
      </c>
      <c r="BC732" s="1547" t="str">
        <f ca="1">IF('Rent Roll'!$AB50=1,'Rent Roll'!K50,"")</f>
        <v/>
      </c>
      <c r="BD732" s="1551" t="str">
        <f ca="1">IF('Rent Roll'!$AB50=1,'Rent Roll'!N50,"")</f>
        <v/>
      </c>
      <c r="BE732" s="223"/>
      <c r="BF732" s="6"/>
      <c r="BG732" s="32"/>
      <c r="BH732" s="342"/>
      <c r="BI732" s="343"/>
      <c r="BJ732" s="342"/>
      <c r="BK732" s="343"/>
      <c r="BL732" s="32"/>
      <c r="BM732" s="187"/>
      <c r="BN732" s="187"/>
    </row>
    <row r="733" spans="1:66" ht="15.95" hidden="1" customHeight="1" x14ac:dyDescent="0.25">
      <c r="A733" s="957">
        <f t="shared" ca="1" si="24"/>
        <v>0</v>
      </c>
      <c r="AY733" s="4"/>
      <c r="AZ733" s="5"/>
      <c r="BA733" s="5" t="str">
        <f ca="1">IF('Rent Roll'!$AB51=1,'Rent Roll'!E51,"")</f>
        <v/>
      </c>
      <c r="BB733" s="39" t="str">
        <f ca="1">IF('Rent Roll'!$AB51=1,'Rent Roll'!G51,"")</f>
        <v/>
      </c>
      <c r="BC733" s="1547" t="str">
        <f ca="1">IF('Rent Roll'!$AB51=1,'Rent Roll'!K51,"")</f>
        <v/>
      </c>
      <c r="BD733" s="1551" t="str">
        <f ca="1">IF('Rent Roll'!$AB51=1,'Rent Roll'!N51,"")</f>
        <v/>
      </c>
      <c r="BE733" s="223"/>
      <c r="BF733" s="6"/>
      <c r="BG733" s="32"/>
      <c r="BH733" s="342"/>
      <c r="BI733" s="343"/>
      <c r="BJ733" s="342"/>
      <c r="BK733" s="343"/>
      <c r="BL733" s="32"/>
      <c r="BM733" s="187"/>
      <c r="BN733" s="187"/>
    </row>
    <row r="734" spans="1:66" ht="15.95" hidden="1" customHeight="1" x14ac:dyDescent="0.25">
      <c r="A734" s="957">
        <f t="shared" ca="1" si="24"/>
        <v>0</v>
      </c>
      <c r="AY734" s="4"/>
      <c r="AZ734" s="5"/>
      <c r="BA734" s="5" t="str">
        <f ca="1">IF('Rent Roll'!$AB52=1,'Rent Roll'!E52,"")</f>
        <v/>
      </c>
      <c r="BB734" s="39" t="str">
        <f ca="1">IF('Rent Roll'!$AB52=1,'Rent Roll'!G52,"")</f>
        <v/>
      </c>
      <c r="BC734" s="1547" t="str">
        <f ca="1">IF('Rent Roll'!$AB52=1,'Rent Roll'!K52,"")</f>
        <v/>
      </c>
      <c r="BD734" s="1551" t="str">
        <f ca="1">IF('Rent Roll'!$AB52=1,'Rent Roll'!N52,"")</f>
        <v/>
      </c>
      <c r="BE734" s="223"/>
      <c r="BF734" s="6"/>
      <c r="BG734" s="32"/>
      <c r="BH734" s="342"/>
      <c r="BI734" s="343"/>
      <c r="BJ734" s="342"/>
      <c r="BK734" s="343"/>
      <c r="BL734" s="32"/>
      <c r="BM734" s="187"/>
      <c r="BN734" s="187"/>
    </row>
    <row r="735" spans="1:66" ht="15.95" hidden="1" customHeight="1" x14ac:dyDescent="0.25">
      <c r="A735" s="957">
        <f t="shared" ca="1" si="24"/>
        <v>0</v>
      </c>
      <c r="AY735" s="4"/>
      <c r="AZ735" s="5"/>
      <c r="BA735" s="5" t="str">
        <f ca="1">IF('Rent Roll'!$AB53=1,'Rent Roll'!E53,"")</f>
        <v/>
      </c>
      <c r="BB735" s="39" t="str">
        <f ca="1">IF('Rent Roll'!$AB53=1,'Rent Roll'!G53,"")</f>
        <v/>
      </c>
      <c r="BC735" s="1547" t="str">
        <f ca="1">IF('Rent Roll'!$AB53=1,'Rent Roll'!K53,"")</f>
        <v/>
      </c>
      <c r="BD735" s="1551" t="str">
        <f ca="1">IF('Rent Roll'!$AB53=1,'Rent Roll'!N53,"")</f>
        <v/>
      </c>
      <c r="BE735" s="223"/>
      <c r="BF735" s="6"/>
      <c r="BG735" s="32"/>
      <c r="BH735" s="342"/>
      <c r="BI735" s="343"/>
      <c r="BJ735" s="342"/>
      <c r="BK735" s="343"/>
      <c r="BL735" s="32"/>
      <c r="BM735" s="187"/>
      <c r="BN735" s="187"/>
    </row>
    <row r="736" spans="1:66" ht="15.95" hidden="1" customHeight="1" x14ac:dyDescent="0.25">
      <c r="A736" s="957">
        <f t="shared" ca="1" si="24"/>
        <v>0</v>
      </c>
      <c r="AY736" s="4"/>
      <c r="AZ736" s="5"/>
      <c r="BA736" s="5" t="str">
        <f ca="1">IF('Rent Roll'!$AB54=1,'Rent Roll'!E54,"")</f>
        <v/>
      </c>
      <c r="BB736" s="39" t="str">
        <f ca="1">IF('Rent Roll'!$AB54=1,'Rent Roll'!G54,"")</f>
        <v/>
      </c>
      <c r="BC736" s="1547" t="str">
        <f ca="1">IF('Rent Roll'!$AB54=1,'Rent Roll'!K54,"")</f>
        <v/>
      </c>
      <c r="BD736" s="1551" t="str">
        <f ca="1">IF('Rent Roll'!$AB54=1,'Rent Roll'!N54,"")</f>
        <v/>
      </c>
      <c r="BE736" s="223"/>
      <c r="BF736" s="6"/>
      <c r="BG736" s="32"/>
      <c r="BH736" s="342"/>
      <c r="BI736" s="343"/>
      <c r="BJ736" s="342"/>
      <c r="BK736" s="343"/>
      <c r="BL736" s="32"/>
      <c r="BM736" s="187"/>
      <c r="BN736" s="187"/>
    </row>
    <row r="737" spans="1:66" ht="15.95" hidden="1" customHeight="1" x14ac:dyDescent="0.25">
      <c r="A737" s="957">
        <f t="shared" ca="1" si="24"/>
        <v>0</v>
      </c>
      <c r="AY737" s="4"/>
      <c r="AZ737" s="5"/>
      <c r="BA737" s="5" t="str">
        <f ca="1">IF('Rent Roll'!$AB55=1,'Rent Roll'!E55,"")</f>
        <v/>
      </c>
      <c r="BB737" s="39" t="str">
        <f ca="1">IF('Rent Roll'!$AB55=1,'Rent Roll'!G55,"")</f>
        <v/>
      </c>
      <c r="BC737" s="1547" t="str">
        <f ca="1">IF('Rent Roll'!$AB55=1,'Rent Roll'!K55,"")</f>
        <v/>
      </c>
      <c r="BD737" s="1551" t="str">
        <f ca="1">IF('Rent Roll'!$AB55=1,'Rent Roll'!N55,"")</f>
        <v/>
      </c>
      <c r="BE737" s="223"/>
      <c r="BF737" s="6"/>
      <c r="BG737" s="32"/>
      <c r="BH737" s="342"/>
      <c r="BI737" s="343"/>
      <c r="BJ737" s="342"/>
      <c r="BK737" s="343"/>
      <c r="BL737" s="32"/>
      <c r="BM737" s="187"/>
      <c r="BN737" s="187"/>
    </row>
    <row r="738" spans="1:66" ht="15.95" hidden="1" customHeight="1" x14ac:dyDescent="0.25">
      <c r="A738" s="957">
        <f t="shared" ca="1" si="24"/>
        <v>0</v>
      </c>
      <c r="AY738" s="4"/>
      <c r="AZ738" s="5"/>
      <c r="BA738" s="5" t="str">
        <f ca="1">IF('Rent Roll'!$AB56=1,'Rent Roll'!E56,"")</f>
        <v/>
      </c>
      <c r="BB738" s="39" t="str">
        <f ca="1">IF('Rent Roll'!$AB56=1,'Rent Roll'!G56,"")</f>
        <v/>
      </c>
      <c r="BC738" s="1547" t="str">
        <f ca="1">IF('Rent Roll'!$AB56=1,'Rent Roll'!K56,"")</f>
        <v/>
      </c>
      <c r="BD738" s="1551" t="str">
        <f ca="1">IF('Rent Roll'!$AB56=1,'Rent Roll'!N56,"")</f>
        <v/>
      </c>
      <c r="BE738" s="223"/>
      <c r="BF738" s="6"/>
      <c r="BG738" s="32"/>
      <c r="BH738" s="342"/>
      <c r="BI738" s="343"/>
      <c r="BJ738" s="342"/>
      <c r="BK738" s="343"/>
      <c r="BL738" s="32"/>
      <c r="BM738" s="187"/>
      <c r="BN738" s="187"/>
    </row>
    <row r="739" spans="1:66" ht="15.95" hidden="1" customHeight="1" x14ac:dyDescent="0.25">
      <c r="A739" s="957">
        <f t="shared" ca="1" si="24"/>
        <v>0</v>
      </c>
      <c r="AY739" s="4"/>
      <c r="AZ739" s="5"/>
      <c r="BA739" s="5" t="str">
        <f ca="1">IF('Rent Roll'!$AB57=1,'Rent Roll'!E57,"")</f>
        <v/>
      </c>
      <c r="BB739" s="39" t="str">
        <f ca="1">IF('Rent Roll'!$AB57=1,'Rent Roll'!G57,"")</f>
        <v/>
      </c>
      <c r="BC739" s="1547" t="str">
        <f ca="1">IF('Rent Roll'!$AB57=1,'Rent Roll'!K57,"")</f>
        <v/>
      </c>
      <c r="BD739" s="1551" t="str">
        <f ca="1">IF('Rent Roll'!$AB57=1,'Rent Roll'!N57,"")</f>
        <v/>
      </c>
      <c r="BE739" s="223"/>
      <c r="BF739" s="6"/>
      <c r="BG739" s="32"/>
      <c r="BH739" s="342"/>
      <c r="BI739" s="343"/>
      <c r="BJ739" s="342"/>
      <c r="BK739" s="343"/>
      <c r="BL739" s="32"/>
      <c r="BM739" s="187"/>
      <c r="BN739" s="187"/>
    </row>
    <row r="740" spans="1:66" ht="15.95" hidden="1" customHeight="1" x14ac:dyDescent="0.25">
      <c r="A740" s="957">
        <f t="shared" ca="1" si="24"/>
        <v>0</v>
      </c>
      <c r="AY740" s="4"/>
      <c r="AZ740" s="5"/>
      <c r="BA740" s="5" t="str">
        <f ca="1">IF('Rent Roll'!$AB58=1,'Rent Roll'!E58,"")</f>
        <v/>
      </c>
      <c r="BB740" s="39" t="str">
        <f ca="1">IF('Rent Roll'!$AB58=1,'Rent Roll'!G58,"")</f>
        <v/>
      </c>
      <c r="BC740" s="1547" t="str">
        <f ca="1">IF('Rent Roll'!$AB58=1,'Rent Roll'!K58,"")</f>
        <v/>
      </c>
      <c r="BD740" s="1551" t="str">
        <f ca="1">IF('Rent Roll'!$AB58=1,'Rent Roll'!N58,"")</f>
        <v/>
      </c>
      <c r="BE740" s="223"/>
      <c r="BF740" s="6"/>
      <c r="BG740" s="32"/>
      <c r="BH740" s="342"/>
      <c r="BI740" s="343"/>
      <c r="BJ740" s="342"/>
      <c r="BK740" s="343"/>
      <c r="BL740" s="32"/>
      <c r="BM740" s="187"/>
      <c r="BN740" s="187"/>
    </row>
    <row r="741" spans="1:66" ht="15.95" hidden="1" customHeight="1" x14ac:dyDescent="0.25">
      <c r="A741" s="957">
        <f t="shared" ca="1" si="24"/>
        <v>0</v>
      </c>
      <c r="AY741" s="4"/>
      <c r="AZ741" s="5"/>
      <c r="BA741" s="5" t="str">
        <f ca="1">IF('Rent Roll'!$AB59=1,'Rent Roll'!E59,"")</f>
        <v/>
      </c>
      <c r="BB741" s="39" t="str">
        <f ca="1">IF('Rent Roll'!$AB59=1,'Rent Roll'!G59,"")</f>
        <v/>
      </c>
      <c r="BC741" s="1547" t="str">
        <f ca="1">IF('Rent Roll'!$AB59=1,'Rent Roll'!K59,"")</f>
        <v/>
      </c>
      <c r="BD741" s="1551" t="str">
        <f ca="1">IF('Rent Roll'!$AB59=1,'Rent Roll'!N59,"")</f>
        <v/>
      </c>
      <c r="BE741" s="223"/>
      <c r="BF741" s="6"/>
      <c r="BG741" s="32"/>
      <c r="BH741" s="342"/>
      <c r="BI741" s="343"/>
      <c r="BJ741" s="342"/>
      <c r="BK741" s="343"/>
      <c r="BL741" s="32"/>
      <c r="BM741" s="187"/>
      <c r="BN741" s="187"/>
    </row>
    <row r="742" spans="1:66" ht="15.95" hidden="1" customHeight="1" x14ac:dyDescent="0.25">
      <c r="A742" s="957">
        <f t="shared" ca="1" si="24"/>
        <v>0</v>
      </c>
      <c r="AY742" s="4"/>
      <c r="AZ742" s="5"/>
      <c r="BA742" s="5" t="str">
        <f ca="1">IF('Rent Roll'!$AB60=1,'Rent Roll'!E60,"")</f>
        <v/>
      </c>
      <c r="BB742" s="39" t="str">
        <f ca="1">IF('Rent Roll'!$AB60=1,'Rent Roll'!G60,"")</f>
        <v/>
      </c>
      <c r="BC742" s="1547" t="str">
        <f ca="1">IF('Rent Roll'!$AB60=1,'Rent Roll'!K60,"")</f>
        <v/>
      </c>
      <c r="BD742" s="1551" t="str">
        <f ca="1">IF('Rent Roll'!$AB60=1,'Rent Roll'!N60,"")</f>
        <v/>
      </c>
      <c r="BE742" s="223"/>
      <c r="BF742" s="6"/>
      <c r="BG742" s="32"/>
      <c r="BH742" s="342"/>
      <c r="BI742" s="343"/>
      <c r="BJ742" s="342"/>
      <c r="BK742" s="343"/>
      <c r="BL742" s="32"/>
      <c r="BM742" s="187"/>
      <c r="BN742" s="187"/>
    </row>
    <row r="743" spans="1:66" ht="15.95" hidden="1" customHeight="1" x14ac:dyDescent="0.25">
      <c r="A743" s="957">
        <f t="shared" ca="1" si="24"/>
        <v>0</v>
      </c>
      <c r="AY743" s="4"/>
      <c r="AZ743" s="5"/>
      <c r="BA743" s="5" t="str">
        <f ca="1">IF('Rent Roll'!$AB61=1,'Rent Roll'!E61,"")</f>
        <v/>
      </c>
      <c r="BB743" s="39" t="str">
        <f ca="1">IF('Rent Roll'!$AB61=1,'Rent Roll'!G61,"")</f>
        <v/>
      </c>
      <c r="BC743" s="1547" t="str">
        <f ca="1">IF('Rent Roll'!$AB61=1,'Rent Roll'!K61,"")</f>
        <v/>
      </c>
      <c r="BD743" s="1551" t="str">
        <f ca="1">IF('Rent Roll'!$AB61=1,'Rent Roll'!N61,"")</f>
        <v/>
      </c>
      <c r="BE743" s="223"/>
      <c r="BF743" s="6"/>
      <c r="BG743" s="32"/>
      <c r="BH743" s="342"/>
      <c r="BI743" s="343"/>
      <c r="BJ743" s="342"/>
      <c r="BK743" s="343"/>
      <c r="BL743" s="32"/>
      <c r="BM743" s="187"/>
      <c r="BN743" s="187"/>
    </row>
    <row r="744" spans="1:66" ht="15.95" hidden="1" customHeight="1" x14ac:dyDescent="0.25">
      <c r="A744" s="957">
        <f t="shared" ca="1" si="24"/>
        <v>0</v>
      </c>
      <c r="AY744" s="4"/>
      <c r="AZ744" s="5"/>
      <c r="BA744" s="5" t="str">
        <f ca="1">IF('Rent Roll'!$AB62=1,'Rent Roll'!E62,"")</f>
        <v/>
      </c>
      <c r="BB744" s="39" t="str">
        <f ca="1">IF('Rent Roll'!$AB62=1,'Rent Roll'!G62,"")</f>
        <v/>
      </c>
      <c r="BC744" s="1547" t="str">
        <f ca="1">IF('Rent Roll'!$AB62=1,'Rent Roll'!K62,"")</f>
        <v/>
      </c>
      <c r="BD744" s="1551" t="str">
        <f ca="1">IF('Rent Roll'!$AB62=1,'Rent Roll'!N62,"")</f>
        <v/>
      </c>
      <c r="BE744" s="223"/>
      <c r="BF744" s="6"/>
      <c r="BG744" s="32"/>
      <c r="BH744" s="342"/>
      <c r="BI744" s="343"/>
      <c r="BJ744" s="342"/>
      <c r="BK744" s="343"/>
      <c r="BL744" s="32"/>
      <c r="BM744" s="187"/>
      <c r="BN744" s="187"/>
    </row>
    <row r="745" spans="1:66" ht="15.95" hidden="1" customHeight="1" x14ac:dyDescent="0.25">
      <c r="A745" s="957">
        <f t="shared" ca="1" si="24"/>
        <v>0</v>
      </c>
      <c r="AY745" s="4"/>
      <c r="AZ745" s="5"/>
      <c r="BA745" s="5" t="str">
        <f ca="1">IF('Rent Roll'!$AB63=1,'Rent Roll'!E63,"")</f>
        <v/>
      </c>
      <c r="BB745" s="39" t="str">
        <f ca="1">IF('Rent Roll'!$AB63=1,'Rent Roll'!G63,"")</f>
        <v/>
      </c>
      <c r="BC745" s="1547" t="str">
        <f ca="1">IF('Rent Roll'!$AB63=1,'Rent Roll'!K63,"")</f>
        <v/>
      </c>
      <c r="BD745" s="1551" t="str">
        <f ca="1">IF('Rent Roll'!$AB63=1,'Rent Roll'!N63,"")</f>
        <v/>
      </c>
      <c r="BE745" s="223"/>
      <c r="BF745" s="6"/>
      <c r="BG745" s="32"/>
      <c r="BH745" s="342"/>
      <c r="BI745" s="343"/>
      <c r="BJ745" s="342"/>
      <c r="BK745" s="343"/>
      <c r="BL745" s="32"/>
      <c r="BM745" s="187"/>
      <c r="BN745" s="187"/>
    </row>
    <row r="746" spans="1:66" ht="15.95" hidden="1" customHeight="1" x14ac:dyDescent="0.25">
      <c r="A746" s="957">
        <f t="shared" ca="1" si="24"/>
        <v>0</v>
      </c>
      <c r="AY746" s="4"/>
      <c r="AZ746" s="5"/>
      <c r="BA746" s="5" t="str">
        <f ca="1">IF('Rent Roll'!$AB64=1,'Rent Roll'!E64,"")</f>
        <v/>
      </c>
      <c r="BB746" s="39" t="str">
        <f ca="1">IF('Rent Roll'!$AB64=1,'Rent Roll'!G64,"")</f>
        <v/>
      </c>
      <c r="BC746" s="1547" t="str">
        <f ca="1">IF('Rent Roll'!$AB64=1,'Rent Roll'!K64,"")</f>
        <v/>
      </c>
      <c r="BD746" s="1551" t="str">
        <f ca="1">IF('Rent Roll'!$AB64=1,'Rent Roll'!N64,"")</f>
        <v/>
      </c>
      <c r="BE746" s="223"/>
      <c r="BF746" s="6"/>
      <c r="BG746" s="32"/>
      <c r="BH746" s="342"/>
      <c r="BI746" s="343"/>
      <c r="BJ746" s="342"/>
      <c r="BK746" s="343"/>
      <c r="BL746" s="32"/>
      <c r="BM746" s="187"/>
      <c r="BN746" s="187"/>
    </row>
    <row r="747" spans="1:66" ht="15.95" hidden="1" customHeight="1" x14ac:dyDescent="0.25">
      <c r="A747" s="957">
        <f t="shared" ca="1" si="24"/>
        <v>0</v>
      </c>
      <c r="AY747" s="4"/>
      <c r="AZ747" s="5"/>
      <c r="BA747" s="5" t="str">
        <f ca="1">IF('Rent Roll'!$AB65=1,'Rent Roll'!E65,"")</f>
        <v/>
      </c>
      <c r="BB747" s="39" t="str">
        <f ca="1">IF('Rent Roll'!$AB65=1,'Rent Roll'!G65,"")</f>
        <v/>
      </c>
      <c r="BC747" s="1547" t="str">
        <f ca="1">IF('Rent Roll'!$AB65=1,'Rent Roll'!K65,"")</f>
        <v/>
      </c>
      <c r="BD747" s="1551" t="str">
        <f ca="1">IF('Rent Roll'!$AB65=1,'Rent Roll'!N65,"")</f>
        <v/>
      </c>
      <c r="BE747" s="223"/>
      <c r="BF747" s="6"/>
      <c r="BG747" s="32"/>
      <c r="BH747" s="342"/>
      <c r="BI747" s="343"/>
      <c r="BJ747" s="342"/>
      <c r="BK747" s="343"/>
      <c r="BL747" s="32"/>
      <c r="BM747" s="187"/>
      <c r="BN747" s="187"/>
    </row>
    <row r="748" spans="1:66" ht="15.95" hidden="1" customHeight="1" x14ac:dyDescent="0.25">
      <c r="A748" s="957">
        <f t="shared" ca="1" si="24"/>
        <v>0</v>
      </c>
      <c r="AY748" s="4"/>
      <c r="AZ748" s="5"/>
      <c r="BA748" s="5" t="str">
        <f ca="1">IF('Rent Roll'!$AB66=1,'Rent Roll'!E66,"")</f>
        <v/>
      </c>
      <c r="BB748" s="39" t="str">
        <f ca="1">IF('Rent Roll'!$AB66=1,'Rent Roll'!G66,"")</f>
        <v/>
      </c>
      <c r="BC748" s="1547" t="str">
        <f ca="1">IF('Rent Roll'!$AB66=1,'Rent Roll'!K66,"")</f>
        <v/>
      </c>
      <c r="BD748" s="1551" t="str">
        <f ca="1">IF('Rent Roll'!$AB66=1,'Rent Roll'!N66,"")</f>
        <v/>
      </c>
      <c r="BE748" s="223"/>
      <c r="BF748" s="6"/>
      <c r="BG748" s="32"/>
      <c r="BH748" s="342"/>
      <c r="BI748" s="343"/>
      <c r="BJ748" s="342"/>
      <c r="BK748" s="343"/>
      <c r="BL748" s="32"/>
      <c r="BM748" s="187"/>
      <c r="BN748" s="187"/>
    </row>
    <row r="749" spans="1:66" ht="15.95" hidden="1" customHeight="1" x14ac:dyDescent="0.25">
      <c r="A749" s="957">
        <f t="shared" ca="1" si="24"/>
        <v>0</v>
      </c>
      <c r="AY749" s="4"/>
      <c r="AZ749" s="5"/>
      <c r="BA749" s="5" t="str">
        <f ca="1">IF('Rent Roll'!$AB67=1,'Rent Roll'!E67,"")</f>
        <v/>
      </c>
      <c r="BB749" s="39" t="str">
        <f ca="1">IF('Rent Roll'!$AB67=1,'Rent Roll'!G67,"")</f>
        <v/>
      </c>
      <c r="BC749" s="1547" t="str">
        <f ca="1">IF('Rent Roll'!$AB67=1,'Rent Roll'!K67,"")</f>
        <v/>
      </c>
      <c r="BD749" s="1551" t="str">
        <f ca="1">IF('Rent Roll'!$AB67=1,'Rent Roll'!N67,"")</f>
        <v/>
      </c>
      <c r="BE749" s="223"/>
      <c r="BF749" s="6"/>
      <c r="BG749" s="32"/>
      <c r="BH749" s="342"/>
      <c r="BI749" s="343"/>
      <c r="BJ749" s="342"/>
      <c r="BK749" s="343"/>
      <c r="BL749" s="32"/>
      <c r="BM749" s="187"/>
      <c r="BN749" s="187"/>
    </row>
    <row r="750" spans="1:66" ht="15.95" hidden="1" customHeight="1" x14ac:dyDescent="0.25">
      <c r="A750" s="957">
        <f t="shared" ca="1" si="24"/>
        <v>0</v>
      </c>
      <c r="AY750" s="4"/>
      <c r="AZ750" s="5"/>
      <c r="BA750" s="5" t="str">
        <f ca="1">IF('Rent Roll'!$AB68=1,'Rent Roll'!E68,"")</f>
        <v/>
      </c>
      <c r="BB750" s="39" t="str">
        <f ca="1">IF('Rent Roll'!$AB68=1,'Rent Roll'!G68,"")</f>
        <v/>
      </c>
      <c r="BC750" s="1547" t="str">
        <f ca="1">IF('Rent Roll'!$AB68=1,'Rent Roll'!K68,"")</f>
        <v/>
      </c>
      <c r="BD750" s="1551" t="str">
        <f ca="1">IF('Rent Roll'!$AB68=1,'Rent Roll'!N68,"")</f>
        <v/>
      </c>
      <c r="BE750" s="223"/>
      <c r="BF750" s="6"/>
      <c r="BG750" s="32"/>
      <c r="BH750" s="342"/>
      <c r="BI750" s="343"/>
      <c r="BJ750" s="342"/>
      <c r="BK750" s="343"/>
      <c r="BL750" s="32"/>
      <c r="BM750" s="187"/>
      <c r="BN750" s="187"/>
    </row>
    <row r="751" spans="1:66" ht="15.95" hidden="1" customHeight="1" x14ac:dyDescent="0.25">
      <c r="A751" s="957">
        <f t="shared" ca="1" si="24"/>
        <v>0</v>
      </c>
      <c r="AY751" s="4"/>
      <c r="AZ751" s="5"/>
      <c r="BA751" s="5" t="str">
        <f ca="1">IF('Rent Roll'!$AB69=1,'Rent Roll'!E69,"")</f>
        <v/>
      </c>
      <c r="BB751" s="39" t="str">
        <f ca="1">IF('Rent Roll'!$AB69=1,'Rent Roll'!G69,"")</f>
        <v/>
      </c>
      <c r="BC751" s="1547" t="str">
        <f ca="1">IF('Rent Roll'!$AB69=1,'Rent Roll'!K69,"")</f>
        <v/>
      </c>
      <c r="BD751" s="1551" t="str">
        <f ca="1">IF('Rent Roll'!$AB69=1,'Rent Roll'!N69,"")</f>
        <v/>
      </c>
      <c r="BE751" s="223"/>
      <c r="BF751" s="6"/>
      <c r="BG751" s="32"/>
      <c r="BH751" s="342"/>
      <c r="BI751" s="343"/>
      <c r="BJ751" s="342"/>
      <c r="BK751" s="343"/>
      <c r="BL751" s="32"/>
      <c r="BM751" s="187"/>
      <c r="BN751" s="187"/>
    </row>
    <row r="752" spans="1:66" ht="15.95" hidden="1" customHeight="1" x14ac:dyDescent="0.25">
      <c r="A752" s="957">
        <f t="shared" ca="1" si="24"/>
        <v>0</v>
      </c>
      <c r="AY752" s="4"/>
      <c r="AZ752" s="5"/>
      <c r="BA752" s="5" t="str">
        <f ca="1">IF('Rent Roll'!$AB70=1,'Rent Roll'!E70,"")</f>
        <v/>
      </c>
      <c r="BB752" s="39" t="str">
        <f ca="1">IF('Rent Roll'!$AB70=1,'Rent Roll'!G70,"")</f>
        <v/>
      </c>
      <c r="BC752" s="1547" t="str">
        <f ca="1">IF('Rent Roll'!$AB70=1,'Rent Roll'!K70,"")</f>
        <v/>
      </c>
      <c r="BD752" s="1551" t="str">
        <f ca="1">IF('Rent Roll'!$AB70=1,'Rent Roll'!N70,"")</f>
        <v/>
      </c>
      <c r="BE752" s="223"/>
      <c r="BF752" s="6"/>
      <c r="BG752" s="32"/>
      <c r="BH752" s="342"/>
      <c r="BI752" s="343"/>
      <c r="BJ752" s="342"/>
      <c r="BK752" s="343"/>
      <c r="BL752" s="32"/>
      <c r="BM752" s="187"/>
      <c r="BN752" s="187"/>
    </row>
    <row r="753" spans="1:66" ht="15.95" hidden="1" customHeight="1" x14ac:dyDescent="0.25">
      <c r="A753" s="957">
        <f t="shared" ref="A753:A784" ca="1" si="25">IF(BA753="",0,1)</f>
        <v>0</v>
      </c>
      <c r="AY753" s="4"/>
      <c r="AZ753" s="5"/>
      <c r="BA753" s="5" t="str">
        <f ca="1">IF('Rent Roll'!$AB71=1,'Rent Roll'!E71,"")</f>
        <v/>
      </c>
      <c r="BB753" s="39" t="str">
        <f ca="1">IF('Rent Roll'!$AB71=1,'Rent Roll'!G71,"")</f>
        <v/>
      </c>
      <c r="BC753" s="1547" t="str">
        <f ca="1">IF('Rent Roll'!$AB71=1,'Rent Roll'!K71,"")</f>
        <v/>
      </c>
      <c r="BD753" s="1551" t="str">
        <f ca="1">IF('Rent Roll'!$AB71=1,'Rent Roll'!N71,"")</f>
        <v/>
      </c>
      <c r="BE753" s="223"/>
      <c r="BF753" s="6"/>
      <c r="BG753" s="32"/>
      <c r="BH753" s="342"/>
      <c r="BI753" s="343"/>
      <c r="BJ753" s="342"/>
      <c r="BK753" s="343"/>
      <c r="BL753" s="32"/>
      <c r="BM753" s="187"/>
      <c r="BN753" s="187"/>
    </row>
    <row r="754" spans="1:66" ht="15.95" hidden="1" customHeight="1" x14ac:dyDescent="0.25">
      <c r="A754" s="957">
        <f t="shared" ca="1" si="25"/>
        <v>0</v>
      </c>
      <c r="AY754" s="4"/>
      <c r="AZ754" s="5"/>
      <c r="BA754" s="5" t="str">
        <f ca="1">IF('Rent Roll'!$AB72=1,'Rent Roll'!E72,"")</f>
        <v/>
      </c>
      <c r="BB754" s="39" t="str">
        <f ca="1">IF('Rent Roll'!$AB72=1,'Rent Roll'!G72,"")</f>
        <v/>
      </c>
      <c r="BC754" s="1547" t="str">
        <f ca="1">IF('Rent Roll'!$AB72=1,'Rent Roll'!K72,"")</f>
        <v/>
      </c>
      <c r="BD754" s="1551" t="str">
        <f ca="1">IF('Rent Roll'!$AB72=1,'Rent Roll'!N72,"")</f>
        <v/>
      </c>
      <c r="BE754" s="223"/>
      <c r="BF754" s="6"/>
      <c r="BG754" s="32"/>
      <c r="BH754" s="342"/>
      <c r="BI754" s="343"/>
      <c r="BJ754" s="342"/>
      <c r="BK754" s="343"/>
      <c r="BL754" s="32"/>
      <c r="BM754" s="187"/>
      <c r="BN754" s="187"/>
    </row>
    <row r="755" spans="1:66" ht="15.95" hidden="1" customHeight="1" x14ac:dyDescent="0.25">
      <c r="A755" s="957">
        <f t="shared" ca="1" si="25"/>
        <v>0</v>
      </c>
      <c r="AY755" s="4"/>
      <c r="AZ755" s="5"/>
      <c r="BA755" s="5" t="str">
        <f ca="1">IF('Rent Roll'!$AB73=1,'Rent Roll'!E73,"")</f>
        <v/>
      </c>
      <c r="BB755" s="39" t="str">
        <f ca="1">IF('Rent Roll'!$AB73=1,'Rent Roll'!G73,"")</f>
        <v/>
      </c>
      <c r="BC755" s="1547" t="str">
        <f ca="1">IF('Rent Roll'!$AB73=1,'Rent Roll'!K73,"")</f>
        <v/>
      </c>
      <c r="BD755" s="1551" t="str">
        <f ca="1">IF('Rent Roll'!$AB73=1,'Rent Roll'!N73,"")</f>
        <v/>
      </c>
      <c r="BE755" s="223"/>
      <c r="BF755" s="6"/>
      <c r="BG755" s="32"/>
      <c r="BH755" s="342"/>
      <c r="BI755" s="343"/>
      <c r="BJ755" s="342"/>
      <c r="BK755" s="343"/>
      <c r="BL755" s="32"/>
      <c r="BM755" s="187"/>
      <c r="BN755" s="187"/>
    </row>
    <row r="756" spans="1:66" ht="15.95" hidden="1" customHeight="1" x14ac:dyDescent="0.25">
      <c r="A756" s="957">
        <f t="shared" ca="1" si="25"/>
        <v>0</v>
      </c>
      <c r="AY756" s="4"/>
      <c r="AZ756" s="5"/>
      <c r="BA756" s="5" t="str">
        <f ca="1">IF('Rent Roll'!$AB74=1,'Rent Roll'!E74,"")</f>
        <v/>
      </c>
      <c r="BB756" s="39" t="str">
        <f ca="1">IF('Rent Roll'!$AB74=1,'Rent Roll'!G74,"")</f>
        <v/>
      </c>
      <c r="BC756" s="1547" t="str">
        <f ca="1">IF('Rent Roll'!$AB74=1,'Rent Roll'!K74,"")</f>
        <v/>
      </c>
      <c r="BD756" s="1551" t="str">
        <f ca="1">IF('Rent Roll'!$AB74=1,'Rent Roll'!N74,"")</f>
        <v/>
      </c>
      <c r="BE756" s="223"/>
      <c r="BF756" s="6"/>
      <c r="BG756" s="32"/>
      <c r="BH756" s="342"/>
      <c r="BI756" s="343"/>
      <c r="BJ756" s="342"/>
      <c r="BK756" s="343"/>
      <c r="BL756" s="32"/>
      <c r="BM756" s="187"/>
      <c r="BN756" s="187"/>
    </row>
    <row r="757" spans="1:66" ht="15.95" hidden="1" customHeight="1" x14ac:dyDescent="0.25">
      <c r="A757" s="957">
        <f t="shared" ca="1" si="25"/>
        <v>0</v>
      </c>
      <c r="AY757" s="4"/>
      <c r="AZ757" s="5"/>
      <c r="BA757" s="5" t="str">
        <f ca="1">IF('Rent Roll'!$AB75=1,'Rent Roll'!E75,"")</f>
        <v/>
      </c>
      <c r="BB757" s="39" t="str">
        <f ca="1">IF('Rent Roll'!$AB75=1,'Rent Roll'!G75,"")</f>
        <v/>
      </c>
      <c r="BC757" s="1547" t="str">
        <f ca="1">IF('Rent Roll'!$AB75=1,'Rent Roll'!K75,"")</f>
        <v/>
      </c>
      <c r="BD757" s="1551" t="str">
        <f ca="1">IF('Rent Roll'!$AB75=1,'Rent Roll'!N75,"")</f>
        <v/>
      </c>
      <c r="BE757" s="223"/>
      <c r="BF757" s="6"/>
      <c r="BG757" s="32"/>
      <c r="BH757" s="342"/>
      <c r="BI757" s="343"/>
      <c r="BJ757" s="342"/>
      <c r="BK757" s="343"/>
      <c r="BL757" s="32"/>
      <c r="BM757" s="187"/>
      <c r="BN757" s="187"/>
    </row>
    <row r="758" spans="1:66" ht="15.95" hidden="1" customHeight="1" x14ac:dyDescent="0.25">
      <c r="A758" s="957">
        <f t="shared" ca="1" si="25"/>
        <v>0</v>
      </c>
      <c r="AY758" s="4"/>
      <c r="AZ758" s="5"/>
      <c r="BA758" s="5" t="str">
        <f ca="1">IF('Rent Roll'!$AB76=1,'Rent Roll'!E76,"")</f>
        <v/>
      </c>
      <c r="BB758" s="39" t="str">
        <f ca="1">IF('Rent Roll'!$AB76=1,'Rent Roll'!G76,"")</f>
        <v/>
      </c>
      <c r="BC758" s="1547" t="str">
        <f ca="1">IF('Rent Roll'!$AB76=1,'Rent Roll'!K76,"")</f>
        <v/>
      </c>
      <c r="BD758" s="1551" t="str">
        <f ca="1">IF('Rent Roll'!$AB76=1,'Rent Roll'!N76,"")</f>
        <v/>
      </c>
      <c r="BE758" s="223"/>
      <c r="BF758" s="6"/>
      <c r="BG758" s="32"/>
      <c r="BH758" s="342"/>
      <c r="BI758" s="343"/>
      <c r="BJ758" s="342"/>
      <c r="BK758" s="343"/>
      <c r="BL758" s="32"/>
      <c r="BM758" s="187"/>
      <c r="BN758" s="187"/>
    </row>
    <row r="759" spans="1:66" ht="15.95" hidden="1" customHeight="1" x14ac:dyDescent="0.25">
      <c r="A759" s="957">
        <f t="shared" ca="1" si="25"/>
        <v>0</v>
      </c>
      <c r="AY759" s="4"/>
      <c r="AZ759" s="5"/>
      <c r="BA759" s="5" t="str">
        <f ca="1">IF('Rent Roll'!$AB77=1,'Rent Roll'!E77,"")</f>
        <v/>
      </c>
      <c r="BB759" s="39" t="str">
        <f ca="1">IF('Rent Roll'!$AB77=1,'Rent Roll'!G77,"")</f>
        <v/>
      </c>
      <c r="BC759" s="1547" t="str">
        <f ca="1">IF('Rent Roll'!$AB77=1,'Rent Roll'!K77,"")</f>
        <v/>
      </c>
      <c r="BD759" s="1551" t="str">
        <f ca="1">IF('Rent Roll'!$AB77=1,'Rent Roll'!N77,"")</f>
        <v/>
      </c>
      <c r="BE759" s="223"/>
      <c r="BF759" s="6"/>
      <c r="BG759" s="32"/>
      <c r="BH759" s="342"/>
      <c r="BI759" s="343"/>
      <c r="BJ759" s="342"/>
      <c r="BK759" s="343"/>
      <c r="BL759" s="32"/>
      <c r="BM759" s="187"/>
      <c r="BN759" s="187"/>
    </row>
    <row r="760" spans="1:66" ht="15.95" hidden="1" customHeight="1" x14ac:dyDescent="0.25">
      <c r="A760" s="957">
        <f t="shared" ca="1" si="25"/>
        <v>0</v>
      </c>
      <c r="AY760" s="4"/>
      <c r="AZ760" s="5"/>
      <c r="BA760" s="5" t="str">
        <f ca="1">IF('Rent Roll'!$AB78=1,'Rent Roll'!E78,"")</f>
        <v/>
      </c>
      <c r="BB760" s="39" t="str">
        <f ca="1">IF('Rent Roll'!$AB78=1,'Rent Roll'!G78,"")</f>
        <v/>
      </c>
      <c r="BC760" s="1547" t="str">
        <f ca="1">IF('Rent Roll'!$AB78=1,'Rent Roll'!K78,"")</f>
        <v/>
      </c>
      <c r="BD760" s="1551" t="str">
        <f ca="1">IF('Rent Roll'!$AB78=1,'Rent Roll'!N78,"")</f>
        <v/>
      </c>
      <c r="BE760" s="223"/>
      <c r="BF760" s="6"/>
      <c r="BG760" s="32"/>
      <c r="BH760" s="342"/>
      <c r="BI760" s="343"/>
      <c r="BJ760" s="342"/>
      <c r="BK760" s="343"/>
      <c r="BL760" s="32"/>
      <c r="BM760" s="187"/>
      <c r="BN760" s="187"/>
    </row>
    <row r="761" spans="1:66" ht="15.95" hidden="1" customHeight="1" x14ac:dyDescent="0.25">
      <c r="A761" s="957">
        <f t="shared" ca="1" si="25"/>
        <v>0</v>
      </c>
      <c r="AY761" s="4"/>
      <c r="AZ761" s="5"/>
      <c r="BA761" s="5" t="str">
        <f ca="1">IF('Rent Roll'!$AB79=1,'Rent Roll'!E79,"")</f>
        <v/>
      </c>
      <c r="BB761" s="39" t="str">
        <f ca="1">IF('Rent Roll'!$AB79=1,'Rent Roll'!G79,"")</f>
        <v/>
      </c>
      <c r="BC761" s="1547" t="str">
        <f ca="1">IF('Rent Roll'!$AB79=1,'Rent Roll'!K79,"")</f>
        <v/>
      </c>
      <c r="BD761" s="1551" t="str">
        <f ca="1">IF('Rent Roll'!$AB79=1,'Rent Roll'!N79,"")</f>
        <v/>
      </c>
      <c r="BE761" s="223"/>
      <c r="BF761" s="6"/>
      <c r="BG761" s="32"/>
      <c r="BH761" s="342"/>
      <c r="BI761" s="343"/>
      <c r="BJ761" s="342"/>
      <c r="BK761" s="343"/>
      <c r="BL761" s="32"/>
      <c r="BM761" s="187"/>
      <c r="BN761" s="187"/>
    </row>
    <row r="762" spans="1:66" ht="15.95" hidden="1" customHeight="1" x14ac:dyDescent="0.25">
      <c r="A762" s="957">
        <f t="shared" ca="1" si="25"/>
        <v>0</v>
      </c>
      <c r="AY762" s="4"/>
      <c r="AZ762" s="5"/>
      <c r="BA762" s="5" t="str">
        <f ca="1">IF('Rent Roll'!$AB80=1,'Rent Roll'!E80,"")</f>
        <v/>
      </c>
      <c r="BB762" s="39" t="str">
        <f ca="1">IF('Rent Roll'!$AB80=1,'Rent Roll'!G80,"")</f>
        <v/>
      </c>
      <c r="BC762" s="1547" t="str">
        <f ca="1">IF('Rent Roll'!$AB80=1,'Rent Roll'!K80,"")</f>
        <v/>
      </c>
      <c r="BD762" s="1551" t="str">
        <f ca="1">IF('Rent Roll'!$AB80=1,'Rent Roll'!N80,"")</f>
        <v/>
      </c>
      <c r="BE762" s="223"/>
      <c r="BF762" s="6"/>
      <c r="BG762" s="32"/>
      <c r="BH762" s="342"/>
      <c r="BI762" s="343"/>
      <c r="BJ762" s="342"/>
      <c r="BK762" s="343"/>
      <c r="BL762" s="32"/>
      <c r="BM762" s="187"/>
      <c r="BN762" s="187"/>
    </row>
    <row r="763" spans="1:66" ht="15.95" hidden="1" customHeight="1" x14ac:dyDescent="0.25">
      <c r="A763" s="957">
        <f t="shared" ca="1" si="25"/>
        <v>0</v>
      </c>
      <c r="AY763" s="4"/>
      <c r="AZ763" s="5"/>
      <c r="BA763" s="5" t="str">
        <f ca="1">IF('Rent Roll'!$AB81=1,'Rent Roll'!E81,"")</f>
        <v/>
      </c>
      <c r="BB763" s="39" t="str">
        <f ca="1">IF('Rent Roll'!$AB81=1,'Rent Roll'!G81,"")</f>
        <v/>
      </c>
      <c r="BC763" s="1547" t="str">
        <f ca="1">IF('Rent Roll'!$AB81=1,'Rent Roll'!K81,"")</f>
        <v/>
      </c>
      <c r="BD763" s="1551" t="str">
        <f ca="1">IF('Rent Roll'!$AB81=1,'Rent Roll'!N81,"")</f>
        <v/>
      </c>
      <c r="BE763" s="223"/>
      <c r="BF763" s="6"/>
      <c r="BG763" s="32"/>
      <c r="BH763" s="342"/>
      <c r="BI763" s="343"/>
      <c r="BJ763" s="342"/>
      <c r="BK763" s="343"/>
      <c r="BL763" s="32"/>
      <c r="BM763" s="187"/>
      <c r="BN763" s="187"/>
    </row>
    <row r="764" spans="1:66" ht="15.95" hidden="1" customHeight="1" x14ac:dyDescent="0.25">
      <c r="A764" s="957">
        <f t="shared" ca="1" si="25"/>
        <v>0</v>
      </c>
      <c r="AY764" s="4"/>
      <c r="AZ764" s="5"/>
      <c r="BA764" s="5" t="str">
        <f ca="1">IF('Rent Roll'!$AB82=1,'Rent Roll'!E82,"")</f>
        <v/>
      </c>
      <c r="BB764" s="39" t="str">
        <f ca="1">IF('Rent Roll'!$AB82=1,'Rent Roll'!G82,"")</f>
        <v/>
      </c>
      <c r="BC764" s="1547" t="str">
        <f ca="1">IF('Rent Roll'!$AB82=1,'Rent Roll'!K82,"")</f>
        <v/>
      </c>
      <c r="BD764" s="1551" t="str">
        <f ca="1">IF('Rent Roll'!$AB82=1,'Rent Roll'!N82,"")</f>
        <v/>
      </c>
      <c r="BE764" s="223"/>
      <c r="BF764" s="6"/>
      <c r="BG764" s="32"/>
      <c r="BH764" s="342"/>
      <c r="BI764" s="343"/>
      <c r="BJ764" s="342"/>
      <c r="BK764" s="343"/>
      <c r="BL764" s="32"/>
      <c r="BM764" s="187"/>
      <c r="BN764" s="187"/>
    </row>
    <row r="765" spans="1:66" ht="15.95" hidden="1" customHeight="1" x14ac:dyDescent="0.25">
      <c r="A765" s="957">
        <f t="shared" ca="1" si="25"/>
        <v>0</v>
      </c>
      <c r="AY765" s="4"/>
      <c r="AZ765" s="5"/>
      <c r="BA765" s="5" t="str">
        <f ca="1">IF('Rent Roll'!$AB83=1,'Rent Roll'!E83,"")</f>
        <v/>
      </c>
      <c r="BB765" s="39" t="str">
        <f ca="1">IF('Rent Roll'!$AB83=1,'Rent Roll'!G83,"")</f>
        <v/>
      </c>
      <c r="BC765" s="1547" t="str">
        <f ca="1">IF('Rent Roll'!$AB83=1,'Rent Roll'!K83,"")</f>
        <v/>
      </c>
      <c r="BD765" s="1551" t="str">
        <f ca="1">IF('Rent Roll'!$AB83=1,'Rent Roll'!N83,"")</f>
        <v/>
      </c>
      <c r="BE765" s="223"/>
      <c r="BF765" s="6"/>
      <c r="BG765" s="32"/>
      <c r="BH765" s="342"/>
      <c r="BI765" s="343"/>
      <c r="BJ765" s="342"/>
      <c r="BK765" s="343"/>
      <c r="BL765" s="32"/>
      <c r="BM765" s="187"/>
      <c r="BN765" s="187"/>
    </row>
    <row r="766" spans="1:66" ht="15.95" hidden="1" customHeight="1" x14ac:dyDescent="0.25">
      <c r="A766" s="957">
        <f t="shared" ca="1" si="25"/>
        <v>0</v>
      </c>
      <c r="AY766" s="4"/>
      <c r="AZ766" s="5"/>
      <c r="BA766" s="5" t="str">
        <f ca="1">IF('Rent Roll'!$AB84=1,'Rent Roll'!E84,"")</f>
        <v/>
      </c>
      <c r="BB766" s="39" t="str">
        <f ca="1">IF('Rent Roll'!$AB84=1,'Rent Roll'!G84,"")</f>
        <v/>
      </c>
      <c r="BC766" s="1547" t="str">
        <f ca="1">IF('Rent Roll'!$AB84=1,'Rent Roll'!K84,"")</f>
        <v/>
      </c>
      <c r="BD766" s="1551" t="str">
        <f ca="1">IF('Rent Roll'!$AB84=1,'Rent Roll'!N84,"")</f>
        <v/>
      </c>
      <c r="BE766" s="223"/>
      <c r="BF766" s="6"/>
      <c r="BG766" s="32"/>
      <c r="BH766" s="342"/>
      <c r="BI766" s="343"/>
      <c r="BJ766" s="342"/>
      <c r="BK766" s="343"/>
      <c r="BL766" s="32"/>
      <c r="BM766" s="187"/>
      <c r="BN766" s="187"/>
    </row>
    <row r="767" spans="1:66" ht="15.95" hidden="1" customHeight="1" x14ac:dyDescent="0.25">
      <c r="A767" s="957">
        <f t="shared" ca="1" si="25"/>
        <v>0</v>
      </c>
      <c r="AY767" s="4"/>
      <c r="AZ767" s="5"/>
      <c r="BA767" s="5" t="str">
        <f ca="1">IF('Rent Roll'!$AB85=1,'Rent Roll'!E85,"")</f>
        <v/>
      </c>
      <c r="BB767" s="39" t="str">
        <f ca="1">IF('Rent Roll'!$AB85=1,'Rent Roll'!G85,"")</f>
        <v/>
      </c>
      <c r="BC767" s="1547" t="str">
        <f ca="1">IF('Rent Roll'!$AB85=1,'Rent Roll'!K85,"")</f>
        <v/>
      </c>
      <c r="BD767" s="1551" t="str">
        <f ca="1">IF('Rent Roll'!$AB85=1,'Rent Roll'!N85,"")</f>
        <v/>
      </c>
      <c r="BE767" s="223"/>
      <c r="BF767" s="6"/>
      <c r="BG767" s="32"/>
      <c r="BH767" s="342"/>
      <c r="BI767" s="343"/>
      <c r="BJ767" s="342"/>
      <c r="BK767" s="343"/>
      <c r="BL767" s="32"/>
      <c r="BM767" s="187"/>
      <c r="BN767" s="187"/>
    </row>
    <row r="768" spans="1:66" ht="15.95" hidden="1" customHeight="1" x14ac:dyDescent="0.25">
      <c r="A768" s="957">
        <f t="shared" ca="1" si="25"/>
        <v>0</v>
      </c>
      <c r="AY768" s="4"/>
      <c r="AZ768" s="5"/>
      <c r="BA768" s="5" t="str">
        <f ca="1">IF('Rent Roll'!$AB86=1,'Rent Roll'!E86,"")</f>
        <v/>
      </c>
      <c r="BB768" s="39" t="str">
        <f ca="1">IF('Rent Roll'!$AB86=1,'Rent Roll'!G86,"")</f>
        <v/>
      </c>
      <c r="BC768" s="1547" t="str">
        <f ca="1">IF('Rent Roll'!$AB86=1,'Rent Roll'!K86,"")</f>
        <v/>
      </c>
      <c r="BD768" s="1551" t="str">
        <f ca="1">IF('Rent Roll'!$AB86=1,'Rent Roll'!N86,"")</f>
        <v/>
      </c>
      <c r="BE768" s="223"/>
      <c r="BF768" s="6"/>
      <c r="BG768" s="32"/>
      <c r="BH768" s="342"/>
      <c r="BI768" s="343"/>
      <c r="BJ768" s="342"/>
      <c r="BK768" s="343"/>
      <c r="BL768" s="32"/>
      <c r="BM768" s="187"/>
      <c r="BN768" s="187"/>
    </row>
    <row r="769" spans="1:66" ht="15.95" hidden="1" customHeight="1" x14ac:dyDescent="0.25">
      <c r="A769" s="957">
        <f t="shared" ca="1" si="25"/>
        <v>0</v>
      </c>
      <c r="AY769" s="4"/>
      <c r="AZ769" s="5"/>
      <c r="BA769" s="5" t="str">
        <f ca="1">IF('Rent Roll'!$AB87=1,'Rent Roll'!E87,"")</f>
        <v/>
      </c>
      <c r="BB769" s="39" t="str">
        <f ca="1">IF('Rent Roll'!$AB87=1,'Rent Roll'!G87,"")</f>
        <v/>
      </c>
      <c r="BC769" s="1547" t="str">
        <f ca="1">IF('Rent Roll'!$AB87=1,'Rent Roll'!K87,"")</f>
        <v/>
      </c>
      <c r="BD769" s="1551" t="str">
        <f ca="1">IF('Rent Roll'!$AB87=1,'Rent Roll'!N87,"")</f>
        <v/>
      </c>
      <c r="BE769" s="223"/>
      <c r="BF769" s="6"/>
      <c r="BG769" s="32"/>
      <c r="BH769" s="342"/>
      <c r="BI769" s="343"/>
      <c r="BJ769" s="342"/>
      <c r="BK769" s="343"/>
      <c r="BL769" s="32"/>
      <c r="BM769" s="187"/>
      <c r="BN769" s="187"/>
    </row>
    <row r="770" spans="1:66" ht="15.95" hidden="1" customHeight="1" x14ac:dyDescent="0.25">
      <c r="A770" s="957">
        <f t="shared" ca="1" si="25"/>
        <v>0</v>
      </c>
      <c r="AY770" s="4"/>
      <c r="AZ770" s="5"/>
      <c r="BA770" s="5" t="str">
        <f ca="1">IF('Rent Roll'!$AB88=1,'Rent Roll'!E88,"")</f>
        <v/>
      </c>
      <c r="BB770" s="39" t="str">
        <f ca="1">IF('Rent Roll'!$AB88=1,'Rent Roll'!G88,"")</f>
        <v/>
      </c>
      <c r="BC770" s="1547" t="str">
        <f ca="1">IF('Rent Roll'!$AB88=1,'Rent Roll'!K88,"")</f>
        <v/>
      </c>
      <c r="BD770" s="1551" t="str">
        <f ca="1">IF('Rent Roll'!$AB88=1,'Rent Roll'!N88,"")</f>
        <v/>
      </c>
      <c r="BE770" s="223"/>
      <c r="BF770" s="6"/>
      <c r="BG770" s="32"/>
      <c r="BH770" s="342"/>
      <c r="BI770" s="343"/>
      <c r="BJ770" s="342"/>
      <c r="BK770" s="343"/>
      <c r="BL770" s="32"/>
      <c r="BM770" s="187"/>
      <c r="BN770" s="187"/>
    </row>
    <row r="771" spans="1:66" ht="15.95" hidden="1" customHeight="1" x14ac:dyDescent="0.25">
      <c r="A771" s="957">
        <f t="shared" ca="1" si="25"/>
        <v>0</v>
      </c>
      <c r="AY771" s="4"/>
      <c r="AZ771" s="5"/>
      <c r="BA771" s="5" t="str">
        <f ca="1">IF('Rent Roll'!$AB89=1,'Rent Roll'!E89,"")</f>
        <v/>
      </c>
      <c r="BB771" s="39" t="str">
        <f ca="1">IF('Rent Roll'!$AB89=1,'Rent Roll'!G89,"")</f>
        <v/>
      </c>
      <c r="BC771" s="1547" t="str">
        <f ca="1">IF('Rent Roll'!$AB89=1,'Rent Roll'!K89,"")</f>
        <v/>
      </c>
      <c r="BD771" s="1551" t="str">
        <f ca="1">IF('Rent Roll'!$AB89=1,'Rent Roll'!N89,"")</f>
        <v/>
      </c>
      <c r="BE771" s="223"/>
      <c r="BF771" s="6"/>
      <c r="BG771" s="32"/>
      <c r="BH771" s="342"/>
      <c r="BI771" s="343"/>
      <c r="BJ771" s="342"/>
      <c r="BK771" s="343"/>
      <c r="BL771" s="32"/>
      <c r="BM771" s="187"/>
      <c r="BN771" s="187"/>
    </row>
    <row r="772" spans="1:66" ht="15.95" hidden="1" customHeight="1" x14ac:dyDescent="0.25">
      <c r="A772" s="957">
        <f t="shared" ca="1" si="25"/>
        <v>0</v>
      </c>
      <c r="AY772" s="4"/>
      <c r="AZ772" s="5"/>
      <c r="BA772" s="5" t="str">
        <f ca="1">IF('Rent Roll'!$AB90=1,'Rent Roll'!E90,"")</f>
        <v/>
      </c>
      <c r="BB772" s="39" t="str">
        <f ca="1">IF('Rent Roll'!$AB90=1,'Rent Roll'!G90,"")</f>
        <v/>
      </c>
      <c r="BC772" s="1547" t="str">
        <f ca="1">IF('Rent Roll'!$AB90=1,'Rent Roll'!K90,"")</f>
        <v/>
      </c>
      <c r="BD772" s="1551" t="str">
        <f ca="1">IF('Rent Roll'!$AB90=1,'Rent Roll'!N90,"")</f>
        <v/>
      </c>
      <c r="BE772" s="223"/>
      <c r="BF772" s="6"/>
      <c r="BG772" s="32"/>
      <c r="BH772" s="342"/>
      <c r="BI772" s="343"/>
      <c r="BJ772" s="342"/>
      <c r="BK772" s="343"/>
      <c r="BL772" s="32"/>
      <c r="BM772" s="187"/>
      <c r="BN772" s="187"/>
    </row>
    <row r="773" spans="1:66" ht="15.95" hidden="1" customHeight="1" x14ac:dyDescent="0.25">
      <c r="A773" s="957">
        <f t="shared" ca="1" si="25"/>
        <v>0</v>
      </c>
      <c r="AY773" s="4"/>
      <c r="AZ773" s="5"/>
      <c r="BA773" s="5" t="str">
        <f ca="1">IF('Rent Roll'!$AB91=1,'Rent Roll'!E91,"")</f>
        <v/>
      </c>
      <c r="BB773" s="39" t="str">
        <f ca="1">IF('Rent Roll'!$AB91=1,'Rent Roll'!G91,"")</f>
        <v/>
      </c>
      <c r="BC773" s="1547" t="str">
        <f ca="1">IF('Rent Roll'!$AB91=1,'Rent Roll'!K91,"")</f>
        <v/>
      </c>
      <c r="BD773" s="1551" t="str">
        <f ca="1">IF('Rent Roll'!$AB91=1,'Rent Roll'!N91,"")</f>
        <v/>
      </c>
      <c r="BE773" s="223"/>
      <c r="BF773" s="6"/>
      <c r="BG773" s="32"/>
      <c r="BH773" s="342"/>
      <c r="BI773" s="343"/>
      <c r="BJ773" s="342"/>
      <c r="BK773" s="343"/>
      <c r="BL773" s="32"/>
      <c r="BM773" s="187"/>
      <c r="BN773" s="187"/>
    </row>
    <row r="774" spans="1:66" ht="15.95" hidden="1" customHeight="1" x14ac:dyDescent="0.25">
      <c r="A774" s="957">
        <f t="shared" ca="1" si="25"/>
        <v>0</v>
      </c>
      <c r="AY774" s="4"/>
      <c r="AZ774" s="5"/>
      <c r="BA774" s="5" t="str">
        <f ca="1">IF('Rent Roll'!$AB92=1,'Rent Roll'!E92,"")</f>
        <v/>
      </c>
      <c r="BB774" s="39" t="str">
        <f ca="1">IF('Rent Roll'!$AB92=1,'Rent Roll'!G92,"")</f>
        <v/>
      </c>
      <c r="BC774" s="1547" t="str">
        <f ca="1">IF('Rent Roll'!$AB92=1,'Rent Roll'!K92,"")</f>
        <v/>
      </c>
      <c r="BD774" s="1551" t="str">
        <f ca="1">IF('Rent Roll'!$AB92=1,'Rent Roll'!N92,"")</f>
        <v/>
      </c>
      <c r="BE774" s="223"/>
      <c r="BF774" s="6"/>
      <c r="BG774" s="32"/>
      <c r="BH774" s="342"/>
      <c r="BI774" s="343"/>
      <c r="BJ774" s="342"/>
      <c r="BK774" s="343"/>
      <c r="BL774" s="32"/>
      <c r="BM774" s="187"/>
      <c r="BN774" s="187"/>
    </row>
    <row r="775" spans="1:66" ht="15.95" hidden="1" customHeight="1" x14ac:dyDescent="0.25">
      <c r="A775" s="957">
        <f t="shared" ca="1" si="25"/>
        <v>0</v>
      </c>
      <c r="AY775" s="4"/>
      <c r="AZ775" s="5"/>
      <c r="BA775" s="5" t="str">
        <f ca="1">IF('Rent Roll'!$AB93=1,'Rent Roll'!E93,"")</f>
        <v/>
      </c>
      <c r="BB775" s="39" t="str">
        <f ca="1">IF('Rent Roll'!$AB93=1,'Rent Roll'!G93,"")</f>
        <v/>
      </c>
      <c r="BC775" s="1547" t="str">
        <f ca="1">IF('Rent Roll'!$AB93=1,'Rent Roll'!K93,"")</f>
        <v/>
      </c>
      <c r="BD775" s="1551" t="str">
        <f ca="1">IF('Rent Roll'!$AB93=1,'Rent Roll'!N93,"")</f>
        <v/>
      </c>
      <c r="BE775" s="223"/>
      <c r="BF775" s="6"/>
      <c r="BG775" s="32"/>
      <c r="BH775" s="342"/>
      <c r="BI775" s="343"/>
      <c r="BJ775" s="342"/>
      <c r="BK775" s="343"/>
      <c r="BL775" s="32"/>
      <c r="BM775" s="187"/>
      <c r="BN775" s="187"/>
    </row>
    <row r="776" spans="1:66" ht="15.95" hidden="1" customHeight="1" x14ac:dyDescent="0.25">
      <c r="A776" s="957">
        <f t="shared" ca="1" si="25"/>
        <v>0</v>
      </c>
      <c r="AY776" s="4"/>
      <c r="AZ776" s="5"/>
      <c r="BA776" s="5" t="str">
        <f ca="1">IF('Rent Roll'!$AB94=1,'Rent Roll'!E94,"")</f>
        <v/>
      </c>
      <c r="BB776" s="39" t="str">
        <f ca="1">IF('Rent Roll'!$AB94=1,'Rent Roll'!G94,"")</f>
        <v/>
      </c>
      <c r="BC776" s="1547" t="str">
        <f ca="1">IF('Rent Roll'!$AB94=1,'Rent Roll'!K94,"")</f>
        <v/>
      </c>
      <c r="BD776" s="1551" t="str">
        <f ca="1">IF('Rent Roll'!$AB94=1,'Rent Roll'!N94,"")</f>
        <v/>
      </c>
      <c r="BE776" s="223"/>
      <c r="BF776" s="6"/>
      <c r="BG776" s="32"/>
      <c r="BH776" s="342"/>
      <c r="BI776" s="343"/>
      <c r="BJ776" s="342"/>
      <c r="BK776" s="343"/>
      <c r="BL776" s="32"/>
      <c r="BM776" s="187"/>
      <c r="BN776" s="187"/>
    </row>
    <row r="777" spans="1:66" ht="15.95" hidden="1" customHeight="1" x14ac:dyDescent="0.25">
      <c r="A777" s="957">
        <f t="shared" ca="1" si="25"/>
        <v>0</v>
      </c>
      <c r="AY777" s="4"/>
      <c r="AZ777" s="5"/>
      <c r="BA777" s="5" t="str">
        <f ca="1">IF('Rent Roll'!$AB95=1,'Rent Roll'!E95,"")</f>
        <v/>
      </c>
      <c r="BB777" s="39" t="str">
        <f ca="1">IF('Rent Roll'!$AB95=1,'Rent Roll'!G95,"")</f>
        <v/>
      </c>
      <c r="BC777" s="1547" t="str">
        <f ca="1">IF('Rent Roll'!$AB95=1,'Rent Roll'!K95,"")</f>
        <v/>
      </c>
      <c r="BD777" s="1551" t="str">
        <f ca="1">IF('Rent Roll'!$AB95=1,'Rent Roll'!N95,"")</f>
        <v/>
      </c>
      <c r="BE777" s="223"/>
      <c r="BF777" s="6"/>
      <c r="BG777" s="32"/>
      <c r="BH777" s="342"/>
      <c r="BI777" s="343"/>
      <c r="BJ777" s="342"/>
      <c r="BK777" s="343"/>
      <c r="BL777" s="32"/>
      <c r="BM777" s="187"/>
      <c r="BN777" s="187"/>
    </row>
    <row r="778" spans="1:66" ht="15.95" hidden="1" customHeight="1" x14ac:dyDescent="0.25">
      <c r="A778" s="957">
        <f t="shared" ca="1" si="25"/>
        <v>0</v>
      </c>
      <c r="AY778" s="4"/>
      <c r="AZ778" s="5"/>
      <c r="BA778" s="5" t="str">
        <f ca="1">IF('Rent Roll'!$AB96=1,'Rent Roll'!E96,"")</f>
        <v/>
      </c>
      <c r="BB778" s="39" t="str">
        <f ca="1">IF('Rent Roll'!$AB96=1,'Rent Roll'!G96,"")</f>
        <v/>
      </c>
      <c r="BC778" s="1547" t="str">
        <f ca="1">IF('Rent Roll'!$AB96=1,'Rent Roll'!K96,"")</f>
        <v/>
      </c>
      <c r="BD778" s="1551" t="str">
        <f ca="1">IF('Rent Roll'!$AB96=1,'Rent Roll'!N96,"")</f>
        <v/>
      </c>
      <c r="BE778" s="223"/>
      <c r="BF778" s="6"/>
      <c r="BG778" s="32"/>
      <c r="BH778" s="342"/>
      <c r="BI778" s="343"/>
      <c r="BJ778" s="342"/>
      <c r="BK778" s="343"/>
      <c r="BL778" s="32"/>
      <c r="BM778" s="187"/>
      <c r="BN778" s="187"/>
    </row>
    <row r="779" spans="1:66" ht="15.95" hidden="1" customHeight="1" x14ac:dyDescent="0.25">
      <c r="A779" s="957">
        <f t="shared" ca="1" si="25"/>
        <v>0</v>
      </c>
      <c r="AY779" s="4"/>
      <c r="AZ779" s="5"/>
      <c r="BA779" s="5" t="str">
        <f ca="1">IF('Rent Roll'!$AB97=1,'Rent Roll'!E97,"")</f>
        <v/>
      </c>
      <c r="BB779" s="39" t="str">
        <f ca="1">IF('Rent Roll'!$AB97=1,'Rent Roll'!G97,"")</f>
        <v/>
      </c>
      <c r="BC779" s="1547" t="str">
        <f ca="1">IF('Rent Roll'!$AB97=1,'Rent Roll'!K97,"")</f>
        <v/>
      </c>
      <c r="BD779" s="1551" t="str">
        <f ca="1">IF('Rent Roll'!$AB97=1,'Rent Roll'!N97,"")</f>
        <v/>
      </c>
      <c r="BE779" s="223"/>
      <c r="BF779" s="6"/>
      <c r="BG779" s="32"/>
      <c r="BH779" s="342"/>
      <c r="BI779" s="343"/>
      <c r="BJ779" s="342"/>
      <c r="BK779" s="343"/>
      <c r="BL779" s="32"/>
      <c r="BM779" s="187"/>
      <c r="BN779" s="187"/>
    </row>
    <row r="780" spans="1:66" ht="15.95" hidden="1" customHeight="1" x14ac:dyDescent="0.25">
      <c r="A780" s="957">
        <f t="shared" ca="1" si="25"/>
        <v>0</v>
      </c>
      <c r="AY780" s="4"/>
      <c r="AZ780" s="5"/>
      <c r="BA780" s="5" t="str">
        <f ca="1">IF('Rent Roll'!$AB98=1,'Rent Roll'!E98,"")</f>
        <v/>
      </c>
      <c r="BB780" s="39" t="str">
        <f ca="1">IF('Rent Roll'!$AB98=1,'Rent Roll'!G98,"")</f>
        <v/>
      </c>
      <c r="BC780" s="1547" t="str">
        <f ca="1">IF('Rent Roll'!$AB98=1,'Rent Roll'!K98,"")</f>
        <v/>
      </c>
      <c r="BD780" s="1551" t="str">
        <f ca="1">IF('Rent Roll'!$AB98=1,'Rent Roll'!N98,"")</f>
        <v/>
      </c>
      <c r="BE780" s="223"/>
      <c r="BF780" s="6"/>
      <c r="BG780" s="32"/>
      <c r="BH780" s="342"/>
      <c r="BI780" s="343"/>
      <c r="BJ780" s="342"/>
      <c r="BK780" s="343"/>
      <c r="BL780" s="32"/>
      <c r="BM780" s="187"/>
      <c r="BN780" s="187"/>
    </row>
    <row r="781" spans="1:66" ht="15.95" hidden="1" customHeight="1" x14ac:dyDescent="0.25">
      <c r="A781" s="957">
        <f t="shared" ca="1" si="25"/>
        <v>0</v>
      </c>
      <c r="AY781" s="4"/>
      <c r="AZ781" s="5"/>
      <c r="BA781" s="5" t="str">
        <f ca="1">IF('Rent Roll'!$AB99=1,'Rent Roll'!E99,"")</f>
        <v/>
      </c>
      <c r="BB781" s="39" t="str">
        <f ca="1">IF('Rent Roll'!$AB99=1,'Rent Roll'!G99,"")</f>
        <v/>
      </c>
      <c r="BC781" s="1547" t="str">
        <f ca="1">IF('Rent Roll'!$AB99=1,'Rent Roll'!K99,"")</f>
        <v/>
      </c>
      <c r="BD781" s="1551" t="str">
        <f ca="1">IF('Rent Roll'!$AB99=1,'Rent Roll'!N99,"")</f>
        <v/>
      </c>
      <c r="BE781" s="223"/>
      <c r="BF781" s="6"/>
      <c r="BG781" s="32"/>
      <c r="BH781" s="342"/>
      <c r="BI781" s="343"/>
      <c r="BJ781" s="342"/>
      <c r="BK781" s="343"/>
      <c r="BL781" s="32"/>
      <c r="BM781" s="187"/>
      <c r="BN781" s="187"/>
    </row>
    <row r="782" spans="1:66" ht="15.95" hidden="1" customHeight="1" x14ac:dyDescent="0.25">
      <c r="A782" s="957">
        <f t="shared" ca="1" si="25"/>
        <v>0</v>
      </c>
      <c r="AY782" s="4"/>
      <c r="AZ782" s="5"/>
      <c r="BA782" s="5" t="str">
        <f ca="1">IF('Rent Roll'!$AB100=1,'Rent Roll'!E100,"")</f>
        <v/>
      </c>
      <c r="BB782" s="39" t="str">
        <f ca="1">IF('Rent Roll'!$AB100=1,'Rent Roll'!G100,"")</f>
        <v/>
      </c>
      <c r="BC782" s="1547" t="str">
        <f ca="1">IF('Rent Roll'!$AB100=1,'Rent Roll'!K100,"")</f>
        <v/>
      </c>
      <c r="BD782" s="1551" t="str">
        <f ca="1">IF('Rent Roll'!$AB100=1,'Rent Roll'!N100,"")</f>
        <v/>
      </c>
      <c r="BE782" s="223"/>
      <c r="BF782" s="6"/>
      <c r="BG782" s="32"/>
      <c r="BH782" s="342"/>
      <c r="BI782" s="343"/>
      <c r="BJ782" s="342"/>
      <c r="BK782" s="343"/>
      <c r="BL782" s="32"/>
      <c r="BM782" s="187"/>
      <c r="BN782" s="187"/>
    </row>
    <row r="783" spans="1:66" ht="15.95" hidden="1" customHeight="1" x14ac:dyDescent="0.25">
      <c r="A783" s="957">
        <f t="shared" ca="1" si="25"/>
        <v>0</v>
      </c>
      <c r="AY783" s="4"/>
      <c r="AZ783" s="5"/>
      <c r="BA783" s="5" t="str">
        <f ca="1">IF('Rent Roll'!$AB101=1,'Rent Roll'!E101,"")</f>
        <v/>
      </c>
      <c r="BB783" s="39" t="str">
        <f ca="1">IF('Rent Roll'!$AB101=1,'Rent Roll'!G101,"")</f>
        <v/>
      </c>
      <c r="BC783" s="1547" t="str">
        <f ca="1">IF('Rent Roll'!$AB101=1,'Rent Roll'!K101,"")</f>
        <v/>
      </c>
      <c r="BD783" s="1551" t="str">
        <f ca="1">IF('Rent Roll'!$AB101=1,'Rent Roll'!N101,"")</f>
        <v/>
      </c>
      <c r="BE783" s="223"/>
      <c r="BF783" s="6"/>
      <c r="BG783" s="32"/>
      <c r="BH783" s="342"/>
      <c r="BI783" s="343"/>
      <c r="BJ783" s="342"/>
      <c r="BK783" s="343"/>
      <c r="BL783" s="32"/>
      <c r="BM783" s="187"/>
      <c r="BN783" s="187"/>
    </row>
    <row r="784" spans="1:66" ht="15.95" hidden="1" customHeight="1" x14ac:dyDescent="0.25">
      <c r="A784" s="957">
        <f t="shared" ca="1" si="25"/>
        <v>0</v>
      </c>
      <c r="AY784" s="4"/>
      <c r="AZ784" s="5"/>
      <c r="BA784" s="5" t="str">
        <f ca="1">IF('Rent Roll'!$AB102=1,'Rent Roll'!E102,"")</f>
        <v/>
      </c>
      <c r="BB784" s="39" t="str">
        <f ca="1">IF('Rent Roll'!$AB102=1,'Rent Roll'!G102,"")</f>
        <v/>
      </c>
      <c r="BC784" s="1547" t="str">
        <f ca="1">IF('Rent Roll'!$AB102=1,'Rent Roll'!K102,"")</f>
        <v/>
      </c>
      <c r="BD784" s="1551" t="str">
        <f ca="1">IF('Rent Roll'!$AB102=1,'Rent Roll'!N102,"")</f>
        <v/>
      </c>
      <c r="BE784" s="223"/>
      <c r="BF784" s="6"/>
      <c r="BG784" s="32"/>
      <c r="BH784" s="342"/>
      <c r="BI784" s="343"/>
      <c r="BJ784" s="342"/>
      <c r="BK784" s="343"/>
      <c r="BL784" s="32"/>
      <c r="BM784" s="187"/>
      <c r="BN784" s="187"/>
    </row>
    <row r="785" spans="1:66" ht="15.95" hidden="1" customHeight="1" x14ac:dyDescent="0.25">
      <c r="A785" s="957">
        <f t="shared" ref="A785:A816" ca="1" si="26">IF(BA785="",0,1)</f>
        <v>0</v>
      </c>
      <c r="AY785" s="4"/>
      <c r="AZ785" s="5"/>
      <c r="BA785" s="5" t="str">
        <f ca="1">IF('Rent Roll'!$AB103=1,'Rent Roll'!E103,"")</f>
        <v/>
      </c>
      <c r="BB785" s="39" t="str">
        <f ca="1">IF('Rent Roll'!$AB103=1,'Rent Roll'!G103,"")</f>
        <v/>
      </c>
      <c r="BC785" s="1547" t="str">
        <f ca="1">IF('Rent Roll'!$AB103=1,'Rent Roll'!K103,"")</f>
        <v/>
      </c>
      <c r="BD785" s="1551" t="str">
        <f ca="1">IF('Rent Roll'!$AB103=1,'Rent Roll'!N103,"")</f>
        <v/>
      </c>
      <c r="BE785" s="223"/>
      <c r="BF785" s="6"/>
      <c r="BG785" s="32"/>
      <c r="BH785" s="342"/>
      <c r="BI785" s="343"/>
      <c r="BJ785" s="342"/>
      <c r="BK785" s="343"/>
      <c r="BL785" s="32"/>
      <c r="BM785" s="187"/>
      <c r="BN785" s="187"/>
    </row>
    <row r="786" spans="1:66" ht="15.95" hidden="1" customHeight="1" x14ac:dyDescent="0.25">
      <c r="A786" s="957">
        <f t="shared" ca="1" si="26"/>
        <v>0</v>
      </c>
      <c r="AY786" s="4"/>
      <c r="AZ786" s="5"/>
      <c r="BA786" s="5" t="str">
        <f ca="1">IF('Rent Roll'!$AB104=1,'Rent Roll'!E104,"")</f>
        <v/>
      </c>
      <c r="BB786" s="39" t="str">
        <f ca="1">IF('Rent Roll'!$AB104=1,'Rent Roll'!G104,"")</f>
        <v/>
      </c>
      <c r="BC786" s="1547" t="str">
        <f ca="1">IF('Rent Roll'!$AB104=1,'Rent Roll'!K104,"")</f>
        <v/>
      </c>
      <c r="BD786" s="1551" t="str">
        <f ca="1">IF('Rent Roll'!$AB104=1,'Rent Roll'!N104,"")</f>
        <v/>
      </c>
      <c r="BE786" s="223"/>
      <c r="BF786" s="6"/>
      <c r="BG786" s="32"/>
      <c r="BH786" s="342"/>
      <c r="BI786" s="343"/>
      <c r="BJ786" s="342"/>
      <c r="BK786" s="343"/>
      <c r="BL786" s="32"/>
      <c r="BM786" s="187"/>
      <c r="BN786" s="187"/>
    </row>
    <row r="787" spans="1:66" ht="15.95" hidden="1" customHeight="1" x14ac:dyDescent="0.25">
      <c r="A787" s="957">
        <f t="shared" ca="1" si="26"/>
        <v>0</v>
      </c>
      <c r="AY787" s="4"/>
      <c r="AZ787" s="5"/>
      <c r="BA787" s="5" t="str">
        <f ca="1">IF('Rent Roll'!$AB105=1,'Rent Roll'!E105,"")</f>
        <v/>
      </c>
      <c r="BB787" s="39" t="str">
        <f ca="1">IF('Rent Roll'!$AB105=1,'Rent Roll'!G105,"")</f>
        <v/>
      </c>
      <c r="BC787" s="1547" t="str">
        <f ca="1">IF('Rent Roll'!$AB105=1,'Rent Roll'!K105,"")</f>
        <v/>
      </c>
      <c r="BD787" s="1551" t="str">
        <f ca="1">IF('Rent Roll'!$AB105=1,'Rent Roll'!N105,"")</f>
        <v/>
      </c>
      <c r="BE787" s="223"/>
      <c r="BF787" s="6"/>
      <c r="BG787" s="32"/>
      <c r="BH787" s="342"/>
      <c r="BI787" s="343"/>
      <c r="BJ787" s="342"/>
      <c r="BK787" s="343"/>
      <c r="BL787" s="32"/>
      <c r="BM787" s="187"/>
      <c r="BN787" s="187"/>
    </row>
    <row r="788" spans="1:66" ht="15.95" hidden="1" customHeight="1" x14ac:dyDescent="0.25">
      <c r="A788" s="957">
        <f t="shared" ca="1" si="26"/>
        <v>0</v>
      </c>
      <c r="AY788" s="4"/>
      <c r="AZ788" s="5"/>
      <c r="BA788" s="5" t="str">
        <f ca="1">IF('Rent Roll'!$AB106=1,'Rent Roll'!E106,"")</f>
        <v/>
      </c>
      <c r="BB788" s="39" t="str">
        <f ca="1">IF('Rent Roll'!$AB106=1,'Rent Roll'!G106,"")</f>
        <v/>
      </c>
      <c r="BC788" s="1547" t="str">
        <f ca="1">IF('Rent Roll'!$AB106=1,'Rent Roll'!K106,"")</f>
        <v/>
      </c>
      <c r="BD788" s="1551" t="str">
        <f ca="1">IF('Rent Roll'!$AB106=1,'Rent Roll'!N106,"")</f>
        <v/>
      </c>
      <c r="BE788" s="223"/>
      <c r="BF788" s="6"/>
      <c r="BG788" s="32"/>
      <c r="BH788" s="342"/>
      <c r="BI788" s="343"/>
      <c r="BJ788" s="342"/>
      <c r="BK788" s="343"/>
      <c r="BL788" s="32"/>
      <c r="BM788" s="187"/>
      <c r="BN788" s="187"/>
    </row>
    <row r="789" spans="1:66" ht="15.95" hidden="1" customHeight="1" x14ac:dyDescent="0.25">
      <c r="A789" s="957">
        <f t="shared" ca="1" si="26"/>
        <v>0</v>
      </c>
      <c r="AY789" s="4"/>
      <c r="AZ789" s="5"/>
      <c r="BA789" s="5" t="str">
        <f ca="1">IF('Rent Roll'!$AB107=1,'Rent Roll'!E107,"")</f>
        <v/>
      </c>
      <c r="BB789" s="39" t="str">
        <f ca="1">IF('Rent Roll'!$AB107=1,'Rent Roll'!G107,"")</f>
        <v/>
      </c>
      <c r="BC789" s="1547" t="str">
        <f ca="1">IF('Rent Roll'!$AB107=1,'Rent Roll'!K107,"")</f>
        <v/>
      </c>
      <c r="BD789" s="1551" t="str">
        <f ca="1">IF('Rent Roll'!$AB107=1,'Rent Roll'!N107,"")</f>
        <v/>
      </c>
      <c r="BE789" s="223"/>
      <c r="BF789" s="6"/>
      <c r="BG789" s="32"/>
      <c r="BH789" s="342"/>
      <c r="BI789" s="343"/>
      <c r="BJ789" s="342"/>
      <c r="BK789" s="343"/>
      <c r="BL789" s="32"/>
      <c r="BM789" s="187"/>
      <c r="BN789" s="187"/>
    </row>
    <row r="790" spans="1:66" ht="15.95" hidden="1" customHeight="1" x14ac:dyDescent="0.25">
      <c r="A790" s="957">
        <f t="shared" ca="1" si="26"/>
        <v>0</v>
      </c>
      <c r="AY790" s="4"/>
      <c r="AZ790" s="5"/>
      <c r="BA790" s="5" t="str">
        <f ca="1">IF('Rent Roll'!$AB108=1,'Rent Roll'!E108,"")</f>
        <v/>
      </c>
      <c r="BB790" s="39" t="str">
        <f ca="1">IF('Rent Roll'!$AB108=1,'Rent Roll'!G108,"")</f>
        <v/>
      </c>
      <c r="BC790" s="1547" t="str">
        <f ca="1">IF('Rent Roll'!$AB108=1,'Rent Roll'!K108,"")</f>
        <v/>
      </c>
      <c r="BD790" s="1551" t="str">
        <f ca="1">IF('Rent Roll'!$AB108=1,'Rent Roll'!N108,"")</f>
        <v/>
      </c>
      <c r="BE790" s="223"/>
      <c r="BF790" s="6"/>
      <c r="BG790" s="32"/>
      <c r="BH790" s="342"/>
      <c r="BI790" s="343"/>
      <c r="BJ790" s="342"/>
      <c r="BK790" s="343"/>
      <c r="BL790" s="32"/>
      <c r="BM790" s="187"/>
      <c r="BN790" s="187"/>
    </row>
    <row r="791" spans="1:66" ht="15.95" hidden="1" customHeight="1" x14ac:dyDescent="0.25">
      <c r="A791" s="957">
        <f t="shared" ca="1" si="26"/>
        <v>0</v>
      </c>
      <c r="AY791" s="4"/>
      <c r="AZ791" s="5"/>
      <c r="BA791" s="5" t="str">
        <f ca="1">IF('Rent Roll'!$AB109=1,'Rent Roll'!E109,"")</f>
        <v/>
      </c>
      <c r="BB791" s="39" t="str">
        <f ca="1">IF('Rent Roll'!$AB109=1,'Rent Roll'!G109,"")</f>
        <v/>
      </c>
      <c r="BC791" s="1547" t="str">
        <f ca="1">IF('Rent Roll'!$AB109=1,'Rent Roll'!K109,"")</f>
        <v/>
      </c>
      <c r="BD791" s="1551" t="str">
        <f ca="1">IF('Rent Roll'!$AB109=1,'Rent Roll'!N109,"")</f>
        <v/>
      </c>
      <c r="BE791" s="223"/>
      <c r="BF791" s="6"/>
      <c r="BG791" s="32"/>
      <c r="BH791" s="342"/>
      <c r="BI791" s="343"/>
      <c r="BJ791" s="342"/>
      <c r="BK791" s="343"/>
      <c r="BL791" s="32"/>
      <c r="BM791" s="187"/>
      <c r="BN791" s="187"/>
    </row>
    <row r="792" spans="1:66" ht="15.95" hidden="1" customHeight="1" x14ac:dyDescent="0.25">
      <c r="A792" s="957">
        <f t="shared" ca="1" si="26"/>
        <v>0</v>
      </c>
      <c r="AY792" s="4"/>
      <c r="AZ792" s="5"/>
      <c r="BA792" s="5" t="str">
        <f ca="1">IF('Rent Roll'!$AB110=1,'Rent Roll'!E110,"")</f>
        <v/>
      </c>
      <c r="BB792" s="39" t="str">
        <f ca="1">IF('Rent Roll'!$AB110=1,'Rent Roll'!G110,"")</f>
        <v/>
      </c>
      <c r="BC792" s="1547" t="str">
        <f ca="1">IF('Rent Roll'!$AB110=1,'Rent Roll'!K110,"")</f>
        <v/>
      </c>
      <c r="BD792" s="1551" t="str">
        <f ca="1">IF('Rent Roll'!$AB110=1,'Rent Roll'!N110,"")</f>
        <v/>
      </c>
      <c r="BE792" s="223"/>
      <c r="BF792" s="6"/>
      <c r="BG792" s="32"/>
      <c r="BH792" s="342"/>
      <c r="BI792" s="343"/>
      <c r="BJ792" s="342"/>
      <c r="BK792" s="343"/>
      <c r="BL792" s="32"/>
      <c r="BM792" s="187"/>
      <c r="BN792" s="187"/>
    </row>
    <row r="793" spans="1:66" ht="15.95" hidden="1" customHeight="1" x14ac:dyDescent="0.25">
      <c r="A793" s="957">
        <f t="shared" ca="1" si="26"/>
        <v>0</v>
      </c>
      <c r="AY793" s="4"/>
      <c r="AZ793" s="5"/>
      <c r="BA793" s="5" t="str">
        <f ca="1">IF('Rent Roll'!$AB111=1,'Rent Roll'!E111,"")</f>
        <v/>
      </c>
      <c r="BB793" s="39" t="str">
        <f ca="1">IF('Rent Roll'!$AB111=1,'Rent Roll'!G111,"")</f>
        <v/>
      </c>
      <c r="BC793" s="1547" t="str">
        <f ca="1">IF('Rent Roll'!$AB111=1,'Rent Roll'!K111,"")</f>
        <v/>
      </c>
      <c r="BD793" s="1551" t="str">
        <f ca="1">IF('Rent Roll'!$AB111=1,'Rent Roll'!N111,"")</f>
        <v/>
      </c>
      <c r="BE793" s="223"/>
      <c r="BF793" s="6"/>
      <c r="BG793" s="32"/>
      <c r="BH793" s="342"/>
      <c r="BI793" s="343"/>
      <c r="BJ793" s="342"/>
      <c r="BK793" s="343"/>
      <c r="BL793" s="32"/>
      <c r="BM793" s="187"/>
      <c r="BN793" s="187"/>
    </row>
    <row r="794" spans="1:66" ht="15.95" hidden="1" customHeight="1" x14ac:dyDescent="0.25">
      <c r="A794" s="957">
        <f t="shared" ca="1" si="26"/>
        <v>0</v>
      </c>
      <c r="AY794" s="4"/>
      <c r="AZ794" s="5"/>
      <c r="BA794" s="5" t="str">
        <f ca="1">IF('Rent Roll'!$AB112=1,'Rent Roll'!E112,"")</f>
        <v/>
      </c>
      <c r="BB794" s="39" t="str">
        <f ca="1">IF('Rent Roll'!$AB112=1,'Rent Roll'!G112,"")</f>
        <v/>
      </c>
      <c r="BC794" s="1547" t="str">
        <f ca="1">IF('Rent Roll'!$AB112=1,'Rent Roll'!K112,"")</f>
        <v/>
      </c>
      <c r="BD794" s="1551" t="str">
        <f ca="1">IF('Rent Roll'!$AB112=1,'Rent Roll'!N112,"")</f>
        <v/>
      </c>
      <c r="BE794" s="223"/>
      <c r="BF794" s="6"/>
      <c r="BG794" s="32"/>
      <c r="BH794" s="342"/>
      <c r="BI794" s="343"/>
      <c r="BJ794" s="342"/>
      <c r="BK794" s="343"/>
      <c r="BL794" s="32"/>
      <c r="BM794" s="187"/>
      <c r="BN794" s="187"/>
    </row>
    <row r="795" spans="1:66" ht="15.95" hidden="1" customHeight="1" x14ac:dyDescent="0.25">
      <c r="A795" s="957">
        <f t="shared" ca="1" si="26"/>
        <v>0</v>
      </c>
      <c r="AY795" s="4"/>
      <c r="AZ795" s="5"/>
      <c r="BA795" s="5" t="str">
        <f ca="1">IF('Rent Roll'!$AB113=1,'Rent Roll'!E113,"")</f>
        <v/>
      </c>
      <c r="BB795" s="39" t="str">
        <f ca="1">IF('Rent Roll'!$AB113=1,'Rent Roll'!G113,"")</f>
        <v/>
      </c>
      <c r="BC795" s="1547" t="str">
        <f ca="1">IF('Rent Roll'!$AB113=1,'Rent Roll'!K113,"")</f>
        <v/>
      </c>
      <c r="BD795" s="1551" t="str">
        <f ca="1">IF('Rent Roll'!$AB113=1,'Rent Roll'!N113,"")</f>
        <v/>
      </c>
      <c r="BE795" s="223"/>
      <c r="BF795" s="6"/>
      <c r="BG795" s="32"/>
      <c r="BH795" s="342"/>
      <c r="BI795" s="343"/>
      <c r="BJ795" s="342"/>
      <c r="BK795" s="343"/>
      <c r="BL795" s="32"/>
      <c r="BM795" s="187"/>
      <c r="BN795" s="187"/>
    </row>
    <row r="796" spans="1:66" ht="15.95" hidden="1" customHeight="1" x14ac:dyDescent="0.25">
      <c r="A796" s="957">
        <f t="shared" ca="1" si="26"/>
        <v>0</v>
      </c>
      <c r="AY796" s="4"/>
      <c r="AZ796" s="5"/>
      <c r="BA796" s="5" t="str">
        <f ca="1">IF('Rent Roll'!$AB114=1,'Rent Roll'!E114,"")</f>
        <v/>
      </c>
      <c r="BB796" s="39" t="str">
        <f ca="1">IF('Rent Roll'!$AB114=1,'Rent Roll'!G114,"")</f>
        <v/>
      </c>
      <c r="BC796" s="1547" t="str">
        <f ca="1">IF('Rent Roll'!$AB114=1,'Rent Roll'!K114,"")</f>
        <v/>
      </c>
      <c r="BD796" s="1551" t="str">
        <f ca="1">IF('Rent Roll'!$AB114=1,'Rent Roll'!N114,"")</f>
        <v/>
      </c>
      <c r="BE796" s="223"/>
      <c r="BF796" s="6"/>
      <c r="BG796" s="32"/>
      <c r="BH796" s="342"/>
      <c r="BI796" s="343"/>
      <c r="BJ796" s="342"/>
      <c r="BK796" s="343"/>
      <c r="BL796" s="32"/>
      <c r="BM796" s="187"/>
      <c r="BN796" s="187"/>
    </row>
    <row r="797" spans="1:66" ht="15.95" hidden="1" customHeight="1" x14ac:dyDescent="0.25">
      <c r="A797" s="957">
        <f t="shared" ca="1" si="26"/>
        <v>0</v>
      </c>
      <c r="AY797" s="4"/>
      <c r="AZ797" s="5"/>
      <c r="BA797" s="5" t="str">
        <f ca="1">IF('Rent Roll'!$AB115=1,'Rent Roll'!E115,"")</f>
        <v/>
      </c>
      <c r="BB797" s="39" t="str">
        <f ca="1">IF('Rent Roll'!$AB115=1,'Rent Roll'!G115,"")</f>
        <v/>
      </c>
      <c r="BC797" s="1547" t="str">
        <f ca="1">IF('Rent Roll'!$AB115=1,'Rent Roll'!K115,"")</f>
        <v/>
      </c>
      <c r="BD797" s="1551" t="str">
        <f ca="1">IF('Rent Roll'!$AB115=1,'Rent Roll'!N115,"")</f>
        <v/>
      </c>
      <c r="BE797" s="223"/>
      <c r="BF797" s="6"/>
      <c r="BG797" s="32"/>
      <c r="BH797" s="342"/>
      <c r="BI797" s="343"/>
      <c r="BJ797" s="342"/>
      <c r="BK797" s="343"/>
      <c r="BL797" s="32"/>
      <c r="BM797" s="187"/>
      <c r="BN797" s="187"/>
    </row>
    <row r="798" spans="1:66" ht="15.95" hidden="1" customHeight="1" x14ac:dyDescent="0.25">
      <c r="A798" s="957">
        <f t="shared" ca="1" si="26"/>
        <v>0</v>
      </c>
      <c r="AY798" s="4"/>
      <c r="AZ798" s="5"/>
      <c r="BA798" s="5" t="str">
        <f ca="1">IF('Rent Roll'!$AB116=1,'Rent Roll'!E116,"")</f>
        <v/>
      </c>
      <c r="BB798" s="39" t="str">
        <f ca="1">IF('Rent Roll'!$AB116=1,'Rent Roll'!G116,"")</f>
        <v/>
      </c>
      <c r="BC798" s="1547" t="str">
        <f ca="1">IF('Rent Roll'!$AB116=1,'Rent Roll'!K116,"")</f>
        <v/>
      </c>
      <c r="BD798" s="1551" t="str">
        <f ca="1">IF('Rent Roll'!$AB116=1,'Rent Roll'!N116,"")</f>
        <v/>
      </c>
      <c r="BE798" s="223"/>
      <c r="BF798" s="6"/>
      <c r="BG798" s="32"/>
      <c r="BH798" s="342"/>
      <c r="BI798" s="343"/>
      <c r="BJ798" s="342"/>
      <c r="BK798" s="343"/>
      <c r="BL798" s="32"/>
      <c r="BM798" s="187"/>
      <c r="BN798" s="187"/>
    </row>
    <row r="799" spans="1:66" ht="15.95" hidden="1" customHeight="1" x14ac:dyDescent="0.25">
      <c r="A799" s="957">
        <f t="shared" ca="1" si="26"/>
        <v>0</v>
      </c>
      <c r="AY799" s="4"/>
      <c r="AZ799" s="5"/>
      <c r="BA799" s="5" t="str">
        <f ca="1">IF('Rent Roll'!$AB117=1,'Rent Roll'!E117,"")</f>
        <v/>
      </c>
      <c r="BB799" s="39" t="str">
        <f ca="1">IF('Rent Roll'!$AB117=1,'Rent Roll'!G117,"")</f>
        <v/>
      </c>
      <c r="BC799" s="1547" t="str">
        <f ca="1">IF('Rent Roll'!$AB117=1,'Rent Roll'!K117,"")</f>
        <v/>
      </c>
      <c r="BD799" s="1551" t="str">
        <f ca="1">IF('Rent Roll'!$AB117=1,'Rent Roll'!N117,"")</f>
        <v/>
      </c>
      <c r="BE799" s="223"/>
      <c r="BF799" s="6"/>
      <c r="BG799" s="32"/>
      <c r="BH799" s="342"/>
      <c r="BI799" s="343"/>
      <c r="BJ799" s="342"/>
      <c r="BK799" s="343"/>
      <c r="BL799" s="32"/>
      <c r="BM799" s="187"/>
      <c r="BN799" s="187"/>
    </row>
    <row r="800" spans="1:66" ht="15.95" hidden="1" customHeight="1" x14ac:dyDescent="0.25">
      <c r="A800" s="957">
        <f t="shared" ca="1" si="26"/>
        <v>0</v>
      </c>
      <c r="AY800" s="4"/>
      <c r="AZ800" s="5"/>
      <c r="BA800" s="5" t="str">
        <f ca="1">IF('Rent Roll'!$AB118=1,'Rent Roll'!E118,"")</f>
        <v/>
      </c>
      <c r="BB800" s="39" t="str">
        <f ca="1">IF('Rent Roll'!$AB118=1,'Rent Roll'!G118,"")</f>
        <v/>
      </c>
      <c r="BC800" s="1547" t="str">
        <f ca="1">IF('Rent Roll'!$AB118=1,'Rent Roll'!K118,"")</f>
        <v/>
      </c>
      <c r="BD800" s="1551" t="str">
        <f ca="1">IF('Rent Roll'!$AB118=1,'Rent Roll'!N118,"")</f>
        <v/>
      </c>
      <c r="BE800" s="223"/>
      <c r="BF800" s="6"/>
      <c r="BG800" s="32"/>
      <c r="BH800" s="342"/>
      <c r="BI800" s="343"/>
      <c r="BJ800" s="342"/>
      <c r="BK800" s="343"/>
      <c r="BL800" s="32"/>
      <c r="BM800" s="187"/>
      <c r="BN800" s="187"/>
    </row>
    <row r="801" spans="1:66" ht="15.95" hidden="1" customHeight="1" x14ac:dyDescent="0.25">
      <c r="A801" s="957">
        <f t="shared" ca="1" si="26"/>
        <v>0</v>
      </c>
      <c r="AY801" s="4"/>
      <c r="AZ801" s="5"/>
      <c r="BA801" s="5" t="str">
        <f ca="1">IF('Rent Roll'!$AB119=1,'Rent Roll'!E119,"")</f>
        <v/>
      </c>
      <c r="BB801" s="39" t="str">
        <f ca="1">IF('Rent Roll'!$AB119=1,'Rent Roll'!G119,"")</f>
        <v/>
      </c>
      <c r="BC801" s="1547" t="str">
        <f ca="1">IF('Rent Roll'!$AB119=1,'Rent Roll'!K119,"")</f>
        <v/>
      </c>
      <c r="BD801" s="1551" t="str">
        <f ca="1">IF('Rent Roll'!$AB119=1,'Rent Roll'!N119,"")</f>
        <v/>
      </c>
      <c r="BE801" s="223"/>
      <c r="BF801" s="6"/>
      <c r="BG801" s="32"/>
      <c r="BH801" s="342"/>
      <c r="BI801" s="343"/>
      <c r="BJ801" s="342"/>
      <c r="BK801" s="343"/>
      <c r="BL801" s="32"/>
      <c r="BM801" s="187"/>
      <c r="BN801" s="187"/>
    </row>
    <row r="802" spans="1:66" ht="15.95" hidden="1" customHeight="1" x14ac:dyDescent="0.25">
      <c r="A802" s="957">
        <f t="shared" ca="1" si="26"/>
        <v>0</v>
      </c>
      <c r="AY802" s="4"/>
      <c r="AZ802" s="5"/>
      <c r="BA802" s="5" t="str">
        <f ca="1">IF('Rent Roll'!$AB120=1,'Rent Roll'!E120,"")</f>
        <v/>
      </c>
      <c r="BB802" s="39" t="str">
        <f ca="1">IF('Rent Roll'!$AB120=1,'Rent Roll'!G120,"")</f>
        <v/>
      </c>
      <c r="BC802" s="1547" t="str">
        <f ca="1">IF('Rent Roll'!$AB120=1,'Rent Roll'!K120,"")</f>
        <v/>
      </c>
      <c r="BD802" s="1551" t="str">
        <f ca="1">IF('Rent Roll'!$AB120=1,'Rent Roll'!N120,"")</f>
        <v/>
      </c>
      <c r="BE802" s="223"/>
      <c r="BF802" s="6"/>
      <c r="BG802" s="32"/>
      <c r="BH802" s="342"/>
      <c r="BI802" s="343"/>
      <c r="BJ802" s="342"/>
      <c r="BK802" s="343"/>
      <c r="BL802" s="32"/>
      <c r="BM802" s="187"/>
      <c r="BN802" s="187"/>
    </row>
    <row r="803" spans="1:66" ht="15.95" hidden="1" customHeight="1" x14ac:dyDescent="0.25">
      <c r="A803" s="957">
        <f t="shared" ca="1" si="26"/>
        <v>0</v>
      </c>
      <c r="AY803" s="4"/>
      <c r="AZ803" s="5"/>
      <c r="BA803" s="5" t="str">
        <f ca="1">IF('Rent Roll'!$AB121=1,'Rent Roll'!E121,"")</f>
        <v/>
      </c>
      <c r="BB803" s="39" t="str">
        <f ca="1">IF('Rent Roll'!$AB121=1,'Rent Roll'!G121,"")</f>
        <v/>
      </c>
      <c r="BC803" s="1547" t="str">
        <f ca="1">IF('Rent Roll'!$AB121=1,'Rent Roll'!K121,"")</f>
        <v/>
      </c>
      <c r="BD803" s="1551" t="str">
        <f ca="1">IF('Rent Roll'!$AB121=1,'Rent Roll'!N121,"")</f>
        <v/>
      </c>
      <c r="BE803" s="223"/>
      <c r="BF803" s="6"/>
      <c r="BG803" s="32"/>
      <c r="BH803" s="342"/>
      <c r="BI803" s="343"/>
      <c r="BJ803" s="342"/>
      <c r="BK803" s="343"/>
      <c r="BL803" s="32"/>
      <c r="BM803" s="187"/>
      <c r="BN803" s="187"/>
    </row>
    <row r="804" spans="1:66" ht="15.95" hidden="1" customHeight="1" x14ac:dyDescent="0.25">
      <c r="A804" s="957">
        <f t="shared" ca="1" si="26"/>
        <v>0</v>
      </c>
      <c r="AY804" s="4"/>
      <c r="AZ804" s="5"/>
      <c r="BA804" s="5" t="str">
        <f ca="1">IF('Rent Roll'!$AB122=1,'Rent Roll'!E122,"")</f>
        <v/>
      </c>
      <c r="BB804" s="39" t="str">
        <f ca="1">IF('Rent Roll'!$AB122=1,'Rent Roll'!G122,"")</f>
        <v/>
      </c>
      <c r="BC804" s="1547" t="str">
        <f ca="1">IF('Rent Roll'!$AB122=1,'Rent Roll'!K122,"")</f>
        <v/>
      </c>
      <c r="BD804" s="1551" t="str">
        <f ca="1">IF('Rent Roll'!$AB122=1,'Rent Roll'!N122,"")</f>
        <v/>
      </c>
      <c r="BE804" s="223"/>
      <c r="BF804" s="6"/>
      <c r="BG804" s="32"/>
      <c r="BH804" s="342"/>
      <c r="BI804" s="343"/>
      <c r="BJ804" s="342"/>
      <c r="BK804" s="343"/>
      <c r="BL804" s="32"/>
      <c r="BM804" s="187"/>
      <c r="BN804" s="187"/>
    </row>
    <row r="805" spans="1:66" ht="15.95" hidden="1" customHeight="1" x14ac:dyDescent="0.25">
      <c r="A805" s="957">
        <f t="shared" ca="1" si="26"/>
        <v>0</v>
      </c>
      <c r="AY805" s="4"/>
      <c r="AZ805" s="5"/>
      <c r="BA805" s="5" t="str">
        <f ca="1">IF('Rent Roll'!$AB123=1,'Rent Roll'!E123,"")</f>
        <v/>
      </c>
      <c r="BB805" s="39" t="str">
        <f ca="1">IF('Rent Roll'!$AB123=1,'Rent Roll'!G123,"")</f>
        <v/>
      </c>
      <c r="BC805" s="1547" t="str">
        <f ca="1">IF('Rent Roll'!$AB123=1,'Rent Roll'!K123,"")</f>
        <v/>
      </c>
      <c r="BD805" s="1551" t="str">
        <f ca="1">IF('Rent Roll'!$AB123=1,'Rent Roll'!N123,"")</f>
        <v/>
      </c>
      <c r="BE805" s="223"/>
      <c r="BF805" s="6"/>
      <c r="BG805" s="32"/>
      <c r="BH805" s="342"/>
      <c r="BI805" s="343"/>
      <c r="BJ805" s="342"/>
      <c r="BK805" s="343"/>
      <c r="BL805" s="32"/>
      <c r="BM805" s="187"/>
      <c r="BN805" s="187"/>
    </row>
    <row r="806" spans="1:66" ht="15.95" hidden="1" customHeight="1" x14ac:dyDescent="0.25">
      <c r="A806" s="957">
        <f t="shared" ca="1" si="26"/>
        <v>0</v>
      </c>
      <c r="AY806" s="4"/>
      <c r="AZ806" s="5"/>
      <c r="BA806" s="5" t="str">
        <f ca="1">IF('Rent Roll'!$AB124=1,'Rent Roll'!E124,"")</f>
        <v/>
      </c>
      <c r="BB806" s="39" t="str">
        <f ca="1">IF('Rent Roll'!$AB124=1,'Rent Roll'!G124,"")</f>
        <v/>
      </c>
      <c r="BC806" s="1547" t="str">
        <f ca="1">IF('Rent Roll'!$AB124=1,'Rent Roll'!K124,"")</f>
        <v/>
      </c>
      <c r="BD806" s="1551" t="str">
        <f ca="1">IF('Rent Roll'!$AB124=1,'Rent Roll'!N124,"")</f>
        <v/>
      </c>
      <c r="BE806" s="223"/>
      <c r="BF806" s="6"/>
      <c r="BG806" s="32"/>
      <c r="BH806" s="342"/>
      <c r="BI806" s="343"/>
      <c r="BJ806" s="342"/>
      <c r="BK806" s="343"/>
      <c r="BL806" s="32"/>
      <c r="BM806" s="187"/>
      <c r="BN806" s="187"/>
    </row>
    <row r="807" spans="1:66" ht="15.95" hidden="1" customHeight="1" x14ac:dyDescent="0.25">
      <c r="A807" s="957">
        <f t="shared" ca="1" si="26"/>
        <v>0</v>
      </c>
      <c r="AY807" s="4"/>
      <c r="AZ807" s="5"/>
      <c r="BA807" s="5" t="str">
        <f ca="1">IF('Rent Roll'!$AB125=1,'Rent Roll'!E125,"")</f>
        <v/>
      </c>
      <c r="BB807" s="39" t="str">
        <f ca="1">IF('Rent Roll'!$AB125=1,'Rent Roll'!G125,"")</f>
        <v/>
      </c>
      <c r="BC807" s="1547" t="str">
        <f ca="1">IF('Rent Roll'!$AB125=1,'Rent Roll'!K125,"")</f>
        <v/>
      </c>
      <c r="BD807" s="1551" t="str">
        <f ca="1">IF('Rent Roll'!$AB125=1,'Rent Roll'!N125,"")</f>
        <v/>
      </c>
      <c r="BE807" s="223"/>
      <c r="BF807" s="6"/>
      <c r="BG807" s="32"/>
      <c r="BH807" s="342"/>
      <c r="BI807" s="343"/>
      <c r="BJ807" s="342"/>
      <c r="BK807" s="343"/>
      <c r="BL807" s="32"/>
      <c r="BM807" s="187"/>
      <c r="BN807" s="187"/>
    </row>
    <row r="808" spans="1:66" ht="15.95" hidden="1" customHeight="1" x14ac:dyDescent="0.25">
      <c r="A808" s="957">
        <f t="shared" ca="1" si="26"/>
        <v>0</v>
      </c>
      <c r="AY808" s="4"/>
      <c r="AZ808" s="5"/>
      <c r="BA808" s="5" t="str">
        <f ca="1">IF('Rent Roll'!$AB126=1,'Rent Roll'!E126,"")</f>
        <v/>
      </c>
      <c r="BB808" s="39" t="str">
        <f ca="1">IF('Rent Roll'!$AB126=1,'Rent Roll'!G126,"")</f>
        <v/>
      </c>
      <c r="BC808" s="1547" t="str">
        <f ca="1">IF('Rent Roll'!$AB126=1,'Rent Roll'!K126,"")</f>
        <v/>
      </c>
      <c r="BD808" s="1551" t="str">
        <f ca="1">IF('Rent Roll'!$AB126=1,'Rent Roll'!N126,"")</f>
        <v/>
      </c>
      <c r="BE808" s="223"/>
      <c r="BF808" s="6"/>
      <c r="BG808" s="32"/>
      <c r="BH808" s="342"/>
      <c r="BI808" s="343"/>
      <c r="BJ808" s="342"/>
      <c r="BK808" s="343"/>
      <c r="BL808" s="32"/>
      <c r="BM808" s="187"/>
      <c r="BN808" s="187"/>
    </row>
    <row r="809" spans="1:66" ht="15.95" hidden="1" customHeight="1" x14ac:dyDescent="0.25">
      <c r="A809" s="957">
        <f t="shared" ca="1" si="26"/>
        <v>0</v>
      </c>
      <c r="AY809" s="4"/>
      <c r="AZ809" s="5"/>
      <c r="BA809" s="5" t="str">
        <f ca="1">IF('Rent Roll'!$AB127=1,'Rent Roll'!E127,"")</f>
        <v/>
      </c>
      <c r="BB809" s="39" t="str">
        <f ca="1">IF('Rent Roll'!$AB127=1,'Rent Roll'!G127,"")</f>
        <v/>
      </c>
      <c r="BC809" s="1547" t="str">
        <f ca="1">IF('Rent Roll'!$AB127=1,'Rent Roll'!K127,"")</f>
        <v/>
      </c>
      <c r="BD809" s="1551" t="str">
        <f ca="1">IF('Rent Roll'!$AB127=1,'Rent Roll'!N127,"")</f>
        <v/>
      </c>
      <c r="BE809" s="223"/>
      <c r="BF809" s="6"/>
      <c r="BG809" s="32"/>
      <c r="BH809" s="342"/>
      <c r="BI809" s="343"/>
      <c r="BJ809" s="342"/>
      <c r="BK809" s="343"/>
      <c r="BL809" s="32"/>
      <c r="BM809" s="187"/>
      <c r="BN809" s="187"/>
    </row>
    <row r="810" spans="1:66" ht="15.95" hidden="1" customHeight="1" x14ac:dyDescent="0.25">
      <c r="A810" s="957">
        <f t="shared" ca="1" si="26"/>
        <v>0</v>
      </c>
      <c r="AY810" s="4"/>
      <c r="AZ810" s="5"/>
      <c r="BA810" s="5" t="str">
        <f ca="1">IF('Rent Roll'!$AB128=1,'Rent Roll'!E128,"")</f>
        <v/>
      </c>
      <c r="BB810" s="39" t="str">
        <f ca="1">IF('Rent Roll'!$AB128=1,'Rent Roll'!G128,"")</f>
        <v/>
      </c>
      <c r="BC810" s="1547" t="str">
        <f ca="1">IF('Rent Roll'!$AB128=1,'Rent Roll'!K128,"")</f>
        <v/>
      </c>
      <c r="BD810" s="1551" t="str">
        <f ca="1">IF('Rent Roll'!$AB128=1,'Rent Roll'!N128,"")</f>
        <v/>
      </c>
      <c r="BE810" s="223"/>
      <c r="BF810" s="6"/>
      <c r="BG810" s="32"/>
      <c r="BH810" s="342"/>
      <c r="BI810" s="343"/>
      <c r="BJ810" s="342"/>
      <c r="BK810" s="343"/>
      <c r="BL810" s="32"/>
      <c r="BM810" s="187"/>
      <c r="BN810" s="187"/>
    </row>
    <row r="811" spans="1:66" ht="15.95" hidden="1" customHeight="1" x14ac:dyDescent="0.25">
      <c r="A811" s="957">
        <f t="shared" ca="1" si="26"/>
        <v>0</v>
      </c>
      <c r="AY811" s="4"/>
      <c r="AZ811" s="5"/>
      <c r="BA811" s="5" t="str">
        <f ca="1">IF('Rent Roll'!$AB129=1,'Rent Roll'!E129,"")</f>
        <v/>
      </c>
      <c r="BB811" s="39" t="str">
        <f ca="1">IF('Rent Roll'!$AB129=1,'Rent Roll'!G129,"")</f>
        <v/>
      </c>
      <c r="BC811" s="1547" t="str">
        <f ca="1">IF('Rent Roll'!$AB129=1,'Rent Roll'!K129,"")</f>
        <v/>
      </c>
      <c r="BD811" s="1551" t="str">
        <f ca="1">IF('Rent Roll'!$AB129=1,'Rent Roll'!N129,"")</f>
        <v/>
      </c>
      <c r="BE811" s="223"/>
      <c r="BF811" s="6"/>
      <c r="BG811" s="32"/>
      <c r="BH811" s="342"/>
      <c r="BI811" s="343"/>
      <c r="BJ811" s="342"/>
      <c r="BK811" s="343"/>
      <c r="BL811" s="32"/>
      <c r="BM811" s="187"/>
      <c r="BN811" s="187"/>
    </row>
    <row r="812" spans="1:66" ht="15.95" hidden="1" customHeight="1" x14ac:dyDescent="0.25">
      <c r="A812" s="957">
        <f t="shared" ca="1" si="26"/>
        <v>0</v>
      </c>
      <c r="AY812" s="4"/>
      <c r="AZ812" s="5"/>
      <c r="BA812" s="5" t="str">
        <f ca="1">IF('Rent Roll'!$AB130=1,'Rent Roll'!E130,"")</f>
        <v/>
      </c>
      <c r="BB812" s="39" t="str">
        <f ca="1">IF('Rent Roll'!$AB130=1,'Rent Roll'!G130,"")</f>
        <v/>
      </c>
      <c r="BC812" s="1547" t="str">
        <f ca="1">IF('Rent Roll'!$AB130=1,'Rent Roll'!K130,"")</f>
        <v/>
      </c>
      <c r="BD812" s="1551" t="str">
        <f ca="1">IF('Rent Roll'!$AB130=1,'Rent Roll'!N130,"")</f>
        <v/>
      </c>
      <c r="BE812" s="223"/>
      <c r="BF812" s="6"/>
      <c r="BG812" s="32"/>
      <c r="BH812" s="342"/>
      <c r="BI812" s="343"/>
      <c r="BJ812" s="342"/>
      <c r="BK812" s="343"/>
      <c r="BL812" s="32"/>
      <c r="BM812" s="187"/>
      <c r="BN812" s="187"/>
    </row>
    <row r="813" spans="1:66" ht="15.95" hidden="1" customHeight="1" x14ac:dyDescent="0.25">
      <c r="A813" s="957">
        <f t="shared" ca="1" si="26"/>
        <v>0</v>
      </c>
      <c r="AY813" s="4"/>
      <c r="AZ813" s="5"/>
      <c r="BA813" s="5" t="str">
        <f ca="1">IF('Rent Roll'!$AB131=1,'Rent Roll'!E131,"")</f>
        <v/>
      </c>
      <c r="BB813" s="39" t="str">
        <f ca="1">IF('Rent Roll'!$AB131=1,'Rent Roll'!G131,"")</f>
        <v/>
      </c>
      <c r="BC813" s="1547" t="str">
        <f ca="1">IF('Rent Roll'!$AB131=1,'Rent Roll'!K131,"")</f>
        <v/>
      </c>
      <c r="BD813" s="1551" t="str">
        <f ca="1">IF('Rent Roll'!$AB131=1,'Rent Roll'!N131,"")</f>
        <v/>
      </c>
      <c r="BE813" s="223"/>
      <c r="BF813" s="6"/>
      <c r="BG813" s="32"/>
      <c r="BH813" s="342"/>
      <c r="BI813" s="343"/>
      <c r="BJ813" s="342"/>
      <c r="BK813" s="343"/>
      <c r="BL813" s="32"/>
      <c r="BM813" s="187"/>
      <c r="BN813" s="187"/>
    </row>
    <row r="814" spans="1:66" ht="15.95" hidden="1" customHeight="1" x14ac:dyDescent="0.25">
      <c r="A814" s="957">
        <f t="shared" ca="1" si="26"/>
        <v>0</v>
      </c>
      <c r="AY814" s="4"/>
      <c r="AZ814" s="5"/>
      <c r="BA814" s="5" t="str">
        <f ca="1">IF('Rent Roll'!$AB132=1,'Rent Roll'!E132,"")</f>
        <v/>
      </c>
      <c r="BB814" s="39" t="str">
        <f ca="1">IF('Rent Roll'!$AB132=1,'Rent Roll'!G132,"")</f>
        <v/>
      </c>
      <c r="BC814" s="1547" t="str">
        <f ca="1">IF('Rent Roll'!$AB132=1,'Rent Roll'!K132,"")</f>
        <v/>
      </c>
      <c r="BD814" s="1551" t="str">
        <f ca="1">IF('Rent Roll'!$AB132=1,'Rent Roll'!N132,"")</f>
        <v/>
      </c>
      <c r="BE814" s="223"/>
      <c r="BF814" s="6"/>
      <c r="BG814" s="32"/>
      <c r="BH814" s="342"/>
      <c r="BI814" s="343"/>
      <c r="BJ814" s="342"/>
      <c r="BK814" s="343"/>
      <c r="BL814" s="32"/>
      <c r="BM814" s="187"/>
      <c r="BN814" s="187"/>
    </row>
    <row r="815" spans="1:66" ht="15.95" hidden="1" customHeight="1" x14ac:dyDescent="0.25">
      <c r="A815" s="957">
        <f t="shared" ca="1" si="26"/>
        <v>0</v>
      </c>
      <c r="AY815" s="4"/>
      <c r="AZ815" s="5"/>
      <c r="BA815" s="5" t="str">
        <f ca="1">IF('Rent Roll'!$AB133=1,'Rent Roll'!E133,"")</f>
        <v/>
      </c>
      <c r="BB815" s="39" t="str">
        <f ca="1">IF('Rent Roll'!$AB133=1,'Rent Roll'!G133,"")</f>
        <v/>
      </c>
      <c r="BC815" s="1547" t="str">
        <f ca="1">IF('Rent Roll'!$AB133=1,'Rent Roll'!K133,"")</f>
        <v/>
      </c>
      <c r="BD815" s="1551" t="str">
        <f ca="1">IF('Rent Roll'!$AB133=1,'Rent Roll'!N133,"")</f>
        <v/>
      </c>
      <c r="BE815" s="223"/>
      <c r="BF815" s="6"/>
      <c r="BG815" s="32"/>
      <c r="BH815" s="342"/>
      <c r="BI815" s="343"/>
      <c r="BJ815" s="342"/>
      <c r="BK815" s="343"/>
      <c r="BL815" s="32"/>
      <c r="BM815" s="187"/>
      <c r="BN815" s="187"/>
    </row>
    <row r="816" spans="1:66" ht="15.95" hidden="1" customHeight="1" x14ac:dyDescent="0.25">
      <c r="A816" s="957">
        <f t="shared" ca="1" si="26"/>
        <v>0</v>
      </c>
      <c r="AY816" s="4"/>
      <c r="AZ816" s="5"/>
      <c r="BA816" s="5" t="str">
        <f ca="1">IF('Rent Roll'!$AB134=1,'Rent Roll'!E134,"")</f>
        <v/>
      </c>
      <c r="BB816" s="39" t="str">
        <f ca="1">IF('Rent Roll'!$AB134=1,'Rent Roll'!G134,"")</f>
        <v/>
      </c>
      <c r="BC816" s="1547" t="str">
        <f ca="1">IF('Rent Roll'!$AB134=1,'Rent Roll'!K134,"")</f>
        <v/>
      </c>
      <c r="BD816" s="1551" t="str">
        <f ca="1">IF('Rent Roll'!$AB134=1,'Rent Roll'!N134,"")</f>
        <v/>
      </c>
      <c r="BE816" s="5"/>
      <c r="BF816" s="6"/>
      <c r="BG816" s="32"/>
      <c r="BH816" s="342"/>
      <c r="BI816" s="343"/>
      <c r="BJ816" s="342"/>
      <c r="BK816" s="343"/>
      <c r="BL816" s="32"/>
      <c r="BM816" s="187"/>
      <c r="BN816" s="187"/>
    </row>
    <row r="817" spans="1:66" ht="15.95" hidden="1" customHeight="1" x14ac:dyDescent="0.25">
      <c r="A817" s="957">
        <f t="shared" ref="A817:A848" ca="1" si="27">IF(BA817="",0,1)</f>
        <v>0</v>
      </c>
      <c r="AY817" s="4"/>
      <c r="AZ817" s="5"/>
      <c r="BA817" s="5" t="str">
        <f ca="1">IF('Rent Roll'!$AB135=1,'Rent Roll'!E135,"")</f>
        <v/>
      </c>
      <c r="BB817" s="39" t="str">
        <f ca="1">IF('Rent Roll'!$AB135=1,'Rent Roll'!G135,"")</f>
        <v/>
      </c>
      <c r="BC817" s="1547" t="str">
        <f ca="1">IF('Rent Roll'!$AB135=1,'Rent Roll'!K135,"")</f>
        <v/>
      </c>
      <c r="BD817" s="1551" t="str">
        <f ca="1">IF('Rent Roll'!$AB135=1,'Rent Roll'!N135,"")</f>
        <v/>
      </c>
      <c r="BE817" s="5"/>
      <c r="BF817" s="6"/>
      <c r="BG817" s="32"/>
      <c r="BH817" s="342"/>
      <c r="BI817" s="343"/>
      <c r="BJ817" s="342"/>
      <c r="BK817" s="343"/>
      <c r="BL817" s="32"/>
      <c r="BM817" s="187"/>
      <c r="BN817" s="187"/>
    </row>
    <row r="818" spans="1:66" ht="15.95" hidden="1" customHeight="1" x14ac:dyDescent="0.25">
      <c r="A818" s="957">
        <f t="shared" ca="1" si="27"/>
        <v>0</v>
      </c>
      <c r="AY818" s="4"/>
      <c r="AZ818" s="5"/>
      <c r="BA818" s="5" t="str">
        <f ca="1">IF('Rent Roll'!$AB136=1,'Rent Roll'!E136,"")</f>
        <v/>
      </c>
      <c r="BB818" s="39" t="str">
        <f ca="1">IF('Rent Roll'!$AB136=1,'Rent Roll'!G136,"")</f>
        <v/>
      </c>
      <c r="BC818" s="1547" t="str">
        <f ca="1">IF('Rent Roll'!$AB136=1,'Rent Roll'!K136,"")</f>
        <v/>
      </c>
      <c r="BD818" s="1551" t="str">
        <f ca="1">IF('Rent Roll'!$AB136=1,'Rent Roll'!N136,"")</f>
        <v/>
      </c>
      <c r="BE818" s="5"/>
      <c r="BF818" s="6"/>
      <c r="BG818" s="32"/>
      <c r="BH818" s="342"/>
      <c r="BI818" s="343"/>
      <c r="BJ818" s="342"/>
      <c r="BK818" s="343"/>
      <c r="BL818" s="32"/>
      <c r="BM818" s="187"/>
      <c r="BN818" s="187"/>
    </row>
    <row r="819" spans="1:66" ht="15.95" hidden="1" customHeight="1" x14ac:dyDescent="0.25">
      <c r="A819" s="957">
        <f t="shared" ca="1" si="27"/>
        <v>0</v>
      </c>
      <c r="AY819" s="4"/>
      <c r="AZ819" s="5"/>
      <c r="BA819" s="5" t="str">
        <f ca="1">IF('Rent Roll'!$AB137=1,'Rent Roll'!E137,"")</f>
        <v/>
      </c>
      <c r="BB819" s="39" t="str">
        <f ca="1">IF('Rent Roll'!$AB137=1,'Rent Roll'!G137,"")</f>
        <v/>
      </c>
      <c r="BC819" s="1547" t="str">
        <f ca="1">IF('Rent Roll'!$AB137=1,'Rent Roll'!K137,"")</f>
        <v/>
      </c>
      <c r="BD819" s="1551" t="str">
        <f ca="1">IF('Rent Roll'!$AB137=1,'Rent Roll'!N137,"")</f>
        <v/>
      </c>
      <c r="BE819" s="5"/>
      <c r="BF819" s="6"/>
      <c r="BG819" s="32"/>
      <c r="BH819" s="342"/>
      <c r="BI819" s="343"/>
      <c r="BJ819" s="342"/>
      <c r="BK819" s="343"/>
      <c r="BL819" s="32"/>
      <c r="BM819" s="187"/>
      <c r="BN819" s="187"/>
    </row>
    <row r="820" spans="1:66" ht="15.95" hidden="1" customHeight="1" x14ac:dyDescent="0.25">
      <c r="A820" s="957">
        <f t="shared" ca="1" si="27"/>
        <v>0</v>
      </c>
      <c r="AY820" s="4"/>
      <c r="AZ820" s="5"/>
      <c r="BA820" s="5" t="str">
        <f ca="1">IF('Rent Roll'!$AB138=1,'Rent Roll'!E138,"")</f>
        <v/>
      </c>
      <c r="BB820" s="39" t="str">
        <f ca="1">IF('Rent Roll'!$AB138=1,'Rent Roll'!G138,"")</f>
        <v/>
      </c>
      <c r="BC820" s="1547" t="str">
        <f ca="1">IF('Rent Roll'!$AB138=1,'Rent Roll'!K138,"")</f>
        <v/>
      </c>
      <c r="BD820" s="1551" t="str">
        <f ca="1">IF('Rent Roll'!$AB138=1,'Rent Roll'!N138,"")</f>
        <v/>
      </c>
      <c r="BE820" s="5"/>
      <c r="BF820" s="6"/>
      <c r="BG820" s="32"/>
      <c r="BH820" s="342"/>
      <c r="BI820" s="343"/>
      <c r="BJ820" s="342"/>
      <c r="BK820" s="343"/>
      <c r="BL820" s="32"/>
      <c r="BM820" s="187"/>
      <c r="BN820" s="187"/>
    </row>
    <row r="821" spans="1:66" ht="15.95" hidden="1" customHeight="1" x14ac:dyDescent="0.25">
      <c r="A821" s="957">
        <f t="shared" ca="1" si="27"/>
        <v>0</v>
      </c>
      <c r="AY821" s="4"/>
      <c r="AZ821" s="5"/>
      <c r="BA821" s="5" t="str">
        <f ca="1">IF('Rent Roll'!$AB139=1,'Rent Roll'!E139,"")</f>
        <v/>
      </c>
      <c r="BB821" s="39" t="str">
        <f ca="1">IF('Rent Roll'!$AB139=1,'Rent Roll'!G139,"")</f>
        <v/>
      </c>
      <c r="BC821" s="1547" t="str">
        <f ca="1">IF('Rent Roll'!$AB139=1,'Rent Roll'!K139,"")</f>
        <v/>
      </c>
      <c r="BD821" s="1551" t="str">
        <f ca="1">IF('Rent Roll'!$AB139=1,'Rent Roll'!N139,"")</f>
        <v/>
      </c>
      <c r="BE821" s="5"/>
      <c r="BF821" s="6"/>
      <c r="BG821" s="32"/>
      <c r="BH821" s="342"/>
      <c r="BI821" s="343"/>
      <c r="BJ821" s="342"/>
      <c r="BK821" s="343"/>
      <c r="BL821" s="32"/>
      <c r="BM821" s="187"/>
      <c r="BN821" s="187"/>
    </row>
    <row r="822" spans="1:66" ht="15.95" hidden="1" customHeight="1" x14ac:dyDescent="0.25">
      <c r="A822" s="957">
        <f t="shared" ca="1" si="27"/>
        <v>0</v>
      </c>
      <c r="AY822" s="4"/>
      <c r="AZ822" s="5"/>
      <c r="BA822" s="5" t="str">
        <f ca="1">IF('Rent Roll'!$AB140=1,'Rent Roll'!E140,"")</f>
        <v/>
      </c>
      <c r="BB822" s="39" t="str">
        <f ca="1">IF('Rent Roll'!$AB140=1,'Rent Roll'!G140,"")</f>
        <v/>
      </c>
      <c r="BC822" s="1547" t="str">
        <f ca="1">IF('Rent Roll'!$AB140=1,'Rent Roll'!K140,"")</f>
        <v/>
      </c>
      <c r="BD822" s="1551" t="str">
        <f ca="1">IF('Rent Roll'!$AB140=1,'Rent Roll'!N140,"")</f>
        <v/>
      </c>
      <c r="BE822" s="5"/>
      <c r="BF822" s="6"/>
      <c r="BG822" s="32"/>
      <c r="BH822" s="342"/>
      <c r="BI822" s="343"/>
      <c r="BJ822" s="342"/>
      <c r="BK822" s="343"/>
      <c r="BL822" s="32"/>
      <c r="BM822" s="187"/>
      <c r="BN822" s="187"/>
    </row>
    <row r="823" spans="1:66" ht="15.95" hidden="1" customHeight="1" x14ac:dyDescent="0.25">
      <c r="A823" s="957">
        <f t="shared" ca="1" si="27"/>
        <v>0</v>
      </c>
      <c r="AY823" s="4"/>
      <c r="AZ823" s="5"/>
      <c r="BA823" s="5" t="str">
        <f ca="1">IF('Rent Roll'!$AB141=1,'Rent Roll'!E141,"")</f>
        <v/>
      </c>
      <c r="BB823" s="39" t="str">
        <f ca="1">IF('Rent Roll'!$AB141=1,'Rent Roll'!G141,"")</f>
        <v/>
      </c>
      <c r="BC823" s="1547" t="str">
        <f ca="1">IF('Rent Roll'!$AB141=1,'Rent Roll'!K141,"")</f>
        <v/>
      </c>
      <c r="BD823" s="1551" t="str">
        <f ca="1">IF('Rent Roll'!$AB141=1,'Rent Roll'!N141,"")</f>
        <v/>
      </c>
      <c r="BE823" s="5"/>
      <c r="BF823" s="6"/>
      <c r="BG823" s="32"/>
      <c r="BH823" s="342"/>
      <c r="BI823" s="343"/>
      <c r="BJ823" s="342"/>
      <c r="BK823" s="343"/>
      <c r="BL823" s="32"/>
      <c r="BM823" s="187"/>
      <c r="BN823" s="187"/>
    </row>
    <row r="824" spans="1:66" ht="15.95" hidden="1" customHeight="1" x14ac:dyDescent="0.25">
      <c r="A824" s="957">
        <f t="shared" ca="1" si="27"/>
        <v>0</v>
      </c>
      <c r="AY824" s="4"/>
      <c r="AZ824" s="5"/>
      <c r="BA824" s="5" t="str">
        <f ca="1">IF('Rent Roll'!$AB142=1,'Rent Roll'!E142,"")</f>
        <v/>
      </c>
      <c r="BB824" s="39" t="str">
        <f ca="1">IF('Rent Roll'!$AB142=1,'Rent Roll'!G142,"")</f>
        <v/>
      </c>
      <c r="BC824" s="1547" t="str">
        <f ca="1">IF('Rent Roll'!$AB142=1,'Rent Roll'!K142,"")</f>
        <v/>
      </c>
      <c r="BD824" s="1551" t="str">
        <f ca="1">IF('Rent Roll'!$AB142=1,'Rent Roll'!N142,"")</f>
        <v/>
      </c>
      <c r="BE824" s="5"/>
      <c r="BF824" s="6"/>
      <c r="BG824" s="32"/>
      <c r="BH824" s="342"/>
      <c r="BI824" s="343"/>
      <c r="BJ824" s="342"/>
      <c r="BK824" s="343"/>
      <c r="BL824" s="32"/>
      <c r="BM824" s="187"/>
      <c r="BN824" s="187"/>
    </row>
    <row r="825" spans="1:66" ht="15.95" hidden="1" customHeight="1" x14ac:dyDescent="0.25">
      <c r="A825" s="957">
        <f t="shared" ca="1" si="27"/>
        <v>0</v>
      </c>
      <c r="AY825" s="4"/>
      <c r="AZ825" s="5"/>
      <c r="BA825" s="5" t="str">
        <f ca="1">IF('Rent Roll'!$AB143=1,'Rent Roll'!E143,"")</f>
        <v/>
      </c>
      <c r="BB825" s="39" t="str">
        <f ca="1">IF('Rent Roll'!$AB143=1,'Rent Roll'!G143,"")</f>
        <v/>
      </c>
      <c r="BC825" s="1547" t="str">
        <f ca="1">IF('Rent Roll'!$AB143=1,'Rent Roll'!K143,"")</f>
        <v/>
      </c>
      <c r="BD825" s="1551" t="str">
        <f ca="1">IF('Rent Roll'!$AB143=1,'Rent Roll'!N143,"")</f>
        <v/>
      </c>
      <c r="BE825" s="5"/>
      <c r="BF825" s="6"/>
      <c r="BG825" s="32"/>
      <c r="BH825" s="342"/>
      <c r="BI825" s="343"/>
      <c r="BJ825" s="342"/>
      <c r="BK825" s="343"/>
      <c r="BL825" s="32"/>
      <c r="BM825" s="187"/>
      <c r="BN825" s="187"/>
    </row>
    <row r="826" spans="1:66" ht="15.95" hidden="1" customHeight="1" x14ac:dyDescent="0.25">
      <c r="A826" s="957">
        <f t="shared" ca="1" si="27"/>
        <v>0</v>
      </c>
      <c r="AY826" s="4"/>
      <c r="AZ826" s="5"/>
      <c r="BA826" s="5" t="str">
        <f ca="1">IF('Rent Roll'!$AB144=1,'Rent Roll'!E144,"")</f>
        <v/>
      </c>
      <c r="BB826" s="39" t="str">
        <f ca="1">IF('Rent Roll'!$AB144=1,'Rent Roll'!G144,"")</f>
        <v/>
      </c>
      <c r="BC826" s="1547" t="str">
        <f ca="1">IF('Rent Roll'!$AB144=1,'Rent Roll'!K144,"")</f>
        <v/>
      </c>
      <c r="BD826" s="1551" t="str">
        <f ca="1">IF('Rent Roll'!$AB144=1,'Rent Roll'!N144,"")</f>
        <v/>
      </c>
      <c r="BE826" s="5"/>
      <c r="BF826" s="6"/>
      <c r="BG826" s="32"/>
      <c r="BH826" s="342"/>
      <c r="BI826" s="343"/>
      <c r="BJ826" s="342"/>
      <c r="BK826" s="343"/>
      <c r="BL826" s="32"/>
      <c r="BM826" s="187"/>
      <c r="BN826" s="187"/>
    </row>
    <row r="827" spans="1:66" ht="15.95" hidden="1" customHeight="1" x14ac:dyDescent="0.25">
      <c r="A827" s="957">
        <f t="shared" ca="1" si="27"/>
        <v>0</v>
      </c>
      <c r="AY827" s="4"/>
      <c r="AZ827" s="5"/>
      <c r="BA827" s="5" t="str">
        <f ca="1">IF('Rent Roll'!$AB145=1,'Rent Roll'!E145,"")</f>
        <v/>
      </c>
      <c r="BB827" s="39" t="str">
        <f ca="1">IF('Rent Roll'!$AB145=1,'Rent Roll'!G145,"")</f>
        <v/>
      </c>
      <c r="BC827" s="1547" t="str">
        <f ca="1">IF('Rent Roll'!$AB145=1,'Rent Roll'!K145,"")</f>
        <v/>
      </c>
      <c r="BD827" s="1551" t="str">
        <f ca="1">IF('Rent Roll'!$AB145=1,'Rent Roll'!N145,"")</f>
        <v/>
      </c>
      <c r="BE827" s="5"/>
      <c r="BF827" s="6"/>
      <c r="BG827" s="32"/>
      <c r="BH827" s="342"/>
      <c r="BI827" s="343"/>
      <c r="BJ827" s="342"/>
      <c r="BK827" s="343"/>
      <c r="BL827" s="32"/>
      <c r="BM827" s="187"/>
      <c r="BN827" s="187"/>
    </row>
    <row r="828" spans="1:66" ht="15.95" hidden="1" customHeight="1" x14ac:dyDescent="0.25">
      <c r="A828" s="957">
        <f t="shared" ca="1" si="27"/>
        <v>0</v>
      </c>
      <c r="AY828" s="4"/>
      <c r="AZ828" s="5"/>
      <c r="BA828" s="5" t="str">
        <f ca="1">IF('Rent Roll'!$AB146=1,'Rent Roll'!E146,"")</f>
        <v/>
      </c>
      <c r="BB828" s="39" t="str">
        <f ca="1">IF('Rent Roll'!$AB146=1,'Rent Roll'!G146,"")</f>
        <v/>
      </c>
      <c r="BC828" s="1547" t="str">
        <f ca="1">IF('Rent Roll'!$AB146=1,'Rent Roll'!K146,"")</f>
        <v/>
      </c>
      <c r="BD828" s="1551" t="str">
        <f ca="1">IF('Rent Roll'!$AB146=1,'Rent Roll'!N146,"")</f>
        <v/>
      </c>
      <c r="BE828" s="5"/>
      <c r="BF828" s="6"/>
      <c r="BG828" s="32"/>
      <c r="BH828" s="342"/>
      <c r="BI828" s="343"/>
      <c r="BJ828" s="342"/>
      <c r="BK828" s="343"/>
      <c r="BL828" s="32"/>
      <c r="BM828" s="187"/>
      <c r="BN828" s="187"/>
    </row>
    <row r="829" spans="1:66" ht="15.95" hidden="1" customHeight="1" x14ac:dyDescent="0.25">
      <c r="A829" s="957">
        <f t="shared" ca="1" si="27"/>
        <v>0</v>
      </c>
      <c r="AY829" s="4"/>
      <c r="AZ829" s="5"/>
      <c r="BA829" s="5" t="str">
        <f ca="1">IF('Rent Roll'!$AB147=1,'Rent Roll'!E147,"")</f>
        <v/>
      </c>
      <c r="BB829" s="39" t="str">
        <f ca="1">IF('Rent Roll'!$AB147=1,'Rent Roll'!G147,"")</f>
        <v/>
      </c>
      <c r="BC829" s="1547" t="str">
        <f ca="1">IF('Rent Roll'!$AB147=1,'Rent Roll'!K147,"")</f>
        <v/>
      </c>
      <c r="BD829" s="1551" t="str">
        <f ca="1">IF('Rent Roll'!$AB147=1,'Rent Roll'!N147,"")</f>
        <v/>
      </c>
      <c r="BE829" s="5"/>
      <c r="BF829" s="6"/>
      <c r="BG829" s="32"/>
      <c r="BH829" s="342"/>
      <c r="BI829" s="343"/>
      <c r="BJ829" s="342"/>
      <c r="BK829" s="343"/>
      <c r="BL829" s="32"/>
      <c r="BM829" s="187"/>
      <c r="BN829" s="187"/>
    </row>
    <row r="830" spans="1:66" ht="15.95" hidden="1" customHeight="1" x14ac:dyDescent="0.25">
      <c r="A830" s="957">
        <f t="shared" ca="1" si="27"/>
        <v>0</v>
      </c>
      <c r="AY830" s="4"/>
      <c r="AZ830" s="5"/>
      <c r="BA830" s="5" t="str">
        <f ca="1">IF('Rent Roll'!$AB148=1,'Rent Roll'!E148,"")</f>
        <v/>
      </c>
      <c r="BB830" s="39" t="str">
        <f ca="1">IF('Rent Roll'!$AB148=1,'Rent Roll'!G148,"")</f>
        <v/>
      </c>
      <c r="BC830" s="1547" t="str">
        <f ca="1">IF('Rent Roll'!$AB148=1,'Rent Roll'!K148,"")</f>
        <v/>
      </c>
      <c r="BD830" s="1551" t="str">
        <f ca="1">IF('Rent Roll'!$AB148=1,'Rent Roll'!N148,"")</f>
        <v/>
      </c>
      <c r="BE830" s="5"/>
      <c r="BF830" s="6"/>
      <c r="BG830" s="32"/>
      <c r="BH830" s="342"/>
      <c r="BI830" s="343"/>
      <c r="BJ830" s="342"/>
      <c r="BK830" s="343"/>
      <c r="BL830" s="32"/>
      <c r="BM830" s="187"/>
      <c r="BN830" s="187"/>
    </row>
    <row r="831" spans="1:66" ht="15.95" hidden="1" customHeight="1" x14ac:dyDescent="0.25">
      <c r="A831" s="957">
        <f t="shared" ca="1" si="27"/>
        <v>0</v>
      </c>
      <c r="AY831" s="4"/>
      <c r="AZ831" s="5"/>
      <c r="BA831" s="5" t="str">
        <f ca="1">IF('Rent Roll'!$AB149=1,'Rent Roll'!E149,"")</f>
        <v/>
      </c>
      <c r="BB831" s="39" t="str">
        <f ca="1">IF('Rent Roll'!$AB149=1,'Rent Roll'!G149,"")</f>
        <v/>
      </c>
      <c r="BC831" s="1547" t="str">
        <f ca="1">IF('Rent Roll'!$AB149=1,'Rent Roll'!K149,"")</f>
        <v/>
      </c>
      <c r="BD831" s="1551" t="str">
        <f ca="1">IF('Rent Roll'!$AB149=1,'Rent Roll'!N149,"")</f>
        <v/>
      </c>
      <c r="BE831" s="5"/>
      <c r="BF831" s="6"/>
      <c r="BG831" s="32"/>
      <c r="BH831" s="342"/>
      <c r="BI831" s="343"/>
      <c r="BJ831" s="342"/>
      <c r="BK831" s="343"/>
      <c r="BL831" s="32"/>
      <c r="BM831" s="187"/>
      <c r="BN831" s="187"/>
    </row>
    <row r="832" spans="1:66" ht="15.95" hidden="1" customHeight="1" x14ac:dyDescent="0.25">
      <c r="A832" s="957">
        <f t="shared" ca="1" si="27"/>
        <v>0</v>
      </c>
      <c r="AY832" s="4"/>
      <c r="AZ832" s="5"/>
      <c r="BA832" s="5" t="str">
        <f ca="1">IF('Rent Roll'!$AB150=1,'Rent Roll'!E150,"")</f>
        <v/>
      </c>
      <c r="BB832" s="39" t="str">
        <f ca="1">IF('Rent Roll'!$AB150=1,'Rent Roll'!G150,"")</f>
        <v/>
      </c>
      <c r="BC832" s="1547" t="str">
        <f ca="1">IF('Rent Roll'!$AB150=1,'Rent Roll'!K150,"")</f>
        <v/>
      </c>
      <c r="BD832" s="1551" t="str">
        <f ca="1">IF('Rent Roll'!$AB150=1,'Rent Roll'!N150,"")</f>
        <v/>
      </c>
      <c r="BE832" s="5"/>
      <c r="BF832" s="6"/>
      <c r="BG832" s="32"/>
      <c r="BH832" s="342"/>
      <c r="BI832" s="343"/>
      <c r="BJ832" s="342"/>
      <c r="BK832" s="343"/>
      <c r="BL832" s="32"/>
      <c r="BM832" s="187"/>
      <c r="BN832" s="187"/>
    </row>
    <row r="833" spans="1:66" ht="15.95" hidden="1" customHeight="1" x14ac:dyDescent="0.25">
      <c r="A833" s="957">
        <f t="shared" ca="1" si="27"/>
        <v>0</v>
      </c>
      <c r="AY833" s="4"/>
      <c r="AZ833" s="5"/>
      <c r="BA833" s="5" t="str">
        <f ca="1">IF('Rent Roll'!$AB151=1,'Rent Roll'!E151,"")</f>
        <v/>
      </c>
      <c r="BB833" s="39" t="str">
        <f ca="1">IF('Rent Roll'!$AB151=1,'Rent Roll'!G151,"")</f>
        <v/>
      </c>
      <c r="BC833" s="1547" t="str">
        <f ca="1">IF('Rent Roll'!$AB151=1,'Rent Roll'!K151,"")</f>
        <v/>
      </c>
      <c r="BD833" s="1551" t="str">
        <f ca="1">IF('Rent Roll'!$AB151=1,'Rent Roll'!N151,"")</f>
        <v/>
      </c>
      <c r="BE833" s="5"/>
      <c r="BF833" s="6"/>
      <c r="BG833" s="32"/>
      <c r="BH833" s="342"/>
      <c r="BI833" s="343"/>
      <c r="BJ833" s="342"/>
      <c r="BK833" s="343"/>
      <c r="BL833" s="32"/>
      <c r="BM833" s="187"/>
      <c r="BN833" s="187"/>
    </row>
    <row r="834" spans="1:66" ht="15.95" hidden="1" customHeight="1" x14ac:dyDescent="0.25">
      <c r="A834" s="957">
        <f t="shared" ca="1" si="27"/>
        <v>0</v>
      </c>
      <c r="AY834" s="4"/>
      <c r="AZ834" s="5"/>
      <c r="BA834" s="5" t="str">
        <f ca="1">IF('Rent Roll'!$AB152=1,'Rent Roll'!E152,"")</f>
        <v/>
      </c>
      <c r="BB834" s="39" t="str">
        <f ca="1">IF('Rent Roll'!$AB152=1,'Rent Roll'!G152,"")</f>
        <v/>
      </c>
      <c r="BC834" s="1547" t="str">
        <f ca="1">IF('Rent Roll'!$AB152=1,'Rent Roll'!K152,"")</f>
        <v/>
      </c>
      <c r="BD834" s="1551" t="str">
        <f ca="1">IF('Rent Roll'!$AB152=1,'Rent Roll'!N152,"")</f>
        <v/>
      </c>
      <c r="BE834" s="5"/>
      <c r="BF834" s="6"/>
      <c r="BG834" s="32"/>
      <c r="BH834" s="342"/>
      <c r="BI834" s="343"/>
      <c r="BJ834" s="342"/>
      <c r="BK834" s="343"/>
      <c r="BL834" s="32"/>
      <c r="BM834" s="187"/>
      <c r="BN834" s="187"/>
    </row>
    <row r="835" spans="1:66" ht="15.95" hidden="1" customHeight="1" x14ac:dyDescent="0.25">
      <c r="A835" s="957">
        <f t="shared" ca="1" si="27"/>
        <v>0</v>
      </c>
      <c r="AY835" s="4"/>
      <c r="AZ835" s="5"/>
      <c r="BA835" s="5" t="str">
        <f ca="1">IF('Rent Roll'!$AB153=1,'Rent Roll'!E153,"")</f>
        <v/>
      </c>
      <c r="BB835" s="39" t="str">
        <f ca="1">IF('Rent Roll'!$AB153=1,'Rent Roll'!G153,"")</f>
        <v/>
      </c>
      <c r="BC835" s="1547" t="str">
        <f ca="1">IF('Rent Roll'!$AB153=1,'Rent Roll'!K153,"")</f>
        <v/>
      </c>
      <c r="BD835" s="1551" t="str">
        <f ca="1">IF('Rent Roll'!$AB153=1,'Rent Roll'!N153,"")</f>
        <v/>
      </c>
      <c r="BE835" s="5"/>
      <c r="BF835" s="6"/>
      <c r="BG835" s="32"/>
      <c r="BH835" s="342"/>
      <c r="BI835" s="343"/>
      <c r="BJ835" s="342"/>
      <c r="BK835" s="343"/>
      <c r="BL835" s="32"/>
      <c r="BM835" s="187"/>
      <c r="BN835" s="187"/>
    </row>
    <row r="836" spans="1:66" ht="15.95" hidden="1" customHeight="1" x14ac:dyDescent="0.25">
      <c r="A836" s="957">
        <f t="shared" ca="1" si="27"/>
        <v>0</v>
      </c>
      <c r="AY836" s="4"/>
      <c r="AZ836" s="5"/>
      <c r="BA836" s="5" t="str">
        <f ca="1">IF('Rent Roll'!$AB154=1,'Rent Roll'!E154,"")</f>
        <v/>
      </c>
      <c r="BB836" s="39" t="str">
        <f ca="1">IF('Rent Roll'!$AB154=1,'Rent Roll'!G154,"")</f>
        <v/>
      </c>
      <c r="BC836" s="1547" t="str">
        <f ca="1">IF('Rent Roll'!$AB154=1,'Rent Roll'!K154,"")</f>
        <v/>
      </c>
      <c r="BD836" s="1551" t="str">
        <f ca="1">IF('Rent Roll'!$AB154=1,'Rent Roll'!N154,"")</f>
        <v/>
      </c>
      <c r="BE836" s="5"/>
      <c r="BF836" s="6"/>
      <c r="BG836" s="32"/>
      <c r="BH836" s="342"/>
      <c r="BI836" s="343"/>
      <c r="BJ836" s="342"/>
      <c r="BK836" s="343"/>
      <c r="BL836" s="32"/>
      <c r="BM836" s="187"/>
      <c r="BN836" s="187"/>
    </row>
    <row r="837" spans="1:66" ht="15.95" hidden="1" customHeight="1" x14ac:dyDescent="0.25">
      <c r="A837" s="957">
        <f t="shared" ca="1" si="27"/>
        <v>0</v>
      </c>
      <c r="AY837" s="4"/>
      <c r="AZ837" s="5"/>
      <c r="BA837" s="5" t="str">
        <f ca="1">IF('Rent Roll'!$AB155=1,'Rent Roll'!E155,"")</f>
        <v/>
      </c>
      <c r="BB837" s="39" t="str">
        <f ca="1">IF('Rent Roll'!$AB155=1,'Rent Roll'!G155,"")</f>
        <v/>
      </c>
      <c r="BC837" s="1547" t="str">
        <f ca="1">IF('Rent Roll'!$AB155=1,'Rent Roll'!K155,"")</f>
        <v/>
      </c>
      <c r="BD837" s="1551" t="str">
        <f ca="1">IF('Rent Roll'!$AB155=1,'Rent Roll'!N155,"")</f>
        <v/>
      </c>
      <c r="BE837" s="5"/>
      <c r="BF837" s="6"/>
      <c r="BG837" s="32"/>
      <c r="BH837" s="342"/>
      <c r="BI837" s="343"/>
      <c r="BJ837" s="342"/>
      <c r="BK837" s="343"/>
      <c r="BL837" s="32"/>
      <c r="BM837" s="187"/>
      <c r="BN837" s="187"/>
    </row>
    <row r="838" spans="1:66" ht="15.95" hidden="1" customHeight="1" x14ac:dyDescent="0.25">
      <c r="A838" s="957">
        <f t="shared" ca="1" si="27"/>
        <v>0</v>
      </c>
      <c r="AY838" s="4"/>
      <c r="AZ838" s="5"/>
      <c r="BA838" s="5" t="str">
        <f ca="1">IF('Rent Roll'!$AB156=1,'Rent Roll'!E156,"")</f>
        <v/>
      </c>
      <c r="BB838" s="39" t="str">
        <f ca="1">IF('Rent Roll'!$AB156=1,'Rent Roll'!G156,"")</f>
        <v/>
      </c>
      <c r="BC838" s="1547" t="str">
        <f ca="1">IF('Rent Roll'!$AB156=1,'Rent Roll'!K156,"")</f>
        <v/>
      </c>
      <c r="BD838" s="1551" t="str">
        <f ca="1">IF('Rent Roll'!$AB156=1,'Rent Roll'!N156,"")</f>
        <v/>
      </c>
      <c r="BE838" s="5"/>
      <c r="BF838" s="6"/>
      <c r="BG838" s="32"/>
      <c r="BH838" s="342"/>
      <c r="BI838" s="343"/>
      <c r="BJ838" s="342"/>
      <c r="BK838" s="343"/>
      <c r="BL838" s="32"/>
      <c r="BM838" s="187"/>
      <c r="BN838" s="187"/>
    </row>
    <row r="839" spans="1:66" ht="15.95" hidden="1" customHeight="1" x14ac:dyDescent="0.25">
      <c r="A839" s="957">
        <f t="shared" ca="1" si="27"/>
        <v>0</v>
      </c>
      <c r="AY839" s="4"/>
      <c r="AZ839" s="5"/>
      <c r="BA839" s="5" t="str">
        <f ca="1">IF('Rent Roll'!$AB157=1,'Rent Roll'!E157,"")</f>
        <v/>
      </c>
      <c r="BB839" s="39" t="str">
        <f ca="1">IF('Rent Roll'!$AB157=1,'Rent Roll'!G157,"")</f>
        <v/>
      </c>
      <c r="BC839" s="1547" t="str">
        <f ca="1">IF('Rent Roll'!$AB157=1,'Rent Roll'!K157,"")</f>
        <v/>
      </c>
      <c r="BD839" s="1551" t="str">
        <f ca="1">IF('Rent Roll'!$AB157=1,'Rent Roll'!N157,"")</f>
        <v/>
      </c>
      <c r="BE839" s="5"/>
      <c r="BF839" s="6"/>
      <c r="BG839" s="32"/>
      <c r="BH839" s="342"/>
      <c r="BI839" s="343"/>
      <c r="BJ839" s="342"/>
      <c r="BK839" s="343"/>
      <c r="BL839" s="32"/>
      <c r="BM839" s="187"/>
      <c r="BN839" s="187"/>
    </row>
    <row r="840" spans="1:66" ht="15.95" hidden="1" customHeight="1" x14ac:dyDescent="0.25">
      <c r="A840" s="957">
        <f t="shared" ca="1" si="27"/>
        <v>0</v>
      </c>
      <c r="AY840" s="4"/>
      <c r="AZ840" s="5"/>
      <c r="BA840" s="5" t="str">
        <f ca="1">IF('Rent Roll'!$AB158=1,'Rent Roll'!E158,"")</f>
        <v/>
      </c>
      <c r="BB840" s="39" t="str">
        <f ca="1">IF('Rent Roll'!$AB158=1,'Rent Roll'!G158,"")</f>
        <v/>
      </c>
      <c r="BC840" s="1547" t="str">
        <f ca="1">IF('Rent Roll'!$AB158=1,'Rent Roll'!K158,"")</f>
        <v/>
      </c>
      <c r="BD840" s="1551" t="str">
        <f ca="1">IF('Rent Roll'!$AB158=1,'Rent Roll'!N158,"")</f>
        <v/>
      </c>
      <c r="BE840" s="5"/>
      <c r="BF840" s="6"/>
      <c r="BG840" s="32"/>
      <c r="BH840" s="342"/>
      <c r="BI840" s="343"/>
      <c r="BJ840" s="342"/>
      <c r="BK840" s="343"/>
      <c r="BL840" s="32"/>
      <c r="BM840" s="187"/>
      <c r="BN840" s="187"/>
    </row>
    <row r="841" spans="1:66" ht="15.95" hidden="1" customHeight="1" x14ac:dyDescent="0.25">
      <c r="A841" s="957">
        <f t="shared" ca="1" si="27"/>
        <v>0</v>
      </c>
      <c r="AY841" s="4"/>
      <c r="AZ841" s="5"/>
      <c r="BA841" s="5" t="str">
        <f ca="1">IF('Rent Roll'!$AB159=1,'Rent Roll'!E159,"")</f>
        <v/>
      </c>
      <c r="BB841" s="39" t="str">
        <f ca="1">IF('Rent Roll'!$AB159=1,'Rent Roll'!G159,"")</f>
        <v/>
      </c>
      <c r="BC841" s="1547" t="str">
        <f ca="1">IF('Rent Roll'!$AB159=1,'Rent Roll'!K159,"")</f>
        <v/>
      </c>
      <c r="BD841" s="1551" t="str">
        <f ca="1">IF('Rent Roll'!$AB159=1,'Rent Roll'!N159,"")</f>
        <v/>
      </c>
      <c r="BE841" s="5"/>
      <c r="BF841" s="6"/>
      <c r="BG841" s="32"/>
      <c r="BH841" s="342"/>
      <c r="BI841" s="343"/>
      <c r="BJ841" s="342"/>
      <c r="BK841" s="343"/>
      <c r="BL841" s="32"/>
      <c r="BM841" s="187"/>
      <c r="BN841" s="187"/>
    </row>
    <row r="842" spans="1:66" ht="15.95" hidden="1" customHeight="1" x14ac:dyDescent="0.25">
      <c r="A842" s="957">
        <f t="shared" ca="1" si="27"/>
        <v>0</v>
      </c>
      <c r="AY842" s="4"/>
      <c r="AZ842" s="5"/>
      <c r="BA842" s="5" t="str">
        <f ca="1">IF('Rent Roll'!$AB160=1,'Rent Roll'!E160,"")</f>
        <v/>
      </c>
      <c r="BB842" s="39" t="str">
        <f ca="1">IF('Rent Roll'!$AB160=1,'Rent Roll'!G160,"")</f>
        <v/>
      </c>
      <c r="BC842" s="1547" t="str">
        <f ca="1">IF('Rent Roll'!$AB160=1,'Rent Roll'!K160,"")</f>
        <v/>
      </c>
      <c r="BD842" s="1551" t="str">
        <f ca="1">IF('Rent Roll'!$AB160=1,'Rent Roll'!N160,"")</f>
        <v/>
      </c>
      <c r="BE842" s="5"/>
      <c r="BF842" s="6"/>
      <c r="BG842" s="32"/>
      <c r="BH842" s="342"/>
      <c r="BI842" s="343"/>
      <c r="BJ842" s="342"/>
      <c r="BK842" s="343"/>
      <c r="BL842" s="32"/>
      <c r="BM842" s="187"/>
      <c r="BN842" s="187"/>
    </row>
    <row r="843" spans="1:66" ht="15.95" hidden="1" customHeight="1" x14ac:dyDescent="0.25">
      <c r="A843" s="957">
        <f t="shared" ca="1" si="27"/>
        <v>0</v>
      </c>
      <c r="AY843" s="4"/>
      <c r="AZ843" s="5"/>
      <c r="BA843" s="5" t="str">
        <f ca="1">IF('Rent Roll'!$AB161=1,'Rent Roll'!E161,"")</f>
        <v/>
      </c>
      <c r="BB843" s="39" t="str">
        <f ca="1">IF('Rent Roll'!$AB161=1,'Rent Roll'!G161,"")</f>
        <v/>
      </c>
      <c r="BC843" s="1547" t="str">
        <f ca="1">IF('Rent Roll'!$AB161=1,'Rent Roll'!K161,"")</f>
        <v/>
      </c>
      <c r="BD843" s="1551" t="str">
        <f ca="1">IF('Rent Roll'!$AB161=1,'Rent Roll'!N161,"")</f>
        <v/>
      </c>
      <c r="BE843" s="5"/>
      <c r="BF843" s="6"/>
      <c r="BG843" s="32"/>
      <c r="BH843" s="342"/>
      <c r="BI843" s="343"/>
      <c r="BJ843" s="342"/>
      <c r="BK843" s="343"/>
      <c r="BL843" s="32"/>
      <c r="BM843" s="187"/>
      <c r="BN843" s="187"/>
    </row>
    <row r="844" spans="1:66" ht="15.95" hidden="1" customHeight="1" x14ac:dyDescent="0.25">
      <c r="A844" s="957">
        <f t="shared" ca="1" si="27"/>
        <v>0</v>
      </c>
      <c r="AY844" s="4"/>
      <c r="AZ844" s="5"/>
      <c r="BA844" s="5" t="str">
        <f ca="1">IF('Rent Roll'!$AB162=1,'Rent Roll'!E162,"")</f>
        <v/>
      </c>
      <c r="BB844" s="39" t="str">
        <f ca="1">IF('Rent Roll'!$AB162=1,'Rent Roll'!G162,"")</f>
        <v/>
      </c>
      <c r="BC844" s="1547" t="str">
        <f ca="1">IF('Rent Roll'!$AB162=1,'Rent Roll'!K162,"")</f>
        <v/>
      </c>
      <c r="BD844" s="1551" t="str">
        <f ca="1">IF('Rent Roll'!$AB162=1,'Rent Roll'!N162,"")</f>
        <v/>
      </c>
      <c r="BE844" s="5"/>
      <c r="BF844" s="6"/>
      <c r="BG844" s="32"/>
      <c r="BH844" s="342"/>
      <c r="BI844" s="343"/>
      <c r="BJ844" s="342"/>
      <c r="BK844" s="343"/>
      <c r="BL844" s="32"/>
      <c r="BM844" s="187"/>
      <c r="BN844" s="187"/>
    </row>
    <row r="845" spans="1:66" ht="15.95" hidden="1" customHeight="1" x14ac:dyDescent="0.25">
      <c r="A845" s="957">
        <f t="shared" ca="1" si="27"/>
        <v>0</v>
      </c>
      <c r="AY845" s="4"/>
      <c r="AZ845" s="5"/>
      <c r="BA845" s="5" t="str">
        <f ca="1">IF('Rent Roll'!$AB163=1,'Rent Roll'!E163,"")</f>
        <v/>
      </c>
      <c r="BB845" s="39" t="str">
        <f ca="1">IF('Rent Roll'!$AB163=1,'Rent Roll'!G163,"")</f>
        <v/>
      </c>
      <c r="BC845" s="1547" t="str">
        <f ca="1">IF('Rent Roll'!$AB163=1,'Rent Roll'!K163,"")</f>
        <v/>
      </c>
      <c r="BD845" s="1551" t="str">
        <f ca="1">IF('Rent Roll'!$AB163=1,'Rent Roll'!N163,"")</f>
        <v/>
      </c>
      <c r="BE845" s="5"/>
      <c r="BF845" s="6"/>
      <c r="BG845" s="32"/>
      <c r="BH845" s="342"/>
      <c r="BI845" s="343"/>
      <c r="BJ845" s="342"/>
      <c r="BK845" s="343"/>
      <c r="BL845" s="32"/>
      <c r="BM845" s="187"/>
      <c r="BN845" s="187"/>
    </row>
    <row r="846" spans="1:66" ht="15.95" hidden="1" customHeight="1" x14ac:dyDescent="0.25">
      <c r="A846" s="957">
        <f t="shared" ca="1" si="27"/>
        <v>0</v>
      </c>
      <c r="AY846" s="4"/>
      <c r="AZ846" s="5"/>
      <c r="BA846" s="5" t="str">
        <f ca="1">IF('Rent Roll'!$AB164=1,'Rent Roll'!E164,"")</f>
        <v/>
      </c>
      <c r="BB846" s="39" t="str">
        <f ca="1">IF('Rent Roll'!$AB164=1,'Rent Roll'!G164,"")</f>
        <v/>
      </c>
      <c r="BC846" s="1547" t="str">
        <f ca="1">IF('Rent Roll'!$AB164=1,'Rent Roll'!K164,"")</f>
        <v/>
      </c>
      <c r="BD846" s="1551" t="str">
        <f ca="1">IF('Rent Roll'!$AB164=1,'Rent Roll'!N164,"")</f>
        <v/>
      </c>
      <c r="BE846" s="5"/>
      <c r="BF846" s="6"/>
      <c r="BG846" s="32"/>
      <c r="BH846" s="342"/>
      <c r="BI846" s="343"/>
      <c r="BJ846" s="342"/>
      <c r="BK846" s="343"/>
      <c r="BL846" s="32"/>
      <c r="BM846" s="187"/>
      <c r="BN846" s="187"/>
    </row>
    <row r="847" spans="1:66" ht="15.95" hidden="1" customHeight="1" x14ac:dyDescent="0.25">
      <c r="A847" s="957">
        <f t="shared" ca="1" si="27"/>
        <v>0</v>
      </c>
      <c r="AY847" s="4"/>
      <c r="AZ847" s="5"/>
      <c r="BA847" s="5" t="str">
        <f ca="1">IF('Rent Roll'!$AB165=1,'Rent Roll'!E165,"")</f>
        <v/>
      </c>
      <c r="BB847" s="39" t="str">
        <f ca="1">IF('Rent Roll'!$AB165=1,'Rent Roll'!G165,"")</f>
        <v/>
      </c>
      <c r="BC847" s="1547" t="str">
        <f ca="1">IF('Rent Roll'!$AB165=1,'Rent Roll'!K165,"")</f>
        <v/>
      </c>
      <c r="BD847" s="1551" t="str">
        <f ca="1">IF('Rent Roll'!$AB165=1,'Rent Roll'!N165,"")</f>
        <v/>
      </c>
      <c r="BE847" s="5"/>
      <c r="BF847" s="6"/>
      <c r="BG847" s="32"/>
      <c r="BH847" s="342"/>
      <c r="BI847" s="343"/>
      <c r="BJ847" s="342"/>
      <c r="BK847" s="343"/>
      <c r="BL847" s="32"/>
      <c r="BM847" s="187"/>
      <c r="BN847" s="187"/>
    </row>
    <row r="848" spans="1:66" ht="15.95" hidden="1" customHeight="1" x14ac:dyDescent="0.25">
      <c r="A848" s="957">
        <f t="shared" ca="1" si="27"/>
        <v>0</v>
      </c>
      <c r="AY848" s="4"/>
      <c r="AZ848" s="5"/>
      <c r="BA848" s="5" t="str">
        <f ca="1">IF('Rent Roll'!$AB166=1,'Rent Roll'!E166,"")</f>
        <v/>
      </c>
      <c r="BB848" s="39" t="str">
        <f ca="1">IF('Rent Roll'!$AB166=1,'Rent Roll'!G166,"")</f>
        <v/>
      </c>
      <c r="BC848" s="1547" t="str">
        <f ca="1">IF('Rent Roll'!$AB166=1,'Rent Roll'!K166,"")</f>
        <v/>
      </c>
      <c r="BD848" s="1551" t="str">
        <f ca="1">IF('Rent Roll'!$AB166=1,'Rent Roll'!N166,"")</f>
        <v/>
      </c>
      <c r="BE848" s="5"/>
      <c r="BF848" s="6"/>
      <c r="BG848" s="32"/>
      <c r="BH848" s="342"/>
      <c r="BI848" s="343"/>
      <c r="BJ848" s="342"/>
      <c r="BK848" s="343"/>
      <c r="BL848" s="32"/>
      <c r="BM848" s="187"/>
      <c r="BN848" s="187"/>
    </row>
    <row r="849" spans="1:66" ht="15.95" hidden="1" customHeight="1" x14ac:dyDescent="0.25">
      <c r="A849" s="957">
        <f t="shared" ref="A849:A880" ca="1" si="28">IF(BA849="",0,1)</f>
        <v>0</v>
      </c>
      <c r="AY849" s="4"/>
      <c r="AZ849" s="5"/>
      <c r="BA849" s="5" t="str">
        <f ca="1">IF('Rent Roll'!$AB167=1,'Rent Roll'!E167,"")</f>
        <v/>
      </c>
      <c r="BB849" s="39" t="str">
        <f ca="1">IF('Rent Roll'!$AB167=1,'Rent Roll'!G167,"")</f>
        <v/>
      </c>
      <c r="BC849" s="1547" t="str">
        <f ca="1">IF('Rent Roll'!$AB167=1,'Rent Roll'!K167,"")</f>
        <v/>
      </c>
      <c r="BD849" s="1551" t="str">
        <f ca="1">IF('Rent Roll'!$AB167=1,'Rent Roll'!N167,"")</f>
        <v/>
      </c>
      <c r="BE849" s="5"/>
      <c r="BF849" s="6"/>
      <c r="BG849" s="32"/>
      <c r="BH849" s="342"/>
      <c r="BI849" s="343"/>
      <c r="BJ849" s="342"/>
      <c r="BK849" s="343"/>
      <c r="BL849" s="32"/>
      <c r="BM849" s="187"/>
      <c r="BN849" s="187"/>
    </row>
    <row r="850" spans="1:66" ht="15.95" hidden="1" customHeight="1" x14ac:dyDescent="0.25">
      <c r="A850" s="957">
        <f t="shared" ca="1" si="28"/>
        <v>0</v>
      </c>
      <c r="AY850" s="4"/>
      <c r="AZ850" s="5"/>
      <c r="BA850" s="5" t="str">
        <f ca="1">IF('Rent Roll'!$AB168=1,'Rent Roll'!E168,"")</f>
        <v/>
      </c>
      <c r="BB850" s="39" t="str">
        <f ca="1">IF('Rent Roll'!$AB168=1,'Rent Roll'!G168,"")</f>
        <v/>
      </c>
      <c r="BC850" s="1547" t="str">
        <f ca="1">IF('Rent Roll'!$AB168=1,'Rent Roll'!K168,"")</f>
        <v/>
      </c>
      <c r="BD850" s="1551" t="str">
        <f ca="1">IF('Rent Roll'!$AB168=1,'Rent Roll'!N168,"")</f>
        <v/>
      </c>
      <c r="BE850" s="5"/>
      <c r="BF850" s="6"/>
      <c r="BG850" s="32"/>
      <c r="BH850" s="342"/>
      <c r="BI850" s="343"/>
      <c r="BJ850" s="342"/>
      <c r="BK850" s="343"/>
      <c r="BL850" s="32"/>
      <c r="BM850" s="187"/>
      <c r="BN850" s="187"/>
    </row>
    <row r="851" spans="1:66" ht="15.95" hidden="1" customHeight="1" x14ac:dyDescent="0.25">
      <c r="A851" s="957">
        <f t="shared" ca="1" si="28"/>
        <v>0</v>
      </c>
      <c r="AY851" s="4"/>
      <c r="AZ851" s="5"/>
      <c r="BA851" s="5" t="str">
        <f ca="1">IF('Rent Roll'!$AB169=1,'Rent Roll'!E169,"")</f>
        <v/>
      </c>
      <c r="BB851" s="39" t="str">
        <f ca="1">IF('Rent Roll'!$AB169=1,'Rent Roll'!G169,"")</f>
        <v/>
      </c>
      <c r="BC851" s="1547" t="str">
        <f ca="1">IF('Rent Roll'!$AB169=1,'Rent Roll'!K169,"")</f>
        <v/>
      </c>
      <c r="BD851" s="1551" t="str">
        <f ca="1">IF('Rent Roll'!$AB169=1,'Rent Roll'!N169,"")</f>
        <v/>
      </c>
      <c r="BE851" s="5"/>
      <c r="BF851" s="6"/>
      <c r="BG851" s="32"/>
      <c r="BH851" s="342"/>
      <c r="BI851" s="343"/>
      <c r="BJ851" s="342"/>
      <c r="BK851" s="343"/>
      <c r="BL851" s="32"/>
      <c r="BM851" s="187"/>
      <c r="BN851" s="187"/>
    </row>
    <row r="852" spans="1:66" ht="15.95" hidden="1" customHeight="1" x14ac:dyDescent="0.25">
      <c r="A852" s="957">
        <f t="shared" ca="1" si="28"/>
        <v>0</v>
      </c>
      <c r="AY852" s="4"/>
      <c r="AZ852" s="5"/>
      <c r="BA852" s="5" t="str">
        <f ca="1">IF('Rent Roll'!$AB170=1,'Rent Roll'!E170,"")</f>
        <v/>
      </c>
      <c r="BB852" s="39" t="str">
        <f ca="1">IF('Rent Roll'!$AB170=1,'Rent Roll'!G170,"")</f>
        <v/>
      </c>
      <c r="BC852" s="1547" t="str">
        <f ca="1">IF('Rent Roll'!$AB170=1,'Rent Roll'!K170,"")</f>
        <v/>
      </c>
      <c r="BD852" s="1551" t="str">
        <f ca="1">IF('Rent Roll'!$AB170=1,'Rent Roll'!N170,"")</f>
        <v/>
      </c>
      <c r="BE852" s="5"/>
      <c r="BF852" s="6"/>
      <c r="BG852" s="32"/>
      <c r="BH852" s="342"/>
      <c r="BI852" s="343"/>
      <c r="BJ852" s="342"/>
      <c r="BK852" s="343"/>
      <c r="BL852" s="32"/>
      <c r="BM852" s="187"/>
      <c r="BN852" s="187"/>
    </row>
    <row r="853" spans="1:66" ht="15.95" hidden="1" customHeight="1" x14ac:dyDescent="0.25">
      <c r="A853" s="957">
        <f t="shared" ca="1" si="28"/>
        <v>0</v>
      </c>
      <c r="AY853" s="4"/>
      <c r="AZ853" s="5"/>
      <c r="BA853" s="5" t="str">
        <f ca="1">IF('Rent Roll'!$AB171=1,'Rent Roll'!E171,"")</f>
        <v/>
      </c>
      <c r="BB853" s="39" t="str">
        <f ca="1">IF('Rent Roll'!$AB171=1,'Rent Roll'!G171,"")</f>
        <v/>
      </c>
      <c r="BC853" s="1547" t="str">
        <f ca="1">IF('Rent Roll'!$AB171=1,'Rent Roll'!K171,"")</f>
        <v/>
      </c>
      <c r="BD853" s="1551" t="str">
        <f ca="1">IF('Rent Roll'!$AB171=1,'Rent Roll'!N171,"")</f>
        <v/>
      </c>
      <c r="BE853" s="5"/>
      <c r="BF853" s="6"/>
      <c r="BG853" s="32"/>
      <c r="BH853" s="342"/>
      <c r="BI853" s="343"/>
      <c r="BJ853" s="342"/>
      <c r="BK853" s="343"/>
      <c r="BL853" s="32"/>
      <c r="BM853" s="187"/>
      <c r="BN853" s="187"/>
    </row>
    <row r="854" spans="1:66" ht="15.95" hidden="1" customHeight="1" x14ac:dyDescent="0.25">
      <c r="A854" s="957">
        <f t="shared" ca="1" si="28"/>
        <v>0</v>
      </c>
      <c r="AY854" s="4"/>
      <c r="AZ854" s="5"/>
      <c r="BA854" s="5" t="str">
        <f ca="1">IF('Rent Roll'!$AB172=1,'Rent Roll'!E172,"")</f>
        <v/>
      </c>
      <c r="BB854" s="39" t="str">
        <f ca="1">IF('Rent Roll'!$AB172=1,'Rent Roll'!G172,"")</f>
        <v/>
      </c>
      <c r="BC854" s="1547" t="str">
        <f ca="1">IF('Rent Roll'!$AB172=1,'Rent Roll'!K172,"")</f>
        <v/>
      </c>
      <c r="BD854" s="1551" t="str">
        <f ca="1">IF('Rent Roll'!$AB172=1,'Rent Roll'!N172,"")</f>
        <v/>
      </c>
      <c r="BE854" s="5"/>
      <c r="BF854" s="6"/>
      <c r="BG854" s="32"/>
      <c r="BH854" s="342"/>
      <c r="BI854" s="343"/>
      <c r="BJ854" s="342"/>
      <c r="BK854" s="343"/>
      <c r="BL854" s="32"/>
      <c r="BM854" s="187"/>
      <c r="BN854" s="187"/>
    </row>
    <row r="855" spans="1:66" ht="15.95" hidden="1" customHeight="1" x14ac:dyDescent="0.25">
      <c r="A855" s="957">
        <f t="shared" ca="1" si="28"/>
        <v>0</v>
      </c>
      <c r="AY855" s="4"/>
      <c r="AZ855" s="5"/>
      <c r="BA855" s="5" t="str">
        <f ca="1">IF('Rent Roll'!$AB173=1,'Rent Roll'!E173,"")</f>
        <v/>
      </c>
      <c r="BB855" s="39" t="str">
        <f ca="1">IF('Rent Roll'!$AB173=1,'Rent Roll'!G173,"")</f>
        <v/>
      </c>
      <c r="BC855" s="1547" t="str">
        <f ca="1">IF('Rent Roll'!$AB173=1,'Rent Roll'!K173,"")</f>
        <v/>
      </c>
      <c r="BD855" s="1551" t="str">
        <f ca="1">IF('Rent Roll'!$AB173=1,'Rent Roll'!N173,"")</f>
        <v/>
      </c>
      <c r="BE855" s="5"/>
      <c r="BF855" s="6"/>
      <c r="BG855" s="32"/>
      <c r="BH855" s="342"/>
      <c r="BI855" s="343"/>
      <c r="BJ855" s="342"/>
      <c r="BK855" s="343"/>
      <c r="BL855" s="32"/>
      <c r="BM855" s="187"/>
      <c r="BN855" s="187"/>
    </row>
    <row r="856" spans="1:66" ht="15.95" hidden="1" customHeight="1" x14ac:dyDescent="0.25">
      <c r="A856" s="957">
        <f t="shared" ca="1" si="28"/>
        <v>0</v>
      </c>
      <c r="AY856" s="4"/>
      <c r="AZ856" s="5"/>
      <c r="BA856" s="5" t="str">
        <f ca="1">IF('Rent Roll'!$AB174=1,'Rent Roll'!E174,"")</f>
        <v/>
      </c>
      <c r="BB856" s="39" t="str">
        <f ca="1">IF('Rent Roll'!$AB174=1,'Rent Roll'!G174,"")</f>
        <v/>
      </c>
      <c r="BC856" s="1547" t="str">
        <f ca="1">IF('Rent Roll'!$AB174=1,'Rent Roll'!K174,"")</f>
        <v/>
      </c>
      <c r="BD856" s="1551" t="str">
        <f ca="1">IF('Rent Roll'!$AB174=1,'Rent Roll'!N174,"")</f>
        <v/>
      </c>
      <c r="BE856" s="5"/>
      <c r="BF856" s="6"/>
      <c r="BG856" s="32"/>
      <c r="BH856" s="342"/>
      <c r="BI856" s="343"/>
      <c r="BJ856" s="342"/>
      <c r="BK856" s="343"/>
      <c r="BL856" s="32"/>
      <c r="BM856" s="187"/>
      <c r="BN856" s="187"/>
    </row>
    <row r="857" spans="1:66" ht="15.95" hidden="1" customHeight="1" x14ac:dyDescent="0.25">
      <c r="A857" s="957">
        <f t="shared" ca="1" si="28"/>
        <v>0</v>
      </c>
      <c r="AY857" s="4"/>
      <c r="AZ857" s="5"/>
      <c r="BA857" s="5" t="str">
        <f ca="1">IF('Rent Roll'!$AB175=1,'Rent Roll'!E175,"")</f>
        <v/>
      </c>
      <c r="BB857" s="39" t="str">
        <f ca="1">IF('Rent Roll'!$AB175=1,'Rent Roll'!G175,"")</f>
        <v/>
      </c>
      <c r="BC857" s="1547" t="str">
        <f ca="1">IF('Rent Roll'!$AB175=1,'Rent Roll'!K175,"")</f>
        <v/>
      </c>
      <c r="BD857" s="1551" t="str">
        <f ca="1">IF('Rent Roll'!$AB175=1,'Rent Roll'!N175,"")</f>
        <v/>
      </c>
      <c r="BE857" s="5"/>
      <c r="BF857" s="6"/>
      <c r="BG857" s="32"/>
      <c r="BH857" s="342"/>
      <c r="BI857" s="343"/>
      <c r="BJ857" s="342"/>
      <c r="BK857" s="343"/>
      <c r="BL857" s="32"/>
      <c r="BM857" s="187"/>
      <c r="BN857" s="187"/>
    </row>
    <row r="858" spans="1:66" ht="15.95" hidden="1" customHeight="1" x14ac:dyDescent="0.25">
      <c r="A858" s="957">
        <f t="shared" ca="1" si="28"/>
        <v>0</v>
      </c>
      <c r="AY858" s="4"/>
      <c r="AZ858" s="5"/>
      <c r="BA858" s="5" t="str">
        <f ca="1">IF('Rent Roll'!$AB176=1,'Rent Roll'!E176,"")</f>
        <v/>
      </c>
      <c r="BB858" s="39" t="str">
        <f ca="1">IF('Rent Roll'!$AB176=1,'Rent Roll'!G176,"")</f>
        <v/>
      </c>
      <c r="BC858" s="1547" t="str">
        <f ca="1">IF('Rent Roll'!$AB176=1,'Rent Roll'!K176,"")</f>
        <v/>
      </c>
      <c r="BD858" s="1551" t="str">
        <f ca="1">IF('Rent Roll'!$AB176=1,'Rent Roll'!N176,"")</f>
        <v/>
      </c>
      <c r="BE858" s="5"/>
      <c r="BF858" s="6"/>
      <c r="BG858" s="32"/>
      <c r="BH858" s="342"/>
      <c r="BI858" s="343"/>
      <c r="BJ858" s="342"/>
      <c r="BK858" s="343"/>
      <c r="BL858" s="32"/>
      <c r="BM858" s="187"/>
      <c r="BN858" s="187"/>
    </row>
    <row r="859" spans="1:66" ht="15.95" hidden="1" customHeight="1" x14ac:dyDescent="0.25">
      <c r="A859" s="957">
        <f t="shared" ca="1" si="28"/>
        <v>0</v>
      </c>
      <c r="AY859" s="4"/>
      <c r="AZ859" s="5"/>
      <c r="BA859" s="5" t="str">
        <f ca="1">IF('Rent Roll'!$AB177=1,'Rent Roll'!E177,"")</f>
        <v/>
      </c>
      <c r="BB859" s="39" t="str">
        <f ca="1">IF('Rent Roll'!$AB177=1,'Rent Roll'!G177,"")</f>
        <v/>
      </c>
      <c r="BC859" s="1547" t="str">
        <f ca="1">IF('Rent Roll'!$AB177=1,'Rent Roll'!K177,"")</f>
        <v/>
      </c>
      <c r="BD859" s="1551" t="str">
        <f ca="1">IF('Rent Roll'!$AB177=1,'Rent Roll'!N177,"")</f>
        <v/>
      </c>
      <c r="BE859" s="5"/>
      <c r="BF859" s="6"/>
      <c r="BG859" s="32"/>
      <c r="BH859" s="342"/>
      <c r="BI859" s="343"/>
      <c r="BJ859" s="342"/>
      <c r="BK859" s="343"/>
      <c r="BL859" s="32"/>
      <c r="BM859" s="187"/>
      <c r="BN859" s="187"/>
    </row>
    <row r="860" spans="1:66" ht="15.95" hidden="1" customHeight="1" x14ac:dyDescent="0.25">
      <c r="A860" s="957">
        <f t="shared" ca="1" si="28"/>
        <v>0</v>
      </c>
      <c r="AY860" s="4"/>
      <c r="AZ860" s="5"/>
      <c r="BA860" s="5" t="str">
        <f ca="1">IF('Rent Roll'!$AB178=1,'Rent Roll'!E178,"")</f>
        <v/>
      </c>
      <c r="BB860" s="39" t="str">
        <f ca="1">IF('Rent Roll'!$AB178=1,'Rent Roll'!G178,"")</f>
        <v/>
      </c>
      <c r="BC860" s="1547" t="str">
        <f ca="1">IF('Rent Roll'!$AB178=1,'Rent Roll'!K178,"")</f>
        <v/>
      </c>
      <c r="BD860" s="1551" t="str">
        <f ca="1">IF('Rent Roll'!$AB178=1,'Rent Roll'!N178,"")</f>
        <v/>
      </c>
      <c r="BE860" s="5"/>
      <c r="BF860" s="6"/>
      <c r="BG860" s="32"/>
      <c r="BH860" s="342"/>
      <c r="BI860" s="343"/>
      <c r="BJ860" s="342"/>
      <c r="BK860" s="343"/>
      <c r="BL860" s="32"/>
      <c r="BM860" s="187"/>
      <c r="BN860" s="187"/>
    </row>
    <row r="861" spans="1:66" ht="15.95" hidden="1" customHeight="1" x14ac:dyDescent="0.25">
      <c r="A861" s="957">
        <f t="shared" ca="1" si="28"/>
        <v>0</v>
      </c>
      <c r="AY861" s="4"/>
      <c r="AZ861" s="5"/>
      <c r="BA861" s="5" t="str">
        <f ca="1">IF('Rent Roll'!$AB179=1,'Rent Roll'!E179,"")</f>
        <v/>
      </c>
      <c r="BB861" s="39" t="str">
        <f ca="1">IF('Rent Roll'!$AB179=1,'Rent Roll'!G179,"")</f>
        <v/>
      </c>
      <c r="BC861" s="1547" t="str">
        <f ca="1">IF('Rent Roll'!$AB179=1,'Rent Roll'!K179,"")</f>
        <v/>
      </c>
      <c r="BD861" s="1551" t="str">
        <f ca="1">IF('Rent Roll'!$AB179=1,'Rent Roll'!N179,"")</f>
        <v/>
      </c>
      <c r="BE861" s="5"/>
      <c r="BF861" s="6"/>
      <c r="BG861" s="32"/>
      <c r="BH861" s="342"/>
      <c r="BI861" s="343"/>
      <c r="BJ861" s="342"/>
      <c r="BK861" s="343"/>
      <c r="BL861" s="32"/>
      <c r="BM861" s="187"/>
      <c r="BN861" s="187"/>
    </row>
    <row r="862" spans="1:66" ht="15.95" hidden="1" customHeight="1" x14ac:dyDescent="0.25">
      <c r="A862" s="957">
        <f t="shared" ca="1" si="28"/>
        <v>0</v>
      </c>
      <c r="AY862" s="4"/>
      <c r="AZ862" s="5"/>
      <c r="BA862" s="5" t="str">
        <f ca="1">IF('Rent Roll'!$AB180=1,'Rent Roll'!E180,"")</f>
        <v/>
      </c>
      <c r="BB862" s="39" t="str">
        <f ca="1">IF('Rent Roll'!$AB180=1,'Rent Roll'!G180,"")</f>
        <v/>
      </c>
      <c r="BC862" s="1547" t="str">
        <f ca="1">IF('Rent Roll'!$AB180=1,'Rent Roll'!K180,"")</f>
        <v/>
      </c>
      <c r="BD862" s="1551" t="str">
        <f ca="1">IF('Rent Roll'!$AB180=1,'Rent Roll'!N180,"")</f>
        <v/>
      </c>
      <c r="BE862" s="5"/>
      <c r="BF862" s="6"/>
      <c r="BG862" s="32"/>
      <c r="BH862" s="342"/>
      <c r="BI862" s="343"/>
      <c r="BJ862" s="342"/>
      <c r="BK862" s="343"/>
      <c r="BL862" s="32"/>
      <c r="BM862" s="187"/>
      <c r="BN862" s="187"/>
    </row>
    <row r="863" spans="1:66" ht="15.95" hidden="1" customHeight="1" x14ac:dyDescent="0.25">
      <c r="A863" s="957">
        <f t="shared" ca="1" si="28"/>
        <v>0</v>
      </c>
      <c r="AY863" s="4"/>
      <c r="AZ863" s="5"/>
      <c r="BA863" s="5" t="str">
        <f ca="1">IF('Rent Roll'!$AB181=1,'Rent Roll'!E181,"")</f>
        <v/>
      </c>
      <c r="BB863" s="39" t="str">
        <f ca="1">IF('Rent Roll'!$AB181=1,'Rent Roll'!G181,"")</f>
        <v/>
      </c>
      <c r="BC863" s="1547" t="str">
        <f ca="1">IF('Rent Roll'!$AB181=1,'Rent Roll'!K181,"")</f>
        <v/>
      </c>
      <c r="BD863" s="1551" t="str">
        <f ca="1">IF('Rent Roll'!$AB181=1,'Rent Roll'!N181,"")</f>
        <v/>
      </c>
      <c r="BE863" s="5"/>
      <c r="BF863" s="6"/>
      <c r="BG863" s="32"/>
      <c r="BH863" s="342"/>
      <c r="BI863" s="343"/>
      <c r="BJ863" s="342"/>
      <c r="BK863" s="343"/>
      <c r="BL863" s="32"/>
      <c r="BM863" s="187"/>
      <c r="BN863" s="187"/>
    </row>
    <row r="864" spans="1:66" ht="15.95" hidden="1" customHeight="1" x14ac:dyDescent="0.25">
      <c r="A864" s="957">
        <f t="shared" ca="1" si="28"/>
        <v>0</v>
      </c>
      <c r="AY864" s="4"/>
      <c r="AZ864" s="5"/>
      <c r="BA864" s="5" t="str">
        <f ca="1">IF('Rent Roll'!$AB182=1,'Rent Roll'!E182,"")</f>
        <v/>
      </c>
      <c r="BB864" s="39" t="str">
        <f ca="1">IF('Rent Roll'!$AB182=1,'Rent Roll'!G182,"")</f>
        <v/>
      </c>
      <c r="BC864" s="1547" t="str">
        <f ca="1">IF('Rent Roll'!$AB182=1,'Rent Roll'!K182,"")</f>
        <v/>
      </c>
      <c r="BD864" s="1551" t="str">
        <f ca="1">IF('Rent Roll'!$AB182=1,'Rent Roll'!N182,"")</f>
        <v/>
      </c>
      <c r="BE864" s="5"/>
      <c r="BF864" s="6"/>
      <c r="BG864" s="32"/>
      <c r="BH864" s="342"/>
      <c r="BI864" s="343"/>
      <c r="BJ864" s="342"/>
      <c r="BK864" s="343"/>
      <c r="BL864" s="32"/>
      <c r="BM864" s="187"/>
      <c r="BN864" s="187"/>
    </row>
    <row r="865" spans="1:66" ht="15.95" hidden="1" customHeight="1" x14ac:dyDescent="0.25">
      <c r="A865" s="957">
        <f t="shared" ca="1" si="28"/>
        <v>0</v>
      </c>
      <c r="AY865" s="4"/>
      <c r="AZ865" s="5"/>
      <c r="BA865" s="5" t="str">
        <f ca="1">IF('Rent Roll'!$AB183=1,'Rent Roll'!E183,"")</f>
        <v/>
      </c>
      <c r="BB865" s="39" t="str">
        <f ca="1">IF('Rent Roll'!$AB183=1,'Rent Roll'!G183,"")</f>
        <v/>
      </c>
      <c r="BC865" s="1547" t="str">
        <f ca="1">IF('Rent Roll'!$AB183=1,'Rent Roll'!K183,"")</f>
        <v/>
      </c>
      <c r="BD865" s="1551" t="str">
        <f ca="1">IF('Rent Roll'!$AB183=1,'Rent Roll'!N183,"")</f>
        <v/>
      </c>
      <c r="BE865" s="5"/>
      <c r="BF865" s="6"/>
      <c r="BG865" s="32"/>
      <c r="BH865" s="342"/>
      <c r="BI865" s="343"/>
      <c r="BJ865" s="342"/>
      <c r="BK865" s="343"/>
      <c r="BL865" s="32"/>
      <c r="BM865" s="187"/>
      <c r="BN865" s="187"/>
    </row>
    <row r="866" spans="1:66" ht="15.95" hidden="1" customHeight="1" x14ac:dyDescent="0.25">
      <c r="A866" s="957">
        <f t="shared" ca="1" si="28"/>
        <v>0</v>
      </c>
      <c r="AY866" s="4"/>
      <c r="AZ866" s="5"/>
      <c r="BA866" s="5" t="str">
        <f ca="1">IF('Rent Roll'!$AB184=1,'Rent Roll'!E184,"")</f>
        <v/>
      </c>
      <c r="BB866" s="39" t="str">
        <f ca="1">IF('Rent Roll'!$AB184=1,'Rent Roll'!G184,"")</f>
        <v/>
      </c>
      <c r="BC866" s="1547" t="str">
        <f ca="1">IF('Rent Roll'!$AB184=1,'Rent Roll'!K184,"")</f>
        <v/>
      </c>
      <c r="BD866" s="1551" t="str">
        <f ca="1">IF('Rent Roll'!$AB184=1,'Rent Roll'!N184,"")</f>
        <v/>
      </c>
      <c r="BE866" s="5"/>
      <c r="BF866" s="6"/>
      <c r="BG866" s="32"/>
      <c r="BH866" s="342"/>
      <c r="BI866" s="343"/>
      <c r="BJ866" s="342"/>
      <c r="BK866" s="343"/>
      <c r="BL866" s="32"/>
      <c r="BM866" s="187"/>
      <c r="BN866" s="187"/>
    </row>
    <row r="867" spans="1:66" ht="15.95" hidden="1" customHeight="1" x14ac:dyDescent="0.25">
      <c r="A867" s="957">
        <f t="shared" ca="1" si="28"/>
        <v>0</v>
      </c>
      <c r="AY867" s="4"/>
      <c r="AZ867" s="5"/>
      <c r="BA867" s="5" t="str">
        <f ca="1">IF('Rent Roll'!$AB185=1,'Rent Roll'!E185,"")</f>
        <v/>
      </c>
      <c r="BB867" s="39" t="str">
        <f ca="1">IF('Rent Roll'!$AB185=1,'Rent Roll'!G185,"")</f>
        <v/>
      </c>
      <c r="BC867" s="1547" t="str">
        <f ca="1">IF('Rent Roll'!$AB185=1,'Rent Roll'!K185,"")</f>
        <v/>
      </c>
      <c r="BD867" s="1551" t="str">
        <f ca="1">IF('Rent Roll'!$AB185=1,'Rent Roll'!N185,"")</f>
        <v/>
      </c>
      <c r="BE867" s="5"/>
      <c r="BF867" s="6"/>
      <c r="BG867" s="32"/>
      <c r="BH867" s="342"/>
      <c r="BI867" s="343"/>
      <c r="BJ867" s="342"/>
      <c r="BK867" s="343"/>
      <c r="BL867" s="32"/>
      <c r="BM867" s="187"/>
      <c r="BN867" s="187"/>
    </row>
    <row r="868" spans="1:66" ht="15.95" hidden="1" customHeight="1" x14ac:dyDescent="0.25">
      <c r="A868" s="957">
        <f t="shared" ca="1" si="28"/>
        <v>0</v>
      </c>
      <c r="AY868" s="4"/>
      <c r="AZ868" s="5"/>
      <c r="BA868" s="5" t="str">
        <f ca="1">IF('Rent Roll'!$AB186=1,'Rent Roll'!E186,"")</f>
        <v/>
      </c>
      <c r="BB868" s="39" t="str">
        <f ca="1">IF('Rent Roll'!$AB186=1,'Rent Roll'!G186,"")</f>
        <v/>
      </c>
      <c r="BC868" s="1547" t="str">
        <f ca="1">IF('Rent Roll'!$AB186=1,'Rent Roll'!K186,"")</f>
        <v/>
      </c>
      <c r="BD868" s="1551" t="str">
        <f ca="1">IF('Rent Roll'!$AB186=1,'Rent Roll'!N186,"")</f>
        <v/>
      </c>
      <c r="BE868" s="5"/>
      <c r="BF868" s="6"/>
      <c r="BG868" s="32"/>
      <c r="BH868" s="342"/>
      <c r="BI868" s="343"/>
      <c r="BJ868" s="342"/>
      <c r="BK868" s="343"/>
      <c r="BL868" s="32"/>
      <c r="BM868" s="187"/>
      <c r="BN868" s="187"/>
    </row>
    <row r="869" spans="1:66" ht="15.95" hidden="1" customHeight="1" x14ac:dyDescent="0.25">
      <c r="A869" s="957">
        <f t="shared" ca="1" si="28"/>
        <v>0</v>
      </c>
      <c r="AY869" s="4"/>
      <c r="AZ869" s="5"/>
      <c r="BA869" s="5" t="str">
        <f ca="1">IF('Rent Roll'!$AB187=1,'Rent Roll'!E187,"")</f>
        <v/>
      </c>
      <c r="BB869" s="39" t="str">
        <f ca="1">IF('Rent Roll'!$AB187=1,'Rent Roll'!G187,"")</f>
        <v/>
      </c>
      <c r="BC869" s="1547" t="str">
        <f ca="1">IF('Rent Roll'!$AB187=1,'Rent Roll'!K187,"")</f>
        <v/>
      </c>
      <c r="BD869" s="1551" t="str">
        <f ca="1">IF('Rent Roll'!$AB187=1,'Rent Roll'!N187,"")</f>
        <v/>
      </c>
      <c r="BE869" s="5"/>
      <c r="BF869" s="6"/>
      <c r="BG869" s="32"/>
      <c r="BH869" s="342"/>
      <c r="BI869" s="343"/>
      <c r="BJ869" s="342"/>
      <c r="BK869" s="343"/>
      <c r="BL869" s="32"/>
      <c r="BM869" s="187"/>
      <c r="BN869" s="187"/>
    </row>
    <row r="870" spans="1:66" ht="15.95" hidden="1" customHeight="1" x14ac:dyDescent="0.25">
      <c r="A870" s="957">
        <f t="shared" ca="1" si="28"/>
        <v>0</v>
      </c>
      <c r="AY870" s="4"/>
      <c r="AZ870" s="5"/>
      <c r="BA870" s="5" t="str">
        <f ca="1">IF('Rent Roll'!$AB188=1,'Rent Roll'!E188,"")</f>
        <v/>
      </c>
      <c r="BB870" s="39" t="str">
        <f ca="1">IF('Rent Roll'!$AB188=1,'Rent Roll'!G188,"")</f>
        <v/>
      </c>
      <c r="BC870" s="1547" t="str">
        <f ca="1">IF('Rent Roll'!$AB188=1,'Rent Roll'!K188,"")</f>
        <v/>
      </c>
      <c r="BD870" s="1551" t="str">
        <f ca="1">IF('Rent Roll'!$AB188=1,'Rent Roll'!N188,"")</f>
        <v/>
      </c>
      <c r="BE870" s="5"/>
      <c r="BF870" s="6"/>
      <c r="BG870" s="32"/>
      <c r="BH870" s="342"/>
      <c r="BI870" s="343"/>
      <c r="BJ870" s="342"/>
      <c r="BK870" s="343"/>
      <c r="BL870" s="32"/>
      <c r="BM870" s="187"/>
      <c r="BN870" s="187"/>
    </row>
    <row r="871" spans="1:66" ht="15.95" hidden="1" customHeight="1" x14ac:dyDescent="0.25">
      <c r="A871" s="957">
        <f t="shared" ca="1" si="28"/>
        <v>0</v>
      </c>
      <c r="AY871" s="4"/>
      <c r="AZ871" s="5"/>
      <c r="BA871" s="5" t="str">
        <f ca="1">IF('Rent Roll'!$AB189=1,'Rent Roll'!E189,"")</f>
        <v/>
      </c>
      <c r="BB871" s="39" t="str">
        <f ca="1">IF('Rent Roll'!$AB189=1,'Rent Roll'!G189,"")</f>
        <v/>
      </c>
      <c r="BC871" s="1547" t="str">
        <f ca="1">IF('Rent Roll'!$AB189=1,'Rent Roll'!K189,"")</f>
        <v/>
      </c>
      <c r="BD871" s="1551" t="str">
        <f ca="1">IF('Rent Roll'!$AB189=1,'Rent Roll'!N189,"")</f>
        <v/>
      </c>
      <c r="BE871" s="5"/>
      <c r="BF871" s="6"/>
      <c r="BG871" s="32"/>
      <c r="BH871" s="342"/>
      <c r="BI871" s="343"/>
      <c r="BJ871" s="342"/>
      <c r="BK871" s="343"/>
      <c r="BL871" s="32"/>
      <c r="BM871" s="187"/>
      <c r="BN871" s="187"/>
    </row>
    <row r="872" spans="1:66" ht="15.95" hidden="1" customHeight="1" x14ac:dyDescent="0.25">
      <c r="A872" s="957">
        <f t="shared" ca="1" si="28"/>
        <v>0</v>
      </c>
      <c r="AY872" s="4"/>
      <c r="AZ872" s="5"/>
      <c r="BA872" s="5" t="str">
        <f ca="1">IF('Rent Roll'!$AB190=1,'Rent Roll'!E190,"")</f>
        <v/>
      </c>
      <c r="BB872" s="39" t="str">
        <f ca="1">IF('Rent Roll'!$AB190=1,'Rent Roll'!G190,"")</f>
        <v/>
      </c>
      <c r="BC872" s="1547" t="str">
        <f ca="1">IF('Rent Roll'!$AB190=1,'Rent Roll'!K190,"")</f>
        <v/>
      </c>
      <c r="BD872" s="1551" t="str">
        <f ca="1">IF('Rent Roll'!$AB190=1,'Rent Roll'!N190,"")</f>
        <v/>
      </c>
      <c r="BE872" s="5"/>
      <c r="BF872" s="6"/>
      <c r="BG872" s="32"/>
      <c r="BH872" s="342"/>
      <c r="BI872" s="343"/>
      <c r="BJ872" s="342"/>
      <c r="BK872" s="343"/>
      <c r="BL872" s="32"/>
      <c r="BM872" s="187"/>
      <c r="BN872" s="187"/>
    </row>
    <row r="873" spans="1:66" ht="15.95" hidden="1" customHeight="1" x14ac:dyDescent="0.25">
      <c r="A873" s="957">
        <f t="shared" ca="1" si="28"/>
        <v>0</v>
      </c>
      <c r="AY873" s="4"/>
      <c r="AZ873" s="5"/>
      <c r="BA873" s="5" t="str">
        <f ca="1">IF('Rent Roll'!$AB191=1,'Rent Roll'!E191,"")</f>
        <v/>
      </c>
      <c r="BB873" s="39" t="str">
        <f ca="1">IF('Rent Roll'!$AB191=1,'Rent Roll'!G191,"")</f>
        <v/>
      </c>
      <c r="BC873" s="1547" t="str">
        <f ca="1">IF('Rent Roll'!$AB191=1,'Rent Roll'!K191,"")</f>
        <v/>
      </c>
      <c r="BD873" s="1551" t="str">
        <f ca="1">IF('Rent Roll'!$AB191=1,'Rent Roll'!N191,"")</f>
        <v/>
      </c>
      <c r="BE873" s="5"/>
      <c r="BF873" s="6"/>
      <c r="BG873" s="32"/>
      <c r="BH873" s="342"/>
      <c r="BI873" s="343"/>
      <c r="BJ873" s="342"/>
      <c r="BK873" s="343"/>
      <c r="BL873" s="32"/>
      <c r="BM873" s="187"/>
      <c r="BN873" s="187"/>
    </row>
    <row r="874" spans="1:66" ht="15.95" hidden="1" customHeight="1" x14ac:dyDescent="0.25">
      <c r="A874" s="957">
        <f t="shared" ca="1" si="28"/>
        <v>0</v>
      </c>
      <c r="AY874" s="4"/>
      <c r="AZ874" s="5"/>
      <c r="BA874" s="5" t="str">
        <f ca="1">IF('Rent Roll'!$AB192=1,'Rent Roll'!E192,"")</f>
        <v/>
      </c>
      <c r="BB874" s="39" t="str">
        <f ca="1">IF('Rent Roll'!$AB192=1,'Rent Roll'!G192,"")</f>
        <v/>
      </c>
      <c r="BC874" s="1547" t="str">
        <f ca="1">IF('Rent Roll'!$AB192=1,'Rent Roll'!K192,"")</f>
        <v/>
      </c>
      <c r="BD874" s="1551" t="str">
        <f ca="1">IF('Rent Roll'!$AB192=1,'Rent Roll'!N192,"")</f>
        <v/>
      </c>
      <c r="BE874" s="5"/>
      <c r="BF874" s="6"/>
      <c r="BG874" s="32"/>
      <c r="BH874" s="342"/>
      <c r="BI874" s="343"/>
      <c r="BJ874" s="342"/>
      <c r="BK874" s="343"/>
      <c r="BL874" s="32"/>
      <c r="BM874" s="187"/>
      <c r="BN874" s="187"/>
    </row>
    <row r="875" spans="1:66" ht="15.95" hidden="1" customHeight="1" x14ac:dyDescent="0.25">
      <c r="A875" s="957">
        <f t="shared" ca="1" si="28"/>
        <v>0</v>
      </c>
      <c r="AY875" s="4"/>
      <c r="AZ875" s="5"/>
      <c r="BA875" s="5" t="str">
        <f ca="1">IF('Rent Roll'!$AB193=1,'Rent Roll'!E193,"")</f>
        <v/>
      </c>
      <c r="BB875" s="39" t="str">
        <f ca="1">IF('Rent Roll'!$AB193=1,'Rent Roll'!G193,"")</f>
        <v/>
      </c>
      <c r="BC875" s="1547" t="str">
        <f ca="1">IF('Rent Roll'!$AB193=1,'Rent Roll'!K193,"")</f>
        <v/>
      </c>
      <c r="BD875" s="1551" t="str">
        <f ca="1">IF('Rent Roll'!$AB193=1,'Rent Roll'!N193,"")</f>
        <v/>
      </c>
      <c r="BE875" s="5"/>
      <c r="BF875" s="6"/>
      <c r="BG875" s="32"/>
      <c r="BH875" s="342"/>
      <c r="BI875" s="343"/>
      <c r="BJ875" s="342"/>
      <c r="BK875" s="343"/>
      <c r="BL875" s="32"/>
      <c r="BM875" s="187"/>
      <c r="BN875" s="187"/>
    </row>
    <row r="876" spans="1:66" ht="15.95" hidden="1" customHeight="1" x14ac:dyDescent="0.25">
      <c r="A876" s="957">
        <f t="shared" ca="1" si="28"/>
        <v>0</v>
      </c>
      <c r="AY876" s="4"/>
      <c r="AZ876" s="5"/>
      <c r="BA876" s="5" t="str">
        <f ca="1">IF('Rent Roll'!$AB194=1,'Rent Roll'!E194,"")</f>
        <v/>
      </c>
      <c r="BB876" s="39" t="str">
        <f ca="1">IF('Rent Roll'!$AB194=1,'Rent Roll'!G194,"")</f>
        <v/>
      </c>
      <c r="BC876" s="1547" t="str">
        <f ca="1">IF('Rent Roll'!$AB194=1,'Rent Roll'!K194,"")</f>
        <v/>
      </c>
      <c r="BD876" s="1551" t="str">
        <f ca="1">IF('Rent Roll'!$AB194=1,'Rent Roll'!N194,"")</f>
        <v/>
      </c>
      <c r="BE876" s="5"/>
      <c r="BF876" s="6"/>
      <c r="BG876" s="32"/>
      <c r="BH876" s="342"/>
      <c r="BI876" s="343"/>
      <c r="BJ876" s="342"/>
      <c r="BK876" s="343"/>
      <c r="BL876" s="32"/>
      <c r="BM876" s="187"/>
      <c r="BN876" s="187"/>
    </row>
    <row r="877" spans="1:66" ht="15.95" hidden="1" customHeight="1" x14ac:dyDescent="0.25">
      <c r="A877" s="957">
        <f t="shared" ca="1" si="28"/>
        <v>0</v>
      </c>
      <c r="AY877" s="4"/>
      <c r="AZ877" s="5"/>
      <c r="BA877" s="5" t="str">
        <f ca="1">IF('Rent Roll'!$AB195=1,'Rent Roll'!E195,"")</f>
        <v/>
      </c>
      <c r="BB877" s="39" t="str">
        <f ca="1">IF('Rent Roll'!$AB195=1,'Rent Roll'!G195,"")</f>
        <v/>
      </c>
      <c r="BC877" s="1547" t="str">
        <f ca="1">IF('Rent Roll'!$AB195=1,'Rent Roll'!K195,"")</f>
        <v/>
      </c>
      <c r="BD877" s="1551" t="str">
        <f ca="1">IF('Rent Roll'!$AB195=1,'Rent Roll'!N195,"")</f>
        <v/>
      </c>
      <c r="BE877" s="5"/>
      <c r="BF877" s="6"/>
      <c r="BG877" s="32"/>
      <c r="BH877" s="342"/>
      <c r="BI877" s="343"/>
      <c r="BJ877" s="342"/>
      <c r="BK877" s="343"/>
      <c r="BL877" s="32"/>
      <c r="BM877" s="187"/>
      <c r="BN877" s="187"/>
    </row>
    <row r="878" spans="1:66" ht="15.95" hidden="1" customHeight="1" x14ac:dyDescent="0.25">
      <c r="A878" s="957">
        <f t="shared" ca="1" si="28"/>
        <v>0</v>
      </c>
      <c r="AY878" s="4"/>
      <c r="AZ878" s="5"/>
      <c r="BA878" s="5" t="str">
        <f ca="1">IF('Rent Roll'!$AB196=1,'Rent Roll'!E196,"")</f>
        <v/>
      </c>
      <c r="BB878" s="39" t="str">
        <f ca="1">IF('Rent Roll'!$AB196=1,'Rent Roll'!G196,"")</f>
        <v/>
      </c>
      <c r="BC878" s="1547" t="str">
        <f ca="1">IF('Rent Roll'!$AB196=1,'Rent Roll'!K196,"")</f>
        <v/>
      </c>
      <c r="BD878" s="1551" t="str">
        <f ca="1">IF('Rent Roll'!$AB196=1,'Rent Roll'!N196,"")</f>
        <v/>
      </c>
      <c r="BE878" s="5"/>
      <c r="BF878" s="6"/>
      <c r="BG878" s="32"/>
      <c r="BH878" s="342"/>
      <c r="BI878" s="343"/>
      <c r="BJ878" s="342"/>
      <c r="BK878" s="343"/>
      <c r="BL878" s="32"/>
      <c r="BM878" s="187"/>
      <c r="BN878" s="187"/>
    </row>
    <row r="879" spans="1:66" ht="15.95" hidden="1" customHeight="1" x14ac:dyDescent="0.25">
      <c r="A879" s="957">
        <f t="shared" ca="1" si="28"/>
        <v>0</v>
      </c>
      <c r="AY879" s="4"/>
      <c r="AZ879" s="5"/>
      <c r="BA879" s="5" t="str">
        <f ca="1">IF('Rent Roll'!$AB197=1,'Rent Roll'!E197,"")</f>
        <v/>
      </c>
      <c r="BB879" s="39" t="str">
        <f ca="1">IF('Rent Roll'!$AB197=1,'Rent Roll'!G197,"")</f>
        <v/>
      </c>
      <c r="BC879" s="1547" t="str">
        <f ca="1">IF('Rent Roll'!$AB197=1,'Rent Roll'!K197,"")</f>
        <v/>
      </c>
      <c r="BD879" s="1551" t="str">
        <f ca="1">IF('Rent Roll'!$AB197=1,'Rent Roll'!N197,"")</f>
        <v/>
      </c>
      <c r="BE879" s="5"/>
      <c r="BF879" s="6"/>
      <c r="BG879" s="32"/>
      <c r="BH879" s="342"/>
      <c r="BI879" s="343"/>
      <c r="BJ879" s="342"/>
      <c r="BK879" s="343"/>
      <c r="BL879" s="32"/>
      <c r="BM879" s="187"/>
      <c r="BN879" s="187"/>
    </row>
    <row r="880" spans="1:66" ht="15.95" hidden="1" customHeight="1" x14ac:dyDescent="0.25">
      <c r="A880" s="957">
        <f t="shared" ca="1" si="28"/>
        <v>0</v>
      </c>
      <c r="AY880" s="4"/>
      <c r="AZ880" s="5"/>
      <c r="BA880" s="5" t="str">
        <f ca="1">IF('Rent Roll'!$AB198=1,'Rent Roll'!E198,"")</f>
        <v/>
      </c>
      <c r="BB880" s="39" t="str">
        <f ca="1">IF('Rent Roll'!$AB198=1,'Rent Roll'!G198,"")</f>
        <v/>
      </c>
      <c r="BC880" s="1547" t="str">
        <f ca="1">IF('Rent Roll'!$AB198=1,'Rent Roll'!K198,"")</f>
        <v/>
      </c>
      <c r="BD880" s="1551" t="str">
        <f ca="1">IF('Rent Roll'!$AB198=1,'Rent Roll'!N198,"")</f>
        <v/>
      </c>
      <c r="BE880" s="5"/>
      <c r="BF880" s="6"/>
      <c r="BG880" s="32"/>
      <c r="BH880" s="342"/>
      <c r="BI880" s="343"/>
      <c r="BJ880" s="342"/>
      <c r="BK880" s="343"/>
      <c r="BL880" s="32"/>
      <c r="BM880" s="187"/>
      <c r="BN880" s="187"/>
    </row>
    <row r="881" spans="1:74" ht="15.95" hidden="1" customHeight="1" x14ac:dyDescent="0.25">
      <c r="A881" s="957">
        <f t="shared" ref="A881:A888" ca="1" si="29">IF(BA881="",0,1)</f>
        <v>0</v>
      </c>
      <c r="AY881" s="4"/>
      <c r="AZ881" s="5"/>
      <c r="BA881" s="5" t="str">
        <f ca="1">IF('Rent Roll'!$AB199=1,'Rent Roll'!E199,"")</f>
        <v/>
      </c>
      <c r="BB881" s="39" t="str">
        <f ca="1">IF('Rent Roll'!$AB199=1,'Rent Roll'!G199,"")</f>
        <v/>
      </c>
      <c r="BC881" s="1547" t="str">
        <f ca="1">IF('Rent Roll'!$AB199=1,'Rent Roll'!K199,"")</f>
        <v/>
      </c>
      <c r="BD881" s="1551" t="str">
        <f ca="1">IF('Rent Roll'!$AB199=1,'Rent Roll'!N199,"")</f>
        <v/>
      </c>
      <c r="BE881" s="5"/>
      <c r="BF881" s="6"/>
      <c r="BG881" s="32"/>
      <c r="BH881" s="342"/>
      <c r="BI881" s="343"/>
      <c r="BJ881" s="342"/>
      <c r="BK881" s="343"/>
      <c r="BL881" s="32"/>
      <c r="BM881" s="187"/>
      <c r="BN881" s="187"/>
    </row>
    <row r="882" spans="1:74" ht="15.95" hidden="1" customHeight="1" x14ac:dyDescent="0.25">
      <c r="A882" s="957">
        <f t="shared" ca="1" si="29"/>
        <v>0</v>
      </c>
      <c r="AY882" s="4"/>
      <c r="AZ882" s="5"/>
      <c r="BA882" s="5" t="str">
        <f ca="1">IF('Rent Roll'!$AB200=1,'Rent Roll'!E200,"")</f>
        <v/>
      </c>
      <c r="BB882" s="39" t="str">
        <f ca="1">IF('Rent Roll'!$AB200=1,'Rent Roll'!G200,"")</f>
        <v/>
      </c>
      <c r="BC882" s="1547" t="str">
        <f ca="1">IF('Rent Roll'!$AB200=1,'Rent Roll'!K200,"")</f>
        <v/>
      </c>
      <c r="BD882" s="1551" t="str">
        <f ca="1">IF('Rent Roll'!$AB200=1,'Rent Roll'!N200,"")</f>
        <v/>
      </c>
      <c r="BE882" s="5"/>
      <c r="BF882" s="6"/>
      <c r="BG882" s="32"/>
      <c r="BH882" s="342"/>
      <c r="BI882" s="343"/>
      <c r="BJ882" s="342"/>
      <c r="BK882" s="343"/>
      <c r="BL882" s="32"/>
      <c r="BM882" s="187"/>
      <c r="BN882" s="187"/>
    </row>
    <row r="883" spans="1:74" ht="15.95" hidden="1" customHeight="1" x14ac:dyDescent="0.25">
      <c r="A883" s="957">
        <f t="shared" ca="1" si="29"/>
        <v>0</v>
      </c>
      <c r="AY883" s="4"/>
      <c r="AZ883" s="5"/>
      <c r="BA883" s="5" t="str">
        <f ca="1">IF('Rent Roll'!$AB201=1,'Rent Roll'!E201,"")</f>
        <v/>
      </c>
      <c r="BB883" s="39" t="str">
        <f ca="1">IF('Rent Roll'!$AB201=1,'Rent Roll'!G201,"")</f>
        <v/>
      </c>
      <c r="BC883" s="1547" t="str">
        <f ca="1">IF('Rent Roll'!$AB201=1,'Rent Roll'!K201,"")</f>
        <v/>
      </c>
      <c r="BD883" s="1551" t="str">
        <f ca="1">IF('Rent Roll'!$AB201=1,'Rent Roll'!N201,"")</f>
        <v/>
      </c>
      <c r="BE883" s="5"/>
      <c r="BF883" s="6"/>
      <c r="BG883" s="32"/>
      <c r="BH883" s="342"/>
      <c r="BI883" s="343"/>
      <c r="BJ883" s="342"/>
      <c r="BK883" s="343"/>
      <c r="BL883" s="32"/>
      <c r="BM883" s="187"/>
      <c r="BN883" s="187"/>
    </row>
    <row r="884" spans="1:74" ht="15.95" hidden="1" customHeight="1" x14ac:dyDescent="0.25">
      <c r="A884" s="957">
        <f t="shared" ca="1" si="29"/>
        <v>0</v>
      </c>
      <c r="AY884" s="4"/>
      <c r="AZ884" s="5"/>
      <c r="BA884" s="5" t="str">
        <f ca="1">IF('Rent Roll'!$AB202=1,'Rent Roll'!E202,"")</f>
        <v/>
      </c>
      <c r="BB884" s="39" t="str">
        <f ca="1">IF('Rent Roll'!$AB202=1,'Rent Roll'!G202,"")</f>
        <v/>
      </c>
      <c r="BC884" s="1547" t="str">
        <f ca="1">IF('Rent Roll'!$AB202=1,'Rent Roll'!K202,"")</f>
        <v/>
      </c>
      <c r="BD884" s="1551" t="str">
        <f ca="1">IF('Rent Roll'!$AB202=1,'Rent Roll'!N202,"")</f>
        <v/>
      </c>
      <c r="BE884" s="5"/>
      <c r="BF884" s="6"/>
      <c r="BG884" s="32"/>
      <c r="BH884" s="342"/>
      <c r="BI884" s="343"/>
      <c r="BJ884" s="342"/>
      <c r="BK884" s="343"/>
      <c r="BL884" s="32"/>
      <c r="BM884" s="187"/>
      <c r="BN884" s="187"/>
    </row>
    <row r="885" spans="1:74" ht="15.95" hidden="1" customHeight="1" x14ac:dyDescent="0.25">
      <c r="A885" s="957">
        <f t="shared" ca="1" si="29"/>
        <v>0</v>
      </c>
      <c r="AY885" s="4"/>
      <c r="AZ885" s="5"/>
      <c r="BA885" s="5" t="str">
        <f ca="1">IF('Rent Roll'!$AB203=1,'Rent Roll'!E203,"")</f>
        <v/>
      </c>
      <c r="BB885" s="39" t="str">
        <f ca="1">IF('Rent Roll'!$AB203=1,'Rent Roll'!G203,"")</f>
        <v/>
      </c>
      <c r="BC885" s="1547" t="str">
        <f ca="1">IF('Rent Roll'!$AB203=1,'Rent Roll'!K203,"")</f>
        <v/>
      </c>
      <c r="BD885" s="1551" t="str">
        <f ca="1">IF('Rent Roll'!$AB203=1,'Rent Roll'!N203,"")</f>
        <v/>
      </c>
      <c r="BE885" s="5"/>
      <c r="BF885" s="6"/>
      <c r="BG885" s="32"/>
      <c r="BH885" s="342"/>
      <c r="BI885" s="343"/>
      <c r="BJ885" s="342"/>
      <c r="BK885" s="343"/>
      <c r="BL885" s="32"/>
      <c r="BM885" s="187"/>
      <c r="BN885" s="187"/>
    </row>
    <row r="886" spans="1:74" ht="15.95" hidden="1" customHeight="1" x14ac:dyDescent="0.25">
      <c r="A886" s="957">
        <f t="shared" ca="1" si="29"/>
        <v>0</v>
      </c>
      <c r="AY886" s="4"/>
      <c r="AZ886" s="5"/>
      <c r="BA886" s="5" t="str">
        <f ca="1">IF('Rent Roll'!$AB204=1,'Rent Roll'!E204,"")</f>
        <v/>
      </c>
      <c r="BB886" s="39" t="str">
        <f ca="1">IF('Rent Roll'!$AB204=1,'Rent Roll'!G204,"")</f>
        <v/>
      </c>
      <c r="BC886" s="1547" t="str">
        <f ca="1">IF('Rent Roll'!$AB204=1,'Rent Roll'!K204,"")</f>
        <v/>
      </c>
      <c r="BD886" s="1551" t="str">
        <f ca="1">IF('Rent Roll'!$AB204=1,'Rent Roll'!N204,"")</f>
        <v/>
      </c>
      <c r="BE886" s="5"/>
      <c r="BF886" s="6"/>
      <c r="BG886" s="32"/>
      <c r="BH886" s="342"/>
      <c r="BI886" s="343"/>
      <c r="BJ886" s="342"/>
      <c r="BK886" s="343"/>
      <c r="BL886" s="32"/>
      <c r="BM886" s="187"/>
      <c r="BN886" s="187"/>
    </row>
    <row r="887" spans="1:74" ht="15.95" hidden="1" customHeight="1" x14ac:dyDescent="0.25">
      <c r="A887" s="957">
        <f t="shared" ca="1" si="29"/>
        <v>0</v>
      </c>
      <c r="AY887" s="4"/>
      <c r="AZ887" s="5"/>
      <c r="BA887" s="5" t="str">
        <f ca="1">IF('Rent Roll'!$AB205=1,'Rent Roll'!E205,"")</f>
        <v/>
      </c>
      <c r="BB887" s="39" t="str">
        <f ca="1">IF('Rent Roll'!$AB205=1,'Rent Roll'!G205,"")</f>
        <v/>
      </c>
      <c r="BC887" s="1547" t="str">
        <f ca="1">IF('Rent Roll'!$AB205=1,'Rent Roll'!K205,"")</f>
        <v/>
      </c>
      <c r="BD887" s="1551" t="str">
        <f ca="1">IF('Rent Roll'!$AB205=1,'Rent Roll'!N205,"")</f>
        <v/>
      </c>
      <c r="BE887" s="5"/>
      <c r="BF887" s="6"/>
      <c r="BG887" s="32"/>
      <c r="BH887" s="342"/>
      <c r="BI887" s="343"/>
      <c r="BJ887" s="342"/>
      <c r="BK887" s="343"/>
      <c r="BL887" s="32"/>
      <c r="BM887" s="187"/>
      <c r="BN887" s="187"/>
    </row>
    <row r="888" spans="1:74" ht="15.95" hidden="1" customHeight="1" x14ac:dyDescent="0.25">
      <c r="A888" s="957">
        <f t="shared" ca="1" si="29"/>
        <v>0</v>
      </c>
      <c r="AY888" s="4"/>
      <c r="AZ888" s="5"/>
      <c r="BA888" s="5" t="str">
        <f ca="1">IF('Rent Roll'!$AB206=1,'Rent Roll'!E206,"")</f>
        <v/>
      </c>
      <c r="BB888" s="39" t="str">
        <f ca="1">IF('Rent Roll'!$AB206=1,'Rent Roll'!G206,"")</f>
        <v/>
      </c>
      <c r="BC888" s="1547" t="str">
        <f ca="1">IF('Rent Roll'!$AB206=1,'Rent Roll'!K206,"")</f>
        <v/>
      </c>
      <c r="BD888" s="1551" t="str">
        <f ca="1">IF('Rent Roll'!$AB206=1,'Rent Roll'!N206,"")</f>
        <v/>
      </c>
      <c r="BE888" s="5"/>
      <c r="BF888" s="6"/>
      <c r="BG888" s="32"/>
      <c r="BH888" s="342"/>
      <c r="BI888" s="343"/>
      <c r="BJ888" s="342"/>
      <c r="BK888" s="343"/>
      <c r="BL888" s="32"/>
      <c r="BM888" s="187"/>
      <c r="BN888" s="187"/>
    </row>
    <row r="889" spans="1:74" ht="15.95" hidden="1" customHeight="1" x14ac:dyDescent="0.25">
      <c r="A889" s="957">
        <f ca="1">IF(dpIncome_TCat4_NRA_Vacant=0,0,1)</f>
        <v>0</v>
      </c>
      <c r="AY889" s="4"/>
      <c r="AZ889" s="5"/>
      <c r="BA889" s="1535" t="s">
        <v>142</v>
      </c>
      <c r="BB889" s="1560"/>
      <c r="BC889" s="1561">
        <f ca="1">IF(Income_RentRollSource="No Rent Roll",Income_TCat4_NRA_Manual,SUM(BC689:BC888))</f>
        <v>0</v>
      </c>
      <c r="BD889" s="1562" t="e">
        <f ca="1">SUMPRODUCT(BC689:BC888,BD689:BD888)/BC889</f>
        <v>#DIV/0!</v>
      </c>
      <c r="BE889" s="5"/>
      <c r="BF889" s="6"/>
      <c r="BG889" s="32"/>
      <c r="BH889" s="342"/>
      <c r="BI889" s="343"/>
      <c r="BJ889" s="342"/>
      <c r="BK889" s="343"/>
      <c r="BL889" s="32"/>
      <c r="BM889" s="187"/>
      <c r="BN889" s="187"/>
    </row>
    <row r="890" spans="1:74" ht="15.95" hidden="1" customHeight="1" x14ac:dyDescent="0.25">
      <c r="A890" s="957">
        <f ca="1">IF(dpIncome_TCat4_NRA_Vacant=0,0,1)</f>
        <v>0</v>
      </c>
      <c r="AY890" s="4"/>
      <c r="AZ890" s="5"/>
      <c r="BA890" s="1540" t="s">
        <v>139</v>
      </c>
      <c r="BB890" s="1541"/>
      <c r="BC890" s="1549">
        <f ca="1">'Rent Roll'!K211</f>
        <v>0</v>
      </c>
      <c r="BD890" s="1553">
        <f>Income_TCat4_MarketRent</f>
        <v>0</v>
      </c>
      <c r="BE890" s="5"/>
      <c r="BF890" s="6"/>
      <c r="BG890" s="32"/>
      <c r="BH890" s="342"/>
      <c r="BI890" s="343"/>
      <c r="BJ890" s="342"/>
      <c r="BK890" s="343"/>
      <c r="BL890" s="32"/>
      <c r="BM890" s="187"/>
      <c r="BN890" s="187"/>
    </row>
    <row r="891" spans="1:74" ht="15.95" customHeight="1" thickBot="1" x14ac:dyDescent="0.3">
      <c r="A891" s="957">
        <v>1</v>
      </c>
      <c r="AY891" s="4"/>
      <c r="AZ891" s="5"/>
      <c r="BA891" s="219" t="s">
        <v>93</v>
      </c>
      <c r="BB891" s="1542"/>
      <c r="BC891" s="1550">
        <f ca="1">SUM(BC889:BC890)</f>
        <v>0</v>
      </c>
      <c r="BD891" s="1554" t="e">
        <f ca="1">SUMPRODUCT(BC889:BC890,BD889:BD890)/Income_TCat4_NRA</f>
        <v>#DIV/0!</v>
      </c>
      <c r="BE891" s="5"/>
      <c r="BF891" s="6"/>
      <c r="BG891" s="32"/>
      <c r="BH891" s="344"/>
      <c r="BI891" s="345"/>
      <c r="BJ891" s="344"/>
      <c r="BK891" s="345"/>
      <c r="BL891" s="346"/>
      <c r="BM891" s="187"/>
      <c r="BN891" s="187"/>
    </row>
    <row r="892" spans="1:74" x14ac:dyDescent="0.25">
      <c r="A892" s="957">
        <v>1</v>
      </c>
      <c r="AY892" s="4"/>
      <c r="AZ892" s="5"/>
      <c r="BA892" s="556" t="s">
        <v>882</v>
      </c>
      <c r="BB892" s="5"/>
      <c r="BC892" s="5"/>
      <c r="BD892" s="5"/>
      <c r="BE892" s="5"/>
      <c r="BF892" s="6"/>
      <c r="BG892" s="32"/>
      <c r="BH892" s="96"/>
      <c r="BI892" s="96"/>
      <c r="BJ892" s="32"/>
      <c r="BK892" s="32"/>
      <c r="BL892" s="225"/>
      <c r="BM892" s="187"/>
      <c r="BN892" s="187"/>
    </row>
    <row r="893" spans="1:74" ht="9.9499999999999993" customHeight="1" thickBot="1" x14ac:dyDescent="0.3">
      <c r="A893" s="957">
        <v>1</v>
      </c>
      <c r="AY893" s="11"/>
      <c r="AZ893" s="11"/>
      <c r="BA893" s="11"/>
      <c r="BB893" s="41"/>
      <c r="BC893" s="11"/>
      <c r="BD893" s="11"/>
      <c r="BE893" s="11"/>
      <c r="BF893" s="11"/>
      <c r="BG893" s="32"/>
      <c r="BH893" s="96"/>
      <c r="BI893" s="96"/>
      <c r="BJ893" s="32"/>
      <c r="BK893" s="32"/>
      <c r="BL893" s="225"/>
      <c r="BM893" s="187"/>
      <c r="BN893" s="187"/>
    </row>
    <row r="894" spans="1:74" x14ac:dyDescent="0.25">
      <c r="A894" s="957">
        <v>1</v>
      </c>
      <c r="BG894" s="1"/>
      <c r="BH894" s="2"/>
      <c r="BI894" s="2"/>
      <c r="BJ894" s="2"/>
      <c r="BK894" s="2"/>
      <c r="BL894" s="2"/>
      <c r="BM894" s="2"/>
      <c r="BN894" s="3"/>
      <c r="BO894" s="32"/>
      <c r="BP894" s="96"/>
      <c r="BQ894" s="96"/>
      <c r="BR894" s="32"/>
      <c r="BS894" s="32"/>
      <c r="BT894" s="225"/>
      <c r="BU894" s="187"/>
      <c r="BV894" s="187"/>
    </row>
    <row r="895" spans="1:74" ht="15.95" customHeight="1" x14ac:dyDescent="0.3">
      <c r="A895" s="957">
        <v>1</v>
      </c>
      <c r="BG895" s="4"/>
      <c r="BH895" s="5"/>
      <c r="BI895" s="4284">
        <f>Income_TCat5</f>
        <v>0</v>
      </c>
      <c r="BJ895" s="4284"/>
      <c r="BK895" s="4284"/>
      <c r="BL895" s="4284"/>
      <c r="BM895" s="27"/>
      <c r="BN895" s="6"/>
      <c r="BO895" s="32"/>
      <c r="BP895" s="96"/>
      <c r="BQ895" s="96"/>
      <c r="BR895" s="32"/>
      <c r="BS895" s="32"/>
      <c r="BT895" s="225"/>
      <c r="BU895" s="187"/>
      <c r="BV895" s="187"/>
    </row>
    <row r="896" spans="1:74" ht="15.95" customHeight="1" x14ac:dyDescent="0.25">
      <c r="A896" s="957">
        <v>1</v>
      </c>
      <c r="BG896" s="4"/>
      <c r="BH896" s="12"/>
      <c r="BI896" s="12" t="s">
        <v>398</v>
      </c>
      <c r="BJ896" s="150" t="s">
        <v>401</v>
      </c>
      <c r="BK896" s="55" t="s">
        <v>20</v>
      </c>
      <c r="BL896" s="55" t="s">
        <v>132</v>
      </c>
      <c r="BM896" s="150"/>
      <c r="BN896" s="6"/>
      <c r="BO896" s="32"/>
      <c r="BP896" s="96"/>
      <c r="BQ896" s="96"/>
      <c r="BR896" s="32"/>
      <c r="BS896" s="32"/>
      <c r="BT896" s="225"/>
      <c r="BU896" s="187"/>
      <c r="BV896" s="187"/>
    </row>
    <row r="897" spans="1:74" ht="15.95" hidden="1" customHeight="1" x14ac:dyDescent="0.25">
      <c r="A897" s="957">
        <f t="shared" ref="A897:A928" ca="1" si="30">IF(BI897="",0,1)</f>
        <v>0</v>
      </c>
      <c r="BG897" s="4"/>
      <c r="BH897" s="5"/>
      <c r="BI897" s="5" t="str">
        <f ca="1">IF('Rent Roll'!$AC7=1,'Rent Roll'!E7,"")</f>
        <v/>
      </c>
      <c r="BJ897" s="39" t="str">
        <f ca="1">IF('Rent Roll'!$AC7=1,'Rent Roll'!G7,"")</f>
        <v/>
      </c>
      <c r="BK897" s="1547" t="str">
        <f ca="1">IF('Rent Roll'!$AC7=1,'Rent Roll'!K7,"")</f>
        <v/>
      </c>
      <c r="BL897" s="1551" t="str">
        <f ca="1">IF('Rent Roll'!$AC7=1,'Rent Roll'!N7,"")</f>
        <v/>
      </c>
      <c r="BM897" s="223"/>
      <c r="BN897" s="6"/>
      <c r="BO897" s="32"/>
      <c r="BP897" s="342"/>
      <c r="BQ897" s="343"/>
      <c r="BR897" s="342"/>
      <c r="BS897" s="343"/>
      <c r="BT897" s="32"/>
      <c r="BU897" s="187"/>
      <c r="BV897" s="187"/>
    </row>
    <row r="898" spans="1:74" ht="15.95" hidden="1" customHeight="1" x14ac:dyDescent="0.25">
      <c r="A898" s="957">
        <f t="shared" ca="1" si="30"/>
        <v>0</v>
      </c>
      <c r="BG898" s="4"/>
      <c r="BH898" s="5"/>
      <c r="BI898" s="5" t="str">
        <f ca="1">IF('Rent Roll'!$AC8=1,'Rent Roll'!E8,"")</f>
        <v/>
      </c>
      <c r="BJ898" s="39" t="str">
        <f ca="1">IF('Rent Roll'!$AC8=1,'Rent Roll'!G8,"")</f>
        <v/>
      </c>
      <c r="BK898" s="1547" t="str">
        <f ca="1">IF('Rent Roll'!$AC8=1,'Rent Roll'!K8,"")</f>
        <v/>
      </c>
      <c r="BL898" s="1551" t="str">
        <f ca="1">IF('Rent Roll'!$AC8=1,'Rent Roll'!N8,"")</f>
        <v/>
      </c>
      <c r="BM898" s="223"/>
      <c r="BN898" s="6"/>
      <c r="BO898" s="32"/>
      <c r="BP898" s="342"/>
      <c r="BQ898" s="343"/>
      <c r="BR898" s="342"/>
      <c r="BS898" s="343"/>
      <c r="BT898" s="32"/>
      <c r="BU898" s="187"/>
      <c r="BV898" s="187"/>
    </row>
    <row r="899" spans="1:74" ht="15.95" hidden="1" customHeight="1" x14ac:dyDescent="0.25">
      <c r="A899" s="957">
        <f t="shared" ca="1" si="30"/>
        <v>0</v>
      </c>
      <c r="BG899" s="4"/>
      <c r="BH899" s="5"/>
      <c r="BI899" s="5" t="str">
        <f ca="1">IF('Rent Roll'!$AC9=1,'Rent Roll'!E9,"")</f>
        <v/>
      </c>
      <c r="BJ899" s="39" t="str">
        <f ca="1">IF('Rent Roll'!$AC9=1,'Rent Roll'!G9,"")</f>
        <v/>
      </c>
      <c r="BK899" s="1547" t="str">
        <f ca="1">IF('Rent Roll'!$AC9=1,'Rent Roll'!K9,"")</f>
        <v/>
      </c>
      <c r="BL899" s="1551" t="str">
        <f ca="1">IF('Rent Roll'!$AC9=1,'Rent Roll'!N9,"")</f>
        <v/>
      </c>
      <c r="BM899" s="223"/>
      <c r="BN899" s="6"/>
      <c r="BO899" s="32"/>
      <c r="BP899" s="342"/>
      <c r="BQ899" s="343"/>
      <c r="BR899" s="342"/>
      <c r="BS899" s="343"/>
      <c r="BT899" s="32"/>
      <c r="BU899" s="187"/>
      <c r="BV899" s="187"/>
    </row>
    <row r="900" spans="1:74" ht="15.95" hidden="1" customHeight="1" x14ac:dyDescent="0.25">
      <c r="A900" s="957">
        <f t="shared" ca="1" si="30"/>
        <v>0</v>
      </c>
      <c r="BG900" s="4"/>
      <c r="BH900" s="5"/>
      <c r="BI900" s="5" t="str">
        <f ca="1">IF('Rent Roll'!$AC10=1,'Rent Roll'!E10,"")</f>
        <v/>
      </c>
      <c r="BJ900" s="39" t="str">
        <f ca="1">IF('Rent Roll'!$AC10=1,'Rent Roll'!G10,"")</f>
        <v/>
      </c>
      <c r="BK900" s="1547" t="str">
        <f ca="1">IF('Rent Roll'!$AC10=1,'Rent Roll'!K10,"")</f>
        <v/>
      </c>
      <c r="BL900" s="1551" t="str">
        <f ca="1">IF('Rent Roll'!$AC10=1,'Rent Roll'!N10,"")</f>
        <v/>
      </c>
      <c r="BM900" s="223"/>
      <c r="BN900" s="6"/>
      <c r="BO900" s="32"/>
      <c r="BP900" s="342"/>
      <c r="BQ900" s="343"/>
      <c r="BR900" s="342"/>
      <c r="BS900" s="343"/>
      <c r="BT900" s="32"/>
      <c r="BU900" s="187"/>
      <c r="BV900" s="187"/>
    </row>
    <row r="901" spans="1:74" ht="15.95" hidden="1" customHeight="1" x14ac:dyDescent="0.25">
      <c r="A901" s="957">
        <f t="shared" ca="1" si="30"/>
        <v>0</v>
      </c>
      <c r="BG901" s="4"/>
      <c r="BH901" s="5"/>
      <c r="BI901" s="5" t="str">
        <f ca="1">IF('Rent Roll'!$AC11=1,'Rent Roll'!E11,"")</f>
        <v/>
      </c>
      <c r="BJ901" s="39" t="str">
        <f ca="1">IF('Rent Roll'!$AC11=1,'Rent Roll'!G11,"")</f>
        <v/>
      </c>
      <c r="BK901" s="1547" t="str">
        <f ca="1">IF('Rent Roll'!$AC11=1,'Rent Roll'!K11,"")</f>
        <v/>
      </c>
      <c r="BL901" s="1551" t="str">
        <f ca="1">IF('Rent Roll'!$AC11=1,'Rent Roll'!N11,"")</f>
        <v/>
      </c>
      <c r="BM901" s="223"/>
      <c r="BN901" s="6"/>
      <c r="BO901" s="32"/>
      <c r="BP901" s="342"/>
      <c r="BQ901" s="343"/>
      <c r="BR901" s="342"/>
      <c r="BS901" s="343"/>
      <c r="BT901" s="32"/>
      <c r="BU901" s="187"/>
      <c r="BV901" s="187"/>
    </row>
    <row r="902" spans="1:74" ht="15.95" hidden="1" customHeight="1" x14ac:dyDescent="0.25">
      <c r="A902" s="957">
        <f t="shared" ca="1" si="30"/>
        <v>0</v>
      </c>
      <c r="BG902" s="4"/>
      <c r="BH902" s="5"/>
      <c r="BI902" s="5" t="str">
        <f ca="1">IF('Rent Roll'!$AC12=1,'Rent Roll'!E12,"")</f>
        <v/>
      </c>
      <c r="BJ902" s="39" t="str">
        <f ca="1">IF('Rent Roll'!$AC12=1,'Rent Roll'!G12,"")</f>
        <v/>
      </c>
      <c r="BK902" s="1547" t="str">
        <f ca="1">IF('Rent Roll'!$AC12=1,'Rent Roll'!K12,"")</f>
        <v/>
      </c>
      <c r="BL902" s="1551" t="str">
        <f ca="1">IF('Rent Roll'!$AC12=1,'Rent Roll'!N12,"")</f>
        <v/>
      </c>
      <c r="BM902" s="223"/>
      <c r="BN902" s="6"/>
      <c r="BO902" s="32"/>
      <c r="BP902" s="342"/>
      <c r="BQ902" s="343"/>
      <c r="BR902" s="342"/>
      <c r="BS902" s="343"/>
      <c r="BT902" s="32"/>
      <c r="BU902" s="187"/>
      <c r="BV902" s="187"/>
    </row>
    <row r="903" spans="1:74" ht="15.95" hidden="1" customHeight="1" x14ac:dyDescent="0.25">
      <c r="A903" s="957">
        <f t="shared" ca="1" si="30"/>
        <v>0</v>
      </c>
      <c r="BG903" s="4"/>
      <c r="BH903" s="5"/>
      <c r="BI903" s="5" t="str">
        <f ca="1">IF('Rent Roll'!$AC13=1,'Rent Roll'!E13,"")</f>
        <v/>
      </c>
      <c r="BJ903" s="39" t="str">
        <f ca="1">IF('Rent Roll'!$AC13=1,'Rent Roll'!G13,"")</f>
        <v/>
      </c>
      <c r="BK903" s="1547" t="str">
        <f ca="1">IF('Rent Roll'!$AC13=1,'Rent Roll'!K13,"")</f>
        <v/>
      </c>
      <c r="BL903" s="1551" t="str">
        <f ca="1">IF('Rent Roll'!$AC13=1,'Rent Roll'!N13,"")</f>
        <v/>
      </c>
      <c r="BM903" s="223"/>
      <c r="BN903" s="6"/>
      <c r="BO903" s="32"/>
      <c r="BP903" s="342"/>
      <c r="BQ903" s="343"/>
      <c r="BR903" s="342"/>
      <c r="BS903" s="343"/>
      <c r="BT903" s="32"/>
      <c r="BU903" s="187"/>
      <c r="BV903" s="187"/>
    </row>
    <row r="904" spans="1:74" ht="15.95" hidden="1" customHeight="1" x14ac:dyDescent="0.25">
      <c r="A904" s="957">
        <f t="shared" ca="1" si="30"/>
        <v>0</v>
      </c>
      <c r="BG904" s="4"/>
      <c r="BH904" s="5"/>
      <c r="BI904" s="5" t="str">
        <f ca="1">IF('Rent Roll'!$AC14=1,'Rent Roll'!E14,"")</f>
        <v/>
      </c>
      <c r="BJ904" s="39" t="str">
        <f ca="1">IF('Rent Roll'!$AC14=1,'Rent Roll'!G14,"")</f>
        <v/>
      </c>
      <c r="BK904" s="1547" t="str">
        <f ca="1">IF('Rent Roll'!$AC14=1,'Rent Roll'!K14,"")</f>
        <v/>
      </c>
      <c r="BL904" s="1551" t="str">
        <f ca="1">IF('Rent Roll'!$AC14=1,'Rent Roll'!N14,"")</f>
        <v/>
      </c>
      <c r="BM904" s="223"/>
      <c r="BN904" s="6"/>
      <c r="BO904" s="32"/>
      <c r="BP904" s="342"/>
      <c r="BQ904" s="343"/>
      <c r="BR904" s="342"/>
      <c r="BS904" s="343"/>
      <c r="BT904" s="32"/>
      <c r="BU904" s="187"/>
      <c r="BV904" s="187"/>
    </row>
    <row r="905" spans="1:74" ht="15.95" hidden="1" customHeight="1" x14ac:dyDescent="0.25">
      <c r="A905" s="957">
        <f t="shared" ca="1" si="30"/>
        <v>0</v>
      </c>
      <c r="BG905" s="4"/>
      <c r="BH905" s="5"/>
      <c r="BI905" s="5" t="str">
        <f ca="1">IF('Rent Roll'!$AC15=1,'Rent Roll'!E15,"")</f>
        <v/>
      </c>
      <c r="BJ905" s="39" t="str">
        <f ca="1">IF('Rent Roll'!$AC15=1,'Rent Roll'!G15,"")</f>
        <v/>
      </c>
      <c r="BK905" s="1547" t="str">
        <f ca="1">IF('Rent Roll'!$AC15=1,'Rent Roll'!K15,"")</f>
        <v/>
      </c>
      <c r="BL905" s="1551" t="str">
        <f ca="1">IF('Rent Roll'!$AC15=1,'Rent Roll'!N15,"")</f>
        <v/>
      </c>
      <c r="BM905" s="223"/>
      <c r="BN905" s="6"/>
      <c r="BO905" s="32"/>
      <c r="BP905" s="342"/>
      <c r="BQ905" s="343"/>
      <c r="BR905" s="342"/>
      <c r="BS905" s="343"/>
      <c r="BT905" s="32"/>
      <c r="BU905" s="187"/>
      <c r="BV905" s="187"/>
    </row>
    <row r="906" spans="1:74" ht="15.95" hidden="1" customHeight="1" x14ac:dyDescent="0.25">
      <c r="A906" s="957">
        <f t="shared" ca="1" si="30"/>
        <v>0</v>
      </c>
      <c r="BG906" s="4"/>
      <c r="BH906" s="5"/>
      <c r="BI906" s="5" t="str">
        <f ca="1">IF('Rent Roll'!$AC16=1,'Rent Roll'!E16,"")</f>
        <v/>
      </c>
      <c r="BJ906" s="39" t="str">
        <f ca="1">IF('Rent Roll'!$AC16=1,'Rent Roll'!G16,"")</f>
        <v/>
      </c>
      <c r="BK906" s="1547" t="str">
        <f ca="1">IF('Rent Roll'!$AC16=1,'Rent Roll'!K16,"")</f>
        <v/>
      </c>
      <c r="BL906" s="1551" t="str">
        <f ca="1">IF('Rent Roll'!$AC16=1,'Rent Roll'!N16,"")</f>
        <v/>
      </c>
      <c r="BM906" s="223"/>
      <c r="BN906" s="6"/>
      <c r="BO906" s="32"/>
      <c r="BP906" s="342"/>
      <c r="BQ906" s="343"/>
      <c r="BR906" s="342"/>
      <c r="BS906" s="343"/>
      <c r="BT906" s="32"/>
      <c r="BU906" s="187"/>
      <c r="BV906" s="187"/>
    </row>
    <row r="907" spans="1:74" ht="15.95" hidden="1" customHeight="1" x14ac:dyDescent="0.25">
      <c r="A907" s="957">
        <f t="shared" ca="1" si="30"/>
        <v>0</v>
      </c>
      <c r="BG907" s="4"/>
      <c r="BH907" s="5"/>
      <c r="BI907" s="5" t="str">
        <f ca="1">IF('Rent Roll'!$AC17=1,'Rent Roll'!E17,"")</f>
        <v/>
      </c>
      <c r="BJ907" s="39" t="str">
        <f ca="1">IF('Rent Roll'!$AC17=1,'Rent Roll'!G17,"")</f>
        <v/>
      </c>
      <c r="BK907" s="1547" t="str">
        <f ca="1">IF('Rent Roll'!$AC17=1,'Rent Roll'!K17,"")</f>
        <v/>
      </c>
      <c r="BL907" s="1551" t="str">
        <f ca="1">IF('Rent Roll'!$AC17=1,'Rent Roll'!N17,"")</f>
        <v/>
      </c>
      <c r="BM907" s="223"/>
      <c r="BN907" s="6"/>
      <c r="BO907" s="32"/>
      <c r="BP907" s="342"/>
      <c r="BQ907" s="343"/>
      <c r="BR907" s="342"/>
      <c r="BS907" s="343"/>
      <c r="BT907" s="32"/>
      <c r="BU907" s="187"/>
      <c r="BV907" s="187"/>
    </row>
    <row r="908" spans="1:74" ht="15.95" hidden="1" customHeight="1" x14ac:dyDescent="0.25">
      <c r="A908" s="957">
        <f t="shared" ca="1" si="30"/>
        <v>0</v>
      </c>
      <c r="BG908" s="4"/>
      <c r="BH908" s="5"/>
      <c r="BI908" s="5" t="str">
        <f ca="1">IF('Rent Roll'!$AC18=1,'Rent Roll'!E18,"")</f>
        <v/>
      </c>
      <c r="BJ908" s="39" t="str">
        <f ca="1">IF('Rent Roll'!$AC18=1,'Rent Roll'!G18,"")</f>
        <v/>
      </c>
      <c r="BK908" s="1547" t="str">
        <f ca="1">IF('Rent Roll'!$AC18=1,'Rent Roll'!K18,"")</f>
        <v/>
      </c>
      <c r="BL908" s="1551" t="str">
        <f ca="1">IF('Rent Roll'!$AC18=1,'Rent Roll'!N18,"")</f>
        <v/>
      </c>
      <c r="BM908" s="223"/>
      <c r="BN908" s="6"/>
      <c r="BO908" s="32"/>
      <c r="BP908" s="342"/>
      <c r="BQ908" s="343"/>
      <c r="BR908" s="342"/>
      <c r="BS908" s="343"/>
      <c r="BT908" s="32"/>
      <c r="BU908" s="187"/>
      <c r="BV908" s="187"/>
    </row>
    <row r="909" spans="1:74" ht="15.95" hidden="1" customHeight="1" x14ac:dyDescent="0.25">
      <c r="A909" s="957">
        <f t="shared" ca="1" si="30"/>
        <v>0</v>
      </c>
      <c r="BG909" s="4"/>
      <c r="BH909" s="5"/>
      <c r="BI909" s="5" t="str">
        <f ca="1">IF('Rent Roll'!$AC19=1,'Rent Roll'!E19,"")</f>
        <v/>
      </c>
      <c r="BJ909" s="39" t="str">
        <f ca="1">IF('Rent Roll'!$AC19=1,'Rent Roll'!G19,"")</f>
        <v/>
      </c>
      <c r="BK909" s="1547" t="str">
        <f ca="1">IF('Rent Roll'!$AC19=1,'Rent Roll'!K19,"")</f>
        <v/>
      </c>
      <c r="BL909" s="1551" t="str">
        <f ca="1">IF('Rent Roll'!$AC19=1,'Rent Roll'!N19,"")</f>
        <v/>
      </c>
      <c r="BM909" s="223"/>
      <c r="BN909" s="6"/>
      <c r="BO909" s="32"/>
      <c r="BP909" s="342"/>
      <c r="BQ909" s="343"/>
      <c r="BR909" s="342"/>
      <c r="BS909" s="343"/>
      <c r="BT909" s="32"/>
      <c r="BU909" s="187"/>
      <c r="BV909" s="187"/>
    </row>
    <row r="910" spans="1:74" ht="15.95" hidden="1" customHeight="1" x14ac:dyDescent="0.25">
      <c r="A910" s="957">
        <f t="shared" ca="1" si="30"/>
        <v>0</v>
      </c>
      <c r="BG910" s="4"/>
      <c r="BH910" s="5"/>
      <c r="BI910" s="5" t="str">
        <f ca="1">IF('Rent Roll'!$AC20=1,'Rent Roll'!E20,"")</f>
        <v/>
      </c>
      <c r="BJ910" s="39" t="str">
        <f ca="1">IF('Rent Roll'!$AC20=1,'Rent Roll'!G20,"")</f>
        <v/>
      </c>
      <c r="BK910" s="1547" t="str">
        <f ca="1">IF('Rent Roll'!$AC20=1,'Rent Roll'!K20,"")</f>
        <v/>
      </c>
      <c r="BL910" s="1551" t="str">
        <f ca="1">IF('Rent Roll'!$AC20=1,'Rent Roll'!N20,"")</f>
        <v/>
      </c>
      <c r="BM910" s="223"/>
      <c r="BN910" s="6"/>
      <c r="BO910" s="32"/>
      <c r="BP910" s="342"/>
      <c r="BQ910" s="343"/>
      <c r="BR910" s="342"/>
      <c r="BS910" s="343"/>
      <c r="BT910" s="32"/>
      <c r="BU910" s="187"/>
      <c r="BV910" s="187"/>
    </row>
    <row r="911" spans="1:74" ht="15.95" hidden="1" customHeight="1" x14ac:dyDescent="0.25">
      <c r="A911" s="957">
        <f t="shared" ca="1" si="30"/>
        <v>0</v>
      </c>
      <c r="BG911" s="4"/>
      <c r="BH911" s="5"/>
      <c r="BI911" s="5" t="str">
        <f ca="1">IF('Rent Roll'!$AC21=1,'Rent Roll'!E21,"")</f>
        <v/>
      </c>
      <c r="BJ911" s="39" t="str">
        <f ca="1">IF('Rent Roll'!$AC21=1,'Rent Roll'!G21,"")</f>
        <v/>
      </c>
      <c r="BK911" s="1547" t="str">
        <f ca="1">IF('Rent Roll'!$AC21=1,'Rent Roll'!K21,"")</f>
        <v/>
      </c>
      <c r="BL911" s="1551" t="str">
        <f ca="1">IF('Rent Roll'!$AC21=1,'Rent Roll'!N21,"")</f>
        <v/>
      </c>
      <c r="BM911" s="223"/>
      <c r="BN911" s="6"/>
      <c r="BO911" s="32"/>
      <c r="BP911" s="342"/>
      <c r="BQ911" s="343"/>
      <c r="BR911" s="342"/>
      <c r="BS911" s="343"/>
      <c r="BT911" s="32"/>
      <c r="BU911" s="187"/>
      <c r="BV911" s="187"/>
    </row>
    <row r="912" spans="1:74" ht="15.95" hidden="1" customHeight="1" x14ac:dyDescent="0.25">
      <c r="A912" s="957">
        <f t="shared" ca="1" si="30"/>
        <v>0</v>
      </c>
      <c r="BG912" s="4"/>
      <c r="BH912" s="5"/>
      <c r="BI912" s="5" t="str">
        <f ca="1">IF('Rent Roll'!$AC22=1,'Rent Roll'!E22,"")</f>
        <v/>
      </c>
      <c r="BJ912" s="39" t="str">
        <f ca="1">IF('Rent Roll'!$AC22=1,'Rent Roll'!G22,"")</f>
        <v/>
      </c>
      <c r="BK912" s="1547" t="str">
        <f ca="1">IF('Rent Roll'!$AC22=1,'Rent Roll'!K22,"")</f>
        <v/>
      </c>
      <c r="BL912" s="1551" t="str">
        <f ca="1">IF('Rent Roll'!$AC22=1,'Rent Roll'!N22,"")</f>
        <v/>
      </c>
      <c r="BM912" s="223"/>
      <c r="BN912" s="6"/>
      <c r="BO912" s="32"/>
      <c r="BP912" s="342"/>
      <c r="BQ912" s="343"/>
      <c r="BR912" s="342"/>
      <c r="BS912" s="343"/>
      <c r="BT912" s="32"/>
      <c r="BU912" s="187"/>
      <c r="BV912" s="187"/>
    </row>
    <row r="913" spans="1:74" ht="15.95" hidden="1" customHeight="1" x14ac:dyDescent="0.25">
      <c r="A913" s="957">
        <f t="shared" ca="1" si="30"/>
        <v>0</v>
      </c>
      <c r="BG913" s="4"/>
      <c r="BH913" s="5"/>
      <c r="BI913" s="5" t="str">
        <f ca="1">IF('Rent Roll'!$AC23=1,'Rent Roll'!E23,"")</f>
        <v/>
      </c>
      <c r="BJ913" s="39" t="str">
        <f ca="1">IF('Rent Roll'!$AC23=1,'Rent Roll'!G23,"")</f>
        <v/>
      </c>
      <c r="BK913" s="1547" t="str">
        <f ca="1">IF('Rent Roll'!$AC23=1,'Rent Roll'!K23,"")</f>
        <v/>
      </c>
      <c r="BL913" s="1551" t="str">
        <f ca="1">IF('Rent Roll'!$AC23=1,'Rent Roll'!N23,"")</f>
        <v/>
      </c>
      <c r="BM913" s="223"/>
      <c r="BN913" s="6"/>
      <c r="BO913" s="32"/>
      <c r="BP913" s="342"/>
      <c r="BQ913" s="343"/>
      <c r="BR913" s="342"/>
      <c r="BS913" s="343"/>
      <c r="BT913" s="32"/>
      <c r="BU913" s="187"/>
      <c r="BV913" s="187"/>
    </row>
    <row r="914" spans="1:74" ht="15.95" hidden="1" customHeight="1" x14ac:dyDescent="0.25">
      <c r="A914" s="957">
        <f t="shared" ca="1" si="30"/>
        <v>0</v>
      </c>
      <c r="BG914" s="4"/>
      <c r="BH914" s="5"/>
      <c r="BI914" s="5" t="str">
        <f ca="1">IF('Rent Roll'!$AC24=1,'Rent Roll'!E24,"")</f>
        <v/>
      </c>
      <c r="BJ914" s="39" t="str">
        <f ca="1">IF('Rent Roll'!$AC24=1,'Rent Roll'!G24,"")</f>
        <v/>
      </c>
      <c r="BK914" s="1547" t="str">
        <f ca="1">IF('Rent Roll'!$AC24=1,'Rent Roll'!K24,"")</f>
        <v/>
      </c>
      <c r="BL914" s="1551" t="str">
        <f ca="1">IF('Rent Roll'!$AC24=1,'Rent Roll'!N24,"")</f>
        <v/>
      </c>
      <c r="BM914" s="223"/>
      <c r="BN914" s="6"/>
      <c r="BO914" s="32"/>
      <c r="BP914" s="342"/>
      <c r="BQ914" s="343"/>
      <c r="BR914" s="342"/>
      <c r="BS914" s="343"/>
      <c r="BT914" s="32"/>
      <c r="BU914" s="187"/>
      <c r="BV914" s="187"/>
    </row>
    <row r="915" spans="1:74" ht="15.95" hidden="1" customHeight="1" x14ac:dyDescent="0.25">
      <c r="A915" s="957">
        <f t="shared" ca="1" si="30"/>
        <v>0</v>
      </c>
      <c r="BG915" s="4"/>
      <c r="BH915" s="5"/>
      <c r="BI915" s="5" t="str">
        <f ca="1">IF('Rent Roll'!$AC25=1,'Rent Roll'!E25,"")</f>
        <v/>
      </c>
      <c r="BJ915" s="39" t="str">
        <f ca="1">IF('Rent Roll'!$AC25=1,'Rent Roll'!G25,"")</f>
        <v/>
      </c>
      <c r="BK915" s="1547" t="str">
        <f ca="1">IF('Rent Roll'!$AC25=1,'Rent Roll'!K25,"")</f>
        <v/>
      </c>
      <c r="BL915" s="1551" t="str">
        <f ca="1">IF('Rent Roll'!$AC25=1,'Rent Roll'!N25,"")</f>
        <v/>
      </c>
      <c r="BM915" s="223"/>
      <c r="BN915" s="6"/>
      <c r="BO915" s="32"/>
      <c r="BP915" s="342"/>
      <c r="BQ915" s="343"/>
      <c r="BR915" s="342"/>
      <c r="BS915" s="343"/>
      <c r="BT915" s="32"/>
      <c r="BU915" s="187"/>
      <c r="BV915" s="187"/>
    </row>
    <row r="916" spans="1:74" ht="15.95" hidden="1" customHeight="1" x14ac:dyDescent="0.25">
      <c r="A916" s="957">
        <f t="shared" ca="1" si="30"/>
        <v>0</v>
      </c>
      <c r="BG916" s="4"/>
      <c r="BH916" s="5"/>
      <c r="BI916" s="5" t="str">
        <f ca="1">IF('Rent Roll'!$AC26=1,'Rent Roll'!E26,"")</f>
        <v/>
      </c>
      <c r="BJ916" s="39" t="str">
        <f ca="1">IF('Rent Roll'!$AC26=1,'Rent Roll'!G26,"")</f>
        <v/>
      </c>
      <c r="BK916" s="1547" t="str">
        <f ca="1">IF('Rent Roll'!$AC26=1,'Rent Roll'!K26,"")</f>
        <v/>
      </c>
      <c r="BL916" s="1551" t="str">
        <f ca="1">IF('Rent Roll'!$AC26=1,'Rent Roll'!N26,"")</f>
        <v/>
      </c>
      <c r="BM916" s="223"/>
      <c r="BN916" s="6"/>
      <c r="BO916" s="32"/>
      <c r="BP916" s="342"/>
      <c r="BQ916" s="343"/>
      <c r="BR916" s="342"/>
      <c r="BS916" s="343"/>
      <c r="BT916" s="32"/>
      <c r="BU916" s="187"/>
      <c r="BV916" s="187"/>
    </row>
    <row r="917" spans="1:74" ht="15.95" hidden="1" customHeight="1" x14ac:dyDescent="0.25">
      <c r="A917" s="957">
        <f t="shared" ca="1" si="30"/>
        <v>0</v>
      </c>
      <c r="BG917" s="4"/>
      <c r="BH917" s="5"/>
      <c r="BI917" s="5" t="str">
        <f ca="1">IF('Rent Roll'!$AC27=1,'Rent Roll'!E27,"")</f>
        <v/>
      </c>
      <c r="BJ917" s="39" t="str">
        <f ca="1">IF('Rent Roll'!$AC27=1,'Rent Roll'!G27,"")</f>
        <v/>
      </c>
      <c r="BK917" s="1547" t="str">
        <f ca="1">IF('Rent Roll'!$AC27=1,'Rent Roll'!K27,"")</f>
        <v/>
      </c>
      <c r="BL917" s="1551" t="str">
        <f ca="1">IF('Rent Roll'!$AC27=1,'Rent Roll'!N27,"")</f>
        <v/>
      </c>
      <c r="BM917" s="223"/>
      <c r="BN917" s="6"/>
      <c r="BO917" s="32"/>
      <c r="BP917" s="342"/>
      <c r="BQ917" s="343"/>
      <c r="BR917" s="342"/>
      <c r="BS917" s="343"/>
      <c r="BT917" s="32"/>
      <c r="BU917" s="187"/>
      <c r="BV917" s="187"/>
    </row>
    <row r="918" spans="1:74" ht="15.95" hidden="1" customHeight="1" x14ac:dyDescent="0.25">
      <c r="A918" s="957">
        <f t="shared" ca="1" si="30"/>
        <v>0</v>
      </c>
      <c r="BG918" s="4"/>
      <c r="BH918" s="5"/>
      <c r="BI918" s="5" t="str">
        <f ca="1">IF('Rent Roll'!$AC28=1,'Rent Roll'!E28,"")</f>
        <v/>
      </c>
      <c r="BJ918" s="39" t="str">
        <f ca="1">IF('Rent Roll'!$AC28=1,'Rent Roll'!G28,"")</f>
        <v/>
      </c>
      <c r="BK918" s="1547" t="str">
        <f ca="1">IF('Rent Roll'!$AC28=1,'Rent Roll'!K28,"")</f>
        <v/>
      </c>
      <c r="BL918" s="1551" t="str">
        <f ca="1">IF('Rent Roll'!$AC28=1,'Rent Roll'!N28,"")</f>
        <v/>
      </c>
      <c r="BM918" s="223"/>
      <c r="BN918" s="6"/>
      <c r="BO918" s="32"/>
      <c r="BP918" s="342"/>
      <c r="BQ918" s="343"/>
      <c r="BR918" s="342"/>
      <c r="BS918" s="343"/>
      <c r="BT918" s="32"/>
      <c r="BU918" s="187"/>
      <c r="BV918" s="187"/>
    </row>
    <row r="919" spans="1:74" ht="15.95" hidden="1" customHeight="1" x14ac:dyDescent="0.25">
      <c r="A919" s="957">
        <f t="shared" ca="1" si="30"/>
        <v>0</v>
      </c>
      <c r="BG919" s="4"/>
      <c r="BH919" s="5"/>
      <c r="BI919" s="5" t="str">
        <f ca="1">IF('Rent Roll'!$AC29=1,'Rent Roll'!E29,"")</f>
        <v/>
      </c>
      <c r="BJ919" s="39" t="str">
        <f ca="1">IF('Rent Roll'!$AC29=1,'Rent Roll'!G29,"")</f>
        <v/>
      </c>
      <c r="BK919" s="1547" t="str">
        <f ca="1">IF('Rent Roll'!$AC29=1,'Rent Roll'!K29,"")</f>
        <v/>
      </c>
      <c r="BL919" s="1551" t="str">
        <f ca="1">IF('Rent Roll'!$AC29=1,'Rent Roll'!N29,"")</f>
        <v/>
      </c>
      <c r="BM919" s="223"/>
      <c r="BN919" s="6"/>
      <c r="BO919" s="32"/>
      <c r="BP919" s="342"/>
      <c r="BQ919" s="343"/>
      <c r="BR919" s="342"/>
      <c r="BS919" s="343"/>
      <c r="BT919" s="32"/>
      <c r="BU919" s="187"/>
      <c r="BV919" s="187"/>
    </row>
    <row r="920" spans="1:74" ht="15.95" hidden="1" customHeight="1" x14ac:dyDescent="0.25">
      <c r="A920" s="957">
        <f t="shared" ca="1" si="30"/>
        <v>0</v>
      </c>
      <c r="BG920" s="4"/>
      <c r="BH920" s="5"/>
      <c r="BI920" s="5" t="str">
        <f ca="1">IF('Rent Roll'!$AC30=1,'Rent Roll'!E30,"")</f>
        <v/>
      </c>
      <c r="BJ920" s="39" t="str">
        <f ca="1">IF('Rent Roll'!$AC30=1,'Rent Roll'!G30,"")</f>
        <v/>
      </c>
      <c r="BK920" s="1547" t="str">
        <f ca="1">IF('Rent Roll'!$AC30=1,'Rent Roll'!K30,"")</f>
        <v/>
      </c>
      <c r="BL920" s="1551" t="str">
        <f ca="1">IF('Rent Roll'!$AC30=1,'Rent Roll'!N30,"")</f>
        <v/>
      </c>
      <c r="BM920" s="223"/>
      <c r="BN920" s="6"/>
      <c r="BO920" s="32"/>
      <c r="BP920" s="342"/>
      <c r="BQ920" s="343"/>
      <c r="BR920" s="342"/>
      <c r="BS920" s="343"/>
      <c r="BT920" s="32"/>
      <c r="BU920" s="187"/>
      <c r="BV920" s="187"/>
    </row>
    <row r="921" spans="1:74" ht="15.95" hidden="1" customHeight="1" x14ac:dyDescent="0.25">
      <c r="A921" s="957">
        <f t="shared" ca="1" si="30"/>
        <v>0</v>
      </c>
      <c r="BG921" s="4"/>
      <c r="BH921" s="5"/>
      <c r="BI921" s="5" t="str">
        <f ca="1">IF('Rent Roll'!$AC31=1,'Rent Roll'!E31,"")</f>
        <v/>
      </c>
      <c r="BJ921" s="39" t="str">
        <f ca="1">IF('Rent Roll'!$AC31=1,'Rent Roll'!G31,"")</f>
        <v/>
      </c>
      <c r="BK921" s="1547" t="str">
        <f ca="1">IF('Rent Roll'!$AC31=1,'Rent Roll'!K31,"")</f>
        <v/>
      </c>
      <c r="BL921" s="1551" t="str">
        <f ca="1">IF('Rent Roll'!$AC31=1,'Rent Roll'!N31,"")</f>
        <v/>
      </c>
      <c r="BM921" s="223"/>
      <c r="BN921" s="6"/>
      <c r="BO921" s="32"/>
      <c r="BP921" s="342"/>
      <c r="BQ921" s="343"/>
      <c r="BR921" s="342"/>
      <c r="BS921" s="343"/>
      <c r="BT921" s="32"/>
      <c r="BU921" s="187"/>
      <c r="BV921" s="187"/>
    </row>
    <row r="922" spans="1:74" ht="15.95" hidden="1" customHeight="1" x14ac:dyDescent="0.25">
      <c r="A922" s="957">
        <f t="shared" ca="1" si="30"/>
        <v>0</v>
      </c>
      <c r="BG922" s="4"/>
      <c r="BH922" s="5"/>
      <c r="BI922" s="5" t="str">
        <f ca="1">IF('Rent Roll'!$AC32=1,'Rent Roll'!E32,"")</f>
        <v/>
      </c>
      <c r="BJ922" s="39" t="str">
        <f ca="1">IF('Rent Roll'!$AC32=1,'Rent Roll'!G32,"")</f>
        <v/>
      </c>
      <c r="BK922" s="1547" t="str">
        <f ca="1">IF('Rent Roll'!$AC32=1,'Rent Roll'!K32,"")</f>
        <v/>
      </c>
      <c r="BL922" s="1551" t="str">
        <f ca="1">IF('Rent Roll'!$AC32=1,'Rent Roll'!N32,"")</f>
        <v/>
      </c>
      <c r="BM922" s="223"/>
      <c r="BN922" s="6"/>
      <c r="BO922" s="32"/>
      <c r="BP922" s="342"/>
      <c r="BQ922" s="343"/>
      <c r="BR922" s="342"/>
      <c r="BS922" s="343"/>
      <c r="BT922" s="32"/>
      <c r="BU922" s="187"/>
      <c r="BV922" s="187"/>
    </row>
    <row r="923" spans="1:74" ht="15.95" hidden="1" customHeight="1" x14ac:dyDescent="0.25">
      <c r="A923" s="957">
        <f t="shared" ca="1" si="30"/>
        <v>0</v>
      </c>
      <c r="BG923" s="4"/>
      <c r="BH923" s="5"/>
      <c r="BI923" s="5" t="str">
        <f ca="1">IF('Rent Roll'!$AC33=1,'Rent Roll'!E33,"")</f>
        <v/>
      </c>
      <c r="BJ923" s="39" t="str">
        <f ca="1">IF('Rent Roll'!$AC33=1,'Rent Roll'!G33,"")</f>
        <v/>
      </c>
      <c r="BK923" s="1547" t="str">
        <f ca="1">IF('Rent Roll'!$AC33=1,'Rent Roll'!K33,"")</f>
        <v/>
      </c>
      <c r="BL923" s="1551" t="str">
        <f ca="1">IF('Rent Roll'!$AC33=1,'Rent Roll'!N33,"")</f>
        <v/>
      </c>
      <c r="BM923" s="223"/>
      <c r="BN923" s="6"/>
      <c r="BO923" s="32"/>
      <c r="BP923" s="342"/>
      <c r="BQ923" s="343"/>
      <c r="BR923" s="342"/>
      <c r="BS923" s="343"/>
      <c r="BT923" s="32"/>
      <c r="BU923" s="187"/>
      <c r="BV923" s="187"/>
    </row>
    <row r="924" spans="1:74" ht="15.95" hidden="1" customHeight="1" x14ac:dyDescent="0.25">
      <c r="A924" s="957">
        <f t="shared" ca="1" si="30"/>
        <v>0</v>
      </c>
      <c r="BG924" s="4"/>
      <c r="BH924" s="5"/>
      <c r="BI924" s="5" t="str">
        <f ca="1">IF('Rent Roll'!$AC34=1,'Rent Roll'!E34,"")</f>
        <v/>
      </c>
      <c r="BJ924" s="39" t="str">
        <f ca="1">IF('Rent Roll'!$AC34=1,'Rent Roll'!G34,"")</f>
        <v/>
      </c>
      <c r="BK924" s="1547" t="str">
        <f ca="1">IF('Rent Roll'!$AC34=1,'Rent Roll'!K34,"")</f>
        <v/>
      </c>
      <c r="BL924" s="1551" t="str">
        <f ca="1">IF('Rent Roll'!$AC34=1,'Rent Roll'!N34,"")</f>
        <v/>
      </c>
      <c r="BM924" s="223"/>
      <c r="BN924" s="6"/>
      <c r="BO924" s="32"/>
      <c r="BP924" s="342"/>
      <c r="BQ924" s="343"/>
      <c r="BR924" s="342"/>
      <c r="BS924" s="343"/>
      <c r="BT924" s="32"/>
      <c r="BU924" s="187"/>
      <c r="BV924" s="187"/>
    </row>
    <row r="925" spans="1:74" ht="15.95" hidden="1" customHeight="1" x14ac:dyDescent="0.25">
      <c r="A925" s="957">
        <f t="shared" ca="1" si="30"/>
        <v>0</v>
      </c>
      <c r="BG925" s="4"/>
      <c r="BH925" s="5"/>
      <c r="BI925" s="5" t="str">
        <f ca="1">IF('Rent Roll'!$AC35=1,'Rent Roll'!E35,"")</f>
        <v/>
      </c>
      <c r="BJ925" s="39" t="str">
        <f ca="1">IF('Rent Roll'!$AC35=1,'Rent Roll'!G35,"")</f>
        <v/>
      </c>
      <c r="BK925" s="1547" t="str">
        <f ca="1">IF('Rent Roll'!$AC35=1,'Rent Roll'!K35,"")</f>
        <v/>
      </c>
      <c r="BL925" s="1551" t="str">
        <f ca="1">IF('Rent Roll'!$AC35=1,'Rent Roll'!N35,"")</f>
        <v/>
      </c>
      <c r="BM925" s="223"/>
      <c r="BN925" s="6"/>
      <c r="BO925" s="32"/>
      <c r="BP925" s="342"/>
      <c r="BQ925" s="343"/>
      <c r="BR925" s="342"/>
      <c r="BS925" s="343"/>
      <c r="BT925" s="32"/>
      <c r="BU925" s="187"/>
      <c r="BV925" s="187"/>
    </row>
    <row r="926" spans="1:74" ht="15.95" hidden="1" customHeight="1" x14ac:dyDescent="0.25">
      <c r="A926" s="957">
        <f t="shared" ca="1" si="30"/>
        <v>0</v>
      </c>
      <c r="BG926" s="4"/>
      <c r="BH926" s="5"/>
      <c r="BI926" s="5" t="str">
        <f ca="1">IF('Rent Roll'!$AC36=1,'Rent Roll'!E36,"")</f>
        <v/>
      </c>
      <c r="BJ926" s="39" t="str">
        <f ca="1">IF('Rent Roll'!$AC36=1,'Rent Roll'!G36,"")</f>
        <v/>
      </c>
      <c r="BK926" s="1547" t="str">
        <f ca="1">IF('Rent Roll'!$AC36=1,'Rent Roll'!K36,"")</f>
        <v/>
      </c>
      <c r="BL926" s="1551" t="str">
        <f ca="1">IF('Rent Roll'!$AC36=1,'Rent Roll'!N36,"")</f>
        <v/>
      </c>
      <c r="BM926" s="223"/>
      <c r="BN926" s="6"/>
      <c r="BO926" s="32"/>
      <c r="BP926" s="342"/>
      <c r="BQ926" s="343"/>
      <c r="BR926" s="342"/>
      <c r="BS926" s="343"/>
      <c r="BT926" s="32"/>
      <c r="BU926" s="187"/>
      <c r="BV926" s="187"/>
    </row>
    <row r="927" spans="1:74" ht="15.95" hidden="1" customHeight="1" x14ac:dyDescent="0.25">
      <c r="A927" s="957">
        <f t="shared" ca="1" si="30"/>
        <v>0</v>
      </c>
      <c r="BG927" s="4"/>
      <c r="BH927" s="5"/>
      <c r="BI927" s="5" t="str">
        <f ca="1">IF('Rent Roll'!$AC37=1,'Rent Roll'!E37,"")</f>
        <v/>
      </c>
      <c r="BJ927" s="39" t="str">
        <f ca="1">IF('Rent Roll'!$AC37=1,'Rent Roll'!G37,"")</f>
        <v/>
      </c>
      <c r="BK927" s="1547" t="str">
        <f ca="1">IF('Rent Roll'!$AC37=1,'Rent Roll'!K37,"")</f>
        <v/>
      </c>
      <c r="BL927" s="1551" t="str">
        <f ca="1">IF('Rent Roll'!$AC37=1,'Rent Roll'!N37,"")</f>
        <v/>
      </c>
      <c r="BM927" s="223"/>
      <c r="BN927" s="6"/>
      <c r="BO927" s="32"/>
      <c r="BP927" s="342"/>
      <c r="BQ927" s="343"/>
      <c r="BR927" s="342"/>
      <c r="BS927" s="343"/>
      <c r="BT927" s="32"/>
      <c r="BU927" s="187"/>
      <c r="BV927" s="187"/>
    </row>
    <row r="928" spans="1:74" ht="15.95" hidden="1" customHeight="1" x14ac:dyDescent="0.25">
      <c r="A928" s="957">
        <f t="shared" ca="1" si="30"/>
        <v>0</v>
      </c>
      <c r="BG928" s="4"/>
      <c r="BH928" s="5"/>
      <c r="BI928" s="5" t="str">
        <f ca="1">IF('Rent Roll'!$AC38=1,'Rent Roll'!E38,"")</f>
        <v/>
      </c>
      <c r="BJ928" s="39" t="str">
        <f ca="1">IF('Rent Roll'!$AC38=1,'Rent Roll'!G38,"")</f>
        <v/>
      </c>
      <c r="BK928" s="1547" t="str">
        <f ca="1">IF('Rent Roll'!$AC38=1,'Rent Roll'!K38,"")</f>
        <v/>
      </c>
      <c r="BL928" s="1551" t="str">
        <f ca="1">IF('Rent Roll'!$AC38=1,'Rent Roll'!N38,"")</f>
        <v/>
      </c>
      <c r="BM928" s="223"/>
      <c r="BN928" s="6"/>
      <c r="BO928" s="32"/>
      <c r="BP928" s="342"/>
      <c r="BQ928" s="343"/>
      <c r="BR928" s="342"/>
      <c r="BS928" s="343"/>
      <c r="BT928" s="32"/>
      <c r="BU928" s="187"/>
      <c r="BV928" s="187"/>
    </row>
    <row r="929" spans="1:74" ht="15.95" hidden="1" customHeight="1" x14ac:dyDescent="0.25">
      <c r="A929" s="957">
        <f t="shared" ref="A929:A960" ca="1" si="31">IF(BI929="",0,1)</f>
        <v>0</v>
      </c>
      <c r="BG929" s="4"/>
      <c r="BH929" s="5"/>
      <c r="BI929" s="5" t="str">
        <f ca="1">IF('Rent Roll'!$AC39=1,'Rent Roll'!E39,"")</f>
        <v/>
      </c>
      <c r="BJ929" s="39" t="str">
        <f ca="1">IF('Rent Roll'!$AC39=1,'Rent Roll'!G39,"")</f>
        <v/>
      </c>
      <c r="BK929" s="1547" t="str">
        <f ca="1">IF('Rent Roll'!$AC39=1,'Rent Roll'!K39,"")</f>
        <v/>
      </c>
      <c r="BL929" s="1551" t="str">
        <f ca="1">IF('Rent Roll'!$AC39=1,'Rent Roll'!N39,"")</f>
        <v/>
      </c>
      <c r="BM929" s="223"/>
      <c r="BN929" s="6"/>
      <c r="BO929" s="32"/>
      <c r="BP929" s="342"/>
      <c r="BQ929" s="343"/>
      <c r="BR929" s="342"/>
      <c r="BS929" s="343"/>
      <c r="BT929" s="32"/>
      <c r="BU929" s="187"/>
      <c r="BV929" s="187"/>
    </row>
    <row r="930" spans="1:74" ht="15.95" hidden="1" customHeight="1" x14ac:dyDescent="0.25">
      <c r="A930" s="957">
        <f t="shared" ca="1" si="31"/>
        <v>0</v>
      </c>
      <c r="BG930" s="4"/>
      <c r="BH930" s="5"/>
      <c r="BI930" s="5" t="str">
        <f ca="1">IF('Rent Roll'!$AC40=1,'Rent Roll'!E40,"")</f>
        <v/>
      </c>
      <c r="BJ930" s="39" t="str">
        <f ca="1">IF('Rent Roll'!$AC40=1,'Rent Roll'!G40,"")</f>
        <v/>
      </c>
      <c r="BK930" s="1547" t="str">
        <f ca="1">IF('Rent Roll'!$AC40=1,'Rent Roll'!K40,"")</f>
        <v/>
      </c>
      <c r="BL930" s="1551" t="str">
        <f ca="1">IF('Rent Roll'!$AC40=1,'Rent Roll'!N40,"")</f>
        <v/>
      </c>
      <c r="BM930" s="223"/>
      <c r="BN930" s="6"/>
      <c r="BO930" s="32"/>
      <c r="BP930" s="342"/>
      <c r="BQ930" s="343"/>
      <c r="BR930" s="342"/>
      <c r="BS930" s="343"/>
      <c r="BT930" s="32"/>
      <c r="BU930" s="187"/>
      <c r="BV930" s="187"/>
    </row>
    <row r="931" spans="1:74" ht="15.95" hidden="1" customHeight="1" x14ac:dyDescent="0.25">
      <c r="A931" s="957">
        <f t="shared" ca="1" si="31"/>
        <v>0</v>
      </c>
      <c r="BG931" s="4"/>
      <c r="BH931" s="5"/>
      <c r="BI931" s="5" t="str">
        <f ca="1">IF('Rent Roll'!$AC41=1,'Rent Roll'!E41,"")</f>
        <v/>
      </c>
      <c r="BJ931" s="39" t="str">
        <f ca="1">IF('Rent Roll'!$AC41=1,'Rent Roll'!G41,"")</f>
        <v/>
      </c>
      <c r="BK931" s="1547" t="str">
        <f ca="1">IF('Rent Roll'!$AC41=1,'Rent Roll'!K41,"")</f>
        <v/>
      </c>
      <c r="BL931" s="1551" t="str">
        <f ca="1">IF('Rent Roll'!$AC41=1,'Rent Roll'!N41,"")</f>
        <v/>
      </c>
      <c r="BM931" s="223"/>
      <c r="BN931" s="6"/>
      <c r="BO931" s="32"/>
      <c r="BP931" s="342"/>
      <c r="BQ931" s="343"/>
      <c r="BR931" s="342"/>
      <c r="BS931" s="343"/>
      <c r="BT931" s="32"/>
      <c r="BU931" s="187"/>
      <c r="BV931" s="187"/>
    </row>
    <row r="932" spans="1:74" ht="15.95" hidden="1" customHeight="1" x14ac:dyDescent="0.25">
      <c r="A932" s="957">
        <f t="shared" ca="1" si="31"/>
        <v>0</v>
      </c>
      <c r="BG932" s="4"/>
      <c r="BH932" s="5"/>
      <c r="BI932" s="5" t="str">
        <f ca="1">IF('Rent Roll'!$AC42=1,'Rent Roll'!E42,"")</f>
        <v/>
      </c>
      <c r="BJ932" s="39" t="str">
        <f ca="1">IF('Rent Roll'!$AC42=1,'Rent Roll'!G42,"")</f>
        <v/>
      </c>
      <c r="BK932" s="1547" t="str">
        <f ca="1">IF('Rent Roll'!$AC42=1,'Rent Roll'!K42,"")</f>
        <v/>
      </c>
      <c r="BL932" s="1551" t="str">
        <f ca="1">IF('Rent Roll'!$AC42=1,'Rent Roll'!N42,"")</f>
        <v/>
      </c>
      <c r="BM932" s="223"/>
      <c r="BN932" s="6"/>
      <c r="BO932" s="32"/>
      <c r="BP932" s="342"/>
      <c r="BQ932" s="343"/>
      <c r="BR932" s="342"/>
      <c r="BS932" s="343"/>
      <c r="BT932" s="32"/>
      <c r="BU932" s="187"/>
      <c r="BV932" s="187"/>
    </row>
    <row r="933" spans="1:74" ht="15.95" hidden="1" customHeight="1" x14ac:dyDescent="0.25">
      <c r="A933" s="957">
        <f t="shared" ca="1" si="31"/>
        <v>0</v>
      </c>
      <c r="BG933" s="4"/>
      <c r="BH933" s="5"/>
      <c r="BI933" s="5" t="str">
        <f ca="1">IF('Rent Roll'!$AC43=1,'Rent Roll'!E43,"")</f>
        <v/>
      </c>
      <c r="BJ933" s="39" t="str">
        <f ca="1">IF('Rent Roll'!$AC43=1,'Rent Roll'!G43,"")</f>
        <v/>
      </c>
      <c r="BK933" s="1547" t="str">
        <f ca="1">IF('Rent Roll'!$AC43=1,'Rent Roll'!K43,"")</f>
        <v/>
      </c>
      <c r="BL933" s="1551" t="str">
        <f ca="1">IF('Rent Roll'!$AC43=1,'Rent Roll'!N43,"")</f>
        <v/>
      </c>
      <c r="BM933" s="223"/>
      <c r="BN933" s="6"/>
      <c r="BO933" s="32"/>
      <c r="BP933" s="342"/>
      <c r="BQ933" s="343"/>
      <c r="BR933" s="342"/>
      <c r="BS933" s="343"/>
      <c r="BT933" s="32"/>
      <c r="BU933" s="187"/>
      <c r="BV933" s="187"/>
    </row>
    <row r="934" spans="1:74" ht="15.95" hidden="1" customHeight="1" x14ac:dyDescent="0.25">
      <c r="A934" s="957">
        <f t="shared" ca="1" si="31"/>
        <v>0</v>
      </c>
      <c r="BG934" s="4"/>
      <c r="BH934" s="5"/>
      <c r="BI934" s="5" t="str">
        <f ca="1">IF('Rent Roll'!$AC44=1,'Rent Roll'!E44,"")</f>
        <v/>
      </c>
      <c r="BJ934" s="39" t="str">
        <f ca="1">IF('Rent Roll'!$AC44=1,'Rent Roll'!G44,"")</f>
        <v/>
      </c>
      <c r="BK934" s="1547" t="str">
        <f ca="1">IF('Rent Roll'!$AC44=1,'Rent Roll'!K44,"")</f>
        <v/>
      </c>
      <c r="BL934" s="1551" t="str">
        <f ca="1">IF('Rent Roll'!$AC44=1,'Rent Roll'!N44,"")</f>
        <v/>
      </c>
      <c r="BM934" s="223"/>
      <c r="BN934" s="6"/>
      <c r="BO934" s="32"/>
      <c r="BP934" s="342"/>
      <c r="BQ934" s="343"/>
      <c r="BR934" s="342"/>
      <c r="BS934" s="343"/>
      <c r="BT934" s="32"/>
      <c r="BU934" s="187"/>
      <c r="BV934" s="187"/>
    </row>
    <row r="935" spans="1:74" ht="15.95" hidden="1" customHeight="1" x14ac:dyDescent="0.25">
      <c r="A935" s="957">
        <f t="shared" ca="1" si="31"/>
        <v>0</v>
      </c>
      <c r="BG935" s="4"/>
      <c r="BH935" s="5"/>
      <c r="BI935" s="5" t="str">
        <f ca="1">IF('Rent Roll'!$AC45=1,'Rent Roll'!E45,"")</f>
        <v/>
      </c>
      <c r="BJ935" s="39" t="str">
        <f ca="1">IF('Rent Roll'!$AC45=1,'Rent Roll'!G45,"")</f>
        <v/>
      </c>
      <c r="BK935" s="1547" t="str">
        <f ca="1">IF('Rent Roll'!$AC45=1,'Rent Roll'!K45,"")</f>
        <v/>
      </c>
      <c r="BL935" s="1551" t="str">
        <f ca="1">IF('Rent Roll'!$AC45=1,'Rent Roll'!N45,"")</f>
        <v/>
      </c>
      <c r="BM935" s="223"/>
      <c r="BN935" s="6"/>
      <c r="BO935" s="32"/>
      <c r="BP935" s="342"/>
      <c r="BQ935" s="343"/>
      <c r="BR935" s="342"/>
      <c r="BS935" s="343"/>
      <c r="BT935" s="32"/>
      <c r="BU935" s="187"/>
      <c r="BV935" s="187"/>
    </row>
    <row r="936" spans="1:74" ht="15.95" hidden="1" customHeight="1" x14ac:dyDescent="0.25">
      <c r="A936" s="957">
        <f t="shared" ca="1" si="31"/>
        <v>0</v>
      </c>
      <c r="BG936" s="4"/>
      <c r="BH936" s="5"/>
      <c r="BI936" s="5" t="str">
        <f ca="1">IF('Rent Roll'!$AC46=1,'Rent Roll'!E46,"")</f>
        <v/>
      </c>
      <c r="BJ936" s="39" t="str">
        <f ca="1">IF('Rent Roll'!$AC46=1,'Rent Roll'!G46,"")</f>
        <v/>
      </c>
      <c r="BK936" s="1547" t="str">
        <f ca="1">IF('Rent Roll'!$AC46=1,'Rent Roll'!K46,"")</f>
        <v/>
      </c>
      <c r="BL936" s="1551" t="str">
        <f ca="1">IF('Rent Roll'!$AC46=1,'Rent Roll'!N46,"")</f>
        <v/>
      </c>
      <c r="BM936" s="223"/>
      <c r="BN936" s="6"/>
      <c r="BO936" s="32"/>
      <c r="BP936" s="342"/>
      <c r="BQ936" s="343"/>
      <c r="BR936" s="342"/>
      <c r="BS936" s="343"/>
      <c r="BT936" s="32"/>
      <c r="BU936" s="187"/>
      <c r="BV936" s="187"/>
    </row>
    <row r="937" spans="1:74" ht="15.95" hidden="1" customHeight="1" x14ac:dyDescent="0.25">
      <c r="A937" s="957">
        <f t="shared" ca="1" si="31"/>
        <v>0</v>
      </c>
      <c r="BG937" s="4"/>
      <c r="BH937" s="5"/>
      <c r="BI937" s="5" t="str">
        <f ca="1">IF('Rent Roll'!$AC47=1,'Rent Roll'!E47,"")</f>
        <v/>
      </c>
      <c r="BJ937" s="39" t="str">
        <f ca="1">IF('Rent Roll'!$AC47=1,'Rent Roll'!G47,"")</f>
        <v/>
      </c>
      <c r="BK937" s="1547" t="str">
        <f ca="1">IF('Rent Roll'!$AC47=1,'Rent Roll'!K47,"")</f>
        <v/>
      </c>
      <c r="BL937" s="1551" t="str">
        <f ca="1">IF('Rent Roll'!$AC47=1,'Rent Roll'!N47,"")</f>
        <v/>
      </c>
      <c r="BM937" s="223"/>
      <c r="BN937" s="6"/>
      <c r="BO937" s="32"/>
      <c r="BP937" s="342"/>
      <c r="BQ937" s="343"/>
      <c r="BR937" s="342"/>
      <c r="BS937" s="343"/>
      <c r="BT937" s="32"/>
      <c r="BU937" s="187"/>
      <c r="BV937" s="187"/>
    </row>
    <row r="938" spans="1:74" ht="15.95" hidden="1" customHeight="1" x14ac:dyDescent="0.25">
      <c r="A938" s="957">
        <f t="shared" ca="1" si="31"/>
        <v>0</v>
      </c>
      <c r="BG938" s="4"/>
      <c r="BH938" s="5"/>
      <c r="BI938" s="5" t="str">
        <f ca="1">IF('Rent Roll'!$AC48=1,'Rent Roll'!E48,"")</f>
        <v/>
      </c>
      <c r="BJ938" s="39" t="str">
        <f ca="1">IF('Rent Roll'!$AC48=1,'Rent Roll'!G48,"")</f>
        <v/>
      </c>
      <c r="BK938" s="1547" t="str">
        <f ca="1">IF('Rent Roll'!$AC48=1,'Rent Roll'!K48,"")</f>
        <v/>
      </c>
      <c r="BL938" s="1551" t="str">
        <f ca="1">IF('Rent Roll'!$AC48=1,'Rent Roll'!N48,"")</f>
        <v/>
      </c>
      <c r="BM938" s="223"/>
      <c r="BN938" s="6"/>
      <c r="BO938" s="32"/>
      <c r="BP938" s="342"/>
      <c r="BQ938" s="343"/>
      <c r="BR938" s="342"/>
      <c r="BS938" s="343"/>
      <c r="BT938" s="32"/>
      <c r="BU938" s="187"/>
      <c r="BV938" s="187"/>
    </row>
    <row r="939" spans="1:74" ht="15.95" hidden="1" customHeight="1" x14ac:dyDescent="0.25">
      <c r="A939" s="957">
        <f t="shared" ca="1" si="31"/>
        <v>0</v>
      </c>
      <c r="BG939" s="4"/>
      <c r="BH939" s="5"/>
      <c r="BI939" s="5" t="str">
        <f ca="1">IF('Rent Roll'!$AC49=1,'Rent Roll'!E49,"")</f>
        <v/>
      </c>
      <c r="BJ939" s="39" t="str">
        <f ca="1">IF('Rent Roll'!$AC49=1,'Rent Roll'!G49,"")</f>
        <v/>
      </c>
      <c r="BK939" s="1547" t="str">
        <f ca="1">IF('Rent Roll'!$AC49=1,'Rent Roll'!K49,"")</f>
        <v/>
      </c>
      <c r="BL939" s="1551" t="str">
        <f ca="1">IF('Rent Roll'!$AC49=1,'Rent Roll'!N49,"")</f>
        <v/>
      </c>
      <c r="BM939" s="223"/>
      <c r="BN939" s="6"/>
      <c r="BO939" s="32"/>
      <c r="BP939" s="342"/>
      <c r="BQ939" s="343"/>
      <c r="BR939" s="342"/>
      <c r="BS939" s="343"/>
      <c r="BT939" s="32"/>
      <c r="BU939" s="187"/>
      <c r="BV939" s="187"/>
    </row>
    <row r="940" spans="1:74" ht="15.95" hidden="1" customHeight="1" x14ac:dyDescent="0.25">
      <c r="A940" s="957">
        <f t="shared" ca="1" si="31"/>
        <v>0</v>
      </c>
      <c r="BG940" s="4"/>
      <c r="BH940" s="5"/>
      <c r="BI940" s="5" t="str">
        <f ca="1">IF('Rent Roll'!$AC50=1,'Rent Roll'!E50,"")</f>
        <v/>
      </c>
      <c r="BJ940" s="39" t="str">
        <f ca="1">IF('Rent Roll'!$AC50=1,'Rent Roll'!G50,"")</f>
        <v/>
      </c>
      <c r="BK940" s="1547" t="str">
        <f ca="1">IF('Rent Roll'!$AC50=1,'Rent Roll'!K50,"")</f>
        <v/>
      </c>
      <c r="BL940" s="1551" t="str">
        <f ca="1">IF('Rent Roll'!$AC50=1,'Rent Roll'!N50,"")</f>
        <v/>
      </c>
      <c r="BM940" s="223"/>
      <c r="BN940" s="6"/>
      <c r="BO940" s="32"/>
      <c r="BP940" s="342"/>
      <c r="BQ940" s="343"/>
      <c r="BR940" s="342"/>
      <c r="BS940" s="343"/>
      <c r="BT940" s="32"/>
      <c r="BU940" s="187"/>
      <c r="BV940" s="187"/>
    </row>
    <row r="941" spans="1:74" ht="15.95" hidden="1" customHeight="1" x14ac:dyDescent="0.25">
      <c r="A941" s="957">
        <f t="shared" ca="1" si="31"/>
        <v>0</v>
      </c>
      <c r="BG941" s="4"/>
      <c r="BH941" s="5"/>
      <c r="BI941" s="5" t="str">
        <f ca="1">IF('Rent Roll'!$AC51=1,'Rent Roll'!E51,"")</f>
        <v/>
      </c>
      <c r="BJ941" s="39" t="str">
        <f ca="1">IF('Rent Roll'!$AC51=1,'Rent Roll'!G51,"")</f>
        <v/>
      </c>
      <c r="BK941" s="1547" t="str">
        <f ca="1">IF('Rent Roll'!$AC51=1,'Rent Roll'!K51,"")</f>
        <v/>
      </c>
      <c r="BL941" s="1551" t="str">
        <f ca="1">IF('Rent Roll'!$AC51=1,'Rent Roll'!N51,"")</f>
        <v/>
      </c>
      <c r="BM941" s="223"/>
      <c r="BN941" s="6"/>
      <c r="BO941" s="32"/>
      <c r="BP941" s="342"/>
      <c r="BQ941" s="343"/>
      <c r="BR941" s="342"/>
      <c r="BS941" s="343"/>
      <c r="BT941" s="32"/>
      <c r="BU941" s="187"/>
      <c r="BV941" s="187"/>
    </row>
    <row r="942" spans="1:74" ht="15.95" hidden="1" customHeight="1" x14ac:dyDescent="0.25">
      <c r="A942" s="957">
        <f t="shared" ca="1" si="31"/>
        <v>0</v>
      </c>
      <c r="BG942" s="4"/>
      <c r="BH942" s="5"/>
      <c r="BI942" s="5" t="str">
        <f ca="1">IF('Rent Roll'!$AC52=1,'Rent Roll'!E52,"")</f>
        <v/>
      </c>
      <c r="BJ942" s="39" t="str">
        <f ca="1">IF('Rent Roll'!$AC52=1,'Rent Roll'!G52,"")</f>
        <v/>
      </c>
      <c r="BK942" s="1547" t="str">
        <f ca="1">IF('Rent Roll'!$AC52=1,'Rent Roll'!K52,"")</f>
        <v/>
      </c>
      <c r="BL942" s="1551" t="str">
        <f ca="1">IF('Rent Roll'!$AC52=1,'Rent Roll'!N52,"")</f>
        <v/>
      </c>
      <c r="BM942" s="223"/>
      <c r="BN942" s="6"/>
      <c r="BO942" s="32"/>
      <c r="BP942" s="342"/>
      <c r="BQ942" s="343"/>
      <c r="BR942" s="342"/>
      <c r="BS942" s="343"/>
      <c r="BT942" s="32"/>
      <c r="BU942" s="187"/>
      <c r="BV942" s="187"/>
    </row>
    <row r="943" spans="1:74" ht="15.95" hidden="1" customHeight="1" x14ac:dyDescent="0.25">
      <c r="A943" s="957">
        <f t="shared" ca="1" si="31"/>
        <v>0</v>
      </c>
      <c r="BG943" s="4"/>
      <c r="BH943" s="5"/>
      <c r="BI943" s="5" t="str">
        <f ca="1">IF('Rent Roll'!$AC53=1,'Rent Roll'!E53,"")</f>
        <v/>
      </c>
      <c r="BJ943" s="39" t="str">
        <f ca="1">IF('Rent Roll'!$AC53=1,'Rent Roll'!G53,"")</f>
        <v/>
      </c>
      <c r="BK943" s="1547" t="str">
        <f ca="1">IF('Rent Roll'!$AC53=1,'Rent Roll'!K53,"")</f>
        <v/>
      </c>
      <c r="BL943" s="1551" t="str">
        <f ca="1">IF('Rent Roll'!$AC53=1,'Rent Roll'!N53,"")</f>
        <v/>
      </c>
      <c r="BM943" s="223"/>
      <c r="BN943" s="6"/>
      <c r="BO943" s="32"/>
      <c r="BP943" s="342"/>
      <c r="BQ943" s="343"/>
      <c r="BR943" s="342"/>
      <c r="BS943" s="343"/>
      <c r="BT943" s="32"/>
      <c r="BU943" s="187"/>
      <c r="BV943" s="187"/>
    </row>
    <row r="944" spans="1:74" ht="15.95" hidden="1" customHeight="1" x14ac:dyDescent="0.25">
      <c r="A944" s="957">
        <f t="shared" ca="1" si="31"/>
        <v>0</v>
      </c>
      <c r="BG944" s="4"/>
      <c r="BH944" s="5"/>
      <c r="BI944" s="5" t="str">
        <f ca="1">IF('Rent Roll'!$AC54=1,'Rent Roll'!E54,"")</f>
        <v/>
      </c>
      <c r="BJ944" s="39" t="str">
        <f ca="1">IF('Rent Roll'!$AC54=1,'Rent Roll'!G54,"")</f>
        <v/>
      </c>
      <c r="BK944" s="1547" t="str">
        <f ca="1">IF('Rent Roll'!$AC54=1,'Rent Roll'!K54,"")</f>
        <v/>
      </c>
      <c r="BL944" s="1551" t="str">
        <f ca="1">IF('Rent Roll'!$AC54=1,'Rent Roll'!N54,"")</f>
        <v/>
      </c>
      <c r="BM944" s="223"/>
      <c r="BN944" s="6"/>
      <c r="BO944" s="32"/>
      <c r="BP944" s="342"/>
      <c r="BQ944" s="343"/>
      <c r="BR944" s="342"/>
      <c r="BS944" s="343"/>
      <c r="BT944" s="32"/>
      <c r="BU944" s="187"/>
      <c r="BV944" s="187"/>
    </row>
    <row r="945" spans="1:74" ht="15.95" hidden="1" customHeight="1" x14ac:dyDescent="0.25">
      <c r="A945" s="957">
        <f t="shared" ca="1" si="31"/>
        <v>0</v>
      </c>
      <c r="BG945" s="4"/>
      <c r="BH945" s="5"/>
      <c r="BI945" s="5" t="str">
        <f ca="1">IF('Rent Roll'!$AC55=1,'Rent Roll'!E55,"")</f>
        <v/>
      </c>
      <c r="BJ945" s="39" t="str">
        <f ca="1">IF('Rent Roll'!$AC55=1,'Rent Roll'!G55,"")</f>
        <v/>
      </c>
      <c r="BK945" s="1547" t="str">
        <f ca="1">IF('Rent Roll'!$AC55=1,'Rent Roll'!K55,"")</f>
        <v/>
      </c>
      <c r="BL945" s="1551" t="str">
        <f ca="1">IF('Rent Roll'!$AC55=1,'Rent Roll'!N55,"")</f>
        <v/>
      </c>
      <c r="BM945" s="223"/>
      <c r="BN945" s="6"/>
      <c r="BO945" s="32"/>
      <c r="BP945" s="342"/>
      <c r="BQ945" s="343"/>
      <c r="BR945" s="342"/>
      <c r="BS945" s="343"/>
      <c r="BT945" s="32"/>
      <c r="BU945" s="187"/>
      <c r="BV945" s="187"/>
    </row>
    <row r="946" spans="1:74" ht="15.95" hidden="1" customHeight="1" x14ac:dyDescent="0.25">
      <c r="A946" s="957">
        <f t="shared" ca="1" si="31"/>
        <v>0</v>
      </c>
      <c r="BG946" s="4"/>
      <c r="BH946" s="5"/>
      <c r="BI946" s="5" t="str">
        <f ca="1">IF('Rent Roll'!$AC56=1,'Rent Roll'!E56,"")</f>
        <v/>
      </c>
      <c r="BJ946" s="39" t="str">
        <f ca="1">IF('Rent Roll'!$AC56=1,'Rent Roll'!G56,"")</f>
        <v/>
      </c>
      <c r="BK946" s="1547" t="str">
        <f ca="1">IF('Rent Roll'!$AC56=1,'Rent Roll'!K56,"")</f>
        <v/>
      </c>
      <c r="BL946" s="1551" t="str">
        <f ca="1">IF('Rent Roll'!$AC56=1,'Rent Roll'!N56,"")</f>
        <v/>
      </c>
      <c r="BM946" s="223"/>
      <c r="BN946" s="6"/>
      <c r="BO946" s="32"/>
      <c r="BP946" s="342"/>
      <c r="BQ946" s="343"/>
      <c r="BR946" s="342"/>
      <c r="BS946" s="343"/>
      <c r="BT946" s="32"/>
      <c r="BU946" s="187"/>
      <c r="BV946" s="187"/>
    </row>
    <row r="947" spans="1:74" ht="15.95" hidden="1" customHeight="1" x14ac:dyDescent="0.25">
      <c r="A947" s="957">
        <f t="shared" ca="1" si="31"/>
        <v>0</v>
      </c>
      <c r="BG947" s="4"/>
      <c r="BH947" s="5"/>
      <c r="BI947" s="5" t="str">
        <f ca="1">IF('Rent Roll'!$AC57=1,'Rent Roll'!E57,"")</f>
        <v/>
      </c>
      <c r="BJ947" s="39" t="str">
        <f ca="1">IF('Rent Roll'!$AC57=1,'Rent Roll'!G57,"")</f>
        <v/>
      </c>
      <c r="BK947" s="1547" t="str">
        <f ca="1">IF('Rent Roll'!$AC57=1,'Rent Roll'!K57,"")</f>
        <v/>
      </c>
      <c r="BL947" s="1551" t="str">
        <f ca="1">IF('Rent Roll'!$AC57=1,'Rent Roll'!N57,"")</f>
        <v/>
      </c>
      <c r="BM947" s="223"/>
      <c r="BN947" s="6"/>
      <c r="BO947" s="32"/>
      <c r="BP947" s="342"/>
      <c r="BQ947" s="343"/>
      <c r="BR947" s="342"/>
      <c r="BS947" s="343"/>
      <c r="BT947" s="32"/>
      <c r="BU947" s="187"/>
      <c r="BV947" s="187"/>
    </row>
    <row r="948" spans="1:74" ht="15.95" hidden="1" customHeight="1" x14ac:dyDescent="0.25">
      <c r="A948" s="957">
        <f t="shared" ca="1" si="31"/>
        <v>0</v>
      </c>
      <c r="BG948" s="4"/>
      <c r="BH948" s="5"/>
      <c r="BI948" s="5" t="str">
        <f ca="1">IF('Rent Roll'!$AC58=1,'Rent Roll'!E58,"")</f>
        <v/>
      </c>
      <c r="BJ948" s="39" t="str">
        <f ca="1">IF('Rent Roll'!$AC58=1,'Rent Roll'!G58,"")</f>
        <v/>
      </c>
      <c r="BK948" s="1547" t="str">
        <f ca="1">IF('Rent Roll'!$AC58=1,'Rent Roll'!K58,"")</f>
        <v/>
      </c>
      <c r="BL948" s="1551" t="str">
        <f ca="1">IF('Rent Roll'!$AC58=1,'Rent Roll'!N58,"")</f>
        <v/>
      </c>
      <c r="BM948" s="223"/>
      <c r="BN948" s="6"/>
      <c r="BO948" s="32"/>
      <c r="BP948" s="342"/>
      <c r="BQ948" s="343"/>
      <c r="BR948" s="342"/>
      <c r="BS948" s="343"/>
      <c r="BT948" s="32"/>
      <c r="BU948" s="187"/>
      <c r="BV948" s="187"/>
    </row>
    <row r="949" spans="1:74" ht="15.95" hidden="1" customHeight="1" x14ac:dyDescent="0.25">
      <c r="A949" s="957">
        <f t="shared" ca="1" si="31"/>
        <v>0</v>
      </c>
      <c r="BG949" s="4"/>
      <c r="BH949" s="5"/>
      <c r="BI949" s="5" t="str">
        <f ca="1">IF('Rent Roll'!$AC59=1,'Rent Roll'!E59,"")</f>
        <v/>
      </c>
      <c r="BJ949" s="39" t="str">
        <f ca="1">IF('Rent Roll'!$AC59=1,'Rent Roll'!G59,"")</f>
        <v/>
      </c>
      <c r="BK949" s="1547" t="str">
        <f ca="1">IF('Rent Roll'!$AC59=1,'Rent Roll'!K59,"")</f>
        <v/>
      </c>
      <c r="BL949" s="1551" t="str">
        <f ca="1">IF('Rent Roll'!$AC59=1,'Rent Roll'!N59,"")</f>
        <v/>
      </c>
      <c r="BM949" s="223"/>
      <c r="BN949" s="6"/>
      <c r="BO949" s="32"/>
      <c r="BP949" s="342"/>
      <c r="BQ949" s="343"/>
      <c r="BR949" s="342"/>
      <c r="BS949" s="343"/>
      <c r="BT949" s="32"/>
      <c r="BU949" s="187"/>
      <c r="BV949" s="187"/>
    </row>
    <row r="950" spans="1:74" ht="15.95" hidden="1" customHeight="1" x14ac:dyDescent="0.25">
      <c r="A950" s="957">
        <f t="shared" ca="1" si="31"/>
        <v>0</v>
      </c>
      <c r="BG950" s="4"/>
      <c r="BH950" s="5"/>
      <c r="BI950" s="5" t="str">
        <f ca="1">IF('Rent Roll'!$AC60=1,'Rent Roll'!E60,"")</f>
        <v/>
      </c>
      <c r="BJ950" s="39" t="str">
        <f ca="1">IF('Rent Roll'!$AC60=1,'Rent Roll'!G60,"")</f>
        <v/>
      </c>
      <c r="BK950" s="1547" t="str">
        <f ca="1">IF('Rent Roll'!$AC60=1,'Rent Roll'!K60,"")</f>
        <v/>
      </c>
      <c r="BL950" s="1551" t="str">
        <f ca="1">IF('Rent Roll'!$AC60=1,'Rent Roll'!N60,"")</f>
        <v/>
      </c>
      <c r="BM950" s="223"/>
      <c r="BN950" s="6"/>
      <c r="BO950" s="32"/>
      <c r="BP950" s="342"/>
      <c r="BQ950" s="343"/>
      <c r="BR950" s="342"/>
      <c r="BS950" s="343"/>
      <c r="BT950" s="32"/>
      <c r="BU950" s="187"/>
      <c r="BV950" s="187"/>
    </row>
    <row r="951" spans="1:74" ht="15.95" hidden="1" customHeight="1" x14ac:dyDescent="0.25">
      <c r="A951" s="957">
        <f t="shared" ca="1" si="31"/>
        <v>0</v>
      </c>
      <c r="BG951" s="4"/>
      <c r="BH951" s="5"/>
      <c r="BI951" s="5" t="str">
        <f ca="1">IF('Rent Roll'!$AC61=1,'Rent Roll'!E61,"")</f>
        <v/>
      </c>
      <c r="BJ951" s="39" t="str">
        <f ca="1">IF('Rent Roll'!$AC61=1,'Rent Roll'!G61,"")</f>
        <v/>
      </c>
      <c r="BK951" s="1547" t="str">
        <f ca="1">IF('Rent Roll'!$AC61=1,'Rent Roll'!K61,"")</f>
        <v/>
      </c>
      <c r="BL951" s="1551" t="str">
        <f ca="1">IF('Rent Roll'!$AC61=1,'Rent Roll'!N61,"")</f>
        <v/>
      </c>
      <c r="BM951" s="223"/>
      <c r="BN951" s="6"/>
      <c r="BO951" s="32"/>
      <c r="BP951" s="342"/>
      <c r="BQ951" s="343"/>
      <c r="BR951" s="342"/>
      <c r="BS951" s="343"/>
      <c r="BT951" s="32"/>
      <c r="BU951" s="187"/>
      <c r="BV951" s="187"/>
    </row>
    <row r="952" spans="1:74" ht="15.95" hidden="1" customHeight="1" x14ac:dyDescent="0.25">
      <c r="A952" s="957">
        <f t="shared" ca="1" si="31"/>
        <v>0</v>
      </c>
      <c r="BG952" s="4"/>
      <c r="BH952" s="5"/>
      <c r="BI952" s="5" t="str">
        <f ca="1">IF('Rent Roll'!$AC62=1,'Rent Roll'!E62,"")</f>
        <v/>
      </c>
      <c r="BJ952" s="39" t="str">
        <f ca="1">IF('Rent Roll'!$AC62=1,'Rent Roll'!G62,"")</f>
        <v/>
      </c>
      <c r="BK952" s="1547" t="str">
        <f ca="1">IF('Rent Roll'!$AC62=1,'Rent Roll'!K62,"")</f>
        <v/>
      </c>
      <c r="BL952" s="1551" t="str">
        <f ca="1">IF('Rent Roll'!$AC62=1,'Rent Roll'!N62,"")</f>
        <v/>
      </c>
      <c r="BM952" s="223"/>
      <c r="BN952" s="6"/>
      <c r="BO952" s="32"/>
      <c r="BP952" s="342"/>
      <c r="BQ952" s="343"/>
      <c r="BR952" s="342"/>
      <c r="BS952" s="343"/>
      <c r="BT952" s="32"/>
      <c r="BU952" s="187"/>
      <c r="BV952" s="187"/>
    </row>
    <row r="953" spans="1:74" ht="15.95" hidden="1" customHeight="1" x14ac:dyDescent="0.25">
      <c r="A953" s="957">
        <f t="shared" ca="1" si="31"/>
        <v>0</v>
      </c>
      <c r="BG953" s="4"/>
      <c r="BH953" s="5"/>
      <c r="BI953" s="5" t="str">
        <f ca="1">IF('Rent Roll'!$AC63=1,'Rent Roll'!E63,"")</f>
        <v/>
      </c>
      <c r="BJ953" s="39" t="str">
        <f ca="1">IF('Rent Roll'!$AC63=1,'Rent Roll'!G63,"")</f>
        <v/>
      </c>
      <c r="BK953" s="1547" t="str">
        <f ca="1">IF('Rent Roll'!$AC63=1,'Rent Roll'!K63,"")</f>
        <v/>
      </c>
      <c r="BL953" s="1551" t="str">
        <f ca="1">IF('Rent Roll'!$AC63=1,'Rent Roll'!N63,"")</f>
        <v/>
      </c>
      <c r="BM953" s="223"/>
      <c r="BN953" s="6"/>
      <c r="BO953" s="32"/>
      <c r="BP953" s="342"/>
      <c r="BQ953" s="343"/>
      <c r="BR953" s="342"/>
      <c r="BS953" s="343"/>
      <c r="BT953" s="32"/>
      <c r="BU953" s="187"/>
      <c r="BV953" s="187"/>
    </row>
    <row r="954" spans="1:74" ht="15.95" hidden="1" customHeight="1" x14ac:dyDescent="0.25">
      <c r="A954" s="957">
        <f t="shared" ca="1" si="31"/>
        <v>0</v>
      </c>
      <c r="BG954" s="4"/>
      <c r="BH954" s="5"/>
      <c r="BI954" s="5" t="str">
        <f ca="1">IF('Rent Roll'!$AC64=1,'Rent Roll'!E64,"")</f>
        <v/>
      </c>
      <c r="BJ954" s="39" t="str">
        <f ca="1">IF('Rent Roll'!$AC64=1,'Rent Roll'!G64,"")</f>
        <v/>
      </c>
      <c r="BK954" s="1547" t="str">
        <f ca="1">IF('Rent Roll'!$AC64=1,'Rent Roll'!K64,"")</f>
        <v/>
      </c>
      <c r="BL954" s="1551" t="str">
        <f ca="1">IF('Rent Roll'!$AC64=1,'Rent Roll'!N64,"")</f>
        <v/>
      </c>
      <c r="BM954" s="223"/>
      <c r="BN954" s="6"/>
      <c r="BO954" s="32"/>
      <c r="BP954" s="342"/>
      <c r="BQ954" s="343"/>
      <c r="BR954" s="342"/>
      <c r="BS954" s="343"/>
      <c r="BT954" s="32"/>
      <c r="BU954" s="187"/>
      <c r="BV954" s="187"/>
    </row>
    <row r="955" spans="1:74" ht="15.95" hidden="1" customHeight="1" x14ac:dyDescent="0.25">
      <c r="A955" s="957">
        <f t="shared" ca="1" si="31"/>
        <v>0</v>
      </c>
      <c r="BG955" s="4"/>
      <c r="BH955" s="5"/>
      <c r="BI955" s="5" t="str">
        <f ca="1">IF('Rent Roll'!$AC65=1,'Rent Roll'!E65,"")</f>
        <v/>
      </c>
      <c r="BJ955" s="39" t="str">
        <f ca="1">IF('Rent Roll'!$AC65=1,'Rent Roll'!G65,"")</f>
        <v/>
      </c>
      <c r="BK955" s="1547" t="str">
        <f ca="1">IF('Rent Roll'!$AC65=1,'Rent Roll'!K65,"")</f>
        <v/>
      </c>
      <c r="BL955" s="1551" t="str">
        <f ca="1">IF('Rent Roll'!$AC65=1,'Rent Roll'!N65,"")</f>
        <v/>
      </c>
      <c r="BM955" s="223"/>
      <c r="BN955" s="6"/>
      <c r="BO955" s="32"/>
      <c r="BP955" s="342"/>
      <c r="BQ955" s="343"/>
      <c r="BR955" s="342"/>
      <c r="BS955" s="343"/>
      <c r="BT955" s="32"/>
      <c r="BU955" s="187"/>
      <c r="BV955" s="187"/>
    </row>
    <row r="956" spans="1:74" ht="15.95" hidden="1" customHeight="1" x14ac:dyDescent="0.25">
      <c r="A956" s="957">
        <f t="shared" ca="1" si="31"/>
        <v>0</v>
      </c>
      <c r="BG956" s="4"/>
      <c r="BH956" s="5"/>
      <c r="BI956" s="5" t="str">
        <f ca="1">IF('Rent Roll'!$AC66=1,'Rent Roll'!E66,"")</f>
        <v/>
      </c>
      <c r="BJ956" s="39" t="str">
        <f ca="1">IF('Rent Roll'!$AC66=1,'Rent Roll'!G66,"")</f>
        <v/>
      </c>
      <c r="BK956" s="1547" t="str">
        <f ca="1">IF('Rent Roll'!$AC66=1,'Rent Roll'!K66,"")</f>
        <v/>
      </c>
      <c r="BL956" s="1551" t="str">
        <f ca="1">IF('Rent Roll'!$AC66=1,'Rent Roll'!N66,"")</f>
        <v/>
      </c>
      <c r="BM956" s="223"/>
      <c r="BN956" s="6"/>
      <c r="BO956" s="32"/>
      <c r="BP956" s="342"/>
      <c r="BQ956" s="343"/>
      <c r="BR956" s="342"/>
      <c r="BS956" s="343"/>
      <c r="BT956" s="32"/>
      <c r="BU956" s="187"/>
      <c r="BV956" s="187"/>
    </row>
    <row r="957" spans="1:74" ht="15.95" hidden="1" customHeight="1" x14ac:dyDescent="0.25">
      <c r="A957" s="957">
        <f t="shared" ca="1" si="31"/>
        <v>0</v>
      </c>
      <c r="BG957" s="4"/>
      <c r="BH957" s="5"/>
      <c r="BI957" s="5" t="str">
        <f ca="1">IF('Rent Roll'!$AC67=1,'Rent Roll'!E67,"")</f>
        <v/>
      </c>
      <c r="BJ957" s="39" t="str">
        <f ca="1">IF('Rent Roll'!$AC67=1,'Rent Roll'!G67,"")</f>
        <v/>
      </c>
      <c r="BK957" s="1547" t="str">
        <f ca="1">IF('Rent Roll'!$AC67=1,'Rent Roll'!K67,"")</f>
        <v/>
      </c>
      <c r="BL957" s="1551" t="str">
        <f ca="1">IF('Rent Roll'!$AC67=1,'Rent Roll'!N67,"")</f>
        <v/>
      </c>
      <c r="BM957" s="223"/>
      <c r="BN957" s="6"/>
      <c r="BO957" s="32"/>
      <c r="BP957" s="342"/>
      <c r="BQ957" s="343"/>
      <c r="BR957" s="342"/>
      <c r="BS957" s="343"/>
      <c r="BT957" s="32"/>
      <c r="BU957" s="187"/>
      <c r="BV957" s="187"/>
    </row>
    <row r="958" spans="1:74" ht="15.95" hidden="1" customHeight="1" x14ac:dyDescent="0.25">
      <c r="A958" s="957">
        <f t="shared" ca="1" si="31"/>
        <v>0</v>
      </c>
      <c r="BG958" s="4"/>
      <c r="BH958" s="5"/>
      <c r="BI958" s="5" t="str">
        <f ca="1">IF('Rent Roll'!$AC68=1,'Rent Roll'!E68,"")</f>
        <v/>
      </c>
      <c r="BJ958" s="39" t="str">
        <f ca="1">IF('Rent Roll'!$AC68=1,'Rent Roll'!G68,"")</f>
        <v/>
      </c>
      <c r="BK958" s="1547" t="str">
        <f ca="1">IF('Rent Roll'!$AC68=1,'Rent Roll'!K68,"")</f>
        <v/>
      </c>
      <c r="BL958" s="1551" t="str">
        <f ca="1">IF('Rent Roll'!$AC68=1,'Rent Roll'!N68,"")</f>
        <v/>
      </c>
      <c r="BM958" s="223"/>
      <c r="BN958" s="6"/>
      <c r="BO958" s="32"/>
      <c r="BP958" s="342"/>
      <c r="BQ958" s="343"/>
      <c r="BR958" s="342"/>
      <c r="BS958" s="343"/>
      <c r="BT958" s="32"/>
      <c r="BU958" s="187"/>
      <c r="BV958" s="187"/>
    </row>
    <row r="959" spans="1:74" ht="15.95" hidden="1" customHeight="1" x14ac:dyDescent="0.25">
      <c r="A959" s="957">
        <f t="shared" ca="1" si="31"/>
        <v>0</v>
      </c>
      <c r="BG959" s="4"/>
      <c r="BH959" s="5"/>
      <c r="BI959" s="5" t="str">
        <f ca="1">IF('Rent Roll'!$AC69=1,'Rent Roll'!E69,"")</f>
        <v/>
      </c>
      <c r="BJ959" s="39" t="str">
        <f ca="1">IF('Rent Roll'!$AC69=1,'Rent Roll'!G69,"")</f>
        <v/>
      </c>
      <c r="BK959" s="1547" t="str">
        <f ca="1">IF('Rent Roll'!$AC69=1,'Rent Roll'!K69,"")</f>
        <v/>
      </c>
      <c r="BL959" s="1551" t="str">
        <f ca="1">IF('Rent Roll'!$AC69=1,'Rent Roll'!N69,"")</f>
        <v/>
      </c>
      <c r="BM959" s="223"/>
      <c r="BN959" s="6"/>
      <c r="BO959" s="32"/>
      <c r="BP959" s="342"/>
      <c r="BQ959" s="343"/>
      <c r="BR959" s="342"/>
      <c r="BS959" s="343"/>
      <c r="BT959" s="32"/>
      <c r="BU959" s="187"/>
      <c r="BV959" s="187"/>
    </row>
    <row r="960" spans="1:74" ht="15.95" hidden="1" customHeight="1" x14ac:dyDescent="0.25">
      <c r="A960" s="957">
        <f t="shared" ca="1" si="31"/>
        <v>0</v>
      </c>
      <c r="BG960" s="4"/>
      <c r="BH960" s="5"/>
      <c r="BI960" s="5" t="str">
        <f ca="1">IF('Rent Roll'!$AC70=1,'Rent Roll'!E70,"")</f>
        <v/>
      </c>
      <c r="BJ960" s="39" t="str">
        <f ca="1">IF('Rent Roll'!$AC70=1,'Rent Roll'!G70,"")</f>
        <v/>
      </c>
      <c r="BK960" s="1547" t="str">
        <f ca="1">IF('Rent Roll'!$AC70=1,'Rent Roll'!K70,"")</f>
        <v/>
      </c>
      <c r="BL960" s="1551" t="str">
        <f ca="1">IF('Rent Roll'!$AC70=1,'Rent Roll'!N70,"")</f>
        <v/>
      </c>
      <c r="BM960" s="223"/>
      <c r="BN960" s="6"/>
      <c r="BO960" s="32"/>
      <c r="BP960" s="342"/>
      <c r="BQ960" s="343"/>
      <c r="BR960" s="342"/>
      <c r="BS960" s="343"/>
      <c r="BT960" s="32"/>
      <c r="BU960" s="187"/>
      <c r="BV960" s="187"/>
    </row>
    <row r="961" spans="1:74" ht="15.95" hidden="1" customHeight="1" x14ac:dyDescent="0.25">
      <c r="A961" s="957">
        <f t="shared" ref="A961:A992" ca="1" si="32">IF(BI961="",0,1)</f>
        <v>0</v>
      </c>
      <c r="BG961" s="4"/>
      <c r="BH961" s="5"/>
      <c r="BI961" s="5" t="str">
        <f ca="1">IF('Rent Roll'!$AC71=1,'Rent Roll'!E71,"")</f>
        <v/>
      </c>
      <c r="BJ961" s="39" t="str">
        <f ca="1">IF('Rent Roll'!$AC71=1,'Rent Roll'!G71,"")</f>
        <v/>
      </c>
      <c r="BK961" s="1547" t="str">
        <f ca="1">IF('Rent Roll'!$AC71=1,'Rent Roll'!K71,"")</f>
        <v/>
      </c>
      <c r="BL961" s="1551" t="str">
        <f ca="1">IF('Rent Roll'!$AC71=1,'Rent Roll'!N71,"")</f>
        <v/>
      </c>
      <c r="BM961" s="223"/>
      <c r="BN961" s="6"/>
      <c r="BO961" s="32"/>
      <c r="BP961" s="342"/>
      <c r="BQ961" s="343"/>
      <c r="BR961" s="342"/>
      <c r="BS961" s="343"/>
      <c r="BT961" s="32"/>
      <c r="BU961" s="187"/>
      <c r="BV961" s="187"/>
    </row>
    <row r="962" spans="1:74" ht="15.95" hidden="1" customHeight="1" x14ac:dyDescent="0.25">
      <c r="A962" s="957">
        <f t="shared" ca="1" si="32"/>
        <v>0</v>
      </c>
      <c r="BG962" s="4"/>
      <c r="BH962" s="5"/>
      <c r="BI962" s="5" t="str">
        <f ca="1">IF('Rent Roll'!$AC72=1,'Rent Roll'!E72,"")</f>
        <v/>
      </c>
      <c r="BJ962" s="39" t="str">
        <f ca="1">IF('Rent Roll'!$AC72=1,'Rent Roll'!G72,"")</f>
        <v/>
      </c>
      <c r="BK962" s="1547" t="str">
        <f ca="1">IF('Rent Roll'!$AC72=1,'Rent Roll'!K72,"")</f>
        <v/>
      </c>
      <c r="BL962" s="1551" t="str">
        <f ca="1">IF('Rent Roll'!$AC72=1,'Rent Roll'!N72,"")</f>
        <v/>
      </c>
      <c r="BM962" s="223"/>
      <c r="BN962" s="6"/>
      <c r="BO962" s="32"/>
      <c r="BP962" s="342"/>
      <c r="BQ962" s="343"/>
      <c r="BR962" s="342"/>
      <c r="BS962" s="343"/>
      <c r="BT962" s="32"/>
      <c r="BU962" s="187"/>
      <c r="BV962" s="187"/>
    </row>
    <row r="963" spans="1:74" ht="15.95" hidden="1" customHeight="1" x14ac:dyDescent="0.25">
      <c r="A963" s="957">
        <f t="shared" ca="1" si="32"/>
        <v>0</v>
      </c>
      <c r="BG963" s="4"/>
      <c r="BH963" s="5"/>
      <c r="BI963" s="5" t="str">
        <f ca="1">IF('Rent Roll'!$AC73=1,'Rent Roll'!E73,"")</f>
        <v/>
      </c>
      <c r="BJ963" s="39" t="str">
        <f ca="1">IF('Rent Roll'!$AC73=1,'Rent Roll'!G73,"")</f>
        <v/>
      </c>
      <c r="BK963" s="1547" t="str">
        <f ca="1">IF('Rent Roll'!$AC73=1,'Rent Roll'!K73,"")</f>
        <v/>
      </c>
      <c r="BL963" s="1551" t="str">
        <f ca="1">IF('Rent Roll'!$AC73=1,'Rent Roll'!N73,"")</f>
        <v/>
      </c>
      <c r="BM963" s="223"/>
      <c r="BN963" s="6"/>
      <c r="BO963" s="32"/>
      <c r="BP963" s="342"/>
      <c r="BQ963" s="343"/>
      <c r="BR963" s="342"/>
      <c r="BS963" s="343"/>
      <c r="BT963" s="32"/>
      <c r="BU963" s="187"/>
      <c r="BV963" s="187"/>
    </row>
    <row r="964" spans="1:74" ht="15.95" hidden="1" customHeight="1" x14ac:dyDescent="0.25">
      <c r="A964" s="957">
        <f t="shared" ca="1" si="32"/>
        <v>0</v>
      </c>
      <c r="BG964" s="4"/>
      <c r="BH964" s="5"/>
      <c r="BI964" s="5" t="str">
        <f ca="1">IF('Rent Roll'!$AC74=1,'Rent Roll'!E74,"")</f>
        <v/>
      </c>
      <c r="BJ964" s="39" t="str">
        <f ca="1">IF('Rent Roll'!$AC74=1,'Rent Roll'!G74,"")</f>
        <v/>
      </c>
      <c r="BK964" s="1547" t="str">
        <f ca="1">IF('Rent Roll'!$AC74=1,'Rent Roll'!K74,"")</f>
        <v/>
      </c>
      <c r="BL964" s="1551" t="str">
        <f ca="1">IF('Rent Roll'!$AC74=1,'Rent Roll'!N74,"")</f>
        <v/>
      </c>
      <c r="BM964" s="223"/>
      <c r="BN964" s="6"/>
      <c r="BO964" s="32"/>
      <c r="BP964" s="342"/>
      <c r="BQ964" s="343"/>
      <c r="BR964" s="342"/>
      <c r="BS964" s="343"/>
      <c r="BT964" s="32"/>
      <c r="BU964" s="187"/>
      <c r="BV964" s="187"/>
    </row>
    <row r="965" spans="1:74" ht="15.95" hidden="1" customHeight="1" x14ac:dyDescent="0.25">
      <c r="A965" s="957">
        <f t="shared" ca="1" si="32"/>
        <v>0</v>
      </c>
      <c r="BG965" s="4"/>
      <c r="BH965" s="5"/>
      <c r="BI965" s="5" t="str">
        <f ca="1">IF('Rent Roll'!$AC75=1,'Rent Roll'!E75,"")</f>
        <v/>
      </c>
      <c r="BJ965" s="39" t="str">
        <f ca="1">IF('Rent Roll'!$AC75=1,'Rent Roll'!G75,"")</f>
        <v/>
      </c>
      <c r="BK965" s="1547" t="str">
        <f ca="1">IF('Rent Roll'!$AC75=1,'Rent Roll'!K75,"")</f>
        <v/>
      </c>
      <c r="BL965" s="1551" t="str">
        <f ca="1">IF('Rent Roll'!$AC75=1,'Rent Roll'!N75,"")</f>
        <v/>
      </c>
      <c r="BM965" s="223"/>
      <c r="BN965" s="6"/>
      <c r="BO965" s="32"/>
      <c r="BP965" s="342"/>
      <c r="BQ965" s="343"/>
      <c r="BR965" s="342"/>
      <c r="BS965" s="343"/>
      <c r="BT965" s="32"/>
      <c r="BU965" s="187"/>
      <c r="BV965" s="187"/>
    </row>
    <row r="966" spans="1:74" ht="15.95" hidden="1" customHeight="1" x14ac:dyDescent="0.25">
      <c r="A966" s="957">
        <f t="shared" ca="1" si="32"/>
        <v>0</v>
      </c>
      <c r="BG966" s="4"/>
      <c r="BH966" s="5"/>
      <c r="BI966" s="5" t="str">
        <f ca="1">IF('Rent Roll'!$AC76=1,'Rent Roll'!E76,"")</f>
        <v/>
      </c>
      <c r="BJ966" s="39" t="str">
        <f ca="1">IF('Rent Roll'!$AC76=1,'Rent Roll'!G76,"")</f>
        <v/>
      </c>
      <c r="BK966" s="1547" t="str">
        <f ca="1">IF('Rent Roll'!$AC76=1,'Rent Roll'!K76,"")</f>
        <v/>
      </c>
      <c r="BL966" s="1551" t="str">
        <f ca="1">IF('Rent Roll'!$AC76=1,'Rent Roll'!N76,"")</f>
        <v/>
      </c>
      <c r="BM966" s="223"/>
      <c r="BN966" s="6"/>
      <c r="BO966" s="32"/>
      <c r="BP966" s="342"/>
      <c r="BQ966" s="343"/>
      <c r="BR966" s="342"/>
      <c r="BS966" s="343"/>
      <c r="BT966" s="32"/>
      <c r="BU966" s="187"/>
      <c r="BV966" s="187"/>
    </row>
    <row r="967" spans="1:74" ht="15.95" hidden="1" customHeight="1" x14ac:dyDescent="0.25">
      <c r="A967" s="957">
        <f t="shared" ca="1" si="32"/>
        <v>0</v>
      </c>
      <c r="BG967" s="4"/>
      <c r="BH967" s="5"/>
      <c r="BI967" s="5" t="str">
        <f ca="1">IF('Rent Roll'!$AC77=1,'Rent Roll'!E77,"")</f>
        <v/>
      </c>
      <c r="BJ967" s="39" t="str">
        <f ca="1">IF('Rent Roll'!$AC77=1,'Rent Roll'!G77,"")</f>
        <v/>
      </c>
      <c r="BK967" s="1547" t="str">
        <f ca="1">IF('Rent Roll'!$AC77=1,'Rent Roll'!K77,"")</f>
        <v/>
      </c>
      <c r="BL967" s="1551" t="str">
        <f ca="1">IF('Rent Roll'!$AC77=1,'Rent Roll'!N77,"")</f>
        <v/>
      </c>
      <c r="BM967" s="223"/>
      <c r="BN967" s="6"/>
      <c r="BO967" s="32"/>
      <c r="BP967" s="342"/>
      <c r="BQ967" s="343"/>
      <c r="BR967" s="342"/>
      <c r="BS967" s="343"/>
      <c r="BT967" s="32"/>
      <c r="BU967" s="187"/>
      <c r="BV967" s="187"/>
    </row>
    <row r="968" spans="1:74" ht="15.95" hidden="1" customHeight="1" x14ac:dyDescent="0.25">
      <c r="A968" s="957">
        <f t="shared" ca="1" si="32"/>
        <v>0</v>
      </c>
      <c r="BG968" s="4"/>
      <c r="BH968" s="5"/>
      <c r="BI968" s="5" t="str">
        <f ca="1">IF('Rent Roll'!$AC78=1,'Rent Roll'!E78,"")</f>
        <v/>
      </c>
      <c r="BJ968" s="39" t="str">
        <f ca="1">IF('Rent Roll'!$AC78=1,'Rent Roll'!G78,"")</f>
        <v/>
      </c>
      <c r="BK968" s="1547" t="str">
        <f ca="1">IF('Rent Roll'!$AC78=1,'Rent Roll'!K78,"")</f>
        <v/>
      </c>
      <c r="BL968" s="1551" t="str">
        <f ca="1">IF('Rent Roll'!$AC78=1,'Rent Roll'!N78,"")</f>
        <v/>
      </c>
      <c r="BM968" s="223"/>
      <c r="BN968" s="6"/>
      <c r="BO968" s="32"/>
      <c r="BP968" s="342"/>
      <c r="BQ968" s="343"/>
      <c r="BR968" s="342"/>
      <c r="BS968" s="343"/>
      <c r="BT968" s="32"/>
      <c r="BU968" s="187"/>
      <c r="BV968" s="187"/>
    </row>
    <row r="969" spans="1:74" ht="15.95" hidden="1" customHeight="1" x14ac:dyDescent="0.25">
      <c r="A969" s="957">
        <f t="shared" ca="1" si="32"/>
        <v>0</v>
      </c>
      <c r="BG969" s="4"/>
      <c r="BH969" s="5"/>
      <c r="BI969" s="5" t="str">
        <f ca="1">IF('Rent Roll'!$AC79=1,'Rent Roll'!E79,"")</f>
        <v/>
      </c>
      <c r="BJ969" s="39" t="str">
        <f ca="1">IF('Rent Roll'!$AC79=1,'Rent Roll'!G79,"")</f>
        <v/>
      </c>
      <c r="BK969" s="1547" t="str">
        <f ca="1">IF('Rent Roll'!$AC79=1,'Rent Roll'!K79,"")</f>
        <v/>
      </c>
      <c r="BL969" s="1551" t="str">
        <f ca="1">IF('Rent Roll'!$AC79=1,'Rent Roll'!N79,"")</f>
        <v/>
      </c>
      <c r="BM969" s="223"/>
      <c r="BN969" s="6"/>
      <c r="BO969" s="32"/>
      <c r="BP969" s="342"/>
      <c r="BQ969" s="343"/>
      <c r="BR969" s="342"/>
      <c r="BS969" s="343"/>
      <c r="BT969" s="32"/>
      <c r="BU969" s="187"/>
      <c r="BV969" s="187"/>
    </row>
    <row r="970" spans="1:74" ht="15.95" hidden="1" customHeight="1" x14ac:dyDescent="0.25">
      <c r="A970" s="957">
        <f t="shared" ca="1" si="32"/>
        <v>0</v>
      </c>
      <c r="BG970" s="4"/>
      <c r="BH970" s="5"/>
      <c r="BI970" s="5" t="str">
        <f ca="1">IF('Rent Roll'!$AC80=1,'Rent Roll'!E80,"")</f>
        <v/>
      </c>
      <c r="BJ970" s="39" t="str">
        <f ca="1">IF('Rent Roll'!$AC80=1,'Rent Roll'!G80,"")</f>
        <v/>
      </c>
      <c r="BK970" s="1547" t="str">
        <f ca="1">IF('Rent Roll'!$AC80=1,'Rent Roll'!K80,"")</f>
        <v/>
      </c>
      <c r="BL970" s="1551" t="str">
        <f ca="1">IF('Rent Roll'!$AC80=1,'Rent Roll'!N80,"")</f>
        <v/>
      </c>
      <c r="BM970" s="223"/>
      <c r="BN970" s="6"/>
      <c r="BO970" s="32"/>
      <c r="BP970" s="342"/>
      <c r="BQ970" s="343"/>
      <c r="BR970" s="342"/>
      <c r="BS970" s="343"/>
      <c r="BT970" s="32"/>
      <c r="BU970" s="187"/>
      <c r="BV970" s="187"/>
    </row>
    <row r="971" spans="1:74" ht="15.95" hidden="1" customHeight="1" x14ac:dyDescent="0.25">
      <c r="A971" s="957">
        <f t="shared" ca="1" si="32"/>
        <v>0</v>
      </c>
      <c r="BG971" s="4"/>
      <c r="BH971" s="5"/>
      <c r="BI971" s="5" t="str">
        <f ca="1">IF('Rent Roll'!$AC81=1,'Rent Roll'!E81,"")</f>
        <v/>
      </c>
      <c r="BJ971" s="39" t="str">
        <f ca="1">IF('Rent Roll'!$AC81=1,'Rent Roll'!G81,"")</f>
        <v/>
      </c>
      <c r="BK971" s="1547" t="str">
        <f ca="1">IF('Rent Roll'!$AC81=1,'Rent Roll'!K81,"")</f>
        <v/>
      </c>
      <c r="BL971" s="1551" t="str">
        <f ca="1">IF('Rent Roll'!$AC81=1,'Rent Roll'!N81,"")</f>
        <v/>
      </c>
      <c r="BM971" s="223"/>
      <c r="BN971" s="6"/>
      <c r="BO971" s="32"/>
      <c r="BP971" s="342"/>
      <c r="BQ971" s="343"/>
      <c r="BR971" s="342"/>
      <c r="BS971" s="343"/>
      <c r="BT971" s="32"/>
      <c r="BU971" s="187"/>
      <c r="BV971" s="187"/>
    </row>
    <row r="972" spans="1:74" ht="15.95" hidden="1" customHeight="1" x14ac:dyDescent="0.25">
      <c r="A972" s="957">
        <f t="shared" ca="1" si="32"/>
        <v>0</v>
      </c>
      <c r="BG972" s="4"/>
      <c r="BH972" s="5"/>
      <c r="BI972" s="5" t="str">
        <f ca="1">IF('Rent Roll'!$AC82=1,'Rent Roll'!E82,"")</f>
        <v/>
      </c>
      <c r="BJ972" s="39" t="str">
        <f ca="1">IF('Rent Roll'!$AC82=1,'Rent Roll'!G82,"")</f>
        <v/>
      </c>
      <c r="BK972" s="1547" t="str">
        <f ca="1">IF('Rent Roll'!$AC82=1,'Rent Roll'!K82,"")</f>
        <v/>
      </c>
      <c r="BL972" s="1551" t="str">
        <f ca="1">IF('Rent Roll'!$AC82=1,'Rent Roll'!N82,"")</f>
        <v/>
      </c>
      <c r="BM972" s="223"/>
      <c r="BN972" s="6"/>
      <c r="BO972" s="32"/>
      <c r="BP972" s="342"/>
      <c r="BQ972" s="343"/>
      <c r="BR972" s="342"/>
      <c r="BS972" s="343"/>
      <c r="BT972" s="32"/>
      <c r="BU972" s="187"/>
      <c r="BV972" s="187"/>
    </row>
    <row r="973" spans="1:74" ht="15.95" hidden="1" customHeight="1" x14ac:dyDescent="0.25">
      <c r="A973" s="957">
        <f t="shared" ca="1" si="32"/>
        <v>0</v>
      </c>
      <c r="BG973" s="4"/>
      <c r="BH973" s="5"/>
      <c r="BI973" s="5" t="str">
        <f ca="1">IF('Rent Roll'!$AC83=1,'Rent Roll'!E83,"")</f>
        <v/>
      </c>
      <c r="BJ973" s="39" t="str">
        <f ca="1">IF('Rent Roll'!$AC83=1,'Rent Roll'!G83,"")</f>
        <v/>
      </c>
      <c r="BK973" s="1547" t="str">
        <f ca="1">IF('Rent Roll'!$AC83=1,'Rent Roll'!K83,"")</f>
        <v/>
      </c>
      <c r="BL973" s="1551" t="str">
        <f ca="1">IF('Rent Roll'!$AC83=1,'Rent Roll'!N83,"")</f>
        <v/>
      </c>
      <c r="BM973" s="223"/>
      <c r="BN973" s="6"/>
      <c r="BO973" s="32"/>
      <c r="BP973" s="342"/>
      <c r="BQ973" s="343"/>
      <c r="BR973" s="342"/>
      <c r="BS973" s="343"/>
      <c r="BT973" s="32"/>
      <c r="BU973" s="187"/>
      <c r="BV973" s="187"/>
    </row>
    <row r="974" spans="1:74" ht="15.95" hidden="1" customHeight="1" x14ac:dyDescent="0.25">
      <c r="A974" s="957">
        <f t="shared" ca="1" si="32"/>
        <v>0</v>
      </c>
      <c r="BG974" s="4"/>
      <c r="BH974" s="5"/>
      <c r="BI974" s="5" t="str">
        <f ca="1">IF('Rent Roll'!$AC84=1,'Rent Roll'!E84,"")</f>
        <v/>
      </c>
      <c r="BJ974" s="39" t="str">
        <f ca="1">IF('Rent Roll'!$AC84=1,'Rent Roll'!G84,"")</f>
        <v/>
      </c>
      <c r="BK974" s="1547" t="str">
        <f ca="1">IF('Rent Roll'!$AC84=1,'Rent Roll'!K84,"")</f>
        <v/>
      </c>
      <c r="BL974" s="1551" t="str">
        <f ca="1">IF('Rent Roll'!$AC84=1,'Rent Roll'!N84,"")</f>
        <v/>
      </c>
      <c r="BM974" s="223"/>
      <c r="BN974" s="6"/>
      <c r="BO974" s="32"/>
      <c r="BP974" s="342"/>
      <c r="BQ974" s="343"/>
      <c r="BR974" s="342"/>
      <c r="BS974" s="343"/>
      <c r="BT974" s="32"/>
      <c r="BU974" s="187"/>
      <c r="BV974" s="187"/>
    </row>
    <row r="975" spans="1:74" ht="15.95" hidden="1" customHeight="1" x14ac:dyDescent="0.25">
      <c r="A975" s="957">
        <f t="shared" ca="1" si="32"/>
        <v>0</v>
      </c>
      <c r="BG975" s="4"/>
      <c r="BH975" s="5"/>
      <c r="BI975" s="5" t="str">
        <f ca="1">IF('Rent Roll'!$AC85=1,'Rent Roll'!E85,"")</f>
        <v/>
      </c>
      <c r="BJ975" s="39" t="str">
        <f ca="1">IF('Rent Roll'!$AC85=1,'Rent Roll'!G85,"")</f>
        <v/>
      </c>
      <c r="BK975" s="1547" t="str">
        <f ca="1">IF('Rent Roll'!$AC85=1,'Rent Roll'!K85,"")</f>
        <v/>
      </c>
      <c r="BL975" s="1551" t="str">
        <f ca="1">IF('Rent Roll'!$AC85=1,'Rent Roll'!N85,"")</f>
        <v/>
      </c>
      <c r="BM975" s="223"/>
      <c r="BN975" s="6"/>
      <c r="BO975" s="32"/>
      <c r="BP975" s="342"/>
      <c r="BQ975" s="343"/>
      <c r="BR975" s="342"/>
      <c r="BS975" s="343"/>
      <c r="BT975" s="32"/>
      <c r="BU975" s="187"/>
      <c r="BV975" s="187"/>
    </row>
    <row r="976" spans="1:74" ht="15.95" hidden="1" customHeight="1" x14ac:dyDescent="0.25">
      <c r="A976" s="957">
        <f t="shared" ca="1" si="32"/>
        <v>0</v>
      </c>
      <c r="BG976" s="4"/>
      <c r="BH976" s="5"/>
      <c r="BI976" s="5" t="str">
        <f ca="1">IF('Rent Roll'!$AC86=1,'Rent Roll'!E86,"")</f>
        <v/>
      </c>
      <c r="BJ976" s="39" t="str">
        <f ca="1">IF('Rent Roll'!$AC86=1,'Rent Roll'!G86,"")</f>
        <v/>
      </c>
      <c r="BK976" s="1547" t="str">
        <f ca="1">IF('Rent Roll'!$AC86=1,'Rent Roll'!K86,"")</f>
        <v/>
      </c>
      <c r="BL976" s="1551" t="str">
        <f ca="1">IF('Rent Roll'!$AC86=1,'Rent Roll'!N86,"")</f>
        <v/>
      </c>
      <c r="BM976" s="223"/>
      <c r="BN976" s="6"/>
      <c r="BO976" s="32"/>
      <c r="BP976" s="342"/>
      <c r="BQ976" s="343"/>
      <c r="BR976" s="342"/>
      <c r="BS976" s="343"/>
      <c r="BT976" s="32"/>
      <c r="BU976" s="187"/>
      <c r="BV976" s="187"/>
    </row>
    <row r="977" spans="1:74" ht="15.95" hidden="1" customHeight="1" x14ac:dyDescent="0.25">
      <c r="A977" s="957">
        <f t="shared" ca="1" si="32"/>
        <v>0</v>
      </c>
      <c r="BG977" s="4"/>
      <c r="BH977" s="5"/>
      <c r="BI977" s="5" t="str">
        <f ca="1">IF('Rent Roll'!$AC87=1,'Rent Roll'!E87,"")</f>
        <v/>
      </c>
      <c r="BJ977" s="39" t="str">
        <f ca="1">IF('Rent Roll'!$AC87=1,'Rent Roll'!G87,"")</f>
        <v/>
      </c>
      <c r="BK977" s="1547" t="str">
        <f ca="1">IF('Rent Roll'!$AC87=1,'Rent Roll'!K87,"")</f>
        <v/>
      </c>
      <c r="BL977" s="1551" t="str">
        <f ca="1">IF('Rent Roll'!$AC87=1,'Rent Roll'!N87,"")</f>
        <v/>
      </c>
      <c r="BM977" s="223"/>
      <c r="BN977" s="6"/>
      <c r="BO977" s="32"/>
      <c r="BP977" s="342"/>
      <c r="BQ977" s="343"/>
      <c r="BR977" s="342"/>
      <c r="BS977" s="343"/>
      <c r="BT977" s="32"/>
      <c r="BU977" s="187"/>
      <c r="BV977" s="187"/>
    </row>
    <row r="978" spans="1:74" ht="15.95" hidden="1" customHeight="1" x14ac:dyDescent="0.25">
      <c r="A978" s="957">
        <f t="shared" ca="1" si="32"/>
        <v>0</v>
      </c>
      <c r="BG978" s="4"/>
      <c r="BH978" s="5"/>
      <c r="BI978" s="5" t="str">
        <f ca="1">IF('Rent Roll'!$AC88=1,'Rent Roll'!E88,"")</f>
        <v/>
      </c>
      <c r="BJ978" s="39" t="str">
        <f ca="1">IF('Rent Roll'!$AC88=1,'Rent Roll'!G88,"")</f>
        <v/>
      </c>
      <c r="BK978" s="1547" t="str">
        <f ca="1">IF('Rent Roll'!$AC88=1,'Rent Roll'!K88,"")</f>
        <v/>
      </c>
      <c r="BL978" s="1551" t="str">
        <f ca="1">IF('Rent Roll'!$AC88=1,'Rent Roll'!N88,"")</f>
        <v/>
      </c>
      <c r="BM978" s="223"/>
      <c r="BN978" s="6"/>
      <c r="BO978" s="32"/>
      <c r="BP978" s="342"/>
      <c r="BQ978" s="343"/>
      <c r="BR978" s="342"/>
      <c r="BS978" s="343"/>
      <c r="BT978" s="32"/>
      <c r="BU978" s="187"/>
      <c r="BV978" s="187"/>
    </row>
    <row r="979" spans="1:74" ht="15.95" hidden="1" customHeight="1" x14ac:dyDescent="0.25">
      <c r="A979" s="957">
        <f t="shared" ca="1" si="32"/>
        <v>0</v>
      </c>
      <c r="BG979" s="4"/>
      <c r="BH979" s="5"/>
      <c r="BI979" s="5" t="str">
        <f ca="1">IF('Rent Roll'!$AC89=1,'Rent Roll'!E89,"")</f>
        <v/>
      </c>
      <c r="BJ979" s="39" t="str">
        <f ca="1">IF('Rent Roll'!$AC89=1,'Rent Roll'!G89,"")</f>
        <v/>
      </c>
      <c r="BK979" s="1547" t="str">
        <f ca="1">IF('Rent Roll'!$AC89=1,'Rent Roll'!K89,"")</f>
        <v/>
      </c>
      <c r="BL979" s="1551" t="str">
        <f ca="1">IF('Rent Roll'!$AC89=1,'Rent Roll'!N89,"")</f>
        <v/>
      </c>
      <c r="BM979" s="223"/>
      <c r="BN979" s="6"/>
      <c r="BO979" s="32"/>
      <c r="BP979" s="342"/>
      <c r="BQ979" s="343"/>
      <c r="BR979" s="342"/>
      <c r="BS979" s="343"/>
      <c r="BT979" s="32"/>
      <c r="BU979" s="187"/>
      <c r="BV979" s="187"/>
    </row>
    <row r="980" spans="1:74" ht="15.95" hidden="1" customHeight="1" x14ac:dyDescent="0.25">
      <c r="A980" s="957">
        <f t="shared" ca="1" si="32"/>
        <v>0</v>
      </c>
      <c r="BG980" s="4"/>
      <c r="BH980" s="5"/>
      <c r="BI980" s="5" t="str">
        <f ca="1">IF('Rent Roll'!$AC90=1,'Rent Roll'!E90,"")</f>
        <v/>
      </c>
      <c r="BJ980" s="39" t="str">
        <f ca="1">IF('Rent Roll'!$AC90=1,'Rent Roll'!G90,"")</f>
        <v/>
      </c>
      <c r="BK980" s="1547" t="str">
        <f ca="1">IF('Rent Roll'!$AC90=1,'Rent Roll'!K90,"")</f>
        <v/>
      </c>
      <c r="BL980" s="1551" t="str">
        <f ca="1">IF('Rent Roll'!$AC90=1,'Rent Roll'!N90,"")</f>
        <v/>
      </c>
      <c r="BM980" s="223"/>
      <c r="BN980" s="6"/>
      <c r="BO980" s="32"/>
      <c r="BP980" s="342"/>
      <c r="BQ980" s="343"/>
      <c r="BR980" s="342"/>
      <c r="BS980" s="343"/>
      <c r="BT980" s="32"/>
      <c r="BU980" s="187"/>
      <c r="BV980" s="187"/>
    </row>
    <row r="981" spans="1:74" ht="15.95" hidden="1" customHeight="1" x14ac:dyDescent="0.25">
      <c r="A981" s="957">
        <f t="shared" ca="1" si="32"/>
        <v>0</v>
      </c>
      <c r="BG981" s="4"/>
      <c r="BH981" s="5"/>
      <c r="BI981" s="5" t="str">
        <f ca="1">IF('Rent Roll'!$AC91=1,'Rent Roll'!E91,"")</f>
        <v/>
      </c>
      <c r="BJ981" s="39" t="str">
        <f ca="1">IF('Rent Roll'!$AC91=1,'Rent Roll'!G91,"")</f>
        <v/>
      </c>
      <c r="BK981" s="1547" t="str">
        <f ca="1">IF('Rent Roll'!$AC91=1,'Rent Roll'!K91,"")</f>
        <v/>
      </c>
      <c r="BL981" s="1551" t="str">
        <f ca="1">IF('Rent Roll'!$AC91=1,'Rent Roll'!N91,"")</f>
        <v/>
      </c>
      <c r="BM981" s="223"/>
      <c r="BN981" s="6"/>
      <c r="BO981" s="32"/>
      <c r="BP981" s="342"/>
      <c r="BQ981" s="343"/>
      <c r="BR981" s="342"/>
      <c r="BS981" s="343"/>
      <c r="BT981" s="32"/>
      <c r="BU981" s="187"/>
      <c r="BV981" s="187"/>
    </row>
    <row r="982" spans="1:74" ht="15.95" hidden="1" customHeight="1" x14ac:dyDescent="0.25">
      <c r="A982" s="957">
        <f t="shared" ca="1" si="32"/>
        <v>0</v>
      </c>
      <c r="BG982" s="4"/>
      <c r="BH982" s="5"/>
      <c r="BI982" s="5" t="str">
        <f ca="1">IF('Rent Roll'!$AC92=1,'Rent Roll'!E92,"")</f>
        <v/>
      </c>
      <c r="BJ982" s="39" t="str">
        <f ca="1">IF('Rent Roll'!$AC92=1,'Rent Roll'!G92,"")</f>
        <v/>
      </c>
      <c r="BK982" s="1547" t="str">
        <f ca="1">IF('Rent Roll'!$AC92=1,'Rent Roll'!K92,"")</f>
        <v/>
      </c>
      <c r="BL982" s="1551" t="str">
        <f ca="1">IF('Rent Roll'!$AC92=1,'Rent Roll'!N92,"")</f>
        <v/>
      </c>
      <c r="BM982" s="223"/>
      <c r="BN982" s="6"/>
      <c r="BO982" s="32"/>
      <c r="BP982" s="342"/>
      <c r="BQ982" s="343"/>
      <c r="BR982" s="342"/>
      <c r="BS982" s="343"/>
      <c r="BT982" s="32"/>
      <c r="BU982" s="187"/>
      <c r="BV982" s="187"/>
    </row>
    <row r="983" spans="1:74" ht="15.95" hidden="1" customHeight="1" x14ac:dyDescent="0.25">
      <c r="A983" s="957">
        <f t="shared" ca="1" si="32"/>
        <v>0</v>
      </c>
      <c r="BG983" s="4"/>
      <c r="BH983" s="5"/>
      <c r="BI983" s="5" t="str">
        <f ca="1">IF('Rent Roll'!$AC93=1,'Rent Roll'!E93,"")</f>
        <v/>
      </c>
      <c r="BJ983" s="39" t="str">
        <f ca="1">IF('Rent Roll'!$AC93=1,'Rent Roll'!G93,"")</f>
        <v/>
      </c>
      <c r="BK983" s="1547" t="str">
        <f ca="1">IF('Rent Roll'!$AC93=1,'Rent Roll'!K93,"")</f>
        <v/>
      </c>
      <c r="BL983" s="1551" t="str">
        <f ca="1">IF('Rent Roll'!$AC93=1,'Rent Roll'!N93,"")</f>
        <v/>
      </c>
      <c r="BM983" s="223"/>
      <c r="BN983" s="6"/>
      <c r="BO983" s="32"/>
      <c r="BP983" s="342"/>
      <c r="BQ983" s="343"/>
      <c r="BR983" s="342"/>
      <c r="BS983" s="343"/>
      <c r="BT983" s="32"/>
      <c r="BU983" s="187"/>
      <c r="BV983" s="187"/>
    </row>
    <row r="984" spans="1:74" ht="15.95" hidden="1" customHeight="1" x14ac:dyDescent="0.25">
      <c r="A984" s="957">
        <f t="shared" ca="1" si="32"/>
        <v>0</v>
      </c>
      <c r="BG984" s="4"/>
      <c r="BH984" s="5"/>
      <c r="BI984" s="5" t="str">
        <f ca="1">IF('Rent Roll'!$AC94=1,'Rent Roll'!E94,"")</f>
        <v/>
      </c>
      <c r="BJ984" s="39" t="str">
        <f ca="1">IF('Rent Roll'!$AC94=1,'Rent Roll'!G94,"")</f>
        <v/>
      </c>
      <c r="BK984" s="1547" t="str">
        <f ca="1">IF('Rent Roll'!$AC94=1,'Rent Roll'!K94,"")</f>
        <v/>
      </c>
      <c r="BL984" s="1551" t="str">
        <f ca="1">IF('Rent Roll'!$AC94=1,'Rent Roll'!N94,"")</f>
        <v/>
      </c>
      <c r="BM984" s="223"/>
      <c r="BN984" s="6"/>
      <c r="BO984" s="32"/>
      <c r="BP984" s="342"/>
      <c r="BQ984" s="343"/>
      <c r="BR984" s="342"/>
      <c r="BS984" s="343"/>
      <c r="BT984" s="32"/>
      <c r="BU984" s="187"/>
      <c r="BV984" s="187"/>
    </row>
    <row r="985" spans="1:74" ht="15.95" hidden="1" customHeight="1" x14ac:dyDescent="0.25">
      <c r="A985" s="957">
        <f t="shared" ca="1" si="32"/>
        <v>0</v>
      </c>
      <c r="BG985" s="4"/>
      <c r="BH985" s="5"/>
      <c r="BI985" s="5" t="str">
        <f ca="1">IF('Rent Roll'!$AC95=1,'Rent Roll'!E95,"")</f>
        <v/>
      </c>
      <c r="BJ985" s="39" t="str">
        <f ca="1">IF('Rent Roll'!$AC95=1,'Rent Roll'!G95,"")</f>
        <v/>
      </c>
      <c r="BK985" s="1547" t="str">
        <f ca="1">IF('Rent Roll'!$AC95=1,'Rent Roll'!K95,"")</f>
        <v/>
      </c>
      <c r="BL985" s="1551" t="str">
        <f ca="1">IF('Rent Roll'!$AC95=1,'Rent Roll'!N95,"")</f>
        <v/>
      </c>
      <c r="BM985" s="223"/>
      <c r="BN985" s="6"/>
      <c r="BO985" s="32"/>
      <c r="BP985" s="342"/>
      <c r="BQ985" s="343"/>
      <c r="BR985" s="342"/>
      <c r="BS985" s="343"/>
      <c r="BT985" s="32"/>
      <c r="BU985" s="187"/>
      <c r="BV985" s="187"/>
    </row>
    <row r="986" spans="1:74" ht="15.95" hidden="1" customHeight="1" x14ac:dyDescent="0.25">
      <c r="A986" s="957">
        <f t="shared" ca="1" si="32"/>
        <v>0</v>
      </c>
      <c r="BG986" s="4"/>
      <c r="BH986" s="5"/>
      <c r="BI986" s="5" t="str">
        <f ca="1">IF('Rent Roll'!$AC96=1,'Rent Roll'!E96,"")</f>
        <v/>
      </c>
      <c r="BJ986" s="39" t="str">
        <f ca="1">IF('Rent Roll'!$AC96=1,'Rent Roll'!G96,"")</f>
        <v/>
      </c>
      <c r="BK986" s="1547" t="str">
        <f ca="1">IF('Rent Roll'!$AC96=1,'Rent Roll'!K96,"")</f>
        <v/>
      </c>
      <c r="BL986" s="1551" t="str">
        <f ca="1">IF('Rent Roll'!$AC96=1,'Rent Roll'!N96,"")</f>
        <v/>
      </c>
      <c r="BM986" s="223"/>
      <c r="BN986" s="6"/>
      <c r="BO986" s="32"/>
      <c r="BP986" s="342"/>
      <c r="BQ986" s="343"/>
      <c r="BR986" s="342"/>
      <c r="BS986" s="343"/>
      <c r="BT986" s="32"/>
      <c r="BU986" s="187"/>
      <c r="BV986" s="187"/>
    </row>
    <row r="987" spans="1:74" ht="15.95" hidden="1" customHeight="1" x14ac:dyDescent="0.25">
      <c r="A987" s="957">
        <f t="shared" ca="1" si="32"/>
        <v>0</v>
      </c>
      <c r="BG987" s="4"/>
      <c r="BH987" s="5"/>
      <c r="BI987" s="5" t="str">
        <f ca="1">IF('Rent Roll'!$AC97=1,'Rent Roll'!E97,"")</f>
        <v/>
      </c>
      <c r="BJ987" s="39" t="str">
        <f ca="1">IF('Rent Roll'!$AC97=1,'Rent Roll'!G97,"")</f>
        <v/>
      </c>
      <c r="BK987" s="1547" t="str">
        <f ca="1">IF('Rent Roll'!$AC97=1,'Rent Roll'!K97,"")</f>
        <v/>
      </c>
      <c r="BL987" s="1551" t="str">
        <f ca="1">IF('Rent Roll'!$AC97=1,'Rent Roll'!N97,"")</f>
        <v/>
      </c>
      <c r="BM987" s="223"/>
      <c r="BN987" s="6"/>
      <c r="BO987" s="32"/>
      <c r="BP987" s="342"/>
      <c r="BQ987" s="343"/>
      <c r="BR987" s="342"/>
      <c r="BS987" s="343"/>
      <c r="BT987" s="32"/>
      <c r="BU987" s="187"/>
      <c r="BV987" s="187"/>
    </row>
    <row r="988" spans="1:74" ht="15.95" hidden="1" customHeight="1" x14ac:dyDescent="0.25">
      <c r="A988" s="957">
        <f t="shared" ca="1" si="32"/>
        <v>0</v>
      </c>
      <c r="BG988" s="4"/>
      <c r="BH988" s="5"/>
      <c r="BI988" s="5" t="str">
        <f ca="1">IF('Rent Roll'!$AC98=1,'Rent Roll'!E98,"")</f>
        <v/>
      </c>
      <c r="BJ988" s="39" t="str">
        <f ca="1">IF('Rent Roll'!$AC98=1,'Rent Roll'!G98,"")</f>
        <v/>
      </c>
      <c r="BK988" s="1547" t="str">
        <f ca="1">IF('Rent Roll'!$AC98=1,'Rent Roll'!K98,"")</f>
        <v/>
      </c>
      <c r="BL988" s="1551" t="str">
        <f ca="1">IF('Rent Roll'!$AC98=1,'Rent Roll'!N98,"")</f>
        <v/>
      </c>
      <c r="BM988" s="223"/>
      <c r="BN988" s="6"/>
      <c r="BO988" s="32"/>
      <c r="BP988" s="342"/>
      <c r="BQ988" s="343"/>
      <c r="BR988" s="342"/>
      <c r="BS988" s="343"/>
      <c r="BT988" s="32"/>
      <c r="BU988" s="187"/>
      <c r="BV988" s="187"/>
    </row>
    <row r="989" spans="1:74" ht="15.95" hidden="1" customHeight="1" x14ac:dyDescent="0.25">
      <c r="A989" s="957">
        <f t="shared" ca="1" si="32"/>
        <v>0</v>
      </c>
      <c r="BG989" s="4"/>
      <c r="BH989" s="5"/>
      <c r="BI989" s="5" t="str">
        <f ca="1">IF('Rent Roll'!$AC99=1,'Rent Roll'!E99,"")</f>
        <v/>
      </c>
      <c r="BJ989" s="39" t="str">
        <f ca="1">IF('Rent Roll'!$AC99=1,'Rent Roll'!G99,"")</f>
        <v/>
      </c>
      <c r="BK989" s="1547" t="str">
        <f ca="1">IF('Rent Roll'!$AC99=1,'Rent Roll'!K99,"")</f>
        <v/>
      </c>
      <c r="BL989" s="1551" t="str">
        <f ca="1">IF('Rent Roll'!$AC99=1,'Rent Roll'!N99,"")</f>
        <v/>
      </c>
      <c r="BM989" s="223"/>
      <c r="BN989" s="6"/>
      <c r="BO989" s="32"/>
      <c r="BP989" s="342"/>
      <c r="BQ989" s="343"/>
      <c r="BR989" s="342"/>
      <c r="BS989" s="343"/>
      <c r="BT989" s="32"/>
      <c r="BU989" s="187"/>
      <c r="BV989" s="187"/>
    </row>
    <row r="990" spans="1:74" ht="15.95" hidden="1" customHeight="1" x14ac:dyDescent="0.25">
      <c r="A990" s="957">
        <f t="shared" ca="1" si="32"/>
        <v>0</v>
      </c>
      <c r="BG990" s="4"/>
      <c r="BH990" s="5"/>
      <c r="BI990" s="5" t="str">
        <f ca="1">IF('Rent Roll'!$AC100=1,'Rent Roll'!E100,"")</f>
        <v/>
      </c>
      <c r="BJ990" s="39" t="str">
        <f ca="1">IF('Rent Roll'!$AC100=1,'Rent Roll'!G100,"")</f>
        <v/>
      </c>
      <c r="BK990" s="1547" t="str">
        <f ca="1">IF('Rent Roll'!$AC100=1,'Rent Roll'!K100,"")</f>
        <v/>
      </c>
      <c r="BL990" s="1551" t="str">
        <f ca="1">IF('Rent Roll'!$AC100=1,'Rent Roll'!N100,"")</f>
        <v/>
      </c>
      <c r="BM990" s="223"/>
      <c r="BN990" s="6"/>
      <c r="BO990" s="32"/>
      <c r="BP990" s="342"/>
      <c r="BQ990" s="343"/>
      <c r="BR990" s="342"/>
      <c r="BS990" s="343"/>
      <c r="BT990" s="32"/>
      <c r="BU990" s="187"/>
      <c r="BV990" s="187"/>
    </row>
    <row r="991" spans="1:74" ht="15.95" hidden="1" customHeight="1" x14ac:dyDescent="0.25">
      <c r="A991" s="957">
        <f t="shared" ca="1" si="32"/>
        <v>0</v>
      </c>
      <c r="BG991" s="4"/>
      <c r="BH991" s="5"/>
      <c r="BI991" s="5" t="str">
        <f ca="1">IF('Rent Roll'!$AC101=1,'Rent Roll'!E101,"")</f>
        <v/>
      </c>
      <c r="BJ991" s="39" t="str">
        <f ca="1">IF('Rent Roll'!$AC101=1,'Rent Roll'!G101,"")</f>
        <v/>
      </c>
      <c r="BK991" s="1547" t="str">
        <f ca="1">IF('Rent Roll'!$AC101=1,'Rent Roll'!K101,"")</f>
        <v/>
      </c>
      <c r="BL991" s="1551" t="str">
        <f ca="1">IF('Rent Roll'!$AC101=1,'Rent Roll'!N101,"")</f>
        <v/>
      </c>
      <c r="BM991" s="223"/>
      <c r="BN991" s="6"/>
      <c r="BO991" s="32"/>
      <c r="BP991" s="342"/>
      <c r="BQ991" s="343"/>
      <c r="BR991" s="342"/>
      <c r="BS991" s="343"/>
      <c r="BT991" s="32"/>
      <c r="BU991" s="187"/>
      <c r="BV991" s="187"/>
    </row>
    <row r="992" spans="1:74" ht="15.95" hidden="1" customHeight="1" x14ac:dyDescent="0.25">
      <c r="A992" s="957">
        <f t="shared" ca="1" si="32"/>
        <v>0</v>
      </c>
      <c r="BG992" s="4"/>
      <c r="BH992" s="5"/>
      <c r="BI992" s="5" t="str">
        <f ca="1">IF('Rent Roll'!$AC102=1,'Rent Roll'!E102,"")</f>
        <v/>
      </c>
      <c r="BJ992" s="39" t="str">
        <f ca="1">IF('Rent Roll'!$AC102=1,'Rent Roll'!G102,"")</f>
        <v/>
      </c>
      <c r="BK992" s="1547" t="str">
        <f ca="1">IF('Rent Roll'!$AC102=1,'Rent Roll'!K102,"")</f>
        <v/>
      </c>
      <c r="BL992" s="1551" t="str">
        <f ca="1">IF('Rent Roll'!$AC102=1,'Rent Roll'!N102,"")</f>
        <v/>
      </c>
      <c r="BM992" s="223"/>
      <c r="BN992" s="6"/>
      <c r="BO992" s="32"/>
      <c r="BP992" s="342"/>
      <c r="BQ992" s="343"/>
      <c r="BR992" s="342"/>
      <c r="BS992" s="343"/>
      <c r="BT992" s="32"/>
      <c r="BU992" s="187"/>
      <c r="BV992" s="187"/>
    </row>
    <row r="993" spans="1:74" ht="15.95" hidden="1" customHeight="1" x14ac:dyDescent="0.25">
      <c r="A993" s="957">
        <f t="shared" ref="A993:A1024" ca="1" si="33">IF(BI993="",0,1)</f>
        <v>0</v>
      </c>
      <c r="BG993" s="4"/>
      <c r="BH993" s="5"/>
      <c r="BI993" s="5" t="str">
        <f ca="1">IF('Rent Roll'!$AC103=1,'Rent Roll'!E103,"")</f>
        <v/>
      </c>
      <c r="BJ993" s="39" t="str">
        <f ca="1">IF('Rent Roll'!$AC103=1,'Rent Roll'!G103,"")</f>
        <v/>
      </c>
      <c r="BK993" s="1547" t="str">
        <f ca="1">IF('Rent Roll'!$AC103=1,'Rent Roll'!K103,"")</f>
        <v/>
      </c>
      <c r="BL993" s="1551" t="str">
        <f ca="1">IF('Rent Roll'!$AC103=1,'Rent Roll'!N103,"")</f>
        <v/>
      </c>
      <c r="BM993" s="223"/>
      <c r="BN993" s="6"/>
      <c r="BO993" s="32"/>
      <c r="BP993" s="342"/>
      <c r="BQ993" s="343"/>
      <c r="BR993" s="342"/>
      <c r="BS993" s="343"/>
      <c r="BT993" s="32"/>
      <c r="BU993" s="187"/>
      <c r="BV993" s="187"/>
    </row>
    <row r="994" spans="1:74" ht="15.95" hidden="1" customHeight="1" x14ac:dyDescent="0.25">
      <c r="A994" s="957">
        <f t="shared" ca="1" si="33"/>
        <v>0</v>
      </c>
      <c r="BG994" s="4"/>
      <c r="BH994" s="5"/>
      <c r="BI994" s="5" t="str">
        <f ca="1">IF('Rent Roll'!$AC104=1,'Rent Roll'!E104,"")</f>
        <v/>
      </c>
      <c r="BJ994" s="39" t="str">
        <f ca="1">IF('Rent Roll'!$AC104=1,'Rent Roll'!G104,"")</f>
        <v/>
      </c>
      <c r="BK994" s="1547" t="str">
        <f ca="1">IF('Rent Roll'!$AC104=1,'Rent Roll'!K104,"")</f>
        <v/>
      </c>
      <c r="BL994" s="1551" t="str">
        <f ca="1">IF('Rent Roll'!$AC104=1,'Rent Roll'!N104,"")</f>
        <v/>
      </c>
      <c r="BM994" s="223"/>
      <c r="BN994" s="6"/>
      <c r="BO994" s="32"/>
      <c r="BP994" s="342"/>
      <c r="BQ994" s="343"/>
      <c r="BR994" s="342"/>
      <c r="BS994" s="343"/>
      <c r="BT994" s="32"/>
      <c r="BU994" s="187"/>
      <c r="BV994" s="187"/>
    </row>
    <row r="995" spans="1:74" ht="15.95" hidden="1" customHeight="1" x14ac:dyDescent="0.25">
      <c r="A995" s="957">
        <f t="shared" ca="1" si="33"/>
        <v>0</v>
      </c>
      <c r="BG995" s="4"/>
      <c r="BH995" s="5"/>
      <c r="BI995" s="5" t="str">
        <f ca="1">IF('Rent Roll'!$AC105=1,'Rent Roll'!E105,"")</f>
        <v/>
      </c>
      <c r="BJ995" s="39" t="str">
        <f ca="1">IF('Rent Roll'!$AC105=1,'Rent Roll'!G105,"")</f>
        <v/>
      </c>
      <c r="BK995" s="1547" t="str">
        <f ca="1">IF('Rent Roll'!$AC105=1,'Rent Roll'!K105,"")</f>
        <v/>
      </c>
      <c r="BL995" s="1551" t="str">
        <f ca="1">IF('Rent Roll'!$AC105=1,'Rent Roll'!N105,"")</f>
        <v/>
      </c>
      <c r="BM995" s="223"/>
      <c r="BN995" s="6"/>
      <c r="BO995" s="32"/>
      <c r="BP995" s="342"/>
      <c r="BQ995" s="343"/>
      <c r="BR995" s="342"/>
      <c r="BS995" s="343"/>
      <c r="BT995" s="32"/>
      <c r="BU995" s="187"/>
      <c r="BV995" s="187"/>
    </row>
    <row r="996" spans="1:74" ht="15.95" hidden="1" customHeight="1" x14ac:dyDescent="0.25">
      <c r="A996" s="957">
        <f t="shared" ca="1" si="33"/>
        <v>0</v>
      </c>
      <c r="BG996" s="4"/>
      <c r="BH996" s="5"/>
      <c r="BI996" s="5" t="str">
        <f ca="1">IF('Rent Roll'!$AC106=1,'Rent Roll'!E106,"")</f>
        <v/>
      </c>
      <c r="BJ996" s="39" t="str">
        <f ca="1">IF('Rent Roll'!$AC106=1,'Rent Roll'!G106,"")</f>
        <v/>
      </c>
      <c r="BK996" s="1547" t="str">
        <f ca="1">IF('Rent Roll'!$AC106=1,'Rent Roll'!K106,"")</f>
        <v/>
      </c>
      <c r="BL996" s="1551" t="str">
        <f ca="1">IF('Rent Roll'!$AC106=1,'Rent Roll'!N106,"")</f>
        <v/>
      </c>
      <c r="BM996" s="223"/>
      <c r="BN996" s="6"/>
      <c r="BO996" s="32"/>
      <c r="BP996" s="342"/>
      <c r="BQ996" s="343"/>
      <c r="BR996" s="342"/>
      <c r="BS996" s="343"/>
      <c r="BT996" s="32"/>
      <c r="BU996" s="187"/>
      <c r="BV996" s="187"/>
    </row>
    <row r="997" spans="1:74" ht="15.95" hidden="1" customHeight="1" x14ac:dyDescent="0.25">
      <c r="A997" s="957">
        <f t="shared" ca="1" si="33"/>
        <v>0</v>
      </c>
      <c r="BG997" s="4"/>
      <c r="BH997" s="5"/>
      <c r="BI997" s="5" t="str">
        <f ca="1">IF('Rent Roll'!$AC107=1,'Rent Roll'!E107,"")</f>
        <v/>
      </c>
      <c r="BJ997" s="39" t="str">
        <f ca="1">IF('Rent Roll'!$AC107=1,'Rent Roll'!G107,"")</f>
        <v/>
      </c>
      <c r="BK997" s="1547" t="str">
        <f ca="1">IF('Rent Roll'!$AC107=1,'Rent Roll'!K107,"")</f>
        <v/>
      </c>
      <c r="BL997" s="1551" t="str">
        <f ca="1">IF('Rent Roll'!$AC107=1,'Rent Roll'!N107,"")</f>
        <v/>
      </c>
      <c r="BM997" s="223"/>
      <c r="BN997" s="6"/>
      <c r="BO997" s="32"/>
      <c r="BP997" s="342"/>
      <c r="BQ997" s="343"/>
      <c r="BR997" s="342"/>
      <c r="BS997" s="343"/>
      <c r="BT997" s="32"/>
      <c r="BU997" s="187"/>
      <c r="BV997" s="187"/>
    </row>
    <row r="998" spans="1:74" ht="15.95" hidden="1" customHeight="1" x14ac:dyDescent="0.25">
      <c r="A998" s="957">
        <f t="shared" ca="1" si="33"/>
        <v>0</v>
      </c>
      <c r="BG998" s="4"/>
      <c r="BH998" s="5"/>
      <c r="BI998" s="5" t="str">
        <f ca="1">IF('Rent Roll'!$AC108=1,'Rent Roll'!E108,"")</f>
        <v/>
      </c>
      <c r="BJ998" s="39" t="str">
        <f ca="1">IF('Rent Roll'!$AC108=1,'Rent Roll'!G108,"")</f>
        <v/>
      </c>
      <c r="BK998" s="1547" t="str">
        <f ca="1">IF('Rent Roll'!$AC108=1,'Rent Roll'!K108,"")</f>
        <v/>
      </c>
      <c r="BL998" s="1551" t="str">
        <f ca="1">IF('Rent Roll'!$AC108=1,'Rent Roll'!N108,"")</f>
        <v/>
      </c>
      <c r="BM998" s="223"/>
      <c r="BN998" s="6"/>
      <c r="BO998" s="32"/>
      <c r="BP998" s="342"/>
      <c r="BQ998" s="343"/>
      <c r="BR998" s="342"/>
      <c r="BS998" s="343"/>
      <c r="BT998" s="32"/>
      <c r="BU998" s="187"/>
      <c r="BV998" s="187"/>
    </row>
    <row r="999" spans="1:74" ht="15.95" hidden="1" customHeight="1" x14ac:dyDescent="0.25">
      <c r="A999" s="957">
        <f t="shared" ca="1" si="33"/>
        <v>0</v>
      </c>
      <c r="BG999" s="4"/>
      <c r="BH999" s="5"/>
      <c r="BI999" s="5" t="str">
        <f ca="1">IF('Rent Roll'!$AC109=1,'Rent Roll'!E109,"")</f>
        <v/>
      </c>
      <c r="BJ999" s="39" t="str">
        <f ca="1">IF('Rent Roll'!$AC109=1,'Rent Roll'!G109,"")</f>
        <v/>
      </c>
      <c r="BK999" s="1547" t="str">
        <f ca="1">IF('Rent Roll'!$AC109=1,'Rent Roll'!K109,"")</f>
        <v/>
      </c>
      <c r="BL999" s="1551" t="str">
        <f ca="1">IF('Rent Roll'!$AC109=1,'Rent Roll'!N109,"")</f>
        <v/>
      </c>
      <c r="BM999" s="223"/>
      <c r="BN999" s="6"/>
      <c r="BO999" s="32"/>
      <c r="BP999" s="342"/>
      <c r="BQ999" s="343"/>
      <c r="BR999" s="342"/>
      <c r="BS999" s="343"/>
      <c r="BT999" s="32"/>
      <c r="BU999" s="187"/>
      <c r="BV999" s="187"/>
    </row>
    <row r="1000" spans="1:74" ht="15.95" hidden="1" customHeight="1" x14ac:dyDescent="0.25">
      <c r="A1000" s="957">
        <f t="shared" ca="1" si="33"/>
        <v>0</v>
      </c>
      <c r="BG1000" s="4"/>
      <c r="BH1000" s="5"/>
      <c r="BI1000" s="5" t="str">
        <f ca="1">IF('Rent Roll'!$AC110=1,'Rent Roll'!E110,"")</f>
        <v/>
      </c>
      <c r="BJ1000" s="39" t="str">
        <f ca="1">IF('Rent Roll'!$AC110=1,'Rent Roll'!G110,"")</f>
        <v/>
      </c>
      <c r="BK1000" s="1547" t="str">
        <f ca="1">IF('Rent Roll'!$AC110=1,'Rent Roll'!K110,"")</f>
        <v/>
      </c>
      <c r="BL1000" s="1551" t="str">
        <f ca="1">IF('Rent Roll'!$AC110=1,'Rent Roll'!N110,"")</f>
        <v/>
      </c>
      <c r="BM1000" s="223"/>
      <c r="BN1000" s="6"/>
      <c r="BO1000" s="32"/>
      <c r="BP1000" s="342"/>
      <c r="BQ1000" s="343"/>
      <c r="BR1000" s="342"/>
      <c r="BS1000" s="343"/>
      <c r="BT1000" s="32"/>
      <c r="BU1000" s="187"/>
      <c r="BV1000" s="187"/>
    </row>
    <row r="1001" spans="1:74" ht="15.95" hidden="1" customHeight="1" x14ac:dyDescent="0.25">
      <c r="A1001" s="957">
        <f t="shared" ca="1" si="33"/>
        <v>0</v>
      </c>
      <c r="BG1001" s="4"/>
      <c r="BH1001" s="5"/>
      <c r="BI1001" s="5" t="str">
        <f ca="1">IF('Rent Roll'!$AC111=1,'Rent Roll'!E111,"")</f>
        <v/>
      </c>
      <c r="BJ1001" s="39" t="str">
        <f ca="1">IF('Rent Roll'!$AC111=1,'Rent Roll'!G111,"")</f>
        <v/>
      </c>
      <c r="BK1001" s="1547" t="str">
        <f ca="1">IF('Rent Roll'!$AC111=1,'Rent Roll'!K111,"")</f>
        <v/>
      </c>
      <c r="BL1001" s="1551" t="str">
        <f ca="1">IF('Rent Roll'!$AC111=1,'Rent Roll'!N111,"")</f>
        <v/>
      </c>
      <c r="BM1001" s="223"/>
      <c r="BN1001" s="6"/>
      <c r="BO1001" s="32"/>
      <c r="BP1001" s="342"/>
      <c r="BQ1001" s="343"/>
      <c r="BR1001" s="342"/>
      <c r="BS1001" s="343"/>
      <c r="BT1001" s="32"/>
      <c r="BU1001" s="187"/>
      <c r="BV1001" s="187"/>
    </row>
    <row r="1002" spans="1:74" ht="15.95" hidden="1" customHeight="1" x14ac:dyDescent="0.25">
      <c r="A1002" s="957">
        <f t="shared" ca="1" si="33"/>
        <v>0</v>
      </c>
      <c r="BG1002" s="4"/>
      <c r="BH1002" s="5"/>
      <c r="BI1002" s="5" t="str">
        <f ca="1">IF('Rent Roll'!$AC112=1,'Rent Roll'!E112,"")</f>
        <v/>
      </c>
      <c r="BJ1002" s="39" t="str">
        <f ca="1">IF('Rent Roll'!$AC112=1,'Rent Roll'!G112,"")</f>
        <v/>
      </c>
      <c r="BK1002" s="1547" t="str">
        <f ca="1">IF('Rent Roll'!$AC112=1,'Rent Roll'!K112,"")</f>
        <v/>
      </c>
      <c r="BL1002" s="1551" t="str">
        <f ca="1">IF('Rent Roll'!$AC112=1,'Rent Roll'!N112,"")</f>
        <v/>
      </c>
      <c r="BM1002" s="223"/>
      <c r="BN1002" s="6"/>
      <c r="BO1002" s="32"/>
      <c r="BP1002" s="342"/>
      <c r="BQ1002" s="343"/>
      <c r="BR1002" s="342"/>
      <c r="BS1002" s="343"/>
      <c r="BT1002" s="32"/>
      <c r="BU1002" s="187"/>
      <c r="BV1002" s="187"/>
    </row>
    <row r="1003" spans="1:74" ht="15.95" hidden="1" customHeight="1" x14ac:dyDescent="0.25">
      <c r="A1003" s="957">
        <f t="shared" ca="1" si="33"/>
        <v>0</v>
      </c>
      <c r="BG1003" s="4"/>
      <c r="BH1003" s="5"/>
      <c r="BI1003" s="5" t="str">
        <f ca="1">IF('Rent Roll'!$AC113=1,'Rent Roll'!E113,"")</f>
        <v/>
      </c>
      <c r="BJ1003" s="39" t="str">
        <f ca="1">IF('Rent Roll'!$AC113=1,'Rent Roll'!G113,"")</f>
        <v/>
      </c>
      <c r="BK1003" s="1547" t="str">
        <f ca="1">IF('Rent Roll'!$AC113=1,'Rent Roll'!K113,"")</f>
        <v/>
      </c>
      <c r="BL1003" s="1551" t="str">
        <f ca="1">IF('Rent Roll'!$AC113=1,'Rent Roll'!N113,"")</f>
        <v/>
      </c>
      <c r="BM1003" s="223"/>
      <c r="BN1003" s="6"/>
      <c r="BO1003" s="32"/>
      <c r="BP1003" s="342"/>
      <c r="BQ1003" s="343"/>
      <c r="BR1003" s="342"/>
      <c r="BS1003" s="343"/>
      <c r="BT1003" s="32"/>
      <c r="BU1003" s="187"/>
      <c r="BV1003" s="187"/>
    </row>
    <row r="1004" spans="1:74" ht="15.95" hidden="1" customHeight="1" x14ac:dyDescent="0.25">
      <c r="A1004" s="957">
        <f t="shared" ca="1" si="33"/>
        <v>0</v>
      </c>
      <c r="BG1004" s="4"/>
      <c r="BH1004" s="5"/>
      <c r="BI1004" s="5" t="str">
        <f ca="1">IF('Rent Roll'!$AC114=1,'Rent Roll'!E114,"")</f>
        <v/>
      </c>
      <c r="BJ1004" s="39" t="str">
        <f ca="1">IF('Rent Roll'!$AC114=1,'Rent Roll'!G114,"")</f>
        <v/>
      </c>
      <c r="BK1004" s="1547" t="str">
        <f ca="1">IF('Rent Roll'!$AC114=1,'Rent Roll'!K114,"")</f>
        <v/>
      </c>
      <c r="BL1004" s="1551" t="str">
        <f ca="1">IF('Rent Roll'!$AC114=1,'Rent Roll'!N114,"")</f>
        <v/>
      </c>
      <c r="BM1004" s="223"/>
      <c r="BN1004" s="6"/>
      <c r="BO1004" s="32"/>
      <c r="BP1004" s="342"/>
      <c r="BQ1004" s="343"/>
      <c r="BR1004" s="342"/>
      <c r="BS1004" s="343"/>
      <c r="BT1004" s="32"/>
      <c r="BU1004" s="187"/>
      <c r="BV1004" s="187"/>
    </row>
    <row r="1005" spans="1:74" ht="15.95" hidden="1" customHeight="1" x14ac:dyDescent="0.25">
      <c r="A1005" s="957">
        <f t="shared" ca="1" si="33"/>
        <v>0</v>
      </c>
      <c r="BG1005" s="4"/>
      <c r="BH1005" s="5"/>
      <c r="BI1005" s="5" t="str">
        <f ca="1">IF('Rent Roll'!$AC115=1,'Rent Roll'!E115,"")</f>
        <v/>
      </c>
      <c r="BJ1005" s="39" t="str">
        <f ca="1">IF('Rent Roll'!$AC115=1,'Rent Roll'!G115,"")</f>
        <v/>
      </c>
      <c r="BK1005" s="1547" t="str">
        <f ca="1">IF('Rent Roll'!$AC115=1,'Rent Roll'!K115,"")</f>
        <v/>
      </c>
      <c r="BL1005" s="1551" t="str">
        <f ca="1">IF('Rent Roll'!$AC115=1,'Rent Roll'!N115,"")</f>
        <v/>
      </c>
      <c r="BM1005" s="223"/>
      <c r="BN1005" s="6"/>
      <c r="BO1005" s="32"/>
      <c r="BP1005" s="342"/>
      <c r="BQ1005" s="343"/>
      <c r="BR1005" s="342"/>
      <c r="BS1005" s="343"/>
      <c r="BT1005" s="32"/>
      <c r="BU1005" s="187"/>
      <c r="BV1005" s="187"/>
    </row>
    <row r="1006" spans="1:74" ht="15.95" hidden="1" customHeight="1" x14ac:dyDescent="0.25">
      <c r="A1006" s="957">
        <f t="shared" ca="1" si="33"/>
        <v>0</v>
      </c>
      <c r="BG1006" s="4"/>
      <c r="BH1006" s="5"/>
      <c r="BI1006" s="5" t="str">
        <f ca="1">IF('Rent Roll'!$AC116=1,'Rent Roll'!E116,"")</f>
        <v/>
      </c>
      <c r="BJ1006" s="39" t="str">
        <f ca="1">IF('Rent Roll'!$AC116=1,'Rent Roll'!G116,"")</f>
        <v/>
      </c>
      <c r="BK1006" s="1547" t="str">
        <f ca="1">IF('Rent Roll'!$AC116=1,'Rent Roll'!K116,"")</f>
        <v/>
      </c>
      <c r="BL1006" s="1551" t="str">
        <f ca="1">IF('Rent Roll'!$AC116=1,'Rent Roll'!N116,"")</f>
        <v/>
      </c>
      <c r="BM1006" s="223"/>
      <c r="BN1006" s="6"/>
      <c r="BO1006" s="32"/>
      <c r="BP1006" s="342"/>
      <c r="BQ1006" s="343"/>
      <c r="BR1006" s="342"/>
      <c r="BS1006" s="343"/>
      <c r="BT1006" s="32"/>
      <c r="BU1006" s="187"/>
      <c r="BV1006" s="187"/>
    </row>
    <row r="1007" spans="1:74" ht="15.95" hidden="1" customHeight="1" x14ac:dyDescent="0.25">
      <c r="A1007" s="957">
        <f t="shared" ca="1" si="33"/>
        <v>0</v>
      </c>
      <c r="BG1007" s="4"/>
      <c r="BH1007" s="5"/>
      <c r="BI1007" s="5" t="str">
        <f ca="1">IF('Rent Roll'!$AC117=1,'Rent Roll'!E117,"")</f>
        <v/>
      </c>
      <c r="BJ1007" s="39" t="str">
        <f ca="1">IF('Rent Roll'!$AC117=1,'Rent Roll'!G117,"")</f>
        <v/>
      </c>
      <c r="BK1007" s="1547" t="str">
        <f ca="1">IF('Rent Roll'!$AC117=1,'Rent Roll'!K117,"")</f>
        <v/>
      </c>
      <c r="BL1007" s="1551" t="str">
        <f ca="1">IF('Rent Roll'!$AC117=1,'Rent Roll'!N117,"")</f>
        <v/>
      </c>
      <c r="BM1007" s="223"/>
      <c r="BN1007" s="6"/>
      <c r="BO1007" s="32"/>
      <c r="BP1007" s="342"/>
      <c r="BQ1007" s="343"/>
      <c r="BR1007" s="342"/>
      <c r="BS1007" s="343"/>
      <c r="BT1007" s="32"/>
      <c r="BU1007" s="187"/>
      <c r="BV1007" s="187"/>
    </row>
    <row r="1008" spans="1:74" ht="15.95" hidden="1" customHeight="1" x14ac:dyDescent="0.25">
      <c r="A1008" s="957">
        <f t="shared" ca="1" si="33"/>
        <v>0</v>
      </c>
      <c r="BG1008" s="4"/>
      <c r="BH1008" s="5"/>
      <c r="BI1008" s="5" t="str">
        <f ca="1">IF('Rent Roll'!$AC118=1,'Rent Roll'!E118,"")</f>
        <v/>
      </c>
      <c r="BJ1008" s="39" t="str">
        <f ca="1">IF('Rent Roll'!$AC118=1,'Rent Roll'!G118,"")</f>
        <v/>
      </c>
      <c r="BK1008" s="1547" t="str">
        <f ca="1">IF('Rent Roll'!$AC118=1,'Rent Roll'!K118,"")</f>
        <v/>
      </c>
      <c r="BL1008" s="1551" t="str">
        <f ca="1">IF('Rent Roll'!$AC118=1,'Rent Roll'!N118,"")</f>
        <v/>
      </c>
      <c r="BM1008" s="223"/>
      <c r="BN1008" s="6"/>
      <c r="BO1008" s="32"/>
      <c r="BP1008" s="342"/>
      <c r="BQ1008" s="343"/>
      <c r="BR1008" s="342"/>
      <c r="BS1008" s="343"/>
      <c r="BT1008" s="32"/>
      <c r="BU1008" s="187"/>
      <c r="BV1008" s="187"/>
    </row>
    <row r="1009" spans="1:74" ht="15.95" hidden="1" customHeight="1" x14ac:dyDescent="0.25">
      <c r="A1009" s="957">
        <f t="shared" ca="1" si="33"/>
        <v>0</v>
      </c>
      <c r="BG1009" s="4"/>
      <c r="BH1009" s="5"/>
      <c r="BI1009" s="5" t="str">
        <f ca="1">IF('Rent Roll'!$AC119=1,'Rent Roll'!E119,"")</f>
        <v/>
      </c>
      <c r="BJ1009" s="39" t="str">
        <f ca="1">IF('Rent Roll'!$AC119=1,'Rent Roll'!G119,"")</f>
        <v/>
      </c>
      <c r="BK1009" s="1547" t="str">
        <f ca="1">IF('Rent Roll'!$AC119=1,'Rent Roll'!K119,"")</f>
        <v/>
      </c>
      <c r="BL1009" s="1551" t="str">
        <f ca="1">IF('Rent Roll'!$AC119=1,'Rent Roll'!N119,"")</f>
        <v/>
      </c>
      <c r="BM1009" s="223"/>
      <c r="BN1009" s="6"/>
      <c r="BO1009" s="32"/>
      <c r="BP1009" s="342"/>
      <c r="BQ1009" s="343"/>
      <c r="BR1009" s="342"/>
      <c r="BS1009" s="343"/>
      <c r="BT1009" s="32"/>
      <c r="BU1009" s="187"/>
      <c r="BV1009" s="187"/>
    </row>
    <row r="1010" spans="1:74" ht="15.95" hidden="1" customHeight="1" x14ac:dyDescent="0.25">
      <c r="A1010" s="957">
        <f t="shared" ca="1" si="33"/>
        <v>0</v>
      </c>
      <c r="BG1010" s="4"/>
      <c r="BH1010" s="5"/>
      <c r="BI1010" s="5" t="str">
        <f ca="1">IF('Rent Roll'!$AC120=1,'Rent Roll'!E120,"")</f>
        <v/>
      </c>
      <c r="BJ1010" s="39" t="str">
        <f ca="1">IF('Rent Roll'!$AC120=1,'Rent Roll'!G120,"")</f>
        <v/>
      </c>
      <c r="BK1010" s="1547" t="str">
        <f ca="1">IF('Rent Roll'!$AC120=1,'Rent Roll'!K120,"")</f>
        <v/>
      </c>
      <c r="BL1010" s="1551" t="str">
        <f ca="1">IF('Rent Roll'!$AC120=1,'Rent Roll'!N120,"")</f>
        <v/>
      </c>
      <c r="BM1010" s="223"/>
      <c r="BN1010" s="6"/>
      <c r="BO1010" s="32"/>
      <c r="BP1010" s="342"/>
      <c r="BQ1010" s="343"/>
      <c r="BR1010" s="342"/>
      <c r="BS1010" s="343"/>
      <c r="BT1010" s="32"/>
      <c r="BU1010" s="187"/>
      <c r="BV1010" s="187"/>
    </row>
    <row r="1011" spans="1:74" ht="15.95" hidden="1" customHeight="1" x14ac:dyDescent="0.25">
      <c r="A1011" s="957">
        <f t="shared" ca="1" si="33"/>
        <v>0</v>
      </c>
      <c r="BG1011" s="4"/>
      <c r="BH1011" s="5"/>
      <c r="BI1011" s="5" t="str">
        <f ca="1">IF('Rent Roll'!$AC121=1,'Rent Roll'!E121,"")</f>
        <v/>
      </c>
      <c r="BJ1011" s="39" t="str">
        <f ca="1">IF('Rent Roll'!$AC121=1,'Rent Roll'!G121,"")</f>
        <v/>
      </c>
      <c r="BK1011" s="1547" t="str">
        <f ca="1">IF('Rent Roll'!$AC121=1,'Rent Roll'!K121,"")</f>
        <v/>
      </c>
      <c r="BL1011" s="1551" t="str">
        <f ca="1">IF('Rent Roll'!$AC121=1,'Rent Roll'!N121,"")</f>
        <v/>
      </c>
      <c r="BM1011" s="223"/>
      <c r="BN1011" s="6"/>
      <c r="BO1011" s="32"/>
      <c r="BP1011" s="342"/>
      <c r="BQ1011" s="343"/>
      <c r="BR1011" s="342"/>
      <c r="BS1011" s="343"/>
      <c r="BT1011" s="32"/>
      <c r="BU1011" s="187"/>
      <c r="BV1011" s="187"/>
    </row>
    <row r="1012" spans="1:74" ht="15.95" hidden="1" customHeight="1" x14ac:dyDescent="0.25">
      <c r="A1012" s="957">
        <f t="shared" ca="1" si="33"/>
        <v>0</v>
      </c>
      <c r="BG1012" s="4"/>
      <c r="BH1012" s="5"/>
      <c r="BI1012" s="5" t="str">
        <f ca="1">IF('Rent Roll'!$AC122=1,'Rent Roll'!E122,"")</f>
        <v/>
      </c>
      <c r="BJ1012" s="39" t="str">
        <f ca="1">IF('Rent Roll'!$AC122=1,'Rent Roll'!G122,"")</f>
        <v/>
      </c>
      <c r="BK1012" s="1547" t="str">
        <f ca="1">IF('Rent Roll'!$AC122=1,'Rent Roll'!K122,"")</f>
        <v/>
      </c>
      <c r="BL1012" s="1551" t="str">
        <f ca="1">IF('Rent Roll'!$AC122=1,'Rent Roll'!N122,"")</f>
        <v/>
      </c>
      <c r="BM1012" s="223"/>
      <c r="BN1012" s="6"/>
      <c r="BO1012" s="32"/>
      <c r="BP1012" s="342"/>
      <c r="BQ1012" s="343"/>
      <c r="BR1012" s="342"/>
      <c r="BS1012" s="343"/>
      <c r="BT1012" s="32"/>
      <c r="BU1012" s="187"/>
      <c r="BV1012" s="187"/>
    </row>
    <row r="1013" spans="1:74" ht="15.95" hidden="1" customHeight="1" x14ac:dyDescent="0.25">
      <c r="A1013" s="957">
        <f t="shared" ca="1" si="33"/>
        <v>0</v>
      </c>
      <c r="BG1013" s="4"/>
      <c r="BH1013" s="5"/>
      <c r="BI1013" s="5" t="str">
        <f ca="1">IF('Rent Roll'!$AC123=1,'Rent Roll'!E123,"")</f>
        <v/>
      </c>
      <c r="BJ1013" s="39" t="str">
        <f ca="1">IF('Rent Roll'!$AC123=1,'Rent Roll'!G123,"")</f>
        <v/>
      </c>
      <c r="BK1013" s="1547" t="str">
        <f ca="1">IF('Rent Roll'!$AC123=1,'Rent Roll'!K123,"")</f>
        <v/>
      </c>
      <c r="BL1013" s="1551" t="str">
        <f ca="1">IF('Rent Roll'!$AC123=1,'Rent Roll'!N123,"")</f>
        <v/>
      </c>
      <c r="BM1013" s="223"/>
      <c r="BN1013" s="6"/>
      <c r="BO1013" s="32"/>
      <c r="BP1013" s="342"/>
      <c r="BQ1013" s="343"/>
      <c r="BR1013" s="342"/>
      <c r="BS1013" s="343"/>
      <c r="BT1013" s="32"/>
      <c r="BU1013" s="187"/>
      <c r="BV1013" s="187"/>
    </row>
    <row r="1014" spans="1:74" ht="15.95" hidden="1" customHeight="1" x14ac:dyDescent="0.25">
      <c r="A1014" s="957">
        <f t="shared" ca="1" si="33"/>
        <v>0</v>
      </c>
      <c r="BG1014" s="4"/>
      <c r="BH1014" s="5"/>
      <c r="BI1014" s="5" t="str">
        <f ca="1">IF('Rent Roll'!$AC124=1,'Rent Roll'!E124,"")</f>
        <v/>
      </c>
      <c r="BJ1014" s="39" t="str">
        <f ca="1">IF('Rent Roll'!$AC124=1,'Rent Roll'!G124,"")</f>
        <v/>
      </c>
      <c r="BK1014" s="1547" t="str">
        <f ca="1">IF('Rent Roll'!$AC124=1,'Rent Roll'!K124,"")</f>
        <v/>
      </c>
      <c r="BL1014" s="1551" t="str">
        <f ca="1">IF('Rent Roll'!$AC124=1,'Rent Roll'!N124,"")</f>
        <v/>
      </c>
      <c r="BM1014" s="223"/>
      <c r="BN1014" s="6"/>
      <c r="BO1014" s="32"/>
      <c r="BP1014" s="342"/>
      <c r="BQ1014" s="343"/>
      <c r="BR1014" s="342"/>
      <c r="BS1014" s="343"/>
      <c r="BT1014" s="32"/>
      <c r="BU1014" s="187"/>
      <c r="BV1014" s="187"/>
    </row>
    <row r="1015" spans="1:74" ht="15.95" hidden="1" customHeight="1" x14ac:dyDescent="0.25">
      <c r="A1015" s="957">
        <f t="shared" ca="1" si="33"/>
        <v>0</v>
      </c>
      <c r="BG1015" s="4"/>
      <c r="BH1015" s="5"/>
      <c r="BI1015" s="5" t="str">
        <f ca="1">IF('Rent Roll'!$AC125=1,'Rent Roll'!E125,"")</f>
        <v/>
      </c>
      <c r="BJ1015" s="39" t="str">
        <f ca="1">IF('Rent Roll'!$AC125=1,'Rent Roll'!G125,"")</f>
        <v/>
      </c>
      <c r="BK1015" s="1547" t="str">
        <f ca="1">IF('Rent Roll'!$AC125=1,'Rent Roll'!K125,"")</f>
        <v/>
      </c>
      <c r="BL1015" s="1551" t="str">
        <f ca="1">IF('Rent Roll'!$AC125=1,'Rent Roll'!N125,"")</f>
        <v/>
      </c>
      <c r="BM1015" s="223"/>
      <c r="BN1015" s="6"/>
      <c r="BO1015" s="32"/>
      <c r="BP1015" s="342"/>
      <c r="BQ1015" s="343"/>
      <c r="BR1015" s="342"/>
      <c r="BS1015" s="343"/>
      <c r="BT1015" s="32"/>
      <c r="BU1015" s="187"/>
      <c r="BV1015" s="187"/>
    </row>
    <row r="1016" spans="1:74" ht="15.95" hidden="1" customHeight="1" x14ac:dyDescent="0.25">
      <c r="A1016" s="957">
        <f t="shared" ca="1" si="33"/>
        <v>0</v>
      </c>
      <c r="BG1016" s="4"/>
      <c r="BH1016" s="5"/>
      <c r="BI1016" s="5" t="str">
        <f ca="1">IF('Rent Roll'!$AC126=1,'Rent Roll'!E126,"")</f>
        <v/>
      </c>
      <c r="BJ1016" s="39" t="str">
        <f ca="1">IF('Rent Roll'!$AC126=1,'Rent Roll'!G126,"")</f>
        <v/>
      </c>
      <c r="BK1016" s="1547" t="str">
        <f ca="1">IF('Rent Roll'!$AC126=1,'Rent Roll'!K126,"")</f>
        <v/>
      </c>
      <c r="BL1016" s="1551" t="str">
        <f ca="1">IF('Rent Roll'!$AC126=1,'Rent Roll'!N126,"")</f>
        <v/>
      </c>
      <c r="BM1016" s="223"/>
      <c r="BN1016" s="6"/>
      <c r="BO1016" s="32"/>
      <c r="BP1016" s="342"/>
      <c r="BQ1016" s="343"/>
      <c r="BR1016" s="342"/>
      <c r="BS1016" s="343"/>
      <c r="BT1016" s="32"/>
      <c r="BU1016" s="187"/>
      <c r="BV1016" s="187"/>
    </row>
    <row r="1017" spans="1:74" ht="15.95" hidden="1" customHeight="1" x14ac:dyDescent="0.25">
      <c r="A1017" s="957">
        <f t="shared" ca="1" si="33"/>
        <v>0</v>
      </c>
      <c r="BG1017" s="4"/>
      <c r="BH1017" s="5"/>
      <c r="BI1017" s="5" t="str">
        <f ca="1">IF('Rent Roll'!$AC127=1,'Rent Roll'!E127,"")</f>
        <v/>
      </c>
      <c r="BJ1017" s="39" t="str">
        <f ca="1">IF('Rent Roll'!$AC127=1,'Rent Roll'!G127,"")</f>
        <v/>
      </c>
      <c r="BK1017" s="1547" t="str">
        <f ca="1">IF('Rent Roll'!$AC127=1,'Rent Roll'!K127,"")</f>
        <v/>
      </c>
      <c r="BL1017" s="1551" t="str">
        <f ca="1">IF('Rent Roll'!$AC127=1,'Rent Roll'!N127,"")</f>
        <v/>
      </c>
      <c r="BM1017" s="223"/>
      <c r="BN1017" s="6"/>
      <c r="BO1017" s="32"/>
      <c r="BP1017" s="342"/>
      <c r="BQ1017" s="343"/>
      <c r="BR1017" s="342"/>
      <c r="BS1017" s="343"/>
      <c r="BT1017" s="32"/>
      <c r="BU1017" s="187"/>
      <c r="BV1017" s="187"/>
    </row>
    <row r="1018" spans="1:74" ht="15.95" hidden="1" customHeight="1" x14ac:dyDescent="0.25">
      <c r="A1018" s="957">
        <f t="shared" ca="1" si="33"/>
        <v>0</v>
      </c>
      <c r="BG1018" s="4"/>
      <c r="BH1018" s="5"/>
      <c r="BI1018" s="5" t="str">
        <f ca="1">IF('Rent Roll'!$AC128=1,'Rent Roll'!E128,"")</f>
        <v/>
      </c>
      <c r="BJ1018" s="39" t="str">
        <f ca="1">IF('Rent Roll'!$AC128=1,'Rent Roll'!G128,"")</f>
        <v/>
      </c>
      <c r="BK1018" s="1547" t="str">
        <f ca="1">IF('Rent Roll'!$AC128=1,'Rent Roll'!K128,"")</f>
        <v/>
      </c>
      <c r="BL1018" s="1551" t="str">
        <f ca="1">IF('Rent Roll'!$AC128=1,'Rent Roll'!N128,"")</f>
        <v/>
      </c>
      <c r="BM1018" s="223"/>
      <c r="BN1018" s="6"/>
      <c r="BO1018" s="32"/>
      <c r="BP1018" s="342"/>
      <c r="BQ1018" s="343"/>
      <c r="BR1018" s="342"/>
      <c r="BS1018" s="343"/>
      <c r="BT1018" s="32"/>
      <c r="BU1018" s="187"/>
      <c r="BV1018" s="187"/>
    </row>
    <row r="1019" spans="1:74" ht="15.95" hidden="1" customHeight="1" x14ac:dyDescent="0.25">
      <c r="A1019" s="957">
        <f t="shared" ca="1" si="33"/>
        <v>0</v>
      </c>
      <c r="BG1019" s="4"/>
      <c r="BH1019" s="5"/>
      <c r="BI1019" s="5" t="str">
        <f ca="1">IF('Rent Roll'!$AC129=1,'Rent Roll'!E129,"")</f>
        <v/>
      </c>
      <c r="BJ1019" s="39" t="str">
        <f ca="1">IF('Rent Roll'!$AC129=1,'Rent Roll'!G129,"")</f>
        <v/>
      </c>
      <c r="BK1019" s="1547" t="str">
        <f ca="1">IF('Rent Roll'!$AC129=1,'Rent Roll'!K129,"")</f>
        <v/>
      </c>
      <c r="BL1019" s="1551" t="str">
        <f ca="1">IF('Rent Roll'!$AC129=1,'Rent Roll'!N129,"")</f>
        <v/>
      </c>
      <c r="BM1019" s="223"/>
      <c r="BN1019" s="6"/>
      <c r="BO1019" s="32"/>
      <c r="BP1019" s="342"/>
      <c r="BQ1019" s="343"/>
      <c r="BR1019" s="342"/>
      <c r="BS1019" s="343"/>
      <c r="BT1019" s="32"/>
      <c r="BU1019" s="187"/>
      <c r="BV1019" s="187"/>
    </row>
    <row r="1020" spans="1:74" ht="15.95" hidden="1" customHeight="1" x14ac:dyDescent="0.25">
      <c r="A1020" s="957">
        <f t="shared" ca="1" si="33"/>
        <v>0</v>
      </c>
      <c r="BG1020" s="4"/>
      <c r="BH1020" s="5"/>
      <c r="BI1020" s="5" t="str">
        <f ca="1">IF('Rent Roll'!$AC130=1,'Rent Roll'!E130,"")</f>
        <v/>
      </c>
      <c r="BJ1020" s="39" t="str">
        <f ca="1">IF('Rent Roll'!$AC130=1,'Rent Roll'!G130,"")</f>
        <v/>
      </c>
      <c r="BK1020" s="1547" t="str">
        <f ca="1">IF('Rent Roll'!$AC130=1,'Rent Roll'!K130,"")</f>
        <v/>
      </c>
      <c r="BL1020" s="1551" t="str">
        <f ca="1">IF('Rent Roll'!$AC130=1,'Rent Roll'!N130,"")</f>
        <v/>
      </c>
      <c r="BM1020" s="223"/>
      <c r="BN1020" s="6"/>
      <c r="BO1020" s="32"/>
      <c r="BP1020" s="342"/>
      <c r="BQ1020" s="343"/>
      <c r="BR1020" s="342"/>
      <c r="BS1020" s="343"/>
      <c r="BT1020" s="32"/>
      <c r="BU1020" s="187"/>
      <c r="BV1020" s="187"/>
    </row>
    <row r="1021" spans="1:74" ht="15.95" hidden="1" customHeight="1" x14ac:dyDescent="0.25">
      <c r="A1021" s="957">
        <f t="shared" ca="1" si="33"/>
        <v>0</v>
      </c>
      <c r="BG1021" s="4"/>
      <c r="BH1021" s="5"/>
      <c r="BI1021" s="5" t="str">
        <f ca="1">IF('Rent Roll'!$AC131=1,'Rent Roll'!E131,"")</f>
        <v/>
      </c>
      <c r="BJ1021" s="39" t="str">
        <f ca="1">IF('Rent Roll'!$AC131=1,'Rent Roll'!G131,"")</f>
        <v/>
      </c>
      <c r="BK1021" s="1547" t="str">
        <f ca="1">IF('Rent Roll'!$AC131=1,'Rent Roll'!K131,"")</f>
        <v/>
      </c>
      <c r="BL1021" s="1551" t="str">
        <f ca="1">IF('Rent Roll'!$AC131=1,'Rent Roll'!N131,"")</f>
        <v/>
      </c>
      <c r="BM1021" s="223"/>
      <c r="BN1021" s="6"/>
      <c r="BO1021" s="32"/>
      <c r="BP1021" s="342"/>
      <c r="BQ1021" s="343"/>
      <c r="BR1021" s="342"/>
      <c r="BS1021" s="343"/>
      <c r="BT1021" s="32"/>
      <c r="BU1021" s="187"/>
      <c r="BV1021" s="187"/>
    </row>
    <row r="1022" spans="1:74" ht="15.95" hidden="1" customHeight="1" x14ac:dyDescent="0.25">
      <c r="A1022" s="957">
        <f t="shared" ca="1" si="33"/>
        <v>0</v>
      </c>
      <c r="BG1022" s="4"/>
      <c r="BH1022" s="5"/>
      <c r="BI1022" s="5" t="str">
        <f ca="1">IF('Rent Roll'!$AC132=1,'Rent Roll'!E132,"")</f>
        <v/>
      </c>
      <c r="BJ1022" s="39" t="str">
        <f ca="1">IF('Rent Roll'!$AC132=1,'Rent Roll'!G132,"")</f>
        <v/>
      </c>
      <c r="BK1022" s="1547" t="str">
        <f ca="1">IF('Rent Roll'!$AC132=1,'Rent Roll'!K132,"")</f>
        <v/>
      </c>
      <c r="BL1022" s="1551" t="str">
        <f ca="1">IF('Rent Roll'!$AC132=1,'Rent Roll'!N132,"")</f>
        <v/>
      </c>
      <c r="BM1022" s="223"/>
      <c r="BN1022" s="6"/>
      <c r="BO1022" s="32"/>
      <c r="BP1022" s="342"/>
      <c r="BQ1022" s="343"/>
      <c r="BR1022" s="342"/>
      <c r="BS1022" s="343"/>
      <c r="BT1022" s="32"/>
      <c r="BU1022" s="187"/>
      <c r="BV1022" s="187"/>
    </row>
    <row r="1023" spans="1:74" ht="15.95" hidden="1" customHeight="1" x14ac:dyDescent="0.25">
      <c r="A1023" s="957">
        <f t="shared" ca="1" si="33"/>
        <v>0</v>
      </c>
      <c r="BG1023" s="4"/>
      <c r="BH1023" s="5"/>
      <c r="BI1023" s="5" t="str">
        <f ca="1">IF('Rent Roll'!$AC133=1,'Rent Roll'!E133,"")</f>
        <v/>
      </c>
      <c r="BJ1023" s="39" t="str">
        <f ca="1">IF('Rent Roll'!$AC133=1,'Rent Roll'!G133,"")</f>
        <v/>
      </c>
      <c r="BK1023" s="1547" t="str">
        <f ca="1">IF('Rent Roll'!$AC133=1,'Rent Roll'!K133,"")</f>
        <v/>
      </c>
      <c r="BL1023" s="1551" t="str">
        <f ca="1">IF('Rent Roll'!$AC133=1,'Rent Roll'!N133,"")</f>
        <v/>
      </c>
      <c r="BM1023" s="223"/>
      <c r="BN1023" s="6"/>
      <c r="BO1023" s="32"/>
      <c r="BP1023" s="342"/>
      <c r="BQ1023" s="343"/>
      <c r="BR1023" s="342"/>
      <c r="BS1023" s="343"/>
      <c r="BT1023" s="32"/>
      <c r="BU1023" s="187"/>
      <c r="BV1023" s="187"/>
    </row>
    <row r="1024" spans="1:74" ht="15.95" hidden="1" customHeight="1" x14ac:dyDescent="0.25">
      <c r="A1024" s="957">
        <f t="shared" ca="1" si="33"/>
        <v>0</v>
      </c>
      <c r="BG1024" s="4"/>
      <c r="BH1024" s="5"/>
      <c r="BI1024" s="5" t="str">
        <f ca="1">IF('Rent Roll'!$AC134=1,'Rent Roll'!E134,"")</f>
        <v/>
      </c>
      <c r="BJ1024" s="39" t="str">
        <f ca="1">IF('Rent Roll'!$AC134=1,'Rent Roll'!G134,"")</f>
        <v/>
      </c>
      <c r="BK1024" s="1547" t="str">
        <f ca="1">IF('Rent Roll'!$AC134=1,'Rent Roll'!K134,"")</f>
        <v/>
      </c>
      <c r="BL1024" s="1551" t="str">
        <f ca="1">IF('Rent Roll'!$AC134=1,'Rent Roll'!N134,"")</f>
        <v/>
      </c>
      <c r="BM1024" s="5"/>
      <c r="BN1024" s="6"/>
      <c r="BO1024" s="32"/>
      <c r="BP1024" s="342"/>
      <c r="BQ1024" s="343"/>
      <c r="BR1024" s="342"/>
      <c r="BS1024" s="343"/>
      <c r="BT1024" s="32"/>
      <c r="BU1024" s="187"/>
      <c r="BV1024" s="187"/>
    </row>
    <row r="1025" spans="1:74" ht="15.95" hidden="1" customHeight="1" x14ac:dyDescent="0.25">
      <c r="A1025" s="957">
        <f t="shared" ref="A1025:A1056" ca="1" si="34">IF(BI1025="",0,1)</f>
        <v>0</v>
      </c>
      <c r="BG1025" s="4"/>
      <c r="BH1025" s="5"/>
      <c r="BI1025" s="5" t="str">
        <f ca="1">IF('Rent Roll'!$AC135=1,'Rent Roll'!E135,"")</f>
        <v/>
      </c>
      <c r="BJ1025" s="39" t="str">
        <f ca="1">IF('Rent Roll'!$AC135=1,'Rent Roll'!G135,"")</f>
        <v/>
      </c>
      <c r="BK1025" s="1547" t="str">
        <f ca="1">IF('Rent Roll'!$AC135=1,'Rent Roll'!K135,"")</f>
        <v/>
      </c>
      <c r="BL1025" s="1551" t="str">
        <f ca="1">IF('Rent Roll'!$AC135=1,'Rent Roll'!N135,"")</f>
        <v/>
      </c>
      <c r="BM1025" s="5"/>
      <c r="BN1025" s="6"/>
      <c r="BO1025" s="32"/>
      <c r="BP1025" s="342"/>
      <c r="BQ1025" s="343"/>
      <c r="BR1025" s="342"/>
      <c r="BS1025" s="343"/>
      <c r="BT1025" s="32"/>
      <c r="BU1025" s="187"/>
      <c r="BV1025" s="187"/>
    </row>
    <row r="1026" spans="1:74" ht="15.95" hidden="1" customHeight="1" x14ac:dyDescent="0.25">
      <c r="A1026" s="957">
        <f t="shared" ca="1" si="34"/>
        <v>0</v>
      </c>
      <c r="BG1026" s="4"/>
      <c r="BH1026" s="5"/>
      <c r="BI1026" s="5" t="str">
        <f ca="1">IF('Rent Roll'!$AC136=1,'Rent Roll'!E136,"")</f>
        <v/>
      </c>
      <c r="BJ1026" s="39" t="str">
        <f ca="1">IF('Rent Roll'!$AC136=1,'Rent Roll'!G136,"")</f>
        <v/>
      </c>
      <c r="BK1026" s="1547" t="str">
        <f ca="1">IF('Rent Roll'!$AC136=1,'Rent Roll'!K136,"")</f>
        <v/>
      </c>
      <c r="BL1026" s="1551" t="str">
        <f ca="1">IF('Rent Roll'!$AC136=1,'Rent Roll'!N136,"")</f>
        <v/>
      </c>
      <c r="BM1026" s="5"/>
      <c r="BN1026" s="6"/>
      <c r="BO1026" s="32"/>
      <c r="BP1026" s="342"/>
      <c r="BQ1026" s="343"/>
      <c r="BR1026" s="342"/>
      <c r="BS1026" s="343"/>
      <c r="BT1026" s="32"/>
      <c r="BU1026" s="187"/>
      <c r="BV1026" s="187"/>
    </row>
    <row r="1027" spans="1:74" ht="15.95" hidden="1" customHeight="1" x14ac:dyDescent="0.25">
      <c r="A1027" s="957">
        <f t="shared" ca="1" si="34"/>
        <v>0</v>
      </c>
      <c r="BG1027" s="4"/>
      <c r="BH1027" s="5"/>
      <c r="BI1027" s="5" t="str">
        <f ca="1">IF('Rent Roll'!$AC137=1,'Rent Roll'!E137,"")</f>
        <v/>
      </c>
      <c r="BJ1027" s="39" t="str">
        <f ca="1">IF('Rent Roll'!$AC137=1,'Rent Roll'!G137,"")</f>
        <v/>
      </c>
      <c r="BK1027" s="1547" t="str">
        <f ca="1">IF('Rent Roll'!$AC137=1,'Rent Roll'!K137,"")</f>
        <v/>
      </c>
      <c r="BL1027" s="1551" t="str">
        <f ca="1">IF('Rent Roll'!$AC137=1,'Rent Roll'!N137,"")</f>
        <v/>
      </c>
      <c r="BM1027" s="5"/>
      <c r="BN1027" s="6"/>
      <c r="BO1027" s="32"/>
      <c r="BP1027" s="342"/>
      <c r="BQ1027" s="343"/>
      <c r="BR1027" s="342"/>
      <c r="BS1027" s="343"/>
      <c r="BT1027" s="32"/>
      <c r="BU1027" s="187"/>
      <c r="BV1027" s="187"/>
    </row>
    <row r="1028" spans="1:74" ht="15.95" hidden="1" customHeight="1" x14ac:dyDescent="0.25">
      <c r="A1028" s="957">
        <f t="shared" ca="1" si="34"/>
        <v>0</v>
      </c>
      <c r="BG1028" s="4"/>
      <c r="BH1028" s="5"/>
      <c r="BI1028" s="5" t="str">
        <f ca="1">IF('Rent Roll'!$AC138=1,'Rent Roll'!E138,"")</f>
        <v/>
      </c>
      <c r="BJ1028" s="39" t="str">
        <f ca="1">IF('Rent Roll'!$AC138=1,'Rent Roll'!G138,"")</f>
        <v/>
      </c>
      <c r="BK1028" s="1547" t="str">
        <f ca="1">IF('Rent Roll'!$AC138=1,'Rent Roll'!K138,"")</f>
        <v/>
      </c>
      <c r="BL1028" s="1551" t="str">
        <f ca="1">IF('Rent Roll'!$AC138=1,'Rent Roll'!N138,"")</f>
        <v/>
      </c>
      <c r="BM1028" s="5"/>
      <c r="BN1028" s="6"/>
      <c r="BO1028" s="32"/>
      <c r="BP1028" s="342"/>
      <c r="BQ1028" s="343"/>
      <c r="BR1028" s="342"/>
      <c r="BS1028" s="343"/>
      <c r="BT1028" s="32"/>
      <c r="BU1028" s="187"/>
      <c r="BV1028" s="187"/>
    </row>
    <row r="1029" spans="1:74" ht="15.95" hidden="1" customHeight="1" x14ac:dyDescent="0.25">
      <c r="A1029" s="957">
        <f t="shared" ca="1" si="34"/>
        <v>0</v>
      </c>
      <c r="BG1029" s="4"/>
      <c r="BH1029" s="5"/>
      <c r="BI1029" s="5" t="str">
        <f ca="1">IF('Rent Roll'!$AC139=1,'Rent Roll'!E139,"")</f>
        <v/>
      </c>
      <c r="BJ1029" s="39" t="str">
        <f ca="1">IF('Rent Roll'!$AC139=1,'Rent Roll'!G139,"")</f>
        <v/>
      </c>
      <c r="BK1029" s="1547" t="str">
        <f ca="1">IF('Rent Roll'!$AC139=1,'Rent Roll'!K139,"")</f>
        <v/>
      </c>
      <c r="BL1029" s="1551" t="str">
        <f ca="1">IF('Rent Roll'!$AC139=1,'Rent Roll'!N139,"")</f>
        <v/>
      </c>
      <c r="BM1029" s="5"/>
      <c r="BN1029" s="6"/>
      <c r="BO1029" s="32"/>
      <c r="BP1029" s="342"/>
      <c r="BQ1029" s="343"/>
      <c r="BR1029" s="342"/>
      <c r="BS1029" s="343"/>
      <c r="BT1029" s="32"/>
      <c r="BU1029" s="187"/>
      <c r="BV1029" s="187"/>
    </row>
    <row r="1030" spans="1:74" ht="15.95" hidden="1" customHeight="1" x14ac:dyDescent="0.25">
      <c r="A1030" s="957">
        <f t="shared" ca="1" si="34"/>
        <v>0</v>
      </c>
      <c r="BG1030" s="4"/>
      <c r="BH1030" s="5"/>
      <c r="BI1030" s="5" t="str">
        <f ca="1">IF('Rent Roll'!$AC140=1,'Rent Roll'!E140,"")</f>
        <v/>
      </c>
      <c r="BJ1030" s="39" t="str">
        <f ca="1">IF('Rent Roll'!$AC140=1,'Rent Roll'!G140,"")</f>
        <v/>
      </c>
      <c r="BK1030" s="1547" t="str">
        <f ca="1">IF('Rent Roll'!$AC140=1,'Rent Roll'!K140,"")</f>
        <v/>
      </c>
      <c r="BL1030" s="1551" t="str">
        <f ca="1">IF('Rent Roll'!$AC140=1,'Rent Roll'!N140,"")</f>
        <v/>
      </c>
      <c r="BM1030" s="5"/>
      <c r="BN1030" s="6"/>
      <c r="BO1030" s="32"/>
      <c r="BP1030" s="342"/>
      <c r="BQ1030" s="343"/>
      <c r="BR1030" s="342"/>
      <c r="BS1030" s="343"/>
      <c r="BT1030" s="32"/>
      <c r="BU1030" s="187"/>
      <c r="BV1030" s="187"/>
    </row>
    <row r="1031" spans="1:74" ht="15.95" hidden="1" customHeight="1" x14ac:dyDescent="0.25">
      <c r="A1031" s="957">
        <f t="shared" ca="1" si="34"/>
        <v>0</v>
      </c>
      <c r="BG1031" s="4"/>
      <c r="BH1031" s="5"/>
      <c r="BI1031" s="5" t="str">
        <f ca="1">IF('Rent Roll'!$AC141=1,'Rent Roll'!E141,"")</f>
        <v/>
      </c>
      <c r="BJ1031" s="39" t="str">
        <f ca="1">IF('Rent Roll'!$AC141=1,'Rent Roll'!G141,"")</f>
        <v/>
      </c>
      <c r="BK1031" s="1547" t="str">
        <f ca="1">IF('Rent Roll'!$AC141=1,'Rent Roll'!K141,"")</f>
        <v/>
      </c>
      <c r="BL1031" s="1551" t="str">
        <f ca="1">IF('Rent Roll'!$AC141=1,'Rent Roll'!N141,"")</f>
        <v/>
      </c>
      <c r="BM1031" s="5"/>
      <c r="BN1031" s="6"/>
      <c r="BO1031" s="32"/>
      <c r="BP1031" s="342"/>
      <c r="BQ1031" s="343"/>
      <c r="BR1031" s="342"/>
      <c r="BS1031" s="343"/>
      <c r="BT1031" s="32"/>
      <c r="BU1031" s="187"/>
      <c r="BV1031" s="187"/>
    </row>
    <row r="1032" spans="1:74" ht="15.95" hidden="1" customHeight="1" x14ac:dyDescent="0.25">
      <c r="A1032" s="957">
        <f t="shared" ca="1" si="34"/>
        <v>0</v>
      </c>
      <c r="BG1032" s="4"/>
      <c r="BH1032" s="5"/>
      <c r="BI1032" s="5" t="str">
        <f ca="1">IF('Rent Roll'!$AC142=1,'Rent Roll'!E142,"")</f>
        <v/>
      </c>
      <c r="BJ1032" s="39" t="str">
        <f ca="1">IF('Rent Roll'!$AC142=1,'Rent Roll'!G142,"")</f>
        <v/>
      </c>
      <c r="BK1032" s="1547" t="str">
        <f ca="1">IF('Rent Roll'!$AC142=1,'Rent Roll'!K142,"")</f>
        <v/>
      </c>
      <c r="BL1032" s="1551" t="str">
        <f ca="1">IF('Rent Roll'!$AC142=1,'Rent Roll'!N142,"")</f>
        <v/>
      </c>
      <c r="BM1032" s="5"/>
      <c r="BN1032" s="6"/>
      <c r="BO1032" s="32"/>
      <c r="BP1032" s="342"/>
      <c r="BQ1032" s="343"/>
      <c r="BR1032" s="342"/>
      <c r="BS1032" s="343"/>
      <c r="BT1032" s="32"/>
      <c r="BU1032" s="187"/>
      <c r="BV1032" s="187"/>
    </row>
    <row r="1033" spans="1:74" ht="15.95" hidden="1" customHeight="1" x14ac:dyDescent="0.25">
      <c r="A1033" s="957">
        <f t="shared" ca="1" si="34"/>
        <v>0</v>
      </c>
      <c r="BG1033" s="4"/>
      <c r="BH1033" s="5"/>
      <c r="BI1033" s="5" t="str">
        <f ca="1">IF('Rent Roll'!$AC143=1,'Rent Roll'!E143,"")</f>
        <v/>
      </c>
      <c r="BJ1033" s="39" t="str">
        <f ca="1">IF('Rent Roll'!$AC143=1,'Rent Roll'!G143,"")</f>
        <v/>
      </c>
      <c r="BK1033" s="1547" t="str">
        <f ca="1">IF('Rent Roll'!$AC143=1,'Rent Roll'!K143,"")</f>
        <v/>
      </c>
      <c r="BL1033" s="1551" t="str">
        <f ca="1">IF('Rent Roll'!$AC143=1,'Rent Roll'!N143,"")</f>
        <v/>
      </c>
      <c r="BM1033" s="5"/>
      <c r="BN1033" s="6"/>
      <c r="BO1033" s="32"/>
      <c r="BP1033" s="342"/>
      <c r="BQ1033" s="343"/>
      <c r="BR1033" s="342"/>
      <c r="BS1033" s="343"/>
      <c r="BT1033" s="32"/>
      <c r="BU1033" s="187"/>
      <c r="BV1033" s="187"/>
    </row>
    <row r="1034" spans="1:74" ht="15.95" hidden="1" customHeight="1" x14ac:dyDescent="0.25">
      <c r="A1034" s="957">
        <f t="shared" ca="1" si="34"/>
        <v>0</v>
      </c>
      <c r="BG1034" s="4"/>
      <c r="BH1034" s="5"/>
      <c r="BI1034" s="5" t="str">
        <f ca="1">IF('Rent Roll'!$AC144=1,'Rent Roll'!E144,"")</f>
        <v/>
      </c>
      <c r="BJ1034" s="39" t="str">
        <f ca="1">IF('Rent Roll'!$AC144=1,'Rent Roll'!G144,"")</f>
        <v/>
      </c>
      <c r="BK1034" s="1547" t="str">
        <f ca="1">IF('Rent Roll'!$AC144=1,'Rent Roll'!K144,"")</f>
        <v/>
      </c>
      <c r="BL1034" s="1551" t="str">
        <f ca="1">IF('Rent Roll'!$AC144=1,'Rent Roll'!N144,"")</f>
        <v/>
      </c>
      <c r="BM1034" s="5"/>
      <c r="BN1034" s="6"/>
      <c r="BO1034" s="32"/>
      <c r="BP1034" s="342"/>
      <c r="BQ1034" s="343"/>
      <c r="BR1034" s="342"/>
      <c r="BS1034" s="343"/>
      <c r="BT1034" s="32"/>
      <c r="BU1034" s="187"/>
      <c r="BV1034" s="187"/>
    </row>
    <row r="1035" spans="1:74" ht="15.95" hidden="1" customHeight="1" x14ac:dyDescent="0.25">
      <c r="A1035" s="957">
        <f t="shared" ca="1" si="34"/>
        <v>0</v>
      </c>
      <c r="BG1035" s="4"/>
      <c r="BH1035" s="5"/>
      <c r="BI1035" s="5" t="str">
        <f ca="1">IF('Rent Roll'!$AC145=1,'Rent Roll'!E145,"")</f>
        <v/>
      </c>
      <c r="BJ1035" s="39" t="str">
        <f ca="1">IF('Rent Roll'!$AC145=1,'Rent Roll'!G145,"")</f>
        <v/>
      </c>
      <c r="BK1035" s="1547" t="str">
        <f ca="1">IF('Rent Roll'!$AC145=1,'Rent Roll'!K145,"")</f>
        <v/>
      </c>
      <c r="BL1035" s="1551" t="str">
        <f ca="1">IF('Rent Roll'!$AC145=1,'Rent Roll'!N145,"")</f>
        <v/>
      </c>
      <c r="BM1035" s="5"/>
      <c r="BN1035" s="6"/>
      <c r="BO1035" s="32"/>
      <c r="BP1035" s="342"/>
      <c r="BQ1035" s="343"/>
      <c r="BR1035" s="342"/>
      <c r="BS1035" s="343"/>
      <c r="BT1035" s="32"/>
      <c r="BU1035" s="187"/>
      <c r="BV1035" s="187"/>
    </row>
    <row r="1036" spans="1:74" ht="15.95" hidden="1" customHeight="1" x14ac:dyDescent="0.25">
      <c r="A1036" s="957">
        <f t="shared" ca="1" si="34"/>
        <v>0</v>
      </c>
      <c r="BG1036" s="4"/>
      <c r="BH1036" s="5"/>
      <c r="BI1036" s="5" t="str">
        <f ca="1">IF('Rent Roll'!$AC146=1,'Rent Roll'!E146,"")</f>
        <v/>
      </c>
      <c r="BJ1036" s="39" t="str">
        <f ca="1">IF('Rent Roll'!$AC146=1,'Rent Roll'!G146,"")</f>
        <v/>
      </c>
      <c r="BK1036" s="1547" t="str">
        <f ca="1">IF('Rent Roll'!$AC146=1,'Rent Roll'!K146,"")</f>
        <v/>
      </c>
      <c r="BL1036" s="1551" t="str">
        <f ca="1">IF('Rent Roll'!$AC146=1,'Rent Roll'!N146,"")</f>
        <v/>
      </c>
      <c r="BM1036" s="5"/>
      <c r="BN1036" s="6"/>
      <c r="BO1036" s="32"/>
      <c r="BP1036" s="342"/>
      <c r="BQ1036" s="343"/>
      <c r="BR1036" s="342"/>
      <c r="BS1036" s="343"/>
      <c r="BT1036" s="32"/>
      <c r="BU1036" s="187"/>
      <c r="BV1036" s="187"/>
    </row>
    <row r="1037" spans="1:74" ht="15.95" hidden="1" customHeight="1" x14ac:dyDescent="0.25">
      <c r="A1037" s="957">
        <f t="shared" ca="1" si="34"/>
        <v>0</v>
      </c>
      <c r="BG1037" s="4"/>
      <c r="BH1037" s="5"/>
      <c r="BI1037" s="5" t="str">
        <f ca="1">IF('Rent Roll'!$AC147=1,'Rent Roll'!E147,"")</f>
        <v/>
      </c>
      <c r="BJ1037" s="39" t="str">
        <f ca="1">IF('Rent Roll'!$AC147=1,'Rent Roll'!G147,"")</f>
        <v/>
      </c>
      <c r="BK1037" s="1547" t="str">
        <f ca="1">IF('Rent Roll'!$AC147=1,'Rent Roll'!K147,"")</f>
        <v/>
      </c>
      <c r="BL1037" s="1551" t="str">
        <f ca="1">IF('Rent Roll'!$AC147=1,'Rent Roll'!N147,"")</f>
        <v/>
      </c>
      <c r="BM1037" s="5"/>
      <c r="BN1037" s="6"/>
      <c r="BO1037" s="32"/>
      <c r="BP1037" s="342"/>
      <c r="BQ1037" s="343"/>
      <c r="BR1037" s="342"/>
      <c r="BS1037" s="343"/>
      <c r="BT1037" s="32"/>
      <c r="BU1037" s="187"/>
      <c r="BV1037" s="187"/>
    </row>
    <row r="1038" spans="1:74" ht="15.95" hidden="1" customHeight="1" x14ac:dyDescent="0.25">
      <c r="A1038" s="957">
        <f t="shared" ca="1" si="34"/>
        <v>0</v>
      </c>
      <c r="BG1038" s="4"/>
      <c r="BH1038" s="5"/>
      <c r="BI1038" s="5" t="str">
        <f ca="1">IF('Rent Roll'!$AC148=1,'Rent Roll'!E148,"")</f>
        <v/>
      </c>
      <c r="BJ1038" s="39" t="str">
        <f ca="1">IF('Rent Roll'!$AC148=1,'Rent Roll'!G148,"")</f>
        <v/>
      </c>
      <c r="BK1038" s="1547" t="str">
        <f ca="1">IF('Rent Roll'!$AC148=1,'Rent Roll'!K148,"")</f>
        <v/>
      </c>
      <c r="BL1038" s="1551" t="str">
        <f ca="1">IF('Rent Roll'!$AC148=1,'Rent Roll'!N148,"")</f>
        <v/>
      </c>
      <c r="BM1038" s="5"/>
      <c r="BN1038" s="6"/>
      <c r="BO1038" s="32"/>
      <c r="BP1038" s="342"/>
      <c r="BQ1038" s="343"/>
      <c r="BR1038" s="342"/>
      <c r="BS1038" s="343"/>
      <c r="BT1038" s="32"/>
      <c r="BU1038" s="187"/>
      <c r="BV1038" s="187"/>
    </row>
    <row r="1039" spans="1:74" ht="15.95" hidden="1" customHeight="1" x14ac:dyDescent="0.25">
      <c r="A1039" s="957">
        <f t="shared" ca="1" si="34"/>
        <v>0</v>
      </c>
      <c r="BG1039" s="4"/>
      <c r="BH1039" s="5"/>
      <c r="BI1039" s="5" t="str">
        <f ca="1">IF('Rent Roll'!$AC149=1,'Rent Roll'!E149,"")</f>
        <v/>
      </c>
      <c r="BJ1039" s="39" t="str">
        <f ca="1">IF('Rent Roll'!$AC149=1,'Rent Roll'!G149,"")</f>
        <v/>
      </c>
      <c r="BK1039" s="1547" t="str">
        <f ca="1">IF('Rent Roll'!$AC149=1,'Rent Roll'!K149,"")</f>
        <v/>
      </c>
      <c r="BL1039" s="1551" t="str">
        <f ca="1">IF('Rent Roll'!$AC149=1,'Rent Roll'!N149,"")</f>
        <v/>
      </c>
      <c r="BM1039" s="5"/>
      <c r="BN1039" s="6"/>
      <c r="BO1039" s="32"/>
      <c r="BP1039" s="342"/>
      <c r="BQ1039" s="343"/>
      <c r="BR1039" s="342"/>
      <c r="BS1039" s="343"/>
      <c r="BT1039" s="32"/>
      <c r="BU1039" s="187"/>
      <c r="BV1039" s="187"/>
    </row>
    <row r="1040" spans="1:74" ht="15.95" hidden="1" customHeight="1" x14ac:dyDescent="0.25">
      <c r="A1040" s="957">
        <f t="shared" ca="1" si="34"/>
        <v>0</v>
      </c>
      <c r="BG1040" s="4"/>
      <c r="BH1040" s="5"/>
      <c r="BI1040" s="5" t="str">
        <f ca="1">IF('Rent Roll'!$AC150=1,'Rent Roll'!E150,"")</f>
        <v/>
      </c>
      <c r="BJ1040" s="39" t="str">
        <f ca="1">IF('Rent Roll'!$AC150=1,'Rent Roll'!G150,"")</f>
        <v/>
      </c>
      <c r="BK1040" s="1547" t="str">
        <f ca="1">IF('Rent Roll'!$AC150=1,'Rent Roll'!K150,"")</f>
        <v/>
      </c>
      <c r="BL1040" s="1551" t="str">
        <f ca="1">IF('Rent Roll'!$AC150=1,'Rent Roll'!N150,"")</f>
        <v/>
      </c>
      <c r="BM1040" s="5"/>
      <c r="BN1040" s="6"/>
      <c r="BO1040" s="32"/>
      <c r="BP1040" s="342"/>
      <c r="BQ1040" s="343"/>
      <c r="BR1040" s="342"/>
      <c r="BS1040" s="343"/>
      <c r="BT1040" s="32"/>
      <c r="BU1040" s="187"/>
      <c r="BV1040" s="187"/>
    </row>
    <row r="1041" spans="1:74" ht="15.95" hidden="1" customHeight="1" x14ac:dyDescent="0.25">
      <c r="A1041" s="957">
        <f t="shared" ca="1" si="34"/>
        <v>0</v>
      </c>
      <c r="BG1041" s="4"/>
      <c r="BH1041" s="5"/>
      <c r="BI1041" s="5" t="str">
        <f ca="1">IF('Rent Roll'!$AC151=1,'Rent Roll'!E151,"")</f>
        <v/>
      </c>
      <c r="BJ1041" s="39" t="str">
        <f ca="1">IF('Rent Roll'!$AC151=1,'Rent Roll'!G151,"")</f>
        <v/>
      </c>
      <c r="BK1041" s="1547" t="str">
        <f ca="1">IF('Rent Roll'!$AC151=1,'Rent Roll'!K151,"")</f>
        <v/>
      </c>
      <c r="BL1041" s="1551" t="str">
        <f ca="1">IF('Rent Roll'!$AC151=1,'Rent Roll'!N151,"")</f>
        <v/>
      </c>
      <c r="BM1041" s="5"/>
      <c r="BN1041" s="6"/>
      <c r="BO1041" s="32"/>
      <c r="BP1041" s="342"/>
      <c r="BQ1041" s="343"/>
      <c r="BR1041" s="342"/>
      <c r="BS1041" s="343"/>
      <c r="BT1041" s="32"/>
      <c r="BU1041" s="187"/>
      <c r="BV1041" s="187"/>
    </row>
    <row r="1042" spans="1:74" ht="15.95" hidden="1" customHeight="1" x14ac:dyDescent="0.25">
      <c r="A1042" s="957">
        <f t="shared" ca="1" si="34"/>
        <v>0</v>
      </c>
      <c r="BG1042" s="4"/>
      <c r="BH1042" s="5"/>
      <c r="BI1042" s="5" t="str">
        <f ca="1">IF('Rent Roll'!$AC152=1,'Rent Roll'!E152,"")</f>
        <v/>
      </c>
      <c r="BJ1042" s="39" t="str">
        <f ca="1">IF('Rent Roll'!$AC152=1,'Rent Roll'!G152,"")</f>
        <v/>
      </c>
      <c r="BK1042" s="1547" t="str">
        <f ca="1">IF('Rent Roll'!$AC152=1,'Rent Roll'!K152,"")</f>
        <v/>
      </c>
      <c r="BL1042" s="1551" t="str">
        <f ca="1">IF('Rent Roll'!$AC152=1,'Rent Roll'!N152,"")</f>
        <v/>
      </c>
      <c r="BM1042" s="5"/>
      <c r="BN1042" s="6"/>
      <c r="BO1042" s="32"/>
      <c r="BP1042" s="342"/>
      <c r="BQ1042" s="343"/>
      <c r="BR1042" s="342"/>
      <c r="BS1042" s="343"/>
      <c r="BT1042" s="32"/>
      <c r="BU1042" s="187"/>
      <c r="BV1042" s="187"/>
    </row>
    <row r="1043" spans="1:74" ht="15.95" hidden="1" customHeight="1" x14ac:dyDescent="0.25">
      <c r="A1043" s="957">
        <f t="shared" ca="1" si="34"/>
        <v>0</v>
      </c>
      <c r="BG1043" s="4"/>
      <c r="BH1043" s="5"/>
      <c r="BI1043" s="5" t="str">
        <f ca="1">IF('Rent Roll'!$AC153=1,'Rent Roll'!E153,"")</f>
        <v/>
      </c>
      <c r="BJ1043" s="39" t="str">
        <f ca="1">IF('Rent Roll'!$AC153=1,'Rent Roll'!G153,"")</f>
        <v/>
      </c>
      <c r="BK1043" s="1547" t="str">
        <f ca="1">IF('Rent Roll'!$AC153=1,'Rent Roll'!K153,"")</f>
        <v/>
      </c>
      <c r="BL1043" s="1551" t="str">
        <f ca="1">IF('Rent Roll'!$AC153=1,'Rent Roll'!N153,"")</f>
        <v/>
      </c>
      <c r="BM1043" s="5"/>
      <c r="BN1043" s="6"/>
      <c r="BO1043" s="32"/>
      <c r="BP1043" s="342"/>
      <c r="BQ1043" s="343"/>
      <c r="BR1043" s="342"/>
      <c r="BS1043" s="343"/>
      <c r="BT1043" s="32"/>
      <c r="BU1043" s="187"/>
      <c r="BV1043" s="187"/>
    </row>
    <row r="1044" spans="1:74" ht="15.95" hidden="1" customHeight="1" x14ac:dyDescent="0.25">
      <c r="A1044" s="957">
        <f t="shared" ca="1" si="34"/>
        <v>0</v>
      </c>
      <c r="BG1044" s="4"/>
      <c r="BH1044" s="5"/>
      <c r="BI1044" s="5" t="str">
        <f ca="1">IF('Rent Roll'!$AC154=1,'Rent Roll'!E154,"")</f>
        <v/>
      </c>
      <c r="BJ1044" s="39" t="str">
        <f ca="1">IF('Rent Roll'!$AC154=1,'Rent Roll'!G154,"")</f>
        <v/>
      </c>
      <c r="BK1044" s="1547" t="str">
        <f ca="1">IF('Rent Roll'!$AC154=1,'Rent Roll'!K154,"")</f>
        <v/>
      </c>
      <c r="BL1044" s="1551" t="str">
        <f ca="1">IF('Rent Roll'!$AC154=1,'Rent Roll'!N154,"")</f>
        <v/>
      </c>
      <c r="BM1044" s="5"/>
      <c r="BN1044" s="6"/>
      <c r="BO1044" s="32"/>
      <c r="BP1044" s="342"/>
      <c r="BQ1044" s="343"/>
      <c r="BR1044" s="342"/>
      <c r="BS1044" s="343"/>
      <c r="BT1044" s="32"/>
      <c r="BU1044" s="187"/>
      <c r="BV1044" s="187"/>
    </row>
    <row r="1045" spans="1:74" ht="15.95" hidden="1" customHeight="1" x14ac:dyDescent="0.25">
      <c r="A1045" s="957">
        <f t="shared" ca="1" si="34"/>
        <v>0</v>
      </c>
      <c r="BG1045" s="4"/>
      <c r="BH1045" s="5"/>
      <c r="BI1045" s="5" t="str">
        <f ca="1">IF('Rent Roll'!$AC155=1,'Rent Roll'!E155,"")</f>
        <v/>
      </c>
      <c r="BJ1045" s="39" t="str">
        <f ca="1">IF('Rent Roll'!$AC155=1,'Rent Roll'!G155,"")</f>
        <v/>
      </c>
      <c r="BK1045" s="1547" t="str">
        <f ca="1">IF('Rent Roll'!$AC155=1,'Rent Roll'!K155,"")</f>
        <v/>
      </c>
      <c r="BL1045" s="1551" t="str">
        <f ca="1">IF('Rent Roll'!$AC155=1,'Rent Roll'!N155,"")</f>
        <v/>
      </c>
      <c r="BM1045" s="5"/>
      <c r="BN1045" s="6"/>
      <c r="BO1045" s="32"/>
      <c r="BP1045" s="342"/>
      <c r="BQ1045" s="343"/>
      <c r="BR1045" s="342"/>
      <c r="BS1045" s="343"/>
      <c r="BT1045" s="32"/>
      <c r="BU1045" s="187"/>
      <c r="BV1045" s="187"/>
    </row>
    <row r="1046" spans="1:74" ht="15.95" hidden="1" customHeight="1" x14ac:dyDescent="0.25">
      <c r="A1046" s="957">
        <f t="shared" ca="1" si="34"/>
        <v>0</v>
      </c>
      <c r="BG1046" s="4"/>
      <c r="BH1046" s="5"/>
      <c r="BI1046" s="5" t="str">
        <f ca="1">IF('Rent Roll'!$AC156=1,'Rent Roll'!E156,"")</f>
        <v/>
      </c>
      <c r="BJ1046" s="39" t="str">
        <f ca="1">IF('Rent Roll'!$AC156=1,'Rent Roll'!G156,"")</f>
        <v/>
      </c>
      <c r="BK1046" s="1547" t="str">
        <f ca="1">IF('Rent Roll'!$AC156=1,'Rent Roll'!K156,"")</f>
        <v/>
      </c>
      <c r="BL1046" s="1551" t="str">
        <f ca="1">IF('Rent Roll'!$AC156=1,'Rent Roll'!N156,"")</f>
        <v/>
      </c>
      <c r="BM1046" s="5"/>
      <c r="BN1046" s="6"/>
      <c r="BO1046" s="32"/>
      <c r="BP1046" s="342"/>
      <c r="BQ1046" s="343"/>
      <c r="BR1046" s="342"/>
      <c r="BS1046" s="343"/>
      <c r="BT1046" s="32"/>
      <c r="BU1046" s="187"/>
      <c r="BV1046" s="187"/>
    </row>
    <row r="1047" spans="1:74" ht="15.95" hidden="1" customHeight="1" x14ac:dyDescent="0.25">
      <c r="A1047" s="957">
        <f t="shared" ca="1" si="34"/>
        <v>0</v>
      </c>
      <c r="BG1047" s="4"/>
      <c r="BH1047" s="5"/>
      <c r="BI1047" s="5" t="str">
        <f ca="1">IF('Rent Roll'!$AC157=1,'Rent Roll'!E157,"")</f>
        <v/>
      </c>
      <c r="BJ1047" s="39" t="str">
        <f ca="1">IF('Rent Roll'!$AC157=1,'Rent Roll'!G157,"")</f>
        <v/>
      </c>
      <c r="BK1047" s="1547" t="str">
        <f ca="1">IF('Rent Roll'!$AC157=1,'Rent Roll'!K157,"")</f>
        <v/>
      </c>
      <c r="BL1047" s="1551" t="str">
        <f ca="1">IF('Rent Roll'!$AC157=1,'Rent Roll'!N157,"")</f>
        <v/>
      </c>
      <c r="BM1047" s="5"/>
      <c r="BN1047" s="6"/>
      <c r="BO1047" s="32"/>
      <c r="BP1047" s="342"/>
      <c r="BQ1047" s="343"/>
      <c r="BR1047" s="342"/>
      <c r="BS1047" s="343"/>
      <c r="BT1047" s="32"/>
      <c r="BU1047" s="187"/>
      <c r="BV1047" s="187"/>
    </row>
    <row r="1048" spans="1:74" ht="15.95" hidden="1" customHeight="1" x14ac:dyDescent="0.25">
      <c r="A1048" s="957">
        <f t="shared" ca="1" si="34"/>
        <v>0</v>
      </c>
      <c r="BG1048" s="4"/>
      <c r="BH1048" s="5"/>
      <c r="BI1048" s="5" t="str">
        <f ca="1">IF('Rent Roll'!$AC158=1,'Rent Roll'!E158,"")</f>
        <v/>
      </c>
      <c r="BJ1048" s="39" t="str">
        <f ca="1">IF('Rent Roll'!$AC158=1,'Rent Roll'!G158,"")</f>
        <v/>
      </c>
      <c r="BK1048" s="1547" t="str">
        <f ca="1">IF('Rent Roll'!$AC158=1,'Rent Roll'!K158,"")</f>
        <v/>
      </c>
      <c r="BL1048" s="1551" t="str">
        <f ca="1">IF('Rent Roll'!$AC158=1,'Rent Roll'!N158,"")</f>
        <v/>
      </c>
      <c r="BM1048" s="5"/>
      <c r="BN1048" s="6"/>
      <c r="BO1048" s="32"/>
      <c r="BP1048" s="342"/>
      <c r="BQ1048" s="343"/>
      <c r="BR1048" s="342"/>
      <c r="BS1048" s="343"/>
      <c r="BT1048" s="32"/>
      <c r="BU1048" s="187"/>
      <c r="BV1048" s="187"/>
    </row>
    <row r="1049" spans="1:74" ht="15.95" hidden="1" customHeight="1" x14ac:dyDescent="0.25">
      <c r="A1049" s="957">
        <f t="shared" ca="1" si="34"/>
        <v>0</v>
      </c>
      <c r="BG1049" s="4"/>
      <c r="BH1049" s="5"/>
      <c r="BI1049" s="5" t="str">
        <f ca="1">IF('Rent Roll'!$AC159=1,'Rent Roll'!E159,"")</f>
        <v/>
      </c>
      <c r="BJ1049" s="39" t="str">
        <f ca="1">IF('Rent Roll'!$AC159=1,'Rent Roll'!G159,"")</f>
        <v/>
      </c>
      <c r="BK1049" s="1547" t="str">
        <f ca="1">IF('Rent Roll'!$AC159=1,'Rent Roll'!K159,"")</f>
        <v/>
      </c>
      <c r="BL1049" s="1551" t="str">
        <f ca="1">IF('Rent Roll'!$AC159=1,'Rent Roll'!N159,"")</f>
        <v/>
      </c>
      <c r="BM1049" s="5"/>
      <c r="BN1049" s="6"/>
      <c r="BO1049" s="32"/>
      <c r="BP1049" s="342"/>
      <c r="BQ1049" s="343"/>
      <c r="BR1049" s="342"/>
      <c r="BS1049" s="343"/>
      <c r="BT1049" s="32"/>
      <c r="BU1049" s="187"/>
      <c r="BV1049" s="187"/>
    </row>
    <row r="1050" spans="1:74" ht="15.95" hidden="1" customHeight="1" x14ac:dyDescent="0.25">
      <c r="A1050" s="957">
        <f t="shared" ca="1" si="34"/>
        <v>0</v>
      </c>
      <c r="BG1050" s="4"/>
      <c r="BH1050" s="5"/>
      <c r="BI1050" s="5" t="str">
        <f ca="1">IF('Rent Roll'!$AC160=1,'Rent Roll'!E160,"")</f>
        <v/>
      </c>
      <c r="BJ1050" s="39" t="str">
        <f ca="1">IF('Rent Roll'!$AC160=1,'Rent Roll'!G160,"")</f>
        <v/>
      </c>
      <c r="BK1050" s="1547" t="str">
        <f ca="1">IF('Rent Roll'!$AC160=1,'Rent Roll'!K160,"")</f>
        <v/>
      </c>
      <c r="BL1050" s="1551" t="str">
        <f ca="1">IF('Rent Roll'!$AC160=1,'Rent Roll'!N160,"")</f>
        <v/>
      </c>
      <c r="BM1050" s="5"/>
      <c r="BN1050" s="6"/>
      <c r="BO1050" s="32"/>
      <c r="BP1050" s="342"/>
      <c r="BQ1050" s="343"/>
      <c r="BR1050" s="342"/>
      <c r="BS1050" s="343"/>
      <c r="BT1050" s="32"/>
      <c r="BU1050" s="187"/>
      <c r="BV1050" s="187"/>
    </row>
    <row r="1051" spans="1:74" ht="15.95" hidden="1" customHeight="1" x14ac:dyDescent="0.25">
      <c r="A1051" s="957">
        <f t="shared" ca="1" si="34"/>
        <v>0</v>
      </c>
      <c r="BG1051" s="4"/>
      <c r="BH1051" s="5"/>
      <c r="BI1051" s="5" t="str">
        <f ca="1">IF('Rent Roll'!$AC161=1,'Rent Roll'!E161,"")</f>
        <v/>
      </c>
      <c r="BJ1051" s="39" t="str">
        <f ca="1">IF('Rent Roll'!$AC161=1,'Rent Roll'!G161,"")</f>
        <v/>
      </c>
      <c r="BK1051" s="1547" t="str">
        <f ca="1">IF('Rent Roll'!$AC161=1,'Rent Roll'!K161,"")</f>
        <v/>
      </c>
      <c r="BL1051" s="1551" t="str">
        <f ca="1">IF('Rent Roll'!$AC161=1,'Rent Roll'!N161,"")</f>
        <v/>
      </c>
      <c r="BM1051" s="5"/>
      <c r="BN1051" s="6"/>
      <c r="BO1051" s="32"/>
      <c r="BP1051" s="342"/>
      <c r="BQ1051" s="343"/>
      <c r="BR1051" s="342"/>
      <c r="BS1051" s="343"/>
      <c r="BT1051" s="32"/>
      <c r="BU1051" s="187"/>
      <c r="BV1051" s="187"/>
    </row>
    <row r="1052" spans="1:74" ht="15.95" hidden="1" customHeight="1" x14ac:dyDescent="0.25">
      <c r="A1052" s="957">
        <f t="shared" ca="1" si="34"/>
        <v>0</v>
      </c>
      <c r="BG1052" s="4"/>
      <c r="BH1052" s="5"/>
      <c r="BI1052" s="5" t="str">
        <f ca="1">IF('Rent Roll'!$AC162=1,'Rent Roll'!E162,"")</f>
        <v/>
      </c>
      <c r="BJ1052" s="39" t="str">
        <f ca="1">IF('Rent Roll'!$AC162=1,'Rent Roll'!G162,"")</f>
        <v/>
      </c>
      <c r="BK1052" s="1547" t="str">
        <f ca="1">IF('Rent Roll'!$AC162=1,'Rent Roll'!K162,"")</f>
        <v/>
      </c>
      <c r="BL1052" s="1551" t="str">
        <f ca="1">IF('Rent Roll'!$AC162=1,'Rent Roll'!N162,"")</f>
        <v/>
      </c>
      <c r="BM1052" s="5"/>
      <c r="BN1052" s="6"/>
      <c r="BO1052" s="32"/>
      <c r="BP1052" s="342"/>
      <c r="BQ1052" s="343"/>
      <c r="BR1052" s="342"/>
      <c r="BS1052" s="343"/>
      <c r="BT1052" s="32"/>
      <c r="BU1052" s="187"/>
      <c r="BV1052" s="187"/>
    </row>
    <row r="1053" spans="1:74" ht="15.95" hidden="1" customHeight="1" x14ac:dyDescent="0.25">
      <c r="A1053" s="957">
        <f t="shared" ca="1" si="34"/>
        <v>0</v>
      </c>
      <c r="BG1053" s="4"/>
      <c r="BH1053" s="5"/>
      <c r="BI1053" s="5" t="str">
        <f ca="1">IF('Rent Roll'!$AC163=1,'Rent Roll'!E163,"")</f>
        <v/>
      </c>
      <c r="BJ1053" s="39" t="str">
        <f ca="1">IF('Rent Roll'!$AC163=1,'Rent Roll'!G163,"")</f>
        <v/>
      </c>
      <c r="BK1053" s="1547" t="str">
        <f ca="1">IF('Rent Roll'!$AC163=1,'Rent Roll'!K163,"")</f>
        <v/>
      </c>
      <c r="BL1053" s="1551" t="str">
        <f ca="1">IF('Rent Roll'!$AC163=1,'Rent Roll'!N163,"")</f>
        <v/>
      </c>
      <c r="BM1053" s="5"/>
      <c r="BN1053" s="6"/>
      <c r="BO1053" s="32"/>
      <c r="BP1053" s="342"/>
      <c r="BQ1053" s="343"/>
      <c r="BR1053" s="342"/>
      <c r="BS1053" s="343"/>
      <c r="BT1053" s="32"/>
      <c r="BU1053" s="187"/>
      <c r="BV1053" s="187"/>
    </row>
    <row r="1054" spans="1:74" ht="15.95" hidden="1" customHeight="1" x14ac:dyDescent="0.25">
      <c r="A1054" s="957">
        <f t="shared" ca="1" si="34"/>
        <v>0</v>
      </c>
      <c r="BG1054" s="4"/>
      <c r="BH1054" s="5"/>
      <c r="BI1054" s="5" t="str">
        <f ca="1">IF('Rent Roll'!$AC164=1,'Rent Roll'!E164,"")</f>
        <v/>
      </c>
      <c r="BJ1054" s="39" t="str">
        <f ca="1">IF('Rent Roll'!$AC164=1,'Rent Roll'!G164,"")</f>
        <v/>
      </c>
      <c r="BK1054" s="1547" t="str">
        <f ca="1">IF('Rent Roll'!$AC164=1,'Rent Roll'!K164,"")</f>
        <v/>
      </c>
      <c r="BL1054" s="1551" t="str">
        <f ca="1">IF('Rent Roll'!$AC164=1,'Rent Roll'!N164,"")</f>
        <v/>
      </c>
      <c r="BM1054" s="5"/>
      <c r="BN1054" s="6"/>
      <c r="BO1054" s="32"/>
      <c r="BP1054" s="342"/>
      <c r="BQ1054" s="343"/>
      <c r="BR1054" s="342"/>
      <c r="BS1054" s="343"/>
      <c r="BT1054" s="32"/>
      <c r="BU1054" s="187"/>
      <c r="BV1054" s="187"/>
    </row>
    <row r="1055" spans="1:74" ht="15.95" hidden="1" customHeight="1" x14ac:dyDescent="0.25">
      <c r="A1055" s="957">
        <f t="shared" ca="1" si="34"/>
        <v>0</v>
      </c>
      <c r="BG1055" s="4"/>
      <c r="BH1055" s="5"/>
      <c r="BI1055" s="5" t="str">
        <f ca="1">IF('Rent Roll'!$AC165=1,'Rent Roll'!E165,"")</f>
        <v/>
      </c>
      <c r="BJ1055" s="39" t="str">
        <f ca="1">IF('Rent Roll'!$AC165=1,'Rent Roll'!G165,"")</f>
        <v/>
      </c>
      <c r="BK1055" s="1547" t="str">
        <f ca="1">IF('Rent Roll'!$AC165=1,'Rent Roll'!K165,"")</f>
        <v/>
      </c>
      <c r="BL1055" s="1551" t="str">
        <f ca="1">IF('Rent Roll'!$AC165=1,'Rent Roll'!N165,"")</f>
        <v/>
      </c>
      <c r="BM1055" s="5"/>
      <c r="BN1055" s="6"/>
      <c r="BO1055" s="32"/>
      <c r="BP1055" s="342"/>
      <c r="BQ1055" s="343"/>
      <c r="BR1055" s="342"/>
      <c r="BS1055" s="343"/>
      <c r="BT1055" s="32"/>
      <c r="BU1055" s="187"/>
      <c r="BV1055" s="187"/>
    </row>
    <row r="1056" spans="1:74" ht="15.95" hidden="1" customHeight="1" x14ac:dyDescent="0.25">
      <c r="A1056" s="957">
        <f t="shared" ca="1" si="34"/>
        <v>0</v>
      </c>
      <c r="BG1056" s="4"/>
      <c r="BH1056" s="5"/>
      <c r="BI1056" s="5" t="str">
        <f ca="1">IF('Rent Roll'!$AC166=1,'Rent Roll'!E166,"")</f>
        <v/>
      </c>
      <c r="BJ1056" s="39" t="str">
        <f ca="1">IF('Rent Roll'!$AC166=1,'Rent Roll'!G166,"")</f>
        <v/>
      </c>
      <c r="BK1056" s="1547" t="str">
        <f ca="1">IF('Rent Roll'!$AC166=1,'Rent Roll'!K166,"")</f>
        <v/>
      </c>
      <c r="BL1056" s="1551" t="str">
        <f ca="1">IF('Rent Roll'!$AC166=1,'Rent Roll'!N166,"")</f>
        <v/>
      </c>
      <c r="BM1056" s="5"/>
      <c r="BN1056" s="6"/>
      <c r="BO1056" s="32"/>
      <c r="BP1056" s="342"/>
      <c r="BQ1056" s="343"/>
      <c r="BR1056" s="342"/>
      <c r="BS1056" s="343"/>
      <c r="BT1056" s="32"/>
      <c r="BU1056" s="187"/>
      <c r="BV1056" s="187"/>
    </row>
    <row r="1057" spans="1:74" ht="15.95" hidden="1" customHeight="1" x14ac:dyDescent="0.25">
      <c r="A1057" s="957">
        <f t="shared" ref="A1057:A1088" ca="1" si="35">IF(BI1057="",0,1)</f>
        <v>0</v>
      </c>
      <c r="BG1057" s="4"/>
      <c r="BH1057" s="5"/>
      <c r="BI1057" s="5" t="str">
        <f ca="1">IF('Rent Roll'!$AC167=1,'Rent Roll'!E167,"")</f>
        <v/>
      </c>
      <c r="BJ1057" s="39" t="str">
        <f ca="1">IF('Rent Roll'!$AC167=1,'Rent Roll'!G167,"")</f>
        <v/>
      </c>
      <c r="BK1057" s="1547" t="str">
        <f ca="1">IF('Rent Roll'!$AC167=1,'Rent Roll'!K167,"")</f>
        <v/>
      </c>
      <c r="BL1057" s="1551" t="str">
        <f ca="1">IF('Rent Roll'!$AC167=1,'Rent Roll'!N167,"")</f>
        <v/>
      </c>
      <c r="BM1057" s="5"/>
      <c r="BN1057" s="6"/>
      <c r="BO1057" s="32"/>
      <c r="BP1057" s="342"/>
      <c r="BQ1057" s="343"/>
      <c r="BR1057" s="342"/>
      <c r="BS1057" s="343"/>
      <c r="BT1057" s="32"/>
      <c r="BU1057" s="187"/>
      <c r="BV1057" s="187"/>
    </row>
    <row r="1058" spans="1:74" ht="15.95" hidden="1" customHeight="1" x14ac:dyDescent="0.25">
      <c r="A1058" s="957">
        <f t="shared" ca="1" si="35"/>
        <v>0</v>
      </c>
      <c r="BG1058" s="4"/>
      <c r="BH1058" s="5"/>
      <c r="BI1058" s="5" t="str">
        <f ca="1">IF('Rent Roll'!$AC168=1,'Rent Roll'!E168,"")</f>
        <v/>
      </c>
      <c r="BJ1058" s="39" t="str">
        <f ca="1">IF('Rent Roll'!$AC168=1,'Rent Roll'!G168,"")</f>
        <v/>
      </c>
      <c r="BK1058" s="1547" t="str">
        <f ca="1">IF('Rent Roll'!$AC168=1,'Rent Roll'!K168,"")</f>
        <v/>
      </c>
      <c r="BL1058" s="1551" t="str">
        <f ca="1">IF('Rent Roll'!$AC168=1,'Rent Roll'!N168,"")</f>
        <v/>
      </c>
      <c r="BM1058" s="5"/>
      <c r="BN1058" s="6"/>
      <c r="BO1058" s="32"/>
      <c r="BP1058" s="342"/>
      <c r="BQ1058" s="343"/>
      <c r="BR1058" s="342"/>
      <c r="BS1058" s="343"/>
      <c r="BT1058" s="32"/>
      <c r="BU1058" s="187"/>
      <c r="BV1058" s="187"/>
    </row>
    <row r="1059" spans="1:74" ht="15.95" hidden="1" customHeight="1" x14ac:dyDescent="0.25">
      <c r="A1059" s="957">
        <f t="shared" ca="1" si="35"/>
        <v>0</v>
      </c>
      <c r="BG1059" s="4"/>
      <c r="BH1059" s="5"/>
      <c r="BI1059" s="5" t="str">
        <f ca="1">IF('Rent Roll'!$AC169=1,'Rent Roll'!E169,"")</f>
        <v/>
      </c>
      <c r="BJ1059" s="39" t="str">
        <f ca="1">IF('Rent Roll'!$AC169=1,'Rent Roll'!G169,"")</f>
        <v/>
      </c>
      <c r="BK1059" s="1547" t="str">
        <f ca="1">IF('Rent Roll'!$AC169=1,'Rent Roll'!K169,"")</f>
        <v/>
      </c>
      <c r="BL1059" s="1551" t="str">
        <f ca="1">IF('Rent Roll'!$AC169=1,'Rent Roll'!N169,"")</f>
        <v/>
      </c>
      <c r="BM1059" s="5"/>
      <c r="BN1059" s="6"/>
      <c r="BO1059" s="32"/>
      <c r="BP1059" s="342"/>
      <c r="BQ1059" s="343"/>
      <c r="BR1059" s="342"/>
      <c r="BS1059" s="343"/>
      <c r="BT1059" s="32"/>
      <c r="BU1059" s="187"/>
      <c r="BV1059" s="187"/>
    </row>
    <row r="1060" spans="1:74" ht="15.95" hidden="1" customHeight="1" x14ac:dyDescent="0.25">
      <c r="A1060" s="957">
        <f t="shared" ca="1" si="35"/>
        <v>0</v>
      </c>
      <c r="BG1060" s="4"/>
      <c r="BH1060" s="5"/>
      <c r="BI1060" s="5" t="str">
        <f ca="1">IF('Rent Roll'!$AC170=1,'Rent Roll'!E170,"")</f>
        <v/>
      </c>
      <c r="BJ1060" s="39" t="str">
        <f ca="1">IF('Rent Roll'!$AC170=1,'Rent Roll'!G170,"")</f>
        <v/>
      </c>
      <c r="BK1060" s="1547" t="str">
        <f ca="1">IF('Rent Roll'!$AC170=1,'Rent Roll'!K170,"")</f>
        <v/>
      </c>
      <c r="BL1060" s="1551" t="str">
        <f ca="1">IF('Rent Roll'!$AC170=1,'Rent Roll'!N170,"")</f>
        <v/>
      </c>
      <c r="BM1060" s="5"/>
      <c r="BN1060" s="6"/>
      <c r="BO1060" s="32"/>
      <c r="BP1060" s="342"/>
      <c r="BQ1060" s="343"/>
      <c r="BR1060" s="342"/>
      <c r="BS1060" s="343"/>
      <c r="BT1060" s="32"/>
      <c r="BU1060" s="187"/>
      <c r="BV1060" s="187"/>
    </row>
    <row r="1061" spans="1:74" ht="15.95" hidden="1" customHeight="1" x14ac:dyDescent="0.25">
      <c r="A1061" s="957">
        <f t="shared" ca="1" si="35"/>
        <v>0</v>
      </c>
      <c r="BG1061" s="4"/>
      <c r="BH1061" s="5"/>
      <c r="BI1061" s="5" t="str">
        <f ca="1">IF('Rent Roll'!$AC171=1,'Rent Roll'!E171,"")</f>
        <v/>
      </c>
      <c r="BJ1061" s="39" t="str">
        <f ca="1">IF('Rent Roll'!$AC171=1,'Rent Roll'!G171,"")</f>
        <v/>
      </c>
      <c r="BK1061" s="1547" t="str">
        <f ca="1">IF('Rent Roll'!$AC171=1,'Rent Roll'!K171,"")</f>
        <v/>
      </c>
      <c r="BL1061" s="1551" t="str">
        <f ca="1">IF('Rent Roll'!$AC171=1,'Rent Roll'!N171,"")</f>
        <v/>
      </c>
      <c r="BM1061" s="5"/>
      <c r="BN1061" s="6"/>
      <c r="BO1061" s="32"/>
      <c r="BP1061" s="342"/>
      <c r="BQ1061" s="343"/>
      <c r="BR1061" s="342"/>
      <c r="BS1061" s="343"/>
      <c r="BT1061" s="32"/>
      <c r="BU1061" s="187"/>
      <c r="BV1061" s="187"/>
    </row>
    <row r="1062" spans="1:74" ht="15.95" hidden="1" customHeight="1" x14ac:dyDescent="0.25">
      <c r="A1062" s="957">
        <f t="shared" ca="1" si="35"/>
        <v>0</v>
      </c>
      <c r="BG1062" s="4"/>
      <c r="BH1062" s="5"/>
      <c r="BI1062" s="5" t="str">
        <f ca="1">IF('Rent Roll'!$AC172=1,'Rent Roll'!E172,"")</f>
        <v/>
      </c>
      <c r="BJ1062" s="39" t="str">
        <f ca="1">IF('Rent Roll'!$AC172=1,'Rent Roll'!G172,"")</f>
        <v/>
      </c>
      <c r="BK1062" s="1547" t="str">
        <f ca="1">IF('Rent Roll'!$AC172=1,'Rent Roll'!K172,"")</f>
        <v/>
      </c>
      <c r="BL1062" s="1551" t="str">
        <f ca="1">IF('Rent Roll'!$AC172=1,'Rent Roll'!N172,"")</f>
        <v/>
      </c>
      <c r="BM1062" s="5"/>
      <c r="BN1062" s="6"/>
      <c r="BO1062" s="32"/>
      <c r="BP1062" s="342"/>
      <c r="BQ1062" s="343"/>
      <c r="BR1062" s="342"/>
      <c r="BS1062" s="343"/>
      <c r="BT1062" s="32"/>
      <c r="BU1062" s="187"/>
      <c r="BV1062" s="187"/>
    </row>
    <row r="1063" spans="1:74" ht="15.95" hidden="1" customHeight="1" x14ac:dyDescent="0.25">
      <c r="A1063" s="957">
        <f t="shared" ca="1" si="35"/>
        <v>0</v>
      </c>
      <c r="BG1063" s="4"/>
      <c r="BH1063" s="5"/>
      <c r="BI1063" s="5" t="str">
        <f ca="1">IF('Rent Roll'!$AC173=1,'Rent Roll'!E173,"")</f>
        <v/>
      </c>
      <c r="BJ1063" s="39" t="str">
        <f ca="1">IF('Rent Roll'!$AC173=1,'Rent Roll'!G173,"")</f>
        <v/>
      </c>
      <c r="BK1063" s="1547" t="str">
        <f ca="1">IF('Rent Roll'!$AC173=1,'Rent Roll'!K173,"")</f>
        <v/>
      </c>
      <c r="BL1063" s="1551" t="str">
        <f ca="1">IF('Rent Roll'!$AC173=1,'Rent Roll'!N173,"")</f>
        <v/>
      </c>
      <c r="BM1063" s="5"/>
      <c r="BN1063" s="6"/>
      <c r="BO1063" s="32"/>
      <c r="BP1063" s="342"/>
      <c r="BQ1063" s="343"/>
      <c r="BR1063" s="342"/>
      <c r="BS1063" s="343"/>
      <c r="BT1063" s="32"/>
      <c r="BU1063" s="187"/>
      <c r="BV1063" s="187"/>
    </row>
    <row r="1064" spans="1:74" ht="15.95" hidden="1" customHeight="1" x14ac:dyDescent="0.25">
      <c r="A1064" s="957">
        <f t="shared" ca="1" si="35"/>
        <v>0</v>
      </c>
      <c r="BG1064" s="4"/>
      <c r="BH1064" s="5"/>
      <c r="BI1064" s="5" t="str">
        <f ca="1">IF('Rent Roll'!$AC174=1,'Rent Roll'!E174,"")</f>
        <v/>
      </c>
      <c r="BJ1064" s="39" t="str">
        <f ca="1">IF('Rent Roll'!$AC174=1,'Rent Roll'!G174,"")</f>
        <v/>
      </c>
      <c r="BK1064" s="1547" t="str">
        <f ca="1">IF('Rent Roll'!$AC174=1,'Rent Roll'!K174,"")</f>
        <v/>
      </c>
      <c r="BL1064" s="1551" t="str">
        <f ca="1">IF('Rent Roll'!$AC174=1,'Rent Roll'!N174,"")</f>
        <v/>
      </c>
      <c r="BM1064" s="5"/>
      <c r="BN1064" s="6"/>
      <c r="BO1064" s="32"/>
      <c r="BP1064" s="342"/>
      <c r="BQ1064" s="343"/>
      <c r="BR1064" s="342"/>
      <c r="BS1064" s="343"/>
      <c r="BT1064" s="32"/>
      <c r="BU1064" s="187"/>
      <c r="BV1064" s="187"/>
    </row>
    <row r="1065" spans="1:74" ht="15.95" hidden="1" customHeight="1" x14ac:dyDescent="0.25">
      <c r="A1065" s="957">
        <f t="shared" ca="1" si="35"/>
        <v>0</v>
      </c>
      <c r="BG1065" s="4"/>
      <c r="BH1065" s="5"/>
      <c r="BI1065" s="5" t="str">
        <f ca="1">IF('Rent Roll'!$AC175=1,'Rent Roll'!E175,"")</f>
        <v/>
      </c>
      <c r="BJ1065" s="39" t="str">
        <f ca="1">IF('Rent Roll'!$AC175=1,'Rent Roll'!G175,"")</f>
        <v/>
      </c>
      <c r="BK1065" s="1547" t="str">
        <f ca="1">IF('Rent Roll'!$AC175=1,'Rent Roll'!K175,"")</f>
        <v/>
      </c>
      <c r="BL1065" s="1551" t="str">
        <f ca="1">IF('Rent Roll'!$AC175=1,'Rent Roll'!N175,"")</f>
        <v/>
      </c>
      <c r="BM1065" s="5"/>
      <c r="BN1065" s="6"/>
      <c r="BO1065" s="32"/>
      <c r="BP1065" s="342"/>
      <c r="BQ1065" s="343"/>
      <c r="BR1065" s="342"/>
      <c r="BS1065" s="343"/>
      <c r="BT1065" s="32"/>
      <c r="BU1065" s="187"/>
      <c r="BV1065" s="187"/>
    </row>
    <row r="1066" spans="1:74" ht="15.95" hidden="1" customHeight="1" x14ac:dyDescent="0.25">
      <c r="A1066" s="957">
        <f t="shared" ca="1" si="35"/>
        <v>0</v>
      </c>
      <c r="BG1066" s="4"/>
      <c r="BH1066" s="5"/>
      <c r="BI1066" s="5" t="str">
        <f ca="1">IF('Rent Roll'!$AC176=1,'Rent Roll'!E176,"")</f>
        <v/>
      </c>
      <c r="BJ1066" s="39" t="str">
        <f ca="1">IF('Rent Roll'!$AC176=1,'Rent Roll'!G176,"")</f>
        <v/>
      </c>
      <c r="BK1066" s="1547" t="str">
        <f ca="1">IF('Rent Roll'!$AC176=1,'Rent Roll'!K176,"")</f>
        <v/>
      </c>
      <c r="BL1066" s="1551" t="str">
        <f ca="1">IF('Rent Roll'!$AC176=1,'Rent Roll'!N176,"")</f>
        <v/>
      </c>
      <c r="BM1066" s="5"/>
      <c r="BN1066" s="6"/>
      <c r="BO1066" s="32"/>
      <c r="BP1066" s="342"/>
      <c r="BQ1066" s="343"/>
      <c r="BR1066" s="342"/>
      <c r="BS1066" s="343"/>
      <c r="BT1066" s="32"/>
      <c r="BU1066" s="187"/>
      <c r="BV1066" s="187"/>
    </row>
    <row r="1067" spans="1:74" ht="15.95" hidden="1" customHeight="1" x14ac:dyDescent="0.25">
      <c r="A1067" s="957">
        <f t="shared" ca="1" si="35"/>
        <v>0</v>
      </c>
      <c r="BG1067" s="4"/>
      <c r="BH1067" s="5"/>
      <c r="BI1067" s="5" t="str">
        <f ca="1">IF('Rent Roll'!$AC177=1,'Rent Roll'!E177,"")</f>
        <v/>
      </c>
      <c r="BJ1067" s="39" t="str">
        <f ca="1">IF('Rent Roll'!$AC177=1,'Rent Roll'!G177,"")</f>
        <v/>
      </c>
      <c r="BK1067" s="1547" t="str">
        <f ca="1">IF('Rent Roll'!$AC177=1,'Rent Roll'!K177,"")</f>
        <v/>
      </c>
      <c r="BL1067" s="1551" t="str">
        <f ca="1">IF('Rent Roll'!$AC177=1,'Rent Roll'!N177,"")</f>
        <v/>
      </c>
      <c r="BM1067" s="5"/>
      <c r="BN1067" s="6"/>
      <c r="BO1067" s="32"/>
      <c r="BP1067" s="342"/>
      <c r="BQ1067" s="343"/>
      <c r="BR1067" s="342"/>
      <c r="BS1067" s="343"/>
      <c r="BT1067" s="32"/>
      <c r="BU1067" s="187"/>
      <c r="BV1067" s="187"/>
    </row>
    <row r="1068" spans="1:74" ht="15.95" hidden="1" customHeight="1" x14ac:dyDescent="0.25">
      <c r="A1068" s="957">
        <f t="shared" ca="1" si="35"/>
        <v>0</v>
      </c>
      <c r="BG1068" s="4"/>
      <c r="BH1068" s="5"/>
      <c r="BI1068" s="5" t="str">
        <f ca="1">IF('Rent Roll'!$AC178=1,'Rent Roll'!E178,"")</f>
        <v/>
      </c>
      <c r="BJ1068" s="39" t="str">
        <f ca="1">IF('Rent Roll'!$AC178=1,'Rent Roll'!G178,"")</f>
        <v/>
      </c>
      <c r="BK1068" s="1547" t="str">
        <f ca="1">IF('Rent Roll'!$AC178=1,'Rent Roll'!K178,"")</f>
        <v/>
      </c>
      <c r="BL1068" s="1551" t="str">
        <f ca="1">IF('Rent Roll'!$AC178=1,'Rent Roll'!N178,"")</f>
        <v/>
      </c>
      <c r="BM1068" s="5"/>
      <c r="BN1068" s="6"/>
      <c r="BO1068" s="32"/>
      <c r="BP1068" s="342"/>
      <c r="BQ1068" s="343"/>
      <c r="BR1068" s="342"/>
      <c r="BS1068" s="343"/>
      <c r="BT1068" s="32"/>
      <c r="BU1068" s="187"/>
      <c r="BV1068" s="187"/>
    </row>
    <row r="1069" spans="1:74" ht="15.95" hidden="1" customHeight="1" x14ac:dyDescent="0.25">
      <c r="A1069" s="957">
        <f t="shared" ca="1" si="35"/>
        <v>0</v>
      </c>
      <c r="BG1069" s="4"/>
      <c r="BH1069" s="5"/>
      <c r="BI1069" s="5" t="str">
        <f ca="1">IF('Rent Roll'!$AC179=1,'Rent Roll'!E179,"")</f>
        <v/>
      </c>
      <c r="BJ1069" s="39" t="str">
        <f ca="1">IF('Rent Roll'!$AC179=1,'Rent Roll'!G179,"")</f>
        <v/>
      </c>
      <c r="BK1069" s="1547" t="str">
        <f ca="1">IF('Rent Roll'!$AC179=1,'Rent Roll'!K179,"")</f>
        <v/>
      </c>
      <c r="BL1069" s="1551" t="str">
        <f ca="1">IF('Rent Roll'!$AC179=1,'Rent Roll'!N179,"")</f>
        <v/>
      </c>
      <c r="BM1069" s="5"/>
      <c r="BN1069" s="6"/>
      <c r="BO1069" s="32"/>
      <c r="BP1069" s="342"/>
      <c r="BQ1069" s="343"/>
      <c r="BR1069" s="342"/>
      <c r="BS1069" s="343"/>
      <c r="BT1069" s="32"/>
      <c r="BU1069" s="187"/>
      <c r="BV1069" s="187"/>
    </row>
    <row r="1070" spans="1:74" ht="15.95" hidden="1" customHeight="1" x14ac:dyDescent="0.25">
      <c r="A1070" s="957">
        <f t="shared" ca="1" si="35"/>
        <v>0</v>
      </c>
      <c r="BG1070" s="4"/>
      <c r="BH1070" s="5"/>
      <c r="BI1070" s="5" t="str">
        <f ca="1">IF('Rent Roll'!$AC180=1,'Rent Roll'!E180,"")</f>
        <v/>
      </c>
      <c r="BJ1070" s="39" t="str">
        <f ca="1">IF('Rent Roll'!$AC180=1,'Rent Roll'!G180,"")</f>
        <v/>
      </c>
      <c r="BK1070" s="1547" t="str">
        <f ca="1">IF('Rent Roll'!$AC180=1,'Rent Roll'!K180,"")</f>
        <v/>
      </c>
      <c r="BL1070" s="1551" t="str">
        <f ca="1">IF('Rent Roll'!$AC180=1,'Rent Roll'!N180,"")</f>
        <v/>
      </c>
      <c r="BM1070" s="5"/>
      <c r="BN1070" s="6"/>
      <c r="BO1070" s="32"/>
      <c r="BP1070" s="342"/>
      <c r="BQ1070" s="343"/>
      <c r="BR1070" s="342"/>
      <c r="BS1070" s="343"/>
      <c r="BT1070" s="32"/>
      <c r="BU1070" s="187"/>
      <c r="BV1070" s="187"/>
    </row>
    <row r="1071" spans="1:74" ht="15.95" hidden="1" customHeight="1" x14ac:dyDescent="0.25">
      <c r="A1071" s="957">
        <f t="shared" ca="1" si="35"/>
        <v>0</v>
      </c>
      <c r="BG1071" s="4"/>
      <c r="BH1071" s="5"/>
      <c r="BI1071" s="5" t="str">
        <f ca="1">IF('Rent Roll'!$AC181=1,'Rent Roll'!E181,"")</f>
        <v/>
      </c>
      <c r="BJ1071" s="39" t="str">
        <f ca="1">IF('Rent Roll'!$AC181=1,'Rent Roll'!G181,"")</f>
        <v/>
      </c>
      <c r="BK1071" s="1547" t="str">
        <f ca="1">IF('Rent Roll'!$AC181=1,'Rent Roll'!K181,"")</f>
        <v/>
      </c>
      <c r="BL1071" s="1551" t="str">
        <f ca="1">IF('Rent Roll'!$AC181=1,'Rent Roll'!N181,"")</f>
        <v/>
      </c>
      <c r="BM1071" s="5"/>
      <c r="BN1071" s="6"/>
      <c r="BO1071" s="32"/>
      <c r="BP1071" s="342"/>
      <c r="BQ1071" s="343"/>
      <c r="BR1071" s="342"/>
      <c r="BS1071" s="343"/>
      <c r="BT1071" s="32"/>
      <c r="BU1071" s="187"/>
      <c r="BV1071" s="187"/>
    </row>
    <row r="1072" spans="1:74" ht="15.95" hidden="1" customHeight="1" x14ac:dyDescent="0.25">
      <c r="A1072" s="957">
        <f t="shared" ca="1" si="35"/>
        <v>0</v>
      </c>
      <c r="BG1072" s="4"/>
      <c r="BH1072" s="5"/>
      <c r="BI1072" s="5" t="str">
        <f ca="1">IF('Rent Roll'!$AC182=1,'Rent Roll'!E182,"")</f>
        <v/>
      </c>
      <c r="BJ1072" s="39" t="str">
        <f ca="1">IF('Rent Roll'!$AC182=1,'Rent Roll'!G182,"")</f>
        <v/>
      </c>
      <c r="BK1072" s="1547" t="str">
        <f ca="1">IF('Rent Roll'!$AC182=1,'Rent Roll'!K182,"")</f>
        <v/>
      </c>
      <c r="BL1072" s="1551" t="str">
        <f ca="1">IF('Rent Roll'!$AC182=1,'Rent Roll'!N182,"")</f>
        <v/>
      </c>
      <c r="BM1072" s="5"/>
      <c r="BN1072" s="6"/>
      <c r="BO1072" s="32"/>
      <c r="BP1072" s="342"/>
      <c r="BQ1072" s="343"/>
      <c r="BR1072" s="342"/>
      <c r="BS1072" s="343"/>
      <c r="BT1072" s="32"/>
      <c r="BU1072" s="187"/>
      <c r="BV1072" s="187"/>
    </row>
    <row r="1073" spans="1:74" ht="15.95" hidden="1" customHeight="1" x14ac:dyDescent="0.25">
      <c r="A1073" s="957">
        <f t="shared" ca="1" si="35"/>
        <v>0</v>
      </c>
      <c r="BG1073" s="4"/>
      <c r="BH1073" s="5"/>
      <c r="BI1073" s="5" t="str">
        <f ca="1">IF('Rent Roll'!$AC183=1,'Rent Roll'!E183,"")</f>
        <v/>
      </c>
      <c r="BJ1073" s="39" t="str">
        <f ca="1">IF('Rent Roll'!$AC183=1,'Rent Roll'!G183,"")</f>
        <v/>
      </c>
      <c r="BK1073" s="1547" t="str">
        <f ca="1">IF('Rent Roll'!$AC183=1,'Rent Roll'!K183,"")</f>
        <v/>
      </c>
      <c r="BL1073" s="1551" t="str">
        <f ca="1">IF('Rent Roll'!$AC183=1,'Rent Roll'!N183,"")</f>
        <v/>
      </c>
      <c r="BM1073" s="5"/>
      <c r="BN1073" s="6"/>
      <c r="BO1073" s="32"/>
      <c r="BP1073" s="342"/>
      <c r="BQ1073" s="343"/>
      <c r="BR1073" s="342"/>
      <c r="BS1073" s="343"/>
      <c r="BT1073" s="32"/>
      <c r="BU1073" s="187"/>
      <c r="BV1073" s="187"/>
    </row>
    <row r="1074" spans="1:74" ht="15.95" hidden="1" customHeight="1" x14ac:dyDescent="0.25">
      <c r="A1074" s="957">
        <f t="shared" ca="1" si="35"/>
        <v>0</v>
      </c>
      <c r="BG1074" s="4"/>
      <c r="BH1074" s="5"/>
      <c r="BI1074" s="5" t="str">
        <f ca="1">IF('Rent Roll'!$AC184=1,'Rent Roll'!E184,"")</f>
        <v/>
      </c>
      <c r="BJ1074" s="39" t="str">
        <f ca="1">IF('Rent Roll'!$AC184=1,'Rent Roll'!G184,"")</f>
        <v/>
      </c>
      <c r="BK1074" s="1547" t="str">
        <f ca="1">IF('Rent Roll'!$AC184=1,'Rent Roll'!K184,"")</f>
        <v/>
      </c>
      <c r="BL1074" s="1551" t="str">
        <f ca="1">IF('Rent Roll'!$AC184=1,'Rent Roll'!N184,"")</f>
        <v/>
      </c>
      <c r="BM1074" s="5"/>
      <c r="BN1074" s="6"/>
      <c r="BO1074" s="32"/>
      <c r="BP1074" s="342"/>
      <c r="BQ1074" s="343"/>
      <c r="BR1074" s="342"/>
      <c r="BS1074" s="343"/>
      <c r="BT1074" s="32"/>
      <c r="BU1074" s="187"/>
      <c r="BV1074" s="187"/>
    </row>
    <row r="1075" spans="1:74" ht="15.95" hidden="1" customHeight="1" x14ac:dyDescent="0.25">
      <c r="A1075" s="957">
        <f t="shared" ca="1" si="35"/>
        <v>0</v>
      </c>
      <c r="BG1075" s="4"/>
      <c r="BH1075" s="5"/>
      <c r="BI1075" s="5" t="str">
        <f ca="1">IF('Rent Roll'!$AC185=1,'Rent Roll'!E185,"")</f>
        <v/>
      </c>
      <c r="BJ1075" s="39" t="str">
        <f ca="1">IF('Rent Roll'!$AC185=1,'Rent Roll'!G185,"")</f>
        <v/>
      </c>
      <c r="BK1075" s="1547" t="str">
        <f ca="1">IF('Rent Roll'!$AC185=1,'Rent Roll'!K185,"")</f>
        <v/>
      </c>
      <c r="BL1075" s="1551" t="str">
        <f ca="1">IF('Rent Roll'!$AC185=1,'Rent Roll'!N185,"")</f>
        <v/>
      </c>
      <c r="BM1075" s="5"/>
      <c r="BN1075" s="6"/>
      <c r="BO1075" s="32"/>
      <c r="BP1075" s="342"/>
      <c r="BQ1075" s="343"/>
      <c r="BR1075" s="342"/>
      <c r="BS1075" s="343"/>
      <c r="BT1075" s="32"/>
      <c r="BU1075" s="187"/>
      <c r="BV1075" s="187"/>
    </row>
    <row r="1076" spans="1:74" ht="15.95" hidden="1" customHeight="1" x14ac:dyDescent="0.25">
      <c r="A1076" s="957">
        <f t="shared" ca="1" si="35"/>
        <v>0</v>
      </c>
      <c r="BG1076" s="4"/>
      <c r="BH1076" s="5"/>
      <c r="BI1076" s="5" t="str">
        <f ca="1">IF('Rent Roll'!$AC186=1,'Rent Roll'!E186,"")</f>
        <v/>
      </c>
      <c r="BJ1076" s="39" t="str">
        <f ca="1">IF('Rent Roll'!$AC186=1,'Rent Roll'!G186,"")</f>
        <v/>
      </c>
      <c r="BK1076" s="1547" t="str">
        <f ca="1">IF('Rent Roll'!$AC186=1,'Rent Roll'!K186,"")</f>
        <v/>
      </c>
      <c r="BL1076" s="1551" t="str">
        <f ca="1">IF('Rent Roll'!$AC186=1,'Rent Roll'!N186,"")</f>
        <v/>
      </c>
      <c r="BM1076" s="5"/>
      <c r="BN1076" s="6"/>
      <c r="BO1076" s="32"/>
      <c r="BP1076" s="342"/>
      <c r="BQ1076" s="343"/>
      <c r="BR1076" s="342"/>
      <c r="BS1076" s="343"/>
      <c r="BT1076" s="32"/>
      <c r="BU1076" s="187"/>
      <c r="BV1076" s="187"/>
    </row>
    <row r="1077" spans="1:74" ht="15.95" hidden="1" customHeight="1" x14ac:dyDescent="0.25">
      <c r="A1077" s="957">
        <f t="shared" ca="1" si="35"/>
        <v>0</v>
      </c>
      <c r="BG1077" s="4"/>
      <c r="BH1077" s="5"/>
      <c r="BI1077" s="5" t="str">
        <f ca="1">IF('Rent Roll'!$AC187=1,'Rent Roll'!E187,"")</f>
        <v/>
      </c>
      <c r="BJ1077" s="39" t="str">
        <f ca="1">IF('Rent Roll'!$AC187=1,'Rent Roll'!G187,"")</f>
        <v/>
      </c>
      <c r="BK1077" s="1547" t="str">
        <f ca="1">IF('Rent Roll'!$AC187=1,'Rent Roll'!K187,"")</f>
        <v/>
      </c>
      <c r="BL1077" s="1551" t="str">
        <f ca="1">IF('Rent Roll'!$AC187=1,'Rent Roll'!N187,"")</f>
        <v/>
      </c>
      <c r="BM1077" s="5"/>
      <c r="BN1077" s="6"/>
      <c r="BO1077" s="32"/>
      <c r="BP1077" s="342"/>
      <c r="BQ1077" s="343"/>
      <c r="BR1077" s="342"/>
      <c r="BS1077" s="343"/>
      <c r="BT1077" s="32"/>
      <c r="BU1077" s="187"/>
      <c r="BV1077" s="187"/>
    </row>
    <row r="1078" spans="1:74" ht="15.95" hidden="1" customHeight="1" x14ac:dyDescent="0.25">
      <c r="A1078" s="957">
        <f t="shared" ca="1" si="35"/>
        <v>0</v>
      </c>
      <c r="BG1078" s="4"/>
      <c r="BH1078" s="5"/>
      <c r="BI1078" s="5" t="str">
        <f ca="1">IF('Rent Roll'!$AC188=1,'Rent Roll'!E188,"")</f>
        <v/>
      </c>
      <c r="BJ1078" s="39" t="str">
        <f ca="1">IF('Rent Roll'!$AC188=1,'Rent Roll'!G188,"")</f>
        <v/>
      </c>
      <c r="BK1078" s="1547" t="str">
        <f ca="1">IF('Rent Roll'!$AC188=1,'Rent Roll'!K188,"")</f>
        <v/>
      </c>
      <c r="BL1078" s="1551" t="str">
        <f ca="1">IF('Rent Roll'!$AC188=1,'Rent Roll'!N188,"")</f>
        <v/>
      </c>
      <c r="BM1078" s="5"/>
      <c r="BN1078" s="6"/>
      <c r="BO1078" s="32"/>
      <c r="BP1078" s="342"/>
      <c r="BQ1078" s="343"/>
      <c r="BR1078" s="342"/>
      <c r="BS1078" s="343"/>
      <c r="BT1078" s="32"/>
      <c r="BU1078" s="187"/>
      <c r="BV1078" s="187"/>
    </row>
    <row r="1079" spans="1:74" ht="15.95" hidden="1" customHeight="1" x14ac:dyDescent="0.25">
      <c r="A1079" s="957">
        <f t="shared" ca="1" si="35"/>
        <v>0</v>
      </c>
      <c r="BG1079" s="4"/>
      <c r="BH1079" s="5"/>
      <c r="BI1079" s="5" t="str">
        <f ca="1">IF('Rent Roll'!$AC189=1,'Rent Roll'!E189,"")</f>
        <v/>
      </c>
      <c r="BJ1079" s="39" t="str">
        <f ca="1">IF('Rent Roll'!$AC189=1,'Rent Roll'!G189,"")</f>
        <v/>
      </c>
      <c r="BK1079" s="1547" t="str">
        <f ca="1">IF('Rent Roll'!$AC189=1,'Rent Roll'!K189,"")</f>
        <v/>
      </c>
      <c r="BL1079" s="1551" t="str">
        <f ca="1">IF('Rent Roll'!$AC189=1,'Rent Roll'!N189,"")</f>
        <v/>
      </c>
      <c r="BM1079" s="5"/>
      <c r="BN1079" s="6"/>
      <c r="BO1079" s="32"/>
      <c r="BP1079" s="342"/>
      <c r="BQ1079" s="343"/>
      <c r="BR1079" s="342"/>
      <c r="BS1079" s="343"/>
      <c r="BT1079" s="32"/>
      <c r="BU1079" s="187"/>
      <c r="BV1079" s="187"/>
    </row>
    <row r="1080" spans="1:74" ht="15.95" hidden="1" customHeight="1" x14ac:dyDescent="0.25">
      <c r="A1080" s="957">
        <f t="shared" ca="1" si="35"/>
        <v>0</v>
      </c>
      <c r="BG1080" s="4"/>
      <c r="BH1080" s="5"/>
      <c r="BI1080" s="5" t="str">
        <f ca="1">IF('Rent Roll'!$AC190=1,'Rent Roll'!E190,"")</f>
        <v/>
      </c>
      <c r="BJ1080" s="39" t="str">
        <f ca="1">IF('Rent Roll'!$AC190=1,'Rent Roll'!G190,"")</f>
        <v/>
      </c>
      <c r="BK1080" s="1547" t="str">
        <f ca="1">IF('Rent Roll'!$AC190=1,'Rent Roll'!K190,"")</f>
        <v/>
      </c>
      <c r="BL1080" s="1551" t="str">
        <f ca="1">IF('Rent Roll'!$AC190=1,'Rent Roll'!N190,"")</f>
        <v/>
      </c>
      <c r="BM1080" s="5"/>
      <c r="BN1080" s="6"/>
      <c r="BO1080" s="32"/>
      <c r="BP1080" s="342"/>
      <c r="BQ1080" s="343"/>
      <c r="BR1080" s="342"/>
      <c r="BS1080" s="343"/>
      <c r="BT1080" s="32"/>
      <c r="BU1080" s="187"/>
      <c r="BV1080" s="187"/>
    </row>
    <row r="1081" spans="1:74" ht="15.95" hidden="1" customHeight="1" x14ac:dyDescent="0.25">
      <c r="A1081" s="957">
        <f t="shared" ca="1" si="35"/>
        <v>0</v>
      </c>
      <c r="BG1081" s="4"/>
      <c r="BH1081" s="5"/>
      <c r="BI1081" s="5" t="str">
        <f ca="1">IF('Rent Roll'!$AC191=1,'Rent Roll'!E191,"")</f>
        <v/>
      </c>
      <c r="BJ1081" s="39" t="str">
        <f ca="1">IF('Rent Roll'!$AC191=1,'Rent Roll'!G191,"")</f>
        <v/>
      </c>
      <c r="BK1081" s="1547" t="str">
        <f ca="1">IF('Rent Roll'!$AC191=1,'Rent Roll'!K191,"")</f>
        <v/>
      </c>
      <c r="BL1081" s="1551" t="str">
        <f ca="1">IF('Rent Roll'!$AC191=1,'Rent Roll'!N191,"")</f>
        <v/>
      </c>
      <c r="BM1081" s="5"/>
      <c r="BN1081" s="6"/>
      <c r="BO1081" s="32"/>
      <c r="BP1081" s="342"/>
      <c r="BQ1081" s="343"/>
      <c r="BR1081" s="342"/>
      <c r="BS1081" s="343"/>
      <c r="BT1081" s="32"/>
      <c r="BU1081" s="187"/>
      <c r="BV1081" s="187"/>
    </row>
    <row r="1082" spans="1:74" ht="15.95" hidden="1" customHeight="1" x14ac:dyDescent="0.25">
      <c r="A1082" s="957">
        <f t="shared" ca="1" si="35"/>
        <v>0</v>
      </c>
      <c r="BG1082" s="4"/>
      <c r="BH1082" s="5"/>
      <c r="BI1082" s="5" t="str">
        <f ca="1">IF('Rent Roll'!$AC192=1,'Rent Roll'!E192,"")</f>
        <v/>
      </c>
      <c r="BJ1082" s="39" t="str">
        <f ca="1">IF('Rent Roll'!$AC192=1,'Rent Roll'!G192,"")</f>
        <v/>
      </c>
      <c r="BK1082" s="1547" t="str">
        <f ca="1">IF('Rent Roll'!$AC192=1,'Rent Roll'!K192,"")</f>
        <v/>
      </c>
      <c r="BL1082" s="1551" t="str">
        <f ca="1">IF('Rent Roll'!$AC192=1,'Rent Roll'!N192,"")</f>
        <v/>
      </c>
      <c r="BM1082" s="5"/>
      <c r="BN1082" s="6"/>
      <c r="BO1082" s="32"/>
      <c r="BP1082" s="342"/>
      <c r="BQ1082" s="343"/>
      <c r="BR1082" s="342"/>
      <c r="BS1082" s="343"/>
      <c r="BT1082" s="32"/>
      <c r="BU1082" s="187"/>
      <c r="BV1082" s="187"/>
    </row>
    <row r="1083" spans="1:74" ht="15.95" hidden="1" customHeight="1" x14ac:dyDescent="0.25">
      <c r="A1083" s="957">
        <f t="shared" ca="1" si="35"/>
        <v>0</v>
      </c>
      <c r="BG1083" s="4"/>
      <c r="BH1083" s="5"/>
      <c r="BI1083" s="5" t="str">
        <f ca="1">IF('Rent Roll'!$AC193=1,'Rent Roll'!E193,"")</f>
        <v/>
      </c>
      <c r="BJ1083" s="39" t="str">
        <f ca="1">IF('Rent Roll'!$AC193=1,'Rent Roll'!G193,"")</f>
        <v/>
      </c>
      <c r="BK1083" s="1547" t="str">
        <f ca="1">IF('Rent Roll'!$AC193=1,'Rent Roll'!K193,"")</f>
        <v/>
      </c>
      <c r="BL1083" s="1551" t="str">
        <f ca="1">IF('Rent Roll'!$AC193=1,'Rent Roll'!N193,"")</f>
        <v/>
      </c>
      <c r="BM1083" s="5"/>
      <c r="BN1083" s="6"/>
      <c r="BO1083" s="32"/>
      <c r="BP1083" s="342"/>
      <c r="BQ1083" s="343"/>
      <c r="BR1083" s="342"/>
      <c r="BS1083" s="343"/>
      <c r="BT1083" s="32"/>
      <c r="BU1083" s="187"/>
      <c r="BV1083" s="187"/>
    </row>
    <row r="1084" spans="1:74" ht="15.95" hidden="1" customHeight="1" x14ac:dyDescent="0.25">
      <c r="A1084" s="957">
        <f t="shared" ca="1" si="35"/>
        <v>0</v>
      </c>
      <c r="BG1084" s="4"/>
      <c r="BH1084" s="5"/>
      <c r="BI1084" s="5" t="str">
        <f ca="1">IF('Rent Roll'!$AC194=1,'Rent Roll'!E194,"")</f>
        <v/>
      </c>
      <c r="BJ1084" s="39" t="str">
        <f ca="1">IF('Rent Roll'!$AC194=1,'Rent Roll'!G194,"")</f>
        <v/>
      </c>
      <c r="BK1084" s="1547" t="str">
        <f ca="1">IF('Rent Roll'!$AC194=1,'Rent Roll'!K194,"")</f>
        <v/>
      </c>
      <c r="BL1084" s="1551" t="str">
        <f ca="1">IF('Rent Roll'!$AC194=1,'Rent Roll'!N194,"")</f>
        <v/>
      </c>
      <c r="BM1084" s="5"/>
      <c r="BN1084" s="6"/>
      <c r="BO1084" s="32"/>
      <c r="BP1084" s="342"/>
      <c r="BQ1084" s="343"/>
      <c r="BR1084" s="342"/>
      <c r="BS1084" s="343"/>
      <c r="BT1084" s="32"/>
      <c r="BU1084" s="187"/>
      <c r="BV1084" s="187"/>
    </row>
    <row r="1085" spans="1:74" ht="15.95" hidden="1" customHeight="1" x14ac:dyDescent="0.25">
      <c r="A1085" s="957">
        <f t="shared" ca="1" si="35"/>
        <v>0</v>
      </c>
      <c r="BG1085" s="4"/>
      <c r="BH1085" s="5"/>
      <c r="BI1085" s="5" t="str">
        <f ca="1">IF('Rent Roll'!$AC195=1,'Rent Roll'!E195,"")</f>
        <v/>
      </c>
      <c r="BJ1085" s="39" t="str">
        <f ca="1">IF('Rent Roll'!$AC195=1,'Rent Roll'!G195,"")</f>
        <v/>
      </c>
      <c r="BK1085" s="1547" t="str">
        <f ca="1">IF('Rent Roll'!$AC195=1,'Rent Roll'!K195,"")</f>
        <v/>
      </c>
      <c r="BL1085" s="1551" t="str">
        <f ca="1">IF('Rent Roll'!$AC195=1,'Rent Roll'!N195,"")</f>
        <v/>
      </c>
      <c r="BM1085" s="5"/>
      <c r="BN1085" s="6"/>
      <c r="BO1085" s="32"/>
      <c r="BP1085" s="342"/>
      <c r="BQ1085" s="343"/>
      <c r="BR1085" s="342"/>
      <c r="BS1085" s="343"/>
      <c r="BT1085" s="32"/>
      <c r="BU1085" s="187"/>
      <c r="BV1085" s="187"/>
    </row>
    <row r="1086" spans="1:74" ht="15.95" hidden="1" customHeight="1" x14ac:dyDescent="0.25">
      <c r="A1086" s="957">
        <f t="shared" ca="1" si="35"/>
        <v>0</v>
      </c>
      <c r="BG1086" s="4"/>
      <c r="BH1086" s="5"/>
      <c r="BI1086" s="5" t="str">
        <f ca="1">IF('Rent Roll'!$AC196=1,'Rent Roll'!E196,"")</f>
        <v/>
      </c>
      <c r="BJ1086" s="39" t="str">
        <f ca="1">IF('Rent Roll'!$AC196=1,'Rent Roll'!G196,"")</f>
        <v/>
      </c>
      <c r="BK1086" s="1547" t="str">
        <f ca="1">IF('Rent Roll'!$AC196=1,'Rent Roll'!K196,"")</f>
        <v/>
      </c>
      <c r="BL1086" s="1551" t="str">
        <f ca="1">IF('Rent Roll'!$AC196=1,'Rent Roll'!N196,"")</f>
        <v/>
      </c>
      <c r="BM1086" s="5"/>
      <c r="BN1086" s="6"/>
      <c r="BO1086" s="32"/>
      <c r="BP1086" s="342"/>
      <c r="BQ1086" s="343"/>
      <c r="BR1086" s="342"/>
      <c r="BS1086" s="343"/>
      <c r="BT1086" s="32"/>
      <c r="BU1086" s="187"/>
      <c r="BV1086" s="187"/>
    </row>
    <row r="1087" spans="1:74" ht="15.95" hidden="1" customHeight="1" x14ac:dyDescent="0.25">
      <c r="A1087" s="957">
        <f t="shared" ca="1" si="35"/>
        <v>0</v>
      </c>
      <c r="BG1087" s="4"/>
      <c r="BH1087" s="5"/>
      <c r="BI1087" s="5" t="str">
        <f ca="1">IF('Rent Roll'!$AC197=1,'Rent Roll'!E197,"")</f>
        <v/>
      </c>
      <c r="BJ1087" s="39" t="str">
        <f ca="1">IF('Rent Roll'!$AC197=1,'Rent Roll'!G197,"")</f>
        <v/>
      </c>
      <c r="BK1087" s="1547" t="str">
        <f ca="1">IF('Rent Roll'!$AC197=1,'Rent Roll'!K197,"")</f>
        <v/>
      </c>
      <c r="BL1087" s="1551" t="str">
        <f ca="1">IF('Rent Roll'!$AC197=1,'Rent Roll'!N197,"")</f>
        <v/>
      </c>
      <c r="BM1087" s="5"/>
      <c r="BN1087" s="6"/>
      <c r="BO1087" s="32"/>
      <c r="BP1087" s="342"/>
      <c r="BQ1087" s="343"/>
      <c r="BR1087" s="342"/>
      <c r="BS1087" s="343"/>
      <c r="BT1087" s="32"/>
      <c r="BU1087" s="187"/>
      <c r="BV1087" s="187"/>
    </row>
    <row r="1088" spans="1:74" ht="15.95" hidden="1" customHeight="1" x14ac:dyDescent="0.25">
      <c r="A1088" s="957">
        <f t="shared" ca="1" si="35"/>
        <v>0</v>
      </c>
      <c r="BG1088" s="4"/>
      <c r="BH1088" s="5"/>
      <c r="BI1088" s="5" t="str">
        <f ca="1">IF('Rent Roll'!$AC198=1,'Rent Roll'!E198,"")</f>
        <v/>
      </c>
      <c r="BJ1088" s="39" t="str">
        <f ca="1">IF('Rent Roll'!$AC198=1,'Rent Roll'!G198,"")</f>
        <v/>
      </c>
      <c r="BK1088" s="1547" t="str">
        <f ca="1">IF('Rent Roll'!$AC198=1,'Rent Roll'!K198,"")</f>
        <v/>
      </c>
      <c r="BL1088" s="1551" t="str">
        <f ca="1">IF('Rent Roll'!$AC198=1,'Rent Roll'!N198,"")</f>
        <v/>
      </c>
      <c r="BM1088" s="5"/>
      <c r="BN1088" s="6"/>
      <c r="BO1088" s="32"/>
      <c r="BP1088" s="342"/>
      <c r="BQ1088" s="343"/>
      <c r="BR1088" s="342"/>
      <c r="BS1088" s="343"/>
      <c r="BT1088" s="32"/>
      <c r="BU1088" s="187"/>
      <c r="BV1088" s="187"/>
    </row>
    <row r="1089" spans="1:82" ht="15.95" hidden="1" customHeight="1" x14ac:dyDescent="0.25">
      <c r="A1089" s="957">
        <f t="shared" ref="A1089:A1096" ca="1" si="36">IF(BI1089="",0,1)</f>
        <v>0</v>
      </c>
      <c r="BG1089" s="4"/>
      <c r="BH1089" s="5"/>
      <c r="BI1089" s="5" t="str">
        <f ca="1">IF('Rent Roll'!$AC199=1,'Rent Roll'!E199,"")</f>
        <v/>
      </c>
      <c r="BJ1089" s="39" t="str">
        <f ca="1">IF('Rent Roll'!$AC199=1,'Rent Roll'!G199,"")</f>
        <v/>
      </c>
      <c r="BK1089" s="1547" t="str">
        <f ca="1">IF('Rent Roll'!$AC199=1,'Rent Roll'!K199,"")</f>
        <v/>
      </c>
      <c r="BL1089" s="1551" t="str">
        <f ca="1">IF('Rent Roll'!$AC199=1,'Rent Roll'!N199,"")</f>
        <v/>
      </c>
      <c r="BM1089" s="5"/>
      <c r="BN1089" s="6"/>
      <c r="BO1089" s="32"/>
      <c r="BP1089" s="342"/>
      <c r="BQ1089" s="343"/>
      <c r="BR1089" s="342"/>
      <c r="BS1089" s="343"/>
      <c r="BT1089" s="32"/>
      <c r="BU1089" s="187"/>
      <c r="BV1089" s="187"/>
    </row>
    <row r="1090" spans="1:82" ht="15.95" hidden="1" customHeight="1" x14ac:dyDescent="0.25">
      <c r="A1090" s="957">
        <f t="shared" ca="1" si="36"/>
        <v>0</v>
      </c>
      <c r="BG1090" s="4"/>
      <c r="BH1090" s="5"/>
      <c r="BI1090" s="5" t="str">
        <f ca="1">IF('Rent Roll'!$AC200=1,'Rent Roll'!E200,"")</f>
        <v/>
      </c>
      <c r="BJ1090" s="39" t="str">
        <f ca="1">IF('Rent Roll'!$AC200=1,'Rent Roll'!G200,"")</f>
        <v/>
      </c>
      <c r="BK1090" s="1547" t="str">
        <f ca="1">IF('Rent Roll'!$AC200=1,'Rent Roll'!K200,"")</f>
        <v/>
      </c>
      <c r="BL1090" s="1551" t="str">
        <f ca="1">IF('Rent Roll'!$AC200=1,'Rent Roll'!N200,"")</f>
        <v/>
      </c>
      <c r="BM1090" s="5"/>
      <c r="BN1090" s="6"/>
      <c r="BO1090" s="32"/>
      <c r="BP1090" s="342"/>
      <c r="BQ1090" s="343"/>
      <c r="BR1090" s="342"/>
      <c r="BS1090" s="343"/>
      <c r="BT1090" s="32"/>
      <c r="BU1090" s="187"/>
      <c r="BV1090" s="187"/>
    </row>
    <row r="1091" spans="1:82" ht="15.95" hidden="1" customHeight="1" x14ac:dyDescent="0.25">
      <c r="A1091" s="957">
        <f t="shared" ca="1" si="36"/>
        <v>0</v>
      </c>
      <c r="BG1091" s="4"/>
      <c r="BH1091" s="5"/>
      <c r="BI1091" s="5" t="str">
        <f ca="1">IF('Rent Roll'!$AC201=1,'Rent Roll'!E201,"")</f>
        <v/>
      </c>
      <c r="BJ1091" s="39" t="str">
        <f ca="1">IF('Rent Roll'!$AC201=1,'Rent Roll'!G201,"")</f>
        <v/>
      </c>
      <c r="BK1091" s="1547" t="str">
        <f ca="1">IF('Rent Roll'!$AC201=1,'Rent Roll'!K201,"")</f>
        <v/>
      </c>
      <c r="BL1091" s="1551" t="str">
        <f ca="1">IF('Rent Roll'!$AC201=1,'Rent Roll'!N201,"")</f>
        <v/>
      </c>
      <c r="BM1091" s="5"/>
      <c r="BN1091" s="6"/>
      <c r="BO1091" s="32"/>
      <c r="BP1091" s="342"/>
      <c r="BQ1091" s="343"/>
      <c r="BR1091" s="342"/>
      <c r="BS1091" s="343"/>
      <c r="BT1091" s="32"/>
      <c r="BU1091" s="187"/>
      <c r="BV1091" s="187"/>
    </row>
    <row r="1092" spans="1:82" ht="15.95" hidden="1" customHeight="1" x14ac:dyDescent="0.25">
      <c r="A1092" s="957">
        <f t="shared" ca="1" si="36"/>
        <v>0</v>
      </c>
      <c r="BG1092" s="4"/>
      <c r="BH1092" s="5"/>
      <c r="BI1092" s="5" t="str">
        <f ca="1">IF('Rent Roll'!$AC202=1,'Rent Roll'!E202,"")</f>
        <v/>
      </c>
      <c r="BJ1092" s="39" t="str">
        <f ca="1">IF('Rent Roll'!$AC202=1,'Rent Roll'!G202,"")</f>
        <v/>
      </c>
      <c r="BK1092" s="1547" t="str">
        <f ca="1">IF('Rent Roll'!$AC202=1,'Rent Roll'!K202,"")</f>
        <v/>
      </c>
      <c r="BL1092" s="1551" t="str">
        <f ca="1">IF('Rent Roll'!$AC202=1,'Rent Roll'!N202,"")</f>
        <v/>
      </c>
      <c r="BM1092" s="5"/>
      <c r="BN1092" s="6"/>
      <c r="BO1092" s="32"/>
      <c r="BP1092" s="342"/>
      <c r="BQ1092" s="343"/>
      <c r="BR1092" s="342"/>
      <c r="BS1092" s="343"/>
      <c r="BT1092" s="32"/>
      <c r="BU1092" s="187"/>
      <c r="BV1092" s="187"/>
    </row>
    <row r="1093" spans="1:82" ht="15.95" hidden="1" customHeight="1" x14ac:dyDescent="0.25">
      <c r="A1093" s="957">
        <f t="shared" ca="1" si="36"/>
        <v>0</v>
      </c>
      <c r="BG1093" s="4"/>
      <c r="BH1093" s="5"/>
      <c r="BI1093" s="5" t="str">
        <f ca="1">IF('Rent Roll'!$AC203=1,'Rent Roll'!E203,"")</f>
        <v/>
      </c>
      <c r="BJ1093" s="39" t="str">
        <f ca="1">IF('Rent Roll'!$AC203=1,'Rent Roll'!G203,"")</f>
        <v/>
      </c>
      <c r="BK1093" s="1547" t="str">
        <f ca="1">IF('Rent Roll'!$AC203=1,'Rent Roll'!K203,"")</f>
        <v/>
      </c>
      <c r="BL1093" s="1551" t="str">
        <f ca="1">IF('Rent Roll'!$AC203=1,'Rent Roll'!N203,"")</f>
        <v/>
      </c>
      <c r="BM1093" s="5"/>
      <c r="BN1093" s="6"/>
      <c r="BO1093" s="32"/>
      <c r="BP1093" s="342"/>
      <c r="BQ1093" s="343"/>
      <c r="BR1093" s="342"/>
      <c r="BS1093" s="343"/>
      <c r="BT1093" s="32"/>
      <c r="BU1093" s="187"/>
      <c r="BV1093" s="187"/>
    </row>
    <row r="1094" spans="1:82" ht="15.95" hidden="1" customHeight="1" x14ac:dyDescent="0.25">
      <c r="A1094" s="957">
        <f t="shared" ca="1" si="36"/>
        <v>0</v>
      </c>
      <c r="BG1094" s="4"/>
      <c r="BH1094" s="5"/>
      <c r="BI1094" s="5" t="str">
        <f ca="1">IF('Rent Roll'!$AC204=1,'Rent Roll'!E204,"")</f>
        <v/>
      </c>
      <c r="BJ1094" s="39" t="str">
        <f ca="1">IF('Rent Roll'!$AC204=1,'Rent Roll'!G204,"")</f>
        <v/>
      </c>
      <c r="BK1094" s="1547" t="str">
        <f ca="1">IF('Rent Roll'!$AC204=1,'Rent Roll'!K204,"")</f>
        <v/>
      </c>
      <c r="BL1094" s="1551" t="str">
        <f ca="1">IF('Rent Roll'!$AC204=1,'Rent Roll'!N204,"")</f>
        <v/>
      </c>
      <c r="BM1094" s="5"/>
      <c r="BN1094" s="6"/>
      <c r="BO1094" s="32"/>
      <c r="BP1094" s="342"/>
      <c r="BQ1094" s="343"/>
      <c r="BR1094" s="342"/>
      <c r="BS1094" s="343"/>
      <c r="BT1094" s="32"/>
      <c r="BU1094" s="187"/>
      <c r="BV1094" s="187"/>
    </row>
    <row r="1095" spans="1:82" ht="15.95" hidden="1" customHeight="1" x14ac:dyDescent="0.25">
      <c r="A1095" s="957">
        <f t="shared" ca="1" si="36"/>
        <v>0</v>
      </c>
      <c r="BG1095" s="4"/>
      <c r="BH1095" s="5"/>
      <c r="BI1095" s="5" t="str">
        <f ca="1">IF('Rent Roll'!$AC205=1,'Rent Roll'!E205,"")</f>
        <v/>
      </c>
      <c r="BJ1095" s="39" t="str">
        <f ca="1">IF('Rent Roll'!$AC205=1,'Rent Roll'!G205,"")</f>
        <v/>
      </c>
      <c r="BK1095" s="1547" t="str">
        <f ca="1">IF('Rent Roll'!$AC205=1,'Rent Roll'!K205,"")</f>
        <v/>
      </c>
      <c r="BL1095" s="1551" t="str">
        <f ca="1">IF('Rent Roll'!$AC205=1,'Rent Roll'!N205,"")</f>
        <v/>
      </c>
      <c r="BM1095" s="5"/>
      <c r="BN1095" s="6"/>
      <c r="BO1095" s="32"/>
      <c r="BP1095" s="342"/>
      <c r="BQ1095" s="343"/>
      <c r="BR1095" s="342"/>
      <c r="BS1095" s="343"/>
      <c r="BT1095" s="32"/>
      <c r="BU1095" s="187"/>
      <c r="BV1095" s="187"/>
    </row>
    <row r="1096" spans="1:82" ht="15.95" hidden="1" customHeight="1" x14ac:dyDescent="0.25">
      <c r="A1096" s="957">
        <f t="shared" ca="1" si="36"/>
        <v>0</v>
      </c>
      <c r="BG1096" s="4"/>
      <c r="BH1096" s="5"/>
      <c r="BI1096" s="5" t="str">
        <f ca="1">IF('Rent Roll'!$AC206=1,'Rent Roll'!E206,"")</f>
        <v/>
      </c>
      <c r="BJ1096" s="39" t="str">
        <f ca="1">IF('Rent Roll'!$AC206=1,'Rent Roll'!G206,"")</f>
        <v/>
      </c>
      <c r="BK1096" s="1547" t="str">
        <f ca="1">IF('Rent Roll'!$AC206=1,'Rent Roll'!K206,"")</f>
        <v/>
      </c>
      <c r="BL1096" s="1551" t="str">
        <f ca="1">IF('Rent Roll'!$AC206=1,'Rent Roll'!N206,"")</f>
        <v/>
      </c>
      <c r="BM1096" s="5"/>
      <c r="BN1096" s="6"/>
      <c r="BO1096" s="32"/>
      <c r="BP1096" s="342"/>
      <c r="BQ1096" s="343"/>
      <c r="BR1096" s="342"/>
      <c r="BS1096" s="343"/>
      <c r="BT1096" s="32"/>
      <c r="BU1096" s="187"/>
      <c r="BV1096" s="187"/>
    </row>
    <row r="1097" spans="1:82" ht="15.95" hidden="1" customHeight="1" x14ac:dyDescent="0.25">
      <c r="A1097" s="957">
        <f ca="1">IF(dpIncome_TCat5_NRA_Vacant=0,0,1)</f>
        <v>0</v>
      </c>
      <c r="BG1097" s="4"/>
      <c r="BH1097" s="5"/>
      <c r="BI1097" s="1535" t="s">
        <v>142</v>
      </c>
      <c r="BJ1097" s="1560"/>
      <c r="BK1097" s="1561">
        <f ca="1">IF(Income_RentRollSource="No Rent Roll",Income_TCat5_NRA_Manual,SUM(BK897:BK1096))</f>
        <v>0</v>
      </c>
      <c r="BL1097" s="1562" t="e">
        <f ca="1">SUMPRODUCT(BK897:BK1096,BL897:BL1096)/BK1097</f>
        <v>#DIV/0!</v>
      </c>
      <c r="BM1097" s="5"/>
      <c r="BN1097" s="6"/>
      <c r="BO1097" s="32"/>
      <c r="BP1097" s="342"/>
      <c r="BQ1097" s="343"/>
      <c r="BR1097" s="342"/>
      <c r="BS1097" s="343"/>
      <c r="BT1097" s="32"/>
      <c r="BU1097" s="187"/>
      <c r="BV1097" s="187"/>
    </row>
    <row r="1098" spans="1:82" ht="15.95" hidden="1" customHeight="1" x14ac:dyDescent="0.25">
      <c r="A1098" s="957">
        <f ca="1">IF(dpIncome_TCat5_NRA_Vacant=0,0,1)</f>
        <v>0</v>
      </c>
      <c r="BG1098" s="4"/>
      <c r="BH1098" s="5"/>
      <c r="BI1098" s="1540" t="s">
        <v>139</v>
      </c>
      <c r="BJ1098" s="1541"/>
      <c r="BK1098" s="1549">
        <f ca="1">'Rent Roll'!K212</f>
        <v>0</v>
      </c>
      <c r="BL1098" s="1553">
        <f>Income_TCat5_MarketRent</f>
        <v>0</v>
      </c>
      <c r="BM1098" s="5"/>
      <c r="BN1098" s="6"/>
      <c r="BO1098" s="32"/>
      <c r="BP1098" s="342"/>
      <c r="BQ1098" s="343"/>
      <c r="BR1098" s="342"/>
      <c r="BS1098" s="343"/>
      <c r="BT1098" s="32"/>
      <c r="BU1098" s="187"/>
      <c r="BV1098" s="187"/>
    </row>
    <row r="1099" spans="1:82" ht="15.95" customHeight="1" thickBot="1" x14ac:dyDescent="0.3">
      <c r="A1099" s="957">
        <v>1</v>
      </c>
      <c r="BG1099" s="4"/>
      <c r="BH1099" s="5"/>
      <c r="BI1099" s="219" t="s">
        <v>93</v>
      </c>
      <c r="BJ1099" s="1542"/>
      <c r="BK1099" s="1550">
        <f ca="1">SUM(BK1097:BK1098)</f>
        <v>0</v>
      </c>
      <c r="BL1099" s="1554" t="e">
        <f ca="1">SUMPRODUCT(BK1097:BK1098,BL1097:BL1098)/Income_TCat5_NRA</f>
        <v>#DIV/0!</v>
      </c>
      <c r="BM1099" s="5"/>
      <c r="BN1099" s="6"/>
      <c r="BO1099" s="32"/>
      <c r="BP1099" s="344"/>
      <c r="BQ1099" s="345"/>
      <c r="BR1099" s="344"/>
      <c r="BS1099" s="345"/>
      <c r="BT1099" s="346"/>
      <c r="BU1099" s="187"/>
      <c r="BV1099" s="187"/>
    </row>
    <row r="1100" spans="1:82" x14ac:dyDescent="0.25">
      <c r="A1100" s="957">
        <v>1</v>
      </c>
      <c r="BG1100" s="4"/>
      <c r="BH1100" s="5"/>
      <c r="BI1100" s="556" t="s">
        <v>883</v>
      </c>
      <c r="BJ1100" s="5"/>
      <c r="BK1100" s="5"/>
      <c r="BL1100" s="5"/>
      <c r="BM1100" s="5"/>
      <c r="BN1100" s="6"/>
      <c r="BO1100" s="32"/>
      <c r="BP1100" s="96"/>
      <c r="BQ1100" s="96"/>
      <c r="BR1100" s="32"/>
      <c r="BS1100" s="32"/>
      <c r="BT1100" s="225"/>
      <c r="BU1100" s="187"/>
      <c r="BV1100" s="187"/>
    </row>
    <row r="1101" spans="1:82" ht="9.9499999999999993" customHeight="1" thickBot="1" x14ac:dyDescent="0.3">
      <c r="A1101" s="957">
        <v>1</v>
      </c>
      <c r="BG1101" s="11"/>
      <c r="BH1101" s="11"/>
      <c r="BI1101" s="11"/>
      <c r="BJ1101" s="41"/>
      <c r="BK1101" s="11"/>
      <c r="BL1101" s="11"/>
      <c r="BM1101" s="11"/>
      <c r="BN1101" s="11"/>
      <c r="BO1101" s="32"/>
      <c r="BP1101" s="96"/>
      <c r="BQ1101" s="96"/>
      <c r="BR1101" s="32"/>
      <c r="BS1101" s="32"/>
      <c r="BT1101" s="225"/>
      <c r="BU1101" s="187"/>
      <c r="BV1101" s="187"/>
    </row>
    <row r="1102" spans="1:82" x14ac:dyDescent="0.25">
      <c r="A1102" s="957">
        <v>1</v>
      </c>
      <c r="BO1102" s="1"/>
      <c r="BP1102" s="2"/>
      <c r="BQ1102" s="2"/>
      <c r="BR1102" s="2"/>
      <c r="BS1102" s="2"/>
      <c r="BT1102" s="2"/>
      <c r="BU1102" s="2"/>
      <c r="BV1102" s="3"/>
      <c r="BW1102" s="32"/>
      <c r="BX1102" s="96"/>
      <c r="BY1102" s="96"/>
      <c r="BZ1102" s="32"/>
      <c r="CA1102" s="32"/>
      <c r="CB1102" s="225"/>
      <c r="CC1102" s="187"/>
      <c r="CD1102" s="187"/>
    </row>
    <row r="1103" spans="1:82" ht="15.95" customHeight="1" x14ac:dyDescent="0.3">
      <c r="A1103" s="957">
        <v>1</v>
      </c>
      <c r="BO1103" s="4"/>
      <c r="BP1103" s="5"/>
      <c r="BQ1103" s="4284">
        <f>Income_TCat6</f>
        <v>0</v>
      </c>
      <c r="BR1103" s="4284"/>
      <c r="BS1103" s="4284"/>
      <c r="BT1103" s="4284"/>
      <c r="BU1103" s="27"/>
      <c r="BV1103" s="6"/>
      <c r="BW1103" s="32"/>
      <c r="BX1103" s="96"/>
      <c r="BY1103" s="96"/>
      <c r="BZ1103" s="32"/>
      <c r="CA1103" s="32"/>
      <c r="CB1103" s="225"/>
      <c r="CC1103" s="187"/>
      <c r="CD1103" s="187"/>
    </row>
    <row r="1104" spans="1:82" ht="15.95" customHeight="1" x14ac:dyDescent="0.25">
      <c r="A1104" s="957">
        <v>1</v>
      </c>
      <c r="BO1104" s="4"/>
      <c r="BP1104" s="12"/>
      <c r="BQ1104" s="12" t="s">
        <v>398</v>
      </c>
      <c r="BR1104" s="150" t="s">
        <v>401</v>
      </c>
      <c r="BS1104" s="55" t="s">
        <v>20</v>
      </c>
      <c r="BT1104" s="55" t="s">
        <v>132</v>
      </c>
      <c r="BU1104" s="150"/>
      <c r="BV1104" s="6"/>
      <c r="BW1104" s="32"/>
      <c r="BX1104" s="96"/>
      <c r="BY1104" s="96"/>
      <c r="BZ1104" s="32"/>
      <c r="CA1104" s="32"/>
      <c r="CB1104" s="225"/>
      <c r="CC1104" s="187"/>
      <c r="CD1104" s="187"/>
    </row>
    <row r="1105" spans="1:82" ht="15.95" hidden="1" customHeight="1" x14ac:dyDescent="0.25">
      <c r="A1105" s="957">
        <f t="shared" ref="A1105:A1136" ca="1" si="37">IF(BQ1105="",0,1)</f>
        <v>0</v>
      </c>
      <c r="BO1105" s="4"/>
      <c r="BP1105" s="5"/>
      <c r="BQ1105" s="5" t="str">
        <f ca="1">IF('Rent Roll'!$AD7=1,'Rent Roll'!E7,"")</f>
        <v/>
      </c>
      <c r="BR1105" s="39" t="str">
        <f ca="1">IF('Rent Roll'!$AD7=1,'Rent Roll'!G7,"")</f>
        <v/>
      </c>
      <c r="BS1105" s="1547" t="str">
        <f ca="1">IF('Rent Roll'!$AD7=1,'Rent Roll'!K7,"")</f>
        <v/>
      </c>
      <c r="BT1105" s="1551" t="str">
        <f ca="1">IF('Rent Roll'!$AD7=1,'Rent Roll'!N7,"")</f>
        <v/>
      </c>
      <c r="BU1105" s="223"/>
      <c r="BV1105" s="6"/>
      <c r="BW1105" s="32"/>
      <c r="BX1105" s="342"/>
      <c r="BY1105" s="343"/>
      <c r="BZ1105" s="342"/>
      <c r="CA1105" s="343"/>
      <c r="CB1105" s="32"/>
      <c r="CC1105" s="187"/>
      <c r="CD1105" s="187"/>
    </row>
    <row r="1106" spans="1:82" ht="15.95" hidden="1" customHeight="1" x14ac:dyDescent="0.25">
      <c r="A1106" s="957">
        <f t="shared" ca="1" si="37"/>
        <v>0</v>
      </c>
      <c r="BO1106" s="4"/>
      <c r="BP1106" s="5"/>
      <c r="BQ1106" s="5" t="str">
        <f ca="1">IF('Rent Roll'!$AD8=1,'Rent Roll'!E8,"")</f>
        <v/>
      </c>
      <c r="BR1106" s="39" t="str">
        <f ca="1">IF('Rent Roll'!$AD8=1,'Rent Roll'!G8,"")</f>
        <v/>
      </c>
      <c r="BS1106" s="1547" t="str">
        <f ca="1">IF('Rent Roll'!$AD8=1,'Rent Roll'!K8,"")</f>
        <v/>
      </c>
      <c r="BT1106" s="1551" t="str">
        <f ca="1">IF('Rent Roll'!$AD8=1,'Rent Roll'!N8,"")</f>
        <v/>
      </c>
      <c r="BU1106" s="223"/>
      <c r="BV1106" s="6"/>
      <c r="BW1106" s="32"/>
      <c r="BX1106" s="342"/>
      <c r="BY1106" s="343"/>
      <c r="BZ1106" s="342"/>
      <c r="CA1106" s="343"/>
      <c r="CB1106" s="32"/>
      <c r="CC1106" s="187"/>
      <c r="CD1106" s="187"/>
    </row>
    <row r="1107" spans="1:82" ht="15.95" hidden="1" customHeight="1" x14ac:dyDescent="0.25">
      <c r="A1107" s="957">
        <f t="shared" ca="1" si="37"/>
        <v>0</v>
      </c>
      <c r="BO1107" s="4"/>
      <c r="BP1107" s="5"/>
      <c r="BQ1107" s="5" t="str">
        <f ca="1">IF('Rent Roll'!$AD9=1,'Rent Roll'!E9,"")</f>
        <v/>
      </c>
      <c r="BR1107" s="39" t="str">
        <f ca="1">IF('Rent Roll'!$AD9=1,'Rent Roll'!G9,"")</f>
        <v/>
      </c>
      <c r="BS1107" s="1547" t="str">
        <f ca="1">IF('Rent Roll'!$AD9=1,'Rent Roll'!K9,"")</f>
        <v/>
      </c>
      <c r="BT1107" s="1551" t="str">
        <f ca="1">IF('Rent Roll'!$AD9=1,'Rent Roll'!N9,"")</f>
        <v/>
      </c>
      <c r="BU1107" s="223"/>
      <c r="BV1107" s="6"/>
      <c r="BW1107" s="32"/>
      <c r="BX1107" s="342"/>
      <c r="BY1107" s="343"/>
      <c r="BZ1107" s="342"/>
      <c r="CA1107" s="343"/>
      <c r="CB1107" s="32"/>
      <c r="CC1107" s="187"/>
      <c r="CD1107" s="187"/>
    </row>
    <row r="1108" spans="1:82" ht="15.95" hidden="1" customHeight="1" x14ac:dyDescent="0.25">
      <c r="A1108" s="957">
        <f t="shared" ca="1" si="37"/>
        <v>0</v>
      </c>
      <c r="BO1108" s="4"/>
      <c r="BP1108" s="5"/>
      <c r="BQ1108" s="5" t="str">
        <f ca="1">IF('Rent Roll'!$AD10=1,'Rent Roll'!E10,"")</f>
        <v/>
      </c>
      <c r="BR1108" s="39" t="str">
        <f ca="1">IF('Rent Roll'!$AD10=1,'Rent Roll'!G10,"")</f>
        <v/>
      </c>
      <c r="BS1108" s="1547" t="str">
        <f ca="1">IF('Rent Roll'!$AD10=1,'Rent Roll'!K10,"")</f>
        <v/>
      </c>
      <c r="BT1108" s="1551" t="str">
        <f ca="1">IF('Rent Roll'!$AD10=1,'Rent Roll'!N10,"")</f>
        <v/>
      </c>
      <c r="BU1108" s="223"/>
      <c r="BV1108" s="6"/>
      <c r="BW1108" s="32"/>
      <c r="BX1108" s="342"/>
      <c r="BY1108" s="343"/>
      <c r="BZ1108" s="342"/>
      <c r="CA1108" s="343"/>
      <c r="CB1108" s="32"/>
      <c r="CC1108" s="187"/>
      <c r="CD1108" s="187"/>
    </row>
    <row r="1109" spans="1:82" ht="15.95" hidden="1" customHeight="1" x14ac:dyDescent="0.25">
      <c r="A1109" s="957">
        <f t="shared" ca="1" si="37"/>
        <v>0</v>
      </c>
      <c r="BO1109" s="4"/>
      <c r="BP1109" s="5"/>
      <c r="BQ1109" s="5" t="str">
        <f ca="1">IF('Rent Roll'!$AD11=1,'Rent Roll'!E11,"")</f>
        <v/>
      </c>
      <c r="BR1109" s="39" t="str">
        <f ca="1">IF('Rent Roll'!$AD11=1,'Rent Roll'!G11,"")</f>
        <v/>
      </c>
      <c r="BS1109" s="1547" t="str">
        <f ca="1">IF('Rent Roll'!$AD11=1,'Rent Roll'!K11,"")</f>
        <v/>
      </c>
      <c r="BT1109" s="1551" t="str">
        <f ca="1">IF('Rent Roll'!$AD11=1,'Rent Roll'!N11,"")</f>
        <v/>
      </c>
      <c r="BU1109" s="223"/>
      <c r="BV1109" s="6"/>
      <c r="BW1109" s="32"/>
      <c r="BX1109" s="342"/>
      <c r="BY1109" s="343"/>
      <c r="BZ1109" s="342"/>
      <c r="CA1109" s="343"/>
      <c r="CB1109" s="32"/>
      <c r="CC1109" s="187"/>
      <c r="CD1109" s="187"/>
    </row>
    <row r="1110" spans="1:82" ht="15.95" hidden="1" customHeight="1" x14ac:dyDescent="0.25">
      <c r="A1110" s="957">
        <f t="shared" ca="1" si="37"/>
        <v>0</v>
      </c>
      <c r="BO1110" s="4"/>
      <c r="BP1110" s="5"/>
      <c r="BQ1110" s="5" t="str">
        <f ca="1">IF('Rent Roll'!$AD12=1,'Rent Roll'!E12,"")</f>
        <v/>
      </c>
      <c r="BR1110" s="39" t="str">
        <f ca="1">IF('Rent Roll'!$AD12=1,'Rent Roll'!G12,"")</f>
        <v/>
      </c>
      <c r="BS1110" s="1547" t="str">
        <f ca="1">IF('Rent Roll'!$AD12=1,'Rent Roll'!K12,"")</f>
        <v/>
      </c>
      <c r="BT1110" s="1551" t="str">
        <f ca="1">IF('Rent Roll'!$AD12=1,'Rent Roll'!N12,"")</f>
        <v/>
      </c>
      <c r="BU1110" s="223"/>
      <c r="BV1110" s="6"/>
      <c r="BW1110" s="32"/>
      <c r="BX1110" s="342"/>
      <c r="BY1110" s="343"/>
      <c r="BZ1110" s="342"/>
      <c r="CA1110" s="343"/>
      <c r="CB1110" s="32"/>
      <c r="CC1110" s="187"/>
      <c r="CD1110" s="187"/>
    </row>
    <row r="1111" spans="1:82" ht="15.95" hidden="1" customHeight="1" x14ac:dyDescent="0.25">
      <c r="A1111" s="957">
        <f t="shared" ca="1" si="37"/>
        <v>0</v>
      </c>
      <c r="BO1111" s="4"/>
      <c r="BP1111" s="5"/>
      <c r="BQ1111" s="5" t="str">
        <f ca="1">IF('Rent Roll'!$AD13=1,'Rent Roll'!E13,"")</f>
        <v/>
      </c>
      <c r="BR1111" s="39" t="str">
        <f ca="1">IF('Rent Roll'!$AD13=1,'Rent Roll'!G13,"")</f>
        <v/>
      </c>
      <c r="BS1111" s="1547" t="str">
        <f ca="1">IF('Rent Roll'!$AD13=1,'Rent Roll'!K13,"")</f>
        <v/>
      </c>
      <c r="BT1111" s="1551" t="str">
        <f ca="1">IF('Rent Roll'!$AD13=1,'Rent Roll'!N13,"")</f>
        <v/>
      </c>
      <c r="BU1111" s="223"/>
      <c r="BV1111" s="6"/>
      <c r="BW1111" s="32"/>
      <c r="BX1111" s="342"/>
      <c r="BY1111" s="343"/>
      <c r="BZ1111" s="342"/>
      <c r="CA1111" s="343"/>
      <c r="CB1111" s="32"/>
      <c r="CC1111" s="187"/>
      <c r="CD1111" s="187"/>
    </row>
    <row r="1112" spans="1:82" ht="15.95" hidden="1" customHeight="1" x14ac:dyDescent="0.25">
      <c r="A1112" s="957">
        <f t="shared" ca="1" si="37"/>
        <v>0</v>
      </c>
      <c r="BO1112" s="4"/>
      <c r="BP1112" s="5"/>
      <c r="BQ1112" s="5" t="str">
        <f ca="1">IF('Rent Roll'!$AD14=1,'Rent Roll'!E14,"")</f>
        <v/>
      </c>
      <c r="BR1112" s="39" t="str">
        <f ca="1">IF('Rent Roll'!$AD14=1,'Rent Roll'!G14,"")</f>
        <v/>
      </c>
      <c r="BS1112" s="1547" t="str">
        <f ca="1">IF('Rent Roll'!$AD14=1,'Rent Roll'!K14,"")</f>
        <v/>
      </c>
      <c r="BT1112" s="1551" t="str">
        <f ca="1">IF('Rent Roll'!$AD14=1,'Rent Roll'!N14,"")</f>
        <v/>
      </c>
      <c r="BU1112" s="223"/>
      <c r="BV1112" s="6"/>
      <c r="BW1112" s="32"/>
      <c r="BX1112" s="342"/>
      <c r="BY1112" s="343"/>
      <c r="BZ1112" s="342"/>
      <c r="CA1112" s="343"/>
      <c r="CB1112" s="32"/>
      <c r="CC1112" s="187"/>
      <c r="CD1112" s="187"/>
    </row>
    <row r="1113" spans="1:82" ht="15.95" hidden="1" customHeight="1" x14ac:dyDescent="0.25">
      <c r="A1113" s="957">
        <f t="shared" ca="1" si="37"/>
        <v>0</v>
      </c>
      <c r="BO1113" s="4"/>
      <c r="BP1113" s="5"/>
      <c r="BQ1113" s="5" t="str">
        <f ca="1">IF('Rent Roll'!$AD15=1,'Rent Roll'!E15,"")</f>
        <v/>
      </c>
      <c r="BR1113" s="39" t="str">
        <f ca="1">IF('Rent Roll'!$AD15=1,'Rent Roll'!G15,"")</f>
        <v/>
      </c>
      <c r="BS1113" s="1547" t="str">
        <f ca="1">IF('Rent Roll'!$AD15=1,'Rent Roll'!K15,"")</f>
        <v/>
      </c>
      <c r="BT1113" s="1551" t="str">
        <f ca="1">IF('Rent Roll'!$AD15=1,'Rent Roll'!N15,"")</f>
        <v/>
      </c>
      <c r="BU1113" s="223"/>
      <c r="BV1113" s="6"/>
      <c r="BW1113" s="32"/>
      <c r="BX1113" s="342"/>
      <c r="BY1113" s="343"/>
      <c r="BZ1113" s="342"/>
      <c r="CA1113" s="343"/>
      <c r="CB1113" s="32"/>
      <c r="CC1113" s="187"/>
      <c r="CD1113" s="187"/>
    </row>
    <row r="1114" spans="1:82" ht="15.95" hidden="1" customHeight="1" x14ac:dyDescent="0.25">
      <c r="A1114" s="957">
        <f t="shared" ca="1" si="37"/>
        <v>0</v>
      </c>
      <c r="BO1114" s="4"/>
      <c r="BP1114" s="5"/>
      <c r="BQ1114" s="5" t="str">
        <f ca="1">IF('Rent Roll'!$AD16=1,'Rent Roll'!E16,"")</f>
        <v/>
      </c>
      <c r="BR1114" s="39" t="str">
        <f ca="1">IF('Rent Roll'!$AD16=1,'Rent Roll'!G16,"")</f>
        <v/>
      </c>
      <c r="BS1114" s="1547" t="str">
        <f ca="1">IF('Rent Roll'!$AD16=1,'Rent Roll'!K16,"")</f>
        <v/>
      </c>
      <c r="BT1114" s="1551" t="str">
        <f ca="1">IF('Rent Roll'!$AD16=1,'Rent Roll'!N16,"")</f>
        <v/>
      </c>
      <c r="BU1114" s="223"/>
      <c r="BV1114" s="6"/>
      <c r="BW1114" s="32"/>
      <c r="BX1114" s="342"/>
      <c r="BY1114" s="343"/>
      <c r="BZ1114" s="342"/>
      <c r="CA1114" s="343"/>
      <c r="CB1114" s="32"/>
      <c r="CC1114" s="187"/>
      <c r="CD1114" s="187"/>
    </row>
    <row r="1115" spans="1:82" ht="15.95" hidden="1" customHeight="1" x14ac:dyDescent="0.25">
      <c r="A1115" s="957">
        <f t="shared" ca="1" si="37"/>
        <v>0</v>
      </c>
      <c r="BO1115" s="4"/>
      <c r="BP1115" s="5"/>
      <c r="BQ1115" s="5" t="str">
        <f ca="1">IF('Rent Roll'!$AD17=1,'Rent Roll'!E17,"")</f>
        <v/>
      </c>
      <c r="BR1115" s="39" t="str">
        <f ca="1">IF('Rent Roll'!$AD17=1,'Rent Roll'!G17,"")</f>
        <v/>
      </c>
      <c r="BS1115" s="1547" t="str">
        <f ca="1">IF('Rent Roll'!$AD17=1,'Rent Roll'!K17,"")</f>
        <v/>
      </c>
      <c r="BT1115" s="1551" t="str">
        <f ca="1">IF('Rent Roll'!$AD17=1,'Rent Roll'!N17,"")</f>
        <v/>
      </c>
      <c r="BU1115" s="223"/>
      <c r="BV1115" s="6"/>
      <c r="BW1115" s="32"/>
      <c r="BX1115" s="342"/>
      <c r="BY1115" s="343"/>
      <c r="BZ1115" s="342"/>
      <c r="CA1115" s="343"/>
      <c r="CB1115" s="32"/>
      <c r="CC1115" s="187"/>
      <c r="CD1115" s="187"/>
    </row>
    <row r="1116" spans="1:82" ht="15.95" hidden="1" customHeight="1" x14ac:dyDescent="0.25">
      <c r="A1116" s="957">
        <f t="shared" ca="1" si="37"/>
        <v>0</v>
      </c>
      <c r="BO1116" s="4"/>
      <c r="BP1116" s="5"/>
      <c r="BQ1116" s="5" t="str">
        <f ca="1">IF('Rent Roll'!$AD18=1,'Rent Roll'!E18,"")</f>
        <v/>
      </c>
      <c r="BR1116" s="39" t="str">
        <f ca="1">IF('Rent Roll'!$AD18=1,'Rent Roll'!G18,"")</f>
        <v/>
      </c>
      <c r="BS1116" s="1547" t="str">
        <f ca="1">IF('Rent Roll'!$AD18=1,'Rent Roll'!K18,"")</f>
        <v/>
      </c>
      <c r="BT1116" s="1551" t="str">
        <f ca="1">IF('Rent Roll'!$AD18=1,'Rent Roll'!N18,"")</f>
        <v/>
      </c>
      <c r="BU1116" s="223"/>
      <c r="BV1116" s="6"/>
      <c r="BW1116" s="32"/>
      <c r="BX1116" s="342"/>
      <c r="BY1116" s="343"/>
      <c r="BZ1116" s="342"/>
      <c r="CA1116" s="343"/>
      <c r="CB1116" s="32"/>
      <c r="CC1116" s="187"/>
      <c r="CD1116" s="187"/>
    </row>
    <row r="1117" spans="1:82" ht="15.95" hidden="1" customHeight="1" x14ac:dyDescent="0.25">
      <c r="A1117" s="957">
        <f t="shared" ca="1" si="37"/>
        <v>0</v>
      </c>
      <c r="BO1117" s="4"/>
      <c r="BP1117" s="5"/>
      <c r="BQ1117" s="5" t="str">
        <f ca="1">IF('Rent Roll'!$AD19=1,'Rent Roll'!E19,"")</f>
        <v/>
      </c>
      <c r="BR1117" s="39" t="str">
        <f ca="1">IF('Rent Roll'!$AD19=1,'Rent Roll'!G19,"")</f>
        <v/>
      </c>
      <c r="BS1117" s="1547" t="str">
        <f ca="1">IF('Rent Roll'!$AD19=1,'Rent Roll'!K19,"")</f>
        <v/>
      </c>
      <c r="BT1117" s="1551" t="str">
        <f ca="1">IF('Rent Roll'!$AD19=1,'Rent Roll'!N19,"")</f>
        <v/>
      </c>
      <c r="BU1117" s="223"/>
      <c r="BV1117" s="6"/>
      <c r="BW1117" s="32"/>
      <c r="BX1117" s="342"/>
      <c r="BY1117" s="343"/>
      <c r="BZ1117" s="342"/>
      <c r="CA1117" s="343"/>
      <c r="CB1117" s="32"/>
      <c r="CC1117" s="187"/>
      <c r="CD1117" s="187"/>
    </row>
    <row r="1118" spans="1:82" ht="15.95" hidden="1" customHeight="1" x14ac:dyDescent="0.25">
      <c r="A1118" s="957">
        <f t="shared" ca="1" si="37"/>
        <v>0</v>
      </c>
      <c r="BO1118" s="4"/>
      <c r="BP1118" s="5"/>
      <c r="BQ1118" s="5" t="str">
        <f ca="1">IF('Rent Roll'!$AD20=1,'Rent Roll'!E20,"")</f>
        <v/>
      </c>
      <c r="BR1118" s="39" t="str">
        <f ca="1">IF('Rent Roll'!$AD20=1,'Rent Roll'!G20,"")</f>
        <v/>
      </c>
      <c r="BS1118" s="1547" t="str">
        <f ca="1">IF('Rent Roll'!$AD20=1,'Rent Roll'!K20,"")</f>
        <v/>
      </c>
      <c r="BT1118" s="1551" t="str">
        <f ca="1">IF('Rent Roll'!$AD20=1,'Rent Roll'!N20,"")</f>
        <v/>
      </c>
      <c r="BU1118" s="223"/>
      <c r="BV1118" s="6"/>
      <c r="BW1118" s="32"/>
      <c r="BX1118" s="342"/>
      <c r="BY1118" s="343"/>
      <c r="BZ1118" s="342"/>
      <c r="CA1118" s="343"/>
      <c r="CB1118" s="32"/>
      <c r="CC1118" s="187"/>
      <c r="CD1118" s="187"/>
    </row>
    <row r="1119" spans="1:82" ht="15.95" hidden="1" customHeight="1" x14ac:dyDescent="0.25">
      <c r="A1119" s="957">
        <f t="shared" ca="1" si="37"/>
        <v>0</v>
      </c>
      <c r="BO1119" s="4"/>
      <c r="BP1119" s="5"/>
      <c r="BQ1119" s="5" t="str">
        <f ca="1">IF('Rent Roll'!$AD21=1,'Rent Roll'!E21,"")</f>
        <v/>
      </c>
      <c r="BR1119" s="39" t="str">
        <f ca="1">IF('Rent Roll'!$AD21=1,'Rent Roll'!G21,"")</f>
        <v/>
      </c>
      <c r="BS1119" s="1547" t="str">
        <f ca="1">IF('Rent Roll'!$AD21=1,'Rent Roll'!K21,"")</f>
        <v/>
      </c>
      <c r="BT1119" s="1551" t="str">
        <f ca="1">IF('Rent Roll'!$AD21=1,'Rent Roll'!N21,"")</f>
        <v/>
      </c>
      <c r="BU1119" s="223"/>
      <c r="BV1119" s="6"/>
      <c r="BW1119" s="32"/>
      <c r="BX1119" s="342"/>
      <c r="BY1119" s="343"/>
      <c r="BZ1119" s="342"/>
      <c r="CA1119" s="343"/>
      <c r="CB1119" s="32"/>
      <c r="CC1119" s="187"/>
      <c r="CD1119" s="187"/>
    </row>
    <row r="1120" spans="1:82" ht="15.95" hidden="1" customHeight="1" x14ac:dyDescent="0.25">
      <c r="A1120" s="957">
        <f t="shared" ca="1" si="37"/>
        <v>0</v>
      </c>
      <c r="BO1120" s="4"/>
      <c r="BP1120" s="5"/>
      <c r="BQ1120" s="5" t="str">
        <f ca="1">IF('Rent Roll'!$AD22=1,'Rent Roll'!E22,"")</f>
        <v/>
      </c>
      <c r="BR1120" s="39" t="str">
        <f ca="1">IF('Rent Roll'!$AD22=1,'Rent Roll'!G22,"")</f>
        <v/>
      </c>
      <c r="BS1120" s="1547" t="str">
        <f ca="1">IF('Rent Roll'!$AD22=1,'Rent Roll'!K22,"")</f>
        <v/>
      </c>
      <c r="BT1120" s="1551" t="str">
        <f ca="1">IF('Rent Roll'!$AD22=1,'Rent Roll'!N22,"")</f>
        <v/>
      </c>
      <c r="BU1120" s="223"/>
      <c r="BV1120" s="6"/>
      <c r="BW1120" s="32"/>
      <c r="BX1120" s="342"/>
      <c r="BY1120" s="343"/>
      <c r="BZ1120" s="342"/>
      <c r="CA1120" s="343"/>
      <c r="CB1120" s="32"/>
      <c r="CC1120" s="187"/>
      <c r="CD1120" s="187"/>
    </row>
    <row r="1121" spans="1:82" ht="15.95" hidden="1" customHeight="1" x14ac:dyDescent="0.25">
      <c r="A1121" s="957">
        <f t="shared" ca="1" si="37"/>
        <v>0</v>
      </c>
      <c r="BO1121" s="4"/>
      <c r="BP1121" s="5"/>
      <c r="BQ1121" s="5" t="str">
        <f ca="1">IF('Rent Roll'!$AD23=1,'Rent Roll'!E23,"")</f>
        <v/>
      </c>
      <c r="BR1121" s="39" t="str">
        <f ca="1">IF('Rent Roll'!$AD23=1,'Rent Roll'!G23,"")</f>
        <v/>
      </c>
      <c r="BS1121" s="1547" t="str">
        <f ca="1">IF('Rent Roll'!$AD23=1,'Rent Roll'!K23,"")</f>
        <v/>
      </c>
      <c r="BT1121" s="1551" t="str">
        <f ca="1">IF('Rent Roll'!$AD23=1,'Rent Roll'!N23,"")</f>
        <v/>
      </c>
      <c r="BU1121" s="223"/>
      <c r="BV1121" s="6"/>
      <c r="BW1121" s="32"/>
      <c r="BX1121" s="342"/>
      <c r="BY1121" s="343"/>
      <c r="BZ1121" s="342"/>
      <c r="CA1121" s="343"/>
      <c r="CB1121" s="32"/>
      <c r="CC1121" s="187"/>
      <c r="CD1121" s="187"/>
    </row>
    <row r="1122" spans="1:82" ht="15.95" hidden="1" customHeight="1" x14ac:dyDescent="0.25">
      <c r="A1122" s="957">
        <f t="shared" ca="1" si="37"/>
        <v>0</v>
      </c>
      <c r="BO1122" s="4"/>
      <c r="BP1122" s="5"/>
      <c r="BQ1122" s="5" t="str">
        <f ca="1">IF('Rent Roll'!$AD24=1,'Rent Roll'!E24,"")</f>
        <v/>
      </c>
      <c r="BR1122" s="39" t="str">
        <f ca="1">IF('Rent Roll'!$AD24=1,'Rent Roll'!G24,"")</f>
        <v/>
      </c>
      <c r="BS1122" s="1547" t="str">
        <f ca="1">IF('Rent Roll'!$AD24=1,'Rent Roll'!K24,"")</f>
        <v/>
      </c>
      <c r="BT1122" s="1551" t="str">
        <f ca="1">IF('Rent Roll'!$AD24=1,'Rent Roll'!N24,"")</f>
        <v/>
      </c>
      <c r="BU1122" s="223"/>
      <c r="BV1122" s="6"/>
      <c r="BW1122" s="32"/>
      <c r="BX1122" s="342"/>
      <c r="BY1122" s="343"/>
      <c r="BZ1122" s="342"/>
      <c r="CA1122" s="343"/>
      <c r="CB1122" s="32"/>
      <c r="CC1122" s="187"/>
      <c r="CD1122" s="187"/>
    </row>
    <row r="1123" spans="1:82" ht="15.95" hidden="1" customHeight="1" x14ac:dyDescent="0.25">
      <c r="A1123" s="957">
        <f t="shared" ca="1" si="37"/>
        <v>0</v>
      </c>
      <c r="BO1123" s="4"/>
      <c r="BP1123" s="5"/>
      <c r="BQ1123" s="5" t="str">
        <f ca="1">IF('Rent Roll'!$AD25=1,'Rent Roll'!E25,"")</f>
        <v/>
      </c>
      <c r="BR1123" s="39" t="str">
        <f ca="1">IF('Rent Roll'!$AD25=1,'Rent Roll'!G25,"")</f>
        <v/>
      </c>
      <c r="BS1123" s="1547" t="str">
        <f ca="1">IF('Rent Roll'!$AD25=1,'Rent Roll'!K25,"")</f>
        <v/>
      </c>
      <c r="BT1123" s="1551" t="str">
        <f ca="1">IF('Rent Roll'!$AD25=1,'Rent Roll'!N25,"")</f>
        <v/>
      </c>
      <c r="BU1123" s="223"/>
      <c r="BV1123" s="6"/>
      <c r="BW1123" s="32"/>
      <c r="BX1123" s="342"/>
      <c r="BY1123" s="343"/>
      <c r="BZ1123" s="342"/>
      <c r="CA1123" s="343"/>
      <c r="CB1123" s="32"/>
      <c r="CC1123" s="187"/>
      <c r="CD1123" s="187"/>
    </row>
    <row r="1124" spans="1:82" ht="15.95" hidden="1" customHeight="1" x14ac:dyDescent="0.25">
      <c r="A1124" s="957">
        <f t="shared" ca="1" si="37"/>
        <v>0</v>
      </c>
      <c r="BO1124" s="4"/>
      <c r="BP1124" s="5"/>
      <c r="BQ1124" s="5" t="str">
        <f ca="1">IF('Rent Roll'!$AD26=1,'Rent Roll'!E26,"")</f>
        <v/>
      </c>
      <c r="BR1124" s="39" t="str">
        <f ca="1">IF('Rent Roll'!$AD26=1,'Rent Roll'!G26,"")</f>
        <v/>
      </c>
      <c r="BS1124" s="1547" t="str">
        <f ca="1">IF('Rent Roll'!$AD26=1,'Rent Roll'!K26,"")</f>
        <v/>
      </c>
      <c r="BT1124" s="1551" t="str">
        <f ca="1">IF('Rent Roll'!$AD26=1,'Rent Roll'!N26,"")</f>
        <v/>
      </c>
      <c r="BU1124" s="223"/>
      <c r="BV1124" s="6"/>
      <c r="BW1124" s="32"/>
      <c r="BX1124" s="342"/>
      <c r="BY1124" s="343"/>
      <c r="BZ1124" s="342"/>
      <c r="CA1124" s="343"/>
      <c r="CB1124" s="32"/>
      <c r="CC1124" s="187"/>
      <c r="CD1124" s="187"/>
    </row>
    <row r="1125" spans="1:82" ht="15.95" hidden="1" customHeight="1" x14ac:dyDescent="0.25">
      <c r="A1125" s="957">
        <f t="shared" ca="1" si="37"/>
        <v>0</v>
      </c>
      <c r="BO1125" s="4"/>
      <c r="BP1125" s="5"/>
      <c r="BQ1125" s="5" t="str">
        <f ca="1">IF('Rent Roll'!$AD27=1,'Rent Roll'!E27,"")</f>
        <v/>
      </c>
      <c r="BR1125" s="39" t="str">
        <f ca="1">IF('Rent Roll'!$AD27=1,'Rent Roll'!G27,"")</f>
        <v/>
      </c>
      <c r="BS1125" s="1547" t="str">
        <f ca="1">IF('Rent Roll'!$AD27=1,'Rent Roll'!K27,"")</f>
        <v/>
      </c>
      <c r="BT1125" s="1551" t="str">
        <f ca="1">IF('Rent Roll'!$AD27=1,'Rent Roll'!N27,"")</f>
        <v/>
      </c>
      <c r="BU1125" s="223"/>
      <c r="BV1125" s="6"/>
      <c r="BW1125" s="32"/>
      <c r="BX1125" s="342"/>
      <c r="BY1125" s="343"/>
      <c r="BZ1125" s="342"/>
      <c r="CA1125" s="343"/>
      <c r="CB1125" s="32"/>
      <c r="CC1125" s="187"/>
      <c r="CD1125" s="187"/>
    </row>
    <row r="1126" spans="1:82" ht="15.95" hidden="1" customHeight="1" x14ac:dyDescent="0.25">
      <c r="A1126" s="957">
        <f t="shared" ca="1" si="37"/>
        <v>0</v>
      </c>
      <c r="BO1126" s="4"/>
      <c r="BP1126" s="5"/>
      <c r="BQ1126" s="5" t="str">
        <f ca="1">IF('Rent Roll'!$AD28=1,'Rent Roll'!E28,"")</f>
        <v/>
      </c>
      <c r="BR1126" s="39" t="str">
        <f ca="1">IF('Rent Roll'!$AD28=1,'Rent Roll'!G28,"")</f>
        <v/>
      </c>
      <c r="BS1126" s="1547" t="str">
        <f ca="1">IF('Rent Roll'!$AD28=1,'Rent Roll'!K28,"")</f>
        <v/>
      </c>
      <c r="BT1126" s="1551" t="str">
        <f ca="1">IF('Rent Roll'!$AD28=1,'Rent Roll'!N28,"")</f>
        <v/>
      </c>
      <c r="BU1126" s="223"/>
      <c r="BV1126" s="6"/>
      <c r="BW1126" s="32"/>
      <c r="BX1126" s="342"/>
      <c r="BY1126" s="343"/>
      <c r="BZ1126" s="342"/>
      <c r="CA1126" s="343"/>
      <c r="CB1126" s="32"/>
      <c r="CC1126" s="187"/>
      <c r="CD1126" s="187"/>
    </row>
    <row r="1127" spans="1:82" ht="15.95" hidden="1" customHeight="1" x14ac:dyDescent="0.25">
      <c r="A1127" s="957">
        <f t="shared" ca="1" si="37"/>
        <v>0</v>
      </c>
      <c r="BO1127" s="4"/>
      <c r="BP1127" s="5"/>
      <c r="BQ1127" s="5" t="str">
        <f ca="1">IF('Rent Roll'!$AD29=1,'Rent Roll'!E29,"")</f>
        <v/>
      </c>
      <c r="BR1127" s="39" t="str">
        <f ca="1">IF('Rent Roll'!$AD29=1,'Rent Roll'!G29,"")</f>
        <v/>
      </c>
      <c r="BS1127" s="1547" t="str">
        <f ca="1">IF('Rent Roll'!$AD29=1,'Rent Roll'!K29,"")</f>
        <v/>
      </c>
      <c r="BT1127" s="1551" t="str">
        <f ca="1">IF('Rent Roll'!$AD29=1,'Rent Roll'!N29,"")</f>
        <v/>
      </c>
      <c r="BU1127" s="223"/>
      <c r="BV1127" s="6"/>
      <c r="BW1127" s="32"/>
      <c r="BX1127" s="342"/>
      <c r="BY1127" s="343"/>
      <c r="BZ1127" s="342"/>
      <c r="CA1127" s="343"/>
      <c r="CB1127" s="32"/>
      <c r="CC1127" s="187"/>
      <c r="CD1127" s="187"/>
    </row>
    <row r="1128" spans="1:82" ht="15.95" hidden="1" customHeight="1" x14ac:dyDescent="0.25">
      <c r="A1128" s="957">
        <f t="shared" ca="1" si="37"/>
        <v>0</v>
      </c>
      <c r="BO1128" s="4"/>
      <c r="BP1128" s="5"/>
      <c r="BQ1128" s="5" t="str">
        <f ca="1">IF('Rent Roll'!$AD30=1,'Rent Roll'!E30,"")</f>
        <v/>
      </c>
      <c r="BR1128" s="39" t="str">
        <f ca="1">IF('Rent Roll'!$AD30=1,'Rent Roll'!G30,"")</f>
        <v/>
      </c>
      <c r="BS1128" s="1547" t="str">
        <f ca="1">IF('Rent Roll'!$AD30=1,'Rent Roll'!K30,"")</f>
        <v/>
      </c>
      <c r="BT1128" s="1551" t="str">
        <f ca="1">IF('Rent Roll'!$AD30=1,'Rent Roll'!N30,"")</f>
        <v/>
      </c>
      <c r="BU1128" s="223"/>
      <c r="BV1128" s="6"/>
      <c r="BW1128" s="32"/>
      <c r="BX1128" s="342"/>
      <c r="BY1128" s="343"/>
      <c r="BZ1128" s="342"/>
      <c r="CA1128" s="343"/>
      <c r="CB1128" s="32"/>
      <c r="CC1128" s="187"/>
      <c r="CD1128" s="187"/>
    </row>
    <row r="1129" spans="1:82" ht="15.95" hidden="1" customHeight="1" x14ac:dyDescent="0.25">
      <c r="A1129" s="957">
        <f t="shared" ca="1" si="37"/>
        <v>0</v>
      </c>
      <c r="BO1129" s="4"/>
      <c r="BP1129" s="5"/>
      <c r="BQ1129" s="5" t="str">
        <f ca="1">IF('Rent Roll'!$AD31=1,'Rent Roll'!E31,"")</f>
        <v/>
      </c>
      <c r="BR1129" s="39" t="str">
        <f ca="1">IF('Rent Roll'!$AD31=1,'Rent Roll'!G31,"")</f>
        <v/>
      </c>
      <c r="BS1129" s="1547" t="str">
        <f ca="1">IF('Rent Roll'!$AD31=1,'Rent Roll'!K31,"")</f>
        <v/>
      </c>
      <c r="BT1129" s="1551" t="str">
        <f ca="1">IF('Rent Roll'!$AD31=1,'Rent Roll'!N31,"")</f>
        <v/>
      </c>
      <c r="BU1129" s="223"/>
      <c r="BV1129" s="6"/>
      <c r="BW1129" s="32"/>
      <c r="BX1129" s="342"/>
      <c r="BY1129" s="343"/>
      <c r="BZ1129" s="342"/>
      <c r="CA1129" s="343"/>
      <c r="CB1129" s="32"/>
      <c r="CC1129" s="187"/>
      <c r="CD1129" s="187"/>
    </row>
    <row r="1130" spans="1:82" ht="15.95" hidden="1" customHeight="1" x14ac:dyDescent="0.25">
      <c r="A1130" s="957">
        <f t="shared" ca="1" si="37"/>
        <v>0</v>
      </c>
      <c r="BO1130" s="4"/>
      <c r="BP1130" s="5"/>
      <c r="BQ1130" s="5" t="str">
        <f ca="1">IF('Rent Roll'!$AD32=1,'Rent Roll'!E32,"")</f>
        <v/>
      </c>
      <c r="BR1130" s="39" t="str">
        <f ca="1">IF('Rent Roll'!$AD32=1,'Rent Roll'!G32,"")</f>
        <v/>
      </c>
      <c r="BS1130" s="1547" t="str">
        <f ca="1">IF('Rent Roll'!$AD32=1,'Rent Roll'!K32,"")</f>
        <v/>
      </c>
      <c r="BT1130" s="1551" t="str">
        <f ca="1">IF('Rent Roll'!$AD32=1,'Rent Roll'!N32,"")</f>
        <v/>
      </c>
      <c r="BU1130" s="223"/>
      <c r="BV1130" s="6"/>
      <c r="BW1130" s="32"/>
      <c r="BX1130" s="342"/>
      <c r="BY1130" s="343"/>
      <c r="BZ1130" s="342"/>
      <c r="CA1130" s="343"/>
      <c r="CB1130" s="32"/>
      <c r="CC1130" s="187"/>
      <c r="CD1130" s="187"/>
    </row>
    <row r="1131" spans="1:82" ht="15.95" hidden="1" customHeight="1" x14ac:dyDescent="0.25">
      <c r="A1131" s="957">
        <f t="shared" ca="1" si="37"/>
        <v>0</v>
      </c>
      <c r="BO1131" s="4"/>
      <c r="BP1131" s="5"/>
      <c r="BQ1131" s="5" t="str">
        <f ca="1">IF('Rent Roll'!$AD33=1,'Rent Roll'!E33,"")</f>
        <v/>
      </c>
      <c r="BR1131" s="39" t="str">
        <f ca="1">IF('Rent Roll'!$AD33=1,'Rent Roll'!G33,"")</f>
        <v/>
      </c>
      <c r="BS1131" s="1547" t="str">
        <f ca="1">IF('Rent Roll'!$AD33=1,'Rent Roll'!K33,"")</f>
        <v/>
      </c>
      <c r="BT1131" s="1551" t="str">
        <f ca="1">IF('Rent Roll'!$AD33=1,'Rent Roll'!N33,"")</f>
        <v/>
      </c>
      <c r="BU1131" s="223"/>
      <c r="BV1131" s="6"/>
      <c r="BW1131" s="32"/>
      <c r="BX1131" s="342"/>
      <c r="BY1131" s="343"/>
      <c r="BZ1131" s="342"/>
      <c r="CA1131" s="343"/>
      <c r="CB1131" s="32"/>
      <c r="CC1131" s="187"/>
      <c r="CD1131" s="187"/>
    </row>
    <row r="1132" spans="1:82" ht="15.95" hidden="1" customHeight="1" x14ac:dyDescent="0.25">
      <c r="A1132" s="957">
        <f t="shared" ca="1" si="37"/>
        <v>0</v>
      </c>
      <c r="BO1132" s="4"/>
      <c r="BP1132" s="5"/>
      <c r="BQ1132" s="5" t="str">
        <f ca="1">IF('Rent Roll'!$AD34=1,'Rent Roll'!E34,"")</f>
        <v/>
      </c>
      <c r="BR1132" s="39" t="str">
        <f ca="1">IF('Rent Roll'!$AD34=1,'Rent Roll'!G34,"")</f>
        <v/>
      </c>
      <c r="BS1132" s="1547" t="str">
        <f ca="1">IF('Rent Roll'!$AD34=1,'Rent Roll'!K34,"")</f>
        <v/>
      </c>
      <c r="BT1132" s="1551" t="str">
        <f ca="1">IF('Rent Roll'!$AD34=1,'Rent Roll'!N34,"")</f>
        <v/>
      </c>
      <c r="BU1132" s="223"/>
      <c r="BV1132" s="6"/>
      <c r="BW1132" s="32"/>
      <c r="BX1132" s="342"/>
      <c r="BY1132" s="343"/>
      <c r="BZ1132" s="342"/>
      <c r="CA1132" s="343"/>
      <c r="CB1132" s="32"/>
      <c r="CC1132" s="187"/>
      <c r="CD1132" s="187"/>
    </row>
    <row r="1133" spans="1:82" ht="15.95" hidden="1" customHeight="1" x14ac:dyDescent="0.25">
      <c r="A1133" s="957">
        <f t="shared" ca="1" si="37"/>
        <v>0</v>
      </c>
      <c r="BO1133" s="4"/>
      <c r="BP1133" s="5"/>
      <c r="BQ1133" s="5" t="str">
        <f ca="1">IF('Rent Roll'!$AD35=1,'Rent Roll'!E35,"")</f>
        <v/>
      </c>
      <c r="BR1133" s="39" t="str">
        <f ca="1">IF('Rent Roll'!$AD35=1,'Rent Roll'!G35,"")</f>
        <v/>
      </c>
      <c r="BS1133" s="1547" t="str">
        <f ca="1">IF('Rent Roll'!$AD35=1,'Rent Roll'!K35,"")</f>
        <v/>
      </c>
      <c r="BT1133" s="1551" t="str">
        <f ca="1">IF('Rent Roll'!$AD35=1,'Rent Roll'!N35,"")</f>
        <v/>
      </c>
      <c r="BU1133" s="223"/>
      <c r="BV1133" s="6"/>
      <c r="BW1133" s="32"/>
      <c r="BX1133" s="342"/>
      <c r="BY1133" s="343"/>
      <c r="BZ1133" s="342"/>
      <c r="CA1133" s="343"/>
      <c r="CB1133" s="32"/>
      <c r="CC1133" s="187"/>
      <c r="CD1133" s="187"/>
    </row>
    <row r="1134" spans="1:82" ht="15.95" hidden="1" customHeight="1" x14ac:dyDescent="0.25">
      <c r="A1134" s="957">
        <f t="shared" ca="1" si="37"/>
        <v>0</v>
      </c>
      <c r="BO1134" s="4"/>
      <c r="BP1134" s="5"/>
      <c r="BQ1134" s="5" t="str">
        <f ca="1">IF('Rent Roll'!$AD36=1,'Rent Roll'!E36,"")</f>
        <v/>
      </c>
      <c r="BR1134" s="39" t="str">
        <f ca="1">IF('Rent Roll'!$AD36=1,'Rent Roll'!G36,"")</f>
        <v/>
      </c>
      <c r="BS1134" s="1547" t="str">
        <f ca="1">IF('Rent Roll'!$AD36=1,'Rent Roll'!K36,"")</f>
        <v/>
      </c>
      <c r="BT1134" s="1551" t="str">
        <f ca="1">IF('Rent Roll'!$AD36=1,'Rent Roll'!N36,"")</f>
        <v/>
      </c>
      <c r="BU1134" s="223"/>
      <c r="BV1134" s="6"/>
      <c r="BW1134" s="32"/>
      <c r="BX1134" s="342"/>
      <c r="BY1134" s="343"/>
      <c r="BZ1134" s="342"/>
      <c r="CA1134" s="343"/>
      <c r="CB1134" s="32"/>
      <c r="CC1134" s="187"/>
      <c r="CD1134" s="187"/>
    </row>
    <row r="1135" spans="1:82" ht="15.95" hidden="1" customHeight="1" x14ac:dyDescent="0.25">
      <c r="A1135" s="957">
        <f t="shared" ca="1" si="37"/>
        <v>0</v>
      </c>
      <c r="BO1135" s="4"/>
      <c r="BP1135" s="5"/>
      <c r="BQ1135" s="5" t="str">
        <f ca="1">IF('Rent Roll'!$AD37=1,'Rent Roll'!E37,"")</f>
        <v/>
      </c>
      <c r="BR1135" s="39" t="str">
        <f ca="1">IF('Rent Roll'!$AD37=1,'Rent Roll'!G37,"")</f>
        <v/>
      </c>
      <c r="BS1135" s="1547" t="str">
        <f ca="1">IF('Rent Roll'!$AD37=1,'Rent Roll'!K37,"")</f>
        <v/>
      </c>
      <c r="BT1135" s="1551" t="str">
        <f ca="1">IF('Rent Roll'!$AD37=1,'Rent Roll'!N37,"")</f>
        <v/>
      </c>
      <c r="BU1135" s="223"/>
      <c r="BV1135" s="6"/>
      <c r="BW1135" s="32"/>
      <c r="BX1135" s="342"/>
      <c r="BY1135" s="343"/>
      <c r="BZ1135" s="342"/>
      <c r="CA1135" s="343"/>
      <c r="CB1135" s="32"/>
      <c r="CC1135" s="187"/>
      <c r="CD1135" s="187"/>
    </row>
    <row r="1136" spans="1:82" ht="15.95" hidden="1" customHeight="1" x14ac:dyDescent="0.25">
      <c r="A1136" s="957">
        <f t="shared" ca="1" si="37"/>
        <v>0</v>
      </c>
      <c r="BO1136" s="4"/>
      <c r="BP1136" s="5"/>
      <c r="BQ1136" s="5" t="str">
        <f ca="1">IF('Rent Roll'!$AD38=1,'Rent Roll'!E38,"")</f>
        <v/>
      </c>
      <c r="BR1136" s="39" t="str">
        <f ca="1">IF('Rent Roll'!$AD38=1,'Rent Roll'!G38,"")</f>
        <v/>
      </c>
      <c r="BS1136" s="1547" t="str">
        <f ca="1">IF('Rent Roll'!$AD38=1,'Rent Roll'!K38,"")</f>
        <v/>
      </c>
      <c r="BT1136" s="1551" t="str">
        <f ca="1">IF('Rent Roll'!$AD38=1,'Rent Roll'!N38,"")</f>
        <v/>
      </c>
      <c r="BU1136" s="223"/>
      <c r="BV1136" s="6"/>
      <c r="BW1136" s="32"/>
      <c r="BX1136" s="342"/>
      <c r="BY1136" s="343"/>
      <c r="BZ1136" s="342"/>
      <c r="CA1136" s="343"/>
      <c r="CB1136" s="32"/>
      <c r="CC1136" s="187"/>
      <c r="CD1136" s="187"/>
    </row>
    <row r="1137" spans="1:82" ht="15.95" hidden="1" customHeight="1" x14ac:dyDescent="0.25">
      <c r="A1137" s="957">
        <f t="shared" ref="A1137:A1168" ca="1" si="38">IF(BQ1137="",0,1)</f>
        <v>0</v>
      </c>
      <c r="BO1137" s="4"/>
      <c r="BP1137" s="5"/>
      <c r="BQ1137" s="5" t="str">
        <f ca="1">IF('Rent Roll'!$AD39=1,'Rent Roll'!E39,"")</f>
        <v/>
      </c>
      <c r="BR1137" s="39" t="str">
        <f ca="1">IF('Rent Roll'!$AD39=1,'Rent Roll'!G39,"")</f>
        <v/>
      </c>
      <c r="BS1137" s="1547" t="str">
        <f ca="1">IF('Rent Roll'!$AD39=1,'Rent Roll'!K39,"")</f>
        <v/>
      </c>
      <c r="BT1137" s="1551" t="str">
        <f ca="1">IF('Rent Roll'!$AD39=1,'Rent Roll'!N39,"")</f>
        <v/>
      </c>
      <c r="BU1137" s="223"/>
      <c r="BV1137" s="6"/>
      <c r="BW1137" s="32"/>
      <c r="BX1137" s="342"/>
      <c r="BY1137" s="343"/>
      <c r="BZ1137" s="342"/>
      <c r="CA1137" s="343"/>
      <c r="CB1137" s="32"/>
      <c r="CC1137" s="187"/>
      <c r="CD1137" s="187"/>
    </row>
    <row r="1138" spans="1:82" ht="15.95" hidden="1" customHeight="1" x14ac:dyDescent="0.25">
      <c r="A1138" s="957">
        <f t="shared" ca="1" si="38"/>
        <v>0</v>
      </c>
      <c r="BO1138" s="4"/>
      <c r="BP1138" s="5"/>
      <c r="BQ1138" s="5" t="str">
        <f ca="1">IF('Rent Roll'!$AD40=1,'Rent Roll'!E40,"")</f>
        <v/>
      </c>
      <c r="BR1138" s="39" t="str">
        <f ca="1">IF('Rent Roll'!$AD40=1,'Rent Roll'!G40,"")</f>
        <v/>
      </c>
      <c r="BS1138" s="1547" t="str">
        <f ca="1">IF('Rent Roll'!$AD40=1,'Rent Roll'!K40,"")</f>
        <v/>
      </c>
      <c r="BT1138" s="1551" t="str">
        <f ca="1">IF('Rent Roll'!$AD40=1,'Rent Roll'!N40,"")</f>
        <v/>
      </c>
      <c r="BU1138" s="223"/>
      <c r="BV1138" s="6"/>
      <c r="BW1138" s="32"/>
      <c r="BX1138" s="342"/>
      <c r="BY1138" s="343"/>
      <c r="BZ1138" s="342"/>
      <c r="CA1138" s="343"/>
      <c r="CB1138" s="32"/>
      <c r="CC1138" s="187"/>
      <c r="CD1138" s="187"/>
    </row>
    <row r="1139" spans="1:82" ht="15.95" hidden="1" customHeight="1" x14ac:dyDescent="0.25">
      <c r="A1139" s="957">
        <f t="shared" ca="1" si="38"/>
        <v>0</v>
      </c>
      <c r="BO1139" s="4"/>
      <c r="BP1139" s="5"/>
      <c r="BQ1139" s="5" t="str">
        <f ca="1">IF('Rent Roll'!$AD41=1,'Rent Roll'!E41,"")</f>
        <v/>
      </c>
      <c r="BR1139" s="39" t="str">
        <f ca="1">IF('Rent Roll'!$AD41=1,'Rent Roll'!G41,"")</f>
        <v/>
      </c>
      <c r="BS1139" s="1547" t="str">
        <f ca="1">IF('Rent Roll'!$AD41=1,'Rent Roll'!K41,"")</f>
        <v/>
      </c>
      <c r="BT1139" s="1551" t="str">
        <f ca="1">IF('Rent Roll'!$AD41=1,'Rent Roll'!N41,"")</f>
        <v/>
      </c>
      <c r="BU1139" s="223"/>
      <c r="BV1139" s="6"/>
      <c r="BW1139" s="32"/>
      <c r="BX1139" s="342"/>
      <c r="BY1139" s="343"/>
      <c r="BZ1139" s="342"/>
      <c r="CA1139" s="343"/>
      <c r="CB1139" s="32"/>
      <c r="CC1139" s="187"/>
      <c r="CD1139" s="187"/>
    </row>
    <row r="1140" spans="1:82" ht="15.95" hidden="1" customHeight="1" x14ac:dyDescent="0.25">
      <c r="A1140" s="957">
        <f t="shared" ca="1" si="38"/>
        <v>0</v>
      </c>
      <c r="BO1140" s="4"/>
      <c r="BP1140" s="5"/>
      <c r="BQ1140" s="5" t="str">
        <f ca="1">IF('Rent Roll'!$AD42=1,'Rent Roll'!E42,"")</f>
        <v/>
      </c>
      <c r="BR1140" s="39" t="str">
        <f ca="1">IF('Rent Roll'!$AD42=1,'Rent Roll'!G42,"")</f>
        <v/>
      </c>
      <c r="BS1140" s="1547" t="str">
        <f ca="1">IF('Rent Roll'!$AD42=1,'Rent Roll'!K42,"")</f>
        <v/>
      </c>
      <c r="BT1140" s="1551" t="str">
        <f ca="1">IF('Rent Roll'!$AD42=1,'Rent Roll'!N42,"")</f>
        <v/>
      </c>
      <c r="BU1140" s="223"/>
      <c r="BV1140" s="6"/>
      <c r="BW1140" s="32"/>
      <c r="BX1140" s="342"/>
      <c r="BY1140" s="343"/>
      <c r="BZ1140" s="342"/>
      <c r="CA1140" s="343"/>
      <c r="CB1140" s="32"/>
      <c r="CC1140" s="187"/>
      <c r="CD1140" s="187"/>
    </row>
    <row r="1141" spans="1:82" ht="15.95" hidden="1" customHeight="1" x14ac:dyDescent="0.25">
      <c r="A1141" s="957">
        <f t="shared" ca="1" si="38"/>
        <v>0</v>
      </c>
      <c r="BO1141" s="4"/>
      <c r="BP1141" s="5"/>
      <c r="BQ1141" s="5" t="str">
        <f ca="1">IF('Rent Roll'!$AD43=1,'Rent Roll'!E43,"")</f>
        <v/>
      </c>
      <c r="BR1141" s="39" t="str">
        <f ca="1">IF('Rent Roll'!$AD43=1,'Rent Roll'!G43,"")</f>
        <v/>
      </c>
      <c r="BS1141" s="1547" t="str">
        <f ca="1">IF('Rent Roll'!$AD43=1,'Rent Roll'!K43,"")</f>
        <v/>
      </c>
      <c r="BT1141" s="1551" t="str">
        <f ca="1">IF('Rent Roll'!$AD43=1,'Rent Roll'!N43,"")</f>
        <v/>
      </c>
      <c r="BU1141" s="223"/>
      <c r="BV1141" s="6"/>
      <c r="BW1141" s="32"/>
      <c r="BX1141" s="342"/>
      <c r="BY1141" s="343"/>
      <c r="BZ1141" s="342"/>
      <c r="CA1141" s="343"/>
      <c r="CB1141" s="32"/>
      <c r="CC1141" s="187"/>
      <c r="CD1141" s="187"/>
    </row>
    <row r="1142" spans="1:82" ht="15.95" hidden="1" customHeight="1" x14ac:dyDescent="0.25">
      <c r="A1142" s="957">
        <f t="shared" ca="1" si="38"/>
        <v>0</v>
      </c>
      <c r="BO1142" s="4"/>
      <c r="BP1142" s="5"/>
      <c r="BQ1142" s="5" t="str">
        <f ca="1">IF('Rent Roll'!$AD44=1,'Rent Roll'!E44,"")</f>
        <v/>
      </c>
      <c r="BR1142" s="39" t="str">
        <f ca="1">IF('Rent Roll'!$AD44=1,'Rent Roll'!G44,"")</f>
        <v/>
      </c>
      <c r="BS1142" s="1547" t="str">
        <f ca="1">IF('Rent Roll'!$AD44=1,'Rent Roll'!K44,"")</f>
        <v/>
      </c>
      <c r="BT1142" s="1551" t="str">
        <f ca="1">IF('Rent Roll'!$AD44=1,'Rent Roll'!N44,"")</f>
        <v/>
      </c>
      <c r="BU1142" s="223"/>
      <c r="BV1142" s="6"/>
      <c r="BW1142" s="32"/>
      <c r="BX1142" s="342"/>
      <c r="BY1142" s="343"/>
      <c r="BZ1142" s="342"/>
      <c r="CA1142" s="343"/>
      <c r="CB1142" s="32"/>
      <c r="CC1142" s="187"/>
      <c r="CD1142" s="187"/>
    </row>
    <row r="1143" spans="1:82" ht="15.95" hidden="1" customHeight="1" x14ac:dyDescent="0.25">
      <c r="A1143" s="957">
        <f t="shared" ca="1" si="38"/>
        <v>0</v>
      </c>
      <c r="BO1143" s="4"/>
      <c r="BP1143" s="5"/>
      <c r="BQ1143" s="5" t="str">
        <f ca="1">IF('Rent Roll'!$AD45=1,'Rent Roll'!E45,"")</f>
        <v/>
      </c>
      <c r="BR1143" s="39" t="str">
        <f ca="1">IF('Rent Roll'!$AD45=1,'Rent Roll'!G45,"")</f>
        <v/>
      </c>
      <c r="BS1143" s="1547" t="str">
        <f ca="1">IF('Rent Roll'!$AD45=1,'Rent Roll'!K45,"")</f>
        <v/>
      </c>
      <c r="BT1143" s="1551" t="str">
        <f ca="1">IF('Rent Roll'!$AD45=1,'Rent Roll'!N45,"")</f>
        <v/>
      </c>
      <c r="BU1143" s="223"/>
      <c r="BV1143" s="6"/>
      <c r="BW1143" s="32"/>
      <c r="BX1143" s="342"/>
      <c r="BY1143" s="343"/>
      <c r="BZ1143" s="342"/>
      <c r="CA1143" s="343"/>
      <c r="CB1143" s="32"/>
      <c r="CC1143" s="187"/>
      <c r="CD1143" s="187"/>
    </row>
    <row r="1144" spans="1:82" ht="15.95" hidden="1" customHeight="1" x14ac:dyDescent="0.25">
      <c r="A1144" s="957">
        <f t="shared" ca="1" si="38"/>
        <v>0</v>
      </c>
      <c r="BO1144" s="4"/>
      <c r="BP1144" s="5"/>
      <c r="BQ1144" s="5" t="str">
        <f ca="1">IF('Rent Roll'!$AD46=1,'Rent Roll'!E46,"")</f>
        <v/>
      </c>
      <c r="BR1144" s="39" t="str">
        <f ca="1">IF('Rent Roll'!$AD46=1,'Rent Roll'!G46,"")</f>
        <v/>
      </c>
      <c r="BS1144" s="1547" t="str">
        <f ca="1">IF('Rent Roll'!$AD46=1,'Rent Roll'!K46,"")</f>
        <v/>
      </c>
      <c r="BT1144" s="1551" t="str">
        <f ca="1">IF('Rent Roll'!$AD46=1,'Rent Roll'!N46,"")</f>
        <v/>
      </c>
      <c r="BU1144" s="223"/>
      <c r="BV1144" s="6"/>
      <c r="BW1144" s="32"/>
      <c r="BX1144" s="342"/>
      <c r="BY1144" s="343"/>
      <c r="BZ1144" s="342"/>
      <c r="CA1144" s="343"/>
      <c r="CB1144" s="32"/>
      <c r="CC1144" s="187"/>
      <c r="CD1144" s="187"/>
    </row>
    <row r="1145" spans="1:82" ht="15.95" hidden="1" customHeight="1" x14ac:dyDescent="0.25">
      <c r="A1145" s="957">
        <f t="shared" ca="1" si="38"/>
        <v>0</v>
      </c>
      <c r="BO1145" s="4"/>
      <c r="BP1145" s="5"/>
      <c r="BQ1145" s="5" t="str">
        <f ca="1">IF('Rent Roll'!$AD47=1,'Rent Roll'!E47,"")</f>
        <v/>
      </c>
      <c r="BR1145" s="39" t="str">
        <f ca="1">IF('Rent Roll'!$AD47=1,'Rent Roll'!G47,"")</f>
        <v/>
      </c>
      <c r="BS1145" s="1547" t="str">
        <f ca="1">IF('Rent Roll'!$AD47=1,'Rent Roll'!K47,"")</f>
        <v/>
      </c>
      <c r="BT1145" s="1551" t="str">
        <f ca="1">IF('Rent Roll'!$AD47=1,'Rent Roll'!N47,"")</f>
        <v/>
      </c>
      <c r="BU1145" s="223"/>
      <c r="BV1145" s="6"/>
      <c r="BW1145" s="32"/>
      <c r="BX1145" s="342"/>
      <c r="BY1145" s="343"/>
      <c r="BZ1145" s="342"/>
      <c r="CA1145" s="343"/>
      <c r="CB1145" s="32"/>
      <c r="CC1145" s="187"/>
      <c r="CD1145" s="187"/>
    </row>
    <row r="1146" spans="1:82" ht="15.95" hidden="1" customHeight="1" x14ac:dyDescent="0.25">
      <c r="A1146" s="957">
        <f t="shared" ca="1" si="38"/>
        <v>0</v>
      </c>
      <c r="BO1146" s="4"/>
      <c r="BP1146" s="5"/>
      <c r="BQ1146" s="5" t="str">
        <f ca="1">IF('Rent Roll'!$AD48=1,'Rent Roll'!E48,"")</f>
        <v/>
      </c>
      <c r="BR1146" s="39" t="str">
        <f ca="1">IF('Rent Roll'!$AD48=1,'Rent Roll'!G48,"")</f>
        <v/>
      </c>
      <c r="BS1146" s="1547" t="str">
        <f ca="1">IF('Rent Roll'!$AD48=1,'Rent Roll'!K48,"")</f>
        <v/>
      </c>
      <c r="BT1146" s="1551" t="str">
        <f ca="1">IF('Rent Roll'!$AD48=1,'Rent Roll'!N48,"")</f>
        <v/>
      </c>
      <c r="BU1146" s="223"/>
      <c r="BV1146" s="6"/>
      <c r="BW1146" s="32"/>
      <c r="BX1146" s="342"/>
      <c r="BY1146" s="343"/>
      <c r="BZ1146" s="342"/>
      <c r="CA1146" s="343"/>
      <c r="CB1146" s="32"/>
      <c r="CC1146" s="187"/>
      <c r="CD1146" s="187"/>
    </row>
    <row r="1147" spans="1:82" ht="15.95" hidden="1" customHeight="1" x14ac:dyDescent="0.25">
      <c r="A1147" s="957">
        <f t="shared" ca="1" si="38"/>
        <v>0</v>
      </c>
      <c r="BO1147" s="4"/>
      <c r="BP1147" s="5"/>
      <c r="BQ1147" s="5" t="str">
        <f ca="1">IF('Rent Roll'!$AD49=1,'Rent Roll'!E49,"")</f>
        <v/>
      </c>
      <c r="BR1147" s="39" t="str">
        <f ca="1">IF('Rent Roll'!$AD49=1,'Rent Roll'!G49,"")</f>
        <v/>
      </c>
      <c r="BS1147" s="1547" t="str">
        <f ca="1">IF('Rent Roll'!$AD49=1,'Rent Roll'!K49,"")</f>
        <v/>
      </c>
      <c r="BT1147" s="1551" t="str">
        <f ca="1">IF('Rent Roll'!$AD49=1,'Rent Roll'!N49,"")</f>
        <v/>
      </c>
      <c r="BU1147" s="223"/>
      <c r="BV1147" s="6"/>
      <c r="BW1147" s="32"/>
      <c r="BX1147" s="342"/>
      <c r="BY1147" s="343"/>
      <c r="BZ1147" s="342"/>
      <c r="CA1147" s="343"/>
      <c r="CB1147" s="32"/>
      <c r="CC1147" s="187"/>
      <c r="CD1147" s="187"/>
    </row>
    <row r="1148" spans="1:82" ht="15.95" hidden="1" customHeight="1" x14ac:dyDescent="0.25">
      <c r="A1148" s="957">
        <f t="shared" ca="1" si="38"/>
        <v>0</v>
      </c>
      <c r="BO1148" s="4"/>
      <c r="BP1148" s="5"/>
      <c r="BQ1148" s="5" t="str">
        <f ca="1">IF('Rent Roll'!$AD50=1,'Rent Roll'!E50,"")</f>
        <v/>
      </c>
      <c r="BR1148" s="39" t="str">
        <f ca="1">IF('Rent Roll'!$AD50=1,'Rent Roll'!G50,"")</f>
        <v/>
      </c>
      <c r="BS1148" s="1547" t="str">
        <f ca="1">IF('Rent Roll'!$AD50=1,'Rent Roll'!K50,"")</f>
        <v/>
      </c>
      <c r="BT1148" s="1551" t="str">
        <f ca="1">IF('Rent Roll'!$AD50=1,'Rent Roll'!N50,"")</f>
        <v/>
      </c>
      <c r="BU1148" s="223"/>
      <c r="BV1148" s="6"/>
      <c r="BW1148" s="32"/>
      <c r="BX1148" s="342"/>
      <c r="BY1148" s="343"/>
      <c r="BZ1148" s="342"/>
      <c r="CA1148" s="343"/>
      <c r="CB1148" s="32"/>
      <c r="CC1148" s="187"/>
      <c r="CD1148" s="187"/>
    </row>
    <row r="1149" spans="1:82" ht="15.95" hidden="1" customHeight="1" x14ac:dyDescent="0.25">
      <c r="A1149" s="957">
        <f t="shared" ca="1" si="38"/>
        <v>0</v>
      </c>
      <c r="BO1149" s="4"/>
      <c r="BP1149" s="5"/>
      <c r="BQ1149" s="5" t="str">
        <f ca="1">IF('Rent Roll'!$AD51=1,'Rent Roll'!E51,"")</f>
        <v/>
      </c>
      <c r="BR1149" s="39" t="str">
        <f ca="1">IF('Rent Roll'!$AD51=1,'Rent Roll'!G51,"")</f>
        <v/>
      </c>
      <c r="BS1149" s="1547" t="str">
        <f ca="1">IF('Rent Roll'!$AD51=1,'Rent Roll'!K51,"")</f>
        <v/>
      </c>
      <c r="BT1149" s="1551" t="str">
        <f ca="1">IF('Rent Roll'!$AD51=1,'Rent Roll'!N51,"")</f>
        <v/>
      </c>
      <c r="BU1149" s="223"/>
      <c r="BV1149" s="6"/>
      <c r="BW1149" s="32"/>
      <c r="BX1149" s="342"/>
      <c r="BY1149" s="343"/>
      <c r="BZ1149" s="342"/>
      <c r="CA1149" s="343"/>
      <c r="CB1149" s="32"/>
      <c r="CC1149" s="187"/>
      <c r="CD1149" s="187"/>
    </row>
    <row r="1150" spans="1:82" ht="15.95" hidden="1" customHeight="1" x14ac:dyDescent="0.25">
      <c r="A1150" s="957">
        <f t="shared" ca="1" si="38"/>
        <v>0</v>
      </c>
      <c r="BO1150" s="4"/>
      <c r="BP1150" s="5"/>
      <c r="BQ1150" s="5" t="str">
        <f ca="1">IF('Rent Roll'!$AD52=1,'Rent Roll'!E52,"")</f>
        <v/>
      </c>
      <c r="BR1150" s="39" t="str">
        <f ca="1">IF('Rent Roll'!$AD52=1,'Rent Roll'!G52,"")</f>
        <v/>
      </c>
      <c r="BS1150" s="1547" t="str">
        <f ca="1">IF('Rent Roll'!$AD52=1,'Rent Roll'!K52,"")</f>
        <v/>
      </c>
      <c r="BT1150" s="1551" t="str">
        <f ca="1">IF('Rent Roll'!$AD52=1,'Rent Roll'!N52,"")</f>
        <v/>
      </c>
      <c r="BU1150" s="223"/>
      <c r="BV1150" s="6"/>
      <c r="BW1150" s="32"/>
      <c r="BX1150" s="342"/>
      <c r="BY1150" s="343"/>
      <c r="BZ1150" s="342"/>
      <c r="CA1150" s="343"/>
      <c r="CB1150" s="32"/>
      <c r="CC1150" s="187"/>
      <c r="CD1150" s="187"/>
    </row>
    <row r="1151" spans="1:82" ht="15.95" hidden="1" customHeight="1" x14ac:dyDescent="0.25">
      <c r="A1151" s="957">
        <f t="shared" ca="1" si="38"/>
        <v>0</v>
      </c>
      <c r="BO1151" s="4"/>
      <c r="BP1151" s="5"/>
      <c r="BQ1151" s="5" t="str">
        <f ca="1">IF('Rent Roll'!$AD53=1,'Rent Roll'!E53,"")</f>
        <v/>
      </c>
      <c r="BR1151" s="39" t="str">
        <f ca="1">IF('Rent Roll'!$AD53=1,'Rent Roll'!G53,"")</f>
        <v/>
      </c>
      <c r="BS1151" s="1547" t="str">
        <f ca="1">IF('Rent Roll'!$AD53=1,'Rent Roll'!K53,"")</f>
        <v/>
      </c>
      <c r="BT1151" s="1551" t="str">
        <f ca="1">IF('Rent Roll'!$AD53=1,'Rent Roll'!N53,"")</f>
        <v/>
      </c>
      <c r="BU1151" s="223"/>
      <c r="BV1151" s="6"/>
      <c r="BW1151" s="32"/>
      <c r="BX1151" s="342"/>
      <c r="BY1151" s="343"/>
      <c r="BZ1151" s="342"/>
      <c r="CA1151" s="343"/>
      <c r="CB1151" s="32"/>
      <c r="CC1151" s="187"/>
      <c r="CD1151" s="187"/>
    </row>
    <row r="1152" spans="1:82" ht="15.95" hidden="1" customHeight="1" x14ac:dyDescent="0.25">
      <c r="A1152" s="957">
        <f t="shared" ca="1" si="38"/>
        <v>0</v>
      </c>
      <c r="BO1152" s="4"/>
      <c r="BP1152" s="5"/>
      <c r="BQ1152" s="5" t="str">
        <f ca="1">IF('Rent Roll'!$AD54=1,'Rent Roll'!E54,"")</f>
        <v/>
      </c>
      <c r="BR1152" s="39" t="str">
        <f ca="1">IF('Rent Roll'!$AD54=1,'Rent Roll'!G54,"")</f>
        <v/>
      </c>
      <c r="BS1152" s="1547" t="str">
        <f ca="1">IF('Rent Roll'!$AD54=1,'Rent Roll'!K54,"")</f>
        <v/>
      </c>
      <c r="BT1152" s="1551" t="str">
        <f ca="1">IF('Rent Roll'!$AD54=1,'Rent Roll'!N54,"")</f>
        <v/>
      </c>
      <c r="BU1152" s="223"/>
      <c r="BV1152" s="6"/>
      <c r="BW1152" s="32"/>
      <c r="BX1152" s="342"/>
      <c r="BY1152" s="343"/>
      <c r="BZ1152" s="342"/>
      <c r="CA1152" s="343"/>
      <c r="CB1152" s="32"/>
      <c r="CC1152" s="187"/>
      <c r="CD1152" s="187"/>
    </row>
    <row r="1153" spans="1:82" ht="15.95" hidden="1" customHeight="1" x14ac:dyDescent="0.25">
      <c r="A1153" s="957">
        <f t="shared" ca="1" si="38"/>
        <v>0</v>
      </c>
      <c r="BO1153" s="4"/>
      <c r="BP1153" s="5"/>
      <c r="BQ1153" s="5" t="str">
        <f ca="1">IF('Rent Roll'!$AD55=1,'Rent Roll'!E55,"")</f>
        <v/>
      </c>
      <c r="BR1153" s="39" t="str">
        <f ca="1">IF('Rent Roll'!$AD55=1,'Rent Roll'!G55,"")</f>
        <v/>
      </c>
      <c r="BS1153" s="1547" t="str">
        <f ca="1">IF('Rent Roll'!$AD55=1,'Rent Roll'!K55,"")</f>
        <v/>
      </c>
      <c r="BT1153" s="1551" t="str">
        <f ca="1">IF('Rent Roll'!$AD55=1,'Rent Roll'!N55,"")</f>
        <v/>
      </c>
      <c r="BU1153" s="223"/>
      <c r="BV1153" s="6"/>
      <c r="BW1153" s="32"/>
      <c r="BX1153" s="342"/>
      <c r="BY1153" s="343"/>
      <c r="BZ1153" s="342"/>
      <c r="CA1153" s="343"/>
      <c r="CB1153" s="32"/>
      <c r="CC1153" s="187"/>
      <c r="CD1153" s="187"/>
    </row>
    <row r="1154" spans="1:82" ht="15.95" hidden="1" customHeight="1" x14ac:dyDescent="0.25">
      <c r="A1154" s="957">
        <f t="shared" ca="1" si="38"/>
        <v>0</v>
      </c>
      <c r="BO1154" s="4"/>
      <c r="BP1154" s="5"/>
      <c r="BQ1154" s="5" t="str">
        <f ca="1">IF('Rent Roll'!$AD56=1,'Rent Roll'!E56,"")</f>
        <v/>
      </c>
      <c r="BR1154" s="39" t="str">
        <f ca="1">IF('Rent Roll'!$AD56=1,'Rent Roll'!G56,"")</f>
        <v/>
      </c>
      <c r="BS1154" s="1547" t="str">
        <f ca="1">IF('Rent Roll'!$AD56=1,'Rent Roll'!K56,"")</f>
        <v/>
      </c>
      <c r="BT1154" s="1551" t="str">
        <f ca="1">IF('Rent Roll'!$AD56=1,'Rent Roll'!N56,"")</f>
        <v/>
      </c>
      <c r="BU1154" s="223"/>
      <c r="BV1154" s="6"/>
      <c r="BW1154" s="32"/>
      <c r="BX1154" s="342"/>
      <c r="BY1154" s="343"/>
      <c r="BZ1154" s="342"/>
      <c r="CA1154" s="343"/>
      <c r="CB1154" s="32"/>
      <c r="CC1154" s="187"/>
      <c r="CD1154" s="187"/>
    </row>
    <row r="1155" spans="1:82" ht="15.95" hidden="1" customHeight="1" x14ac:dyDescent="0.25">
      <c r="A1155" s="957">
        <f t="shared" ca="1" si="38"/>
        <v>0</v>
      </c>
      <c r="BO1155" s="4"/>
      <c r="BP1155" s="5"/>
      <c r="BQ1155" s="5" t="str">
        <f ca="1">IF('Rent Roll'!$AD57=1,'Rent Roll'!E57,"")</f>
        <v/>
      </c>
      <c r="BR1155" s="39" t="str">
        <f ca="1">IF('Rent Roll'!$AD57=1,'Rent Roll'!G57,"")</f>
        <v/>
      </c>
      <c r="BS1155" s="1547" t="str">
        <f ca="1">IF('Rent Roll'!$AD57=1,'Rent Roll'!K57,"")</f>
        <v/>
      </c>
      <c r="BT1155" s="1551" t="str">
        <f ca="1">IF('Rent Roll'!$AD57=1,'Rent Roll'!N57,"")</f>
        <v/>
      </c>
      <c r="BU1155" s="223"/>
      <c r="BV1155" s="6"/>
      <c r="BW1155" s="32"/>
      <c r="BX1155" s="342"/>
      <c r="BY1155" s="343"/>
      <c r="BZ1155" s="342"/>
      <c r="CA1155" s="343"/>
      <c r="CB1155" s="32"/>
      <c r="CC1155" s="187"/>
      <c r="CD1155" s="187"/>
    </row>
    <row r="1156" spans="1:82" ht="15.95" hidden="1" customHeight="1" x14ac:dyDescent="0.25">
      <c r="A1156" s="957">
        <f t="shared" ca="1" si="38"/>
        <v>0</v>
      </c>
      <c r="BO1156" s="4"/>
      <c r="BP1156" s="5"/>
      <c r="BQ1156" s="5" t="str">
        <f ca="1">IF('Rent Roll'!$AD58=1,'Rent Roll'!E58,"")</f>
        <v/>
      </c>
      <c r="BR1156" s="39" t="str">
        <f ca="1">IF('Rent Roll'!$AD58=1,'Rent Roll'!G58,"")</f>
        <v/>
      </c>
      <c r="BS1156" s="1547" t="str">
        <f ca="1">IF('Rent Roll'!$AD58=1,'Rent Roll'!K58,"")</f>
        <v/>
      </c>
      <c r="BT1156" s="1551" t="str">
        <f ca="1">IF('Rent Roll'!$AD58=1,'Rent Roll'!N58,"")</f>
        <v/>
      </c>
      <c r="BU1156" s="223"/>
      <c r="BV1156" s="6"/>
      <c r="BW1156" s="32"/>
      <c r="BX1156" s="342"/>
      <c r="BY1156" s="343"/>
      <c r="BZ1156" s="342"/>
      <c r="CA1156" s="343"/>
      <c r="CB1156" s="32"/>
      <c r="CC1156" s="187"/>
      <c r="CD1156" s="187"/>
    </row>
    <row r="1157" spans="1:82" ht="15.95" hidden="1" customHeight="1" x14ac:dyDescent="0.25">
      <c r="A1157" s="957">
        <f t="shared" ca="1" si="38"/>
        <v>0</v>
      </c>
      <c r="BO1157" s="4"/>
      <c r="BP1157" s="5"/>
      <c r="BQ1157" s="5" t="str">
        <f ca="1">IF('Rent Roll'!$AD59=1,'Rent Roll'!E59,"")</f>
        <v/>
      </c>
      <c r="BR1157" s="39" t="str">
        <f ca="1">IF('Rent Roll'!$AD59=1,'Rent Roll'!G59,"")</f>
        <v/>
      </c>
      <c r="BS1157" s="1547" t="str">
        <f ca="1">IF('Rent Roll'!$AD59=1,'Rent Roll'!K59,"")</f>
        <v/>
      </c>
      <c r="BT1157" s="1551" t="str">
        <f ca="1">IF('Rent Roll'!$AD59=1,'Rent Roll'!N59,"")</f>
        <v/>
      </c>
      <c r="BU1157" s="223"/>
      <c r="BV1157" s="6"/>
      <c r="BW1157" s="32"/>
      <c r="BX1157" s="342"/>
      <c r="BY1157" s="343"/>
      <c r="BZ1157" s="342"/>
      <c r="CA1157" s="343"/>
      <c r="CB1157" s="32"/>
      <c r="CC1157" s="187"/>
      <c r="CD1157" s="187"/>
    </row>
    <row r="1158" spans="1:82" ht="15.95" hidden="1" customHeight="1" x14ac:dyDescent="0.25">
      <c r="A1158" s="957">
        <f t="shared" ca="1" si="38"/>
        <v>0</v>
      </c>
      <c r="BO1158" s="4"/>
      <c r="BP1158" s="5"/>
      <c r="BQ1158" s="5" t="str">
        <f ca="1">IF('Rent Roll'!$AD60=1,'Rent Roll'!E60,"")</f>
        <v/>
      </c>
      <c r="BR1158" s="39" t="str">
        <f ca="1">IF('Rent Roll'!$AD60=1,'Rent Roll'!G60,"")</f>
        <v/>
      </c>
      <c r="BS1158" s="1547" t="str">
        <f ca="1">IF('Rent Roll'!$AD60=1,'Rent Roll'!K60,"")</f>
        <v/>
      </c>
      <c r="BT1158" s="1551" t="str">
        <f ca="1">IF('Rent Roll'!$AD60=1,'Rent Roll'!N60,"")</f>
        <v/>
      </c>
      <c r="BU1158" s="223"/>
      <c r="BV1158" s="6"/>
      <c r="BW1158" s="32"/>
      <c r="BX1158" s="342"/>
      <c r="BY1158" s="343"/>
      <c r="BZ1158" s="342"/>
      <c r="CA1158" s="343"/>
      <c r="CB1158" s="32"/>
      <c r="CC1158" s="187"/>
      <c r="CD1158" s="187"/>
    </row>
    <row r="1159" spans="1:82" ht="15.95" hidden="1" customHeight="1" x14ac:dyDescent="0.25">
      <c r="A1159" s="957">
        <f t="shared" ca="1" si="38"/>
        <v>0</v>
      </c>
      <c r="BO1159" s="4"/>
      <c r="BP1159" s="5"/>
      <c r="BQ1159" s="5" t="str">
        <f ca="1">IF('Rent Roll'!$AD61=1,'Rent Roll'!E61,"")</f>
        <v/>
      </c>
      <c r="BR1159" s="39" t="str">
        <f ca="1">IF('Rent Roll'!$AD61=1,'Rent Roll'!G61,"")</f>
        <v/>
      </c>
      <c r="BS1159" s="1547" t="str">
        <f ca="1">IF('Rent Roll'!$AD61=1,'Rent Roll'!K61,"")</f>
        <v/>
      </c>
      <c r="BT1159" s="1551" t="str">
        <f ca="1">IF('Rent Roll'!$AD61=1,'Rent Roll'!N61,"")</f>
        <v/>
      </c>
      <c r="BU1159" s="223"/>
      <c r="BV1159" s="6"/>
      <c r="BW1159" s="32"/>
      <c r="BX1159" s="342"/>
      <c r="BY1159" s="343"/>
      <c r="BZ1159" s="342"/>
      <c r="CA1159" s="343"/>
      <c r="CB1159" s="32"/>
      <c r="CC1159" s="187"/>
      <c r="CD1159" s="187"/>
    </row>
    <row r="1160" spans="1:82" ht="15.95" hidden="1" customHeight="1" x14ac:dyDescent="0.25">
      <c r="A1160" s="957">
        <f t="shared" ca="1" si="38"/>
        <v>0</v>
      </c>
      <c r="BO1160" s="4"/>
      <c r="BP1160" s="5"/>
      <c r="BQ1160" s="5" t="str">
        <f ca="1">IF('Rent Roll'!$AD62=1,'Rent Roll'!E62,"")</f>
        <v/>
      </c>
      <c r="BR1160" s="39" t="str">
        <f ca="1">IF('Rent Roll'!$AD62=1,'Rent Roll'!G62,"")</f>
        <v/>
      </c>
      <c r="BS1160" s="1547" t="str">
        <f ca="1">IF('Rent Roll'!$AD62=1,'Rent Roll'!K62,"")</f>
        <v/>
      </c>
      <c r="BT1160" s="1551" t="str">
        <f ca="1">IF('Rent Roll'!$AD62=1,'Rent Roll'!N62,"")</f>
        <v/>
      </c>
      <c r="BU1160" s="223"/>
      <c r="BV1160" s="6"/>
      <c r="BW1160" s="32"/>
      <c r="BX1160" s="342"/>
      <c r="BY1160" s="343"/>
      <c r="BZ1160" s="342"/>
      <c r="CA1160" s="343"/>
      <c r="CB1160" s="32"/>
      <c r="CC1160" s="187"/>
      <c r="CD1160" s="187"/>
    </row>
    <row r="1161" spans="1:82" ht="15.95" hidden="1" customHeight="1" x14ac:dyDescent="0.25">
      <c r="A1161" s="957">
        <f t="shared" ca="1" si="38"/>
        <v>0</v>
      </c>
      <c r="BO1161" s="4"/>
      <c r="BP1161" s="5"/>
      <c r="BQ1161" s="5" t="str">
        <f ca="1">IF('Rent Roll'!$AD63=1,'Rent Roll'!E63,"")</f>
        <v/>
      </c>
      <c r="BR1161" s="39" t="str">
        <f ca="1">IF('Rent Roll'!$AD63=1,'Rent Roll'!G63,"")</f>
        <v/>
      </c>
      <c r="BS1161" s="1547" t="str">
        <f ca="1">IF('Rent Roll'!$AD63=1,'Rent Roll'!K63,"")</f>
        <v/>
      </c>
      <c r="BT1161" s="1551" t="str">
        <f ca="1">IF('Rent Roll'!$AD63=1,'Rent Roll'!N63,"")</f>
        <v/>
      </c>
      <c r="BU1161" s="223"/>
      <c r="BV1161" s="6"/>
      <c r="BW1161" s="32"/>
      <c r="BX1161" s="342"/>
      <c r="BY1161" s="343"/>
      <c r="BZ1161" s="342"/>
      <c r="CA1161" s="343"/>
      <c r="CB1161" s="32"/>
      <c r="CC1161" s="187"/>
      <c r="CD1161" s="187"/>
    </row>
    <row r="1162" spans="1:82" ht="15.95" hidden="1" customHeight="1" x14ac:dyDescent="0.25">
      <c r="A1162" s="957">
        <f t="shared" ca="1" si="38"/>
        <v>0</v>
      </c>
      <c r="BO1162" s="4"/>
      <c r="BP1162" s="5"/>
      <c r="BQ1162" s="5" t="str">
        <f ca="1">IF('Rent Roll'!$AD64=1,'Rent Roll'!E64,"")</f>
        <v/>
      </c>
      <c r="BR1162" s="39" t="str">
        <f ca="1">IF('Rent Roll'!$AD64=1,'Rent Roll'!G64,"")</f>
        <v/>
      </c>
      <c r="BS1162" s="1547" t="str">
        <f ca="1">IF('Rent Roll'!$AD64=1,'Rent Roll'!K64,"")</f>
        <v/>
      </c>
      <c r="BT1162" s="1551" t="str">
        <f ca="1">IF('Rent Roll'!$AD64=1,'Rent Roll'!N64,"")</f>
        <v/>
      </c>
      <c r="BU1162" s="223"/>
      <c r="BV1162" s="6"/>
      <c r="BW1162" s="32"/>
      <c r="BX1162" s="342"/>
      <c r="BY1162" s="343"/>
      <c r="BZ1162" s="342"/>
      <c r="CA1162" s="343"/>
      <c r="CB1162" s="32"/>
      <c r="CC1162" s="187"/>
      <c r="CD1162" s="187"/>
    </row>
    <row r="1163" spans="1:82" ht="15.95" hidden="1" customHeight="1" x14ac:dyDescent="0.25">
      <c r="A1163" s="957">
        <f t="shared" ca="1" si="38"/>
        <v>0</v>
      </c>
      <c r="BO1163" s="4"/>
      <c r="BP1163" s="5"/>
      <c r="BQ1163" s="5" t="str">
        <f ca="1">IF('Rent Roll'!$AD65=1,'Rent Roll'!E65,"")</f>
        <v/>
      </c>
      <c r="BR1163" s="39" t="str">
        <f ca="1">IF('Rent Roll'!$AD65=1,'Rent Roll'!G65,"")</f>
        <v/>
      </c>
      <c r="BS1163" s="1547" t="str">
        <f ca="1">IF('Rent Roll'!$AD65=1,'Rent Roll'!K65,"")</f>
        <v/>
      </c>
      <c r="BT1163" s="1551" t="str">
        <f ca="1">IF('Rent Roll'!$AD65=1,'Rent Roll'!N65,"")</f>
        <v/>
      </c>
      <c r="BU1163" s="223"/>
      <c r="BV1163" s="6"/>
      <c r="BW1163" s="32"/>
      <c r="BX1163" s="342"/>
      <c r="BY1163" s="343"/>
      <c r="BZ1163" s="342"/>
      <c r="CA1163" s="343"/>
      <c r="CB1163" s="32"/>
      <c r="CC1163" s="187"/>
      <c r="CD1163" s="187"/>
    </row>
    <row r="1164" spans="1:82" ht="15.95" hidden="1" customHeight="1" x14ac:dyDescent="0.25">
      <c r="A1164" s="957">
        <f t="shared" ca="1" si="38"/>
        <v>0</v>
      </c>
      <c r="BO1164" s="4"/>
      <c r="BP1164" s="5"/>
      <c r="BQ1164" s="5" t="str">
        <f ca="1">IF('Rent Roll'!$AD66=1,'Rent Roll'!E66,"")</f>
        <v/>
      </c>
      <c r="BR1164" s="39" t="str">
        <f ca="1">IF('Rent Roll'!$AD66=1,'Rent Roll'!G66,"")</f>
        <v/>
      </c>
      <c r="BS1164" s="1547" t="str">
        <f ca="1">IF('Rent Roll'!$AD66=1,'Rent Roll'!K66,"")</f>
        <v/>
      </c>
      <c r="BT1164" s="1551" t="str">
        <f ca="1">IF('Rent Roll'!$AD66=1,'Rent Roll'!N66,"")</f>
        <v/>
      </c>
      <c r="BU1164" s="223"/>
      <c r="BV1164" s="6"/>
      <c r="BW1164" s="32"/>
      <c r="BX1164" s="342"/>
      <c r="BY1164" s="343"/>
      <c r="BZ1164" s="342"/>
      <c r="CA1164" s="343"/>
      <c r="CB1164" s="32"/>
      <c r="CC1164" s="187"/>
      <c r="CD1164" s="187"/>
    </row>
    <row r="1165" spans="1:82" ht="15.95" hidden="1" customHeight="1" x14ac:dyDescent="0.25">
      <c r="A1165" s="957">
        <f t="shared" ca="1" si="38"/>
        <v>0</v>
      </c>
      <c r="BO1165" s="4"/>
      <c r="BP1165" s="5"/>
      <c r="BQ1165" s="5" t="str">
        <f ca="1">IF('Rent Roll'!$AD67=1,'Rent Roll'!E67,"")</f>
        <v/>
      </c>
      <c r="BR1165" s="39" t="str">
        <f ca="1">IF('Rent Roll'!$AD67=1,'Rent Roll'!G67,"")</f>
        <v/>
      </c>
      <c r="BS1165" s="1547" t="str">
        <f ca="1">IF('Rent Roll'!$AD67=1,'Rent Roll'!K67,"")</f>
        <v/>
      </c>
      <c r="BT1165" s="1551" t="str">
        <f ca="1">IF('Rent Roll'!$AD67=1,'Rent Roll'!N67,"")</f>
        <v/>
      </c>
      <c r="BU1165" s="223"/>
      <c r="BV1165" s="6"/>
      <c r="BW1165" s="32"/>
      <c r="BX1165" s="342"/>
      <c r="BY1165" s="343"/>
      <c r="BZ1165" s="342"/>
      <c r="CA1165" s="343"/>
      <c r="CB1165" s="32"/>
      <c r="CC1165" s="187"/>
      <c r="CD1165" s="187"/>
    </row>
    <row r="1166" spans="1:82" ht="15.95" hidden="1" customHeight="1" x14ac:dyDescent="0.25">
      <c r="A1166" s="957">
        <f t="shared" ca="1" si="38"/>
        <v>0</v>
      </c>
      <c r="BO1166" s="4"/>
      <c r="BP1166" s="5"/>
      <c r="BQ1166" s="5" t="str">
        <f ca="1">IF('Rent Roll'!$AD68=1,'Rent Roll'!E68,"")</f>
        <v/>
      </c>
      <c r="BR1166" s="39" t="str">
        <f ca="1">IF('Rent Roll'!$AD68=1,'Rent Roll'!G68,"")</f>
        <v/>
      </c>
      <c r="BS1166" s="1547" t="str">
        <f ca="1">IF('Rent Roll'!$AD68=1,'Rent Roll'!K68,"")</f>
        <v/>
      </c>
      <c r="BT1166" s="1551" t="str">
        <f ca="1">IF('Rent Roll'!$AD68=1,'Rent Roll'!N68,"")</f>
        <v/>
      </c>
      <c r="BU1166" s="223"/>
      <c r="BV1166" s="6"/>
      <c r="BW1166" s="32"/>
      <c r="BX1166" s="342"/>
      <c r="BY1166" s="343"/>
      <c r="BZ1166" s="342"/>
      <c r="CA1166" s="343"/>
      <c r="CB1166" s="32"/>
      <c r="CC1166" s="187"/>
      <c r="CD1166" s="187"/>
    </row>
    <row r="1167" spans="1:82" ht="15.95" hidden="1" customHeight="1" x14ac:dyDescent="0.25">
      <c r="A1167" s="957">
        <f t="shared" ca="1" si="38"/>
        <v>0</v>
      </c>
      <c r="BO1167" s="4"/>
      <c r="BP1167" s="5"/>
      <c r="BQ1167" s="5" t="str">
        <f ca="1">IF('Rent Roll'!$AD69=1,'Rent Roll'!E69,"")</f>
        <v/>
      </c>
      <c r="BR1167" s="39" t="str">
        <f ca="1">IF('Rent Roll'!$AD69=1,'Rent Roll'!G69,"")</f>
        <v/>
      </c>
      <c r="BS1167" s="1547" t="str">
        <f ca="1">IF('Rent Roll'!$AD69=1,'Rent Roll'!K69,"")</f>
        <v/>
      </c>
      <c r="BT1167" s="1551" t="str">
        <f ca="1">IF('Rent Roll'!$AD69=1,'Rent Roll'!N69,"")</f>
        <v/>
      </c>
      <c r="BU1167" s="223"/>
      <c r="BV1167" s="6"/>
      <c r="BW1167" s="32"/>
      <c r="BX1167" s="342"/>
      <c r="BY1167" s="343"/>
      <c r="BZ1167" s="342"/>
      <c r="CA1167" s="343"/>
      <c r="CB1167" s="32"/>
      <c r="CC1167" s="187"/>
      <c r="CD1167" s="187"/>
    </row>
    <row r="1168" spans="1:82" ht="15.95" hidden="1" customHeight="1" x14ac:dyDescent="0.25">
      <c r="A1168" s="957">
        <f t="shared" ca="1" si="38"/>
        <v>0</v>
      </c>
      <c r="BO1168" s="4"/>
      <c r="BP1168" s="5"/>
      <c r="BQ1168" s="5" t="str">
        <f ca="1">IF('Rent Roll'!$AD70=1,'Rent Roll'!E70,"")</f>
        <v/>
      </c>
      <c r="BR1168" s="39" t="str">
        <f ca="1">IF('Rent Roll'!$AD70=1,'Rent Roll'!G70,"")</f>
        <v/>
      </c>
      <c r="BS1168" s="1547" t="str">
        <f ca="1">IF('Rent Roll'!$AD70=1,'Rent Roll'!K70,"")</f>
        <v/>
      </c>
      <c r="BT1168" s="1551" t="str">
        <f ca="1">IF('Rent Roll'!$AD70=1,'Rent Roll'!N70,"")</f>
        <v/>
      </c>
      <c r="BU1168" s="223"/>
      <c r="BV1168" s="6"/>
      <c r="BW1168" s="32"/>
      <c r="BX1168" s="342"/>
      <c r="BY1168" s="343"/>
      <c r="BZ1168" s="342"/>
      <c r="CA1168" s="343"/>
      <c r="CB1168" s="32"/>
      <c r="CC1168" s="187"/>
      <c r="CD1168" s="187"/>
    </row>
    <row r="1169" spans="1:82" ht="15.95" hidden="1" customHeight="1" x14ac:dyDescent="0.25">
      <c r="A1169" s="957">
        <f t="shared" ref="A1169:A1200" ca="1" si="39">IF(BQ1169="",0,1)</f>
        <v>0</v>
      </c>
      <c r="BO1169" s="4"/>
      <c r="BP1169" s="5"/>
      <c r="BQ1169" s="5" t="str">
        <f ca="1">IF('Rent Roll'!$AD71=1,'Rent Roll'!E71,"")</f>
        <v/>
      </c>
      <c r="BR1169" s="39" t="str">
        <f ca="1">IF('Rent Roll'!$AD71=1,'Rent Roll'!G71,"")</f>
        <v/>
      </c>
      <c r="BS1169" s="1547" t="str">
        <f ca="1">IF('Rent Roll'!$AD71=1,'Rent Roll'!K71,"")</f>
        <v/>
      </c>
      <c r="BT1169" s="1551" t="str">
        <f ca="1">IF('Rent Roll'!$AD71=1,'Rent Roll'!N71,"")</f>
        <v/>
      </c>
      <c r="BU1169" s="223"/>
      <c r="BV1169" s="6"/>
      <c r="BW1169" s="32"/>
      <c r="BX1169" s="342"/>
      <c r="BY1169" s="343"/>
      <c r="BZ1169" s="342"/>
      <c r="CA1169" s="343"/>
      <c r="CB1169" s="32"/>
      <c r="CC1169" s="187"/>
      <c r="CD1169" s="187"/>
    </row>
    <row r="1170" spans="1:82" ht="15.95" hidden="1" customHeight="1" x14ac:dyDescent="0.25">
      <c r="A1170" s="957">
        <f t="shared" ca="1" si="39"/>
        <v>0</v>
      </c>
      <c r="BO1170" s="4"/>
      <c r="BP1170" s="5"/>
      <c r="BQ1170" s="5" t="str">
        <f ca="1">IF('Rent Roll'!$AD72=1,'Rent Roll'!E72,"")</f>
        <v/>
      </c>
      <c r="BR1170" s="39" t="str">
        <f ca="1">IF('Rent Roll'!$AD72=1,'Rent Roll'!G72,"")</f>
        <v/>
      </c>
      <c r="BS1170" s="1547" t="str">
        <f ca="1">IF('Rent Roll'!$AD72=1,'Rent Roll'!K72,"")</f>
        <v/>
      </c>
      <c r="BT1170" s="1551" t="str">
        <f ca="1">IF('Rent Roll'!$AD72=1,'Rent Roll'!N72,"")</f>
        <v/>
      </c>
      <c r="BU1170" s="223"/>
      <c r="BV1170" s="6"/>
      <c r="BW1170" s="32"/>
      <c r="BX1170" s="342"/>
      <c r="BY1170" s="343"/>
      <c r="BZ1170" s="342"/>
      <c r="CA1170" s="343"/>
      <c r="CB1170" s="32"/>
      <c r="CC1170" s="187"/>
      <c r="CD1170" s="187"/>
    </row>
    <row r="1171" spans="1:82" ht="15.95" hidden="1" customHeight="1" x14ac:dyDescent="0.25">
      <c r="A1171" s="957">
        <f t="shared" ca="1" si="39"/>
        <v>0</v>
      </c>
      <c r="BO1171" s="4"/>
      <c r="BP1171" s="5"/>
      <c r="BQ1171" s="5" t="str">
        <f ca="1">IF('Rent Roll'!$AD73=1,'Rent Roll'!E73,"")</f>
        <v/>
      </c>
      <c r="BR1171" s="39" t="str">
        <f ca="1">IF('Rent Roll'!$AD73=1,'Rent Roll'!G73,"")</f>
        <v/>
      </c>
      <c r="BS1171" s="1547" t="str">
        <f ca="1">IF('Rent Roll'!$AD73=1,'Rent Roll'!K73,"")</f>
        <v/>
      </c>
      <c r="BT1171" s="1551" t="str">
        <f ca="1">IF('Rent Roll'!$AD73=1,'Rent Roll'!N73,"")</f>
        <v/>
      </c>
      <c r="BU1171" s="223"/>
      <c r="BV1171" s="6"/>
      <c r="BW1171" s="32"/>
      <c r="BX1171" s="342"/>
      <c r="BY1171" s="343"/>
      <c r="BZ1171" s="342"/>
      <c r="CA1171" s="343"/>
      <c r="CB1171" s="32"/>
      <c r="CC1171" s="187"/>
      <c r="CD1171" s="187"/>
    </row>
    <row r="1172" spans="1:82" ht="15.95" hidden="1" customHeight="1" x14ac:dyDescent="0.25">
      <c r="A1172" s="957">
        <f t="shared" ca="1" si="39"/>
        <v>0</v>
      </c>
      <c r="BO1172" s="4"/>
      <c r="BP1172" s="5"/>
      <c r="BQ1172" s="5" t="str">
        <f ca="1">IF('Rent Roll'!$AD74=1,'Rent Roll'!E74,"")</f>
        <v/>
      </c>
      <c r="BR1172" s="39" t="str">
        <f ca="1">IF('Rent Roll'!$AD74=1,'Rent Roll'!G74,"")</f>
        <v/>
      </c>
      <c r="BS1172" s="1547" t="str">
        <f ca="1">IF('Rent Roll'!$AD74=1,'Rent Roll'!K74,"")</f>
        <v/>
      </c>
      <c r="BT1172" s="1551" t="str">
        <f ca="1">IF('Rent Roll'!$AD74=1,'Rent Roll'!N74,"")</f>
        <v/>
      </c>
      <c r="BU1172" s="223"/>
      <c r="BV1172" s="6"/>
      <c r="BW1172" s="32"/>
      <c r="BX1172" s="342"/>
      <c r="BY1172" s="343"/>
      <c r="BZ1172" s="342"/>
      <c r="CA1172" s="343"/>
      <c r="CB1172" s="32"/>
      <c r="CC1172" s="187"/>
      <c r="CD1172" s="187"/>
    </row>
    <row r="1173" spans="1:82" ht="15.95" hidden="1" customHeight="1" x14ac:dyDescent="0.25">
      <c r="A1173" s="957">
        <f t="shared" ca="1" si="39"/>
        <v>0</v>
      </c>
      <c r="BO1173" s="4"/>
      <c r="BP1173" s="5"/>
      <c r="BQ1173" s="5" t="str">
        <f ca="1">IF('Rent Roll'!$AD75=1,'Rent Roll'!E75,"")</f>
        <v/>
      </c>
      <c r="BR1173" s="39" t="str">
        <f ca="1">IF('Rent Roll'!$AD75=1,'Rent Roll'!G75,"")</f>
        <v/>
      </c>
      <c r="BS1173" s="1547" t="str">
        <f ca="1">IF('Rent Roll'!$AD75=1,'Rent Roll'!K75,"")</f>
        <v/>
      </c>
      <c r="BT1173" s="1551" t="str">
        <f ca="1">IF('Rent Roll'!$AD75=1,'Rent Roll'!N75,"")</f>
        <v/>
      </c>
      <c r="BU1173" s="223"/>
      <c r="BV1173" s="6"/>
      <c r="BW1173" s="32"/>
      <c r="BX1173" s="342"/>
      <c r="BY1173" s="343"/>
      <c r="BZ1173" s="342"/>
      <c r="CA1173" s="343"/>
      <c r="CB1173" s="32"/>
      <c r="CC1173" s="187"/>
      <c r="CD1173" s="187"/>
    </row>
    <row r="1174" spans="1:82" ht="15.95" hidden="1" customHeight="1" x14ac:dyDescent="0.25">
      <c r="A1174" s="957">
        <f t="shared" ca="1" si="39"/>
        <v>0</v>
      </c>
      <c r="BO1174" s="4"/>
      <c r="BP1174" s="5"/>
      <c r="BQ1174" s="5" t="str">
        <f ca="1">IF('Rent Roll'!$AD76=1,'Rent Roll'!E76,"")</f>
        <v/>
      </c>
      <c r="BR1174" s="39" t="str">
        <f ca="1">IF('Rent Roll'!$AD76=1,'Rent Roll'!G76,"")</f>
        <v/>
      </c>
      <c r="BS1174" s="1547" t="str">
        <f ca="1">IF('Rent Roll'!$AD76=1,'Rent Roll'!K76,"")</f>
        <v/>
      </c>
      <c r="BT1174" s="1551" t="str">
        <f ca="1">IF('Rent Roll'!$AD76=1,'Rent Roll'!N76,"")</f>
        <v/>
      </c>
      <c r="BU1174" s="223"/>
      <c r="BV1174" s="6"/>
      <c r="BW1174" s="32"/>
      <c r="BX1174" s="342"/>
      <c r="BY1174" s="343"/>
      <c r="BZ1174" s="342"/>
      <c r="CA1174" s="343"/>
      <c r="CB1174" s="32"/>
      <c r="CC1174" s="187"/>
      <c r="CD1174" s="187"/>
    </row>
    <row r="1175" spans="1:82" ht="15.95" hidden="1" customHeight="1" x14ac:dyDescent="0.25">
      <c r="A1175" s="957">
        <f t="shared" ca="1" si="39"/>
        <v>0</v>
      </c>
      <c r="BO1175" s="4"/>
      <c r="BP1175" s="5"/>
      <c r="BQ1175" s="5" t="str">
        <f ca="1">IF('Rent Roll'!$AD77=1,'Rent Roll'!E77,"")</f>
        <v/>
      </c>
      <c r="BR1175" s="39" t="str">
        <f ca="1">IF('Rent Roll'!$AD77=1,'Rent Roll'!G77,"")</f>
        <v/>
      </c>
      <c r="BS1175" s="1547" t="str">
        <f ca="1">IF('Rent Roll'!$AD77=1,'Rent Roll'!K77,"")</f>
        <v/>
      </c>
      <c r="BT1175" s="1551" t="str">
        <f ca="1">IF('Rent Roll'!$AD77=1,'Rent Roll'!N77,"")</f>
        <v/>
      </c>
      <c r="BU1175" s="223"/>
      <c r="BV1175" s="6"/>
      <c r="BW1175" s="32"/>
      <c r="BX1175" s="342"/>
      <c r="BY1175" s="343"/>
      <c r="BZ1175" s="342"/>
      <c r="CA1175" s="343"/>
      <c r="CB1175" s="32"/>
      <c r="CC1175" s="187"/>
      <c r="CD1175" s="187"/>
    </row>
    <row r="1176" spans="1:82" ht="15.95" hidden="1" customHeight="1" x14ac:dyDescent="0.25">
      <c r="A1176" s="957">
        <f t="shared" ca="1" si="39"/>
        <v>0</v>
      </c>
      <c r="BO1176" s="4"/>
      <c r="BP1176" s="5"/>
      <c r="BQ1176" s="5" t="str">
        <f ca="1">IF('Rent Roll'!$AD78=1,'Rent Roll'!E78,"")</f>
        <v/>
      </c>
      <c r="BR1176" s="39" t="str">
        <f ca="1">IF('Rent Roll'!$AD78=1,'Rent Roll'!G78,"")</f>
        <v/>
      </c>
      <c r="BS1176" s="1547" t="str">
        <f ca="1">IF('Rent Roll'!$AD78=1,'Rent Roll'!K78,"")</f>
        <v/>
      </c>
      <c r="BT1176" s="1551" t="str">
        <f ca="1">IF('Rent Roll'!$AD78=1,'Rent Roll'!N78,"")</f>
        <v/>
      </c>
      <c r="BU1176" s="223"/>
      <c r="BV1176" s="6"/>
      <c r="BW1176" s="32"/>
      <c r="BX1176" s="342"/>
      <c r="BY1176" s="343"/>
      <c r="BZ1176" s="342"/>
      <c r="CA1176" s="343"/>
      <c r="CB1176" s="32"/>
      <c r="CC1176" s="187"/>
      <c r="CD1176" s="187"/>
    </row>
    <row r="1177" spans="1:82" ht="15.95" hidden="1" customHeight="1" x14ac:dyDescent="0.25">
      <c r="A1177" s="957">
        <f t="shared" ca="1" si="39"/>
        <v>0</v>
      </c>
      <c r="BO1177" s="4"/>
      <c r="BP1177" s="5"/>
      <c r="BQ1177" s="5" t="str">
        <f ca="1">IF('Rent Roll'!$AD79=1,'Rent Roll'!E79,"")</f>
        <v/>
      </c>
      <c r="BR1177" s="39" t="str">
        <f ca="1">IF('Rent Roll'!$AD79=1,'Rent Roll'!G79,"")</f>
        <v/>
      </c>
      <c r="BS1177" s="1547" t="str">
        <f ca="1">IF('Rent Roll'!$AD79=1,'Rent Roll'!K79,"")</f>
        <v/>
      </c>
      <c r="BT1177" s="1551" t="str">
        <f ca="1">IF('Rent Roll'!$AD79=1,'Rent Roll'!N79,"")</f>
        <v/>
      </c>
      <c r="BU1177" s="223"/>
      <c r="BV1177" s="6"/>
      <c r="BW1177" s="32"/>
      <c r="BX1177" s="342"/>
      <c r="BY1177" s="343"/>
      <c r="BZ1177" s="342"/>
      <c r="CA1177" s="343"/>
      <c r="CB1177" s="32"/>
      <c r="CC1177" s="187"/>
      <c r="CD1177" s="187"/>
    </row>
    <row r="1178" spans="1:82" ht="15.95" hidden="1" customHeight="1" x14ac:dyDescent="0.25">
      <c r="A1178" s="957">
        <f t="shared" ca="1" si="39"/>
        <v>0</v>
      </c>
      <c r="BO1178" s="4"/>
      <c r="BP1178" s="5"/>
      <c r="BQ1178" s="5" t="str">
        <f ca="1">IF('Rent Roll'!$AD80=1,'Rent Roll'!E80,"")</f>
        <v/>
      </c>
      <c r="BR1178" s="39" t="str">
        <f ca="1">IF('Rent Roll'!$AD80=1,'Rent Roll'!G80,"")</f>
        <v/>
      </c>
      <c r="BS1178" s="1547" t="str">
        <f ca="1">IF('Rent Roll'!$AD80=1,'Rent Roll'!K80,"")</f>
        <v/>
      </c>
      <c r="BT1178" s="1551" t="str">
        <f ca="1">IF('Rent Roll'!$AD80=1,'Rent Roll'!N80,"")</f>
        <v/>
      </c>
      <c r="BU1178" s="223"/>
      <c r="BV1178" s="6"/>
      <c r="BW1178" s="32"/>
      <c r="BX1178" s="342"/>
      <c r="BY1178" s="343"/>
      <c r="BZ1178" s="342"/>
      <c r="CA1178" s="343"/>
      <c r="CB1178" s="32"/>
      <c r="CC1178" s="187"/>
      <c r="CD1178" s="187"/>
    </row>
    <row r="1179" spans="1:82" ht="15.95" hidden="1" customHeight="1" x14ac:dyDescent="0.25">
      <c r="A1179" s="957">
        <f t="shared" ca="1" si="39"/>
        <v>0</v>
      </c>
      <c r="BO1179" s="4"/>
      <c r="BP1179" s="5"/>
      <c r="BQ1179" s="5" t="str">
        <f ca="1">IF('Rent Roll'!$AD81=1,'Rent Roll'!E81,"")</f>
        <v/>
      </c>
      <c r="BR1179" s="39" t="str">
        <f ca="1">IF('Rent Roll'!$AD81=1,'Rent Roll'!G81,"")</f>
        <v/>
      </c>
      <c r="BS1179" s="1547" t="str">
        <f ca="1">IF('Rent Roll'!$AD81=1,'Rent Roll'!K81,"")</f>
        <v/>
      </c>
      <c r="BT1179" s="1551" t="str">
        <f ca="1">IF('Rent Roll'!$AD81=1,'Rent Roll'!N81,"")</f>
        <v/>
      </c>
      <c r="BU1179" s="223"/>
      <c r="BV1179" s="6"/>
      <c r="BW1179" s="32"/>
      <c r="BX1179" s="342"/>
      <c r="BY1179" s="343"/>
      <c r="BZ1179" s="342"/>
      <c r="CA1179" s="343"/>
      <c r="CB1179" s="32"/>
      <c r="CC1179" s="187"/>
      <c r="CD1179" s="187"/>
    </row>
    <row r="1180" spans="1:82" ht="15.95" hidden="1" customHeight="1" x14ac:dyDescent="0.25">
      <c r="A1180" s="957">
        <f t="shared" ca="1" si="39"/>
        <v>0</v>
      </c>
      <c r="BO1180" s="4"/>
      <c r="BP1180" s="5"/>
      <c r="BQ1180" s="5" t="str">
        <f ca="1">IF('Rent Roll'!$AD82=1,'Rent Roll'!E82,"")</f>
        <v/>
      </c>
      <c r="BR1180" s="39" t="str">
        <f ca="1">IF('Rent Roll'!$AD82=1,'Rent Roll'!G82,"")</f>
        <v/>
      </c>
      <c r="BS1180" s="1547" t="str">
        <f ca="1">IF('Rent Roll'!$AD82=1,'Rent Roll'!K82,"")</f>
        <v/>
      </c>
      <c r="BT1180" s="1551" t="str">
        <f ca="1">IF('Rent Roll'!$AD82=1,'Rent Roll'!N82,"")</f>
        <v/>
      </c>
      <c r="BU1180" s="223"/>
      <c r="BV1180" s="6"/>
      <c r="BW1180" s="32"/>
      <c r="BX1180" s="342"/>
      <c r="BY1180" s="343"/>
      <c r="BZ1180" s="342"/>
      <c r="CA1180" s="343"/>
      <c r="CB1180" s="32"/>
      <c r="CC1180" s="187"/>
      <c r="CD1180" s="187"/>
    </row>
    <row r="1181" spans="1:82" ht="15.95" hidden="1" customHeight="1" x14ac:dyDescent="0.25">
      <c r="A1181" s="957">
        <f t="shared" ca="1" si="39"/>
        <v>0</v>
      </c>
      <c r="BO1181" s="4"/>
      <c r="BP1181" s="5"/>
      <c r="BQ1181" s="5" t="str">
        <f ca="1">IF('Rent Roll'!$AD83=1,'Rent Roll'!E83,"")</f>
        <v/>
      </c>
      <c r="BR1181" s="39" t="str">
        <f ca="1">IF('Rent Roll'!$AD83=1,'Rent Roll'!G83,"")</f>
        <v/>
      </c>
      <c r="BS1181" s="1547" t="str">
        <f ca="1">IF('Rent Roll'!$AD83=1,'Rent Roll'!K83,"")</f>
        <v/>
      </c>
      <c r="BT1181" s="1551" t="str">
        <f ca="1">IF('Rent Roll'!$AD83=1,'Rent Roll'!N83,"")</f>
        <v/>
      </c>
      <c r="BU1181" s="223"/>
      <c r="BV1181" s="6"/>
      <c r="BW1181" s="32"/>
      <c r="BX1181" s="342"/>
      <c r="BY1181" s="343"/>
      <c r="BZ1181" s="342"/>
      <c r="CA1181" s="343"/>
      <c r="CB1181" s="32"/>
      <c r="CC1181" s="187"/>
      <c r="CD1181" s="187"/>
    </row>
    <row r="1182" spans="1:82" ht="15.95" hidden="1" customHeight="1" x14ac:dyDescent="0.25">
      <c r="A1182" s="957">
        <f t="shared" ca="1" si="39"/>
        <v>0</v>
      </c>
      <c r="BO1182" s="4"/>
      <c r="BP1182" s="5"/>
      <c r="BQ1182" s="5" t="str">
        <f ca="1">IF('Rent Roll'!$AD84=1,'Rent Roll'!E84,"")</f>
        <v/>
      </c>
      <c r="BR1182" s="39" t="str">
        <f ca="1">IF('Rent Roll'!$AD84=1,'Rent Roll'!G84,"")</f>
        <v/>
      </c>
      <c r="BS1182" s="1547" t="str">
        <f ca="1">IF('Rent Roll'!$AD84=1,'Rent Roll'!K84,"")</f>
        <v/>
      </c>
      <c r="BT1182" s="1551" t="str">
        <f ca="1">IF('Rent Roll'!$AD84=1,'Rent Roll'!N84,"")</f>
        <v/>
      </c>
      <c r="BU1182" s="223"/>
      <c r="BV1182" s="6"/>
      <c r="BW1182" s="32"/>
      <c r="BX1182" s="342"/>
      <c r="BY1182" s="343"/>
      <c r="BZ1182" s="342"/>
      <c r="CA1182" s="343"/>
      <c r="CB1182" s="32"/>
      <c r="CC1182" s="187"/>
      <c r="CD1182" s="187"/>
    </row>
    <row r="1183" spans="1:82" ht="15.95" hidden="1" customHeight="1" x14ac:dyDescent="0.25">
      <c r="A1183" s="957">
        <f t="shared" ca="1" si="39"/>
        <v>0</v>
      </c>
      <c r="BO1183" s="4"/>
      <c r="BP1183" s="5"/>
      <c r="BQ1183" s="5" t="str">
        <f ca="1">IF('Rent Roll'!$AD85=1,'Rent Roll'!E85,"")</f>
        <v/>
      </c>
      <c r="BR1183" s="39" t="str">
        <f ca="1">IF('Rent Roll'!$AD85=1,'Rent Roll'!G85,"")</f>
        <v/>
      </c>
      <c r="BS1183" s="1547" t="str">
        <f ca="1">IF('Rent Roll'!$AD85=1,'Rent Roll'!K85,"")</f>
        <v/>
      </c>
      <c r="BT1183" s="1551" t="str">
        <f ca="1">IF('Rent Roll'!$AD85=1,'Rent Roll'!N85,"")</f>
        <v/>
      </c>
      <c r="BU1183" s="223"/>
      <c r="BV1183" s="6"/>
      <c r="BW1183" s="32"/>
      <c r="BX1183" s="342"/>
      <c r="BY1183" s="343"/>
      <c r="BZ1183" s="342"/>
      <c r="CA1183" s="343"/>
      <c r="CB1183" s="32"/>
      <c r="CC1183" s="187"/>
      <c r="CD1183" s="187"/>
    </row>
    <row r="1184" spans="1:82" ht="15.95" hidden="1" customHeight="1" x14ac:dyDescent="0.25">
      <c r="A1184" s="957">
        <f t="shared" ca="1" si="39"/>
        <v>0</v>
      </c>
      <c r="BO1184" s="4"/>
      <c r="BP1184" s="5"/>
      <c r="BQ1184" s="5" t="str">
        <f ca="1">IF('Rent Roll'!$AD86=1,'Rent Roll'!E86,"")</f>
        <v/>
      </c>
      <c r="BR1184" s="39" t="str">
        <f ca="1">IF('Rent Roll'!$AD86=1,'Rent Roll'!G86,"")</f>
        <v/>
      </c>
      <c r="BS1184" s="1547" t="str">
        <f ca="1">IF('Rent Roll'!$AD86=1,'Rent Roll'!K86,"")</f>
        <v/>
      </c>
      <c r="BT1184" s="1551" t="str">
        <f ca="1">IF('Rent Roll'!$AD86=1,'Rent Roll'!N86,"")</f>
        <v/>
      </c>
      <c r="BU1184" s="223"/>
      <c r="BV1184" s="6"/>
      <c r="BW1184" s="32"/>
      <c r="BX1184" s="342"/>
      <c r="BY1184" s="343"/>
      <c r="BZ1184" s="342"/>
      <c r="CA1184" s="343"/>
      <c r="CB1184" s="32"/>
      <c r="CC1184" s="187"/>
      <c r="CD1184" s="187"/>
    </row>
    <row r="1185" spans="1:82" ht="15.95" hidden="1" customHeight="1" x14ac:dyDescent="0.25">
      <c r="A1185" s="957">
        <f t="shared" ca="1" si="39"/>
        <v>0</v>
      </c>
      <c r="BO1185" s="4"/>
      <c r="BP1185" s="5"/>
      <c r="BQ1185" s="5" t="str">
        <f ca="1">IF('Rent Roll'!$AD87=1,'Rent Roll'!E87,"")</f>
        <v/>
      </c>
      <c r="BR1185" s="39" t="str">
        <f ca="1">IF('Rent Roll'!$AD87=1,'Rent Roll'!G87,"")</f>
        <v/>
      </c>
      <c r="BS1185" s="1547" t="str">
        <f ca="1">IF('Rent Roll'!$AD87=1,'Rent Roll'!K87,"")</f>
        <v/>
      </c>
      <c r="BT1185" s="1551" t="str">
        <f ca="1">IF('Rent Roll'!$AD87=1,'Rent Roll'!N87,"")</f>
        <v/>
      </c>
      <c r="BU1185" s="223"/>
      <c r="BV1185" s="6"/>
      <c r="BW1185" s="32"/>
      <c r="BX1185" s="342"/>
      <c r="BY1185" s="343"/>
      <c r="BZ1185" s="342"/>
      <c r="CA1185" s="343"/>
      <c r="CB1185" s="32"/>
      <c r="CC1185" s="187"/>
      <c r="CD1185" s="187"/>
    </row>
    <row r="1186" spans="1:82" ht="15.95" hidden="1" customHeight="1" x14ac:dyDescent="0.25">
      <c r="A1186" s="957">
        <f t="shared" ca="1" si="39"/>
        <v>0</v>
      </c>
      <c r="BO1186" s="4"/>
      <c r="BP1186" s="5"/>
      <c r="BQ1186" s="5" t="str">
        <f ca="1">IF('Rent Roll'!$AD88=1,'Rent Roll'!E88,"")</f>
        <v/>
      </c>
      <c r="BR1186" s="39" t="str">
        <f ca="1">IF('Rent Roll'!$AD88=1,'Rent Roll'!G88,"")</f>
        <v/>
      </c>
      <c r="BS1186" s="1547" t="str">
        <f ca="1">IF('Rent Roll'!$AD88=1,'Rent Roll'!K88,"")</f>
        <v/>
      </c>
      <c r="BT1186" s="1551" t="str">
        <f ca="1">IF('Rent Roll'!$AD88=1,'Rent Roll'!N88,"")</f>
        <v/>
      </c>
      <c r="BU1186" s="223"/>
      <c r="BV1186" s="6"/>
      <c r="BW1186" s="32"/>
      <c r="BX1186" s="342"/>
      <c r="BY1186" s="343"/>
      <c r="BZ1186" s="342"/>
      <c r="CA1186" s="343"/>
      <c r="CB1186" s="32"/>
      <c r="CC1186" s="187"/>
      <c r="CD1186" s="187"/>
    </row>
    <row r="1187" spans="1:82" ht="15.95" hidden="1" customHeight="1" x14ac:dyDescent="0.25">
      <c r="A1187" s="957">
        <f t="shared" ca="1" si="39"/>
        <v>0</v>
      </c>
      <c r="BO1187" s="4"/>
      <c r="BP1187" s="5"/>
      <c r="BQ1187" s="5" t="str">
        <f ca="1">IF('Rent Roll'!$AD89=1,'Rent Roll'!E89,"")</f>
        <v/>
      </c>
      <c r="BR1187" s="39" t="str">
        <f ca="1">IF('Rent Roll'!$AD89=1,'Rent Roll'!G89,"")</f>
        <v/>
      </c>
      <c r="BS1187" s="1547" t="str">
        <f ca="1">IF('Rent Roll'!$AD89=1,'Rent Roll'!K89,"")</f>
        <v/>
      </c>
      <c r="BT1187" s="1551" t="str">
        <f ca="1">IF('Rent Roll'!$AD89=1,'Rent Roll'!N89,"")</f>
        <v/>
      </c>
      <c r="BU1187" s="223"/>
      <c r="BV1187" s="6"/>
      <c r="BW1187" s="32"/>
      <c r="BX1187" s="342"/>
      <c r="BY1187" s="343"/>
      <c r="BZ1187" s="342"/>
      <c r="CA1187" s="343"/>
      <c r="CB1187" s="32"/>
      <c r="CC1187" s="187"/>
      <c r="CD1187" s="187"/>
    </row>
    <row r="1188" spans="1:82" ht="15.95" hidden="1" customHeight="1" x14ac:dyDescent="0.25">
      <c r="A1188" s="957">
        <f t="shared" ca="1" si="39"/>
        <v>0</v>
      </c>
      <c r="BO1188" s="4"/>
      <c r="BP1188" s="5"/>
      <c r="BQ1188" s="5" t="str">
        <f ca="1">IF('Rent Roll'!$AD90=1,'Rent Roll'!E90,"")</f>
        <v/>
      </c>
      <c r="BR1188" s="39" t="str">
        <f ca="1">IF('Rent Roll'!$AD90=1,'Rent Roll'!G90,"")</f>
        <v/>
      </c>
      <c r="BS1188" s="1547" t="str">
        <f ca="1">IF('Rent Roll'!$AD90=1,'Rent Roll'!K90,"")</f>
        <v/>
      </c>
      <c r="BT1188" s="1551" t="str">
        <f ca="1">IF('Rent Roll'!$AD90=1,'Rent Roll'!N90,"")</f>
        <v/>
      </c>
      <c r="BU1188" s="223"/>
      <c r="BV1188" s="6"/>
      <c r="BW1188" s="32"/>
      <c r="BX1188" s="342"/>
      <c r="BY1188" s="343"/>
      <c r="BZ1188" s="342"/>
      <c r="CA1188" s="343"/>
      <c r="CB1188" s="32"/>
      <c r="CC1188" s="187"/>
      <c r="CD1188" s="187"/>
    </row>
    <row r="1189" spans="1:82" ht="15.95" hidden="1" customHeight="1" x14ac:dyDescent="0.25">
      <c r="A1189" s="957">
        <f t="shared" ca="1" si="39"/>
        <v>0</v>
      </c>
      <c r="BO1189" s="4"/>
      <c r="BP1189" s="5"/>
      <c r="BQ1189" s="5" t="str">
        <f ca="1">IF('Rent Roll'!$AD91=1,'Rent Roll'!E91,"")</f>
        <v/>
      </c>
      <c r="BR1189" s="39" t="str">
        <f ca="1">IF('Rent Roll'!$AD91=1,'Rent Roll'!G91,"")</f>
        <v/>
      </c>
      <c r="BS1189" s="1547" t="str">
        <f ca="1">IF('Rent Roll'!$AD91=1,'Rent Roll'!K91,"")</f>
        <v/>
      </c>
      <c r="BT1189" s="1551" t="str">
        <f ca="1">IF('Rent Roll'!$AD91=1,'Rent Roll'!N91,"")</f>
        <v/>
      </c>
      <c r="BU1189" s="223"/>
      <c r="BV1189" s="6"/>
      <c r="BW1189" s="32"/>
      <c r="BX1189" s="342"/>
      <c r="BY1189" s="343"/>
      <c r="BZ1189" s="342"/>
      <c r="CA1189" s="343"/>
      <c r="CB1189" s="32"/>
      <c r="CC1189" s="187"/>
      <c r="CD1189" s="187"/>
    </row>
    <row r="1190" spans="1:82" ht="15.95" hidden="1" customHeight="1" x14ac:dyDescent="0.25">
      <c r="A1190" s="957">
        <f t="shared" ca="1" si="39"/>
        <v>0</v>
      </c>
      <c r="BO1190" s="4"/>
      <c r="BP1190" s="5"/>
      <c r="BQ1190" s="5" t="str">
        <f ca="1">IF('Rent Roll'!$AD92=1,'Rent Roll'!E92,"")</f>
        <v/>
      </c>
      <c r="BR1190" s="39" t="str">
        <f ca="1">IF('Rent Roll'!$AD92=1,'Rent Roll'!G92,"")</f>
        <v/>
      </c>
      <c r="BS1190" s="1547" t="str">
        <f ca="1">IF('Rent Roll'!$AD92=1,'Rent Roll'!K92,"")</f>
        <v/>
      </c>
      <c r="BT1190" s="1551" t="str">
        <f ca="1">IF('Rent Roll'!$AD92=1,'Rent Roll'!N92,"")</f>
        <v/>
      </c>
      <c r="BU1190" s="223"/>
      <c r="BV1190" s="6"/>
      <c r="BW1190" s="32"/>
      <c r="BX1190" s="342"/>
      <c r="BY1190" s="343"/>
      <c r="BZ1190" s="342"/>
      <c r="CA1190" s="343"/>
      <c r="CB1190" s="32"/>
      <c r="CC1190" s="187"/>
      <c r="CD1190" s="187"/>
    </row>
    <row r="1191" spans="1:82" ht="15.95" hidden="1" customHeight="1" x14ac:dyDescent="0.25">
      <c r="A1191" s="957">
        <f t="shared" ca="1" si="39"/>
        <v>0</v>
      </c>
      <c r="BO1191" s="4"/>
      <c r="BP1191" s="5"/>
      <c r="BQ1191" s="5" t="str">
        <f ca="1">IF('Rent Roll'!$AD93=1,'Rent Roll'!E93,"")</f>
        <v/>
      </c>
      <c r="BR1191" s="39" t="str">
        <f ca="1">IF('Rent Roll'!$AD93=1,'Rent Roll'!G93,"")</f>
        <v/>
      </c>
      <c r="BS1191" s="1547" t="str">
        <f ca="1">IF('Rent Roll'!$AD93=1,'Rent Roll'!K93,"")</f>
        <v/>
      </c>
      <c r="BT1191" s="1551" t="str">
        <f ca="1">IF('Rent Roll'!$AD93=1,'Rent Roll'!N93,"")</f>
        <v/>
      </c>
      <c r="BU1191" s="223"/>
      <c r="BV1191" s="6"/>
      <c r="BW1191" s="32"/>
      <c r="BX1191" s="342"/>
      <c r="BY1191" s="343"/>
      <c r="BZ1191" s="342"/>
      <c r="CA1191" s="343"/>
      <c r="CB1191" s="32"/>
      <c r="CC1191" s="187"/>
      <c r="CD1191" s="187"/>
    </row>
    <row r="1192" spans="1:82" ht="15.95" hidden="1" customHeight="1" x14ac:dyDescent="0.25">
      <c r="A1192" s="957">
        <f t="shared" ca="1" si="39"/>
        <v>0</v>
      </c>
      <c r="BO1192" s="4"/>
      <c r="BP1192" s="5"/>
      <c r="BQ1192" s="5" t="str">
        <f ca="1">IF('Rent Roll'!$AD94=1,'Rent Roll'!E94,"")</f>
        <v/>
      </c>
      <c r="BR1192" s="39" t="str">
        <f ca="1">IF('Rent Roll'!$AD94=1,'Rent Roll'!G94,"")</f>
        <v/>
      </c>
      <c r="BS1192" s="1547" t="str">
        <f ca="1">IF('Rent Roll'!$AD94=1,'Rent Roll'!K94,"")</f>
        <v/>
      </c>
      <c r="BT1192" s="1551" t="str">
        <f ca="1">IF('Rent Roll'!$AD94=1,'Rent Roll'!N94,"")</f>
        <v/>
      </c>
      <c r="BU1192" s="223"/>
      <c r="BV1192" s="6"/>
      <c r="BW1192" s="32"/>
      <c r="BX1192" s="342"/>
      <c r="BY1192" s="343"/>
      <c r="BZ1192" s="342"/>
      <c r="CA1192" s="343"/>
      <c r="CB1192" s="32"/>
      <c r="CC1192" s="187"/>
      <c r="CD1192" s="187"/>
    </row>
    <row r="1193" spans="1:82" ht="15.95" hidden="1" customHeight="1" x14ac:dyDescent="0.25">
      <c r="A1193" s="957">
        <f t="shared" ca="1" si="39"/>
        <v>0</v>
      </c>
      <c r="BO1193" s="4"/>
      <c r="BP1193" s="5"/>
      <c r="BQ1193" s="5" t="str">
        <f ca="1">IF('Rent Roll'!$AD95=1,'Rent Roll'!E95,"")</f>
        <v/>
      </c>
      <c r="BR1193" s="39" t="str">
        <f ca="1">IF('Rent Roll'!$AD95=1,'Rent Roll'!G95,"")</f>
        <v/>
      </c>
      <c r="BS1193" s="1547" t="str">
        <f ca="1">IF('Rent Roll'!$AD95=1,'Rent Roll'!K95,"")</f>
        <v/>
      </c>
      <c r="BT1193" s="1551" t="str">
        <f ca="1">IF('Rent Roll'!$AD95=1,'Rent Roll'!N95,"")</f>
        <v/>
      </c>
      <c r="BU1193" s="223"/>
      <c r="BV1193" s="6"/>
      <c r="BW1193" s="32"/>
      <c r="BX1193" s="342"/>
      <c r="BY1193" s="343"/>
      <c r="BZ1193" s="342"/>
      <c r="CA1193" s="343"/>
      <c r="CB1193" s="32"/>
      <c r="CC1193" s="187"/>
      <c r="CD1193" s="187"/>
    </row>
    <row r="1194" spans="1:82" ht="15.95" hidden="1" customHeight="1" x14ac:dyDescent="0.25">
      <c r="A1194" s="957">
        <f t="shared" ca="1" si="39"/>
        <v>0</v>
      </c>
      <c r="BO1194" s="4"/>
      <c r="BP1194" s="5"/>
      <c r="BQ1194" s="5" t="str">
        <f ca="1">IF('Rent Roll'!$AD96=1,'Rent Roll'!E96,"")</f>
        <v/>
      </c>
      <c r="BR1194" s="39" t="str">
        <f ca="1">IF('Rent Roll'!$AD96=1,'Rent Roll'!G96,"")</f>
        <v/>
      </c>
      <c r="BS1194" s="1547" t="str">
        <f ca="1">IF('Rent Roll'!$AD96=1,'Rent Roll'!K96,"")</f>
        <v/>
      </c>
      <c r="BT1194" s="1551" t="str">
        <f ca="1">IF('Rent Roll'!$AD96=1,'Rent Roll'!N96,"")</f>
        <v/>
      </c>
      <c r="BU1194" s="223"/>
      <c r="BV1194" s="6"/>
      <c r="BW1194" s="32"/>
      <c r="BX1194" s="342"/>
      <c r="BY1194" s="343"/>
      <c r="BZ1194" s="342"/>
      <c r="CA1194" s="343"/>
      <c r="CB1194" s="32"/>
      <c r="CC1194" s="187"/>
      <c r="CD1194" s="187"/>
    </row>
    <row r="1195" spans="1:82" ht="15.95" hidden="1" customHeight="1" x14ac:dyDescent="0.25">
      <c r="A1195" s="957">
        <f t="shared" ca="1" si="39"/>
        <v>0</v>
      </c>
      <c r="BO1195" s="4"/>
      <c r="BP1195" s="5"/>
      <c r="BQ1195" s="5" t="str">
        <f ca="1">IF('Rent Roll'!$AD97=1,'Rent Roll'!E97,"")</f>
        <v/>
      </c>
      <c r="BR1195" s="39" t="str">
        <f ca="1">IF('Rent Roll'!$AD97=1,'Rent Roll'!G97,"")</f>
        <v/>
      </c>
      <c r="BS1195" s="1547" t="str">
        <f ca="1">IF('Rent Roll'!$AD97=1,'Rent Roll'!K97,"")</f>
        <v/>
      </c>
      <c r="BT1195" s="1551" t="str">
        <f ca="1">IF('Rent Roll'!$AD97=1,'Rent Roll'!N97,"")</f>
        <v/>
      </c>
      <c r="BU1195" s="223"/>
      <c r="BV1195" s="6"/>
      <c r="BW1195" s="32"/>
      <c r="BX1195" s="342"/>
      <c r="BY1195" s="343"/>
      <c r="BZ1195" s="342"/>
      <c r="CA1195" s="343"/>
      <c r="CB1195" s="32"/>
      <c r="CC1195" s="187"/>
      <c r="CD1195" s="187"/>
    </row>
    <row r="1196" spans="1:82" ht="15.95" hidden="1" customHeight="1" x14ac:dyDescent="0.25">
      <c r="A1196" s="957">
        <f t="shared" ca="1" si="39"/>
        <v>0</v>
      </c>
      <c r="BO1196" s="4"/>
      <c r="BP1196" s="5"/>
      <c r="BQ1196" s="5" t="str">
        <f ca="1">IF('Rent Roll'!$AD98=1,'Rent Roll'!E98,"")</f>
        <v/>
      </c>
      <c r="BR1196" s="39" t="str">
        <f ca="1">IF('Rent Roll'!$AD98=1,'Rent Roll'!G98,"")</f>
        <v/>
      </c>
      <c r="BS1196" s="1547" t="str">
        <f ca="1">IF('Rent Roll'!$AD98=1,'Rent Roll'!K98,"")</f>
        <v/>
      </c>
      <c r="BT1196" s="1551" t="str">
        <f ca="1">IF('Rent Roll'!$AD98=1,'Rent Roll'!N98,"")</f>
        <v/>
      </c>
      <c r="BU1196" s="223"/>
      <c r="BV1196" s="6"/>
      <c r="BW1196" s="32"/>
      <c r="BX1196" s="342"/>
      <c r="BY1196" s="343"/>
      <c r="BZ1196" s="342"/>
      <c r="CA1196" s="343"/>
      <c r="CB1196" s="32"/>
      <c r="CC1196" s="187"/>
      <c r="CD1196" s="187"/>
    </row>
    <row r="1197" spans="1:82" ht="15.95" hidden="1" customHeight="1" x14ac:dyDescent="0.25">
      <c r="A1197" s="957">
        <f t="shared" ca="1" si="39"/>
        <v>0</v>
      </c>
      <c r="BO1197" s="4"/>
      <c r="BP1197" s="5"/>
      <c r="BQ1197" s="5" t="str">
        <f ca="1">IF('Rent Roll'!$AD99=1,'Rent Roll'!E99,"")</f>
        <v/>
      </c>
      <c r="BR1197" s="39" t="str">
        <f ca="1">IF('Rent Roll'!$AD99=1,'Rent Roll'!G99,"")</f>
        <v/>
      </c>
      <c r="BS1197" s="1547" t="str">
        <f ca="1">IF('Rent Roll'!$AD99=1,'Rent Roll'!K99,"")</f>
        <v/>
      </c>
      <c r="BT1197" s="1551" t="str">
        <f ca="1">IF('Rent Roll'!$AD99=1,'Rent Roll'!N99,"")</f>
        <v/>
      </c>
      <c r="BU1197" s="223"/>
      <c r="BV1197" s="6"/>
      <c r="BW1197" s="32"/>
      <c r="BX1197" s="342"/>
      <c r="BY1197" s="343"/>
      <c r="BZ1197" s="342"/>
      <c r="CA1197" s="343"/>
      <c r="CB1197" s="32"/>
      <c r="CC1197" s="187"/>
      <c r="CD1197" s="187"/>
    </row>
    <row r="1198" spans="1:82" ht="15.95" hidden="1" customHeight="1" x14ac:dyDescent="0.25">
      <c r="A1198" s="957">
        <f t="shared" ca="1" si="39"/>
        <v>0</v>
      </c>
      <c r="BO1198" s="4"/>
      <c r="BP1198" s="5"/>
      <c r="BQ1198" s="5" t="str">
        <f ca="1">IF('Rent Roll'!$AD100=1,'Rent Roll'!E100,"")</f>
        <v/>
      </c>
      <c r="BR1198" s="39" t="str">
        <f ca="1">IF('Rent Roll'!$AD100=1,'Rent Roll'!G100,"")</f>
        <v/>
      </c>
      <c r="BS1198" s="1547" t="str">
        <f ca="1">IF('Rent Roll'!$AD100=1,'Rent Roll'!K100,"")</f>
        <v/>
      </c>
      <c r="BT1198" s="1551" t="str">
        <f ca="1">IF('Rent Roll'!$AD100=1,'Rent Roll'!N100,"")</f>
        <v/>
      </c>
      <c r="BU1198" s="223"/>
      <c r="BV1198" s="6"/>
      <c r="BW1198" s="32"/>
      <c r="BX1198" s="342"/>
      <c r="BY1198" s="343"/>
      <c r="BZ1198" s="342"/>
      <c r="CA1198" s="343"/>
      <c r="CB1198" s="32"/>
      <c r="CC1198" s="187"/>
      <c r="CD1198" s="187"/>
    </row>
    <row r="1199" spans="1:82" ht="15.95" hidden="1" customHeight="1" x14ac:dyDescent="0.25">
      <c r="A1199" s="957">
        <f t="shared" ca="1" si="39"/>
        <v>0</v>
      </c>
      <c r="BO1199" s="4"/>
      <c r="BP1199" s="5"/>
      <c r="BQ1199" s="5" t="str">
        <f ca="1">IF('Rent Roll'!$AD101=1,'Rent Roll'!E101,"")</f>
        <v/>
      </c>
      <c r="BR1199" s="39" t="str">
        <f ca="1">IF('Rent Roll'!$AD101=1,'Rent Roll'!G101,"")</f>
        <v/>
      </c>
      <c r="BS1199" s="1547" t="str">
        <f ca="1">IF('Rent Roll'!$AD101=1,'Rent Roll'!K101,"")</f>
        <v/>
      </c>
      <c r="BT1199" s="1551" t="str">
        <f ca="1">IF('Rent Roll'!$AD101=1,'Rent Roll'!N101,"")</f>
        <v/>
      </c>
      <c r="BU1199" s="223"/>
      <c r="BV1199" s="6"/>
      <c r="BW1199" s="32"/>
      <c r="BX1199" s="342"/>
      <c r="BY1199" s="343"/>
      <c r="BZ1199" s="342"/>
      <c r="CA1199" s="343"/>
      <c r="CB1199" s="32"/>
      <c r="CC1199" s="187"/>
      <c r="CD1199" s="187"/>
    </row>
    <row r="1200" spans="1:82" ht="15.95" hidden="1" customHeight="1" x14ac:dyDescent="0.25">
      <c r="A1200" s="957">
        <f t="shared" ca="1" si="39"/>
        <v>0</v>
      </c>
      <c r="BO1200" s="4"/>
      <c r="BP1200" s="5"/>
      <c r="BQ1200" s="5" t="str">
        <f ca="1">IF('Rent Roll'!$AD102=1,'Rent Roll'!E102,"")</f>
        <v/>
      </c>
      <c r="BR1200" s="39" t="str">
        <f ca="1">IF('Rent Roll'!$AD102=1,'Rent Roll'!G102,"")</f>
        <v/>
      </c>
      <c r="BS1200" s="1547" t="str">
        <f ca="1">IF('Rent Roll'!$AD102=1,'Rent Roll'!K102,"")</f>
        <v/>
      </c>
      <c r="BT1200" s="1551" t="str">
        <f ca="1">IF('Rent Roll'!$AD102=1,'Rent Roll'!N102,"")</f>
        <v/>
      </c>
      <c r="BU1200" s="223"/>
      <c r="BV1200" s="6"/>
      <c r="BW1200" s="32"/>
      <c r="BX1200" s="342"/>
      <c r="BY1200" s="343"/>
      <c r="BZ1200" s="342"/>
      <c r="CA1200" s="343"/>
      <c r="CB1200" s="32"/>
      <c r="CC1200" s="187"/>
      <c r="CD1200" s="187"/>
    </row>
    <row r="1201" spans="1:82" ht="15.95" hidden="1" customHeight="1" x14ac:dyDescent="0.25">
      <c r="A1201" s="957">
        <f t="shared" ref="A1201:A1232" ca="1" si="40">IF(BQ1201="",0,1)</f>
        <v>0</v>
      </c>
      <c r="BO1201" s="4"/>
      <c r="BP1201" s="5"/>
      <c r="BQ1201" s="5" t="str">
        <f ca="1">IF('Rent Roll'!$AD103=1,'Rent Roll'!E103,"")</f>
        <v/>
      </c>
      <c r="BR1201" s="39" t="str">
        <f ca="1">IF('Rent Roll'!$AD103=1,'Rent Roll'!G103,"")</f>
        <v/>
      </c>
      <c r="BS1201" s="1547" t="str">
        <f ca="1">IF('Rent Roll'!$AD103=1,'Rent Roll'!K103,"")</f>
        <v/>
      </c>
      <c r="BT1201" s="1551" t="str">
        <f ca="1">IF('Rent Roll'!$AD103=1,'Rent Roll'!N103,"")</f>
        <v/>
      </c>
      <c r="BU1201" s="223"/>
      <c r="BV1201" s="6"/>
      <c r="BW1201" s="32"/>
      <c r="BX1201" s="342"/>
      <c r="BY1201" s="343"/>
      <c r="BZ1201" s="342"/>
      <c r="CA1201" s="343"/>
      <c r="CB1201" s="32"/>
      <c r="CC1201" s="187"/>
      <c r="CD1201" s="187"/>
    </row>
    <row r="1202" spans="1:82" ht="15.95" hidden="1" customHeight="1" x14ac:dyDescent="0.25">
      <c r="A1202" s="957">
        <f t="shared" ca="1" si="40"/>
        <v>0</v>
      </c>
      <c r="BO1202" s="4"/>
      <c r="BP1202" s="5"/>
      <c r="BQ1202" s="5" t="str">
        <f ca="1">IF('Rent Roll'!$AD104=1,'Rent Roll'!E104,"")</f>
        <v/>
      </c>
      <c r="BR1202" s="39" t="str">
        <f ca="1">IF('Rent Roll'!$AD104=1,'Rent Roll'!G104,"")</f>
        <v/>
      </c>
      <c r="BS1202" s="1547" t="str">
        <f ca="1">IF('Rent Roll'!$AD104=1,'Rent Roll'!K104,"")</f>
        <v/>
      </c>
      <c r="BT1202" s="1551" t="str">
        <f ca="1">IF('Rent Roll'!$AD104=1,'Rent Roll'!N104,"")</f>
        <v/>
      </c>
      <c r="BU1202" s="223"/>
      <c r="BV1202" s="6"/>
      <c r="BW1202" s="32"/>
      <c r="BX1202" s="342"/>
      <c r="BY1202" s="343"/>
      <c r="BZ1202" s="342"/>
      <c r="CA1202" s="343"/>
      <c r="CB1202" s="32"/>
      <c r="CC1202" s="187"/>
      <c r="CD1202" s="187"/>
    </row>
    <row r="1203" spans="1:82" ht="15.95" hidden="1" customHeight="1" x14ac:dyDescent="0.25">
      <c r="A1203" s="957">
        <f t="shared" ca="1" si="40"/>
        <v>0</v>
      </c>
      <c r="BO1203" s="4"/>
      <c r="BP1203" s="5"/>
      <c r="BQ1203" s="5" t="str">
        <f ca="1">IF('Rent Roll'!$AD105=1,'Rent Roll'!E105,"")</f>
        <v/>
      </c>
      <c r="BR1203" s="39" t="str">
        <f ca="1">IF('Rent Roll'!$AD105=1,'Rent Roll'!G105,"")</f>
        <v/>
      </c>
      <c r="BS1203" s="1547" t="str">
        <f ca="1">IF('Rent Roll'!$AD105=1,'Rent Roll'!K105,"")</f>
        <v/>
      </c>
      <c r="BT1203" s="1551" t="str">
        <f ca="1">IF('Rent Roll'!$AD105=1,'Rent Roll'!N105,"")</f>
        <v/>
      </c>
      <c r="BU1203" s="223"/>
      <c r="BV1203" s="6"/>
      <c r="BW1203" s="32"/>
      <c r="BX1203" s="342"/>
      <c r="BY1203" s="343"/>
      <c r="BZ1203" s="342"/>
      <c r="CA1203" s="343"/>
      <c r="CB1203" s="32"/>
      <c r="CC1203" s="187"/>
      <c r="CD1203" s="187"/>
    </row>
    <row r="1204" spans="1:82" ht="15.95" hidden="1" customHeight="1" x14ac:dyDescent="0.25">
      <c r="A1204" s="957">
        <f t="shared" ca="1" si="40"/>
        <v>0</v>
      </c>
      <c r="BO1204" s="4"/>
      <c r="BP1204" s="5"/>
      <c r="BQ1204" s="5" t="str">
        <f ca="1">IF('Rent Roll'!$AD106=1,'Rent Roll'!E106,"")</f>
        <v/>
      </c>
      <c r="BR1204" s="39" t="str">
        <f ca="1">IF('Rent Roll'!$AD106=1,'Rent Roll'!G106,"")</f>
        <v/>
      </c>
      <c r="BS1204" s="1547" t="str">
        <f ca="1">IF('Rent Roll'!$AD106=1,'Rent Roll'!K106,"")</f>
        <v/>
      </c>
      <c r="BT1204" s="1551" t="str">
        <f ca="1">IF('Rent Roll'!$AD106=1,'Rent Roll'!N106,"")</f>
        <v/>
      </c>
      <c r="BU1204" s="223"/>
      <c r="BV1204" s="6"/>
      <c r="BW1204" s="32"/>
      <c r="BX1204" s="342"/>
      <c r="BY1204" s="343"/>
      <c r="BZ1204" s="342"/>
      <c r="CA1204" s="343"/>
      <c r="CB1204" s="32"/>
      <c r="CC1204" s="187"/>
      <c r="CD1204" s="187"/>
    </row>
    <row r="1205" spans="1:82" ht="15.95" hidden="1" customHeight="1" x14ac:dyDescent="0.25">
      <c r="A1205" s="957">
        <f t="shared" ca="1" si="40"/>
        <v>0</v>
      </c>
      <c r="BO1205" s="4"/>
      <c r="BP1205" s="5"/>
      <c r="BQ1205" s="5" t="str">
        <f ca="1">IF('Rent Roll'!$AD107=1,'Rent Roll'!E107,"")</f>
        <v/>
      </c>
      <c r="BR1205" s="39" t="str">
        <f ca="1">IF('Rent Roll'!$AD107=1,'Rent Roll'!G107,"")</f>
        <v/>
      </c>
      <c r="BS1205" s="1547" t="str">
        <f ca="1">IF('Rent Roll'!$AD107=1,'Rent Roll'!K107,"")</f>
        <v/>
      </c>
      <c r="BT1205" s="1551" t="str">
        <f ca="1">IF('Rent Roll'!$AD107=1,'Rent Roll'!N107,"")</f>
        <v/>
      </c>
      <c r="BU1205" s="223"/>
      <c r="BV1205" s="6"/>
      <c r="BW1205" s="32"/>
      <c r="BX1205" s="342"/>
      <c r="BY1205" s="343"/>
      <c r="BZ1205" s="342"/>
      <c r="CA1205" s="343"/>
      <c r="CB1205" s="32"/>
      <c r="CC1205" s="187"/>
      <c r="CD1205" s="187"/>
    </row>
    <row r="1206" spans="1:82" ht="15.95" hidden="1" customHeight="1" x14ac:dyDescent="0.25">
      <c r="A1206" s="957">
        <f t="shared" ca="1" si="40"/>
        <v>0</v>
      </c>
      <c r="BO1206" s="4"/>
      <c r="BP1206" s="5"/>
      <c r="BQ1206" s="5" t="str">
        <f ca="1">IF('Rent Roll'!$AD108=1,'Rent Roll'!E108,"")</f>
        <v/>
      </c>
      <c r="BR1206" s="39" t="str">
        <f ca="1">IF('Rent Roll'!$AD108=1,'Rent Roll'!G108,"")</f>
        <v/>
      </c>
      <c r="BS1206" s="1547" t="str">
        <f ca="1">IF('Rent Roll'!$AD108=1,'Rent Roll'!K108,"")</f>
        <v/>
      </c>
      <c r="BT1206" s="1551" t="str">
        <f ca="1">IF('Rent Roll'!$AD108=1,'Rent Roll'!N108,"")</f>
        <v/>
      </c>
      <c r="BU1206" s="223"/>
      <c r="BV1206" s="6"/>
      <c r="BW1206" s="32"/>
      <c r="BX1206" s="342"/>
      <c r="BY1206" s="343"/>
      <c r="BZ1206" s="342"/>
      <c r="CA1206" s="343"/>
      <c r="CB1206" s="32"/>
      <c r="CC1206" s="187"/>
      <c r="CD1206" s="187"/>
    </row>
    <row r="1207" spans="1:82" ht="15.95" hidden="1" customHeight="1" x14ac:dyDescent="0.25">
      <c r="A1207" s="957">
        <f t="shared" ca="1" si="40"/>
        <v>0</v>
      </c>
      <c r="BO1207" s="4"/>
      <c r="BP1207" s="5"/>
      <c r="BQ1207" s="5" t="str">
        <f ca="1">IF('Rent Roll'!$AD109=1,'Rent Roll'!E109,"")</f>
        <v/>
      </c>
      <c r="BR1207" s="39" t="str">
        <f ca="1">IF('Rent Roll'!$AD109=1,'Rent Roll'!G109,"")</f>
        <v/>
      </c>
      <c r="BS1207" s="1547" t="str">
        <f ca="1">IF('Rent Roll'!$AD109=1,'Rent Roll'!K109,"")</f>
        <v/>
      </c>
      <c r="BT1207" s="1551" t="str">
        <f ca="1">IF('Rent Roll'!$AD109=1,'Rent Roll'!N109,"")</f>
        <v/>
      </c>
      <c r="BU1207" s="223"/>
      <c r="BV1207" s="6"/>
      <c r="BW1207" s="32"/>
      <c r="BX1207" s="342"/>
      <c r="BY1207" s="343"/>
      <c r="BZ1207" s="342"/>
      <c r="CA1207" s="343"/>
      <c r="CB1207" s="32"/>
      <c r="CC1207" s="187"/>
      <c r="CD1207" s="187"/>
    </row>
    <row r="1208" spans="1:82" ht="15.95" hidden="1" customHeight="1" x14ac:dyDescent="0.25">
      <c r="A1208" s="957">
        <f t="shared" ca="1" si="40"/>
        <v>0</v>
      </c>
      <c r="BO1208" s="4"/>
      <c r="BP1208" s="5"/>
      <c r="BQ1208" s="5" t="str">
        <f ca="1">IF('Rent Roll'!$AD110=1,'Rent Roll'!E110,"")</f>
        <v/>
      </c>
      <c r="BR1208" s="39" t="str">
        <f ca="1">IF('Rent Roll'!$AD110=1,'Rent Roll'!G110,"")</f>
        <v/>
      </c>
      <c r="BS1208" s="1547" t="str">
        <f ca="1">IF('Rent Roll'!$AD110=1,'Rent Roll'!K110,"")</f>
        <v/>
      </c>
      <c r="BT1208" s="1551" t="str">
        <f ca="1">IF('Rent Roll'!$AD110=1,'Rent Roll'!N110,"")</f>
        <v/>
      </c>
      <c r="BU1208" s="223"/>
      <c r="BV1208" s="6"/>
      <c r="BW1208" s="32"/>
      <c r="BX1208" s="342"/>
      <c r="BY1208" s="343"/>
      <c r="BZ1208" s="342"/>
      <c r="CA1208" s="343"/>
      <c r="CB1208" s="32"/>
      <c r="CC1208" s="187"/>
      <c r="CD1208" s="187"/>
    </row>
    <row r="1209" spans="1:82" ht="15.95" hidden="1" customHeight="1" x14ac:dyDescent="0.25">
      <c r="A1209" s="957">
        <f t="shared" ca="1" si="40"/>
        <v>0</v>
      </c>
      <c r="BO1209" s="4"/>
      <c r="BP1209" s="5"/>
      <c r="BQ1209" s="5" t="str">
        <f ca="1">IF('Rent Roll'!$AD111=1,'Rent Roll'!E111,"")</f>
        <v/>
      </c>
      <c r="BR1209" s="39" t="str">
        <f ca="1">IF('Rent Roll'!$AD111=1,'Rent Roll'!G111,"")</f>
        <v/>
      </c>
      <c r="BS1209" s="1547" t="str">
        <f ca="1">IF('Rent Roll'!$AD111=1,'Rent Roll'!K111,"")</f>
        <v/>
      </c>
      <c r="BT1209" s="1551" t="str">
        <f ca="1">IF('Rent Roll'!$AD111=1,'Rent Roll'!N111,"")</f>
        <v/>
      </c>
      <c r="BU1209" s="223"/>
      <c r="BV1209" s="6"/>
      <c r="BW1209" s="32"/>
      <c r="BX1209" s="342"/>
      <c r="BY1209" s="343"/>
      <c r="BZ1209" s="342"/>
      <c r="CA1209" s="343"/>
      <c r="CB1209" s="32"/>
      <c r="CC1209" s="187"/>
      <c r="CD1209" s="187"/>
    </row>
    <row r="1210" spans="1:82" ht="15.95" hidden="1" customHeight="1" x14ac:dyDescent="0.25">
      <c r="A1210" s="957">
        <f t="shared" ca="1" si="40"/>
        <v>0</v>
      </c>
      <c r="BO1210" s="4"/>
      <c r="BP1210" s="5"/>
      <c r="BQ1210" s="5" t="str">
        <f ca="1">IF('Rent Roll'!$AD112=1,'Rent Roll'!E112,"")</f>
        <v/>
      </c>
      <c r="BR1210" s="39" t="str">
        <f ca="1">IF('Rent Roll'!$AD112=1,'Rent Roll'!G112,"")</f>
        <v/>
      </c>
      <c r="BS1210" s="1547" t="str">
        <f ca="1">IF('Rent Roll'!$AD112=1,'Rent Roll'!K112,"")</f>
        <v/>
      </c>
      <c r="BT1210" s="1551" t="str">
        <f ca="1">IF('Rent Roll'!$AD112=1,'Rent Roll'!N112,"")</f>
        <v/>
      </c>
      <c r="BU1210" s="223"/>
      <c r="BV1210" s="6"/>
      <c r="BW1210" s="32"/>
      <c r="BX1210" s="342"/>
      <c r="BY1210" s="343"/>
      <c r="BZ1210" s="342"/>
      <c r="CA1210" s="343"/>
      <c r="CB1210" s="32"/>
      <c r="CC1210" s="187"/>
      <c r="CD1210" s="187"/>
    </row>
    <row r="1211" spans="1:82" ht="15.95" hidden="1" customHeight="1" x14ac:dyDescent="0.25">
      <c r="A1211" s="957">
        <f t="shared" ca="1" si="40"/>
        <v>0</v>
      </c>
      <c r="BO1211" s="4"/>
      <c r="BP1211" s="5"/>
      <c r="BQ1211" s="5" t="str">
        <f ca="1">IF('Rent Roll'!$AD113=1,'Rent Roll'!E113,"")</f>
        <v/>
      </c>
      <c r="BR1211" s="39" t="str">
        <f ca="1">IF('Rent Roll'!$AD113=1,'Rent Roll'!G113,"")</f>
        <v/>
      </c>
      <c r="BS1211" s="1547" t="str">
        <f ca="1">IF('Rent Roll'!$AD113=1,'Rent Roll'!K113,"")</f>
        <v/>
      </c>
      <c r="BT1211" s="1551" t="str">
        <f ca="1">IF('Rent Roll'!$AD113=1,'Rent Roll'!N113,"")</f>
        <v/>
      </c>
      <c r="BU1211" s="223"/>
      <c r="BV1211" s="6"/>
      <c r="BW1211" s="32"/>
      <c r="BX1211" s="342"/>
      <c r="BY1211" s="343"/>
      <c r="BZ1211" s="342"/>
      <c r="CA1211" s="343"/>
      <c r="CB1211" s="32"/>
      <c r="CC1211" s="187"/>
      <c r="CD1211" s="187"/>
    </row>
    <row r="1212" spans="1:82" ht="15.95" hidden="1" customHeight="1" x14ac:dyDescent="0.25">
      <c r="A1212" s="957">
        <f t="shared" ca="1" si="40"/>
        <v>0</v>
      </c>
      <c r="BO1212" s="4"/>
      <c r="BP1212" s="5"/>
      <c r="BQ1212" s="5" t="str">
        <f ca="1">IF('Rent Roll'!$AD114=1,'Rent Roll'!E114,"")</f>
        <v/>
      </c>
      <c r="BR1212" s="39" t="str">
        <f ca="1">IF('Rent Roll'!$AD114=1,'Rent Roll'!G114,"")</f>
        <v/>
      </c>
      <c r="BS1212" s="1547" t="str">
        <f ca="1">IF('Rent Roll'!$AD114=1,'Rent Roll'!K114,"")</f>
        <v/>
      </c>
      <c r="BT1212" s="1551" t="str">
        <f ca="1">IF('Rent Roll'!$AD114=1,'Rent Roll'!N114,"")</f>
        <v/>
      </c>
      <c r="BU1212" s="223"/>
      <c r="BV1212" s="6"/>
      <c r="BW1212" s="32"/>
      <c r="BX1212" s="342"/>
      <c r="BY1212" s="343"/>
      <c r="BZ1212" s="342"/>
      <c r="CA1212" s="343"/>
      <c r="CB1212" s="32"/>
      <c r="CC1212" s="187"/>
      <c r="CD1212" s="187"/>
    </row>
    <row r="1213" spans="1:82" ht="15.95" hidden="1" customHeight="1" x14ac:dyDescent="0.25">
      <c r="A1213" s="957">
        <f t="shared" ca="1" si="40"/>
        <v>0</v>
      </c>
      <c r="BO1213" s="4"/>
      <c r="BP1213" s="5"/>
      <c r="BQ1213" s="5" t="str">
        <f ca="1">IF('Rent Roll'!$AD115=1,'Rent Roll'!E115,"")</f>
        <v/>
      </c>
      <c r="BR1213" s="39" t="str">
        <f ca="1">IF('Rent Roll'!$AD115=1,'Rent Roll'!G115,"")</f>
        <v/>
      </c>
      <c r="BS1213" s="1547" t="str">
        <f ca="1">IF('Rent Roll'!$AD115=1,'Rent Roll'!K115,"")</f>
        <v/>
      </c>
      <c r="BT1213" s="1551" t="str">
        <f ca="1">IF('Rent Roll'!$AD115=1,'Rent Roll'!N115,"")</f>
        <v/>
      </c>
      <c r="BU1213" s="223"/>
      <c r="BV1213" s="6"/>
      <c r="BW1213" s="32"/>
      <c r="BX1213" s="342"/>
      <c r="BY1213" s="343"/>
      <c r="BZ1213" s="342"/>
      <c r="CA1213" s="343"/>
      <c r="CB1213" s="32"/>
      <c r="CC1213" s="187"/>
      <c r="CD1213" s="187"/>
    </row>
    <row r="1214" spans="1:82" ht="15.95" hidden="1" customHeight="1" x14ac:dyDescent="0.25">
      <c r="A1214" s="957">
        <f t="shared" ca="1" si="40"/>
        <v>0</v>
      </c>
      <c r="BO1214" s="4"/>
      <c r="BP1214" s="5"/>
      <c r="BQ1214" s="5" t="str">
        <f ca="1">IF('Rent Roll'!$AD116=1,'Rent Roll'!E116,"")</f>
        <v/>
      </c>
      <c r="BR1214" s="39" t="str">
        <f ca="1">IF('Rent Roll'!$AD116=1,'Rent Roll'!G116,"")</f>
        <v/>
      </c>
      <c r="BS1214" s="1547" t="str">
        <f ca="1">IF('Rent Roll'!$AD116=1,'Rent Roll'!K116,"")</f>
        <v/>
      </c>
      <c r="BT1214" s="1551" t="str">
        <f ca="1">IF('Rent Roll'!$AD116=1,'Rent Roll'!N116,"")</f>
        <v/>
      </c>
      <c r="BU1214" s="223"/>
      <c r="BV1214" s="6"/>
      <c r="BW1214" s="32"/>
      <c r="BX1214" s="342"/>
      <c r="BY1214" s="343"/>
      <c r="BZ1214" s="342"/>
      <c r="CA1214" s="343"/>
      <c r="CB1214" s="32"/>
      <c r="CC1214" s="187"/>
      <c r="CD1214" s="187"/>
    </row>
    <row r="1215" spans="1:82" ht="15.95" hidden="1" customHeight="1" x14ac:dyDescent="0.25">
      <c r="A1215" s="957">
        <f t="shared" ca="1" si="40"/>
        <v>0</v>
      </c>
      <c r="BO1215" s="4"/>
      <c r="BP1215" s="5"/>
      <c r="BQ1215" s="5" t="str">
        <f ca="1">IF('Rent Roll'!$AD117=1,'Rent Roll'!E117,"")</f>
        <v/>
      </c>
      <c r="BR1215" s="39" t="str">
        <f ca="1">IF('Rent Roll'!$AD117=1,'Rent Roll'!G117,"")</f>
        <v/>
      </c>
      <c r="BS1215" s="1547" t="str">
        <f ca="1">IF('Rent Roll'!$AD117=1,'Rent Roll'!K117,"")</f>
        <v/>
      </c>
      <c r="BT1215" s="1551" t="str">
        <f ca="1">IF('Rent Roll'!$AD117=1,'Rent Roll'!N117,"")</f>
        <v/>
      </c>
      <c r="BU1215" s="223"/>
      <c r="BV1215" s="6"/>
      <c r="BW1215" s="32"/>
      <c r="BX1215" s="342"/>
      <c r="BY1215" s="343"/>
      <c r="BZ1215" s="342"/>
      <c r="CA1215" s="343"/>
      <c r="CB1215" s="32"/>
      <c r="CC1215" s="187"/>
      <c r="CD1215" s="187"/>
    </row>
    <row r="1216" spans="1:82" ht="15.95" hidden="1" customHeight="1" x14ac:dyDescent="0.25">
      <c r="A1216" s="957">
        <f t="shared" ca="1" si="40"/>
        <v>0</v>
      </c>
      <c r="BO1216" s="4"/>
      <c r="BP1216" s="5"/>
      <c r="BQ1216" s="5" t="str">
        <f ca="1">IF('Rent Roll'!$AD118=1,'Rent Roll'!E118,"")</f>
        <v/>
      </c>
      <c r="BR1216" s="39" t="str">
        <f ca="1">IF('Rent Roll'!$AD118=1,'Rent Roll'!G118,"")</f>
        <v/>
      </c>
      <c r="BS1216" s="1547" t="str">
        <f ca="1">IF('Rent Roll'!$AD118=1,'Rent Roll'!K118,"")</f>
        <v/>
      </c>
      <c r="BT1216" s="1551" t="str">
        <f ca="1">IF('Rent Roll'!$AD118=1,'Rent Roll'!N118,"")</f>
        <v/>
      </c>
      <c r="BU1216" s="223"/>
      <c r="BV1216" s="6"/>
      <c r="BW1216" s="32"/>
      <c r="BX1216" s="342"/>
      <c r="BY1216" s="343"/>
      <c r="BZ1216" s="342"/>
      <c r="CA1216" s="343"/>
      <c r="CB1216" s="32"/>
      <c r="CC1216" s="187"/>
      <c r="CD1216" s="187"/>
    </row>
    <row r="1217" spans="1:82" ht="15.95" hidden="1" customHeight="1" x14ac:dyDescent="0.25">
      <c r="A1217" s="957">
        <f t="shared" ca="1" si="40"/>
        <v>0</v>
      </c>
      <c r="BO1217" s="4"/>
      <c r="BP1217" s="5"/>
      <c r="BQ1217" s="5" t="str">
        <f ca="1">IF('Rent Roll'!$AD119=1,'Rent Roll'!E119,"")</f>
        <v/>
      </c>
      <c r="BR1217" s="39" t="str">
        <f ca="1">IF('Rent Roll'!$AD119=1,'Rent Roll'!G119,"")</f>
        <v/>
      </c>
      <c r="BS1217" s="1547" t="str">
        <f ca="1">IF('Rent Roll'!$AD119=1,'Rent Roll'!K119,"")</f>
        <v/>
      </c>
      <c r="BT1217" s="1551" t="str">
        <f ca="1">IF('Rent Roll'!$AD119=1,'Rent Roll'!N119,"")</f>
        <v/>
      </c>
      <c r="BU1217" s="223"/>
      <c r="BV1217" s="6"/>
      <c r="BW1217" s="32"/>
      <c r="BX1217" s="342"/>
      <c r="BY1217" s="343"/>
      <c r="BZ1217" s="342"/>
      <c r="CA1217" s="343"/>
      <c r="CB1217" s="32"/>
      <c r="CC1217" s="187"/>
      <c r="CD1217" s="187"/>
    </row>
    <row r="1218" spans="1:82" ht="15.95" hidden="1" customHeight="1" x14ac:dyDescent="0.25">
      <c r="A1218" s="957">
        <f t="shared" ca="1" si="40"/>
        <v>0</v>
      </c>
      <c r="BO1218" s="4"/>
      <c r="BP1218" s="5"/>
      <c r="BQ1218" s="5" t="str">
        <f ca="1">IF('Rent Roll'!$AD120=1,'Rent Roll'!E120,"")</f>
        <v/>
      </c>
      <c r="BR1218" s="39" t="str">
        <f ca="1">IF('Rent Roll'!$AD120=1,'Rent Roll'!G120,"")</f>
        <v/>
      </c>
      <c r="BS1218" s="1547" t="str">
        <f ca="1">IF('Rent Roll'!$AD120=1,'Rent Roll'!K120,"")</f>
        <v/>
      </c>
      <c r="BT1218" s="1551" t="str">
        <f ca="1">IF('Rent Roll'!$AD120=1,'Rent Roll'!N120,"")</f>
        <v/>
      </c>
      <c r="BU1218" s="223"/>
      <c r="BV1218" s="6"/>
      <c r="BW1218" s="32"/>
      <c r="BX1218" s="342"/>
      <c r="BY1218" s="343"/>
      <c r="BZ1218" s="342"/>
      <c r="CA1218" s="343"/>
      <c r="CB1218" s="32"/>
      <c r="CC1218" s="187"/>
      <c r="CD1218" s="187"/>
    </row>
    <row r="1219" spans="1:82" ht="15.95" hidden="1" customHeight="1" x14ac:dyDescent="0.25">
      <c r="A1219" s="957">
        <f t="shared" ca="1" si="40"/>
        <v>0</v>
      </c>
      <c r="BO1219" s="4"/>
      <c r="BP1219" s="5"/>
      <c r="BQ1219" s="5" t="str">
        <f ca="1">IF('Rent Roll'!$AD121=1,'Rent Roll'!E121,"")</f>
        <v/>
      </c>
      <c r="BR1219" s="39" t="str">
        <f ca="1">IF('Rent Roll'!$AD121=1,'Rent Roll'!G121,"")</f>
        <v/>
      </c>
      <c r="BS1219" s="1547" t="str">
        <f ca="1">IF('Rent Roll'!$AD121=1,'Rent Roll'!K121,"")</f>
        <v/>
      </c>
      <c r="BT1219" s="1551" t="str">
        <f ca="1">IF('Rent Roll'!$AD121=1,'Rent Roll'!N121,"")</f>
        <v/>
      </c>
      <c r="BU1219" s="223"/>
      <c r="BV1219" s="6"/>
      <c r="BW1219" s="32"/>
      <c r="BX1219" s="342"/>
      <c r="BY1219" s="343"/>
      <c r="BZ1219" s="342"/>
      <c r="CA1219" s="343"/>
      <c r="CB1219" s="32"/>
      <c r="CC1219" s="187"/>
      <c r="CD1219" s="187"/>
    </row>
    <row r="1220" spans="1:82" ht="15.95" hidden="1" customHeight="1" x14ac:dyDescent="0.25">
      <c r="A1220" s="957">
        <f t="shared" ca="1" si="40"/>
        <v>0</v>
      </c>
      <c r="BO1220" s="4"/>
      <c r="BP1220" s="5"/>
      <c r="BQ1220" s="5" t="str">
        <f ca="1">IF('Rent Roll'!$AD122=1,'Rent Roll'!E122,"")</f>
        <v/>
      </c>
      <c r="BR1220" s="39" t="str">
        <f ca="1">IF('Rent Roll'!$AD122=1,'Rent Roll'!G122,"")</f>
        <v/>
      </c>
      <c r="BS1220" s="1547" t="str">
        <f ca="1">IF('Rent Roll'!$AD122=1,'Rent Roll'!K122,"")</f>
        <v/>
      </c>
      <c r="BT1220" s="1551" t="str">
        <f ca="1">IF('Rent Roll'!$AD122=1,'Rent Roll'!N122,"")</f>
        <v/>
      </c>
      <c r="BU1220" s="223"/>
      <c r="BV1220" s="6"/>
      <c r="BW1220" s="32"/>
      <c r="BX1220" s="342"/>
      <c r="BY1220" s="343"/>
      <c r="BZ1220" s="342"/>
      <c r="CA1220" s="343"/>
      <c r="CB1220" s="32"/>
      <c r="CC1220" s="187"/>
      <c r="CD1220" s="187"/>
    </row>
    <row r="1221" spans="1:82" ht="15.95" hidden="1" customHeight="1" x14ac:dyDescent="0.25">
      <c r="A1221" s="957">
        <f t="shared" ca="1" si="40"/>
        <v>0</v>
      </c>
      <c r="BO1221" s="4"/>
      <c r="BP1221" s="5"/>
      <c r="BQ1221" s="5" t="str">
        <f ca="1">IF('Rent Roll'!$AD123=1,'Rent Roll'!E123,"")</f>
        <v/>
      </c>
      <c r="BR1221" s="39" t="str">
        <f ca="1">IF('Rent Roll'!$AD123=1,'Rent Roll'!G123,"")</f>
        <v/>
      </c>
      <c r="BS1221" s="1547" t="str">
        <f ca="1">IF('Rent Roll'!$AD123=1,'Rent Roll'!K123,"")</f>
        <v/>
      </c>
      <c r="BT1221" s="1551" t="str">
        <f ca="1">IF('Rent Roll'!$AD123=1,'Rent Roll'!N123,"")</f>
        <v/>
      </c>
      <c r="BU1221" s="223"/>
      <c r="BV1221" s="6"/>
      <c r="BW1221" s="32"/>
      <c r="BX1221" s="342"/>
      <c r="BY1221" s="343"/>
      <c r="BZ1221" s="342"/>
      <c r="CA1221" s="343"/>
      <c r="CB1221" s="32"/>
      <c r="CC1221" s="187"/>
      <c r="CD1221" s="187"/>
    </row>
    <row r="1222" spans="1:82" ht="15.95" hidden="1" customHeight="1" x14ac:dyDescent="0.25">
      <c r="A1222" s="957">
        <f t="shared" ca="1" si="40"/>
        <v>0</v>
      </c>
      <c r="BO1222" s="4"/>
      <c r="BP1222" s="5"/>
      <c r="BQ1222" s="5" t="str">
        <f ca="1">IF('Rent Roll'!$AD124=1,'Rent Roll'!E124,"")</f>
        <v/>
      </c>
      <c r="BR1222" s="39" t="str">
        <f ca="1">IF('Rent Roll'!$AD124=1,'Rent Roll'!G124,"")</f>
        <v/>
      </c>
      <c r="BS1222" s="1547" t="str">
        <f ca="1">IF('Rent Roll'!$AD124=1,'Rent Roll'!K124,"")</f>
        <v/>
      </c>
      <c r="BT1222" s="1551" t="str">
        <f ca="1">IF('Rent Roll'!$AD124=1,'Rent Roll'!N124,"")</f>
        <v/>
      </c>
      <c r="BU1222" s="223"/>
      <c r="BV1222" s="6"/>
      <c r="BW1222" s="32"/>
      <c r="BX1222" s="342"/>
      <c r="BY1222" s="343"/>
      <c r="BZ1222" s="342"/>
      <c r="CA1222" s="343"/>
      <c r="CB1222" s="32"/>
      <c r="CC1222" s="187"/>
      <c r="CD1222" s="187"/>
    </row>
    <row r="1223" spans="1:82" ht="15.95" hidden="1" customHeight="1" x14ac:dyDescent="0.25">
      <c r="A1223" s="957">
        <f t="shared" ca="1" si="40"/>
        <v>0</v>
      </c>
      <c r="BO1223" s="4"/>
      <c r="BP1223" s="5"/>
      <c r="BQ1223" s="5" t="str">
        <f ca="1">IF('Rent Roll'!$AD125=1,'Rent Roll'!E125,"")</f>
        <v/>
      </c>
      <c r="BR1223" s="39" t="str">
        <f ca="1">IF('Rent Roll'!$AD125=1,'Rent Roll'!G125,"")</f>
        <v/>
      </c>
      <c r="BS1223" s="1547" t="str">
        <f ca="1">IF('Rent Roll'!$AD125=1,'Rent Roll'!K125,"")</f>
        <v/>
      </c>
      <c r="BT1223" s="1551" t="str">
        <f ca="1">IF('Rent Roll'!$AD125=1,'Rent Roll'!N125,"")</f>
        <v/>
      </c>
      <c r="BU1223" s="223"/>
      <c r="BV1223" s="6"/>
      <c r="BW1223" s="32"/>
      <c r="BX1223" s="342"/>
      <c r="BY1223" s="343"/>
      <c r="BZ1223" s="342"/>
      <c r="CA1223" s="343"/>
      <c r="CB1223" s="32"/>
      <c r="CC1223" s="187"/>
      <c r="CD1223" s="187"/>
    </row>
    <row r="1224" spans="1:82" ht="15.95" hidden="1" customHeight="1" x14ac:dyDescent="0.25">
      <c r="A1224" s="957">
        <f t="shared" ca="1" si="40"/>
        <v>0</v>
      </c>
      <c r="BO1224" s="4"/>
      <c r="BP1224" s="5"/>
      <c r="BQ1224" s="5" t="str">
        <f ca="1">IF('Rent Roll'!$AD126=1,'Rent Roll'!E126,"")</f>
        <v/>
      </c>
      <c r="BR1224" s="39" t="str">
        <f ca="1">IF('Rent Roll'!$AD126=1,'Rent Roll'!G126,"")</f>
        <v/>
      </c>
      <c r="BS1224" s="1547" t="str">
        <f ca="1">IF('Rent Roll'!$AD126=1,'Rent Roll'!K126,"")</f>
        <v/>
      </c>
      <c r="BT1224" s="1551" t="str">
        <f ca="1">IF('Rent Roll'!$AD126=1,'Rent Roll'!N126,"")</f>
        <v/>
      </c>
      <c r="BU1224" s="223"/>
      <c r="BV1224" s="6"/>
      <c r="BW1224" s="32"/>
      <c r="BX1224" s="342"/>
      <c r="BY1224" s="343"/>
      <c r="BZ1224" s="342"/>
      <c r="CA1224" s="343"/>
      <c r="CB1224" s="32"/>
      <c r="CC1224" s="187"/>
      <c r="CD1224" s="187"/>
    </row>
    <row r="1225" spans="1:82" ht="15.95" hidden="1" customHeight="1" x14ac:dyDescent="0.25">
      <c r="A1225" s="957">
        <f t="shared" ca="1" si="40"/>
        <v>0</v>
      </c>
      <c r="BO1225" s="4"/>
      <c r="BP1225" s="5"/>
      <c r="BQ1225" s="5" t="str">
        <f ca="1">IF('Rent Roll'!$AD127=1,'Rent Roll'!E127,"")</f>
        <v/>
      </c>
      <c r="BR1225" s="39" t="str">
        <f ca="1">IF('Rent Roll'!$AD127=1,'Rent Roll'!G127,"")</f>
        <v/>
      </c>
      <c r="BS1225" s="1547" t="str">
        <f ca="1">IF('Rent Roll'!$AD127=1,'Rent Roll'!K127,"")</f>
        <v/>
      </c>
      <c r="BT1225" s="1551" t="str">
        <f ca="1">IF('Rent Roll'!$AD127=1,'Rent Roll'!N127,"")</f>
        <v/>
      </c>
      <c r="BU1225" s="223"/>
      <c r="BV1225" s="6"/>
      <c r="BW1225" s="32"/>
      <c r="BX1225" s="342"/>
      <c r="BY1225" s="343"/>
      <c r="BZ1225" s="342"/>
      <c r="CA1225" s="343"/>
      <c r="CB1225" s="32"/>
      <c r="CC1225" s="187"/>
      <c r="CD1225" s="187"/>
    </row>
    <row r="1226" spans="1:82" ht="15.95" hidden="1" customHeight="1" x14ac:dyDescent="0.25">
      <c r="A1226" s="957">
        <f t="shared" ca="1" si="40"/>
        <v>0</v>
      </c>
      <c r="BO1226" s="4"/>
      <c r="BP1226" s="5"/>
      <c r="BQ1226" s="5" t="str">
        <f ca="1">IF('Rent Roll'!$AD128=1,'Rent Roll'!E128,"")</f>
        <v/>
      </c>
      <c r="BR1226" s="39" t="str">
        <f ca="1">IF('Rent Roll'!$AD128=1,'Rent Roll'!G128,"")</f>
        <v/>
      </c>
      <c r="BS1226" s="1547" t="str">
        <f ca="1">IF('Rent Roll'!$AD128=1,'Rent Roll'!K128,"")</f>
        <v/>
      </c>
      <c r="BT1226" s="1551" t="str">
        <f ca="1">IF('Rent Roll'!$AD128=1,'Rent Roll'!N128,"")</f>
        <v/>
      </c>
      <c r="BU1226" s="223"/>
      <c r="BV1226" s="6"/>
      <c r="BW1226" s="32"/>
      <c r="BX1226" s="342"/>
      <c r="BY1226" s="343"/>
      <c r="BZ1226" s="342"/>
      <c r="CA1226" s="343"/>
      <c r="CB1226" s="32"/>
      <c r="CC1226" s="187"/>
      <c r="CD1226" s="187"/>
    </row>
    <row r="1227" spans="1:82" ht="15.95" hidden="1" customHeight="1" x14ac:dyDescent="0.25">
      <c r="A1227" s="957">
        <f t="shared" ca="1" si="40"/>
        <v>0</v>
      </c>
      <c r="BO1227" s="4"/>
      <c r="BP1227" s="5"/>
      <c r="BQ1227" s="5" t="str">
        <f ca="1">IF('Rent Roll'!$AD129=1,'Rent Roll'!E129,"")</f>
        <v/>
      </c>
      <c r="BR1227" s="39" t="str">
        <f ca="1">IF('Rent Roll'!$AD129=1,'Rent Roll'!G129,"")</f>
        <v/>
      </c>
      <c r="BS1227" s="1547" t="str">
        <f ca="1">IF('Rent Roll'!$AD129=1,'Rent Roll'!K129,"")</f>
        <v/>
      </c>
      <c r="BT1227" s="1551" t="str">
        <f ca="1">IF('Rent Roll'!$AD129=1,'Rent Roll'!N129,"")</f>
        <v/>
      </c>
      <c r="BU1227" s="223"/>
      <c r="BV1227" s="6"/>
      <c r="BW1227" s="32"/>
      <c r="BX1227" s="342"/>
      <c r="BY1227" s="343"/>
      <c r="BZ1227" s="342"/>
      <c r="CA1227" s="343"/>
      <c r="CB1227" s="32"/>
      <c r="CC1227" s="187"/>
      <c r="CD1227" s="187"/>
    </row>
    <row r="1228" spans="1:82" ht="15.95" hidden="1" customHeight="1" x14ac:dyDescent="0.25">
      <c r="A1228" s="957">
        <f t="shared" ca="1" si="40"/>
        <v>0</v>
      </c>
      <c r="BO1228" s="4"/>
      <c r="BP1228" s="5"/>
      <c r="BQ1228" s="5" t="str">
        <f ca="1">IF('Rent Roll'!$AD130=1,'Rent Roll'!E130,"")</f>
        <v/>
      </c>
      <c r="BR1228" s="39" t="str">
        <f ca="1">IF('Rent Roll'!$AD130=1,'Rent Roll'!G130,"")</f>
        <v/>
      </c>
      <c r="BS1228" s="1547" t="str">
        <f ca="1">IF('Rent Roll'!$AD130=1,'Rent Roll'!K130,"")</f>
        <v/>
      </c>
      <c r="BT1228" s="1551" t="str">
        <f ca="1">IF('Rent Roll'!$AD130=1,'Rent Roll'!N130,"")</f>
        <v/>
      </c>
      <c r="BU1228" s="223"/>
      <c r="BV1228" s="6"/>
      <c r="BW1228" s="32"/>
      <c r="BX1228" s="342"/>
      <c r="BY1228" s="343"/>
      <c r="BZ1228" s="342"/>
      <c r="CA1228" s="343"/>
      <c r="CB1228" s="32"/>
      <c r="CC1228" s="187"/>
      <c r="CD1228" s="187"/>
    </row>
    <row r="1229" spans="1:82" ht="15.95" hidden="1" customHeight="1" x14ac:dyDescent="0.25">
      <c r="A1229" s="957">
        <f t="shared" ca="1" si="40"/>
        <v>0</v>
      </c>
      <c r="BO1229" s="4"/>
      <c r="BP1229" s="5"/>
      <c r="BQ1229" s="5" t="str">
        <f ca="1">IF('Rent Roll'!$AD131=1,'Rent Roll'!E131,"")</f>
        <v/>
      </c>
      <c r="BR1229" s="39" t="str">
        <f ca="1">IF('Rent Roll'!$AD131=1,'Rent Roll'!G131,"")</f>
        <v/>
      </c>
      <c r="BS1229" s="1547" t="str">
        <f ca="1">IF('Rent Roll'!$AD131=1,'Rent Roll'!K131,"")</f>
        <v/>
      </c>
      <c r="BT1229" s="1551" t="str">
        <f ca="1">IF('Rent Roll'!$AD131=1,'Rent Roll'!N131,"")</f>
        <v/>
      </c>
      <c r="BU1229" s="223"/>
      <c r="BV1229" s="6"/>
      <c r="BW1229" s="32"/>
      <c r="BX1229" s="342"/>
      <c r="BY1229" s="343"/>
      <c r="BZ1229" s="342"/>
      <c r="CA1229" s="343"/>
      <c r="CB1229" s="32"/>
      <c r="CC1229" s="187"/>
      <c r="CD1229" s="187"/>
    </row>
    <row r="1230" spans="1:82" ht="15.95" hidden="1" customHeight="1" x14ac:dyDescent="0.25">
      <c r="A1230" s="957">
        <f t="shared" ca="1" si="40"/>
        <v>0</v>
      </c>
      <c r="BO1230" s="4"/>
      <c r="BP1230" s="5"/>
      <c r="BQ1230" s="5" t="str">
        <f ca="1">IF('Rent Roll'!$AD132=1,'Rent Roll'!E132,"")</f>
        <v/>
      </c>
      <c r="BR1230" s="39" t="str">
        <f ca="1">IF('Rent Roll'!$AD132=1,'Rent Roll'!G132,"")</f>
        <v/>
      </c>
      <c r="BS1230" s="1547" t="str">
        <f ca="1">IF('Rent Roll'!$AD132=1,'Rent Roll'!K132,"")</f>
        <v/>
      </c>
      <c r="BT1230" s="1551" t="str">
        <f ca="1">IF('Rent Roll'!$AD132=1,'Rent Roll'!N132,"")</f>
        <v/>
      </c>
      <c r="BU1230" s="223"/>
      <c r="BV1230" s="6"/>
      <c r="BW1230" s="32"/>
      <c r="BX1230" s="342"/>
      <c r="BY1230" s="343"/>
      <c r="BZ1230" s="342"/>
      <c r="CA1230" s="343"/>
      <c r="CB1230" s="32"/>
      <c r="CC1230" s="187"/>
      <c r="CD1230" s="187"/>
    </row>
    <row r="1231" spans="1:82" ht="15.95" hidden="1" customHeight="1" x14ac:dyDescent="0.25">
      <c r="A1231" s="957">
        <f t="shared" ca="1" si="40"/>
        <v>0</v>
      </c>
      <c r="BO1231" s="4"/>
      <c r="BP1231" s="5"/>
      <c r="BQ1231" s="5" t="str">
        <f ca="1">IF('Rent Roll'!$AD133=1,'Rent Roll'!E133,"")</f>
        <v/>
      </c>
      <c r="BR1231" s="39" t="str">
        <f ca="1">IF('Rent Roll'!$AD133=1,'Rent Roll'!G133,"")</f>
        <v/>
      </c>
      <c r="BS1231" s="1547" t="str">
        <f ca="1">IF('Rent Roll'!$AD133=1,'Rent Roll'!K133,"")</f>
        <v/>
      </c>
      <c r="BT1231" s="1551" t="str">
        <f ca="1">IF('Rent Roll'!$AD133=1,'Rent Roll'!N133,"")</f>
        <v/>
      </c>
      <c r="BU1231" s="223"/>
      <c r="BV1231" s="6"/>
      <c r="BW1231" s="32"/>
      <c r="BX1231" s="342"/>
      <c r="BY1231" s="343"/>
      <c r="BZ1231" s="342"/>
      <c r="CA1231" s="343"/>
      <c r="CB1231" s="32"/>
      <c r="CC1231" s="187"/>
      <c r="CD1231" s="187"/>
    </row>
    <row r="1232" spans="1:82" ht="15.95" hidden="1" customHeight="1" x14ac:dyDescent="0.25">
      <c r="A1232" s="957">
        <f t="shared" ca="1" si="40"/>
        <v>0</v>
      </c>
      <c r="BO1232" s="4"/>
      <c r="BP1232" s="5"/>
      <c r="BQ1232" s="5" t="str">
        <f ca="1">IF('Rent Roll'!$AD134=1,'Rent Roll'!E134,"")</f>
        <v/>
      </c>
      <c r="BR1232" s="39" t="str">
        <f ca="1">IF('Rent Roll'!$AD134=1,'Rent Roll'!G134,"")</f>
        <v/>
      </c>
      <c r="BS1232" s="1547" t="str">
        <f ca="1">IF('Rent Roll'!$AD134=1,'Rent Roll'!K134,"")</f>
        <v/>
      </c>
      <c r="BT1232" s="1551" t="str">
        <f ca="1">IF('Rent Roll'!$AD134=1,'Rent Roll'!N134,"")</f>
        <v/>
      </c>
      <c r="BU1232" s="5"/>
      <c r="BV1232" s="6"/>
      <c r="BW1232" s="32"/>
      <c r="BX1232" s="342"/>
      <c r="BY1232" s="343"/>
      <c r="BZ1232" s="342"/>
      <c r="CA1232" s="343"/>
      <c r="CB1232" s="32"/>
      <c r="CC1232" s="187"/>
      <c r="CD1232" s="187"/>
    </row>
    <row r="1233" spans="1:82" ht="15.95" hidden="1" customHeight="1" x14ac:dyDescent="0.25">
      <c r="A1233" s="957">
        <f t="shared" ref="A1233:A1264" ca="1" si="41">IF(BQ1233="",0,1)</f>
        <v>0</v>
      </c>
      <c r="BO1233" s="4"/>
      <c r="BP1233" s="5"/>
      <c r="BQ1233" s="5" t="str">
        <f ca="1">IF('Rent Roll'!$AD135=1,'Rent Roll'!E135,"")</f>
        <v/>
      </c>
      <c r="BR1233" s="39" t="str">
        <f ca="1">IF('Rent Roll'!$AD135=1,'Rent Roll'!G135,"")</f>
        <v/>
      </c>
      <c r="BS1233" s="1547" t="str">
        <f ca="1">IF('Rent Roll'!$AD135=1,'Rent Roll'!K135,"")</f>
        <v/>
      </c>
      <c r="BT1233" s="1551" t="str">
        <f ca="1">IF('Rent Roll'!$AD135=1,'Rent Roll'!N135,"")</f>
        <v/>
      </c>
      <c r="BU1233" s="5"/>
      <c r="BV1233" s="6"/>
      <c r="BW1233" s="32"/>
      <c r="BX1233" s="342"/>
      <c r="BY1233" s="343"/>
      <c r="BZ1233" s="342"/>
      <c r="CA1233" s="343"/>
      <c r="CB1233" s="32"/>
      <c r="CC1233" s="187"/>
      <c r="CD1233" s="187"/>
    </row>
    <row r="1234" spans="1:82" ht="15.95" hidden="1" customHeight="1" x14ac:dyDescent="0.25">
      <c r="A1234" s="957">
        <f t="shared" ca="1" si="41"/>
        <v>0</v>
      </c>
      <c r="BO1234" s="4"/>
      <c r="BP1234" s="5"/>
      <c r="BQ1234" s="5" t="str">
        <f ca="1">IF('Rent Roll'!$AD136=1,'Rent Roll'!E136,"")</f>
        <v/>
      </c>
      <c r="BR1234" s="39" t="str">
        <f ca="1">IF('Rent Roll'!$AD136=1,'Rent Roll'!G136,"")</f>
        <v/>
      </c>
      <c r="BS1234" s="1547" t="str">
        <f ca="1">IF('Rent Roll'!$AD136=1,'Rent Roll'!K136,"")</f>
        <v/>
      </c>
      <c r="BT1234" s="1551" t="str">
        <f ca="1">IF('Rent Roll'!$AD136=1,'Rent Roll'!N136,"")</f>
        <v/>
      </c>
      <c r="BU1234" s="5"/>
      <c r="BV1234" s="6"/>
      <c r="BW1234" s="32"/>
      <c r="BX1234" s="342"/>
      <c r="BY1234" s="343"/>
      <c r="BZ1234" s="342"/>
      <c r="CA1234" s="343"/>
      <c r="CB1234" s="32"/>
      <c r="CC1234" s="187"/>
      <c r="CD1234" s="187"/>
    </row>
    <row r="1235" spans="1:82" ht="15.95" hidden="1" customHeight="1" x14ac:dyDescent="0.25">
      <c r="A1235" s="957">
        <f t="shared" ca="1" si="41"/>
        <v>0</v>
      </c>
      <c r="BO1235" s="4"/>
      <c r="BP1235" s="5"/>
      <c r="BQ1235" s="5" t="str">
        <f ca="1">IF('Rent Roll'!$AD137=1,'Rent Roll'!E137,"")</f>
        <v/>
      </c>
      <c r="BR1235" s="39" t="str">
        <f ca="1">IF('Rent Roll'!$AD137=1,'Rent Roll'!G137,"")</f>
        <v/>
      </c>
      <c r="BS1235" s="1547" t="str">
        <f ca="1">IF('Rent Roll'!$AD137=1,'Rent Roll'!K137,"")</f>
        <v/>
      </c>
      <c r="BT1235" s="1551" t="str">
        <f ca="1">IF('Rent Roll'!$AD137=1,'Rent Roll'!N137,"")</f>
        <v/>
      </c>
      <c r="BU1235" s="5"/>
      <c r="BV1235" s="6"/>
      <c r="BW1235" s="32"/>
      <c r="BX1235" s="342"/>
      <c r="BY1235" s="343"/>
      <c r="BZ1235" s="342"/>
      <c r="CA1235" s="343"/>
      <c r="CB1235" s="32"/>
      <c r="CC1235" s="187"/>
      <c r="CD1235" s="187"/>
    </row>
    <row r="1236" spans="1:82" ht="15.95" hidden="1" customHeight="1" x14ac:dyDescent="0.25">
      <c r="A1236" s="957">
        <f t="shared" ca="1" si="41"/>
        <v>0</v>
      </c>
      <c r="BO1236" s="4"/>
      <c r="BP1236" s="5"/>
      <c r="BQ1236" s="5" t="str">
        <f ca="1">IF('Rent Roll'!$AD138=1,'Rent Roll'!E138,"")</f>
        <v/>
      </c>
      <c r="BR1236" s="39" t="str">
        <f ca="1">IF('Rent Roll'!$AD138=1,'Rent Roll'!G138,"")</f>
        <v/>
      </c>
      <c r="BS1236" s="1547" t="str">
        <f ca="1">IF('Rent Roll'!$AD138=1,'Rent Roll'!K138,"")</f>
        <v/>
      </c>
      <c r="BT1236" s="1551" t="str">
        <f ca="1">IF('Rent Roll'!$AD138=1,'Rent Roll'!N138,"")</f>
        <v/>
      </c>
      <c r="BU1236" s="5"/>
      <c r="BV1236" s="6"/>
      <c r="BW1236" s="32"/>
      <c r="BX1236" s="342"/>
      <c r="BY1236" s="343"/>
      <c r="BZ1236" s="342"/>
      <c r="CA1236" s="343"/>
      <c r="CB1236" s="32"/>
      <c r="CC1236" s="187"/>
      <c r="CD1236" s="187"/>
    </row>
    <row r="1237" spans="1:82" ht="15.95" hidden="1" customHeight="1" x14ac:dyDescent="0.25">
      <c r="A1237" s="957">
        <f t="shared" ca="1" si="41"/>
        <v>0</v>
      </c>
      <c r="BO1237" s="4"/>
      <c r="BP1237" s="5"/>
      <c r="BQ1237" s="5" t="str">
        <f ca="1">IF('Rent Roll'!$AD139=1,'Rent Roll'!E139,"")</f>
        <v/>
      </c>
      <c r="BR1237" s="39" t="str">
        <f ca="1">IF('Rent Roll'!$AD139=1,'Rent Roll'!G139,"")</f>
        <v/>
      </c>
      <c r="BS1237" s="1547" t="str">
        <f ca="1">IF('Rent Roll'!$AD139=1,'Rent Roll'!K139,"")</f>
        <v/>
      </c>
      <c r="BT1237" s="1551" t="str">
        <f ca="1">IF('Rent Roll'!$AD139=1,'Rent Roll'!N139,"")</f>
        <v/>
      </c>
      <c r="BU1237" s="5"/>
      <c r="BV1237" s="6"/>
      <c r="BW1237" s="32"/>
      <c r="BX1237" s="342"/>
      <c r="BY1237" s="343"/>
      <c r="BZ1237" s="342"/>
      <c r="CA1237" s="343"/>
      <c r="CB1237" s="32"/>
      <c r="CC1237" s="187"/>
      <c r="CD1237" s="187"/>
    </row>
    <row r="1238" spans="1:82" ht="15.95" hidden="1" customHeight="1" x14ac:dyDescent="0.25">
      <c r="A1238" s="957">
        <f t="shared" ca="1" si="41"/>
        <v>0</v>
      </c>
      <c r="BO1238" s="4"/>
      <c r="BP1238" s="5"/>
      <c r="BQ1238" s="5" t="str">
        <f ca="1">IF('Rent Roll'!$AD140=1,'Rent Roll'!E140,"")</f>
        <v/>
      </c>
      <c r="BR1238" s="39" t="str">
        <f ca="1">IF('Rent Roll'!$AD140=1,'Rent Roll'!G140,"")</f>
        <v/>
      </c>
      <c r="BS1238" s="1547" t="str">
        <f ca="1">IF('Rent Roll'!$AD140=1,'Rent Roll'!K140,"")</f>
        <v/>
      </c>
      <c r="BT1238" s="1551" t="str">
        <f ca="1">IF('Rent Roll'!$AD140=1,'Rent Roll'!N140,"")</f>
        <v/>
      </c>
      <c r="BU1238" s="5"/>
      <c r="BV1238" s="6"/>
      <c r="BW1238" s="32"/>
      <c r="BX1238" s="342"/>
      <c r="BY1238" s="343"/>
      <c r="BZ1238" s="342"/>
      <c r="CA1238" s="343"/>
      <c r="CB1238" s="32"/>
      <c r="CC1238" s="187"/>
      <c r="CD1238" s="187"/>
    </row>
    <row r="1239" spans="1:82" ht="15.95" hidden="1" customHeight="1" x14ac:dyDescent="0.25">
      <c r="A1239" s="957">
        <f t="shared" ca="1" si="41"/>
        <v>0</v>
      </c>
      <c r="BO1239" s="4"/>
      <c r="BP1239" s="5"/>
      <c r="BQ1239" s="5" t="str">
        <f ca="1">IF('Rent Roll'!$AD141=1,'Rent Roll'!E141,"")</f>
        <v/>
      </c>
      <c r="BR1239" s="39" t="str">
        <f ca="1">IF('Rent Roll'!$AD141=1,'Rent Roll'!G141,"")</f>
        <v/>
      </c>
      <c r="BS1239" s="1547" t="str">
        <f ca="1">IF('Rent Roll'!$AD141=1,'Rent Roll'!K141,"")</f>
        <v/>
      </c>
      <c r="BT1239" s="1551" t="str">
        <f ca="1">IF('Rent Roll'!$AD141=1,'Rent Roll'!N141,"")</f>
        <v/>
      </c>
      <c r="BU1239" s="5"/>
      <c r="BV1239" s="6"/>
      <c r="BW1239" s="32"/>
      <c r="BX1239" s="342"/>
      <c r="BY1239" s="343"/>
      <c r="BZ1239" s="342"/>
      <c r="CA1239" s="343"/>
      <c r="CB1239" s="32"/>
      <c r="CC1239" s="187"/>
      <c r="CD1239" s="187"/>
    </row>
    <row r="1240" spans="1:82" ht="15.95" hidden="1" customHeight="1" x14ac:dyDescent="0.25">
      <c r="A1240" s="957">
        <f t="shared" ca="1" si="41"/>
        <v>0</v>
      </c>
      <c r="BO1240" s="4"/>
      <c r="BP1240" s="5"/>
      <c r="BQ1240" s="5" t="str">
        <f ca="1">IF('Rent Roll'!$AD142=1,'Rent Roll'!E142,"")</f>
        <v/>
      </c>
      <c r="BR1240" s="39" t="str">
        <f ca="1">IF('Rent Roll'!$AD142=1,'Rent Roll'!G142,"")</f>
        <v/>
      </c>
      <c r="BS1240" s="1547" t="str">
        <f ca="1">IF('Rent Roll'!$AD142=1,'Rent Roll'!K142,"")</f>
        <v/>
      </c>
      <c r="BT1240" s="1551" t="str">
        <f ca="1">IF('Rent Roll'!$AD142=1,'Rent Roll'!N142,"")</f>
        <v/>
      </c>
      <c r="BU1240" s="5"/>
      <c r="BV1240" s="6"/>
      <c r="BW1240" s="32"/>
      <c r="BX1240" s="342"/>
      <c r="BY1240" s="343"/>
      <c r="BZ1240" s="342"/>
      <c r="CA1240" s="343"/>
      <c r="CB1240" s="32"/>
      <c r="CC1240" s="187"/>
      <c r="CD1240" s="187"/>
    </row>
    <row r="1241" spans="1:82" ht="15.95" hidden="1" customHeight="1" x14ac:dyDescent="0.25">
      <c r="A1241" s="957">
        <f t="shared" ca="1" si="41"/>
        <v>0</v>
      </c>
      <c r="BO1241" s="4"/>
      <c r="BP1241" s="5"/>
      <c r="BQ1241" s="5" t="str">
        <f ca="1">IF('Rent Roll'!$AD143=1,'Rent Roll'!E143,"")</f>
        <v/>
      </c>
      <c r="BR1241" s="39" t="str">
        <f ca="1">IF('Rent Roll'!$AD143=1,'Rent Roll'!G143,"")</f>
        <v/>
      </c>
      <c r="BS1241" s="1547" t="str">
        <f ca="1">IF('Rent Roll'!$AD143=1,'Rent Roll'!K143,"")</f>
        <v/>
      </c>
      <c r="BT1241" s="1551" t="str">
        <f ca="1">IF('Rent Roll'!$AD143=1,'Rent Roll'!N143,"")</f>
        <v/>
      </c>
      <c r="BU1241" s="5"/>
      <c r="BV1241" s="6"/>
      <c r="BW1241" s="32"/>
      <c r="BX1241" s="342"/>
      <c r="BY1241" s="343"/>
      <c r="BZ1241" s="342"/>
      <c r="CA1241" s="343"/>
      <c r="CB1241" s="32"/>
      <c r="CC1241" s="187"/>
      <c r="CD1241" s="187"/>
    </row>
    <row r="1242" spans="1:82" ht="15.95" hidden="1" customHeight="1" x14ac:dyDescent="0.25">
      <c r="A1242" s="957">
        <f t="shared" ca="1" si="41"/>
        <v>0</v>
      </c>
      <c r="BO1242" s="4"/>
      <c r="BP1242" s="5"/>
      <c r="BQ1242" s="5" t="str">
        <f ca="1">IF('Rent Roll'!$AD144=1,'Rent Roll'!E144,"")</f>
        <v/>
      </c>
      <c r="BR1242" s="39" t="str">
        <f ca="1">IF('Rent Roll'!$AD144=1,'Rent Roll'!G144,"")</f>
        <v/>
      </c>
      <c r="BS1242" s="1547" t="str">
        <f ca="1">IF('Rent Roll'!$AD144=1,'Rent Roll'!K144,"")</f>
        <v/>
      </c>
      <c r="BT1242" s="1551" t="str">
        <f ca="1">IF('Rent Roll'!$AD144=1,'Rent Roll'!N144,"")</f>
        <v/>
      </c>
      <c r="BU1242" s="5"/>
      <c r="BV1242" s="6"/>
      <c r="BW1242" s="32"/>
      <c r="BX1242" s="342"/>
      <c r="BY1242" s="343"/>
      <c r="BZ1242" s="342"/>
      <c r="CA1242" s="343"/>
      <c r="CB1242" s="32"/>
      <c r="CC1242" s="187"/>
      <c r="CD1242" s="187"/>
    </row>
    <row r="1243" spans="1:82" ht="15.95" hidden="1" customHeight="1" x14ac:dyDescent="0.25">
      <c r="A1243" s="957">
        <f t="shared" ca="1" si="41"/>
        <v>0</v>
      </c>
      <c r="BO1243" s="4"/>
      <c r="BP1243" s="5"/>
      <c r="BQ1243" s="5" t="str">
        <f ca="1">IF('Rent Roll'!$AD145=1,'Rent Roll'!E145,"")</f>
        <v/>
      </c>
      <c r="BR1243" s="39" t="str">
        <f ca="1">IF('Rent Roll'!$AD145=1,'Rent Roll'!G145,"")</f>
        <v/>
      </c>
      <c r="BS1243" s="1547" t="str">
        <f ca="1">IF('Rent Roll'!$AD145=1,'Rent Roll'!K145,"")</f>
        <v/>
      </c>
      <c r="BT1243" s="1551" t="str">
        <f ca="1">IF('Rent Roll'!$AD145=1,'Rent Roll'!N145,"")</f>
        <v/>
      </c>
      <c r="BU1243" s="5"/>
      <c r="BV1243" s="6"/>
      <c r="BW1243" s="32"/>
      <c r="BX1243" s="342"/>
      <c r="BY1243" s="343"/>
      <c r="BZ1243" s="342"/>
      <c r="CA1243" s="343"/>
      <c r="CB1243" s="32"/>
      <c r="CC1243" s="187"/>
      <c r="CD1243" s="187"/>
    </row>
    <row r="1244" spans="1:82" ht="15.95" hidden="1" customHeight="1" x14ac:dyDescent="0.25">
      <c r="A1244" s="957">
        <f t="shared" ca="1" si="41"/>
        <v>0</v>
      </c>
      <c r="BO1244" s="4"/>
      <c r="BP1244" s="5"/>
      <c r="BQ1244" s="5" t="str">
        <f ca="1">IF('Rent Roll'!$AD146=1,'Rent Roll'!E146,"")</f>
        <v/>
      </c>
      <c r="BR1244" s="39" t="str">
        <f ca="1">IF('Rent Roll'!$AD146=1,'Rent Roll'!G146,"")</f>
        <v/>
      </c>
      <c r="BS1244" s="1547" t="str">
        <f ca="1">IF('Rent Roll'!$AD146=1,'Rent Roll'!K146,"")</f>
        <v/>
      </c>
      <c r="BT1244" s="1551" t="str">
        <f ca="1">IF('Rent Roll'!$AD146=1,'Rent Roll'!N146,"")</f>
        <v/>
      </c>
      <c r="BU1244" s="5"/>
      <c r="BV1244" s="6"/>
      <c r="BW1244" s="32"/>
      <c r="BX1244" s="342"/>
      <c r="BY1244" s="343"/>
      <c r="BZ1244" s="342"/>
      <c r="CA1244" s="343"/>
      <c r="CB1244" s="32"/>
      <c r="CC1244" s="187"/>
      <c r="CD1244" s="187"/>
    </row>
    <row r="1245" spans="1:82" ht="15.95" hidden="1" customHeight="1" x14ac:dyDescent="0.25">
      <c r="A1245" s="957">
        <f t="shared" ca="1" si="41"/>
        <v>0</v>
      </c>
      <c r="BO1245" s="4"/>
      <c r="BP1245" s="5"/>
      <c r="BQ1245" s="5" t="str">
        <f ca="1">IF('Rent Roll'!$AD147=1,'Rent Roll'!E147,"")</f>
        <v/>
      </c>
      <c r="BR1245" s="39" t="str">
        <f ca="1">IF('Rent Roll'!$AD147=1,'Rent Roll'!G147,"")</f>
        <v/>
      </c>
      <c r="BS1245" s="1547" t="str">
        <f ca="1">IF('Rent Roll'!$AD147=1,'Rent Roll'!K147,"")</f>
        <v/>
      </c>
      <c r="BT1245" s="1551" t="str">
        <f ca="1">IF('Rent Roll'!$AD147=1,'Rent Roll'!N147,"")</f>
        <v/>
      </c>
      <c r="BU1245" s="5"/>
      <c r="BV1245" s="6"/>
      <c r="BW1245" s="32"/>
      <c r="BX1245" s="342"/>
      <c r="BY1245" s="343"/>
      <c r="BZ1245" s="342"/>
      <c r="CA1245" s="343"/>
      <c r="CB1245" s="32"/>
      <c r="CC1245" s="187"/>
      <c r="CD1245" s="187"/>
    </row>
    <row r="1246" spans="1:82" ht="15.95" hidden="1" customHeight="1" x14ac:dyDescent="0.25">
      <c r="A1246" s="957">
        <f t="shared" ca="1" si="41"/>
        <v>0</v>
      </c>
      <c r="BO1246" s="4"/>
      <c r="BP1246" s="5"/>
      <c r="BQ1246" s="5" t="str">
        <f ca="1">IF('Rent Roll'!$AD148=1,'Rent Roll'!E148,"")</f>
        <v/>
      </c>
      <c r="BR1246" s="39" t="str">
        <f ca="1">IF('Rent Roll'!$AD148=1,'Rent Roll'!G148,"")</f>
        <v/>
      </c>
      <c r="BS1246" s="1547" t="str">
        <f ca="1">IF('Rent Roll'!$AD148=1,'Rent Roll'!K148,"")</f>
        <v/>
      </c>
      <c r="BT1246" s="1551" t="str">
        <f ca="1">IF('Rent Roll'!$AD148=1,'Rent Roll'!N148,"")</f>
        <v/>
      </c>
      <c r="BU1246" s="5"/>
      <c r="BV1246" s="6"/>
      <c r="BW1246" s="32"/>
      <c r="BX1246" s="342"/>
      <c r="BY1246" s="343"/>
      <c r="BZ1246" s="342"/>
      <c r="CA1246" s="343"/>
      <c r="CB1246" s="32"/>
      <c r="CC1246" s="187"/>
      <c r="CD1246" s="187"/>
    </row>
    <row r="1247" spans="1:82" ht="15.95" hidden="1" customHeight="1" x14ac:dyDescent="0.25">
      <c r="A1247" s="957">
        <f t="shared" ca="1" si="41"/>
        <v>0</v>
      </c>
      <c r="BO1247" s="4"/>
      <c r="BP1247" s="5"/>
      <c r="BQ1247" s="5" t="str">
        <f ca="1">IF('Rent Roll'!$AD149=1,'Rent Roll'!E149,"")</f>
        <v/>
      </c>
      <c r="BR1247" s="39" t="str">
        <f ca="1">IF('Rent Roll'!$AD149=1,'Rent Roll'!G149,"")</f>
        <v/>
      </c>
      <c r="BS1247" s="1547" t="str">
        <f ca="1">IF('Rent Roll'!$AD149=1,'Rent Roll'!K149,"")</f>
        <v/>
      </c>
      <c r="BT1247" s="1551" t="str">
        <f ca="1">IF('Rent Roll'!$AD149=1,'Rent Roll'!N149,"")</f>
        <v/>
      </c>
      <c r="BU1247" s="5"/>
      <c r="BV1247" s="6"/>
      <c r="BW1247" s="32"/>
      <c r="BX1247" s="342"/>
      <c r="BY1247" s="343"/>
      <c r="BZ1247" s="342"/>
      <c r="CA1247" s="343"/>
      <c r="CB1247" s="32"/>
      <c r="CC1247" s="187"/>
      <c r="CD1247" s="187"/>
    </row>
    <row r="1248" spans="1:82" ht="15.95" hidden="1" customHeight="1" x14ac:dyDescent="0.25">
      <c r="A1248" s="957">
        <f t="shared" ca="1" si="41"/>
        <v>0</v>
      </c>
      <c r="BO1248" s="4"/>
      <c r="BP1248" s="5"/>
      <c r="BQ1248" s="5" t="str">
        <f ca="1">IF('Rent Roll'!$AD150=1,'Rent Roll'!E150,"")</f>
        <v/>
      </c>
      <c r="BR1248" s="39" t="str">
        <f ca="1">IF('Rent Roll'!$AD150=1,'Rent Roll'!G150,"")</f>
        <v/>
      </c>
      <c r="BS1248" s="1547" t="str">
        <f ca="1">IF('Rent Roll'!$AD150=1,'Rent Roll'!K150,"")</f>
        <v/>
      </c>
      <c r="BT1248" s="1551" t="str">
        <f ca="1">IF('Rent Roll'!$AD150=1,'Rent Roll'!N150,"")</f>
        <v/>
      </c>
      <c r="BU1248" s="5"/>
      <c r="BV1248" s="6"/>
      <c r="BW1248" s="32"/>
      <c r="BX1248" s="342"/>
      <c r="BY1248" s="343"/>
      <c r="BZ1248" s="342"/>
      <c r="CA1248" s="343"/>
      <c r="CB1248" s="32"/>
      <c r="CC1248" s="187"/>
      <c r="CD1248" s="187"/>
    </row>
    <row r="1249" spans="1:82" ht="15.95" hidden="1" customHeight="1" x14ac:dyDescent="0.25">
      <c r="A1249" s="957">
        <f t="shared" ca="1" si="41"/>
        <v>0</v>
      </c>
      <c r="BO1249" s="4"/>
      <c r="BP1249" s="5"/>
      <c r="BQ1249" s="5" t="str">
        <f ca="1">IF('Rent Roll'!$AD151=1,'Rent Roll'!E151,"")</f>
        <v/>
      </c>
      <c r="BR1249" s="39" t="str">
        <f ca="1">IF('Rent Roll'!$AD151=1,'Rent Roll'!G151,"")</f>
        <v/>
      </c>
      <c r="BS1249" s="1547" t="str">
        <f ca="1">IF('Rent Roll'!$AD151=1,'Rent Roll'!K151,"")</f>
        <v/>
      </c>
      <c r="BT1249" s="1551" t="str">
        <f ca="1">IF('Rent Roll'!$AD151=1,'Rent Roll'!N151,"")</f>
        <v/>
      </c>
      <c r="BU1249" s="5"/>
      <c r="BV1249" s="6"/>
      <c r="BW1249" s="32"/>
      <c r="BX1249" s="342"/>
      <c r="BY1249" s="343"/>
      <c r="BZ1249" s="342"/>
      <c r="CA1249" s="343"/>
      <c r="CB1249" s="32"/>
      <c r="CC1249" s="187"/>
      <c r="CD1249" s="187"/>
    </row>
    <row r="1250" spans="1:82" ht="15.95" hidden="1" customHeight="1" x14ac:dyDescent="0.25">
      <c r="A1250" s="957">
        <f t="shared" ca="1" si="41"/>
        <v>0</v>
      </c>
      <c r="BO1250" s="4"/>
      <c r="BP1250" s="5"/>
      <c r="BQ1250" s="5" t="str">
        <f ca="1">IF('Rent Roll'!$AD152=1,'Rent Roll'!E152,"")</f>
        <v/>
      </c>
      <c r="BR1250" s="39" t="str">
        <f ca="1">IF('Rent Roll'!$AD152=1,'Rent Roll'!G152,"")</f>
        <v/>
      </c>
      <c r="BS1250" s="1547" t="str">
        <f ca="1">IF('Rent Roll'!$AD152=1,'Rent Roll'!K152,"")</f>
        <v/>
      </c>
      <c r="BT1250" s="1551" t="str">
        <f ca="1">IF('Rent Roll'!$AD152=1,'Rent Roll'!N152,"")</f>
        <v/>
      </c>
      <c r="BU1250" s="5"/>
      <c r="BV1250" s="6"/>
      <c r="BW1250" s="32"/>
      <c r="BX1250" s="342"/>
      <c r="BY1250" s="343"/>
      <c r="BZ1250" s="342"/>
      <c r="CA1250" s="343"/>
      <c r="CB1250" s="32"/>
      <c r="CC1250" s="187"/>
      <c r="CD1250" s="187"/>
    </row>
    <row r="1251" spans="1:82" ht="15.95" hidden="1" customHeight="1" x14ac:dyDescent="0.25">
      <c r="A1251" s="957">
        <f t="shared" ca="1" si="41"/>
        <v>0</v>
      </c>
      <c r="BO1251" s="4"/>
      <c r="BP1251" s="5"/>
      <c r="BQ1251" s="5" t="str">
        <f ca="1">IF('Rent Roll'!$AD153=1,'Rent Roll'!E153,"")</f>
        <v/>
      </c>
      <c r="BR1251" s="39" t="str">
        <f ca="1">IF('Rent Roll'!$AD153=1,'Rent Roll'!G153,"")</f>
        <v/>
      </c>
      <c r="BS1251" s="1547" t="str">
        <f ca="1">IF('Rent Roll'!$AD153=1,'Rent Roll'!K153,"")</f>
        <v/>
      </c>
      <c r="BT1251" s="1551" t="str">
        <f ca="1">IF('Rent Roll'!$AD153=1,'Rent Roll'!N153,"")</f>
        <v/>
      </c>
      <c r="BU1251" s="5"/>
      <c r="BV1251" s="6"/>
      <c r="BW1251" s="32"/>
      <c r="BX1251" s="342"/>
      <c r="BY1251" s="343"/>
      <c r="BZ1251" s="342"/>
      <c r="CA1251" s="343"/>
      <c r="CB1251" s="32"/>
      <c r="CC1251" s="187"/>
      <c r="CD1251" s="187"/>
    </row>
    <row r="1252" spans="1:82" ht="15.95" hidden="1" customHeight="1" x14ac:dyDescent="0.25">
      <c r="A1252" s="957">
        <f t="shared" ca="1" si="41"/>
        <v>0</v>
      </c>
      <c r="BO1252" s="4"/>
      <c r="BP1252" s="5"/>
      <c r="BQ1252" s="5" t="str">
        <f ca="1">IF('Rent Roll'!$AD154=1,'Rent Roll'!E154,"")</f>
        <v/>
      </c>
      <c r="BR1252" s="39" t="str">
        <f ca="1">IF('Rent Roll'!$AD154=1,'Rent Roll'!G154,"")</f>
        <v/>
      </c>
      <c r="BS1252" s="1547" t="str">
        <f ca="1">IF('Rent Roll'!$AD154=1,'Rent Roll'!K154,"")</f>
        <v/>
      </c>
      <c r="BT1252" s="1551" t="str">
        <f ca="1">IF('Rent Roll'!$AD154=1,'Rent Roll'!N154,"")</f>
        <v/>
      </c>
      <c r="BU1252" s="5"/>
      <c r="BV1252" s="6"/>
      <c r="BW1252" s="32"/>
      <c r="BX1252" s="342"/>
      <c r="BY1252" s="343"/>
      <c r="BZ1252" s="342"/>
      <c r="CA1252" s="343"/>
      <c r="CB1252" s="32"/>
      <c r="CC1252" s="187"/>
      <c r="CD1252" s="187"/>
    </row>
    <row r="1253" spans="1:82" ht="15.95" hidden="1" customHeight="1" x14ac:dyDescent="0.25">
      <c r="A1253" s="957">
        <f t="shared" ca="1" si="41"/>
        <v>0</v>
      </c>
      <c r="BO1253" s="4"/>
      <c r="BP1253" s="5"/>
      <c r="BQ1253" s="5" t="str">
        <f ca="1">IF('Rent Roll'!$AD155=1,'Rent Roll'!E155,"")</f>
        <v/>
      </c>
      <c r="BR1253" s="39" t="str">
        <f ca="1">IF('Rent Roll'!$AD155=1,'Rent Roll'!G155,"")</f>
        <v/>
      </c>
      <c r="BS1253" s="1547" t="str">
        <f ca="1">IF('Rent Roll'!$AD155=1,'Rent Roll'!K155,"")</f>
        <v/>
      </c>
      <c r="BT1253" s="1551" t="str">
        <f ca="1">IF('Rent Roll'!$AD155=1,'Rent Roll'!N155,"")</f>
        <v/>
      </c>
      <c r="BU1253" s="5"/>
      <c r="BV1253" s="6"/>
      <c r="BW1253" s="32"/>
      <c r="BX1253" s="342"/>
      <c r="BY1253" s="343"/>
      <c r="BZ1253" s="342"/>
      <c r="CA1253" s="343"/>
      <c r="CB1253" s="32"/>
      <c r="CC1253" s="187"/>
      <c r="CD1253" s="187"/>
    </row>
    <row r="1254" spans="1:82" ht="15.95" hidden="1" customHeight="1" x14ac:dyDescent="0.25">
      <c r="A1254" s="957">
        <f t="shared" ca="1" si="41"/>
        <v>0</v>
      </c>
      <c r="BO1254" s="4"/>
      <c r="BP1254" s="5"/>
      <c r="BQ1254" s="5" t="str">
        <f ca="1">IF('Rent Roll'!$AD156=1,'Rent Roll'!E156,"")</f>
        <v/>
      </c>
      <c r="BR1254" s="39" t="str">
        <f ca="1">IF('Rent Roll'!$AD156=1,'Rent Roll'!G156,"")</f>
        <v/>
      </c>
      <c r="BS1254" s="1547" t="str">
        <f ca="1">IF('Rent Roll'!$AD156=1,'Rent Roll'!K156,"")</f>
        <v/>
      </c>
      <c r="BT1254" s="1551" t="str">
        <f ca="1">IF('Rent Roll'!$AD156=1,'Rent Roll'!N156,"")</f>
        <v/>
      </c>
      <c r="BU1254" s="5"/>
      <c r="BV1254" s="6"/>
      <c r="BW1254" s="32"/>
      <c r="BX1254" s="342"/>
      <c r="BY1254" s="343"/>
      <c r="BZ1254" s="342"/>
      <c r="CA1254" s="343"/>
      <c r="CB1254" s="32"/>
      <c r="CC1254" s="187"/>
      <c r="CD1254" s="187"/>
    </row>
    <row r="1255" spans="1:82" ht="15.95" hidden="1" customHeight="1" x14ac:dyDescent="0.25">
      <c r="A1255" s="957">
        <f t="shared" ca="1" si="41"/>
        <v>0</v>
      </c>
      <c r="BO1255" s="4"/>
      <c r="BP1255" s="5"/>
      <c r="BQ1255" s="5" t="str">
        <f ca="1">IF('Rent Roll'!$AD157=1,'Rent Roll'!E157,"")</f>
        <v/>
      </c>
      <c r="BR1255" s="39" t="str">
        <f ca="1">IF('Rent Roll'!$AD157=1,'Rent Roll'!G157,"")</f>
        <v/>
      </c>
      <c r="BS1255" s="1547" t="str">
        <f ca="1">IF('Rent Roll'!$AD157=1,'Rent Roll'!K157,"")</f>
        <v/>
      </c>
      <c r="BT1255" s="1551" t="str">
        <f ca="1">IF('Rent Roll'!$AD157=1,'Rent Roll'!N157,"")</f>
        <v/>
      </c>
      <c r="BU1255" s="5"/>
      <c r="BV1255" s="6"/>
      <c r="BW1255" s="32"/>
      <c r="BX1255" s="342"/>
      <c r="BY1255" s="343"/>
      <c r="BZ1255" s="342"/>
      <c r="CA1255" s="343"/>
      <c r="CB1255" s="32"/>
      <c r="CC1255" s="187"/>
      <c r="CD1255" s="187"/>
    </row>
    <row r="1256" spans="1:82" ht="15.95" hidden="1" customHeight="1" x14ac:dyDescent="0.25">
      <c r="A1256" s="957">
        <f t="shared" ca="1" si="41"/>
        <v>0</v>
      </c>
      <c r="BO1256" s="4"/>
      <c r="BP1256" s="5"/>
      <c r="BQ1256" s="5" t="str">
        <f ca="1">IF('Rent Roll'!$AD158=1,'Rent Roll'!E158,"")</f>
        <v/>
      </c>
      <c r="BR1256" s="39" t="str">
        <f ca="1">IF('Rent Roll'!$AD158=1,'Rent Roll'!G158,"")</f>
        <v/>
      </c>
      <c r="BS1256" s="1547" t="str">
        <f ca="1">IF('Rent Roll'!$AD158=1,'Rent Roll'!K158,"")</f>
        <v/>
      </c>
      <c r="BT1256" s="1551" t="str">
        <f ca="1">IF('Rent Roll'!$AD158=1,'Rent Roll'!N158,"")</f>
        <v/>
      </c>
      <c r="BU1256" s="5"/>
      <c r="BV1256" s="6"/>
      <c r="BW1256" s="32"/>
      <c r="BX1256" s="342"/>
      <c r="BY1256" s="343"/>
      <c r="BZ1256" s="342"/>
      <c r="CA1256" s="343"/>
      <c r="CB1256" s="32"/>
      <c r="CC1256" s="187"/>
      <c r="CD1256" s="187"/>
    </row>
    <row r="1257" spans="1:82" ht="15.95" hidden="1" customHeight="1" x14ac:dyDescent="0.25">
      <c r="A1257" s="957">
        <f t="shared" ca="1" si="41"/>
        <v>0</v>
      </c>
      <c r="BO1257" s="4"/>
      <c r="BP1257" s="5"/>
      <c r="BQ1257" s="5" t="str">
        <f ca="1">IF('Rent Roll'!$AD159=1,'Rent Roll'!E159,"")</f>
        <v/>
      </c>
      <c r="BR1257" s="39" t="str">
        <f ca="1">IF('Rent Roll'!$AD159=1,'Rent Roll'!G159,"")</f>
        <v/>
      </c>
      <c r="BS1257" s="1547" t="str">
        <f ca="1">IF('Rent Roll'!$AD159=1,'Rent Roll'!K159,"")</f>
        <v/>
      </c>
      <c r="BT1257" s="1551" t="str">
        <f ca="1">IF('Rent Roll'!$AD159=1,'Rent Roll'!N159,"")</f>
        <v/>
      </c>
      <c r="BU1257" s="5"/>
      <c r="BV1257" s="6"/>
      <c r="BW1257" s="32"/>
      <c r="BX1257" s="342"/>
      <c r="BY1257" s="343"/>
      <c r="BZ1257" s="342"/>
      <c r="CA1257" s="343"/>
      <c r="CB1257" s="32"/>
      <c r="CC1257" s="187"/>
      <c r="CD1257" s="187"/>
    </row>
    <row r="1258" spans="1:82" ht="15.95" hidden="1" customHeight="1" x14ac:dyDescent="0.25">
      <c r="A1258" s="957">
        <f t="shared" ca="1" si="41"/>
        <v>0</v>
      </c>
      <c r="BO1258" s="4"/>
      <c r="BP1258" s="5"/>
      <c r="BQ1258" s="5" t="str">
        <f ca="1">IF('Rent Roll'!$AD160=1,'Rent Roll'!E160,"")</f>
        <v/>
      </c>
      <c r="BR1258" s="39" t="str">
        <f ca="1">IF('Rent Roll'!$AD160=1,'Rent Roll'!G160,"")</f>
        <v/>
      </c>
      <c r="BS1258" s="1547" t="str">
        <f ca="1">IF('Rent Roll'!$AD160=1,'Rent Roll'!K160,"")</f>
        <v/>
      </c>
      <c r="BT1258" s="1551" t="str">
        <f ca="1">IF('Rent Roll'!$AD160=1,'Rent Roll'!N160,"")</f>
        <v/>
      </c>
      <c r="BU1258" s="5"/>
      <c r="BV1258" s="6"/>
      <c r="BW1258" s="32"/>
      <c r="BX1258" s="342"/>
      <c r="BY1258" s="343"/>
      <c r="BZ1258" s="342"/>
      <c r="CA1258" s="343"/>
      <c r="CB1258" s="32"/>
      <c r="CC1258" s="187"/>
      <c r="CD1258" s="187"/>
    </row>
    <row r="1259" spans="1:82" ht="15.95" hidden="1" customHeight="1" x14ac:dyDescent="0.25">
      <c r="A1259" s="957">
        <f t="shared" ca="1" si="41"/>
        <v>0</v>
      </c>
      <c r="BO1259" s="4"/>
      <c r="BP1259" s="5"/>
      <c r="BQ1259" s="5" t="str">
        <f ca="1">IF('Rent Roll'!$AD161=1,'Rent Roll'!E161,"")</f>
        <v/>
      </c>
      <c r="BR1259" s="39" t="str">
        <f ca="1">IF('Rent Roll'!$AD161=1,'Rent Roll'!G161,"")</f>
        <v/>
      </c>
      <c r="BS1259" s="1547" t="str">
        <f ca="1">IF('Rent Roll'!$AD161=1,'Rent Roll'!K161,"")</f>
        <v/>
      </c>
      <c r="BT1259" s="1551" t="str">
        <f ca="1">IF('Rent Roll'!$AD161=1,'Rent Roll'!N161,"")</f>
        <v/>
      </c>
      <c r="BU1259" s="5"/>
      <c r="BV1259" s="6"/>
      <c r="BW1259" s="32"/>
      <c r="BX1259" s="342"/>
      <c r="BY1259" s="343"/>
      <c r="BZ1259" s="342"/>
      <c r="CA1259" s="343"/>
      <c r="CB1259" s="32"/>
      <c r="CC1259" s="187"/>
      <c r="CD1259" s="187"/>
    </row>
    <row r="1260" spans="1:82" ht="15.95" hidden="1" customHeight="1" x14ac:dyDescent="0.25">
      <c r="A1260" s="957">
        <f t="shared" ca="1" si="41"/>
        <v>0</v>
      </c>
      <c r="BO1260" s="4"/>
      <c r="BP1260" s="5"/>
      <c r="BQ1260" s="5" t="str">
        <f ca="1">IF('Rent Roll'!$AD162=1,'Rent Roll'!E162,"")</f>
        <v/>
      </c>
      <c r="BR1260" s="39" t="str">
        <f ca="1">IF('Rent Roll'!$AD162=1,'Rent Roll'!G162,"")</f>
        <v/>
      </c>
      <c r="BS1260" s="1547" t="str">
        <f ca="1">IF('Rent Roll'!$AD162=1,'Rent Roll'!K162,"")</f>
        <v/>
      </c>
      <c r="BT1260" s="1551" t="str">
        <f ca="1">IF('Rent Roll'!$AD162=1,'Rent Roll'!N162,"")</f>
        <v/>
      </c>
      <c r="BU1260" s="5"/>
      <c r="BV1260" s="6"/>
      <c r="BW1260" s="32"/>
      <c r="BX1260" s="342"/>
      <c r="BY1260" s="343"/>
      <c r="BZ1260" s="342"/>
      <c r="CA1260" s="343"/>
      <c r="CB1260" s="32"/>
      <c r="CC1260" s="187"/>
      <c r="CD1260" s="187"/>
    </row>
    <row r="1261" spans="1:82" ht="15.95" hidden="1" customHeight="1" x14ac:dyDescent="0.25">
      <c r="A1261" s="957">
        <f t="shared" ca="1" si="41"/>
        <v>0</v>
      </c>
      <c r="BO1261" s="4"/>
      <c r="BP1261" s="5"/>
      <c r="BQ1261" s="5" t="str">
        <f ca="1">IF('Rent Roll'!$AD163=1,'Rent Roll'!E163,"")</f>
        <v/>
      </c>
      <c r="BR1261" s="39" t="str">
        <f ca="1">IF('Rent Roll'!$AD163=1,'Rent Roll'!G163,"")</f>
        <v/>
      </c>
      <c r="BS1261" s="1547" t="str">
        <f ca="1">IF('Rent Roll'!$AD163=1,'Rent Roll'!K163,"")</f>
        <v/>
      </c>
      <c r="BT1261" s="1551" t="str">
        <f ca="1">IF('Rent Roll'!$AD163=1,'Rent Roll'!N163,"")</f>
        <v/>
      </c>
      <c r="BU1261" s="5"/>
      <c r="BV1261" s="6"/>
      <c r="BW1261" s="32"/>
      <c r="BX1261" s="342"/>
      <c r="BY1261" s="343"/>
      <c r="BZ1261" s="342"/>
      <c r="CA1261" s="343"/>
      <c r="CB1261" s="32"/>
      <c r="CC1261" s="187"/>
      <c r="CD1261" s="187"/>
    </row>
    <row r="1262" spans="1:82" ht="15.95" hidden="1" customHeight="1" x14ac:dyDescent="0.25">
      <c r="A1262" s="957">
        <f t="shared" ca="1" si="41"/>
        <v>0</v>
      </c>
      <c r="BO1262" s="4"/>
      <c r="BP1262" s="5"/>
      <c r="BQ1262" s="5" t="str">
        <f ca="1">IF('Rent Roll'!$AD164=1,'Rent Roll'!E164,"")</f>
        <v/>
      </c>
      <c r="BR1262" s="39" t="str">
        <f ca="1">IF('Rent Roll'!$AD164=1,'Rent Roll'!G164,"")</f>
        <v/>
      </c>
      <c r="BS1262" s="1547" t="str">
        <f ca="1">IF('Rent Roll'!$AD164=1,'Rent Roll'!K164,"")</f>
        <v/>
      </c>
      <c r="BT1262" s="1551" t="str">
        <f ca="1">IF('Rent Roll'!$AD164=1,'Rent Roll'!N164,"")</f>
        <v/>
      </c>
      <c r="BU1262" s="5"/>
      <c r="BV1262" s="6"/>
      <c r="BW1262" s="32"/>
      <c r="BX1262" s="342"/>
      <c r="BY1262" s="343"/>
      <c r="BZ1262" s="342"/>
      <c r="CA1262" s="343"/>
      <c r="CB1262" s="32"/>
      <c r="CC1262" s="187"/>
      <c r="CD1262" s="187"/>
    </row>
    <row r="1263" spans="1:82" ht="15.95" hidden="1" customHeight="1" x14ac:dyDescent="0.25">
      <c r="A1263" s="957">
        <f t="shared" ca="1" si="41"/>
        <v>0</v>
      </c>
      <c r="BO1263" s="4"/>
      <c r="BP1263" s="5"/>
      <c r="BQ1263" s="5" t="str">
        <f ca="1">IF('Rent Roll'!$AD165=1,'Rent Roll'!E165,"")</f>
        <v/>
      </c>
      <c r="BR1263" s="39" t="str">
        <f ca="1">IF('Rent Roll'!$AD165=1,'Rent Roll'!G165,"")</f>
        <v/>
      </c>
      <c r="BS1263" s="1547" t="str">
        <f ca="1">IF('Rent Roll'!$AD165=1,'Rent Roll'!K165,"")</f>
        <v/>
      </c>
      <c r="BT1263" s="1551" t="str">
        <f ca="1">IF('Rent Roll'!$AD165=1,'Rent Roll'!N165,"")</f>
        <v/>
      </c>
      <c r="BU1263" s="5"/>
      <c r="BV1263" s="6"/>
      <c r="BW1263" s="32"/>
      <c r="BX1263" s="342"/>
      <c r="BY1263" s="343"/>
      <c r="BZ1263" s="342"/>
      <c r="CA1263" s="343"/>
      <c r="CB1263" s="32"/>
      <c r="CC1263" s="187"/>
      <c r="CD1263" s="187"/>
    </row>
    <row r="1264" spans="1:82" ht="15.95" hidden="1" customHeight="1" x14ac:dyDescent="0.25">
      <c r="A1264" s="957">
        <f t="shared" ca="1" si="41"/>
        <v>0</v>
      </c>
      <c r="BO1264" s="4"/>
      <c r="BP1264" s="5"/>
      <c r="BQ1264" s="5" t="str">
        <f ca="1">IF('Rent Roll'!$AD166=1,'Rent Roll'!E166,"")</f>
        <v/>
      </c>
      <c r="BR1264" s="39" t="str">
        <f ca="1">IF('Rent Roll'!$AD166=1,'Rent Roll'!G166,"")</f>
        <v/>
      </c>
      <c r="BS1264" s="1547" t="str">
        <f ca="1">IF('Rent Roll'!$AD166=1,'Rent Roll'!K166,"")</f>
        <v/>
      </c>
      <c r="BT1264" s="1551" t="str">
        <f ca="1">IF('Rent Roll'!$AD166=1,'Rent Roll'!N166,"")</f>
        <v/>
      </c>
      <c r="BU1264" s="5"/>
      <c r="BV1264" s="6"/>
      <c r="BW1264" s="32"/>
      <c r="BX1264" s="342"/>
      <c r="BY1264" s="343"/>
      <c r="BZ1264" s="342"/>
      <c r="CA1264" s="343"/>
      <c r="CB1264" s="32"/>
      <c r="CC1264" s="187"/>
      <c r="CD1264" s="187"/>
    </row>
    <row r="1265" spans="1:82" ht="15.95" hidden="1" customHeight="1" x14ac:dyDescent="0.25">
      <c r="A1265" s="957">
        <f t="shared" ref="A1265:A1296" ca="1" si="42">IF(BQ1265="",0,1)</f>
        <v>0</v>
      </c>
      <c r="BO1265" s="4"/>
      <c r="BP1265" s="5"/>
      <c r="BQ1265" s="5" t="str">
        <f ca="1">IF('Rent Roll'!$AD167=1,'Rent Roll'!E167,"")</f>
        <v/>
      </c>
      <c r="BR1265" s="39" t="str">
        <f ca="1">IF('Rent Roll'!$AD167=1,'Rent Roll'!G167,"")</f>
        <v/>
      </c>
      <c r="BS1265" s="1547" t="str">
        <f ca="1">IF('Rent Roll'!$AD167=1,'Rent Roll'!K167,"")</f>
        <v/>
      </c>
      <c r="BT1265" s="1551" t="str">
        <f ca="1">IF('Rent Roll'!$AD167=1,'Rent Roll'!N167,"")</f>
        <v/>
      </c>
      <c r="BU1265" s="5"/>
      <c r="BV1265" s="6"/>
      <c r="BW1265" s="32"/>
      <c r="BX1265" s="342"/>
      <c r="BY1265" s="343"/>
      <c r="BZ1265" s="342"/>
      <c r="CA1265" s="343"/>
      <c r="CB1265" s="32"/>
      <c r="CC1265" s="187"/>
      <c r="CD1265" s="187"/>
    </row>
    <row r="1266" spans="1:82" ht="15.95" hidden="1" customHeight="1" x14ac:dyDescent="0.25">
      <c r="A1266" s="957">
        <f t="shared" ca="1" si="42"/>
        <v>0</v>
      </c>
      <c r="BO1266" s="4"/>
      <c r="BP1266" s="5"/>
      <c r="BQ1266" s="5" t="str">
        <f ca="1">IF('Rent Roll'!$AD168=1,'Rent Roll'!E168,"")</f>
        <v/>
      </c>
      <c r="BR1266" s="39" t="str">
        <f ca="1">IF('Rent Roll'!$AD168=1,'Rent Roll'!G168,"")</f>
        <v/>
      </c>
      <c r="BS1266" s="1547" t="str">
        <f ca="1">IF('Rent Roll'!$AD168=1,'Rent Roll'!K168,"")</f>
        <v/>
      </c>
      <c r="BT1266" s="1551" t="str">
        <f ca="1">IF('Rent Roll'!$AD168=1,'Rent Roll'!N168,"")</f>
        <v/>
      </c>
      <c r="BU1266" s="5"/>
      <c r="BV1266" s="6"/>
      <c r="BW1266" s="32"/>
      <c r="BX1266" s="342"/>
      <c r="BY1266" s="343"/>
      <c r="BZ1266" s="342"/>
      <c r="CA1266" s="343"/>
      <c r="CB1266" s="32"/>
      <c r="CC1266" s="187"/>
      <c r="CD1266" s="187"/>
    </row>
    <row r="1267" spans="1:82" ht="15.95" hidden="1" customHeight="1" x14ac:dyDescent="0.25">
      <c r="A1267" s="957">
        <f t="shared" ca="1" si="42"/>
        <v>0</v>
      </c>
      <c r="BO1267" s="4"/>
      <c r="BP1267" s="5"/>
      <c r="BQ1267" s="5" t="str">
        <f ca="1">IF('Rent Roll'!$AD169=1,'Rent Roll'!E169,"")</f>
        <v/>
      </c>
      <c r="BR1267" s="39" t="str">
        <f ca="1">IF('Rent Roll'!$AD169=1,'Rent Roll'!G169,"")</f>
        <v/>
      </c>
      <c r="BS1267" s="1547" t="str">
        <f ca="1">IF('Rent Roll'!$AD169=1,'Rent Roll'!K169,"")</f>
        <v/>
      </c>
      <c r="BT1267" s="1551" t="str">
        <f ca="1">IF('Rent Roll'!$AD169=1,'Rent Roll'!N169,"")</f>
        <v/>
      </c>
      <c r="BU1267" s="5"/>
      <c r="BV1267" s="6"/>
      <c r="BW1267" s="32"/>
      <c r="BX1267" s="342"/>
      <c r="BY1267" s="343"/>
      <c r="BZ1267" s="342"/>
      <c r="CA1267" s="343"/>
      <c r="CB1267" s="32"/>
      <c r="CC1267" s="187"/>
      <c r="CD1267" s="187"/>
    </row>
    <row r="1268" spans="1:82" ht="15.95" hidden="1" customHeight="1" x14ac:dyDescent="0.25">
      <c r="A1268" s="957">
        <f t="shared" ca="1" si="42"/>
        <v>0</v>
      </c>
      <c r="BO1268" s="4"/>
      <c r="BP1268" s="5"/>
      <c r="BQ1268" s="5" t="str">
        <f ca="1">IF('Rent Roll'!$AD170=1,'Rent Roll'!E170,"")</f>
        <v/>
      </c>
      <c r="BR1268" s="39" t="str">
        <f ca="1">IF('Rent Roll'!$AD170=1,'Rent Roll'!G170,"")</f>
        <v/>
      </c>
      <c r="BS1268" s="1547" t="str">
        <f ca="1">IF('Rent Roll'!$AD170=1,'Rent Roll'!K170,"")</f>
        <v/>
      </c>
      <c r="BT1268" s="1551" t="str">
        <f ca="1">IF('Rent Roll'!$AD170=1,'Rent Roll'!N170,"")</f>
        <v/>
      </c>
      <c r="BU1268" s="5"/>
      <c r="BV1268" s="6"/>
      <c r="BW1268" s="32"/>
      <c r="BX1268" s="342"/>
      <c r="BY1268" s="343"/>
      <c r="BZ1268" s="342"/>
      <c r="CA1268" s="343"/>
      <c r="CB1268" s="32"/>
      <c r="CC1268" s="187"/>
      <c r="CD1268" s="187"/>
    </row>
    <row r="1269" spans="1:82" ht="15.95" hidden="1" customHeight="1" x14ac:dyDescent="0.25">
      <c r="A1269" s="957">
        <f t="shared" ca="1" si="42"/>
        <v>0</v>
      </c>
      <c r="BO1269" s="4"/>
      <c r="BP1269" s="5"/>
      <c r="BQ1269" s="5" t="str">
        <f ca="1">IF('Rent Roll'!$AD171=1,'Rent Roll'!E171,"")</f>
        <v/>
      </c>
      <c r="BR1269" s="39" t="str">
        <f ca="1">IF('Rent Roll'!$AD171=1,'Rent Roll'!G171,"")</f>
        <v/>
      </c>
      <c r="BS1269" s="1547" t="str">
        <f ca="1">IF('Rent Roll'!$AD171=1,'Rent Roll'!K171,"")</f>
        <v/>
      </c>
      <c r="BT1269" s="1551" t="str">
        <f ca="1">IF('Rent Roll'!$AD171=1,'Rent Roll'!N171,"")</f>
        <v/>
      </c>
      <c r="BU1269" s="5"/>
      <c r="BV1269" s="6"/>
      <c r="BW1269" s="32"/>
      <c r="BX1269" s="342"/>
      <c r="BY1269" s="343"/>
      <c r="BZ1269" s="342"/>
      <c r="CA1269" s="343"/>
      <c r="CB1269" s="32"/>
      <c r="CC1269" s="187"/>
      <c r="CD1269" s="187"/>
    </row>
    <row r="1270" spans="1:82" ht="15.95" hidden="1" customHeight="1" x14ac:dyDescent="0.25">
      <c r="A1270" s="957">
        <f t="shared" ca="1" si="42"/>
        <v>0</v>
      </c>
      <c r="BO1270" s="4"/>
      <c r="BP1270" s="5"/>
      <c r="BQ1270" s="5" t="str">
        <f ca="1">IF('Rent Roll'!$AD172=1,'Rent Roll'!E172,"")</f>
        <v/>
      </c>
      <c r="BR1270" s="39" t="str">
        <f ca="1">IF('Rent Roll'!$AD172=1,'Rent Roll'!G172,"")</f>
        <v/>
      </c>
      <c r="BS1270" s="1547" t="str">
        <f ca="1">IF('Rent Roll'!$AD172=1,'Rent Roll'!K172,"")</f>
        <v/>
      </c>
      <c r="BT1270" s="1551" t="str">
        <f ca="1">IF('Rent Roll'!$AD172=1,'Rent Roll'!N172,"")</f>
        <v/>
      </c>
      <c r="BU1270" s="5"/>
      <c r="BV1270" s="6"/>
      <c r="BW1270" s="32"/>
      <c r="BX1270" s="342"/>
      <c r="BY1270" s="343"/>
      <c r="BZ1270" s="342"/>
      <c r="CA1270" s="343"/>
      <c r="CB1270" s="32"/>
      <c r="CC1270" s="187"/>
      <c r="CD1270" s="187"/>
    </row>
    <row r="1271" spans="1:82" ht="15.95" hidden="1" customHeight="1" x14ac:dyDescent="0.25">
      <c r="A1271" s="957">
        <f t="shared" ca="1" si="42"/>
        <v>0</v>
      </c>
      <c r="BO1271" s="4"/>
      <c r="BP1271" s="5"/>
      <c r="BQ1271" s="5" t="str">
        <f ca="1">IF('Rent Roll'!$AD173=1,'Rent Roll'!E173,"")</f>
        <v/>
      </c>
      <c r="BR1271" s="39" t="str">
        <f ca="1">IF('Rent Roll'!$AD173=1,'Rent Roll'!G173,"")</f>
        <v/>
      </c>
      <c r="BS1271" s="1547" t="str">
        <f ca="1">IF('Rent Roll'!$AD173=1,'Rent Roll'!K173,"")</f>
        <v/>
      </c>
      <c r="BT1271" s="1551" t="str">
        <f ca="1">IF('Rent Roll'!$AD173=1,'Rent Roll'!N173,"")</f>
        <v/>
      </c>
      <c r="BU1271" s="5"/>
      <c r="BV1271" s="6"/>
      <c r="BW1271" s="32"/>
      <c r="BX1271" s="342"/>
      <c r="BY1271" s="343"/>
      <c r="BZ1271" s="342"/>
      <c r="CA1271" s="343"/>
      <c r="CB1271" s="32"/>
      <c r="CC1271" s="187"/>
      <c r="CD1271" s="187"/>
    </row>
    <row r="1272" spans="1:82" ht="15.95" hidden="1" customHeight="1" x14ac:dyDescent="0.25">
      <c r="A1272" s="957">
        <f t="shared" ca="1" si="42"/>
        <v>0</v>
      </c>
      <c r="BO1272" s="4"/>
      <c r="BP1272" s="5"/>
      <c r="BQ1272" s="5" t="str">
        <f ca="1">IF('Rent Roll'!$AD174=1,'Rent Roll'!E174,"")</f>
        <v/>
      </c>
      <c r="BR1272" s="39" t="str">
        <f ca="1">IF('Rent Roll'!$AD174=1,'Rent Roll'!G174,"")</f>
        <v/>
      </c>
      <c r="BS1272" s="1547" t="str">
        <f ca="1">IF('Rent Roll'!$AD174=1,'Rent Roll'!K174,"")</f>
        <v/>
      </c>
      <c r="BT1272" s="1551" t="str">
        <f ca="1">IF('Rent Roll'!$AD174=1,'Rent Roll'!N174,"")</f>
        <v/>
      </c>
      <c r="BU1272" s="5"/>
      <c r="BV1272" s="6"/>
      <c r="BW1272" s="32"/>
      <c r="BX1272" s="342"/>
      <c r="BY1272" s="343"/>
      <c r="BZ1272" s="342"/>
      <c r="CA1272" s="343"/>
      <c r="CB1272" s="32"/>
      <c r="CC1272" s="187"/>
      <c r="CD1272" s="187"/>
    </row>
    <row r="1273" spans="1:82" ht="15.95" hidden="1" customHeight="1" x14ac:dyDescent="0.25">
      <c r="A1273" s="957">
        <f t="shared" ca="1" si="42"/>
        <v>0</v>
      </c>
      <c r="BO1273" s="4"/>
      <c r="BP1273" s="5"/>
      <c r="BQ1273" s="5" t="str">
        <f ca="1">IF('Rent Roll'!$AD175=1,'Rent Roll'!E175,"")</f>
        <v/>
      </c>
      <c r="BR1273" s="39" t="str">
        <f ca="1">IF('Rent Roll'!$AD175=1,'Rent Roll'!G175,"")</f>
        <v/>
      </c>
      <c r="BS1273" s="1547" t="str">
        <f ca="1">IF('Rent Roll'!$AD175=1,'Rent Roll'!K175,"")</f>
        <v/>
      </c>
      <c r="BT1273" s="1551" t="str">
        <f ca="1">IF('Rent Roll'!$AD175=1,'Rent Roll'!N175,"")</f>
        <v/>
      </c>
      <c r="BU1273" s="5"/>
      <c r="BV1273" s="6"/>
      <c r="BW1273" s="32"/>
      <c r="BX1273" s="342"/>
      <c r="BY1273" s="343"/>
      <c r="BZ1273" s="342"/>
      <c r="CA1273" s="343"/>
      <c r="CB1273" s="32"/>
      <c r="CC1273" s="187"/>
      <c r="CD1273" s="187"/>
    </row>
    <row r="1274" spans="1:82" ht="15.95" hidden="1" customHeight="1" x14ac:dyDescent="0.25">
      <c r="A1274" s="957">
        <f t="shared" ca="1" si="42"/>
        <v>0</v>
      </c>
      <c r="BO1274" s="4"/>
      <c r="BP1274" s="5"/>
      <c r="BQ1274" s="5" t="str">
        <f ca="1">IF('Rent Roll'!$AD176=1,'Rent Roll'!E176,"")</f>
        <v/>
      </c>
      <c r="BR1274" s="39" t="str">
        <f ca="1">IF('Rent Roll'!$AD176=1,'Rent Roll'!G176,"")</f>
        <v/>
      </c>
      <c r="BS1274" s="1547" t="str">
        <f ca="1">IF('Rent Roll'!$AD176=1,'Rent Roll'!K176,"")</f>
        <v/>
      </c>
      <c r="BT1274" s="1551" t="str">
        <f ca="1">IF('Rent Roll'!$AD176=1,'Rent Roll'!N176,"")</f>
        <v/>
      </c>
      <c r="BU1274" s="5"/>
      <c r="BV1274" s="6"/>
      <c r="BW1274" s="32"/>
      <c r="BX1274" s="342"/>
      <c r="BY1274" s="343"/>
      <c r="BZ1274" s="342"/>
      <c r="CA1274" s="343"/>
      <c r="CB1274" s="32"/>
      <c r="CC1274" s="187"/>
      <c r="CD1274" s="187"/>
    </row>
    <row r="1275" spans="1:82" ht="15.95" hidden="1" customHeight="1" x14ac:dyDescent="0.25">
      <c r="A1275" s="957">
        <f t="shared" ca="1" si="42"/>
        <v>0</v>
      </c>
      <c r="BO1275" s="4"/>
      <c r="BP1275" s="5"/>
      <c r="BQ1275" s="5" t="str">
        <f ca="1">IF('Rent Roll'!$AD177=1,'Rent Roll'!E177,"")</f>
        <v/>
      </c>
      <c r="BR1275" s="39" t="str">
        <f ca="1">IF('Rent Roll'!$AD177=1,'Rent Roll'!G177,"")</f>
        <v/>
      </c>
      <c r="BS1275" s="1547" t="str">
        <f ca="1">IF('Rent Roll'!$AD177=1,'Rent Roll'!K177,"")</f>
        <v/>
      </c>
      <c r="BT1275" s="1551" t="str">
        <f ca="1">IF('Rent Roll'!$AD177=1,'Rent Roll'!N177,"")</f>
        <v/>
      </c>
      <c r="BU1275" s="5"/>
      <c r="BV1275" s="6"/>
      <c r="BW1275" s="32"/>
      <c r="BX1275" s="342"/>
      <c r="BY1275" s="343"/>
      <c r="BZ1275" s="342"/>
      <c r="CA1275" s="343"/>
      <c r="CB1275" s="32"/>
      <c r="CC1275" s="187"/>
      <c r="CD1275" s="187"/>
    </row>
    <row r="1276" spans="1:82" ht="15.95" hidden="1" customHeight="1" x14ac:dyDescent="0.25">
      <c r="A1276" s="957">
        <f t="shared" ca="1" si="42"/>
        <v>0</v>
      </c>
      <c r="BO1276" s="4"/>
      <c r="BP1276" s="5"/>
      <c r="BQ1276" s="5" t="str">
        <f ca="1">IF('Rent Roll'!$AD178=1,'Rent Roll'!E178,"")</f>
        <v/>
      </c>
      <c r="BR1276" s="39" t="str">
        <f ca="1">IF('Rent Roll'!$AD178=1,'Rent Roll'!G178,"")</f>
        <v/>
      </c>
      <c r="BS1276" s="1547" t="str">
        <f ca="1">IF('Rent Roll'!$AD178=1,'Rent Roll'!K178,"")</f>
        <v/>
      </c>
      <c r="BT1276" s="1551" t="str">
        <f ca="1">IF('Rent Roll'!$AD178=1,'Rent Roll'!N178,"")</f>
        <v/>
      </c>
      <c r="BU1276" s="5"/>
      <c r="BV1276" s="6"/>
      <c r="BW1276" s="32"/>
      <c r="BX1276" s="342"/>
      <c r="BY1276" s="343"/>
      <c r="BZ1276" s="342"/>
      <c r="CA1276" s="343"/>
      <c r="CB1276" s="32"/>
      <c r="CC1276" s="187"/>
      <c r="CD1276" s="187"/>
    </row>
    <row r="1277" spans="1:82" ht="15.95" hidden="1" customHeight="1" x14ac:dyDescent="0.25">
      <c r="A1277" s="957">
        <f t="shared" ca="1" si="42"/>
        <v>0</v>
      </c>
      <c r="BO1277" s="4"/>
      <c r="BP1277" s="5"/>
      <c r="BQ1277" s="5" t="str">
        <f ca="1">IF('Rent Roll'!$AD179=1,'Rent Roll'!E179,"")</f>
        <v/>
      </c>
      <c r="BR1277" s="39" t="str">
        <f ca="1">IF('Rent Roll'!$AD179=1,'Rent Roll'!G179,"")</f>
        <v/>
      </c>
      <c r="BS1277" s="1547" t="str">
        <f ca="1">IF('Rent Roll'!$AD179=1,'Rent Roll'!K179,"")</f>
        <v/>
      </c>
      <c r="BT1277" s="1551" t="str">
        <f ca="1">IF('Rent Roll'!$AD179=1,'Rent Roll'!N179,"")</f>
        <v/>
      </c>
      <c r="BU1277" s="5"/>
      <c r="BV1277" s="6"/>
      <c r="BW1277" s="32"/>
      <c r="BX1277" s="342"/>
      <c r="BY1277" s="343"/>
      <c r="BZ1277" s="342"/>
      <c r="CA1277" s="343"/>
      <c r="CB1277" s="32"/>
      <c r="CC1277" s="187"/>
      <c r="CD1277" s="187"/>
    </row>
    <row r="1278" spans="1:82" ht="15.95" hidden="1" customHeight="1" x14ac:dyDescent="0.25">
      <c r="A1278" s="957">
        <f t="shared" ca="1" si="42"/>
        <v>0</v>
      </c>
      <c r="BO1278" s="4"/>
      <c r="BP1278" s="5"/>
      <c r="BQ1278" s="5" t="str">
        <f ca="1">IF('Rent Roll'!$AD180=1,'Rent Roll'!E180,"")</f>
        <v/>
      </c>
      <c r="BR1278" s="39" t="str">
        <f ca="1">IF('Rent Roll'!$AD180=1,'Rent Roll'!G180,"")</f>
        <v/>
      </c>
      <c r="BS1278" s="1547" t="str">
        <f ca="1">IF('Rent Roll'!$AD180=1,'Rent Roll'!K180,"")</f>
        <v/>
      </c>
      <c r="BT1278" s="1551" t="str">
        <f ca="1">IF('Rent Roll'!$AD180=1,'Rent Roll'!N180,"")</f>
        <v/>
      </c>
      <c r="BU1278" s="5"/>
      <c r="BV1278" s="6"/>
      <c r="BW1278" s="32"/>
      <c r="BX1278" s="342"/>
      <c r="BY1278" s="343"/>
      <c r="BZ1278" s="342"/>
      <c r="CA1278" s="343"/>
      <c r="CB1278" s="32"/>
      <c r="CC1278" s="187"/>
      <c r="CD1278" s="187"/>
    </row>
    <row r="1279" spans="1:82" ht="15.95" hidden="1" customHeight="1" x14ac:dyDescent="0.25">
      <c r="A1279" s="957">
        <f t="shared" ca="1" si="42"/>
        <v>0</v>
      </c>
      <c r="BO1279" s="4"/>
      <c r="BP1279" s="5"/>
      <c r="BQ1279" s="5" t="str">
        <f ca="1">IF('Rent Roll'!$AD181=1,'Rent Roll'!E181,"")</f>
        <v/>
      </c>
      <c r="BR1279" s="39" t="str">
        <f ca="1">IF('Rent Roll'!$AD181=1,'Rent Roll'!G181,"")</f>
        <v/>
      </c>
      <c r="BS1279" s="1547" t="str">
        <f ca="1">IF('Rent Roll'!$AD181=1,'Rent Roll'!K181,"")</f>
        <v/>
      </c>
      <c r="BT1279" s="1551" t="str">
        <f ca="1">IF('Rent Roll'!$AD181=1,'Rent Roll'!N181,"")</f>
        <v/>
      </c>
      <c r="BU1279" s="5"/>
      <c r="BV1279" s="6"/>
      <c r="BW1279" s="32"/>
      <c r="BX1279" s="342"/>
      <c r="BY1279" s="343"/>
      <c r="BZ1279" s="342"/>
      <c r="CA1279" s="343"/>
      <c r="CB1279" s="32"/>
      <c r="CC1279" s="187"/>
      <c r="CD1279" s="187"/>
    </row>
    <row r="1280" spans="1:82" ht="15.95" hidden="1" customHeight="1" x14ac:dyDescent="0.25">
      <c r="A1280" s="957">
        <f t="shared" ca="1" si="42"/>
        <v>0</v>
      </c>
      <c r="BO1280" s="4"/>
      <c r="BP1280" s="5"/>
      <c r="BQ1280" s="5" t="str">
        <f ca="1">IF('Rent Roll'!$AD182=1,'Rent Roll'!E182,"")</f>
        <v/>
      </c>
      <c r="BR1280" s="39" t="str">
        <f ca="1">IF('Rent Roll'!$AD182=1,'Rent Roll'!G182,"")</f>
        <v/>
      </c>
      <c r="BS1280" s="1547" t="str">
        <f ca="1">IF('Rent Roll'!$AD182=1,'Rent Roll'!K182,"")</f>
        <v/>
      </c>
      <c r="BT1280" s="1551" t="str">
        <f ca="1">IF('Rent Roll'!$AD182=1,'Rent Roll'!N182,"")</f>
        <v/>
      </c>
      <c r="BU1280" s="5"/>
      <c r="BV1280" s="6"/>
      <c r="BW1280" s="32"/>
      <c r="BX1280" s="342"/>
      <c r="BY1280" s="343"/>
      <c r="BZ1280" s="342"/>
      <c r="CA1280" s="343"/>
      <c r="CB1280" s="32"/>
      <c r="CC1280" s="187"/>
      <c r="CD1280" s="187"/>
    </row>
    <row r="1281" spans="1:82" ht="15.95" hidden="1" customHeight="1" x14ac:dyDescent="0.25">
      <c r="A1281" s="957">
        <f t="shared" ca="1" si="42"/>
        <v>0</v>
      </c>
      <c r="BO1281" s="4"/>
      <c r="BP1281" s="5"/>
      <c r="BQ1281" s="5" t="str">
        <f ca="1">IF('Rent Roll'!$AD183=1,'Rent Roll'!E183,"")</f>
        <v/>
      </c>
      <c r="BR1281" s="39" t="str">
        <f ca="1">IF('Rent Roll'!$AD183=1,'Rent Roll'!G183,"")</f>
        <v/>
      </c>
      <c r="BS1281" s="1547" t="str">
        <f ca="1">IF('Rent Roll'!$AD183=1,'Rent Roll'!K183,"")</f>
        <v/>
      </c>
      <c r="BT1281" s="1551" t="str">
        <f ca="1">IF('Rent Roll'!$AD183=1,'Rent Roll'!N183,"")</f>
        <v/>
      </c>
      <c r="BU1281" s="5"/>
      <c r="BV1281" s="6"/>
      <c r="BW1281" s="32"/>
      <c r="BX1281" s="342"/>
      <c r="BY1281" s="343"/>
      <c r="BZ1281" s="342"/>
      <c r="CA1281" s="343"/>
      <c r="CB1281" s="32"/>
      <c r="CC1281" s="187"/>
      <c r="CD1281" s="187"/>
    </row>
    <row r="1282" spans="1:82" ht="15.95" hidden="1" customHeight="1" x14ac:dyDescent="0.25">
      <c r="A1282" s="957">
        <f t="shared" ca="1" si="42"/>
        <v>0</v>
      </c>
      <c r="BO1282" s="4"/>
      <c r="BP1282" s="5"/>
      <c r="BQ1282" s="5" t="str">
        <f ca="1">IF('Rent Roll'!$AD184=1,'Rent Roll'!E184,"")</f>
        <v/>
      </c>
      <c r="BR1282" s="39" t="str">
        <f ca="1">IF('Rent Roll'!$AD184=1,'Rent Roll'!G184,"")</f>
        <v/>
      </c>
      <c r="BS1282" s="1547" t="str">
        <f ca="1">IF('Rent Roll'!$AD184=1,'Rent Roll'!K184,"")</f>
        <v/>
      </c>
      <c r="BT1282" s="1551" t="str">
        <f ca="1">IF('Rent Roll'!$AD184=1,'Rent Roll'!N184,"")</f>
        <v/>
      </c>
      <c r="BU1282" s="5"/>
      <c r="BV1282" s="6"/>
      <c r="BW1282" s="32"/>
      <c r="BX1282" s="342"/>
      <c r="BY1282" s="343"/>
      <c r="BZ1282" s="342"/>
      <c r="CA1282" s="343"/>
      <c r="CB1282" s="32"/>
      <c r="CC1282" s="187"/>
      <c r="CD1282" s="187"/>
    </row>
    <row r="1283" spans="1:82" ht="15.95" hidden="1" customHeight="1" x14ac:dyDescent="0.25">
      <c r="A1283" s="957">
        <f t="shared" ca="1" si="42"/>
        <v>0</v>
      </c>
      <c r="BO1283" s="4"/>
      <c r="BP1283" s="5"/>
      <c r="BQ1283" s="5" t="str">
        <f ca="1">IF('Rent Roll'!$AD185=1,'Rent Roll'!E185,"")</f>
        <v/>
      </c>
      <c r="BR1283" s="39" t="str">
        <f ca="1">IF('Rent Roll'!$AD185=1,'Rent Roll'!G185,"")</f>
        <v/>
      </c>
      <c r="BS1283" s="1547" t="str">
        <f ca="1">IF('Rent Roll'!$AD185=1,'Rent Roll'!K185,"")</f>
        <v/>
      </c>
      <c r="BT1283" s="1551" t="str">
        <f ca="1">IF('Rent Roll'!$AD185=1,'Rent Roll'!N185,"")</f>
        <v/>
      </c>
      <c r="BU1283" s="5"/>
      <c r="BV1283" s="6"/>
      <c r="BW1283" s="32"/>
      <c r="BX1283" s="342"/>
      <c r="BY1283" s="343"/>
      <c r="BZ1283" s="342"/>
      <c r="CA1283" s="343"/>
      <c r="CB1283" s="32"/>
      <c r="CC1283" s="187"/>
      <c r="CD1283" s="187"/>
    </row>
    <row r="1284" spans="1:82" ht="15.95" hidden="1" customHeight="1" x14ac:dyDescent="0.25">
      <c r="A1284" s="957">
        <f t="shared" ca="1" si="42"/>
        <v>0</v>
      </c>
      <c r="BO1284" s="4"/>
      <c r="BP1284" s="5"/>
      <c r="BQ1284" s="5" t="str">
        <f ca="1">IF('Rent Roll'!$AD186=1,'Rent Roll'!E186,"")</f>
        <v/>
      </c>
      <c r="BR1284" s="39" t="str">
        <f ca="1">IF('Rent Roll'!$AD186=1,'Rent Roll'!G186,"")</f>
        <v/>
      </c>
      <c r="BS1284" s="1547" t="str">
        <f ca="1">IF('Rent Roll'!$AD186=1,'Rent Roll'!K186,"")</f>
        <v/>
      </c>
      <c r="BT1284" s="1551" t="str">
        <f ca="1">IF('Rent Roll'!$AD186=1,'Rent Roll'!N186,"")</f>
        <v/>
      </c>
      <c r="BU1284" s="5"/>
      <c r="BV1284" s="6"/>
      <c r="BW1284" s="32"/>
      <c r="BX1284" s="342"/>
      <c r="BY1284" s="343"/>
      <c r="BZ1284" s="342"/>
      <c r="CA1284" s="343"/>
      <c r="CB1284" s="32"/>
      <c r="CC1284" s="187"/>
      <c r="CD1284" s="187"/>
    </row>
    <row r="1285" spans="1:82" ht="15.95" hidden="1" customHeight="1" x14ac:dyDescent="0.25">
      <c r="A1285" s="957">
        <f t="shared" ca="1" si="42"/>
        <v>0</v>
      </c>
      <c r="BO1285" s="4"/>
      <c r="BP1285" s="5"/>
      <c r="BQ1285" s="5" t="str">
        <f ca="1">IF('Rent Roll'!$AD187=1,'Rent Roll'!E187,"")</f>
        <v/>
      </c>
      <c r="BR1285" s="39" t="str">
        <f ca="1">IF('Rent Roll'!$AD187=1,'Rent Roll'!G187,"")</f>
        <v/>
      </c>
      <c r="BS1285" s="1547" t="str">
        <f ca="1">IF('Rent Roll'!$AD187=1,'Rent Roll'!K187,"")</f>
        <v/>
      </c>
      <c r="BT1285" s="1551" t="str">
        <f ca="1">IF('Rent Roll'!$AD187=1,'Rent Roll'!N187,"")</f>
        <v/>
      </c>
      <c r="BU1285" s="5"/>
      <c r="BV1285" s="6"/>
      <c r="BW1285" s="32"/>
      <c r="BX1285" s="342"/>
      <c r="BY1285" s="343"/>
      <c r="BZ1285" s="342"/>
      <c r="CA1285" s="343"/>
      <c r="CB1285" s="32"/>
      <c r="CC1285" s="187"/>
      <c r="CD1285" s="187"/>
    </row>
    <row r="1286" spans="1:82" ht="15.95" hidden="1" customHeight="1" x14ac:dyDescent="0.25">
      <c r="A1286" s="957">
        <f t="shared" ca="1" si="42"/>
        <v>0</v>
      </c>
      <c r="BO1286" s="4"/>
      <c r="BP1286" s="5"/>
      <c r="BQ1286" s="5" t="str">
        <f ca="1">IF('Rent Roll'!$AD188=1,'Rent Roll'!E188,"")</f>
        <v/>
      </c>
      <c r="BR1286" s="39" t="str">
        <f ca="1">IF('Rent Roll'!$AD188=1,'Rent Roll'!G188,"")</f>
        <v/>
      </c>
      <c r="BS1286" s="1547" t="str">
        <f ca="1">IF('Rent Roll'!$AD188=1,'Rent Roll'!K188,"")</f>
        <v/>
      </c>
      <c r="BT1286" s="1551" t="str">
        <f ca="1">IF('Rent Roll'!$AD188=1,'Rent Roll'!N188,"")</f>
        <v/>
      </c>
      <c r="BU1286" s="5"/>
      <c r="BV1286" s="6"/>
      <c r="BW1286" s="32"/>
      <c r="BX1286" s="342"/>
      <c r="BY1286" s="343"/>
      <c r="BZ1286" s="342"/>
      <c r="CA1286" s="343"/>
      <c r="CB1286" s="32"/>
      <c r="CC1286" s="187"/>
      <c r="CD1286" s="187"/>
    </row>
    <row r="1287" spans="1:82" ht="15.95" hidden="1" customHeight="1" x14ac:dyDescent="0.25">
      <c r="A1287" s="957">
        <f t="shared" ca="1" si="42"/>
        <v>0</v>
      </c>
      <c r="BO1287" s="4"/>
      <c r="BP1287" s="5"/>
      <c r="BQ1287" s="5" t="str">
        <f ca="1">IF('Rent Roll'!$AD189=1,'Rent Roll'!E189,"")</f>
        <v/>
      </c>
      <c r="BR1287" s="39" t="str">
        <f ca="1">IF('Rent Roll'!$AD189=1,'Rent Roll'!G189,"")</f>
        <v/>
      </c>
      <c r="BS1287" s="1547" t="str">
        <f ca="1">IF('Rent Roll'!$AD189=1,'Rent Roll'!K189,"")</f>
        <v/>
      </c>
      <c r="BT1287" s="1551" t="str">
        <f ca="1">IF('Rent Roll'!$AD189=1,'Rent Roll'!N189,"")</f>
        <v/>
      </c>
      <c r="BU1287" s="5"/>
      <c r="BV1287" s="6"/>
      <c r="BW1287" s="32"/>
      <c r="BX1287" s="342"/>
      <c r="BY1287" s="343"/>
      <c r="BZ1287" s="342"/>
      <c r="CA1287" s="343"/>
      <c r="CB1287" s="32"/>
      <c r="CC1287" s="187"/>
      <c r="CD1287" s="187"/>
    </row>
    <row r="1288" spans="1:82" ht="15.95" hidden="1" customHeight="1" x14ac:dyDescent="0.25">
      <c r="A1288" s="957">
        <f t="shared" ca="1" si="42"/>
        <v>0</v>
      </c>
      <c r="BO1288" s="4"/>
      <c r="BP1288" s="5"/>
      <c r="BQ1288" s="5" t="str">
        <f ca="1">IF('Rent Roll'!$AD190=1,'Rent Roll'!E190,"")</f>
        <v/>
      </c>
      <c r="BR1288" s="39" t="str">
        <f ca="1">IF('Rent Roll'!$AD190=1,'Rent Roll'!G190,"")</f>
        <v/>
      </c>
      <c r="BS1288" s="1547" t="str">
        <f ca="1">IF('Rent Roll'!$AD190=1,'Rent Roll'!K190,"")</f>
        <v/>
      </c>
      <c r="BT1288" s="1551" t="str">
        <f ca="1">IF('Rent Roll'!$AD190=1,'Rent Roll'!N190,"")</f>
        <v/>
      </c>
      <c r="BU1288" s="5"/>
      <c r="BV1288" s="6"/>
      <c r="BW1288" s="32"/>
      <c r="BX1288" s="342"/>
      <c r="BY1288" s="343"/>
      <c r="BZ1288" s="342"/>
      <c r="CA1288" s="343"/>
      <c r="CB1288" s="32"/>
      <c r="CC1288" s="187"/>
      <c r="CD1288" s="187"/>
    </row>
    <row r="1289" spans="1:82" ht="15.95" hidden="1" customHeight="1" x14ac:dyDescent="0.25">
      <c r="A1289" s="957">
        <f t="shared" ca="1" si="42"/>
        <v>0</v>
      </c>
      <c r="BO1289" s="4"/>
      <c r="BP1289" s="5"/>
      <c r="BQ1289" s="5" t="str">
        <f ca="1">IF('Rent Roll'!$AD191=1,'Rent Roll'!E191,"")</f>
        <v/>
      </c>
      <c r="BR1289" s="39" t="str">
        <f ca="1">IF('Rent Roll'!$AD191=1,'Rent Roll'!G191,"")</f>
        <v/>
      </c>
      <c r="BS1289" s="1547" t="str">
        <f ca="1">IF('Rent Roll'!$AD191=1,'Rent Roll'!K191,"")</f>
        <v/>
      </c>
      <c r="BT1289" s="1551" t="str">
        <f ca="1">IF('Rent Roll'!$AD191=1,'Rent Roll'!N191,"")</f>
        <v/>
      </c>
      <c r="BU1289" s="5"/>
      <c r="BV1289" s="6"/>
      <c r="BW1289" s="32"/>
      <c r="BX1289" s="342"/>
      <c r="BY1289" s="343"/>
      <c r="BZ1289" s="342"/>
      <c r="CA1289" s="343"/>
      <c r="CB1289" s="32"/>
      <c r="CC1289" s="187"/>
      <c r="CD1289" s="187"/>
    </row>
    <row r="1290" spans="1:82" ht="15.95" hidden="1" customHeight="1" x14ac:dyDescent="0.25">
      <c r="A1290" s="957">
        <f t="shared" ca="1" si="42"/>
        <v>0</v>
      </c>
      <c r="BO1290" s="4"/>
      <c r="BP1290" s="5"/>
      <c r="BQ1290" s="5" t="str">
        <f ca="1">IF('Rent Roll'!$AD192=1,'Rent Roll'!E192,"")</f>
        <v/>
      </c>
      <c r="BR1290" s="39" t="str">
        <f ca="1">IF('Rent Roll'!$AD192=1,'Rent Roll'!G192,"")</f>
        <v/>
      </c>
      <c r="BS1290" s="1547" t="str">
        <f ca="1">IF('Rent Roll'!$AD192=1,'Rent Roll'!K192,"")</f>
        <v/>
      </c>
      <c r="BT1290" s="1551" t="str">
        <f ca="1">IF('Rent Roll'!$AD192=1,'Rent Roll'!N192,"")</f>
        <v/>
      </c>
      <c r="BU1290" s="5"/>
      <c r="BV1290" s="6"/>
      <c r="BW1290" s="32"/>
      <c r="BX1290" s="342"/>
      <c r="BY1290" s="343"/>
      <c r="BZ1290" s="342"/>
      <c r="CA1290" s="343"/>
      <c r="CB1290" s="32"/>
      <c r="CC1290" s="187"/>
      <c r="CD1290" s="187"/>
    </row>
    <row r="1291" spans="1:82" ht="15.95" hidden="1" customHeight="1" x14ac:dyDescent="0.25">
      <c r="A1291" s="957">
        <f t="shared" ca="1" si="42"/>
        <v>0</v>
      </c>
      <c r="BO1291" s="4"/>
      <c r="BP1291" s="5"/>
      <c r="BQ1291" s="5" t="str">
        <f ca="1">IF('Rent Roll'!$AD193=1,'Rent Roll'!E193,"")</f>
        <v/>
      </c>
      <c r="BR1291" s="39" t="str">
        <f ca="1">IF('Rent Roll'!$AD193=1,'Rent Roll'!G193,"")</f>
        <v/>
      </c>
      <c r="BS1291" s="1547" t="str">
        <f ca="1">IF('Rent Roll'!$AD193=1,'Rent Roll'!K193,"")</f>
        <v/>
      </c>
      <c r="BT1291" s="1551" t="str">
        <f ca="1">IF('Rent Roll'!$AD193=1,'Rent Roll'!N193,"")</f>
        <v/>
      </c>
      <c r="BU1291" s="5"/>
      <c r="BV1291" s="6"/>
      <c r="BW1291" s="32"/>
      <c r="BX1291" s="342"/>
      <c r="BY1291" s="343"/>
      <c r="BZ1291" s="342"/>
      <c r="CA1291" s="343"/>
      <c r="CB1291" s="32"/>
      <c r="CC1291" s="187"/>
      <c r="CD1291" s="187"/>
    </row>
    <row r="1292" spans="1:82" ht="15.95" hidden="1" customHeight="1" x14ac:dyDescent="0.25">
      <c r="A1292" s="957">
        <f t="shared" ca="1" si="42"/>
        <v>0</v>
      </c>
      <c r="BO1292" s="4"/>
      <c r="BP1292" s="5"/>
      <c r="BQ1292" s="5" t="str">
        <f ca="1">IF('Rent Roll'!$AD194=1,'Rent Roll'!E194,"")</f>
        <v/>
      </c>
      <c r="BR1292" s="39" t="str">
        <f ca="1">IF('Rent Roll'!$AD194=1,'Rent Roll'!G194,"")</f>
        <v/>
      </c>
      <c r="BS1292" s="1547" t="str">
        <f ca="1">IF('Rent Roll'!$AD194=1,'Rent Roll'!K194,"")</f>
        <v/>
      </c>
      <c r="BT1292" s="1551" t="str">
        <f ca="1">IF('Rent Roll'!$AD194=1,'Rent Roll'!N194,"")</f>
        <v/>
      </c>
      <c r="BU1292" s="5"/>
      <c r="BV1292" s="6"/>
      <c r="BW1292" s="32"/>
      <c r="BX1292" s="342"/>
      <c r="BY1292" s="343"/>
      <c r="BZ1292" s="342"/>
      <c r="CA1292" s="343"/>
      <c r="CB1292" s="32"/>
      <c r="CC1292" s="187"/>
      <c r="CD1292" s="187"/>
    </row>
    <row r="1293" spans="1:82" ht="15.95" hidden="1" customHeight="1" x14ac:dyDescent="0.25">
      <c r="A1293" s="957">
        <f t="shared" ca="1" si="42"/>
        <v>0</v>
      </c>
      <c r="BO1293" s="4"/>
      <c r="BP1293" s="5"/>
      <c r="BQ1293" s="5" t="str">
        <f ca="1">IF('Rent Roll'!$AD195=1,'Rent Roll'!E195,"")</f>
        <v/>
      </c>
      <c r="BR1293" s="39" t="str">
        <f ca="1">IF('Rent Roll'!$AD195=1,'Rent Roll'!G195,"")</f>
        <v/>
      </c>
      <c r="BS1293" s="1547" t="str">
        <f ca="1">IF('Rent Roll'!$AD195=1,'Rent Roll'!K195,"")</f>
        <v/>
      </c>
      <c r="BT1293" s="1551" t="str">
        <f ca="1">IF('Rent Roll'!$AD195=1,'Rent Roll'!N195,"")</f>
        <v/>
      </c>
      <c r="BU1293" s="5"/>
      <c r="BV1293" s="6"/>
      <c r="BW1293" s="32"/>
      <c r="BX1293" s="342"/>
      <c r="BY1293" s="343"/>
      <c r="BZ1293" s="342"/>
      <c r="CA1293" s="343"/>
      <c r="CB1293" s="32"/>
      <c r="CC1293" s="187"/>
      <c r="CD1293" s="187"/>
    </row>
    <row r="1294" spans="1:82" ht="15.95" hidden="1" customHeight="1" x14ac:dyDescent="0.25">
      <c r="A1294" s="957">
        <f t="shared" ca="1" si="42"/>
        <v>0</v>
      </c>
      <c r="BO1294" s="4"/>
      <c r="BP1294" s="5"/>
      <c r="BQ1294" s="5" t="str">
        <f ca="1">IF('Rent Roll'!$AD196=1,'Rent Roll'!E196,"")</f>
        <v/>
      </c>
      <c r="BR1294" s="39" t="str">
        <f ca="1">IF('Rent Roll'!$AD196=1,'Rent Roll'!G196,"")</f>
        <v/>
      </c>
      <c r="BS1294" s="1547" t="str">
        <f ca="1">IF('Rent Roll'!$AD196=1,'Rent Roll'!K196,"")</f>
        <v/>
      </c>
      <c r="BT1294" s="1551" t="str">
        <f ca="1">IF('Rent Roll'!$AD196=1,'Rent Roll'!N196,"")</f>
        <v/>
      </c>
      <c r="BU1294" s="5"/>
      <c r="BV1294" s="6"/>
      <c r="BW1294" s="32"/>
      <c r="BX1294" s="342"/>
      <c r="BY1294" s="343"/>
      <c r="BZ1294" s="342"/>
      <c r="CA1294" s="343"/>
      <c r="CB1294" s="32"/>
      <c r="CC1294" s="187"/>
      <c r="CD1294" s="187"/>
    </row>
    <row r="1295" spans="1:82" ht="15.95" hidden="1" customHeight="1" x14ac:dyDescent="0.25">
      <c r="A1295" s="957">
        <f t="shared" ca="1" si="42"/>
        <v>0</v>
      </c>
      <c r="BO1295" s="4"/>
      <c r="BP1295" s="5"/>
      <c r="BQ1295" s="5" t="str">
        <f ca="1">IF('Rent Roll'!$AD197=1,'Rent Roll'!E197,"")</f>
        <v/>
      </c>
      <c r="BR1295" s="39" t="str">
        <f ca="1">IF('Rent Roll'!$AD197=1,'Rent Roll'!G197,"")</f>
        <v/>
      </c>
      <c r="BS1295" s="1547" t="str">
        <f ca="1">IF('Rent Roll'!$AD197=1,'Rent Roll'!K197,"")</f>
        <v/>
      </c>
      <c r="BT1295" s="1551" t="str">
        <f ca="1">IF('Rent Roll'!$AD197=1,'Rent Roll'!N197,"")</f>
        <v/>
      </c>
      <c r="BU1295" s="5"/>
      <c r="BV1295" s="6"/>
      <c r="BW1295" s="32"/>
      <c r="BX1295" s="342"/>
      <c r="BY1295" s="343"/>
      <c r="BZ1295" s="342"/>
      <c r="CA1295" s="343"/>
      <c r="CB1295" s="32"/>
      <c r="CC1295" s="187"/>
      <c r="CD1295" s="187"/>
    </row>
    <row r="1296" spans="1:82" ht="15.95" hidden="1" customHeight="1" x14ac:dyDescent="0.25">
      <c r="A1296" s="957">
        <f t="shared" ca="1" si="42"/>
        <v>0</v>
      </c>
      <c r="BO1296" s="4"/>
      <c r="BP1296" s="5"/>
      <c r="BQ1296" s="5" t="str">
        <f ca="1">IF('Rent Roll'!$AD198=1,'Rent Roll'!E198,"")</f>
        <v/>
      </c>
      <c r="BR1296" s="39" t="str">
        <f ca="1">IF('Rent Roll'!$AD198=1,'Rent Roll'!G198,"")</f>
        <v/>
      </c>
      <c r="BS1296" s="1547" t="str">
        <f ca="1">IF('Rent Roll'!$AD198=1,'Rent Roll'!K198,"")</f>
        <v/>
      </c>
      <c r="BT1296" s="1551" t="str">
        <f ca="1">IF('Rent Roll'!$AD198=1,'Rent Roll'!N198,"")</f>
        <v/>
      </c>
      <c r="BU1296" s="5"/>
      <c r="BV1296" s="6"/>
      <c r="BW1296" s="32"/>
      <c r="BX1296" s="342"/>
      <c r="BY1296" s="343"/>
      <c r="BZ1296" s="342"/>
      <c r="CA1296" s="343"/>
      <c r="CB1296" s="32"/>
      <c r="CC1296" s="187"/>
      <c r="CD1296" s="187"/>
    </row>
    <row r="1297" spans="1:90" ht="15.95" hidden="1" customHeight="1" x14ac:dyDescent="0.25">
      <c r="A1297" s="957">
        <f t="shared" ref="A1297:A1304" ca="1" si="43">IF(BQ1297="",0,1)</f>
        <v>0</v>
      </c>
      <c r="BO1297" s="4"/>
      <c r="BP1297" s="5"/>
      <c r="BQ1297" s="5" t="str">
        <f ca="1">IF('Rent Roll'!$AD199=1,'Rent Roll'!E199,"")</f>
        <v/>
      </c>
      <c r="BR1297" s="39" t="str">
        <f ca="1">IF('Rent Roll'!$AD199=1,'Rent Roll'!G199,"")</f>
        <v/>
      </c>
      <c r="BS1297" s="1547" t="str">
        <f ca="1">IF('Rent Roll'!$AD199=1,'Rent Roll'!K199,"")</f>
        <v/>
      </c>
      <c r="BT1297" s="1551" t="str">
        <f ca="1">IF('Rent Roll'!$AD199=1,'Rent Roll'!N199,"")</f>
        <v/>
      </c>
      <c r="BU1297" s="5"/>
      <c r="BV1297" s="6"/>
      <c r="BW1297" s="32"/>
      <c r="BX1297" s="342"/>
      <c r="BY1297" s="343"/>
      <c r="BZ1297" s="342"/>
      <c r="CA1297" s="343"/>
      <c r="CB1297" s="32"/>
      <c r="CC1297" s="187"/>
      <c r="CD1297" s="187"/>
    </row>
    <row r="1298" spans="1:90" ht="15.95" hidden="1" customHeight="1" x14ac:dyDescent="0.25">
      <c r="A1298" s="957">
        <f t="shared" ca="1" si="43"/>
        <v>0</v>
      </c>
      <c r="BO1298" s="4"/>
      <c r="BP1298" s="5"/>
      <c r="BQ1298" s="5" t="str">
        <f ca="1">IF('Rent Roll'!$AD200=1,'Rent Roll'!E200,"")</f>
        <v/>
      </c>
      <c r="BR1298" s="39" t="str">
        <f ca="1">IF('Rent Roll'!$AD200=1,'Rent Roll'!G200,"")</f>
        <v/>
      </c>
      <c r="BS1298" s="1547" t="str">
        <f ca="1">IF('Rent Roll'!$AD200=1,'Rent Roll'!K200,"")</f>
        <v/>
      </c>
      <c r="BT1298" s="1551" t="str">
        <f ca="1">IF('Rent Roll'!$AD200=1,'Rent Roll'!N200,"")</f>
        <v/>
      </c>
      <c r="BU1298" s="5"/>
      <c r="BV1298" s="6"/>
      <c r="BW1298" s="32"/>
      <c r="BX1298" s="342"/>
      <c r="BY1298" s="343"/>
      <c r="BZ1298" s="342"/>
      <c r="CA1298" s="343"/>
      <c r="CB1298" s="32"/>
      <c r="CC1298" s="187"/>
      <c r="CD1298" s="187"/>
    </row>
    <row r="1299" spans="1:90" ht="15.95" hidden="1" customHeight="1" x14ac:dyDescent="0.25">
      <c r="A1299" s="957">
        <f t="shared" ca="1" si="43"/>
        <v>0</v>
      </c>
      <c r="BO1299" s="4"/>
      <c r="BP1299" s="5"/>
      <c r="BQ1299" s="5" t="str">
        <f ca="1">IF('Rent Roll'!$AD201=1,'Rent Roll'!E201,"")</f>
        <v/>
      </c>
      <c r="BR1299" s="39" t="str">
        <f ca="1">IF('Rent Roll'!$AD201=1,'Rent Roll'!G201,"")</f>
        <v/>
      </c>
      <c r="BS1299" s="1547" t="str">
        <f ca="1">IF('Rent Roll'!$AD201=1,'Rent Roll'!K201,"")</f>
        <v/>
      </c>
      <c r="BT1299" s="1551" t="str">
        <f ca="1">IF('Rent Roll'!$AD201=1,'Rent Roll'!N201,"")</f>
        <v/>
      </c>
      <c r="BU1299" s="5"/>
      <c r="BV1299" s="6"/>
      <c r="BW1299" s="32"/>
      <c r="BX1299" s="342"/>
      <c r="BY1299" s="343"/>
      <c r="BZ1299" s="342"/>
      <c r="CA1299" s="343"/>
      <c r="CB1299" s="32"/>
      <c r="CC1299" s="187"/>
      <c r="CD1299" s="187"/>
    </row>
    <row r="1300" spans="1:90" ht="15.95" hidden="1" customHeight="1" x14ac:dyDescent="0.25">
      <c r="A1300" s="957">
        <f t="shared" ca="1" si="43"/>
        <v>0</v>
      </c>
      <c r="BO1300" s="4"/>
      <c r="BP1300" s="5"/>
      <c r="BQ1300" s="5" t="str">
        <f ca="1">IF('Rent Roll'!$AD202=1,'Rent Roll'!E202,"")</f>
        <v/>
      </c>
      <c r="BR1300" s="39" t="str">
        <f ca="1">IF('Rent Roll'!$AD202=1,'Rent Roll'!G202,"")</f>
        <v/>
      </c>
      <c r="BS1300" s="1547" t="str">
        <f ca="1">IF('Rent Roll'!$AD202=1,'Rent Roll'!K202,"")</f>
        <v/>
      </c>
      <c r="BT1300" s="1551" t="str">
        <f ca="1">IF('Rent Roll'!$AD202=1,'Rent Roll'!N202,"")</f>
        <v/>
      </c>
      <c r="BU1300" s="5"/>
      <c r="BV1300" s="6"/>
      <c r="BW1300" s="32"/>
      <c r="BX1300" s="342"/>
      <c r="BY1300" s="343"/>
      <c r="BZ1300" s="342"/>
      <c r="CA1300" s="343"/>
      <c r="CB1300" s="32"/>
      <c r="CC1300" s="187"/>
      <c r="CD1300" s="187"/>
    </row>
    <row r="1301" spans="1:90" ht="15.95" hidden="1" customHeight="1" x14ac:dyDescent="0.25">
      <c r="A1301" s="957">
        <f t="shared" ca="1" si="43"/>
        <v>0</v>
      </c>
      <c r="BO1301" s="4"/>
      <c r="BP1301" s="5"/>
      <c r="BQ1301" s="5" t="str">
        <f ca="1">IF('Rent Roll'!$AD203=1,'Rent Roll'!E203,"")</f>
        <v/>
      </c>
      <c r="BR1301" s="39" t="str">
        <f ca="1">IF('Rent Roll'!$AD203=1,'Rent Roll'!G203,"")</f>
        <v/>
      </c>
      <c r="BS1301" s="1547" t="str">
        <f ca="1">IF('Rent Roll'!$AD203=1,'Rent Roll'!K203,"")</f>
        <v/>
      </c>
      <c r="BT1301" s="1551" t="str">
        <f ca="1">IF('Rent Roll'!$AD203=1,'Rent Roll'!N203,"")</f>
        <v/>
      </c>
      <c r="BU1301" s="5"/>
      <c r="BV1301" s="6"/>
      <c r="BW1301" s="32"/>
      <c r="BX1301" s="342"/>
      <c r="BY1301" s="343"/>
      <c r="BZ1301" s="342"/>
      <c r="CA1301" s="343"/>
      <c r="CB1301" s="32"/>
      <c r="CC1301" s="187"/>
      <c r="CD1301" s="187"/>
    </row>
    <row r="1302" spans="1:90" ht="15.95" hidden="1" customHeight="1" x14ac:dyDescent="0.25">
      <c r="A1302" s="957">
        <f t="shared" ca="1" si="43"/>
        <v>0</v>
      </c>
      <c r="BO1302" s="4"/>
      <c r="BP1302" s="5"/>
      <c r="BQ1302" s="5" t="str">
        <f ca="1">IF('Rent Roll'!$AD204=1,'Rent Roll'!E204,"")</f>
        <v/>
      </c>
      <c r="BR1302" s="39" t="str">
        <f ca="1">IF('Rent Roll'!$AD204=1,'Rent Roll'!G204,"")</f>
        <v/>
      </c>
      <c r="BS1302" s="1547" t="str">
        <f ca="1">IF('Rent Roll'!$AD204=1,'Rent Roll'!K204,"")</f>
        <v/>
      </c>
      <c r="BT1302" s="1551" t="str">
        <f ca="1">IF('Rent Roll'!$AD204=1,'Rent Roll'!N204,"")</f>
        <v/>
      </c>
      <c r="BU1302" s="5"/>
      <c r="BV1302" s="6"/>
      <c r="BW1302" s="32"/>
      <c r="BX1302" s="342"/>
      <c r="BY1302" s="343"/>
      <c r="BZ1302" s="342"/>
      <c r="CA1302" s="343"/>
      <c r="CB1302" s="32"/>
      <c r="CC1302" s="187"/>
      <c r="CD1302" s="187"/>
    </row>
    <row r="1303" spans="1:90" ht="15.95" hidden="1" customHeight="1" x14ac:dyDescent="0.25">
      <c r="A1303" s="957">
        <f t="shared" ca="1" si="43"/>
        <v>0</v>
      </c>
      <c r="BO1303" s="4"/>
      <c r="BP1303" s="5"/>
      <c r="BQ1303" s="5" t="str">
        <f ca="1">IF('Rent Roll'!$AD205=1,'Rent Roll'!E205,"")</f>
        <v/>
      </c>
      <c r="BR1303" s="39" t="str">
        <f ca="1">IF('Rent Roll'!$AD205=1,'Rent Roll'!G205,"")</f>
        <v/>
      </c>
      <c r="BS1303" s="1547" t="str">
        <f ca="1">IF('Rent Roll'!$AD205=1,'Rent Roll'!K205,"")</f>
        <v/>
      </c>
      <c r="BT1303" s="1551" t="str">
        <f ca="1">IF('Rent Roll'!$AD205=1,'Rent Roll'!N205,"")</f>
        <v/>
      </c>
      <c r="BU1303" s="5"/>
      <c r="BV1303" s="6"/>
      <c r="BW1303" s="32"/>
      <c r="BX1303" s="342"/>
      <c r="BY1303" s="343"/>
      <c r="BZ1303" s="342"/>
      <c r="CA1303" s="343"/>
      <c r="CB1303" s="32"/>
      <c r="CC1303" s="187"/>
      <c r="CD1303" s="187"/>
    </row>
    <row r="1304" spans="1:90" ht="15.95" hidden="1" customHeight="1" x14ac:dyDescent="0.25">
      <c r="A1304" s="957">
        <f t="shared" ca="1" si="43"/>
        <v>0</v>
      </c>
      <c r="BO1304" s="4"/>
      <c r="BP1304" s="5"/>
      <c r="BQ1304" s="5" t="str">
        <f ca="1">IF('Rent Roll'!$AD206=1,'Rent Roll'!E206,"")</f>
        <v/>
      </c>
      <c r="BR1304" s="39" t="str">
        <f ca="1">IF('Rent Roll'!$AD206=1,'Rent Roll'!G206,"")</f>
        <v/>
      </c>
      <c r="BS1304" s="1547" t="str">
        <f ca="1">IF('Rent Roll'!$AD206=1,'Rent Roll'!K206,"")</f>
        <v/>
      </c>
      <c r="BT1304" s="1551" t="str">
        <f ca="1">IF('Rent Roll'!$AD206=1,'Rent Roll'!N206,"")</f>
        <v/>
      </c>
      <c r="BU1304" s="5"/>
      <c r="BV1304" s="6"/>
      <c r="BW1304" s="32"/>
      <c r="BX1304" s="342"/>
      <c r="BY1304" s="343"/>
      <c r="BZ1304" s="342"/>
      <c r="CA1304" s="343"/>
      <c r="CB1304" s="32"/>
      <c r="CC1304" s="187"/>
      <c r="CD1304" s="187"/>
    </row>
    <row r="1305" spans="1:90" ht="15.95" hidden="1" customHeight="1" x14ac:dyDescent="0.25">
      <c r="A1305" s="957">
        <f ca="1">IF(dpIncome_TCat6_NRA_Vacant=0,0,1)</f>
        <v>0</v>
      </c>
      <c r="BO1305" s="4"/>
      <c r="BP1305" s="5"/>
      <c r="BQ1305" s="1535" t="s">
        <v>142</v>
      </c>
      <c r="BR1305" s="1560"/>
      <c r="BS1305" s="1561">
        <f ca="1">IF(Income_RentRollSource="No Rent Roll",Income_TCat6_NRA_Manual,SUM(BS1105:BS1304))</f>
        <v>0</v>
      </c>
      <c r="BT1305" s="1562" t="e">
        <f ca="1">SUMPRODUCT(BS1105:BS1304,BT1105:BT1304)/BS1305</f>
        <v>#DIV/0!</v>
      </c>
      <c r="BU1305" s="5"/>
      <c r="BV1305" s="6"/>
      <c r="BW1305" s="32"/>
      <c r="BX1305" s="342"/>
      <c r="BY1305" s="343"/>
      <c r="BZ1305" s="342"/>
      <c r="CA1305" s="343"/>
      <c r="CB1305" s="32"/>
      <c r="CC1305" s="187"/>
      <c r="CD1305" s="187"/>
    </row>
    <row r="1306" spans="1:90" ht="15.95" hidden="1" customHeight="1" x14ac:dyDescent="0.25">
      <c r="A1306" s="957">
        <f ca="1">IF(dpIncome_TCat6_NRA_Vacant=0,0,1)</f>
        <v>0</v>
      </c>
      <c r="BO1306" s="4"/>
      <c r="BP1306" s="5"/>
      <c r="BQ1306" s="1540" t="s">
        <v>139</v>
      </c>
      <c r="BR1306" s="1541"/>
      <c r="BS1306" s="1549">
        <f ca="1">'Rent Roll'!K213</f>
        <v>0</v>
      </c>
      <c r="BT1306" s="1553">
        <f>Income_TCat6_MarketRent</f>
        <v>0</v>
      </c>
      <c r="BU1306" s="5"/>
      <c r="BV1306" s="6"/>
      <c r="BW1306" s="32"/>
      <c r="BX1306" s="342"/>
      <c r="BY1306" s="343"/>
      <c r="BZ1306" s="342"/>
      <c r="CA1306" s="343"/>
      <c r="CB1306" s="32"/>
      <c r="CC1306" s="187"/>
      <c r="CD1306" s="187"/>
    </row>
    <row r="1307" spans="1:90" ht="15.95" customHeight="1" thickBot="1" x14ac:dyDescent="0.3">
      <c r="A1307" s="957">
        <v>1</v>
      </c>
      <c r="BO1307" s="4"/>
      <c r="BP1307" s="5"/>
      <c r="BQ1307" s="219" t="s">
        <v>93</v>
      </c>
      <c r="BR1307" s="1542"/>
      <c r="BS1307" s="1550">
        <f ca="1">SUM(BS1305:BS1306)</f>
        <v>0</v>
      </c>
      <c r="BT1307" s="1554" t="e">
        <f ca="1">SUMPRODUCT(BS1305:BS1306,BT1305:BT1306)/Income_TCat6_NRA</f>
        <v>#DIV/0!</v>
      </c>
      <c r="BU1307" s="5"/>
      <c r="BV1307" s="6"/>
      <c r="BW1307" s="32"/>
      <c r="BX1307" s="344"/>
      <c r="BY1307" s="345"/>
      <c r="BZ1307" s="344"/>
      <c r="CA1307" s="345"/>
      <c r="CB1307" s="346"/>
      <c r="CC1307" s="187"/>
      <c r="CD1307" s="187"/>
    </row>
    <row r="1308" spans="1:90" x14ac:dyDescent="0.25">
      <c r="A1308" s="957">
        <v>1</v>
      </c>
      <c r="BO1308" s="4"/>
      <c r="BP1308" s="5"/>
      <c r="BQ1308" s="556" t="s">
        <v>938</v>
      </c>
      <c r="BR1308" s="5"/>
      <c r="BS1308" s="5"/>
      <c r="BT1308" s="5"/>
      <c r="BU1308" s="5"/>
      <c r="BV1308" s="6"/>
      <c r="BW1308" s="32"/>
      <c r="BX1308" s="96"/>
      <c r="BY1308" s="96"/>
      <c r="BZ1308" s="32"/>
      <c r="CA1308" s="32"/>
      <c r="CB1308" s="225"/>
      <c r="CC1308" s="187"/>
      <c r="CD1308" s="187"/>
    </row>
    <row r="1309" spans="1:90" ht="9.9499999999999993" customHeight="1" thickBot="1" x14ac:dyDescent="0.3">
      <c r="A1309" s="957">
        <v>1</v>
      </c>
      <c r="BO1309" s="11"/>
      <c r="BP1309" s="11"/>
      <c r="BQ1309" s="11"/>
      <c r="BR1309" s="41"/>
      <c r="BS1309" s="11"/>
      <c r="BT1309" s="11"/>
      <c r="BU1309" s="11"/>
      <c r="BV1309" s="11"/>
      <c r="BW1309" s="32"/>
      <c r="BX1309" s="96"/>
      <c r="BY1309" s="96"/>
      <c r="BZ1309" s="32"/>
      <c r="CA1309" s="32"/>
      <c r="CB1309" s="225"/>
      <c r="CC1309" s="187"/>
      <c r="CD1309" s="187"/>
    </row>
    <row r="1310" spans="1:90" x14ac:dyDescent="0.25">
      <c r="A1310" s="957">
        <v>1</v>
      </c>
      <c r="BW1310" s="1"/>
      <c r="BX1310" s="2"/>
      <c r="BY1310" s="2"/>
      <c r="BZ1310" s="2"/>
      <c r="CA1310" s="2"/>
      <c r="CB1310" s="2"/>
      <c r="CC1310" s="2"/>
      <c r="CD1310" s="3"/>
      <c r="CE1310" s="32"/>
      <c r="CF1310" s="96"/>
      <c r="CG1310" s="96"/>
      <c r="CH1310" s="32"/>
      <c r="CI1310" s="32"/>
      <c r="CJ1310" s="225"/>
      <c r="CK1310" s="187"/>
      <c r="CL1310" s="187"/>
    </row>
    <row r="1311" spans="1:90" ht="15.95" customHeight="1" x14ac:dyDescent="0.3">
      <c r="A1311" s="957">
        <v>1</v>
      </c>
      <c r="BW1311" s="4"/>
      <c r="BX1311" s="5"/>
      <c r="BY1311" s="4284">
        <f>Income_TCat7</f>
        <v>0</v>
      </c>
      <c r="BZ1311" s="4284"/>
      <c r="CA1311" s="4284"/>
      <c r="CB1311" s="4284"/>
      <c r="CC1311" s="27"/>
      <c r="CD1311" s="6"/>
      <c r="CE1311" s="32"/>
      <c r="CF1311" s="96"/>
      <c r="CG1311" s="96"/>
      <c r="CH1311" s="32"/>
      <c r="CI1311" s="32"/>
      <c r="CJ1311" s="225"/>
      <c r="CK1311" s="187"/>
      <c r="CL1311" s="187"/>
    </row>
    <row r="1312" spans="1:90" ht="15.95" customHeight="1" x14ac:dyDescent="0.25">
      <c r="A1312" s="957">
        <v>1</v>
      </c>
      <c r="BW1312" s="4"/>
      <c r="BX1312" s="12"/>
      <c r="BY1312" s="12" t="s">
        <v>398</v>
      </c>
      <c r="BZ1312" s="150" t="s">
        <v>401</v>
      </c>
      <c r="CA1312" s="55" t="s">
        <v>20</v>
      </c>
      <c r="CB1312" s="55" t="s">
        <v>132</v>
      </c>
      <c r="CC1312" s="150"/>
      <c r="CD1312" s="6"/>
      <c r="CE1312" s="32"/>
      <c r="CF1312" s="96"/>
      <c r="CG1312" s="96"/>
      <c r="CH1312" s="32"/>
      <c r="CI1312" s="32"/>
      <c r="CJ1312" s="225"/>
      <c r="CK1312" s="187"/>
      <c r="CL1312" s="187"/>
    </row>
    <row r="1313" spans="1:90" ht="15.95" hidden="1" customHeight="1" x14ac:dyDescent="0.25">
      <c r="A1313" s="957">
        <f t="shared" ref="A1313:A1344" ca="1" si="44">IF(BY1313="",0,1)</f>
        <v>0</v>
      </c>
      <c r="BW1313" s="4"/>
      <c r="BX1313" s="5"/>
      <c r="BY1313" s="5" t="str">
        <f ca="1">IF('Rent Roll'!$AE7=1,'Rent Roll'!E7,"")</f>
        <v/>
      </c>
      <c r="BZ1313" s="39" t="str">
        <f ca="1">IF('Rent Roll'!$AE7=1,'Rent Roll'!G7,"")</f>
        <v/>
      </c>
      <c r="CA1313" s="1547" t="str">
        <f ca="1">IF('Rent Roll'!$AE7=1,'Rent Roll'!K7,"")</f>
        <v/>
      </c>
      <c r="CB1313" s="1551" t="str">
        <f ca="1">IF('Rent Roll'!$AE7=1,'Rent Roll'!N7,"")</f>
        <v/>
      </c>
      <c r="CC1313" s="223"/>
      <c r="CD1313" s="6"/>
      <c r="CE1313" s="32"/>
      <c r="CF1313" s="342"/>
      <c r="CG1313" s="343"/>
      <c r="CH1313" s="342"/>
      <c r="CI1313" s="343"/>
      <c r="CJ1313" s="32"/>
      <c r="CK1313" s="187"/>
      <c r="CL1313" s="187"/>
    </row>
    <row r="1314" spans="1:90" ht="15.95" hidden="1" customHeight="1" x14ac:dyDescent="0.25">
      <c r="A1314" s="957">
        <f t="shared" ca="1" si="44"/>
        <v>0</v>
      </c>
      <c r="BW1314" s="4"/>
      <c r="BX1314" s="5"/>
      <c r="BY1314" s="5" t="str">
        <f ca="1">IF('Rent Roll'!$AE8=1,'Rent Roll'!E8,"")</f>
        <v/>
      </c>
      <c r="BZ1314" s="39" t="str">
        <f ca="1">IF('Rent Roll'!$AE8=1,'Rent Roll'!G8,"")</f>
        <v/>
      </c>
      <c r="CA1314" s="1547" t="str">
        <f ca="1">IF('Rent Roll'!$AE8=1,'Rent Roll'!K8,"")</f>
        <v/>
      </c>
      <c r="CB1314" s="1551" t="str">
        <f ca="1">IF('Rent Roll'!$AE8=1,'Rent Roll'!N8,"")</f>
        <v/>
      </c>
      <c r="CC1314" s="223"/>
      <c r="CD1314" s="6"/>
      <c r="CE1314" s="32"/>
      <c r="CF1314" s="342"/>
      <c r="CG1314" s="343"/>
      <c r="CH1314" s="342"/>
      <c r="CI1314" s="343"/>
      <c r="CJ1314" s="32"/>
      <c r="CK1314" s="187"/>
      <c r="CL1314" s="187"/>
    </row>
    <row r="1315" spans="1:90" ht="15.95" hidden="1" customHeight="1" x14ac:dyDescent="0.25">
      <c r="A1315" s="957">
        <f t="shared" ca="1" si="44"/>
        <v>0</v>
      </c>
      <c r="BW1315" s="4"/>
      <c r="BX1315" s="5"/>
      <c r="BY1315" s="5" t="str">
        <f ca="1">IF('Rent Roll'!$AE9=1,'Rent Roll'!E9,"")</f>
        <v/>
      </c>
      <c r="BZ1315" s="39" t="str">
        <f ca="1">IF('Rent Roll'!$AE9=1,'Rent Roll'!G9,"")</f>
        <v/>
      </c>
      <c r="CA1315" s="1547" t="str">
        <f ca="1">IF('Rent Roll'!$AE9=1,'Rent Roll'!K9,"")</f>
        <v/>
      </c>
      <c r="CB1315" s="1551" t="str">
        <f ca="1">IF('Rent Roll'!$AE9=1,'Rent Roll'!N9,"")</f>
        <v/>
      </c>
      <c r="CC1315" s="223"/>
      <c r="CD1315" s="6"/>
      <c r="CE1315" s="32"/>
      <c r="CF1315" s="342"/>
      <c r="CG1315" s="343"/>
      <c r="CH1315" s="342"/>
      <c r="CI1315" s="343"/>
      <c r="CJ1315" s="32"/>
      <c r="CK1315" s="187"/>
      <c r="CL1315" s="187"/>
    </row>
    <row r="1316" spans="1:90" ht="15.95" hidden="1" customHeight="1" x14ac:dyDescent="0.25">
      <c r="A1316" s="957">
        <f t="shared" ca="1" si="44"/>
        <v>0</v>
      </c>
      <c r="BW1316" s="4"/>
      <c r="BX1316" s="5"/>
      <c r="BY1316" s="5" t="str">
        <f ca="1">IF('Rent Roll'!$AE10=1,'Rent Roll'!E10,"")</f>
        <v/>
      </c>
      <c r="BZ1316" s="39" t="str">
        <f ca="1">IF('Rent Roll'!$AE10=1,'Rent Roll'!G10,"")</f>
        <v/>
      </c>
      <c r="CA1316" s="1547" t="str">
        <f ca="1">IF('Rent Roll'!$AE10=1,'Rent Roll'!K10,"")</f>
        <v/>
      </c>
      <c r="CB1316" s="1551" t="str">
        <f ca="1">IF('Rent Roll'!$AE10=1,'Rent Roll'!N10,"")</f>
        <v/>
      </c>
      <c r="CC1316" s="223"/>
      <c r="CD1316" s="6"/>
      <c r="CE1316" s="32"/>
      <c r="CF1316" s="342"/>
      <c r="CG1316" s="343"/>
      <c r="CH1316" s="342"/>
      <c r="CI1316" s="343"/>
      <c r="CJ1316" s="32"/>
      <c r="CK1316" s="187"/>
      <c r="CL1316" s="187"/>
    </row>
    <row r="1317" spans="1:90" ht="15.95" hidden="1" customHeight="1" x14ac:dyDescent="0.25">
      <c r="A1317" s="957">
        <f t="shared" ca="1" si="44"/>
        <v>0</v>
      </c>
      <c r="BW1317" s="4"/>
      <c r="BX1317" s="5"/>
      <c r="BY1317" s="5" t="str">
        <f ca="1">IF('Rent Roll'!$AE11=1,'Rent Roll'!E11,"")</f>
        <v/>
      </c>
      <c r="BZ1317" s="39" t="str">
        <f ca="1">IF('Rent Roll'!$AE11=1,'Rent Roll'!G11,"")</f>
        <v/>
      </c>
      <c r="CA1317" s="1547" t="str">
        <f ca="1">IF('Rent Roll'!$AE11=1,'Rent Roll'!K11,"")</f>
        <v/>
      </c>
      <c r="CB1317" s="1551" t="str">
        <f ca="1">IF('Rent Roll'!$AE11=1,'Rent Roll'!N11,"")</f>
        <v/>
      </c>
      <c r="CC1317" s="223"/>
      <c r="CD1317" s="6"/>
      <c r="CE1317" s="32"/>
      <c r="CF1317" s="342"/>
      <c r="CG1317" s="343"/>
      <c r="CH1317" s="342"/>
      <c r="CI1317" s="343"/>
      <c r="CJ1317" s="32"/>
      <c r="CK1317" s="187"/>
      <c r="CL1317" s="187"/>
    </row>
    <row r="1318" spans="1:90" ht="15.95" hidden="1" customHeight="1" x14ac:dyDescent="0.25">
      <c r="A1318" s="957">
        <f t="shared" ca="1" si="44"/>
        <v>0</v>
      </c>
      <c r="BW1318" s="4"/>
      <c r="BX1318" s="5"/>
      <c r="BY1318" s="5" t="str">
        <f ca="1">IF('Rent Roll'!$AE12=1,'Rent Roll'!E12,"")</f>
        <v/>
      </c>
      <c r="BZ1318" s="39" t="str">
        <f ca="1">IF('Rent Roll'!$AE12=1,'Rent Roll'!G12,"")</f>
        <v/>
      </c>
      <c r="CA1318" s="1547" t="str">
        <f ca="1">IF('Rent Roll'!$AE12=1,'Rent Roll'!K12,"")</f>
        <v/>
      </c>
      <c r="CB1318" s="1551" t="str">
        <f ca="1">IF('Rent Roll'!$AE12=1,'Rent Roll'!N12,"")</f>
        <v/>
      </c>
      <c r="CC1318" s="223"/>
      <c r="CD1318" s="6"/>
      <c r="CE1318" s="32"/>
      <c r="CF1318" s="342"/>
      <c r="CG1318" s="343"/>
      <c r="CH1318" s="342"/>
      <c r="CI1318" s="343"/>
      <c r="CJ1318" s="32"/>
      <c r="CK1318" s="187"/>
      <c r="CL1318" s="187"/>
    </row>
    <row r="1319" spans="1:90" ht="15.95" hidden="1" customHeight="1" x14ac:dyDescent="0.25">
      <c r="A1319" s="957">
        <f t="shared" ca="1" si="44"/>
        <v>0</v>
      </c>
      <c r="BW1319" s="4"/>
      <c r="BX1319" s="5"/>
      <c r="BY1319" s="5" t="str">
        <f ca="1">IF('Rent Roll'!$AE13=1,'Rent Roll'!E13,"")</f>
        <v/>
      </c>
      <c r="BZ1319" s="39" t="str">
        <f ca="1">IF('Rent Roll'!$AE13=1,'Rent Roll'!G13,"")</f>
        <v/>
      </c>
      <c r="CA1319" s="1547" t="str">
        <f ca="1">IF('Rent Roll'!$AE13=1,'Rent Roll'!K13,"")</f>
        <v/>
      </c>
      <c r="CB1319" s="1551" t="str">
        <f ca="1">IF('Rent Roll'!$AE13=1,'Rent Roll'!N13,"")</f>
        <v/>
      </c>
      <c r="CC1319" s="223"/>
      <c r="CD1319" s="6"/>
      <c r="CE1319" s="32"/>
      <c r="CF1319" s="342"/>
      <c r="CG1319" s="343"/>
      <c r="CH1319" s="342"/>
      <c r="CI1319" s="343"/>
      <c r="CJ1319" s="32"/>
      <c r="CK1319" s="187"/>
      <c r="CL1319" s="187"/>
    </row>
    <row r="1320" spans="1:90" ht="15.95" hidden="1" customHeight="1" x14ac:dyDescent="0.25">
      <c r="A1320" s="957">
        <f t="shared" ca="1" si="44"/>
        <v>0</v>
      </c>
      <c r="BW1320" s="4"/>
      <c r="BX1320" s="5"/>
      <c r="BY1320" s="5" t="str">
        <f ca="1">IF('Rent Roll'!$AE14=1,'Rent Roll'!E14,"")</f>
        <v/>
      </c>
      <c r="BZ1320" s="39" t="str">
        <f ca="1">IF('Rent Roll'!$AE14=1,'Rent Roll'!G14,"")</f>
        <v/>
      </c>
      <c r="CA1320" s="1547" t="str">
        <f ca="1">IF('Rent Roll'!$AE14=1,'Rent Roll'!K14,"")</f>
        <v/>
      </c>
      <c r="CB1320" s="1551" t="str">
        <f ca="1">IF('Rent Roll'!$AE14=1,'Rent Roll'!N14,"")</f>
        <v/>
      </c>
      <c r="CC1320" s="223"/>
      <c r="CD1320" s="6"/>
      <c r="CE1320" s="32"/>
      <c r="CF1320" s="342"/>
      <c r="CG1320" s="343"/>
      <c r="CH1320" s="342"/>
      <c r="CI1320" s="343"/>
      <c r="CJ1320" s="32"/>
      <c r="CK1320" s="187"/>
      <c r="CL1320" s="187"/>
    </row>
    <row r="1321" spans="1:90" ht="15.95" hidden="1" customHeight="1" x14ac:dyDescent="0.25">
      <c r="A1321" s="957">
        <f t="shared" ca="1" si="44"/>
        <v>0</v>
      </c>
      <c r="BW1321" s="4"/>
      <c r="BX1321" s="5"/>
      <c r="BY1321" s="5" t="str">
        <f ca="1">IF('Rent Roll'!$AE15=1,'Rent Roll'!E15,"")</f>
        <v/>
      </c>
      <c r="BZ1321" s="39" t="str">
        <f ca="1">IF('Rent Roll'!$AE15=1,'Rent Roll'!G15,"")</f>
        <v/>
      </c>
      <c r="CA1321" s="1547" t="str">
        <f ca="1">IF('Rent Roll'!$AE15=1,'Rent Roll'!K15,"")</f>
        <v/>
      </c>
      <c r="CB1321" s="1551" t="str">
        <f ca="1">IF('Rent Roll'!$AE15=1,'Rent Roll'!N15,"")</f>
        <v/>
      </c>
      <c r="CC1321" s="223"/>
      <c r="CD1321" s="6"/>
      <c r="CE1321" s="32"/>
      <c r="CF1321" s="342"/>
      <c r="CG1321" s="343"/>
      <c r="CH1321" s="342"/>
      <c r="CI1321" s="343"/>
      <c r="CJ1321" s="32"/>
      <c r="CK1321" s="187"/>
      <c r="CL1321" s="187"/>
    </row>
    <row r="1322" spans="1:90" ht="15.95" hidden="1" customHeight="1" x14ac:dyDescent="0.25">
      <c r="A1322" s="957">
        <f t="shared" ca="1" si="44"/>
        <v>0</v>
      </c>
      <c r="BW1322" s="4"/>
      <c r="BX1322" s="5"/>
      <c r="BY1322" s="5" t="str">
        <f ca="1">IF('Rent Roll'!$AE16=1,'Rent Roll'!E16,"")</f>
        <v/>
      </c>
      <c r="BZ1322" s="39" t="str">
        <f ca="1">IF('Rent Roll'!$AE16=1,'Rent Roll'!G16,"")</f>
        <v/>
      </c>
      <c r="CA1322" s="1547" t="str">
        <f ca="1">IF('Rent Roll'!$AE16=1,'Rent Roll'!K16,"")</f>
        <v/>
      </c>
      <c r="CB1322" s="1551" t="str">
        <f ca="1">IF('Rent Roll'!$AE16=1,'Rent Roll'!N16,"")</f>
        <v/>
      </c>
      <c r="CC1322" s="223"/>
      <c r="CD1322" s="6"/>
      <c r="CE1322" s="32"/>
      <c r="CF1322" s="342"/>
      <c r="CG1322" s="343"/>
      <c r="CH1322" s="342"/>
      <c r="CI1322" s="343"/>
      <c r="CJ1322" s="32"/>
      <c r="CK1322" s="187"/>
      <c r="CL1322" s="187"/>
    </row>
    <row r="1323" spans="1:90" ht="15.95" hidden="1" customHeight="1" x14ac:dyDescent="0.25">
      <c r="A1323" s="957">
        <f t="shared" ca="1" si="44"/>
        <v>0</v>
      </c>
      <c r="BW1323" s="4"/>
      <c r="BX1323" s="5"/>
      <c r="BY1323" s="5" t="str">
        <f ca="1">IF('Rent Roll'!$AE17=1,'Rent Roll'!E17,"")</f>
        <v/>
      </c>
      <c r="BZ1323" s="39" t="str">
        <f ca="1">IF('Rent Roll'!$AE17=1,'Rent Roll'!G17,"")</f>
        <v/>
      </c>
      <c r="CA1323" s="1547" t="str">
        <f ca="1">IF('Rent Roll'!$AE17=1,'Rent Roll'!K17,"")</f>
        <v/>
      </c>
      <c r="CB1323" s="1551" t="str">
        <f ca="1">IF('Rent Roll'!$AE17=1,'Rent Roll'!N17,"")</f>
        <v/>
      </c>
      <c r="CC1323" s="223"/>
      <c r="CD1323" s="6"/>
      <c r="CE1323" s="32"/>
      <c r="CF1323" s="342"/>
      <c r="CG1323" s="343"/>
      <c r="CH1323" s="342"/>
      <c r="CI1323" s="343"/>
      <c r="CJ1323" s="32"/>
      <c r="CK1323" s="187"/>
      <c r="CL1323" s="187"/>
    </row>
    <row r="1324" spans="1:90" ht="15.95" hidden="1" customHeight="1" x14ac:dyDescent="0.25">
      <c r="A1324" s="957">
        <f t="shared" ca="1" si="44"/>
        <v>0</v>
      </c>
      <c r="BW1324" s="4"/>
      <c r="BX1324" s="5"/>
      <c r="BY1324" s="5" t="str">
        <f ca="1">IF('Rent Roll'!$AE18=1,'Rent Roll'!E18,"")</f>
        <v/>
      </c>
      <c r="BZ1324" s="39" t="str">
        <f ca="1">IF('Rent Roll'!$AE18=1,'Rent Roll'!G18,"")</f>
        <v/>
      </c>
      <c r="CA1324" s="1547" t="str">
        <f ca="1">IF('Rent Roll'!$AE18=1,'Rent Roll'!K18,"")</f>
        <v/>
      </c>
      <c r="CB1324" s="1551" t="str">
        <f ca="1">IF('Rent Roll'!$AE18=1,'Rent Roll'!N18,"")</f>
        <v/>
      </c>
      <c r="CC1324" s="223"/>
      <c r="CD1324" s="6"/>
      <c r="CE1324" s="32"/>
      <c r="CF1324" s="342"/>
      <c r="CG1324" s="343"/>
      <c r="CH1324" s="342"/>
      <c r="CI1324" s="343"/>
      <c r="CJ1324" s="32"/>
      <c r="CK1324" s="187"/>
      <c r="CL1324" s="187"/>
    </row>
    <row r="1325" spans="1:90" ht="15.95" hidden="1" customHeight="1" x14ac:dyDescent="0.25">
      <c r="A1325" s="957">
        <f t="shared" ca="1" si="44"/>
        <v>0</v>
      </c>
      <c r="BW1325" s="4"/>
      <c r="BX1325" s="5"/>
      <c r="BY1325" s="5" t="str">
        <f ca="1">IF('Rent Roll'!$AE19=1,'Rent Roll'!E19,"")</f>
        <v/>
      </c>
      <c r="BZ1325" s="39" t="str">
        <f ca="1">IF('Rent Roll'!$AE19=1,'Rent Roll'!G19,"")</f>
        <v/>
      </c>
      <c r="CA1325" s="1547" t="str">
        <f ca="1">IF('Rent Roll'!$AE19=1,'Rent Roll'!K19,"")</f>
        <v/>
      </c>
      <c r="CB1325" s="1551" t="str">
        <f ca="1">IF('Rent Roll'!$AE19=1,'Rent Roll'!N19,"")</f>
        <v/>
      </c>
      <c r="CC1325" s="223"/>
      <c r="CD1325" s="6"/>
      <c r="CE1325" s="32"/>
      <c r="CF1325" s="342"/>
      <c r="CG1325" s="343"/>
      <c r="CH1325" s="342"/>
      <c r="CI1325" s="343"/>
      <c r="CJ1325" s="32"/>
      <c r="CK1325" s="187"/>
      <c r="CL1325" s="187"/>
    </row>
    <row r="1326" spans="1:90" ht="15.95" hidden="1" customHeight="1" x14ac:dyDescent="0.25">
      <c r="A1326" s="957">
        <f t="shared" ca="1" si="44"/>
        <v>0</v>
      </c>
      <c r="BW1326" s="4"/>
      <c r="BX1326" s="5"/>
      <c r="BY1326" s="5" t="str">
        <f ca="1">IF('Rent Roll'!$AE20=1,'Rent Roll'!E20,"")</f>
        <v/>
      </c>
      <c r="BZ1326" s="39" t="str">
        <f ca="1">IF('Rent Roll'!$AE20=1,'Rent Roll'!G20,"")</f>
        <v/>
      </c>
      <c r="CA1326" s="1547" t="str">
        <f ca="1">IF('Rent Roll'!$AE20=1,'Rent Roll'!K20,"")</f>
        <v/>
      </c>
      <c r="CB1326" s="1551" t="str">
        <f ca="1">IF('Rent Roll'!$AE20=1,'Rent Roll'!N20,"")</f>
        <v/>
      </c>
      <c r="CC1326" s="223"/>
      <c r="CD1326" s="6"/>
      <c r="CE1326" s="32"/>
      <c r="CF1326" s="342"/>
      <c r="CG1326" s="343"/>
      <c r="CH1326" s="342"/>
      <c r="CI1326" s="343"/>
      <c r="CJ1326" s="32"/>
      <c r="CK1326" s="187"/>
      <c r="CL1326" s="187"/>
    </row>
    <row r="1327" spans="1:90" ht="15.95" hidden="1" customHeight="1" x14ac:dyDescent="0.25">
      <c r="A1327" s="957">
        <f t="shared" ca="1" si="44"/>
        <v>0</v>
      </c>
      <c r="BW1327" s="4"/>
      <c r="BX1327" s="5"/>
      <c r="BY1327" s="5" t="str">
        <f ca="1">IF('Rent Roll'!$AE21=1,'Rent Roll'!E21,"")</f>
        <v/>
      </c>
      <c r="BZ1327" s="39" t="str">
        <f ca="1">IF('Rent Roll'!$AE21=1,'Rent Roll'!G21,"")</f>
        <v/>
      </c>
      <c r="CA1327" s="1547" t="str">
        <f ca="1">IF('Rent Roll'!$AE21=1,'Rent Roll'!K21,"")</f>
        <v/>
      </c>
      <c r="CB1327" s="1551" t="str">
        <f ca="1">IF('Rent Roll'!$AE21=1,'Rent Roll'!N21,"")</f>
        <v/>
      </c>
      <c r="CC1327" s="223"/>
      <c r="CD1327" s="6"/>
      <c r="CE1327" s="32"/>
      <c r="CF1327" s="342"/>
      <c r="CG1327" s="343"/>
      <c r="CH1327" s="342"/>
      <c r="CI1327" s="343"/>
      <c r="CJ1327" s="32"/>
      <c r="CK1327" s="187"/>
      <c r="CL1327" s="187"/>
    </row>
    <row r="1328" spans="1:90" ht="15.95" hidden="1" customHeight="1" x14ac:dyDescent="0.25">
      <c r="A1328" s="957">
        <f t="shared" ca="1" si="44"/>
        <v>0</v>
      </c>
      <c r="BW1328" s="4"/>
      <c r="BX1328" s="5"/>
      <c r="BY1328" s="5" t="str">
        <f ca="1">IF('Rent Roll'!$AE22=1,'Rent Roll'!E22,"")</f>
        <v/>
      </c>
      <c r="BZ1328" s="39" t="str">
        <f ca="1">IF('Rent Roll'!$AE22=1,'Rent Roll'!G22,"")</f>
        <v/>
      </c>
      <c r="CA1328" s="1547" t="str">
        <f ca="1">IF('Rent Roll'!$AE22=1,'Rent Roll'!K22,"")</f>
        <v/>
      </c>
      <c r="CB1328" s="1551" t="str">
        <f ca="1">IF('Rent Roll'!$AE22=1,'Rent Roll'!N22,"")</f>
        <v/>
      </c>
      <c r="CC1328" s="223"/>
      <c r="CD1328" s="6"/>
      <c r="CE1328" s="32"/>
      <c r="CF1328" s="342"/>
      <c r="CG1328" s="343"/>
      <c r="CH1328" s="342"/>
      <c r="CI1328" s="343"/>
      <c r="CJ1328" s="32"/>
      <c r="CK1328" s="187"/>
      <c r="CL1328" s="187"/>
    </row>
    <row r="1329" spans="1:90" ht="15.95" hidden="1" customHeight="1" x14ac:dyDescent="0.25">
      <c r="A1329" s="957">
        <f t="shared" ca="1" si="44"/>
        <v>0</v>
      </c>
      <c r="BW1329" s="4"/>
      <c r="BX1329" s="5"/>
      <c r="BY1329" s="5" t="str">
        <f ca="1">IF('Rent Roll'!$AE23=1,'Rent Roll'!E23,"")</f>
        <v/>
      </c>
      <c r="BZ1329" s="39" t="str">
        <f ca="1">IF('Rent Roll'!$AE23=1,'Rent Roll'!G23,"")</f>
        <v/>
      </c>
      <c r="CA1329" s="1547" t="str">
        <f ca="1">IF('Rent Roll'!$AE23=1,'Rent Roll'!K23,"")</f>
        <v/>
      </c>
      <c r="CB1329" s="1551" t="str">
        <f ca="1">IF('Rent Roll'!$AE23=1,'Rent Roll'!N23,"")</f>
        <v/>
      </c>
      <c r="CC1329" s="223"/>
      <c r="CD1329" s="6"/>
      <c r="CE1329" s="32"/>
      <c r="CF1329" s="342"/>
      <c r="CG1329" s="343"/>
      <c r="CH1329" s="342"/>
      <c r="CI1329" s="343"/>
      <c r="CJ1329" s="32"/>
      <c r="CK1329" s="187"/>
      <c r="CL1329" s="187"/>
    </row>
    <row r="1330" spans="1:90" ht="15.95" hidden="1" customHeight="1" x14ac:dyDescent="0.25">
      <c r="A1330" s="957">
        <f t="shared" ca="1" si="44"/>
        <v>0</v>
      </c>
      <c r="BW1330" s="4"/>
      <c r="BX1330" s="5"/>
      <c r="BY1330" s="5" t="str">
        <f ca="1">IF('Rent Roll'!$AE24=1,'Rent Roll'!E24,"")</f>
        <v/>
      </c>
      <c r="BZ1330" s="39" t="str">
        <f ca="1">IF('Rent Roll'!$AE24=1,'Rent Roll'!G24,"")</f>
        <v/>
      </c>
      <c r="CA1330" s="1547" t="str">
        <f ca="1">IF('Rent Roll'!$AE24=1,'Rent Roll'!K24,"")</f>
        <v/>
      </c>
      <c r="CB1330" s="1551" t="str">
        <f ca="1">IF('Rent Roll'!$AE24=1,'Rent Roll'!N24,"")</f>
        <v/>
      </c>
      <c r="CC1330" s="223"/>
      <c r="CD1330" s="6"/>
      <c r="CE1330" s="32"/>
      <c r="CF1330" s="342"/>
      <c r="CG1330" s="343"/>
      <c r="CH1330" s="342"/>
      <c r="CI1330" s="343"/>
      <c r="CJ1330" s="32"/>
      <c r="CK1330" s="187"/>
      <c r="CL1330" s="187"/>
    </row>
    <row r="1331" spans="1:90" ht="15.95" hidden="1" customHeight="1" x14ac:dyDescent="0.25">
      <c r="A1331" s="957">
        <f t="shared" ca="1" si="44"/>
        <v>0</v>
      </c>
      <c r="BW1331" s="4"/>
      <c r="BX1331" s="5"/>
      <c r="BY1331" s="5" t="str">
        <f ca="1">IF('Rent Roll'!$AE25=1,'Rent Roll'!E25,"")</f>
        <v/>
      </c>
      <c r="BZ1331" s="39" t="str">
        <f ca="1">IF('Rent Roll'!$AE25=1,'Rent Roll'!G25,"")</f>
        <v/>
      </c>
      <c r="CA1331" s="1547" t="str">
        <f ca="1">IF('Rent Roll'!$AE25=1,'Rent Roll'!K25,"")</f>
        <v/>
      </c>
      <c r="CB1331" s="1551" t="str">
        <f ca="1">IF('Rent Roll'!$AE25=1,'Rent Roll'!N25,"")</f>
        <v/>
      </c>
      <c r="CC1331" s="223"/>
      <c r="CD1331" s="6"/>
      <c r="CE1331" s="32"/>
      <c r="CF1331" s="342"/>
      <c r="CG1331" s="343"/>
      <c r="CH1331" s="342"/>
      <c r="CI1331" s="343"/>
      <c r="CJ1331" s="32"/>
      <c r="CK1331" s="187"/>
      <c r="CL1331" s="187"/>
    </row>
    <row r="1332" spans="1:90" ht="15.95" hidden="1" customHeight="1" x14ac:dyDescent="0.25">
      <c r="A1332" s="957">
        <f t="shared" ca="1" si="44"/>
        <v>0</v>
      </c>
      <c r="BW1332" s="4"/>
      <c r="BX1332" s="5"/>
      <c r="BY1332" s="5" t="str">
        <f ca="1">IF('Rent Roll'!$AE26=1,'Rent Roll'!E26,"")</f>
        <v/>
      </c>
      <c r="BZ1332" s="39" t="str">
        <f ca="1">IF('Rent Roll'!$AE26=1,'Rent Roll'!G26,"")</f>
        <v/>
      </c>
      <c r="CA1332" s="1547" t="str">
        <f ca="1">IF('Rent Roll'!$AE26=1,'Rent Roll'!K26,"")</f>
        <v/>
      </c>
      <c r="CB1332" s="1551" t="str">
        <f ca="1">IF('Rent Roll'!$AE26=1,'Rent Roll'!N26,"")</f>
        <v/>
      </c>
      <c r="CC1332" s="223"/>
      <c r="CD1332" s="6"/>
      <c r="CE1332" s="32"/>
      <c r="CF1332" s="342"/>
      <c r="CG1332" s="343"/>
      <c r="CH1332" s="342"/>
      <c r="CI1332" s="343"/>
      <c r="CJ1332" s="32"/>
      <c r="CK1332" s="187"/>
      <c r="CL1332" s="187"/>
    </row>
    <row r="1333" spans="1:90" ht="15.95" hidden="1" customHeight="1" x14ac:dyDescent="0.25">
      <c r="A1333" s="957">
        <f t="shared" ca="1" si="44"/>
        <v>0</v>
      </c>
      <c r="BW1333" s="4"/>
      <c r="BX1333" s="5"/>
      <c r="BY1333" s="5" t="str">
        <f ca="1">IF('Rent Roll'!$AE27=1,'Rent Roll'!E27,"")</f>
        <v/>
      </c>
      <c r="BZ1333" s="39" t="str">
        <f ca="1">IF('Rent Roll'!$AE27=1,'Rent Roll'!G27,"")</f>
        <v/>
      </c>
      <c r="CA1333" s="1547" t="str">
        <f ca="1">IF('Rent Roll'!$AE27=1,'Rent Roll'!K27,"")</f>
        <v/>
      </c>
      <c r="CB1333" s="1551" t="str">
        <f ca="1">IF('Rent Roll'!$AE27=1,'Rent Roll'!N27,"")</f>
        <v/>
      </c>
      <c r="CC1333" s="223"/>
      <c r="CD1333" s="6"/>
      <c r="CE1333" s="32"/>
      <c r="CF1333" s="342"/>
      <c r="CG1333" s="343"/>
      <c r="CH1333" s="342"/>
      <c r="CI1333" s="343"/>
      <c r="CJ1333" s="32"/>
      <c r="CK1333" s="187"/>
      <c r="CL1333" s="187"/>
    </row>
    <row r="1334" spans="1:90" ht="15.95" hidden="1" customHeight="1" x14ac:dyDescent="0.25">
      <c r="A1334" s="957">
        <f t="shared" ca="1" si="44"/>
        <v>0</v>
      </c>
      <c r="BW1334" s="4"/>
      <c r="BX1334" s="5"/>
      <c r="BY1334" s="5" t="str">
        <f ca="1">IF('Rent Roll'!$AE28=1,'Rent Roll'!E28,"")</f>
        <v/>
      </c>
      <c r="BZ1334" s="39" t="str">
        <f ca="1">IF('Rent Roll'!$AE28=1,'Rent Roll'!G28,"")</f>
        <v/>
      </c>
      <c r="CA1334" s="1547" t="str">
        <f ca="1">IF('Rent Roll'!$AE28=1,'Rent Roll'!K28,"")</f>
        <v/>
      </c>
      <c r="CB1334" s="1551" t="str">
        <f ca="1">IF('Rent Roll'!$AE28=1,'Rent Roll'!N28,"")</f>
        <v/>
      </c>
      <c r="CC1334" s="223"/>
      <c r="CD1334" s="6"/>
      <c r="CE1334" s="32"/>
      <c r="CF1334" s="342"/>
      <c r="CG1334" s="343"/>
      <c r="CH1334" s="342"/>
      <c r="CI1334" s="343"/>
      <c r="CJ1334" s="32"/>
      <c r="CK1334" s="187"/>
      <c r="CL1334" s="187"/>
    </row>
    <row r="1335" spans="1:90" ht="15.95" hidden="1" customHeight="1" x14ac:dyDescent="0.25">
      <c r="A1335" s="957">
        <f t="shared" ca="1" si="44"/>
        <v>0</v>
      </c>
      <c r="BW1335" s="4"/>
      <c r="BX1335" s="5"/>
      <c r="BY1335" s="5" t="str">
        <f ca="1">IF('Rent Roll'!$AE29=1,'Rent Roll'!E29,"")</f>
        <v/>
      </c>
      <c r="BZ1335" s="39" t="str">
        <f ca="1">IF('Rent Roll'!$AE29=1,'Rent Roll'!G29,"")</f>
        <v/>
      </c>
      <c r="CA1335" s="1547" t="str">
        <f ca="1">IF('Rent Roll'!$AE29=1,'Rent Roll'!K29,"")</f>
        <v/>
      </c>
      <c r="CB1335" s="1551" t="str">
        <f ca="1">IF('Rent Roll'!$AE29=1,'Rent Roll'!N29,"")</f>
        <v/>
      </c>
      <c r="CC1335" s="223"/>
      <c r="CD1335" s="6"/>
      <c r="CE1335" s="32"/>
      <c r="CF1335" s="342"/>
      <c r="CG1335" s="343"/>
      <c r="CH1335" s="342"/>
      <c r="CI1335" s="343"/>
      <c r="CJ1335" s="32"/>
      <c r="CK1335" s="187"/>
      <c r="CL1335" s="187"/>
    </row>
    <row r="1336" spans="1:90" ht="15.95" hidden="1" customHeight="1" x14ac:dyDescent="0.25">
      <c r="A1336" s="957">
        <f t="shared" ca="1" si="44"/>
        <v>0</v>
      </c>
      <c r="BW1336" s="4"/>
      <c r="BX1336" s="5"/>
      <c r="BY1336" s="5" t="str">
        <f ca="1">IF('Rent Roll'!$AE30=1,'Rent Roll'!E30,"")</f>
        <v/>
      </c>
      <c r="BZ1336" s="39" t="str">
        <f ca="1">IF('Rent Roll'!$AE30=1,'Rent Roll'!G30,"")</f>
        <v/>
      </c>
      <c r="CA1336" s="1547" t="str">
        <f ca="1">IF('Rent Roll'!$AE30=1,'Rent Roll'!K30,"")</f>
        <v/>
      </c>
      <c r="CB1336" s="1551" t="str">
        <f ca="1">IF('Rent Roll'!$AE30=1,'Rent Roll'!N30,"")</f>
        <v/>
      </c>
      <c r="CC1336" s="223"/>
      <c r="CD1336" s="6"/>
      <c r="CE1336" s="32"/>
      <c r="CF1336" s="342"/>
      <c r="CG1336" s="343"/>
      <c r="CH1336" s="342"/>
      <c r="CI1336" s="343"/>
      <c r="CJ1336" s="32"/>
      <c r="CK1336" s="187"/>
      <c r="CL1336" s="187"/>
    </row>
    <row r="1337" spans="1:90" ht="15.95" hidden="1" customHeight="1" x14ac:dyDescent="0.25">
      <c r="A1337" s="957">
        <f t="shared" ca="1" si="44"/>
        <v>0</v>
      </c>
      <c r="BW1337" s="4"/>
      <c r="BX1337" s="5"/>
      <c r="BY1337" s="5" t="str">
        <f ca="1">IF('Rent Roll'!$AE31=1,'Rent Roll'!E31,"")</f>
        <v/>
      </c>
      <c r="BZ1337" s="39" t="str">
        <f ca="1">IF('Rent Roll'!$AE31=1,'Rent Roll'!G31,"")</f>
        <v/>
      </c>
      <c r="CA1337" s="1547" t="str">
        <f ca="1">IF('Rent Roll'!$AE31=1,'Rent Roll'!K31,"")</f>
        <v/>
      </c>
      <c r="CB1337" s="1551" t="str">
        <f ca="1">IF('Rent Roll'!$AE31=1,'Rent Roll'!N31,"")</f>
        <v/>
      </c>
      <c r="CC1337" s="223"/>
      <c r="CD1337" s="6"/>
      <c r="CE1337" s="32"/>
      <c r="CF1337" s="342"/>
      <c r="CG1337" s="343"/>
      <c r="CH1337" s="342"/>
      <c r="CI1337" s="343"/>
      <c r="CJ1337" s="32"/>
      <c r="CK1337" s="187"/>
      <c r="CL1337" s="187"/>
    </row>
    <row r="1338" spans="1:90" ht="15.95" hidden="1" customHeight="1" x14ac:dyDescent="0.25">
      <c r="A1338" s="957">
        <f t="shared" ca="1" si="44"/>
        <v>0</v>
      </c>
      <c r="BW1338" s="4"/>
      <c r="BX1338" s="5"/>
      <c r="BY1338" s="5" t="str">
        <f ca="1">IF('Rent Roll'!$AE32=1,'Rent Roll'!E32,"")</f>
        <v/>
      </c>
      <c r="BZ1338" s="39" t="str">
        <f ca="1">IF('Rent Roll'!$AE32=1,'Rent Roll'!G32,"")</f>
        <v/>
      </c>
      <c r="CA1338" s="1547" t="str">
        <f ca="1">IF('Rent Roll'!$AE32=1,'Rent Roll'!K32,"")</f>
        <v/>
      </c>
      <c r="CB1338" s="1551" t="str">
        <f ca="1">IF('Rent Roll'!$AE32=1,'Rent Roll'!N32,"")</f>
        <v/>
      </c>
      <c r="CC1338" s="223"/>
      <c r="CD1338" s="6"/>
      <c r="CE1338" s="32"/>
      <c r="CF1338" s="342"/>
      <c r="CG1338" s="343"/>
      <c r="CH1338" s="342"/>
      <c r="CI1338" s="343"/>
      <c r="CJ1338" s="32"/>
      <c r="CK1338" s="187"/>
      <c r="CL1338" s="187"/>
    </row>
    <row r="1339" spans="1:90" ht="15.95" hidden="1" customHeight="1" x14ac:dyDescent="0.25">
      <c r="A1339" s="957">
        <f t="shared" ca="1" si="44"/>
        <v>0</v>
      </c>
      <c r="BW1339" s="4"/>
      <c r="BX1339" s="5"/>
      <c r="BY1339" s="5" t="str">
        <f ca="1">IF('Rent Roll'!$AE33=1,'Rent Roll'!E33,"")</f>
        <v/>
      </c>
      <c r="BZ1339" s="39" t="str">
        <f ca="1">IF('Rent Roll'!$AE33=1,'Rent Roll'!G33,"")</f>
        <v/>
      </c>
      <c r="CA1339" s="1547" t="str">
        <f ca="1">IF('Rent Roll'!$AE33=1,'Rent Roll'!K33,"")</f>
        <v/>
      </c>
      <c r="CB1339" s="1551" t="str">
        <f ca="1">IF('Rent Roll'!$AE33=1,'Rent Roll'!N33,"")</f>
        <v/>
      </c>
      <c r="CC1339" s="223"/>
      <c r="CD1339" s="6"/>
      <c r="CE1339" s="32"/>
      <c r="CF1339" s="342"/>
      <c r="CG1339" s="343"/>
      <c r="CH1339" s="342"/>
      <c r="CI1339" s="343"/>
      <c r="CJ1339" s="32"/>
      <c r="CK1339" s="187"/>
      <c r="CL1339" s="187"/>
    </row>
    <row r="1340" spans="1:90" ht="15.95" hidden="1" customHeight="1" x14ac:dyDescent="0.25">
      <c r="A1340" s="957">
        <f t="shared" ca="1" si="44"/>
        <v>0</v>
      </c>
      <c r="BW1340" s="4"/>
      <c r="BX1340" s="5"/>
      <c r="BY1340" s="5" t="str">
        <f ca="1">IF('Rent Roll'!$AE34=1,'Rent Roll'!E34,"")</f>
        <v/>
      </c>
      <c r="BZ1340" s="39" t="str">
        <f ca="1">IF('Rent Roll'!$AE34=1,'Rent Roll'!G34,"")</f>
        <v/>
      </c>
      <c r="CA1340" s="1547" t="str">
        <f ca="1">IF('Rent Roll'!$AE34=1,'Rent Roll'!K34,"")</f>
        <v/>
      </c>
      <c r="CB1340" s="1551" t="str">
        <f ca="1">IF('Rent Roll'!$AE34=1,'Rent Roll'!N34,"")</f>
        <v/>
      </c>
      <c r="CC1340" s="223"/>
      <c r="CD1340" s="6"/>
      <c r="CE1340" s="32"/>
      <c r="CF1340" s="342"/>
      <c r="CG1340" s="343"/>
      <c r="CH1340" s="342"/>
      <c r="CI1340" s="343"/>
      <c r="CJ1340" s="32"/>
      <c r="CK1340" s="187"/>
      <c r="CL1340" s="187"/>
    </row>
    <row r="1341" spans="1:90" ht="15.95" hidden="1" customHeight="1" x14ac:dyDescent="0.25">
      <c r="A1341" s="957">
        <f t="shared" ca="1" si="44"/>
        <v>0</v>
      </c>
      <c r="BW1341" s="4"/>
      <c r="BX1341" s="5"/>
      <c r="BY1341" s="5" t="str">
        <f ca="1">IF('Rent Roll'!$AE35=1,'Rent Roll'!E35,"")</f>
        <v/>
      </c>
      <c r="BZ1341" s="39" t="str">
        <f ca="1">IF('Rent Roll'!$AE35=1,'Rent Roll'!G35,"")</f>
        <v/>
      </c>
      <c r="CA1341" s="1547" t="str">
        <f ca="1">IF('Rent Roll'!$AE35=1,'Rent Roll'!K35,"")</f>
        <v/>
      </c>
      <c r="CB1341" s="1551" t="str">
        <f ca="1">IF('Rent Roll'!$AE35=1,'Rent Roll'!N35,"")</f>
        <v/>
      </c>
      <c r="CC1341" s="223"/>
      <c r="CD1341" s="6"/>
      <c r="CE1341" s="32"/>
      <c r="CF1341" s="342"/>
      <c r="CG1341" s="343"/>
      <c r="CH1341" s="342"/>
      <c r="CI1341" s="343"/>
      <c r="CJ1341" s="32"/>
      <c r="CK1341" s="187"/>
      <c r="CL1341" s="187"/>
    </row>
    <row r="1342" spans="1:90" ht="15.95" hidden="1" customHeight="1" x14ac:dyDescent="0.25">
      <c r="A1342" s="957">
        <f t="shared" ca="1" si="44"/>
        <v>0</v>
      </c>
      <c r="BW1342" s="4"/>
      <c r="BX1342" s="5"/>
      <c r="BY1342" s="5" t="str">
        <f ca="1">IF('Rent Roll'!$AE36=1,'Rent Roll'!E36,"")</f>
        <v/>
      </c>
      <c r="BZ1342" s="39" t="str">
        <f ca="1">IF('Rent Roll'!$AE36=1,'Rent Roll'!G36,"")</f>
        <v/>
      </c>
      <c r="CA1342" s="1547" t="str">
        <f ca="1">IF('Rent Roll'!$AE36=1,'Rent Roll'!K36,"")</f>
        <v/>
      </c>
      <c r="CB1342" s="1551" t="str">
        <f ca="1">IF('Rent Roll'!$AE36=1,'Rent Roll'!N36,"")</f>
        <v/>
      </c>
      <c r="CC1342" s="223"/>
      <c r="CD1342" s="6"/>
      <c r="CE1342" s="32"/>
      <c r="CF1342" s="342"/>
      <c r="CG1342" s="343"/>
      <c r="CH1342" s="342"/>
      <c r="CI1342" s="343"/>
      <c r="CJ1342" s="32"/>
      <c r="CK1342" s="187"/>
      <c r="CL1342" s="187"/>
    </row>
    <row r="1343" spans="1:90" ht="15.95" hidden="1" customHeight="1" x14ac:dyDescent="0.25">
      <c r="A1343" s="957">
        <f t="shared" ca="1" si="44"/>
        <v>0</v>
      </c>
      <c r="BW1343" s="4"/>
      <c r="BX1343" s="5"/>
      <c r="BY1343" s="5" t="str">
        <f ca="1">IF('Rent Roll'!$AE37=1,'Rent Roll'!E37,"")</f>
        <v/>
      </c>
      <c r="BZ1343" s="39" t="str">
        <f ca="1">IF('Rent Roll'!$AE37=1,'Rent Roll'!G37,"")</f>
        <v/>
      </c>
      <c r="CA1343" s="1547" t="str">
        <f ca="1">IF('Rent Roll'!$AE37=1,'Rent Roll'!K37,"")</f>
        <v/>
      </c>
      <c r="CB1343" s="1551" t="str">
        <f ca="1">IF('Rent Roll'!$AE37=1,'Rent Roll'!N37,"")</f>
        <v/>
      </c>
      <c r="CC1343" s="223"/>
      <c r="CD1343" s="6"/>
      <c r="CE1343" s="32"/>
      <c r="CF1343" s="342"/>
      <c r="CG1343" s="343"/>
      <c r="CH1343" s="342"/>
      <c r="CI1343" s="343"/>
      <c r="CJ1343" s="32"/>
      <c r="CK1343" s="187"/>
      <c r="CL1343" s="187"/>
    </row>
    <row r="1344" spans="1:90" ht="15.95" hidden="1" customHeight="1" x14ac:dyDescent="0.25">
      <c r="A1344" s="957">
        <f t="shared" ca="1" si="44"/>
        <v>0</v>
      </c>
      <c r="BW1344" s="4"/>
      <c r="BX1344" s="5"/>
      <c r="BY1344" s="5" t="str">
        <f ca="1">IF('Rent Roll'!$AE38=1,'Rent Roll'!E38,"")</f>
        <v/>
      </c>
      <c r="BZ1344" s="39" t="str">
        <f ca="1">IF('Rent Roll'!$AE38=1,'Rent Roll'!G38,"")</f>
        <v/>
      </c>
      <c r="CA1344" s="1547" t="str">
        <f ca="1">IF('Rent Roll'!$AE38=1,'Rent Roll'!K38,"")</f>
        <v/>
      </c>
      <c r="CB1344" s="1551" t="str">
        <f ca="1">IF('Rent Roll'!$AE38=1,'Rent Roll'!N38,"")</f>
        <v/>
      </c>
      <c r="CC1344" s="223"/>
      <c r="CD1344" s="6"/>
      <c r="CE1344" s="32"/>
      <c r="CF1344" s="342"/>
      <c r="CG1344" s="343"/>
      <c r="CH1344" s="342"/>
      <c r="CI1344" s="343"/>
      <c r="CJ1344" s="32"/>
      <c r="CK1344" s="187"/>
      <c r="CL1344" s="187"/>
    </row>
    <row r="1345" spans="1:90" ht="15.95" hidden="1" customHeight="1" x14ac:dyDescent="0.25">
      <c r="A1345" s="957">
        <f t="shared" ref="A1345:A1376" ca="1" si="45">IF(BY1345="",0,1)</f>
        <v>0</v>
      </c>
      <c r="BW1345" s="4"/>
      <c r="BX1345" s="5"/>
      <c r="BY1345" s="5" t="str">
        <f ca="1">IF('Rent Roll'!$AE39=1,'Rent Roll'!E39,"")</f>
        <v/>
      </c>
      <c r="BZ1345" s="39" t="str">
        <f ca="1">IF('Rent Roll'!$AE39=1,'Rent Roll'!G39,"")</f>
        <v/>
      </c>
      <c r="CA1345" s="1547" t="str">
        <f ca="1">IF('Rent Roll'!$AE39=1,'Rent Roll'!K39,"")</f>
        <v/>
      </c>
      <c r="CB1345" s="1551" t="str">
        <f ca="1">IF('Rent Roll'!$AE39=1,'Rent Roll'!N39,"")</f>
        <v/>
      </c>
      <c r="CC1345" s="223"/>
      <c r="CD1345" s="6"/>
      <c r="CE1345" s="32"/>
      <c r="CF1345" s="342"/>
      <c r="CG1345" s="343"/>
      <c r="CH1345" s="342"/>
      <c r="CI1345" s="343"/>
      <c r="CJ1345" s="32"/>
      <c r="CK1345" s="187"/>
      <c r="CL1345" s="187"/>
    </row>
    <row r="1346" spans="1:90" ht="15.95" hidden="1" customHeight="1" x14ac:dyDescent="0.25">
      <c r="A1346" s="957">
        <f t="shared" ca="1" si="45"/>
        <v>0</v>
      </c>
      <c r="BW1346" s="4"/>
      <c r="BX1346" s="5"/>
      <c r="BY1346" s="5" t="str">
        <f ca="1">IF('Rent Roll'!$AE40=1,'Rent Roll'!E40,"")</f>
        <v/>
      </c>
      <c r="BZ1346" s="39" t="str">
        <f ca="1">IF('Rent Roll'!$AE40=1,'Rent Roll'!G40,"")</f>
        <v/>
      </c>
      <c r="CA1346" s="1547" t="str">
        <f ca="1">IF('Rent Roll'!$AE40=1,'Rent Roll'!K40,"")</f>
        <v/>
      </c>
      <c r="CB1346" s="1551" t="str">
        <f ca="1">IF('Rent Roll'!$AE40=1,'Rent Roll'!N40,"")</f>
        <v/>
      </c>
      <c r="CC1346" s="223"/>
      <c r="CD1346" s="6"/>
      <c r="CE1346" s="32"/>
      <c r="CF1346" s="342"/>
      <c r="CG1346" s="343"/>
      <c r="CH1346" s="342"/>
      <c r="CI1346" s="343"/>
      <c r="CJ1346" s="32"/>
      <c r="CK1346" s="187"/>
      <c r="CL1346" s="187"/>
    </row>
    <row r="1347" spans="1:90" ht="15.95" hidden="1" customHeight="1" x14ac:dyDescent="0.25">
      <c r="A1347" s="957">
        <f t="shared" ca="1" si="45"/>
        <v>0</v>
      </c>
      <c r="BW1347" s="4"/>
      <c r="BX1347" s="5"/>
      <c r="BY1347" s="5" t="str">
        <f ca="1">IF('Rent Roll'!$AE41=1,'Rent Roll'!E41,"")</f>
        <v/>
      </c>
      <c r="BZ1347" s="39" t="str">
        <f ca="1">IF('Rent Roll'!$AE41=1,'Rent Roll'!G41,"")</f>
        <v/>
      </c>
      <c r="CA1347" s="1547" t="str">
        <f ca="1">IF('Rent Roll'!$AE41=1,'Rent Roll'!K41,"")</f>
        <v/>
      </c>
      <c r="CB1347" s="1551" t="str">
        <f ca="1">IF('Rent Roll'!$AE41=1,'Rent Roll'!N41,"")</f>
        <v/>
      </c>
      <c r="CC1347" s="223"/>
      <c r="CD1347" s="6"/>
      <c r="CE1347" s="32"/>
      <c r="CF1347" s="342"/>
      <c r="CG1347" s="343"/>
      <c r="CH1347" s="342"/>
      <c r="CI1347" s="343"/>
      <c r="CJ1347" s="32"/>
      <c r="CK1347" s="187"/>
      <c r="CL1347" s="187"/>
    </row>
    <row r="1348" spans="1:90" ht="15.95" hidden="1" customHeight="1" x14ac:dyDescent="0.25">
      <c r="A1348" s="957">
        <f t="shared" ca="1" si="45"/>
        <v>0</v>
      </c>
      <c r="BW1348" s="4"/>
      <c r="BX1348" s="5"/>
      <c r="BY1348" s="5" t="str">
        <f ca="1">IF('Rent Roll'!$AE42=1,'Rent Roll'!E42,"")</f>
        <v/>
      </c>
      <c r="BZ1348" s="39" t="str">
        <f ca="1">IF('Rent Roll'!$AE42=1,'Rent Roll'!G42,"")</f>
        <v/>
      </c>
      <c r="CA1348" s="1547" t="str">
        <f ca="1">IF('Rent Roll'!$AE42=1,'Rent Roll'!K42,"")</f>
        <v/>
      </c>
      <c r="CB1348" s="1551" t="str">
        <f ca="1">IF('Rent Roll'!$AE42=1,'Rent Roll'!N42,"")</f>
        <v/>
      </c>
      <c r="CC1348" s="223"/>
      <c r="CD1348" s="6"/>
      <c r="CE1348" s="32"/>
      <c r="CF1348" s="342"/>
      <c r="CG1348" s="343"/>
      <c r="CH1348" s="342"/>
      <c r="CI1348" s="343"/>
      <c r="CJ1348" s="32"/>
      <c r="CK1348" s="187"/>
      <c r="CL1348" s="187"/>
    </row>
    <row r="1349" spans="1:90" ht="15.95" hidden="1" customHeight="1" x14ac:dyDescent="0.25">
      <c r="A1349" s="957">
        <f t="shared" ca="1" si="45"/>
        <v>0</v>
      </c>
      <c r="BW1349" s="4"/>
      <c r="BX1349" s="5"/>
      <c r="BY1349" s="5" t="str">
        <f ca="1">IF('Rent Roll'!$AE43=1,'Rent Roll'!E43,"")</f>
        <v/>
      </c>
      <c r="BZ1349" s="39" t="str">
        <f ca="1">IF('Rent Roll'!$AE43=1,'Rent Roll'!G43,"")</f>
        <v/>
      </c>
      <c r="CA1349" s="1547" t="str">
        <f ca="1">IF('Rent Roll'!$AE43=1,'Rent Roll'!K43,"")</f>
        <v/>
      </c>
      <c r="CB1349" s="1551" t="str">
        <f ca="1">IF('Rent Roll'!$AE43=1,'Rent Roll'!N43,"")</f>
        <v/>
      </c>
      <c r="CC1349" s="223"/>
      <c r="CD1349" s="6"/>
      <c r="CE1349" s="32"/>
      <c r="CF1349" s="342"/>
      <c r="CG1349" s="343"/>
      <c r="CH1349" s="342"/>
      <c r="CI1349" s="343"/>
      <c r="CJ1349" s="32"/>
      <c r="CK1349" s="187"/>
      <c r="CL1349" s="187"/>
    </row>
    <row r="1350" spans="1:90" ht="15.95" hidden="1" customHeight="1" x14ac:dyDescent="0.25">
      <c r="A1350" s="957">
        <f t="shared" ca="1" si="45"/>
        <v>0</v>
      </c>
      <c r="BW1350" s="4"/>
      <c r="BX1350" s="5"/>
      <c r="BY1350" s="5" t="str">
        <f ca="1">IF('Rent Roll'!$AE44=1,'Rent Roll'!E44,"")</f>
        <v/>
      </c>
      <c r="BZ1350" s="39" t="str">
        <f ca="1">IF('Rent Roll'!$AE44=1,'Rent Roll'!G44,"")</f>
        <v/>
      </c>
      <c r="CA1350" s="1547" t="str">
        <f ca="1">IF('Rent Roll'!$AE44=1,'Rent Roll'!K44,"")</f>
        <v/>
      </c>
      <c r="CB1350" s="1551" t="str">
        <f ca="1">IF('Rent Roll'!$AE44=1,'Rent Roll'!N44,"")</f>
        <v/>
      </c>
      <c r="CC1350" s="223"/>
      <c r="CD1350" s="6"/>
      <c r="CE1350" s="32"/>
      <c r="CF1350" s="342"/>
      <c r="CG1350" s="343"/>
      <c r="CH1350" s="342"/>
      <c r="CI1350" s="343"/>
      <c r="CJ1350" s="32"/>
      <c r="CK1350" s="187"/>
      <c r="CL1350" s="187"/>
    </row>
    <row r="1351" spans="1:90" ht="15.95" hidden="1" customHeight="1" x14ac:dyDescent="0.25">
      <c r="A1351" s="957">
        <f t="shared" ca="1" si="45"/>
        <v>0</v>
      </c>
      <c r="BW1351" s="4"/>
      <c r="BX1351" s="5"/>
      <c r="BY1351" s="5" t="str">
        <f ca="1">IF('Rent Roll'!$AE45=1,'Rent Roll'!E45,"")</f>
        <v/>
      </c>
      <c r="BZ1351" s="39" t="str">
        <f ca="1">IF('Rent Roll'!$AE45=1,'Rent Roll'!G45,"")</f>
        <v/>
      </c>
      <c r="CA1351" s="1547" t="str">
        <f ca="1">IF('Rent Roll'!$AE45=1,'Rent Roll'!K45,"")</f>
        <v/>
      </c>
      <c r="CB1351" s="1551" t="str">
        <f ca="1">IF('Rent Roll'!$AE45=1,'Rent Roll'!N45,"")</f>
        <v/>
      </c>
      <c r="CC1351" s="223"/>
      <c r="CD1351" s="6"/>
      <c r="CE1351" s="32"/>
      <c r="CF1351" s="342"/>
      <c r="CG1351" s="343"/>
      <c r="CH1351" s="342"/>
      <c r="CI1351" s="343"/>
      <c r="CJ1351" s="32"/>
      <c r="CK1351" s="187"/>
      <c r="CL1351" s="187"/>
    </row>
    <row r="1352" spans="1:90" ht="15.95" hidden="1" customHeight="1" x14ac:dyDescent="0.25">
      <c r="A1352" s="957">
        <f t="shared" ca="1" si="45"/>
        <v>0</v>
      </c>
      <c r="BW1352" s="4"/>
      <c r="BX1352" s="5"/>
      <c r="BY1352" s="5" t="str">
        <f ca="1">IF('Rent Roll'!$AE46=1,'Rent Roll'!E46,"")</f>
        <v/>
      </c>
      <c r="BZ1352" s="39" t="str">
        <f ca="1">IF('Rent Roll'!$AE46=1,'Rent Roll'!G46,"")</f>
        <v/>
      </c>
      <c r="CA1352" s="1547" t="str">
        <f ca="1">IF('Rent Roll'!$AE46=1,'Rent Roll'!K46,"")</f>
        <v/>
      </c>
      <c r="CB1352" s="1551" t="str">
        <f ca="1">IF('Rent Roll'!$AE46=1,'Rent Roll'!N46,"")</f>
        <v/>
      </c>
      <c r="CC1352" s="223"/>
      <c r="CD1352" s="6"/>
      <c r="CE1352" s="32"/>
      <c r="CF1352" s="342"/>
      <c r="CG1352" s="343"/>
      <c r="CH1352" s="342"/>
      <c r="CI1352" s="343"/>
      <c r="CJ1352" s="32"/>
      <c r="CK1352" s="187"/>
      <c r="CL1352" s="187"/>
    </row>
    <row r="1353" spans="1:90" ht="15.95" hidden="1" customHeight="1" x14ac:dyDescent="0.25">
      <c r="A1353" s="957">
        <f t="shared" ca="1" si="45"/>
        <v>0</v>
      </c>
      <c r="BW1353" s="4"/>
      <c r="BX1353" s="5"/>
      <c r="BY1353" s="5" t="str">
        <f ca="1">IF('Rent Roll'!$AE47=1,'Rent Roll'!E47,"")</f>
        <v/>
      </c>
      <c r="BZ1353" s="39" t="str">
        <f ca="1">IF('Rent Roll'!$AE47=1,'Rent Roll'!G47,"")</f>
        <v/>
      </c>
      <c r="CA1353" s="1547" t="str">
        <f ca="1">IF('Rent Roll'!$AE47=1,'Rent Roll'!K47,"")</f>
        <v/>
      </c>
      <c r="CB1353" s="1551" t="str">
        <f ca="1">IF('Rent Roll'!$AE47=1,'Rent Roll'!N47,"")</f>
        <v/>
      </c>
      <c r="CC1353" s="223"/>
      <c r="CD1353" s="6"/>
      <c r="CE1353" s="32"/>
      <c r="CF1353" s="342"/>
      <c r="CG1353" s="343"/>
      <c r="CH1353" s="342"/>
      <c r="CI1353" s="343"/>
      <c r="CJ1353" s="32"/>
      <c r="CK1353" s="187"/>
      <c r="CL1353" s="187"/>
    </row>
    <row r="1354" spans="1:90" ht="15.95" hidden="1" customHeight="1" x14ac:dyDescent="0.25">
      <c r="A1354" s="957">
        <f t="shared" ca="1" si="45"/>
        <v>0</v>
      </c>
      <c r="BW1354" s="4"/>
      <c r="BX1354" s="5"/>
      <c r="BY1354" s="5" t="str">
        <f ca="1">IF('Rent Roll'!$AE48=1,'Rent Roll'!E48,"")</f>
        <v/>
      </c>
      <c r="BZ1354" s="39" t="str">
        <f ca="1">IF('Rent Roll'!$AE48=1,'Rent Roll'!G48,"")</f>
        <v/>
      </c>
      <c r="CA1354" s="1547" t="str">
        <f ca="1">IF('Rent Roll'!$AE48=1,'Rent Roll'!K48,"")</f>
        <v/>
      </c>
      <c r="CB1354" s="1551" t="str">
        <f ca="1">IF('Rent Roll'!$AE48=1,'Rent Roll'!N48,"")</f>
        <v/>
      </c>
      <c r="CC1354" s="223"/>
      <c r="CD1354" s="6"/>
      <c r="CE1354" s="32"/>
      <c r="CF1354" s="342"/>
      <c r="CG1354" s="343"/>
      <c r="CH1354" s="342"/>
      <c r="CI1354" s="343"/>
      <c r="CJ1354" s="32"/>
      <c r="CK1354" s="187"/>
      <c r="CL1354" s="187"/>
    </row>
    <row r="1355" spans="1:90" ht="15.95" hidden="1" customHeight="1" x14ac:dyDescent="0.25">
      <c r="A1355" s="957">
        <f t="shared" ca="1" si="45"/>
        <v>0</v>
      </c>
      <c r="BW1355" s="4"/>
      <c r="BX1355" s="5"/>
      <c r="BY1355" s="5" t="str">
        <f ca="1">IF('Rent Roll'!$AE49=1,'Rent Roll'!E49,"")</f>
        <v/>
      </c>
      <c r="BZ1355" s="39" t="str">
        <f ca="1">IF('Rent Roll'!$AE49=1,'Rent Roll'!G49,"")</f>
        <v/>
      </c>
      <c r="CA1355" s="1547" t="str">
        <f ca="1">IF('Rent Roll'!$AE49=1,'Rent Roll'!K49,"")</f>
        <v/>
      </c>
      <c r="CB1355" s="1551" t="str">
        <f ca="1">IF('Rent Roll'!$AE49=1,'Rent Roll'!N49,"")</f>
        <v/>
      </c>
      <c r="CC1355" s="223"/>
      <c r="CD1355" s="6"/>
      <c r="CE1355" s="32"/>
      <c r="CF1355" s="342"/>
      <c r="CG1355" s="343"/>
      <c r="CH1355" s="342"/>
      <c r="CI1355" s="343"/>
      <c r="CJ1355" s="32"/>
      <c r="CK1355" s="187"/>
      <c r="CL1355" s="187"/>
    </row>
    <row r="1356" spans="1:90" ht="15.95" hidden="1" customHeight="1" x14ac:dyDescent="0.25">
      <c r="A1356" s="957">
        <f t="shared" ca="1" si="45"/>
        <v>0</v>
      </c>
      <c r="BW1356" s="4"/>
      <c r="BX1356" s="5"/>
      <c r="BY1356" s="5" t="str">
        <f ca="1">IF('Rent Roll'!$AE50=1,'Rent Roll'!E50,"")</f>
        <v/>
      </c>
      <c r="BZ1356" s="39" t="str">
        <f ca="1">IF('Rent Roll'!$AE50=1,'Rent Roll'!G50,"")</f>
        <v/>
      </c>
      <c r="CA1356" s="1547" t="str">
        <f ca="1">IF('Rent Roll'!$AE50=1,'Rent Roll'!K50,"")</f>
        <v/>
      </c>
      <c r="CB1356" s="1551" t="str">
        <f ca="1">IF('Rent Roll'!$AE50=1,'Rent Roll'!N50,"")</f>
        <v/>
      </c>
      <c r="CC1356" s="223"/>
      <c r="CD1356" s="6"/>
      <c r="CE1356" s="32"/>
      <c r="CF1356" s="342"/>
      <c r="CG1356" s="343"/>
      <c r="CH1356" s="342"/>
      <c r="CI1356" s="343"/>
      <c r="CJ1356" s="32"/>
      <c r="CK1356" s="187"/>
      <c r="CL1356" s="187"/>
    </row>
    <row r="1357" spans="1:90" ht="15.95" hidden="1" customHeight="1" x14ac:dyDescent="0.25">
      <c r="A1357" s="957">
        <f t="shared" ca="1" si="45"/>
        <v>0</v>
      </c>
      <c r="BW1357" s="4"/>
      <c r="BX1357" s="5"/>
      <c r="BY1357" s="5" t="str">
        <f ca="1">IF('Rent Roll'!$AE51=1,'Rent Roll'!E51,"")</f>
        <v/>
      </c>
      <c r="BZ1357" s="39" t="str">
        <f ca="1">IF('Rent Roll'!$AE51=1,'Rent Roll'!G51,"")</f>
        <v/>
      </c>
      <c r="CA1357" s="1547" t="str">
        <f ca="1">IF('Rent Roll'!$AE51=1,'Rent Roll'!K51,"")</f>
        <v/>
      </c>
      <c r="CB1357" s="1551" t="str">
        <f ca="1">IF('Rent Roll'!$AE51=1,'Rent Roll'!N51,"")</f>
        <v/>
      </c>
      <c r="CC1357" s="223"/>
      <c r="CD1357" s="6"/>
      <c r="CE1357" s="32"/>
      <c r="CF1357" s="342"/>
      <c r="CG1357" s="343"/>
      <c r="CH1357" s="342"/>
      <c r="CI1357" s="343"/>
      <c r="CJ1357" s="32"/>
      <c r="CK1357" s="187"/>
      <c r="CL1357" s="187"/>
    </row>
    <row r="1358" spans="1:90" ht="15.95" hidden="1" customHeight="1" x14ac:dyDescent="0.25">
      <c r="A1358" s="957">
        <f t="shared" ca="1" si="45"/>
        <v>0</v>
      </c>
      <c r="BW1358" s="4"/>
      <c r="BX1358" s="5"/>
      <c r="BY1358" s="5" t="str">
        <f ca="1">IF('Rent Roll'!$AE52=1,'Rent Roll'!E52,"")</f>
        <v/>
      </c>
      <c r="BZ1358" s="39" t="str">
        <f ca="1">IF('Rent Roll'!$AE52=1,'Rent Roll'!G52,"")</f>
        <v/>
      </c>
      <c r="CA1358" s="1547" t="str">
        <f ca="1">IF('Rent Roll'!$AE52=1,'Rent Roll'!K52,"")</f>
        <v/>
      </c>
      <c r="CB1358" s="1551" t="str">
        <f ca="1">IF('Rent Roll'!$AE52=1,'Rent Roll'!N52,"")</f>
        <v/>
      </c>
      <c r="CC1358" s="223"/>
      <c r="CD1358" s="6"/>
      <c r="CE1358" s="32"/>
      <c r="CF1358" s="342"/>
      <c r="CG1358" s="343"/>
      <c r="CH1358" s="342"/>
      <c r="CI1358" s="343"/>
      <c r="CJ1358" s="32"/>
      <c r="CK1358" s="187"/>
      <c r="CL1358" s="187"/>
    </row>
    <row r="1359" spans="1:90" ht="15.95" hidden="1" customHeight="1" x14ac:dyDescent="0.25">
      <c r="A1359" s="957">
        <f t="shared" ca="1" si="45"/>
        <v>0</v>
      </c>
      <c r="BW1359" s="4"/>
      <c r="BX1359" s="5"/>
      <c r="BY1359" s="5" t="str">
        <f ca="1">IF('Rent Roll'!$AE53=1,'Rent Roll'!E53,"")</f>
        <v/>
      </c>
      <c r="BZ1359" s="39" t="str">
        <f ca="1">IF('Rent Roll'!$AE53=1,'Rent Roll'!G53,"")</f>
        <v/>
      </c>
      <c r="CA1359" s="1547" t="str">
        <f ca="1">IF('Rent Roll'!$AE53=1,'Rent Roll'!K53,"")</f>
        <v/>
      </c>
      <c r="CB1359" s="1551" t="str">
        <f ca="1">IF('Rent Roll'!$AE53=1,'Rent Roll'!N53,"")</f>
        <v/>
      </c>
      <c r="CC1359" s="223"/>
      <c r="CD1359" s="6"/>
      <c r="CE1359" s="32"/>
      <c r="CF1359" s="342"/>
      <c r="CG1359" s="343"/>
      <c r="CH1359" s="342"/>
      <c r="CI1359" s="343"/>
      <c r="CJ1359" s="32"/>
      <c r="CK1359" s="187"/>
      <c r="CL1359" s="187"/>
    </row>
    <row r="1360" spans="1:90" ht="15.95" hidden="1" customHeight="1" x14ac:dyDescent="0.25">
      <c r="A1360" s="957">
        <f t="shared" ca="1" si="45"/>
        <v>0</v>
      </c>
      <c r="BW1360" s="4"/>
      <c r="BX1360" s="5"/>
      <c r="BY1360" s="5" t="str">
        <f ca="1">IF('Rent Roll'!$AE54=1,'Rent Roll'!E54,"")</f>
        <v/>
      </c>
      <c r="BZ1360" s="39" t="str">
        <f ca="1">IF('Rent Roll'!$AE54=1,'Rent Roll'!G54,"")</f>
        <v/>
      </c>
      <c r="CA1360" s="1547" t="str">
        <f ca="1">IF('Rent Roll'!$AE54=1,'Rent Roll'!K54,"")</f>
        <v/>
      </c>
      <c r="CB1360" s="1551" t="str">
        <f ca="1">IF('Rent Roll'!$AE54=1,'Rent Roll'!N54,"")</f>
        <v/>
      </c>
      <c r="CC1360" s="223"/>
      <c r="CD1360" s="6"/>
      <c r="CE1360" s="32"/>
      <c r="CF1360" s="342"/>
      <c r="CG1360" s="343"/>
      <c r="CH1360" s="342"/>
      <c r="CI1360" s="343"/>
      <c r="CJ1360" s="32"/>
      <c r="CK1360" s="187"/>
      <c r="CL1360" s="187"/>
    </row>
    <row r="1361" spans="1:90" ht="15.95" hidden="1" customHeight="1" x14ac:dyDescent="0.25">
      <c r="A1361" s="957">
        <f t="shared" ca="1" si="45"/>
        <v>0</v>
      </c>
      <c r="BW1361" s="4"/>
      <c r="BX1361" s="5"/>
      <c r="BY1361" s="5" t="str">
        <f ca="1">IF('Rent Roll'!$AE55=1,'Rent Roll'!E55,"")</f>
        <v/>
      </c>
      <c r="BZ1361" s="39" t="str">
        <f ca="1">IF('Rent Roll'!$AE55=1,'Rent Roll'!G55,"")</f>
        <v/>
      </c>
      <c r="CA1361" s="1547" t="str">
        <f ca="1">IF('Rent Roll'!$AE55=1,'Rent Roll'!K55,"")</f>
        <v/>
      </c>
      <c r="CB1361" s="1551" t="str">
        <f ca="1">IF('Rent Roll'!$AE55=1,'Rent Roll'!N55,"")</f>
        <v/>
      </c>
      <c r="CC1361" s="223"/>
      <c r="CD1361" s="6"/>
      <c r="CE1361" s="32"/>
      <c r="CF1361" s="342"/>
      <c r="CG1361" s="343"/>
      <c r="CH1361" s="342"/>
      <c r="CI1361" s="343"/>
      <c r="CJ1361" s="32"/>
      <c r="CK1361" s="187"/>
      <c r="CL1361" s="187"/>
    </row>
    <row r="1362" spans="1:90" ht="15.95" hidden="1" customHeight="1" x14ac:dyDescent="0.25">
      <c r="A1362" s="957">
        <f t="shared" ca="1" si="45"/>
        <v>0</v>
      </c>
      <c r="BW1362" s="4"/>
      <c r="BX1362" s="5"/>
      <c r="BY1362" s="5" t="str">
        <f ca="1">IF('Rent Roll'!$AE56=1,'Rent Roll'!E56,"")</f>
        <v/>
      </c>
      <c r="BZ1362" s="39" t="str">
        <f ca="1">IF('Rent Roll'!$AE56=1,'Rent Roll'!G56,"")</f>
        <v/>
      </c>
      <c r="CA1362" s="1547" t="str">
        <f ca="1">IF('Rent Roll'!$AE56=1,'Rent Roll'!K56,"")</f>
        <v/>
      </c>
      <c r="CB1362" s="1551" t="str">
        <f ca="1">IF('Rent Roll'!$AE56=1,'Rent Roll'!N56,"")</f>
        <v/>
      </c>
      <c r="CC1362" s="223"/>
      <c r="CD1362" s="6"/>
      <c r="CE1362" s="32"/>
      <c r="CF1362" s="342"/>
      <c r="CG1362" s="343"/>
      <c r="CH1362" s="342"/>
      <c r="CI1362" s="343"/>
      <c r="CJ1362" s="32"/>
      <c r="CK1362" s="187"/>
      <c r="CL1362" s="187"/>
    </row>
    <row r="1363" spans="1:90" ht="15.95" hidden="1" customHeight="1" x14ac:dyDescent="0.25">
      <c r="A1363" s="957">
        <f t="shared" ca="1" si="45"/>
        <v>0</v>
      </c>
      <c r="BW1363" s="4"/>
      <c r="BX1363" s="5"/>
      <c r="BY1363" s="5" t="str">
        <f ca="1">IF('Rent Roll'!$AE57=1,'Rent Roll'!E57,"")</f>
        <v/>
      </c>
      <c r="BZ1363" s="39" t="str">
        <f ca="1">IF('Rent Roll'!$AE57=1,'Rent Roll'!G57,"")</f>
        <v/>
      </c>
      <c r="CA1363" s="1547" t="str">
        <f ca="1">IF('Rent Roll'!$AE57=1,'Rent Roll'!K57,"")</f>
        <v/>
      </c>
      <c r="CB1363" s="1551" t="str">
        <f ca="1">IF('Rent Roll'!$AE57=1,'Rent Roll'!N57,"")</f>
        <v/>
      </c>
      <c r="CC1363" s="223"/>
      <c r="CD1363" s="6"/>
      <c r="CE1363" s="32"/>
      <c r="CF1363" s="342"/>
      <c r="CG1363" s="343"/>
      <c r="CH1363" s="342"/>
      <c r="CI1363" s="343"/>
      <c r="CJ1363" s="32"/>
      <c r="CK1363" s="187"/>
      <c r="CL1363" s="187"/>
    </row>
    <row r="1364" spans="1:90" ht="15.95" hidden="1" customHeight="1" x14ac:dyDescent="0.25">
      <c r="A1364" s="957">
        <f t="shared" ca="1" si="45"/>
        <v>0</v>
      </c>
      <c r="BW1364" s="4"/>
      <c r="BX1364" s="5"/>
      <c r="BY1364" s="5" t="str">
        <f ca="1">IF('Rent Roll'!$AE58=1,'Rent Roll'!E58,"")</f>
        <v/>
      </c>
      <c r="BZ1364" s="39" t="str">
        <f ca="1">IF('Rent Roll'!$AE58=1,'Rent Roll'!G58,"")</f>
        <v/>
      </c>
      <c r="CA1364" s="1547" t="str">
        <f ca="1">IF('Rent Roll'!$AE58=1,'Rent Roll'!K58,"")</f>
        <v/>
      </c>
      <c r="CB1364" s="1551" t="str">
        <f ca="1">IF('Rent Roll'!$AE58=1,'Rent Roll'!N58,"")</f>
        <v/>
      </c>
      <c r="CC1364" s="223"/>
      <c r="CD1364" s="6"/>
      <c r="CE1364" s="32"/>
      <c r="CF1364" s="342"/>
      <c r="CG1364" s="343"/>
      <c r="CH1364" s="342"/>
      <c r="CI1364" s="343"/>
      <c r="CJ1364" s="32"/>
      <c r="CK1364" s="187"/>
      <c r="CL1364" s="187"/>
    </row>
    <row r="1365" spans="1:90" ht="15.95" hidden="1" customHeight="1" x14ac:dyDescent="0.25">
      <c r="A1365" s="957">
        <f t="shared" ca="1" si="45"/>
        <v>0</v>
      </c>
      <c r="BW1365" s="4"/>
      <c r="BX1365" s="5"/>
      <c r="BY1365" s="5" t="str">
        <f ca="1">IF('Rent Roll'!$AE59=1,'Rent Roll'!E59,"")</f>
        <v/>
      </c>
      <c r="BZ1365" s="39" t="str">
        <f ca="1">IF('Rent Roll'!$AE59=1,'Rent Roll'!G59,"")</f>
        <v/>
      </c>
      <c r="CA1365" s="1547" t="str">
        <f ca="1">IF('Rent Roll'!$AE59=1,'Rent Roll'!K59,"")</f>
        <v/>
      </c>
      <c r="CB1365" s="1551" t="str">
        <f ca="1">IF('Rent Roll'!$AE59=1,'Rent Roll'!N59,"")</f>
        <v/>
      </c>
      <c r="CC1365" s="223"/>
      <c r="CD1365" s="6"/>
      <c r="CE1365" s="32"/>
      <c r="CF1365" s="342"/>
      <c r="CG1365" s="343"/>
      <c r="CH1365" s="342"/>
      <c r="CI1365" s="343"/>
      <c r="CJ1365" s="32"/>
      <c r="CK1365" s="187"/>
      <c r="CL1365" s="187"/>
    </row>
    <row r="1366" spans="1:90" ht="15.95" hidden="1" customHeight="1" x14ac:dyDescent="0.25">
      <c r="A1366" s="957">
        <f t="shared" ca="1" si="45"/>
        <v>0</v>
      </c>
      <c r="BW1366" s="4"/>
      <c r="BX1366" s="5"/>
      <c r="BY1366" s="5" t="str">
        <f ca="1">IF('Rent Roll'!$AE60=1,'Rent Roll'!E60,"")</f>
        <v/>
      </c>
      <c r="BZ1366" s="39" t="str">
        <f ca="1">IF('Rent Roll'!$AE60=1,'Rent Roll'!G60,"")</f>
        <v/>
      </c>
      <c r="CA1366" s="1547" t="str">
        <f ca="1">IF('Rent Roll'!$AE60=1,'Rent Roll'!K60,"")</f>
        <v/>
      </c>
      <c r="CB1366" s="1551" t="str">
        <f ca="1">IF('Rent Roll'!$AE60=1,'Rent Roll'!N60,"")</f>
        <v/>
      </c>
      <c r="CC1366" s="223"/>
      <c r="CD1366" s="6"/>
      <c r="CE1366" s="32"/>
      <c r="CF1366" s="342"/>
      <c r="CG1366" s="343"/>
      <c r="CH1366" s="342"/>
      <c r="CI1366" s="343"/>
      <c r="CJ1366" s="32"/>
      <c r="CK1366" s="187"/>
      <c r="CL1366" s="187"/>
    </row>
    <row r="1367" spans="1:90" ht="15.95" hidden="1" customHeight="1" x14ac:dyDescent="0.25">
      <c r="A1367" s="957">
        <f t="shared" ca="1" si="45"/>
        <v>0</v>
      </c>
      <c r="BW1367" s="4"/>
      <c r="BX1367" s="5"/>
      <c r="BY1367" s="5" t="str">
        <f ca="1">IF('Rent Roll'!$AE61=1,'Rent Roll'!E61,"")</f>
        <v/>
      </c>
      <c r="BZ1367" s="39" t="str">
        <f ca="1">IF('Rent Roll'!$AE61=1,'Rent Roll'!G61,"")</f>
        <v/>
      </c>
      <c r="CA1367" s="1547" t="str">
        <f ca="1">IF('Rent Roll'!$AE61=1,'Rent Roll'!K61,"")</f>
        <v/>
      </c>
      <c r="CB1367" s="1551" t="str">
        <f ca="1">IF('Rent Roll'!$AE61=1,'Rent Roll'!N61,"")</f>
        <v/>
      </c>
      <c r="CC1367" s="223"/>
      <c r="CD1367" s="6"/>
      <c r="CE1367" s="32"/>
      <c r="CF1367" s="342"/>
      <c r="CG1367" s="343"/>
      <c r="CH1367" s="342"/>
      <c r="CI1367" s="343"/>
      <c r="CJ1367" s="32"/>
      <c r="CK1367" s="187"/>
      <c r="CL1367" s="187"/>
    </row>
    <row r="1368" spans="1:90" ht="15.95" hidden="1" customHeight="1" x14ac:dyDescent="0.25">
      <c r="A1368" s="957">
        <f t="shared" ca="1" si="45"/>
        <v>0</v>
      </c>
      <c r="BW1368" s="4"/>
      <c r="BX1368" s="5"/>
      <c r="BY1368" s="5" t="str">
        <f ca="1">IF('Rent Roll'!$AE62=1,'Rent Roll'!E62,"")</f>
        <v/>
      </c>
      <c r="BZ1368" s="39" t="str">
        <f ca="1">IF('Rent Roll'!$AE62=1,'Rent Roll'!G62,"")</f>
        <v/>
      </c>
      <c r="CA1368" s="1547" t="str">
        <f ca="1">IF('Rent Roll'!$AE62=1,'Rent Roll'!K62,"")</f>
        <v/>
      </c>
      <c r="CB1368" s="1551" t="str">
        <f ca="1">IF('Rent Roll'!$AE62=1,'Rent Roll'!N62,"")</f>
        <v/>
      </c>
      <c r="CC1368" s="223"/>
      <c r="CD1368" s="6"/>
      <c r="CE1368" s="32"/>
      <c r="CF1368" s="342"/>
      <c r="CG1368" s="343"/>
      <c r="CH1368" s="342"/>
      <c r="CI1368" s="343"/>
      <c r="CJ1368" s="32"/>
      <c r="CK1368" s="187"/>
      <c r="CL1368" s="187"/>
    </row>
    <row r="1369" spans="1:90" ht="15.95" hidden="1" customHeight="1" x14ac:dyDescent="0.25">
      <c r="A1369" s="957">
        <f t="shared" ca="1" si="45"/>
        <v>0</v>
      </c>
      <c r="BW1369" s="4"/>
      <c r="BX1369" s="5"/>
      <c r="BY1369" s="5" t="str">
        <f ca="1">IF('Rent Roll'!$AE63=1,'Rent Roll'!E63,"")</f>
        <v/>
      </c>
      <c r="BZ1369" s="39" t="str">
        <f ca="1">IF('Rent Roll'!$AE63=1,'Rent Roll'!G63,"")</f>
        <v/>
      </c>
      <c r="CA1369" s="1547" t="str">
        <f ca="1">IF('Rent Roll'!$AE63=1,'Rent Roll'!K63,"")</f>
        <v/>
      </c>
      <c r="CB1369" s="1551" t="str">
        <f ca="1">IF('Rent Roll'!$AE63=1,'Rent Roll'!N63,"")</f>
        <v/>
      </c>
      <c r="CC1369" s="223"/>
      <c r="CD1369" s="6"/>
      <c r="CE1369" s="32"/>
      <c r="CF1369" s="342"/>
      <c r="CG1369" s="343"/>
      <c r="CH1369" s="342"/>
      <c r="CI1369" s="343"/>
      <c r="CJ1369" s="32"/>
      <c r="CK1369" s="187"/>
      <c r="CL1369" s="187"/>
    </row>
    <row r="1370" spans="1:90" ht="15.95" hidden="1" customHeight="1" x14ac:dyDescent="0.25">
      <c r="A1370" s="957">
        <f t="shared" ca="1" si="45"/>
        <v>0</v>
      </c>
      <c r="BW1370" s="4"/>
      <c r="BX1370" s="5"/>
      <c r="BY1370" s="5" t="str">
        <f ca="1">IF('Rent Roll'!$AE64=1,'Rent Roll'!E64,"")</f>
        <v/>
      </c>
      <c r="BZ1370" s="39" t="str">
        <f ca="1">IF('Rent Roll'!$AE64=1,'Rent Roll'!G64,"")</f>
        <v/>
      </c>
      <c r="CA1370" s="1547" t="str">
        <f ca="1">IF('Rent Roll'!$AE64=1,'Rent Roll'!K64,"")</f>
        <v/>
      </c>
      <c r="CB1370" s="1551" t="str">
        <f ca="1">IF('Rent Roll'!$AE64=1,'Rent Roll'!N64,"")</f>
        <v/>
      </c>
      <c r="CC1370" s="223"/>
      <c r="CD1370" s="6"/>
      <c r="CE1370" s="32"/>
      <c r="CF1370" s="342"/>
      <c r="CG1370" s="343"/>
      <c r="CH1370" s="342"/>
      <c r="CI1370" s="343"/>
      <c r="CJ1370" s="32"/>
      <c r="CK1370" s="187"/>
      <c r="CL1370" s="187"/>
    </row>
    <row r="1371" spans="1:90" ht="15.95" hidden="1" customHeight="1" x14ac:dyDescent="0.25">
      <c r="A1371" s="957">
        <f t="shared" ca="1" si="45"/>
        <v>0</v>
      </c>
      <c r="BW1371" s="4"/>
      <c r="BX1371" s="5"/>
      <c r="BY1371" s="5" t="str">
        <f ca="1">IF('Rent Roll'!$AE65=1,'Rent Roll'!E65,"")</f>
        <v/>
      </c>
      <c r="BZ1371" s="39" t="str">
        <f ca="1">IF('Rent Roll'!$AE65=1,'Rent Roll'!G65,"")</f>
        <v/>
      </c>
      <c r="CA1371" s="1547" t="str">
        <f ca="1">IF('Rent Roll'!$AE65=1,'Rent Roll'!K65,"")</f>
        <v/>
      </c>
      <c r="CB1371" s="1551" t="str">
        <f ca="1">IF('Rent Roll'!$AE65=1,'Rent Roll'!N65,"")</f>
        <v/>
      </c>
      <c r="CC1371" s="223"/>
      <c r="CD1371" s="6"/>
      <c r="CE1371" s="32"/>
      <c r="CF1371" s="342"/>
      <c r="CG1371" s="343"/>
      <c r="CH1371" s="342"/>
      <c r="CI1371" s="343"/>
      <c r="CJ1371" s="32"/>
      <c r="CK1371" s="187"/>
      <c r="CL1371" s="187"/>
    </row>
    <row r="1372" spans="1:90" ht="15.95" hidden="1" customHeight="1" x14ac:dyDescent="0.25">
      <c r="A1372" s="957">
        <f t="shared" ca="1" si="45"/>
        <v>0</v>
      </c>
      <c r="BW1372" s="4"/>
      <c r="BX1372" s="5"/>
      <c r="BY1372" s="5" t="str">
        <f ca="1">IF('Rent Roll'!$AE66=1,'Rent Roll'!E66,"")</f>
        <v/>
      </c>
      <c r="BZ1372" s="39" t="str">
        <f ca="1">IF('Rent Roll'!$AE66=1,'Rent Roll'!G66,"")</f>
        <v/>
      </c>
      <c r="CA1372" s="1547" t="str">
        <f ca="1">IF('Rent Roll'!$AE66=1,'Rent Roll'!K66,"")</f>
        <v/>
      </c>
      <c r="CB1372" s="1551" t="str">
        <f ca="1">IF('Rent Roll'!$AE66=1,'Rent Roll'!N66,"")</f>
        <v/>
      </c>
      <c r="CC1372" s="223"/>
      <c r="CD1372" s="6"/>
      <c r="CE1372" s="32"/>
      <c r="CF1372" s="342"/>
      <c r="CG1372" s="343"/>
      <c r="CH1372" s="342"/>
      <c r="CI1372" s="343"/>
      <c r="CJ1372" s="32"/>
      <c r="CK1372" s="187"/>
      <c r="CL1372" s="187"/>
    </row>
    <row r="1373" spans="1:90" ht="15.95" hidden="1" customHeight="1" x14ac:dyDescent="0.25">
      <c r="A1373" s="957">
        <f t="shared" ca="1" si="45"/>
        <v>0</v>
      </c>
      <c r="BW1373" s="4"/>
      <c r="BX1373" s="5"/>
      <c r="BY1373" s="5" t="str">
        <f ca="1">IF('Rent Roll'!$AE67=1,'Rent Roll'!E67,"")</f>
        <v/>
      </c>
      <c r="BZ1373" s="39" t="str">
        <f ca="1">IF('Rent Roll'!$AE67=1,'Rent Roll'!G67,"")</f>
        <v/>
      </c>
      <c r="CA1373" s="1547" t="str">
        <f ca="1">IF('Rent Roll'!$AE67=1,'Rent Roll'!K67,"")</f>
        <v/>
      </c>
      <c r="CB1373" s="1551" t="str">
        <f ca="1">IF('Rent Roll'!$AE67=1,'Rent Roll'!N67,"")</f>
        <v/>
      </c>
      <c r="CC1373" s="223"/>
      <c r="CD1373" s="6"/>
      <c r="CE1373" s="32"/>
      <c r="CF1373" s="342"/>
      <c r="CG1373" s="343"/>
      <c r="CH1373" s="342"/>
      <c r="CI1373" s="343"/>
      <c r="CJ1373" s="32"/>
      <c r="CK1373" s="187"/>
      <c r="CL1373" s="187"/>
    </row>
    <row r="1374" spans="1:90" ht="15.95" hidden="1" customHeight="1" x14ac:dyDescent="0.25">
      <c r="A1374" s="957">
        <f t="shared" ca="1" si="45"/>
        <v>0</v>
      </c>
      <c r="BW1374" s="4"/>
      <c r="BX1374" s="5"/>
      <c r="BY1374" s="5" t="str">
        <f ca="1">IF('Rent Roll'!$AE68=1,'Rent Roll'!E68,"")</f>
        <v/>
      </c>
      <c r="BZ1374" s="39" t="str">
        <f ca="1">IF('Rent Roll'!$AE68=1,'Rent Roll'!G68,"")</f>
        <v/>
      </c>
      <c r="CA1374" s="1547" t="str">
        <f ca="1">IF('Rent Roll'!$AE68=1,'Rent Roll'!K68,"")</f>
        <v/>
      </c>
      <c r="CB1374" s="1551" t="str">
        <f ca="1">IF('Rent Roll'!$AE68=1,'Rent Roll'!N68,"")</f>
        <v/>
      </c>
      <c r="CC1374" s="223"/>
      <c r="CD1374" s="6"/>
      <c r="CE1374" s="32"/>
      <c r="CF1374" s="342"/>
      <c r="CG1374" s="343"/>
      <c r="CH1374" s="342"/>
      <c r="CI1374" s="343"/>
      <c r="CJ1374" s="32"/>
      <c r="CK1374" s="187"/>
      <c r="CL1374" s="187"/>
    </row>
    <row r="1375" spans="1:90" ht="15.95" hidden="1" customHeight="1" x14ac:dyDescent="0.25">
      <c r="A1375" s="957">
        <f t="shared" ca="1" si="45"/>
        <v>0</v>
      </c>
      <c r="BW1375" s="4"/>
      <c r="BX1375" s="5"/>
      <c r="BY1375" s="5" t="str">
        <f ca="1">IF('Rent Roll'!$AE69=1,'Rent Roll'!E69,"")</f>
        <v/>
      </c>
      <c r="BZ1375" s="39" t="str">
        <f ca="1">IF('Rent Roll'!$AE69=1,'Rent Roll'!G69,"")</f>
        <v/>
      </c>
      <c r="CA1375" s="1547" t="str">
        <f ca="1">IF('Rent Roll'!$AE69=1,'Rent Roll'!K69,"")</f>
        <v/>
      </c>
      <c r="CB1375" s="1551" t="str">
        <f ca="1">IF('Rent Roll'!$AE69=1,'Rent Roll'!N69,"")</f>
        <v/>
      </c>
      <c r="CC1375" s="223"/>
      <c r="CD1375" s="6"/>
      <c r="CE1375" s="32"/>
      <c r="CF1375" s="342"/>
      <c r="CG1375" s="343"/>
      <c r="CH1375" s="342"/>
      <c r="CI1375" s="343"/>
      <c r="CJ1375" s="32"/>
      <c r="CK1375" s="187"/>
      <c r="CL1375" s="187"/>
    </row>
    <row r="1376" spans="1:90" ht="15.95" hidden="1" customHeight="1" x14ac:dyDescent="0.25">
      <c r="A1376" s="957">
        <f t="shared" ca="1" si="45"/>
        <v>0</v>
      </c>
      <c r="BW1376" s="4"/>
      <c r="BX1376" s="5"/>
      <c r="BY1376" s="5" t="str">
        <f ca="1">IF('Rent Roll'!$AE70=1,'Rent Roll'!E70,"")</f>
        <v/>
      </c>
      <c r="BZ1376" s="39" t="str">
        <f ca="1">IF('Rent Roll'!$AE70=1,'Rent Roll'!G70,"")</f>
        <v/>
      </c>
      <c r="CA1376" s="1547" t="str">
        <f ca="1">IF('Rent Roll'!$AE70=1,'Rent Roll'!K70,"")</f>
        <v/>
      </c>
      <c r="CB1376" s="1551" t="str">
        <f ca="1">IF('Rent Roll'!$AE70=1,'Rent Roll'!N70,"")</f>
        <v/>
      </c>
      <c r="CC1376" s="223"/>
      <c r="CD1376" s="6"/>
      <c r="CE1376" s="32"/>
      <c r="CF1376" s="342"/>
      <c r="CG1376" s="343"/>
      <c r="CH1376" s="342"/>
      <c r="CI1376" s="343"/>
      <c r="CJ1376" s="32"/>
      <c r="CK1376" s="187"/>
      <c r="CL1376" s="187"/>
    </row>
    <row r="1377" spans="1:90" ht="15.95" hidden="1" customHeight="1" x14ac:dyDescent="0.25">
      <c r="A1377" s="957">
        <f t="shared" ref="A1377:A1408" ca="1" si="46">IF(BY1377="",0,1)</f>
        <v>0</v>
      </c>
      <c r="BW1377" s="4"/>
      <c r="BX1377" s="5"/>
      <c r="BY1377" s="5" t="str">
        <f ca="1">IF('Rent Roll'!$AE71=1,'Rent Roll'!E71,"")</f>
        <v/>
      </c>
      <c r="BZ1377" s="39" t="str">
        <f ca="1">IF('Rent Roll'!$AE71=1,'Rent Roll'!G71,"")</f>
        <v/>
      </c>
      <c r="CA1377" s="1547" t="str">
        <f ca="1">IF('Rent Roll'!$AE71=1,'Rent Roll'!K71,"")</f>
        <v/>
      </c>
      <c r="CB1377" s="1551" t="str">
        <f ca="1">IF('Rent Roll'!$AE71=1,'Rent Roll'!N71,"")</f>
        <v/>
      </c>
      <c r="CC1377" s="223"/>
      <c r="CD1377" s="6"/>
      <c r="CE1377" s="32"/>
      <c r="CF1377" s="342"/>
      <c r="CG1377" s="343"/>
      <c r="CH1377" s="342"/>
      <c r="CI1377" s="343"/>
      <c r="CJ1377" s="32"/>
      <c r="CK1377" s="187"/>
      <c r="CL1377" s="187"/>
    </row>
    <row r="1378" spans="1:90" ht="15.95" hidden="1" customHeight="1" x14ac:dyDescent="0.25">
      <c r="A1378" s="957">
        <f t="shared" ca="1" si="46"/>
        <v>0</v>
      </c>
      <c r="BW1378" s="4"/>
      <c r="BX1378" s="5"/>
      <c r="BY1378" s="5" t="str">
        <f ca="1">IF('Rent Roll'!$AE72=1,'Rent Roll'!E72,"")</f>
        <v/>
      </c>
      <c r="BZ1378" s="39" t="str">
        <f ca="1">IF('Rent Roll'!$AE72=1,'Rent Roll'!G72,"")</f>
        <v/>
      </c>
      <c r="CA1378" s="1547" t="str">
        <f ca="1">IF('Rent Roll'!$AE72=1,'Rent Roll'!K72,"")</f>
        <v/>
      </c>
      <c r="CB1378" s="1551" t="str">
        <f ca="1">IF('Rent Roll'!$AE72=1,'Rent Roll'!N72,"")</f>
        <v/>
      </c>
      <c r="CC1378" s="223"/>
      <c r="CD1378" s="6"/>
      <c r="CE1378" s="32"/>
      <c r="CF1378" s="342"/>
      <c r="CG1378" s="343"/>
      <c r="CH1378" s="342"/>
      <c r="CI1378" s="343"/>
      <c r="CJ1378" s="32"/>
      <c r="CK1378" s="187"/>
      <c r="CL1378" s="187"/>
    </row>
    <row r="1379" spans="1:90" ht="15.95" hidden="1" customHeight="1" x14ac:dyDescent="0.25">
      <c r="A1379" s="957">
        <f t="shared" ca="1" si="46"/>
        <v>0</v>
      </c>
      <c r="BW1379" s="4"/>
      <c r="BX1379" s="5"/>
      <c r="BY1379" s="5" t="str">
        <f ca="1">IF('Rent Roll'!$AE73=1,'Rent Roll'!E73,"")</f>
        <v/>
      </c>
      <c r="BZ1379" s="39" t="str">
        <f ca="1">IF('Rent Roll'!$AE73=1,'Rent Roll'!G73,"")</f>
        <v/>
      </c>
      <c r="CA1379" s="1547" t="str">
        <f ca="1">IF('Rent Roll'!$AE73=1,'Rent Roll'!K73,"")</f>
        <v/>
      </c>
      <c r="CB1379" s="1551" t="str">
        <f ca="1">IF('Rent Roll'!$AE73=1,'Rent Roll'!N73,"")</f>
        <v/>
      </c>
      <c r="CC1379" s="223"/>
      <c r="CD1379" s="6"/>
      <c r="CE1379" s="32"/>
      <c r="CF1379" s="342"/>
      <c r="CG1379" s="343"/>
      <c r="CH1379" s="342"/>
      <c r="CI1379" s="343"/>
      <c r="CJ1379" s="32"/>
      <c r="CK1379" s="187"/>
      <c r="CL1379" s="187"/>
    </row>
    <row r="1380" spans="1:90" ht="15.95" hidden="1" customHeight="1" x14ac:dyDescent="0.25">
      <c r="A1380" s="957">
        <f t="shared" ca="1" si="46"/>
        <v>0</v>
      </c>
      <c r="BW1380" s="4"/>
      <c r="BX1380" s="5"/>
      <c r="BY1380" s="5" t="str">
        <f ca="1">IF('Rent Roll'!$AE74=1,'Rent Roll'!E74,"")</f>
        <v/>
      </c>
      <c r="BZ1380" s="39" t="str">
        <f ca="1">IF('Rent Roll'!$AE74=1,'Rent Roll'!G74,"")</f>
        <v/>
      </c>
      <c r="CA1380" s="1547" t="str">
        <f ca="1">IF('Rent Roll'!$AE74=1,'Rent Roll'!K74,"")</f>
        <v/>
      </c>
      <c r="CB1380" s="1551" t="str">
        <f ca="1">IF('Rent Roll'!$AE74=1,'Rent Roll'!N74,"")</f>
        <v/>
      </c>
      <c r="CC1380" s="223"/>
      <c r="CD1380" s="6"/>
      <c r="CE1380" s="32"/>
      <c r="CF1380" s="342"/>
      <c r="CG1380" s="343"/>
      <c r="CH1380" s="342"/>
      <c r="CI1380" s="343"/>
      <c r="CJ1380" s="32"/>
      <c r="CK1380" s="187"/>
      <c r="CL1380" s="187"/>
    </row>
    <row r="1381" spans="1:90" ht="15.95" hidden="1" customHeight="1" x14ac:dyDescent="0.25">
      <c r="A1381" s="957">
        <f t="shared" ca="1" si="46"/>
        <v>0</v>
      </c>
      <c r="BW1381" s="4"/>
      <c r="BX1381" s="5"/>
      <c r="BY1381" s="5" t="str">
        <f ca="1">IF('Rent Roll'!$AE75=1,'Rent Roll'!E75,"")</f>
        <v/>
      </c>
      <c r="BZ1381" s="39" t="str">
        <f ca="1">IF('Rent Roll'!$AE75=1,'Rent Roll'!G75,"")</f>
        <v/>
      </c>
      <c r="CA1381" s="1547" t="str">
        <f ca="1">IF('Rent Roll'!$AE75=1,'Rent Roll'!K75,"")</f>
        <v/>
      </c>
      <c r="CB1381" s="1551" t="str">
        <f ca="1">IF('Rent Roll'!$AE75=1,'Rent Roll'!N75,"")</f>
        <v/>
      </c>
      <c r="CC1381" s="223"/>
      <c r="CD1381" s="6"/>
      <c r="CE1381" s="32"/>
      <c r="CF1381" s="342"/>
      <c r="CG1381" s="343"/>
      <c r="CH1381" s="342"/>
      <c r="CI1381" s="343"/>
      <c r="CJ1381" s="32"/>
      <c r="CK1381" s="187"/>
      <c r="CL1381" s="187"/>
    </row>
    <row r="1382" spans="1:90" ht="15.95" hidden="1" customHeight="1" x14ac:dyDescent="0.25">
      <c r="A1382" s="957">
        <f t="shared" ca="1" si="46"/>
        <v>0</v>
      </c>
      <c r="BW1382" s="4"/>
      <c r="BX1382" s="5"/>
      <c r="BY1382" s="5" t="str">
        <f ca="1">IF('Rent Roll'!$AE76=1,'Rent Roll'!E76,"")</f>
        <v/>
      </c>
      <c r="BZ1382" s="39" t="str">
        <f ca="1">IF('Rent Roll'!$AE76=1,'Rent Roll'!G76,"")</f>
        <v/>
      </c>
      <c r="CA1382" s="1547" t="str">
        <f ca="1">IF('Rent Roll'!$AE76=1,'Rent Roll'!K76,"")</f>
        <v/>
      </c>
      <c r="CB1382" s="1551" t="str">
        <f ca="1">IF('Rent Roll'!$AE76=1,'Rent Roll'!N76,"")</f>
        <v/>
      </c>
      <c r="CC1382" s="223"/>
      <c r="CD1382" s="6"/>
      <c r="CE1382" s="32"/>
      <c r="CF1382" s="342"/>
      <c r="CG1382" s="343"/>
      <c r="CH1382" s="342"/>
      <c r="CI1382" s="343"/>
      <c r="CJ1382" s="32"/>
      <c r="CK1382" s="187"/>
      <c r="CL1382" s="187"/>
    </row>
    <row r="1383" spans="1:90" ht="15.95" hidden="1" customHeight="1" x14ac:dyDescent="0.25">
      <c r="A1383" s="957">
        <f t="shared" ca="1" si="46"/>
        <v>0</v>
      </c>
      <c r="BW1383" s="4"/>
      <c r="BX1383" s="5"/>
      <c r="BY1383" s="5" t="str">
        <f ca="1">IF('Rent Roll'!$AE77=1,'Rent Roll'!E77,"")</f>
        <v/>
      </c>
      <c r="BZ1383" s="39" t="str">
        <f ca="1">IF('Rent Roll'!$AE77=1,'Rent Roll'!G77,"")</f>
        <v/>
      </c>
      <c r="CA1383" s="1547" t="str">
        <f ca="1">IF('Rent Roll'!$AE77=1,'Rent Roll'!K77,"")</f>
        <v/>
      </c>
      <c r="CB1383" s="1551" t="str">
        <f ca="1">IF('Rent Roll'!$AE77=1,'Rent Roll'!N77,"")</f>
        <v/>
      </c>
      <c r="CC1383" s="223"/>
      <c r="CD1383" s="6"/>
      <c r="CE1383" s="32"/>
      <c r="CF1383" s="342"/>
      <c r="CG1383" s="343"/>
      <c r="CH1383" s="342"/>
      <c r="CI1383" s="343"/>
      <c r="CJ1383" s="32"/>
      <c r="CK1383" s="187"/>
      <c r="CL1383" s="187"/>
    </row>
    <row r="1384" spans="1:90" ht="15.95" hidden="1" customHeight="1" x14ac:dyDescent="0.25">
      <c r="A1384" s="957">
        <f t="shared" ca="1" si="46"/>
        <v>0</v>
      </c>
      <c r="BW1384" s="4"/>
      <c r="BX1384" s="5"/>
      <c r="BY1384" s="5" t="str">
        <f ca="1">IF('Rent Roll'!$AE78=1,'Rent Roll'!E78,"")</f>
        <v/>
      </c>
      <c r="BZ1384" s="39" t="str">
        <f ca="1">IF('Rent Roll'!$AE78=1,'Rent Roll'!G78,"")</f>
        <v/>
      </c>
      <c r="CA1384" s="1547" t="str">
        <f ca="1">IF('Rent Roll'!$AE78=1,'Rent Roll'!K78,"")</f>
        <v/>
      </c>
      <c r="CB1384" s="1551" t="str">
        <f ca="1">IF('Rent Roll'!$AE78=1,'Rent Roll'!N78,"")</f>
        <v/>
      </c>
      <c r="CC1384" s="223"/>
      <c r="CD1384" s="6"/>
      <c r="CE1384" s="32"/>
      <c r="CF1384" s="342"/>
      <c r="CG1384" s="343"/>
      <c r="CH1384" s="342"/>
      <c r="CI1384" s="343"/>
      <c r="CJ1384" s="32"/>
      <c r="CK1384" s="187"/>
      <c r="CL1384" s="187"/>
    </row>
    <row r="1385" spans="1:90" ht="15.95" hidden="1" customHeight="1" x14ac:dyDescent="0.25">
      <c r="A1385" s="957">
        <f t="shared" ca="1" si="46"/>
        <v>0</v>
      </c>
      <c r="BW1385" s="4"/>
      <c r="BX1385" s="5"/>
      <c r="BY1385" s="5" t="str">
        <f ca="1">IF('Rent Roll'!$AE79=1,'Rent Roll'!E79,"")</f>
        <v/>
      </c>
      <c r="BZ1385" s="39" t="str">
        <f ca="1">IF('Rent Roll'!$AE79=1,'Rent Roll'!G79,"")</f>
        <v/>
      </c>
      <c r="CA1385" s="1547" t="str">
        <f ca="1">IF('Rent Roll'!$AE79=1,'Rent Roll'!K79,"")</f>
        <v/>
      </c>
      <c r="CB1385" s="1551" t="str">
        <f ca="1">IF('Rent Roll'!$AE79=1,'Rent Roll'!N79,"")</f>
        <v/>
      </c>
      <c r="CC1385" s="223"/>
      <c r="CD1385" s="6"/>
      <c r="CE1385" s="32"/>
      <c r="CF1385" s="342"/>
      <c r="CG1385" s="343"/>
      <c r="CH1385" s="342"/>
      <c r="CI1385" s="343"/>
      <c r="CJ1385" s="32"/>
      <c r="CK1385" s="187"/>
      <c r="CL1385" s="187"/>
    </row>
    <row r="1386" spans="1:90" ht="15.95" hidden="1" customHeight="1" x14ac:dyDescent="0.25">
      <c r="A1386" s="957">
        <f t="shared" ca="1" si="46"/>
        <v>0</v>
      </c>
      <c r="BW1386" s="4"/>
      <c r="BX1386" s="5"/>
      <c r="BY1386" s="5" t="str">
        <f ca="1">IF('Rent Roll'!$AE80=1,'Rent Roll'!E80,"")</f>
        <v/>
      </c>
      <c r="BZ1386" s="39" t="str">
        <f ca="1">IF('Rent Roll'!$AE80=1,'Rent Roll'!G80,"")</f>
        <v/>
      </c>
      <c r="CA1386" s="1547" t="str">
        <f ca="1">IF('Rent Roll'!$AE80=1,'Rent Roll'!K80,"")</f>
        <v/>
      </c>
      <c r="CB1386" s="1551" t="str">
        <f ca="1">IF('Rent Roll'!$AE80=1,'Rent Roll'!N80,"")</f>
        <v/>
      </c>
      <c r="CC1386" s="223"/>
      <c r="CD1386" s="6"/>
      <c r="CE1386" s="32"/>
      <c r="CF1386" s="342"/>
      <c r="CG1386" s="343"/>
      <c r="CH1386" s="342"/>
      <c r="CI1386" s="343"/>
      <c r="CJ1386" s="32"/>
      <c r="CK1386" s="187"/>
      <c r="CL1386" s="187"/>
    </row>
    <row r="1387" spans="1:90" ht="15.95" hidden="1" customHeight="1" x14ac:dyDescent="0.25">
      <c r="A1387" s="957">
        <f t="shared" ca="1" si="46"/>
        <v>0</v>
      </c>
      <c r="BW1387" s="4"/>
      <c r="BX1387" s="5"/>
      <c r="BY1387" s="5" t="str">
        <f ca="1">IF('Rent Roll'!$AE81=1,'Rent Roll'!E81,"")</f>
        <v/>
      </c>
      <c r="BZ1387" s="39" t="str">
        <f ca="1">IF('Rent Roll'!$AE81=1,'Rent Roll'!G81,"")</f>
        <v/>
      </c>
      <c r="CA1387" s="1547" t="str">
        <f ca="1">IF('Rent Roll'!$AE81=1,'Rent Roll'!K81,"")</f>
        <v/>
      </c>
      <c r="CB1387" s="1551" t="str">
        <f ca="1">IF('Rent Roll'!$AE81=1,'Rent Roll'!N81,"")</f>
        <v/>
      </c>
      <c r="CC1387" s="223"/>
      <c r="CD1387" s="6"/>
      <c r="CE1387" s="32"/>
      <c r="CF1387" s="342"/>
      <c r="CG1387" s="343"/>
      <c r="CH1387" s="342"/>
      <c r="CI1387" s="343"/>
      <c r="CJ1387" s="32"/>
      <c r="CK1387" s="187"/>
      <c r="CL1387" s="187"/>
    </row>
    <row r="1388" spans="1:90" ht="15.95" hidden="1" customHeight="1" x14ac:dyDescent="0.25">
      <c r="A1388" s="957">
        <f t="shared" ca="1" si="46"/>
        <v>0</v>
      </c>
      <c r="BW1388" s="4"/>
      <c r="BX1388" s="5"/>
      <c r="BY1388" s="5" t="str">
        <f ca="1">IF('Rent Roll'!$AE82=1,'Rent Roll'!E82,"")</f>
        <v/>
      </c>
      <c r="BZ1388" s="39" t="str">
        <f ca="1">IF('Rent Roll'!$AE82=1,'Rent Roll'!G82,"")</f>
        <v/>
      </c>
      <c r="CA1388" s="1547" t="str">
        <f ca="1">IF('Rent Roll'!$AE82=1,'Rent Roll'!K82,"")</f>
        <v/>
      </c>
      <c r="CB1388" s="1551" t="str">
        <f ca="1">IF('Rent Roll'!$AE82=1,'Rent Roll'!N82,"")</f>
        <v/>
      </c>
      <c r="CC1388" s="223"/>
      <c r="CD1388" s="6"/>
      <c r="CE1388" s="32"/>
      <c r="CF1388" s="342"/>
      <c r="CG1388" s="343"/>
      <c r="CH1388" s="342"/>
      <c r="CI1388" s="343"/>
      <c r="CJ1388" s="32"/>
      <c r="CK1388" s="187"/>
      <c r="CL1388" s="187"/>
    </row>
    <row r="1389" spans="1:90" ht="15.95" hidden="1" customHeight="1" x14ac:dyDescent="0.25">
      <c r="A1389" s="957">
        <f t="shared" ca="1" si="46"/>
        <v>0</v>
      </c>
      <c r="BW1389" s="4"/>
      <c r="BX1389" s="5"/>
      <c r="BY1389" s="5" t="str">
        <f ca="1">IF('Rent Roll'!$AE83=1,'Rent Roll'!E83,"")</f>
        <v/>
      </c>
      <c r="BZ1389" s="39" t="str">
        <f ca="1">IF('Rent Roll'!$AE83=1,'Rent Roll'!G83,"")</f>
        <v/>
      </c>
      <c r="CA1389" s="1547" t="str">
        <f ca="1">IF('Rent Roll'!$AE83=1,'Rent Roll'!K83,"")</f>
        <v/>
      </c>
      <c r="CB1389" s="1551" t="str">
        <f ca="1">IF('Rent Roll'!$AE83=1,'Rent Roll'!N83,"")</f>
        <v/>
      </c>
      <c r="CC1389" s="223"/>
      <c r="CD1389" s="6"/>
      <c r="CE1389" s="32"/>
      <c r="CF1389" s="342"/>
      <c r="CG1389" s="343"/>
      <c r="CH1389" s="342"/>
      <c r="CI1389" s="343"/>
      <c r="CJ1389" s="32"/>
      <c r="CK1389" s="187"/>
      <c r="CL1389" s="187"/>
    </row>
    <row r="1390" spans="1:90" ht="15.95" hidden="1" customHeight="1" x14ac:dyDescent="0.25">
      <c r="A1390" s="957">
        <f t="shared" ca="1" si="46"/>
        <v>0</v>
      </c>
      <c r="BW1390" s="4"/>
      <c r="BX1390" s="5"/>
      <c r="BY1390" s="5" t="str">
        <f ca="1">IF('Rent Roll'!$AE84=1,'Rent Roll'!E84,"")</f>
        <v/>
      </c>
      <c r="BZ1390" s="39" t="str">
        <f ca="1">IF('Rent Roll'!$AE84=1,'Rent Roll'!G84,"")</f>
        <v/>
      </c>
      <c r="CA1390" s="1547" t="str">
        <f ca="1">IF('Rent Roll'!$AE84=1,'Rent Roll'!K84,"")</f>
        <v/>
      </c>
      <c r="CB1390" s="1551" t="str">
        <f ca="1">IF('Rent Roll'!$AE84=1,'Rent Roll'!N84,"")</f>
        <v/>
      </c>
      <c r="CC1390" s="223"/>
      <c r="CD1390" s="6"/>
      <c r="CE1390" s="32"/>
      <c r="CF1390" s="342"/>
      <c r="CG1390" s="343"/>
      <c r="CH1390" s="342"/>
      <c r="CI1390" s="343"/>
      <c r="CJ1390" s="32"/>
      <c r="CK1390" s="187"/>
      <c r="CL1390" s="187"/>
    </row>
    <row r="1391" spans="1:90" ht="15.95" hidden="1" customHeight="1" x14ac:dyDescent="0.25">
      <c r="A1391" s="957">
        <f t="shared" ca="1" si="46"/>
        <v>0</v>
      </c>
      <c r="BW1391" s="4"/>
      <c r="BX1391" s="5"/>
      <c r="BY1391" s="5" t="str">
        <f ca="1">IF('Rent Roll'!$AE85=1,'Rent Roll'!E85,"")</f>
        <v/>
      </c>
      <c r="BZ1391" s="39" t="str">
        <f ca="1">IF('Rent Roll'!$AE85=1,'Rent Roll'!G85,"")</f>
        <v/>
      </c>
      <c r="CA1391" s="1547" t="str">
        <f ca="1">IF('Rent Roll'!$AE85=1,'Rent Roll'!K85,"")</f>
        <v/>
      </c>
      <c r="CB1391" s="1551" t="str">
        <f ca="1">IF('Rent Roll'!$AE85=1,'Rent Roll'!N85,"")</f>
        <v/>
      </c>
      <c r="CC1391" s="223"/>
      <c r="CD1391" s="6"/>
      <c r="CE1391" s="32"/>
      <c r="CF1391" s="342"/>
      <c r="CG1391" s="343"/>
      <c r="CH1391" s="342"/>
      <c r="CI1391" s="343"/>
      <c r="CJ1391" s="32"/>
      <c r="CK1391" s="187"/>
      <c r="CL1391" s="187"/>
    </row>
    <row r="1392" spans="1:90" ht="15.95" hidden="1" customHeight="1" x14ac:dyDescent="0.25">
      <c r="A1392" s="957">
        <f t="shared" ca="1" si="46"/>
        <v>0</v>
      </c>
      <c r="BW1392" s="4"/>
      <c r="BX1392" s="5"/>
      <c r="BY1392" s="5" t="str">
        <f ca="1">IF('Rent Roll'!$AE86=1,'Rent Roll'!E86,"")</f>
        <v/>
      </c>
      <c r="BZ1392" s="39" t="str">
        <f ca="1">IF('Rent Roll'!$AE86=1,'Rent Roll'!G86,"")</f>
        <v/>
      </c>
      <c r="CA1392" s="1547" t="str">
        <f ca="1">IF('Rent Roll'!$AE86=1,'Rent Roll'!K86,"")</f>
        <v/>
      </c>
      <c r="CB1392" s="1551" t="str">
        <f ca="1">IF('Rent Roll'!$AE86=1,'Rent Roll'!N86,"")</f>
        <v/>
      </c>
      <c r="CC1392" s="223"/>
      <c r="CD1392" s="6"/>
      <c r="CE1392" s="32"/>
      <c r="CF1392" s="342"/>
      <c r="CG1392" s="343"/>
      <c r="CH1392" s="342"/>
      <c r="CI1392" s="343"/>
      <c r="CJ1392" s="32"/>
      <c r="CK1392" s="187"/>
      <c r="CL1392" s="187"/>
    </row>
    <row r="1393" spans="1:90" ht="15.95" hidden="1" customHeight="1" x14ac:dyDescent="0.25">
      <c r="A1393" s="957">
        <f t="shared" ca="1" si="46"/>
        <v>0</v>
      </c>
      <c r="BW1393" s="4"/>
      <c r="BX1393" s="5"/>
      <c r="BY1393" s="5" t="str">
        <f ca="1">IF('Rent Roll'!$AE87=1,'Rent Roll'!E87,"")</f>
        <v/>
      </c>
      <c r="BZ1393" s="39" t="str">
        <f ca="1">IF('Rent Roll'!$AE87=1,'Rent Roll'!G87,"")</f>
        <v/>
      </c>
      <c r="CA1393" s="1547" t="str">
        <f ca="1">IF('Rent Roll'!$AE87=1,'Rent Roll'!K87,"")</f>
        <v/>
      </c>
      <c r="CB1393" s="1551" t="str">
        <f ca="1">IF('Rent Roll'!$AE87=1,'Rent Roll'!N87,"")</f>
        <v/>
      </c>
      <c r="CC1393" s="223"/>
      <c r="CD1393" s="6"/>
      <c r="CE1393" s="32"/>
      <c r="CF1393" s="342"/>
      <c r="CG1393" s="343"/>
      <c r="CH1393" s="342"/>
      <c r="CI1393" s="343"/>
      <c r="CJ1393" s="32"/>
      <c r="CK1393" s="187"/>
      <c r="CL1393" s="187"/>
    </row>
    <row r="1394" spans="1:90" ht="15.95" hidden="1" customHeight="1" x14ac:dyDescent="0.25">
      <c r="A1394" s="957">
        <f t="shared" ca="1" si="46"/>
        <v>0</v>
      </c>
      <c r="BW1394" s="4"/>
      <c r="BX1394" s="5"/>
      <c r="BY1394" s="5" t="str">
        <f ca="1">IF('Rent Roll'!$AE88=1,'Rent Roll'!E88,"")</f>
        <v/>
      </c>
      <c r="BZ1394" s="39" t="str">
        <f ca="1">IF('Rent Roll'!$AE88=1,'Rent Roll'!G88,"")</f>
        <v/>
      </c>
      <c r="CA1394" s="1547" t="str">
        <f ca="1">IF('Rent Roll'!$AE88=1,'Rent Roll'!K88,"")</f>
        <v/>
      </c>
      <c r="CB1394" s="1551" t="str">
        <f ca="1">IF('Rent Roll'!$AE88=1,'Rent Roll'!N88,"")</f>
        <v/>
      </c>
      <c r="CC1394" s="223"/>
      <c r="CD1394" s="6"/>
      <c r="CE1394" s="32"/>
      <c r="CF1394" s="342"/>
      <c r="CG1394" s="343"/>
      <c r="CH1394" s="342"/>
      <c r="CI1394" s="343"/>
      <c r="CJ1394" s="32"/>
      <c r="CK1394" s="187"/>
      <c r="CL1394" s="187"/>
    </row>
    <row r="1395" spans="1:90" ht="15.95" hidden="1" customHeight="1" x14ac:dyDescent="0.25">
      <c r="A1395" s="957">
        <f t="shared" ca="1" si="46"/>
        <v>0</v>
      </c>
      <c r="BW1395" s="4"/>
      <c r="BX1395" s="5"/>
      <c r="BY1395" s="5" t="str">
        <f ca="1">IF('Rent Roll'!$AE89=1,'Rent Roll'!E89,"")</f>
        <v/>
      </c>
      <c r="BZ1395" s="39" t="str">
        <f ca="1">IF('Rent Roll'!$AE89=1,'Rent Roll'!G89,"")</f>
        <v/>
      </c>
      <c r="CA1395" s="1547" t="str">
        <f ca="1">IF('Rent Roll'!$AE89=1,'Rent Roll'!K89,"")</f>
        <v/>
      </c>
      <c r="CB1395" s="1551" t="str">
        <f ca="1">IF('Rent Roll'!$AE89=1,'Rent Roll'!N89,"")</f>
        <v/>
      </c>
      <c r="CC1395" s="223"/>
      <c r="CD1395" s="6"/>
      <c r="CE1395" s="32"/>
      <c r="CF1395" s="342"/>
      <c r="CG1395" s="343"/>
      <c r="CH1395" s="342"/>
      <c r="CI1395" s="343"/>
      <c r="CJ1395" s="32"/>
      <c r="CK1395" s="187"/>
      <c r="CL1395" s="187"/>
    </row>
    <row r="1396" spans="1:90" ht="15.95" hidden="1" customHeight="1" x14ac:dyDescent="0.25">
      <c r="A1396" s="957">
        <f t="shared" ca="1" si="46"/>
        <v>0</v>
      </c>
      <c r="BW1396" s="4"/>
      <c r="BX1396" s="5"/>
      <c r="BY1396" s="5" t="str">
        <f ca="1">IF('Rent Roll'!$AE90=1,'Rent Roll'!E90,"")</f>
        <v/>
      </c>
      <c r="BZ1396" s="39" t="str">
        <f ca="1">IF('Rent Roll'!$AE90=1,'Rent Roll'!G90,"")</f>
        <v/>
      </c>
      <c r="CA1396" s="1547" t="str">
        <f ca="1">IF('Rent Roll'!$AE90=1,'Rent Roll'!K90,"")</f>
        <v/>
      </c>
      <c r="CB1396" s="1551" t="str">
        <f ca="1">IF('Rent Roll'!$AE90=1,'Rent Roll'!N90,"")</f>
        <v/>
      </c>
      <c r="CC1396" s="223"/>
      <c r="CD1396" s="6"/>
      <c r="CE1396" s="32"/>
      <c r="CF1396" s="342"/>
      <c r="CG1396" s="343"/>
      <c r="CH1396" s="342"/>
      <c r="CI1396" s="343"/>
      <c r="CJ1396" s="32"/>
      <c r="CK1396" s="187"/>
      <c r="CL1396" s="187"/>
    </row>
    <row r="1397" spans="1:90" ht="15.95" hidden="1" customHeight="1" x14ac:dyDescent="0.25">
      <c r="A1397" s="957">
        <f t="shared" ca="1" si="46"/>
        <v>0</v>
      </c>
      <c r="BW1397" s="4"/>
      <c r="BX1397" s="5"/>
      <c r="BY1397" s="5" t="str">
        <f ca="1">IF('Rent Roll'!$AE91=1,'Rent Roll'!E91,"")</f>
        <v/>
      </c>
      <c r="BZ1397" s="39" t="str">
        <f ca="1">IF('Rent Roll'!$AE91=1,'Rent Roll'!G91,"")</f>
        <v/>
      </c>
      <c r="CA1397" s="1547" t="str">
        <f ca="1">IF('Rent Roll'!$AE91=1,'Rent Roll'!K91,"")</f>
        <v/>
      </c>
      <c r="CB1397" s="1551" t="str">
        <f ca="1">IF('Rent Roll'!$AE91=1,'Rent Roll'!N91,"")</f>
        <v/>
      </c>
      <c r="CC1397" s="223"/>
      <c r="CD1397" s="6"/>
      <c r="CE1397" s="32"/>
      <c r="CF1397" s="342"/>
      <c r="CG1397" s="343"/>
      <c r="CH1397" s="342"/>
      <c r="CI1397" s="343"/>
      <c r="CJ1397" s="32"/>
      <c r="CK1397" s="187"/>
      <c r="CL1397" s="187"/>
    </row>
    <row r="1398" spans="1:90" ht="15.95" hidden="1" customHeight="1" x14ac:dyDescent="0.25">
      <c r="A1398" s="957">
        <f t="shared" ca="1" si="46"/>
        <v>0</v>
      </c>
      <c r="BW1398" s="4"/>
      <c r="BX1398" s="5"/>
      <c r="BY1398" s="5" t="str">
        <f ca="1">IF('Rent Roll'!$AE92=1,'Rent Roll'!E92,"")</f>
        <v/>
      </c>
      <c r="BZ1398" s="39" t="str">
        <f ca="1">IF('Rent Roll'!$AE92=1,'Rent Roll'!G92,"")</f>
        <v/>
      </c>
      <c r="CA1398" s="1547" t="str">
        <f ca="1">IF('Rent Roll'!$AE92=1,'Rent Roll'!K92,"")</f>
        <v/>
      </c>
      <c r="CB1398" s="1551" t="str">
        <f ca="1">IF('Rent Roll'!$AE92=1,'Rent Roll'!N92,"")</f>
        <v/>
      </c>
      <c r="CC1398" s="223"/>
      <c r="CD1398" s="6"/>
      <c r="CE1398" s="32"/>
      <c r="CF1398" s="342"/>
      <c r="CG1398" s="343"/>
      <c r="CH1398" s="342"/>
      <c r="CI1398" s="343"/>
      <c r="CJ1398" s="32"/>
      <c r="CK1398" s="187"/>
      <c r="CL1398" s="187"/>
    </row>
    <row r="1399" spans="1:90" ht="15.95" hidden="1" customHeight="1" x14ac:dyDescent="0.25">
      <c r="A1399" s="957">
        <f t="shared" ca="1" si="46"/>
        <v>0</v>
      </c>
      <c r="BW1399" s="4"/>
      <c r="BX1399" s="5"/>
      <c r="BY1399" s="5" t="str">
        <f ca="1">IF('Rent Roll'!$AE93=1,'Rent Roll'!E93,"")</f>
        <v/>
      </c>
      <c r="BZ1399" s="39" t="str">
        <f ca="1">IF('Rent Roll'!$AE93=1,'Rent Roll'!G93,"")</f>
        <v/>
      </c>
      <c r="CA1399" s="1547" t="str">
        <f ca="1">IF('Rent Roll'!$AE93=1,'Rent Roll'!K93,"")</f>
        <v/>
      </c>
      <c r="CB1399" s="1551" t="str">
        <f ca="1">IF('Rent Roll'!$AE93=1,'Rent Roll'!N93,"")</f>
        <v/>
      </c>
      <c r="CC1399" s="223"/>
      <c r="CD1399" s="6"/>
      <c r="CE1399" s="32"/>
      <c r="CF1399" s="342"/>
      <c r="CG1399" s="343"/>
      <c r="CH1399" s="342"/>
      <c r="CI1399" s="343"/>
      <c r="CJ1399" s="32"/>
      <c r="CK1399" s="187"/>
      <c r="CL1399" s="187"/>
    </row>
    <row r="1400" spans="1:90" ht="15.95" hidden="1" customHeight="1" x14ac:dyDescent="0.25">
      <c r="A1400" s="957">
        <f t="shared" ca="1" si="46"/>
        <v>0</v>
      </c>
      <c r="BW1400" s="4"/>
      <c r="BX1400" s="5"/>
      <c r="BY1400" s="5" t="str">
        <f ca="1">IF('Rent Roll'!$AE94=1,'Rent Roll'!E94,"")</f>
        <v/>
      </c>
      <c r="BZ1400" s="39" t="str">
        <f ca="1">IF('Rent Roll'!$AE94=1,'Rent Roll'!G94,"")</f>
        <v/>
      </c>
      <c r="CA1400" s="1547" t="str">
        <f ca="1">IF('Rent Roll'!$AE94=1,'Rent Roll'!K94,"")</f>
        <v/>
      </c>
      <c r="CB1400" s="1551" t="str">
        <f ca="1">IF('Rent Roll'!$AE94=1,'Rent Roll'!N94,"")</f>
        <v/>
      </c>
      <c r="CC1400" s="223"/>
      <c r="CD1400" s="6"/>
      <c r="CE1400" s="32"/>
      <c r="CF1400" s="342"/>
      <c r="CG1400" s="343"/>
      <c r="CH1400" s="342"/>
      <c r="CI1400" s="343"/>
      <c r="CJ1400" s="32"/>
      <c r="CK1400" s="187"/>
      <c r="CL1400" s="187"/>
    </row>
    <row r="1401" spans="1:90" ht="15.95" hidden="1" customHeight="1" x14ac:dyDescent="0.25">
      <c r="A1401" s="957">
        <f t="shared" ca="1" si="46"/>
        <v>0</v>
      </c>
      <c r="BW1401" s="4"/>
      <c r="BX1401" s="5"/>
      <c r="BY1401" s="5" t="str">
        <f ca="1">IF('Rent Roll'!$AE95=1,'Rent Roll'!E95,"")</f>
        <v/>
      </c>
      <c r="BZ1401" s="39" t="str">
        <f ca="1">IF('Rent Roll'!$AE95=1,'Rent Roll'!G95,"")</f>
        <v/>
      </c>
      <c r="CA1401" s="1547" t="str">
        <f ca="1">IF('Rent Roll'!$AE95=1,'Rent Roll'!K95,"")</f>
        <v/>
      </c>
      <c r="CB1401" s="1551" t="str">
        <f ca="1">IF('Rent Roll'!$AE95=1,'Rent Roll'!N95,"")</f>
        <v/>
      </c>
      <c r="CC1401" s="223"/>
      <c r="CD1401" s="6"/>
      <c r="CE1401" s="32"/>
      <c r="CF1401" s="342"/>
      <c r="CG1401" s="343"/>
      <c r="CH1401" s="342"/>
      <c r="CI1401" s="343"/>
      <c r="CJ1401" s="32"/>
      <c r="CK1401" s="187"/>
      <c r="CL1401" s="187"/>
    </row>
    <row r="1402" spans="1:90" ht="15.95" hidden="1" customHeight="1" x14ac:dyDescent="0.25">
      <c r="A1402" s="957">
        <f t="shared" ca="1" si="46"/>
        <v>0</v>
      </c>
      <c r="BW1402" s="4"/>
      <c r="BX1402" s="5"/>
      <c r="BY1402" s="5" t="str">
        <f ca="1">IF('Rent Roll'!$AE96=1,'Rent Roll'!E96,"")</f>
        <v/>
      </c>
      <c r="BZ1402" s="39" t="str">
        <f ca="1">IF('Rent Roll'!$AE96=1,'Rent Roll'!G96,"")</f>
        <v/>
      </c>
      <c r="CA1402" s="1547" t="str">
        <f ca="1">IF('Rent Roll'!$AE96=1,'Rent Roll'!K96,"")</f>
        <v/>
      </c>
      <c r="CB1402" s="1551" t="str">
        <f ca="1">IF('Rent Roll'!$AE96=1,'Rent Roll'!N96,"")</f>
        <v/>
      </c>
      <c r="CC1402" s="223"/>
      <c r="CD1402" s="6"/>
      <c r="CE1402" s="32"/>
      <c r="CF1402" s="342"/>
      <c r="CG1402" s="343"/>
      <c r="CH1402" s="342"/>
      <c r="CI1402" s="343"/>
      <c r="CJ1402" s="32"/>
      <c r="CK1402" s="187"/>
      <c r="CL1402" s="187"/>
    </row>
    <row r="1403" spans="1:90" ht="15.95" hidden="1" customHeight="1" x14ac:dyDescent="0.25">
      <c r="A1403" s="957">
        <f t="shared" ca="1" si="46"/>
        <v>0</v>
      </c>
      <c r="BW1403" s="4"/>
      <c r="BX1403" s="5"/>
      <c r="BY1403" s="5" t="str">
        <f ca="1">IF('Rent Roll'!$AE97=1,'Rent Roll'!E97,"")</f>
        <v/>
      </c>
      <c r="BZ1403" s="39" t="str">
        <f ca="1">IF('Rent Roll'!$AE97=1,'Rent Roll'!G97,"")</f>
        <v/>
      </c>
      <c r="CA1403" s="1547" t="str">
        <f ca="1">IF('Rent Roll'!$AE97=1,'Rent Roll'!K97,"")</f>
        <v/>
      </c>
      <c r="CB1403" s="1551" t="str">
        <f ca="1">IF('Rent Roll'!$AE97=1,'Rent Roll'!N97,"")</f>
        <v/>
      </c>
      <c r="CC1403" s="223"/>
      <c r="CD1403" s="6"/>
      <c r="CE1403" s="32"/>
      <c r="CF1403" s="342"/>
      <c r="CG1403" s="343"/>
      <c r="CH1403" s="342"/>
      <c r="CI1403" s="343"/>
      <c r="CJ1403" s="32"/>
      <c r="CK1403" s="187"/>
      <c r="CL1403" s="187"/>
    </row>
    <row r="1404" spans="1:90" ht="15.95" hidden="1" customHeight="1" x14ac:dyDescent="0.25">
      <c r="A1404" s="957">
        <f t="shared" ca="1" si="46"/>
        <v>0</v>
      </c>
      <c r="BW1404" s="4"/>
      <c r="BX1404" s="5"/>
      <c r="BY1404" s="5" t="str">
        <f ca="1">IF('Rent Roll'!$AE98=1,'Rent Roll'!E98,"")</f>
        <v/>
      </c>
      <c r="BZ1404" s="39" t="str">
        <f ca="1">IF('Rent Roll'!$AE98=1,'Rent Roll'!G98,"")</f>
        <v/>
      </c>
      <c r="CA1404" s="1547" t="str">
        <f ca="1">IF('Rent Roll'!$AE98=1,'Rent Roll'!K98,"")</f>
        <v/>
      </c>
      <c r="CB1404" s="1551" t="str">
        <f ca="1">IF('Rent Roll'!$AE98=1,'Rent Roll'!N98,"")</f>
        <v/>
      </c>
      <c r="CC1404" s="223"/>
      <c r="CD1404" s="6"/>
      <c r="CE1404" s="32"/>
      <c r="CF1404" s="342"/>
      <c r="CG1404" s="343"/>
      <c r="CH1404" s="342"/>
      <c r="CI1404" s="343"/>
      <c r="CJ1404" s="32"/>
      <c r="CK1404" s="187"/>
      <c r="CL1404" s="187"/>
    </row>
    <row r="1405" spans="1:90" ht="15.95" hidden="1" customHeight="1" x14ac:dyDescent="0.25">
      <c r="A1405" s="957">
        <f t="shared" ca="1" si="46"/>
        <v>0</v>
      </c>
      <c r="BW1405" s="4"/>
      <c r="BX1405" s="5"/>
      <c r="BY1405" s="5" t="str">
        <f ca="1">IF('Rent Roll'!$AE99=1,'Rent Roll'!E99,"")</f>
        <v/>
      </c>
      <c r="BZ1405" s="39" t="str">
        <f ca="1">IF('Rent Roll'!$AE99=1,'Rent Roll'!G99,"")</f>
        <v/>
      </c>
      <c r="CA1405" s="1547" t="str">
        <f ca="1">IF('Rent Roll'!$AE99=1,'Rent Roll'!K99,"")</f>
        <v/>
      </c>
      <c r="CB1405" s="1551" t="str">
        <f ca="1">IF('Rent Roll'!$AE99=1,'Rent Roll'!N99,"")</f>
        <v/>
      </c>
      <c r="CC1405" s="223"/>
      <c r="CD1405" s="6"/>
      <c r="CE1405" s="32"/>
      <c r="CF1405" s="342"/>
      <c r="CG1405" s="343"/>
      <c r="CH1405" s="342"/>
      <c r="CI1405" s="343"/>
      <c r="CJ1405" s="32"/>
      <c r="CK1405" s="187"/>
      <c r="CL1405" s="187"/>
    </row>
    <row r="1406" spans="1:90" ht="15.95" hidden="1" customHeight="1" x14ac:dyDescent="0.25">
      <c r="A1406" s="957">
        <f t="shared" ca="1" si="46"/>
        <v>0</v>
      </c>
      <c r="BW1406" s="4"/>
      <c r="BX1406" s="5"/>
      <c r="BY1406" s="5" t="str">
        <f ca="1">IF('Rent Roll'!$AE100=1,'Rent Roll'!E100,"")</f>
        <v/>
      </c>
      <c r="BZ1406" s="39" t="str">
        <f ca="1">IF('Rent Roll'!$AE100=1,'Rent Roll'!G100,"")</f>
        <v/>
      </c>
      <c r="CA1406" s="1547" t="str">
        <f ca="1">IF('Rent Roll'!$AE100=1,'Rent Roll'!K100,"")</f>
        <v/>
      </c>
      <c r="CB1406" s="1551" t="str">
        <f ca="1">IF('Rent Roll'!$AE100=1,'Rent Roll'!N100,"")</f>
        <v/>
      </c>
      <c r="CC1406" s="223"/>
      <c r="CD1406" s="6"/>
      <c r="CE1406" s="32"/>
      <c r="CF1406" s="342"/>
      <c r="CG1406" s="343"/>
      <c r="CH1406" s="342"/>
      <c r="CI1406" s="343"/>
      <c r="CJ1406" s="32"/>
      <c r="CK1406" s="187"/>
      <c r="CL1406" s="187"/>
    </row>
    <row r="1407" spans="1:90" ht="15.95" hidden="1" customHeight="1" x14ac:dyDescent="0.25">
      <c r="A1407" s="957">
        <f t="shared" ca="1" si="46"/>
        <v>0</v>
      </c>
      <c r="BW1407" s="4"/>
      <c r="BX1407" s="5"/>
      <c r="BY1407" s="5" t="str">
        <f ca="1">IF('Rent Roll'!$AE101=1,'Rent Roll'!E101,"")</f>
        <v/>
      </c>
      <c r="BZ1407" s="39" t="str">
        <f ca="1">IF('Rent Roll'!$AE101=1,'Rent Roll'!G101,"")</f>
        <v/>
      </c>
      <c r="CA1407" s="1547" t="str">
        <f ca="1">IF('Rent Roll'!$AE101=1,'Rent Roll'!K101,"")</f>
        <v/>
      </c>
      <c r="CB1407" s="1551" t="str">
        <f ca="1">IF('Rent Roll'!$AE101=1,'Rent Roll'!N101,"")</f>
        <v/>
      </c>
      <c r="CC1407" s="223"/>
      <c r="CD1407" s="6"/>
      <c r="CE1407" s="32"/>
      <c r="CF1407" s="342"/>
      <c r="CG1407" s="343"/>
      <c r="CH1407" s="342"/>
      <c r="CI1407" s="343"/>
      <c r="CJ1407" s="32"/>
      <c r="CK1407" s="187"/>
      <c r="CL1407" s="187"/>
    </row>
    <row r="1408" spans="1:90" ht="15.95" hidden="1" customHeight="1" x14ac:dyDescent="0.25">
      <c r="A1408" s="957">
        <f t="shared" ca="1" si="46"/>
        <v>0</v>
      </c>
      <c r="BW1408" s="4"/>
      <c r="BX1408" s="5"/>
      <c r="BY1408" s="5" t="str">
        <f ca="1">IF('Rent Roll'!$AE102=1,'Rent Roll'!E102,"")</f>
        <v/>
      </c>
      <c r="BZ1408" s="39" t="str">
        <f ca="1">IF('Rent Roll'!$AE102=1,'Rent Roll'!G102,"")</f>
        <v/>
      </c>
      <c r="CA1408" s="1547" t="str">
        <f ca="1">IF('Rent Roll'!$AE102=1,'Rent Roll'!K102,"")</f>
        <v/>
      </c>
      <c r="CB1408" s="1551" t="str">
        <f ca="1">IF('Rent Roll'!$AE102=1,'Rent Roll'!N102,"")</f>
        <v/>
      </c>
      <c r="CC1408" s="223"/>
      <c r="CD1408" s="6"/>
      <c r="CE1408" s="32"/>
      <c r="CF1408" s="342"/>
      <c r="CG1408" s="343"/>
      <c r="CH1408" s="342"/>
      <c r="CI1408" s="343"/>
      <c r="CJ1408" s="32"/>
      <c r="CK1408" s="187"/>
      <c r="CL1408" s="187"/>
    </row>
    <row r="1409" spans="1:90" ht="15.95" hidden="1" customHeight="1" x14ac:dyDescent="0.25">
      <c r="A1409" s="957">
        <f t="shared" ref="A1409:A1440" ca="1" si="47">IF(BY1409="",0,1)</f>
        <v>0</v>
      </c>
      <c r="BW1409" s="4"/>
      <c r="BX1409" s="5"/>
      <c r="BY1409" s="5" t="str">
        <f ca="1">IF('Rent Roll'!$AE103=1,'Rent Roll'!E103,"")</f>
        <v/>
      </c>
      <c r="BZ1409" s="39" t="str">
        <f ca="1">IF('Rent Roll'!$AE103=1,'Rent Roll'!G103,"")</f>
        <v/>
      </c>
      <c r="CA1409" s="1547" t="str">
        <f ca="1">IF('Rent Roll'!$AE103=1,'Rent Roll'!K103,"")</f>
        <v/>
      </c>
      <c r="CB1409" s="1551" t="str">
        <f ca="1">IF('Rent Roll'!$AE103=1,'Rent Roll'!N103,"")</f>
        <v/>
      </c>
      <c r="CC1409" s="223"/>
      <c r="CD1409" s="6"/>
      <c r="CE1409" s="32"/>
      <c r="CF1409" s="342"/>
      <c r="CG1409" s="343"/>
      <c r="CH1409" s="342"/>
      <c r="CI1409" s="343"/>
      <c r="CJ1409" s="32"/>
      <c r="CK1409" s="187"/>
      <c r="CL1409" s="187"/>
    </row>
    <row r="1410" spans="1:90" ht="15.95" hidden="1" customHeight="1" x14ac:dyDescent="0.25">
      <c r="A1410" s="957">
        <f t="shared" ca="1" si="47"/>
        <v>0</v>
      </c>
      <c r="BW1410" s="4"/>
      <c r="BX1410" s="5"/>
      <c r="BY1410" s="5" t="str">
        <f ca="1">IF('Rent Roll'!$AE104=1,'Rent Roll'!E104,"")</f>
        <v/>
      </c>
      <c r="BZ1410" s="39" t="str">
        <f ca="1">IF('Rent Roll'!$AE104=1,'Rent Roll'!G104,"")</f>
        <v/>
      </c>
      <c r="CA1410" s="1547" t="str">
        <f ca="1">IF('Rent Roll'!$AE104=1,'Rent Roll'!K104,"")</f>
        <v/>
      </c>
      <c r="CB1410" s="1551" t="str">
        <f ca="1">IF('Rent Roll'!$AE104=1,'Rent Roll'!N104,"")</f>
        <v/>
      </c>
      <c r="CC1410" s="223"/>
      <c r="CD1410" s="6"/>
      <c r="CE1410" s="32"/>
      <c r="CF1410" s="342"/>
      <c r="CG1410" s="343"/>
      <c r="CH1410" s="342"/>
      <c r="CI1410" s="343"/>
      <c r="CJ1410" s="32"/>
      <c r="CK1410" s="187"/>
      <c r="CL1410" s="187"/>
    </row>
    <row r="1411" spans="1:90" ht="15.95" hidden="1" customHeight="1" x14ac:dyDescent="0.25">
      <c r="A1411" s="957">
        <f t="shared" ca="1" si="47"/>
        <v>0</v>
      </c>
      <c r="BW1411" s="4"/>
      <c r="BX1411" s="5"/>
      <c r="BY1411" s="5" t="str">
        <f ca="1">IF('Rent Roll'!$AE105=1,'Rent Roll'!E105,"")</f>
        <v/>
      </c>
      <c r="BZ1411" s="39" t="str">
        <f ca="1">IF('Rent Roll'!$AE105=1,'Rent Roll'!G105,"")</f>
        <v/>
      </c>
      <c r="CA1411" s="1547" t="str">
        <f ca="1">IF('Rent Roll'!$AE105=1,'Rent Roll'!K105,"")</f>
        <v/>
      </c>
      <c r="CB1411" s="1551" t="str">
        <f ca="1">IF('Rent Roll'!$AE105=1,'Rent Roll'!N105,"")</f>
        <v/>
      </c>
      <c r="CC1411" s="223"/>
      <c r="CD1411" s="6"/>
      <c r="CE1411" s="32"/>
      <c r="CF1411" s="342"/>
      <c r="CG1411" s="343"/>
      <c r="CH1411" s="342"/>
      <c r="CI1411" s="343"/>
      <c r="CJ1411" s="32"/>
      <c r="CK1411" s="187"/>
      <c r="CL1411" s="187"/>
    </row>
    <row r="1412" spans="1:90" ht="15.95" hidden="1" customHeight="1" x14ac:dyDescent="0.25">
      <c r="A1412" s="957">
        <f t="shared" ca="1" si="47"/>
        <v>0</v>
      </c>
      <c r="BW1412" s="4"/>
      <c r="BX1412" s="5"/>
      <c r="BY1412" s="5" t="str">
        <f ca="1">IF('Rent Roll'!$AE106=1,'Rent Roll'!E106,"")</f>
        <v/>
      </c>
      <c r="BZ1412" s="39" t="str">
        <f ca="1">IF('Rent Roll'!$AE106=1,'Rent Roll'!G106,"")</f>
        <v/>
      </c>
      <c r="CA1412" s="1547" t="str">
        <f ca="1">IF('Rent Roll'!$AE106=1,'Rent Roll'!K106,"")</f>
        <v/>
      </c>
      <c r="CB1412" s="1551" t="str">
        <f ca="1">IF('Rent Roll'!$AE106=1,'Rent Roll'!N106,"")</f>
        <v/>
      </c>
      <c r="CC1412" s="223"/>
      <c r="CD1412" s="6"/>
      <c r="CE1412" s="32"/>
      <c r="CF1412" s="342"/>
      <c r="CG1412" s="343"/>
      <c r="CH1412" s="342"/>
      <c r="CI1412" s="343"/>
      <c r="CJ1412" s="32"/>
      <c r="CK1412" s="187"/>
      <c r="CL1412" s="187"/>
    </row>
    <row r="1413" spans="1:90" ht="15.95" hidden="1" customHeight="1" x14ac:dyDescent="0.25">
      <c r="A1413" s="957">
        <f t="shared" ca="1" si="47"/>
        <v>0</v>
      </c>
      <c r="BW1413" s="4"/>
      <c r="BX1413" s="5"/>
      <c r="BY1413" s="5" t="str">
        <f ca="1">IF('Rent Roll'!$AE107=1,'Rent Roll'!E107,"")</f>
        <v/>
      </c>
      <c r="BZ1413" s="39" t="str">
        <f ca="1">IF('Rent Roll'!$AE107=1,'Rent Roll'!G107,"")</f>
        <v/>
      </c>
      <c r="CA1413" s="1547" t="str">
        <f ca="1">IF('Rent Roll'!$AE107=1,'Rent Roll'!K107,"")</f>
        <v/>
      </c>
      <c r="CB1413" s="1551" t="str">
        <f ca="1">IF('Rent Roll'!$AE107=1,'Rent Roll'!N107,"")</f>
        <v/>
      </c>
      <c r="CC1413" s="223"/>
      <c r="CD1413" s="6"/>
      <c r="CE1413" s="32"/>
      <c r="CF1413" s="342"/>
      <c r="CG1413" s="343"/>
      <c r="CH1413" s="342"/>
      <c r="CI1413" s="343"/>
      <c r="CJ1413" s="32"/>
      <c r="CK1413" s="187"/>
      <c r="CL1413" s="187"/>
    </row>
    <row r="1414" spans="1:90" ht="15.95" hidden="1" customHeight="1" x14ac:dyDescent="0.25">
      <c r="A1414" s="957">
        <f t="shared" ca="1" si="47"/>
        <v>0</v>
      </c>
      <c r="BW1414" s="4"/>
      <c r="BX1414" s="5"/>
      <c r="BY1414" s="5" t="str">
        <f ca="1">IF('Rent Roll'!$AE108=1,'Rent Roll'!E108,"")</f>
        <v/>
      </c>
      <c r="BZ1414" s="39" t="str">
        <f ca="1">IF('Rent Roll'!$AE108=1,'Rent Roll'!G108,"")</f>
        <v/>
      </c>
      <c r="CA1414" s="1547" t="str">
        <f ca="1">IF('Rent Roll'!$AE108=1,'Rent Roll'!K108,"")</f>
        <v/>
      </c>
      <c r="CB1414" s="1551" t="str">
        <f ca="1">IF('Rent Roll'!$AE108=1,'Rent Roll'!N108,"")</f>
        <v/>
      </c>
      <c r="CC1414" s="223"/>
      <c r="CD1414" s="6"/>
      <c r="CE1414" s="32"/>
      <c r="CF1414" s="342"/>
      <c r="CG1414" s="343"/>
      <c r="CH1414" s="342"/>
      <c r="CI1414" s="343"/>
      <c r="CJ1414" s="32"/>
      <c r="CK1414" s="187"/>
      <c r="CL1414" s="187"/>
    </row>
    <row r="1415" spans="1:90" ht="15.95" hidden="1" customHeight="1" x14ac:dyDescent="0.25">
      <c r="A1415" s="957">
        <f t="shared" ca="1" si="47"/>
        <v>0</v>
      </c>
      <c r="BW1415" s="4"/>
      <c r="BX1415" s="5"/>
      <c r="BY1415" s="5" t="str">
        <f ca="1">IF('Rent Roll'!$AE109=1,'Rent Roll'!E109,"")</f>
        <v/>
      </c>
      <c r="BZ1415" s="39" t="str">
        <f ca="1">IF('Rent Roll'!$AE109=1,'Rent Roll'!G109,"")</f>
        <v/>
      </c>
      <c r="CA1415" s="1547" t="str">
        <f ca="1">IF('Rent Roll'!$AE109=1,'Rent Roll'!K109,"")</f>
        <v/>
      </c>
      <c r="CB1415" s="1551" t="str">
        <f ca="1">IF('Rent Roll'!$AE109=1,'Rent Roll'!N109,"")</f>
        <v/>
      </c>
      <c r="CC1415" s="223"/>
      <c r="CD1415" s="6"/>
      <c r="CE1415" s="32"/>
      <c r="CF1415" s="342"/>
      <c r="CG1415" s="343"/>
      <c r="CH1415" s="342"/>
      <c r="CI1415" s="343"/>
      <c r="CJ1415" s="32"/>
      <c r="CK1415" s="187"/>
      <c r="CL1415" s="187"/>
    </row>
    <row r="1416" spans="1:90" ht="15.95" hidden="1" customHeight="1" x14ac:dyDescent="0.25">
      <c r="A1416" s="957">
        <f t="shared" ca="1" si="47"/>
        <v>0</v>
      </c>
      <c r="BW1416" s="4"/>
      <c r="BX1416" s="5"/>
      <c r="BY1416" s="5" t="str">
        <f ca="1">IF('Rent Roll'!$AE110=1,'Rent Roll'!E110,"")</f>
        <v/>
      </c>
      <c r="BZ1416" s="39" t="str">
        <f ca="1">IF('Rent Roll'!$AE110=1,'Rent Roll'!G110,"")</f>
        <v/>
      </c>
      <c r="CA1416" s="1547" t="str">
        <f ca="1">IF('Rent Roll'!$AE110=1,'Rent Roll'!K110,"")</f>
        <v/>
      </c>
      <c r="CB1416" s="1551" t="str">
        <f ca="1">IF('Rent Roll'!$AE110=1,'Rent Roll'!N110,"")</f>
        <v/>
      </c>
      <c r="CC1416" s="223"/>
      <c r="CD1416" s="6"/>
      <c r="CE1416" s="32"/>
      <c r="CF1416" s="342"/>
      <c r="CG1416" s="343"/>
      <c r="CH1416" s="342"/>
      <c r="CI1416" s="343"/>
      <c r="CJ1416" s="32"/>
      <c r="CK1416" s="187"/>
      <c r="CL1416" s="187"/>
    </row>
    <row r="1417" spans="1:90" ht="15.95" hidden="1" customHeight="1" x14ac:dyDescent="0.25">
      <c r="A1417" s="957">
        <f t="shared" ca="1" si="47"/>
        <v>0</v>
      </c>
      <c r="BW1417" s="4"/>
      <c r="BX1417" s="5"/>
      <c r="BY1417" s="5" t="str">
        <f ca="1">IF('Rent Roll'!$AE111=1,'Rent Roll'!E111,"")</f>
        <v/>
      </c>
      <c r="BZ1417" s="39" t="str">
        <f ca="1">IF('Rent Roll'!$AE111=1,'Rent Roll'!G111,"")</f>
        <v/>
      </c>
      <c r="CA1417" s="1547" t="str">
        <f ca="1">IF('Rent Roll'!$AE111=1,'Rent Roll'!K111,"")</f>
        <v/>
      </c>
      <c r="CB1417" s="1551" t="str">
        <f ca="1">IF('Rent Roll'!$AE111=1,'Rent Roll'!N111,"")</f>
        <v/>
      </c>
      <c r="CC1417" s="223"/>
      <c r="CD1417" s="6"/>
      <c r="CE1417" s="32"/>
      <c r="CF1417" s="342"/>
      <c r="CG1417" s="343"/>
      <c r="CH1417" s="342"/>
      <c r="CI1417" s="343"/>
      <c r="CJ1417" s="32"/>
      <c r="CK1417" s="187"/>
      <c r="CL1417" s="187"/>
    </row>
    <row r="1418" spans="1:90" ht="15.95" hidden="1" customHeight="1" x14ac:dyDescent="0.25">
      <c r="A1418" s="957">
        <f t="shared" ca="1" si="47"/>
        <v>0</v>
      </c>
      <c r="BW1418" s="4"/>
      <c r="BX1418" s="5"/>
      <c r="BY1418" s="5" t="str">
        <f ca="1">IF('Rent Roll'!$AE112=1,'Rent Roll'!E112,"")</f>
        <v/>
      </c>
      <c r="BZ1418" s="39" t="str">
        <f ca="1">IF('Rent Roll'!$AE112=1,'Rent Roll'!G112,"")</f>
        <v/>
      </c>
      <c r="CA1418" s="1547" t="str">
        <f ca="1">IF('Rent Roll'!$AE112=1,'Rent Roll'!K112,"")</f>
        <v/>
      </c>
      <c r="CB1418" s="1551" t="str">
        <f ca="1">IF('Rent Roll'!$AE112=1,'Rent Roll'!N112,"")</f>
        <v/>
      </c>
      <c r="CC1418" s="223"/>
      <c r="CD1418" s="6"/>
      <c r="CE1418" s="32"/>
      <c r="CF1418" s="342"/>
      <c r="CG1418" s="343"/>
      <c r="CH1418" s="342"/>
      <c r="CI1418" s="343"/>
      <c r="CJ1418" s="32"/>
      <c r="CK1418" s="187"/>
      <c r="CL1418" s="187"/>
    </row>
    <row r="1419" spans="1:90" ht="15.95" hidden="1" customHeight="1" x14ac:dyDescent="0.25">
      <c r="A1419" s="957">
        <f t="shared" ca="1" si="47"/>
        <v>0</v>
      </c>
      <c r="BW1419" s="4"/>
      <c r="BX1419" s="5"/>
      <c r="BY1419" s="5" t="str">
        <f ca="1">IF('Rent Roll'!$AE113=1,'Rent Roll'!E113,"")</f>
        <v/>
      </c>
      <c r="BZ1419" s="39" t="str">
        <f ca="1">IF('Rent Roll'!$AE113=1,'Rent Roll'!G113,"")</f>
        <v/>
      </c>
      <c r="CA1419" s="1547" t="str">
        <f ca="1">IF('Rent Roll'!$AE113=1,'Rent Roll'!K113,"")</f>
        <v/>
      </c>
      <c r="CB1419" s="1551" t="str">
        <f ca="1">IF('Rent Roll'!$AE113=1,'Rent Roll'!N113,"")</f>
        <v/>
      </c>
      <c r="CC1419" s="223"/>
      <c r="CD1419" s="6"/>
      <c r="CE1419" s="32"/>
      <c r="CF1419" s="342"/>
      <c r="CG1419" s="343"/>
      <c r="CH1419" s="342"/>
      <c r="CI1419" s="343"/>
      <c r="CJ1419" s="32"/>
      <c r="CK1419" s="187"/>
      <c r="CL1419" s="187"/>
    </row>
    <row r="1420" spans="1:90" ht="15.95" hidden="1" customHeight="1" x14ac:dyDescent="0.25">
      <c r="A1420" s="957">
        <f t="shared" ca="1" si="47"/>
        <v>0</v>
      </c>
      <c r="BW1420" s="4"/>
      <c r="BX1420" s="5"/>
      <c r="BY1420" s="5" t="str">
        <f ca="1">IF('Rent Roll'!$AE114=1,'Rent Roll'!E114,"")</f>
        <v/>
      </c>
      <c r="BZ1420" s="39" t="str">
        <f ca="1">IF('Rent Roll'!$AE114=1,'Rent Roll'!G114,"")</f>
        <v/>
      </c>
      <c r="CA1420" s="1547" t="str">
        <f ca="1">IF('Rent Roll'!$AE114=1,'Rent Roll'!K114,"")</f>
        <v/>
      </c>
      <c r="CB1420" s="1551" t="str">
        <f ca="1">IF('Rent Roll'!$AE114=1,'Rent Roll'!N114,"")</f>
        <v/>
      </c>
      <c r="CC1420" s="223"/>
      <c r="CD1420" s="6"/>
      <c r="CE1420" s="32"/>
      <c r="CF1420" s="342"/>
      <c r="CG1420" s="343"/>
      <c r="CH1420" s="342"/>
      <c r="CI1420" s="343"/>
      <c r="CJ1420" s="32"/>
      <c r="CK1420" s="187"/>
      <c r="CL1420" s="187"/>
    </row>
    <row r="1421" spans="1:90" ht="15.95" hidden="1" customHeight="1" x14ac:dyDescent="0.25">
      <c r="A1421" s="957">
        <f t="shared" ca="1" si="47"/>
        <v>0</v>
      </c>
      <c r="BW1421" s="4"/>
      <c r="BX1421" s="5"/>
      <c r="BY1421" s="5" t="str">
        <f ca="1">IF('Rent Roll'!$AE115=1,'Rent Roll'!E115,"")</f>
        <v/>
      </c>
      <c r="BZ1421" s="39" t="str">
        <f ca="1">IF('Rent Roll'!$AE115=1,'Rent Roll'!G115,"")</f>
        <v/>
      </c>
      <c r="CA1421" s="1547" t="str">
        <f ca="1">IF('Rent Roll'!$AE115=1,'Rent Roll'!K115,"")</f>
        <v/>
      </c>
      <c r="CB1421" s="1551" t="str">
        <f ca="1">IF('Rent Roll'!$AE115=1,'Rent Roll'!N115,"")</f>
        <v/>
      </c>
      <c r="CC1421" s="223"/>
      <c r="CD1421" s="6"/>
      <c r="CE1421" s="32"/>
      <c r="CF1421" s="342"/>
      <c r="CG1421" s="343"/>
      <c r="CH1421" s="342"/>
      <c r="CI1421" s="343"/>
      <c r="CJ1421" s="32"/>
      <c r="CK1421" s="187"/>
      <c r="CL1421" s="187"/>
    </row>
    <row r="1422" spans="1:90" ht="15.95" hidden="1" customHeight="1" x14ac:dyDescent="0.25">
      <c r="A1422" s="957">
        <f t="shared" ca="1" si="47"/>
        <v>0</v>
      </c>
      <c r="BW1422" s="4"/>
      <c r="BX1422" s="5"/>
      <c r="BY1422" s="5" t="str">
        <f ca="1">IF('Rent Roll'!$AE116=1,'Rent Roll'!E116,"")</f>
        <v/>
      </c>
      <c r="BZ1422" s="39" t="str">
        <f ca="1">IF('Rent Roll'!$AE116=1,'Rent Roll'!G116,"")</f>
        <v/>
      </c>
      <c r="CA1422" s="1547" t="str">
        <f ca="1">IF('Rent Roll'!$AE116=1,'Rent Roll'!K116,"")</f>
        <v/>
      </c>
      <c r="CB1422" s="1551" t="str">
        <f ca="1">IF('Rent Roll'!$AE116=1,'Rent Roll'!N116,"")</f>
        <v/>
      </c>
      <c r="CC1422" s="223"/>
      <c r="CD1422" s="6"/>
      <c r="CE1422" s="32"/>
      <c r="CF1422" s="342"/>
      <c r="CG1422" s="343"/>
      <c r="CH1422" s="342"/>
      <c r="CI1422" s="343"/>
      <c r="CJ1422" s="32"/>
      <c r="CK1422" s="187"/>
      <c r="CL1422" s="187"/>
    </row>
    <row r="1423" spans="1:90" ht="15.95" hidden="1" customHeight="1" x14ac:dyDescent="0.25">
      <c r="A1423" s="957">
        <f t="shared" ca="1" si="47"/>
        <v>0</v>
      </c>
      <c r="BW1423" s="4"/>
      <c r="BX1423" s="5"/>
      <c r="BY1423" s="5" t="str">
        <f ca="1">IF('Rent Roll'!$AE117=1,'Rent Roll'!E117,"")</f>
        <v/>
      </c>
      <c r="BZ1423" s="39" t="str">
        <f ca="1">IF('Rent Roll'!$AE117=1,'Rent Roll'!G117,"")</f>
        <v/>
      </c>
      <c r="CA1423" s="1547" t="str">
        <f ca="1">IF('Rent Roll'!$AE117=1,'Rent Roll'!K117,"")</f>
        <v/>
      </c>
      <c r="CB1423" s="1551" t="str">
        <f ca="1">IF('Rent Roll'!$AE117=1,'Rent Roll'!N117,"")</f>
        <v/>
      </c>
      <c r="CC1423" s="223"/>
      <c r="CD1423" s="6"/>
      <c r="CE1423" s="32"/>
      <c r="CF1423" s="342"/>
      <c r="CG1423" s="343"/>
      <c r="CH1423" s="342"/>
      <c r="CI1423" s="343"/>
      <c r="CJ1423" s="32"/>
      <c r="CK1423" s="187"/>
      <c r="CL1423" s="187"/>
    </row>
    <row r="1424" spans="1:90" ht="15.95" hidden="1" customHeight="1" x14ac:dyDescent="0.25">
      <c r="A1424" s="957">
        <f t="shared" ca="1" si="47"/>
        <v>0</v>
      </c>
      <c r="BW1424" s="4"/>
      <c r="BX1424" s="5"/>
      <c r="BY1424" s="5" t="str">
        <f ca="1">IF('Rent Roll'!$AE118=1,'Rent Roll'!E118,"")</f>
        <v/>
      </c>
      <c r="BZ1424" s="39" t="str">
        <f ca="1">IF('Rent Roll'!$AE118=1,'Rent Roll'!G118,"")</f>
        <v/>
      </c>
      <c r="CA1424" s="1547" t="str">
        <f ca="1">IF('Rent Roll'!$AE118=1,'Rent Roll'!K118,"")</f>
        <v/>
      </c>
      <c r="CB1424" s="1551" t="str">
        <f ca="1">IF('Rent Roll'!$AE118=1,'Rent Roll'!N118,"")</f>
        <v/>
      </c>
      <c r="CC1424" s="223"/>
      <c r="CD1424" s="6"/>
      <c r="CE1424" s="32"/>
      <c r="CF1424" s="342"/>
      <c r="CG1424" s="343"/>
      <c r="CH1424" s="342"/>
      <c r="CI1424" s="343"/>
      <c r="CJ1424" s="32"/>
      <c r="CK1424" s="187"/>
      <c r="CL1424" s="187"/>
    </row>
    <row r="1425" spans="1:90" ht="15.95" hidden="1" customHeight="1" x14ac:dyDescent="0.25">
      <c r="A1425" s="957">
        <f t="shared" ca="1" si="47"/>
        <v>0</v>
      </c>
      <c r="BW1425" s="4"/>
      <c r="BX1425" s="5"/>
      <c r="BY1425" s="5" t="str">
        <f ca="1">IF('Rent Roll'!$AE119=1,'Rent Roll'!E119,"")</f>
        <v/>
      </c>
      <c r="BZ1425" s="39" t="str">
        <f ca="1">IF('Rent Roll'!$AE119=1,'Rent Roll'!G119,"")</f>
        <v/>
      </c>
      <c r="CA1425" s="1547" t="str">
        <f ca="1">IF('Rent Roll'!$AE119=1,'Rent Roll'!K119,"")</f>
        <v/>
      </c>
      <c r="CB1425" s="1551" t="str">
        <f ca="1">IF('Rent Roll'!$AE119=1,'Rent Roll'!N119,"")</f>
        <v/>
      </c>
      <c r="CC1425" s="223"/>
      <c r="CD1425" s="6"/>
      <c r="CE1425" s="32"/>
      <c r="CF1425" s="342"/>
      <c r="CG1425" s="343"/>
      <c r="CH1425" s="342"/>
      <c r="CI1425" s="343"/>
      <c r="CJ1425" s="32"/>
      <c r="CK1425" s="187"/>
      <c r="CL1425" s="187"/>
    </row>
    <row r="1426" spans="1:90" ht="15.95" hidden="1" customHeight="1" x14ac:dyDescent="0.25">
      <c r="A1426" s="957">
        <f t="shared" ca="1" si="47"/>
        <v>0</v>
      </c>
      <c r="BW1426" s="4"/>
      <c r="BX1426" s="5"/>
      <c r="BY1426" s="5" t="str">
        <f ca="1">IF('Rent Roll'!$AE120=1,'Rent Roll'!E120,"")</f>
        <v/>
      </c>
      <c r="BZ1426" s="39" t="str">
        <f ca="1">IF('Rent Roll'!$AE120=1,'Rent Roll'!G120,"")</f>
        <v/>
      </c>
      <c r="CA1426" s="1547" t="str">
        <f ca="1">IF('Rent Roll'!$AE120=1,'Rent Roll'!K120,"")</f>
        <v/>
      </c>
      <c r="CB1426" s="1551" t="str">
        <f ca="1">IF('Rent Roll'!$AE120=1,'Rent Roll'!N120,"")</f>
        <v/>
      </c>
      <c r="CC1426" s="223"/>
      <c r="CD1426" s="6"/>
      <c r="CE1426" s="32"/>
      <c r="CF1426" s="342"/>
      <c r="CG1426" s="343"/>
      <c r="CH1426" s="342"/>
      <c r="CI1426" s="343"/>
      <c r="CJ1426" s="32"/>
      <c r="CK1426" s="187"/>
      <c r="CL1426" s="187"/>
    </row>
    <row r="1427" spans="1:90" ht="15.95" hidden="1" customHeight="1" x14ac:dyDescent="0.25">
      <c r="A1427" s="957">
        <f t="shared" ca="1" si="47"/>
        <v>0</v>
      </c>
      <c r="BW1427" s="4"/>
      <c r="BX1427" s="5"/>
      <c r="BY1427" s="5" t="str">
        <f ca="1">IF('Rent Roll'!$AE121=1,'Rent Roll'!E121,"")</f>
        <v/>
      </c>
      <c r="BZ1427" s="39" t="str">
        <f ca="1">IF('Rent Roll'!$AE121=1,'Rent Roll'!G121,"")</f>
        <v/>
      </c>
      <c r="CA1427" s="1547" t="str">
        <f ca="1">IF('Rent Roll'!$AE121=1,'Rent Roll'!K121,"")</f>
        <v/>
      </c>
      <c r="CB1427" s="1551" t="str">
        <f ca="1">IF('Rent Roll'!$AE121=1,'Rent Roll'!N121,"")</f>
        <v/>
      </c>
      <c r="CC1427" s="223"/>
      <c r="CD1427" s="6"/>
      <c r="CE1427" s="32"/>
      <c r="CF1427" s="342"/>
      <c r="CG1427" s="343"/>
      <c r="CH1427" s="342"/>
      <c r="CI1427" s="343"/>
      <c r="CJ1427" s="32"/>
      <c r="CK1427" s="187"/>
      <c r="CL1427" s="187"/>
    </row>
    <row r="1428" spans="1:90" ht="15.95" hidden="1" customHeight="1" x14ac:dyDescent="0.25">
      <c r="A1428" s="957">
        <f t="shared" ca="1" si="47"/>
        <v>0</v>
      </c>
      <c r="BW1428" s="4"/>
      <c r="BX1428" s="5"/>
      <c r="BY1428" s="5" t="str">
        <f ca="1">IF('Rent Roll'!$AE122=1,'Rent Roll'!E122,"")</f>
        <v/>
      </c>
      <c r="BZ1428" s="39" t="str">
        <f ca="1">IF('Rent Roll'!$AE122=1,'Rent Roll'!G122,"")</f>
        <v/>
      </c>
      <c r="CA1428" s="1547" t="str">
        <f ca="1">IF('Rent Roll'!$AE122=1,'Rent Roll'!K122,"")</f>
        <v/>
      </c>
      <c r="CB1428" s="1551" t="str">
        <f ca="1">IF('Rent Roll'!$AE122=1,'Rent Roll'!N122,"")</f>
        <v/>
      </c>
      <c r="CC1428" s="223"/>
      <c r="CD1428" s="6"/>
      <c r="CE1428" s="32"/>
      <c r="CF1428" s="342"/>
      <c r="CG1428" s="343"/>
      <c r="CH1428" s="342"/>
      <c r="CI1428" s="343"/>
      <c r="CJ1428" s="32"/>
      <c r="CK1428" s="187"/>
      <c r="CL1428" s="187"/>
    </row>
    <row r="1429" spans="1:90" ht="15.95" hidden="1" customHeight="1" x14ac:dyDescent="0.25">
      <c r="A1429" s="957">
        <f t="shared" ca="1" si="47"/>
        <v>0</v>
      </c>
      <c r="BW1429" s="4"/>
      <c r="BX1429" s="5"/>
      <c r="BY1429" s="5" t="str">
        <f ca="1">IF('Rent Roll'!$AE123=1,'Rent Roll'!E123,"")</f>
        <v/>
      </c>
      <c r="BZ1429" s="39" t="str">
        <f ca="1">IF('Rent Roll'!$AE123=1,'Rent Roll'!G123,"")</f>
        <v/>
      </c>
      <c r="CA1429" s="1547" t="str">
        <f ca="1">IF('Rent Roll'!$AE123=1,'Rent Roll'!K123,"")</f>
        <v/>
      </c>
      <c r="CB1429" s="1551" t="str">
        <f ca="1">IF('Rent Roll'!$AE123=1,'Rent Roll'!N123,"")</f>
        <v/>
      </c>
      <c r="CC1429" s="223"/>
      <c r="CD1429" s="6"/>
      <c r="CE1429" s="32"/>
      <c r="CF1429" s="342"/>
      <c r="CG1429" s="343"/>
      <c r="CH1429" s="342"/>
      <c r="CI1429" s="343"/>
      <c r="CJ1429" s="32"/>
      <c r="CK1429" s="187"/>
      <c r="CL1429" s="187"/>
    </row>
    <row r="1430" spans="1:90" ht="15.95" hidden="1" customHeight="1" x14ac:dyDescent="0.25">
      <c r="A1430" s="957">
        <f t="shared" ca="1" si="47"/>
        <v>0</v>
      </c>
      <c r="BW1430" s="4"/>
      <c r="BX1430" s="5"/>
      <c r="BY1430" s="5" t="str">
        <f ca="1">IF('Rent Roll'!$AE124=1,'Rent Roll'!E124,"")</f>
        <v/>
      </c>
      <c r="BZ1430" s="39" t="str">
        <f ca="1">IF('Rent Roll'!$AE124=1,'Rent Roll'!G124,"")</f>
        <v/>
      </c>
      <c r="CA1430" s="1547" t="str">
        <f ca="1">IF('Rent Roll'!$AE124=1,'Rent Roll'!K124,"")</f>
        <v/>
      </c>
      <c r="CB1430" s="1551" t="str">
        <f ca="1">IF('Rent Roll'!$AE124=1,'Rent Roll'!N124,"")</f>
        <v/>
      </c>
      <c r="CC1430" s="223"/>
      <c r="CD1430" s="6"/>
      <c r="CE1430" s="32"/>
      <c r="CF1430" s="342"/>
      <c r="CG1430" s="343"/>
      <c r="CH1430" s="342"/>
      <c r="CI1430" s="343"/>
      <c r="CJ1430" s="32"/>
      <c r="CK1430" s="187"/>
      <c r="CL1430" s="187"/>
    </row>
    <row r="1431" spans="1:90" ht="15.95" hidden="1" customHeight="1" x14ac:dyDescent="0.25">
      <c r="A1431" s="957">
        <f t="shared" ca="1" si="47"/>
        <v>0</v>
      </c>
      <c r="BW1431" s="4"/>
      <c r="BX1431" s="5"/>
      <c r="BY1431" s="5" t="str">
        <f ca="1">IF('Rent Roll'!$AE125=1,'Rent Roll'!E125,"")</f>
        <v/>
      </c>
      <c r="BZ1431" s="39" t="str">
        <f ca="1">IF('Rent Roll'!$AE125=1,'Rent Roll'!G125,"")</f>
        <v/>
      </c>
      <c r="CA1431" s="1547" t="str">
        <f ca="1">IF('Rent Roll'!$AE125=1,'Rent Roll'!K125,"")</f>
        <v/>
      </c>
      <c r="CB1431" s="1551" t="str">
        <f ca="1">IF('Rent Roll'!$AE125=1,'Rent Roll'!N125,"")</f>
        <v/>
      </c>
      <c r="CC1431" s="223"/>
      <c r="CD1431" s="6"/>
      <c r="CE1431" s="32"/>
      <c r="CF1431" s="342"/>
      <c r="CG1431" s="343"/>
      <c r="CH1431" s="342"/>
      <c r="CI1431" s="343"/>
      <c r="CJ1431" s="32"/>
      <c r="CK1431" s="187"/>
      <c r="CL1431" s="187"/>
    </row>
    <row r="1432" spans="1:90" ht="15.95" hidden="1" customHeight="1" x14ac:dyDescent="0.25">
      <c r="A1432" s="957">
        <f t="shared" ca="1" si="47"/>
        <v>0</v>
      </c>
      <c r="BW1432" s="4"/>
      <c r="BX1432" s="5"/>
      <c r="BY1432" s="5" t="str">
        <f ca="1">IF('Rent Roll'!$AE126=1,'Rent Roll'!E126,"")</f>
        <v/>
      </c>
      <c r="BZ1432" s="39" t="str">
        <f ca="1">IF('Rent Roll'!$AE126=1,'Rent Roll'!G126,"")</f>
        <v/>
      </c>
      <c r="CA1432" s="1547" t="str">
        <f ca="1">IF('Rent Roll'!$AE126=1,'Rent Roll'!K126,"")</f>
        <v/>
      </c>
      <c r="CB1432" s="1551" t="str">
        <f ca="1">IF('Rent Roll'!$AE126=1,'Rent Roll'!N126,"")</f>
        <v/>
      </c>
      <c r="CC1432" s="223"/>
      <c r="CD1432" s="6"/>
      <c r="CE1432" s="32"/>
      <c r="CF1432" s="342"/>
      <c r="CG1432" s="343"/>
      <c r="CH1432" s="342"/>
      <c r="CI1432" s="343"/>
      <c r="CJ1432" s="32"/>
      <c r="CK1432" s="187"/>
      <c r="CL1432" s="187"/>
    </row>
    <row r="1433" spans="1:90" ht="15.95" hidden="1" customHeight="1" x14ac:dyDescent="0.25">
      <c r="A1433" s="957">
        <f t="shared" ca="1" si="47"/>
        <v>0</v>
      </c>
      <c r="BW1433" s="4"/>
      <c r="BX1433" s="5"/>
      <c r="BY1433" s="5" t="str">
        <f ca="1">IF('Rent Roll'!$AE127=1,'Rent Roll'!E127,"")</f>
        <v/>
      </c>
      <c r="BZ1433" s="39" t="str">
        <f ca="1">IF('Rent Roll'!$AE127=1,'Rent Roll'!G127,"")</f>
        <v/>
      </c>
      <c r="CA1433" s="1547" t="str">
        <f ca="1">IF('Rent Roll'!$AE127=1,'Rent Roll'!K127,"")</f>
        <v/>
      </c>
      <c r="CB1433" s="1551" t="str">
        <f ca="1">IF('Rent Roll'!$AE127=1,'Rent Roll'!N127,"")</f>
        <v/>
      </c>
      <c r="CC1433" s="223"/>
      <c r="CD1433" s="6"/>
      <c r="CE1433" s="32"/>
      <c r="CF1433" s="342"/>
      <c r="CG1433" s="343"/>
      <c r="CH1433" s="342"/>
      <c r="CI1433" s="343"/>
      <c r="CJ1433" s="32"/>
      <c r="CK1433" s="187"/>
      <c r="CL1433" s="187"/>
    </row>
    <row r="1434" spans="1:90" ht="15.95" hidden="1" customHeight="1" x14ac:dyDescent="0.25">
      <c r="A1434" s="957">
        <f t="shared" ca="1" si="47"/>
        <v>0</v>
      </c>
      <c r="BW1434" s="4"/>
      <c r="BX1434" s="5"/>
      <c r="BY1434" s="5" t="str">
        <f ca="1">IF('Rent Roll'!$AE128=1,'Rent Roll'!E128,"")</f>
        <v/>
      </c>
      <c r="BZ1434" s="39" t="str">
        <f ca="1">IF('Rent Roll'!$AE128=1,'Rent Roll'!G128,"")</f>
        <v/>
      </c>
      <c r="CA1434" s="1547" t="str">
        <f ca="1">IF('Rent Roll'!$AE128=1,'Rent Roll'!K128,"")</f>
        <v/>
      </c>
      <c r="CB1434" s="1551" t="str">
        <f ca="1">IF('Rent Roll'!$AE128=1,'Rent Roll'!N128,"")</f>
        <v/>
      </c>
      <c r="CC1434" s="223"/>
      <c r="CD1434" s="6"/>
      <c r="CE1434" s="32"/>
      <c r="CF1434" s="342"/>
      <c r="CG1434" s="343"/>
      <c r="CH1434" s="342"/>
      <c r="CI1434" s="343"/>
      <c r="CJ1434" s="32"/>
      <c r="CK1434" s="187"/>
      <c r="CL1434" s="187"/>
    </row>
    <row r="1435" spans="1:90" ht="15.95" hidden="1" customHeight="1" x14ac:dyDescent="0.25">
      <c r="A1435" s="957">
        <f t="shared" ca="1" si="47"/>
        <v>0</v>
      </c>
      <c r="BW1435" s="4"/>
      <c r="BX1435" s="5"/>
      <c r="BY1435" s="5" t="str">
        <f ca="1">IF('Rent Roll'!$AE129=1,'Rent Roll'!E129,"")</f>
        <v/>
      </c>
      <c r="BZ1435" s="39" t="str">
        <f ca="1">IF('Rent Roll'!$AE129=1,'Rent Roll'!G129,"")</f>
        <v/>
      </c>
      <c r="CA1435" s="1547" t="str">
        <f ca="1">IF('Rent Roll'!$AE129=1,'Rent Roll'!K129,"")</f>
        <v/>
      </c>
      <c r="CB1435" s="1551" t="str">
        <f ca="1">IF('Rent Roll'!$AE129=1,'Rent Roll'!N129,"")</f>
        <v/>
      </c>
      <c r="CC1435" s="223"/>
      <c r="CD1435" s="6"/>
      <c r="CE1435" s="32"/>
      <c r="CF1435" s="342"/>
      <c r="CG1435" s="343"/>
      <c r="CH1435" s="342"/>
      <c r="CI1435" s="343"/>
      <c r="CJ1435" s="32"/>
      <c r="CK1435" s="187"/>
      <c r="CL1435" s="187"/>
    </row>
    <row r="1436" spans="1:90" ht="15.95" hidden="1" customHeight="1" x14ac:dyDescent="0.25">
      <c r="A1436" s="957">
        <f t="shared" ca="1" si="47"/>
        <v>0</v>
      </c>
      <c r="BW1436" s="4"/>
      <c r="BX1436" s="5"/>
      <c r="BY1436" s="5" t="str">
        <f ca="1">IF('Rent Roll'!$AE130=1,'Rent Roll'!E130,"")</f>
        <v/>
      </c>
      <c r="BZ1436" s="39" t="str">
        <f ca="1">IF('Rent Roll'!$AE130=1,'Rent Roll'!G130,"")</f>
        <v/>
      </c>
      <c r="CA1436" s="1547" t="str">
        <f ca="1">IF('Rent Roll'!$AE130=1,'Rent Roll'!K130,"")</f>
        <v/>
      </c>
      <c r="CB1436" s="1551" t="str">
        <f ca="1">IF('Rent Roll'!$AE130=1,'Rent Roll'!N130,"")</f>
        <v/>
      </c>
      <c r="CC1436" s="223"/>
      <c r="CD1436" s="6"/>
      <c r="CE1436" s="32"/>
      <c r="CF1436" s="342"/>
      <c r="CG1436" s="343"/>
      <c r="CH1436" s="342"/>
      <c r="CI1436" s="343"/>
      <c r="CJ1436" s="32"/>
      <c r="CK1436" s="187"/>
      <c r="CL1436" s="187"/>
    </row>
    <row r="1437" spans="1:90" ht="15.95" hidden="1" customHeight="1" x14ac:dyDescent="0.25">
      <c r="A1437" s="957">
        <f t="shared" ca="1" si="47"/>
        <v>0</v>
      </c>
      <c r="BW1437" s="4"/>
      <c r="BX1437" s="5"/>
      <c r="BY1437" s="5" t="str">
        <f ca="1">IF('Rent Roll'!$AE131=1,'Rent Roll'!E131,"")</f>
        <v/>
      </c>
      <c r="BZ1437" s="39" t="str">
        <f ca="1">IF('Rent Roll'!$AE131=1,'Rent Roll'!G131,"")</f>
        <v/>
      </c>
      <c r="CA1437" s="1547" t="str">
        <f ca="1">IF('Rent Roll'!$AE131=1,'Rent Roll'!K131,"")</f>
        <v/>
      </c>
      <c r="CB1437" s="1551" t="str">
        <f ca="1">IF('Rent Roll'!$AE131=1,'Rent Roll'!N131,"")</f>
        <v/>
      </c>
      <c r="CC1437" s="223"/>
      <c r="CD1437" s="6"/>
      <c r="CE1437" s="32"/>
      <c r="CF1437" s="342"/>
      <c r="CG1437" s="343"/>
      <c r="CH1437" s="342"/>
      <c r="CI1437" s="343"/>
      <c r="CJ1437" s="32"/>
      <c r="CK1437" s="187"/>
      <c r="CL1437" s="187"/>
    </row>
    <row r="1438" spans="1:90" ht="15.95" hidden="1" customHeight="1" x14ac:dyDescent="0.25">
      <c r="A1438" s="957">
        <f t="shared" ca="1" si="47"/>
        <v>0</v>
      </c>
      <c r="BW1438" s="4"/>
      <c r="BX1438" s="5"/>
      <c r="BY1438" s="5" t="str">
        <f ca="1">IF('Rent Roll'!$AE132=1,'Rent Roll'!E132,"")</f>
        <v/>
      </c>
      <c r="BZ1438" s="39" t="str">
        <f ca="1">IF('Rent Roll'!$AE132=1,'Rent Roll'!G132,"")</f>
        <v/>
      </c>
      <c r="CA1438" s="1547" t="str">
        <f ca="1">IF('Rent Roll'!$AE132=1,'Rent Roll'!K132,"")</f>
        <v/>
      </c>
      <c r="CB1438" s="1551" t="str">
        <f ca="1">IF('Rent Roll'!$AE132=1,'Rent Roll'!N132,"")</f>
        <v/>
      </c>
      <c r="CC1438" s="223"/>
      <c r="CD1438" s="6"/>
      <c r="CE1438" s="32"/>
      <c r="CF1438" s="342"/>
      <c r="CG1438" s="343"/>
      <c r="CH1438" s="342"/>
      <c r="CI1438" s="343"/>
      <c r="CJ1438" s="32"/>
      <c r="CK1438" s="187"/>
      <c r="CL1438" s="187"/>
    </row>
    <row r="1439" spans="1:90" ht="15.95" hidden="1" customHeight="1" x14ac:dyDescent="0.25">
      <c r="A1439" s="957">
        <f t="shared" ca="1" si="47"/>
        <v>0</v>
      </c>
      <c r="BW1439" s="4"/>
      <c r="BX1439" s="5"/>
      <c r="BY1439" s="5" t="str">
        <f ca="1">IF('Rent Roll'!$AE133=1,'Rent Roll'!E133,"")</f>
        <v/>
      </c>
      <c r="BZ1439" s="39" t="str">
        <f ca="1">IF('Rent Roll'!$AE133=1,'Rent Roll'!G133,"")</f>
        <v/>
      </c>
      <c r="CA1439" s="1547" t="str">
        <f ca="1">IF('Rent Roll'!$AE133=1,'Rent Roll'!K133,"")</f>
        <v/>
      </c>
      <c r="CB1439" s="1551" t="str">
        <f ca="1">IF('Rent Roll'!$AE133=1,'Rent Roll'!N133,"")</f>
        <v/>
      </c>
      <c r="CC1439" s="223"/>
      <c r="CD1439" s="6"/>
      <c r="CE1439" s="32"/>
      <c r="CF1439" s="342"/>
      <c r="CG1439" s="343"/>
      <c r="CH1439" s="342"/>
      <c r="CI1439" s="343"/>
      <c r="CJ1439" s="32"/>
      <c r="CK1439" s="187"/>
      <c r="CL1439" s="187"/>
    </row>
    <row r="1440" spans="1:90" ht="15.95" hidden="1" customHeight="1" x14ac:dyDescent="0.25">
      <c r="A1440" s="957">
        <f t="shared" ca="1" si="47"/>
        <v>0</v>
      </c>
      <c r="BW1440" s="4"/>
      <c r="BX1440" s="5"/>
      <c r="BY1440" s="5" t="str">
        <f ca="1">IF('Rent Roll'!$AE134=1,'Rent Roll'!E134,"")</f>
        <v/>
      </c>
      <c r="BZ1440" s="39" t="str">
        <f ca="1">IF('Rent Roll'!$AE134=1,'Rent Roll'!G134,"")</f>
        <v/>
      </c>
      <c r="CA1440" s="1547" t="str">
        <f ca="1">IF('Rent Roll'!$AE134=1,'Rent Roll'!K134,"")</f>
        <v/>
      </c>
      <c r="CB1440" s="1551" t="str">
        <f ca="1">IF('Rent Roll'!$AE134=1,'Rent Roll'!N134,"")</f>
        <v/>
      </c>
      <c r="CC1440" s="5"/>
      <c r="CD1440" s="6"/>
      <c r="CE1440" s="32"/>
      <c r="CF1440" s="342"/>
      <c r="CG1440" s="343"/>
      <c r="CH1440" s="342"/>
      <c r="CI1440" s="343"/>
      <c r="CJ1440" s="32"/>
      <c r="CK1440" s="187"/>
      <c r="CL1440" s="187"/>
    </row>
    <row r="1441" spans="1:90" ht="15.95" hidden="1" customHeight="1" x14ac:dyDescent="0.25">
      <c r="A1441" s="957">
        <f t="shared" ref="A1441:A1472" ca="1" si="48">IF(BY1441="",0,1)</f>
        <v>0</v>
      </c>
      <c r="BW1441" s="4"/>
      <c r="BX1441" s="5"/>
      <c r="BY1441" s="5" t="str">
        <f ca="1">IF('Rent Roll'!$AE135=1,'Rent Roll'!E135,"")</f>
        <v/>
      </c>
      <c r="BZ1441" s="39" t="str">
        <f ca="1">IF('Rent Roll'!$AE135=1,'Rent Roll'!G135,"")</f>
        <v/>
      </c>
      <c r="CA1441" s="1547" t="str">
        <f ca="1">IF('Rent Roll'!$AE135=1,'Rent Roll'!K135,"")</f>
        <v/>
      </c>
      <c r="CB1441" s="1551" t="str">
        <f ca="1">IF('Rent Roll'!$AE135=1,'Rent Roll'!N135,"")</f>
        <v/>
      </c>
      <c r="CC1441" s="5"/>
      <c r="CD1441" s="6"/>
      <c r="CE1441" s="32"/>
      <c r="CF1441" s="342"/>
      <c r="CG1441" s="343"/>
      <c r="CH1441" s="342"/>
      <c r="CI1441" s="343"/>
      <c r="CJ1441" s="32"/>
      <c r="CK1441" s="187"/>
      <c r="CL1441" s="187"/>
    </row>
    <row r="1442" spans="1:90" ht="15.95" hidden="1" customHeight="1" x14ac:dyDescent="0.25">
      <c r="A1442" s="957">
        <f t="shared" ca="1" si="48"/>
        <v>0</v>
      </c>
      <c r="BW1442" s="4"/>
      <c r="BX1442" s="5"/>
      <c r="BY1442" s="5" t="str">
        <f ca="1">IF('Rent Roll'!$AE136=1,'Rent Roll'!E136,"")</f>
        <v/>
      </c>
      <c r="BZ1442" s="39" t="str">
        <f ca="1">IF('Rent Roll'!$AE136=1,'Rent Roll'!G136,"")</f>
        <v/>
      </c>
      <c r="CA1442" s="1547" t="str">
        <f ca="1">IF('Rent Roll'!$AE136=1,'Rent Roll'!K136,"")</f>
        <v/>
      </c>
      <c r="CB1442" s="1551" t="str">
        <f ca="1">IF('Rent Roll'!$AE136=1,'Rent Roll'!N136,"")</f>
        <v/>
      </c>
      <c r="CC1442" s="5"/>
      <c r="CD1442" s="6"/>
      <c r="CE1442" s="32"/>
      <c r="CF1442" s="342"/>
      <c r="CG1442" s="343"/>
      <c r="CH1442" s="342"/>
      <c r="CI1442" s="343"/>
      <c r="CJ1442" s="32"/>
      <c r="CK1442" s="187"/>
      <c r="CL1442" s="187"/>
    </row>
    <row r="1443" spans="1:90" ht="15.95" hidden="1" customHeight="1" x14ac:dyDescent="0.25">
      <c r="A1443" s="957">
        <f t="shared" ca="1" si="48"/>
        <v>0</v>
      </c>
      <c r="BW1443" s="4"/>
      <c r="BX1443" s="5"/>
      <c r="BY1443" s="5" t="str">
        <f ca="1">IF('Rent Roll'!$AE137=1,'Rent Roll'!E137,"")</f>
        <v/>
      </c>
      <c r="BZ1443" s="39" t="str">
        <f ca="1">IF('Rent Roll'!$AE137=1,'Rent Roll'!G137,"")</f>
        <v/>
      </c>
      <c r="CA1443" s="1547" t="str">
        <f ca="1">IF('Rent Roll'!$AE137=1,'Rent Roll'!K137,"")</f>
        <v/>
      </c>
      <c r="CB1443" s="1551" t="str">
        <f ca="1">IF('Rent Roll'!$AE137=1,'Rent Roll'!N137,"")</f>
        <v/>
      </c>
      <c r="CC1443" s="5"/>
      <c r="CD1443" s="6"/>
      <c r="CE1443" s="32"/>
      <c r="CF1443" s="342"/>
      <c r="CG1443" s="343"/>
      <c r="CH1443" s="342"/>
      <c r="CI1443" s="343"/>
      <c r="CJ1443" s="32"/>
      <c r="CK1443" s="187"/>
      <c r="CL1443" s="187"/>
    </row>
    <row r="1444" spans="1:90" ht="15.95" hidden="1" customHeight="1" x14ac:dyDescent="0.25">
      <c r="A1444" s="957">
        <f t="shared" ca="1" si="48"/>
        <v>0</v>
      </c>
      <c r="BW1444" s="4"/>
      <c r="BX1444" s="5"/>
      <c r="BY1444" s="5" t="str">
        <f ca="1">IF('Rent Roll'!$AE138=1,'Rent Roll'!E138,"")</f>
        <v/>
      </c>
      <c r="BZ1444" s="39" t="str">
        <f ca="1">IF('Rent Roll'!$AE138=1,'Rent Roll'!G138,"")</f>
        <v/>
      </c>
      <c r="CA1444" s="1547" t="str">
        <f ca="1">IF('Rent Roll'!$AE138=1,'Rent Roll'!K138,"")</f>
        <v/>
      </c>
      <c r="CB1444" s="1551" t="str">
        <f ca="1">IF('Rent Roll'!$AE138=1,'Rent Roll'!N138,"")</f>
        <v/>
      </c>
      <c r="CC1444" s="5"/>
      <c r="CD1444" s="6"/>
      <c r="CE1444" s="32"/>
      <c r="CF1444" s="342"/>
      <c r="CG1444" s="343"/>
      <c r="CH1444" s="342"/>
      <c r="CI1444" s="343"/>
      <c r="CJ1444" s="32"/>
      <c r="CK1444" s="187"/>
      <c r="CL1444" s="187"/>
    </row>
    <row r="1445" spans="1:90" ht="15.95" hidden="1" customHeight="1" x14ac:dyDescent="0.25">
      <c r="A1445" s="957">
        <f t="shared" ca="1" si="48"/>
        <v>0</v>
      </c>
      <c r="BW1445" s="4"/>
      <c r="BX1445" s="5"/>
      <c r="BY1445" s="5" t="str">
        <f ca="1">IF('Rent Roll'!$AE139=1,'Rent Roll'!E139,"")</f>
        <v/>
      </c>
      <c r="BZ1445" s="39" t="str">
        <f ca="1">IF('Rent Roll'!$AE139=1,'Rent Roll'!G139,"")</f>
        <v/>
      </c>
      <c r="CA1445" s="1547" t="str">
        <f ca="1">IF('Rent Roll'!$AE139=1,'Rent Roll'!K139,"")</f>
        <v/>
      </c>
      <c r="CB1445" s="1551" t="str">
        <f ca="1">IF('Rent Roll'!$AE139=1,'Rent Roll'!N139,"")</f>
        <v/>
      </c>
      <c r="CC1445" s="5"/>
      <c r="CD1445" s="6"/>
      <c r="CE1445" s="32"/>
      <c r="CF1445" s="342"/>
      <c r="CG1445" s="343"/>
      <c r="CH1445" s="342"/>
      <c r="CI1445" s="343"/>
      <c r="CJ1445" s="32"/>
      <c r="CK1445" s="187"/>
      <c r="CL1445" s="187"/>
    </row>
    <row r="1446" spans="1:90" ht="15.95" hidden="1" customHeight="1" x14ac:dyDescent="0.25">
      <c r="A1446" s="957">
        <f t="shared" ca="1" si="48"/>
        <v>0</v>
      </c>
      <c r="BW1446" s="4"/>
      <c r="BX1446" s="5"/>
      <c r="BY1446" s="5" t="str">
        <f ca="1">IF('Rent Roll'!$AE140=1,'Rent Roll'!E140,"")</f>
        <v/>
      </c>
      <c r="BZ1446" s="39" t="str">
        <f ca="1">IF('Rent Roll'!$AE140=1,'Rent Roll'!G140,"")</f>
        <v/>
      </c>
      <c r="CA1446" s="1547" t="str">
        <f ca="1">IF('Rent Roll'!$AE140=1,'Rent Roll'!K140,"")</f>
        <v/>
      </c>
      <c r="CB1446" s="1551" t="str">
        <f ca="1">IF('Rent Roll'!$AE140=1,'Rent Roll'!N140,"")</f>
        <v/>
      </c>
      <c r="CC1446" s="5"/>
      <c r="CD1446" s="6"/>
      <c r="CE1446" s="32"/>
      <c r="CF1446" s="342"/>
      <c r="CG1446" s="343"/>
      <c r="CH1446" s="342"/>
      <c r="CI1446" s="343"/>
      <c r="CJ1446" s="32"/>
      <c r="CK1446" s="187"/>
      <c r="CL1446" s="187"/>
    </row>
    <row r="1447" spans="1:90" ht="15.95" hidden="1" customHeight="1" x14ac:dyDescent="0.25">
      <c r="A1447" s="957">
        <f t="shared" ca="1" si="48"/>
        <v>0</v>
      </c>
      <c r="BW1447" s="4"/>
      <c r="BX1447" s="5"/>
      <c r="BY1447" s="5" t="str">
        <f ca="1">IF('Rent Roll'!$AE141=1,'Rent Roll'!E141,"")</f>
        <v/>
      </c>
      <c r="BZ1447" s="39" t="str">
        <f ca="1">IF('Rent Roll'!$AE141=1,'Rent Roll'!G141,"")</f>
        <v/>
      </c>
      <c r="CA1447" s="1547" t="str">
        <f ca="1">IF('Rent Roll'!$AE141=1,'Rent Roll'!K141,"")</f>
        <v/>
      </c>
      <c r="CB1447" s="1551" t="str">
        <f ca="1">IF('Rent Roll'!$AE141=1,'Rent Roll'!N141,"")</f>
        <v/>
      </c>
      <c r="CC1447" s="5"/>
      <c r="CD1447" s="6"/>
      <c r="CE1447" s="32"/>
      <c r="CF1447" s="342"/>
      <c r="CG1447" s="343"/>
      <c r="CH1447" s="342"/>
      <c r="CI1447" s="343"/>
      <c r="CJ1447" s="32"/>
      <c r="CK1447" s="187"/>
      <c r="CL1447" s="187"/>
    </row>
    <row r="1448" spans="1:90" ht="15.95" hidden="1" customHeight="1" x14ac:dyDescent="0.25">
      <c r="A1448" s="957">
        <f t="shared" ca="1" si="48"/>
        <v>0</v>
      </c>
      <c r="BW1448" s="4"/>
      <c r="BX1448" s="5"/>
      <c r="BY1448" s="5" t="str">
        <f ca="1">IF('Rent Roll'!$AE142=1,'Rent Roll'!E142,"")</f>
        <v/>
      </c>
      <c r="BZ1448" s="39" t="str">
        <f ca="1">IF('Rent Roll'!$AE142=1,'Rent Roll'!G142,"")</f>
        <v/>
      </c>
      <c r="CA1448" s="1547" t="str">
        <f ca="1">IF('Rent Roll'!$AE142=1,'Rent Roll'!K142,"")</f>
        <v/>
      </c>
      <c r="CB1448" s="1551" t="str">
        <f ca="1">IF('Rent Roll'!$AE142=1,'Rent Roll'!N142,"")</f>
        <v/>
      </c>
      <c r="CC1448" s="5"/>
      <c r="CD1448" s="6"/>
      <c r="CE1448" s="32"/>
      <c r="CF1448" s="342"/>
      <c r="CG1448" s="343"/>
      <c r="CH1448" s="342"/>
      <c r="CI1448" s="343"/>
      <c r="CJ1448" s="32"/>
      <c r="CK1448" s="187"/>
      <c r="CL1448" s="187"/>
    </row>
    <row r="1449" spans="1:90" ht="15.95" hidden="1" customHeight="1" x14ac:dyDescent="0.25">
      <c r="A1449" s="957">
        <f t="shared" ca="1" si="48"/>
        <v>0</v>
      </c>
      <c r="BW1449" s="4"/>
      <c r="BX1449" s="5"/>
      <c r="BY1449" s="5" t="str">
        <f ca="1">IF('Rent Roll'!$AE143=1,'Rent Roll'!E143,"")</f>
        <v/>
      </c>
      <c r="BZ1449" s="39" t="str">
        <f ca="1">IF('Rent Roll'!$AE143=1,'Rent Roll'!G143,"")</f>
        <v/>
      </c>
      <c r="CA1449" s="1547" t="str">
        <f ca="1">IF('Rent Roll'!$AE143=1,'Rent Roll'!K143,"")</f>
        <v/>
      </c>
      <c r="CB1449" s="1551" t="str">
        <f ca="1">IF('Rent Roll'!$AE143=1,'Rent Roll'!N143,"")</f>
        <v/>
      </c>
      <c r="CC1449" s="5"/>
      <c r="CD1449" s="6"/>
      <c r="CE1449" s="32"/>
      <c r="CF1449" s="342"/>
      <c r="CG1449" s="343"/>
      <c r="CH1449" s="342"/>
      <c r="CI1449" s="343"/>
      <c r="CJ1449" s="32"/>
      <c r="CK1449" s="187"/>
      <c r="CL1449" s="187"/>
    </row>
    <row r="1450" spans="1:90" ht="15.95" hidden="1" customHeight="1" x14ac:dyDescent="0.25">
      <c r="A1450" s="957">
        <f t="shared" ca="1" si="48"/>
        <v>0</v>
      </c>
      <c r="BW1450" s="4"/>
      <c r="BX1450" s="5"/>
      <c r="BY1450" s="5" t="str">
        <f ca="1">IF('Rent Roll'!$AE144=1,'Rent Roll'!E144,"")</f>
        <v/>
      </c>
      <c r="BZ1450" s="39" t="str">
        <f ca="1">IF('Rent Roll'!$AE144=1,'Rent Roll'!G144,"")</f>
        <v/>
      </c>
      <c r="CA1450" s="1547" t="str">
        <f ca="1">IF('Rent Roll'!$AE144=1,'Rent Roll'!K144,"")</f>
        <v/>
      </c>
      <c r="CB1450" s="1551" t="str">
        <f ca="1">IF('Rent Roll'!$AE144=1,'Rent Roll'!N144,"")</f>
        <v/>
      </c>
      <c r="CC1450" s="5"/>
      <c r="CD1450" s="6"/>
      <c r="CE1450" s="32"/>
      <c r="CF1450" s="342"/>
      <c r="CG1450" s="343"/>
      <c r="CH1450" s="342"/>
      <c r="CI1450" s="343"/>
      <c r="CJ1450" s="32"/>
      <c r="CK1450" s="187"/>
      <c r="CL1450" s="187"/>
    </row>
    <row r="1451" spans="1:90" ht="15.95" hidden="1" customHeight="1" x14ac:dyDescent="0.25">
      <c r="A1451" s="957">
        <f t="shared" ca="1" si="48"/>
        <v>0</v>
      </c>
      <c r="BW1451" s="4"/>
      <c r="BX1451" s="5"/>
      <c r="BY1451" s="5" t="str">
        <f ca="1">IF('Rent Roll'!$AE145=1,'Rent Roll'!E145,"")</f>
        <v/>
      </c>
      <c r="BZ1451" s="39" t="str">
        <f ca="1">IF('Rent Roll'!$AE145=1,'Rent Roll'!G145,"")</f>
        <v/>
      </c>
      <c r="CA1451" s="1547" t="str">
        <f ca="1">IF('Rent Roll'!$AE145=1,'Rent Roll'!K145,"")</f>
        <v/>
      </c>
      <c r="CB1451" s="1551" t="str">
        <f ca="1">IF('Rent Roll'!$AE145=1,'Rent Roll'!N145,"")</f>
        <v/>
      </c>
      <c r="CC1451" s="5"/>
      <c r="CD1451" s="6"/>
      <c r="CE1451" s="32"/>
      <c r="CF1451" s="342"/>
      <c r="CG1451" s="343"/>
      <c r="CH1451" s="342"/>
      <c r="CI1451" s="343"/>
      <c r="CJ1451" s="32"/>
      <c r="CK1451" s="187"/>
      <c r="CL1451" s="187"/>
    </row>
    <row r="1452" spans="1:90" ht="15.95" hidden="1" customHeight="1" x14ac:dyDescent="0.25">
      <c r="A1452" s="957">
        <f t="shared" ca="1" si="48"/>
        <v>0</v>
      </c>
      <c r="BW1452" s="4"/>
      <c r="BX1452" s="5"/>
      <c r="BY1452" s="5" t="str">
        <f ca="1">IF('Rent Roll'!$AE146=1,'Rent Roll'!E146,"")</f>
        <v/>
      </c>
      <c r="BZ1452" s="39" t="str">
        <f ca="1">IF('Rent Roll'!$AE146=1,'Rent Roll'!G146,"")</f>
        <v/>
      </c>
      <c r="CA1452" s="1547" t="str">
        <f ca="1">IF('Rent Roll'!$AE146=1,'Rent Roll'!K146,"")</f>
        <v/>
      </c>
      <c r="CB1452" s="1551" t="str">
        <f ca="1">IF('Rent Roll'!$AE146=1,'Rent Roll'!N146,"")</f>
        <v/>
      </c>
      <c r="CC1452" s="5"/>
      <c r="CD1452" s="6"/>
      <c r="CE1452" s="32"/>
      <c r="CF1452" s="342"/>
      <c r="CG1452" s="343"/>
      <c r="CH1452" s="342"/>
      <c r="CI1452" s="343"/>
      <c r="CJ1452" s="32"/>
      <c r="CK1452" s="187"/>
      <c r="CL1452" s="187"/>
    </row>
    <row r="1453" spans="1:90" ht="15.95" hidden="1" customHeight="1" x14ac:dyDescent="0.25">
      <c r="A1453" s="957">
        <f t="shared" ca="1" si="48"/>
        <v>0</v>
      </c>
      <c r="BW1453" s="4"/>
      <c r="BX1453" s="5"/>
      <c r="BY1453" s="5" t="str">
        <f ca="1">IF('Rent Roll'!$AE147=1,'Rent Roll'!E147,"")</f>
        <v/>
      </c>
      <c r="BZ1453" s="39" t="str">
        <f ca="1">IF('Rent Roll'!$AE147=1,'Rent Roll'!G147,"")</f>
        <v/>
      </c>
      <c r="CA1453" s="1547" t="str">
        <f ca="1">IF('Rent Roll'!$AE147=1,'Rent Roll'!K147,"")</f>
        <v/>
      </c>
      <c r="CB1453" s="1551" t="str">
        <f ca="1">IF('Rent Roll'!$AE147=1,'Rent Roll'!N147,"")</f>
        <v/>
      </c>
      <c r="CC1453" s="5"/>
      <c r="CD1453" s="6"/>
      <c r="CE1453" s="32"/>
      <c r="CF1453" s="342"/>
      <c r="CG1453" s="343"/>
      <c r="CH1453" s="342"/>
      <c r="CI1453" s="343"/>
      <c r="CJ1453" s="32"/>
      <c r="CK1453" s="187"/>
      <c r="CL1453" s="187"/>
    </row>
    <row r="1454" spans="1:90" ht="15.95" hidden="1" customHeight="1" x14ac:dyDescent="0.25">
      <c r="A1454" s="957">
        <f t="shared" ca="1" si="48"/>
        <v>0</v>
      </c>
      <c r="BW1454" s="4"/>
      <c r="BX1454" s="5"/>
      <c r="BY1454" s="5" t="str">
        <f ca="1">IF('Rent Roll'!$AE148=1,'Rent Roll'!E148,"")</f>
        <v/>
      </c>
      <c r="BZ1454" s="39" t="str">
        <f ca="1">IF('Rent Roll'!$AE148=1,'Rent Roll'!G148,"")</f>
        <v/>
      </c>
      <c r="CA1454" s="1547" t="str">
        <f ca="1">IF('Rent Roll'!$AE148=1,'Rent Roll'!K148,"")</f>
        <v/>
      </c>
      <c r="CB1454" s="1551" t="str">
        <f ca="1">IF('Rent Roll'!$AE148=1,'Rent Roll'!N148,"")</f>
        <v/>
      </c>
      <c r="CC1454" s="5"/>
      <c r="CD1454" s="6"/>
      <c r="CE1454" s="32"/>
      <c r="CF1454" s="342"/>
      <c r="CG1454" s="343"/>
      <c r="CH1454" s="342"/>
      <c r="CI1454" s="343"/>
      <c r="CJ1454" s="32"/>
      <c r="CK1454" s="187"/>
      <c r="CL1454" s="187"/>
    </row>
    <row r="1455" spans="1:90" ht="15.95" hidden="1" customHeight="1" x14ac:dyDescent="0.25">
      <c r="A1455" s="957">
        <f t="shared" ca="1" si="48"/>
        <v>0</v>
      </c>
      <c r="BW1455" s="4"/>
      <c r="BX1455" s="5"/>
      <c r="BY1455" s="5" t="str">
        <f ca="1">IF('Rent Roll'!$AE149=1,'Rent Roll'!E149,"")</f>
        <v/>
      </c>
      <c r="BZ1455" s="39" t="str">
        <f ca="1">IF('Rent Roll'!$AE149=1,'Rent Roll'!G149,"")</f>
        <v/>
      </c>
      <c r="CA1455" s="1547" t="str">
        <f ca="1">IF('Rent Roll'!$AE149=1,'Rent Roll'!K149,"")</f>
        <v/>
      </c>
      <c r="CB1455" s="1551" t="str">
        <f ca="1">IF('Rent Roll'!$AE149=1,'Rent Roll'!N149,"")</f>
        <v/>
      </c>
      <c r="CC1455" s="5"/>
      <c r="CD1455" s="6"/>
      <c r="CE1455" s="32"/>
      <c r="CF1455" s="342"/>
      <c r="CG1455" s="343"/>
      <c r="CH1455" s="342"/>
      <c r="CI1455" s="343"/>
      <c r="CJ1455" s="32"/>
      <c r="CK1455" s="187"/>
      <c r="CL1455" s="187"/>
    </row>
    <row r="1456" spans="1:90" ht="15.95" hidden="1" customHeight="1" x14ac:dyDescent="0.25">
      <c r="A1456" s="957">
        <f t="shared" ca="1" si="48"/>
        <v>0</v>
      </c>
      <c r="BW1456" s="4"/>
      <c r="BX1456" s="5"/>
      <c r="BY1456" s="5" t="str">
        <f ca="1">IF('Rent Roll'!$AE150=1,'Rent Roll'!E150,"")</f>
        <v/>
      </c>
      <c r="BZ1456" s="39" t="str">
        <f ca="1">IF('Rent Roll'!$AE150=1,'Rent Roll'!G150,"")</f>
        <v/>
      </c>
      <c r="CA1456" s="1547" t="str">
        <f ca="1">IF('Rent Roll'!$AE150=1,'Rent Roll'!K150,"")</f>
        <v/>
      </c>
      <c r="CB1456" s="1551" t="str">
        <f ca="1">IF('Rent Roll'!$AE150=1,'Rent Roll'!N150,"")</f>
        <v/>
      </c>
      <c r="CC1456" s="5"/>
      <c r="CD1456" s="6"/>
      <c r="CE1456" s="32"/>
      <c r="CF1456" s="342"/>
      <c r="CG1456" s="343"/>
      <c r="CH1456" s="342"/>
      <c r="CI1456" s="343"/>
      <c r="CJ1456" s="32"/>
      <c r="CK1456" s="187"/>
      <c r="CL1456" s="187"/>
    </row>
    <row r="1457" spans="1:90" ht="15.95" hidden="1" customHeight="1" x14ac:dyDescent="0.25">
      <c r="A1457" s="957">
        <f t="shared" ca="1" si="48"/>
        <v>0</v>
      </c>
      <c r="BW1457" s="4"/>
      <c r="BX1457" s="5"/>
      <c r="BY1457" s="5" t="str">
        <f ca="1">IF('Rent Roll'!$AE151=1,'Rent Roll'!E151,"")</f>
        <v/>
      </c>
      <c r="BZ1457" s="39" t="str">
        <f ca="1">IF('Rent Roll'!$AE151=1,'Rent Roll'!G151,"")</f>
        <v/>
      </c>
      <c r="CA1457" s="1547" t="str">
        <f ca="1">IF('Rent Roll'!$AE151=1,'Rent Roll'!K151,"")</f>
        <v/>
      </c>
      <c r="CB1457" s="1551" t="str">
        <f ca="1">IF('Rent Roll'!$AE151=1,'Rent Roll'!N151,"")</f>
        <v/>
      </c>
      <c r="CC1457" s="5"/>
      <c r="CD1457" s="6"/>
      <c r="CE1457" s="32"/>
      <c r="CF1457" s="342"/>
      <c r="CG1457" s="343"/>
      <c r="CH1457" s="342"/>
      <c r="CI1457" s="343"/>
      <c r="CJ1457" s="32"/>
      <c r="CK1457" s="187"/>
      <c r="CL1457" s="187"/>
    </row>
    <row r="1458" spans="1:90" ht="15.95" hidden="1" customHeight="1" x14ac:dyDescent="0.25">
      <c r="A1458" s="957">
        <f t="shared" ca="1" si="48"/>
        <v>0</v>
      </c>
      <c r="BW1458" s="4"/>
      <c r="BX1458" s="5"/>
      <c r="BY1458" s="5" t="str">
        <f ca="1">IF('Rent Roll'!$AE152=1,'Rent Roll'!E152,"")</f>
        <v/>
      </c>
      <c r="BZ1458" s="39" t="str">
        <f ca="1">IF('Rent Roll'!$AE152=1,'Rent Roll'!G152,"")</f>
        <v/>
      </c>
      <c r="CA1458" s="1547" t="str">
        <f ca="1">IF('Rent Roll'!$AE152=1,'Rent Roll'!K152,"")</f>
        <v/>
      </c>
      <c r="CB1458" s="1551" t="str">
        <f ca="1">IF('Rent Roll'!$AE152=1,'Rent Roll'!N152,"")</f>
        <v/>
      </c>
      <c r="CC1458" s="5"/>
      <c r="CD1458" s="6"/>
      <c r="CE1458" s="32"/>
      <c r="CF1458" s="342"/>
      <c r="CG1458" s="343"/>
      <c r="CH1458" s="342"/>
      <c r="CI1458" s="343"/>
      <c r="CJ1458" s="32"/>
      <c r="CK1458" s="187"/>
      <c r="CL1458" s="187"/>
    </row>
    <row r="1459" spans="1:90" ht="15.95" hidden="1" customHeight="1" x14ac:dyDescent="0.25">
      <c r="A1459" s="957">
        <f t="shared" ca="1" si="48"/>
        <v>0</v>
      </c>
      <c r="BW1459" s="4"/>
      <c r="BX1459" s="5"/>
      <c r="BY1459" s="5" t="str">
        <f ca="1">IF('Rent Roll'!$AE153=1,'Rent Roll'!E153,"")</f>
        <v/>
      </c>
      <c r="BZ1459" s="39" t="str">
        <f ca="1">IF('Rent Roll'!$AE153=1,'Rent Roll'!G153,"")</f>
        <v/>
      </c>
      <c r="CA1459" s="1547" t="str">
        <f ca="1">IF('Rent Roll'!$AE153=1,'Rent Roll'!K153,"")</f>
        <v/>
      </c>
      <c r="CB1459" s="1551" t="str">
        <f ca="1">IF('Rent Roll'!$AE153=1,'Rent Roll'!N153,"")</f>
        <v/>
      </c>
      <c r="CC1459" s="5"/>
      <c r="CD1459" s="6"/>
      <c r="CE1459" s="32"/>
      <c r="CF1459" s="342"/>
      <c r="CG1459" s="343"/>
      <c r="CH1459" s="342"/>
      <c r="CI1459" s="343"/>
      <c r="CJ1459" s="32"/>
      <c r="CK1459" s="187"/>
      <c r="CL1459" s="187"/>
    </row>
    <row r="1460" spans="1:90" ht="15.95" hidden="1" customHeight="1" x14ac:dyDescent="0.25">
      <c r="A1460" s="957">
        <f t="shared" ca="1" si="48"/>
        <v>0</v>
      </c>
      <c r="BW1460" s="4"/>
      <c r="BX1460" s="5"/>
      <c r="BY1460" s="5" t="str">
        <f ca="1">IF('Rent Roll'!$AE154=1,'Rent Roll'!E154,"")</f>
        <v/>
      </c>
      <c r="BZ1460" s="39" t="str">
        <f ca="1">IF('Rent Roll'!$AE154=1,'Rent Roll'!G154,"")</f>
        <v/>
      </c>
      <c r="CA1460" s="1547" t="str">
        <f ca="1">IF('Rent Roll'!$AE154=1,'Rent Roll'!K154,"")</f>
        <v/>
      </c>
      <c r="CB1460" s="1551" t="str">
        <f ca="1">IF('Rent Roll'!$AE154=1,'Rent Roll'!N154,"")</f>
        <v/>
      </c>
      <c r="CC1460" s="5"/>
      <c r="CD1460" s="6"/>
      <c r="CE1460" s="32"/>
      <c r="CF1460" s="342"/>
      <c r="CG1460" s="343"/>
      <c r="CH1460" s="342"/>
      <c r="CI1460" s="343"/>
      <c r="CJ1460" s="32"/>
      <c r="CK1460" s="187"/>
      <c r="CL1460" s="187"/>
    </row>
    <row r="1461" spans="1:90" ht="15.95" hidden="1" customHeight="1" x14ac:dyDescent="0.25">
      <c r="A1461" s="957">
        <f t="shared" ca="1" si="48"/>
        <v>0</v>
      </c>
      <c r="BW1461" s="4"/>
      <c r="BX1461" s="5"/>
      <c r="BY1461" s="5" t="str">
        <f ca="1">IF('Rent Roll'!$AE155=1,'Rent Roll'!E155,"")</f>
        <v/>
      </c>
      <c r="BZ1461" s="39" t="str">
        <f ca="1">IF('Rent Roll'!$AE155=1,'Rent Roll'!G155,"")</f>
        <v/>
      </c>
      <c r="CA1461" s="1547" t="str">
        <f ca="1">IF('Rent Roll'!$AE155=1,'Rent Roll'!K155,"")</f>
        <v/>
      </c>
      <c r="CB1461" s="1551" t="str">
        <f ca="1">IF('Rent Roll'!$AE155=1,'Rent Roll'!N155,"")</f>
        <v/>
      </c>
      <c r="CC1461" s="5"/>
      <c r="CD1461" s="6"/>
      <c r="CE1461" s="32"/>
      <c r="CF1461" s="342"/>
      <c r="CG1461" s="343"/>
      <c r="CH1461" s="342"/>
      <c r="CI1461" s="343"/>
      <c r="CJ1461" s="32"/>
      <c r="CK1461" s="187"/>
      <c r="CL1461" s="187"/>
    </row>
    <row r="1462" spans="1:90" ht="15.95" hidden="1" customHeight="1" x14ac:dyDescent="0.25">
      <c r="A1462" s="957">
        <f t="shared" ca="1" si="48"/>
        <v>0</v>
      </c>
      <c r="BW1462" s="4"/>
      <c r="BX1462" s="5"/>
      <c r="BY1462" s="5" t="str">
        <f ca="1">IF('Rent Roll'!$AE156=1,'Rent Roll'!E156,"")</f>
        <v/>
      </c>
      <c r="BZ1462" s="39" t="str">
        <f ca="1">IF('Rent Roll'!$AE156=1,'Rent Roll'!G156,"")</f>
        <v/>
      </c>
      <c r="CA1462" s="1547" t="str">
        <f ca="1">IF('Rent Roll'!$AE156=1,'Rent Roll'!K156,"")</f>
        <v/>
      </c>
      <c r="CB1462" s="1551" t="str">
        <f ca="1">IF('Rent Roll'!$AE156=1,'Rent Roll'!N156,"")</f>
        <v/>
      </c>
      <c r="CC1462" s="5"/>
      <c r="CD1462" s="6"/>
      <c r="CE1462" s="32"/>
      <c r="CF1462" s="342"/>
      <c r="CG1462" s="343"/>
      <c r="CH1462" s="342"/>
      <c r="CI1462" s="343"/>
      <c r="CJ1462" s="32"/>
      <c r="CK1462" s="187"/>
      <c r="CL1462" s="187"/>
    </row>
    <row r="1463" spans="1:90" ht="15.95" hidden="1" customHeight="1" x14ac:dyDescent="0.25">
      <c r="A1463" s="957">
        <f t="shared" ca="1" si="48"/>
        <v>0</v>
      </c>
      <c r="BW1463" s="4"/>
      <c r="BX1463" s="5"/>
      <c r="BY1463" s="5" t="str">
        <f ca="1">IF('Rent Roll'!$AE157=1,'Rent Roll'!E157,"")</f>
        <v/>
      </c>
      <c r="BZ1463" s="39" t="str">
        <f ca="1">IF('Rent Roll'!$AE157=1,'Rent Roll'!G157,"")</f>
        <v/>
      </c>
      <c r="CA1463" s="1547" t="str">
        <f ca="1">IF('Rent Roll'!$AE157=1,'Rent Roll'!K157,"")</f>
        <v/>
      </c>
      <c r="CB1463" s="1551" t="str">
        <f ca="1">IF('Rent Roll'!$AE157=1,'Rent Roll'!N157,"")</f>
        <v/>
      </c>
      <c r="CC1463" s="5"/>
      <c r="CD1463" s="6"/>
      <c r="CE1463" s="32"/>
      <c r="CF1463" s="342"/>
      <c r="CG1463" s="343"/>
      <c r="CH1463" s="342"/>
      <c r="CI1463" s="343"/>
      <c r="CJ1463" s="32"/>
      <c r="CK1463" s="187"/>
      <c r="CL1463" s="187"/>
    </row>
    <row r="1464" spans="1:90" ht="15.95" hidden="1" customHeight="1" x14ac:dyDescent="0.25">
      <c r="A1464" s="957">
        <f t="shared" ca="1" si="48"/>
        <v>0</v>
      </c>
      <c r="BW1464" s="4"/>
      <c r="BX1464" s="5"/>
      <c r="BY1464" s="5" t="str">
        <f ca="1">IF('Rent Roll'!$AE158=1,'Rent Roll'!E158,"")</f>
        <v/>
      </c>
      <c r="BZ1464" s="39" t="str">
        <f ca="1">IF('Rent Roll'!$AE158=1,'Rent Roll'!G158,"")</f>
        <v/>
      </c>
      <c r="CA1464" s="1547" t="str">
        <f ca="1">IF('Rent Roll'!$AE158=1,'Rent Roll'!K158,"")</f>
        <v/>
      </c>
      <c r="CB1464" s="1551" t="str">
        <f ca="1">IF('Rent Roll'!$AE158=1,'Rent Roll'!N158,"")</f>
        <v/>
      </c>
      <c r="CC1464" s="5"/>
      <c r="CD1464" s="6"/>
      <c r="CE1464" s="32"/>
      <c r="CF1464" s="342"/>
      <c r="CG1464" s="343"/>
      <c r="CH1464" s="342"/>
      <c r="CI1464" s="343"/>
      <c r="CJ1464" s="32"/>
      <c r="CK1464" s="187"/>
      <c r="CL1464" s="187"/>
    </row>
    <row r="1465" spans="1:90" ht="15.95" hidden="1" customHeight="1" x14ac:dyDescent="0.25">
      <c r="A1465" s="957">
        <f t="shared" ca="1" si="48"/>
        <v>0</v>
      </c>
      <c r="BW1465" s="4"/>
      <c r="BX1465" s="5"/>
      <c r="BY1465" s="5" t="str">
        <f ca="1">IF('Rent Roll'!$AE159=1,'Rent Roll'!E159,"")</f>
        <v/>
      </c>
      <c r="BZ1465" s="39" t="str">
        <f ca="1">IF('Rent Roll'!$AE159=1,'Rent Roll'!G159,"")</f>
        <v/>
      </c>
      <c r="CA1465" s="1547" t="str">
        <f ca="1">IF('Rent Roll'!$AE159=1,'Rent Roll'!K159,"")</f>
        <v/>
      </c>
      <c r="CB1465" s="1551" t="str">
        <f ca="1">IF('Rent Roll'!$AE159=1,'Rent Roll'!N159,"")</f>
        <v/>
      </c>
      <c r="CC1465" s="5"/>
      <c r="CD1465" s="6"/>
      <c r="CE1465" s="32"/>
      <c r="CF1465" s="342"/>
      <c r="CG1465" s="343"/>
      <c r="CH1465" s="342"/>
      <c r="CI1465" s="343"/>
      <c r="CJ1465" s="32"/>
      <c r="CK1465" s="187"/>
      <c r="CL1465" s="187"/>
    </row>
    <row r="1466" spans="1:90" ht="15.95" hidden="1" customHeight="1" x14ac:dyDescent="0.25">
      <c r="A1466" s="957">
        <f t="shared" ca="1" si="48"/>
        <v>0</v>
      </c>
      <c r="BW1466" s="4"/>
      <c r="BX1466" s="5"/>
      <c r="BY1466" s="5" t="str">
        <f ca="1">IF('Rent Roll'!$AE160=1,'Rent Roll'!E160,"")</f>
        <v/>
      </c>
      <c r="BZ1466" s="39" t="str">
        <f ca="1">IF('Rent Roll'!$AE160=1,'Rent Roll'!G160,"")</f>
        <v/>
      </c>
      <c r="CA1466" s="1547" t="str">
        <f ca="1">IF('Rent Roll'!$AE160=1,'Rent Roll'!K160,"")</f>
        <v/>
      </c>
      <c r="CB1466" s="1551" t="str">
        <f ca="1">IF('Rent Roll'!$AE160=1,'Rent Roll'!N160,"")</f>
        <v/>
      </c>
      <c r="CC1466" s="5"/>
      <c r="CD1466" s="6"/>
      <c r="CE1466" s="32"/>
      <c r="CF1466" s="342"/>
      <c r="CG1466" s="343"/>
      <c r="CH1466" s="342"/>
      <c r="CI1466" s="343"/>
      <c r="CJ1466" s="32"/>
      <c r="CK1466" s="187"/>
      <c r="CL1466" s="187"/>
    </row>
    <row r="1467" spans="1:90" ht="15.95" hidden="1" customHeight="1" x14ac:dyDescent="0.25">
      <c r="A1467" s="957">
        <f t="shared" ca="1" si="48"/>
        <v>0</v>
      </c>
      <c r="BW1467" s="4"/>
      <c r="BX1467" s="5"/>
      <c r="BY1467" s="5" t="str">
        <f ca="1">IF('Rent Roll'!$AE161=1,'Rent Roll'!E161,"")</f>
        <v/>
      </c>
      <c r="BZ1467" s="39" t="str">
        <f ca="1">IF('Rent Roll'!$AE161=1,'Rent Roll'!G161,"")</f>
        <v/>
      </c>
      <c r="CA1467" s="1547" t="str">
        <f ca="1">IF('Rent Roll'!$AE161=1,'Rent Roll'!K161,"")</f>
        <v/>
      </c>
      <c r="CB1467" s="1551" t="str">
        <f ca="1">IF('Rent Roll'!$AE161=1,'Rent Roll'!N161,"")</f>
        <v/>
      </c>
      <c r="CC1467" s="5"/>
      <c r="CD1467" s="6"/>
      <c r="CE1467" s="32"/>
      <c r="CF1467" s="342"/>
      <c r="CG1467" s="343"/>
      <c r="CH1467" s="342"/>
      <c r="CI1467" s="343"/>
      <c r="CJ1467" s="32"/>
      <c r="CK1467" s="187"/>
      <c r="CL1467" s="187"/>
    </row>
    <row r="1468" spans="1:90" ht="15.95" hidden="1" customHeight="1" x14ac:dyDescent="0.25">
      <c r="A1468" s="957">
        <f t="shared" ca="1" si="48"/>
        <v>0</v>
      </c>
      <c r="BW1468" s="4"/>
      <c r="BX1468" s="5"/>
      <c r="BY1468" s="5" t="str">
        <f ca="1">IF('Rent Roll'!$AE162=1,'Rent Roll'!E162,"")</f>
        <v/>
      </c>
      <c r="BZ1468" s="39" t="str">
        <f ca="1">IF('Rent Roll'!$AE162=1,'Rent Roll'!G162,"")</f>
        <v/>
      </c>
      <c r="CA1468" s="1547" t="str">
        <f ca="1">IF('Rent Roll'!$AE162=1,'Rent Roll'!K162,"")</f>
        <v/>
      </c>
      <c r="CB1468" s="1551" t="str">
        <f ca="1">IF('Rent Roll'!$AE162=1,'Rent Roll'!N162,"")</f>
        <v/>
      </c>
      <c r="CC1468" s="5"/>
      <c r="CD1468" s="6"/>
      <c r="CE1468" s="32"/>
      <c r="CF1468" s="342"/>
      <c r="CG1468" s="343"/>
      <c r="CH1468" s="342"/>
      <c r="CI1468" s="343"/>
      <c r="CJ1468" s="32"/>
      <c r="CK1468" s="187"/>
      <c r="CL1468" s="187"/>
    </row>
    <row r="1469" spans="1:90" ht="15.95" hidden="1" customHeight="1" x14ac:dyDescent="0.25">
      <c r="A1469" s="957">
        <f t="shared" ca="1" si="48"/>
        <v>0</v>
      </c>
      <c r="BW1469" s="4"/>
      <c r="BX1469" s="5"/>
      <c r="BY1469" s="5" t="str">
        <f ca="1">IF('Rent Roll'!$AE163=1,'Rent Roll'!E163,"")</f>
        <v/>
      </c>
      <c r="BZ1469" s="39" t="str">
        <f ca="1">IF('Rent Roll'!$AE163=1,'Rent Roll'!G163,"")</f>
        <v/>
      </c>
      <c r="CA1469" s="1547" t="str">
        <f ca="1">IF('Rent Roll'!$AE163=1,'Rent Roll'!K163,"")</f>
        <v/>
      </c>
      <c r="CB1469" s="1551" t="str">
        <f ca="1">IF('Rent Roll'!$AE163=1,'Rent Roll'!N163,"")</f>
        <v/>
      </c>
      <c r="CC1469" s="5"/>
      <c r="CD1469" s="6"/>
      <c r="CE1469" s="32"/>
      <c r="CF1469" s="342"/>
      <c r="CG1469" s="343"/>
      <c r="CH1469" s="342"/>
      <c r="CI1469" s="343"/>
      <c r="CJ1469" s="32"/>
      <c r="CK1469" s="187"/>
      <c r="CL1469" s="187"/>
    </row>
    <row r="1470" spans="1:90" ht="15.95" hidden="1" customHeight="1" x14ac:dyDescent="0.25">
      <c r="A1470" s="957">
        <f t="shared" ca="1" si="48"/>
        <v>0</v>
      </c>
      <c r="BW1470" s="4"/>
      <c r="BX1470" s="5"/>
      <c r="BY1470" s="5" t="str">
        <f ca="1">IF('Rent Roll'!$AE164=1,'Rent Roll'!E164,"")</f>
        <v/>
      </c>
      <c r="BZ1470" s="39" t="str">
        <f ca="1">IF('Rent Roll'!$AE164=1,'Rent Roll'!G164,"")</f>
        <v/>
      </c>
      <c r="CA1470" s="1547" t="str">
        <f ca="1">IF('Rent Roll'!$AE164=1,'Rent Roll'!K164,"")</f>
        <v/>
      </c>
      <c r="CB1470" s="1551" t="str">
        <f ca="1">IF('Rent Roll'!$AE164=1,'Rent Roll'!N164,"")</f>
        <v/>
      </c>
      <c r="CC1470" s="5"/>
      <c r="CD1470" s="6"/>
      <c r="CE1470" s="32"/>
      <c r="CF1470" s="342"/>
      <c r="CG1470" s="343"/>
      <c r="CH1470" s="342"/>
      <c r="CI1470" s="343"/>
      <c r="CJ1470" s="32"/>
      <c r="CK1470" s="187"/>
      <c r="CL1470" s="187"/>
    </row>
    <row r="1471" spans="1:90" ht="15.95" hidden="1" customHeight="1" x14ac:dyDescent="0.25">
      <c r="A1471" s="957">
        <f t="shared" ca="1" si="48"/>
        <v>0</v>
      </c>
      <c r="BW1471" s="4"/>
      <c r="BX1471" s="5"/>
      <c r="BY1471" s="5" t="str">
        <f ca="1">IF('Rent Roll'!$AE165=1,'Rent Roll'!E165,"")</f>
        <v/>
      </c>
      <c r="BZ1471" s="39" t="str">
        <f ca="1">IF('Rent Roll'!$AE165=1,'Rent Roll'!G165,"")</f>
        <v/>
      </c>
      <c r="CA1471" s="1547" t="str">
        <f ca="1">IF('Rent Roll'!$AE165=1,'Rent Roll'!K165,"")</f>
        <v/>
      </c>
      <c r="CB1471" s="1551" t="str">
        <f ca="1">IF('Rent Roll'!$AE165=1,'Rent Roll'!N165,"")</f>
        <v/>
      </c>
      <c r="CC1471" s="5"/>
      <c r="CD1471" s="6"/>
      <c r="CE1471" s="32"/>
      <c r="CF1471" s="342"/>
      <c r="CG1471" s="343"/>
      <c r="CH1471" s="342"/>
      <c r="CI1471" s="343"/>
      <c r="CJ1471" s="32"/>
      <c r="CK1471" s="187"/>
      <c r="CL1471" s="187"/>
    </row>
    <row r="1472" spans="1:90" ht="15.95" hidden="1" customHeight="1" x14ac:dyDescent="0.25">
      <c r="A1472" s="957">
        <f t="shared" ca="1" si="48"/>
        <v>0</v>
      </c>
      <c r="BW1472" s="4"/>
      <c r="BX1472" s="5"/>
      <c r="BY1472" s="5" t="str">
        <f ca="1">IF('Rent Roll'!$AE166=1,'Rent Roll'!E166,"")</f>
        <v/>
      </c>
      <c r="BZ1472" s="39" t="str">
        <f ca="1">IF('Rent Roll'!$AE166=1,'Rent Roll'!G166,"")</f>
        <v/>
      </c>
      <c r="CA1472" s="1547" t="str">
        <f ca="1">IF('Rent Roll'!$AE166=1,'Rent Roll'!K166,"")</f>
        <v/>
      </c>
      <c r="CB1472" s="1551" t="str">
        <f ca="1">IF('Rent Roll'!$AE166=1,'Rent Roll'!N166,"")</f>
        <v/>
      </c>
      <c r="CC1472" s="5"/>
      <c r="CD1472" s="6"/>
      <c r="CE1472" s="32"/>
      <c r="CF1472" s="342"/>
      <c r="CG1472" s="343"/>
      <c r="CH1472" s="342"/>
      <c r="CI1472" s="343"/>
      <c r="CJ1472" s="32"/>
      <c r="CK1472" s="187"/>
      <c r="CL1472" s="187"/>
    </row>
    <row r="1473" spans="1:90" ht="15.95" hidden="1" customHeight="1" x14ac:dyDescent="0.25">
      <c r="A1473" s="957">
        <f t="shared" ref="A1473:A1504" ca="1" si="49">IF(BY1473="",0,1)</f>
        <v>0</v>
      </c>
      <c r="BW1473" s="4"/>
      <c r="BX1473" s="5"/>
      <c r="BY1473" s="5" t="str">
        <f ca="1">IF('Rent Roll'!$AE167=1,'Rent Roll'!E167,"")</f>
        <v/>
      </c>
      <c r="BZ1473" s="39" t="str">
        <f ca="1">IF('Rent Roll'!$AE167=1,'Rent Roll'!G167,"")</f>
        <v/>
      </c>
      <c r="CA1473" s="1547" t="str">
        <f ca="1">IF('Rent Roll'!$AE167=1,'Rent Roll'!K167,"")</f>
        <v/>
      </c>
      <c r="CB1473" s="1551" t="str">
        <f ca="1">IF('Rent Roll'!$AE167=1,'Rent Roll'!N167,"")</f>
        <v/>
      </c>
      <c r="CC1473" s="5"/>
      <c r="CD1473" s="6"/>
      <c r="CE1473" s="32"/>
      <c r="CF1473" s="342"/>
      <c r="CG1473" s="343"/>
      <c r="CH1473" s="342"/>
      <c r="CI1473" s="343"/>
      <c r="CJ1473" s="32"/>
      <c r="CK1473" s="187"/>
      <c r="CL1473" s="187"/>
    </row>
    <row r="1474" spans="1:90" ht="15.95" hidden="1" customHeight="1" x14ac:dyDescent="0.25">
      <c r="A1474" s="957">
        <f t="shared" ca="1" si="49"/>
        <v>0</v>
      </c>
      <c r="BW1474" s="4"/>
      <c r="BX1474" s="5"/>
      <c r="BY1474" s="5" t="str">
        <f ca="1">IF('Rent Roll'!$AE168=1,'Rent Roll'!E168,"")</f>
        <v/>
      </c>
      <c r="BZ1474" s="39" t="str">
        <f ca="1">IF('Rent Roll'!$AE168=1,'Rent Roll'!G168,"")</f>
        <v/>
      </c>
      <c r="CA1474" s="1547" t="str">
        <f ca="1">IF('Rent Roll'!$AE168=1,'Rent Roll'!K168,"")</f>
        <v/>
      </c>
      <c r="CB1474" s="1551" t="str">
        <f ca="1">IF('Rent Roll'!$AE168=1,'Rent Roll'!N168,"")</f>
        <v/>
      </c>
      <c r="CC1474" s="5"/>
      <c r="CD1474" s="6"/>
      <c r="CE1474" s="32"/>
      <c r="CF1474" s="342"/>
      <c r="CG1474" s="343"/>
      <c r="CH1474" s="342"/>
      <c r="CI1474" s="343"/>
      <c r="CJ1474" s="32"/>
      <c r="CK1474" s="187"/>
      <c r="CL1474" s="187"/>
    </row>
    <row r="1475" spans="1:90" ht="15.95" hidden="1" customHeight="1" x14ac:dyDescent="0.25">
      <c r="A1475" s="957">
        <f t="shared" ca="1" si="49"/>
        <v>0</v>
      </c>
      <c r="BW1475" s="4"/>
      <c r="BX1475" s="5"/>
      <c r="BY1475" s="5" t="str">
        <f ca="1">IF('Rent Roll'!$AE169=1,'Rent Roll'!E169,"")</f>
        <v/>
      </c>
      <c r="BZ1475" s="39" t="str">
        <f ca="1">IF('Rent Roll'!$AE169=1,'Rent Roll'!G169,"")</f>
        <v/>
      </c>
      <c r="CA1475" s="1547" t="str">
        <f ca="1">IF('Rent Roll'!$AE169=1,'Rent Roll'!K169,"")</f>
        <v/>
      </c>
      <c r="CB1475" s="1551" t="str">
        <f ca="1">IF('Rent Roll'!$AE169=1,'Rent Roll'!N169,"")</f>
        <v/>
      </c>
      <c r="CC1475" s="5"/>
      <c r="CD1475" s="6"/>
      <c r="CE1475" s="32"/>
      <c r="CF1475" s="342"/>
      <c r="CG1475" s="343"/>
      <c r="CH1475" s="342"/>
      <c r="CI1475" s="343"/>
      <c r="CJ1475" s="32"/>
      <c r="CK1475" s="187"/>
      <c r="CL1475" s="187"/>
    </row>
    <row r="1476" spans="1:90" ht="15.95" hidden="1" customHeight="1" x14ac:dyDescent="0.25">
      <c r="A1476" s="957">
        <f t="shared" ca="1" si="49"/>
        <v>0</v>
      </c>
      <c r="BW1476" s="4"/>
      <c r="BX1476" s="5"/>
      <c r="BY1476" s="5" t="str">
        <f ca="1">IF('Rent Roll'!$AE170=1,'Rent Roll'!E170,"")</f>
        <v/>
      </c>
      <c r="BZ1476" s="39" t="str">
        <f ca="1">IF('Rent Roll'!$AE170=1,'Rent Roll'!G170,"")</f>
        <v/>
      </c>
      <c r="CA1476" s="1547" t="str">
        <f ca="1">IF('Rent Roll'!$AE170=1,'Rent Roll'!K170,"")</f>
        <v/>
      </c>
      <c r="CB1476" s="1551" t="str">
        <f ca="1">IF('Rent Roll'!$AE170=1,'Rent Roll'!N170,"")</f>
        <v/>
      </c>
      <c r="CC1476" s="5"/>
      <c r="CD1476" s="6"/>
      <c r="CE1476" s="32"/>
      <c r="CF1476" s="342"/>
      <c r="CG1476" s="343"/>
      <c r="CH1476" s="342"/>
      <c r="CI1476" s="343"/>
      <c r="CJ1476" s="32"/>
      <c r="CK1476" s="187"/>
      <c r="CL1476" s="187"/>
    </row>
    <row r="1477" spans="1:90" ht="15.95" hidden="1" customHeight="1" x14ac:dyDescent="0.25">
      <c r="A1477" s="957">
        <f t="shared" ca="1" si="49"/>
        <v>0</v>
      </c>
      <c r="BW1477" s="4"/>
      <c r="BX1477" s="5"/>
      <c r="BY1477" s="5" t="str">
        <f ca="1">IF('Rent Roll'!$AE171=1,'Rent Roll'!E171,"")</f>
        <v/>
      </c>
      <c r="BZ1477" s="39" t="str">
        <f ca="1">IF('Rent Roll'!$AE171=1,'Rent Roll'!G171,"")</f>
        <v/>
      </c>
      <c r="CA1477" s="1547" t="str">
        <f ca="1">IF('Rent Roll'!$AE171=1,'Rent Roll'!K171,"")</f>
        <v/>
      </c>
      <c r="CB1477" s="1551" t="str">
        <f ca="1">IF('Rent Roll'!$AE171=1,'Rent Roll'!N171,"")</f>
        <v/>
      </c>
      <c r="CC1477" s="5"/>
      <c r="CD1477" s="6"/>
      <c r="CE1477" s="32"/>
      <c r="CF1477" s="342"/>
      <c r="CG1477" s="343"/>
      <c r="CH1477" s="342"/>
      <c r="CI1477" s="343"/>
      <c r="CJ1477" s="32"/>
      <c r="CK1477" s="187"/>
      <c r="CL1477" s="187"/>
    </row>
    <row r="1478" spans="1:90" ht="15.95" hidden="1" customHeight="1" x14ac:dyDescent="0.25">
      <c r="A1478" s="957">
        <f t="shared" ca="1" si="49"/>
        <v>0</v>
      </c>
      <c r="BW1478" s="4"/>
      <c r="BX1478" s="5"/>
      <c r="BY1478" s="5" t="str">
        <f ca="1">IF('Rent Roll'!$AE172=1,'Rent Roll'!E172,"")</f>
        <v/>
      </c>
      <c r="BZ1478" s="39" t="str">
        <f ca="1">IF('Rent Roll'!$AE172=1,'Rent Roll'!G172,"")</f>
        <v/>
      </c>
      <c r="CA1478" s="1547" t="str">
        <f ca="1">IF('Rent Roll'!$AE172=1,'Rent Roll'!K172,"")</f>
        <v/>
      </c>
      <c r="CB1478" s="1551" t="str">
        <f ca="1">IF('Rent Roll'!$AE172=1,'Rent Roll'!N172,"")</f>
        <v/>
      </c>
      <c r="CC1478" s="5"/>
      <c r="CD1478" s="6"/>
      <c r="CE1478" s="32"/>
      <c r="CF1478" s="342"/>
      <c r="CG1478" s="343"/>
      <c r="CH1478" s="342"/>
      <c r="CI1478" s="343"/>
      <c r="CJ1478" s="32"/>
      <c r="CK1478" s="187"/>
      <c r="CL1478" s="187"/>
    </row>
    <row r="1479" spans="1:90" ht="15.95" hidden="1" customHeight="1" x14ac:dyDescent="0.25">
      <c r="A1479" s="957">
        <f t="shared" ca="1" si="49"/>
        <v>0</v>
      </c>
      <c r="BW1479" s="4"/>
      <c r="BX1479" s="5"/>
      <c r="BY1479" s="5" t="str">
        <f ca="1">IF('Rent Roll'!$AE173=1,'Rent Roll'!E173,"")</f>
        <v/>
      </c>
      <c r="BZ1479" s="39" t="str">
        <f ca="1">IF('Rent Roll'!$AE173=1,'Rent Roll'!G173,"")</f>
        <v/>
      </c>
      <c r="CA1479" s="1547" t="str">
        <f ca="1">IF('Rent Roll'!$AE173=1,'Rent Roll'!K173,"")</f>
        <v/>
      </c>
      <c r="CB1479" s="1551" t="str">
        <f ca="1">IF('Rent Roll'!$AE173=1,'Rent Roll'!N173,"")</f>
        <v/>
      </c>
      <c r="CC1479" s="5"/>
      <c r="CD1479" s="6"/>
      <c r="CE1479" s="32"/>
      <c r="CF1479" s="342"/>
      <c r="CG1479" s="343"/>
      <c r="CH1479" s="342"/>
      <c r="CI1479" s="343"/>
      <c r="CJ1479" s="32"/>
      <c r="CK1479" s="187"/>
      <c r="CL1479" s="187"/>
    </row>
    <row r="1480" spans="1:90" ht="15.95" hidden="1" customHeight="1" x14ac:dyDescent="0.25">
      <c r="A1480" s="957">
        <f t="shared" ca="1" si="49"/>
        <v>0</v>
      </c>
      <c r="BW1480" s="4"/>
      <c r="BX1480" s="5"/>
      <c r="BY1480" s="5" t="str">
        <f ca="1">IF('Rent Roll'!$AE174=1,'Rent Roll'!E174,"")</f>
        <v/>
      </c>
      <c r="BZ1480" s="39" t="str">
        <f ca="1">IF('Rent Roll'!$AE174=1,'Rent Roll'!G174,"")</f>
        <v/>
      </c>
      <c r="CA1480" s="1547" t="str">
        <f ca="1">IF('Rent Roll'!$AE174=1,'Rent Roll'!K174,"")</f>
        <v/>
      </c>
      <c r="CB1480" s="1551" t="str">
        <f ca="1">IF('Rent Roll'!$AE174=1,'Rent Roll'!N174,"")</f>
        <v/>
      </c>
      <c r="CC1480" s="5"/>
      <c r="CD1480" s="6"/>
      <c r="CE1480" s="32"/>
      <c r="CF1480" s="342"/>
      <c r="CG1480" s="343"/>
      <c r="CH1480" s="342"/>
      <c r="CI1480" s="343"/>
      <c r="CJ1480" s="32"/>
      <c r="CK1480" s="187"/>
      <c r="CL1480" s="187"/>
    </row>
    <row r="1481" spans="1:90" ht="15.95" hidden="1" customHeight="1" x14ac:dyDescent="0.25">
      <c r="A1481" s="957">
        <f t="shared" ca="1" si="49"/>
        <v>0</v>
      </c>
      <c r="BW1481" s="4"/>
      <c r="BX1481" s="5"/>
      <c r="BY1481" s="5" t="str">
        <f ca="1">IF('Rent Roll'!$AE175=1,'Rent Roll'!E175,"")</f>
        <v/>
      </c>
      <c r="BZ1481" s="39" t="str">
        <f ca="1">IF('Rent Roll'!$AE175=1,'Rent Roll'!G175,"")</f>
        <v/>
      </c>
      <c r="CA1481" s="1547" t="str">
        <f ca="1">IF('Rent Roll'!$AE175=1,'Rent Roll'!K175,"")</f>
        <v/>
      </c>
      <c r="CB1481" s="1551" t="str">
        <f ca="1">IF('Rent Roll'!$AE175=1,'Rent Roll'!N175,"")</f>
        <v/>
      </c>
      <c r="CC1481" s="5"/>
      <c r="CD1481" s="6"/>
      <c r="CE1481" s="32"/>
      <c r="CF1481" s="342"/>
      <c r="CG1481" s="343"/>
      <c r="CH1481" s="342"/>
      <c r="CI1481" s="343"/>
      <c r="CJ1481" s="32"/>
      <c r="CK1481" s="187"/>
      <c r="CL1481" s="187"/>
    </row>
    <row r="1482" spans="1:90" ht="15.95" hidden="1" customHeight="1" x14ac:dyDescent="0.25">
      <c r="A1482" s="957">
        <f t="shared" ca="1" si="49"/>
        <v>0</v>
      </c>
      <c r="BW1482" s="4"/>
      <c r="BX1482" s="5"/>
      <c r="BY1482" s="5" t="str">
        <f ca="1">IF('Rent Roll'!$AE176=1,'Rent Roll'!E176,"")</f>
        <v/>
      </c>
      <c r="BZ1482" s="39" t="str">
        <f ca="1">IF('Rent Roll'!$AE176=1,'Rent Roll'!G176,"")</f>
        <v/>
      </c>
      <c r="CA1482" s="1547" t="str">
        <f ca="1">IF('Rent Roll'!$AE176=1,'Rent Roll'!K176,"")</f>
        <v/>
      </c>
      <c r="CB1482" s="1551" t="str">
        <f ca="1">IF('Rent Roll'!$AE176=1,'Rent Roll'!N176,"")</f>
        <v/>
      </c>
      <c r="CC1482" s="5"/>
      <c r="CD1482" s="6"/>
      <c r="CE1482" s="32"/>
      <c r="CF1482" s="342"/>
      <c r="CG1482" s="343"/>
      <c r="CH1482" s="342"/>
      <c r="CI1482" s="343"/>
      <c r="CJ1482" s="32"/>
      <c r="CK1482" s="187"/>
      <c r="CL1482" s="187"/>
    </row>
    <row r="1483" spans="1:90" ht="15.95" hidden="1" customHeight="1" x14ac:dyDescent="0.25">
      <c r="A1483" s="957">
        <f t="shared" ca="1" si="49"/>
        <v>0</v>
      </c>
      <c r="BW1483" s="4"/>
      <c r="BX1483" s="5"/>
      <c r="BY1483" s="5" t="str">
        <f ca="1">IF('Rent Roll'!$AE177=1,'Rent Roll'!E177,"")</f>
        <v/>
      </c>
      <c r="BZ1483" s="39" t="str">
        <f ca="1">IF('Rent Roll'!$AE177=1,'Rent Roll'!G177,"")</f>
        <v/>
      </c>
      <c r="CA1483" s="1547" t="str">
        <f ca="1">IF('Rent Roll'!$AE177=1,'Rent Roll'!K177,"")</f>
        <v/>
      </c>
      <c r="CB1483" s="1551" t="str">
        <f ca="1">IF('Rent Roll'!$AE177=1,'Rent Roll'!N177,"")</f>
        <v/>
      </c>
      <c r="CC1483" s="5"/>
      <c r="CD1483" s="6"/>
      <c r="CE1483" s="32"/>
      <c r="CF1483" s="342"/>
      <c r="CG1483" s="343"/>
      <c r="CH1483" s="342"/>
      <c r="CI1483" s="343"/>
      <c r="CJ1483" s="32"/>
      <c r="CK1483" s="187"/>
      <c r="CL1483" s="187"/>
    </row>
    <row r="1484" spans="1:90" ht="15.95" hidden="1" customHeight="1" x14ac:dyDescent="0.25">
      <c r="A1484" s="957">
        <f t="shared" ca="1" si="49"/>
        <v>0</v>
      </c>
      <c r="BW1484" s="4"/>
      <c r="BX1484" s="5"/>
      <c r="BY1484" s="5" t="str">
        <f ca="1">IF('Rent Roll'!$AE178=1,'Rent Roll'!E178,"")</f>
        <v/>
      </c>
      <c r="BZ1484" s="39" t="str">
        <f ca="1">IF('Rent Roll'!$AE178=1,'Rent Roll'!G178,"")</f>
        <v/>
      </c>
      <c r="CA1484" s="1547" t="str">
        <f ca="1">IF('Rent Roll'!$AE178=1,'Rent Roll'!K178,"")</f>
        <v/>
      </c>
      <c r="CB1484" s="1551" t="str">
        <f ca="1">IF('Rent Roll'!$AE178=1,'Rent Roll'!N178,"")</f>
        <v/>
      </c>
      <c r="CC1484" s="5"/>
      <c r="CD1484" s="6"/>
      <c r="CE1484" s="32"/>
      <c r="CF1484" s="342"/>
      <c r="CG1484" s="343"/>
      <c r="CH1484" s="342"/>
      <c r="CI1484" s="343"/>
      <c r="CJ1484" s="32"/>
      <c r="CK1484" s="187"/>
      <c r="CL1484" s="187"/>
    </row>
    <row r="1485" spans="1:90" ht="15.95" hidden="1" customHeight="1" x14ac:dyDescent="0.25">
      <c r="A1485" s="957">
        <f t="shared" ca="1" si="49"/>
        <v>0</v>
      </c>
      <c r="BW1485" s="4"/>
      <c r="BX1485" s="5"/>
      <c r="BY1485" s="5" t="str">
        <f ca="1">IF('Rent Roll'!$AE179=1,'Rent Roll'!E179,"")</f>
        <v/>
      </c>
      <c r="BZ1485" s="39" t="str">
        <f ca="1">IF('Rent Roll'!$AE179=1,'Rent Roll'!G179,"")</f>
        <v/>
      </c>
      <c r="CA1485" s="1547" t="str">
        <f ca="1">IF('Rent Roll'!$AE179=1,'Rent Roll'!K179,"")</f>
        <v/>
      </c>
      <c r="CB1485" s="1551" t="str">
        <f ca="1">IF('Rent Roll'!$AE179=1,'Rent Roll'!N179,"")</f>
        <v/>
      </c>
      <c r="CC1485" s="5"/>
      <c r="CD1485" s="6"/>
      <c r="CE1485" s="32"/>
      <c r="CF1485" s="342"/>
      <c r="CG1485" s="343"/>
      <c r="CH1485" s="342"/>
      <c r="CI1485" s="343"/>
      <c r="CJ1485" s="32"/>
      <c r="CK1485" s="187"/>
      <c r="CL1485" s="187"/>
    </row>
    <row r="1486" spans="1:90" ht="15.95" hidden="1" customHeight="1" x14ac:dyDescent="0.25">
      <c r="A1486" s="957">
        <f t="shared" ca="1" si="49"/>
        <v>0</v>
      </c>
      <c r="BW1486" s="4"/>
      <c r="BX1486" s="5"/>
      <c r="BY1486" s="5" t="str">
        <f ca="1">IF('Rent Roll'!$AE180=1,'Rent Roll'!E180,"")</f>
        <v/>
      </c>
      <c r="BZ1486" s="39" t="str">
        <f ca="1">IF('Rent Roll'!$AE180=1,'Rent Roll'!G180,"")</f>
        <v/>
      </c>
      <c r="CA1486" s="1547" t="str">
        <f ca="1">IF('Rent Roll'!$AE180=1,'Rent Roll'!K180,"")</f>
        <v/>
      </c>
      <c r="CB1486" s="1551" t="str">
        <f ca="1">IF('Rent Roll'!$AE180=1,'Rent Roll'!N180,"")</f>
        <v/>
      </c>
      <c r="CC1486" s="5"/>
      <c r="CD1486" s="6"/>
      <c r="CE1486" s="32"/>
      <c r="CF1486" s="342"/>
      <c r="CG1486" s="343"/>
      <c r="CH1486" s="342"/>
      <c r="CI1486" s="343"/>
      <c r="CJ1486" s="32"/>
      <c r="CK1486" s="187"/>
      <c r="CL1486" s="187"/>
    </row>
    <row r="1487" spans="1:90" ht="15.95" hidden="1" customHeight="1" x14ac:dyDescent="0.25">
      <c r="A1487" s="957">
        <f t="shared" ca="1" si="49"/>
        <v>0</v>
      </c>
      <c r="BW1487" s="4"/>
      <c r="BX1487" s="5"/>
      <c r="BY1487" s="5" t="str">
        <f ca="1">IF('Rent Roll'!$AE181=1,'Rent Roll'!E181,"")</f>
        <v/>
      </c>
      <c r="BZ1487" s="39" t="str">
        <f ca="1">IF('Rent Roll'!$AE181=1,'Rent Roll'!G181,"")</f>
        <v/>
      </c>
      <c r="CA1487" s="1547" t="str">
        <f ca="1">IF('Rent Roll'!$AE181=1,'Rent Roll'!K181,"")</f>
        <v/>
      </c>
      <c r="CB1487" s="1551" t="str">
        <f ca="1">IF('Rent Roll'!$AE181=1,'Rent Roll'!N181,"")</f>
        <v/>
      </c>
      <c r="CC1487" s="5"/>
      <c r="CD1487" s="6"/>
      <c r="CE1487" s="32"/>
      <c r="CF1487" s="342"/>
      <c r="CG1487" s="343"/>
      <c r="CH1487" s="342"/>
      <c r="CI1487" s="343"/>
      <c r="CJ1487" s="32"/>
      <c r="CK1487" s="187"/>
      <c r="CL1487" s="187"/>
    </row>
    <row r="1488" spans="1:90" ht="15.95" hidden="1" customHeight="1" x14ac:dyDescent="0.25">
      <c r="A1488" s="957">
        <f t="shared" ca="1" si="49"/>
        <v>0</v>
      </c>
      <c r="BW1488" s="4"/>
      <c r="BX1488" s="5"/>
      <c r="BY1488" s="5" t="str">
        <f ca="1">IF('Rent Roll'!$AE182=1,'Rent Roll'!E182,"")</f>
        <v/>
      </c>
      <c r="BZ1488" s="39" t="str">
        <f ca="1">IF('Rent Roll'!$AE182=1,'Rent Roll'!G182,"")</f>
        <v/>
      </c>
      <c r="CA1488" s="1547" t="str">
        <f ca="1">IF('Rent Roll'!$AE182=1,'Rent Roll'!K182,"")</f>
        <v/>
      </c>
      <c r="CB1488" s="1551" t="str">
        <f ca="1">IF('Rent Roll'!$AE182=1,'Rent Roll'!N182,"")</f>
        <v/>
      </c>
      <c r="CC1488" s="5"/>
      <c r="CD1488" s="6"/>
      <c r="CE1488" s="32"/>
      <c r="CF1488" s="342"/>
      <c r="CG1488" s="343"/>
      <c r="CH1488" s="342"/>
      <c r="CI1488" s="343"/>
      <c r="CJ1488" s="32"/>
      <c r="CK1488" s="187"/>
      <c r="CL1488" s="187"/>
    </row>
    <row r="1489" spans="1:90" ht="15.95" hidden="1" customHeight="1" x14ac:dyDescent="0.25">
      <c r="A1489" s="957">
        <f t="shared" ca="1" si="49"/>
        <v>0</v>
      </c>
      <c r="BW1489" s="4"/>
      <c r="BX1489" s="5"/>
      <c r="BY1489" s="5" t="str">
        <f ca="1">IF('Rent Roll'!$AE183=1,'Rent Roll'!E183,"")</f>
        <v/>
      </c>
      <c r="BZ1489" s="39" t="str">
        <f ca="1">IF('Rent Roll'!$AE183=1,'Rent Roll'!G183,"")</f>
        <v/>
      </c>
      <c r="CA1489" s="1547" t="str">
        <f ca="1">IF('Rent Roll'!$AE183=1,'Rent Roll'!K183,"")</f>
        <v/>
      </c>
      <c r="CB1489" s="1551" t="str">
        <f ca="1">IF('Rent Roll'!$AE183=1,'Rent Roll'!N183,"")</f>
        <v/>
      </c>
      <c r="CC1489" s="5"/>
      <c r="CD1489" s="6"/>
      <c r="CE1489" s="32"/>
      <c r="CF1489" s="342"/>
      <c r="CG1489" s="343"/>
      <c r="CH1489" s="342"/>
      <c r="CI1489" s="343"/>
      <c r="CJ1489" s="32"/>
      <c r="CK1489" s="187"/>
      <c r="CL1489" s="187"/>
    </row>
    <row r="1490" spans="1:90" ht="15.95" hidden="1" customHeight="1" x14ac:dyDescent="0.25">
      <c r="A1490" s="957">
        <f t="shared" ca="1" si="49"/>
        <v>0</v>
      </c>
      <c r="BW1490" s="4"/>
      <c r="BX1490" s="5"/>
      <c r="BY1490" s="5" t="str">
        <f ca="1">IF('Rent Roll'!$AE184=1,'Rent Roll'!E184,"")</f>
        <v/>
      </c>
      <c r="BZ1490" s="39" t="str">
        <f ca="1">IF('Rent Roll'!$AE184=1,'Rent Roll'!G184,"")</f>
        <v/>
      </c>
      <c r="CA1490" s="1547" t="str">
        <f ca="1">IF('Rent Roll'!$AE184=1,'Rent Roll'!K184,"")</f>
        <v/>
      </c>
      <c r="CB1490" s="1551" t="str">
        <f ca="1">IF('Rent Roll'!$AE184=1,'Rent Roll'!N184,"")</f>
        <v/>
      </c>
      <c r="CC1490" s="5"/>
      <c r="CD1490" s="6"/>
      <c r="CE1490" s="32"/>
      <c r="CF1490" s="342"/>
      <c r="CG1490" s="343"/>
      <c r="CH1490" s="342"/>
      <c r="CI1490" s="343"/>
      <c r="CJ1490" s="32"/>
      <c r="CK1490" s="187"/>
      <c r="CL1490" s="187"/>
    </row>
    <row r="1491" spans="1:90" ht="15.95" hidden="1" customHeight="1" x14ac:dyDescent="0.25">
      <c r="A1491" s="957">
        <f t="shared" ca="1" si="49"/>
        <v>0</v>
      </c>
      <c r="BW1491" s="4"/>
      <c r="BX1491" s="5"/>
      <c r="BY1491" s="5" t="str">
        <f ca="1">IF('Rent Roll'!$AE185=1,'Rent Roll'!E185,"")</f>
        <v/>
      </c>
      <c r="BZ1491" s="39" t="str">
        <f ca="1">IF('Rent Roll'!$AE185=1,'Rent Roll'!G185,"")</f>
        <v/>
      </c>
      <c r="CA1491" s="1547" t="str">
        <f ca="1">IF('Rent Roll'!$AE185=1,'Rent Roll'!K185,"")</f>
        <v/>
      </c>
      <c r="CB1491" s="1551" t="str">
        <f ca="1">IF('Rent Roll'!$AE185=1,'Rent Roll'!N185,"")</f>
        <v/>
      </c>
      <c r="CC1491" s="5"/>
      <c r="CD1491" s="6"/>
      <c r="CE1491" s="32"/>
      <c r="CF1491" s="342"/>
      <c r="CG1491" s="343"/>
      <c r="CH1491" s="342"/>
      <c r="CI1491" s="343"/>
      <c r="CJ1491" s="32"/>
      <c r="CK1491" s="187"/>
      <c r="CL1491" s="187"/>
    </row>
    <row r="1492" spans="1:90" ht="15.95" hidden="1" customHeight="1" x14ac:dyDescent="0.25">
      <c r="A1492" s="957">
        <f t="shared" ca="1" si="49"/>
        <v>0</v>
      </c>
      <c r="BW1492" s="4"/>
      <c r="BX1492" s="5"/>
      <c r="BY1492" s="5" t="str">
        <f ca="1">IF('Rent Roll'!$AE186=1,'Rent Roll'!E186,"")</f>
        <v/>
      </c>
      <c r="BZ1492" s="39" t="str">
        <f ca="1">IF('Rent Roll'!$AE186=1,'Rent Roll'!G186,"")</f>
        <v/>
      </c>
      <c r="CA1492" s="1547" t="str">
        <f ca="1">IF('Rent Roll'!$AE186=1,'Rent Roll'!K186,"")</f>
        <v/>
      </c>
      <c r="CB1492" s="1551" t="str">
        <f ca="1">IF('Rent Roll'!$AE186=1,'Rent Roll'!N186,"")</f>
        <v/>
      </c>
      <c r="CC1492" s="5"/>
      <c r="CD1492" s="6"/>
      <c r="CE1492" s="32"/>
      <c r="CF1492" s="342"/>
      <c r="CG1492" s="343"/>
      <c r="CH1492" s="342"/>
      <c r="CI1492" s="343"/>
      <c r="CJ1492" s="32"/>
      <c r="CK1492" s="187"/>
      <c r="CL1492" s="187"/>
    </row>
    <row r="1493" spans="1:90" ht="15.95" hidden="1" customHeight="1" x14ac:dyDescent="0.25">
      <c r="A1493" s="957">
        <f t="shared" ca="1" si="49"/>
        <v>0</v>
      </c>
      <c r="BW1493" s="4"/>
      <c r="BX1493" s="5"/>
      <c r="BY1493" s="5" t="str">
        <f ca="1">IF('Rent Roll'!$AE187=1,'Rent Roll'!E187,"")</f>
        <v/>
      </c>
      <c r="BZ1493" s="39" t="str">
        <f ca="1">IF('Rent Roll'!$AE187=1,'Rent Roll'!G187,"")</f>
        <v/>
      </c>
      <c r="CA1493" s="1547" t="str">
        <f ca="1">IF('Rent Roll'!$AE187=1,'Rent Roll'!K187,"")</f>
        <v/>
      </c>
      <c r="CB1493" s="1551" t="str">
        <f ca="1">IF('Rent Roll'!$AE187=1,'Rent Roll'!N187,"")</f>
        <v/>
      </c>
      <c r="CC1493" s="5"/>
      <c r="CD1493" s="6"/>
      <c r="CE1493" s="32"/>
      <c r="CF1493" s="342"/>
      <c r="CG1493" s="343"/>
      <c r="CH1493" s="342"/>
      <c r="CI1493" s="343"/>
      <c r="CJ1493" s="32"/>
      <c r="CK1493" s="187"/>
      <c r="CL1493" s="187"/>
    </row>
    <row r="1494" spans="1:90" ht="15.95" hidden="1" customHeight="1" x14ac:dyDescent="0.25">
      <c r="A1494" s="957">
        <f t="shared" ca="1" si="49"/>
        <v>0</v>
      </c>
      <c r="BW1494" s="4"/>
      <c r="BX1494" s="5"/>
      <c r="BY1494" s="5" t="str">
        <f ca="1">IF('Rent Roll'!$AE188=1,'Rent Roll'!E188,"")</f>
        <v/>
      </c>
      <c r="BZ1494" s="39" t="str">
        <f ca="1">IF('Rent Roll'!$AE188=1,'Rent Roll'!G188,"")</f>
        <v/>
      </c>
      <c r="CA1494" s="1547" t="str">
        <f ca="1">IF('Rent Roll'!$AE188=1,'Rent Roll'!K188,"")</f>
        <v/>
      </c>
      <c r="CB1494" s="1551" t="str">
        <f ca="1">IF('Rent Roll'!$AE188=1,'Rent Roll'!N188,"")</f>
        <v/>
      </c>
      <c r="CC1494" s="5"/>
      <c r="CD1494" s="6"/>
      <c r="CE1494" s="32"/>
      <c r="CF1494" s="342"/>
      <c r="CG1494" s="343"/>
      <c r="CH1494" s="342"/>
      <c r="CI1494" s="343"/>
      <c r="CJ1494" s="32"/>
      <c r="CK1494" s="187"/>
      <c r="CL1494" s="187"/>
    </row>
    <row r="1495" spans="1:90" ht="15.95" hidden="1" customHeight="1" x14ac:dyDescent="0.25">
      <c r="A1495" s="957">
        <f t="shared" ca="1" si="49"/>
        <v>0</v>
      </c>
      <c r="BW1495" s="4"/>
      <c r="BX1495" s="5"/>
      <c r="BY1495" s="5" t="str">
        <f ca="1">IF('Rent Roll'!$AE189=1,'Rent Roll'!E189,"")</f>
        <v/>
      </c>
      <c r="BZ1495" s="39" t="str">
        <f ca="1">IF('Rent Roll'!$AE189=1,'Rent Roll'!G189,"")</f>
        <v/>
      </c>
      <c r="CA1495" s="1547" t="str">
        <f ca="1">IF('Rent Roll'!$AE189=1,'Rent Roll'!K189,"")</f>
        <v/>
      </c>
      <c r="CB1495" s="1551" t="str">
        <f ca="1">IF('Rent Roll'!$AE189=1,'Rent Roll'!N189,"")</f>
        <v/>
      </c>
      <c r="CC1495" s="5"/>
      <c r="CD1495" s="6"/>
      <c r="CE1495" s="32"/>
      <c r="CF1495" s="342"/>
      <c r="CG1495" s="343"/>
      <c r="CH1495" s="342"/>
      <c r="CI1495" s="343"/>
      <c r="CJ1495" s="32"/>
      <c r="CK1495" s="187"/>
      <c r="CL1495" s="187"/>
    </row>
    <row r="1496" spans="1:90" ht="15.95" hidden="1" customHeight="1" x14ac:dyDescent="0.25">
      <c r="A1496" s="957">
        <f t="shared" ca="1" si="49"/>
        <v>0</v>
      </c>
      <c r="BW1496" s="4"/>
      <c r="BX1496" s="5"/>
      <c r="BY1496" s="5" t="str">
        <f ca="1">IF('Rent Roll'!$AE190=1,'Rent Roll'!E190,"")</f>
        <v/>
      </c>
      <c r="BZ1496" s="39" t="str">
        <f ca="1">IF('Rent Roll'!$AE190=1,'Rent Roll'!G190,"")</f>
        <v/>
      </c>
      <c r="CA1496" s="1547" t="str">
        <f ca="1">IF('Rent Roll'!$AE190=1,'Rent Roll'!K190,"")</f>
        <v/>
      </c>
      <c r="CB1496" s="1551" t="str">
        <f ca="1">IF('Rent Roll'!$AE190=1,'Rent Roll'!N190,"")</f>
        <v/>
      </c>
      <c r="CC1496" s="5"/>
      <c r="CD1496" s="6"/>
      <c r="CE1496" s="32"/>
      <c r="CF1496" s="342"/>
      <c r="CG1496" s="343"/>
      <c r="CH1496" s="342"/>
      <c r="CI1496" s="343"/>
      <c r="CJ1496" s="32"/>
      <c r="CK1496" s="187"/>
      <c r="CL1496" s="187"/>
    </row>
    <row r="1497" spans="1:90" ht="15.95" hidden="1" customHeight="1" x14ac:dyDescent="0.25">
      <c r="A1497" s="957">
        <f t="shared" ca="1" si="49"/>
        <v>0</v>
      </c>
      <c r="BW1497" s="4"/>
      <c r="BX1497" s="5"/>
      <c r="BY1497" s="5" t="str">
        <f ca="1">IF('Rent Roll'!$AE191=1,'Rent Roll'!E191,"")</f>
        <v/>
      </c>
      <c r="BZ1497" s="39" t="str">
        <f ca="1">IF('Rent Roll'!$AE191=1,'Rent Roll'!G191,"")</f>
        <v/>
      </c>
      <c r="CA1497" s="1547" t="str">
        <f ca="1">IF('Rent Roll'!$AE191=1,'Rent Roll'!K191,"")</f>
        <v/>
      </c>
      <c r="CB1497" s="1551" t="str">
        <f ca="1">IF('Rent Roll'!$AE191=1,'Rent Roll'!N191,"")</f>
        <v/>
      </c>
      <c r="CC1497" s="5"/>
      <c r="CD1497" s="6"/>
      <c r="CE1497" s="32"/>
      <c r="CF1497" s="342"/>
      <c r="CG1497" s="343"/>
      <c r="CH1497" s="342"/>
      <c r="CI1497" s="343"/>
      <c r="CJ1497" s="32"/>
      <c r="CK1497" s="187"/>
      <c r="CL1497" s="187"/>
    </row>
    <row r="1498" spans="1:90" ht="15.95" hidden="1" customHeight="1" x14ac:dyDescent="0.25">
      <c r="A1498" s="957">
        <f t="shared" ca="1" si="49"/>
        <v>0</v>
      </c>
      <c r="BW1498" s="4"/>
      <c r="BX1498" s="5"/>
      <c r="BY1498" s="5" t="str">
        <f ca="1">IF('Rent Roll'!$AE192=1,'Rent Roll'!E192,"")</f>
        <v/>
      </c>
      <c r="BZ1498" s="39" t="str">
        <f ca="1">IF('Rent Roll'!$AE192=1,'Rent Roll'!G192,"")</f>
        <v/>
      </c>
      <c r="CA1498" s="1547" t="str">
        <f ca="1">IF('Rent Roll'!$AE192=1,'Rent Roll'!K192,"")</f>
        <v/>
      </c>
      <c r="CB1498" s="1551" t="str">
        <f ca="1">IF('Rent Roll'!$AE192=1,'Rent Roll'!N192,"")</f>
        <v/>
      </c>
      <c r="CC1498" s="5"/>
      <c r="CD1498" s="6"/>
      <c r="CE1498" s="32"/>
      <c r="CF1498" s="342"/>
      <c r="CG1498" s="343"/>
      <c r="CH1498" s="342"/>
      <c r="CI1498" s="343"/>
      <c r="CJ1498" s="32"/>
      <c r="CK1498" s="187"/>
      <c r="CL1498" s="187"/>
    </row>
    <row r="1499" spans="1:90" ht="15.95" hidden="1" customHeight="1" x14ac:dyDescent="0.25">
      <c r="A1499" s="957">
        <f t="shared" ca="1" si="49"/>
        <v>0</v>
      </c>
      <c r="BW1499" s="4"/>
      <c r="BX1499" s="5"/>
      <c r="BY1499" s="5" t="str">
        <f ca="1">IF('Rent Roll'!$AE193=1,'Rent Roll'!E193,"")</f>
        <v/>
      </c>
      <c r="BZ1499" s="39" t="str">
        <f ca="1">IF('Rent Roll'!$AE193=1,'Rent Roll'!G193,"")</f>
        <v/>
      </c>
      <c r="CA1499" s="1547" t="str">
        <f ca="1">IF('Rent Roll'!$AE193=1,'Rent Roll'!K193,"")</f>
        <v/>
      </c>
      <c r="CB1499" s="1551" t="str">
        <f ca="1">IF('Rent Roll'!$AE193=1,'Rent Roll'!N193,"")</f>
        <v/>
      </c>
      <c r="CC1499" s="5"/>
      <c r="CD1499" s="6"/>
      <c r="CE1499" s="32"/>
      <c r="CF1499" s="342"/>
      <c r="CG1499" s="343"/>
      <c r="CH1499" s="342"/>
      <c r="CI1499" s="343"/>
      <c r="CJ1499" s="32"/>
      <c r="CK1499" s="187"/>
      <c r="CL1499" s="187"/>
    </row>
    <row r="1500" spans="1:90" ht="15.95" hidden="1" customHeight="1" x14ac:dyDescent="0.25">
      <c r="A1500" s="957">
        <f t="shared" ca="1" si="49"/>
        <v>0</v>
      </c>
      <c r="BW1500" s="4"/>
      <c r="BX1500" s="5"/>
      <c r="BY1500" s="5" t="str">
        <f ca="1">IF('Rent Roll'!$AE194=1,'Rent Roll'!E194,"")</f>
        <v/>
      </c>
      <c r="BZ1500" s="39" t="str">
        <f ca="1">IF('Rent Roll'!$AE194=1,'Rent Roll'!G194,"")</f>
        <v/>
      </c>
      <c r="CA1500" s="1547" t="str">
        <f ca="1">IF('Rent Roll'!$AE194=1,'Rent Roll'!K194,"")</f>
        <v/>
      </c>
      <c r="CB1500" s="1551" t="str">
        <f ca="1">IF('Rent Roll'!$AE194=1,'Rent Roll'!N194,"")</f>
        <v/>
      </c>
      <c r="CC1500" s="5"/>
      <c r="CD1500" s="6"/>
      <c r="CE1500" s="32"/>
      <c r="CF1500" s="342"/>
      <c r="CG1500" s="343"/>
      <c r="CH1500" s="342"/>
      <c r="CI1500" s="343"/>
      <c r="CJ1500" s="32"/>
      <c r="CK1500" s="187"/>
      <c r="CL1500" s="187"/>
    </row>
    <row r="1501" spans="1:90" ht="15.95" hidden="1" customHeight="1" x14ac:dyDescent="0.25">
      <c r="A1501" s="957">
        <f t="shared" ca="1" si="49"/>
        <v>0</v>
      </c>
      <c r="BW1501" s="4"/>
      <c r="BX1501" s="5"/>
      <c r="BY1501" s="5" t="str">
        <f ca="1">IF('Rent Roll'!$AE195=1,'Rent Roll'!E195,"")</f>
        <v/>
      </c>
      <c r="BZ1501" s="39" t="str">
        <f ca="1">IF('Rent Roll'!$AE195=1,'Rent Roll'!G195,"")</f>
        <v/>
      </c>
      <c r="CA1501" s="1547" t="str">
        <f ca="1">IF('Rent Roll'!$AE195=1,'Rent Roll'!K195,"")</f>
        <v/>
      </c>
      <c r="CB1501" s="1551" t="str">
        <f ca="1">IF('Rent Roll'!$AE195=1,'Rent Roll'!N195,"")</f>
        <v/>
      </c>
      <c r="CC1501" s="5"/>
      <c r="CD1501" s="6"/>
      <c r="CE1501" s="32"/>
      <c r="CF1501" s="342"/>
      <c r="CG1501" s="343"/>
      <c r="CH1501" s="342"/>
      <c r="CI1501" s="343"/>
      <c r="CJ1501" s="32"/>
      <c r="CK1501" s="187"/>
      <c r="CL1501" s="187"/>
    </row>
    <row r="1502" spans="1:90" ht="15.95" hidden="1" customHeight="1" x14ac:dyDescent="0.25">
      <c r="A1502" s="957">
        <f t="shared" ca="1" si="49"/>
        <v>0</v>
      </c>
      <c r="BW1502" s="4"/>
      <c r="BX1502" s="5"/>
      <c r="BY1502" s="5" t="str">
        <f ca="1">IF('Rent Roll'!$AE196=1,'Rent Roll'!E196,"")</f>
        <v/>
      </c>
      <c r="BZ1502" s="39" t="str">
        <f ca="1">IF('Rent Roll'!$AE196=1,'Rent Roll'!G196,"")</f>
        <v/>
      </c>
      <c r="CA1502" s="1547" t="str">
        <f ca="1">IF('Rent Roll'!$AE196=1,'Rent Roll'!K196,"")</f>
        <v/>
      </c>
      <c r="CB1502" s="1551" t="str">
        <f ca="1">IF('Rent Roll'!$AE196=1,'Rent Roll'!N196,"")</f>
        <v/>
      </c>
      <c r="CC1502" s="5"/>
      <c r="CD1502" s="6"/>
      <c r="CE1502" s="32"/>
      <c r="CF1502" s="342"/>
      <c r="CG1502" s="343"/>
      <c r="CH1502" s="342"/>
      <c r="CI1502" s="343"/>
      <c r="CJ1502" s="32"/>
      <c r="CK1502" s="187"/>
      <c r="CL1502" s="187"/>
    </row>
    <row r="1503" spans="1:90" ht="15.95" hidden="1" customHeight="1" x14ac:dyDescent="0.25">
      <c r="A1503" s="957">
        <f t="shared" ca="1" si="49"/>
        <v>0</v>
      </c>
      <c r="BW1503" s="4"/>
      <c r="BX1503" s="5"/>
      <c r="BY1503" s="5" t="str">
        <f ca="1">IF('Rent Roll'!$AE197=1,'Rent Roll'!E197,"")</f>
        <v/>
      </c>
      <c r="BZ1503" s="39" t="str">
        <f ca="1">IF('Rent Roll'!$AE197=1,'Rent Roll'!G197,"")</f>
        <v/>
      </c>
      <c r="CA1503" s="1547" t="str">
        <f ca="1">IF('Rent Roll'!$AE197=1,'Rent Roll'!K197,"")</f>
        <v/>
      </c>
      <c r="CB1503" s="1551" t="str">
        <f ca="1">IF('Rent Roll'!$AE197=1,'Rent Roll'!N197,"")</f>
        <v/>
      </c>
      <c r="CC1503" s="5"/>
      <c r="CD1503" s="6"/>
      <c r="CE1503" s="32"/>
      <c r="CF1503" s="342"/>
      <c r="CG1503" s="343"/>
      <c r="CH1503" s="342"/>
      <c r="CI1503" s="343"/>
      <c r="CJ1503" s="32"/>
      <c r="CK1503" s="187"/>
      <c r="CL1503" s="187"/>
    </row>
    <row r="1504" spans="1:90" ht="15.95" hidden="1" customHeight="1" x14ac:dyDescent="0.25">
      <c r="A1504" s="957">
        <f t="shared" ca="1" si="49"/>
        <v>0</v>
      </c>
      <c r="BW1504" s="4"/>
      <c r="BX1504" s="5"/>
      <c r="BY1504" s="5" t="str">
        <f ca="1">IF('Rent Roll'!$AE198=1,'Rent Roll'!E198,"")</f>
        <v/>
      </c>
      <c r="BZ1504" s="39" t="str">
        <f ca="1">IF('Rent Roll'!$AE198=1,'Rent Roll'!G198,"")</f>
        <v/>
      </c>
      <c r="CA1504" s="1547" t="str">
        <f ca="1">IF('Rent Roll'!$AE198=1,'Rent Roll'!K198,"")</f>
        <v/>
      </c>
      <c r="CB1504" s="1551" t="str">
        <f ca="1">IF('Rent Roll'!$AE198=1,'Rent Roll'!N198,"")</f>
        <v/>
      </c>
      <c r="CC1504" s="5"/>
      <c r="CD1504" s="6"/>
      <c r="CE1504" s="32"/>
      <c r="CF1504" s="342"/>
      <c r="CG1504" s="343"/>
      <c r="CH1504" s="342"/>
      <c r="CI1504" s="343"/>
      <c r="CJ1504" s="32"/>
      <c r="CK1504" s="187"/>
      <c r="CL1504" s="187"/>
    </row>
    <row r="1505" spans="1:91" ht="15.95" hidden="1" customHeight="1" x14ac:dyDescent="0.25">
      <c r="A1505" s="957">
        <f t="shared" ref="A1505:A1512" ca="1" si="50">IF(BY1505="",0,1)</f>
        <v>0</v>
      </c>
      <c r="BW1505" s="4"/>
      <c r="BX1505" s="5"/>
      <c r="BY1505" s="5" t="str">
        <f ca="1">IF('Rent Roll'!$AE199=1,'Rent Roll'!E199,"")</f>
        <v/>
      </c>
      <c r="BZ1505" s="39" t="str">
        <f ca="1">IF('Rent Roll'!$AE199=1,'Rent Roll'!G199,"")</f>
        <v/>
      </c>
      <c r="CA1505" s="1547" t="str">
        <f ca="1">IF('Rent Roll'!$AE199=1,'Rent Roll'!K199,"")</f>
        <v/>
      </c>
      <c r="CB1505" s="1551" t="str">
        <f ca="1">IF('Rent Roll'!$AE199=1,'Rent Roll'!N199,"")</f>
        <v/>
      </c>
      <c r="CC1505" s="5"/>
      <c r="CD1505" s="6"/>
      <c r="CE1505" s="32"/>
      <c r="CF1505" s="342"/>
      <c r="CG1505" s="343"/>
      <c r="CH1505" s="342"/>
      <c r="CI1505" s="343"/>
      <c r="CJ1505" s="32"/>
      <c r="CK1505" s="187"/>
      <c r="CL1505" s="187"/>
    </row>
    <row r="1506" spans="1:91" ht="15.95" hidden="1" customHeight="1" x14ac:dyDescent="0.25">
      <c r="A1506" s="957">
        <f t="shared" ca="1" si="50"/>
        <v>0</v>
      </c>
      <c r="BW1506" s="4"/>
      <c r="BX1506" s="5"/>
      <c r="BY1506" s="5" t="str">
        <f ca="1">IF('Rent Roll'!$AE200=1,'Rent Roll'!E200,"")</f>
        <v/>
      </c>
      <c r="BZ1506" s="39" t="str">
        <f ca="1">IF('Rent Roll'!$AE200=1,'Rent Roll'!G200,"")</f>
        <v/>
      </c>
      <c r="CA1506" s="1547" t="str">
        <f ca="1">IF('Rent Roll'!$AE200=1,'Rent Roll'!K200,"")</f>
        <v/>
      </c>
      <c r="CB1506" s="1551" t="str">
        <f ca="1">IF('Rent Roll'!$AE200=1,'Rent Roll'!N200,"")</f>
        <v/>
      </c>
      <c r="CC1506" s="5"/>
      <c r="CD1506" s="6"/>
      <c r="CE1506" s="32"/>
      <c r="CF1506" s="342"/>
      <c r="CG1506" s="343"/>
      <c r="CH1506" s="342"/>
      <c r="CI1506" s="343"/>
      <c r="CJ1506" s="32"/>
      <c r="CK1506" s="187"/>
      <c r="CL1506" s="187"/>
    </row>
    <row r="1507" spans="1:91" ht="15.95" hidden="1" customHeight="1" x14ac:dyDescent="0.25">
      <c r="A1507" s="957">
        <f t="shared" ca="1" si="50"/>
        <v>0</v>
      </c>
      <c r="BW1507" s="4"/>
      <c r="BX1507" s="5"/>
      <c r="BY1507" s="5" t="str">
        <f ca="1">IF('Rent Roll'!$AE201=1,'Rent Roll'!E201,"")</f>
        <v/>
      </c>
      <c r="BZ1507" s="39" t="str">
        <f ca="1">IF('Rent Roll'!$AE201=1,'Rent Roll'!G201,"")</f>
        <v/>
      </c>
      <c r="CA1507" s="1547" t="str">
        <f ca="1">IF('Rent Roll'!$AE201=1,'Rent Roll'!K201,"")</f>
        <v/>
      </c>
      <c r="CB1507" s="1551" t="str">
        <f ca="1">IF('Rent Roll'!$AE201=1,'Rent Roll'!N201,"")</f>
        <v/>
      </c>
      <c r="CC1507" s="5"/>
      <c r="CD1507" s="6"/>
      <c r="CE1507" s="32"/>
      <c r="CF1507" s="342"/>
      <c r="CG1507" s="343"/>
      <c r="CH1507" s="342"/>
      <c r="CI1507" s="343"/>
      <c r="CJ1507" s="32"/>
      <c r="CK1507" s="187"/>
      <c r="CL1507" s="187"/>
    </row>
    <row r="1508" spans="1:91" ht="15.95" hidden="1" customHeight="1" x14ac:dyDescent="0.25">
      <c r="A1508" s="957">
        <f t="shared" ca="1" si="50"/>
        <v>0</v>
      </c>
      <c r="BW1508" s="4"/>
      <c r="BX1508" s="5"/>
      <c r="BY1508" s="5" t="str">
        <f ca="1">IF('Rent Roll'!$AE202=1,'Rent Roll'!E202,"")</f>
        <v/>
      </c>
      <c r="BZ1508" s="39" t="str">
        <f ca="1">IF('Rent Roll'!$AE202=1,'Rent Roll'!G202,"")</f>
        <v/>
      </c>
      <c r="CA1508" s="1547" t="str">
        <f ca="1">IF('Rent Roll'!$AE202=1,'Rent Roll'!K202,"")</f>
        <v/>
      </c>
      <c r="CB1508" s="1551" t="str">
        <f ca="1">IF('Rent Roll'!$AE202=1,'Rent Roll'!N202,"")</f>
        <v/>
      </c>
      <c r="CC1508" s="5"/>
      <c r="CD1508" s="6"/>
      <c r="CE1508" s="32"/>
      <c r="CF1508" s="342"/>
      <c r="CG1508" s="343"/>
      <c r="CH1508" s="342"/>
      <c r="CI1508" s="343"/>
      <c r="CJ1508" s="32"/>
      <c r="CK1508" s="187"/>
      <c r="CL1508" s="187"/>
    </row>
    <row r="1509" spans="1:91" ht="15.95" hidden="1" customHeight="1" x14ac:dyDescent="0.25">
      <c r="A1509" s="957">
        <f t="shared" ca="1" si="50"/>
        <v>0</v>
      </c>
      <c r="BW1509" s="4"/>
      <c r="BX1509" s="5"/>
      <c r="BY1509" s="5" t="str">
        <f ca="1">IF('Rent Roll'!$AE203=1,'Rent Roll'!E203,"")</f>
        <v/>
      </c>
      <c r="BZ1509" s="39" t="str">
        <f ca="1">IF('Rent Roll'!$AE203=1,'Rent Roll'!G203,"")</f>
        <v/>
      </c>
      <c r="CA1509" s="1547" t="str">
        <f ca="1">IF('Rent Roll'!$AE203=1,'Rent Roll'!K203,"")</f>
        <v/>
      </c>
      <c r="CB1509" s="1551" t="str">
        <f ca="1">IF('Rent Roll'!$AE203=1,'Rent Roll'!N203,"")</f>
        <v/>
      </c>
      <c r="CC1509" s="5"/>
      <c r="CD1509" s="6"/>
      <c r="CE1509" s="32"/>
      <c r="CF1509" s="342"/>
      <c r="CG1509" s="343"/>
      <c r="CH1509" s="342"/>
      <c r="CI1509" s="343"/>
      <c r="CJ1509" s="32"/>
      <c r="CK1509" s="187"/>
      <c r="CL1509" s="187"/>
    </row>
    <row r="1510" spans="1:91" ht="15.95" hidden="1" customHeight="1" x14ac:dyDescent="0.25">
      <c r="A1510" s="957">
        <f t="shared" ca="1" si="50"/>
        <v>0</v>
      </c>
      <c r="BW1510" s="4"/>
      <c r="BX1510" s="5"/>
      <c r="BY1510" s="5" t="str">
        <f ca="1">IF('Rent Roll'!$AE204=1,'Rent Roll'!E204,"")</f>
        <v/>
      </c>
      <c r="BZ1510" s="39" t="str">
        <f ca="1">IF('Rent Roll'!$AE204=1,'Rent Roll'!G204,"")</f>
        <v/>
      </c>
      <c r="CA1510" s="1547" t="str">
        <f ca="1">IF('Rent Roll'!$AE204=1,'Rent Roll'!K204,"")</f>
        <v/>
      </c>
      <c r="CB1510" s="1551" t="str">
        <f ca="1">IF('Rent Roll'!$AE204=1,'Rent Roll'!N204,"")</f>
        <v/>
      </c>
      <c r="CC1510" s="5"/>
      <c r="CD1510" s="6"/>
      <c r="CE1510" s="32"/>
      <c r="CF1510" s="342"/>
      <c r="CG1510" s="343"/>
      <c r="CH1510" s="342"/>
      <c r="CI1510" s="343"/>
      <c r="CJ1510" s="32"/>
      <c r="CK1510" s="187"/>
      <c r="CL1510" s="187"/>
    </row>
    <row r="1511" spans="1:91" ht="15.95" hidden="1" customHeight="1" x14ac:dyDescent="0.25">
      <c r="A1511" s="957">
        <f t="shared" ca="1" si="50"/>
        <v>0</v>
      </c>
      <c r="BW1511" s="4"/>
      <c r="BX1511" s="5"/>
      <c r="BY1511" s="5" t="str">
        <f ca="1">IF('Rent Roll'!$AE205=1,'Rent Roll'!E205,"")</f>
        <v/>
      </c>
      <c r="BZ1511" s="39" t="str">
        <f ca="1">IF('Rent Roll'!$AE205=1,'Rent Roll'!G205,"")</f>
        <v/>
      </c>
      <c r="CA1511" s="1547" t="str">
        <f ca="1">IF('Rent Roll'!$AE205=1,'Rent Roll'!K205,"")</f>
        <v/>
      </c>
      <c r="CB1511" s="1551" t="str">
        <f ca="1">IF('Rent Roll'!$AE205=1,'Rent Roll'!N205,"")</f>
        <v/>
      </c>
      <c r="CC1511" s="5"/>
      <c r="CD1511" s="6"/>
      <c r="CE1511" s="32"/>
      <c r="CF1511" s="342"/>
      <c r="CG1511" s="343"/>
      <c r="CH1511" s="342"/>
      <c r="CI1511" s="343"/>
      <c r="CJ1511" s="32"/>
      <c r="CK1511" s="187"/>
      <c r="CL1511" s="187"/>
    </row>
    <row r="1512" spans="1:91" ht="15.95" hidden="1" customHeight="1" x14ac:dyDescent="0.25">
      <c r="A1512" s="957">
        <f t="shared" ca="1" si="50"/>
        <v>0</v>
      </c>
      <c r="BW1512" s="4"/>
      <c r="BX1512" s="5"/>
      <c r="BY1512" s="5" t="str">
        <f ca="1">IF('Rent Roll'!$AE206=1,'Rent Roll'!E206,"")</f>
        <v/>
      </c>
      <c r="BZ1512" s="39" t="str">
        <f ca="1">IF('Rent Roll'!$AE206=1,'Rent Roll'!G206,"")</f>
        <v/>
      </c>
      <c r="CA1512" s="1547" t="str">
        <f ca="1">IF('Rent Roll'!$AE206=1,'Rent Roll'!K206,"")</f>
        <v/>
      </c>
      <c r="CB1512" s="1551" t="str">
        <f ca="1">IF('Rent Roll'!$AE206=1,'Rent Roll'!N206,"")</f>
        <v/>
      </c>
      <c r="CC1512" s="5"/>
      <c r="CD1512" s="6"/>
      <c r="CE1512" s="32"/>
      <c r="CF1512" s="342"/>
      <c r="CG1512" s="343"/>
      <c r="CH1512" s="342"/>
      <c r="CI1512" s="343"/>
      <c r="CJ1512" s="32"/>
      <c r="CK1512" s="187"/>
      <c r="CL1512" s="187"/>
    </row>
    <row r="1513" spans="1:91" ht="15.95" hidden="1" customHeight="1" x14ac:dyDescent="0.25">
      <c r="A1513" s="957">
        <f ca="1">IF(dpIncome_TCat7_NRA_Vacant=0,0,1)</f>
        <v>0</v>
      </c>
      <c r="BW1513" s="4"/>
      <c r="BX1513" s="5"/>
      <c r="BY1513" s="1535" t="s">
        <v>142</v>
      </c>
      <c r="BZ1513" s="1560"/>
      <c r="CA1513" s="1561">
        <f ca="1">IF(Income_RentRollSource="No Rent Roll",Income_TCat7_NRA_Manual,SUM(CA1313:CA1512))</f>
        <v>0</v>
      </c>
      <c r="CB1513" s="1562" t="e">
        <f ca="1">SUMPRODUCT(CA1313:CA1512,CB1313:CB1512)/CA1513</f>
        <v>#DIV/0!</v>
      </c>
      <c r="CC1513" s="5"/>
      <c r="CD1513" s="6"/>
      <c r="CE1513" s="32"/>
      <c r="CF1513" s="342"/>
      <c r="CG1513" s="343"/>
      <c r="CH1513" s="342"/>
      <c r="CI1513" s="343"/>
      <c r="CJ1513" s="32"/>
      <c r="CK1513" s="187"/>
      <c r="CL1513" s="187"/>
    </row>
    <row r="1514" spans="1:91" ht="15.95" hidden="1" customHeight="1" x14ac:dyDescent="0.25">
      <c r="A1514" s="957">
        <f ca="1">IF(dpIncome_TCat7_NRA_Vacant=0,0,1)</f>
        <v>0</v>
      </c>
      <c r="BW1514" s="4"/>
      <c r="BX1514" s="5"/>
      <c r="BY1514" s="1540" t="s">
        <v>139</v>
      </c>
      <c r="BZ1514" s="1541"/>
      <c r="CA1514" s="1549">
        <f ca="1">'Rent Roll'!K214</f>
        <v>0</v>
      </c>
      <c r="CB1514" s="1553">
        <f>Income_TCat7_MarketRent</f>
        <v>0</v>
      </c>
      <c r="CC1514" s="5"/>
      <c r="CD1514" s="6"/>
      <c r="CE1514" s="32"/>
      <c r="CF1514" s="342"/>
      <c r="CG1514" s="343"/>
      <c r="CH1514" s="342"/>
      <c r="CI1514" s="343"/>
      <c r="CJ1514" s="32"/>
      <c r="CK1514" s="187"/>
      <c r="CL1514" s="187"/>
    </row>
    <row r="1515" spans="1:91" ht="15.95" customHeight="1" thickBot="1" x14ac:dyDescent="0.3">
      <c r="A1515" s="957">
        <v>1</v>
      </c>
      <c r="BW1515" s="4"/>
      <c r="BX1515" s="5"/>
      <c r="BY1515" s="219" t="s">
        <v>93</v>
      </c>
      <c r="BZ1515" s="1542"/>
      <c r="CA1515" s="1550">
        <f ca="1">SUM(CA1513:CA1514)</f>
        <v>0</v>
      </c>
      <c r="CB1515" s="1554" t="e">
        <f ca="1">SUMPRODUCT(CA1513:CA1514,CB1513:CB1514)/Income_TCat7_NRA</f>
        <v>#DIV/0!</v>
      </c>
      <c r="CC1515" s="5"/>
      <c r="CD1515" s="6"/>
      <c r="CE1515" s="32"/>
      <c r="CF1515" s="344"/>
      <c r="CG1515" s="345"/>
      <c r="CH1515" s="344"/>
      <c r="CI1515" s="345"/>
      <c r="CJ1515" s="346"/>
      <c r="CK1515" s="187"/>
      <c r="CL1515" s="187"/>
    </row>
    <row r="1516" spans="1:91" x14ac:dyDescent="0.25">
      <c r="A1516" s="957">
        <v>1</v>
      </c>
      <c r="BW1516" s="4"/>
      <c r="BX1516" s="5"/>
      <c r="BY1516" s="556" t="s">
        <v>939</v>
      </c>
      <c r="BZ1516" s="5"/>
      <c r="CA1516" s="5"/>
      <c r="CB1516" s="5"/>
      <c r="CC1516" s="5"/>
      <c r="CD1516" s="6"/>
      <c r="CE1516" s="32"/>
      <c r="CF1516" s="96"/>
      <c r="CG1516" s="96"/>
      <c r="CH1516" s="32"/>
      <c r="CI1516" s="32"/>
      <c r="CJ1516" s="225"/>
      <c r="CK1516" s="187"/>
      <c r="CL1516" s="187"/>
    </row>
    <row r="1517" spans="1:91" ht="9.9499999999999993" customHeight="1" thickBot="1" x14ac:dyDescent="0.3">
      <c r="A1517" s="957">
        <v>1</v>
      </c>
      <c r="BW1517" s="11"/>
      <c r="BX1517" s="11"/>
      <c r="BY1517" s="11"/>
      <c r="BZ1517" s="41"/>
      <c r="CA1517" s="11"/>
      <c r="CB1517" s="11"/>
      <c r="CC1517" s="11"/>
      <c r="CD1517" s="11"/>
      <c r="CE1517" s="32"/>
      <c r="CF1517" s="96"/>
      <c r="CG1517" s="96"/>
      <c r="CH1517" s="32"/>
      <c r="CI1517" s="32"/>
      <c r="CJ1517" s="225"/>
      <c r="CK1517" s="187"/>
      <c r="CL1517" s="187"/>
    </row>
    <row r="1518" spans="1:91" x14ac:dyDescent="0.25">
      <c r="A1518" s="957">
        <v>1</v>
      </c>
      <c r="CE1518" s="1"/>
      <c r="CF1518" s="2"/>
      <c r="CG1518" s="2"/>
      <c r="CH1518" s="2"/>
      <c r="CI1518" s="2"/>
      <c r="CJ1518" s="2"/>
      <c r="CK1518" s="2"/>
      <c r="CL1518" s="3"/>
      <c r="CM1518" s="32"/>
    </row>
    <row r="1519" spans="1:91" ht="15.95" customHeight="1" x14ac:dyDescent="0.3">
      <c r="A1519" s="957">
        <v>1</v>
      </c>
      <c r="CE1519" s="4"/>
      <c r="CF1519" s="5"/>
      <c r="CG1519" s="4284">
        <f>Income_TCat8</f>
        <v>0</v>
      </c>
      <c r="CH1519" s="4284"/>
      <c r="CI1519" s="4284"/>
      <c r="CJ1519" s="4284"/>
      <c r="CK1519" s="27"/>
      <c r="CL1519" s="6"/>
      <c r="CM1519" s="32"/>
    </row>
    <row r="1520" spans="1:91" ht="15.95" customHeight="1" x14ac:dyDescent="0.25">
      <c r="A1520" s="957">
        <v>1</v>
      </c>
      <c r="CE1520" s="4"/>
      <c r="CF1520" s="12"/>
      <c r="CG1520" s="12" t="s">
        <v>398</v>
      </c>
      <c r="CH1520" s="150" t="s">
        <v>401</v>
      </c>
      <c r="CI1520" s="55" t="s">
        <v>20</v>
      </c>
      <c r="CJ1520" s="55" t="s">
        <v>132</v>
      </c>
      <c r="CK1520" s="150"/>
      <c r="CL1520" s="6"/>
      <c r="CM1520" s="32"/>
    </row>
    <row r="1521" spans="1:91" ht="15.95" hidden="1" customHeight="1" x14ac:dyDescent="0.25">
      <c r="A1521" s="957">
        <f t="shared" ref="A1521:A1552" ca="1" si="51">IF(CG1521="",0,1)</f>
        <v>0</v>
      </c>
      <c r="CE1521" s="4"/>
      <c r="CF1521" s="5"/>
      <c r="CG1521" s="5" t="str">
        <f ca="1">IF('Rent Roll'!$AF7=1,'Rent Roll'!E7,"")</f>
        <v/>
      </c>
      <c r="CH1521" s="39" t="str">
        <f ca="1">IF('Rent Roll'!$AF7=1,'Rent Roll'!G7,"")</f>
        <v/>
      </c>
      <c r="CI1521" s="1547" t="str">
        <f ca="1">IF('Rent Roll'!$AF7=1,'Rent Roll'!K7,"")</f>
        <v/>
      </c>
      <c r="CJ1521" s="1551" t="str">
        <f ca="1">IF('Rent Roll'!$AF7=1,'Rent Roll'!N7,"")</f>
        <v/>
      </c>
      <c r="CK1521" s="223"/>
      <c r="CL1521" s="6"/>
      <c r="CM1521" s="10"/>
    </row>
    <row r="1522" spans="1:91" ht="15.95" hidden="1" customHeight="1" x14ac:dyDescent="0.25">
      <c r="A1522" s="957">
        <f t="shared" ca="1" si="51"/>
        <v>0</v>
      </c>
      <c r="CE1522" s="4"/>
      <c r="CF1522" s="5"/>
      <c r="CG1522" s="5" t="str">
        <f ca="1">IF('Rent Roll'!$AF8=1,'Rent Roll'!E8,"")</f>
        <v/>
      </c>
      <c r="CH1522" s="39" t="str">
        <f ca="1">IF('Rent Roll'!$AF8=1,'Rent Roll'!G8,"")</f>
        <v/>
      </c>
      <c r="CI1522" s="1547" t="str">
        <f ca="1">IF('Rent Roll'!$AF8=1,'Rent Roll'!K8,"")</f>
        <v/>
      </c>
      <c r="CJ1522" s="1551" t="str">
        <f ca="1">IF('Rent Roll'!$AF8=1,'Rent Roll'!N8,"")</f>
        <v/>
      </c>
      <c r="CK1522" s="223"/>
      <c r="CL1522" s="6"/>
      <c r="CM1522" s="10"/>
    </row>
    <row r="1523" spans="1:91" ht="15.95" hidden="1" customHeight="1" x14ac:dyDescent="0.25">
      <c r="A1523" s="957">
        <f t="shared" ca="1" si="51"/>
        <v>0</v>
      </c>
      <c r="CE1523" s="4"/>
      <c r="CF1523" s="5"/>
      <c r="CG1523" s="5" t="str">
        <f ca="1">IF('Rent Roll'!$AF9=1,'Rent Roll'!E9,"")</f>
        <v/>
      </c>
      <c r="CH1523" s="39" t="str">
        <f ca="1">IF('Rent Roll'!$AF9=1,'Rent Roll'!G9,"")</f>
        <v/>
      </c>
      <c r="CI1523" s="1547" t="str">
        <f ca="1">IF('Rent Roll'!$AF9=1,'Rent Roll'!K9,"")</f>
        <v/>
      </c>
      <c r="CJ1523" s="1551" t="str">
        <f ca="1">IF('Rent Roll'!$AF9=1,'Rent Roll'!N9,"")</f>
        <v/>
      </c>
      <c r="CK1523" s="223"/>
      <c r="CL1523" s="6"/>
      <c r="CM1523" s="10"/>
    </row>
    <row r="1524" spans="1:91" ht="15.95" hidden="1" customHeight="1" x14ac:dyDescent="0.25">
      <c r="A1524" s="957">
        <f t="shared" ca="1" si="51"/>
        <v>0</v>
      </c>
      <c r="CE1524" s="4"/>
      <c r="CF1524" s="5"/>
      <c r="CG1524" s="5" t="str">
        <f ca="1">IF('Rent Roll'!$AF10=1,'Rent Roll'!E10,"")</f>
        <v/>
      </c>
      <c r="CH1524" s="39" t="str">
        <f ca="1">IF('Rent Roll'!$AF10=1,'Rent Roll'!G10,"")</f>
        <v/>
      </c>
      <c r="CI1524" s="1547" t="str">
        <f ca="1">IF('Rent Roll'!$AF10=1,'Rent Roll'!K10,"")</f>
        <v/>
      </c>
      <c r="CJ1524" s="1551" t="str">
        <f ca="1">IF('Rent Roll'!$AF10=1,'Rent Roll'!N10,"")</f>
        <v/>
      </c>
      <c r="CK1524" s="223"/>
      <c r="CL1524" s="6"/>
      <c r="CM1524" s="10"/>
    </row>
    <row r="1525" spans="1:91" ht="15.95" hidden="1" customHeight="1" x14ac:dyDescent="0.25">
      <c r="A1525" s="957">
        <f t="shared" ca="1" si="51"/>
        <v>0</v>
      </c>
      <c r="CE1525" s="4"/>
      <c r="CF1525" s="5"/>
      <c r="CG1525" s="5" t="str">
        <f ca="1">IF('Rent Roll'!$AF11=1,'Rent Roll'!E11,"")</f>
        <v/>
      </c>
      <c r="CH1525" s="39" t="str">
        <f ca="1">IF('Rent Roll'!$AF11=1,'Rent Roll'!G11,"")</f>
        <v/>
      </c>
      <c r="CI1525" s="1547" t="str">
        <f ca="1">IF('Rent Roll'!$AF11=1,'Rent Roll'!K11,"")</f>
        <v/>
      </c>
      <c r="CJ1525" s="1551" t="str">
        <f ca="1">IF('Rent Roll'!$AF11=1,'Rent Roll'!N11,"")</f>
        <v/>
      </c>
      <c r="CK1525" s="223"/>
      <c r="CL1525" s="6"/>
      <c r="CM1525" s="10"/>
    </row>
    <row r="1526" spans="1:91" ht="15.95" hidden="1" customHeight="1" x14ac:dyDescent="0.25">
      <c r="A1526" s="957">
        <f t="shared" ca="1" si="51"/>
        <v>0</v>
      </c>
      <c r="CE1526" s="4"/>
      <c r="CF1526" s="5"/>
      <c r="CG1526" s="5" t="str">
        <f ca="1">IF('Rent Roll'!$AF12=1,'Rent Roll'!E12,"")</f>
        <v/>
      </c>
      <c r="CH1526" s="39" t="str">
        <f ca="1">IF('Rent Roll'!$AF12=1,'Rent Roll'!G12,"")</f>
        <v/>
      </c>
      <c r="CI1526" s="1547" t="str">
        <f ca="1">IF('Rent Roll'!$AF12=1,'Rent Roll'!K12,"")</f>
        <v/>
      </c>
      <c r="CJ1526" s="1551" t="str">
        <f ca="1">IF('Rent Roll'!$AF12=1,'Rent Roll'!N12,"")</f>
        <v/>
      </c>
      <c r="CK1526" s="223"/>
      <c r="CL1526" s="6"/>
      <c r="CM1526" s="10"/>
    </row>
    <row r="1527" spans="1:91" ht="15.95" hidden="1" customHeight="1" x14ac:dyDescent="0.25">
      <c r="A1527" s="957">
        <f t="shared" ca="1" si="51"/>
        <v>0</v>
      </c>
      <c r="CE1527" s="4"/>
      <c r="CF1527" s="5"/>
      <c r="CG1527" s="5" t="str">
        <f ca="1">IF('Rent Roll'!$AF13=1,'Rent Roll'!E13,"")</f>
        <v/>
      </c>
      <c r="CH1527" s="39" t="str">
        <f ca="1">IF('Rent Roll'!$AF13=1,'Rent Roll'!G13,"")</f>
        <v/>
      </c>
      <c r="CI1527" s="1547" t="str">
        <f ca="1">IF('Rent Roll'!$AF13=1,'Rent Roll'!K13,"")</f>
        <v/>
      </c>
      <c r="CJ1527" s="1551" t="str">
        <f ca="1">IF('Rent Roll'!$AF13=1,'Rent Roll'!N13,"")</f>
        <v/>
      </c>
      <c r="CK1527" s="223"/>
      <c r="CL1527" s="6"/>
      <c r="CM1527" s="10"/>
    </row>
    <row r="1528" spans="1:91" ht="15.95" hidden="1" customHeight="1" x14ac:dyDescent="0.25">
      <c r="A1528" s="957">
        <f t="shared" ca="1" si="51"/>
        <v>0</v>
      </c>
      <c r="CE1528" s="4"/>
      <c r="CF1528" s="5"/>
      <c r="CG1528" s="5" t="str">
        <f ca="1">IF('Rent Roll'!$AF14=1,'Rent Roll'!E14,"")</f>
        <v/>
      </c>
      <c r="CH1528" s="39" t="str">
        <f ca="1">IF('Rent Roll'!$AF14=1,'Rent Roll'!G14,"")</f>
        <v/>
      </c>
      <c r="CI1528" s="1547" t="str">
        <f ca="1">IF('Rent Roll'!$AF14=1,'Rent Roll'!K14,"")</f>
        <v/>
      </c>
      <c r="CJ1528" s="1551" t="str">
        <f ca="1">IF('Rent Roll'!$AF14=1,'Rent Roll'!N14,"")</f>
        <v/>
      </c>
      <c r="CK1528" s="223"/>
      <c r="CL1528" s="6"/>
      <c r="CM1528" s="10"/>
    </row>
    <row r="1529" spans="1:91" ht="15.95" hidden="1" customHeight="1" x14ac:dyDescent="0.25">
      <c r="A1529" s="957">
        <f t="shared" ca="1" si="51"/>
        <v>0</v>
      </c>
      <c r="CE1529" s="4"/>
      <c r="CF1529" s="5"/>
      <c r="CG1529" s="5" t="str">
        <f ca="1">IF('Rent Roll'!$AF15=1,'Rent Roll'!E15,"")</f>
        <v/>
      </c>
      <c r="CH1529" s="39" t="str">
        <f ca="1">IF('Rent Roll'!$AF15=1,'Rent Roll'!G15,"")</f>
        <v/>
      </c>
      <c r="CI1529" s="1547" t="str">
        <f ca="1">IF('Rent Roll'!$AF15=1,'Rent Roll'!K15,"")</f>
        <v/>
      </c>
      <c r="CJ1529" s="1551" t="str">
        <f ca="1">IF('Rent Roll'!$AF15=1,'Rent Roll'!N15,"")</f>
        <v/>
      </c>
      <c r="CK1529" s="223"/>
      <c r="CL1529" s="6"/>
      <c r="CM1529" s="10"/>
    </row>
    <row r="1530" spans="1:91" ht="15.95" hidden="1" customHeight="1" x14ac:dyDescent="0.25">
      <c r="A1530" s="957">
        <f t="shared" ca="1" si="51"/>
        <v>0</v>
      </c>
      <c r="CE1530" s="4"/>
      <c r="CF1530" s="5"/>
      <c r="CG1530" s="5" t="str">
        <f ca="1">IF('Rent Roll'!$AF16=1,'Rent Roll'!E16,"")</f>
        <v/>
      </c>
      <c r="CH1530" s="39" t="str">
        <f ca="1">IF('Rent Roll'!$AF16=1,'Rent Roll'!G16,"")</f>
        <v/>
      </c>
      <c r="CI1530" s="1547" t="str">
        <f ca="1">IF('Rent Roll'!$AF16=1,'Rent Roll'!K16,"")</f>
        <v/>
      </c>
      <c r="CJ1530" s="1551" t="str">
        <f ca="1">IF('Rent Roll'!$AF16=1,'Rent Roll'!N16,"")</f>
        <v/>
      </c>
      <c r="CK1530" s="223"/>
      <c r="CL1530" s="6"/>
      <c r="CM1530" s="10"/>
    </row>
    <row r="1531" spans="1:91" ht="15.95" hidden="1" customHeight="1" x14ac:dyDescent="0.25">
      <c r="A1531" s="957">
        <f t="shared" ca="1" si="51"/>
        <v>0</v>
      </c>
      <c r="CE1531" s="4"/>
      <c r="CF1531" s="5"/>
      <c r="CG1531" s="5" t="str">
        <f ca="1">IF('Rent Roll'!$AF17=1,'Rent Roll'!E17,"")</f>
        <v/>
      </c>
      <c r="CH1531" s="39" t="str">
        <f ca="1">IF('Rent Roll'!$AF17=1,'Rent Roll'!G17,"")</f>
        <v/>
      </c>
      <c r="CI1531" s="1547" t="str">
        <f ca="1">IF('Rent Roll'!$AF17=1,'Rent Roll'!K17,"")</f>
        <v/>
      </c>
      <c r="CJ1531" s="1551" t="str">
        <f ca="1">IF('Rent Roll'!$AF17=1,'Rent Roll'!N17,"")</f>
        <v/>
      </c>
      <c r="CK1531" s="223"/>
      <c r="CL1531" s="6"/>
      <c r="CM1531" s="10"/>
    </row>
    <row r="1532" spans="1:91" ht="15.95" hidden="1" customHeight="1" x14ac:dyDescent="0.25">
      <c r="A1532" s="957">
        <f t="shared" ca="1" si="51"/>
        <v>0</v>
      </c>
      <c r="CE1532" s="4"/>
      <c r="CF1532" s="5"/>
      <c r="CG1532" s="5" t="str">
        <f ca="1">IF('Rent Roll'!$AF18=1,'Rent Roll'!E18,"")</f>
        <v/>
      </c>
      <c r="CH1532" s="39" t="str">
        <f ca="1">IF('Rent Roll'!$AF18=1,'Rent Roll'!G18,"")</f>
        <v/>
      </c>
      <c r="CI1532" s="1547" t="str">
        <f ca="1">IF('Rent Roll'!$AF18=1,'Rent Roll'!K18,"")</f>
        <v/>
      </c>
      <c r="CJ1532" s="1551" t="str">
        <f ca="1">IF('Rent Roll'!$AF18=1,'Rent Roll'!N18,"")</f>
        <v/>
      </c>
      <c r="CK1532" s="223"/>
      <c r="CL1532" s="6"/>
      <c r="CM1532" s="10"/>
    </row>
    <row r="1533" spans="1:91" ht="15.95" hidden="1" customHeight="1" x14ac:dyDescent="0.25">
      <c r="A1533" s="957">
        <f t="shared" ca="1" si="51"/>
        <v>0</v>
      </c>
      <c r="CE1533" s="4"/>
      <c r="CF1533" s="5"/>
      <c r="CG1533" s="5" t="str">
        <f ca="1">IF('Rent Roll'!$AF19=1,'Rent Roll'!E19,"")</f>
        <v/>
      </c>
      <c r="CH1533" s="39" t="str">
        <f ca="1">IF('Rent Roll'!$AF19=1,'Rent Roll'!G19,"")</f>
        <v/>
      </c>
      <c r="CI1533" s="1547" t="str">
        <f ca="1">IF('Rent Roll'!$AF19=1,'Rent Roll'!K19,"")</f>
        <v/>
      </c>
      <c r="CJ1533" s="1551" t="str">
        <f ca="1">IF('Rent Roll'!$AF19=1,'Rent Roll'!N19,"")</f>
        <v/>
      </c>
      <c r="CK1533" s="223"/>
      <c r="CL1533" s="6"/>
      <c r="CM1533" s="10"/>
    </row>
    <row r="1534" spans="1:91" ht="15.95" hidden="1" customHeight="1" x14ac:dyDescent="0.25">
      <c r="A1534" s="957">
        <f t="shared" ca="1" si="51"/>
        <v>0</v>
      </c>
      <c r="CE1534" s="4"/>
      <c r="CF1534" s="5"/>
      <c r="CG1534" s="5" t="str">
        <f ca="1">IF('Rent Roll'!$AF20=1,'Rent Roll'!E20,"")</f>
        <v/>
      </c>
      <c r="CH1534" s="39" t="str">
        <f ca="1">IF('Rent Roll'!$AF20=1,'Rent Roll'!G20,"")</f>
        <v/>
      </c>
      <c r="CI1534" s="1547" t="str">
        <f ca="1">IF('Rent Roll'!$AF20=1,'Rent Roll'!K20,"")</f>
        <v/>
      </c>
      <c r="CJ1534" s="1551" t="str">
        <f ca="1">IF('Rent Roll'!$AF20=1,'Rent Roll'!N20,"")</f>
        <v/>
      </c>
      <c r="CK1534" s="223"/>
      <c r="CL1534" s="6"/>
      <c r="CM1534" s="10"/>
    </row>
    <row r="1535" spans="1:91" ht="15.95" hidden="1" customHeight="1" x14ac:dyDescent="0.25">
      <c r="A1535" s="957">
        <f t="shared" ca="1" si="51"/>
        <v>0</v>
      </c>
      <c r="CE1535" s="4"/>
      <c r="CF1535" s="5"/>
      <c r="CG1535" s="5" t="str">
        <f ca="1">IF('Rent Roll'!$AF21=1,'Rent Roll'!E21,"")</f>
        <v/>
      </c>
      <c r="CH1535" s="39" t="str">
        <f ca="1">IF('Rent Roll'!$AF21=1,'Rent Roll'!G21,"")</f>
        <v/>
      </c>
      <c r="CI1535" s="1547" t="str">
        <f ca="1">IF('Rent Roll'!$AF21=1,'Rent Roll'!K21,"")</f>
        <v/>
      </c>
      <c r="CJ1535" s="1551" t="str">
        <f ca="1">IF('Rent Roll'!$AF21=1,'Rent Roll'!N21,"")</f>
        <v/>
      </c>
      <c r="CK1535" s="223"/>
      <c r="CL1535" s="6"/>
      <c r="CM1535" s="10"/>
    </row>
    <row r="1536" spans="1:91" ht="15.95" hidden="1" customHeight="1" x14ac:dyDescent="0.25">
      <c r="A1536" s="957">
        <f t="shared" ca="1" si="51"/>
        <v>0</v>
      </c>
      <c r="CE1536" s="4"/>
      <c r="CF1536" s="5"/>
      <c r="CG1536" s="5" t="str">
        <f ca="1">IF('Rent Roll'!$AF22=1,'Rent Roll'!E22,"")</f>
        <v/>
      </c>
      <c r="CH1536" s="39" t="str">
        <f ca="1">IF('Rent Roll'!$AF22=1,'Rent Roll'!G22,"")</f>
        <v/>
      </c>
      <c r="CI1536" s="1547" t="str">
        <f ca="1">IF('Rent Roll'!$AF22=1,'Rent Roll'!K22,"")</f>
        <v/>
      </c>
      <c r="CJ1536" s="1551" t="str">
        <f ca="1">IF('Rent Roll'!$AF22=1,'Rent Roll'!N22,"")</f>
        <v/>
      </c>
      <c r="CK1536" s="223"/>
      <c r="CL1536" s="6"/>
      <c r="CM1536" s="10"/>
    </row>
    <row r="1537" spans="1:91" ht="15.95" hidden="1" customHeight="1" x14ac:dyDescent="0.25">
      <c r="A1537" s="957">
        <f t="shared" ca="1" si="51"/>
        <v>0</v>
      </c>
      <c r="CE1537" s="4"/>
      <c r="CF1537" s="5"/>
      <c r="CG1537" s="5" t="str">
        <f ca="1">IF('Rent Roll'!$AF23=1,'Rent Roll'!E23,"")</f>
        <v/>
      </c>
      <c r="CH1537" s="39" t="str">
        <f ca="1">IF('Rent Roll'!$AF23=1,'Rent Roll'!G23,"")</f>
        <v/>
      </c>
      <c r="CI1537" s="1547" t="str">
        <f ca="1">IF('Rent Roll'!$AF23=1,'Rent Roll'!K23,"")</f>
        <v/>
      </c>
      <c r="CJ1537" s="1551" t="str">
        <f ca="1">IF('Rent Roll'!$AF23=1,'Rent Roll'!N23,"")</f>
        <v/>
      </c>
      <c r="CK1537" s="223"/>
      <c r="CL1537" s="6"/>
      <c r="CM1537" s="10"/>
    </row>
    <row r="1538" spans="1:91" ht="15.95" hidden="1" customHeight="1" x14ac:dyDescent="0.25">
      <c r="A1538" s="957">
        <f t="shared" ca="1" si="51"/>
        <v>0</v>
      </c>
      <c r="CE1538" s="4"/>
      <c r="CF1538" s="5"/>
      <c r="CG1538" s="5" t="str">
        <f ca="1">IF('Rent Roll'!$AF24=1,'Rent Roll'!E24,"")</f>
        <v/>
      </c>
      <c r="CH1538" s="39" t="str">
        <f ca="1">IF('Rent Roll'!$AF24=1,'Rent Roll'!G24,"")</f>
        <v/>
      </c>
      <c r="CI1538" s="1547" t="str">
        <f ca="1">IF('Rent Roll'!$AF24=1,'Rent Roll'!K24,"")</f>
        <v/>
      </c>
      <c r="CJ1538" s="1551" t="str">
        <f ca="1">IF('Rent Roll'!$AF24=1,'Rent Roll'!N24,"")</f>
        <v/>
      </c>
      <c r="CK1538" s="223"/>
      <c r="CL1538" s="6"/>
      <c r="CM1538" s="10"/>
    </row>
    <row r="1539" spans="1:91" ht="15.95" hidden="1" customHeight="1" x14ac:dyDescent="0.25">
      <c r="A1539" s="957">
        <f t="shared" ca="1" si="51"/>
        <v>0</v>
      </c>
      <c r="CE1539" s="4"/>
      <c r="CF1539" s="5"/>
      <c r="CG1539" s="5" t="str">
        <f ca="1">IF('Rent Roll'!$AF25=1,'Rent Roll'!E25,"")</f>
        <v/>
      </c>
      <c r="CH1539" s="39" t="str">
        <f ca="1">IF('Rent Roll'!$AF25=1,'Rent Roll'!G25,"")</f>
        <v/>
      </c>
      <c r="CI1539" s="1547" t="str">
        <f ca="1">IF('Rent Roll'!$AF25=1,'Rent Roll'!K25,"")</f>
        <v/>
      </c>
      <c r="CJ1539" s="1551" t="str">
        <f ca="1">IF('Rent Roll'!$AF25=1,'Rent Roll'!N25,"")</f>
        <v/>
      </c>
      <c r="CK1539" s="223"/>
      <c r="CL1539" s="6"/>
      <c r="CM1539" s="10"/>
    </row>
    <row r="1540" spans="1:91" ht="15.95" hidden="1" customHeight="1" x14ac:dyDescent="0.25">
      <c r="A1540" s="957">
        <f t="shared" ca="1" si="51"/>
        <v>0</v>
      </c>
      <c r="CE1540" s="4"/>
      <c r="CF1540" s="5"/>
      <c r="CG1540" s="5" t="str">
        <f ca="1">IF('Rent Roll'!$AF26=1,'Rent Roll'!E26,"")</f>
        <v/>
      </c>
      <c r="CH1540" s="39" t="str">
        <f ca="1">IF('Rent Roll'!$AF26=1,'Rent Roll'!G26,"")</f>
        <v/>
      </c>
      <c r="CI1540" s="1547" t="str">
        <f ca="1">IF('Rent Roll'!$AF26=1,'Rent Roll'!K26,"")</f>
        <v/>
      </c>
      <c r="CJ1540" s="1551" t="str">
        <f ca="1">IF('Rent Roll'!$AF26=1,'Rent Roll'!N26,"")</f>
        <v/>
      </c>
      <c r="CK1540" s="223"/>
      <c r="CL1540" s="6"/>
      <c r="CM1540" s="10"/>
    </row>
    <row r="1541" spans="1:91" ht="15.95" hidden="1" customHeight="1" x14ac:dyDescent="0.25">
      <c r="A1541" s="957">
        <f t="shared" ca="1" si="51"/>
        <v>0</v>
      </c>
      <c r="CE1541" s="4"/>
      <c r="CF1541" s="5"/>
      <c r="CG1541" s="5" t="str">
        <f ca="1">IF('Rent Roll'!$AF27=1,'Rent Roll'!E27,"")</f>
        <v/>
      </c>
      <c r="CH1541" s="39" t="str">
        <f ca="1">IF('Rent Roll'!$AF27=1,'Rent Roll'!G27,"")</f>
        <v/>
      </c>
      <c r="CI1541" s="1547" t="str">
        <f ca="1">IF('Rent Roll'!$AF27=1,'Rent Roll'!K27,"")</f>
        <v/>
      </c>
      <c r="CJ1541" s="1551" t="str">
        <f ca="1">IF('Rent Roll'!$AF27=1,'Rent Roll'!N27,"")</f>
        <v/>
      </c>
      <c r="CK1541" s="223"/>
      <c r="CL1541" s="6"/>
      <c r="CM1541" s="10"/>
    </row>
    <row r="1542" spans="1:91" ht="15.95" hidden="1" customHeight="1" x14ac:dyDescent="0.25">
      <c r="A1542" s="957">
        <f t="shared" ca="1" si="51"/>
        <v>0</v>
      </c>
      <c r="CE1542" s="4"/>
      <c r="CF1542" s="5"/>
      <c r="CG1542" s="5" t="str">
        <f ca="1">IF('Rent Roll'!$AF28=1,'Rent Roll'!E28,"")</f>
        <v/>
      </c>
      <c r="CH1542" s="39" t="str">
        <f ca="1">IF('Rent Roll'!$AF28=1,'Rent Roll'!G28,"")</f>
        <v/>
      </c>
      <c r="CI1542" s="1547" t="str">
        <f ca="1">IF('Rent Roll'!$AF28=1,'Rent Roll'!K28,"")</f>
        <v/>
      </c>
      <c r="CJ1542" s="1551" t="str">
        <f ca="1">IF('Rent Roll'!$AF28=1,'Rent Roll'!N28,"")</f>
        <v/>
      </c>
      <c r="CK1542" s="223"/>
      <c r="CL1542" s="6"/>
      <c r="CM1542" s="10"/>
    </row>
    <row r="1543" spans="1:91" ht="15.95" hidden="1" customHeight="1" x14ac:dyDescent="0.25">
      <c r="A1543" s="957">
        <f t="shared" ca="1" si="51"/>
        <v>0</v>
      </c>
      <c r="CE1543" s="4"/>
      <c r="CF1543" s="5"/>
      <c r="CG1543" s="5" t="str">
        <f ca="1">IF('Rent Roll'!$AF29=1,'Rent Roll'!E29,"")</f>
        <v/>
      </c>
      <c r="CH1543" s="39" t="str">
        <f ca="1">IF('Rent Roll'!$AF29=1,'Rent Roll'!G29,"")</f>
        <v/>
      </c>
      <c r="CI1543" s="1547" t="str">
        <f ca="1">IF('Rent Roll'!$AF29=1,'Rent Roll'!K29,"")</f>
        <v/>
      </c>
      <c r="CJ1543" s="1551" t="str">
        <f ca="1">IF('Rent Roll'!$AF29=1,'Rent Roll'!N29,"")</f>
        <v/>
      </c>
      <c r="CK1543" s="223"/>
      <c r="CL1543" s="6"/>
      <c r="CM1543" s="10"/>
    </row>
    <row r="1544" spans="1:91" ht="15.95" hidden="1" customHeight="1" x14ac:dyDescent="0.25">
      <c r="A1544" s="957">
        <f t="shared" ca="1" si="51"/>
        <v>0</v>
      </c>
      <c r="CE1544" s="4"/>
      <c r="CF1544" s="5"/>
      <c r="CG1544" s="5" t="str">
        <f ca="1">IF('Rent Roll'!$AF30=1,'Rent Roll'!E30,"")</f>
        <v/>
      </c>
      <c r="CH1544" s="39" t="str">
        <f ca="1">IF('Rent Roll'!$AF30=1,'Rent Roll'!G30,"")</f>
        <v/>
      </c>
      <c r="CI1544" s="1547" t="str">
        <f ca="1">IF('Rent Roll'!$AF30=1,'Rent Roll'!K30,"")</f>
        <v/>
      </c>
      <c r="CJ1544" s="1551" t="str">
        <f ca="1">IF('Rent Roll'!$AF30=1,'Rent Roll'!N30,"")</f>
        <v/>
      </c>
      <c r="CK1544" s="223"/>
      <c r="CL1544" s="6"/>
      <c r="CM1544" s="10"/>
    </row>
    <row r="1545" spans="1:91" ht="15.95" hidden="1" customHeight="1" x14ac:dyDescent="0.25">
      <c r="A1545" s="957">
        <f t="shared" ca="1" si="51"/>
        <v>0</v>
      </c>
      <c r="CE1545" s="4"/>
      <c r="CF1545" s="5"/>
      <c r="CG1545" s="5" t="str">
        <f ca="1">IF('Rent Roll'!$AF31=1,'Rent Roll'!E31,"")</f>
        <v/>
      </c>
      <c r="CH1545" s="39" t="str">
        <f ca="1">IF('Rent Roll'!$AF31=1,'Rent Roll'!G31,"")</f>
        <v/>
      </c>
      <c r="CI1545" s="1547" t="str">
        <f ca="1">IF('Rent Roll'!$AF31=1,'Rent Roll'!K31,"")</f>
        <v/>
      </c>
      <c r="CJ1545" s="1551" t="str">
        <f ca="1">IF('Rent Roll'!$AF31=1,'Rent Roll'!N31,"")</f>
        <v/>
      </c>
      <c r="CK1545" s="223"/>
      <c r="CL1545" s="6"/>
      <c r="CM1545" s="10"/>
    </row>
    <row r="1546" spans="1:91" ht="15.95" hidden="1" customHeight="1" x14ac:dyDescent="0.25">
      <c r="A1546" s="957">
        <f t="shared" ca="1" si="51"/>
        <v>0</v>
      </c>
      <c r="CE1546" s="4"/>
      <c r="CF1546" s="5"/>
      <c r="CG1546" s="5" t="str">
        <f ca="1">IF('Rent Roll'!$AF32=1,'Rent Roll'!E32,"")</f>
        <v/>
      </c>
      <c r="CH1546" s="39" t="str">
        <f ca="1">IF('Rent Roll'!$AF32=1,'Rent Roll'!G32,"")</f>
        <v/>
      </c>
      <c r="CI1546" s="1547" t="str">
        <f ca="1">IF('Rent Roll'!$AF32=1,'Rent Roll'!K32,"")</f>
        <v/>
      </c>
      <c r="CJ1546" s="1551" t="str">
        <f ca="1">IF('Rent Roll'!$AF32=1,'Rent Roll'!N32,"")</f>
        <v/>
      </c>
      <c r="CK1546" s="223"/>
      <c r="CL1546" s="6"/>
      <c r="CM1546" s="10"/>
    </row>
    <row r="1547" spans="1:91" ht="15.95" hidden="1" customHeight="1" x14ac:dyDescent="0.25">
      <c r="A1547" s="957">
        <f t="shared" ca="1" si="51"/>
        <v>0</v>
      </c>
      <c r="CE1547" s="4"/>
      <c r="CF1547" s="5"/>
      <c r="CG1547" s="5" t="str">
        <f ca="1">IF('Rent Roll'!$AF33=1,'Rent Roll'!E33,"")</f>
        <v/>
      </c>
      <c r="CH1547" s="39" t="str">
        <f ca="1">IF('Rent Roll'!$AF33=1,'Rent Roll'!G33,"")</f>
        <v/>
      </c>
      <c r="CI1547" s="1547" t="str">
        <f ca="1">IF('Rent Roll'!$AF33=1,'Rent Roll'!K33,"")</f>
        <v/>
      </c>
      <c r="CJ1547" s="1551" t="str">
        <f ca="1">IF('Rent Roll'!$AF33=1,'Rent Roll'!N33,"")</f>
        <v/>
      </c>
      <c r="CK1547" s="223"/>
      <c r="CL1547" s="6"/>
      <c r="CM1547" s="10"/>
    </row>
    <row r="1548" spans="1:91" ht="15.95" hidden="1" customHeight="1" x14ac:dyDescent="0.25">
      <c r="A1548" s="957">
        <f t="shared" ca="1" si="51"/>
        <v>0</v>
      </c>
      <c r="CE1548" s="4"/>
      <c r="CF1548" s="5"/>
      <c r="CG1548" s="5" t="str">
        <f ca="1">IF('Rent Roll'!$AF34=1,'Rent Roll'!E34,"")</f>
        <v/>
      </c>
      <c r="CH1548" s="39" t="str">
        <f ca="1">IF('Rent Roll'!$AF34=1,'Rent Roll'!G34,"")</f>
        <v/>
      </c>
      <c r="CI1548" s="1547" t="str">
        <f ca="1">IF('Rent Roll'!$AF34=1,'Rent Roll'!K34,"")</f>
        <v/>
      </c>
      <c r="CJ1548" s="1551" t="str">
        <f ca="1">IF('Rent Roll'!$AF34=1,'Rent Roll'!N34,"")</f>
        <v/>
      </c>
      <c r="CK1548" s="223"/>
      <c r="CL1548" s="6"/>
      <c r="CM1548" s="10"/>
    </row>
    <row r="1549" spans="1:91" ht="15.95" hidden="1" customHeight="1" x14ac:dyDescent="0.25">
      <c r="A1549" s="957">
        <f t="shared" ca="1" si="51"/>
        <v>0</v>
      </c>
      <c r="CE1549" s="4"/>
      <c r="CF1549" s="5"/>
      <c r="CG1549" s="5" t="str">
        <f ca="1">IF('Rent Roll'!$AF35=1,'Rent Roll'!E35,"")</f>
        <v/>
      </c>
      <c r="CH1549" s="39" t="str">
        <f ca="1">IF('Rent Roll'!$AF35=1,'Rent Roll'!G35,"")</f>
        <v/>
      </c>
      <c r="CI1549" s="1547" t="str">
        <f ca="1">IF('Rent Roll'!$AF35=1,'Rent Roll'!K35,"")</f>
        <v/>
      </c>
      <c r="CJ1549" s="1551" t="str">
        <f ca="1">IF('Rent Roll'!$AF35=1,'Rent Roll'!N35,"")</f>
        <v/>
      </c>
      <c r="CK1549" s="223"/>
      <c r="CL1549" s="6"/>
      <c r="CM1549" s="10"/>
    </row>
    <row r="1550" spans="1:91" ht="15.95" hidden="1" customHeight="1" x14ac:dyDescent="0.25">
      <c r="A1550" s="957">
        <f t="shared" ca="1" si="51"/>
        <v>0</v>
      </c>
      <c r="CE1550" s="4"/>
      <c r="CF1550" s="5"/>
      <c r="CG1550" s="5" t="str">
        <f ca="1">IF('Rent Roll'!$AF36=1,'Rent Roll'!E36,"")</f>
        <v/>
      </c>
      <c r="CH1550" s="39" t="str">
        <f ca="1">IF('Rent Roll'!$AF36=1,'Rent Roll'!G36,"")</f>
        <v/>
      </c>
      <c r="CI1550" s="1547" t="str">
        <f ca="1">IF('Rent Roll'!$AF36=1,'Rent Roll'!K36,"")</f>
        <v/>
      </c>
      <c r="CJ1550" s="1551" t="str">
        <f ca="1">IF('Rent Roll'!$AF36=1,'Rent Roll'!N36,"")</f>
        <v/>
      </c>
      <c r="CK1550" s="223"/>
      <c r="CL1550" s="6"/>
      <c r="CM1550" s="10"/>
    </row>
    <row r="1551" spans="1:91" ht="15.95" hidden="1" customHeight="1" x14ac:dyDescent="0.25">
      <c r="A1551" s="957">
        <f t="shared" ca="1" si="51"/>
        <v>0</v>
      </c>
      <c r="CE1551" s="4"/>
      <c r="CF1551" s="5"/>
      <c r="CG1551" s="5" t="str">
        <f ca="1">IF('Rent Roll'!$AF37=1,'Rent Roll'!E37,"")</f>
        <v/>
      </c>
      <c r="CH1551" s="39" t="str">
        <f ca="1">IF('Rent Roll'!$AF37=1,'Rent Roll'!G37,"")</f>
        <v/>
      </c>
      <c r="CI1551" s="1547" t="str">
        <f ca="1">IF('Rent Roll'!$AF37=1,'Rent Roll'!K37,"")</f>
        <v/>
      </c>
      <c r="CJ1551" s="1551" t="str">
        <f ca="1">IF('Rent Roll'!$AF37=1,'Rent Roll'!N37,"")</f>
        <v/>
      </c>
      <c r="CK1551" s="223"/>
      <c r="CL1551" s="6"/>
      <c r="CM1551" s="10"/>
    </row>
    <row r="1552" spans="1:91" ht="15.95" hidden="1" customHeight="1" x14ac:dyDescent="0.25">
      <c r="A1552" s="957">
        <f t="shared" ca="1" si="51"/>
        <v>0</v>
      </c>
      <c r="CE1552" s="4"/>
      <c r="CF1552" s="5"/>
      <c r="CG1552" s="5" t="str">
        <f ca="1">IF('Rent Roll'!$AF38=1,'Rent Roll'!E38,"")</f>
        <v/>
      </c>
      <c r="CH1552" s="39" t="str">
        <f ca="1">IF('Rent Roll'!$AF38=1,'Rent Roll'!G38,"")</f>
        <v/>
      </c>
      <c r="CI1552" s="1547" t="str">
        <f ca="1">IF('Rent Roll'!$AF38=1,'Rent Roll'!K38,"")</f>
        <v/>
      </c>
      <c r="CJ1552" s="1551" t="str">
        <f ca="1">IF('Rent Roll'!$AF38=1,'Rent Roll'!N38,"")</f>
        <v/>
      </c>
      <c r="CK1552" s="223"/>
      <c r="CL1552" s="6"/>
      <c r="CM1552" s="10"/>
    </row>
    <row r="1553" spans="1:91" ht="15.95" hidden="1" customHeight="1" x14ac:dyDescent="0.25">
      <c r="A1553" s="957">
        <f t="shared" ref="A1553:A1584" ca="1" si="52">IF(CG1553="",0,1)</f>
        <v>0</v>
      </c>
      <c r="CE1553" s="4"/>
      <c r="CF1553" s="5"/>
      <c r="CG1553" s="5" t="str">
        <f ca="1">IF('Rent Roll'!$AF39=1,'Rent Roll'!E39,"")</f>
        <v/>
      </c>
      <c r="CH1553" s="39" t="str">
        <f ca="1">IF('Rent Roll'!$AF39=1,'Rent Roll'!G39,"")</f>
        <v/>
      </c>
      <c r="CI1553" s="1547" t="str">
        <f ca="1">IF('Rent Roll'!$AF39=1,'Rent Roll'!K39,"")</f>
        <v/>
      </c>
      <c r="CJ1553" s="1551" t="str">
        <f ca="1">IF('Rent Roll'!$AF39=1,'Rent Roll'!N39,"")</f>
        <v/>
      </c>
      <c r="CK1553" s="223"/>
      <c r="CL1553" s="6"/>
      <c r="CM1553" s="10"/>
    </row>
    <row r="1554" spans="1:91" ht="15.95" hidden="1" customHeight="1" x14ac:dyDescent="0.25">
      <c r="A1554" s="957">
        <f t="shared" ca="1" si="52"/>
        <v>0</v>
      </c>
      <c r="CE1554" s="4"/>
      <c r="CF1554" s="5"/>
      <c r="CG1554" s="5" t="str">
        <f ca="1">IF('Rent Roll'!$AF40=1,'Rent Roll'!E40,"")</f>
        <v/>
      </c>
      <c r="CH1554" s="39" t="str">
        <f ca="1">IF('Rent Roll'!$AF40=1,'Rent Roll'!G40,"")</f>
        <v/>
      </c>
      <c r="CI1554" s="1547" t="str">
        <f ca="1">IF('Rent Roll'!$AF40=1,'Rent Roll'!K40,"")</f>
        <v/>
      </c>
      <c r="CJ1554" s="1551" t="str">
        <f ca="1">IF('Rent Roll'!$AF40=1,'Rent Roll'!N40,"")</f>
        <v/>
      </c>
      <c r="CK1554" s="223"/>
      <c r="CL1554" s="6"/>
      <c r="CM1554" s="10"/>
    </row>
    <row r="1555" spans="1:91" ht="15.95" hidden="1" customHeight="1" x14ac:dyDescent="0.25">
      <c r="A1555" s="957">
        <f t="shared" ca="1" si="52"/>
        <v>0</v>
      </c>
      <c r="CE1555" s="4"/>
      <c r="CF1555" s="5"/>
      <c r="CG1555" s="5" t="str">
        <f ca="1">IF('Rent Roll'!$AF41=1,'Rent Roll'!E41,"")</f>
        <v/>
      </c>
      <c r="CH1555" s="39" t="str">
        <f ca="1">IF('Rent Roll'!$AF41=1,'Rent Roll'!G41,"")</f>
        <v/>
      </c>
      <c r="CI1555" s="1547" t="str">
        <f ca="1">IF('Rent Roll'!$AF41=1,'Rent Roll'!K41,"")</f>
        <v/>
      </c>
      <c r="CJ1555" s="1551" t="str">
        <f ca="1">IF('Rent Roll'!$AF41=1,'Rent Roll'!N41,"")</f>
        <v/>
      </c>
      <c r="CK1555" s="223"/>
      <c r="CL1555" s="6"/>
      <c r="CM1555" s="10"/>
    </row>
    <row r="1556" spans="1:91" ht="15.95" hidden="1" customHeight="1" x14ac:dyDescent="0.25">
      <c r="A1556" s="957">
        <f t="shared" ca="1" si="52"/>
        <v>0</v>
      </c>
      <c r="CE1556" s="4"/>
      <c r="CF1556" s="5"/>
      <c r="CG1556" s="5" t="str">
        <f ca="1">IF('Rent Roll'!$AF42=1,'Rent Roll'!E42,"")</f>
        <v/>
      </c>
      <c r="CH1556" s="39" t="str">
        <f ca="1">IF('Rent Roll'!$AF42=1,'Rent Roll'!G42,"")</f>
        <v/>
      </c>
      <c r="CI1556" s="1547" t="str">
        <f ca="1">IF('Rent Roll'!$AF42=1,'Rent Roll'!K42,"")</f>
        <v/>
      </c>
      <c r="CJ1556" s="1551" t="str">
        <f ca="1">IF('Rent Roll'!$AF42=1,'Rent Roll'!N42,"")</f>
        <v/>
      </c>
      <c r="CK1556" s="223"/>
      <c r="CL1556" s="6"/>
      <c r="CM1556" s="10"/>
    </row>
    <row r="1557" spans="1:91" ht="15.95" hidden="1" customHeight="1" x14ac:dyDescent="0.25">
      <c r="A1557" s="957">
        <f t="shared" ca="1" si="52"/>
        <v>0</v>
      </c>
      <c r="CE1557" s="4"/>
      <c r="CF1557" s="5"/>
      <c r="CG1557" s="5" t="str">
        <f ca="1">IF('Rent Roll'!$AF43=1,'Rent Roll'!E43,"")</f>
        <v/>
      </c>
      <c r="CH1557" s="39" t="str">
        <f ca="1">IF('Rent Roll'!$AF43=1,'Rent Roll'!G43,"")</f>
        <v/>
      </c>
      <c r="CI1557" s="1547" t="str">
        <f ca="1">IF('Rent Roll'!$AF43=1,'Rent Roll'!K43,"")</f>
        <v/>
      </c>
      <c r="CJ1557" s="1551" t="str">
        <f ca="1">IF('Rent Roll'!$AF43=1,'Rent Roll'!N43,"")</f>
        <v/>
      </c>
      <c r="CK1557" s="223"/>
      <c r="CL1557" s="6"/>
      <c r="CM1557" s="10"/>
    </row>
    <row r="1558" spans="1:91" ht="15.95" hidden="1" customHeight="1" x14ac:dyDescent="0.25">
      <c r="A1558" s="957">
        <f t="shared" ca="1" si="52"/>
        <v>0</v>
      </c>
      <c r="CE1558" s="4"/>
      <c r="CF1558" s="5"/>
      <c r="CG1558" s="5" t="str">
        <f ca="1">IF('Rent Roll'!$AF44=1,'Rent Roll'!E44,"")</f>
        <v/>
      </c>
      <c r="CH1558" s="39" t="str">
        <f ca="1">IF('Rent Roll'!$AF44=1,'Rent Roll'!G44,"")</f>
        <v/>
      </c>
      <c r="CI1558" s="1547" t="str">
        <f ca="1">IF('Rent Roll'!$AF44=1,'Rent Roll'!K44,"")</f>
        <v/>
      </c>
      <c r="CJ1558" s="1551" t="str">
        <f ca="1">IF('Rent Roll'!$AF44=1,'Rent Roll'!N44,"")</f>
        <v/>
      </c>
      <c r="CK1558" s="223"/>
      <c r="CL1558" s="6"/>
      <c r="CM1558" s="10"/>
    </row>
    <row r="1559" spans="1:91" ht="15.95" hidden="1" customHeight="1" x14ac:dyDescent="0.25">
      <c r="A1559" s="957">
        <f t="shared" ca="1" si="52"/>
        <v>0</v>
      </c>
      <c r="CE1559" s="4"/>
      <c r="CF1559" s="5"/>
      <c r="CG1559" s="5" t="str">
        <f ca="1">IF('Rent Roll'!$AF45=1,'Rent Roll'!E45,"")</f>
        <v/>
      </c>
      <c r="CH1559" s="39" t="str">
        <f ca="1">IF('Rent Roll'!$AF45=1,'Rent Roll'!G45,"")</f>
        <v/>
      </c>
      <c r="CI1559" s="1547" t="str">
        <f ca="1">IF('Rent Roll'!$AF45=1,'Rent Roll'!K45,"")</f>
        <v/>
      </c>
      <c r="CJ1559" s="1551" t="str">
        <f ca="1">IF('Rent Roll'!$AF45=1,'Rent Roll'!N45,"")</f>
        <v/>
      </c>
      <c r="CK1559" s="223"/>
      <c r="CL1559" s="6"/>
      <c r="CM1559" s="10"/>
    </row>
    <row r="1560" spans="1:91" ht="15.95" hidden="1" customHeight="1" x14ac:dyDescent="0.25">
      <c r="A1560" s="957">
        <f t="shared" ca="1" si="52"/>
        <v>0</v>
      </c>
      <c r="CE1560" s="4"/>
      <c r="CF1560" s="5"/>
      <c r="CG1560" s="5" t="str">
        <f ca="1">IF('Rent Roll'!$AF46=1,'Rent Roll'!E46,"")</f>
        <v/>
      </c>
      <c r="CH1560" s="39" t="str">
        <f ca="1">IF('Rent Roll'!$AF46=1,'Rent Roll'!G46,"")</f>
        <v/>
      </c>
      <c r="CI1560" s="1547" t="str">
        <f ca="1">IF('Rent Roll'!$AF46=1,'Rent Roll'!K46,"")</f>
        <v/>
      </c>
      <c r="CJ1560" s="1551" t="str">
        <f ca="1">IF('Rent Roll'!$AF46=1,'Rent Roll'!N46,"")</f>
        <v/>
      </c>
      <c r="CK1560" s="223"/>
      <c r="CL1560" s="6"/>
      <c r="CM1560" s="10"/>
    </row>
    <row r="1561" spans="1:91" ht="15.95" hidden="1" customHeight="1" x14ac:dyDescent="0.25">
      <c r="A1561" s="957">
        <f t="shared" ca="1" si="52"/>
        <v>0</v>
      </c>
      <c r="CE1561" s="4"/>
      <c r="CF1561" s="5"/>
      <c r="CG1561" s="5" t="str">
        <f ca="1">IF('Rent Roll'!$AF47=1,'Rent Roll'!E47,"")</f>
        <v/>
      </c>
      <c r="CH1561" s="39" t="str">
        <f ca="1">IF('Rent Roll'!$AF47=1,'Rent Roll'!G47,"")</f>
        <v/>
      </c>
      <c r="CI1561" s="1547" t="str">
        <f ca="1">IF('Rent Roll'!$AF47=1,'Rent Roll'!K47,"")</f>
        <v/>
      </c>
      <c r="CJ1561" s="1551" t="str">
        <f ca="1">IF('Rent Roll'!$AF47=1,'Rent Roll'!N47,"")</f>
        <v/>
      </c>
      <c r="CK1561" s="223"/>
      <c r="CL1561" s="6"/>
      <c r="CM1561" s="10"/>
    </row>
    <row r="1562" spans="1:91" ht="15.95" hidden="1" customHeight="1" x14ac:dyDescent="0.25">
      <c r="A1562" s="957">
        <f t="shared" ca="1" si="52"/>
        <v>0</v>
      </c>
      <c r="CE1562" s="4"/>
      <c r="CF1562" s="5"/>
      <c r="CG1562" s="5" t="str">
        <f ca="1">IF('Rent Roll'!$AF48=1,'Rent Roll'!E48,"")</f>
        <v/>
      </c>
      <c r="CH1562" s="39" t="str">
        <f ca="1">IF('Rent Roll'!$AF48=1,'Rent Roll'!G48,"")</f>
        <v/>
      </c>
      <c r="CI1562" s="1547" t="str">
        <f ca="1">IF('Rent Roll'!$AF48=1,'Rent Roll'!K48,"")</f>
        <v/>
      </c>
      <c r="CJ1562" s="1551" t="str">
        <f ca="1">IF('Rent Roll'!$AF48=1,'Rent Roll'!N48,"")</f>
        <v/>
      </c>
      <c r="CK1562" s="223"/>
      <c r="CL1562" s="6"/>
      <c r="CM1562" s="10"/>
    </row>
    <row r="1563" spans="1:91" ht="15.95" hidden="1" customHeight="1" x14ac:dyDescent="0.25">
      <c r="A1563" s="957">
        <f t="shared" ca="1" si="52"/>
        <v>0</v>
      </c>
      <c r="CE1563" s="4"/>
      <c r="CF1563" s="5"/>
      <c r="CG1563" s="5" t="str">
        <f ca="1">IF('Rent Roll'!$AF49=1,'Rent Roll'!E49,"")</f>
        <v/>
      </c>
      <c r="CH1563" s="39" t="str">
        <f ca="1">IF('Rent Roll'!$AF49=1,'Rent Roll'!G49,"")</f>
        <v/>
      </c>
      <c r="CI1563" s="1547" t="str">
        <f ca="1">IF('Rent Roll'!$AF49=1,'Rent Roll'!K49,"")</f>
        <v/>
      </c>
      <c r="CJ1563" s="1551" t="str">
        <f ca="1">IF('Rent Roll'!$AF49=1,'Rent Roll'!N49,"")</f>
        <v/>
      </c>
      <c r="CK1563" s="223"/>
      <c r="CL1563" s="6"/>
      <c r="CM1563" s="10"/>
    </row>
    <row r="1564" spans="1:91" ht="15.95" hidden="1" customHeight="1" x14ac:dyDescent="0.25">
      <c r="A1564" s="957">
        <f t="shared" ca="1" si="52"/>
        <v>0</v>
      </c>
      <c r="CE1564" s="4"/>
      <c r="CF1564" s="5"/>
      <c r="CG1564" s="5" t="str">
        <f ca="1">IF('Rent Roll'!$AF50=1,'Rent Roll'!E50,"")</f>
        <v/>
      </c>
      <c r="CH1564" s="39" t="str">
        <f ca="1">IF('Rent Roll'!$AF50=1,'Rent Roll'!G50,"")</f>
        <v/>
      </c>
      <c r="CI1564" s="1547" t="str">
        <f ca="1">IF('Rent Roll'!$AF50=1,'Rent Roll'!K50,"")</f>
        <v/>
      </c>
      <c r="CJ1564" s="1551" t="str">
        <f ca="1">IF('Rent Roll'!$AF50=1,'Rent Roll'!N50,"")</f>
        <v/>
      </c>
      <c r="CK1564" s="223"/>
      <c r="CL1564" s="6"/>
      <c r="CM1564" s="10"/>
    </row>
    <row r="1565" spans="1:91" ht="15.95" hidden="1" customHeight="1" x14ac:dyDescent="0.25">
      <c r="A1565" s="957">
        <f t="shared" ca="1" si="52"/>
        <v>0</v>
      </c>
      <c r="CE1565" s="4"/>
      <c r="CF1565" s="5"/>
      <c r="CG1565" s="5" t="str">
        <f ca="1">IF('Rent Roll'!$AF51=1,'Rent Roll'!E51,"")</f>
        <v/>
      </c>
      <c r="CH1565" s="39" t="str">
        <f ca="1">IF('Rent Roll'!$AF51=1,'Rent Roll'!G51,"")</f>
        <v/>
      </c>
      <c r="CI1565" s="1547" t="str">
        <f ca="1">IF('Rent Roll'!$AF51=1,'Rent Roll'!K51,"")</f>
        <v/>
      </c>
      <c r="CJ1565" s="1551" t="str">
        <f ca="1">IF('Rent Roll'!$AF51=1,'Rent Roll'!N51,"")</f>
        <v/>
      </c>
      <c r="CK1565" s="223"/>
      <c r="CL1565" s="6"/>
      <c r="CM1565" s="10"/>
    </row>
    <row r="1566" spans="1:91" ht="15.95" hidden="1" customHeight="1" x14ac:dyDescent="0.25">
      <c r="A1566" s="957">
        <f t="shared" ca="1" si="52"/>
        <v>0</v>
      </c>
      <c r="CE1566" s="4"/>
      <c r="CF1566" s="5"/>
      <c r="CG1566" s="5" t="str">
        <f ca="1">IF('Rent Roll'!$AF52=1,'Rent Roll'!E52,"")</f>
        <v/>
      </c>
      <c r="CH1566" s="39" t="str">
        <f ca="1">IF('Rent Roll'!$AF52=1,'Rent Roll'!G52,"")</f>
        <v/>
      </c>
      <c r="CI1566" s="1547" t="str">
        <f ca="1">IF('Rent Roll'!$AF52=1,'Rent Roll'!K52,"")</f>
        <v/>
      </c>
      <c r="CJ1566" s="1551" t="str">
        <f ca="1">IF('Rent Roll'!$AF52=1,'Rent Roll'!N52,"")</f>
        <v/>
      </c>
      <c r="CK1566" s="223"/>
      <c r="CL1566" s="6"/>
      <c r="CM1566" s="10"/>
    </row>
    <row r="1567" spans="1:91" ht="15.95" hidden="1" customHeight="1" x14ac:dyDescent="0.25">
      <c r="A1567" s="957">
        <f t="shared" ca="1" si="52"/>
        <v>0</v>
      </c>
      <c r="CE1567" s="4"/>
      <c r="CF1567" s="5"/>
      <c r="CG1567" s="5" t="str">
        <f ca="1">IF('Rent Roll'!$AF53=1,'Rent Roll'!E53,"")</f>
        <v/>
      </c>
      <c r="CH1567" s="39" t="str">
        <f ca="1">IF('Rent Roll'!$AF53=1,'Rent Roll'!G53,"")</f>
        <v/>
      </c>
      <c r="CI1567" s="1547" t="str">
        <f ca="1">IF('Rent Roll'!$AF53=1,'Rent Roll'!K53,"")</f>
        <v/>
      </c>
      <c r="CJ1567" s="1551" t="str">
        <f ca="1">IF('Rent Roll'!$AF53=1,'Rent Roll'!N53,"")</f>
        <v/>
      </c>
      <c r="CK1567" s="223"/>
      <c r="CL1567" s="6"/>
      <c r="CM1567" s="10"/>
    </row>
    <row r="1568" spans="1:91" ht="15.95" hidden="1" customHeight="1" x14ac:dyDescent="0.25">
      <c r="A1568" s="957">
        <f t="shared" ca="1" si="52"/>
        <v>0</v>
      </c>
      <c r="CE1568" s="4"/>
      <c r="CF1568" s="5"/>
      <c r="CG1568" s="5" t="str">
        <f ca="1">IF('Rent Roll'!$AF54=1,'Rent Roll'!E54,"")</f>
        <v/>
      </c>
      <c r="CH1568" s="39" t="str">
        <f ca="1">IF('Rent Roll'!$AF54=1,'Rent Roll'!G54,"")</f>
        <v/>
      </c>
      <c r="CI1568" s="1547" t="str">
        <f ca="1">IF('Rent Roll'!$AF54=1,'Rent Roll'!K54,"")</f>
        <v/>
      </c>
      <c r="CJ1568" s="1551" t="str">
        <f ca="1">IF('Rent Roll'!$AF54=1,'Rent Roll'!N54,"")</f>
        <v/>
      </c>
      <c r="CK1568" s="223"/>
      <c r="CL1568" s="6"/>
      <c r="CM1568" s="10"/>
    </row>
    <row r="1569" spans="1:91" ht="15.95" hidden="1" customHeight="1" x14ac:dyDescent="0.25">
      <c r="A1569" s="957">
        <f t="shared" ca="1" si="52"/>
        <v>0</v>
      </c>
      <c r="CE1569" s="4"/>
      <c r="CF1569" s="5"/>
      <c r="CG1569" s="5" t="str">
        <f ca="1">IF('Rent Roll'!$AF55=1,'Rent Roll'!E55,"")</f>
        <v/>
      </c>
      <c r="CH1569" s="39" t="str">
        <f ca="1">IF('Rent Roll'!$AF55=1,'Rent Roll'!G55,"")</f>
        <v/>
      </c>
      <c r="CI1569" s="1547" t="str">
        <f ca="1">IF('Rent Roll'!$AF55=1,'Rent Roll'!K55,"")</f>
        <v/>
      </c>
      <c r="CJ1569" s="1551" t="str">
        <f ca="1">IF('Rent Roll'!$AF55=1,'Rent Roll'!N55,"")</f>
        <v/>
      </c>
      <c r="CK1569" s="223"/>
      <c r="CL1569" s="6"/>
      <c r="CM1569" s="10"/>
    </row>
    <row r="1570" spans="1:91" ht="15.95" hidden="1" customHeight="1" x14ac:dyDescent="0.25">
      <c r="A1570" s="957">
        <f t="shared" ca="1" si="52"/>
        <v>0</v>
      </c>
      <c r="CE1570" s="4"/>
      <c r="CF1570" s="5"/>
      <c r="CG1570" s="5" t="str">
        <f ca="1">IF('Rent Roll'!$AF56=1,'Rent Roll'!E56,"")</f>
        <v/>
      </c>
      <c r="CH1570" s="39" t="str">
        <f ca="1">IF('Rent Roll'!$AF56=1,'Rent Roll'!G56,"")</f>
        <v/>
      </c>
      <c r="CI1570" s="1547" t="str">
        <f ca="1">IF('Rent Roll'!$AF56=1,'Rent Roll'!K56,"")</f>
        <v/>
      </c>
      <c r="CJ1570" s="1551" t="str">
        <f ca="1">IF('Rent Roll'!$AF56=1,'Rent Roll'!N56,"")</f>
        <v/>
      </c>
      <c r="CK1570" s="223"/>
      <c r="CL1570" s="6"/>
      <c r="CM1570" s="10"/>
    </row>
    <row r="1571" spans="1:91" ht="15.95" hidden="1" customHeight="1" x14ac:dyDescent="0.25">
      <c r="A1571" s="957">
        <f t="shared" ca="1" si="52"/>
        <v>0</v>
      </c>
      <c r="CE1571" s="4"/>
      <c r="CF1571" s="5"/>
      <c r="CG1571" s="5" t="str">
        <f ca="1">IF('Rent Roll'!$AF57=1,'Rent Roll'!E57,"")</f>
        <v/>
      </c>
      <c r="CH1571" s="39" t="str">
        <f ca="1">IF('Rent Roll'!$AF57=1,'Rent Roll'!G57,"")</f>
        <v/>
      </c>
      <c r="CI1571" s="1547" t="str">
        <f ca="1">IF('Rent Roll'!$AF57=1,'Rent Roll'!K57,"")</f>
        <v/>
      </c>
      <c r="CJ1571" s="1551" t="str">
        <f ca="1">IF('Rent Roll'!$AF57=1,'Rent Roll'!N57,"")</f>
        <v/>
      </c>
      <c r="CK1571" s="223"/>
      <c r="CL1571" s="6"/>
      <c r="CM1571" s="10"/>
    </row>
    <row r="1572" spans="1:91" ht="15.95" hidden="1" customHeight="1" x14ac:dyDescent="0.25">
      <c r="A1572" s="957">
        <f t="shared" ca="1" si="52"/>
        <v>0</v>
      </c>
      <c r="CE1572" s="4"/>
      <c r="CF1572" s="5"/>
      <c r="CG1572" s="5" t="str">
        <f ca="1">IF('Rent Roll'!$AF58=1,'Rent Roll'!E58,"")</f>
        <v/>
      </c>
      <c r="CH1572" s="39" t="str">
        <f ca="1">IF('Rent Roll'!$AF58=1,'Rent Roll'!G58,"")</f>
        <v/>
      </c>
      <c r="CI1572" s="1547" t="str">
        <f ca="1">IF('Rent Roll'!$AF58=1,'Rent Roll'!K58,"")</f>
        <v/>
      </c>
      <c r="CJ1572" s="1551" t="str">
        <f ca="1">IF('Rent Roll'!$AF58=1,'Rent Roll'!N58,"")</f>
        <v/>
      </c>
      <c r="CK1572" s="223"/>
      <c r="CL1572" s="6"/>
      <c r="CM1572" s="10"/>
    </row>
    <row r="1573" spans="1:91" ht="15.95" hidden="1" customHeight="1" x14ac:dyDescent="0.25">
      <c r="A1573" s="957">
        <f t="shared" ca="1" si="52"/>
        <v>0</v>
      </c>
      <c r="CE1573" s="4"/>
      <c r="CF1573" s="5"/>
      <c r="CG1573" s="5" t="str">
        <f ca="1">IF('Rent Roll'!$AF59=1,'Rent Roll'!E59,"")</f>
        <v/>
      </c>
      <c r="CH1573" s="39" t="str">
        <f ca="1">IF('Rent Roll'!$AF59=1,'Rent Roll'!G59,"")</f>
        <v/>
      </c>
      <c r="CI1573" s="1547" t="str">
        <f ca="1">IF('Rent Roll'!$AF59=1,'Rent Roll'!K59,"")</f>
        <v/>
      </c>
      <c r="CJ1573" s="1551" t="str">
        <f ca="1">IF('Rent Roll'!$AF59=1,'Rent Roll'!N59,"")</f>
        <v/>
      </c>
      <c r="CK1573" s="223"/>
      <c r="CL1573" s="6"/>
      <c r="CM1573" s="10"/>
    </row>
    <row r="1574" spans="1:91" ht="15.95" hidden="1" customHeight="1" x14ac:dyDescent="0.25">
      <c r="A1574" s="957">
        <f t="shared" ca="1" si="52"/>
        <v>0</v>
      </c>
      <c r="CE1574" s="4"/>
      <c r="CF1574" s="5"/>
      <c r="CG1574" s="5" t="str">
        <f ca="1">IF('Rent Roll'!$AF60=1,'Rent Roll'!E60,"")</f>
        <v/>
      </c>
      <c r="CH1574" s="39" t="str">
        <f ca="1">IF('Rent Roll'!$AF60=1,'Rent Roll'!G60,"")</f>
        <v/>
      </c>
      <c r="CI1574" s="1547" t="str">
        <f ca="1">IF('Rent Roll'!$AF60=1,'Rent Roll'!K60,"")</f>
        <v/>
      </c>
      <c r="CJ1574" s="1551" t="str">
        <f ca="1">IF('Rent Roll'!$AF60=1,'Rent Roll'!N60,"")</f>
        <v/>
      </c>
      <c r="CK1574" s="223"/>
      <c r="CL1574" s="6"/>
      <c r="CM1574" s="10"/>
    </row>
    <row r="1575" spans="1:91" ht="15.95" hidden="1" customHeight="1" x14ac:dyDescent="0.25">
      <c r="A1575" s="957">
        <f t="shared" ca="1" si="52"/>
        <v>0</v>
      </c>
      <c r="CE1575" s="4"/>
      <c r="CF1575" s="5"/>
      <c r="CG1575" s="5" t="str">
        <f ca="1">IF('Rent Roll'!$AF61=1,'Rent Roll'!E61,"")</f>
        <v/>
      </c>
      <c r="CH1575" s="39" t="str">
        <f ca="1">IF('Rent Roll'!$AF61=1,'Rent Roll'!G61,"")</f>
        <v/>
      </c>
      <c r="CI1575" s="1547" t="str">
        <f ca="1">IF('Rent Roll'!$AF61=1,'Rent Roll'!K61,"")</f>
        <v/>
      </c>
      <c r="CJ1575" s="1551" t="str">
        <f ca="1">IF('Rent Roll'!$AF61=1,'Rent Roll'!N61,"")</f>
        <v/>
      </c>
      <c r="CK1575" s="223"/>
      <c r="CL1575" s="6"/>
      <c r="CM1575" s="10"/>
    </row>
    <row r="1576" spans="1:91" ht="15.95" hidden="1" customHeight="1" x14ac:dyDescent="0.25">
      <c r="A1576" s="957">
        <f t="shared" ca="1" si="52"/>
        <v>0</v>
      </c>
      <c r="CE1576" s="4"/>
      <c r="CF1576" s="5"/>
      <c r="CG1576" s="5" t="str">
        <f ca="1">IF('Rent Roll'!$AF62=1,'Rent Roll'!E62,"")</f>
        <v/>
      </c>
      <c r="CH1576" s="39" t="str">
        <f ca="1">IF('Rent Roll'!$AF62=1,'Rent Roll'!G62,"")</f>
        <v/>
      </c>
      <c r="CI1576" s="1547" t="str">
        <f ca="1">IF('Rent Roll'!$AF62=1,'Rent Roll'!K62,"")</f>
        <v/>
      </c>
      <c r="CJ1576" s="1551" t="str">
        <f ca="1">IF('Rent Roll'!$AF62=1,'Rent Roll'!N62,"")</f>
        <v/>
      </c>
      <c r="CK1576" s="223"/>
      <c r="CL1576" s="6"/>
      <c r="CM1576" s="10"/>
    </row>
    <row r="1577" spans="1:91" ht="15.95" hidden="1" customHeight="1" x14ac:dyDescent="0.25">
      <c r="A1577" s="957">
        <f t="shared" ca="1" si="52"/>
        <v>0</v>
      </c>
      <c r="CE1577" s="4"/>
      <c r="CF1577" s="5"/>
      <c r="CG1577" s="5" t="str">
        <f ca="1">IF('Rent Roll'!$AF63=1,'Rent Roll'!E63,"")</f>
        <v/>
      </c>
      <c r="CH1577" s="39" t="str">
        <f ca="1">IF('Rent Roll'!$AF63=1,'Rent Roll'!G63,"")</f>
        <v/>
      </c>
      <c r="CI1577" s="1547" t="str">
        <f ca="1">IF('Rent Roll'!$AF63=1,'Rent Roll'!K63,"")</f>
        <v/>
      </c>
      <c r="CJ1577" s="1551" t="str">
        <f ca="1">IF('Rent Roll'!$AF63=1,'Rent Roll'!N63,"")</f>
        <v/>
      </c>
      <c r="CK1577" s="223"/>
      <c r="CL1577" s="6"/>
      <c r="CM1577" s="10"/>
    </row>
    <row r="1578" spans="1:91" ht="15.95" hidden="1" customHeight="1" x14ac:dyDescent="0.25">
      <c r="A1578" s="957">
        <f t="shared" ca="1" si="52"/>
        <v>0</v>
      </c>
      <c r="CE1578" s="4"/>
      <c r="CF1578" s="5"/>
      <c r="CG1578" s="5" t="str">
        <f ca="1">IF('Rent Roll'!$AF64=1,'Rent Roll'!E64,"")</f>
        <v/>
      </c>
      <c r="CH1578" s="39" t="str">
        <f ca="1">IF('Rent Roll'!$AF64=1,'Rent Roll'!G64,"")</f>
        <v/>
      </c>
      <c r="CI1578" s="1547" t="str">
        <f ca="1">IF('Rent Roll'!$AF64=1,'Rent Roll'!K64,"")</f>
        <v/>
      </c>
      <c r="CJ1578" s="1551" t="str">
        <f ca="1">IF('Rent Roll'!$AF64=1,'Rent Roll'!N64,"")</f>
        <v/>
      </c>
      <c r="CK1578" s="223"/>
      <c r="CL1578" s="6"/>
      <c r="CM1578" s="10"/>
    </row>
    <row r="1579" spans="1:91" ht="15.95" hidden="1" customHeight="1" x14ac:dyDescent="0.25">
      <c r="A1579" s="957">
        <f t="shared" ca="1" si="52"/>
        <v>0</v>
      </c>
      <c r="CE1579" s="4"/>
      <c r="CF1579" s="5"/>
      <c r="CG1579" s="5" t="str">
        <f ca="1">IF('Rent Roll'!$AF65=1,'Rent Roll'!E65,"")</f>
        <v/>
      </c>
      <c r="CH1579" s="39" t="str">
        <f ca="1">IF('Rent Roll'!$AF65=1,'Rent Roll'!G65,"")</f>
        <v/>
      </c>
      <c r="CI1579" s="1547" t="str">
        <f ca="1">IF('Rent Roll'!$AF65=1,'Rent Roll'!K65,"")</f>
        <v/>
      </c>
      <c r="CJ1579" s="1551" t="str">
        <f ca="1">IF('Rent Roll'!$AF65=1,'Rent Roll'!N65,"")</f>
        <v/>
      </c>
      <c r="CK1579" s="223"/>
      <c r="CL1579" s="6"/>
      <c r="CM1579" s="10"/>
    </row>
    <row r="1580" spans="1:91" ht="15.95" hidden="1" customHeight="1" x14ac:dyDescent="0.25">
      <c r="A1580" s="957">
        <f t="shared" ca="1" si="52"/>
        <v>0</v>
      </c>
      <c r="CE1580" s="4"/>
      <c r="CF1580" s="5"/>
      <c r="CG1580" s="5" t="str">
        <f ca="1">IF('Rent Roll'!$AF66=1,'Rent Roll'!E66,"")</f>
        <v/>
      </c>
      <c r="CH1580" s="39" t="str">
        <f ca="1">IF('Rent Roll'!$AF66=1,'Rent Roll'!G66,"")</f>
        <v/>
      </c>
      <c r="CI1580" s="1547" t="str">
        <f ca="1">IF('Rent Roll'!$AF66=1,'Rent Roll'!K66,"")</f>
        <v/>
      </c>
      <c r="CJ1580" s="1551" t="str">
        <f ca="1">IF('Rent Roll'!$AF66=1,'Rent Roll'!N66,"")</f>
        <v/>
      </c>
      <c r="CK1580" s="223"/>
      <c r="CL1580" s="6"/>
      <c r="CM1580" s="10"/>
    </row>
    <row r="1581" spans="1:91" ht="15.95" hidden="1" customHeight="1" x14ac:dyDescent="0.25">
      <c r="A1581" s="957">
        <f t="shared" ca="1" si="52"/>
        <v>0</v>
      </c>
      <c r="CE1581" s="4"/>
      <c r="CF1581" s="5"/>
      <c r="CG1581" s="5" t="str">
        <f ca="1">IF('Rent Roll'!$AF67=1,'Rent Roll'!E67,"")</f>
        <v/>
      </c>
      <c r="CH1581" s="39" t="str">
        <f ca="1">IF('Rent Roll'!$AF67=1,'Rent Roll'!G67,"")</f>
        <v/>
      </c>
      <c r="CI1581" s="1547" t="str">
        <f ca="1">IF('Rent Roll'!$AF67=1,'Rent Roll'!K67,"")</f>
        <v/>
      </c>
      <c r="CJ1581" s="1551" t="str">
        <f ca="1">IF('Rent Roll'!$AF67=1,'Rent Roll'!N67,"")</f>
        <v/>
      </c>
      <c r="CK1581" s="223"/>
      <c r="CL1581" s="6"/>
      <c r="CM1581" s="10"/>
    </row>
    <row r="1582" spans="1:91" ht="15.95" hidden="1" customHeight="1" x14ac:dyDescent="0.25">
      <c r="A1582" s="957">
        <f t="shared" ca="1" si="52"/>
        <v>0</v>
      </c>
      <c r="CE1582" s="4"/>
      <c r="CF1582" s="5"/>
      <c r="CG1582" s="5" t="str">
        <f ca="1">IF('Rent Roll'!$AF68=1,'Rent Roll'!E68,"")</f>
        <v/>
      </c>
      <c r="CH1582" s="39" t="str">
        <f ca="1">IF('Rent Roll'!$AF68=1,'Rent Roll'!G68,"")</f>
        <v/>
      </c>
      <c r="CI1582" s="1547" t="str">
        <f ca="1">IF('Rent Roll'!$AF68=1,'Rent Roll'!K68,"")</f>
        <v/>
      </c>
      <c r="CJ1582" s="1551" t="str">
        <f ca="1">IF('Rent Roll'!$AF68=1,'Rent Roll'!N68,"")</f>
        <v/>
      </c>
      <c r="CK1582" s="223"/>
      <c r="CL1582" s="6"/>
      <c r="CM1582" s="10"/>
    </row>
    <row r="1583" spans="1:91" ht="15.95" hidden="1" customHeight="1" x14ac:dyDescent="0.25">
      <c r="A1583" s="957">
        <f t="shared" ca="1" si="52"/>
        <v>0</v>
      </c>
      <c r="CE1583" s="4"/>
      <c r="CF1583" s="5"/>
      <c r="CG1583" s="5" t="str">
        <f ca="1">IF('Rent Roll'!$AF69=1,'Rent Roll'!E69,"")</f>
        <v/>
      </c>
      <c r="CH1583" s="39" t="str">
        <f ca="1">IF('Rent Roll'!$AF69=1,'Rent Roll'!G69,"")</f>
        <v/>
      </c>
      <c r="CI1583" s="1547" t="str">
        <f ca="1">IF('Rent Roll'!$AF69=1,'Rent Roll'!K69,"")</f>
        <v/>
      </c>
      <c r="CJ1583" s="1551" t="str">
        <f ca="1">IF('Rent Roll'!$AF69=1,'Rent Roll'!N69,"")</f>
        <v/>
      </c>
      <c r="CK1583" s="223"/>
      <c r="CL1583" s="6"/>
      <c r="CM1583" s="10"/>
    </row>
    <row r="1584" spans="1:91" ht="15.95" hidden="1" customHeight="1" x14ac:dyDescent="0.25">
      <c r="A1584" s="957">
        <f t="shared" ca="1" si="52"/>
        <v>0</v>
      </c>
      <c r="CE1584" s="4"/>
      <c r="CF1584" s="5"/>
      <c r="CG1584" s="5" t="str">
        <f ca="1">IF('Rent Roll'!$AF70=1,'Rent Roll'!E70,"")</f>
        <v/>
      </c>
      <c r="CH1584" s="39" t="str">
        <f ca="1">IF('Rent Roll'!$AF70=1,'Rent Roll'!G70,"")</f>
        <v/>
      </c>
      <c r="CI1584" s="1547" t="str">
        <f ca="1">IF('Rent Roll'!$AF70=1,'Rent Roll'!K70,"")</f>
        <v/>
      </c>
      <c r="CJ1584" s="1551" t="str">
        <f ca="1">IF('Rent Roll'!$AF70=1,'Rent Roll'!N70,"")</f>
        <v/>
      </c>
      <c r="CK1584" s="223"/>
      <c r="CL1584" s="6"/>
      <c r="CM1584" s="10"/>
    </row>
    <row r="1585" spans="1:91" ht="15.95" hidden="1" customHeight="1" x14ac:dyDescent="0.25">
      <c r="A1585" s="957">
        <f t="shared" ref="A1585:A1616" ca="1" si="53">IF(CG1585="",0,1)</f>
        <v>0</v>
      </c>
      <c r="CE1585" s="4"/>
      <c r="CF1585" s="5"/>
      <c r="CG1585" s="5" t="str">
        <f ca="1">IF('Rent Roll'!$AF71=1,'Rent Roll'!E71,"")</f>
        <v/>
      </c>
      <c r="CH1585" s="39" t="str">
        <f ca="1">IF('Rent Roll'!$AF71=1,'Rent Roll'!G71,"")</f>
        <v/>
      </c>
      <c r="CI1585" s="1547" t="str">
        <f ca="1">IF('Rent Roll'!$AF71=1,'Rent Roll'!K71,"")</f>
        <v/>
      </c>
      <c r="CJ1585" s="1551" t="str">
        <f ca="1">IF('Rent Roll'!$AF71=1,'Rent Roll'!N71,"")</f>
        <v/>
      </c>
      <c r="CK1585" s="223"/>
      <c r="CL1585" s="6"/>
      <c r="CM1585" s="10"/>
    </row>
    <row r="1586" spans="1:91" ht="15.95" hidden="1" customHeight="1" x14ac:dyDescent="0.25">
      <c r="A1586" s="957">
        <f t="shared" ca="1" si="53"/>
        <v>0</v>
      </c>
      <c r="CE1586" s="4"/>
      <c r="CF1586" s="5"/>
      <c r="CG1586" s="5" t="str">
        <f ca="1">IF('Rent Roll'!$AF72=1,'Rent Roll'!E72,"")</f>
        <v/>
      </c>
      <c r="CH1586" s="39" t="str">
        <f ca="1">IF('Rent Roll'!$AF72=1,'Rent Roll'!G72,"")</f>
        <v/>
      </c>
      <c r="CI1586" s="1547" t="str">
        <f ca="1">IF('Rent Roll'!$AF72=1,'Rent Roll'!K72,"")</f>
        <v/>
      </c>
      <c r="CJ1586" s="1551" t="str">
        <f ca="1">IF('Rent Roll'!$AF72=1,'Rent Roll'!N72,"")</f>
        <v/>
      </c>
      <c r="CK1586" s="223"/>
      <c r="CL1586" s="6"/>
      <c r="CM1586" s="10"/>
    </row>
    <row r="1587" spans="1:91" ht="15.95" hidden="1" customHeight="1" x14ac:dyDescent="0.25">
      <c r="A1587" s="957">
        <f t="shared" ca="1" si="53"/>
        <v>0</v>
      </c>
      <c r="CE1587" s="4"/>
      <c r="CF1587" s="5"/>
      <c r="CG1587" s="5" t="str">
        <f ca="1">IF('Rent Roll'!$AF73=1,'Rent Roll'!E73,"")</f>
        <v/>
      </c>
      <c r="CH1587" s="39" t="str">
        <f ca="1">IF('Rent Roll'!$AF73=1,'Rent Roll'!G73,"")</f>
        <v/>
      </c>
      <c r="CI1587" s="1547" t="str">
        <f ca="1">IF('Rent Roll'!$AF73=1,'Rent Roll'!K73,"")</f>
        <v/>
      </c>
      <c r="CJ1587" s="1551" t="str">
        <f ca="1">IF('Rent Roll'!$AF73=1,'Rent Roll'!N73,"")</f>
        <v/>
      </c>
      <c r="CK1587" s="223"/>
      <c r="CL1587" s="6"/>
      <c r="CM1587" s="10"/>
    </row>
    <row r="1588" spans="1:91" ht="15.95" hidden="1" customHeight="1" x14ac:dyDescent="0.25">
      <c r="A1588" s="957">
        <f t="shared" ca="1" si="53"/>
        <v>0</v>
      </c>
      <c r="CE1588" s="4"/>
      <c r="CF1588" s="5"/>
      <c r="CG1588" s="5" t="str">
        <f ca="1">IF('Rent Roll'!$AF74=1,'Rent Roll'!E74,"")</f>
        <v/>
      </c>
      <c r="CH1588" s="39" t="str">
        <f ca="1">IF('Rent Roll'!$AF74=1,'Rent Roll'!G74,"")</f>
        <v/>
      </c>
      <c r="CI1588" s="1547" t="str">
        <f ca="1">IF('Rent Roll'!$AF74=1,'Rent Roll'!K74,"")</f>
        <v/>
      </c>
      <c r="CJ1588" s="1551" t="str">
        <f ca="1">IF('Rent Roll'!$AF74=1,'Rent Roll'!N74,"")</f>
        <v/>
      </c>
      <c r="CK1588" s="223"/>
      <c r="CL1588" s="6"/>
      <c r="CM1588" s="10"/>
    </row>
    <row r="1589" spans="1:91" ht="15.95" hidden="1" customHeight="1" x14ac:dyDescent="0.25">
      <c r="A1589" s="957">
        <f t="shared" ca="1" si="53"/>
        <v>0</v>
      </c>
      <c r="CE1589" s="4"/>
      <c r="CF1589" s="5"/>
      <c r="CG1589" s="5" t="str">
        <f ca="1">IF('Rent Roll'!$AF75=1,'Rent Roll'!E75,"")</f>
        <v/>
      </c>
      <c r="CH1589" s="39" t="str">
        <f ca="1">IF('Rent Roll'!$AF75=1,'Rent Roll'!G75,"")</f>
        <v/>
      </c>
      <c r="CI1589" s="1547" t="str">
        <f ca="1">IF('Rent Roll'!$AF75=1,'Rent Roll'!K75,"")</f>
        <v/>
      </c>
      <c r="CJ1589" s="1551" t="str">
        <f ca="1">IF('Rent Roll'!$AF75=1,'Rent Roll'!N75,"")</f>
        <v/>
      </c>
      <c r="CK1589" s="223"/>
      <c r="CL1589" s="6"/>
      <c r="CM1589" s="10"/>
    </row>
    <row r="1590" spans="1:91" ht="15.95" hidden="1" customHeight="1" x14ac:dyDescent="0.25">
      <c r="A1590" s="957">
        <f t="shared" ca="1" si="53"/>
        <v>0</v>
      </c>
      <c r="CE1590" s="4"/>
      <c r="CF1590" s="5"/>
      <c r="CG1590" s="5" t="str">
        <f ca="1">IF('Rent Roll'!$AF76=1,'Rent Roll'!E76,"")</f>
        <v/>
      </c>
      <c r="CH1590" s="39" t="str">
        <f ca="1">IF('Rent Roll'!$AF76=1,'Rent Roll'!G76,"")</f>
        <v/>
      </c>
      <c r="CI1590" s="1547" t="str">
        <f ca="1">IF('Rent Roll'!$AF76=1,'Rent Roll'!K76,"")</f>
        <v/>
      </c>
      <c r="CJ1590" s="1551" t="str">
        <f ca="1">IF('Rent Roll'!$AF76=1,'Rent Roll'!N76,"")</f>
        <v/>
      </c>
      <c r="CK1590" s="223"/>
      <c r="CL1590" s="6"/>
      <c r="CM1590" s="10"/>
    </row>
    <row r="1591" spans="1:91" ht="15.95" hidden="1" customHeight="1" x14ac:dyDescent="0.25">
      <c r="A1591" s="957">
        <f t="shared" ca="1" si="53"/>
        <v>0</v>
      </c>
      <c r="CE1591" s="4"/>
      <c r="CF1591" s="5"/>
      <c r="CG1591" s="5" t="str">
        <f ca="1">IF('Rent Roll'!$AF77=1,'Rent Roll'!E77,"")</f>
        <v/>
      </c>
      <c r="CH1591" s="39" t="str">
        <f ca="1">IF('Rent Roll'!$AF77=1,'Rent Roll'!G77,"")</f>
        <v/>
      </c>
      <c r="CI1591" s="1547" t="str">
        <f ca="1">IF('Rent Roll'!$AF77=1,'Rent Roll'!K77,"")</f>
        <v/>
      </c>
      <c r="CJ1591" s="1551" t="str">
        <f ca="1">IF('Rent Roll'!$AF77=1,'Rent Roll'!N77,"")</f>
        <v/>
      </c>
      <c r="CK1591" s="223"/>
      <c r="CL1591" s="6"/>
      <c r="CM1591" s="10"/>
    </row>
    <row r="1592" spans="1:91" ht="15.95" hidden="1" customHeight="1" x14ac:dyDescent="0.25">
      <c r="A1592" s="957">
        <f t="shared" ca="1" si="53"/>
        <v>0</v>
      </c>
      <c r="CE1592" s="4"/>
      <c r="CF1592" s="5"/>
      <c r="CG1592" s="5" t="str">
        <f ca="1">IF('Rent Roll'!$AF78=1,'Rent Roll'!E78,"")</f>
        <v/>
      </c>
      <c r="CH1592" s="39" t="str">
        <f ca="1">IF('Rent Roll'!$AF78=1,'Rent Roll'!G78,"")</f>
        <v/>
      </c>
      <c r="CI1592" s="1547" t="str">
        <f ca="1">IF('Rent Roll'!$AF78=1,'Rent Roll'!K78,"")</f>
        <v/>
      </c>
      <c r="CJ1592" s="1551" t="str">
        <f ca="1">IF('Rent Roll'!$AF78=1,'Rent Roll'!N78,"")</f>
        <v/>
      </c>
      <c r="CK1592" s="223"/>
      <c r="CL1592" s="6"/>
      <c r="CM1592" s="10"/>
    </row>
    <row r="1593" spans="1:91" ht="15.95" hidden="1" customHeight="1" x14ac:dyDescent="0.25">
      <c r="A1593" s="957">
        <f t="shared" ca="1" si="53"/>
        <v>0</v>
      </c>
      <c r="CE1593" s="4"/>
      <c r="CF1593" s="5"/>
      <c r="CG1593" s="5" t="str">
        <f ca="1">IF('Rent Roll'!$AF79=1,'Rent Roll'!E79,"")</f>
        <v/>
      </c>
      <c r="CH1593" s="39" t="str">
        <f ca="1">IF('Rent Roll'!$AF79=1,'Rent Roll'!G79,"")</f>
        <v/>
      </c>
      <c r="CI1593" s="1547" t="str">
        <f ca="1">IF('Rent Roll'!$AF79=1,'Rent Roll'!K79,"")</f>
        <v/>
      </c>
      <c r="CJ1593" s="1551" t="str">
        <f ca="1">IF('Rent Roll'!$AF79=1,'Rent Roll'!N79,"")</f>
        <v/>
      </c>
      <c r="CK1593" s="223"/>
      <c r="CL1593" s="6"/>
      <c r="CM1593" s="10"/>
    </row>
    <row r="1594" spans="1:91" ht="15.95" hidden="1" customHeight="1" x14ac:dyDescent="0.25">
      <c r="A1594" s="957">
        <f t="shared" ca="1" si="53"/>
        <v>0</v>
      </c>
      <c r="CE1594" s="4"/>
      <c r="CF1594" s="5"/>
      <c r="CG1594" s="5" t="str">
        <f ca="1">IF('Rent Roll'!$AF80=1,'Rent Roll'!E80,"")</f>
        <v/>
      </c>
      <c r="CH1594" s="39" t="str">
        <f ca="1">IF('Rent Roll'!$AF80=1,'Rent Roll'!G80,"")</f>
        <v/>
      </c>
      <c r="CI1594" s="1547" t="str">
        <f ca="1">IF('Rent Roll'!$AF80=1,'Rent Roll'!K80,"")</f>
        <v/>
      </c>
      <c r="CJ1594" s="1551" t="str">
        <f ca="1">IF('Rent Roll'!$AF80=1,'Rent Roll'!N80,"")</f>
        <v/>
      </c>
      <c r="CK1594" s="223"/>
      <c r="CL1594" s="6"/>
      <c r="CM1594" s="10"/>
    </row>
    <row r="1595" spans="1:91" ht="15.95" hidden="1" customHeight="1" x14ac:dyDescent="0.25">
      <c r="A1595" s="957">
        <f t="shared" ca="1" si="53"/>
        <v>0</v>
      </c>
      <c r="CE1595" s="4"/>
      <c r="CF1595" s="5"/>
      <c r="CG1595" s="5" t="str">
        <f ca="1">IF('Rent Roll'!$AF81=1,'Rent Roll'!E81,"")</f>
        <v/>
      </c>
      <c r="CH1595" s="39" t="str">
        <f ca="1">IF('Rent Roll'!$AF81=1,'Rent Roll'!G81,"")</f>
        <v/>
      </c>
      <c r="CI1595" s="1547" t="str">
        <f ca="1">IF('Rent Roll'!$AF81=1,'Rent Roll'!K81,"")</f>
        <v/>
      </c>
      <c r="CJ1595" s="1551" t="str">
        <f ca="1">IF('Rent Roll'!$AF81=1,'Rent Roll'!N81,"")</f>
        <v/>
      </c>
      <c r="CK1595" s="223"/>
      <c r="CL1595" s="6"/>
      <c r="CM1595" s="10"/>
    </row>
    <row r="1596" spans="1:91" ht="15.95" hidden="1" customHeight="1" x14ac:dyDescent="0.25">
      <c r="A1596" s="957">
        <f t="shared" ca="1" si="53"/>
        <v>0</v>
      </c>
      <c r="CE1596" s="4"/>
      <c r="CF1596" s="5"/>
      <c r="CG1596" s="5" t="str">
        <f ca="1">IF('Rent Roll'!$AF82=1,'Rent Roll'!E82,"")</f>
        <v/>
      </c>
      <c r="CH1596" s="39" t="str">
        <f ca="1">IF('Rent Roll'!$AF82=1,'Rent Roll'!G82,"")</f>
        <v/>
      </c>
      <c r="CI1596" s="1547" t="str">
        <f ca="1">IF('Rent Roll'!$AF82=1,'Rent Roll'!K82,"")</f>
        <v/>
      </c>
      <c r="CJ1596" s="1551" t="str">
        <f ca="1">IF('Rent Roll'!$AF82=1,'Rent Roll'!N82,"")</f>
        <v/>
      </c>
      <c r="CK1596" s="223"/>
      <c r="CL1596" s="6"/>
      <c r="CM1596" s="10"/>
    </row>
    <row r="1597" spans="1:91" ht="15.95" hidden="1" customHeight="1" x14ac:dyDescent="0.25">
      <c r="A1597" s="957">
        <f t="shared" ca="1" si="53"/>
        <v>0</v>
      </c>
      <c r="CE1597" s="4"/>
      <c r="CF1597" s="5"/>
      <c r="CG1597" s="5" t="str">
        <f ca="1">IF('Rent Roll'!$AF83=1,'Rent Roll'!E83,"")</f>
        <v/>
      </c>
      <c r="CH1597" s="39" t="str">
        <f ca="1">IF('Rent Roll'!$AF83=1,'Rent Roll'!G83,"")</f>
        <v/>
      </c>
      <c r="CI1597" s="1547" t="str">
        <f ca="1">IF('Rent Roll'!$AF83=1,'Rent Roll'!K83,"")</f>
        <v/>
      </c>
      <c r="CJ1597" s="1551" t="str">
        <f ca="1">IF('Rent Roll'!$AF83=1,'Rent Roll'!N83,"")</f>
        <v/>
      </c>
      <c r="CK1597" s="223"/>
      <c r="CL1597" s="6"/>
      <c r="CM1597" s="10"/>
    </row>
    <row r="1598" spans="1:91" ht="15.95" hidden="1" customHeight="1" x14ac:dyDescent="0.25">
      <c r="A1598" s="957">
        <f t="shared" ca="1" si="53"/>
        <v>0</v>
      </c>
      <c r="CE1598" s="4"/>
      <c r="CF1598" s="5"/>
      <c r="CG1598" s="5" t="str">
        <f ca="1">IF('Rent Roll'!$AF84=1,'Rent Roll'!E84,"")</f>
        <v/>
      </c>
      <c r="CH1598" s="39" t="str">
        <f ca="1">IF('Rent Roll'!$AF84=1,'Rent Roll'!G84,"")</f>
        <v/>
      </c>
      <c r="CI1598" s="1547" t="str">
        <f ca="1">IF('Rent Roll'!$AF84=1,'Rent Roll'!K84,"")</f>
        <v/>
      </c>
      <c r="CJ1598" s="1551" t="str">
        <f ca="1">IF('Rent Roll'!$AF84=1,'Rent Roll'!N84,"")</f>
        <v/>
      </c>
      <c r="CK1598" s="223"/>
      <c r="CL1598" s="6"/>
      <c r="CM1598" s="10"/>
    </row>
    <row r="1599" spans="1:91" ht="15.95" hidden="1" customHeight="1" x14ac:dyDescent="0.25">
      <c r="A1599" s="957">
        <f t="shared" ca="1" si="53"/>
        <v>0</v>
      </c>
      <c r="CE1599" s="4"/>
      <c r="CF1599" s="5"/>
      <c r="CG1599" s="5" t="str">
        <f ca="1">IF('Rent Roll'!$AF85=1,'Rent Roll'!E85,"")</f>
        <v/>
      </c>
      <c r="CH1599" s="39" t="str">
        <f ca="1">IF('Rent Roll'!$AF85=1,'Rent Roll'!G85,"")</f>
        <v/>
      </c>
      <c r="CI1599" s="1547" t="str">
        <f ca="1">IF('Rent Roll'!$AF85=1,'Rent Roll'!K85,"")</f>
        <v/>
      </c>
      <c r="CJ1599" s="1551" t="str">
        <f ca="1">IF('Rent Roll'!$AF85=1,'Rent Roll'!N85,"")</f>
        <v/>
      </c>
      <c r="CK1599" s="223"/>
      <c r="CL1599" s="6"/>
      <c r="CM1599" s="10"/>
    </row>
    <row r="1600" spans="1:91" ht="15.95" hidden="1" customHeight="1" x14ac:dyDescent="0.25">
      <c r="A1600" s="957">
        <f t="shared" ca="1" si="53"/>
        <v>0</v>
      </c>
      <c r="CE1600" s="4"/>
      <c r="CF1600" s="5"/>
      <c r="CG1600" s="5" t="str">
        <f ca="1">IF('Rent Roll'!$AF86=1,'Rent Roll'!E86,"")</f>
        <v/>
      </c>
      <c r="CH1600" s="39" t="str">
        <f ca="1">IF('Rent Roll'!$AF86=1,'Rent Roll'!G86,"")</f>
        <v/>
      </c>
      <c r="CI1600" s="1547" t="str">
        <f ca="1">IF('Rent Roll'!$AF86=1,'Rent Roll'!K86,"")</f>
        <v/>
      </c>
      <c r="CJ1600" s="1551" t="str">
        <f ca="1">IF('Rent Roll'!$AF86=1,'Rent Roll'!N86,"")</f>
        <v/>
      </c>
      <c r="CK1600" s="223"/>
      <c r="CL1600" s="6"/>
      <c r="CM1600" s="10"/>
    </row>
    <row r="1601" spans="1:91" ht="15.95" hidden="1" customHeight="1" x14ac:dyDescent="0.25">
      <c r="A1601" s="957">
        <f t="shared" ca="1" si="53"/>
        <v>0</v>
      </c>
      <c r="CE1601" s="4"/>
      <c r="CF1601" s="5"/>
      <c r="CG1601" s="5" t="str">
        <f ca="1">IF('Rent Roll'!$AF87=1,'Rent Roll'!E87,"")</f>
        <v/>
      </c>
      <c r="CH1601" s="39" t="str">
        <f ca="1">IF('Rent Roll'!$AF87=1,'Rent Roll'!G87,"")</f>
        <v/>
      </c>
      <c r="CI1601" s="1547" t="str">
        <f ca="1">IF('Rent Roll'!$AF87=1,'Rent Roll'!K87,"")</f>
        <v/>
      </c>
      <c r="CJ1601" s="1551" t="str">
        <f ca="1">IF('Rent Roll'!$AF87=1,'Rent Roll'!N87,"")</f>
        <v/>
      </c>
      <c r="CK1601" s="223"/>
      <c r="CL1601" s="6"/>
      <c r="CM1601" s="10"/>
    </row>
    <row r="1602" spans="1:91" ht="15.95" hidden="1" customHeight="1" x14ac:dyDescent="0.25">
      <c r="A1602" s="957">
        <f t="shared" ca="1" si="53"/>
        <v>0</v>
      </c>
      <c r="CE1602" s="4"/>
      <c r="CF1602" s="5"/>
      <c r="CG1602" s="5" t="str">
        <f ca="1">IF('Rent Roll'!$AF88=1,'Rent Roll'!E88,"")</f>
        <v/>
      </c>
      <c r="CH1602" s="39" t="str">
        <f ca="1">IF('Rent Roll'!$AF88=1,'Rent Roll'!G88,"")</f>
        <v/>
      </c>
      <c r="CI1602" s="1547" t="str">
        <f ca="1">IF('Rent Roll'!$AF88=1,'Rent Roll'!K88,"")</f>
        <v/>
      </c>
      <c r="CJ1602" s="1551" t="str">
        <f ca="1">IF('Rent Roll'!$AF88=1,'Rent Roll'!N88,"")</f>
        <v/>
      </c>
      <c r="CK1602" s="223"/>
      <c r="CL1602" s="6"/>
      <c r="CM1602" s="10"/>
    </row>
    <row r="1603" spans="1:91" ht="15.95" hidden="1" customHeight="1" x14ac:dyDescent="0.25">
      <c r="A1603" s="957">
        <f t="shared" ca="1" si="53"/>
        <v>0</v>
      </c>
      <c r="CE1603" s="4"/>
      <c r="CF1603" s="5"/>
      <c r="CG1603" s="5" t="str">
        <f ca="1">IF('Rent Roll'!$AF89=1,'Rent Roll'!E89,"")</f>
        <v/>
      </c>
      <c r="CH1603" s="39" t="str">
        <f ca="1">IF('Rent Roll'!$AF89=1,'Rent Roll'!G89,"")</f>
        <v/>
      </c>
      <c r="CI1603" s="1547" t="str">
        <f ca="1">IF('Rent Roll'!$AF89=1,'Rent Roll'!K89,"")</f>
        <v/>
      </c>
      <c r="CJ1603" s="1551" t="str">
        <f ca="1">IF('Rent Roll'!$AF89=1,'Rent Roll'!N89,"")</f>
        <v/>
      </c>
      <c r="CK1603" s="223"/>
      <c r="CL1603" s="6"/>
      <c r="CM1603" s="10"/>
    </row>
    <row r="1604" spans="1:91" ht="15.95" hidden="1" customHeight="1" x14ac:dyDescent="0.25">
      <c r="A1604" s="957">
        <f t="shared" ca="1" si="53"/>
        <v>0</v>
      </c>
      <c r="CE1604" s="4"/>
      <c r="CF1604" s="5"/>
      <c r="CG1604" s="5" t="str">
        <f ca="1">IF('Rent Roll'!$AF90=1,'Rent Roll'!E90,"")</f>
        <v/>
      </c>
      <c r="CH1604" s="39" t="str">
        <f ca="1">IF('Rent Roll'!$AF90=1,'Rent Roll'!G90,"")</f>
        <v/>
      </c>
      <c r="CI1604" s="1547" t="str">
        <f ca="1">IF('Rent Roll'!$AF90=1,'Rent Roll'!K90,"")</f>
        <v/>
      </c>
      <c r="CJ1604" s="1551" t="str">
        <f ca="1">IF('Rent Roll'!$AF90=1,'Rent Roll'!N90,"")</f>
        <v/>
      </c>
      <c r="CK1604" s="223"/>
      <c r="CL1604" s="6"/>
      <c r="CM1604" s="10"/>
    </row>
    <row r="1605" spans="1:91" ht="15.95" hidden="1" customHeight="1" x14ac:dyDescent="0.25">
      <c r="A1605" s="957">
        <f t="shared" ca="1" si="53"/>
        <v>0</v>
      </c>
      <c r="CE1605" s="4"/>
      <c r="CF1605" s="5"/>
      <c r="CG1605" s="5" t="str">
        <f ca="1">IF('Rent Roll'!$AF91=1,'Rent Roll'!E91,"")</f>
        <v/>
      </c>
      <c r="CH1605" s="39" t="str">
        <f ca="1">IF('Rent Roll'!$AF91=1,'Rent Roll'!G91,"")</f>
        <v/>
      </c>
      <c r="CI1605" s="1547" t="str">
        <f ca="1">IF('Rent Roll'!$AF91=1,'Rent Roll'!K91,"")</f>
        <v/>
      </c>
      <c r="CJ1605" s="1551" t="str">
        <f ca="1">IF('Rent Roll'!$AF91=1,'Rent Roll'!N91,"")</f>
        <v/>
      </c>
      <c r="CK1605" s="223"/>
      <c r="CL1605" s="6"/>
      <c r="CM1605" s="10"/>
    </row>
    <row r="1606" spans="1:91" ht="15.95" hidden="1" customHeight="1" x14ac:dyDescent="0.25">
      <c r="A1606" s="957">
        <f t="shared" ca="1" si="53"/>
        <v>0</v>
      </c>
      <c r="CE1606" s="4"/>
      <c r="CF1606" s="5"/>
      <c r="CG1606" s="5" t="str">
        <f ca="1">IF('Rent Roll'!$AF92=1,'Rent Roll'!E92,"")</f>
        <v/>
      </c>
      <c r="CH1606" s="39" t="str">
        <f ca="1">IF('Rent Roll'!$AF92=1,'Rent Roll'!G92,"")</f>
        <v/>
      </c>
      <c r="CI1606" s="1547" t="str">
        <f ca="1">IF('Rent Roll'!$AF92=1,'Rent Roll'!K92,"")</f>
        <v/>
      </c>
      <c r="CJ1606" s="1551" t="str">
        <f ca="1">IF('Rent Roll'!$AF92=1,'Rent Roll'!N92,"")</f>
        <v/>
      </c>
      <c r="CK1606" s="223"/>
      <c r="CL1606" s="6"/>
      <c r="CM1606" s="10"/>
    </row>
    <row r="1607" spans="1:91" ht="15.95" hidden="1" customHeight="1" x14ac:dyDescent="0.25">
      <c r="A1607" s="957">
        <f t="shared" ca="1" si="53"/>
        <v>0</v>
      </c>
      <c r="CE1607" s="4"/>
      <c r="CF1607" s="5"/>
      <c r="CG1607" s="5" t="str">
        <f ca="1">IF('Rent Roll'!$AF93=1,'Rent Roll'!E93,"")</f>
        <v/>
      </c>
      <c r="CH1607" s="39" t="str">
        <f ca="1">IF('Rent Roll'!$AF93=1,'Rent Roll'!G93,"")</f>
        <v/>
      </c>
      <c r="CI1607" s="1547" t="str">
        <f ca="1">IF('Rent Roll'!$AF93=1,'Rent Roll'!K93,"")</f>
        <v/>
      </c>
      <c r="CJ1607" s="1551" t="str">
        <f ca="1">IF('Rent Roll'!$AF93=1,'Rent Roll'!N93,"")</f>
        <v/>
      </c>
      <c r="CK1607" s="223"/>
      <c r="CL1607" s="6"/>
      <c r="CM1607" s="10"/>
    </row>
    <row r="1608" spans="1:91" ht="15.95" hidden="1" customHeight="1" x14ac:dyDescent="0.25">
      <c r="A1608" s="957">
        <f t="shared" ca="1" si="53"/>
        <v>0</v>
      </c>
      <c r="CE1608" s="4"/>
      <c r="CF1608" s="5"/>
      <c r="CG1608" s="5" t="str">
        <f ca="1">IF('Rent Roll'!$AF94=1,'Rent Roll'!E94,"")</f>
        <v/>
      </c>
      <c r="CH1608" s="39" t="str">
        <f ca="1">IF('Rent Roll'!$AF94=1,'Rent Roll'!G94,"")</f>
        <v/>
      </c>
      <c r="CI1608" s="1547" t="str">
        <f ca="1">IF('Rent Roll'!$AF94=1,'Rent Roll'!K94,"")</f>
        <v/>
      </c>
      <c r="CJ1608" s="1551" t="str">
        <f ca="1">IF('Rent Roll'!$AF94=1,'Rent Roll'!N94,"")</f>
        <v/>
      </c>
      <c r="CK1608" s="223"/>
      <c r="CL1608" s="6"/>
      <c r="CM1608" s="10"/>
    </row>
    <row r="1609" spans="1:91" ht="15.95" hidden="1" customHeight="1" x14ac:dyDescent="0.25">
      <c r="A1609" s="957">
        <f t="shared" ca="1" si="53"/>
        <v>0</v>
      </c>
      <c r="CE1609" s="4"/>
      <c r="CF1609" s="5"/>
      <c r="CG1609" s="5" t="str">
        <f ca="1">IF('Rent Roll'!$AF95=1,'Rent Roll'!E95,"")</f>
        <v/>
      </c>
      <c r="CH1609" s="39" t="str">
        <f ca="1">IF('Rent Roll'!$AF95=1,'Rent Roll'!G95,"")</f>
        <v/>
      </c>
      <c r="CI1609" s="1547" t="str">
        <f ca="1">IF('Rent Roll'!$AF95=1,'Rent Roll'!K95,"")</f>
        <v/>
      </c>
      <c r="CJ1609" s="1551" t="str">
        <f ca="1">IF('Rent Roll'!$AF95=1,'Rent Roll'!N95,"")</f>
        <v/>
      </c>
      <c r="CK1609" s="223"/>
      <c r="CL1609" s="6"/>
      <c r="CM1609" s="10"/>
    </row>
    <row r="1610" spans="1:91" ht="15.95" hidden="1" customHeight="1" x14ac:dyDescent="0.25">
      <c r="A1610" s="957">
        <f t="shared" ca="1" si="53"/>
        <v>0</v>
      </c>
      <c r="CE1610" s="4"/>
      <c r="CF1610" s="5"/>
      <c r="CG1610" s="5" t="str">
        <f ca="1">IF('Rent Roll'!$AF96=1,'Rent Roll'!E96,"")</f>
        <v/>
      </c>
      <c r="CH1610" s="39" t="str">
        <f ca="1">IF('Rent Roll'!$AF96=1,'Rent Roll'!G96,"")</f>
        <v/>
      </c>
      <c r="CI1610" s="1547" t="str">
        <f ca="1">IF('Rent Roll'!$AF96=1,'Rent Roll'!K96,"")</f>
        <v/>
      </c>
      <c r="CJ1610" s="1551" t="str">
        <f ca="1">IF('Rent Roll'!$AF96=1,'Rent Roll'!N96,"")</f>
        <v/>
      </c>
      <c r="CK1610" s="223"/>
      <c r="CL1610" s="6"/>
      <c r="CM1610" s="10"/>
    </row>
    <row r="1611" spans="1:91" ht="15.95" hidden="1" customHeight="1" x14ac:dyDescent="0.25">
      <c r="A1611" s="957">
        <f t="shared" ca="1" si="53"/>
        <v>0</v>
      </c>
      <c r="CE1611" s="4"/>
      <c r="CF1611" s="5"/>
      <c r="CG1611" s="5" t="str">
        <f ca="1">IF('Rent Roll'!$AF97=1,'Rent Roll'!E97,"")</f>
        <v/>
      </c>
      <c r="CH1611" s="39" t="str">
        <f ca="1">IF('Rent Roll'!$AF97=1,'Rent Roll'!G97,"")</f>
        <v/>
      </c>
      <c r="CI1611" s="1547" t="str">
        <f ca="1">IF('Rent Roll'!$AF97=1,'Rent Roll'!K97,"")</f>
        <v/>
      </c>
      <c r="CJ1611" s="1551" t="str">
        <f ca="1">IF('Rent Roll'!$AF97=1,'Rent Roll'!N97,"")</f>
        <v/>
      </c>
      <c r="CK1611" s="223"/>
      <c r="CL1611" s="6"/>
      <c r="CM1611" s="10"/>
    </row>
    <row r="1612" spans="1:91" ht="15.95" hidden="1" customHeight="1" x14ac:dyDescent="0.25">
      <c r="A1612" s="957">
        <f t="shared" ca="1" si="53"/>
        <v>0</v>
      </c>
      <c r="CE1612" s="4"/>
      <c r="CF1612" s="5"/>
      <c r="CG1612" s="5" t="str">
        <f ca="1">IF('Rent Roll'!$AF98=1,'Rent Roll'!E98,"")</f>
        <v/>
      </c>
      <c r="CH1612" s="39" t="str">
        <f ca="1">IF('Rent Roll'!$AF98=1,'Rent Roll'!G98,"")</f>
        <v/>
      </c>
      <c r="CI1612" s="1547" t="str">
        <f ca="1">IF('Rent Roll'!$AF98=1,'Rent Roll'!K98,"")</f>
        <v/>
      </c>
      <c r="CJ1612" s="1551" t="str">
        <f ca="1">IF('Rent Roll'!$AF98=1,'Rent Roll'!N98,"")</f>
        <v/>
      </c>
      <c r="CK1612" s="223"/>
      <c r="CL1612" s="6"/>
      <c r="CM1612" s="10"/>
    </row>
    <row r="1613" spans="1:91" ht="15.95" hidden="1" customHeight="1" x14ac:dyDescent="0.25">
      <c r="A1613" s="957">
        <f t="shared" ca="1" si="53"/>
        <v>0</v>
      </c>
      <c r="CE1613" s="4"/>
      <c r="CF1613" s="5"/>
      <c r="CG1613" s="5" t="str">
        <f ca="1">IF('Rent Roll'!$AF99=1,'Rent Roll'!E99,"")</f>
        <v/>
      </c>
      <c r="CH1613" s="39" t="str">
        <f ca="1">IF('Rent Roll'!$AF99=1,'Rent Roll'!G99,"")</f>
        <v/>
      </c>
      <c r="CI1613" s="1547" t="str">
        <f ca="1">IF('Rent Roll'!$AF99=1,'Rent Roll'!K99,"")</f>
        <v/>
      </c>
      <c r="CJ1613" s="1551" t="str">
        <f ca="1">IF('Rent Roll'!$AF99=1,'Rent Roll'!N99,"")</f>
        <v/>
      </c>
      <c r="CK1613" s="223"/>
      <c r="CL1613" s="6"/>
      <c r="CM1613" s="10"/>
    </row>
    <row r="1614" spans="1:91" ht="15.95" hidden="1" customHeight="1" x14ac:dyDescent="0.25">
      <c r="A1614" s="957">
        <f t="shared" ca="1" si="53"/>
        <v>0</v>
      </c>
      <c r="CE1614" s="4"/>
      <c r="CF1614" s="5"/>
      <c r="CG1614" s="5" t="str">
        <f ca="1">IF('Rent Roll'!$AF100=1,'Rent Roll'!E100,"")</f>
        <v/>
      </c>
      <c r="CH1614" s="39" t="str">
        <f ca="1">IF('Rent Roll'!$AF100=1,'Rent Roll'!G100,"")</f>
        <v/>
      </c>
      <c r="CI1614" s="1547" t="str">
        <f ca="1">IF('Rent Roll'!$AF100=1,'Rent Roll'!K100,"")</f>
        <v/>
      </c>
      <c r="CJ1614" s="1551" t="str">
        <f ca="1">IF('Rent Roll'!$AF100=1,'Rent Roll'!N100,"")</f>
        <v/>
      </c>
      <c r="CK1614" s="223"/>
      <c r="CL1614" s="6"/>
      <c r="CM1614" s="10"/>
    </row>
    <row r="1615" spans="1:91" ht="15.95" hidden="1" customHeight="1" x14ac:dyDescent="0.25">
      <c r="A1615" s="957">
        <f t="shared" ca="1" si="53"/>
        <v>0</v>
      </c>
      <c r="CE1615" s="4"/>
      <c r="CF1615" s="5"/>
      <c r="CG1615" s="5" t="str">
        <f ca="1">IF('Rent Roll'!$AF101=1,'Rent Roll'!E101,"")</f>
        <v/>
      </c>
      <c r="CH1615" s="39" t="str">
        <f ca="1">IF('Rent Roll'!$AF101=1,'Rent Roll'!G101,"")</f>
        <v/>
      </c>
      <c r="CI1615" s="1547" t="str">
        <f ca="1">IF('Rent Roll'!$AF101=1,'Rent Roll'!K101,"")</f>
        <v/>
      </c>
      <c r="CJ1615" s="1551" t="str">
        <f ca="1">IF('Rent Roll'!$AF101=1,'Rent Roll'!N101,"")</f>
        <v/>
      </c>
      <c r="CK1615" s="223"/>
      <c r="CL1615" s="6"/>
      <c r="CM1615" s="10"/>
    </row>
    <row r="1616" spans="1:91" ht="15.95" hidden="1" customHeight="1" x14ac:dyDescent="0.25">
      <c r="A1616" s="957">
        <f t="shared" ca="1" si="53"/>
        <v>0</v>
      </c>
      <c r="CE1616" s="4"/>
      <c r="CF1616" s="5"/>
      <c r="CG1616" s="5" t="str">
        <f ca="1">IF('Rent Roll'!$AF102=1,'Rent Roll'!E102,"")</f>
        <v/>
      </c>
      <c r="CH1616" s="39" t="str">
        <f ca="1">IF('Rent Roll'!$AF102=1,'Rent Roll'!G102,"")</f>
        <v/>
      </c>
      <c r="CI1616" s="1547" t="str">
        <f ca="1">IF('Rent Roll'!$AF102=1,'Rent Roll'!K102,"")</f>
        <v/>
      </c>
      <c r="CJ1616" s="1551" t="str">
        <f ca="1">IF('Rent Roll'!$AF102=1,'Rent Roll'!N102,"")</f>
        <v/>
      </c>
      <c r="CK1616" s="223"/>
      <c r="CL1616" s="6"/>
      <c r="CM1616" s="10"/>
    </row>
    <row r="1617" spans="1:91" ht="15.95" hidden="1" customHeight="1" x14ac:dyDescent="0.25">
      <c r="A1617" s="957">
        <f t="shared" ref="A1617:A1648" ca="1" si="54">IF(CG1617="",0,1)</f>
        <v>0</v>
      </c>
      <c r="CE1617" s="4"/>
      <c r="CF1617" s="5"/>
      <c r="CG1617" s="5" t="str">
        <f ca="1">IF('Rent Roll'!$AF103=1,'Rent Roll'!E103,"")</f>
        <v/>
      </c>
      <c r="CH1617" s="39" t="str">
        <f ca="1">IF('Rent Roll'!$AF103=1,'Rent Roll'!G103,"")</f>
        <v/>
      </c>
      <c r="CI1617" s="1547" t="str">
        <f ca="1">IF('Rent Roll'!$AF103=1,'Rent Roll'!K103,"")</f>
        <v/>
      </c>
      <c r="CJ1617" s="1551" t="str">
        <f ca="1">IF('Rent Roll'!$AF103=1,'Rent Roll'!N103,"")</f>
        <v/>
      </c>
      <c r="CK1617" s="223"/>
      <c r="CL1617" s="6"/>
      <c r="CM1617" s="10"/>
    </row>
    <row r="1618" spans="1:91" ht="15.95" hidden="1" customHeight="1" x14ac:dyDescent="0.25">
      <c r="A1618" s="957">
        <f t="shared" ca="1" si="54"/>
        <v>0</v>
      </c>
      <c r="CE1618" s="4"/>
      <c r="CF1618" s="5"/>
      <c r="CG1618" s="5" t="str">
        <f ca="1">IF('Rent Roll'!$AF104=1,'Rent Roll'!E104,"")</f>
        <v/>
      </c>
      <c r="CH1618" s="39" t="str">
        <f ca="1">IF('Rent Roll'!$AF104=1,'Rent Roll'!G104,"")</f>
        <v/>
      </c>
      <c r="CI1618" s="1547" t="str">
        <f ca="1">IF('Rent Roll'!$AF104=1,'Rent Roll'!K104,"")</f>
        <v/>
      </c>
      <c r="CJ1618" s="1551" t="str">
        <f ca="1">IF('Rent Roll'!$AF104=1,'Rent Roll'!N104,"")</f>
        <v/>
      </c>
      <c r="CK1618" s="223"/>
      <c r="CL1618" s="6"/>
      <c r="CM1618" s="10"/>
    </row>
    <row r="1619" spans="1:91" ht="15.95" hidden="1" customHeight="1" x14ac:dyDescent="0.25">
      <c r="A1619" s="957">
        <f t="shared" ca="1" si="54"/>
        <v>0</v>
      </c>
      <c r="CE1619" s="4"/>
      <c r="CF1619" s="5"/>
      <c r="CG1619" s="5" t="str">
        <f ca="1">IF('Rent Roll'!$AF105=1,'Rent Roll'!E105,"")</f>
        <v/>
      </c>
      <c r="CH1619" s="39" t="str">
        <f ca="1">IF('Rent Roll'!$AF105=1,'Rent Roll'!G105,"")</f>
        <v/>
      </c>
      <c r="CI1619" s="1547" t="str">
        <f ca="1">IF('Rent Roll'!$AF105=1,'Rent Roll'!K105,"")</f>
        <v/>
      </c>
      <c r="CJ1619" s="1551" t="str">
        <f ca="1">IF('Rent Roll'!$AF105=1,'Rent Roll'!N105,"")</f>
        <v/>
      </c>
      <c r="CK1619" s="223"/>
      <c r="CL1619" s="6"/>
      <c r="CM1619" s="10"/>
    </row>
    <row r="1620" spans="1:91" ht="15.95" hidden="1" customHeight="1" x14ac:dyDescent="0.25">
      <c r="A1620" s="957">
        <f t="shared" ca="1" si="54"/>
        <v>0</v>
      </c>
      <c r="CE1620" s="4"/>
      <c r="CF1620" s="5"/>
      <c r="CG1620" s="5" t="str">
        <f ca="1">IF('Rent Roll'!$AF106=1,'Rent Roll'!E106,"")</f>
        <v/>
      </c>
      <c r="CH1620" s="39" t="str">
        <f ca="1">IF('Rent Roll'!$AF106=1,'Rent Roll'!G106,"")</f>
        <v/>
      </c>
      <c r="CI1620" s="1547" t="str">
        <f ca="1">IF('Rent Roll'!$AF106=1,'Rent Roll'!K106,"")</f>
        <v/>
      </c>
      <c r="CJ1620" s="1551" t="str">
        <f ca="1">IF('Rent Roll'!$AF106=1,'Rent Roll'!N106,"")</f>
        <v/>
      </c>
      <c r="CK1620" s="223"/>
      <c r="CL1620" s="6"/>
      <c r="CM1620" s="10"/>
    </row>
    <row r="1621" spans="1:91" ht="15.95" hidden="1" customHeight="1" x14ac:dyDescent="0.25">
      <c r="A1621" s="957">
        <f t="shared" ca="1" si="54"/>
        <v>0</v>
      </c>
      <c r="CE1621" s="4"/>
      <c r="CF1621" s="5"/>
      <c r="CG1621" s="5" t="str">
        <f ca="1">IF('Rent Roll'!$AF107=1,'Rent Roll'!E107,"")</f>
        <v/>
      </c>
      <c r="CH1621" s="39" t="str">
        <f ca="1">IF('Rent Roll'!$AF107=1,'Rent Roll'!G107,"")</f>
        <v/>
      </c>
      <c r="CI1621" s="1547" t="str">
        <f ca="1">IF('Rent Roll'!$AF107=1,'Rent Roll'!K107,"")</f>
        <v/>
      </c>
      <c r="CJ1621" s="1551" t="str">
        <f ca="1">IF('Rent Roll'!$AF107=1,'Rent Roll'!N107,"")</f>
        <v/>
      </c>
      <c r="CK1621" s="223"/>
      <c r="CL1621" s="6"/>
      <c r="CM1621" s="10"/>
    </row>
    <row r="1622" spans="1:91" ht="15.95" hidden="1" customHeight="1" x14ac:dyDescent="0.25">
      <c r="A1622" s="957">
        <f t="shared" ca="1" si="54"/>
        <v>0</v>
      </c>
      <c r="CE1622" s="4"/>
      <c r="CF1622" s="5"/>
      <c r="CG1622" s="5" t="str">
        <f ca="1">IF('Rent Roll'!$AF108=1,'Rent Roll'!E108,"")</f>
        <v/>
      </c>
      <c r="CH1622" s="39" t="str">
        <f ca="1">IF('Rent Roll'!$AF108=1,'Rent Roll'!G108,"")</f>
        <v/>
      </c>
      <c r="CI1622" s="1547" t="str">
        <f ca="1">IF('Rent Roll'!$AF108=1,'Rent Roll'!K108,"")</f>
        <v/>
      </c>
      <c r="CJ1622" s="1551" t="str">
        <f ca="1">IF('Rent Roll'!$AF108=1,'Rent Roll'!N108,"")</f>
        <v/>
      </c>
      <c r="CK1622" s="223"/>
      <c r="CL1622" s="6"/>
      <c r="CM1622" s="10"/>
    </row>
    <row r="1623" spans="1:91" ht="15.95" hidden="1" customHeight="1" x14ac:dyDescent="0.25">
      <c r="A1623" s="957">
        <f t="shared" ca="1" si="54"/>
        <v>0</v>
      </c>
      <c r="CE1623" s="4"/>
      <c r="CF1623" s="5"/>
      <c r="CG1623" s="5" t="str">
        <f ca="1">IF('Rent Roll'!$AF109=1,'Rent Roll'!E109,"")</f>
        <v/>
      </c>
      <c r="CH1623" s="39" t="str">
        <f ca="1">IF('Rent Roll'!$AF109=1,'Rent Roll'!G109,"")</f>
        <v/>
      </c>
      <c r="CI1623" s="1547" t="str">
        <f ca="1">IF('Rent Roll'!$AF109=1,'Rent Roll'!K109,"")</f>
        <v/>
      </c>
      <c r="CJ1623" s="1551" t="str">
        <f ca="1">IF('Rent Roll'!$AF109=1,'Rent Roll'!N109,"")</f>
        <v/>
      </c>
      <c r="CK1623" s="223"/>
      <c r="CL1623" s="6"/>
      <c r="CM1623" s="10"/>
    </row>
    <row r="1624" spans="1:91" ht="15.95" hidden="1" customHeight="1" x14ac:dyDescent="0.25">
      <c r="A1624" s="957">
        <f t="shared" ca="1" si="54"/>
        <v>0</v>
      </c>
      <c r="CE1624" s="4"/>
      <c r="CF1624" s="5"/>
      <c r="CG1624" s="5" t="str">
        <f ca="1">IF('Rent Roll'!$AF110=1,'Rent Roll'!E110,"")</f>
        <v/>
      </c>
      <c r="CH1624" s="39" t="str">
        <f ca="1">IF('Rent Roll'!$AF110=1,'Rent Roll'!G110,"")</f>
        <v/>
      </c>
      <c r="CI1624" s="1547" t="str">
        <f ca="1">IF('Rent Roll'!$AF110=1,'Rent Roll'!K110,"")</f>
        <v/>
      </c>
      <c r="CJ1624" s="1551" t="str">
        <f ca="1">IF('Rent Roll'!$AF110=1,'Rent Roll'!N110,"")</f>
        <v/>
      </c>
      <c r="CK1624" s="223"/>
      <c r="CL1624" s="6"/>
      <c r="CM1624" s="10"/>
    </row>
    <row r="1625" spans="1:91" ht="15.95" hidden="1" customHeight="1" x14ac:dyDescent="0.25">
      <c r="A1625" s="957">
        <f t="shared" ca="1" si="54"/>
        <v>0</v>
      </c>
      <c r="CE1625" s="4"/>
      <c r="CF1625" s="5"/>
      <c r="CG1625" s="5" t="str">
        <f ca="1">IF('Rent Roll'!$AF111=1,'Rent Roll'!E111,"")</f>
        <v/>
      </c>
      <c r="CH1625" s="39" t="str">
        <f ca="1">IF('Rent Roll'!$AF111=1,'Rent Roll'!G111,"")</f>
        <v/>
      </c>
      <c r="CI1625" s="1547" t="str">
        <f ca="1">IF('Rent Roll'!$AF111=1,'Rent Roll'!K111,"")</f>
        <v/>
      </c>
      <c r="CJ1625" s="1551" t="str">
        <f ca="1">IF('Rent Roll'!$AF111=1,'Rent Roll'!N111,"")</f>
        <v/>
      </c>
      <c r="CK1625" s="223"/>
      <c r="CL1625" s="6"/>
      <c r="CM1625" s="10"/>
    </row>
    <row r="1626" spans="1:91" ht="15.95" hidden="1" customHeight="1" x14ac:dyDescent="0.25">
      <c r="A1626" s="957">
        <f t="shared" ca="1" si="54"/>
        <v>0</v>
      </c>
      <c r="CE1626" s="4"/>
      <c r="CF1626" s="5"/>
      <c r="CG1626" s="5" t="str">
        <f ca="1">IF('Rent Roll'!$AF112=1,'Rent Roll'!E112,"")</f>
        <v/>
      </c>
      <c r="CH1626" s="39" t="str">
        <f ca="1">IF('Rent Roll'!$AF112=1,'Rent Roll'!G112,"")</f>
        <v/>
      </c>
      <c r="CI1626" s="1547" t="str">
        <f ca="1">IF('Rent Roll'!$AF112=1,'Rent Roll'!K112,"")</f>
        <v/>
      </c>
      <c r="CJ1626" s="1551" t="str">
        <f ca="1">IF('Rent Roll'!$AF112=1,'Rent Roll'!N112,"")</f>
        <v/>
      </c>
      <c r="CK1626" s="223"/>
      <c r="CL1626" s="6"/>
      <c r="CM1626" s="10"/>
    </row>
    <row r="1627" spans="1:91" ht="15.95" hidden="1" customHeight="1" x14ac:dyDescent="0.25">
      <c r="A1627" s="957">
        <f t="shared" ca="1" si="54"/>
        <v>0</v>
      </c>
      <c r="CE1627" s="4"/>
      <c r="CF1627" s="5"/>
      <c r="CG1627" s="5" t="str">
        <f ca="1">IF('Rent Roll'!$AF113=1,'Rent Roll'!E113,"")</f>
        <v/>
      </c>
      <c r="CH1627" s="39" t="str">
        <f ca="1">IF('Rent Roll'!$AF113=1,'Rent Roll'!G113,"")</f>
        <v/>
      </c>
      <c r="CI1627" s="1547" t="str">
        <f ca="1">IF('Rent Roll'!$AF113=1,'Rent Roll'!K113,"")</f>
        <v/>
      </c>
      <c r="CJ1627" s="1551" t="str">
        <f ca="1">IF('Rent Roll'!$AF113=1,'Rent Roll'!N113,"")</f>
        <v/>
      </c>
      <c r="CK1627" s="223"/>
      <c r="CL1627" s="6"/>
      <c r="CM1627" s="10"/>
    </row>
    <row r="1628" spans="1:91" ht="15.95" hidden="1" customHeight="1" x14ac:dyDescent="0.25">
      <c r="A1628" s="957">
        <f t="shared" ca="1" si="54"/>
        <v>0</v>
      </c>
      <c r="CE1628" s="4"/>
      <c r="CF1628" s="5"/>
      <c r="CG1628" s="5" t="str">
        <f ca="1">IF('Rent Roll'!$AF114=1,'Rent Roll'!E114,"")</f>
        <v/>
      </c>
      <c r="CH1628" s="39" t="str">
        <f ca="1">IF('Rent Roll'!$AF114=1,'Rent Roll'!G114,"")</f>
        <v/>
      </c>
      <c r="CI1628" s="1547" t="str">
        <f ca="1">IF('Rent Roll'!$AF114=1,'Rent Roll'!K114,"")</f>
        <v/>
      </c>
      <c r="CJ1628" s="1551" t="str">
        <f ca="1">IF('Rent Roll'!$AF114=1,'Rent Roll'!N114,"")</f>
        <v/>
      </c>
      <c r="CK1628" s="223"/>
      <c r="CL1628" s="6"/>
      <c r="CM1628" s="10"/>
    </row>
    <row r="1629" spans="1:91" ht="15.95" hidden="1" customHeight="1" x14ac:dyDescent="0.25">
      <c r="A1629" s="957">
        <f t="shared" ca="1" si="54"/>
        <v>0</v>
      </c>
      <c r="CE1629" s="4"/>
      <c r="CF1629" s="5"/>
      <c r="CG1629" s="5" t="str">
        <f ca="1">IF('Rent Roll'!$AF115=1,'Rent Roll'!E115,"")</f>
        <v/>
      </c>
      <c r="CH1629" s="39" t="str">
        <f ca="1">IF('Rent Roll'!$AF115=1,'Rent Roll'!G115,"")</f>
        <v/>
      </c>
      <c r="CI1629" s="1547" t="str">
        <f ca="1">IF('Rent Roll'!$AF115=1,'Rent Roll'!K115,"")</f>
        <v/>
      </c>
      <c r="CJ1629" s="1551" t="str">
        <f ca="1">IF('Rent Roll'!$AF115=1,'Rent Roll'!N115,"")</f>
        <v/>
      </c>
      <c r="CK1629" s="223"/>
      <c r="CL1629" s="6"/>
      <c r="CM1629" s="10"/>
    </row>
    <row r="1630" spans="1:91" ht="15.95" hidden="1" customHeight="1" x14ac:dyDescent="0.25">
      <c r="A1630" s="957">
        <f t="shared" ca="1" si="54"/>
        <v>0</v>
      </c>
      <c r="CE1630" s="4"/>
      <c r="CF1630" s="5"/>
      <c r="CG1630" s="5" t="str">
        <f ca="1">IF('Rent Roll'!$AF116=1,'Rent Roll'!E116,"")</f>
        <v/>
      </c>
      <c r="CH1630" s="39" t="str">
        <f ca="1">IF('Rent Roll'!$AF116=1,'Rent Roll'!G116,"")</f>
        <v/>
      </c>
      <c r="CI1630" s="1547" t="str">
        <f ca="1">IF('Rent Roll'!$AF116=1,'Rent Roll'!K116,"")</f>
        <v/>
      </c>
      <c r="CJ1630" s="1551" t="str">
        <f ca="1">IF('Rent Roll'!$AF116=1,'Rent Roll'!N116,"")</f>
        <v/>
      </c>
      <c r="CK1630" s="223"/>
      <c r="CL1630" s="6"/>
      <c r="CM1630" s="10"/>
    </row>
    <row r="1631" spans="1:91" ht="15.95" hidden="1" customHeight="1" x14ac:dyDescent="0.25">
      <c r="A1631" s="957">
        <f t="shared" ca="1" si="54"/>
        <v>0</v>
      </c>
      <c r="CE1631" s="4"/>
      <c r="CF1631" s="5"/>
      <c r="CG1631" s="5" t="str">
        <f ca="1">IF('Rent Roll'!$AF117=1,'Rent Roll'!E117,"")</f>
        <v/>
      </c>
      <c r="CH1631" s="39" t="str">
        <f ca="1">IF('Rent Roll'!$AF117=1,'Rent Roll'!G117,"")</f>
        <v/>
      </c>
      <c r="CI1631" s="1547" t="str">
        <f ca="1">IF('Rent Roll'!$AF117=1,'Rent Roll'!K117,"")</f>
        <v/>
      </c>
      <c r="CJ1631" s="1551" t="str">
        <f ca="1">IF('Rent Roll'!$AF117=1,'Rent Roll'!N117,"")</f>
        <v/>
      </c>
      <c r="CK1631" s="223"/>
      <c r="CL1631" s="6"/>
      <c r="CM1631" s="10"/>
    </row>
    <row r="1632" spans="1:91" ht="15.95" hidden="1" customHeight="1" x14ac:dyDescent="0.25">
      <c r="A1632" s="957">
        <f t="shared" ca="1" si="54"/>
        <v>0</v>
      </c>
      <c r="CE1632" s="4"/>
      <c r="CF1632" s="5"/>
      <c r="CG1632" s="5" t="str">
        <f ca="1">IF('Rent Roll'!$AF118=1,'Rent Roll'!E118,"")</f>
        <v/>
      </c>
      <c r="CH1632" s="39" t="str">
        <f ca="1">IF('Rent Roll'!$AF118=1,'Rent Roll'!G118,"")</f>
        <v/>
      </c>
      <c r="CI1632" s="1547" t="str">
        <f ca="1">IF('Rent Roll'!$AF118=1,'Rent Roll'!K118,"")</f>
        <v/>
      </c>
      <c r="CJ1632" s="1551" t="str">
        <f ca="1">IF('Rent Roll'!$AF118=1,'Rent Roll'!N118,"")</f>
        <v/>
      </c>
      <c r="CK1632" s="223"/>
      <c r="CL1632" s="6"/>
      <c r="CM1632" s="10"/>
    </row>
    <row r="1633" spans="1:91" ht="15.95" hidden="1" customHeight="1" x14ac:dyDescent="0.25">
      <c r="A1633" s="957">
        <f t="shared" ca="1" si="54"/>
        <v>0</v>
      </c>
      <c r="CE1633" s="4"/>
      <c r="CF1633" s="5"/>
      <c r="CG1633" s="5" t="str">
        <f ca="1">IF('Rent Roll'!$AF119=1,'Rent Roll'!E119,"")</f>
        <v/>
      </c>
      <c r="CH1633" s="39" t="str">
        <f ca="1">IF('Rent Roll'!$AF119=1,'Rent Roll'!G119,"")</f>
        <v/>
      </c>
      <c r="CI1633" s="1547" t="str">
        <f ca="1">IF('Rent Roll'!$AF119=1,'Rent Roll'!K119,"")</f>
        <v/>
      </c>
      <c r="CJ1633" s="1551" t="str">
        <f ca="1">IF('Rent Roll'!$AF119=1,'Rent Roll'!N119,"")</f>
        <v/>
      </c>
      <c r="CK1633" s="223"/>
      <c r="CL1633" s="6"/>
      <c r="CM1633" s="10"/>
    </row>
    <row r="1634" spans="1:91" ht="15.95" hidden="1" customHeight="1" x14ac:dyDescent="0.25">
      <c r="A1634" s="957">
        <f t="shared" ca="1" si="54"/>
        <v>0</v>
      </c>
      <c r="CE1634" s="4"/>
      <c r="CF1634" s="5"/>
      <c r="CG1634" s="5" t="str">
        <f ca="1">IF('Rent Roll'!$AF120=1,'Rent Roll'!E120,"")</f>
        <v/>
      </c>
      <c r="CH1634" s="39" t="str">
        <f ca="1">IF('Rent Roll'!$AF120=1,'Rent Roll'!G120,"")</f>
        <v/>
      </c>
      <c r="CI1634" s="1547" t="str">
        <f ca="1">IF('Rent Roll'!$AF120=1,'Rent Roll'!K120,"")</f>
        <v/>
      </c>
      <c r="CJ1634" s="1551" t="str">
        <f ca="1">IF('Rent Roll'!$AF120=1,'Rent Roll'!N120,"")</f>
        <v/>
      </c>
      <c r="CK1634" s="223"/>
      <c r="CL1634" s="6"/>
      <c r="CM1634" s="10"/>
    </row>
    <row r="1635" spans="1:91" ht="15.95" hidden="1" customHeight="1" x14ac:dyDescent="0.25">
      <c r="A1635" s="957">
        <f t="shared" ca="1" si="54"/>
        <v>0</v>
      </c>
      <c r="CE1635" s="4"/>
      <c r="CF1635" s="5"/>
      <c r="CG1635" s="5" t="str">
        <f ca="1">IF('Rent Roll'!$AF121=1,'Rent Roll'!E121,"")</f>
        <v/>
      </c>
      <c r="CH1635" s="39" t="str">
        <f ca="1">IF('Rent Roll'!$AF121=1,'Rent Roll'!G121,"")</f>
        <v/>
      </c>
      <c r="CI1635" s="1547" t="str">
        <f ca="1">IF('Rent Roll'!$AF121=1,'Rent Roll'!K121,"")</f>
        <v/>
      </c>
      <c r="CJ1635" s="1551" t="str">
        <f ca="1">IF('Rent Roll'!$AF121=1,'Rent Roll'!N121,"")</f>
        <v/>
      </c>
      <c r="CK1635" s="223"/>
      <c r="CL1635" s="6"/>
      <c r="CM1635" s="10"/>
    </row>
    <row r="1636" spans="1:91" ht="15.95" hidden="1" customHeight="1" x14ac:dyDescent="0.25">
      <c r="A1636" s="957">
        <f t="shared" ca="1" si="54"/>
        <v>0</v>
      </c>
      <c r="CE1636" s="4"/>
      <c r="CF1636" s="5"/>
      <c r="CG1636" s="5" t="str">
        <f ca="1">IF('Rent Roll'!$AF122=1,'Rent Roll'!E122,"")</f>
        <v/>
      </c>
      <c r="CH1636" s="39" t="str">
        <f ca="1">IF('Rent Roll'!$AF122=1,'Rent Roll'!G122,"")</f>
        <v/>
      </c>
      <c r="CI1636" s="1547" t="str">
        <f ca="1">IF('Rent Roll'!$AF122=1,'Rent Roll'!K122,"")</f>
        <v/>
      </c>
      <c r="CJ1636" s="1551" t="str">
        <f ca="1">IF('Rent Roll'!$AF122=1,'Rent Roll'!N122,"")</f>
        <v/>
      </c>
      <c r="CK1636" s="223"/>
      <c r="CL1636" s="6"/>
      <c r="CM1636" s="10"/>
    </row>
    <row r="1637" spans="1:91" ht="15.95" hidden="1" customHeight="1" x14ac:dyDescent="0.25">
      <c r="A1637" s="957">
        <f t="shared" ca="1" si="54"/>
        <v>0</v>
      </c>
      <c r="CE1637" s="4"/>
      <c r="CF1637" s="5"/>
      <c r="CG1637" s="5" t="str">
        <f ca="1">IF('Rent Roll'!$AF123=1,'Rent Roll'!E123,"")</f>
        <v/>
      </c>
      <c r="CH1637" s="39" t="str">
        <f ca="1">IF('Rent Roll'!$AF123=1,'Rent Roll'!G123,"")</f>
        <v/>
      </c>
      <c r="CI1637" s="1547" t="str">
        <f ca="1">IF('Rent Roll'!$AF123=1,'Rent Roll'!K123,"")</f>
        <v/>
      </c>
      <c r="CJ1637" s="1551" t="str">
        <f ca="1">IF('Rent Roll'!$AF123=1,'Rent Roll'!N123,"")</f>
        <v/>
      </c>
      <c r="CK1637" s="223"/>
      <c r="CL1637" s="6"/>
      <c r="CM1637" s="10"/>
    </row>
    <row r="1638" spans="1:91" ht="15.95" hidden="1" customHeight="1" x14ac:dyDescent="0.25">
      <c r="A1638" s="957">
        <f t="shared" ca="1" si="54"/>
        <v>0</v>
      </c>
      <c r="CE1638" s="4"/>
      <c r="CF1638" s="5"/>
      <c r="CG1638" s="5" t="str">
        <f ca="1">IF('Rent Roll'!$AF124=1,'Rent Roll'!E124,"")</f>
        <v/>
      </c>
      <c r="CH1638" s="39" t="str">
        <f ca="1">IF('Rent Roll'!$AF124=1,'Rent Roll'!G124,"")</f>
        <v/>
      </c>
      <c r="CI1638" s="1547" t="str">
        <f ca="1">IF('Rent Roll'!$AF124=1,'Rent Roll'!K124,"")</f>
        <v/>
      </c>
      <c r="CJ1638" s="1551" t="str">
        <f ca="1">IF('Rent Roll'!$AF124=1,'Rent Roll'!N124,"")</f>
        <v/>
      </c>
      <c r="CK1638" s="223"/>
      <c r="CL1638" s="6"/>
      <c r="CM1638" s="10"/>
    </row>
    <row r="1639" spans="1:91" ht="15.95" hidden="1" customHeight="1" x14ac:dyDescent="0.25">
      <c r="A1639" s="957">
        <f t="shared" ca="1" si="54"/>
        <v>0</v>
      </c>
      <c r="CE1639" s="4"/>
      <c r="CF1639" s="5"/>
      <c r="CG1639" s="5" t="str">
        <f ca="1">IF('Rent Roll'!$AF125=1,'Rent Roll'!E125,"")</f>
        <v/>
      </c>
      <c r="CH1639" s="39" t="str">
        <f ca="1">IF('Rent Roll'!$AF125=1,'Rent Roll'!G125,"")</f>
        <v/>
      </c>
      <c r="CI1639" s="1547" t="str">
        <f ca="1">IF('Rent Roll'!$AF125=1,'Rent Roll'!K125,"")</f>
        <v/>
      </c>
      <c r="CJ1639" s="1551" t="str">
        <f ca="1">IF('Rent Roll'!$AF125=1,'Rent Roll'!N125,"")</f>
        <v/>
      </c>
      <c r="CK1639" s="223"/>
      <c r="CL1639" s="6"/>
      <c r="CM1639" s="10"/>
    </row>
    <row r="1640" spans="1:91" ht="15.95" hidden="1" customHeight="1" x14ac:dyDescent="0.25">
      <c r="A1640" s="957">
        <f t="shared" ca="1" si="54"/>
        <v>0</v>
      </c>
      <c r="CE1640" s="4"/>
      <c r="CF1640" s="5"/>
      <c r="CG1640" s="5" t="str">
        <f ca="1">IF('Rent Roll'!$AF126=1,'Rent Roll'!E126,"")</f>
        <v/>
      </c>
      <c r="CH1640" s="39" t="str">
        <f ca="1">IF('Rent Roll'!$AF126=1,'Rent Roll'!G126,"")</f>
        <v/>
      </c>
      <c r="CI1640" s="1547" t="str">
        <f ca="1">IF('Rent Roll'!$AF126=1,'Rent Roll'!K126,"")</f>
        <v/>
      </c>
      <c r="CJ1640" s="1551" t="str">
        <f ca="1">IF('Rent Roll'!$AF126=1,'Rent Roll'!N126,"")</f>
        <v/>
      </c>
      <c r="CK1640" s="223"/>
      <c r="CL1640" s="6"/>
      <c r="CM1640" s="10"/>
    </row>
    <row r="1641" spans="1:91" ht="15.95" hidden="1" customHeight="1" x14ac:dyDescent="0.25">
      <c r="A1641" s="957">
        <f t="shared" ca="1" si="54"/>
        <v>0</v>
      </c>
      <c r="CE1641" s="4"/>
      <c r="CF1641" s="5"/>
      <c r="CG1641" s="5" t="str">
        <f ca="1">IF('Rent Roll'!$AF127=1,'Rent Roll'!E127,"")</f>
        <v/>
      </c>
      <c r="CH1641" s="39" t="str">
        <f ca="1">IF('Rent Roll'!$AF127=1,'Rent Roll'!G127,"")</f>
        <v/>
      </c>
      <c r="CI1641" s="1547" t="str">
        <f ca="1">IF('Rent Roll'!$AF127=1,'Rent Roll'!K127,"")</f>
        <v/>
      </c>
      <c r="CJ1641" s="1551" t="str">
        <f ca="1">IF('Rent Roll'!$AF127=1,'Rent Roll'!N127,"")</f>
        <v/>
      </c>
      <c r="CK1641" s="223"/>
      <c r="CL1641" s="6"/>
      <c r="CM1641" s="10"/>
    </row>
    <row r="1642" spans="1:91" ht="15.95" hidden="1" customHeight="1" x14ac:dyDescent="0.25">
      <c r="A1642" s="957">
        <f t="shared" ca="1" si="54"/>
        <v>0</v>
      </c>
      <c r="CE1642" s="4"/>
      <c r="CF1642" s="5"/>
      <c r="CG1642" s="5" t="str">
        <f ca="1">IF('Rent Roll'!$AF128=1,'Rent Roll'!E128,"")</f>
        <v/>
      </c>
      <c r="CH1642" s="39" t="str">
        <f ca="1">IF('Rent Roll'!$AF128=1,'Rent Roll'!G128,"")</f>
        <v/>
      </c>
      <c r="CI1642" s="1547" t="str">
        <f ca="1">IF('Rent Roll'!$AF128=1,'Rent Roll'!K128,"")</f>
        <v/>
      </c>
      <c r="CJ1642" s="1551" t="str">
        <f ca="1">IF('Rent Roll'!$AF128=1,'Rent Roll'!N128,"")</f>
        <v/>
      </c>
      <c r="CK1642" s="223"/>
      <c r="CL1642" s="6"/>
      <c r="CM1642" s="10"/>
    </row>
    <row r="1643" spans="1:91" ht="15.95" hidden="1" customHeight="1" x14ac:dyDescent="0.25">
      <c r="A1643" s="957">
        <f t="shared" ca="1" si="54"/>
        <v>0</v>
      </c>
      <c r="CE1643" s="4"/>
      <c r="CF1643" s="5"/>
      <c r="CG1643" s="5" t="str">
        <f ca="1">IF('Rent Roll'!$AF129=1,'Rent Roll'!E129,"")</f>
        <v/>
      </c>
      <c r="CH1643" s="39" t="str">
        <f ca="1">IF('Rent Roll'!$AF129=1,'Rent Roll'!G129,"")</f>
        <v/>
      </c>
      <c r="CI1643" s="1547" t="str">
        <f ca="1">IF('Rent Roll'!$AF129=1,'Rent Roll'!K129,"")</f>
        <v/>
      </c>
      <c r="CJ1643" s="1551" t="str">
        <f ca="1">IF('Rent Roll'!$AF129=1,'Rent Roll'!N129,"")</f>
        <v/>
      </c>
      <c r="CK1643" s="223"/>
      <c r="CL1643" s="6"/>
      <c r="CM1643" s="10"/>
    </row>
    <row r="1644" spans="1:91" ht="15.95" hidden="1" customHeight="1" x14ac:dyDescent="0.25">
      <c r="A1644" s="957">
        <f t="shared" ca="1" si="54"/>
        <v>0</v>
      </c>
      <c r="CE1644" s="4"/>
      <c r="CF1644" s="5"/>
      <c r="CG1644" s="5" t="str">
        <f ca="1">IF('Rent Roll'!$AF130=1,'Rent Roll'!E130,"")</f>
        <v/>
      </c>
      <c r="CH1644" s="39" t="str">
        <f ca="1">IF('Rent Roll'!$AF130=1,'Rent Roll'!G130,"")</f>
        <v/>
      </c>
      <c r="CI1644" s="1547" t="str">
        <f ca="1">IF('Rent Roll'!$AF130=1,'Rent Roll'!K130,"")</f>
        <v/>
      </c>
      <c r="CJ1644" s="1551" t="str">
        <f ca="1">IF('Rent Roll'!$AF130=1,'Rent Roll'!N130,"")</f>
        <v/>
      </c>
      <c r="CK1644" s="223"/>
      <c r="CL1644" s="6"/>
      <c r="CM1644" s="10"/>
    </row>
    <row r="1645" spans="1:91" ht="15.95" hidden="1" customHeight="1" x14ac:dyDescent="0.25">
      <c r="A1645" s="957">
        <f t="shared" ca="1" si="54"/>
        <v>0</v>
      </c>
      <c r="CE1645" s="4"/>
      <c r="CF1645" s="5"/>
      <c r="CG1645" s="5" t="str">
        <f ca="1">IF('Rent Roll'!$AF131=1,'Rent Roll'!E131,"")</f>
        <v/>
      </c>
      <c r="CH1645" s="39" t="str">
        <f ca="1">IF('Rent Roll'!$AF131=1,'Rent Roll'!G131,"")</f>
        <v/>
      </c>
      <c r="CI1645" s="1547" t="str">
        <f ca="1">IF('Rent Roll'!$AF131=1,'Rent Roll'!K131,"")</f>
        <v/>
      </c>
      <c r="CJ1645" s="1551" t="str">
        <f ca="1">IF('Rent Roll'!$AF131=1,'Rent Roll'!N131,"")</f>
        <v/>
      </c>
      <c r="CK1645" s="223"/>
      <c r="CL1645" s="6"/>
      <c r="CM1645" s="10"/>
    </row>
    <row r="1646" spans="1:91" ht="15.95" hidden="1" customHeight="1" x14ac:dyDescent="0.25">
      <c r="A1646" s="957">
        <f t="shared" ca="1" si="54"/>
        <v>0</v>
      </c>
      <c r="CE1646" s="4"/>
      <c r="CF1646" s="5"/>
      <c r="CG1646" s="5" t="str">
        <f ca="1">IF('Rent Roll'!$AF132=1,'Rent Roll'!E132,"")</f>
        <v/>
      </c>
      <c r="CH1646" s="39" t="str">
        <f ca="1">IF('Rent Roll'!$AF132=1,'Rent Roll'!G132,"")</f>
        <v/>
      </c>
      <c r="CI1646" s="1547" t="str">
        <f ca="1">IF('Rent Roll'!$AF132=1,'Rent Roll'!K132,"")</f>
        <v/>
      </c>
      <c r="CJ1646" s="1551" t="str">
        <f ca="1">IF('Rent Roll'!$AF132=1,'Rent Roll'!N132,"")</f>
        <v/>
      </c>
      <c r="CK1646" s="223"/>
      <c r="CL1646" s="6"/>
      <c r="CM1646" s="10"/>
    </row>
    <row r="1647" spans="1:91" ht="15.95" hidden="1" customHeight="1" x14ac:dyDescent="0.25">
      <c r="A1647" s="957">
        <f t="shared" ca="1" si="54"/>
        <v>0</v>
      </c>
      <c r="CE1647" s="4"/>
      <c r="CF1647" s="5"/>
      <c r="CG1647" s="5" t="str">
        <f ca="1">IF('Rent Roll'!$AF133=1,'Rent Roll'!E133,"")</f>
        <v/>
      </c>
      <c r="CH1647" s="39" t="str">
        <f ca="1">IF('Rent Roll'!$AF133=1,'Rent Roll'!G133,"")</f>
        <v/>
      </c>
      <c r="CI1647" s="1547" t="str">
        <f ca="1">IF('Rent Roll'!$AF133=1,'Rent Roll'!K133,"")</f>
        <v/>
      </c>
      <c r="CJ1647" s="1551" t="str">
        <f ca="1">IF('Rent Roll'!$AF133=1,'Rent Roll'!N133,"")</f>
        <v/>
      </c>
      <c r="CK1647" s="223"/>
      <c r="CL1647" s="6"/>
      <c r="CM1647" s="10"/>
    </row>
    <row r="1648" spans="1:91" ht="15.95" hidden="1" customHeight="1" x14ac:dyDescent="0.25">
      <c r="A1648" s="957">
        <f t="shared" ca="1" si="54"/>
        <v>0</v>
      </c>
      <c r="CE1648" s="4"/>
      <c r="CF1648" s="5"/>
      <c r="CG1648" s="5" t="str">
        <f ca="1">IF('Rent Roll'!$AF134=1,'Rent Roll'!E134,"")</f>
        <v/>
      </c>
      <c r="CH1648" s="39" t="str">
        <f ca="1">IF('Rent Roll'!$AF134=1,'Rent Roll'!G134,"")</f>
        <v/>
      </c>
      <c r="CI1648" s="1547" t="str">
        <f ca="1">IF('Rent Roll'!$AF134=1,'Rent Roll'!K134,"")</f>
        <v/>
      </c>
      <c r="CJ1648" s="1551" t="str">
        <f ca="1">IF('Rent Roll'!$AF134=1,'Rent Roll'!N134,"")</f>
        <v/>
      </c>
      <c r="CK1648" s="5"/>
      <c r="CL1648" s="6"/>
      <c r="CM1648" s="10"/>
    </row>
    <row r="1649" spans="1:91" ht="15.95" hidden="1" customHeight="1" x14ac:dyDescent="0.25">
      <c r="A1649" s="957">
        <f t="shared" ref="A1649:A1680" ca="1" si="55">IF(CG1649="",0,1)</f>
        <v>0</v>
      </c>
      <c r="CE1649" s="4"/>
      <c r="CF1649" s="5"/>
      <c r="CG1649" s="5" t="str">
        <f ca="1">IF('Rent Roll'!$AF135=1,'Rent Roll'!E135,"")</f>
        <v/>
      </c>
      <c r="CH1649" s="39" t="str">
        <f ca="1">IF('Rent Roll'!$AF135=1,'Rent Roll'!G135,"")</f>
        <v/>
      </c>
      <c r="CI1649" s="1547" t="str">
        <f ca="1">IF('Rent Roll'!$AF135=1,'Rent Roll'!K135,"")</f>
        <v/>
      </c>
      <c r="CJ1649" s="1551" t="str">
        <f ca="1">IF('Rent Roll'!$AF135=1,'Rent Roll'!N135,"")</f>
        <v/>
      </c>
      <c r="CK1649" s="5"/>
      <c r="CL1649" s="6"/>
      <c r="CM1649" s="10"/>
    </row>
    <row r="1650" spans="1:91" ht="15.95" hidden="1" customHeight="1" x14ac:dyDescent="0.25">
      <c r="A1650" s="957">
        <f t="shared" ca="1" si="55"/>
        <v>0</v>
      </c>
      <c r="CE1650" s="4"/>
      <c r="CF1650" s="5"/>
      <c r="CG1650" s="5" t="str">
        <f ca="1">IF('Rent Roll'!$AF136=1,'Rent Roll'!E136,"")</f>
        <v/>
      </c>
      <c r="CH1650" s="39" t="str">
        <f ca="1">IF('Rent Roll'!$AF136=1,'Rent Roll'!G136,"")</f>
        <v/>
      </c>
      <c r="CI1650" s="1547" t="str">
        <f ca="1">IF('Rent Roll'!$AF136=1,'Rent Roll'!K136,"")</f>
        <v/>
      </c>
      <c r="CJ1650" s="1551" t="str">
        <f ca="1">IF('Rent Roll'!$AF136=1,'Rent Roll'!N136,"")</f>
        <v/>
      </c>
      <c r="CK1650" s="5"/>
      <c r="CL1650" s="6"/>
      <c r="CM1650" s="10"/>
    </row>
    <row r="1651" spans="1:91" ht="15.95" hidden="1" customHeight="1" x14ac:dyDescent="0.25">
      <c r="A1651" s="957">
        <f t="shared" ca="1" si="55"/>
        <v>0</v>
      </c>
      <c r="CE1651" s="4"/>
      <c r="CF1651" s="5"/>
      <c r="CG1651" s="5" t="str">
        <f ca="1">IF('Rent Roll'!$AF137=1,'Rent Roll'!E137,"")</f>
        <v/>
      </c>
      <c r="CH1651" s="39" t="str">
        <f ca="1">IF('Rent Roll'!$AF137=1,'Rent Roll'!G137,"")</f>
        <v/>
      </c>
      <c r="CI1651" s="1547" t="str">
        <f ca="1">IF('Rent Roll'!$AF137=1,'Rent Roll'!K137,"")</f>
        <v/>
      </c>
      <c r="CJ1651" s="1551" t="str">
        <f ca="1">IF('Rent Roll'!$AF137=1,'Rent Roll'!N137,"")</f>
        <v/>
      </c>
      <c r="CK1651" s="5"/>
      <c r="CL1651" s="6"/>
      <c r="CM1651" s="10"/>
    </row>
    <row r="1652" spans="1:91" ht="15.95" hidden="1" customHeight="1" x14ac:dyDescent="0.25">
      <c r="A1652" s="957">
        <f t="shared" ca="1" si="55"/>
        <v>0</v>
      </c>
      <c r="CE1652" s="4"/>
      <c r="CF1652" s="5"/>
      <c r="CG1652" s="5" t="str">
        <f ca="1">IF('Rent Roll'!$AF138=1,'Rent Roll'!E138,"")</f>
        <v/>
      </c>
      <c r="CH1652" s="39" t="str">
        <f ca="1">IF('Rent Roll'!$AF138=1,'Rent Roll'!G138,"")</f>
        <v/>
      </c>
      <c r="CI1652" s="1547" t="str">
        <f ca="1">IF('Rent Roll'!$AF138=1,'Rent Roll'!K138,"")</f>
        <v/>
      </c>
      <c r="CJ1652" s="1551" t="str">
        <f ca="1">IF('Rent Roll'!$AF138=1,'Rent Roll'!N138,"")</f>
        <v/>
      </c>
      <c r="CK1652" s="5"/>
      <c r="CL1652" s="6"/>
      <c r="CM1652" s="10"/>
    </row>
    <row r="1653" spans="1:91" ht="15.95" hidden="1" customHeight="1" x14ac:dyDescent="0.25">
      <c r="A1653" s="957">
        <f t="shared" ca="1" si="55"/>
        <v>0</v>
      </c>
      <c r="CE1653" s="4"/>
      <c r="CF1653" s="5"/>
      <c r="CG1653" s="5" t="str">
        <f ca="1">IF('Rent Roll'!$AF139=1,'Rent Roll'!E139,"")</f>
        <v/>
      </c>
      <c r="CH1653" s="39" t="str">
        <f ca="1">IF('Rent Roll'!$AF139=1,'Rent Roll'!G139,"")</f>
        <v/>
      </c>
      <c r="CI1653" s="1547" t="str">
        <f ca="1">IF('Rent Roll'!$AF139=1,'Rent Roll'!K139,"")</f>
        <v/>
      </c>
      <c r="CJ1653" s="1551" t="str">
        <f ca="1">IF('Rent Roll'!$AF139=1,'Rent Roll'!N139,"")</f>
        <v/>
      </c>
      <c r="CK1653" s="5"/>
      <c r="CL1653" s="6"/>
      <c r="CM1653" s="10"/>
    </row>
    <row r="1654" spans="1:91" ht="15.95" hidden="1" customHeight="1" x14ac:dyDescent="0.25">
      <c r="A1654" s="957">
        <f t="shared" ca="1" si="55"/>
        <v>0</v>
      </c>
      <c r="CE1654" s="4"/>
      <c r="CF1654" s="5"/>
      <c r="CG1654" s="5" t="str">
        <f ca="1">IF('Rent Roll'!$AF140=1,'Rent Roll'!E140,"")</f>
        <v/>
      </c>
      <c r="CH1654" s="39" t="str">
        <f ca="1">IF('Rent Roll'!$AF140=1,'Rent Roll'!G140,"")</f>
        <v/>
      </c>
      <c r="CI1654" s="1547" t="str">
        <f ca="1">IF('Rent Roll'!$AF140=1,'Rent Roll'!K140,"")</f>
        <v/>
      </c>
      <c r="CJ1654" s="1551" t="str">
        <f ca="1">IF('Rent Roll'!$AF140=1,'Rent Roll'!N140,"")</f>
        <v/>
      </c>
      <c r="CK1654" s="5"/>
      <c r="CL1654" s="6"/>
      <c r="CM1654" s="10"/>
    </row>
    <row r="1655" spans="1:91" ht="15.95" hidden="1" customHeight="1" x14ac:dyDescent="0.25">
      <c r="A1655" s="957">
        <f t="shared" ca="1" si="55"/>
        <v>0</v>
      </c>
      <c r="CE1655" s="4"/>
      <c r="CF1655" s="5"/>
      <c r="CG1655" s="5" t="str">
        <f ca="1">IF('Rent Roll'!$AF141=1,'Rent Roll'!E141,"")</f>
        <v/>
      </c>
      <c r="CH1655" s="39" t="str">
        <f ca="1">IF('Rent Roll'!$AF141=1,'Rent Roll'!G141,"")</f>
        <v/>
      </c>
      <c r="CI1655" s="1547" t="str">
        <f ca="1">IF('Rent Roll'!$AF141=1,'Rent Roll'!K141,"")</f>
        <v/>
      </c>
      <c r="CJ1655" s="1551" t="str">
        <f ca="1">IF('Rent Roll'!$AF141=1,'Rent Roll'!N141,"")</f>
        <v/>
      </c>
      <c r="CK1655" s="5"/>
      <c r="CL1655" s="6"/>
      <c r="CM1655" s="10"/>
    </row>
    <row r="1656" spans="1:91" ht="15.95" hidden="1" customHeight="1" x14ac:dyDescent="0.25">
      <c r="A1656" s="957">
        <f t="shared" ca="1" si="55"/>
        <v>0</v>
      </c>
      <c r="CE1656" s="4"/>
      <c r="CF1656" s="5"/>
      <c r="CG1656" s="5" t="str">
        <f ca="1">IF('Rent Roll'!$AF142=1,'Rent Roll'!E142,"")</f>
        <v/>
      </c>
      <c r="CH1656" s="39" t="str">
        <f ca="1">IF('Rent Roll'!$AF142=1,'Rent Roll'!G142,"")</f>
        <v/>
      </c>
      <c r="CI1656" s="1547" t="str">
        <f ca="1">IF('Rent Roll'!$AF142=1,'Rent Roll'!K142,"")</f>
        <v/>
      </c>
      <c r="CJ1656" s="1551" t="str">
        <f ca="1">IF('Rent Roll'!$AF142=1,'Rent Roll'!N142,"")</f>
        <v/>
      </c>
      <c r="CK1656" s="5"/>
      <c r="CL1656" s="6"/>
      <c r="CM1656" s="10"/>
    </row>
    <row r="1657" spans="1:91" ht="15.95" hidden="1" customHeight="1" x14ac:dyDescent="0.25">
      <c r="A1657" s="957">
        <f t="shared" ca="1" si="55"/>
        <v>0</v>
      </c>
      <c r="CE1657" s="4"/>
      <c r="CF1657" s="5"/>
      <c r="CG1657" s="5" t="str">
        <f ca="1">IF('Rent Roll'!$AF143=1,'Rent Roll'!E143,"")</f>
        <v/>
      </c>
      <c r="CH1657" s="39" t="str">
        <f ca="1">IF('Rent Roll'!$AF143=1,'Rent Roll'!G143,"")</f>
        <v/>
      </c>
      <c r="CI1657" s="1547" t="str">
        <f ca="1">IF('Rent Roll'!$AF143=1,'Rent Roll'!K143,"")</f>
        <v/>
      </c>
      <c r="CJ1657" s="1551" t="str">
        <f ca="1">IF('Rent Roll'!$AF143=1,'Rent Roll'!N143,"")</f>
        <v/>
      </c>
      <c r="CK1657" s="5"/>
      <c r="CL1657" s="6"/>
      <c r="CM1657" s="10"/>
    </row>
    <row r="1658" spans="1:91" ht="15.95" hidden="1" customHeight="1" x14ac:dyDescent="0.25">
      <c r="A1658" s="957">
        <f t="shared" ca="1" si="55"/>
        <v>0</v>
      </c>
      <c r="CE1658" s="4"/>
      <c r="CF1658" s="5"/>
      <c r="CG1658" s="5" t="str">
        <f ca="1">IF('Rent Roll'!$AF144=1,'Rent Roll'!E144,"")</f>
        <v/>
      </c>
      <c r="CH1658" s="39" t="str">
        <f ca="1">IF('Rent Roll'!$AF144=1,'Rent Roll'!G144,"")</f>
        <v/>
      </c>
      <c r="CI1658" s="1547" t="str">
        <f ca="1">IF('Rent Roll'!$AF144=1,'Rent Roll'!K144,"")</f>
        <v/>
      </c>
      <c r="CJ1658" s="1551" t="str">
        <f ca="1">IF('Rent Roll'!$AF144=1,'Rent Roll'!N144,"")</f>
        <v/>
      </c>
      <c r="CK1658" s="5"/>
      <c r="CL1658" s="6"/>
      <c r="CM1658" s="10"/>
    </row>
    <row r="1659" spans="1:91" ht="15.95" hidden="1" customHeight="1" x14ac:dyDescent="0.25">
      <c r="A1659" s="957">
        <f t="shared" ca="1" si="55"/>
        <v>0</v>
      </c>
      <c r="CE1659" s="4"/>
      <c r="CF1659" s="5"/>
      <c r="CG1659" s="5" t="str">
        <f ca="1">IF('Rent Roll'!$AF145=1,'Rent Roll'!E145,"")</f>
        <v/>
      </c>
      <c r="CH1659" s="39" t="str">
        <f ca="1">IF('Rent Roll'!$AF145=1,'Rent Roll'!G145,"")</f>
        <v/>
      </c>
      <c r="CI1659" s="1547" t="str">
        <f ca="1">IF('Rent Roll'!$AF145=1,'Rent Roll'!K145,"")</f>
        <v/>
      </c>
      <c r="CJ1659" s="1551" t="str">
        <f ca="1">IF('Rent Roll'!$AF145=1,'Rent Roll'!N145,"")</f>
        <v/>
      </c>
      <c r="CK1659" s="5"/>
      <c r="CL1659" s="6"/>
      <c r="CM1659" s="10"/>
    </row>
    <row r="1660" spans="1:91" ht="15.95" hidden="1" customHeight="1" x14ac:dyDescent="0.25">
      <c r="A1660" s="957">
        <f t="shared" ca="1" si="55"/>
        <v>0</v>
      </c>
      <c r="CE1660" s="4"/>
      <c r="CF1660" s="5"/>
      <c r="CG1660" s="5" t="str">
        <f ca="1">IF('Rent Roll'!$AF146=1,'Rent Roll'!E146,"")</f>
        <v/>
      </c>
      <c r="CH1660" s="39" t="str">
        <f ca="1">IF('Rent Roll'!$AF146=1,'Rent Roll'!G146,"")</f>
        <v/>
      </c>
      <c r="CI1660" s="1547" t="str">
        <f ca="1">IF('Rent Roll'!$AF146=1,'Rent Roll'!K146,"")</f>
        <v/>
      </c>
      <c r="CJ1660" s="1551" t="str">
        <f ca="1">IF('Rent Roll'!$AF146=1,'Rent Roll'!N146,"")</f>
        <v/>
      </c>
      <c r="CK1660" s="5"/>
      <c r="CL1660" s="6"/>
      <c r="CM1660" s="10"/>
    </row>
    <row r="1661" spans="1:91" ht="15.95" hidden="1" customHeight="1" x14ac:dyDescent="0.25">
      <c r="A1661" s="957">
        <f t="shared" ca="1" si="55"/>
        <v>0</v>
      </c>
      <c r="CE1661" s="4"/>
      <c r="CF1661" s="5"/>
      <c r="CG1661" s="5" t="str">
        <f ca="1">IF('Rent Roll'!$AF147=1,'Rent Roll'!E147,"")</f>
        <v/>
      </c>
      <c r="CH1661" s="39" t="str">
        <f ca="1">IF('Rent Roll'!$AF147=1,'Rent Roll'!G147,"")</f>
        <v/>
      </c>
      <c r="CI1661" s="1547" t="str">
        <f ca="1">IF('Rent Roll'!$AF147=1,'Rent Roll'!K147,"")</f>
        <v/>
      </c>
      <c r="CJ1661" s="1551" t="str">
        <f ca="1">IF('Rent Roll'!$AF147=1,'Rent Roll'!N147,"")</f>
        <v/>
      </c>
      <c r="CK1661" s="5"/>
      <c r="CL1661" s="6"/>
      <c r="CM1661" s="10"/>
    </row>
    <row r="1662" spans="1:91" ht="15.95" hidden="1" customHeight="1" x14ac:dyDescent="0.25">
      <c r="A1662" s="957">
        <f t="shared" ca="1" si="55"/>
        <v>0</v>
      </c>
      <c r="CE1662" s="4"/>
      <c r="CF1662" s="5"/>
      <c r="CG1662" s="5" t="str">
        <f ca="1">IF('Rent Roll'!$AF148=1,'Rent Roll'!E148,"")</f>
        <v/>
      </c>
      <c r="CH1662" s="39" t="str">
        <f ca="1">IF('Rent Roll'!$AF148=1,'Rent Roll'!G148,"")</f>
        <v/>
      </c>
      <c r="CI1662" s="1547" t="str">
        <f ca="1">IF('Rent Roll'!$AF148=1,'Rent Roll'!K148,"")</f>
        <v/>
      </c>
      <c r="CJ1662" s="1551" t="str">
        <f ca="1">IF('Rent Roll'!$AF148=1,'Rent Roll'!N148,"")</f>
        <v/>
      </c>
      <c r="CK1662" s="5"/>
      <c r="CL1662" s="6"/>
      <c r="CM1662" s="10"/>
    </row>
    <row r="1663" spans="1:91" ht="15.95" hidden="1" customHeight="1" x14ac:dyDescent="0.25">
      <c r="A1663" s="957">
        <f t="shared" ca="1" si="55"/>
        <v>0</v>
      </c>
      <c r="CE1663" s="4"/>
      <c r="CF1663" s="5"/>
      <c r="CG1663" s="5" t="str">
        <f ca="1">IF('Rent Roll'!$AF149=1,'Rent Roll'!E149,"")</f>
        <v/>
      </c>
      <c r="CH1663" s="39" t="str">
        <f ca="1">IF('Rent Roll'!$AF149=1,'Rent Roll'!G149,"")</f>
        <v/>
      </c>
      <c r="CI1663" s="1547" t="str">
        <f ca="1">IF('Rent Roll'!$AF149=1,'Rent Roll'!K149,"")</f>
        <v/>
      </c>
      <c r="CJ1663" s="1551" t="str">
        <f ca="1">IF('Rent Roll'!$AF149=1,'Rent Roll'!N149,"")</f>
        <v/>
      </c>
      <c r="CK1663" s="5"/>
      <c r="CL1663" s="6"/>
      <c r="CM1663" s="10"/>
    </row>
    <row r="1664" spans="1:91" ht="15.95" hidden="1" customHeight="1" x14ac:dyDescent="0.25">
      <c r="A1664" s="957">
        <f t="shared" ca="1" si="55"/>
        <v>0</v>
      </c>
      <c r="CE1664" s="4"/>
      <c r="CF1664" s="5"/>
      <c r="CG1664" s="5" t="str">
        <f ca="1">IF('Rent Roll'!$AF150=1,'Rent Roll'!E150,"")</f>
        <v/>
      </c>
      <c r="CH1664" s="39" t="str">
        <f ca="1">IF('Rent Roll'!$AF150=1,'Rent Roll'!G150,"")</f>
        <v/>
      </c>
      <c r="CI1664" s="1547" t="str">
        <f ca="1">IF('Rent Roll'!$AF150=1,'Rent Roll'!K150,"")</f>
        <v/>
      </c>
      <c r="CJ1664" s="1551" t="str">
        <f ca="1">IF('Rent Roll'!$AF150=1,'Rent Roll'!N150,"")</f>
        <v/>
      </c>
      <c r="CK1664" s="5"/>
      <c r="CL1664" s="6"/>
      <c r="CM1664" s="10"/>
    </row>
    <row r="1665" spans="1:91" ht="15.95" hidden="1" customHeight="1" x14ac:dyDescent="0.25">
      <c r="A1665" s="957">
        <f t="shared" ca="1" si="55"/>
        <v>0</v>
      </c>
      <c r="CE1665" s="4"/>
      <c r="CF1665" s="5"/>
      <c r="CG1665" s="5" t="str">
        <f ca="1">IF('Rent Roll'!$AF151=1,'Rent Roll'!E151,"")</f>
        <v/>
      </c>
      <c r="CH1665" s="39" t="str">
        <f ca="1">IF('Rent Roll'!$AF151=1,'Rent Roll'!G151,"")</f>
        <v/>
      </c>
      <c r="CI1665" s="1547" t="str">
        <f ca="1">IF('Rent Roll'!$AF151=1,'Rent Roll'!K151,"")</f>
        <v/>
      </c>
      <c r="CJ1665" s="1551" t="str">
        <f ca="1">IF('Rent Roll'!$AF151=1,'Rent Roll'!N151,"")</f>
        <v/>
      </c>
      <c r="CK1665" s="5"/>
      <c r="CL1665" s="6"/>
      <c r="CM1665" s="10"/>
    </row>
    <row r="1666" spans="1:91" ht="15.95" hidden="1" customHeight="1" x14ac:dyDescent="0.25">
      <c r="A1666" s="957">
        <f t="shared" ca="1" si="55"/>
        <v>0</v>
      </c>
      <c r="CE1666" s="4"/>
      <c r="CF1666" s="5"/>
      <c r="CG1666" s="5" t="str">
        <f ca="1">IF('Rent Roll'!$AF152=1,'Rent Roll'!E152,"")</f>
        <v/>
      </c>
      <c r="CH1666" s="39" t="str">
        <f ca="1">IF('Rent Roll'!$AF152=1,'Rent Roll'!G152,"")</f>
        <v/>
      </c>
      <c r="CI1666" s="1547" t="str">
        <f ca="1">IF('Rent Roll'!$AF152=1,'Rent Roll'!K152,"")</f>
        <v/>
      </c>
      <c r="CJ1666" s="1551" t="str">
        <f ca="1">IF('Rent Roll'!$AF152=1,'Rent Roll'!N152,"")</f>
        <v/>
      </c>
      <c r="CK1666" s="5"/>
      <c r="CL1666" s="6"/>
      <c r="CM1666" s="10"/>
    </row>
    <row r="1667" spans="1:91" ht="15.95" hidden="1" customHeight="1" x14ac:dyDescent="0.25">
      <c r="A1667" s="957">
        <f t="shared" ca="1" si="55"/>
        <v>0</v>
      </c>
      <c r="CE1667" s="4"/>
      <c r="CF1667" s="5"/>
      <c r="CG1667" s="5" t="str">
        <f ca="1">IF('Rent Roll'!$AF153=1,'Rent Roll'!E153,"")</f>
        <v/>
      </c>
      <c r="CH1667" s="39" t="str">
        <f ca="1">IF('Rent Roll'!$AF153=1,'Rent Roll'!G153,"")</f>
        <v/>
      </c>
      <c r="CI1667" s="1547" t="str">
        <f ca="1">IF('Rent Roll'!$AF153=1,'Rent Roll'!K153,"")</f>
        <v/>
      </c>
      <c r="CJ1667" s="1551" t="str">
        <f ca="1">IF('Rent Roll'!$AF153=1,'Rent Roll'!N153,"")</f>
        <v/>
      </c>
      <c r="CK1667" s="5"/>
      <c r="CL1667" s="6"/>
      <c r="CM1667" s="10"/>
    </row>
    <row r="1668" spans="1:91" ht="15.95" hidden="1" customHeight="1" x14ac:dyDescent="0.25">
      <c r="A1668" s="957">
        <f t="shared" ca="1" si="55"/>
        <v>0</v>
      </c>
      <c r="CE1668" s="4"/>
      <c r="CF1668" s="5"/>
      <c r="CG1668" s="5" t="str">
        <f ca="1">IF('Rent Roll'!$AF154=1,'Rent Roll'!E154,"")</f>
        <v/>
      </c>
      <c r="CH1668" s="39" t="str">
        <f ca="1">IF('Rent Roll'!$AF154=1,'Rent Roll'!G154,"")</f>
        <v/>
      </c>
      <c r="CI1668" s="1547" t="str">
        <f ca="1">IF('Rent Roll'!$AF154=1,'Rent Roll'!K154,"")</f>
        <v/>
      </c>
      <c r="CJ1668" s="1551" t="str">
        <f ca="1">IF('Rent Roll'!$AF154=1,'Rent Roll'!N154,"")</f>
        <v/>
      </c>
      <c r="CK1668" s="5"/>
      <c r="CL1668" s="6"/>
      <c r="CM1668" s="10"/>
    </row>
    <row r="1669" spans="1:91" ht="15.95" hidden="1" customHeight="1" x14ac:dyDescent="0.25">
      <c r="A1669" s="957">
        <f t="shared" ca="1" si="55"/>
        <v>0</v>
      </c>
      <c r="CE1669" s="4"/>
      <c r="CF1669" s="5"/>
      <c r="CG1669" s="5" t="str">
        <f ca="1">IF('Rent Roll'!$AF155=1,'Rent Roll'!E155,"")</f>
        <v/>
      </c>
      <c r="CH1669" s="39" t="str">
        <f ca="1">IF('Rent Roll'!$AF155=1,'Rent Roll'!G155,"")</f>
        <v/>
      </c>
      <c r="CI1669" s="1547" t="str">
        <f ca="1">IF('Rent Roll'!$AF155=1,'Rent Roll'!K155,"")</f>
        <v/>
      </c>
      <c r="CJ1669" s="1551" t="str">
        <f ca="1">IF('Rent Roll'!$AF155=1,'Rent Roll'!N155,"")</f>
        <v/>
      </c>
      <c r="CK1669" s="5"/>
      <c r="CL1669" s="6"/>
      <c r="CM1669" s="10"/>
    </row>
    <row r="1670" spans="1:91" ht="15.95" hidden="1" customHeight="1" x14ac:dyDescent="0.25">
      <c r="A1670" s="957">
        <f t="shared" ca="1" si="55"/>
        <v>0</v>
      </c>
      <c r="CE1670" s="4"/>
      <c r="CF1670" s="5"/>
      <c r="CG1670" s="5" t="str">
        <f ca="1">IF('Rent Roll'!$AF156=1,'Rent Roll'!E156,"")</f>
        <v/>
      </c>
      <c r="CH1670" s="39" t="str">
        <f ca="1">IF('Rent Roll'!$AF156=1,'Rent Roll'!G156,"")</f>
        <v/>
      </c>
      <c r="CI1670" s="1547" t="str">
        <f ca="1">IF('Rent Roll'!$AF156=1,'Rent Roll'!K156,"")</f>
        <v/>
      </c>
      <c r="CJ1670" s="1551" t="str">
        <f ca="1">IF('Rent Roll'!$AF156=1,'Rent Roll'!N156,"")</f>
        <v/>
      </c>
      <c r="CK1670" s="5"/>
      <c r="CL1670" s="6"/>
      <c r="CM1670" s="10"/>
    </row>
    <row r="1671" spans="1:91" ht="15.95" hidden="1" customHeight="1" x14ac:dyDescent="0.25">
      <c r="A1671" s="957">
        <f t="shared" ca="1" si="55"/>
        <v>0</v>
      </c>
      <c r="CE1671" s="4"/>
      <c r="CF1671" s="5"/>
      <c r="CG1671" s="5" t="str">
        <f ca="1">IF('Rent Roll'!$AF157=1,'Rent Roll'!E157,"")</f>
        <v/>
      </c>
      <c r="CH1671" s="39" t="str">
        <f ca="1">IF('Rent Roll'!$AF157=1,'Rent Roll'!G157,"")</f>
        <v/>
      </c>
      <c r="CI1671" s="1547" t="str">
        <f ca="1">IF('Rent Roll'!$AF157=1,'Rent Roll'!K157,"")</f>
        <v/>
      </c>
      <c r="CJ1671" s="1551" t="str">
        <f ca="1">IF('Rent Roll'!$AF157=1,'Rent Roll'!N157,"")</f>
        <v/>
      </c>
      <c r="CK1671" s="5"/>
      <c r="CL1671" s="6"/>
      <c r="CM1671" s="10"/>
    </row>
    <row r="1672" spans="1:91" ht="15.95" hidden="1" customHeight="1" x14ac:dyDescent="0.25">
      <c r="A1672" s="957">
        <f t="shared" ca="1" si="55"/>
        <v>0</v>
      </c>
      <c r="CE1672" s="4"/>
      <c r="CF1672" s="5"/>
      <c r="CG1672" s="5" t="str">
        <f ca="1">IF('Rent Roll'!$AF158=1,'Rent Roll'!E158,"")</f>
        <v/>
      </c>
      <c r="CH1672" s="39" t="str">
        <f ca="1">IF('Rent Roll'!$AF158=1,'Rent Roll'!G158,"")</f>
        <v/>
      </c>
      <c r="CI1672" s="1547" t="str">
        <f ca="1">IF('Rent Roll'!$AF158=1,'Rent Roll'!K158,"")</f>
        <v/>
      </c>
      <c r="CJ1672" s="1551" t="str">
        <f ca="1">IF('Rent Roll'!$AF158=1,'Rent Roll'!N158,"")</f>
        <v/>
      </c>
      <c r="CK1672" s="5"/>
      <c r="CL1672" s="6"/>
      <c r="CM1672" s="10"/>
    </row>
    <row r="1673" spans="1:91" ht="15.95" hidden="1" customHeight="1" x14ac:dyDescent="0.25">
      <c r="A1673" s="957">
        <f t="shared" ca="1" si="55"/>
        <v>0</v>
      </c>
      <c r="CE1673" s="4"/>
      <c r="CF1673" s="5"/>
      <c r="CG1673" s="5" t="str">
        <f ca="1">IF('Rent Roll'!$AF159=1,'Rent Roll'!E159,"")</f>
        <v/>
      </c>
      <c r="CH1673" s="39" t="str">
        <f ca="1">IF('Rent Roll'!$AF159=1,'Rent Roll'!G159,"")</f>
        <v/>
      </c>
      <c r="CI1673" s="1547" t="str">
        <f ca="1">IF('Rent Roll'!$AF159=1,'Rent Roll'!K159,"")</f>
        <v/>
      </c>
      <c r="CJ1673" s="1551" t="str">
        <f ca="1">IF('Rent Roll'!$AF159=1,'Rent Roll'!N159,"")</f>
        <v/>
      </c>
      <c r="CK1673" s="5"/>
      <c r="CL1673" s="6"/>
      <c r="CM1673" s="10"/>
    </row>
    <row r="1674" spans="1:91" ht="15.95" hidden="1" customHeight="1" x14ac:dyDescent="0.25">
      <c r="A1674" s="957">
        <f t="shared" ca="1" si="55"/>
        <v>0</v>
      </c>
      <c r="CE1674" s="4"/>
      <c r="CF1674" s="5"/>
      <c r="CG1674" s="5" t="str">
        <f ca="1">IF('Rent Roll'!$AF160=1,'Rent Roll'!E160,"")</f>
        <v/>
      </c>
      <c r="CH1674" s="39" t="str">
        <f ca="1">IF('Rent Roll'!$AF160=1,'Rent Roll'!G160,"")</f>
        <v/>
      </c>
      <c r="CI1674" s="1547" t="str">
        <f ca="1">IF('Rent Roll'!$AF160=1,'Rent Roll'!K160,"")</f>
        <v/>
      </c>
      <c r="CJ1674" s="1551" t="str">
        <f ca="1">IF('Rent Roll'!$AF160=1,'Rent Roll'!N160,"")</f>
        <v/>
      </c>
      <c r="CK1674" s="5"/>
      <c r="CL1674" s="6"/>
      <c r="CM1674" s="10"/>
    </row>
    <row r="1675" spans="1:91" ht="15.95" hidden="1" customHeight="1" x14ac:dyDescent="0.25">
      <c r="A1675" s="957">
        <f t="shared" ca="1" si="55"/>
        <v>0</v>
      </c>
      <c r="CE1675" s="4"/>
      <c r="CF1675" s="5"/>
      <c r="CG1675" s="5" t="str">
        <f ca="1">IF('Rent Roll'!$AF161=1,'Rent Roll'!E161,"")</f>
        <v/>
      </c>
      <c r="CH1675" s="39" t="str">
        <f ca="1">IF('Rent Roll'!$AF161=1,'Rent Roll'!G161,"")</f>
        <v/>
      </c>
      <c r="CI1675" s="1547" t="str">
        <f ca="1">IF('Rent Roll'!$AF161=1,'Rent Roll'!K161,"")</f>
        <v/>
      </c>
      <c r="CJ1675" s="1551" t="str">
        <f ca="1">IF('Rent Roll'!$AF161=1,'Rent Roll'!N161,"")</f>
        <v/>
      </c>
      <c r="CK1675" s="5"/>
      <c r="CL1675" s="6"/>
      <c r="CM1675" s="10"/>
    </row>
    <row r="1676" spans="1:91" ht="15.95" hidden="1" customHeight="1" x14ac:dyDescent="0.25">
      <c r="A1676" s="957">
        <f t="shared" ca="1" si="55"/>
        <v>0</v>
      </c>
      <c r="CE1676" s="4"/>
      <c r="CF1676" s="5"/>
      <c r="CG1676" s="5" t="str">
        <f ca="1">IF('Rent Roll'!$AF162=1,'Rent Roll'!E162,"")</f>
        <v/>
      </c>
      <c r="CH1676" s="39" t="str">
        <f ca="1">IF('Rent Roll'!$AF162=1,'Rent Roll'!G162,"")</f>
        <v/>
      </c>
      <c r="CI1676" s="1547" t="str">
        <f ca="1">IF('Rent Roll'!$AF162=1,'Rent Roll'!K162,"")</f>
        <v/>
      </c>
      <c r="CJ1676" s="1551" t="str">
        <f ca="1">IF('Rent Roll'!$AF162=1,'Rent Roll'!N162,"")</f>
        <v/>
      </c>
      <c r="CK1676" s="5"/>
      <c r="CL1676" s="6"/>
      <c r="CM1676" s="10"/>
    </row>
    <row r="1677" spans="1:91" ht="15.95" hidden="1" customHeight="1" x14ac:dyDescent="0.25">
      <c r="A1677" s="957">
        <f t="shared" ca="1" si="55"/>
        <v>0</v>
      </c>
      <c r="CE1677" s="4"/>
      <c r="CF1677" s="5"/>
      <c r="CG1677" s="5" t="str">
        <f ca="1">IF('Rent Roll'!$AF163=1,'Rent Roll'!E163,"")</f>
        <v/>
      </c>
      <c r="CH1677" s="39" t="str">
        <f ca="1">IF('Rent Roll'!$AF163=1,'Rent Roll'!G163,"")</f>
        <v/>
      </c>
      <c r="CI1677" s="1547" t="str">
        <f ca="1">IF('Rent Roll'!$AF163=1,'Rent Roll'!K163,"")</f>
        <v/>
      </c>
      <c r="CJ1677" s="1551" t="str">
        <f ca="1">IF('Rent Roll'!$AF163=1,'Rent Roll'!N163,"")</f>
        <v/>
      </c>
      <c r="CK1677" s="5"/>
      <c r="CL1677" s="6"/>
      <c r="CM1677" s="10"/>
    </row>
    <row r="1678" spans="1:91" ht="15.95" hidden="1" customHeight="1" x14ac:dyDescent="0.25">
      <c r="A1678" s="957">
        <f t="shared" ca="1" si="55"/>
        <v>0</v>
      </c>
      <c r="CE1678" s="4"/>
      <c r="CF1678" s="5"/>
      <c r="CG1678" s="5" t="str">
        <f ca="1">IF('Rent Roll'!$AF164=1,'Rent Roll'!E164,"")</f>
        <v/>
      </c>
      <c r="CH1678" s="39" t="str">
        <f ca="1">IF('Rent Roll'!$AF164=1,'Rent Roll'!G164,"")</f>
        <v/>
      </c>
      <c r="CI1678" s="1547" t="str">
        <f ca="1">IF('Rent Roll'!$AF164=1,'Rent Roll'!K164,"")</f>
        <v/>
      </c>
      <c r="CJ1678" s="1551" t="str">
        <f ca="1">IF('Rent Roll'!$AF164=1,'Rent Roll'!N164,"")</f>
        <v/>
      </c>
      <c r="CK1678" s="5"/>
      <c r="CL1678" s="6"/>
      <c r="CM1678" s="10"/>
    </row>
    <row r="1679" spans="1:91" ht="15.95" hidden="1" customHeight="1" x14ac:dyDescent="0.25">
      <c r="A1679" s="957">
        <f t="shared" ca="1" si="55"/>
        <v>0</v>
      </c>
      <c r="CE1679" s="4"/>
      <c r="CF1679" s="5"/>
      <c r="CG1679" s="5" t="str">
        <f ca="1">IF('Rent Roll'!$AF165=1,'Rent Roll'!E165,"")</f>
        <v/>
      </c>
      <c r="CH1679" s="39" t="str">
        <f ca="1">IF('Rent Roll'!$AF165=1,'Rent Roll'!G165,"")</f>
        <v/>
      </c>
      <c r="CI1679" s="1547" t="str">
        <f ca="1">IF('Rent Roll'!$AF165=1,'Rent Roll'!K165,"")</f>
        <v/>
      </c>
      <c r="CJ1679" s="1551" t="str">
        <f ca="1">IF('Rent Roll'!$AF165=1,'Rent Roll'!N165,"")</f>
        <v/>
      </c>
      <c r="CK1679" s="5"/>
      <c r="CL1679" s="6"/>
      <c r="CM1679" s="10"/>
    </row>
    <row r="1680" spans="1:91" ht="15.95" hidden="1" customHeight="1" x14ac:dyDescent="0.25">
      <c r="A1680" s="957">
        <f t="shared" ca="1" si="55"/>
        <v>0</v>
      </c>
      <c r="CE1680" s="4"/>
      <c r="CF1680" s="5"/>
      <c r="CG1680" s="5" t="str">
        <f ca="1">IF('Rent Roll'!$AF166=1,'Rent Roll'!E166,"")</f>
        <v/>
      </c>
      <c r="CH1680" s="39" t="str">
        <f ca="1">IF('Rent Roll'!$AF166=1,'Rent Roll'!G166,"")</f>
        <v/>
      </c>
      <c r="CI1680" s="1547" t="str">
        <f ca="1">IF('Rent Roll'!$AF166=1,'Rent Roll'!K166,"")</f>
        <v/>
      </c>
      <c r="CJ1680" s="1551" t="str">
        <f ca="1">IF('Rent Roll'!$AF166=1,'Rent Roll'!N166,"")</f>
        <v/>
      </c>
      <c r="CK1680" s="5"/>
      <c r="CL1680" s="6"/>
      <c r="CM1680" s="10"/>
    </row>
    <row r="1681" spans="1:91" ht="15.95" hidden="1" customHeight="1" x14ac:dyDescent="0.25">
      <c r="A1681" s="957">
        <f t="shared" ref="A1681:A1712" ca="1" si="56">IF(CG1681="",0,1)</f>
        <v>0</v>
      </c>
      <c r="CE1681" s="4"/>
      <c r="CF1681" s="5"/>
      <c r="CG1681" s="5" t="str">
        <f ca="1">IF('Rent Roll'!$AF167=1,'Rent Roll'!E167,"")</f>
        <v/>
      </c>
      <c r="CH1681" s="39" t="str">
        <f ca="1">IF('Rent Roll'!$AF167=1,'Rent Roll'!G167,"")</f>
        <v/>
      </c>
      <c r="CI1681" s="1547" t="str">
        <f ca="1">IF('Rent Roll'!$AF167=1,'Rent Roll'!K167,"")</f>
        <v/>
      </c>
      <c r="CJ1681" s="1551" t="str">
        <f ca="1">IF('Rent Roll'!$AF167=1,'Rent Roll'!N167,"")</f>
        <v/>
      </c>
      <c r="CK1681" s="5"/>
      <c r="CL1681" s="6"/>
      <c r="CM1681" s="10"/>
    </row>
    <row r="1682" spans="1:91" ht="15.95" hidden="1" customHeight="1" x14ac:dyDescent="0.25">
      <c r="A1682" s="957">
        <f t="shared" ca="1" si="56"/>
        <v>0</v>
      </c>
      <c r="CE1682" s="4"/>
      <c r="CF1682" s="5"/>
      <c r="CG1682" s="5" t="str">
        <f ca="1">IF('Rent Roll'!$AF168=1,'Rent Roll'!E168,"")</f>
        <v/>
      </c>
      <c r="CH1682" s="39" t="str">
        <f ca="1">IF('Rent Roll'!$AF168=1,'Rent Roll'!G168,"")</f>
        <v/>
      </c>
      <c r="CI1682" s="1547" t="str">
        <f ca="1">IF('Rent Roll'!$AF168=1,'Rent Roll'!K168,"")</f>
        <v/>
      </c>
      <c r="CJ1682" s="1551" t="str">
        <f ca="1">IF('Rent Roll'!$AF168=1,'Rent Roll'!N168,"")</f>
        <v/>
      </c>
      <c r="CK1682" s="5"/>
      <c r="CL1682" s="6"/>
      <c r="CM1682" s="10"/>
    </row>
    <row r="1683" spans="1:91" ht="15.95" hidden="1" customHeight="1" x14ac:dyDescent="0.25">
      <c r="A1683" s="957">
        <f t="shared" ca="1" si="56"/>
        <v>0</v>
      </c>
      <c r="CE1683" s="4"/>
      <c r="CF1683" s="5"/>
      <c r="CG1683" s="5" t="str">
        <f ca="1">IF('Rent Roll'!$AF169=1,'Rent Roll'!E169,"")</f>
        <v/>
      </c>
      <c r="CH1683" s="39" t="str">
        <f ca="1">IF('Rent Roll'!$AF169=1,'Rent Roll'!G169,"")</f>
        <v/>
      </c>
      <c r="CI1683" s="1547" t="str">
        <f ca="1">IF('Rent Roll'!$AF169=1,'Rent Roll'!K169,"")</f>
        <v/>
      </c>
      <c r="CJ1683" s="1551" t="str">
        <f ca="1">IF('Rent Roll'!$AF169=1,'Rent Roll'!N169,"")</f>
        <v/>
      </c>
      <c r="CK1683" s="5"/>
      <c r="CL1683" s="6"/>
      <c r="CM1683" s="10"/>
    </row>
    <row r="1684" spans="1:91" ht="15.95" hidden="1" customHeight="1" x14ac:dyDescent="0.25">
      <c r="A1684" s="957">
        <f t="shared" ca="1" si="56"/>
        <v>0</v>
      </c>
      <c r="CE1684" s="4"/>
      <c r="CF1684" s="5"/>
      <c r="CG1684" s="5" t="str">
        <f ca="1">IF('Rent Roll'!$AF170=1,'Rent Roll'!E170,"")</f>
        <v/>
      </c>
      <c r="CH1684" s="39" t="str">
        <f ca="1">IF('Rent Roll'!$AF170=1,'Rent Roll'!G170,"")</f>
        <v/>
      </c>
      <c r="CI1684" s="1547" t="str">
        <f ca="1">IF('Rent Roll'!$AF170=1,'Rent Roll'!K170,"")</f>
        <v/>
      </c>
      <c r="CJ1684" s="1551" t="str">
        <f ca="1">IF('Rent Roll'!$AF170=1,'Rent Roll'!N170,"")</f>
        <v/>
      </c>
      <c r="CK1684" s="5"/>
      <c r="CL1684" s="6"/>
      <c r="CM1684" s="10"/>
    </row>
    <row r="1685" spans="1:91" ht="15.95" hidden="1" customHeight="1" x14ac:dyDescent="0.25">
      <c r="A1685" s="957">
        <f t="shared" ca="1" si="56"/>
        <v>0</v>
      </c>
      <c r="CE1685" s="4"/>
      <c r="CF1685" s="5"/>
      <c r="CG1685" s="5" t="str">
        <f ca="1">IF('Rent Roll'!$AF171=1,'Rent Roll'!E171,"")</f>
        <v/>
      </c>
      <c r="CH1685" s="39" t="str">
        <f ca="1">IF('Rent Roll'!$AF171=1,'Rent Roll'!G171,"")</f>
        <v/>
      </c>
      <c r="CI1685" s="1547" t="str">
        <f ca="1">IF('Rent Roll'!$AF171=1,'Rent Roll'!K171,"")</f>
        <v/>
      </c>
      <c r="CJ1685" s="1551" t="str">
        <f ca="1">IF('Rent Roll'!$AF171=1,'Rent Roll'!N171,"")</f>
        <v/>
      </c>
      <c r="CK1685" s="5"/>
      <c r="CL1685" s="6"/>
      <c r="CM1685" s="10"/>
    </row>
    <row r="1686" spans="1:91" ht="15.95" hidden="1" customHeight="1" x14ac:dyDescent="0.25">
      <c r="A1686" s="957">
        <f t="shared" ca="1" si="56"/>
        <v>0</v>
      </c>
      <c r="CE1686" s="4"/>
      <c r="CF1686" s="5"/>
      <c r="CG1686" s="5" t="str">
        <f ca="1">IF('Rent Roll'!$AF172=1,'Rent Roll'!E172,"")</f>
        <v/>
      </c>
      <c r="CH1686" s="39" t="str">
        <f ca="1">IF('Rent Roll'!$AF172=1,'Rent Roll'!G172,"")</f>
        <v/>
      </c>
      <c r="CI1686" s="1547" t="str">
        <f ca="1">IF('Rent Roll'!$AF172=1,'Rent Roll'!K172,"")</f>
        <v/>
      </c>
      <c r="CJ1686" s="1551" t="str">
        <f ca="1">IF('Rent Roll'!$AF172=1,'Rent Roll'!N172,"")</f>
        <v/>
      </c>
      <c r="CK1686" s="5"/>
      <c r="CL1686" s="6"/>
      <c r="CM1686" s="10"/>
    </row>
    <row r="1687" spans="1:91" ht="15.95" hidden="1" customHeight="1" x14ac:dyDescent="0.25">
      <c r="A1687" s="957">
        <f t="shared" ca="1" si="56"/>
        <v>0</v>
      </c>
      <c r="CE1687" s="4"/>
      <c r="CF1687" s="5"/>
      <c r="CG1687" s="5" t="str">
        <f ca="1">IF('Rent Roll'!$AF173=1,'Rent Roll'!E173,"")</f>
        <v/>
      </c>
      <c r="CH1687" s="39" t="str">
        <f ca="1">IF('Rent Roll'!$AF173=1,'Rent Roll'!G173,"")</f>
        <v/>
      </c>
      <c r="CI1687" s="1547" t="str">
        <f ca="1">IF('Rent Roll'!$AF173=1,'Rent Roll'!K173,"")</f>
        <v/>
      </c>
      <c r="CJ1687" s="1551" t="str">
        <f ca="1">IF('Rent Roll'!$AF173=1,'Rent Roll'!N173,"")</f>
        <v/>
      </c>
      <c r="CK1687" s="5"/>
      <c r="CL1687" s="6"/>
      <c r="CM1687" s="10"/>
    </row>
    <row r="1688" spans="1:91" ht="15.95" hidden="1" customHeight="1" x14ac:dyDescent="0.25">
      <c r="A1688" s="957">
        <f t="shared" ca="1" si="56"/>
        <v>0</v>
      </c>
      <c r="CE1688" s="4"/>
      <c r="CF1688" s="5"/>
      <c r="CG1688" s="5" t="str">
        <f ca="1">IF('Rent Roll'!$AF174=1,'Rent Roll'!E174,"")</f>
        <v/>
      </c>
      <c r="CH1688" s="39" t="str">
        <f ca="1">IF('Rent Roll'!$AF174=1,'Rent Roll'!G174,"")</f>
        <v/>
      </c>
      <c r="CI1688" s="1547" t="str">
        <f ca="1">IF('Rent Roll'!$AF174=1,'Rent Roll'!K174,"")</f>
        <v/>
      </c>
      <c r="CJ1688" s="1551" t="str">
        <f ca="1">IF('Rent Roll'!$AF174=1,'Rent Roll'!N174,"")</f>
        <v/>
      </c>
      <c r="CK1688" s="5"/>
      <c r="CL1688" s="6"/>
      <c r="CM1688" s="10"/>
    </row>
    <row r="1689" spans="1:91" ht="15.95" hidden="1" customHeight="1" x14ac:dyDescent="0.25">
      <c r="A1689" s="957">
        <f t="shared" ca="1" si="56"/>
        <v>0</v>
      </c>
      <c r="CE1689" s="4"/>
      <c r="CF1689" s="5"/>
      <c r="CG1689" s="5" t="str">
        <f ca="1">IF('Rent Roll'!$AF175=1,'Rent Roll'!E175,"")</f>
        <v/>
      </c>
      <c r="CH1689" s="39" t="str">
        <f ca="1">IF('Rent Roll'!$AF175=1,'Rent Roll'!G175,"")</f>
        <v/>
      </c>
      <c r="CI1689" s="1547" t="str">
        <f ca="1">IF('Rent Roll'!$AF175=1,'Rent Roll'!K175,"")</f>
        <v/>
      </c>
      <c r="CJ1689" s="1551" t="str">
        <f ca="1">IF('Rent Roll'!$AF175=1,'Rent Roll'!N175,"")</f>
        <v/>
      </c>
      <c r="CK1689" s="5"/>
      <c r="CL1689" s="6"/>
      <c r="CM1689" s="10"/>
    </row>
    <row r="1690" spans="1:91" ht="15.95" hidden="1" customHeight="1" x14ac:dyDescent="0.25">
      <c r="A1690" s="957">
        <f t="shared" ca="1" si="56"/>
        <v>0</v>
      </c>
      <c r="CE1690" s="4"/>
      <c r="CF1690" s="5"/>
      <c r="CG1690" s="5" t="str">
        <f ca="1">IF('Rent Roll'!$AF176=1,'Rent Roll'!E176,"")</f>
        <v/>
      </c>
      <c r="CH1690" s="39" t="str">
        <f ca="1">IF('Rent Roll'!$AF176=1,'Rent Roll'!G176,"")</f>
        <v/>
      </c>
      <c r="CI1690" s="1547" t="str">
        <f ca="1">IF('Rent Roll'!$AF176=1,'Rent Roll'!K176,"")</f>
        <v/>
      </c>
      <c r="CJ1690" s="1551" t="str">
        <f ca="1">IF('Rent Roll'!$AF176=1,'Rent Roll'!N176,"")</f>
        <v/>
      </c>
      <c r="CK1690" s="5"/>
      <c r="CL1690" s="6"/>
      <c r="CM1690" s="10"/>
    </row>
    <row r="1691" spans="1:91" ht="15.95" hidden="1" customHeight="1" x14ac:dyDescent="0.25">
      <c r="A1691" s="957">
        <f t="shared" ca="1" si="56"/>
        <v>0</v>
      </c>
      <c r="CE1691" s="4"/>
      <c r="CF1691" s="5"/>
      <c r="CG1691" s="5" t="str">
        <f ca="1">IF('Rent Roll'!$AF177=1,'Rent Roll'!E177,"")</f>
        <v/>
      </c>
      <c r="CH1691" s="39" t="str">
        <f ca="1">IF('Rent Roll'!$AF177=1,'Rent Roll'!G177,"")</f>
        <v/>
      </c>
      <c r="CI1691" s="1547" t="str">
        <f ca="1">IF('Rent Roll'!$AF177=1,'Rent Roll'!K177,"")</f>
        <v/>
      </c>
      <c r="CJ1691" s="1551" t="str">
        <f ca="1">IF('Rent Roll'!$AF177=1,'Rent Roll'!N177,"")</f>
        <v/>
      </c>
      <c r="CK1691" s="5"/>
      <c r="CL1691" s="6"/>
      <c r="CM1691" s="10"/>
    </row>
    <row r="1692" spans="1:91" ht="15.95" hidden="1" customHeight="1" x14ac:dyDescent="0.25">
      <c r="A1692" s="957">
        <f t="shared" ca="1" si="56"/>
        <v>0</v>
      </c>
      <c r="CE1692" s="4"/>
      <c r="CF1692" s="5"/>
      <c r="CG1692" s="5" t="str">
        <f ca="1">IF('Rent Roll'!$AF178=1,'Rent Roll'!E178,"")</f>
        <v/>
      </c>
      <c r="CH1692" s="39" t="str">
        <f ca="1">IF('Rent Roll'!$AF178=1,'Rent Roll'!G178,"")</f>
        <v/>
      </c>
      <c r="CI1692" s="1547" t="str">
        <f ca="1">IF('Rent Roll'!$AF178=1,'Rent Roll'!K178,"")</f>
        <v/>
      </c>
      <c r="CJ1692" s="1551" t="str">
        <f ca="1">IF('Rent Roll'!$AF178=1,'Rent Roll'!N178,"")</f>
        <v/>
      </c>
      <c r="CK1692" s="5"/>
      <c r="CL1692" s="6"/>
      <c r="CM1692" s="10"/>
    </row>
    <row r="1693" spans="1:91" ht="15.95" hidden="1" customHeight="1" x14ac:dyDescent="0.25">
      <c r="A1693" s="957">
        <f t="shared" ca="1" si="56"/>
        <v>0</v>
      </c>
      <c r="CE1693" s="4"/>
      <c r="CF1693" s="5"/>
      <c r="CG1693" s="5" t="str">
        <f ca="1">IF('Rent Roll'!$AF179=1,'Rent Roll'!E179,"")</f>
        <v/>
      </c>
      <c r="CH1693" s="39" t="str">
        <f ca="1">IF('Rent Roll'!$AF179=1,'Rent Roll'!G179,"")</f>
        <v/>
      </c>
      <c r="CI1693" s="1547" t="str">
        <f ca="1">IF('Rent Roll'!$AF179=1,'Rent Roll'!K179,"")</f>
        <v/>
      </c>
      <c r="CJ1693" s="1551" t="str">
        <f ca="1">IF('Rent Roll'!$AF179=1,'Rent Roll'!N179,"")</f>
        <v/>
      </c>
      <c r="CK1693" s="5"/>
      <c r="CL1693" s="6"/>
      <c r="CM1693" s="10"/>
    </row>
    <row r="1694" spans="1:91" ht="15.95" hidden="1" customHeight="1" x14ac:dyDescent="0.25">
      <c r="A1694" s="957">
        <f t="shared" ca="1" si="56"/>
        <v>0</v>
      </c>
      <c r="CE1694" s="4"/>
      <c r="CF1694" s="5"/>
      <c r="CG1694" s="5" t="str">
        <f ca="1">IF('Rent Roll'!$AF180=1,'Rent Roll'!E180,"")</f>
        <v/>
      </c>
      <c r="CH1694" s="39" t="str">
        <f ca="1">IF('Rent Roll'!$AF180=1,'Rent Roll'!G180,"")</f>
        <v/>
      </c>
      <c r="CI1694" s="1547" t="str">
        <f ca="1">IF('Rent Roll'!$AF180=1,'Rent Roll'!K180,"")</f>
        <v/>
      </c>
      <c r="CJ1694" s="1551" t="str">
        <f ca="1">IF('Rent Roll'!$AF180=1,'Rent Roll'!N180,"")</f>
        <v/>
      </c>
      <c r="CK1694" s="5"/>
      <c r="CL1694" s="6"/>
      <c r="CM1694" s="10"/>
    </row>
    <row r="1695" spans="1:91" ht="15.95" hidden="1" customHeight="1" x14ac:dyDescent="0.25">
      <c r="A1695" s="957">
        <f t="shared" ca="1" si="56"/>
        <v>0</v>
      </c>
      <c r="CE1695" s="4"/>
      <c r="CF1695" s="5"/>
      <c r="CG1695" s="5" t="str">
        <f ca="1">IF('Rent Roll'!$AF181=1,'Rent Roll'!E181,"")</f>
        <v/>
      </c>
      <c r="CH1695" s="39" t="str">
        <f ca="1">IF('Rent Roll'!$AF181=1,'Rent Roll'!G181,"")</f>
        <v/>
      </c>
      <c r="CI1695" s="1547" t="str">
        <f ca="1">IF('Rent Roll'!$AF181=1,'Rent Roll'!K181,"")</f>
        <v/>
      </c>
      <c r="CJ1695" s="1551" t="str">
        <f ca="1">IF('Rent Roll'!$AF181=1,'Rent Roll'!N181,"")</f>
        <v/>
      </c>
      <c r="CK1695" s="5"/>
      <c r="CL1695" s="6"/>
      <c r="CM1695" s="10"/>
    </row>
    <row r="1696" spans="1:91" ht="15.95" hidden="1" customHeight="1" x14ac:dyDescent="0.25">
      <c r="A1696" s="957">
        <f t="shared" ca="1" si="56"/>
        <v>0</v>
      </c>
      <c r="CE1696" s="4"/>
      <c r="CF1696" s="5"/>
      <c r="CG1696" s="5" t="str">
        <f ca="1">IF('Rent Roll'!$AF182=1,'Rent Roll'!E182,"")</f>
        <v/>
      </c>
      <c r="CH1696" s="39" t="str">
        <f ca="1">IF('Rent Roll'!$AF182=1,'Rent Roll'!G182,"")</f>
        <v/>
      </c>
      <c r="CI1696" s="1547" t="str">
        <f ca="1">IF('Rent Roll'!$AF182=1,'Rent Roll'!K182,"")</f>
        <v/>
      </c>
      <c r="CJ1696" s="1551" t="str">
        <f ca="1">IF('Rent Roll'!$AF182=1,'Rent Roll'!N182,"")</f>
        <v/>
      </c>
      <c r="CK1696" s="5"/>
      <c r="CL1696" s="6"/>
      <c r="CM1696" s="10"/>
    </row>
    <row r="1697" spans="1:91" ht="15.95" hidden="1" customHeight="1" x14ac:dyDescent="0.25">
      <c r="A1697" s="957">
        <f t="shared" ca="1" si="56"/>
        <v>0</v>
      </c>
      <c r="CE1697" s="4"/>
      <c r="CF1697" s="5"/>
      <c r="CG1697" s="5" t="str">
        <f ca="1">IF('Rent Roll'!$AF183=1,'Rent Roll'!E183,"")</f>
        <v/>
      </c>
      <c r="CH1697" s="39" t="str">
        <f ca="1">IF('Rent Roll'!$AF183=1,'Rent Roll'!G183,"")</f>
        <v/>
      </c>
      <c r="CI1697" s="1547" t="str">
        <f ca="1">IF('Rent Roll'!$AF183=1,'Rent Roll'!K183,"")</f>
        <v/>
      </c>
      <c r="CJ1697" s="1551" t="str">
        <f ca="1">IF('Rent Roll'!$AF183=1,'Rent Roll'!N183,"")</f>
        <v/>
      </c>
      <c r="CK1697" s="5"/>
      <c r="CL1697" s="6"/>
      <c r="CM1697" s="10"/>
    </row>
    <row r="1698" spans="1:91" ht="15.95" hidden="1" customHeight="1" x14ac:dyDescent="0.25">
      <c r="A1698" s="957">
        <f t="shared" ca="1" si="56"/>
        <v>0</v>
      </c>
      <c r="CE1698" s="4"/>
      <c r="CF1698" s="5"/>
      <c r="CG1698" s="5" t="str">
        <f ca="1">IF('Rent Roll'!$AF184=1,'Rent Roll'!E184,"")</f>
        <v/>
      </c>
      <c r="CH1698" s="39" t="str">
        <f ca="1">IF('Rent Roll'!$AF184=1,'Rent Roll'!G184,"")</f>
        <v/>
      </c>
      <c r="CI1698" s="1547" t="str">
        <f ca="1">IF('Rent Roll'!$AF184=1,'Rent Roll'!K184,"")</f>
        <v/>
      </c>
      <c r="CJ1698" s="1551" t="str">
        <f ca="1">IF('Rent Roll'!$AF184=1,'Rent Roll'!N184,"")</f>
        <v/>
      </c>
      <c r="CK1698" s="5"/>
      <c r="CL1698" s="6"/>
      <c r="CM1698" s="10"/>
    </row>
    <row r="1699" spans="1:91" ht="15.95" hidden="1" customHeight="1" x14ac:dyDescent="0.25">
      <c r="A1699" s="957">
        <f t="shared" ca="1" si="56"/>
        <v>0</v>
      </c>
      <c r="CE1699" s="4"/>
      <c r="CF1699" s="5"/>
      <c r="CG1699" s="5" t="str">
        <f ca="1">IF('Rent Roll'!$AF185=1,'Rent Roll'!E185,"")</f>
        <v/>
      </c>
      <c r="CH1699" s="39" t="str">
        <f ca="1">IF('Rent Roll'!$AF185=1,'Rent Roll'!G185,"")</f>
        <v/>
      </c>
      <c r="CI1699" s="1547" t="str">
        <f ca="1">IF('Rent Roll'!$AF185=1,'Rent Roll'!K185,"")</f>
        <v/>
      </c>
      <c r="CJ1699" s="1551" t="str">
        <f ca="1">IF('Rent Roll'!$AF185=1,'Rent Roll'!N185,"")</f>
        <v/>
      </c>
      <c r="CK1699" s="5"/>
      <c r="CL1699" s="6"/>
      <c r="CM1699" s="10"/>
    </row>
    <row r="1700" spans="1:91" ht="15.95" hidden="1" customHeight="1" x14ac:dyDescent="0.25">
      <c r="A1700" s="957">
        <f t="shared" ca="1" si="56"/>
        <v>0</v>
      </c>
      <c r="CE1700" s="4"/>
      <c r="CF1700" s="5"/>
      <c r="CG1700" s="5" t="str">
        <f ca="1">IF('Rent Roll'!$AF186=1,'Rent Roll'!E186,"")</f>
        <v/>
      </c>
      <c r="CH1700" s="39" t="str">
        <f ca="1">IF('Rent Roll'!$AF186=1,'Rent Roll'!G186,"")</f>
        <v/>
      </c>
      <c r="CI1700" s="1547" t="str">
        <f ca="1">IF('Rent Roll'!$AF186=1,'Rent Roll'!K186,"")</f>
        <v/>
      </c>
      <c r="CJ1700" s="1551" t="str">
        <f ca="1">IF('Rent Roll'!$AF186=1,'Rent Roll'!N186,"")</f>
        <v/>
      </c>
      <c r="CK1700" s="5"/>
      <c r="CL1700" s="6"/>
      <c r="CM1700" s="10"/>
    </row>
    <row r="1701" spans="1:91" ht="15.95" hidden="1" customHeight="1" x14ac:dyDescent="0.25">
      <c r="A1701" s="957">
        <f t="shared" ca="1" si="56"/>
        <v>0</v>
      </c>
      <c r="CE1701" s="4"/>
      <c r="CF1701" s="5"/>
      <c r="CG1701" s="5" t="str">
        <f ca="1">IF('Rent Roll'!$AF187=1,'Rent Roll'!E187,"")</f>
        <v/>
      </c>
      <c r="CH1701" s="39" t="str">
        <f ca="1">IF('Rent Roll'!$AF187=1,'Rent Roll'!G187,"")</f>
        <v/>
      </c>
      <c r="CI1701" s="1547" t="str">
        <f ca="1">IF('Rent Roll'!$AF187=1,'Rent Roll'!K187,"")</f>
        <v/>
      </c>
      <c r="CJ1701" s="1551" t="str">
        <f ca="1">IF('Rent Roll'!$AF187=1,'Rent Roll'!N187,"")</f>
        <v/>
      </c>
      <c r="CK1701" s="5"/>
      <c r="CL1701" s="6"/>
      <c r="CM1701" s="10"/>
    </row>
    <row r="1702" spans="1:91" ht="15.95" hidden="1" customHeight="1" x14ac:dyDescent="0.25">
      <c r="A1702" s="957">
        <f t="shared" ca="1" si="56"/>
        <v>0</v>
      </c>
      <c r="CE1702" s="4"/>
      <c r="CF1702" s="5"/>
      <c r="CG1702" s="5" t="str">
        <f ca="1">IF('Rent Roll'!$AF188=1,'Rent Roll'!E188,"")</f>
        <v/>
      </c>
      <c r="CH1702" s="39" t="str">
        <f ca="1">IF('Rent Roll'!$AF188=1,'Rent Roll'!G188,"")</f>
        <v/>
      </c>
      <c r="CI1702" s="1547" t="str">
        <f ca="1">IF('Rent Roll'!$AF188=1,'Rent Roll'!K188,"")</f>
        <v/>
      </c>
      <c r="CJ1702" s="1551" t="str">
        <f ca="1">IF('Rent Roll'!$AF188=1,'Rent Roll'!N188,"")</f>
        <v/>
      </c>
      <c r="CK1702" s="5"/>
      <c r="CL1702" s="6"/>
      <c r="CM1702" s="10"/>
    </row>
    <row r="1703" spans="1:91" ht="15.95" hidden="1" customHeight="1" x14ac:dyDescent="0.25">
      <c r="A1703" s="957">
        <f t="shared" ca="1" si="56"/>
        <v>0</v>
      </c>
      <c r="CE1703" s="4"/>
      <c r="CF1703" s="5"/>
      <c r="CG1703" s="5" t="str">
        <f ca="1">IF('Rent Roll'!$AF189=1,'Rent Roll'!E189,"")</f>
        <v/>
      </c>
      <c r="CH1703" s="39" t="str">
        <f ca="1">IF('Rent Roll'!$AF189=1,'Rent Roll'!G189,"")</f>
        <v/>
      </c>
      <c r="CI1703" s="1547" t="str">
        <f ca="1">IF('Rent Roll'!$AF189=1,'Rent Roll'!K189,"")</f>
        <v/>
      </c>
      <c r="CJ1703" s="1551" t="str">
        <f ca="1">IF('Rent Roll'!$AF189=1,'Rent Roll'!N189,"")</f>
        <v/>
      </c>
      <c r="CK1703" s="5"/>
      <c r="CL1703" s="6"/>
      <c r="CM1703" s="10"/>
    </row>
    <row r="1704" spans="1:91" ht="15.95" hidden="1" customHeight="1" x14ac:dyDescent="0.25">
      <c r="A1704" s="957">
        <f t="shared" ca="1" si="56"/>
        <v>0</v>
      </c>
      <c r="CE1704" s="4"/>
      <c r="CF1704" s="5"/>
      <c r="CG1704" s="5" t="str">
        <f ca="1">IF('Rent Roll'!$AF190=1,'Rent Roll'!E190,"")</f>
        <v/>
      </c>
      <c r="CH1704" s="39" t="str">
        <f ca="1">IF('Rent Roll'!$AF190=1,'Rent Roll'!G190,"")</f>
        <v/>
      </c>
      <c r="CI1704" s="1547" t="str">
        <f ca="1">IF('Rent Roll'!$AF190=1,'Rent Roll'!K190,"")</f>
        <v/>
      </c>
      <c r="CJ1704" s="1551" t="str">
        <f ca="1">IF('Rent Roll'!$AF190=1,'Rent Roll'!N190,"")</f>
        <v/>
      </c>
      <c r="CK1704" s="5"/>
      <c r="CL1704" s="6"/>
      <c r="CM1704" s="10"/>
    </row>
    <row r="1705" spans="1:91" ht="15.95" hidden="1" customHeight="1" x14ac:dyDescent="0.25">
      <c r="A1705" s="957">
        <f t="shared" ca="1" si="56"/>
        <v>0</v>
      </c>
      <c r="CE1705" s="4"/>
      <c r="CF1705" s="5"/>
      <c r="CG1705" s="5" t="str">
        <f ca="1">IF('Rent Roll'!$AF191=1,'Rent Roll'!E191,"")</f>
        <v/>
      </c>
      <c r="CH1705" s="39" t="str">
        <f ca="1">IF('Rent Roll'!$AF191=1,'Rent Roll'!G191,"")</f>
        <v/>
      </c>
      <c r="CI1705" s="1547" t="str">
        <f ca="1">IF('Rent Roll'!$AF191=1,'Rent Roll'!K191,"")</f>
        <v/>
      </c>
      <c r="CJ1705" s="1551" t="str">
        <f ca="1">IF('Rent Roll'!$AF191=1,'Rent Roll'!N191,"")</f>
        <v/>
      </c>
      <c r="CK1705" s="5"/>
      <c r="CL1705" s="6"/>
      <c r="CM1705" s="10"/>
    </row>
    <row r="1706" spans="1:91" ht="15.95" hidden="1" customHeight="1" x14ac:dyDescent="0.25">
      <c r="A1706" s="957">
        <f t="shared" ca="1" si="56"/>
        <v>0</v>
      </c>
      <c r="CE1706" s="4"/>
      <c r="CF1706" s="5"/>
      <c r="CG1706" s="5" t="str">
        <f ca="1">IF('Rent Roll'!$AF192=1,'Rent Roll'!E192,"")</f>
        <v/>
      </c>
      <c r="CH1706" s="39" t="str">
        <f ca="1">IF('Rent Roll'!$AF192=1,'Rent Roll'!G192,"")</f>
        <v/>
      </c>
      <c r="CI1706" s="1547" t="str">
        <f ca="1">IF('Rent Roll'!$AF192=1,'Rent Roll'!K192,"")</f>
        <v/>
      </c>
      <c r="CJ1706" s="1551" t="str">
        <f ca="1">IF('Rent Roll'!$AF192=1,'Rent Roll'!N192,"")</f>
        <v/>
      </c>
      <c r="CK1706" s="5"/>
      <c r="CL1706" s="6"/>
      <c r="CM1706" s="10"/>
    </row>
    <row r="1707" spans="1:91" ht="15.95" hidden="1" customHeight="1" x14ac:dyDescent="0.25">
      <c r="A1707" s="957">
        <f t="shared" ca="1" si="56"/>
        <v>0</v>
      </c>
      <c r="CE1707" s="4"/>
      <c r="CF1707" s="5"/>
      <c r="CG1707" s="5" t="str">
        <f ca="1">IF('Rent Roll'!$AF193=1,'Rent Roll'!E193,"")</f>
        <v/>
      </c>
      <c r="CH1707" s="39" t="str">
        <f ca="1">IF('Rent Roll'!$AF193=1,'Rent Roll'!G193,"")</f>
        <v/>
      </c>
      <c r="CI1707" s="1547" t="str">
        <f ca="1">IF('Rent Roll'!$AF193=1,'Rent Roll'!K193,"")</f>
        <v/>
      </c>
      <c r="CJ1707" s="1551" t="str">
        <f ca="1">IF('Rent Roll'!$AF193=1,'Rent Roll'!N193,"")</f>
        <v/>
      </c>
      <c r="CK1707" s="5"/>
      <c r="CL1707" s="6"/>
      <c r="CM1707" s="10"/>
    </row>
    <row r="1708" spans="1:91" ht="15.95" hidden="1" customHeight="1" x14ac:dyDescent="0.25">
      <c r="A1708" s="957">
        <f t="shared" ca="1" si="56"/>
        <v>0</v>
      </c>
      <c r="CE1708" s="4"/>
      <c r="CF1708" s="5"/>
      <c r="CG1708" s="5" t="str">
        <f ca="1">IF('Rent Roll'!$AF194=1,'Rent Roll'!E194,"")</f>
        <v/>
      </c>
      <c r="CH1708" s="39" t="str">
        <f ca="1">IF('Rent Roll'!$AF194=1,'Rent Roll'!G194,"")</f>
        <v/>
      </c>
      <c r="CI1708" s="1547" t="str">
        <f ca="1">IF('Rent Roll'!$AF194=1,'Rent Roll'!K194,"")</f>
        <v/>
      </c>
      <c r="CJ1708" s="1551" t="str">
        <f ca="1">IF('Rent Roll'!$AF194=1,'Rent Roll'!N194,"")</f>
        <v/>
      </c>
      <c r="CK1708" s="5"/>
      <c r="CL1708" s="6"/>
      <c r="CM1708" s="10"/>
    </row>
    <row r="1709" spans="1:91" ht="15.95" hidden="1" customHeight="1" x14ac:dyDescent="0.25">
      <c r="A1709" s="957">
        <f t="shared" ca="1" si="56"/>
        <v>0</v>
      </c>
      <c r="CE1709" s="4"/>
      <c r="CF1709" s="5"/>
      <c r="CG1709" s="5" t="str">
        <f ca="1">IF('Rent Roll'!$AF195=1,'Rent Roll'!E195,"")</f>
        <v/>
      </c>
      <c r="CH1709" s="39" t="str">
        <f ca="1">IF('Rent Roll'!$AF195=1,'Rent Roll'!G195,"")</f>
        <v/>
      </c>
      <c r="CI1709" s="1547" t="str">
        <f ca="1">IF('Rent Roll'!$AF195=1,'Rent Roll'!K195,"")</f>
        <v/>
      </c>
      <c r="CJ1709" s="1551" t="str">
        <f ca="1">IF('Rent Roll'!$AF195=1,'Rent Roll'!N195,"")</f>
        <v/>
      </c>
      <c r="CK1709" s="5"/>
      <c r="CL1709" s="6"/>
      <c r="CM1709" s="10"/>
    </row>
    <row r="1710" spans="1:91" ht="15.95" hidden="1" customHeight="1" x14ac:dyDescent="0.25">
      <c r="A1710" s="957">
        <f t="shared" ca="1" si="56"/>
        <v>0</v>
      </c>
      <c r="CE1710" s="4"/>
      <c r="CF1710" s="5"/>
      <c r="CG1710" s="5" t="str">
        <f ca="1">IF('Rent Roll'!$AF196=1,'Rent Roll'!E196,"")</f>
        <v/>
      </c>
      <c r="CH1710" s="39" t="str">
        <f ca="1">IF('Rent Roll'!$AF196=1,'Rent Roll'!G196,"")</f>
        <v/>
      </c>
      <c r="CI1710" s="1547" t="str">
        <f ca="1">IF('Rent Roll'!$AF196=1,'Rent Roll'!K196,"")</f>
        <v/>
      </c>
      <c r="CJ1710" s="1551" t="str">
        <f ca="1">IF('Rent Roll'!$AF196=1,'Rent Roll'!N196,"")</f>
        <v/>
      </c>
      <c r="CK1710" s="5"/>
      <c r="CL1710" s="6"/>
      <c r="CM1710" s="10"/>
    </row>
    <row r="1711" spans="1:91" ht="15.95" hidden="1" customHeight="1" x14ac:dyDescent="0.25">
      <c r="A1711" s="957">
        <f t="shared" ca="1" si="56"/>
        <v>0</v>
      </c>
      <c r="CE1711" s="4"/>
      <c r="CF1711" s="5"/>
      <c r="CG1711" s="5" t="str">
        <f ca="1">IF('Rent Roll'!$AF197=1,'Rent Roll'!E197,"")</f>
        <v/>
      </c>
      <c r="CH1711" s="39" t="str">
        <f ca="1">IF('Rent Roll'!$AF197=1,'Rent Roll'!G197,"")</f>
        <v/>
      </c>
      <c r="CI1711" s="1547" t="str">
        <f ca="1">IF('Rent Roll'!$AF197=1,'Rent Roll'!K197,"")</f>
        <v/>
      </c>
      <c r="CJ1711" s="1551" t="str">
        <f ca="1">IF('Rent Roll'!$AF197=1,'Rent Roll'!N197,"")</f>
        <v/>
      </c>
      <c r="CK1711" s="5"/>
      <c r="CL1711" s="6"/>
      <c r="CM1711" s="10"/>
    </row>
    <row r="1712" spans="1:91" ht="15.95" hidden="1" customHeight="1" x14ac:dyDescent="0.25">
      <c r="A1712" s="957">
        <f t="shared" ca="1" si="56"/>
        <v>0</v>
      </c>
      <c r="CE1712" s="4"/>
      <c r="CF1712" s="5"/>
      <c r="CG1712" s="5" t="str">
        <f ca="1">IF('Rent Roll'!$AF198=1,'Rent Roll'!E198,"")</f>
        <v/>
      </c>
      <c r="CH1712" s="39" t="str">
        <f ca="1">IF('Rent Roll'!$AF198=1,'Rent Roll'!G198,"")</f>
        <v/>
      </c>
      <c r="CI1712" s="1547" t="str">
        <f ca="1">IF('Rent Roll'!$AF198=1,'Rent Roll'!K198,"")</f>
        <v/>
      </c>
      <c r="CJ1712" s="1551" t="str">
        <f ca="1">IF('Rent Roll'!$AF198=1,'Rent Roll'!N198,"")</f>
        <v/>
      </c>
      <c r="CK1712" s="5"/>
      <c r="CL1712" s="6"/>
      <c r="CM1712" s="10"/>
    </row>
    <row r="1713" spans="1:91" ht="15.95" hidden="1" customHeight="1" x14ac:dyDescent="0.25">
      <c r="A1713" s="957">
        <f t="shared" ref="A1713:A1720" ca="1" si="57">IF(CG1713="",0,1)</f>
        <v>0</v>
      </c>
      <c r="CE1713" s="4"/>
      <c r="CF1713" s="5"/>
      <c r="CG1713" s="5" t="str">
        <f ca="1">IF('Rent Roll'!$AF199=1,'Rent Roll'!E199,"")</f>
        <v/>
      </c>
      <c r="CH1713" s="39" t="str">
        <f ca="1">IF('Rent Roll'!$AF199=1,'Rent Roll'!G199,"")</f>
        <v/>
      </c>
      <c r="CI1713" s="1547" t="str">
        <f ca="1">IF('Rent Roll'!$AF199=1,'Rent Roll'!K199,"")</f>
        <v/>
      </c>
      <c r="CJ1713" s="1551" t="str">
        <f ca="1">IF('Rent Roll'!$AF199=1,'Rent Roll'!N199,"")</f>
        <v/>
      </c>
      <c r="CK1713" s="5"/>
      <c r="CL1713" s="6"/>
      <c r="CM1713" s="10"/>
    </row>
    <row r="1714" spans="1:91" ht="15.95" hidden="1" customHeight="1" x14ac:dyDescent="0.25">
      <c r="A1714" s="957">
        <f t="shared" ca="1" si="57"/>
        <v>0</v>
      </c>
      <c r="CE1714" s="4"/>
      <c r="CF1714" s="5"/>
      <c r="CG1714" s="5" t="str">
        <f ca="1">IF('Rent Roll'!$AF200=1,'Rent Roll'!E200,"")</f>
        <v/>
      </c>
      <c r="CH1714" s="39" t="str">
        <f ca="1">IF('Rent Roll'!$AF200=1,'Rent Roll'!G200,"")</f>
        <v/>
      </c>
      <c r="CI1714" s="1547" t="str">
        <f ca="1">IF('Rent Roll'!$AF200=1,'Rent Roll'!K200,"")</f>
        <v/>
      </c>
      <c r="CJ1714" s="1551" t="str">
        <f ca="1">IF('Rent Roll'!$AF200=1,'Rent Roll'!N200,"")</f>
        <v/>
      </c>
      <c r="CK1714" s="5"/>
      <c r="CL1714" s="6"/>
      <c r="CM1714" s="10"/>
    </row>
    <row r="1715" spans="1:91" ht="15.95" hidden="1" customHeight="1" x14ac:dyDescent="0.25">
      <c r="A1715" s="957">
        <f t="shared" ca="1" si="57"/>
        <v>0</v>
      </c>
      <c r="CE1715" s="4"/>
      <c r="CF1715" s="5"/>
      <c r="CG1715" s="5" t="str">
        <f ca="1">IF('Rent Roll'!$AF201=1,'Rent Roll'!E201,"")</f>
        <v/>
      </c>
      <c r="CH1715" s="39" t="str">
        <f ca="1">IF('Rent Roll'!$AF201=1,'Rent Roll'!G201,"")</f>
        <v/>
      </c>
      <c r="CI1715" s="1547" t="str">
        <f ca="1">IF('Rent Roll'!$AF201=1,'Rent Roll'!K201,"")</f>
        <v/>
      </c>
      <c r="CJ1715" s="1551" t="str">
        <f ca="1">IF('Rent Roll'!$AF201=1,'Rent Roll'!N201,"")</f>
        <v/>
      </c>
      <c r="CK1715" s="5"/>
      <c r="CL1715" s="6"/>
      <c r="CM1715" s="10"/>
    </row>
    <row r="1716" spans="1:91" ht="15.95" hidden="1" customHeight="1" x14ac:dyDescent="0.25">
      <c r="A1716" s="957">
        <f t="shared" ca="1" si="57"/>
        <v>0</v>
      </c>
      <c r="CE1716" s="4"/>
      <c r="CF1716" s="5"/>
      <c r="CG1716" s="5" t="str">
        <f ca="1">IF('Rent Roll'!$AF202=1,'Rent Roll'!E202,"")</f>
        <v/>
      </c>
      <c r="CH1716" s="39" t="str">
        <f ca="1">IF('Rent Roll'!$AF202=1,'Rent Roll'!G202,"")</f>
        <v/>
      </c>
      <c r="CI1716" s="1547" t="str">
        <f ca="1">IF('Rent Roll'!$AF202=1,'Rent Roll'!K202,"")</f>
        <v/>
      </c>
      <c r="CJ1716" s="1551" t="str">
        <f ca="1">IF('Rent Roll'!$AF202=1,'Rent Roll'!N202,"")</f>
        <v/>
      </c>
      <c r="CK1716" s="5"/>
      <c r="CL1716" s="6"/>
      <c r="CM1716" s="10"/>
    </row>
    <row r="1717" spans="1:91" ht="15.95" hidden="1" customHeight="1" x14ac:dyDescent="0.25">
      <c r="A1717" s="957">
        <f t="shared" ca="1" si="57"/>
        <v>0</v>
      </c>
      <c r="CE1717" s="4"/>
      <c r="CF1717" s="5"/>
      <c r="CG1717" s="5" t="str">
        <f ca="1">IF('Rent Roll'!$AF203=1,'Rent Roll'!E203,"")</f>
        <v/>
      </c>
      <c r="CH1717" s="39" t="str">
        <f ca="1">IF('Rent Roll'!$AF203=1,'Rent Roll'!G203,"")</f>
        <v/>
      </c>
      <c r="CI1717" s="1547" t="str">
        <f ca="1">IF('Rent Roll'!$AF203=1,'Rent Roll'!K203,"")</f>
        <v/>
      </c>
      <c r="CJ1717" s="1551" t="str">
        <f ca="1">IF('Rent Roll'!$AF203=1,'Rent Roll'!N203,"")</f>
        <v/>
      </c>
      <c r="CK1717" s="5"/>
      <c r="CL1717" s="6"/>
      <c r="CM1717" s="10"/>
    </row>
    <row r="1718" spans="1:91" ht="15.95" hidden="1" customHeight="1" x14ac:dyDescent="0.25">
      <c r="A1718" s="957">
        <f t="shared" ca="1" si="57"/>
        <v>0</v>
      </c>
      <c r="CE1718" s="4"/>
      <c r="CF1718" s="5"/>
      <c r="CG1718" s="5" t="str">
        <f ca="1">IF('Rent Roll'!$AF204=1,'Rent Roll'!E204,"")</f>
        <v/>
      </c>
      <c r="CH1718" s="39" t="str">
        <f ca="1">IF('Rent Roll'!$AF204=1,'Rent Roll'!G204,"")</f>
        <v/>
      </c>
      <c r="CI1718" s="1547" t="str">
        <f ca="1">IF('Rent Roll'!$AF204=1,'Rent Roll'!K204,"")</f>
        <v/>
      </c>
      <c r="CJ1718" s="1551" t="str">
        <f ca="1">IF('Rent Roll'!$AF204=1,'Rent Roll'!N204,"")</f>
        <v/>
      </c>
      <c r="CK1718" s="5"/>
      <c r="CL1718" s="6"/>
      <c r="CM1718" s="10"/>
    </row>
    <row r="1719" spans="1:91" ht="15.95" hidden="1" customHeight="1" x14ac:dyDescent="0.25">
      <c r="A1719" s="957">
        <f t="shared" ca="1" si="57"/>
        <v>0</v>
      </c>
      <c r="CE1719" s="4"/>
      <c r="CF1719" s="5"/>
      <c r="CG1719" s="5" t="str">
        <f ca="1">IF('Rent Roll'!$AF205=1,'Rent Roll'!E205,"")</f>
        <v/>
      </c>
      <c r="CH1719" s="39" t="str">
        <f ca="1">IF('Rent Roll'!$AF205=1,'Rent Roll'!G205,"")</f>
        <v/>
      </c>
      <c r="CI1719" s="1547" t="str">
        <f ca="1">IF('Rent Roll'!$AF205=1,'Rent Roll'!K205,"")</f>
        <v/>
      </c>
      <c r="CJ1719" s="1551" t="str">
        <f ca="1">IF('Rent Roll'!$AF205=1,'Rent Roll'!N205,"")</f>
        <v/>
      </c>
      <c r="CK1719" s="5"/>
      <c r="CL1719" s="6"/>
      <c r="CM1719" s="10"/>
    </row>
    <row r="1720" spans="1:91" ht="15.95" hidden="1" customHeight="1" x14ac:dyDescent="0.25">
      <c r="A1720" s="957">
        <f t="shared" ca="1" si="57"/>
        <v>0</v>
      </c>
      <c r="CE1720" s="4"/>
      <c r="CF1720" s="5"/>
      <c r="CG1720" s="5" t="str">
        <f ca="1">IF('Rent Roll'!$AF206=1,'Rent Roll'!E206,"")</f>
        <v/>
      </c>
      <c r="CH1720" s="39" t="str">
        <f ca="1">IF('Rent Roll'!$AF206=1,'Rent Roll'!G206,"")</f>
        <v/>
      </c>
      <c r="CI1720" s="1547" t="str">
        <f ca="1">IF('Rent Roll'!$AF206=1,'Rent Roll'!K206,"")</f>
        <v/>
      </c>
      <c r="CJ1720" s="1551" t="str">
        <f ca="1">IF('Rent Roll'!$AF206=1,'Rent Roll'!N206,"")</f>
        <v/>
      </c>
      <c r="CK1720" s="5"/>
      <c r="CL1720" s="6"/>
      <c r="CM1720" s="10"/>
    </row>
    <row r="1721" spans="1:91" ht="15.95" hidden="1" customHeight="1" x14ac:dyDescent="0.25">
      <c r="A1721" s="957">
        <f ca="1">IF(dpIncome_TCat8_NRA_Vacant=0,0,1)</f>
        <v>0</v>
      </c>
      <c r="CE1721" s="4"/>
      <c r="CF1721" s="5"/>
      <c r="CG1721" s="1535" t="s">
        <v>142</v>
      </c>
      <c r="CH1721" s="1560"/>
      <c r="CI1721" s="1561">
        <f ca="1">IF(Income_RentRollSource="No Rent Roll",Income_TCat8_NRA_Manual,SUM(CI1521:CI1720))</f>
        <v>0</v>
      </c>
      <c r="CJ1721" s="1562" t="e">
        <f ca="1">SUMPRODUCT(CI1521:CI1720,CJ1521:CJ1720)/CI1721</f>
        <v>#DIV/0!</v>
      </c>
      <c r="CK1721" s="5"/>
      <c r="CL1721" s="6"/>
      <c r="CM1721" s="10"/>
    </row>
    <row r="1722" spans="1:91" ht="15.95" hidden="1" customHeight="1" x14ac:dyDescent="0.25">
      <c r="A1722" s="957">
        <f ca="1">IF(dpIncome_TCat8_NRA_Vacant=0,0,1)</f>
        <v>0</v>
      </c>
      <c r="CE1722" s="4"/>
      <c r="CF1722" s="5"/>
      <c r="CG1722" s="1540" t="s">
        <v>139</v>
      </c>
      <c r="CH1722" s="1541"/>
      <c r="CI1722" s="1549">
        <f ca="1">'Rent Roll'!K215</f>
        <v>0</v>
      </c>
      <c r="CJ1722" s="1553">
        <f>Income_TCat8_MarketRent</f>
        <v>0</v>
      </c>
      <c r="CK1722" s="5"/>
      <c r="CL1722" s="6"/>
      <c r="CM1722" s="10"/>
    </row>
    <row r="1723" spans="1:91" ht="15.95" customHeight="1" thickBot="1" x14ac:dyDescent="0.3">
      <c r="A1723" s="957">
        <v>1</v>
      </c>
      <c r="CE1723" s="4"/>
      <c r="CF1723" s="5"/>
      <c r="CG1723" s="219" t="s">
        <v>93</v>
      </c>
      <c r="CH1723" s="1542"/>
      <c r="CI1723" s="1550">
        <f ca="1">SUM(CI1721:CI1722)</f>
        <v>0</v>
      </c>
      <c r="CJ1723" s="1554" t="e">
        <f ca="1">SUMPRODUCT(CI1721:CI1722,CJ1721:CJ1722)/Income_TCat8_NRA</f>
        <v>#DIV/0!</v>
      </c>
      <c r="CK1723" s="5"/>
      <c r="CL1723" s="6"/>
      <c r="CM1723" s="32"/>
    </row>
    <row r="1724" spans="1:91" x14ac:dyDescent="0.25">
      <c r="A1724" s="957">
        <v>1</v>
      </c>
      <c r="CE1724" s="4"/>
      <c r="CF1724" s="5"/>
      <c r="CG1724" s="556" t="s">
        <v>940</v>
      </c>
      <c r="CH1724" s="5"/>
      <c r="CI1724" s="5"/>
      <c r="CJ1724" s="5"/>
      <c r="CK1724" s="5"/>
      <c r="CL1724" s="6"/>
      <c r="CM1724" s="10"/>
    </row>
  </sheetData>
  <autoFilter ref="A3:A1724" xr:uid="{00000000-0001-0000-2E00-000000000000}">
    <filterColumn colId="0" hiddenButton="1">
      <filters>
        <filter val="1"/>
      </filters>
    </filterColumn>
  </autoFilter>
  <mergeCells count="11">
    <mergeCell ref="BI895:BL895"/>
    <mergeCell ref="BQ1103:BT1103"/>
    <mergeCell ref="BY1311:CB1311"/>
    <mergeCell ref="CG1519:CJ1519"/>
    <mergeCell ref="D4:F4"/>
    <mergeCell ref="AC63:AF63"/>
    <mergeCell ref="AK271:AN271"/>
    <mergeCell ref="AS479:AV479"/>
    <mergeCell ref="BA687:BD687"/>
    <mergeCell ref="M19:N19"/>
    <mergeCell ref="U37:X37"/>
  </mergeCells>
  <printOptions horizontalCentered="1"/>
  <pageMargins left="0.5" right="0.5" top="0.75" bottom="0.75" header="0.3" footer="0.3"/>
  <pageSetup fitToHeight="9" orientation="portrait" r:id="rId1"/>
  <drawing r:id="rId2"/>
  <legacyDrawing r:id="rId3"/>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7">
    <tabColor theme="5" tint="-0.249977111117893"/>
  </sheetPr>
  <dimension ref="A1:O42"/>
  <sheetViews>
    <sheetView zoomScaleNormal="100" workbookViewId="0">
      <selection activeCell="Q3" sqref="Q3"/>
    </sheetView>
  </sheetViews>
  <sheetFormatPr defaultColWidth="9.140625" defaultRowHeight="14.25" x14ac:dyDescent="0.25"/>
  <cols>
    <col min="1" max="1" width="5.7109375" style="42" customWidth="1"/>
    <col min="2" max="2" width="1.7109375" style="42" customWidth="1"/>
    <col min="3" max="3" width="0.85546875" style="42" customWidth="1"/>
    <col min="4" max="6" width="18.7109375" style="42" customWidth="1"/>
    <col min="7" max="7" width="0.85546875" style="42" customWidth="1"/>
    <col min="8" max="8" width="1.7109375" style="42" customWidth="1"/>
    <col min="9" max="9" width="5.7109375" style="42" customWidth="1"/>
    <col min="10" max="10" width="1.7109375" style="42" customWidth="1"/>
    <col min="11" max="14" width="20.7109375" style="42" customWidth="1"/>
    <col min="15" max="15" width="1.7109375" style="42" customWidth="1"/>
    <col min="16" max="16" width="10.7109375" style="42" customWidth="1"/>
    <col min="17" max="16384" width="9.140625" style="42"/>
  </cols>
  <sheetData>
    <row r="1" spans="1:15" ht="60" customHeight="1" x14ac:dyDescent="0.25"/>
    <row r="2" spans="1:15" ht="30" customHeight="1" x14ac:dyDescent="0.25">
      <c r="J2" s="18"/>
      <c r="K2" s="18"/>
      <c r="L2" s="18"/>
      <c r="M2" s="18"/>
      <c r="N2" s="18"/>
      <c r="O2" s="18"/>
    </row>
    <row r="3" spans="1:15" ht="30" customHeight="1" x14ac:dyDescent="0.25">
      <c r="J3" s="18"/>
      <c r="K3" s="18"/>
      <c r="L3" s="18"/>
      <c r="M3" s="18"/>
      <c r="N3" s="18"/>
      <c r="O3" s="18"/>
    </row>
    <row r="4" spans="1:15" ht="30" customHeight="1" x14ac:dyDescent="0.25">
      <c r="J4" s="18"/>
      <c r="K4" s="18"/>
      <c r="L4" s="18"/>
      <c r="M4" s="18"/>
      <c r="N4" s="18"/>
      <c r="O4" s="18"/>
    </row>
    <row r="5" spans="1:15" ht="30" customHeight="1" x14ac:dyDescent="0.25">
      <c r="J5" s="18"/>
      <c r="K5" s="18"/>
      <c r="L5" s="18"/>
      <c r="M5" s="18"/>
      <c r="N5" s="18"/>
      <c r="O5" s="18"/>
    </row>
    <row r="6" spans="1:15" ht="30" customHeight="1" x14ac:dyDescent="0.25">
      <c r="J6" s="18"/>
      <c r="K6" s="18"/>
      <c r="L6" s="18"/>
      <c r="M6" s="18"/>
      <c r="N6" s="18"/>
      <c r="O6" s="18"/>
    </row>
    <row r="7" spans="1:15" ht="30" customHeight="1" x14ac:dyDescent="0.25">
      <c r="I7" s="41"/>
      <c r="J7" s="18"/>
      <c r="K7" s="18"/>
      <c r="L7" s="18"/>
      <c r="M7" s="18"/>
      <c r="N7" s="18"/>
      <c r="O7" s="18"/>
    </row>
    <row r="8" spans="1:15" ht="30" customHeight="1" x14ac:dyDescent="0.25">
      <c r="I8" s="11"/>
      <c r="J8" s="18"/>
      <c r="K8" s="18"/>
      <c r="L8" s="18"/>
      <c r="M8" s="18"/>
      <c r="N8" s="18"/>
      <c r="O8" s="18"/>
    </row>
    <row r="9" spans="1:15" ht="30" customHeight="1" x14ac:dyDescent="0.25">
      <c r="I9" s="11"/>
      <c r="J9" s="18"/>
      <c r="K9" s="18"/>
      <c r="L9" s="18"/>
      <c r="M9" s="18"/>
      <c r="N9" s="18"/>
      <c r="O9" s="18"/>
    </row>
    <row r="10" spans="1:15" ht="20.100000000000001" customHeight="1" thickBot="1" x14ac:dyDescent="0.3">
      <c r="J10" s="18"/>
      <c r="K10" s="43" t="s">
        <v>1741</v>
      </c>
      <c r="L10" s="18"/>
      <c r="M10" s="18"/>
      <c r="N10" s="18"/>
      <c r="O10" s="18"/>
    </row>
    <row r="11" spans="1:15" x14ac:dyDescent="0.25">
      <c r="B11" s="173"/>
      <c r="C11" s="72"/>
      <c r="D11" s="72"/>
      <c r="E11" s="72"/>
      <c r="F11" s="72"/>
      <c r="G11" s="72"/>
      <c r="H11" s="73"/>
    </row>
    <row r="12" spans="1:15" ht="16.5" x14ac:dyDescent="0.25">
      <c r="B12" s="174"/>
      <c r="C12" s="18"/>
      <c r="D12" s="505" t="s">
        <v>1547</v>
      </c>
      <c r="E12" s="18"/>
      <c r="F12" s="18"/>
      <c r="G12" s="18"/>
      <c r="H12" s="74"/>
    </row>
    <row r="13" spans="1:15" x14ac:dyDescent="0.25">
      <c r="B13" s="174"/>
      <c r="C13" s="11"/>
      <c r="D13" s="150"/>
      <c r="E13" s="150"/>
      <c r="F13" s="150" t="s">
        <v>141</v>
      </c>
      <c r="G13" s="11"/>
      <c r="H13" s="74"/>
    </row>
    <row r="14" spans="1:15" x14ac:dyDescent="0.25">
      <c r="B14" s="174"/>
      <c r="D14" s="150" t="s">
        <v>110</v>
      </c>
      <c r="E14" s="150" t="s">
        <v>20</v>
      </c>
      <c r="F14" s="150" t="s">
        <v>499</v>
      </c>
      <c r="H14" s="74"/>
    </row>
    <row r="15" spans="1:15" x14ac:dyDescent="0.25">
      <c r="A15" s="41">
        <v>1</v>
      </c>
      <c r="B15" s="174"/>
      <c r="C15" s="18"/>
      <c r="D15" s="34">
        <v>1</v>
      </c>
      <c r="E15" s="79">
        <f ca="1">SUMIF('Rent Roll'!$J$7:$J$206,"&lt;1.001",'Rent Roll'!$K$7:$K$206)</f>
        <v>0</v>
      </c>
      <c r="F15" s="291">
        <f t="shared" ref="F15:F29" ca="1" si="0">E15/Subject_NRA</f>
        <v>0</v>
      </c>
      <c r="G15" s="18"/>
      <c r="H15" s="74"/>
    </row>
    <row r="16" spans="1:15" x14ac:dyDescent="0.25">
      <c r="A16" s="41">
        <v>1</v>
      </c>
      <c r="B16" s="174"/>
      <c r="C16" s="18"/>
      <c r="D16" s="34">
        <f>D15+1</f>
        <v>2</v>
      </c>
      <c r="E16" s="79">
        <f ca="1">SUMIFS('Rent Roll'!$K$7:$K$206,'Rent Roll'!$J$7:$J$206,"&gt;1",'Rent Roll'!$J$7:$J$206,"&lt;2.001")</f>
        <v>0</v>
      </c>
      <c r="F16" s="291">
        <f t="shared" ca="1" si="0"/>
        <v>0</v>
      </c>
      <c r="G16" s="18"/>
      <c r="H16" s="74"/>
    </row>
    <row r="17" spans="1:9" x14ac:dyDescent="0.25">
      <c r="A17" s="41">
        <v>1</v>
      </c>
      <c r="B17" s="174"/>
      <c r="C17" s="18"/>
      <c r="D17" s="34">
        <f t="shared" ref="D17:D28" si="1">D16+1</f>
        <v>3</v>
      </c>
      <c r="E17" s="79">
        <f ca="1">SUMIFS('Rent Roll'!$K$7:$K$206,'Rent Roll'!$J$7:$J$206,"&gt;2",'Rent Roll'!$J$7:$J$206,"&lt;3.001")</f>
        <v>0</v>
      </c>
      <c r="F17" s="291">
        <f t="shared" ca="1" si="0"/>
        <v>0</v>
      </c>
      <c r="G17" s="18"/>
      <c r="H17" s="74"/>
    </row>
    <row r="18" spans="1:9" x14ac:dyDescent="0.25">
      <c r="A18" s="41">
        <v>1</v>
      </c>
      <c r="B18" s="174"/>
      <c r="C18" s="18"/>
      <c r="D18" s="34">
        <f t="shared" si="1"/>
        <v>4</v>
      </c>
      <c r="E18" s="79">
        <f ca="1">SUMIFS('Rent Roll'!$K$7:$K$206,'Rent Roll'!$J$7:$J$206,"&gt;3",'Rent Roll'!$J$7:$J$206,"&lt;4.001")</f>
        <v>0</v>
      </c>
      <c r="F18" s="291">
        <f t="shared" ca="1" si="0"/>
        <v>0</v>
      </c>
      <c r="G18" s="18"/>
      <c r="H18" s="74"/>
    </row>
    <row r="19" spans="1:9" x14ac:dyDescent="0.25">
      <c r="A19" s="41">
        <v>1</v>
      </c>
      <c r="B19" s="174"/>
      <c r="C19" s="18"/>
      <c r="D19" s="34">
        <f t="shared" si="1"/>
        <v>5</v>
      </c>
      <c r="E19" s="79">
        <f ca="1">SUMIFS('Rent Roll'!$K$7:$K$206,'Rent Roll'!$J$7:$J$206,"&gt;4",'Rent Roll'!$J$7:$J$206,"&lt;5.001")</f>
        <v>0</v>
      </c>
      <c r="F19" s="291">
        <f t="shared" ca="1" si="0"/>
        <v>0</v>
      </c>
      <c r="G19" s="18"/>
      <c r="H19" s="74"/>
    </row>
    <row r="20" spans="1:9" hidden="1" x14ac:dyDescent="0.25">
      <c r="A20" s="41">
        <f ca="1">IF(SUM(E20:$E$30)=0,0,1)</f>
        <v>0</v>
      </c>
      <c r="B20" s="174"/>
      <c r="C20" s="18"/>
      <c r="D20" s="34">
        <f t="shared" si="1"/>
        <v>6</v>
      </c>
      <c r="E20" s="79">
        <f ca="1">SUMIFS('Rent Roll'!$K$7:$K$206,'Rent Roll'!$J$7:$J$206,"&gt;5",'Rent Roll'!$J$7:$J$206,"&lt;6.001")</f>
        <v>0</v>
      </c>
      <c r="F20" s="291">
        <f t="shared" ca="1" si="0"/>
        <v>0</v>
      </c>
      <c r="G20" s="18"/>
      <c r="H20" s="74"/>
    </row>
    <row r="21" spans="1:9" hidden="1" x14ac:dyDescent="0.25">
      <c r="A21" s="41">
        <f ca="1">IF(SUM(E21:$E$30)=0,0,1)</f>
        <v>0</v>
      </c>
      <c r="B21" s="174"/>
      <c r="C21" s="18"/>
      <c r="D21" s="34">
        <f t="shared" si="1"/>
        <v>7</v>
      </c>
      <c r="E21" s="79">
        <f ca="1">SUMIFS('Rent Roll'!$K$7:$K$206,'Rent Roll'!$J$7:$J$206,"&gt;6",'Rent Roll'!$J$7:$J$206,"&lt;7.001")</f>
        <v>0</v>
      </c>
      <c r="F21" s="291">
        <f t="shared" ca="1" si="0"/>
        <v>0</v>
      </c>
      <c r="G21" s="18"/>
      <c r="H21" s="74"/>
    </row>
    <row r="22" spans="1:9" hidden="1" x14ac:dyDescent="0.25">
      <c r="A22" s="41">
        <f ca="1">IF(SUM(E22:$E$30)=0,0,1)</f>
        <v>0</v>
      </c>
      <c r="B22" s="174"/>
      <c r="C22" s="18"/>
      <c r="D22" s="34">
        <f t="shared" si="1"/>
        <v>8</v>
      </c>
      <c r="E22" s="79">
        <f ca="1">SUMIFS('Rent Roll'!$K$7:$K$206,'Rent Roll'!$J$7:$J$206,"&gt;7",'Rent Roll'!$J$7:$J$206,"&lt;8.001")</f>
        <v>0</v>
      </c>
      <c r="F22" s="291">
        <f t="shared" ca="1" si="0"/>
        <v>0</v>
      </c>
      <c r="G22" s="18"/>
      <c r="H22" s="74"/>
    </row>
    <row r="23" spans="1:9" hidden="1" x14ac:dyDescent="0.25">
      <c r="A23" s="41">
        <f ca="1">IF(SUM(E23:$E$30)=0,0,1)</f>
        <v>0</v>
      </c>
      <c r="B23" s="174"/>
      <c r="C23" s="18"/>
      <c r="D23" s="34">
        <f t="shared" si="1"/>
        <v>9</v>
      </c>
      <c r="E23" s="79">
        <f ca="1">SUMIFS('Rent Roll'!$K$7:$K$206,'Rent Roll'!$J$7:$J$206,"&gt;8",'Rent Roll'!$J$7:$J$206,"&lt;9.001")</f>
        <v>0</v>
      </c>
      <c r="F23" s="291">
        <f t="shared" ca="1" si="0"/>
        <v>0</v>
      </c>
      <c r="G23" s="18"/>
      <c r="H23" s="74"/>
    </row>
    <row r="24" spans="1:9" hidden="1" x14ac:dyDescent="0.25">
      <c r="A24" s="41">
        <f ca="1">IF(SUM(E24:$E$30)=0,0,1)</f>
        <v>0</v>
      </c>
      <c r="B24" s="174"/>
      <c r="C24" s="18"/>
      <c r="D24" s="34">
        <f t="shared" si="1"/>
        <v>10</v>
      </c>
      <c r="E24" s="79">
        <f ca="1">SUMIFS('Rent Roll'!$K$7:$K$206,'Rent Roll'!$J$7:$J$206,"&gt;9",'Rent Roll'!$J$7:$J$206,"&lt;10.001")</f>
        <v>0</v>
      </c>
      <c r="F24" s="291">
        <f t="shared" ca="1" si="0"/>
        <v>0</v>
      </c>
      <c r="G24" s="18"/>
      <c r="H24" s="74"/>
    </row>
    <row r="25" spans="1:9" hidden="1" x14ac:dyDescent="0.25">
      <c r="A25" s="41">
        <f ca="1">IF(SUM(E25:$E$30)=0,0,1)</f>
        <v>0</v>
      </c>
      <c r="B25" s="174"/>
      <c r="C25" s="18"/>
      <c r="D25" s="34">
        <f t="shared" si="1"/>
        <v>11</v>
      </c>
      <c r="E25" s="79">
        <f ca="1">SUMIFS('Rent Roll'!$K$7:$K$206,'Rent Roll'!$J$7:$J$206,"&gt;10",'Rent Roll'!$J$7:$J$206,"&lt;11.001")</f>
        <v>0</v>
      </c>
      <c r="F25" s="291">
        <f t="shared" ca="1" si="0"/>
        <v>0</v>
      </c>
      <c r="G25" s="18"/>
      <c r="H25" s="74"/>
    </row>
    <row r="26" spans="1:9" hidden="1" x14ac:dyDescent="0.25">
      <c r="A26" s="41">
        <f ca="1">IF(SUM(E26:$E$30)=0,0,1)</f>
        <v>0</v>
      </c>
      <c r="B26" s="174"/>
      <c r="C26" s="18"/>
      <c r="D26" s="34">
        <f t="shared" si="1"/>
        <v>12</v>
      </c>
      <c r="E26" s="79">
        <f ca="1">SUMIFS('Rent Roll'!$K$7:$K$206,'Rent Roll'!$J$7:$J$206,"&gt;11",'Rent Roll'!$J$7:$J$206,"&lt;12.001")</f>
        <v>0</v>
      </c>
      <c r="F26" s="291">
        <f t="shared" ca="1" si="0"/>
        <v>0</v>
      </c>
      <c r="G26" s="18"/>
      <c r="H26" s="74"/>
    </row>
    <row r="27" spans="1:9" hidden="1" x14ac:dyDescent="0.25">
      <c r="A27" s="41">
        <f ca="1">IF(SUM(E27:$E$30)=0,0,1)</f>
        <v>0</v>
      </c>
      <c r="B27" s="174"/>
      <c r="C27" s="18"/>
      <c r="D27" s="34">
        <f t="shared" si="1"/>
        <v>13</v>
      </c>
      <c r="E27" s="79">
        <f ca="1">SUMIFS('Rent Roll'!$K$7:$K$206,'Rent Roll'!$J$7:$J$206,"&gt;12",'Rent Roll'!$J$7:$J$206,"&lt;13.001")</f>
        <v>0</v>
      </c>
      <c r="F27" s="291">
        <f t="shared" ca="1" si="0"/>
        <v>0</v>
      </c>
      <c r="G27" s="18"/>
      <c r="H27" s="74"/>
    </row>
    <row r="28" spans="1:9" hidden="1" x14ac:dyDescent="0.25">
      <c r="A28" s="41">
        <f ca="1">IF(SUM(E28:$E$30)=0,0,1)</f>
        <v>0</v>
      </c>
      <c r="B28" s="174"/>
      <c r="C28" s="18"/>
      <c r="D28" s="34">
        <f t="shared" si="1"/>
        <v>14</v>
      </c>
      <c r="E28" s="79">
        <f ca="1">SUMIFS('Rent Roll'!$K$7:$K$206,'Rent Roll'!$J$7:$J$206,"&gt;13",'Rent Roll'!$J$7:$J$206,"&lt;14.001")</f>
        <v>0</v>
      </c>
      <c r="F28" s="291">
        <f t="shared" ca="1" si="0"/>
        <v>0</v>
      </c>
      <c r="G28" s="18"/>
      <c r="H28" s="74"/>
    </row>
    <row r="29" spans="1:9" hidden="1" x14ac:dyDescent="0.25">
      <c r="A29" s="41">
        <f ca="1">IF(SUM(E29:$E$30)=0,0,1)</f>
        <v>0</v>
      </c>
      <c r="B29" s="174"/>
      <c r="C29" s="18"/>
      <c r="D29" s="34">
        <f>D28+1</f>
        <v>15</v>
      </c>
      <c r="E29" s="79">
        <f ca="1">SUMIFS('Rent Roll'!$K$7:$K$206,'Rent Roll'!$J$7:$J$206,"&gt;14",'Rent Roll'!$J$7:$J$206,"&lt;15.001")</f>
        <v>0</v>
      </c>
      <c r="F29" s="291">
        <f t="shared" ca="1" si="0"/>
        <v>0</v>
      </c>
      <c r="G29" s="18"/>
      <c r="H29" s="74"/>
    </row>
    <row r="30" spans="1:9" ht="15" thickBot="1" x14ac:dyDescent="0.3">
      <c r="A30" s="41">
        <v>1</v>
      </c>
      <c r="B30" s="174"/>
      <c r="C30" s="18"/>
      <c r="D30" s="84" t="s">
        <v>500</v>
      </c>
      <c r="E30" s="85">
        <f ca="1">SUMIF('Rent Roll'!$J$7:$J$206,"&gt;15",'Rent Roll'!$K$7:$K$206)</f>
        <v>0</v>
      </c>
      <c r="F30" s="449">
        <f ca="1">E30/Subject_NRA</f>
        <v>0</v>
      </c>
      <c r="G30" s="18"/>
      <c r="H30" s="74"/>
    </row>
    <row r="31" spans="1:9" ht="15" thickBot="1" x14ac:dyDescent="0.3">
      <c r="B31" s="174"/>
      <c r="C31" s="18"/>
      <c r="D31" s="1626" t="s">
        <v>1546</v>
      </c>
      <c r="E31" s="1627"/>
      <c r="F31" s="1628" t="str">
        <f ca="1">dpIncome_Lease_AvgRemTerm</f>
        <v/>
      </c>
      <c r="G31" s="18"/>
      <c r="H31" s="74"/>
      <c r="I31" s="32" t="str">
        <f ca="1">CONCATENATE(D31," - ",TEXT(F31,"0.0")," Years")</f>
        <v>Weighted Avg. Rem. Lease Term (WALT) -  Years</v>
      </c>
    </row>
    <row r="32" spans="1:9" x14ac:dyDescent="0.25">
      <c r="B32" s="174"/>
      <c r="C32" s="18"/>
      <c r="D32" s="558" t="s">
        <v>937</v>
      </c>
      <c r="E32" s="448"/>
      <c r="F32" s="448"/>
      <c r="G32" s="18"/>
      <c r="H32" s="74"/>
    </row>
    <row r="33" spans="2:15" ht="15" thickBot="1" x14ac:dyDescent="0.3">
      <c r="B33" s="175"/>
      <c r="C33" s="75"/>
      <c r="D33" s="75"/>
      <c r="E33" s="75"/>
      <c r="F33" s="75"/>
      <c r="G33" s="75"/>
      <c r="H33" s="76"/>
      <c r="M33" s="292"/>
      <c r="N33" s="292"/>
      <c r="O33" s="292"/>
    </row>
    <row r="34" spans="2:15" x14ac:dyDescent="0.25">
      <c r="M34" s="293"/>
      <c r="N34" s="293"/>
      <c r="O34" s="293"/>
    </row>
    <row r="35" spans="2:15" x14ac:dyDescent="0.25">
      <c r="M35" s="293"/>
      <c r="N35" s="293"/>
      <c r="O35" s="294"/>
    </row>
    <row r="36" spans="2:15" x14ac:dyDescent="0.25">
      <c r="M36" s="293"/>
      <c r="N36" s="293"/>
      <c r="O36" s="294"/>
    </row>
    <row r="37" spans="2:15" x14ac:dyDescent="0.25">
      <c r="M37" s="293"/>
      <c r="N37" s="293"/>
      <c r="O37" s="294"/>
    </row>
    <row r="38" spans="2:15" x14ac:dyDescent="0.25">
      <c r="M38" s="292"/>
      <c r="N38" s="292"/>
      <c r="O38" s="292"/>
    </row>
    <row r="39" spans="2:15" x14ac:dyDescent="0.25">
      <c r="M39" s="294"/>
      <c r="N39" s="294"/>
      <c r="O39" s="293"/>
    </row>
    <row r="40" spans="2:15" x14ac:dyDescent="0.25">
      <c r="M40" s="294"/>
      <c r="N40" s="294"/>
      <c r="O40" s="293"/>
    </row>
    <row r="41" spans="2:15" x14ac:dyDescent="0.25">
      <c r="M41" s="294"/>
      <c r="N41" s="294"/>
      <c r="O41" s="293"/>
    </row>
    <row r="42" spans="2:15" x14ac:dyDescent="0.25">
      <c r="M42" s="294"/>
      <c r="N42" s="294"/>
      <c r="O42" s="293"/>
    </row>
  </sheetData>
  <pageMargins left="0.7" right="0.7" top="0.75" bottom="0.75" header="0.3" footer="0.3"/>
  <pageSetup orientation="portrait" horizontalDpi="1200" verticalDpi="1200" r:id="rId1"/>
  <drawing r:id="rId2"/>
  <legacyDrawing r:id="rId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35">
    <tabColor theme="5" tint="-0.249977111117893"/>
  </sheetPr>
  <dimension ref="A1:AE187"/>
  <sheetViews>
    <sheetView zoomScaleNormal="100" workbookViewId="0">
      <selection activeCell="D38" sqref="D38"/>
    </sheetView>
  </sheetViews>
  <sheetFormatPr defaultColWidth="9.140625" defaultRowHeight="14.25" x14ac:dyDescent="0.25"/>
  <cols>
    <col min="1" max="1" width="5.7109375" style="11" customWidth="1"/>
    <col min="2" max="2" width="1.7109375" style="10" customWidth="1"/>
    <col min="3" max="3" width="0.85546875" style="10" customWidth="1"/>
    <col min="4" max="4" width="12.7109375" style="13" customWidth="1"/>
    <col min="5" max="6" width="22.7109375" style="10" customWidth="1"/>
    <col min="7" max="7" width="12.7109375" style="10" customWidth="1"/>
    <col min="8" max="8" width="0.85546875" style="10" customWidth="1"/>
    <col min="9" max="9" width="1.7109375" style="10" customWidth="1"/>
    <col min="10" max="10" width="5.7109375" style="10" customWidth="1"/>
    <col min="11" max="11" width="1.7109375" style="10" customWidth="1"/>
    <col min="12" max="12" width="0.85546875" style="10" customWidth="1"/>
    <col min="13" max="13" width="22.7109375" style="10" customWidth="1"/>
    <col min="14" max="16" width="12.7109375" style="10" customWidth="1"/>
    <col min="17" max="17" width="0.85546875" style="10" customWidth="1"/>
    <col min="18" max="18" width="20.7109375" style="10" customWidth="1"/>
    <col min="19" max="19" width="0.85546875" style="10" customWidth="1"/>
    <col min="20" max="20" width="1.7109375" style="10" customWidth="1"/>
    <col min="21" max="21" width="5.7109375" style="10" customWidth="1"/>
    <col min="22" max="22" width="1.7109375" style="10" customWidth="1"/>
    <col min="23" max="23" width="0.85546875" style="10" customWidth="1"/>
    <col min="24" max="24" width="11.7109375" style="10" customWidth="1"/>
    <col min="25" max="25" width="14.28515625" style="10" customWidth="1"/>
    <col min="26" max="26" width="1.7109375" style="10" customWidth="1"/>
    <col min="27" max="27" width="14.28515625" style="10" customWidth="1"/>
    <col min="28" max="28" width="1.7109375" style="10" customWidth="1"/>
    <col min="29" max="29" width="14.7109375" style="10" customWidth="1"/>
    <col min="30" max="30" width="0.85546875" style="10" customWidth="1"/>
    <col min="31" max="31" width="1.7109375" style="10" customWidth="1"/>
    <col min="32" max="16384" width="9.140625" style="10"/>
  </cols>
  <sheetData>
    <row r="1" spans="1:20" ht="60" customHeight="1" x14ac:dyDescent="0.25"/>
    <row r="2" spans="1:20" ht="24.75" customHeight="1" thickBot="1" x14ac:dyDescent="0.3"/>
    <row r="3" spans="1:20" x14ac:dyDescent="0.25">
      <c r="B3" s="1"/>
      <c r="C3" s="2"/>
      <c r="D3" s="202"/>
      <c r="E3" s="2"/>
      <c r="F3" s="2"/>
      <c r="G3" s="2"/>
      <c r="H3" s="2"/>
      <c r="I3" s="3"/>
    </row>
    <row r="4" spans="1:20" s="142" customFormat="1" ht="15.95" customHeight="1" x14ac:dyDescent="0.25">
      <c r="A4" s="518"/>
      <c r="B4" s="286"/>
      <c r="C4" s="528"/>
      <c r="D4" s="430" t="s">
        <v>18477</v>
      </c>
      <c r="E4" s="528"/>
      <c r="F4" s="528"/>
      <c r="G4" s="528"/>
      <c r="H4" s="528"/>
      <c r="I4" s="288"/>
    </row>
    <row r="5" spans="1:20" ht="28.5" x14ac:dyDescent="0.25">
      <c r="B5" s="4"/>
      <c r="C5" s="11"/>
      <c r="D5" s="633" t="s">
        <v>1120</v>
      </c>
      <c r="E5" s="290" t="str">
        <f>CoStar_Sector2_Master</f>
        <v>Denver MSA - Warehouse</v>
      </c>
      <c r="F5" s="290" t="str">
        <f>CoStar_Sector4_Master</f>
        <v>Northwest Denver - Warehouse</v>
      </c>
      <c r="G5" s="290" t="s">
        <v>425</v>
      </c>
      <c r="H5" s="290"/>
      <c r="I5" s="6"/>
      <c r="O5" s="42"/>
    </row>
    <row r="6" spans="1:20" ht="18" customHeight="1" x14ac:dyDescent="0.25">
      <c r="B6" s="4"/>
      <c r="C6" s="18"/>
      <c r="D6" s="28" t="str">
        <f>HLOOKUP(CONCATENATE("  ",$D$5),CoStar01Array,CoStar_RowOffset_VacancyAbsorb,FALSE)</f>
        <v>2022 Q2</v>
      </c>
      <c r="E6" s="231">
        <f ca="1">IFERROR(HLOOKUP('MS Data'!$AN$2,INDIRECT(CoStar_Array_Vacancy_1),CoStar_RowOffset_VacancyAbsorb,FALSE),"-")</f>
        <v>5.8000000000000003E-2</v>
      </c>
      <c r="F6" s="231" t="str">
        <f ca="1">IFERROR(HLOOKUP('MS Data'!$AN$2,INDIRECT(CoStar_Array_Vacancy_2),CoStar_RowOffset_VacancyAbsorb,FALSE),"-")</f>
        <v>-</v>
      </c>
      <c r="G6" s="46">
        <f ca="1">IF(ISERR(1-dpIncome_RentRollOccupancy),0,1-dpIncome_RentRollOccupancy)</f>
        <v>0</v>
      </c>
      <c r="H6" s="18"/>
      <c r="I6" s="6"/>
      <c r="O6" s="42"/>
    </row>
    <row r="7" spans="1:20" ht="18" customHeight="1" thickBot="1" x14ac:dyDescent="0.3">
      <c r="B7" s="4"/>
      <c r="C7" s="5"/>
      <c r="D7" s="28" t="str">
        <f>HLOOKUP(CONCATENATE("  ",$D$5),CoStar01Array,CoStar_RowOffset_VacancyAbsorb+4,FALSE)</f>
        <v>2021 Q2</v>
      </c>
      <c r="E7" s="231">
        <f ca="1">IFERROR(HLOOKUP('MS Data'!$AN$2,INDIRECT(CoStar_Array_Vacancy_1),CoStar_RowOffset_VacancyAbsorb+4,FALSE),"-")</f>
        <v>5.8000000000000003E-2</v>
      </c>
      <c r="F7" s="231" t="str">
        <f ca="1">IFERROR(HLOOKUP('MS Data'!$AN$2,INDIRECT(CoStar_Array_Vacancy_2),CoStar_RowOffset_VacancyAbsorb+4,FALSE),"-")</f>
        <v>-</v>
      </c>
      <c r="G7" s="46" t="str">
        <f>IF('Income Expense History'!Q10="","",1-'Income Expense History'!Q10)</f>
        <v/>
      </c>
      <c r="H7" s="5"/>
      <c r="I7" s="6"/>
      <c r="O7" s="42"/>
    </row>
    <row r="8" spans="1:20" ht="18" customHeight="1" x14ac:dyDescent="0.25">
      <c r="B8" s="4"/>
      <c r="C8" s="5"/>
      <c r="D8" s="28" t="str">
        <f>HLOOKUP(CONCATENATE("  ",$D$5),CoStar01Array,CoStar_RowOffset_VacancyAbsorb+8,FALSE)</f>
        <v>2020 Q2</v>
      </c>
      <c r="E8" s="231">
        <f ca="1">IFERROR(HLOOKUP('MS Data'!$AN$2,INDIRECT(CoStar_Array_Vacancy_1),CoStar_RowOffset_VacancyAbsorb+8,FALSE),"-")</f>
        <v>4.4999999999999998E-2</v>
      </c>
      <c r="F8" s="231" t="str">
        <f ca="1">IFERROR(HLOOKUP('MS Data'!$AN$2,INDIRECT(CoStar_Array_Vacancy_2),CoStar_RowOffset_VacancyAbsorb+8,FALSE),"-")</f>
        <v>-</v>
      </c>
      <c r="G8" s="46" t="str">
        <f>IF('Income Expense History'!M10="","",1-'Income Expense History'!M10)</f>
        <v/>
      </c>
      <c r="H8" s="5"/>
      <c r="I8" s="6"/>
      <c r="J8" s="11"/>
      <c r="K8" s="1"/>
      <c r="L8" s="2"/>
      <c r="M8" s="202"/>
      <c r="N8" s="202"/>
      <c r="O8" s="2"/>
      <c r="P8" s="2"/>
      <c r="Q8" s="2"/>
      <c r="R8" s="3"/>
      <c r="S8" s="228"/>
    </row>
    <row r="9" spans="1:20" ht="18" customHeight="1" x14ac:dyDescent="0.25">
      <c r="B9" s="4"/>
      <c r="C9" s="5"/>
      <c r="D9" s="28" t="str">
        <f>HLOOKUP(CONCATENATE("  ",$D$5),CoStar01Array,CoStar_RowOffset_VacancyAbsorb+12,FALSE)</f>
        <v>2019 Q2</v>
      </c>
      <c r="E9" s="231">
        <f ca="1">IFERROR(HLOOKUP('MS Data'!$AN$2,INDIRECT(CoStar_Array_Vacancy_1),CoStar_RowOffset_VacancyAbsorb+12,FALSE),"-")</f>
        <v>2.5000000000000001E-2</v>
      </c>
      <c r="F9" s="231" t="str">
        <f ca="1">IFERROR(HLOOKUP('MS Data'!$AN$2,INDIRECT(CoStar_Array_Vacancy_2),CoStar_RowOffset_VacancyAbsorb+12,FALSE),"-")</f>
        <v>-</v>
      </c>
      <c r="G9" s="46" t="str">
        <f>IF('Income Expense History'!I10="","",1-'Income Expense History'!I10)</f>
        <v/>
      </c>
      <c r="H9" s="5"/>
      <c r="I9" s="6"/>
      <c r="J9" s="518"/>
      <c r="K9" s="286"/>
      <c r="L9" s="518"/>
      <c r="M9" s="529" t="s">
        <v>426</v>
      </c>
      <c r="N9" s="529"/>
      <c r="O9" s="518"/>
      <c r="P9" s="518"/>
      <c r="Q9" s="518"/>
      <c r="R9" s="530"/>
      <c r="S9" s="1609"/>
      <c r="T9" s="518"/>
    </row>
    <row r="10" spans="1:20" ht="18" customHeight="1" x14ac:dyDescent="0.25">
      <c r="B10" s="4"/>
      <c r="C10" s="5"/>
      <c r="D10" s="28" t="str">
        <f>HLOOKUP(CONCATENATE("  ",$D$5),CoStar01Array,CoStar_RowOffset_VacancyAbsorb+16,FALSE)</f>
        <v>2018 Q2</v>
      </c>
      <c r="E10" s="231">
        <f ca="1">IFERROR(HLOOKUP('MS Data'!$AN$2,INDIRECT(CoStar_Array_Vacancy_1),CoStar_RowOffset_VacancyAbsorb+16,FALSE),"-")</f>
        <v>3.4000000000000002E-2</v>
      </c>
      <c r="F10" s="231" t="str">
        <f ca="1">IFERROR(HLOOKUP('MS Data'!$AN$2,INDIRECT(CoStar_Array_Vacancy_2),CoStar_RowOffset_VacancyAbsorb+16,FALSE),"-")</f>
        <v>-</v>
      </c>
      <c r="G10" s="46" t="str">
        <f>IF('Income Expense History'!E10="","",1-'Income Expense History'!E10)</f>
        <v/>
      </c>
      <c r="H10" s="5"/>
      <c r="I10" s="6"/>
      <c r="J10" s="11"/>
      <c r="K10" s="4"/>
      <c r="L10" s="5"/>
      <c r="M10" s="20" t="s">
        <v>1006</v>
      </c>
      <c r="N10" s="20"/>
      <c r="O10" s="5"/>
      <c r="P10" s="2574" t="e">
        <f ca="1">dpIncome_MarketRent_LeasedAvg</f>
        <v>#N/A</v>
      </c>
      <c r="Q10" s="5"/>
      <c r="R10" s="6"/>
      <c r="S10" s="228"/>
    </row>
    <row r="11" spans="1:20" ht="18" customHeight="1" x14ac:dyDescent="0.25">
      <c r="B11" s="4"/>
      <c r="C11" s="5"/>
      <c r="D11" s="28" t="str">
        <f>HLOOKUP(CONCATENATE("  ",$D$5),CoStar01Array,CoStar_RowOffset_VacancyAbsorb+20,FALSE)</f>
        <v>2017 Q2</v>
      </c>
      <c r="E11" s="231">
        <f ca="1">IFERROR(HLOOKUP('MS Data'!$AN$2,INDIRECT(CoStar_Array_Vacancy_1),CoStar_RowOffset_VacancyAbsorb+20,FALSE),"-")</f>
        <v>2.1999999999999999E-2</v>
      </c>
      <c r="F11" s="231" t="str">
        <f ca="1">IFERROR(HLOOKUP('MS Data'!$AN$2,INDIRECT(CoStar_Array_Vacancy_2),CoStar_RowOffset_VacancyAbsorb+20,FALSE),"-")</f>
        <v>-</v>
      </c>
      <c r="G11" s="1496"/>
      <c r="H11" s="5"/>
      <c r="I11" s="6"/>
      <c r="J11" s="11"/>
      <c r="K11" s="4"/>
      <c r="L11" s="5"/>
      <c r="M11" s="20" t="s">
        <v>1007</v>
      </c>
      <c r="N11" s="20"/>
      <c r="O11" s="5"/>
      <c r="P11" s="2574">
        <f ca="1">IF(Income_RentRollSource="No Rent Roll",'Income Assumptions'!G20,dpIncome_ContractRent_Average)</f>
        <v>7.5003940712537398</v>
      </c>
      <c r="Q11" s="5"/>
      <c r="R11" s="6"/>
      <c r="S11" s="228"/>
    </row>
    <row r="12" spans="1:20" ht="18" customHeight="1" thickBot="1" x14ac:dyDescent="0.3">
      <c r="B12" s="4"/>
      <c r="C12" s="5"/>
      <c r="D12" s="908" t="s">
        <v>306</v>
      </c>
      <c r="E12" s="425">
        <f ca="1">AVERAGE(E6:E11)</f>
        <v>4.0333333333333332E-2</v>
      </c>
      <c r="F12" s="425" t="e">
        <f ca="1">AVERAGE(F6:F11)</f>
        <v>#DIV/0!</v>
      </c>
      <c r="G12" s="425">
        <f ca="1">AVERAGE(G6:G11)</f>
        <v>0</v>
      </c>
      <c r="H12" s="5"/>
      <c r="I12" s="6"/>
      <c r="J12" s="11"/>
      <c r="K12" s="4"/>
      <c r="L12" s="5"/>
      <c r="M12" s="301" t="s">
        <v>427</v>
      </c>
      <c r="N12" s="301"/>
      <c r="O12" s="216"/>
      <c r="P12" s="799" t="e">
        <f ca="1">IF((P11-P10)&gt;0,CONCATENATE(TEXT(ABS((P11-P10)/P10),"#0.0%")," Above Market"),CONCATENATE(TEXT(ABS((P11-P10)/P10),"#0.0%")," Below Market"))</f>
        <v>#N/A</v>
      </c>
      <c r="Q12" s="5"/>
      <c r="R12" s="6"/>
      <c r="S12" s="228"/>
    </row>
    <row r="13" spans="1:20" s="36" customFormat="1" ht="15" customHeight="1" thickBot="1" x14ac:dyDescent="0.3">
      <c r="A13" s="731"/>
      <c r="B13" s="646"/>
      <c r="C13" s="647"/>
      <c r="D13" s="643" t="s">
        <v>884</v>
      </c>
      <c r="E13" s="647"/>
      <c r="F13" s="647"/>
      <c r="G13" s="1613"/>
      <c r="H13" s="647"/>
      <c r="I13" s="649"/>
      <c r="J13" s="731"/>
      <c r="K13" s="646"/>
      <c r="L13" s="647"/>
      <c r="M13" s="643" t="s">
        <v>885</v>
      </c>
      <c r="N13" s="643"/>
      <c r="O13" s="647"/>
      <c r="P13" s="647"/>
      <c r="Q13" s="647"/>
      <c r="R13" s="649"/>
      <c r="S13" s="879"/>
    </row>
    <row r="14" spans="1:20" ht="15" thickBot="1" x14ac:dyDescent="0.3">
      <c r="D14" s="12" t="s">
        <v>18474</v>
      </c>
      <c r="J14" s="11"/>
      <c r="M14" s="930"/>
      <c r="N14" s="930"/>
    </row>
    <row r="15" spans="1:20" x14ac:dyDescent="0.25">
      <c r="J15" s="11"/>
      <c r="K15" s="1"/>
      <c r="L15" s="2"/>
      <c r="M15" s="931"/>
      <c r="N15" s="931"/>
      <c r="O15" s="2"/>
      <c r="P15" s="2"/>
      <c r="Q15" s="2"/>
      <c r="R15" s="2"/>
      <c r="S15" s="2"/>
      <c r="T15" s="3"/>
    </row>
    <row r="16" spans="1:20" s="142" customFormat="1" ht="15.95" customHeight="1" x14ac:dyDescent="0.3">
      <c r="G16" s="518"/>
      <c r="H16" s="518"/>
      <c r="J16" s="11"/>
      <c r="K16" s="4"/>
      <c r="L16" s="5"/>
      <c r="M16" s="27" t="s">
        <v>426</v>
      </c>
      <c r="N16" s="27"/>
      <c r="O16" s="5"/>
      <c r="P16" s="5"/>
      <c r="Q16" s="5"/>
      <c r="R16" s="5"/>
      <c r="S16" s="5"/>
      <c r="T16" s="6"/>
    </row>
    <row r="17" spans="1:31" ht="20.100000000000001" customHeight="1" x14ac:dyDescent="0.25">
      <c r="J17" s="11"/>
      <c r="K17" s="4"/>
      <c r="L17" s="12"/>
      <c r="M17" s="207" t="s">
        <v>315</v>
      </c>
      <c r="N17" s="55" t="s">
        <v>20</v>
      </c>
      <c r="O17" s="55" t="s">
        <v>998</v>
      </c>
      <c r="P17" s="55" t="s">
        <v>999</v>
      </c>
      <c r="Q17" s="55"/>
      <c r="R17" s="55" t="s">
        <v>553</v>
      </c>
      <c r="S17" s="11"/>
      <c r="T17" s="6"/>
    </row>
    <row r="18" spans="1:31" ht="18" customHeight="1" x14ac:dyDescent="0.25">
      <c r="A18" s="957">
        <f t="shared" ref="A18:A25" si="0">IF(M18=0,0,1)</f>
        <v>1</v>
      </c>
      <c r="K18" s="4"/>
      <c r="L18" s="5"/>
      <c r="M18" s="28" t="str">
        <f>Income_TCat1</f>
        <v>Industrial Office/Warehouse</v>
      </c>
      <c r="N18" s="2568">
        <f ca="1">IF(Income_RentRollSource="No Rent Roll",Income_TCat1_NRA_Manual,dpIncome_TCat1_NRA_Occupied)</f>
        <v>0</v>
      </c>
      <c r="O18" s="2571">
        <f>Income_TCat1_MarketRent</f>
        <v>16</v>
      </c>
      <c r="P18" s="2571" t="e">
        <f ca="1">Income_TCat1_ContractRent_Manual</f>
        <v>#DIV/0!</v>
      </c>
      <c r="Q18" s="5"/>
      <c r="R18" s="19" t="e">
        <f ca="1">IF(P18=O18,TEXT(0,"0.0%"),IF((P18-O18)&gt;0,CONCATENATE(TEXT(ABS((P18-O18)/O18),"#0.0%")," Above Market"),CONCATENATE(TEXT(ABS((P18-O18)/O18),"#0.0%")," Below Market")))</f>
        <v>#DIV/0!</v>
      </c>
      <c r="S18" s="5"/>
      <c r="T18" s="6"/>
    </row>
    <row r="19" spans="1:31" ht="18" customHeight="1" x14ac:dyDescent="0.25">
      <c r="A19" s="957">
        <f t="shared" si="0"/>
        <v>1</v>
      </c>
      <c r="K19" s="4"/>
      <c r="L19" s="5"/>
      <c r="M19" s="28" t="str">
        <f>Income_TCat2</f>
        <v>Land Storage</v>
      </c>
      <c r="N19" s="2569">
        <f ca="1">IF(Income_RentRollSource="No Rent Roll",Income_TCat2_NRA_Manual,dpIncome_TCat2_NRA_Occupied)</f>
        <v>0</v>
      </c>
      <c r="O19" s="2571">
        <f>Income_TCat2_MarketRent</f>
        <v>1.5</v>
      </c>
      <c r="P19" s="2571" t="e">
        <f ca="1">Income_TCat2_ContractRent_Manual</f>
        <v>#DIV/0!</v>
      </c>
      <c r="Q19" s="5"/>
      <c r="R19" s="19" t="e">
        <f t="shared" ref="R19:R26" ca="1" si="1">IF(P19=O19,TEXT(0,"0.0%"),IF((P19-O19)&gt;0,CONCATENATE(TEXT(ABS((P19-O19)/O19),"#0.0%")," Above Market"),CONCATENATE(TEXT(ABS((P19-O19)/O19),"#0.0%")," Below Market")))</f>
        <v>#DIV/0!</v>
      </c>
      <c r="S19" s="5"/>
      <c r="T19" s="6"/>
    </row>
    <row r="20" spans="1:31" ht="18" customHeight="1" x14ac:dyDescent="0.25">
      <c r="A20" s="957">
        <f t="shared" si="0"/>
        <v>0</v>
      </c>
      <c r="K20" s="4"/>
      <c r="L20" s="5"/>
      <c r="M20" s="28">
        <f>Income_TCat3</f>
        <v>0</v>
      </c>
      <c r="N20" s="2569">
        <f ca="1">IF(Income_RentRollSource="No Rent Roll",Income_TCat3_NRA_Manual,dpIncome_TCat3_NRA_Occupied)</f>
        <v>0</v>
      </c>
      <c r="O20" s="2571">
        <f>Income_TCat3_MarketRent</f>
        <v>0</v>
      </c>
      <c r="P20" s="2571" t="e">
        <f ca="1">Income_TCat3_ContractRent_Manual</f>
        <v>#DIV/0!</v>
      </c>
      <c r="Q20" s="5"/>
      <c r="R20" s="19" t="e">
        <f t="shared" ca="1" si="1"/>
        <v>#DIV/0!</v>
      </c>
      <c r="S20" s="5"/>
      <c r="T20" s="6"/>
    </row>
    <row r="21" spans="1:31" ht="18" customHeight="1" x14ac:dyDescent="0.25">
      <c r="A21" s="957">
        <f t="shared" si="0"/>
        <v>0</v>
      </c>
      <c r="K21" s="4"/>
      <c r="L21" s="5"/>
      <c r="M21" s="28">
        <f>Income_TCat4</f>
        <v>0</v>
      </c>
      <c r="N21" s="2569">
        <f ca="1">IF(Income_RentRollSource="No Rent Roll",Income_TCat4_NRA_Manual,dpIncome_TCat4_NRA_Occupied)</f>
        <v>0</v>
      </c>
      <c r="O21" s="2571">
        <f>Income_TCat4_MarketRent</f>
        <v>0</v>
      </c>
      <c r="P21" s="2571" t="e">
        <f ca="1">Income_TCat4_ContractRent_Manual</f>
        <v>#DIV/0!</v>
      </c>
      <c r="Q21" s="5"/>
      <c r="R21" s="19" t="e">
        <f t="shared" ca="1" si="1"/>
        <v>#DIV/0!</v>
      </c>
      <c r="S21" s="5"/>
      <c r="T21" s="6"/>
    </row>
    <row r="22" spans="1:31" ht="18" customHeight="1" x14ac:dyDescent="0.25">
      <c r="A22" s="957">
        <f t="shared" si="0"/>
        <v>0</v>
      </c>
      <c r="K22" s="4"/>
      <c r="L22" s="5"/>
      <c r="M22" s="28">
        <f>Income_TCat5</f>
        <v>0</v>
      </c>
      <c r="N22" s="2569">
        <f ca="1">IF(Income_RentRollSource="No Rent Roll",Income_TCat5_NRA_Manual,dpIncome_TCat5_NRA_Occupied)</f>
        <v>0</v>
      </c>
      <c r="O22" s="2571">
        <f>Income_TCat5_MarketRent</f>
        <v>0</v>
      </c>
      <c r="P22" s="2571" t="e">
        <f ca="1">Income_TCat5_ContractRent_Manual</f>
        <v>#DIV/0!</v>
      </c>
      <c r="Q22" s="5"/>
      <c r="R22" s="19" t="e">
        <f t="shared" ca="1" si="1"/>
        <v>#DIV/0!</v>
      </c>
      <c r="S22" s="5"/>
      <c r="T22" s="6"/>
    </row>
    <row r="23" spans="1:31" ht="18" customHeight="1" x14ac:dyDescent="0.25">
      <c r="A23" s="957">
        <f t="shared" si="0"/>
        <v>0</v>
      </c>
      <c r="K23" s="4"/>
      <c r="L23" s="5"/>
      <c r="M23" s="28">
        <f>Income_TCat6</f>
        <v>0</v>
      </c>
      <c r="N23" s="2569">
        <f ca="1">IF(Income_RentRollSource="No Rent Roll",Income_TCat6_NRA_Manual,dpIncome_TCat6_NRA_Occupied)</f>
        <v>0</v>
      </c>
      <c r="O23" s="2571">
        <f>Income_TCat6_MarketRent</f>
        <v>0</v>
      </c>
      <c r="P23" s="2571" t="e">
        <f ca="1">Income_TCat6_ContractRent_Manual</f>
        <v>#DIV/0!</v>
      </c>
      <c r="Q23" s="5"/>
      <c r="R23" s="19" t="e">
        <f t="shared" ca="1" si="1"/>
        <v>#DIV/0!</v>
      </c>
      <c r="S23" s="5"/>
      <c r="T23" s="6"/>
    </row>
    <row r="24" spans="1:31" ht="18" customHeight="1" x14ac:dyDescent="0.25">
      <c r="A24" s="957">
        <f t="shared" si="0"/>
        <v>0</v>
      </c>
      <c r="K24" s="4"/>
      <c r="L24" s="5"/>
      <c r="M24" s="28">
        <f>Income_TCat7</f>
        <v>0</v>
      </c>
      <c r="N24" s="2569">
        <f ca="1">IF(Income_RentRollSource="No Rent Roll",Income_TCat7_NRA_Manual,dpIncome_TCat7_NRA_Occupied)</f>
        <v>0</v>
      </c>
      <c r="O24" s="2571">
        <f>Income_TCat7_MarketRent</f>
        <v>0</v>
      </c>
      <c r="P24" s="2571" t="e">
        <f ca="1">Income_TCat7_ContractRent_Manual</f>
        <v>#DIV/0!</v>
      </c>
      <c r="Q24" s="5"/>
      <c r="R24" s="19" t="e">
        <f t="shared" ca="1" si="1"/>
        <v>#DIV/0!</v>
      </c>
      <c r="S24" s="5"/>
      <c r="T24" s="6"/>
    </row>
    <row r="25" spans="1:31" ht="18" customHeight="1" x14ac:dyDescent="0.25">
      <c r="A25" s="957">
        <f t="shared" si="0"/>
        <v>0</v>
      </c>
      <c r="K25" s="4"/>
      <c r="L25" s="5"/>
      <c r="M25" s="932">
        <f>Income_TCat8</f>
        <v>0</v>
      </c>
      <c r="N25" s="2569">
        <f ca="1">IF(Income_RentRollSource="No Rent Roll",Income_TCat8_NRA_Manual,dpIncome_TCat8_NRA_Occupied)</f>
        <v>0</v>
      </c>
      <c r="O25" s="2572">
        <f>Income_TCat8_MarketRent</f>
        <v>0</v>
      </c>
      <c r="P25" s="2572" t="e">
        <f ca="1">Income_TCat8_ContractRent_Manual</f>
        <v>#DIV/0!</v>
      </c>
      <c r="Q25" s="5"/>
      <c r="R25" s="19" t="e">
        <f t="shared" ca="1" si="1"/>
        <v>#DIV/0!</v>
      </c>
      <c r="S25" s="5"/>
      <c r="T25" s="6"/>
    </row>
    <row r="26" spans="1:31" ht="18" customHeight="1" thickBot="1" x14ac:dyDescent="0.3">
      <c r="J26" s="11"/>
      <c r="K26" s="4"/>
      <c r="L26" s="5"/>
      <c r="M26" s="1610" t="s">
        <v>1208</v>
      </c>
      <c r="N26" s="2570">
        <f ca="1">SUM(N18:N25)</f>
        <v>0</v>
      </c>
      <c r="O26" s="2573" t="e">
        <f ca="1">dpIncome_MarketRent_LeasedAvg</f>
        <v>#N/A</v>
      </c>
      <c r="P26" s="2573">
        <f ca="1">IF(Income_RentRollSource="No Rent Roll",'Income Assumptions'!G20,dpIncome_ContractRent_Average)</f>
        <v>7.5003940712537398</v>
      </c>
      <c r="Q26" s="219"/>
      <c r="R26" s="1630" t="e">
        <f t="shared" ca="1" si="1"/>
        <v>#N/A</v>
      </c>
      <c r="S26" s="5"/>
      <c r="T26" s="6"/>
    </row>
    <row r="27" spans="1:31" s="36" customFormat="1" ht="15" customHeight="1" thickBot="1" x14ac:dyDescent="0.3">
      <c r="A27" s="731"/>
      <c r="D27" s="395"/>
      <c r="J27" s="731"/>
      <c r="K27" s="646"/>
      <c r="L27" s="647"/>
      <c r="M27" s="643" t="s">
        <v>1209</v>
      </c>
      <c r="N27" s="643"/>
      <c r="O27" s="647"/>
      <c r="P27" s="647"/>
      <c r="Q27" s="647"/>
      <c r="R27" s="647"/>
      <c r="S27" s="647"/>
      <c r="T27" s="649"/>
    </row>
    <row r="28" spans="1:31" ht="15.95" customHeight="1" thickBot="1" x14ac:dyDescent="0.3">
      <c r="J28" s="11"/>
      <c r="M28" s="13"/>
      <c r="N28" s="13"/>
    </row>
    <row r="29" spans="1:31" ht="15" customHeight="1" x14ac:dyDescent="0.25">
      <c r="V29" s="1"/>
      <c r="W29" s="2"/>
      <c r="X29" s="202"/>
      <c r="Y29" s="2"/>
      <c r="Z29" s="2"/>
      <c r="AA29" s="2"/>
      <c r="AB29" s="202"/>
      <c r="AC29" s="2"/>
      <c r="AD29" s="2"/>
      <c r="AE29" s="2"/>
    </row>
    <row r="30" spans="1:31" s="36" customFormat="1" ht="15.95" customHeight="1" x14ac:dyDescent="0.25">
      <c r="A30" s="731"/>
      <c r="G30" s="161"/>
      <c r="H30" s="161"/>
      <c r="V30" s="87"/>
      <c r="W30" s="2566"/>
      <c r="X30" s="2567" t="s">
        <v>18135</v>
      </c>
      <c r="Y30" s="2566"/>
      <c r="Z30" s="2566"/>
      <c r="AA30" s="2566"/>
      <c r="AB30" s="1600"/>
      <c r="AC30" s="2566"/>
      <c r="AD30" s="2566"/>
      <c r="AE30" s="1611"/>
    </row>
    <row r="31" spans="1:31" s="36" customFormat="1" ht="15.95" customHeight="1" x14ac:dyDescent="0.25">
      <c r="A31" s="731"/>
      <c r="G31" s="161"/>
      <c r="H31" s="161"/>
      <c r="V31" s="87"/>
      <c r="W31" s="161"/>
      <c r="X31" s="667" t="str">
        <f>CONCATENATE(Income_TCat1," - ",TEXT(dpIncome_StabilizedVacancy,"0.0%")," Stabilized Vacancy")</f>
        <v>Industrial Office/Warehouse - 2.0% Stabilized Vacancy</v>
      </c>
      <c r="Y31" s="161"/>
      <c r="Z31" s="161"/>
      <c r="AA31" s="161"/>
      <c r="AB31" s="165"/>
      <c r="AC31" s="161"/>
      <c r="AD31" s="161"/>
      <c r="AE31" s="1611"/>
    </row>
    <row r="32" spans="1:31" ht="15" customHeight="1" x14ac:dyDescent="0.25">
      <c r="V32" s="4"/>
      <c r="W32" s="5"/>
      <c r="X32" s="39"/>
      <c r="Y32" s="39" t="s">
        <v>271</v>
      </c>
      <c r="Z32" s="39"/>
      <c r="AA32" s="5"/>
      <c r="AB32" s="39"/>
      <c r="AC32" s="39" t="s">
        <v>93</v>
      </c>
      <c r="AD32" s="5"/>
      <c r="AE32" s="5"/>
    </row>
    <row r="33" spans="22:31" ht="15" customHeight="1" x14ac:dyDescent="0.25">
      <c r="V33" s="4"/>
      <c r="W33" s="5"/>
      <c r="X33" s="39"/>
      <c r="Y33" s="217" t="s">
        <v>507</v>
      </c>
      <c r="Z33" s="217"/>
      <c r="AA33" s="217" t="s">
        <v>501</v>
      </c>
      <c r="AB33" s="217"/>
      <c r="AC33" s="217" t="s">
        <v>501</v>
      </c>
      <c r="AD33" s="5"/>
      <c r="AE33" s="5"/>
    </row>
    <row r="34" spans="22:31" ht="15" customHeight="1" x14ac:dyDescent="0.25">
      <c r="V34" s="4"/>
      <c r="W34" s="5"/>
      <c r="X34" s="39" t="s">
        <v>503</v>
      </c>
      <c r="Y34" s="297">
        <f>Income_TCat1_LeaseTerm</f>
        <v>0</v>
      </c>
      <c r="Z34" s="297" t="s">
        <v>176</v>
      </c>
      <c r="AA34" s="297">
        <v>12</v>
      </c>
      <c r="AB34" s="39" t="s">
        <v>177</v>
      </c>
      <c r="AC34" s="297">
        <f>Y34*AA34</f>
        <v>0</v>
      </c>
      <c r="AD34" s="5"/>
      <c r="AE34" s="5"/>
    </row>
    <row r="35" spans="22:31" ht="5.0999999999999996" customHeight="1" x14ac:dyDescent="0.25">
      <c r="V35" s="4"/>
      <c r="W35" s="5"/>
      <c r="X35" s="39"/>
      <c r="Y35" s="5"/>
      <c r="Z35" s="5"/>
      <c r="AA35" s="5"/>
      <c r="AB35" s="39"/>
      <c r="AC35" s="5"/>
      <c r="AD35" s="5"/>
      <c r="AE35" s="5"/>
    </row>
    <row r="36" spans="22:31" ht="15" customHeight="1" x14ac:dyDescent="0.25">
      <c r="V36" s="4"/>
      <c r="W36" s="5"/>
      <c r="X36" s="39"/>
      <c r="Y36" s="39" t="s">
        <v>93</v>
      </c>
      <c r="Z36" s="39"/>
      <c r="AA36" s="39" t="s">
        <v>508</v>
      </c>
      <c r="AB36" s="39"/>
      <c r="AC36" s="5"/>
      <c r="AD36" s="5"/>
      <c r="AE36" s="5"/>
    </row>
    <row r="37" spans="22:31" ht="15" customHeight="1" x14ac:dyDescent="0.25">
      <c r="V37" s="4"/>
      <c r="W37" s="5"/>
      <c r="X37" s="39"/>
      <c r="Y37" s="217" t="s">
        <v>501</v>
      </c>
      <c r="Z37" s="217"/>
      <c r="AA37" s="217" t="s">
        <v>509</v>
      </c>
      <c r="AB37" s="217"/>
      <c r="AC37" s="217" t="s">
        <v>505</v>
      </c>
      <c r="AD37" s="5"/>
      <c r="AE37" s="5"/>
    </row>
    <row r="38" spans="22:31" ht="15" customHeight="1" x14ac:dyDescent="0.25">
      <c r="V38" s="4"/>
      <c r="W38" s="5"/>
      <c r="X38" s="39" t="s">
        <v>504</v>
      </c>
      <c r="Y38" s="297">
        <f>AC34</f>
        <v>0</v>
      </c>
      <c r="Z38" s="297" t="s">
        <v>176</v>
      </c>
      <c r="AA38" s="229">
        <f>dpIncome_StabilizedVacancy</f>
        <v>0.02</v>
      </c>
      <c r="AB38" s="39" t="s">
        <v>177</v>
      </c>
      <c r="AC38" s="296">
        <f>Y38*AA38</f>
        <v>0</v>
      </c>
      <c r="AD38" s="5"/>
      <c r="AE38" s="5"/>
    </row>
    <row r="39" spans="22:31" ht="5.0999999999999996" customHeight="1" x14ac:dyDescent="0.25">
      <c r="V39" s="4"/>
      <c r="W39" s="5"/>
      <c r="X39" s="39"/>
      <c r="Y39" s="5"/>
      <c r="Z39" s="5"/>
      <c r="AA39" s="5"/>
      <c r="AB39" s="39"/>
      <c r="AC39" s="5"/>
      <c r="AD39" s="5"/>
      <c r="AE39" s="5"/>
    </row>
    <row r="40" spans="22:31" ht="15" customHeight="1" x14ac:dyDescent="0.25">
      <c r="V40" s="4"/>
      <c r="W40" s="5"/>
      <c r="X40" s="39"/>
      <c r="Y40" s="39"/>
      <c r="Z40" s="39"/>
      <c r="AA40" s="4286" t="s">
        <v>510</v>
      </c>
      <c r="AB40" s="39"/>
      <c r="AC40" s="39" t="s">
        <v>501</v>
      </c>
      <c r="AD40" s="5"/>
      <c r="AE40" s="5"/>
    </row>
    <row r="41" spans="22:31" ht="15" customHeight="1" x14ac:dyDescent="0.25">
      <c r="V41" s="4"/>
      <c r="W41" s="5"/>
      <c r="X41" s="39"/>
      <c r="Y41" s="217" t="s">
        <v>505</v>
      </c>
      <c r="Z41" s="217"/>
      <c r="AA41" s="4287"/>
      <c r="AB41" s="217"/>
      <c r="AC41" s="217" t="s">
        <v>139</v>
      </c>
      <c r="AD41" s="5"/>
      <c r="AE41" s="5"/>
    </row>
    <row r="42" spans="22:31" ht="15" customHeight="1" x14ac:dyDescent="0.25">
      <c r="V42" s="4"/>
      <c r="W42" s="5"/>
      <c r="X42" s="39" t="s">
        <v>506</v>
      </c>
      <c r="Y42" s="296">
        <f>AC38</f>
        <v>0</v>
      </c>
      <c r="Z42" s="299" t="s">
        <v>439</v>
      </c>
      <c r="AA42" s="229">
        <f>1-Income_TCat1_RenewalProb</f>
        <v>1</v>
      </c>
      <c r="AB42" s="39" t="s">
        <v>177</v>
      </c>
      <c r="AC42" s="296">
        <f>Y42/AA42</f>
        <v>0</v>
      </c>
      <c r="AD42" s="5"/>
      <c r="AE42" s="5"/>
    </row>
    <row r="43" spans="22:31" ht="5.0999999999999996" customHeight="1" x14ac:dyDescent="0.25">
      <c r="V43" s="4"/>
      <c r="W43" s="5"/>
      <c r="X43" s="39"/>
      <c r="Y43" s="39"/>
      <c r="Z43" s="39"/>
      <c r="AA43" s="39"/>
      <c r="AB43" s="39"/>
      <c r="AC43" s="39"/>
      <c r="AD43" s="5"/>
      <c r="AE43" s="5"/>
    </row>
    <row r="44" spans="22:31" x14ac:dyDescent="0.25">
      <c r="V44" s="4"/>
      <c r="W44" s="5"/>
      <c r="X44" s="35" t="str">
        <f>CONCATENATE("Months Vacant Between Leases to Achieve ",TEXT(dpIncome_StabilizedVacancy,"0.0%"))</f>
        <v>Months Vacant Between Leases to Achieve 2.0%</v>
      </c>
      <c r="Y44" s="5"/>
      <c r="Z44" s="5"/>
      <c r="AA44" s="5"/>
      <c r="AB44" s="39"/>
      <c r="AC44" s="5"/>
      <c r="AD44" s="5"/>
      <c r="AE44" s="5"/>
    </row>
    <row r="45" spans="22:31" x14ac:dyDescent="0.25">
      <c r="V45" s="4"/>
      <c r="W45" s="5"/>
      <c r="X45" s="35" t="s">
        <v>1545</v>
      </c>
      <c r="Y45" s="5"/>
      <c r="Z45" s="5"/>
      <c r="AA45" s="5"/>
      <c r="AB45" s="39"/>
      <c r="AC45" s="298">
        <f>AC42</f>
        <v>0</v>
      </c>
      <c r="AD45" s="5"/>
      <c r="AE45" s="5"/>
    </row>
    <row r="46" spans="22:31" ht="5.0999999999999996" customHeight="1" thickBot="1" x14ac:dyDescent="0.3">
      <c r="V46" s="4"/>
      <c r="W46" s="5"/>
      <c r="X46" s="86"/>
      <c r="Y46" s="216"/>
      <c r="Z46" s="216"/>
      <c r="AA46" s="216"/>
      <c r="AB46" s="86"/>
      <c r="AC46" s="216"/>
      <c r="AD46" s="5"/>
      <c r="AE46" s="5"/>
    </row>
    <row r="47" spans="22:31" ht="15" customHeight="1" thickBot="1" x14ac:dyDescent="0.3">
      <c r="V47" s="8"/>
      <c r="W47" s="7"/>
      <c r="X47" s="554" t="s">
        <v>886</v>
      </c>
      <c r="Y47" s="7"/>
      <c r="Z47" s="7"/>
      <c r="AA47" s="7"/>
      <c r="AB47" s="14"/>
      <c r="AC47" s="7"/>
      <c r="AD47" s="7"/>
      <c r="AE47" s="7"/>
    </row>
    <row r="48" spans="22:31" ht="15" thickBot="1" x14ac:dyDescent="0.3">
      <c r="X48" s="13"/>
      <c r="AB48" s="13"/>
    </row>
    <row r="49" spans="1:31" ht="15" customHeight="1" x14ac:dyDescent="0.25">
      <c r="V49" s="1"/>
      <c r="W49" s="2"/>
      <c r="X49" s="202"/>
      <c r="Y49" s="2"/>
      <c r="Z49" s="2"/>
      <c r="AA49" s="2"/>
      <c r="AB49" s="202"/>
      <c r="AC49" s="2"/>
      <c r="AD49" s="2"/>
      <c r="AE49" s="2"/>
    </row>
    <row r="50" spans="1:31" s="36" customFormat="1" ht="15.95" customHeight="1" x14ac:dyDescent="0.25">
      <c r="A50" s="731"/>
      <c r="V50" s="87"/>
      <c r="W50" s="2566"/>
      <c r="X50" s="2567" t="s">
        <v>18135</v>
      </c>
      <c r="Y50" s="2566"/>
      <c r="Z50" s="2566"/>
      <c r="AA50" s="2566"/>
      <c r="AB50" s="1600"/>
      <c r="AC50" s="2566"/>
      <c r="AD50" s="2566"/>
      <c r="AE50" s="1611"/>
    </row>
    <row r="51" spans="1:31" s="36" customFormat="1" ht="15.95" customHeight="1" x14ac:dyDescent="0.25">
      <c r="A51" s="731"/>
      <c r="V51" s="87"/>
      <c r="W51" s="161"/>
      <c r="X51" s="667" t="str">
        <f>CONCATENATE(Income_TCat2," - ",TEXT(dpIncome_StabilizedVacancy,"0.0%")," Stabilized Vacancy")</f>
        <v>Land Storage - 2.0% Stabilized Vacancy</v>
      </c>
      <c r="Y51" s="161"/>
      <c r="Z51" s="161"/>
      <c r="AA51" s="161"/>
      <c r="AB51" s="165"/>
      <c r="AC51" s="161"/>
      <c r="AD51" s="161"/>
      <c r="AE51" s="1611"/>
    </row>
    <row r="52" spans="1:31" ht="15" customHeight="1" x14ac:dyDescent="0.25">
      <c r="V52" s="4"/>
      <c r="W52" s="5"/>
      <c r="X52" s="39"/>
      <c r="Y52" s="39" t="s">
        <v>271</v>
      </c>
      <c r="Z52" s="39"/>
      <c r="AA52" s="5"/>
      <c r="AB52" s="39"/>
      <c r="AC52" s="39" t="s">
        <v>93</v>
      </c>
      <c r="AD52" s="5"/>
      <c r="AE52" s="5"/>
    </row>
    <row r="53" spans="1:31" ht="15" customHeight="1" x14ac:dyDescent="0.25">
      <c r="V53" s="4"/>
      <c r="W53" s="5"/>
      <c r="X53" s="39"/>
      <c r="Y53" s="217" t="s">
        <v>507</v>
      </c>
      <c r="Z53" s="217"/>
      <c r="AA53" s="217" t="s">
        <v>501</v>
      </c>
      <c r="AB53" s="217"/>
      <c r="AC53" s="217" t="s">
        <v>501</v>
      </c>
      <c r="AD53" s="5"/>
      <c r="AE53" s="5"/>
    </row>
    <row r="54" spans="1:31" ht="15" customHeight="1" x14ac:dyDescent="0.25">
      <c r="V54" s="4"/>
      <c r="W54" s="5"/>
      <c r="X54" s="39" t="s">
        <v>503</v>
      </c>
      <c r="Y54" s="297">
        <f>Income_TCat2_LeaseTerm</f>
        <v>0</v>
      </c>
      <c r="Z54" s="297" t="s">
        <v>176</v>
      </c>
      <c r="AA54" s="297">
        <v>12</v>
      </c>
      <c r="AB54" s="39" t="s">
        <v>177</v>
      </c>
      <c r="AC54" s="297">
        <f>Y54*AA54</f>
        <v>0</v>
      </c>
      <c r="AD54" s="5"/>
      <c r="AE54" s="5"/>
    </row>
    <row r="55" spans="1:31" ht="5.0999999999999996" customHeight="1" x14ac:dyDescent="0.25">
      <c r="V55" s="4"/>
      <c r="W55" s="5"/>
      <c r="X55" s="39"/>
      <c r="Y55" s="5"/>
      <c r="Z55" s="5"/>
      <c r="AA55" s="5"/>
      <c r="AB55" s="39"/>
      <c r="AC55" s="5"/>
      <c r="AD55" s="5"/>
      <c r="AE55" s="5"/>
    </row>
    <row r="56" spans="1:31" ht="15" customHeight="1" x14ac:dyDescent="0.25">
      <c r="V56" s="4"/>
      <c r="W56" s="5"/>
      <c r="X56" s="39"/>
      <c r="Y56" s="39" t="s">
        <v>93</v>
      </c>
      <c r="Z56" s="39"/>
      <c r="AA56" s="39" t="s">
        <v>508</v>
      </c>
      <c r="AB56" s="39"/>
      <c r="AC56" s="5"/>
      <c r="AD56" s="5"/>
      <c r="AE56" s="5"/>
    </row>
    <row r="57" spans="1:31" ht="15" customHeight="1" x14ac:dyDescent="0.25">
      <c r="V57" s="4"/>
      <c r="W57" s="5"/>
      <c r="X57" s="39"/>
      <c r="Y57" s="217" t="s">
        <v>501</v>
      </c>
      <c r="Z57" s="217"/>
      <c r="AA57" s="217" t="s">
        <v>509</v>
      </c>
      <c r="AB57" s="217"/>
      <c r="AC57" s="217" t="s">
        <v>505</v>
      </c>
      <c r="AD57" s="5"/>
      <c r="AE57" s="5"/>
    </row>
    <row r="58" spans="1:31" ht="15" customHeight="1" x14ac:dyDescent="0.25">
      <c r="V58" s="4"/>
      <c r="W58" s="5"/>
      <c r="X58" s="39" t="s">
        <v>504</v>
      </c>
      <c r="Y58" s="297">
        <f>AC54</f>
        <v>0</v>
      </c>
      <c r="Z58" s="297" t="s">
        <v>176</v>
      </c>
      <c r="AA58" s="229">
        <f>dpIncome_StabilizedVacancy</f>
        <v>0.02</v>
      </c>
      <c r="AB58" s="39" t="s">
        <v>177</v>
      </c>
      <c r="AC58" s="296">
        <f>Y58*AA58</f>
        <v>0</v>
      </c>
      <c r="AD58" s="5"/>
      <c r="AE58" s="5"/>
    </row>
    <row r="59" spans="1:31" ht="5.0999999999999996" customHeight="1" x14ac:dyDescent="0.25">
      <c r="V59" s="4"/>
      <c r="W59" s="5"/>
      <c r="X59" s="39"/>
      <c r="Y59" s="5"/>
      <c r="Z59" s="5"/>
      <c r="AA59" s="5"/>
      <c r="AB59" s="39"/>
      <c r="AC59" s="5"/>
      <c r="AD59" s="5"/>
      <c r="AE59" s="5"/>
    </row>
    <row r="60" spans="1:31" ht="15" customHeight="1" x14ac:dyDescent="0.25">
      <c r="V60" s="4"/>
      <c r="W60" s="5"/>
      <c r="X60" s="39"/>
      <c r="Y60" s="39"/>
      <c r="Z60" s="39"/>
      <c r="AA60" s="4286" t="s">
        <v>510</v>
      </c>
      <c r="AB60" s="39"/>
      <c r="AC60" s="39" t="s">
        <v>501</v>
      </c>
      <c r="AD60" s="5"/>
      <c r="AE60" s="5"/>
    </row>
    <row r="61" spans="1:31" ht="15" customHeight="1" x14ac:dyDescent="0.25">
      <c r="V61" s="4"/>
      <c r="W61" s="5"/>
      <c r="X61" s="39"/>
      <c r="Y61" s="217" t="s">
        <v>505</v>
      </c>
      <c r="Z61" s="217"/>
      <c r="AA61" s="4287"/>
      <c r="AB61" s="217"/>
      <c r="AC61" s="217" t="s">
        <v>139</v>
      </c>
      <c r="AD61" s="5"/>
      <c r="AE61" s="5"/>
    </row>
    <row r="62" spans="1:31" ht="15" customHeight="1" x14ac:dyDescent="0.25">
      <c r="V62" s="4"/>
      <c r="W62" s="5"/>
      <c r="X62" s="39" t="s">
        <v>506</v>
      </c>
      <c r="Y62" s="296">
        <f>AC58</f>
        <v>0</v>
      </c>
      <c r="Z62" s="299" t="s">
        <v>439</v>
      </c>
      <c r="AA62" s="229">
        <f>1-Income_TCat2_RenewalProb</f>
        <v>1</v>
      </c>
      <c r="AB62" s="39" t="s">
        <v>177</v>
      </c>
      <c r="AC62" s="296">
        <f>Y62/AA62</f>
        <v>0</v>
      </c>
      <c r="AD62" s="5"/>
      <c r="AE62" s="5"/>
    </row>
    <row r="63" spans="1:31" ht="5.0999999999999996" customHeight="1" x14ac:dyDescent="0.25">
      <c r="V63" s="4"/>
      <c r="W63" s="5"/>
      <c r="X63" s="39"/>
      <c r="Y63" s="39"/>
      <c r="Z63" s="39"/>
      <c r="AA63" s="39"/>
      <c r="AB63" s="39"/>
      <c r="AC63" s="39"/>
      <c r="AD63" s="5"/>
      <c r="AE63" s="5"/>
    </row>
    <row r="64" spans="1:31" x14ac:dyDescent="0.25">
      <c r="V64" s="4"/>
      <c r="W64" s="5"/>
      <c r="X64" s="35" t="str">
        <f>CONCATENATE("Months Vacant Between Leases to Achieve ",TEXT(dpIncome_StabilizedVacancy,"0.0%"))</f>
        <v>Months Vacant Between Leases to Achieve 2.0%</v>
      </c>
      <c r="Y64" s="5"/>
      <c r="Z64" s="5"/>
      <c r="AA64" s="5"/>
      <c r="AB64" s="39"/>
      <c r="AC64" s="5"/>
      <c r="AD64" s="5"/>
      <c r="AE64" s="5"/>
    </row>
    <row r="65" spans="1:31" x14ac:dyDescent="0.25">
      <c r="V65" s="4"/>
      <c r="W65" s="5"/>
      <c r="X65" s="35" t="s">
        <v>1545</v>
      </c>
      <c r="Y65" s="5"/>
      <c r="Z65" s="5"/>
      <c r="AA65" s="5"/>
      <c r="AB65" s="39"/>
      <c r="AC65" s="298">
        <f>AC62</f>
        <v>0</v>
      </c>
      <c r="AD65" s="5"/>
      <c r="AE65" s="5"/>
    </row>
    <row r="66" spans="1:31" ht="5.0999999999999996" customHeight="1" thickBot="1" x14ac:dyDescent="0.3">
      <c r="V66" s="4"/>
      <c r="W66" s="5"/>
      <c r="X66" s="86"/>
      <c r="Y66" s="216"/>
      <c r="Z66" s="216"/>
      <c r="AA66" s="216"/>
      <c r="AB66" s="86"/>
      <c r="AC66" s="216"/>
      <c r="AD66" s="5"/>
      <c r="AE66" s="5"/>
    </row>
    <row r="67" spans="1:31" ht="15" customHeight="1" thickBot="1" x14ac:dyDescent="0.3">
      <c r="V67" s="8"/>
      <c r="W67" s="7"/>
      <c r="X67" s="554" t="s">
        <v>887</v>
      </c>
      <c r="Y67" s="7"/>
      <c r="Z67" s="7"/>
      <c r="AA67" s="7"/>
      <c r="AB67" s="14"/>
      <c r="AC67" s="7"/>
      <c r="AD67" s="7"/>
      <c r="AE67" s="7"/>
    </row>
    <row r="68" spans="1:31" ht="15" thickBot="1" x14ac:dyDescent="0.3">
      <c r="X68" s="13"/>
      <c r="AB68" s="13"/>
    </row>
    <row r="69" spans="1:31" ht="15" customHeight="1" x14ac:dyDescent="0.25">
      <c r="V69" s="1"/>
      <c r="W69" s="2"/>
      <c r="X69" s="202"/>
      <c r="Y69" s="2"/>
      <c r="Z69" s="2"/>
      <c r="AA69" s="2"/>
      <c r="AB69" s="202"/>
      <c r="AC69" s="2"/>
      <c r="AD69" s="2"/>
      <c r="AE69" s="2"/>
    </row>
    <row r="70" spans="1:31" s="36" customFormat="1" ht="15.95" customHeight="1" x14ac:dyDescent="0.25">
      <c r="A70" s="731"/>
      <c r="V70" s="87"/>
      <c r="W70" s="2566"/>
      <c r="X70" s="2567" t="s">
        <v>18135</v>
      </c>
      <c r="Y70" s="2566"/>
      <c r="Z70" s="2566"/>
      <c r="AA70" s="2566"/>
      <c r="AB70" s="1600"/>
      <c r="AC70" s="2566"/>
      <c r="AD70" s="2566"/>
      <c r="AE70" s="1611"/>
    </row>
    <row r="71" spans="1:31" s="36" customFormat="1" ht="15.95" customHeight="1" x14ac:dyDescent="0.25">
      <c r="A71" s="731"/>
      <c r="V71" s="87"/>
      <c r="W71" s="161"/>
      <c r="X71" s="667" t="str">
        <f>CONCATENATE(Income_TCat3," - ",TEXT(dpIncome_StabilizedVacancy,"0.0%")," Stabilized Vacancy")</f>
        <v xml:space="preserve"> - 2.0% Stabilized Vacancy</v>
      </c>
      <c r="Y71" s="161"/>
      <c r="Z71" s="161"/>
      <c r="AA71" s="161"/>
      <c r="AB71" s="165"/>
      <c r="AC71" s="161"/>
      <c r="AD71" s="161"/>
      <c r="AE71" s="1611"/>
    </row>
    <row r="72" spans="1:31" ht="15" customHeight="1" x14ac:dyDescent="0.25">
      <c r="V72" s="4"/>
      <c r="W72" s="5"/>
      <c r="X72" s="39"/>
      <c r="Y72" s="39" t="s">
        <v>271</v>
      </c>
      <c r="Z72" s="39"/>
      <c r="AA72" s="5"/>
      <c r="AB72" s="39"/>
      <c r="AC72" s="39" t="s">
        <v>93</v>
      </c>
      <c r="AD72" s="5"/>
      <c r="AE72" s="5"/>
    </row>
    <row r="73" spans="1:31" ht="15" customHeight="1" x14ac:dyDescent="0.25">
      <c r="V73" s="4"/>
      <c r="W73" s="5"/>
      <c r="X73" s="39"/>
      <c r="Y73" s="217" t="s">
        <v>507</v>
      </c>
      <c r="Z73" s="217"/>
      <c r="AA73" s="217" t="s">
        <v>501</v>
      </c>
      <c r="AB73" s="217"/>
      <c r="AC73" s="217" t="s">
        <v>501</v>
      </c>
      <c r="AD73" s="5"/>
      <c r="AE73" s="5"/>
    </row>
    <row r="74" spans="1:31" ht="15" customHeight="1" x14ac:dyDescent="0.25">
      <c r="V74" s="4"/>
      <c r="W74" s="5"/>
      <c r="X74" s="39" t="s">
        <v>503</v>
      </c>
      <c r="Y74" s="297">
        <f>Income_TCat3_LeaseTerm</f>
        <v>0</v>
      </c>
      <c r="Z74" s="297" t="s">
        <v>176</v>
      </c>
      <c r="AA74" s="297">
        <v>12</v>
      </c>
      <c r="AB74" s="39" t="s">
        <v>177</v>
      </c>
      <c r="AC74" s="297">
        <f>Y74*AA74</f>
        <v>0</v>
      </c>
      <c r="AD74" s="5"/>
      <c r="AE74" s="5"/>
    </row>
    <row r="75" spans="1:31" ht="5.0999999999999996" customHeight="1" x14ac:dyDescent="0.25">
      <c r="V75" s="4"/>
      <c r="W75" s="5"/>
      <c r="X75" s="39"/>
      <c r="Y75" s="5"/>
      <c r="Z75" s="5"/>
      <c r="AA75" s="5"/>
      <c r="AB75" s="39"/>
      <c r="AC75" s="5"/>
      <c r="AD75" s="5"/>
      <c r="AE75" s="5"/>
    </row>
    <row r="76" spans="1:31" ht="15" customHeight="1" x14ac:dyDescent="0.25">
      <c r="V76" s="4"/>
      <c r="W76" s="5"/>
      <c r="X76" s="39"/>
      <c r="Y76" s="39" t="s">
        <v>93</v>
      </c>
      <c r="Z76" s="39"/>
      <c r="AA76" s="39" t="s">
        <v>508</v>
      </c>
      <c r="AB76" s="39"/>
      <c r="AC76" s="5"/>
      <c r="AD76" s="5"/>
      <c r="AE76" s="5"/>
    </row>
    <row r="77" spans="1:31" ht="15" customHeight="1" x14ac:dyDescent="0.25">
      <c r="V77" s="4"/>
      <c r="W77" s="5"/>
      <c r="X77" s="39"/>
      <c r="Y77" s="217" t="s">
        <v>501</v>
      </c>
      <c r="Z77" s="217"/>
      <c r="AA77" s="217" t="s">
        <v>509</v>
      </c>
      <c r="AB77" s="217"/>
      <c r="AC77" s="217" t="s">
        <v>505</v>
      </c>
      <c r="AD77" s="5"/>
      <c r="AE77" s="5"/>
    </row>
    <row r="78" spans="1:31" ht="15" customHeight="1" x14ac:dyDescent="0.25">
      <c r="V78" s="4"/>
      <c r="W78" s="5"/>
      <c r="X78" s="39" t="s">
        <v>504</v>
      </c>
      <c r="Y78" s="297">
        <f>AC74</f>
        <v>0</v>
      </c>
      <c r="Z78" s="297" t="s">
        <v>176</v>
      </c>
      <c r="AA78" s="229">
        <f>dpIncome_StabilizedVacancy</f>
        <v>0.02</v>
      </c>
      <c r="AB78" s="39" t="s">
        <v>177</v>
      </c>
      <c r="AC78" s="296">
        <f>Y78*AA78</f>
        <v>0</v>
      </c>
      <c r="AD78" s="5"/>
      <c r="AE78" s="5"/>
    </row>
    <row r="79" spans="1:31" ht="5.0999999999999996" customHeight="1" x14ac:dyDescent="0.25">
      <c r="V79" s="4"/>
      <c r="W79" s="5"/>
      <c r="X79" s="39"/>
      <c r="Y79" s="5"/>
      <c r="Z79" s="5"/>
      <c r="AA79" s="5"/>
      <c r="AB79" s="39"/>
      <c r="AC79" s="5"/>
      <c r="AD79" s="5"/>
      <c r="AE79" s="5"/>
    </row>
    <row r="80" spans="1:31" ht="15" customHeight="1" x14ac:dyDescent="0.25">
      <c r="V80" s="4"/>
      <c r="W80" s="5"/>
      <c r="X80" s="39"/>
      <c r="Y80" s="39"/>
      <c r="Z80" s="39"/>
      <c r="AA80" s="4286" t="s">
        <v>510</v>
      </c>
      <c r="AB80" s="39"/>
      <c r="AC80" s="39" t="s">
        <v>501</v>
      </c>
      <c r="AD80" s="5"/>
      <c r="AE80" s="5"/>
    </row>
    <row r="81" spans="1:31" ht="15" customHeight="1" x14ac:dyDescent="0.25">
      <c r="V81" s="4"/>
      <c r="W81" s="5"/>
      <c r="X81" s="39"/>
      <c r="Y81" s="217" t="s">
        <v>505</v>
      </c>
      <c r="Z81" s="217"/>
      <c r="AA81" s="4287"/>
      <c r="AB81" s="217"/>
      <c r="AC81" s="217" t="s">
        <v>139</v>
      </c>
      <c r="AD81" s="5"/>
      <c r="AE81" s="5"/>
    </row>
    <row r="82" spans="1:31" ht="15" customHeight="1" x14ac:dyDescent="0.25">
      <c r="V82" s="4"/>
      <c r="W82" s="5"/>
      <c r="X82" s="39" t="s">
        <v>506</v>
      </c>
      <c r="Y82" s="296">
        <f>AC78</f>
        <v>0</v>
      </c>
      <c r="Z82" s="299" t="s">
        <v>439</v>
      </c>
      <c r="AA82" s="229">
        <f>1-Income_TCat3_RenewalProb</f>
        <v>1</v>
      </c>
      <c r="AB82" s="39" t="s">
        <v>177</v>
      </c>
      <c r="AC82" s="296">
        <f>Y82/AA82</f>
        <v>0</v>
      </c>
      <c r="AD82" s="5"/>
      <c r="AE82" s="5"/>
    </row>
    <row r="83" spans="1:31" ht="5.0999999999999996" customHeight="1" x14ac:dyDescent="0.25">
      <c r="V83" s="4"/>
      <c r="W83" s="5"/>
      <c r="X83" s="39"/>
      <c r="Y83" s="39"/>
      <c r="Z83" s="39"/>
      <c r="AA83" s="39"/>
      <c r="AB83" s="39"/>
      <c r="AC83" s="39"/>
      <c r="AD83" s="5"/>
      <c r="AE83" s="5"/>
    </row>
    <row r="84" spans="1:31" x14ac:dyDescent="0.25">
      <c r="V84" s="4"/>
      <c r="W84" s="5"/>
      <c r="X84" s="35" t="str">
        <f>CONCATENATE("Months Vacant Between Leases to Achieve ",TEXT(dpIncome_StabilizedVacancy,"0.0%"))</f>
        <v>Months Vacant Between Leases to Achieve 2.0%</v>
      </c>
      <c r="Y84" s="5"/>
      <c r="Z84" s="5"/>
      <c r="AA84" s="5"/>
      <c r="AB84" s="39"/>
      <c r="AC84" s="5"/>
      <c r="AD84" s="5"/>
      <c r="AE84" s="5"/>
    </row>
    <row r="85" spans="1:31" x14ac:dyDescent="0.25">
      <c r="V85" s="4"/>
      <c r="W85" s="5"/>
      <c r="X85" s="35" t="s">
        <v>1545</v>
      </c>
      <c r="Y85" s="5"/>
      <c r="Z85" s="5"/>
      <c r="AA85" s="5"/>
      <c r="AB85" s="39"/>
      <c r="AC85" s="298">
        <f>AC82</f>
        <v>0</v>
      </c>
      <c r="AD85" s="5"/>
      <c r="AE85" s="5"/>
    </row>
    <row r="86" spans="1:31" ht="5.0999999999999996" customHeight="1" thickBot="1" x14ac:dyDescent="0.3">
      <c r="V86" s="4"/>
      <c r="W86" s="5"/>
      <c r="X86" s="86"/>
      <c r="Y86" s="216"/>
      <c r="Z86" s="216"/>
      <c r="AA86" s="216"/>
      <c r="AB86" s="86"/>
      <c r="AC86" s="216"/>
      <c r="AD86" s="5"/>
      <c r="AE86" s="5"/>
    </row>
    <row r="87" spans="1:31" ht="15" customHeight="1" thickBot="1" x14ac:dyDescent="0.3">
      <c r="V87" s="8"/>
      <c r="W87" s="7"/>
      <c r="X87" s="554" t="s">
        <v>888</v>
      </c>
      <c r="Y87" s="7"/>
      <c r="Z87" s="7"/>
      <c r="AA87" s="7"/>
      <c r="AB87" s="14"/>
      <c r="AC87" s="7"/>
      <c r="AD87" s="7"/>
      <c r="AE87" s="7"/>
    </row>
    <row r="88" spans="1:31" ht="15" thickBot="1" x14ac:dyDescent="0.3">
      <c r="X88" s="13"/>
      <c r="AB88" s="13"/>
    </row>
    <row r="89" spans="1:31" ht="15" customHeight="1" x14ac:dyDescent="0.25">
      <c r="V89" s="1"/>
      <c r="W89" s="2"/>
      <c r="X89" s="202"/>
      <c r="Y89" s="2"/>
      <c r="Z89" s="2"/>
      <c r="AA89" s="2"/>
      <c r="AB89" s="202"/>
      <c r="AC89" s="2"/>
      <c r="AD89" s="2"/>
      <c r="AE89" s="2"/>
    </row>
    <row r="90" spans="1:31" s="36" customFormat="1" ht="15.95" customHeight="1" x14ac:dyDescent="0.25">
      <c r="A90" s="731"/>
      <c r="V90" s="87"/>
      <c r="W90" s="2566"/>
      <c r="X90" s="2567" t="s">
        <v>18135</v>
      </c>
      <c r="Y90" s="2566"/>
      <c r="Z90" s="2566"/>
      <c r="AA90" s="2566"/>
      <c r="AB90" s="1600"/>
      <c r="AC90" s="2566"/>
      <c r="AD90" s="2566"/>
      <c r="AE90" s="1611"/>
    </row>
    <row r="91" spans="1:31" s="36" customFormat="1" ht="15.95" customHeight="1" x14ac:dyDescent="0.25">
      <c r="A91" s="731"/>
      <c r="V91" s="87"/>
      <c r="W91" s="161"/>
      <c r="X91" s="667" t="str">
        <f>CONCATENATE(Income_TCat4," - ",TEXT(dpIncome_StabilizedVacancy,"0.0%")," Stabilized Vacancy")</f>
        <v xml:space="preserve"> - 2.0% Stabilized Vacancy</v>
      </c>
      <c r="Y91" s="161"/>
      <c r="Z91" s="161"/>
      <c r="AA91" s="161"/>
      <c r="AB91" s="165"/>
      <c r="AC91" s="161"/>
      <c r="AD91" s="161"/>
      <c r="AE91" s="1611"/>
    </row>
    <row r="92" spans="1:31" ht="15" customHeight="1" x14ac:dyDescent="0.25">
      <c r="V92" s="4"/>
      <c r="W92" s="5"/>
      <c r="X92" s="39"/>
      <c r="Y92" s="39" t="s">
        <v>271</v>
      </c>
      <c r="Z92" s="39"/>
      <c r="AA92" s="5"/>
      <c r="AB92" s="39"/>
      <c r="AC92" s="39" t="s">
        <v>93</v>
      </c>
      <c r="AD92" s="5"/>
      <c r="AE92" s="5"/>
    </row>
    <row r="93" spans="1:31" ht="15" customHeight="1" x14ac:dyDescent="0.25">
      <c r="V93" s="4"/>
      <c r="W93" s="5"/>
      <c r="X93" s="39"/>
      <c r="Y93" s="217" t="s">
        <v>507</v>
      </c>
      <c r="Z93" s="217"/>
      <c r="AA93" s="217" t="s">
        <v>501</v>
      </c>
      <c r="AB93" s="217"/>
      <c r="AC93" s="217" t="s">
        <v>501</v>
      </c>
      <c r="AD93" s="5"/>
      <c r="AE93" s="5"/>
    </row>
    <row r="94" spans="1:31" ht="15" customHeight="1" x14ac:dyDescent="0.25">
      <c r="V94" s="4"/>
      <c r="W94" s="5"/>
      <c r="X94" s="39" t="s">
        <v>503</v>
      </c>
      <c r="Y94" s="297">
        <f>Income_TCat4_LeaseTerm</f>
        <v>0</v>
      </c>
      <c r="Z94" s="297" t="s">
        <v>176</v>
      </c>
      <c r="AA94" s="297">
        <v>12</v>
      </c>
      <c r="AB94" s="39" t="s">
        <v>177</v>
      </c>
      <c r="AC94" s="297">
        <f>Y94*AA94</f>
        <v>0</v>
      </c>
      <c r="AD94" s="5"/>
      <c r="AE94" s="5"/>
    </row>
    <row r="95" spans="1:31" ht="5.0999999999999996" customHeight="1" x14ac:dyDescent="0.25">
      <c r="V95" s="4"/>
      <c r="W95" s="5"/>
      <c r="X95" s="39"/>
      <c r="Y95" s="5"/>
      <c r="Z95" s="5"/>
      <c r="AA95" s="5"/>
      <c r="AB95" s="39"/>
      <c r="AC95" s="5"/>
      <c r="AD95" s="5"/>
      <c r="AE95" s="5"/>
    </row>
    <row r="96" spans="1:31" ht="15" customHeight="1" x14ac:dyDescent="0.25">
      <c r="V96" s="4"/>
      <c r="W96" s="5"/>
      <c r="X96" s="39"/>
      <c r="Y96" s="39" t="s">
        <v>93</v>
      </c>
      <c r="Z96" s="39"/>
      <c r="AA96" s="39" t="s">
        <v>508</v>
      </c>
      <c r="AB96" s="39"/>
      <c r="AC96" s="5"/>
      <c r="AD96" s="5"/>
      <c r="AE96" s="5"/>
    </row>
    <row r="97" spans="1:31" ht="15" customHeight="1" x14ac:dyDescent="0.25">
      <c r="V97" s="4"/>
      <c r="W97" s="5"/>
      <c r="X97" s="39"/>
      <c r="Y97" s="217" t="s">
        <v>501</v>
      </c>
      <c r="Z97" s="217"/>
      <c r="AA97" s="217" t="s">
        <v>509</v>
      </c>
      <c r="AB97" s="217"/>
      <c r="AC97" s="217" t="s">
        <v>505</v>
      </c>
      <c r="AD97" s="5"/>
      <c r="AE97" s="5"/>
    </row>
    <row r="98" spans="1:31" ht="15" customHeight="1" x14ac:dyDescent="0.25">
      <c r="V98" s="4"/>
      <c r="W98" s="5"/>
      <c r="X98" s="39" t="s">
        <v>504</v>
      </c>
      <c r="Y98" s="297">
        <f>AC94</f>
        <v>0</v>
      </c>
      <c r="Z98" s="297" t="s">
        <v>176</v>
      </c>
      <c r="AA98" s="229">
        <f>dpIncome_StabilizedVacancy</f>
        <v>0.02</v>
      </c>
      <c r="AB98" s="39" t="s">
        <v>177</v>
      </c>
      <c r="AC98" s="296">
        <f>Y98*AA98</f>
        <v>0</v>
      </c>
      <c r="AD98" s="5"/>
      <c r="AE98" s="5"/>
    </row>
    <row r="99" spans="1:31" ht="5.0999999999999996" customHeight="1" x14ac:dyDescent="0.25">
      <c r="V99" s="4"/>
      <c r="W99" s="5"/>
      <c r="X99" s="39"/>
      <c r="Y99" s="5"/>
      <c r="Z99" s="5"/>
      <c r="AA99" s="5"/>
      <c r="AB99" s="39"/>
      <c r="AC99" s="5"/>
      <c r="AD99" s="5"/>
      <c r="AE99" s="5"/>
    </row>
    <row r="100" spans="1:31" ht="15" customHeight="1" x14ac:dyDescent="0.25">
      <c r="V100" s="4"/>
      <c r="W100" s="5"/>
      <c r="X100" s="39"/>
      <c r="Y100" s="39"/>
      <c r="Z100" s="39"/>
      <c r="AA100" s="4286" t="s">
        <v>510</v>
      </c>
      <c r="AB100" s="39"/>
      <c r="AC100" s="39" t="s">
        <v>501</v>
      </c>
      <c r="AD100" s="5"/>
      <c r="AE100" s="5"/>
    </row>
    <row r="101" spans="1:31" ht="15" customHeight="1" x14ac:dyDescent="0.25">
      <c r="V101" s="4"/>
      <c r="W101" s="5"/>
      <c r="X101" s="39"/>
      <c r="Y101" s="217" t="s">
        <v>505</v>
      </c>
      <c r="Z101" s="217"/>
      <c r="AA101" s="4287"/>
      <c r="AB101" s="217"/>
      <c r="AC101" s="217" t="s">
        <v>139</v>
      </c>
      <c r="AD101" s="5"/>
      <c r="AE101" s="5"/>
    </row>
    <row r="102" spans="1:31" ht="15" customHeight="1" x14ac:dyDescent="0.25">
      <c r="V102" s="4"/>
      <c r="W102" s="5"/>
      <c r="X102" s="39" t="s">
        <v>506</v>
      </c>
      <c r="Y102" s="296">
        <f>AC98</f>
        <v>0</v>
      </c>
      <c r="Z102" s="299" t="s">
        <v>439</v>
      </c>
      <c r="AA102" s="229">
        <f>1-Income_TCat4_RenewalProb</f>
        <v>1</v>
      </c>
      <c r="AB102" s="39" t="s">
        <v>177</v>
      </c>
      <c r="AC102" s="296">
        <f>Y102/AA102</f>
        <v>0</v>
      </c>
      <c r="AD102" s="5"/>
      <c r="AE102" s="5"/>
    </row>
    <row r="103" spans="1:31" ht="5.0999999999999996" customHeight="1" x14ac:dyDescent="0.25">
      <c r="V103" s="4"/>
      <c r="W103" s="5"/>
      <c r="X103" s="39"/>
      <c r="Y103" s="39"/>
      <c r="Z103" s="39"/>
      <c r="AA103" s="39"/>
      <c r="AB103" s="39"/>
      <c r="AC103" s="39"/>
      <c r="AD103" s="5"/>
      <c r="AE103" s="5"/>
    </row>
    <row r="104" spans="1:31" x14ac:dyDescent="0.25">
      <c r="V104" s="4"/>
      <c r="W104" s="5"/>
      <c r="X104" s="35" t="str">
        <f>CONCATENATE("Months Vacant Between Leases to Achieve ",TEXT(dpIncome_StabilizedVacancy,"0.0%"))</f>
        <v>Months Vacant Between Leases to Achieve 2.0%</v>
      </c>
      <c r="Y104" s="5"/>
      <c r="Z104" s="5"/>
      <c r="AA104" s="5"/>
      <c r="AB104" s="39"/>
      <c r="AC104" s="5"/>
      <c r="AD104" s="5"/>
      <c r="AE104" s="5"/>
    </row>
    <row r="105" spans="1:31" x14ac:dyDescent="0.25">
      <c r="V105" s="4"/>
      <c r="W105" s="5"/>
      <c r="X105" s="35" t="s">
        <v>1545</v>
      </c>
      <c r="Y105" s="5"/>
      <c r="Z105" s="5"/>
      <c r="AA105" s="5"/>
      <c r="AB105" s="39"/>
      <c r="AC105" s="298">
        <f>AC102</f>
        <v>0</v>
      </c>
      <c r="AD105" s="5"/>
      <c r="AE105" s="5"/>
    </row>
    <row r="106" spans="1:31" ht="5.0999999999999996" customHeight="1" thickBot="1" x14ac:dyDescent="0.3">
      <c r="V106" s="4"/>
      <c r="W106" s="5"/>
      <c r="X106" s="86"/>
      <c r="Y106" s="216"/>
      <c r="Z106" s="216"/>
      <c r="AA106" s="216"/>
      <c r="AB106" s="86"/>
      <c r="AC106" s="216"/>
      <c r="AD106" s="5"/>
      <c r="AE106" s="5"/>
    </row>
    <row r="107" spans="1:31" ht="15" customHeight="1" thickBot="1" x14ac:dyDescent="0.3">
      <c r="V107" s="8"/>
      <c r="W107" s="7"/>
      <c r="X107" s="554" t="s">
        <v>889</v>
      </c>
      <c r="Y107" s="7"/>
      <c r="Z107" s="7"/>
      <c r="AA107" s="7"/>
      <c r="AB107" s="14"/>
      <c r="AC107" s="7"/>
      <c r="AD107" s="7"/>
      <c r="AE107" s="7"/>
    </row>
    <row r="108" spans="1:31" ht="15" thickBot="1" x14ac:dyDescent="0.3">
      <c r="X108" s="13"/>
      <c r="AB108" s="13"/>
    </row>
    <row r="109" spans="1:31" ht="15" customHeight="1" x14ac:dyDescent="0.25">
      <c r="V109" s="1"/>
      <c r="W109" s="2"/>
      <c r="X109" s="202"/>
      <c r="Y109" s="2"/>
      <c r="Z109" s="2"/>
      <c r="AA109" s="2"/>
      <c r="AB109" s="202"/>
      <c r="AC109" s="2"/>
      <c r="AD109" s="2"/>
      <c r="AE109" s="2"/>
    </row>
    <row r="110" spans="1:31" s="36" customFormat="1" ht="15.95" customHeight="1" x14ac:dyDescent="0.25">
      <c r="A110" s="731"/>
      <c r="V110" s="87"/>
      <c r="W110" s="2566"/>
      <c r="X110" s="2567" t="s">
        <v>18135</v>
      </c>
      <c r="Y110" s="2566"/>
      <c r="Z110" s="2566"/>
      <c r="AA110" s="2566"/>
      <c r="AB110" s="1600"/>
      <c r="AC110" s="2566"/>
      <c r="AD110" s="2566"/>
      <c r="AE110" s="1611"/>
    </row>
    <row r="111" spans="1:31" s="36" customFormat="1" ht="15.95" customHeight="1" x14ac:dyDescent="0.25">
      <c r="A111" s="731"/>
      <c r="V111" s="87"/>
      <c r="W111" s="161"/>
      <c r="X111" s="667" t="str">
        <f>CONCATENATE(Income_TCat5," - ",TEXT(dpIncome_StabilizedVacancy,"0.0%")," Stabilized Vacancy")</f>
        <v xml:space="preserve"> - 2.0% Stabilized Vacancy</v>
      </c>
      <c r="Y111" s="161"/>
      <c r="Z111" s="161"/>
      <c r="AA111" s="161"/>
      <c r="AB111" s="165"/>
      <c r="AC111" s="161"/>
      <c r="AD111" s="161"/>
      <c r="AE111" s="1611"/>
    </row>
    <row r="112" spans="1:31" ht="15" customHeight="1" x14ac:dyDescent="0.25">
      <c r="V112" s="4"/>
      <c r="W112" s="5"/>
      <c r="X112" s="39"/>
      <c r="Y112" s="39" t="s">
        <v>271</v>
      </c>
      <c r="Z112" s="39"/>
      <c r="AA112" s="5"/>
      <c r="AB112" s="39"/>
      <c r="AC112" s="39" t="s">
        <v>93</v>
      </c>
      <c r="AD112" s="5"/>
      <c r="AE112" s="5"/>
    </row>
    <row r="113" spans="22:31" ht="15" customHeight="1" x14ac:dyDescent="0.25">
      <c r="V113" s="4"/>
      <c r="W113" s="5"/>
      <c r="X113" s="39"/>
      <c r="Y113" s="217" t="s">
        <v>507</v>
      </c>
      <c r="Z113" s="217"/>
      <c r="AA113" s="217" t="s">
        <v>501</v>
      </c>
      <c r="AB113" s="217"/>
      <c r="AC113" s="217" t="s">
        <v>501</v>
      </c>
      <c r="AD113" s="5"/>
      <c r="AE113" s="5"/>
    </row>
    <row r="114" spans="22:31" ht="15" customHeight="1" x14ac:dyDescent="0.25">
      <c r="V114" s="4"/>
      <c r="W114" s="5"/>
      <c r="X114" s="39" t="s">
        <v>503</v>
      </c>
      <c r="Y114" s="297">
        <f>Income_TCat5_LeaseTerm</f>
        <v>0</v>
      </c>
      <c r="Z114" s="297" t="s">
        <v>176</v>
      </c>
      <c r="AA114" s="297">
        <v>12</v>
      </c>
      <c r="AB114" s="39" t="s">
        <v>177</v>
      </c>
      <c r="AC114" s="297">
        <f>Y114*AA114</f>
        <v>0</v>
      </c>
      <c r="AD114" s="5"/>
      <c r="AE114" s="5"/>
    </row>
    <row r="115" spans="22:31" ht="5.0999999999999996" customHeight="1" x14ac:dyDescent="0.25">
      <c r="V115" s="4"/>
      <c r="W115" s="5"/>
      <c r="X115" s="39"/>
      <c r="Y115" s="5"/>
      <c r="Z115" s="5"/>
      <c r="AA115" s="5"/>
      <c r="AB115" s="39"/>
      <c r="AC115" s="5"/>
      <c r="AD115" s="5"/>
      <c r="AE115" s="5"/>
    </row>
    <row r="116" spans="22:31" ht="15" customHeight="1" x14ac:dyDescent="0.25">
      <c r="V116" s="4"/>
      <c r="W116" s="5"/>
      <c r="X116" s="39"/>
      <c r="Y116" s="39" t="s">
        <v>93</v>
      </c>
      <c r="Z116" s="39"/>
      <c r="AA116" s="39" t="s">
        <v>508</v>
      </c>
      <c r="AB116" s="39"/>
      <c r="AC116" s="5"/>
      <c r="AD116" s="5"/>
      <c r="AE116" s="5"/>
    </row>
    <row r="117" spans="22:31" ht="15" customHeight="1" x14ac:dyDescent="0.25">
      <c r="V117" s="4"/>
      <c r="W117" s="5"/>
      <c r="X117" s="39"/>
      <c r="Y117" s="217" t="s">
        <v>501</v>
      </c>
      <c r="Z117" s="217"/>
      <c r="AA117" s="217" t="s">
        <v>509</v>
      </c>
      <c r="AB117" s="217"/>
      <c r="AC117" s="217" t="s">
        <v>505</v>
      </c>
      <c r="AD117" s="5"/>
      <c r="AE117" s="5"/>
    </row>
    <row r="118" spans="22:31" ht="15" customHeight="1" x14ac:dyDescent="0.25">
      <c r="V118" s="4"/>
      <c r="W118" s="5"/>
      <c r="X118" s="39" t="s">
        <v>504</v>
      </c>
      <c r="Y118" s="297">
        <f>AC114</f>
        <v>0</v>
      </c>
      <c r="Z118" s="297" t="s">
        <v>176</v>
      </c>
      <c r="AA118" s="229">
        <f>dpIncome_StabilizedVacancy</f>
        <v>0.02</v>
      </c>
      <c r="AB118" s="39" t="s">
        <v>177</v>
      </c>
      <c r="AC118" s="296">
        <f>Y118*AA118</f>
        <v>0</v>
      </c>
      <c r="AD118" s="5"/>
      <c r="AE118" s="5"/>
    </row>
    <row r="119" spans="22:31" ht="5.0999999999999996" customHeight="1" x14ac:dyDescent="0.25">
      <c r="V119" s="4"/>
      <c r="W119" s="5"/>
      <c r="X119" s="39"/>
      <c r="Y119" s="5"/>
      <c r="Z119" s="5"/>
      <c r="AA119" s="5"/>
      <c r="AB119" s="39"/>
      <c r="AC119" s="5"/>
      <c r="AD119" s="5"/>
      <c r="AE119" s="5"/>
    </row>
    <row r="120" spans="22:31" ht="15" customHeight="1" x14ac:dyDescent="0.25">
      <c r="V120" s="4"/>
      <c r="W120" s="5"/>
      <c r="X120" s="39"/>
      <c r="Y120" s="39"/>
      <c r="Z120" s="39"/>
      <c r="AA120" s="4286" t="s">
        <v>510</v>
      </c>
      <c r="AB120" s="39"/>
      <c r="AC120" s="39" t="s">
        <v>501</v>
      </c>
      <c r="AD120" s="5"/>
      <c r="AE120" s="5"/>
    </row>
    <row r="121" spans="22:31" ht="15" customHeight="1" x14ac:dyDescent="0.25">
      <c r="V121" s="4"/>
      <c r="W121" s="5"/>
      <c r="X121" s="39"/>
      <c r="Y121" s="217" t="s">
        <v>505</v>
      </c>
      <c r="Z121" s="217"/>
      <c r="AA121" s="4287"/>
      <c r="AB121" s="217"/>
      <c r="AC121" s="217" t="s">
        <v>139</v>
      </c>
      <c r="AD121" s="5"/>
      <c r="AE121" s="5"/>
    </row>
    <row r="122" spans="22:31" ht="15" customHeight="1" x14ac:dyDescent="0.25">
      <c r="V122" s="4"/>
      <c r="W122" s="5"/>
      <c r="X122" s="39" t="s">
        <v>506</v>
      </c>
      <c r="Y122" s="296">
        <f>AC118</f>
        <v>0</v>
      </c>
      <c r="Z122" s="299" t="s">
        <v>439</v>
      </c>
      <c r="AA122" s="229">
        <f>1-Income_TCat5_RenewalProb</f>
        <v>1</v>
      </c>
      <c r="AB122" s="39" t="s">
        <v>177</v>
      </c>
      <c r="AC122" s="296">
        <f>Y122/AA122</f>
        <v>0</v>
      </c>
      <c r="AD122" s="5"/>
      <c r="AE122" s="5"/>
    </row>
    <row r="123" spans="22:31" ht="5.0999999999999996" customHeight="1" x14ac:dyDescent="0.25">
      <c r="V123" s="4"/>
      <c r="W123" s="5"/>
      <c r="X123" s="39"/>
      <c r="Y123" s="39"/>
      <c r="Z123" s="39"/>
      <c r="AA123" s="39"/>
      <c r="AB123" s="39"/>
      <c r="AC123" s="39"/>
      <c r="AD123" s="5"/>
      <c r="AE123" s="5"/>
    </row>
    <row r="124" spans="22:31" x14ac:dyDescent="0.25">
      <c r="V124" s="4"/>
      <c r="W124" s="5"/>
      <c r="X124" s="35" t="str">
        <f>CONCATENATE("Months Vacant Between Leases to Achieve ",TEXT(dpIncome_StabilizedVacancy,"0.0%"))</f>
        <v>Months Vacant Between Leases to Achieve 2.0%</v>
      </c>
      <c r="Y124" s="5"/>
      <c r="Z124" s="5"/>
      <c r="AA124" s="5"/>
      <c r="AB124" s="39"/>
      <c r="AC124" s="5"/>
      <c r="AD124" s="5"/>
      <c r="AE124" s="5"/>
    </row>
    <row r="125" spans="22:31" x14ac:dyDescent="0.25">
      <c r="V125" s="4"/>
      <c r="W125" s="5"/>
      <c r="X125" s="35" t="s">
        <v>1545</v>
      </c>
      <c r="Y125" s="5"/>
      <c r="Z125" s="5"/>
      <c r="AA125" s="5"/>
      <c r="AB125" s="39"/>
      <c r="AC125" s="298">
        <f>AC122</f>
        <v>0</v>
      </c>
      <c r="AD125" s="5"/>
      <c r="AE125" s="5"/>
    </row>
    <row r="126" spans="22:31" ht="5.0999999999999996" customHeight="1" thickBot="1" x14ac:dyDescent="0.3">
      <c r="V126" s="4"/>
      <c r="W126" s="5"/>
      <c r="X126" s="86"/>
      <c r="Y126" s="216"/>
      <c r="Z126" s="216"/>
      <c r="AA126" s="216"/>
      <c r="AB126" s="86"/>
      <c r="AC126" s="216"/>
      <c r="AD126" s="5"/>
      <c r="AE126" s="5"/>
    </row>
    <row r="127" spans="22:31" ht="15" customHeight="1" thickBot="1" x14ac:dyDescent="0.3">
      <c r="V127" s="8"/>
      <c r="W127" s="7"/>
      <c r="X127" s="554" t="s">
        <v>890</v>
      </c>
      <c r="Y127" s="7"/>
      <c r="Z127" s="7"/>
      <c r="AA127" s="7"/>
      <c r="AB127" s="14"/>
      <c r="AC127" s="7"/>
      <c r="AD127" s="7"/>
      <c r="AE127" s="7"/>
    </row>
    <row r="128" spans="22:31" ht="15" thickBot="1" x14ac:dyDescent="0.3">
      <c r="X128" s="13"/>
      <c r="AB128" s="13"/>
    </row>
    <row r="129" spans="1:31" ht="15" customHeight="1" x14ac:dyDescent="0.25">
      <c r="V129" s="1"/>
      <c r="W129" s="2"/>
      <c r="X129" s="202"/>
      <c r="Y129" s="2"/>
      <c r="Z129" s="2"/>
      <c r="AA129" s="2"/>
      <c r="AB129" s="202"/>
      <c r="AC129" s="2"/>
      <c r="AD129" s="2"/>
      <c r="AE129" s="2"/>
    </row>
    <row r="130" spans="1:31" s="36" customFormat="1" ht="15.95" customHeight="1" x14ac:dyDescent="0.25">
      <c r="A130" s="731"/>
      <c r="V130" s="87"/>
      <c r="W130" s="2566"/>
      <c r="X130" s="2567" t="s">
        <v>18135</v>
      </c>
      <c r="Y130" s="2566"/>
      <c r="Z130" s="2566"/>
      <c r="AA130" s="2566"/>
      <c r="AB130" s="1600"/>
      <c r="AC130" s="2566"/>
      <c r="AD130" s="2566"/>
      <c r="AE130" s="1611"/>
    </row>
    <row r="131" spans="1:31" s="36" customFormat="1" ht="15.95" customHeight="1" x14ac:dyDescent="0.25">
      <c r="A131" s="731"/>
      <c r="V131" s="87"/>
      <c r="W131" s="161"/>
      <c r="X131" s="667" t="str">
        <f>CONCATENATE(Income_TCat6," - ",TEXT(dpIncome_StabilizedVacancy,"0.0%")," Stabilized Vacancy")</f>
        <v xml:space="preserve"> - 2.0% Stabilized Vacancy</v>
      </c>
      <c r="Y131" s="161"/>
      <c r="Z131" s="161"/>
      <c r="AA131" s="161"/>
      <c r="AB131" s="165"/>
      <c r="AC131" s="161"/>
      <c r="AD131" s="161"/>
      <c r="AE131" s="1611"/>
    </row>
    <row r="132" spans="1:31" ht="15" customHeight="1" x14ac:dyDescent="0.25">
      <c r="V132" s="4"/>
      <c r="W132" s="5"/>
      <c r="X132" s="39"/>
      <c r="Y132" s="39" t="s">
        <v>271</v>
      </c>
      <c r="Z132" s="39"/>
      <c r="AA132" s="5"/>
      <c r="AB132" s="39"/>
      <c r="AC132" s="39" t="s">
        <v>93</v>
      </c>
      <c r="AD132" s="5"/>
      <c r="AE132" s="5"/>
    </row>
    <row r="133" spans="1:31" ht="15" customHeight="1" x14ac:dyDescent="0.25">
      <c r="V133" s="4"/>
      <c r="W133" s="5"/>
      <c r="X133" s="39"/>
      <c r="Y133" s="217" t="s">
        <v>507</v>
      </c>
      <c r="Z133" s="217"/>
      <c r="AA133" s="217" t="s">
        <v>501</v>
      </c>
      <c r="AB133" s="217"/>
      <c r="AC133" s="217" t="s">
        <v>501</v>
      </c>
      <c r="AD133" s="5"/>
      <c r="AE133" s="5"/>
    </row>
    <row r="134" spans="1:31" ht="15" customHeight="1" x14ac:dyDescent="0.25">
      <c r="V134" s="4"/>
      <c r="W134" s="5"/>
      <c r="X134" s="39" t="s">
        <v>503</v>
      </c>
      <c r="Y134" s="297">
        <f>Income_TCat6_LeaseTerm</f>
        <v>0</v>
      </c>
      <c r="Z134" s="297" t="s">
        <v>176</v>
      </c>
      <c r="AA134" s="297">
        <v>12</v>
      </c>
      <c r="AB134" s="39" t="s">
        <v>177</v>
      </c>
      <c r="AC134" s="297">
        <f>Y134*AA134</f>
        <v>0</v>
      </c>
      <c r="AD134" s="5"/>
      <c r="AE134" s="5"/>
    </row>
    <row r="135" spans="1:31" ht="5.0999999999999996" customHeight="1" x14ac:dyDescent="0.25">
      <c r="V135" s="4"/>
      <c r="W135" s="5"/>
      <c r="X135" s="39"/>
      <c r="Y135" s="5"/>
      <c r="Z135" s="5"/>
      <c r="AA135" s="5"/>
      <c r="AB135" s="39"/>
      <c r="AC135" s="5"/>
      <c r="AD135" s="5"/>
      <c r="AE135" s="5"/>
    </row>
    <row r="136" spans="1:31" ht="15" customHeight="1" x14ac:dyDescent="0.25">
      <c r="V136" s="4"/>
      <c r="W136" s="5"/>
      <c r="X136" s="39"/>
      <c r="Y136" s="39" t="s">
        <v>93</v>
      </c>
      <c r="Z136" s="39"/>
      <c r="AA136" s="39" t="s">
        <v>508</v>
      </c>
      <c r="AB136" s="39"/>
      <c r="AC136" s="5"/>
      <c r="AD136" s="5"/>
      <c r="AE136" s="5"/>
    </row>
    <row r="137" spans="1:31" ht="15" customHeight="1" x14ac:dyDescent="0.25">
      <c r="V137" s="4"/>
      <c r="W137" s="5"/>
      <c r="X137" s="39"/>
      <c r="Y137" s="217" t="s">
        <v>501</v>
      </c>
      <c r="Z137" s="217"/>
      <c r="AA137" s="217" t="s">
        <v>509</v>
      </c>
      <c r="AB137" s="217"/>
      <c r="AC137" s="217" t="s">
        <v>505</v>
      </c>
      <c r="AD137" s="5"/>
      <c r="AE137" s="5"/>
    </row>
    <row r="138" spans="1:31" ht="15" customHeight="1" x14ac:dyDescent="0.25">
      <c r="V138" s="4"/>
      <c r="W138" s="5"/>
      <c r="X138" s="39" t="s">
        <v>504</v>
      </c>
      <c r="Y138" s="297">
        <f>AC134</f>
        <v>0</v>
      </c>
      <c r="Z138" s="297" t="s">
        <v>176</v>
      </c>
      <c r="AA138" s="229">
        <f>dpIncome_StabilizedVacancy</f>
        <v>0.02</v>
      </c>
      <c r="AB138" s="39" t="s">
        <v>177</v>
      </c>
      <c r="AC138" s="296">
        <f>Y138*AA138</f>
        <v>0</v>
      </c>
      <c r="AD138" s="5"/>
      <c r="AE138" s="5"/>
    </row>
    <row r="139" spans="1:31" ht="5.0999999999999996" customHeight="1" x14ac:dyDescent="0.25">
      <c r="V139" s="4"/>
      <c r="W139" s="5"/>
      <c r="X139" s="39"/>
      <c r="Y139" s="5"/>
      <c r="Z139" s="5"/>
      <c r="AA139" s="5"/>
      <c r="AB139" s="39"/>
      <c r="AC139" s="5"/>
      <c r="AD139" s="5"/>
      <c r="AE139" s="5"/>
    </row>
    <row r="140" spans="1:31" ht="15" customHeight="1" x14ac:dyDescent="0.25">
      <c r="V140" s="4"/>
      <c r="W140" s="5"/>
      <c r="X140" s="39"/>
      <c r="Y140" s="39"/>
      <c r="Z140" s="39"/>
      <c r="AA140" s="4286" t="s">
        <v>510</v>
      </c>
      <c r="AB140" s="39"/>
      <c r="AC140" s="39" t="s">
        <v>501</v>
      </c>
      <c r="AD140" s="5"/>
      <c r="AE140" s="5"/>
    </row>
    <row r="141" spans="1:31" ht="15" customHeight="1" x14ac:dyDescent="0.25">
      <c r="V141" s="4"/>
      <c r="W141" s="5"/>
      <c r="X141" s="39"/>
      <c r="Y141" s="217" t="s">
        <v>505</v>
      </c>
      <c r="Z141" s="217"/>
      <c r="AA141" s="4287"/>
      <c r="AB141" s="217"/>
      <c r="AC141" s="217" t="s">
        <v>139</v>
      </c>
      <c r="AD141" s="5"/>
      <c r="AE141" s="5"/>
    </row>
    <row r="142" spans="1:31" ht="15" customHeight="1" x14ac:dyDescent="0.25">
      <c r="V142" s="4"/>
      <c r="W142" s="5"/>
      <c r="X142" s="39" t="s">
        <v>506</v>
      </c>
      <c r="Y142" s="296">
        <f>AC138</f>
        <v>0</v>
      </c>
      <c r="Z142" s="299" t="s">
        <v>439</v>
      </c>
      <c r="AA142" s="229">
        <f>1-Income_TCat6_RenewalProb</f>
        <v>1</v>
      </c>
      <c r="AB142" s="39" t="s">
        <v>177</v>
      </c>
      <c r="AC142" s="296">
        <f>Y142/AA142</f>
        <v>0</v>
      </c>
      <c r="AD142" s="5"/>
      <c r="AE142" s="5"/>
    </row>
    <row r="143" spans="1:31" ht="5.0999999999999996" customHeight="1" x14ac:dyDescent="0.25">
      <c r="V143" s="4"/>
      <c r="W143" s="5"/>
      <c r="X143" s="39"/>
      <c r="Y143" s="39"/>
      <c r="Z143" s="39"/>
      <c r="AA143" s="39"/>
      <c r="AB143" s="39"/>
      <c r="AC143" s="39"/>
      <c r="AD143" s="5"/>
      <c r="AE143" s="5"/>
    </row>
    <row r="144" spans="1:31" x14ac:dyDescent="0.25">
      <c r="V144" s="4"/>
      <c r="W144" s="5"/>
      <c r="X144" s="35" t="str">
        <f>CONCATENATE("Months Vacant Between Leases to Achieve ",TEXT(dpIncome_StabilizedVacancy,"0.0%"))</f>
        <v>Months Vacant Between Leases to Achieve 2.0%</v>
      </c>
      <c r="Y144" s="5"/>
      <c r="Z144" s="5"/>
      <c r="AA144" s="5"/>
      <c r="AB144" s="39"/>
      <c r="AC144" s="5"/>
      <c r="AD144" s="5"/>
      <c r="AE144" s="5"/>
    </row>
    <row r="145" spans="1:31" x14ac:dyDescent="0.25">
      <c r="V145" s="4"/>
      <c r="W145" s="5"/>
      <c r="X145" s="35" t="s">
        <v>1545</v>
      </c>
      <c r="Y145" s="5"/>
      <c r="Z145" s="5"/>
      <c r="AA145" s="5"/>
      <c r="AB145" s="39"/>
      <c r="AC145" s="298">
        <f>AC142</f>
        <v>0</v>
      </c>
      <c r="AD145" s="5"/>
      <c r="AE145" s="5"/>
    </row>
    <row r="146" spans="1:31" ht="5.0999999999999996" customHeight="1" thickBot="1" x14ac:dyDescent="0.3">
      <c r="V146" s="4"/>
      <c r="W146" s="5"/>
      <c r="X146" s="86"/>
      <c r="Y146" s="216"/>
      <c r="Z146" s="216"/>
      <c r="AA146" s="216"/>
      <c r="AB146" s="86"/>
      <c r="AC146" s="216"/>
      <c r="AD146" s="5"/>
      <c r="AE146" s="5"/>
    </row>
    <row r="147" spans="1:31" ht="15" customHeight="1" thickBot="1" x14ac:dyDescent="0.3">
      <c r="V147" s="8"/>
      <c r="W147" s="7"/>
      <c r="X147" s="554" t="s">
        <v>891</v>
      </c>
      <c r="Y147" s="7"/>
      <c r="Z147" s="7"/>
      <c r="AA147" s="7"/>
      <c r="AB147" s="14"/>
      <c r="AC147" s="7"/>
      <c r="AD147" s="7"/>
      <c r="AE147" s="7"/>
    </row>
    <row r="148" spans="1:31" ht="15" thickBot="1" x14ac:dyDescent="0.3">
      <c r="X148" s="13"/>
      <c r="AB148" s="13"/>
    </row>
    <row r="149" spans="1:31" ht="15" customHeight="1" x14ac:dyDescent="0.25">
      <c r="V149" s="1"/>
      <c r="W149" s="2"/>
      <c r="X149" s="202"/>
      <c r="Y149" s="2"/>
      <c r="Z149" s="2"/>
      <c r="AA149" s="2"/>
      <c r="AB149" s="202"/>
      <c r="AC149" s="2"/>
      <c r="AD149" s="2"/>
      <c r="AE149" s="2"/>
    </row>
    <row r="150" spans="1:31" s="36" customFormat="1" ht="15.95" customHeight="1" x14ac:dyDescent="0.25">
      <c r="A150" s="731"/>
      <c r="V150" s="87"/>
      <c r="W150" s="2566"/>
      <c r="X150" s="2567" t="s">
        <v>18135</v>
      </c>
      <c r="Y150" s="2566"/>
      <c r="Z150" s="2566"/>
      <c r="AA150" s="2566"/>
      <c r="AB150" s="1600"/>
      <c r="AC150" s="2566"/>
      <c r="AD150" s="2566"/>
      <c r="AE150" s="1611"/>
    </row>
    <row r="151" spans="1:31" s="36" customFormat="1" ht="15.95" customHeight="1" x14ac:dyDescent="0.25">
      <c r="A151" s="731"/>
      <c r="V151" s="87"/>
      <c r="W151" s="161"/>
      <c r="X151" s="667" t="str">
        <f>CONCATENATE(Income_TCat7," - ",TEXT(dpIncome_StabilizedVacancy,"0.0%")," Stabilized Vacancy")</f>
        <v xml:space="preserve"> - 2.0% Stabilized Vacancy</v>
      </c>
      <c r="Y151" s="161"/>
      <c r="Z151" s="161"/>
      <c r="AA151" s="161"/>
      <c r="AB151" s="165"/>
      <c r="AC151" s="161"/>
      <c r="AD151" s="161"/>
      <c r="AE151" s="1611"/>
    </row>
    <row r="152" spans="1:31" ht="15" customHeight="1" x14ac:dyDescent="0.25">
      <c r="V152" s="4"/>
      <c r="W152" s="5"/>
      <c r="X152" s="39"/>
      <c r="Y152" s="39" t="s">
        <v>271</v>
      </c>
      <c r="Z152" s="39"/>
      <c r="AA152" s="5"/>
      <c r="AB152" s="39"/>
      <c r="AC152" s="39" t="s">
        <v>93</v>
      </c>
      <c r="AD152" s="5"/>
      <c r="AE152" s="5"/>
    </row>
    <row r="153" spans="1:31" ht="15" customHeight="1" x14ac:dyDescent="0.25">
      <c r="V153" s="4"/>
      <c r="W153" s="5"/>
      <c r="X153" s="39"/>
      <c r="Y153" s="217" t="s">
        <v>507</v>
      </c>
      <c r="Z153" s="217"/>
      <c r="AA153" s="217" t="s">
        <v>501</v>
      </c>
      <c r="AB153" s="217"/>
      <c r="AC153" s="217" t="s">
        <v>501</v>
      </c>
      <c r="AD153" s="5"/>
      <c r="AE153" s="5"/>
    </row>
    <row r="154" spans="1:31" ht="15" customHeight="1" x14ac:dyDescent="0.25">
      <c r="V154" s="4"/>
      <c r="W154" s="5"/>
      <c r="X154" s="39" t="s">
        <v>503</v>
      </c>
      <c r="Y154" s="297">
        <f>Income_TCat7_LeaseTerm</f>
        <v>0</v>
      </c>
      <c r="Z154" s="297" t="s">
        <v>176</v>
      </c>
      <c r="AA154" s="297">
        <v>12</v>
      </c>
      <c r="AB154" s="39" t="s">
        <v>177</v>
      </c>
      <c r="AC154" s="297">
        <f>Y154*AA154</f>
        <v>0</v>
      </c>
      <c r="AD154" s="5"/>
      <c r="AE154" s="5"/>
    </row>
    <row r="155" spans="1:31" ht="5.0999999999999996" customHeight="1" x14ac:dyDescent="0.25">
      <c r="V155" s="4"/>
      <c r="W155" s="5"/>
      <c r="X155" s="39"/>
      <c r="Y155" s="5"/>
      <c r="Z155" s="5"/>
      <c r="AA155" s="5"/>
      <c r="AB155" s="39"/>
      <c r="AC155" s="5"/>
      <c r="AD155" s="5"/>
      <c r="AE155" s="5"/>
    </row>
    <row r="156" spans="1:31" ht="15" customHeight="1" x14ac:dyDescent="0.25">
      <c r="V156" s="4"/>
      <c r="W156" s="5"/>
      <c r="X156" s="39"/>
      <c r="Y156" s="39" t="s">
        <v>93</v>
      </c>
      <c r="Z156" s="39"/>
      <c r="AA156" s="39" t="s">
        <v>508</v>
      </c>
      <c r="AB156" s="39"/>
      <c r="AC156" s="5"/>
      <c r="AD156" s="5"/>
      <c r="AE156" s="5"/>
    </row>
    <row r="157" spans="1:31" ht="15" customHeight="1" x14ac:dyDescent="0.25">
      <c r="V157" s="4"/>
      <c r="W157" s="5"/>
      <c r="X157" s="39"/>
      <c r="Y157" s="217" t="s">
        <v>501</v>
      </c>
      <c r="Z157" s="217"/>
      <c r="AA157" s="217" t="s">
        <v>509</v>
      </c>
      <c r="AB157" s="217"/>
      <c r="AC157" s="217" t="s">
        <v>505</v>
      </c>
      <c r="AD157" s="5"/>
      <c r="AE157" s="5"/>
    </row>
    <row r="158" spans="1:31" ht="15" customHeight="1" x14ac:dyDescent="0.25">
      <c r="V158" s="4"/>
      <c r="W158" s="5"/>
      <c r="X158" s="39" t="s">
        <v>504</v>
      </c>
      <c r="Y158" s="297">
        <f>AC154</f>
        <v>0</v>
      </c>
      <c r="Z158" s="297" t="s">
        <v>176</v>
      </c>
      <c r="AA158" s="229">
        <f>dpIncome_StabilizedVacancy</f>
        <v>0.02</v>
      </c>
      <c r="AB158" s="39" t="s">
        <v>177</v>
      </c>
      <c r="AC158" s="296">
        <f>Y158*AA158</f>
        <v>0</v>
      </c>
      <c r="AD158" s="5"/>
      <c r="AE158" s="5"/>
    </row>
    <row r="159" spans="1:31" ht="5.0999999999999996" customHeight="1" x14ac:dyDescent="0.25">
      <c r="V159" s="4"/>
      <c r="W159" s="5"/>
      <c r="X159" s="39"/>
      <c r="Y159" s="5"/>
      <c r="Z159" s="5"/>
      <c r="AA159" s="5"/>
      <c r="AB159" s="39"/>
      <c r="AC159" s="5"/>
      <c r="AD159" s="5"/>
      <c r="AE159" s="5"/>
    </row>
    <row r="160" spans="1:31" ht="15" customHeight="1" x14ac:dyDescent="0.25">
      <c r="V160" s="4"/>
      <c r="W160" s="5"/>
      <c r="X160" s="39"/>
      <c r="Y160" s="39"/>
      <c r="Z160" s="39"/>
      <c r="AA160" s="4286" t="s">
        <v>510</v>
      </c>
      <c r="AB160" s="39"/>
      <c r="AC160" s="39" t="s">
        <v>501</v>
      </c>
      <c r="AD160" s="5"/>
      <c r="AE160" s="5"/>
    </row>
    <row r="161" spans="1:31" ht="15" customHeight="1" x14ac:dyDescent="0.25">
      <c r="V161" s="4"/>
      <c r="W161" s="5"/>
      <c r="X161" s="39"/>
      <c r="Y161" s="217" t="s">
        <v>505</v>
      </c>
      <c r="Z161" s="217"/>
      <c r="AA161" s="4287"/>
      <c r="AB161" s="217"/>
      <c r="AC161" s="217" t="s">
        <v>139</v>
      </c>
      <c r="AD161" s="5"/>
      <c r="AE161" s="5"/>
    </row>
    <row r="162" spans="1:31" ht="15" customHeight="1" x14ac:dyDescent="0.25">
      <c r="V162" s="4"/>
      <c r="W162" s="5"/>
      <c r="X162" s="39" t="s">
        <v>506</v>
      </c>
      <c r="Y162" s="296">
        <f>AC158</f>
        <v>0</v>
      </c>
      <c r="Z162" s="299" t="s">
        <v>439</v>
      </c>
      <c r="AA162" s="229">
        <f>1-Income_TCat7_RenewalProb</f>
        <v>1</v>
      </c>
      <c r="AB162" s="39" t="s">
        <v>177</v>
      </c>
      <c r="AC162" s="296">
        <f>Y162/AA162</f>
        <v>0</v>
      </c>
      <c r="AD162" s="5"/>
      <c r="AE162" s="5"/>
    </row>
    <row r="163" spans="1:31" ht="5.0999999999999996" customHeight="1" x14ac:dyDescent="0.25">
      <c r="V163" s="4"/>
      <c r="W163" s="5"/>
      <c r="X163" s="39"/>
      <c r="Y163" s="39"/>
      <c r="Z163" s="39"/>
      <c r="AA163" s="39"/>
      <c r="AB163" s="39"/>
      <c r="AC163" s="39"/>
      <c r="AD163" s="5"/>
      <c r="AE163" s="5"/>
    </row>
    <row r="164" spans="1:31" x14ac:dyDescent="0.25">
      <c r="V164" s="4"/>
      <c r="W164" s="5"/>
      <c r="X164" s="35" t="str">
        <f>CONCATENATE("Months Vacant Between Leases to Achieve ",TEXT(dpIncome_StabilizedVacancy,"0.0%"))</f>
        <v>Months Vacant Between Leases to Achieve 2.0%</v>
      </c>
      <c r="Y164" s="5"/>
      <c r="Z164" s="5"/>
      <c r="AA164" s="5"/>
      <c r="AB164" s="39"/>
      <c r="AC164" s="5"/>
      <c r="AD164" s="5"/>
      <c r="AE164" s="5"/>
    </row>
    <row r="165" spans="1:31" x14ac:dyDescent="0.25">
      <c r="V165" s="4"/>
      <c r="W165" s="5"/>
      <c r="X165" s="35" t="s">
        <v>1545</v>
      </c>
      <c r="Y165" s="5"/>
      <c r="Z165" s="5"/>
      <c r="AA165" s="5"/>
      <c r="AB165" s="39"/>
      <c r="AC165" s="298">
        <f>AC162</f>
        <v>0</v>
      </c>
      <c r="AD165" s="5"/>
      <c r="AE165" s="5"/>
    </row>
    <row r="166" spans="1:31" ht="5.0999999999999996" customHeight="1" thickBot="1" x14ac:dyDescent="0.3">
      <c r="V166" s="4"/>
      <c r="W166" s="5"/>
      <c r="X166" s="86"/>
      <c r="Y166" s="216"/>
      <c r="Z166" s="216"/>
      <c r="AA166" s="216"/>
      <c r="AB166" s="86"/>
      <c r="AC166" s="216"/>
      <c r="AD166" s="5"/>
      <c r="AE166" s="5"/>
    </row>
    <row r="167" spans="1:31" ht="15" customHeight="1" thickBot="1" x14ac:dyDescent="0.3">
      <c r="V167" s="8"/>
      <c r="W167" s="7"/>
      <c r="X167" s="554" t="s">
        <v>892</v>
      </c>
      <c r="Y167" s="7"/>
      <c r="Z167" s="7"/>
      <c r="AA167" s="7"/>
      <c r="AB167" s="14"/>
      <c r="AC167" s="7"/>
      <c r="AD167" s="7"/>
      <c r="AE167" s="7"/>
    </row>
    <row r="168" spans="1:31" ht="15" thickBot="1" x14ac:dyDescent="0.3">
      <c r="X168" s="13"/>
      <c r="AB168" s="13"/>
    </row>
    <row r="169" spans="1:31" ht="15" customHeight="1" x14ac:dyDescent="0.25">
      <c r="V169" s="1"/>
      <c r="W169" s="2"/>
      <c r="X169" s="202"/>
      <c r="Y169" s="2"/>
      <c r="Z169" s="2"/>
      <c r="AA169" s="2"/>
      <c r="AB169" s="202"/>
      <c r="AC169" s="2"/>
      <c r="AD169" s="2"/>
      <c r="AE169" s="2"/>
    </row>
    <row r="170" spans="1:31" s="36" customFormat="1" ht="15.95" customHeight="1" x14ac:dyDescent="0.25">
      <c r="A170" s="731"/>
      <c r="V170" s="87"/>
      <c r="W170" s="2566"/>
      <c r="X170" s="2567" t="s">
        <v>18135</v>
      </c>
      <c r="Y170" s="2566"/>
      <c r="Z170" s="2566"/>
      <c r="AA170" s="2566"/>
      <c r="AB170" s="1600"/>
      <c r="AC170" s="2566"/>
      <c r="AD170" s="2566"/>
      <c r="AE170" s="1611"/>
    </row>
    <row r="171" spans="1:31" s="36" customFormat="1" ht="15.95" customHeight="1" x14ac:dyDescent="0.25">
      <c r="A171" s="731"/>
      <c r="V171" s="87"/>
      <c r="W171" s="161"/>
      <c r="X171" s="667" t="str">
        <f>CONCATENATE(Income_TCat8," - ",TEXT(dpIncome_StabilizedVacancy,"0.0%")," Stabilized Vacancy")</f>
        <v xml:space="preserve"> - 2.0% Stabilized Vacancy</v>
      </c>
      <c r="Y171" s="161"/>
      <c r="Z171" s="161"/>
      <c r="AA171" s="161"/>
      <c r="AB171" s="165"/>
      <c r="AC171" s="161"/>
      <c r="AD171" s="161"/>
      <c r="AE171" s="1611"/>
    </row>
    <row r="172" spans="1:31" ht="15" customHeight="1" x14ac:dyDescent="0.25">
      <c r="V172" s="4"/>
      <c r="W172" s="5"/>
      <c r="X172" s="39"/>
      <c r="Y172" s="39" t="s">
        <v>271</v>
      </c>
      <c r="Z172" s="39"/>
      <c r="AA172" s="5"/>
      <c r="AB172" s="39"/>
      <c r="AC172" s="39" t="s">
        <v>93</v>
      </c>
      <c r="AD172" s="5"/>
      <c r="AE172" s="5"/>
    </row>
    <row r="173" spans="1:31" ht="15" customHeight="1" x14ac:dyDescent="0.25">
      <c r="V173" s="4"/>
      <c r="W173" s="5"/>
      <c r="X173" s="39"/>
      <c r="Y173" s="217" t="s">
        <v>507</v>
      </c>
      <c r="Z173" s="217"/>
      <c r="AA173" s="217" t="s">
        <v>501</v>
      </c>
      <c r="AB173" s="217"/>
      <c r="AC173" s="217" t="s">
        <v>501</v>
      </c>
      <c r="AD173" s="5"/>
      <c r="AE173" s="5"/>
    </row>
    <row r="174" spans="1:31" ht="15" customHeight="1" x14ac:dyDescent="0.25">
      <c r="V174" s="4"/>
      <c r="W174" s="5"/>
      <c r="X174" s="39" t="s">
        <v>503</v>
      </c>
      <c r="Y174" s="297">
        <f>Income_TCat8_LeaseTerm</f>
        <v>0</v>
      </c>
      <c r="Z174" s="297" t="s">
        <v>176</v>
      </c>
      <c r="AA174" s="297">
        <v>12</v>
      </c>
      <c r="AB174" s="39" t="s">
        <v>177</v>
      </c>
      <c r="AC174" s="297">
        <f>Y174*AA174</f>
        <v>0</v>
      </c>
      <c r="AD174" s="5"/>
      <c r="AE174" s="5"/>
    </row>
    <row r="175" spans="1:31" ht="5.0999999999999996" customHeight="1" x14ac:dyDescent="0.25">
      <c r="V175" s="4"/>
      <c r="W175" s="5"/>
      <c r="X175" s="39"/>
      <c r="Y175" s="5"/>
      <c r="Z175" s="5"/>
      <c r="AA175" s="5"/>
      <c r="AB175" s="39"/>
      <c r="AC175" s="5"/>
      <c r="AD175" s="5"/>
      <c r="AE175" s="5"/>
    </row>
    <row r="176" spans="1:31" ht="15" customHeight="1" x14ac:dyDescent="0.25">
      <c r="V176" s="4"/>
      <c r="W176" s="5"/>
      <c r="X176" s="39"/>
      <c r="Y176" s="39" t="s">
        <v>93</v>
      </c>
      <c r="Z176" s="39"/>
      <c r="AA176" s="39" t="s">
        <v>508</v>
      </c>
      <c r="AB176" s="39"/>
      <c r="AC176" s="5"/>
      <c r="AD176" s="5"/>
      <c r="AE176" s="5"/>
    </row>
    <row r="177" spans="22:31" ht="15" customHeight="1" x14ac:dyDescent="0.25">
      <c r="V177" s="4"/>
      <c r="W177" s="5"/>
      <c r="X177" s="39"/>
      <c r="Y177" s="217" t="s">
        <v>501</v>
      </c>
      <c r="Z177" s="217"/>
      <c r="AA177" s="217" t="s">
        <v>509</v>
      </c>
      <c r="AB177" s="217"/>
      <c r="AC177" s="217" t="s">
        <v>505</v>
      </c>
      <c r="AD177" s="5"/>
      <c r="AE177" s="5"/>
    </row>
    <row r="178" spans="22:31" ht="15" customHeight="1" x14ac:dyDescent="0.25">
      <c r="V178" s="4"/>
      <c r="W178" s="5"/>
      <c r="X178" s="39" t="s">
        <v>504</v>
      </c>
      <c r="Y178" s="297">
        <f>AC174</f>
        <v>0</v>
      </c>
      <c r="Z178" s="297" t="s">
        <v>176</v>
      </c>
      <c r="AA178" s="229">
        <f>dpIncome_StabilizedVacancy</f>
        <v>0.02</v>
      </c>
      <c r="AB178" s="39" t="s">
        <v>177</v>
      </c>
      <c r="AC178" s="296">
        <f>Y178*AA178</f>
        <v>0</v>
      </c>
      <c r="AD178" s="5"/>
      <c r="AE178" s="5"/>
    </row>
    <row r="179" spans="22:31" ht="5.0999999999999996" customHeight="1" x14ac:dyDescent="0.25">
      <c r="V179" s="4"/>
      <c r="W179" s="5"/>
      <c r="X179" s="39"/>
      <c r="Y179" s="5"/>
      <c r="Z179" s="5"/>
      <c r="AA179" s="5"/>
      <c r="AB179" s="39"/>
      <c r="AC179" s="5"/>
      <c r="AD179" s="5"/>
      <c r="AE179" s="5"/>
    </row>
    <row r="180" spans="22:31" ht="15" customHeight="1" x14ac:dyDescent="0.25">
      <c r="V180" s="4"/>
      <c r="W180" s="5"/>
      <c r="X180" s="39"/>
      <c r="Y180" s="39"/>
      <c r="Z180" s="39"/>
      <c r="AA180" s="4286" t="s">
        <v>510</v>
      </c>
      <c r="AB180" s="39"/>
      <c r="AC180" s="39" t="s">
        <v>501</v>
      </c>
      <c r="AD180" s="5"/>
      <c r="AE180" s="5"/>
    </row>
    <row r="181" spans="22:31" ht="15" customHeight="1" x14ac:dyDescent="0.25">
      <c r="V181" s="4"/>
      <c r="W181" s="5"/>
      <c r="X181" s="39"/>
      <c r="Y181" s="217" t="s">
        <v>505</v>
      </c>
      <c r="Z181" s="217"/>
      <c r="AA181" s="4287"/>
      <c r="AB181" s="217"/>
      <c r="AC181" s="217" t="s">
        <v>139</v>
      </c>
      <c r="AD181" s="5"/>
      <c r="AE181" s="5"/>
    </row>
    <row r="182" spans="22:31" ht="15" customHeight="1" x14ac:dyDescent="0.25">
      <c r="V182" s="4"/>
      <c r="W182" s="5"/>
      <c r="X182" s="39" t="s">
        <v>506</v>
      </c>
      <c r="Y182" s="296">
        <f>AC178</f>
        <v>0</v>
      </c>
      <c r="Z182" s="299" t="s">
        <v>439</v>
      </c>
      <c r="AA182" s="229">
        <f>1-Income_TCat8_RenewalProb</f>
        <v>1</v>
      </c>
      <c r="AB182" s="39" t="s">
        <v>177</v>
      </c>
      <c r="AC182" s="296">
        <f>Y182/AA182</f>
        <v>0</v>
      </c>
      <c r="AD182" s="5"/>
      <c r="AE182" s="5"/>
    </row>
    <row r="183" spans="22:31" ht="5.0999999999999996" customHeight="1" x14ac:dyDescent="0.25">
      <c r="V183" s="4"/>
      <c r="W183" s="5"/>
      <c r="X183" s="39"/>
      <c r="Y183" s="39"/>
      <c r="Z183" s="39"/>
      <c r="AA183" s="39"/>
      <c r="AB183" s="39"/>
      <c r="AC183" s="39"/>
      <c r="AD183" s="5"/>
      <c r="AE183" s="5"/>
    </row>
    <row r="184" spans="22:31" x14ac:dyDescent="0.25">
      <c r="V184" s="4"/>
      <c r="W184" s="5"/>
      <c r="X184" s="35" t="str">
        <f>CONCATENATE("Months Vacant Between Leases to Achieve ",TEXT(dpIncome_StabilizedVacancy,"0.0%"))</f>
        <v>Months Vacant Between Leases to Achieve 2.0%</v>
      </c>
      <c r="Y184" s="5"/>
      <c r="Z184" s="5"/>
      <c r="AA184" s="5"/>
      <c r="AB184" s="39"/>
      <c r="AC184" s="5"/>
      <c r="AD184" s="5"/>
      <c r="AE184" s="5"/>
    </row>
    <row r="185" spans="22:31" x14ac:dyDescent="0.25">
      <c r="V185" s="4"/>
      <c r="W185" s="5"/>
      <c r="X185" s="35" t="s">
        <v>1545</v>
      </c>
      <c r="Y185" s="5"/>
      <c r="Z185" s="5"/>
      <c r="AA185" s="5"/>
      <c r="AB185" s="39"/>
      <c r="AC185" s="298">
        <f>AC182</f>
        <v>0</v>
      </c>
      <c r="AD185" s="5"/>
      <c r="AE185" s="5"/>
    </row>
    <row r="186" spans="22:31" ht="5.0999999999999996" customHeight="1" thickBot="1" x14ac:dyDescent="0.3">
      <c r="V186" s="4"/>
      <c r="W186" s="5"/>
      <c r="X186" s="86"/>
      <c r="Y186" s="216"/>
      <c r="Z186" s="216"/>
      <c r="AA186" s="216"/>
      <c r="AB186" s="86"/>
      <c r="AC186" s="216"/>
      <c r="AD186" s="5"/>
      <c r="AE186" s="5"/>
    </row>
    <row r="187" spans="22:31" ht="15" customHeight="1" thickBot="1" x14ac:dyDescent="0.3">
      <c r="V187" s="8"/>
      <c r="W187" s="7"/>
      <c r="X187" s="554" t="s">
        <v>893</v>
      </c>
      <c r="Y187" s="7"/>
      <c r="Z187" s="7"/>
      <c r="AA187" s="7"/>
      <c r="AB187" s="14"/>
      <c r="AC187" s="7"/>
      <c r="AD187" s="7"/>
      <c r="AE187" s="7"/>
    </row>
  </sheetData>
  <mergeCells count="8">
    <mergeCell ref="AA40:AA41"/>
    <mergeCell ref="AA60:AA61"/>
    <mergeCell ref="AA180:AA181"/>
    <mergeCell ref="AA80:AA81"/>
    <mergeCell ref="AA100:AA101"/>
    <mergeCell ref="AA120:AA121"/>
    <mergeCell ref="AA140:AA141"/>
    <mergeCell ref="AA160:AA161"/>
  </mergeCells>
  <dataValidations count="1">
    <dataValidation type="list" allowBlank="1" showInputMessage="1" showErrorMessage="1" error="Must Select From List" promptTitle="Category Selection" prompt="Make Category Selection" sqref="E5:F5" xr:uid="{CED507FE-79B6-4A03-9D2C-7DFF8BF3B5CB}">
      <formula1>CoStar_DataSet_List</formula1>
    </dataValidation>
  </dataValidations>
  <pageMargins left="0.7" right="0.7" top="0.75" bottom="0.75" header="0.3" footer="0.3"/>
  <pageSetup orientation="portrait" r:id="rId1"/>
  <drawing r:id="rId2"/>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8">
    <tabColor theme="5" tint="-0.249977111117893"/>
    <pageSetUpPr fitToPage="1"/>
  </sheetPr>
  <dimension ref="A1:AA78"/>
  <sheetViews>
    <sheetView zoomScaleNormal="100" workbookViewId="0">
      <selection activeCell="C4" sqref="C4:T76"/>
    </sheetView>
  </sheetViews>
  <sheetFormatPr defaultColWidth="9.140625" defaultRowHeight="14.25" x14ac:dyDescent="0.25"/>
  <cols>
    <col min="1" max="1" width="5.7109375" style="41" customWidth="1"/>
    <col min="2" max="2" width="1.7109375" style="10" customWidth="1"/>
    <col min="3" max="3" width="0.85546875" style="10" customWidth="1"/>
    <col min="4" max="4" width="28.7109375" style="10" customWidth="1"/>
    <col min="5" max="5" width="10.7109375" style="37" hidden="1" customWidth="1"/>
    <col min="6" max="6" width="7.7109375" style="37" hidden="1" customWidth="1"/>
    <col min="7" max="7" width="8.7109375" style="37" hidden="1" customWidth="1"/>
    <col min="8" max="8" width="1.7109375" style="37" hidden="1" customWidth="1"/>
    <col min="9" max="9" width="10.7109375" style="37" hidden="1" customWidth="1"/>
    <col min="10" max="10" width="7.7109375" style="37" hidden="1" customWidth="1"/>
    <col min="11" max="11" width="8.7109375" style="37" hidden="1" customWidth="1"/>
    <col min="12" max="12" width="1.7109375" style="37" hidden="1" customWidth="1"/>
    <col min="13" max="13" width="10.7109375" style="37" hidden="1" customWidth="1"/>
    <col min="14" max="14" width="7.7109375" style="37" hidden="1" customWidth="1"/>
    <col min="15" max="15" width="8.7109375" style="37" hidden="1" customWidth="1"/>
    <col min="16" max="16" width="1.7109375" style="37" hidden="1" customWidth="1"/>
    <col min="17" max="17" width="10.7109375" style="37" hidden="1" customWidth="1"/>
    <col min="18" max="18" width="7.7109375" style="37" hidden="1" customWidth="1"/>
    <col min="19" max="19" width="8.7109375" style="37" hidden="1" customWidth="1"/>
    <col min="20" max="20" width="0.85546875" style="10" customWidth="1"/>
    <col min="21" max="21" width="1.7109375" style="10" customWidth="1"/>
    <col min="22" max="22" width="9.140625" style="32"/>
    <col min="23" max="25" width="9.140625" style="96"/>
    <col min="26" max="27" width="9.140625" style="11"/>
    <col min="28" max="16384" width="9.140625" style="10"/>
  </cols>
  <sheetData>
    <row r="1" spans="1:27" ht="60" customHeight="1" x14ac:dyDescent="0.25"/>
    <row r="2" spans="1:27" ht="57.75" customHeight="1" thickBot="1" x14ac:dyDescent="0.3"/>
    <row r="3" spans="1:27" x14ac:dyDescent="0.25">
      <c r="B3" s="173"/>
      <c r="C3" s="72"/>
      <c r="D3" s="72"/>
      <c r="E3" s="813"/>
      <c r="F3" s="813"/>
      <c r="G3" s="813"/>
      <c r="H3" s="813"/>
      <c r="I3" s="813"/>
      <c r="J3" s="813"/>
      <c r="K3" s="813"/>
      <c r="L3" s="813"/>
      <c r="M3" s="813"/>
      <c r="N3" s="813"/>
      <c r="O3" s="813"/>
      <c r="P3" s="813"/>
      <c r="Q3" s="813"/>
      <c r="R3" s="813"/>
      <c r="S3" s="813"/>
      <c r="T3" s="72"/>
      <c r="U3" s="73"/>
    </row>
    <row r="4" spans="1:27" ht="15.95" customHeight="1" x14ac:dyDescent="0.25">
      <c r="B4" s="174"/>
      <c r="C4" s="18"/>
      <c r="D4" s="505" t="s">
        <v>1025</v>
      </c>
      <c r="E4" s="814"/>
      <c r="F4" s="814"/>
      <c r="G4" s="814"/>
      <c r="H4" s="814"/>
      <c r="I4" s="814"/>
      <c r="J4" s="814"/>
      <c r="K4" s="814"/>
      <c r="L4" s="814"/>
      <c r="M4" s="814"/>
      <c r="N4" s="814"/>
      <c r="O4" s="814"/>
      <c r="P4" s="814"/>
      <c r="Q4" s="814"/>
      <c r="R4" s="814"/>
      <c r="S4" s="814"/>
      <c r="T4" s="178"/>
      <c r="U4" s="74"/>
    </row>
    <row r="5" spans="1:27" x14ac:dyDescent="0.25">
      <c r="B5" s="174"/>
      <c r="C5" s="11"/>
      <c r="D5" s="180" t="s">
        <v>375</v>
      </c>
      <c r="E5" s="4189">
        <f>IF(E8="Yes",CONCATENATE(E7," - ",E9,"-months Annualized"),E7)</f>
        <v>0</v>
      </c>
      <c r="F5" s="4189"/>
      <c r="G5" s="4189"/>
      <c r="H5" s="869"/>
      <c r="I5" s="4189">
        <f>IF(I8="Yes",CONCATENATE(I7," - ",I9,"-months Annualized"),I7)</f>
        <v>0</v>
      </c>
      <c r="J5" s="4189"/>
      <c r="K5" s="4189"/>
      <c r="L5" s="869"/>
      <c r="M5" s="4189">
        <f>IF(M8="Yes",CONCATENATE(M7," - ",M9,"-months Annualized"),M7)</f>
        <v>0</v>
      </c>
      <c r="N5" s="4189"/>
      <c r="O5" s="4189"/>
      <c r="P5" s="869"/>
      <c r="Q5" s="4189">
        <f>IF(Q8="Yes",CONCATENATE(Q7," - ",Q9,"-months Annualized"),Q7)</f>
        <v>0</v>
      </c>
      <c r="R5" s="4189"/>
      <c r="S5" s="4189"/>
      <c r="T5" s="42"/>
      <c r="U5" s="74"/>
      <c r="V5" s="957">
        <v>1</v>
      </c>
    </row>
    <row r="6" spans="1:27" x14ac:dyDescent="0.25">
      <c r="B6" s="174"/>
      <c r="C6" s="11"/>
      <c r="D6" s="161" t="s">
        <v>1199</v>
      </c>
      <c r="E6" s="4290">
        <v>45291</v>
      </c>
      <c r="F6" s="4290"/>
      <c r="G6" s="4290"/>
      <c r="H6" s="150"/>
      <c r="I6" s="4290">
        <v>45657</v>
      </c>
      <c r="J6" s="4290"/>
      <c r="K6" s="4290"/>
      <c r="L6" s="150"/>
      <c r="M6" s="4290"/>
      <c r="N6" s="4290"/>
      <c r="O6" s="4290"/>
      <c r="P6" s="150"/>
      <c r="Q6" s="4290"/>
      <c r="R6" s="4290"/>
      <c r="S6" s="4290"/>
      <c r="T6" s="42"/>
      <c r="U6" s="74"/>
      <c r="V6" s="957">
        <v>1</v>
      </c>
    </row>
    <row r="7" spans="1:27" ht="14.25" hidden="1" customHeight="1" x14ac:dyDescent="0.25">
      <c r="B7" s="174"/>
      <c r="C7" s="18"/>
      <c r="D7" s="181" t="s">
        <v>375</v>
      </c>
      <c r="E7" s="4291" t="inlineStr">
        <is>
          <t xml:space="preserve">Actual</t>
        </is>
      </c>
      <c r="F7" s="4291"/>
      <c r="G7" s="4291"/>
      <c r="H7" s="870"/>
      <c r="I7" s="4291" t="inlineStr">
        <is>
          <t xml:space="preserve">Actual</t>
        </is>
      </c>
      <c r="J7" s="4291"/>
      <c r="K7" s="4291"/>
      <c r="L7" s="870"/>
      <c r="M7" s="4291"/>
      <c r="N7" s="4291"/>
      <c r="O7" s="4291"/>
      <c r="P7" s="870"/>
      <c r="Q7" s="4291"/>
      <c r="R7" s="4291"/>
      <c r="S7" s="4291"/>
      <c r="T7" s="18"/>
      <c r="U7" s="74"/>
      <c r="V7" s="957">
        <v>0</v>
      </c>
    </row>
    <row r="8" spans="1:27" hidden="1" x14ac:dyDescent="0.25">
      <c r="B8" s="174"/>
      <c r="C8" s="18"/>
      <c r="D8" s="181" t="s">
        <v>373</v>
      </c>
      <c r="E8" s="4291" t="inlineStr">
        <is>
          <t xml:space="preserve">No</t>
        </is>
      </c>
      <c r="F8" s="4291"/>
      <c r="G8" s="4291"/>
      <c r="H8" s="871"/>
      <c r="I8" s="4291" t="inlineStr">
        <is>
          <t xml:space="preserve">No</t>
        </is>
      </c>
      <c r="J8" s="4291"/>
      <c r="K8" s="4291"/>
      <c r="L8" s="871"/>
      <c r="M8" s="4291"/>
      <c r="N8" s="4291"/>
      <c r="O8" s="4291"/>
      <c r="P8" s="871"/>
      <c r="Q8" s="4291"/>
      <c r="R8" s="4291"/>
      <c r="S8" s="4291"/>
      <c r="T8" s="18"/>
      <c r="U8" s="74"/>
      <c r="V8" s="957">
        <v>0</v>
      </c>
    </row>
    <row r="9" spans="1:27" hidden="1" x14ac:dyDescent="0.25">
      <c r="B9" s="174"/>
      <c r="C9" s="18"/>
      <c r="D9" s="181" t="s">
        <v>374</v>
      </c>
      <c r="E9" s="4292"/>
      <c r="F9" s="4292"/>
      <c r="G9" s="4292"/>
      <c r="H9" s="871"/>
      <c r="I9" s="4292"/>
      <c r="J9" s="4292"/>
      <c r="K9" s="4292"/>
      <c r="L9" s="871"/>
      <c r="M9" s="4292"/>
      <c r="N9" s="4292"/>
      <c r="O9" s="4292"/>
      <c r="P9" s="871"/>
      <c r="Q9" s="4292"/>
      <c r="R9" s="4292"/>
      <c r="S9" s="4292"/>
      <c r="T9" s="18"/>
      <c r="U9" s="74"/>
      <c r="V9" s="957">
        <v>0</v>
      </c>
    </row>
    <row r="10" spans="1:27" x14ac:dyDescent="0.25">
      <c r="B10" s="174"/>
      <c r="C10" s="116"/>
      <c r="D10" s="184" t="s">
        <v>268</v>
      </c>
      <c r="E10" s="4288">
        <v>0.99</v>
      </c>
      <c r="F10" s="4289"/>
      <c r="G10" s="4289"/>
      <c r="H10" s="872"/>
      <c r="I10" s="4288">
        <v>0.991</v>
      </c>
      <c r="J10" s="4289"/>
      <c r="K10" s="4289"/>
      <c r="L10" s="872"/>
      <c r="M10" s="4288"/>
      <c r="N10" s="4289"/>
      <c r="O10" s="4289"/>
      <c r="P10" s="872"/>
      <c r="Q10" s="4288"/>
      <c r="R10" s="4289"/>
      <c r="S10" s="4289"/>
      <c r="T10" s="116"/>
      <c r="U10" s="74"/>
      <c r="V10" s="957">
        <v>1</v>
      </c>
    </row>
    <row r="11" spans="1:27" ht="20.100000000000001" customHeight="1" x14ac:dyDescent="0.25">
      <c r="B11" s="174"/>
      <c r="C11" s="18"/>
      <c r="D11" s="309" t="s">
        <v>384</v>
      </c>
      <c r="E11" s="816" t="s">
        <v>331</v>
      </c>
      <c r="F11" s="816" t="s">
        <v>44</v>
      </c>
      <c r="G11" s="817" t="str">
        <f>"% of EGI"</f>
        <v>% of EGI</v>
      </c>
      <c r="H11" s="815"/>
      <c r="I11" s="816" t="s">
        <v>331</v>
      </c>
      <c r="J11" s="816" t="s">
        <v>44</v>
      </c>
      <c r="K11" s="817" t="str">
        <f>"% of EGI"</f>
        <v>% of EGI</v>
      </c>
      <c r="L11" s="815"/>
      <c r="M11" s="816" t="s">
        <v>331</v>
      </c>
      <c r="N11" s="816" t="s">
        <v>44</v>
      </c>
      <c r="O11" s="817" t="str">
        <f>"% of EGI"</f>
        <v>% of EGI</v>
      </c>
      <c r="P11" s="815"/>
      <c r="Q11" s="816" t="s">
        <v>331</v>
      </c>
      <c r="R11" s="816" t="s">
        <v>44</v>
      </c>
      <c r="S11" s="817" t="str">
        <f>"% of EGI"</f>
        <v>% of EGI</v>
      </c>
      <c r="T11" s="18"/>
      <c r="U11" s="74"/>
      <c r="V11" s="957">
        <v>1</v>
      </c>
    </row>
    <row r="12" spans="1:27" s="36" customFormat="1" ht="15.95" hidden="1" customHeight="1" x14ac:dyDescent="0.25">
      <c r="A12" s="707"/>
      <c r="B12" s="1376"/>
      <c r="C12" s="88"/>
      <c r="D12" s="353" t="s">
        <v>380</v>
      </c>
      <c r="E12" s="818">
        <v>1395648.13</v>
      </c>
      <c r="F12" s="819" t="str">
        <f>IF(E12&gt;0,E12/Subject_NRA,"")</f>
        <v/>
      </c>
      <c r="G12" s="820" t="str">
        <f t="shared" ref="G12:G18" si="0">IF(OR(E12=0,E$18=0),"N/A",E12/E$18)</f>
        <v>N/A</v>
      </c>
      <c r="H12" s="821"/>
      <c r="I12" s="818">
        <v>1494713.64</v>
      </c>
      <c r="J12" s="819" t="str">
        <f>IF(I12&gt;0,I12/Subject_NRA,"")</f>
        <v/>
      </c>
      <c r="K12" s="820" t="str">
        <f t="shared" ref="K12:K18" si="1">IF(OR(I12=0,I$18=0),"N/A",I12/I$18)</f>
        <v>N/A</v>
      </c>
      <c r="L12" s="821"/>
      <c r="M12" s="818"/>
      <c r="N12" s="819" t="str">
        <f>IF(M12&gt;0,M12/Subject_NRA,"")</f>
        <v/>
      </c>
      <c r="O12" s="820" t="str">
        <f t="shared" ref="O12:O18" si="2">IF(OR(M12=0,M$18=0),"N/A",M12/M$18)</f>
        <v>N/A</v>
      </c>
      <c r="P12" s="821"/>
      <c r="Q12" s="818"/>
      <c r="R12" s="819" t="str">
        <f>IF(Q12&gt;0,Q12/Subject_NRA,"")</f>
        <v/>
      </c>
      <c r="S12" s="820" t="str">
        <f t="shared" ref="S12:S18" si="3">IF(OR(Q12=0,Q$18=0),"N/A",Q12/Q$18)</f>
        <v>N/A</v>
      </c>
      <c r="T12" s="88"/>
      <c r="U12" s="1377"/>
      <c r="V12" s="972">
        <f>IF(SUM(E12:S12)=0,0,1)</f>
        <v>0</v>
      </c>
      <c r="W12" s="243"/>
      <c r="X12" s="243"/>
      <c r="Y12" s="243"/>
      <c r="Z12" s="731"/>
      <c r="AA12" s="731"/>
    </row>
    <row r="13" spans="1:27" s="36" customFormat="1" ht="15.95" hidden="1" customHeight="1" x14ac:dyDescent="0.25">
      <c r="A13" s="707"/>
      <c r="B13" s="1376"/>
      <c r="C13" s="88"/>
      <c r="D13" s="353" t="s">
        <v>381</v>
      </c>
      <c r="E13" s="818"/>
      <c r="F13" s="822" t="str">
        <f>IF(E13&gt;0,E13/Subject_NRA,"")</f>
        <v/>
      </c>
      <c r="G13" s="821" t="str">
        <f t="shared" si="0"/>
        <v>N/A</v>
      </c>
      <c r="H13" s="821"/>
      <c r="I13" s="818"/>
      <c r="J13" s="822" t="str">
        <f>IF(I13&gt;0,I13/Subject_NRA,"")</f>
        <v/>
      </c>
      <c r="K13" s="821" t="str">
        <f t="shared" si="1"/>
        <v>N/A</v>
      </c>
      <c r="L13" s="821"/>
      <c r="M13" s="818"/>
      <c r="N13" s="822" t="str">
        <f>IF(M13&gt;0,M13/Subject_NRA,"")</f>
        <v/>
      </c>
      <c r="O13" s="821" t="str">
        <f t="shared" si="2"/>
        <v>N/A</v>
      </c>
      <c r="P13" s="821"/>
      <c r="Q13" s="818"/>
      <c r="R13" s="822" t="str">
        <f>IF(Q13&gt;0,Q13/Subject_NRA,"")</f>
        <v/>
      </c>
      <c r="S13" s="821" t="str">
        <f t="shared" si="3"/>
        <v>N/A</v>
      </c>
      <c r="T13" s="88"/>
      <c r="U13" s="1377"/>
      <c r="V13" s="972">
        <f>IF(AND(SUM(E13:S13)=0,Income_PercentageRent=0),0,1)</f>
        <v>0</v>
      </c>
      <c r="W13" s="243">
        <v>0</v>
      </c>
      <c r="X13" s="243"/>
      <c r="Y13" s="243"/>
      <c r="Z13" s="731"/>
      <c r="AA13" s="731"/>
    </row>
    <row r="14" spans="1:27" s="36" customFormat="1" ht="15.95" hidden="1" customHeight="1" x14ac:dyDescent="0.25">
      <c r="A14" s="707"/>
      <c r="B14" s="1376"/>
      <c r="C14" s="88"/>
      <c r="D14" s="353" t="s">
        <v>382</v>
      </c>
      <c r="E14" s="818"/>
      <c r="F14" s="822" t="str">
        <f>IF(E14&gt;0,E14/Subject_NRA,"")</f>
        <v/>
      </c>
      <c r="G14" s="821" t="str">
        <f t="shared" si="0"/>
        <v>N/A</v>
      </c>
      <c r="H14" s="821"/>
      <c r="I14" s="818"/>
      <c r="J14" s="822" t="str">
        <f>IF(I14&gt;0,I14/Subject_NRA,"")</f>
        <v/>
      </c>
      <c r="K14" s="821" t="str">
        <f t="shared" si="1"/>
        <v>N/A</v>
      </c>
      <c r="L14" s="821"/>
      <c r="M14" s="818"/>
      <c r="N14" s="822" t="str">
        <f>IF(M14&gt;0,M14/Subject_NRA,"")</f>
        <v/>
      </c>
      <c r="O14" s="821" t="str">
        <f t="shared" si="2"/>
        <v>N/A</v>
      </c>
      <c r="P14" s="821"/>
      <c r="Q14" s="818"/>
      <c r="R14" s="822" t="str">
        <f>IF(Q14&gt;0,Q14/Subject_NRA,"")</f>
        <v/>
      </c>
      <c r="S14" s="821" t="str">
        <f t="shared" si="3"/>
        <v>N/A</v>
      </c>
      <c r="T14" s="88"/>
      <c r="U14" s="1377"/>
      <c r="V14" s="972">
        <f>IF(AND(SUM(E14:S14)=0,Income_ParkingIncome=0),0,1)</f>
        <v>0</v>
      </c>
      <c r="W14" s="243">
        <v>0</v>
      </c>
      <c r="X14" s="243"/>
      <c r="Y14" s="243"/>
      <c r="Z14" s="731"/>
      <c r="AA14" s="731"/>
    </row>
    <row r="15" spans="1:27" s="36" customFormat="1" ht="15.95" hidden="1" customHeight="1" x14ac:dyDescent="0.25">
      <c r="A15" s="707"/>
      <c r="B15" s="1376"/>
      <c r="C15" s="88"/>
      <c r="D15" s="353" t="s">
        <v>291</v>
      </c>
      <c r="E15" s="818">
        <v>1181430.48</v>
      </c>
      <c r="F15" s="822" t="str">
        <f>IF(E15&gt;0,E15/Subject_NRA,"")</f>
        <v/>
      </c>
      <c r="G15" s="821" t="str">
        <f t="shared" si="0"/>
        <v>N/A</v>
      </c>
      <c r="H15" s="821"/>
      <c r="I15" s="818">
        <v>1478790.72</v>
      </c>
      <c r="J15" s="822" t="str">
        <f>IF(I15&gt;0,I15/Subject_NRA,"")</f>
        <v/>
      </c>
      <c r="K15" s="821" t="str">
        <f t="shared" si="1"/>
        <v>N/A</v>
      </c>
      <c r="L15" s="821"/>
      <c r="M15" s="818"/>
      <c r="N15" s="822" t="str">
        <f>IF(M15&gt;0,M15/Subject_NRA,"")</f>
        <v/>
      </c>
      <c r="O15" s="821" t="str">
        <f t="shared" si="2"/>
        <v>N/A</v>
      </c>
      <c r="P15" s="821"/>
      <c r="Q15" s="818"/>
      <c r="R15" s="822" t="str">
        <f>IF(Q15&gt;0,Q15/Subject_NRA,"")</f>
        <v/>
      </c>
      <c r="S15" s="821" t="str">
        <f t="shared" si="3"/>
        <v>N/A</v>
      </c>
      <c r="T15" s="88"/>
      <c r="U15" s="1377"/>
      <c r="V15" s="972">
        <f>IF(AND(SUM(E15:S15)=0,Income_ExpenseReimbursements=0),0,1)</f>
        <v>0</v>
      </c>
      <c r="W15" s="243"/>
      <c r="X15" s="243"/>
      <c r="Y15" s="243"/>
      <c r="Z15" s="731"/>
      <c r="AA15" s="731"/>
    </row>
    <row r="16" spans="1:27" s="36" customFormat="1" ht="15.95" hidden="1" customHeight="1" x14ac:dyDescent="0.25">
      <c r="A16" s="707"/>
      <c r="B16" s="1376"/>
      <c r="C16" s="88"/>
      <c r="D16" s="353" t="s">
        <v>385</v>
      </c>
      <c r="E16" s="818"/>
      <c r="F16" s="822"/>
      <c r="G16" s="821" t="str">
        <f t="shared" si="0"/>
        <v>N/A</v>
      </c>
      <c r="H16" s="821"/>
      <c r="I16" s="818"/>
      <c r="J16" s="822"/>
      <c r="K16" s="821" t="str">
        <f t="shared" si="1"/>
        <v>N/A</v>
      </c>
      <c r="L16" s="821"/>
      <c r="M16" s="818"/>
      <c r="N16" s="822"/>
      <c r="O16" s="821" t="str">
        <f t="shared" si="2"/>
        <v>N/A</v>
      </c>
      <c r="P16" s="821"/>
      <c r="Q16" s="818"/>
      <c r="R16" s="822"/>
      <c r="S16" s="821" t="str">
        <f t="shared" si="3"/>
        <v>N/A</v>
      </c>
      <c r="T16" s="88"/>
      <c r="U16" s="1377"/>
      <c r="V16" s="972">
        <f>IF(AND(SUM(E16:S16)=0,Income_UserDefined=0),0,1)</f>
        <v>0</v>
      </c>
      <c r="W16" s="243">
        <v>0</v>
      </c>
      <c r="X16" s="243"/>
      <c r="Y16" s="243"/>
      <c r="Z16" s="731"/>
      <c r="AA16" s="731"/>
    </row>
    <row r="17" spans="1:27" s="36" customFormat="1" ht="15.95" hidden="1" customHeight="1" x14ac:dyDescent="0.25">
      <c r="A17" s="707"/>
      <c r="B17" s="1376"/>
      <c r="C17" s="88"/>
      <c r="D17" s="353" t="s">
        <v>383</v>
      </c>
      <c r="E17" s="818">
        <v>96439.27</v>
      </c>
      <c r="F17" s="823" t="str">
        <f>IF(E17&gt;0,E17/Subject_NRA,"")</f>
        <v/>
      </c>
      <c r="G17" s="824" t="str">
        <f t="shared" si="0"/>
        <v>N/A</v>
      </c>
      <c r="H17" s="821"/>
      <c r="I17" s="818">
        <v>59677.83</v>
      </c>
      <c r="J17" s="823" t="str">
        <f>IF(I17&gt;0,I17/Subject_NRA,"")</f>
        <v/>
      </c>
      <c r="K17" s="824" t="str">
        <f t="shared" si="1"/>
        <v>N/A</v>
      </c>
      <c r="L17" s="821"/>
      <c r="M17" s="818"/>
      <c r="N17" s="823" t="str">
        <f>IF(M17&gt;0,M17/Subject_NRA,"")</f>
        <v/>
      </c>
      <c r="O17" s="824" t="str">
        <f t="shared" si="2"/>
        <v>N/A</v>
      </c>
      <c r="P17" s="821"/>
      <c r="Q17" s="818"/>
      <c r="R17" s="823" t="str">
        <f>IF(Q17&gt;0,Q17/Subject_NRA,"")</f>
        <v/>
      </c>
      <c r="S17" s="824" t="str">
        <f t="shared" si="3"/>
        <v>N/A</v>
      </c>
      <c r="T17" s="88"/>
      <c r="U17" s="1377"/>
      <c r="V17" s="972">
        <f>IF(AND(SUM(E17:S17)=0,Income_OtherIncome=0),0,1)</f>
        <v>0</v>
      </c>
      <c r="W17" s="243">
        <v>0</v>
      </c>
      <c r="X17" s="243"/>
      <c r="Y17" s="243"/>
      <c r="Z17" s="731"/>
      <c r="AA17" s="731"/>
    </row>
    <row r="18" spans="1:27" x14ac:dyDescent="0.25">
      <c r="B18" s="174"/>
      <c r="C18" s="18"/>
      <c r="D18" s="352" t="s">
        <v>329</v>
      </c>
      <c r="E18" s="825">
        <f>SUM(E12:E17)</f>
        <v>0</v>
      </c>
      <c r="F18" s="826" t="str">
        <f>IF(E18&gt;0,E18/Subject_NRA,"")</f>
        <v/>
      </c>
      <c r="G18" s="820" t="str">
        <f t="shared" si="0"/>
        <v>N/A</v>
      </c>
      <c r="H18" s="179"/>
      <c r="I18" s="825">
        <f>SUM(I12:I17)</f>
        <v>0</v>
      </c>
      <c r="J18" s="826" t="str">
        <f>IF(I18&gt;0,I18/Subject_NRA,"")</f>
        <v/>
      </c>
      <c r="K18" s="820" t="str">
        <f t="shared" si="1"/>
        <v>N/A</v>
      </c>
      <c r="L18" s="179"/>
      <c r="M18" s="825">
        <f>SUM(M12:M17)</f>
        <v>0</v>
      </c>
      <c r="N18" s="826" t="str">
        <f>IF(M18&gt;0,M18/Subject_NRA,"")</f>
        <v/>
      </c>
      <c r="O18" s="820" t="str">
        <f t="shared" si="2"/>
        <v>N/A</v>
      </c>
      <c r="P18" s="179"/>
      <c r="Q18" s="825">
        <f>SUM(Q12:Q17)</f>
        <v>0</v>
      </c>
      <c r="R18" s="826" t="str">
        <f>IF(Q18&gt;0,Q18/Subject_NRA,"")</f>
        <v/>
      </c>
      <c r="S18" s="820" t="str">
        <f t="shared" si="3"/>
        <v>N/A</v>
      </c>
      <c r="T18" s="18"/>
      <c r="U18" s="74"/>
      <c r="V18" s="957">
        <v>1</v>
      </c>
    </row>
    <row r="19" spans="1:27" ht="20.100000000000001" customHeight="1" x14ac:dyDescent="0.25">
      <c r="B19" s="174"/>
      <c r="C19" s="18"/>
      <c r="D19" s="309" t="s">
        <v>330</v>
      </c>
      <c r="E19" s="827"/>
      <c r="F19" s="826"/>
      <c r="G19" s="179"/>
      <c r="H19" s="179"/>
      <c r="I19" s="827"/>
      <c r="J19" s="826"/>
      <c r="K19" s="179"/>
      <c r="L19" s="179"/>
      <c r="M19" s="827"/>
      <c r="N19" s="826"/>
      <c r="O19" s="179"/>
      <c r="P19" s="179"/>
      <c r="Q19" s="827"/>
      <c r="R19" s="826"/>
      <c r="S19" s="179"/>
      <c r="T19" s="18"/>
      <c r="U19" s="74"/>
      <c r="V19" s="957">
        <v>1</v>
      </c>
    </row>
    <row r="20" spans="1:27" s="36" customFormat="1" ht="20.100000000000001" hidden="1" customHeight="1" x14ac:dyDescent="0.25">
      <c r="A20" s="707"/>
      <c r="B20" s="1376"/>
      <c r="C20" s="88"/>
      <c r="D20" s="353" t="s">
        <v>367</v>
      </c>
      <c r="E20" s="818">
        <v>528000</v>
      </c>
      <c r="F20" s="822" t="str">
        <f>IF(E20&gt;0,E20/Subject_NRA,"")</f>
        <v/>
      </c>
      <c r="G20" s="821" t="str">
        <f>IF(OR(E20=0,E$18=0),"N/A",E20/E$18)</f>
        <v>N/A</v>
      </c>
      <c r="H20" s="821"/>
      <c r="I20" s="818">
        <v>774996</v>
      </c>
      <c r="J20" s="822" t="str">
        <f>IF(I20&gt;0,I20/Subject_NRA,"")</f>
        <v/>
      </c>
      <c r="K20" s="821" t="str">
        <f>IF(OR(I20=0,I$18=0),"N/A",I20/I$18)</f>
        <v>N/A</v>
      </c>
      <c r="L20" s="821"/>
      <c r="M20" s="818"/>
      <c r="N20" s="822" t="str">
        <f>IF(M20&gt;0,M20/Subject_NRA,"")</f>
        <v/>
      </c>
      <c r="O20" s="821" t="str">
        <f>IF(OR(M20=0,M$18=0),"N/A",M20/M$18)</f>
        <v>N/A</v>
      </c>
      <c r="P20" s="821"/>
      <c r="Q20" s="818"/>
      <c r="R20" s="822" t="str">
        <f>IF(Q20&gt;0,Q20/Subject_NRA,"")</f>
        <v/>
      </c>
      <c r="S20" s="821" t="str">
        <f>IF(OR(Q20=0,Q$18=0),"N/A",Q20/Q$18)</f>
        <v>N/A</v>
      </c>
      <c r="T20" s="88"/>
      <c r="U20" s="1377"/>
      <c r="V20" s="972">
        <f>IF(AND(SUM(E20,I20,M20,Q20)=0, Expense_RealEstateTax_Reimb=0,Expense_RealEstateTax_NonReimb=0),0,1)</f>
        <v>1</v>
      </c>
      <c r="W20" s="243">
        <v>1</v>
      </c>
      <c r="X20" s="243">
        <v>0</v>
      </c>
      <c r="Y20" s="243"/>
      <c r="Z20" s="731"/>
      <c r="AA20" s="731"/>
    </row>
    <row r="21" spans="1:27" s="36" customFormat="1" ht="20.100000000000001" hidden="1" customHeight="1" x14ac:dyDescent="0.25">
      <c r="A21" s="707"/>
      <c r="B21" s="1376"/>
      <c r="C21" s="88"/>
      <c r="D21" s="353" t="s">
        <v>368</v>
      </c>
      <c r="E21" s="818"/>
      <c r="F21" s="822" t="str">
        <f>IF(E21&gt;0,E21/Subject_NRA,"")</f>
        <v/>
      </c>
      <c r="G21" s="821" t="str">
        <f>IF(OR(E21=0,E$18=0),"N/A",E21/E$18)</f>
        <v>N/A</v>
      </c>
      <c r="H21" s="821"/>
      <c r="I21" s="818"/>
      <c r="J21" s="822" t="str">
        <f>IF(I21&gt;0,I21/Subject_NRA,"")</f>
        <v/>
      </c>
      <c r="K21" s="821" t="str">
        <f>IF(OR(I21=0,I$18=0),"N/A",I21/I$18)</f>
        <v>N/A</v>
      </c>
      <c r="L21" s="821"/>
      <c r="M21" s="818"/>
      <c r="N21" s="822" t="str">
        <f>IF(M21&gt;0,M21/Subject_NRA,"")</f>
        <v/>
      </c>
      <c r="O21" s="821" t="str">
        <f>IF(OR(M21=0,M$18=0),"N/A",M21/M$18)</f>
        <v>N/A</v>
      </c>
      <c r="P21" s="821"/>
      <c r="Q21" s="818"/>
      <c r="R21" s="822" t="str">
        <f>IF(Q21&gt;0,Q21/Subject_NRA,"")</f>
        <v/>
      </c>
      <c r="S21" s="821" t="str">
        <f>IF(OR(Q21=0,Q$18=0),"N/A",Q21/Q$18)</f>
        <v>N/A</v>
      </c>
      <c r="T21" s="88"/>
      <c r="U21" s="1377"/>
      <c r="V21" s="972">
        <f>IF(AND(SUM(E21,I21,M21,Q21)=0, Expense_OtherTaxes_Reimb=0,Expense_OtherTaxes_NonReimb=0),0,1)</f>
        <v>0</v>
      </c>
      <c r="W21" s="243">
        <v>0</v>
      </c>
      <c r="X21" s="243">
        <v>0</v>
      </c>
      <c r="Y21" s="243"/>
      <c r="Z21" s="731"/>
      <c r="AA21" s="731"/>
    </row>
    <row r="22" spans="1:27" s="36" customFormat="1" ht="20.100000000000001" hidden="1" customHeight="1" x14ac:dyDescent="0.25">
      <c r="A22" s="707"/>
      <c r="B22" s="1376"/>
      <c r="C22" s="88"/>
      <c r="D22" s="353" t="s">
        <v>369</v>
      </c>
      <c r="E22" s="818">
        <v>60720</v>
      </c>
      <c r="F22" s="822" t="str">
        <f>IF(E22&gt;0,E22/Subject_NRA,"")</f>
        <v/>
      </c>
      <c r="G22" s="821" t="str">
        <f>IF(OR(E22=0,E$18=0),"N/A",E22/E$18)</f>
        <v>N/A</v>
      </c>
      <c r="H22" s="821"/>
      <c r="I22" s="818">
        <v>65940</v>
      </c>
      <c r="J22" s="822" t="str">
        <f>IF(I22&gt;0,I22/Subject_NRA,"")</f>
        <v/>
      </c>
      <c r="K22" s="821" t="str">
        <f>IF(OR(I22=0,I$18=0),"N/A",I22/I$18)</f>
        <v>N/A</v>
      </c>
      <c r="L22" s="821"/>
      <c r="M22" s="818"/>
      <c r="N22" s="822" t="str">
        <f>IF(M22&gt;0,M22/Subject_NRA,"")</f>
        <v/>
      </c>
      <c r="O22" s="821" t="str">
        <f>IF(OR(M22=0,M$18=0),"N/A",M22/M$18)</f>
        <v>N/A</v>
      </c>
      <c r="P22" s="821"/>
      <c r="Q22" s="818"/>
      <c r="R22" s="822" t="str">
        <f>IF(Q22&gt;0,Q22/Subject_NRA,"")</f>
        <v/>
      </c>
      <c r="S22" s="821" t="str">
        <f>IF(OR(Q22=0,Q$18=0),"N/A",Q22/Q$18)</f>
        <v>N/A</v>
      </c>
      <c r="T22" s="88"/>
      <c r="U22" s="1377"/>
      <c r="V22" s="972">
        <f>IF(AND(SUM(E22,I22,M22,Q22)=0, Expense_Insurance_Reimb=0,Expense_Insurance_NonReimb=0),0,1)</f>
        <v>1</v>
      </c>
      <c r="W22" s="243">
        <v>1</v>
      </c>
      <c r="X22" s="243">
        <v>0</v>
      </c>
      <c r="Y22" s="243"/>
      <c r="Z22" s="731"/>
      <c r="AA22" s="731"/>
    </row>
    <row r="23" spans="1:27" s="36" customFormat="1" ht="20.100000000000001" hidden="1" customHeight="1" x14ac:dyDescent="0.25">
      <c r="A23" s="707"/>
      <c r="B23" s="1376"/>
      <c r="C23" s="88"/>
      <c r="D23" s="353" t="s">
        <v>332</v>
      </c>
      <c r="E23" s="818">
        <v>133294.56</v>
      </c>
      <c r="F23" s="822" t="str">
        <f>IF(E23&gt;0,E23/Subject_NRA,"")</f>
        <v/>
      </c>
      <c r="G23" s="821" t="str">
        <f>IF(OR(E23=0,E$18=0),"N/A",E23/E$18)</f>
        <v>N/A</v>
      </c>
      <c r="H23" s="821"/>
      <c r="I23" s="818">
        <v>153163.67</v>
      </c>
      <c r="J23" s="822" t="str">
        <f>IF(I23&gt;0,I23/Subject_NRA,"")</f>
        <v/>
      </c>
      <c r="K23" s="821" t="str">
        <f>IF(OR(I23=0,I$18=0),"N/A",I23/I$18)</f>
        <v>N/A</v>
      </c>
      <c r="L23" s="821"/>
      <c r="M23" s="818"/>
      <c r="N23" s="822" t="str">
        <f>IF(M23&gt;0,M23/Subject_NRA,"")</f>
        <v/>
      </c>
      <c r="O23" s="821" t="str">
        <f>IF(OR(M23=0,M$18=0),"N/A",M23/M$18)</f>
        <v>N/A</v>
      </c>
      <c r="P23" s="821"/>
      <c r="Q23" s="818"/>
      <c r="R23" s="822" t="str">
        <f>IF(Q23&gt;0,Q23/Subject_NRA,"")</f>
        <v/>
      </c>
      <c r="S23" s="821" t="str">
        <f>IF(OR(Q23=0,Q$18=0),"N/A",Q23/Q$18)</f>
        <v>N/A</v>
      </c>
      <c r="T23" s="88"/>
      <c r="U23" s="1377"/>
      <c r="V23" s="972">
        <f>IF(AND(SUM(E23,I23,M23,Q23)=0, Expense_MgmtFees_Reimb=0,Expense_MgmtFees_NonReimb=0),0,1)</f>
        <v>1</v>
      </c>
      <c r="W23" s="243">
        <v>1</v>
      </c>
      <c r="X23" s="243">
        <v>0</v>
      </c>
      <c r="Y23" s="243"/>
      <c r="Z23" s="731"/>
      <c r="AA23" s="731"/>
    </row>
    <row r="24" spans="1:27" hidden="1" x14ac:dyDescent="0.25">
      <c r="B24" s="174"/>
      <c r="C24" s="18"/>
      <c r="D24" s="348" t="s">
        <v>372</v>
      </c>
      <c r="E24" s="818"/>
      <c r="F24" s="822"/>
      <c r="G24" s="821"/>
      <c r="H24" s="821"/>
      <c r="I24" s="818"/>
      <c r="J24" s="822"/>
      <c r="K24" s="821"/>
      <c r="L24" s="821"/>
      <c r="M24" s="818"/>
      <c r="N24" s="822"/>
      <c r="O24" s="821"/>
      <c r="P24" s="821"/>
      <c r="Q24" s="818"/>
      <c r="R24" s="822"/>
      <c r="S24" s="821"/>
      <c r="T24" s="18"/>
      <c r="U24" s="74"/>
      <c r="V24" s="957">
        <f>IF(Expense_Administrative_Detail=0,0,1)</f>
        <v>0</v>
      </c>
    </row>
    <row r="25" spans="1:27" hidden="1" x14ac:dyDescent="0.25">
      <c r="B25" s="174"/>
      <c r="C25" s="18"/>
      <c r="D25" s="183" t="s">
        <v>333</v>
      </c>
      <c r="E25" s="818">
        <v>14049.5</v>
      </c>
      <c r="F25" s="822" t="str">
        <f>IF(E25&gt;0,E25/Subject_NRA,"")</f>
        <v/>
      </c>
      <c r="G25" s="821" t="str">
        <f>IF(OR(E25=0,E$18=0),"N/A",E25/E$18)</f>
        <v>N/A</v>
      </c>
      <c r="H25" s="821"/>
      <c r="I25" s="818">
        <v>11609.66</v>
      </c>
      <c r="J25" s="822" t="str">
        <f>IF(I25&gt;0,I25/Subject_NRA,"")</f>
        <v/>
      </c>
      <c r="K25" s="821" t="str">
        <f>IF(OR(I25=0,I$18=0),"N/A",I25/I$18)</f>
        <v>N/A</v>
      </c>
      <c r="L25" s="821"/>
      <c r="M25" s="818"/>
      <c r="N25" s="822" t="str">
        <f>IF(M25&gt;0,M25/Subject_NRA,"")</f>
        <v/>
      </c>
      <c r="O25" s="821" t="str">
        <f>IF(OR(M25=0,M$18=0),"N/A",M25/M$18)</f>
        <v>N/A</v>
      </c>
      <c r="P25" s="821"/>
      <c r="Q25" s="818"/>
      <c r="R25" s="822" t="str">
        <f>IF(Q25&gt;0,Q25/Subject_NRA,"")</f>
        <v/>
      </c>
      <c r="S25" s="821" t="str">
        <f>IF(OR(Q25=0,Q$18=0),"N/A",Q25/Q$18)</f>
        <v>N/A</v>
      </c>
      <c r="T25" s="18"/>
      <c r="U25" s="74"/>
      <c r="V25" s="957">
        <f>IF(Expense_Administrative_Detail=0,0,1)</f>
        <v>0</v>
      </c>
    </row>
    <row r="26" spans="1:27" hidden="1" x14ac:dyDescent="0.25">
      <c r="B26" s="174"/>
      <c r="C26" s="18"/>
      <c r="D26" s="183" t="s">
        <v>334</v>
      </c>
      <c r="E26" s="818">
        <v>19708.43</v>
      </c>
      <c r="F26" s="822" t="str">
        <f>IF(E26&gt;0,E26/Subject_NRA,"")</f>
        <v/>
      </c>
      <c r="G26" s="821" t="str">
        <f>IF(OR(E26=0,E$18=0),"N/A",E26/E$18)</f>
        <v>N/A</v>
      </c>
      <c r="H26" s="821"/>
      <c r="I26" s="818">
        <v>19137.08</v>
      </c>
      <c r="J26" s="822" t="str">
        <f>IF(I26&gt;0,I26/Subject_NRA,"")</f>
        <v/>
      </c>
      <c r="K26" s="821" t="str">
        <f>IF(OR(I26=0,I$18=0),"N/A",I26/I$18)</f>
        <v>N/A</v>
      </c>
      <c r="L26" s="821"/>
      <c r="M26" s="818"/>
      <c r="N26" s="822" t="str">
        <f>IF(M26&gt;0,M26/Subject_NRA,"")</f>
        <v/>
      </c>
      <c r="O26" s="821" t="str">
        <f>IF(OR(M26=0,M$18=0),"N/A",M26/M$18)</f>
        <v>N/A</v>
      </c>
      <c r="P26" s="821"/>
      <c r="Q26" s="818"/>
      <c r="R26" s="822" t="str">
        <f>IF(Q26&gt;0,Q26/Subject_NRA,"")</f>
        <v/>
      </c>
      <c r="S26" s="821" t="str">
        <f>IF(OR(Q26=0,Q$18=0),"N/A",Q26/Q$18)</f>
        <v>N/A</v>
      </c>
      <c r="T26" s="18"/>
      <c r="U26" s="74"/>
      <c r="V26" s="957">
        <f>IF(Expense_Administrative_Detail=0,0,1)</f>
        <v>0</v>
      </c>
    </row>
    <row r="27" spans="1:27" hidden="1" x14ac:dyDescent="0.25">
      <c r="B27" s="174"/>
      <c r="C27" s="18"/>
      <c r="D27" s="349" t="s">
        <v>335</v>
      </c>
      <c r="E27" s="828"/>
      <c r="F27" s="823"/>
      <c r="G27" s="824"/>
      <c r="H27" s="821"/>
      <c r="I27" s="828"/>
      <c r="J27" s="823"/>
      <c r="K27" s="824"/>
      <c r="L27" s="821"/>
      <c r="M27" s="828"/>
      <c r="N27" s="823"/>
      <c r="O27" s="824"/>
      <c r="P27" s="821"/>
      <c r="Q27" s="828"/>
      <c r="R27" s="823"/>
      <c r="S27" s="824"/>
      <c r="T27" s="18"/>
      <c r="U27" s="74"/>
      <c r="V27" s="957">
        <f>IF(Expense_Administrative_Detail=0,0,1)</f>
        <v>0</v>
      </c>
    </row>
    <row r="28" spans="1:27" s="36" customFormat="1" ht="20.100000000000001" hidden="1" customHeight="1" x14ac:dyDescent="0.25">
      <c r="A28" s="707"/>
      <c r="B28" s="1376"/>
      <c r="C28" s="88"/>
      <c r="D28" s="353" t="str">
        <f>IF(Expense_Administrative_Detail=0,"Administrative","Total Administrative")</f>
        <v>Administrative</v>
      </c>
      <c r="E28" s="818">
        <f>E27-E23</f>
        <v>0</v>
      </c>
      <c r="F28" s="822" t="str">
        <f>IF(E28&gt;0,E28/Subject_NRA,"")</f>
        <v/>
      </c>
      <c r="G28" s="821" t="str">
        <f>IF(OR(E28=0,E$18=0),"N/A",E28/E$18)</f>
        <v>N/A</v>
      </c>
      <c r="H28" s="821"/>
      <c r="I28" s="818">
        <f>I27-I23</f>
        <v>0</v>
      </c>
      <c r="J28" s="822" t="str">
        <f>IF(I28&gt;0,I28/Subject_NRA,"")</f>
        <v/>
      </c>
      <c r="K28" s="821" t="str">
        <f>IF(OR(I28=0,I$18=0),"N/A",I28/I$18)</f>
        <v>N/A</v>
      </c>
      <c r="L28" s="821"/>
      <c r="M28" s="818">
        <f>M27-M23</f>
        <v>0</v>
      </c>
      <c r="N28" s="822" t="str">
        <f>IF(M28&gt;0,M28/Subject_NRA,"")</f>
        <v/>
      </c>
      <c r="O28" s="821" t="str">
        <f>IF(OR(M28=0,M$18=0),"N/A",M28/M$18)</f>
        <v>N/A</v>
      </c>
      <c r="P28" s="821"/>
      <c r="Q28" s="818">
        <f>Q27-Q23</f>
        <v>0</v>
      </c>
      <c r="R28" s="822" t="str">
        <f>IF(Q28&gt;0,Q28/Subject_NRA,"")</f>
        <v/>
      </c>
      <c r="S28" s="821" t="str">
        <f>IF(OR(Q28=0,Q$18=0),"N/A",Q28/Q$18)</f>
        <v>N/A</v>
      </c>
      <c r="T28" s="88"/>
      <c r="U28" s="1377"/>
      <c r="V28" s="972">
        <f>IF(AND(SUM(E28,I28,M28,Q28)=0, Expense_Administrative_Reimb=0,Expense_Administrative_NonReimb=0),0,1)</f>
        <v>0</v>
      </c>
      <c r="W28" s="243">
        <v>0</v>
      </c>
      <c r="X28" s="243">
        <v>0</v>
      </c>
      <c r="Y28" s="243">
        <v>0</v>
      </c>
      <c r="Z28" s="731"/>
      <c r="AA28" s="731"/>
    </row>
    <row r="29" spans="1:27" ht="20.100000000000001" hidden="1" customHeight="1" x14ac:dyDescent="0.25">
      <c r="B29" s="174"/>
      <c r="C29" s="18"/>
      <c r="D29" s="348" t="s">
        <v>92</v>
      </c>
      <c r="E29" s="818"/>
      <c r="F29" s="822"/>
      <c r="G29" s="821"/>
      <c r="H29" s="821"/>
      <c r="I29" s="818"/>
      <c r="J29" s="822"/>
      <c r="K29" s="821"/>
      <c r="L29" s="821"/>
      <c r="M29" s="818"/>
      <c r="N29" s="822"/>
      <c r="O29" s="821"/>
      <c r="P29" s="821"/>
      <c r="Q29" s="818"/>
      <c r="R29" s="822"/>
      <c r="S29" s="821"/>
      <c r="T29" s="18"/>
      <c r="U29" s="74"/>
      <c r="V29" s="957">
        <f t="shared" ref="V29:V34" si="4">IF(Expense_Utilities_Detail=0,0,1)</f>
        <v>0</v>
      </c>
    </row>
    <row r="30" spans="1:27" hidden="1" x14ac:dyDescent="0.25">
      <c r="B30" s="174"/>
      <c r="C30" s="18"/>
      <c r="D30" s="183" t="s">
        <v>376</v>
      </c>
      <c r="E30" s="818"/>
      <c r="F30" s="822" t="str">
        <f t="shared" ref="F30:F35" si="5">IF(E30&gt;0,E30/Subject_NRA,"")</f>
        <v/>
      </c>
      <c r="G30" s="821" t="str">
        <f t="shared" ref="G30:G35" si="6">IF(OR(E30=0,E$18=0),"N/A",E30/E$18)</f>
        <v>N/A</v>
      </c>
      <c r="H30" s="821"/>
      <c r="I30" s="818"/>
      <c r="J30" s="822" t="str">
        <f t="shared" ref="J30:J35" si="7">IF(I30&gt;0,I30/Subject_NRA,"")</f>
        <v/>
      </c>
      <c r="K30" s="821" t="str">
        <f t="shared" ref="K30:K35" si="8">IF(OR(I30=0,I$18=0),"N/A",I30/I$18)</f>
        <v>N/A</v>
      </c>
      <c r="L30" s="821"/>
      <c r="M30" s="818"/>
      <c r="N30" s="822" t="str">
        <f t="shared" ref="N30:N35" si="9">IF(M30&gt;0,M30/Subject_NRA,"")</f>
        <v/>
      </c>
      <c r="O30" s="821" t="str">
        <f t="shared" ref="O30:O35" si="10">IF(OR(M30=0,M$18=0),"N/A",M30/M$18)</f>
        <v>N/A</v>
      </c>
      <c r="P30" s="821"/>
      <c r="Q30" s="818"/>
      <c r="R30" s="822" t="str">
        <f t="shared" ref="R30:R35" si="11">IF(Q30&gt;0,Q30/Subject_NRA,"")</f>
        <v/>
      </c>
      <c r="S30" s="821" t="str">
        <f t="shared" ref="S30:S35" si="12">IF(OR(Q30=0,Q$18=0),"N/A",Q30/Q$18)</f>
        <v>N/A</v>
      </c>
      <c r="T30" s="18"/>
      <c r="U30" s="74"/>
      <c r="V30" s="957">
        <f t="shared" si="4"/>
        <v>0</v>
      </c>
    </row>
    <row r="31" spans="1:27" hidden="1" x14ac:dyDescent="0.25">
      <c r="B31" s="174"/>
      <c r="C31" s="18"/>
      <c r="D31" s="183" t="s">
        <v>336</v>
      </c>
      <c r="E31" s="818"/>
      <c r="F31" s="822" t="str">
        <f t="shared" si="5"/>
        <v/>
      </c>
      <c r="G31" s="821" t="str">
        <f t="shared" si="6"/>
        <v>N/A</v>
      </c>
      <c r="H31" s="821"/>
      <c r="I31" s="818"/>
      <c r="J31" s="822" t="str">
        <f t="shared" si="7"/>
        <v/>
      </c>
      <c r="K31" s="821" t="str">
        <f t="shared" si="8"/>
        <v>N/A</v>
      </c>
      <c r="L31" s="821"/>
      <c r="M31" s="818"/>
      <c r="N31" s="822" t="str">
        <f t="shared" si="9"/>
        <v/>
      </c>
      <c r="O31" s="821" t="str">
        <f t="shared" si="10"/>
        <v>N/A</v>
      </c>
      <c r="P31" s="821"/>
      <c r="Q31" s="818"/>
      <c r="R31" s="822" t="str">
        <f t="shared" si="11"/>
        <v/>
      </c>
      <c r="S31" s="821" t="str">
        <f t="shared" si="12"/>
        <v>N/A</v>
      </c>
      <c r="T31" s="18"/>
      <c r="U31" s="74"/>
      <c r="V31" s="957">
        <f t="shared" si="4"/>
        <v>0</v>
      </c>
    </row>
    <row r="32" spans="1:27" hidden="1" x14ac:dyDescent="0.25">
      <c r="B32" s="174"/>
      <c r="C32" s="18"/>
      <c r="D32" s="183" t="s">
        <v>337</v>
      </c>
      <c r="E32" s="818"/>
      <c r="F32" s="822" t="str">
        <f t="shared" si="5"/>
        <v/>
      </c>
      <c r="G32" s="821" t="str">
        <f t="shared" si="6"/>
        <v>N/A</v>
      </c>
      <c r="H32" s="821"/>
      <c r="I32" s="818"/>
      <c r="J32" s="822" t="str">
        <f t="shared" si="7"/>
        <v/>
      </c>
      <c r="K32" s="821" t="str">
        <f t="shared" si="8"/>
        <v>N/A</v>
      </c>
      <c r="L32" s="821"/>
      <c r="M32" s="818"/>
      <c r="N32" s="822" t="str">
        <f t="shared" si="9"/>
        <v/>
      </c>
      <c r="O32" s="821" t="str">
        <f t="shared" si="10"/>
        <v>N/A</v>
      </c>
      <c r="P32" s="821"/>
      <c r="Q32" s="818"/>
      <c r="R32" s="822" t="str">
        <f t="shared" si="11"/>
        <v/>
      </c>
      <c r="S32" s="821" t="str">
        <f t="shared" si="12"/>
        <v>N/A</v>
      </c>
      <c r="T32" s="18"/>
      <c r="U32" s="74"/>
      <c r="V32" s="957">
        <f t="shared" si="4"/>
        <v>0</v>
      </c>
    </row>
    <row r="33" spans="1:27" hidden="1" x14ac:dyDescent="0.25">
      <c r="B33" s="174"/>
      <c r="C33" s="18"/>
      <c r="D33" s="183" t="s">
        <v>338</v>
      </c>
      <c r="E33" s="818">
        <v>28513.94</v>
      </c>
      <c r="F33" s="822" t="str">
        <f t="shared" si="5"/>
        <v/>
      </c>
      <c r="G33" s="821" t="str">
        <f t="shared" si="6"/>
        <v>N/A</v>
      </c>
      <c r="H33" s="821"/>
      <c r="I33" s="818">
        <v>25447.6</v>
      </c>
      <c r="J33" s="822" t="str">
        <f t="shared" si="7"/>
        <v/>
      </c>
      <c r="K33" s="821" t="str">
        <f t="shared" si="8"/>
        <v>N/A</v>
      </c>
      <c r="L33" s="821"/>
      <c r="M33" s="818"/>
      <c r="N33" s="822" t="str">
        <f t="shared" si="9"/>
        <v/>
      </c>
      <c r="O33" s="821" t="str">
        <f t="shared" si="10"/>
        <v>N/A</v>
      </c>
      <c r="P33" s="821"/>
      <c r="Q33" s="818"/>
      <c r="R33" s="822" t="str">
        <f t="shared" si="11"/>
        <v/>
      </c>
      <c r="S33" s="821" t="str">
        <f t="shared" si="12"/>
        <v>N/A</v>
      </c>
      <c r="T33" s="18"/>
      <c r="U33" s="74"/>
      <c r="V33" s="957">
        <f t="shared" si="4"/>
        <v>0</v>
      </c>
    </row>
    <row r="34" spans="1:27" hidden="1" x14ac:dyDescent="0.25">
      <c r="B34" s="174"/>
      <c r="C34" s="18"/>
      <c r="D34" s="349" t="s">
        <v>339</v>
      </c>
      <c r="E34" s="828">
        <v>44485.83</v>
      </c>
      <c r="F34" s="823" t="str">
        <f t="shared" si="5"/>
        <v/>
      </c>
      <c r="G34" s="824" t="str">
        <f t="shared" si="6"/>
        <v>N/A</v>
      </c>
      <c r="H34" s="821"/>
      <c r="I34" s="828">
        <v>44693.63</v>
      </c>
      <c r="J34" s="823" t="str">
        <f t="shared" si="7"/>
        <v/>
      </c>
      <c r="K34" s="824" t="str">
        <f t="shared" si="8"/>
        <v>N/A</v>
      </c>
      <c r="L34" s="821"/>
      <c r="M34" s="828"/>
      <c r="N34" s="823" t="str">
        <f t="shared" si="9"/>
        <v/>
      </c>
      <c r="O34" s="824" t="str">
        <f t="shared" si="10"/>
        <v>N/A</v>
      </c>
      <c r="P34" s="821"/>
      <c r="Q34" s="828"/>
      <c r="R34" s="823" t="str">
        <f t="shared" si="11"/>
        <v/>
      </c>
      <c r="S34" s="824" t="str">
        <f t="shared" si="12"/>
        <v>N/A</v>
      </c>
      <c r="T34" s="18"/>
      <c r="U34" s="74"/>
      <c r="V34" s="957">
        <f t="shared" si="4"/>
        <v>0</v>
      </c>
    </row>
    <row r="35" spans="1:27" s="36" customFormat="1" ht="20.100000000000001" hidden="1" customHeight="1" x14ac:dyDescent="0.25">
      <c r="A35" s="707"/>
      <c r="B35" s="1376"/>
      <c r="C35" s="88"/>
      <c r="D35" s="353" t="str">
        <f>IF(Expense_Utilities_Detail=0,"Utilities","Total Utilities")</f>
        <v>Utilities</v>
      </c>
      <c r="E35" s="818"/>
      <c r="F35" s="822" t="str">
        <f t="shared" si="5"/>
        <v/>
      </c>
      <c r="G35" s="821" t="str">
        <f t="shared" si="6"/>
        <v>N/A</v>
      </c>
      <c r="H35" s="821"/>
      <c r="I35" s="818"/>
      <c r="J35" s="822" t="str">
        <f t="shared" si="7"/>
        <v/>
      </c>
      <c r="K35" s="821" t="str">
        <f t="shared" si="8"/>
        <v>N/A</v>
      </c>
      <c r="L35" s="821"/>
      <c r="M35" s="818"/>
      <c r="N35" s="822" t="str">
        <f t="shared" si="9"/>
        <v/>
      </c>
      <c r="O35" s="821" t="str">
        <f t="shared" si="10"/>
        <v>N/A</v>
      </c>
      <c r="P35" s="821"/>
      <c r="Q35" s="818"/>
      <c r="R35" s="822" t="str">
        <f t="shared" si="11"/>
        <v/>
      </c>
      <c r="S35" s="821" t="str">
        <f t="shared" si="12"/>
        <v>N/A</v>
      </c>
      <c r="T35" s="88"/>
      <c r="U35" s="1377"/>
      <c r="V35" s="972">
        <f>IF(AND(SUM(E35,I35,M35,Q35)=0, Expense_Utilities_Reimb=0,Expense_Utilities_NonReimb=0),0,1)</f>
        <v>0</v>
      </c>
      <c r="W35" s="243">
        <v>0</v>
      </c>
      <c r="X35" s="243">
        <v>0</v>
      </c>
      <c r="Y35" s="243">
        <v>0</v>
      </c>
      <c r="Z35" s="731"/>
      <c r="AA35" s="731"/>
    </row>
    <row r="36" spans="1:27" ht="20.100000000000001" hidden="1" customHeight="1" x14ac:dyDescent="0.25">
      <c r="B36" s="174"/>
      <c r="C36" s="18"/>
      <c r="D36" s="348" t="s">
        <v>340</v>
      </c>
      <c r="E36" s="818"/>
      <c r="F36" s="822"/>
      <c r="G36" s="821"/>
      <c r="H36" s="821"/>
      <c r="I36" s="818"/>
      <c r="J36" s="822"/>
      <c r="K36" s="821"/>
      <c r="L36" s="821"/>
      <c r="M36" s="818"/>
      <c r="N36" s="822"/>
      <c r="O36" s="821"/>
      <c r="P36" s="821"/>
      <c r="Q36" s="818"/>
      <c r="R36" s="822"/>
      <c r="S36" s="821"/>
      <c r="T36" s="18"/>
      <c r="U36" s="74"/>
      <c r="V36" s="957">
        <f t="shared" ref="V36:V42" si="13">IF(Expense_RepairsMaintenance_Detail=0,0,1)</f>
        <v>0</v>
      </c>
    </row>
    <row r="37" spans="1:27" hidden="1" x14ac:dyDescent="0.25">
      <c r="B37" s="174"/>
      <c r="C37" s="18"/>
      <c r="D37" s="183" t="s">
        <v>341</v>
      </c>
      <c r="E37" s="818"/>
      <c r="F37" s="822" t="str">
        <f t="shared" ref="F37:F43" si="14">IF(E37&gt;0,E37/Subject_NRA,"")</f>
        <v/>
      </c>
      <c r="G37" s="821" t="str">
        <f t="shared" ref="G37:G43" si="15">IF(OR(E37=0,E$18=0),"N/A",E37/E$18)</f>
        <v>N/A</v>
      </c>
      <c r="H37" s="821"/>
      <c r="I37" s="818"/>
      <c r="J37" s="822" t="str">
        <f t="shared" ref="J37:J43" si="16">IF(I37&gt;0,I37/Subject_NRA,"")</f>
        <v/>
      </c>
      <c r="K37" s="821" t="str">
        <f t="shared" ref="K37:K43" si="17">IF(OR(I37=0,I$18=0),"N/A",I37/I$18)</f>
        <v>N/A</v>
      </c>
      <c r="L37" s="821"/>
      <c r="M37" s="818"/>
      <c r="N37" s="822" t="str">
        <f t="shared" ref="N37:N43" si="18">IF(M37&gt;0,M37/Subject_NRA,"")</f>
        <v/>
      </c>
      <c r="O37" s="821" t="str">
        <f t="shared" ref="O37:O43" si="19">IF(OR(M37=0,M$18=0),"N/A",M37/M$18)</f>
        <v>N/A</v>
      </c>
      <c r="P37" s="821"/>
      <c r="Q37" s="818"/>
      <c r="R37" s="822" t="str">
        <f t="shared" ref="R37:R43" si="20">IF(Q37&gt;0,Q37/Subject_NRA,"")</f>
        <v/>
      </c>
      <c r="S37" s="821" t="str">
        <f t="shared" ref="S37:S43" si="21">IF(OR(Q37=0,Q$18=0),"N/A",Q37/Q$18)</f>
        <v>N/A</v>
      </c>
      <c r="T37" s="18"/>
      <c r="U37" s="74"/>
      <c r="V37" s="957">
        <f t="shared" si="13"/>
        <v>0</v>
      </c>
    </row>
    <row r="38" spans="1:27" hidden="1" x14ac:dyDescent="0.25">
      <c r="B38" s="174"/>
      <c r="C38" s="18"/>
      <c r="D38" s="183" t="s">
        <v>342</v>
      </c>
      <c r="E38" s="818">
        <v>12000</v>
      </c>
      <c r="F38" s="822" t="str">
        <f t="shared" si="14"/>
        <v/>
      </c>
      <c r="G38" s="821" t="str">
        <f t="shared" si="15"/>
        <v>N/A</v>
      </c>
      <c r="H38" s="821"/>
      <c r="I38" s="818">
        <v>12000</v>
      </c>
      <c r="J38" s="822" t="str">
        <f t="shared" si="16"/>
        <v/>
      </c>
      <c r="K38" s="821" t="str">
        <f t="shared" si="17"/>
        <v>N/A</v>
      </c>
      <c r="L38" s="821"/>
      <c r="M38" s="818"/>
      <c r="N38" s="822" t="str">
        <f t="shared" si="18"/>
        <v/>
      </c>
      <c r="O38" s="821" t="str">
        <f t="shared" si="19"/>
        <v>N/A</v>
      </c>
      <c r="P38" s="821"/>
      <c r="Q38" s="818"/>
      <c r="R38" s="822" t="str">
        <f t="shared" si="20"/>
        <v/>
      </c>
      <c r="S38" s="821" t="str">
        <f t="shared" si="21"/>
        <v>N/A</v>
      </c>
      <c r="T38" s="18"/>
      <c r="U38" s="74"/>
      <c r="V38" s="957">
        <f t="shared" si="13"/>
        <v>0</v>
      </c>
    </row>
    <row r="39" spans="1:27" hidden="1" x14ac:dyDescent="0.25">
      <c r="B39" s="174"/>
      <c r="C39" s="18"/>
      <c r="D39" s="183" t="s">
        <v>343</v>
      </c>
      <c r="E39" s="818"/>
      <c r="F39" s="822" t="str">
        <f t="shared" si="14"/>
        <v/>
      </c>
      <c r="G39" s="821" t="str">
        <f t="shared" si="15"/>
        <v>N/A</v>
      </c>
      <c r="H39" s="821"/>
      <c r="I39" s="818"/>
      <c r="J39" s="822" t="str">
        <f t="shared" si="16"/>
        <v/>
      </c>
      <c r="K39" s="821" t="str">
        <f t="shared" si="17"/>
        <v>N/A</v>
      </c>
      <c r="L39" s="821"/>
      <c r="M39" s="818"/>
      <c r="N39" s="822" t="str">
        <f t="shared" si="18"/>
        <v/>
      </c>
      <c r="O39" s="821" t="str">
        <f t="shared" si="19"/>
        <v>N/A</v>
      </c>
      <c r="P39" s="821"/>
      <c r="Q39" s="818"/>
      <c r="R39" s="822" t="str">
        <f t="shared" si="20"/>
        <v/>
      </c>
      <c r="S39" s="821" t="str">
        <f t="shared" si="21"/>
        <v>N/A</v>
      </c>
      <c r="T39" s="18"/>
      <c r="U39" s="74"/>
      <c r="V39" s="957">
        <f t="shared" si="13"/>
        <v>0</v>
      </c>
    </row>
    <row r="40" spans="1:27" hidden="1" x14ac:dyDescent="0.25">
      <c r="B40" s="174"/>
      <c r="C40" s="18"/>
      <c r="D40" s="183" t="s">
        <v>344</v>
      </c>
      <c r="E40" s="818"/>
      <c r="F40" s="822" t="str">
        <f t="shared" si="14"/>
        <v/>
      </c>
      <c r="G40" s="821" t="str">
        <f t="shared" si="15"/>
        <v>N/A</v>
      </c>
      <c r="H40" s="821"/>
      <c r="I40" s="818"/>
      <c r="J40" s="822" t="str">
        <f t="shared" si="16"/>
        <v/>
      </c>
      <c r="K40" s="821" t="str">
        <f t="shared" si="17"/>
        <v>N/A</v>
      </c>
      <c r="L40" s="821"/>
      <c r="M40" s="818"/>
      <c r="N40" s="822" t="str">
        <f t="shared" si="18"/>
        <v/>
      </c>
      <c r="O40" s="821" t="str">
        <f t="shared" si="19"/>
        <v>N/A</v>
      </c>
      <c r="P40" s="821"/>
      <c r="Q40" s="818"/>
      <c r="R40" s="822" t="str">
        <f t="shared" si="20"/>
        <v/>
      </c>
      <c r="S40" s="821" t="str">
        <f t="shared" si="21"/>
        <v>N/A</v>
      </c>
      <c r="T40" s="18"/>
      <c r="U40" s="74"/>
      <c r="V40" s="957">
        <f t="shared" si="13"/>
        <v>0</v>
      </c>
    </row>
    <row r="41" spans="1:27" hidden="1" x14ac:dyDescent="0.25">
      <c r="B41" s="174"/>
      <c r="C41" s="18"/>
      <c r="D41" s="183" t="s">
        <v>345</v>
      </c>
      <c r="E41" s="818"/>
      <c r="F41" s="822" t="str">
        <f t="shared" si="14"/>
        <v/>
      </c>
      <c r="G41" s="821" t="str">
        <f t="shared" si="15"/>
        <v>N/A</v>
      </c>
      <c r="H41" s="821"/>
      <c r="I41" s="818"/>
      <c r="J41" s="822" t="str">
        <f t="shared" si="16"/>
        <v/>
      </c>
      <c r="K41" s="821" t="str">
        <f t="shared" si="17"/>
        <v>N/A</v>
      </c>
      <c r="L41" s="821"/>
      <c r="M41" s="818"/>
      <c r="N41" s="822" t="str">
        <f t="shared" si="18"/>
        <v/>
      </c>
      <c r="O41" s="821" t="str">
        <f t="shared" si="19"/>
        <v>N/A</v>
      </c>
      <c r="P41" s="821"/>
      <c r="Q41" s="818"/>
      <c r="R41" s="822" t="str">
        <f t="shared" si="20"/>
        <v/>
      </c>
      <c r="S41" s="821" t="str">
        <f t="shared" si="21"/>
        <v>N/A</v>
      </c>
      <c r="T41" s="18"/>
      <c r="U41" s="74"/>
      <c r="V41" s="957">
        <f t="shared" si="13"/>
        <v>0</v>
      </c>
    </row>
    <row r="42" spans="1:27" hidden="1" x14ac:dyDescent="0.25">
      <c r="B42" s="174"/>
      <c r="C42" s="18"/>
      <c r="D42" s="349" t="s">
        <v>346</v>
      </c>
      <c r="E42" s="828">
        <v>188734.64</v>
      </c>
      <c r="F42" s="823" t="str">
        <f t="shared" si="14"/>
        <v/>
      </c>
      <c r="G42" s="824" t="str">
        <f t="shared" si="15"/>
        <v>N/A</v>
      </c>
      <c r="H42" s="821"/>
      <c r="I42" s="828">
        <v>191599.47</v>
      </c>
      <c r="J42" s="823" t="str">
        <f t="shared" si="16"/>
        <v/>
      </c>
      <c r="K42" s="824" t="str">
        <f t="shared" si="17"/>
        <v>N/A</v>
      </c>
      <c r="L42" s="821"/>
      <c r="M42" s="828"/>
      <c r="N42" s="823" t="str">
        <f t="shared" si="18"/>
        <v/>
      </c>
      <c r="O42" s="824" t="str">
        <f t="shared" si="19"/>
        <v>N/A</v>
      </c>
      <c r="P42" s="821"/>
      <c r="Q42" s="828"/>
      <c r="R42" s="823" t="str">
        <f t="shared" si="20"/>
        <v/>
      </c>
      <c r="S42" s="824" t="str">
        <f t="shared" si="21"/>
        <v>N/A</v>
      </c>
      <c r="T42" s="18"/>
      <c r="U42" s="74"/>
      <c r="V42" s="957">
        <f t="shared" si="13"/>
        <v>0</v>
      </c>
    </row>
    <row r="43" spans="1:27" s="36" customFormat="1" ht="20.100000000000001" hidden="1" customHeight="1" x14ac:dyDescent="0.25">
      <c r="A43" s="707"/>
      <c r="B43" s="1376"/>
      <c r="C43" s="88"/>
      <c r="D43" s="353" t="str">
        <f>IF(Expense_RepairsMaintenance_Detail=0,"Repairs &amp; Maintenance","Total Repairs &amp; Maintenance")</f>
        <v>Repairs &amp; Maintenance</v>
      </c>
      <c r="E43" s="818"/>
      <c r="F43" s="822" t="str">
        <f t="shared" si="14"/>
        <v/>
      </c>
      <c r="G43" s="821" t="str">
        <f t="shared" si="15"/>
        <v>N/A</v>
      </c>
      <c r="H43" s="821"/>
      <c r="I43" s="818"/>
      <c r="J43" s="822" t="str">
        <f t="shared" si="16"/>
        <v/>
      </c>
      <c r="K43" s="821" t="str">
        <f t="shared" si="17"/>
        <v>N/A</v>
      </c>
      <c r="L43" s="821"/>
      <c r="M43" s="818"/>
      <c r="N43" s="822" t="str">
        <f t="shared" si="18"/>
        <v/>
      </c>
      <c r="O43" s="821" t="str">
        <f t="shared" si="19"/>
        <v>N/A</v>
      </c>
      <c r="P43" s="821"/>
      <c r="Q43" s="818"/>
      <c r="R43" s="822" t="str">
        <f t="shared" si="20"/>
        <v/>
      </c>
      <c r="S43" s="821" t="str">
        <f t="shared" si="21"/>
        <v>N/A</v>
      </c>
      <c r="T43" s="88"/>
      <c r="U43" s="1377"/>
      <c r="V43" s="972">
        <f>IF(AND(SUM(E43,I43,M43,Q43)=0, Expense_RepairsMaintenance_Reimb=0,Expense_RepairsMaintenance_NonReimb=0),0,1)</f>
        <v>1</v>
      </c>
      <c r="W43" s="243">
        <v>1</v>
      </c>
      <c r="X43" s="243">
        <v>0</v>
      </c>
      <c r="Y43" s="243">
        <v>0</v>
      </c>
      <c r="Z43" s="731"/>
      <c r="AA43" s="731"/>
    </row>
    <row r="44" spans="1:27" ht="20.100000000000001" hidden="1" customHeight="1" x14ac:dyDescent="0.25">
      <c r="B44" s="174"/>
      <c r="C44" s="18"/>
      <c r="D44" s="348" t="s">
        <v>357</v>
      </c>
      <c r="E44" s="818"/>
      <c r="F44" s="822"/>
      <c r="G44" s="821"/>
      <c r="H44" s="821"/>
      <c r="I44" s="818"/>
      <c r="J44" s="822"/>
      <c r="K44" s="821"/>
      <c r="L44" s="821"/>
      <c r="M44" s="818"/>
      <c r="N44" s="822"/>
      <c r="O44" s="821"/>
      <c r="P44" s="821"/>
      <c r="Q44" s="818"/>
      <c r="R44" s="822"/>
      <c r="S44" s="821"/>
      <c r="T44" s="18"/>
      <c r="U44" s="74"/>
      <c r="V44" s="957">
        <f t="shared" ref="V44:V50" si="22">IF(Expense_CAM_Detail=0,0,1)</f>
        <v>0</v>
      </c>
    </row>
    <row r="45" spans="1:27" hidden="1" x14ac:dyDescent="0.25">
      <c r="B45" s="174"/>
      <c r="C45" s="18"/>
      <c r="D45" s="183" t="s">
        <v>92</v>
      </c>
      <c r="E45" s="818"/>
      <c r="F45" s="822" t="str">
        <f t="shared" ref="F45:F51" si="23">IF(E45&gt;0,E45/Subject_NRA,"")</f>
        <v/>
      </c>
      <c r="G45" s="821" t="str">
        <f t="shared" ref="G45:G50" si="24">IF(OR(E45=0,E$18=0),"N/A",E45/E$18)</f>
        <v>N/A</v>
      </c>
      <c r="H45" s="821"/>
      <c r="I45" s="818"/>
      <c r="J45" s="822" t="str">
        <f t="shared" ref="J45:J51" si="25">IF(I45&gt;0,I45/Subject_NRA,"")</f>
        <v/>
      </c>
      <c r="K45" s="821" t="str">
        <f t="shared" ref="K45:K50" si="26">IF(OR(I45=0,I$18=0),"N/A",I45/I$18)</f>
        <v>N/A</v>
      </c>
      <c r="L45" s="821"/>
      <c r="M45" s="818"/>
      <c r="N45" s="822" t="str">
        <f t="shared" ref="N45:N51" si="27">IF(M45&gt;0,M45/Subject_NRA,"")</f>
        <v/>
      </c>
      <c r="O45" s="821" t="str">
        <f t="shared" ref="O45:O50" si="28">IF(OR(M45=0,M$18=0),"N/A",M45/M$18)</f>
        <v>N/A</v>
      </c>
      <c r="P45" s="821"/>
      <c r="Q45" s="818"/>
      <c r="R45" s="822" t="str">
        <f t="shared" ref="R45:R51" si="29">IF(Q45&gt;0,Q45/Subject_NRA,"")</f>
        <v/>
      </c>
      <c r="S45" s="821" t="str">
        <f t="shared" ref="S45:S50" si="30">IF(OR(Q45=0,Q$18=0),"N/A",Q45/Q$18)</f>
        <v>N/A</v>
      </c>
      <c r="T45" s="18"/>
      <c r="U45" s="74"/>
      <c r="V45" s="957">
        <f t="shared" si="22"/>
        <v>0</v>
      </c>
    </row>
    <row r="46" spans="1:27" hidden="1" x14ac:dyDescent="0.25">
      <c r="B46" s="174"/>
      <c r="C46" s="18"/>
      <c r="D46" s="183" t="s">
        <v>340</v>
      </c>
      <c r="E46" s="818"/>
      <c r="F46" s="822" t="str">
        <f t="shared" si="23"/>
        <v/>
      </c>
      <c r="G46" s="821" t="str">
        <f t="shared" si="24"/>
        <v>N/A</v>
      </c>
      <c r="H46" s="821"/>
      <c r="I46" s="818"/>
      <c r="J46" s="822" t="str">
        <f t="shared" si="25"/>
        <v/>
      </c>
      <c r="K46" s="821" t="str">
        <f t="shared" si="26"/>
        <v>N/A</v>
      </c>
      <c r="L46" s="821"/>
      <c r="M46" s="818"/>
      <c r="N46" s="822" t="str">
        <f t="shared" si="27"/>
        <v/>
      </c>
      <c r="O46" s="821" t="str">
        <f t="shared" si="28"/>
        <v>N/A</v>
      </c>
      <c r="P46" s="821"/>
      <c r="Q46" s="818"/>
      <c r="R46" s="822" t="str">
        <f t="shared" si="29"/>
        <v/>
      </c>
      <c r="S46" s="821" t="str">
        <f t="shared" si="30"/>
        <v>N/A</v>
      </c>
      <c r="T46" s="18"/>
      <c r="U46" s="74"/>
      <c r="V46" s="957">
        <f t="shared" si="22"/>
        <v>0</v>
      </c>
    </row>
    <row r="47" spans="1:27" hidden="1" x14ac:dyDescent="0.25">
      <c r="B47" s="174"/>
      <c r="C47" s="18"/>
      <c r="D47" s="183" t="s">
        <v>358</v>
      </c>
      <c r="E47" s="818"/>
      <c r="F47" s="822" t="str">
        <f t="shared" si="23"/>
        <v/>
      </c>
      <c r="G47" s="821" t="str">
        <f t="shared" si="24"/>
        <v>N/A</v>
      </c>
      <c r="H47" s="821"/>
      <c r="I47" s="818"/>
      <c r="J47" s="822" t="str">
        <f t="shared" si="25"/>
        <v/>
      </c>
      <c r="K47" s="821" t="str">
        <f t="shared" si="26"/>
        <v>N/A</v>
      </c>
      <c r="L47" s="821"/>
      <c r="M47" s="818"/>
      <c r="N47" s="822" t="str">
        <f t="shared" si="27"/>
        <v/>
      </c>
      <c r="O47" s="821" t="str">
        <f t="shared" si="28"/>
        <v>N/A</v>
      </c>
      <c r="P47" s="821"/>
      <c r="Q47" s="818"/>
      <c r="R47" s="822" t="str">
        <f t="shared" si="29"/>
        <v/>
      </c>
      <c r="S47" s="821" t="str">
        <f t="shared" si="30"/>
        <v>N/A</v>
      </c>
      <c r="T47" s="18"/>
      <c r="U47" s="74"/>
      <c r="V47" s="957">
        <f t="shared" si="22"/>
        <v>0</v>
      </c>
    </row>
    <row r="48" spans="1:27" hidden="1" x14ac:dyDescent="0.25">
      <c r="B48" s="174"/>
      <c r="C48" s="18"/>
      <c r="D48" s="183" t="s">
        <v>359</v>
      </c>
      <c r="E48" s="818">
        <v>67548.08</v>
      </c>
      <c r="F48" s="822" t="str">
        <f t="shared" si="23"/>
        <v/>
      </c>
      <c r="G48" s="821" t="str">
        <f t="shared" si="24"/>
        <v>N/A</v>
      </c>
      <c r="H48" s="821"/>
      <c r="I48" s="818">
        <v>44318.56</v>
      </c>
      <c r="J48" s="822" t="str">
        <f t="shared" si="25"/>
        <v/>
      </c>
      <c r="K48" s="821" t="str">
        <f t="shared" si="26"/>
        <v>N/A</v>
      </c>
      <c r="L48" s="821"/>
      <c r="M48" s="818"/>
      <c r="N48" s="822" t="str">
        <f t="shared" si="27"/>
        <v/>
      </c>
      <c r="O48" s="821" t="str">
        <f t="shared" si="28"/>
        <v>N/A</v>
      </c>
      <c r="P48" s="821"/>
      <c r="Q48" s="818"/>
      <c r="R48" s="822" t="str">
        <f t="shared" si="29"/>
        <v/>
      </c>
      <c r="S48" s="821" t="str">
        <f t="shared" si="30"/>
        <v>N/A</v>
      </c>
      <c r="T48" s="18"/>
      <c r="U48" s="74"/>
      <c r="V48" s="957">
        <f t="shared" si="22"/>
        <v>0</v>
      </c>
    </row>
    <row r="49" spans="1:27" hidden="1" x14ac:dyDescent="0.25">
      <c r="B49" s="174"/>
      <c r="C49" s="18"/>
      <c r="D49" s="183" t="s">
        <v>360</v>
      </c>
      <c r="E49" s="818">
        <v>14677.25</v>
      </c>
      <c r="F49" s="822" t="str">
        <f t="shared" si="23"/>
        <v/>
      </c>
      <c r="G49" s="821" t="str">
        <f t="shared" si="24"/>
        <v>N/A</v>
      </c>
      <c r="H49" s="821"/>
      <c r="I49" s="818">
        <v>21718.56</v>
      </c>
      <c r="J49" s="822" t="str">
        <f t="shared" si="25"/>
        <v/>
      </c>
      <c r="K49" s="821" t="str">
        <f t="shared" si="26"/>
        <v>N/A</v>
      </c>
      <c r="L49" s="821"/>
      <c r="M49" s="818"/>
      <c r="N49" s="822" t="str">
        <f t="shared" si="27"/>
        <v/>
      </c>
      <c r="O49" s="821" t="str">
        <f t="shared" si="28"/>
        <v>N/A</v>
      </c>
      <c r="P49" s="821"/>
      <c r="Q49" s="818"/>
      <c r="R49" s="822" t="str">
        <f t="shared" si="29"/>
        <v/>
      </c>
      <c r="S49" s="821" t="str">
        <f t="shared" si="30"/>
        <v>N/A</v>
      </c>
      <c r="T49" s="18"/>
      <c r="U49" s="74"/>
      <c r="V49" s="957">
        <f t="shared" si="22"/>
        <v>0</v>
      </c>
    </row>
    <row r="50" spans="1:27" hidden="1" x14ac:dyDescent="0.25">
      <c r="B50" s="174"/>
      <c r="C50" s="18"/>
      <c r="D50" s="349" t="s">
        <v>361</v>
      </c>
      <c r="E50" s="828"/>
      <c r="F50" s="823" t="str">
        <f t="shared" si="23"/>
        <v/>
      </c>
      <c r="G50" s="824" t="str">
        <f t="shared" si="24"/>
        <v>N/A</v>
      </c>
      <c r="H50" s="821"/>
      <c r="I50" s="828"/>
      <c r="J50" s="823" t="str">
        <f t="shared" si="25"/>
        <v/>
      </c>
      <c r="K50" s="824" t="str">
        <f t="shared" si="26"/>
        <v>N/A</v>
      </c>
      <c r="L50" s="821"/>
      <c r="M50" s="828"/>
      <c r="N50" s="823" t="str">
        <f t="shared" si="27"/>
        <v/>
      </c>
      <c r="O50" s="824" t="str">
        <f t="shared" si="28"/>
        <v>N/A</v>
      </c>
      <c r="P50" s="821"/>
      <c r="Q50" s="828"/>
      <c r="R50" s="823" t="str">
        <f t="shared" si="29"/>
        <v/>
      </c>
      <c r="S50" s="824" t="str">
        <f t="shared" si="30"/>
        <v>N/A</v>
      </c>
      <c r="T50" s="18"/>
      <c r="U50" s="74"/>
      <c r="V50" s="957">
        <f t="shared" si="22"/>
        <v>0</v>
      </c>
    </row>
    <row r="51" spans="1:27" s="36" customFormat="1" ht="20.100000000000001" hidden="1" customHeight="1" x14ac:dyDescent="0.25">
      <c r="A51" s="707"/>
      <c r="B51" s="1376"/>
      <c r="C51" s="88"/>
      <c r="D51" s="353" t="str">
        <f>IF(Expense_CAM_Detail=0,"Common Area Maintenance","Total Common Area Maintenance")</f>
        <v>Common Area Maintenance</v>
      </c>
      <c r="E51" s="818"/>
      <c r="F51" s="822" t="str">
        <f t="shared" si="23"/>
        <v/>
      </c>
      <c r="G51" s="821" t="str">
        <f>IF(OR(E51=0,E$18=0),"N/A",E51/E$18)</f>
        <v>N/A</v>
      </c>
      <c r="H51" s="821"/>
      <c r="I51" s="818"/>
      <c r="J51" s="822" t="str">
        <f t="shared" si="25"/>
        <v/>
      </c>
      <c r="K51" s="821" t="str">
        <f>IF(OR(I51=0,I$18=0),"N/A",I51/I$18)</f>
        <v>N/A</v>
      </c>
      <c r="L51" s="821"/>
      <c r="M51" s="818"/>
      <c r="N51" s="822" t="str">
        <f t="shared" si="27"/>
        <v/>
      </c>
      <c r="O51" s="821" t="str">
        <f>IF(OR(M51=0,M$18=0),"N/A",M51/M$18)</f>
        <v>N/A</v>
      </c>
      <c r="P51" s="821"/>
      <c r="Q51" s="818"/>
      <c r="R51" s="822" t="str">
        <f t="shared" si="29"/>
        <v/>
      </c>
      <c r="S51" s="821" t="str">
        <f>IF(OR(Q51=0,Q$18=0),"N/A",Q51/Q$18)</f>
        <v>N/A</v>
      </c>
      <c r="T51" s="88"/>
      <c r="U51" s="1377"/>
      <c r="V51" s="972">
        <f>IF(AND(SUM(E51,I51,M51,Q51)=0, Expense_CAM_Reimb=0,Expense_CAM_NonReimb=0),0,1)</f>
        <v>0</v>
      </c>
      <c r="W51" s="243">
        <v>0</v>
      </c>
      <c r="X51" s="243">
        <v>0</v>
      </c>
      <c r="Y51" s="243">
        <v>0</v>
      </c>
      <c r="Z51" s="731"/>
      <c r="AA51" s="731"/>
    </row>
    <row r="52" spans="1:27" ht="20.100000000000001" hidden="1" customHeight="1" x14ac:dyDescent="0.25">
      <c r="B52" s="174"/>
      <c r="C52" s="18"/>
      <c r="D52" s="348" t="s">
        <v>389</v>
      </c>
      <c r="E52" s="818"/>
      <c r="F52" s="822"/>
      <c r="G52" s="821"/>
      <c r="H52" s="821"/>
      <c r="I52" s="818"/>
      <c r="J52" s="822"/>
      <c r="K52" s="821"/>
      <c r="L52" s="821"/>
      <c r="M52" s="818"/>
      <c r="N52" s="822"/>
      <c r="O52" s="821"/>
      <c r="P52" s="821"/>
      <c r="Q52" s="818"/>
      <c r="R52" s="822"/>
      <c r="S52" s="821"/>
      <c r="T52" s="18"/>
      <c r="U52" s="74"/>
      <c r="V52" s="957">
        <f t="shared" ref="V52:V57" si="31">IF(Expense_CleaningJanitorial_Detail=0,0,1)</f>
        <v>0</v>
      </c>
    </row>
    <row r="53" spans="1:27" hidden="1" x14ac:dyDescent="0.25">
      <c r="B53" s="174"/>
      <c r="C53" s="18"/>
      <c r="D53" s="183" t="s">
        <v>347</v>
      </c>
      <c r="E53" s="818"/>
      <c r="F53" s="822" t="str">
        <f>IF(E53&gt;0,E53/Subject_NRA,"")</f>
        <v/>
      </c>
      <c r="G53" s="821" t="str">
        <f t="shared" ref="G53:G58" si="32">IF(OR(E53=0,E$18=0),"N/A",E53/E$18)</f>
        <v>N/A</v>
      </c>
      <c r="H53" s="821"/>
      <c r="I53" s="818"/>
      <c r="J53" s="822" t="str">
        <f>IF(I53&gt;0,I53/Subject_NRA,"")</f>
        <v/>
      </c>
      <c r="K53" s="821" t="str">
        <f t="shared" ref="K53:K58" si="33">IF(OR(I53=0,I$18=0),"N/A",I53/I$18)</f>
        <v>N/A</v>
      </c>
      <c r="L53" s="821"/>
      <c r="M53" s="818"/>
      <c r="N53" s="822" t="str">
        <f>IF(M53&gt;0,M53/Subject_NRA,"")</f>
        <v/>
      </c>
      <c r="O53" s="821" t="str">
        <f t="shared" ref="O53:O58" si="34">IF(OR(M53=0,M$18=0),"N/A",M53/M$18)</f>
        <v>N/A</v>
      </c>
      <c r="P53" s="821"/>
      <c r="Q53" s="818"/>
      <c r="R53" s="822" t="str">
        <f>IF(Q53&gt;0,Q53/Subject_NRA,"")</f>
        <v/>
      </c>
      <c r="S53" s="821" t="str">
        <f t="shared" ref="S53:S58" si="35">IF(OR(Q53=0,Q$18=0),"N/A",Q53/Q$18)</f>
        <v>N/A</v>
      </c>
      <c r="T53" s="18"/>
      <c r="U53" s="74"/>
      <c r="V53" s="957">
        <f t="shared" si="31"/>
        <v>0</v>
      </c>
    </row>
    <row r="54" spans="1:27" hidden="1" x14ac:dyDescent="0.25">
      <c r="B54" s="174"/>
      <c r="C54" s="18"/>
      <c r="D54" s="183" t="s">
        <v>377</v>
      </c>
      <c r="E54" s="818">
        <v>105227.25</v>
      </c>
      <c r="F54" s="822" t="str">
        <f>IF(E54&gt;0,E54/Subject_NRA,"")</f>
        <v/>
      </c>
      <c r="G54" s="821" t="str">
        <f t="shared" si="32"/>
        <v>N/A</v>
      </c>
      <c r="H54" s="821"/>
      <c r="I54" s="818">
        <v>111711.22</v>
      </c>
      <c r="J54" s="822" t="str">
        <f>IF(I54&gt;0,I54/Subject_NRA,"")</f>
        <v/>
      </c>
      <c r="K54" s="821" t="str">
        <f t="shared" si="33"/>
        <v>N/A</v>
      </c>
      <c r="L54" s="821"/>
      <c r="M54" s="818"/>
      <c r="N54" s="822" t="str">
        <f>IF(M54&gt;0,M54/Subject_NRA,"")</f>
        <v/>
      </c>
      <c r="O54" s="821" t="str">
        <f t="shared" si="34"/>
        <v>N/A</v>
      </c>
      <c r="P54" s="821"/>
      <c r="Q54" s="818"/>
      <c r="R54" s="822" t="str">
        <f>IF(Q54&gt;0,Q54/Subject_NRA,"")</f>
        <v/>
      </c>
      <c r="S54" s="821" t="str">
        <f t="shared" si="35"/>
        <v>N/A</v>
      </c>
      <c r="T54" s="18"/>
      <c r="U54" s="74"/>
      <c r="V54" s="957">
        <f t="shared" si="31"/>
        <v>0</v>
      </c>
    </row>
    <row r="55" spans="1:27" hidden="1" x14ac:dyDescent="0.25">
      <c r="B55" s="174"/>
      <c r="C55" s="18"/>
      <c r="D55" s="183" t="s">
        <v>378</v>
      </c>
      <c r="E55" s="818">
        <v>0</v>
      </c>
      <c r="F55" s="822" t="str">
        <f>IF(E55&gt;0,E55/Subject_NRA,"")</f>
        <v/>
      </c>
      <c r="G55" s="821" t="str">
        <f t="shared" si="32"/>
        <v>N/A</v>
      </c>
      <c r="H55" s="821"/>
      <c r="I55" s="818">
        <v>815</v>
      </c>
      <c r="J55" s="822" t="str">
        <f>IF(I55&gt;0,I55/Subject_NRA,"")</f>
        <v/>
      </c>
      <c r="K55" s="821" t="str">
        <f t="shared" si="33"/>
        <v>N/A</v>
      </c>
      <c r="L55" s="821"/>
      <c r="M55" s="818"/>
      <c r="N55" s="822" t="str">
        <f>IF(M55&gt;0,M55/Subject_NRA,"")</f>
        <v/>
      </c>
      <c r="O55" s="821" t="str">
        <f t="shared" si="34"/>
        <v>N/A</v>
      </c>
      <c r="P55" s="821"/>
      <c r="Q55" s="818"/>
      <c r="R55" s="822" t="str">
        <f>IF(Q55&gt;0,Q55/Subject_NRA,"")</f>
        <v/>
      </c>
      <c r="S55" s="821" t="str">
        <f t="shared" si="35"/>
        <v>N/A</v>
      </c>
      <c r="T55" s="18"/>
      <c r="U55" s="74"/>
      <c r="V55" s="957">
        <f t="shared" si="31"/>
        <v>0</v>
      </c>
    </row>
    <row r="56" spans="1:27" hidden="1" x14ac:dyDescent="0.25">
      <c r="B56" s="174"/>
      <c r="C56" s="18"/>
      <c r="D56" s="183" t="s">
        <v>388</v>
      </c>
      <c r="E56" s="818">
        <v>14881.12</v>
      </c>
      <c r="F56" s="822" t="str">
        <f>IF(E56&gt;0,E56/Subject_NRA,"")</f>
        <v/>
      </c>
      <c r="G56" s="821" t="str">
        <f t="shared" si="32"/>
        <v>N/A</v>
      </c>
      <c r="H56" s="821"/>
      <c r="I56" s="818">
        <v>12879.47</v>
      </c>
      <c r="J56" s="822" t="str">
        <f>IF(I56&gt;0,I56/Subject_NRA,"")</f>
        <v/>
      </c>
      <c r="K56" s="821" t="str">
        <f t="shared" si="33"/>
        <v>N/A</v>
      </c>
      <c r="L56" s="821"/>
      <c r="M56" s="818"/>
      <c r="N56" s="822" t="str">
        <f>IF(M56&gt;0,M56/Subject_NRA,"")</f>
        <v/>
      </c>
      <c r="O56" s="821" t="str">
        <f t="shared" si="34"/>
        <v>N/A</v>
      </c>
      <c r="P56" s="821"/>
      <c r="Q56" s="818"/>
      <c r="R56" s="822" t="str">
        <f>IF(Q56&gt;0,Q56/Subject_NRA,"")</f>
        <v/>
      </c>
      <c r="S56" s="821" t="str">
        <f t="shared" si="35"/>
        <v>N/A</v>
      </c>
      <c r="T56" s="18"/>
      <c r="U56" s="74"/>
      <c r="V56" s="957">
        <f t="shared" si="31"/>
        <v>0</v>
      </c>
    </row>
    <row r="57" spans="1:27" hidden="1" x14ac:dyDescent="0.25">
      <c r="B57" s="174"/>
      <c r="C57" s="18"/>
      <c r="D57" s="349" t="s">
        <v>387</v>
      </c>
      <c r="E57" s="828"/>
      <c r="F57" s="823"/>
      <c r="G57" s="824" t="str">
        <f t="shared" si="32"/>
        <v>N/A</v>
      </c>
      <c r="H57" s="821"/>
      <c r="I57" s="828"/>
      <c r="J57" s="823"/>
      <c r="K57" s="824" t="str">
        <f t="shared" si="33"/>
        <v>N/A</v>
      </c>
      <c r="L57" s="821"/>
      <c r="M57" s="828"/>
      <c r="N57" s="823"/>
      <c r="O57" s="824" t="str">
        <f t="shared" si="34"/>
        <v>N/A</v>
      </c>
      <c r="P57" s="821"/>
      <c r="Q57" s="828"/>
      <c r="R57" s="823"/>
      <c r="S57" s="824" t="str">
        <f t="shared" si="35"/>
        <v>N/A</v>
      </c>
      <c r="T57" s="18"/>
      <c r="U57" s="74"/>
      <c r="V57" s="957">
        <f t="shared" si="31"/>
        <v>0</v>
      </c>
    </row>
    <row r="58" spans="1:27" s="36" customFormat="1" ht="20.100000000000001" hidden="1" customHeight="1" x14ac:dyDescent="0.25">
      <c r="A58" s="707"/>
      <c r="B58" s="1376"/>
      <c r="C58" s="88"/>
      <c r="D58" s="353" t="str">
        <f>IF(Expense_CleaningJanitorial_Detail=0,"Cleaning &amp; Janitorial","Total Cleaning &amp; Janitorial")</f>
        <v>Cleaning &amp; Janitorial</v>
      </c>
      <c r="E58" s="818">
        <f>E53+E57</f>
        <v>0</v>
      </c>
      <c r="F58" s="822" t="str">
        <f>IF(E58&gt;0,E58/Subject_NRA,"")</f>
        <v/>
      </c>
      <c r="G58" s="821" t="str">
        <f t="shared" si="32"/>
        <v>N/A</v>
      </c>
      <c r="H58" s="821"/>
      <c r="I58" s="818">
        <f>I53+I57</f>
        <v>0</v>
      </c>
      <c r="J58" s="822" t="str">
        <f>IF(I58&gt;0,I58/Subject_NRA,"")</f>
        <v/>
      </c>
      <c r="K58" s="821" t="str">
        <f t="shared" si="33"/>
        <v>N/A</v>
      </c>
      <c r="L58" s="821"/>
      <c r="M58" s="818">
        <f>M53+M57</f>
        <v>0</v>
      </c>
      <c r="N58" s="822" t="str">
        <f>IF(M58&gt;0,M58/Subject_NRA,"")</f>
        <v/>
      </c>
      <c r="O58" s="821" t="str">
        <f t="shared" si="34"/>
        <v>N/A</v>
      </c>
      <c r="P58" s="821"/>
      <c r="Q58" s="818">
        <f>Q53+Q57</f>
        <v>0</v>
      </c>
      <c r="R58" s="822" t="str">
        <f>IF(Q58&gt;0,Q58/Subject_NRA,"")</f>
        <v/>
      </c>
      <c r="S58" s="821" t="str">
        <f t="shared" si="35"/>
        <v>N/A</v>
      </c>
      <c r="T58" s="88"/>
      <c r="U58" s="1377"/>
      <c r="V58" s="972">
        <f>IF(AND(SUM(E58,I58,M58,Q58)=0, Expense_CleaningJanitorial_Reimb=0,Expense_CleaningJanitorial_NonReimb=0),0,1)</f>
        <v>0</v>
      </c>
      <c r="W58" s="243">
        <v>0</v>
      </c>
      <c r="X58" s="243">
        <v>0</v>
      </c>
      <c r="Y58" s="243">
        <v>0</v>
      </c>
      <c r="Z58" s="731"/>
      <c r="AA58" s="731"/>
    </row>
    <row r="59" spans="1:27" ht="20.100000000000001" hidden="1" customHeight="1" x14ac:dyDescent="0.25">
      <c r="B59" s="174"/>
      <c r="C59" s="18"/>
      <c r="D59" s="348" t="s">
        <v>353</v>
      </c>
      <c r="E59" s="818"/>
      <c r="F59" s="822"/>
      <c r="G59" s="821"/>
      <c r="H59" s="821"/>
      <c r="I59" s="818"/>
      <c r="J59" s="822"/>
      <c r="K59" s="821"/>
      <c r="L59" s="821"/>
      <c r="M59" s="818"/>
      <c r="N59" s="822"/>
      <c r="O59" s="821"/>
      <c r="P59" s="821"/>
      <c r="Q59" s="818"/>
      <c r="R59" s="822"/>
      <c r="S59" s="821"/>
      <c r="T59" s="18"/>
      <c r="U59" s="74"/>
      <c r="V59" s="957">
        <f>IF(Expense_Leasing_Detail=0,0,1)</f>
        <v>0</v>
      </c>
    </row>
    <row r="60" spans="1:27" hidden="1" x14ac:dyDescent="0.25">
      <c r="B60" s="174"/>
      <c r="C60" s="18"/>
      <c r="D60" s="183" t="s">
        <v>354</v>
      </c>
      <c r="E60" s="818">
        <v>19112.59</v>
      </c>
      <c r="F60" s="822" t="str">
        <f>IF(E60&gt;0,E60/Subject_NRA,"")</f>
        <v/>
      </c>
      <c r="G60" s="821" t="str">
        <f>IF(OR(E60=0,E$18=0),"N/A",E60/E$18)</f>
        <v>N/A</v>
      </c>
      <c r="H60" s="821"/>
      <c r="I60" s="818">
        <v>24333.75</v>
      </c>
      <c r="J60" s="822" t="str">
        <f>IF(I60&gt;0,I60/Subject_NRA,"")</f>
        <v/>
      </c>
      <c r="K60" s="821" t="str">
        <f>IF(OR(I60=0,I$18=0),"N/A",I60/I$18)</f>
        <v>N/A</v>
      </c>
      <c r="L60" s="821"/>
      <c r="M60" s="818"/>
      <c r="N60" s="822" t="str">
        <f>IF(M60&gt;0,M60/Subject_NRA,"")</f>
        <v/>
      </c>
      <c r="O60" s="821" t="str">
        <f>IF(OR(M60=0,M$18=0),"N/A",M60/M$18)</f>
        <v>N/A</v>
      </c>
      <c r="P60" s="821"/>
      <c r="Q60" s="818"/>
      <c r="R60" s="822" t="str">
        <f>IF(Q60&gt;0,Q60/Subject_NRA,"")</f>
        <v/>
      </c>
      <c r="S60" s="821" t="str">
        <f>IF(OR(Q60=0,Q$18=0),"N/A",Q60/Q$18)</f>
        <v>N/A</v>
      </c>
      <c r="T60" s="18"/>
      <c r="U60" s="74"/>
      <c r="V60" s="957">
        <f>IF(Expense_Leasing_Detail=0,0,1)</f>
        <v>0</v>
      </c>
    </row>
    <row r="61" spans="1:27" hidden="1" x14ac:dyDescent="0.25">
      <c r="B61" s="174"/>
      <c r="C61" s="18"/>
      <c r="D61" s="183" t="s">
        <v>355</v>
      </c>
      <c r="E61" s="818">
        <v>44752</v>
      </c>
      <c r="F61" s="822" t="str">
        <f>IF(E61&gt;0,E61/Subject_NRA,"")</f>
        <v/>
      </c>
      <c r="G61" s="821" t="str">
        <f>IF(OR(E61=0,E$18=0),"N/A",E61/E$18)</f>
        <v>N/A</v>
      </c>
      <c r="H61" s="821"/>
      <c r="I61" s="818">
        <v>49723.24</v>
      </c>
      <c r="J61" s="822" t="str">
        <f>IF(I61&gt;0,I61/Subject_NRA,"")</f>
        <v/>
      </c>
      <c r="K61" s="821" t="str">
        <f>IF(OR(I61=0,I$18=0),"N/A",I61/I$18)</f>
        <v>N/A</v>
      </c>
      <c r="L61" s="821"/>
      <c r="M61" s="818"/>
      <c r="N61" s="822" t="str">
        <f>IF(M61&gt;0,M61/Subject_NRA,"")</f>
        <v/>
      </c>
      <c r="O61" s="821" t="str">
        <f>IF(OR(M61=0,M$18=0),"N/A",M61/M$18)</f>
        <v>N/A</v>
      </c>
      <c r="P61" s="821"/>
      <c r="Q61" s="818"/>
      <c r="R61" s="822" t="str">
        <f>IF(Q61&gt;0,Q61/Subject_NRA,"")</f>
        <v/>
      </c>
      <c r="S61" s="821" t="str">
        <f>IF(OR(Q61=0,Q$18=0),"N/A",Q61/Q$18)</f>
        <v>N/A</v>
      </c>
      <c r="T61" s="18"/>
      <c r="U61" s="74"/>
      <c r="V61" s="957">
        <f>IF(Expense_Leasing_Detail=0,0,1)</f>
        <v>0</v>
      </c>
    </row>
    <row r="62" spans="1:27" hidden="1" x14ac:dyDescent="0.25">
      <c r="B62" s="174"/>
      <c r="C62" s="18"/>
      <c r="D62" s="349" t="s">
        <v>356</v>
      </c>
      <c r="E62" s="828"/>
      <c r="F62" s="823" t="str">
        <f>IF(E62&gt;0,E62/Subject_NRA,"")</f>
        <v/>
      </c>
      <c r="G62" s="824" t="str">
        <f>IF(OR(E62=0,E$18=0),"N/A",E62/E$18)</f>
        <v>N/A</v>
      </c>
      <c r="H62" s="821"/>
      <c r="I62" s="828"/>
      <c r="J62" s="823" t="str">
        <f>IF(I62&gt;0,I62/Subject_NRA,"")</f>
        <v/>
      </c>
      <c r="K62" s="824" t="str">
        <f>IF(OR(I62=0,I$18=0),"N/A",I62/I$18)</f>
        <v>N/A</v>
      </c>
      <c r="L62" s="821"/>
      <c r="M62" s="828"/>
      <c r="N62" s="823" t="str">
        <f>IF(M62&gt;0,M62/Subject_NRA,"")</f>
        <v/>
      </c>
      <c r="O62" s="824" t="str">
        <f>IF(OR(M62=0,M$18=0),"N/A",M62/M$18)</f>
        <v>N/A</v>
      </c>
      <c r="P62" s="821"/>
      <c r="Q62" s="828"/>
      <c r="R62" s="823" t="str">
        <f>IF(Q62&gt;0,Q62/Subject_NRA,"")</f>
        <v/>
      </c>
      <c r="S62" s="824" t="str">
        <f>IF(OR(Q62=0,Q$18=0),"N/A",Q62/Q$18)</f>
        <v>N/A</v>
      </c>
      <c r="T62" s="18"/>
      <c r="U62" s="74"/>
      <c r="V62" s="957">
        <f>IF(Expense_Leasing_Detail=0,0,1)</f>
        <v>0</v>
      </c>
    </row>
    <row r="63" spans="1:27" s="36" customFormat="1" ht="20.100000000000001" hidden="1" customHeight="1" x14ac:dyDescent="0.25">
      <c r="A63" s="707"/>
      <c r="B63" s="1376"/>
      <c r="C63" s="88"/>
      <c r="D63" s="353" t="str">
        <f>IF(Expense_Leasing_Detail=0,"Leasing Expenses","Total Leasing Expenses")</f>
        <v>Leasing Expenses</v>
      </c>
      <c r="E63" s="818"/>
      <c r="F63" s="822" t="str">
        <f>IF(E63&gt;0,E63/Subject_NRA,"")</f>
        <v/>
      </c>
      <c r="G63" s="821" t="str">
        <f>IF(OR(E63=0,E$18=0),"N/A",E63/E$18)</f>
        <v>N/A</v>
      </c>
      <c r="H63" s="821"/>
      <c r="I63" s="818"/>
      <c r="J63" s="822" t="str">
        <f>IF(I63&gt;0,I63/Subject_NRA,"")</f>
        <v/>
      </c>
      <c r="K63" s="821" t="str">
        <f>IF(OR(I63=0,I$18=0),"N/A",I63/I$18)</f>
        <v>N/A</v>
      </c>
      <c r="L63" s="821"/>
      <c r="M63" s="818"/>
      <c r="N63" s="822" t="str">
        <f>IF(M63&gt;0,M63/Subject_NRA,"")</f>
        <v/>
      </c>
      <c r="O63" s="821" t="str">
        <f>IF(OR(M63=0,M$18=0),"N/A",M63/M$18)</f>
        <v>N/A</v>
      </c>
      <c r="P63" s="821"/>
      <c r="Q63" s="818"/>
      <c r="R63" s="822" t="str">
        <f>IF(Q63&gt;0,Q63/Subject_NRA,"")</f>
        <v/>
      </c>
      <c r="S63" s="821" t="str">
        <f>IF(OR(Q63=0,Q$18=0),"N/A",Q63/Q$18)</f>
        <v>N/A</v>
      </c>
      <c r="T63" s="88"/>
      <c r="U63" s="1377"/>
      <c r="V63" s="972">
        <f>IF(AND(SUM(E63,I63,M63,Q63)=0, Expense_Leasing_Reimb=0,Expense_Leasing_NonReimb=0),0,1)</f>
        <v>0</v>
      </c>
      <c r="W63" s="243">
        <v>0</v>
      </c>
      <c r="X63" s="243">
        <v>0</v>
      </c>
      <c r="Y63" s="243">
        <v>0</v>
      </c>
      <c r="Z63" s="731"/>
      <c r="AA63" s="731"/>
    </row>
    <row r="64" spans="1:27" ht="20.100000000000001" hidden="1" customHeight="1" x14ac:dyDescent="0.25">
      <c r="B64" s="174"/>
      <c r="C64" s="18"/>
      <c r="D64" s="348" t="s">
        <v>362</v>
      </c>
      <c r="E64" s="818"/>
      <c r="F64" s="822"/>
      <c r="G64" s="821"/>
      <c r="H64" s="821"/>
      <c r="I64" s="818"/>
      <c r="J64" s="822"/>
      <c r="K64" s="821"/>
      <c r="L64" s="821"/>
      <c r="M64" s="818"/>
      <c r="N64" s="822"/>
      <c r="O64" s="821"/>
      <c r="P64" s="821"/>
      <c r="Q64" s="818"/>
      <c r="R64" s="822"/>
      <c r="S64" s="821"/>
      <c r="T64" s="18"/>
      <c r="U64" s="74"/>
      <c r="V64" s="957">
        <f>IF(Expense_Payroll_Detail=0,0,1)</f>
        <v>0</v>
      </c>
    </row>
    <row r="65" spans="1:27" hidden="1" x14ac:dyDescent="0.25">
      <c r="B65" s="174"/>
      <c r="C65" s="18"/>
      <c r="D65" s="183" t="s">
        <v>363</v>
      </c>
      <c r="E65" s="818"/>
      <c r="F65" s="822" t="str">
        <f t="shared" ref="F65:F73" si="36">IF(E65&gt;0,E65/Subject_NRA,"")</f>
        <v/>
      </c>
      <c r="G65" s="821" t="str">
        <f t="shared" ref="G65:G76" si="37">IF(OR(E65=0,E$18=0),"N/A",E65/E$18)</f>
        <v>N/A</v>
      </c>
      <c r="H65" s="821"/>
      <c r="I65" s="818"/>
      <c r="J65" s="822" t="str">
        <f t="shared" ref="J65:J73" si="38">IF(I65&gt;0,I65/Subject_NRA,"")</f>
        <v/>
      </c>
      <c r="K65" s="821" t="str">
        <f t="shared" ref="K65:K76" si="39">IF(OR(I65=0,I$18=0),"N/A",I65/I$18)</f>
        <v>N/A</v>
      </c>
      <c r="L65" s="821"/>
      <c r="M65" s="818"/>
      <c r="N65" s="822" t="str">
        <f t="shared" ref="N65:N73" si="40">IF(M65&gt;0,M65/Subject_NRA,"")</f>
        <v/>
      </c>
      <c r="O65" s="821" t="str">
        <f t="shared" ref="O65:O76" si="41">IF(OR(M65=0,M$18=0),"N/A",M65/M$18)</f>
        <v>N/A</v>
      </c>
      <c r="P65" s="821"/>
      <c r="Q65" s="818"/>
      <c r="R65" s="822" t="str">
        <f t="shared" ref="R65:R73" si="42">IF(Q65&gt;0,Q65/Subject_NRA,"")</f>
        <v/>
      </c>
      <c r="S65" s="821" t="str">
        <f t="shared" ref="S65:S76" si="43">IF(OR(Q65=0,Q$18=0),"N/A",Q65/Q$18)</f>
        <v>N/A</v>
      </c>
      <c r="T65" s="18"/>
      <c r="U65" s="74"/>
      <c r="V65" s="957">
        <f>IF(Expense_Payroll_Detail=0,0,1)</f>
        <v>0</v>
      </c>
    </row>
    <row r="66" spans="1:27" hidden="1" x14ac:dyDescent="0.25">
      <c r="B66" s="174"/>
      <c r="C66" s="18"/>
      <c r="D66" s="183" t="s">
        <v>364</v>
      </c>
      <c r="E66" s="818"/>
      <c r="F66" s="822" t="str">
        <f t="shared" si="36"/>
        <v/>
      </c>
      <c r="G66" s="821" t="str">
        <f t="shared" si="37"/>
        <v>N/A</v>
      </c>
      <c r="H66" s="821"/>
      <c r="I66" s="818"/>
      <c r="J66" s="822" t="str">
        <f t="shared" si="38"/>
        <v/>
      </c>
      <c r="K66" s="821" t="str">
        <f t="shared" si="39"/>
        <v>N/A</v>
      </c>
      <c r="L66" s="821"/>
      <c r="M66" s="818"/>
      <c r="N66" s="822" t="str">
        <f t="shared" si="40"/>
        <v/>
      </c>
      <c r="O66" s="821" t="str">
        <f t="shared" si="41"/>
        <v>N/A</v>
      </c>
      <c r="P66" s="821"/>
      <c r="Q66" s="818"/>
      <c r="R66" s="822" t="str">
        <f t="shared" si="42"/>
        <v/>
      </c>
      <c r="S66" s="821" t="str">
        <f t="shared" si="43"/>
        <v>N/A</v>
      </c>
      <c r="T66" s="18"/>
      <c r="U66" s="74"/>
      <c r="V66" s="957">
        <f>IF(Expense_Payroll_Detail=0,0,1)</f>
        <v>0</v>
      </c>
    </row>
    <row r="67" spans="1:27" hidden="1" x14ac:dyDescent="0.25">
      <c r="B67" s="174"/>
      <c r="C67" s="18"/>
      <c r="D67" s="183" t="s">
        <v>365</v>
      </c>
      <c r="E67" s="818"/>
      <c r="F67" s="822" t="str">
        <f t="shared" si="36"/>
        <v/>
      </c>
      <c r="G67" s="821" t="str">
        <f t="shared" si="37"/>
        <v>N/A</v>
      </c>
      <c r="H67" s="821"/>
      <c r="I67" s="818"/>
      <c r="J67" s="822" t="str">
        <f t="shared" si="38"/>
        <v/>
      </c>
      <c r="K67" s="821" t="str">
        <f t="shared" si="39"/>
        <v>N/A</v>
      </c>
      <c r="L67" s="821"/>
      <c r="M67" s="818"/>
      <c r="N67" s="822" t="str">
        <f t="shared" si="40"/>
        <v/>
      </c>
      <c r="O67" s="821" t="str">
        <f t="shared" si="41"/>
        <v>N/A</v>
      </c>
      <c r="P67" s="821"/>
      <c r="Q67" s="818"/>
      <c r="R67" s="822" t="str">
        <f t="shared" si="42"/>
        <v/>
      </c>
      <c r="S67" s="821" t="str">
        <f t="shared" si="43"/>
        <v>N/A</v>
      </c>
      <c r="T67" s="18"/>
      <c r="U67" s="74"/>
      <c r="V67" s="957">
        <f>IF(Expense_Payroll_Detail=0,0,1)</f>
        <v>0</v>
      </c>
    </row>
    <row r="68" spans="1:27" hidden="1" x14ac:dyDescent="0.25">
      <c r="B68" s="174"/>
      <c r="C68" s="18"/>
      <c r="D68" s="349" t="s">
        <v>366</v>
      </c>
      <c r="E68" s="828">
        <v>143964</v>
      </c>
      <c r="F68" s="823" t="str">
        <f t="shared" si="36"/>
        <v/>
      </c>
      <c r="G68" s="824" t="str">
        <f t="shared" si="37"/>
        <v>N/A</v>
      </c>
      <c r="H68" s="821"/>
      <c r="I68" s="828">
        <v>143628</v>
      </c>
      <c r="J68" s="823" t="str">
        <f t="shared" si="38"/>
        <v/>
      </c>
      <c r="K68" s="824" t="str">
        <f t="shared" si="39"/>
        <v>N/A</v>
      </c>
      <c r="L68" s="821"/>
      <c r="M68" s="828"/>
      <c r="N68" s="823" t="str">
        <f t="shared" si="40"/>
        <v/>
      </c>
      <c r="O68" s="824" t="str">
        <f t="shared" si="41"/>
        <v>N/A</v>
      </c>
      <c r="P68" s="821"/>
      <c r="Q68" s="828"/>
      <c r="R68" s="823" t="str">
        <f t="shared" si="42"/>
        <v/>
      </c>
      <c r="S68" s="824" t="str">
        <f t="shared" si="43"/>
        <v>N/A</v>
      </c>
      <c r="T68" s="18"/>
      <c r="U68" s="74"/>
      <c r="V68" s="957">
        <f>IF(Expense_Payroll_Detail=0,0,1)</f>
        <v>0</v>
      </c>
    </row>
    <row r="69" spans="1:27" s="142" customFormat="1" ht="20.100000000000001" hidden="1" customHeight="1" x14ac:dyDescent="0.25">
      <c r="A69" s="515"/>
      <c r="B69" s="501"/>
      <c r="C69" s="506"/>
      <c r="D69" s="431" t="str">
        <f>IF(Expense_Payroll_Detail=0,"Payroll","Total Payroll")</f>
        <v>Payroll</v>
      </c>
      <c r="E69" s="1381"/>
      <c r="F69" s="1379" t="str">
        <f t="shared" si="36"/>
        <v/>
      </c>
      <c r="G69" s="1380" t="str">
        <f t="shared" si="37"/>
        <v>N/A</v>
      </c>
      <c r="H69" s="1380"/>
      <c r="I69" s="1381"/>
      <c r="J69" s="1379" t="str">
        <f t="shared" si="38"/>
        <v/>
      </c>
      <c r="K69" s="1380" t="str">
        <f t="shared" si="39"/>
        <v>N/A</v>
      </c>
      <c r="L69" s="1380"/>
      <c r="M69" s="1381"/>
      <c r="N69" s="1379" t="str">
        <f t="shared" si="40"/>
        <v/>
      </c>
      <c r="O69" s="1380" t="str">
        <f t="shared" si="41"/>
        <v>N/A</v>
      </c>
      <c r="P69" s="1380"/>
      <c r="Q69" s="1381"/>
      <c r="R69" s="1379" t="str">
        <f t="shared" si="42"/>
        <v/>
      </c>
      <c r="S69" s="1380" t="str">
        <f t="shared" si="43"/>
        <v>N/A</v>
      </c>
      <c r="T69" s="506"/>
      <c r="U69" s="141"/>
      <c r="V69" s="976">
        <f>IF(AND(SUM(E69,I69,M69,Q69)=0, Expense_Payroll_Reimb=0,Expense_Payroll_NonReimb=0),0,1)</f>
        <v>0</v>
      </c>
      <c r="W69" s="330">
        <v>0</v>
      </c>
      <c r="X69" s="330">
        <v>0</v>
      </c>
      <c r="Y69" s="330">
        <v>0</v>
      </c>
      <c r="Z69" s="518"/>
      <c r="AA69" s="518"/>
    </row>
    <row r="70" spans="1:27" s="36" customFormat="1" ht="20.100000000000001" hidden="1" customHeight="1" x14ac:dyDescent="0.25">
      <c r="A70" s="707"/>
      <c r="B70" s="1376"/>
      <c r="C70" s="88"/>
      <c r="D70" s="353" t="s">
        <v>348</v>
      </c>
      <c r="E70" s="818"/>
      <c r="F70" s="822" t="str">
        <f t="shared" si="36"/>
        <v/>
      </c>
      <c r="G70" s="821" t="str">
        <f t="shared" si="37"/>
        <v>N/A</v>
      </c>
      <c r="H70" s="821"/>
      <c r="I70" s="818"/>
      <c r="J70" s="822" t="str">
        <f t="shared" si="38"/>
        <v/>
      </c>
      <c r="K70" s="821" t="str">
        <f t="shared" si="39"/>
        <v>N/A</v>
      </c>
      <c r="L70" s="821"/>
      <c r="M70" s="818"/>
      <c r="N70" s="822" t="str">
        <f t="shared" si="40"/>
        <v/>
      </c>
      <c r="O70" s="821" t="str">
        <f t="shared" si="41"/>
        <v>N/A</v>
      </c>
      <c r="P70" s="821"/>
      <c r="Q70" s="818"/>
      <c r="R70" s="822" t="str">
        <f t="shared" si="42"/>
        <v/>
      </c>
      <c r="S70" s="821" t="str">
        <f t="shared" si="43"/>
        <v>N/A</v>
      </c>
      <c r="T70" s="88"/>
      <c r="U70" s="1377"/>
      <c r="V70" s="972">
        <f>IF(AND(SUM(E70,I70,M70,Q70)=0, Expense_Security_Reimb=0,Expense_Security_NonReimb=0),0,1)</f>
        <v>0</v>
      </c>
      <c r="W70" s="243">
        <v>0</v>
      </c>
      <c r="X70" s="243">
        <v>0</v>
      </c>
      <c r="Y70" s="243"/>
      <c r="Z70" s="731"/>
      <c r="AA70" s="731"/>
    </row>
    <row r="71" spans="1:27" s="36" customFormat="1" ht="20.100000000000001" hidden="1" customHeight="1" x14ac:dyDescent="0.25">
      <c r="A71" s="707"/>
      <c r="B71" s="1376"/>
      <c r="C71" s="88"/>
      <c r="D71" s="353" t="s">
        <v>349</v>
      </c>
      <c r="E71" s="818"/>
      <c r="F71" s="822" t="str">
        <f t="shared" si="36"/>
        <v/>
      </c>
      <c r="G71" s="821" t="str">
        <f t="shared" si="37"/>
        <v>N/A</v>
      </c>
      <c r="H71" s="821"/>
      <c r="I71" s="818"/>
      <c r="J71" s="822" t="str">
        <f t="shared" si="38"/>
        <v/>
      </c>
      <c r="K71" s="821" t="str">
        <f t="shared" si="39"/>
        <v>N/A</v>
      </c>
      <c r="L71" s="821"/>
      <c r="M71" s="818"/>
      <c r="N71" s="822" t="str">
        <f t="shared" si="40"/>
        <v/>
      </c>
      <c r="O71" s="821" t="str">
        <f t="shared" si="41"/>
        <v>N/A</v>
      </c>
      <c r="P71" s="821"/>
      <c r="Q71" s="818"/>
      <c r="R71" s="822" t="str">
        <f t="shared" si="42"/>
        <v/>
      </c>
      <c r="S71" s="821" t="str">
        <f t="shared" si="43"/>
        <v>N/A</v>
      </c>
      <c r="T71" s="88"/>
      <c r="U71" s="1377"/>
      <c r="V71" s="972">
        <f>IF(AND(SUM(E71,I71,M71,Q71)=0, Expense_RoadsGrounds_Reimb=0,Expense_RoadsGrounds_NonReimb=0),0,1)</f>
        <v>0</v>
      </c>
      <c r="W71" s="243">
        <v>0</v>
      </c>
      <c r="X71" s="243">
        <v>0</v>
      </c>
      <c r="Y71" s="243"/>
      <c r="Z71" s="731"/>
      <c r="AA71" s="731"/>
    </row>
    <row r="72" spans="1:27" s="36" customFormat="1" ht="20.100000000000001" hidden="1" customHeight="1" x14ac:dyDescent="0.25">
      <c r="A72" s="707"/>
      <c r="B72" s="1376"/>
      <c r="C72" s="88"/>
      <c r="D72" s="353" t="s">
        <v>350</v>
      </c>
      <c r="E72" s="818"/>
      <c r="F72" s="822" t="str">
        <f t="shared" si="36"/>
        <v/>
      </c>
      <c r="G72" s="821" t="str">
        <f t="shared" si="37"/>
        <v>N/A</v>
      </c>
      <c r="H72" s="821"/>
      <c r="I72" s="818"/>
      <c r="J72" s="822" t="str">
        <f t="shared" si="38"/>
        <v/>
      </c>
      <c r="K72" s="821" t="str">
        <f t="shared" si="39"/>
        <v>N/A</v>
      </c>
      <c r="L72" s="821"/>
      <c r="M72" s="818"/>
      <c r="N72" s="822" t="str">
        <f t="shared" si="40"/>
        <v/>
      </c>
      <c r="O72" s="821" t="str">
        <f t="shared" si="41"/>
        <v>N/A</v>
      </c>
      <c r="P72" s="821"/>
      <c r="Q72" s="818"/>
      <c r="R72" s="822" t="str">
        <f t="shared" si="42"/>
        <v/>
      </c>
      <c r="S72" s="821" t="str">
        <f t="shared" si="43"/>
        <v>N/A</v>
      </c>
      <c r="T72" s="88"/>
      <c r="U72" s="1377"/>
      <c r="V72" s="972">
        <f>IF(AND(SUM(E72,I72,M72,Q72)=0, Expense_OtherOps_Reimb=0,Expense_OtherOps_NonReimb=0),0,1)</f>
        <v>0</v>
      </c>
      <c r="W72" s="243">
        <v>0</v>
      </c>
      <c r="X72" s="243">
        <v>0</v>
      </c>
      <c r="Y72" s="243"/>
      <c r="Z72" s="731"/>
      <c r="AA72" s="731"/>
    </row>
    <row r="73" spans="1:27" s="36" customFormat="1" ht="20.100000000000001" hidden="1" customHeight="1" x14ac:dyDescent="0.25">
      <c r="A73" s="707"/>
      <c r="B73" s="1376"/>
      <c r="C73" s="88"/>
      <c r="D73" s="353" t="s">
        <v>395</v>
      </c>
      <c r="E73" s="818">
        <v>9379.2</v>
      </c>
      <c r="F73" s="822" t="str">
        <f t="shared" si="36"/>
        <v/>
      </c>
      <c r="G73" s="821" t="str">
        <f t="shared" si="37"/>
        <v>N/A</v>
      </c>
      <c r="H73" s="821"/>
      <c r="I73" s="818">
        <v>20072.52</v>
      </c>
      <c r="J73" s="822" t="str">
        <f t="shared" si="38"/>
        <v/>
      </c>
      <c r="K73" s="821" t="str">
        <f t="shared" si="39"/>
        <v>N/A</v>
      </c>
      <c r="L73" s="821"/>
      <c r="M73" s="818"/>
      <c r="N73" s="822" t="str">
        <f t="shared" si="40"/>
        <v/>
      </c>
      <c r="O73" s="821" t="str">
        <f t="shared" si="41"/>
        <v>N/A</v>
      </c>
      <c r="P73" s="821"/>
      <c r="Q73" s="818"/>
      <c r="R73" s="822" t="str">
        <f t="shared" si="42"/>
        <v/>
      </c>
      <c r="S73" s="821" t="str">
        <f t="shared" si="43"/>
        <v>N/A</v>
      </c>
      <c r="T73" s="88"/>
      <c r="U73" s="1377"/>
      <c r="V73" s="972">
        <f>IF(AND(SUM(E73,I73,M73,Q73)=0, Expense_LandlordCosts_Reimb=0,Expense_LandlordCosts_NonReimb=0),0,1)</f>
        <v>1</v>
      </c>
      <c r="W73" s="243">
        <v>0</v>
      </c>
      <c r="X73" s="243">
        <v>1</v>
      </c>
      <c r="Y73" s="243"/>
      <c r="Z73" s="731"/>
      <c r="AA73" s="731"/>
    </row>
    <row r="74" spans="1:27" ht="20.100000000000001" hidden="1" customHeight="1" x14ac:dyDescent="0.25">
      <c r="B74" s="174"/>
      <c r="C74" s="18"/>
      <c r="D74" s="2981" t="s">
        <v>379</v>
      </c>
      <c r="E74" s="818"/>
      <c r="F74" s="822" t="str">
        <f>IF(E74&gt;0,E74/Subject_NRA,"")</f>
        <v/>
      </c>
      <c r="G74" s="824" t="str">
        <f t="shared" si="37"/>
        <v>N/A</v>
      </c>
      <c r="H74" s="821"/>
      <c r="I74" s="818"/>
      <c r="J74" s="822" t="str">
        <f>IF(I74&gt;0,I74/Subject_NRA,"")</f>
        <v/>
      </c>
      <c r="K74" s="824" t="str">
        <f t="shared" si="39"/>
        <v>N/A</v>
      </c>
      <c r="L74" s="821"/>
      <c r="M74" s="818"/>
      <c r="N74" s="822" t="str">
        <f>IF(M74&gt;0,M74/Subject_NRA,"")</f>
        <v/>
      </c>
      <c r="O74" s="824" t="str">
        <f t="shared" si="41"/>
        <v>N/A</v>
      </c>
      <c r="P74" s="821"/>
      <c r="Q74" s="818"/>
      <c r="R74" s="822" t="str">
        <f>IF(Q74&gt;0,Q74/Subject_NRA,"")</f>
        <v/>
      </c>
      <c r="S74" s="824" t="str">
        <f t="shared" si="43"/>
        <v>N/A</v>
      </c>
      <c r="T74" s="18"/>
      <c r="U74" s="74"/>
      <c r="V74" s="957">
        <f>IF(AND(SUM(E74,I74,M74,Q74)=0, Expense_ReplacementReserves_Reimb=0,Expense_ReplacementReserves_NonReimb=0),0,1)</f>
        <v>1</v>
      </c>
      <c r="W74" s="96">
        <v>0</v>
      </c>
      <c r="X74" s="96">
        <v>1</v>
      </c>
    </row>
    <row r="75" spans="1:27" x14ac:dyDescent="0.25">
      <c r="B75" s="174"/>
      <c r="C75" s="18"/>
      <c r="D75" s="2982" t="s">
        <v>371</v>
      </c>
      <c r="E75" s="829"/>
      <c r="F75" s="830" t="str">
        <f>IF(E75="","",E75/Subject_NRA)</f>
        <v/>
      </c>
      <c r="G75" s="831" t="str">
        <f t="shared" si="37"/>
        <v>N/A</v>
      </c>
      <c r="H75" s="179"/>
      <c r="I75" s="829"/>
      <c r="J75" s="830" t="str">
        <f>IF(I75="","",I75/Subject_NRA)</f>
        <v/>
      </c>
      <c r="K75" s="831" t="str">
        <f t="shared" si="39"/>
        <v>N/A</v>
      </c>
      <c r="L75" s="179"/>
      <c r="M75" s="829"/>
      <c r="N75" s="830" t="str">
        <f>IF(M75="","",M75/Subject_NRA)</f>
        <v/>
      </c>
      <c r="O75" s="831" t="str">
        <f t="shared" si="41"/>
        <v>N/A</v>
      </c>
      <c r="P75" s="179"/>
      <c r="Q75" s="829"/>
      <c r="R75" s="830" t="str">
        <f>IF(Q75="","",Q75/Subject_NRA)</f>
        <v/>
      </c>
      <c r="S75" s="831" t="str">
        <f t="shared" si="43"/>
        <v>N/A</v>
      </c>
      <c r="T75" s="18"/>
      <c r="U75" s="74"/>
      <c r="V75" s="957">
        <v>1</v>
      </c>
    </row>
    <row r="76" spans="1:27" ht="15" thickBot="1" x14ac:dyDescent="0.3">
      <c r="B76" s="174"/>
      <c r="C76" s="18"/>
      <c r="D76" s="354" t="s">
        <v>386</v>
      </c>
      <c r="E76" s="832">
        <f>E18-E75</f>
        <v>0</v>
      </c>
      <c r="F76" s="833" t="str">
        <f>IF(E76&lt;&gt;0,E76/Subject_NRA,"")</f>
        <v/>
      </c>
      <c r="G76" s="834" t="str">
        <f t="shared" si="37"/>
        <v>N/A</v>
      </c>
      <c r="H76" s="835"/>
      <c r="I76" s="832">
        <f>I18-I75</f>
        <v>0</v>
      </c>
      <c r="J76" s="833" t="str">
        <f>IF(I76&lt;&gt;0,I76/Subject_NRA,"")</f>
        <v/>
      </c>
      <c r="K76" s="834" t="str">
        <f t="shared" si="39"/>
        <v>N/A</v>
      </c>
      <c r="L76" s="835"/>
      <c r="M76" s="832">
        <f>M18-M75</f>
        <v>0</v>
      </c>
      <c r="N76" s="833" t="str">
        <f>IF(M76&lt;&gt;0,M76/Subject_NRA,"")</f>
        <v/>
      </c>
      <c r="O76" s="834" t="str">
        <f t="shared" si="41"/>
        <v>N/A</v>
      </c>
      <c r="P76" s="835"/>
      <c r="Q76" s="832">
        <f>Q18-Q75</f>
        <v>0</v>
      </c>
      <c r="R76" s="833" t="str">
        <f>IF(Q76&lt;&gt;0,Q76/Subject_NRA,"")</f>
        <v/>
      </c>
      <c r="S76" s="834" t="str">
        <f t="shared" si="43"/>
        <v>N/A</v>
      </c>
      <c r="T76" s="18"/>
      <c r="U76" s="74"/>
      <c r="V76" s="957">
        <v>1</v>
      </c>
    </row>
    <row r="77" spans="1:27" ht="15" thickBot="1" x14ac:dyDescent="0.3">
      <c r="B77" s="175"/>
      <c r="C77" s="75"/>
      <c r="D77" s="553" t="s">
        <v>894</v>
      </c>
      <c r="E77" s="836"/>
      <c r="F77" s="836"/>
      <c r="G77" s="836"/>
      <c r="H77" s="836"/>
      <c r="I77" s="836"/>
      <c r="J77" s="836"/>
      <c r="K77" s="836"/>
      <c r="L77" s="836"/>
      <c r="M77" s="836"/>
      <c r="N77" s="836"/>
      <c r="O77" s="836"/>
      <c r="P77" s="836"/>
      <c r="Q77" s="836"/>
      <c r="R77" s="836"/>
      <c r="S77" s="836"/>
      <c r="T77" s="75"/>
      <c r="U77" s="76"/>
    </row>
    <row r="78" spans="1:27" s="32" customFormat="1" x14ac:dyDescent="0.25">
      <c r="A78" s="41"/>
      <c r="E78" s="971">
        <f>IF(E76=0,0,1)</f>
        <v>0</v>
      </c>
      <c r="F78" s="971">
        <f>E78</f>
        <v>0</v>
      </c>
      <c r="G78" s="971">
        <f>E78</f>
        <v>0</v>
      </c>
      <c r="H78" s="971">
        <f>I78</f>
        <v>0</v>
      </c>
      <c r="I78" s="971">
        <f>IF(I76=0,0,1)</f>
        <v>0</v>
      </c>
      <c r="J78" s="971">
        <f>I78</f>
        <v>0</v>
      </c>
      <c r="K78" s="971">
        <f>I78</f>
        <v>0</v>
      </c>
      <c r="L78" s="971">
        <f>M78</f>
        <v>0</v>
      </c>
      <c r="M78" s="971">
        <f>IF(M76=0,0,1)</f>
        <v>0</v>
      </c>
      <c r="N78" s="971">
        <f>M78</f>
        <v>0</v>
      </c>
      <c r="O78" s="971">
        <f>M78</f>
        <v>0</v>
      </c>
      <c r="P78" s="971">
        <f>Q78</f>
        <v>0</v>
      </c>
      <c r="Q78" s="971">
        <f>IF(Q76=0,0,1)</f>
        <v>0</v>
      </c>
      <c r="R78" s="971">
        <f>Q78</f>
        <v>0</v>
      </c>
      <c r="S78" s="971">
        <f>Q78</f>
        <v>0</v>
      </c>
      <c r="W78" s="96"/>
      <c r="X78" s="96"/>
      <c r="Y78" s="96"/>
      <c r="Z78" s="11"/>
      <c r="AA78" s="11"/>
    </row>
  </sheetData>
  <mergeCells count="24">
    <mergeCell ref="E5:G5"/>
    <mergeCell ref="Q5:S5"/>
    <mergeCell ref="M5:O5"/>
    <mergeCell ref="I5:K5"/>
    <mergeCell ref="E7:G7"/>
    <mergeCell ref="M7:O7"/>
    <mergeCell ref="I7:K7"/>
    <mergeCell ref="Q7:S7"/>
    <mergeCell ref="E10:G10"/>
    <mergeCell ref="I10:K10"/>
    <mergeCell ref="M10:O10"/>
    <mergeCell ref="Q10:S10"/>
    <mergeCell ref="E6:G6"/>
    <mergeCell ref="I6:K6"/>
    <mergeCell ref="M6:O6"/>
    <mergeCell ref="Q6:S6"/>
    <mergeCell ref="E8:G8"/>
    <mergeCell ref="E9:G9"/>
    <mergeCell ref="I8:K8"/>
    <mergeCell ref="I9:K9"/>
    <mergeCell ref="M8:O8"/>
    <mergeCell ref="M9:O9"/>
    <mergeCell ref="Q8:S8"/>
    <mergeCell ref="Q9:S9"/>
  </mergeCells>
  <printOptions horizontalCentered="1"/>
  <pageMargins left="0.5" right="0.5" top="0.75" bottom="0.75" header="0.3" footer="0.3"/>
  <pageSetup orientation="landscape" r:id="rId1"/>
  <drawing r:id="rId2"/>
  <legacyDrawing r:id="rId3"/>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27">
    <tabColor theme="5" tint="-0.249977111117893"/>
    <pageSetUpPr fitToPage="1"/>
  </sheetPr>
  <dimension ref="A1:AA77"/>
  <sheetViews>
    <sheetView zoomScaleNormal="100" workbookViewId="0">
      <selection activeCell="C4" sqref="C4:X75"/>
    </sheetView>
  </sheetViews>
  <sheetFormatPr defaultColWidth="9.140625" defaultRowHeight="14.25" x14ac:dyDescent="0.25"/>
  <cols>
    <col min="1" max="1" width="5.7109375" style="41" customWidth="1"/>
    <col min="2" max="2" width="1.7109375" style="10" customWidth="1"/>
    <col min="3" max="3" width="0.85546875" style="10" customWidth="1"/>
    <col min="4" max="4" width="28.7109375" style="42" customWidth="1"/>
    <col min="5" max="5" width="10.7109375" style="37" hidden="1" customWidth="1"/>
    <col min="6" max="6" width="7.7109375" style="37" hidden="1" customWidth="1"/>
    <col min="7" max="7" width="8.7109375" style="837" hidden="1" customWidth="1"/>
    <col min="8" max="8" width="1.7109375" style="37" hidden="1" customWidth="1"/>
    <col min="9" max="9" width="10.7109375" style="37" hidden="1" customWidth="1"/>
    <col min="10" max="10" width="7.7109375" style="37" hidden="1" customWidth="1"/>
    <col min="11" max="11" width="8.7109375" style="838" hidden="1" customWidth="1"/>
    <col min="12" max="12" width="1.7109375" style="37" hidden="1" customWidth="1"/>
    <col min="13" max="13" width="10.7109375" style="37" hidden="1" customWidth="1"/>
    <col min="14" max="14" width="7.7109375" style="37" hidden="1" customWidth="1"/>
    <col min="15" max="15" width="8.7109375" style="838" hidden="1" customWidth="1"/>
    <col min="16" max="16" width="1.7109375" style="838" hidden="1" customWidth="1"/>
    <col min="17" max="17" width="10.7109375" style="838" hidden="1" customWidth="1"/>
    <col min="18" max="18" width="7.7109375" style="838" hidden="1" customWidth="1"/>
    <col min="19" max="19" width="8.7109375" style="838" hidden="1" customWidth="1"/>
    <col min="20" max="20" width="1.7109375" style="838" hidden="1" customWidth="1"/>
    <col min="21" max="21" width="10.7109375" style="838" hidden="1" customWidth="1"/>
    <col min="22" max="22" width="7.7109375" style="838" hidden="1" customWidth="1"/>
    <col min="23" max="23" width="8.7109375" style="838" hidden="1" customWidth="1"/>
    <col min="24" max="24" width="0.85546875" style="10" customWidth="1"/>
    <col min="25" max="25" width="1.7109375" style="10" customWidth="1"/>
    <col min="26" max="27" width="9.140625" style="32"/>
    <col min="28" max="16384" width="9.140625" style="182"/>
  </cols>
  <sheetData>
    <row r="1" spans="2:27" ht="60" customHeight="1" x14ac:dyDescent="0.25"/>
    <row r="2" spans="2:27" ht="62.25" customHeight="1" thickBot="1" x14ac:dyDescent="0.3"/>
    <row r="3" spans="2:27" x14ac:dyDescent="0.25">
      <c r="B3" s="1"/>
      <c r="C3" s="2"/>
      <c r="D3" s="72"/>
      <c r="E3" s="123"/>
      <c r="F3" s="123"/>
      <c r="G3" s="839"/>
      <c r="H3" s="123"/>
      <c r="I3" s="123"/>
      <c r="J3" s="123"/>
      <c r="K3" s="840"/>
      <c r="L3" s="123"/>
      <c r="M3" s="123"/>
      <c r="N3" s="123"/>
      <c r="O3" s="840"/>
      <c r="P3" s="840"/>
      <c r="Q3" s="840"/>
      <c r="R3" s="840"/>
      <c r="S3" s="840"/>
      <c r="T3" s="840"/>
      <c r="U3" s="840"/>
      <c r="V3" s="840"/>
      <c r="W3" s="840"/>
      <c r="X3" s="2"/>
      <c r="Y3" s="3"/>
    </row>
    <row r="4" spans="2:27" ht="15.95" customHeight="1" x14ac:dyDescent="0.25">
      <c r="B4" s="4"/>
      <c r="C4" s="5"/>
      <c r="D4" s="430" t="s">
        <v>370</v>
      </c>
      <c r="E4" s="841"/>
      <c r="F4" s="841"/>
      <c r="G4" s="842"/>
      <c r="H4" s="841"/>
      <c r="I4" s="841"/>
      <c r="J4" s="841"/>
      <c r="K4" s="843"/>
      <c r="L4" s="841"/>
      <c r="M4" s="841"/>
      <c r="N4" s="841"/>
      <c r="O4" s="843"/>
      <c r="P4" s="843"/>
      <c r="Q4" s="843"/>
      <c r="R4" s="843"/>
      <c r="S4" s="843"/>
      <c r="T4" s="843"/>
      <c r="U4" s="843"/>
      <c r="V4" s="843"/>
      <c r="W4" s="843"/>
      <c r="X4" s="5"/>
      <c r="Y4" s="6"/>
    </row>
    <row r="5" spans="2:27" x14ac:dyDescent="0.25">
      <c r="B5" s="4"/>
      <c r="D5" s="667" t="s">
        <v>436</v>
      </c>
      <c r="E5" s="4296" t="s">
        <v>1417</v>
      </c>
      <c r="F5" s="4296"/>
      <c r="G5" s="4272"/>
      <c r="H5" s="165"/>
      <c r="I5" s="4296" t="s">
        <v>1418</v>
      </c>
      <c r="J5" s="4296"/>
      <c r="K5" s="4272"/>
      <c r="L5" s="165"/>
      <c r="M5" s="4296" t="s">
        <v>1419</v>
      </c>
      <c r="N5" s="4296"/>
      <c r="O5" s="4272"/>
      <c r="P5" s="165"/>
      <c r="Q5" s="4296" t="s">
        <v>1420</v>
      </c>
      <c r="R5" s="4296"/>
      <c r="S5" s="4272"/>
      <c r="T5" s="165"/>
      <c r="U5" s="4296" t="s">
        <v>1421</v>
      </c>
      <c r="V5" s="4296"/>
      <c r="W5" s="4272"/>
      <c r="X5" s="165"/>
      <c r="Y5" s="6"/>
      <c r="Z5" s="957">
        <v>1</v>
      </c>
      <c r="AA5" s="957">
        <v>1</v>
      </c>
    </row>
    <row r="6" spans="2:27" ht="15" customHeight="1" x14ac:dyDescent="0.25">
      <c r="B6" s="4"/>
      <c r="C6" s="5"/>
      <c r="D6" s="184" t="s">
        <v>704</v>
      </c>
      <c r="E6" s="4297"/>
      <c r="F6" s="4297"/>
      <c r="G6" s="4298"/>
      <c r="H6" s="863"/>
      <c r="I6" s="4297"/>
      <c r="J6" s="4297"/>
      <c r="K6" s="4298"/>
      <c r="L6" s="863"/>
      <c r="M6" s="4297"/>
      <c r="N6" s="4297"/>
      <c r="O6" s="4298"/>
      <c r="P6" s="863"/>
      <c r="Q6" s="4297"/>
      <c r="R6" s="4297"/>
      <c r="S6" s="4298"/>
      <c r="T6" s="863"/>
      <c r="U6" s="4297"/>
      <c r="V6" s="4297"/>
      <c r="W6" s="4298"/>
      <c r="X6" s="5"/>
      <c r="Y6" s="6"/>
      <c r="Z6" s="957">
        <v>1</v>
      </c>
      <c r="AA6" s="957">
        <v>1</v>
      </c>
    </row>
    <row r="7" spans="2:27" ht="15" customHeight="1" x14ac:dyDescent="0.25">
      <c r="B7" s="4"/>
      <c r="C7" s="5"/>
      <c r="D7" s="184" t="s">
        <v>95</v>
      </c>
      <c r="E7" s="4298"/>
      <c r="F7" s="4298"/>
      <c r="G7" s="4298"/>
      <c r="H7" s="863"/>
      <c r="I7" s="4298"/>
      <c r="J7" s="4298"/>
      <c r="K7" s="4298"/>
      <c r="L7" s="863"/>
      <c r="M7" s="4298"/>
      <c r="N7" s="4298"/>
      <c r="O7" s="4298"/>
      <c r="P7" s="863"/>
      <c r="Q7" s="4298"/>
      <c r="R7" s="4298"/>
      <c r="S7" s="4298"/>
      <c r="T7" s="863"/>
      <c r="U7" s="4298"/>
      <c r="V7" s="4298"/>
      <c r="W7" s="4298"/>
      <c r="X7" s="5"/>
      <c r="Y7" s="6"/>
      <c r="Z7" s="957">
        <v>1</v>
      </c>
      <c r="AA7" s="957">
        <v>1</v>
      </c>
    </row>
    <row r="8" spans="2:27" ht="15" customHeight="1" x14ac:dyDescent="0.25">
      <c r="B8" s="4"/>
      <c r="C8" s="5"/>
      <c r="D8" s="184" t="s">
        <v>308</v>
      </c>
      <c r="E8" s="4298"/>
      <c r="F8" s="4298"/>
      <c r="G8" s="4298"/>
      <c r="H8" s="863"/>
      <c r="I8" s="4298"/>
      <c r="J8" s="4298"/>
      <c r="K8" s="4298"/>
      <c r="L8" s="863"/>
      <c r="M8" s="4298"/>
      <c r="N8" s="4298"/>
      <c r="O8" s="4298"/>
      <c r="P8" s="863"/>
      <c r="Q8" s="4298"/>
      <c r="R8" s="4298"/>
      <c r="S8" s="4298"/>
      <c r="T8" s="863"/>
      <c r="U8" s="4298"/>
      <c r="V8" s="4298"/>
      <c r="W8" s="4298"/>
      <c r="X8" s="5"/>
      <c r="Y8" s="6"/>
      <c r="Z8" s="957">
        <v>1</v>
      </c>
      <c r="AA8" s="957">
        <v>1</v>
      </c>
    </row>
    <row r="9" spans="2:27" ht="15" customHeight="1" x14ac:dyDescent="0.25">
      <c r="B9" s="4"/>
      <c r="C9" s="5"/>
      <c r="D9" s="184" t="s">
        <v>375</v>
      </c>
      <c r="E9" s="4298">
        <f>IF(E12="Yes",CONCATENATE(E11," - ",E13,"-months Annualized"),E11)</f>
        <v>0</v>
      </c>
      <c r="F9" s="4298"/>
      <c r="G9" s="4298"/>
      <c r="H9" s="864"/>
      <c r="I9" s="4298">
        <f>IF(I12="Yes",CONCATENATE(I11," - ",I13,"-months Annualized"),I11)</f>
        <v>0</v>
      </c>
      <c r="J9" s="4298"/>
      <c r="K9" s="4298"/>
      <c r="L9" s="864"/>
      <c r="M9" s="4298">
        <f>IF(M12="Yes",CONCATENATE(M11," - ",M13,"-months Annualized"),M11)</f>
        <v>0</v>
      </c>
      <c r="N9" s="4298"/>
      <c r="O9" s="4298"/>
      <c r="P9" s="863"/>
      <c r="Q9" s="4298">
        <f>IF(Q12="Yes",CONCATENATE(Q11," - ",Q13,"-months Annualized"),Q11)</f>
        <v>0</v>
      </c>
      <c r="R9" s="4298"/>
      <c r="S9" s="4298"/>
      <c r="T9" s="863"/>
      <c r="U9" s="4298">
        <f>IF(U12="Yes",CONCATENATE(U11," - ",U13,"-months Annualized"),U11)</f>
        <v>0</v>
      </c>
      <c r="V9" s="4298"/>
      <c r="W9" s="4298"/>
      <c r="X9" s="5"/>
      <c r="Y9" s="6"/>
      <c r="Z9" s="957">
        <v>1</v>
      </c>
      <c r="AA9" s="957">
        <v>1</v>
      </c>
    </row>
    <row r="10" spans="2:27" ht="15" customHeight="1" x14ac:dyDescent="0.25">
      <c r="B10" s="4"/>
      <c r="C10" s="5"/>
      <c r="D10" s="184" t="s">
        <v>1199</v>
      </c>
      <c r="E10" s="4294"/>
      <c r="F10" s="4294"/>
      <c r="G10" s="4294"/>
      <c r="H10" s="864"/>
      <c r="I10" s="4294"/>
      <c r="J10" s="4294"/>
      <c r="K10" s="4294"/>
      <c r="L10" s="864"/>
      <c r="M10" s="4294"/>
      <c r="N10" s="4294"/>
      <c r="O10" s="4294"/>
      <c r="P10" s="864"/>
      <c r="Q10" s="4294"/>
      <c r="R10" s="4294"/>
      <c r="S10" s="4294"/>
      <c r="T10" s="864"/>
      <c r="U10" s="4294"/>
      <c r="V10" s="4294"/>
      <c r="W10" s="4294"/>
      <c r="X10" s="5"/>
      <c r="Y10" s="6"/>
      <c r="Z10" s="957">
        <v>1</v>
      </c>
      <c r="AA10" s="957">
        <v>1</v>
      </c>
    </row>
    <row r="11" spans="2:27" ht="15" hidden="1" customHeight="1" x14ac:dyDescent="0.25">
      <c r="B11" s="4"/>
      <c r="C11" s="5"/>
      <c r="D11" s="347" t="s">
        <v>375</v>
      </c>
      <c r="E11" s="4291"/>
      <c r="F11" s="4291"/>
      <c r="G11" s="4291"/>
      <c r="H11" s="865"/>
      <c r="I11" s="4291"/>
      <c r="J11" s="4291"/>
      <c r="K11" s="4291"/>
      <c r="L11" s="865"/>
      <c r="M11" s="4291"/>
      <c r="N11" s="4291"/>
      <c r="O11" s="4291"/>
      <c r="P11" s="865"/>
      <c r="Q11" s="4291"/>
      <c r="R11" s="4291"/>
      <c r="S11" s="4291"/>
      <c r="T11" s="865"/>
      <c r="U11" s="4291"/>
      <c r="V11" s="4291"/>
      <c r="W11" s="4291"/>
      <c r="X11" s="5"/>
      <c r="Y11" s="6"/>
      <c r="Z11" s="957">
        <v>0</v>
      </c>
      <c r="AA11" s="957">
        <v>0</v>
      </c>
    </row>
    <row r="12" spans="2:27" ht="15" hidden="1" customHeight="1" x14ac:dyDescent="0.25">
      <c r="B12" s="4"/>
      <c r="C12" s="5"/>
      <c r="D12" s="347" t="s">
        <v>373</v>
      </c>
      <c r="E12" s="4291"/>
      <c r="F12" s="4291"/>
      <c r="G12" s="4291"/>
      <c r="H12" s="865"/>
      <c r="I12" s="4291"/>
      <c r="J12" s="4291"/>
      <c r="K12" s="4291"/>
      <c r="L12" s="865"/>
      <c r="M12" s="4291"/>
      <c r="N12" s="4291"/>
      <c r="O12" s="4291"/>
      <c r="P12" s="865"/>
      <c r="Q12" s="4291"/>
      <c r="R12" s="4291"/>
      <c r="S12" s="4291"/>
      <c r="T12" s="865"/>
      <c r="U12" s="4291"/>
      <c r="V12" s="4291"/>
      <c r="W12" s="4291"/>
      <c r="X12" s="5"/>
      <c r="Y12" s="6"/>
      <c r="Z12" s="957">
        <v>0</v>
      </c>
      <c r="AA12" s="957">
        <v>0</v>
      </c>
    </row>
    <row r="13" spans="2:27" ht="15" hidden="1" customHeight="1" x14ac:dyDescent="0.25">
      <c r="B13" s="4"/>
      <c r="C13" s="5"/>
      <c r="D13" s="347" t="s">
        <v>374</v>
      </c>
      <c r="E13" s="4292"/>
      <c r="F13" s="4292"/>
      <c r="G13" s="4292"/>
      <c r="H13" s="866"/>
      <c r="I13" s="4292"/>
      <c r="J13" s="4292"/>
      <c r="K13" s="4292"/>
      <c r="L13" s="866"/>
      <c r="M13" s="4292"/>
      <c r="N13" s="4292"/>
      <c r="O13" s="4292"/>
      <c r="P13" s="866"/>
      <c r="Q13" s="4292"/>
      <c r="R13" s="4292"/>
      <c r="S13" s="4292"/>
      <c r="T13" s="866"/>
      <c r="U13" s="4292"/>
      <c r="V13" s="4292"/>
      <c r="W13" s="4292"/>
      <c r="X13" s="5"/>
      <c r="Y13" s="6"/>
      <c r="Z13" s="957">
        <v>0</v>
      </c>
      <c r="AA13" s="957">
        <v>0</v>
      </c>
    </row>
    <row r="14" spans="2:27" ht="15" customHeight="1" x14ac:dyDescent="0.25">
      <c r="B14" s="4"/>
      <c r="C14" s="5"/>
      <c r="D14" s="184" t="s">
        <v>268</v>
      </c>
      <c r="E14" s="4295"/>
      <c r="F14" s="4295"/>
      <c r="G14" s="4295"/>
      <c r="H14" s="867"/>
      <c r="I14" s="4295"/>
      <c r="J14" s="4295"/>
      <c r="K14" s="4295"/>
      <c r="L14" s="867"/>
      <c r="M14" s="4295"/>
      <c r="N14" s="4295"/>
      <c r="O14" s="4295"/>
      <c r="P14" s="867"/>
      <c r="Q14" s="4295"/>
      <c r="R14" s="4295"/>
      <c r="S14" s="4295"/>
      <c r="T14" s="867"/>
      <c r="U14" s="4295"/>
      <c r="V14" s="4295"/>
      <c r="W14" s="4295"/>
      <c r="X14" s="5"/>
      <c r="Y14" s="6"/>
      <c r="Z14" s="957">
        <v>1</v>
      </c>
      <c r="AA14" s="957">
        <v>1</v>
      </c>
    </row>
    <row r="15" spans="2:27" ht="15" hidden="1" customHeight="1" x14ac:dyDescent="0.25">
      <c r="B15" s="4"/>
      <c r="C15" s="5"/>
      <c r="D15" s="184" t="s">
        <v>206</v>
      </c>
      <c r="E15" s="4293"/>
      <c r="F15" s="4293"/>
      <c r="G15" s="4293"/>
      <c r="H15" s="868"/>
      <c r="I15" s="4293"/>
      <c r="J15" s="4293"/>
      <c r="K15" s="4293"/>
      <c r="L15" s="868"/>
      <c r="M15" s="4293"/>
      <c r="N15" s="4293"/>
      <c r="O15" s="4293"/>
      <c r="P15" s="868"/>
      <c r="Q15" s="4293"/>
      <c r="R15" s="4293"/>
      <c r="S15" s="4293"/>
      <c r="T15" s="868"/>
      <c r="U15" s="4293"/>
      <c r="V15" s="4293"/>
      <c r="W15" s="4293"/>
      <c r="X15" s="5"/>
      <c r="Y15" s="6"/>
      <c r="Z15" s="957">
        <v>0</v>
      </c>
      <c r="AA15" s="957">
        <v>0</v>
      </c>
    </row>
    <row r="16" spans="2:27" ht="15" customHeight="1" x14ac:dyDescent="0.25">
      <c r="B16" s="4"/>
      <c r="C16" s="5"/>
      <c r="D16" s="184" t="s">
        <v>441</v>
      </c>
      <c r="E16" s="4293" t="str">
        <f>CONCATENATE(IF(E15&lt;70000,TEXT(MROUND(IF(AND(E15&lt;10000,E15&gt;2499),E15-2500,IF(E15&lt;10000,E15,E15-5000)),5000),"#,##0" ),IF(E15&gt;249999,TEXT(MROUND(E15-50000,50000),"#,##0"),TEXT(MROUND(E15-25000,25000),"#,##0")))," SF to ",IF(E15&lt;70000,TEXT(MROUND(E15+5000,5000),"#,###" ),IF(E15&gt;249999,TEXT(MROUND(E15+50000,50000),"#,##0"),TEXT(MROUND(E15+25000,25000),"#,##0")))," SF")</f>
        <v>0 SF to 5,000 SF</v>
      </c>
      <c r="F16" s="4293"/>
      <c r="G16" s="4293"/>
      <c r="H16" s="868"/>
      <c r="I16" s="4293" t="str">
        <f>CONCATENATE(IF(I15&lt;70000,TEXT(MROUND(IF(AND(I15&lt;10000,I15&gt;2499),I15-2500,IF(I15&lt;10000,I15,I15-5000)),5000),"#,##0" ),IF(I15&gt;249999,TEXT(MROUND(I15-50000,50000),"#,##0"),TEXT(MROUND(I15-25000,25000),"#,##0")))," SF to ",IF(I15&lt;70000,TEXT(MROUND(I15+5000,5000),"#,###" ),IF(I15&gt;249999,TEXT(MROUND(I15+50000,50000),"#,##0"),TEXT(MROUND(I15+25000,25000),"#,##0")))," SF")</f>
        <v>0 SF to 5,000 SF</v>
      </c>
      <c r="J16" s="4293"/>
      <c r="K16" s="4293"/>
      <c r="L16" s="868"/>
      <c r="M16" s="4293" t="str">
        <f>CONCATENATE(IF(M15&lt;70000,TEXT(MROUND(IF(AND(M15&lt;10000,M15&gt;2499),M15-2500,IF(M15&lt;10000,M15,M15-5000)),5000),"#,##0" ),IF(M15&gt;249999,TEXT(MROUND(M15-50000,50000),"#,##0"),TEXT(MROUND(M15-25000,25000),"#,##0")))," SF to ",IF(M15&lt;70000,TEXT(MROUND(M15+5000,5000),"#,###" ),IF(M15&gt;249999,TEXT(MROUND(M15+50000,50000),"#,##0"),TEXT(MROUND(M15+25000,25000),"#,##0")))," SF")</f>
        <v>0 SF to 5,000 SF</v>
      </c>
      <c r="N16" s="4293"/>
      <c r="O16" s="4293"/>
      <c r="P16" s="868"/>
      <c r="Q16" s="4293" t="str">
        <f>CONCATENATE(IF(Q15&lt;70000,TEXT(MROUND(IF(AND(Q15&lt;10000,Q15&gt;2499),Q15-2500,IF(Q15&lt;10000,Q15,Q15-5000)),5000),"#,##0" ),IF(Q15&gt;249999,TEXT(MROUND(Q15-50000,50000),"#,##0"),TEXT(MROUND(Q15-25000,25000),"#,##0")))," SF to ",IF(Q15&lt;70000,TEXT(MROUND(Q15+5000,5000),"#,###" ),IF(Q15&gt;249999,TEXT(MROUND(Q15+50000,50000),"#,##0"),TEXT(MROUND(Q15+25000,25000),"#,##0")))," SF")</f>
        <v>0 SF to 5,000 SF</v>
      </c>
      <c r="R16" s="4293"/>
      <c r="S16" s="4293"/>
      <c r="T16" s="868"/>
      <c r="U16" s="4293" t="str">
        <f>CONCATENATE(IF(U15&lt;70000,TEXT(MROUND(IF(AND(U15&lt;10000,U15&gt;2499),U15-2500,IF(U15&lt;10000,U15,U15-5000)),5000),"#,##0" ),IF(U15&gt;249999,TEXT(MROUND(U15-50000,50000),"#,##0"),TEXT(MROUND(U15-25000,25000),"#,##0")))," SF to ",IF(U15&lt;70000,TEXT(MROUND(U15+5000,5000),"#,###" ),IF(U15&gt;249999,TEXT(MROUND(U15+50000,50000),"#,##0"),TEXT(MROUND(U15+25000,25000),"#,##0")))," SF")</f>
        <v>0 SF to 5,000 SF</v>
      </c>
      <c r="V16" s="4293"/>
      <c r="W16" s="4293"/>
      <c r="X16" s="5"/>
      <c r="Y16" s="6"/>
      <c r="Z16" s="957">
        <v>1</v>
      </c>
      <c r="AA16" s="957">
        <v>1</v>
      </c>
    </row>
    <row r="17" spans="1:27" ht="20.100000000000001" customHeight="1" x14ac:dyDescent="0.25">
      <c r="B17" s="4"/>
      <c r="C17" s="5"/>
      <c r="D17" s="184"/>
      <c r="E17" s="816" t="s">
        <v>331</v>
      </c>
      <c r="F17" s="816" t="s">
        <v>44</v>
      </c>
      <c r="G17" s="817" t="str">
        <f>"% of EGI"</f>
        <v>% of EGI</v>
      </c>
      <c r="H17" s="844"/>
      <c r="I17" s="816" t="s">
        <v>331</v>
      </c>
      <c r="J17" s="816" t="s">
        <v>44</v>
      </c>
      <c r="K17" s="817" t="str">
        <f>"% of EGI"</f>
        <v>% of EGI</v>
      </c>
      <c r="L17" s="844"/>
      <c r="M17" s="816" t="s">
        <v>331</v>
      </c>
      <c r="N17" s="816" t="s">
        <v>44</v>
      </c>
      <c r="O17" s="817" t="str">
        <f>"% of EGI"</f>
        <v>% of EGI</v>
      </c>
      <c r="P17" s="845"/>
      <c r="Q17" s="816" t="s">
        <v>331</v>
      </c>
      <c r="R17" s="816" t="s">
        <v>44</v>
      </c>
      <c r="S17" s="817" t="str">
        <f>"% of EGI"</f>
        <v>% of EGI</v>
      </c>
      <c r="T17" s="845"/>
      <c r="U17" s="816" t="s">
        <v>331</v>
      </c>
      <c r="V17" s="816" t="s">
        <v>44</v>
      </c>
      <c r="W17" s="817" t="str">
        <f>"% of EGI"</f>
        <v>% of EGI</v>
      </c>
      <c r="X17" s="5"/>
      <c r="Y17" s="6"/>
      <c r="Z17" s="957">
        <v>1</v>
      </c>
      <c r="AA17" s="957">
        <v>1</v>
      </c>
    </row>
    <row r="18" spans="1:27" x14ac:dyDescent="0.25">
      <c r="B18" s="4"/>
      <c r="C18" s="5"/>
      <c r="D18" s="184" t="s">
        <v>329</v>
      </c>
      <c r="E18" s="846"/>
      <c r="F18" s="826" t="str">
        <f>IF(E$15&gt;0,IF(E18&gt;0,E18/E$15,""),"")</f>
        <v/>
      </c>
      <c r="G18" s="179" t="str">
        <f>IF(E$18&gt;0,IF(E18&gt;0,E18/E$18,""),"")</f>
        <v/>
      </c>
      <c r="H18" s="847"/>
      <c r="I18" s="846"/>
      <c r="J18" s="826" t="str">
        <f>IF(I$15&gt;0,IF(I18&gt;0,I18/I$15,""),"")</f>
        <v/>
      </c>
      <c r="K18" s="179" t="str">
        <f>IF(I$18&gt;0,IF(I18&gt;0,I18/I$18,""),"")</f>
        <v/>
      </c>
      <c r="L18" s="847"/>
      <c r="M18" s="846"/>
      <c r="N18" s="826" t="str">
        <f>IF(M$15&gt;0,IF(M18&gt;0,M18/M$15,""),"")</f>
        <v/>
      </c>
      <c r="O18" s="179" t="str">
        <f>IF(M$18&gt;0,IF(M18&gt;0,M18/M$18,""),"")</f>
        <v/>
      </c>
      <c r="P18" s="179"/>
      <c r="Q18" s="846"/>
      <c r="R18" s="826" t="str">
        <f>IF(Q$15&gt;0,IF(Q18&gt;0,Q18/Q$15,""),"")</f>
        <v/>
      </c>
      <c r="S18" s="179" t="str">
        <f>IF(Q$18&gt;0,IF(Q18&gt;0,Q18/Q$18,""),"")</f>
        <v/>
      </c>
      <c r="T18" s="179"/>
      <c r="U18" s="846"/>
      <c r="V18" s="826" t="str">
        <f>IF(U$15&gt;0,IF(U18&gt;0,U18/U$15,""),"")</f>
        <v/>
      </c>
      <c r="W18" s="179" t="str">
        <f>IF(U$18&gt;0,IF(U18&gt;0,U18/U$18,""),"")</f>
        <v/>
      </c>
      <c r="X18" s="5"/>
      <c r="Y18" s="6"/>
      <c r="Z18" s="957">
        <v>1</v>
      </c>
      <c r="AA18" s="957">
        <v>0</v>
      </c>
    </row>
    <row r="19" spans="1:27" ht="20.100000000000001" customHeight="1" x14ac:dyDescent="0.25">
      <c r="B19" s="4"/>
      <c r="C19" s="5"/>
      <c r="D19" s="309" t="s">
        <v>330</v>
      </c>
      <c r="E19" s="848"/>
      <c r="F19" s="849"/>
      <c r="G19" s="845"/>
      <c r="H19" s="844"/>
      <c r="I19" s="848"/>
      <c r="J19" s="849"/>
      <c r="K19" s="845"/>
      <c r="L19" s="844"/>
      <c r="M19" s="848"/>
      <c r="N19" s="849"/>
      <c r="O19" s="845"/>
      <c r="P19" s="845"/>
      <c r="Q19" s="848"/>
      <c r="R19" s="849"/>
      <c r="S19" s="845"/>
      <c r="T19" s="845"/>
      <c r="U19" s="848"/>
      <c r="V19" s="849"/>
      <c r="W19" s="845"/>
      <c r="X19" s="5"/>
      <c r="Y19" s="6"/>
      <c r="Z19" s="957">
        <v>1</v>
      </c>
      <c r="AA19" s="957">
        <v>0</v>
      </c>
    </row>
    <row r="20" spans="1:27" s="786" customFormat="1" ht="20.100000000000001" hidden="1" customHeight="1" x14ac:dyDescent="0.25">
      <c r="A20" s="707"/>
      <c r="B20" s="87"/>
      <c r="C20" s="681"/>
      <c r="D20" s="353" t="str">
        <f>dpIncome_ExpenseCat_1</f>
        <v>Real Estate Taxes</v>
      </c>
      <c r="E20" s="850"/>
      <c r="F20" s="822" t="str">
        <f>IF(E$15&gt;0,IF(E20&gt;0,E20/E$15,""),"")</f>
        <v/>
      </c>
      <c r="G20" s="821" t="str">
        <f>IF(E$18&gt;0,IF(E20&gt;0,E20/E$18,""),"")</f>
        <v/>
      </c>
      <c r="H20" s="1378"/>
      <c r="I20" s="850"/>
      <c r="J20" s="822" t="str">
        <f>IF(I$15&gt;0,IF(I20&gt;0,I20/I$15,""),"")</f>
        <v/>
      </c>
      <c r="K20" s="821" t="str">
        <f>IF(I$18&gt;0,IF(I20&gt;0,I20/I$18,""),"")</f>
        <v/>
      </c>
      <c r="L20" s="1378"/>
      <c r="M20" s="850"/>
      <c r="N20" s="822" t="str">
        <f>IF(M$15&gt;0,IF(M20&gt;0,M20/M$15,""),"")</f>
        <v/>
      </c>
      <c r="O20" s="821" t="str">
        <f>IF(M$18&gt;0,IF(M20&gt;0,M20/M$18,""),"")</f>
        <v/>
      </c>
      <c r="P20" s="821"/>
      <c r="Q20" s="850"/>
      <c r="R20" s="822" t="str">
        <f>IF(Q$15&gt;0,IF(Q20&gt;0,Q20/Q$15,""),"")</f>
        <v/>
      </c>
      <c r="S20" s="821" t="str">
        <f>IF(Q$18&gt;0,IF(Q20&gt;0,Q20/Q$18,""),"")</f>
        <v/>
      </c>
      <c r="T20" s="821"/>
      <c r="U20" s="850"/>
      <c r="V20" s="822" t="str">
        <f>IF(U$15&gt;0,IF(U20&gt;0,U20/U$15,""),"")</f>
        <v/>
      </c>
      <c r="W20" s="821" t="str">
        <f>IF(U$18&gt;0,IF(U20&gt;0,U20/U$18,""),"")</f>
        <v/>
      </c>
      <c r="X20" s="681"/>
      <c r="Y20" s="89"/>
      <c r="Z20" s="972">
        <f>IF(AND(SUM(E20:W20)=0, Expense_RealEstateTax_Reimb=0,Expense_RealEstateTax_NonReimb=0),0,1)</f>
        <v>1</v>
      </c>
      <c r="AA20" s="972">
        <v>0</v>
      </c>
    </row>
    <row r="21" spans="1:27" s="786" customFormat="1" ht="20.100000000000001" hidden="1" customHeight="1" x14ac:dyDescent="0.25">
      <c r="A21" s="707"/>
      <c r="B21" s="87"/>
      <c r="C21" s="681"/>
      <c r="D21" s="353" t="str">
        <f>dpIncome_ExpenseCat_2</f>
        <v>Other Taxes</v>
      </c>
      <c r="E21" s="850"/>
      <c r="F21" s="822" t="str">
        <f>IF(E$15&gt;0,IF(E21&gt;0,E21/E$15,""),"")</f>
        <v/>
      </c>
      <c r="G21" s="821" t="str">
        <f>IF(E$18&gt;0,IF(E21&gt;0,E21/E$18,""),"")</f>
        <v/>
      </c>
      <c r="H21" s="1378"/>
      <c r="I21" s="850"/>
      <c r="J21" s="822" t="str">
        <f>IF(I$15&gt;0,IF(I21&gt;0,I21/I$15,""),"")</f>
        <v/>
      </c>
      <c r="K21" s="821" t="str">
        <f>IF(I$18&gt;0,IF(I21&gt;0,I21/I$18,""),"")</f>
        <v/>
      </c>
      <c r="L21" s="1378"/>
      <c r="M21" s="850"/>
      <c r="N21" s="822" t="str">
        <f>IF(M$15&gt;0,IF(M21&gt;0,M21/M$15,""),"")</f>
        <v/>
      </c>
      <c r="O21" s="821" t="str">
        <f>IF(M$18&gt;0,IF(M21&gt;0,M21/M$18,""),"")</f>
        <v/>
      </c>
      <c r="P21" s="821"/>
      <c r="Q21" s="850"/>
      <c r="R21" s="822" t="str">
        <f>IF(Q$15&gt;0,IF(Q21&gt;0,Q21/Q$15,""),"")</f>
        <v/>
      </c>
      <c r="S21" s="821" t="str">
        <f>IF(Q$18&gt;0,IF(Q21&gt;0,Q21/Q$18,""),"")</f>
        <v/>
      </c>
      <c r="T21" s="821"/>
      <c r="U21" s="850"/>
      <c r="V21" s="822" t="str">
        <f>IF(U$15&gt;0,IF(U21&gt;0,U21/U$15,""),"")</f>
        <v/>
      </c>
      <c r="W21" s="821" t="str">
        <f>IF(U$18&gt;0,IF(U21&gt;0,U21/U$18,""),"")</f>
        <v/>
      </c>
      <c r="X21" s="681"/>
      <c r="Y21" s="89"/>
      <c r="Z21" s="972">
        <f>IF(AND(SUM(E21:W21)=0, Expense_OtherTaxes_Reimb=0,Expense_OtherTaxes_NonReimb=0),0,1)</f>
        <v>0</v>
      </c>
      <c r="AA21" s="972">
        <v>0</v>
      </c>
    </row>
    <row r="22" spans="1:27" s="786" customFormat="1" ht="20.100000000000001" hidden="1" customHeight="1" x14ac:dyDescent="0.25">
      <c r="A22" s="707"/>
      <c r="B22" s="87"/>
      <c r="C22" s="681"/>
      <c r="D22" s="353" t="str">
        <f>dpIncome_ExpenseCat_3</f>
        <v>Property Insurance</v>
      </c>
      <c r="E22" s="850"/>
      <c r="F22" s="822" t="str">
        <f>IF(E$15&gt;0,IF(E22&gt;0,E22/E$15,""),"")</f>
        <v/>
      </c>
      <c r="G22" s="821" t="str">
        <f>IF(E$18&gt;0,IF(E22&gt;0,E22/E$18,""),"")</f>
        <v/>
      </c>
      <c r="H22" s="1378"/>
      <c r="I22" s="850"/>
      <c r="J22" s="822" t="str">
        <f>IF(I$15&gt;0,IF(I22&gt;0,I22/I$15,""),"")</f>
        <v/>
      </c>
      <c r="K22" s="821" t="str">
        <f>IF(I$18&gt;0,IF(I22&gt;0,I22/I$18,""),"")</f>
        <v/>
      </c>
      <c r="L22" s="1378"/>
      <c r="M22" s="850"/>
      <c r="N22" s="822" t="str">
        <f>IF(M$15&gt;0,IF(M22&gt;0,M22/M$15,""),"")</f>
        <v/>
      </c>
      <c r="O22" s="821" t="str">
        <f>IF(M$18&gt;0,IF(M22&gt;0,M22/M$18,""),"")</f>
        <v/>
      </c>
      <c r="P22" s="821"/>
      <c r="Q22" s="850"/>
      <c r="R22" s="822" t="str">
        <f>IF(Q$15&gt;0,IF(Q22&gt;0,Q22/Q$15,""),"")</f>
        <v/>
      </c>
      <c r="S22" s="821" t="str">
        <f>IF(Q$18&gt;0,IF(Q22&gt;0,Q22/Q$18,""),"")</f>
        <v/>
      </c>
      <c r="T22" s="821"/>
      <c r="U22" s="850"/>
      <c r="V22" s="822" t="str">
        <f>IF(U$15&gt;0,IF(U22&gt;0,U22/U$15,""),"")</f>
        <v/>
      </c>
      <c r="W22" s="821" t="str">
        <f>IF(U$18&gt;0,IF(U22&gt;0,U22/U$18,""),"")</f>
        <v/>
      </c>
      <c r="X22" s="681"/>
      <c r="Y22" s="89"/>
      <c r="Z22" s="972">
        <f>IF(AND(SUM(E22:W22)=0, Expense_Insurance_Reimb=0,Expense_Insurance_NonReimb=0),0,1)</f>
        <v>1</v>
      </c>
      <c r="AA22" s="972">
        <v>0</v>
      </c>
    </row>
    <row r="23" spans="1:27" s="786" customFormat="1" ht="20.100000000000001" hidden="1" customHeight="1" x14ac:dyDescent="0.25">
      <c r="A23" s="707"/>
      <c r="B23" s="87"/>
      <c r="C23" s="681"/>
      <c r="D23" s="353" t="str">
        <f>dpIncome_ExpenseCat_4</f>
        <v>Management Fees</v>
      </c>
      <c r="E23" s="850"/>
      <c r="F23" s="822" t="str">
        <f>IF(E$15&gt;0,IF(E23&gt;0,E23/E$15,""),"")</f>
        <v/>
      </c>
      <c r="G23" s="821" t="str">
        <f>IF(E$18&gt;0,IF(E23&gt;0,E23/E$18,""),"")</f>
        <v/>
      </c>
      <c r="H23" s="1378"/>
      <c r="I23" s="850"/>
      <c r="J23" s="822" t="str">
        <f>IF(I$15&gt;0,IF(I23&gt;0,I23/I$15,""),"")</f>
        <v/>
      </c>
      <c r="K23" s="821" t="str">
        <f>IF(I$18&gt;0,IF(I23&gt;0,I23/I$18,""),"")</f>
        <v/>
      </c>
      <c r="L23" s="1378"/>
      <c r="M23" s="850"/>
      <c r="N23" s="822" t="str">
        <f>IF(M$15&gt;0,IF(M23&gt;0,M23/M$15,""),"")</f>
        <v/>
      </c>
      <c r="O23" s="821" t="str">
        <f>IF(M$18&gt;0,IF(M23&gt;0,M23/M$18,""),"")</f>
        <v/>
      </c>
      <c r="P23" s="821"/>
      <c r="Q23" s="850"/>
      <c r="R23" s="822" t="str">
        <f>IF(Q$15&gt;0,IF(Q23&gt;0,Q23/Q$15,""),"")</f>
        <v/>
      </c>
      <c r="S23" s="821" t="str">
        <f>IF(Q$18&gt;0,IF(Q23&gt;0,Q23/Q$18,""),"")</f>
        <v/>
      </c>
      <c r="T23" s="821"/>
      <c r="U23" s="850"/>
      <c r="V23" s="822" t="str">
        <f>IF(U$15&gt;0,IF(U23&gt;0,U23/U$15,""),"")</f>
        <v/>
      </c>
      <c r="W23" s="821" t="str">
        <f>IF(U$18&gt;0,IF(U23&gt;0,U23/U$18,""),"")</f>
        <v/>
      </c>
      <c r="X23" s="681"/>
      <c r="Y23" s="89"/>
      <c r="Z23" s="972">
        <f>IF(AND(SUM(E23:W23)=0, Expense_MgmtFees_Reimb=0,Expense_MgmtFees_NonReimb=0),0,1)</f>
        <v>1</v>
      </c>
      <c r="AA23" s="972">
        <v>0</v>
      </c>
    </row>
    <row r="24" spans="1:27" ht="20.100000000000001" hidden="1" customHeight="1" x14ac:dyDescent="0.25">
      <c r="B24" s="4"/>
      <c r="C24" s="5"/>
      <c r="D24" s="348" t="s">
        <v>372</v>
      </c>
      <c r="E24" s="850"/>
      <c r="F24" s="822"/>
      <c r="G24" s="821"/>
      <c r="H24" s="851"/>
      <c r="I24" s="850"/>
      <c r="J24" s="822"/>
      <c r="K24" s="821"/>
      <c r="L24" s="851"/>
      <c r="M24" s="850"/>
      <c r="N24" s="822"/>
      <c r="O24" s="821"/>
      <c r="P24" s="821"/>
      <c r="Q24" s="850"/>
      <c r="R24" s="822"/>
      <c r="S24" s="821"/>
      <c r="T24" s="821"/>
      <c r="U24" s="850"/>
      <c r="V24" s="822"/>
      <c r="W24" s="821"/>
      <c r="X24" s="5"/>
      <c r="Y24" s="6"/>
      <c r="Z24" s="957">
        <f>IF(Expense_Administrative_Detail=0,0,1)</f>
        <v>0</v>
      </c>
      <c r="AA24" s="957">
        <v>0</v>
      </c>
    </row>
    <row r="25" spans="1:27" hidden="1" x14ac:dyDescent="0.25">
      <c r="B25" s="4"/>
      <c r="C25" s="5"/>
      <c r="D25" s="183" t="s">
        <v>333</v>
      </c>
      <c r="E25" s="850"/>
      <c r="F25" s="822" t="str">
        <f>IF(E$15&gt;0,IF(E25&gt;0,E25/E$15,""),"")</f>
        <v/>
      </c>
      <c r="G25" s="821" t="str">
        <f>IF(E$18&gt;0,IF(E25&gt;0,E25/E$18,""),"")</f>
        <v/>
      </c>
      <c r="H25" s="852"/>
      <c r="I25" s="850"/>
      <c r="J25" s="822" t="str">
        <f>IF(I$15&gt;0,IF(I25&gt;0,I25/I$15,""),"")</f>
        <v/>
      </c>
      <c r="K25" s="821" t="str">
        <f>IF(I$18&gt;0,IF(I25&gt;0,I25/I$18,""),"")</f>
        <v/>
      </c>
      <c r="L25" s="852"/>
      <c r="M25" s="850"/>
      <c r="N25" s="822" t="str">
        <f>IF(M$15&gt;0,IF(M25&gt;0,M25/M$15,""),"")</f>
        <v/>
      </c>
      <c r="O25" s="821" t="str">
        <f>IF(M$18&gt;0,IF(M25&gt;0,M25/M$18,""),"")</f>
        <v/>
      </c>
      <c r="P25" s="821"/>
      <c r="Q25" s="850"/>
      <c r="R25" s="822" t="str">
        <f>IF(Q$15&gt;0,IF(Q25&gt;0,Q25/Q$15,""),"")</f>
        <v/>
      </c>
      <c r="S25" s="821" t="str">
        <f>IF(Q$18&gt;0,IF(Q25&gt;0,Q25/Q$18,""),"")</f>
        <v/>
      </c>
      <c r="T25" s="821"/>
      <c r="U25" s="850"/>
      <c r="V25" s="822" t="str">
        <f>IF(U$15&gt;0,IF(U25&gt;0,U25/U$15,""),"")</f>
        <v/>
      </c>
      <c r="W25" s="821" t="str">
        <f>IF(U$18&gt;0,IF(U25&gt;0,U25/U$18,""),"")</f>
        <v/>
      </c>
      <c r="X25" s="5"/>
      <c r="Y25" s="6"/>
      <c r="Z25" s="957">
        <f>IF(Expense_Administrative_Detail=0,0,1)</f>
        <v>0</v>
      </c>
      <c r="AA25" s="957">
        <v>0</v>
      </c>
    </row>
    <row r="26" spans="1:27" hidden="1" x14ac:dyDescent="0.25">
      <c r="B26" s="4"/>
      <c r="C26" s="5"/>
      <c r="D26" s="183" t="s">
        <v>334</v>
      </c>
      <c r="E26" s="850"/>
      <c r="F26" s="822" t="str">
        <f>IF(E$15&gt;0,IF(E26&gt;0,E26/E$15,""),"")</f>
        <v/>
      </c>
      <c r="G26" s="821" t="str">
        <f>IF(E$18&gt;0,IF(E26&gt;0,E26/E$18,""),"")</f>
        <v/>
      </c>
      <c r="H26" s="852"/>
      <c r="I26" s="850"/>
      <c r="J26" s="822" t="str">
        <f>IF(I$15&gt;0,IF(I26&gt;0,I26/I$15,""),"")</f>
        <v/>
      </c>
      <c r="K26" s="821" t="str">
        <f>IF(I$18&gt;0,IF(I26&gt;0,I26/I$18,""),"")</f>
        <v/>
      </c>
      <c r="L26" s="852"/>
      <c r="M26" s="850"/>
      <c r="N26" s="822" t="str">
        <f>IF(M$15&gt;0,IF(M26&gt;0,M26/M$15,""),"")</f>
        <v/>
      </c>
      <c r="O26" s="821" t="str">
        <f>IF(M$18&gt;0,IF(M26&gt;0,M26/M$18,""),"")</f>
        <v/>
      </c>
      <c r="P26" s="821"/>
      <c r="Q26" s="850"/>
      <c r="R26" s="822" t="str">
        <f>IF(Q$15&gt;0,IF(Q26&gt;0,Q26/Q$15,""),"")</f>
        <v/>
      </c>
      <c r="S26" s="821" t="str">
        <f>IF(Q$18&gt;0,IF(Q26&gt;0,Q26/Q$18,""),"")</f>
        <v/>
      </c>
      <c r="T26" s="821"/>
      <c r="U26" s="850"/>
      <c r="V26" s="822" t="str">
        <f>IF(U$15&gt;0,IF(U26&gt;0,U26/U$15,""),"")</f>
        <v/>
      </c>
      <c r="W26" s="821" t="str">
        <f>IF(U$18&gt;0,IF(U26&gt;0,U26/U$18,""),"")</f>
        <v/>
      </c>
      <c r="X26" s="5"/>
      <c r="Y26" s="6"/>
      <c r="Z26" s="957">
        <f>IF(Expense_Administrative_Detail=0,0,1)</f>
        <v>0</v>
      </c>
      <c r="AA26" s="957">
        <v>0</v>
      </c>
    </row>
    <row r="27" spans="1:27" hidden="1" x14ac:dyDescent="0.25">
      <c r="B27" s="4"/>
      <c r="C27" s="5"/>
      <c r="D27" s="349" t="s">
        <v>335</v>
      </c>
      <c r="E27" s="853"/>
      <c r="F27" s="823"/>
      <c r="G27" s="824"/>
      <c r="H27" s="852"/>
      <c r="I27" s="853"/>
      <c r="J27" s="823"/>
      <c r="K27" s="824"/>
      <c r="L27" s="852"/>
      <c r="M27" s="853"/>
      <c r="N27" s="823"/>
      <c r="O27" s="824"/>
      <c r="P27" s="821"/>
      <c r="Q27" s="853"/>
      <c r="R27" s="823"/>
      <c r="S27" s="824"/>
      <c r="T27" s="821"/>
      <c r="U27" s="853"/>
      <c r="V27" s="823"/>
      <c r="W27" s="824"/>
      <c r="X27" s="5"/>
      <c r="Y27" s="6"/>
      <c r="Z27" s="957">
        <f>IF(Expense_Administrative_Detail=0,0,1)</f>
        <v>0</v>
      </c>
      <c r="AA27" s="957">
        <v>0</v>
      </c>
    </row>
    <row r="28" spans="1:27" s="786" customFormat="1" ht="20.100000000000001" hidden="1" customHeight="1" x14ac:dyDescent="0.25">
      <c r="A28" s="707"/>
      <c r="B28" s="87"/>
      <c r="C28" s="681"/>
      <c r="D28" s="353" t="str">
        <f>dpIncome_ExpenseCat_5</f>
        <v>Administrative</v>
      </c>
      <c r="E28" s="850">
        <f>E27-E23</f>
        <v>0</v>
      </c>
      <c r="F28" s="822" t="str">
        <f>IF(E$15&gt;0,IF(E28&gt;0,E28/E$15,""),"")</f>
        <v/>
      </c>
      <c r="G28" s="821" t="str">
        <f>IF(E$18&gt;0,IF(E28&gt;0,E28/E$18,""),"")</f>
        <v/>
      </c>
      <c r="H28" s="852"/>
      <c r="I28" s="850">
        <f>I27-I23</f>
        <v>0</v>
      </c>
      <c r="J28" s="822" t="str">
        <f>IF(I$15&gt;0,IF(I28&gt;0,I28/I$15,""),"")</f>
        <v/>
      </c>
      <c r="K28" s="821" t="str">
        <f>IF(I$18&gt;0,IF(I28&gt;0,I28/I$18,""),"")</f>
        <v/>
      </c>
      <c r="L28" s="852"/>
      <c r="M28" s="850">
        <f>M27-M23</f>
        <v>0</v>
      </c>
      <c r="N28" s="822" t="str">
        <f>IF(M$15&gt;0,IF(M28&gt;0,M28/M$15,""),"")</f>
        <v/>
      </c>
      <c r="O28" s="821" t="str">
        <f>IF(M$18&gt;0,IF(M28&gt;0,M28/M$18,""),"")</f>
        <v/>
      </c>
      <c r="P28" s="821"/>
      <c r="Q28" s="850">
        <f>Q27-Q23</f>
        <v>0</v>
      </c>
      <c r="R28" s="822" t="str">
        <f>IF(Q$15&gt;0,IF(Q28&gt;0,Q28/Q$15,""),"")</f>
        <v/>
      </c>
      <c r="S28" s="821" t="str">
        <f>IF(Q$18&gt;0,IF(Q28&gt;0,Q28/Q$18,""),"")</f>
        <v/>
      </c>
      <c r="T28" s="821"/>
      <c r="U28" s="850">
        <f>U27-U23</f>
        <v>0</v>
      </c>
      <c r="V28" s="822" t="str">
        <f>IF(U$15&gt;0,IF(U28&gt;0,U28/U$15,""),"")</f>
        <v/>
      </c>
      <c r="W28" s="821" t="str">
        <f>IF(U$18&gt;0,IF(U28&gt;0,U28/U$18,""),"")</f>
        <v/>
      </c>
      <c r="X28" s="681"/>
      <c r="Y28" s="89"/>
      <c r="Z28" s="972">
        <f>IF(AND(SUM(E28:W28)=0, Expense_Administrative_Reimb=0,Expense_Administrative_NonReimb=0),0,1)</f>
        <v>0</v>
      </c>
      <c r="AA28" s="972">
        <v>0</v>
      </c>
    </row>
    <row r="29" spans="1:27" ht="20.100000000000001" hidden="1" customHeight="1" x14ac:dyDescent="0.25">
      <c r="B29" s="4"/>
      <c r="C29" s="5"/>
      <c r="D29" s="348" t="s">
        <v>92</v>
      </c>
      <c r="E29" s="850"/>
      <c r="F29" s="822" t="str">
        <f t="shared" ref="F29:F34" si="0">IF(E$15&gt;0,IF(E29&gt;0,E29/E$15,""),"")</f>
        <v/>
      </c>
      <c r="G29" s="821" t="str">
        <f t="shared" ref="G29:G34" si="1">IF(E$18&gt;0,IF(E29&gt;0,E29/E$18,""),"")</f>
        <v/>
      </c>
      <c r="H29" s="852"/>
      <c r="I29" s="850"/>
      <c r="J29" s="822" t="str">
        <f t="shared" ref="J29:J35" si="2">IF(I$15&gt;0,IF(I29&gt;0,I29/I$15,""),"")</f>
        <v/>
      </c>
      <c r="K29" s="821" t="str">
        <f t="shared" ref="K29:K35" si="3">IF(I$18&gt;0,IF(I29&gt;0,I29/I$18,""),"")</f>
        <v/>
      </c>
      <c r="L29" s="852"/>
      <c r="M29" s="850"/>
      <c r="N29" s="822" t="str">
        <f t="shared" ref="N29:N35" si="4">IF(M$15&gt;0,IF(M29&gt;0,M29/M$15,""),"")</f>
        <v/>
      </c>
      <c r="O29" s="821" t="str">
        <f t="shared" ref="O29:O35" si="5">IF(M$18&gt;0,IF(M29&gt;0,M29/M$18,""),"")</f>
        <v/>
      </c>
      <c r="P29" s="821"/>
      <c r="Q29" s="850"/>
      <c r="R29" s="822" t="str">
        <f t="shared" ref="R29:R35" si="6">IF(Q$15&gt;0,IF(Q29&gt;0,Q29/Q$15,""),"")</f>
        <v/>
      </c>
      <c r="S29" s="821" t="str">
        <f t="shared" ref="S29:S35" si="7">IF(Q$18&gt;0,IF(Q29&gt;0,Q29/Q$18,""),"")</f>
        <v/>
      </c>
      <c r="T29" s="821"/>
      <c r="U29" s="850"/>
      <c r="V29" s="822" t="str">
        <f t="shared" ref="V29:V35" si="8">IF(U$15&gt;0,IF(U29&gt;0,U29/U$15,""),"")</f>
        <v/>
      </c>
      <c r="W29" s="821" t="str">
        <f t="shared" ref="W29:W35" si="9">IF(U$18&gt;0,IF(U29&gt;0,U29/U$18,""),"")</f>
        <v/>
      </c>
      <c r="X29" s="5"/>
      <c r="Y29" s="6"/>
      <c r="Z29" s="957">
        <f t="shared" ref="Z29:Z34" si="10">IF(Expense_Utilities_Detail=0,0,1)</f>
        <v>0</v>
      </c>
      <c r="AA29" s="957">
        <v>0</v>
      </c>
    </row>
    <row r="30" spans="1:27" hidden="1" x14ac:dyDescent="0.25">
      <c r="B30" s="4"/>
      <c r="C30" s="5"/>
      <c r="D30" s="183" t="s">
        <v>376</v>
      </c>
      <c r="E30" s="850"/>
      <c r="F30" s="822" t="str">
        <f t="shared" si="0"/>
        <v/>
      </c>
      <c r="G30" s="821" t="str">
        <f t="shared" si="1"/>
        <v/>
      </c>
      <c r="H30" s="852"/>
      <c r="I30" s="850"/>
      <c r="J30" s="822" t="str">
        <f t="shared" si="2"/>
        <v/>
      </c>
      <c r="K30" s="821" t="str">
        <f t="shared" si="3"/>
        <v/>
      </c>
      <c r="L30" s="852"/>
      <c r="M30" s="850"/>
      <c r="N30" s="822" t="str">
        <f t="shared" si="4"/>
        <v/>
      </c>
      <c r="O30" s="821" t="str">
        <f t="shared" si="5"/>
        <v/>
      </c>
      <c r="P30" s="821"/>
      <c r="Q30" s="850"/>
      <c r="R30" s="822" t="str">
        <f t="shared" si="6"/>
        <v/>
      </c>
      <c r="S30" s="821" t="str">
        <f t="shared" si="7"/>
        <v/>
      </c>
      <c r="T30" s="821"/>
      <c r="U30" s="850"/>
      <c r="V30" s="822" t="str">
        <f t="shared" si="8"/>
        <v/>
      </c>
      <c r="W30" s="821" t="str">
        <f t="shared" si="9"/>
        <v/>
      </c>
      <c r="X30" s="5"/>
      <c r="Y30" s="6"/>
      <c r="Z30" s="957">
        <f t="shared" si="10"/>
        <v>0</v>
      </c>
      <c r="AA30" s="957">
        <v>0</v>
      </c>
    </row>
    <row r="31" spans="1:27" hidden="1" x14ac:dyDescent="0.25">
      <c r="B31" s="4"/>
      <c r="C31" s="5"/>
      <c r="D31" s="183" t="s">
        <v>336</v>
      </c>
      <c r="E31" s="850"/>
      <c r="F31" s="822" t="str">
        <f t="shared" si="0"/>
        <v/>
      </c>
      <c r="G31" s="821" t="str">
        <f t="shared" si="1"/>
        <v/>
      </c>
      <c r="H31" s="852"/>
      <c r="I31" s="850"/>
      <c r="J31" s="822" t="str">
        <f t="shared" si="2"/>
        <v/>
      </c>
      <c r="K31" s="821" t="str">
        <f t="shared" si="3"/>
        <v/>
      </c>
      <c r="L31" s="852"/>
      <c r="M31" s="850"/>
      <c r="N31" s="822" t="str">
        <f t="shared" si="4"/>
        <v/>
      </c>
      <c r="O31" s="821" t="str">
        <f t="shared" si="5"/>
        <v/>
      </c>
      <c r="P31" s="821"/>
      <c r="Q31" s="850"/>
      <c r="R31" s="822" t="str">
        <f t="shared" si="6"/>
        <v/>
      </c>
      <c r="S31" s="821" t="str">
        <f t="shared" si="7"/>
        <v/>
      </c>
      <c r="T31" s="821"/>
      <c r="U31" s="850"/>
      <c r="V31" s="822" t="str">
        <f t="shared" si="8"/>
        <v/>
      </c>
      <c r="W31" s="821" t="str">
        <f t="shared" si="9"/>
        <v/>
      </c>
      <c r="X31" s="5"/>
      <c r="Y31" s="6"/>
      <c r="Z31" s="957">
        <f t="shared" si="10"/>
        <v>0</v>
      </c>
      <c r="AA31" s="957">
        <v>0</v>
      </c>
    </row>
    <row r="32" spans="1:27" hidden="1" x14ac:dyDescent="0.25">
      <c r="B32" s="4"/>
      <c r="C32" s="5"/>
      <c r="D32" s="183" t="s">
        <v>337</v>
      </c>
      <c r="E32" s="850"/>
      <c r="F32" s="822" t="str">
        <f t="shared" si="0"/>
        <v/>
      </c>
      <c r="G32" s="821" t="str">
        <f t="shared" si="1"/>
        <v/>
      </c>
      <c r="H32" s="852"/>
      <c r="I32" s="850"/>
      <c r="J32" s="822" t="str">
        <f t="shared" si="2"/>
        <v/>
      </c>
      <c r="K32" s="821" t="str">
        <f t="shared" si="3"/>
        <v/>
      </c>
      <c r="L32" s="852"/>
      <c r="M32" s="850"/>
      <c r="N32" s="822" t="str">
        <f t="shared" si="4"/>
        <v/>
      </c>
      <c r="O32" s="821" t="str">
        <f t="shared" si="5"/>
        <v/>
      </c>
      <c r="P32" s="821"/>
      <c r="Q32" s="850"/>
      <c r="R32" s="822" t="str">
        <f t="shared" si="6"/>
        <v/>
      </c>
      <c r="S32" s="821" t="str">
        <f t="shared" si="7"/>
        <v/>
      </c>
      <c r="T32" s="821"/>
      <c r="U32" s="850"/>
      <c r="V32" s="822" t="str">
        <f t="shared" si="8"/>
        <v/>
      </c>
      <c r="W32" s="821" t="str">
        <f t="shared" si="9"/>
        <v/>
      </c>
      <c r="X32" s="5"/>
      <c r="Y32" s="6"/>
      <c r="Z32" s="957">
        <f t="shared" si="10"/>
        <v>0</v>
      </c>
      <c r="AA32" s="957">
        <v>0</v>
      </c>
    </row>
    <row r="33" spans="1:27" hidden="1" x14ac:dyDescent="0.25">
      <c r="B33" s="4"/>
      <c r="C33" s="5"/>
      <c r="D33" s="183" t="s">
        <v>338</v>
      </c>
      <c r="E33" s="850"/>
      <c r="F33" s="822" t="str">
        <f t="shared" si="0"/>
        <v/>
      </c>
      <c r="G33" s="821" t="str">
        <f t="shared" si="1"/>
        <v/>
      </c>
      <c r="H33" s="852"/>
      <c r="I33" s="850"/>
      <c r="J33" s="822" t="str">
        <f t="shared" si="2"/>
        <v/>
      </c>
      <c r="K33" s="821" t="str">
        <f t="shared" si="3"/>
        <v/>
      </c>
      <c r="L33" s="852"/>
      <c r="M33" s="850"/>
      <c r="N33" s="822" t="str">
        <f t="shared" si="4"/>
        <v/>
      </c>
      <c r="O33" s="821" t="str">
        <f t="shared" si="5"/>
        <v/>
      </c>
      <c r="P33" s="821"/>
      <c r="Q33" s="850"/>
      <c r="R33" s="822" t="str">
        <f t="shared" si="6"/>
        <v/>
      </c>
      <c r="S33" s="821" t="str">
        <f t="shared" si="7"/>
        <v/>
      </c>
      <c r="T33" s="821"/>
      <c r="U33" s="850"/>
      <c r="V33" s="822" t="str">
        <f t="shared" si="8"/>
        <v/>
      </c>
      <c r="W33" s="821" t="str">
        <f t="shared" si="9"/>
        <v/>
      </c>
      <c r="X33" s="5"/>
      <c r="Y33" s="6"/>
      <c r="Z33" s="957">
        <f t="shared" si="10"/>
        <v>0</v>
      </c>
      <c r="AA33" s="957">
        <v>0</v>
      </c>
    </row>
    <row r="34" spans="1:27" hidden="1" x14ac:dyDescent="0.25">
      <c r="B34" s="4"/>
      <c r="C34" s="5"/>
      <c r="D34" s="349" t="s">
        <v>339</v>
      </c>
      <c r="E34" s="853"/>
      <c r="F34" s="823" t="str">
        <f t="shared" si="0"/>
        <v/>
      </c>
      <c r="G34" s="824" t="str">
        <f t="shared" si="1"/>
        <v/>
      </c>
      <c r="H34" s="852"/>
      <c r="I34" s="853"/>
      <c r="J34" s="823" t="str">
        <f t="shared" si="2"/>
        <v/>
      </c>
      <c r="K34" s="824" t="str">
        <f t="shared" si="3"/>
        <v/>
      </c>
      <c r="L34" s="852"/>
      <c r="M34" s="853"/>
      <c r="N34" s="823" t="str">
        <f t="shared" si="4"/>
        <v/>
      </c>
      <c r="O34" s="824" t="str">
        <f t="shared" si="5"/>
        <v/>
      </c>
      <c r="P34" s="821"/>
      <c r="Q34" s="853"/>
      <c r="R34" s="823" t="str">
        <f t="shared" si="6"/>
        <v/>
      </c>
      <c r="S34" s="824" t="str">
        <f t="shared" si="7"/>
        <v/>
      </c>
      <c r="T34" s="821"/>
      <c r="U34" s="853"/>
      <c r="V34" s="823" t="str">
        <f t="shared" si="8"/>
        <v/>
      </c>
      <c r="W34" s="824" t="str">
        <f t="shared" si="9"/>
        <v/>
      </c>
      <c r="X34" s="5"/>
      <c r="Y34" s="6"/>
      <c r="Z34" s="957">
        <f t="shared" si="10"/>
        <v>0</v>
      </c>
      <c r="AA34" s="957">
        <v>0</v>
      </c>
    </row>
    <row r="35" spans="1:27" s="786" customFormat="1" ht="20.100000000000001" hidden="1" customHeight="1" x14ac:dyDescent="0.25">
      <c r="A35" s="707"/>
      <c r="B35" s="87"/>
      <c r="C35" s="681"/>
      <c r="D35" s="353" t="str">
        <f>dpIncome_ExpenseCat_6</f>
        <v>Utilities</v>
      </c>
      <c r="E35" s="850"/>
      <c r="F35" s="822" t="str">
        <f>IF(E$15&gt;0,IF(E35&gt;0,E35/E$15,""),"")</f>
        <v/>
      </c>
      <c r="G35" s="821" t="str">
        <f>IF(E$18&gt;0,IF(E35&gt;0,E35/E$18,""),"")</f>
        <v/>
      </c>
      <c r="H35" s="852"/>
      <c r="I35" s="850"/>
      <c r="J35" s="822" t="str">
        <f t="shared" si="2"/>
        <v/>
      </c>
      <c r="K35" s="821" t="str">
        <f t="shared" si="3"/>
        <v/>
      </c>
      <c r="L35" s="852"/>
      <c r="M35" s="850"/>
      <c r="N35" s="822" t="str">
        <f t="shared" si="4"/>
        <v/>
      </c>
      <c r="O35" s="821" t="str">
        <f t="shared" si="5"/>
        <v/>
      </c>
      <c r="P35" s="821"/>
      <c r="Q35" s="850"/>
      <c r="R35" s="822" t="str">
        <f t="shared" si="6"/>
        <v/>
      </c>
      <c r="S35" s="821" t="str">
        <f t="shared" si="7"/>
        <v/>
      </c>
      <c r="T35" s="821"/>
      <c r="U35" s="850"/>
      <c r="V35" s="822" t="str">
        <f t="shared" si="8"/>
        <v/>
      </c>
      <c r="W35" s="821" t="str">
        <f t="shared" si="9"/>
        <v/>
      </c>
      <c r="X35" s="681"/>
      <c r="Y35" s="89"/>
      <c r="Z35" s="972">
        <f>IF(AND(SUM(E35:W35)=0, Expense_Utilities_Reimb=0,Expense_Utilities_NonReimb=0),0,1)</f>
        <v>0</v>
      </c>
      <c r="AA35" s="972">
        <v>0</v>
      </c>
    </row>
    <row r="36" spans="1:27" ht="20.100000000000001" hidden="1" customHeight="1" x14ac:dyDescent="0.25">
      <c r="B36" s="4"/>
      <c r="C36" s="5"/>
      <c r="D36" s="348" t="s">
        <v>340</v>
      </c>
      <c r="E36" s="850"/>
      <c r="F36" s="822"/>
      <c r="G36" s="821"/>
      <c r="H36" s="852"/>
      <c r="I36" s="850"/>
      <c r="J36" s="822"/>
      <c r="K36" s="821"/>
      <c r="L36" s="852"/>
      <c r="M36" s="850"/>
      <c r="N36" s="822"/>
      <c r="O36" s="821"/>
      <c r="P36" s="821"/>
      <c r="Q36" s="850"/>
      <c r="R36" s="822"/>
      <c r="S36" s="821"/>
      <c r="T36" s="821"/>
      <c r="U36" s="850"/>
      <c r="V36" s="822"/>
      <c r="W36" s="821"/>
      <c r="X36" s="5"/>
      <c r="Y36" s="6"/>
      <c r="Z36" s="957">
        <f t="shared" ref="Z36:Z42" si="11">IF(Expense_RepairsMaintenance_Detail=0,0,1)</f>
        <v>0</v>
      </c>
      <c r="AA36" s="957">
        <v>0</v>
      </c>
    </row>
    <row r="37" spans="1:27" hidden="1" x14ac:dyDescent="0.25">
      <c r="B37" s="4"/>
      <c r="C37" s="5"/>
      <c r="D37" s="183" t="s">
        <v>341</v>
      </c>
      <c r="E37" s="850"/>
      <c r="F37" s="822" t="str">
        <f>IF(E$15&gt;0,IF(E37&gt;0,E37/E$15,""),"")</f>
        <v/>
      </c>
      <c r="G37" s="821" t="str">
        <f>IF(E$18&gt;0,IF(E37&gt;0,E37/E$18,""),"")</f>
        <v/>
      </c>
      <c r="H37" s="852"/>
      <c r="I37" s="850"/>
      <c r="J37" s="822" t="str">
        <f t="shared" ref="J37:J43" si="12">IF(I$15&gt;0,IF(I37&gt;0,I37/I$15,""),"")</f>
        <v/>
      </c>
      <c r="K37" s="821" t="str">
        <f t="shared" ref="K37:K43" si="13">IF(I$18&gt;0,IF(I37&gt;0,I37/I$18,""),"")</f>
        <v/>
      </c>
      <c r="L37" s="852"/>
      <c r="M37" s="850"/>
      <c r="N37" s="822" t="str">
        <f t="shared" ref="N37:N43" si="14">IF(M$15&gt;0,IF(M37&gt;0,M37/M$15,""),"")</f>
        <v/>
      </c>
      <c r="O37" s="821" t="str">
        <f t="shared" ref="O37:O43" si="15">IF(M$18&gt;0,IF(M37&gt;0,M37/M$18,""),"")</f>
        <v/>
      </c>
      <c r="P37" s="821"/>
      <c r="Q37" s="850"/>
      <c r="R37" s="822" t="str">
        <f t="shared" ref="R37:R43" si="16">IF(Q$15&gt;0,IF(Q37&gt;0,Q37/Q$15,""),"")</f>
        <v/>
      </c>
      <c r="S37" s="821" t="str">
        <f t="shared" ref="S37:S43" si="17">IF(Q$18&gt;0,IF(Q37&gt;0,Q37/Q$18,""),"")</f>
        <v/>
      </c>
      <c r="T37" s="821"/>
      <c r="U37" s="850"/>
      <c r="V37" s="822" t="str">
        <f t="shared" ref="V37:V43" si="18">IF(U$15&gt;0,IF(U37&gt;0,U37/U$15,""),"")</f>
        <v/>
      </c>
      <c r="W37" s="821" t="str">
        <f t="shared" ref="W37:W43" si="19">IF(U$18&gt;0,IF(U37&gt;0,U37/U$18,""),"")</f>
        <v/>
      </c>
      <c r="X37" s="5"/>
      <c r="Y37" s="6"/>
      <c r="Z37" s="957">
        <f t="shared" si="11"/>
        <v>0</v>
      </c>
      <c r="AA37" s="957">
        <v>0</v>
      </c>
    </row>
    <row r="38" spans="1:27" hidden="1" x14ac:dyDescent="0.25">
      <c r="B38" s="4"/>
      <c r="C38" s="5"/>
      <c r="D38" s="183" t="s">
        <v>342</v>
      </c>
      <c r="E38" s="850"/>
      <c r="F38" s="822" t="str">
        <f t="shared" ref="F38:F43" si="20">IF(E$15&gt;0,IF(E38&gt;0,E38/E$15,""),"")</f>
        <v/>
      </c>
      <c r="G38" s="821" t="str">
        <f t="shared" ref="G38:G43" si="21">IF(E$18&gt;0,IF(E38&gt;0,E38/E$18,""),"")</f>
        <v/>
      </c>
      <c r="H38" s="852"/>
      <c r="I38" s="850"/>
      <c r="J38" s="822" t="str">
        <f t="shared" si="12"/>
        <v/>
      </c>
      <c r="K38" s="821" t="str">
        <f t="shared" si="13"/>
        <v/>
      </c>
      <c r="L38" s="852"/>
      <c r="M38" s="850"/>
      <c r="N38" s="822" t="str">
        <f t="shared" si="14"/>
        <v/>
      </c>
      <c r="O38" s="821" t="str">
        <f t="shared" si="15"/>
        <v/>
      </c>
      <c r="P38" s="821"/>
      <c r="Q38" s="850"/>
      <c r="R38" s="822" t="str">
        <f t="shared" si="16"/>
        <v/>
      </c>
      <c r="S38" s="821" t="str">
        <f t="shared" si="17"/>
        <v/>
      </c>
      <c r="T38" s="821"/>
      <c r="U38" s="850"/>
      <c r="V38" s="822" t="str">
        <f t="shared" si="18"/>
        <v/>
      </c>
      <c r="W38" s="821" t="str">
        <f t="shared" si="19"/>
        <v/>
      </c>
      <c r="X38" s="5"/>
      <c r="Y38" s="6"/>
      <c r="Z38" s="957">
        <f t="shared" si="11"/>
        <v>0</v>
      </c>
      <c r="AA38" s="957">
        <v>0</v>
      </c>
    </row>
    <row r="39" spans="1:27" hidden="1" x14ac:dyDescent="0.25">
      <c r="B39" s="4"/>
      <c r="C39" s="5"/>
      <c r="D39" s="183" t="s">
        <v>343</v>
      </c>
      <c r="E39" s="850"/>
      <c r="F39" s="822" t="str">
        <f t="shared" si="20"/>
        <v/>
      </c>
      <c r="G39" s="821" t="str">
        <f t="shared" si="21"/>
        <v/>
      </c>
      <c r="H39" s="852"/>
      <c r="I39" s="850"/>
      <c r="J39" s="822" t="str">
        <f t="shared" si="12"/>
        <v/>
      </c>
      <c r="K39" s="821" t="str">
        <f t="shared" si="13"/>
        <v/>
      </c>
      <c r="L39" s="852"/>
      <c r="M39" s="850"/>
      <c r="N39" s="822" t="str">
        <f t="shared" si="14"/>
        <v/>
      </c>
      <c r="O39" s="821" t="str">
        <f t="shared" si="15"/>
        <v/>
      </c>
      <c r="P39" s="821"/>
      <c r="Q39" s="850"/>
      <c r="R39" s="822" t="str">
        <f t="shared" si="16"/>
        <v/>
      </c>
      <c r="S39" s="821" t="str">
        <f t="shared" si="17"/>
        <v/>
      </c>
      <c r="T39" s="821"/>
      <c r="U39" s="850"/>
      <c r="V39" s="822" t="str">
        <f t="shared" si="18"/>
        <v/>
      </c>
      <c r="W39" s="821" t="str">
        <f t="shared" si="19"/>
        <v/>
      </c>
      <c r="X39" s="5"/>
      <c r="Y39" s="6"/>
      <c r="Z39" s="957">
        <f t="shared" si="11"/>
        <v>0</v>
      </c>
      <c r="AA39" s="957">
        <v>0</v>
      </c>
    </row>
    <row r="40" spans="1:27" hidden="1" x14ac:dyDescent="0.25">
      <c r="B40" s="4"/>
      <c r="C40" s="5"/>
      <c r="D40" s="183" t="s">
        <v>344</v>
      </c>
      <c r="E40" s="850"/>
      <c r="F40" s="822" t="str">
        <f t="shared" si="20"/>
        <v/>
      </c>
      <c r="G40" s="821" t="str">
        <f t="shared" si="21"/>
        <v/>
      </c>
      <c r="H40" s="852"/>
      <c r="I40" s="850"/>
      <c r="J40" s="822" t="str">
        <f t="shared" si="12"/>
        <v/>
      </c>
      <c r="K40" s="821" t="str">
        <f t="shared" si="13"/>
        <v/>
      </c>
      <c r="L40" s="852"/>
      <c r="M40" s="850"/>
      <c r="N40" s="822" t="str">
        <f t="shared" si="14"/>
        <v/>
      </c>
      <c r="O40" s="821" t="str">
        <f t="shared" si="15"/>
        <v/>
      </c>
      <c r="P40" s="821"/>
      <c r="Q40" s="850"/>
      <c r="R40" s="822" t="str">
        <f t="shared" si="16"/>
        <v/>
      </c>
      <c r="S40" s="821" t="str">
        <f t="shared" si="17"/>
        <v/>
      </c>
      <c r="T40" s="821"/>
      <c r="U40" s="850"/>
      <c r="V40" s="822" t="str">
        <f t="shared" si="18"/>
        <v/>
      </c>
      <c r="W40" s="821" t="str">
        <f t="shared" si="19"/>
        <v/>
      </c>
      <c r="X40" s="5"/>
      <c r="Y40" s="6"/>
      <c r="Z40" s="957">
        <f t="shared" si="11"/>
        <v>0</v>
      </c>
      <c r="AA40" s="957">
        <v>0</v>
      </c>
    </row>
    <row r="41" spans="1:27" hidden="1" x14ac:dyDescent="0.25">
      <c r="B41" s="4"/>
      <c r="C41" s="5"/>
      <c r="D41" s="183" t="s">
        <v>345</v>
      </c>
      <c r="E41" s="850"/>
      <c r="F41" s="822" t="str">
        <f t="shared" si="20"/>
        <v/>
      </c>
      <c r="G41" s="821" t="str">
        <f t="shared" si="21"/>
        <v/>
      </c>
      <c r="H41" s="852"/>
      <c r="I41" s="850"/>
      <c r="J41" s="822" t="str">
        <f t="shared" si="12"/>
        <v/>
      </c>
      <c r="K41" s="821" t="str">
        <f t="shared" si="13"/>
        <v/>
      </c>
      <c r="L41" s="852"/>
      <c r="M41" s="850"/>
      <c r="N41" s="822" t="str">
        <f t="shared" si="14"/>
        <v/>
      </c>
      <c r="O41" s="821" t="str">
        <f t="shared" si="15"/>
        <v/>
      </c>
      <c r="P41" s="821"/>
      <c r="Q41" s="850"/>
      <c r="R41" s="822" t="str">
        <f t="shared" si="16"/>
        <v/>
      </c>
      <c r="S41" s="821" t="str">
        <f t="shared" si="17"/>
        <v/>
      </c>
      <c r="T41" s="821"/>
      <c r="U41" s="850"/>
      <c r="V41" s="822" t="str">
        <f t="shared" si="18"/>
        <v/>
      </c>
      <c r="W41" s="821" t="str">
        <f t="shared" si="19"/>
        <v/>
      </c>
      <c r="X41" s="5"/>
      <c r="Y41" s="6"/>
      <c r="Z41" s="957">
        <f t="shared" si="11"/>
        <v>0</v>
      </c>
      <c r="AA41" s="957">
        <v>0</v>
      </c>
    </row>
    <row r="42" spans="1:27" hidden="1" x14ac:dyDescent="0.25">
      <c r="B42" s="4"/>
      <c r="C42" s="5"/>
      <c r="D42" s="349" t="s">
        <v>346</v>
      </c>
      <c r="E42" s="853"/>
      <c r="F42" s="823" t="str">
        <f t="shared" si="20"/>
        <v/>
      </c>
      <c r="G42" s="824" t="str">
        <f t="shared" si="21"/>
        <v/>
      </c>
      <c r="H42" s="852"/>
      <c r="I42" s="853"/>
      <c r="J42" s="823" t="str">
        <f t="shared" si="12"/>
        <v/>
      </c>
      <c r="K42" s="824" t="str">
        <f t="shared" si="13"/>
        <v/>
      </c>
      <c r="L42" s="852"/>
      <c r="M42" s="853"/>
      <c r="N42" s="823" t="str">
        <f t="shared" si="14"/>
        <v/>
      </c>
      <c r="O42" s="824" t="str">
        <f t="shared" si="15"/>
        <v/>
      </c>
      <c r="P42" s="821"/>
      <c r="Q42" s="853"/>
      <c r="R42" s="823" t="str">
        <f t="shared" si="16"/>
        <v/>
      </c>
      <c r="S42" s="824" t="str">
        <f t="shared" si="17"/>
        <v/>
      </c>
      <c r="T42" s="821"/>
      <c r="U42" s="853"/>
      <c r="V42" s="823" t="str">
        <f t="shared" si="18"/>
        <v/>
      </c>
      <c r="W42" s="824" t="str">
        <f t="shared" si="19"/>
        <v/>
      </c>
      <c r="X42" s="5"/>
      <c r="Y42" s="6"/>
      <c r="Z42" s="957">
        <f t="shared" si="11"/>
        <v>0</v>
      </c>
      <c r="AA42" s="957">
        <v>0</v>
      </c>
    </row>
    <row r="43" spans="1:27" s="786" customFormat="1" ht="20.100000000000001" hidden="1" customHeight="1" x14ac:dyDescent="0.25">
      <c r="A43" s="707"/>
      <c r="B43" s="87"/>
      <c r="C43" s="681"/>
      <c r="D43" s="353" t="str">
        <f>dpIncome_ExpenseCat_7</f>
        <v>Repairs &amp; Maintenance</v>
      </c>
      <c r="E43" s="850"/>
      <c r="F43" s="822" t="str">
        <f t="shared" si="20"/>
        <v/>
      </c>
      <c r="G43" s="821" t="str">
        <f t="shared" si="21"/>
        <v/>
      </c>
      <c r="H43" s="852"/>
      <c r="I43" s="850"/>
      <c r="J43" s="822" t="str">
        <f t="shared" si="12"/>
        <v/>
      </c>
      <c r="K43" s="821" t="str">
        <f t="shared" si="13"/>
        <v/>
      </c>
      <c r="L43" s="852"/>
      <c r="M43" s="850"/>
      <c r="N43" s="822" t="str">
        <f t="shared" si="14"/>
        <v/>
      </c>
      <c r="O43" s="821" t="str">
        <f t="shared" si="15"/>
        <v/>
      </c>
      <c r="P43" s="821"/>
      <c r="Q43" s="850"/>
      <c r="R43" s="822" t="str">
        <f t="shared" si="16"/>
        <v/>
      </c>
      <c r="S43" s="821" t="str">
        <f t="shared" si="17"/>
        <v/>
      </c>
      <c r="T43" s="821"/>
      <c r="U43" s="850"/>
      <c r="V43" s="822" t="str">
        <f t="shared" si="18"/>
        <v/>
      </c>
      <c r="W43" s="821" t="str">
        <f t="shared" si="19"/>
        <v/>
      </c>
      <c r="X43" s="681"/>
      <c r="Y43" s="89"/>
      <c r="Z43" s="972">
        <f>IF(AND(SUM(E43:W43)=0, Expense_RepairsMaintenance_Reimb=0,Expense_RepairsMaintenance_NonReimb=0),0,1)</f>
        <v>1</v>
      </c>
      <c r="AA43" s="972">
        <v>0</v>
      </c>
    </row>
    <row r="44" spans="1:27" ht="20.100000000000001" hidden="1" customHeight="1" x14ac:dyDescent="0.25">
      <c r="B44" s="4"/>
      <c r="C44" s="5"/>
      <c r="D44" s="348" t="s">
        <v>357</v>
      </c>
      <c r="E44" s="850"/>
      <c r="F44" s="822"/>
      <c r="G44" s="821"/>
      <c r="H44" s="852"/>
      <c r="I44" s="850"/>
      <c r="J44" s="822"/>
      <c r="K44" s="821"/>
      <c r="L44" s="852"/>
      <c r="M44" s="850"/>
      <c r="N44" s="822"/>
      <c r="O44" s="821"/>
      <c r="P44" s="821"/>
      <c r="Q44" s="850"/>
      <c r="R44" s="822"/>
      <c r="S44" s="821"/>
      <c r="T44" s="821"/>
      <c r="U44" s="850"/>
      <c r="V44" s="822"/>
      <c r="W44" s="821"/>
      <c r="X44" s="5"/>
      <c r="Y44" s="6"/>
      <c r="Z44" s="957">
        <f t="shared" ref="Z44:Z50" si="22">IF(Expense_CAM_Detail=0,0,1)</f>
        <v>0</v>
      </c>
      <c r="AA44" s="957">
        <v>0</v>
      </c>
    </row>
    <row r="45" spans="1:27" hidden="1" x14ac:dyDescent="0.25">
      <c r="B45" s="4"/>
      <c r="C45" s="5"/>
      <c r="D45" s="183" t="s">
        <v>92</v>
      </c>
      <c r="E45" s="850"/>
      <c r="F45" s="822" t="str">
        <f t="shared" ref="F45:F51" si="23">IF(E$15&gt;0,IF(E45&gt;0,E45/E$15,""),"")</f>
        <v/>
      </c>
      <c r="G45" s="821" t="str">
        <f t="shared" ref="G45:G51" si="24">IF(E$18&gt;0,IF(E45&gt;0,E45/E$18,""),"")</f>
        <v/>
      </c>
      <c r="H45" s="852"/>
      <c r="I45" s="850"/>
      <c r="J45" s="822" t="str">
        <f t="shared" ref="J45:J51" si="25">IF(I$15&gt;0,IF(I45&gt;0,I45/I$15,""),"")</f>
        <v/>
      </c>
      <c r="K45" s="821" t="str">
        <f t="shared" ref="K45:K51" si="26">IF(I$18&gt;0,IF(I45&gt;0,I45/I$18,""),"")</f>
        <v/>
      </c>
      <c r="L45" s="852"/>
      <c r="M45" s="850"/>
      <c r="N45" s="822" t="str">
        <f t="shared" ref="N45:N51" si="27">IF(M$15&gt;0,IF(M45&gt;0,M45/M$15,""),"")</f>
        <v/>
      </c>
      <c r="O45" s="821" t="str">
        <f t="shared" ref="O45:O51" si="28">IF(M$18&gt;0,IF(M45&gt;0,M45/M$18,""),"")</f>
        <v/>
      </c>
      <c r="P45" s="821"/>
      <c r="Q45" s="850"/>
      <c r="R45" s="822" t="str">
        <f t="shared" ref="R45:R51" si="29">IF(Q$15&gt;0,IF(Q45&gt;0,Q45/Q$15,""),"")</f>
        <v/>
      </c>
      <c r="S45" s="821" t="str">
        <f t="shared" ref="S45:S51" si="30">IF(Q$18&gt;0,IF(Q45&gt;0,Q45/Q$18,""),"")</f>
        <v/>
      </c>
      <c r="T45" s="821"/>
      <c r="U45" s="850"/>
      <c r="V45" s="822" t="str">
        <f t="shared" ref="V45:V51" si="31">IF(U$15&gt;0,IF(U45&gt;0,U45/U$15,""),"")</f>
        <v/>
      </c>
      <c r="W45" s="821" t="str">
        <f t="shared" ref="W45:W51" si="32">IF(U$18&gt;0,IF(U45&gt;0,U45/U$18,""),"")</f>
        <v/>
      </c>
      <c r="X45" s="5"/>
      <c r="Y45" s="6"/>
      <c r="Z45" s="957">
        <f t="shared" si="22"/>
        <v>0</v>
      </c>
      <c r="AA45" s="957">
        <v>0</v>
      </c>
    </row>
    <row r="46" spans="1:27" hidden="1" x14ac:dyDescent="0.25">
      <c r="B46" s="4"/>
      <c r="C46" s="5"/>
      <c r="D46" s="183" t="s">
        <v>340</v>
      </c>
      <c r="E46" s="850"/>
      <c r="F46" s="822" t="str">
        <f t="shared" si="23"/>
        <v/>
      </c>
      <c r="G46" s="821" t="str">
        <f t="shared" si="24"/>
        <v/>
      </c>
      <c r="H46" s="852"/>
      <c r="I46" s="850"/>
      <c r="J46" s="822" t="str">
        <f t="shared" si="25"/>
        <v/>
      </c>
      <c r="K46" s="821" t="str">
        <f t="shared" si="26"/>
        <v/>
      </c>
      <c r="L46" s="852"/>
      <c r="M46" s="850"/>
      <c r="N46" s="822" t="str">
        <f t="shared" si="27"/>
        <v/>
      </c>
      <c r="O46" s="821" t="str">
        <f t="shared" si="28"/>
        <v/>
      </c>
      <c r="P46" s="821"/>
      <c r="Q46" s="850"/>
      <c r="R46" s="822" t="str">
        <f t="shared" si="29"/>
        <v/>
      </c>
      <c r="S46" s="821" t="str">
        <f t="shared" si="30"/>
        <v/>
      </c>
      <c r="T46" s="821"/>
      <c r="U46" s="850"/>
      <c r="V46" s="822" t="str">
        <f t="shared" si="31"/>
        <v/>
      </c>
      <c r="W46" s="821" t="str">
        <f t="shared" si="32"/>
        <v/>
      </c>
      <c r="X46" s="5"/>
      <c r="Y46" s="6"/>
      <c r="Z46" s="957">
        <f t="shared" si="22"/>
        <v>0</v>
      </c>
      <c r="AA46" s="957">
        <v>0</v>
      </c>
    </row>
    <row r="47" spans="1:27" hidden="1" x14ac:dyDescent="0.25">
      <c r="B47" s="4"/>
      <c r="C47" s="5"/>
      <c r="D47" s="183" t="s">
        <v>358</v>
      </c>
      <c r="E47" s="850"/>
      <c r="F47" s="822" t="str">
        <f t="shared" si="23"/>
        <v/>
      </c>
      <c r="G47" s="821" t="str">
        <f t="shared" si="24"/>
        <v/>
      </c>
      <c r="H47" s="852"/>
      <c r="I47" s="850"/>
      <c r="J47" s="822" t="str">
        <f t="shared" si="25"/>
        <v/>
      </c>
      <c r="K47" s="821" t="str">
        <f t="shared" si="26"/>
        <v/>
      </c>
      <c r="L47" s="852"/>
      <c r="M47" s="850"/>
      <c r="N47" s="822" t="str">
        <f t="shared" si="27"/>
        <v/>
      </c>
      <c r="O47" s="821" t="str">
        <f t="shared" si="28"/>
        <v/>
      </c>
      <c r="P47" s="821"/>
      <c r="Q47" s="850"/>
      <c r="R47" s="822" t="str">
        <f t="shared" si="29"/>
        <v/>
      </c>
      <c r="S47" s="821" t="str">
        <f t="shared" si="30"/>
        <v/>
      </c>
      <c r="T47" s="821"/>
      <c r="U47" s="850"/>
      <c r="V47" s="822" t="str">
        <f t="shared" si="31"/>
        <v/>
      </c>
      <c r="W47" s="821" t="str">
        <f t="shared" si="32"/>
        <v/>
      </c>
      <c r="X47" s="5"/>
      <c r="Y47" s="6"/>
      <c r="Z47" s="957">
        <f t="shared" si="22"/>
        <v>0</v>
      </c>
      <c r="AA47" s="957">
        <v>0</v>
      </c>
    </row>
    <row r="48" spans="1:27" hidden="1" x14ac:dyDescent="0.25">
      <c r="B48" s="4"/>
      <c r="C48" s="5"/>
      <c r="D48" s="183" t="s">
        <v>359</v>
      </c>
      <c r="E48" s="850"/>
      <c r="F48" s="822" t="str">
        <f t="shared" si="23"/>
        <v/>
      </c>
      <c r="G48" s="821" t="str">
        <f t="shared" si="24"/>
        <v/>
      </c>
      <c r="H48" s="852"/>
      <c r="I48" s="850"/>
      <c r="J48" s="822" t="str">
        <f t="shared" si="25"/>
        <v/>
      </c>
      <c r="K48" s="821" t="str">
        <f t="shared" si="26"/>
        <v/>
      </c>
      <c r="L48" s="852"/>
      <c r="M48" s="850"/>
      <c r="N48" s="822" t="str">
        <f t="shared" si="27"/>
        <v/>
      </c>
      <c r="O48" s="821" t="str">
        <f t="shared" si="28"/>
        <v/>
      </c>
      <c r="P48" s="821"/>
      <c r="Q48" s="850"/>
      <c r="R48" s="822" t="str">
        <f t="shared" si="29"/>
        <v/>
      </c>
      <c r="S48" s="821" t="str">
        <f t="shared" si="30"/>
        <v/>
      </c>
      <c r="T48" s="821"/>
      <c r="U48" s="850"/>
      <c r="V48" s="822" t="str">
        <f t="shared" si="31"/>
        <v/>
      </c>
      <c r="W48" s="821" t="str">
        <f t="shared" si="32"/>
        <v/>
      </c>
      <c r="X48" s="5"/>
      <c r="Y48" s="6"/>
      <c r="Z48" s="957">
        <f t="shared" si="22"/>
        <v>0</v>
      </c>
      <c r="AA48" s="957">
        <v>0</v>
      </c>
    </row>
    <row r="49" spans="1:27" hidden="1" x14ac:dyDescent="0.25">
      <c r="B49" s="4"/>
      <c r="C49" s="5"/>
      <c r="D49" s="183" t="s">
        <v>360</v>
      </c>
      <c r="E49" s="850"/>
      <c r="F49" s="822" t="str">
        <f t="shared" si="23"/>
        <v/>
      </c>
      <c r="G49" s="821" t="str">
        <f t="shared" si="24"/>
        <v/>
      </c>
      <c r="H49" s="852"/>
      <c r="I49" s="850"/>
      <c r="J49" s="822" t="str">
        <f t="shared" si="25"/>
        <v/>
      </c>
      <c r="K49" s="821" t="str">
        <f t="shared" si="26"/>
        <v/>
      </c>
      <c r="L49" s="852"/>
      <c r="M49" s="850"/>
      <c r="N49" s="822" t="str">
        <f t="shared" si="27"/>
        <v/>
      </c>
      <c r="O49" s="821" t="str">
        <f t="shared" si="28"/>
        <v/>
      </c>
      <c r="P49" s="821"/>
      <c r="Q49" s="850"/>
      <c r="R49" s="822" t="str">
        <f t="shared" si="29"/>
        <v/>
      </c>
      <c r="S49" s="821" t="str">
        <f t="shared" si="30"/>
        <v/>
      </c>
      <c r="T49" s="821"/>
      <c r="U49" s="850"/>
      <c r="V49" s="822" t="str">
        <f t="shared" si="31"/>
        <v/>
      </c>
      <c r="W49" s="821" t="str">
        <f t="shared" si="32"/>
        <v/>
      </c>
      <c r="X49" s="5"/>
      <c r="Y49" s="6"/>
      <c r="Z49" s="957">
        <f t="shared" si="22"/>
        <v>0</v>
      </c>
      <c r="AA49" s="957">
        <v>0</v>
      </c>
    </row>
    <row r="50" spans="1:27" hidden="1" x14ac:dyDescent="0.25">
      <c r="B50" s="4"/>
      <c r="C50" s="5"/>
      <c r="D50" s="349" t="s">
        <v>361</v>
      </c>
      <c r="E50" s="853"/>
      <c r="F50" s="823" t="str">
        <f t="shared" si="23"/>
        <v/>
      </c>
      <c r="G50" s="824" t="str">
        <f t="shared" si="24"/>
        <v/>
      </c>
      <c r="H50" s="852"/>
      <c r="I50" s="853"/>
      <c r="J50" s="823" t="str">
        <f t="shared" si="25"/>
        <v/>
      </c>
      <c r="K50" s="824" t="str">
        <f t="shared" si="26"/>
        <v/>
      </c>
      <c r="L50" s="852"/>
      <c r="M50" s="853"/>
      <c r="N50" s="823" t="str">
        <f t="shared" si="27"/>
        <v/>
      </c>
      <c r="O50" s="824" t="str">
        <f t="shared" si="28"/>
        <v/>
      </c>
      <c r="P50" s="821"/>
      <c r="Q50" s="853"/>
      <c r="R50" s="823" t="str">
        <f t="shared" si="29"/>
        <v/>
      </c>
      <c r="S50" s="824" t="str">
        <f t="shared" si="30"/>
        <v/>
      </c>
      <c r="T50" s="821"/>
      <c r="U50" s="853"/>
      <c r="V50" s="823" t="str">
        <f t="shared" si="31"/>
        <v/>
      </c>
      <c r="W50" s="824" t="str">
        <f t="shared" si="32"/>
        <v/>
      </c>
      <c r="X50" s="5"/>
      <c r="Y50" s="6"/>
      <c r="Z50" s="957">
        <f t="shared" si="22"/>
        <v>0</v>
      </c>
      <c r="AA50" s="957">
        <v>0</v>
      </c>
    </row>
    <row r="51" spans="1:27" s="786" customFormat="1" ht="20.100000000000001" hidden="1" customHeight="1" x14ac:dyDescent="0.25">
      <c r="A51" s="707"/>
      <c r="B51" s="87"/>
      <c r="C51" s="681"/>
      <c r="D51" s="353" t="str">
        <f>dpIncome_ExpenseCat_8</f>
        <v>Common Area Maintenance</v>
      </c>
      <c r="E51" s="850"/>
      <c r="F51" s="822" t="str">
        <f t="shared" si="23"/>
        <v/>
      </c>
      <c r="G51" s="821" t="str">
        <f t="shared" si="24"/>
        <v/>
      </c>
      <c r="H51" s="852"/>
      <c r="I51" s="850"/>
      <c r="J51" s="822" t="str">
        <f t="shared" si="25"/>
        <v/>
      </c>
      <c r="K51" s="821" t="str">
        <f t="shared" si="26"/>
        <v/>
      </c>
      <c r="L51" s="852"/>
      <c r="M51" s="850"/>
      <c r="N51" s="822" t="str">
        <f t="shared" si="27"/>
        <v/>
      </c>
      <c r="O51" s="821" t="str">
        <f t="shared" si="28"/>
        <v/>
      </c>
      <c r="P51" s="821"/>
      <c r="Q51" s="850"/>
      <c r="R51" s="822" t="str">
        <f t="shared" si="29"/>
        <v/>
      </c>
      <c r="S51" s="821" t="str">
        <f t="shared" si="30"/>
        <v/>
      </c>
      <c r="T51" s="821"/>
      <c r="U51" s="850"/>
      <c r="V51" s="822" t="str">
        <f t="shared" si="31"/>
        <v/>
      </c>
      <c r="W51" s="821" t="str">
        <f t="shared" si="32"/>
        <v/>
      </c>
      <c r="X51" s="681"/>
      <c r="Y51" s="89"/>
      <c r="Z51" s="972">
        <f>IF(AND(SUM(E51:W51)=0, Expense_CAM_Reimb=0,Expense_CAM_NonReimb=0),0,1)</f>
        <v>0</v>
      </c>
      <c r="AA51" s="972">
        <v>0</v>
      </c>
    </row>
    <row r="52" spans="1:27" ht="20.100000000000001" hidden="1" customHeight="1" x14ac:dyDescent="0.25">
      <c r="B52" s="4"/>
      <c r="C52" s="5"/>
      <c r="D52" s="348" t="s">
        <v>389</v>
      </c>
      <c r="E52" s="850"/>
      <c r="F52" s="822"/>
      <c r="G52" s="821"/>
      <c r="H52" s="852"/>
      <c r="I52" s="850"/>
      <c r="J52" s="822"/>
      <c r="K52" s="821"/>
      <c r="L52" s="852"/>
      <c r="M52" s="850"/>
      <c r="N52" s="822"/>
      <c r="O52" s="821"/>
      <c r="P52" s="821"/>
      <c r="Q52" s="850"/>
      <c r="R52" s="822"/>
      <c r="S52" s="821"/>
      <c r="T52" s="821"/>
      <c r="U52" s="850"/>
      <c r="V52" s="822"/>
      <c r="W52" s="821"/>
      <c r="X52" s="5"/>
      <c r="Y52" s="6"/>
      <c r="Z52" s="957">
        <f t="shared" ref="Z52:Z57" si="33">IF(Expense_CleaningJanitorial_Detail=0,0,1)</f>
        <v>0</v>
      </c>
      <c r="AA52" s="957">
        <v>0</v>
      </c>
    </row>
    <row r="53" spans="1:27" hidden="1" x14ac:dyDescent="0.25">
      <c r="B53" s="4"/>
      <c r="C53" s="5"/>
      <c r="D53" s="183" t="s">
        <v>347</v>
      </c>
      <c r="E53" s="850"/>
      <c r="F53" s="822" t="str">
        <f t="shared" ref="F53:F58" si="34">IF(E$15&gt;0,IF(E53&gt;0,E53/E$15,""),"")</f>
        <v/>
      </c>
      <c r="G53" s="821" t="str">
        <f t="shared" ref="G53:G58" si="35">IF(E$18&gt;0,IF(E53&gt;0,E53/E$18,""),"")</f>
        <v/>
      </c>
      <c r="H53" s="852"/>
      <c r="I53" s="850"/>
      <c r="J53" s="822" t="str">
        <f t="shared" ref="J53:J58" si="36">IF(I$15&gt;0,IF(I53&gt;0,I53/I$15,""),"")</f>
        <v/>
      </c>
      <c r="K53" s="821" t="str">
        <f t="shared" ref="K53:K58" si="37">IF(I$18&gt;0,IF(I53&gt;0,I53/I$18,""),"")</f>
        <v/>
      </c>
      <c r="L53" s="852"/>
      <c r="M53" s="850"/>
      <c r="N53" s="822" t="str">
        <f t="shared" ref="N53:N58" si="38">IF(M$15&gt;0,IF(M53&gt;0,M53/M$15,""),"")</f>
        <v/>
      </c>
      <c r="O53" s="821" t="str">
        <f t="shared" ref="O53:O58" si="39">IF(M$18&gt;0,IF(M53&gt;0,M53/M$18,""),"")</f>
        <v/>
      </c>
      <c r="P53" s="821"/>
      <c r="Q53" s="850"/>
      <c r="R53" s="822" t="str">
        <f t="shared" ref="R53:R58" si="40">IF(Q$15&gt;0,IF(Q53&gt;0,Q53/Q$15,""),"")</f>
        <v/>
      </c>
      <c r="S53" s="821" t="str">
        <f t="shared" ref="S53:S58" si="41">IF(Q$18&gt;0,IF(Q53&gt;0,Q53/Q$18,""),"")</f>
        <v/>
      </c>
      <c r="T53" s="821"/>
      <c r="U53" s="850"/>
      <c r="V53" s="822" t="str">
        <f t="shared" ref="V53:V58" si="42">IF(U$15&gt;0,IF(U53&gt;0,U53/U$15,""),"")</f>
        <v/>
      </c>
      <c r="W53" s="821" t="str">
        <f t="shared" ref="W53:W58" si="43">IF(U$18&gt;0,IF(U53&gt;0,U53/U$18,""),"")</f>
        <v/>
      </c>
      <c r="X53" s="5"/>
      <c r="Y53" s="6"/>
      <c r="Z53" s="957">
        <f t="shared" si="33"/>
        <v>0</v>
      </c>
      <c r="AA53" s="957">
        <v>0</v>
      </c>
    </row>
    <row r="54" spans="1:27" hidden="1" x14ac:dyDescent="0.25">
      <c r="B54" s="4"/>
      <c r="C54" s="5"/>
      <c r="D54" s="183" t="s">
        <v>377</v>
      </c>
      <c r="E54" s="850"/>
      <c r="F54" s="822" t="str">
        <f t="shared" si="34"/>
        <v/>
      </c>
      <c r="G54" s="821" t="str">
        <f t="shared" si="35"/>
        <v/>
      </c>
      <c r="H54" s="852"/>
      <c r="I54" s="850"/>
      <c r="J54" s="822" t="str">
        <f t="shared" si="36"/>
        <v/>
      </c>
      <c r="K54" s="821" t="str">
        <f t="shared" si="37"/>
        <v/>
      </c>
      <c r="L54" s="852"/>
      <c r="M54" s="850"/>
      <c r="N54" s="822" t="str">
        <f t="shared" si="38"/>
        <v/>
      </c>
      <c r="O54" s="821" t="str">
        <f t="shared" si="39"/>
        <v/>
      </c>
      <c r="P54" s="821"/>
      <c r="Q54" s="850"/>
      <c r="R54" s="822" t="str">
        <f t="shared" si="40"/>
        <v/>
      </c>
      <c r="S54" s="821" t="str">
        <f t="shared" si="41"/>
        <v/>
      </c>
      <c r="T54" s="821"/>
      <c r="U54" s="850"/>
      <c r="V54" s="822" t="str">
        <f t="shared" si="42"/>
        <v/>
      </c>
      <c r="W54" s="821" t="str">
        <f t="shared" si="43"/>
        <v/>
      </c>
      <c r="X54" s="5"/>
      <c r="Y54" s="6"/>
      <c r="Z54" s="957">
        <f t="shared" si="33"/>
        <v>0</v>
      </c>
      <c r="AA54" s="957">
        <v>0</v>
      </c>
    </row>
    <row r="55" spans="1:27" hidden="1" x14ac:dyDescent="0.25">
      <c r="B55" s="4"/>
      <c r="C55" s="5"/>
      <c r="D55" s="183" t="s">
        <v>378</v>
      </c>
      <c r="E55" s="850"/>
      <c r="F55" s="822" t="str">
        <f t="shared" si="34"/>
        <v/>
      </c>
      <c r="G55" s="821" t="str">
        <f t="shared" si="35"/>
        <v/>
      </c>
      <c r="H55" s="852"/>
      <c r="I55" s="850"/>
      <c r="J55" s="822" t="str">
        <f t="shared" si="36"/>
        <v/>
      </c>
      <c r="K55" s="821" t="str">
        <f t="shared" si="37"/>
        <v/>
      </c>
      <c r="L55" s="852"/>
      <c r="M55" s="850"/>
      <c r="N55" s="822" t="str">
        <f t="shared" si="38"/>
        <v/>
      </c>
      <c r="O55" s="821" t="str">
        <f t="shared" si="39"/>
        <v/>
      </c>
      <c r="P55" s="821"/>
      <c r="Q55" s="850"/>
      <c r="R55" s="822" t="str">
        <f t="shared" si="40"/>
        <v/>
      </c>
      <c r="S55" s="821" t="str">
        <f t="shared" si="41"/>
        <v/>
      </c>
      <c r="T55" s="821"/>
      <c r="U55" s="850"/>
      <c r="V55" s="822" t="str">
        <f t="shared" si="42"/>
        <v/>
      </c>
      <c r="W55" s="821" t="str">
        <f t="shared" si="43"/>
        <v/>
      </c>
      <c r="X55" s="5"/>
      <c r="Y55" s="6"/>
      <c r="Z55" s="957">
        <f t="shared" si="33"/>
        <v>0</v>
      </c>
      <c r="AA55" s="957">
        <v>0</v>
      </c>
    </row>
    <row r="56" spans="1:27" hidden="1" x14ac:dyDescent="0.25">
      <c r="B56" s="4"/>
      <c r="C56" s="5"/>
      <c r="D56" s="183" t="s">
        <v>351</v>
      </c>
      <c r="E56" s="850"/>
      <c r="F56" s="822" t="str">
        <f t="shared" si="34"/>
        <v/>
      </c>
      <c r="G56" s="821" t="str">
        <f t="shared" si="35"/>
        <v/>
      </c>
      <c r="H56" s="852"/>
      <c r="I56" s="850"/>
      <c r="J56" s="822" t="str">
        <f t="shared" si="36"/>
        <v/>
      </c>
      <c r="K56" s="821" t="str">
        <f t="shared" si="37"/>
        <v/>
      </c>
      <c r="L56" s="852"/>
      <c r="M56" s="850"/>
      <c r="N56" s="822" t="str">
        <f t="shared" si="38"/>
        <v/>
      </c>
      <c r="O56" s="821" t="str">
        <f t="shared" si="39"/>
        <v/>
      </c>
      <c r="P56" s="821"/>
      <c r="Q56" s="850"/>
      <c r="R56" s="822" t="str">
        <f t="shared" si="40"/>
        <v/>
      </c>
      <c r="S56" s="821" t="str">
        <f t="shared" si="41"/>
        <v/>
      </c>
      <c r="T56" s="821"/>
      <c r="U56" s="850"/>
      <c r="V56" s="822" t="str">
        <f t="shared" si="42"/>
        <v/>
      </c>
      <c r="W56" s="821" t="str">
        <f t="shared" si="43"/>
        <v/>
      </c>
      <c r="X56" s="5"/>
      <c r="Y56" s="6"/>
      <c r="Z56" s="957">
        <f t="shared" si="33"/>
        <v>0</v>
      </c>
      <c r="AA56" s="957">
        <v>0</v>
      </c>
    </row>
    <row r="57" spans="1:27" hidden="1" x14ac:dyDescent="0.25">
      <c r="B57" s="4"/>
      <c r="C57" s="5"/>
      <c r="D57" s="349" t="s">
        <v>352</v>
      </c>
      <c r="E57" s="853"/>
      <c r="F57" s="823" t="str">
        <f t="shared" si="34"/>
        <v/>
      </c>
      <c r="G57" s="824" t="str">
        <f t="shared" si="35"/>
        <v/>
      </c>
      <c r="H57" s="852"/>
      <c r="I57" s="853"/>
      <c r="J57" s="823" t="str">
        <f t="shared" si="36"/>
        <v/>
      </c>
      <c r="K57" s="824" t="str">
        <f t="shared" si="37"/>
        <v/>
      </c>
      <c r="L57" s="852"/>
      <c r="M57" s="853"/>
      <c r="N57" s="823" t="str">
        <f t="shared" si="38"/>
        <v/>
      </c>
      <c r="O57" s="824" t="str">
        <f t="shared" si="39"/>
        <v/>
      </c>
      <c r="P57" s="821"/>
      <c r="Q57" s="853"/>
      <c r="R57" s="823" t="str">
        <f t="shared" si="40"/>
        <v/>
      </c>
      <c r="S57" s="824" t="str">
        <f t="shared" si="41"/>
        <v/>
      </c>
      <c r="T57" s="821"/>
      <c r="U57" s="853"/>
      <c r="V57" s="823" t="str">
        <f t="shared" si="42"/>
        <v/>
      </c>
      <c r="W57" s="824" t="str">
        <f t="shared" si="43"/>
        <v/>
      </c>
      <c r="X57" s="5"/>
      <c r="Y57" s="6"/>
      <c r="Z57" s="957">
        <f t="shared" si="33"/>
        <v>0</v>
      </c>
      <c r="AA57" s="957">
        <v>0</v>
      </c>
    </row>
    <row r="58" spans="1:27" s="786" customFormat="1" ht="20.100000000000001" hidden="1" customHeight="1" x14ac:dyDescent="0.25">
      <c r="A58" s="707"/>
      <c r="B58" s="87"/>
      <c r="C58" s="681"/>
      <c r="D58" s="353" t="str">
        <f>dpIncome_ExpenseCat_9</f>
        <v>Cleaning &amp; Janitorial</v>
      </c>
      <c r="E58" s="850">
        <f>E53+E57</f>
        <v>0</v>
      </c>
      <c r="F58" s="822" t="str">
        <f t="shared" si="34"/>
        <v/>
      </c>
      <c r="G58" s="821" t="str">
        <f t="shared" si="35"/>
        <v/>
      </c>
      <c r="H58" s="852"/>
      <c r="I58" s="850">
        <f>I53+I57</f>
        <v>0</v>
      </c>
      <c r="J58" s="822" t="str">
        <f t="shared" si="36"/>
        <v/>
      </c>
      <c r="K58" s="821" t="str">
        <f t="shared" si="37"/>
        <v/>
      </c>
      <c r="L58" s="852"/>
      <c r="M58" s="850">
        <f>M53+M57</f>
        <v>0</v>
      </c>
      <c r="N58" s="822" t="str">
        <f t="shared" si="38"/>
        <v/>
      </c>
      <c r="O58" s="821" t="str">
        <f t="shared" si="39"/>
        <v/>
      </c>
      <c r="P58" s="821"/>
      <c r="Q58" s="850">
        <f>Q53+Q57</f>
        <v>0</v>
      </c>
      <c r="R58" s="822" t="str">
        <f t="shared" si="40"/>
        <v/>
      </c>
      <c r="S58" s="821" t="str">
        <f t="shared" si="41"/>
        <v/>
      </c>
      <c r="T58" s="821"/>
      <c r="U58" s="850">
        <f>U53+U57</f>
        <v>0</v>
      </c>
      <c r="V58" s="822" t="str">
        <f t="shared" si="42"/>
        <v/>
      </c>
      <c r="W58" s="821" t="str">
        <f t="shared" si="43"/>
        <v/>
      </c>
      <c r="X58" s="681"/>
      <c r="Y58" s="89"/>
      <c r="Z58" s="972">
        <f>IF(AND(SUM(E58:W58)=0, Expense_CleaningJanitorial_Reimb=0,Expense_CleaningJanitorial_NonReimb=0),0,1)</f>
        <v>0</v>
      </c>
      <c r="AA58" s="972">
        <v>0</v>
      </c>
    </row>
    <row r="59" spans="1:27" ht="20.100000000000001" hidden="1" customHeight="1" x14ac:dyDescent="0.25">
      <c r="B59" s="4"/>
      <c r="C59" s="5"/>
      <c r="D59" s="348" t="s">
        <v>353</v>
      </c>
      <c r="E59" s="850"/>
      <c r="F59" s="822"/>
      <c r="G59" s="821"/>
      <c r="H59" s="852"/>
      <c r="I59" s="850"/>
      <c r="J59" s="822"/>
      <c r="K59" s="821"/>
      <c r="L59" s="852"/>
      <c r="M59" s="850"/>
      <c r="N59" s="822"/>
      <c r="O59" s="821"/>
      <c r="P59" s="821"/>
      <c r="Q59" s="850"/>
      <c r="R59" s="822"/>
      <c r="S59" s="821"/>
      <c r="T59" s="821"/>
      <c r="U59" s="850"/>
      <c r="V59" s="822"/>
      <c r="W59" s="821"/>
      <c r="X59" s="5"/>
      <c r="Y59" s="6"/>
      <c r="Z59" s="957">
        <f>IF(Expense_Leasing_Detail=0,0,1)</f>
        <v>0</v>
      </c>
      <c r="AA59" s="957">
        <v>0</v>
      </c>
    </row>
    <row r="60" spans="1:27" hidden="1" x14ac:dyDescent="0.25">
      <c r="B60" s="4"/>
      <c r="C60" s="5"/>
      <c r="D60" s="183" t="s">
        <v>354</v>
      </c>
      <c r="E60" s="850"/>
      <c r="F60" s="822" t="str">
        <f>IF(E$15&gt;0,IF(E60&gt;0,E60/E$15,""),"")</f>
        <v/>
      </c>
      <c r="G60" s="821" t="str">
        <f>IF(E$18&gt;0,IF(E60&gt;0,E60/E$18,""),"")</f>
        <v/>
      </c>
      <c r="H60" s="852"/>
      <c r="I60" s="850"/>
      <c r="J60" s="822" t="str">
        <f>IF(I$15&gt;0,IF(I60&gt;0,I60/I$15,""),"")</f>
        <v/>
      </c>
      <c r="K60" s="821" t="str">
        <f>IF(I$18&gt;0,IF(I60&gt;0,I60/I$18,""),"")</f>
        <v/>
      </c>
      <c r="L60" s="852"/>
      <c r="M60" s="850"/>
      <c r="N60" s="822" t="str">
        <f>IF(M$15&gt;0,IF(M60&gt;0,M60/M$15,""),"")</f>
        <v/>
      </c>
      <c r="O60" s="821" t="str">
        <f>IF(M$18&gt;0,IF(M60&gt;0,M60/M$18,""),"")</f>
        <v/>
      </c>
      <c r="P60" s="821"/>
      <c r="Q60" s="850"/>
      <c r="R60" s="822" t="str">
        <f>IF(Q$15&gt;0,IF(Q60&gt;0,Q60/Q$15,""),"")</f>
        <v/>
      </c>
      <c r="S60" s="821" t="str">
        <f>IF(Q$18&gt;0,IF(Q60&gt;0,Q60/Q$18,""),"")</f>
        <v/>
      </c>
      <c r="T60" s="821"/>
      <c r="U60" s="850"/>
      <c r="V60" s="822" t="str">
        <f>IF(U$15&gt;0,IF(U60&gt;0,U60/U$15,""),"")</f>
        <v/>
      </c>
      <c r="W60" s="821" t="str">
        <f>IF(U$18&gt;0,IF(U60&gt;0,U60/U$18,""),"")</f>
        <v/>
      </c>
      <c r="X60" s="5"/>
      <c r="Y60" s="6"/>
      <c r="Z60" s="957">
        <f>IF(Expense_Leasing_Detail=0,0,1)</f>
        <v>0</v>
      </c>
      <c r="AA60" s="957">
        <v>0</v>
      </c>
    </row>
    <row r="61" spans="1:27" hidden="1" x14ac:dyDescent="0.25">
      <c r="B61" s="4"/>
      <c r="C61" s="5"/>
      <c r="D61" s="183" t="s">
        <v>355</v>
      </c>
      <c r="E61" s="850"/>
      <c r="F61" s="822" t="str">
        <f>IF(E$15&gt;0,IF(E61&gt;0,E61/E$15,""),"")</f>
        <v/>
      </c>
      <c r="G61" s="821" t="str">
        <f>IF(E$18&gt;0,IF(E61&gt;0,E61/E$18,""),"")</f>
        <v/>
      </c>
      <c r="H61" s="852"/>
      <c r="I61" s="850"/>
      <c r="J61" s="822" t="str">
        <f>IF(I$15&gt;0,IF(I61&gt;0,I61/I$15,""),"")</f>
        <v/>
      </c>
      <c r="K61" s="821" t="str">
        <f>IF(I$18&gt;0,IF(I61&gt;0,I61/I$18,""),"")</f>
        <v/>
      </c>
      <c r="L61" s="852"/>
      <c r="M61" s="850"/>
      <c r="N61" s="822" t="str">
        <f>IF(M$15&gt;0,IF(M61&gt;0,M61/M$15,""),"")</f>
        <v/>
      </c>
      <c r="O61" s="821" t="str">
        <f>IF(M$18&gt;0,IF(M61&gt;0,M61/M$18,""),"")</f>
        <v/>
      </c>
      <c r="P61" s="821"/>
      <c r="Q61" s="850"/>
      <c r="R61" s="822" t="str">
        <f>IF(Q$15&gt;0,IF(Q61&gt;0,Q61/Q$15,""),"")</f>
        <v/>
      </c>
      <c r="S61" s="821" t="str">
        <f>IF(Q$18&gt;0,IF(Q61&gt;0,Q61/Q$18,""),"")</f>
        <v/>
      </c>
      <c r="T61" s="821"/>
      <c r="U61" s="850"/>
      <c r="V61" s="822" t="str">
        <f>IF(U$15&gt;0,IF(U61&gt;0,U61/U$15,""),"")</f>
        <v/>
      </c>
      <c r="W61" s="821" t="str">
        <f>IF(U$18&gt;0,IF(U61&gt;0,U61/U$18,""),"")</f>
        <v/>
      </c>
      <c r="X61" s="5"/>
      <c r="Y61" s="6"/>
      <c r="Z61" s="957">
        <f>IF(Expense_Leasing_Detail=0,0,1)</f>
        <v>0</v>
      </c>
      <c r="AA61" s="957">
        <v>0</v>
      </c>
    </row>
    <row r="62" spans="1:27" hidden="1" x14ac:dyDescent="0.25">
      <c r="B62" s="4"/>
      <c r="C62" s="5"/>
      <c r="D62" s="349" t="s">
        <v>356</v>
      </c>
      <c r="E62" s="853"/>
      <c r="F62" s="823" t="str">
        <f>IF(E$15&gt;0,IF(E62&gt;0,E62/E$15,""),"")</f>
        <v/>
      </c>
      <c r="G62" s="824" t="str">
        <f>IF(E$18&gt;0,IF(E62&gt;0,E62/E$18,""),"")</f>
        <v/>
      </c>
      <c r="H62" s="852"/>
      <c r="I62" s="853"/>
      <c r="J62" s="823" t="str">
        <f>IF(I$15&gt;0,IF(I62&gt;0,I62/I$15,""),"")</f>
        <v/>
      </c>
      <c r="K62" s="824" t="str">
        <f>IF(I$18&gt;0,IF(I62&gt;0,I62/I$18,""),"")</f>
        <v/>
      </c>
      <c r="L62" s="852"/>
      <c r="M62" s="853"/>
      <c r="N62" s="823" t="str">
        <f>IF(M$15&gt;0,IF(M62&gt;0,M62/M$15,""),"")</f>
        <v/>
      </c>
      <c r="O62" s="824" t="str">
        <f>IF(M$18&gt;0,IF(M62&gt;0,M62/M$18,""),"")</f>
        <v/>
      </c>
      <c r="P62" s="821"/>
      <c r="Q62" s="853"/>
      <c r="R62" s="823" t="str">
        <f>IF(Q$15&gt;0,IF(Q62&gt;0,Q62/Q$15,""),"")</f>
        <v/>
      </c>
      <c r="S62" s="824" t="str">
        <f>IF(Q$18&gt;0,IF(Q62&gt;0,Q62/Q$18,""),"")</f>
        <v/>
      </c>
      <c r="T62" s="821"/>
      <c r="U62" s="853"/>
      <c r="V62" s="823" t="str">
        <f>IF(U$15&gt;0,IF(U62&gt;0,U62/U$15,""),"")</f>
        <v/>
      </c>
      <c r="W62" s="824" t="str">
        <f>IF(U$18&gt;0,IF(U62&gt;0,U62/U$18,""),"")</f>
        <v/>
      </c>
      <c r="X62" s="5"/>
      <c r="Y62" s="6"/>
      <c r="Z62" s="957">
        <f>IF(Expense_Leasing_Detail=0,0,1)</f>
        <v>0</v>
      </c>
      <c r="AA62" s="957">
        <v>0</v>
      </c>
    </row>
    <row r="63" spans="1:27" s="786" customFormat="1" ht="20.100000000000001" hidden="1" customHeight="1" x14ac:dyDescent="0.25">
      <c r="A63" s="707"/>
      <c r="B63" s="87"/>
      <c r="C63" s="681"/>
      <c r="D63" s="353" t="str">
        <f>dpIncome_ExpenseCat_10</f>
        <v>Leasing Expenses</v>
      </c>
      <c r="E63" s="850"/>
      <c r="F63" s="822" t="str">
        <f>IF(E$15&gt;0,IF(E63&gt;0,E63/E$15,""),"")</f>
        <v/>
      </c>
      <c r="G63" s="821" t="str">
        <f>IF(E$18&gt;0,IF(E63&gt;0,E63/E$18,""),"")</f>
        <v/>
      </c>
      <c r="H63" s="852"/>
      <c r="I63" s="850"/>
      <c r="J63" s="822" t="str">
        <f>IF(I$15&gt;0,IF(I63&gt;0,I63/I$15,""),"")</f>
        <v/>
      </c>
      <c r="K63" s="821" t="str">
        <f>IF(I$18&gt;0,IF(I63&gt;0,I63/I$18,""),"")</f>
        <v/>
      </c>
      <c r="L63" s="852"/>
      <c r="M63" s="850"/>
      <c r="N63" s="822" t="str">
        <f>IF(M$15&gt;0,IF(M63&gt;0,M63/M$15,""),"")</f>
        <v/>
      </c>
      <c r="O63" s="821" t="str">
        <f>IF(M$18&gt;0,IF(M63&gt;0,M63/M$18,""),"")</f>
        <v/>
      </c>
      <c r="P63" s="821"/>
      <c r="Q63" s="850"/>
      <c r="R63" s="822" t="str">
        <f>IF(Q$15&gt;0,IF(Q63&gt;0,Q63/Q$15,""),"")</f>
        <v/>
      </c>
      <c r="S63" s="821" t="str">
        <f>IF(Q$18&gt;0,IF(Q63&gt;0,Q63/Q$18,""),"")</f>
        <v/>
      </c>
      <c r="T63" s="821"/>
      <c r="U63" s="850"/>
      <c r="V63" s="822" t="str">
        <f>IF(U$15&gt;0,IF(U63&gt;0,U63/U$15,""),"")</f>
        <v/>
      </c>
      <c r="W63" s="821" t="str">
        <f>IF(U$18&gt;0,IF(U63&gt;0,U63/U$18,""),"")</f>
        <v/>
      </c>
      <c r="X63" s="681"/>
      <c r="Y63" s="89"/>
      <c r="Z63" s="972">
        <f>IF(AND(SUM(E63:W63)=0, Expense_Leasing_Reimb=0,Expense_Leasing_NonReimb=0),0,1)</f>
        <v>0</v>
      </c>
      <c r="AA63" s="972">
        <v>0</v>
      </c>
    </row>
    <row r="64" spans="1:27" ht="20.100000000000001" hidden="1" customHeight="1" x14ac:dyDescent="0.25">
      <c r="B64" s="4"/>
      <c r="C64" s="5"/>
      <c r="D64" s="348" t="s">
        <v>362</v>
      </c>
      <c r="E64" s="850"/>
      <c r="F64" s="822"/>
      <c r="G64" s="821"/>
      <c r="H64" s="852"/>
      <c r="I64" s="850"/>
      <c r="J64" s="822"/>
      <c r="K64" s="821"/>
      <c r="L64" s="852"/>
      <c r="M64" s="850"/>
      <c r="N64" s="822"/>
      <c r="O64" s="821"/>
      <c r="P64" s="821"/>
      <c r="Q64" s="850"/>
      <c r="R64" s="822"/>
      <c r="S64" s="821"/>
      <c r="T64" s="821"/>
      <c r="U64" s="850"/>
      <c r="V64" s="822"/>
      <c r="W64" s="821"/>
      <c r="X64" s="5"/>
      <c r="Y64" s="6"/>
      <c r="Z64" s="957">
        <f>IF(Expense_Payroll_Detail=0,0,1)</f>
        <v>0</v>
      </c>
      <c r="AA64" s="957">
        <v>0</v>
      </c>
    </row>
    <row r="65" spans="1:27" hidden="1" x14ac:dyDescent="0.25">
      <c r="B65" s="4"/>
      <c r="C65" s="5"/>
      <c r="D65" s="183" t="s">
        <v>363</v>
      </c>
      <c r="E65" s="850"/>
      <c r="F65" s="822" t="str">
        <f t="shared" ref="F65:F75" si="44">IF(E$15&gt;0,IF(E65&gt;0,E65/E$15,""),"")</f>
        <v/>
      </c>
      <c r="G65" s="821" t="str">
        <f t="shared" ref="G65:G75" si="45">IF(E$18&gt;0,IF(E65&gt;0,E65/E$18,""),"")</f>
        <v/>
      </c>
      <c r="H65" s="852"/>
      <c r="I65" s="850"/>
      <c r="J65" s="822" t="str">
        <f t="shared" ref="J65:J75" si="46">IF(I$15&gt;0,IF(I65&gt;0,I65/I$15,""),"")</f>
        <v/>
      </c>
      <c r="K65" s="821" t="str">
        <f t="shared" ref="K65:K75" si="47">IF(I$18&gt;0,IF(I65&gt;0,I65/I$18,""),"")</f>
        <v/>
      </c>
      <c r="L65" s="852"/>
      <c r="M65" s="850"/>
      <c r="N65" s="822" t="str">
        <f t="shared" ref="N65:N75" si="48">IF(M$15&gt;0,IF(M65&gt;0,M65/M$15,""),"")</f>
        <v/>
      </c>
      <c r="O65" s="821" t="str">
        <f t="shared" ref="O65:O75" si="49">IF(M$18&gt;0,IF(M65&gt;0,M65/M$18,""),"")</f>
        <v/>
      </c>
      <c r="P65" s="821"/>
      <c r="Q65" s="850"/>
      <c r="R65" s="822" t="str">
        <f t="shared" ref="R65:R75" si="50">IF(Q$15&gt;0,IF(Q65&gt;0,Q65/Q$15,""),"")</f>
        <v/>
      </c>
      <c r="S65" s="821" t="str">
        <f t="shared" ref="S65:S75" si="51">IF(Q$18&gt;0,IF(Q65&gt;0,Q65/Q$18,""),"")</f>
        <v/>
      </c>
      <c r="T65" s="821"/>
      <c r="U65" s="850"/>
      <c r="V65" s="822" t="str">
        <f t="shared" ref="V65:V75" si="52">IF(U$15&gt;0,IF(U65&gt;0,U65/U$15,""),"")</f>
        <v/>
      </c>
      <c r="W65" s="821" t="str">
        <f t="shared" ref="W65:W75" si="53">IF(U$18&gt;0,IF(U65&gt;0,U65/U$18,""),"")</f>
        <v/>
      </c>
      <c r="X65" s="5"/>
      <c r="Y65" s="6"/>
      <c r="Z65" s="957">
        <f>IF(Expense_Payroll_Detail=0,0,1)</f>
        <v>0</v>
      </c>
      <c r="AA65" s="957">
        <v>0</v>
      </c>
    </row>
    <row r="66" spans="1:27" hidden="1" x14ac:dyDescent="0.25">
      <c r="B66" s="4"/>
      <c r="C66" s="5"/>
      <c r="D66" s="183" t="s">
        <v>364</v>
      </c>
      <c r="E66" s="850"/>
      <c r="F66" s="822" t="str">
        <f t="shared" si="44"/>
        <v/>
      </c>
      <c r="G66" s="821" t="str">
        <f t="shared" si="45"/>
        <v/>
      </c>
      <c r="H66" s="852"/>
      <c r="I66" s="850"/>
      <c r="J66" s="822" t="str">
        <f t="shared" si="46"/>
        <v/>
      </c>
      <c r="K66" s="821" t="str">
        <f t="shared" si="47"/>
        <v/>
      </c>
      <c r="L66" s="852"/>
      <c r="M66" s="850"/>
      <c r="N66" s="822" t="str">
        <f t="shared" si="48"/>
        <v/>
      </c>
      <c r="O66" s="821" t="str">
        <f t="shared" si="49"/>
        <v/>
      </c>
      <c r="P66" s="821"/>
      <c r="Q66" s="850"/>
      <c r="R66" s="822" t="str">
        <f t="shared" si="50"/>
        <v/>
      </c>
      <c r="S66" s="821" t="str">
        <f t="shared" si="51"/>
        <v/>
      </c>
      <c r="T66" s="821"/>
      <c r="U66" s="850"/>
      <c r="V66" s="822" t="str">
        <f t="shared" si="52"/>
        <v/>
      </c>
      <c r="W66" s="821" t="str">
        <f t="shared" si="53"/>
        <v/>
      </c>
      <c r="X66" s="5"/>
      <c r="Y66" s="6"/>
      <c r="Z66" s="957">
        <f>IF(Expense_Payroll_Detail=0,0,1)</f>
        <v>0</v>
      </c>
      <c r="AA66" s="957">
        <v>0</v>
      </c>
    </row>
    <row r="67" spans="1:27" hidden="1" x14ac:dyDescent="0.25">
      <c r="B67" s="4"/>
      <c r="C67" s="5"/>
      <c r="D67" s="183" t="s">
        <v>365</v>
      </c>
      <c r="E67" s="850"/>
      <c r="F67" s="822" t="str">
        <f t="shared" si="44"/>
        <v/>
      </c>
      <c r="G67" s="821" t="str">
        <f t="shared" si="45"/>
        <v/>
      </c>
      <c r="H67" s="852"/>
      <c r="I67" s="850"/>
      <c r="J67" s="822" t="str">
        <f t="shared" si="46"/>
        <v/>
      </c>
      <c r="K67" s="821" t="str">
        <f t="shared" si="47"/>
        <v/>
      </c>
      <c r="L67" s="852"/>
      <c r="M67" s="850"/>
      <c r="N67" s="822" t="str">
        <f t="shared" si="48"/>
        <v/>
      </c>
      <c r="O67" s="821" t="str">
        <f t="shared" si="49"/>
        <v/>
      </c>
      <c r="P67" s="821"/>
      <c r="Q67" s="850"/>
      <c r="R67" s="822" t="str">
        <f t="shared" si="50"/>
        <v/>
      </c>
      <c r="S67" s="821" t="str">
        <f t="shared" si="51"/>
        <v/>
      </c>
      <c r="T67" s="821"/>
      <c r="U67" s="850"/>
      <c r="V67" s="822" t="str">
        <f t="shared" si="52"/>
        <v/>
      </c>
      <c r="W67" s="821" t="str">
        <f t="shared" si="53"/>
        <v/>
      </c>
      <c r="X67" s="5"/>
      <c r="Y67" s="6"/>
      <c r="Z67" s="957">
        <f>IF(Expense_Payroll_Detail=0,0,1)</f>
        <v>0</v>
      </c>
      <c r="AA67" s="957">
        <v>0</v>
      </c>
    </row>
    <row r="68" spans="1:27" hidden="1" x14ac:dyDescent="0.25">
      <c r="B68" s="4"/>
      <c r="C68" s="5"/>
      <c r="D68" s="349" t="s">
        <v>366</v>
      </c>
      <c r="E68" s="853"/>
      <c r="F68" s="823" t="str">
        <f t="shared" si="44"/>
        <v/>
      </c>
      <c r="G68" s="824" t="str">
        <f t="shared" si="45"/>
        <v/>
      </c>
      <c r="H68" s="852"/>
      <c r="I68" s="853"/>
      <c r="J68" s="823" t="str">
        <f t="shared" si="46"/>
        <v/>
      </c>
      <c r="K68" s="824" t="str">
        <f t="shared" si="47"/>
        <v/>
      </c>
      <c r="L68" s="852"/>
      <c r="M68" s="853"/>
      <c r="N68" s="823" t="str">
        <f t="shared" si="48"/>
        <v/>
      </c>
      <c r="O68" s="824" t="str">
        <f t="shared" si="49"/>
        <v/>
      </c>
      <c r="P68" s="821"/>
      <c r="Q68" s="853"/>
      <c r="R68" s="823" t="str">
        <f t="shared" si="50"/>
        <v/>
      </c>
      <c r="S68" s="824" t="str">
        <f t="shared" si="51"/>
        <v/>
      </c>
      <c r="T68" s="821"/>
      <c r="U68" s="853"/>
      <c r="V68" s="823" t="str">
        <f t="shared" si="52"/>
        <v/>
      </c>
      <c r="W68" s="824" t="str">
        <f t="shared" si="53"/>
        <v/>
      </c>
      <c r="X68" s="5"/>
      <c r="Y68" s="6"/>
      <c r="Z68" s="957">
        <f>IF(Expense_Payroll_Detail=0,0,1)</f>
        <v>0</v>
      </c>
      <c r="AA68" s="957">
        <v>0</v>
      </c>
    </row>
    <row r="69" spans="1:27" s="786" customFormat="1" ht="20.100000000000001" hidden="1" customHeight="1" x14ac:dyDescent="0.25">
      <c r="A69" s="707"/>
      <c r="B69" s="87"/>
      <c r="C69" s="681"/>
      <c r="D69" s="353" t="str">
        <f>dpIncome_ExpenseCat_11</f>
        <v>Payroll</v>
      </c>
      <c r="E69" s="850"/>
      <c r="F69" s="822" t="str">
        <f t="shared" si="44"/>
        <v/>
      </c>
      <c r="G69" s="821" t="str">
        <f t="shared" si="45"/>
        <v/>
      </c>
      <c r="H69" s="852"/>
      <c r="I69" s="850"/>
      <c r="J69" s="822" t="str">
        <f t="shared" si="46"/>
        <v/>
      </c>
      <c r="K69" s="821" t="str">
        <f t="shared" si="47"/>
        <v/>
      </c>
      <c r="L69" s="852"/>
      <c r="M69" s="850"/>
      <c r="N69" s="822" t="str">
        <f t="shared" si="48"/>
        <v/>
      </c>
      <c r="O69" s="821" t="str">
        <f t="shared" si="49"/>
        <v/>
      </c>
      <c r="P69" s="821"/>
      <c r="Q69" s="850"/>
      <c r="R69" s="822" t="str">
        <f t="shared" si="50"/>
        <v/>
      </c>
      <c r="S69" s="821" t="str">
        <f t="shared" si="51"/>
        <v/>
      </c>
      <c r="T69" s="821"/>
      <c r="U69" s="850"/>
      <c r="V69" s="822" t="str">
        <f t="shared" si="52"/>
        <v/>
      </c>
      <c r="W69" s="821" t="str">
        <f t="shared" si="53"/>
        <v/>
      </c>
      <c r="X69" s="681"/>
      <c r="Y69" s="89"/>
      <c r="Z69" s="972">
        <f>IF(AND(SUM(E69:W69)=0, Expense_Payroll_Reimb=0,Expense_Payroll_NonReimb=0),0,1)</f>
        <v>0</v>
      </c>
      <c r="AA69" s="972">
        <v>0</v>
      </c>
    </row>
    <row r="70" spans="1:27" s="786" customFormat="1" ht="20.100000000000001" hidden="1" customHeight="1" x14ac:dyDescent="0.25">
      <c r="A70" s="707"/>
      <c r="B70" s="87"/>
      <c r="C70" s="681"/>
      <c r="D70" s="353" t="str">
        <f>dpIncome_ExpenseCat_12</f>
        <v>Security</v>
      </c>
      <c r="E70" s="850"/>
      <c r="F70" s="822" t="str">
        <f t="shared" si="44"/>
        <v/>
      </c>
      <c r="G70" s="821" t="str">
        <f t="shared" si="45"/>
        <v/>
      </c>
      <c r="H70" s="852"/>
      <c r="I70" s="850"/>
      <c r="J70" s="822" t="str">
        <f t="shared" si="46"/>
        <v/>
      </c>
      <c r="K70" s="821" t="str">
        <f t="shared" si="47"/>
        <v/>
      </c>
      <c r="L70" s="852"/>
      <c r="M70" s="850"/>
      <c r="N70" s="822" t="str">
        <f t="shared" si="48"/>
        <v/>
      </c>
      <c r="O70" s="821" t="str">
        <f t="shared" si="49"/>
        <v/>
      </c>
      <c r="P70" s="821"/>
      <c r="Q70" s="850"/>
      <c r="R70" s="822" t="str">
        <f t="shared" si="50"/>
        <v/>
      </c>
      <c r="S70" s="821" t="str">
        <f t="shared" si="51"/>
        <v/>
      </c>
      <c r="T70" s="821"/>
      <c r="U70" s="850"/>
      <c r="V70" s="822" t="str">
        <f t="shared" si="52"/>
        <v/>
      </c>
      <c r="W70" s="821" t="str">
        <f t="shared" si="53"/>
        <v/>
      </c>
      <c r="X70" s="681"/>
      <c r="Y70" s="89"/>
      <c r="Z70" s="972">
        <f>IF(AND(SUM(E70:W70)=0, Expense_Security_Reimb=0,Expense_Security_NonReimb=0),0,1)</f>
        <v>0</v>
      </c>
      <c r="AA70" s="972">
        <v>0</v>
      </c>
    </row>
    <row r="71" spans="1:27" s="786" customFormat="1" ht="20.100000000000001" hidden="1" customHeight="1" x14ac:dyDescent="0.25">
      <c r="A71" s="707"/>
      <c r="B71" s="87"/>
      <c r="C71" s="681"/>
      <c r="D71" s="353" t="str">
        <f>dpIncome_ExpenseCat_13</f>
        <v>Roads &amp; Grounds</v>
      </c>
      <c r="E71" s="850"/>
      <c r="F71" s="822" t="str">
        <f t="shared" si="44"/>
        <v/>
      </c>
      <c r="G71" s="821" t="str">
        <f t="shared" si="45"/>
        <v/>
      </c>
      <c r="H71" s="852"/>
      <c r="I71" s="850"/>
      <c r="J71" s="822" t="str">
        <f t="shared" si="46"/>
        <v/>
      </c>
      <c r="K71" s="821" t="str">
        <f t="shared" si="47"/>
        <v/>
      </c>
      <c r="L71" s="852"/>
      <c r="M71" s="850"/>
      <c r="N71" s="822" t="str">
        <f t="shared" si="48"/>
        <v/>
      </c>
      <c r="O71" s="821" t="str">
        <f t="shared" si="49"/>
        <v/>
      </c>
      <c r="P71" s="821"/>
      <c r="Q71" s="850"/>
      <c r="R71" s="822" t="str">
        <f t="shared" si="50"/>
        <v/>
      </c>
      <c r="S71" s="821" t="str">
        <f t="shared" si="51"/>
        <v/>
      </c>
      <c r="T71" s="821"/>
      <c r="U71" s="850"/>
      <c r="V71" s="822" t="str">
        <f t="shared" si="52"/>
        <v/>
      </c>
      <c r="W71" s="821" t="str">
        <f t="shared" si="53"/>
        <v/>
      </c>
      <c r="X71" s="681"/>
      <c r="Y71" s="89"/>
      <c r="Z71" s="972">
        <f>IF(AND(SUM(E71:W71)=0, Expense_RoadsGrounds_Reimb=0,Expense_RoadsGrounds_NonReimb=0),0,1)</f>
        <v>0</v>
      </c>
      <c r="AA71" s="972">
        <v>0</v>
      </c>
    </row>
    <row r="72" spans="1:27" s="786" customFormat="1" ht="20.100000000000001" hidden="1" customHeight="1" x14ac:dyDescent="0.25">
      <c r="A72" s="707"/>
      <c r="B72" s="87"/>
      <c r="C72" s="681"/>
      <c r="D72" s="353" t="str">
        <f>dpIncome_ExpenseCat_14</f>
        <v>Other Operating Expenses</v>
      </c>
      <c r="E72" s="850"/>
      <c r="F72" s="822" t="str">
        <f t="shared" si="44"/>
        <v/>
      </c>
      <c r="G72" s="821" t="str">
        <f t="shared" si="45"/>
        <v/>
      </c>
      <c r="H72" s="852"/>
      <c r="I72" s="850"/>
      <c r="J72" s="822" t="str">
        <f t="shared" si="46"/>
        <v/>
      </c>
      <c r="K72" s="821" t="str">
        <f t="shared" si="47"/>
        <v/>
      </c>
      <c r="L72" s="852"/>
      <c r="M72" s="850"/>
      <c r="N72" s="822" t="str">
        <f t="shared" si="48"/>
        <v/>
      </c>
      <c r="O72" s="821" t="str">
        <f t="shared" si="49"/>
        <v/>
      </c>
      <c r="P72" s="821"/>
      <c r="Q72" s="850"/>
      <c r="R72" s="822" t="str">
        <f t="shared" si="50"/>
        <v/>
      </c>
      <c r="S72" s="821" t="str">
        <f t="shared" si="51"/>
        <v/>
      </c>
      <c r="T72" s="821"/>
      <c r="U72" s="850"/>
      <c r="V72" s="822" t="str">
        <f t="shared" si="52"/>
        <v/>
      </c>
      <c r="W72" s="821" t="str">
        <f t="shared" si="53"/>
        <v/>
      </c>
      <c r="X72" s="681"/>
      <c r="Y72" s="89"/>
      <c r="Z72" s="972">
        <f>IF(AND(SUM(E72:W72)=0, Expense_OtherOps_Reimb=0,Expense_OtherOps_NonReimb=0),0,1)</f>
        <v>0</v>
      </c>
      <c r="AA72" s="972">
        <v>0</v>
      </c>
    </row>
    <row r="73" spans="1:27" s="786" customFormat="1" ht="20.100000000000001" hidden="1" customHeight="1" x14ac:dyDescent="0.25">
      <c r="A73" s="707"/>
      <c r="B73" s="87"/>
      <c r="C73" s="681"/>
      <c r="D73" s="353" t="str">
        <f>dpIncome_ExpenseCat_15</f>
        <v>Landlord Costs</v>
      </c>
      <c r="E73" s="850"/>
      <c r="F73" s="822" t="str">
        <f t="shared" si="44"/>
        <v/>
      </c>
      <c r="G73" s="821" t="str">
        <f t="shared" si="45"/>
        <v/>
      </c>
      <c r="H73" s="852"/>
      <c r="I73" s="850"/>
      <c r="J73" s="822" t="str">
        <f t="shared" si="46"/>
        <v/>
      </c>
      <c r="K73" s="821" t="str">
        <f t="shared" si="47"/>
        <v/>
      </c>
      <c r="L73" s="852"/>
      <c r="M73" s="850"/>
      <c r="N73" s="822" t="str">
        <f t="shared" si="48"/>
        <v/>
      </c>
      <c r="O73" s="821" t="str">
        <f t="shared" si="49"/>
        <v/>
      </c>
      <c r="P73" s="821"/>
      <c r="Q73" s="850"/>
      <c r="R73" s="822" t="str">
        <f t="shared" si="50"/>
        <v/>
      </c>
      <c r="S73" s="821" t="str">
        <f t="shared" si="51"/>
        <v/>
      </c>
      <c r="T73" s="821"/>
      <c r="U73" s="850"/>
      <c r="V73" s="822" t="str">
        <f t="shared" si="52"/>
        <v/>
      </c>
      <c r="W73" s="821" t="str">
        <f t="shared" si="53"/>
        <v/>
      </c>
      <c r="X73" s="681"/>
      <c r="Y73" s="89"/>
      <c r="Z73" s="972">
        <f>IF(AND(SUM(E73:W73)=0, Expense_LandlordCosts_Reimb=0,Expense_LandlordCosts_NonReimb=0),0,1)</f>
        <v>1</v>
      </c>
      <c r="AA73" s="972">
        <v>0</v>
      </c>
    </row>
    <row r="74" spans="1:27" s="786" customFormat="1" ht="20.100000000000001" hidden="1" customHeight="1" x14ac:dyDescent="0.25">
      <c r="A74" s="707"/>
      <c r="B74" s="87"/>
      <c r="C74" s="681"/>
      <c r="D74" s="353" t="str">
        <f>dpIncome_ExpenseCat_16</f>
        <v>Replacement Reserves</v>
      </c>
      <c r="E74" s="850"/>
      <c r="F74" s="823" t="str">
        <f t="shared" si="44"/>
        <v/>
      </c>
      <c r="G74" s="824" t="str">
        <f t="shared" si="45"/>
        <v/>
      </c>
      <c r="H74" s="852"/>
      <c r="I74" s="850"/>
      <c r="J74" s="823" t="str">
        <f t="shared" si="46"/>
        <v/>
      </c>
      <c r="K74" s="824" t="str">
        <f t="shared" si="47"/>
        <v/>
      </c>
      <c r="L74" s="852"/>
      <c r="M74" s="850"/>
      <c r="N74" s="823" t="str">
        <f t="shared" si="48"/>
        <v/>
      </c>
      <c r="O74" s="824" t="str">
        <f t="shared" si="49"/>
        <v/>
      </c>
      <c r="P74" s="821"/>
      <c r="Q74" s="850"/>
      <c r="R74" s="823" t="str">
        <f t="shared" si="50"/>
        <v/>
      </c>
      <c r="S74" s="824" t="str">
        <f t="shared" si="51"/>
        <v/>
      </c>
      <c r="T74" s="821"/>
      <c r="U74" s="850"/>
      <c r="V74" s="823" t="str">
        <f t="shared" si="52"/>
        <v/>
      </c>
      <c r="W74" s="824" t="str">
        <f t="shared" si="53"/>
        <v/>
      </c>
      <c r="X74" s="681"/>
      <c r="Y74" s="89"/>
      <c r="Z74" s="972">
        <f>IF(AND(SUM(E74:W74)=0, Expense_ReplacementReserves_Reimb=0,Expense_ReplacementReserves_NonReimb=0),0,1)</f>
        <v>1</v>
      </c>
      <c r="AA74" s="972">
        <v>0</v>
      </c>
    </row>
    <row r="75" spans="1:27" ht="15.95" customHeight="1" thickBot="1" x14ac:dyDescent="0.3">
      <c r="B75" s="4"/>
      <c r="C75" s="5"/>
      <c r="D75" s="752" t="s">
        <v>371</v>
      </c>
      <c r="E75" s="854"/>
      <c r="F75" s="855" t="str">
        <f t="shared" si="44"/>
        <v/>
      </c>
      <c r="G75" s="856" t="str">
        <f t="shared" si="45"/>
        <v/>
      </c>
      <c r="H75" s="857"/>
      <c r="I75" s="854"/>
      <c r="J75" s="858" t="str">
        <f t="shared" si="46"/>
        <v/>
      </c>
      <c r="K75" s="859" t="str">
        <f t="shared" si="47"/>
        <v/>
      </c>
      <c r="L75" s="857"/>
      <c r="M75" s="854"/>
      <c r="N75" s="858" t="str">
        <f t="shared" si="48"/>
        <v/>
      </c>
      <c r="O75" s="859" t="str">
        <f t="shared" si="49"/>
        <v/>
      </c>
      <c r="P75" s="860"/>
      <c r="Q75" s="854"/>
      <c r="R75" s="858" t="str">
        <f t="shared" si="50"/>
        <v/>
      </c>
      <c r="S75" s="859" t="str">
        <f t="shared" si="51"/>
        <v/>
      </c>
      <c r="T75" s="860"/>
      <c r="U75" s="854"/>
      <c r="V75" s="858" t="str">
        <f t="shared" si="52"/>
        <v/>
      </c>
      <c r="W75" s="859" t="str">
        <f t="shared" si="53"/>
        <v/>
      </c>
      <c r="X75" s="5"/>
      <c r="Y75" s="6"/>
      <c r="Z75" s="957">
        <v>1</v>
      </c>
      <c r="AA75" s="957">
        <v>1</v>
      </c>
    </row>
    <row r="76" spans="1:27" ht="15" thickBot="1" x14ac:dyDescent="0.3">
      <c r="B76" s="8"/>
      <c r="C76" s="7"/>
      <c r="D76" s="553" t="s">
        <v>895</v>
      </c>
      <c r="E76" s="800"/>
      <c r="F76" s="800"/>
      <c r="G76" s="861"/>
      <c r="H76" s="800"/>
      <c r="I76" s="800"/>
      <c r="J76" s="800"/>
      <c r="K76" s="862"/>
      <c r="L76" s="800"/>
      <c r="M76" s="800"/>
      <c r="N76" s="800"/>
      <c r="O76" s="862"/>
      <c r="P76" s="862"/>
      <c r="Q76" s="862"/>
      <c r="R76" s="862"/>
      <c r="S76" s="862"/>
      <c r="T76" s="862"/>
      <c r="U76" s="862"/>
      <c r="V76" s="862"/>
      <c r="W76" s="862"/>
      <c r="X76" s="7"/>
      <c r="Y76" s="9"/>
    </row>
    <row r="77" spans="1:27" s="187" customFormat="1" x14ac:dyDescent="0.25">
      <c r="A77" s="96"/>
      <c r="B77" s="32"/>
      <c r="C77" s="32"/>
      <c r="D77" s="32"/>
      <c r="E77" s="971">
        <f>IF(E6="",0,1)</f>
        <v>0</v>
      </c>
      <c r="F77" s="971">
        <f>E77</f>
        <v>0</v>
      </c>
      <c r="G77" s="973">
        <f>E77</f>
        <v>0</v>
      </c>
      <c r="H77" s="971">
        <f>E77</f>
        <v>0</v>
      </c>
      <c r="I77" s="971">
        <f>IF(I6="",0,1)</f>
        <v>0</v>
      </c>
      <c r="J77" s="971">
        <f>I77</f>
        <v>0</v>
      </c>
      <c r="K77" s="973">
        <f>I77</f>
        <v>0</v>
      </c>
      <c r="L77" s="971">
        <f>I77</f>
        <v>0</v>
      </c>
      <c r="M77" s="971">
        <f>IF(M6="",0,1)</f>
        <v>0</v>
      </c>
      <c r="N77" s="971">
        <f>M77</f>
        <v>0</v>
      </c>
      <c r="O77" s="973">
        <f>M77</f>
        <v>0</v>
      </c>
      <c r="P77" s="971">
        <f>M77</f>
        <v>0</v>
      </c>
      <c r="Q77" s="971">
        <f>IF(Q6="",0,1)</f>
        <v>0</v>
      </c>
      <c r="R77" s="971">
        <f>Q77</f>
        <v>0</v>
      </c>
      <c r="S77" s="973">
        <f>Q77</f>
        <v>0</v>
      </c>
      <c r="T77" s="971">
        <f>Q77</f>
        <v>0</v>
      </c>
      <c r="U77" s="971">
        <f>IF(U6="",0,1)</f>
        <v>0</v>
      </c>
      <c r="V77" s="971">
        <f>U77</f>
        <v>0</v>
      </c>
      <c r="W77" s="973">
        <f>U77</f>
        <v>0</v>
      </c>
      <c r="X77" s="96"/>
      <c r="Y77" s="32"/>
      <c r="Z77" s="32"/>
      <c r="AA77" s="32"/>
    </row>
  </sheetData>
  <mergeCells count="60">
    <mergeCell ref="E16:G16"/>
    <mergeCell ref="I16:K16"/>
    <mergeCell ref="M16:O16"/>
    <mergeCell ref="Q16:S16"/>
    <mergeCell ref="U16:W16"/>
    <mergeCell ref="E8:G8"/>
    <mergeCell ref="I8:K8"/>
    <mergeCell ref="M8:O8"/>
    <mergeCell ref="Q8:S8"/>
    <mergeCell ref="Q15:S15"/>
    <mergeCell ref="Q10:S10"/>
    <mergeCell ref="Q9:S9"/>
    <mergeCell ref="Q12:S12"/>
    <mergeCell ref="Q13:S13"/>
    <mergeCell ref="Q14:S14"/>
    <mergeCell ref="Q11:S11"/>
    <mergeCell ref="E9:G9"/>
    <mergeCell ref="I9:K9"/>
    <mergeCell ref="M9:O9"/>
    <mergeCell ref="E15:G15"/>
    <mergeCell ref="I15:K15"/>
    <mergeCell ref="Q5:S5"/>
    <mergeCell ref="Q6:S6"/>
    <mergeCell ref="Q7:S7"/>
    <mergeCell ref="E5:G5"/>
    <mergeCell ref="I5:K5"/>
    <mergeCell ref="M5:O5"/>
    <mergeCell ref="E6:G6"/>
    <mergeCell ref="I6:K6"/>
    <mergeCell ref="M6:O6"/>
    <mergeCell ref="E7:G7"/>
    <mergeCell ref="I7:K7"/>
    <mergeCell ref="M7:O7"/>
    <mergeCell ref="M15:O15"/>
    <mergeCell ref="E12:G12"/>
    <mergeCell ref="I12:K12"/>
    <mergeCell ref="E14:G14"/>
    <mergeCell ref="I14:K14"/>
    <mergeCell ref="M14:O14"/>
    <mergeCell ref="M12:O12"/>
    <mergeCell ref="E13:G13"/>
    <mergeCell ref="I13:K13"/>
    <mergeCell ref="M13:O13"/>
    <mergeCell ref="E11:G11"/>
    <mergeCell ref="I11:K11"/>
    <mergeCell ref="M11:O11"/>
    <mergeCell ref="M10:O10"/>
    <mergeCell ref="I10:K10"/>
    <mergeCell ref="E10:G10"/>
    <mergeCell ref="U5:W5"/>
    <mergeCell ref="U6:W6"/>
    <mergeCell ref="U7:W7"/>
    <mergeCell ref="U8:W8"/>
    <mergeCell ref="U9:W9"/>
    <mergeCell ref="U15:W15"/>
    <mergeCell ref="U10:W10"/>
    <mergeCell ref="U11:W11"/>
    <mergeCell ref="U12:W12"/>
    <mergeCell ref="U13:W13"/>
    <mergeCell ref="U14:W14"/>
  </mergeCells>
  <printOptions horizontalCentered="1"/>
  <pageMargins left="0.5" right="0.5" top="0.75" bottom="0.75" header="0.3" footer="0.3"/>
  <pageSetup orientation="landscape" r:id="rId1"/>
  <drawing r:id="rId2"/>
  <legacyDrawing r:id="rId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71">
    <tabColor theme="5" tint="-0.249977111117893"/>
  </sheetPr>
  <dimension ref="A1:L65"/>
  <sheetViews>
    <sheetView zoomScaleNormal="100" workbookViewId="0">
      <selection activeCell="D6" sqref="D6"/>
    </sheetView>
  </sheetViews>
  <sheetFormatPr defaultColWidth="9.140625" defaultRowHeight="14.25" x14ac:dyDescent="0.25"/>
  <cols>
    <col min="1" max="1" width="5.7109375" style="96" customWidth="1"/>
    <col min="2" max="2" width="1.7109375" style="42" customWidth="1"/>
    <col min="3" max="3" width="0.85546875" style="10" customWidth="1"/>
    <col min="4" max="4" width="60.7109375" style="10" customWidth="1"/>
    <col min="5" max="6" width="10.28515625" style="37" customWidth="1"/>
    <col min="7" max="7" width="0.85546875" style="10" customWidth="1"/>
    <col min="8" max="8" width="1.7109375" style="10" customWidth="1"/>
    <col min="9" max="9" width="5.7109375" style="42" customWidth="1"/>
    <col min="10" max="10" width="22.7109375" style="54" customWidth="1"/>
    <col min="11" max="12" width="9.140625" style="32"/>
    <col min="13" max="16384" width="9.140625" style="10"/>
  </cols>
  <sheetData>
    <row r="1" spans="1:12" ht="60" customHeight="1" x14ac:dyDescent="0.25"/>
    <row r="2" spans="1:12" ht="20.100000000000001" customHeight="1" x14ac:dyDescent="0.25">
      <c r="J2" s="150" t="s">
        <v>428</v>
      </c>
    </row>
    <row r="3" spans="1:12" ht="20.100000000000001" customHeight="1" thickBot="1" x14ac:dyDescent="0.3">
      <c r="J3" s="150" t="s">
        <v>429</v>
      </c>
    </row>
    <row r="4" spans="1:12" ht="9.9499999999999993" customHeight="1" x14ac:dyDescent="0.25">
      <c r="A4" s="957">
        <v>1</v>
      </c>
      <c r="B4" s="173"/>
      <c r="C4" s="2"/>
      <c r="D4" s="2"/>
      <c r="E4" s="123"/>
      <c r="F4" s="123"/>
      <c r="G4" s="2"/>
      <c r="H4" s="3"/>
    </row>
    <row r="5" spans="1:12" ht="17.25" hidden="1" thickBot="1" x14ac:dyDescent="0.35">
      <c r="A5" s="957">
        <f>Income_PercentageRent</f>
        <v>0</v>
      </c>
      <c r="B5" s="174"/>
      <c r="C5" s="246"/>
      <c r="D5" s="246" t="str">
        <f>dpIncome_IncomeCat_2</f>
        <v>Percentage Rent</v>
      </c>
      <c r="E5" s="1682"/>
      <c r="F5" s="1682"/>
      <c r="G5" s="246"/>
      <c r="H5" s="6"/>
      <c r="J5" s="235" t="s">
        <v>430</v>
      </c>
    </row>
    <row r="6" spans="1:12" ht="15.95" hidden="1" customHeight="1" x14ac:dyDescent="0.25">
      <c r="A6" s="957">
        <f>Income_PercentageRent</f>
        <v>0</v>
      </c>
      <c r="B6" s="174"/>
      <c r="C6" s="12"/>
      <c r="D6" s="12" t="s">
        <v>1579</v>
      </c>
      <c r="E6" s="55" t="s">
        <v>390</v>
      </c>
      <c r="F6" s="55" t="s">
        <v>391</v>
      </c>
      <c r="G6" s="12"/>
      <c r="H6" s="6"/>
      <c r="J6" s="707"/>
    </row>
    <row r="7" spans="1:12" ht="18" hidden="1" customHeight="1" x14ac:dyDescent="0.25">
      <c r="A7" s="957">
        <f>IF(Income_PercentageRent=1,IF(E7="",0,1),0)</f>
        <v>0</v>
      </c>
      <c r="B7" s="174"/>
      <c r="C7" s="258"/>
      <c r="D7" s="258" t="str">
        <f>CONCATENATE("Subject ",'Income Expense History'!$E$5," - ",TEXT('Income Expense History'!$E$6,"mm/yyyy"))</f>
        <v>Subject 0 - 01/1900</v>
      </c>
      <c r="E7" s="3329" t="str">
        <f>VLOOKUP($D5,'Income Expense History'!$D$11:$S$18,3,FALSE)</f>
        <v/>
      </c>
      <c r="F7" s="3399" t="str">
        <f>VLOOKUP($D5,'Income Expense History'!$D$11:$S$18,4, FALSE)</f>
        <v>N/A</v>
      </c>
      <c r="G7" s="258"/>
      <c r="H7" s="6"/>
      <c r="J7" s="12"/>
    </row>
    <row r="8" spans="1:12" ht="18" hidden="1" customHeight="1" x14ac:dyDescent="0.25">
      <c r="A8" s="957">
        <f>IF(Income_PercentageRent=1,IF(E8="",0,1),0)</f>
        <v>0</v>
      </c>
      <c r="B8" s="174"/>
      <c r="C8" s="258"/>
      <c r="D8" s="258" t="str">
        <f>CONCATENATE("Subject ",'Income Expense History'!$I$5," - ",TEXT('Income Expense History'!$I$6,"mm/yyyy"))</f>
        <v>Subject 0 - 01/1900</v>
      </c>
      <c r="E8" s="3329" t="str">
        <f>VLOOKUP($D5,'Income Expense History'!$D$11:$S$18,7, FALSE)</f>
        <v/>
      </c>
      <c r="F8" s="3399" t="str">
        <f>VLOOKUP($D5,'Income Expense History'!$D$11:$S$18,8, FALSE)</f>
        <v>N/A</v>
      </c>
      <c r="G8" s="258"/>
      <c r="H8" s="6"/>
      <c r="J8" s="42"/>
    </row>
    <row r="9" spans="1:12" ht="18" hidden="1" customHeight="1" x14ac:dyDescent="0.25">
      <c r="A9" s="957">
        <f>IF(Income_PercentageRent=1,IF(E9="",0,1),0)</f>
        <v>0</v>
      </c>
      <c r="B9" s="174"/>
      <c r="C9" s="258"/>
      <c r="D9" s="258" t="str">
        <f>CONCATENATE("Subject ",'Income Expense History'!$M$5," - ",TEXT('Income Expense History'!$M$6,"mm/yyyy"))</f>
        <v>Subject 0 - 01/1900</v>
      </c>
      <c r="E9" s="3329" t="str">
        <f>VLOOKUP($D5,'Income Expense History'!$D$11:$S$18,11, FALSE)</f>
        <v/>
      </c>
      <c r="F9" s="3399" t="str">
        <f>VLOOKUP($D5,'Income Expense History'!$D$11:$S$18,12, FALSE)</f>
        <v>N/A</v>
      </c>
      <c r="G9" s="258"/>
      <c r="H9" s="6"/>
      <c r="J9" s="42"/>
    </row>
    <row r="10" spans="1:12" ht="18" hidden="1" customHeight="1" x14ac:dyDescent="0.25">
      <c r="A10" s="957">
        <f>IF(Income_PercentageRent=1,IF(E10="",0,1),0)</f>
        <v>0</v>
      </c>
      <c r="B10" s="174"/>
      <c r="C10" s="258"/>
      <c r="D10" s="258" t="str">
        <f>CONCATENATE("Subject ",'Income Expense History'!$Q$5," - ",TEXT('Income Expense History'!$Q$6,"mm/yyyy"))</f>
        <v>Subject 0 - 01/1900</v>
      </c>
      <c r="E10" s="3329" t="str">
        <f>VLOOKUP($D5,'Income Expense History'!$D$11:$S$18,15, FALSE)</f>
        <v/>
      </c>
      <c r="F10" s="3399" t="str">
        <f>VLOOKUP($D5,'Income Expense History'!$D$11:$S$18,16, FALSE)</f>
        <v>N/A</v>
      </c>
      <c r="G10" s="258"/>
      <c r="H10" s="6"/>
      <c r="J10" s="32"/>
    </row>
    <row r="11" spans="1:12" s="406" customFormat="1" ht="18" hidden="1" customHeight="1" x14ac:dyDescent="0.25">
      <c r="A11" s="957">
        <f>IF(Income_PercentageRent=1,IF(E11="",0,1),0)</f>
        <v>0</v>
      </c>
      <c r="B11" s="402"/>
      <c r="C11" s="3625"/>
      <c r="D11" s="3625" t="s">
        <v>392</v>
      </c>
      <c r="E11" s="1677" t="str">
        <f>IF(ISERR(AVERAGE(E7:E10)),"",AVERAGE(E7:E10))</f>
        <v/>
      </c>
      <c r="F11" s="1698" t="str">
        <f>IF(ISERR(AVERAGE(F7:F10)),"",AVERAGE(F7:F10))</f>
        <v/>
      </c>
      <c r="G11" s="3625"/>
      <c r="H11" s="403"/>
      <c r="I11" s="404"/>
      <c r="J11" s="404"/>
      <c r="K11" s="405"/>
      <c r="L11" s="405"/>
    </row>
    <row r="12" spans="1:12" s="406" customFormat="1" ht="18" hidden="1" customHeight="1" x14ac:dyDescent="0.25">
      <c r="A12" s="957">
        <f>IF(AND(Income_TechniqueUsed&lt;&gt;"Direct Capitalization",Income_PercentageRent_Number&gt;1),1,0)</f>
        <v>0</v>
      </c>
      <c r="B12" s="402"/>
      <c r="C12" s="3625"/>
      <c r="D12" s="3626" t="s">
        <v>393</v>
      </c>
      <c r="E12" s="2989"/>
      <c r="F12" s="3627" t="e">
        <f>dpIncome_Inc_PercentRent_Year1*Subject_NRA/VLOOKUP("Effective Gross Revenue",'DCF 1'!$E$8:$I$107,2,FALSE)+0</f>
        <v>#N/A</v>
      </c>
      <c r="G12" s="3625"/>
      <c r="H12" s="403"/>
      <c r="I12" s="404"/>
      <c r="J12" s="404"/>
      <c r="K12" s="405"/>
      <c r="L12" s="405"/>
    </row>
    <row r="13" spans="1:12" s="406" customFormat="1" ht="18" hidden="1" customHeight="1" x14ac:dyDescent="0.25">
      <c r="A13" s="957">
        <f>IF(AND(Income_TechniqueUsed&lt;&gt;"Direct Capitalization",Income_PercentageRent_Number&gt;2),1,0)</f>
        <v>0</v>
      </c>
      <c r="B13" s="402"/>
      <c r="C13" s="3625"/>
      <c r="D13" s="3625" t="s">
        <v>419</v>
      </c>
      <c r="E13" s="1677"/>
      <c r="F13" s="1698" t="e">
        <f>dpIncome_Inc_PercentRent_Year2*Subject_NRA/VLOOKUP("Effective Gross Revenue",'DCF 1'!$E$8:$I$107,3,FALSE)+0</f>
        <v>#N/A</v>
      </c>
      <c r="G13" s="3625"/>
      <c r="H13" s="403"/>
      <c r="I13" s="404"/>
      <c r="J13" s="404"/>
      <c r="K13" s="405"/>
      <c r="L13" s="405"/>
    </row>
    <row r="14" spans="1:12" s="406" customFormat="1" ht="18" hidden="1" customHeight="1" x14ac:dyDescent="0.25">
      <c r="A14" s="957">
        <f>IF(AND(Income_TechniqueUsed&lt;&gt;"Direct Capitalization",Income_PercentageRent_Number&gt;3),1,0)</f>
        <v>0</v>
      </c>
      <c r="B14" s="402"/>
      <c r="C14" s="3625"/>
      <c r="D14" s="3625" t="s">
        <v>420</v>
      </c>
      <c r="E14" s="1677"/>
      <c r="F14" s="1698" t="e">
        <f>dpIncome_Inc_PercentRent_Year3*Subject_NRA/VLOOKUP("Effective Gross Revenue",'DCF 1'!$E$8:$I$107,4,FALSE)+0</f>
        <v>#N/A</v>
      </c>
      <c r="G14" s="3625"/>
      <c r="H14" s="403"/>
      <c r="I14" s="404"/>
      <c r="J14" s="404"/>
      <c r="K14" s="405"/>
      <c r="L14" s="405"/>
    </row>
    <row r="15" spans="1:12" s="406" customFormat="1" ht="18" hidden="1" customHeight="1" thickBot="1" x14ac:dyDescent="0.3">
      <c r="A15" s="957">
        <f>IF(Income_PercentageRent=1,1,0)</f>
        <v>0</v>
      </c>
      <c r="B15" s="402"/>
      <c r="C15" s="3625"/>
      <c r="D15" s="3628" t="str">
        <f>IF(J5="Year 1 Only","Year 1 Estimate:","Stabilized Estimate:")</f>
        <v>Stabilized Estimate:</v>
      </c>
      <c r="E15" s="1678"/>
      <c r="F15" s="1699">
        <f ca="1">IF(J5="Stabilized Only",dpIncome_Inc_PercentRent_Stabilized*Subject_NRA/dpIncome_DirectCap_EGI,dpIncome_Inc_PercentRent_Stabilized*Subject_NRA/VLOOKUP("Effective Gross Revenue",'DCF 1'!$E$8:$I$107,2,FALSE)+0)</f>
        <v>0</v>
      </c>
      <c r="G15" s="3625"/>
      <c r="H15" s="403"/>
      <c r="I15" s="404"/>
      <c r="J15" s="404"/>
      <c r="K15" s="405"/>
      <c r="L15" s="405"/>
    </row>
    <row r="16" spans="1:12" ht="15.95" hidden="1" customHeight="1" thickBot="1" x14ac:dyDescent="0.3">
      <c r="A16" s="957">
        <f>Income_PercentageRent</f>
        <v>0</v>
      </c>
      <c r="B16" s="174"/>
      <c r="C16" s="5"/>
      <c r="D16" s="43" t="s">
        <v>896</v>
      </c>
      <c r="E16" s="19"/>
      <c r="F16" s="19"/>
      <c r="G16" s="5"/>
      <c r="H16" s="6"/>
      <c r="J16" s="42"/>
    </row>
    <row r="17" spans="1:12" ht="17.25" hidden="1" thickBot="1" x14ac:dyDescent="0.35">
      <c r="A17" s="957">
        <f>Income_ParkingIncome</f>
        <v>0</v>
      </c>
      <c r="B17" s="567"/>
      <c r="C17" s="246"/>
      <c r="D17" s="246" t="str">
        <f>dpIncome_IncomeCat_3</f>
        <v>Parking Income</v>
      </c>
      <c r="E17" s="1682"/>
      <c r="F17" s="1682"/>
      <c r="G17" s="246"/>
      <c r="H17" s="1685"/>
      <c r="J17" s="235" t="s">
        <v>430</v>
      </c>
    </row>
    <row r="18" spans="1:12" ht="15.95" hidden="1" customHeight="1" x14ac:dyDescent="0.25">
      <c r="A18" s="957">
        <f>Income_ParkingIncome</f>
        <v>0</v>
      </c>
      <c r="B18" s="174"/>
      <c r="C18" s="12"/>
      <c r="D18" s="12" t="s">
        <v>1579</v>
      </c>
      <c r="E18" s="55" t="s">
        <v>390</v>
      </c>
      <c r="F18" s="55" t="s">
        <v>391</v>
      </c>
      <c r="G18" s="12"/>
      <c r="H18" s="6"/>
      <c r="J18" s="707"/>
    </row>
    <row r="19" spans="1:12" ht="18" hidden="1" customHeight="1" x14ac:dyDescent="0.25">
      <c r="A19" s="957">
        <f>IF(Income_ParkingIncome=1,IF(E19="",0,1),0)</f>
        <v>0</v>
      </c>
      <c r="B19" s="174"/>
      <c r="C19" s="258"/>
      <c r="D19" s="258" t="str">
        <f>CONCATENATE("Subject ",'Income Expense History'!$E$5," - ",TEXT('Income Expense History'!$E$6,"mm/yyyy"))</f>
        <v>Subject 0 - 01/1900</v>
      </c>
      <c r="E19" s="3329" t="str">
        <f>VLOOKUP($D17,'Income Expense History'!$D$11:$S$18,3,FALSE)</f>
        <v/>
      </c>
      <c r="F19" s="3399" t="str">
        <f>VLOOKUP($D17,'Income Expense History'!$D$11:$S$18,4, FALSE)</f>
        <v>N/A</v>
      </c>
      <c r="G19" s="258"/>
      <c r="H19" s="6"/>
      <c r="J19" s="12"/>
    </row>
    <row r="20" spans="1:12" ht="18" hidden="1" customHeight="1" x14ac:dyDescent="0.25">
      <c r="A20" s="957">
        <f>IF(Income_ParkingIncome=1,IF(E20="",0,1),0)</f>
        <v>0</v>
      </c>
      <c r="B20" s="174"/>
      <c r="C20" s="258"/>
      <c r="D20" s="258" t="str">
        <f>CONCATENATE("Subject ",'Income Expense History'!$I$5," - ",TEXT('Income Expense History'!$I$6,"mm/yyyy"))</f>
        <v>Subject 0 - 01/1900</v>
      </c>
      <c r="E20" s="3329" t="str">
        <f>VLOOKUP($D17,'Income Expense History'!$D$11:$S$18,7, FALSE)</f>
        <v/>
      </c>
      <c r="F20" s="3399" t="str">
        <f>VLOOKUP($D17,'Income Expense History'!$D$11:$S$18,8, FALSE)</f>
        <v>N/A</v>
      </c>
      <c r="G20" s="258"/>
      <c r="H20" s="6"/>
      <c r="J20" s="42"/>
    </row>
    <row r="21" spans="1:12" ht="18" hidden="1" customHeight="1" x14ac:dyDescent="0.25">
      <c r="A21" s="957">
        <f>IF(Income_ParkingIncome=1,IF(E21="",0,1),0)</f>
        <v>0</v>
      </c>
      <c r="B21" s="174"/>
      <c r="C21" s="258"/>
      <c r="D21" s="258" t="str">
        <f>CONCATENATE("Subject ",'Income Expense History'!$M$5," - ",TEXT('Income Expense History'!$M$6,"mm/yyyy"))</f>
        <v>Subject 0 - 01/1900</v>
      </c>
      <c r="E21" s="3329" t="str">
        <f>VLOOKUP($D17,'Income Expense History'!$D$11:$S$18,11, FALSE)</f>
        <v/>
      </c>
      <c r="F21" s="3399" t="str">
        <f>VLOOKUP($D17,'Income Expense History'!$D$11:$S$18,12, FALSE)</f>
        <v>N/A</v>
      </c>
      <c r="G21" s="258"/>
      <c r="H21" s="6"/>
      <c r="J21" s="42"/>
    </row>
    <row r="22" spans="1:12" ht="18" hidden="1" customHeight="1" x14ac:dyDescent="0.25">
      <c r="A22" s="957">
        <f>IF(Income_ParkingIncome=1,IF(E22="",0,1),0)</f>
        <v>0</v>
      </c>
      <c r="B22" s="174"/>
      <c r="C22" s="258"/>
      <c r="D22" s="258" t="str">
        <f>CONCATENATE("Subject ",'Income Expense History'!$Q$5," - ",TEXT('Income Expense History'!$Q$6,"mm/yyyy"))</f>
        <v>Subject 0 - 01/1900</v>
      </c>
      <c r="E22" s="3329" t="str">
        <f>VLOOKUP($D17,'Income Expense History'!$D$11:$S$18,15, FALSE)</f>
        <v/>
      </c>
      <c r="F22" s="3399" t="str">
        <f>VLOOKUP($D17,'Income Expense History'!$D$11:$S$18,16, FALSE)</f>
        <v>N/A</v>
      </c>
      <c r="G22" s="258"/>
      <c r="H22" s="6"/>
      <c r="J22" s="42"/>
    </row>
    <row r="23" spans="1:12" s="406" customFormat="1" ht="18" hidden="1" customHeight="1" x14ac:dyDescent="0.25">
      <c r="A23" s="957">
        <f>IF(Income_ParkingIncome=1,IF(E23="",0,1),0)</f>
        <v>0</v>
      </c>
      <c r="B23" s="402"/>
      <c r="C23" s="3625"/>
      <c r="D23" s="3629" t="s">
        <v>392</v>
      </c>
      <c r="E23" s="3630" t="str">
        <f>IF(ISERR(AVERAGE(E19:E22)),"",AVERAGE(E19:E22))</f>
        <v/>
      </c>
      <c r="F23" s="3631" t="str">
        <f>IF(ISERR(AVERAGE(F19:F22)),"",AVERAGE(F19:F22))</f>
        <v/>
      </c>
      <c r="G23" s="3625"/>
      <c r="H23" s="403"/>
      <c r="I23" s="404"/>
      <c r="J23" s="404"/>
      <c r="K23" s="405"/>
      <c r="L23" s="405"/>
    </row>
    <row r="24" spans="1:12" s="406" customFormat="1" ht="18" hidden="1" customHeight="1" x14ac:dyDescent="0.25">
      <c r="A24" s="957">
        <f>IF(AND(Income_TechniqueUsed&lt;&gt;"Direct Capitalization",Income_ParkingIncome_Number&gt;1),1,0)</f>
        <v>0</v>
      </c>
      <c r="B24" s="402"/>
      <c r="C24" s="3625"/>
      <c r="D24" s="3625" t="s">
        <v>393</v>
      </c>
      <c r="E24" s="1677"/>
      <c r="F24" s="1698" t="e">
        <f>dpIncome_Inc_ParkingInc_Year1*Subject_NRA/VLOOKUP("Effective Gross Revenue",'DCF 1'!$E$8:$I$107,2,FALSE)+0</f>
        <v>#N/A</v>
      </c>
      <c r="G24" s="3625"/>
      <c r="H24" s="403"/>
      <c r="I24" s="404"/>
      <c r="J24" s="404"/>
      <c r="K24" s="405"/>
      <c r="L24" s="405"/>
    </row>
    <row r="25" spans="1:12" s="406" customFormat="1" ht="18" hidden="1" customHeight="1" x14ac:dyDescent="0.25">
      <c r="A25" s="957">
        <f>IF(AND(Income_TechniqueUsed&lt;&gt;"Direct Capitalization",Income_ParkingIncome_Number&gt;2),1,0)</f>
        <v>0</v>
      </c>
      <c r="B25" s="402"/>
      <c r="C25" s="3625"/>
      <c r="D25" s="3625" t="s">
        <v>419</v>
      </c>
      <c r="E25" s="1677"/>
      <c r="F25" s="1698" t="e">
        <f>dpIncome_Inc_ParkingInc_Year2*Subject_NRA/VLOOKUP("Effective Gross Revenue",'DCF 1'!$E$8:$I$107,3,FALSE)+0</f>
        <v>#N/A</v>
      </c>
      <c r="G25" s="3625"/>
      <c r="H25" s="403"/>
      <c r="I25" s="404"/>
      <c r="J25" s="404"/>
      <c r="K25" s="405"/>
      <c r="L25" s="405"/>
    </row>
    <row r="26" spans="1:12" s="406" customFormat="1" ht="18" hidden="1" customHeight="1" x14ac:dyDescent="0.25">
      <c r="A26" s="957">
        <f>IF(AND(Income_TechniqueUsed&lt;&gt;"Direct Capitalization",Income_ParkingIncome_Number&gt;3),1,0)</f>
        <v>0</v>
      </c>
      <c r="B26" s="402"/>
      <c r="C26" s="3625"/>
      <c r="D26" s="3625" t="s">
        <v>420</v>
      </c>
      <c r="E26" s="1677"/>
      <c r="F26" s="1698" t="e">
        <f>dpIncome_Inc_ParkingInc_Year3*Subject_NRA/VLOOKUP("Effective Gross Revenue",'DCF 1'!$E$8:$I$107,4,FALSE)+0</f>
        <v>#N/A</v>
      </c>
      <c r="G26" s="3625"/>
      <c r="H26" s="403"/>
      <c r="I26" s="404"/>
      <c r="J26" s="404"/>
      <c r="K26" s="405"/>
      <c r="L26" s="405"/>
    </row>
    <row r="27" spans="1:12" s="406" customFormat="1" ht="18" hidden="1" customHeight="1" thickBot="1" x14ac:dyDescent="0.3">
      <c r="A27" s="957">
        <f>IF(Income_ParkingIncome=1,1,0)</f>
        <v>0</v>
      </c>
      <c r="B27" s="402"/>
      <c r="C27" s="3625"/>
      <c r="D27" s="3628" t="str">
        <f>IF(J17="Year 1 Only","Year 1 Estimate:","Stabilized Estimate:")</f>
        <v>Stabilized Estimate:</v>
      </c>
      <c r="E27" s="1678"/>
      <c r="F27" s="1699">
        <f ca="1">IF(J17="Stabilized Only",dpIncome_Inc_ParkingInc_Stabilized*Subject_NRA/dpIncome_DirectCap_EGI,dpIncome_Inc_ParkingInc_Stabilized*Subject_NRA/VLOOKUP("Effective Gross Revenue",'DCF 1'!$E$8:$I$107,2,FALSE)+0)</f>
        <v>0</v>
      </c>
      <c r="G27" s="3625"/>
      <c r="H27" s="403"/>
      <c r="I27" s="404"/>
      <c r="J27" s="404"/>
      <c r="K27" s="405"/>
      <c r="L27" s="405"/>
    </row>
    <row r="28" spans="1:12" ht="15.95" hidden="1" customHeight="1" thickBot="1" x14ac:dyDescent="0.3">
      <c r="A28" s="957">
        <f>Income_ParkingIncome</f>
        <v>0</v>
      </c>
      <c r="B28" s="174"/>
      <c r="C28" s="5"/>
      <c r="D28" s="43" t="s">
        <v>897</v>
      </c>
      <c r="E28" s="19"/>
      <c r="F28" s="19"/>
      <c r="G28" s="5"/>
      <c r="H28" s="6"/>
      <c r="J28" s="42"/>
    </row>
    <row r="29" spans="1:12" ht="17.25" hidden="1" thickBot="1" x14ac:dyDescent="0.35">
      <c r="A29" s="957">
        <f>Income_UserDefined</f>
        <v>0</v>
      </c>
      <c r="B29" s="567"/>
      <c r="C29" s="246"/>
      <c r="D29" s="246" t="str">
        <f>dpIncome_IncomeCat_5</f>
        <v>User Defined Income Category</v>
      </c>
      <c r="E29" s="1682"/>
      <c r="F29" s="1682"/>
      <c r="G29" s="1683"/>
      <c r="H29" s="1685"/>
      <c r="J29" s="235" t="s">
        <v>430</v>
      </c>
    </row>
    <row r="30" spans="1:12" ht="15.95" hidden="1" customHeight="1" x14ac:dyDescent="0.25">
      <c r="A30" s="957">
        <f>Income_UserDefined</f>
        <v>0</v>
      </c>
      <c r="B30" s="174"/>
      <c r="C30" s="12"/>
      <c r="D30" s="12" t="s">
        <v>1579</v>
      </c>
      <c r="E30" s="55" t="s">
        <v>390</v>
      </c>
      <c r="F30" s="55" t="s">
        <v>391</v>
      </c>
      <c r="H30" s="6"/>
      <c r="J30" s="1687"/>
    </row>
    <row r="31" spans="1:12" ht="18" hidden="1" customHeight="1" x14ac:dyDescent="0.25">
      <c r="A31" s="957">
        <f>IF(Income_UserDefined=1,IF(E31="",0,1),0)</f>
        <v>0</v>
      </c>
      <c r="B31" s="174"/>
      <c r="C31" s="258"/>
      <c r="D31" s="258" t="str">
        <f>CONCATENATE("Subject ",'Income Expense History'!$E$5," - ",TEXT('Income Expense History'!$E$6,"mm/yyyy"))</f>
        <v>Subject 0 - 01/1900</v>
      </c>
      <c r="E31" s="3329">
        <f>VLOOKUP($D29,'Income Expense History'!$D$11:$S$18,3,FALSE)</f>
        <v>0</v>
      </c>
      <c r="F31" s="3399" t="str">
        <f>VLOOKUP($D29,'Income Expense History'!$D$11:$S$18,4, FALSE)</f>
        <v>N/A</v>
      </c>
      <c r="G31" s="258"/>
      <c r="H31" s="6"/>
      <c r="J31" s="12"/>
    </row>
    <row r="32" spans="1:12" ht="18" hidden="1" customHeight="1" x14ac:dyDescent="0.25">
      <c r="A32" s="957">
        <f>IF(Income_UserDefined=1,IF(E32="",0,1),0)</f>
        <v>0</v>
      </c>
      <c r="B32" s="174"/>
      <c r="C32" s="258"/>
      <c r="D32" s="258" t="str">
        <f>CONCATENATE("Subject ",'Income Expense History'!$I$5," - ",TEXT('Income Expense History'!$I$6,"mm/yyyy"))</f>
        <v>Subject 0 - 01/1900</v>
      </c>
      <c r="E32" s="3329">
        <f>VLOOKUP($D29,'Income Expense History'!$D$11:$S$18,7, FALSE)</f>
        <v>0</v>
      </c>
      <c r="F32" s="3399" t="str">
        <f>VLOOKUP($D29,'Income Expense History'!$D$11:$S$18,8, FALSE)</f>
        <v>N/A</v>
      </c>
      <c r="G32" s="258"/>
      <c r="H32" s="6"/>
      <c r="J32" s="42"/>
    </row>
    <row r="33" spans="1:12" ht="18" hidden="1" customHeight="1" x14ac:dyDescent="0.25">
      <c r="A33" s="957">
        <f>IF(Income_UserDefined=1,IF(E33="",0,1),0)</f>
        <v>0</v>
      </c>
      <c r="B33" s="174"/>
      <c r="C33" s="258"/>
      <c r="D33" s="258" t="str">
        <f>CONCATENATE("Subject ",'Income Expense History'!$M$5," - ",TEXT('Income Expense History'!$M$6,"mm/yyyy"))</f>
        <v>Subject 0 - 01/1900</v>
      </c>
      <c r="E33" s="3329">
        <f>VLOOKUP($D29,'Income Expense History'!$D$11:$S$18,11, FALSE)</f>
        <v>0</v>
      </c>
      <c r="F33" s="3399" t="str">
        <f>VLOOKUP($D29,'Income Expense History'!$D$11:$S$18,12, FALSE)</f>
        <v>N/A</v>
      </c>
      <c r="G33" s="258"/>
      <c r="H33" s="6"/>
      <c r="J33" s="42"/>
    </row>
    <row r="34" spans="1:12" ht="18" hidden="1" customHeight="1" x14ac:dyDescent="0.25">
      <c r="A34" s="957">
        <f>IF(Income_UserDefined=1,IF(E34="",0,1),0)</f>
        <v>0</v>
      </c>
      <c r="B34" s="174"/>
      <c r="C34" s="258"/>
      <c r="D34" s="258" t="str">
        <f>CONCATENATE("Subject ",'Income Expense History'!$Q$5," - ",TEXT('Income Expense History'!$Q$6,"mm/yyyy"))</f>
        <v>Subject 0 - 01/1900</v>
      </c>
      <c r="E34" s="3329">
        <f>VLOOKUP($D29,'Income Expense History'!$D$11:$S$18,15, FALSE)</f>
        <v>0</v>
      </c>
      <c r="F34" s="3399" t="str">
        <f>VLOOKUP($D29,'Income Expense History'!$D$11:$S$18,16, FALSE)</f>
        <v>N/A</v>
      </c>
      <c r="G34" s="258"/>
      <c r="H34" s="6"/>
      <c r="J34" s="42"/>
    </row>
    <row r="35" spans="1:12" s="406" customFormat="1" ht="18" hidden="1" customHeight="1" x14ac:dyDescent="0.25">
      <c r="A35" s="957">
        <f>IF(Income_UserDefined=1,IF(E35="",0,1),0)</f>
        <v>0</v>
      </c>
      <c r="B35" s="402"/>
      <c r="C35" s="3625"/>
      <c r="D35" s="3629" t="s">
        <v>392</v>
      </c>
      <c r="E35" s="3630">
        <f>IF(ISERR(AVERAGE(E31:E34)),"",AVERAGE(E31:E34))</f>
        <v>0</v>
      </c>
      <c r="F35" s="3631" t="str">
        <f>IF(ISERR(AVERAGE(F31:F34)),"",AVERAGE(F31:F34))</f>
        <v/>
      </c>
      <c r="G35" s="3625"/>
      <c r="H35" s="403"/>
      <c r="I35" s="404"/>
      <c r="J35" s="404"/>
      <c r="K35" s="405"/>
      <c r="L35" s="405"/>
    </row>
    <row r="36" spans="1:12" s="406" customFormat="1" ht="18" hidden="1" customHeight="1" x14ac:dyDescent="0.25">
      <c r="A36" s="957">
        <f>IF(AND(Income_TechniqueUsed&lt;&gt;"Direct Capitalization",Income_UserDefinedIncome_Number&gt;1),1,0)</f>
        <v>0</v>
      </c>
      <c r="B36" s="402"/>
      <c r="C36" s="3625"/>
      <c r="D36" s="3625" t="s">
        <v>393</v>
      </c>
      <c r="E36" s="1677"/>
      <c r="F36" s="1698" t="e">
        <f>dpIncome_Inc_UserDefInc_Year1*Subject_NRA/VLOOKUP("Effective Gross Revenue",'DCF 1'!$E$8:$I$107,2,FALSE)+0</f>
        <v>#N/A</v>
      </c>
      <c r="G36" s="3625"/>
      <c r="H36" s="403"/>
      <c r="I36" s="404"/>
      <c r="J36" s="404"/>
      <c r="K36" s="405"/>
      <c r="L36" s="405"/>
    </row>
    <row r="37" spans="1:12" s="406" customFormat="1" ht="18" hidden="1" customHeight="1" x14ac:dyDescent="0.25">
      <c r="A37" s="957">
        <f>IF(AND(Income_TechniqueUsed&lt;&gt;"Direct Capitalization",Income_UserDefinedIncome_Number&gt;2),1,0)</f>
        <v>0</v>
      </c>
      <c r="B37" s="402"/>
      <c r="C37" s="3625"/>
      <c r="D37" s="3625" t="s">
        <v>419</v>
      </c>
      <c r="E37" s="1677"/>
      <c r="F37" s="1698" t="e">
        <f>dpIncome_Inc_UserDefInc_Year2*Subject_NRA/VLOOKUP("Effective Gross Revenue",'DCF 1'!$E$8:$I$107,3,FALSE)+0</f>
        <v>#N/A</v>
      </c>
      <c r="G37" s="3625"/>
      <c r="H37" s="403"/>
      <c r="I37" s="404"/>
      <c r="J37" s="404"/>
      <c r="K37" s="405"/>
      <c r="L37" s="405"/>
    </row>
    <row r="38" spans="1:12" s="406" customFormat="1" ht="18" hidden="1" customHeight="1" x14ac:dyDescent="0.25">
      <c r="A38" s="957">
        <f>IF(AND(Income_TechniqueUsed&lt;&gt;"Direct Capitalization",Income_UserDefinedIncome_Number&gt;3),1,0)</f>
        <v>0</v>
      </c>
      <c r="B38" s="402"/>
      <c r="C38" s="3625"/>
      <c r="D38" s="3625" t="s">
        <v>420</v>
      </c>
      <c r="E38" s="1677"/>
      <c r="F38" s="1698" t="e">
        <f>dpIncome_Inc_UserDefInc_Year3*Subject_NRA/VLOOKUP("Effective Gross Revenue",'DCF 1'!$E$8:$I$107,4,FALSE)+0</f>
        <v>#N/A</v>
      </c>
      <c r="G38" s="3625"/>
      <c r="H38" s="403"/>
      <c r="I38" s="404"/>
      <c r="J38" s="404"/>
      <c r="K38" s="405"/>
      <c r="L38" s="405"/>
    </row>
    <row r="39" spans="1:12" s="406" customFormat="1" ht="18" hidden="1" customHeight="1" thickBot="1" x14ac:dyDescent="0.3">
      <c r="A39" s="957">
        <f>IF(Income_UserDefined=1,1,0)</f>
        <v>0</v>
      </c>
      <c r="B39" s="402"/>
      <c r="C39" s="3625"/>
      <c r="D39" s="3628" t="str">
        <f>IF(J29="Year 1 Only","Year 1 Estimate:","Stabilized Estimate:")</f>
        <v>Stabilized Estimate:</v>
      </c>
      <c r="E39" s="1678"/>
      <c r="F39" s="1699">
        <f ca="1">IF(J29="Stabilized Only",dpIncome_Inc_UserDefInc_Stabilized*Subject_NRA/dpIncome_DirectCap_EGI,dpIncome_Inc_UserDefInc_Stabilized*Subject_NRA/VLOOKUP("Effective Gross Revenue",'DCF 1'!$E$8:$I$107,2,FALSE)+0)</f>
        <v>0</v>
      </c>
      <c r="G39" s="3625"/>
      <c r="H39" s="403"/>
      <c r="I39" s="404"/>
      <c r="J39" s="404"/>
      <c r="K39" s="405"/>
      <c r="L39" s="405"/>
    </row>
    <row r="40" spans="1:12" ht="15.95" hidden="1" customHeight="1" thickBot="1" x14ac:dyDescent="0.3">
      <c r="A40" s="957">
        <f>Income_UserDefined</f>
        <v>0</v>
      </c>
      <c r="B40" s="174"/>
      <c r="C40" s="5"/>
      <c r="D40" s="43" t="s">
        <v>898</v>
      </c>
      <c r="E40" s="2990"/>
      <c r="F40" s="798"/>
      <c r="G40" s="5"/>
      <c r="H40" s="6"/>
      <c r="J40" s="42"/>
    </row>
    <row r="41" spans="1:12" ht="17.25" hidden="1" thickBot="1" x14ac:dyDescent="0.35">
      <c r="A41" s="957">
        <f>Income_OtherIncome</f>
        <v>0</v>
      </c>
      <c r="B41" s="567"/>
      <c r="C41" s="246"/>
      <c r="D41" s="246" t="str">
        <f>dpIncome_IncomeCat_6</f>
        <v>Other Income</v>
      </c>
      <c r="E41" s="1682"/>
      <c r="F41" s="1682"/>
      <c r="G41" s="1683"/>
      <c r="H41" s="1685"/>
      <c r="J41" s="235" t="s">
        <v>430</v>
      </c>
    </row>
    <row r="42" spans="1:12" ht="15.95" hidden="1" customHeight="1" x14ac:dyDescent="0.25">
      <c r="A42" s="957">
        <f>Income_OtherIncome</f>
        <v>0</v>
      </c>
      <c r="B42" s="174"/>
      <c r="C42" s="12"/>
      <c r="D42" s="12" t="s">
        <v>1579</v>
      </c>
      <c r="E42" s="55" t="s">
        <v>390</v>
      </c>
      <c r="F42" s="55" t="s">
        <v>391</v>
      </c>
      <c r="H42" s="6"/>
      <c r="J42" s="707"/>
    </row>
    <row r="43" spans="1:12" ht="18" hidden="1" customHeight="1" x14ac:dyDescent="0.25">
      <c r="A43" s="957">
        <f>IF(Income_OtherIncome=1,IF(E43="",0,1),0)</f>
        <v>0</v>
      </c>
      <c r="B43" s="174"/>
      <c r="C43" s="258"/>
      <c r="D43" s="258" t="str">
        <f>CONCATENATE("Subject ",'Income Expense History'!$E$5," - ",TEXT('Income Expense History'!$E$6,"mm/yyyy"))</f>
        <v>Subject 0 - 01/1900</v>
      </c>
      <c r="E43" s="3329" t="str">
        <f>VLOOKUP($D41,'Income Expense History'!$D$11:$S$18,3,FALSE)</f>
        <v/>
      </c>
      <c r="F43" s="3399" t="str">
        <f>VLOOKUP($D41,'Income Expense History'!$D$11:$S$18,4, FALSE)</f>
        <v>N/A</v>
      </c>
      <c r="G43" s="258"/>
      <c r="H43" s="6"/>
      <c r="J43" s="207"/>
    </row>
    <row r="44" spans="1:12" ht="18" hidden="1" customHeight="1" x14ac:dyDescent="0.25">
      <c r="A44" s="957">
        <f>IF(Income_OtherIncome=1,IF(E44="",0,1),0)</f>
        <v>0</v>
      </c>
      <c r="B44" s="174"/>
      <c r="C44" s="258"/>
      <c r="D44" s="258" t="str">
        <f>CONCATENATE("Subject ",'Income Expense History'!$I$5," - ",TEXT('Income Expense History'!$I$6,"mm/yyyy"))</f>
        <v>Subject 0 - 01/1900</v>
      </c>
      <c r="E44" s="3329" t="str">
        <f>VLOOKUP($D41,'Income Expense History'!$D$11:$S$18,7, FALSE)</f>
        <v/>
      </c>
      <c r="F44" s="3399" t="str">
        <f>VLOOKUP($D41,'Income Expense History'!$D$11:$S$18,8, FALSE)</f>
        <v>N/A</v>
      </c>
      <c r="G44" s="258"/>
      <c r="H44" s="6"/>
    </row>
    <row r="45" spans="1:12" ht="18" hidden="1" customHeight="1" x14ac:dyDescent="0.25">
      <c r="A45" s="957">
        <f>IF(Income_OtherIncome=1,IF(E45="",0,1),0)</f>
        <v>0</v>
      </c>
      <c r="B45" s="174"/>
      <c r="C45" s="258"/>
      <c r="D45" s="258" t="str">
        <f>CONCATENATE("Subject ",'Income Expense History'!$M$5," - ",TEXT('Income Expense History'!$M$6,"mm/yyyy"))</f>
        <v>Subject 0 - 01/1900</v>
      </c>
      <c r="E45" s="3329" t="str">
        <f>VLOOKUP($D41,'Income Expense History'!$D$11:$S$18,11, FALSE)</f>
        <v/>
      </c>
      <c r="F45" s="3399" t="str">
        <f>VLOOKUP($D41,'Income Expense History'!$D$11:$S$18,12, FALSE)</f>
        <v>N/A</v>
      </c>
      <c r="G45" s="258"/>
      <c r="H45" s="6"/>
    </row>
    <row r="46" spans="1:12" ht="18" hidden="1" customHeight="1" x14ac:dyDescent="0.25">
      <c r="A46" s="957">
        <f>IF(Income_OtherIncome=1,IF(E46="",0,1),0)</f>
        <v>0</v>
      </c>
      <c r="B46" s="174"/>
      <c r="C46" s="258"/>
      <c r="D46" s="258" t="str">
        <f>CONCATENATE("Subject ",'Income Expense History'!$Q$5," - ",TEXT('Income Expense History'!$Q$6,"mm/yyyy"))</f>
        <v>Subject 0 - 01/1900</v>
      </c>
      <c r="E46" s="3329" t="str">
        <f>VLOOKUP($D41,'Income Expense History'!$D$11:$S$18,15, FALSE)</f>
        <v/>
      </c>
      <c r="F46" s="3399" t="str">
        <f>VLOOKUP($D41,'Income Expense History'!$D$11:$S$18,16, FALSE)</f>
        <v>N/A</v>
      </c>
      <c r="G46" s="258"/>
      <c r="H46" s="6"/>
    </row>
    <row r="47" spans="1:12" s="406" customFormat="1" ht="18" hidden="1" customHeight="1" x14ac:dyDescent="0.25">
      <c r="A47" s="957">
        <f>IF(Income_OtherIncome=1,IF(E47="",0,1),0)</f>
        <v>0</v>
      </c>
      <c r="B47" s="402"/>
      <c r="C47" s="3625"/>
      <c r="D47" s="3629" t="s">
        <v>392</v>
      </c>
      <c r="E47" s="3630" t="str">
        <f>IF(ISERR(AVERAGE(E43:E46)),"",AVERAGE(E43:E46))</f>
        <v/>
      </c>
      <c r="F47" s="3631" t="str">
        <f>IF(ISERR(AVERAGE(F43:F46)),"",AVERAGE(F43:F46))</f>
        <v/>
      </c>
      <c r="G47" s="3625"/>
      <c r="H47" s="403"/>
      <c r="I47" s="404"/>
      <c r="J47" s="407"/>
      <c r="K47" s="405"/>
      <c r="L47" s="405"/>
    </row>
    <row r="48" spans="1:12" s="406" customFormat="1" ht="18" hidden="1" customHeight="1" x14ac:dyDescent="0.25">
      <c r="A48" s="957">
        <f>IF(AND(Income_TechniqueUsed&lt;&gt;"Direct Capitalization",Income_OtherIncome_Number&gt;1),1,0)</f>
        <v>0</v>
      </c>
      <c r="B48" s="402"/>
      <c r="C48" s="3625"/>
      <c r="D48" s="3625" t="s">
        <v>393</v>
      </c>
      <c r="E48" s="1677"/>
      <c r="F48" s="1698" t="e">
        <f>dpIncome_Inc_OtherIncome_Year1*Subject_NRA/VLOOKUP("Effective Gross Revenue",'DCF 1'!$E$8:$I$107,2,FALSE)+0</f>
        <v>#N/A</v>
      </c>
      <c r="G48" s="3625"/>
      <c r="H48" s="403"/>
      <c r="I48" s="404"/>
      <c r="J48" s="404"/>
      <c r="K48" s="405"/>
      <c r="L48" s="405"/>
    </row>
    <row r="49" spans="1:12" s="406" customFormat="1" ht="18" hidden="1" customHeight="1" x14ac:dyDescent="0.25">
      <c r="A49" s="957">
        <f>IF(AND(Income_TechniqueUsed&lt;&gt;"Direct Capitalization",Income_OtherIncome_Number&gt;2),1,0)</f>
        <v>0</v>
      </c>
      <c r="B49" s="402"/>
      <c r="C49" s="3625"/>
      <c r="D49" s="3625" t="s">
        <v>419</v>
      </c>
      <c r="E49" s="1677"/>
      <c r="F49" s="1698" t="e">
        <f>dpIncome_Inc_OtherIncome_Year2*Subject_NRA/VLOOKUP("Effective Gross Revenue",'DCF 1'!$E$8:$I$107,3,FALSE)+0</f>
        <v>#N/A</v>
      </c>
      <c r="G49" s="3625"/>
      <c r="H49" s="403"/>
      <c r="I49" s="404"/>
      <c r="J49" s="404"/>
      <c r="K49" s="405"/>
      <c r="L49" s="405"/>
    </row>
    <row r="50" spans="1:12" s="406" customFormat="1" ht="18" hidden="1" customHeight="1" x14ac:dyDescent="0.25">
      <c r="A50" s="957">
        <f>IF(AND(Income_TechniqueUsed&lt;&gt;"Direct Capitalization",Income_OtherIncome_Number&gt;3),1,0)</f>
        <v>0</v>
      </c>
      <c r="B50" s="402"/>
      <c r="C50" s="3625"/>
      <c r="D50" s="3625" t="s">
        <v>420</v>
      </c>
      <c r="E50" s="1677"/>
      <c r="F50" s="1698" t="e">
        <f>dpIncome_Inc_OtherIncome_Year3*Subject_NRA/VLOOKUP("Effective Gross Revenue",'DCF 1'!$E$8:$I$107,4,FALSE)+0</f>
        <v>#N/A</v>
      </c>
      <c r="G50" s="3625"/>
      <c r="H50" s="403"/>
      <c r="I50" s="404"/>
      <c r="J50" s="404"/>
      <c r="K50" s="405"/>
      <c r="L50" s="405"/>
    </row>
    <row r="51" spans="1:12" s="406" customFormat="1" ht="18" hidden="1" customHeight="1" thickBot="1" x14ac:dyDescent="0.3">
      <c r="A51" s="957">
        <f>IF(Income_OtherIncome=1,1,0)</f>
        <v>0</v>
      </c>
      <c r="B51" s="402"/>
      <c r="C51" s="3625"/>
      <c r="D51" s="3628" t="str">
        <f>IF(J41="Year 1 Only","Year 1 Estimate:","Stabilized Estimate:")</f>
        <v>Stabilized Estimate:</v>
      </c>
      <c r="E51" s="1678"/>
      <c r="F51" s="1699">
        <f ca="1">IF(J41="Stabilized Only",dpIncome_Inc_OtherIncome_Stabilized*Subject_NRA/dpIncome_DirectCap_EGI,dpIncome_Inc_OtherIncome_Stabilized*Subject_NRA/VLOOKUP("Effective Gross Revenue",'DCF 1'!$E$8:$I$107,2,FALSE)+0)</f>
        <v>0</v>
      </c>
      <c r="G51" s="3625"/>
      <c r="H51" s="403"/>
      <c r="I51" s="404"/>
      <c r="J51" s="407"/>
      <c r="K51" s="405"/>
      <c r="L51" s="405"/>
    </row>
    <row r="52" spans="1:12" ht="15.95" customHeight="1" thickBot="1" x14ac:dyDescent="0.3">
      <c r="A52" s="957">
        <v>1</v>
      </c>
      <c r="B52" s="174"/>
      <c r="C52" s="5"/>
      <c r="D52" s="43" t="s">
        <v>899</v>
      </c>
      <c r="E52" s="19"/>
      <c r="F52" s="19"/>
      <c r="G52" s="5"/>
      <c r="H52" s="6"/>
    </row>
    <row r="53" spans="1:12" ht="17.25" thickBot="1" x14ac:dyDescent="0.35">
      <c r="A53" s="957">
        <v>1</v>
      </c>
      <c r="B53" s="567"/>
      <c r="C53" s="246"/>
      <c r="D53" s="246" t="s">
        <v>386</v>
      </c>
      <c r="E53" s="1682"/>
      <c r="F53" s="1682"/>
      <c r="G53" s="1683"/>
      <c r="H53" s="1685"/>
      <c r="J53" s="235" t="s">
        <v>430</v>
      </c>
    </row>
    <row r="54" spans="1:12" x14ac:dyDescent="0.25">
      <c r="A54" s="957">
        <v>1</v>
      </c>
      <c r="B54" s="174"/>
      <c r="C54" s="12"/>
      <c r="D54" s="12" t="s">
        <v>1579</v>
      </c>
      <c r="E54" s="55" t="s">
        <v>390</v>
      </c>
      <c r="F54" s="55" t="s">
        <v>391</v>
      </c>
      <c r="H54" s="6"/>
    </row>
    <row r="55" spans="1:12" ht="18" hidden="1" customHeight="1" x14ac:dyDescent="0.25">
      <c r="A55" s="957">
        <f>IF(E55="",0,1)</f>
        <v>0</v>
      </c>
      <c r="B55" s="174"/>
      <c r="C55" s="258"/>
      <c r="D55" s="258" t="str">
        <f>CONCATENATE("Subject ",'Income Expense History'!$E$5," - ",TEXT('Income Expense History'!$E$6,"mm/yyyy"))</f>
        <v>Subject 0 - 01/1900</v>
      </c>
      <c r="E55" s="3329" t="str">
        <f>VLOOKUP($D53,'Income Expense History'!$D$70:$S$80,3,FALSE)</f>
        <v/>
      </c>
      <c r="F55" s="3399" t="str">
        <f>VLOOKUP($D53,'Income Expense History'!$D$11:$S$80,4, FALSE)</f>
        <v>N/A</v>
      </c>
      <c r="G55" s="258"/>
      <c r="H55" s="6"/>
    </row>
    <row r="56" spans="1:12" ht="18" hidden="1" customHeight="1" x14ac:dyDescent="0.25">
      <c r="A56" s="957">
        <f t="shared" ref="A56:A59" si="0">IF(E56="",0,1)</f>
        <v>0</v>
      </c>
      <c r="B56" s="174"/>
      <c r="C56" s="258"/>
      <c r="D56" s="258" t="str">
        <f>CONCATENATE("Subject ",'Income Expense History'!$I$5," - ",TEXT('Income Expense History'!$I$6,"mm/yyyy"))</f>
        <v>Subject 0 - 01/1900</v>
      </c>
      <c r="E56" s="3329" t="str">
        <f>VLOOKUP($D53,'Income Expense History'!$D$11:$S$80,7, FALSE)</f>
        <v/>
      </c>
      <c r="F56" s="3399" t="str">
        <f>VLOOKUP($D53,'Income Expense History'!$D$11:$S$80,8, FALSE)</f>
        <v>N/A</v>
      </c>
      <c r="G56" s="258"/>
      <c r="H56" s="6"/>
    </row>
    <row r="57" spans="1:12" ht="18" hidden="1" customHeight="1" x14ac:dyDescent="0.25">
      <c r="A57" s="957">
        <f t="shared" si="0"/>
        <v>0</v>
      </c>
      <c r="B57" s="174"/>
      <c r="C57" s="258"/>
      <c r="D57" s="258" t="str">
        <f>CONCATENATE("Subject ",'Income Expense History'!$M$5," - ",TEXT('Income Expense History'!$M$6,"mm/yyyy"))</f>
        <v>Subject 0 - 01/1900</v>
      </c>
      <c r="E57" s="3329" t="str">
        <f>VLOOKUP($D53,'Income Expense History'!$D$11:$S$80,11, FALSE)</f>
        <v/>
      </c>
      <c r="F57" s="3399" t="str">
        <f>VLOOKUP($D53,'Income Expense History'!$D$11:$S$80,12, FALSE)</f>
        <v>N/A</v>
      </c>
      <c r="G57" s="258"/>
      <c r="H57" s="6"/>
    </row>
    <row r="58" spans="1:12" ht="18" hidden="1" customHeight="1" x14ac:dyDescent="0.25">
      <c r="A58" s="957">
        <f t="shared" si="0"/>
        <v>0</v>
      </c>
      <c r="B58" s="174"/>
      <c r="C58" s="258"/>
      <c r="D58" s="258" t="str">
        <f>CONCATENATE("Subject ",'Income Expense History'!$Q$5," - ",TEXT('Income Expense History'!$Q$6,"mm/yyyy"))</f>
        <v>Subject 0 - 01/1900</v>
      </c>
      <c r="E58" s="3329" t="str">
        <f>VLOOKUP($D53,'Income Expense History'!$D$11:$S$80,15, FALSE)</f>
        <v/>
      </c>
      <c r="F58" s="3399" t="str">
        <f>VLOOKUP($D53,'Income Expense History'!$D$11:$S$80,16, FALSE)</f>
        <v>N/A</v>
      </c>
      <c r="G58" s="258"/>
      <c r="H58" s="6"/>
    </row>
    <row r="59" spans="1:12" ht="18" hidden="1" customHeight="1" x14ac:dyDescent="0.25">
      <c r="A59" s="957">
        <f t="shared" si="0"/>
        <v>0</v>
      </c>
      <c r="B59" s="402"/>
      <c r="C59" s="3625"/>
      <c r="D59" s="3629" t="s">
        <v>392</v>
      </c>
      <c r="E59" s="3630" t="str">
        <f>IF(ISERR(AVERAGE(E55:E58)),"",AVERAGE(E55:E58))</f>
        <v/>
      </c>
      <c r="F59" s="3631" t="str">
        <f>IF(ISERR(AVERAGE(F55:F58)),"",AVERAGE(F55:F58))</f>
        <v/>
      </c>
      <c r="G59" s="3625"/>
      <c r="H59" s="403"/>
    </row>
    <row r="60" spans="1:12" ht="18" hidden="1" customHeight="1" x14ac:dyDescent="0.25">
      <c r="A60" s="957">
        <f>IF(AND(Income_TechniqueUsed&lt;&gt;"Direct Capitalization",Income_NOI_Number&gt;1),1,0)</f>
        <v>0</v>
      </c>
      <c r="B60" s="402"/>
      <c r="C60" s="3625"/>
      <c r="D60" s="3625" t="s">
        <v>393</v>
      </c>
      <c r="E60" s="1677" t="e">
        <f>(VLOOKUP("Net Operating Income",'DCF 1'!$E$8:$I$107,2,FALSE)+0)/Subject_NRA</f>
        <v>#N/A</v>
      </c>
      <c r="F60" s="1698" t="e">
        <f>E60*Subject_NRA/VLOOKUP("Effective Gross Revenue",'DCF 1'!$E$8:$I$107,2,FALSE)+0</f>
        <v>#N/A</v>
      </c>
      <c r="G60" s="3625"/>
      <c r="H60" s="403"/>
    </row>
    <row r="61" spans="1:12" ht="18" hidden="1" customHeight="1" x14ac:dyDescent="0.25">
      <c r="A61" s="957">
        <f>IF(AND(Income_TechniqueUsed&lt;&gt;"Direct Capitalization",Income_NOI_Number&gt;2),1,0)</f>
        <v>0</v>
      </c>
      <c r="B61" s="402"/>
      <c r="C61" s="3625"/>
      <c r="D61" s="3625" t="s">
        <v>419</v>
      </c>
      <c r="E61" s="1677" t="e">
        <f>(VLOOKUP("Net Operating Income",'DCF 1'!$E$8:$I$107,3,FALSE)+0)/Subject_NRA</f>
        <v>#N/A</v>
      </c>
      <c r="F61" s="1698" t="e">
        <f>E61*Subject_NRA/VLOOKUP("Effective Gross Revenue",'DCF 1'!$E$8:$I$107,3,FALSE)+0</f>
        <v>#N/A</v>
      </c>
      <c r="G61" s="3625"/>
      <c r="H61" s="403"/>
    </row>
    <row r="62" spans="1:12" ht="18" hidden="1" customHeight="1" x14ac:dyDescent="0.25">
      <c r="A62" s="957">
        <f>IF(AND(Income_TechniqueUsed&lt;&gt;"Direct Capitalization",Income_NOI_Number&gt;3),1,0)</f>
        <v>0</v>
      </c>
      <c r="B62" s="402"/>
      <c r="C62" s="3625"/>
      <c r="D62" s="3625" t="s">
        <v>420</v>
      </c>
      <c r="E62" s="1677" t="e">
        <f>(VLOOKUP("Net Operating Income",'DCF 1'!$E$8:$I$107,4,FALSE)+0)/Subject_NRA</f>
        <v>#N/A</v>
      </c>
      <c r="F62" s="1698" t="e">
        <f>E62*Subject_NRA/VLOOKUP("Effective Gross Revenue",'DCF 1'!$E$8:$I$107,4,FALSE)+0</f>
        <v>#N/A</v>
      </c>
      <c r="G62" s="3625"/>
      <c r="H62" s="403"/>
    </row>
    <row r="63" spans="1:12" ht="18" customHeight="1" thickBot="1" x14ac:dyDescent="0.3">
      <c r="A63" s="957">
        <f>IF(Income_NOI_Number=1,1,0)</f>
        <v>1</v>
      </c>
      <c r="B63" s="402"/>
      <c r="C63" s="3625"/>
      <c r="D63" s="3628" t="str">
        <f>IF(J53="Year 1 Only","Year 1 Estimate:","Stabilized Estimate:")</f>
        <v>Stabilized Estimate:</v>
      </c>
      <c r="E63" s="1678">
        <f ca="1">IF(J53="Stabilized Only",'Direct Capitalization'!H100,(VLOOKUP("Net Operating Income",'DCF 1'!$E$8:$I$107,2,FALSE)+0)/Subject_NRA)</f>
        <v>0.65</v>
      </c>
      <c r="F63" s="1699">
        <f ca="1">IF(J53="Stabilized Only",'Direct Capitalization'!L100,E63*Subject_NRA/VLOOKUP("Effective Gross Revenue",'DCF 1'!$E$8:$I$107,2,FALSE)+0)</f>
        <v>0.38241309948921937</v>
      </c>
      <c r="G63" s="3625"/>
      <c r="H63" s="403"/>
    </row>
    <row r="64" spans="1:12" ht="15" thickBot="1" x14ac:dyDescent="0.3">
      <c r="A64" s="957">
        <v>1</v>
      </c>
      <c r="B64" s="174"/>
      <c r="C64" s="5"/>
      <c r="D64" s="43" t="s">
        <v>18200</v>
      </c>
      <c r="E64" s="19"/>
      <c r="F64" s="19"/>
      <c r="G64" s="5"/>
      <c r="H64" s="6"/>
    </row>
    <row r="65" spans="1:8" x14ac:dyDescent="0.25">
      <c r="A65" s="957"/>
      <c r="B65" s="215"/>
      <c r="C65" s="234"/>
      <c r="D65" s="234"/>
      <c r="E65" s="2991"/>
      <c r="F65" s="2991"/>
      <c r="G65" s="234"/>
      <c r="H65" s="234"/>
    </row>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Invalid Option - Please Select from the List" prompt="Select Required Estimate Periods" xr:uid="{00000000-0002-0000-3300-000000000000}">
          <x14:formula1>
            <xm:f>'Selection Tables'!$V$14:$V$18</xm:f>
          </x14:formula1>
          <xm:sqref>J29 J17 J41 J53 J5</xm:sqref>
        </x14:dataValidation>
      </x14:dataValidations>
    </ext>
  </extLs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29">
    <tabColor theme="5" tint="-0.249977111117893"/>
  </sheetPr>
  <dimension ref="A1:AM380"/>
  <sheetViews>
    <sheetView zoomScaleNormal="100" workbookViewId="0">
      <selection activeCell="AH295" sqref="AH295"/>
    </sheetView>
  </sheetViews>
  <sheetFormatPr defaultColWidth="9.140625" defaultRowHeight="14.25" x14ac:dyDescent="0.25"/>
  <cols>
    <col min="1" max="1" width="5.7109375" style="96" customWidth="1"/>
    <col min="2" max="2" width="1.7109375" style="42" customWidth="1"/>
    <col min="3" max="3" width="0.85546875" style="10" customWidth="1"/>
    <col min="4" max="4" width="55.7109375" style="10" customWidth="1"/>
    <col min="5" max="10" width="10.28515625" style="37" hidden="1" customWidth="1"/>
    <col min="11" max="12" width="10.28515625" style="37" customWidth="1"/>
    <col min="13" max="13" width="0.85546875" style="10" customWidth="1"/>
    <col min="14" max="14" width="1.7109375" style="10" customWidth="1"/>
    <col min="15" max="15" width="5.7109375" style="42" customWidth="1"/>
    <col min="16" max="16" width="22.7109375" style="54" customWidth="1"/>
    <col min="17" max="17" width="5.5703125" style="2505" customWidth="1"/>
    <col min="18" max="18" width="1.7109375" style="11" customWidth="1"/>
    <col min="19" max="19" width="0.85546875" style="11" customWidth="1"/>
    <col min="20" max="20" width="24.7109375" style="11" customWidth="1"/>
    <col min="21" max="22" width="9.7109375" style="11" hidden="1" customWidth="1"/>
    <col min="23" max="29" width="9.7109375" style="10" hidden="1" customWidth="1"/>
    <col min="30" max="30" width="10" style="10" bestFit="1" customWidth="1"/>
    <col min="31" max="31" width="0.85546875" style="10" customWidth="1"/>
    <col min="32" max="32" width="1.7109375" style="10" customWidth="1"/>
    <col min="33" max="16384" width="9.140625" style="10"/>
  </cols>
  <sheetData>
    <row r="1" spans="1:39" ht="60" customHeight="1" x14ac:dyDescent="0.25"/>
    <row r="2" spans="1:39" ht="129.94999999999999" customHeight="1" x14ac:dyDescent="0.25">
      <c r="B2" s="10"/>
      <c r="D2" s="55" t="s">
        <v>1591</v>
      </c>
      <c r="E2" s="4307" t="s">
        <v>1573</v>
      </c>
      <c r="F2" s="4307"/>
      <c r="G2" s="4307" t="s">
        <v>1574</v>
      </c>
      <c r="H2" s="4307"/>
      <c r="I2" s="4307" t="s">
        <v>1575</v>
      </c>
      <c r="J2" s="4307"/>
      <c r="O2" s="10"/>
      <c r="P2" s="150"/>
    </row>
    <row r="3" spans="1:39" ht="15.95" customHeight="1" x14ac:dyDescent="0.25">
      <c r="B3" s="10"/>
      <c r="D3" s="55" t="s">
        <v>441</v>
      </c>
      <c r="E3" s="4300"/>
      <c r="F3" s="4301"/>
      <c r="G3" s="4301"/>
      <c r="H3" s="4301"/>
      <c r="I3" s="4301"/>
      <c r="J3" s="4302"/>
      <c r="O3" s="10"/>
      <c r="P3" s="150"/>
    </row>
    <row r="4" spans="1:39" ht="15.95" customHeight="1" x14ac:dyDescent="0.25">
      <c r="B4" s="10"/>
      <c r="D4" s="55" t="str">
        <f>CONCATENATE(D17," - Effective Gross Income")</f>
        <v>Subject 0 - 01/1900 - Effective Gross Income</v>
      </c>
      <c r="E4" s="4304"/>
      <c r="F4" s="4305"/>
      <c r="G4" s="4305"/>
      <c r="H4" s="4305"/>
      <c r="I4" s="4305"/>
      <c r="J4" s="4306"/>
      <c r="O4" s="10"/>
      <c r="P4" s="150"/>
    </row>
    <row r="5" spans="1:39" ht="15.95" customHeight="1" x14ac:dyDescent="0.25">
      <c r="B5" s="10"/>
      <c r="D5" s="55" t="str">
        <f>CONCATENATE(D18," - Effective Gross Income")</f>
        <v>Subject 0 - 01/1900 - Effective Gross Income</v>
      </c>
      <c r="E5" s="4304"/>
      <c r="F5" s="4305"/>
      <c r="G5" s="4305"/>
      <c r="H5" s="4305"/>
      <c r="I5" s="4305"/>
      <c r="J5" s="4306"/>
      <c r="O5" s="10"/>
      <c r="P5" s="150"/>
    </row>
    <row r="6" spans="1:39" ht="15.95" customHeight="1" x14ac:dyDescent="0.25">
      <c r="B6" s="10"/>
      <c r="D6" s="55" t="str">
        <f>CONCATENATE(D19," - Effective Gross Income")</f>
        <v>Subject 0 - 01/1900 - Effective Gross Income</v>
      </c>
      <c r="E6" s="4304"/>
      <c r="F6" s="4305"/>
      <c r="G6" s="4305"/>
      <c r="H6" s="4305"/>
      <c r="I6" s="4305"/>
      <c r="J6" s="4306"/>
      <c r="O6" s="10"/>
      <c r="P6" s="150" t="s">
        <v>428</v>
      </c>
    </row>
    <row r="7" spans="1:39" ht="15.95" customHeight="1" thickBot="1" x14ac:dyDescent="0.3">
      <c r="B7" s="10"/>
      <c r="D7" s="55" t="str">
        <f>CONCATENATE(D20," - Effective Gross Income")</f>
        <v>Subject 0 - 01/1900 - Effective Gross Income</v>
      </c>
      <c r="E7" s="4310"/>
      <c r="F7" s="4308"/>
      <c r="G7" s="4308"/>
      <c r="H7" s="4308"/>
      <c r="I7" s="4308"/>
      <c r="J7" s="4309"/>
      <c r="O7" s="10"/>
      <c r="P7" s="150" t="s">
        <v>429</v>
      </c>
      <c r="AM7" s="10">
        <f>95000/24050</f>
        <v>3.9501039501039501</v>
      </c>
    </row>
    <row r="8" spans="1:39" ht="9.9499999999999993" customHeight="1" thickBot="1" x14ac:dyDescent="0.3">
      <c r="A8" s="957">
        <v>1</v>
      </c>
      <c r="B8" s="173"/>
      <c r="C8" s="2"/>
      <c r="D8" s="2"/>
      <c r="E8" s="123"/>
      <c r="F8" s="123"/>
      <c r="G8" s="123"/>
      <c r="H8" s="123"/>
      <c r="I8" s="123"/>
      <c r="J8" s="123"/>
      <c r="K8" s="123"/>
      <c r="L8" s="123"/>
      <c r="M8" s="2"/>
      <c r="N8" s="3"/>
    </row>
    <row r="9" spans="1:39" ht="17.25" thickBot="1" x14ac:dyDescent="0.35">
      <c r="A9" s="957">
        <f>IF(OR(Expense_RealEstateTax_Reimb=1,Expense_RealEstateTax_NonReimb=1),1,0)</f>
        <v>1</v>
      </c>
      <c r="B9" s="174"/>
      <c r="C9" s="43"/>
      <c r="D9" s="246" t="str">
        <f>dpIncome_ExpenseCat_1</f>
        <v>Real Estate Taxes</v>
      </c>
      <c r="E9" s="4303"/>
      <c r="F9" s="4303"/>
      <c r="G9" s="804"/>
      <c r="H9" s="804"/>
      <c r="I9" s="804"/>
      <c r="J9" s="804"/>
      <c r="K9" s="804"/>
      <c r="L9" s="804"/>
      <c r="M9" s="52"/>
      <c r="N9" s="6"/>
      <c r="P9" s="235" t="s">
        <v>430</v>
      </c>
      <c r="AJ9" s="10">
        <v>130062</v>
      </c>
      <c r="AK9" s="10">
        <f>+AJ9/39440</f>
        <v>3.2977180527383365</v>
      </c>
    </row>
    <row r="10" spans="1:39" ht="20.100000000000001" hidden="1" customHeight="1" x14ac:dyDescent="0.25">
      <c r="A10" s="957">
        <f>IF(OR(Expense_RealEstateTax_Reimb=1,Expense_RealEstateTax_NonReimb=1),IF(Main_ExpensePool_Count&gt;1,1,0),0)</f>
        <v>0</v>
      </c>
      <c r="B10" s="174"/>
      <c r="C10" s="12"/>
      <c r="D10" s="12"/>
      <c r="E10" s="4090" t="str">
        <f>E2</f>
        <v>Expense Pool 1</v>
      </c>
      <c r="F10" s="4090"/>
      <c r="G10" s="4090" t="str">
        <f>G2</f>
        <v>Expense Pool 2</v>
      </c>
      <c r="H10" s="4090"/>
      <c r="I10" s="4090" t="str">
        <f>I2</f>
        <v>Expense Pool 3</v>
      </c>
      <c r="J10" s="4090"/>
      <c r="K10" s="4164" t="s">
        <v>1576</v>
      </c>
      <c r="L10" s="4164"/>
      <c r="N10" s="6"/>
      <c r="P10" s="707"/>
    </row>
    <row r="11" spans="1:39" ht="15.95" customHeight="1" x14ac:dyDescent="0.25">
      <c r="A11" s="957">
        <f>IF(OR(Expense_RealEstateTax_Reimb=1,Expense_RealEstateTax_NonReimb=1),1,0)</f>
        <v>1</v>
      </c>
      <c r="B11" s="174"/>
      <c r="C11" s="12"/>
      <c r="D11" s="12" t="s">
        <v>1577</v>
      </c>
      <c r="E11" s="55" t="s">
        <v>390</v>
      </c>
      <c r="F11" s="55" t="s">
        <v>391</v>
      </c>
      <c r="G11" s="55" t="s">
        <v>390</v>
      </c>
      <c r="H11" s="55" t="s">
        <v>391</v>
      </c>
      <c r="I11" s="55" t="s">
        <v>390</v>
      </c>
      <c r="J11" s="55" t="s">
        <v>391</v>
      </c>
      <c r="K11" s="55" t="s">
        <v>390</v>
      </c>
      <c r="L11" s="55" t="s">
        <v>391</v>
      </c>
      <c r="N11" s="6"/>
      <c r="P11" s="707"/>
    </row>
    <row r="12" spans="1:39" ht="18" hidden="1" customHeight="1" x14ac:dyDescent="0.25">
      <c r="A12" s="957">
        <f t="shared" ref="A12:A21" si="0">IF(OR(Expense_RealEstateTax_Reimb=1,Expense_RealEstateTax_NonReimb=1),IF(K12="",0,1),0)</f>
        <v>0</v>
      </c>
      <c r="B12" s="174"/>
      <c r="C12" s="258"/>
      <c r="D12" s="258" t="str">
        <f>CONCATENATE('Expense Comps'!$E$5, " - ",'Expense Comps'!$E$7," - ",'Expense Comps'!$E$9," - ",TEXT('Expense Comps'!$E$10,"mm/yyyy"))</f>
        <v>Expense Comp # 1 -  - 0 - 01/1900</v>
      </c>
      <c r="E12" s="415"/>
      <c r="F12" s="415"/>
      <c r="G12" s="415"/>
      <c r="H12" s="415"/>
      <c r="I12" s="415"/>
      <c r="J12" s="415"/>
      <c r="K12" s="3329" t="str">
        <f>VLOOKUP($D9,'Expense Comps'!$D$19:$X$75,3,FALSE)</f>
        <v/>
      </c>
      <c r="L12" s="3619" t="str">
        <f>VLOOKUP($D9,'Expense Comps'!$D$19:$X$75,4,FALSE)</f>
        <v/>
      </c>
      <c r="M12" s="258"/>
      <c r="N12" s="6"/>
      <c r="P12" s="664">
        <f>IF(Expense_RealEstateTax_Reimb=1,dpIncome_Expense_RETax_Stabilized,0)</f>
        <v>5.5</v>
      </c>
    </row>
    <row r="13" spans="1:39" ht="18" hidden="1" customHeight="1" x14ac:dyDescent="0.25">
      <c r="A13" s="957">
        <f t="shared" si="0"/>
        <v>0</v>
      </c>
      <c r="B13" s="174"/>
      <c r="C13" s="258"/>
      <c r="D13" s="258" t="str">
        <f>CONCATENATE('Expense Comps'!$I$5, " - ",'Expense Comps'!$I$7," - ",'Expense Comps'!$I$9," - ",TEXT('Expense Comps'!$I$10,"mm/yyyy"))</f>
        <v>Expense Comp # 2 -  - 0 - 01/1900</v>
      </c>
      <c r="E13" s="415"/>
      <c r="F13" s="415"/>
      <c r="G13" s="415"/>
      <c r="H13" s="415"/>
      <c r="I13" s="415"/>
      <c r="J13" s="415"/>
      <c r="K13" s="3329" t="str">
        <f>VLOOKUP($D9,'Expense Comps'!$D$19:$X$75,7,FALSE)</f>
        <v/>
      </c>
      <c r="L13" s="3619" t="str">
        <f>VLOOKUP($D9,'Expense Comps'!$D$19:$X$75,8,FALSE)</f>
        <v/>
      </c>
      <c r="M13" s="258"/>
      <c r="N13" s="6"/>
    </row>
    <row r="14" spans="1:39" ht="18" hidden="1" customHeight="1" x14ac:dyDescent="0.25">
      <c r="A14" s="957">
        <f t="shared" si="0"/>
        <v>0</v>
      </c>
      <c r="B14" s="174"/>
      <c r="C14" s="258"/>
      <c r="D14" s="258" t="str">
        <f>CONCATENATE('Expense Comps'!$M$5, " - ",'Expense Comps'!$M$7," - ",'Expense Comps'!$M$9," - ",TEXT('Expense Comps'!$M$10,"mm/yyyy"))</f>
        <v>Expense Comp # 3 -  - 0 - 01/1900</v>
      </c>
      <c r="E14" s="415"/>
      <c r="F14" s="415"/>
      <c r="G14" s="415"/>
      <c r="H14" s="415"/>
      <c r="I14" s="415"/>
      <c r="J14" s="415"/>
      <c r="K14" s="3329" t="str">
        <f>VLOOKUP($D9,'Expense Comps'!$D$19:$X$75,11,FALSE)</f>
        <v/>
      </c>
      <c r="L14" s="3619" t="str">
        <f>VLOOKUP($D9,'Expense Comps'!$D$19:$X$75,12,FALSE)</f>
        <v/>
      </c>
      <c r="M14" s="258"/>
      <c r="N14" s="6"/>
    </row>
    <row r="15" spans="1:39" ht="18" hidden="1" customHeight="1" x14ac:dyDescent="0.25">
      <c r="A15" s="957">
        <f t="shared" si="0"/>
        <v>0</v>
      </c>
      <c r="B15" s="174"/>
      <c r="C15" s="258"/>
      <c r="D15" s="258" t="str">
        <f>CONCATENATE('Expense Comps'!$Q$5, " - ",'Expense Comps'!$Q$7," - ",'Expense Comps'!$Q$9," - ",TEXT('Expense Comps'!$Q$10,"mm/yyyy"))</f>
        <v>Expense Comp # 4 -  - 0 - 01/1900</v>
      </c>
      <c r="E15" s="415"/>
      <c r="F15" s="415"/>
      <c r="G15" s="415"/>
      <c r="H15" s="415"/>
      <c r="I15" s="415"/>
      <c r="J15" s="415"/>
      <c r="K15" s="3329" t="str">
        <f>VLOOKUP($D9,'Expense Comps'!$D$19:$X$75,15,FALSE)</f>
        <v/>
      </c>
      <c r="L15" s="3619" t="str">
        <f>VLOOKUP($D9,'Expense Comps'!$D$19:$X$75,16,FALSE)</f>
        <v/>
      </c>
      <c r="M15" s="258"/>
      <c r="N15" s="6"/>
      <c r="P15" s="42"/>
    </row>
    <row r="16" spans="1:39" ht="18" hidden="1" customHeight="1" x14ac:dyDescent="0.25">
      <c r="A16" s="957">
        <f t="shared" si="0"/>
        <v>0</v>
      </c>
      <c r="B16" s="174"/>
      <c r="C16" s="258"/>
      <c r="D16" s="258" t="str">
        <f>CONCATENATE('Expense Comps'!$U$5, " - ",'Expense Comps'!$U$7," - ",'Expense Comps'!$U$9," - ",TEXT('Expense Comps'!$U$10,"mm/yyyy"))</f>
        <v>Expense Comp # 5 -  - 0 - 01/1900</v>
      </c>
      <c r="E16" s="415"/>
      <c r="F16" s="415"/>
      <c r="G16" s="415"/>
      <c r="H16" s="415"/>
      <c r="I16" s="415"/>
      <c r="J16" s="415"/>
      <c r="K16" s="3329" t="str">
        <f>VLOOKUP($D9,'Expense Comps'!$D$19:$X$75,19,FALSE)</f>
        <v/>
      </c>
      <c r="L16" s="3619" t="str">
        <f>VLOOKUP($D9,'Expense Comps'!$D$19:$X$75,20,FALSE)</f>
        <v/>
      </c>
      <c r="M16" s="258"/>
      <c r="N16" s="6"/>
      <c r="P16" s="42"/>
    </row>
    <row r="17" spans="1:22" ht="18" hidden="1" customHeight="1" x14ac:dyDescent="0.25">
      <c r="A17" s="957">
        <f t="shared" si="0"/>
        <v>0</v>
      </c>
      <c r="B17" s="174"/>
      <c r="C17" s="258"/>
      <c r="D17" s="258" t="str">
        <f>CONCATENATE("Subject ",'Income Expense History'!$E$5," - ",TEXT('Income Expense History'!$E$6,"mm/yyyy"))</f>
        <v>Subject 0 - 01/1900</v>
      </c>
      <c r="E17" s="3329"/>
      <c r="F17" s="3399" t="str">
        <f>IFERROR(E17/Income_EGI_Pool1_1,"")</f>
        <v/>
      </c>
      <c r="G17" s="3329"/>
      <c r="H17" s="3399" t="str">
        <f>IFERROR(G17/Income_EGI_Pool2_1,"")</f>
        <v/>
      </c>
      <c r="I17" s="3329"/>
      <c r="J17" s="3399" t="str">
        <f>IFERROR(I17/Income_EGI_Pool3_1,"")</f>
        <v/>
      </c>
      <c r="K17" s="3329" t="str">
        <f>VLOOKUP($D9,'Income Expense History'!$D$19:$S$76,3,FALSE)</f>
        <v/>
      </c>
      <c r="L17" s="3399" t="str">
        <f>VLOOKUP($D9,'Income Expense History'!$D$19:$S$76,4, FALSE)</f>
        <v>N/A</v>
      </c>
      <c r="M17" s="258"/>
      <c r="N17" s="6"/>
    </row>
    <row r="18" spans="1:22" ht="18" hidden="1" customHeight="1" x14ac:dyDescent="0.25">
      <c r="A18" s="957">
        <f t="shared" si="0"/>
        <v>0</v>
      </c>
      <c r="B18" s="174"/>
      <c r="C18" s="258"/>
      <c r="D18" s="258" t="str">
        <f>CONCATENATE("Subject ",'Income Expense History'!$I$5," - ",TEXT('Income Expense History'!$I$6,"mm/yyyy"))</f>
        <v>Subject 0 - 01/1900</v>
      </c>
      <c r="E18" s="3329"/>
      <c r="F18" s="3399" t="str">
        <f>IFERROR(E18/Income_EGI_Pool1_2,"")</f>
        <v/>
      </c>
      <c r="G18" s="3329"/>
      <c r="H18" s="3399" t="str">
        <f>IFERROR(G18/Income_EGI_Pool2_2,"")</f>
        <v/>
      </c>
      <c r="I18" s="3329"/>
      <c r="J18" s="3399" t="str">
        <f>IFERROR(I18/Income_EGI_Pool3_2,"")</f>
        <v/>
      </c>
      <c r="K18" s="3329" t="str">
        <f>VLOOKUP($D9,'Income Expense History'!$D$19:$S$76,7, FALSE)</f>
        <v/>
      </c>
      <c r="L18" s="3399" t="str">
        <f>VLOOKUP($D9,'Income Expense History'!$D$19:$S$76,8, FALSE)</f>
        <v>N/A</v>
      </c>
      <c r="M18" s="258"/>
      <c r="N18" s="6"/>
    </row>
    <row r="19" spans="1:22" ht="18" hidden="1" customHeight="1" x14ac:dyDescent="0.25">
      <c r="A19" s="957">
        <f t="shared" si="0"/>
        <v>0</v>
      </c>
      <c r="B19" s="174"/>
      <c r="C19" s="258"/>
      <c r="D19" s="258" t="str">
        <f>CONCATENATE("Subject ",'Income Expense History'!$M$5," - ",TEXT('Income Expense History'!$M$6,"mm/yyyy"))</f>
        <v>Subject 0 - 01/1900</v>
      </c>
      <c r="E19" s="3329"/>
      <c r="F19" s="3399" t="str">
        <f>IFERROR(E19/Income_EGI_Pool1_3,"")</f>
        <v/>
      </c>
      <c r="G19" s="3329"/>
      <c r="H19" s="3399" t="str">
        <f>IFERROR(G19/Income_EGI_Pool2_3,"")</f>
        <v/>
      </c>
      <c r="I19" s="3329"/>
      <c r="J19" s="3399" t="str">
        <f>IFERROR(I19/Income_EGI_Pool3_3,"")</f>
        <v/>
      </c>
      <c r="K19" s="3329" t="str">
        <f>VLOOKUP($D9,'Income Expense History'!$D$19:$S$76,11, FALSE)</f>
        <v/>
      </c>
      <c r="L19" s="3399" t="str">
        <f>VLOOKUP($D9,'Income Expense History'!$D$19:$S$76,12, FALSE)</f>
        <v>N/A</v>
      </c>
      <c r="M19" s="258"/>
      <c r="N19" s="6"/>
    </row>
    <row r="20" spans="1:22" ht="18" hidden="1" customHeight="1" x14ac:dyDescent="0.25">
      <c r="A20" s="957">
        <f t="shared" si="0"/>
        <v>0</v>
      </c>
      <c r="B20" s="174"/>
      <c r="C20" s="258"/>
      <c r="D20" s="258" t="str">
        <f>CONCATENATE("Subject ",'Income Expense History'!$Q$5," - ",TEXT('Income Expense History'!$Q$6,"mm/yyyy"))</f>
        <v>Subject 0 - 01/1900</v>
      </c>
      <c r="E20" s="3329"/>
      <c r="F20" s="3399" t="str">
        <f>IFERROR(E20/Income_EGI_Pool1_4,"")</f>
        <v/>
      </c>
      <c r="G20" s="3329"/>
      <c r="H20" s="3399" t="str">
        <f>IFERROR(G20/Income_EGI_Pool2_4,"")</f>
        <v/>
      </c>
      <c r="I20" s="3329"/>
      <c r="J20" s="3399" t="str">
        <f>IFERROR(I20/Income_EGI_Pool3_4,"")</f>
        <v/>
      </c>
      <c r="K20" s="3329" t="str">
        <f>VLOOKUP($D9,'Income Expense History'!$D$19:$S$76,15, FALSE)</f>
        <v/>
      </c>
      <c r="L20" s="3399" t="str">
        <f>VLOOKUP($D9,'Income Expense History'!$D$19:$S$76,16, FALSE)</f>
        <v>N/A</v>
      </c>
      <c r="M20" s="258"/>
      <c r="N20" s="6"/>
    </row>
    <row r="21" spans="1:22" s="406" customFormat="1" ht="18" hidden="1" customHeight="1" x14ac:dyDescent="0.25">
      <c r="A21" s="957">
        <f t="shared" si="0"/>
        <v>0</v>
      </c>
      <c r="B21" s="402"/>
      <c r="C21" s="3625"/>
      <c r="D21" s="3629" t="s">
        <v>394</v>
      </c>
      <c r="E21" s="3630" t="e">
        <f t="shared" ref="E21:J21" si="1">AVERAGE(E12:E20)</f>
        <v>#DIV/0!</v>
      </c>
      <c r="F21" s="3632" t="e">
        <f t="shared" si="1"/>
        <v>#DIV/0!</v>
      </c>
      <c r="G21" s="3630" t="e">
        <f t="shared" si="1"/>
        <v>#DIV/0!</v>
      </c>
      <c r="H21" s="3632" t="e">
        <f t="shared" si="1"/>
        <v>#DIV/0!</v>
      </c>
      <c r="I21" s="3630" t="e">
        <f t="shared" si="1"/>
        <v>#DIV/0!</v>
      </c>
      <c r="J21" s="3632" t="e">
        <f t="shared" si="1"/>
        <v>#DIV/0!</v>
      </c>
      <c r="K21" s="3630" t="str">
        <f>IF(ISERR(AVERAGE(K12:K20)),"",AVERAGE(K12:K20))</f>
        <v/>
      </c>
      <c r="L21" s="3631" t="str">
        <f>IF(ISERR(AVERAGE(L12:L20)),"",AVERAGE(L12:L20))</f>
        <v/>
      </c>
      <c r="M21" s="3625"/>
      <c r="N21" s="403"/>
      <c r="O21" s="404"/>
      <c r="P21" s="407"/>
      <c r="Q21" s="2542"/>
      <c r="R21" s="2272"/>
      <c r="S21" s="2272"/>
      <c r="T21" s="2272"/>
      <c r="U21" s="2272"/>
      <c r="V21" s="2272"/>
    </row>
    <row r="22" spans="1:22" s="406" customFormat="1" ht="18" hidden="1" customHeight="1" x14ac:dyDescent="0.25">
      <c r="A22" s="957">
        <f>IF(AND(Income_TechniqueUsed&lt;&gt;"Direct Capitalization",Expense_RealEstateTax_Number&gt;1),1,0)</f>
        <v>0</v>
      </c>
      <c r="B22" s="402"/>
      <c r="C22" s="3625"/>
      <c r="D22" s="3625" t="s">
        <v>393</v>
      </c>
      <c r="E22" s="1677"/>
      <c r="F22" s="3399" t="e">
        <f>E22/Income_EGI_Pool1_1</f>
        <v>#DIV/0!</v>
      </c>
      <c r="G22" s="1677"/>
      <c r="H22" s="3399" t="e">
        <f>G22/Income_EGI_Pool2_1</f>
        <v>#DIV/0!</v>
      </c>
      <c r="I22" s="1677"/>
      <c r="J22" s="3399" t="e">
        <f>I22/Income_EGI_Pool3_1</f>
        <v>#DIV/0!</v>
      </c>
      <c r="K22" s="1677"/>
      <c r="L22" s="1698" t="e">
        <f>dpIncome_Expense_RETax_Year1*Subject_NRA/VLOOKUP("Effective Gross Revenue",'DCF 1'!$E$8:$I$107,2,FALSE)+0</f>
        <v>#N/A</v>
      </c>
      <c r="M22" s="3625"/>
      <c r="N22" s="403"/>
      <c r="O22" s="404"/>
      <c r="P22" s="404"/>
      <c r="Q22" s="2542"/>
      <c r="R22" s="2272"/>
      <c r="S22" s="2272"/>
      <c r="T22" s="2272"/>
      <c r="U22" s="2272"/>
      <c r="V22" s="2272"/>
    </row>
    <row r="23" spans="1:22" s="406" customFormat="1" ht="18" hidden="1" customHeight="1" x14ac:dyDescent="0.25">
      <c r="A23" s="957">
        <f>IF(AND(Income_TechniqueUsed&lt;&gt;"Direct Capitalization",Expense_RealEstateTax_Number&gt;2),1,0)</f>
        <v>0</v>
      </c>
      <c r="B23" s="402"/>
      <c r="C23" s="3625"/>
      <c r="D23" s="3625" t="s">
        <v>419</v>
      </c>
      <c r="E23" s="1677"/>
      <c r="F23" s="3399" t="e">
        <f>E23/Income_EGI_Pool1_1</f>
        <v>#DIV/0!</v>
      </c>
      <c r="G23" s="1677"/>
      <c r="H23" s="3399" t="e">
        <f>G23/Income_EGI_Pool2_1</f>
        <v>#DIV/0!</v>
      </c>
      <c r="I23" s="1677"/>
      <c r="J23" s="3399" t="e">
        <f>I23/Income_EGI_Pool3_1</f>
        <v>#DIV/0!</v>
      </c>
      <c r="K23" s="1677"/>
      <c r="L23" s="1698" t="e">
        <f>dpIncome_Expense_RETax_Year2*Subject_NRA/VLOOKUP("Effective Gross Revenue",'DCF 1'!$E$8:$I$107,3,FALSE)+0</f>
        <v>#N/A</v>
      </c>
      <c r="M23" s="3625"/>
      <c r="N23" s="403"/>
      <c r="O23" s="404"/>
      <c r="P23" s="404"/>
      <c r="Q23" s="2542"/>
      <c r="R23" s="2272"/>
      <c r="S23" s="2272"/>
      <c r="T23" s="2272"/>
      <c r="U23" s="2272"/>
      <c r="V23" s="2272"/>
    </row>
    <row r="24" spans="1:22" s="406" customFormat="1" ht="18" hidden="1" customHeight="1" x14ac:dyDescent="0.25">
      <c r="A24" s="957">
        <f>IF(AND(Income_TechniqueUsed&lt;&gt;"Direct Capitalization",Expense_RealEstateTax_Number&gt;3),1,0)</f>
        <v>0</v>
      </c>
      <c r="B24" s="402"/>
      <c r="C24" s="3625"/>
      <c r="D24" s="3625" t="s">
        <v>420</v>
      </c>
      <c r="E24" s="1677"/>
      <c r="F24" s="3399" t="e">
        <f>E24/Income_EGI_Pool1_1</f>
        <v>#DIV/0!</v>
      </c>
      <c r="G24" s="1677"/>
      <c r="H24" s="3399" t="e">
        <f>G24/Income_EGI_Pool2_1</f>
        <v>#DIV/0!</v>
      </c>
      <c r="I24" s="1677"/>
      <c r="J24" s="3399" t="e">
        <f>I24/Income_EGI_Pool3_1</f>
        <v>#DIV/0!</v>
      </c>
      <c r="K24" s="1677"/>
      <c r="L24" s="1698" t="e">
        <f>dpIncome_Expense_RETax_Year3*Subject_NRA/VLOOKUP("Effective Gross Revenue",'DCF 1'!$E$8:$I$107,4,FALSE)+0</f>
        <v>#N/A</v>
      </c>
      <c r="M24" s="3625"/>
      <c r="N24" s="403"/>
      <c r="O24" s="404"/>
      <c r="P24" s="404"/>
      <c r="Q24" s="2542"/>
      <c r="R24" s="2272"/>
      <c r="S24" s="2272"/>
      <c r="T24" s="2272"/>
      <c r="U24" s="2272"/>
      <c r="V24" s="2272"/>
    </row>
    <row r="25" spans="1:22" s="406" customFormat="1" ht="18" customHeight="1" thickBot="1" x14ac:dyDescent="0.3">
      <c r="A25" s="957">
        <f>IF(OR(Expense_RealEstateTax_Reimb=1,Expense_RealEstateTax_NonReimb=1),1,0)</f>
        <v>1</v>
      </c>
      <c r="B25" s="402"/>
      <c r="C25" s="3625"/>
      <c r="D25" s="3628" t="str">
        <f>IF(P9="Year 1 Only","Year 1 Estimate:","Stabilized Estimate:")</f>
        <v>Stabilized Estimate:</v>
      </c>
      <c r="E25" s="1678"/>
      <c r="F25" s="3633" t="e">
        <f>E25/Income_EGI_Pool1_1</f>
        <v>#DIV/0!</v>
      </c>
      <c r="G25" s="1678"/>
      <c r="H25" s="3633" t="e">
        <f>G25/Income_EGI_Pool2_1</f>
        <v>#DIV/0!</v>
      </c>
      <c r="I25" s="1678"/>
      <c r="J25" s="3633" t="e">
        <f>I25/Income_EGI_Pool3_1</f>
        <v>#DIV/0!</v>
      </c>
      <c r="K25" s="1678">
        <v>5.5</v>
      </c>
      <c r="L25" s="1699">
        <f ca="1">IF(P9="Stabilized Only",dpIncome_Expense_RETax_Stabilized*Subject_NRA/dpIncome_DirectCap_EGI,dpIncome_Expense_RETax_Stabilized*Subject_NRA/VLOOKUP("Effective Gross Revenue",'DCF 1'!$E$8:$I$107,2,FALSE)+0)</f>
        <v>3.2507006283053834</v>
      </c>
      <c r="M25" s="3625"/>
      <c r="N25" s="403"/>
      <c r="O25" s="404"/>
      <c r="P25" s="407"/>
      <c r="Q25" s="1686" t="s">
        <v>1572</v>
      </c>
      <c r="R25" s="2272"/>
      <c r="S25" s="2272"/>
      <c r="T25" s="2272"/>
      <c r="U25" s="2272"/>
      <c r="V25" s="2272"/>
    </row>
    <row r="26" spans="1:22" ht="15.95" customHeight="1" thickBot="1" x14ac:dyDescent="0.3">
      <c r="A26" s="957">
        <f>IF(OR(Expense_RealEstateTax_Reimb=1,Expense_RealEstateTax_NonReimb=1),1,0)</f>
        <v>1</v>
      </c>
      <c r="B26" s="174"/>
      <c r="C26" s="5"/>
      <c r="D26" s="43" t="s">
        <v>900</v>
      </c>
      <c r="E26" s="804"/>
      <c r="F26" s="804"/>
      <c r="G26" s="804"/>
      <c r="H26" s="804"/>
      <c r="I26" s="804"/>
      <c r="J26" s="804"/>
      <c r="K26" s="19"/>
      <c r="L26" s="19"/>
      <c r="M26" s="5"/>
      <c r="N26" s="6"/>
    </row>
    <row r="27" spans="1:22" ht="17.25" hidden="1" thickBot="1" x14ac:dyDescent="0.35">
      <c r="A27" s="957">
        <f>IF(OR(Expense_OtherTaxes_Reimb=1,Expense_OtherTaxes_NonReimb=1),1,0)</f>
        <v>0</v>
      </c>
      <c r="B27" s="567"/>
      <c r="C27" s="246"/>
      <c r="D27" s="246" t="str">
        <f>dpIncome_ExpenseCat_2</f>
        <v>Other Taxes</v>
      </c>
      <c r="E27" s="4299"/>
      <c r="F27" s="4299"/>
      <c r="G27" s="804"/>
      <c r="H27" s="804"/>
      <c r="I27" s="804"/>
      <c r="J27" s="804"/>
      <c r="K27" s="804"/>
      <c r="L27" s="804"/>
      <c r="M27" s="52"/>
      <c r="N27" s="6"/>
      <c r="P27" s="235" t="s">
        <v>430</v>
      </c>
    </row>
    <row r="28" spans="1:22" ht="20.100000000000001" hidden="1" customHeight="1" x14ac:dyDescent="0.25">
      <c r="A28" s="957">
        <f>IF(OR(Expense_OtherTaxes_Reimb=1,Expense_OtherTaxes_NonReimb=1),IF(Main_ExpensePool_Count&gt;1,1,0),0)</f>
        <v>0</v>
      </c>
      <c r="B28" s="174"/>
      <c r="C28" s="12"/>
      <c r="D28" s="12"/>
      <c r="E28" s="4090" t="str">
        <f>$E$10</f>
        <v>Expense Pool 1</v>
      </c>
      <c r="F28" s="4090"/>
      <c r="G28" s="4090" t="str">
        <f>$G$10</f>
        <v>Expense Pool 2</v>
      </c>
      <c r="H28" s="4090"/>
      <c r="I28" s="4090" t="str">
        <f>$I$10</f>
        <v>Expense Pool 3</v>
      </c>
      <c r="J28" s="4090"/>
      <c r="K28" s="4164" t="str">
        <f>$K$10</f>
        <v>Total Expense</v>
      </c>
      <c r="L28" s="4164"/>
      <c r="N28" s="6"/>
      <c r="P28" s="707"/>
    </row>
    <row r="29" spans="1:22" ht="15.95" hidden="1" customHeight="1" x14ac:dyDescent="0.25">
      <c r="A29" s="957">
        <f>IF(OR(Expense_OtherTaxes_Reimb=1,Expense_OtherTaxes_NonReimb=1),1,0)</f>
        <v>0</v>
      </c>
      <c r="B29" s="174"/>
      <c r="C29" s="12"/>
      <c r="D29" s="12" t="s">
        <v>1577</v>
      </c>
      <c r="E29" s="55" t="s">
        <v>390</v>
      </c>
      <c r="F29" s="55" t="s">
        <v>391</v>
      </c>
      <c r="G29" s="55" t="s">
        <v>390</v>
      </c>
      <c r="H29" s="55" t="s">
        <v>391</v>
      </c>
      <c r="I29" s="55" t="s">
        <v>390</v>
      </c>
      <c r="J29" s="55" t="s">
        <v>391</v>
      </c>
      <c r="K29" s="55" t="s">
        <v>390</v>
      </c>
      <c r="L29" s="55" t="s">
        <v>391</v>
      </c>
      <c r="N29" s="6"/>
      <c r="P29" s="707"/>
    </row>
    <row r="30" spans="1:22" ht="18" hidden="1" customHeight="1" x14ac:dyDescent="0.25">
      <c r="A30" s="957">
        <f t="shared" ref="A30:A39" si="2">IF(OR(Expense_OtherTaxes_Reimb=1,Expense_OtherTaxes_NonReimb=1),IF(K30="",0,1),0)</f>
        <v>0</v>
      </c>
      <c r="B30" s="174"/>
      <c r="C30" s="258"/>
      <c r="D30" s="258" t="str">
        <f>CONCATENATE('Expense Comps'!$E$5, " - ",'Expense Comps'!$E$7," - ",'Expense Comps'!$E$9," - ",TEXT('Expense Comps'!$E$10,"mm/yyyy"))</f>
        <v>Expense Comp # 1 -  - 0 - 01/1900</v>
      </c>
      <c r="E30" s="415"/>
      <c r="F30" s="415"/>
      <c r="G30" s="415"/>
      <c r="H30" s="415"/>
      <c r="I30" s="415"/>
      <c r="J30" s="415"/>
      <c r="K30" s="3329" t="str">
        <f>VLOOKUP($D27,'Expense Comps'!$D$19:$X$75,3,FALSE)</f>
        <v/>
      </c>
      <c r="L30" s="3619" t="str">
        <f>VLOOKUP($D27,'Expense Comps'!$D$19:$X$75,4,FALSE)</f>
        <v/>
      </c>
      <c r="M30" s="258"/>
      <c r="N30" s="6"/>
      <c r="P30" s="664">
        <f>IF(Expense_OtherTaxes_Reimb=1,dpIncome_Expense_OtherTaxes_Stabilized,0)</f>
        <v>0</v>
      </c>
    </row>
    <row r="31" spans="1:22" ht="18" hidden="1" customHeight="1" x14ac:dyDescent="0.25">
      <c r="A31" s="957">
        <f t="shared" si="2"/>
        <v>0</v>
      </c>
      <c r="B31" s="174"/>
      <c r="C31" s="258"/>
      <c r="D31" s="258" t="str">
        <f>CONCATENATE('Expense Comps'!$I$5, " - ",'Expense Comps'!$I$7," - ",'Expense Comps'!$I$9," - ",TEXT('Expense Comps'!$I$10,"mm/yyyy"))</f>
        <v>Expense Comp # 2 -  - 0 - 01/1900</v>
      </c>
      <c r="E31" s="415"/>
      <c r="F31" s="415"/>
      <c r="G31" s="415"/>
      <c r="H31" s="415"/>
      <c r="I31" s="415"/>
      <c r="J31" s="415"/>
      <c r="K31" s="3329" t="str">
        <f>VLOOKUP($D27,'Expense Comps'!$D$19:$X$75,7,FALSE)</f>
        <v/>
      </c>
      <c r="L31" s="3619" t="str">
        <f>VLOOKUP($D27,'Expense Comps'!$D$19:$X$75,8,FALSE)</f>
        <v/>
      </c>
      <c r="M31" s="258"/>
      <c r="N31" s="6"/>
      <c r="P31" s="42"/>
    </row>
    <row r="32" spans="1:22" ht="18" hidden="1" customHeight="1" x14ac:dyDescent="0.25">
      <c r="A32" s="957">
        <f t="shared" si="2"/>
        <v>0</v>
      </c>
      <c r="B32" s="174"/>
      <c r="C32" s="258"/>
      <c r="D32" s="258" t="str">
        <f>CONCATENATE('Expense Comps'!$M$5, " - ",'Expense Comps'!$M$7," - ",'Expense Comps'!$M$9," - ",TEXT('Expense Comps'!$M$10,"mm/yyyy"))</f>
        <v>Expense Comp # 3 -  - 0 - 01/1900</v>
      </c>
      <c r="E32" s="415"/>
      <c r="F32" s="415"/>
      <c r="G32" s="415"/>
      <c r="H32" s="415"/>
      <c r="I32" s="415"/>
      <c r="J32" s="415"/>
      <c r="K32" s="3329" t="str">
        <f>VLOOKUP($D27,'Expense Comps'!$D$19:$X$75,11,FALSE)</f>
        <v/>
      </c>
      <c r="L32" s="3619" t="str">
        <f>VLOOKUP($D27,'Expense Comps'!$D$19:$X$75,12,FALSE)</f>
        <v/>
      </c>
      <c r="M32" s="258"/>
      <c r="N32" s="6"/>
      <c r="P32" s="42"/>
    </row>
    <row r="33" spans="1:22" ht="18" hidden="1" customHeight="1" x14ac:dyDescent="0.25">
      <c r="A33" s="957">
        <f t="shared" si="2"/>
        <v>0</v>
      </c>
      <c r="B33" s="174"/>
      <c r="C33" s="258"/>
      <c r="D33" s="258" t="str">
        <f>CONCATENATE('Expense Comps'!$Q$5, " - ",'Expense Comps'!$Q$7," - ",'Expense Comps'!$Q$9," - ",TEXT('Expense Comps'!$Q$10,"mm/yyyy"))</f>
        <v>Expense Comp # 4 -  - 0 - 01/1900</v>
      </c>
      <c r="E33" s="415"/>
      <c r="F33" s="415"/>
      <c r="G33" s="415"/>
      <c r="H33" s="415"/>
      <c r="I33" s="415"/>
      <c r="J33" s="415"/>
      <c r="K33" s="3329" t="str">
        <f>VLOOKUP($D27,'Expense Comps'!$D$19:$X$75,15,FALSE)</f>
        <v/>
      </c>
      <c r="L33" s="3619" t="str">
        <f>VLOOKUP($D27,'Expense Comps'!$D$19:$X$75,16,FALSE)</f>
        <v/>
      </c>
      <c r="M33" s="258"/>
      <c r="N33" s="6"/>
      <c r="P33" s="42"/>
    </row>
    <row r="34" spans="1:22" ht="18" hidden="1" customHeight="1" x14ac:dyDescent="0.25">
      <c r="A34" s="957">
        <f t="shared" si="2"/>
        <v>0</v>
      </c>
      <c r="B34" s="174"/>
      <c r="C34" s="258"/>
      <c r="D34" s="258" t="str">
        <f>CONCATENATE('Expense Comps'!$U$5, " - ",'Expense Comps'!$U$7," - ",'Expense Comps'!$U$9," - ",TEXT('Expense Comps'!$U$10,"mm/yyyy"))</f>
        <v>Expense Comp # 5 -  - 0 - 01/1900</v>
      </c>
      <c r="E34" s="415"/>
      <c r="F34" s="415"/>
      <c r="G34" s="415"/>
      <c r="H34" s="415"/>
      <c r="I34" s="415"/>
      <c r="J34" s="415"/>
      <c r="K34" s="3329" t="str">
        <f>VLOOKUP($D27,'Expense Comps'!$D$19:$X$75,19,FALSE)</f>
        <v/>
      </c>
      <c r="L34" s="3619" t="str">
        <f>VLOOKUP($D27,'Expense Comps'!$D$19:$X$75,20,FALSE)</f>
        <v/>
      </c>
      <c r="M34" s="258"/>
      <c r="N34" s="6"/>
      <c r="P34" s="42"/>
    </row>
    <row r="35" spans="1:22" ht="18" hidden="1" customHeight="1" x14ac:dyDescent="0.25">
      <c r="A35" s="957">
        <f t="shared" si="2"/>
        <v>0</v>
      </c>
      <c r="B35" s="174"/>
      <c r="C35" s="258"/>
      <c r="D35" s="258" t="str">
        <f>CONCATENATE("Subject ",'Income Expense History'!$E$5," - ",TEXT('Income Expense History'!$E$6,"mm/yyyy"))</f>
        <v>Subject 0 - 01/1900</v>
      </c>
      <c r="E35" s="3329"/>
      <c r="F35" s="3399" t="str">
        <f>IFERROR(E35/Income_EGI_Pool1_1,"")</f>
        <v/>
      </c>
      <c r="G35" s="3329"/>
      <c r="H35" s="3399" t="str">
        <f>IFERROR(G35/Income_EGI_Pool2_1,"")</f>
        <v/>
      </c>
      <c r="I35" s="3329"/>
      <c r="J35" s="3399" t="str">
        <f>IFERROR(I35/Income_EGI_Pool3_1,"")</f>
        <v/>
      </c>
      <c r="K35" s="3329" t="str">
        <f>VLOOKUP($D27,'Income Expense History'!$D$19:$S$76,3,FALSE)</f>
        <v/>
      </c>
      <c r="L35" s="3399" t="str">
        <f>VLOOKUP($D27,'Income Expense History'!$D$19:$S$76,4, FALSE)</f>
        <v>N/A</v>
      </c>
      <c r="M35" s="258"/>
      <c r="N35" s="6"/>
      <c r="P35" s="42"/>
    </row>
    <row r="36" spans="1:22" ht="18" hidden="1" customHeight="1" x14ac:dyDescent="0.25">
      <c r="A36" s="957">
        <f t="shared" si="2"/>
        <v>0</v>
      </c>
      <c r="B36" s="174"/>
      <c r="C36" s="258"/>
      <c r="D36" s="258" t="str">
        <f>CONCATENATE("Subject ",'Income Expense History'!$I$5," - ",TEXT('Income Expense History'!$I$6,"mm/yyyy"))</f>
        <v>Subject 0 - 01/1900</v>
      </c>
      <c r="E36" s="3329"/>
      <c r="F36" s="3399" t="str">
        <f>IFERROR(E36/Income_EGI_Pool1_2,"")</f>
        <v/>
      </c>
      <c r="G36" s="3329"/>
      <c r="H36" s="3399" t="str">
        <f>IFERROR(G36/Income_EGI_Pool2_2,"")</f>
        <v/>
      </c>
      <c r="I36" s="3329"/>
      <c r="J36" s="3399" t="str">
        <f>IFERROR(I36/Income_EGI_Pool3_2,"")</f>
        <v/>
      </c>
      <c r="K36" s="3329" t="str">
        <f>VLOOKUP($D27,'Income Expense History'!$D$19:$S$76,7, FALSE)</f>
        <v/>
      </c>
      <c r="L36" s="3399" t="str">
        <f>VLOOKUP($D27,'Income Expense History'!$D$19:$S$76,8, FALSE)</f>
        <v>N/A</v>
      </c>
      <c r="M36" s="258"/>
      <c r="N36" s="6"/>
      <c r="P36" s="42"/>
    </row>
    <row r="37" spans="1:22" ht="18" hidden="1" customHeight="1" x14ac:dyDescent="0.25">
      <c r="A37" s="957">
        <f t="shared" si="2"/>
        <v>0</v>
      </c>
      <c r="B37" s="174"/>
      <c r="C37" s="258"/>
      <c r="D37" s="258" t="str">
        <f>CONCATENATE("Subject ",'Income Expense History'!$M$5," - ",TEXT('Income Expense History'!$M$6,"mm/yyyy"))</f>
        <v>Subject 0 - 01/1900</v>
      </c>
      <c r="E37" s="3329"/>
      <c r="F37" s="3399" t="str">
        <f>IFERROR(E37/Income_EGI_Pool1_3,"")</f>
        <v/>
      </c>
      <c r="G37" s="3329"/>
      <c r="H37" s="3399" t="str">
        <f>IFERROR(G37/Income_EGI_Pool2_3,"")</f>
        <v/>
      </c>
      <c r="I37" s="3329"/>
      <c r="J37" s="3399" t="str">
        <f>IFERROR(I37/Income_EGI_Pool3_3,"")</f>
        <v/>
      </c>
      <c r="K37" s="3329" t="str">
        <f>VLOOKUP($D27,'Income Expense History'!$D$19:$S$76,11, FALSE)</f>
        <v/>
      </c>
      <c r="L37" s="3399" t="str">
        <f>VLOOKUP($D27,'Income Expense History'!$D$19:$S$76,12, FALSE)</f>
        <v>N/A</v>
      </c>
      <c r="M37" s="258"/>
      <c r="N37" s="6"/>
      <c r="P37" s="42"/>
    </row>
    <row r="38" spans="1:22" ht="18" hidden="1" customHeight="1" x14ac:dyDescent="0.25">
      <c r="A38" s="957">
        <f t="shared" si="2"/>
        <v>0</v>
      </c>
      <c r="B38" s="174"/>
      <c r="C38" s="258"/>
      <c r="D38" s="258" t="str">
        <f>CONCATENATE("Subject ",'Income Expense History'!$Q$5," - ",TEXT('Income Expense History'!$Q$6,"mm/yyyy"))</f>
        <v>Subject 0 - 01/1900</v>
      </c>
      <c r="E38" s="3329"/>
      <c r="F38" s="3399" t="str">
        <f>IFERROR(E38/Income_EGI_Pool1_4,"")</f>
        <v/>
      </c>
      <c r="G38" s="3329"/>
      <c r="H38" s="3399" t="str">
        <f>IFERROR(G38/Income_EGI_Pool2_4,"")</f>
        <v/>
      </c>
      <c r="I38" s="3329"/>
      <c r="J38" s="3399" t="str">
        <f>IFERROR(I38/Income_EGI_Pool3_4,"")</f>
        <v/>
      </c>
      <c r="K38" s="3329" t="str">
        <f>VLOOKUP($D27,'Income Expense History'!$D$19:$S$76,15, FALSE)</f>
        <v/>
      </c>
      <c r="L38" s="3399" t="str">
        <f>VLOOKUP($D27,'Income Expense History'!$D$19:$S$76,16, FALSE)</f>
        <v>N/A</v>
      </c>
      <c r="M38" s="258"/>
      <c r="N38" s="6"/>
      <c r="P38" s="42"/>
    </row>
    <row r="39" spans="1:22" s="406" customFormat="1" ht="18" hidden="1" customHeight="1" x14ac:dyDescent="0.25">
      <c r="A39" s="957">
        <f t="shared" si="2"/>
        <v>0</v>
      </c>
      <c r="B39" s="402"/>
      <c r="C39" s="3625"/>
      <c r="D39" s="3629" t="s">
        <v>394</v>
      </c>
      <c r="E39" s="3630" t="e">
        <f t="shared" ref="E39:J39" si="3">AVERAGE(E30:E38)</f>
        <v>#DIV/0!</v>
      </c>
      <c r="F39" s="3632" t="e">
        <f t="shared" si="3"/>
        <v>#DIV/0!</v>
      </c>
      <c r="G39" s="3630" t="e">
        <f t="shared" si="3"/>
        <v>#DIV/0!</v>
      </c>
      <c r="H39" s="3632" t="e">
        <f t="shared" si="3"/>
        <v>#DIV/0!</v>
      </c>
      <c r="I39" s="3630" t="e">
        <f t="shared" si="3"/>
        <v>#DIV/0!</v>
      </c>
      <c r="J39" s="3632" t="e">
        <f t="shared" si="3"/>
        <v>#DIV/0!</v>
      </c>
      <c r="K39" s="3630" t="str">
        <f>IF(ISERR(AVERAGE(K30:K38)),"",AVERAGE(K30:K38))</f>
        <v/>
      </c>
      <c r="L39" s="3631" t="str">
        <f>IF(ISERR(AVERAGE(L30:L38)),"",AVERAGE(L30:L38))</f>
        <v/>
      </c>
      <c r="M39" s="3625"/>
      <c r="N39" s="403"/>
      <c r="O39" s="404"/>
      <c r="P39" s="404"/>
      <c r="Q39" s="2542"/>
      <c r="R39" s="2272"/>
      <c r="S39" s="2272"/>
      <c r="T39" s="2272"/>
      <c r="U39" s="2272"/>
      <c r="V39" s="2272"/>
    </row>
    <row r="40" spans="1:22" s="406" customFormat="1" ht="18" hidden="1" customHeight="1" x14ac:dyDescent="0.25">
      <c r="A40" s="957">
        <f>IF(AND(Income_TechniqueUsed&lt;&gt;"Direct Capitalization",Expense_OtherTaxes_Number&gt;1),1,0)</f>
        <v>0</v>
      </c>
      <c r="B40" s="402"/>
      <c r="C40" s="3625"/>
      <c r="D40" s="3625" t="s">
        <v>393</v>
      </c>
      <c r="E40" s="1677"/>
      <c r="F40" s="3399" t="e">
        <f>E40/Income_EGI_Pool1_1</f>
        <v>#DIV/0!</v>
      </c>
      <c r="G40" s="1677"/>
      <c r="H40" s="3399" t="e">
        <f>G40/Income_EGI_Pool2_1</f>
        <v>#DIV/0!</v>
      </c>
      <c r="I40" s="1677"/>
      <c r="J40" s="3399" t="e">
        <f>I40/Income_EGI_Pool3_1</f>
        <v>#DIV/0!</v>
      </c>
      <c r="K40" s="1677"/>
      <c r="L40" s="1698" t="e">
        <f>dpIncome_Expense_OtherTaxes_Year1*Subject_NRA/VLOOKUP("Effective Gross Revenue",'DCF 1'!$E$8:$I$107,2,FALSE)+0</f>
        <v>#N/A</v>
      </c>
      <c r="M40" s="3625"/>
      <c r="N40" s="403"/>
      <c r="O40" s="404"/>
      <c r="P40" s="404"/>
      <c r="Q40" s="2542"/>
      <c r="R40" s="2272"/>
      <c r="S40" s="2272"/>
      <c r="T40" s="2272"/>
      <c r="U40" s="2272"/>
      <c r="V40" s="2272"/>
    </row>
    <row r="41" spans="1:22" s="406" customFormat="1" ht="18" hidden="1" customHeight="1" x14ac:dyDescent="0.25">
      <c r="A41" s="957">
        <f>IF(AND(Income_TechniqueUsed&lt;&gt;"Direct Capitalization",Expense_OtherTaxes_Number&gt;2),1,0)</f>
        <v>0</v>
      </c>
      <c r="B41" s="402"/>
      <c r="C41" s="3625"/>
      <c r="D41" s="3625" t="s">
        <v>419</v>
      </c>
      <c r="E41" s="1677"/>
      <c r="F41" s="3399" t="e">
        <f>E41/Income_EGI_Pool1_1</f>
        <v>#DIV/0!</v>
      </c>
      <c r="G41" s="1677"/>
      <c r="H41" s="3399" t="e">
        <f>G41/Income_EGI_Pool2_1</f>
        <v>#DIV/0!</v>
      </c>
      <c r="I41" s="1677"/>
      <c r="J41" s="3399" t="e">
        <f>I41/Income_EGI_Pool3_1</f>
        <v>#DIV/0!</v>
      </c>
      <c r="K41" s="1677"/>
      <c r="L41" s="1698" t="e">
        <f>dpIncome_Expense_OtherTaxes_Year2*Subject_NRA/VLOOKUP("Effective Gross Revenue",'DCF 1'!$E$8:$I$107,3,FALSE)+0</f>
        <v>#N/A</v>
      </c>
      <c r="M41" s="3625"/>
      <c r="N41" s="403"/>
      <c r="O41" s="404"/>
      <c r="P41" s="404"/>
      <c r="Q41" s="2542"/>
      <c r="R41" s="2272"/>
      <c r="S41" s="2272"/>
      <c r="T41" s="2272"/>
      <c r="U41" s="2272"/>
      <c r="V41" s="2272"/>
    </row>
    <row r="42" spans="1:22" s="406" customFormat="1" ht="18" hidden="1" customHeight="1" x14ac:dyDescent="0.25">
      <c r="A42" s="957">
        <f>IF(AND(Income_TechniqueUsed&lt;&gt;"Direct Capitalization",Expense_OtherTaxes_Number&gt;3),1,0)</f>
        <v>0</v>
      </c>
      <c r="B42" s="402"/>
      <c r="C42" s="3625"/>
      <c r="D42" s="3625" t="s">
        <v>420</v>
      </c>
      <c r="E42" s="1677"/>
      <c r="F42" s="3399" t="e">
        <f>E42/Income_EGI_Pool1_1</f>
        <v>#DIV/0!</v>
      </c>
      <c r="G42" s="1677"/>
      <c r="H42" s="3399" t="e">
        <f>G42/Income_EGI_Pool2_1</f>
        <v>#DIV/0!</v>
      </c>
      <c r="I42" s="1677"/>
      <c r="J42" s="3399" t="e">
        <f>I42/Income_EGI_Pool3_1</f>
        <v>#DIV/0!</v>
      </c>
      <c r="K42" s="1677"/>
      <c r="L42" s="1698" t="e">
        <f>dpIncome_Expense_OtherTaxes_Year3*Subject_NRA/VLOOKUP("Effective Gross Revenue",'DCF 1'!$E$8:$I$107,4,FALSE)+0</f>
        <v>#N/A</v>
      </c>
      <c r="M42" s="3625"/>
      <c r="N42" s="403"/>
      <c r="O42" s="404"/>
      <c r="P42" s="404"/>
      <c r="Q42" s="2542"/>
      <c r="R42" s="2272"/>
      <c r="S42" s="2272"/>
      <c r="T42" s="2272"/>
      <c r="U42" s="2272"/>
      <c r="V42" s="2272"/>
    </row>
    <row r="43" spans="1:22" s="406" customFormat="1" ht="18" hidden="1" customHeight="1" thickBot="1" x14ac:dyDescent="0.3">
      <c r="A43" s="957">
        <f>IF(OR(Expense_OtherTaxes_Reimb=1,Expense_OtherTaxes_NonReimb=1),1,0)</f>
        <v>0</v>
      </c>
      <c r="B43" s="402"/>
      <c r="C43" s="3625"/>
      <c r="D43" s="3628" t="str">
        <f>IF(P27="Year 1 Only","Year 1 Estimate:","Stabilized Estimate:")</f>
        <v>Stabilized Estimate:</v>
      </c>
      <c r="E43" s="1678"/>
      <c r="F43" s="3633" t="e">
        <f>E43/Income_EGI_Pool1_1</f>
        <v>#DIV/0!</v>
      </c>
      <c r="G43" s="1678"/>
      <c r="H43" s="3633" t="e">
        <f>G43/Income_EGI_Pool2_1</f>
        <v>#DIV/0!</v>
      </c>
      <c r="I43" s="1678"/>
      <c r="J43" s="3633" t="e">
        <f>I43/Income_EGI_Pool3_1</f>
        <v>#DIV/0!</v>
      </c>
      <c r="K43" s="1678"/>
      <c r="L43" s="1699">
        <f ca="1">IF(P27="Stabilized Only",dpIncome_Expense_OtherTaxes_Stabilized*Subject_NRA/dpIncome_DirectCap_EGI,dpIncome_Expense_OtherTaxes_Stabilized*Subject_NRA/VLOOKUP("Effective Gross Revenue",'DCF 1'!$E$8:$I$107,2,FALSE)+0)</f>
        <v>0</v>
      </c>
      <c r="M43" s="3625"/>
      <c r="N43" s="403"/>
      <c r="O43" s="404"/>
      <c r="P43" s="404"/>
      <c r="Q43" s="2542"/>
      <c r="R43" s="2272"/>
      <c r="S43" s="2272"/>
      <c r="T43" s="2272"/>
      <c r="U43" s="2272"/>
      <c r="V43" s="2272"/>
    </row>
    <row r="44" spans="1:22" ht="15.95" hidden="1" customHeight="1" thickBot="1" x14ac:dyDescent="0.3">
      <c r="A44" s="957">
        <f>IF(OR(Expense_OtherTaxes_Reimb=1,Expense_OtherTaxes_NonReimb=1),1,0)</f>
        <v>0</v>
      </c>
      <c r="B44" s="174"/>
      <c r="C44" s="5"/>
      <c r="D44" s="43" t="s">
        <v>901</v>
      </c>
      <c r="E44" s="804"/>
      <c r="F44" s="804"/>
      <c r="G44" s="804"/>
      <c r="H44" s="804"/>
      <c r="I44" s="804"/>
      <c r="J44" s="804"/>
      <c r="K44" s="19"/>
      <c r="L44" s="19"/>
      <c r="M44" s="5"/>
      <c r="N44" s="6"/>
      <c r="P44" s="42"/>
    </row>
    <row r="45" spans="1:22" ht="17.25" thickBot="1" x14ac:dyDescent="0.35">
      <c r="A45" s="957">
        <f>IF(OR(Expense_Insurance_Reimb=1,Expense_Insurance_NonReimb=1),1,0)</f>
        <v>1</v>
      </c>
      <c r="B45" s="174"/>
      <c r="C45" s="246"/>
      <c r="D45" s="246" t="str">
        <f>dpIncome_ExpenseCat_3</f>
        <v>Property Insurance</v>
      </c>
      <c r="E45" s="4299"/>
      <c r="F45" s="4299"/>
      <c r="G45" s="804"/>
      <c r="H45" s="804"/>
      <c r="I45" s="804"/>
      <c r="J45" s="804"/>
      <c r="K45" s="804"/>
      <c r="L45" s="804"/>
      <c r="M45" s="52"/>
      <c r="N45" s="6"/>
      <c r="P45" s="235" t="s">
        <v>430</v>
      </c>
    </row>
    <row r="46" spans="1:22" ht="15.95" hidden="1" customHeight="1" x14ac:dyDescent="0.25">
      <c r="A46" s="957">
        <f>IF(OR(Expense_Insurance_Reimb=1,Expense_Insurance_NonReimb=1),IF(Main_ExpensePool_Count&gt;1,1,0),0)</f>
        <v>0</v>
      </c>
      <c r="B46" s="174"/>
      <c r="C46" s="12"/>
      <c r="D46" s="12"/>
      <c r="E46" s="4090" t="str">
        <f>$E$10</f>
        <v>Expense Pool 1</v>
      </c>
      <c r="F46" s="4090"/>
      <c r="G46" s="4090" t="str">
        <f>$G$10</f>
        <v>Expense Pool 2</v>
      </c>
      <c r="H46" s="4090"/>
      <c r="I46" s="4090" t="str">
        <f>$I$10</f>
        <v>Expense Pool 3</v>
      </c>
      <c r="J46" s="4090"/>
      <c r="K46" s="4164" t="str">
        <f>$K$10</f>
        <v>Total Expense</v>
      </c>
      <c r="L46" s="4164"/>
      <c r="N46" s="6"/>
      <c r="P46" s="707"/>
    </row>
    <row r="47" spans="1:22" ht="15.95" customHeight="1" x14ac:dyDescent="0.25">
      <c r="A47" s="957">
        <f>IF(OR(Expense_Insurance_Reimb=1,Expense_Insurance_NonReimb=1),1,0)</f>
        <v>1</v>
      </c>
      <c r="B47" s="174"/>
      <c r="C47" s="12"/>
      <c r="D47" s="12" t="s">
        <v>1577</v>
      </c>
      <c r="E47" s="55" t="s">
        <v>390</v>
      </c>
      <c r="F47" s="55" t="s">
        <v>391</v>
      </c>
      <c r="G47" s="55" t="s">
        <v>390</v>
      </c>
      <c r="H47" s="55" t="s">
        <v>391</v>
      </c>
      <c r="I47" s="55" t="s">
        <v>390</v>
      </c>
      <c r="J47" s="55" t="s">
        <v>391</v>
      </c>
      <c r="K47" s="55" t="s">
        <v>390</v>
      </c>
      <c r="L47" s="55" t="s">
        <v>391</v>
      </c>
      <c r="N47" s="6"/>
      <c r="P47" s="707"/>
    </row>
    <row r="48" spans="1:22" ht="18" hidden="1" customHeight="1" x14ac:dyDescent="0.25">
      <c r="A48" s="957">
        <f t="shared" ref="A48:A57" si="4">IF(OR(Expense_Insurance_Reimb=1,Expense_Insurance_NonReimb=1),IF(K48="",0,1),0)</f>
        <v>0</v>
      </c>
      <c r="B48" s="174"/>
      <c r="C48" s="258"/>
      <c r="D48" s="258" t="str">
        <f>CONCATENATE('Expense Comps'!$E$5, " - ",'Expense Comps'!$E$7," - ",'Expense Comps'!$E$9," - ",TEXT('Expense Comps'!$E$10,"mm/yyyy"))</f>
        <v>Expense Comp # 1 -  - 0 - 01/1900</v>
      </c>
      <c r="E48" s="415"/>
      <c r="F48" s="415"/>
      <c r="G48" s="415"/>
      <c r="H48" s="415"/>
      <c r="I48" s="415"/>
      <c r="J48" s="415"/>
      <c r="K48" s="3329" t="str">
        <f>VLOOKUP($D45,'Expense Comps'!$D$19:$X$75,3,FALSE)</f>
        <v/>
      </c>
      <c r="L48" s="3619" t="str">
        <f>VLOOKUP($D45,'Expense Comps'!$D$19:$X$75,4,FALSE)</f>
        <v/>
      </c>
      <c r="M48" s="258"/>
      <c r="N48" s="6"/>
      <c r="P48" s="664">
        <f>IF(Expense_Insurance_Reimb=1,dpIncome_Expense_Insurance_Stabilized,0)</f>
        <v>0.5</v>
      </c>
    </row>
    <row r="49" spans="1:36" ht="18" hidden="1" customHeight="1" x14ac:dyDescent="0.25">
      <c r="A49" s="957">
        <f t="shared" si="4"/>
        <v>0</v>
      </c>
      <c r="B49" s="174"/>
      <c r="C49" s="258"/>
      <c r="D49" s="258" t="str">
        <f>CONCATENATE('Expense Comps'!$I$5, " - ",'Expense Comps'!$I$7," - ",'Expense Comps'!$I$9," - ",TEXT('Expense Comps'!$I$10,"mm/yyyy"))</f>
        <v>Expense Comp # 2 -  - 0 - 01/1900</v>
      </c>
      <c r="E49" s="415"/>
      <c r="F49" s="415"/>
      <c r="G49" s="415"/>
      <c r="H49" s="415"/>
      <c r="I49" s="415"/>
      <c r="J49" s="415"/>
      <c r="K49" s="3329" t="str">
        <f>VLOOKUP($D45,'Expense Comps'!$D$19:$X$75,7,FALSE)</f>
        <v/>
      </c>
      <c r="L49" s="3619" t="str">
        <f>VLOOKUP($D45,'Expense Comps'!$D$19:$X$75,8,FALSE)</f>
        <v/>
      </c>
      <c r="M49" s="258"/>
      <c r="N49" s="6"/>
    </row>
    <row r="50" spans="1:36" ht="18" hidden="1" customHeight="1" x14ac:dyDescent="0.25">
      <c r="A50" s="957">
        <f t="shared" si="4"/>
        <v>0</v>
      </c>
      <c r="B50" s="174"/>
      <c r="C50" s="258"/>
      <c r="D50" s="258" t="str">
        <f>CONCATENATE('Expense Comps'!$M$5, " - ",'Expense Comps'!$M$7," - ",'Expense Comps'!$M$9," - ",TEXT('Expense Comps'!$M$10,"mm/yyyy"))</f>
        <v>Expense Comp # 3 -  - 0 - 01/1900</v>
      </c>
      <c r="E50" s="415"/>
      <c r="F50" s="415"/>
      <c r="G50" s="415"/>
      <c r="H50" s="415"/>
      <c r="I50" s="415"/>
      <c r="J50" s="415"/>
      <c r="K50" s="3329" t="str">
        <f>VLOOKUP($D45,'Expense Comps'!$D$19:$X$75,11,FALSE)</f>
        <v/>
      </c>
      <c r="L50" s="3619" t="str">
        <f>VLOOKUP($D45,'Expense Comps'!$D$19:$X$75,12,FALSE)</f>
        <v/>
      </c>
      <c r="M50" s="258"/>
      <c r="N50" s="6"/>
    </row>
    <row r="51" spans="1:36" ht="18" hidden="1" customHeight="1" x14ac:dyDescent="0.25">
      <c r="A51" s="957">
        <f t="shared" si="4"/>
        <v>0</v>
      </c>
      <c r="B51" s="174"/>
      <c r="C51" s="258"/>
      <c r="D51" s="258" t="str">
        <f>CONCATENATE('Expense Comps'!$Q$5, " - ",'Expense Comps'!$Q$7," - ",'Expense Comps'!$Q$9," - ",TEXT('Expense Comps'!$Q$10,"mm/yyyy"))</f>
        <v>Expense Comp # 4 -  - 0 - 01/1900</v>
      </c>
      <c r="E51" s="415"/>
      <c r="F51" s="415"/>
      <c r="G51" s="415"/>
      <c r="H51" s="415"/>
      <c r="I51" s="415"/>
      <c r="J51" s="415"/>
      <c r="K51" s="3329" t="str">
        <f>VLOOKUP($D45,'Expense Comps'!$D$19:$X$75,15,FALSE)</f>
        <v/>
      </c>
      <c r="L51" s="3619" t="str">
        <f>VLOOKUP($D45,'Expense Comps'!$D$19:$X$75,16,FALSE)</f>
        <v/>
      </c>
      <c r="M51" s="258"/>
      <c r="N51" s="6"/>
      <c r="P51" s="42"/>
    </row>
    <row r="52" spans="1:36" ht="18" hidden="1" customHeight="1" x14ac:dyDescent="0.25">
      <c r="A52" s="957">
        <f t="shared" si="4"/>
        <v>0</v>
      </c>
      <c r="B52" s="174"/>
      <c r="C52" s="258"/>
      <c r="D52" s="258" t="str">
        <f>CONCATENATE('Expense Comps'!$U$5, " - ",'Expense Comps'!$U$7," - ",'Expense Comps'!$U$9," - ",TEXT('Expense Comps'!$U$10,"mm/yyyy"))</f>
        <v>Expense Comp # 5 -  - 0 - 01/1900</v>
      </c>
      <c r="E52" s="415"/>
      <c r="F52" s="415"/>
      <c r="G52" s="415"/>
      <c r="H52" s="415"/>
      <c r="I52" s="415"/>
      <c r="J52" s="415"/>
      <c r="K52" s="3329" t="str">
        <f>VLOOKUP($D45,'Expense Comps'!$D$19:$X$75,19,FALSE)</f>
        <v/>
      </c>
      <c r="L52" s="3619" t="str">
        <f>VLOOKUP($D45,'Expense Comps'!$D$19:$X$75,20,FALSE)</f>
        <v/>
      </c>
      <c r="M52" s="258"/>
      <c r="N52" s="6"/>
      <c r="P52" s="42"/>
    </row>
    <row r="53" spans="1:36" ht="18" hidden="1" customHeight="1" x14ac:dyDescent="0.25">
      <c r="A53" s="957">
        <f t="shared" si="4"/>
        <v>0</v>
      </c>
      <c r="B53" s="174"/>
      <c r="C53" s="258"/>
      <c r="D53" s="258" t="str">
        <f>CONCATENATE("Subject ",'Income Expense History'!$E$5," - ",TEXT('Income Expense History'!$E$6,"mm/yyyy"))</f>
        <v>Subject 0 - 01/1900</v>
      </c>
      <c r="E53" s="3329"/>
      <c r="F53" s="3399" t="str">
        <f>IFERROR(E53/Income_EGI_Pool1_1,"")</f>
        <v/>
      </c>
      <c r="G53" s="3329"/>
      <c r="H53" s="3399" t="str">
        <f>IFERROR(G53/Income_EGI_Pool2_1,"")</f>
        <v/>
      </c>
      <c r="I53" s="3329"/>
      <c r="J53" s="3399" t="str">
        <f>IFERROR(I53/Income_EGI_Pool3_1,"")</f>
        <v/>
      </c>
      <c r="K53" s="3329" t="str">
        <f>VLOOKUP($D45,'Income Expense History'!$D$19:$S$76,3,FALSE)</f>
        <v/>
      </c>
      <c r="L53" s="3399" t="str">
        <f>VLOOKUP($D45,'Income Expense History'!$D$19:$S$76,4, FALSE)</f>
        <v>N/A</v>
      </c>
      <c r="M53" s="258"/>
      <c r="N53" s="6"/>
    </row>
    <row r="54" spans="1:36" ht="18" hidden="1" customHeight="1" x14ac:dyDescent="0.25">
      <c r="A54" s="957">
        <f t="shared" si="4"/>
        <v>0</v>
      </c>
      <c r="B54" s="174"/>
      <c r="C54" s="258"/>
      <c r="D54" s="258" t="str">
        <f>CONCATENATE("Subject ",'Income Expense History'!$I$5," - ",TEXT('Income Expense History'!$I$6,"mm/yyyy"))</f>
        <v>Subject 0 - 01/1900</v>
      </c>
      <c r="E54" s="3329"/>
      <c r="F54" s="3399" t="str">
        <f>IFERROR(E54/Income_EGI_Pool1_2,"")</f>
        <v/>
      </c>
      <c r="G54" s="3329"/>
      <c r="H54" s="3399" t="str">
        <f>IFERROR(G54/Income_EGI_Pool2_2,"")</f>
        <v/>
      </c>
      <c r="I54" s="3329"/>
      <c r="J54" s="3399" t="str">
        <f>IFERROR(I54/Income_EGI_Pool3_2,"")</f>
        <v/>
      </c>
      <c r="K54" s="3329" t="str">
        <f>VLOOKUP($D45,'Income Expense History'!$D$19:$S$76,7, FALSE)</f>
        <v/>
      </c>
      <c r="L54" s="3399" t="str">
        <f>VLOOKUP($D45,'Income Expense History'!$D$19:$S$76,8, FALSE)</f>
        <v>N/A</v>
      </c>
      <c r="M54" s="258"/>
      <c r="N54" s="6"/>
    </row>
    <row r="55" spans="1:36" ht="18" hidden="1" customHeight="1" x14ac:dyDescent="0.25">
      <c r="A55" s="957">
        <f t="shared" si="4"/>
        <v>0</v>
      </c>
      <c r="B55" s="174"/>
      <c r="C55" s="258"/>
      <c r="D55" s="258" t="str">
        <f>CONCATENATE("Subject ",'Income Expense History'!$M$5," - ",TEXT('Income Expense History'!$M$6,"mm/yyyy"))</f>
        <v>Subject 0 - 01/1900</v>
      </c>
      <c r="E55" s="3329"/>
      <c r="F55" s="3399" t="str">
        <f>IFERROR(E55/Income_EGI_Pool1_3,"")</f>
        <v/>
      </c>
      <c r="G55" s="3329"/>
      <c r="H55" s="3399" t="str">
        <f>IFERROR(G55/Income_EGI_Pool2_3,"")</f>
        <v/>
      </c>
      <c r="I55" s="3329"/>
      <c r="J55" s="3399" t="str">
        <f>IFERROR(I55/Income_EGI_Pool3_3,"")</f>
        <v/>
      </c>
      <c r="K55" s="3329" t="str">
        <f>VLOOKUP($D45,'Income Expense History'!$D$19:$S$76,11, FALSE)</f>
        <v/>
      </c>
      <c r="L55" s="3399" t="str">
        <f>VLOOKUP($D45,'Income Expense History'!$D$19:$S$76,12, FALSE)</f>
        <v>N/A</v>
      </c>
      <c r="M55" s="258"/>
      <c r="N55" s="6"/>
    </row>
    <row r="56" spans="1:36" ht="18" hidden="1" customHeight="1" x14ac:dyDescent="0.25">
      <c r="A56" s="957">
        <f t="shared" si="4"/>
        <v>0</v>
      </c>
      <c r="B56" s="174"/>
      <c r="C56" s="258"/>
      <c r="D56" s="258" t="str">
        <f>CONCATENATE("Subject ",'Income Expense History'!$Q$5," - ",TEXT('Income Expense History'!$Q$6,"mm/yyyy"))</f>
        <v>Subject 0 - 01/1900</v>
      </c>
      <c r="E56" s="3329"/>
      <c r="F56" s="3399" t="str">
        <f>IFERROR(E56/Income_EGI_Pool1_4,"")</f>
        <v/>
      </c>
      <c r="G56" s="3329"/>
      <c r="H56" s="3399" t="str">
        <f>IFERROR(G56/Income_EGI_Pool2_4,"")</f>
        <v/>
      </c>
      <c r="I56" s="3329"/>
      <c r="J56" s="3399" t="str">
        <f>IFERROR(I56/Income_EGI_Pool3_4,"")</f>
        <v/>
      </c>
      <c r="K56" s="3329" t="str">
        <f>VLOOKUP($D45,'Income Expense History'!$D$19:$S$76,15, FALSE)</f>
        <v/>
      </c>
      <c r="L56" s="3399" t="str">
        <f>VLOOKUP($D45,'Income Expense History'!$D$19:$S$76,16, FALSE)</f>
        <v>N/A</v>
      </c>
      <c r="M56" s="258"/>
      <c r="N56" s="6"/>
    </row>
    <row r="57" spans="1:36" s="406" customFormat="1" ht="18" hidden="1" customHeight="1" x14ac:dyDescent="0.25">
      <c r="A57" s="957">
        <f t="shared" si="4"/>
        <v>0</v>
      </c>
      <c r="B57" s="402"/>
      <c r="C57" s="3625"/>
      <c r="D57" s="3629" t="s">
        <v>394</v>
      </c>
      <c r="E57" s="3630" t="e">
        <f t="shared" ref="E57:J57" si="5">AVERAGE(E48:E56)</f>
        <v>#DIV/0!</v>
      </c>
      <c r="F57" s="3632" t="e">
        <f t="shared" si="5"/>
        <v>#DIV/0!</v>
      </c>
      <c r="G57" s="3630" t="e">
        <f t="shared" si="5"/>
        <v>#DIV/0!</v>
      </c>
      <c r="H57" s="3632" t="e">
        <f t="shared" si="5"/>
        <v>#DIV/0!</v>
      </c>
      <c r="I57" s="3630" t="e">
        <f t="shared" si="5"/>
        <v>#DIV/0!</v>
      </c>
      <c r="J57" s="3632" t="e">
        <f t="shared" si="5"/>
        <v>#DIV/0!</v>
      </c>
      <c r="K57" s="3630" t="str">
        <f>IF(ISERR(AVERAGE(K48:K56)),"",AVERAGE(K48:K56))</f>
        <v/>
      </c>
      <c r="L57" s="3631" t="str">
        <f>IF(ISERR(AVERAGE(L48:L56)),"",AVERAGE(L48:L56))</f>
        <v/>
      </c>
      <c r="M57" s="3625"/>
      <c r="N57" s="403"/>
      <c r="O57" s="404"/>
      <c r="P57" s="407"/>
      <c r="Q57" s="2542"/>
      <c r="R57" s="2272"/>
      <c r="S57" s="2272"/>
      <c r="T57" s="2272"/>
      <c r="U57" s="2272"/>
      <c r="V57" s="2272"/>
    </row>
    <row r="58" spans="1:36" s="406" customFormat="1" ht="18" hidden="1" customHeight="1" x14ac:dyDescent="0.25">
      <c r="A58" s="957">
        <f>IF(AND(Income_TechniqueUsed&lt;&gt;"Direct Capitalization",Expense_Insurance_Number&gt;1),1,0)</f>
        <v>0</v>
      </c>
      <c r="B58" s="402"/>
      <c r="C58" s="3625"/>
      <c r="D58" s="3625" t="s">
        <v>393</v>
      </c>
      <c r="E58" s="1677"/>
      <c r="F58" s="3399" t="e">
        <f>E58/Income_EGI_Pool1_1</f>
        <v>#DIV/0!</v>
      </c>
      <c r="G58" s="1677"/>
      <c r="H58" s="3399" t="e">
        <f>G58/Income_EGI_Pool2_1</f>
        <v>#DIV/0!</v>
      </c>
      <c r="I58" s="1677"/>
      <c r="J58" s="3399" t="e">
        <f>I58/Income_EGI_Pool3_1</f>
        <v>#DIV/0!</v>
      </c>
      <c r="K58" s="1677"/>
      <c r="L58" s="1698" t="e">
        <f>dpIncome_Expense_Insurance_Year1*Subject_NRA/VLOOKUP("Effective Gross Revenue",'DCF 1'!$E$8:$I$107,2,FALSE)+0</f>
        <v>#N/A</v>
      </c>
      <c r="M58" s="3625"/>
      <c r="N58" s="403"/>
      <c r="O58" s="404"/>
      <c r="P58" s="404"/>
      <c r="Q58" s="2542"/>
      <c r="R58" s="2272"/>
      <c r="S58" s="2272"/>
      <c r="T58" s="2272"/>
      <c r="U58" s="2272"/>
      <c r="V58" s="2272"/>
    </row>
    <row r="59" spans="1:36" s="406" customFormat="1" ht="18" hidden="1" customHeight="1" x14ac:dyDescent="0.25">
      <c r="A59" s="957">
        <f>IF(AND(Income_TechniqueUsed&lt;&gt;"Direct Capitalization",Expense_Insurance_Number&gt;2),1,0)</f>
        <v>0</v>
      </c>
      <c r="B59" s="402"/>
      <c r="C59" s="3625"/>
      <c r="D59" s="3625" t="s">
        <v>419</v>
      </c>
      <c r="E59" s="1677"/>
      <c r="F59" s="3399" t="e">
        <f>E59/Income_EGI_Pool1_1</f>
        <v>#DIV/0!</v>
      </c>
      <c r="G59" s="1677"/>
      <c r="H59" s="3399" t="e">
        <f>G59/Income_EGI_Pool2_1</f>
        <v>#DIV/0!</v>
      </c>
      <c r="I59" s="1677"/>
      <c r="J59" s="3399" t="e">
        <f>I59/Income_EGI_Pool3_1</f>
        <v>#DIV/0!</v>
      </c>
      <c r="K59" s="1677"/>
      <c r="L59" s="1698" t="e">
        <f>dpIncome_Expense_Insurance_Year2*Subject_NRA/VLOOKUP("Effective Gross Revenue",'DCF 1'!$E$8:$I$107,3,FALSE)+0</f>
        <v>#N/A</v>
      </c>
      <c r="M59" s="3625"/>
      <c r="N59" s="403"/>
      <c r="O59" s="404"/>
      <c r="P59" s="404"/>
      <c r="Q59" s="2542"/>
      <c r="R59" s="2272"/>
      <c r="S59" s="2272"/>
      <c r="T59" s="2272"/>
      <c r="U59" s="2272"/>
      <c r="V59" s="2272"/>
    </row>
    <row r="60" spans="1:36" s="406" customFormat="1" ht="18" hidden="1" customHeight="1" x14ac:dyDescent="0.25">
      <c r="A60" s="957">
        <f>IF(AND(Income_TechniqueUsed&lt;&gt;"Direct Capitalization",Expense_Insurance_Number&gt;3),1,0)</f>
        <v>0</v>
      </c>
      <c r="B60" s="402"/>
      <c r="C60" s="3625"/>
      <c r="D60" s="3625" t="s">
        <v>420</v>
      </c>
      <c r="E60" s="1677"/>
      <c r="F60" s="3399" t="e">
        <f>E60/Income_EGI_Pool1_1</f>
        <v>#DIV/0!</v>
      </c>
      <c r="G60" s="1677"/>
      <c r="H60" s="3399" t="e">
        <f>G60/Income_EGI_Pool2_1</f>
        <v>#DIV/0!</v>
      </c>
      <c r="I60" s="1677"/>
      <c r="J60" s="3399" t="e">
        <f>I60/Income_EGI_Pool3_1</f>
        <v>#DIV/0!</v>
      </c>
      <c r="K60" s="1677"/>
      <c r="L60" s="1698" t="e">
        <f>dpIncome_Expense_Insurance_Year3*Subject_NRA/VLOOKUP("Effective Gross Revenue",'DCF 1'!$E$8:$I$107,4,FALSE)+0</f>
        <v>#N/A</v>
      </c>
      <c r="M60" s="3625"/>
      <c r="N60" s="403"/>
      <c r="O60" s="404"/>
      <c r="P60" s="404"/>
      <c r="Q60" s="2542"/>
      <c r="R60" s="2272"/>
      <c r="S60" s="2272"/>
      <c r="T60" s="2272"/>
      <c r="U60" s="2272"/>
      <c r="V60" s="2272"/>
    </row>
    <row r="61" spans="1:36" s="406" customFormat="1" ht="18" customHeight="1" thickBot="1" x14ac:dyDescent="0.3">
      <c r="A61" s="957">
        <f>IF(OR(Expense_Insurance_Reimb=1,Expense_Insurance_NonReimb=1),1,0)</f>
        <v>1</v>
      </c>
      <c r="B61" s="402"/>
      <c r="C61" s="3625"/>
      <c r="D61" s="3628" t="str">
        <f>IF(P45="Year 1 Only","Year 1 Estimate:","Stabilized Estimate:")</f>
        <v>Stabilized Estimate:</v>
      </c>
      <c r="E61" s="1678"/>
      <c r="F61" s="3633" t="e">
        <f>E61/Income_EGI_Pool1_1</f>
        <v>#DIV/0!</v>
      </c>
      <c r="G61" s="1678"/>
      <c r="H61" s="3633" t="e">
        <f>G61/Income_EGI_Pool2_1</f>
        <v>#DIV/0!</v>
      </c>
      <c r="I61" s="1678"/>
      <c r="J61" s="3633" t="e">
        <f>I61/Income_EGI_Pool3_1</f>
        <v>#DIV/0!</v>
      </c>
      <c r="K61" s="1678">
        <v>0.5</v>
      </c>
      <c r="L61" s="1699">
        <f ca="1">IF(P45="Stabilized Only",dpIncome_Expense_Insurance_Stabilized*Subject_NRA/dpIncome_DirectCap_EGI,dpIncome_Expense_Insurance_Stabilized*Subject_NRA/VLOOKUP("Effective Gross Revenue",'DCF 1'!$E$8:$I$107,2,FALSE)+0)</f>
        <v>0.29551823893685303</v>
      </c>
      <c r="M61" s="3625"/>
      <c r="N61" s="403"/>
      <c r="O61" s="404"/>
      <c r="P61" s="407"/>
      <c r="Q61" s="2542"/>
      <c r="R61" s="2272"/>
      <c r="S61" s="2272"/>
      <c r="T61" s="2272"/>
      <c r="U61" s="2272"/>
      <c r="V61" s="2272"/>
    </row>
    <row r="62" spans="1:36" ht="15.95" customHeight="1" thickBot="1" x14ac:dyDescent="0.3">
      <c r="A62" s="957">
        <f>IF(OR(Expense_Insurance_Reimb=1,Expense_Insurance_NonReimb=1),1,0)</f>
        <v>1</v>
      </c>
      <c r="B62" s="174"/>
      <c r="C62" s="5"/>
      <c r="D62" s="43" t="s">
        <v>902</v>
      </c>
      <c r="E62" s="804"/>
      <c r="F62" s="804"/>
      <c r="G62" s="804"/>
      <c r="H62" s="804"/>
      <c r="I62" s="804"/>
      <c r="J62" s="804"/>
      <c r="K62" s="19"/>
      <c r="L62" s="19"/>
      <c r="M62" s="5"/>
      <c r="N62" s="6"/>
      <c r="AJ62" s="10">
        <v>397872</v>
      </c>
    </row>
    <row r="63" spans="1:36" ht="17.25" thickBot="1" x14ac:dyDescent="0.35">
      <c r="A63" s="957">
        <f>IF(OR(Expense_MgmtFees_Reimb=1,Expense_MgmtFees_NonReimb=1),1,0)</f>
        <v>1</v>
      </c>
      <c r="B63" s="174"/>
      <c r="C63" s="246"/>
      <c r="D63" s="246" t="str">
        <f>dpIncome_ExpenseCat_4</f>
        <v>Management Fees</v>
      </c>
      <c r="E63" s="4299"/>
      <c r="F63" s="4299"/>
      <c r="G63" s="804"/>
      <c r="H63" s="804"/>
      <c r="I63" s="804"/>
      <c r="J63" s="804"/>
      <c r="K63" s="804"/>
      <c r="L63" s="804"/>
      <c r="M63" s="52"/>
      <c r="N63" s="6"/>
      <c r="P63" s="235" t="s">
        <v>430</v>
      </c>
      <c r="AJ63" s="10">
        <f>+AJ62/157501</f>
        <v>2.5261553894895905</v>
      </c>
    </row>
    <row r="64" spans="1:36" ht="15.95" hidden="1" customHeight="1" x14ac:dyDescent="0.25">
      <c r="A64" s="957">
        <f>IF(OR(Expense_MgmtFees_Reimb=1,Expense_MgmtFees_NonReimb=1),IF(Main_ExpensePool_Count&gt;1,1,0),0)</f>
        <v>0</v>
      </c>
      <c r="B64" s="174"/>
      <c r="C64" s="12"/>
      <c r="D64" s="12"/>
      <c r="E64" s="4090" t="str">
        <f>$E$10</f>
        <v>Expense Pool 1</v>
      </c>
      <c r="F64" s="4090"/>
      <c r="G64" s="4090" t="str">
        <f>$G$10</f>
        <v>Expense Pool 2</v>
      </c>
      <c r="H64" s="4090"/>
      <c r="I64" s="4090" t="str">
        <f>$I$10</f>
        <v>Expense Pool 3</v>
      </c>
      <c r="J64" s="4090"/>
      <c r="K64" s="4164" t="str">
        <f>$K$10</f>
        <v>Total Expense</v>
      </c>
      <c r="L64" s="4164"/>
      <c r="N64" s="6"/>
      <c r="P64" s="707"/>
    </row>
    <row r="65" spans="1:22" ht="15.95" customHeight="1" x14ac:dyDescent="0.25">
      <c r="A65" s="957">
        <f>IF(OR(Expense_MgmtFees_Reimb=1,Expense_MgmtFees_NonReimb=1),1,0)</f>
        <v>1</v>
      </c>
      <c r="B65" s="174"/>
      <c r="C65" s="12"/>
      <c r="D65" s="12" t="s">
        <v>1577</v>
      </c>
      <c r="E65" s="55" t="s">
        <v>390</v>
      </c>
      <c r="F65" s="55" t="s">
        <v>391</v>
      </c>
      <c r="G65" s="55" t="s">
        <v>390</v>
      </c>
      <c r="H65" s="55" t="s">
        <v>391</v>
      </c>
      <c r="I65" s="55" t="s">
        <v>390</v>
      </c>
      <c r="J65" s="55" t="s">
        <v>391</v>
      </c>
      <c r="K65" s="55" t="s">
        <v>390</v>
      </c>
      <c r="L65" s="55" t="s">
        <v>391</v>
      </c>
      <c r="N65" s="6"/>
      <c r="P65" s="707"/>
    </row>
    <row r="66" spans="1:22" ht="18" hidden="1" customHeight="1" x14ac:dyDescent="0.25">
      <c r="A66" s="957">
        <f t="shared" ref="A66:A75" si="6">IF(OR(Expense_MgmtFees_Reimb=1,Expense_MgmtFees_NonReimb=1),IF(K66="",0,1),0)</f>
        <v>0</v>
      </c>
      <c r="B66" s="174"/>
      <c r="C66" s="258"/>
      <c r="D66" s="258" t="str">
        <f>CONCATENATE('Expense Comps'!$E$5, " - ",'Expense Comps'!$E$7," - ",'Expense Comps'!$E$9," - ",TEXT('Expense Comps'!$E$10,"mm/yyyy"))</f>
        <v>Expense Comp # 1 -  - 0 - 01/1900</v>
      </c>
      <c r="E66" s="415"/>
      <c r="F66" s="415"/>
      <c r="G66" s="415"/>
      <c r="H66" s="415"/>
      <c r="I66" s="415"/>
      <c r="J66" s="415"/>
      <c r="K66" s="3329" t="str">
        <f>VLOOKUP($D63,'Expense Comps'!$D$19:$X$75,3,FALSE)</f>
        <v/>
      </c>
      <c r="L66" s="3619" t="str">
        <f>VLOOKUP($D63,'Expense Comps'!$D$19:$X$75,4,FALSE)</f>
        <v/>
      </c>
      <c r="M66" s="258"/>
      <c r="N66" s="6"/>
      <c r="P66" s="664">
        <f ca="1">IF(Expense_MgmtFees_Reimb=1,(dpIncome_Expense_MgmtFees_Stabilized*dpIncome_DirectCap_EGI)/Subject_NRA,0)</f>
        <v>5.0758288401973155E-2</v>
      </c>
    </row>
    <row r="67" spans="1:22" ht="18" hidden="1" customHeight="1" x14ac:dyDescent="0.25">
      <c r="A67" s="957">
        <f t="shared" si="6"/>
        <v>0</v>
      </c>
      <c r="B67" s="174"/>
      <c r="C67" s="258"/>
      <c r="D67" s="258" t="str">
        <f>CONCATENATE('Expense Comps'!$I$5, " - ",'Expense Comps'!$I$7," - ",'Expense Comps'!$I$9," - ",TEXT('Expense Comps'!$I$10,"mm/yyyy"))</f>
        <v>Expense Comp # 2 -  - 0 - 01/1900</v>
      </c>
      <c r="E67" s="415"/>
      <c r="F67" s="415"/>
      <c r="G67" s="415"/>
      <c r="H67" s="415"/>
      <c r="I67" s="415"/>
      <c r="J67" s="415"/>
      <c r="K67" s="3329" t="str">
        <f>VLOOKUP($D63,'Expense Comps'!$D$19:$X$75,7,FALSE)</f>
        <v/>
      </c>
      <c r="L67" s="3619" t="str">
        <f>VLOOKUP($D63,'Expense Comps'!$D$19:$X$75,8,FALSE)</f>
        <v/>
      </c>
      <c r="M67" s="258"/>
      <c r="N67" s="6"/>
    </row>
    <row r="68" spans="1:22" ht="18" hidden="1" customHeight="1" x14ac:dyDescent="0.25">
      <c r="A68" s="957">
        <f t="shared" si="6"/>
        <v>0</v>
      </c>
      <c r="B68" s="174"/>
      <c r="C68" s="258"/>
      <c r="D68" s="258" t="str">
        <f>CONCATENATE('Expense Comps'!$M$5, " - ",'Expense Comps'!$M$7," - ",'Expense Comps'!$M$9," - ",TEXT('Expense Comps'!$M$10,"mm/yyyy"))</f>
        <v>Expense Comp # 3 -  - 0 - 01/1900</v>
      </c>
      <c r="E68" s="415"/>
      <c r="F68" s="415"/>
      <c r="G68" s="415"/>
      <c r="H68" s="415"/>
      <c r="I68" s="415"/>
      <c r="J68" s="415"/>
      <c r="K68" s="3329" t="str">
        <f>VLOOKUP($D63,'Expense Comps'!$D$19:$X$75,11,FALSE)</f>
        <v/>
      </c>
      <c r="L68" s="3619" t="str">
        <f>VLOOKUP($D63,'Expense Comps'!$D$19:$X$75,12,FALSE)</f>
        <v/>
      </c>
      <c r="M68" s="258"/>
      <c r="N68" s="6"/>
    </row>
    <row r="69" spans="1:22" ht="18" hidden="1" customHeight="1" x14ac:dyDescent="0.25">
      <c r="A69" s="957">
        <f t="shared" si="6"/>
        <v>0</v>
      </c>
      <c r="B69" s="174"/>
      <c r="C69" s="258"/>
      <c r="D69" s="258" t="str">
        <f>CONCATENATE('Expense Comps'!$Q$5, " - ",'Expense Comps'!$Q$7," - ",'Expense Comps'!$Q$9," - ",TEXT('Expense Comps'!$Q$10,"mm/yyyy"))</f>
        <v>Expense Comp # 4 -  - 0 - 01/1900</v>
      </c>
      <c r="E69" s="415"/>
      <c r="F69" s="415"/>
      <c r="G69" s="415"/>
      <c r="H69" s="415"/>
      <c r="I69" s="415"/>
      <c r="J69" s="415"/>
      <c r="K69" s="3329" t="str">
        <f>VLOOKUP($D63,'Expense Comps'!$D$19:$X$75,15,FALSE)</f>
        <v/>
      </c>
      <c r="L69" s="3619" t="str">
        <f>VLOOKUP($D63,'Expense Comps'!$D$19:$X$75,16,FALSE)</f>
        <v/>
      </c>
      <c r="M69" s="258"/>
      <c r="N69" s="6"/>
      <c r="P69" s="42"/>
    </row>
    <row r="70" spans="1:22" ht="18" hidden="1" customHeight="1" x14ac:dyDescent="0.25">
      <c r="A70" s="957">
        <f t="shared" si="6"/>
        <v>0</v>
      </c>
      <c r="B70" s="174"/>
      <c r="C70" s="258"/>
      <c r="D70" s="258" t="str">
        <f>CONCATENATE('Expense Comps'!$U$5, " - ",'Expense Comps'!$U$7," - ",'Expense Comps'!$U$9," - ",TEXT('Expense Comps'!$U$10,"mm/yyyy"))</f>
        <v>Expense Comp # 5 -  - 0 - 01/1900</v>
      </c>
      <c r="E70" s="415"/>
      <c r="F70" s="415"/>
      <c r="G70" s="415"/>
      <c r="H70" s="415"/>
      <c r="I70" s="415"/>
      <c r="J70" s="415"/>
      <c r="K70" s="3329" t="str">
        <f>VLOOKUP($D63,'Expense Comps'!$D$19:$X$75,19,FALSE)</f>
        <v/>
      </c>
      <c r="L70" s="3619" t="str">
        <f>VLOOKUP($D63,'Expense Comps'!$D$19:$X$75,20,FALSE)</f>
        <v/>
      </c>
      <c r="M70" s="258"/>
      <c r="N70" s="6"/>
      <c r="P70" s="42"/>
    </row>
    <row r="71" spans="1:22" ht="18" hidden="1" customHeight="1" x14ac:dyDescent="0.25">
      <c r="A71" s="957">
        <f t="shared" si="6"/>
        <v>0</v>
      </c>
      <c r="B71" s="174"/>
      <c r="C71" s="258"/>
      <c r="D71" s="258" t="str">
        <f>CONCATENATE("Subject ",'Income Expense History'!$E$5," - ",TEXT('Income Expense History'!$E$6,"mm/yyyy"))</f>
        <v>Subject 0 - 01/1900</v>
      </c>
      <c r="E71" s="3329" t="str">
        <f>IF(F71="","",F71*Income_EGI_Pool1_1)</f>
        <v/>
      </c>
      <c r="F71" s="3399"/>
      <c r="G71" s="3329" t="str">
        <f>IF(H71="","",H71*Income_EGI_Pool2_1)</f>
        <v/>
      </c>
      <c r="H71" s="3399"/>
      <c r="I71" s="3329" t="str">
        <f>IF(J71="","",J71*Income_EGI_Pool3_1)</f>
        <v/>
      </c>
      <c r="J71" s="3399"/>
      <c r="K71" s="3329" t="str">
        <f>VLOOKUP($D63,'Income Expense History'!$D$19:$S$76,3,FALSE)</f>
        <v/>
      </c>
      <c r="L71" s="3399" t="str">
        <f>VLOOKUP($D63,'Income Expense History'!$D$19:$S$76,4, FALSE)</f>
        <v>N/A</v>
      </c>
      <c r="M71" s="258"/>
      <c r="N71" s="6"/>
    </row>
    <row r="72" spans="1:22" ht="18" hidden="1" customHeight="1" x14ac:dyDescent="0.25">
      <c r="A72" s="957">
        <f t="shared" si="6"/>
        <v>0</v>
      </c>
      <c r="B72" s="174"/>
      <c r="C72" s="258"/>
      <c r="D72" s="258" t="str">
        <f>CONCATENATE("Subject ",'Income Expense History'!$I$5," - ",TEXT('Income Expense History'!$I$6,"mm/yyyy"))</f>
        <v>Subject 0 - 01/1900</v>
      </c>
      <c r="E72" s="3329" t="str">
        <f>IF(F72="","",F72*Income_EGI_Pool1_2)</f>
        <v/>
      </c>
      <c r="F72" s="3399"/>
      <c r="G72" s="3329" t="str">
        <f>IF(H72="","",H72*Income_EGI_Pool2_2)</f>
        <v/>
      </c>
      <c r="H72" s="3399"/>
      <c r="I72" s="3329" t="str">
        <f>IF(J72="","",J72*Income_EGI_Pool3_2)</f>
        <v/>
      </c>
      <c r="J72" s="3399"/>
      <c r="K72" s="3329" t="str">
        <f>VLOOKUP($D63,'Income Expense History'!$D$19:$S$76,7, FALSE)</f>
        <v/>
      </c>
      <c r="L72" s="3399" t="str">
        <f>VLOOKUP($D63,'Income Expense History'!$D$19:$S$76,8, FALSE)</f>
        <v>N/A</v>
      </c>
      <c r="M72" s="258"/>
      <c r="N72" s="6"/>
    </row>
    <row r="73" spans="1:22" ht="18" hidden="1" customHeight="1" x14ac:dyDescent="0.25">
      <c r="A73" s="957">
        <f t="shared" si="6"/>
        <v>0</v>
      </c>
      <c r="B73" s="174"/>
      <c r="C73" s="258"/>
      <c r="D73" s="258" t="str">
        <f>CONCATENATE("Subject ",'Income Expense History'!$M$5," - ",TEXT('Income Expense History'!$M$6,"mm/yyyy"))</f>
        <v>Subject 0 - 01/1900</v>
      </c>
      <c r="E73" s="3329" t="str">
        <f>IF(F73="","",F73*Income_EGI_Pool1_3)</f>
        <v/>
      </c>
      <c r="F73" s="3399"/>
      <c r="G73" s="3329" t="str">
        <f>IF(H73="","",H73*Income_EGI_Pool2_3)</f>
        <v/>
      </c>
      <c r="H73" s="3399"/>
      <c r="I73" s="3329" t="str">
        <f>IF(J73="","",J73*Income_EGI_Pool3_3)</f>
        <v/>
      </c>
      <c r="J73" s="3399"/>
      <c r="K73" s="3329" t="str">
        <f>VLOOKUP($D63,'Income Expense History'!$D$19:$S$76,11, FALSE)</f>
        <v/>
      </c>
      <c r="L73" s="3399" t="str">
        <f>VLOOKUP($D63,'Income Expense History'!$D$19:$S$76,12, FALSE)</f>
        <v>N/A</v>
      </c>
      <c r="M73" s="258"/>
      <c r="N73" s="6"/>
    </row>
    <row r="74" spans="1:22" ht="18" hidden="1" customHeight="1" x14ac:dyDescent="0.25">
      <c r="A74" s="957">
        <f t="shared" si="6"/>
        <v>0</v>
      </c>
      <c r="B74" s="174"/>
      <c r="C74" s="258"/>
      <c r="D74" s="258" t="str">
        <f>CONCATENATE("Subject ",'Income Expense History'!$Q$5," - ",TEXT('Income Expense History'!$Q$6,"mm/yyyy"))</f>
        <v>Subject 0 - 01/1900</v>
      </c>
      <c r="E74" s="3329" t="str">
        <f>IF(F74="","",F74*Income_EGI_Pool1_4)</f>
        <v/>
      </c>
      <c r="F74" s="3399"/>
      <c r="G74" s="3329" t="str">
        <f>IF(H74="","",H74*Income_EGI_Pool2_4)</f>
        <v/>
      </c>
      <c r="H74" s="3399"/>
      <c r="I74" s="3329" t="str">
        <f>IF(J74="","",J74*Income_EGI_Pool3_4)</f>
        <v/>
      </c>
      <c r="J74" s="3399"/>
      <c r="K74" s="3329" t="str">
        <f>VLOOKUP($D63,'Income Expense History'!$D$19:$S$76,15, FALSE)</f>
        <v/>
      </c>
      <c r="L74" s="3399" t="str">
        <f>VLOOKUP($D63,'Income Expense History'!$D$19:$S$76,16, FALSE)</f>
        <v>N/A</v>
      </c>
      <c r="M74" s="258"/>
      <c r="N74" s="6"/>
    </row>
    <row r="75" spans="1:22" s="406" customFormat="1" ht="18" hidden="1" customHeight="1" x14ac:dyDescent="0.25">
      <c r="A75" s="957">
        <f t="shared" si="6"/>
        <v>0</v>
      </c>
      <c r="B75" s="402"/>
      <c r="C75" s="3625"/>
      <c r="D75" s="3629" t="s">
        <v>394</v>
      </c>
      <c r="E75" s="3630" t="e">
        <f t="shared" ref="E75:J75" si="7">AVERAGE(E66:E74)</f>
        <v>#DIV/0!</v>
      </c>
      <c r="F75" s="3632" t="e">
        <f t="shared" si="7"/>
        <v>#DIV/0!</v>
      </c>
      <c r="G75" s="3630" t="e">
        <f t="shared" si="7"/>
        <v>#DIV/0!</v>
      </c>
      <c r="H75" s="3632" t="e">
        <f t="shared" si="7"/>
        <v>#DIV/0!</v>
      </c>
      <c r="I75" s="3630" t="e">
        <f t="shared" si="7"/>
        <v>#DIV/0!</v>
      </c>
      <c r="J75" s="3632" t="e">
        <f t="shared" si="7"/>
        <v>#DIV/0!</v>
      </c>
      <c r="K75" s="3630" t="str">
        <f>IF(ISERR(AVERAGE(K66:K74)),"",AVERAGE(K66:K74))</f>
        <v/>
      </c>
      <c r="L75" s="3631" t="str">
        <f>IF(ISERR(AVERAGE(L66:L74)),"",AVERAGE(L66:L74))</f>
        <v/>
      </c>
      <c r="M75" s="3625"/>
      <c r="N75" s="403"/>
      <c r="O75" s="404"/>
      <c r="P75" s="407"/>
      <c r="Q75" s="2542"/>
      <c r="R75" s="2272"/>
      <c r="S75" s="2272"/>
      <c r="T75" s="2272"/>
      <c r="U75" s="2272"/>
      <c r="V75" s="2272"/>
    </row>
    <row r="76" spans="1:22" s="406" customFormat="1" ht="18" hidden="1" customHeight="1" x14ac:dyDescent="0.25">
      <c r="A76" s="957">
        <f>IF(AND(Income_TechniqueUsed&lt;&gt;"Direct Capitalization",Expense_MgmtFees_Number&gt;1),1,0)</f>
        <v>0</v>
      </c>
      <c r="B76" s="402"/>
      <c r="C76" s="3625"/>
      <c r="D76" s="3625" t="s">
        <v>393</v>
      </c>
      <c r="E76" s="1677">
        <f>F76*Income_EGI_Pool1_1</f>
        <v>0</v>
      </c>
      <c r="F76" s="3399"/>
      <c r="G76" s="1677">
        <f>H76*Income_EGI_Pool2_1</f>
        <v>0</v>
      </c>
      <c r="H76" s="3399"/>
      <c r="I76" s="1677">
        <f>J76*Income_EGI_Pool3_1</f>
        <v>0</v>
      </c>
      <c r="J76" s="3399"/>
      <c r="K76" s="1677" t="e">
        <f>(dpIncome_Expense_MgmtFees_Year1*(VLOOKUP("Effective Gross Revenue",'DCF 1'!$E$8:$I$107,2,FALSE)+0))/Subject_NRA</f>
        <v>#N/A</v>
      </c>
      <c r="L76" s="1698"/>
      <c r="M76" s="3625"/>
      <c r="N76" s="403"/>
      <c r="O76" s="404"/>
      <c r="P76" s="404"/>
      <c r="Q76" s="2542"/>
      <c r="R76" s="2272"/>
      <c r="S76" s="2272"/>
      <c r="T76" s="2272"/>
      <c r="U76" s="2272"/>
      <c r="V76" s="2272"/>
    </row>
    <row r="77" spans="1:22" s="406" customFormat="1" ht="18" hidden="1" customHeight="1" x14ac:dyDescent="0.25">
      <c r="A77" s="957">
        <f>IF(AND(Income_TechniqueUsed&lt;&gt;"Direct Capitalization",Expense_MgmtFees_Number&gt;2),1,0)</f>
        <v>0</v>
      </c>
      <c r="B77" s="402"/>
      <c r="C77" s="3625"/>
      <c r="D77" s="3625" t="s">
        <v>419</v>
      </c>
      <c r="E77" s="1677">
        <f>F77*Income_EGI_Pool1_1</f>
        <v>0</v>
      </c>
      <c r="F77" s="3399"/>
      <c r="G77" s="1677">
        <f>H77*Income_EGI_Pool2_1</f>
        <v>0</v>
      </c>
      <c r="H77" s="3399"/>
      <c r="I77" s="1677">
        <f>J77*Income_EGI_Pool3_1</f>
        <v>0</v>
      </c>
      <c r="J77" s="3399"/>
      <c r="K77" s="1677" t="e">
        <f>(dpIncome_Expense_MgmtFees_Year2*(VLOOKUP("Effective Gross Revenue",'DCF 1'!$E$8:$I$107,3,FALSE)+0))/Subject_NRA</f>
        <v>#N/A</v>
      </c>
      <c r="L77" s="1698"/>
      <c r="M77" s="3625"/>
      <c r="N77" s="403"/>
      <c r="O77" s="404"/>
      <c r="P77" s="404"/>
      <c r="Q77" s="2542"/>
      <c r="R77" s="2272"/>
      <c r="S77" s="2272"/>
      <c r="T77" s="2272"/>
      <c r="U77" s="2272"/>
      <c r="V77" s="2272"/>
    </row>
    <row r="78" spans="1:22" s="406" customFormat="1" ht="18" hidden="1" customHeight="1" x14ac:dyDescent="0.25">
      <c r="A78" s="957">
        <f>IF(AND(Income_TechniqueUsed&lt;&gt;"Direct Capitalization",Expense_MgmtFees_Number&gt;3),1,0)</f>
        <v>0</v>
      </c>
      <c r="B78" s="402"/>
      <c r="C78" s="3625"/>
      <c r="D78" s="3625" t="s">
        <v>420</v>
      </c>
      <c r="E78" s="1677">
        <f>F78*Income_EGI_Pool1_1</f>
        <v>0</v>
      </c>
      <c r="F78" s="3399"/>
      <c r="G78" s="1677">
        <f>H78*Income_EGI_Pool2_1</f>
        <v>0</v>
      </c>
      <c r="H78" s="3399"/>
      <c r="I78" s="1677">
        <f>J78*Income_EGI_Pool3_1</f>
        <v>0</v>
      </c>
      <c r="J78" s="3399"/>
      <c r="K78" s="1677" t="e">
        <f>(dpIncome_Expense_MgmtFees_Year3*(VLOOKUP("Effective Gross Revenue",'DCF 1'!$E$8:$I$107,4,FALSE)+0))/Subject_NRA</f>
        <v>#N/A</v>
      </c>
      <c r="L78" s="1698"/>
      <c r="M78" s="3625"/>
      <c r="N78" s="403"/>
      <c r="O78" s="404"/>
      <c r="P78" s="404"/>
      <c r="Q78" s="2542"/>
      <c r="R78" s="2272"/>
      <c r="S78" s="2272"/>
      <c r="T78" s="2272"/>
      <c r="U78" s="2272"/>
      <c r="V78" s="2272"/>
    </row>
    <row r="79" spans="1:22" s="406" customFormat="1" ht="18" customHeight="1" thickBot="1" x14ac:dyDescent="0.3">
      <c r="A79" s="957">
        <f>IF(OR(Expense_MgmtFees_Reimb=1,Expense_MgmtFees_NonReimb=1),1,0)</f>
        <v>1</v>
      </c>
      <c r="B79" s="402"/>
      <c r="C79" s="3625"/>
      <c r="D79" s="3628" t="str">
        <f>IF(P63="Year 1 Only","Year 1 Estimate:","Stabilized Estimate:")</f>
        <v>Stabilized Estimate:</v>
      </c>
      <c r="E79" s="1678">
        <f>F79*Income_EGI_Pool1_1</f>
        <v>0</v>
      </c>
      <c r="F79" s="3633"/>
      <c r="G79" s="1678">
        <f>H79*Income_EGI_Pool2_1</f>
        <v>0</v>
      </c>
      <c r="H79" s="3633"/>
      <c r="I79" s="1678">
        <f>J79*Income_EGI_Pool3_1</f>
        <v>0</v>
      </c>
      <c r="J79" s="3633"/>
      <c r="K79" s="1678">
        <f ca="1">IF(P63="Stabilized Only",(dpIncome_Expense_MgmtFees_Stabilized*dpIncome_DirectCap_EGI)/Subject_NRA,(dpIncome_Expense_MgmtFees_Stabilized*(VLOOKUP("Effective Gross Revenue",'DCF 1'!$E$8:$I$107,2,FALSE)+0))/Subject_NRA)</f>
        <v>5.0758288401973155E-2</v>
      </c>
      <c r="L79" s="1699">
        <v>0.03</v>
      </c>
      <c r="M79" s="3625"/>
      <c r="N79" s="403"/>
      <c r="O79" s="404"/>
      <c r="P79" s="407"/>
      <c r="Q79" s="2542"/>
      <c r="R79" s="2272"/>
      <c r="S79" s="2272"/>
      <c r="T79" s="2272"/>
      <c r="U79" s="2272"/>
      <c r="V79" s="2272"/>
    </row>
    <row r="80" spans="1:22" ht="15.95" customHeight="1" thickBot="1" x14ac:dyDescent="0.3">
      <c r="A80" s="957">
        <f>IF(OR(Expense_MgmtFees_Reimb=1,Expense_MgmtFees_NonReimb=1),1,0)</f>
        <v>1</v>
      </c>
      <c r="B80" s="174"/>
      <c r="C80" s="5"/>
      <c r="D80" s="43" t="s">
        <v>903</v>
      </c>
      <c r="E80" s="804"/>
      <c r="F80" s="804"/>
      <c r="G80" s="804"/>
      <c r="H80" s="804"/>
      <c r="I80" s="804"/>
      <c r="J80" s="804"/>
      <c r="K80" s="19"/>
      <c r="L80" s="19"/>
      <c r="M80" s="5"/>
      <c r="N80" s="6"/>
    </row>
    <row r="81" spans="1:22" ht="17.25" hidden="1" thickBot="1" x14ac:dyDescent="0.35">
      <c r="A81" s="957">
        <f>IF(OR(Expense_Administrative_Reimb=1,Expense_Administrative_NonReimb=1),1,0)</f>
        <v>0</v>
      </c>
      <c r="B81" s="174"/>
      <c r="C81" s="246"/>
      <c r="D81" s="246" t="str">
        <f>dpIncome_ExpenseCat_5</f>
        <v>Administrative</v>
      </c>
      <c r="E81" s="4299"/>
      <c r="F81" s="4299"/>
      <c r="G81" s="804"/>
      <c r="H81" s="804"/>
      <c r="I81" s="804"/>
      <c r="J81" s="804"/>
      <c r="K81" s="804"/>
      <c r="L81" s="804"/>
      <c r="M81" s="52"/>
      <c r="N81" s="6"/>
      <c r="P81" s="235" t="s">
        <v>430</v>
      </c>
    </row>
    <row r="82" spans="1:22" ht="15.95" hidden="1" customHeight="1" x14ac:dyDescent="0.25">
      <c r="A82" s="957">
        <f>IF(OR(Expense_Administrative_Reimb=1,Expense_Administrative_NonReimb=1),IF(Main_ExpensePool_Count&gt;1,1,0),0)</f>
        <v>0</v>
      </c>
      <c r="B82" s="174"/>
      <c r="C82" s="12"/>
      <c r="D82" s="12"/>
      <c r="E82" s="4090" t="str">
        <f>$E$10</f>
        <v>Expense Pool 1</v>
      </c>
      <c r="F82" s="4090"/>
      <c r="G82" s="4090" t="str">
        <f>$G$10</f>
        <v>Expense Pool 2</v>
      </c>
      <c r="H82" s="4090"/>
      <c r="I82" s="4090" t="str">
        <f>$I$10</f>
        <v>Expense Pool 3</v>
      </c>
      <c r="J82" s="4090"/>
      <c r="K82" s="4164" t="str">
        <f>$K$10</f>
        <v>Total Expense</v>
      </c>
      <c r="L82" s="4164"/>
      <c r="N82" s="6"/>
      <c r="P82" s="707"/>
    </row>
    <row r="83" spans="1:22" ht="15.95" hidden="1" customHeight="1" x14ac:dyDescent="0.25">
      <c r="A83" s="957">
        <f>IF(OR(Expense_Administrative_Reimb=1,Expense_Administrative_NonReimb=1),1,0)</f>
        <v>0</v>
      </c>
      <c r="B83" s="174"/>
      <c r="C83" s="12"/>
      <c r="D83" s="12" t="s">
        <v>1577</v>
      </c>
      <c r="E83" s="55" t="s">
        <v>390</v>
      </c>
      <c r="F83" s="55" t="s">
        <v>391</v>
      </c>
      <c r="G83" s="55" t="s">
        <v>390</v>
      </c>
      <c r="H83" s="55" t="s">
        <v>391</v>
      </c>
      <c r="I83" s="55" t="s">
        <v>390</v>
      </c>
      <c r="J83" s="55" t="s">
        <v>391</v>
      </c>
      <c r="K83" s="55" t="s">
        <v>390</v>
      </c>
      <c r="L83" s="55" t="s">
        <v>391</v>
      </c>
      <c r="N83" s="6"/>
      <c r="P83" s="707"/>
    </row>
    <row r="84" spans="1:22" ht="18" hidden="1" customHeight="1" x14ac:dyDescent="0.25">
      <c r="A84" s="957">
        <f t="shared" ref="A84:A93" si="8">IF(OR(Expense_Administrative_Reimb=1,Expense_Administrative_NonReimb=1),IF(K84="",0,1),0)</f>
        <v>0</v>
      </c>
      <c r="B84" s="174"/>
      <c r="C84" s="258"/>
      <c r="D84" s="258" t="str">
        <f>CONCATENATE('Expense Comps'!$E$5, " - ",'Expense Comps'!$E$7," - ",'Expense Comps'!$E$9," - ",TEXT('Expense Comps'!$E$10,"mm/yyyy"))</f>
        <v>Expense Comp # 1 -  - 0 - 01/1900</v>
      </c>
      <c r="E84" s="415"/>
      <c r="F84" s="415"/>
      <c r="G84" s="415"/>
      <c r="H84" s="415"/>
      <c r="I84" s="415"/>
      <c r="J84" s="415"/>
      <c r="K84" s="3329" t="str">
        <f>VLOOKUP($D81,'Expense Comps'!$D$26:$X$75,3,FALSE)</f>
        <v/>
      </c>
      <c r="L84" s="3619" t="str">
        <f>VLOOKUP($D81,'Expense Comps'!$D$26:$X$75,4,FALSE)</f>
        <v/>
      </c>
      <c r="M84" s="258"/>
      <c r="N84" s="6"/>
      <c r="P84" s="664">
        <f>IF(Expense_Administrative_Reimb=1,dpIncome_Expense_Admin_Stabilized,0)</f>
        <v>0</v>
      </c>
    </row>
    <row r="85" spans="1:22" ht="18" hidden="1" customHeight="1" x14ac:dyDescent="0.25">
      <c r="A85" s="957">
        <f t="shared" si="8"/>
        <v>0</v>
      </c>
      <c r="B85" s="174"/>
      <c r="C85" s="258"/>
      <c r="D85" s="258" t="str">
        <f>CONCATENATE('Expense Comps'!$I$5, " - ",'Expense Comps'!$I$7," - ",'Expense Comps'!$I$9," - ",TEXT('Expense Comps'!$I$10,"mm/yyyy"))</f>
        <v>Expense Comp # 2 -  - 0 - 01/1900</v>
      </c>
      <c r="E85" s="415"/>
      <c r="F85" s="415"/>
      <c r="G85" s="415"/>
      <c r="H85" s="415"/>
      <c r="I85" s="415"/>
      <c r="J85" s="415"/>
      <c r="K85" s="3329" t="str">
        <f>VLOOKUP($D81,'Expense Comps'!$D$26:$X$75,7,FALSE)</f>
        <v/>
      </c>
      <c r="L85" s="3619" t="str">
        <f>VLOOKUP($D81,'Expense Comps'!$D$26:$X$75,8,FALSE)</f>
        <v/>
      </c>
      <c r="M85" s="258"/>
      <c r="N85" s="6"/>
      <c r="P85" s="42"/>
    </row>
    <row r="86" spans="1:22" ht="18" hidden="1" customHeight="1" x14ac:dyDescent="0.25">
      <c r="A86" s="957">
        <f t="shared" si="8"/>
        <v>0</v>
      </c>
      <c r="B86" s="174"/>
      <c r="C86" s="258"/>
      <c r="D86" s="258" t="str">
        <f>CONCATENATE('Expense Comps'!$M$5, " - ",'Expense Comps'!$M$7," - ",'Expense Comps'!$M$9," - ",TEXT('Expense Comps'!$M$10,"mm/yyyy"))</f>
        <v>Expense Comp # 3 -  - 0 - 01/1900</v>
      </c>
      <c r="E86" s="415"/>
      <c r="F86" s="415"/>
      <c r="G86" s="415"/>
      <c r="H86" s="415"/>
      <c r="I86" s="415"/>
      <c r="J86" s="415"/>
      <c r="K86" s="3329" t="str">
        <f>VLOOKUP($D81,'Expense Comps'!$D$26:$X$75,11,FALSE)</f>
        <v/>
      </c>
      <c r="L86" s="3619" t="str">
        <f>VLOOKUP($D81,'Expense Comps'!$D$26:$X$75,12,FALSE)</f>
        <v/>
      </c>
      <c r="M86" s="258"/>
      <c r="N86" s="6"/>
      <c r="P86" s="42"/>
    </row>
    <row r="87" spans="1:22" ht="18" hidden="1" customHeight="1" x14ac:dyDescent="0.25">
      <c r="A87" s="957">
        <f t="shared" si="8"/>
        <v>0</v>
      </c>
      <c r="B87" s="174"/>
      <c r="C87" s="258"/>
      <c r="D87" s="258" t="str">
        <f>CONCATENATE('Expense Comps'!$Q$5, " - ",'Expense Comps'!$Q$7," - ",'Expense Comps'!$Q$9," - ",TEXT('Expense Comps'!$Q$10,"mm/yyyy"))</f>
        <v>Expense Comp # 4 -  - 0 - 01/1900</v>
      </c>
      <c r="E87" s="415"/>
      <c r="F87" s="415"/>
      <c r="G87" s="415"/>
      <c r="H87" s="415"/>
      <c r="I87" s="415"/>
      <c r="J87" s="415"/>
      <c r="K87" s="3329" t="str">
        <f>VLOOKUP($D81,'Expense Comps'!$D$26:$X$75,15,FALSE)</f>
        <v/>
      </c>
      <c r="L87" s="3619" t="str">
        <f>VLOOKUP($D81,'Expense Comps'!$D$26:$X$75,16,FALSE)</f>
        <v/>
      </c>
      <c r="M87" s="258"/>
      <c r="N87" s="6"/>
      <c r="P87" s="42"/>
    </row>
    <row r="88" spans="1:22" ht="18" hidden="1" customHeight="1" x14ac:dyDescent="0.25">
      <c r="A88" s="957">
        <f t="shared" si="8"/>
        <v>0</v>
      </c>
      <c r="B88" s="174"/>
      <c r="C88" s="258"/>
      <c r="D88" s="258" t="str">
        <f>CONCATENATE('Expense Comps'!$U$5, " - ",'Expense Comps'!$U$7," - ",'Expense Comps'!$U$9," - ",TEXT('Expense Comps'!$U$10,"mm/yyyy"))</f>
        <v>Expense Comp # 5 -  - 0 - 01/1900</v>
      </c>
      <c r="E88" s="415"/>
      <c r="F88" s="415"/>
      <c r="G88" s="415"/>
      <c r="H88" s="415"/>
      <c r="I88" s="415"/>
      <c r="J88" s="415"/>
      <c r="K88" s="3329" t="str">
        <f>VLOOKUP($D81,'Expense Comps'!$D$26:$X$75,19,FALSE)</f>
        <v/>
      </c>
      <c r="L88" s="3619" t="str">
        <f>VLOOKUP($D81,'Expense Comps'!$D$26:$X$75,20,FALSE)</f>
        <v/>
      </c>
      <c r="M88" s="258"/>
      <c r="N88" s="6"/>
      <c r="P88" s="42"/>
    </row>
    <row r="89" spans="1:22" ht="18" hidden="1" customHeight="1" x14ac:dyDescent="0.25">
      <c r="A89" s="957">
        <f t="shared" si="8"/>
        <v>0</v>
      </c>
      <c r="B89" s="174"/>
      <c r="C89" s="258"/>
      <c r="D89" s="258" t="str">
        <f>CONCATENATE("Subject ",'Income Expense History'!$E$5," - ",TEXT('Income Expense History'!$E$6,"mm/yyyy"))</f>
        <v>Subject 0 - 01/1900</v>
      </c>
      <c r="E89" s="3329"/>
      <c r="F89" s="3399" t="str">
        <f>IFERROR(E89/Income_EGI_Pool1_1,"")</f>
        <v/>
      </c>
      <c r="G89" s="3329"/>
      <c r="H89" s="3399" t="str">
        <f>IFERROR(G89/Income_EGI_Pool2_1,"")</f>
        <v/>
      </c>
      <c r="I89" s="3329"/>
      <c r="J89" s="3399" t="str">
        <f>IFERROR(I89/Income_EGI_Pool3_1,"")</f>
        <v/>
      </c>
      <c r="K89" s="3329" t="str">
        <f>VLOOKUP($D81,'Income Expense History'!$D$25:$S$76,3,FALSE)</f>
        <v/>
      </c>
      <c r="L89" s="3399" t="str">
        <f>VLOOKUP($D81,'Income Expense History'!$D$25:$S$76,4, FALSE)</f>
        <v>N/A</v>
      </c>
      <c r="M89" s="258"/>
      <c r="N89" s="6"/>
      <c r="P89" s="42"/>
    </row>
    <row r="90" spans="1:22" ht="18" hidden="1" customHeight="1" x14ac:dyDescent="0.25">
      <c r="A90" s="957">
        <f t="shared" si="8"/>
        <v>0</v>
      </c>
      <c r="B90" s="174"/>
      <c r="C90" s="258"/>
      <c r="D90" s="258" t="str">
        <f>CONCATENATE("Subject ",'Income Expense History'!$I$5," - ",TEXT('Income Expense History'!$I$6,"mm/yyyy"))</f>
        <v>Subject 0 - 01/1900</v>
      </c>
      <c r="E90" s="3329"/>
      <c r="F90" s="3399" t="str">
        <f>IFERROR(E90/Income_EGI_Pool1_2,"")</f>
        <v/>
      </c>
      <c r="G90" s="3329"/>
      <c r="H90" s="3399" t="str">
        <f>IFERROR(G90/Income_EGI_Pool2_2,"")</f>
        <v/>
      </c>
      <c r="I90" s="3329"/>
      <c r="J90" s="3399" t="str">
        <f>IFERROR(I90/Income_EGI_Pool3_2,"")</f>
        <v/>
      </c>
      <c r="K90" s="3329" t="str">
        <f>VLOOKUP($D81,'Income Expense History'!$D$25:$S$76,7, FALSE)</f>
        <v/>
      </c>
      <c r="L90" s="3399" t="str">
        <f>VLOOKUP($D81,'Income Expense History'!$D$25:$S$76,8, FALSE)</f>
        <v>N/A</v>
      </c>
      <c r="M90" s="258"/>
      <c r="N90" s="6"/>
      <c r="P90" s="42"/>
    </row>
    <row r="91" spans="1:22" ht="18" hidden="1" customHeight="1" x14ac:dyDescent="0.25">
      <c r="A91" s="957">
        <f t="shared" si="8"/>
        <v>0</v>
      </c>
      <c r="B91" s="174"/>
      <c r="C91" s="258"/>
      <c r="D91" s="258" t="str">
        <f>CONCATENATE("Subject ",'Income Expense History'!$M$5," - ",TEXT('Income Expense History'!$M$6,"mm/yyyy"))</f>
        <v>Subject 0 - 01/1900</v>
      </c>
      <c r="E91" s="3329"/>
      <c r="F91" s="3399" t="str">
        <f>IFERROR(E91/Income_EGI_Pool1_3,"")</f>
        <v/>
      </c>
      <c r="G91" s="3329"/>
      <c r="H91" s="3399" t="str">
        <f>IFERROR(G91/Income_EGI_Pool2_3,"")</f>
        <v/>
      </c>
      <c r="I91" s="3329"/>
      <c r="J91" s="3399" t="str">
        <f>IFERROR(I91/Income_EGI_Pool3_3,"")</f>
        <v/>
      </c>
      <c r="K91" s="3329" t="str">
        <f>VLOOKUP($D81,'Income Expense History'!$D$25:$S$76,11, FALSE)</f>
        <v/>
      </c>
      <c r="L91" s="3399" t="str">
        <f>VLOOKUP($D81,'Income Expense History'!$D$25:$S$76,12, FALSE)</f>
        <v>N/A</v>
      </c>
      <c r="M91" s="258"/>
      <c r="N91" s="6"/>
      <c r="P91" s="42"/>
    </row>
    <row r="92" spans="1:22" ht="18" hidden="1" customHeight="1" x14ac:dyDescent="0.25">
      <c r="A92" s="957">
        <f t="shared" si="8"/>
        <v>0</v>
      </c>
      <c r="B92" s="174"/>
      <c r="C92" s="258"/>
      <c r="D92" s="258" t="str">
        <f>CONCATENATE("Subject ",'Income Expense History'!$Q$5," - ",TEXT('Income Expense History'!$Q$6,"mm/yyyy"))</f>
        <v>Subject 0 - 01/1900</v>
      </c>
      <c r="E92" s="3329"/>
      <c r="F92" s="3399" t="str">
        <f>IFERROR(E92/Income_EGI_Pool1_4,"")</f>
        <v/>
      </c>
      <c r="G92" s="3329"/>
      <c r="H92" s="3399" t="str">
        <f>IFERROR(G92/Income_EGI_Pool2_4,"")</f>
        <v/>
      </c>
      <c r="I92" s="3329"/>
      <c r="J92" s="3399" t="str">
        <f>IFERROR(I92/Income_EGI_Pool3_4,"")</f>
        <v/>
      </c>
      <c r="K92" s="3329" t="str">
        <f>VLOOKUP($D81,'Income Expense History'!$D$25:$S$76,15, FALSE)</f>
        <v/>
      </c>
      <c r="L92" s="3399" t="str">
        <f>VLOOKUP($D81,'Income Expense History'!$D$25:$S$76,16, FALSE)</f>
        <v>N/A</v>
      </c>
      <c r="M92" s="258"/>
      <c r="N92" s="6"/>
      <c r="P92" s="42"/>
    </row>
    <row r="93" spans="1:22" s="406" customFormat="1" ht="18" hidden="1" customHeight="1" x14ac:dyDescent="0.25">
      <c r="A93" s="957">
        <f t="shared" si="8"/>
        <v>0</v>
      </c>
      <c r="B93" s="402"/>
      <c r="C93" s="3625"/>
      <c r="D93" s="3629" t="s">
        <v>394</v>
      </c>
      <c r="E93" s="3630" t="e">
        <f t="shared" ref="E93:J93" si="9">AVERAGE(E84:E92)</f>
        <v>#DIV/0!</v>
      </c>
      <c r="F93" s="3632" t="e">
        <f t="shared" si="9"/>
        <v>#DIV/0!</v>
      </c>
      <c r="G93" s="3630" t="e">
        <f t="shared" si="9"/>
        <v>#DIV/0!</v>
      </c>
      <c r="H93" s="3632" t="e">
        <f t="shared" si="9"/>
        <v>#DIV/0!</v>
      </c>
      <c r="I93" s="3630" t="e">
        <f t="shared" si="9"/>
        <v>#DIV/0!</v>
      </c>
      <c r="J93" s="3632" t="e">
        <f t="shared" si="9"/>
        <v>#DIV/0!</v>
      </c>
      <c r="K93" s="3630" t="str">
        <f>IF(ISERR(AVERAGE(K84:K92)),"",AVERAGE(K84:K92))</f>
        <v/>
      </c>
      <c r="L93" s="3631" t="str">
        <f>IF(ISERR(AVERAGE(L84:L92)),"",AVERAGE(L84:L92))</f>
        <v/>
      </c>
      <c r="M93" s="3625"/>
      <c r="N93" s="403"/>
      <c r="O93" s="404"/>
      <c r="P93" s="404"/>
      <c r="Q93" s="2542"/>
      <c r="R93" s="2272"/>
      <c r="S93" s="2272"/>
      <c r="T93" s="2272"/>
      <c r="U93" s="2272"/>
      <c r="V93" s="2272"/>
    </row>
    <row r="94" spans="1:22" s="406" customFormat="1" ht="18" hidden="1" customHeight="1" x14ac:dyDescent="0.25">
      <c r="A94" s="957">
        <f>IF(AND(Income_TechniqueUsed&lt;&gt;"Direct Capitalization",Expense_Administrative_Number&gt;1),1,0)</f>
        <v>0</v>
      </c>
      <c r="B94" s="402"/>
      <c r="C94" s="3625"/>
      <c r="D94" s="3625" t="s">
        <v>393</v>
      </c>
      <c r="E94" s="1677"/>
      <c r="F94" s="3399" t="e">
        <f>E94/Income_EGI_Pool1_1</f>
        <v>#DIV/0!</v>
      </c>
      <c r="G94" s="1677"/>
      <c r="H94" s="3399" t="e">
        <f>G94/Income_EGI_Pool2_1</f>
        <v>#DIV/0!</v>
      </c>
      <c r="I94" s="1677"/>
      <c r="J94" s="3399" t="e">
        <f>I94/Income_EGI_Pool3_1</f>
        <v>#DIV/0!</v>
      </c>
      <c r="K94" s="1677"/>
      <c r="L94" s="1698" t="e">
        <f>dpIncome_Expense_Admin_Year1*Subject_NRA/VLOOKUP("Effective Gross Revenue",'DCF 1'!$E$8:$I$107,2,FALSE)+0</f>
        <v>#N/A</v>
      </c>
      <c r="M94" s="3625"/>
      <c r="N94" s="403"/>
      <c r="O94" s="404"/>
      <c r="P94" s="404"/>
      <c r="Q94" s="2542"/>
      <c r="R94" s="2272"/>
      <c r="S94" s="2272"/>
      <c r="T94" s="2272"/>
      <c r="U94" s="2272"/>
      <c r="V94" s="2272"/>
    </row>
    <row r="95" spans="1:22" s="406" customFormat="1" ht="18" hidden="1" customHeight="1" x14ac:dyDescent="0.25">
      <c r="A95" s="957">
        <f>IF(AND(Income_TechniqueUsed&lt;&gt;"Direct Capitalization",Expense_Administrative_Number&gt;2),1,0)</f>
        <v>0</v>
      </c>
      <c r="B95" s="402"/>
      <c r="C95" s="3625"/>
      <c r="D95" s="3625" t="s">
        <v>419</v>
      </c>
      <c r="E95" s="1677"/>
      <c r="F95" s="3399" t="e">
        <f>E95/Income_EGI_Pool1_1</f>
        <v>#DIV/0!</v>
      </c>
      <c r="G95" s="1677"/>
      <c r="H95" s="3399" t="e">
        <f>G95/Income_EGI_Pool2_1</f>
        <v>#DIV/0!</v>
      </c>
      <c r="I95" s="1677"/>
      <c r="J95" s="3399" t="e">
        <f>I95/Income_EGI_Pool3_1</f>
        <v>#DIV/0!</v>
      </c>
      <c r="K95" s="1677"/>
      <c r="L95" s="1698" t="e">
        <f>dpIncome_Expense_Admin_Year2*Subject_NRA/VLOOKUP("Effective Gross Revenue",'DCF 1'!$E$8:$I$107,3,FALSE)+0</f>
        <v>#N/A</v>
      </c>
      <c r="M95" s="3625"/>
      <c r="N95" s="403"/>
      <c r="O95" s="404"/>
      <c r="P95" s="404"/>
      <c r="Q95" s="2542"/>
      <c r="R95" s="2272"/>
      <c r="S95" s="2272"/>
      <c r="T95" s="2272"/>
      <c r="U95" s="2272"/>
      <c r="V95" s="2272"/>
    </row>
    <row r="96" spans="1:22" s="406" customFormat="1" ht="18" hidden="1" customHeight="1" x14ac:dyDescent="0.25">
      <c r="A96" s="957">
        <f>IF(AND(Income_TechniqueUsed&lt;&gt;"Direct Capitalization",Expense_Administrative_Number&gt;3),1,0)</f>
        <v>0</v>
      </c>
      <c r="B96" s="402"/>
      <c r="C96" s="3625"/>
      <c r="D96" s="3625" t="s">
        <v>420</v>
      </c>
      <c r="E96" s="1677"/>
      <c r="F96" s="3399" t="e">
        <f>E96/Income_EGI_Pool1_1</f>
        <v>#DIV/0!</v>
      </c>
      <c r="G96" s="1677"/>
      <c r="H96" s="3399" t="e">
        <f>G96/Income_EGI_Pool2_1</f>
        <v>#DIV/0!</v>
      </c>
      <c r="I96" s="1677"/>
      <c r="J96" s="3399" t="e">
        <f>I96/Income_EGI_Pool3_1</f>
        <v>#DIV/0!</v>
      </c>
      <c r="K96" s="1677"/>
      <c r="L96" s="1698" t="e">
        <f>dpIncome_Expense_Admin_Year3*Subject_NRA/VLOOKUP("Effective Gross Revenue",'DCF 1'!$E$8:$I$107,4,FALSE)+0</f>
        <v>#N/A</v>
      </c>
      <c r="M96" s="3625"/>
      <c r="N96" s="403"/>
      <c r="O96" s="404"/>
      <c r="P96" s="404"/>
      <c r="Q96" s="2542"/>
      <c r="R96" s="2272"/>
      <c r="S96" s="2272"/>
      <c r="T96" s="2272"/>
      <c r="U96" s="2272"/>
      <c r="V96" s="2272"/>
    </row>
    <row r="97" spans="1:22" s="406" customFormat="1" ht="18" hidden="1" customHeight="1" thickBot="1" x14ac:dyDescent="0.3">
      <c r="A97" s="957">
        <f>IF(OR(Expense_Administrative_Reimb=1,Expense_Administrative_NonReimb=1),1,0)</f>
        <v>0</v>
      </c>
      <c r="B97" s="402"/>
      <c r="C97" s="3625"/>
      <c r="D97" s="3628" t="str">
        <f>IF(P81="Year 1 Only","Year 1 Estimate:","Stabilized Estimate:")</f>
        <v>Stabilized Estimate:</v>
      </c>
      <c r="E97" s="1678"/>
      <c r="F97" s="3633" t="e">
        <f>E97/Income_EGI_Pool1_1</f>
        <v>#DIV/0!</v>
      </c>
      <c r="G97" s="1678"/>
      <c r="H97" s="3633" t="e">
        <f>G97/Income_EGI_Pool2_1</f>
        <v>#DIV/0!</v>
      </c>
      <c r="I97" s="1678"/>
      <c r="J97" s="3633" t="e">
        <f>I97/Income_EGI_Pool3_1</f>
        <v>#DIV/0!</v>
      </c>
      <c r="K97" s="1678"/>
      <c r="L97" s="1699">
        <f ca="1">IF(P81="Stabilized Only",dpIncome_Expense_Admin_Stabilized*Subject_NRA/dpIncome_DirectCap_EGI,dpIncome_Expense_Admin_Stabilized*Subject_NRA/VLOOKUP("Effective Gross Revenue",'DCF 1'!$E$8:$I$107,2,FALSE)+0)</f>
        <v>0</v>
      </c>
      <c r="M97" s="3625"/>
      <c r="N97" s="403"/>
      <c r="O97" s="404"/>
      <c r="P97" s="404"/>
      <c r="Q97" s="2542"/>
      <c r="R97" s="2272"/>
      <c r="S97" s="2272"/>
      <c r="T97" s="2272"/>
      <c r="U97" s="2272"/>
      <c r="V97" s="2272"/>
    </row>
    <row r="98" spans="1:22" ht="15.95" hidden="1" customHeight="1" thickBot="1" x14ac:dyDescent="0.3">
      <c r="A98" s="957">
        <f>IF(OR(Expense_Administrative_Reimb=1,Expense_Administrative_NonReimb=1),1,0)</f>
        <v>0</v>
      </c>
      <c r="B98" s="174"/>
      <c r="C98" s="5"/>
      <c r="D98" s="43" t="s">
        <v>904</v>
      </c>
      <c r="E98" s="804"/>
      <c r="F98" s="804"/>
      <c r="G98" s="804"/>
      <c r="H98" s="804"/>
      <c r="I98" s="804"/>
      <c r="J98" s="804"/>
      <c r="K98" s="19"/>
      <c r="L98" s="19"/>
      <c r="M98" s="5"/>
      <c r="N98" s="6"/>
      <c r="P98" s="42"/>
    </row>
    <row r="99" spans="1:22" ht="17.25" hidden="1" thickBot="1" x14ac:dyDescent="0.35">
      <c r="A99" s="957">
        <f>IF(OR(Expense_Utilities_Reimb=1,Expense_Utilities_NonReimb=1),1,0)</f>
        <v>0</v>
      </c>
      <c r="B99" s="174"/>
      <c r="C99" s="246"/>
      <c r="D99" s="246" t="str">
        <f>dpIncome_ExpenseCat_6</f>
        <v>Utilities</v>
      </c>
      <c r="E99" s="4299"/>
      <c r="F99" s="4299"/>
      <c r="G99" s="804"/>
      <c r="H99" s="804"/>
      <c r="I99" s="804"/>
      <c r="J99" s="804"/>
      <c r="K99" s="804" t="s">
        <v>390</v>
      </c>
      <c r="L99" s="804" t="s">
        <v>391</v>
      </c>
      <c r="M99" s="52"/>
      <c r="N99" s="6"/>
      <c r="P99" s="235" t="s">
        <v>430</v>
      </c>
    </row>
    <row r="100" spans="1:22" ht="15.95" hidden="1" customHeight="1" x14ac:dyDescent="0.25">
      <c r="A100" s="957">
        <f>IF(OR(Expense_Utilities_Reimb=1,Expense_Utilities_NonReimb=1),IF(Main_ExpensePool_Count&gt;1,1,0),0)</f>
        <v>0</v>
      </c>
      <c r="B100" s="174"/>
      <c r="C100" s="12"/>
      <c r="D100" s="12"/>
      <c r="E100" s="4090" t="str">
        <f>$E$10</f>
        <v>Expense Pool 1</v>
      </c>
      <c r="F100" s="4090"/>
      <c r="G100" s="4090" t="str">
        <f>$G$10</f>
        <v>Expense Pool 2</v>
      </c>
      <c r="H100" s="4090"/>
      <c r="I100" s="4090" t="str">
        <f>$I$10</f>
        <v>Expense Pool 3</v>
      </c>
      <c r="J100" s="4090"/>
      <c r="K100" s="4164" t="str">
        <f>$K$10</f>
        <v>Total Expense</v>
      </c>
      <c r="L100" s="4164"/>
      <c r="N100" s="6"/>
      <c r="P100" s="707"/>
    </row>
    <row r="101" spans="1:22" ht="15.95" hidden="1" customHeight="1" x14ac:dyDescent="0.25">
      <c r="A101" s="957">
        <f>IF(OR(Expense_Utilities_Reimb=1,Expense_Utilities_NonReimb=1),1,0)</f>
        <v>0</v>
      </c>
      <c r="B101" s="174"/>
      <c r="C101" s="12"/>
      <c r="D101" s="12" t="s">
        <v>1577</v>
      </c>
      <c r="E101" s="55" t="s">
        <v>390</v>
      </c>
      <c r="F101" s="55" t="s">
        <v>391</v>
      </c>
      <c r="G101" s="55" t="s">
        <v>390</v>
      </c>
      <c r="H101" s="55" t="s">
        <v>391</v>
      </c>
      <c r="I101" s="55" t="s">
        <v>390</v>
      </c>
      <c r="J101" s="55" t="s">
        <v>391</v>
      </c>
      <c r="K101" s="55" t="s">
        <v>390</v>
      </c>
      <c r="L101" s="55" t="s">
        <v>391</v>
      </c>
      <c r="N101" s="6"/>
      <c r="P101" s="707"/>
    </row>
    <row r="102" spans="1:22" ht="18" hidden="1" customHeight="1" x14ac:dyDescent="0.25">
      <c r="A102" s="957">
        <f t="shared" ref="A102:A111" si="10">IF(OR(Expense_Utilities_Reimb=1,Expense_Utilities_NonReimb=1),IF(K102="",0,1),0)</f>
        <v>0</v>
      </c>
      <c r="B102" s="174"/>
      <c r="C102" s="258"/>
      <c r="D102" s="258" t="str">
        <f>CONCATENATE('Expense Comps'!$E$5, " - ",'Expense Comps'!$E$7," - ",'Expense Comps'!$E$9," - ",TEXT('Expense Comps'!$E$10,"mm/yyyy"))</f>
        <v>Expense Comp # 1 -  - 0 - 01/1900</v>
      </c>
      <c r="E102" s="415"/>
      <c r="F102" s="415"/>
      <c r="G102" s="415"/>
      <c r="H102" s="415"/>
      <c r="I102" s="415"/>
      <c r="J102" s="415"/>
      <c r="K102" s="3329" t="str">
        <f>VLOOKUP($D99,'Expense Comps'!$D$30:$X$75,3,FALSE)</f>
        <v/>
      </c>
      <c r="L102" s="3619" t="str">
        <f>VLOOKUP($D99,'Expense Comps'!$D$30:$X$75,4,FALSE)</f>
        <v/>
      </c>
      <c r="M102" s="258"/>
      <c r="N102" s="6"/>
      <c r="P102" s="664">
        <f>IF(Expense_Utilities_Reimb=1,dpIncome_Expense_Utilities_Stabilized,0)</f>
        <v>0</v>
      </c>
    </row>
    <row r="103" spans="1:22" ht="18" hidden="1" customHeight="1" x14ac:dyDescent="0.25">
      <c r="A103" s="957">
        <f t="shared" si="10"/>
        <v>0</v>
      </c>
      <c r="B103" s="174"/>
      <c r="C103" s="258"/>
      <c r="D103" s="258" t="str">
        <f>CONCATENATE('Expense Comps'!$I$5, " - ",'Expense Comps'!$I$7," - ",'Expense Comps'!$I$9," - ",TEXT('Expense Comps'!$I$10,"mm/yyyy"))</f>
        <v>Expense Comp # 2 -  - 0 - 01/1900</v>
      </c>
      <c r="E103" s="415"/>
      <c r="F103" s="415"/>
      <c r="G103" s="415"/>
      <c r="H103" s="415"/>
      <c r="I103" s="415"/>
      <c r="J103" s="415"/>
      <c r="K103" s="3329" t="str">
        <f>VLOOKUP($D99,'Expense Comps'!$D$30:$X$75,7,FALSE)</f>
        <v/>
      </c>
      <c r="L103" s="3619" t="str">
        <f>VLOOKUP($D99,'Expense Comps'!$D$30:$X$75,8,FALSE)</f>
        <v/>
      </c>
      <c r="M103" s="258"/>
      <c r="N103" s="6"/>
      <c r="P103" s="42"/>
    </row>
    <row r="104" spans="1:22" ht="18" hidden="1" customHeight="1" x14ac:dyDescent="0.25">
      <c r="A104" s="957">
        <f t="shared" si="10"/>
        <v>0</v>
      </c>
      <c r="B104" s="174"/>
      <c r="C104" s="258"/>
      <c r="D104" s="258" t="str">
        <f>CONCATENATE('Expense Comps'!$M$5, " - ",'Expense Comps'!$M$7," - ",'Expense Comps'!$M$9," - ",TEXT('Expense Comps'!$M$10,"mm/yyyy"))</f>
        <v>Expense Comp # 3 -  - 0 - 01/1900</v>
      </c>
      <c r="E104" s="415"/>
      <c r="F104" s="415"/>
      <c r="G104" s="415"/>
      <c r="H104" s="415"/>
      <c r="I104" s="415"/>
      <c r="J104" s="415"/>
      <c r="K104" s="3329" t="str">
        <f>VLOOKUP($D99,'Expense Comps'!$D$30:$X$75,11,FALSE)</f>
        <v/>
      </c>
      <c r="L104" s="3619" t="str">
        <f>VLOOKUP($D99,'Expense Comps'!$D$30:$X$75,12,FALSE)</f>
        <v/>
      </c>
      <c r="M104" s="258"/>
      <c r="N104" s="6"/>
      <c r="P104" s="42"/>
    </row>
    <row r="105" spans="1:22" ht="18" hidden="1" customHeight="1" x14ac:dyDescent="0.25">
      <c r="A105" s="957">
        <f t="shared" si="10"/>
        <v>0</v>
      </c>
      <c r="B105" s="174"/>
      <c r="C105" s="258"/>
      <c r="D105" s="258" t="str">
        <f>CONCATENATE('Expense Comps'!$Q$5, " - ",'Expense Comps'!$Q$7," - ",'Expense Comps'!$Q$9," - ",TEXT('Expense Comps'!$Q$10,"mm/yyyy"))</f>
        <v>Expense Comp # 4 -  - 0 - 01/1900</v>
      </c>
      <c r="E105" s="415"/>
      <c r="F105" s="415"/>
      <c r="G105" s="415"/>
      <c r="H105" s="415"/>
      <c r="I105" s="415"/>
      <c r="J105" s="415"/>
      <c r="K105" s="3329" t="str">
        <f>VLOOKUP($D99,'Expense Comps'!$D$30:$X$75,15,FALSE)</f>
        <v/>
      </c>
      <c r="L105" s="3619" t="str">
        <f>VLOOKUP($D99,'Expense Comps'!$D$30:$X$75,16,FALSE)</f>
        <v/>
      </c>
      <c r="M105" s="258"/>
      <c r="N105" s="6"/>
      <c r="P105" s="42"/>
    </row>
    <row r="106" spans="1:22" ht="18" hidden="1" customHeight="1" x14ac:dyDescent="0.25">
      <c r="A106" s="957">
        <f t="shared" si="10"/>
        <v>0</v>
      </c>
      <c r="B106" s="174"/>
      <c r="C106" s="258"/>
      <c r="D106" s="258" t="str">
        <f>CONCATENATE('Expense Comps'!$U$5, " - ",'Expense Comps'!$U$7," - ",'Expense Comps'!$U$9," - ",TEXT('Expense Comps'!$U$10,"mm/yyyy"))</f>
        <v>Expense Comp # 5 -  - 0 - 01/1900</v>
      </c>
      <c r="E106" s="415"/>
      <c r="F106" s="415"/>
      <c r="G106" s="415"/>
      <c r="H106" s="415"/>
      <c r="I106" s="415"/>
      <c r="J106" s="415"/>
      <c r="K106" s="3329" t="str">
        <f>VLOOKUP($D99,'Expense Comps'!$D$30:$X$75,19,FALSE)</f>
        <v/>
      </c>
      <c r="L106" s="3619" t="str">
        <f>VLOOKUP($D99,'Expense Comps'!$D$30:$X$75,20,FALSE)</f>
        <v/>
      </c>
      <c r="M106" s="258"/>
      <c r="N106" s="6"/>
      <c r="P106" s="42"/>
    </row>
    <row r="107" spans="1:22" ht="18" hidden="1" customHeight="1" x14ac:dyDescent="0.25">
      <c r="A107" s="957">
        <f t="shared" si="10"/>
        <v>0</v>
      </c>
      <c r="B107" s="174"/>
      <c r="C107" s="258"/>
      <c r="D107" s="258" t="str">
        <f>CONCATENATE("Subject ",'Income Expense History'!$E$5," - ",TEXT('Income Expense History'!$E$6,"mm/yyyy"))</f>
        <v>Subject 0 - 01/1900</v>
      </c>
      <c r="E107" s="3329"/>
      <c r="F107" s="3399" t="str">
        <f>IFERROR(E107/Income_EGI_Pool1_1,"")</f>
        <v/>
      </c>
      <c r="G107" s="3329"/>
      <c r="H107" s="3399" t="str">
        <f>IFERROR(G107/Income_EGI_Pool2_1,"")</f>
        <v/>
      </c>
      <c r="I107" s="3329"/>
      <c r="J107" s="3399" t="str">
        <f>IFERROR(I107/Income_EGI_Pool3_1,"")</f>
        <v/>
      </c>
      <c r="K107" s="3329" t="str">
        <f>VLOOKUP($D99,'Income Expense History'!$D$30:$S$76,3,FALSE)</f>
        <v/>
      </c>
      <c r="L107" s="3399" t="str">
        <f>VLOOKUP($D99,'Income Expense History'!$D$30:$S$76,4, FALSE)</f>
        <v>N/A</v>
      </c>
      <c r="M107" s="258"/>
      <c r="N107" s="6"/>
      <c r="P107" s="42"/>
    </row>
    <row r="108" spans="1:22" ht="18" hidden="1" customHeight="1" x14ac:dyDescent="0.25">
      <c r="A108" s="957">
        <f t="shared" si="10"/>
        <v>0</v>
      </c>
      <c r="B108" s="174"/>
      <c r="C108" s="258"/>
      <c r="D108" s="258" t="str">
        <f>CONCATENATE("Subject ",'Income Expense History'!$I$5," - ",TEXT('Income Expense History'!$I$6,"mm/yyyy"))</f>
        <v>Subject 0 - 01/1900</v>
      </c>
      <c r="E108" s="3329"/>
      <c r="F108" s="3399" t="str">
        <f>IFERROR(E108/Income_EGI_Pool1_2,"")</f>
        <v/>
      </c>
      <c r="G108" s="3329"/>
      <c r="H108" s="3399" t="str">
        <f>IFERROR(G108/Income_EGI_Pool2_2,"")</f>
        <v/>
      </c>
      <c r="I108" s="3329"/>
      <c r="J108" s="3399" t="str">
        <f>IFERROR(I108/Income_EGI_Pool3_2,"")</f>
        <v/>
      </c>
      <c r="K108" s="3329" t="str">
        <f>VLOOKUP($D99,'Income Expense History'!$D$30:$S$76,7, FALSE)</f>
        <v/>
      </c>
      <c r="L108" s="3399" t="str">
        <f>VLOOKUP($D99,'Income Expense History'!$D$30:$S$76,8, FALSE)</f>
        <v>N/A</v>
      </c>
      <c r="M108" s="258"/>
      <c r="N108" s="6"/>
      <c r="P108" s="42"/>
    </row>
    <row r="109" spans="1:22" ht="18" hidden="1" customHeight="1" x14ac:dyDescent="0.25">
      <c r="A109" s="957">
        <f t="shared" si="10"/>
        <v>0</v>
      </c>
      <c r="B109" s="174"/>
      <c r="C109" s="258"/>
      <c r="D109" s="258" t="str">
        <f>CONCATENATE("Subject ",'Income Expense History'!$M$5," - ",TEXT('Income Expense History'!$M$6,"mm/yyyy"))</f>
        <v>Subject 0 - 01/1900</v>
      </c>
      <c r="E109" s="3329"/>
      <c r="F109" s="3399" t="str">
        <f>IFERROR(E109/Income_EGI_Pool1_3,"")</f>
        <v/>
      </c>
      <c r="G109" s="3329"/>
      <c r="H109" s="3399" t="str">
        <f>IFERROR(G109/Income_EGI_Pool2_3,"")</f>
        <v/>
      </c>
      <c r="I109" s="3329"/>
      <c r="J109" s="3399" t="str">
        <f>IFERROR(I109/Income_EGI_Pool3_3,"")</f>
        <v/>
      </c>
      <c r="K109" s="3329" t="str">
        <f>VLOOKUP($D99,'Income Expense History'!$D$30:$S$76,11, FALSE)</f>
        <v/>
      </c>
      <c r="L109" s="3399" t="str">
        <f>VLOOKUP($D99,'Income Expense History'!$D$30:$S$76,12, FALSE)</f>
        <v>N/A</v>
      </c>
      <c r="M109" s="258"/>
      <c r="N109" s="6"/>
      <c r="P109" s="42"/>
    </row>
    <row r="110" spans="1:22" ht="18" hidden="1" customHeight="1" x14ac:dyDescent="0.25">
      <c r="A110" s="957">
        <f t="shared" si="10"/>
        <v>0</v>
      </c>
      <c r="B110" s="174"/>
      <c r="C110" s="258"/>
      <c r="D110" s="258" t="str">
        <f>CONCATENATE("Subject ",'Income Expense History'!$Q$5," - ",TEXT('Income Expense History'!$Q$6,"mm/yyyy"))</f>
        <v>Subject 0 - 01/1900</v>
      </c>
      <c r="E110" s="3329"/>
      <c r="F110" s="3399" t="str">
        <f>IFERROR(E110/Income_EGI_Pool1_4,"")</f>
        <v/>
      </c>
      <c r="G110" s="3329"/>
      <c r="H110" s="3399" t="str">
        <f>IFERROR(G110/Income_EGI_Pool2_4,"")</f>
        <v/>
      </c>
      <c r="I110" s="3329"/>
      <c r="J110" s="3399" t="str">
        <f>IFERROR(I110/Income_EGI_Pool3_4,"")</f>
        <v/>
      </c>
      <c r="K110" s="3329" t="str">
        <f>VLOOKUP($D99,'Income Expense History'!$D$30:$S$76,15, FALSE)</f>
        <v/>
      </c>
      <c r="L110" s="3399" t="str">
        <f>VLOOKUP($D99,'Income Expense History'!$D$30:$S$76,16, FALSE)</f>
        <v>N/A</v>
      </c>
      <c r="M110" s="258"/>
      <c r="N110" s="6"/>
      <c r="P110" s="42"/>
    </row>
    <row r="111" spans="1:22" s="406" customFormat="1" ht="18" hidden="1" customHeight="1" x14ac:dyDescent="0.25">
      <c r="A111" s="957">
        <f t="shared" si="10"/>
        <v>0</v>
      </c>
      <c r="B111" s="402"/>
      <c r="C111" s="3625"/>
      <c r="D111" s="3629" t="s">
        <v>394</v>
      </c>
      <c r="E111" s="3630" t="e">
        <f t="shared" ref="E111:J111" si="11">AVERAGE(E102:E110)</f>
        <v>#DIV/0!</v>
      </c>
      <c r="F111" s="3632" t="e">
        <f t="shared" si="11"/>
        <v>#DIV/0!</v>
      </c>
      <c r="G111" s="3630" t="e">
        <f t="shared" si="11"/>
        <v>#DIV/0!</v>
      </c>
      <c r="H111" s="3632" t="e">
        <f t="shared" si="11"/>
        <v>#DIV/0!</v>
      </c>
      <c r="I111" s="3630" t="e">
        <f t="shared" si="11"/>
        <v>#DIV/0!</v>
      </c>
      <c r="J111" s="3632" t="e">
        <f t="shared" si="11"/>
        <v>#DIV/0!</v>
      </c>
      <c r="K111" s="3630" t="str">
        <f>IF(ISERR(AVERAGE(K102:K110)),"",AVERAGE(K102:K110))</f>
        <v/>
      </c>
      <c r="L111" s="3631" t="str">
        <f>IF(ISERR(AVERAGE(L102:L110)),"",AVERAGE(L102:L110))</f>
        <v/>
      </c>
      <c r="M111" s="3625"/>
      <c r="N111" s="403"/>
      <c r="O111" s="404"/>
      <c r="P111" s="404"/>
      <c r="Q111" s="2542"/>
      <c r="R111" s="2272"/>
      <c r="S111" s="2272"/>
      <c r="T111" s="2272"/>
      <c r="U111" s="2272"/>
      <c r="V111" s="2272"/>
    </row>
    <row r="112" spans="1:22" s="406" customFormat="1" ht="18" hidden="1" customHeight="1" x14ac:dyDescent="0.25">
      <c r="A112" s="957">
        <f>IF(AND(Income_TechniqueUsed&lt;&gt;"Direct Capitalization",Expense_Utilities_Number&gt;1),1,0)</f>
        <v>0</v>
      </c>
      <c r="B112" s="402"/>
      <c r="C112" s="3625"/>
      <c r="D112" s="3625" t="s">
        <v>393</v>
      </c>
      <c r="E112" s="1677"/>
      <c r="F112" s="3399" t="e">
        <f>E112/Income_EGI_Pool1_1</f>
        <v>#DIV/0!</v>
      </c>
      <c r="G112" s="1677"/>
      <c r="H112" s="3399" t="e">
        <f>G112/Income_EGI_Pool2_1</f>
        <v>#DIV/0!</v>
      </c>
      <c r="I112" s="1677"/>
      <c r="J112" s="3399" t="e">
        <f>I112/Income_EGI_Pool3_1</f>
        <v>#DIV/0!</v>
      </c>
      <c r="K112" s="1677"/>
      <c r="L112" s="1698" t="e">
        <f>dpIncome_Expense_Utilities_Year1*Subject_NRA/VLOOKUP("Effective Gross Revenue",'DCF 1'!$E$8:$I$107,2,FALSE)+0</f>
        <v>#N/A</v>
      </c>
      <c r="M112" s="3625"/>
      <c r="N112" s="403"/>
      <c r="O112" s="404"/>
      <c r="P112" s="404"/>
      <c r="Q112" s="2542"/>
      <c r="R112" s="2272"/>
      <c r="S112" s="2272"/>
      <c r="T112" s="2272"/>
      <c r="U112" s="2272"/>
      <c r="V112" s="2272"/>
    </row>
    <row r="113" spans="1:22" s="406" customFormat="1" ht="18" hidden="1" customHeight="1" x14ac:dyDescent="0.25">
      <c r="A113" s="957">
        <f>IF(AND(Income_TechniqueUsed&lt;&gt;"Direct Capitalization",Expense_Utilities_Number&gt;2),1,0)</f>
        <v>0</v>
      </c>
      <c r="B113" s="402"/>
      <c r="C113" s="3625"/>
      <c r="D113" s="3625" t="s">
        <v>419</v>
      </c>
      <c r="E113" s="1677"/>
      <c r="F113" s="3399" t="e">
        <f>E113/Income_EGI_Pool1_1</f>
        <v>#DIV/0!</v>
      </c>
      <c r="G113" s="1677"/>
      <c r="H113" s="3399" t="e">
        <f>G113/Income_EGI_Pool2_1</f>
        <v>#DIV/0!</v>
      </c>
      <c r="I113" s="1677"/>
      <c r="J113" s="3399" t="e">
        <f>I113/Income_EGI_Pool3_1</f>
        <v>#DIV/0!</v>
      </c>
      <c r="K113" s="1677"/>
      <c r="L113" s="1698" t="e">
        <f>dpIncome_Expense_Utilities_Year2*Subject_NRA/VLOOKUP("Effective Gross Revenue",'DCF 1'!$E$8:$I$107,3,FALSE)+0</f>
        <v>#N/A</v>
      </c>
      <c r="M113" s="3625"/>
      <c r="N113" s="403"/>
      <c r="O113" s="404"/>
      <c r="P113" s="404"/>
      <c r="Q113" s="2542"/>
      <c r="R113" s="2272"/>
      <c r="S113" s="2272"/>
      <c r="T113" s="2272"/>
      <c r="U113" s="2272"/>
      <c r="V113" s="2272"/>
    </row>
    <row r="114" spans="1:22" s="406" customFormat="1" ht="18" hidden="1" customHeight="1" x14ac:dyDescent="0.25">
      <c r="A114" s="957">
        <f>IF(AND(Income_TechniqueUsed&lt;&gt;"Direct Capitalization",Expense_Utilities_Number&gt;3),1,0)</f>
        <v>0</v>
      </c>
      <c r="B114" s="402"/>
      <c r="C114" s="3625"/>
      <c r="D114" s="3625" t="s">
        <v>420</v>
      </c>
      <c r="E114" s="1677"/>
      <c r="F114" s="3399" t="e">
        <f>E114/Income_EGI_Pool1_1</f>
        <v>#DIV/0!</v>
      </c>
      <c r="G114" s="1677"/>
      <c r="H114" s="3399" t="e">
        <f>G114/Income_EGI_Pool2_1</f>
        <v>#DIV/0!</v>
      </c>
      <c r="I114" s="1677"/>
      <c r="J114" s="3399" t="e">
        <f>I114/Income_EGI_Pool3_1</f>
        <v>#DIV/0!</v>
      </c>
      <c r="K114" s="1677"/>
      <c r="L114" s="1698" t="e">
        <f>dpIncome_Expense_Utilities_Year3*Subject_NRA/VLOOKUP("Effective Gross Revenue",'DCF 1'!$E$8:$I$107,4,FALSE)+0</f>
        <v>#N/A</v>
      </c>
      <c r="M114" s="3625"/>
      <c r="N114" s="403"/>
      <c r="O114" s="404"/>
      <c r="P114" s="404"/>
      <c r="Q114" s="2542"/>
      <c r="R114" s="2272"/>
      <c r="S114" s="2272"/>
      <c r="T114" s="2272"/>
      <c r="U114" s="2272"/>
      <c r="V114" s="2272"/>
    </row>
    <row r="115" spans="1:22" s="406" customFormat="1" ht="18" hidden="1" customHeight="1" thickBot="1" x14ac:dyDescent="0.3">
      <c r="A115" s="957">
        <f>IF(OR(Expense_Utilities_Reimb=1,Expense_Utilities_NonReimb=1),1,0)</f>
        <v>0</v>
      </c>
      <c r="B115" s="402"/>
      <c r="C115" s="3625"/>
      <c r="D115" s="3628" t="str">
        <f>IF(P99="Year 1 Only","Year 1 Estimate:","Stabilized Estimate:")</f>
        <v>Stabilized Estimate:</v>
      </c>
      <c r="E115" s="1678"/>
      <c r="F115" s="3633" t="e">
        <f>E115/Income_EGI_Pool1_1</f>
        <v>#DIV/0!</v>
      </c>
      <c r="G115" s="1678"/>
      <c r="H115" s="3633" t="e">
        <f>G115/Income_EGI_Pool2_1</f>
        <v>#DIV/0!</v>
      </c>
      <c r="I115" s="1678"/>
      <c r="J115" s="3633" t="e">
        <f>I115/Income_EGI_Pool3_1</f>
        <v>#DIV/0!</v>
      </c>
      <c r="K115" s="1678"/>
      <c r="L115" s="1699">
        <f ca="1">IF(P99="Stabilized Only",dpIncome_Expense_Utilities_Stabilized*Subject_NRA/dpIncome_DirectCap_EGI,dpIncome_Expense_Utilities_Stabilized*Subject_NRA/VLOOKUP("Effective Gross Revenue",'DCF 1'!$E$8:$I$107,2,FALSE)+0)</f>
        <v>0</v>
      </c>
      <c r="M115" s="3625"/>
      <c r="N115" s="403"/>
      <c r="O115" s="404"/>
      <c r="P115" s="404"/>
      <c r="Q115" s="2542"/>
      <c r="R115" s="2272"/>
      <c r="S115" s="2272"/>
      <c r="T115" s="2272"/>
      <c r="U115" s="2272"/>
      <c r="V115" s="2272"/>
    </row>
    <row r="116" spans="1:22" ht="15.95" hidden="1" customHeight="1" thickBot="1" x14ac:dyDescent="0.3">
      <c r="A116" s="957">
        <f>IF(OR(Expense_Utilities_Reimb=1,Expense_Utilities_NonReimb=1),1,0)</f>
        <v>0</v>
      </c>
      <c r="B116" s="174"/>
      <c r="C116" s="5"/>
      <c r="D116" s="43" t="s">
        <v>905</v>
      </c>
      <c r="E116" s="804"/>
      <c r="F116" s="804"/>
      <c r="G116" s="804"/>
      <c r="H116" s="804"/>
      <c r="I116" s="804"/>
      <c r="J116" s="804"/>
      <c r="K116" s="19"/>
      <c r="L116" s="19"/>
      <c r="M116" s="5"/>
      <c r="N116" s="6"/>
      <c r="P116" s="42"/>
    </row>
    <row r="117" spans="1:22" ht="17.25" thickBot="1" x14ac:dyDescent="0.35">
      <c r="A117" s="957">
        <f>IF(OR(Expense_RepairsMaintenance_Reimb=1,Expense_RepairsMaintenance_NonReimb=1),1,0)</f>
        <v>1</v>
      </c>
      <c r="B117" s="174"/>
      <c r="C117" s="246"/>
      <c r="D117" s="246" t="str">
        <f>dpIncome_ExpenseCat_7</f>
        <v>Repairs &amp; Maintenance</v>
      </c>
      <c r="E117" s="4299"/>
      <c r="F117" s="4299"/>
      <c r="G117" s="804"/>
      <c r="H117" s="804"/>
      <c r="I117" s="804"/>
      <c r="J117" s="804"/>
      <c r="K117" s="804"/>
      <c r="L117" s="804"/>
      <c r="M117" s="52"/>
      <c r="N117" s="6"/>
      <c r="P117" s="235" t="s">
        <v>430</v>
      </c>
    </row>
    <row r="118" spans="1:22" ht="15.95" hidden="1" customHeight="1" x14ac:dyDescent="0.25">
      <c r="A118" s="957">
        <f>IF(OR(Expense_RepairsMaintenance_Reimb=1,Expense_RepairsMaintenance_NonReimb=1),IF(Main_ExpensePool_Count&gt;1,1,0),0)</f>
        <v>0</v>
      </c>
      <c r="B118" s="174"/>
      <c r="C118" s="12"/>
      <c r="D118" s="12"/>
      <c r="E118" s="4090" t="str">
        <f>$E$10</f>
        <v>Expense Pool 1</v>
      </c>
      <c r="F118" s="4090"/>
      <c r="G118" s="4090" t="str">
        <f>$G$10</f>
        <v>Expense Pool 2</v>
      </c>
      <c r="H118" s="4090"/>
      <c r="I118" s="4090" t="str">
        <f>$I$10</f>
        <v>Expense Pool 3</v>
      </c>
      <c r="J118" s="4090"/>
      <c r="K118" s="4164" t="str">
        <f>$K$10</f>
        <v>Total Expense</v>
      </c>
      <c r="L118" s="4164"/>
      <c r="N118" s="6"/>
      <c r="P118" s="707"/>
    </row>
    <row r="119" spans="1:22" ht="15.95" customHeight="1" x14ac:dyDescent="0.25">
      <c r="A119" s="957">
        <f>IF(OR(Expense_RepairsMaintenance_Reimb=1,Expense_RepairsMaintenance_NonReimb=1),1,0)</f>
        <v>1</v>
      </c>
      <c r="B119" s="174"/>
      <c r="C119" s="12"/>
      <c r="D119" s="12" t="s">
        <v>1577</v>
      </c>
      <c r="E119" s="55" t="s">
        <v>390</v>
      </c>
      <c r="F119" s="55" t="s">
        <v>391</v>
      </c>
      <c r="G119" s="55" t="s">
        <v>390</v>
      </c>
      <c r="H119" s="55" t="s">
        <v>391</v>
      </c>
      <c r="I119" s="55" t="s">
        <v>390</v>
      </c>
      <c r="J119" s="55" t="s">
        <v>391</v>
      </c>
      <c r="K119" s="55" t="s">
        <v>390</v>
      </c>
      <c r="L119" s="55" t="s">
        <v>391</v>
      </c>
      <c r="N119" s="6"/>
      <c r="P119" s="707"/>
    </row>
    <row r="120" spans="1:22" ht="18" hidden="1" customHeight="1" x14ac:dyDescent="0.25">
      <c r="A120" s="957">
        <f t="shared" ref="A120:A129" si="12">IF(OR(Expense_RepairsMaintenance_Reimb=1,Expense_RepairsMaintenance_NonReimb=1),IF(K120="",0,1),0)</f>
        <v>0</v>
      </c>
      <c r="B120" s="174"/>
      <c r="C120" s="258"/>
      <c r="D120" s="258" t="str">
        <f>CONCATENATE('Expense Comps'!$E$5, " - ",'Expense Comps'!$E$7," - ",'Expense Comps'!$E$9," - ",TEXT('Expense Comps'!$E$10,"mm/yyyy"))</f>
        <v>Expense Comp # 1 -  - 0 - 01/1900</v>
      </c>
      <c r="E120" s="415"/>
      <c r="F120" s="415"/>
      <c r="G120" s="415"/>
      <c r="H120" s="415"/>
      <c r="I120" s="415"/>
      <c r="J120" s="415"/>
      <c r="K120" s="3329" t="str">
        <f>VLOOKUP($D117,'Expense Comps'!$D$37:$X$75,3,FALSE)</f>
        <v/>
      </c>
      <c r="L120" s="3619" t="str">
        <f>VLOOKUP($D117,'Expense Comps'!$D$37:$X$75,4,FALSE)</f>
        <v/>
      </c>
      <c r="M120" s="258"/>
      <c r="N120" s="6"/>
      <c r="P120" s="664">
        <f>IF(Expense_RepairsMaintenance_Reimb,dpIncome_Expense_RM_Stabilized,0)</f>
        <v>1</v>
      </c>
    </row>
    <row r="121" spans="1:22" ht="18" hidden="1" customHeight="1" x14ac:dyDescent="0.25">
      <c r="A121" s="957">
        <f t="shared" si="12"/>
        <v>0</v>
      </c>
      <c r="B121" s="174"/>
      <c r="C121" s="258"/>
      <c r="D121" s="258" t="str">
        <f>CONCATENATE('Expense Comps'!$I$5, " - ",'Expense Comps'!$I$7," - ",'Expense Comps'!$I$9," - ",TEXT('Expense Comps'!$I$10,"mm/yyyy"))</f>
        <v>Expense Comp # 2 -  - 0 - 01/1900</v>
      </c>
      <c r="E121" s="415"/>
      <c r="F121" s="415"/>
      <c r="G121" s="415"/>
      <c r="H121" s="415"/>
      <c r="I121" s="415"/>
      <c r="J121" s="415"/>
      <c r="K121" s="3329" t="str">
        <f>VLOOKUP($D117,'Expense Comps'!$D$37:$X$75,7,FALSE)</f>
        <v/>
      </c>
      <c r="L121" s="3619" t="str">
        <f>VLOOKUP($D117,'Expense Comps'!$D$37:$X$75,8,FALSE)</f>
        <v/>
      </c>
      <c r="M121" s="258"/>
      <c r="N121" s="6"/>
      <c r="P121" s="42"/>
    </row>
    <row r="122" spans="1:22" ht="18" hidden="1" customHeight="1" x14ac:dyDescent="0.25">
      <c r="A122" s="957">
        <f t="shared" si="12"/>
        <v>0</v>
      </c>
      <c r="B122" s="174"/>
      <c r="C122" s="258"/>
      <c r="D122" s="258" t="str">
        <f>CONCATENATE('Expense Comps'!$M$5, " - ",'Expense Comps'!$M$7," - ",'Expense Comps'!$M$9," - ",TEXT('Expense Comps'!$M$10,"mm/yyyy"))</f>
        <v>Expense Comp # 3 -  - 0 - 01/1900</v>
      </c>
      <c r="E122" s="415"/>
      <c r="F122" s="415"/>
      <c r="G122" s="415"/>
      <c r="H122" s="415"/>
      <c r="I122" s="415"/>
      <c r="J122" s="415"/>
      <c r="K122" s="3329" t="str">
        <f>VLOOKUP($D117,'Expense Comps'!$D$37:$X$75,11,FALSE)</f>
        <v/>
      </c>
      <c r="L122" s="3619" t="str">
        <f>VLOOKUP($D117,'Expense Comps'!$D$37:$X$75,12,FALSE)</f>
        <v/>
      </c>
      <c r="M122" s="258"/>
      <c r="N122" s="6"/>
      <c r="P122" s="42"/>
    </row>
    <row r="123" spans="1:22" ht="18" hidden="1" customHeight="1" x14ac:dyDescent="0.25">
      <c r="A123" s="957">
        <f t="shared" si="12"/>
        <v>0</v>
      </c>
      <c r="B123" s="174"/>
      <c r="C123" s="258"/>
      <c r="D123" s="258" t="str">
        <f>CONCATENATE('Expense Comps'!$Q$5, " - ",'Expense Comps'!$Q$7," - ",'Expense Comps'!$Q$9," - ",TEXT('Expense Comps'!$Q$10,"mm/yyyy"))</f>
        <v>Expense Comp # 4 -  - 0 - 01/1900</v>
      </c>
      <c r="E123" s="415"/>
      <c r="F123" s="415"/>
      <c r="G123" s="415"/>
      <c r="H123" s="415"/>
      <c r="I123" s="415"/>
      <c r="J123" s="415"/>
      <c r="K123" s="3329" t="str">
        <f>VLOOKUP($D117,'Expense Comps'!$D$37:$X$75,15,FALSE)</f>
        <v/>
      </c>
      <c r="L123" s="3619" t="str">
        <f>VLOOKUP($D117,'Expense Comps'!$D$37:$X$75,16,FALSE)</f>
        <v/>
      </c>
      <c r="M123" s="258"/>
      <c r="N123" s="6"/>
      <c r="P123" s="42"/>
    </row>
    <row r="124" spans="1:22" ht="18" hidden="1" customHeight="1" x14ac:dyDescent="0.25">
      <c r="A124" s="957">
        <f t="shared" si="12"/>
        <v>0</v>
      </c>
      <c r="B124" s="174"/>
      <c r="C124" s="258"/>
      <c r="D124" s="258" t="str">
        <f>CONCATENATE('Expense Comps'!$U$5, " - ",'Expense Comps'!$U$7," - ",'Expense Comps'!$U$9," - ",TEXT('Expense Comps'!$U$10,"mm/yyyy"))</f>
        <v>Expense Comp # 5 -  - 0 - 01/1900</v>
      </c>
      <c r="E124" s="415"/>
      <c r="F124" s="415"/>
      <c r="G124" s="415"/>
      <c r="H124" s="415"/>
      <c r="I124" s="415"/>
      <c r="J124" s="415"/>
      <c r="K124" s="3329" t="str">
        <f>VLOOKUP($D117,'Expense Comps'!$D$37:$X$75,19,FALSE)</f>
        <v/>
      </c>
      <c r="L124" s="3619" t="str">
        <f>VLOOKUP($D117,'Expense Comps'!$D$37:$X$75,20,FALSE)</f>
        <v/>
      </c>
      <c r="M124" s="258"/>
      <c r="N124" s="6"/>
      <c r="P124" s="42"/>
    </row>
    <row r="125" spans="1:22" ht="18" hidden="1" customHeight="1" x14ac:dyDescent="0.25">
      <c r="A125" s="957">
        <f t="shared" si="12"/>
        <v>0</v>
      </c>
      <c r="B125" s="174"/>
      <c r="C125" s="258"/>
      <c r="D125" s="258" t="str">
        <f>CONCATENATE("Subject ",'Income Expense History'!$E$5," - ",TEXT('Income Expense History'!$E$6,"mm/yyyy"))</f>
        <v>Subject 0 - 01/1900</v>
      </c>
      <c r="E125" s="3329"/>
      <c r="F125" s="3399" t="str">
        <f>IFERROR(E125/Income_EGI_Pool1_1,"")</f>
        <v/>
      </c>
      <c r="G125" s="3329"/>
      <c r="H125" s="3399" t="str">
        <f>IFERROR(G125/Income_EGI_Pool2_1,"")</f>
        <v/>
      </c>
      <c r="I125" s="3329"/>
      <c r="J125" s="3399" t="str">
        <f>IFERROR(I125/Income_EGI_Pool3_1,"")</f>
        <v/>
      </c>
      <c r="K125" s="3329" t="str">
        <f>VLOOKUP($D117,'Income Expense History'!$D$37:$S$76,3,FALSE)</f>
        <v/>
      </c>
      <c r="L125" s="3399" t="str">
        <f>VLOOKUP($D117,'Income Expense History'!$D$37:$S$76,4, FALSE)</f>
        <v>N/A</v>
      </c>
      <c r="M125" s="258"/>
      <c r="N125" s="6"/>
      <c r="P125" s="42"/>
    </row>
    <row r="126" spans="1:22" ht="18" hidden="1" customHeight="1" x14ac:dyDescent="0.25">
      <c r="A126" s="957">
        <f t="shared" si="12"/>
        <v>0</v>
      </c>
      <c r="B126" s="174"/>
      <c r="C126" s="258"/>
      <c r="D126" s="258" t="str">
        <f>CONCATENATE("Subject ",'Income Expense History'!$I$5," - ",TEXT('Income Expense History'!$I$6,"mm/yyyy"))</f>
        <v>Subject 0 - 01/1900</v>
      </c>
      <c r="E126" s="3329"/>
      <c r="F126" s="3399" t="str">
        <f>IFERROR(E126/Income_EGI_Pool1_2,"")</f>
        <v/>
      </c>
      <c r="G126" s="3329"/>
      <c r="H126" s="3399" t="str">
        <f>IFERROR(G126/Income_EGI_Pool2_2,"")</f>
        <v/>
      </c>
      <c r="I126" s="3329"/>
      <c r="J126" s="3399" t="str">
        <f>IFERROR(I126/Income_EGI_Pool3_2,"")</f>
        <v/>
      </c>
      <c r="K126" s="3329" t="str">
        <f>VLOOKUP($D117,'Income Expense History'!$D$37:$S$76,7, FALSE)</f>
        <v/>
      </c>
      <c r="L126" s="3399" t="str">
        <f>VLOOKUP($D117,'Income Expense History'!$D$37:$S$76,8, FALSE)</f>
        <v>N/A</v>
      </c>
      <c r="M126" s="258"/>
      <c r="N126" s="6"/>
      <c r="P126" s="42"/>
    </row>
    <row r="127" spans="1:22" ht="18" hidden="1" customHeight="1" x14ac:dyDescent="0.25">
      <c r="A127" s="957">
        <f t="shared" si="12"/>
        <v>0</v>
      </c>
      <c r="B127" s="174"/>
      <c r="C127" s="258"/>
      <c r="D127" s="258" t="str">
        <f>CONCATENATE("Subject ",'Income Expense History'!$M$5," - ",TEXT('Income Expense History'!$M$6,"mm/yyyy"))</f>
        <v>Subject 0 - 01/1900</v>
      </c>
      <c r="E127" s="3329"/>
      <c r="F127" s="3399" t="str">
        <f>IFERROR(E127/Income_EGI_Pool1_3,"")</f>
        <v/>
      </c>
      <c r="G127" s="3329"/>
      <c r="H127" s="3399" t="str">
        <f>IFERROR(G127/Income_EGI_Pool2_3,"")</f>
        <v/>
      </c>
      <c r="I127" s="3329"/>
      <c r="J127" s="3399" t="str">
        <f>IFERROR(I127/Income_EGI_Pool3_3,"")</f>
        <v/>
      </c>
      <c r="K127" s="3329" t="str">
        <f>VLOOKUP($D117,'Income Expense History'!$D$37:$S$76,11, FALSE)</f>
        <v/>
      </c>
      <c r="L127" s="3399" t="str">
        <f>VLOOKUP($D117,'Income Expense History'!$D$37:$S$76,12, FALSE)</f>
        <v>N/A</v>
      </c>
      <c r="M127" s="258"/>
      <c r="N127" s="6"/>
      <c r="P127" s="42"/>
    </row>
    <row r="128" spans="1:22" ht="18" hidden="1" customHeight="1" x14ac:dyDescent="0.25">
      <c r="A128" s="957">
        <f t="shared" si="12"/>
        <v>0</v>
      </c>
      <c r="B128" s="174"/>
      <c r="C128" s="258"/>
      <c r="D128" s="258" t="str">
        <f>CONCATENATE("Subject ",'Income Expense History'!$Q$5," - ",TEXT('Income Expense History'!$Q$6,"mm/yyyy"))</f>
        <v>Subject 0 - 01/1900</v>
      </c>
      <c r="E128" s="3329"/>
      <c r="F128" s="3399" t="str">
        <f>IFERROR(E128/Income_EGI_Pool1_4,"")</f>
        <v/>
      </c>
      <c r="G128" s="3329"/>
      <c r="H128" s="3399" t="str">
        <f>IFERROR(G128/Income_EGI_Pool2_4,"")</f>
        <v/>
      </c>
      <c r="I128" s="3329"/>
      <c r="J128" s="3399" t="str">
        <f>IFERROR(I128/Income_EGI_Pool3_4,"")</f>
        <v/>
      </c>
      <c r="K128" s="3329" t="str">
        <f>VLOOKUP($D117,'Income Expense History'!$D$37:$S$76,15, FALSE)</f>
        <v/>
      </c>
      <c r="L128" s="3399" t="str">
        <f>VLOOKUP($D117,'Income Expense History'!$D$37:$S$76,16, FALSE)</f>
        <v>N/A</v>
      </c>
      <c r="M128" s="258"/>
      <c r="N128" s="6"/>
      <c r="P128" s="42"/>
    </row>
    <row r="129" spans="1:22" s="406" customFormat="1" ht="18" hidden="1" customHeight="1" x14ac:dyDescent="0.25">
      <c r="A129" s="957">
        <f t="shared" si="12"/>
        <v>0</v>
      </c>
      <c r="B129" s="402"/>
      <c r="C129" s="3625"/>
      <c r="D129" s="3629" t="s">
        <v>394</v>
      </c>
      <c r="E129" s="3630" t="e">
        <f t="shared" ref="E129:J129" si="13">AVERAGE(E120:E128)</f>
        <v>#DIV/0!</v>
      </c>
      <c r="F129" s="3632" t="e">
        <f t="shared" si="13"/>
        <v>#DIV/0!</v>
      </c>
      <c r="G129" s="3630" t="e">
        <f t="shared" si="13"/>
        <v>#DIV/0!</v>
      </c>
      <c r="H129" s="3632" t="e">
        <f t="shared" si="13"/>
        <v>#DIV/0!</v>
      </c>
      <c r="I129" s="3630" t="e">
        <f t="shared" si="13"/>
        <v>#DIV/0!</v>
      </c>
      <c r="J129" s="3632" t="e">
        <f t="shared" si="13"/>
        <v>#DIV/0!</v>
      </c>
      <c r="K129" s="3630" t="str">
        <f>IF(ISERR(AVERAGE(K120:K128)),"",AVERAGE(K120:K128))</f>
        <v/>
      </c>
      <c r="L129" s="3631" t="str">
        <f>IF(ISERR(AVERAGE(L120:L128)),"",AVERAGE(L120:L128))</f>
        <v/>
      </c>
      <c r="M129" s="3625"/>
      <c r="N129" s="403"/>
      <c r="O129" s="404"/>
      <c r="P129" s="404"/>
      <c r="Q129" s="2542"/>
      <c r="R129" s="2272"/>
      <c r="S129" s="2272"/>
      <c r="T129" s="2272"/>
      <c r="U129" s="2272"/>
      <c r="V129" s="2272"/>
    </row>
    <row r="130" spans="1:22" s="406" customFormat="1" ht="18" hidden="1" customHeight="1" x14ac:dyDescent="0.25">
      <c r="A130" s="957">
        <f>IF(AND(Income_TechniqueUsed&lt;&gt;"Direct Capitalization",Expense_RepairsMaintenance_Number&gt;1),1,0)</f>
        <v>0</v>
      </c>
      <c r="B130" s="402"/>
      <c r="C130" s="3625"/>
      <c r="D130" s="3625" t="s">
        <v>393</v>
      </c>
      <c r="E130" s="1677"/>
      <c r="F130" s="3399" t="e">
        <f>E130/Income_EGI_Pool1_1</f>
        <v>#DIV/0!</v>
      </c>
      <c r="G130" s="1677"/>
      <c r="H130" s="3399" t="e">
        <f>G130/Income_EGI_Pool2_1</f>
        <v>#DIV/0!</v>
      </c>
      <c r="I130" s="1677"/>
      <c r="J130" s="3399" t="e">
        <f>I130/Income_EGI_Pool3_1</f>
        <v>#DIV/0!</v>
      </c>
      <c r="K130" s="1677"/>
      <c r="L130" s="1698" t="e">
        <f>dpIncome_Expense_RM_Year1*Subject_NRA/VLOOKUP("Effective Gross Revenue",'DCF 1'!$E$8:$I$107,2,FALSE)+0</f>
        <v>#N/A</v>
      </c>
      <c r="M130" s="3625"/>
      <c r="N130" s="403"/>
      <c r="O130" s="404"/>
      <c r="P130" s="404"/>
      <c r="Q130" s="2542"/>
      <c r="R130" s="2272"/>
      <c r="S130" s="2272"/>
      <c r="T130" s="2272"/>
      <c r="U130" s="2272"/>
      <c r="V130" s="2272"/>
    </row>
    <row r="131" spans="1:22" s="406" customFormat="1" ht="18" hidden="1" customHeight="1" x14ac:dyDescent="0.25">
      <c r="A131" s="957">
        <f>IF(AND(Income_TechniqueUsed&lt;&gt;"Direct Capitalization",Expense_RepairsMaintenance_Number&gt;2),1,0)</f>
        <v>0</v>
      </c>
      <c r="B131" s="402"/>
      <c r="C131" s="3625"/>
      <c r="D131" s="3625" t="s">
        <v>419</v>
      </c>
      <c r="E131" s="1677"/>
      <c r="F131" s="3399" t="e">
        <f>E131/Income_EGI_Pool1_1</f>
        <v>#DIV/0!</v>
      </c>
      <c r="G131" s="1677"/>
      <c r="H131" s="3399" t="e">
        <f>G131/Income_EGI_Pool2_1</f>
        <v>#DIV/0!</v>
      </c>
      <c r="I131" s="1677"/>
      <c r="J131" s="3399" t="e">
        <f>I131/Income_EGI_Pool3_1</f>
        <v>#DIV/0!</v>
      </c>
      <c r="K131" s="1677"/>
      <c r="L131" s="1698" t="e">
        <f>dpIncome_Expense_RM_Year2*Subject_NRA/VLOOKUP("Effective Gross Revenue",'DCF 1'!$E$8:$I$107,3,FALSE)+0</f>
        <v>#N/A</v>
      </c>
      <c r="M131" s="3625"/>
      <c r="N131" s="403"/>
      <c r="O131" s="404"/>
      <c r="P131" s="404"/>
      <c r="Q131" s="2542"/>
      <c r="R131" s="2272"/>
      <c r="S131" s="2272"/>
      <c r="T131" s="2272"/>
      <c r="U131" s="2272"/>
      <c r="V131" s="2272"/>
    </row>
    <row r="132" spans="1:22" s="406" customFormat="1" ht="18" hidden="1" customHeight="1" x14ac:dyDescent="0.25">
      <c r="A132" s="957">
        <f>IF(AND(Income_TechniqueUsed&lt;&gt;"Direct Capitalization",Expense_RepairsMaintenance_Number&gt;3),1,0)</f>
        <v>0</v>
      </c>
      <c r="B132" s="402"/>
      <c r="C132" s="3625"/>
      <c r="D132" s="3625" t="s">
        <v>420</v>
      </c>
      <c r="E132" s="1677"/>
      <c r="F132" s="3399" t="e">
        <f>E132/Income_EGI_Pool1_1</f>
        <v>#DIV/0!</v>
      </c>
      <c r="G132" s="1677"/>
      <c r="H132" s="3399" t="e">
        <f>G132/Income_EGI_Pool2_1</f>
        <v>#DIV/0!</v>
      </c>
      <c r="I132" s="1677"/>
      <c r="J132" s="3399" t="e">
        <f>I132/Income_EGI_Pool3_1</f>
        <v>#DIV/0!</v>
      </c>
      <c r="K132" s="1677"/>
      <c r="L132" s="1698" t="e">
        <f>dpIncome_Expense_RM_Year3*Subject_NRA/VLOOKUP("Effective Gross Revenue",'DCF 1'!$E$8:$I$107,4,FALSE)+0</f>
        <v>#N/A</v>
      </c>
      <c r="M132" s="3625"/>
      <c r="N132" s="403"/>
      <c r="O132" s="404"/>
      <c r="P132" s="404"/>
      <c r="Q132" s="2542"/>
      <c r="R132" s="2272"/>
      <c r="S132" s="2272"/>
      <c r="T132" s="2272"/>
      <c r="U132" s="2272"/>
      <c r="V132" s="2272"/>
    </row>
    <row r="133" spans="1:22" s="406" customFormat="1" ht="18" customHeight="1" thickBot="1" x14ac:dyDescent="0.3">
      <c r="A133" s="957">
        <f>IF(OR(Expense_RepairsMaintenance_Reimb=1,Expense_RepairsMaintenance_NonReimb=1),1,0)</f>
        <v>1</v>
      </c>
      <c r="B133" s="402"/>
      <c r="C133" s="3625"/>
      <c r="D133" s="3628" t="str">
        <f>IF(P117="Year 1 Only","Year 1 Estimate:","Stabilized Estimate:")</f>
        <v>Stabilized Estimate:</v>
      </c>
      <c r="E133" s="1678"/>
      <c r="F133" s="3633" t="e">
        <f>E133/Income_EGI_Pool1_1</f>
        <v>#DIV/0!</v>
      </c>
      <c r="G133" s="1678"/>
      <c r="H133" s="3633" t="e">
        <f>G133/Income_EGI_Pool2_1</f>
        <v>#DIV/0!</v>
      </c>
      <c r="I133" s="1678"/>
      <c r="J133" s="3633" t="e">
        <f>I133/Income_EGI_Pool3_1</f>
        <v>#DIV/0!</v>
      </c>
      <c r="K133" s="1678">
        <v>1</v>
      </c>
      <c r="L133" s="1699">
        <f ca="1">IF(P117="Stabilized Only",dpIncome_Expense_RM_Stabilized*Subject_NRA/dpIncome_DirectCap_EGI,dpIncome_Expense_RM_Stabilized*Subject_NRA/VLOOKUP("Effective Gross Revenue",'DCF 1'!$E$8:$I$107,2,FALSE)+0)</f>
        <v>0.59103647787370606</v>
      </c>
      <c r="M133" s="3625"/>
      <c r="N133" s="403"/>
      <c r="O133" s="404"/>
      <c r="P133" s="404"/>
      <c r="Q133" s="2542"/>
      <c r="R133" s="2272"/>
      <c r="S133" s="2272"/>
      <c r="T133" s="2272"/>
      <c r="U133" s="2272"/>
      <c r="V133" s="2272"/>
    </row>
    <row r="134" spans="1:22" ht="15.95" customHeight="1" thickBot="1" x14ac:dyDescent="0.3">
      <c r="A134" s="957">
        <f>IF(OR(Expense_RepairsMaintenance_Reimb=1,Expense_RepairsMaintenance_NonReimb=1),1,0)</f>
        <v>1</v>
      </c>
      <c r="B134" s="174"/>
      <c r="C134" s="5"/>
      <c r="D134" s="43" t="s">
        <v>906</v>
      </c>
      <c r="E134" s="804"/>
      <c r="F134" s="804"/>
      <c r="G134" s="804"/>
      <c r="H134" s="804"/>
      <c r="I134" s="804"/>
      <c r="J134" s="804"/>
      <c r="K134" s="19"/>
      <c r="L134" s="19"/>
      <c r="M134" s="5"/>
      <c r="N134" s="6"/>
      <c r="P134" s="42"/>
    </row>
    <row r="135" spans="1:22" ht="17.25" hidden="1" thickBot="1" x14ac:dyDescent="0.35">
      <c r="A135" s="957">
        <f>IF(OR(Expense_CAM_Reimb=1,Expense_CAM_NonReimb=1),1,0)</f>
        <v>0</v>
      </c>
      <c r="B135" s="174"/>
      <c r="C135" s="246"/>
      <c r="D135" s="246" t="str">
        <f>dpIncome_ExpenseCat_8</f>
        <v>Common Area Maintenance</v>
      </c>
      <c r="E135" s="4299"/>
      <c r="F135" s="4299"/>
      <c r="G135" s="804"/>
      <c r="H135" s="804"/>
      <c r="I135" s="804"/>
      <c r="J135" s="804"/>
      <c r="K135" s="804"/>
      <c r="L135" s="804"/>
      <c r="M135" s="52"/>
      <c r="N135" s="6"/>
      <c r="P135" s="235" t="s">
        <v>430</v>
      </c>
    </row>
    <row r="136" spans="1:22" ht="15.95" hidden="1" customHeight="1" x14ac:dyDescent="0.25">
      <c r="A136" s="957">
        <f>IF(OR(Expense_CAM_Reimb=1,Expense_CAM_NonReimb=1),IF(Main_ExpensePool_Count&gt;1,1,0),0)</f>
        <v>0</v>
      </c>
      <c r="B136" s="174"/>
      <c r="C136" s="12"/>
      <c r="D136" s="12"/>
      <c r="E136" s="4090" t="str">
        <f>$E$10</f>
        <v>Expense Pool 1</v>
      </c>
      <c r="F136" s="4090"/>
      <c r="G136" s="4090" t="str">
        <f>$G$10</f>
        <v>Expense Pool 2</v>
      </c>
      <c r="H136" s="4090"/>
      <c r="I136" s="4090" t="str">
        <f>$I$10</f>
        <v>Expense Pool 3</v>
      </c>
      <c r="J136" s="4090"/>
      <c r="K136" s="4164" t="str">
        <f>$K$10</f>
        <v>Total Expense</v>
      </c>
      <c r="L136" s="4164"/>
      <c r="N136" s="6"/>
      <c r="P136" s="707"/>
    </row>
    <row r="137" spans="1:22" ht="15.95" hidden="1" customHeight="1" x14ac:dyDescent="0.25">
      <c r="A137" s="957">
        <f>IF(OR(Expense_CAM_Reimb=1,Expense_CAM_NonReimb=1),1,0)</f>
        <v>0</v>
      </c>
      <c r="B137" s="174"/>
      <c r="C137" s="12"/>
      <c r="D137" s="12" t="s">
        <v>1577</v>
      </c>
      <c r="E137" s="55" t="s">
        <v>390</v>
      </c>
      <c r="F137" s="55" t="s">
        <v>391</v>
      </c>
      <c r="G137" s="55" t="s">
        <v>390</v>
      </c>
      <c r="H137" s="55" t="s">
        <v>391</v>
      </c>
      <c r="I137" s="55" t="s">
        <v>390</v>
      </c>
      <c r="J137" s="55" t="s">
        <v>391</v>
      </c>
      <c r="K137" s="55" t="s">
        <v>390</v>
      </c>
      <c r="L137" s="55" t="s">
        <v>391</v>
      </c>
      <c r="N137" s="6"/>
      <c r="P137" s="707"/>
    </row>
    <row r="138" spans="1:22" ht="18" hidden="1" customHeight="1" x14ac:dyDescent="0.25">
      <c r="A138" s="957">
        <f t="shared" ref="A138:A147" si="14">IF(OR(Expense_CAM_Reimb=1,Expense_CAM_NonReimb=1),IF(K138="",0,1),0)</f>
        <v>0</v>
      </c>
      <c r="B138" s="174"/>
      <c r="C138" s="258"/>
      <c r="D138" s="258" t="str">
        <f>CONCATENATE('Expense Comps'!$E$5, " - ",'Expense Comps'!$E$7," - ",'Expense Comps'!$E$9," - ",TEXT('Expense Comps'!$E$10,"mm/yyyy"))</f>
        <v>Expense Comp # 1 -  - 0 - 01/1900</v>
      </c>
      <c r="E138" s="415"/>
      <c r="F138" s="415"/>
      <c r="G138" s="415"/>
      <c r="H138" s="415"/>
      <c r="I138" s="415"/>
      <c r="J138" s="415"/>
      <c r="K138" s="3634" t="str">
        <f>VLOOKUP($D135,'Expense Comps'!$D$45:$X$75,3,FALSE)</f>
        <v/>
      </c>
      <c r="L138" s="3635" t="str">
        <f>VLOOKUP($D135,'Expense Comps'!$D$45:$X$75,4,FALSE)</f>
        <v/>
      </c>
      <c r="M138" s="258"/>
      <c r="N138" s="6"/>
      <c r="P138" s="664">
        <f>IF(Expense_CAM_Reimb,dpIncome_Expense_CAM_Stabilized,0)</f>
        <v>0</v>
      </c>
    </row>
    <row r="139" spans="1:22" ht="18" hidden="1" customHeight="1" x14ac:dyDescent="0.25">
      <c r="A139" s="957">
        <f t="shared" si="14"/>
        <v>0</v>
      </c>
      <c r="B139" s="174"/>
      <c r="C139" s="258"/>
      <c r="D139" s="258" t="str">
        <f>CONCATENATE('Expense Comps'!$I$5, " - ",'Expense Comps'!$I$7," - ",'Expense Comps'!$I$9," - ",TEXT('Expense Comps'!$I$10,"mm/yyyy"))</f>
        <v>Expense Comp # 2 -  - 0 - 01/1900</v>
      </c>
      <c r="E139" s="415"/>
      <c r="F139" s="415"/>
      <c r="G139" s="415"/>
      <c r="H139" s="415"/>
      <c r="I139" s="415"/>
      <c r="J139" s="415"/>
      <c r="K139" s="3634" t="str">
        <f>VLOOKUP($D135,'Expense Comps'!$D$45:$X$75,7,FALSE)</f>
        <v/>
      </c>
      <c r="L139" s="3635" t="str">
        <f>VLOOKUP($D135,'Expense Comps'!$D$45:$X$75,8,FALSE)</f>
        <v/>
      </c>
      <c r="M139" s="258"/>
      <c r="N139" s="6"/>
      <c r="P139" s="42"/>
    </row>
    <row r="140" spans="1:22" ht="18" hidden="1" customHeight="1" x14ac:dyDescent="0.25">
      <c r="A140" s="957">
        <f t="shared" si="14"/>
        <v>0</v>
      </c>
      <c r="B140" s="174"/>
      <c r="C140" s="258"/>
      <c r="D140" s="258" t="str">
        <f>CONCATENATE('Expense Comps'!$M$5, " - ",'Expense Comps'!$M$7," - ",'Expense Comps'!$M$9," - ",TEXT('Expense Comps'!$M$10,"mm/yyyy"))</f>
        <v>Expense Comp # 3 -  - 0 - 01/1900</v>
      </c>
      <c r="E140" s="415"/>
      <c r="F140" s="415"/>
      <c r="G140" s="415"/>
      <c r="H140" s="415"/>
      <c r="I140" s="415"/>
      <c r="J140" s="415"/>
      <c r="K140" s="3634" t="str">
        <f>VLOOKUP($D135,'Expense Comps'!$D$45:$X$75,11,FALSE)</f>
        <v/>
      </c>
      <c r="L140" s="3635" t="str">
        <f>VLOOKUP($D135,'Expense Comps'!$D$45:$X$75,12,FALSE)</f>
        <v/>
      </c>
      <c r="M140" s="258"/>
      <c r="N140" s="6"/>
      <c r="P140" s="42"/>
    </row>
    <row r="141" spans="1:22" ht="18" hidden="1" customHeight="1" x14ac:dyDescent="0.25">
      <c r="A141" s="957">
        <f t="shared" si="14"/>
        <v>0</v>
      </c>
      <c r="B141" s="174"/>
      <c r="C141" s="258"/>
      <c r="D141" s="258" t="str">
        <f>CONCATENATE('Expense Comps'!$Q$5, " - ",'Expense Comps'!$Q$7," - ",'Expense Comps'!$Q$9," - ",TEXT('Expense Comps'!$Q$10,"mm/yyyy"))</f>
        <v>Expense Comp # 4 -  - 0 - 01/1900</v>
      </c>
      <c r="E141" s="415"/>
      <c r="F141" s="415"/>
      <c r="G141" s="415"/>
      <c r="H141" s="415"/>
      <c r="I141" s="415"/>
      <c r="J141" s="415"/>
      <c r="K141" s="3634" t="str">
        <f>VLOOKUP($D135,'Expense Comps'!$D$45:$X$75,15,FALSE)</f>
        <v/>
      </c>
      <c r="L141" s="3635" t="str">
        <f>VLOOKUP($D135,'Expense Comps'!$D$45:$X$75,16,FALSE)</f>
        <v/>
      </c>
      <c r="M141" s="258"/>
      <c r="N141" s="6"/>
      <c r="P141" s="42"/>
    </row>
    <row r="142" spans="1:22" ht="18" hidden="1" customHeight="1" x14ac:dyDescent="0.25">
      <c r="A142" s="957">
        <f t="shared" si="14"/>
        <v>0</v>
      </c>
      <c r="B142" s="174"/>
      <c r="C142" s="258"/>
      <c r="D142" s="258" t="str">
        <f>CONCATENATE('Expense Comps'!$U$5, " - ",'Expense Comps'!$U$7," - ",'Expense Comps'!$U$9," - ",TEXT('Expense Comps'!$U$10,"mm/yyyy"))</f>
        <v>Expense Comp # 5 -  - 0 - 01/1900</v>
      </c>
      <c r="E142" s="415"/>
      <c r="F142" s="415"/>
      <c r="G142" s="415"/>
      <c r="H142" s="415"/>
      <c r="I142" s="415"/>
      <c r="J142" s="415"/>
      <c r="K142" s="3634" t="str">
        <f>VLOOKUP($D135,'Expense Comps'!$D$45:$X$75,19,FALSE)</f>
        <v/>
      </c>
      <c r="L142" s="3635" t="str">
        <f>VLOOKUP($D135,'Expense Comps'!$D$45:$X$75,20,FALSE)</f>
        <v/>
      </c>
      <c r="M142" s="258"/>
      <c r="N142" s="6"/>
      <c r="P142" s="42"/>
    </row>
    <row r="143" spans="1:22" ht="18" hidden="1" customHeight="1" x14ac:dyDescent="0.25">
      <c r="A143" s="957">
        <f t="shared" si="14"/>
        <v>0</v>
      </c>
      <c r="B143" s="174"/>
      <c r="C143" s="258"/>
      <c r="D143" s="258" t="str">
        <f>CONCATENATE("Subject ",'Income Expense History'!$E$5," - ",TEXT('Income Expense History'!$E$6,"mm/yyyy"))</f>
        <v>Subject 0 - 01/1900</v>
      </c>
      <c r="E143" s="3329"/>
      <c r="F143" s="3399" t="str">
        <f>IFERROR(E143/Income_EGI_Pool1_1,"")</f>
        <v/>
      </c>
      <c r="G143" s="3329"/>
      <c r="H143" s="3399" t="str">
        <f>IFERROR(G143/Income_EGI_Pool2_1,"")</f>
        <v/>
      </c>
      <c r="I143" s="3329"/>
      <c r="J143" s="3399" t="str">
        <f>IFERROR(I143/Income_EGI_Pool3_1,"")</f>
        <v/>
      </c>
      <c r="K143" s="3329" t="str">
        <f>VLOOKUP($D135,'Income Expense History'!$D$45:$S$76,3,FALSE)</f>
        <v/>
      </c>
      <c r="L143" s="3399" t="str">
        <f>VLOOKUP($D135,'Income Expense History'!$D$45:$S$76,4, FALSE)</f>
        <v>N/A</v>
      </c>
      <c r="M143" s="258"/>
      <c r="N143" s="6"/>
      <c r="P143" s="42"/>
    </row>
    <row r="144" spans="1:22" ht="18" hidden="1" customHeight="1" x14ac:dyDescent="0.25">
      <c r="A144" s="957">
        <f t="shared" si="14"/>
        <v>0</v>
      </c>
      <c r="B144" s="174"/>
      <c r="C144" s="258"/>
      <c r="D144" s="258" t="str">
        <f>CONCATENATE("Subject ",'Income Expense History'!$I$5," - ",TEXT('Income Expense History'!$I$6,"mm/yyyy"))</f>
        <v>Subject 0 - 01/1900</v>
      </c>
      <c r="E144" s="3329"/>
      <c r="F144" s="3399" t="str">
        <f>IFERROR(E144/Income_EGI_Pool1_2,"")</f>
        <v/>
      </c>
      <c r="G144" s="3329"/>
      <c r="H144" s="3399" t="str">
        <f>IFERROR(G144/Income_EGI_Pool2_2,"")</f>
        <v/>
      </c>
      <c r="I144" s="3329"/>
      <c r="J144" s="3399" t="str">
        <f>IFERROR(I144/Income_EGI_Pool3_2,"")</f>
        <v/>
      </c>
      <c r="K144" s="3329" t="str">
        <f>VLOOKUP($D135,'Income Expense History'!$D$45:$S$76,7, FALSE)</f>
        <v/>
      </c>
      <c r="L144" s="3399" t="str">
        <f>VLOOKUP($D135,'Income Expense History'!$D$45:$S$76,8, FALSE)</f>
        <v>N/A</v>
      </c>
      <c r="M144" s="258"/>
      <c r="N144" s="6"/>
      <c r="P144" s="42"/>
    </row>
    <row r="145" spans="1:22" ht="18" hidden="1" customHeight="1" x14ac:dyDescent="0.25">
      <c r="A145" s="957">
        <f t="shared" si="14"/>
        <v>0</v>
      </c>
      <c r="B145" s="174"/>
      <c r="C145" s="258"/>
      <c r="D145" s="258" t="str">
        <f>CONCATENATE("Subject ",'Income Expense History'!$M$5," - ",TEXT('Income Expense History'!$M$6,"mm/yyyy"))</f>
        <v>Subject 0 - 01/1900</v>
      </c>
      <c r="E145" s="3329"/>
      <c r="F145" s="3399" t="str">
        <f>IFERROR(E145/Income_EGI_Pool1_3,"")</f>
        <v/>
      </c>
      <c r="G145" s="3329"/>
      <c r="H145" s="3399" t="str">
        <f>IFERROR(G145/Income_EGI_Pool2_3,"")</f>
        <v/>
      </c>
      <c r="I145" s="3329"/>
      <c r="J145" s="3399" t="str">
        <f>IFERROR(I145/Income_EGI_Pool3_3,"")</f>
        <v/>
      </c>
      <c r="K145" s="3329" t="str">
        <f>VLOOKUP($D135,'Income Expense History'!$D$45:$S$76,11, FALSE)</f>
        <v/>
      </c>
      <c r="L145" s="3399" t="str">
        <f>VLOOKUP($D135,'Income Expense History'!$D$45:$S$76,12, FALSE)</f>
        <v>N/A</v>
      </c>
      <c r="M145" s="258"/>
      <c r="N145" s="6"/>
      <c r="P145" s="42"/>
    </row>
    <row r="146" spans="1:22" ht="18" hidden="1" customHeight="1" x14ac:dyDescent="0.25">
      <c r="A146" s="957">
        <f t="shared" si="14"/>
        <v>0</v>
      </c>
      <c r="B146" s="174"/>
      <c r="C146" s="258"/>
      <c r="D146" s="258" t="str">
        <f>CONCATENATE("Subject ",'Income Expense History'!$Q$5," - ",TEXT('Income Expense History'!$Q$6,"mm/yyyy"))</f>
        <v>Subject 0 - 01/1900</v>
      </c>
      <c r="E146" s="3329"/>
      <c r="F146" s="3399" t="str">
        <f>IFERROR(E146/Income_EGI_Pool1_4,"")</f>
        <v/>
      </c>
      <c r="G146" s="3329"/>
      <c r="H146" s="3399" t="str">
        <f>IFERROR(G146/Income_EGI_Pool2_4,"")</f>
        <v/>
      </c>
      <c r="I146" s="3329"/>
      <c r="J146" s="3399" t="str">
        <f>IFERROR(I146/Income_EGI_Pool3_4,"")</f>
        <v/>
      </c>
      <c r="K146" s="3329" t="str">
        <f>VLOOKUP($D135,'Income Expense History'!$D$45:$S$76,15, FALSE)</f>
        <v/>
      </c>
      <c r="L146" s="3399" t="str">
        <f>VLOOKUP($D135,'Income Expense History'!$D$45:$S$76,16, FALSE)</f>
        <v>N/A</v>
      </c>
      <c r="M146" s="258"/>
      <c r="N146" s="6"/>
      <c r="P146" s="42"/>
    </row>
    <row r="147" spans="1:22" s="406" customFormat="1" ht="18" hidden="1" customHeight="1" x14ac:dyDescent="0.25">
      <c r="A147" s="957">
        <f t="shared" si="14"/>
        <v>0</v>
      </c>
      <c r="B147" s="402"/>
      <c r="C147" s="3625"/>
      <c r="D147" s="3629" t="s">
        <v>394</v>
      </c>
      <c r="E147" s="3630" t="e">
        <f t="shared" ref="E147:J147" si="15">AVERAGE(E138:E146)</f>
        <v>#DIV/0!</v>
      </c>
      <c r="F147" s="3632" t="e">
        <f t="shared" si="15"/>
        <v>#DIV/0!</v>
      </c>
      <c r="G147" s="3630" t="e">
        <f t="shared" si="15"/>
        <v>#DIV/0!</v>
      </c>
      <c r="H147" s="3632" t="e">
        <f t="shared" si="15"/>
        <v>#DIV/0!</v>
      </c>
      <c r="I147" s="3630" t="e">
        <f t="shared" si="15"/>
        <v>#DIV/0!</v>
      </c>
      <c r="J147" s="3632" t="e">
        <f t="shared" si="15"/>
        <v>#DIV/0!</v>
      </c>
      <c r="K147" s="3630" t="str">
        <f>IF(ISERR(AVERAGE(K138:K146)),"",AVERAGE(K138:K146))</f>
        <v/>
      </c>
      <c r="L147" s="3631" t="str">
        <f>IF(ISERR(AVERAGE(L138:L146)),"",AVERAGE(L138:L146))</f>
        <v/>
      </c>
      <c r="M147" s="3625"/>
      <c r="N147" s="403"/>
      <c r="O147" s="404"/>
      <c r="P147" s="404"/>
      <c r="Q147" s="2542"/>
      <c r="R147" s="2272"/>
      <c r="S147" s="2272"/>
      <c r="T147" s="2272"/>
      <c r="U147" s="2272"/>
      <c r="V147" s="2272"/>
    </row>
    <row r="148" spans="1:22" s="406" customFormat="1" ht="18" hidden="1" customHeight="1" x14ac:dyDescent="0.25">
      <c r="A148" s="957">
        <f>IF(AND(Income_TechniqueUsed&lt;&gt;"Direct Capitalization",Expense_CAM_Number&gt;1),1,0)</f>
        <v>0</v>
      </c>
      <c r="B148" s="402"/>
      <c r="C148" s="3625"/>
      <c r="D148" s="3625" t="s">
        <v>393</v>
      </c>
      <c r="E148" s="1677"/>
      <c r="F148" s="3399" t="e">
        <f>E148/Income_EGI_Pool1_1</f>
        <v>#DIV/0!</v>
      </c>
      <c r="G148" s="1677"/>
      <c r="H148" s="3399" t="e">
        <f>G148/Income_EGI_Pool2_1</f>
        <v>#DIV/0!</v>
      </c>
      <c r="I148" s="1677"/>
      <c r="J148" s="3399" t="e">
        <f>I148/Income_EGI_Pool3_1</f>
        <v>#DIV/0!</v>
      </c>
      <c r="K148" s="1677"/>
      <c r="L148" s="1698" t="e">
        <f>dpIncome_Expense_CAM_Year1*Subject_NRA/VLOOKUP("Effective Gross Revenue",'DCF 1'!$E$8:$I$107,2,FALSE)+0</f>
        <v>#N/A</v>
      </c>
      <c r="M148" s="3625"/>
      <c r="N148" s="403"/>
      <c r="O148" s="404"/>
      <c r="P148" s="404"/>
      <c r="Q148" s="2542"/>
      <c r="R148" s="2272"/>
      <c r="S148" s="2272"/>
      <c r="T148" s="2272"/>
      <c r="U148" s="2272"/>
      <c r="V148" s="2272"/>
    </row>
    <row r="149" spans="1:22" s="406" customFormat="1" ht="18" hidden="1" customHeight="1" x14ac:dyDescent="0.25">
      <c r="A149" s="957">
        <f>IF(AND(Income_TechniqueUsed&lt;&gt;"Direct Capitalization",Expense_CAM_Number&gt;2),1,0)</f>
        <v>0</v>
      </c>
      <c r="B149" s="402"/>
      <c r="C149" s="3625"/>
      <c r="D149" s="3625" t="s">
        <v>419</v>
      </c>
      <c r="E149" s="1677"/>
      <c r="F149" s="3399" t="e">
        <f>E149/Income_EGI_Pool1_1</f>
        <v>#DIV/0!</v>
      </c>
      <c r="G149" s="1677"/>
      <c r="H149" s="3399" t="e">
        <f>G149/Income_EGI_Pool2_1</f>
        <v>#DIV/0!</v>
      </c>
      <c r="I149" s="1677"/>
      <c r="J149" s="3399" t="e">
        <f>I149/Income_EGI_Pool3_1</f>
        <v>#DIV/0!</v>
      </c>
      <c r="K149" s="1677"/>
      <c r="L149" s="1698" t="e">
        <f>dpIncome_Expense_CAM_Year2*Subject_NRA/VLOOKUP("Effective Gross Revenue",'DCF 1'!$E$8:$I$107,3,FALSE)+0</f>
        <v>#N/A</v>
      </c>
      <c r="M149" s="3625"/>
      <c r="N149" s="403"/>
      <c r="O149" s="404"/>
      <c r="P149" s="404"/>
      <c r="Q149" s="2542"/>
      <c r="R149" s="2272"/>
      <c r="S149" s="2272"/>
      <c r="T149" s="2272"/>
      <c r="U149" s="2272"/>
      <c r="V149" s="2272"/>
    </row>
    <row r="150" spans="1:22" s="406" customFormat="1" ht="18" hidden="1" customHeight="1" x14ac:dyDescent="0.25">
      <c r="A150" s="957">
        <f>IF(AND(Income_TechniqueUsed&lt;&gt;"Direct Capitalization",Expense_CAM_Number&gt;3),1,0)</f>
        <v>0</v>
      </c>
      <c r="B150" s="402"/>
      <c r="C150" s="3625"/>
      <c r="D150" s="3625" t="s">
        <v>420</v>
      </c>
      <c r="E150" s="1677"/>
      <c r="F150" s="3399" t="e">
        <f>E150/Income_EGI_Pool1_1</f>
        <v>#DIV/0!</v>
      </c>
      <c r="G150" s="1677"/>
      <c r="H150" s="3399" t="e">
        <f>G150/Income_EGI_Pool2_1</f>
        <v>#DIV/0!</v>
      </c>
      <c r="I150" s="1677"/>
      <c r="J150" s="3399" t="e">
        <f>I150/Income_EGI_Pool3_1</f>
        <v>#DIV/0!</v>
      </c>
      <c r="K150" s="1677"/>
      <c r="L150" s="1698" t="e">
        <f>dpIncome_Expense_CAM_Year3*Subject_NRA/VLOOKUP("Effective Gross Revenue",'DCF 1'!$E$8:$I$107,4,FALSE)+0</f>
        <v>#N/A</v>
      </c>
      <c r="M150" s="3625"/>
      <c r="N150" s="403"/>
      <c r="O150" s="404"/>
      <c r="P150" s="404"/>
      <c r="Q150" s="2542"/>
      <c r="R150" s="2272"/>
      <c r="S150" s="2272"/>
      <c r="T150" s="2272"/>
      <c r="U150" s="2272"/>
      <c r="V150" s="2272"/>
    </row>
    <row r="151" spans="1:22" s="406" customFormat="1" ht="18" hidden="1" customHeight="1" thickBot="1" x14ac:dyDescent="0.3">
      <c r="A151" s="957">
        <f>IF(OR(Expense_CAM_Reimb=1,Expense_CAM_NonReimb=1),1,0)</f>
        <v>0</v>
      </c>
      <c r="B151" s="402"/>
      <c r="C151" s="3625"/>
      <c r="D151" s="3628" t="str">
        <f>IF(P135="Year 1 Only","Year 1 Estimate:","Stabilized Estimate:")</f>
        <v>Stabilized Estimate:</v>
      </c>
      <c r="E151" s="1678"/>
      <c r="F151" s="3633" t="e">
        <f>E151/Income_EGI_Pool1_1</f>
        <v>#DIV/0!</v>
      </c>
      <c r="G151" s="1678"/>
      <c r="H151" s="3633" t="e">
        <f>G151/Income_EGI_Pool2_1</f>
        <v>#DIV/0!</v>
      </c>
      <c r="I151" s="1678"/>
      <c r="J151" s="3633" t="e">
        <f>I151/Income_EGI_Pool3_1</f>
        <v>#DIV/0!</v>
      </c>
      <c r="K151" s="1678"/>
      <c r="L151" s="1699">
        <f ca="1">IF(P135="Stabilized Only",dpIncome_Expense_CAM_Stabilized*Subject_NRA/dpIncome_DirectCap_EGI,dpIncome_Expense_CAM_Stabilized*Subject_NRA/VLOOKUP("Effective Gross Revenue",'DCF 1'!$E$8:$I$107,2,FALSE)+0)</f>
        <v>0</v>
      </c>
      <c r="M151" s="3625"/>
      <c r="N151" s="403"/>
      <c r="O151" s="404"/>
      <c r="P151" s="407"/>
      <c r="Q151" s="2542"/>
      <c r="R151" s="2272"/>
      <c r="S151" s="2272"/>
      <c r="T151" s="2272"/>
      <c r="U151" s="2272"/>
      <c r="V151" s="2272"/>
    </row>
    <row r="152" spans="1:22" ht="15.95" hidden="1" customHeight="1" thickBot="1" x14ac:dyDescent="0.3">
      <c r="A152" s="957">
        <f>IF(OR(Expense_CAM_Reimb=1,Expense_CAM_NonReimb=1),1,0)</f>
        <v>0</v>
      </c>
      <c r="B152" s="174"/>
      <c r="C152" s="5"/>
      <c r="D152" s="43" t="s">
        <v>907</v>
      </c>
      <c r="E152" s="804"/>
      <c r="F152" s="804"/>
      <c r="G152" s="804"/>
      <c r="H152" s="804"/>
      <c r="I152" s="804"/>
      <c r="J152" s="804"/>
      <c r="K152" s="19"/>
      <c r="L152" s="19"/>
      <c r="M152" s="5"/>
      <c r="N152" s="6"/>
    </row>
    <row r="153" spans="1:22" ht="17.25" hidden="1" thickBot="1" x14ac:dyDescent="0.35">
      <c r="A153" s="957">
        <f>IF(OR(Expense_CleaningJanitorial_Reimb=1,Expense_CleaningJanitorial_NonReimb=1),1,0)</f>
        <v>0</v>
      </c>
      <c r="B153" s="174"/>
      <c r="C153" s="246"/>
      <c r="D153" s="246" t="str">
        <f>dpIncome_ExpenseCat_9</f>
        <v>Cleaning &amp; Janitorial</v>
      </c>
      <c r="E153" s="4299"/>
      <c r="F153" s="4299"/>
      <c r="G153" s="804"/>
      <c r="H153" s="804"/>
      <c r="I153" s="804"/>
      <c r="J153" s="804"/>
      <c r="K153" s="804"/>
      <c r="L153" s="804"/>
      <c r="M153" s="52"/>
      <c r="N153" s="6"/>
      <c r="P153" s="235" t="s">
        <v>430</v>
      </c>
    </row>
    <row r="154" spans="1:22" ht="15.95" hidden="1" customHeight="1" x14ac:dyDescent="0.25">
      <c r="A154" s="957">
        <f>IF(OR(Expense_CleaningJanitorial_Reimb=1,Expense_CleaningJanitorial_NonReimb=1),IF(Main_ExpensePool_Count&gt;1,1,0),0)</f>
        <v>0</v>
      </c>
      <c r="B154" s="174"/>
      <c r="C154" s="12"/>
      <c r="D154" s="12"/>
      <c r="E154" s="4090" t="str">
        <f>$E$10</f>
        <v>Expense Pool 1</v>
      </c>
      <c r="F154" s="4090"/>
      <c r="G154" s="4090" t="str">
        <f>$G$10</f>
        <v>Expense Pool 2</v>
      </c>
      <c r="H154" s="4090"/>
      <c r="I154" s="4090" t="str">
        <f>$I$10</f>
        <v>Expense Pool 3</v>
      </c>
      <c r="J154" s="4090"/>
      <c r="K154" s="4164" t="str">
        <f>$K$10</f>
        <v>Total Expense</v>
      </c>
      <c r="L154" s="4164"/>
      <c r="N154" s="6"/>
      <c r="P154" s="707"/>
    </row>
    <row r="155" spans="1:22" ht="15.95" hidden="1" customHeight="1" x14ac:dyDescent="0.25">
      <c r="A155" s="957">
        <f>IF(OR(Expense_CleaningJanitorial_Reimb=1,Expense_CleaningJanitorial_NonReimb=1),1,0)</f>
        <v>0</v>
      </c>
      <c r="B155" s="174"/>
      <c r="C155" s="12"/>
      <c r="D155" s="12" t="s">
        <v>1577</v>
      </c>
      <c r="E155" s="55" t="s">
        <v>390</v>
      </c>
      <c r="F155" s="55" t="s">
        <v>391</v>
      </c>
      <c r="G155" s="55" t="s">
        <v>390</v>
      </c>
      <c r="H155" s="55" t="s">
        <v>391</v>
      </c>
      <c r="I155" s="55" t="s">
        <v>390</v>
      </c>
      <c r="J155" s="55" t="s">
        <v>391</v>
      </c>
      <c r="K155" s="55" t="s">
        <v>390</v>
      </c>
      <c r="L155" s="55" t="s">
        <v>391</v>
      </c>
      <c r="N155" s="6"/>
      <c r="P155" s="707"/>
    </row>
    <row r="156" spans="1:22" ht="18" hidden="1" customHeight="1" x14ac:dyDescent="0.25">
      <c r="A156" s="957">
        <f t="shared" ref="A156:A165" si="16">IF(OR(Expense_CleaningJanitorial_Reimb=1,Expense_CleaningJanitorial_NonReimb=1),IF(K156="",0,1),0)</f>
        <v>0</v>
      </c>
      <c r="B156" s="174"/>
      <c r="C156" s="258"/>
      <c r="D156" s="258" t="str">
        <f>CONCATENATE('Expense Comps'!$E$5, " - ",'Expense Comps'!$E$7," - ",'Expense Comps'!$E$9," - ",TEXT('Expense Comps'!$E$10,"mm/yyyy"))</f>
        <v>Expense Comp # 1 -  - 0 - 01/1900</v>
      </c>
      <c r="E156" s="415"/>
      <c r="F156" s="415"/>
      <c r="G156" s="415"/>
      <c r="H156" s="415"/>
      <c r="I156" s="415"/>
      <c r="J156" s="415"/>
      <c r="K156" s="3329" t="str">
        <f>VLOOKUP($D153,'Expense Comps'!$D$58:$X$75,3,FALSE)</f>
        <v/>
      </c>
      <c r="L156" s="3619" t="str">
        <f>VLOOKUP($D153,'Expense Comps'!$D$58:$X$75,4,FALSE)</f>
        <v/>
      </c>
      <c r="M156" s="258"/>
      <c r="N156" s="6"/>
      <c r="P156" s="664">
        <f>IF(Expense_CleaningJanitorial_Reimb,dpIncome_Expense_CJ_Stabilized,0)</f>
        <v>0</v>
      </c>
    </row>
    <row r="157" spans="1:22" ht="18" hidden="1" customHeight="1" x14ac:dyDescent="0.25">
      <c r="A157" s="957">
        <f t="shared" si="16"/>
        <v>0</v>
      </c>
      <c r="B157" s="174"/>
      <c r="C157" s="258"/>
      <c r="D157" s="258" t="str">
        <f>CONCATENATE('Expense Comps'!$I$5, " - ",'Expense Comps'!$I$7," - ",'Expense Comps'!$I$9," - ",TEXT('Expense Comps'!$I$10,"mm/yyyy"))</f>
        <v>Expense Comp # 2 -  - 0 - 01/1900</v>
      </c>
      <c r="E157" s="415"/>
      <c r="F157" s="415"/>
      <c r="G157" s="415"/>
      <c r="H157" s="415"/>
      <c r="I157" s="415"/>
      <c r="J157" s="415"/>
      <c r="K157" s="3329" t="str">
        <f>VLOOKUP($D153,'Expense Comps'!$D$58:$X$75,7,FALSE)</f>
        <v/>
      </c>
      <c r="L157" s="3619" t="str">
        <f>VLOOKUP($D153,'Expense Comps'!$D$58:$X$75,8,FALSE)</f>
        <v/>
      </c>
      <c r="M157" s="258"/>
      <c r="N157" s="6"/>
      <c r="P157" s="42"/>
    </row>
    <row r="158" spans="1:22" ht="18" hidden="1" customHeight="1" x14ac:dyDescent="0.25">
      <c r="A158" s="957">
        <f t="shared" si="16"/>
        <v>0</v>
      </c>
      <c r="B158" s="174"/>
      <c r="C158" s="258"/>
      <c r="D158" s="258" t="str">
        <f>CONCATENATE('Expense Comps'!$M$5, " - ",'Expense Comps'!$M$7," - ",'Expense Comps'!$M$9," - ",TEXT('Expense Comps'!$M$10,"mm/yyyy"))</f>
        <v>Expense Comp # 3 -  - 0 - 01/1900</v>
      </c>
      <c r="E158" s="415"/>
      <c r="F158" s="415"/>
      <c r="G158" s="415"/>
      <c r="H158" s="415"/>
      <c r="I158" s="415"/>
      <c r="J158" s="415"/>
      <c r="K158" s="3329" t="str">
        <f>VLOOKUP($D153,'Expense Comps'!$D$58:$X$75,11,FALSE)</f>
        <v/>
      </c>
      <c r="L158" s="3619" t="str">
        <f>VLOOKUP($D153,'Expense Comps'!$D$58:$X$75,12,FALSE)</f>
        <v/>
      </c>
      <c r="M158" s="258"/>
      <c r="N158" s="6"/>
      <c r="P158" s="42"/>
    </row>
    <row r="159" spans="1:22" ht="18" hidden="1" customHeight="1" x14ac:dyDescent="0.25">
      <c r="A159" s="957">
        <f t="shared" si="16"/>
        <v>0</v>
      </c>
      <c r="B159" s="174"/>
      <c r="C159" s="258"/>
      <c r="D159" s="258" t="str">
        <f>CONCATENATE('Expense Comps'!$Q$5, " - ",'Expense Comps'!$Q$7," - ",'Expense Comps'!$Q$9," - ",TEXT('Expense Comps'!$Q$10,"mm/yyyy"))</f>
        <v>Expense Comp # 4 -  - 0 - 01/1900</v>
      </c>
      <c r="E159" s="415"/>
      <c r="F159" s="415"/>
      <c r="G159" s="415"/>
      <c r="H159" s="415"/>
      <c r="I159" s="415"/>
      <c r="J159" s="415"/>
      <c r="K159" s="3329" t="str">
        <f>VLOOKUP($D153,'Expense Comps'!$D$58:$X$75,15,FALSE)</f>
        <v/>
      </c>
      <c r="L159" s="3619" t="str">
        <f>VLOOKUP($D153,'Expense Comps'!$D$58:$X$75,16,FALSE)</f>
        <v/>
      </c>
      <c r="M159" s="258"/>
      <c r="N159" s="6"/>
      <c r="P159" s="42"/>
    </row>
    <row r="160" spans="1:22" ht="18" hidden="1" customHeight="1" x14ac:dyDescent="0.25">
      <c r="A160" s="957">
        <f t="shared" si="16"/>
        <v>0</v>
      </c>
      <c r="B160" s="174"/>
      <c r="C160" s="258"/>
      <c r="D160" s="258" t="str">
        <f>CONCATENATE('Expense Comps'!$U$5, " - ",'Expense Comps'!$U$7," - ",'Expense Comps'!$U$9," - ",TEXT('Expense Comps'!$U$10,"mm/yyyy"))</f>
        <v>Expense Comp # 5 -  - 0 - 01/1900</v>
      </c>
      <c r="E160" s="415"/>
      <c r="F160" s="415"/>
      <c r="G160" s="415"/>
      <c r="H160" s="415"/>
      <c r="I160" s="415"/>
      <c r="J160" s="415"/>
      <c r="K160" s="3329" t="str">
        <f>VLOOKUP($D153,'Expense Comps'!$D$58:$X$75,19,FALSE)</f>
        <v/>
      </c>
      <c r="L160" s="3619" t="str">
        <f>VLOOKUP($D153,'Expense Comps'!$D$58:$X$75,20,FALSE)</f>
        <v/>
      </c>
      <c r="M160" s="258"/>
      <c r="N160" s="6"/>
      <c r="P160" s="42"/>
    </row>
    <row r="161" spans="1:22" ht="18" hidden="1" customHeight="1" x14ac:dyDescent="0.25">
      <c r="A161" s="957">
        <f t="shared" si="16"/>
        <v>0</v>
      </c>
      <c r="B161" s="174"/>
      <c r="C161" s="258"/>
      <c r="D161" s="258" t="str">
        <f>CONCATENATE("Subject ",'Income Expense History'!$E$5," - ",TEXT('Income Expense History'!$E$6,"mm/yyyy"))</f>
        <v>Subject 0 - 01/1900</v>
      </c>
      <c r="E161" s="3329"/>
      <c r="F161" s="3399" t="str">
        <f>IFERROR(E161/Income_EGI_Pool1_1,"")</f>
        <v/>
      </c>
      <c r="G161" s="3329"/>
      <c r="H161" s="3399" t="str">
        <f>IFERROR(G161/Income_EGI_Pool2_1,"")</f>
        <v/>
      </c>
      <c r="I161" s="3329"/>
      <c r="J161" s="3399" t="str">
        <f>IFERROR(I161/Income_EGI_Pool3_1,"")</f>
        <v/>
      </c>
      <c r="K161" s="3329" t="str">
        <f>VLOOKUP($D153,'Income Expense History'!$D$58:$S$76,3,FALSE)</f>
        <v/>
      </c>
      <c r="L161" s="3399" t="str">
        <f>VLOOKUP($D153,'Income Expense History'!$D$58:$S$76,4, FALSE)</f>
        <v>N/A</v>
      </c>
      <c r="M161" s="258"/>
      <c r="N161" s="6"/>
      <c r="P161" s="42"/>
    </row>
    <row r="162" spans="1:22" ht="18" hidden="1" customHeight="1" x14ac:dyDescent="0.25">
      <c r="A162" s="957">
        <f t="shared" si="16"/>
        <v>0</v>
      </c>
      <c r="B162" s="174"/>
      <c r="C162" s="258"/>
      <c r="D162" s="258" t="str">
        <f>CONCATENATE("Subject ",'Income Expense History'!$I$5," - ",TEXT('Income Expense History'!$I$6,"mm/yyyy"))</f>
        <v>Subject 0 - 01/1900</v>
      </c>
      <c r="E162" s="3329"/>
      <c r="F162" s="3399" t="str">
        <f>IFERROR(E162/Income_EGI_Pool1_2,"")</f>
        <v/>
      </c>
      <c r="G162" s="3329"/>
      <c r="H162" s="3399" t="str">
        <f>IFERROR(G162/Income_EGI_Pool2_2,"")</f>
        <v/>
      </c>
      <c r="I162" s="3329"/>
      <c r="J162" s="3399" t="str">
        <f>IFERROR(I162/Income_EGI_Pool3_2,"")</f>
        <v/>
      </c>
      <c r="K162" s="3329" t="str">
        <f>VLOOKUP($D153,'Income Expense History'!$D$58:$S$76,7, FALSE)</f>
        <v/>
      </c>
      <c r="L162" s="3399" t="str">
        <f>VLOOKUP($D153,'Income Expense History'!$D$58:$S$76,8, FALSE)</f>
        <v>N/A</v>
      </c>
      <c r="M162" s="258"/>
      <c r="N162" s="6"/>
      <c r="P162" s="42"/>
    </row>
    <row r="163" spans="1:22" ht="18" hidden="1" customHeight="1" x14ac:dyDescent="0.25">
      <c r="A163" s="957">
        <f t="shared" si="16"/>
        <v>0</v>
      </c>
      <c r="B163" s="174"/>
      <c r="C163" s="258"/>
      <c r="D163" s="258" t="str">
        <f>CONCATENATE("Subject ",'Income Expense History'!$M$5," - ",TEXT('Income Expense History'!$M$6,"mm/yyyy"))</f>
        <v>Subject 0 - 01/1900</v>
      </c>
      <c r="E163" s="3329"/>
      <c r="F163" s="3399" t="str">
        <f>IFERROR(E163/Income_EGI_Pool1_3,"")</f>
        <v/>
      </c>
      <c r="G163" s="3329"/>
      <c r="H163" s="3399" t="str">
        <f>IFERROR(G163/Income_EGI_Pool2_3,"")</f>
        <v/>
      </c>
      <c r="I163" s="3329"/>
      <c r="J163" s="3399" t="str">
        <f>IFERROR(I163/Income_EGI_Pool3_3,"")</f>
        <v/>
      </c>
      <c r="K163" s="3329" t="str">
        <f>VLOOKUP($D153,'Income Expense History'!$D$58:$S$76,11, FALSE)</f>
        <v/>
      </c>
      <c r="L163" s="3399" t="str">
        <f>VLOOKUP($D153,'Income Expense History'!$D$58:$S$76,12, FALSE)</f>
        <v>N/A</v>
      </c>
      <c r="M163" s="258"/>
      <c r="N163" s="6"/>
      <c r="P163" s="42"/>
    </row>
    <row r="164" spans="1:22" ht="18" hidden="1" customHeight="1" x14ac:dyDescent="0.25">
      <c r="A164" s="957">
        <f t="shared" si="16"/>
        <v>0</v>
      </c>
      <c r="B164" s="174"/>
      <c r="C164" s="258"/>
      <c r="D164" s="258" t="str">
        <f>CONCATENATE("Subject ",'Income Expense History'!$Q$5," - ",TEXT('Income Expense History'!$Q$6,"mm/yyyy"))</f>
        <v>Subject 0 - 01/1900</v>
      </c>
      <c r="E164" s="3329"/>
      <c r="F164" s="3399" t="str">
        <f>IFERROR(E164/Income_EGI_Pool1_4,"")</f>
        <v/>
      </c>
      <c r="G164" s="3329"/>
      <c r="H164" s="3399" t="str">
        <f>IFERROR(G164/Income_EGI_Pool2_4,"")</f>
        <v/>
      </c>
      <c r="I164" s="3329"/>
      <c r="J164" s="3399" t="str">
        <f>IFERROR(I164/Income_EGI_Pool3_4,"")</f>
        <v/>
      </c>
      <c r="K164" s="3329" t="str">
        <f>VLOOKUP($D153,'Income Expense History'!$D$58:$S$76,15, FALSE)</f>
        <v/>
      </c>
      <c r="L164" s="3399" t="str">
        <f>VLOOKUP($D153,'Income Expense History'!$D$58:$S$76,16, FALSE)</f>
        <v>N/A</v>
      </c>
      <c r="M164" s="258"/>
      <c r="N164" s="6"/>
      <c r="P164" s="42"/>
    </row>
    <row r="165" spans="1:22" s="406" customFormat="1" ht="18" hidden="1" customHeight="1" x14ac:dyDescent="0.25">
      <c r="A165" s="957">
        <f t="shared" si="16"/>
        <v>0</v>
      </c>
      <c r="B165" s="402"/>
      <c r="C165" s="3625"/>
      <c r="D165" s="3629" t="s">
        <v>394</v>
      </c>
      <c r="E165" s="3630" t="e">
        <f t="shared" ref="E165:J165" si="17">AVERAGE(E156:E164)</f>
        <v>#DIV/0!</v>
      </c>
      <c r="F165" s="3632" t="e">
        <f t="shared" si="17"/>
        <v>#DIV/0!</v>
      </c>
      <c r="G165" s="3630" t="e">
        <f t="shared" si="17"/>
        <v>#DIV/0!</v>
      </c>
      <c r="H165" s="3632" t="e">
        <f t="shared" si="17"/>
        <v>#DIV/0!</v>
      </c>
      <c r="I165" s="3630" t="e">
        <f t="shared" si="17"/>
        <v>#DIV/0!</v>
      </c>
      <c r="J165" s="3632" t="e">
        <f t="shared" si="17"/>
        <v>#DIV/0!</v>
      </c>
      <c r="K165" s="3630" t="str">
        <f>IF(ISERR(AVERAGE(K156:K164)),"",AVERAGE(K156:K164))</f>
        <v/>
      </c>
      <c r="L165" s="3631" t="str">
        <f>IF(ISERR(AVERAGE(L156:L164)),"",AVERAGE(L156:L164))</f>
        <v/>
      </c>
      <c r="M165" s="3625"/>
      <c r="N165" s="403"/>
      <c r="O165" s="404"/>
      <c r="P165" s="404"/>
      <c r="Q165" s="2542"/>
      <c r="R165" s="2272"/>
      <c r="S165" s="2272"/>
      <c r="T165" s="2272"/>
      <c r="U165" s="2272"/>
      <c r="V165" s="2272"/>
    </row>
    <row r="166" spans="1:22" s="406" customFormat="1" ht="18" hidden="1" customHeight="1" x14ac:dyDescent="0.25">
      <c r="A166" s="957">
        <f>IF(AND(Income_TechniqueUsed&lt;&gt;"Direct Capitalization",Expense_CleaningJanitorial_Number&gt;1),1,0)</f>
        <v>0</v>
      </c>
      <c r="B166" s="402"/>
      <c r="C166" s="3625"/>
      <c r="D166" s="3625" t="s">
        <v>393</v>
      </c>
      <c r="E166" s="1677"/>
      <c r="F166" s="3399" t="e">
        <f>E166/Income_EGI_Pool1_1</f>
        <v>#DIV/0!</v>
      </c>
      <c r="G166" s="1677"/>
      <c r="H166" s="3399" t="e">
        <f>G166/Income_EGI_Pool2_1</f>
        <v>#DIV/0!</v>
      </c>
      <c r="I166" s="1677"/>
      <c r="J166" s="3399" t="e">
        <f>I166/Income_EGI_Pool3_1</f>
        <v>#DIV/0!</v>
      </c>
      <c r="K166" s="1677"/>
      <c r="L166" s="1698" t="e">
        <f>dpIncome_Expense_CJ_Year1*Subject_NRA/VLOOKUP("Effective Gross Revenue",'DCF 1'!$E$8:$I$107,2,FALSE)+0</f>
        <v>#N/A</v>
      </c>
      <c r="M166" s="3625"/>
      <c r="N166" s="403"/>
      <c r="O166" s="404"/>
      <c r="P166" s="404"/>
      <c r="Q166" s="2542"/>
      <c r="R166" s="2272"/>
      <c r="S166" s="2272"/>
      <c r="T166" s="2272"/>
      <c r="U166" s="2272"/>
      <c r="V166" s="2272"/>
    </row>
    <row r="167" spans="1:22" s="406" customFormat="1" ht="18" hidden="1" customHeight="1" x14ac:dyDescent="0.25">
      <c r="A167" s="957">
        <f>IF(AND(Income_TechniqueUsed&lt;&gt;"Direct Capitalization",Expense_CleaningJanitorial_Number&gt;2),1,0)</f>
        <v>0</v>
      </c>
      <c r="B167" s="402"/>
      <c r="C167" s="3625"/>
      <c r="D167" s="3625" t="s">
        <v>419</v>
      </c>
      <c r="E167" s="1677"/>
      <c r="F167" s="3399" t="e">
        <f>E167/Income_EGI_Pool1_1</f>
        <v>#DIV/0!</v>
      </c>
      <c r="G167" s="1677"/>
      <c r="H167" s="3399" t="e">
        <f>G167/Income_EGI_Pool2_1</f>
        <v>#DIV/0!</v>
      </c>
      <c r="I167" s="1677"/>
      <c r="J167" s="3399" t="e">
        <f>I167/Income_EGI_Pool3_1</f>
        <v>#DIV/0!</v>
      </c>
      <c r="K167" s="1677"/>
      <c r="L167" s="1698" t="e">
        <f>dpIncome_Expense_CJ_Year2*Subject_NRA/VLOOKUP("Effective Gross Revenue",'DCF 1'!$E$8:$I$107,3,FALSE)+0</f>
        <v>#N/A</v>
      </c>
      <c r="M167" s="3625"/>
      <c r="N167" s="403"/>
      <c r="O167" s="404"/>
      <c r="P167" s="404"/>
      <c r="Q167" s="2542"/>
      <c r="R167" s="2272"/>
      <c r="S167" s="2272"/>
      <c r="T167" s="2272"/>
      <c r="U167" s="2272"/>
      <c r="V167" s="2272"/>
    </row>
    <row r="168" spans="1:22" s="406" customFormat="1" ht="18" hidden="1" customHeight="1" x14ac:dyDescent="0.25">
      <c r="A168" s="957">
        <f>IF(AND(Income_TechniqueUsed&lt;&gt;"Direct Capitalization",Expense_CleaningJanitorial_Number&gt;3),1,0)</f>
        <v>0</v>
      </c>
      <c r="B168" s="402"/>
      <c r="C168" s="3625"/>
      <c r="D168" s="3625" t="s">
        <v>420</v>
      </c>
      <c r="E168" s="1677"/>
      <c r="F168" s="3399" t="e">
        <f>E168/Income_EGI_Pool1_1</f>
        <v>#DIV/0!</v>
      </c>
      <c r="G168" s="1677"/>
      <c r="H168" s="3399" t="e">
        <f>G168/Income_EGI_Pool2_1</f>
        <v>#DIV/0!</v>
      </c>
      <c r="I168" s="1677"/>
      <c r="J168" s="3399" t="e">
        <f>I168/Income_EGI_Pool3_1</f>
        <v>#DIV/0!</v>
      </c>
      <c r="K168" s="1677"/>
      <c r="L168" s="1698" t="e">
        <f>dpIncome_Expense_CJ_Year3*Subject_NRA/VLOOKUP("Effective Gross Revenue",'DCF 1'!$E$8:$I$107,4,FALSE)+0</f>
        <v>#N/A</v>
      </c>
      <c r="M168" s="3625"/>
      <c r="N168" s="403"/>
      <c r="O168" s="404"/>
      <c r="P168" s="404"/>
      <c r="Q168" s="2542"/>
      <c r="R168" s="2272"/>
      <c r="S168" s="2272"/>
      <c r="T168" s="2272"/>
      <c r="U168" s="2272"/>
      <c r="V168" s="2272"/>
    </row>
    <row r="169" spans="1:22" s="406" customFormat="1" ht="18" hidden="1" customHeight="1" thickBot="1" x14ac:dyDescent="0.3">
      <c r="A169" s="957">
        <f>IF(OR(Expense_CleaningJanitorial_Reimb=1,Expense_CleaningJanitorial_NonReimb=1),1,0)</f>
        <v>0</v>
      </c>
      <c r="B169" s="402"/>
      <c r="C169" s="3625"/>
      <c r="D169" s="3628" t="str">
        <f>IF(P153="Year 1 Only","Year 1 Estimate:","Stabilized Estimate:")</f>
        <v>Stabilized Estimate:</v>
      </c>
      <c r="E169" s="1678"/>
      <c r="F169" s="3633" t="e">
        <f>E169/Income_EGI_Pool1_1</f>
        <v>#DIV/0!</v>
      </c>
      <c r="G169" s="1678"/>
      <c r="H169" s="3633" t="e">
        <f>G169/Income_EGI_Pool2_1</f>
        <v>#DIV/0!</v>
      </c>
      <c r="I169" s="1678"/>
      <c r="J169" s="3633" t="e">
        <f>I169/Income_EGI_Pool3_1</f>
        <v>#DIV/0!</v>
      </c>
      <c r="K169" s="1678"/>
      <c r="L169" s="1699">
        <f ca="1">IF(P153="Stabilized Only",dpIncome_Expense_CJ_Stabilized*Subject_NRA/dpIncome_DirectCap_EGI,dpIncome_Expense_CJ_Stabilized*Subject_NRA/VLOOKUP("Effective Gross Revenue",'DCF 1'!$E$8:$I$107,2,FALSE)+0)</f>
        <v>0</v>
      </c>
      <c r="M169" s="3625"/>
      <c r="N169" s="403"/>
      <c r="O169" s="404"/>
      <c r="P169" s="404"/>
      <c r="Q169" s="2542"/>
      <c r="R169" s="2272"/>
      <c r="S169" s="2272"/>
      <c r="T169" s="2272"/>
      <c r="U169" s="2272"/>
      <c r="V169" s="2272"/>
    </row>
    <row r="170" spans="1:22" ht="15.95" hidden="1" customHeight="1" thickBot="1" x14ac:dyDescent="0.3">
      <c r="A170" s="957">
        <f>IF(OR(Expense_CleaningJanitorial_Reimb=1,Expense_CleaningJanitorial_NonReimb=1),1,0)</f>
        <v>0</v>
      </c>
      <c r="B170" s="174"/>
      <c r="C170" s="5"/>
      <c r="D170" s="43" t="s">
        <v>908</v>
      </c>
      <c r="E170" s="804"/>
      <c r="F170" s="804"/>
      <c r="G170" s="804"/>
      <c r="H170" s="804"/>
      <c r="I170" s="804"/>
      <c r="J170" s="804"/>
      <c r="K170" s="19"/>
      <c r="L170" s="19"/>
      <c r="M170" s="5"/>
      <c r="N170" s="6"/>
      <c r="P170" s="42"/>
    </row>
    <row r="171" spans="1:22" ht="17.25" hidden="1" thickBot="1" x14ac:dyDescent="0.35">
      <c r="A171" s="957">
        <f>IF(OR(Expense_Leasing_Reimb=1,Expense_Leasing_NonReimb=1),1,0)</f>
        <v>0</v>
      </c>
      <c r="B171" s="174"/>
      <c r="C171" s="246"/>
      <c r="D171" s="246" t="str">
        <f>dpIncome_ExpenseCat_10</f>
        <v>Leasing Expenses</v>
      </c>
      <c r="E171" s="4299"/>
      <c r="F171" s="4299"/>
      <c r="G171" s="804"/>
      <c r="H171" s="804"/>
      <c r="I171" s="804"/>
      <c r="J171" s="804"/>
      <c r="K171" s="804"/>
      <c r="L171" s="804"/>
      <c r="M171" s="52"/>
      <c r="N171" s="6"/>
      <c r="P171" s="235" t="s">
        <v>430</v>
      </c>
    </row>
    <row r="172" spans="1:22" ht="15.95" hidden="1" customHeight="1" x14ac:dyDescent="0.25">
      <c r="A172" s="957">
        <f>IF(OR(Expense_Leasing_Reimb=1,Expense_Leasing_NonReimb=1),IF(Main_ExpensePool_Count&gt;1,1,0),0)</f>
        <v>0</v>
      </c>
      <c r="B172" s="174"/>
      <c r="C172" s="12"/>
      <c r="D172" s="12"/>
      <c r="E172" s="4090" t="str">
        <f>$E$10</f>
        <v>Expense Pool 1</v>
      </c>
      <c r="F172" s="4090"/>
      <c r="G172" s="4090" t="str">
        <f>$G$10</f>
        <v>Expense Pool 2</v>
      </c>
      <c r="H172" s="4090"/>
      <c r="I172" s="4090" t="str">
        <f>$I$10</f>
        <v>Expense Pool 3</v>
      </c>
      <c r="J172" s="4090"/>
      <c r="K172" s="4164" t="str">
        <f>$K$10</f>
        <v>Total Expense</v>
      </c>
      <c r="L172" s="4164"/>
      <c r="N172" s="6"/>
      <c r="P172" s="707"/>
    </row>
    <row r="173" spans="1:22" ht="15.95" hidden="1" customHeight="1" x14ac:dyDescent="0.25">
      <c r="A173" s="957">
        <f>IF(OR(Expense_Leasing_Reimb=1,Expense_Leasing_NonReimb=1),1,0)</f>
        <v>0</v>
      </c>
      <c r="B173" s="174"/>
      <c r="C173" s="12"/>
      <c r="D173" s="12" t="s">
        <v>1577</v>
      </c>
      <c r="E173" s="55" t="s">
        <v>390</v>
      </c>
      <c r="F173" s="55" t="s">
        <v>391</v>
      </c>
      <c r="G173" s="55" t="s">
        <v>390</v>
      </c>
      <c r="H173" s="55" t="s">
        <v>391</v>
      </c>
      <c r="I173" s="55" t="s">
        <v>390</v>
      </c>
      <c r="J173" s="55" t="s">
        <v>391</v>
      </c>
      <c r="K173" s="55" t="s">
        <v>390</v>
      </c>
      <c r="L173" s="55" t="s">
        <v>391</v>
      </c>
      <c r="N173" s="6"/>
      <c r="P173" s="707"/>
    </row>
    <row r="174" spans="1:22" ht="18" hidden="1" customHeight="1" x14ac:dyDescent="0.25">
      <c r="A174" s="957">
        <f t="shared" ref="A174:A183" si="18">IF(OR(Expense_Leasing_Reimb=1,Expense_Leasing_NonReimb=1),IF(K174="",0,1),0)</f>
        <v>0</v>
      </c>
      <c r="B174" s="174"/>
      <c r="C174" s="258"/>
      <c r="D174" s="258" t="str">
        <f>CONCATENATE('Expense Comps'!$E$5, " - ",'Expense Comps'!$E$7," - ",'Expense Comps'!$E$9," - ",TEXT('Expense Comps'!$E$10,"mm/yyyy"))</f>
        <v>Expense Comp # 1 -  - 0 - 01/1900</v>
      </c>
      <c r="E174" s="415"/>
      <c r="F174" s="415"/>
      <c r="G174" s="415"/>
      <c r="H174" s="415"/>
      <c r="I174" s="415"/>
      <c r="J174" s="415"/>
      <c r="K174" s="3329" t="str">
        <f>VLOOKUP($D171,'Expense Comps'!$D$60:$X$75,3,FALSE)</f>
        <v/>
      </c>
      <c r="L174" s="3619" t="str">
        <f>VLOOKUP($D171,'Expense Comps'!$D$60:$X$75,4,FALSE)</f>
        <v/>
      </c>
      <c r="M174" s="258"/>
      <c r="N174" s="6"/>
      <c r="P174" s="664">
        <f>IF(Expense_Leasing_Reimb,dpIncome_Expense_Leasing_Stabilized,0)</f>
        <v>0</v>
      </c>
    </row>
    <row r="175" spans="1:22" ht="18" hidden="1" customHeight="1" x14ac:dyDescent="0.25">
      <c r="A175" s="957">
        <f t="shared" si="18"/>
        <v>0</v>
      </c>
      <c r="B175" s="174"/>
      <c r="C175" s="258"/>
      <c r="D175" s="258" t="str">
        <f>CONCATENATE('Expense Comps'!$I$5, " - ",'Expense Comps'!$I$7," - ",'Expense Comps'!$I$9," - ",TEXT('Expense Comps'!$I$10,"mm/yyyy"))</f>
        <v>Expense Comp # 2 -  - 0 - 01/1900</v>
      </c>
      <c r="E175" s="415"/>
      <c r="F175" s="415"/>
      <c r="G175" s="415"/>
      <c r="H175" s="415"/>
      <c r="I175" s="415"/>
      <c r="J175" s="415"/>
      <c r="K175" s="3329" t="str">
        <f>VLOOKUP($D171,'Expense Comps'!$D$60:$X$75,7,FALSE)</f>
        <v/>
      </c>
      <c r="L175" s="3619" t="str">
        <f>VLOOKUP($D171,'Expense Comps'!$D$60:$X$75,8,FALSE)</f>
        <v/>
      </c>
      <c r="M175" s="258"/>
      <c r="N175" s="6"/>
      <c r="P175" s="42"/>
    </row>
    <row r="176" spans="1:22" ht="18" hidden="1" customHeight="1" x14ac:dyDescent="0.25">
      <c r="A176" s="957">
        <f t="shared" si="18"/>
        <v>0</v>
      </c>
      <c r="B176" s="174"/>
      <c r="C176" s="258"/>
      <c r="D176" s="258" t="str">
        <f>CONCATENATE('Expense Comps'!$M$5, " - ",'Expense Comps'!$M$7," - ",'Expense Comps'!$M$9," - ",TEXT('Expense Comps'!$M$10,"mm/yyyy"))</f>
        <v>Expense Comp # 3 -  - 0 - 01/1900</v>
      </c>
      <c r="E176" s="415"/>
      <c r="F176" s="415"/>
      <c r="G176" s="415"/>
      <c r="H176" s="415"/>
      <c r="I176" s="415"/>
      <c r="J176" s="415"/>
      <c r="K176" s="3329" t="str">
        <f>VLOOKUP($D171,'Expense Comps'!$D$60:$X$75,11,FALSE)</f>
        <v/>
      </c>
      <c r="L176" s="3619" t="str">
        <f>VLOOKUP($D171,'Expense Comps'!$D$60:$X$75,12,FALSE)</f>
        <v/>
      </c>
      <c r="M176" s="258"/>
      <c r="N176" s="6"/>
      <c r="P176" s="42"/>
    </row>
    <row r="177" spans="1:22" ht="18" hidden="1" customHeight="1" x14ac:dyDescent="0.25">
      <c r="A177" s="957">
        <f t="shared" si="18"/>
        <v>0</v>
      </c>
      <c r="B177" s="174"/>
      <c r="C177" s="258"/>
      <c r="D177" s="258" t="str">
        <f>CONCATENATE('Expense Comps'!$Q$5, " - ",'Expense Comps'!$Q$7," - ",'Expense Comps'!$Q$9," - ",TEXT('Expense Comps'!$Q$10,"mm/yyyy"))</f>
        <v>Expense Comp # 4 -  - 0 - 01/1900</v>
      </c>
      <c r="E177" s="415"/>
      <c r="F177" s="415"/>
      <c r="G177" s="415"/>
      <c r="H177" s="415"/>
      <c r="I177" s="415"/>
      <c r="J177" s="415"/>
      <c r="K177" s="3329" t="str">
        <f>VLOOKUP($D171,'Expense Comps'!$D$60:$X$75,15,FALSE)</f>
        <v/>
      </c>
      <c r="L177" s="3619" t="str">
        <f>VLOOKUP($D171,'Expense Comps'!$D$60:$X$75,16,FALSE)</f>
        <v/>
      </c>
      <c r="M177" s="258"/>
      <c r="N177" s="6"/>
      <c r="P177" s="42"/>
    </row>
    <row r="178" spans="1:22" ht="18" hidden="1" customHeight="1" x14ac:dyDescent="0.25">
      <c r="A178" s="957">
        <f t="shared" si="18"/>
        <v>0</v>
      </c>
      <c r="B178" s="174"/>
      <c r="C178" s="258"/>
      <c r="D178" s="258" t="str">
        <f>CONCATENATE('Expense Comps'!$U$5, " - ",'Expense Comps'!$U$7," - ",'Expense Comps'!$U$9," - ",TEXT('Expense Comps'!$U$10,"mm/yyyy"))</f>
        <v>Expense Comp # 5 -  - 0 - 01/1900</v>
      </c>
      <c r="E178" s="415"/>
      <c r="F178" s="415"/>
      <c r="G178" s="415"/>
      <c r="H178" s="415"/>
      <c r="I178" s="415"/>
      <c r="J178" s="415"/>
      <c r="K178" s="3329" t="str">
        <f>VLOOKUP($D171,'Expense Comps'!$D$60:$X$75,19,FALSE)</f>
        <v/>
      </c>
      <c r="L178" s="3619" t="str">
        <f>VLOOKUP($D171,'Expense Comps'!$D$60:$X$75,20,FALSE)</f>
        <v/>
      </c>
      <c r="M178" s="258"/>
      <c r="N178" s="6"/>
      <c r="P178" s="42"/>
    </row>
    <row r="179" spans="1:22" ht="18" hidden="1" customHeight="1" x14ac:dyDescent="0.25">
      <c r="A179" s="957">
        <f t="shared" si="18"/>
        <v>0</v>
      </c>
      <c r="B179" s="174"/>
      <c r="C179" s="258"/>
      <c r="D179" s="258" t="str">
        <f>CONCATENATE("Subject ",'Income Expense History'!$E$5," - ",TEXT('Income Expense History'!$E$6,"mm/yyyy"))</f>
        <v>Subject 0 - 01/1900</v>
      </c>
      <c r="E179" s="3329"/>
      <c r="F179" s="3399" t="str">
        <f>IFERROR(E179/Income_EGI_Pool1_1,"")</f>
        <v/>
      </c>
      <c r="G179" s="3329"/>
      <c r="H179" s="3399" t="str">
        <f>IFERROR(G179/Income_EGI_Pool2_1,"")</f>
        <v/>
      </c>
      <c r="I179" s="3329"/>
      <c r="J179" s="3399" t="str">
        <f>IFERROR(I179/Income_EGI_Pool3_1,"")</f>
        <v/>
      </c>
      <c r="K179" s="3329" t="str">
        <f>VLOOKUP($D171,'Income Expense History'!$D$60:$S$76,3,FALSE)</f>
        <v/>
      </c>
      <c r="L179" s="3399" t="str">
        <f>VLOOKUP($D171,'Income Expense History'!$D$60:$S$76,4, FALSE)</f>
        <v>N/A</v>
      </c>
      <c r="M179" s="258"/>
      <c r="N179" s="6"/>
      <c r="P179" s="42"/>
    </row>
    <row r="180" spans="1:22" ht="18" hidden="1" customHeight="1" x14ac:dyDescent="0.25">
      <c r="A180" s="957">
        <f t="shared" si="18"/>
        <v>0</v>
      </c>
      <c r="B180" s="174"/>
      <c r="C180" s="258"/>
      <c r="D180" s="258" t="str">
        <f>CONCATENATE("Subject ",'Income Expense History'!$I$5," - ",TEXT('Income Expense History'!$I$6,"mm/yyyy"))</f>
        <v>Subject 0 - 01/1900</v>
      </c>
      <c r="E180" s="3329"/>
      <c r="F180" s="3399" t="str">
        <f>IFERROR(E180/Income_EGI_Pool1_2,"")</f>
        <v/>
      </c>
      <c r="G180" s="3329"/>
      <c r="H180" s="3399" t="str">
        <f>IFERROR(G180/Income_EGI_Pool2_2,"")</f>
        <v/>
      </c>
      <c r="I180" s="3329"/>
      <c r="J180" s="3399" t="str">
        <f>IFERROR(I180/Income_EGI_Pool3_2,"")</f>
        <v/>
      </c>
      <c r="K180" s="3329" t="str">
        <f>VLOOKUP($D171,'Income Expense History'!$D$60:$S$76,7, FALSE)</f>
        <v/>
      </c>
      <c r="L180" s="3399" t="str">
        <f>VLOOKUP($D171,'Income Expense History'!$D$60:$S$76,8, FALSE)</f>
        <v>N/A</v>
      </c>
      <c r="M180" s="258"/>
      <c r="N180" s="6"/>
      <c r="P180" s="42"/>
    </row>
    <row r="181" spans="1:22" ht="18" hidden="1" customHeight="1" x14ac:dyDescent="0.25">
      <c r="A181" s="957">
        <f t="shared" si="18"/>
        <v>0</v>
      </c>
      <c r="B181" s="174"/>
      <c r="C181" s="258"/>
      <c r="D181" s="258" t="str">
        <f>CONCATENATE("Subject ",'Income Expense History'!$M$5," - ",TEXT('Income Expense History'!$M$6,"mm/yyyy"))</f>
        <v>Subject 0 - 01/1900</v>
      </c>
      <c r="E181" s="3329"/>
      <c r="F181" s="3399" t="str">
        <f>IFERROR(E181/Income_EGI_Pool1_3,"")</f>
        <v/>
      </c>
      <c r="G181" s="3329"/>
      <c r="H181" s="3399" t="str">
        <f>IFERROR(G181/Income_EGI_Pool2_3,"")</f>
        <v/>
      </c>
      <c r="I181" s="3329"/>
      <c r="J181" s="3399" t="str">
        <f>IFERROR(I181/Income_EGI_Pool3_3,"")</f>
        <v/>
      </c>
      <c r="K181" s="3329" t="str">
        <f>VLOOKUP($D171,'Income Expense History'!$D$60:$S$76,11, FALSE)</f>
        <v/>
      </c>
      <c r="L181" s="3399" t="str">
        <f>VLOOKUP($D171,'Income Expense History'!$D$60:$S$76,12, FALSE)</f>
        <v>N/A</v>
      </c>
      <c r="M181" s="258"/>
      <c r="N181" s="6"/>
      <c r="P181" s="42"/>
    </row>
    <row r="182" spans="1:22" ht="18" hidden="1" customHeight="1" x14ac:dyDescent="0.25">
      <c r="A182" s="957">
        <f t="shared" si="18"/>
        <v>0</v>
      </c>
      <c r="B182" s="174"/>
      <c r="C182" s="258"/>
      <c r="D182" s="258" t="str">
        <f>CONCATENATE("Subject ",'Income Expense History'!$Q$5," - ",TEXT('Income Expense History'!$Q$6,"mm/yyyy"))</f>
        <v>Subject 0 - 01/1900</v>
      </c>
      <c r="E182" s="3329"/>
      <c r="F182" s="3399" t="str">
        <f>IFERROR(E182/Income_EGI_Pool1_4,"")</f>
        <v/>
      </c>
      <c r="G182" s="3329"/>
      <c r="H182" s="3399" t="str">
        <f>IFERROR(G182/Income_EGI_Pool2_4,"")</f>
        <v/>
      </c>
      <c r="I182" s="3329"/>
      <c r="J182" s="3399" t="str">
        <f>IFERROR(I182/Income_EGI_Pool3_4,"")</f>
        <v/>
      </c>
      <c r="K182" s="3329" t="str">
        <f>VLOOKUP($D171,'Income Expense History'!$D$60:$S$76,15, FALSE)</f>
        <v/>
      </c>
      <c r="L182" s="3399" t="str">
        <f>VLOOKUP($D171,'Income Expense History'!$D$60:$S$76,16, FALSE)</f>
        <v>N/A</v>
      </c>
      <c r="M182" s="258"/>
      <c r="N182" s="6"/>
      <c r="P182" s="42"/>
    </row>
    <row r="183" spans="1:22" s="406" customFormat="1" ht="18" hidden="1" customHeight="1" x14ac:dyDescent="0.25">
      <c r="A183" s="957">
        <f t="shared" si="18"/>
        <v>0</v>
      </c>
      <c r="B183" s="402"/>
      <c r="C183" s="3625"/>
      <c r="D183" s="3629" t="s">
        <v>394</v>
      </c>
      <c r="E183" s="3630" t="e">
        <f t="shared" ref="E183:J183" si="19">AVERAGE(E174:E182)</f>
        <v>#DIV/0!</v>
      </c>
      <c r="F183" s="3632" t="e">
        <f t="shared" si="19"/>
        <v>#DIV/0!</v>
      </c>
      <c r="G183" s="3630" t="e">
        <f t="shared" si="19"/>
        <v>#DIV/0!</v>
      </c>
      <c r="H183" s="3632" t="e">
        <f t="shared" si="19"/>
        <v>#DIV/0!</v>
      </c>
      <c r="I183" s="3630" t="e">
        <f t="shared" si="19"/>
        <v>#DIV/0!</v>
      </c>
      <c r="J183" s="3632" t="e">
        <f t="shared" si="19"/>
        <v>#DIV/0!</v>
      </c>
      <c r="K183" s="3630" t="str">
        <f>IF(ISERR(AVERAGE(K174:K182)),"",AVERAGE(K174:K182))</f>
        <v/>
      </c>
      <c r="L183" s="3631" t="str">
        <f>IF(ISERR(AVERAGE(L174:L182)),"",AVERAGE(L174:L182))</f>
        <v/>
      </c>
      <c r="M183" s="3625"/>
      <c r="N183" s="403"/>
      <c r="O183" s="404"/>
      <c r="P183" s="404"/>
      <c r="Q183" s="2542"/>
      <c r="R183" s="2272"/>
      <c r="S183" s="2272"/>
      <c r="T183" s="2272"/>
      <c r="U183" s="2272"/>
      <c r="V183" s="2272"/>
    </row>
    <row r="184" spans="1:22" s="406" customFormat="1" ht="18" hidden="1" customHeight="1" x14ac:dyDescent="0.25">
      <c r="A184" s="957">
        <f>IF(AND(Income_TechniqueUsed&lt;&gt;"Direct Capitalization",Expense_Leasing_Number&gt;1),1,0)</f>
        <v>0</v>
      </c>
      <c r="B184" s="402"/>
      <c r="C184" s="3625"/>
      <c r="D184" s="3625" t="s">
        <v>393</v>
      </c>
      <c r="E184" s="1677"/>
      <c r="F184" s="3399" t="e">
        <f>E184/Income_EGI_Pool1_1</f>
        <v>#DIV/0!</v>
      </c>
      <c r="G184" s="1677"/>
      <c r="H184" s="3399" t="e">
        <f>G184/Income_EGI_Pool2_1</f>
        <v>#DIV/0!</v>
      </c>
      <c r="I184" s="1677"/>
      <c r="J184" s="3399" t="e">
        <f>I184/Income_EGI_Pool3_1</f>
        <v>#DIV/0!</v>
      </c>
      <c r="K184" s="1677"/>
      <c r="L184" s="1698" t="e">
        <f>dpIncome_Expense_Leasing_Year1*Subject_NRA/VLOOKUP("Effective Gross Revenue",'DCF 1'!$E$8:$I$107,2,FALSE)+0</f>
        <v>#N/A</v>
      </c>
      <c r="M184" s="3625"/>
      <c r="N184" s="403"/>
      <c r="O184" s="404"/>
      <c r="P184" s="404"/>
      <c r="Q184" s="2542"/>
      <c r="R184" s="2272"/>
      <c r="S184" s="2272"/>
      <c r="T184" s="2272"/>
      <c r="U184" s="2272"/>
      <c r="V184" s="2272"/>
    </row>
    <row r="185" spans="1:22" s="406" customFormat="1" ht="18" hidden="1" customHeight="1" x14ac:dyDescent="0.25">
      <c r="A185" s="957">
        <f>IF(AND(Income_TechniqueUsed&lt;&gt;"Direct Capitalization",Expense_Leasing_Number&gt;2),1,0)</f>
        <v>0</v>
      </c>
      <c r="B185" s="402"/>
      <c r="C185" s="3625"/>
      <c r="D185" s="3625" t="s">
        <v>419</v>
      </c>
      <c r="E185" s="1677"/>
      <c r="F185" s="3399" t="e">
        <f>E185/Income_EGI_Pool1_1</f>
        <v>#DIV/0!</v>
      </c>
      <c r="G185" s="1677"/>
      <c r="H185" s="3399" t="e">
        <f>G185/Income_EGI_Pool2_1</f>
        <v>#DIV/0!</v>
      </c>
      <c r="I185" s="1677"/>
      <c r="J185" s="3399" t="e">
        <f>I185/Income_EGI_Pool3_1</f>
        <v>#DIV/0!</v>
      </c>
      <c r="K185" s="1677"/>
      <c r="L185" s="1698" t="e">
        <f>dpIncome_Expense_Leasing_Year2*Subject_NRA/VLOOKUP("Effective Gross Revenue",'DCF 1'!$E$8:$I$107,3,FALSE)+0</f>
        <v>#N/A</v>
      </c>
      <c r="M185" s="3625"/>
      <c r="N185" s="403"/>
      <c r="O185" s="404"/>
      <c r="P185" s="404"/>
      <c r="Q185" s="2542"/>
      <c r="R185" s="2272"/>
      <c r="S185" s="2272"/>
      <c r="T185" s="2272"/>
      <c r="U185" s="2272"/>
      <c r="V185" s="2272"/>
    </row>
    <row r="186" spans="1:22" s="406" customFormat="1" ht="18" hidden="1" customHeight="1" x14ac:dyDescent="0.25">
      <c r="A186" s="957">
        <f>IF(AND(Income_TechniqueUsed&lt;&gt;"Direct Capitalization",Expense_Leasing_Number&gt;3),1,0)</f>
        <v>0</v>
      </c>
      <c r="B186" s="402"/>
      <c r="C186" s="3625"/>
      <c r="D186" s="3625" t="s">
        <v>420</v>
      </c>
      <c r="E186" s="1677"/>
      <c r="F186" s="3399" t="e">
        <f>E186/Income_EGI_Pool1_1</f>
        <v>#DIV/0!</v>
      </c>
      <c r="G186" s="1677"/>
      <c r="H186" s="3399" t="e">
        <f>G186/Income_EGI_Pool2_1</f>
        <v>#DIV/0!</v>
      </c>
      <c r="I186" s="1677"/>
      <c r="J186" s="3399" t="e">
        <f>I186/Income_EGI_Pool3_1</f>
        <v>#DIV/0!</v>
      </c>
      <c r="K186" s="1677"/>
      <c r="L186" s="1698" t="e">
        <f>dpIncome_Expense_Leasing_Year3*Subject_NRA/VLOOKUP("Effective Gross Revenue",'DCF 1'!$E$8:$I$107,4,FALSE)+0</f>
        <v>#N/A</v>
      </c>
      <c r="M186" s="3625"/>
      <c r="N186" s="403"/>
      <c r="O186" s="404"/>
      <c r="P186" s="404"/>
      <c r="Q186" s="2542"/>
      <c r="R186" s="2272"/>
      <c r="S186" s="2272"/>
      <c r="T186" s="2272"/>
      <c r="U186" s="2272"/>
      <c r="V186" s="2272"/>
    </row>
    <row r="187" spans="1:22" s="406" customFormat="1" ht="18" hidden="1" customHeight="1" thickBot="1" x14ac:dyDescent="0.3">
      <c r="A187" s="957">
        <f>IF(OR(Expense_Leasing_Reimb=1,Expense_Leasing_NonReimb=1),1,0)</f>
        <v>0</v>
      </c>
      <c r="B187" s="402"/>
      <c r="C187" s="3625"/>
      <c r="D187" s="3628" t="str">
        <f>IF(P171="Year 1 Only","Year 1 Estimate:","Stabilized Estimate:")</f>
        <v>Stabilized Estimate:</v>
      </c>
      <c r="E187" s="1678"/>
      <c r="F187" s="3633" t="e">
        <f>E187/Income_EGI_Pool1_1</f>
        <v>#DIV/0!</v>
      </c>
      <c r="G187" s="1678"/>
      <c r="H187" s="3633" t="e">
        <f>G187/Income_EGI_Pool2_1</f>
        <v>#DIV/0!</v>
      </c>
      <c r="I187" s="1678"/>
      <c r="J187" s="3633" t="e">
        <f>I187/Income_EGI_Pool3_1</f>
        <v>#DIV/0!</v>
      </c>
      <c r="K187" s="1678"/>
      <c r="L187" s="1699">
        <f ca="1">IF(P171="Stabilized Only",dpIncome_Expense_Leasing_Stabilized*Subject_NRA/dpIncome_DirectCap_EGI,dpIncome_Expense_Leasing_Stabilized*Subject_NRA/VLOOKUP("Effective Gross Revenue",'DCF 1'!$E$8:$I$107,2,FALSE)+0)</f>
        <v>0</v>
      </c>
      <c r="M187" s="3625"/>
      <c r="N187" s="403"/>
      <c r="O187" s="404"/>
      <c r="P187" s="404"/>
      <c r="Q187" s="2542"/>
      <c r="R187" s="2272"/>
      <c r="S187" s="2272"/>
      <c r="T187" s="2272"/>
      <c r="U187" s="2272"/>
      <c r="V187" s="2272"/>
    </row>
    <row r="188" spans="1:22" ht="15.95" hidden="1" customHeight="1" thickBot="1" x14ac:dyDescent="0.3">
      <c r="A188" s="957">
        <f>IF(OR(Expense_Leasing_Reimb=1,Expense_Leasing_NonReimb=1),1,0)</f>
        <v>0</v>
      </c>
      <c r="B188" s="174"/>
      <c r="C188" s="5"/>
      <c r="D188" s="43" t="s">
        <v>909</v>
      </c>
      <c r="E188" s="804"/>
      <c r="F188" s="804"/>
      <c r="G188" s="804"/>
      <c r="H188" s="804"/>
      <c r="I188" s="804"/>
      <c r="J188" s="804"/>
      <c r="K188" s="19"/>
      <c r="L188" s="19"/>
      <c r="M188" s="5"/>
      <c r="N188" s="6"/>
      <c r="P188" s="42"/>
    </row>
    <row r="189" spans="1:22" ht="17.25" hidden="1" thickBot="1" x14ac:dyDescent="0.35">
      <c r="A189" s="957">
        <f>IF(OR(Expense_Payroll_Reimb=1,Expense_Payroll_NonReimb=1),1,0)</f>
        <v>0</v>
      </c>
      <c r="B189" s="174"/>
      <c r="C189" s="246"/>
      <c r="D189" s="246" t="str">
        <f>dpIncome_ExpenseCat_11</f>
        <v>Payroll</v>
      </c>
      <c r="E189" s="4299"/>
      <c r="F189" s="4299"/>
      <c r="G189" s="804"/>
      <c r="H189" s="804"/>
      <c r="I189" s="804"/>
      <c r="J189" s="804"/>
      <c r="K189" s="804"/>
      <c r="L189" s="804"/>
      <c r="M189" s="52"/>
      <c r="N189" s="6"/>
      <c r="P189" s="235" t="s">
        <v>430</v>
      </c>
    </row>
    <row r="190" spans="1:22" ht="15.95" hidden="1" customHeight="1" x14ac:dyDescent="0.25">
      <c r="A190" s="957">
        <f>IF(OR(Expense_Payroll_Reimb=1,Expense_Payroll_NonReimb=1),IF(Main_ExpensePool_Count&gt;1,1,0),0)</f>
        <v>0</v>
      </c>
      <c r="B190" s="174"/>
      <c r="C190" s="12"/>
      <c r="D190" s="12"/>
      <c r="E190" s="4090" t="str">
        <f>$E$10</f>
        <v>Expense Pool 1</v>
      </c>
      <c r="F190" s="4090"/>
      <c r="G190" s="4090" t="str">
        <f>$G$10</f>
        <v>Expense Pool 2</v>
      </c>
      <c r="H190" s="4090"/>
      <c r="I190" s="4090" t="str">
        <f>$I$10</f>
        <v>Expense Pool 3</v>
      </c>
      <c r="J190" s="4090"/>
      <c r="K190" s="4164" t="str">
        <f>$K$10</f>
        <v>Total Expense</v>
      </c>
      <c r="L190" s="4164"/>
      <c r="N190" s="6"/>
      <c r="P190" s="707"/>
    </row>
    <row r="191" spans="1:22" ht="15.95" hidden="1" customHeight="1" x14ac:dyDescent="0.25">
      <c r="A191" s="957">
        <f>IF(OR(Expense_Payroll_Reimb=1,Expense_Payroll_NonReimb=1),1,0)</f>
        <v>0</v>
      </c>
      <c r="B191" s="174"/>
      <c r="C191" s="12"/>
      <c r="D191" s="12" t="s">
        <v>1577</v>
      </c>
      <c r="E191" s="55" t="s">
        <v>390</v>
      </c>
      <c r="F191" s="55" t="s">
        <v>391</v>
      </c>
      <c r="G191" s="55" t="s">
        <v>390</v>
      </c>
      <c r="H191" s="55" t="s">
        <v>391</v>
      </c>
      <c r="I191" s="55" t="s">
        <v>390</v>
      </c>
      <c r="J191" s="55" t="s">
        <v>391</v>
      </c>
      <c r="K191" s="55" t="s">
        <v>390</v>
      </c>
      <c r="L191" s="55" t="s">
        <v>391</v>
      </c>
      <c r="N191" s="6"/>
      <c r="P191" s="707"/>
    </row>
    <row r="192" spans="1:22" ht="18" hidden="1" customHeight="1" x14ac:dyDescent="0.25">
      <c r="A192" s="957">
        <f t="shared" ref="A192:A201" si="20">IF(OR(Expense_Payroll_Reimb=1,Expense_Payroll_NonReimb=1),IF(K192="",0,1),0)</f>
        <v>0</v>
      </c>
      <c r="B192" s="174"/>
      <c r="C192" s="258"/>
      <c r="D192" s="258" t="str">
        <f>CONCATENATE('Expense Comps'!$E$5, " - ",'Expense Comps'!$E$7," - ",'Expense Comps'!$E$9," - ",TEXT('Expense Comps'!$E$10,"mm/yyyy"))</f>
        <v>Expense Comp # 1 -  - 0 - 01/1900</v>
      </c>
      <c r="E192" s="415"/>
      <c r="F192" s="415"/>
      <c r="G192" s="415"/>
      <c r="H192" s="415"/>
      <c r="I192" s="415"/>
      <c r="J192" s="415"/>
      <c r="K192" s="3329" t="str">
        <f>VLOOKUP($D189,'Expense Comps'!$D$65:$X$75,3,FALSE)</f>
        <v/>
      </c>
      <c r="L192" s="3619" t="str">
        <f>VLOOKUP($D189,'Expense Comps'!$D$65:$X$75,4,FALSE)</f>
        <v/>
      </c>
      <c r="M192" s="258"/>
      <c r="N192" s="6"/>
      <c r="P192" s="664">
        <f>IF(Expense_Payroll_Reimb,dpIncome_Expense_Payroll_Stabilized,0)</f>
        <v>0</v>
      </c>
    </row>
    <row r="193" spans="1:22" ht="18" hidden="1" customHeight="1" x14ac:dyDescent="0.25">
      <c r="A193" s="957">
        <f t="shared" si="20"/>
        <v>0</v>
      </c>
      <c r="B193" s="174"/>
      <c r="C193" s="258"/>
      <c r="D193" s="258" t="str">
        <f>CONCATENATE('Expense Comps'!$I$5, " - ",'Expense Comps'!$I$7," - ",'Expense Comps'!$I$9," - ",TEXT('Expense Comps'!$I$10,"mm/yyyy"))</f>
        <v>Expense Comp # 2 -  - 0 - 01/1900</v>
      </c>
      <c r="E193" s="415"/>
      <c r="F193" s="415"/>
      <c r="G193" s="415"/>
      <c r="H193" s="415"/>
      <c r="I193" s="415"/>
      <c r="J193" s="415"/>
      <c r="K193" s="3329" t="str">
        <f>VLOOKUP($D189,'Expense Comps'!$D$65:$X$75,7,FALSE)</f>
        <v/>
      </c>
      <c r="L193" s="3619" t="str">
        <f>VLOOKUP($D189,'Expense Comps'!$D$65:$X$75,8,FALSE)</f>
        <v/>
      </c>
      <c r="M193" s="258"/>
      <c r="N193" s="6"/>
      <c r="P193" s="42"/>
    </row>
    <row r="194" spans="1:22" ht="18" hidden="1" customHeight="1" x14ac:dyDescent="0.25">
      <c r="A194" s="957">
        <f t="shared" si="20"/>
        <v>0</v>
      </c>
      <c r="B194" s="174"/>
      <c r="C194" s="258"/>
      <c r="D194" s="258" t="str">
        <f>CONCATENATE('Expense Comps'!$M$5, " - ",'Expense Comps'!$M$7," - ",'Expense Comps'!$M$9," - ",TEXT('Expense Comps'!$M$10,"mm/yyyy"))</f>
        <v>Expense Comp # 3 -  - 0 - 01/1900</v>
      </c>
      <c r="E194" s="415"/>
      <c r="F194" s="415"/>
      <c r="G194" s="415"/>
      <c r="H194" s="415"/>
      <c r="I194" s="415"/>
      <c r="J194" s="415"/>
      <c r="K194" s="3329" t="str">
        <f>VLOOKUP($D189,'Expense Comps'!$D$65:$X$75,11,FALSE)</f>
        <v/>
      </c>
      <c r="L194" s="3619" t="str">
        <f>VLOOKUP($D189,'Expense Comps'!$D$65:$X$75,12,FALSE)</f>
        <v/>
      </c>
      <c r="M194" s="258"/>
      <c r="N194" s="6"/>
      <c r="P194" s="42"/>
    </row>
    <row r="195" spans="1:22" ht="18" hidden="1" customHeight="1" x14ac:dyDescent="0.25">
      <c r="A195" s="957">
        <f t="shared" si="20"/>
        <v>0</v>
      </c>
      <c r="B195" s="174"/>
      <c r="C195" s="258"/>
      <c r="D195" s="258" t="str">
        <f>CONCATENATE('Expense Comps'!$Q$5, " - ",'Expense Comps'!$Q$7," - ",'Expense Comps'!$Q$9," - ",TEXT('Expense Comps'!$Q$10,"mm/yyyy"))</f>
        <v>Expense Comp # 4 -  - 0 - 01/1900</v>
      </c>
      <c r="E195" s="415"/>
      <c r="F195" s="415"/>
      <c r="G195" s="415"/>
      <c r="H195" s="415"/>
      <c r="I195" s="415"/>
      <c r="J195" s="415"/>
      <c r="K195" s="3329" t="str">
        <f>VLOOKUP($D189,'Expense Comps'!$D$65:$X$75,15,FALSE)</f>
        <v/>
      </c>
      <c r="L195" s="3619" t="str">
        <f>VLOOKUP($D189,'Expense Comps'!$D$65:$X$75,16,FALSE)</f>
        <v/>
      </c>
      <c r="M195" s="258"/>
      <c r="N195" s="6"/>
      <c r="P195" s="42"/>
    </row>
    <row r="196" spans="1:22" ht="18" hidden="1" customHeight="1" x14ac:dyDescent="0.25">
      <c r="A196" s="957">
        <f t="shared" si="20"/>
        <v>0</v>
      </c>
      <c r="B196" s="174"/>
      <c r="C196" s="258"/>
      <c r="D196" s="258" t="str">
        <f>CONCATENATE('Expense Comps'!$U$5, " - ",'Expense Comps'!$U$7," - ",'Expense Comps'!$U$9," - ",TEXT('Expense Comps'!$U$10,"mm/yyyy"))</f>
        <v>Expense Comp # 5 -  - 0 - 01/1900</v>
      </c>
      <c r="E196" s="415"/>
      <c r="F196" s="415"/>
      <c r="G196" s="415"/>
      <c r="H196" s="415"/>
      <c r="I196" s="415"/>
      <c r="J196" s="415"/>
      <c r="K196" s="3329" t="str">
        <f>VLOOKUP($D189,'Expense Comps'!$D$65:$X$75,19,FALSE)</f>
        <v/>
      </c>
      <c r="L196" s="3619" t="str">
        <f>VLOOKUP($D189,'Expense Comps'!$D$65:$X$75,20,FALSE)</f>
        <v/>
      </c>
      <c r="M196" s="258"/>
      <c r="N196" s="6"/>
      <c r="P196" s="42"/>
    </row>
    <row r="197" spans="1:22" ht="18" hidden="1" customHeight="1" x14ac:dyDescent="0.25">
      <c r="A197" s="957">
        <f t="shared" si="20"/>
        <v>0</v>
      </c>
      <c r="B197" s="174"/>
      <c r="C197" s="258"/>
      <c r="D197" s="258" t="str">
        <f>CONCATENATE("Subject ",'Income Expense History'!$E$5," - ",TEXT('Income Expense History'!$E$6,"mm/yyyy"))</f>
        <v>Subject 0 - 01/1900</v>
      </c>
      <c r="E197" s="3329"/>
      <c r="F197" s="3399" t="str">
        <f>IFERROR(E197/Income_EGI_Pool1_1,"")</f>
        <v/>
      </c>
      <c r="G197" s="3329"/>
      <c r="H197" s="3399" t="str">
        <f>IFERROR(G197/Income_EGI_Pool2_1,"")</f>
        <v/>
      </c>
      <c r="I197" s="3329"/>
      <c r="J197" s="3399" t="str">
        <f>IFERROR(I197/Income_EGI_Pool3_1,"")</f>
        <v/>
      </c>
      <c r="K197" s="3329" t="str">
        <f>VLOOKUP($D189,'Income Expense History'!$D$65:$S$76,3,FALSE)</f>
        <v/>
      </c>
      <c r="L197" s="3399" t="str">
        <f>VLOOKUP($D189,'Income Expense History'!$D$65:$S$76,4, FALSE)</f>
        <v>N/A</v>
      </c>
      <c r="M197" s="258"/>
      <c r="N197" s="6"/>
      <c r="P197" s="42"/>
    </row>
    <row r="198" spans="1:22" ht="18" hidden="1" customHeight="1" x14ac:dyDescent="0.25">
      <c r="A198" s="957">
        <f t="shared" si="20"/>
        <v>0</v>
      </c>
      <c r="B198" s="174"/>
      <c r="C198" s="258"/>
      <c r="D198" s="258" t="str">
        <f>CONCATENATE("Subject ",'Income Expense History'!$I$5," - ",TEXT('Income Expense History'!$I$6,"mm/yyyy"))</f>
        <v>Subject 0 - 01/1900</v>
      </c>
      <c r="E198" s="3329"/>
      <c r="F198" s="3399" t="str">
        <f>IFERROR(E198/Income_EGI_Pool1_2,"")</f>
        <v/>
      </c>
      <c r="G198" s="3329"/>
      <c r="H198" s="3399" t="str">
        <f>IFERROR(G198/Income_EGI_Pool2_2,"")</f>
        <v/>
      </c>
      <c r="I198" s="3329"/>
      <c r="J198" s="3399" t="str">
        <f>IFERROR(I198/Income_EGI_Pool3_2,"")</f>
        <v/>
      </c>
      <c r="K198" s="3329" t="str">
        <f>VLOOKUP($D189,'Income Expense History'!$D$65:$S$76,7, FALSE)</f>
        <v/>
      </c>
      <c r="L198" s="3399" t="str">
        <f>VLOOKUP($D189,'Income Expense History'!$D$65:$S$76,8, FALSE)</f>
        <v>N/A</v>
      </c>
      <c r="M198" s="258"/>
      <c r="N198" s="6"/>
      <c r="P198" s="42"/>
    </row>
    <row r="199" spans="1:22" ht="18" hidden="1" customHeight="1" x14ac:dyDescent="0.25">
      <c r="A199" s="957">
        <f t="shared" si="20"/>
        <v>0</v>
      </c>
      <c r="B199" s="174"/>
      <c r="C199" s="258"/>
      <c r="D199" s="258" t="str">
        <f>CONCATENATE("Subject ",'Income Expense History'!$M$5," - ",TEXT('Income Expense History'!$M$6,"mm/yyyy"))</f>
        <v>Subject 0 - 01/1900</v>
      </c>
      <c r="E199" s="3329"/>
      <c r="F199" s="3399" t="str">
        <f>IFERROR(E199/Income_EGI_Pool1_3,"")</f>
        <v/>
      </c>
      <c r="G199" s="3329"/>
      <c r="H199" s="3399" t="str">
        <f>IFERROR(G199/Income_EGI_Pool2_3,"")</f>
        <v/>
      </c>
      <c r="I199" s="3329"/>
      <c r="J199" s="3399" t="str">
        <f>IFERROR(I199/Income_EGI_Pool3_3,"")</f>
        <v/>
      </c>
      <c r="K199" s="3329" t="str">
        <f>VLOOKUP($D189,'Income Expense History'!$D$65:$S$76,11, FALSE)</f>
        <v/>
      </c>
      <c r="L199" s="3399" t="str">
        <f>VLOOKUP($D189,'Income Expense History'!$D$65:$S$76,12, FALSE)</f>
        <v>N/A</v>
      </c>
      <c r="M199" s="258"/>
      <c r="N199" s="6"/>
      <c r="P199" s="42"/>
    </row>
    <row r="200" spans="1:22" ht="18" hidden="1" customHeight="1" x14ac:dyDescent="0.25">
      <c r="A200" s="957">
        <f t="shared" si="20"/>
        <v>0</v>
      </c>
      <c r="B200" s="174"/>
      <c r="C200" s="258"/>
      <c r="D200" s="258" t="str">
        <f>CONCATENATE("Subject ",'Income Expense History'!$Q$5," - ",TEXT('Income Expense History'!$Q$6,"mm/yyyy"))</f>
        <v>Subject 0 - 01/1900</v>
      </c>
      <c r="E200" s="3329"/>
      <c r="F200" s="3399" t="str">
        <f>IFERROR(E200/Income_EGI_Pool1_4,"")</f>
        <v/>
      </c>
      <c r="G200" s="3329"/>
      <c r="H200" s="3399" t="str">
        <f>IFERROR(G200/Income_EGI_Pool2_4,"")</f>
        <v/>
      </c>
      <c r="I200" s="3329"/>
      <c r="J200" s="3399" t="str">
        <f>IFERROR(I200/Income_EGI_Pool3_4,"")</f>
        <v/>
      </c>
      <c r="K200" s="3329" t="str">
        <f>VLOOKUP($D189,'Income Expense History'!$D$65:$S$76,15, FALSE)</f>
        <v/>
      </c>
      <c r="L200" s="3399" t="str">
        <f>VLOOKUP($D189,'Income Expense History'!$D$65:$S$76,16, FALSE)</f>
        <v>N/A</v>
      </c>
      <c r="M200" s="258"/>
      <c r="N200" s="6"/>
      <c r="P200" s="42"/>
    </row>
    <row r="201" spans="1:22" s="406" customFormat="1" ht="18" hidden="1" customHeight="1" x14ac:dyDescent="0.25">
      <c r="A201" s="957">
        <f t="shared" si="20"/>
        <v>0</v>
      </c>
      <c r="B201" s="402"/>
      <c r="C201" s="3625"/>
      <c r="D201" s="3629" t="s">
        <v>394</v>
      </c>
      <c r="E201" s="3630" t="e">
        <f t="shared" ref="E201:J201" si="21">AVERAGE(E192:E200)</f>
        <v>#DIV/0!</v>
      </c>
      <c r="F201" s="3632" t="e">
        <f t="shared" si="21"/>
        <v>#DIV/0!</v>
      </c>
      <c r="G201" s="3630" t="e">
        <f t="shared" si="21"/>
        <v>#DIV/0!</v>
      </c>
      <c r="H201" s="3632" t="e">
        <f t="shared" si="21"/>
        <v>#DIV/0!</v>
      </c>
      <c r="I201" s="3630" t="e">
        <f t="shared" si="21"/>
        <v>#DIV/0!</v>
      </c>
      <c r="J201" s="3632" t="e">
        <f t="shared" si="21"/>
        <v>#DIV/0!</v>
      </c>
      <c r="K201" s="3630" t="str">
        <f>IF(ISERR(AVERAGE(K192:K200)),"",AVERAGE(K192:K200))</f>
        <v/>
      </c>
      <c r="L201" s="3631" t="str">
        <f>IF(ISERR(AVERAGE(L192:L200)),"",AVERAGE(L192:L200))</f>
        <v/>
      </c>
      <c r="M201" s="3625"/>
      <c r="N201" s="403"/>
      <c r="O201" s="404"/>
      <c r="P201" s="404"/>
      <c r="Q201" s="2542"/>
      <c r="R201" s="2272"/>
      <c r="S201" s="2272"/>
      <c r="T201" s="2272"/>
      <c r="U201" s="2272"/>
      <c r="V201" s="2272"/>
    </row>
    <row r="202" spans="1:22" s="406" customFormat="1" ht="18" hidden="1" customHeight="1" x14ac:dyDescent="0.25">
      <c r="A202" s="957">
        <f>IF(AND(Income_TechniqueUsed&lt;&gt;"Direct Capitalization",Expense_Payroll_Number&gt;1),1,0)</f>
        <v>0</v>
      </c>
      <c r="B202" s="402"/>
      <c r="C202" s="3625"/>
      <c r="D202" s="3625" t="s">
        <v>393</v>
      </c>
      <c r="E202" s="1677"/>
      <c r="F202" s="3399" t="e">
        <f>E202/Income_EGI_Pool1_1</f>
        <v>#DIV/0!</v>
      </c>
      <c r="G202" s="1677"/>
      <c r="H202" s="3399" t="e">
        <f>G202/Income_EGI_Pool2_1</f>
        <v>#DIV/0!</v>
      </c>
      <c r="I202" s="1677"/>
      <c r="J202" s="3399" t="e">
        <f>I202/Income_EGI_Pool3_1</f>
        <v>#DIV/0!</v>
      </c>
      <c r="K202" s="1677"/>
      <c r="L202" s="1698" t="e">
        <f>dpIncome_Expense_Payroll_Year1*Subject_NRA/VLOOKUP("Effective Gross Revenue",'DCF 1'!$E$8:$I$107,2,FALSE)+0</f>
        <v>#N/A</v>
      </c>
      <c r="M202" s="3625"/>
      <c r="N202" s="403"/>
      <c r="O202" s="404"/>
      <c r="P202" s="404"/>
      <c r="Q202" s="2542"/>
      <c r="R202" s="2272"/>
      <c r="S202" s="2272"/>
      <c r="T202" s="2272"/>
      <c r="U202" s="2272"/>
      <c r="V202" s="2272"/>
    </row>
    <row r="203" spans="1:22" s="406" customFormat="1" ht="18" hidden="1" customHeight="1" x14ac:dyDescent="0.25">
      <c r="A203" s="957">
        <f>IF(AND(Income_TechniqueUsed&lt;&gt;"Direct Capitalization",Expense_Payroll_Number&gt;2),1,0)</f>
        <v>0</v>
      </c>
      <c r="B203" s="402"/>
      <c r="C203" s="3625"/>
      <c r="D203" s="3625" t="s">
        <v>419</v>
      </c>
      <c r="E203" s="1677"/>
      <c r="F203" s="3399" t="e">
        <f>E203/Income_EGI_Pool1_1</f>
        <v>#DIV/0!</v>
      </c>
      <c r="G203" s="1677"/>
      <c r="H203" s="3399" t="e">
        <f>G203/Income_EGI_Pool2_1</f>
        <v>#DIV/0!</v>
      </c>
      <c r="I203" s="1677"/>
      <c r="J203" s="3399" t="e">
        <f>I203/Income_EGI_Pool3_1</f>
        <v>#DIV/0!</v>
      </c>
      <c r="K203" s="1677"/>
      <c r="L203" s="1698" t="e">
        <f>dpIncome_Expense_Payroll_Year2*Subject_NRA/VLOOKUP("Effective Gross Revenue",'DCF 1'!$E$8:$I$107,3,FALSE)+0</f>
        <v>#N/A</v>
      </c>
      <c r="M203" s="3625"/>
      <c r="N203" s="403"/>
      <c r="O203" s="404"/>
      <c r="P203" s="404"/>
      <c r="Q203" s="2542"/>
      <c r="R203" s="2272"/>
      <c r="S203" s="2272"/>
      <c r="T203" s="2272"/>
      <c r="U203" s="2272"/>
      <c r="V203" s="2272"/>
    </row>
    <row r="204" spans="1:22" s="406" customFormat="1" ht="18" hidden="1" customHeight="1" x14ac:dyDescent="0.25">
      <c r="A204" s="957">
        <f>IF(AND(Income_TechniqueUsed&lt;&gt;"Direct Capitalization",Expense_Payroll_Number&gt;3),1,0)</f>
        <v>0</v>
      </c>
      <c r="B204" s="402"/>
      <c r="C204" s="3625"/>
      <c r="D204" s="3625" t="s">
        <v>420</v>
      </c>
      <c r="E204" s="1677"/>
      <c r="F204" s="3399" t="e">
        <f>E204/Income_EGI_Pool1_1</f>
        <v>#DIV/0!</v>
      </c>
      <c r="G204" s="1677"/>
      <c r="H204" s="3399" t="e">
        <f>G204/Income_EGI_Pool2_1</f>
        <v>#DIV/0!</v>
      </c>
      <c r="I204" s="1677"/>
      <c r="J204" s="3399" t="e">
        <f>I204/Income_EGI_Pool3_1</f>
        <v>#DIV/0!</v>
      </c>
      <c r="K204" s="1677"/>
      <c r="L204" s="1698" t="e">
        <f>dpIncome_Expense_Payroll_Year3*Subject_NRA/VLOOKUP("Effective Gross Revenue",'DCF 1'!$E$8:$I$107,4,FALSE)+0</f>
        <v>#N/A</v>
      </c>
      <c r="M204" s="3625"/>
      <c r="N204" s="403"/>
      <c r="O204" s="404"/>
      <c r="P204" s="404"/>
      <c r="Q204" s="2542"/>
      <c r="R204" s="2272"/>
      <c r="S204" s="2272"/>
      <c r="T204" s="2272"/>
      <c r="U204" s="2272"/>
      <c r="V204" s="2272"/>
    </row>
    <row r="205" spans="1:22" s="406" customFormat="1" ht="18" hidden="1" customHeight="1" thickBot="1" x14ac:dyDescent="0.3">
      <c r="A205" s="957">
        <f>IF(OR(Expense_Payroll_Reimb=1,Expense_Payroll_NonReimb=1),1,0)</f>
        <v>0</v>
      </c>
      <c r="B205" s="402"/>
      <c r="C205" s="3625"/>
      <c r="D205" s="3628" t="str">
        <f>IF(P189="Year 1 Only","Year 1 Estimate:","Stabilized Estimate:")</f>
        <v>Stabilized Estimate:</v>
      </c>
      <c r="E205" s="1678"/>
      <c r="F205" s="3633" t="e">
        <f>E205/Income_EGI_Pool1_1</f>
        <v>#DIV/0!</v>
      </c>
      <c r="G205" s="1678"/>
      <c r="H205" s="3633" t="e">
        <f>G205/Income_EGI_Pool2_1</f>
        <v>#DIV/0!</v>
      </c>
      <c r="I205" s="1678"/>
      <c r="J205" s="3633" t="e">
        <f>I205/Income_EGI_Pool3_1</f>
        <v>#DIV/0!</v>
      </c>
      <c r="K205" s="1678"/>
      <c r="L205" s="1699">
        <f ca="1">IF(P189="Stabilized Only",dpIncome_Expense_Payroll_Stabilized*Subject_NRA/dpIncome_DirectCap_EGI,dpIncome_Expense_Payroll_Stabilized*Subject_NRA/VLOOKUP("Effective Gross Revenue",'DCF 1'!$E$8:$I$107,2,FALSE)+0)</f>
        <v>0</v>
      </c>
      <c r="M205" s="3625"/>
      <c r="N205" s="403"/>
      <c r="O205" s="404"/>
      <c r="P205" s="404"/>
      <c r="Q205" s="2542"/>
      <c r="R205" s="2272"/>
      <c r="S205" s="2272"/>
      <c r="T205" s="2272"/>
      <c r="U205" s="2272"/>
      <c r="V205" s="2272"/>
    </row>
    <row r="206" spans="1:22" ht="15.95" hidden="1" customHeight="1" thickBot="1" x14ac:dyDescent="0.3">
      <c r="A206" s="957">
        <f>IF(OR(Expense_Payroll_Reimb=1,Expense_Payroll_NonReimb=1),1,0)</f>
        <v>0</v>
      </c>
      <c r="B206" s="174"/>
      <c r="C206" s="5"/>
      <c r="D206" s="43" t="s">
        <v>910</v>
      </c>
      <c r="E206" s="804"/>
      <c r="F206" s="804"/>
      <c r="G206" s="804"/>
      <c r="H206" s="804"/>
      <c r="I206" s="804"/>
      <c r="J206" s="804"/>
      <c r="K206" s="19"/>
      <c r="L206" s="19"/>
      <c r="M206" s="5"/>
      <c r="N206" s="6"/>
      <c r="P206" s="42"/>
    </row>
    <row r="207" spans="1:22" ht="17.25" hidden="1" thickBot="1" x14ac:dyDescent="0.35">
      <c r="A207" s="957">
        <f>IF(OR(Expense_Security_Reimb=1,Expense_Security_NonReimb=1),1,0)</f>
        <v>0</v>
      </c>
      <c r="B207" s="174"/>
      <c r="C207" s="246"/>
      <c r="D207" s="246" t="str">
        <f>dpIncome_ExpenseCat_12</f>
        <v>Security</v>
      </c>
      <c r="E207" s="4299"/>
      <c r="F207" s="4299"/>
      <c r="G207" s="804"/>
      <c r="H207" s="804"/>
      <c r="I207" s="804"/>
      <c r="J207" s="804"/>
      <c r="K207" s="804"/>
      <c r="L207" s="804"/>
      <c r="M207" s="52"/>
      <c r="N207" s="6"/>
      <c r="P207" s="235" t="s">
        <v>430</v>
      </c>
    </row>
    <row r="208" spans="1:22" ht="15.95" hidden="1" customHeight="1" x14ac:dyDescent="0.25">
      <c r="A208" s="957">
        <f>IF(OR(Expense_Security_Reimb=1,Expense_Security_NonReimb=1),IF(Main_ExpensePool_Count&gt;1,1,0),0)</f>
        <v>0</v>
      </c>
      <c r="B208" s="174"/>
      <c r="C208" s="12"/>
      <c r="D208" s="12"/>
      <c r="E208" s="4090" t="str">
        <f>$E$10</f>
        <v>Expense Pool 1</v>
      </c>
      <c r="F208" s="4090"/>
      <c r="G208" s="4090" t="str">
        <f>$G$10</f>
        <v>Expense Pool 2</v>
      </c>
      <c r="H208" s="4090"/>
      <c r="I208" s="4090" t="str">
        <f>$I$10</f>
        <v>Expense Pool 3</v>
      </c>
      <c r="J208" s="4090"/>
      <c r="K208" s="4164" t="str">
        <f>$K$10</f>
        <v>Total Expense</v>
      </c>
      <c r="L208" s="4164"/>
      <c r="N208" s="6"/>
      <c r="P208" s="707"/>
    </row>
    <row r="209" spans="1:22" ht="15.95" hidden="1" customHeight="1" x14ac:dyDescent="0.25">
      <c r="A209" s="957">
        <f>IF(OR(Expense_Security_Reimb=1,Expense_Security_NonReimb=1),1,0)</f>
        <v>0</v>
      </c>
      <c r="B209" s="174"/>
      <c r="C209" s="12"/>
      <c r="D209" s="12" t="s">
        <v>1577</v>
      </c>
      <c r="E209" s="55" t="s">
        <v>390</v>
      </c>
      <c r="F209" s="55" t="s">
        <v>391</v>
      </c>
      <c r="G209" s="55" t="s">
        <v>390</v>
      </c>
      <c r="H209" s="55" t="s">
        <v>391</v>
      </c>
      <c r="I209" s="55" t="s">
        <v>390</v>
      </c>
      <c r="J209" s="55" t="s">
        <v>391</v>
      </c>
      <c r="K209" s="55" t="s">
        <v>390</v>
      </c>
      <c r="L209" s="55" t="s">
        <v>391</v>
      </c>
      <c r="N209" s="6"/>
      <c r="P209" s="707"/>
    </row>
    <row r="210" spans="1:22" ht="18" hidden="1" customHeight="1" x14ac:dyDescent="0.25">
      <c r="A210" s="957">
        <f t="shared" ref="A210:A219" si="22">IF(OR(Expense_Security_Reimb=1,Expense_Security_NonReimb=1),IF(K210="",0,1),0)</f>
        <v>0</v>
      </c>
      <c r="B210" s="174"/>
      <c r="C210" s="258"/>
      <c r="D210" s="258" t="str">
        <f>CONCATENATE('Expense Comps'!$E$5, " - ",'Expense Comps'!$E$7," - ",'Expense Comps'!$E$9," - ",TEXT('Expense Comps'!$E$10,"mm/yyyy"))</f>
        <v>Expense Comp # 1 -  - 0 - 01/1900</v>
      </c>
      <c r="E210" s="415"/>
      <c r="F210" s="415"/>
      <c r="G210" s="415"/>
      <c r="H210" s="415"/>
      <c r="I210" s="415"/>
      <c r="J210" s="415"/>
      <c r="K210" s="3329" t="str">
        <f>VLOOKUP($D207,'Expense Comps'!$D$65:$X$75,3,FALSE)</f>
        <v/>
      </c>
      <c r="L210" s="3619" t="str">
        <f>VLOOKUP($D207,'Expense Comps'!$D$65:$X$75,4,FALSE)</f>
        <v/>
      </c>
      <c r="M210" s="258"/>
      <c r="N210" s="6"/>
      <c r="P210" s="664">
        <f>IF(Expense_Security_Reimb,dpIncome_Expense_Security_Stabilized,0)</f>
        <v>0</v>
      </c>
    </row>
    <row r="211" spans="1:22" ht="18" hidden="1" customHeight="1" x14ac:dyDescent="0.25">
      <c r="A211" s="957">
        <f t="shared" si="22"/>
        <v>0</v>
      </c>
      <c r="B211" s="174"/>
      <c r="C211" s="258"/>
      <c r="D211" s="258" t="str">
        <f>CONCATENATE('Expense Comps'!$I$5, " - ",'Expense Comps'!$I$7," - ",'Expense Comps'!$I$9," - ",TEXT('Expense Comps'!$I$10,"mm/yyyy"))</f>
        <v>Expense Comp # 2 -  - 0 - 01/1900</v>
      </c>
      <c r="E211" s="415"/>
      <c r="F211" s="415"/>
      <c r="G211" s="415"/>
      <c r="H211" s="415"/>
      <c r="I211" s="415"/>
      <c r="J211" s="415"/>
      <c r="K211" s="3329" t="str">
        <f>VLOOKUP($D207,'Expense Comps'!$D$65:$X$75,7,FALSE)</f>
        <v/>
      </c>
      <c r="L211" s="3619" t="str">
        <f>VLOOKUP($D207,'Expense Comps'!$D$65:$X$75,8,FALSE)</f>
        <v/>
      </c>
      <c r="M211" s="258"/>
      <c r="N211" s="6"/>
      <c r="P211" s="42"/>
    </row>
    <row r="212" spans="1:22" ht="18" hidden="1" customHeight="1" x14ac:dyDescent="0.25">
      <c r="A212" s="957">
        <f t="shared" si="22"/>
        <v>0</v>
      </c>
      <c r="B212" s="174"/>
      <c r="C212" s="258"/>
      <c r="D212" s="258" t="str">
        <f>CONCATENATE('Expense Comps'!$M$5, " - ",'Expense Comps'!$M$7," - ",'Expense Comps'!$M$9," - ",TEXT('Expense Comps'!$M$10,"mm/yyyy"))</f>
        <v>Expense Comp # 3 -  - 0 - 01/1900</v>
      </c>
      <c r="E212" s="415"/>
      <c r="F212" s="415"/>
      <c r="G212" s="415"/>
      <c r="H212" s="415"/>
      <c r="I212" s="415"/>
      <c r="J212" s="415"/>
      <c r="K212" s="3329" t="str">
        <f>VLOOKUP($D207,'Expense Comps'!$D$65:$X$75,11,FALSE)</f>
        <v/>
      </c>
      <c r="L212" s="3619" t="str">
        <f>VLOOKUP($D207,'Expense Comps'!$D$65:$X$75,12,FALSE)</f>
        <v/>
      </c>
      <c r="M212" s="258"/>
      <c r="N212" s="6"/>
      <c r="P212" s="42"/>
    </row>
    <row r="213" spans="1:22" ht="18" hidden="1" customHeight="1" x14ac:dyDescent="0.25">
      <c r="A213" s="957">
        <f t="shared" si="22"/>
        <v>0</v>
      </c>
      <c r="B213" s="174"/>
      <c r="C213" s="258"/>
      <c r="D213" s="258" t="str">
        <f>CONCATENATE('Expense Comps'!$Q$5, " - ",'Expense Comps'!$Q$7," - ",'Expense Comps'!$Q$9," - ",TEXT('Expense Comps'!$Q$10,"mm/yyyy"))</f>
        <v>Expense Comp # 4 -  - 0 - 01/1900</v>
      </c>
      <c r="E213" s="415"/>
      <c r="F213" s="415"/>
      <c r="G213" s="415"/>
      <c r="H213" s="415"/>
      <c r="I213" s="415"/>
      <c r="J213" s="415"/>
      <c r="K213" s="3329" t="str">
        <f>VLOOKUP($D207,'Expense Comps'!$D$65:$X$75,15,FALSE)</f>
        <v/>
      </c>
      <c r="L213" s="3619" t="str">
        <f>VLOOKUP($D207,'Expense Comps'!$D$65:$X$75,16,FALSE)</f>
        <v/>
      </c>
      <c r="M213" s="258"/>
      <c r="N213" s="6"/>
      <c r="P213" s="42"/>
    </row>
    <row r="214" spans="1:22" ht="18" hidden="1" customHeight="1" x14ac:dyDescent="0.25">
      <c r="A214" s="957">
        <f t="shared" si="22"/>
        <v>0</v>
      </c>
      <c r="B214" s="174"/>
      <c r="C214" s="258"/>
      <c r="D214" s="258" t="str">
        <f>CONCATENATE('Expense Comps'!$U$5, " - ",'Expense Comps'!$U$7," - ",'Expense Comps'!$U$9," - ",TEXT('Expense Comps'!$U$10,"mm/yyyy"))</f>
        <v>Expense Comp # 5 -  - 0 - 01/1900</v>
      </c>
      <c r="E214" s="415"/>
      <c r="F214" s="415"/>
      <c r="G214" s="415"/>
      <c r="H214" s="415"/>
      <c r="I214" s="415"/>
      <c r="J214" s="415"/>
      <c r="K214" s="3329" t="str">
        <f>VLOOKUP($D207,'Expense Comps'!$D$65:$X$75,19,FALSE)</f>
        <v/>
      </c>
      <c r="L214" s="3619" t="str">
        <f>VLOOKUP($D207,'Expense Comps'!$D$65:$X$75,20,FALSE)</f>
        <v/>
      </c>
      <c r="M214" s="258"/>
      <c r="N214" s="6"/>
      <c r="P214" s="42"/>
    </row>
    <row r="215" spans="1:22" ht="18" hidden="1" customHeight="1" x14ac:dyDescent="0.25">
      <c r="A215" s="957">
        <f t="shared" si="22"/>
        <v>0</v>
      </c>
      <c r="B215" s="174"/>
      <c r="C215" s="258"/>
      <c r="D215" s="258" t="str">
        <f>CONCATENATE("Subject ",'Income Expense History'!$E$5," - ",TEXT('Income Expense History'!$E$6,"mm/yyyy"))</f>
        <v>Subject 0 - 01/1900</v>
      </c>
      <c r="E215" s="3329"/>
      <c r="F215" s="3399" t="str">
        <f>IFERROR(E215/Income_EGI_Pool1_1,"")</f>
        <v/>
      </c>
      <c r="G215" s="3329"/>
      <c r="H215" s="3399" t="str">
        <f>IFERROR(G215/Income_EGI_Pool2_1,"")</f>
        <v/>
      </c>
      <c r="I215" s="3329"/>
      <c r="J215" s="3399" t="str">
        <f>IFERROR(I215/Income_EGI_Pool3_1,"")</f>
        <v/>
      </c>
      <c r="K215" s="3329" t="str">
        <f>VLOOKUP($D207,'Income Expense History'!$D$65:$S$76,3,FALSE)</f>
        <v/>
      </c>
      <c r="L215" s="3399" t="str">
        <f>VLOOKUP($D207,'Income Expense History'!$D$65:$S$76,4, FALSE)</f>
        <v>N/A</v>
      </c>
      <c r="M215" s="258"/>
      <c r="N215" s="6"/>
      <c r="P215" s="42"/>
    </row>
    <row r="216" spans="1:22" ht="18" hidden="1" customHeight="1" x14ac:dyDescent="0.25">
      <c r="A216" s="957">
        <f t="shared" si="22"/>
        <v>0</v>
      </c>
      <c r="B216" s="174"/>
      <c r="C216" s="258"/>
      <c r="D216" s="258" t="str">
        <f>CONCATENATE("Subject ",'Income Expense History'!$I$5," - ",TEXT('Income Expense History'!$I$6,"mm/yyyy"))</f>
        <v>Subject 0 - 01/1900</v>
      </c>
      <c r="E216" s="3329"/>
      <c r="F216" s="3399" t="str">
        <f>IFERROR(E216/Income_EGI_Pool1_2,"")</f>
        <v/>
      </c>
      <c r="G216" s="3329"/>
      <c r="H216" s="3399" t="str">
        <f>IFERROR(G216/Income_EGI_Pool2_2,"")</f>
        <v/>
      </c>
      <c r="I216" s="3329"/>
      <c r="J216" s="3399" t="str">
        <f>IFERROR(I216/Income_EGI_Pool3_2,"")</f>
        <v/>
      </c>
      <c r="K216" s="3329" t="str">
        <f>VLOOKUP($D207,'Income Expense History'!$D$65:$S$76,7, FALSE)</f>
        <v/>
      </c>
      <c r="L216" s="3399" t="str">
        <f>VLOOKUP($D207,'Income Expense History'!$D$65:$S$76,8, FALSE)</f>
        <v>N/A</v>
      </c>
      <c r="M216" s="258"/>
      <c r="N216" s="6"/>
      <c r="P216" s="42"/>
    </row>
    <row r="217" spans="1:22" ht="18" hidden="1" customHeight="1" x14ac:dyDescent="0.25">
      <c r="A217" s="957">
        <f t="shared" si="22"/>
        <v>0</v>
      </c>
      <c r="B217" s="174"/>
      <c r="C217" s="258"/>
      <c r="D217" s="258" t="str">
        <f>CONCATENATE("Subject ",'Income Expense History'!$M$5," - ",TEXT('Income Expense History'!$M$6,"mm/yyyy"))</f>
        <v>Subject 0 - 01/1900</v>
      </c>
      <c r="E217" s="3329"/>
      <c r="F217" s="3399" t="str">
        <f>IFERROR(E217/Income_EGI_Pool1_3,"")</f>
        <v/>
      </c>
      <c r="G217" s="3329"/>
      <c r="H217" s="3399" t="str">
        <f>IFERROR(G217/Income_EGI_Pool2_3,"")</f>
        <v/>
      </c>
      <c r="I217" s="3329"/>
      <c r="J217" s="3399" t="str">
        <f>IFERROR(I217/Income_EGI_Pool3_3,"")</f>
        <v/>
      </c>
      <c r="K217" s="3329" t="str">
        <f>VLOOKUP($D207,'Income Expense History'!$D$65:$S$76,11, FALSE)</f>
        <v/>
      </c>
      <c r="L217" s="3399" t="str">
        <f>VLOOKUP($D207,'Income Expense History'!$D$65:$S$76,12, FALSE)</f>
        <v>N/A</v>
      </c>
      <c r="M217" s="258"/>
      <c r="N217" s="6"/>
      <c r="P217" s="42"/>
    </row>
    <row r="218" spans="1:22" ht="18" hidden="1" customHeight="1" x14ac:dyDescent="0.25">
      <c r="A218" s="957">
        <f t="shared" si="22"/>
        <v>0</v>
      </c>
      <c r="B218" s="174"/>
      <c r="C218" s="258"/>
      <c r="D218" s="258" t="str">
        <f>CONCATENATE("Subject ",'Income Expense History'!$Q$5," - ",TEXT('Income Expense History'!$Q$6,"mm/yyyy"))</f>
        <v>Subject 0 - 01/1900</v>
      </c>
      <c r="E218" s="3329"/>
      <c r="F218" s="3399" t="str">
        <f>IFERROR(E218/Income_EGI_Pool1_4,"")</f>
        <v/>
      </c>
      <c r="G218" s="3329"/>
      <c r="H218" s="3399" t="str">
        <f>IFERROR(G218/Income_EGI_Pool2_4,"")</f>
        <v/>
      </c>
      <c r="I218" s="3329"/>
      <c r="J218" s="3399" t="str">
        <f>IFERROR(I218/Income_EGI_Pool3_4,"")</f>
        <v/>
      </c>
      <c r="K218" s="3329" t="str">
        <f>VLOOKUP($D207,'Income Expense History'!$D$65:$S$76,15, FALSE)</f>
        <v/>
      </c>
      <c r="L218" s="3399" t="str">
        <f>VLOOKUP($D207,'Income Expense History'!$D$65:$S$76,16, FALSE)</f>
        <v>N/A</v>
      </c>
      <c r="M218" s="258"/>
      <c r="N218" s="6"/>
      <c r="P218" s="42"/>
    </row>
    <row r="219" spans="1:22" s="406" customFormat="1" ht="18" hidden="1" customHeight="1" x14ac:dyDescent="0.25">
      <c r="A219" s="957">
        <f t="shared" si="22"/>
        <v>0</v>
      </c>
      <c r="B219" s="402"/>
      <c r="C219" s="3625"/>
      <c r="D219" s="3629" t="s">
        <v>394</v>
      </c>
      <c r="E219" s="3630" t="e">
        <f t="shared" ref="E219:J219" si="23">AVERAGE(E210:E218)</f>
        <v>#DIV/0!</v>
      </c>
      <c r="F219" s="3632" t="e">
        <f t="shared" si="23"/>
        <v>#DIV/0!</v>
      </c>
      <c r="G219" s="3630" t="e">
        <f t="shared" si="23"/>
        <v>#DIV/0!</v>
      </c>
      <c r="H219" s="3632" t="e">
        <f t="shared" si="23"/>
        <v>#DIV/0!</v>
      </c>
      <c r="I219" s="3630" t="e">
        <f t="shared" si="23"/>
        <v>#DIV/0!</v>
      </c>
      <c r="J219" s="3632" t="e">
        <f t="shared" si="23"/>
        <v>#DIV/0!</v>
      </c>
      <c r="K219" s="3630" t="str">
        <f>IF(ISERR(AVERAGE(K210:K218)),"",AVERAGE(K210:K218))</f>
        <v/>
      </c>
      <c r="L219" s="3631" t="str">
        <f>IF(ISERR(AVERAGE(L210:L218)),"",AVERAGE(L210:L218))</f>
        <v/>
      </c>
      <c r="M219" s="3625"/>
      <c r="N219" s="403"/>
      <c r="O219" s="404"/>
      <c r="P219" s="404"/>
      <c r="Q219" s="2542"/>
      <c r="R219" s="2272"/>
      <c r="S219" s="2272"/>
      <c r="T219" s="2272"/>
      <c r="U219" s="2272"/>
      <c r="V219" s="2272"/>
    </row>
    <row r="220" spans="1:22" s="406" customFormat="1" ht="18" hidden="1" customHeight="1" x14ac:dyDescent="0.25">
      <c r="A220" s="957">
        <f>IF(AND(Income_TechniqueUsed&lt;&gt;"Direct Capitalization",Expense_Security_Number&gt;1),1,0)</f>
        <v>0</v>
      </c>
      <c r="B220" s="402"/>
      <c r="C220" s="3625"/>
      <c r="D220" s="3625" t="s">
        <v>393</v>
      </c>
      <c r="E220" s="1677"/>
      <c r="F220" s="3399" t="e">
        <f>E220/Income_EGI_Pool1_1</f>
        <v>#DIV/0!</v>
      </c>
      <c r="G220" s="1677"/>
      <c r="H220" s="3399" t="e">
        <f>G220/Income_EGI_Pool2_1</f>
        <v>#DIV/0!</v>
      </c>
      <c r="I220" s="1677"/>
      <c r="J220" s="3399" t="e">
        <f>I220/Income_EGI_Pool3_1</f>
        <v>#DIV/0!</v>
      </c>
      <c r="K220" s="1677"/>
      <c r="L220" s="1698" t="e">
        <f>dpIncome_Expense_Security_Year1*Subject_NRA/VLOOKUP("Effective Gross Revenue",'DCF 1'!$E$8:$I$107,2,FALSE)+0</f>
        <v>#N/A</v>
      </c>
      <c r="M220" s="3625"/>
      <c r="N220" s="403"/>
      <c r="O220" s="404"/>
      <c r="P220" s="404"/>
      <c r="Q220" s="2542"/>
      <c r="R220" s="2272"/>
      <c r="S220" s="2272"/>
      <c r="T220" s="2272"/>
      <c r="U220" s="2272"/>
      <c r="V220" s="2272"/>
    </row>
    <row r="221" spans="1:22" s="406" customFormat="1" ht="18" hidden="1" customHeight="1" x14ac:dyDescent="0.25">
      <c r="A221" s="957">
        <f>IF(AND(Income_TechniqueUsed&lt;&gt;"Direct Capitalization",Expense_Security_Number&gt;2),1,0)</f>
        <v>0</v>
      </c>
      <c r="B221" s="402"/>
      <c r="C221" s="3625"/>
      <c r="D221" s="3625" t="s">
        <v>419</v>
      </c>
      <c r="E221" s="1677"/>
      <c r="F221" s="3399" t="e">
        <f>E221/Income_EGI_Pool1_1</f>
        <v>#DIV/0!</v>
      </c>
      <c r="G221" s="1677"/>
      <c r="H221" s="3399" t="e">
        <f>G221/Income_EGI_Pool2_1</f>
        <v>#DIV/0!</v>
      </c>
      <c r="I221" s="1677"/>
      <c r="J221" s="3399" t="e">
        <f>I221/Income_EGI_Pool3_1</f>
        <v>#DIV/0!</v>
      </c>
      <c r="K221" s="1677"/>
      <c r="L221" s="1698" t="e">
        <f>dpIncome_Expense_Security_Year2*Subject_NRA/VLOOKUP("Effective Gross Revenue",'DCF 1'!$E$8:$I$107,3,FALSE)+0</f>
        <v>#N/A</v>
      </c>
      <c r="M221" s="3625"/>
      <c r="N221" s="403"/>
      <c r="O221" s="404"/>
      <c r="P221" s="404"/>
      <c r="Q221" s="2542"/>
      <c r="R221" s="2272"/>
      <c r="S221" s="2272"/>
      <c r="T221" s="2272"/>
      <c r="U221" s="2272"/>
      <c r="V221" s="2272"/>
    </row>
    <row r="222" spans="1:22" s="406" customFormat="1" ht="18" hidden="1" customHeight="1" x14ac:dyDescent="0.25">
      <c r="A222" s="957">
        <f>IF(AND(Income_TechniqueUsed&lt;&gt;"Direct Capitalization",Expense_Security_Number&gt;3),1,0)</f>
        <v>0</v>
      </c>
      <c r="B222" s="402"/>
      <c r="C222" s="3625"/>
      <c r="D222" s="3625" t="s">
        <v>420</v>
      </c>
      <c r="E222" s="1677"/>
      <c r="F222" s="3399" t="e">
        <f>E222/Income_EGI_Pool1_1</f>
        <v>#DIV/0!</v>
      </c>
      <c r="G222" s="1677"/>
      <c r="H222" s="3399" t="e">
        <f>G222/Income_EGI_Pool2_1</f>
        <v>#DIV/0!</v>
      </c>
      <c r="I222" s="1677"/>
      <c r="J222" s="3399" t="e">
        <f>I222/Income_EGI_Pool3_1</f>
        <v>#DIV/0!</v>
      </c>
      <c r="K222" s="1677"/>
      <c r="L222" s="1698" t="e">
        <f>dpIncome_Expense_Security_Year3*Subject_NRA/VLOOKUP("Effective Gross Revenue",'DCF 1'!$E$8:$I$107,4,FALSE)+0</f>
        <v>#N/A</v>
      </c>
      <c r="M222" s="3625"/>
      <c r="N222" s="403"/>
      <c r="O222" s="404"/>
      <c r="P222" s="404"/>
      <c r="Q222" s="2542"/>
      <c r="R222" s="2272"/>
      <c r="S222" s="2272"/>
      <c r="T222" s="2272"/>
      <c r="U222" s="2272"/>
      <c r="V222" s="2272"/>
    </row>
    <row r="223" spans="1:22" s="406" customFormat="1" ht="18" hidden="1" customHeight="1" thickBot="1" x14ac:dyDescent="0.3">
      <c r="A223" s="957">
        <f>IF(OR(Expense_Security_Reimb=1,Expense_Security_NonReimb=1),1,0)</f>
        <v>0</v>
      </c>
      <c r="B223" s="402"/>
      <c r="C223" s="3625"/>
      <c r="D223" s="3628" t="str">
        <f>IF(P207="Year 1 Only","Year 1 Estimate:","Stabilized Estimate:")</f>
        <v>Stabilized Estimate:</v>
      </c>
      <c r="E223" s="1678"/>
      <c r="F223" s="3633" t="e">
        <f>E223/Income_EGI_Pool1_1</f>
        <v>#DIV/0!</v>
      </c>
      <c r="G223" s="1678"/>
      <c r="H223" s="3633" t="e">
        <f>G223/Income_EGI_Pool2_1</f>
        <v>#DIV/0!</v>
      </c>
      <c r="I223" s="1678"/>
      <c r="J223" s="3633" t="e">
        <f>I223/Income_EGI_Pool3_1</f>
        <v>#DIV/0!</v>
      </c>
      <c r="K223" s="1678"/>
      <c r="L223" s="1699">
        <f ca="1">IF(P207="Stabilized Only",dpIncome_Expense_Security_Stabilized*Subject_NRA/dpIncome_DirectCap_EGI,dpIncome_Expense_Security_Stabilized*Subject_NRA/VLOOKUP("Effective Gross Revenue",'DCF 1'!$E$8:$I$107,2,FALSE)+0)</f>
        <v>0</v>
      </c>
      <c r="M223" s="3625"/>
      <c r="N223" s="403"/>
      <c r="O223" s="404"/>
      <c r="P223" s="404"/>
      <c r="Q223" s="2542"/>
      <c r="R223" s="2272"/>
      <c r="S223" s="2272"/>
      <c r="T223" s="2272"/>
      <c r="U223" s="2272"/>
      <c r="V223" s="2272"/>
    </row>
    <row r="224" spans="1:22" ht="15.95" hidden="1" customHeight="1" thickBot="1" x14ac:dyDescent="0.3">
      <c r="A224" s="957">
        <f>IF(OR(Expense_Security_Reimb=1,Expense_Security_NonReimb=1),1,0)</f>
        <v>0</v>
      </c>
      <c r="B224" s="174"/>
      <c r="C224" s="5"/>
      <c r="D224" s="43" t="s">
        <v>911</v>
      </c>
      <c r="E224" s="804"/>
      <c r="F224" s="804"/>
      <c r="G224" s="804"/>
      <c r="H224" s="804"/>
      <c r="I224" s="804"/>
      <c r="J224" s="804"/>
      <c r="K224" s="19"/>
      <c r="L224" s="19"/>
      <c r="M224" s="5"/>
      <c r="N224" s="6"/>
      <c r="P224" s="42"/>
    </row>
    <row r="225" spans="1:22" ht="17.25" hidden="1" thickBot="1" x14ac:dyDescent="0.35">
      <c r="A225" s="957">
        <f>IF(OR(Expense_RoadsGrounds_Reimb=1,Expense_RoadsGrounds_NonReimb=1),1,0)</f>
        <v>0</v>
      </c>
      <c r="B225" s="174"/>
      <c r="C225" s="246"/>
      <c r="D225" s="246" t="str">
        <f>dpIncome_ExpenseCat_13</f>
        <v>Roads &amp; Grounds</v>
      </c>
      <c r="E225" s="4299"/>
      <c r="F225" s="4299"/>
      <c r="G225" s="804"/>
      <c r="H225" s="804"/>
      <c r="I225" s="804"/>
      <c r="J225" s="804"/>
      <c r="K225" s="804"/>
      <c r="L225" s="804"/>
      <c r="M225" s="52"/>
      <c r="N225" s="6"/>
      <c r="P225" s="235" t="s">
        <v>430</v>
      </c>
    </row>
    <row r="226" spans="1:22" ht="15.95" hidden="1" customHeight="1" x14ac:dyDescent="0.25">
      <c r="A226" s="957">
        <f>IF(OR(Expense_RoadsGrounds_Reimb=1,Expense_RoadsGrounds_NonReimb=1),IF(Main_ExpensePool_Count&gt;1,1,0),0)</f>
        <v>0</v>
      </c>
      <c r="B226" s="174"/>
      <c r="C226" s="12"/>
      <c r="D226" s="12"/>
      <c r="E226" s="4090" t="str">
        <f>$E$10</f>
        <v>Expense Pool 1</v>
      </c>
      <c r="F226" s="4090"/>
      <c r="G226" s="4090" t="str">
        <f>$G$10</f>
        <v>Expense Pool 2</v>
      </c>
      <c r="H226" s="4090"/>
      <c r="I226" s="4090" t="str">
        <f>$I$10</f>
        <v>Expense Pool 3</v>
      </c>
      <c r="J226" s="4090"/>
      <c r="K226" s="4164" t="str">
        <f>$K$10</f>
        <v>Total Expense</v>
      </c>
      <c r="L226" s="4164"/>
      <c r="N226" s="6"/>
      <c r="P226" s="707"/>
    </row>
    <row r="227" spans="1:22" ht="15.95" hidden="1" customHeight="1" x14ac:dyDescent="0.25">
      <c r="A227" s="957">
        <f>IF(OR(Expense_RoadsGrounds_Reimb=1,Expense_RoadsGrounds_NonReimb=1),1,0)</f>
        <v>0</v>
      </c>
      <c r="B227" s="174"/>
      <c r="C227" s="12"/>
      <c r="D227" s="12" t="s">
        <v>1577</v>
      </c>
      <c r="E227" s="55" t="s">
        <v>390</v>
      </c>
      <c r="F227" s="55" t="s">
        <v>391</v>
      </c>
      <c r="G227" s="55" t="s">
        <v>390</v>
      </c>
      <c r="H227" s="55" t="s">
        <v>391</v>
      </c>
      <c r="I227" s="55" t="s">
        <v>390</v>
      </c>
      <c r="J227" s="55" t="s">
        <v>391</v>
      </c>
      <c r="K227" s="55" t="s">
        <v>390</v>
      </c>
      <c r="L227" s="55" t="s">
        <v>391</v>
      </c>
      <c r="N227" s="6"/>
      <c r="P227" s="707"/>
    </row>
    <row r="228" spans="1:22" ht="18" hidden="1" customHeight="1" x14ac:dyDescent="0.25">
      <c r="A228" s="957">
        <f t="shared" ref="A228:A237" si="24">IF(OR(Expense_RoadsGrounds_Reimb=1,Expense_RoadsGrounds_NonReimb=1),IF(K228="",0,1),0)</f>
        <v>0</v>
      </c>
      <c r="B228" s="174"/>
      <c r="C228" s="258"/>
      <c r="D228" s="258" t="str">
        <f>CONCATENATE('Expense Comps'!$E$5, " - ",'Expense Comps'!$E$7," - ",'Expense Comps'!$E$9," - ",TEXT('Expense Comps'!$E$10,"mm/yyyy"))</f>
        <v>Expense Comp # 1 -  - 0 - 01/1900</v>
      </c>
      <c r="E228" s="415"/>
      <c r="F228" s="415"/>
      <c r="G228" s="415"/>
      <c r="H228" s="415"/>
      <c r="I228" s="415"/>
      <c r="J228" s="415"/>
      <c r="K228" s="3329" t="str">
        <f>VLOOKUP($D225,'Expense Comps'!$D$65:$X$75,3,FALSE)</f>
        <v/>
      </c>
      <c r="L228" s="3619" t="str">
        <f>VLOOKUP($D225,'Expense Comps'!$D$65:$X$75,4,FALSE)</f>
        <v/>
      </c>
      <c r="M228" s="258"/>
      <c r="N228" s="6"/>
      <c r="P228" s="664">
        <f>IF(Expense_RoadsGrounds_Reimb,dpIncome_Expense_RG_Stabilized,0)</f>
        <v>0</v>
      </c>
    </row>
    <row r="229" spans="1:22" ht="18" hidden="1" customHeight="1" x14ac:dyDescent="0.25">
      <c r="A229" s="957">
        <f t="shared" si="24"/>
        <v>0</v>
      </c>
      <c r="B229" s="174"/>
      <c r="C229" s="258"/>
      <c r="D229" s="258" t="str">
        <f>CONCATENATE('Expense Comps'!$I$5, " - ",'Expense Comps'!$I$7," - ",'Expense Comps'!$I$9," - ",TEXT('Expense Comps'!$I$10,"mm/yyyy"))</f>
        <v>Expense Comp # 2 -  - 0 - 01/1900</v>
      </c>
      <c r="E229" s="415"/>
      <c r="F229" s="415"/>
      <c r="G229" s="415"/>
      <c r="H229" s="415"/>
      <c r="I229" s="415"/>
      <c r="J229" s="415"/>
      <c r="K229" s="3329" t="str">
        <f>VLOOKUP($D225,'Expense Comps'!$D$65:$X$75,7,FALSE)</f>
        <v/>
      </c>
      <c r="L229" s="3619" t="str">
        <f>VLOOKUP($D225,'Expense Comps'!$D$65:$X$75,8,FALSE)</f>
        <v/>
      </c>
      <c r="M229" s="258"/>
      <c r="N229" s="6"/>
      <c r="P229" s="42"/>
    </row>
    <row r="230" spans="1:22" ht="18" hidden="1" customHeight="1" x14ac:dyDescent="0.25">
      <c r="A230" s="957">
        <f t="shared" si="24"/>
        <v>0</v>
      </c>
      <c r="B230" s="174"/>
      <c r="C230" s="258"/>
      <c r="D230" s="258" t="str">
        <f>CONCATENATE('Expense Comps'!$M$5, " - ",'Expense Comps'!$M$7," - ",'Expense Comps'!$M$9," - ",TEXT('Expense Comps'!$M$10,"mm/yyyy"))</f>
        <v>Expense Comp # 3 -  - 0 - 01/1900</v>
      </c>
      <c r="E230" s="415"/>
      <c r="F230" s="415"/>
      <c r="G230" s="415"/>
      <c r="H230" s="415"/>
      <c r="I230" s="415"/>
      <c r="J230" s="415"/>
      <c r="K230" s="3329" t="str">
        <f>VLOOKUP($D225,'Expense Comps'!$D$65:$X$75,11,FALSE)</f>
        <v/>
      </c>
      <c r="L230" s="3619" t="str">
        <f>VLOOKUP($D225,'Expense Comps'!$D$65:$X$75,12,FALSE)</f>
        <v/>
      </c>
      <c r="M230" s="258"/>
      <c r="N230" s="6"/>
      <c r="P230" s="42"/>
    </row>
    <row r="231" spans="1:22" ht="18" hidden="1" customHeight="1" x14ac:dyDescent="0.25">
      <c r="A231" s="957">
        <f t="shared" si="24"/>
        <v>0</v>
      </c>
      <c r="B231" s="174"/>
      <c r="C231" s="258"/>
      <c r="D231" s="258" t="str">
        <f>CONCATENATE('Expense Comps'!$Q$5, " - ",'Expense Comps'!$Q$7," - ",'Expense Comps'!$Q$9," - ",TEXT('Expense Comps'!$Q$10,"mm/yyyy"))</f>
        <v>Expense Comp # 4 -  - 0 - 01/1900</v>
      </c>
      <c r="E231" s="415"/>
      <c r="F231" s="415"/>
      <c r="G231" s="415"/>
      <c r="H231" s="415"/>
      <c r="I231" s="415"/>
      <c r="J231" s="415"/>
      <c r="K231" s="3329" t="str">
        <f>VLOOKUP($D225,'Expense Comps'!$D$65:$X$75,15,FALSE)</f>
        <v/>
      </c>
      <c r="L231" s="3619" t="str">
        <f>VLOOKUP($D225,'Expense Comps'!$D$65:$X$75,16,FALSE)</f>
        <v/>
      </c>
      <c r="M231" s="258"/>
      <c r="N231" s="6"/>
      <c r="P231" s="42"/>
    </row>
    <row r="232" spans="1:22" ht="18" hidden="1" customHeight="1" x14ac:dyDescent="0.25">
      <c r="A232" s="957">
        <f t="shared" si="24"/>
        <v>0</v>
      </c>
      <c r="B232" s="174"/>
      <c r="C232" s="258"/>
      <c r="D232" s="258" t="str">
        <f>CONCATENATE('Expense Comps'!$U$5, " - ",'Expense Comps'!$U$7," - ",'Expense Comps'!$U$9," - ",TEXT('Expense Comps'!$U$10,"mm/yyyy"))</f>
        <v>Expense Comp # 5 -  - 0 - 01/1900</v>
      </c>
      <c r="E232" s="415"/>
      <c r="F232" s="415"/>
      <c r="G232" s="415"/>
      <c r="H232" s="415"/>
      <c r="I232" s="415"/>
      <c r="J232" s="415"/>
      <c r="K232" s="3329" t="str">
        <f>VLOOKUP($D225,'Expense Comps'!$D$65:$X$75,19,FALSE)</f>
        <v/>
      </c>
      <c r="L232" s="3619" t="str">
        <f>VLOOKUP($D225,'Expense Comps'!$D$65:$X$75,20,FALSE)</f>
        <v/>
      </c>
      <c r="M232" s="258"/>
      <c r="N232" s="6"/>
      <c r="P232" s="42"/>
    </row>
    <row r="233" spans="1:22" ht="18" hidden="1" customHeight="1" x14ac:dyDescent="0.25">
      <c r="A233" s="957">
        <f t="shared" si="24"/>
        <v>0</v>
      </c>
      <c r="B233" s="174"/>
      <c r="C233" s="258"/>
      <c r="D233" s="258" t="str">
        <f>CONCATENATE("Subject ",'Income Expense History'!$E$5," - ",TEXT('Income Expense History'!$E$6,"mm/yyyy"))</f>
        <v>Subject 0 - 01/1900</v>
      </c>
      <c r="E233" s="3329"/>
      <c r="F233" s="3399" t="str">
        <f>IFERROR(E233/Income_EGI_Pool1_1,"")</f>
        <v/>
      </c>
      <c r="G233" s="3329"/>
      <c r="H233" s="3399" t="str">
        <f>IFERROR(G233/Income_EGI_Pool2_1,"")</f>
        <v/>
      </c>
      <c r="I233" s="3329"/>
      <c r="J233" s="3399" t="str">
        <f>IFERROR(I233/Income_EGI_Pool3_1,"")</f>
        <v/>
      </c>
      <c r="K233" s="3329" t="str">
        <f>VLOOKUP($D225,'Income Expense History'!$D$65:$S$76,3,FALSE)</f>
        <v/>
      </c>
      <c r="L233" s="3399" t="str">
        <f>VLOOKUP($D225,'Income Expense History'!$D$65:$S$76,4, FALSE)</f>
        <v>N/A</v>
      </c>
      <c r="M233" s="258"/>
      <c r="N233" s="6"/>
      <c r="P233" s="42"/>
    </row>
    <row r="234" spans="1:22" ht="18" hidden="1" customHeight="1" x14ac:dyDescent="0.25">
      <c r="A234" s="957">
        <f t="shared" si="24"/>
        <v>0</v>
      </c>
      <c r="B234" s="174"/>
      <c r="C234" s="258"/>
      <c r="D234" s="258" t="str">
        <f>CONCATENATE("Subject ",'Income Expense History'!$I$5," - ",TEXT('Income Expense History'!$I$6,"mm/yyyy"))</f>
        <v>Subject 0 - 01/1900</v>
      </c>
      <c r="E234" s="3329"/>
      <c r="F234" s="3399" t="str">
        <f>IFERROR(E234/Income_EGI_Pool1_2,"")</f>
        <v/>
      </c>
      <c r="G234" s="3329"/>
      <c r="H234" s="3399" t="str">
        <f>IFERROR(G234/Income_EGI_Pool2_2,"")</f>
        <v/>
      </c>
      <c r="I234" s="3329"/>
      <c r="J234" s="3399" t="str">
        <f>IFERROR(I234/Income_EGI_Pool3_2,"")</f>
        <v/>
      </c>
      <c r="K234" s="3329" t="str">
        <f>VLOOKUP($D225,'Income Expense History'!$D$65:$S$76,7, FALSE)</f>
        <v/>
      </c>
      <c r="L234" s="3399" t="str">
        <f>VLOOKUP($D225,'Income Expense History'!$D$65:$S$76,8, FALSE)</f>
        <v>N/A</v>
      </c>
      <c r="M234" s="258"/>
      <c r="N234" s="6"/>
      <c r="P234" s="42"/>
    </row>
    <row r="235" spans="1:22" ht="18" hidden="1" customHeight="1" x14ac:dyDescent="0.25">
      <c r="A235" s="957">
        <f t="shared" si="24"/>
        <v>0</v>
      </c>
      <c r="B235" s="174"/>
      <c r="C235" s="258"/>
      <c r="D235" s="258" t="str">
        <f>CONCATENATE("Subject ",'Income Expense History'!$M$5," - ",TEXT('Income Expense History'!$M$6,"mm/yyyy"))</f>
        <v>Subject 0 - 01/1900</v>
      </c>
      <c r="E235" s="3329"/>
      <c r="F235" s="3399" t="str">
        <f>IFERROR(E235/Income_EGI_Pool1_3,"")</f>
        <v/>
      </c>
      <c r="G235" s="3329"/>
      <c r="H235" s="3399" t="str">
        <f>IFERROR(G235/Income_EGI_Pool2_3,"")</f>
        <v/>
      </c>
      <c r="I235" s="3329"/>
      <c r="J235" s="3399" t="str">
        <f>IFERROR(I235/Income_EGI_Pool3_3,"")</f>
        <v/>
      </c>
      <c r="K235" s="3329" t="str">
        <f>VLOOKUP($D225,'Income Expense History'!$D$65:$S$76,11, FALSE)</f>
        <v/>
      </c>
      <c r="L235" s="3399" t="str">
        <f>VLOOKUP($D225,'Income Expense History'!$D$65:$S$76,12, FALSE)</f>
        <v>N/A</v>
      </c>
      <c r="M235" s="258"/>
      <c r="N235" s="6"/>
      <c r="P235" s="42"/>
    </row>
    <row r="236" spans="1:22" ht="18" hidden="1" customHeight="1" x14ac:dyDescent="0.25">
      <c r="A236" s="957">
        <f t="shared" si="24"/>
        <v>0</v>
      </c>
      <c r="B236" s="174"/>
      <c r="C236" s="258"/>
      <c r="D236" s="258" t="str">
        <f>CONCATENATE("Subject ",'Income Expense History'!$Q$5," - ",TEXT('Income Expense History'!$Q$6,"mm/yyyy"))</f>
        <v>Subject 0 - 01/1900</v>
      </c>
      <c r="E236" s="3329"/>
      <c r="F236" s="3399" t="str">
        <f>IFERROR(E236/Income_EGI_Pool1_4,"")</f>
        <v/>
      </c>
      <c r="G236" s="3329"/>
      <c r="H236" s="3399" t="str">
        <f>IFERROR(G236/Income_EGI_Pool2_4,"")</f>
        <v/>
      </c>
      <c r="I236" s="3329"/>
      <c r="J236" s="3399" t="str">
        <f>IFERROR(I236/Income_EGI_Pool3_4,"")</f>
        <v/>
      </c>
      <c r="K236" s="3329" t="str">
        <f>VLOOKUP($D225,'Income Expense History'!$D$65:$S$76,15, FALSE)</f>
        <v/>
      </c>
      <c r="L236" s="3399" t="str">
        <f>VLOOKUP($D225,'Income Expense History'!$D$65:$S$76,16, FALSE)</f>
        <v>N/A</v>
      </c>
      <c r="M236" s="258"/>
      <c r="N236" s="6"/>
      <c r="P236" s="42"/>
    </row>
    <row r="237" spans="1:22" s="406" customFormat="1" ht="18" hidden="1" customHeight="1" x14ac:dyDescent="0.25">
      <c r="A237" s="957">
        <f t="shared" si="24"/>
        <v>0</v>
      </c>
      <c r="B237" s="402"/>
      <c r="C237" s="3625"/>
      <c r="D237" s="3629" t="s">
        <v>394</v>
      </c>
      <c r="E237" s="3630" t="e">
        <f t="shared" ref="E237:J237" si="25">AVERAGE(E228:E236)</f>
        <v>#DIV/0!</v>
      </c>
      <c r="F237" s="3632" t="e">
        <f t="shared" si="25"/>
        <v>#DIV/0!</v>
      </c>
      <c r="G237" s="3630" t="e">
        <f t="shared" si="25"/>
        <v>#DIV/0!</v>
      </c>
      <c r="H237" s="3632" t="e">
        <f t="shared" si="25"/>
        <v>#DIV/0!</v>
      </c>
      <c r="I237" s="3630" t="e">
        <f t="shared" si="25"/>
        <v>#DIV/0!</v>
      </c>
      <c r="J237" s="3632" t="e">
        <f t="shared" si="25"/>
        <v>#DIV/0!</v>
      </c>
      <c r="K237" s="3630" t="str">
        <f>IF(ISERR(AVERAGE(K228:K236)),"",AVERAGE(K228:K236))</f>
        <v/>
      </c>
      <c r="L237" s="3631" t="str">
        <f>IF(ISERR(AVERAGE(L228:L236)),"",AVERAGE(L228:L236))</f>
        <v/>
      </c>
      <c r="M237" s="3625"/>
      <c r="N237" s="403"/>
      <c r="O237" s="404"/>
      <c r="P237" s="404"/>
      <c r="Q237" s="2542"/>
      <c r="R237" s="2272"/>
      <c r="S237" s="2272"/>
      <c r="T237" s="2272"/>
      <c r="U237" s="2272"/>
      <c r="V237" s="2272"/>
    </row>
    <row r="238" spans="1:22" s="406" customFormat="1" ht="18" hidden="1" customHeight="1" x14ac:dyDescent="0.25">
      <c r="A238" s="957">
        <f>IF(AND(Income_TechniqueUsed&lt;&gt;"Direct Capitalization",Expense_RoadsGrounds_Number&gt;1),1,0)</f>
        <v>0</v>
      </c>
      <c r="B238" s="402"/>
      <c r="C238" s="3625"/>
      <c r="D238" s="3625" t="s">
        <v>393</v>
      </c>
      <c r="E238" s="1677"/>
      <c r="F238" s="3399" t="e">
        <f>E238/Income_EGI_Pool1_1</f>
        <v>#DIV/0!</v>
      </c>
      <c r="G238" s="1677"/>
      <c r="H238" s="3399" t="e">
        <f>G238/Income_EGI_Pool2_1</f>
        <v>#DIV/0!</v>
      </c>
      <c r="I238" s="1677"/>
      <c r="J238" s="3399" t="e">
        <f>I238/Income_EGI_Pool3_1</f>
        <v>#DIV/0!</v>
      </c>
      <c r="K238" s="1677"/>
      <c r="L238" s="1698" t="e">
        <f>dpIncome_Expense_RG_Year1*Subject_NRA/VLOOKUP("Effective Gross Revenue",'DCF 1'!$E$8:$I$107,2,FALSE)+0</f>
        <v>#N/A</v>
      </c>
      <c r="M238" s="3625"/>
      <c r="N238" s="403"/>
      <c r="O238" s="404"/>
      <c r="P238" s="404"/>
      <c r="Q238" s="2542"/>
      <c r="R238" s="2272"/>
      <c r="S238" s="2272"/>
      <c r="T238" s="2272"/>
      <c r="U238" s="2272"/>
      <c r="V238" s="2272"/>
    </row>
    <row r="239" spans="1:22" s="406" customFormat="1" ht="18" hidden="1" customHeight="1" x14ac:dyDescent="0.25">
      <c r="A239" s="957">
        <f>IF(AND(Income_TechniqueUsed&lt;&gt;"Direct Capitalization",Expense_RoadsGrounds_Number&gt;2),1,0)</f>
        <v>0</v>
      </c>
      <c r="B239" s="402"/>
      <c r="C239" s="3625"/>
      <c r="D239" s="3625" t="s">
        <v>419</v>
      </c>
      <c r="E239" s="1677"/>
      <c r="F239" s="3399" t="e">
        <f>E239/Income_EGI_Pool1_1</f>
        <v>#DIV/0!</v>
      </c>
      <c r="G239" s="1677"/>
      <c r="H239" s="3399" t="e">
        <f>G239/Income_EGI_Pool2_1</f>
        <v>#DIV/0!</v>
      </c>
      <c r="I239" s="1677"/>
      <c r="J239" s="3399" t="e">
        <f>I239/Income_EGI_Pool3_1</f>
        <v>#DIV/0!</v>
      </c>
      <c r="K239" s="1677"/>
      <c r="L239" s="1698" t="e">
        <f>dpIncome_Expense_RG_Year2*Subject_NRA/VLOOKUP("Effective Gross Revenue",'DCF 1'!$E$8:$I$107,3,FALSE)+0</f>
        <v>#N/A</v>
      </c>
      <c r="M239" s="3625"/>
      <c r="N239" s="403"/>
      <c r="O239" s="404"/>
      <c r="P239" s="404"/>
      <c r="Q239" s="2542"/>
      <c r="R239" s="2272"/>
      <c r="S239" s="2272"/>
      <c r="T239" s="2272"/>
      <c r="U239" s="2272"/>
      <c r="V239" s="2272"/>
    </row>
    <row r="240" spans="1:22" s="406" customFormat="1" ht="18" hidden="1" customHeight="1" x14ac:dyDescent="0.25">
      <c r="A240" s="957">
        <f>IF(AND(Income_TechniqueUsed&lt;&gt;"Direct Capitalization",Expense_RoadsGrounds_Number&gt;3),1,0)</f>
        <v>0</v>
      </c>
      <c r="B240" s="402"/>
      <c r="C240" s="3625"/>
      <c r="D240" s="3625" t="s">
        <v>420</v>
      </c>
      <c r="E240" s="1677"/>
      <c r="F240" s="3399" t="e">
        <f>E240/Income_EGI_Pool1_1</f>
        <v>#DIV/0!</v>
      </c>
      <c r="G240" s="1677"/>
      <c r="H240" s="3399" t="e">
        <f>G240/Income_EGI_Pool2_1</f>
        <v>#DIV/0!</v>
      </c>
      <c r="I240" s="1677"/>
      <c r="J240" s="3399" t="e">
        <f>I240/Income_EGI_Pool3_1</f>
        <v>#DIV/0!</v>
      </c>
      <c r="K240" s="1677"/>
      <c r="L240" s="1698" t="e">
        <f>dpIncome_Expense_RG_Year3*Subject_NRA/VLOOKUP("Effective Gross Revenue",'DCF 1'!$E$8:$I$107,4,FALSE)+0</f>
        <v>#N/A</v>
      </c>
      <c r="M240" s="3625"/>
      <c r="N240" s="403"/>
      <c r="O240" s="404"/>
      <c r="P240" s="404"/>
      <c r="Q240" s="2542"/>
      <c r="R240" s="2272"/>
      <c r="S240" s="2272"/>
      <c r="T240" s="2272"/>
      <c r="U240" s="2272"/>
      <c r="V240" s="2272"/>
    </row>
    <row r="241" spans="1:22" s="406" customFormat="1" ht="18" hidden="1" customHeight="1" thickBot="1" x14ac:dyDescent="0.3">
      <c r="A241" s="957">
        <f>IF(OR(Expense_RoadsGrounds_Reimb=1,Expense_RoadsGrounds_NonReimb=1),1,0)</f>
        <v>0</v>
      </c>
      <c r="B241" s="402"/>
      <c r="C241" s="3625"/>
      <c r="D241" s="3628" t="str">
        <f>IF(P225="Year 1 Only","Year 1 Estimate:","Stabilized Estimate:")</f>
        <v>Stabilized Estimate:</v>
      </c>
      <c r="E241" s="1678"/>
      <c r="F241" s="3633" t="e">
        <f>E241/Income_EGI_Pool1_1</f>
        <v>#DIV/0!</v>
      </c>
      <c r="G241" s="1678"/>
      <c r="H241" s="3633" t="e">
        <f>G241/Income_EGI_Pool2_1</f>
        <v>#DIV/0!</v>
      </c>
      <c r="I241" s="1678"/>
      <c r="J241" s="3633" t="e">
        <f>I241/Income_EGI_Pool3_1</f>
        <v>#DIV/0!</v>
      </c>
      <c r="K241" s="1678"/>
      <c r="L241" s="1699">
        <f ca="1">IF(P225="Stabilized Only",dpIncome_Expense_RG_Stabilized*Subject_NRA/dpIncome_DirectCap_EGI,dpIncome_Expense_RG_Stabilized*Subject_NRA/VLOOKUP("Effective Gross Revenue",'DCF 1'!$E$8:$I$107,2,FALSE)+0)</f>
        <v>0</v>
      </c>
      <c r="M241" s="3625"/>
      <c r="N241" s="403"/>
      <c r="O241" s="404"/>
      <c r="P241" s="404"/>
      <c r="Q241" s="2542"/>
      <c r="R241" s="2272"/>
      <c r="S241" s="2272"/>
      <c r="T241" s="2272"/>
      <c r="U241" s="2272"/>
      <c r="V241" s="2272"/>
    </row>
    <row r="242" spans="1:22" ht="15.95" hidden="1" customHeight="1" thickBot="1" x14ac:dyDescent="0.3">
      <c r="A242" s="957">
        <f>IF(OR(Expense_RoadsGrounds_Reimb=1,Expense_RoadsGrounds_NonReimb=1),1,0)</f>
        <v>0</v>
      </c>
      <c r="B242" s="174"/>
      <c r="C242" s="5"/>
      <c r="D242" s="43" t="s">
        <v>912</v>
      </c>
      <c r="E242" s="804"/>
      <c r="F242" s="804"/>
      <c r="G242" s="804"/>
      <c r="H242" s="804"/>
      <c r="I242" s="804"/>
      <c r="J242" s="804"/>
      <c r="K242" s="19"/>
      <c r="L242" s="19"/>
      <c r="M242" s="5"/>
      <c r="N242" s="6"/>
      <c r="P242" s="42"/>
    </row>
    <row r="243" spans="1:22" ht="17.25" hidden="1" thickBot="1" x14ac:dyDescent="0.35">
      <c r="A243" s="957">
        <f>IF(OR(Expense_OtherOps_Reimb=1,Expense_OtherOps_NonReimb=1),1,0)</f>
        <v>0</v>
      </c>
      <c r="B243" s="174"/>
      <c r="C243" s="246"/>
      <c r="D243" s="246" t="str">
        <f>dpIncome_ExpenseCat_14</f>
        <v>Other Operating Expenses</v>
      </c>
      <c r="E243" s="4299"/>
      <c r="F243" s="4299"/>
      <c r="G243" s="804"/>
      <c r="H243" s="804"/>
      <c r="I243" s="804"/>
      <c r="J243" s="804"/>
      <c r="K243" s="804" t="s">
        <v>390</v>
      </c>
      <c r="L243" s="804" t="s">
        <v>391</v>
      </c>
      <c r="M243" s="52"/>
      <c r="N243" s="6"/>
      <c r="P243" s="235" t="s">
        <v>430</v>
      </c>
    </row>
    <row r="244" spans="1:22" ht="15.95" hidden="1" customHeight="1" x14ac:dyDescent="0.25">
      <c r="A244" s="957">
        <f>IF(OR(Expense_OtherOps_Reimb=1,Expense_OtherOps_NonReimb=1),IF(Main_ExpensePool_Count&gt;1,1,0),0)</f>
        <v>0</v>
      </c>
      <c r="B244" s="174"/>
      <c r="C244" s="12"/>
      <c r="D244" s="12"/>
      <c r="E244" s="4090" t="str">
        <f>$E$10</f>
        <v>Expense Pool 1</v>
      </c>
      <c r="F244" s="4090"/>
      <c r="G244" s="4090" t="str">
        <f>$G$10</f>
        <v>Expense Pool 2</v>
      </c>
      <c r="H244" s="4090"/>
      <c r="I244" s="4090" t="str">
        <f>$I$10</f>
        <v>Expense Pool 3</v>
      </c>
      <c r="J244" s="4090"/>
      <c r="K244" s="4164" t="str">
        <f>$K$10</f>
        <v>Total Expense</v>
      </c>
      <c r="L244" s="4164"/>
      <c r="N244" s="6"/>
      <c r="P244" s="707"/>
    </row>
    <row r="245" spans="1:22" ht="15.95" hidden="1" customHeight="1" x14ac:dyDescent="0.25">
      <c r="A245" s="957">
        <f>IF(OR(Expense_OtherOps_Reimb=1,Expense_OtherOps_NonReimb=1),1,0)</f>
        <v>0</v>
      </c>
      <c r="B245" s="174"/>
      <c r="C245" s="12"/>
      <c r="D245" s="12" t="s">
        <v>1577</v>
      </c>
      <c r="E245" s="55" t="s">
        <v>390</v>
      </c>
      <c r="F245" s="55" t="s">
        <v>391</v>
      </c>
      <c r="G245" s="55" t="s">
        <v>390</v>
      </c>
      <c r="H245" s="55" t="s">
        <v>391</v>
      </c>
      <c r="I245" s="55" t="s">
        <v>390</v>
      </c>
      <c r="J245" s="55" t="s">
        <v>391</v>
      </c>
      <c r="K245" s="55" t="s">
        <v>390</v>
      </c>
      <c r="L245" s="55" t="s">
        <v>391</v>
      </c>
      <c r="N245" s="6"/>
      <c r="P245" s="707"/>
    </row>
    <row r="246" spans="1:22" ht="18" hidden="1" customHeight="1" x14ac:dyDescent="0.25">
      <c r="A246" s="957">
        <f t="shared" ref="A246:A255" si="26">IF(OR(Expense_OtherOps_Reimb=1,Expense_OtherOps_NonReimb=1),IF(K246="",0,1),0)</f>
        <v>0</v>
      </c>
      <c r="B246" s="174"/>
      <c r="C246" s="258"/>
      <c r="D246" s="258" t="str">
        <f>CONCATENATE('Expense Comps'!$E$5, " - ",'Expense Comps'!$E$7," - ",'Expense Comps'!$E$9," - ",TEXT('Expense Comps'!$E$10,"mm/yyyy"))</f>
        <v>Expense Comp # 1 -  - 0 - 01/1900</v>
      </c>
      <c r="E246" s="415"/>
      <c r="F246" s="415"/>
      <c r="G246" s="415"/>
      <c r="H246" s="415"/>
      <c r="I246" s="415"/>
      <c r="J246" s="415"/>
      <c r="K246" s="3329" t="str">
        <f>VLOOKUP($D243,'Expense Comps'!$D$65:$X$75,3,FALSE)</f>
        <v/>
      </c>
      <c r="L246" s="3619" t="str">
        <f>VLOOKUP($D243,'Expense Comps'!$D$65:$X$75,4,FALSE)</f>
        <v/>
      </c>
      <c r="M246" s="258"/>
      <c r="N246" s="6"/>
      <c r="P246" s="664">
        <f>IF(Expense_OtherOps_Reimb,dpIncome_Expense_OtherOps_Stabilized,0)</f>
        <v>0</v>
      </c>
    </row>
    <row r="247" spans="1:22" ht="18" hidden="1" customHeight="1" x14ac:dyDescent="0.25">
      <c r="A247" s="957">
        <f t="shared" si="26"/>
        <v>0</v>
      </c>
      <c r="B247" s="174"/>
      <c r="C247" s="258"/>
      <c r="D247" s="258" t="str">
        <f>CONCATENATE('Expense Comps'!$I$5, " - ",'Expense Comps'!$I$7," - ",'Expense Comps'!$I$9," - ",TEXT('Expense Comps'!$I$10,"mm/yyyy"))</f>
        <v>Expense Comp # 2 -  - 0 - 01/1900</v>
      </c>
      <c r="E247" s="415"/>
      <c r="F247" s="415"/>
      <c r="G247" s="415"/>
      <c r="H247" s="415"/>
      <c r="I247" s="415"/>
      <c r="J247" s="415"/>
      <c r="K247" s="3329" t="str">
        <f>VLOOKUP($D243,'Expense Comps'!$D$65:$X$75,7,FALSE)</f>
        <v/>
      </c>
      <c r="L247" s="3619" t="str">
        <f>VLOOKUP($D243,'Expense Comps'!$D$65:$X$75,8,FALSE)</f>
        <v/>
      </c>
      <c r="M247" s="258"/>
      <c r="N247" s="6"/>
      <c r="P247" s="42"/>
    </row>
    <row r="248" spans="1:22" ht="18" hidden="1" customHeight="1" x14ac:dyDescent="0.25">
      <c r="A248" s="957">
        <f t="shared" si="26"/>
        <v>0</v>
      </c>
      <c r="B248" s="174"/>
      <c r="C248" s="258"/>
      <c r="D248" s="258" t="str">
        <f>CONCATENATE('Expense Comps'!$M$5, " - ",'Expense Comps'!$M$7," - ",'Expense Comps'!$M$9," - ",TEXT('Expense Comps'!$M$10,"mm/yyyy"))</f>
        <v>Expense Comp # 3 -  - 0 - 01/1900</v>
      </c>
      <c r="E248" s="415"/>
      <c r="F248" s="415"/>
      <c r="G248" s="415"/>
      <c r="H248" s="415"/>
      <c r="I248" s="415"/>
      <c r="J248" s="415"/>
      <c r="K248" s="3329" t="str">
        <f>VLOOKUP($D243,'Expense Comps'!$D$65:$X$75,11,FALSE)</f>
        <v/>
      </c>
      <c r="L248" s="3619" t="str">
        <f>VLOOKUP($D243,'Expense Comps'!$D$65:$X$75,12,FALSE)</f>
        <v/>
      </c>
      <c r="M248" s="258"/>
      <c r="N248" s="6"/>
      <c r="P248" s="42"/>
    </row>
    <row r="249" spans="1:22" ht="18" hidden="1" customHeight="1" x14ac:dyDescent="0.25">
      <c r="A249" s="957">
        <f t="shared" si="26"/>
        <v>0</v>
      </c>
      <c r="B249" s="174"/>
      <c r="C249" s="258"/>
      <c r="D249" s="258" t="str">
        <f>CONCATENATE('Expense Comps'!$Q$5, " - ",'Expense Comps'!$Q$7," - ",'Expense Comps'!$Q$9," - ",TEXT('Expense Comps'!$Q$10,"mm/yyyy"))</f>
        <v>Expense Comp # 4 -  - 0 - 01/1900</v>
      </c>
      <c r="E249" s="415"/>
      <c r="F249" s="415"/>
      <c r="G249" s="415"/>
      <c r="H249" s="415"/>
      <c r="I249" s="415"/>
      <c r="J249" s="415"/>
      <c r="K249" s="3329" t="str">
        <f>VLOOKUP($D243,'Expense Comps'!$D$65:$X$75,15,FALSE)</f>
        <v/>
      </c>
      <c r="L249" s="3619" t="str">
        <f>VLOOKUP($D243,'Expense Comps'!$D$65:$X$75,16,FALSE)</f>
        <v/>
      </c>
      <c r="M249" s="258"/>
      <c r="N249" s="6"/>
      <c r="P249" s="42"/>
    </row>
    <row r="250" spans="1:22" ht="18" hidden="1" customHeight="1" x14ac:dyDescent="0.25">
      <c r="A250" s="957">
        <f t="shared" si="26"/>
        <v>0</v>
      </c>
      <c r="B250" s="174"/>
      <c r="C250" s="258"/>
      <c r="D250" s="258" t="str">
        <f>CONCATENATE('Expense Comps'!$U$5, " - ",'Expense Comps'!$U$7," - ",'Expense Comps'!$U$9," - ",TEXT('Expense Comps'!$U$10,"mm/yyyy"))</f>
        <v>Expense Comp # 5 -  - 0 - 01/1900</v>
      </c>
      <c r="E250" s="415"/>
      <c r="F250" s="415"/>
      <c r="G250" s="415"/>
      <c r="H250" s="415"/>
      <c r="I250" s="415"/>
      <c r="J250" s="415"/>
      <c r="K250" s="3329" t="str">
        <f>VLOOKUP($D243,'Expense Comps'!$D$65:$X$75,19,FALSE)</f>
        <v/>
      </c>
      <c r="L250" s="3619" t="str">
        <f>VLOOKUP($D243,'Expense Comps'!$D$65:$X$75,20,FALSE)</f>
        <v/>
      </c>
      <c r="M250" s="258"/>
      <c r="N250" s="6"/>
      <c r="P250" s="42"/>
    </row>
    <row r="251" spans="1:22" ht="18" hidden="1" customHeight="1" x14ac:dyDescent="0.25">
      <c r="A251" s="957">
        <f t="shared" si="26"/>
        <v>0</v>
      </c>
      <c r="B251" s="174"/>
      <c r="C251" s="258"/>
      <c r="D251" s="258" t="str">
        <f>CONCATENATE("Subject ",'Income Expense History'!$E$5," - ",TEXT('Income Expense History'!$E$6,"mm/yyyy"))</f>
        <v>Subject 0 - 01/1900</v>
      </c>
      <c r="E251" s="3329"/>
      <c r="F251" s="3399" t="str">
        <f>IFERROR(E251/Income_EGI_Pool1_1,"")</f>
        <v/>
      </c>
      <c r="G251" s="3329"/>
      <c r="H251" s="3399" t="str">
        <f>IFERROR(G251/Income_EGI_Pool2_1,"")</f>
        <v/>
      </c>
      <c r="I251" s="3329"/>
      <c r="J251" s="3399" t="str">
        <f>IFERROR(I251/Income_EGI_Pool3_1,"")</f>
        <v/>
      </c>
      <c r="K251" s="3329" t="str">
        <f>VLOOKUP($D243,'Income Expense History'!$D$65:$S$76,3,FALSE)</f>
        <v/>
      </c>
      <c r="L251" s="3399" t="str">
        <f>VLOOKUP($D243,'Income Expense History'!$D$65:$S$76,4, FALSE)</f>
        <v>N/A</v>
      </c>
      <c r="M251" s="258"/>
      <c r="N251" s="6"/>
      <c r="P251" s="42"/>
    </row>
    <row r="252" spans="1:22" ht="18" hidden="1" customHeight="1" x14ac:dyDescent="0.25">
      <c r="A252" s="957">
        <f t="shared" si="26"/>
        <v>0</v>
      </c>
      <c r="B252" s="174"/>
      <c r="C252" s="258"/>
      <c r="D252" s="258" t="str">
        <f>CONCATENATE("Subject ",'Income Expense History'!$I$5," - ",TEXT('Income Expense History'!$I$6,"mm/yyyy"))</f>
        <v>Subject 0 - 01/1900</v>
      </c>
      <c r="E252" s="3329"/>
      <c r="F252" s="3399" t="str">
        <f>IFERROR(E252/Income_EGI_Pool1_2,"")</f>
        <v/>
      </c>
      <c r="G252" s="3329"/>
      <c r="H252" s="3399" t="str">
        <f>IFERROR(G252/Income_EGI_Pool2_2,"")</f>
        <v/>
      </c>
      <c r="I252" s="3329"/>
      <c r="J252" s="3399" t="str">
        <f>IFERROR(I252/Income_EGI_Pool3_2,"")</f>
        <v/>
      </c>
      <c r="K252" s="3329" t="str">
        <f>VLOOKUP($D243,'Income Expense History'!$D$65:$S$76,7, FALSE)</f>
        <v/>
      </c>
      <c r="L252" s="3399" t="str">
        <f>VLOOKUP($D243,'Income Expense History'!$D$65:$S$76,8, FALSE)</f>
        <v>N/A</v>
      </c>
      <c r="M252" s="258"/>
      <c r="N252" s="6"/>
      <c r="P252" s="42"/>
    </row>
    <row r="253" spans="1:22" ht="18" hidden="1" customHeight="1" x14ac:dyDescent="0.25">
      <c r="A253" s="957">
        <f t="shared" si="26"/>
        <v>0</v>
      </c>
      <c r="B253" s="174"/>
      <c r="C253" s="258"/>
      <c r="D253" s="258" t="str">
        <f>CONCATENATE("Subject ",'Income Expense History'!$M$5," - ",TEXT('Income Expense History'!$M$6,"mm/yyyy"))</f>
        <v>Subject 0 - 01/1900</v>
      </c>
      <c r="E253" s="3329"/>
      <c r="F253" s="3399" t="str">
        <f>IFERROR(E253/Income_EGI_Pool1_3,"")</f>
        <v/>
      </c>
      <c r="G253" s="3329"/>
      <c r="H253" s="3399" t="str">
        <f>IFERROR(G253/Income_EGI_Pool2_3,"")</f>
        <v/>
      </c>
      <c r="I253" s="3329"/>
      <c r="J253" s="3399" t="str">
        <f>IFERROR(I253/Income_EGI_Pool3_3,"")</f>
        <v/>
      </c>
      <c r="K253" s="3329" t="str">
        <f>VLOOKUP($D243,'Income Expense History'!$D$65:$S$76,11, FALSE)</f>
        <v/>
      </c>
      <c r="L253" s="3399" t="str">
        <f>VLOOKUP($D243,'Income Expense History'!$D$65:$S$76,12, FALSE)</f>
        <v>N/A</v>
      </c>
      <c r="M253" s="258"/>
      <c r="N253" s="6"/>
      <c r="P253" s="42"/>
    </row>
    <row r="254" spans="1:22" ht="18" hidden="1" customHeight="1" x14ac:dyDescent="0.25">
      <c r="A254" s="957">
        <f t="shared" si="26"/>
        <v>0</v>
      </c>
      <c r="B254" s="174"/>
      <c r="C254" s="258"/>
      <c r="D254" s="258" t="str">
        <f>CONCATENATE("Subject ",'Income Expense History'!$Q$5," - ",TEXT('Income Expense History'!$Q$6,"mm/yyyy"))</f>
        <v>Subject 0 - 01/1900</v>
      </c>
      <c r="E254" s="3329"/>
      <c r="F254" s="3399" t="str">
        <f>IFERROR(E254/Income_EGI_Pool1_4,"")</f>
        <v/>
      </c>
      <c r="G254" s="3329"/>
      <c r="H254" s="3399" t="str">
        <f>IFERROR(G254/Income_EGI_Pool2_4,"")</f>
        <v/>
      </c>
      <c r="I254" s="3329"/>
      <c r="J254" s="3399" t="str">
        <f>IFERROR(I254/Income_EGI_Pool3_4,"")</f>
        <v/>
      </c>
      <c r="K254" s="3329" t="str">
        <f>VLOOKUP($D243,'Income Expense History'!$D$65:$S$76,15, FALSE)</f>
        <v/>
      </c>
      <c r="L254" s="3399" t="str">
        <f>VLOOKUP($D243,'Income Expense History'!$D$65:$S$76,16, FALSE)</f>
        <v>N/A</v>
      </c>
      <c r="M254" s="258"/>
      <c r="N254" s="6"/>
      <c r="P254" s="42"/>
    </row>
    <row r="255" spans="1:22" s="406" customFormat="1" ht="18" hidden="1" customHeight="1" x14ac:dyDescent="0.25">
      <c r="A255" s="957">
        <f t="shared" si="26"/>
        <v>0</v>
      </c>
      <c r="B255" s="402"/>
      <c r="C255" s="3625"/>
      <c r="D255" s="3629" t="s">
        <v>394</v>
      </c>
      <c r="E255" s="3630" t="e">
        <f t="shared" ref="E255:J255" si="27">AVERAGE(E246:E254)</f>
        <v>#DIV/0!</v>
      </c>
      <c r="F255" s="3632" t="e">
        <f t="shared" si="27"/>
        <v>#DIV/0!</v>
      </c>
      <c r="G255" s="3630" t="e">
        <f t="shared" si="27"/>
        <v>#DIV/0!</v>
      </c>
      <c r="H255" s="3632" t="e">
        <f t="shared" si="27"/>
        <v>#DIV/0!</v>
      </c>
      <c r="I255" s="3630" t="e">
        <f t="shared" si="27"/>
        <v>#DIV/0!</v>
      </c>
      <c r="J255" s="3632" t="e">
        <f t="shared" si="27"/>
        <v>#DIV/0!</v>
      </c>
      <c r="K255" s="3630" t="str">
        <f>IF(ISERR(AVERAGE(K246:K254)),"",AVERAGE(K246:K254))</f>
        <v/>
      </c>
      <c r="L255" s="3631" t="str">
        <f>IF(ISERR(AVERAGE(L246:L254)),"",AVERAGE(L246:L254))</f>
        <v/>
      </c>
      <c r="M255" s="3625"/>
      <c r="N255" s="403"/>
      <c r="O255" s="404"/>
      <c r="P255" s="404"/>
      <c r="Q255" s="2542"/>
      <c r="R255" s="2272"/>
      <c r="S255" s="2272"/>
      <c r="T255" s="2272"/>
      <c r="U255" s="2272"/>
      <c r="V255" s="2272"/>
    </row>
    <row r="256" spans="1:22" s="406" customFormat="1" ht="18" hidden="1" customHeight="1" x14ac:dyDescent="0.25">
      <c r="A256" s="957">
        <f>IF(AND(Income_TechniqueUsed&lt;&gt;"Direct Capitalization",Expense_OtherOps_Number&gt;1),1,0)</f>
        <v>0</v>
      </c>
      <c r="B256" s="402"/>
      <c r="C256" s="3625"/>
      <c r="D256" s="3625" t="s">
        <v>393</v>
      </c>
      <c r="E256" s="1677"/>
      <c r="F256" s="3399" t="e">
        <f>E256/Income_EGI_Pool1_1</f>
        <v>#DIV/0!</v>
      </c>
      <c r="G256" s="1677"/>
      <c r="H256" s="3399" t="e">
        <f>G256/Income_EGI_Pool2_1</f>
        <v>#DIV/0!</v>
      </c>
      <c r="I256" s="1677"/>
      <c r="J256" s="3399" t="e">
        <f>I256/Income_EGI_Pool3_1</f>
        <v>#DIV/0!</v>
      </c>
      <c r="K256" s="1677"/>
      <c r="L256" s="1698" t="e">
        <f>dpIncome_Expense_OtherOps_Year1*Subject_NRA/VLOOKUP("Effective Gross Revenue",'DCF 1'!$E$8:$I$107,2,FALSE)+0</f>
        <v>#N/A</v>
      </c>
      <c r="M256" s="3625"/>
      <c r="N256" s="403"/>
      <c r="O256" s="404"/>
      <c r="P256" s="404"/>
      <c r="Q256" s="2542"/>
      <c r="R256" s="2272"/>
      <c r="S256" s="2272"/>
      <c r="T256" s="2272"/>
      <c r="U256" s="2272"/>
      <c r="V256" s="2272"/>
    </row>
    <row r="257" spans="1:22" s="406" customFormat="1" ht="18" hidden="1" customHeight="1" x14ac:dyDescent="0.25">
      <c r="A257" s="957">
        <f>IF(AND(Income_TechniqueUsed&lt;&gt;"Direct Capitalization",Expense_OtherOps_Number&gt;2),1,0)</f>
        <v>0</v>
      </c>
      <c r="B257" s="402"/>
      <c r="C257" s="3625"/>
      <c r="D257" s="3625" t="s">
        <v>419</v>
      </c>
      <c r="E257" s="1677"/>
      <c r="F257" s="3399" t="e">
        <f>E257/Income_EGI_Pool1_1</f>
        <v>#DIV/0!</v>
      </c>
      <c r="G257" s="1677"/>
      <c r="H257" s="3399" t="e">
        <f>G257/Income_EGI_Pool2_1</f>
        <v>#DIV/0!</v>
      </c>
      <c r="I257" s="1677"/>
      <c r="J257" s="3399" t="e">
        <f>I257/Income_EGI_Pool3_1</f>
        <v>#DIV/0!</v>
      </c>
      <c r="K257" s="1677"/>
      <c r="L257" s="1698" t="e">
        <f>dpIncome_Expense_OtherOps_Year2*Subject_NRA/VLOOKUP("Effective Gross Revenue",'DCF 1'!$E$8:$I$107,3,FALSE)+0</f>
        <v>#N/A</v>
      </c>
      <c r="M257" s="3625"/>
      <c r="N257" s="403"/>
      <c r="O257" s="404"/>
      <c r="P257" s="404"/>
      <c r="Q257" s="2542"/>
      <c r="R257" s="2272"/>
      <c r="S257" s="2272"/>
      <c r="T257" s="2272"/>
      <c r="U257" s="2272"/>
      <c r="V257" s="2272"/>
    </row>
    <row r="258" spans="1:22" s="406" customFormat="1" ht="18" hidden="1" customHeight="1" x14ac:dyDescent="0.25">
      <c r="A258" s="957">
        <f>IF(AND(Income_TechniqueUsed&lt;&gt;"Direct Capitalization",Expense_OtherOps_Number&gt;3),1,0)</f>
        <v>0</v>
      </c>
      <c r="B258" s="402"/>
      <c r="C258" s="3625"/>
      <c r="D258" s="3625" t="s">
        <v>420</v>
      </c>
      <c r="E258" s="1677"/>
      <c r="F258" s="3399" t="e">
        <f>E258/Income_EGI_Pool1_1</f>
        <v>#DIV/0!</v>
      </c>
      <c r="G258" s="1677"/>
      <c r="H258" s="3399" t="e">
        <f>G258/Income_EGI_Pool2_1</f>
        <v>#DIV/0!</v>
      </c>
      <c r="I258" s="1677"/>
      <c r="J258" s="3399" t="e">
        <f>I258/Income_EGI_Pool3_1</f>
        <v>#DIV/0!</v>
      </c>
      <c r="K258" s="1677"/>
      <c r="L258" s="1698" t="e">
        <f>dpIncome_Expense_OtherOps_Year3*Subject_NRA/VLOOKUP("Effective Gross Revenue",'DCF 1'!$E$8:$I$107,4,FALSE)+0</f>
        <v>#N/A</v>
      </c>
      <c r="M258" s="3625"/>
      <c r="N258" s="403"/>
      <c r="O258" s="404"/>
      <c r="P258" s="404"/>
      <c r="Q258" s="2542"/>
      <c r="R258" s="2272"/>
      <c r="S258" s="2272"/>
      <c r="T258" s="2272"/>
      <c r="U258" s="2272"/>
      <c r="V258" s="2272"/>
    </row>
    <row r="259" spans="1:22" s="406" customFormat="1" ht="18" hidden="1" customHeight="1" thickBot="1" x14ac:dyDescent="0.3">
      <c r="A259" s="957">
        <f>IF(OR(Expense_OtherOps_Reimb=1,Expense_OtherOps_NonReimb=1),1,0)</f>
        <v>0</v>
      </c>
      <c r="B259" s="402"/>
      <c r="C259" s="3625"/>
      <c r="D259" s="3628" t="str">
        <f>IF(P243="Year 1 Only","Year 1 Estimate:","Stabilized Estimate:")</f>
        <v>Stabilized Estimate:</v>
      </c>
      <c r="E259" s="1678"/>
      <c r="F259" s="3633" t="e">
        <f>E259/Income_EGI_Pool1_1</f>
        <v>#DIV/0!</v>
      </c>
      <c r="G259" s="1678"/>
      <c r="H259" s="3633" t="e">
        <f>G259/Income_EGI_Pool2_1</f>
        <v>#DIV/0!</v>
      </c>
      <c r="I259" s="1678"/>
      <c r="J259" s="3633" t="e">
        <f>I259/Income_EGI_Pool3_1</f>
        <v>#DIV/0!</v>
      </c>
      <c r="K259" s="1678"/>
      <c r="L259" s="1699">
        <f ca="1">IF(P243="Stabilized Only",dpIncome_Expense_OtherOps_Stabilized*Subject_NRA/dpIncome_DirectCap_EGI,dpIncome_Expense_OtherOps_Stabilized*Subject_NRA/VLOOKUP("Effective Gross Revenue",'DCF 1'!$E$8:$I$107,2,FALSE)+0)</f>
        <v>0</v>
      </c>
      <c r="M259" s="3625"/>
      <c r="N259" s="403"/>
      <c r="O259" s="404"/>
      <c r="P259" s="404"/>
      <c r="Q259" s="2542"/>
      <c r="R259" s="2272"/>
      <c r="S259" s="2272"/>
      <c r="T259" s="2272"/>
      <c r="U259" s="2272"/>
      <c r="V259" s="2272"/>
    </row>
    <row r="260" spans="1:22" ht="15.95" hidden="1" customHeight="1" thickBot="1" x14ac:dyDescent="0.3">
      <c r="A260" s="957">
        <f>IF(OR(Expense_OtherOps_Reimb=1,Expense_OtherOps_NonReimb=1),1,0)</f>
        <v>0</v>
      </c>
      <c r="B260" s="174"/>
      <c r="C260" s="5"/>
      <c r="D260" s="43" t="s">
        <v>913</v>
      </c>
      <c r="E260" s="804"/>
      <c r="F260" s="804"/>
      <c r="G260" s="804"/>
      <c r="H260" s="804"/>
      <c r="I260" s="804"/>
      <c r="J260" s="804"/>
      <c r="K260" s="19"/>
      <c r="L260" s="19"/>
      <c r="M260" s="5"/>
      <c r="N260" s="6"/>
      <c r="P260" s="42"/>
    </row>
    <row r="261" spans="1:22" ht="17.25" thickBot="1" x14ac:dyDescent="0.35">
      <c r="A261" s="957">
        <f>IF(OR(Expense_LandlordCosts_Reimb=1,Expense_LandlordCosts_NonReimb=1),1,0)</f>
        <v>1</v>
      </c>
      <c r="B261" s="174"/>
      <c r="C261" s="246"/>
      <c r="D261" s="246" t="str">
        <f>dpIncome_ExpenseCat_15</f>
        <v>Landlord Costs</v>
      </c>
      <c r="E261" s="4299"/>
      <c r="F261" s="4299"/>
      <c r="G261" s="804"/>
      <c r="H261" s="804"/>
      <c r="I261" s="804"/>
      <c r="J261" s="804"/>
      <c r="K261" s="804"/>
      <c r="L261" s="804"/>
      <c r="M261" s="52"/>
      <c r="N261" s="6"/>
      <c r="P261" s="235" t="s">
        <v>430</v>
      </c>
    </row>
    <row r="262" spans="1:22" ht="15.95" hidden="1" customHeight="1" x14ac:dyDescent="0.25">
      <c r="A262" s="957">
        <f>IF(OR(Expense_LandlordCosts_Reimb=1,Expense_LandlordCosts_NonReimb=1),IF(Main_ExpensePool_Count&gt;1,1,0),0)</f>
        <v>0</v>
      </c>
      <c r="B262" s="174"/>
      <c r="C262" s="12"/>
      <c r="D262" s="12"/>
      <c r="E262" s="4090" t="str">
        <f>$E$10</f>
        <v>Expense Pool 1</v>
      </c>
      <c r="F262" s="4090"/>
      <c r="G262" s="4090" t="str">
        <f>$G$10</f>
        <v>Expense Pool 2</v>
      </c>
      <c r="H262" s="4090"/>
      <c r="I262" s="4090" t="str">
        <f>$I$10</f>
        <v>Expense Pool 3</v>
      </c>
      <c r="J262" s="4090"/>
      <c r="K262" s="4164" t="str">
        <f>$K$10</f>
        <v>Total Expense</v>
      </c>
      <c r="L262" s="4164"/>
      <c r="N262" s="6"/>
      <c r="P262" s="707"/>
    </row>
    <row r="263" spans="1:22" ht="15.95" customHeight="1" x14ac:dyDescent="0.25">
      <c r="A263" s="957">
        <f>IF(OR(Expense_LandlordCosts_Reimb=1,Expense_LandlordCosts_NonReimb=1),1,0)</f>
        <v>1</v>
      </c>
      <c r="B263" s="174"/>
      <c r="C263" s="12"/>
      <c r="D263" s="12" t="s">
        <v>1577</v>
      </c>
      <c r="E263" s="55" t="s">
        <v>390</v>
      </c>
      <c r="F263" s="55" t="s">
        <v>391</v>
      </c>
      <c r="G263" s="55" t="s">
        <v>390</v>
      </c>
      <c r="H263" s="55" t="s">
        <v>391</v>
      </c>
      <c r="I263" s="55" t="s">
        <v>390</v>
      </c>
      <c r="J263" s="55" t="s">
        <v>391</v>
      </c>
      <c r="K263" s="55" t="s">
        <v>390</v>
      </c>
      <c r="L263" s="55" t="s">
        <v>391</v>
      </c>
      <c r="N263" s="6"/>
      <c r="P263" s="707"/>
    </row>
    <row r="264" spans="1:22" ht="18" hidden="1" customHeight="1" x14ac:dyDescent="0.25">
      <c r="A264" s="957">
        <f t="shared" ref="A264:A273" si="28">IF(OR(Expense_LandlordCosts_Reimb=1,Expense_LandlordCosts_NonReimb=1),IF(K264="",0,1),0)</f>
        <v>0</v>
      </c>
      <c r="B264" s="174"/>
      <c r="C264" s="258"/>
      <c r="D264" s="258" t="str">
        <f>CONCATENATE('Expense Comps'!$E$5, " - ",'Expense Comps'!$E$7," - ",'Expense Comps'!$E$9," - ",TEXT('Expense Comps'!$E$10,"mm/yyyy"))</f>
        <v>Expense Comp # 1 -  - 0 - 01/1900</v>
      </c>
      <c r="E264" s="415"/>
      <c r="F264" s="415"/>
      <c r="G264" s="415"/>
      <c r="H264" s="415"/>
      <c r="I264" s="415"/>
      <c r="J264" s="415"/>
      <c r="K264" s="3329" t="str">
        <f>VLOOKUP($D261,'Expense Comps'!$D$65:$X$75,3,FALSE)</f>
        <v/>
      </c>
      <c r="L264" s="3619" t="str">
        <f>VLOOKUP($D261,'Expense Comps'!$D$65:$X$75,4,FALSE)</f>
        <v/>
      </c>
      <c r="M264" s="258"/>
      <c r="N264" s="6"/>
      <c r="P264" s="664">
        <f>IF(Expense_LandlordCosts_Reimb,dpIncome_Expense_LC_Stabilized,0)</f>
        <v>0</v>
      </c>
    </row>
    <row r="265" spans="1:22" ht="18" hidden="1" customHeight="1" x14ac:dyDescent="0.25">
      <c r="A265" s="957">
        <f t="shared" si="28"/>
        <v>0</v>
      </c>
      <c r="B265" s="174"/>
      <c r="C265" s="258"/>
      <c r="D265" s="258" t="str">
        <f>CONCATENATE('Expense Comps'!$I$5, " - ",'Expense Comps'!$I$7," - ",'Expense Comps'!$I$9," - ",TEXT('Expense Comps'!$I$10,"mm/yyyy"))</f>
        <v>Expense Comp # 2 -  - 0 - 01/1900</v>
      </c>
      <c r="E265" s="415"/>
      <c r="F265" s="415"/>
      <c r="G265" s="415"/>
      <c r="H265" s="415"/>
      <c r="I265" s="415"/>
      <c r="J265" s="415"/>
      <c r="K265" s="3329" t="str">
        <f>VLOOKUP($D261,'Expense Comps'!$D$65:$X$75,7,FALSE)</f>
        <v/>
      </c>
      <c r="L265" s="3619" t="str">
        <f>VLOOKUP($D261,'Expense Comps'!$D$65:$X$75,8,FALSE)</f>
        <v/>
      </c>
      <c r="M265" s="258"/>
      <c r="N265" s="6"/>
    </row>
    <row r="266" spans="1:22" ht="18" hidden="1" customHeight="1" x14ac:dyDescent="0.25">
      <c r="A266" s="957">
        <f t="shared" si="28"/>
        <v>0</v>
      </c>
      <c r="B266" s="174"/>
      <c r="C266" s="258"/>
      <c r="D266" s="258" t="str">
        <f>CONCATENATE('Expense Comps'!$M$5, " - ",'Expense Comps'!$M$7," - ",'Expense Comps'!$M$9," - ",TEXT('Expense Comps'!$M$10,"mm/yyyy"))</f>
        <v>Expense Comp # 3 -  - 0 - 01/1900</v>
      </c>
      <c r="E266" s="415"/>
      <c r="F266" s="415"/>
      <c r="G266" s="415"/>
      <c r="H266" s="415"/>
      <c r="I266" s="415"/>
      <c r="J266" s="415"/>
      <c r="K266" s="3329" t="str">
        <f>VLOOKUP($D261,'Expense Comps'!$D$65:$X$75,11,FALSE)</f>
        <v/>
      </c>
      <c r="L266" s="3619" t="str">
        <f>VLOOKUP($D261,'Expense Comps'!$D$65:$X$75,12,FALSE)</f>
        <v/>
      </c>
      <c r="M266" s="258"/>
      <c r="N266" s="6"/>
    </row>
    <row r="267" spans="1:22" ht="18" hidden="1" customHeight="1" x14ac:dyDescent="0.25">
      <c r="A267" s="957">
        <f t="shared" si="28"/>
        <v>0</v>
      </c>
      <c r="B267" s="174"/>
      <c r="C267" s="258"/>
      <c r="D267" s="258" t="str">
        <f>CONCATENATE('Expense Comps'!$Q$5, " - ",'Expense Comps'!$Q$7," - ",'Expense Comps'!$Q$9," - ",TEXT('Expense Comps'!$Q$10,"mm/yyyy"))</f>
        <v>Expense Comp # 4 -  - 0 - 01/1900</v>
      </c>
      <c r="E267" s="415"/>
      <c r="F267" s="415"/>
      <c r="G267" s="415"/>
      <c r="H267" s="415"/>
      <c r="I267" s="415"/>
      <c r="J267" s="415"/>
      <c r="K267" s="3329" t="str">
        <f>VLOOKUP($D261,'Expense Comps'!$D$65:$X$75,15,FALSE)</f>
        <v/>
      </c>
      <c r="L267" s="3619" t="str">
        <f>VLOOKUP($D261,'Expense Comps'!$D$65:$X$75,16,FALSE)</f>
        <v/>
      </c>
      <c r="M267" s="258"/>
      <c r="N267" s="6"/>
      <c r="P267" s="42"/>
    </row>
    <row r="268" spans="1:22" ht="18" hidden="1" customHeight="1" x14ac:dyDescent="0.25">
      <c r="A268" s="957">
        <f t="shared" si="28"/>
        <v>0</v>
      </c>
      <c r="B268" s="174"/>
      <c r="C268" s="258"/>
      <c r="D268" s="258" t="str">
        <f>CONCATENATE('Expense Comps'!$U$5, " - ",'Expense Comps'!$U$7," - ",'Expense Comps'!$U$9," - ",TEXT('Expense Comps'!$U$10,"mm/yyyy"))</f>
        <v>Expense Comp # 5 -  - 0 - 01/1900</v>
      </c>
      <c r="E268" s="415"/>
      <c r="F268" s="415"/>
      <c r="G268" s="415"/>
      <c r="H268" s="415"/>
      <c r="I268" s="415"/>
      <c r="J268" s="415"/>
      <c r="K268" s="3329" t="str">
        <f>VLOOKUP($D261,'Expense Comps'!$D$65:$X$75,19,FALSE)</f>
        <v/>
      </c>
      <c r="L268" s="3619" t="str">
        <f>VLOOKUP($D261,'Expense Comps'!$D$65:$X$75,20,FALSE)</f>
        <v/>
      </c>
      <c r="M268" s="258"/>
      <c r="N268" s="6"/>
      <c r="P268" s="42"/>
    </row>
    <row r="269" spans="1:22" ht="18" hidden="1" customHeight="1" x14ac:dyDescent="0.25">
      <c r="A269" s="957">
        <f t="shared" si="28"/>
        <v>0</v>
      </c>
      <c r="B269" s="174"/>
      <c r="C269" s="258"/>
      <c r="D269" s="258" t="str">
        <f>CONCATENATE("Subject ",'Income Expense History'!$E$5," - ",TEXT('Income Expense History'!$E$6,"mm/yyyy"))</f>
        <v>Subject 0 - 01/1900</v>
      </c>
      <c r="E269" s="3329"/>
      <c r="F269" s="3399" t="str">
        <f>IFERROR(E269/Income_EGI_Pool1_1,"")</f>
        <v/>
      </c>
      <c r="G269" s="3329"/>
      <c r="H269" s="3399" t="str">
        <f>IFERROR(G269/Income_EGI_Pool2_1,"")</f>
        <v/>
      </c>
      <c r="I269" s="3329"/>
      <c r="J269" s="3399" t="str">
        <f>IFERROR(I269/Income_EGI_Pool3_1,"")</f>
        <v/>
      </c>
      <c r="K269" s="3329" t="str">
        <f>VLOOKUP($D261,'Income Expense History'!$D$65:$S$76,3,FALSE)</f>
        <v/>
      </c>
      <c r="L269" s="3399" t="str">
        <f>VLOOKUP($D261,'Income Expense History'!$D$65:$S$76,4, FALSE)</f>
        <v>N/A</v>
      </c>
      <c r="M269" s="258"/>
      <c r="N269" s="6"/>
    </row>
    <row r="270" spans="1:22" ht="18" hidden="1" customHeight="1" x14ac:dyDescent="0.25">
      <c r="A270" s="957">
        <f t="shared" si="28"/>
        <v>0</v>
      </c>
      <c r="B270" s="174"/>
      <c r="C270" s="258"/>
      <c r="D270" s="258" t="str">
        <f>CONCATENATE("Subject ",'Income Expense History'!$I$5," - ",TEXT('Income Expense History'!$I$6,"mm/yyyy"))</f>
        <v>Subject 0 - 01/1900</v>
      </c>
      <c r="E270" s="3329"/>
      <c r="F270" s="3399" t="str">
        <f>IFERROR(E270/Income_EGI_Pool1_2,"")</f>
        <v/>
      </c>
      <c r="G270" s="3329"/>
      <c r="H270" s="3399" t="str">
        <f>IFERROR(G270/Income_EGI_Pool2_2,"")</f>
        <v/>
      </c>
      <c r="I270" s="3329"/>
      <c r="J270" s="3399" t="str">
        <f>IFERROR(I270/Income_EGI_Pool3_2,"")</f>
        <v/>
      </c>
      <c r="K270" s="3329" t="str">
        <f>VLOOKUP($D261,'Income Expense History'!$D$65:$S$76,7, FALSE)</f>
        <v/>
      </c>
      <c r="L270" s="3399" t="str">
        <f>VLOOKUP($D261,'Income Expense History'!$D$65:$S$76,8, FALSE)</f>
        <v>N/A</v>
      </c>
      <c r="M270" s="258"/>
      <c r="N270" s="6"/>
    </row>
    <row r="271" spans="1:22" ht="18" hidden="1" customHeight="1" x14ac:dyDescent="0.25">
      <c r="A271" s="957">
        <f t="shared" si="28"/>
        <v>0</v>
      </c>
      <c r="B271" s="174"/>
      <c r="C271" s="258"/>
      <c r="D271" s="258" t="str">
        <f>CONCATENATE("Subject ",'Income Expense History'!$M$5," - ",TEXT('Income Expense History'!$M$6,"mm/yyyy"))</f>
        <v>Subject 0 - 01/1900</v>
      </c>
      <c r="E271" s="3329"/>
      <c r="F271" s="3399" t="str">
        <f>IFERROR(E271/Income_EGI_Pool1_3,"")</f>
        <v/>
      </c>
      <c r="G271" s="3329"/>
      <c r="H271" s="3399" t="str">
        <f>IFERROR(G271/Income_EGI_Pool2_3,"")</f>
        <v/>
      </c>
      <c r="I271" s="3329"/>
      <c r="J271" s="3399" t="str">
        <f>IFERROR(I271/Income_EGI_Pool3_3,"")</f>
        <v/>
      </c>
      <c r="K271" s="3329" t="str">
        <f>VLOOKUP($D261,'Income Expense History'!$D$65:$S$76,11, FALSE)</f>
        <v/>
      </c>
      <c r="L271" s="3399" t="str">
        <f>VLOOKUP($D261,'Income Expense History'!$D$65:$S$76,12, FALSE)</f>
        <v>N/A</v>
      </c>
      <c r="M271" s="258"/>
      <c r="N271" s="6"/>
    </row>
    <row r="272" spans="1:22" ht="18" hidden="1" customHeight="1" x14ac:dyDescent="0.25">
      <c r="A272" s="957">
        <f t="shared" si="28"/>
        <v>0</v>
      </c>
      <c r="B272" s="174"/>
      <c r="C272" s="258"/>
      <c r="D272" s="258" t="str">
        <f>CONCATENATE("Subject ",'Income Expense History'!$Q$5," - ",TEXT('Income Expense History'!$Q$6,"mm/yyyy"))</f>
        <v>Subject 0 - 01/1900</v>
      </c>
      <c r="E272" s="3329"/>
      <c r="F272" s="3399" t="str">
        <f>IFERROR(E272/Income_EGI_Pool1_4,"")</f>
        <v/>
      </c>
      <c r="G272" s="3329"/>
      <c r="H272" s="3399" t="str">
        <f>IFERROR(G272/Income_EGI_Pool2_4,"")</f>
        <v/>
      </c>
      <c r="I272" s="3329"/>
      <c r="J272" s="3399" t="str">
        <f>IFERROR(I272/Income_EGI_Pool3_4,"")</f>
        <v/>
      </c>
      <c r="K272" s="3329" t="str">
        <f>VLOOKUP($D261,'Income Expense History'!$D$65:$S$76,15, FALSE)</f>
        <v/>
      </c>
      <c r="L272" s="3399" t="str">
        <f>VLOOKUP($D261,'Income Expense History'!$D$65:$S$76,16, FALSE)</f>
        <v>N/A</v>
      </c>
      <c r="M272" s="258"/>
      <c r="N272" s="6"/>
      <c r="P272" s="42"/>
    </row>
    <row r="273" spans="1:22" s="406" customFormat="1" ht="18" hidden="1" customHeight="1" x14ac:dyDescent="0.25">
      <c r="A273" s="957">
        <f t="shared" si="28"/>
        <v>0</v>
      </c>
      <c r="B273" s="402"/>
      <c r="C273" s="3625"/>
      <c r="D273" s="3629" t="s">
        <v>394</v>
      </c>
      <c r="E273" s="3630" t="e">
        <f t="shared" ref="E273:J273" si="29">AVERAGE(E264:E272)</f>
        <v>#DIV/0!</v>
      </c>
      <c r="F273" s="3632" t="e">
        <f t="shared" si="29"/>
        <v>#DIV/0!</v>
      </c>
      <c r="G273" s="3630" t="e">
        <f t="shared" si="29"/>
        <v>#DIV/0!</v>
      </c>
      <c r="H273" s="3632" t="e">
        <f t="shared" si="29"/>
        <v>#DIV/0!</v>
      </c>
      <c r="I273" s="3630" t="e">
        <f t="shared" si="29"/>
        <v>#DIV/0!</v>
      </c>
      <c r="J273" s="3632" t="e">
        <f t="shared" si="29"/>
        <v>#DIV/0!</v>
      </c>
      <c r="K273" s="3630" t="str">
        <f>IF(ISERR(AVERAGE(K264:K272)),"",AVERAGE(K264:K272))</f>
        <v/>
      </c>
      <c r="L273" s="3631" t="str">
        <f>IF(ISERR(AVERAGE(L264:L272)),"",AVERAGE(L264:L272))</f>
        <v/>
      </c>
      <c r="M273" s="3625"/>
      <c r="N273" s="403"/>
      <c r="O273" s="404"/>
      <c r="P273" s="407"/>
      <c r="Q273" s="2542"/>
      <c r="R273" s="2272"/>
      <c r="S273" s="2272"/>
      <c r="T273" s="2272"/>
      <c r="U273" s="2272"/>
      <c r="V273" s="2272"/>
    </row>
    <row r="274" spans="1:22" s="406" customFormat="1" ht="18" hidden="1" customHeight="1" x14ac:dyDescent="0.25">
      <c r="A274" s="957">
        <f>IF(AND(Income_TechniqueUsed&lt;&gt;"Direct Capitalization",Expense_LandlordCosts_Number&gt;1),1,0)</f>
        <v>0</v>
      </c>
      <c r="B274" s="402"/>
      <c r="C274" s="3625"/>
      <c r="D274" s="3625" t="s">
        <v>393</v>
      </c>
      <c r="E274" s="1677"/>
      <c r="F274" s="3399" t="e">
        <f>E274/Income_EGI_Pool1_1</f>
        <v>#DIV/0!</v>
      </c>
      <c r="G274" s="1677"/>
      <c r="H274" s="3399" t="e">
        <f>G274/Income_EGI_Pool2_1</f>
        <v>#DIV/0!</v>
      </c>
      <c r="I274" s="1677"/>
      <c r="J274" s="3399" t="e">
        <f>I274/Income_EGI_Pool3_1</f>
        <v>#DIV/0!</v>
      </c>
      <c r="K274" s="1677"/>
      <c r="L274" s="1698" t="e">
        <f>dpIncome_Expense_LC_Year1*Subject_NRA/VLOOKUP("Effective Gross Revenue",'DCF 1'!$E$8:$I$107,2,FALSE)+0</f>
        <v>#N/A</v>
      </c>
      <c r="M274" s="3625"/>
      <c r="N274" s="403"/>
      <c r="O274" s="404"/>
      <c r="P274" s="404"/>
      <c r="Q274" s="2542"/>
      <c r="R274" s="2272"/>
      <c r="S274" s="2272"/>
      <c r="T274" s="2272"/>
      <c r="U274" s="2272"/>
      <c r="V274" s="2272"/>
    </row>
    <row r="275" spans="1:22" s="406" customFormat="1" ht="18" hidden="1" customHeight="1" x14ac:dyDescent="0.25">
      <c r="A275" s="957">
        <f>IF(AND(Income_TechniqueUsed&lt;&gt;"Direct Capitalization",Expense_LandlordCosts_Number&gt;2),1,0)</f>
        <v>0</v>
      </c>
      <c r="B275" s="402"/>
      <c r="C275" s="3625"/>
      <c r="D275" s="3625" t="s">
        <v>419</v>
      </c>
      <c r="E275" s="1677"/>
      <c r="F275" s="3399" t="e">
        <f>E275/Income_EGI_Pool1_1</f>
        <v>#DIV/0!</v>
      </c>
      <c r="G275" s="1677"/>
      <c r="H275" s="3399" t="e">
        <f>G275/Income_EGI_Pool2_1</f>
        <v>#DIV/0!</v>
      </c>
      <c r="I275" s="1677"/>
      <c r="J275" s="3399" t="e">
        <f>I275/Income_EGI_Pool3_1</f>
        <v>#DIV/0!</v>
      </c>
      <c r="K275" s="1677"/>
      <c r="L275" s="1698" t="e">
        <f>dpIncome_Expense_LC_Year2*Subject_NRA/VLOOKUP("Effective Gross Revenue",'DCF 1'!$E$8:$I$107,3,FALSE)+0</f>
        <v>#N/A</v>
      </c>
      <c r="M275" s="3625"/>
      <c r="N275" s="403"/>
      <c r="O275" s="404"/>
      <c r="P275" s="404"/>
      <c r="Q275" s="2542"/>
      <c r="R275" s="2272"/>
      <c r="S275" s="2272"/>
      <c r="T275" s="2272"/>
      <c r="U275" s="2272"/>
      <c r="V275" s="2272"/>
    </row>
    <row r="276" spans="1:22" s="406" customFormat="1" ht="18" hidden="1" customHeight="1" x14ac:dyDescent="0.25">
      <c r="A276" s="957">
        <f>IF(AND(Income_TechniqueUsed&lt;&gt;"Direct Capitalization",Expense_LandlordCosts_Number&gt;3),1,0)</f>
        <v>0</v>
      </c>
      <c r="B276" s="402"/>
      <c r="C276" s="3625"/>
      <c r="D276" s="3625" t="s">
        <v>420</v>
      </c>
      <c r="E276" s="1677"/>
      <c r="F276" s="3399" t="e">
        <f>E276/Income_EGI_Pool1_1</f>
        <v>#DIV/0!</v>
      </c>
      <c r="G276" s="1677"/>
      <c r="H276" s="3399" t="e">
        <f>G276/Income_EGI_Pool2_1</f>
        <v>#DIV/0!</v>
      </c>
      <c r="I276" s="1677"/>
      <c r="J276" s="3399" t="e">
        <f>I276/Income_EGI_Pool3_1</f>
        <v>#DIV/0!</v>
      </c>
      <c r="K276" s="1677"/>
      <c r="L276" s="1698" t="e">
        <f>dpIncome_Expense_LC_Year3*Subject_NRA/VLOOKUP("Effective Gross Revenue",'DCF 1'!$E$8:$I$107,4,FALSE)+0</f>
        <v>#N/A</v>
      </c>
      <c r="M276" s="3625"/>
      <c r="N276" s="403"/>
      <c r="O276" s="404"/>
      <c r="P276" s="404"/>
      <c r="Q276" s="2542"/>
      <c r="R276" s="2272"/>
      <c r="S276" s="2272"/>
      <c r="T276" s="2272"/>
      <c r="U276" s="2272"/>
      <c r="V276" s="2272"/>
    </row>
    <row r="277" spans="1:22" s="406" customFormat="1" ht="18" customHeight="1" thickBot="1" x14ac:dyDescent="0.3">
      <c r="A277" s="957">
        <f>IF(OR(Expense_LandlordCosts_Reimb=1,Expense_LandlordCosts_NonReimb=1),1,0)</f>
        <v>1</v>
      </c>
      <c r="B277" s="402"/>
      <c r="C277" s="3625"/>
      <c r="D277" s="3628" t="str">
        <f>IF(P261="Year 1 Only","Year 1 Estimate:","Stabilized Estimate:")</f>
        <v>Stabilized Estimate:</v>
      </c>
      <c r="E277" s="1678"/>
      <c r="F277" s="3633" t="e">
        <f>E277/Income_EGI_Pool1_1</f>
        <v>#DIV/0!</v>
      </c>
      <c r="G277" s="1678"/>
      <c r="H277" s="3633" t="e">
        <f>G277/Income_EGI_Pool2_1</f>
        <v>#DIV/0!</v>
      </c>
      <c r="I277" s="1678"/>
      <c r="J277" s="3633" t="e">
        <f>I277/Income_EGI_Pool3_1</f>
        <v>#DIV/0!</v>
      </c>
      <c r="K277" s="1678">
        <v>0.2</v>
      </c>
      <c r="L277" s="1699">
        <f ca="1">IF(P261="Stabilized Only",dpIncome_Expense_LC_Stabilized*Subject_NRA/dpIncome_DirectCap_EGI,dpIncome_Expense_LC_Stabilized*Subject_NRA/VLOOKUP("Effective Gross Revenue",'DCF 1'!$E$8:$I$107,2,FALSE)+0)</f>
        <v>0.11820729557474123</v>
      </c>
      <c r="M277" s="3625"/>
      <c r="N277" s="403"/>
      <c r="O277" s="404"/>
      <c r="P277" s="407"/>
      <c r="Q277" s="2542"/>
      <c r="R277" s="2272"/>
      <c r="S277" s="2272"/>
      <c r="T277" s="2272"/>
      <c r="U277" s="2272"/>
      <c r="V277" s="2272"/>
    </row>
    <row r="278" spans="1:22" ht="15.95" customHeight="1" thickBot="1" x14ac:dyDescent="0.3">
      <c r="A278" s="957">
        <f>IF(OR(Expense_LandlordCosts_Reimb=1,Expense_LandlordCosts_NonReimb=1),1,0)</f>
        <v>1</v>
      </c>
      <c r="B278" s="174"/>
      <c r="C278" s="5"/>
      <c r="D278" s="43" t="s">
        <v>914</v>
      </c>
      <c r="E278" s="804"/>
      <c r="F278" s="804"/>
      <c r="G278" s="804"/>
      <c r="H278" s="804"/>
      <c r="I278" s="804"/>
      <c r="J278" s="804"/>
      <c r="K278" s="19"/>
      <c r="L278" s="19"/>
      <c r="M278" s="5"/>
      <c r="N278" s="6"/>
    </row>
    <row r="279" spans="1:22" ht="17.25" thickBot="1" x14ac:dyDescent="0.35">
      <c r="A279" s="957">
        <f>IF(OR(Expense_ReplacementReserves_Reimb=1,Expense_ReplacementReserves_NonReimb=1),1,0)</f>
        <v>1</v>
      </c>
      <c r="B279" s="174"/>
      <c r="C279" s="246"/>
      <c r="D279" s="246" t="str">
        <f>dpIncome_ExpenseCat_16</f>
        <v>Replacement Reserves</v>
      </c>
      <c r="E279" s="1682"/>
      <c r="F279" s="1682"/>
      <c r="G279" s="1682"/>
      <c r="H279" s="1682"/>
      <c r="I279" s="1682"/>
      <c r="J279" s="1682"/>
      <c r="K279" s="1682"/>
      <c r="L279" s="1682"/>
      <c r="M279" s="1683"/>
      <c r="N279" s="6"/>
      <c r="P279" s="235" t="s">
        <v>430</v>
      </c>
    </row>
    <row r="280" spans="1:22" ht="15.95" hidden="1" customHeight="1" x14ac:dyDescent="0.25">
      <c r="A280" s="957">
        <f>IF(OR(Expense_ReplacementReserves_Reimb=1,Expense_ReplacementReserves_NonReimb=1),IF(Main_ExpensePool_Count&gt;1,1,0),0)</f>
        <v>0</v>
      </c>
      <c r="B280" s="174"/>
      <c r="C280" s="12"/>
      <c r="D280" s="12"/>
      <c r="E280" s="4090" t="str">
        <f>$E$10</f>
        <v>Expense Pool 1</v>
      </c>
      <c r="F280" s="4090"/>
      <c r="G280" s="4090" t="str">
        <f>$G$10</f>
        <v>Expense Pool 2</v>
      </c>
      <c r="H280" s="4090"/>
      <c r="I280" s="4090" t="str">
        <f>$I$10</f>
        <v>Expense Pool 3</v>
      </c>
      <c r="J280" s="4090"/>
      <c r="K280" s="4164" t="str">
        <f>$K$10</f>
        <v>Total Expense</v>
      </c>
      <c r="L280" s="4164"/>
      <c r="N280" s="6"/>
      <c r="P280" s="707"/>
    </row>
    <row r="281" spans="1:22" ht="15.95" customHeight="1" x14ac:dyDescent="0.25">
      <c r="A281" s="957">
        <f>IF(OR(Expense_ReplacementReserves_Reimb=1,Expense_ReplacementReserves_NonReimb=1),1,0)</f>
        <v>1</v>
      </c>
      <c r="B281" s="174"/>
      <c r="C281" s="12"/>
      <c r="D281" s="12" t="s">
        <v>1577</v>
      </c>
      <c r="E281" s="55" t="s">
        <v>390</v>
      </c>
      <c r="F281" s="55" t="s">
        <v>391</v>
      </c>
      <c r="G281" s="55" t="s">
        <v>390</v>
      </c>
      <c r="H281" s="55" t="s">
        <v>391</v>
      </c>
      <c r="I281" s="55" t="s">
        <v>390</v>
      </c>
      <c r="J281" s="55" t="s">
        <v>391</v>
      </c>
      <c r="K281" s="55" t="s">
        <v>390</v>
      </c>
      <c r="L281" s="55" t="s">
        <v>391</v>
      </c>
      <c r="N281" s="6"/>
      <c r="P281" s="707"/>
    </row>
    <row r="282" spans="1:22" ht="18" hidden="1" customHeight="1" x14ac:dyDescent="0.25">
      <c r="A282" s="957">
        <f t="shared" ref="A282:A291" si="30">IF(OR(Expense_ReplacementReserves_Reimb=1,Expense_ReplacementReserves_NonReimb=1),IF(K282="",0,1),0)</f>
        <v>0</v>
      </c>
      <c r="B282" s="174"/>
      <c r="C282" s="258"/>
      <c r="D282" s="258" t="str">
        <f>CONCATENATE('Expense Comps'!$E$5, " - ",'Expense Comps'!$E$7," - ",'Expense Comps'!$E$9," - ",TEXT('Expense Comps'!$E$10,"mm/yyyy"))</f>
        <v>Expense Comp # 1 -  - 0 - 01/1900</v>
      </c>
      <c r="E282" s="415"/>
      <c r="F282" s="415"/>
      <c r="G282" s="415"/>
      <c r="H282" s="415"/>
      <c r="I282" s="415"/>
      <c r="J282" s="415"/>
      <c r="K282" s="3329" t="str">
        <f>VLOOKUP($D279,'Expense Comps'!$D$65:$X$75,3,FALSE)</f>
        <v/>
      </c>
      <c r="L282" s="3619" t="str">
        <f>VLOOKUP($D279,'Expense Comps'!$D$65:$X$75,4,FALSE)</f>
        <v/>
      </c>
      <c r="M282" s="258"/>
      <c r="N282" s="6"/>
      <c r="P282" s="664">
        <f>IF(Expense_ReplacementReserves_Reimb,dpIncome_Expense_Reserves_Stabilized,0)</f>
        <v>0</v>
      </c>
    </row>
    <row r="283" spans="1:22" ht="18" hidden="1" customHeight="1" x14ac:dyDescent="0.25">
      <c r="A283" s="957">
        <f t="shared" si="30"/>
        <v>0</v>
      </c>
      <c r="B283" s="174"/>
      <c r="C283" s="258"/>
      <c r="D283" s="258" t="str">
        <f>CONCATENATE('Expense Comps'!$I$5, " - ",'Expense Comps'!$I$7," - ",'Expense Comps'!$I$9," - ",TEXT('Expense Comps'!$I$10,"mm/yyyy"))</f>
        <v>Expense Comp # 2 -  - 0 - 01/1900</v>
      </c>
      <c r="E283" s="415"/>
      <c r="F283" s="415"/>
      <c r="G283" s="415"/>
      <c r="H283" s="415"/>
      <c r="I283" s="415"/>
      <c r="J283" s="415"/>
      <c r="K283" s="3329" t="str">
        <f>VLOOKUP($D279,'Expense Comps'!$D$65:$X$75,7,FALSE)</f>
        <v/>
      </c>
      <c r="L283" s="3619" t="str">
        <f>VLOOKUP($D279,'Expense Comps'!$D$65:$X$75,8,FALSE)</f>
        <v/>
      </c>
      <c r="M283" s="258"/>
      <c r="N283" s="6"/>
      <c r="P283" s="42"/>
    </row>
    <row r="284" spans="1:22" ht="18" hidden="1" customHeight="1" x14ac:dyDescent="0.25">
      <c r="A284" s="957">
        <f t="shared" si="30"/>
        <v>0</v>
      </c>
      <c r="B284" s="174"/>
      <c r="C284" s="258"/>
      <c r="D284" s="258" t="str">
        <f>CONCATENATE('Expense Comps'!$M$5, " - ",'Expense Comps'!$M$7," - ",'Expense Comps'!$M$9," - ",TEXT('Expense Comps'!$M$10,"mm/yyyy"))</f>
        <v>Expense Comp # 3 -  - 0 - 01/1900</v>
      </c>
      <c r="E284" s="415"/>
      <c r="F284" s="415"/>
      <c r="G284" s="415"/>
      <c r="H284" s="415"/>
      <c r="I284" s="415"/>
      <c r="J284" s="415"/>
      <c r="K284" s="3329" t="str">
        <f>VLOOKUP($D279,'Expense Comps'!$D$65:$X$75,11,FALSE)</f>
        <v/>
      </c>
      <c r="L284" s="3619" t="str">
        <f>VLOOKUP($D279,'Expense Comps'!$D$65:$X$75,12,FALSE)</f>
        <v/>
      </c>
      <c r="M284" s="258"/>
      <c r="N284" s="6"/>
      <c r="P284" s="42"/>
    </row>
    <row r="285" spans="1:22" ht="18" hidden="1" customHeight="1" x14ac:dyDescent="0.25">
      <c r="A285" s="957">
        <f t="shared" si="30"/>
        <v>0</v>
      </c>
      <c r="B285" s="174"/>
      <c r="C285" s="258"/>
      <c r="D285" s="258" t="str">
        <f>CONCATENATE('Expense Comps'!$Q$5, " - ",'Expense Comps'!$Q$7," - ",'Expense Comps'!$Q$9," - ",TEXT('Expense Comps'!$Q$10,"mm/yyyy"))</f>
        <v>Expense Comp # 4 -  - 0 - 01/1900</v>
      </c>
      <c r="E285" s="415"/>
      <c r="F285" s="415"/>
      <c r="G285" s="415"/>
      <c r="H285" s="415"/>
      <c r="I285" s="415"/>
      <c r="J285" s="415"/>
      <c r="K285" s="3329" t="str">
        <f>VLOOKUP($D279,'Expense Comps'!$D$65:$X$75,15,FALSE)</f>
        <v/>
      </c>
      <c r="L285" s="3619" t="str">
        <f>VLOOKUP($D279,'Expense Comps'!$D$65:$X$75,16,FALSE)</f>
        <v/>
      </c>
      <c r="M285" s="258"/>
      <c r="N285" s="6"/>
      <c r="P285" s="42"/>
    </row>
    <row r="286" spans="1:22" ht="18" hidden="1" customHeight="1" x14ac:dyDescent="0.25">
      <c r="A286" s="957">
        <f t="shared" si="30"/>
        <v>0</v>
      </c>
      <c r="B286" s="174"/>
      <c r="C286" s="258"/>
      <c r="D286" s="258" t="str">
        <f>CONCATENATE('Expense Comps'!$U$5, " - ",'Expense Comps'!$U$7," - ",'Expense Comps'!$U$9," - ",TEXT('Expense Comps'!$U$10,"mm/yyyy"))</f>
        <v>Expense Comp # 5 -  - 0 - 01/1900</v>
      </c>
      <c r="E286" s="415"/>
      <c r="F286" s="415"/>
      <c r="G286" s="415"/>
      <c r="H286" s="415"/>
      <c r="I286" s="415"/>
      <c r="J286" s="415"/>
      <c r="K286" s="3329" t="str">
        <f>VLOOKUP($D279,'Expense Comps'!$D$65:$X$75,19,FALSE)</f>
        <v/>
      </c>
      <c r="L286" s="3619" t="str">
        <f>VLOOKUP($D279,'Expense Comps'!$D$65:$X$75,20,FALSE)</f>
        <v/>
      </c>
      <c r="M286" s="258"/>
      <c r="N286" s="6"/>
      <c r="P286" s="42"/>
    </row>
    <row r="287" spans="1:22" ht="18" hidden="1" customHeight="1" x14ac:dyDescent="0.25">
      <c r="A287" s="957">
        <f t="shared" si="30"/>
        <v>0</v>
      </c>
      <c r="B287" s="174"/>
      <c r="C287" s="258"/>
      <c r="D287" s="258" t="str">
        <f>CONCATENATE("Subject ",'Income Expense History'!$E$5," - ",TEXT('Income Expense History'!$E$6,"mm/yyyy"))</f>
        <v>Subject 0 - 01/1900</v>
      </c>
      <c r="E287" s="3329"/>
      <c r="F287" s="3399" t="str">
        <f>IFERROR(E287/Income_EGI_Pool1_1,"")</f>
        <v/>
      </c>
      <c r="G287" s="3329"/>
      <c r="H287" s="3399" t="str">
        <f>IFERROR(G287/Income_EGI_Pool2_1,"")</f>
        <v/>
      </c>
      <c r="I287" s="3329"/>
      <c r="J287" s="3399" t="str">
        <f>IFERROR(I287/Income_EGI_Pool3_1,"")</f>
        <v/>
      </c>
      <c r="K287" s="3329" t="str">
        <f>VLOOKUP($D279,'Income Expense History'!$D$65:$S$76,3,FALSE)</f>
        <v/>
      </c>
      <c r="L287" s="3399" t="str">
        <f>VLOOKUP($D279,'Income Expense History'!$D$65:$S$76,4, FALSE)</f>
        <v>N/A</v>
      </c>
      <c r="M287" s="258"/>
      <c r="N287" s="6"/>
      <c r="P287" s="42"/>
    </row>
    <row r="288" spans="1:22" ht="18" hidden="1" customHeight="1" x14ac:dyDescent="0.25">
      <c r="A288" s="957">
        <f t="shared" si="30"/>
        <v>0</v>
      </c>
      <c r="B288" s="174"/>
      <c r="C288" s="258"/>
      <c r="D288" s="258" t="str">
        <f>CONCATENATE("Subject ",'Income Expense History'!$I$5," - ",TEXT('Income Expense History'!$I$6,"mm/yyyy"))</f>
        <v>Subject 0 - 01/1900</v>
      </c>
      <c r="E288" s="3329"/>
      <c r="F288" s="3399" t="str">
        <f>IFERROR(E288/Income_EGI_Pool1_2,"")</f>
        <v/>
      </c>
      <c r="G288" s="3329"/>
      <c r="H288" s="3399" t="str">
        <f>IFERROR(G288/Income_EGI_Pool2_2,"")</f>
        <v/>
      </c>
      <c r="I288" s="3329"/>
      <c r="J288" s="3399" t="str">
        <f>IFERROR(I288/Income_EGI_Pool3_2,"")</f>
        <v/>
      </c>
      <c r="K288" s="3329" t="str">
        <f>VLOOKUP($D279,'Income Expense History'!$D$65:$S$76,7, FALSE)</f>
        <v/>
      </c>
      <c r="L288" s="3399" t="str">
        <f>VLOOKUP($D279,'Income Expense History'!$D$65:$S$76,8, FALSE)</f>
        <v>N/A</v>
      </c>
      <c r="M288" s="258"/>
      <c r="N288" s="6"/>
      <c r="P288" s="42"/>
    </row>
    <row r="289" spans="1:22" ht="18" hidden="1" customHeight="1" x14ac:dyDescent="0.25">
      <c r="A289" s="957">
        <f t="shared" si="30"/>
        <v>0</v>
      </c>
      <c r="B289" s="174"/>
      <c r="C289" s="258"/>
      <c r="D289" s="258" t="str">
        <f>CONCATENATE("Subject ",'Income Expense History'!$M$5," - ",TEXT('Income Expense History'!$M$6,"mm/yyyy"))</f>
        <v>Subject 0 - 01/1900</v>
      </c>
      <c r="E289" s="3329"/>
      <c r="F289" s="3399" t="str">
        <f>IFERROR(E289/Income_EGI_Pool1_3,"")</f>
        <v/>
      </c>
      <c r="G289" s="3329"/>
      <c r="H289" s="3399" t="str">
        <f>IFERROR(G289/Income_EGI_Pool2_3,"")</f>
        <v/>
      </c>
      <c r="I289" s="3329"/>
      <c r="J289" s="3399" t="str">
        <f>IFERROR(I289/Income_EGI_Pool3_3,"")</f>
        <v/>
      </c>
      <c r="K289" s="3329" t="str">
        <f>VLOOKUP($D279,'Income Expense History'!$D$65:$S$76,11, FALSE)</f>
        <v/>
      </c>
      <c r="L289" s="3399" t="str">
        <f>VLOOKUP($D279,'Income Expense History'!$D$65:$S$76,12, FALSE)</f>
        <v>N/A</v>
      </c>
      <c r="M289" s="258"/>
      <c r="N289" s="6"/>
      <c r="P289" s="42"/>
    </row>
    <row r="290" spans="1:22" ht="18" hidden="1" customHeight="1" x14ac:dyDescent="0.25">
      <c r="A290" s="957">
        <f t="shared" si="30"/>
        <v>0</v>
      </c>
      <c r="B290" s="174"/>
      <c r="C290" s="258"/>
      <c r="D290" s="258" t="str">
        <f>CONCATENATE("Subject ",'Income Expense History'!$Q$5," - ",TEXT('Income Expense History'!$Q$6,"mm/yyyy"))</f>
        <v>Subject 0 - 01/1900</v>
      </c>
      <c r="E290" s="3329"/>
      <c r="F290" s="3399" t="str">
        <f>IFERROR(E290/Income_EGI_Pool1_4,"")</f>
        <v/>
      </c>
      <c r="G290" s="3329"/>
      <c r="H290" s="3399" t="str">
        <f>IFERROR(G290/Income_EGI_Pool2_4,"")</f>
        <v/>
      </c>
      <c r="I290" s="3329"/>
      <c r="J290" s="3399" t="str">
        <f>IFERROR(I290/Income_EGI_Pool3_4,"")</f>
        <v/>
      </c>
      <c r="K290" s="3329" t="str">
        <f>VLOOKUP($D279,'Income Expense History'!$D$65:$S$76,15, FALSE)</f>
        <v/>
      </c>
      <c r="L290" s="3399" t="str">
        <f>VLOOKUP($D279,'Income Expense History'!$D$65:$S$76,16, FALSE)</f>
        <v>N/A</v>
      </c>
      <c r="M290" s="258"/>
      <c r="N290" s="6"/>
    </row>
    <row r="291" spans="1:22" s="406" customFormat="1" ht="18" hidden="1" customHeight="1" x14ac:dyDescent="0.25">
      <c r="A291" s="957">
        <f t="shared" si="30"/>
        <v>0</v>
      </c>
      <c r="B291" s="402"/>
      <c r="C291" s="3625"/>
      <c r="D291" s="3629" t="s">
        <v>394</v>
      </c>
      <c r="E291" s="3630" t="e">
        <f t="shared" ref="E291:J291" si="31">AVERAGE(E282:E290)</f>
        <v>#DIV/0!</v>
      </c>
      <c r="F291" s="3632" t="e">
        <f t="shared" si="31"/>
        <v>#DIV/0!</v>
      </c>
      <c r="G291" s="3630" t="e">
        <f t="shared" si="31"/>
        <v>#DIV/0!</v>
      </c>
      <c r="H291" s="3632" t="e">
        <f t="shared" si="31"/>
        <v>#DIV/0!</v>
      </c>
      <c r="I291" s="3630" t="e">
        <f t="shared" si="31"/>
        <v>#DIV/0!</v>
      </c>
      <c r="J291" s="3632" t="e">
        <f t="shared" si="31"/>
        <v>#DIV/0!</v>
      </c>
      <c r="K291" s="3630" t="str">
        <f>IF(ISERR(AVERAGE(K282:K290)),"",AVERAGE(K282:K290))</f>
        <v/>
      </c>
      <c r="L291" s="3631" t="str">
        <f>IF(ISERR(AVERAGE(L282:L290)),"",AVERAGE(L282:L290))</f>
        <v/>
      </c>
      <c r="M291" s="3625"/>
      <c r="N291" s="403"/>
      <c r="O291" s="404"/>
      <c r="P291" s="407"/>
      <c r="Q291" s="2542"/>
      <c r="R291" s="2272"/>
      <c r="S291" s="2272"/>
      <c r="T291" s="2272"/>
      <c r="U291" s="2272"/>
      <c r="V291" s="2272"/>
    </row>
    <row r="292" spans="1:22" s="406" customFormat="1" ht="18" hidden="1" customHeight="1" x14ac:dyDescent="0.25">
      <c r="A292" s="957">
        <f>IF(AND(Income_TechniqueUsed&lt;&gt;"Direct Capitalization",Expense_ReplacementReserves_Number&gt;1),1,0)</f>
        <v>0</v>
      </c>
      <c r="B292" s="402"/>
      <c r="C292" s="3625"/>
      <c r="D292" s="3625" t="s">
        <v>393</v>
      </c>
      <c r="E292" s="1677"/>
      <c r="F292" s="3399" t="e">
        <f>E292/Income_EGI_Pool1_1</f>
        <v>#DIV/0!</v>
      </c>
      <c r="G292" s="1677"/>
      <c r="H292" s="3399" t="e">
        <f>G292/Income_EGI_Pool2_1</f>
        <v>#DIV/0!</v>
      </c>
      <c r="I292" s="1677"/>
      <c r="J292" s="3399" t="e">
        <f>I292/Income_EGI_Pool3_1</f>
        <v>#DIV/0!</v>
      </c>
      <c r="K292" s="1677"/>
      <c r="L292" s="1698" t="e">
        <f>dpIncome_Expense_Reserves_Year1*Subject_NRA/VLOOKUP("Effective Gross Revenue",'DCF 1'!$E$8:$I$107,2,FALSE)+0</f>
        <v>#N/A</v>
      </c>
      <c r="M292" s="3625"/>
      <c r="N292" s="403"/>
      <c r="O292" s="404"/>
      <c r="P292" s="404"/>
      <c r="Q292" s="2542"/>
      <c r="R292" s="2272"/>
      <c r="S292" s="2272"/>
      <c r="T292" s="2272"/>
      <c r="U292" s="2272"/>
      <c r="V292" s="2272"/>
    </row>
    <row r="293" spans="1:22" s="406" customFormat="1" ht="18" hidden="1" customHeight="1" x14ac:dyDescent="0.25">
      <c r="A293" s="957">
        <f>IF(AND(Income_TechniqueUsed&lt;&gt;"Direct Capitalization",Expense_ReplacementReserves_Number&gt;2),1,0)</f>
        <v>0</v>
      </c>
      <c r="B293" s="402"/>
      <c r="C293" s="3625"/>
      <c r="D293" s="3625" t="s">
        <v>419</v>
      </c>
      <c r="E293" s="1677"/>
      <c r="F293" s="3399" t="e">
        <f>E293/Income_EGI_Pool1_1</f>
        <v>#DIV/0!</v>
      </c>
      <c r="G293" s="1677"/>
      <c r="H293" s="3399" t="e">
        <f>G293/Income_EGI_Pool2_1</f>
        <v>#DIV/0!</v>
      </c>
      <c r="I293" s="1677"/>
      <c r="J293" s="3399" t="e">
        <f>I293/Income_EGI_Pool3_1</f>
        <v>#DIV/0!</v>
      </c>
      <c r="K293" s="1677"/>
      <c r="L293" s="1698" t="e">
        <f>dpIncome_Expense_Reserves_Year2*Subject_NRA/VLOOKUP("Effective Gross Revenue",'DCF 1'!$E$8:$I$107,3,FALSE)+0</f>
        <v>#N/A</v>
      </c>
      <c r="M293" s="3625"/>
      <c r="N293" s="403"/>
      <c r="O293" s="404"/>
      <c r="P293" s="404"/>
      <c r="Q293" s="2542"/>
      <c r="R293" s="2272"/>
      <c r="S293" s="2272"/>
      <c r="T293" s="2272"/>
      <c r="U293" s="2272"/>
      <c r="V293" s="2272"/>
    </row>
    <row r="294" spans="1:22" s="406" customFormat="1" ht="18" hidden="1" customHeight="1" x14ac:dyDescent="0.25">
      <c r="A294" s="957">
        <f>IF(AND(Income_TechniqueUsed&lt;&gt;"Direct Capitalization",Expense_ReplacementReserves_Number&gt;3),1,0)</f>
        <v>0</v>
      </c>
      <c r="B294" s="402"/>
      <c r="C294" s="3625"/>
      <c r="D294" s="3625" t="s">
        <v>420</v>
      </c>
      <c r="E294" s="1677"/>
      <c r="F294" s="3399" t="e">
        <f>E294/Income_EGI_Pool1_1</f>
        <v>#DIV/0!</v>
      </c>
      <c r="G294" s="1677"/>
      <c r="H294" s="3399" t="e">
        <f>G294/Income_EGI_Pool2_1</f>
        <v>#DIV/0!</v>
      </c>
      <c r="I294" s="1677"/>
      <c r="J294" s="3399" t="e">
        <f>I294/Income_EGI_Pool3_1</f>
        <v>#DIV/0!</v>
      </c>
      <c r="K294" s="1677"/>
      <c r="L294" s="1698" t="e">
        <f>dpIncome_Expense_Reserves_Year3*Subject_NRA/VLOOKUP("Effective Gross Revenue",'DCF 1'!$E$8:$I$107,4,FALSE)+0</f>
        <v>#N/A</v>
      </c>
      <c r="M294" s="3625"/>
      <c r="N294" s="403"/>
      <c r="O294" s="404"/>
      <c r="P294" s="404"/>
      <c r="Q294" s="2542"/>
      <c r="R294" s="2272"/>
      <c r="S294" s="2272"/>
      <c r="T294" s="2272"/>
      <c r="U294" s="2272"/>
      <c r="V294" s="2272"/>
    </row>
    <row r="295" spans="1:22" s="406" customFormat="1" ht="18" customHeight="1" thickBot="1" x14ac:dyDescent="0.3">
      <c r="A295" s="957">
        <f>IF(OR(Expense_ReplacementReserves_Reimb=1,Expense_ReplacementReserves_NonReimb=1),1,0)</f>
        <v>1</v>
      </c>
      <c r="B295" s="402"/>
      <c r="C295" s="3625"/>
      <c r="D295" s="3628" t="str">
        <f>IF(P279="Year 1 Only","Year 1 Estimate:","Stabilized Estimate:")</f>
        <v>Stabilized Estimate:</v>
      </c>
      <c r="E295" s="1678"/>
      <c r="F295" s="3633" t="e">
        <f>E295/Income_EGI_Pool1_1</f>
        <v>#DIV/0!</v>
      </c>
      <c r="G295" s="1678"/>
      <c r="H295" s="3633" t="e">
        <f>G295/Income_EGI_Pool2_1</f>
        <v>#DIV/0!</v>
      </c>
      <c r="I295" s="1678"/>
      <c r="J295" s="3633" t="e">
        <f>I295/Income_EGI_Pool3_1</f>
        <v>#DIV/0!</v>
      </c>
      <c r="K295" s="1678">
        <v>0.3</v>
      </c>
      <c r="L295" s="1699">
        <f ca="1">IF(P279="Stabilized Only",dpIncome_Expense_Reserves_Stabilized*Subject_NRA/dpIncome_DirectCap_EGI,dpIncome_Expense_Reserves_Stabilized*Subject_NRA/VLOOKUP("Effective Gross Revenue",'DCF 1'!$E$8:$I$107,2,FALSE)+0)</f>
        <v>0.17731094336211181</v>
      </c>
      <c r="M295" s="3625"/>
      <c r="N295" s="403"/>
      <c r="O295" s="404"/>
      <c r="P295" s="407"/>
      <c r="Q295" s="2542"/>
      <c r="R295" s="2272"/>
      <c r="S295" s="2272"/>
      <c r="T295" s="2272"/>
      <c r="U295" s="2272"/>
      <c r="V295" s="2272"/>
    </row>
    <row r="296" spans="1:22" ht="15.95" customHeight="1" thickBot="1" x14ac:dyDescent="0.3">
      <c r="A296" s="957">
        <f>IF(OR(Expense_ReplacementReserves_Reimb=1,Expense_ReplacementReserves_NonReimb=1),1,0)</f>
        <v>1</v>
      </c>
      <c r="B296" s="174"/>
      <c r="C296" s="5"/>
      <c r="D296" s="43" t="s">
        <v>915</v>
      </c>
      <c r="E296" s="804"/>
      <c r="F296" s="804"/>
      <c r="G296" s="804"/>
      <c r="H296" s="804"/>
      <c r="I296" s="804"/>
      <c r="J296" s="804"/>
      <c r="K296" s="19"/>
      <c r="L296" s="19"/>
      <c r="M296" s="5"/>
      <c r="N296" s="6"/>
    </row>
    <row r="297" spans="1:22" ht="17.25" thickBot="1" x14ac:dyDescent="0.35">
      <c r="A297" s="957">
        <v>1</v>
      </c>
      <c r="B297" s="174"/>
      <c r="C297" s="246"/>
      <c r="D297" s="246" t="str">
        <f>dpIncome_ExpenseCat_17</f>
        <v>Total Operating Expenses</v>
      </c>
      <c r="E297" s="1682"/>
      <c r="F297" s="1682"/>
      <c r="G297" s="1682"/>
      <c r="H297" s="1682"/>
      <c r="I297" s="1682"/>
      <c r="J297" s="1682"/>
      <c r="K297" s="1682"/>
      <c r="L297" s="1682"/>
      <c r="M297" s="1683"/>
      <c r="N297" s="6"/>
      <c r="P297" s="235" t="s">
        <v>430</v>
      </c>
    </row>
    <row r="298" spans="1:22" ht="15.95" hidden="1" customHeight="1" x14ac:dyDescent="0.25">
      <c r="A298" s="957">
        <f>IF(Main_ExpensePool_Count&gt;1,1,0)</f>
        <v>0</v>
      </c>
      <c r="B298" s="174"/>
      <c r="C298" s="12"/>
      <c r="D298" s="12"/>
      <c r="E298" s="4090" t="str">
        <f>$E$10</f>
        <v>Expense Pool 1</v>
      </c>
      <c r="F298" s="4090"/>
      <c r="G298" s="4090" t="str">
        <f>$G$10</f>
        <v>Expense Pool 2</v>
      </c>
      <c r="H298" s="4090"/>
      <c r="I298" s="4090" t="str">
        <f>$I$10</f>
        <v>Expense Pool 3</v>
      </c>
      <c r="J298" s="4090"/>
      <c r="K298" s="4164" t="str">
        <f>$K$10</f>
        <v>Total Expense</v>
      </c>
      <c r="L298" s="4164"/>
      <c r="N298" s="6"/>
      <c r="P298" s="707"/>
    </row>
    <row r="299" spans="1:22" ht="15.95" customHeight="1" x14ac:dyDescent="0.25">
      <c r="A299" s="957">
        <v>1</v>
      </c>
      <c r="B299" s="174"/>
      <c r="C299" s="12"/>
      <c r="D299" s="12" t="s">
        <v>1577</v>
      </c>
      <c r="E299" s="55" t="s">
        <v>390</v>
      </c>
      <c r="F299" s="55" t="s">
        <v>391</v>
      </c>
      <c r="G299" s="55" t="s">
        <v>390</v>
      </c>
      <c r="H299" s="55" t="s">
        <v>391</v>
      </c>
      <c r="I299" s="55" t="s">
        <v>390</v>
      </c>
      <c r="J299" s="55" t="s">
        <v>391</v>
      </c>
      <c r="K299" s="55" t="s">
        <v>390</v>
      </c>
      <c r="L299" s="55" t="s">
        <v>391</v>
      </c>
      <c r="N299" s="6"/>
      <c r="P299" s="707"/>
    </row>
    <row r="300" spans="1:22" ht="18" hidden="1" customHeight="1" x14ac:dyDescent="0.25">
      <c r="A300" s="957">
        <f>IF(K300="",0,1)</f>
        <v>0</v>
      </c>
      <c r="B300" s="174"/>
      <c r="C300" s="258"/>
      <c r="D300" s="258" t="str">
        <f>CONCATENATE('Expense Comps'!$E$5, " - ",'Expense Comps'!$E$7," - ",'Expense Comps'!$E$9," - ",TEXT('Expense Comps'!$E$10,"mm/yyyy"))</f>
        <v>Expense Comp # 1 -  - 0 - 01/1900</v>
      </c>
      <c r="E300" s="415"/>
      <c r="F300" s="415"/>
      <c r="G300" s="415"/>
      <c r="H300" s="415"/>
      <c r="I300" s="415"/>
      <c r="J300" s="415"/>
      <c r="K300" s="3329" t="str">
        <f>VLOOKUP($D297,'Expense Comps'!$D$65:$X$75,3,FALSE)</f>
        <v/>
      </c>
      <c r="L300" s="3619" t="str">
        <f>VLOOKUP($D297,'Expense Comps'!$D$65:$X$75,4,FALSE)</f>
        <v/>
      </c>
      <c r="M300" s="258"/>
      <c r="N300" s="6"/>
      <c r="P300" s="207"/>
    </row>
    <row r="301" spans="1:22" ht="18" hidden="1" customHeight="1" x14ac:dyDescent="0.25">
      <c r="A301" s="957">
        <f>IF(K301="",0,1)</f>
        <v>0</v>
      </c>
      <c r="B301" s="174"/>
      <c r="C301" s="258"/>
      <c r="D301" s="258" t="str">
        <f>CONCATENATE('Expense Comps'!$I$5, " - ",'Expense Comps'!$I$7," - ",'Expense Comps'!$I$9," - ",TEXT('Expense Comps'!$I$10,"mm/yyyy"))</f>
        <v>Expense Comp # 2 -  - 0 - 01/1900</v>
      </c>
      <c r="E301" s="415"/>
      <c r="F301" s="415"/>
      <c r="G301" s="415"/>
      <c r="H301" s="415"/>
      <c r="I301" s="415"/>
      <c r="J301" s="415"/>
      <c r="K301" s="3329" t="str">
        <f>VLOOKUP($D297,'Expense Comps'!$D$65:$X$75,7,FALSE)</f>
        <v/>
      </c>
      <c r="L301" s="3619" t="str">
        <f>VLOOKUP($D297,'Expense Comps'!$D$65:$X$75,8,FALSE)</f>
        <v/>
      </c>
      <c r="M301" s="258"/>
      <c r="N301" s="6"/>
    </row>
    <row r="302" spans="1:22" ht="18" hidden="1" customHeight="1" x14ac:dyDescent="0.25">
      <c r="A302" s="957">
        <f>IF(K302="",0,1)</f>
        <v>0</v>
      </c>
      <c r="B302" s="174"/>
      <c r="C302" s="258"/>
      <c r="D302" s="258" t="str">
        <f>CONCATENATE('Expense Comps'!$M$5, " - ",'Expense Comps'!$M$7," - ",'Expense Comps'!$M$9," - ",TEXT('Expense Comps'!$M$10,"mm/yyyy"))</f>
        <v>Expense Comp # 3 -  - 0 - 01/1900</v>
      </c>
      <c r="E302" s="415"/>
      <c r="F302" s="415"/>
      <c r="G302" s="415"/>
      <c r="H302" s="415"/>
      <c r="I302" s="415"/>
      <c r="J302" s="415"/>
      <c r="K302" s="3329" t="str">
        <f>VLOOKUP($D297,'Expense Comps'!$D$65:$X$75,11,FALSE)</f>
        <v/>
      </c>
      <c r="L302" s="3619" t="str">
        <f>VLOOKUP($D297,'Expense Comps'!$D$65:$X$75,12,FALSE)</f>
        <v/>
      </c>
      <c r="M302" s="258"/>
      <c r="N302" s="6"/>
    </row>
    <row r="303" spans="1:22" ht="18" hidden="1" customHeight="1" x14ac:dyDescent="0.25">
      <c r="A303" s="957">
        <f>IF(K303="",0,1)</f>
        <v>0</v>
      </c>
      <c r="B303" s="174"/>
      <c r="C303" s="258"/>
      <c r="D303" s="258" t="str">
        <f>CONCATENATE('Expense Comps'!$Q$5, " - ",'Expense Comps'!$Q$7," - ",'Expense Comps'!$Q$9," - ",TEXT('Expense Comps'!$Q$10,"mm/yyyy"))</f>
        <v>Expense Comp # 4 -  - 0 - 01/1900</v>
      </c>
      <c r="E303" s="415"/>
      <c r="F303" s="415"/>
      <c r="G303" s="415"/>
      <c r="H303" s="415"/>
      <c r="I303" s="415"/>
      <c r="J303" s="415"/>
      <c r="K303" s="3329" t="str">
        <f>VLOOKUP($D297,'Expense Comps'!$D$65:$X$75,15,FALSE)</f>
        <v/>
      </c>
      <c r="L303" s="3619" t="str">
        <f>VLOOKUP($D297,'Expense Comps'!$D$65:$X$75,16,FALSE)</f>
        <v/>
      </c>
      <c r="M303" s="258"/>
      <c r="N303" s="6"/>
      <c r="P303" s="42"/>
    </row>
    <row r="304" spans="1:22" ht="18" hidden="1" customHeight="1" x14ac:dyDescent="0.25">
      <c r="A304" s="957">
        <f>IF(K304="",0,1)</f>
        <v>0</v>
      </c>
      <c r="B304" s="174"/>
      <c r="C304" s="258"/>
      <c r="D304" s="258" t="str">
        <f>CONCATENATE('Expense Comps'!$U$5, " - ",'Expense Comps'!$U$7," - ",'Expense Comps'!$U$9," - ",TEXT('Expense Comps'!$U$10,"mm/yyyy"))</f>
        <v>Expense Comp # 5 -  - 0 - 01/1900</v>
      </c>
      <c r="E304" s="415"/>
      <c r="F304" s="415"/>
      <c r="G304" s="415"/>
      <c r="H304" s="415"/>
      <c r="I304" s="415"/>
      <c r="J304" s="415"/>
      <c r="K304" s="3329" t="str">
        <f>VLOOKUP($D297,'Expense Comps'!$D$65:$X$75,19,FALSE)</f>
        <v/>
      </c>
      <c r="L304" s="3619" t="str">
        <f>VLOOKUP($D297,'Expense Comps'!$D$65:$X$75,20,FALSE)</f>
        <v/>
      </c>
      <c r="M304" s="258"/>
      <c r="N304" s="6"/>
      <c r="P304" s="42"/>
    </row>
    <row r="305" spans="1:22" ht="18" hidden="1" customHeight="1" x14ac:dyDescent="0.25">
      <c r="A305" s="957">
        <f>IFERROR(IF(K305="",0,1),0)</f>
        <v>0</v>
      </c>
      <c r="B305" s="174"/>
      <c r="C305" s="258"/>
      <c r="D305" s="258" t="str">
        <f>CONCATENATE("Subject ",'Income Expense History'!$E$5," - ",TEXT('Income Expense History'!$E$6,"mm/yyyy"))</f>
        <v>Subject 0 - 01/1900</v>
      </c>
      <c r="E305" s="3329" t="e">
        <f>E17+E35+E53+E71+E89+E107+E125+E143</f>
        <v>#VALUE!</v>
      </c>
      <c r="F305" s="3399" t="str">
        <f>IFERROR(E305/Income_EGI_Pool1_1,"")</f>
        <v/>
      </c>
      <c r="G305" s="3329" t="e">
        <f>G17+G35+G53+G71+G89+G107+G125+G143</f>
        <v>#VALUE!</v>
      </c>
      <c r="H305" s="3399" t="str">
        <f>IFERROR(G305/Income_EGI_Pool2_1,"")</f>
        <v/>
      </c>
      <c r="I305" s="3329" t="e">
        <f>I17+I35+I53+I71+I89+I107+I125+I143</f>
        <v>#VALUE!</v>
      </c>
      <c r="J305" s="3399" t="str">
        <f>IFERROR(I305/Income_EGI_Pool3_1,"")</f>
        <v/>
      </c>
      <c r="K305" s="3329" t="str">
        <f>IF(VLOOKUP($D297,'Income Expense History'!$D$65:$S$76,2,FALSE)=0,"",VLOOKUP($D297,'Income Expense History'!$D$65:$S$76,3,FALSE))</f>
        <v/>
      </c>
      <c r="L305" s="3399" t="str">
        <f>VLOOKUP($D297,'Income Expense History'!$D$65:$S$76,4, FALSE)</f>
        <v>N/A</v>
      </c>
      <c r="M305" s="258"/>
      <c r="N305" s="6"/>
    </row>
    <row r="306" spans="1:22" ht="18" hidden="1" customHeight="1" x14ac:dyDescent="0.25">
      <c r="A306" s="957">
        <f>IFERROR(IF(K306="",0,1),0)</f>
        <v>0</v>
      </c>
      <c r="B306" s="174"/>
      <c r="C306" s="258"/>
      <c r="D306" s="258" t="str">
        <f>CONCATENATE("Subject ",'Income Expense History'!$I$5," - ",TEXT('Income Expense History'!$I$6,"mm/yyyy"))</f>
        <v>Subject 0 - 01/1900</v>
      </c>
      <c r="E306" s="3329" t="e">
        <f t="shared" ref="E306:G308" si="32">E18+E36+E54+E72+E90+E108+E126+E144</f>
        <v>#VALUE!</v>
      </c>
      <c r="F306" s="3399" t="str">
        <f>IFERROR(E306/Income_EGI_Pool1_2,"")</f>
        <v/>
      </c>
      <c r="G306" s="3329" t="e">
        <f t="shared" si="32"/>
        <v>#VALUE!</v>
      </c>
      <c r="H306" s="3399" t="str">
        <f>IFERROR(G306/Income_EGI_Pool2_2,"")</f>
        <v/>
      </c>
      <c r="I306" s="3329" t="e">
        <f>I18+I36+I54+I72+I90+I108+I126+I144</f>
        <v>#VALUE!</v>
      </c>
      <c r="J306" s="3399" t="str">
        <f>IFERROR(I306/Income_EGI_Pool3_2,"")</f>
        <v/>
      </c>
      <c r="K306" s="3329" t="str">
        <f>IF(VLOOKUP($D297,'Income Expense History'!$D$65:$S$76,6, FALSE)=0,"",VLOOKUP($D297,'Income Expense History'!$D$65:$S$76,7, FALSE))</f>
        <v/>
      </c>
      <c r="L306" s="3399" t="str">
        <f>VLOOKUP($D297,'Income Expense History'!$D$65:$S$76,8, FALSE)</f>
        <v>N/A</v>
      </c>
      <c r="M306" s="258"/>
      <c r="N306" s="6"/>
    </row>
    <row r="307" spans="1:22" ht="18" hidden="1" customHeight="1" x14ac:dyDescent="0.25">
      <c r="A307" s="957">
        <f>IFERROR(IF(K307="",0,1),0)</f>
        <v>0</v>
      </c>
      <c r="B307" s="174"/>
      <c r="C307" s="258"/>
      <c r="D307" s="258" t="str">
        <f>CONCATENATE("Subject ",'Income Expense History'!$M$5," - ",TEXT('Income Expense History'!$M$6,"mm/yyyy"))</f>
        <v>Subject 0 - 01/1900</v>
      </c>
      <c r="E307" s="3329" t="e">
        <f t="shared" si="32"/>
        <v>#VALUE!</v>
      </c>
      <c r="F307" s="3399" t="str">
        <f>IFERROR(E307/Income_EGI_Pool1_3,"")</f>
        <v/>
      </c>
      <c r="G307" s="3329" t="e">
        <f t="shared" si="32"/>
        <v>#VALUE!</v>
      </c>
      <c r="H307" s="3399" t="str">
        <f>IFERROR(G307/Income_EGI_Pool2_3,"")</f>
        <v/>
      </c>
      <c r="I307" s="3329" t="e">
        <f>I19+I37+I55+I73+I91+I109+I127+I145</f>
        <v>#VALUE!</v>
      </c>
      <c r="J307" s="3399" t="str">
        <f>IFERROR(I307/Income_EGI_Pool3_3,"")</f>
        <v/>
      </c>
      <c r="K307" s="3329" t="str">
        <f>IF(VLOOKUP($D297,'Income Expense History'!$D$65:$S$76,10, FALSE)=0,"",VLOOKUP($D297,'Income Expense History'!$D$65:$S$76,11, FALSE))</f>
        <v/>
      </c>
      <c r="L307" s="3399" t="str">
        <f>VLOOKUP($D297,'Income Expense History'!$D$65:$S$76,12, FALSE)</f>
        <v>N/A</v>
      </c>
      <c r="M307" s="258"/>
      <c r="N307" s="6"/>
    </row>
    <row r="308" spans="1:22" ht="18" hidden="1" customHeight="1" x14ac:dyDescent="0.25">
      <c r="A308" s="957">
        <f>IFERROR(IF(K308="",0,1),0)</f>
        <v>0</v>
      </c>
      <c r="B308" s="174"/>
      <c r="C308" s="258"/>
      <c r="D308" s="258" t="str">
        <f>CONCATENATE("Subject ",'Income Expense History'!$Q$5," - ",TEXT('Income Expense History'!$Q$6,"mm/yyyy"))</f>
        <v>Subject 0 - 01/1900</v>
      </c>
      <c r="E308" s="3329" t="e">
        <f t="shared" si="32"/>
        <v>#VALUE!</v>
      </c>
      <c r="F308" s="3399" t="str">
        <f>IFERROR(E308/Income_EGI_Pool1_4,"")</f>
        <v/>
      </c>
      <c r="G308" s="3329" t="e">
        <f t="shared" si="32"/>
        <v>#VALUE!</v>
      </c>
      <c r="H308" s="3399" t="str">
        <f>IFERROR(G308/Income_EGI_Pool2_4,"")</f>
        <v/>
      </c>
      <c r="I308" s="3329" t="e">
        <f>I20+I38+I56+I74+I92+I110+I128+I146</f>
        <v>#VALUE!</v>
      </c>
      <c r="J308" s="3399" t="str">
        <f>IFERROR(I308/Income_EGI_Pool3_4,"")</f>
        <v/>
      </c>
      <c r="K308" s="3329" t="str">
        <f>IF(VLOOKUP($D297,'Income Expense History'!$D$65:$S$76,14, FALSE)=0,"",VLOOKUP($D297,'Income Expense History'!$D$65:$S$76,15, FALSE))</f>
        <v/>
      </c>
      <c r="L308" s="3399" t="str">
        <f>VLOOKUP($D297,'Income Expense History'!$D$65:$S$76,16, FALSE)</f>
        <v>N/A</v>
      </c>
      <c r="M308" s="258"/>
      <c r="N308" s="6"/>
    </row>
    <row r="309" spans="1:22" s="406" customFormat="1" ht="18" customHeight="1" x14ac:dyDescent="0.25">
      <c r="A309" s="957">
        <v>1</v>
      </c>
      <c r="B309" s="402"/>
      <c r="C309" s="3625"/>
      <c r="D309" s="3629" t="s">
        <v>394</v>
      </c>
      <c r="E309" s="3630" t="e">
        <f t="shared" ref="E309:J309" si="33">AVERAGE(E300:E308)</f>
        <v>#VALUE!</v>
      </c>
      <c r="F309" s="3632" t="e">
        <f t="shared" si="33"/>
        <v>#DIV/0!</v>
      </c>
      <c r="G309" s="3630" t="e">
        <f t="shared" si="33"/>
        <v>#VALUE!</v>
      </c>
      <c r="H309" s="3632" t="e">
        <f t="shared" si="33"/>
        <v>#DIV/0!</v>
      </c>
      <c r="I309" s="3630" t="e">
        <f t="shared" si="33"/>
        <v>#VALUE!</v>
      </c>
      <c r="J309" s="3632" t="e">
        <f t="shared" si="33"/>
        <v>#DIV/0!</v>
      </c>
      <c r="K309" s="3630" t="str">
        <f>IF(ISERR(AVERAGE(K300:K308)),"",AVERAGE(K300:K308))</f>
        <v/>
      </c>
      <c r="L309" s="3631" t="str">
        <f>IF(ISERR(AVERAGE(L300:L308)),"",AVERAGE(L300:L308))</f>
        <v/>
      </c>
      <c r="M309" s="3625"/>
      <c r="N309" s="403"/>
      <c r="O309" s="404"/>
      <c r="P309" s="407"/>
      <c r="Q309" s="2542"/>
      <c r="R309" s="2272"/>
      <c r="S309" s="2272"/>
      <c r="T309" s="2272"/>
      <c r="U309" s="2272"/>
      <c r="V309" s="2272"/>
    </row>
    <row r="310" spans="1:22" s="406" customFormat="1" ht="18" hidden="1" customHeight="1" x14ac:dyDescent="0.25">
      <c r="A310" s="957">
        <f>IFERROR(0,IF(dpIncome_Expense_TotalOperatingExpenses_Year1=0,0,1))</f>
        <v>0</v>
      </c>
      <c r="B310" s="402"/>
      <c r="C310" s="3625"/>
      <c r="D310" s="3625" t="s">
        <v>393</v>
      </c>
      <c r="E310" s="3329">
        <f>SUBTOTAL(109,E22,E40,E58,E76,E94,E112,E130,E148,E166,E184,E202,E220,E238,E256,E274)</f>
        <v>0</v>
      </c>
      <c r="F310" s="3215" t="e">
        <f>E310/Income_EGI_Pool1_1</f>
        <v>#DIV/0!</v>
      </c>
      <c r="G310" s="3329">
        <f>SUBTOTAL(109,G22,G40,G58,G76,G94,G112,G130,G148,G166,G184,G202,G220,G238,G256,G274)</f>
        <v>0</v>
      </c>
      <c r="H310" s="3215" t="e">
        <f>G310/Income_EGI_Pool2_1</f>
        <v>#DIV/0!</v>
      </c>
      <c r="I310" s="3329">
        <f>SUBTOTAL(109,I22,I40,I58,I76,I94,I112,I130,I148,I166,I184,I202,I220,I238,I256,I274)</f>
        <v>0</v>
      </c>
      <c r="J310" s="3215" t="e">
        <f>I310/Income_EGI_Pool3_1</f>
        <v>#DIV/0!</v>
      </c>
      <c r="K310" s="3329">
        <f>SUBTOTAL(109,K22,K40,K58,K76,K94,K112,K130,K148,K166,K184,K202,K220,K238,K256,K274)</f>
        <v>0</v>
      </c>
      <c r="L310" s="1698" t="e">
        <f>dpIncome_Expense_TotalOperatingExpenses_Year1*Subject_NRA/VLOOKUP("Effective Gross Revenue",'DCF 1'!$E$8:$I$107,2,FALSE)+0</f>
        <v>#N/A</v>
      </c>
      <c r="M310" s="3625"/>
      <c r="N310" s="403"/>
      <c r="O310" s="404"/>
      <c r="P310" s="404"/>
      <c r="Q310" s="2542"/>
      <c r="R310" s="2272"/>
      <c r="S310" s="2272"/>
      <c r="T310" s="2272"/>
      <c r="U310" s="2272"/>
      <c r="V310" s="2272"/>
    </row>
    <row r="311" spans="1:22" s="406" customFormat="1" ht="18" hidden="1" customHeight="1" x14ac:dyDescent="0.25">
      <c r="A311" s="957">
        <f>IFERROR(0,IF(dpIncome_Expense_TotalOperatingExpenses_Year2=0,0,1))</f>
        <v>0</v>
      </c>
      <c r="B311" s="402"/>
      <c r="C311" s="3625"/>
      <c r="D311" s="3625" t="s">
        <v>419</v>
      </c>
      <c r="E311" s="3329">
        <f>SUBTOTAL(109,E23,E41,E59,E77,E95,E113,E131,E149,E167,E185,E203,E221,E239,E257,E275)</f>
        <v>0</v>
      </c>
      <c r="F311" s="3215" t="e">
        <f>E311/Income_EGI_Pool1_1</f>
        <v>#DIV/0!</v>
      </c>
      <c r="G311" s="3329">
        <f>SUBTOTAL(109,G23,G41,G59,G77,G95,G113,G131,G149,G167,G185,G203,G221,G239,G257,G275)</f>
        <v>0</v>
      </c>
      <c r="H311" s="3215" t="e">
        <f>G311/Income_EGI_Pool2_1</f>
        <v>#DIV/0!</v>
      </c>
      <c r="I311" s="3329">
        <f>SUBTOTAL(109,I23,I41,I59,I77,I95,I113,I131,I149,I167,I185,I203,I221,I239,I257,I275)</f>
        <v>0</v>
      </c>
      <c r="J311" s="3215" t="e">
        <f>I311/Income_EGI_Pool3_1</f>
        <v>#DIV/0!</v>
      </c>
      <c r="K311" s="3329">
        <f>SUBTOTAL(109,K23,K41,K59,K77,K95,K113,K131,K149,K167,K185,K203,K221,K239,K257,K275)</f>
        <v>0</v>
      </c>
      <c r="L311" s="1698" t="e">
        <f>dpIncome_Expense_TotalOperatingExpenses_Year2*Subject_NRA/VLOOKUP("Effective Gross Revenue",'DCF 1'!$E$8:$I$107,3,FALSE)+0</f>
        <v>#N/A</v>
      </c>
      <c r="M311" s="3625"/>
      <c r="N311" s="403"/>
      <c r="O311" s="404"/>
      <c r="P311" s="404"/>
      <c r="Q311" s="2542"/>
      <c r="R311" s="2272"/>
      <c r="S311" s="2272"/>
      <c r="T311" s="2272"/>
      <c r="U311" s="2272"/>
      <c r="V311" s="2272"/>
    </row>
    <row r="312" spans="1:22" s="406" customFormat="1" ht="18" hidden="1" customHeight="1" x14ac:dyDescent="0.25">
      <c r="A312" s="957">
        <f>IFERROR(0,IF(dpIncome_Expense_TotalOperatingExpenses_Year3=0,0,1))</f>
        <v>0</v>
      </c>
      <c r="B312" s="402"/>
      <c r="C312" s="3625"/>
      <c r="D312" s="3625" t="s">
        <v>420</v>
      </c>
      <c r="E312" s="3329">
        <f>SUBTOTAL(109,E24,E42,E60,E78,E96,E114,E132,E150,E168,E186,E204,E222,E240,E258,E276)</f>
        <v>0</v>
      </c>
      <c r="F312" s="3215" t="e">
        <f>E312/Income_EGI_Pool1_1</f>
        <v>#DIV/0!</v>
      </c>
      <c r="G312" s="3329">
        <f>SUBTOTAL(109,G24,G42,G60,G78,G96,G114,G132,G150,G168,G186,G204,G222,G240,G258,G276)</f>
        <v>0</v>
      </c>
      <c r="H312" s="3215" t="e">
        <f>G312/Income_EGI_Pool2_1</f>
        <v>#DIV/0!</v>
      </c>
      <c r="I312" s="3329">
        <f>SUBTOTAL(109,I24,I42,I60,I78,I96,I114,I132,I150,I168,I186,I204,I222,I240,I258,I276)</f>
        <v>0</v>
      </c>
      <c r="J312" s="3215" t="e">
        <f>I312/Income_EGI_Pool3_1</f>
        <v>#DIV/0!</v>
      </c>
      <c r="K312" s="3329">
        <f>SUBTOTAL(109,K24,K42,K60,K78,K96,K114,K132,K150,K168,K186,K204,K222,K240,K258,K276)</f>
        <v>0</v>
      </c>
      <c r="L312" s="1698" t="e">
        <f>dpIncome_Expense_TotalOperatingExpenses_Year3*Subject_NRA/VLOOKUP("Effective Gross Revenue",'DCF 1'!$E$8:$I$107,4,FALSE)+0</f>
        <v>#N/A</v>
      </c>
      <c r="M312" s="3625"/>
      <c r="N312" s="403"/>
      <c r="O312" s="404"/>
      <c r="P312" s="404"/>
      <c r="Q312" s="2542"/>
      <c r="R312" s="2272"/>
      <c r="S312" s="2272"/>
      <c r="T312" s="2272"/>
      <c r="U312" s="2272"/>
      <c r="V312" s="2272"/>
    </row>
    <row r="313" spans="1:22" s="406" customFormat="1" ht="18" customHeight="1" thickBot="1" x14ac:dyDescent="0.3">
      <c r="A313" s="957">
        <v>1</v>
      </c>
      <c r="B313" s="402"/>
      <c r="C313" s="3625"/>
      <c r="D313" s="3628" t="str">
        <f>IF(P297="Year 1 Only","Year 1 Estimate:","Stabilized Estimate:")</f>
        <v>Stabilized Estimate:</v>
      </c>
      <c r="E313" s="3329">
        <f>SUBTOTAL(109,E25,E43,E61,E79,E97,E115,E133,E151,E169,E187,E205,E223,E241,E259,E277)</f>
        <v>0</v>
      </c>
      <c r="F313" s="3215" t="e">
        <f>E313/Income_EGI_Pool1_1</f>
        <v>#DIV/0!</v>
      </c>
      <c r="G313" s="3329">
        <f>SUBTOTAL(109,G25,G43,G61,G79,G97,G115,G133,G151,G169,G187,G205,G223,G241,G259,G277)</f>
        <v>0</v>
      </c>
      <c r="H313" s="3215" t="e">
        <f>G313/Income_EGI_Pool2_1</f>
        <v>#DIV/0!</v>
      </c>
      <c r="I313" s="3329">
        <f>SUBTOTAL(109,I25,I43,I61,I79,I97,I115,I133,I151,I169,I187,I205,I223,I241,I259,I277)</f>
        <v>0</v>
      </c>
      <c r="J313" s="3215" t="e">
        <f>I313/Income_EGI_Pool3_1</f>
        <v>#DIV/0!</v>
      </c>
      <c r="K313" s="3329">
        <f ca="1">SUBTOTAL(109,K25,K43,K61,K79,K97,K115,K133,K151,K169,K187,K205,K223,K241,K259,K277)</f>
        <v>7.2507582884019737</v>
      </c>
      <c r="L313" s="1699">
        <f ca="1">IF(P297="Stabilized Only",dpIncome_Expense_TotalOperatingExpenses_Stabilized*Subject_NRA/dpIncome_DirectCap_EGI,dpIncome_Expense_TotalOperatingExpenses_Stabilized*Subject_NRA/VLOOKUP("Effective Gross Revenue",'DCF 1'!$E$8:$I$107,2,FALSE)+0)</f>
        <v>4.2854626406906844</v>
      </c>
      <c r="M313" s="3625"/>
      <c r="N313" s="403"/>
      <c r="O313" s="404"/>
      <c r="P313" s="697"/>
      <c r="Q313" s="2542"/>
      <c r="R313" s="2272"/>
      <c r="S313" s="2272"/>
      <c r="T313" s="2272"/>
      <c r="U313" s="2272"/>
      <c r="V313" s="2272"/>
    </row>
    <row r="314" spans="1:22" ht="15.95" customHeight="1" thickBot="1" x14ac:dyDescent="0.3">
      <c r="A314" s="957">
        <v>1</v>
      </c>
      <c r="B314" s="175"/>
      <c r="C314" s="7"/>
      <c r="D314" s="552" t="s">
        <v>916</v>
      </c>
      <c r="E314" s="2148"/>
      <c r="F314" s="2148"/>
      <c r="G314" s="2148"/>
      <c r="H314" s="2148"/>
      <c r="I314" s="2148"/>
      <c r="J314" s="2148"/>
      <c r="K314" s="2149"/>
      <c r="L314" s="800"/>
      <c r="M314" s="7"/>
      <c r="N314" s="9"/>
      <c r="P314" s="308"/>
    </row>
    <row r="315" spans="1:22" ht="15" thickBot="1" x14ac:dyDescent="0.3">
      <c r="A315" s="957">
        <v>1</v>
      </c>
      <c r="P315" s="96"/>
    </row>
    <row r="316" spans="1:22" ht="9.9499999999999993" customHeight="1" x14ac:dyDescent="0.25">
      <c r="A316" s="957">
        <v>1</v>
      </c>
      <c r="B316" s="173"/>
      <c r="C316" s="2"/>
      <c r="D316" s="2"/>
      <c r="E316" s="123"/>
      <c r="F316" s="123"/>
      <c r="G316" s="123"/>
      <c r="H316" s="123"/>
      <c r="I316" s="123"/>
      <c r="J316" s="123"/>
      <c r="K316" s="123"/>
      <c r="L316" s="123"/>
      <c r="M316" s="2"/>
      <c r="N316" s="3"/>
      <c r="P316" s="96"/>
    </row>
    <row r="317" spans="1:22" ht="16.5" x14ac:dyDescent="0.3">
      <c r="A317" s="957">
        <v>1</v>
      </c>
      <c r="B317" s="174"/>
      <c r="C317" s="51"/>
      <c r="D317" s="246" t="str">
        <f>IF(Income_TechniqueUsed="Direct Capitalization","Appraiser's Stabilized Expense Estimates","Appraiser's Year 1 Expense Estimates")</f>
        <v>Appraiser's Stabilized Expense Estimates</v>
      </c>
      <c r="E317" s="1074"/>
      <c r="F317" s="1074"/>
      <c r="G317" s="1074"/>
      <c r="H317" s="1074"/>
      <c r="I317" s="1074"/>
      <c r="J317" s="1074"/>
      <c r="K317" s="1074" t="s">
        <v>390</v>
      </c>
      <c r="L317" s="1074" t="s">
        <v>391</v>
      </c>
      <c r="M317" s="51"/>
      <c r="N317" s="6"/>
      <c r="P317" s="243"/>
    </row>
    <row r="318" spans="1:22" ht="15.95" hidden="1" customHeight="1" x14ac:dyDescent="0.25">
      <c r="A318" s="957">
        <f>IF(Main_ExpensePool_Count&gt;1,1,0)</f>
        <v>0</v>
      </c>
      <c r="B318" s="174"/>
      <c r="C318" s="11"/>
      <c r="D318" s="12"/>
      <c r="E318" s="4090" t="str">
        <f>$E$10</f>
        <v>Expense Pool 1</v>
      </c>
      <c r="F318" s="4090"/>
      <c r="G318" s="4090" t="str">
        <f>$G$10</f>
        <v>Expense Pool 2</v>
      </c>
      <c r="H318" s="4090"/>
      <c r="I318" s="4090" t="str">
        <f>$I$10</f>
        <v>Expense Pool 3</v>
      </c>
      <c r="J318" s="4090"/>
      <c r="K318" s="4164" t="str">
        <f>$K$10</f>
        <v>Total Expense</v>
      </c>
      <c r="L318" s="4164"/>
      <c r="M318" s="11"/>
      <c r="N318" s="6"/>
      <c r="P318" s="243"/>
    </row>
    <row r="319" spans="1:22" ht="15.95" customHeight="1" x14ac:dyDescent="0.25">
      <c r="A319" s="957">
        <v>1</v>
      </c>
      <c r="B319" s="174"/>
      <c r="D319" s="12" t="s">
        <v>18151</v>
      </c>
      <c r="E319" s="55" t="s">
        <v>390</v>
      </c>
      <c r="F319" s="55" t="s">
        <v>391</v>
      </c>
      <c r="G319" s="55" t="s">
        <v>390</v>
      </c>
      <c r="H319" s="55" t="s">
        <v>391</v>
      </c>
      <c r="I319" s="55" t="s">
        <v>390</v>
      </c>
      <c r="J319" s="55" t="s">
        <v>391</v>
      </c>
      <c r="K319" s="55" t="s">
        <v>390</v>
      </c>
      <c r="L319" s="55" t="s">
        <v>391</v>
      </c>
      <c r="N319" s="6"/>
      <c r="P319" s="96"/>
    </row>
    <row r="320" spans="1:22" ht="15" customHeight="1" x14ac:dyDescent="0.25">
      <c r="A320" s="957">
        <f>IF(SUM(A321:A336)=0,0,1)</f>
        <v>1</v>
      </c>
      <c r="B320" s="174"/>
      <c r="C320" s="258"/>
      <c r="D320" s="3335" t="s">
        <v>421</v>
      </c>
      <c r="E320" s="3336"/>
      <c r="F320" s="3336"/>
      <c r="G320" s="3336"/>
      <c r="H320" s="3336"/>
      <c r="I320" s="3336"/>
      <c r="J320" s="3336"/>
      <c r="K320" s="415"/>
      <c r="L320" s="415"/>
      <c r="M320" s="258"/>
      <c r="N320" s="6"/>
      <c r="P320" s="693"/>
    </row>
    <row r="321" spans="1:22" s="36" customFormat="1" ht="18" customHeight="1" x14ac:dyDescent="0.25">
      <c r="A321" s="972">
        <f>IF(Expense_RealEstateTax_Reimb=1,1,0)</f>
        <v>1</v>
      </c>
      <c r="B321" s="1376"/>
      <c r="C321" s="259"/>
      <c r="D321" s="3636" t="str">
        <f>dpIncome_ExpenseCat_1</f>
        <v>Real Estate Taxes</v>
      </c>
      <c r="E321" s="2344">
        <f>IF(Expense_RealEstateTax_Reimb=1,E25,0)</f>
        <v>0</v>
      </c>
      <c r="F321" s="3429" t="e">
        <f t="shared" ref="F321:F336" si="34">E321/Income_EGI_Pool1_1</f>
        <v>#DIV/0!</v>
      </c>
      <c r="G321" s="2344">
        <f>IF(Expense_RealEstateTax_Reimb=1,G25,0)</f>
        <v>0</v>
      </c>
      <c r="H321" s="3429" t="e">
        <f t="shared" ref="H321:H336" si="35">G321/Income_EGI_Pool2_1</f>
        <v>#DIV/0!</v>
      </c>
      <c r="I321" s="2344">
        <f>IF(Expense_RealEstateTax_Reimb=1,I25,0)</f>
        <v>0</v>
      </c>
      <c r="J321" s="3429" t="e">
        <f t="shared" ref="J321:J336" si="36">I321/Income_EGI_Pool3_1</f>
        <v>#DIV/0!</v>
      </c>
      <c r="K321" s="2344">
        <f>IF(Expense_RealEstateTax_Reimb=1,IF(Income_TechniqueUsed="Direct Capitalization",dpIncome_Expense_RETax_Stabilized,VLOOKUP(CONCATENATE("  ",D321),'DCF 1'!$E$10:$R$106,2,FALSE)/Subject_NRA),0)</f>
        <v>5.5</v>
      </c>
      <c r="L321" s="3429">
        <f ca="1">IF(P9="Stabilized Only",K321*Subject_NRA/dpIncome_DirectCap_EGI,K321*Subject_NRA/VLOOKUP("Effective Gross Revenue",'DCF 1'!$E$8:$I$107,2,FALSE)+0)</f>
        <v>3.2507006283053834</v>
      </c>
      <c r="M321" s="259"/>
      <c r="N321" s="89"/>
      <c r="O321" s="2543">
        <f>Expense_RealEstateTax_Reimb</f>
        <v>1</v>
      </c>
      <c r="P321" s="2543" t="str">
        <f>IF(Expense_RealEstateTax_Reimb=1,IF(Q321=$Q$336,CONCATENATE("and ",LOWER(dpIncome_ExpenseCat_1)),IF(Q321=$Q$336-1,CONCATENATE(LOWER(dpIncome_ExpenseCat_1)," "),CONCATENATE(LOWER(dpIncome_ExpenseCat_1),", "))),"")</f>
        <v xml:space="preserve">real estate taxes, </v>
      </c>
      <c r="Q321" s="2543">
        <f>SUM($O$321:O321)</f>
        <v>1</v>
      </c>
      <c r="S321" s="731"/>
      <c r="T321" s="731"/>
      <c r="U321" s="731"/>
      <c r="V321" s="731"/>
    </row>
    <row r="322" spans="1:22" s="36" customFormat="1" ht="18" hidden="1" customHeight="1" x14ac:dyDescent="0.25">
      <c r="A322" s="972">
        <f>IF(Expense_OtherTaxes_Reimb=1,1,0)</f>
        <v>0</v>
      </c>
      <c r="B322" s="1376"/>
      <c r="C322" s="259"/>
      <c r="D322" s="3636" t="str">
        <f>dpIncome_ExpenseCat_2</f>
        <v>Other Taxes</v>
      </c>
      <c r="E322" s="2344">
        <f>IF(Expense_OtherTaxes_Reimb=1,E43,0)</f>
        <v>0</v>
      </c>
      <c r="F322" s="3429" t="e">
        <f t="shared" si="34"/>
        <v>#DIV/0!</v>
      </c>
      <c r="G322" s="2344">
        <f>IF(Expense_OtherTaxes_Reimb=1,G43,0)</f>
        <v>0</v>
      </c>
      <c r="H322" s="3429" t="e">
        <f t="shared" si="35"/>
        <v>#DIV/0!</v>
      </c>
      <c r="I322" s="2344">
        <f>IF(Expense_OtherTaxes_Reimb=1,I43,0)</f>
        <v>0</v>
      </c>
      <c r="J322" s="3429" t="e">
        <f t="shared" si="36"/>
        <v>#DIV/0!</v>
      </c>
      <c r="K322" s="2344">
        <f>IF(Expense_OtherTaxes_Reimb=1,IF(Income_TechniqueUsed="Direct Capitalization",dpIncome_Expense_OtherTaxes_Stabilized,VLOOKUP(CONCATENATE("  ",D322),'DCF 1'!$E$10:$R$106,2,FALSE)/Subject_NRA),0)</f>
        <v>0</v>
      </c>
      <c r="L322" s="3429">
        <f ca="1">IF(P27="Stabilized Only",K322*Subject_NRA/dpIncome_DirectCap_EGI,K322*Subject_NRA/VLOOKUP("Effective Gross Revenue",'DCF 1'!$E$8:$I$107,2,FALSE)+0)</f>
        <v>0</v>
      </c>
      <c r="M322" s="259"/>
      <c r="N322" s="89"/>
      <c r="O322" s="2543">
        <f>Expense_OtherTaxes_Reimb</f>
        <v>0</v>
      </c>
      <c r="P322" s="2543" t="str">
        <f>IF(Expense_OtherTaxes_Reimb=1,IF(Q322=$Q$336,CONCATENATE("and ",LOWER(dpIncome_ExpenseCat_2)),IF(Q322=$Q$336-1,CONCATENATE(LOWER(dpIncome_ExpenseCat_2)," "),CONCATENATE(LOWER(dpIncome_ExpenseCat_2),", "))),"")</f>
        <v/>
      </c>
      <c r="Q322" s="2543">
        <f>SUM($O$321:O322)</f>
        <v>1</v>
      </c>
      <c r="S322" s="731"/>
      <c r="T322" s="731"/>
      <c r="U322" s="731"/>
      <c r="V322" s="731"/>
    </row>
    <row r="323" spans="1:22" s="36" customFormat="1" ht="18" customHeight="1" x14ac:dyDescent="0.25">
      <c r="A323" s="972">
        <f>IF(Expense_Insurance_Reimb=1,1,0)</f>
        <v>1</v>
      </c>
      <c r="B323" s="1376"/>
      <c r="C323" s="259"/>
      <c r="D323" s="3636" t="str">
        <f>dpIncome_ExpenseCat_3</f>
        <v>Property Insurance</v>
      </c>
      <c r="E323" s="2344">
        <f>IF(Expense_Insurance_Reimb=1,E61,0)</f>
        <v>0</v>
      </c>
      <c r="F323" s="3429" t="e">
        <f t="shared" si="34"/>
        <v>#DIV/0!</v>
      </c>
      <c r="G323" s="2344">
        <f>IF(Expense_Insurance_Reimb=1,G61,0)</f>
        <v>0</v>
      </c>
      <c r="H323" s="3429" t="e">
        <f t="shared" si="35"/>
        <v>#DIV/0!</v>
      </c>
      <c r="I323" s="2344">
        <f>IF(Expense_Insurance_Reimb=1,I61,0)</f>
        <v>0</v>
      </c>
      <c r="J323" s="3429" t="e">
        <f t="shared" si="36"/>
        <v>#DIV/0!</v>
      </c>
      <c r="K323" s="2344">
        <f>IF(Expense_Insurance_Reimb=1,IF(Income_TechniqueUsed="Direct Capitalization",dpIncome_Expense_Insurance_Stabilized,VLOOKUP(CONCATENATE("  ",D323),'DCF 1'!$E$10:$R$106,2,FALSE)/Subject_NRA),0)</f>
        <v>0.5</v>
      </c>
      <c r="L323" s="3429">
        <f ca="1">IF(P45="Stabilized Only",K323*Subject_NRA/dpIncome_DirectCap_EGI,K323*Subject_NRA/VLOOKUP("Effective Gross Revenue",'DCF 1'!$E$8:$I$107,2,FALSE)+0)</f>
        <v>0.29551823893685303</v>
      </c>
      <c r="M323" s="259"/>
      <c r="N323" s="89"/>
      <c r="O323" s="2543">
        <f>Expense_Insurance_Reimb</f>
        <v>1</v>
      </c>
      <c r="P323" s="2543" t="str">
        <f>IF(Expense_Insurance_Reimb=1,IF(Q323=$Q$336,CONCATENATE("and ",LOWER(dpIncome_ExpenseCat_3)),IF(Q323=$Q$336-1,CONCATENATE(LOWER(dpIncome_ExpenseCat_3)," "),CONCATENATE(LOWER(dpIncome_ExpenseCat_3),", "))),"")</f>
        <v xml:space="preserve">property insurance, </v>
      </c>
      <c r="Q323" s="2543">
        <f>SUM($O$321:O323)</f>
        <v>2</v>
      </c>
      <c r="S323" s="731"/>
      <c r="T323" s="731"/>
      <c r="U323" s="731"/>
      <c r="V323" s="731"/>
    </row>
    <row r="324" spans="1:22" s="36" customFormat="1" ht="18" customHeight="1" x14ac:dyDescent="0.25">
      <c r="A324" s="972">
        <f>IF(Expense_MgmtFees_Reimb=1,1,0)</f>
        <v>1</v>
      </c>
      <c r="B324" s="1376"/>
      <c r="C324" s="259"/>
      <c r="D324" s="3636" t="str">
        <f>dpIncome_ExpenseCat_4</f>
        <v>Management Fees</v>
      </c>
      <c r="E324" s="2344">
        <f>IF(Expense_MgmtFees_Reimb=1,E79,0)</f>
        <v>0</v>
      </c>
      <c r="F324" s="3429" t="e">
        <f t="shared" si="34"/>
        <v>#DIV/0!</v>
      </c>
      <c r="G324" s="2344">
        <f>IF(Expense_MgmtFees_Reimb=1,G79,0)</f>
        <v>0</v>
      </c>
      <c r="H324" s="3429" t="e">
        <f t="shared" si="35"/>
        <v>#DIV/0!</v>
      </c>
      <c r="I324" s="2344">
        <f>IF(Expense_MgmtFees_Reimb=1,I79,0)</f>
        <v>0</v>
      </c>
      <c r="J324" s="3429" t="e">
        <f t="shared" si="36"/>
        <v>#DIV/0!</v>
      </c>
      <c r="K324" s="2344">
        <f ca="1">IF(P63="Stabilized Only",(L324*dpIncome_DirectCap_EGI)/Subject_NRA,(L324*(VLOOKUP("Effective Gross Revenue",'DCF 1'!$E$8:$I$107,2,FALSE)+0))/Subject_NRA)</f>
        <v>5.0758288401973155E-2</v>
      </c>
      <c r="L324" s="3429">
        <f>IF(Expense_MgmtFees_Reimb=1,IF(Income_TechniqueUsed="Direct Capitalization",dpIncome_Expense_MgmtFees_Stabilized,VLOOKUP(CONCATENATE("    ",D324),'DCF 1'!$E$10:$R$106,2,FALSE)/VLOOKUP("Effective Gross Revenue",'DCF 1'!$E$10:$R$106,2,FALSE)),0)</f>
        <v>0.03</v>
      </c>
      <c r="M324" s="259"/>
      <c r="N324" s="89"/>
      <c r="O324" s="2543">
        <f>Expense_MgmtFees_Reimb</f>
        <v>1</v>
      </c>
      <c r="P324" s="2543" t="str">
        <f>IF(Expense_MgmtFees_Reimb=1,IF(Q324=$Q$336,CONCATENATE("and ",LOWER(dpIncome_ExpenseCat_4)),IF(Q324=$Q$336-1,CONCATENATE(LOWER(dpIncome_ExpenseCat_4)," "),CONCATENATE(LOWER(dpIncome_ExpenseCat_4),", "))),"")</f>
        <v xml:space="preserve">management fees </v>
      </c>
      <c r="Q324" s="2543">
        <f>SUM($O$321:O324)</f>
        <v>3</v>
      </c>
      <c r="S324" s="731"/>
      <c r="T324" s="731"/>
      <c r="U324" s="731"/>
      <c r="V324" s="731"/>
    </row>
    <row r="325" spans="1:22" s="36" customFormat="1" ht="18" hidden="1" customHeight="1" x14ac:dyDescent="0.25">
      <c r="A325" s="972">
        <f>IF(Expense_Administrative_Reimb=1,1,0)</f>
        <v>0</v>
      </c>
      <c r="B325" s="1376"/>
      <c r="C325" s="259"/>
      <c r="D325" s="3636" t="str">
        <f>dpIncome_ExpenseCat_5</f>
        <v>Administrative</v>
      </c>
      <c r="E325" s="2344">
        <f>IF(Expense_Administrative_Reimb=1,E97,0)</f>
        <v>0</v>
      </c>
      <c r="F325" s="3429" t="e">
        <f t="shared" si="34"/>
        <v>#DIV/0!</v>
      </c>
      <c r="G325" s="2344">
        <f>IF(Expense_Administrative_Reimb=1,G97,0)</f>
        <v>0</v>
      </c>
      <c r="H325" s="3429" t="e">
        <f t="shared" si="35"/>
        <v>#DIV/0!</v>
      </c>
      <c r="I325" s="2344">
        <f>IF(Expense_Administrative_Reimb=1,I97,0)</f>
        <v>0</v>
      </c>
      <c r="J325" s="3429" t="e">
        <f t="shared" si="36"/>
        <v>#DIV/0!</v>
      </c>
      <c r="K325" s="2344">
        <f>IF(Expense_Administrative_Reimb=1,IF(Income_TechniqueUsed="Direct Capitalization",dpIncome_Expense_Admin_Stabilized,VLOOKUP(CONCATENATE("  ",D325),'DCF 1'!$E$10:$R$106,2,FALSE)/Subject_NRA),0)</f>
        <v>0</v>
      </c>
      <c r="L325" s="3429">
        <f ca="1">IF(P81="Stabilized Only",K325*Subject_NRA/dpIncome_DirectCap_EGI,K325*Subject_NRA/VLOOKUP("Effective Gross Revenue",'DCF 1'!$E$8:$I$107,2,FALSE)+0)</f>
        <v>0</v>
      </c>
      <c r="M325" s="259"/>
      <c r="N325" s="89"/>
      <c r="O325" s="2543">
        <f>Expense_Administrative_Reimb</f>
        <v>0</v>
      </c>
      <c r="P325" s="2543" t="str">
        <f>IF(Expense_Administrative_Reimb=1,IF(Q325=$Q$336,CONCATENATE("and ",LOWER(dpIncome_ExpenseCat_5)),IF(Q325=$Q$336-1,CONCATENATE(LOWER(dpIncome_ExpenseCat_5)," "),CONCATENATE(LOWER(dpIncome_ExpenseCat_5),", "))),"")</f>
        <v/>
      </c>
      <c r="Q325" s="2543">
        <f>SUM($O$321:O325)</f>
        <v>3</v>
      </c>
      <c r="S325" s="731"/>
      <c r="T325" s="731"/>
      <c r="U325" s="731"/>
      <c r="V325" s="731"/>
    </row>
    <row r="326" spans="1:22" s="36" customFormat="1" ht="18" hidden="1" customHeight="1" x14ac:dyDescent="0.25">
      <c r="A326" s="972">
        <f>IF(Expense_Utilities_Reimb=1,1,0)</f>
        <v>0</v>
      </c>
      <c r="B326" s="1376"/>
      <c r="C326" s="259"/>
      <c r="D326" s="3636" t="str">
        <f>dpIncome_ExpenseCat_6</f>
        <v>Utilities</v>
      </c>
      <c r="E326" s="2344">
        <f>IF(Expense_Utilities_Reimb=1,E115,0)</f>
        <v>0</v>
      </c>
      <c r="F326" s="3429" t="e">
        <f t="shared" si="34"/>
        <v>#DIV/0!</v>
      </c>
      <c r="G326" s="2344">
        <f>IF(Expense_Utilities_Reimb=1,G115,0)</f>
        <v>0</v>
      </c>
      <c r="H326" s="3429" t="e">
        <f t="shared" si="35"/>
        <v>#DIV/0!</v>
      </c>
      <c r="I326" s="2344">
        <f>IF(Expense_Utilities_Reimb=1,I115,0)</f>
        <v>0</v>
      </c>
      <c r="J326" s="3429" t="e">
        <f t="shared" si="36"/>
        <v>#DIV/0!</v>
      </c>
      <c r="K326" s="2344">
        <f>IF(Expense_Utilities_Reimb=1,IF(Income_TechniqueUsed="Direct Capitalization",dpIncome_Expense_Utilities_Stabilized,VLOOKUP(CONCATENATE("  ",D326),'DCF 1'!$E$10:$R$106,2,FALSE)/Subject_NRA),0)</f>
        <v>0</v>
      </c>
      <c r="L326" s="3429">
        <f ca="1">IF(P99="Stabilized Only",K326*Subject_NRA/dpIncome_DirectCap_EGI,K326*Subject_NRA/VLOOKUP("Effective Gross Revenue",'DCF 1'!$E$8:$I$107,2,FALSE)+0)</f>
        <v>0</v>
      </c>
      <c r="M326" s="259"/>
      <c r="N326" s="89"/>
      <c r="O326" s="2543">
        <f>Expense_Utilities_Reimb</f>
        <v>0</v>
      </c>
      <c r="P326" s="2543" t="str">
        <f>IF(Expense_Utilities_Reimb=1,IF(Q326=$Q$336,CONCATENATE("and ",LOWER(dpIncome_ExpenseCat_6)),IF(Q326=$Q$336-1,CONCATENATE(LOWER(dpIncome_ExpenseCat_6)," "),CONCATENATE(LOWER(dpIncome_ExpenseCat_6),", "))),"")</f>
        <v/>
      </c>
      <c r="Q326" s="2543">
        <f>SUM($O$321:O326)</f>
        <v>3</v>
      </c>
      <c r="S326" s="731"/>
      <c r="T326" s="731"/>
      <c r="U326" s="731"/>
      <c r="V326" s="731"/>
    </row>
    <row r="327" spans="1:22" s="36" customFormat="1" ht="18" customHeight="1" x14ac:dyDescent="0.25">
      <c r="A327" s="972">
        <f>IF(Expense_RepairsMaintenance_Reimb=1,1,0)</f>
        <v>1</v>
      </c>
      <c r="B327" s="1376"/>
      <c r="C327" s="259"/>
      <c r="D327" s="3636" t="str">
        <f>dpIncome_ExpenseCat_7</f>
        <v>Repairs &amp; Maintenance</v>
      </c>
      <c r="E327" s="2344">
        <f>IF(Expense_RepairsMaintenance_Reimb=1,E133,0)</f>
        <v>0</v>
      </c>
      <c r="F327" s="3429" t="e">
        <f t="shared" si="34"/>
        <v>#DIV/0!</v>
      </c>
      <c r="G327" s="2344">
        <f>IF(Expense_RepairsMaintenance_Reimb=1,G133,0)</f>
        <v>0</v>
      </c>
      <c r="H327" s="3429" t="e">
        <f t="shared" si="35"/>
        <v>#DIV/0!</v>
      </c>
      <c r="I327" s="2344">
        <f>IF(Expense_RepairsMaintenance_Reimb=1,I133,0)</f>
        <v>0</v>
      </c>
      <c r="J327" s="3429" t="e">
        <f t="shared" si="36"/>
        <v>#DIV/0!</v>
      </c>
      <c r="K327" s="2344">
        <f>IF(Expense_RepairsMaintenance_Reimb=1,IF(Income_TechniqueUsed="Direct Capitalization",dpIncome_Expense_RM_Stabilized,VLOOKUP(CONCATENATE("  ",D327),'DCF 1'!$E$10:$R$106,2,FALSE)/Subject_NRA),0)</f>
        <v>1</v>
      </c>
      <c r="L327" s="3429">
        <f ca="1">IF(P117="Stabilized Only",K327*Subject_NRA/dpIncome_DirectCap_EGI,K327*Subject_NRA/VLOOKUP("Effective Gross Revenue",'DCF 1'!$E$8:$I$107,2,FALSE)+0)</f>
        <v>0.59103647787370606</v>
      </c>
      <c r="M327" s="259"/>
      <c r="N327" s="89"/>
      <c r="O327" s="2543">
        <f>Expense_RepairsMaintenance_Reimb</f>
        <v>1</v>
      </c>
      <c r="P327" s="2543" t="str">
        <f>IF(Expense_RepairsMaintenance_Reimb=1,IF(Q327=$Q$336,CONCATENATE("and ",LOWER(dpIncome_ExpenseCat_7)),IF(Q327=$Q$336-1,CONCATENATE(LOWER(dpIncome_ExpenseCat_7)," "),CONCATENATE(LOWER(dpIncome_ExpenseCat_7),", "))),"")</f>
        <v>and repairs &amp; maintenance</v>
      </c>
      <c r="Q327" s="2543">
        <f>SUM($O$321:O327)</f>
        <v>4</v>
      </c>
      <c r="S327" s="731"/>
      <c r="T327" s="731"/>
      <c r="U327" s="731"/>
      <c r="V327" s="731"/>
    </row>
    <row r="328" spans="1:22" s="36" customFormat="1" ht="18" hidden="1" customHeight="1" x14ac:dyDescent="0.25">
      <c r="A328" s="972">
        <f>IF(Expense_CAM_Reimb=1,1,0)</f>
        <v>0</v>
      </c>
      <c r="B328" s="1376"/>
      <c r="C328" s="259"/>
      <c r="D328" s="3636" t="str">
        <f>dpIncome_ExpenseCat_8</f>
        <v>Common Area Maintenance</v>
      </c>
      <c r="E328" s="2344">
        <f>IF(Expense_CAM_Reimb=1,E151,0)</f>
        <v>0</v>
      </c>
      <c r="F328" s="3429" t="e">
        <f t="shared" si="34"/>
        <v>#DIV/0!</v>
      </c>
      <c r="G328" s="2344">
        <f>IF(Expense_CAM_Reimb=1,G151,0)</f>
        <v>0</v>
      </c>
      <c r="H328" s="3429" t="e">
        <f t="shared" si="35"/>
        <v>#DIV/0!</v>
      </c>
      <c r="I328" s="2344">
        <f>IF(Expense_CAM_Reimb=1,I151,0)</f>
        <v>0</v>
      </c>
      <c r="J328" s="3429" t="e">
        <f t="shared" si="36"/>
        <v>#DIV/0!</v>
      </c>
      <c r="K328" s="2344">
        <f>IF(Expense_CAM_Reimb=1,IF(Income_TechniqueUsed="Direct Capitalization",dpIncome_Expense_CAM_Stabilized,VLOOKUP(CONCATENATE("  ",D328),'DCF 1'!$E$10:$R$106,2,FALSE)/Subject_NRA),0)</f>
        <v>0</v>
      </c>
      <c r="L328" s="3429">
        <f ca="1">IF(P135="Stabilized Only",K328*Subject_NRA/dpIncome_DirectCap_EGI,K328*Subject_NRA/VLOOKUP("Effective Gross Revenue",'DCF 1'!$E$8:$I$107,2,FALSE)+0)</f>
        <v>0</v>
      </c>
      <c r="M328" s="259"/>
      <c r="N328" s="89"/>
      <c r="O328" s="2543">
        <f>Expense_CAM_Reimb</f>
        <v>0</v>
      </c>
      <c r="P328" s="2543" t="str">
        <f>IF(Expense_CAM_Reimb=1,IF(Q328=$Q$336,CONCATENATE("and ",LOWER(dpIncome_ExpenseCat_8)),IF(Q328=$Q$336-1,CONCATENATE(LOWER(dpIncome_ExpenseCat_8)," "),CONCATENATE(LOWER(dpIncome_ExpenseCat_8),", "))),"")</f>
        <v/>
      </c>
      <c r="Q328" s="2543">
        <f>SUM($O$321:O328)</f>
        <v>4</v>
      </c>
      <c r="S328" s="731"/>
      <c r="T328" s="731"/>
      <c r="U328" s="731"/>
      <c r="V328" s="731"/>
    </row>
    <row r="329" spans="1:22" s="36" customFormat="1" ht="18" hidden="1" customHeight="1" x14ac:dyDescent="0.25">
      <c r="A329" s="972">
        <f>IF(Expense_CleaningJanitorial_Reimb=1,1,0)</f>
        <v>0</v>
      </c>
      <c r="B329" s="1376"/>
      <c r="C329" s="259"/>
      <c r="D329" s="3636" t="str">
        <f>dpIncome_ExpenseCat_9</f>
        <v>Cleaning &amp; Janitorial</v>
      </c>
      <c r="E329" s="2344">
        <f>IF(Expense_CleaningJanitorial_Reimb=1,E169,0)</f>
        <v>0</v>
      </c>
      <c r="F329" s="3429" t="e">
        <f t="shared" si="34"/>
        <v>#DIV/0!</v>
      </c>
      <c r="G329" s="2344">
        <f>IF(Expense_CleaningJanitorial_Reimb=1,G169,0)</f>
        <v>0</v>
      </c>
      <c r="H329" s="3429" t="e">
        <f t="shared" si="35"/>
        <v>#DIV/0!</v>
      </c>
      <c r="I329" s="2344">
        <f>IF(Expense_CleaningJanitorial_Reimb=1,I169,0)</f>
        <v>0</v>
      </c>
      <c r="J329" s="3429" t="e">
        <f t="shared" si="36"/>
        <v>#DIV/0!</v>
      </c>
      <c r="K329" s="2344">
        <f>IF(Expense_CleaningJanitorial_Reimb=1,IF(Income_TechniqueUsed="Direct Capitalization",dpIncome_Expense_CJ_Stabilized,VLOOKUP(CONCATENATE("  ",D329),'DCF 1'!$E$10:$R$106,2,FALSE)/Subject_NRA),0)</f>
        <v>0</v>
      </c>
      <c r="L329" s="3429">
        <f ca="1">IF(P153="Stabilized Only",K329*Subject_NRA/dpIncome_DirectCap_EGI,K329*Subject_NRA/VLOOKUP("Effective Gross Revenue",'DCF 1'!$E$8:$I$107,2,FALSE)+0)</f>
        <v>0</v>
      </c>
      <c r="M329" s="259"/>
      <c r="N329" s="89"/>
      <c r="O329" s="2543">
        <f>Expense_CleaningJanitorial_Reimb</f>
        <v>0</v>
      </c>
      <c r="P329" s="2543" t="str">
        <f>IF(Expense_CleaningJanitorial_Reimb=1,IF(Q329=$Q$336,CONCATENATE("and ",LOWER(dpIncome_ExpenseCat_9)),IF(Q329=$Q$336-1,CONCATENATE(LOWER(dpIncome_ExpenseCat_9)," "),CONCATENATE(LOWER(dpIncome_ExpenseCat_9),", "))),"")</f>
        <v/>
      </c>
      <c r="Q329" s="2543">
        <f>SUM($O$321:O329)</f>
        <v>4</v>
      </c>
      <c r="S329" s="731"/>
      <c r="T329" s="731"/>
      <c r="U329" s="731"/>
      <c r="V329" s="731"/>
    </row>
    <row r="330" spans="1:22" s="36" customFormat="1" ht="18" hidden="1" customHeight="1" x14ac:dyDescent="0.25">
      <c r="A330" s="972">
        <f>IF(Expense_Leasing_Reimb=1,1,0)</f>
        <v>0</v>
      </c>
      <c r="B330" s="1376"/>
      <c r="C330" s="259"/>
      <c r="D330" s="3636" t="str">
        <f>dpIncome_ExpenseCat_10</f>
        <v>Leasing Expenses</v>
      </c>
      <c r="E330" s="2344">
        <f>IF(Expense_Leasing_Reimb=1,E187,0)</f>
        <v>0</v>
      </c>
      <c r="F330" s="3429" t="e">
        <f t="shared" si="34"/>
        <v>#DIV/0!</v>
      </c>
      <c r="G330" s="2344">
        <f>IF(Expense_Leasing_Reimb=1,G187,0)</f>
        <v>0</v>
      </c>
      <c r="H330" s="3429" t="e">
        <f t="shared" si="35"/>
        <v>#DIV/0!</v>
      </c>
      <c r="I330" s="2344">
        <f>IF(Expense_Leasing_Reimb=1,I187,0)</f>
        <v>0</v>
      </c>
      <c r="J330" s="3429" t="e">
        <f t="shared" si="36"/>
        <v>#DIV/0!</v>
      </c>
      <c r="K330" s="2344">
        <f>IF(Expense_Leasing_Reimb=1,IF(Income_TechniqueUsed="Direct Capitalization",dpIncome_Expense_Leasing_Stabilized,VLOOKUP(CONCATENATE("  ",D330),'DCF 1'!$E$10:$R$106,2,FALSE)/Subject_NRA),0)</f>
        <v>0</v>
      </c>
      <c r="L330" s="3429">
        <f ca="1">IF(P171="Stabilized Only",K330*Subject_NRA/dpIncome_DirectCap_EGI,K330*Subject_NRA/VLOOKUP("Effective Gross Revenue",'DCF 1'!$E$8:$I$107,2,FALSE)+0)</f>
        <v>0</v>
      </c>
      <c r="M330" s="259"/>
      <c r="N330" s="89"/>
      <c r="O330" s="2543">
        <f>Expense_Leasing_Reimb</f>
        <v>0</v>
      </c>
      <c r="P330" s="2543" t="str">
        <f>IF(Expense_Leasing_Reimb=1,IF(Q330=$Q$336,CONCATENATE("and ",LOWER(dpIncome_ExpenseCat_10)),IF(Q330=$Q$336-1,CONCATENATE(LOWER(dpIncome_ExpenseCat_10)," "),CONCATENATE(LOWER(dpIncome_ExpenseCat_10),", "))),"")</f>
        <v/>
      </c>
      <c r="Q330" s="2543">
        <f>SUM($O$321:O330)</f>
        <v>4</v>
      </c>
      <c r="S330" s="731"/>
      <c r="T330" s="731"/>
      <c r="U330" s="731"/>
      <c r="V330" s="731"/>
    </row>
    <row r="331" spans="1:22" s="36" customFormat="1" ht="18" hidden="1" customHeight="1" x14ac:dyDescent="0.25">
      <c r="A331" s="972">
        <f>IF(Expense_Payroll_Reimb=1,1,0)</f>
        <v>0</v>
      </c>
      <c r="B331" s="1376"/>
      <c r="C331" s="259"/>
      <c r="D331" s="3636" t="str">
        <f>dpIncome_ExpenseCat_11</f>
        <v>Payroll</v>
      </c>
      <c r="E331" s="2344">
        <f>IF(Expense_Payroll_Reimb=1,E205,0)</f>
        <v>0</v>
      </c>
      <c r="F331" s="3429" t="e">
        <f t="shared" si="34"/>
        <v>#DIV/0!</v>
      </c>
      <c r="G331" s="2344">
        <f>IF(Expense_Payroll_Reimb=1,G205,0)</f>
        <v>0</v>
      </c>
      <c r="H331" s="3429" t="e">
        <f t="shared" si="35"/>
        <v>#DIV/0!</v>
      </c>
      <c r="I331" s="2344">
        <f>IF(Expense_Payroll_Reimb=1,I205,0)</f>
        <v>0</v>
      </c>
      <c r="J331" s="3429" t="e">
        <f t="shared" si="36"/>
        <v>#DIV/0!</v>
      </c>
      <c r="K331" s="2344">
        <f>IF(Expense_Payroll_Reimb=1,IF(Income_TechniqueUsed="Direct Capitalization",dpIncome_Expense_Payroll_Stabilized,VLOOKUP(CONCATENATE("  ",D331),'DCF 1'!$E$10:$R$106,2,FALSE)/Subject_NRA),0)</f>
        <v>0</v>
      </c>
      <c r="L331" s="3429">
        <f ca="1">IF(P189="Stabilized Only",K331*Subject_NRA/dpIncome_DirectCap_EGI,K331*Subject_NRA/VLOOKUP("Effective Gross Revenue",'DCF 1'!$E$8:$I$107,2,FALSE)+0)</f>
        <v>0</v>
      </c>
      <c r="M331" s="259"/>
      <c r="N331" s="89"/>
      <c r="O331" s="2543">
        <f>Expense_Payroll_Reimb</f>
        <v>0</v>
      </c>
      <c r="P331" s="2543" t="str">
        <f>IF(Expense_Payroll_Reimb=1,IF(Q331=$Q$336,CONCATENATE("and ",LOWER(dpIncome_ExpenseCat_11)),IF(Q331=$Q$336-1,CONCATENATE(LOWER(dpIncome_ExpenseCat_11)," "),CONCATENATE(LOWER(dpIncome_ExpenseCat_11),", "))),"")</f>
        <v/>
      </c>
      <c r="Q331" s="2543">
        <f>SUM($O$321:O331)</f>
        <v>4</v>
      </c>
      <c r="S331" s="731"/>
      <c r="T331" s="731"/>
      <c r="U331" s="731"/>
      <c r="V331" s="731"/>
    </row>
    <row r="332" spans="1:22" s="36" customFormat="1" ht="18" hidden="1" customHeight="1" x14ac:dyDescent="0.25">
      <c r="A332" s="972">
        <f>IF(Expense_Security_Reimb=1,1,0)</f>
        <v>0</v>
      </c>
      <c r="B332" s="1376"/>
      <c r="C332" s="259"/>
      <c r="D332" s="3636" t="str">
        <f>dpIncome_ExpenseCat_12</f>
        <v>Security</v>
      </c>
      <c r="E332" s="2344">
        <f>IF(Expense_Security_Reimb=1,E223,0)</f>
        <v>0</v>
      </c>
      <c r="F332" s="3429" t="e">
        <f t="shared" si="34"/>
        <v>#DIV/0!</v>
      </c>
      <c r="G332" s="2344">
        <f>IF(Expense_Security_Reimb=1,G223,0)</f>
        <v>0</v>
      </c>
      <c r="H332" s="3429" t="e">
        <f t="shared" si="35"/>
        <v>#DIV/0!</v>
      </c>
      <c r="I332" s="2344">
        <f>IF(Expense_Security_Reimb=1,I223,0)</f>
        <v>0</v>
      </c>
      <c r="J332" s="3429" t="e">
        <f t="shared" si="36"/>
        <v>#DIV/0!</v>
      </c>
      <c r="K332" s="2344">
        <f>IF(Expense_Security_Reimb=1,IF(Income_TechniqueUsed="Direct Capitalization",dpIncome_Expense_Security_Stabilized,VLOOKUP(CONCATENATE("  ",D332),'DCF 1'!$E$10:$R$106,2,FALSE)/Subject_NRA),0)</f>
        <v>0</v>
      </c>
      <c r="L332" s="3429">
        <f ca="1">IF(P207="Stabilized Only",K332*Subject_NRA/dpIncome_DirectCap_EGI,K332*Subject_NRA/VLOOKUP("Effective Gross Revenue",'DCF 1'!$E$8:$I$107,2,FALSE)+0)</f>
        <v>0</v>
      </c>
      <c r="M332" s="259"/>
      <c r="N332" s="89"/>
      <c r="O332" s="2543">
        <f>Expense_Security_Reimb</f>
        <v>0</v>
      </c>
      <c r="P332" s="2543" t="str">
        <f>IF(Expense_Security_Reimb=1,IF(Q332=$Q$336,CONCATENATE("and ",LOWER(dpIncome_ExpenseCat_12)),IF(Q332=$Q$336-1,CONCATENATE(LOWER(dpIncome_ExpenseCat_12)," "),CONCATENATE(LOWER(dpIncome_ExpenseCat_12),", "))),"")</f>
        <v/>
      </c>
      <c r="Q332" s="2543">
        <f>SUM($O$321:O332)</f>
        <v>4</v>
      </c>
      <c r="S332" s="731"/>
      <c r="T332" s="731"/>
      <c r="U332" s="731"/>
      <c r="V332" s="731"/>
    </row>
    <row r="333" spans="1:22" s="36" customFormat="1" ht="18" hidden="1" customHeight="1" x14ac:dyDescent="0.25">
      <c r="A333" s="972">
        <f>IF(Expense_RoadsGrounds_Reimb=1,1,0)</f>
        <v>0</v>
      </c>
      <c r="B333" s="1376"/>
      <c r="C333" s="259"/>
      <c r="D333" s="3636" t="str">
        <f>dpIncome_ExpenseCat_13</f>
        <v>Roads &amp; Grounds</v>
      </c>
      <c r="E333" s="2344">
        <f>IF(Expense_RoadsGrounds_Reimb=1,E241,0)</f>
        <v>0</v>
      </c>
      <c r="F333" s="3429" t="e">
        <f t="shared" si="34"/>
        <v>#DIV/0!</v>
      </c>
      <c r="G333" s="2344">
        <f>IF(Expense_RoadsGrounds_Reimb=1,G241,0)</f>
        <v>0</v>
      </c>
      <c r="H333" s="3429" t="e">
        <f t="shared" si="35"/>
        <v>#DIV/0!</v>
      </c>
      <c r="I333" s="2344">
        <f>IF(Expense_RoadsGrounds_Reimb=1,I241,0)</f>
        <v>0</v>
      </c>
      <c r="J333" s="3429" t="e">
        <f t="shared" si="36"/>
        <v>#DIV/0!</v>
      </c>
      <c r="K333" s="2344">
        <f>IF(Expense_RoadsGrounds_Reimb=1,IF(Income_TechniqueUsed="Direct Capitalization",dpIncome_Expense_RG_Stabilized,VLOOKUP(CONCATENATE("  ",D333),'DCF 1'!$E$10:$R$106,2,FALSE)/Subject_NRA),0)</f>
        <v>0</v>
      </c>
      <c r="L333" s="3429">
        <f ca="1">IF(P225="Stabilized Only",K333*Subject_NRA/dpIncome_DirectCap_EGI,K333*Subject_NRA/VLOOKUP("Effective Gross Revenue",'DCF 1'!$E$8:$I$107,2,FALSE)+0)</f>
        <v>0</v>
      </c>
      <c r="M333" s="259"/>
      <c r="N333" s="89"/>
      <c r="O333" s="2543">
        <f>Expense_RoadsGrounds_Reimb</f>
        <v>0</v>
      </c>
      <c r="P333" s="2543" t="str">
        <f>IF(Expense_RoadsGrounds_Reimb=1,IF(Q333=$Q$336,CONCATENATE("and ",LOWER(dpIncome_ExpenseCat_13)),IF(Q333=$Q$336-1,CONCATENATE(LOWER(dpIncome_ExpenseCat_13)," "),CONCATENATE(LOWER(dpIncome_ExpenseCat_13),", "))),"")</f>
        <v/>
      </c>
      <c r="Q333" s="2543">
        <f>SUM($O$321:O333)</f>
        <v>4</v>
      </c>
      <c r="S333" s="731"/>
      <c r="T333" s="731"/>
      <c r="U333" s="731"/>
      <c r="V333" s="731"/>
    </row>
    <row r="334" spans="1:22" s="36" customFormat="1" ht="18" hidden="1" customHeight="1" x14ac:dyDescent="0.25">
      <c r="A334" s="972">
        <f>IF(Expense_OtherOps_Reimb=1,1,0)</f>
        <v>0</v>
      </c>
      <c r="B334" s="1376"/>
      <c r="C334" s="259"/>
      <c r="D334" s="3636" t="str">
        <f>dpIncome_ExpenseCat_14</f>
        <v>Other Operating Expenses</v>
      </c>
      <c r="E334" s="2344">
        <f>IF(Expense_OtherOps_Reimb=1,E259,0)</f>
        <v>0</v>
      </c>
      <c r="F334" s="3429" t="e">
        <f t="shared" si="34"/>
        <v>#DIV/0!</v>
      </c>
      <c r="G334" s="2344">
        <f>IF(Expense_OtherOps_Reimb=1,G259,0)</f>
        <v>0</v>
      </c>
      <c r="H334" s="3429" t="e">
        <f t="shared" si="35"/>
        <v>#DIV/0!</v>
      </c>
      <c r="I334" s="2344">
        <f>IF(Expense_OtherOps_Reimb=1,I259,0)</f>
        <v>0</v>
      </c>
      <c r="J334" s="3429" t="e">
        <f t="shared" si="36"/>
        <v>#DIV/0!</v>
      </c>
      <c r="K334" s="2344">
        <f>IF(Expense_OtherOps_Reimb=1,IF(Income_TechniqueUsed="Direct Capitalization",dpIncome_Expense_OtherOps_Stabilized,VLOOKUP(CONCATENATE("  ",D334),'DCF 1'!$E$10:$R$106,2,FALSE)/Subject_NRA),0)</f>
        <v>0</v>
      </c>
      <c r="L334" s="3429">
        <f ca="1">IF(P243="Stabilized Only",K334*Subject_NRA/dpIncome_DirectCap_EGI,K334*Subject_NRA/VLOOKUP("Effective Gross Revenue",'DCF 1'!$E$8:$I$107,2,FALSE)+0)</f>
        <v>0</v>
      </c>
      <c r="M334" s="259"/>
      <c r="N334" s="89"/>
      <c r="O334" s="2543">
        <f>Expense_OtherOps_Reimb</f>
        <v>0</v>
      </c>
      <c r="P334" s="2543" t="str">
        <f>IF(Expense_OtherOps_Reimb=1,IF(Q334=$Q$336,CONCATENATE("and ",LOWER(dpIncome_ExpenseCat_14)),IF(Q334=$Q$336-1,CONCATENATE(LOWER(dpIncome_ExpenseCat_14)," "),CONCATENATE(LOWER(dpIncome_ExpenseCat_14),", "))),"")</f>
        <v/>
      </c>
      <c r="Q334" s="2543">
        <f>SUM($O$321:O334)</f>
        <v>4</v>
      </c>
      <c r="S334" s="731"/>
      <c r="T334" s="731"/>
      <c r="U334" s="731"/>
      <c r="V334" s="731"/>
    </row>
    <row r="335" spans="1:22" s="36" customFormat="1" ht="18" hidden="1" customHeight="1" x14ac:dyDescent="0.25">
      <c r="A335" s="972">
        <f>IF(Expense_LandlordCosts_Reimb=1,1,0)</f>
        <v>0</v>
      </c>
      <c r="B335" s="1376"/>
      <c r="C335" s="259"/>
      <c r="D335" s="3636" t="str">
        <f>dpIncome_ExpenseCat_15</f>
        <v>Landlord Costs</v>
      </c>
      <c r="E335" s="2344">
        <f>IF(Expense_LandlordCosts_Reimb=1,E277,0)</f>
        <v>0</v>
      </c>
      <c r="F335" s="3429" t="e">
        <f t="shared" si="34"/>
        <v>#DIV/0!</v>
      </c>
      <c r="G335" s="2344">
        <f>IF(Expense_LandlordCosts_Reimb=1,G277,0)</f>
        <v>0</v>
      </c>
      <c r="H335" s="3429" t="e">
        <f t="shared" si="35"/>
        <v>#DIV/0!</v>
      </c>
      <c r="I335" s="2344">
        <f>IF(Expense_LandlordCosts_Reimb=1,I277,0)</f>
        <v>0</v>
      </c>
      <c r="J335" s="3429" t="e">
        <f t="shared" si="36"/>
        <v>#DIV/0!</v>
      </c>
      <c r="K335" s="2344">
        <f>IF(Expense_LandlordCosts_Reimb=1,IF(Income_TechniqueUsed="Direct Capitalization",dpIncome_Expense_LC_Stabilized,VLOOKUP(CONCATENATE("  ",D335),'DCF 1'!$E$10:$R$106,2,FALSE)/Subject_NRA),0)</f>
        <v>0</v>
      </c>
      <c r="L335" s="3429">
        <f ca="1">IF(P261="Stabilized Only",K335*Subject_NRA/dpIncome_DirectCap_EGI,K335*Subject_NRA/VLOOKUP("Effective Gross Revenue",'DCF 1'!$E$8:$I$107,2,FALSE)+0)</f>
        <v>0</v>
      </c>
      <c r="M335" s="259"/>
      <c r="N335" s="89"/>
      <c r="O335" s="2543">
        <f>Expense_LandlordCosts_Reimb</f>
        <v>0</v>
      </c>
      <c r="P335" s="2543" t="str">
        <f>IF(Expense_LandlordCosts_Reimb=1,IF(Q335=$Q$336,CONCATENATE("and ",LOWER(dpIncome_ExpenseCat_15)),IF(Q335=$Q$336-1,CONCATENATE(LOWER(dpIncome_ExpenseCat_15)," "),CONCATENATE(LOWER(dpIncome_ExpenseCat_15),", "))),"")</f>
        <v/>
      </c>
      <c r="Q335" s="2543">
        <f>SUM($O$321:O335)</f>
        <v>4</v>
      </c>
      <c r="S335" s="731"/>
      <c r="T335" s="731"/>
      <c r="U335" s="731"/>
      <c r="V335" s="731"/>
    </row>
    <row r="336" spans="1:22" s="36" customFormat="1" ht="18" hidden="1" customHeight="1" x14ac:dyDescent="0.25">
      <c r="A336" s="972">
        <f>IF(Expense_ReplacementReserves_Reimb=1,1,0)</f>
        <v>0</v>
      </c>
      <c r="B336" s="1376"/>
      <c r="C336" s="259"/>
      <c r="D336" s="3636" t="str">
        <f>dpIncome_ExpenseCat_16</f>
        <v>Replacement Reserves</v>
      </c>
      <c r="E336" s="3637">
        <f>IF(Expense_ReplacementReserves_Reimb=1,E295,0)</f>
        <v>0</v>
      </c>
      <c r="F336" s="3638" t="e">
        <f t="shared" si="34"/>
        <v>#DIV/0!</v>
      </c>
      <c r="G336" s="3637">
        <f>IF(Expense_ReplacementReserves_Reimb=1,G295,0)</f>
        <v>0</v>
      </c>
      <c r="H336" s="3638" t="e">
        <f t="shared" si="35"/>
        <v>#DIV/0!</v>
      </c>
      <c r="I336" s="3637">
        <f>IF(Expense_ReplacementReserves_Reimb=1,I295,0)</f>
        <v>0</v>
      </c>
      <c r="J336" s="3638" t="e">
        <f t="shared" si="36"/>
        <v>#DIV/0!</v>
      </c>
      <c r="K336" s="2344">
        <f>IF(Expense_ReplacementReserves_Reimb=1,IF(Income_TechniqueUsed="Direct Capitalization",dpIncome_Expense_Reserves_Stabilized,VLOOKUP(CONCATENATE("  ",D336),'DCF 1'!$E$10:$R$106,2,FALSE)/Subject_NRA),0)</f>
        <v>0</v>
      </c>
      <c r="L336" s="3429">
        <f ca="1">IF(P279="Stabilized Only",K336*Subject_NRA/dpIncome_DirectCap_EGI,K336*Subject_NRA/VLOOKUP("Effective Gross Revenue",'DCF 1'!$E$8:$I$107,2,FALSE)+0)</f>
        <v>0</v>
      </c>
      <c r="M336" s="259"/>
      <c r="N336" s="89"/>
      <c r="O336" s="2543">
        <f>Expense_ReplacementReserves_Reimb</f>
        <v>0</v>
      </c>
      <c r="P336" s="2543" t="str">
        <f>IF(Expense_ReplacementReserves_Reimb=1,IF(Q336=$Q$336,CONCATENATE("and ",LOWER(dpIncome_ExpenseCat_16)),IF(Q336=$Q$336-1,CONCATENATE(LOWER(dpIncome_ExpenseCat_16)," "),CONCATENATE(LOWER(dpIncome_ExpenseCat_16),", "))),"")</f>
        <v/>
      </c>
      <c r="Q336" s="2543">
        <f>SUM($O$321:O336)</f>
        <v>4</v>
      </c>
      <c r="S336" s="731"/>
      <c r="T336" s="731"/>
      <c r="U336" s="731"/>
      <c r="V336" s="731"/>
    </row>
    <row r="337" spans="1:22" ht="15" customHeight="1" x14ac:dyDescent="0.25">
      <c r="A337" s="957">
        <f>IF(SUM(A321:A336)=0,0,1)</f>
        <v>1</v>
      </c>
      <c r="B337" s="174"/>
      <c r="C337" s="258"/>
      <c r="D337" s="3639" t="s">
        <v>422</v>
      </c>
      <c r="E337" s="3640">
        <f t="shared" ref="E337:L337" si="37">SUBTOTAL(109,E321:E336)</f>
        <v>0</v>
      </c>
      <c r="F337" s="3641" t="e">
        <f t="shared" si="37"/>
        <v>#DIV/0!</v>
      </c>
      <c r="G337" s="3640">
        <f t="shared" si="37"/>
        <v>0</v>
      </c>
      <c r="H337" s="3641" t="e">
        <f t="shared" si="37"/>
        <v>#DIV/0!</v>
      </c>
      <c r="I337" s="3640">
        <f t="shared" si="37"/>
        <v>0</v>
      </c>
      <c r="J337" s="3641" t="e">
        <f t="shared" si="37"/>
        <v>#DIV/0!</v>
      </c>
      <c r="K337" s="3640">
        <f t="shared" ca="1" si="37"/>
        <v>7.0507582884019735</v>
      </c>
      <c r="L337" s="3641">
        <f t="shared" ca="1" si="37"/>
        <v>4.167255345115942</v>
      </c>
      <c r="M337" s="258"/>
      <c r="N337" s="6"/>
      <c r="P337" s="96"/>
      <c r="R337" s="41"/>
    </row>
    <row r="338" spans="1:22" ht="18" customHeight="1" x14ac:dyDescent="0.25">
      <c r="A338" s="957">
        <f>IF(SUM(A339:A354)=0,0,1)</f>
        <v>1</v>
      </c>
      <c r="B338" s="174"/>
      <c r="C338" s="258"/>
      <c r="D338" s="3335" t="s">
        <v>423</v>
      </c>
      <c r="E338" s="3336"/>
      <c r="F338" s="3336"/>
      <c r="G338" s="3336"/>
      <c r="H338" s="3336"/>
      <c r="I338" s="3336"/>
      <c r="J338" s="3336"/>
      <c r="K338" s="415"/>
      <c r="L338" s="415"/>
      <c r="M338" s="258"/>
      <c r="N338" s="6"/>
      <c r="P338" s="96"/>
    </row>
    <row r="339" spans="1:22" s="36" customFormat="1" ht="18" hidden="1" customHeight="1" x14ac:dyDescent="0.25">
      <c r="A339" s="972">
        <f>IF(Expense_RealEstateTax_NonReimb=1,1,0)</f>
        <v>0</v>
      </c>
      <c r="B339" s="1376"/>
      <c r="C339" s="259"/>
      <c r="D339" s="3636" t="str">
        <f>dpIncome_ExpenseCat_1</f>
        <v>Real Estate Taxes</v>
      </c>
      <c r="E339" s="2344">
        <f>IF(Expense_RealEstateTax_NonReimb=1,E25,0)</f>
        <v>0</v>
      </c>
      <c r="F339" s="3429" t="e">
        <f t="shared" ref="F339:F354" si="38">E339/Income_EGI_Pool1_1</f>
        <v>#DIV/0!</v>
      </c>
      <c r="G339" s="2344">
        <f>IF(Expense_RealEstateTax_NonReimb=1,G25,0)</f>
        <v>0</v>
      </c>
      <c r="H339" s="3429" t="e">
        <f t="shared" ref="H339:H354" si="39">G339/Income_EGI_Pool2_1</f>
        <v>#DIV/0!</v>
      </c>
      <c r="I339" s="2344">
        <f>IF(Expense_RealEstateTax_NonReimb=1,I25,0)</f>
        <v>0</v>
      </c>
      <c r="J339" s="3429" t="e">
        <f t="shared" ref="J339:J354" si="40">I339/Income_EGI_Pool3_1</f>
        <v>#DIV/0!</v>
      </c>
      <c r="K339" s="2344">
        <f>IF(Expense_RealEstateTax_NonReimb=1,IF(Income_TechniqueUsed="Direct Capitalization",dpIncome_Expense_RETax_Stabilized,VLOOKUP(CONCATENATE("  ",D339),'DCF 1'!$E$10:$R$106,2,FALSE)/Subject_NRA),0)</f>
        <v>0</v>
      </c>
      <c r="L339" s="3429">
        <f ca="1">IF(P9="Stabilized Only",K339*Subject_NRA/dpIncome_DirectCap_EGI,K339*Subject_NRA/VLOOKUP("Effective Gross Revenue",'DCF 1'!$E$8:$I$107,2,FALSE)+0)</f>
        <v>0</v>
      </c>
      <c r="M339" s="259"/>
      <c r="N339" s="89"/>
      <c r="O339" s="652"/>
      <c r="P339" s="750"/>
      <c r="Q339" s="2544"/>
      <c r="R339" s="731"/>
      <c r="S339" s="731"/>
      <c r="T339" s="731"/>
      <c r="U339" s="731"/>
      <c r="V339" s="731"/>
    </row>
    <row r="340" spans="1:22" s="36" customFormat="1" ht="18" hidden="1" customHeight="1" x14ac:dyDescent="0.25">
      <c r="A340" s="972">
        <f>IF(Expense_OtherTaxes_NonReimb=1,1,0)</f>
        <v>0</v>
      </c>
      <c r="B340" s="1376"/>
      <c r="C340" s="259"/>
      <c r="D340" s="3636" t="str">
        <f>dpIncome_ExpenseCat_2</f>
        <v>Other Taxes</v>
      </c>
      <c r="E340" s="2344">
        <f>IF(Expense_OtherTaxes_NonReimb=1,E43,0)</f>
        <v>0</v>
      </c>
      <c r="F340" s="3429" t="e">
        <f t="shared" si="38"/>
        <v>#DIV/0!</v>
      </c>
      <c r="G340" s="2344">
        <f>IF(Expense_OtherTaxes_NonReimb=1,G43,0)</f>
        <v>0</v>
      </c>
      <c r="H340" s="3429" t="e">
        <f t="shared" si="39"/>
        <v>#DIV/0!</v>
      </c>
      <c r="I340" s="2344">
        <f>IF(Expense_OtherTaxes_NonReimb=1,I43,0)</f>
        <v>0</v>
      </c>
      <c r="J340" s="3429" t="e">
        <f t="shared" si="40"/>
        <v>#DIV/0!</v>
      </c>
      <c r="K340" s="2344">
        <f>IF(Expense_OtherTaxes_NonReimb=1,IF(Income_TechniqueUsed="Direct Capitalization",dpIncome_Expense_OtherTaxes_Stabilized,VLOOKUP(CONCATENATE("  ",D340),'DCF 1'!$E$10:$R$106,2,FALSE)/Subject_NRA),0)</f>
        <v>0</v>
      </c>
      <c r="L340" s="3429">
        <f ca="1">IF(P27="Stabilized Only",K340*Subject_NRA/dpIncome_DirectCap_EGI,K340*Subject_NRA/VLOOKUP("Effective Gross Revenue",'DCF 1'!$E$8:$I$107,2,FALSE)+0)</f>
        <v>0</v>
      </c>
      <c r="M340" s="259"/>
      <c r="N340" s="89"/>
      <c r="O340" s="652"/>
      <c r="P340" s="750"/>
      <c r="Q340" s="2544"/>
      <c r="R340" s="731"/>
      <c r="S340" s="731"/>
      <c r="T340" s="731"/>
      <c r="U340" s="731"/>
      <c r="V340" s="731"/>
    </row>
    <row r="341" spans="1:22" s="36" customFormat="1" ht="18" hidden="1" customHeight="1" x14ac:dyDescent="0.25">
      <c r="A341" s="972">
        <f>IF(Expense_Insurance_NonReimb=1,1,0)</f>
        <v>0</v>
      </c>
      <c r="B341" s="1376"/>
      <c r="C341" s="259"/>
      <c r="D341" s="3636" t="str">
        <f>dpIncome_ExpenseCat_3</f>
        <v>Property Insurance</v>
      </c>
      <c r="E341" s="2344">
        <f>IF(Expense_Insurance_NonReimb=1,E61,0)</f>
        <v>0</v>
      </c>
      <c r="F341" s="3429" t="e">
        <f t="shared" si="38"/>
        <v>#DIV/0!</v>
      </c>
      <c r="G341" s="2344">
        <f>IF(Expense_Insurance_NonReimb=1,G61,0)</f>
        <v>0</v>
      </c>
      <c r="H341" s="3429" t="e">
        <f t="shared" si="39"/>
        <v>#DIV/0!</v>
      </c>
      <c r="I341" s="2344">
        <f>IF(Expense_Insurance_NonReimb=1,I61,0)</f>
        <v>0</v>
      </c>
      <c r="J341" s="3429" t="e">
        <f t="shared" si="40"/>
        <v>#DIV/0!</v>
      </c>
      <c r="K341" s="2344">
        <f>IF(Expense_Insurance_NonReimb=1,IF(Income_TechniqueUsed="Direct Capitalization",dpIncome_Expense_Insurance_Stabilized,VLOOKUP(CONCATENATE("  ",D341),'DCF 1'!$E$10:$R$106,2,FALSE)/Subject_NRA),0)</f>
        <v>0</v>
      </c>
      <c r="L341" s="3429">
        <f ca="1">IF(P45="Stabilized Only",K341*Subject_NRA/dpIncome_DirectCap_EGI,K341*Subject_NRA/VLOOKUP("Effective Gross Revenue",'DCF 1'!$E$8:$I$107,2,FALSE)+0)</f>
        <v>0</v>
      </c>
      <c r="M341" s="259"/>
      <c r="N341" s="89"/>
      <c r="O341" s="652"/>
      <c r="P341" s="750"/>
      <c r="Q341" s="2544"/>
      <c r="R341" s="731"/>
      <c r="S341" s="731"/>
      <c r="T341" s="731"/>
      <c r="U341" s="731"/>
      <c r="V341" s="731"/>
    </row>
    <row r="342" spans="1:22" s="36" customFormat="1" ht="18" hidden="1" customHeight="1" x14ac:dyDescent="0.25">
      <c r="A342" s="972">
        <f>IF(Expense_MgmtFees_NonReimb=1,1,0)</f>
        <v>0</v>
      </c>
      <c r="B342" s="1376"/>
      <c r="C342" s="259"/>
      <c r="D342" s="3636" t="str">
        <f>dpIncome_ExpenseCat_4</f>
        <v>Management Fees</v>
      </c>
      <c r="E342" s="2344">
        <f>IF(Expense_MgmtFees_NonReimb=1,E79,0)</f>
        <v>0</v>
      </c>
      <c r="F342" s="3429" t="e">
        <f t="shared" si="38"/>
        <v>#DIV/0!</v>
      </c>
      <c r="G342" s="2344">
        <f>IF(Expense_MgmtFees_NonReimb=1,G79,0)</f>
        <v>0</v>
      </c>
      <c r="H342" s="3429" t="e">
        <f t="shared" si="39"/>
        <v>#DIV/0!</v>
      </c>
      <c r="I342" s="2344">
        <f>IF(Expense_MgmtFees_NonReimb=1,I79,0)</f>
        <v>0</v>
      </c>
      <c r="J342" s="3429" t="e">
        <f t="shared" si="40"/>
        <v>#DIV/0!</v>
      </c>
      <c r="K342" s="2344">
        <f ca="1">IF(P63="Stabilized Only",(L342*dpIncome_DirectCap_EGI)/Subject_NRA,(L342*(VLOOKUP("Effective Gross Revenue",'DCF 1'!$E$8:$I$107,2,FALSE)+0))/Subject_NRA)</f>
        <v>0</v>
      </c>
      <c r="L342" s="3429">
        <f>IF(Expense_MgmtFees_NonReimb=1,IF(Income_TechniqueUsed="Direct Capitalization",dpIncome_Expense_MgmtFees_Stabilized,VLOOKUP(CONCATENATE("    ",D342),'DCF 1'!$E$10:$R$106,2,FALSE)/VLOOKUP("Effective Gross Revenue",'DCF 1'!$E$10:$R$106,2,FALSE)),0)</f>
        <v>0</v>
      </c>
      <c r="M342" s="259"/>
      <c r="N342" s="89"/>
      <c r="O342" s="652"/>
      <c r="P342" s="144"/>
      <c r="Q342" s="2544"/>
      <c r="R342" s="731"/>
      <c r="S342" s="731"/>
      <c r="T342" s="731"/>
      <c r="U342" s="731"/>
      <c r="V342" s="731"/>
    </row>
    <row r="343" spans="1:22" s="36" customFormat="1" ht="18" hidden="1" customHeight="1" x14ac:dyDescent="0.25">
      <c r="A343" s="972">
        <f>IF(Expense_Administrative_NonReimb=1,1,0)</f>
        <v>0</v>
      </c>
      <c r="B343" s="1376"/>
      <c r="C343" s="259"/>
      <c r="D343" s="3636" t="str">
        <f>dpIncome_ExpenseCat_5</f>
        <v>Administrative</v>
      </c>
      <c r="E343" s="2344">
        <f>IF(Expense_Administrative_NonReimb=1,E97,0)</f>
        <v>0</v>
      </c>
      <c r="F343" s="3429" t="e">
        <f t="shared" si="38"/>
        <v>#DIV/0!</v>
      </c>
      <c r="G343" s="2344">
        <f>IF(Expense_Administrative_NonReimb=1,G97,0)</f>
        <v>0</v>
      </c>
      <c r="H343" s="3429" t="e">
        <f t="shared" si="39"/>
        <v>#DIV/0!</v>
      </c>
      <c r="I343" s="2344">
        <f>IF(Expense_Administrative_NonReimb=1,I97,0)</f>
        <v>0</v>
      </c>
      <c r="J343" s="3429" t="e">
        <f t="shared" si="40"/>
        <v>#DIV/0!</v>
      </c>
      <c r="K343" s="2344">
        <f>IF(Expense_Administrative_NonReimb=1,IF(Income_TechniqueUsed="Direct Capitalization",dpIncome_Expense_Admin_Stabilized,VLOOKUP(CONCATENATE("  ",D343),'DCF 1'!$E$10:$R$106,2,FALSE)/Subject_NRA),0)</f>
        <v>0</v>
      </c>
      <c r="L343" s="3429">
        <f ca="1">IF(P81="Stabilized Only",K343*Subject_NRA/dpIncome_DirectCap_EGI,K343*Subject_NRA/VLOOKUP("Effective Gross Revenue",'DCF 1'!$E$8:$I$107,2,FALSE)+0)</f>
        <v>0</v>
      </c>
      <c r="M343" s="259"/>
      <c r="N343" s="89"/>
      <c r="O343" s="652"/>
      <c r="P343" s="144"/>
      <c r="Q343" s="2544"/>
      <c r="R343" s="731"/>
      <c r="S343" s="731"/>
      <c r="T343" s="731"/>
      <c r="U343" s="731"/>
      <c r="V343" s="731"/>
    </row>
    <row r="344" spans="1:22" s="36" customFormat="1" ht="18" hidden="1" customHeight="1" x14ac:dyDescent="0.25">
      <c r="A344" s="972">
        <f>IF(Expense_Utilities_NonReimb=1,1,0)</f>
        <v>0</v>
      </c>
      <c r="B344" s="1376"/>
      <c r="C344" s="259"/>
      <c r="D344" s="3636" t="str">
        <f>dpIncome_ExpenseCat_6</f>
        <v>Utilities</v>
      </c>
      <c r="E344" s="2344">
        <f>IF(Expense_Utilities_NonReimb=1,E115,0)</f>
        <v>0</v>
      </c>
      <c r="F344" s="3429" t="e">
        <f t="shared" si="38"/>
        <v>#DIV/0!</v>
      </c>
      <c r="G344" s="2344">
        <f>IF(Expense_Utilities_NonReimb=1,G115,0)</f>
        <v>0</v>
      </c>
      <c r="H344" s="3429" t="e">
        <f t="shared" si="39"/>
        <v>#DIV/0!</v>
      </c>
      <c r="I344" s="2344">
        <f>IF(Expense_Utilities_NonReimb=1,I115,0)</f>
        <v>0</v>
      </c>
      <c r="J344" s="3429" t="e">
        <f t="shared" si="40"/>
        <v>#DIV/0!</v>
      </c>
      <c r="K344" s="2344">
        <f>IF(Expense_Utilities_NonReimb=1,IF(Income_TechniqueUsed="Direct Capitalization",dpIncome_Expense_Utilities_Stabilized,VLOOKUP(CONCATENATE("  ",D344),'DCF 1'!$E$10:$R$106,2,FALSE)/Subject_NRA),0)</f>
        <v>0</v>
      </c>
      <c r="L344" s="3429">
        <f ca="1">IF(P99="Stabilized Only",K344*Subject_NRA/dpIncome_DirectCap_EGI,K344*Subject_NRA/VLOOKUP("Effective Gross Revenue",'DCF 1'!$E$8:$I$107,2,FALSE)+0)</f>
        <v>0</v>
      </c>
      <c r="M344" s="259"/>
      <c r="N344" s="89"/>
      <c r="O344" s="652"/>
      <c r="P344" s="144"/>
      <c r="Q344" s="2544"/>
      <c r="R344" s="731"/>
      <c r="S344" s="731"/>
      <c r="T344" s="731"/>
      <c r="U344" s="731"/>
      <c r="V344" s="731"/>
    </row>
    <row r="345" spans="1:22" s="36" customFormat="1" ht="18" hidden="1" customHeight="1" x14ac:dyDescent="0.25">
      <c r="A345" s="972">
        <f>IF(Expense_RepairsMaintenance_NonReimb=1,1,0)</f>
        <v>0</v>
      </c>
      <c r="B345" s="1376"/>
      <c r="C345" s="259"/>
      <c r="D345" s="3636" t="str">
        <f>dpIncome_ExpenseCat_7</f>
        <v>Repairs &amp; Maintenance</v>
      </c>
      <c r="E345" s="2344">
        <f>IF(Expense_RepairsMaintenance_NonReimb=1,E133,0)</f>
        <v>0</v>
      </c>
      <c r="F345" s="3429" t="e">
        <f t="shared" si="38"/>
        <v>#DIV/0!</v>
      </c>
      <c r="G345" s="2344">
        <f>IF(Expense_RepairsMaintenance_NonReimb=1,G133,0)</f>
        <v>0</v>
      </c>
      <c r="H345" s="3429" t="e">
        <f t="shared" si="39"/>
        <v>#DIV/0!</v>
      </c>
      <c r="I345" s="2344">
        <f>IF(Expense_RepairsMaintenance_NonReimb=1,I133,0)</f>
        <v>0</v>
      </c>
      <c r="J345" s="3429" t="e">
        <f t="shared" si="40"/>
        <v>#DIV/0!</v>
      </c>
      <c r="K345" s="2344">
        <f>IF(Expense_RepairsMaintenance_NonReimb=1,IF(Income_TechniqueUsed="Direct Capitalization",dpIncome_Expense_RM_Stabilized,VLOOKUP(CONCATENATE("  ",D345),'DCF 1'!$E$10:$R$106,2,FALSE)/Subject_NRA),0)</f>
        <v>0</v>
      </c>
      <c r="L345" s="3429">
        <f ca="1">IF(P117="Stabilized Only",K345*Subject_NRA/dpIncome_DirectCap_EGI,K345*Subject_NRA/VLOOKUP("Effective Gross Revenue",'DCF 1'!$E$8:$I$107,2,FALSE)+0)</f>
        <v>0</v>
      </c>
      <c r="M345" s="259"/>
      <c r="N345" s="89"/>
      <c r="O345" s="652"/>
      <c r="P345" s="144"/>
      <c r="Q345" s="2544"/>
      <c r="R345" s="731"/>
      <c r="S345" s="731"/>
      <c r="T345" s="731"/>
      <c r="U345" s="731"/>
      <c r="V345" s="731"/>
    </row>
    <row r="346" spans="1:22" s="36" customFormat="1" ht="18" hidden="1" customHeight="1" x14ac:dyDescent="0.25">
      <c r="A346" s="972">
        <f>IF(Expense_CAM_NonReimb=1,1,0)</f>
        <v>0</v>
      </c>
      <c r="B346" s="1376"/>
      <c r="C346" s="259"/>
      <c r="D346" s="3636" t="str">
        <f>dpIncome_ExpenseCat_8</f>
        <v>Common Area Maintenance</v>
      </c>
      <c r="E346" s="2344">
        <f>IF(Expense_CAM_NonReimb=1,E151,0)</f>
        <v>0</v>
      </c>
      <c r="F346" s="3429" t="e">
        <f t="shared" si="38"/>
        <v>#DIV/0!</v>
      </c>
      <c r="G346" s="2344">
        <f>IF(Expense_CAM_NonReimb=1,G151,0)</f>
        <v>0</v>
      </c>
      <c r="H346" s="3429" t="e">
        <f t="shared" si="39"/>
        <v>#DIV/0!</v>
      </c>
      <c r="I346" s="2344">
        <f>IF(Expense_CAM_NonReimb=1,I151,0)</f>
        <v>0</v>
      </c>
      <c r="J346" s="3429" t="e">
        <f t="shared" si="40"/>
        <v>#DIV/0!</v>
      </c>
      <c r="K346" s="2344">
        <f>IF(Expense_CAM_NonReimb=1,IF(Income_TechniqueUsed="Direct Capitalization",dpIncome_Expense_CAM_Stabilized,VLOOKUP(CONCATENATE("  ",D346),'DCF 1'!$E$10:$R$106,2,FALSE)/Subject_NRA),0)</f>
        <v>0</v>
      </c>
      <c r="L346" s="3429">
        <f ca="1">IF(P135="Stabilized Only",K346*Subject_NRA/dpIncome_DirectCap_EGI,K346*Subject_NRA/VLOOKUP("Effective Gross Revenue",'DCF 1'!$E$8:$I$107,2,FALSE)+0)</f>
        <v>0</v>
      </c>
      <c r="M346" s="259"/>
      <c r="N346" s="89"/>
      <c r="O346" s="652"/>
      <c r="P346" s="144"/>
      <c r="Q346" s="2544"/>
      <c r="R346" s="731"/>
      <c r="S346" s="731"/>
      <c r="T346" s="731"/>
      <c r="U346" s="731"/>
      <c r="V346" s="731"/>
    </row>
    <row r="347" spans="1:22" s="36" customFormat="1" ht="18" hidden="1" customHeight="1" x14ac:dyDescent="0.25">
      <c r="A347" s="972">
        <f>IF(Expense_CleaningJanitorial_NonReimb=1,1,0)</f>
        <v>0</v>
      </c>
      <c r="B347" s="1376"/>
      <c r="C347" s="259"/>
      <c r="D347" s="3636" t="str">
        <f>dpIncome_ExpenseCat_9</f>
        <v>Cleaning &amp; Janitorial</v>
      </c>
      <c r="E347" s="2344">
        <f>IF(Expense_CleaningJanitorial_NonReimb=1,E169,0)</f>
        <v>0</v>
      </c>
      <c r="F347" s="3429" t="e">
        <f t="shared" si="38"/>
        <v>#DIV/0!</v>
      </c>
      <c r="G347" s="2344">
        <f>IF(Expense_CleaningJanitorial_NonReimb=1,G169,0)</f>
        <v>0</v>
      </c>
      <c r="H347" s="3429" t="e">
        <f t="shared" si="39"/>
        <v>#DIV/0!</v>
      </c>
      <c r="I347" s="2344">
        <f>IF(Expense_CleaningJanitorial_NonReimb=1,I169,0)</f>
        <v>0</v>
      </c>
      <c r="J347" s="3429" t="e">
        <f t="shared" si="40"/>
        <v>#DIV/0!</v>
      </c>
      <c r="K347" s="2344">
        <f>IF(Expense_CleaningJanitorial_NonReimb=1,IF(Income_TechniqueUsed="Direct Capitalization",dpIncome_Expense_CJ_Stabilized,VLOOKUP(CONCATENATE("  ",D347),'DCF 1'!$E$10:$R$106,2,FALSE)/Subject_NRA),0)</f>
        <v>0</v>
      </c>
      <c r="L347" s="3429">
        <f ca="1">IF(P153="Stabilized Only",K347*Subject_NRA/dpIncome_DirectCap_EGI,K347*Subject_NRA/VLOOKUP("Effective Gross Revenue",'DCF 1'!$E$8:$I$107,2,FALSE)+0)</f>
        <v>0</v>
      </c>
      <c r="M347" s="259"/>
      <c r="N347" s="89"/>
      <c r="O347" s="652"/>
      <c r="P347" s="144"/>
      <c r="Q347" s="2544"/>
      <c r="R347" s="731"/>
      <c r="S347" s="731"/>
      <c r="T347" s="731"/>
      <c r="U347" s="731"/>
      <c r="V347" s="731"/>
    </row>
    <row r="348" spans="1:22" s="36" customFormat="1" ht="18" hidden="1" customHeight="1" x14ac:dyDescent="0.25">
      <c r="A348" s="972">
        <f>IF(Expense_Leasing_NonReimb=1,1,0)</f>
        <v>0</v>
      </c>
      <c r="B348" s="1376"/>
      <c r="C348" s="259"/>
      <c r="D348" s="3636" t="str">
        <f>dpIncome_ExpenseCat_10</f>
        <v>Leasing Expenses</v>
      </c>
      <c r="E348" s="2344">
        <f>IF(Expense_Leasing_NonReimb=1,E187,0)</f>
        <v>0</v>
      </c>
      <c r="F348" s="3429" t="e">
        <f t="shared" si="38"/>
        <v>#DIV/0!</v>
      </c>
      <c r="G348" s="2344">
        <f>IF(Expense_Leasing_NonReimb=1,G187,0)</f>
        <v>0</v>
      </c>
      <c r="H348" s="3429" t="e">
        <f t="shared" si="39"/>
        <v>#DIV/0!</v>
      </c>
      <c r="I348" s="2344">
        <f>IF(Expense_Leasing_NonReimb=1,I187,0)</f>
        <v>0</v>
      </c>
      <c r="J348" s="3429" t="e">
        <f t="shared" si="40"/>
        <v>#DIV/0!</v>
      </c>
      <c r="K348" s="2344">
        <f>IF(Expense_Leasing_NonReimb=1,IF(Income_TechniqueUsed="Direct Capitalization",dpIncome_Expense_Leasing_Stabilized,VLOOKUP(CONCATENATE("  ",D348),'DCF 1'!$E$10:$R$106,2,FALSE)/Subject_NRA),0)</f>
        <v>0</v>
      </c>
      <c r="L348" s="3429">
        <f ca="1">IF(P171="Stabilized Only",K348*Subject_NRA/dpIncome_DirectCap_EGI,K348*Subject_NRA/VLOOKUP("Effective Gross Revenue",'DCF 1'!$E$8:$I$107,2,FALSE)+0)</f>
        <v>0</v>
      </c>
      <c r="M348" s="259"/>
      <c r="N348" s="89"/>
      <c r="O348" s="652"/>
      <c r="P348" s="144"/>
      <c r="Q348" s="2544"/>
      <c r="R348" s="731"/>
      <c r="S348" s="731"/>
      <c r="T348" s="731"/>
      <c r="U348" s="731"/>
      <c r="V348" s="731"/>
    </row>
    <row r="349" spans="1:22" s="36" customFormat="1" ht="18" hidden="1" customHeight="1" x14ac:dyDescent="0.25">
      <c r="A349" s="972">
        <f>IF(Expense_Payroll_NonReimb=1,1,0)</f>
        <v>0</v>
      </c>
      <c r="B349" s="1376"/>
      <c r="C349" s="259"/>
      <c r="D349" s="3636" t="str">
        <f>dpIncome_ExpenseCat_11</f>
        <v>Payroll</v>
      </c>
      <c r="E349" s="2344">
        <f>IF(Expense_Payroll_NonReimb=1,E205,0)</f>
        <v>0</v>
      </c>
      <c r="F349" s="3429" t="e">
        <f t="shared" si="38"/>
        <v>#DIV/0!</v>
      </c>
      <c r="G349" s="2344">
        <f>IF(Expense_Payroll_NonReimb=1,G205,0)</f>
        <v>0</v>
      </c>
      <c r="H349" s="3429" t="e">
        <f t="shared" si="39"/>
        <v>#DIV/0!</v>
      </c>
      <c r="I349" s="2344">
        <f>IF(Expense_Payroll_NonReimb=1,I205,0)</f>
        <v>0</v>
      </c>
      <c r="J349" s="3429" t="e">
        <f t="shared" si="40"/>
        <v>#DIV/0!</v>
      </c>
      <c r="K349" s="2344">
        <f>IF(Expense_Payroll_NonReimb=1,IF(Income_TechniqueUsed="Direct Capitalization",dpIncome_Expense_Payroll_Stabilized,VLOOKUP(CONCATENATE("  ",D349),'DCF 1'!$E$10:$R$106,2,FALSE)/Subject_NRA),0)</f>
        <v>0</v>
      </c>
      <c r="L349" s="3429">
        <f ca="1">IF(P189="Stabilized Only",K349*Subject_NRA/dpIncome_DirectCap_EGI,K349*Subject_NRA/VLOOKUP("Effective Gross Revenue",'DCF 1'!$E$8:$I$107,2,FALSE)+0)</f>
        <v>0</v>
      </c>
      <c r="M349" s="259"/>
      <c r="N349" s="89"/>
      <c r="O349" s="652"/>
      <c r="P349" s="144"/>
      <c r="Q349" s="2544"/>
      <c r="R349" s="731"/>
      <c r="S349" s="731"/>
      <c r="T349" s="731"/>
      <c r="U349" s="731"/>
      <c r="V349" s="731"/>
    </row>
    <row r="350" spans="1:22" s="36" customFormat="1" ht="18" hidden="1" customHeight="1" x14ac:dyDescent="0.25">
      <c r="A350" s="972">
        <f>IF(Expense_Security_NonReimb=1,1,0)</f>
        <v>0</v>
      </c>
      <c r="B350" s="1376"/>
      <c r="C350" s="259"/>
      <c r="D350" s="3636" t="str">
        <f>dpIncome_ExpenseCat_12</f>
        <v>Security</v>
      </c>
      <c r="E350" s="2344">
        <f>IF(Expense_Security_NonReimb=1,E223,0)</f>
        <v>0</v>
      </c>
      <c r="F350" s="3429" t="e">
        <f t="shared" si="38"/>
        <v>#DIV/0!</v>
      </c>
      <c r="G350" s="2344">
        <f>IF(Expense_Security_NonReimb=1,G223,0)</f>
        <v>0</v>
      </c>
      <c r="H350" s="3429" t="e">
        <f t="shared" si="39"/>
        <v>#DIV/0!</v>
      </c>
      <c r="I350" s="2344">
        <f>IF(Expense_Security_NonReimb=1,I223,0)</f>
        <v>0</v>
      </c>
      <c r="J350" s="3429" t="e">
        <f t="shared" si="40"/>
        <v>#DIV/0!</v>
      </c>
      <c r="K350" s="2344">
        <f>IF(Expense_Security_NonReimb=1,IF(Income_TechniqueUsed="Direct Capitalization",dpIncome_Expense_Security_Stabilized,VLOOKUP(CONCATENATE("  ",D350),'DCF 1'!$E$10:$R$106,2,FALSE)/Subject_NRA),0)</f>
        <v>0</v>
      </c>
      <c r="L350" s="3429">
        <f ca="1">IF(P207="Stabilized Only",K350*Subject_NRA/dpIncome_DirectCap_EGI,K350*Subject_NRA/VLOOKUP("Effective Gross Revenue",'DCF 1'!$E$8:$I$107,2,FALSE)+0)</f>
        <v>0</v>
      </c>
      <c r="M350" s="259"/>
      <c r="N350" s="89"/>
      <c r="O350" s="652"/>
      <c r="P350" s="144"/>
      <c r="Q350" s="2544"/>
      <c r="R350" s="731"/>
      <c r="S350" s="731"/>
      <c r="T350" s="731"/>
      <c r="U350" s="731"/>
      <c r="V350" s="731"/>
    </row>
    <row r="351" spans="1:22" s="36" customFormat="1" ht="18" hidden="1" customHeight="1" x14ac:dyDescent="0.25">
      <c r="A351" s="972">
        <f>IF(Expense_RoadsGrounds_NonReimb=1,1,0)</f>
        <v>0</v>
      </c>
      <c r="B351" s="1376"/>
      <c r="C351" s="259"/>
      <c r="D351" s="3636" t="str">
        <f>dpIncome_ExpenseCat_13</f>
        <v>Roads &amp; Grounds</v>
      </c>
      <c r="E351" s="2344">
        <f>IF(Expense_RoadsGrounds_NonReimb=1,E241,0)</f>
        <v>0</v>
      </c>
      <c r="F351" s="3429" t="e">
        <f t="shared" si="38"/>
        <v>#DIV/0!</v>
      </c>
      <c r="G351" s="2344">
        <f>IF(Expense_RoadsGrounds_NonReimb=1,G241,0)</f>
        <v>0</v>
      </c>
      <c r="H351" s="3429" t="e">
        <f t="shared" si="39"/>
        <v>#DIV/0!</v>
      </c>
      <c r="I351" s="2344">
        <f>IF(Expense_RoadsGrounds_NonReimb=1,I241,0)</f>
        <v>0</v>
      </c>
      <c r="J351" s="3429" t="e">
        <f t="shared" si="40"/>
        <v>#DIV/0!</v>
      </c>
      <c r="K351" s="2344">
        <f>IF(Expense_RoadsGrounds_NonReimb=1,IF(Income_TechniqueUsed="Direct Capitalization",dpIncome_Expense_RG_Stabilized,VLOOKUP(CONCATENATE(" ",D351),'DCF 1'!$E$10:$R$106,2,FALSE)/Subject_NRA),0)</f>
        <v>0</v>
      </c>
      <c r="L351" s="3429">
        <f ca="1">IF(P225="Stabilized Only",K351*Subject_NRA/dpIncome_DirectCap_EGI,K351*Subject_NRA/VLOOKUP("Effective Gross Revenue",'DCF 1'!$E$8:$I$107,2,FALSE)+0)</f>
        <v>0</v>
      </c>
      <c r="M351" s="259"/>
      <c r="N351" s="89"/>
      <c r="O351" s="652"/>
      <c r="P351" s="144"/>
      <c r="Q351" s="2544"/>
      <c r="R351" s="731"/>
      <c r="S351" s="731"/>
      <c r="T351" s="731"/>
      <c r="U351" s="731"/>
      <c r="V351" s="731"/>
    </row>
    <row r="352" spans="1:22" s="36" customFormat="1" ht="18" hidden="1" customHeight="1" x14ac:dyDescent="0.25">
      <c r="A352" s="972">
        <f>IF(Expense_OtherOps_NonReimb=1,1,0)</f>
        <v>0</v>
      </c>
      <c r="B352" s="1376"/>
      <c r="C352" s="259"/>
      <c r="D352" s="3636" t="str">
        <f>dpIncome_ExpenseCat_14</f>
        <v>Other Operating Expenses</v>
      </c>
      <c r="E352" s="2344">
        <f>IF(Expense_OtherOps_NonReimb=1,E259,0)</f>
        <v>0</v>
      </c>
      <c r="F352" s="3429" t="e">
        <f t="shared" si="38"/>
        <v>#DIV/0!</v>
      </c>
      <c r="G352" s="2344">
        <f>IF(Expense_OtherOps_NonReimb=1,G259,0)</f>
        <v>0</v>
      </c>
      <c r="H352" s="3429" t="e">
        <f t="shared" si="39"/>
        <v>#DIV/0!</v>
      </c>
      <c r="I352" s="2344">
        <f>IF(Expense_OtherOps_NonReimb=1,I259,0)</f>
        <v>0</v>
      </c>
      <c r="J352" s="3429" t="e">
        <f t="shared" si="40"/>
        <v>#DIV/0!</v>
      </c>
      <c r="K352" s="2344">
        <f>IF(Expense_OtherOps_NonReimb=1,IF(Income_TechniqueUsed="Direct Capitalization",dpIncome_Expense_OtherOps_Stabilized,VLOOKUP(CONCATENATE("  ",D352),'DCF 1'!$E$10:$R$106,2,FALSE)/Subject_NRA),0)</f>
        <v>0</v>
      </c>
      <c r="L352" s="3429">
        <f ca="1">IF(P243="Stabilized Only",K352*Subject_NRA/dpIncome_DirectCap_EGI,K352*Subject_NRA/VLOOKUP("Effective Gross Revenue",'DCF 1'!$E$8:$I$107,2,FALSE)+0)</f>
        <v>0</v>
      </c>
      <c r="M352" s="259"/>
      <c r="N352" s="89"/>
      <c r="O352" s="652"/>
      <c r="P352" s="144"/>
      <c r="Q352" s="2544"/>
      <c r="R352" s="731"/>
      <c r="S352" s="731"/>
      <c r="T352" s="731"/>
      <c r="U352" s="731"/>
      <c r="V352" s="731"/>
    </row>
    <row r="353" spans="1:32" s="36" customFormat="1" ht="18" customHeight="1" x14ac:dyDescent="0.25">
      <c r="A353" s="972">
        <f>IF(Expense_LandlordCosts_NonReimb=1,IF(Expense_LandlordCosts_NonReimb=1,1,0),0)</f>
        <v>1</v>
      </c>
      <c r="B353" s="1376"/>
      <c r="C353" s="259"/>
      <c r="D353" s="3636" t="str">
        <f>dpIncome_ExpenseCat_15</f>
        <v>Landlord Costs</v>
      </c>
      <c r="E353" s="2344">
        <f>IF(Expense_LandlordCosts_NonReimb=1,E277,0)</f>
        <v>0</v>
      </c>
      <c r="F353" s="3429" t="e">
        <f t="shared" si="38"/>
        <v>#DIV/0!</v>
      </c>
      <c r="G353" s="2344">
        <f>IF(Expense_LandlordCosts_NonReimb=1,G277,0)</f>
        <v>0</v>
      </c>
      <c r="H353" s="3429" t="e">
        <f t="shared" si="39"/>
        <v>#DIV/0!</v>
      </c>
      <c r="I353" s="2344">
        <f>IF(Expense_LandlordCosts_NonReimb=1,I277,0)</f>
        <v>0</v>
      </c>
      <c r="J353" s="3429" t="e">
        <f t="shared" si="40"/>
        <v>#DIV/0!</v>
      </c>
      <c r="K353" s="2344">
        <f>IF(Expense_LandlordCosts_NonReimb=1,IF(Income_TechniqueUsed="Direct Capitalization",dpIncome_Expense_LC_Stabilized,VLOOKUP(CONCATENATE("  ",D353),'DCF 1'!$E$10:$R$106,2,FALSE)/Subject_NRA),0)</f>
        <v>0.2</v>
      </c>
      <c r="L353" s="3429">
        <f ca="1">IF(P261="Stabilized Only",K353*Subject_NRA/dpIncome_DirectCap_EGI,K353*Subject_NRA/VLOOKUP("Effective Gross Revenue",'DCF 1'!$E$8:$I$107,2,FALSE)+0)</f>
        <v>0.11820729557474123</v>
      </c>
      <c r="M353" s="259"/>
      <c r="N353" s="89"/>
      <c r="O353" s="652"/>
      <c r="P353" s="1687"/>
      <c r="Q353" s="2544"/>
      <c r="R353" s="731"/>
      <c r="S353" s="731"/>
      <c r="T353" s="731"/>
      <c r="U353" s="731"/>
      <c r="V353" s="731"/>
    </row>
    <row r="354" spans="1:32" s="36" customFormat="1" ht="18" customHeight="1" x14ac:dyDescent="0.25">
      <c r="A354" s="972">
        <f>IF(Expense_ReplacementReserves_NonReimb=1,1,0)</f>
        <v>1</v>
      </c>
      <c r="B354" s="1376"/>
      <c r="C354" s="259"/>
      <c r="D354" s="3636" t="str">
        <f>dpIncome_ExpenseCat_16</f>
        <v>Replacement Reserves</v>
      </c>
      <c r="E354" s="2344">
        <f>IF(Expense_ReplacementReserves_NonReimb=1,E295,0)</f>
        <v>0</v>
      </c>
      <c r="F354" s="3638" t="e">
        <f t="shared" si="38"/>
        <v>#DIV/0!</v>
      </c>
      <c r="G354" s="2344">
        <f>IF(Expense_ReplacementReserves_NonReimb=1,G295,0)</f>
        <v>0</v>
      </c>
      <c r="H354" s="3638" t="e">
        <f t="shared" si="39"/>
        <v>#DIV/0!</v>
      </c>
      <c r="I354" s="2344">
        <f>IF(Expense_ReplacementReserves_NonReimb=1,I295,0)</f>
        <v>0</v>
      </c>
      <c r="J354" s="3638" t="e">
        <f t="shared" si="40"/>
        <v>#DIV/0!</v>
      </c>
      <c r="K354" s="2344">
        <f>IF(Expense_ReplacementReserves_NonReimb=1,IF(Income_TechniqueUsed="Direct Capitalization",dpIncome_Expense_Reserves_Stabilized,VLOOKUP(CONCATENATE("  ",D354),'DCF 1'!$E$10:$R$106,2,FALSE)/Subject_NRA),0)</f>
        <v>0.3</v>
      </c>
      <c r="L354" s="3429">
        <f ca="1">IF(P279="Stabilized Only",K354*Subject_NRA/dpIncome_DirectCap_EGI,K354*Subject_NRA/VLOOKUP("Effective Gross Revenue",'DCF 1'!$E$8:$I$107,2,FALSE)+0)</f>
        <v>0.17731094336211181</v>
      </c>
      <c r="M354" s="259"/>
      <c r="N354" s="89"/>
      <c r="O354" s="652"/>
      <c r="P354" s="1687"/>
      <c r="Q354" s="2544"/>
      <c r="R354" s="731"/>
      <c r="S354" s="731"/>
      <c r="T354" s="731"/>
      <c r="U354" s="731"/>
      <c r="V354" s="731"/>
    </row>
    <row r="355" spans="1:32" ht="15" customHeight="1" x14ac:dyDescent="0.25">
      <c r="A355" s="957">
        <f>IF(SUM(A339:A354)=0,0,1)</f>
        <v>1</v>
      </c>
      <c r="B355" s="174"/>
      <c r="C355" s="258"/>
      <c r="D355" s="3639" t="s">
        <v>424</v>
      </c>
      <c r="E355" s="3640">
        <f t="shared" ref="E355:L355" si="41">SUBTOTAL(109,E339:E354)</f>
        <v>0</v>
      </c>
      <c r="F355" s="3641" t="e">
        <f t="shared" si="41"/>
        <v>#DIV/0!</v>
      </c>
      <c r="G355" s="3640">
        <f t="shared" si="41"/>
        <v>0</v>
      </c>
      <c r="H355" s="3641" t="e">
        <f t="shared" si="41"/>
        <v>#DIV/0!</v>
      </c>
      <c r="I355" s="3640">
        <f t="shared" si="41"/>
        <v>0</v>
      </c>
      <c r="J355" s="3641" t="e">
        <f t="shared" si="41"/>
        <v>#DIV/0!</v>
      </c>
      <c r="K355" s="3640">
        <f t="shared" si="41"/>
        <v>0.5</v>
      </c>
      <c r="L355" s="3641">
        <f t="shared" ca="1" si="41"/>
        <v>0.29551823893685303</v>
      </c>
      <c r="M355" s="258"/>
      <c r="N355" s="6"/>
      <c r="P355" s="308"/>
    </row>
    <row r="356" spans="1:32" s="36" customFormat="1" ht="18" customHeight="1" thickBot="1" x14ac:dyDescent="0.3">
      <c r="A356" s="972">
        <v>1</v>
      </c>
      <c r="B356" s="1376"/>
      <c r="C356" s="259"/>
      <c r="D356" s="3642" t="str">
        <f>IF(Income_TechniqueUsed="Direct Capitalization","Total Stabilized Expense Estimates","Total Year 1 Expense Estimate")</f>
        <v>Total Stabilized Expense Estimates</v>
      </c>
      <c r="E356" s="3643">
        <f t="shared" ref="E356:L356" si="42">E337+E355</f>
        <v>0</v>
      </c>
      <c r="F356" s="3644" t="e">
        <f t="shared" si="42"/>
        <v>#DIV/0!</v>
      </c>
      <c r="G356" s="3643">
        <f t="shared" si="42"/>
        <v>0</v>
      </c>
      <c r="H356" s="3644" t="e">
        <f t="shared" si="42"/>
        <v>#DIV/0!</v>
      </c>
      <c r="I356" s="3643">
        <f t="shared" si="42"/>
        <v>0</v>
      </c>
      <c r="J356" s="3644" t="e">
        <f t="shared" si="42"/>
        <v>#DIV/0!</v>
      </c>
      <c r="K356" s="3643">
        <f t="shared" ca="1" si="42"/>
        <v>7.5507582884019735</v>
      </c>
      <c r="L356" s="3644">
        <f t="shared" ca="1" si="42"/>
        <v>4.4627735840527949</v>
      </c>
      <c r="M356" s="259"/>
      <c r="N356" s="89"/>
      <c r="O356" s="652"/>
      <c r="P356" s="1687"/>
      <c r="Q356" s="2544"/>
      <c r="R356" s="731"/>
      <c r="S356" s="731"/>
      <c r="T356" s="731"/>
      <c r="U356" s="731"/>
      <c r="V356" s="731"/>
    </row>
    <row r="357" spans="1:32" ht="15.95" customHeight="1" thickBot="1" x14ac:dyDescent="0.3">
      <c r="A357" s="957">
        <v>1</v>
      </c>
      <c r="B357" s="175"/>
      <c r="C357" s="7"/>
      <c r="D357" s="552" t="s">
        <v>917</v>
      </c>
      <c r="E357" s="1679"/>
      <c r="F357" s="1679"/>
      <c r="G357" s="1679"/>
      <c r="H357" s="1679"/>
      <c r="I357" s="1679"/>
      <c r="J357" s="1679"/>
      <c r="K357" s="800"/>
      <c r="L357" s="800"/>
      <c r="M357" s="7"/>
      <c r="N357" s="9"/>
      <c r="P357" s="308"/>
    </row>
    <row r="358" spans="1:32" ht="15" thickBot="1" x14ac:dyDescent="0.3">
      <c r="A358" s="41">
        <v>1</v>
      </c>
      <c r="B358" s="11"/>
      <c r="C358" s="11"/>
      <c r="D358" s="11"/>
      <c r="E358" s="41">
        <f>IF(Main_ExpensePool_Count=1,0,1)</f>
        <v>0</v>
      </c>
      <c r="F358" s="41">
        <f>IF(Main_ExpensePool_Count=1,0,1)</f>
        <v>0</v>
      </c>
      <c r="G358" s="41">
        <f>IF(Main_ExpensePool_Count=1,0,1)</f>
        <v>0</v>
      </c>
      <c r="H358" s="41">
        <f>IF(Main_ExpensePool_Count=1,0,1)</f>
        <v>0</v>
      </c>
      <c r="I358" s="41">
        <f>IF(Main_ExpensePool_Count=3,1,0)</f>
        <v>0</v>
      </c>
      <c r="J358" s="41">
        <f>IF(Main_ExpensePool_Count=3,1,0)</f>
        <v>0</v>
      </c>
      <c r="K358" s="41">
        <v>1</v>
      </c>
      <c r="L358" s="41">
        <v>1</v>
      </c>
      <c r="M358" s="41">
        <v>1</v>
      </c>
      <c r="N358" s="41">
        <v>1</v>
      </c>
      <c r="O358" s="41">
        <v>1</v>
      </c>
      <c r="P358" s="41">
        <v>1</v>
      </c>
      <c r="Q358" s="41">
        <v>1</v>
      </c>
      <c r="R358" s="41">
        <v>1</v>
      </c>
      <c r="S358" s="41">
        <v>1</v>
      </c>
      <c r="T358" s="41">
        <v>1</v>
      </c>
      <c r="U358" s="41">
        <f>IF(U378="",0,1)</f>
        <v>0</v>
      </c>
      <c r="V358" s="41">
        <f t="shared" ref="V358:AC358" si="43">IF(V378="",0,1)</f>
        <v>0</v>
      </c>
      <c r="W358" s="41">
        <f t="shared" si="43"/>
        <v>0</v>
      </c>
      <c r="X358" s="41">
        <f t="shared" si="43"/>
        <v>0</v>
      </c>
      <c r="Y358" s="41">
        <f t="shared" si="43"/>
        <v>0</v>
      </c>
      <c r="Z358" s="41">
        <f t="shared" si="43"/>
        <v>0</v>
      </c>
      <c r="AA358" s="41">
        <f t="shared" si="43"/>
        <v>0</v>
      </c>
      <c r="AB358" s="41">
        <f t="shared" si="43"/>
        <v>0</v>
      </c>
      <c r="AC358" s="41">
        <f t="shared" si="43"/>
        <v>0</v>
      </c>
      <c r="AD358" s="41">
        <v>1</v>
      </c>
      <c r="AE358" s="11"/>
      <c r="AF358" s="11"/>
    </row>
    <row r="359" spans="1:32" x14ac:dyDescent="0.25">
      <c r="A359" s="957">
        <v>1</v>
      </c>
      <c r="R359" s="173"/>
      <c r="S359" s="2"/>
      <c r="T359" s="2"/>
      <c r="U359" s="123"/>
      <c r="V359" s="123"/>
      <c r="W359" s="123"/>
      <c r="X359" s="123"/>
      <c r="Y359" s="123"/>
      <c r="Z359" s="123"/>
      <c r="AA359" s="123"/>
      <c r="AB359" s="123"/>
      <c r="AC359" s="123"/>
      <c r="AD359" s="123"/>
      <c r="AE359" s="2"/>
      <c r="AF359" s="3"/>
    </row>
    <row r="360" spans="1:32" ht="16.5" x14ac:dyDescent="0.3">
      <c r="A360" s="957">
        <v>1</v>
      </c>
      <c r="R360" s="174"/>
      <c r="S360" s="51"/>
      <c r="T360" s="246" t="s">
        <v>18153</v>
      </c>
      <c r="U360" s="1074"/>
      <c r="V360" s="1074"/>
      <c r="W360" s="1074"/>
      <c r="X360" s="1074"/>
      <c r="Y360" s="1074"/>
      <c r="Z360" s="1074"/>
      <c r="AA360" s="1074"/>
      <c r="AB360" s="1074"/>
      <c r="AC360" s="1074"/>
      <c r="AD360" s="1074" t="s">
        <v>390</v>
      </c>
      <c r="AE360" s="51"/>
      <c r="AF360" s="6"/>
    </row>
    <row r="361" spans="1:32" ht="28.5" x14ac:dyDescent="0.25">
      <c r="A361" s="957">
        <v>1</v>
      </c>
      <c r="R361" s="174"/>
      <c r="S361" s="10"/>
      <c r="T361" s="12" t="s">
        <v>18151</v>
      </c>
      <c r="U361" s="634" t="s">
        <v>18154</v>
      </c>
      <c r="V361" s="634" t="s">
        <v>18155</v>
      </c>
      <c r="W361" s="634" t="s">
        <v>18156</v>
      </c>
      <c r="X361" s="634" t="s">
        <v>18157</v>
      </c>
      <c r="Y361" s="634" t="s">
        <v>18158</v>
      </c>
      <c r="Z361" s="634" t="str">
        <f>CONCATENATE("Subject - ",TEXT('Income Expense History'!E6,"MMM-YYY"))</f>
        <v>Subject - Jan-1900</v>
      </c>
      <c r="AA361" s="634" t="str">
        <f>CONCATENATE("Subject - ",TEXT('Income Expense History'!I6,"MMM-YYY"))</f>
        <v>Subject - Jan-1900</v>
      </c>
      <c r="AB361" s="634" t="str">
        <f>CONCATENATE("Subject - ",TEXT('Income Expense History'!M6,"MMM-YYY"))</f>
        <v>Subject - Jan-1900</v>
      </c>
      <c r="AC361" s="634" t="str">
        <f>CONCATENATE("Subject - ",TEXT('Income Expense History'!Q6,"MMM-YYY"))</f>
        <v>Subject - Jan-1900</v>
      </c>
      <c r="AD361" s="634" t="s">
        <v>18152</v>
      </c>
      <c r="AF361" s="6"/>
    </row>
    <row r="362" spans="1:32" ht="15" customHeight="1" x14ac:dyDescent="0.25">
      <c r="A362" s="957">
        <f>IF(P362=0,0,1)</f>
        <v>1</v>
      </c>
      <c r="P362" s="2628">
        <f>SUM(U362:AD362)</f>
        <v>5.5</v>
      </c>
      <c r="R362" s="174"/>
      <c r="S362" s="5"/>
      <c r="T362" s="2625" t="str">
        <f>dpIncome_ExpenseCat_1</f>
        <v>Real Estate Taxes</v>
      </c>
      <c r="U362" s="2622" t="str">
        <f>VLOOKUP($T362,'Expense Comps'!$D$19:$X$75,3,FALSE)</f>
        <v/>
      </c>
      <c r="V362" s="2622" t="str">
        <f>VLOOKUP($T362,'Expense Comps'!$D$19:$X$75,7,FALSE)</f>
        <v/>
      </c>
      <c r="W362" s="2622" t="str">
        <f>VLOOKUP($T362,'Expense Comps'!$D$19:$X$75,11,FALSE)</f>
        <v/>
      </c>
      <c r="X362" s="2622" t="str">
        <f>VLOOKUP($T362,'Expense Comps'!$D$19:$X$75,15,FALSE)</f>
        <v/>
      </c>
      <c r="Y362" s="2622" t="str">
        <f>VLOOKUP($T362,'Expense Comps'!$D$19:$X$75,19,FALSE)</f>
        <v/>
      </c>
      <c r="Z362" s="2622" t="str">
        <f>VLOOKUP($T362,'Income Expense History'!$D$19:$S$76,3,FALSE)</f>
        <v/>
      </c>
      <c r="AA362" s="2622" t="str">
        <f>VLOOKUP($T362,'Income Expense History'!$D$19:$S$76,7,FALSE)</f>
        <v/>
      </c>
      <c r="AB362" s="2622" t="str">
        <f>VLOOKUP($T362,'Income Expense History'!$D$19:$S$76,11,FALSE)</f>
        <v/>
      </c>
      <c r="AC362" s="2622" t="str">
        <f>VLOOKUP($T362,'Income Expense History'!$D$19:$S$76,15,FALSE)</f>
        <v/>
      </c>
      <c r="AD362" s="2632">
        <f>dpIncome_Expense_RETax_Stabilized</f>
        <v>5.5</v>
      </c>
      <c r="AE362" s="5"/>
      <c r="AF362" s="6"/>
    </row>
    <row r="363" spans="1:32" ht="15" hidden="1" customHeight="1" x14ac:dyDescent="0.25">
      <c r="A363" s="957">
        <f t="shared" ref="A363:A377" si="44">IF(P363=0,0,1)</f>
        <v>0</v>
      </c>
      <c r="P363" s="2628">
        <f t="shared" ref="P363:P377" si="45">SUM(U363:AD363)</f>
        <v>0</v>
      </c>
      <c r="R363" s="174"/>
      <c r="S363" s="5"/>
      <c r="T363" s="2625" t="str">
        <f>dpIncome_ExpenseCat_2</f>
        <v>Other Taxes</v>
      </c>
      <c r="U363" s="2622" t="str">
        <f>VLOOKUP($T363,'Expense Comps'!$D$19:$X$75,3,FALSE)</f>
        <v/>
      </c>
      <c r="V363" s="2622" t="str">
        <f>VLOOKUP($T363,'Expense Comps'!$D$19:$X$75,7,FALSE)</f>
        <v/>
      </c>
      <c r="W363" s="2622" t="str">
        <f>VLOOKUP($T363,'Expense Comps'!$D$19:$X$75,11,FALSE)</f>
        <v/>
      </c>
      <c r="X363" s="2622" t="str">
        <f>VLOOKUP($T363,'Expense Comps'!$D$19:$X$75,15,FALSE)</f>
        <v/>
      </c>
      <c r="Y363" s="2622" t="str">
        <f>VLOOKUP($T363,'Expense Comps'!$D$19:$X$75,19,FALSE)</f>
        <v/>
      </c>
      <c r="Z363" s="2622" t="str">
        <f>VLOOKUP($T363,'Income Expense History'!$D$19:$S$76,3,FALSE)</f>
        <v/>
      </c>
      <c r="AA363" s="2622" t="str">
        <f>VLOOKUP($T363,'Income Expense History'!$D$19:$S$76,7,FALSE)</f>
        <v/>
      </c>
      <c r="AB363" s="2622" t="str">
        <f>VLOOKUP($T363,'Income Expense History'!$D$19:$S$76,11,FALSE)</f>
        <v/>
      </c>
      <c r="AC363" s="2622" t="str">
        <f>VLOOKUP($T363,'Income Expense History'!$D$19:$S$76,15,FALSE)</f>
        <v/>
      </c>
      <c r="AD363" s="2632">
        <f>dpIncome_Expense_OtherTaxes_Stabilized</f>
        <v>0</v>
      </c>
      <c r="AE363" s="5"/>
      <c r="AF363" s="6"/>
    </row>
    <row r="364" spans="1:32" ht="15" customHeight="1" x14ac:dyDescent="0.25">
      <c r="A364" s="957">
        <f t="shared" si="44"/>
        <v>1</v>
      </c>
      <c r="P364" s="2628">
        <f t="shared" si="45"/>
        <v>0.5</v>
      </c>
      <c r="R364" s="174"/>
      <c r="S364" s="5"/>
      <c r="T364" s="2625" t="str">
        <f>dpIncome_ExpenseCat_3</f>
        <v>Property Insurance</v>
      </c>
      <c r="U364" s="2622" t="str">
        <f>VLOOKUP($T364,'Expense Comps'!$D$19:$X$75,3,FALSE)</f>
        <v/>
      </c>
      <c r="V364" s="2622" t="str">
        <f>VLOOKUP($T364,'Expense Comps'!$D$19:$X$75,7,FALSE)</f>
        <v/>
      </c>
      <c r="W364" s="2622" t="str">
        <f>VLOOKUP($T364,'Expense Comps'!$D$19:$X$75,11,FALSE)</f>
        <v/>
      </c>
      <c r="X364" s="2622" t="str">
        <f>VLOOKUP($T364,'Expense Comps'!$D$19:$X$75,15,FALSE)</f>
        <v/>
      </c>
      <c r="Y364" s="2622" t="str">
        <f>VLOOKUP($T364,'Expense Comps'!$D$19:$X$75,19,FALSE)</f>
        <v/>
      </c>
      <c r="Z364" s="2622" t="str">
        <f>VLOOKUP($T364,'Income Expense History'!$D$19:$S$76,3,FALSE)</f>
        <v/>
      </c>
      <c r="AA364" s="2622" t="str">
        <f>VLOOKUP($T364,'Income Expense History'!$D$19:$S$76,7,FALSE)</f>
        <v/>
      </c>
      <c r="AB364" s="2622" t="str">
        <f>VLOOKUP($T364,'Income Expense History'!$D$19:$S$76,11,FALSE)</f>
        <v/>
      </c>
      <c r="AC364" s="2622" t="str">
        <f>VLOOKUP($T364,'Income Expense History'!$D$19:$S$76,15,FALSE)</f>
        <v/>
      </c>
      <c r="AD364" s="2632">
        <f>dpIncome_Expense_Insurance_Stabilized</f>
        <v>0.5</v>
      </c>
      <c r="AE364" s="5"/>
      <c r="AF364" s="6"/>
    </row>
    <row r="365" spans="1:32" ht="15" customHeight="1" x14ac:dyDescent="0.25">
      <c r="A365" s="957">
        <f t="shared" si="44"/>
        <v>1</v>
      </c>
      <c r="P365" s="2628">
        <f t="shared" si="45"/>
        <v>0.03</v>
      </c>
      <c r="R365" s="174"/>
      <c r="S365" s="5"/>
      <c r="T365" s="2625" t="str">
        <f>CONCATENATE(dpIncome_ExpenseCat_4," (% EGI)")</f>
        <v>Management Fees (% EGI)</v>
      </c>
      <c r="U365" s="2623" t="str">
        <f>VLOOKUP(dpIncome_ExpenseCat_4,'Expense Comps'!$D$19:$X$75,4,FALSE)</f>
        <v/>
      </c>
      <c r="V365" s="2623" t="str">
        <f>VLOOKUP(dpIncome_ExpenseCat_4,'Expense Comps'!$D$19:$X$75,8,FALSE)</f>
        <v/>
      </c>
      <c r="W365" s="2623" t="str">
        <f>VLOOKUP(dpIncome_ExpenseCat_4,'Expense Comps'!$D$19:$X$75,12,FALSE)</f>
        <v/>
      </c>
      <c r="X365" s="2623" t="str">
        <f>VLOOKUP(dpIncome_ExpenseCat_4,'Expense Comps'!$D$19:$X$75,16,FALSE)</f>
        <v/>
      </c>
      <c r="Y365" s="2623" t="str">
        <f>VLOOKUP(dpIncome_ExpenseCat_4,'Expense Comps'!$D$19:$X$75,20,FALSE)</f>
        <v/>
      </c>
      <c r="Z365" s="2623" t="str">
        <f>VLOOKUP(dpIncome_ExpenseCat_4,'Income Expense History'!$D$19:$S$76,4,FALSE)</f>
        <v>N/A</v>
      </c>
      <c r="AA365" s="2623" t="str">
        <f>VLOOKUP(dpIncome_ExpenseCat_4,'Income Expense History'!$D$19:$S$76,8,FALSE)</f>
        <v>N/A</v>
      </c>
      <c r="AB365" s="2623" t="str">
        <f>VLOOKUP(dpIncome_ExpenseCat_4,'Income Expense History'!$D$19:$S$76,12,FALSE)</f>
        <v>N/A</v>
      </c>
      <c r="AC365" s="2623" t="str">
        <f>VLOOKUP(dpIncome_ExpenseCat_4,'Income Expense History'!$D$19:$S$76,16,FALSE)</f>
        <v>N/A</v>
      </c>
      <c r="AD365" s="2634">
        <f>dpIncome_Expense_MgmtFees_Stabilized</f>
        <v>0.03</v>
      </c>
      <c r="AE365" s="5"/>
      <c r="AF365" s="6"/>
    </row>
    <row r="366" spans="1:32" ht="15" hidden="1" customHeight="1" x14ac:dyDescent="0.25">
      <c r="A366" s="957">
        <f t="shared" si="44"/>
        <v>0</v>
      </c>
      <c r="P366" s="2628">
        <f t="shared" si="45"/>
        <v>0</v>
      </c>
      <c r="R366" s="174"/>
      <c r="S366" s="5"/>
      <c r="T366" s="2625" t="str">
        <f>dpIncome_ExpenseCat_5</f>
        <v>Administrative</v>
      </c>
      <c r="U366" s="2622" t="str">
        <f>VLOOKUP($T366,'Expense Comps'!$D$26:$X$75,3,FALSE)</f>
        <v/>
      </c>
      <c r="V366" s="2622" t="str">
        <f>VLOOKUP($T366,'Expense Comps'!$D$26:$X$75,7,FALSE)</f>
        <v/>
      </c>
      <c r="W366" s="2622" t="str">
        <f>VLOOKUP($T366,'Expense Comps'!$D$26:$X$75,11,FALSE)</f>
        <v/>
      </c>
      <c r="X366" s="2622" t="str">
        <f>VLOOKUP($T366,'Expense Comps'!$D$26:$X$75,15,FALSE)</f>
        <v/>
      </c>
      <c r="Y366" s="2622" t="str">
        <f>VLOOKUP($T366,'Expense Comps'!$D$26:$X$75,19,FALSE)</f>
        <v/>
      </c>
      <c r="Z366" s="2622" t="str">
        <f>VLOOKUP($T366,'Income Expense History'!$D$25:$S$76,3,FALSE)</f>
        <v/>
      </c>
      <c r="AA366" s="2622" t="str">
        <f>VLOOKUP($T366,'Income Expense History'!$D$25:$S$76,7,FALSE)</f>
        <v/>
      </c>
      <c r="AB366" s="2622" t="str">
        <f>VLOOKUP($T366,'Income Expense History'!$D$25:$S$76,11,FALSE)</f>
        <v/>
      </c>
      <c r="AC366" s="2622" t="str">
        <f>VLOOKUP($T366,'Income Expense History'!$D$25:$S$76,15,FALSE)</f>
        <v/>
      </c>
      <c r="AD366" s="2632">
        <f>dpIncome_Expense_Admin_Stabilized</f>
        <v>0</v>
      </c>
      <c r="AE366" s="5"/>
      <c r="AF366" s="6"/>
    </row>
    <row r="367" spans="1:32" ht="15" hidden="1" customHeight="1" x14ac:dyDescent="0.25">
      <c r="A367" s="957">
        <f t="shared" si="44"/>
        <v>0</v>
      </c>
      <c r="P367" s="2628">
        <f t="shared" si="45"/>
        <v>0</v>
      </c>
      <c r="R367" s="174"/>
      <c r="S367" s="5"/>
      <c r="T367" s="2625" t="str">
        <f>dpIncome_ExpenseCat_6</f>
        <v>Utilities</v>
      </c>
      <c r="U367" s="2622" t="str">
        <f>VLOOKUP($T367,'Expense Comps'!$D$30:$X$75,3,FALSE)</f>
        <v/>
      </c>
      <c r="V367" s="2622" t="str">
        <f>VLOOKUP($T367,'Expense Comps'!$D$30:$X$75,7,FALSE)</f>
        <v/>
      </c>
      <c r="W367" s="2622" t="str">
        <f>VLOOKUP($T367,'Expense Comps'!$D$30:$X$75,11,FALSE)</f>
        <v/>
      </c>
      <c r="X367" s="2622" t="str">
        <f>VLOOKUP($T367,'Expense Comps'!$D$30:$X$75,15,FALSE)</f>
        <v/>
      </c>
      <c r="Y367" s="2622" t="str">
        <f>VLOOKUP($T367,'Expense Comps'!$D$30:$X$75,19,FALSE)</f>
        <v/>
      </c>
      <c r="Z367" s="2622" t="str">
        <f>VLOOKUP($T367,'Income Expense History'!$D$30:$S$76,3,FALSE)</f>
        <v/>
      </c>
      <c r="AA367" s="2622" t="str">
        <f>VLOOKUP($T367,'Income Expense History'!$D$30:$S$76,7,FALSE)</f>
        <v/>
      </c>
      <c r="AB367" s="2622" t="str">
        <f>VLOOKUP($T367,'Income Expense History'!$D$30:$S$76,11,FALSE)</f>
        <v/>
      </c>
      <c r="AC367" s="2622" t="str">
        <f>VLOOKUP($T367,'Income Expense History'!$D$30:$S$76,15,FALSE)</f>
        <v/>
      </c>
      <c r="AD367" s="2632">
        <f>dpIncome_Expense_Utilities_Stabilized</f>
        <v>0</v>
      </c>
      <c r="AE367" s="5"/>
      <c r="AF367" s="6"/>
    </row>
    <row r="368" spans="1:32" ht="15" customHeight="1" x14ac:dyDescent="0.25">
      <c r="A368" s="957">
        <f t="shared" si="44"/>
        <v>1</v>
      </c>
      <c r="P368" s="2628">
        <f t="shared" si="45"/>
        <v>1</v>
      </c>
      <c r="R368" s="174"/>
      <c r="S368" s="5"/>
      <c r="T368" s="2625" t="str">
        <f>dpIncome_ExpenseCat_7</f>
        <v>Repairs &amp; Maintenance</v>
      </c>
      <c r="U368" s="2622" t="str">
        <f>VLOOKUP($T368,'Expense Comps'!$D$37:$X$75,3,FALSE)</f>
        <v/>
      </c>
      <c r="V368" s="2622" t="str">
        <f>VLOOKUP($T368,'Expense Comps'!$D$37:$X$75,7,FALSE)</f>
        <v/>
      </c>
      <c r="W368" s="2622" t="str">
        <f>VLOOKUP($T368,'Expense Comps'!$D$37:$X$75,11,FALSE)</f>
        <v/>
      </c>
      <c r="X368" s="2622" t="str">
        <f>VLOOKUP($T368,'Expense Comps'!$D$37:$X$75,15,FALSE)</f>
        <v/>
      </c>
      <c r="Y368" s="2622" t="str">
        <f>VLOOKUP($T368,'Expense Comps'!$D$37:$X$75,19,FALSE)</f>
        <v/>
      </c>
      <c r="Z368" s="2622" t="str">
        <f>VLOOKUP($T368,'Income Expense History'!$D$37:$S$76,3,FALSE)</f>
        <v/>
      </c>
      <c r="AA368" s="2622" t="str">
        <f>VLOOKUP($T368,'Income Expense History'!$D$37:$S$76,7,FALSE)</f>
        <v/>
      </c>
      <c r="AB368" s="2622" t="str">
        <f>VLOOKUP($T368,'Income Expense History'!$D$37:$S$76,11,FALSE)</f>
        <v/>
      </c>
      <c r="AC368" s="2622" t="str">
        <f>VLOOKUP($T368,'Income Expense History'!$D$37:$S$76,15,FALSE)</f>
        <v/>
      </c>
      <c r="AD368" s="2632">
        <f>dpIncome_Expense_RM_Stabilized</f>
        <v>1</v>
      </c>
      <c r="AE368" s="5"/>
      <c r="AF368" s="6"/>
    </row>
    <row r="369" spans="1:32" ht="15" hidden="1" customHeight="1" x14ac:dyDescent="0.25">
      <c r="A369" s="957">
        <f t="shared" si="44"/>
        <v>0</v>
      </c>
      <c r="P369" s="2628">
        <f t="shared" si="45"/>
        <v>0</v>
      </c>
      <c r="R369" s="174"/>
      <c r="S369" s="5"/>
      <c r="T369" s="2625" t="str">
        <f>dpIncome_ExpenseCat_8</f>
        <v>Common Area Maintenance</v>
      </c>
      <c r="U369" s="2622" t="str">
        <f>VLOOKUP($T369,'Expense Comps'!$D$45:$X$75,3,FALSE)</f>
        <v/>
      </c>
      <c r="V369" s="2622" t="str">
        <f>VLOOKUP($T369,'Expense Comps'!$D$45:$X$75,7,FALSE)</f>
        <v/>
      </c>
      <c r="W369" s="2622" t="str">
        <f>VLOOKUP($T369,'Expense Comps'!$D$45:$X$75,11,FALSE)</f>
        <v/>
      </c>
      <c r="X369" s="2622" t="str">
        <f>VLOOKUP($T369,'Expense Comps'!$D$45:$X$75,15,FALSE)</f>
        <v/>
      </c>
      <c r="Y369" s="2622" t="str">
        <f>VLOOKUP($T369,'Expense Comps'!$D$45:$X$75,19,FALSE)</f>
        <v/>
      </c>
      <c r="Z369" s="2622" t="str">
        <f>VLOOKUP($T369,'Income Expense History'!$D$45:$S$76,3,FALSE)</f>
        <v/>
      </c>
      <c r="AA369" s="2622" t="str">
        <f>VLOOKUP($T369,'Income Expense History'!$D$45:$S$76,7,FALSE)</f>
        <v/>
      </c>
      <c r="AB369" s="2622" t="str">
        <f>VLOOKUP($T369,'Income Expense History'!$D$45:$S$76,11,FALSE)</f>
        <v/>
      </c>
      <c r="AC369" s="2622" t="str">
        <f>VLOOKUP($T369,'Income Expense History'!$D$45:$S$76,15,FALSE)</f>
        <v/>
      </c>
      <c r="AD369" s="2632">
        <f>dpIncome_Expense_CAM_Stabilized</f>
        <v>0</v>
      </c>
      <c r="AE369" s="5"/>
      <c r="AF369" s="6"/>
    </row>
    <row r="370" spans="1:32" ht="15" hidden="1" customHeight="1" x14ac:dyDescent="0.25">
      <c r="A370" s="957">
        <f t="shared" si="44"/>
        <v>0</v>
      </c>
      <c r="P370" s="2628">
        <f t="shared" si="45"/>
        <v>0</v>
      </c>
      <c r="R370" s="174"/>
      <c r="S370" s="5"/>
      <c r="T370" s="2625" t="str">
        <f>dpIncome_ExpenseCat_9</f>
        <v>Cleaning &amp; Janitorial</v>
      </c>
      <c r="U370" s="2622" t="str">
        <f>VLOOKUP($T370,'Expense Comps'!$D$58:$X$75,3,FALSE)</f>
        <v/>
      </c>
      <c r="V370" s="2622" t="str">
        <f>VLOOKUP($T370,'Expense Comps'!$D$58:$X$75,7,FALSE)</f>
        <v/>
      </c>
      <c r="W370" s="2622" t="str">
        <f>VLOOKUP($T370,'Expense Comps'!$D$58:$X$75,11,FALSE)</f>
        <v/>
      </c>
      <c r="X370" s="2622" t="str">
        <f>VLOOKUP($T370,'Expense Comps'!$D$58:$X$75,15,FALSE)</f>
        <v/>
      </c>
      <c r="Y370" s="2622" t="str">
        <f>VLOOKUP($T370,'Expense Comps'!$D$58:$X$75,19,FALSE)</f>
        <v/>
      </c>
      <c r="Z370" s="2622" t="str">
        <f>VLOOKUP($T370,'Income Expense History'!$D$58:$S$76,3,FALSE)</f>
        <v/>
      </c>
      <c r="AA370" s="2622" t="str">
        <f>VLOOKUP($T370,'Income Expense History'!$D$58:$S$76,7,FALSE)</f>
        <v/>
      </c>
      <c r="AB370" s="2622" t="str">
        <f>VLOOKUP($T370,'Income Expense History'!$D$58:$S$76,11,FALSE)</f>
        <v/>
      </c>
      <c r="AC370" s="2622" t="str">
        <f>VLOOKUP($T370,'Income Expense History'!$D$58:$S$76,15,FALSE)</f>
        <v/>
      </c>
      <c r="AD370" s="2632">
        <f>dpIncome_Expense_CJ_Stabilized</f>
        <v>0</v>
      </c>
      <c r="AE370" s="5"/>
      <c r="AF370" s="6"/>
    </row>
    <row r="371" spans="1:32" ht="15" hidden="1" customHeight="1" x14ac:dyDescent="0.25">
      <c r="A371" s="957">
        <f t="shared" si="44"/>
        <v>0</v>
      </c>
      <c r="P371" s="2628">
        <f t="shared" si="45"/>
        <v>0</v>
      </c>
      <c r="R371" s="174"/>
      <c r="S371" s="5"/>
      <c r="T371" s="2625" t="str">
        <f>dpIncome_ExpenseCat_10</f>
        <v>Leasing Expenses</v>
      </c>
      <c r="U371" s="2622" t="str">
        <f>VLOOKUP($T371,'Expense Comps'!$D$60:$X$75,3,FALSE)</f>
        <v/>
      </c>
      <c r="V371" s="2622" t="str">
        <f>VLOOKUP($T371,'Expense Comps'!$D$60:$X$75,7,FALSE)</f>
        <v/>
      </c>
      <c r="W371" s="2622" t="str">
        <f>VLOOKUP($T371,'Expense Comps'!$D$60:$X$75,11,FALSE)</f>
        <v/>
      </c>
      <c r="X371" s="2622" t="str">
        <f>VLOOKUP($T371,'Expense Comps'!$D$60:$X$75,15,FALSE)</f>
        <v/>
      </c>
      <c r="Y371" s="2622" t="str">
        <f>VLOOKUP($T371,'Expense Comps'!$D$60:$X$75,19,FALSE)</f>
        <v/>
      </c>
      <c r="Z371" s="2622" t="str">
        <f>VLOOKUP($T371,'Income Expense History'!$D$60:$S$76,3,FALSE)</f>
        <v/>
      </c>
      <c r="AA371" s="2622" t="str">
        <f>VLOOKUP($T371,'Income Expense History'!$D$60:$S$76,7,FALSE)</f>
        <v/>
      </c>
      <c r="AB371" s="2622" t="str">
        <f>VLOOKUP($T371,'Income Expense History'!$D$60:$S$76,11,FALSE)</f>
        <v/>
      </c>
      <c r="AC371" s="2622" t="str">
        <f>VLOOKUP($T371,'Income Expense History'!$D$60:$S$76,15,FALSE)</f>
        <v/>
      </c>
      <c r="AD371" s="2632">
        <f>dpIncome_Expense_Leasing_Stabilized</f>
        <v>0</v>
      </c>
      <c r="AE371" s="5"/>
      <c r="AF371" s="6"/>
    </row>
    <row r="372" spans="1:32" ht="15" hidden="1" customHeight="1" x14ac:dyDescent="0.25">
      <c r="A372" s="957">
        <f t="shared" si="44"/>
        <v>0</v>
      </c>
      <c r="P372" s="2628">
        <f t="shared" si="45"/>
        <v>0</v>
      </c>
      <c r="R372" s="174"/>
      <c r="S372" s="5"/>
      <c r="T372" s="2625" t="str">
        <f>dpIncome_ExpenseCat_11</f>
        <v>Payroll</v>
      </c>
      <c r="U372" s="2622" t="str">
        <f>VLOOKUP($T372,'Expense Comps'!$D$65:$X$75,3,FALSE)</f>
        <v/>
      </c>
      <c r="V372" s="2622" t="str">
        <f>VLOOKUP($T372,'Expense Comps'!$D$65:$X$75,7,FALSE)</f>
        <v/>
      </c>
      <c r="W372" s="2622" t="str">
        <f>VLOOKUP($T372,'Expense Comps'!$D$65:$X$75,11,FALSE)</f>
        <v/>
      </c>
      <c r="X372" s="2622" t="str">
        <f>VLOOKUP($T372,'Expense Comps'!$D$65:$X$75,15,FALSE)</f>
        <v/>
      </c>
      <c r="Y372" s="2622" t="str">
        <f>VLOOKUP($T372,'Expense Comps'!$D$65:$X$75,19,FALSE)</f>
        <v/>
      </c>
      <c r="Z372" s="2622" t="str">
        <f>VLOOKUP($T372,'Income Expense History'!$D$65:$S$76,3,FALSE)</f>
        <v/>
      </c>
      <c r="AA372" s="2622" t="str">
        <f>VLOOKUP($T372,'Income Expense History'!$D$65:$S$76,7,FALSE)</f>
        <v/>
      </c>
      <c r="AB372" s="2622" t="str">
        <f>VLOOKUP($T372,'Income Expense History'!$D$65:$S$76,11,FALSE)</f>
        <v/>
      </c>
      <c r="AC372" s="2622" t="str">
        <f>VLOOKUP($T372,'Income Expense History'!$D$65:$S$76,15,FALSE)</f>
        <v/>
      </c>
      <c r="AD372" s="2632">
        <f>dpIncome_Expense_Payroll_Stabilized</f>
        <v>0</v>
      </c>
      <c r="AE372" s="5"/>
      <c r="AF372" s="6"/>
    </row>
    <row r="373" spans="1:32" ht="15" hidden="1" customHeight="1" x14ac:dyDescent="0.25">
      <c r="A373" s="957">
        <f t="shared" si="44"/>
        <v>0</v>
      </c>
      <c r="P373" s="2628">
        <f t="shared" si="45"/>
        <v>0</v>
      </c>
      <c r="R373" s="174"/>
      <c r="S373" s="5"/>
      <c r="T373" s="2625" t="str">
        <f>dpIncome_ExpenseCat_12</f>
        <v>Security</v>
      </c>
      <c r="U373" s="2622" t="str">
        <f>VLOOKUP($T373,'Expense Comps'!$D$65:$X$75,3,FALSE)</f>
        <v/>
      </c>
      <c r="V373" s="2622" t="str">
        <f>VLOOKUP($T373,'Expense Comps'!$D$65:$X$75,7,FALSE)</f>
        <v/>
      </c>
      <c r="W373" s="2622" t="str">
        <f>VLOOKUP($T373,'Expense Comps'!$D$65:$X$75,11,FALSE)</f>
        <v/>
      </c>
      <c r="X373" s="2622" t="str">
        <f>VLOOKUP($T373,'Expense Comps'!$D$65:$X$75,15,FALSE)</f>
        <v/>
      </c>
      <c r="Y373" s="2622" t="str">
        <f>VLOOKUP($T373,'Expense Comps'!$D$65:$X$75,19,FALSE)</f>
        <v/>
      </c>
      <c r="Z373" s="2622" t="str">
        <f>VLOOKUP($T373,'Income Expense History'!$D$65:$S$76,3,FALSE)</f>
        <v/>
      </c>
      <c r="AA373" s="2622" t="str">
        <f>VLOOKUP($T373,'Income Expense History'!$D$65:$S$76,7,FALSE)</f>
        <v/>
      </c>
      <c r="AB373" s="2622" t="str">
        <f>VLOOKUP($T373,'Income Expense History'!$D$65:$S$76,11,FALSE)</f>
        <v/>
      </c>
      <c r="AC373" s="2622" t="str">
        <f>VLOOKUP($T373,'Income Expense History'!$D$65:$S$76,15,FALSE)</f>
        <v/>
      </c>
      <c r="AD373" s="2632">
        <f>dpIncome_Expense_Security_Stabilized</f>
        <v>0</v>
      </c>
      <c r="AE373" s="5"/>
      <c r="AF373" s="6"/>
    </row>
    <row r="374" spans="1:32" ht="15" hidden="1" customHeight="1" x14ac:dyDescent="0.25">
      <c r="A374" s="957">
        <f t="shared" si="44"/>
        <v>0</v>
      </c>
      <c r="P374" s="2628">
        <f t="shared" si="45"/>
        <v>0</v>
      </c>
      <c r="R374" s="174"/>
      <c r="S374" s="5"/>
      <c r="T374" s="2625" t="str">
        <f>dpIncome_ExpenseCat_13</f>
        <v>Roads &amp; Grounds</v>
      </c>
      <c r="U374" s="2622" t="str">
        <f>VLOOKUP($T374,'Expense Comps'!$D$65:$X$75,3,FALSE)</f>
        <v/>
      </c>
      <c r="V374" s="2622" t="str">
        <f>VLOOKUP($T374,'Expense Comps'!$D$65:$X$75,7,FALSE)</f>
        <v/>
      </c>
      <c r="W374" s="2622" t="str">
        <f>VLOOKUP($T374,'Expense Comps'!$D$65:$X$75,11,FALSE)</f>
        <v/>
      </c>
      <c r="X374" s="2622" t="str">
        <f>VLOOKUP($T374,'Expense Comps'!$D$65:$X$75,15,FALSE)</f>
        <v/>
      </c>
      <c r="Y374" s="2622" t="str">
        <f>VLOOKUP($T374,'Expense Comps'!$D$65:$X$75,19,FALSE)</f>
        <v/>
      </c>
      <c r="Z374" s="2622" t="str">
        <f>VLOOKUP($T374,'Income Expense History'!$D$65:$S$76,3,FALSE)</f>
        <v/>
      </c>
      <c r="AA374" s="2622" t="str">
        <f>VLOOKUP($T374,'Income Expense History'!$D$65:$S$76,7,FALSE)</f>
        <v/>
      </c>
      <c r="AB374" s="2622" t="str">
        <f>VLOOKUP($T374,'Income Expense History'!$D$65:$S$76,11,FALSE)</f>
        <v/>
      </c>
      <c r="AC374" s="2622" t="str">
        <f>VLOOKUP($T374,'Income Expense History'!$D$65:$S$76,15,FALSE)</f>
        <v/>
      </c>
      <c r="AD374" s="2632">
        <f>dpIncome_Expense_RG_Stabilized</f>
        <v>0</v>
      </c>
      <c r="AE374" s="5"/>
      <c r="AF374" s="6"/>
    </row>
    <row r="375" spans="1:32" ht="15" hidden="1" customHeight="1" x14ac:dyDescent="0.25">
      <c r="A375" s="957">
        <f t="shared" si="44"/>
        <v>0</v>
      </c>
      <c r="P375" s="2628">
        <f t="shared" si="45"/>
        <v>0</v>
      </c>
      <c r="R375" s="174"/>
      <c r="S375" s="5"/>
      <c r="T375" s="2625" t="str">
        <f>dpIncome_ExpenseCat_14</f>
        <v>Other Operating Expenses</v>
      </c>
      <c r="U375" s="2622" t="str">
        <f>VLOOKUP($T375,'Expense Comps'!$D$65:$X$75,3,FALSE)</f>
        <v/>
      </c>
      <c r="V375" s="2622" t="str">
        <f>VLOOKUP($T375,'Expense Comps'!$D$65:$X$75,7,FALSE)</f>
        <v/>
      </c>
      <c r="W375" s="2622" t="str">
        <f>VLOOKUP($T375,'Expense Comps'!$D$65:$X$75,11,FALSE)</f>
        <v/>
      </c>
      <c r="X375" s="2622" t="str">
        <f>VLOOKUP($T375,'Expense Comps'!$D$65:$X$75,15,FALSE)</f>
        <v/>
      </c>
      <c r="Y375" s="2622" t="str">
        <f>VLOOKUP($T375,'Expense Comps'!$D$65:$X$75,19,FALSE)</f>
        <v/>
      </c>
      <c r="Z375" s="2622" t="str">
        <f>VLOOKUP($T375,'Income Expense History'!$D$65:$S$76,3,FALSE)</f>
        <v/>
      </c>
      <c r="AA375" s="2622" t="str">
        <f>VLOOKUP($T375,'Income Expense History'!$D$65:$S$76,7,FALSE)</f>
        <v/>
      </c>
      <c r="AB375" s="2622" t="str">
        <f>VLOOKUP($T375,'Income Expense History'!$D$65:$S$76,11,FALSE)</f>
        <v/>
      </c>
      <c r="AC375" s="2622" t="str">
        <f>VLOOKUP($T375,'Income Expense History'!$D$65:$S$76,15,FALSE)</f>
        <v/>
      </c>
      <c r="AD375" s="2632">
        <f>dpIncome_Expense_OtherOps_Stabilized</f>
        <v>0</v>
      </c>
      <c r="AE375" s="5"/>
      <c r="AF375" s="6"/>
    </row>
    <row r="376" spans="1:32" ht="15" customHeight="1" x14ac:dyDescent="0.25">
      <c r="A376" s="957">
        <f t="shared" si="44"/>
        <v>1</v>
      </c>
      <c r="P376" s="2628">
        <f t="shared" si="45"/>
        <v>0.2</v>
      </c>
      <c r="R376" s="174"/>
      <c r="S376" s="5"/>
      <c r="T376" s="2625" t="str">
        <f>dpIncome_ExpenseCat_15</f>
        <v>Landlord Costs</v>
      </c>
      <c r="U376" s="2622" t="str">
        <f>VLOOKUP($T376,'Expense Comps'!$D$65:$X$75,3,FALSE)</f>
        <v/>
      </c>
      <c r="V376" s="2622" t="str">
        <f>VLOOKUP($T376,'Expense Comps'!$D$65:$X$75,7,FALSE)</f>
        <v/>
      </c>
      <c r="W376" s="2622" t="str">
        <f>VLOOKUP($T376,'Expense Comps'!$D$65:$X$75,11,FALSE)</f>
        <v/>
      </c>
      <c r="X376" s="2622" t="str">
        <f>VLOOKUP($T376,'Expense Comps'!$D$65:$X$75,15,FALSE)</f>
        <v/>
      </c>
      <c r="Y376" s="2622" t="str">
        <f>VLOOKUP($T376,'Expense Comps'!$D$65:$X$75,19,FALSE)</f>
        <v/>
      </c>
      <c r="Z376" s="2622" t="str">
        <f>VLOOKUP($T376,'Income Expense History'!$D$65:$S$76,3,FALSE)</f>
        <v/>
      </c>
      <c r="AA376" s="2622" t="str">
        <f>VLOOKUP($T376,'Income Expense History'!$D$65:$S$76,7,FALSE)</f>
        <v/>
      </c>
      <c r="AB376" s="2622" t="str">
        <f>VLOOKUP($T376,'Income Expense History'!$D$65:$S$76,11,FALSE)</f>
        <v/>
      </c>
      <c r="AC376" s="2622" t="str">
        <f>VLOOKUP($T376,'Income Expense History'!$D$65:$S$76,15,FALSE)</f>
        <v/>
      </c>
      <c r="AD376" s="2632">
        <f>dpIncome_Expense_LC_Stabilized</f>
        <v>0.2</v>
      </c>
      <c r="AE376" s="5"/>
      <c r="AF376" s="6"/>
    </row>
    <row r="377" spans="1:32" ht="15" customHeight="1" x14ac:dyDescent="0.25">
      <c r="A377" s="957">
        <f t="shared" si="44"/>
        <v>1</v>
      </c>
      <c r="P377" s="2628">
        <f t="shared" si="45"/>
        <v>0.3</v>
      </c>
      <c r="R377" s="174"/>
      <c r="S377" s="5"/>
      <c r="T377" s="2625" t="str">
        <f>dpIncome_ExpenseCat_16</f>
        <v>Replacement Reserves</v>
      </c>
      <c r="U377" s="2622" t="str">
        <f>VLOOKUP($T377,'Expense Comps'!$D$65:$X$75,3,FALSE)</f>
        <v/>
      </c>
      <c r="V377" s="2622" t="str">
        <f>VLOOKUP($T377,'Expense Comps'!$D$65:$X$75,7,FALSE)</f>
        <v/>
      </c>
      <c r="W377" s="2622" t="str">
        <f>VLOOKUP($T377,'Expense Comps'!$D$65:$X$75,11,FALSE)</f>
        <v/>
      </c>
      <c r="X377" s="2622" t="str">
        <f>VLOOKUP($T377,'Expense Comps'!$D$65:$X$75,15,FALSE)</f>
        <v/>
      </c>
      <c r="Y377" s="2622" t="str">
        <f>VLOOKUP($T377,'Expense Comps'!$D$65:$X$75,19,FALSE)</f>
        <v/>
      </c>
      <c r="Z377" s="2622" t="str">
        <f>VLOOKUP($T377,'Income Expense History'!$D$65:$S$76,3,FALSE)</f>
        <v/>
      </c>
      <c r="AA377" s="2622" t="str">
        <f>VLOOKUP($T377,'Income Expense History'!$D$65:$S$76,7,FALSE)</f>
        <v/>
      </c>
      <c r="AB377" s="2622" t="str">
        <f>VLOOKUP($T377,'Income Expense History'!$D$65:$S$76,11,FALSE)</f>
        <v/>
      </c>
      <c r="AC377" s="2622" t="str">
        <f>VLOOKUP($T377,'Income Expense History'!$D$65:$S$76,15,FALSE)</f>
        <v/>
      </c>
      <c r="AD377" s="2632">
        <f>dpIncome_Expense_Reserves_Stabilized</f>
        <v>0.3</v>
      </c>
      <c r="AE377" s="5"/>
      <c r="AF377" s="6"/>
    </row>
    <row r="378" spans="1:32" ht="15" customHeight="1" thickBot="1" x14ac:dyDescent="0.3">
      <c r="A378" s="957">
        <v>1</v>
      </c>
      <c r="R378" s="174"/>
      <c r="S378" s="5"/>
      <c r="T378" s="2626" t="s">
        <v>371</v>
      </c>
      <c r="U378" s="2624" t="str">
        <f>VLOOKUP($T378,'Expense Comps'!$D$65:$X$75,3,FALSE)</f>
        <v/>
      </c>
      <c r="V378" s="2624" t="str">
        <f>VLOOKUP($T378,'Expense Comps'!$D$65:$X$75,7,FALSE)</f>
        <v/>
      </c>
      <c r="W378" s="2624" t="str">
        <f>VLOOKUP($T378,'Expense Comps'!$D$65:$X$75,11,FALSE)</f>
        <v/>
      </c>
      <c r="X378" s="2624" t="str">
        <f>VLOOKUP($T378,'Expense Comps'!$D$65:$X$75,15,FALSE)</f>
        <v/>
      </c>
      <c r="Y378" s="2624" t="str">
        <f>VLOOKUP($T378,'Expense Comps'!$D$65:$X$75,19,FALSE)</f>
        <v/>
      </c>
      <c r="Z378" s="2624" t="str">
        <f>IF(VLOOKUP($T378,'Income Expense History'!$D$65:$S$76,2,FALSE)=0,"",VLOOKUP($T378,'Income Expense History'!$D$65:$S$76,3,FALSE))</f>
        <v/>
      </c>
      <c r="AA378" s="2624" t="str">
        <f>IF(VLOOKUP($T378,'Income Expense History'!$D$65:$S$76,6,FALSE)=0,"",VLOOKUP($T378,'Income Expense History'!$D$65:$S$76,7,FALSE))</f>
        <v/>
      </c>
      <c r="AB378" s="2624" t="str">
        <f>IF(VLOOKUP($T378,'Income Expense History'!$D$65:$S$76,10,FALSE)=0,"",VLOOKUP($T378,'Income Expense History'!$D$65:$S$76,11,FALSE))</f>
        <v/>
      </c>
      <c r="AC378" s="2624" t="str">
        <f>IF(VLOOKUP($T378,'Income Expense History'!$D$65:$S$76,14,FALSE)=0,"",VLOOKUP($T378,'Income Expense History'!$D$65:$S$76,15,FALSE))</f>
        <v/>
      </c>
      <c r="AD378" s="2633">
        <f ca="1">dpIncome_Expense_TotalPSF</f>
        <v>7.5507582884019735</v>
      </c>
      <c r="AE378" s="5"/>
      <c r="AF378" s="6"/>
    </row>
    <row r="379" spans="1:32" ht="15" thickBot="1" x14ac:dyDescent="0.3">
      <c r="R379" s="2617"/>
      <c r="S379" s="2618"/>
      <c r="T379" s="2627" t="s">
        <v>18159</v>
      </c>
      <c r="U379" s="2619"/>
      <c r="V379" s="2619"/>
      <c r="W379" s="2619"/>
      <c r="X379" s="2619"/>
      <c r="Y379" s="2619"/>
      <c r="Z379" s="2619"/>
      <c r="AA379" s="2619"/>
      <c r="AB379" s="2619"/>
      <c r="AC379" s="2619"/>
      <c r="AD379" s="2620"/>
      <c r="AE379" s="2618"/>
      <c r="AF379" s="2621"/>
    </row>
    <row r="380" spans="1:32" ht="15" thickTop="1" x14ac:dyDescent="0.25"/>
  </sheetData>
  <mergeCells count="105">
    <mergeCell ref="E2:F2"/>
    <mergeCell ref="G2:H2"/>
    <mergeCell ref="I2:J2"/>
    <mergeCell ref="I7:J7"/>
    <mergeCell ref="G7:H7"/>
    <mergeCell ref="E7:F7"/>
    <mergeCell ref="I6:J6"/>
    <mergeCell ref="G6:H6"/>
    <mergeCell ref="E6:F6"/>
    <mergeCell ref="I5:J5"/>
    <mergeCell ref="G5:H5"/>
    <mergeCell ref="E5:F5"/>
    <mergeCell ref="E45:F45"/>
    <mergeCell ref="E28:F28"/>
    <mergeCell ref="G28:H28"/>
    <mergeCell ref="I28:J28"/>
    <mergeCell ref="E3:F3"/>
    <mergeCell ref="G3:H3"/>
    <mergeCell ref="I3:J3"/>
    <mergeCell ref="K28:L28"/>
    <mergeCell ref="E9:F9"/>
    <mergeCell ref="E10:F10"/>
    <mergeCell ref="G10:H10"/>
    <mergeCell ref="I10:J10"/>
    <mergeCell ref="K10:L10"/>
    <mergeCell ref="E4:F4"/>
    <mergeCell ref="G4:H4"/>
    <mergeCell ref="I4:J4"/>
    <mergeCell ref="E27:F27"/>
    <mergeCell ref="K46:L46"/>
    <mergeCell ref="E64:F64"/>
    <mergeCell ref="G64:H64"/>
    <mergeCell ref="I64:J64"/>
    <mergeCell ref="K64:L64"/>
    <mergeCell ref="E63:F63"/>
    <mergeCell ref="G82:H82"/>
    <mergeCell ref="I82:J82"/>
    <mergeCell ref="K82:L82"/>
    <mergeCell ref="E46:F46"/>
    <mergeCell ref="G46:H46"/>
    <mergeCell ref="I46:J46"/>
    <mergeCell ref="G190:H190"/>
    <mergeCell ref="I190:J190"/>
    <mergeCell ref="E100:F100"/>
    <mergeCell ref="G100:H100"/>
    <mergeCell ref="I100:J100"/>
    <mergeCell ref="K100:L100"/>
    <mergeCell ref="E118:F118"/>
    <mergeCell ref="G118:H118"/>
    <mergeCell ref="I118:J118"/>
    <mergeCell ref="K118:L118"/>
    <mergeCell ref="E136:F136"/>
    <mergeCell ref="G136:H136"/>
    <mergeCell ref="I136:J136"/>
    <mergeCell ref="K136:L136"/>
    <mergeCell ref="E135:F135"/>
    <mergeCell ref="E318:F318"/>
    <mergeCell ref="G318:H318"/>
    <mergeCell ref="I318:J318"/>
    <mergeCell ref="K318:L318"/>
    <mergeCell ref="E262:F262"/>
    <mergeCell ref="G262:H262"/>
    <mergeCell ref="I262:J262"/>
    <mergeCell ref="K262:L262"/>
    <mergeCell ref="E280:F280"/>
    <mergeCell ref="G280:H280"/>
    <mergeCell ref="I280:J280"/>
    <mergeCell ref="K280:L280"/>
    <mergeCell ref="E298:F298"/>
    <mergeCell ref="G298:H298"/>
    <mergeCell ref="I298:J298"/>
    <mergeCell ref="K298:L298"/>
    <mergeCell ref="G226:H226"/>
    <mergeCell ref="I226:J226"/>
    <mergeCell ref="K226:L226"/>
    <mergeCell ref="E244:F244"/>
    <mergeCell ref="G244:H244"/>
    <mergeCell ref="I244:J244"/>
    <mergeCell ref="K244:L244"/>
    <mergeCell ref="E81:F81"/>
    <mergeCell ref="E99:F99"/>
    <mergeCell ref="E117:F117"/>
    <mergeCell ref="E82:F82"/>
    <mergeCell ref="G154:H154"/>
    <mergeCell ref="I154:J154"/>
    <mergeCell ref="K154:L154"/>
    <mergeCell ref="E172:F172"/>
    <mergeCell ref="G172:H172"/>
    <mergeCell ref="I172:J172"/>
    <mergeCell ref="K172:L172"/>
    <mergeCell ref="K190:L190"/>
    <mergeCell ref="E208:F208"/>
    <mergeCell ref="G208:H208"/>
    <mergeCell ref="I208:J208"/>
    <mergeCell ref="K208:L208"/>
    <mergeCell ref="E190:F190"/>
    <mergeCell ref="E261:F261"/>
    <mergeCell ref="E153:F153"/>
    <mergeCell ref="E171:F171"/>
    <mergeCell ref="E189:F189"/>
    <mergeCell ref="E207:F207"/>
    <mergeCell ref="E225:F225"/>
    <mergeCell ref="E243:F243"/>
    <mergeCell ref="E154:F154"/>
    <mergeCell ref="E226:F226"/>
  </mergeCell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error="Invalid Option - Please Select from the List" prompt="Select Required Estimate Periods" xr:uid="{00000000-0002-0000-3400-000000000000}">
          <x14:formula1>
            <xm:f>'Selection Tables'!$V$14:$V$18</xm:f>
          </x14:formula1>
          <xm:sqref>P263 P281 P245 P227 P209 P191 P173 P155 P137 P119 P101 P83 P65 P47 P29 P11 P9 P27 P45 P63 P81 P99 P117 P135 P153 P171 P189 P207 P225 P243 P261 P279 P297 P299</xm:sqref>
        </x14:dataValidation>
      </x14:dataValidations>
    </ext>
  </extLs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0">
    <tabColor theme="5" tint="-0.249977111117893"/>
    <pageSetUpPr fitToPage="1"/>
  </sheetPr>
  <dimension ref="A1:CA102"/>
  <sheetViews>
    <sheetView zoomScaleNormal="100" workbookViewId="0">
      <selection activeCell="D4" sqref="D4"/>
    </sheetView>
  </sheetViews>
  <sheetFormatPr defaultColWidth="9.140625" defaultRowHeight="15" customHeight="1" x14ac:dyDescent="0.25"/>
  <cols>
    <col min="1" max="1" width="5.7109375" style="10" customWidth="1"/>
    <col min="2" max="2" width="1.7109375" style="10" customWidth="1"/>
    <col min="3" max="3" width="0.85546875" style="10" customWidth="1"/>
    <col min="4" max="4" width="6.7109375" style="24" customWidth="1"/>
    <col min="5" max="5" width="12.85546875" style="24" bestFit="1" customWidth="1"/>
    <col min="6" max="6" width="8.5703125" style="24" bestFit="1" customWidth="1"/>
    <col min="7" max="7" width="18.42578125" style="24" bestFit="1" customWidth="1"/>
    <col min="8" max="8" width="13.7109375" style="24" bestFit="1" customWidth="1"/>
    <col min="9" max="9" width="5.7109375" style="37" bestFit="1" customWidth="1"/>
    <col min="10" max="10" width="5.140625" style="37" hidden="1" customWidth="1"/>
    <col min="11" max="11" width="6.42578125" style="37" hidden="1" customWidth="1"/>
    <col min="12" max="12" width="10.42578125" style="37" hidden="1" customWidth="1"/>
    <col min="13" max="13" width="9.5703125" style="37" hidden="1" customWidth="1"/>
    <col min="14" max="14" width="10.42578125" style="37" hidden="1" customWidth="1"/>
    <col min="15" max="15" width="6.5703125" style="37" bestFit="1" customWidth="1"/>
    <col min="16" max="17" width="9.5703125" style="37" hidden="1" customWidth="1"/>
    <col min="18" max="19" width="11" style="37" hidden="1" customWidth="1"/>
    <col min="20" max="20" width="6.5703125" style="37" hidden="1" customWidth="1"/>
    <col min="21" max="21" width="9.5703125" style="37" hidden="1" customWidth="1"/>
    <col min="22" max="22" width="9.85546875" style="37" hidden="1" customWidth="1"/>
    <col min="23" max="23" width="0.85546875" style="10" customWidth="1"/>
    <col min="24" max="25" width="1.7109375" style="10" customWidth="1"/>
    <col min="26" max="26" width="11.7109375" style="10" customWidth="1"/>
    <col min="27" max="27" width="7.7109375" style="10" customWidth="1"/>
    <col min="28" max="28" width="1.7109375" style="10" customWidth="1"/>
    <col min="29" max="29" width="7.7109375" style="10" customWidth="1"/>
    <col min="30" max="30" width="1.7109375" style="10" customWidth="1"/>
    <col min="31" max="31" width="16.7109375" style="10" customWidth="1"/>
    <col min="32" max="33" width="1.7109375" style="10" customWidth="1"/>
    <col min="34" max="34" width="0.85546875" style="10" customWidth="1"/>
    <col min="35" max="35" width="6.7109375" style="10" customWidth="1"/>
    <col min="36" max="36" width="11.7109375" style="10" bestFit="1" customWidth="1"/>
    <col min="37" max="37" width="8.5703125" style="10" bestFit="1" customWidth="1"/>
    <col min="38" max="38" width="8.5703125" style="10" customWidth="1"/>
    <col min="39" max="39" width="2" style="10" bestFit="1" customWidth="1"/>
    <col min="40" max="40" width="5.140625" style="10" bestFit="1" customWidth="1"/>
    <col min="41" max="41" width="5.140625" style="10" hidden="1" customWidth="1"/>
    <col min="42" max="42" width="6.42578125" style="10" hidden="1" customWidth="1"/>
    <col min="43" max="43" width="10.42578125" style="10" bestFit="1" customWidth="1"/>
    <col min="44" max="44" width="9.5703125" style="10" hidden="1" customWidth="1"/>
    <col min="45" max="45" width="10.42578125" style="10" bestFit="1" customWidth="1"/>
    <col min="46" max="46" width="6.5703125" style="10" hidden="1" customWidth="1"/>
    <col min="47" max="47" width="9.5703125" style="10" hidden="1" customWidth="1"/>
    <col min="48" max="48" width="9.5703125" style="10" bestFit="1" customWidth="1"/>
    <col min="49" max="50" width="11" style="10" hidden="1" customWidth="1"/>
    <col min="51" max="51" width="6.5703125" style="10" hidden="1" customWidth="1"/>
    <col min="52" max="52" width="9.5703125" style="10" hidden="1" customWidth="1"/>
    <col min="53" max="53" width="6.7109375" style="10" hidden="1" customWidth="1"/>
    <col min="54" max="54" width="0.85546875" style="10" customWidth="1"/>
    <col min="55" max="57" width="1.7109375" style="10" customWidth="1"/>
    <col min="58" max="58" width="0.85546875" style="10" customWidth="1"/>
    <col min="59" max="59" width="6.7109375" style="10" customWidth="1"/>
    <col min="60" max="60" width="11.7109375" style="10" bestFit="1" customWidth="1"/>
    <col min="61" max="61" width="8.5703125" style="10" bestFit="1" customWidth="1"/>
    <col min="62" max="62" width="8.5703125" style="10" customWidth="1"/>
    <col min="63" max="63" width="2" style="10" bestFit="1" customWidth="1"/>
    <col min="64" max="64" width="5.140625" style="10" bestFit="1" customWidth="1"/>
    <col min="65" max="65" width="5.140625" style="10" hidden="1" customWidth="1"/>
    <col min="66" max="66" width="6.42578125" style="10" hidden="1" customWidth="1"/>
    <col min="67" max="67" width="10.42578125" style="10" bestFit="1" customWidth="1"/>
    <col min="68" max="68" width="9.5703125" style="10" hidden="1" customWidth="1"/>
    <col min="69" max="69" width="10.42578125" style="10" bestFit="1" customWidth="1"/>
    <col min="70" max="70" width="6.5703125" style="10" hidden="1" customWidth="1"/>
    <col min="71" max="71" width="9.5703125" style="10" hidden="1" customWidth="1"/>
    <col min="72" max="72" width="9.5703125" style="10" bestFit="1" customWidth="1"/>
    <col min="73" max="74" width="11" style="10" hidden="1" customWidth="1"/>
    <col min="75" max="75" width="6.5703125" style="10" hidden="1" customWidth="1"/>
    <col min="76" max="76" width="9.5703125" style="10" hidden="1" customWidth="1"/>
    <col min="77" max="77" width="6.7109375" style="10" hidden="1" customWidth="1"/>
    <col min="78" max="78" width="0.85546875" style="10" customWidth="1"/>
    <col min="79" max="79" width="1.7109375" style="10" customWidth="1"/>
    <col min="80" max="16384" width="9.140625" style="10"/>
  </cols>
  <sheetData>
    <row r="1" spans="1:35" ht="60" customHeight="1" x14ac:dyDescent="0.25">
      <c r="C1" s="10">
        <v>0</v>
      </c>
    </row>
    <row r="2" spans="1:35" ht="69.95" customHeight="1" thickBot="1" x14ac:dyDescent="0.3">
      <c r="Z2" s="37"/>
      <c r="AA2" s="37"/>
      <c r="AB2" s="37"/>
      <c r="AC2" s="37"/>
      <c r="AD2" s="37"/>
      <c r="AE2" s="37"/>
      <c r="AF2" s="37"/>
      <c r="AG2" s="37"/>
      <c r="AH2" s="37"/>
      <c r="AI2" s="37"/>
    </row>
    <row r="3" spans="1:35" ht="29.25" customHeight="1" thickBot="1" x14ac:dyDescent="0.3">
      <c r="A3" s="41"/>
      <c r="Z3" s="4313" t="s">
        <v>636</v>
      </c>
      <c r="AA3" s="4311"/>
      <c r="AB3" s="4311"/>
      <c r="AC3" s="4311"/>
      <c r="AD3" s="2103"/>
      <c r="AE3" s="4311" t="s">
        <v>1414</v>
      </c>
      <c r="AF3" s="380"/>
    </row>
    <row r="4" spans="1:35" ht="15" customHeight="1" x14ac:dyDescent="0.25">
      <c r="B4" s="1"/>
      <c r="C4" s="2"/>
      <c r="D4" s="25"/>
      <c r="E4" s="25"/>
      <c r="F4" s="25"/>
      <c r="G4" s="25"/>
      <c r="H4" s="25"/>
      <c r="I4" s="123"/>
      <c r="J4" s="123"/>
      <c r="K4" s="123"/>
      <c r="L4" s="123"/>
      <c r="M4" s="123"/>
      <c r="N4" s="123"/>
      <c r="O4" s="123"/>
      <c r="P4" s="123"/>
      <c r="Q4" s="123"/>
      <c r="R4" s="123"/>
      <c r="S4" s="123"/>
      <c r="T4" s="123"/>
      <c r="U4" s="123"/>
      <c r="V4" s="123"/>
      <c r="W4" s="2"/>
      <c r="X4" s="2"/>
      <c r="Y4" s="228"/>
      <c r="Z4" s="2107"/>
      <c r="AA4" s="2102" t="s">
        <v>637</v>
      </c>
      <c r="AB4" s="2104"/>
      <c r="AC4" s="2102" t="s">
        <v>638</v>
      </c>
      <c r="AD4" s="2104"/>
      <c r="AE4" s="4312"/>
      <c r="AF4" s="127"/>
    </row>
    <row r="5" spans="1:35" ht="16.5" x14ac:dyDescent="0.25">
      <c r="B5" s="4"/>
      <c r="C5" s="51"/>
      <c r="D5" s="3758" t="str">
        <f>IF(Main_GroundLease=FALSE,"Market Overall Capitalization Rate (OAR) Comparables","Market Land Capitalization Rate Comparables")</f>
        <v>Market Overall Capitalization Rate (OAR) Comparables</v>
      </c>
      <c r="E5" s="44"/>
      <c r="F5" s="44"/>
      <c r="G5" s="44"/>
      <c r="H5" s="44"/>
      <c r="I5" s="3960"/>
      <c r="J5" s="3960"/>
      <c r="K5" s="3960"/>
      <c r="L5" s="3960"/>
      <c r="M5" s="3960"/>
      <c r="N5" s="3960"/>
      <c r="O5" s="3960"/>
      <c r="P5" s="3960"/>
      <c r="Q5" s="3960"/>
      <c r="R5" s="3960"/>
      <c r="S5" s="3960"/>
      <c r="T5" s="3960"/>
      <c r="U5" s="3960"/>
      <c r="V5" s="3960"/>
      <c r="W5" s="51"/>
      <c r="X5" s="5"/>
      <c r="Y5" s="228"/>
      <c r="Z5" s="2114" t="s">
        <v>1823</v>
      </c>
      <c r="AA5" s="2108"/>
      <c r="AB5" s="220"/>
      <c r="AC5" s="2108"/>
      <c r="AD5" s="90"/>
      <c r="AE5" s="2110" t="s">
        <v>1013</v>
      </c>
      <c r="AF5" s="127"/>
    </row>
    <row r="6" spans="1:35" ht="14.25" x14ac:dyDescent="0.25">
      <c r="B6" s="4"/>
      <c r="C6" s="3765"/>
      <c r="D6" s="3766" t="s">
        <v>94</v>
      </c>
      <c r="E6" s="3766"/>
      <c r="F6" s="3766" t="s">
        <v>105</v>
      </c>
      <c r="G6" s="3766"/>
      <c r="H6" s="3766"/>
      <c r="I6" s="3767" t="s">
        <v>110</v>
      </c>
      <c r="J6" s="3767" t="s">
        <v>110</v>
      </c>
      <c r="K6" s="3767"/>
      <c r="L6" s="3767" t="s">
        <v>268</v>
      </c>
      <c r="M6" s="3767" t="s">
        <v>508</v>
      </c>
      <c r="N6" s="3767" t="s">
        <v>508</v>
      </c>
      <c r="O6" s="3767" t="s">
        <v>47</v>
      </c>
      <c r="P6" s="3767" t="s">
        <v>508</v>
      </c>
      <c r="Q6" s="3767" t="s">
        <v>508</v>
      </c>
      <c r="R6" s="3767" t="s">
        <v>397</v>
      </c>
      <c r="S6" s="3767" t="s">
        <v>397</v>
      </c>
      <c r="T6" s="3767" t="s">
        <v>47</v>
      </c>
      <c r="U6" s="3767" t="s">
        <v>508</v>
      </c>
      <c r="V6" s="3767" t="s">
        <v>94</v>
      </c>
      <c r="W6" s="3765"/>
      <c r="X6" s="5"/>
      <c r="Y6" s="228"/>
      <c r="Z6" s="2114" t="s">
        <v>1442</v>
      </c>
      <c r="AA6" s="2109"/>
      <c r="AB6" s="220"/>
      <c r="AC6" s="2109"/>
      <c r="AD6" s="90"/>
      <c r="AE6" s="2111" t="s">
        <v>1013</v>
      </c>
      <c r="AF6" s="127"/>
    </row>
    <row r="7" spans="1:35" ht="14.25" x14ac:dyDescent="0.25">
      <c r="B7" s="4"/>
      <c r="C7" s="3765"/>
      <c r="D7" s="3766" t="s">
        <v>113</v>
      </c>
      <c r="E7" s="3766" t="s">
        <v>159</v>
      </c>
      <c r="F7" s="3766" t="s">
        <v>106</v>
      </c>
      <c r="G7" s="3768" t="s">
        <v>95</v>
      </c>
      <c r="H7" s="3766" t="str">
        <f>IF(G17=0,"Location","")</f>
        <v/>
      </c>
      <c r="I7" s="3767" t="s">
        <v>111</v>
      </c>
      <c r="J7" s="3767" t="s">
        <v>111</v>
      </c>
      <c r="K7" s="3767" t="s">
        <v>1061</v>
      </c>
      <c r="L7" s="3767" t="s">
        <v>1280</v>
      </c>
      <c r="M7" s="3767" t="s">
        <v>509</v>
      </c>
      <c r="N7" s="3767" t="s">
        <v>268</v>
      </c>
      <c r="O7" s="3767" t="s">
        <v>550</v>
      </c>
      <c r="P7" s="3767" t="s">
        <v>550</v>
      </c>
      <c r="Q7" s="3767" t="s">
        <v>550</v>
      </c>
      <c r="R7" s="3767" t="s">
        <v>293</v>
      </c>
      <c r="S7" s="3767" t="s">
        <v>293</v>
      </c>
      <c r="T7" s="3767" t="s">
        <v>1254</v>
      </c>
      <c r="U7" s="3767" t="s">
        <v>1254</v>
      </c>
      <c r="V7" s="3767" t="s">
        <v>126</v>
      </c>
      <c r="W7" s="3765"/>
      <c r="X7" s="5"/>
      <c r="Y7" s="228"/>
      <c r="Z7" s="2114" t="s">
        <v>1443</v>
      </c>
      <c r="AA7" s="2112"/>
      <c r="AB7" s="220"/>
      <c r="AC7" s="2112"/>
      <c r="AD7" s="90"/>
      <c r="AE7" s="2113" t="s">
        <v>1013</v>
      </c>
      <c r="AF7" s="127"/>
    </row>
    <row r="8" spans="1:35" ht="14.25" x14ac:dyDescent="0.25">
      <c r="B8" s="305"/>
      <c r="C8" s="306"/>
      <c r="D8" s="327">
        <v>1</v>
      </c>
      <c r="E8" s="523">
        <v>45170</v>
      </c>
      <c r="F8" s="327" t="s">
        <v>19963</v>
      </c>
      <c r="G8" s="327" t="s">
        <v>20061</v>
      </c>
      <c r="H8" s="327" t="s">
        <v>19964</v>
      </c>
      <c r="I8" s="3961">
        <v>2002</v>
      </c>
      <c r="J8" s="526">
        <v>2020</v>
      </c>
      <c r="K8" s="526"/>
      <c r="L8" s="1017">
        <v>1</v>
      </c>
      <c r="M8" s="1017"/>
      <c r="N8" s="1017">
        <f t="shared" ref="N8:N14" si="0">1-M8</f>
        <v>1</v>
      </c>
      <c r="O8" s="1044">
        <v>6.4100000000000004E-2</v>
      </c>
      <c r="P8" s="1044">
        <v>4.87E-2</v>
      </c>
      <c r="Q8" s="1044"/>
      <c r="R8" s="3961"/>
      <c r="S8" s="3979">
        <f t="shared" ref="S8:S14" si="1">R8/12</f>
        <v>0</v>
      </c>
      <c r="T8" s="1044"/>
      <c r="U8" s="1044"/>
      <c r="V8" s="1016">
        <v>11186628</v>
      </c>
      <c r="W8" s="88"/>
      <c r="X8" s="306"/>
      <c r="Y8" s="2105"/>
    </row>
    <row r="9" spans="1:35" ht="14.25" x14ac:dyDescent="0.25">
      <c r="B9" s="305"/>
      <c r="C9" s="306"/>
      <c r="D9" s="327">
        <v>2</v>
      </c>
      <c r="E9" s="523">
        <v>45017</v>
      </c>
      <c r="F9" s="327" t="s">
        <v>19963</v>
      </c>
      <c r="G9" s="327" t="s">
        <v>20062</v>
      </c>
      <c r="H9" s="327" t="s">
        <v>20063</v>
      </c>
      <c r="I9" s="3961">
        <v>1959</v>
      </c>
      <c r="J9" s="526">
        <v>2002</v>
      </c>
      <c r="K9" s="526"/>
      <c r="L9" s="1017">
        <v>1</v>
      </c>
      <c r="M9" s="1017"/>
      <c r="N9" s="1017">
        <f t="shared" si="0"/>
        <v>1</v>
      </c>
      <c r="O9" s="1044">
        <v>6.7299999999999999E-2</v>
      </c>
      <c r="P9" s="1044" t="s">
        <v>3</v>
      </c>
      <c r="Q9" s="1044"/>
      <c r="R9" s="3961"/>
      <c r="S9" s="3979">
        <f t="shared" si="1"/>
        <v>0</v>
      </c>
      <c r="T9" s="1044"/>
      <c r="U9" s="1044"/>
      <c r="V9" s="1016">
        <v>11221190</v>
      </c>
      <c r="W9" s="88"/>
      <c r="X9" s="306"/>
      <c r="Y9" s="2105"/>
    </row>
    <row r="10" spans="1:35" ht="14.25" x14ac:dyDescent="0.25">
      <c r="B10" s="305"/>
      <c r="C10" s="306"/>
      <c r="D10" s="327">
        <v>3</v>
      </c>
      <c r="E10" s="523">
        <v>45139</v>
      </c>
      <c r="F10" s="327" t="s">
        <v>19963</v>
      </c>
      <c r="G10" s="327" t="s">
        <v>20069</v>
      </c>
      <c r="H10" s="327" t="s">
        <v>20070</v>
      </c>
      <c r="I10" s="3961">
        <v>1964</v>
      </c>
      <c r="J10" s="526"/>
      <c r="K10" s="526"/>
      <c r="L10" s="1017"/>
      <c r="M10" s="1017"/>
      <c r="N10" s="1017"/>
      <c r="O10" s="1044">
        <v>7.1300000000000002E-2</v>
      </c>
      <c r="P10" s="1044"/>
      <c r="Q10" s="1044"/>
      <c r="R10" s="3961"/>
      <c r="S10" s="3979"/>
      <c r="T10" s="1044"/>
      <c r="U10" s="1044"/>
      <c r="V10" s="1016"/>
      <c r="W10" s="88"/>
      <c r="X10" s="306"/>
      <c r="Y10" s="2105"/>
    </row>
    <row r="11" spans="1:35" ht="14.25" x14ac:dyDescent="0.25">
      <c r="B11" s="305"/>
      <c r="C11" s="306"/>
      <c r="D11" s="327">
        <v>4</v>
      </c>
      <c r="E11" s="523">
        <v>45413</v>
      </c>
      <c r="F11" s="327" t="s">
        <v>19963</v>
      </c>
      <c r="G11" s="327" t="s">
        <v>20068</v>
      </c>
      <c r="H11" s="327" t="s">
        <v>19964</v>
      </c>
      <c r="I11" s="3961">
        <v>1975</v>
      </c>
      <c r="J11" s="526"/>
      <c r="K11" s="526"/>
      <c r="L11" s="1017"/>
      <c r="M11" s="1017"/>
      <c r="N11" s="1017"/>
      <c r="O11" s="1044">
        <v>6.5699999999999995E-2</v>
      </c>
      <c r="P11" s="1044"/>
      <c r="Q11" s="1044"/>
      <c r="R11" s="3961"/>
      <c r="S11" s="3979"/>
      <c r="T11" s="1044"/>
      <c r="U11" s="1044"/>
      <c r="V11" s="1016"/>
      <c r="W11" s="88"/>
      <c r="X11" s="306"/>
      <c r="Y11" s="2105"/>
    </row>
    <row r="12" spans="1:35" ht="14.25" x14ac:dyDescent="0.25">
      <c r="B12" s="305"/>
      <c r="C12" s="306"/>
      <c r="D12" s="327">
        <v>5</v>
      </c>
      <c r="E12" s="523">
        <v>44470</v>
      </c>
      <c r="F12" s="327" t="s">
        <v>19963</v>
      </c>
      <c r="G12" s="327" t="s">
        <v>20065</v>
      </c>
      <c r="H12" s="327" t="s">
        <v>19964</v>
      </c>
      <c r="I12" s="3961">
        <v>1961</v>
      </c>
      <c r="J12" s="526"/>
      <c r="K12" s="526"/>
      <c r="L12" s="1017"/>
      <c r="M12" s="1017"/>
      <c r="N12" s="1017"/>
      <c r="O12" s="1044">
        <v>6.5699999999999995E-2</v>
      </c>
      <c r="P12" s="1044"/>
      <c r="Q12" s="1044"/>
      <c r="R12" s="3961"/>
      <c r="S12" s="3979"/>
      <c r="T12" s="1044"/>
      <c r="U12" s="1044"/>
      <c r="V12" s="1016"/>
      <c r="W12" s="88"/>
      <c r="X12" s="306"/>
      <c r="Y12" s="2105"/>
    </row>
    <row r="13" spans="1:35" ht="14.25" x14ac:dyDescent="0.25">
      <c r="B13" s="305"/>
      <c r="C13" s="306"/>
      <c r="D13" s="327">
        <v>6</v>
      </c>
      <c r="E13" s="523">
        <v>44652</v>
      </c>
      <c r="F13" s="327" t="s">
        <v>19963</v>
      </c>
      <c r="G13" s="327" t="s">
        <v>20064</v>
      </c>
      <c r="H13" s="327" t="s">
        <v>19964</v>
      </c>
      <c r="I13" s="3961">
        <v>1959</v>
      </c>
      <c r="J13" s="526">
        <v>2011</v>
      </c>
      <c r="K13" s="526"/>
      <c r="L13" s="1017">
        <v>1</v>
      </c>
      <c r="M13" s="1017"/>
      <c r="N13" s="1017">
        <f t="shared" si="0"/>
        <v>1</v>
      </c>
      <c r="O13" s="1044">
        <v>0.06</v>
      </c>
      <c r="P13" s="1044">
        <v>8.0500000000000002E-2</v>
      </c>
      <c r="Q13" s="1044"/>
      <c r="R13" s="3961"/>
      <c r="S13" s="3979">
        <f t="shared" si="1"/>
        <v>0</v>
      </c>
      <c r="T13" s="1044"/>
      <c r="U13" s="1044"/>
      <c r="V13" s="1016">
        <v>11222564</v>
      </c>
      <c r="W13" s="88"/>
      <c r="X13" s="306"/>
      <c r="Y13" s="2105"/>
    </row>
    <row r="14" spans="1:35" ht="14.25" x14ac:dyDescent="0.25">
      <c r="B14" s="305"/>
      <c r="C14" s="306"/>
      <c r="D14" s="1227">
        <v>7</v>
      </c>
      <c r="E14" s="1228">
        <v>44927</v>
      </c>
      <c r="F14" s="1227" t="s">
        <v>19963</v>
      </c>
      <c r="G14" s="1227" t="s">
        <v>20071</v>
      </c>
      <c r="H14" s="1227" t="s">
        <v>19964</v>
      </c>
      <c r="I14" s="1229">
        <v>1962</v>
      </c>
      <c r="J14" s="1230">
        <v>2008</v>
      </c>
      <c r="K14" s="1230"/>
      <c r="L14" s="1231">
        <v>0.94</v>
      </c>
      <c r="M14" s="1231"/>
      <c r="N14" s="1231">
        <f t="shared" si="0"/>
        <v>1</v>
      </c>
      <c r="O14" s="1232">
        <v>7.8E-2</v>
      </c>
      <c r="P14" s="1232" t="s">
        <v>3</v>
      </c>
      <c r="Q14" s="1232"/>
      <c r="R14" s="1229"/>
      <c r="S14" s="1382">
        <f t="shared" si="1"/>
        <v>0</v>
      </c>
      <c r="T14" s="1232"/>
      <c r="U14" s="1232"/>
      <c r="V14" s="1233">
        <v>11083946</v>
      </c>
      <c r="W14" s="88"/>
      <c r="X14" s="306"/>
      <c r="Y14" s="2105"/>
    </row>
    <row r="15" spans="1:35" thickBot="1" x14ac:dyDescent="0.3">
      <c r="B15" s="305"/>
      <c r="C15" s="306"/>
      <c r="D15" s="310"/>
      <c r="E15" s="1220"/>
      <c r="F15" s="1221"/>
      <c r="G15" s="1221"/>
      <c r="H15" s="1221"/>
      <c r="I15" s="1222" t="s">
        <v>1235</v>
      </c>
      <c r="J15" s="1222"/>
      <c r="K15" s="1222"/>
      <c r="L15" s="1223" t="str">
        <f>IF(N17=1,"","Mean")</f>
        <v>Mean</v>
      </c>
      <c r="M15" s="1224"/>
      <c r="N15" s="1223" t="str">
        <f>IF(N17=1,"Mean","")</f>
        <v/>
      </c>
      <c r="O15" s="1225">
        <f>AVERAGE(Income_OAR_ActualCol)</f>
        <v>6.7442857142857152E-2</v>
      </c>
      <c r="P15" s="1225">
        <f>AVERAGE(Income_OAR_StabPriorReserveCol)</f>
        <v>6.4600000000000005E-2</v>
      </c>
      <c r="Q15" s="1225" t="e">
        <f>AVERAGE(Income_OAR_StabAfterReserveCol)</f>
        <v>#DIV/0!</v>
      </c>
      <c r="R15" s="1225"/>
      <c r="S15" s="1225"/>
      <c r="T15" s="1225"/>
      <c r="U15" s="1225"/>
      <c r="V15" s="1226"/>
      <c r="W15" s="88"/>
      <c r="X15" s="306"/>
      <c r="Y15" s="2105"/>
    </row>
    <row r="16" spans="1:35" thickBot="1" x14ac:dyDescent="0.3">
      <c r="B16" s="302"/>
      <c r="C16" s="303"/>
      <c r="D16" s="554" t="s">
        <v>918</v>
      </c>
      <c r="E16" s="1060"/>
      <c r="F16" s="1060"/>
      <c r="G16" s="1060"/>
      <c r="H16" s="1060"/>
      <c r="I16" s="1062"/>
      <c r="J16" s="1062"/>
      <c r="K16" s="1062"/>
      <c r="L16" s="1062"/>
      <c r="M16" s="1062"/>
      <c r="N16" s="1062"/>
      <c r="O16" s="1062"/>
      <c r="P16" s="1062"/>
      <c r="Q16" s="1062"/>
      <c r="R16" s="1062"/>
      <c r="S16" s="1062"/>
      <c r="T16" s="1062"/>
      <c r="U16" s="1062"/>
      <c r="V16" s="1062"/>
      <c r="W16" s="303"/>
      <c r="X16" s="303"/>
      <c r="Y16" s="2106"/>
    </row>
    <row r="17" spans="4:79" s="32" customFormat="1" thickBot="1" x14ac:dyDescent="0.3">
      <c r="D17" s="1061"/>
      <c r="E17" s="1061"/>
      <c r="F17" s="957">
        <v>1</v>
      </c>
      <c r="G17" s="957">
        <v>1</v>
      </c>
      <c r="H17" s="957">
        <v>1</v>
      </c>
      <c r="I17" s="957">
        <v>1</v>
      </c>
      <c r="J17" s="957">
        <v>0</v>
      </c>
      <c r="K17" s="957">
        <v>0</v>
      </c>
      <c r="L17" s="957">
        <v>0</v>
      </c>
      <c r="M17" s="957">
        <v>0</v>
      </c>
      <c r="N17" s="957">
        <v>0</v>
      </c>
      <c r="O17" s="957">
        <v>1</v>
      </c>
      <c r="P17" s="957">
        <v>0</v>
      </c>
      <c r="Q17" s="957">
        <v>0</v>
      </c>
      <c r="R17" s="957">
        <v>0</v>
      </c>
      <c r="S17" s="957">
        <f>IF(Income_OAR_RemLeaseTermOption="Hide",0,1)</f>
        <v>0</v>
      </c>
      <c r="T17" s="957">
        <v>0</v>
      </c>
      <c r="U17" s="957">
        <v>0</v>
      </c>
      <c r="V17" s="957">
        <v>0</v>
      </c>
    </row>
    <row r="18" spans="4:79" ht="14.25" x14ac:dyDescent="0.25">
      <c r="AG18" s="1"/>
      <c r="AH18" s="2"/>
      <c r="AI18" s="25"/>
      <c r="AJ18" s="25"/>
      <c r="AK18" s="25"/>
      <c r="AL18" s="25"/>
      <c r="AM18" s="25"/>
      <c r="AN18" s="123"/>
      <c r="AO18" s="123"/>
      <c r="AP18" s="123"/>
      <c r="AQ18" s="123"/>
      <c r="AR18" s="123"/>
      <c r="AS18" s="123"/>
      <c r="AT18" s="123"/>
      <c r="AU18" s="123"/>
      <c r="AV18" s="123"/>
      <c r="AW18" s="123"/>
      <c r="AX18" s="123"/>
      <c r="AY18" s="123"/>
      <c r="AZ18" s="123"/>
      <c r="BA18" s="123"/>
      <c r="BB18" s="2"/>
      <c r="BC18" s="3"/>
    </row>
    <row r="19" spans="4:79" ht="16.5" x14ac:dyDescent="0.25">
      <c r="AG19" s="4"/>
      <c r="AH19" s="51"/>
      <c r="AI19" s="430" t="str">
        <f>IF(Main_GroundLease=FALSE,"Market Overall Capitalization Rate (OAR) Comparables","Market Land Capitalization Rate Comparables")</f>
        <v>Market Overall Capitalization Rate (OAR) Comparables</v>
      </c>
      <c r="AJ19" s="44"/>
      <c r="AK19" s="44"/>
      <c r="AL19" s="44"/>
      <c r="AM19" s="44"/>
      <c r="AN19" s="3960"/>
      <c r="AO19" s="3960"/>
      <c r="AP19" s="3960"/>
      <c r="AQ19" s="3960"/>
      <c r="AR19" s="3960"/>
      <c r="AS19" s="3960"/>
      <c r="AT19" s="3960"/>
      <c r="AU19" s="3960"/>
      <c r="AV19" s="3960"/>
      <c r="AW19" s="3960"/>
      <c r="AX19" s="3960"/>
      <c r="AY19" s="3960"/>
      <c r="AZ19" s="3960"/>
      <c r="BA19" s="3960"/>
      <c r="BB19" s="51"/>
      <c r="BC19" s="6"/>
    </row>
    <row r="20" spans="4:79" ht="14.25" x14ac:dyDescent="0.25">
      <c r="AG20" s="4"/>
      <c r="AH20" s="11"/>
      <c r="AI20" s="207" t="s">
        <v>94</v>
      </c>
      <c r="AJ20" s="207"/>
      <c r="AK20" s="207" t="s">
        <v>105</v>
      </c>
      <c r="AL20" s="207"/>
      <c r="AM20" s="207"/>
      <c r="AN20" s="55" t="s">
        <v>110</v>
      </c>
      <c r="AO20" s="55" t="s">
        <v>110</v>
      </c>
      <c r="AP20" s="55"/>
      <c r="AQ20" s="55" t="s">
        <v>268</v>
      </c>
      <c r="AR20" s="55" t="s">
        <v>508</v>
      </c>
      <c r="AS20" s="55" t="s">
        <v>508</v>
      </c>
      <c r="AT20" s="55" t="s">
        <v>47</v>
      </c>
      <c r="AU20" s="55" t="s">
        <v>508</v>
      </c>
      <c r="AV20" s="55" t="s">
        <v>508</v>
      </c>
      <c r="AW20" s="55" t="s">
        <v>397</v>
      </c>
      <c r="AX20" s="55" t="s">
        <v>397</v>
      </c>
      <c r="AY20" s="55" t="s">
        <v>47</v>
      </c>
      <c r="AZ20" s="55" t="s">
        <v>508</v>
      </c>
      <c r="BA20" s="55" t="s">
        <v>94</v>
      </c>
      <c r="BB20" s="11"/>
      <c r="BC20" s="6"/>
    </row>
    <row r="21" spans="4:79" ht="14.25" x14ac:dyDescent="0.25">
      <c r="AG21" s="4"/>
      <c r="AH21" s="11"/>
      <c r="AI21" s="207" t="s">
        <v>113</v>
      </c>
      <c r="AJ21" s="207" t="s">
        <v>159</v>
      </c>
      <c r="AK21" s="207" t="s">
        <v>106</v>
      </c>
      <c r="AL21" s="1534" t="s">
        <v>95</v>
      </c>
      <c r="AM21" s="207" t="str">
        <f>IF(AL29=0,"Location","")</f>
        <v/>
      </c>
      <c r="AN21" s="55" t="s">
        <v>111</v>
      </c>
      <c r="AO21" s="55" t="s">
        <v>111</v>
      </c>
      <c r="AP21" s="55" t="s">
        <v>1061</v>
      </c>
      <c r="AQ21" s="55" t="s">
        <v>1280</v>
      </c>
      <c r="AR21" s="55" t="s">
        <v>509</v>
      </c>
      <c r="AS21" s="55" t="s">
        <v>268</v>
      </c>
      <c r="AT21" s="55" t="s">
        <v>550</v>
      </c>
      <c r="AU21" s="55" t="s">
        <v>550</v>
      </c>
      <c r="AV21" s="55" t="s">
        <v>550</v>
      </c>
      <c r="AW21" s="55" t="s">
        <v>293</v>
      </c>
      <c r="AX21" s="55" t="s">
        <v>293</v>
      </c>
      <c r="AY21" s="55" t="s">
        <v>1254</v>
      </c>
      <c r="AZ21" s="55" t="s">
        <v>1254</v>
      </c>
      <c r="BA21" s="55" t="s">
        <v>126</v>
      </c>
      <c r="BB21" s="11"/>
      <c r="BC21" s="6"/>
    </row>
    <row r="22" spans="4:79" ht="14.25" x14ac:dyDescent="0.25">
      <c r="AG22" s="305"/>
      <c r="AH22" s="306"/>
      <c r="AI22" s="327">
        <v>1</v>
      </c>
      <c r="AJ22" s="523"/>
      <c r="AK22" s="327"/>
      <c r="AL22" s="327"/>
      <c r="AM22" s="327"/>
      <c r="AN22" s="3961">
        <f>IF(OR(AO22="",AO22="N/A"),AP22,AO22)</f>
        <v>0</v>
      </c>
      <c r="AO22" s="526"/>
      <c r="AP22" s="526"/>
      <c r="AQ22" s="1017"/>
      <c r="AR22" s="1017"/>
      <c r="AS22" s="1017">
        <f>1-AR22</f>
        <v>1</v>
      </c>
      <c r="AT22" s="1044"/>
      <c r="AU22" s="1044"/>
      <c r="AV22" s="1044"/>
      <c r="AW22" s="3961"/>
      <c r="AX22" s="3979">
        <f>AW22/12</f>
        <v>0</v>
      </c>
      <c r="AY22" s="1044"/>
      <c r="AZ22" s="1044"/>
      <c r="BA22" s="1016"/>
      <c r="BB22" s="88"/>
      <c r="BC22" s="307"/>
    </row>
    <row r="23" spans="4:79" ht="14.25" x14ac:dyDescent="0.25">
      <c r="AG23" s="305"/>
      <c r="AH23" s="306"/>
      <c r="AI23" s="327">
        <v>2</v>
      </c>
      <c r="AJ23" s="523"/>
      <c r="AK23" s="327"/>
      <c r="AL23" s="327"/>
      <c r="AM23" s="327"/>
      <c r="AN23" s="3961">
        <f>IF(OR(AO23="",AO23="N/A"),AP23,AO23)</f>
        <v>0</v>
      </c>
      <c r="AO23" s="526"/>
      <c r="AP23" s="526"/>
      <c r="AQ23" s="1017"/>
      <c r="AR23" s="1017"/>
      <c r="AS23" s="1017">
        <f>1-AR23</f>
        <v>1</v>
      </c>
      <c r="AT23" s="1044"/>
      <c r="AU23" s="1044"/>
      <c r="AV23" s="1044"/>
      <c r="AW23" s="3961"/>
      <c r="AX23" s="3979">
        <f>AW23/12</f>
        <v>0</v>
      </c>
      <c r="AY23" s="1044"/>
      <c r="AZ23" s="1044"/>
      <c r="BA23" s="1016"/>
      <c r="BB23" s="88"/>
      <c r="BC23" s="307"/>
    </row>
    <row r="24" spans="4:79" ht="14.25" x14ac:dyDescent="0.25">
      <c r="AG24" s="305"/>
      <c r="AH24" s="306"/>
      <c r="AI24" s="327">
        <v>3</v>
      </c>
      <c r="AJ24" s="523"/>
      <c r="AK24" s="327"/>
      <c r="AL24" s="327"/>
      <c r="AM24" s="327"/>
      <c r="AN24" s="3961">
        <f>IF(OR(AO24="",AO24="N/A"),AP24,AO24)</f>
        <v>0</v>
      </c>
      <c r="AO24" s="526"/>
      <c r="AP24" s="526"/>
      <c r="AQ24" s="1017"/>
      <c r="AR24" s="1017"/>
      <c r="AS24" s="1017">
        <f>1-AR24</f>
        <v>1</v>
      </c>
      <c r="AT24" s="1044"/>
      <c r="AU24" s="1044"/>
      <c r="AV24" s="1044"/>
      <c r="AW24" s="3961"/>
      <c r="AX24" s="3979">
        <f>AW24/12</f>
        <v>0</v>
      </c>
      <c r="AY24" s="1044"/>
      <c r="AZ24" s="1044"/>
      <c r="BA24" s="1016"/>
      <c r="BB24" s="88"/>
      <c r="BC24" s="307"/>
    </row>
    <row r="25" spans="4:79" ht="14.25" x14ac:dyDescent="0.25">
      <c r="AG25" s="305"/>
      <c r="AH25" s="306"/>
      <c r="AI25" s="327">
        <v>4</v>
      </c>
      <c r="AJ25" s="523"/>
      <c r="AK25" s="327"/>
      <c r="AL25" s="327"/>
      <c r="AM25" s="327"/>
      <c r="AN25" s="3961">
        <f>IF(OR(AO25="",AO25="N/A"),AP25,AO25)</f>
        <v>0</v>
      </c>
      <c r="AO25" s="526"/>
      <c r="AP25" s="526"/>
      <c r="AQ25" s="1017"/>
      <c r="AR25" s="1017"/>
      <c r="AS25" s="1017">
        <f>1-AR25</f>
        <v>1</v>
      </c>
      <c r="AT25" s="1044"/>
      <c r="AU25" s="1044"/>
      <c r="AV25" s="1044"/>
      <c r="AW25" s="3961"/>
      <c r="AX25" s="3979">
        <f>AW25/12</f>
        <v>0</v>
      </c>
      <c r="AY25" s="1044"/>
      <c r="AZ25" s="1044"/>
      <c r="BA25" s="1016"/>
      <c r="BB25" s="88"/>
      <c r="BC25" s="307"/>
    </row>
    <row r="26" spans="4:79" ht="14.25" x14ac:dyDescent="0.25">
      <c r="AG26" s="305"/>
      <c r="AH26" s="306"/>
      <c r="AI26" s="1227">
        <v>5</v>
      </c>
      <c r="AJ26" s="1228"/>
      <c r="AK26" s="1227"/>
      <c r="AL26" s="1227"/>
      <c r="AM26" s="1227"/>
      <c r="AN26" s="1229">
        <f>IF(OR(AO26="",AO26="N/A"),AP26,AO26)</f>
        <v>0</v>
      </c>
      <c r="AO26" s="1230"/>
      <c r="AP26" s="1230"/>
      <c r="AQ26" s="1231"/>
      <c r="AR26" s="1231"/>
      <c r="AS26" s="1231">
        <f>1-AR26</f>
        <v>1</v>
      </c>
      <c r="AT26" s="1232"/>
      <c r="AU26" s="1232"/>
      <c r="AV26" s="1232"/>
      <c r="AW26" s="1229"/>
      <c r="AX26" s="1382">
        <f>AW26/12</f>
        <v>0</v>
      </c>
      <c r="AY26" s="1232"/>
      <c r="AZ26" s="1232"/>
      <c r="BA26" s="1233"/>
      <c r="BB26" s="88"/>
      <c r="BC26" s="307"/>
    </row>
    <row r="27" spans="4:79" thickBot="1" x14ac:dyDescent="0.3">
      <c r="AG27" s="305"/>
      <c r="AH27" s="306"/>
      <c r="AI27" s="310"/>
      <c r="AJ27" s="1220"/>
      <c r="AK27" s="1221"/>
      <c r="AL27" s="1221"/>
      <c r="AM27" s="1221"/>
      <c r="AN27" s="1222"/>
      <c r="AO27" s="1222"/>
      <c r="AP27" s="1222"/>
      <c r="AQ27" s="1223" t="str">
        <f>IF(AS29=1,"","Mean")</f>
        <v/>
      </c>
      <c r="AR27" s="1224"/>
      <c r="AS27" s="1223" t="str">
        <f>IF(AS29=1,"Mean","")</f>
        <v>Mean</v>
      </c>
      <c r="AT27" s="1225">
        <f>AVERAGE(Income_OAR_ActualCol)</f>
        <v>6.7442857142857152E-2</v>
      </c>
      <c r="AU27" s="1225">
        <f>AVERAGE(Income_OAR_StabPriorReserveCol)</f>
        <v>6.4600000000000005E-2</v>
      </c>
      <c r="AV27" s="1225" t="e">
        <f>AVERAGE(Income_OAR_StabAfterReserveCol)</f>
        <v>#DIV/0!</v>
      </c>
      <c r="AW27" s="1225"/>
      <c r="AX27" s="1225"/>
      <c r="AY27" s="1225"/>
      <c r="AZ27" s="1225"/>
      <c r="BA27" s="1226"/>
      <c r="BB27" s="88"/>
      <c r="BC27" s="307"/>
    </row>
    <row r="28" spans="4:79" thickBot="1" x14ac:dyDescent="0.3">
      <c r="AG28" s="302"/>
      <c r="AH28" s="303"/>
      <c r="AI28" s="554" t="s">
        <v>1824</v>
      </c>
      <c r="AJ28" s="1060"/>
      <c r="AK28" s="1060"/>
      <c r="AL28" s="1060"/>
      <c r="AM28" s="1060"/>
      <c r="AN28" s="1062"/>
      <c r="AO28" s="1062"/>
      <c r="AP28" s="1062"/>
      <c r="AQ28" s="1062"/>
      <c r="AR28" s="1062"/>
      <c r="AS28" s="1062"/>
      <c r="AT28" s="1062"/>
      <c r="AU28" s="1062"/>
      <c r="AV28" s="1062"/>
      <c r="AW28" s="1062"/>
      <c r="AX28" s="1062"/>
      <c r="AY28" s="1062"/>
      <c r="AZ28" s="1062"/>
      <c r="BA28" s="1062"/>
      <c r="BB28" s="303"/>
      <c r="BC28" s="304"/>
    </row>
    <row r="29" spans="4:79" thickBot="1" x14ac:dyDescent="0.3">
      <c r="AG29" s="32"/>
      <c r="AH29" s="32"/>
      <c r="AI29" s="1061"/>
      <c r="AJ29" s="1061"/>
      <c r="AK29" s="41">
        <v>1</v>
      </c>
      <c r="AL29" s="41">
        <v>1</v>
      </c>
      <c r="AM29" s="41">
        <v>1</v>
      </c>
      <c r="AN29" s="957">
        <v>1</v>
      </c>
      <c r="AO29" s="957">
        <v>0</v>
      </c>
      <c r="AP29" s="957">
        <v>0</v>
      </c>
      <c r="AQ29" s="957">
        <v>1</v>
      </c>
      <c r="AR29" s="957">
        <v>0</v>
      </c>
      <c r="AS29" s="957">
        <v>1</v>
      </c>
      <c r="AT29" s="957">
        <v>0</v>
      </c>
      <c r="AU29" s="957">
        <v>0</v>
      </c>
      <c r="AV29" s="957">
        <v>1</v>
      </c>
      <c r="AW29" s="957">
        <v>0</v>
      </c>
      <c r="AX29" s="957">
        <f>IF(Income_OAR_RemLeaseTermOptionB1="Hide",0,1)</f>
        <v>0</v>
      </c>
      <c r="AY29" s="957">
        <v>0</v>
      </c>
      <c r="AZ29" s="957">
        <v>0</v>
      </c>
      <c r="BA29" s="957">
        <v>0</v>
      </c>
      <c r="BB29" s="32"/>
      <c r="BC29" s="32"/>
    </row>
    <row r="30" spans="4:79" ht="14.25" x14ac:dyDescent="0.25">
      <c r="BE30" s="1"/>
      <c r="BF30" s="2"/>
      <c r="BG30" s="25"/>
      <c r="BH30" s="25"/>
      <c r="BI30" s="25"/>
      <c r="BJ30" s="25"/>
      <c r="BK30" s="25"/>
      <c r="BL30" s="123"/>
      <c r="BM30" s="123"/>
      <c r="BN30" s="123"/>
      <c r="BO30" s="123"/>
      <c r="BP30" s="123"/>
      <c r="BQ30" s="123"/>
      <c r="BR30" s="123"/>
      <c r="BS30" s="123"/>
      <c r="BT30" s="123"/>
      <c r="BU30" s="123"/>
      <c r="BV30" s="123"/>
      <c r="BW30" s="123"/>
      <c r="BX30" s="123"/>
      <c r="BY30" s="123"/>
      <c r="BZ30" s="2"/>
      <c r="CA30" s="3"/>
    </row>
    <row r="31" spans="4:79" ht="16.5" x14ac:dyDescent="0.25">
      <c r="BE31" s="4"/>
      <c r="BF31" s="51"/>
      <c r="BG31" s="430" t="str">
        <f>IF(Main_GroundLease=FALSE,"Market Overall Capitalization Rate (OAR) Comparables","Market Land Capitalization Rate Comparables")</f>
        <v>Market Overall Capitalization Rate (OAR) Comparables</v>
      </c>
      <c r="BH31" s="44"/>
      <c r="BI31" s="44"/>
      <c r="BJ31" s="44"/>
      <c r="BK31" s="44"/>
      <c r="BL31" s="3960"/>
      <c r="BM31" s="3960"/>
      <c r="BN31" s="3960"/>
      <c r="BO31" s="3960"/>
      <c r="BP31" s="3960"/>
      <c r="BQ31" s="3960"/>
      <c r="BR31" s="3960"/>
      <c r="BS31" s="3960"/>
      <c r="BT31" s="3960"/>
      <c r="BU31" s="3960"/>
      <c r="BV31" s="3960"/>
      <c r="BW31" s="3960"/>
      <c r="BX31" s="3960"/>
      <c r="BY31" s="3960"/>
      <c r="BZ31" s="51"/>
      <c r="CA31" s="6"/>
    </row>
    <row r="32" spans="4:79" ht="14.25" x14ac:dyDescent="0.25">
      <c r="BE32" s="4"/>
      <c r="BF32" s="11"/>
      <c r="BG32" s="207" t="s">
        <v>94</v>
      </c>
      <c r="BH32" s="207"/>
      <c r="BI32" s="207" t="s">
        <v>105</v>
      </c>
      <c r="BJ32" s="207"/>
      <c r="BK32" s="207"/>
      <c r="BL32" s="55" t="s">
        <v>110</v>
      </c>
      <c r="BM32" s="55" t="s">
        <v>110</v>
      </c>
      <c r="BN32" s="55"/>
      <c r="BO32" s="55" t="s">
        <v>268</v>
      </c>
      <c r="BP32" s="55" t="s">
        <v>508</v>
      </c>
      <c r="BQ32" s="55" t="s">
        <v>508</v>
      </c>
      <c r="BR32" s="55" t="s">
        <v>47</v>
      </c>
      <c r="BS32" s="55" t="s">
        <v>508</v>
      </c>
      <c r="BT32" s="55" t="s">
        <v>508</v>
      </c>
      <c r="BU32" s="55" t="s">
        <v>397</v>
      </c>
      <c r="BV32" s="55" t="s">
        <v>397</v>
      </c>
      <c r="BW32" s="55" t="s">
        <v>47</v>
      </c>
      <c r="BX32" s="55" t="s">
        <v>508</v>
      </c>
      <c r="BY32" s="55" t="s">
        <v>94</v>
      </c>
      <c r="BZ32" s="11"/>
      <c r="CA32" s="6"/>
    </row>
    <row r="33" spans="57:79" ht="14.25" x14ac:dyDescent="0.25">
      <c r="BE33" s="4"/>
      <c r="BF33" s="11"/>
      <c r="BG33" s="207" t="s">
        <v>113</v>
      </c>
      <c r="BH33" s="207" t="s">
        <v>159</v>
      </c>
      <c r="BI33" s="207" t="s">
        <v>106</v>
      </c>
      <c r="BJ33" s="1534" t="s">
        <v>95</v>
      </c>
      <c r="BK33" s="207" t="str">
        <f>IF(BJ41=0,"Location","")</f>
        <v/>
      </c>
      <c r="BL33" s="55" t="s">
        <v>111</v>
      </c>
      <c r="BM33" s="55" t="s">
        <v>111</v>
      </c>
      <c r="BN33" s="55" t="s">
        <v>1061</v>
      </c>
      <c r="BO33" s="55" t="s">
        <v>1280</v>
      </c>
      <c r="BP33" s="55" t="s">
        <v>509</v>
      </c>
      <c r="BQ33" s="55" t="s">
        <v>268</v>
      </c>
      <c r="BR33" s="55" t="s">
        <v>550</v>
      </c>
      <c r="BS33" s="55" t="s">
        <v>550</v>
      </c>
      <c r="BT33" s="55" t="s">
        <v>550</v>
      </c>
      <c r="BU33" s="55" t="s">
        <v>293</v>
      </c>
      <c r="BV33" s="55" t="s">
        <v>293</v>
      </c>
      <c r="BW33" s="55" t="s">
        <v>1254</v>
      </c>
      <c r="BX33" s="55" t="s">
        <v>1254</v>
      </c>
      <c r="BY33" s="55" t="s">
        <v>126</v>
      </c>
      <c r="BZ33" s="11"/>
      <c r="CA33" s="6"/>
    </row>
    <row r="34" spans="57:79" ht="14.25" x14ac:dyDescent="0.25">
      <c r="BE34" s="305"/>
      <c r="BF34" s="306"/>
      <c r="BG34" s="327">
        <v>1</v>
      </c>
      <c r="BH34" s="523"/>
      <c r="BI34" s="327"/>
      <c r="BJ34" s="327"/>
      <c r="BK34" s="327"/>
      <c r="BL34" s="3961">
        <f>IF(OR(BM34="",BM34="N/A"),BN34,BM34)</f>
        <v>0</v>
      </c>
      <c r="BM34" s="526"/>
      <c r="BN34" s="526"/>
      <c r="BO34" s="1017"/>
      <c r="BP34" s="1017"/>
      <c r="BQ34" s="1017">
        <f>1-BP34</f>
        <v>1</v>
      </c>
      <c r="BR34" s="1044"/>
      <c r="BS34" s="1044"/>
      <c r="BT34" s="1044"/>
      <c r="BU34" s="3961"/>
      <c r="BV34" s="3979">
        <f>BU34/12</f>
        <v>0</v>
      </c>
      <c r="BW34" s="1044"/>
      <c r="BX34" s="1044"/>
      <c r="BY34" s="1016"/>
      <c r="BZ34" s="88"/>
      <c r="CA34" s="307"/>
    </row>
    <row r="35" spans="57:79" ht="14.25" x14ac:dyDescent="0.25">
      <c r="BE35" s="305"/>
      <c r="BF35" s="306"/>
      <c r="BG35" s="327">
        <v>2</v>
      </c>
      <c r="BH35" s="523"/>
      <c r="BI35" s="327"/>
      <c r="BJ35" s="327"/>
      <c r="BK35" s="327"/>
      <c r="BL35" s="3961">
        <f>IF(OR(BM35="",BM35="N/A"),BN35,BM35)</f>
        <v>0</v>
      </c>
      <c r="BM35" s="526"/>
      <c r="BN35" s="526"/>
      <c r="BO35" s="1017"/>
      <c r="BP35" s="1017"/>
      <c r="BQ35" s="1017">
        <f>1-BP35</f>
        <v>1</v>
      </c>
      <c r="BR35" s="1044"/>
      <c r="BS35" s="1044"/>
      <c r="BT35" s="1044"/>
      <c r="BU35" s="3961"/>
      <c r="BV35" s="3979">
        <f>BU35/12</f>
        <v>0</v>
      </c>
      <c r="BW35" s="1044"/>
      <c r="BX35" s="1044"/>
      <c r="BY35" s="1016"/>
      <c r="BZ35" s="88"/>
      <c r="CA35" s="307"/>
    </row>
    <row r="36" spans="57:79" ht="14.25" x14ac:dyDescent="0.25">
      <c r="BE36" s="305"/>
      <c r="BF36" s="306"/>
      <c r="BG36" s="327">
        <v>3</v>
      </c>
      <c r="BH36" s="523"/>
      <c r="BI36" s="327"/>
      <c r="BJ36" s="327"/>
      <c r="BK36" s="327"/>
      <c r="BL36" s="3961">
        <f>IF(OR(BM36="",BM36="N/A"),BN36,BM36)</f>
        <v>0</v>
      </c>
      <c r="BM36" s="526"/>
      <c r="BN36" s="526"/>
      <c r="BO36" s="1017"/>
      <c r="BP36" s="1017"/>
      <c r="BQ36" s="1017">
        <f>1-BP36</f>
        <v>1</v>
      </c>
      <c r="BR36" s="1044"/>
      <c r="BS36" s="1044"/>
      <c r="BT36" s="1044"/>
      <c r="BU36" s="3961"/>
      <c r="BV36" s="3979">
        <f>BU36/12</f>
        <v>0</v>
      </c>
      <c r="BW36" s="1044"/>
      <c r="BX36" s="1044"/>
      <c r="BY36" s="1016"/>
      <c r="BZ36" s="88"/>
      <c r="CA36" s="307"/>
    </row>
    <row r="37" spans="57:79" ht="14.25" x14ac:dyDescent="0.25">
      <c r="BE37" s="305"/>
      <c r="BF37" s="306"/>
      <c r="BG37" s="327">
        <v>4</v>
      </c>
      <c r="BH37" s="523"/>
      <c r="BI37" s="327"/>
      <c r="BJ37" s="327"/>
      <c r="BK37" s="327"/>
      <c r="BL37" s="3961">
        <f>IF(OR(BM37="",BM37="N/A"),BN37,BM37)</f>
        <v>0</v>
      </c>
      <c r="BM37" s="526"/>
      <c r="BN37" s="526"/>
      <c r="BO37" s="1017"/>
      <c r="BP37" s="1017"/>
      <c r="BQ37" s="1017">
        <f>1-BP37</f>
        <v>1</v>
      </c>
      <c r="BR37" s="1044"/>
      <c r="BS37" s="1044"/>
      <c r="BT37" s="1044"/>
      <c r="BU37" s="3961"/>
      <c r="BV37" s="3979">
        <f>BU37/12</f>
        <v>0</v>
      </c>
      <c r="BW37" s="1044"/>
      <c r="BX37" s="1044"/>
      <c r="BY37" s="1016"/>
      <c r="BZ37" s="88"/>
      <c r="CA37" s="307"/>
    </row>
    <row r="38" spans="57:79" ht="14.25" x14ac:dyDescent="0.25">
      <c r="BE38" s="305"/>
      <c r="BF38" s="306"/>
      <c r="BG38" s="1227">
        <v>5</v>
      </c>
      <c r="BH38" s="1228"/>
      <c r="BI38" s="1227"/>
      <c r="BJ38" s="1227"/>
      <c r="BK38" s="1227"/>
      <c r="BL38" s="1229">
        <f>IF(OR(BM38="",BM38="N/A"),BN38,BM38)</f>
        <v>0</v>
      </c>
      <c r="BM38" s="1230"/>
      <c r="BN38" s="1230"/>
      <c r="BO38" s="1231"/>
      <c r="BP38" s="1231"/>
      <c r="BQ38" s="1231">
        <f>1-BP38</f>
        <v>1</v>
      </c>
      <c r="BR38" s="1232"/>
      <c r="BS38" s="1232"/>
      <c r="BT38" s="1232"/>
      <c r="BU38" s="1229"/>
      <c r="BV38" s="1382">
        <f>BU38/12</f>
        <v>0</v>
      </c>
      <c r="BW38" s="1232"/>
      <c r="BX38" s="1232"/>
      <c r="BY38" s="1233"/>
      <c r="BZ38" s="88"/>
      <c r="CA38" s="307"/>
    </row>
    <row r="39" spans="57:79" thickBot="1" x14ac:dyDescent="0.3">
      <c r="BE39" s="305"/>
      <c r="BF39" s="306"/>
      <c r="BG39" s="310"/>
      <c r="BH39" s="1220"/>
      <c r="BI39" s="1221"/>
      <c r="BJ39" s="1221"/>
      <c r="BK39" s="1221"/>
      <c r="BL39" s="1222"/>
      <c r="BM39" s="1222"/>
      <c r="BN39" s="1222"/>
      <c r="BO39" s="1223"/>
      <c r="BP39" s="1224"/>
      <c r="BQ39" s="1223" t="str">
        <f>IF(BQ41=1,"Mean","")</f>
        <v>Mean</v>
      </c>
      <c r="BR39" s="1225"/>
      <c r="BS39" s="1225"/>
      <c r="BT39" s="1225"/>
      <c r="BU39" s="1225"/>
      <c r="BV39" s="1225"/>
      <c r="BW39" s="1225"/>
      <c r="BX39" s="1225"/>
      <c r="BY39" s="1226"/>
      <c r="BZ39" s="88"/>
      <c r="CA39" s="307"/>
    </row>
    <row r="40" spans="57:79" thickBot="1" x14ac:dyDescent="0.3">
      <c r="BE40" s="302"/>
      <c r="BF40" s="303"/>
      <c r="BG40" s="554" t="s">
        <v>1825</v>
      </c>
      <c r="BH40" s="1060"/>
      <c r="BI40" s="1060"/>
      <c r="BJ40" s="1060"/>
      <c r="BK40" s="1060"/>
      <c r="BL40" s="1062"/>
      <c r="BM40" s="1062"/>
      <c r="BN40" s="1062"/>
      <c r="BO40" s="1062"/>
      <c r="BP40" s="1062"/>
      <c r="BQ40" s="1062"/>
      <c r="BR40" s="1062"/>
      <c r="BS40" s="1062"/>
      <c r="BT40" s="1062"/>
      <c r="BU40" s="1062"/>
      <c r="BV40" s="1062"/>
      <c r="BW40" s="1062"/>
      <c r="BX40" s="1062"/>
      <c r="BY40" s="1062"/>
      <c r="BZ40" s="303"/>
      <c r="CA40" s="304"/>
    </row>
    <row r="41" spans="57:79" ht="14.25" x14ac:dyDescent="0.25">
      <c r="BE41" s="32"/>
      <c r="BF41" s="32"/>
      <c r="BG41" s="1061"/>
      <c r="BH41" s="1061"/>
      <c r="BI41" s="41">
        <v>1</v>
      </c>
      <c r="BJ41" s="41">
        <v>1</v>
      </c>
      <c r="BK41" s="41">
        <v>1</v>
      </c>
      <c r="BL41" s="957">
        <v>1</v>
      </c>
      <c r="BM41" s="957">
        <v>0</v>
      </c>
      <c r="BN41" s="957">
        <v>0</v>
      </c>
      <c r="BO41" s="957">
        <v>1</v>
      </c>
      <c r="BP41" s="957">
        <v>0</v>
      </c>
      <c r="BQ41" s="957">
        <v>1</v>
      </c>
      <c r="BR41" s="957">
        <v>0</v>
      </c>
      <c r="BS41" s="957">
        <v>0</v>
      </c>
      <c r="BT41" s="957">
        <v>1</v>
      </c>
      <c r="BU41" s="957">
        <v>0</v>
      </c>
      <c r="BV41" s="957">
        <f>IF(Income_OAR_RemLeaseTermOptionB2="Hide",0,1)</f>
        <v>0</v>
      </c>
      <c r="BW41" s="957">
        <v>0</v>
      </c>
      <c r="BX41" s="957">
        <v>0</v>
      </c>
      <c r="BY41" s="957">
        <v>0</v>
      </c>
      <c r="BZ41" s="32"/>
      <c r="CA41" s="32"/>
    </row>
    <row r="42" spans="57:79" ht="14.25" x14ac:dyDescent="0.25"/>
    <row r="43" spans="57:79" ht="14.25" x14ac:dyDescent="0.25"/>
    <row r="44" spans="57:79" ht="14.25" x14ac:dyDescent="0.25"/>
    <row r="45" spans="57:79" ht="14.25" x14ac:dyDescent="0.25"/>
    <row r="46" spans="57:79" ht="14.25" x14ac:dyDescent="0.25"/>
    <row r="47" spans="57:79" ht="14.25" x14ac:dyDescent="0.25"/>
    <row r="48" spans="57:79" ht="14.25" x14ac:dyDescent="0.25"/>
    <row r="49" ht="14.25" x14ac:dyDescent="0.25"/>
    <row r="50" ht="14.25" x14ac:dyDescent="0.25"/>
    <row r="51" ht="14.25" x14ac:dyDescent="0.25"/>
    <row r="52" ht="14.25" x14ac:dyDescent="0.25"/>
    <row r="53" ht="14.25" x14ac:dyDescent="0.25"/>
    <row r="54" ht="14.25" x14ac:dyDescent="0.25"/>
    <row r="55" ht="14.25" x14ac:dyDescent="0.25"/>
    <row r="56" ht="14.25" x14ac:dyDescent="0.25"/>
    <row r="57" ht="14.25" x14ac:dyDescent="0.25"/>
    <row r="58" ht="14.25" x14ac:dyDescent="0.25"/>
    <row r="59" ht="14.25" x14ac:dyDescent="0.25"/>
    <row r="60" ht="14.25" x14ac:dyDescent="0.25"/>
    <row r="61" ht="14.25" x14ac:dyDescent="0.25"/>
    <row r="62" ht="14.25" x14ac:dyDescent="0.25"/>
    <row r="63" ht="14.25" x14ac:dyDescent="0.25"/>
    <row r="64" ht="14.25" x14ac:dyDescent="0.25"/>
    <row r="65" ht="14.25" x14ac:dyDescent="0.25"/>
    <row r="66" ht="14.25" x14ac:dyDescent="0.25"/>
    <row r="67" ht="14.25" x14ac:dyDescent="0.25"/>
    <row r="68" ht="14.25" x14ac:dyDescent="0.25"/>
    <row r="69" ht="14.25" x14ac:dyDescent="0.25"/>
    <row r="70" ht="14.25" x14ac:dyDescent="0.25"/>
    <row r="71" ht="14.25" x14ac:dyDescent="0.25"/>
    <row r="72" ht="14.25" x14ac:dyDescent="0.25"/>
    <row r="73" ht="14.25" x14ac:dyDescent="0.25"/>
    <row r="74" ht="14.25" x14ac:dyDescent="0.25"/>
    <row r="75" ht="14.25" x14ac:dyDescent="0.25"/>
    <row r="76" ht="14.25" x14ac:dyDescent="0.25"/>
    <row r="77" ht="14.25" x14ac:dyDescent="0.25"/>
    <row r="78" ht="14.25" x14ac:dyDescent="0.25"/>
    <row r="79" ht="14.25" x14ac:dyDescent="0.25"/>
    <row r="80" ht="14.25" x14ac:dyDescent="0.25"/>
    <row r="81" ht="14.25" x14ac:dyDescent="0.25"/>
    <row r="82" ht="14.25" x14ac:dyDescent="0.25"/>
    <row r="83" ht="14.25" x14ac:dyDescent="0.25"/>
    <row r="84" ht="14.25" x14ac:dyDescent="0.25"/>
    <row r="85" ht="14.25" x14ac:dyDescent="0.25"/>
    <row r="86" ht="14.25" x14ac:dyDescent="0.25"/>
    <row r="87" ht="14.25" x14ac:dyDescent="0.25"/>
    <row r="88" ht="14.25" x14ac:dyDescent="0.25"/>
    <row r="89" ht="14.25" x14ac:dyDescent="0.25"/>
    <row r="90" ht="14.25" x14ac:dyDescent="0.25"/>
    <row r="91" ht="14.25" x14ac:dyDescent="0.25"/>
    <row r="92" ht="14.25" x14ac:dyDescent="0.25"/>
    <row r="93" ht="14.25" x14ac:dyDescent="0.25"/>
    <row r="94" ht="14.25" x14ac:dyDescent="0.25"/>
    <row r="95" ht="14.25" x14ac:dyDescent="0.25"/>
    <row r="96" ht="14.25" x14ac:dyDescent="0.25"/>
    <row r="97" ht="14.25" x14ac:dyDescent="0.25"/>
    <row r="98" ht="14.25" x14ac:dyDescent="0.25"/>
    <row r="99" ht="14.25" x14ac:dyDescent="0.25"/>
    <row r="100" ht="14.25" x14ac:dyDescent="0.25"/>
    <row r="101" ht="14.25" x14ac:dyDescent="0.25"/>
    <row r="102" ht="14.25" x14ac:dyDescent="0.25"/>
  </sheetData>
  <mergeCells count="2">
    <mergeCell ref="AE3:AE4"/>
    <mergeCell ref="Z3:AC3"/>
  </mergeCells>
  <printOptions horizontalCentered="1"/>
  <pageMargins left="0.5" right="0.5" top="0.75" bottom="0.75" header="0.3" footer="0.3"/>
  <pageSetup fitToHeight="0" orientation="landscape"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Invalid Option - Please Select from the List" prompt="Select Whether Remaining Lease Term Should Show or Hide; Generally Limited to Net Lease Properties" xr:uid="{00000000-0002-0000-3500-000000000000}">
          <x14:formula1>
            <xm:f>'Selection Tables'!$D$25:$D$26</xm:f>
          </x14:formula1>
          <xm:sqref>AE5:AE7</xm:sqref>
        </x14:dataValidation>
      </x14:dataValidations>
    </ext>
  </extLs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38">
    <tabColor theme="5" tint="-0.249977111117893"/>
  </sheetPr>
  <dimension ref="A1:X177"/>
  <sheetViews>
    <sheetView zoomScaleNormal="100" workbookViewId="0">
      <selection activeCell="AC15" sqref="AC15"/>
    </sheetView>
  </sheetViews>
  <sheetFormatPr defaultColWidth="9.140625" defaultRowHeight="14.25" x14ac:dyDescent="0.25"/>
  <cols>
    <col min="1" max="1" width="5.7109375" style="96" customWidth="1"/>
    <col min="2" max="2" width="1.7109375" style="10" customWidth="1"/>
    <col min="3" max="3" width="0.85546875" style="10" customWidth="1"/>
    <col min="4" max="4" width="22.7109375" style="10" customWidth="1"/>
    <col min="5" max="5" width="3.7109375" style="13" customWidth="1"/>
    <col min="6" max="6" width="21.7109375" style="13" customWidth="1"/>
    <col min="7" max="7" width="1.7109375" style="13" customWidth="1"/>
    <col min="8" max="8" width="12.7109375" style="13" customWidth="1"/>
    <col min="9" max="9" width="8.7109375" style="13" customWidth="1"/>
    <col min="10" max="10" width="0.85546875" style="10" customWidth="1"/>
    <col min="11" max="11" width="2.7109375" style="10" customWidth="1"/>
    <col min="12" max="12" width="8.7109375" style="10" customWidth="1"/>
    <col min="13" max="13" width="8.7109375" style="13" customWidth="1"/>
    <col min="14" max="14" width="0.85546875" style="10" customWidth="1"/>
    <col min="15" max="15" width="1.7109375" style="10" customWidth="1"/>
    <col min="16" max="20" width="8.7109375" style="10" customWidth="1"/>
    <col min="21" max="21" width="1.7109375" style="10" customWidth="1"/>
    <col min="22" max="24" width="12.7109375" style="10" customWidth="1"/>
    <col min="25" max="27" width="10.7109375" style="10" customWidth="1"/>
    <col min="28" max="16384" width="9.140625" style="10"/>
  </cols>
  <sheetData>
    <row r="1" spans="1:15" ht="60" customHeight="1" x14ac:dyDescent="0.25"/>
    <row r="2" spans="1:15" ht="35.1" customHeight="1" thickBot="1" x14ac:dyDescent="0.3"/>
    <row r="3" spans="1:15" ht="15" customHeight="1" x14ac:dyDescent="0.25">
      <c r="B3" s="1"/>
      <c r="C3" s="2"/>
      <c r="D3" s="2"/>
      <c r="E3" s="202"/>
      <c r="F3" s="202"/>
      <c r="G3" s="202"/>
      <c r="H3" s="202"/>
      <c r="I3" s="202"/>
      <c r="J3" s="2"/>
      <c r="K3" s="2"/>
      <c r="L3" s="2"/>
      <c r="M3" s="202"/>
      <c r="N3" s="2"/>
      <c r="O3" s="3"/>
    </row>
    <row r="4" spans="1:15" x14ac:dyDescent="0.25">
      <c r="B4" s="4"/>
      <c r="C4" s="5"/>
      <c r="D4" s="4323" t="s">
        <v>18008</v>
      </c>
      <c r="E4" s="4324"/>
      <c r="F4" s="4325"/>
      <c r="G4" s="39"/>
      <c r="H4" s="39"/>
      <c r="I4" s="39"/>
      <c r="J4" s="5"/>
      <c r="K4" s="5"/>
      <c r="L4" s="5"/>
      <c r="M4" s="39"/>
      <c r="N4" s="5"/>
      <c r="O4" s="6"/>
    </row>
    <row r="5" spans="1:15" x14ac:dyDescent="0.25">
      <c r="B5" s="4"/>
      <c r="C5" s="5"/>
      <c r="D5" s="5"/>
      <c r="E5" s="39"/>
      <c r="F5" s="39"/>
      <c r="G5" s="39"/>
      <c r="H5" s="39"/>
      <c r="I5" s="39"/>
      <c r="J5" s="5"/>
      <c r="K5" s="5"/>
      <c r="L5" s="5"/>
      <c r="M5" s="39"/>
      <c r="N5" s="5"/>
      <c r="O5" s="6"/>
    </row>
    <row r="6" spans="1:15" ht="16.5" x14ac:dyDescent="0.25">
      <c r="B6" s="4"/>
      <c r="C6" s="52"/>
      <c r="D6" s="3755" t="s">
        <v>463</v>
      </c>
      <c r="E6" s="2049"/>
      <c r="F6" s="2049"/>
      <c r="G6" s="2049"/>
      <c r="H6" s="3649"/>
      <c r="I6" s="3650"/>
      <c r="J6" s="52"/>
      <c r="K6" s="5"/>
      <c r="L6" s="5"/>
      <c r="M6" s="39"/>
      <c r="N6" s="5"/>
      <c r="O6" s="6"/>
    </row>
    <row r="7" spans="1:15" s="36" customFormat="1" ht="16.5" customHeight="1" x14ac:dyDescent="0.25">
      <c r="A7" s="243"/>
      <c r="B7" s="87"/>
      <c r="C7" s="3769"/>
      <c r="D7" s="3787" t="s">
        <v>18656</v>
      </c>
      <c r="E7" s="3788"/>
      <c r="F7" s="3789" t="s">
        <v>18655</v>
      </c>
      <c r="G7" s="4327"/>
      <c r="H7" s="4327"/>
      <c r="I7" s="3790"/>
      <c r="J7" s="3790"/>
      <c r="K7" s="3790"/>
      <c r="L7" s="3790"/>
      <c r="M7" s="3771"/>
      <c r="N7" s="3769"/>
      <c r="O7" s="89"/>
    </row>
    <row r="8" spans="1:15" s="36" customFormat="1" ht="16.5" customHeight="1" x14ac:dyDescent="0.25">
      <c r="A8" s="243"/>
      <c r="B8" s="87"/>
      <c r="C8" s="258"/>
      <c r="D8" s="258" t="s">
        <v>464</v>
      </c>
      <c r="E8" s="423" t="s">
        <v>177</v>
      </c>
      <c r="F8" s="2359">
        <v>0.06</v>
      </c>
      <c r="G8" s="4314"/>
      <c r="H8" s="4314"/>
      <c r="I8" s="2276"/>
      <c r="J8" s="3209"/>
      <c r="K8" s="92"/>
      <c r="L8" s="2276"/>
      <c r="M8" s="1314"/>
      <c r="N8" s="258"/>
      <c r="O8" s="2371"/>
    </row>
    <row r="9" spans="1:15" ht="15" customHeight="1" x14ac:dyDescent="0.25">
      <c r="B9" s="4"/>
      <c r="C9" s="258"/>
      <c r="D9" s="258" t="s">
        <v>472</v>
      </c>
      <c r="E9" s="423" t="s">
        <v>177</v>
      </c>
      <c r="F9" s="3659">
        <v>25</v>
      </c>
      <c r="G9" s="4314"/>
      <c r="H9" s="4314"/>
      <c r="I9" s="3651"/>
      <c r="J9" s="3209"/>
      <c r="K9" s="92"/>
      <c r="L9" s="3651"/>
      <c r="M9" s="3706"/>
      <c r="N9" s="258"/>
      <c r="O9" s="2371"/>
    </row>
    <row r="10" spans="1:15" ht="15" customHeight="1" x14ac:dyDescent="0.25">
      <c r="B10" s="4"/>
      <c r="C10" s="258"/>
      <c r="D10" s="258" t="s">
        <v>471</v>
      </c>
      <c r="E10" s="423" t="s">
        <v>177</v>
      </c>
      <c r="F10" s="2979">
        <v>0.8</v>
      </c>
      <c r="G10" s="4326"/>
      <c r="H10" s="4326"/>
      <c r="I10" s="3645"/>
      <c r="J10" s="3209"/>
      <c r="K10" s="92"/>
      <c r="L10" s="3645"/>
      <c r="M10" s="3705"/>
      <c r="N10" s="258"/>
      <c r="O10" s="2371"/>
    </row>
    <row r="11" spans="1:15" ht="15" customHeight="1" x14ac:dyDescent="0.25">
      <c r="B11" s="4"/>
      <c r="C11" s="258"/>
      <c r="D11" s="258" t="s">
        <v>465</v>
      </c>
      <c r="E11" s="423" t="s">
        <v>177</v>
      </c>
      <c r="F11" s="3652">
        <f>IFERROR(ROUND(((Income_MortgageInterestRate/12)/(1-(1/((1+(Income_MortgageInterestRate/12))^(Income_MortgageTerm*12)))))*12,5),"---")</f>
        <v>7.732E-2</v>
      </c>
      <c r="G11" s="423"/>
      <c r="H11" s="3653"/>
      <c r="I11" s="3209"/>
      <c r="J11" s="3209"/>
      <c r="K11" s="92"/>
      <c r="L11" s="92"/>
      <c r="M11" s="3653"/>
      <c r="N11" s="258"/>
      <c r="O11" s="2371"/>
    </row>
    <row r="12" spans="1:15" ht="15" customHeight="1" x14ac:dyDescent="0.25">
      <c r="B12" s="4"/>
      <c r="C12" s="258"/>
      <c r="D12" s="258" t="s">
        <v>467</v>
      </c>
      <c r="E12" s="423" t="s">
        <v>177</v>
      </c>
      <c r="F12" s="2359">
        <v>4.4999999999999998E-2</v>
      </c>
      <c r="G12" s="423"/>
      <c r="H12" s="3653"/>
      <c r="I12" s="2359"/>
      <c r="J12" s="3209"/>
      <c r="K12" s="92"/>
      <c r="L12" s="2359"/>
      <c r="M12" s="3500"/>
      <c r="N12" s="258"/>
      <c r="O12" s="2371"/>
    </row>
    <row r="13" spans="1:15" ht="21" customHeight="1" x14ac:dyDescent="0.25">
      <c r="B13" s="4"/>
      <c r="C13" s="258"/>
      <c r="D13" s="423" t="s">
        <v>466</v>
      </c>
      <c r="E13" s="258"/>
      <c r="F13" s="423" t="s">
        <v>465</v>
      </c>
      <c r="G13" s="258"/>
      <c r="H13" s="4315" t="s">
        <v>468</v>
      </c>
      <c r="I13" s="4315"/>
      <c r="J13" s="3654"/>
      <c r="K13" s="423"/>
      <c r="L13" s="258"/>
      <c r="M13" s="423"/>
      <c r="N13" s="258"/>
      <c r="O13" s="2371"/>
    </row>
    <row r="14" spans="1:15" s="142" customFormat="1" ht="15" customHeight="1" x14ac:dyDescent="0.25">
      <c r="A14" s="330"/>
      <c r="B14" s="286"/>
      <c r="C14" s="2984"/>
      <c r="D14" s="3646">
        <f>Income_MortgageRatio</f>
        <v>0.8</v>
      </c>
      <c r="E14" s="2985" t="s">
        <v>176</v>
      </c>
      <c r="F14" s="3655">
        <f>Income_MortgageConstant</f>
        <v>7.732E-2</v>
      </c>
      <c r="G14" s="2985" t="s">
        <v>177</v>
      </c>
      <c r="H14" s="4328">
        <f>IFERROR(D14*F14,"---")</f>
        <v>6.1856000000000001E-2</v>
      </c>
      <c r="I14" s="4328"/>
      <c r="J14" s="3656"/>
      <c r="K14" s="2985"/>
      <c r="L14" s="2984"/>
      <c r="M14" s="2984"/>
      <c r="N14" s="2984"/>
      <c r="O14" s="2371"/>
    </row>
    <row r="15" spans="1:15" ht="21" customHeight="1" x14ac:dyDescent="0.25">
      <c r="B15" s="4"/>
      <c r="C15" s="258"/>
      <c r="D15" s="423" t="s">
        <v>470</v>
      </c>
      <c r="E15" s="258"/>
      <c r="F15" s="423" t="s">
        <v>467</v>
      </c>
      <c r="G15" s="423"/>
      <c r="H15" s="4315" t="s">
        <v>469</v>
      </c>
      <c r="I15" s="4315"/>
      <c r="J15" s="3654"/>
      <c r="K15" s="423"/>
      <c r="L15" s="258"/>
      <c r="M15" s="423"/>
      <c r="N15" s="258"/>
      <c r="O15" s="2371"/>
    </row>
    <row r="16" spans="1:15" s="142" customFormat="1" ht="15" customHeight="1" x14ac:dyDescent="0.25">
      <c r="A16" s="330"/>
      <c r="B16" s="286"/>
      <c r="C16" s="2984"/>
      <c r="D16" s="3657">
        <f>1-Income_MortgageRatio</f>
        <v>0.19999999999999996</v>
      </c>
      <c r="E16" s="2985" t="s">
        <v>176</v>
      </c>
      <c r="F16" s="3658">
        <f>Income_EquityDividendRate</f>
        <v>4.4999999999999998E-2</v>
      </c>
      <c r="G16" s="2985" t="s">
        <v>177</v>
      </c>
      <c r="H16" s="4328">
        <f>IFERROR(D16*F16,"---")</f>
        <v>8.9999999999999976E-3</v>
      </c>
      <c r="I16" s="4328"/>
      <c r="J16" s="3656"/>
      <c r="K16" s="2984"/>
      <c r="L16" s="2984"/>
      <c r="M16" s="2984"/>
      <c r="N16" s="2984"/>
      <c r="O16" s="2371"/>
    </row>
    <row r="17" spans="1:24" s="36" customFormat="1" ht="18" customHeight="1" thickBot="1" x14ac:dyDescent="0.3">
      <c r="A17" s="243"/>
      <c r="B17" s="87"/>
      <c r="C17" s="259"/>
      <c r="D17" s="3647"/>
      <c r="E17" s="2840"/>
      <c r="F17" s="3648" t="s">
        <v>1042</v>
      </c>
      <c r="G17" s="3351" t="s">
        <v>177</v>
      </c>
      <c r="H17" s="4322">
        <f>IFERROR(H14+H16,"---")</f>
        <v>7.0856000000000002E-2</v>
      </c>
      <c r="I17" s="4322"/>
      <c r="J17" s="2840"/>
      <c r="K17" s="2840"/>
      <c r="L17" s="2840"/>
      <c r="M17" s="2840"/>
      <c r="N17" s="259"/>
      <c r="O17" s="2371"/>
    </row>
    <row r="18" spans="1:24" ht="16.5" customHeight="1" x14ac:dyDescent="0.25">
      <c r="B18" s="4"/>
      <c r="C18" s="258"/>
      <c r="D18" s="2360" t="s">
        <v>919</v>
      </c>
      <c r="E18" s="423"/>
      <c r="F18" s="423"/>
      <c r="G18" s="423"/>
      <c r="H18" s="423"/>
      <c r="I18" s="423"/>
      <c r="J18" s="258"/>
      <c r="K18" s="258"/>
      <c r="L18" s="258"/>
      <c r="M18" s="423"/>
      <c r="N18" s="258"/>
      <c r="O18" s="89"/>
    </row>
    <row r="19" spans="1:24" ht="9.9499999999999993" customHeight="1" x14ac:dyDescent="0.25">
      <c r="B19" s="4"/>
      <c r="C19" s="258"/>
      <c r="D19" s="2360"/>
      <c r="E19" s="423"/>
      <c r="F19" s="423"/>
      <c r="G19" s="423"/>
      <c r="H19" s="423"/>
      <c r="I19" s="423"/>
      <c r="J19" s="258"/>
      <c r="K19" s="258"/>
      <c r="L19" s="258"/>
      <c r="M19" s="258"/>
      <c r="N19" s="258"/>
      <c r="O19" s="89"/>
    </row>
    <row r="20" spans="1:24" ht="16.5" customHeight="1" x14ac:dyDescent="0.25">
      <c r="B20" s="4"/>
      <c r="C20" s="52"/>
      <c r="D20" s="505" t="s">
        <v>18654</v>
      </c>
      <c r="E20" s="2049"/>
      <c r="F20" s="2049"/>
      <c r="G20" s="2049"/>
      <c r="H20" s="2049"/>
      <c r="I20" s="2049"/>
      <c r="J20" s="52"/>
      <c r="K20" s="52"/>
      <c r="L20" s="52"/>
      <c r="M20" s="52"/>
      <c r="N20" s="52"/>
      <c r="O20" s="89"/>
    </row>
    <row r="21" spans="1:24" ht="16.5" customHeight="1" x14ac:dyDescent="0.25">
      <c r="B21" s="4"/>
      <c r="D21" s="667" t="s">
        <v>18656</v>
      </c>
      <c r="F21" s="751" t="s">
        <v>18655</v>
      </c>
      <c r="G21" s="161"/>
      <c r="H21" s="165" t="str">
        <f>IF(Income_BOI_RealtyRatesSource="","","Survey")</f>
        <v>Survey</v>
      </c>
      <c r="I21" s="2983" t="str">
        <f>IF(Income_BOI_RealtyRatesSource="","","RealtyRates Range")</f>
        <v>RealtyRates Range</v>
      </c>
      <c r="M21" s="165" t="str">
        <f>IF(Income_BOI_RealtyRatesSource="","","Average")</f>
        <v>Average</v>
      </c>
      <c r="O21" s="89"/>
    </row>
    <row r="22" spans="1:24" ht="16.5" customHeight="1" x14ac:dyDescent="0.25">
      <c r="B22" s="4"/>
      <c r="C22" s="258"/>
      <c r="D22" s="92" t="s">
        <v>18653</v>
      </c>
      <c r="E22" s="423"/>
      <c r="F22" s="2988"/>
      <c r="G22" s="3534"/>
      <c r="H22" s="4314" t="str">
        <f>IF(Income_BOI_RealtyRatesSource="","",Income_BOI_RealtyRatesSource)</f>
        <v>Realty Rates - Industrial</v>
      </c>
      <c r="I22" s="423">
        <f>IF(Income_BOI_RealtyRatesSource="","",IFERROR(INDEX(tblRR_Data[],MATCH($D$4,tblRR_Data[Category],0),MATCH("DCR Low",tblRR_Data[#Headers],0)),""))</f>
        <v>1.1000000000000001</v>
      </c>
      <c r="J22" s="92"/>
      <c r="K22" s="92" t="str">
        <f>IF(Income_BOI_RealtyRatesSource="","","to")</f>
        <v>to</v>
      </c>
      <c r="L22" s="423">
        <f>IF(Income_BOI_RealtyRatesSource="","",IFERROR(INDEX(tblRR_Data[],MATCH($D$4,tblRR_Data[Category],0),MATCH("DCR High",tblRR_Data[#Headers],0)),""))</f>
        <v>2.0499999999999998</v>
      </c>
      <c r="M22" s="423">
        <f>IF(Income_BOI_RealtyRatesSource="","",IFERROR(INDEX(tblRR_Data[],MATCH($D$4,tblRR_Data[Category],0),MATCH("DCR Avg",tblRR_Data[#Headers],0)),""))</f>
        <v>1.45</v>
      </c>
      <c r="N22" s="258"/>
      <c r="O22" s="2371"/>
    </row>
    <row r="23" spans="1:24" ht="16.5" customHeight="1" x14ac:dyDescent="0.25">
      <c r="B23" s="4"/>
      <c r="C23" s="258"/>
      <c r="D23" s="92" t="s">
        <v>471</v>
      </c>
      <c r="E23" s="415" t="s">
        <v>176</v>
      </c>
      <c r="F23" s="2988">
        <f>Income_MortgageRatio</f>
        <v>0.8</v>
      </c>
      <c r="G23" s="3534"/>
      <c r="H23" s="4314"/>
      <c r="I23" s="3645">
        <f>IF(Income_BOI_RealtyRatesSource="","",IFERROR(INDEX(tblRR_Data[],MATCH($D$4,tblRR_Data[Category],0),MATCH("LTV Low",tblRR_Data[#Headers],0)),""))</f>
        <v>0.5</v>
      </c>
      <c r="J23" s="92"/>
      <c r="K23" s="92" t="str">
        <f>IF(Income_BOI_RealtyRatesSource="","","to")</f>
        <v>to</v>
      </c>
      <c r="L23" s="3645">
        <f>IF(Income_BOI_RealtyRatesSource="","",IFERROR(INDEX(tblRR_Data[],MATCH($D$4,tblRR_Data[Category],0),MATCH("LTV High",tblRR_Data[#Headers],0)),""))</f>
        <v>0.8</v>
      </c>
      <c r="M23" s="3705">
        <f>IF(Income_BOI_RealtyRatesSource="","",IFERROR(INDEX(tblRR_Data[],MATCH($D$4,tblRR_Data[Category],0),MATCH("LTV Avg",tblRR_Data[#Headers],0)),""))</f>
        <v>0.7</v>
      </c>
      <c r="N23" s="258"/>
      <c r="O23" s="2371"/>
    </row>
    <row r="24" spans="1:24" ht="16.5" customHeight="1" x14ac:dyDescent="0.25">
      <c r="B24" s="4"/>
      <c r="C24" s="258"/>
      <c r="D24" s="92" t="s">
        <v>18657</v>
      </c>
      <c r="E24" s="415" t="s">
        <v>176</v>
      </c>
      <c r="F24" s="3660">
        <f>Income_MortgageConstant</f>
        <v>7.732E-2</v>
      </c>
      <c r="G24" s="423"/>
      <c r="H24" s="423"/>
      <c r="I24" s="423"/>
      <c r="J24" s="258"/>
      <c r="K24" s="258"/>
      <c r="L24" s="258"/>
      <c r="M24" s="423"/>
      <c r="N24" s="258"/>
      <c r="O24" s="2371"/>
    </row>
    <row r="25" spans="1:24" ht="16.5" customHeight="1" thickBot="1" x14ac:dyDescent="0.3">
      <c r="B25" s="4"/>
      <c r="C25" s="258"/>
      <c r="D25" s="3389" t="s">
        <v>1042</v>
      </c>
      <c r="E25" s="3661"/>
      <c r="F25" s="3662">
        <f>IFERROR(F22*F23*F24,"---")</f>
        <v>0</v>
      </c>
      <c r="G25" s="423"/>
      <c r="H25" s="423"/>
      <c r="I25" s="423"/>
      <c r="J25" s="258"/>
      <c r="K25" s="258"/>
      <c r="L25" s="258"/>
      <c r="M25" s="423"/>
      <c r="N25" s="258"/>
      <c r="O25" s="2371"/>
    </row>
    <row r="26" spans="1:24" ht="16.5" customHeight="1" x14ac:dyDescent="0.25">
      <c r="B26" s="4"/>
      <c r="C26" s="258"/>
      <c r="D26" s="909" t="s">
        <v>18658</v>
      </c>
      <c r="E26" s="2126"/>
      <c r="F26" s="2126"/>
      <c r="G26" s="2126"/>
      <c r="H26" s="2126"/>
      <c r="I26" s="2126"/>
      <c r="J26" s="2986"/>
      <c r="K26" s="2986"/>
      <c r="L26" s="2986"/>
      <c r="M26" s="2126"/>
      <c r="N26" s="258"/>
      <c r="O26" s="89"/>
    </row>
    <row r="27" spans="1:24" ht="25.5" customHeight="1" thickBot="1" x14ac:dyDescent="0.3">
      <c r="B27" s="4"/>
      <c r="C27" s="258"/>
      <c r="D27" s="2360"/>
      <c r="E27" s="423"/>
      <c r="F27" s="423"/>
      <c r="G27" s="423"/>
      <c r="H27" s="423"/>
      <c r="I27" s="423"/>
      <c r="J27" s="258"/>
      <c r="K27" s="258"/>
      <c r="L27" s="258"/>
      <c r="M27" s="423"/>
      <c r="N27" s="258"/>
      <c r="O27" s="2368"/>
    </row>
    <row r="28" spans="1:24" ht="16.5" x14ac:dyDescent="0.25">
      <c r="A28" s="957">
        <v>1</v>
      </c>
      <c r="B28" s="4"/>
      <c r="C28" s="2987"/>
      <c r="D28" s="514" t="s">
        <v>473</v>
      </c>
      <c r="E28" s="3670"/>
      <c r="F28" s="3670"/>
      <c r="G28" s="3670"/>
      <c r="H28" s="3670"/>
      <c r="I28" s="3670"/>
      <c r="J28" s="2987"/>
      <c r="K28" s="52"/>
      <c r="L28" s="52"/>
      <c r="M28" s="2049"/>
      <c r="N28" s="52"/>
      <c r="O28" s="6"/>
      <c r="P28" s="4316" t="s">
        <v>636</v>
      </c>
      <c r="Q28" s="4317"/>
      <c r="R28" s="4317"/>
      <c r="S28" s="4317"/>
      <c r="T28" s="4318"/>
    </row>
    <row r="29" spans="1:24" s="36" customFormat="1" ht="16.5" customHeight="1" thickBot="1" x14ac:dyDescent="0.3">
      <c r="A29" s="972">
        <v>1</v>
      </c>
      <c r="B29" s="87"/>
      <c r="C29" s="731"/>
      <c r="D29" s="161" t="s">
        <v>282</v>
      </c>
      <c r="E29" s="165"/>
      <c r="F29" s="165"/>
      <c r="G29" s="161"/>
      <c r="H29" s="165" t="s">
        <v>122</v>
      </c>
      <c r="I29" s="4272" t="s">
        <v>475</v>
      </c>
      <c r="J29" s="4272"/>
      <c r="K29" s="4272"/>
      <c r="L29" s="4272"/>
      <c r="M29" s="165" t="s">
        <v>306</v>
      </c>
      <c r="N29" s="731"/>
      <c r="O29" s="89"/>
      <c r="P29" s="1616" t="s">
        <v>637</v>
      </c>
      <c r="Q29" s="1624"/>
      <c r="R29" s="1616" t="s">
        <v>638</v>
      </c>
      <c r="S29" s="1624"/>
      <c r="T29" s="1625"/>
    </row>
    <row r="30" spans="1:24" ht="15" customHeight="1" thickBot="1" x14ac:dyDescent="0.3">
      <c r="A30" s="957">
        <f>IF(D30=0,0,1)</f>
        <v>1</v>
      </c>
      <c r="B30" s="4"/>
      <c r="C30" s="258"/>
      <c r="D30" s="4335" t="s">
        <v>17985</v>
      </c>
      <c r="E30" s="4335"/>
      <c r="F30" s="4335"/>
      <c r="G30" s="4335"/>
      <c r="H30" s="423" t="str">
        <f>IFERROR(INDEX(Income_InvSurvey_PwC,MATCH($D30,Income_InvSurvey_PwC_Category,0),MATCH($U$30,InvestorSurveys!$B$3:$U$3,0)),"")</f>
        <v>4Q23</v>
      </c>
      <c r="I30" s="2359">
        <f>IFERROR(INDEX(Income_InvSurvey_PwC,MATCH($D30,Income_InvSurvey_PwC_Category,0),MATCH($V$30,InvestorSurveys!$B$3:$U$3,0)),"")</f>
        <v>7.0000000000000007E-2</v>
      </c>
      <c r="J30" s="4315" t="s">
        <v>474</v>
      </c>
      <c r="K30" s="4315"/>
      <c r="L30" s="2359">
        <f>IFERROR(INDEX(Income_InvSurvey_PwC,MATCH($D30,Income_InvSurvey_PwC_Category,0),MATCH($W$30,InvestorSurveys!$B$3:$U$3,0)),"")</f>
        <v>0.15</v>
      </c>
      <c r="M30" s="2359">
        <f>IFERROR(INDEX(Income_InvSurvey_PwC,MATCH($D30,Income_InvSurvey_PwC_Category,0),MATCH($X$30,InvestorSurveys!$B$3:$U$3,0)),"")</f>
        <v>0.10340000000000001</v>
      </c>
      <c r="N30" s="258"/>
      <c r="O30" s="6"/>
      <c r="P30" s="382"/>
      <c r="Q30" s="382"/>
      <c r="R30" s="382"/>
      <c r="S30" s="382"/>
      <c r="T30" s="383"/>
      <c r="U30" s="2361" t="s">
        <v>122</v>
      </c>
      <c r="V30" s="2362" t="s">
        <v>17940</v>
      </c>
      <c r="W30" s="2362" t="s">
        <v>17941</v>
      </c>
      <c r="X30" s="2363" t="s">
        <v>17942</v>
      </c>
    </row>
    <row r="31" spans="1:24" ht="15" customHeight="1" x14ac:dyDescent="0.25">
      <c r="A31" s="957">
        <f>IF(D31=0,0,1)</f>
        <v>1</v>
      </c>
      <c r="B31" s="4"/>
      <c r="C31" s="258"/>
      <c r="D31" s="4335" t="s">
        <v>17995</v>
      </c>
      <c r="E31" s="4335"/>
      <c r="F31" s="4335"/>
      <c r="G31" s="4335"/>
      <c r="H31" s="423" t="str">
        <f>IFERROR(INDEX(Income_InvSurvey_PwC,MATCH($D31,Income_InvSurvey_PwC_Category,0),MATCH($U$30,InvestorSurveys!$B$3:$U$3,0)),"")</f>
        <v>4Q23</v>
      </c>
      <c r="I31" s="2359">
        <f>IFERROR(INDEX(Income_InvSurvey_PwC,MATCH($D31,Income_InvSurvey_PwC_Category,0),MATCH($V$30,InvestorSurveys!$B$3:$U$3,0)),"")</f>
        <v>6.25E-2</v>
      </c>
      <c r="J31" s="4315" t="s">
        <v>474</v>
      </c>
      <c r="K31" s="4315"/>
      <c r="L31" s="2359">
        <f>IFERROR(INDEX(Income_InvSurvey_PwC,MATCH($D31,Income_InvSurvey_PwC_Category,0),MATCH($W$30,InvestorSurveys!$B$3:$U$3,0)),"")</f>
        <v>0.11</v>
      </c>
      <c r="M31" s="2359">
        <f>IFERROR(INDEX(Income_InvSurvey_PwC,MATCH($D31,Income_InvSurvey_PwC_Category,0),MATCH($X$30,InvestorSurveys!$B$3:$U$3,0)),"")</f>
        <v>8.6599999999999996E-2</v>
      </c>
      <c r="N31" s="258"/>
      <c r="O31" s="6"/>
      <c r="P31" s="12"/>
    </row>
    <row r="32" spans="1:24" ht="15" hidden="1" customHeight="1" x14ac:dyDescent="0.25">
      <c r="A32" s="957">
        <f>IF(D32=0,0,1)</f>
        <v>0</v>
      </c>
      <c r="B32" s="4"/>
      <c r="C32" s="258"/>
      <c r="D32" s="4335"/>
      <c r="E32" s="4335"/>
      <c r="F32" s="4335"/>
      <c r="G32" s="4335"/>
      <c r="H32" s="423" t="str">
        <f>IFERROR(INDEX(Income_InvSurvey_PwC,MATCH($D32,Income_InvSurvey_PwC_Category,0),MATCH($U$30,InvestorSurveys!$B$3:$U$3,0)),"")</f>
        <v/>
      </c>
      <c r="I32" s="2359" t="str">
        <f>IFERROR(INDEX(Income_InvSurvey_PwC,MATCH($D32,Income_InvSurvey_PwC_Category,0),MATCH($V$30,InvestorSurveys!$B$3:$U$3,0)),"")</f>
        <v/>
      </c>
      <c r="J32" s="4315" t="s">
        <v>474</v>
      </c>
      <c r="K32" s="4315"/>
      <c r="L32" s="2359" t="str">
        <f>IFERROR(INDEX(Income_InvSurvey_PwC,MATCH($D32,Income_InvSurvey_PwC_Category,0),MATCH($W$30,InvestorSurveys!$B$3:$U$3,0)),"")</f>
        <v/>
      </c>
      <c r="M32" s="2359" t="str">
        <f>IFERROR(INDEX(Income_InvSurvey_PwC,MATCH($D32,Income_InvSurvey_PwC_Category,0),MATCH($X$30,InvestorSurveys!$B$3:$U$3,0)),"")</f>
        <v/>
      </c>
      <c r="N32" s="258"/>
      <c r="O32" s="6"/>
      <c r="P32" s="1996" t="s">
        <v>18041</v>
      </c>
    </row>
    <row r="33" spans="1:20" ht="15" hidden="1" customHeight="1" x14ac:dyDescent="0.25">
      <c r="A33" s="957">
        <f>IF(D33=0,0,1)</f>
        <v>0</v>
      </c>
      <c r="B33" s="4"/>
      <c r="C33" s="258"/>
      <c r="D33" s="4321"/>
      <c r="E33" s="4321"/>
      <c r="F33" s="4321"/>
      <c r="G33" s="4321"/>
      <c r="H33" s="423" t="str">
        <f>Income_InvSurvey_PWC_Date</f>
        <v>4Q23</v>
      </c>
      <c r="I33" s="2359"/>
      <c r="J33" s="4315" t="s">
        <v>474</v>
      </c>
      <c r="K33" s="4315"/>
      <c r="L33" s="2359"/>
      <c r="M33" s="2359"/>
      <c r="N33" s="258"/>
      <c r="O33" s="6"/>
      <c r="P33" s="2222"/>
    </row>
    <row r="34" spans="1:20" ht="15" hidden="1" customHeight="1" x14ac:dyDescent="0.25">
      <c r="A34" s="957">
        <f>IF(D34=0,0,1)</f>
        <v>0</v>
      </c>
      <c r="B34" s="4"/>
      <c r="C34" s="258"/>
      <c r="D34" s="4321"/>
      <c r="E34" s="4321"/>
      <c r="F34" s="4321"/>
      <c r="G34" s="4321"/>
      <c r="H34" s="423" t="str">
        <f>Income_InvSurvey_PWC_Date</f>
        <v>4Q23</v>
      </c>
      <c r="I34" s="2359"/>
      <c r="J34" s="4315" t="s">
        <v>474</v>
      </c>
      <c r="K34" s="4315"/>
      <c r="L34" s="2359"/>
      <c r="M34" s="2359"/>
      <c r="N34" s="258"/>
      <c r="O34" s="6"/>
    </row>
    <row r="35" spans="1:20" ht="15" hidden="1" customHeight="1" x14ac:dyDescent="0.25">
      <c r="A35" s="957">
        <f t="shared" ref="A35:A45" si="0">IF(D35=0,0,1)</f>
        <v>0</v>
      </c>
      <c r="B35" s="4"/>
      <c r="C35" s="258"/>
      <c r="D35" s="4335"/>
      <c r="E35" s="4335"/>
      <c r="F35" s="4335"/>
      <c r="G35" s="4335"/>
      <c r="H35" s="423" t="str">
        <f>IFERROR(INDEX(Income_InvSurvey_RERC,MATCH($D35,Income_InvSurvey_RERC_Category,0),MATCH($U$30,InvestorSurveys!$B$32:$U$32,0)),"")</f>
        <v/>
      </c>
      <c r="I35" s="2359" t="str">
        <f>IFERROR(INDEX(Income_InvSurvey_RERC,MATCH($D35,Income_InvSurvey_RERC_Category,0),MATCH($V$30,InvestorSurveys!$B$32:$U$32,0)),"")</f>
        <v/>
      </c>
      <c r="J35" s="4315" t="s">
        <v>474</v>
      </c>
      <c r="K35" s="4315"/>
      <c r="L35" s="2359" t="str">
        <f>IFERROR(INDEX(Income_InvSurvey_RERC,MATCH($D35,Income_InvSurvey_RERC_Category,0),MATCH($W$30,InvestorSurveys!$B$32:$U$32,0)),"")</f>
        <v/>
      </c>
      <c r="M35" s="2359" t="str">
        <f>IFERROR(INDEX(Income_InvSurvey_RERC,MATCH($D35,Income_InvSurvey_RERC_Category,0),MATCH($X$30,InvestorSurveys!$B$32:$U$32,0)),"")</f>
        <v/>
      </c>
      <c r="N35" s="258"/>
      <c r="O35" s="6"/>
    </row>
    <row r="36" spans="1:20" hidden="1" x14ac:dyDescent="0.25">
      <c r="A36" s="957">
        <f t="shared" si="0"/>
        <v>0</v>
      </c>
      <c r="B36" s="4"/>
      <c r="C36" s="258"/>
      <c r="D36" s="4335"/>
      <c r="E36" s="4335"/>
      <c r="F36" s="4335"/>
      <c r="G36" s="4335"/>
      <c r="H36" s="423" t="str">
        <f>IFERROR(INDEX(Income_InvSurvey_RERC,MATCH($D36,Income_InvSurvey_RERC_Category,0),MATCH($U$30,InvestorSurveys!$B$32:$U$32,0)),"")</f>
        <v/>
      </c>
      <c r="I36" s="2359" t="str">
        <f>IFERROR(INDEX(Income_InvSurvey_RERC,MATCH($D36,Income_InvSurvey_RERC_Category,0),MATCH($V$30,InvestorSurveys!$B$32:$U$32,0)),"")</f>
        <v/>
      </c>
      <c r="J36" s="4315" t="s">
        <v>474</v>
      </c>
      <c r="K36" s="4315"/>
      <c r="L36" s="2359" t="str">
        <f>IFERROR(INDEX(Income_InvSurvey_RERC,MATCH($D36,Income_InvSurvey_RERC_Category,0),MATCH($W$30,InvestorSurveys!$B$32:$U$32,0)),"")</f>
        <v/>
      </c>
      <c r="M36" s="2359" t="str">
        <f>IFERROR(INDEX(Income_InvSurvey_RERC,MATCH($D36,Income_InvSurvey_RERC_Category,0),MATCH($X$30,InvestorSurveys!$B$32:$U$32,0)),"")</f>
        <v/>
      </c>
      <c r="N36" s="258"/>
      <c r="O36" s="6"/>
    </row>
    <row r="37" spans="1:20" ht="15" hidden="1" customHeight="1" x14ac:dyDescent="0.25">
      <c r="A37" s="957">
        <f t="shared" si="0"/>
        <v>0</v>
      </c>
      <c r="B37" s="4"/>
      <c r="C37" s="258"/>
      <c r="D37" s="4335"/>
      <c r="E37" s="4335"/>
      <c r="F37" s="4335"/>
      <c r="G37" s="4335"/>
      <c r="H37" s="423" t="str">
        <f>IFERROR(INDEX(Income_InvSurvey_RERC,MATCH($D37,Income_InvSurvey_RERC_Category,0),MATCH($U$30,InvestorSurveys!$B$32:$U$32,0)),"")</f>
        <v/>
      </c>
      <c r="I37" s="2359" t="str">
        <f>IFERROR(INDEX(Income_InvSurvey_RERC,MATCH($D37,Income_InvSurvey_RERC_Category,0),MATCH($V$30,InvestorSurveys!$B$32:$U$32,0)),"")</f>
        <v/>
      </c>
      <c r="J37" s="4315" t="s">
        <v>474</v>
      </c>
      <c r="K37" s="4315"/>
      <c r="L37" s="2359" t="str">
        <f>IFERROR(INDEX(Income_InvSurvey_RERC,MATCH($D37,Income_InvSurvey_RERC_Category,0),MATCH($W$30,InvestorSurveys!$B$32:$U$32,0)),"")</f>
        <v/>
      </c>
      <c r="M37" s="2359" t="str">
        <f>IFERROR(INDEX(Income_InvSurvey_RERC,MATCH($D37,Income_InvSurvey_RERC_Category,0),MATCH($X$30,InvestorSurveys!$B$32:$U$32,0)),"")</f>
        <v/>
      </c>
      <c r="N37" s="258"/>
      <c r="O37" s="6"/>
      <c r="P37" s="1996" t="s">
        <v>18042</v>
      </c>
    </row>
    <row r="38" spans="1:20" ht="15" hidden="1" customHeight="1" x14ac:dyDescent="0.25">
      <c r="A38" s="957">
        <f t="shared" si="0"/>
        <v>0</v>
      </c>
      <c r="B38" s="4"/>
      <c r="C38" s="258"/>
      <c r="D38" s="4321"/>
      <c r="E38" s="4321"/>
      <c r="F38" s="4321"/>
      <c r="G38" s="4321"/>
      <c r="H38" s="423" t="str">
        <f>Income_InvSurvey_RERC_Date</f>
        <v/>
      </c>
      <c r="I38" s="2359"/>
      <c r="J38" s="4315" t="s">
        <v>474</v>
      </c>
      <c r="K38" s="4315"/>
      <c r="L38" s="2359"/>
      <c r="M38" s="2359"/>
      <c r="N38" s="258"/>
      <c r="O38" s="6"/>
    </row>
    <row r="39" spans="1:20" ht="15" hidden="1" customHeight="1" x14ac:dyDescent="0.25">
      <c r="A39" s="957">
        <f t="shared" si="0"/>
        <v>0</v>
      </c>
      <c r="B39" s="4"/>
      <c r="C39" s="258"/>
      <c r="D39" s="4321"/>
      <c r="E39" s="4321"/>
      <c r="F39" s="4321"/>
      <c r="G39" s="4321"/>
      <c r="H39" s="423" t="str">
        <f>Income_InvSurvey_RERC_Date</f>
        <v/>
      </c>
      <c r="I39" s="2359"/>
      <c r="J39" s="4315" t="s">
        <v>474</v>
      </c>
      <c r="K39" s="4315"/>
      <c r="L39" s="2359"/>
      <c r="M39" s="2359"/>
      <c r="N39" s="258"/>
      <c r="O39" s="6"/>
    </row>
    <row r="40" spans="1:20" ht="15" hidden="1" customHeight="1" x14ac:dyDescent="0.25">
      <c r="A40" s="957">
        <f t="shared" si="0"/>
        <v>0</v>
      </c>
      <c r="B40" s="4"/>
      <c r="C40" s="258"/>
      <c r="D40" s="4335"/>
      <c r="E40" s="4335"/>
      <c r="F40" s="4335"/>
      <c r="G40" s="4335"/>
      <c r="H40" s="423" t="str">
        <f>IFERROR(INDEX(Income_InvSurvey_RERC,MATCH($D40,Income_InvSurvey_RERC_Category,0),MATCH($U$30,InvestorSurveys!$B$32:$U$32,0)),"")</f>
        <v/>
      </c>
      <c r="I40" s="3663" t="s">
        <v>17959</v>
      </c>
      <c r="J40" s="4315" t="s">
        <v>474</v>
      </c>
      <c r="K40" s="4315"/>
      <c r="L40" s="3663" t="s">
        <v>17959</v>
      </c>
      <c r="M40" s="2359" t="str">
        <f>IFERROR(INDEX(Income_InvSurvey_RERC,MATCH($D40,Income_InvSurvey_RERC_Category,0),MATCH($X$30,InvestorSurveys!$B$32:$U$32,0)),"")</f>
        <v/>
      </c>
      <c r="N40" s="258"/>
      <c r="O40" s="6"/>
      <c r="P40" s="1996" t="s">
        <v>18043</v>
      </c>
    </row>
    <row r="41" spans="1:20" ht="15" hidden="1" customHeight="1" x14ac:dyDescent="0.25">
      <c r="A41" s="957">
        <f t="shared" si="0"/>
        <v>0</v>
      </c>
      <c r="B41" s="4"/>
      <c r="C41" s="258"/>
      <c r="D41" s="4321"/>
      <c r="E41" s="4321"/>
      <c r="F41" s="4321"/>
      <c r="G41" s="4321"/>
      <c r="H41" s="423" t="str">
        <f>Income_InvSurvey_RERC_Date</f>
        <v/>
      </c>
      <c r="I41" s="3663" t="s">
        <v>17959</v>
      </c>
      <c r="J41" s="4315" t="s">
        <v>474</v>
      </c>
      <c r="K41" s="4315"/>
      <c r="L41" s="3663" t="s">
        <v>17959</v>
      </c>
      <c r="M41" s="2359"/>
      <c r="N41" s="258"/>
      <c r="O41" s="6"/>
    </row>
    <row r="42" spans="1:20" ht="15" hidden="1" customHeight="1" x14ac:dyDescent="0.25">
      <c r="A42" s="957">
        <f t="shared" si="0"/>
        <v>0</v>
      </c>
      <c r="B42" s="4"/>
      <c r="C42" s="258"/>
      <c r="D42" s="4321"/>
      <c r="E42" s="4321"/>
      <c r="F42" s="4321"/>
      <c r="G42" s="4321"/>
      <c r="H42" s="423" t="str">
        <f>IFERROR(INDEX(tblRR_Data[],MATCH($D42,tblRR_Data[Category],0),MATCH($U$30,tblRR_Data[#Headers],0)),"")</f>
        <v/>
      </c>
      <c r="I42" s="2359" t="str">
        <f>IFERROR(INDEX(tblRR_Data[],MATCH($D42,tblRR_Data[Category],0),MATCH($V$30,tblRR_Data[#Headers],0)),"")</f>
        <v/>
      </c>
      <c r="J42" s="4315" t="s">
        <v>474</v>
      </c>
      <c r="K42" s="4315"/>
      <c r="L42" s="2359" t="str">
        <f>IFERROR(INDEX(tblRR_Data[],MATCH($D42,tblRR_Data[Category],0),MATCH($W$30,tblRR_Data[#Headers],0)),"")</f>
        <v/>
      </c>
      <c r="M42" s="2359" t="str">
        <f>IFERROR(INDEX(tblRR_Data[],MATCH($D42,tblRR_Data[Category],0),MATCH($X$30,tblRR_Data[#Headers],0)),"")</f>
        <v/>
      </c>
      <c r="N42" s="258"/>
      <c r="O42" s="6"/>
    </row>
    <row r="43" spans="1:20" ht="15" hidden="1" customHeight="1" x14ac:dyDescent="0.25">
      <c r="A43" s="957">
        <f t="shared" si="0"/>
        <v>0</v>
      </c>
      <c r="B43" s="4"/>
      <c r="C43" s="258"/>
      <c r="D43" s="4321"/>
      <c r="E43" s="4321"/>
      <c r="F43" s="4321"/>
      <c r="G43" s="4321"/>
      <c r="H43" s="423" t="str">
        <f>IFERROR(INDEX(tblRR_Data[],MATCH($D43,tblRR_Data[Category],0),MATCH($U$30,tblRR_Data[#Headers],0)),"")</f>
        <v/>
      </c>
      <c r="I43" s="2359" t="str">
        <f>IFERROR(INDEX(tblRR_Data[],MATCH($D43,tblRR_Data[Category],0),MATCH($V$30,tblRR_Data[#Headers],0)),"")</f>
        <v/>
      </c>
      <c r="J43" s="4315" t="s">
        <v>474</v>
      </c>
      <c r="K43" s="4315"/>
      <c r="L43" s="2359" t="str">
        <f>IFERROR(INDEX(tblRR_Data[],MATCH($D43,tblRR_Data[Category],0),MATCH($W$30,tblRR_Data[#Headers],0)),"")</f>
        <v/>
      </c>
      <c r="M43" s="2359" t="str">
        <f>IFERROR(INDEX(tblRR_Data[],MATCH($D43,tblRR_Data[Category],0),MATCH($X$30,tblRR_Data[#Headers],0)),"")</f>
        <v/>
      </c>
      <c r="N43" s="258"/>
      <c r="O43" s="6"/>
    </row>
    <row r="44" spans="1:20" ht="15" hidden="1" customHeight="1" x14ac:dyDescent="0.25">
      <c r="A44" s="957">
        <f t="shared" si="0"/>
        <v>0</v>
      </c>
      <c r="B44" s="4"/>
      <c r="C44" s="258"/>
      <c r="D44" s="4321"/>
      <c r="E44" s="4321"/>
      <c r="F44" s="4321"/>
      <c r="G44" s="4321"/>
      <c r="H44" s="423" t="str">
        <f>IFERROR(INDEX(tblRR_Data[],MATCH($D44,tblRR_Data[Category],0),MATCH($U$30,tblRR_Data[#Headers],0)),"")</f>
        <v/>
      </c>
      <c r="I44" s="2359" t="str">
        <f>IFERROR(INDEX(tblRR_Data[],MATCH($D44,tblRR_Data[Category],0),MATCH($V$30,tblRR_Data[#Headers],0)),"")</f>
        <v/>
      </c>
      <c r="J44" s="4315" t="s">
        <v>474</v>
      </c>
      <c r="K44" s="4315"/>
      <c r="L44" s="2359" t="str">
        <f>IFERROR(INDEX(tblRR_Data[],MATCH($D44,tblRR_Data[Category],0),MATCH($W$30,tblRR_Data[#Headers],0)),"")</f>
        <v/>
      </c>
      <c r="M44" s="2359" t="str">
        <f>IFERROR(INDEX(tblRR_Data[],MATCH($D44,tblRR_Data[Category],0),MATCH($X$30,tblRR_Data[#Headers],0)),"")</f>
        <v/>
      </c>
      <c r="N44" s="258"/>
      <c r="O44" s="6"/>
    </row>
    <row r="45" spans="1:20" ht="15" hidden="1" customHeight="1" x14ac:dyDescent="0.25">
      <c r="A45" s="957">
        <f t="shared" si="0"/>
        <v>0</v>
      </c>
      <c r="B45" s="4"/>
      <c r="C45" s="258"/>
      <c r="D45" s="4321"/>
      <c r="E45" s="4321"/>
      <c r="F45" s="4321"/>
      <c r="G45" s="4321"/>
      <c r="H45" s="423" t="str">
        <f>IFERROR(INDEX(tblRR_Data[],MATCH($D45,tblRR_Data[Category],0),MATCH($U$30,tblRR_Data[#Headers],0)),"")</f>
        <v/>
      </c>
      <c r="I45" s="2359" t="str">
        <f>IFERROR(INDEX(tblRR_Data[],MATCH($D45,tblRR_Data[Category],0),MATCH($V$30,tblRR_Data[#Headers],0)),"")</f>
        <v/>
      </c>
      <c r="J45" s="4315" t="s">
        <v>474</v>
      </c>
      <c r="K45" s="4315"/>
      <c r="L45" s="2359" t="str">
        <f>IFERROR(INDEX(tblRR_Data[],MATCH($D45,tblRR_Data[Category],0),MATCH($W$30,tblRR_Data[#Headers],0)),"")</f>
        <v/>
      </c>
      <c r="M45" s="2359" t="str">
        <f>IFERROR(INDEX(tblRR_Data[],MATCH($D45,tblRR_Data[Category],0),MATCH($X$30,tblRR_Data[#Headers],0)),"")</f>
        <v/>
      </c>
      <c r="N45" s="258"/>
      <c r="O45" s="6"/>
    </row>
    <row r="46" spans="1:20" s="36" customFormat="1" ht="18" customHeight="1" thickBot="1" x14ac:dyDescent="0.3">
      <c r="A46" s="972">
        <v>1</v>
      </c>
      <c r="B46" s="87"/>
      <c r="C46" s="259"/>
      <c r="D46" s="3647"/>
      <c r="E46" s="3664"/>
      <c r="F46" s="3664"/>
      <c r="G46" s="4319" t="s">
        <v>306</v>
      </c>
      <c r="H46" s="4319"/>
      <c r="I46" s="3665">
        <f>AVERAGE(I30:I45)</f>
        <v>6.6250000000000003E-2</v>
      </c>
      <c r="J46" s="4319" t="s">
        <v>474</v>
      </c>
      <c r="K46" s="4319"/>
      <c r="L46" s="3665">
        <f>AVERAGE(L30:L45)</f>
        <v>0.13</v>
      </c>
      <c r="M46" s="3665">
        <f>AVERAGE(M30:M45)</f>
        <v>9.5000000000000001E-2</v>
      </c>
      <c r="N46" s="259"/>
      <c r="O46" s="89"/>
    </row>
    <row r="47" spans="1:20" ht="16.5" customHeight="1" x14ac:dyDescent="0.25">
      <c r="A47" s="957">
        <v>1</v>
      </c>
      <c r="B47" s="4"/>
      <c r="C47" s="258"/>
      <c r="D47" s="2360" t="s">
        <v>920</v>
      </c>
      <c r="E47" s="423"/>
      <c r="F47" s="423"/>
      <c r="G47" s="423"/>
      <c r="H47" s="423"/>
      <c r="I47" s="423"/>
      <c r="J47" s="423"/>
      <c r="K47" s="423"/>
      <c r="L47" s="423"/>
      <c r="M47" s="423"/>
      <c r="N47" s="258"/>
      <c r="O47" s="6"/>
    </row>
    <row r="48" spans="1:20" ht="9.9499999999999993" customHeight="1" thickBot="1" x14ac:dyDescent="0.3">
      <c r="A48" s="957">
        <v>1</v>
      </c>
      <c r="B48" s="4"/>
      <c r="C48" s="258"/>
      <c r="D48" s="258"/>
      <c r="E48" s="423"/>
      <c r="F48" s="423"/>
      <c r="G48" s="423"/>
      <c r="H48" s="423"/>
      <c r="I48" s="423"/>
      <c r="J48" s="423"/>
      <c r="K48" s="423"/>
      <c r="L48" s="423"/>
      <c r="M48" s="423"/>
      <c r="N48" s="258"/>
      <c r="O48" s="5"/>
      <c r="P48" s="2369"/>
      <c r="Q48" s="370"/>
      <c r="R48" s="370"/>
      <c r="S48" s="370"/>
      <c r="T48" s="370"/>
    </row>
    <row r="49" spans="1:24" ht="16.5" x14ac:dyDescent="0.25">
      <c r="A49" s="957">
        <v>1</v>
      </c>
      <c r="B49" s="4"/>
      <c r="C49" s="2987"/>
      <c r="D49" s="3759" t="s">
        <v>476</v>
      </c>
      <c r="E49" s="3670"/>
      <c r="F49" s="3670"/>
      <c r="G49" s="3670"/>
      <c r="H49" s="3670"/>
      <c r="I49" s="3670"/>
      <c r="J49" s="2987"/>
      <c r="K49" s="2987"/>
      <c r="L49" s="2987"/>
      <c r="M49" s="3670"/>
      <c r="N49" s="2987"/>
      <c r="O49" s="6"/>
      <c r="P49" s="4316" t="s">
        <v>636</v>
      </c>
      <c r="Q49" s="4317"/>
      <c r="R49" s="4317"/>
      <c r="S49" s="4317"/>
      <c r="T49" s="4318"/>
    </row>
    <row r="50" spans="1:24" s="36" customFormat="1" ht="16.5" customHeight="1" x14ac:dyDescent="0.25">
      <c r="A50" s="972">
        <v>1</v>
      </c>
      <c r="B50" s="87"/>
      <c r="C50" s="3769"/>
      <c r="D50" s="3770" t="s">
        <v>282</v>
      </c>
      <c r="E50" s="3771"/>
      <c r="F50" s="3771"/>
      <c r="G50" s="3770"/>
      <c r="H50" s="3771" t="s">
        <v>122</v>
      </c>
      <c r="I50" s="4327" t="s">
        <v>475</v>
      </c>
      <c r="J50" s="4327"/>
      <c r="K50" s="4327"/>
      <c r="L50" s="4327"/>
      <c r="M50" s="3771" t="s">
        <v>306</v>
      </c>
      <c r="N50" s="3769"/>
      <c r="O50" s="89"/>
      <c r="P50" s="1616" t="s">
        <v>637</v>
      </c>
      <c r="Q50" s="1624"/>
      <c r="R50" s="1616" t="s">
        <v>638</v>
      </c>
      <c r="S50" s="1624"/>
      <c r="T50" s="1625"/>
    </row>
    <row r="51" spans="1:24" ht="15" customHeight="1" thickBot="1" x14ac:dyDescent="0.3">
      <c r="A51" s="957">
        <f>IF(D51=0,0,1)</f>
        <v>1</v>
      </c>
      <c r="B51" s="4"/>
      <c r="C51" s="258"/>
      <c r="D51" s="4321" t="s">
        <v>19971</v>
      </c>
      <c r="E51" s="4321"/>
      <c r="F51" s="4321"/>
      <c r="G51" s="4321"/>
      <c r="H51" s="423" t="s">
        <v>20059</v>
      </c>
      <c r="I51" s="2359">
        <v>0.04</v>
      </c>
      <c r="J51" s="4315" t="s">
        <v>474</v>
      </c>
      <c r="K51" s="4315"/>
      <c r="L51" s="2359">
        <v>8.5000000000000006E-2</v>
      </c>
      <c r="M51" s="2359">
        <v>5.4800000000000001E-2</v>
      </c>
      <c r="N51" s="258"/>
      <c r="O51" s="6"/>
      <c r="P51" s="382"/>
      <c r="Q51" s="382"/>
      <c r="R51" s="382"/>
      <c r="S51" s="382"/>
      <c r="T51" s="383"/>
      <c r="V51" s="2364" t="s">
        <v>17943</v>
      </c>
      <c r="W51" s="2364" t="s">
        <v>17944</v>
      </c>
      <c r="X51" s="2364" t="s">
        <v>17945</v>
      </c>
    </row>
    <row r="52" spans="1:24" ht="15" customHeight="1" x14ac:dyDescent="0.25">
      <c r="A52" s="957">
        <v>0</v>
      </c>
      <c r="B52" s="4"/>
      <c r="C52" s="258"/>
      <c r="D52" s="4321" t="s">
        <v>19971</v>
      </c>
      <c r="E52" s="4321"/>
      <c r="F52" s="4321"/>
      <c r="G52" s="4321"/>
      <c r="H52" s="423" t="s">
        <v>20060</v>
      </c>
      <c r="I52" s="2359">
        <v>0.04</v>
      </c>
      <c r="J52" s="4315" t="s">
        <v>474</v>
      </c>
      <c r="K52" s="4315"/>
      <c r="L52" s="2359">
        <v>0.08</v>
      </c>
      <c r="M52" s="2359">
        <v>5.3800000000000001E-2</v>
      </c>
      <c r="N52" s="258"/>
      <c r="O52" s="6"/>
      <c r="P52" s="12"/>
    </row>
    <row r="53" spans="1:24" ht="15" hidden="1" customHeight="1" x14ac:dyDescent="0.25">
      <c r="A53" s="957">
        <f t="shared" ref="A53:A66" si="1">IF(D53=0,0,1)</f>
        <v>0</v>
      </c>
      <c r="B53" s="4"/>
      <c r="C53" s="258"/>
      <c r="D53" s="4321">
        <f>D32</f>
        <v>0</v>
      </c>
      <c r="E53" s="4321"/>
      <c r="F53" s="4321"/>
      <c r="G53" s="4321"/>
      <c r="H53" s="423" t="str">
        <f t="shared" ref="H53:H62" si="2">H32</f>
        <v/>
      </c>
      <c r="I53" s="2359" t="str">
        <f>IFERROR(INDEX(InvestorSurveys!$B$4:$U$21,MATCH($D53,InvestorSurveys!$B$4:$B$21,0),MATCH($V$51,InvestorSurveys!$B$3:$U$3,0)),"")</f>
        <v/>
      </c>
      <c r="J53" s="4315" t="s">
        <v>474</v>
      </c>
      <c r="K53" s="4315"/>
      <c r="L53" s="2359" t="str">
        <f>IFERROR(INDEX(InvestorSurveys!$B$4:$U$21,MATCH($D53,InvestorSurveys!$B$4:$B$21,0),MATCH($W$51,InvestorSurveys!$B$3:$U$3,0)),"")</f>
        <v/>
      </c>
      <c r="M53" s="2359" t="str">
        <f>IFERROR(INDEX(InvestorSurveys!$B$4:$U$21,MATCH($D53,InvestorSurveys!$B$4:$B$21,0),MATCH($X$51,InvestorSurveys!$B$3:$U$3,0)),"")</f>
        <v/>
      </c>
      <c r="N53" s="258"/>
      <c r="O53" s="6"/>
      <c r="P53" s="1996" t="s">
        <v>18041</v>
      </c>
    </row>
    <row r="54" spans="1:24" ht="15" hidden="1" customHeight="1" x14ac:dyDescent="0.25">
      <c r="A54" s="957">
        <f t="shared" si="1"/>
        <v>0</v>
      </c>
      <c r="B54" s="4"/>
      <c r="C54" s="258"/>
      <c r="D54" s="4321">
        <f>D33</f>
        <v>0</v>
      </c>
      <c r="E54" s="4321"/>
      <c r="F54" s="4321"/>
      <c r="G54" s="4321"/>
      <c r="H54" s="423" t="str">
        <f t="shared" si="2"/>
        <v>4Q23</v>
      </c>
      <c r="I54" s="2359" t="str">
        <f>IFERROR(INDEX(InvestorSurveys!$B$4:$U$21,MATCH($D54,InvestorSurveys!$B$4:$B$21,0),MATCH($V$51,InvestorSurveys!$B$3:$U$3,0)),"")</f>
        <v/>
      </c>
      <c r="J54" s="4315" t="s">
        <v>474</v>
      </c>
      <c r="K54" s="4315"/>
      <c r="L54" s="2359" t="str">
        <f>IFERROR(INDEX(InvestorSurveys!$B$4:$U$21,MATCH($D54,InvestorSurveys!$B$4:$B$21,0),MATCH($W$51,InvestorSurveys!$B$3:$U$3,0)),"")</f>
        <v/>
      </c>
      <c r="M54" s="2359" t="str">
        <f>IFERROR(INDEX(InvestorSurveys!$B$4:$U$21,MATCH($D54,InvestorSurveys!$B$4:$B$21,0),MATCH($X$51,InvestorSurveys!$B$3:$U$3,0)),"")</f>
        <v/>
      </c>
      <c r="N54" s="258"/>
      <c r="O54" s="6"/>
      <c r="P54" s="2222"/>
    </row>
    <row r="55" spans="1:24" ht="15" hidden="1" customHeight="1" x14ac:dyDescent="0.25">
      <c r="A55" s="957">
        <f t="shared" si="1"/>
        <v>0</v>
      </c>
      <c r="B55" s="4"/>
      <c r="C55" s="258"/>
      <c r="D55" s="4321">
        <f>D34</f>
        <v>0</v>
      </c>
      <c r="E55" s="4321"/>
      <c r="F55" s="4321"/>
      <c r="G55" s="4321"/>
      <c r="H55" s="423" t="str">
        <f t="shared" si="2"/>
        <v>4Q23</v>
      </c>
      <c r="I55" s="2359" t="str">
        <f>IFERROR(INDEX(InvestorSurveys!$B$33:$U$52,MATCH($D55,InvestorSurveys!$B$33:$B$52,0),MATCH($V$51,InvestorSurveys!$B$32:$U$32,0)),"")</f>
        <v/>
      </c>
      <c r="J55" s="4315" t="s">
        <v>474</v>
      </c>
      <c r="K55" s="4315"/>
      <c r="L55" s="2359" t="str">
        <f>IFERROR(INDEX(InvestorSurveys!$B$33:$U$52,MATCH($D55,InvestorSurveys!$B$33:$B$52,0),MATCH($W$51,InvestorSurveys!$B$32:$U$32,0)),"")</f>
        <v/>
      </c>
      <c r="M55" s="2359" t="str">
        <f>IFERROR(INDEX(InvestorSurveys!$B$33:$U$52,MATCH($D55,InvestorSurveys!$B$33:$B$52,0),MATCH($X$51,InvestorSurveys!$B$32:$U$32,0)),"")</f>
        <v/>
      </c>
      <c r="N55" s="258"/>
      <c r="O55" s="6"/>
    </row>
    <row r="56" spans="1:24" ht="15" hidden="1" customHeight="1" x14ac:dyDescent="0.25">
      <c r="A56" s="957">
        <f t="shared" si="1"/>
        <v>0</v>
      </c>
      <c r="B56" s="4"/>
      <c r="C56" s="258"/>
      <c r="D56" s="4321">
        <f t="shared" ref="D56:D66" si="3">D35</f>
        <v>0</v>
      </c>
      <c r="E56" s="4321"/>
      <c r="F56" s="4321"/>
      <c r="G56" s="4321"/>
      <c r="H56" s="423" t="str">
        <f t="shared" si="2"/>
        <v/>
      </c>
      <c r="I56" s="2359" t="str">
        <f>IFERROR(INDEX(Income_InvSurvey_RERC,MATCH($D56,Income_InvSurvey_RERC_Category,0),MATCH($V$51,InvestorSurveys!$B$32:$U$32,0)),"")</f>
        <v/>
      </c>
      <c r="J56" s="4315" t="s">
        <v>474</v>
      </c>
      <c r="K56" s="4315"/>
      <c r="L56" s="2359" t="str">
        <f>IFERROR(INDEX(Income_InvSurvey_RERC,MATCH($D56,Income_InvSurvey_RERC_Category,0),MATCH($W$51,InvestorSurveys!$B$32:$U$32,0)),"")</f>
        <v/>
      </c>
      <c r="M56" s="2359" t="str">
        <f>IFERROR(INDEX(Income_InvSurvey_RERC,MATCH($D56,Income_InvSurvey_RERC_Category,0),MATCH($X$51,InvestorSurveys!$B$32:$U$32,0)),"")</f>
        <v/>
      </c>
      <c r="N56" s="258"/>
      <c r="O56" s="6"/>
    </row>
    <row r="57" spans="1:24" hidden="1" x14ac:dyDescent="0.25">
      <c r="A57" s="957">
        <f t="shared" si="1"/>
        <v>0</v>
      </c>
      <c r="B57" s="4"/>
      <c r="C57" s="258"/>
      <c r="D57" s="4321">
        <f t="shared" si="3"/>
        <v>0</v>
      </c>
      <c r="E57" s="4321"/>
      <c r="F57" s="4321"/>
      <c r="G57" s="4321"/>
      <c r="H57" s="423" t="str">
        <f t="shared" si="2"/>
        <v/>
      </c>
      <c r="I57" s="2359" t="str">
        <f>IFERROR(INDEX(Income_InvSurvey_RERC,MATCH($D57,Income_InvSurvey_RERC_Category,0),MATCH($V$51,InvestorSurveys!$B$32:$U$32,0)),"")</f>
        <v/>
      </c>
      <c r="J57" s="4315" t="s">
        <v>474</v>
      </c>
      <c r="K57" s="4315"/>
      <c r="L57" s="2359" t="str">
        <f>IFERROR(INDEX(Income_InvSurvey_RERC,MATCH($D57,Income_InvSurvey_RERC_Category,0),MATCH($W$51,InvestorSurveys!$B$32:$U$32,0)),"")</f>
        <v/>
      </c>
      <c r="M57" s="2359" t="str">
        <f>IFERROR(INDEX(Income_InvSurvey_RERC,MATCH($D57,Income_InvSurvey_RERC_Category,0),MATCH($X$51,InvestorSurveys!$B$32:$U$32,0)),"")</f>
        <v/>
      </c>
      <c r="N57" s="258"/>
      <c r="O57" s="6"/>
    </row>
    <row r="58" spans="1:24" ht="15" hidden="1" customHeight="1" x14ac:dyDescent="0.25">
      <c r="A58" s="957">
        <f t="shared" si="1"/>
        <v>0</v>
      </c>
      <c r="B58" s="4"/>
      <c r="C58" s="258"/>
      <c r="D58" s="4321">
        <f t="shared" si="3"/>
        <v>0</v>
      </c>
      <c r="E58" s="4321"/>
      <c r="F58" s="4321"/>
      <c r="G58" s="4321"/>
      <c r="H58" s="423" t="str">
        <f t="shared" si="2"/>
        <v/>
      </c>
      <c r="I58" s="2359" t="str">
        <f>IFERROR(INDEX(InvestorSurveys!$B$33:$U$52,MATCH($D58,InvestorSurveys!$B$33:$B$52,0),MATCH($V$51,InvestorSurveys!$B$32:$U$32,0)),"")</f>
        <v/>
      </c>
      <c r="J58" s="4315" t="s">
        <v>474</v>
      </c>
      <c r="K58" s="4315"/>
      <c r="L58" s="2359" t="str">
        <f>IFERROR(INDEX(InvestorSurveys!$B$33:$U$52,MATCH($D58,InvestorSurveys!$B$33:$B$52,0),MATCH($W$51,InvestorSurveys!$B$32:$U$32,0)),"")</f>
        <v/>
      </c>
      <c r="M58" s="2359" t="str">
        <f>IFERROR(INDEX(Income_InvSurvey_RERC,MATCH($D58,Income_InvSurvey_RERC_Category,0),MATCH($X$51,InvestorSurveys!$B$32:$U$32,0)),"")</f>
        <v/>
      </c>
      <c r="N58" s="258"/>
      <c r="O58" s="6"/>
      <c r="P58" s="1996" t="s">
        <v>18042</v>
      </c>
    </row>
    <row r="59" spans="1:24" ht="15" hidden="1" customHeight="1" x14ac:dyDescent="0.25">
      <c r="A59" s="957">
        <f t="shared" si="1"/>
        <v>0</v>
      </c>
      <c r="B59" s="4"/>
      <c r="C59" s="258"/>
      <c r="D59" s="4321">
        <f t="shared" si="3"/>
        <v>0</v>
      </c>
      <c r="E59" s="4321"/>
      <c r="F59" s="4321"/>
      <c r="G59" s="4321"/>
      <c r="H59" s="423" t="str">
        <f t="shared" si="2"/>
        <v/>
      </c>
      <c r="I59" s="2359" t="str">
        <f>IFERROR(INDEX(tblRR_Data[],MATCH($D59,tblRR_Data[Category],0),MATCH($V$51,tblRR_Data[#Headers],0)),"")</f>
        <v/>
      </c>
      <c r="J59" s="4315" t="s">
        <v>474</v>
      </c>
      <c r="K59" s="4315"/>
      <c r="L59" s="2359" t="str">
        <f>IFERROR(INDEX(tblRR_Data[],MATCH($D59,tblRR_Data[Category],0),MATCH($W$51,tblRR_Data[#Headers],0)),"")</f>
        <v/>
      </c>
      <c r="M59" s="2359" t="str">
        <f>IFERROR(INDEX(tblRR_Data[],MATCH($D59,tblRR_Data[Category],0),MATCH($X$51,tblRR_Data[#Headers],0)),"")</f>
        <v/>
      </c>
      <c r="N59" s="258"/>
      <c r="O59" s="6"/>
    </row>
    <row r="60" spans="1:24" ht="15" hidden="1" customHeight="1" x14ac:dyDescent="0.25">
      <c r="A60" s="957">
        <f t="shared" si="1"/>
        <v>0</v>
      </c>
      <c r="B60" s="4"/>
      <c r="C60" s="258"/>
      <c r="D60" s="4321">
        <f t="shared" si="3"/>
        <v>0</v>
      </c>
      <c r="E60" s="4321"/>
      <c r="F60" s="4321"/>
      <c r="G60" s="4321"/>
      <c r="H60" s="423" t="str">
        <f t="shared" si="2"/>
        <v/>
      </c>
      <c r="I60" s="2359" t="str">
        <f>IFERROR(INDEX(tblRR_Data[],MATCH($D60,tblRR_Data[Category],0),MATCH($V$51,tblRR_Data[#Headers],0)),"")</f>
        <v/>
      </c>
      <c r="J60" s="4315" t="s">
        <v>474</v>
      </c>
      <c r="K60" s="4315"/>
      <c r="L60" s="2359" t="str">
        <f>IFERROR(INDEX(tblRR_Data[],MATCH($D60,tblRR_Data[Category],0),MATCH($W$51,tblRR_Data[#Headers],0)),"")</f>
        <v/>
      </c>
      <c r="M60" s="2359" t="str">
        <f>IFERROR(INDEX(tblRR_Data[],MATCH($D60,tblRR_Data[Category],0),MATCH($X$51,tblRR_Data[#Headers],0)),"")</f>
        <v/>
      </c>
      <c r="N60" s="258"/>
      <c r="O60" s="6"/>
    </row>
    <row r="61" spans="1:24" ht="15" hidden="1" customHeight="1" x14ac:dyDescent="0.25">
      <c r="A61" s="957">
        <f t="shared" si="1"/>
        <v>0</v>
      </c>
      <c r="B61" s="4"/>
      <c r="C61" s="258"/>
      <c r="D61" s="4321">
        <f t="shared" si="3"/>
        <v>0</v>
      </c>
      <c r="E61" s="4321"/>
      <c r="F61" s="4321"/>
      <c r="G61" s="4321"/>
      <c r="H61" s="423" t="str">
        <f t="shared" si="2"/>
        <v/>
      </c>
      <c r="I61" s="3663" t="s">
        <v>17959</v>
      </c>
      <c r="J61" s="4315" t="s">
        <v>474</v>
      </c>
      <c r="K61" s="4315"/>
      <c r="L61" s="3663" t="s">
        <v>17959</v>
      </c>
      <c r="M61" s="2359" t="str">
        <f>IFERROR(INDEX(Income_InvSurvey_RERC,MATCH($D61,Income_InvSurvey_RERC_Category,0),MATCH($X$51,InvestorSurveys!$B$32:$U$32,0)),"")</f>
        <v/>
      </c>
      <c r="N61" s="258"/>
      <c r="O61" s="6"/>
      <c r="P61" s="1996" t="s">
        <v>18043</v>
      </c>
    </row>
    <row r="62" spans="1:24" ht="15" hidden="1" customHeight="1" x14ac:dyDescent="0.25">
      <c r="A62" s="957">
        <f t="shared" si="1"/>
        <v>0</v>
      </c>
      <c r="B62" s="4"/>
      <c r="C62" s="258"/>
      <c r="D62" s="4321">
        <f t="shared" si="3"/>
        <v>0</v>
      </c>
      <c r="E62" s="4321"/>
      <c r="F62" s="4321"/>
      <c r="G62" s="4321"/>
      <c r="H62" s="423" t="str">
        <f t="shared" si="2"/>
        <v/>
      </c>
      <c r="I62" s="3663" t="s">
        <v>17959</v>
      </c>
      <c r="J62" s="4315" t="s">
        <v>474</v>
      </c>
      <c r="K62" s="4315"/>
      <c r="L62" s="3663" t="s">
        <v>17959</v>
      </c>
      <c r="M62" s="2359"/>
      <c r="N62" s="258"/>
      <c r="O62" s="6"/>
    </row>
    <row r="63" spans="1:24" ht="15" hidden="1" customHeight="1" x14ac:dyDescent="0.25">
      <c r="A63" s="957">
        <f t="shared" si="1"/>
        <v>0</v>
      </c>
      <c r="B63" s="4"/>
      <c r="C63" s="258"/>
      <c r="D63" s="4321">
        <f t="shared" si="3"/>
        <v>0</v>
      </c>
      <c r="E63" s="4321"/>
      <c r="F63" s="4321"/>
      <c r="G63" s="4321"/>
      <c r="H63" s="423" t="str">
        <f>H42</f>
        <v/>
      </c>
      <c r="I63" s="2359" t="str">
        <f>IFERROR(INDEX(tblRR_Data[],MATCH($D63,tblRR_Data[Category],0),MATCH($V$51,tblRR_Data[#Headers],0)),"")</f>
        <v/>
      </c>
      <c r="J63" s="4315" t="s">
        <v>474</v>
      </c>
      <c r="K63" s="4315"/>
      <c r="L63" s="2359" t="str">
        <f>IFERROR(INDEX(tblRR_Data[],MATCH($D63,tblRR_Data[Category],0),MATCH($W$51,tblRR_Data[#Headers],0)),"")</f>
        <v/>
      </c>
      <c r="M63" s="2359" t="str">
        <f>IFERROR(INDEX(tblRR_Data[],MATCH($D63,tblRR_Data[Category],0),MATCH($X$51,tblRR_Data[#Headers],0)),"")</f>
        <v/>
      </c>
      <c r="N63" s="258"/>
      <c r="O63" s="6"/>
    </row>
    <row r="64" spans="1:24" ht="15" hidden="1" customHeight="1" x14ac:dyDescent="0.25">
      <c r="A64" s="957">
        <f t="shared" si="1"/>
        <v>0</v>
      </c>
      <c r="B64" s="4"/>
      <c r="C64" s="258"/>
      <c r="D64" s="4321">
        <f t="shared" si="3"/>
        <v>0</v>
      </c>
      <c r="E64" s="4321"/>
      <c r="F64" s="4321"/>
      <c r="G64" s="4321"/>
      <c r="H64" s="423" t="str">
        <f>H43</f>
        <v/>
      </c>
      <c r="I64" s="2359" t="str">
        <f>IFERROR(INDEX(tblRR_Data[],MATCH($D64,tblRR_Data[Category],0),MATCH($V$51,tblRR_Data[#Headers],0)),"")</f>
        <v/>
      </c>
      <c r="J64" s="4315" t="s">
        <v>474</v>
      </c>
      <c r="K64" s="4315"/>
      <c r="L64" s="2359" t="str">
        <f>IFERROR(INDEX(tblRR_Data[],MATCH($D64,tblRR_Data[Category],0),MATCH($W$51,tblRR_Data[#Headers],0)),"")</f>
        <v/>
      </c>
      <c r="M64" s="2359" t="str">
        <f>IFERROR(INDEX(tblRR_Data[],MATCH($D64,tblRR_Data[Category],0),MATCH($X$51,tblRR_Data[#Headers],0)),"")</f>
        <v/>
      </c>
      <c r="N64" s="258"/>
      <c r="O64" s="6"/>
    </row>
    <row r="65" spans="1:24" ht="15" hidden="1" customHeight="1" x14ac:dyDescent="0.25">
      <c r="A65" s="957">
        <f t="shared" si="1"/>
        <v>0</v>
      </c>
      <c r="B65" s="4"/>
      <c r="C65" s="258"/>
      <c r="D65" s="4321">
        <f t="shared" si="3"/>
        <v>0</v>
      </c>
      <c r="E65" s="4321"/>
      <c r="F65" s="4321"/>
      <c r="G65" s="4321"/>
      <c r="H65" s="423" t="str">
        <f>H44</f>
        <v/>
      </c>
      <c r="I65" s="2359" t="str">
        <f>IFERROR(INDEX(tblRR_Data[],MATCH($D65,tblRR_Data[Category],0),MATCH($V$51,tblRR_Data[#Headers],0)),"")</f>
        <v/>
      </c>
      <c r="J65" s="4315" t="s">
        <v>474</v>
      </c>
      <c r="K65" s="4315"/>
      <c r="L65" s="2359" t="str">
        <f>IFERROR(INDEX(tblRR_Data[],MATCH($D65,tblRR_Data[Category],0),MATCH($W$51,tblRR_Data[#Headers],0)),"")</f>
        <v/>
      </c>
      <c r="M65" s="2359" t="str">
        <f>IFERROR(INDEX(tblRR_Data[],MATCH($D65,tblRR_Data[Category],0),MATCH($X$51,tblRR_Data[#Headers],0)),"")</f>
        <v/>
      </c>
      <c r="N65" s="258"/>
      <c r="O65" s="6"/>
    </row>
    <row r="66" spans="1:24" ht="15" hidden="1" customHeight="1" x14ac:dyDescent="0.25">
      <c r="A66" s="957">
        <f t="shared" si="1"/>
        <v>0</v>
      </c>
      <c r="B66" s="4"/>
      <c r="C66" s="258"/>
      <c r="D66" s="4321">
        <f t="shared" si="3"/>
        <v>0</v>
      </c>
      <c r="E66" s="4321"/>
      <c r="F66" s="4321"/>
      <c r="G66" s="4321"/>
      <c r="H66" s="423" t="str">
        <f>H45</f>
        <v/>
      </c>
      <c r="I66" s="2359" t="str">
        <f>IFERROR(INDEX(tblRR_Data[],MATCH($D66,tblRR_Data[Category],0),MATCH($V$51,tblRR_Data[#Headers],0)),"")</f>
        <v/>
      </c>
      <c r="J66" s="4315" t="s">
        <v>474</v>
      </c>
      <c r="K66" s="4315"/>
      <c r="L66" s="2359" t="str">
        <f>IFERROR(INDEX(tblRR_Data[],MATCH($D66,tblRR_Data[Category],0),MATCH($W$51,tblRR_Data[#Headers],0)),"")</f>
        <v/>
      </c>
      <c r="M66" s="2359" t="str">
        <f>IFERROR(INDEX(tblRR_Data[],MATCH($D66,tblRR_Data[Category],0),MATCH($X$51,tblRR_Data[#Headers],0)),"")</f>
        <v/>
      </c>
      <c r="N66" s="258"/>
      <c r="O66" s="6"/>
    </row>
    <row r="67" spans="1:24" ht="18" customHeight="1" thickBot="1" x14ac:dyDescent="0.3">
      <c r="A67" s="972">
        <v>1</v>
      </c>
      <c r="B67" s="4"/>
      <c r="C67" s="259"/>
      <c r="D67" s="3772"/>
      <c r="E67" s="3773"/>
      <c r="F67" s="3773"/>
      <c r="G67" s="4320" t="s">
        <v>306</v>
      </c>
      <c r="H67" s="4320"/>
      <c r="I67" s="3774">
        <f>AVERAGE(I51:I66)</f>
        <v>0.04</v>
      </c>
      <c r="J67" s="4320" t="s">
        <v>474</v>
      </c>
      <c r="K67" s="4320"/>
      <c r="L67" s="3774">
        <f>AVERAGE(L51:L66)</f>
        <v>8.2500000000000004E-2</v>
      </c>
      <c r="M67" s="3774">
        <f>AVERAGE(M51:M66)</f>
        <v>5.4300000000000001E-2</v>
      </c>
      <c r="N67" s="259"/>
      <c r="O67" s="6"/>
    </row>
    <row r="68" spans="1:24" ht="16.5" customHeight="1" x14ac:dyDescent="0.25">
      <c r="A68" s="957">
        <v>1</v>
      </c>
      <c r="B68" s="4"/>
      <c r="C68" s="258"/>
      <c r="D68" s="2360" t="s">
        <v>921</v>
      </c>
      <c r="E68" s="423"/>
      <c r="F68" s="423"/>
      <c r="G68" s="423"/>
      <c r="H68" s="423"/>
      <c r="I68" s="423"/>
      <c r="J68" s="423"/>
      <c r="K68" s="423"/>
      <c r="L68" s="423"/>
      <c r="M68" s="423"/>
      <c r="N68" s="258"/>
      <c r="O68" s="6"/>
      <c r="P68" s="228"/>
    </row>
    <row r="69" spans="1:24" ht="9.9499999999999993" customHeight="1" thickBot="1" x14ac:dyDescent="0.3">
      <c r="A69" s="957">
        <v>1</v>
      </c>
      <c r="B69" s="4"/>
      <c r="C69" s="258"/>
      <c r="D69" s="258"/>
      <c r="E69" s="423"/>
      <c r="F69" s="423"/>
      <c r="G69" s="423"/>
      <c r="H69" s="423"/>
      <c r="I69" s="423"/>
      <c r="J69" s="423"/>
      <c r="K69" s="423"/>
      <c r="L69" s="423"/>
      <c r="M69" s="423"/>
      <c r="N69" s="258"/>
      <c r="O69" s="6"/>
      <c r="P69" s="2369"/>
      <c r="Q69" s="370"/>
      <c r="R69" s="370"/>
      <c r="S69" s="370"/>
      <c r="T69" s="370"/>
    </row>
    <row r="70" spans="1:24" ht="16.5" x14ac:dyDescent="0.25">
      <c r="A70" s="957">
        <v>1</v>
      </c>
      <c r="B70" s="4"/>
      <c r="C70" s="2987"/>
      <c r="D70" s="514" t="s">
        <v>477</v>
      </c>
      <c r="E70" s="3670"/>
      <c r="F70" s="3670"/>
      <c r="G70" s="3670"/>
      <c r="H70" s="3670"/>
      <c r="I70" s="3670"/>
      <c r="J70" s="2987"/>
      <c r="K70" s="2987"/>
      <c r="L70" s="2987"/>
      <c r="M70" s="3670"/>
      <c r="N70" s="2987"/>
      <c r="O70" s="6"/>
      <c r="P70" s="4316" t="s">
        <v>636</v>
      </c>
      <c r="Q70" s="4317"/>
      <c r="R70" s="4317"/>
      <c r="S70" s="4317"/>
      <c r="T70" s="4318"/>
    </row>
    <row r="71" spans="1:24" s="36" customFormat="1" ht="16.5" customHeight="1" x14ac:dyDescent="0.25">
      <c r="A71" s="972">
        <v>1</v>
      </c>
      <c r="B71" s="87"/>
      <c r="C71" s="731"/>
      <c r="D71" s="161" t="s">
        <v>282</v>
      </c>
      <c r="E71" s="165"/>
      <c r="F71" s="165"/>
      <c r="G71" s="161"/>
      <c r="H71" s="165" t="s">
        <v>122</v>
      </c>
      <c r="I71" s="4272" t="s">
        <v>475</v>
      </c>
      <c r="J71" s="4272"/>
      <c r="K71" s="4272"/>
      <c r="L71" s="4272"/>
      <c r="M71" s="165" t="s">
        <v>306</v>
      </c>
      <c r="N71" s="731"/>
      <c r="O71" s="89"/>
      <c r="P71" s="1616" t="s">
        <v>637</v>
      </c>
      <c r="Q71" s="1624"/>
      <c r="R71" s="1616" t="s">
        <v>638</v>
      </c>
      <c r="S71" s="1624"/>
      <c r="T71" s="1625"/>
    </row>
    <row r="72" spans="1:24" ht="15" customHeight="1" thickBot="1" x14ac:dyDescent="0.3">
      <c r="A72" s="957">
        <f>IF(D72=0,0,1)</f>
        <v>1</v>
      </c>
      <c r="B72" s="4"/>
      <c r="C72" s="258"/>
      <c r="D72" s="4321" t="str">
        <f>D30</f>
        <v>PwC - National Secondary Office Market</v>
      </c>
      <c r="E72" s="4321"/>
      <c r="F72" s="4321"/>
      <c r="G72" s="4321"/>
      <c r="H72" s="423" t="str">
        <f>H30</f>
        <v>4Q23</v>
      </c>
      <c r="I72" s="2359">
        <f>IFERROR(INDEX(Income_InvSurvey_PwC,MATCH($D72,Income_InvSurvey_PwC_Category,0),MATCH($V$72,InvestorSurveys!$B$3:$U$3,0)),"")</f>
        <v>0.05</v>
      </c>
      <c r="J72" s="4315" t="s">
        <v>474</v>
      </c>
      <c r="K72" s="4315"/>
      <c r="L72" s="2359">
        <f>IFERROR(INDEX(Income_InvSurvey_PwC,MATCH($D72,Income_InvSurvey_PwC_Category,0),MATCH($W$72,InvestorSurveys!$B$3:$U$3,0)),"")</f>
        <v>0.1</v>
      </c>
      <c r="M72" s="2359">
        <f>IFERROR(INDEX(Income_InvSurvey_PwC,MATCH($D72,Income_InvSurvey_PwC_Category,0),MATCH($X$72,InvestorSurveys!$B$3:$U$3,0)),"")</f>
        <v>8.2100000000000006E-2</v>
      </c>
      <c r="N72" s="258"/>
      <c r="O72" s="6"/>
      <c r="P72" s="382"/>
      <c r="Q72" s="382"/>
      <c r="R72" s="382"/>
      <c r="S72" s="382"/>
      <c r="T72" s="383"/>
      <c r="V72" s="2365" t="s">
        <v>17946</v>
      </c>
      <c r="W72" s="2365" t="s">
        <v>17947</v>
      </c>
      <c r="X72" s="2365" t="s">
        <v>17948</v>
      </c>
    </row>
    <row r="73" spans="1:24" ht="15" customHeight="1" x14ac:dyDescent="0.25">
      <c r="A73" s="957">
        <f>IF(D73=0,0,1)</f>
        <v>1</v>
      </c>
      <c r="B73" s="4"/>
      <c r="C73" s="258"/>
      <c r="D73" s="4321" t="str">
        <f t="shared" ref="D73:D83" si="4">D31</f>
        <v>PwC - National Medical Office Bldg Market</v>
      </c>
      <c r="E73" s="4321"/>
      <c r="F73" s="4321"/>
      <c r="G73" s="4321"/>
      <c r="H73" s="423" t="str">
        <f t="shared" ref="H73:H83" si="5">H31</f>
        <v>4Q23</v>
      </c>
      <c r="I73" s="2359">
        <f>IFERROR(INDEX(Income_InvSurvey_PwC,MATCH($D73,Income_InvSurvey_PwC_Category,0),MATCH($V$72,InvestorSurveys!$B$3:$U$3,0)),"")</f>
        <v>5.7500000000000002E-2</v>
      </c>
      <c r="J73" s="4315" t="s">
        <v>474</v>
      </c>
      <c r="K73" s="4315"/>
      <c r="L73" s="2359">
        <f>IFERROR(INDEX(Income_InvSurvey_PwC,MATCH($D73,Income_InvSurvey_PwC_Category,0),MATCH($W$72,InvestorSurveys!$B$3:$U$3,0)),"")</f>
        <v>0.10249999999999999</v>
      </c>
      <c r="M73" s="2359">
        <f>IFERROR(INDEX(Income_InvSurvey_PwC,MATCH($D73,Income_InvSurvey_PwC_Category,0),MATCH($X$72,InvestorSurveys!$B$3:$U$3,0)),"")</f>
        <v>7.4700000000000003E-2</v>
      </c>
      <c r="N73" s="258"/>
      <c r="O73" s="6"/>
      <c r="P73" s="12"/>
    </row>
    <row r="74" spans="1:24" ht="15" hidden="1" customHeight="1" x14ac:dyDescent="0.25">
      <c r="A74" s="957">
        <f t="shared" ref="A74:A83" si="6">IF(D74=0,0,1)</f>
        <v>0</v>
      </c>
      <c r="B74" s="4"/>
      <c r="C74" s="258"/>
      <c r="D74" s="4321">
        <f>D32</f>
        <v>0</v>
      </c>
      <c r="E74" s="4321"/>
      <c r="F74" s="4321"/>
      <c r="G74" s="4321"/>
      <c r="H74" s="423" t="str">
        <f t="shared" si="5"/>
        <v/>
      </c>
      <c r="I74" s="2359" t="str">
        <f>IFERROR(INDEX(Income_InvSurvey_PwC,MATCH($D74,Income_InvSurvey_PwC_Category,0),MATCH($V$72,InvestorSurveys!$B$3:$U$3,0)),"")</f>
        <v/>
      </c>
      <c r="J74" s="4315" t="s">
        <v>474</v>
      </c>
      <c r="K74" s="4315"/>
      <c r="L74" s="2359" t="str">
        <f>IFERROR(INDEX(Income_InvSurvey_PwC,MATCH($D74,Income_InvSurvey_PwC_Category,0),MATCH($W$72,InvestorSurveys!$B$3:$U$3,0)),"")</f>
        <v/>
      </c>
      <c r="M74" s="2359" t="str">
        <f>IFERROR(INDEX(Income_InvSurvey_PwC,MATCH($D74,Income_InvSurvey_PwC_Category,0),MATCH($X$72,InvestorSurveys!$B$3:$U$3,0)),"")</f>
        <v/>
      </c>
      <c r="N74" s="258"/>
      <c r="O74" s="6"/>
      <c r="P74" s="1996" t="s">
        <v>18041</v>
      </c>
    </row>
    <row r="75" spans="1:24" ht="15" hidden="1" customHeight="1" x14ac:dyDescent="0.25">
      <c r="A75" s="957">
        <f t="shared" si="6"/>
        <v>0</v>
      </c>
      <c r="B75" s="4"/>
      <c r="C75" s="258"/>
      <c r="D75" s="4321">
        <f>D33</f>
        <v>0</v>
      </c>
      <c r="E75" s="4321"/>
      <c r="F75" s="4321"/>
      <c r="G75" s="4321"/>
      <c r="H75" s="423" t="str">
        <f t="shared" si="5"/>
        <v>4Q23</v>
      </c>
      <c r="I75" s="2359" t="str">
        <f>IFERROR(INDEX(InvestorSurveys!$B$4:$U$21,MATCH($D75,InvestorSurveys!$B$4:$B$21,0),MATCH($V$51,InvestorSurveys!$B$3:$U$3,0)),"")</f>
        <v/>
      </c>
      <c r="J75" s="4315" t="s">
        <v>474</v>
      </c>
      <c r="K75" s="4315"/>
      <c r="L75" s="2359" t="str">
        <f>IFERROR(INDEX(InvestorSurveys!$B$4:$U$21,MATCH($D75,InvestorSurveys!$B$4:$B$21,0),MATCH($W$51,InvestorSurveys!$B$3:$U$3,0)),"")</f>
        <v/>
      </c>
      <c r="M75" s="2359" t="str">
        <f>IFERROR(INDEX(InvestorSurveys!$B$4:$U$21,MATCH($D75,InvestorSurveys!$B$4:$B$21,0),MATCH($X$51,InvestorSurveys!$B$3:$U$3,0)),"")</f>
        <v/>
      </c>
      <c r="N75" s="258"/>
      <c r="O75" s="6"/>
      <c r="P75" s="2222"/>
    </row>
    <row r="76" spans="1:24" ht="15" hidden="1" customHeight="1" x14ac:dyDescent="0.25">
      <c r="A76" s="957">
        <f t="shared" si="6"/>
        <v>0</v>
      </c>
      <c r="B76" s="4"/>
      <c r="C76" s="258"/>
      <c r="D76" s="4321">
        <f>D34</f>
        <v>0</v>
      </c>
      <c r="E76" s="4321"/>
      <c r="F76" s="4321"/>
      <c r="G76" s="4321"/>
      <c r="H76" s="423" t="str">
        <f t="shared" si="5"/>
        <v>4Q23</v>
      </c>
      <c r="I76" s="2359" t="str">
        <f>IFERROR(INDEX(InvestorSurveys!$B$33:$U$52,MATCH($D76,InvestorSurveys!$B$33:$B$52,0),MATCH($V$51,InvestorSurveys!$B$32:$U$32,0)),"")</f>
        <v/>
      </c>
      <c r="J76" s="4315" t="s">
        <v>474</v>
      </c>
      <c r="K76" s="4315"/>
      <c r="L76" s="2359" t="str">
        <f>IFERROR(INDEX(InvestorSurveys!$B$33:$U$52,MATCH($D76,InvestorSurveys!$B$33:$B$52,0),MATCH($W$51,InvestorSurveys!$B$32:$U$32,0)),"")</f>
        <v/>
      </c>
      <c r="M76" s="2359" t="str">
        <f>IFERROR(INDEX(InvestorSurveys!$B$33:$U$52,MATCH($D76,InvestorSurveys!$B$33:$B$52,0),MATCH($X$51,InvestorSurveys!$B$32:$U$32,0)),"")</f>
        <v/>
      </c>
      <c r="N76" s="258"/>
      <c r="O76" s="6"/>
    </row>
    <row r="77" spans="1:24" ht="15" hidden="1" customHeight="1" x14ac:dyDescent="0.25">
      <c r="A77" s="957">
        <f t="shared" si="6"/>
        <v>0</v>
      </c>
      <c r="B77" s="4"/>
      <c r="C77" s="258"/>
      <c r="D77" s="4321">
        <f t="shared" si="4"/>
        <v>0</v>
      </c>
      <c r="E77" s="4321"/>
      <c r="F77" s="4321"/>
      <c r="G77" s="4321"/>
      <c r="H77" s="423" t="str">
        <f t="shared" si="5"/>
        <v/>
      </c>
      <c r="I77" s="2359" t="str">
        <f>IFERROR(INDEX(Income_InvSurvey_RERC,MATCH($D77,Income_InvSurvey_RERC_Category,0),MATCH($V$72,InvestorSurveys!$B$32:$U$32,0)),"")</f>
        <v/>
      </c>
      <c r="J77" s="4315" t="s">
        <v>474</v>
      </c>
      <c r="K77" s="4315"/>
      <c r="L77" s="2359" t="str">
        <f>IFERROR(INDEX(Income_InvSurvey_RERC,MATCH($D77,Income_InvSurvey_RERC_Category,0),MATCH($W$72,InvestorSurveys!$B$32:$U$32,0)),"")</f>
        <v/>
      </c>
      <c r="M77" s="2359" t="str">
        <f>IFERROR(INDEX(Income_InvSurvey_RERC,MATCH($D77,Income_InvSurvey_RERC_Category,0),MATCH($X$72,InvestorSurveys!$B$32:$U$32,0)),"")</f>
        <v/>
      </c>
      <c r="N77" s="258"/>
      <c r="O77" s="6"/>
    </row>
    <row r="78" spans="1:24" hidden="1" x14ac:dyDescent="0.25">
      <c r="A78" s="957">
        <f t="shared" si="6"/>
        <v>0</v>
      </c>
      <c r="B78" s="4"/>
      <c r="C78" s="258"/>
      <c r="D78" s="4321">
        <f t="shared" si="4"/>
        <v>0</v>
      </c>
      <c r="E78" s="4321"/>
      <c r="F78" s="4321"/>
      <c r="G78" s="4321"/>
      <c r="H78" s="423" t="str">
        <f t="shared" si="5"/>
        <v/>
      </c>
      <c r="I78" s="2359" t="str">
        <f>IFERROR(INDEX(Income_InvSurvey_RERC,MATCH($D78,Income_InvSurvey_RERC_Category,0),MATCH($V$72,InvestorSurveys!$B$32:$U$32,0)),"")</f>
        <v/>
      </c>
      <c r="J78" s="4315" t="s">
        <v>474</v>
      </c>
      <c r="K78" s="4315"/>
      <c r="L78" s="2359" t="str">
        <f>IFERROR(INDEX(Income_InvSurvey_RERC,MATCH($D78,Income_InvSurvey_RERC_Category,0),MATCH($W$72,InvestorSurveys!$B$32:$U$32,0)),"")</f>
        <v/>
      </c>
      <c r="M78" s="2359" t="str">
        <f>IFERROR(INDEX(Income_InvSurvey_RERC,MATCH($D78,Income_InvSurvey_RERC_Category,0),MATCH($X$72,InvestorSurveys!$B$32:$U$32,0)),"")</f>
        <v/>
      </c>
      <c r="N78" s="258"/>
      <c r="O78" s="6"/>
    </row>
    <row r="79" spans="1:24" ht="15" hidden="1" customHeight="1" x14ac:dyDescent="0.25">
      <c r="A79" s="957">
        <f t="shared" si="6"/>
        <v>0</v>
      </c>
      <c r="B79" s="4"/>
      <c r="C79" s="258"/>
      <c r="D79" s="4321">
        <f t="shared" si="4"/>
        <v>0</v>
      </c>
      <c r="E79" s="4321"/>
      <c r="F79" s="4321"/>
      <c r="G79" s="4321"/>
      <c r="H79" s="423" t="str">
        <f t="shared" si="5"/>
        <v/>
      </c>
      <c r="I79" s="2359" t="str">
        <f>IFERROR(INDEX(Income_InvSurvey_RERC,MATCH($D79,Income_InvSurvey_RERC_Category,0),MATCH($V$72,InvestorSurveys!$B$32:$U$32,0)),"")</f>
        <v/>
      </c>
      <c r="J79" s="4315" t="s">
        <v>474</v>
      </c>
      <c r="K79" s="4315"/>
      <c r="L79" s="2359" t="str">
        <f>IFERROR(INDEX(Income_InvSurvey_RERC,MATCH($D79,Income_InvSurvey_RERC_Category,0),MATCH($W$72,InvestorSurveys!$B$32:$U$32,0)),"")</f>
        <v/>
      </c>
      <c r="M79" s="2359" t="str">
        <f>IFERROR(INDEX(Income_InvSurvey_RERC,MATCH($D79,Income_InvSurvey_RERC_Category,0),MATCH($X$72,InvestorSurveys!$B$32:$U$32,0)),"")</f>
        <v/>
      </c>
      <c r="N79" s="258"/>
      <c r="O79" s="6"/>
      <c r="P79" s="1996" t="s">
        <v>18042</v>
      </c>
    </row>
    <row r="80" spans="1:24" ht="15" hidden="1" customHeight="1" x14ac:dyDescent="0.25">
      <c r="A80" s="957">
        <f t="shared" si="6"/>
        <v>0</v>
      </c>
      <c r="B80" s="4"/>
      <c r="C80" s="258"/>
      <c r="D80" s="4321">
        <f t="shared" si="4"/>
        <v>0</v>
      </c>
      <c r="E80" s="4321"/>
      <c r="F80" s="4321"/>
      <c r="G80" s="4321"/>
      <c r="H80" s="423" t="str">
        <f t="shared" si="5"/>
        <v/>
      </c>
      <c r="I80" s="2359" t="str">
        <f>IFERROR(INDEX(InvestorSurveys!$B$33:$U$52,MATCH($D80,InvestorSurveys!$B$33:$B$52,0),MATCH($V$51,InvestorSurveys!$B$32:$U$32,0)),"")</f>
        <v/>
      </c>
      <c r="J80" s="4315" t="s">
        <v>474</v>
      </c>
      <c r="K80" s="4315"/>
      <c r="L80" s="2359" t="str">
        <f>IFERROR(INDEX(InvestorSurveys!$B$4:$U$21,MATCH($D80,InvestorSurveys!$B$4:$B$21,0),MATCH($W$51,InvestorSurveys!$B$3:$U$3,0)),"")</f>
        <v/>
      </c>
      <c r="M80" s="2359" t="str">
        <f>IFERROR(INDEX(InvestorSurveys!$B$4:$U$21,MATCH($D80,InvestorSurveys!$B$4:$B$21,0),MATCH($X$51,InvestorSurveys!$B$3:$U$3,0)),"")</f>
        <v/>
      </c>
      <c r="N80" s="258"/>
      <c r="O80" s="6"/>
    </row>
    <row r="81" spans="1:16" ht="15" hidden="1" customHeight="1" x14ac:dyDescent="0.25">
      <c r="A81" s="957">
        <f t="shared" si="6"/>
        <v>0</v>
      </c>
      <c r="B81" s="4"/>
      <c r="C81" s="258"/>
      <c r="D81" s="4321">
        <f t="shared" si="4"/>
        <v>0</v>
      </c>
      <c r="E81" s="4321"/>
      <c r="F81" s="4321"/>
      <c r="G81" s="4321"/>
      <c r="H81" s="423" t="str">
        <f t="shared" si="5"/>
        <v/>
      </c>
      <c r="I81" s="2359" t="str">
        <f>IFERROR(INDEX(InvestorSurveys!$B$33:$U$52,MATCH($D81,InvestorSurveys!$B$33:$B$52,0),MATCH($V$51,InvestorSurveys!$B$32:$U$32,0)),"")</f>
        <v/>
      </c>
      <c r="J81" s="4315" t="s">
        <v>474</v>
      </c>
      <c r="K81" s="4315"/>
      <c r="L81" s="2359" t="str">
        <f>IFERROR(INDEX(InvestorSurveys!$B$33:$U$52,MATCH($D81,InvestorSurveys!$B$33:$B$52,0),MATCH($W$51,InvestorSurveys!$B$32:$U$32,0)),"")</f>
        <v/>
      </c>
      <c r="M81" s="2359" t="str">
        <f>IFERROR(INDEX(InvestorSurveys!$B$33:$U$52,MATCH($D81,InvestorSurveys!$B$33:$B$52,0),MATCH($X$51,InvestorSurveys!$B$32:$U$32,0)),"")</f>
        <v/>
      </c>
      <c r="N81" s="258"/>
      <c r="O81" s="6"/>
    </row>
    <row r="82" spans="1:16" ht="15" hidden="1" customHeight="1" x14ac:dyDescent="0.25">
      <c r="A82" s="957">
        <f t="shared" si="6"/>
        <v>0</v>
      </c>
      <c r="B82" s="4"/>
      <c r="C82" s="258"/>
      <c r="D82" s="4321">
        <f t="shared" si="4"/>
        <v>0</v>
      </c>
      <c r="E82" s="4321"/>
      <c r="F82" s="4321"/>
      <c r="G82" s="4321"/>
      <c r="H82" s="423" t="str">
        <f t="shared" si="5"/>
        <v/>
      </c>
      <c r="I82" s="3663" t="s">
        <v>17959</v>
      </c>
      <c r="J82" s="4315" t="s">
        <v>474</v>
      </c>
      <c r="K82" s="4315"/>
      <c r="L82" s="3663" t="s">
        <v>17959</v>
      </c>
      <c r="M82" s="2359" t="str">
        <f>IFERROR(INDEX(Income_InvSurvey_RERC,MATCH($D82,Income_InvSurvey_RERC_Category,0),MATCH($X$72,InvestorSurveys!$B$32:$U$32,0)),"")</f>
        <v/>
      </c>
      <c r="N82" s="258"/>
      <c r="O82" s="6"/>
      <c r="P82" s="1996" t="s">
        <v>18043</v>
      </c>
    </row>
    <row r="83" spans="1:16" ht="15" hidden="1" customHeight="1" x14ac:dyDescent="0.25">
      <c r="A83" s="957">
        <f t="shared" si="6"/>
        <v>0</v>
      </c>
      <c r="B83" s="4"/>
      <c r="C83" s="258"/>
      <c r="D83" s="4321">
        <f t="shared" si="4"/>
        <v>0</v>
      </c>
      <c r="E83" s="4321"/>
      <c r="F83" s="4321"/>
      <c r="G83" s="4321"/>
      <c r="H83" s="423" t="str">
        <f t="shared" si="5"/>
        <v/>
      </c>
      <c r="I83" s="3663" t="s">
        <v>17959</v>
      </c>
      <c r="J83" s="4315" t="s">
        <v>474</v>
      </c>
      <c r="K83" s="4315"/>
      <c r="L83" s="3663" t="s">
        <v>17959</v>
      </c>
      <c r="M83" s="2359"/>
      <c r="N83" s="258"/>
      <c r="O83" s="6"/>
    </row>
    <row r="84" spans="1:16" ht="18" customHeight="1" thickBot="1" x14ac:dyDescent="0.3">
      <c r="A84" s="972">
        <v>1</v>
      </c>
      <c r="B84" s="4"/>
      <c r="C84" s="259"/>
      <c r="D84" s="3647"/>
      <c r="E84" s="3664"/>
      <c r="F84" s="3664"/>
      <c r="G84" s="4319" t="s">
        <v>306</v>
      </c>
      <c r="H84" s="4319"/>
      <c r="I84" s="3665">
        <f>AVERAGE(I72:I83)</f>
        <v>5.3750000000000006E-2</v>
      </c>
      <c r="J84" s="4319" t="s">
        <v>474</v>
      </c>
      <c r="K84" s="4319"/>
      <c r="L84" s="3665">
        <f>AVERAGE(L72:L83)</f>
        <v>0.10125000000000001</v>
      </c>
      <c r="M84" s="3665">
        <f>AVERAGE(M72:M83)</f>
        <v>7.8399999999999997E-2</v>
      </c>
      <c r="N84" s="259"/>
      <c r="O84" s="6"/>
    </row>
    <row r="85" spans="1:16" ht="16.5" customHeight="1" x14ac:dyDescent="0.25">
      <c r="A85" s="957">
        <v>1</v>
      </c>
      <c r="B85" s="4"/>
      <c r="C85" s="258"/>
      <c r="D85" s="2360" t="s">
        <v>922</v>
      </c>
      <c r="E85" s="423"/>
      <c r="F85" s="423"/>
      <c r="G85" s="423"/>
      <c r="H85" s="423"/>
      <c r="I85" s="423"/>
      <c r="J85" s="423"/>
      <c r="K85" s="423"/>
      <c r="L85" s="423"/>
      <c r="M85" s="423"/>
      <c r="N85" s="258"/>
      <c r="O85" s="6"/>
    </row>
    <row r="86" spans="1:16" ht="9.9499999999999993" customHeight="1" x14ac:dyDescent="0.25">
      <c r="A86" s="957">
        <v>1</v>
      </c>
      <c r="B86" s="4"/>
      <c r="C86" s="258"/>
      <c r="D86" s="258"/>
      <c r="E86" s="423"/>
      <c r="F86" s="423"/>
      <c r="G86" s="423"/>
      <c r="H86" s="423"/>
      <c r="I86" s="423"/>
      <c r="J86" s="423"/>
      <c r="K86" s="423"/>
      <c r="L86" s="423"/>
      <c r="M86" s="423"/>
      <c r="N86" s="258"/>
      <c r="O86" s="6"/>
    </row>
    <row r="87" spans="1:16" ht="16.5" x14ac:dyDescent="0.25">
      <c r="A87" s="957">
        <v>1</v>
      </c>
      <c r="B87" s="4"/>
      <c r="C87" s="2987"/>
      <c r="D87" s="514" t="s">
        <v>478</v>
      </c>
      <c r="E87" s="3670"/>
      <c r="F87" s="3670"/>
      <c r="G87" s="3670"/>
      <c r="H87" s="3670"/>
      <c r="I87" s="3670"/>
      <c r="J87" s="2987"/>
      <c r="K87" s="2987"/>
      <c r="L87" s="2987"/>
      <c r="M87" s="3670"/>
      <c r="N87" s="2987"/>
      <c r="O87" s="6"/>
    </row>
    <row r="88" spans="1:16" ht="30" customHeight="1" x14ac:dyDescent="0.25">
      <c r="A88" s="957">
        <v>1</v>
      </c>
      <c r="B88" s="4"/>
      <c r="C88" s="11"/>
      <c r="D88" s="12" t="s">
        <v>282</v>
      </c>
      <c r="E88" s="150"/>
      <c r="F88" s="150"/>
      <c r="G88" s="12"/>
      <c r="H88" s="150" t="s">
        <v>122</v>
      </c>
      <c r="I88" s="290" t="s">
        <v>480</v>
      </c>
      <c r="J88" s="12"/>
      <c r="K88" s="12"/>
      <c r="L88" s="290" t="s">
        <v>479</v>
      </c>
      <c r="M88" s="290" t="s">
        <v>481</v>
      </c>
      <c r="N88" s="11"/>
      <c r="O88" s="6"/>
      <c r="P88" s="12"/>
    </row>
    <row r="89" spans="1:16" ht="15.95" customHeight="1" x14ac:dyDescent="0.25">
      <c r="A89" s="957">
        <f>IF(D89=0,0,1)</f>
        <v>1</v>
      </c>
      <c r="B89" s="4"/>
      <c r="C89" s="258"/>
      <c r="D89" s="4321" t="str">
        <f t="shared" ref="D89:D94" si="7">D30</f>
        <v>PwC - National Secondary Office Market</v>
      </c>
      <c r="E89" s="4321"/>
      <c r="F89" s="4321"/>
      <c r="G89" s="4321"/>
      <c r="H89" s="423" t="str">
        <f>H30</f>
        <v>4Q23</v>
      </c>
      <c r="I89" s="2359">
        <f>IFERROR(INDEX(Income_InvSurvey_PwC,MATCH($D89,Income_InvSurvey_PwC_Category,0),MATCH($X$51,InvestorSurveys!$B$3:$U$3,0)),"")</f>
        <v>8.4900000000000003E-2</v>
      </c>
      <c r="J89" s="4315" t="s">
        <v>474</v>
      </c>
      <c r="K89" s="4315"/>
      <c r="L89" s="2359">
        <f>IFERROR(INDEX(Income_InvSurvey_PwC,MATCH($D89,Income_InvSurvey_PwC_Category,0),MATCH($X$72,InvestorSurveys!$B$3:$U$3,0)),"")</f>
        <v>8.2100000000000006E-2</v>
      </c>
      <c r="M89" s="3666">
        <f>IF(ISERROR((L89-I89)*10000),"",IF((L89-I89)*10000=0,"",(L89-I89)*10000))</f>
        <v>-27.999999999999968</v>
      </c>
      <c r="N89" s="258"/>
      <c r="O89" s="6"/>
    </row>
    <row r="90" spans="1:16" ht="15.95" customHeight="1" x14ac:dyDescent="0.25">
      <c r="A90" s="957">
        <f>IF(D90=0,0,1)</f>
        <v>1</v>
      </c>
      <c r="B90" s="4"/>
      <c r="C90" s="258"/>
      <c r="D90" s="4321" t="str">
        <f t="shared" si="7"/>
        <v>PwC - National Medical Office Bldg Market</v>
      </c>
      <c r="E90" s="4321"/>
      <c r="F90" s="4321"/>
      <c r="G90" s="4321"/>
      <c r="H90" s="423" t="str">
        <f t="shared" ref="H90:H100" si="8">H31</f>
        <v>4Q23</v>
      </c>
      <c r="I90" s="2359">
        <f>IFERROR(INDEX(Income_InvSurvey_PwC,MATCH($D90,Income_InvSurvey_PwC_Category,0),MATCH($X$51,InvestorSurveys!$B$3:$U$3,0)),"")</f>
        <v>7.17E-2</v>
      </c>
      <c r="J90" s="4315" t="s">
        <v>474</v>
      </c>
      <c r="K90" s="4315"/>
      <c r="L90" s="2359">
        <f>IFERROR(INDEX(Income_InvSurvey_PwC,MATCH($D90,Income_InvSurvey_PwC_Category,0),MATCH($X$72,InvestorSurveys!$B$3:$U$3,0)),"")</f>
        <v>7.4700000000000003E-2</v>
      </c>
      <c r="M90" s="3666">
        <f t="shared" ref="M90:M100" si="9">IF(ISERROR((L90-I90)*10000),"",IF((L90-I90)*10000=0,"",(L90-I90)*10000))</f>
        <v>30.000000000000028</v>
      </c>
      <c r="N90" s="258"/>
      <c r="O90" s="6"/>
    </row>
    <row r="91" spans="1:16" ht="15.95" hidden="1" customHeight="1" x14ac:dyDescent="0.25">
      <c r="A91" s="957">
        <f t="shared" ref="A91:A100" si="10">IF(D91=0,0,1)</f>
        <v>0</v>
      </c>
      <c r="B91" s="4"/>
      <c r="C91" s="258"/>
      <c r="D91" s="4321">
        <f t="shared" si="7"/>
        <v>0</v>
      </c>
      <c r="E91" s="4321"/>
      <c r="F91" s="4321"/>
      <c r="G91" s="4321"/>
      <c r="H91" s="423" t="str">
        <f t="shared" si="8"/>
        <v/>
      </c>
      <c r="I91" s="2359" t="str">
        <f>IFERROR(INDEX(Income_InvSurvey_PwC,MATCH($D91,Income_InvSurvey_PwC_Category,0),MATCH($X$51,InvestorSurveys!$B$3:$U$3,0)),"")</f>
        <v/>
      </c>
      <c r="J91" s="4315" t="s">
        <v>474</v>
      </c>
      <c r="K91" s="4315"/>
      <c r="L91" s="2359" t="str">
        <f>IFERROR(INDEX(Income_InvSurvey_PwC,MATCH($D91,Income_InvSurvey_PwC_Category,0),MATCH($X$72,InvestorSurveys!$B$3:$U$3,0)),"")</f>
        <v/>
      </c>
      <c r="M91" s="3666" t="str">
        <f t="shared" si="9"/>
        <v/>
      </c>
      <c r="N91" s="258"/>
      <c r="O91" s="6"/>
    </row>
    <row r="92" spans="1:16" ht="15.95" hidden="1" customHeight="1" x14ac:dyDescent="0.25">
      <c r="A92" s="957">
        <f t="shared" si="10"/>
        <v>0</v>
      </c>
      <c r="B92" s="4"/>
      <c r="C92" s="258"/>
      <c r="D92" s="4321">
        <f t="shared" si="7"/>
        <v>0</v>
      </c>
      <c r="E92" s="4321"/>
      <c r="F92" s="4321"/>
      <c r="G92" s="4321"/>
      <c r="H92" s="423" t="str">
        <f t="shared" si="8"/>
        <v>4Q23</v>
      </c>
      <c r="I92" s="2359" t="str">
        <f t="shared" ref="I92:I98" si="11">IF(M54=0,"",M54)</f>
        <v/>
      </c>
      <c r="J92" s="4315" t="s">
        <v>474</v>
      </c>
      <c r="K92" s="4315"/>
      <c r="L92" s="2359" t="str">
        <f t="shared" ref="L92:L98" si="12">IF(M75=0,"",M75)</f>
        <v/>
      </c>
      <c r="M92" s="3666" t="str">
        <f t="shared" si="9"/>
        <v/>
      </c>
      <c r="N92" s="258"/>
      <c r="O92" s="6"/>
    </row>
    <row r="93" spans="1:16" ht="15.95" hidden="1" customHeight="1" x14ac:dyDescent="0.25">
      <c r="A93" s="957">
        <f t="shared" si="10"/>
        <v>0</v>
      </c>
      <c r="B93" s="4"/>
      <c r="C93" s="258"/>
      <c r="D93" s="4321">
        <f t="shared" si="7"/>
        <v>0</v>
      </c>
      <c r="E93" s="4321"/>
      <c r="F93" s="4321"/>
      <c r="G93" s="4321"/>
      <c r="H93" s="423" t="str">
        <f t="shared" si="8"/>
        <v>4Q23</v>
      </c>
      <c r="I93" s="2359" t="str">
        <f t="shared" si="11"/>
        <v/>
      </c>
      <c r="J93" s="4315" t="s">
        <v>474</v>
      </c>
      <c r="K93" s="4315"/>
      <c r="L93" s="2359" t="str">
        <f t="shared" si="12"/>
        <v/>
      </c>
      <c r="M93" s="3666" t="str">
        <f t="shared" si="9"/>
        <v/>
      </c>
      <c r="N93" s="258"/>
      <c r="O93" s="6"/>
    </row>
    <row r="94" spans="1:16" ht="15.95" hidden="1" customHeight="1" x14ac:dyDescent="0.25">
      <c r="A94" s="957">
        <f t="shared" si="10"/>
        <v>0</v>
      </c>
      <c r="B94" s="4"/>
      <c r="C94" s="258"/>
      <c r="D94" s="4321">
        <f t="shared" si="7"/>
        <v>0</v>
      </c>
      <c r="E94" s="4321"/>
      <c r="F94" s="4321"/>
      <c r="G94" s="4321"/>
      <c r="H94" s="423" t="str">
        <f t="shared" si="8"/>
        <v/>
      </c>
      <c r="I94" s="2359" t="str">
        <f>IFERROR(INDEX(Income_InvSurvey_RERC,MATCH($D94,Income_InvSurvey_RERC_Category,0),MATCH($X$51,InvestorSurveys!$B$32:$U$32,0)),"")</f>
        <v/>
      </c>
      <c r="J94" s="4315" t="s">
        <v>474</v>
      </c>
      <c r="K94" s="4315"/>
      <c r="L94" s="2359" t="str">
        <f>IFERROR(INDEX(Income_InvSurvey_RERC,MATCH($D94,Income_InvSurvey_RERC_Category,0),MATCH($X$72,InvestorSurveys!$B$32:$U$32,0)),"")</f>
        <v/>
      </c>
      <c r="M94" s="3666" t="str">
        <f t="shared" si="9"/>
        <v/>
      </c>
      <c r="N94" s="258"/>
      <c r="O94" s="6"/>
    </row>
    <row r="95" spans="1:16" ht="15.95" hidden="1" customHeight="1" x14ac:dyDescent="0.25">
      <c r="A95" s="957">
        <f t="shared" si="10"/>
        <v>0</v>
      </c>
      <c r="B95" s="4"/>
      <c r="C95" s="258"/>
      <c r="D95" s="4321">
        <f t="shared" ref="D95:D100" si="13">D36</f>
        <v>0</v>
      </c>
      <c r="E95" s="4321"/>
      <c r="F95" s="4321"/>
      <c r="G95" s="4321"/>
      <c r="H95" s="423" t="str">
        <f t="shared" si="8"/>
        <v/>
      </c>
      <c r="I95" s="2359" t="str">
        <f>IFERROR(INDEX(Income_InvSurvey_RERC,MATCH($D95,Income_InvSurvey_RERC_Category,0),MATCH($X$51,InvestorSurveys!$B$32:$U$32,0)),"")</f>
        <v/>
      </c>
      <c r="J95" s="4315" t="s">
        <v>474</v>
      </c>
      <c r="K95" s="4315"/>
      <c r="L95" s="2359" t="str">
        <f>IFERROR(INDEX(Income_InvSurvey_RERC,MATCH($D95,Income_InvSurvey_RERC_Category,0),MATCH($X$72,InvestorSurveys!$B$32:$U$32,0)),"")</f>
        <v/>
      </c>
      <c r="M95" s="3666" t="str">
        <f t="shared" si="9"/>
        <v/>
      </c>
      <c r="N95" s="258"/>
      <c r="O95" s="6"/>
    </row>
    <row r="96" spans="1:16" ht="15.95" hidden="1" customHeight="1" x14ac:dyDescent="0.25">
      <c r="A96" s="957">
        <f t="shared" si="10"/>
        <v>0</v>
      </c>
      <c r="B96" s="4"/>
      <c r="C96" s="258"/>
      <c r="D96" s="4321">
        <f t="shared" si="13"/>
        <v>0</v>
      </c>
      <c r="E96" s="4321"/>
      <c r="F96" s="4321"/>
      <c r="G96" s="4321"/>
      <c r="H96" s="423" t="str">
        <f t="shared" si="8"/>
        <v/>
      </c>
      <c r="I96" s="2359" t="str">
        <f>IFERROR(INDEX(Income_InvSurvey_RERC,MATCH($D96,Income_InvSurvey_RERC_Category,0),MATCH($X$51,InvestorSurveys!$B$32:$U$32,0)),"")</f>
        <v/>
      </c>
      <c r="J96" s="4315" t="s">
        <v>474</v>
      </c>
      <c r="K96" s="4315"/>
      <c r="L96" s="2359" t="str">
        <f>IFERROR(INDEX(Income_InvSurvey_RERC,MATCH($D96,Income_InvSurvey_RERC_Category,0),MATCH($X$72,InvestorSurveys!$B$32:$U$32,0)),"")</f>
        <v/>
      </c>
      <c r="M96" s="3666" t="str">
        <f t="shared" si="9"/>
        <v/>
      </c>
      <c r="N96" s="258"/>
      <c r="O96" s="6"/>
    </row>
    <row r="97" spans="1:24" ht="15.95" hidden="1" customHeight="1" x14ac:dyDescent="0.25">
      <c r="A97" s="957">
        <f t="shared" si="10"/>
        <v>0</v>
      </c>
      <c r="B97" s="4"/>
      <c r="C97" s="258"/>
      <c r="D97" s="4321">
        <f t="shared" si="13"/>
        <v>0</v>
      </c>
      <c r="E97" s="4321"/>
      <c r="F97" s="4321"/>
      <c r="G97" s="4321"/>
      <c r="H97" s="423" t="str">
        <f t="shared" si="8"/>
        <v/>
      </c>
      <c r="I97" s="2359" t="str">
        <f t="shared" si="11"/>
        <v/>
      </c>
      <c r="J97" s="4315" t="s">
        <v>474</v>
      </c>
      <c r="K97" s="4315"/>
      <c r="L97" s="2359" t="str">
        <f t="shared" si="12"/>
        <v/>
      </c>
      <c r="M97" s="3666" t="str">
        <f t="shared" si="9"/>
        <v/>
      </c>
      <c r="N97" s="258"/>
      <c r="O97" s="6"/>
    </row>
    <row r="98" spans="1:24" ht="15.95" hidden="1" customHeight="1" thickBot="1" x14ac:dyDescent="0.3">
      <c r="A98" s="957">
        <f t="shared" si="10"/>
        <v>0</v>
      </c>
      <c r="B98" s="4"/>
      <c r="C98" s="258"/>
      <c r="D98" s="4321">
        <f t="shared" si="13"/>
        <v>0</v>
      </c>
      <c r="E98" s="4321"/>
      <c r="F98" s="4321"/>
      <c r="G98" s="4321"/>
      <c r="H98" s="423" t="str">
        <f t="shared" si="8"/>
        <v/>
      </c>
      <c r="I98" s="2359" t="str">
        <f t="shared" si="11"/>
        <v/>
      </c>
      <c r="J98" s="4315" t="s">
        <v>474</v>
      </c>
      <c r="K98" s="4315"/>
      <c r="L98" s="2359" t="str">
        <f t="shared" si="12"/>
        <v/>
      </c>
      <c r="M98" s="3666" t="str">
        <f t="shared" si="9"/>
        <v/>
      </c>
      <c r="N98" s="258"/>
      <c r="O98" s="6"/>
    </row>
    <row r="99" spans="1:24" ht="15.95" hidden="1" customHeight="1" x14ac:dyDescent="0.25">
      <c r="A99" s="957">
        <f t="shared" si="10"/>
        <v>0</v>
      </c>
      <c r="B99" s="4"/>
      <c r="C99" s="258"/>
      <c r="D99" s="4321">
        <f t="shared" si="13"/>
        <v>0</v>
      </c>
      <c r="E99" s="4321"/>
      <c r="F99" s="4321"/>
      <c r="G99" s="4321"/>
      <c r="H99" s="423" t="str">
        <f t="shared" si="8"/>
        <v/>
      </c>
      <c r="I99" s="2359" t="str">
        <f>IFERROR(INDEX(Income_InvSurvey_RERC,MATCH($D99,Income_InvSurvey_RERC_Category,0),MATCH($X$51,InvestorSurveys!$B$32:$U$32,0)),"")</f>
        <v/>
      </c>
      <c r="J99" s="4315" t="s">
        <v>474</v>
      </c>
      <c r="K99" s="4315"/>
      <c r="L99" s="2359" t="str">
        <f>IFERROR(INDEX(Income_InvSurvey_RERC,MATCH($D99,Income_InvSurvey_RERC_Category,0),MATCH($X$72,InvestorSurveys!$B$32:$U$32,0)),"")</f>
        <v/>
      </c>
      <c r="M99" s="3666" t="str">
        <f t="shared" si="9"/>
        <v/>
      </c>
      <c r="N99" s="258"/>
      <c r="O99" s="6"/>
      <c r="P99" s="4329" t="s">
        <v>1548</v>
      </c>
      <c r="Q99" s="4330"/>
      <c r="R99" s="4331"/>
    </row>
    <row r="100" spans="1:24" ht="15.95" hidden="1" customHeight="1" x14ac:dyDescent="0.25">
      <c r="A100" s="957">
        <f t="shared" si="10"/>
        <v>0</v>
      </c>
      <c r="B100" s="4"/>
      <c r="C100" s="258"/>
      <c r="D100" s="4321">
        <f t="shared" si="13"/>
        <v>0</v>
      </c>
      <c r="E100" s="4321"/>
      <c r="F100" s="4321"/>
      <c r="G100" s="4321"/>
      <c r="H100" s="423" t="str">
        <f t="shared" si="8"/>
        <v/>
      </c>
      <c r="I100" s="3663" t="str">
        <f>IF(M62=0,"",M62)</f>
        <v/>
      </c>
      <c r="J100" s="4315" t="s">
        <v>474</v>
      </c>
      <c r="K100" s="4315"/>
      <c r="L100" s="3663" t="str">
        <f>IF(M83=0,"",M83)</f>
        <v/>
      </c>
      <c r="M100" s="3666" t="str">
        <f t="shared" si="9"/>
        <v/>
      </c>
      <c r="N100" s="258"/>
      <c r="O100" s="6"/>
      <c r="P100" s="4332"/>
      <c r="Q100" s="4333"/>
      <c r="R100" s="4334"/>
    </row>
    <row r="101" spans="1:24" ht="15.95" customHeight="1" thickBot="1" x14ac:dyDescent="0.3">
      <c r="A101" s="972">
        <v>1</v>
      </c>
      <c r="B101" s="4"/>
      <c r="C101" s="259"/>
      <c r="D101" s="3647"/>
      <c r="E101" s="3664"/>
      <c r="F101" s="3664"/>
      <c r="G101" s="4319" t="s">
        <v>306</v>
      </c>
      <c r="H101" s="4319"/>
      <c r="I101" s="3665">
        <f>AVERAGE(I89:I100)</f>
        <v>7.8300000000000008E-2</v>
      </c>
      <c r="J101" s="4319" t="s">
        <v>474</v>
      </c>
      <c r="K101" s="4319"/>
      <c r="L101" s="3665">
        <f>AVERAGE(L89:L100)</f>
        <v>7.8399999999999997E-2</v>
      </c>
      <c r="M101" s="3667">
        <f>AVERAGE(M89:M100)</f>
        <v>1.0000000000000302</v>
      </c>
      <c r="N101" s="259"/>
      <c r="O101" s="6"/>
      <c r="P101" s="918"/>
      <c r="Q101" s="1649">
        <f>(dpIncome_TerminalRate-dpIncome_OAR)*10000</f>
        <v>-675</v>
      </c>
      <c r="R101" s="381"/>
      <c r="S101" s="1996" t="s">
        <v>18044</v>
      </c>
    </row>
    <row r="102" spans="1:24" ht="15" customHeight="1" thickBot="1" x14ac:dyDescent="0.3">
      <c r="A102" s="957">
        <v>1</v>
      </c>
      <c r="B102" s="4"/>
      <c r="C102" s="259"/>
      <c r="D102" s="559" t="s">
        <v>923</v>
      </c>
      <c r="E102" s="260"/>
      <c r="F102" s="260"/>
      <c r="G102" s="261"/>
      <c r="H102" s="261"/>
      <c r="I102" s="262"/>
      <c r="J102" s="261"/>
      <c r="K102" s="261"/>
      <c r="L102" s="262"/>
      <c r="M102" s="262"/>
      <c r="N102" s="259"/>
      <c r="O102" s="6"/>
      <c r="P102" s="919"/>
      <c r="Q102" s="382"/>
      <c r="R102" s="383"/>
    </row>
    <row r="103" spans="1:24" ht="9.9499999999999993" customHeight="1" x14ac:dyDescent="0.25">
      <c r="A103" s="957">
        <v>1</v>
      </c>
      <c r="B103" s="4"/>
      <c r="C103" s="259"/>
      <c r="D103" s="259"/>
      <c r="E103" s="260"/>
      <c r="F103" s="260"/>
      <c r="G103" s="261"/>
      <c r="H103" s="261"/>
      <c r="I103" s="262"/>
      <c r="J103" s="261"/>
      <c r="K103" s="261"/>
      <c r="L103" s="262"/>
      <c r="M103" s="262"/>
      <c r="N103" s="259"/>
      <c r="O103" s="6"/>
    </row>
    <row r="104" spans="1:24" ht="16.5" x14ac:dyDescent="0.25">
      <c r="A104" s="972">
        <v>1</v>
      </c>
      <c r="B104" s="4"/>
      <c r="C104" s="2987"/>
      <c r="D104" s="514" t="s">
        <v>17978</v>
      </c>
      <c r="E104" s="3670"/>
      <c r="F104" s="3670"/>
      <c r="G104" s="3670"/>
      <c r="H104" s="3670"/>
      <c r="I104" s="3670"/>
      <c r="J104" s="2987"/>
      <c r="K104" s="2987"/>
      <c r="L104" s="2987"/>
      <c r="M104" s="3670"/>
      <c r="N104" s="2987"/>
      <c r="O104" s="6"/>
    </row>
    <row r="105" spans="1:24" s="36" customFormat="1" ht="16.5" customHeight="1" x14ac:dyDescent="0.25">
      <c r="A105" s="972">
        <v>1</v>
      </c>
      <c r="B105" s="87"/>
      <c r="C105" s="731"/>
      <c r="D105" s="161" t="s">
        <v>282</v>
      </c>
      <c r="E105" s="165"/>
      <c r="F105" s="165"/>
      <c r="G105" s="161"/>
      <c r="H105" s="165" t="s">
        <v>122</v>
      </c>
      <c r="I105" s="4272" t="s">
        <v>17983</v>
      </c>
      <c r="J105" s="4272"/>
      <c r="K105" s="4272"/>
      <c r="L105" s="4272"/>
      <c r="M105" s="165" t="s">
        <v>306</v>
      </c>
      <c r="N105" s="731"/>
      <c r="O105" s="89"/>
      <c r="P105" s="161"/>
    </row>
    <row r="106" spans="1:24" ht="15" customHeight="1" x14ac:dyDescent="0.25">
      <c r="A106" s="957">
        <f>IF(M106="",0,1)</f>
        <v>1</v>
      </c>
      <c r="B106" s="4"/>
      <c r="C106" s="258"/>
      <c r="D106" s="4321" t="str">
        <f>D30</f>
        <v>PwC - National Secondary Office Market</v>
      </c>
      <c r="E106" s="4321"/>
      <c r="F106" s="4321"/>
      <c r="G106" s="4321"/>
      <c r="H106" s="423" t="str">
        <f>H30</f>
        <v>4Q23</v>
      </c>
      <c r="I106" s="2359">
        <f>IFERROR(INDEX(Income_InvSurvey_PwC,MATCH($D106,Income_InvSurvey_PwC_Category,0),MATCH($V$106,InvestorSurveys!$B$3:$U$3,0)),"")</f>
        <v>0</v>
      </c>
      <c r="J106" s="4315" t="s">
        <v>474</v>
      </c>
      <c r="K106" s="4315"/>
      <c r="L106" s="2359">
        <f>IFERROR(INDEX(Income_InvSurvey_PwC,MATCH($D106,Income_InvSurvey_PwC_Category,0),MATCH($W$106,InvestorSurveys!$B$3:$U$3,0)),"")</f>
        <v>0.03</v>
      </c>
      <c r="M106" s="2359">
        <f>IFERROR(INDEX(Income_InvSurvey_PwC,MATCH($D106,Income_InvSurvey_PwC_Category,0),MATCH($X$106,InvestorSurveys!$B$3:$U$3,0)),"")</f>
        <v>1.17E-2</v>
      </c>
      <c r="N106" s="258"/>
      <c r="O106" s="6"/>
      <c r="V106" s="2365" t="s">
        <v>17949</v>
      </c>
      <c r="W106" s="2365" t="s">
        <v>17950</v>
      </c>
      <c r="X106" s="2365" t="s">
        <v>17951</v>
      </c>
    </row>
    <row r="107" spans="1:24" ht="15" customHeight="1" x14ac:dyDescent="0.25">
      <c r="A107" s="957">
        <f t="shared" ref="A107:A115" si="14">IF(M107="",0,1)</f>
        <v>1</v>
      </c>
      <c r="B107" s="4"/>
      <c r="C107" s="258"/>
      <c r="D107" s="4321" t="str">
        <f t="shared" ref="D107:D115" si="15">D31</f>
        <v>PwC - National Medical Office Bldg Market</v>
      </c>
      <c r="E107" s="4321"/>
      <c r="F107" s="4321"/>
      <c r="G107" s="4321"/>
      <c r="H107" s="423" t="str">
        <f t="shared" ref="H107:H115" si="16">H31</f>
        <v>4Q23</v>
      </c>
      <c r="I107" s="2359">
        <f>IFERROR(INDEX(Income_InvSurvey_PwC,MATCH($D107,Income_InvSurvey_PwC_Category,0),MATCH($V$106,InvestorSurveys!$B$3:$U$3,0)),"")</f>
        <v>0</v>
      </c>
      <c r="J107" s="4315" t="s">
        <v>474</v>
      </c>
      <c r="K107" s="4315"/>
      <c r="L107" s="2359">
        <f>IFERROR(INDEX(Income_InvSurvey_PwC,MATCH($D107,Income_InvSurvey_PwC_Category,0),MATCH($W$106,InvestorSurveys!$B$3:$U$3,0)),"")</f>
        <v>0.04</v>
      </c>
      <c r="M107" s="2359">
        <f>IFERROR(INDEX(Income_InvSurvey_PwC,MATCH($D107,Income_InvSurvey_PwC_Category,0),MATCH($X$106,InvestorSurveys!$B$3:$U$3,0)),"")</f>
        <v>2.5000000000000001E-2</v>
      </c>
      <c r="N107" s="258"/>
      <c r="O107" s="6"/>
    </row>
    <row r="108" spans="1:24" ht="15" hidden="1" customHeight="1" x14ac:dyDescent="0.25">
      <c r="A108" s="957">
        <f t="shared" si="14"/>
        <v>0</v>
      </c>
      <c r="B108" s="4"/>
      <c r="C108" s="258"/>
      <c r="D108" s="4321">
        <f t="shared" si="15"/>
        <v>0</v>
      </c>
      <c r="E108" s="4321"/>
      <c r="F108" s="4321"/>
      <c r="G108" s="4321"/>
      <c r="H108" s="423" t="str">
        <f t="shared" si="16"/>
        <v/>
      </c>
      <c r="I108" s="2359" t="str">
        <f>IFERROR(INDEX(Income_InvSurvey_PwC,MATCH($D108,Income_InvSurvey_PwC_Category,0),MATCH($V$106,InvestorSurveys!$B$3:$U$3,0)),"")</f>
        <v/>
      </c>
      <c r="J108" s="4315" t="s">
        <v>474</v>
      </c>
      <c r="K108" s="4315"/>
      <c r="L108" s="2359" t="str">
        <f>IFERROR(INDEX(Income_InvSurvey_PwC,MATCH($D108,Income_InvSurvey_PwC_Category,0),MATCH($W$106,InvestorSurveys!$B$3:$U$3,0)),"")</f>
        <v/>
      </c>
      <c r="M108" s="2359" t="str">
        <f>IFERROR(INDEX(Income_InvSurvey_PwC,MATCH($D108,Income_InvSurvey_PwC_Category,0),MATCH($X$106,InvestorSurveys!$B$3:$U$3,0)),"")</f>
        <v/>
      </c>
      <c r="N108" s="258"/>
      <c r="O108" s="6"/>
      <c r="P108" s="1996" t="s">
        <v>18041</v>
      </c>
    </row>
    <row r="109" spans="1:24" ht="15" hidden="1" customHeight="1" x14ac:dyDescent="0.25">
      <c r="A109" s="957">
        <f t="shared" si="14"/>
        <v>0</v>
      </c>
      <c r="B109" s="4"/>
      <c r="C109" s="258"/>
      <c r="D109" s="4321">
        <f t="shared" si="15"/>
        <v>0</v>
      </c>
      <c r="E109" s="4321"/>
      <c r="F109" s="4321"/>
      <c r="G109" s="4321"/>
      <c r="H109" s="423" t="str">
        <f t="shared" si="16"/>
        <v>4Q23</v>
      </c>
      <c r="I109" s="2359"/>
      <c r="J109" s="4315" t="s">
        <v>474</v>
      </c>
      <c r="K109" s="4315"/>
      <c r="L109" s="2359"/>
      <c r="M109" s="2359"/>
      <c r="N109" s="258"/>
      <c r="O109" s="6"/>
      <c r="P109" s="2222"/>
    </row>
    <row r="110" spans="1:24" ht="15" hidden="1" customHeight="1" x14ac:dyDescent="0.25">
      <c r="A110" s="957">
        <f t="shared" si="14"/>
        <v>0</v>
      </c>
      <c r="B110" s="4"/>
      <c r="C110" s="258"/>
      <c r="D110" s="4321">
        <f t="shared" si="15"/>
        <v>0</v>
      </c>
      <c r="E110" s="4321"/>
      <c r="F110" s="4321"/>
      <c r="G110" s="4321"/>
      <c r="H110" s="423" t="str">
        <f t="shared" si="16"/>
        <v>4Q23</v>
      </c>
      <c r="I110" s="2359"/>
      <c r="J110" s="4315" t="s">
        <v>474</v>
      </c>
      <c r="K110" s="4315"/>
      <c r="L110" s="2359"/>
      <c r="M110" s="2359"/>
      <c r="N110" s="258"/>
      <c r="O110" s="6"/>
    </row>
    <row r="111" spans="1:24" ht="15" hidden="1" customHeight="1" x14ac:dyDescent="0.25">
      <c r="A111" s="957">
        <f t="shared" si="14"/>
        <v>0</v>
      </c>
      <c r="B111" s="4"/>
      <c r="C111" s="258"/>
      <c r="D111" s="4321">
        <f t="shared" si="15"/>
        <v>0</v>
      </c>
      <c r="E111" s="4321"/>
      <c r="F111" s="4321"/>
      <c r="G111" s="4321"/>
      <c r="H111" s="423" t="str">
        <f t="shared" si="16"/>
        <v/>
      </c>
      <c r="I111" s="2359" t="str">
        <f>IFERROR(INDEX(Income_InvSurvey_RERC,MATCH($D111,Income_InvSurvey_RERC_Category,0),MATCH($V$106,InvestorSurveys!$B$32:$U$32,0)),"")</f>
        <v/>
      </c>
      <c r="J111" s="4315" t="s">
        <v>474</v>
      </c>
      <c r="K111" s="4315"/>
      <c r="L111" s="2359" t="str">
        <f>IFERROR(INDEX(Income_InvSurvey_RERC,MATCH($D111,Income_InvSurvey_RERC_Category,0),MATCH($W$106,InvestorSurveys!$B$32:$U$32,0)),"")</f>
        <v/>
      </c>
      <c r="M111" s="2359" t="str">
        <f>IFERROR(INDEX(Income_InvSurvey_RERC,MATCH($D111,Income_InvSurvey_RERC_Category,0),MATCH($X$106,InvestorSurveys!$B$32:$U$32,0)),"")</f>
        <v/>
      </c>
      <c r="N111" s="258"/>
      <c r="O111" s="6"/>
    </row>
    <row r="112" spans="1:24" ht="15" hidden="1" customHeight="1" x14ac:dyDescent="0.25">
      <c r="A112" s="957">
        <f t="shared" si="14"/>
        <v>0</v>
      </c>
      <c r="B112" s="4"/>
      <c r="C112" s="258"/>
      <c r="D112" s="4321">
        <f t="shared" si="15"/>
        <v>0</v>
      </c>
      <c r="E112" s="4321"/>
      <c r="F112" s="4321"/>
      <c r="G112" s="4321"/>
      <c r="H112" s="423" t="str">
        <f t="shared" si="16"/>
        <v/>
      </c>
      <c r="I112" s="2359" t="str">
        <f>IFERROR(INDEX(Income_InvSurvey_RERC,MATCH($D112,Income_InvSurvey_RERC_Category,0),MATCH($V$106,InvestorSurveys!$B$32:$U$32,0)),"")</f>
        <v/>
      </c>
      <c r="J112" s="4315" t="s">
        <v>474</v>
      </c>
      <c r="K112" s="4315"/>
      <c r="L112" s="2359" t="str">
        <f>IFERROR(INDEX(Income_InvSurvey_RERC,MATCH($D112,Income_InvSurvey_RERC_Category,0),MATCH($W$106,InvestorSurveys!$B$32:$U$32,0)),"")</f>
        <v/>
      </c>
      <c r="M112" s="2359" t="str">
        <f>IFERROR(INDEX(Income_InvSurvey_RERC,MATCH($D112,Income_InvSurvey_RERC_Category,0),MATCH($X$106,InvestorSurveys!$B$32:$U$32,0)),"")</f>
        <v/>
      </c>
      <c r="N112" s="258"/>
      <c r="O112" s="6"/>
    </row>
    <row r="113" spans="1:24" hidden="1" x14ac:dyDescent="0.25">
      <c r="A113" s="957">
        <f t="shared" si="14"/>
        <v>0</v>
      </c>
      <c r="B113" s="4"/>
      <c r="C113" s="258"/>
      <c r="D113" s="4321">
        <f t="shared" si="15"/>
        <v>0</v>
      </c>
      <c r="E113" s="4321"/>
      <c r="F113" s="4321"/>
      <c r="G113" s="4321"/>
      <c r="H113" s="423" t="str">
        <f t="shared" si="16"/>
        <v/>
      </c>
      <c r="I113" s="2359" t="str">
        <f>IFERROR(INDEX(Income_InvSurvey_RERC,MATCH($D113,Income_InvSurvey_RERC_Category,0),MATCH($V$106,InvestorSurveys!$B$32:$U$32,0)),"")</f>
        <v/>
      </c>
      <c r="J113" s="4315" t="s">
        <v>474</v>
      </c>
      <c r="K113" s="4315"/>
      <c r="L113" s="2359" t="str">
        <f>IFERROR(INDEX(Income_InvSurvey_RERC,MATCH($D113,Income_InvSurvey_RERC_Category,0),MATCH($W$106,InvestorSurveys!$B$32:$U$32,0)),"")</f>
        <v/>
      </c>
      <c r="M113" s="2359" t="str">
        <f>IFERROR(INDEX(Income_InvSurvey_RERC,MATCH($D113,Income_InvSurvey_RERC_Category,0),MATCH($X$106,InvestorSurveys!$B$32:$U$32,0)),"")</f>
        <v/>
      </c>
      <c r="N113" s="258"/>
      <c r="O113" s="6"/>
      <c r="P113" s="1996" t="s">
        <v>18042</v>
      </c>
    </row>
    <row r="114" spans="1:24" hidden="1" x14ac:dyDescent="0.25">
      <c r="A114" s="957">
        <f t="shared" si="14"/>
        <v>0</v>
      </c>
      <c r="B114" s="4"/>
      <c r="C114" s="258"/>
      <c r="D114" s="4321">
        <f t="shared" si="15"/>
        <v>0</v>
      </c>
      <c r="E114" s="4321"/>
      <c r="F114" s="4321"/>
      <c r="G114" s="4321"/>
      <c r="H114" s="423" t="str">
        <f t="shared" si="16"/>
        <v/>
      </c>
      <c r="I114" s="2359"/>
      <c r="J114" s="4315" t="s">
        <v>474</v>
      </c>
      <c r="K114" s="4315"/>
      <c r="L114" s="2359"/>
      <c r="M114" s="2359"/>
      <c r="N114" s="258"/>
      <c r="O114" s="6"/>
    </row>
    <row r="115" spans="1:24" ht="15" hidden="1" customHeight="1" x14ac:dyDescent="0.25">
      <c r="A115" s="957">
        <f t="shared" si="14"/>
        <v>0</v>
      </c>
      <c r="B115" s="4"/>
      <c r="C115" s="258"/>
      <c r="D115" s="4321">
        <f t="shared" si="15"/>
        <v>0</v>
      </c>
      <c r="E115" s="4321"/>
      <c r="F115" s="4321"/>
      <c r="G115" s="4321"/>
      <c r="H115" s="423" t="str">
        <f t="shared" si="16"/>
        <v/>
      </c>
      <c r="I115" s="2359"/>
      <c r="J115" s="4315" t="s">
        <v>474</v>
      </c>
      <c r="K115" s="4315"/>
      <c r="L115" s="2359"/>
      <c r="M115" s="2359"/>
      <c r="N115" s="258"/>
      <c r="O115" s="6"/>
    </row>
    <row r="116" spans="1:24" ht="18" customHeight="1" thickBot="1" x14ac:dyDescent="0.3">
      <c r="A116" s="957">
        <v>1</v>
      </c>
      <c r="B116" s="4"/>
      <c r="C116" s="259"/>
      <c r="D116" s="3647"/>
      <c r="E116" s="3664"/>
      <c r="F116" s="3664"/>
      <c r="G116" s="4319" t="s">
        <v>306</v>
      </c>
      <c r="H116" s="4319"/>
      <c r="I116" s="3665">
        <f>AVERAGE(I106:I115)</f>
        <v>0</v>
      </c>
      <c r="J116" s="4319" t="s">
        <v>474</v>
      </c>
      <c r="K116" s="4319"/>
      <c r="L116" s="3665">
        <f>AVERAGE(L106:L115)</f>
        <v>3.5000000000000003E-2</v>
      </c>
      <c r="M116" s="3665">
        <f>AVERAGE(M106:M115)</f>
        <v>1.8350000000000002E-2</v>
      </c>
      <c r="N116" s="259"/>
      <c r="O116" s="6"/>
    </row>
    <row r="117" spans="1:24" ht="16.5" customHeight="1" x14ac:dyDescent="0.25">
      <c r="A117" s="957">
        <v>1</v>
      </c>
      <c r="B117" s="4"/>
      <c r="C117" s="259"/>
      <c r="D117" s="559" t="s">
        <v>924</v>
      </c>
      <c r="E117" s="260"/>
      <c r="F117" s="260"/>
      <c r="G117" s="261"/>
      <c r="H117" s="261"/>
      <c r="I117" s="262"/>
      <c r="J117" s="261"/>
      <c r="K117" s="261"/>
      <c r="L117" s="262"/>
      <c r="M117" s="262"/>
      <c r="N117" s="259"/>
      <c r="O117" s="6"/>
    </row>
    <row r="118" spans="1:24" ht="9.9499999999999993" customHeight="1" x14ac:dyDescent="0.25">
      <c r="A118" s="957">
        <v>1</v>
      </c>
      <c r="B118" s="4"/>
      <c r="C118" s="259"/>
      <c r="D118" s="259"/>
      <c r="E118" s="260"/>
      <c r="F118" s="260"/>
      <c r="G118" s="261"/>
      <c r="H118" s="261"/>
      <c r="I118" s="262"/>
      <c r="J118" s="261"/>
      <c r="K118" s="261"/>
      <c r="L118" s="262"/>
      <c r="M118" s="262"/>
      <c r="N118" s="259"/>
      <c r="O118" s="6"/>
    </row>
    <row r="119" spans="1:24" ht="18" customHeight="1" x14ac:dyDescent="0.25">
      <c r="A119" s="957">
        <v>1</v>
      </c>
      <c r="B119" s="4"/>
      <c r="C119" s="2987"/>
      <c r="D119" s="514" t="s">
        <v>17979</v>
      </c>
      <c r="E119" s="3670"/>
      <c r="F119" s="3670"/>
      <c r="G119" s="3670"/>
      <c r="H119" s="3670"/>
      <c r="I119" s="3670"/>
      <c r="J119" s="2987"/>
      <c r="K119" s="2987"/>
      <c r="L119" s="2987"/>
      <c r="M119" s="3670"/>
      <c r="N119" s="2987"/>
      <c r="O119" s="6"/>
      <c r="P119" s="12"/>
    </row>
    <row r="120" spans="1:24" s="36" customFormat="1" ht="16.5" customHeight="1" x14ac:dyDescent="0.25">
      <c r="A120" s="972">
        <v>1</v>
      </c>
      <c r="B120" s="87"/>
      <c r="C120" s="731"/>
      <c r="D120" s="161" t="s">
        <v>282</v>
      </c>
      <c r="E120" s="165"/>
      <c r="F120" s="165"/>
      <c r="G120" s="161"/>
      <c r="H120" s="165" t="s">
        <v>122</v>
      </c>
      <c r="I120" s="4272" t="s">
        <v>17983</v>
      </c>
      <c r="J120" s="4272"/>
      <c r="K120" s="4272"/>
      <c r="L120" s="4272"/>
      <c r="M120" s="165" t="s">
        <v>306</v>
      </c>
      <c r="N120" s="731"/>
      <c r="O120" s="89"/>
    </row>
    <row r="121" spans="1:24" ht="15" customHeight="1" x14ac:dyDescent="0.25">
      <c r="A121" s="957">
        <f t="shared" ref="A121:A130" si="17">IF(M121="",0,1)</f>
        <v>1</v>
      </c>
      <c r="B121" s="4"/>
      <c r="C121" s="258"/>
      <c r="D121" s="4321" t="str">
        <f>D30</f>
        <v>PwC - National Secondary Office Market</v>
      </c>
      <c r="E121" s="4321"/>
      <c r="F121" s="4321"/>
      <c r="G121" s="4321"/>
      <c r="H121" s="423" t="str">
        <f>H30</f>
        <v>4Q23</v>
      </c>
      <c r="I121" s="2359">
        <f>IFERROR(INDEX(Income_InvSurvey_PwC,MATCH($D121,Income_InvSurvey_PwC_Category,0),MATCH($V$121,InvestorSurveys!$B$3:$U$3,0)),"")</f>
        <v>0.02</v>
      </c>
      <c r="J121" s="4315" t="s">
        <v>474</v>
      </c>
      <c r="K121" s="4315"/>
      <c r="L121" s="2359">
        <f>IFERROR(INDEX(Income_InvSurvey_PwC,MATCH($D121,Income_InvSurvey_PwC_Category,0),MATCH($W$121,InvestorSurveys!$B$3:$U$3,0)),"")</f>
        <v>0.05</v>
      </c>
      <c r="M121" s="2359">
        <f>IFERROR(INDEX(Income_InvSurvey_PwC,MATCH($D121,Income_InvSurvey_PwC_Category,0),MATCH($X$121,InvestorSurveys!$B$3:$U$3,0)),"")</f>
        <v>3.2500000000000001E-2</v>
      </c>
      <c r="N121" s="258"/>
      <c r="O121" s="6"/>
      <c r="V121" s="2365" t="s">
        <v>17952</v>
      </c>
      <c r="W121" s="2365" t="s">
        <v>17953</v>
      </c>
      <c r="X121" s="2365" t="s">
        <v>17954</v>
      </c>
    </row>
    <row r="122" spans="1:24" ht="15" customHeight="1" x14ac:dyDescent="0.25">
      <c r="A122" s="957">
        <f t="shared" si="17"/>
        <v>1</v>
      </c>
      <c r="B122" s="4"/>
      <c r="C122" s="258"/>
      <c r="D122" s="4321" t="str">
        <f t="shared" ref="D122:D130" si="18">D31</f>
        <v>PwC - National Medical Office Bldg Market</v>
      </c>
      <c r="E122" s="4321"/>
      <c r="F122" s="4321"/>
      <c r="G122" s="4321"/>
      <c r="H122" s="423" t="str">
        <f t="shared" ref="H122:H130" si="19">H31</f>
        <v>4Q23</v>
      </c>
      <c r="I122" s="2359">
        <f>IFERROR(INDEX(Income_InvSurvey_PwC,MATCH($D122,Income_InvSurvey_PwC_Category,0),MATCH($V$121,InvestorSurveys!$B$3:$U$3,0)),"")</f>
        <v>0.02</v>
      </c>
      <c r="J122" s="4315" t="s">
        <v>474</v>
      </c>
      <c r="K122" s="4315"/>
      <c r="L122" s="2359">
        <f>IFERROR(INDEX(Income_InvSurvey_PwC,MATCH($D122,Income_InvSurvey_PwC_Category,0),MATCH($W$121,InvestorSurveys!$B$3:$U$3,0)),"")</f>
        <v>0.05</v>
      </c>
      <c r="M122" s="2359">
        <f>IFERROR(INDEX(Income_InvSurvey_PwC,MATCH($D122,Income_InvSurvey_PwC_Category,0),MATCH($X$121,InvestorSurveys!$B$3:$U$3,0)),"")</f>
        <v>3.3799999999999997E-2</v>
      </c>
      <c r="N122" s="258"/>
      <c r="O122" s="6"/>
    </row>
    <row r="123" spans="1:24" ht="15" hidden="1" customHeight="1" x14ac:dyDescent="0.25">
      <c r="A123" s="957">
        <f t="shared" si="17"/>
        <v>0</v>
      </c>
      <c r="B123" s="4"/>
      <c r="C123" s="258"/>
      <c r="D123" s="4321">
        <f>D32</f>
        <v>0</v>
      </c>
      <c r="E123" s="4321"/>
      <c r="F123" s="4321"/>
      <c r="G123" s="4321"/>
      <c r="H123" s="423" t="str">
        <f t="shared" si="19"/>
        <v/>
      </c>
      <c r="I123" s="2359" t="str">
        <f>IFERROR(INDEX(Income_InvSurvey_PwC,MATCH($D123,Income_InvSurvey_PwC_Category,0),MATCH($V$121,InvestorSurveys!$B$3:$U$3,0)),"")</f>
        <v/>
      </c>
      <c r="J123" s="4315" t="s">
        <v>474</v>
      </c>
      <c r="K123" s="4315"/>
      <c r="L123" s="2359" t="str">
        <f>IFERROR(INDEX(Income_InvSurvey_PwC,MATCH($D123,Income_InvSurvey_PwC_Category,0),MATCH($W$121,InvestorSurveys!$B$3:$U$3,0)),"")</f>
        <v/>
      </c>
      <c r="M123" s="2359" t="str">
        <f>IFERROR(INDEX(Income_InvSurvey_PwC,MATCH($D123,Income_InvSurvey_PwC_Category,0),MATCH($X$121,InvestorSurveys!$B$3:$U$3,0)),"")</f>
        <v/>
      </c>
      <c r="N123" s="258"/>
      <c r="O123" s="6"/>
      <c r="P123" s="1996" t="s">
        <v>18041</v>
      </c>
    </row>
    <row r="124" spans="1:24" ht="15" hidden="1" customHeight="1" x14ac:dyDescent="0.25">
      <c r="A124" s="957">
        <f t="shared" si="17"/>
        <v>0</v>
      </c>
      <c r="B124" s="4"/>
      <c r="C124" s="258"/>
      <c r="D124" s="4321">
        <f>D33</f>
        <v>0</v>
      </c>
      <c r="E124" s="4321"/>
      <c r="F124" s="4321"/>
      <c r="G124" s="4321"/>
      <c r="H124" s="423" t="str">
        <f t="shared" si="19"/>
        <v>4Q23</v>
      </c>
      <c r="I124" s="2359"/>
      <c r="J124" s="4315" t="s">
        <v>474</v>
      </c>
      <c r="K124" s="4315"/>
      <c r="L124" s="2359"/>
      <c r="M124" s="2359"/>
      <c r="N124" s="258"/>
      <c r="O124" s="6"/>
      <c r="P124" s="2222"/>
    </row>
    <row r="125" spans="1:24" ht="15" hidden="1" customHeight="1" x14ac:dyDescent="0.25">
      <c r="A125" s="957">
        <f t="shared" si="17"/>
        <v>0</v>
      </c>
      <c r="B125" s="4"/>
      <c r="C125" s="258"/>
      <c r="D125" s="4321">
        <f>D34</f>
        <v>0</v>
      </c>
      <c r="E125" s="4321"/>
      <c r="F125" s="4321"/>
      <c r="G125" s="4321"/>
      <c r="H125" s="423" t="str">
        <f t="shared" si="19"/>
        <v>4Q23</v>
      </c>
      <c r="I125" s="2359" t="str">
        <f>IFERROR(INDEX(InvestorSurveys!$B$4:$U$21,MATCH($D125,InvestorSurveys!$B$4:$B$21,0),MATCH($V$121,InvestorSurveys!$B$3:$U$3,0)),"")</f>
        <v/>
      </c>
      <c r="J125" s="4315" t="s">
        <v>474</v>
      </c>
      <c r="K125" s="4315"/>
      <c r="L125" s="2359" t="str">
        <f>IFERROR(INDEX(InvestorSurveys!$B$4:$U$21,MATCH($D125,InvestorSurveys!$B$4:$B$21,0),MATCH($W$121,InvestorSurveys!$B$3:$U$3,0)),"")</f>
        <v/>
      </c>
      <c r="M125" s="2359"/>
      <c r="N125" s="258"/>
      <c r="O125" s="6"/>
    </row>
    <row r="126" spans="1:24" ht="15" hidden="1" customHeight="1" x14ac:dyDescent="0.25">
      <c r="A126" s="957">
        <f t="shared" si="17"/>
        <v>0</v>
      </c>
      <c r="B126" s="4"/>
      <c r="C126" s="258"/>
      <c r="D126" s="4321">
        <f t="shared" si="18"/>
        <v>0</v>
      </c>
      <c r="E126" s="4321"/>
      <c r="F126" s="4321"/>
      <c r="G126" s="4321"/>
      <c r="H126" s="423" t="str">
        <f t="shared" si="19"/>
        <v/>
      </c>
      <c r="I126" s="2359" t="str">
        <f>IFERROR(INDEX(Income_InvSurvey_RERC,MATCH($D126,Income_InvSurvey_RERC_Category,0),MATCH($V$121,InvestorSurveys!$B$32:$U$32,0)),"")</f>
        <v/>
      </c>
      <c r="J126" s="4315" t="s">
        <v>474</v>
      </c>
      <c r="K126" s="4315"/>
      <c r="L126" s="2359" t="str">
        <f>IFERROR(INDEX(Income_InvSurvey_RERC,MATCH($D126,Income_InvSurvey_RERC_Category,0),MATCH($W$121,InvestorSurveys!$B$32:$U$32,0)),"")</f>
        <v/>
      </c>
      <c r="M126" s="2359" t="str">
        <f>IFERROR(INDEX(Income_InvSurvey_RERC,MATCH($D126,Income_InvSurvey_RERC_Category,0),MATCH($X$121,InvestorSurveys!$B$32:$U$32,0)),"")</f>
        <v/>
      </c>
      <c r="N126" s="258"/>
      <c r="O126" s="6"/>
    </row>
    <row r="127" spans="1:24" ht="15" hidden="1" customHeight="1" x14ac:dyDescent="0.25">
      <c r="A127" s="957">
        <f t="shared" si="17"/>
        <v>0</v>
      </c>
      <c r="B127" s="4"/>
      <c r="C127" s="258"/>
      <c r="D127" s="4321">
        <f t="shared" si="18"/>
        <v>0</v>
      </c>
      <c r="E127" s="4321"/>
      <c r="F127" s="4321"/>
      <c r="G127" s="4321"/>
      <c r="H127" s="423" t="str">
        <f t="shared" si="19"/>
        <v/>
      </c>
      <c r="I127" s="2359" t="str">
        <f>IFERROR(INDEX(Income_InvSurvey_RERC,MATCH($D127,Income_InvSurvey_RERC_Category,0),MATCH($V$121,InvestorSurveys!$B$32:$U$32,0)),"")</f>
        <v/>
      </c>
      <c r="J127" s="4315" t="s">
        <v>474</v>
      </c>
      <c r="K127" s="4315"/>
      <c r="L127" s="2359" t="str">
        <f>IFERROR(INDEX(Income_InvSurvey_RERC,MATCH($D127,Income_InvSurvey_RERC_Category,0),MATCH($W$121,InvestorSurveys!$B$32:$U$32,0)),"")</f>
        <v/>
      </c>
      <c r="M127" s="2359" t="str">
        <f>IFERROR(INDEX(Income_InvSurvey_RERC,MATCH($D127,Income_InvSurvey_RERC_Category,0),MATCH($X$121,InvestorSurveys!$B$32:$U$32,0)),"")</f>
        <v/>
      </c>
      <c r="N127" s="258"/>
      <c r="O127" s="6"/>
    </row>
    <row r="128" spans="1:24" hidden="1" x14ac:dyDescent="0.25">
      <c r="A128" s="957">
        <f t="shared" si="17"/>
        <v>0</v>
      </c>
      <c r="B128" s="4"/>
      <c r="C128" s="258"/>
      <c r="D128" s="4321">
        <f t="shared" si="18"/>
        <v>0</v>
      </c>
      <c r="E128" s="4321"/>
      <c r="F128" s="4321"/>
      <c r="G128" s="4321"/>
      <c r="H128" s="423" t="str">
        <f t="shared" si="19"/>
        <v/>
      </c>
      <c r="I128" s="2359" t="str">
        <f>IFERROR(INDEX(Income_InvSurvey_RERC,MATCH($D128,Income_InvSurvey_RERC_Category,0),MATCH($V$121,InvestorSurveys!$B$32:$U$32,0)),"")</f>
        <v/>
      </c>
      <c r="J128" s="4315" t="s">
        <v>474</v>
      </c>
      <c r="K128" s="4315"/>
      <c r="L128" s="2359" t="str">
        <f>IFERROR(INDEX(Income_InvSurvey_RERC,MATCH($D128,Income_InvSurvey_RERC_Category,0),MATCH($W$121,InvestorSurveys!$B$32:$U$32,0)),"")</f>
        <v/>
      </c>
      <c r="M128" s="2359" t="str">
        <f>IFERROR(INDEX(Income_InvSurvey_RERC,MATCH($D128,Income_InvSurvey_RERC_Category,0),MATCH($X$121,InvestorSurveys!$B$32:$U$32,0)),"")</f>
        <v/>
      </c>
      <c r="N128" s="258"/>
      <c r="O128" s="6"/>
      <c r="P128" s="1996" t="s">
        <v>18042</v>
      </c>
    </row>
    <row r="129" spans="1:24" hidden="1" x14ac:dyDescent="0.25">
      <c r="A129" s="957">
        <f t="shared" si="17"/>
        <v>0</v>
      </c>
      <c r="B129" s="4"/>
      <c r="C129" s="258"/>
      <c r="D129" s="4321">
        <f t="shared" si="18"/>
        <v>0</v>
      </c>
      <c r="E129" s="4321"/>
      <c r="F129" s="4321"/>
      <c r="G129" s="4321"/>
      <c r="H129" s="423" t="str">
        <f t="shared" si="19"/>
        <v/>
      </c>
      <c r="I129" s="2359"/>
      <c r="J129" s="4315" t="s">
        <v>474</v>
      </c>
      <c r="K129" s="4315"/>
      <c r="L129" s="2359"/>
      <c r="M129" s="2359"/>
      <c r="N129" s="258"/>
      <c r="O129" s="6"/>
    </row>
    <row r="130" spans="1:24" ht="15" hidden="1" customHeight="1" x14ac:dyDescent="0.25">
      <c r="A130" s="957">
        <f t="shared" si="17"/>
        <v>0</v>
      </c>
      <c r="B130" s="4"/>
      <c r="C130" s="258"/>
      <c r="D130" s="4321">
        <f t="shared" si="18"/>
        <v>0</v>
      </c>
      <c r="E130" s="4321"/>
      <c r="F130" s="4321"/>
      <c r="G130" s="4321"/>
      <c r="H130" s="423" t="str">
        <f t="shared" si="19"/>
        <v/>
      </c>
      <c r="I130" s="2359"/>
      <c r="J130" s="4315" t="s">
        <v>474</v>
      </c>
      <c r="K130" s="4315"/>
      <c r="L130" s="2359" t="str">
        <f>IFERROR(INDEX(InvestorSurveys!$B$4:$U$21,MATCH($D130,InvestorSurveys!$B$4:$B$21,0),MATCH($W$121,InvestorSurveys!$B$3:$U$3,0)),"")</f>
        <v/>
      </c>
      <c r="M130" s="2359"/>
      <c r="N130" s="258"/>
      <c r="O130" s="6"/>
    </row>
    <row r="131" spans="1:24" ht="18" customHeight="1" thickBot="1" x14ac:dyDescent="0.3">
      <c r="A131" s="957">
        <v>1</v>
      </c>
      <c r="B131" s="4"/>
      <c r="C131" s="259"/>
      <c r="D131" s="3647"/>
      <c r="E131" s="3664"/>
      <c r="F131" s="3664"/>
      <c r="G131" s="4319" t="s">
        <v>306</v>
      </c>
      <c r="H131" s="4319"/>
      <c r="I131" s="3665">
        <f>AVERAGE(I121:I130)</f>
        <v>0.02</v>
      </c>
      <c r="J131" s="4319" t="s">
        <v>474</v>
      </c>
      <c r="K131" s="4319"/>
      <c r="L131" s="3665">
        <f>AVERAGE(L121:L130)</f>
        <v>0.05</v>
      </c>
      <c r="M131" s="3665">
        <f>AVERAGE(M121:M130)</f>
        <v>3.3149999999999999E-2</v>
      </c>
      <c r="N131" s="259"/>
      <c r="O131" s="6"/>
    </row>
    <row r="132" spans="1:24" ht="16.5" customHeight="1" x14ac:dyDescent="0.25">
      <c r="A132" s="957">
        <v>1</v>
      </c>
      <c r="B132" s="4"/>
      <c r="C132" s="258"/>
      <c r="D132" s="2360" t="s">
        <v>925</v>
      </c>
      <c r="E132" s="423"/>
      <c r="F132" s="423"/>
      <c r="G132" s="423"/>
      <c r="H132" s="423"/>
      <c r="I132" s="423"/>
      <c r="J132" s="258"/>
      <c r="K132" s="258"/>
      <c r="L132" s="258"/>
      <c r="M132" s="423"/>
      <c r="N132" s="258"/>
      <c r="O132" s="6"/>
    </row>
    <row r="133" spans="1:24" ht="9.9499999999999993" customHeight="1" x14ac:dyDescent="0.25">
      <c r="A133" s="957">
        <v>1</v>
      </c>
      <c r="B133" s="4"/>
      <c r="C133" s="259"/>
      <c r="D133" s="259"/>
      <c r="E133" s="260"/>
      <c r="F133" s="260"/>
      <c r="G133" s="261"/>
      <c r="H133" s="261"/>
      <c r="I133" s="262"/>
      <c r="J133" s="261"/>
      <c r="K133" s="261"/>
      <c r="L133" s="262"/>
      <c r="M133" s="262"/>
      <c r="N133" s="259"/>
      <c r="O133" s="6"/>
    </row>
    <row r="134" spans="1:24" ht="16.5" x14ac:dyDescent="0.25">
      <c r="A134" s="957">
        <v>1</v>
      </c>
      <c r="B134" s="4"/>
      <c r="C134" s="2987"/>
      <c r="D134" s="514" t="s">
        <v>17980</v>
      </c>
      <c r="E134" s="3670"/>
      <c r="F134" s="3670"/>
      <c r="G134" s="3670"/>
      <c r="H134" s="3670"/>
      <c r="I134" s="3670"/>
      <c r="J134" s="2987"/>
      <c r="K134" s="2987"/>
      <c r="L134" s="2987"/>
      <c r="M134" s="3670"/>
      <c r="N134" s="2987"/>
      <c r="O134" s="6"/>
    </row>
    <row r="135" spans="1:24" ht="16.5" customHeight="1" x14ac:dyDescent="0.25">
      <c r="A135" s="957">
        <v>1</v>
      </c>
      <c r="B135" s="4"/>
      <c r="C135" s="11"/>
      <c r="D135" s="207" t="s">
        <v>282</v>
      </c>
      <c r="E135" s="150"/>
      <c r="F135" s="150"/>
      <c r="G135" s="161"/>
      <c r="H135" s="165" t="s">
        <v>122</v>
      </c>
      <c r="I135" s="4088" t="s">
        <v>17981</v>
      </c>
      <c r="J135" s="4088"/>
      <c r="K135" s="4088"/>
      <c r="L135" s="4088"/>
      <c r="M135" s="150" t="s">
        <v>306</v>
      </c>
      <c r="N135" s="11"/>
      <c r="O135" s="6"/>
    </row>
    <row r="136" spans="1:24" x14ac:dyDescent="0.25">
      <c r="A136" s="957">
        <f t="shared" ref="A136:A145" si="20">IF(M136="",0,1)</f>
        <v>1</v>
      </c>
      <c r="B136" s="4"/>
      <c r="C136" s="258"/>
      <c r="D136" s="4321" t="str">
        <f t="shared" ref="D136:D145" si="21">D30</f>
        <v>PwC - National Secondary Office Market</v>
      </c>
      <c r="E136" s="4321"/>
      <c r="F136" s="4321"/>
      <c r="G136" s="4321"/>
      <c r="H136" s="423" t="str">
        <f>H30</f>
        <v>4Q23</v>
      </c>
      <c r="I136" s="3668">
        <f>IFERROR(INDEX(Income_InvSurvey_PwC,MATCH($D121,Income_InvSurvey_PwC_Category,0),MATCH($V$136,InvestorSurveys!$B$3:$U$3,0)),"")</f>
        <v>3</v>
      </c>
      <c r="J136" s="4315" t="s">
        <v>474</v>
      </c>
      <c r="K136" s="4315"/>
      <c r="L136" s="3668">
        <f>IFERROR(INDEX(Income_InvSurvey_PwC,MATCH($D121,Income_InvSurvey_PwC_Category,0),MATCH($W$136,InvestorSurveys!$B$3:$U$3,0)),"")</f>
        <v>14</v>
      </c>
      <c r="M136" s="3668">
        <f>IFERROR(INDEX(Income_InvSurvey_PwC,MATCH($D121,Income_InvSurvey_PwC_Category,0),MATCH($X$136,InvestorSurveys!$B$3:$U$3,0)),"")</f>
        <v>7.3</v>
      </c>
      <c r="N136" s="258"/>
      <c r="O136" s="6"/>
      <c r="V136" s="2365" t="s">
        <v>17955</v>
      </c>
      <c r="W136" s="2365" t="s">
        <v>17956</v>
      </c>
      <c r="X136" s="2365" t="s">
        <v>17957</v>
      </c>
    </row>
    <row r="137" spans="1:24" x14ac:dyDescent="0.25">
      <c r="A137" s="957">
        <f t="shared" si="20"/>
        <v>1</v>
      </c>
      <c r="B137" s="4"/>
      <c r="C137" s="258"/>
      <c r="D137" s="4321" t="str">
        <f t="shared" si="21"/>
        <v>PwC - National Medical Office Bldg Market</v>
      </c>
      <c r="E137" s="4321"/>
      <c r="F137" s="4321"/>
      <c r="G137" s="4321"/>
      <c r="H137" s="423" t="str">
        <f t="shared" ref="H137:H145" si="22">H31</f>
        <v>4Q23</v>
      </c>
      <c r="I137" s="3668">
        <f>IFERROR(INDEX(Income_InvSurvey_PwC,MATCH($D122,Income_InvSurvey_PwC_Category,0),MATCH($V$136,InvestorSurveys!$B$3:$U$3,0)),"")</f>
        <v>1</v>
      </c>
      <c r="J137" s="4315" t="s">
        <v>474</v>
      </c>
      <c r="K137" s="4315"/>
      <c r="L137" s="3668">
        <f>IFERROR(INDEX(Income_InvSurvey_PwC,MATCH($D122,Income_InvSurvey_PwC_Category,0),MATCH($W$136,InvestorSurveys!$B$3:$U$3,0)),"")</f>
        <v>12</v>
      </c>
      <c r="M137" s="3668">
        <f>IFERROR(INDEX(Income_InvSurvey_PwC,MATCH($D122,Income_InvSurvey_PwC_Category,0),MATCH($X$136,InvestorSurveys!$B$3:$U$3,0)),"")</f>
        <v>5.4</v>
      </c>
      <c r="N137" s="258"/>
      <c r="O137" s="6"/>
    </row>
    <row r="138" spans="1:24" hidden="1" x14ac:dyDescent="0.25">
      <c r="A138" s="957">
        <f t="shared" si="20"/>
        <v>0</v>
      </c>
      <c r="B138" s="4"/>
      <c r="C138" s="258"/>
      <c r="D138" s="4321">
        <f>D32</f>
        <v>0</v>
      </c>
      <c r="E138" s="4321"/>
      <c r="F138" s="4321"/>
      <c r="G138" s="4321"/>
      <c r="H138" s="423" t="str">
        <f t="shared" si="22"/>
        <v/>
      </c>
      <c r="I138" s="3668" t="str">
        <f>IFERROR(INDEX(Income_InvSurvey_PwC,MATCH($D123,Income_InvSurvey_PwC_Category,0),MATCH($V$136,InvestorSurveys!$B$3:$U$3,0)),"")</f>
        <v/>
      </c>
      <c r="J138" s="4315" t="s">
        <v>474</v>
      </c>
      <c r="K138" s="4315"/>
      <c r="L138" s="3668" t="str">
        <f>IFERROR(INDEX(Income_InvSurvey_PwC,MATCH($D123,Income_InvSurvey_PwC_Category,0),MATCH($W$136,InvestorSurveys!$B$3:$U$3,0)),"")</f>
        <v/>
      </c>
      <c r="M138" s="3668" t="str">
        <f>IFERROR(INDEX(Income_InvSurvey_PwC,MATCH($D123,Income_InvSurvey_PwC_Category,0),MATCH($X$136,InvestorSurveys!$B$3:$U$3,0)),"")</f>
        <v/>
      </c>
      <c r="N138" s="258"/>
      <c r="O138" s="6"/>
      <c r="P138" s="1996" t="s">
        <v>18041</v>
      </c>
    </row>
    <row r="139" spans="1:24" hidden="1" x14ac:dyDescent="0.25">
      <c r="A139" s="957">
        <f t="shared" si="20"/>
        <v>0</v>
      </c>
      <c r="B139" s="4"/>
      <c r="C139" s="258"/>
      <c r="D139" s="4321">
        <f>D33</f>
        <v>0</v>
      </c>
      <c r="E139" s="4321"/>
      <c r="F139" s="4321"/>
      <c r="G139" s="4321"/>
      <c r="H139" s="423" t="str">
        <f t="shared" si="22"/>
        <v>4Q23</v>
      </c>
      <c r="I139" s="3668"/>
      <c r="J139" s="4315" t="s">
        <v>474</v>
      </c>
      <c r="K139" s="4315"/>
      <c r="L139" s="3668"/>
      <c r="M139" s="3668"/>
      <c r="N139" s="258"/>
      <c r="O139" s="6"/>
      <c r="P139" s="2222"/>
    </row>
    <row r="140" spans="1:24" hidden="1" x14ac:dyDescent="0.25">
      <c r="A140" s="957">
        <f t="shared" si="20"/>
        <v>0</v>
      </c>
      <c r="B140" s="4"/>
      <c r="C140" s="258"/>
      <c r="D140" s="4321">
        <f>D34</f>
        <v>0</v>
      </c>
      <c r="E140" s="4321"/>
      <c r="F140" s="4321"/>
      <c r="G140" s="4321"/>
      <c r="H140" s="423" t="str">
        <f t="shared" si="22"/>
        <v>4Q23</v>
      </c>
      <c r="I140" s="3668" t="str">
        <f>IFERROR(INDEX(InvestorSurveys!$B$4:$U$21,MATCH($D140,InvestorSurveys!$B$4:$B$21,0),MATCH($V$121,InvestorSurveys!$B$3:$U$3,0)),"")</f>
        <v/>
      </c>
      <c r="J140" s="4315" t="s">
        <v>474</v>
      </c>
      <c r="K140" s="4315"/>
      <c r="L140" s="3668" t="str">
        <f>IFERROR(INDEX(InvestorSurveys!$B$4:$U$21,MATCH($D140,InvestorSurveys!$B$4:$B$21,0),MATCH($W$121,InvestorSurveys!$B$3:$U$3,0)),"")</f>
        <v/>
      </c>
      <c r="M140" s="3668"/>
      <c r="N140" s="258"/>
      <c r="O140" s="6"/>
    </row>
    <row r="141" spans="1:24" hidden="1" x14ac:dyDescent="0.25">
      <c r="A141" s="957">
        <f t="shared" si="20"/>
        <v>0</v>
      </c>
      <c r="B141" s="4"/>
      <c r="C141" s="258"/>
      <c r="D141" s="4321">
        <f t="shared" si="21"/>
        <v>0</v>
      </c>
      <c r="E141" s="4321"/>
      <c r="F141" s="4321"/>
      <c r="G141" s="4321"/>
      <c r="H141" s="423" t="str">
        <f t="shared" si="22"/>
        <v/>
      </c>
      <c r="I141" s="3668" t="str">
        <f>IFERROR(INDEX(InvestorSurveys!$B$33:$U$52,MATCH($D141,InvestorSurveys!$B$33:$B$52,0),MATCH($V$136,InvestorSurveys!$B$32:$U$32,0)),"")</f>
        <v/>
      </c>
      <c r="J141" s="4315" t="s">
        <v>474</v>
      </c>
      <c r="K141" s="4315"/>
      <c r="L141" s="3668" t="str">
        <f>IFERROR(INDEX(InvestorSurveys!$B$33:$U$52,MATCH($D141,InvestorSurveys!$B$33:$B$52,0),MATCH($W$136,InvestorSurveys!$B$32:$U$32,0)),"")</f>
        <v/>
      </c>
      <c r="M141" s="3668" t="str">
        <f>IFERROR(INDEX(Income_InvSurvey_RERC,MATCH($D141,Income_InvSurvey_RERC_Category,0),MATCH($X$136,InvestorSurveys!$B$32:$U$32,0)),"")</f>
        <v/>
      </c>
      <c r="N141" s="258"/>
      <c r="O141" s="6"/>
    </row>
    <row r="142" spans="1:24" hidden="1" x14ac:dyDescent="0.25">
      <c r="A142" s="957">
        <f t="shared" si="20"/>
        <v>0</v>
      </c>
      <c r="B142" s="4"/>
      <c r="C142" s="258"/>
      <c r="D142" s="4321">
        <f t="shared" si="21"/>
        <v>0</v>
      </c>
      <c r="E142" s="4321"/>
      <c r="F142" s="4321"/>
      <c r="G142" s="4321"/>
      <c r="H142" s="423" t="str">
        <f t="shared" si="22"/>
        <v/>
      </c>
      <c r="I142" s="3668" t="str">
        <f>IFERROR(INDEX(InvestorSurveys!$B$33:$U$52,MATCH($D142,InvestorSurveys!$B$33:$B$52,0),MATCH($V$136,InvestorSurveys!$B$32:$U$32,0)),"")</f>
        <v/>
      </c>
      <c r="J142" s="4315" t="s">
        <v>474</v>
      </c>
      <c r="K142" s="4315"/>
      <c r="L142" s="3668" t="str">
        <f>IFERROR(INDEX(InvestorSurveys!$B$33:$U$52,MATCH($D142,InvestorSurveys!$B$33:$B$52,0),MATCH($W$136,InvestorSurveys!$B$32:$U$32,0)),"")</f>
        <v/>
      </c>
      <c r="M142" s="3668" t="str">
        <f>IFERROR(INDEX(Income_InvSurvey_RERC,MATCH($D142,Income_InvSurvey_RERC_Category,0),MATCH($X$136,InvestorSurveys!$B$32:$U$32,0)),"")</f>
        <v/>
      </c>
      <c r="N142" s="258"/>
      <c r="O142" s="6"/>
    </row>
    <row r="143" spans="1:24" hidden="1" x14ac:dyDescent="0.25">
      <c r="A143" s="957">
        <f t="shared" si="20"/>
        <v>0</v>
      </c>
      <c r="B143" s="4"/>
      <c r="C143" s="258"/>
      <c r="D143" s="4321">
        <f t="shared" si="21"/>
        <v>0</v>
      </c>
      <c r="E143" s="4321"/>
      <c r="F143" s="4321"/>
      <c r="G143" s="4321"/>
      <c r="H143" s="423" t="str">
        <f t="shared" si="22"/>
        <v/>
      </c>
      <c r="I143" s="3668" t="str">
        <f>IFERROR(INDEX(InvestorSurveys!$B$33:$U$52,MATCH($D143,InvestorSurveys!$B$33:$B$52,0),MATCH($V$136,InvestorSurveys!$B$32:$U$32,0)),"")</f>
        <v/>
      </c>
      <c r="J143" s="4315" t="s">
        <v>474</v>
      </c>
      <c r="K143" s="4315"/>
      <c r="L143" s="3668" t="str">
        <f>IFERROR(INDEX(InvestorSurveys!$B$33:$U$52,MATCH($D143,InvestorSurveys!$B$33:$B$52,0),MATCH($W$136,InvestorSurveys!$B$32:$U$32,0)),"")</f>
        <v/>
      </c>
      <c r="M143" s="3668" t="str">
        <f>IFERROR(INDEX(Income_InvSurvey_RERC,MATCH($D143,Income_InvSurvey_RERC_Category,0),MATCH($X$136,InvestorSurveys!$B$32:$U$32,0)),"")</f>
        <v/>
      </c>
      <c r="N143" s="258"/>
      <c r="O143" s="6"/>
      <c r="P143" s="1996" t="s">
        <v>18042</v>
      </c>
    </row>
    <row r="144" spans="1:24" hidden="1" x14ac:dyDescent="0.25">
      <c r="A144" s="957">
        <f t="shared" si="20"/>
        <v>0</v>
      </c>
      <c r="B144" s="4"/>
      <c r="C144" s="258"/>
      <c r="D144" s="4321">
        <f t="shared" si="21"/>
        <v>0</v>
      </c>
      <c r="E144" s="4321"/>
      <c r="F144" s="4321"/>
      <c r="G144" s="4321"/>
      <c r="H144" s="423" t="str">
        <f t="shared" si="22"/>
        <v/>
      </c>
      <c r="I144" s="3668"/>
      <c r="J144" s="4315" t="s">
        <v>474</v>
      </c>
      <c r="K144" s="4315"/>
      <c r="L144" s="3668"/>
      <c r="M144" s="3668"/>
      <c r="N144" s="258"/>
      <c r="O144" s="6"/>
    </row>
    <row r="145" spans="1:16" hidden="1" x14ac:dyDescent="0.25">
      <c r="A145" s="957">
        <f t="shared" si="20"/>
        <v>0</v>
      </c>
      <c r="B145" s="4"/>
      <c r="C145" s="258"/>
      <c r="D145" s="4321">
        <f t="shared" si="21"/>
        <v>0</v>
      </c>
      <c r="E145" s="4321"/>
      <c r="F145" s="4321"/>
      <c r="G145" s="4321"/>
      <c r="H145" s="423" t="str">
        <f t="shared" si="22"/>
        <v/>
      </c>
      <c r="I145" s="3668"/>
      <c r="J145" s="4315" t="s">
        <v>474</v>
      </c>
      <c r="K145" s="4315"/>
      <c r="L145" s="3668" t="str">
        <f>IFERROR(INDEX(InvestorSurveys!$B$4:$U$21,MATCH($D145,InvestorSurveys!$B$4:$B$21,0),MATCH($W$121,InvestorSurveys!$B$3:$U$3,0)),"")</f>
        <v/>
      </c>
      <c r="M145" s="3668"/>
      <c r="N145" s="258"/>
      <c r="O145" s="6"/>
    </row>
    <row r="146" spans="1:16" ht="18" customHeight="1" thickBot="1" x14ac:dyDescent="0.3">
      <c r="A146" s="957">
        <v>1</v>
      </c>
      <c r="B146" s="4"/>
      <c r="C146" s="259"/>
      <c r="D146" s="3647"/>
      <c r="E146" s="3664"/>
      <c r="F146" s="3664"/>
      <c r="G146" s="4319" t="s">
        <v>306</v>
      </c>
      <c r="H146" s="4319"/>
      <c r="I146" s="3669">
        <f>AVERAGE(I136:I145)</f>
        <v>2</v>
      </c>
      <c r="J146" s="4319" t="s">
        <v>474</v>
      </c>
      <c r="K146" s="4319"/>
      <c r="L146" s="3669">
        <f>AVERAGE(L136:L145)</f>
        <v>13</v>
      </c>
      <c r="M146" s="3669">
        <f>AVERAGE(M136:M145)</f>
        <v>6.35</v>
      </c>
      <c r="N146" s="259"/>
      <c r="O146" s="6"/>
    </row>
    <row r="147" spans="1:16" ht="16.5" customHeight="1" x14ac:dyDescent="0.25">
      <c r="A147" s="957">
        <v>1</v>
      </c>
      <c r="B147" s="4"/>
      <c r="C147" s="258"/>
      <c r="D147" s="2360" t="s">
        <v>1422</v>
      </c>
      <c r="E147" s="423"/>
      <c r="F147" s="423"/>
      <c r="G147" s="423"/>
      <c r="H147" s="423"/>
      <c r="I147" s="423"/>
      <c r="J147" s="258"/>
      <c r="K147" s="258"/>
      <c r="L147" s="258"/>
      <c r="M147" s="423"/>
      <c r="N147" s="258"/>
      <c r="O147" s="6"/>
    </row>
    <row r="148" spans="1:16" ht="9.9499999999999993" customHeight="1" x14ac:dyDescent="0.25">
      <c r="A148" s="41">
        <v>1</v>
      </c>
      <c r="B148" s="4"/>
      <c r="C148" s="258"/>
      <c r="D148" s="258"/>
      <c r="E148" s="423"/>
      <c r="F148" s="423"/>
      <c r="G148" s="423"/>
      <c r="H148" s="423"/>
      <c r="I148" s="423"/>
      <c r="J148" s="258"/>
      <c r="K148" s="258"/>
      <c r="L148" s="258"/>
      <c r="M148" s="423"/>
      <c r="N148" s="258"/>
      <c r="O148" s="6"/>
    </row>
    <row r="149" spans="1:16" s="36" customFormat="1" ht="15.95" customHeight="1" x14ac:dyDescent="0.25">
      <c r="A149" s="707">
        <v>1</v>
      </c>
      <c r="B149" s="87"/>
      <c r="C149" s="161"/>
      <c r="D149" s="165" t="s">
        <v>1378</v>
      </c>
      <c r="E149" s="165"/>
      <c r="F149" s="165" t="s">
        <v>1379</v>
      </c>
      <c r="G149" s="165"/>
      <c r="H149" s="165"/>
      <c r="I149" s="4272" t="s">
        <v>1061</v>
      </c>
      <c r="J149" s="4272"/>
      <c r="K149" s="4272"/>
      <c r="L149" s="4272"/>
      <c r="M149" s="165" t="s">
        <v>306</v>
      </c>
      <c r="N149" s="161"/>
      <c r="O149" s="89"/>
      <c r="P149" s="2367" t="s">
        <v>18659</v>
      </c>
    </row>
    <row r="150" spans="1:16" s="36" customFormat="1" ht="15.95" customHeight="1" x14ac:dyDescent="0.25">
      <c r="A150" s="707">
        <v>1</v>
      </c>
      <c r="B150" s="87"/>
      <c r="C150" s="1614"/>
      <c r="D150" s="1615"/>
      <c r="E150" s="1616">
        <v>1</v>
      </c>
      <c r="F150" s="1617"/>
      <c r="G150" s="1616"/>
      <c r="H150" s="2370" t="s">
        <v>1378</v>
      </c>
      <c r="I150" s="1618">
        <f>MIN(D150:D161)</f>
        <v>0</v>
      </c>
      <c r="J150" s="1618"/>
      <c r="K150" s="1618"/>
      <c r="L150" s="1618">
        <f>MAX(D150:D161)</f>
        <v>0</v>
      </c>
      <c r="M150" s="1618" t="e">
        <f>AVERAGE(D150:D161)</f>
        <v>#DIV/0!</v>
      </c>
      <c r="N150" s="1614"/>
      <c r="O150" s="89"/>
      <c r="P150" s="1996" t="s">
        <v>18660</v>
      </c>
    </row>
    <row r="151" spans="1:16" s="36" customFormat="1" ht="15.95" customHeight="1" x14ac:dyDescent="0.25">
      <c r="A151" s="707">
        <v>1</v>
      </c>
      <c r="B151" s="87"/>
      <c r="C151" s="1614"/>
      <c r="D151" s="1619"/>
      <c r="E151" s="1616">
        <f>E150+1</f>
        <v>2</v>
      </c>
      <c r="F151" s="1620"/>
      <c r="G151" s="1616"/>
      <c r="H151" s="2370" t="s">
        <v>1380</v>
      </c>
      <c r="I151" s="1621">
        <f>MIN(F150:F161)</f>
        <v>0</v>
      </c>
      <c r="J151" s="1621"/>
      <c r="K151" s="1621"/>
      <c r="L151" s="1621">
        <f>MAX(F150:F161)</f>
        <v>0</v>
      </c>
      <c r="M151" s="1621" t="e">
        <f>AVERAGE(F150:F161)</f>
        <v>#DIV/0!</v>
      </c>
      <c r="N151" s="1614"/>
      <c r="O151" s="89"/>
    </row>
    <row r="152" spans="1:16" s="36" customFormat="1" ht="15.95" customHeight="1" x14ac:dyDescent="0.25">
      <c r="A152" s="707">
        <v>1</v>
      </c>
      <c r="B152" s="87"/>
      <c r="C152" s="1614"/>
      <c r="D152" s="1619"/>
      <c r="E152" s="1616">
        <f t="shared" ref="E152:E161" si="23">E151+1</f>
        <v>3</v>
      </c>
      <c r="F152" s="1620"/>
      <c r="G152" s="1616"/>
      <c r="H152" s="1616"/>
      <c r="I152" s="1616"/>
      <c r="J152" s="1614"/>
      <c r="K152" s="1614"/>
      <c r="L152" s="1614"/>
      <c r="M152" s="1616"/>
      <c r="N152" s="1614"/>
      <c r="O152" s="89"/>
    </row>
    <row r="153" spans="1:16" s="36" customFormat="1" ht="15.95" customHeight="1" x14ac:dyDescent="0.25">
      <c r="A153" s="707">
        <v>1</v>
      </c>
      <c r="B153" s="87"/>
      <c r="C153" s="1614"/>
      <c r="D153" s="1619"/>
      <c r="E153" s="1616">
        <f t="shared" si="23"/>
        <v>4</v>
      </c>
      <c r="F153" s="1620"/>
      <c r="G153" s="1616"/>
      <c r="H153" s="1616"/>
      <c r="I153" s="1616"/>
      <c r="J153" s="1614"/>
      <c r="K153" s="1614"/>
      <c r="L153" s="1614"/>
      <c r="M153" s="1616"/>
      <c r="N153" s="1614"/>
      <c r="O153" s="89"/>
    </row>
    <row r="154" spans="1:16" s="36" customFormat="1" ht="15.95" customHeight="1" x14ac:dyDescent="0.25">
      <c r="A154" s="707">
        <v>1</v>
      </c>
      <c r="B154" s="87"/>
      <c r="C154" s="1614"/>
      <c r="D154" s="1619"/>
      <c r="E154" s="1616">
        <f t="shared" si="23"/>
        <v>5</v>
      </c>
      <c r="F154" s="1620"/>
      <c r="G154" s="1616"/>
      <c r="H154" s="1616"/>
      <c r="I154" s="1616"/>
      <c r="J154" s="1614"/>
      <c r="K154" s="1614"/>
      <c r="L154" s="1614"/>
      <c r="M154" s="1616"/>
      <c r="N154" s="1614"/>
      <c r="O154" s="89"/>
    </row>
    <row r="155" spans="1:16" s="36" customFormat="1" ht="15.95" customHeight="1" x14ac:dyDescent="0.25">
      <c r="A155" s="707">
        <v>1</v>
      </c>
      <c r="B155" s="87"/>
      <c r="C155" s="1614"/>
      <c r="D155" s="1619"/>
      <c r="E155" s="1616">
        <f t="shared" si="23"/>
        <v>6</v>
      </c>
      <c r="F155" s="1620"/>
      <c r="G155" s="1616"/>
      <c r="H155" s="1616"/>
      <c r="I155" s="1616"/>
      <c r="J155" s="1614"/>
      <c r="K155" s="1614"/>
      <c r="L155" s="1614"/>
      <c r="M155" s="1616"/>
      <c r="N155" s="1614"/>
      <c r="O155" s="89"/>
    </row>
    <row r="156" spans="1:16" s="36" customFormat="1" ht="15.95" customHeight="1" x14ac:dyDescent="0.25">
      <c r="A156" s="707">
        <v>1</v>
      </c>
      <c r="B156" s="87"/>
      <c r="C156" s="1614"/>
      <c r="D156" s="1619"/>
      <c r="E156" s="1616">
        <f t="shared" si="23"/>
        <v>7</v>
      </c>
      <c r="F156" s="1620"/>
      <c r="G156" s="1616"/>
      <c r="H156" s="1616"/>
      <c r="I156" s="1616"/>
      <c r="J156" s="1614"/>
      <c r="K156" s="1614"/>
      <c r="L156" s="1614"/>
      <c r="M156" s="1616"/>
      <c r="N156" s="1614"/>
      <c r="O156" s="89"/>
    </row>
    <row r="157" spans="1:16" s="36" customFormat="1" ht="15.95" customHeight="1" x14ac:dyDescent="0.25">
      <c r="A157" s="707">
        <v>1</v>
      </c>
      <c r="B157" s="87"/>
      <c r="C157" s="1614"/>
      <c r="D157" s="1619"/>
      <c r="E157" s="1616">
        <f t="shared" si="23"/>
        <v>8</v>
      </c>
      <c r="F157" s="1620"/>
      <c r="G157" s="1616"/>
      <c r="H157" s="1616"/>
      <c r="I157" s="1616"/>
      <c r="J157" s="1614"/>
      <c r="K157" s="1614"/>
      <c r="L157" s="1614"/>
      <c r="M157" s="1616"/>
      <c r="N157" s="1614"/>
      <c r="O157" s="89"/>
    </row>
    <row r="158" spans="1:16" s="36" customFormat="1" ht="15.95" customHeight="1" x14ac:dyDescent="0.25">
      <c r="A158" s="707">
        <v>1</v>
      </c>
      <c r="B158" s="87"/>
      <c r="C158" s="1614"/>
      <c r="D158" s="1619"/>
      <c r="E158" s="1616">
        <f t="shared" si="23"/>
        <v>9</v>
      </c>
      <c r="F158" s="1620"/>
      <c r="G158" s="1616"/>
      <c r="H158" s="1616"/>
      <c r="I158" s="1616"/>
      <c r="J158" s="1614"/>
      <c r="K158" s="1614"/>
      <c r="L158" s="1614"/>
      <c r="M158" s="1616"/>
      <c r="N158" s="1614"/>
      <c r="O158" s="89"/>
    </row>
    <row r="159" spans="1:16" s="36" customFormat="1" ht="15.95" customHeight="1" x14ac:dyDescent="0.25">
      <c r="A159" s="707">
        <v>1</v>
      </c>
      <c r="B159" s="87"/>
      <c r="C159" s="1614"/>
      <c r="D159" s="1619"/>
      <c r="E159" s="1616">
        <f t="shared" si="23"/>
        <v>10</v>
      </c>
      <c r="F159" s="1620"/>
      <c r="G159" s="1616"/>
      <c r="H159" s="1616"/>
      <c r="I159" s="1616"/>
      <c r="J159" s="1614"/>
      <c r="K159" s="1614"/>
      <c r="L159" s="1614"/>
      <c r="M159" s="1616"/>
      <c r="N159" s="1614"/>
      <c r="O159" s="89"/>
    </row>
    <row r="160" spans="1:16" s="36" customFormat="1" ht="15.95" customHeight="1" x14ac:dyDescent="0.25">
      <c r="A160" s="707">
        <v>1</v>
      </c>
      <c r="B160" s="87"/>
      <c r="C160" s="1614"/>
      <c r="D160" s="1619"/>
      <c r="E160" s="1616">
        <f t="shared" si="23"/>
        <v>11</v>
      </c>
      <c r="F160" s="1620"/>
      <c r="G160" s="1616"/>
      <c r="H160" s="1616"/>
      <c r="I160" s="1616"/>
      <c r="J160" s="1614"/>
      <c r="K160" s="1614"/>
      <c r="L160" s="1614"/>
      <c r="M160" s="1616"/>
      <c r="N160" s="1614"/>
      <c r="O160" s="89"/>
    </row>
    <row r="161" spans="1:15" s="36" customFormat="1" ht="15.95" customHeight="1" x14ac:dyDescent="0.25">
      <c r="A161" s="707">
        <v>1</v>
      </c>
      <c r="B161" s="87"/>
      <c r="C161" s="1614"/>
      <c r="D161" s="1622"/>
      <c r="E161" s="1616">
        <f t="shared" si="23"/>
        <v>12</v>
      </c>
      <c r="F161" s="1623"/>
      <c r="G161" s="1616"/>
      <c r="H161" s="1616"/>
      <c r="I161" s="1616"/>
      <c r="J161" s="1614"/>
      <c r="K161" s="1614"/>
      <c r="L161" s="1614"/>
      <c r="M161" s="1616"/>
      <c r="N161" s="1614"/>
      <c r="O161" s="89"/>
    </row>
    <row r="162" spans="1:15" ht="15" thickBot="1" x14ac:dyDescent="0.3">
      <c r="A162" s="41">
        <v>1</v>
      </c>
      <c r="B162" s="4"/>
      <c r="C162" s="90"/>
      <c r="D162" s="90"/>
      <c r="E162" s="220"/>
      <c r="F162" s="220"/>
      <c r="G162" s="220"/>
      <c r="H162" s="220"/>
      <c r="I162" s="220"/>
      <c r="J162" s="90"/>
      <c r="K162" s="90"/>
      <c r="L162" s="90"/>
      <c r="M162" s="220"/>
      <c r="N162" s="90"/>
      <c r="O162" s="6"/>
    </row>
    <row r="163" spans="1:15" x14ac:dyDescent="0.25">
      <c r="A163" s="41">
        <v>1</v>
      </c>
      <c r="B163" s="4"/>
      <c r="C163" s="90"/>
      <c r="D163" s="90" t="s">
        <v>18528</v>
      </c>
      <c r="E163" s="220"/>
      <c r="F163" s="220"/>
      <c r="G163" s="220"/>
      <c r="H163" s="2906" t="s">
        <v>18661</v>
      </c>
      <c r="I163" s="220"/>
      <c r="J163" s="90"/>
      <c r="K163" s="90"/>
      <c r="L163" s="90"/>
      <c r="M163" s="220"/>
      <c r="N163" s="90"/>
      <c r="O163" s="6"/>
    </row>
    <row r="164" spans="1:15" ht="15" thickBot="1" x14ac:dyDescent="0.3">
      <c r="A164" s="41">
        <v>1</v>
      </c>
      <c r="B164" s="4"/>
      <c r="C164" s="90"/>
      <c r="D164" s="90" t="s">
        <v>18530</v>
      </c>
      <c r="E164" s="220"/>
      <c r="F164" s="220"/>
      <c r="G164" s="220"/>
      <c r="H164" s="2907"/>
      <c r="I164" s="226" t="s">
        <v>18529</v>
      </c>
      <c r="J164" s="90"/>
      <c r="K164" s="90"/>
      <c r="L164" s="90"/>
      <c r="M164" s="220"/>
      <c r="N164" s="90"/>
      <c r="O164" s="6"/>
    </row>
    <row r="165" spans="1:15" ht="9.9499999999999993" customHeight="1" x14ac:dyDescent="0.25">
      <c r="A165" s="41">
        <v>1</v>
      </c>
      <c r="B165" s="4"/>
      <c r="C165" s="5"/>
      <c r="D165" s="5"/>
      <c r="E165" s="39"/>
      <c r="F165" s="39"/>
      <c r="G165" s="39"/>
      <c r="H165" s="39"/>
      <c r="I165" s="39"/>
      <c r="J165" s="5"/>
      <c r="K165" s="5"/>
      <c r="L165" s="5"/>
      <c r="M165" s="39"/>
      <c r="N165" s="5"/>
      <c r="O165" s="6"/>
    </row>
    <row r="166" spans="1:15" ht="16.5" x14ac:dyDescent="0.3">
      <c r="A166" s="41">
        <v>1</v>
      </c>
      <c r="B166" s="4"/>
      <c r="C166" s="582"/>
      <c r="D166" s="246" t="s">
        <v>18524</v>
      </c>
      <c r="E166" s="39"/>
      <c r="F166" s="39"/>
      <c r="G166" s="39"/>
      <c r="H166" s="39"/>
      <c r="I166" s="39"/>
      <c r="J166" s="5"/>
      <c r="K166" s="5"/>
      <c r="L166" s="5"/>
      <c r="M166" s="39"/>
      <c r="N166" s="5"/>
      <c r="O166" s="6"/>
    </row>
    <row r="167" spans="1:15" ht="16.5" customHeight="1" x14ac:dyDescent="0.25">
      <c r="A167" s="41">
        <v>1</v>
      </c>
      <c r="B167" s="4"/>
      <c r="D167" s="12" t="s">
        <v>18525</v>
      </c>
      <c r="E167" s="150"/>
      <c r="F167" s="150"/>
      <c r="G167" s="150"/>
      <c r="H167" s="150" t="s">
        <v>122</v>
      </c>
      <c r="I167" s="150" t="s">
        <v>396</v>
      </c>
      <c r="J167" s="5"/>
      <c r="K167" s="5"/>
      <c r="L167" s="15" t="s">
        <v>18515</v>
      </c>
      <c r="M167" s="39"/>
      <c r="N167" s="5"/>
      <c r="O167" s="6"/>
    </row>
    <row r="168" spans="1:15" ht="14.25" customHeight="1" x14ac:dyDescent="0.25">
      <c r="A168" s="41">
        <f>IF(D168="",0,1)</f>
        <v>1</v>
      </c>
      <c r="B168" s="4"/>
      <c r="C168" s="5"/>
      <c r="D168" s="5" t="s">
        <v>18507</v>
      </c>
      <c r="E168" s="39"/>
      <c r="F168" s="39"/>
      <c r="G168" s="39"/>
      <c r="H168" s="2904"/>
      <c r="I168" s="46"/>
      <c r="J168" s="5"/>
      <c r="K168" s="5"/>
      <c r="L168" s="34" t="str">
        <f>IFERROR(VLOOKUP(D168,'Selection Tables'!$AU$5:$AV$12,2,FALSE),"")</f>
        <v>AAA</v>
      </c>
      <c r="M168" s="39"/>
      <c r="N168" s="5"/>
      <c r="O168" s="6"/>
    </row>
    <row r="169" spans="1:15" ht="14.25" customHeight="1" x14ac:dyDescent="0.25">
      <c r="A169" s="41">
        <f t="shared" ref="A169:A175" si="24">IF(D169="",0,1)</f>
        <v>1</v>
      </c>
      <c r="B169" s="4"/>
      <c r="C169" s="5"/>
      <c r="D169" s="5" t="s">
        <v>18508</v>
      </c>
      <c r="E169" s="39"/>
      <c r="F169" s="39"/>
      <c r="G169" s="39"/>
      <c r="H169" s="2909"/>
      <c r="I169" s="46"/>
      <c r="J169" s="5"/>
      <c r="K169" s="5"/>
      <c r="L169" s="34" t="str">
        <f>IFERROR(VLOOKUP(D169,'Selection Tables'!$AU$5:$AV$12,2,FALSE),"")</f>
        <v>Baa</v>
      </c>
      <c r="M169" s="39"/>
      <c r="N169" s="5"/>
      <c r="O169" s="6"/>
    </row>
    <row r="170" spans="1:15" ht="14.25" customHeight="1" thickBot="1" x14ac:dyDescent="0.3">
      <c r="A170" s="41">
        <f t="shared" si="24"/>
        <v>1</v>
      </c>
      <c r="B170" s="4"/>
      <c r="C170" s="5"/>
      <c r="D170" s="5" t="s">
        <v>18510</v>
      </c>
      <c r="E170" s="39"/>
      <c r="F170" s="39"/>
      <c r="G170" s="39"/>
      <c r="H170" s="2909"/>
      <c r="I170" s="46"/>
      <c r="J170" s="5"/>
      <c r="K170" s="5"/>
      <c r="L170" s="34" t="str">
        <f>IFERROR(VLOOKUP(D170,'Selection Tables'!$AU$5:$AV$12,2,FALSE),"")</f>
        <v>DGS10</v>
      </c>
      <c r="M170" s="39"/>
      <c r="N170" s="5"/>
      <c r="O170" s="6"/>
    </row>
    <row r="171" spans="1:15" ht="14.25" hidden="1" customHeight="1" x14ac:dyDescent="0.25">
      <c r="A171" s="41">
        <f t="shared" si="24"/>
        <v>0</v>
      </c>
      <c r="B171" s="4"/>
      <c r="C171" s="5"/>
      <c r="D171" s="5"/>
      <c r="E171" s="39"/>
      <c r="F171" s="39"/>
      <c r="G171" s="39"/>
      <c r="H171" s="2909"/>
      <c r="I171" s="46"/>
      <c r="J171" s="5"/>
      <c r="K171" s="5"/>
      <c r="L171" s="34" t="str">
        <f>IFERROR(VLOOKUP(D171,'Selection Tables'!$AU$5:$AV$12,2,FALSE),"")</f>
        <v/>
      </c>
      <c r="M171" s="39"/>
      <c r="N171" s="5"/>
      <c r="O171" s="6"/>
    </row>
    <row r="172" spans="1:15" ht="14.25" hidden="1" customHeight="1" x14ac:dyDescent="0.25">
      <c r="A172" s="41">
        <f t="shared" si="24"/>
        <v>0</v>
      </c>
      <c r="B172" s="4"/>
      <c r="C172" s="5"/>
      <c r="D172" s="5"/>
      <c r="E172" s="39"/>
      <c r="F172" s="39"/>
      <c r="G172" s="39"/>
      <c r="H172" s="2909"/>
      <c r="I172" s="46"/>
      <c r="J172" s="5"/>
      <c r="K172" s="5"/>
      <c r="L172" s="34" t="str">
        <f>IFERROR(VLOOKUP(D172,'Selection Tables'!$AU$5:$AV$12,2,FALSE),"")</f>
        <v/>
      </c>
      <c r="M172" s="39"/>
      <c r="N172" s="5"/>
      <c r="O172" s="6"/>
    </row>
    <row r="173" spans="1:15" ht="14.25" hidden="1" customHeight="1" x14ac:dyDescent="0.25">
      <c r="A173" s="41">
        <f t="shared" si="24"/>
        <v>0</v>
      </c>
      <c r="B173" s="4"/>
      <c r="C173" s="5"/>
      <c r="D173" s="5"/>
      <c r="E173" s="39"/>
      <c r="F173" s="39"/>
      <c r="G173" s="39"/>
      <c r="H173" s="2909"/>
      <c r="I173" s="46"/>
      <c r="J173" s="5"/>
      <c r="K173" s="5"/>
      <c r="L173" s="34" t="str">
        <f>IFERROR(VLOOKUP(D173,'Selection Tables'!$AU$5:$AV$12,2,FALSE),"")</f>
        <v/>
      </c>
      <c r="M173" s="39"/>
      <c r="N173" s="5"/>
      <c r="O173" s="6"/>
    </row>
    <row r="174" spans="1:15" ht="14.25" hidden="1" customHeight="1" x14ac:dyDescent="0.25">
      <c r="A174" s="41">
        <f t="shared" si="24"/>
        <v>0</v>
      </c>
      <c r="B174" s="4"/>
      <c r="C174" s="5"/>
      <c r="D174" s="5"/>
      <c r="E174" s="39"/>
      <c r="F174" s="39"/>
      <c r="G174" s="39"/>
      <c r="H174" s="2909"/>
      <c r="I174" s="46"/>
      <c r="J174" s="5"/>
      <c r="K174" s="5"/>
      <c r="L174" s="34" t="str">
        <f>IFERROR(VLOOKUP(D174,'Selection Tables'!$AU$5:$AV$12,2,FALSE),"")</f>
        <v/>
      </c>
      <c r="M174" s="39"/>
      <c r="N174" s="5"/>
      <c r="O174" s="6"/>
    </row>
    <row r="175" spans="1:15" ht="14.25" hidden="1" customHeight="1" thickBot="1" x14ac:dyDescent="0.3">
      <c r="A175" s="41">
        <f t="shared" si="24"/>
        <v>0</v>
      </c>
      <c r="B175" s="4"/>
      <c r="C175" s="5"/>
      <c r="D175" s="216"/>
      <c r="E175" s="86"/>
      <c r="F175" s="86"/>
      <c r="G175" s="86"/>
      <c r="H175" s="2910"/>
      <c r="I175" s="2908"/>
      <c r="J175" s="5"/>
      <c r="K175" s="5"/>
      <c r="L175" s="34" t="str">
        <f>IFERROR(VLOOKUP(D175,'Selection Tables'!$AU$5:$AV$12,2,FALSE),"")</f>
        <v/>
      </c>
      <c r="M175" s="39"/>
      <c r="N175" s="5"/>
      <c r="O175" s="6"/>
    </row>
    <row r="176" spans="1:15" x14ac:dyDescent="0.25">
      <c r="A176" s="41">
        <v>1</v>
      </c>
      <c r="B176" s="4"/>
      <c r="C176" s="5"/>
      <c r="D176" s="2905" t="s">
        <v>18526</v>
      </c>
      <c r="E176" s="39"/>
      <c r="F176" s="39"/>
      <c r="G176" s="39"/>
      <c r="H176" s="39"/>
      <c r="I176" s="39"/>
      <c r="J176" s="5"/>
      <c r="K176" s="5"/>
      <c r="L176" s="5"/>
      <c r="M176" s="39"/>
      <c r="N176" s="5"/>
      <c r="O176" s="6"/>
    </row>
    <row r="177" spans="1:15" ht="15" thickBot="1" x14ac:dyDescent="0.3">
      <c r="A177" s="41"/>
      <c r="B177" s="8"/>
      <c r="C177" s="7"/>
      <c r="D177" s="552" t="s">
        <v>18527</v>
      </c>
      <c r="E177" s="14"/>
      <c r="F177" s="14"/>
      <c r="G177" s="14"/>
      <c r="H177" s="14"/>
      <c r="I177" s="14"/>
      <c r="J177" s="7"/>
      <c r="K177" s="7"/>
      <c r="L177" s="7"/>
      <c r="M177" s="14"/>
      <c r="N177" s="7"/>
      <c r="O177" s="9"/>
    </row>
  </sheetData>
  <dataConsolidate link="1"/>
  <mergeCells count="207">
    <mergeCell ref="D121:G121"/>
    <mergeCell ref="D125:G125"/>
    <mergeCell ref="D124:G124"/>
    <mergeCell ref="D123:G123"/>
    <mergeCell ref="D122:G122"/>
    <mergeCell ref="D139:G139"/>
    <mergeCell ref="D138:G138"/>
    <mergeCell ref="D137:G137"/>
    <mergeCell ref="D136:G136"/>
    <mergeCell ref="D130:G130"/>
    <mergeCell ref="D129:G129"/>
    <mergeCell ref="D128:G128"/>
    <mergeCell ref="D127:G127"/>
    <mergeCell ref="D126:G126"/>
    <mergeCell ref="D39:G39"/>
    <mergeCell ref="D40:G40"/>
    <mergeCell ref="D41:G41"/>
    <mergeCell ref="D45:G45"/>
    <mergeCell ref="D44:G44"/>
    <mergeCell ref="D43:G43"/>
    <mergeCell ref="D42:G42"/>
    <mergeCell ref="D66:G66"/>
    <mergeCell ref="D65:G65"/>
    <mergeCell ref="D64:G64"/>
    <mergeCell ref="D63:G63"/>
    <mergeCell ref="D62:G62"/>
    <mergeCell ref="D61:G61"/>
    <mergeCell ref="D60:G60"/>
    <mergeCell ref="D59:G59"/>
    <mergeCell ref="D58:G58"/>
    <mergeCell ref="D57:G57"/>
    <mergeCell ref="D56:G56"/>
    <mergeCell ref="D55:G55"/>
    <mergeCell ref="D54:G54"/>
    <mergeCell ref="D53:G53"/>
    <mergeCell ref="D52:G52"/>
    <mergeCell ref="D51:G51"/>
    <mergeCell ref="G46:H46"/>
    <mergeCell ref="D30:G30"/>
    <mergeCell ref="D31:G31"/>
    <mergeCell ref="D34:G34"/>
    <mergeCell ref="D33:G33"/>
    <mergeCell ref="D32:G32"/>
    <mergeCell ref="D35:G35"/>
    <mergeCell ref="D36:G36"/>
    <mergeCell ref="D37:G37"/>
    <mergeCell ref="D38:G38"/>
    <mergeCell ref="J129:K129"/>
    <mergeCell ref="J80:K80"/>
    <mergeCell ref="J81:K81"/>
    <mergeCell ref="J128:K128"/>
    <mergeCell ref="J76:K76"/>
    <mergeCell ref="J77:K77"/>
    <mergeCell ref="J74:K74"/>
    <mergeCell ref="J75:K75"/>
    <mergeCell ref="J78:K78"/>
    <mergeCell ref="J79:K79"/>
    <mergeCell ref="J125:K125"/>
    <mergeCell ref="J126:K126"/>
    <mergeCell ref="J108:K108"/>
    <mergeCell ref="J109:K109"/>
    <mergeCell ref="J110:K110"/>
    <mergeCell ref="J106:K106"/>
    <mergeCell ref="J107:K107"/>
    <mergeCell ref="J101:K101"/>
    <mergeCell ref="I105:L105"/>
    <mergeCell ref="J91:K91"/>
    <mergeCell ref="J124:K124"/>
    <mergeCell ref="I120:L120"/>
    <mergeCell ref="J123:K123"/>
    <mergeCell ref="J121:K121"/>
    <mergeCell ref="J122:K122"/>
    <mergeCell ref="J97:K97"/>
    <mergeCell ref="J98:K98"/>
    <mergeCell ref="J115:K115"/>
    <mergeCell ref="J114:K114"/>
    <mergeCell ref="J72:K72"/>
    <mergeCell ref="J73:K73"/>
    <mergeCell ref="J40:K40"/>
    <mergeCell ref="J41:K41"/>
    <mergeCell ref="J51:K51"/>
    <mergeCell ref="J54:K54"/>
    <mergeCell ref="J53:K53"/>
    <mergeCell ref="J52:K52"/>
    <mergeCell ref="J56:K56"/>
    <mergeCell ref="I50:L50"/>
    <mergeCell ref="J46:K46"/>
    <mergeCell ref="J61:K61"/>
    <mergeCell ref="J63:K63"/>
    <mergeCell ref="J64:K64"/>
    <mergeCell ref="J65:K65"/>
    <mergeCell ref="J55:K55"/>
    <mergeCell ref="J57:K57"/>
    <mergeCell ref="J67:K67"/>
    <mergeCell ref="D73:G73"/>
    <mergeCell ref="D74:G74"/>
    <mergeCell ref="D83:G83"/>
    <mergeCell ref="D82:G82"/>
    <mergeCell ref="D81:G81"/>
    <mergeCell ref="D80:G80"/>
    <mergeCell ref="D79:G79"/>
    <mergeCell ref="D78:G78"/>
    <mergeCell ref="D77:G77"/>
    <mergeCell ref="D100:G100"/>
    <mergeCell ref="D99:G99"/>
    <mergeCell ref="D98:G98"/>
    <mergeCell ref="J93:K93"/>
    <mergeCell ref="J89:K89"/>
    <mergeCell ref="D76:G76"/>
    <mergeCell ref="D75:G75"/>
    <mergeCell ref="P99:R100"/>
    <mergeCell ref="J99:K99"/>
    <mergeCell ref="J100:K100"/>
    <mergeCell ref="J82:K82"/>
    <mergeCell ref="J83:K83"/>
    <mergeCell ref="D97:G97"/>
    <mergeCell ref="D96:G96"/>
    <mergeCell ref="D89:G89"/>
    <mergeCell ref="D90:G90"/>
    <mergeCell ref="J90:K90"/>
    <mergeCell ref="D95:G95"/>
    <mergeCell ref="D94:G94"/>
    <mergeCell ref="D93:G93"/>
    <mergeCell ref="D92:G92"/>
    <mergeCell ref="D91:G91"/>
    <mergeCell ref="D113:G113"/>
    <mergeCell ref="D112:G112"/>
    <mergeCell ref="D111:G111"/>
    <mergeCell ref="D110:G110"/>
    <mergeCell ref="D109:G109"/>
    <mergeCell ref="J111:K111"/>
    <mergeCell ref="D108:G108"/>
    <mergeCell ref="G101:H101"/>
    <mergeCell ref="D106:G106"/>
    <mergeCell ref="D107:G107"/>
    <mergeCell ref="I149:L149"/>
    <mergeCell ref="G146:H146"/>
    <mergeCell ref="J146:K146"/>
    <mergeCell ref="J140:K140"/>
    <mergeCell ref="J141:K141"/>
    <mergeCell ref="J145:K145"/>
    <mergeCell ref="J142:K142"/>
    <mergeCell ref="J143:K143"/>
    <mergeCell ref="J144:K144"/>
    <mergeCell ref="D145:G145"/>
    <mergeCell ref="D144:G144"/>
    <mergeCell ref="D143:G143"/>
    <mergeCell ref="D142:G142"/>
    <mergeCell ref="D141:G141"/>
    <mergeCell ref="D140:G140"/>
    <mergeCell ref="H17:I17"/>
    <mergeCell ref="D4:F4"/>
    <mergeCell ref="G10:H10"/>
    <mergeCell ref="G7:H7"/>
    <mergeCell ref="H14:I14"/>
    <mergeCell ref="H15:I15"/>
    <mergeCell ref="H16:I16"/>
    <mergeCell ref="H13:I13"/>
    <mergeCell ref="G8:H9"/>
    <mergeCell ref="P28:T28"/>
    <mergeCell ref="P49:T49"/>
    <mergeCell ref="P70:T70"/>
    <mergeCell ref="J130:K130"/>
    <mergeCell ref="G131:H131"/>
    <mergeCell ref="J112:K112"/>
    <mergeCell ref="J113:K113"/>
    <mergeCell ref="J127:K127"/>
    <mergeCell ref="J131:K131"/>
    <mergeCell ref="G67:H67"/>
    <mergeCell ref="I71:L71"/>
    <mergeCell ref="D72:G72"/>
    <mergeCell ref="G84:H84"/>
    <mergeCell ref="J84:K84"/>
    <mergeCell ref="J38:K38"/>
    <mergeCell ref="J39:K39"/>
    <mergeCell ref="J96:K96"/>
    <mergeCell ref="J94:K94"/>
    <mergeCell ref="J95:K95"/>
    <mergeCell ref="J92:K92"/>
    <mergeCell ref="G116:H116"/>
    <mergeCell ref="J116:K116"/>
    <mergeCell ref="D115:G115"/>
    <mergeCell ref="D114:G114"/>
    <mergeCell ref="H22:H23"/>
    <mergeCell ref="J137:K137"/>
    <mergeCell ref="J139:K139"/>
    <mergeCell ref="I135:L135"/>
    <mergeCell ref="J136:K136"/>
    <mergeCell ref="J138:K138"/>
    <mergeCell ref="I29:L29"/>
    <mergeCell ref="J45:K45"/>
    <mergeCell ref="J30:K30"/>
    <mergeCell ref="J44:K44"/>
    <mergeCell ref="J42:K42"/>
    <mergeCell ref="J43:K43"/>
    <mergeCell ref="J31:K31"/>
    <mergeCell ref="J32:K32"/>
    <mergeCell ref="J33:K33"/>
    <mergeCell ref="J34:K34"/>
    <mergeCell ref="J35:K35"/>
    <mergeCell ref="J36:K36"/>
    <mergeCell ref="J37:K37"/>
    <mergeCell ref="J66:K66"/>
    <mergeCell ref="J62:K62"/>
    <mergeCell ref="J60:K60"/>
    <mergeCell ref="J58:K58"/>
    <mergeCell ref="J59:K59"/>
  </mergeCells>
  <dataValidations xWindow="164" yWindow="1023" count="6">
    <dataValidation type="list" allowBlank="1" showInputMessage="1" showErrorMessage="1" promptTitle="RealtyRate (RR) Categories" prompt="Select your RealtyRate category here to display BOI and DCR response range and averages.  Note that only the Equity Dividend will change for property sub-types, as RR does not breakdown others beyond the primary." sqref="D4:F4" xr:uid="{C33E5560-C300-4B0E-9EC9-4C31FCB47717}">
      <formula1>RR_Category</formula1>
    </dataValidation>
    <dataValidation type="list" allowBlank="1" showInputMessage="1" showErrorMessage="1" promptTitle="RealtyRate (RR) Categories" prompt="Select your RealtyRate categories here (up to 4) and the rest of the tables will auto-populate.  Clear any of these fields to hide the unused RR rows." sqref="D42:D45" xr:uid="{C6AE7D8B-3D5F-43FC-ABF2-F162964550C7}">
      <formula1>RR_Category</formula1>
    </dataValidation>
    <dataValidation type="list" allowBlank="1" showInputMessage="1" showErrorMessage="1" promptTitle="RERC Categories" prompt="Select your RERC categories here (up to 4) and the rest of the tables will auto-populate.  Clear any of these fields to hide the unused RERC rows." sqref="D35:D37 D40" xr:uid="{652882DF-928B-49B6-8AD6-312FC1E495DC}">
      <formula1>Income_InvSurvey_RERC_Category</formula1>
    </dataValidation>
    <dataValidation allowBlank="1" showInputMessage="1" showErrorMessage="1" promptTitle="Header Lookup" prompt="Use caution if changing these as they may render the table automation inoperable." sqref="U30:X30 V51:X51 V72:X72 V106:X106 V121:X121 V136:X136" xr:uid="{5EFB0760-737F-4A08-A780-170AF8FE1DAA}"/>
    <dataValidation type="list" allowBlank="1" showInputMessage="1" showErrorMessage="1" promptTitle="PwC Categories" prompt="Select your PwC categories here (up to 4) and the rest of the tables will auto-populate.  Clear any of these fields to hide the unused PwC rows." sqref="D30:D32" xr:uid="{1102837D-1C9E-4A9B-A187-E51EBE7FF067}">
      <formula1>Income_InvSurvey_PwC_Category</formula1>
    </dataValidation>
    <dataValidation type="list" allowBlank="1" showInputMessage="1" showErrorMessage="1" error="Invalid Option - Please Select from the List" prompt="Select Available FRED Rate" sqref="D168:D175" xr:uid="{FBE14932-61E1-4857-BA68-413E46ACA48E}">
      <formula1>Fred_AltYieldRate_List</formula1>
    </dataValidation>
  </dataValidations>
  <pageMargins left="0.7" right="0.7" top="0.75" bottom="0.75" header="0.3" footer="0.3"/>
  <pageSetup orientation="portrait" r:id="rId1"/>
  <drawing r:id="rId2"/>
  <legacyDrawing r:id="rId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A91BC7-FA12-4763-A0B5-B9386036B8DC}">
  <sheetPr codeName="Sheet93">
    <tabColor theme="5" tint="-0.249977111117893"/>
  </sheetPr>
  <dimension ref="B1:X125"/>
  <sheetViews>
    <sheetView topLeftCell="A19" zoomScale="90" zoomScaleNormal="90" workbookViewId="0">
      <selection activeCell="B70" sqref="B70:X113"/>
    </sheetView>
  </sheetViews>
  <sheetFormatPr defaultRowHeight="14.25" x14ac:dyDescent="0.25"/>
  <cols>
    <col min="2" max="2" width="52.85546875" bestFit="1" customWidth="1"/>
    <col min="3" max="3" width="9.140625" style="2346"/>
    <col min="4" max="4" width="12.28515625" customWidth="1"/>
    <col min="5" max="5" width="12.7109375" customWidth="1"/>
    <col min="6" max="6" width="12" customWidth="1"/>
    <col min="7" max="7" width="13" customWidth="1"/>
    <col min="8" max="8" width="13.42578125" customWidth="1"/>
    <col min="9" max="9" width="12.85546875" customWidth="1"/>
    <col min="10" max="10" width="16.5703125" customWidth="1"/>
    <col min="11" max="11" width="17" customWidth="1"/>
    <col min="12" max="12" width="16.28515625" customWidth="1"/>
    <col min="13" max="13" width="17.42578125" customWidth="1"/>
    <col min="14" max="14" width="18" customWidth="1"/>
    <col min="15" max="15" width="17.28515625" customWidth="1"/>
    <col min="16" max="16" width="16.28515625" customWidth="1"/>
    <col min="17" max="17" width="17" customWidth="1"/>
    <col min="18" max="18" width="16.140625" customWidth="1"/>
    <col min="19" max="19" width="12" customWidth="1"/>
    <col min="20" max="20" width="12.5703125" customWidth="1"/>
    <col min="21" max="21" width="11.85546875" customWidth="1"/>
    <col min="22" max="22" width="11.140625" customWidth="1"/>
    <col min="23" max="23" width="11.5703125" customWidth="1"/>
    <col min="24" max="24" width="11" customWidth="1"/>
  </cols>
  <sheetData>
    <row r="1" spans="2:21" ht="30" customHeight="1" x14ac:dyDescent="0.25"/>
    <row r="2" spans="2:21" ht="21" customHeight="1" x14ac:dyDescent="0.25">
      <c r="B2" s="2347" t="s">
        <v>18459</v>
      </c>
    </row>
    <row r="3" spans="2:21" s="2348" customFormat="1" ht="21" customHeight="1" x14ac:dyDescent="0.25">
      <c r="B3" s="2643" t="s">
        <v>436</v>
      </c>
      <c r="C3" s="2644" t="s">
        <v>122</v>
      </c>
      <c r="D3" s="2645" t="s">
        <v>17940</v>
      </c>
      <c r="E3" s="2645" t="s">
        <v>17941</v>
      </c>
      <c r="F3" s="2645" t="s">
        <v>17942</v>
      </c>
      <c r="G3" s="2645" t="s">
        <v>17943</v>
      </c>
      <c r="H3" s="2645" t="s">
        <v>17944</v>
      </c>
      <c r="I3" s="2645" t="s">
        <v>17945</v>
      </c>
      <c r="J3" s="2645" t="s">
        <v>17946</v>
      </c>
      <c r="K3" s="2645" t="s">
        <v>17947</v>
      </c>
      <c r="L3" s="2645" t="s">
        <v>17948</v>
      </c>
      <c r="M3" s="2645" t="s">
        <v>17949</v>
      </c>
      <c r="N3" s="2645" t="s">
        <v>17950</v>
      </c>
      <c r="O3" s="2645" t="s">
        <v>17951</v>
      </c>
      <c r="P3" s="2645" t="s">
        <v>17952</v>
      </c>
      <c r="Q3" s="2645" t="s">
        <v>17953</v>
      </c>
      <c r="R3" s="2645" t="s">
        <v>17954</v>
      </c>
      <c r="S3" s="2645" t="s">
        <v>17955</v>
      </c>
      <c r="T3" s="2645" t="s">
        <v>17956</v>
      </c>
      <c r="U3" s="2645" t="s">
        <v>17957</v>
      </c>
    </row>
    <row r="4" spans="2:21" x14ac:dyDescent="0.25">
      <c r="B4" s="2646" t="s">
        <v>17984</v>
      </c>
      <c r="C4" s="2647" t="s">
        <v>18815</v>
      </c>
      <c r="D4" s="2648">
        <v>7.0000000000000007E-2</v>
      </c>
      <c r="E4" s="2648">
        <v>0.12</v>
      </c>
      <c r="F4" s="2648">
        <v>9.7500000000000003E-2</v>
      </c>
      <c r="G4" s="2649">
        <v>4.4999999999999998E-2</v>
      </c>
      <c r="H4" s="2648">
        <v>6.5000000000000002E-2</v>
      </c>
      <c r="I4" s="2648">
        <v>5.6099999999999997E-2</v>
      </c>
      <c r="J4" s="2649">
        <v>4.4999999999999998E-2</v>
      </c>
      <c r="K4" s="2648">
        <v>7.0000000000000007E-2</v>
      </c>
      <c r="L4" s="2648">
        <v>5.8799999999999998E-2</v>
      </c>
      <c r="M4" s="2649">
        <v>0</v>
      </c>
      <c r="N4" s="2648">
        <v>7.0000000000000007E-2</v>
      </c>
      <c r="O4" s="2648">
        <v>4.0300000000000002E-2</v>
      </c>
      <c r="P4" s="2649">
        <v>0.02</v>
      </c>
      <c r="Q4" s="2648">
        <v>0.05</v>
      </c>
      <c r="R4" s="2648">
        <v>0.03</v>
      </c>
      <c r="S4" s="2650">
        <v>1</v>
      </c>
      <c r="T4" s="2651">
        <v>9</v>
      </c>
      <c r="U4" s="2652">
        <v>2.9</v>
      </c>
    </row>
    <row r="5" spans="2:21" x14ac:dyDescent="0.25">
      <c r="B5" s="2653" t="s">
        <v>17985</v>
      </c>
      <c r="C5" s="2654" t="s">
        <v>18911</v>
      </c>
      <c r="D5" s="2655">
        <v>7.0000000000000007E-2</v>
      </c>
      <c r="E5" s="2655">
        <v>0.15</v>
      </c>
      <c r="F5" s="2655">
        <v>0.10340000000000001</v>
      </c>
      <c r="G5" s="2656">
        <v>0.06</v>
      </c>
      <c r="H5" s="2655">
        <v>0.10249999999999999</v>
      </c>
      <c r="I5" s="2655">
        <v>8.4900000000000003E-2</v>
      </c>
      <c r="J5" s="2656">
        <v>0.05</v>
      </c>
      <c r="K5" s="2655">
        <v>0.1</v>
      </c>
      <c r="L5" s="2655">
        <v>8.2100000000000006E-2</v>
      </c>
      <c r="M5" s="2656">
        <v>0</v>
      </c>
      <c r="N5" s="2655">
        <v>0.03</v>
      </c>
      <c r="O5" s="2655">
        <v>1.17E-2</v>
      </c>
      <c r="P5" s="2656">
        <v>0.02</v>
      </c>
      <c r="Q5" s="2655">
        <v>0.05</v>
      </c>
      <c r="R5" s="2655">
        <v>3.2500000000000001E-2</v>
      </c>
      <c r="S5" s="2657">
        <v>3</v>
      </c>
      <c r="T5" s="2658">
        <v>14</v>
      </c>
      <c r="U5" s="2659">
        <v>7.3</v>
      </c>
    </row>
    <row r="6" spans="2:21" x14ac:dyDescent="0.25">
      <c r="B6" s="2660" t="s">
        <v>17986</v>
      </c>
      <c r="C6" s="2661" t="s">
        <v>18911</v>
      </c>
      <c r="D6" s="2662">
        <v>0.06</v>
      </c>
      <c r="E6" s="2662">
        <v>0.13</v>
      </c>
      <c r="F6" s="2662">
        <v>9.1300000000000006E-2</v>
      </c>
      <c r="G6" s="2663">
        <v>0.05</v>
      </c>
      <c r="H6" s="2662">
        <v>0.14000000000000001</v>
      </c>
      <c r="I6" s="2662">
        <v>7.8799999999999995E-2</v>
      </c>
      <c r="J6" s="2663">
        <v>0.05</v>
      </c>
      <c r="K6" s="2662">
        <v>0.14000000000000001</v>
      </c>
      <c r="L6" s="2662">
        <v>7.9699999999999993E-2</v>
      </c>
      <c r="M6" s="2663">
        <v>-0.15</v>
      </c>
      <c r="N6" s="2662">
        <v>0.05</v>
      </c>
      <c r="O6" s="2662">
        <v>-1E-3</v>
      </c>
      <c r="P6" s="2663">
        <v>0.02</v>
      </c>
      <c r="Q6" s="2662">
        <v>0.1</v>
      </c>
      <c r="R6" s="2662">
        <v>0.04</v>
      </c>
      <c r="S6" s="2664">
        <v>2</v>
      </c>
      <c r="T6" s="2665">
        <v>18</v>
      </c>
      <c r="U6" s="2666">
        <v>10.1</v>
      </c>
    </row>
    <row r="7" spans="2:21" x14ac:dyDescent="0.25">
      <c r="B7" s="2653" t="s">
        <v>17987</v>
      </c>
      <c r="C7" s="2654" t="s">
        <v>18911</v>
      </c>
      <c r="D7" s="2655">
        <v>0.06</v>
      </c>
      <c r="E7" s="2655">
        <v>0.1</v>
      </c>
      <c r="F7" s="2655">
        <v>7.9100000000000004E-2</v>
      </c>
      <c r="G7" s="2656">
        <v>5.5E-2</v>
      </c>
      <c r="H7" s="2655">
        <v>7.4999999999999997E-2</v>
      </c>
      <c r="I7" s="2655">
        <v>6.6900000000000001E-2</v>
      </c>
      <c r="J7" s="2656">
        <v>6.5000000000000002E-2</v>
      </c>
      <c r="K7" s="2655">
        <v>0.09</v>
      </c>
      <c r="L7" s="2655">
        <v>7.3099999999999998E-2</v>
      </c>
      <c r="M7" s="2656">
        <v>0</v>
      </c>
      <c r="N7" s="2655">
        <v>0.04</v>
      </c>
      <c r="O7" s="2655">
        <v>0.01</v>
      </c>
      <c r="P7" s="2656">
        <v>0.02</v>
      </c>
      <c r="Q7" s="2655">
        <v>0.03</v>
      </c>
      <c r="R7" s="2655">
        <v>2.8799999999999999E-2</v>
      </c>
      <c r="S7" s="2657">
        <v>3</v>
      </c>
      <c r="T7" s="2658">
        <v>12</v>
      </c>
      <c r="U7" s="2659">
        <v>6.9</v>
      </c>
    </row>
    <row r="8" spans="2:21" x14ac:dyDescent="0.25">
      <c r="B8" s="2660" t="s">
        <v>17988</v>
      </c>
      <c r="C8" s="2661" t="s">
        <v>18911</v>
      </c>
      <c r="D8" s="2662">
        <v>7.0000000000000007E-2</v>
      </c>
      <c r="E8" s="2662">
        <v>0.11</v>
      </c>
      <c r="F8" s="2662">
        <v>8.7099999999999997E-2</v>
      </c>
      <c r="G8" s="2663">
        <v>5.2499999999999998E-2</v>
      </c>
      <c r="H8" s="2662">
        <v>0.1</v>
      </c>
      <c r="I8" s="2662">
        <v>7.4999999999999997E-2</v>
      </c>
      <c r="J8" s="2663">
        <v>5.2499999999999998E-2</v>
      </c>
      <c r="K8" s="2662">
        <v>0.1</v>
      </c>
      <c r="L8" s="2662">
        <v>7.46E-2</v>
      </c>
      <c r="M8" s="2663">
        <v>0</v>
      </c>
      <c r="N8" s="2662">
        <v>0.03</v>
      </c>
      <c r="O8" s="2662">
        <v>1.0800000000000001E-2</v>
      </c>
      <c r="P8" s="2663">
        <v>0</v>
      </c>
      <c r="Q8" s="2662">
        <v>0.03</v>
      </c>
      <c r="R8" s="2662">
        <v>2.4199999999999999E-2</v>
      </c>
      <c r="S8" s="2664">
        <v>1</v>
      </c>
      <c r="T8" s="2665">
        <v>15</v>
      </c>
      <c r="U8" s="2666">
        <v>7.2</v>
      </c>
    </row>
    <row r="9" spans="2:21" x14ac:dyDescent="0.25">
      <c r="B9" s="2653" t="s">
        <v>17989</v>
      </c>
      <c r="C9" s="2654" t="s">
        <v>18911</v>
      </c>
      <c r="D9" s="2655">
        <v>6.5000000000000002E-2</v>
      </c>
      <c r="E9" s="2655">
        <v>0.12</v>
      </c>
      <c r="F9" s="2655">
        <v>8.6099999999999996E-2</v>
      </c>
      <c r="G9" s="2656">
        <v>4.4999999999999998E-2</v>
      </c>
      <c r="H9" s="2655">
        <v>0.1</v>
      </c>
      <c r="I9" s="2655">
        <v>6.7799999999999999E-2</v>
      </c>
      <c r="J9" s="2656">
        <v>5.5E-2</v>
      </c>
      <c r="K9" s="2655">
        <v>0.105</v>
      </c>
      <c r="L9" s="2655">
        <v>7.1499999999999994E-2</v>
      </c>
      <c r="M9" s="2656">
        <v>0</v>
      </c>
      <c r="N9" s="2655">
        <v>0.03</v>
      </c>
      <c r="O9" s="2655">
        <v>1.4999999999999999E-2</v>
      </c>
      <c r="P9" s="2656">
        <v>0</v>
      </c>
      <c r="Q9" s="2655">
        <v>0.04</v>
      </c>
      <c r="R9" s="2655">
        <v>2.7E-2</v>
      </c>
      <c r="S9" s="2657">
        <v>3</v>
      </c>
      <c r="T9" s="2658">
        <v>15</v>
      </c>
      <c r="U9" s="2659">
        <v>9</v>
      </c>
    </row>
    <row r="10" spans="2:21" x14ac:dyDescent="0.25">
      <c r="B10" s="2660" t="s">
        <v>17990</v>
      </c>
      <c r="C10" s="2661" t="s">
        <v>18911</v>
      </c>
      <c r="D10" s="2662">
        <v>7.0000000000000007E-2</v>
      </c>
      <c r="E10" s="2662">
        <v>9.5000000000000001E-2</v>
      </c>
      <c r="F10" s="2662">
        <v>8.7099999999999997E-2</v>
      </c>
      <c r="G10" s="2663">
        <v>0.05</v>
      </c>
      <c r="H10" s="2662">
        <v>0.08</v>
      </c>
      <c r="I10" s="2662">
        <v>6.7199999999999996E-2</v>
      </c>
      <c r="J10" s="2663">
        <v>0.06</v>
      </c>
      <c r="K10" s="2662">
        <v>0.1</v>
      </c>
      <c r="L10" s="2662">
        <v>7.6499999999999999E-2</v>
      </c>
      <c r="M10" s="2663">
        <v>-0.06</v>
      </c>
      <c r="N10" s="2662">
        <v>0.03</v>
      </c>
      <c r="O10" s="2662">
        <v>0</v>
      </c>
      <c r="P10" s="2663">
        <v>0</v>
      </c>
      <c r="Q10" s="2662">
        <v>0.05</v>
      </c>
      <c r="R10" s="2662">
        <v>2.5499999999999998E-2</v>
      </c>
      <c r="S10" s="2664">
        <v>1</v>
      </c>
      <c r="T10" s="2665">
        <v>15</v>
      </c>
      <c r="U10" s="2666">
        <v>9.4</v>
      </c>
    </row>
    <row r="11" spans="2:21" x14ac:dyDescent="0.25">
      <c r="B11" s="2653" t="s">
        <v>18171</v>
      </c>
      <c r="C11" s="2654" t="s">
        <v>18911</v>
      </c>
      <c r="D11" s="2655">
        <v>7.4999999999999997E-2</v>
      </c>
      <c r="E11" s="2655">
        <v>0.11</v>
      </c>
      <c r="F11" s="2655">
        <v>9.06E-2</v>
      </c>
      <c r="G11" s="2656">
        <v>0.06</v>
      </c>
      <c r="H11" s="2655">
        <v>0.1</v>
      </c>
      <c r="I11" s="2655">
        <v>7.7499999999999999E-2</v>
      </c>
      <c r="J11" s="2656">
        <v>6.5000000000000002E-2</v>
      </c>
      <c r="K11" s="2655">
        <v>0.09</v>
      </c>
      <c r="L11" s="2655">
        <v>7.5999999999999998E-2</v>
      </c>
      <c r="M11" s="2656">
        <v>-0.03</v>
      </c>
      <c r="N11" s="2655">
        <v>0.03</v>
      </c>
      <c r="O11" s="2655">
        <v>0</v>
      </c>
      <c r="P11" s="2656">
        <v>0.03</v>
      </c>
      <c r="Q11" s="2655">
        <v>0.05</v>
      </c>
      <c r="R11" s="2655">
        <v>4.1700000000000001E-2</v>
      </c>
      <c r="S11" s="2657">
        <v>2</v>
      </c>
      <c r="T11" s="2658">
        <v>12</v>
      </c>
      <c r="U11" s="2659">
        <v>5</v>
      </c>
    </row>
    <row r="12" spans="2:21" x14ac:dyDescent="0.25">
      <c r="B12" s="2660" t="s">
        <v>18367</v>
      </c>
      <c r="C12" s="2661" t="s">
        <v>18911</v>
      </c>
      <c r="D12" s="2662">
        <v>0.06</v>
      </c>
      <c r="E12" s="2662">
        <v>0.13</v>
      </c>
      <c r="F12" s="2662">
        <v>9.4399999999999998E-2</v>
      </c>
      <c r="G12" s="2663">
        <v>0.05</v>
      </c>
      <c r="H12" s="2662">
        <v>0.12</v>
      </c>
      <c r="I12" s="2662">
        <v>8.2900000000000001E-2</v>
      </c>
      <c r="J12" s="2663">
        <v>0.06</v>
      </c>
      <c r="K12" s="2662">
        <v>0.1</v>
      </c>
      <c r="L12" s="2662">
        <v>7.6499999999999999E-2</v>
      </c>
      <c r="M12" s="2663">
        <v>0</v>
      </c>
      <c r="N12" s="2662">
        <v>0.05</v>
      </c>
      <c r="O12" s="2662">
        <v>1.67E-2</v>
      </c>
      <c r="P12" s="2663">
        <v>0.02</v>
      </c>
      <c r="Q12" s="2662">
        <v>0.05</v>
      </c>
      <c r="R12" s="2662">
        <v>3.6700000000000003E-2</v>
      </c>
      <c r="S12" s="2664">
        <v>3</v>
      </c>
      <c r="T12" s="2665">
        <v>12</v>
      </c>
      <c r="U12" s="2666">
        <v>8.1999999999999993</v>
      </c>
    </row>
    <row r="13" spans="2:21" x14ac:dyDescent="0.25">
      <c r="B13" s="2653" t="s">
        <v>18172</v>
      </c>
      <c r="C13" s="2654" t="s">
        <v>18911</v>
      </c>
      <c r="D13" s="2655">
        <v>0.08</v>
      </c>
      <c r="E13" s="2655">
        <v>0.14000000000000001</v>
      </c>
      <c r="F13" s="2655">
        <v>0.1037</v>
      </c>
      <c r="G13" s="2656">
        <v>6.5000000000000002E-2</v>
      </c>
      <c r="H13" s="2655">
        <v>0.12</v>
      </c>
      <c r="I13" s="2655">
        <v>8.8400000000000006E-2</v>
      </c>
      <c r="J13" s="2656">
        <v>6.7500000000000004E-2</v>
      </c>
      <c r="K13" s="2655">
        <v>0.12</v>
      </c>
      <c r="L13" s="2655">
        <v>8.6499999999999994E-2</v>
      </c>
      <c r="M13" s="2656">
        <v>-0.15</v>
      </c>
      <c r="N13" s="2655">
        <v>0.03</v>
      </c>
      <c r="O13" s="2655">
        <v>-1.83E-2</v>
      </c>
      <c r="P13" s="2656">
        <v>0.01</v>
      </c>
      <c r="Q13" s="2655">
        <v>7.0000000000000007E-2</v>
      </c>
      <c r="R13" s="2655">
        <v>3.9600000000000003E-2</v>
      </c>
      <c r="S13" s="2657">
        <v>4</v>
      </c>
      <c r="T13" s="2658">
        <v>12</v>
      </c>
      <c r="U13" s="2659">
        <v>7.9</v>
      </c>
    </row>
    <row r="14" spans="2:21" x14ac:dyDescent="0.25">
      <c r="B14" s="2660" t="s">
        <v>17991</v>
      </c>
      <c r="C14" s="2661" t="s">
        <v>18911</v>
      </c>
      <c r="D14" s="2662">
        <v>5.2499999999999998E-2</v>
      </c>
      <c r="E14" s="2662">
        <v>8.5000000000000006E-2</v>
      </c>
      <c r="F14" s="2662">
        <v>6.9000000000000006E-2</v>
      </c>
      <c r="G14" s="2663">
        <v>0.03</v>
      </c>
      <c r="H14" s="2662">
        <v>7.0000000000000007E-2</v>
      </c>
      <c r="I14" s="2662">
        <v>5.2299999999999999E-2</v>
      </c>
      <c r="J14" s="2663">
        <v>0.04</v>
      </c>
      <c r="K14" s="2662">
        <v>6.5000000000000002E-2</v>
      </c>
      <c r="L14" s="2662">
        <v>5.5199999999999999E-2</v>
      </c>
      <c r="M14" s="2663">
        <v>0</v>
      </c>
      <c r="N14" s="2662">
        <v>0.05</v>
      </c>
      <c r="O14" s="2662">
        <v>2.46E-2</v>
      </c>
      <c r="P14" s="2663">
        <v>0</v>
      </c>
      <c r="Q14" s="2662">
        <v>0.04</v>
      </c>
      <c r="R14" s="2662">
        <v>2.3800000000000002E-2</v>
      </c>
      <c r="S14" s="2664">
        <v>1</v>
      </c>
      <c r="T14" s="2665">
        <v>12</v>
      </c>
      <c r="U14" s="2666">
        <v>4.0999999999999996</v>
      </c>
    </row>
    <row r="15" spans="2:21" x14ac:dyDescent="0.25">
      <c r="B15" s="2653" t="s">
        <v>17992</v>
      </c>
      <c r="C15" s="2654" t="s">
        <v>18911</v>
      </c>
      <c r="D15" s="2655">
        <v>5.5E-2</v>
      </c>
      <c r="E15" s="2655">
        <v>0.1</v>
      </c>
      <c r="F15" s="2655">
        <v>7.6899999999999996E-2</v>
      </c>
      <c r="G15" s="2656">
        <v>0.05</v>
      </c>
      <c r="H15" s="2655">
        <v>0.08</v>
      </c>
      <c r="I15" s="2655">
        <v>6.1499999999999999E-2</v>
      </c>
      <c r="J15" s="2656">
        <v>0.05</v>
      </c>
      <c r="K15" s="2655">
        <v>7.4999999999999997E-2</v>
      </c>
      <c r="L15" s="2655">
        <v>6.2E-2</v>
      </c>
      <c r="M15" s="2656">
        <v>0.02</v>
      </c>
      <c r="N15" s="2655">
        <v>0.2</v>
      </c>
      <c r="O15" s="2655">
        <v>0.05</v>
      </c>
      <c r="P15" s="2656">
        <v>0.02</v>
      </c>
      <c r="Q15" s="2655">
        <v>0.1</v>
      </c>
      <c r="R15" s="2655">
        <v>3.7999999999999999E-2</v>
      </c>
      <c r="S15" s="2657">
        <v>2</v>
      </c>
      <c r="T15" s="2658">
        <v>12</v>
      </c>
      <c r="U15" s="2659">
        <v>5.3</v>
      </c>
    </row>
    <row r="16" spans="2:21" x14ac:dyDescent="0.25">
      <c r="B16" s="2660" t="s">
        <v>17993</v>
      </c>
      <c r="C16" s="2661" t="s">
        <v>18911</v>
      </c>
      <c r="D16" s="2662">
        <v>0.06</v>
      </c>
      <c r="E16" s="2662">
        <v>0.08</v>
      </c>
      <c r="F16" s="2662">
        <v>7.0000000000000007E-2</v>
      </c>
      <c r="G16" s="2663">
        <v>0.04</v>
      </c>
      <c r="H16" s="2662">
        <v>0.08</v>
      </c>
      <c r="I16" s="2662">
        <v>5.5899999999999998E-2</v>
      </c>
      <c r="J16" s="2663">
        <v>4.2500000000000003E-2</v>
      </c>
      <c r="K16" s="2662">
        <v>0.08</v>
      </c>
      <c r="L16" s="2662">
        <v>5.91E-2</v>
      </c>
      <c r="M16" s="2663">
        <v>0</v>
      </c>
      <c r="N16" s="2662">
        <v>0.05</v>
      </c>
      <c r="O16" s="2662">
        <v>2.93E-2</v>
      </c>
      <c r="P16" s="2663">
        <v>0.03</v>
      </c>
      <c r="Q16" s="2662">
        <v>0.08</v>
      </c>
      <c r="R16" s="2662">
        <v>3.9300000000000002E-2</v>
      </c>
      <c r="S16" s="2664">
        <v>2</v>
      </c>
      <c r="T16" s="2665">
        <v>15</v>
      </c>
      <c r="U16" s="2666">
        <v>6.3</v>
      </c>
    </row>
    <row r="17" spans="2:21" x14ac:dyDescent="0.25">
      <c r="B17" s="2653" t="s">
        <v>17994</v>
      </c>
      <c r="C17" s="2654" t="s">
        <v>18911</v>
      </c>
      <c r="D17" s="2655">
        <v>0.06</v>
      </c>
      <c r="E17" s="2655">
        <v>0.11</v>
      </c>
      <c r="F17" s="2655">
        <v>7.9200000000000007E-2</v>
      </c>
      <c r="G17" s="2656">
        <v>6.25E-2</v>
      </c>
      <c r="H17" s="2655">
        <v>0.09</v>
      </c>
      <c r="I17" s="2655">
        <v>7.3800000000000004E-2</v>
      </c>
      <c r="J17" s="2656">
        <v>0.06</v>
      </c>
      <c r="K17" s="2655">
        <v>0.08</v>
      </c>
      <c r="L17" s="2655">
        <v>7.1300000000000002E-2</v>
      </c>
      <c r="M17" s="2656">
        <v>-0.05</v>
      </c>
      <c r="N17" s="2655">
        <v>0.03</v>
      </c>
      <c r="O17" s="2655">
        <v>6.7000000000000002E-3</v>
      </c>
      <c r="P17" s="2656">
        <v>0</v>
      </c>
      <c r="Q17" s="2655">
        <v>0.03</v>
      </c>
      <c r="R17" s="2655">
        <v>0.02</v>
      </c>
      <c r="S17" s="2657">
        <v>3</v>
      </c>
      <c r="T17" s="2658">
        <v>18</v>
      </c>
      <c r="U17" s="2659">
        <v>8.1999999999999993</v>
      </c>
    </row>
    <row r="18" spans="2:21" x14ac:dyDescent="0.25">
      <c r="B18" s="2660" t="s">
        <v>17995</v>
      </c>
      <c r="C18" s="2661" t="s">
        <v>18911</v>
      </c>
      <c r="D18" s="2662">
        <v>6.25E-2</v>
      </c>
      <c r="E18" s="2662">
        <v>0.11</v>
      </c>
      <c r="F18" s="2662">
        <v>8.6599999999999996E-2</v>
      </c>
      <c r="G18" s="2663">
        <v>5.2499999999999998E-2</v>
      </c>
      <c r="H18" s="2662">
        <v>0.1</v>
      </c>
      <c r="I18" s="2662">
        <v>7.17E-2</v>
      </c>
      <c r="J18" s="2663">
        <v>5.7500000000000002E-2</v>
      </c>
      <c r="K18" s="2662">
        <v>0.10249999999999999</v>
      </c>
      <c r="L18" s="2662">
        <v>7.4700000000000003E-2</v>
      </c>
      <c r="M18" s="2663">
        <v>0</v>
      </c>
      <c r="N18" s="2662">
        <v>0.04</v>
      </c>
      <c r="O18" s="2662">
        <v>2.5000000000000001E-2</v>
      </c>
      <c r="P18" s="2663">
        <v>0.02</v>
      </c>
      <c r="Q18" s="2662">
        <v>0.05</v>
      </c>
      <c r="R18" s="2662">
        <v>3.3799999999999997E-2</v>
      </c>
      <c r="S18" s="2664">
        <v>1</v>
      </c>
      <c r="T18" s="2665">
        <v>12</v>
      </c>
      <c r="U18" s="2666">
        <v>5.4</v>
      </c>
    </row>
    <row r="19" spans="2:21" x14ac:dyDescent="0.25">
      <c r="B19" s="2653" t="s">
        <v>18039</v>
      </c>
      <c r="C19" s="2654" t="s">
        <v>18911</v>
      </c>
      <c r="D19" s="2655">
        <v>4.4999999999999998E-2</v>
      </c>
      <c r="E19" s="2655">
        <v>0.12</v>
      </c>
      <c r="F19" s="2655">
        <v>9.9000000000000005E-2</v>
      </c>
      <c r="G19" s="2656">
        <v>7.0000000000000007E-2</v>
      </c>
      <c r="H19" s="2655">
        <v>0.1</v>
      </c>
      <c r="I19" s="2655">
        <v>8.5800000000000001E-2</v>
      </c>
      <c r="J19" s="2656">
        <v>0.06</v>
      </c>
      <c r="K19" s="2655">
        <v>0.1</v>
      </c>
      <c r="L19" s="2655">
        <v>8.5800000000000001E-2</v>
      </c>
      <c r="M19" s="2656">
        <v>0</v>
      </c>
      <c r="N19" s="2655">
        <v>0.06</v>
      </c>
      <c r="O19" s="2655">
        <v>3.5999999999999997E-2</v>
      </c>
      <c r="P19" s="2656">
        <v>0.02</v>
      </c>
      <c r="Q19" s="2655">
        <v>0.05</v>
      </c>
      <c r="R19" s="2655">
        <v>3.5000000000000003E-2</v>
      </c>
      <c r="S19" s="2657">
        <v>0</v>
      </c>
      <c r="T19" s="2658">
        <v>12</v>
      </c>
      <c r="U19" s="2659">
        <v>6.1</v>
      </c>
    </row>
    <row r="20" spans="2:21" x14ac:dyDescent="0.25">
      <c r="B20" s="2660" t="s">
        <v>18368</v>
      </c>
      <c r="C20" s="2661" t="s">
        <v>18911</v>
      </c>
      <c r="D20" s="2662">
        <v>0.11</v>
      </c>
      <c r="E20" s="2662">
        <v>0.15</v>
      </c>
      <c r="F20" s="2662">
        <v>0.125</v>
      </c>
      <c r="G20" s="2663">
        <v>0.09</v>
      </c>
      <c r="H20" s="2662">
        <v>0.12</v>
      </c>
      <c r="I20" s="2662">
        <v>0.1038</v>
      </c>
      <c r="J20" s="2663">
        <v>0.09</v>
      </c>
      <c r="K20" s="2662">
        <v>0.125</v>
      </c>
      <c r="L20" s="2662">
        <v>0.10879999999999999</v>
      </c>
      <c r="M20" s="2663">
        <v>0.03</v>
      </c>
      <c r="N20" s="2662">
        <v>7.0000000000000007E-2</v>
      </c>
      <c r="O20" s="2662">
        <v>4.7500000000000001E-2</v>
      </c>
      <c r="P20" s="2663">
        <v>0.03</v>
      </c>
      <c r="Q20" s="2662">
        <v>0.06</v>
      </c>
      <c r="R20" s="2662">
        <v>4.4999999999999998E-2</v>
      </c>
      <c r="S20" s="2664">
        <v>6</v>
      </c>
      <c r="T20" s="2665">
        <v>12</v>
      </c>
      <c r="U20" s="2666">
        <v>9</v>
      </c>
    </row>
    <row r="21" spans="2:21" x14ac:dyDescent="0.25">
      <c r="B21" s="2653" t="s">
        <v>18369</v>
      </c>
      <c r="C21" s="2654" t="s">
        <v>18911</v>
      </c>
      <c r="D21" s="2655">
        <v>7.0000000000000007E-2</v>
      </c>
      <c r="E21" s="2655">
        <v>0.12</v>
      </c>
      <c r="F21" s="2655">
        <v>9.6600000000000005E-2</v>
      </c>
      <c r="G21" s="2656">
        <v>4.4999999999999998E-2</v>
      </c>
      <c r="H21" s="2655">
        <v>0.1</v>
      </c>
      <c r="I21" s="2655">
        <v>7.8799999999999995E-2</v>
      </c>
      <c r="J21" s="2656">
        <v>0.06</v>
      </c>
      <c r="K21" s="2655">
        <v>0.1</v>
      </c>
      <c r="L21" s="2655">
        <v>8.09E-2</v>
      </c>
      <c r="M21" s="2656">
        <v>0</v>
      </c>
      <c r="N21" s="2655">
        <v>0.06</v>
      </c>
      <c r="O21" s="2655">
        <v>2.8799999999999999E-2</v>
      </c>
      <c r="P21" s="2656">
        <v>0.02</v>
      </c>
      <c r="Q21" s="2655">
        <v>7.0000000000000007E-2</v>
      </c>
      <c r="R21" s="2655">
        <v>3.6299999999999999E-2</v>
      </c>
      <c r="S21" s="2657">
        <v>4</v>
      </c>
      <c r="T21" s="2658">
        <v>12</v>
      </c>
      <c r="U21" s="2659">
        <v>7.4</v>
      </c>
    </row>
    <row r="22" spans="2:21" x14ac:dyDescent="0.25">
      <c r="B22" s="2660" t="s">
        <v>18040</v>
      </c>
      <c r="C22" s="2661" t="s">
        <v>18911</v>
      </c>
      <c r="D22" s="2662">
        <v>0.09</v>
      </c>
      <c r="E22" s="2662">
        <v>0.15</v>
      </c>
      <c r="F22" s="2662">
        <v>0.1169</v>
      </c>
      <c r="G22" s="2663">
        <v>7.4999999999999997E-2</v>
      </c>
      <c r="H22" s="2662">
        <v>0.1</v>
      </c>
      <c r="I22" s="2662">
        <v>8.9399999999999993E-2</v>
      </c>
      <c r="J22" s="2663">
        <v>7.0000000000000007E-2</v>
      </c>
      <c r="K22" s="2662">
        <v>0.115</v>
      </c>
      <c r="L22" s="2662">
        <v>9.2499999999999999E-2</v>
      </c>
      <c r="M22" s="2663">
        <v>0.03</v>
      </c>
      <c r="N22" s="2662">
        <v>0.08</v>
      </c>
      <c r="O22" s="2662">
        <v>4.4499999999999998E-2</v>
      </c>
      <c r="P22" s="2663">
        <v>0.03</v>
      </c>
      <c r="Q22" s="2662">
        <v>0.08</v>
      </c>
      <c r="R22" s="2662">
        <v>4.1000000000000002E-2</v>
      </c>
      <c r="S22" s="2664">
        <v>1</v>
      </c>
      <c r="T22" s="2665">
        <v>12</v>
      </c>
      <c r="U22" s="2666">
        <v>6.8</v>
      </c>
    </row>
    <row r="23" spans="2:21" x14ac:dyDescent="0.25">
      <c r="B23" s="2653"/>
      <c r="C23" s="2654"/>
      <c r="D23" s="2655"/>
      <c r="E23" s="2655"/>
      <c r="F23" s="2655"/>
      <c r="G23" s="2656"/>
      <c r="H23" s="2655"/>
      <c r="I23" s="2655"/>
      <c r="J23" s="2656"/>
      <c r="K23" s="2655"/>
      <c r="L23" s="2655"/>
      <c r="M23" s="2656"/>
      <c r="N23" s="2655"/>
      <c r="O23" s="2655"/>
      <c r="P23" s="2656"/>
      <c r="Q23" s="2655"/>
      <c r="R23" s="2655"/>
      <c r="S23" s="2657"/>
      <c r="T23" s="2658"/>
      <c r="U23" s="2659"/>
    </row>
    <row r="24" spans="2:21" x14ac:dyDescent="0.25">
      <c r="B24" s="2660"/>
      <c r="C24" s="2661"/>
      <c r="D24" s="2662"/>
      <c r="E24" s="2662"/>
      <c r="F24" s="2662"/>
      <c r="G24" s="2663"/>
      <c r="H24" s="2662"/>
      <c r="I24" s="2662"/>
      <c r="J24" s="2663"/>
      <c r="K24" s="2662"/>
      <c r="L24" s="2662"/>
      <c r="M24" s="2663"/>
      <c r="N24" s="2662"/>
      <c r="O24" s="2662"/>
      <c r="P24" s="2663"/>
      <c r="Q24" s="2662"/>
      <c r="R24" s="2662"/>
      <c r="S24" s="2664"/>
      <c r="T24" s="2665"/>
      <c r="U24" s="2666"/>
    </row>
    <row r="25" spans="2:21" x14ac:dyDescent="0.25">
      <c r="B25" s="2653"/>
      <c r="C25" s="2654"/>
      <c r="D25" s="2655"/>
      <c r="E25" s="2655"/>
      <c r="F25" s="2655"/>
      <c r="G25" s="2656"/>
      <c r="H25" s="2655"/>
      <c r="I25" s="2655"/>
      <c r="J25" s="2656"/>
      <c r="K25" s="2655"/>
      <c r="L25" s="2655"/>
      <c r="M25" s="2656"/>
      <c r="N25" s="2655"/>
      <c r="O25" s="2655"/>
      <c r="P25" s="2656"/>
      <c r="Q25" s="2655"/>
      <c r="R25" s="2655"/>
      <c r="S25" s="2657"/>
      <c r="T25" s="2658"/>
      <c r="U25" s="2659"/>
    </row>
    <row r="26" spans="2:21" x14ac:dyDescent="0.25">
      <c r="B26" s="2660"/>
      <c r="C26" s="2661"/>
      <c r="D26" s="2662"/>
      <c r="E26" s="2662"/>
      <c r="F26" s="2662"/>
      <c r="G26" s="2663"/>
      <c r="H26" s="2662"/>
      <c r="I26" s="2662"/>
      <c r="J26" s="2663"/>
      <c r="K26" s="2662"/>
      <c r="L26" s="2662"/>
      <c r="M26" s="2663"/>
      <c r="N26" s="2662"/>
      <c r="O26" s="2662"/>
      <c r="P26" s="2663"/>
      <c r="Q26" s="2662"/>
      <c r="R26" s="2662"/>
      <c r="S26" s="2664"/>
      <c r="T26" s="2665"/>
      <c r="U26" s="2666"/>
    </row>
    <row r="27" spans="2:21" x14ac:dyDescent="0.25">
      <c r="B27" s="2653"/>
      <c r="C27" s="2654"/>
      <c r="D27" s="2655"/>
      <c r="E27" s="2655"/>
      <c r="F27" s="2655"/>
      <c r="G27" s="2656"/>
      <c r="H27" s="2655"/>
      <c r="I27" s="2655"/>
      <c r="J27" s="2656"/>
      <c r="K27" s="2655"/>
      <c r="L27" s="2655"/>
      <c r="M27" s="2656"/>
      <c r="N27" s="2655"/>
      <c r="O27" s="2655"/>
      <c r="P27" s="2656"/>
      <c r="Q27" s="2655"/>
      <c r="R27" s="2655"/>
      <c r="S27" s="2657"/>
      <c r="T27" s="2658"/>
      <c r="U27" s="2659"/>
    </row>
    <row r="28" spans="2:21" x14ac:dyDescent="0.25">
      <c r="B28" s="2660"/>
      <c r="C28" s="2661"/>
      <c r="D28" s="2662"/>
      <c r="E28" s="2662"/>
      <c r="F28" s="2662"/>
      <c r="G28" s="2663"/>
      <c r="H28" s="2662"/>
      <c r="I28" s="2662"/>
      <c r="J28" s="2663"/>
      <c r="K28" s="2662"/>
      <c r="L28" s="2662"/>
      <c r="M28" s="2663"/>
      <c r="N28" s="2662"/>
      <c r="O28" s="2662"/>
      <c r="P28" s="2663"/>
      <c r="Q28" s="2662"/>
      <c r="R28" s="2662"/>
      <c r="S28" s="2664"/>
      <c r="T28" s="2665"/>
      <c r="U28" s="2666"/>
    </row>
    <row r="29" spans="2:21" x14ac:dyDescent="0.25">
      <c r="B29" s="2653"/>
      <c r="C29" s="2654"/>
      <c r="D29" s="2655"/>
      <c r="E29" s="2655"/>
      <c r="F29" s="2655"/>
      <c r="G29" s="2656"/>
      <c r="H29" s="2655"/>
      <c r="I29" s="2655"/>
      <c r="J29" s="2656"/>
      <c r="K29" s="2655"/>
      <c r="L29" s="2655"/>
      <c r="M29" s="2656"/>
      <c r="N29" s="2655"/>
      <c r="O29" s="2655"/>
      <c r="P29" s="2656"/>
      <c r="Q29" s="2655"/>
      <c r="R29" s="2655"/>
      <c r="S29" s="2657"/>
      <c r="T29" s="2658"/>
      <c r="U29" s="2659"/>
    </row>
    <row r="31" spans="2:21" ht="21" customHeight="1" x14ac:dyDescent="0.25">
      <c r="B31" s="2347" t="s">
        <v>17958</v>
      </c>
    </row>
    <row r="32" spans="2:21" s="1755" customFormat="1" ht="21" customHeight="1" thickBot="1" x14ac:dyDescent="0.3">
      <c r="B32" s="2643" t="s">
        <v>436</v>
      </c>
      <c r="C32" s="2644" t="s">
        <v>122</v>
      </c>
      <c r="D32" s="2645" t="s">
        <v>17940</v>
      </c>
      <c r="E32" s="2645" t="s">
        <v>17941</v>
      </c>
      <c r="F32" s="2645" t="s">
        <v>17942</v>
      </c>
      <c r="G32" s="2645" t="s">
        <v>17943</v>
      </c>
      <c r="H32" s="2645" t="s">
        <v>17944</v>
      </c>
      <c r="I32" s="2645" t="s">
        <v>17945</v>
      </c>
      <c r="J32" s="2645" t="s">
        <v>17946</v>
      </c>
      <c r="K32" s="2645" t="s">
        <v>17947</v>
      </c>
      <c r="L32" s="2645" t="s">
        <v>17948</v>
      </c>
      <c r="M32" s="2645" t="s">
        <v>17949</v>
      </c>
      <c r="N32" s="2645" t="s">
        <v>17950</v>
      </c>
      <c r="O32" s="2645" t="s">
        <v>17951</v>
      </c>
      <c r="P32" s="2645" t="s">
        <v>17952</v>
      </c>
      <c r="Q32" s="2645" t="s">
        <v>17953</v>
      </c>
      <c r="R32" s="2645" t="s">
        <v>17954</v>
      </c>
      <c r="S32" s="2645" t="s">
        <v>17955</v>
      </c>
      <c r="T32" s="2645" t="s">
        <v>17956</v>
      </c>
      <c r="U32" s="2645" t="s">
        <v>17957</v>
      </c>
    </row>
    <row r="33" spans="2:21" ht="15" thickTop="1" x14ac:dyDescent="0.25">
      <c r="B33" s="2667" t="s">
        <v>18542</v>
      </c>
      <c r="C33" s="2647" t="s">
        <v>18911</v>
      </c>
      <c r="D33" s="2648">
        <v>7.0000000000000007E-2</v>
      </c>
      <c r="E33" s="2648">
        <v>0.1</v>
      </c>
      <c r="F33" s="2648">
        <v>8.5000000000000006E-2</v>
      </c>
      <c r="G33" s="2649">
        <v>0.06</v>
      </c>
      <c r="H33" s="2648">
        <v>0.09</v>
      </c>
      <c r="I33" s="2648">
        <v>7.2999999999999995E-2</v>
      </c>
      <c r="J33" s="2649">
        <v>6.5000000000000002E-2</v>
      </c>
      <c r="K33" s="2648">
        <v>0.1</v>
      </c>
      <c r="L33" s="2648">
        <v>7.6999999999999999E-2</v>
      </c>
      <c r="M33" s="2649">
        <v>0</v>
      </c>
      <c r="N33" s="2648">
        <v>0.03</v>
      </c>
      <c r="O33" s="2648">
        <v>1.4E-2</v>
      </c>
      <c r="P33" s="2649">
        <v>2.5000000000000001E-2</v>
      </c>
      <c r="Q33" s="2648">
        <v>0.05</v>
      </c>
      <c r="R33" s="2648">
        <v>3.2000000000000001E-2</v>
      </c>
      <c r="S33" s="2668" t="s">
        <v>17959</v>
      </c>
      <c r="T33" s="2669" t="s">
        <v>17959</v>
      </c>
      <c r="U33" s="2652">
        <v>10.5</v>
      </c>
    </row>
    <row r="34" spans="2:21" x14ac:dyDescent="0.25">
      <c r="B34" s="2653" t="s">
        <v>18173</v>
      </c>
      <c r="C34" s="2654" t="s">
        <v>18911</v>
      </c>
      <c r="D34" s="2655">
        <v>8.5000000000000006E-2</v>
      </c>
      <c r="E34" s="2655">
        <v>0.115</v>
      </c>
      <c r="F34" s="2655">
        <v>9.0999999999999998E-2</v>
      </c>
      <c r="G34" s="2656">
        <v>6.5000000000000002E-2</v>
      </c>
      <c r="H34" s="2655">
        <v>0.09</v>
      </c>
      <c r="I34" s="2655">
        <v>7.4999999999999997E-2</v>
      </c>
      <c r="J34" s="2656">
        <v>7.2999999999999995E-2</v>
      </c>
      <c r="K34" s="2655">
        <v>9.5000000000000001E-2</v>
      </c>
      <c r="L34" s="2655">
        <v>0.08</v>
      </c>
      <c r="M34" s="2670" t="s">
        <v>17959</v>
      </c>
      <c r="N34" s="2671" t="s">
        <v>17959</v>
      </c>
      <c r="O34" s="2670" t="s">
        <v>17959</v>
      </c>
      <c r="P34" s="2671" t="s">
        <v>17959</v>
      </c>
      <c r="Q34" s="2670" t="s">
        <v>17959</v>
      </c>
      <c r="R34" s="2671" t="s">
        <v>17959</v>
      </c>
      <c r="S34" s="2670" t="s">
        <v>17959</v>
      </c>
      <c r="T34" s="2671" t="s">
        <v>17959</v>
      </c>
      <c r="U34" s="2671" t="s">
        <v>17959</v>
      </c>
    </row>
    <row r="35" spans="2:21" x14ac:dyDescent="0.25">
      <c r="B35" s="2660" t="s">
        <v>18174</v>
      </c>
      <c r="C35" s="2661" t="s">
        <v>18911</v>
      </c>
      <c r="D35" s="2662">
        <v>8.3000000000000004E-2</v>
      </c>
      <c r="E35" s="2662">
        <v>0.11</v>
      </c>
      <c r="F35" s="2662">
        <v>9.8000000000000004E-2</v>
      </c>
      <c r="G35" s="2663">
        <v>6.3E-2</v>
      </c>
      <c r="H35" s="2662">
        <v>9.5000000000000001E-2</v>
      </c>
      <c r="I35" s="2662">
        <v>8.3000000000000004E-2</v>
      </c>
      <c r="J35" s="2663">
        <v>6.8000000000000005E-2</v>
      </c>
      <c r="K35" s="2662">
        <v>0.105</v>
      </c>
      <c r="L35" s="2662">
        <v>8.7999999999999995E-2</v>
      </c>
      <c r="M35" s="2672" t="s">
        <v>1584</v>
      </c>
      <c r="N35" s="2673" t="s">
        <v>17959</v>
      </c>
      <c r="O35" s="2672" t="s">
        <v>17959</v>
      </c>
      <c r="P35" s="2673" t="s">
        <v>17959</v>
      </c>
      <c r="Q35" s="2672" t="s">
        <v>17959</v>
      </c>
      <c r="R35" s="2673" t="s">
        <v>17959</v>
      </c>
      <c r="S35" s="2672" t="s">
        <v>17959</v>
      </c>
      <c r="T35" s="2673" t="s">
        <v>17959</v>
      </c>
      <c r="U35" s="2673" t="s">
        <v>17959</v>
      </c>
    </row>
    <row r="36" spans="2:21" x14ac:dyDescent="0.25">
      <c r="B36" s="2653" t="s">
        <v>18175</v>
      </c>
      <c r="C36" s="2654" t="s">
        <v>18911</v>
      </c>
      <c r="D36" s="2655">
        <v>9.5000000000000001E-2</v>
      </c>
      <c r="E36" s="2655">
        <v>0.13300000000000001</v>
      </c>
      <c r="F36" s="2655">
        <v>0.107</v>
      </c>
      <c r="G36" s="2656">
        <v>0.08</v>
      </c>
      <c r="H36" s="2655">
        <v>0.11799999999999999</v>
      </c>
      <c r="I36" s="2655">
        <v>9.0999999999999998E-2</v>
      </c>
      <c r="J36" s="2656">
        <v>8.5000000000000006E-2</v>
      </c>
      <c r="K36" s="2655">
        <v>0.123</v>
      </c>
      <c r="L36" s="2655">
        <v>9.7000000000000003E-2</v>
      </c>
      <c r="M36" s="2670" t="s">
        <v>17959</v>
      </c>
      <c r="N36" s="2671" t="s">
        <v>17959</v>
      </c>
      <c r="O36" s="2670" t="s">
        <v>17959</v>
      </c>
      <c r="P36" s="2671" t="s">
        <v>17959</v>
      </c>
      <c r="Q36" s="2670" t="s">
        <v>17959</v>
      </c>
      <c r="R36" s="2671" t="s">
        <v>17959</v>
      </c>
      <c r="S36" s="2670" t="s">
        <v>17959</v>
      </c>
      <c r="T36" s="2671" t="s">
        <v>17959</v>
      </c>
      <c r="U36" s="2671" t="s">
        <v>17959</v>
      </c>
    </row>
    <row r="37" spans="2:21" x14ac:dyDescent="0.25">
      <c r="B37" s="2660" t="s">
        <v>18370</v>
      </c>
      <c r="C37" s="2661" t="s">
        <v>18911</v>
      </c>
      <c r="D37" s="2662" t="s">
        <v>17959</v>
      </c>
      <c r="E37" s="2662" t="s">
        <v>17959</v>
      </c>
      <c r="F37" s="2662">
        <v>0.08</v>
      </c>
      <c r="G37" s="2663" t="s">
        <v>17959</v>
      </c>
      <c r="H37" s="2662" t="s">
        <v>17959</v>
      </c>
      <c r="I37" s="2662">
        <v>6.4000000000000001E-2</v>
      </c>
      <c r="J37" s="2663" t="s">
        <v>17959</v>
      </c>
      <c r="K37" s="2662" t="s">
        <v>17959</v>
      </c>
      <c r="L37" s="2662">
        <v>6.9000000000000006E-2</v>
      </c>
      <c r="M37" s="2672" t="s">
        <v>17959</v>
      </c>
      <c r="N37" s="2673" t="s">
        <v>17959</v>
      </c>
      <c r="O37" s="2672" t="s">
        <v>17959</v>
      </c>
      <c r="P37" s="2673" t="s">
        <v>17959</v>
      </c>
      <c r="Q37" s="2672" t="s">
        <v>17959</v>
      </c>
      <c r="R37" s="2673" t="s">
        <v>17959</v>
      </c>
      <c r="S37" s="2672" t="s">
        <v>17959</v>
      </c>
      <c r="T37" s="2673" t="s">
        <v>17959</v>
      </c>
      <c r="U37" s="2673" t="s">
        <v>17959</v>
      </c>
    </row>
    <row r="38" spans="2:21" x14ac:dyDescent="0.25">
      <c r="B38" s="2653" t="s">
        <v>18371</v>
      </c>
      <c r="C38" s="2654" t="s">
        <v>18911</v>
      </c>
      <c r="D38" s="2655" t="s">
        <v>17959</v>
      </c>
      <c r="E38" s="2655" t="s">
        <v>17959</v>
      </c>
      <c r="F38" s="2655">
        <v>9.2999999999999999E-2</v>
      </c>
      <c r="G38" s="2656" t="s">
        <v>17959</v>
      </c>
      <c r="H38" s="2655" t="s">
        <v>17959</v>
      </c>
      <c r="I38" s="2655">
        <v>0.08</v>
      </c>
      <c r="J38" s="2656" t="s">
        <v>17959</v>
      </c>
      <c r="K38" s="2655" t="s">
        <v>17959</v>
      </c>
      <c r="L38" s="2655">
        <v>8.6999999999999994E-2</v>
      </c>
      <c r="M38" s="2656" t="s">
        <v>17959</v>
      </c>
      <c r="N38" s="2655" t="s">
        <v>17959</v>
      </c>
      <c r="O38" s="2655" t="s">
        <v>17959</v>
      </c>
      <c r="P38" s="2656" t="s">
        <v>17959</v>
      </c>
      <c r="Q38" s="2655" t="s">
        <v>17959</v>
      </c>
      <c r="R38" s="2655" t="s">
        <v>17959</v>
      </c>
      <c r="S38" s="2670" t="s">
        <v>17959</v>
      </c>
      <c r="T38" s="2671" t="s">
        <v>17959</v>
      </c>
      <c r="U38" s="2659" t="s">
        <v>17959</v>
      </c>
    </row>
    <row r="39" spans="2:21" x14ac:dyDescent="0.25">
      <c r="B39" s="2660" t="s">
        <v>18372</v>
      </c>
      <c r="C39" s="2661" t="s">
        <v>18911</v>
      </c>
      <c r="D39" s="2662" t="s">
        <v>17959</v>
      </c>
      <c r="E39" s="2662" t="s">
        <v>17959</v>
      </c>
      <c r="F39" s="2662">
        <v>8.1000000000000003E-2</v>
      </c>
      <c r="G39" s="2663" t="s">
        <v>17959</v>
      </c>
      <c r="H39" s="2662" t="s">
        <v>17959</v>
      </c>
      <c r="I39" s="2662">
        <v>6.6000000000000003E-2</v>
      </c>
      <c r="J39" s="2663" t="s">
        <v>17959</v>
      </c>
      <c r="K39" s="2662" t="s">
        <v>17959</v>
      </c>
      <c r="L39" s="2662">
        <v>7.0999999999999994E-2</v>
      </c>
      <c r="M39" s="2672" t="s">
        <v>17959</v>
      </c>
      <c r="N39" s="2673" t="s">
        <v>17959</v>
      </c>
      <c r="O39" s="2672" t="s">
        <v>17959</v>
      </c>
      <c r="P39" s="2673" t="s">
        <v>17959</v>
      </c>
      <c r="Q39" s="2672" t="s">
        <v>17959</v>
      </c>
      <c r="R39" s="2673" t="s">
        <v>17959</v>
      </c>
      <c r="S39" s="2672" t="s">
        <v>17959</v>
      </c>
      <c r="T39" s="2673" t="s">
        <v>17959</v>
      </c>
      <c r="U39" s="2673" t="s">
        <v>17959</v>
      </c>
    </row>
    <row r="40" spans="2:21" x14ac:dyDescent="0.25">
      <c r="B40" s="2653" t="s">
        <v>18543</v>
      </c>
      <c r="C40" s="2654" t="s">
        <v>18911</v>
      </c>
      <c r="D40" s="2655">
        <v>0.08</v>
      </c>
      <c r="E40" s="2655">
        <v>0.11</v>
      </c>
      <c r="F40" s="2655">
        <v>0.09</v>
      </c>
      <c r="G40" s="2656">
        <v>6.5000000000000002E-2</v>
      </c>
      <c r="H40" s="2655">
        <v>0.1</v>
      </c>
      <c r="I40" s="2655">
        <v>7.8E-2</v>
      </c>
      <c r="J40" s="2656">
        <v>7.0000000000000007E-2</v>
      </c>
      <c r="K40" s="2655">
        <v>0.1</v>
      </c>
      <c r="L40" s="2655">
        <v>8.2000000000000003E-2</v>
      </c>
      <c r="M40" s="2670">
        <v>0</v>
      </c>
      <c r="N40" s="2671">
        <v>0.03</v>
      </c>
      <c r="O40" s="2670">
        <v>1.6E-2</v>
      </c>
      <c r="P40" s="2671">
        <v>2.5000000000000001E-2</v>
      </c>
      <c r="Q40" s="2670">
        <v>0.05</v>
      </c>
      <c r="R40" s="2671">
        <v>3.1E-2</v>
      </c>
      <c r="S40" s="2670" t="s">
        <v>17959</v>
      </c>
      <c r="T40" s="2671" t="s">
        <v>17959</v>
      </c>
      <c r="U40" s="2671">
        <v>10</v>
      </c>
    </row>
    <row r="41" spans="2:21" x14ac:dyDescent="0.25">
      <c r="B41" s="2660" t="s">
        <v>18176</v>
      </c>
      <c r="C41" s="2661" t="s">
        <v>18911</v>
      </c>
      <c r="D41" s="2662">
        <v>8.5000000000000006E-2</v>
      </c>
      <c r="E41" s="2662">
        <v>0.11</v>
      </c>
      <c r="F41" s="2662">
        <v>9.1999999999999998E-2</v>
      </c>
      <c r="G41" s="2663">
        <v>6.5000000000000002E-2</v>
      </c>
      <c r="H41" s="2662">
        <v>0.09</v>
      </c>
      <c r="I41" s="2662">
        <v>7.4999999999999997E-2</v>
      </c>
      <c r="J41" s="2663">
        <v>7.4999999999999997E-2</v>
      </c>
      <c r="K41" s="2662">
        <v>9.5000000000000001E-2</v>
      </c>
      <c r="L41" s="2662">
        <v>8.2000000000000003E-2</v>
      </c>
      <c r="M41" s="2672" t="s">
        <v>17959</v>
      </c>
      <c r="N41" s="2673" t="s">
        <v>17959</v>
      </c>
      <c r="O41" s="2672" t="s">
        <v>17959</v>
      </c>
      <c r="P41" s="2673" t="s">
        <v>17959</v>
      </c>
      <c r="Q41" s="2672" t="s">
        <v>17959</v>
      </c>
      <c r="R41" s="2673" t="s">
        <v>17959</v>
      </c>
      <c r="S41" s="2672" t="s">
        <v>17959</v>
      </c>
      <c r="T41" s="2673" t="s">
        <v>17959</v>
      </c>
      <c r="U41" s="2673" t="s">
        <v>17959</v>
      </c>
    </row>
    <row r="42" spans="2:21" x14ac:dyDescent="0.25">
      <c r="B42" s="2653" t="s">
        <v>18177</v>
      </c>
      <c r="C42" s="2654" t="s">
        <v>18911</v>
      </c>
      <c r="D42" s="2655">
        <v>9.2999999999999999E-2</v>
      </c>
      <c r="E42" s="2655">
        <v>0.112</v>
      </c>
      <c r="F42" s="2655">
        <v>0.1</v>
      </c>
      <c r="G42" s="2656">
        <v>7.2999999999999995E-2</v>
      </c>
      <c r="H42" s="2655">
        <v>9.7000000000000003E-2</v>
      </c>
      <c r="I42" s="2655">
        <v>8.5000000000000006E-2</v>
      </c>
      <c r="J42" s="2656">
        <v>7.8E-2</v>
      </c>
      <c r="K42" s="2655">
        <v>0.10199999999999999</v>
      </c>
      <c r="L42" s="2655">
        <v>0.09</v>
      </c>
      <c r="M42" s="2670" t="s">
        <v>17959</v>
      </c>
      <c r="N42" s="2671" t="s">
        <v>17959</v>
      </c>
      <c r="O42" s="2670" t="s">
        <v>17959</v>
      </c>
      <c r="P42" s="2671" t="s">
        <v>17959</v>
      </c>
      <c r="Q42" s="2670" t="s">
        <v>17959</v>
      </c>
      <c r="R42" s="2671" t="s">
        <v>17959</v>
      </c>
      <c r="S42" s="2670" t="s">
        <v>17959</v>
      </c>
      <c r="T42" s="2671" t="s">
        <v>17959</v>
      </c>
      <c r="U42" s="2671" t="s">
        <v>17959</v>
      </c>
    </row>
    <row r="43" spans="2:21" x14ac:dyDescent="0.25">
      <c r="B43" s="2660" t="s">
        <v>18178</v>
      </c>
      <c r="C43" s="2661" t="s">
        <v>18911</v>
      </c>
      <c r="D43" s="2662">
        <v>9.5000000000000001E-2</v>
      </c>
      <c r="E43" s="2662">
        <v>0.13200000000000001</v>
      </c>
      <c r="F43" s="2662">
        <v>0.107</v>
      </c>
      <c r="G43" s="2663">
        <v>0.08</v>
      </c>
      <c r="H43" s="2662">
        <v>0.11700000000000001</v>
      </c>
      <c r="I43" s="2662">
        <v>9.2999999999999999E-2</v>
      </c>
      <c r="J43" s="2663">
        <v>8.5999999999999993E-2</v>
      </c>
      <c r="K43" s="2662">
        <v>0.122</v>
      </c>
      <c r="L43" s="2662">
        <v>9.7000000000000003E-2</v>
      </c>
      <c r="M43" s="2663" t="s">
        <v>17959</v>
      </c>
      <c r="N43" s="2662" t="s">
        <v>17959</v>
      </c>
      <c r="O43" s="2662" t="s">
        <v>17959</v>
      </c>
      <c r="P43" s="2663" t="s">
        <v>17959</v>
      </c>
      <c r="Q43" s="2662" t="s">
        <v>17959</v>
      </c>
      <c r="R43" s="2662" t="s">
        <v>17959</v>
      </c>
      <c r="S43" s="2672" t="s">
        <v>17959</v>
      </c>
      <c r="T43" s="2673" t="s">
        <v>17959</v>
      </c>
      <c r="U43" s="2666" t="s">
        <v>17959</v>
      </c>
    </row>
    <row r="44" spans="2:21" x14ac:dyDescent="0.25">
      <c r="B44" s="2653" t="s">
        <v>18373</v>
      </c>
      <c r="C44" s="2654" t="s">
        <v>18911</v>
      </c>
      <c r="D44" s="2655" t="s">
        <v>17959</v>
      </c>
      <c r="E44" s="2655" t="s">
        <v>17959</v>
      </c>
      <c r="F44" s="2655">
        <v>8.3000000000000004E-2</v>
      </c>
      <c r="G44" s="2656" t="s">
        <v>17959</v>
      </c>
      <c r="H44" s="2655" t="s">
        <v>17959</v>
      </c>
      <c r="I44" s="2655">
        <v>6.8000000000000005E-2</v>
      </c>
      <c r="J44" s="2656" t="s">
        <v>17959</v>
      </c>
      <c r="K44" s="2655" t="s">
        <v>17959</v>
      </c>
      <c r="L44" s="2655">
        <v>7.2999999999999995E-2</v>
      </c>
      <c r="M44" s="2656" t="s">
        <v>17959</v>
      </c>
      <c r="N44" s="2655" t="s">
        <v>17959</v>
      </c>
      <c r="O44" s="2655" t="s">
        <v>17959</v>
      </c>
      <c r="P44" s="2656" t="s">
        <v>17959</v>
      </c>
      <c r="Q44" s="2655" t="s">
        <v>17959</v>
      </c>
      <c r="R44" s="2655" t="s">
        <v>17959</v>
      </c>
      <c r="S44" s="2670" t="s">
        <v>17959</v>
      </c>
      <c r="T44" s="2671" t="s">
        <v>17959</v>
      </c>
      <c r="U44" s="2659" t="s">
        <v>17959</v>
      </c>
    </row>
    <row r="45" spans="2:21" x14ac:dyDescent="0.25">
      <c r="B45" s="2660" t="s">
        <v>18374</v>
      </c>
      <c r="C45" s="2661" t="s">
        <v>18911</v>
      </c>
      <c r="D45" s="2662" t="s">
        <v>17959</v>
      </c>
      <c r="E45" s="2662" t="s">
        <v>17959</v>
      </c>
      <c r="F45" s="2662">
        <v>9.2999999999999999E-2</v>
      </c>
      <c r="G45" s="2663" t="s">
        <v>17959</v>
      </c>
      <c r="H45" s="2662" t="s">
        <v>17959</v>
      </c>
      <c r="I45" s="2662">
        <v>7.6999999999999999E-2</v>
      </c>
      <c r="J45" s="2663" t="s">
        <v>17959</v>
      </c>
      <c r="K45" s="2662" t="s">
        <v>17959</v>
      </c>
      <c r="L45" s="2662">
        <v>0.08</v>
      </c>
      <c r="M45" s="2663" t="s">
        <v>17959</v>
      </c>
      <c r="N45" s="2662" t="s">
        <v>17959</v>
      </c>
      <c r="O45" s="2662" t="s">
        <v>17959</v>
      </c>
      <c r="P45" s="2663" t="s">
        <v>17959</v>
      </c>
      <c r="Q45" s="2662" t="s">
        <v>17959</v>
      </c>
      <c r="R45" s="2662" t="s">
        <v>17959</v>
      </c>
      <c r="S45" s="2672" t="s">
        <v>17959</v>
      </c>
      <c r="T45" s="2673" t="s">
        <v>17959</v>
      </c>
      <c r="U45" s="2666" t="s">
        <v>17959</v>
      </c>
    </row>
    <row r="46" spans="2:21" x14ac:dyDescent="0.25">
      <c r="B46" s="2653" t="s">
        <v>18375</v>
      </c>
      <c r="C46" s="2654" t="s">
        <v>18911</v>
      </c>
      <c r="D46" s="2655" t="s">
        <v>17959</v>
      </c>
      <c r="E46" s="2655" t="s">
        <v>17959</v>
      </c>
      <c r="F46" s="2655">
        <v>8.8999999999999996E-2</v>
      </c>
      <c r="G46" s="2656" t="s">
        <v>17959</v>
      </c>
      <c r="H46" s="2655" t="s">
        <v>17959</v>
      </c>
      <c r="I46" s="2655">
        <v>7.0999999999999994E-2</v>
      </c>
      <c r="J46" s="2656" t="s">
        <v>17959</v>
      </c>
      <c r="K46" s="2655" t="s">
        <v>17959</v>
      </c>
      <c r="L46" s="2655">
        <v>7.5999999999999998E-2</v>
      </c>
      <c r="M46" s="2656" t="s">
        <v>17959</v>
      </c>
      <c r="N46" s="2655" t="s">
        <v>17959</v>
      </c>
      <c r="O46" s="2655" t="s">
        <v>17959</v>
      </c>
      <c r="P46" s="2656" t="s">
        <v>17959</v>
      </c>
      <c r="Q46" s="2655" t="s">
        <v>17959</v>
      </c>
      <c r="R46" s="2655" t="s">
        <v>17959</v>
      </c>
      <c r="S46" s="2670" t="s">
        <v>17959</v>
      </c>
      <c r="T46" s="2671" t="s">
        <v>17959</v>
      </c>
      <c r="U46" s="2659" t="s">
        <v>17959</v>
      </c>
    </row>
    <row r="47" spans="2:21" x14ac:dyDescent="0.25">
      <c r="B47" s="2660" t="s">
        <v>18376</v>
      </c>
      <c r="C47" s="2661" t="s">
        <v>18911</v>
      </c>
      <c r="D47" s="2662">
        <v>0.06</v>
      </c>
      <c r="E47" s="2662">
        <v>0.09</v>
      </c>
      <c r="F47" s="2662">
        <v>7.1999999999999995E-2</v>
      </c>
      <c r="G47" s="2663">
        <v>4.7E-2</v>
      </c>
      <c r="H47" s="2662">
        <v>6.5000000000000002E-2</v>
      </c>
      <c r="I47" s="2662">
        <v>5.8000000000000003E-2</v>
      </c>
      <c r="J47" s="2663">
        <v>0.05</v>
      </c>
      <c r="K47" s="2662">
        <v>6.8000000000000005E-2</v>
      </c>
      <c r="L47" s="2662">
        <v>6.2E-2</v>
      </c>
      <c r="M47" s="2663">
        <v>0.03</v>
      </c>
      <c r="N47" s="2662">
        <v>5.8000000000000003E-2</v>
      </c>
      <c r="O47" s="2662">
        <v>3.5000000000000003E-2</v>
      </c>
      <c r="P47" s="2663">
        <v>2.5000000000000001E-2</v>
      </c>
      <c r="Q47" s="2662">
        <v>0.05</v>
      </c>
      <c r="R47" s="2662">
        <v>3.1E-2</v>
      </c>
      <c r="S47" s="2672" t="s">
        <v>17959</v>
      </c>
      <c r="T47" s="2673" t="s">
        <v>17959</v>
      </c>
      <c r="U47" s="2666">
        <v>5.3</v>
      </c>
    </row>
    <row r="48" spans="2:21" x14ac:dyDescent="0.25">
      <c r="B48" s="2653" t="s">
        <v>18377</v>
      </c>
      <c r="C48" s="2654" t="s">
        <v>18911</v>
      </c>
      <c r="D48" s="2655">
        <v>7.0000000000000007E-2</v>
      </c>
      <c r="E48" s="2655">
        <v>9.5000000000000001E-2</v>
      </c>
      <c r="F48" s="2655">
        <v>7.8E-2</v>
      </c>
      <c r="G48" s="2656">
        <v>0.06</v>
      </c>
      <c r="H48" s="2655">
        <v>0.09</v>
      </c>
      <c r="I48" s="2655">
        <v>6.9000000000000006E-2</v>
      </c>
      <c r="J48" s="2656">
        <v>6.5000000000000002E-2</v>
      </c>
      <c r="K48" s="2655">
        <v>9.2999999999999999E-2</v>
      </c>
      <c r="L48" s="2655">
        <v>7.4999999999999997E-2</v>
      </c>
      <c r="M48" s="2656">
        <v>0</v>
      </c>
      <c r="N48" s="2655">
        <v>0.03</v>
      </c>
      <c r="O48" s="2655">
        <v>2.4E-2</v>
      </c>
      <c r="P48" s="2656">
        <v>2.5000000000000001E-2</v>
      </c>
      <c r="Q48" s="2655">
        <v>3.5000000000000003E-2</v>
      </c>
      <c r="R48" s="2655">
        <v>3.1E-2</v>
      </c>
      <c r="S48" s="2670" t="s">
        <v>17959</v>
      </c>
      <c r="T48" s="2671" t="s">
        <v>17959</v>
      </c>
      <c r="U48" s="2659">
        <v>8</v>
      </c>
    </row>
    <row r="49" spans="2:21" x14ac:dyDescent="0.25">
      <c r="B49" s="2660" t="s">
        <v>18378</v>
      </c>
      <c r="C49" s="2661" t="s">
        <v>18911</v>
      </c>
      <c r="D49" s="2662">
        <v>7.0000000000000007E-2</v>
      </c>
      <c r="E49" s="2662">
        <v>9.5000000000000001E-2</v>
      </c>
      <c r="F49" s="2662">
        <v>0.08</v>
      </c>
      <c r="G49" s="2663">
        <v>0.06</v>
      </c>
      <c r="H49" s="2662">
        <v>0.09</v>
      </c>
      <c r="I49" s="2662">
        <v>6.9000000000000006E-2</v>
      </c>
      <c r="J49" s="2663">
        <v>6.5000000000000002E-2</v>
      </c>
      <c r="K49" s="2662">
        <v>9.2999999999999999E-2</v>
      </c>
      <c r="L49" s="2662">
        <v>7.4999999999999997E-2</v>
      </c>
      <c r="M49" s="2663">
        <v>0</v>
      </c>
      <c r="N49" s="2662">
        <v>0.03</v>
      </c>
      <c r="O49" s="2662">
        <v>2.5000000000000001E-2</v>
      </c>
      <c r="P49" s="2663">
        <v>2.5000000000000001E-2</v>
      </c>
      <c r="Q49" s="2662">
        <v>3.5000000000000003E-2</v>
      </c>
      <c r="R49" s="2662">
        <v>3.1E-2</v>
      </c>
      <c r="S49" s="2672" t="s">
        <v>17959</v>
      </c>
      <c r="T49" s="2673" t="s">
        <v>17959</v>
      </c>
      <c r="U49" s="2666">
        <v>8.1</v>
      </c>
    </row>
    <row r="50" spans="2:21" x14ac:dyDescent="0.25">
      <c r="B50" s="2653" t="s">
        <v>17996</v>
      </c>
      <c r="C50" s="2654" t="s">
        <v>18911</v>
      </c>
      <c r="D50" s="2655">
        <v>0.08</v>
      </c>
      <c r="E50" s="2655">
        <v>0.1</v>
      </c>
      <c r="F50" s="2655">
        <v>8.7999999999999995E-2</v>
      </c>
      <c r="G50" s="2656">
        <v>0.06</v>
      </c>
      <c r="H50" s="2655">
        <v>8.5999999999999993E-2</v>
      </c>
      <c r="I50" s="2655">
        <v>7.6999999999999999E-2</v>
      </c>
      <c r="J50" s="2656">
        <v>6.5000000000000002E-2</v>
      </c>
      <c r="K50" s="2655">
        <v>9.0999999999999998E-2</v>
      </c>
      <c r="L50" s="2655">
        <v>8.2000000000000003E-2</v>
      </c>
      <c r="M50" s="2656">
        <v>-2.5000000000000001E-2</v>
      </c>
      <c r="N50" s="2655">
        <v>0.03</v>
      </c>
      <c r="O50" s="2655">
        <v>0.01</v>
      </c>
      <c r="P50" s="2656">
        <v>2.5000000000000001E-2</v>
      </c>
      <c r="Q50" s="2655">
        <v>0.05</v>
      </c>
      <c r="R50" s="2655">
        <v>3.4000000000000002E-2</v>
      </c>
      <c r="S50" s="2670" t="s">
        <v>17959</v>
      </c>
      <c r="T50" s="2671" t="s">
        <v>17959</v>
      </c>
      <c r="U50" s="2659">
        <v>10.9</v>
      </c>
    </row>
    <row r="51" spans="2:21" x14ac:dyDescent="0.25">
      <c r="B51" s="2660" t="s">
        <v>18379</v>
      </c>
      <c r="C51" s="2661" t="s">
        <v>18911</v>
      </c>
      <c r="D51" s="2662">
        <v>7.4999999999999997E-2</v>
      </c>
      <c r="E51" s="2662">
        <v>9.5000000000000001E-2</v>
      </c>
      <c r="F51" s="2662">
        <v>8.5999999999999993E-2</v>
      </c>
      <c r="G51" s="2663">
        <v>6.5000000000000002E-2</v>
      </c>
      <c r="H51" s="2662">
        <v>0.09</v>
      </c>
      <c r="I51" s="2662">
        <v>7.4999999999999997E-2</v>
      </c>
      <c r="J51" s="2663">
        <v>7.0000000000000007E-2</v>
      </c>
      <c r="K51" s="2662">
        <v>9.5000000000000001E-2</v>
      </c>
      <c r="L51" s="2662">
        <v>8.1000000000000003E-2</v>
      </c>
      <c r="M51" s="2663">
        <v>0.02</v>
      </c>
      <c r="N51" s="2662">
        <v>0.03</v>
      </c>
      <c r="O51" s="2662">
        <v>2.5999999999999999E-2</v>
      </c>
      <c r="P51" s="2663">
        <v>2.5000000000000001E-2</v>
      </c>
      <c r="Q51" s="2662">
        <v>0.05</v>
      </c>
      <c r="R51" s="2662">
        <v>3.2000000000000001E-2</v>
      </c>
      <c r="S51" s="2672" t="s">
        <v>17959</v>
      </c>
      <c r="T51" s="2673" t="s">
        <v>17959</v>
      </c>
      <c r="U51" s="2666">
        <v>9.4</v>
      </c>
    </row>
    <row r="52" spans="2:21" x14ac:dyDescent="0.25">
      <c r="B52" s="2674" t="s">
        <v>18380</v>
      </c>
      <c r="C52" s="2675" t="s">
        <v>18911</v>
      </c>
      <c r="D52" s="2676">
        <v>7.0000000000000007E-2</v>
      </c>
      <c r="E52" s="2676">
        <v>9.5000000000000001E-2</v>
      </c>
      <c r="F52" s="2676">
        <v>8.1000000000000003E-2</v>
      </c>
      <c r="G52" s="2677">
        <v>5.8000000000000003E-2</v>
      </c>
      <c r="H52" s="2676">
        <v>0.09</v>
      </c>
      <c r="I52" s="2676">
        <v>6.9000000000000006E-2</v>
      </c>
      <c r="J52" s="2677">
        <v>0.06</v>
      </c>
      <c r="K52" s="2676">
        <v>9.2999999999999999E-2</v>
      </c>
      <c r="L52" s="2676">
        <v>7.3999999999999996E-2</v>
      </c>
      <c r="M52" s="2677">
        <v>0.02</v>
      </c>
      <c r="N52" s="2676">
        <v>0.03</v>
      </c>
      <c r="O52" s="2676">
        <v>2.9000000000000001E-2</v>
      </c>
      <c r="P52" s="2677">
        <v>2.5000000000000001E-2</v>
      </c>
      <c r="Q52" s="2676">
        <v>0.05</v>
      </c>
      <c r="R52" s="2676">
        <v>3.2000000000000001E-2</v>
      </c>
      <c r="S52" s="2678" t="s">
        <v>17959</v>
      </c>
      <c r="T52" s="2679" t="s">
        <v>17959</v>
      </c>
      <c r="U52" s="2680">
        <v>7.8</v>
      </c>
    </row>
    <row r="53" spans="2:21" x14ac:dyDescent="0.25">
      <c r="B53" s="2681" t="s">
        <v>18544</v>
      </c>
      <c r="C53" s="2682" t="s">
        <v>18911</v>
      </c>
      <c r="D53" s="2683">
        <v>0.08</v>
      </c>
      <c r="E53" s="2683">
        <v>0.105</v>
      </c>
      <c r="F53" s="2683">
        <v>8.8999999999999996E-2</v>
      </c>
      <c r="G53" s="2684">
        <v>0.06</v>
      </c>
      <c r="H53" s="2683">
        <v>8.3000000000000004E-2</v>
      </c>
      <c r="I53" s="2683">
        <v>7.4999999999999997E-2</v>
      </c>
      <c r="J53" s="2684">
        <v>6.5000000000000002E-2</v>
      </c>
      <c r="K53" s="2683">
        <v>8.7999999999999995E-2</v>
      </c>
      <c r="L53" s="2683">
        <v>7.9000000000000001E-2</v>
      </c>
      <c r="M53" s="2684" t="s">
        <v>17959</v>
      </c>
      <c r="N53" s="2683" t="s">
        <v>17959</v>
      </c>
      <c r="O53" s="2683" t="s">
        <v>17959</v>
      </c>
      <c r="P53" s="2684" t="s">
        <v>17959</v>
      </c>
      <c r="Q53" s="2683" t="s">
        <v>17959</v>
      </c>
      <c r="R53" s="2683" t="s">
        <v>17959</v>
      </c>
      <c r="S53" s="2685" t="s">
        <v>17959</v>
      </c>
      <c r="T53" s="2686" t="s">
        <v>17959</v>
      </c>
      <c r="U53" s="2687" t="s">
        <v>17959</v>
      </c>
    </row>
    <row r="54" spans="2:21" x14ac:dyDescent="0.25">
      <c r="B54" s="2653" t="s">
        <v>18816</v>
      </c>
      <c r="C54" s="2654" t="s">
        <v>18911</v>
      </c>
      <c r="D54" s="2655">
        <v>8.3000000000000004E-2</v>
      </c>
      <c r="E54" s="2655">
        <v>0.11</v>
      </c>
      <c r="F54" s="2655">
        <v>9.8000000000000004E-2</v>
      </c>
      <c r="G54" s="2656">
        <v>6.3E-2</v>
      </c>
      <c r="H54" s="2655">
        <v>9.5000000000000001E-2</v>
      </c>
      <c r="I54" s="2655">
        <v>8.3000000000000004E-2</v>
      </c>
      <c r="J54" s="2656">
        <v>6.8000000000000005E-2</v>
      </c>
      <c r="K54" s="2655">
        <v>0.105</v>
      </c>
      <c r="L54" s="2655">
        <v>8.7999999999999995E-2</v>
      </c>
      <c r="M54" s="2656" t="s">
        <v>17959</v>
      </c>
      <c r="N54" s="2655" t="s">
        <v>17959</v>
      </c>
      <c r="O54" s="2655" t="s">
        <v>17959</v>
      </c>
      <c r="P54" s="2656" t="s">
        <v>17959</v>
      </c>
      <c r="Q54" s="2655" t="s">
        <v>17959</v>
      </c>
      <c r="R54" s="2655" t="s">
        <v>17959</v>
      </c>
      <c r="S54" s="2657" t="s">
        <v>17959</v>
      </c>
      <c r="T54" s="2658" t="s">
        <v>17959</v>
      </c>
      <c r="U54" s="2659" t="s">
        <v>17959</v>
      </c>
    </row>
    <row r="55" spans="2:21" x14ac:dyDescent="0.25">
      <c r="B55" s="2660" t="s">
        <v>18817</v>
      </c>
      <c r="C55" s="2661" t="s">
        <v>18911</v>
      </c>
      <c r="D55" s="2662">
        <v>9.4E-2</v>
      </c>
      <c r="E55" s="2662">
        <v>0.12</v>
      </c>
      <c r="F55" s="2662">
        <v>0.105</v>
      </c>
      <c r="G55" s="2663">
        <v>7.4999999999999997E-2</v>
      </c>
      <c r="H55" s="2662">
        <v>0.11</v>
      </c>
      <c r="I55" s="2662">
        <v>9.0999999999999998E-2</v>
      </c>
      <c r="J55" s="2663">
        <v>0.08</v>
      </c>
      <c r="K55" s="2662">
        <v>0.115</v>
      </c>
      <c r="L55" s="2662">
        <v>9.5000000000000001E-2</v>
      </c>
      <c r="M55" s="2663" t="s">
        <v>17959</v>
      </c>
      <c r="N55" s="2662" t="s">
        <v>17959</v>
      </c>
      <c r="O55" s="2662" t="s">
        <v>17959</v>
      </c>
      <c r="P55" s="2663" t="s">
        <v>17959</v>
      </c>
      <c r="Q55" s="2662" t="s">
        <v>17959</v>
      </c>
      <c r="R55" s="2662" t="s">
        <v>17959</v>
      </c>
      <c r="S55" s="2664" t="s">
        <v>17959</v>
      </c>
      <c r="T55" s="2665" t="s">
        <v>17959</v>
      </c>
      <c r="U55" s="2666" t="s">
        <v>17959</v>
      </c>
    </row>
    <row r="56" spans="2:21" x14ac:dyDescent="0.25">
      <c r="B56" s="2653" t="s">
        <v>18912</v>
      </c>
      <c r="C56" s="2654" t="s">
        <v>18911</v>
      </c>
      <c r="D56" s="2655" t="s">
        <v>17959</v>
      </c>
      <c r="E56" s="2655" t="s">
        <v>17959</v>
      </c>
      <c r="F56" s="2655">
        <v>0.08</v>
      </c>
      <c r="G56" s="2656" t="s">
        <v>17959</v>
      </c>
      <c r="H56" s="2655" t="s">
        <v>17959</v>
      </c>
      <c r="I56" s="2655">
        <v>6.7000000000000004E-2</v>
      </c>
      <c r="J56" s="2656" t="s">
        <v>17959</v>
      </c>
      <c r="K56" s="2655" t="s">
        <v>17959</v>
      </c>
      <c r="L56" s="2655">
        <v>7.0000000000000007E-2</v>
      </c>
      <c r="M56" s="2656" t="s">
        <v>17959</v>
      </c>
      <c r="N56" s="2655" t="s">
        <v>17959</v>
      </c>
      <c r="O56" s="2655" t="s">
        <v>17959</v>
      </c>
      <c r="P56" s="2656" t="s">
        <v>17959</v>
      </c>
      <c r="Q56" s="2655" t="s">
        <v>17959</v>
      </c>
      <c r="R56" s="2655" t="s">
        <v>17959</v>
      </c>
      <c r="S56" s="2657" t="s">
        <v>17959</v>
      </c>
      <c r="T56" s="2658" t="s">
        <v>17959</v>
      </c>
      <c r="U56" s="2659" t="s">
        <v>17959</v>
      </c>
    </row>
    <row r="57" spans="2:21" x14ac:dyDescent="0.25">
      <c r="B57" s="2660" t="s">
        <v>18913</v>
      </c>
      <c r="C57" s="2661" t="s">
        <v>18911</v>
      </c>
      <c r="D57" s="2662" t="s">
        <v>17959</v>
      </c>
      <c r="E57" s="2662" t="s">
        <v>17959</v>
      </c>
      <c r="F57" s="2662">
        <v>7.3999999999999996E-2</v>
      </c>
      <c r="G57" s="2663" t="s">
        <v>17959</v>
      </c>
      <c r="H57" s="2662" t="s">
        <v>17959</v>
      </c>
      <c r="I57" s="2662">
        <v>6.7000000000000004E-2</v>
      </c>
      <c r="J57" s="2663" t="s">
        <v>17959</v>
      </c>
      <c r="K57" s="2662" t="s">
        <v>17959</v>
      </c>
      <c r="L57" s="2662">
        <v>6.8000000000000005E-2</v>
      </c>
      <c r="M57" s="2663" t="s">
        <v>17959</v>
      </c>
      <c r="N57" s="2662" t="s">
        <v>17959</v>
      </c>
      <c r="O57" s="2662" t="s">
        <v>17959</v>
      </c>
      <c r="P57" s="2663" t="s">
        <v>17959</v>
      </c>
      <c r="Q57" s="2662" t="s">
        <v>17959</v>
      </c>
      <c r="R57" s="2662" t="s">
        <v>17959</v>
      </c>
      <c r="S57" s="2664" t="s">
        <v>17959</v>
      </c>
      <c r="T57" s="2665" t="s">
        <v>17959</v>
      </c>
      <c r="U57" s="2666" t="s">
        <v>17959</v>
      </c>
    </row>
    <row r="58" spans="2:21" x14ac:dyDescent="0.25">
      <c r="B58" s="2653" t="s">
        <v>18545</v>
      </c>
      <c r="C58" s="2654" t="s">
        <v>18911</v>
      </c>
      <c r="D58" s="2655" t="s">
        <v>17959</v>
      </c>
      <c r="E58" s="2655" t="s">
        <v>17959</v>
      </c>
      <c r="F58" s="2655">
        <v>7.9000000000000001E-2</v>
      </c>
      <c r="G58" s="2656" t="s">
        <v>17959</v>
      </c>
      <c r="H58" s="2655" t="s">
        <v>17959</v>
      </c>
      <c r="I58" s="2655">
        <v>6.7000000000000004E-2</v>
      </c>
      <c r="J58" s="2656" t="s">
        <v>17959</v>
      </c>
      <c r="K58" s="2655" t="s">
        <v>17959</v>
      </c>
      <c r="L58" s="2655">
        <v>7.0999999999999994E-2</v>
      </c>
      <c r="M58" s="2656" t="s">
        <v>17959</v>
      </c>
      <c r="N58" s="2655" t="s">
        <v>17959</v>
      </c>
      <c r="O58" s="2655" t="s">
        <v>17959</v>
      </c>
      <c r="P58" s="2656" t="s">
        <v>17959</v>
      </c>
      <c r="Q58" s="2655" t="s">
        <v>17959</v>
      </c>
      <c r="R58" s="2655" t="s">
        <v>17959</v>
      </c>
      <c r="S58" s="2657" t="s">
        <v>17959</v>
      </c>
      <c r="T58" s="2658" t="s">
        <v>17959</v>
      </c>
      <c r="U58" s="2659" t="s">
        <v>17959</v>
      </c>
    </row>
    <row r="59" spans="2:21" x14ac:dyDescent="0.25">
      <c r="B59" s="2660" t="s">
        <v>18381</v>
      </c>
      <c r="C59" s="2661" t="s">
        <v>18911</v>
      </c>
      <c r="D59" s="2662">
        <v>0.05</v>
      </c>
      <c r="E59" s="2662">
        <v>0.08</v>
      </c>
      <c r="F59" s="2662">
        <v>7.0000000000000007E-2</v>
      </c>
      <c r="G59" s="2663">
        <v>4.4999999999999998E-2</v>
      </c>
      <c r="H59" s="2662">
        <v>6.5000000000000002E-2</v>
      </c>
      <c r="I59" s="2662">
        <v>5.2999999999999999E-2</v>
      </c>
      <c r="J59" s="2663">
        <v>0.05</v>
      </c>
      <c r="K59" s="2662">
        <v>7.4999999999999997E-2</v>
      </c>
      <c r="L59" s="2662">
        <v>5.8000000000000003E-2</v>
      </c>
      <c r="M59" s="2663">
        <v>1.7000000000000001E-2</v>
      </c>
      <c r="N59" s="2662">
        <v>3.2000000000000001E-2</v>
      </c>
      <c r="O59" s="2662">
        <v>2.7E-2</v>
      </c>
      <c r="P59" s="2663">
        <v>0.02</v>
      </c>
      <c r="Q59" s="2662">
        <v>0.05</v>
      </c>
      <c r="R59" s="2662">
        <v>3.1E-2</v>
      </c>
      <c r="S59" s="2664" t="s">
        <v>17959</v>
      </c>
      <c r="T59" s="2665" t="s">
        <v>17959</v>
      </c>
      <c r="U59" s="2666">
        <v>4.4000000000000004</v>
      </c>
    </row>
    <row r="60" spans="2:21" x14ac:dyDescent="0.25">
      <c r="B60" s="2653" t="s">
        <v>18914</v>
      </c>
      <c r="C60" s="2654" t="s">
        <v>18911</v>
      </c>
      <c r="D60" s="2655" t="s">
        <v>17959</v>
      </c>
      <c r="E60" s="2655" t="s">
        <v>17959</v>
      </c>
      <c r="F60" s="2655">
        <v>7.4999999999999997E-2</v>
      </c>
      <c r="G60" s="2656" t="s">
        <v>17959</v>
      </c>
      <c r="H60" s="2655" t="s">
        <v>17959</v>
      </c>
      <c r="I60" s="2655">
        <v>5.7000000000000002E-2</v>
      </c>
      <c r="J60" s="2656" t="s">
        <v>17959</v>
      </c>
      <c r="K60" s="2655" t="s">
        <v>17959</v>
      </c>
      <c r="L60" s="2655">
        <v>6.3E-2</v>
      </c>
      <c r="M60" s="2656" t="s">
        <v>17959</v>
      </c>
      <c r="N60" s="2655" t="s">
        <v>17959</v>
      </c>
      <c r="O60" s="2655" t="s">
        <v>17959</v>
      </c>
      <c r="P60" s="2656" t="s">
        <v>17959</v>
      </c>
      <c r="Q60" s="2655" t="s">
        <v>17959</v>
      </c>
      <c r="R60" s="2655" t="s">
        <v>17959</v>
      </c>
      <c r="S60" s="2657" t="s">
        <v>17959</v>
      </c>
      <c r="T60" s="2658" t="s">
        <v>17959</v>
      </c>
      <c r="U60" s="2659" t="s">
        <v>17959</v>
      </c>
    </row>
    <row r="61" spans="2:21" x14ac:dyDescent="0.25">
      <c r="B61" s="2660" t="s">
        <v>18915</v>
      </c>
      <c r="C61" s="2661" t="s">
        <v>18911</v>
      </c>
      <c r="D61" s="2662" t="s">
        <v>17959</v>
      </c>
      <c r="E61" s="2662" t="s">
        <v>17959</v>
      </c>
      <c r="F61" s="2662">
        <v>7.5999999999999998E-2</v>
      </c>
      <c r="G61" s="2663" t="s">
        <v>17959</v>
      </c>
      <c r="H61" s="2662" t="s">
        <v>17959</v>
      </c>
      <c r="I61" s="2662">
        <v>6.0999999999999999E-2</v>
      </c>
      <c r="J61" s="2663" t="s">
        <v>17959</v>
      </c>
      <c r="K61" s="2662" t="s">
        <v>17959</v>
      </c>
      <c r="L61" s="2662">
        <v>6.2E-2</v>
      </c>
      <c r="M61" s="2663" t="s">
        <v>17959</v>
      </c>
      <c r="N61" s="2662" t="s">
        <v>17959</v>
      </c>
      <c r="O61" s="2662" t="s">
        <v>17959</v>
      </c>
      <c r="P61" s="2663" t="s">
        <v>17959</v>
      </c>
      <c r="Q61" s="2662" t="s">
        <v>17959</v>
      </c>
      <c r="R61" s="2662" t="s">
        <v>17959</v>
      </c>
      <c r="S61" s="2664" t="s">
        <v>17959</v>
      </c>
      <c r="T61" s="2665" t="s">
        <v>17959</v>
      </c>
      <c r="U61" s="2666" t="s">
        <v>17959</v>
      </c>
    </row>
    <row r="62" spans="2:21" x14ac:dyDescent="0.25">
      <c r="B62" s="2653" t="s">
        <v>18916</v>
      </c>
      <c r="C62" s="2654" t="s">
        <v>18911</v>
      </c>
      <c r="D62" s="2655" t="s">
        <v>17959</v>
      </c>
      <c r="E62" s="2655" t="s">
        <v>17959</v>
      </c>
      <c r="F62" s="2655">
        <v>6.8000000000000005E-2</v>
      </c>
      <c r="G62" s="2656" t="s">
        <v>17959</v>
      </c>
      <c r="H62" s="2655" t="s">
        <v>17959</v>
      </c>
      <c r="I62" s="2655">
        <v>5.6000000000000001E-2</v>
      </c>
      <c r="J62" s="2656" t="s">
        <v>17959</v>
      </c>
      <c r="K62" s="2655" t="s">
        <v>17959</v>
      </c>
      <c r="L62" s="2655">
        <v>5.8999999999999997E-2</v>
      </c>
      <c r="M62" s="2656" t="s">
        <v>17959</v>
      </c>
      <c r="N62" s="2655" t="s">
        <v>17959</v>
      </c>
      <c r="O62" s="2655" t="s">
        <v>17959</v>
      </c>
      <c r="P62" s="2656" t="s">
        <v>17959</v>
      </c>
      <c r="Q62" s="2655" t="s">
        <v>17959</v>
      </c>
      <c r="R62" s="2655" t="s">
        <v>17959</v>
      </c>
      <c r="S62" s="2657" t="s">
        <v>17959</v>
      </c>
      <c r="T62" s="2658" t="s">
        <v>17959</v>
      </c>
      <c r="U62" s="2659" t="s">
        <v>17959</v>
      </c>
    </row>
    <row r="63" spans="2:21" x14ac:dyDescent="0.25">
      <c r="B63" s="2660" t="s">
        <v>18382</v>
      </c>
      <c r="C63" s="2661" t="s">
        <v>18911</v>
      </c>
      <c r="D63" s="2662">
        <v>0.05</v>
      </c>
      <c r="E63" s="2662">
        <v>7.8E-2</v>
      </c>
      <c r="F63" s="2662">
        <v>7.3999999999999996E-2</v>
      </c>
      <c r="G63" s="2663">
        <v>0.05</v>
      </c>
      <c r="H63" s="2662">
        <v>6.2E-2</v>
      </c>
      <c r="I63" s="2662">
        <v>0.06</v>
      </c>
      <c r="J63" s="2663">
        <v>0.06</v>
      </c>
      <c r="K63" s="2662">
        <v>7.0000000000000007E-2</v>
      </c>
      <c r="L63" s="2662">
        <v>6.6000000000000003E-2</v>
      </c>
      <c r="M63" s="2663">
        <v>0.03</v>
      </c>
      <c r="N63" s="2662">
        <v>4.2000000000000003E-2</v>
      </c>
      <c r="O63" s="2662">
        <v>3.7999999999999999E-2</v>
      </c>
      <c r="P63" s="2663">
        <v>0.03</v>
      </c>
      <c r="Q63" s="2662">
        <v>3.9E-2</v>
      </c>
      <c r="R63" s="2662">
        <v>3.5999999999999997E-2</v>
      </c>
      <c r="S63" s="2664" t="s">
        <v>17959</v>
      </c>
      <c r="T63" s="2665" t="s">
        <v>17959</v>
      </c>
      <c r="U63" s="2666">
        <v>5.6</v>
      </c>
    </row>
    <row r="64" spans="2:21" x14ac:dyDescent="0.25">
      <c r="B64" s="2653" t="s">
        <v>18383</v>
      </c>
      <c r="C64" s="2654" t="s">
        <v>18911</v>
      </c>
      <c r="D64" s="2655">
        <v>8.5000000000000006E-2</v>
      </c>
      <c r="E64" s="2655">
        <v>0.1</v>
      </c>
      <c r="F64" s="2655">
        <v>9.5000000000000001E-2</v>
      </c>
      <c r="G64" s="2656">
        <v>7.0000000000000007E-2</v>
      </c>
      <c r="H64" s="2655">
        <v>0.09</v>
      </c>
      <c r="I64" s="2655">
        <v>8.1000000000000003E-2</v>
      </c>
      <c r="J64" s="2656">
        <v>7.1999999999999995E-2</v>
      </c>
      <c r="K64" s="2655">
        <v>9.5000000000000001E-2</v>
      </c>
      <c r="L64" s="2655">
        <v>8.4000000000000005E-2</v>
      </c>
      <c r="M64" s="2656">
        <v>2.8000000000000001E-2</v>
      </c>
      <c r="N64" s="2655">
        <v>6.5000000000000002E-2</v>
      </c>
      <c r="O64" s="2655">
        <v>0.04</v>
      </c>
      <c r="P64" s="2656">
        <v>0.03</v>
      </c>
      <c r="Q64" s="2655">
        <v>0.05</v>
      </c>
      <c r="R64" s="2655">
        <v>3.6999999999999998E-2</v>
      </c>
      <c r="S64" s="2657" t="s">
        <v>17959</v>
      </c>
      <c r="T64" s="2658" t="s">
        <v>17959</v>
      </c>
      <c r="U64" s="2659">
        <v>6</v>
      </c>
    </row>
    <row r="65" spans="2:24" x14ac:dyDescent="0.25">
      <c r="B65" s="2660" t="s">
        <v>18384</v>
      </c>
      <c r="C65" s="2661" t="s">
        <v>18911</v>
      </c>
      <c r="D65" s="2662">
        <v>0.05</v>
      </c>
      <c r="E65" s="2662">
        <v>0.11</v>
      </c>
      <c r="F65" s="2662">
        <v>8.2000000000000003E-2</v>
      </c>
      <c r="G65" s="2663">
        <v>4.4999999999999998E-2</v>
      </c>
      <c r="H65" s="2662">
        <v>0.1</v>
      </c>
      <c r="I65" s="2662">
        <v>6.9000000000000006E-2</v>
      </c>
      <c r="J65" s="2663">
        <v>0.05</v>
      </c>
      <c r="K65" s="2662">
        <v>0.1</v>
      </c>
      <c r="L65" s="2662">
        <v>7.3999999999999996E-2</v>
      </c>
      <c r="M65" s="2663">
        <v>-2.5000000000000001E-2</v>
      </c>
      <c r="N65" s="2662">
        <v>6.5000000000000002E-2</v>
      </c>
      <c r="O65" s="2662">
        <v>2.5999999999999999E-2</v>
      </c>
      <c r="P65" s="2663">
        <v>0.02</v>
      </c>
      <c r="Q65" s="2662">
        <v>0.05</v>
      </c>
      <c r="R65" s="2662">
        <v>3.3000000000000002E-2</v>
      </c>
      <c r="S65" s="2664" t="s">
        <v>17959</v>
      </c>
      <c r="T65" s="2665" t="s">
        <v>17959</v>
      </c>
      <c r="U65" s="2666">
        <v>7.8</v>
      </c>
    </row>
    <row r="66" spans="2:24" x14ac:dyDescent="0.25">
      <c r="B66" s="2653"/>
      <c r="C66" s="2654"/>
      <c r="D66" s="2655"/>
      <c r="E66" s="2655"/>
      <c r="F66" s="2655"/>
      <c r="G66" s="2656"/>
      <c r="H66" s="2655"/>
      <c r="I66" s="2655"/>
      <c r="J66" s="2656"/>
      <c r="K66" s="2655"/>
      <c r="L66" s="2655"/>
      <c r="M66" s="2656"/>
      <c r="N66" s="2655"/>
      <c r="O66" s="2655"/>
      <c r="P66" s="2656"/>
      <c r="Q66" s="2655"/>
      <c r="R66" s="2655"/>
      <c r="S66" s="2657"/>
      <c r="T66" s="2658"/>
      <c r="U66" s="2659"/>
    </row>
    <row r="68" spans="2:24" ht="21" customHeight="1" x14ac:dyDescent="0.25">
      <c r="B68" s="2347" t="s">
        <v>17960</v>
      </c>
      <c r="C68" s="2347"/>
      <c r="D68" s="2349" t="s">
        <v>17961</v>
      </c>
      <c r="E68" s="2350"/>
      <c r="F68" s="2351"/>
      <c r="G68" s="2349" t="s">
        <v>17962</v>
      </c>
      <c r="H68" s="2350"/>
      <c r="I68" s="2351"/>
    </row>
    <row r="69" spans="2:24" ht="21" customHeight="1" x14ac:dyDescent="0.25">
      <c r="B69" s="1755" t="s">
        <v>436</v>
      </c>
      <c r="C69" s="2352" t="s">
        <v>122</v>
      </c>
      <c r="D69" s="2353" t="s">
        <v>17940</v>
      </c>
      <c r="E69" s="2353" t="s">
        <v>17941</v>
      </c>
      <c r="F69" s="2353" t="s">
        <v>17942</v>
      </c>
      <c r="G69" s="2353" t="s">
        <v>17943</v>
      </c>
      <c r="H69" s="2353" t="s">
        <v>17944</v>
      </c>
      <c r="I69" s="2353" t="s">
        <v>17945</v>
      </c>
      <c r="J69" s="2354" t="s">
        <v>17963</v>
      </c>
      <c r="K69" s="2354" t="s">
        <v>17964</v>
      </c>
      <c r="L69" s="2354" t="s">
        <v>17965</v>
      </c>
      <c r="M69" s="2354" t="s">
        <v>17966</v>
      </c>
      <c r="N69" s="2354" t="s">
        <v>17967</v>
      </c>
      <c r="O69" s="2354" t="s">
        <v>17968</v>
      </c>
      <c r="P69" s="2354" t="s">
        <v>17969</v>
      </c>
      <c r="Q69" s="2354" t="s">
        <v>17970</v>
      </c>
      <c r="R69" s="2354" t="s">
        <v>17971</v>
      </c>
      <c r="S69" s="2354" t="s">
        <v>17972</v>
      </c>
      <c r="T69" s="2354" t="s">
        <v>17973</v>
      </c>
      <c r="U69" s="2354" t="s">
        <v>17974</v>
      </c>
      <c r="V69" s="2354" t="s">
        <v>17975</v>
      </c>
      <c r="W69" s="2354" t="s">
        <v>17976</v>
      </c>
      <c r="X69" s="2354" t="s">
        <v>17977</v>
      </c>
    </row>
    <row r="70" spans="2:24" x14ac:dyDescent="0.25">
      <c r="B70" t="s">
        <v>17997</v>
      </c>
      <c r="C70" s="2346" t="s">
        <v>18911</v>
      </c>
      <c r="D70" s="2355">
        <v>8.0199999999999994E-2</v>
      </c>
      <c r="E70" s="2355">
        <v>0.14050000000000001</v>
      </c>
      <c r="F70" s="2355">
        <v>0.1072</v>
      </c>
      <c r="G70" s="2355">
        <v>5.2600000000000001E-2</v>
      </c>
      <c r="H70" s="2355">
        <v>0.12039999999999999</v>
      </c>
      <c r="I70" s="2355">
        <v>8.3299999999999999E-2</v>
      </c>
      <c r="J70" s="2356">
        <v>15</v>
      </c>
      <c r="K70" s="2356">
        <v>40</v>
      </c>
      <c r="L70" s="2356">
        <v>26</v>
      </c>
      <c r="M70" s="2355">
        <v>0.55000000000000004</v>
      </c>
      <c r="N70" s="2355">
        <v>0.9</v>
      </c>
      <c r="O70" s="2355">
        <v>0.73</v>
      </c>
      <c r="P70" s="2355">
        <v>4.8899999999999999E-2</v>
      </c>
      <c r="Q70" s="2355">
        <v>8.9499999999999996E-2</v>
      </c>
      <c r="R70" s="2355">
        <v>6.9199999999999998E-2</v>
      </c>
      <c r="S70" s="2355">
        <v>4.6600000000000003E-2</v>
      </c>
      <c r="T70" s="2355">
        <v>0.1363</v>
      </c>
      <c r="U70" s="2355">
        <v>9.5899999999999999E-2</v>
      </c>
      <c r="V70" s="2357">
        <v>1</v>
      </c>
      <c r="W70" s="2357">
        <v>1.86</v>
      </c>
      <c r="X70" s="2358">
        <v>1.43</v>
      </c>
    </row>
    <row r="71" spans="2:24" x14ac:dyDescent="0.25">
      <c r="B71" s="2372" t="s">
        <v>17998</v>
      </c>
      <c r="C71" s="2346" t="s">
        <v>18911</v>
      </c>
      <c r="D71" s="2355">
        <v>8.0199999999999994E-2</v>
      </c>
      <c r="E71" s="2355">
        <v>0.13239999999999999</v>
      </c>
      <c r="F71" s="2355">
        <v>0.10199999999999999</v>
      </c>
      <c r="G71" s="2355">
        <v>5.2600000000000001E-2</v>
      </c>
      <c r="H71" s="2355">
        <v>0.1101</v>
      </c>
      <c r="I71" s="2355">
        <v>7.6600000000000001E-2</v>
      </c>
      <c r="J71" s="2356">
        <v>15</v>
      </c>
      <c r="K71" s="2356">
        <v>40</v>
      </c>
      <c r="L71" s="2356">
        <v>26</v>
      </c>
      <c r="M71" s="2355">
        <v>0.55000000000000004</v>
      </c>
      <c r="N71" s="2355">
        <v>0.9</v>
      </c>
      <c r="O71" s="2355">
        <v>0.73</v>
      </c>
      <c r="P71" s="2355">
        <v>4.8899999999999999E-2</v>
      </c>
      <c r="Q71" s="2355">
        <v>8.9499999999999996E-2</v>
      </c>
      <c r="R71" s="2355">
        <v>6.9199999999999998E-2</v>
      </c>
      <c r="S71" s="2355">
        <v>4.6600000000000003E-2</v>
      </c>
      <c r="T71" s="2355">
        <v>0.12429999999999999</v>
      </c>
      <c r="U71" s="2355">
        <v>8.1500000000000003E-2</v>
      </c>
      <c r="V71" s="2357">
        <v>1</v>
      </c>
      <c r="W71" s="2357">
        <v>1.86</v>
      </c>
      <c r="X71" s="2358">
        <v>1.43</v>
      </c>
    </row>
    <row r="72" spans="2:24" x14ac:dyDescent="0.25">
      <c r="B72" s="2372" t="s">
        <v>17999</v>
      </c>
      <c r="C72" s="2346" t="s">
        <v>18911</v>
      </c>
      <c r="D72" s="2355">
        <v>8.2299999999999998E-2</v>
      </c>
      <c r="E72" s="2355">
        <v>0.14050000000000001</v>
      </c>
      <c r="F72" s="2355">
        <v>0.1072</v>
      </c>
      <c r="G72" s="2355">
        <v>5.6800000000000003E-2</v>
      </c>
      <c r="H72" s="2355">
        <v>0.12039999999999999</v>
      </c>
      <c r="I72" s="2355">
        <v>8.4400000000000003E-2</v>
      </c>
      <c r="J72" s="2356">
        <v>15</v>
      </c>
      <c r="K72" s="2356">
        <v>40</v>
      </c>
      <c r="L72" s="2356">
        <v>26</v>
      </c>
      <c r="M72" s="2355">
        <v>0.55000000000000004</v>
      </c>
      <c r="N72" s="2355">
        <v>0.9</v>
      </c>
      <c r="O72" s="2355">
        <v>0.73</v>
      </c>
      <c r="P72" s="2355">
        <v>4.8899999999999999E-2</v>
      </c>
      <c r="Q72" s="2355">
        <v>8.9499999999999996E-2</v>
      </c>
      <c r="R72" s="2355">
        <v>6.9199999999999998E-2</v>
      </c>
      <c r="S72" s="2355">
        <v>4.6600000000000003E-2</v>
      </c>
      <c r="T72" s="2355">
        <v>0.1363</v>
      </c>
      <c r="U72" s="2355">
        <v>8.6900000000000005E-2</v>
      </c>
      <c r="V72" s="2357">
        <v>1</v>
      </c>
      <c r="W72" s="2357">
        <v>1.86</v>
      </c>
      <c r="X72" s="2358">
        <v>1.43</v>
      </c>
    </row>
    <row r="73" spans="2:24" x14ac:dyDescent="0.25">
      <c r="B73" s="2372" t="s">
        <v>18000</v>
      </c>
      <c r="C73" s="2346" t="s">
        <v>18911</v>
      </c>
      <c r="D73" s="2355">
        <v>8.0500000000000002E-2</v>
      </c>
      <c r="E73" s="2355">
        <v>0.13730000000000001</v>
      </c>
      <c r="F73" s="2355">
        <v>0.10970000000000001</v>
      </c>
      <c r="G73" s="2355">
        <v>5.4100000000000002E-2</v>
      </c>
      <c r="H73" s="2355">
        <v>0.1157</v>
      </c>
      <c r="I73" s="2355">
        <v>8.5800000000000001E-2</v>
      </c>
      <c r="J73" s="2356">
        <v>15</v>
      </c>
      <c r="K73" s="2356">
        <v>40</v>
      </c>
      <c r="L73" s="2356">
        <v>26</v>
      </c>
      <c r="M73" s="2355">
        <v>0.55000000000000004</v>
      </c>
      <c r="N73" s="2355">
        <v>0.9</v>
      </c>
      <c r="O73" s="2355">
        <v>0.73</v>
      </c>
      <c r="P73" s="2355">
        <v>4.8899999999999999E-2</v>
      </c>
      <c r="Q73" s="2355">
        <v>8.9499999999999996E-2</v>
      </c>
      <c r="R73" s="2355">
        <v>6.9199999999999998E-2</v>
      </c>
      <c r="S73" s="2355">
        <v>4.6600000000000003E-2</v>
      </c>
      <c r="T73" s="2355">
        <v>0.1303</v>
      </c>
      <c r="U73" s="2355">
        <v>8.4199999999999997E-2</v>
      </c>
      <c r="V73" s="2357">
        <v>1</v>
      </c>
      <c r="W73" s="2357">
        <v>1.86</v>
      </c>
      <c r="X73" s="2358">
        <v>1.43</v>
      </c>
    </row>
    <row r="74" spans="2:24" x14ac:dyDescent="0.25">
      <c r="B74" t="s">
        <v>18001</v>
      </c>
      <c r="C74" s="2346" t="s">
        <v>18911</v>
      </c>
      <c r="D74" s="2355">
        <v>8.9300000000000004E-2</v>
      </c>
      <c r="E74" s="2355">
        <v>0.1948</v>
      </c>
      <c r="F74" s="2355">
        <v>0.14430000000000001</v>
      </c>
      <c r="G74" s="2355">
        <v>6.3500000000000001E-2</v>
      </c>
      <c r="H74" s="2355">
        <v>0.1772</v>
      </c>
      <c r="I74" s="2355">
        <v>0.12139999999999999</v>
      </c>
      <c r="J74" s="2356">
        <v>15</v>
      </c>
      <c r="K74" s="2356">
        <v>40</v>
      </c>
      <c r="L74" s="2356">
        <v>23</v>
      </c>
      <c r="M74" s="2355">
        <v>0.5</v>
      </c>
      <c r="N74" s="2355">
        <v>0.8</v>
      </c>
      <c r="O74" s="2355">
        <v>0.67</v>
      </c>
      <c r="P74" s="2355">
        <v>5.45E-2</v>
      </c>
      <c r="Q74" s="2355">
        <v>0.1409</v>
      </c>
      <c r="R74" s="2355">
        <v>9.3100000000000002E-2</v>
      </c>
      <c r="S74" s="2355">
        <v>9.1600000000000001E-2</v>
      </c>
      <c r="T74" s="2355">
        <v>0.21640000000000001</v>
      </c>
      <c r="U74" s="2355">
        <v>0.16020000000000001</v>
      </c>
      <c r="V74" s="2357">
        <v>1.2</v>
      </c>
      <c r="W74" s="2357">
        <v>2.15</v>
      </c>
      <c r="X74" s="2358">
        <v>1.54</v>
      </c>
    </row>
    <row r="75" spans="2:24" x14ac:dyDescent="0.25">
      <c r="B75" s="2372" t="s">
        <v>18002</v>
      </c>
      <c r="C75" s="2346" t="s">
        <v>18911</v>
      </c>
      <c r="D75" s="2355">
        <v>0.1052</v>
      </c>
      <c r="E75" s="2355">
        <v>0.19259999999999999</v>
      </c>
      <c r="F75" s="2355">
        <v>0.14230000000000001</v>
      </c>
      <c r="G75" s="2355">
        <v>8.0799999999999997E-2</v>
      </c>
      <c r="H75" s="2355">
        <v>0.1719</v>
      </c>
      <c r="I75" s="2355">
        <v>0.11890000000000001</v>
      </c>
      <c r="J75" s="2356">
        <v>15</v>
      </c>
      <c r="K75" s="2356">
        <v>40</v>
      </c>
      <c r="L75" s="2356">
        <v>23</v>
      </c>
      <c r="M75" s="2355">
        <v>0.5</v>
      </c>
      <c r="N75" s="2355">
        <v>0.8</v>
      </c>
      <c r="O75" s="2355">
        <v>0.67</v>
      </c>
      <c r="P75" s="2355">
        <v>5.45E-2</v>
      </c>
      <c r="Q75" s="2355">
        <v>0.1409</v>
      </c>
      <c r="R75" s="2355">
        <v>9.3100000000000002E-2</v>
      </c>
      <c r="S75" s="2355">
        <v>9.1600000000000001E-2</v>
      </c>
      <c r="T75" s="2355">
        <v>0.2104</v>
      </c>
      <c r="U75" s="2355">
        <v>0.14510000000000001</v>
      </c>
      <c r="V75" s="2357">
        <v>1.2</v>
      </c>
      <c r="W75" s="2357">
        <v>2.15</v>
      </c>
      <c r="X75" s="2358">
        <v>1.54</v>
      </c>
    </row>
    <row r="76" spans="2:24" x14ac:dyDescent="0.25">
      <c r="B76" s="2372" t="s">
        <v>18003</v>
      </c>
      <c r="C76" s="2346" t="s">
        <v>18911</v>
      </c>
      <c r="D76" s="2355">
        <v>9.1800000000000007E-2</v>
      </c>
      <c r="E76" s="2355">
        <v>0.1948</v>
      </c>
      <c r="F76" s="2355">
        <v>0.14710000000000001</v>
      </c>
      <c r="G76" s="2355">
        <v>6.8699999999999997E-2</v>
      </c>
      <c r="H76" s="2355">
        <v>0.1772</v>
      </c>
      <c r="I76" s="2355">
        <v>0.12670000000000001</v>
      </c>
      <c r="J76" s="2356">
        <v>15</v>
      </c>
      <c r="K76" s="2356">
        <v>40</v>
      </c>
      <c r="L76" s="2356">
        <v>23</v>
      </c>
      <c r="M76" s="2355">
        <v>0.5</v>
      </c>
      <c r="N76" s="2355">
        <v>0.8</v>
      </c>
      <c r="O76" s="2355">
        <v>0.67</v>
      </c>
      <c r="P76" s="2355">
        <v>5.45E-2</v>
      </c>
      <c r="Q76" s="2355">
        <v>0.1409</v>
      </c>
      <c r="R76" s="2355">
        <v>9.3100000000000002E-2</v>
      </c>
      <c r="S76" s="2355">
        <v>9.1600000000000001E-2</v>
      </c>
      <c r="T76" s="2355">
        <v>0.21640000000000001</v>
      </c>
      <c r="U76" s="2355">
        <v>0.14779999999999999</v>
      </c>
      <c r="V76" s="2357">
        <v>1.2</v>
      </c>
      <c r="W76" s="2357">
        <v>2.15</v>
      </c>
      <c r="X76" s="2358">
        <v>1.54</v>
      </c>
    </row>
    <row r="77" spans="2:24" x14ac:dyDescent="0.25">
      <c r="B77" s="2372" t="s">
        <v>18004</v>
      </c>
      <c r="C77" s="2346" t="s">
        <v>18911</v>
      </c>
      <c r="D77" s="2355">
        <v>9.9299999999999999E-2</v>
      </c>
      <c r="E77" s="2355">
        <v>0.18160000000000001</v>
      </c>
      <c r="F77" s="2355">
        <v>0.1396</v>
      </c>
      <c r="G77" s="2355">
        <v>6.3500000000000001E-2</v>
      </c>
      <c r="H77" s="2355">
        <v>0.16159999999999999</v>
      </c>
      <c r="I77" s="2355">
        <v>0.1167</v>
      </c>
      <c r="J77" s="2356">
        <v>15</v>
      </c>
      <c r="K77" s="2356">
        <v>40</v>
      </c>
      <c r="L77" s="2356">
        <v>23</v>
      </c>
      <c r="M77" s="2355">
        <v>0.5</v>
      </c>
      <c r="N77" s="2355">
        <v>0.8</v>
      </c>
      <c r="O77" s="2355">
        <v>0.67</v>
      </c>
      <c r="P77" s="2355">
        <v>5.45E-2</v>
      </c>
      <c r="Q77" s="2355">
        <v>0.1409</v>
      </c>
      <c r="R77" s="2355">
        <v>9.3100000000000002E-2</v>
      </c>
      <c r="S77" s="2355">
        <v>9.1600000000000001E-2</v>
      </c>
      <c r="T77" s="2355">
        <v>0.2044</v>
      </c>
      <c r="U77" s="2355">
        <v>0.1424</v>
      </c>
      <c r="V77" s="2357">
        <v>1.2</v>
      </c>
      <c r="W77" s="2357">
        <v>2.15</v>
      </c>
      <c r="X77" s="2358">
        <v>1.54</v>
      </c>
    </row>
    <row r="78" spans="2:24" x14ac:dyDescent="0.25">
      <c r="B78" t="s">
        <v>18005</v>
      </c>
      <c r="C78" s="2346" t="s">
        <v>18911</v>
      </c>
      <c r="D78" s="2355">
        <v>8.5900000000000004E-2</v>
      </c>
      <c r="E78" s="2355">
        <v>0.1862</v>
      </c>
      <c r="F78" s="2355">
        <v>0.1111</v>
      </c>
      <c r="G78" s="2355">
        <v>5.8700000000000002E-2</v>
      </c>
      <c r="H78" s="2355">
        <v>0.159</v>
      </c>
      <c r="I78" s="2355">
        <v>8.77E-2</v>
      </c>
      <c r="J78" s="2356">
        <v>15</v>
      </c>
      <c r="K78" s="2356">
        <v>40</v>
      </c>
      <c r="L78" s="2356">
        <v>25</v>
      </c>
      <c r="M78" s="2355">
        <v>0.5</v>
      </c>
      <c r="N78" s="2355">
        <v>0.9</v>
      </c>
      <c r="O78" s="2355">
        <v>0.7</v>
      </c>
      <c r="P78" s="2355">
        <v>5.45E-2</v>
      </c>
      <c r="Q78" s="2355">
        <v>0.10249999999999999</v>
      </c>
      <c r="R78" s="2355">
        <v>7.5499999999999998E-2</v>
      </c>
      <c r="S78" s="2355">
        <v>7.1099999999999997E-2</v>
      </c>
      <c r="T78" s="2355">
        <v>0.16500000000000001</v>
      </c>
      <c r="U78" s="2355">
        <v>0.1227</v>
      </c>
      <c r="V78" s="2357">
        <v>1.05</v>
      </c>
      <c r="W78" s="2357">
        <v>2.25</v>
      </c>
      <c r="X78" s="2358">
        <v>1.48</v>
      </c>
    </row>
    <row r="79" spans="2:24" x14ac:dyDescent="0.25">
      <c r="B79" s="2372" t="s">
        <v>18045</v>
      </c>
      <c r="C79" s="2346" t="s">
        <v>18911</v>
      </c>
      <c r="D79" s="2355">
        <v>9.0999999999999998E-2</v>
      </c>
      <c r="E79" s="2355">
        <v>0.19539999999999999</v>
      </c>
      <c r="F79" s="2355">
        <v>0.1239</v>
      </c>
      <c r="G79" s="2355">
        <v>6.6000000000000003E-2</v>
      </c>
      <c r="H79" s="2355">
        <v>0.159</v>
      </c>
      <c r="I79" s="2355">
        <v>0.10299999999999999</v>
      </c>
      <c r="J79" s="2356">
        <v>15</v>
      </c>
      <c r="K79" s="2356">
        <v>40</v>
      </c>
      <c r="L79" s="2356">
        <v>25</v>
      </c>
      <c r="M79" s="2355">
        <v>0.5</v>
      </c>
      <c r="N79" s="2355">
        <v>0.9</v>
      </c>
      <c r="O79" s="2355">
        <v>0.7</v>
      </c>
      <c r="P79" s="2355">
        <v>5.45E-2</v>
      </c>
      <c r="Q79" s="2355">
        <v>0.10249999999999999</v>
      </c>
      <c r="R79" s="2355">
        <v>7.5499999999999998E-2</v>
      </c>
      <c r="S79" s="2355">
        <v>7.3099999999999998E-2</v>
      </c>
      <c r="T79" s="2355">
        <v>0.16500000000000001</v>
      </c>
      <c r="U79" s="2355">
        <v>0.1144</v>
      </c>
      <c r="V79" s="2357">
        <v>1.05</v>
      </c>
      <c r="W79" s="2357">
        <v>2.25</v>
      </c>
      <c r="X79" s="2358">
        <v>1.48</v>
      </c>
    </row>
    <row r="80" spans="2:24" x14ac:dyDescent="0.25">
      <c r="B80" s="2372" t="s">
        <v>18046</v>
      </c>
      <c r="C80" s="2346" t="s">
        <v>18911</v>
      </c>
      <c r="D80" s="2355">
        <v>8.5900000000000004E-2</v>
      </c>
      <c r="E80" s="2355">
        <v>0.14269999999999999</v>
      </c>
      <c r="F80" s="2355">
        <v>0.1012</v>
      </c>
      <c r="G80" s="2355">
        <v>5.8700000000000002E-2</v>
      </c>
      <c r="H80" s="2355">
        <v>0.11550000000000001</v>
      </c>
      <c r="I80" s="2355">
        <v>7.8200000000000006E-2</v>
      </c>
      <c r="J80" s="2356">
        <v>15</v>
      </c>
      <c r="K80" s="2356">
        <v>40</v>
      </c>
      <c r="L80" s="2356">
        <v>25</v>
      </c>
      <c r="M80" s="2355">
        <v>0.5</v>
      </c>
      <c r="N80" s="2355">
        <v>0.9</v>
      </c>
      <c r="O80" s="2355">
        <v>0.7</v>
      </c>
      <c r="P80" s="2355">
        <v>5.45E-2</v>
      </c>
      <c r="Q80" s="2355">
        <v>0.10249999999999999</v>
      </c>
      <c r="R80" s="2355">
        <v>7.5499999999999998E-2</v>
      </c>
      <c r="S80" s="2355">
        <v>7.1099999999999997E-2</v>
      </c>
      <c r="T80" s="2355">
        <v>0.153</v>
      </c>
      <c r="U80" s="2355">
        <v>0.1079</v>
      </c>
      <c r="V80" s="2357">
        <v>1.05</v>
      </c>
      <c r="W80" s="2357">
        <v>2.25</v>
      </c>
      <c r="X80" s="2358">
        <v>1.48</v>
      </c>
    </row>
    <row r="81" spans="2:24" x14ac:dyDescent="0.25">
      <c r="B81" s="2372" t="s">
        <v>18006</v>
      </c>
      <c r="C81" s="2346" t="s">
        <v>18911</v>
      </c>
      <c r="D81" s="2355">
        <v>9.01E-2</v>
      </c>
      <c r="E81" s="2355">
        <v>0.1555</v>
      </c>
      <c r="F81" s="2355">
        <v>0.1084</v>
      </c>
      <c r="G81" s="2355">
        <v>6.4100000000000004E-2</v>
      </c>
      <c r="H81" s="2355">
        <v>0.12939999999999999</v>
      </c>
      <c r="I81" s="2355">
        <v>8.6300000000000002E-2</v>
      </c>
      <c r="J81" s="2356">
        <v>15</v>
      </c>
      <c r="K81" s="2356">
        <v>40</v>
      </c>
      <c r="L81" s="2356">
        <v>25</v>
      </c>
      <c r="M81" s="2355">
        <v>0.5</v>
      </c>
      <c r="N81" s="2355">
        <v>0.9</v>
      </c>
      <c r="O81" s="2355">
        <v>0.7</v>
      </c>
      <c r="P81" s="2355">
        <v>5.45E-2</v>
      </c>
      <c r="Q81" s="2355">
        <v>0.10249999999999999</v>
      </c>
      <c r="R81" s="2355">
        <v>7.5499999999999998E-2</v>
      </c>
      <c r="S81" s="2355">
        <v>7.2099999999999997E-2</v>
      </c>
      <c r="T81" s="2355">
        <v>0.159</v>
      </c>
      <c r="U81" s="2355">
        <v>0.11119999999999999</v>
      </c>
      <c r="V81" s="2357">
        <v>1.05</v>
      </c>
      <c r="W81" s="2357">
        <v>2.25</v>
      </c>
      <c r="X81" s="2358">
        <v>1.48</v>
      </c>
    </row>
    <row r="82" spans="2:24" x14ac:dyDescent="0.25">
      <c r="B82" s="2372" t="s">
        <v>18007</v>
      </c>
      <c r="C82" s="2346" t="s">
        <v>18911</v>
      </c>
      <c r="D82" s="2355">
        <v>8.7900000000000006E-2</v>
      </c>
      <c r="E82" s="2355">
        <v>0.1467</v>
      </c>
      <c r="F82" s="2355">
        <v>0.1031</v>
      </c>
      <c r="G82" s="2355">
        <v>6.0900000000000003E-2</v>
      </c>
      <c r="H82" s="2355">
        <v>0.1197</v>
      </c>
      <c r="I82" s="2355">
        <v>8.0199999999999994E-2</v>
      </c>
      <c r="J82" s="2356">
        <v>15</v>
      </c>
      <c r="K82" s="2356">
        <v>40</v>
      </c>
      <c r="L82" s="2356">
        <v>25</v>
      </c>
      <c r="M82" s="2355">
        <v>0.5</v>
      </c>
      <c r="N82" s="2355">
        <v>0.9</v>
      </c>
      <c r="O82" s="2355">
        <v>0.7</v>
      </c>
      <c r="P82" s="2355">
        <v>5.45E-2</v>
      </c>
      <c r="Q82" s="2355">
        <v>0.10249999999999999</v>
      </c>
      <c r="R82" s="2355">
        <v>7.5499999999999998E-2</v>
      </c>
      <c r="S82" s="2355">
        <v>7.1599999999999997E-2</v>
      </c>
      <c r="T82" s="2355">
        <v>0.156</v>
      </c>
      <c r="U82" s="2355">
        <v>0.1096</v>
      </c>
      <c r="V82" s="2357">
        <v>1.05</v>
      </c>
      <c r="W82" s="2357">
        <v>2.25</v>
      </c>
      <c r="X82" s="2358">
        <v>1.48</v>
      </c>
    </row>
    <row r="83" spans="2:24" x14ac:dyDescent="0.25">
      <c r="B83" t="s">
        <v>18008</v>
      </c>
      <c r="C83" s="2346" t="s">
        <v>18911</v>
      </c>
      <c r="D83" s="2355">
        <v>8.14E-2</v>
      </c>
      <c r="E83" s="2355">
        <v>0.14480000000000001</v>
      </c>
      <c r="F83" s="2355">
        <v>0.11169999999999999</v>
      </c>
      <c r="G83" s="2355">
        <v>5.7500000000000002E-2</v>
      </c>
      <c r="H83" s="2355">
        <v>0.13150000000000001</v>
      </c>
      <c r="I83" s="2355">
        <v>9.4200000000000006E-2</v>
      </c>
      <c r="J83" s="2356">
        <v>15</v>
      </c>
      <c r="K83" s="2356">
        <v>40</v>
      </c>
      <c r="L83" s="2356">
        <v>25</v>
      </c>
      <c r="M83" s="2355">
        <v>0.5</v>
      </c>
      <c r="N83" s="2355">
        <v>0.8</v>
      </c>
      <c r="O83" s="2355">
        <v>0.7</v>
      </c>
      <c r="P83" s="2355">
        <v>5.2499999999999998E-2</v>
      </c>
      <c r="Q83" s="2355">
        <v>9.9500000000000005E-2</v>
      </c>
      <c r="R83" s="2355">
        <v>7.3400000000000007E-2</v>
      </c>
      <c r="S83" s="2355">
        <v>6.6600000000000006E-2</v>
      </c>
      <c r="T83" s="2355">
        <v>0.15110000000000001</v>
      </c>
      <c r="U83" s="2355">
        <v>0.11310000000000001</v>
      </c>
      <c r="V83" s="2357">
        <v>1.1000000000000001</v>
      </c>
      <c r="W83" s="2357">
        <v>2.0499999999999998</v>
      </c>
      <c r="X83" s="2358">
        <v>1.45</v>
      </c>
    </row>
    <row r="84" spans="2:24" x14ac:dyDescent="0.25">
      <c r="B84" s="2372" t="s">
        <v>18009</v>
      </c>
      <c r="C84" s="2346" t="s">
        <v>18911</v>
      </c>
      <c r="D84" s="2355">
        <v>8.14E-2</v>
      </c>
      <c r="E84" s="2355">
        <v>0.1288</v>
      </c>
      <c r="F84" s="2355">
        <v>0.1057</v>
      </c>
      <c r="G84" s="2355">
        <v>5.7500000000000002E-2</v>
      </c>
      <c r="H84" s="2355">
        <v>0.1149</v>
      </c>
      <c r="I84" s="2355">
        <v>8.4599999999999995E-2</v>
      </c>
      <c r="J84" s="2356">
        <v>15</v>
      </c>
      <c r="K84" s="2356">
        <v>40</v>
      </c>
      <c r="L84" s="2356">
        <v>25</v>
      </c>
      <c r="M84" s="2355">
        <v>0.5</v>
      </c>
      <c r="N84" s="2355">
        <v>0.8</v>
      </c>
      <c r="O84" s="2355">
        <v>0.7</v>
      </c>
      <c r="P84" s="2355">
        <v>5.2499999999999998E-2</v>
      </c>
      <c r="Q84" s="2355">
        <v>9.9500000000000005E-2</v>
      </c>
      <c r="R84" s="2355">
        <v>7.3400000000000007E-2</v>
      </c>
      <c r="S84" s="2355">
        <v>6.6600000000000006E-2</v>
      </c>
      <c r="T84" s="2355">
        <v>0.1391</v>
      </c>
      <c r="U84" s="2355">
        <v>9.9199999999999997E-2</v>
      </c>
      <c r="V84" s="2357">
        <v>1.1000000000000001</v>
      </c>
      <c r="W84" s="2357">
        <v>2.0499999999999998</v>
      </c>
      <c r="X84" s="2358">
        <v>1.45</v>
      </c>
    </row>
    <row r="85" spans="2:24" x14ac:dyDescent="0.25">
      <c r="B85" s="2372" t="s">
        <v>18010</v>
      </c>
      <c r="C85" s="2346" t="s">
        <v>18911</v>
      </c>
      <c r="D85" s="2355">
        <v>8.5500000000000007E-2</v>
      </c>
      <c r="E85" s="2355">
        <v>0.14448</v>
      </c>
      <c r="F85" s="2355">
        <v>0.1133</v>
      </c>
      <c r="G85" s="2355">
        <v>6.4000000000000001E-2</v>
      </c>
      <c r="H85" s="2355">
        <v>0.13150000000000001</v>
      </c>
      <c r="I85" s="2355">
        <v>9.5799999999999996E-2</v>
      </c>
      <c r="J85" s="2356">
        <v>15</v>
      </c>
      <c r="K85" s="2356">
        <v>40</v>
      </c>
      <c r="L85" s="2356">
        <v>25</v>
      </c>
      <c r="M85" s="2355">
        <v>0.5</v>
      </c>
      <c r="N85" s="2355">
        <v>0.8</v>
      </c>
      <c r="O85" s="2355">
        <v>0.7</v>
      </c>
      <c r="P85" s="2355">
        <v>5.2499999999999998E-2</v>
      </c>
      <c r="Q85" s="2355">
        <v>9.9500000000000005E-2</v>
      </c>
      <c r="R85" s="2355">
        <v>7.3400000000000007E-2</v>
      </c>
      <c r="S85" s="2355">
        <v>6.8599999999999994E-2</v>
      </c>
      <c r="T85" s="2355">
        <v>0.15110000000000001</v>
      </c>
      <c r="U85" s="2355">
        <v>0.1057</v>
      </c>
      <c r="V85" s="2357">
        <v>1.1000000000000001</v>
      </c>
      <c r="W85" s="2357">
        <v>2.0499999999999998</v>
      </c>
      <c r="X85" s="2358">
        <v>1.45</v>
      </c>
    </row>
    <row r="86" spans="2:24" x14ac:dyDescent="0.25">
      <c r="B86" s="2372" t="s">
        <v>18011</v>
      </c>
      <c r="C86" s="2346" t="s">
        <v>18911</v>
      </c>
      <c r="D86" s="2355">
        <v>8.1699999999999995E-2</v>
      </c>
      <c r="E86" s="2355">
        <v>0.13930000000000001</v>
      </c>
      <c r="F86" s="2355">
        <v>0.1048</v>
      </c>
      <c r="G86" s="2355">
        <v>6.0900000000000003E-2</v>
      </c>
      <c r="H86" s="2355">
        <v>0.1244</v>
      </c>
      <c r="I86" s="2355">
        <v>8.6699999999999999E-2</v>
      </c>
      <c r="J86" s="2356">
        <v>15</v>
      </c>
      <c r="K86" s="2356">
        <v>40</v>
      </c>
      <c r="L86" s="2356">
        <v>25</v>
      </c>
      <c r="M86" s="2355">
        <v>0.5</v>
      </c>
      <c r="N86" s="2355">
        <v>0.8</v>
      </c>
      <c r="O86" s="2355">
        <v>0.7</v>
      </c>
      <c r="P86" s="2355">
        <v>5.2499999999999998E-2</v>
      </c>
      <c r="Q86" s="2355">
        <v>9.9500000000000005E-2</v>
      </c>
      <c r="R86" s="2355">
        <v>7.3400000000000007E-2</v>
      </c>
      <c r="S86" s="2355">
        <v>6.7599999999999993E-2</v>
      </c>
      <c r="T86" s="2355">
        <v>0.14510000000000001</v>
      </c>
      <c r="U86" s="2355">
        <v>0.10249999999999999</v>
      </c>
      <c r="V86" s="2357">
        <v>1.1000000000000001</v>
      </c>
      <c r="W86" s="2357">
        <v>2.0499999999999998</v>
      </c>
      <c r="X86" s="2358">
        <v>1.45</v>
      </c>
    </row>
    <row r="87" spans="2:24" x14ac:dyDescent="0.25">
      <c r="B87" t="s">
        <v>18012</v>
      </c>
      <c r="C87" s="2346" t="s">
        <v>18911</v>
      </c>
      <c r="D87" s="2355">
        <v>8.4000000000000005E-2</v>
      </c>
      <c r="E87" s="2355">
        <v>0.16830000000000001</v>
      </c>
      <c r="F87" s="2355">
        <v>0.1249</v>
      </c>
      <c r="G87" s="2355">
        <v>5.9799999999999999E-2</v>
      </c>
      <c r="H87" s="2355">
        <v>0.1628</v>
      </c>
      <c r="I87" s="2355">
        <v>0.10639999999999999</v>
      </c>
      <c r="J87" s="2356">
        <v>15</v>
      </c>
      <c r="K87" s="2356">
        <v>40</v>
      </c>
      <c r="L87" s="2356">
        <v>22</v>
      </c>
      <c r="M87" s="2355">
        <v>0.5</v>
      </c>
      <c r="N87" s="2355">
        <v>0.8</v>
      </c>
      <c r="O87" s="2355">
        <v>0.67</v>
      </c>
      <c r="P87" s="2355">
        <v>5.3900000000000003E-2</v>
      </c>
      <c r="Q87" s="2355">
        <v>0.14019999999999999</v>
      </c>
      <c r="R87" s="2355">
        <v>7.6300000000000007E-2</v>
      </c>
      <c r="S87" s="2355">
        <v>7.3999999999999996E-2</v>
      </c>
      <c r="T87" s="2355">
        <v>0.18629999999999999</v>
      </c>
      <c r="U87" s="2355">
        <v>0.1358</v>
      </c>
      <c r="V87" s="2357">
        <v>1.05</v>
      </c>
      <c r="W87" s="2357">
        <v>2.85</v>
      </c>
      <c r="X87" s="2358">
        <v>1.54</v>
      </c>
    </row>
    <row r="88" spans="2:24" x14ac:dyDescent="0.25">
      <c r="B88" s="2372" t="s">
        <v>18013</v>
      </c>
      <c r="C88" s="2346" t="s">
        <v>18911</v>
      </c>
      <c r="D88" s="2355">
        <v>8.4000000000000005E-2</v>
      </c>
      <c r="E88" s="2355">
        <v>0.14649999999999999</v>
      </c>
      <c r="F88" s="2355">
        <v>0.1265</v>
      </c>
      <c r="G88" s="2355">
        <v>5.9799999999999999E-2</v>
      </c>
      <c r="H88" s="2355">
        <v>0.13800000000000001</v>
      </c>
      <c r="I88" s="2355">
        <v>0.1061</v>
      </c>
      <c r="J88" s="2356">
        <v>15</v>
      </c>
      <c r="K88" s="2356">
        <v>40</v>
      </c>
      <c r="L88" s="2356">
        <v>22</v>
      </c>
      <c r="M88" s="2355">
        <v>0.5</v>
      </c>
      <c r="N88" s="2355">
        <v>0.8</v>
      </c>
      <c r="O88" s="2355">
        <v>0.67</v>
      </c>
      <c r="P88" s="2355">
        <v>5.3900000000000003E-2</v>
      </c>
      <c r="Q88" s="2355">
        <v>0.14019999999999999</v>
      </c>
      <c r="R88" s="2355">
        <v>7.6300000000000007E-2</v>
      </c>
      <c r="S88" s="2355">
        <v>7.3999999999999996E-2</v>
      </c>
      <c r="T88" s="2355">
        <v>0.17430000000000001</v>
      </c>
      <c r="U88" s="2355">
        <v>0.1191</v>
      </c>
      <c r="V88" s="2357">
        <v>1.05</v>
      </c>
      <c r="W88" s="2357">
        <v>2.85</v>
      </c>
      <c r="X88" s="2358">
        <v>1.54</v>
      </c>
    </row>
    <row r="89" spans="2:24" x14ac:dyDescent="0.25">
      <c r="B89" s="2372" t="s">
        <v>18014</v>
      </c>
      <c r="C89" s="2346" t="s">
        <v>18911</v>
      </c>
      <c r="D89" s="2355">
        <v>8.8900000000000007E-2</v>
      </c>
      <c r="E89" s="2355">
        <v>0.16830000000000001</v>
      </c>
      <c r="F89" s="2355">
        <v>0.1268</v>
      </c>
      <c r="G89" s="2355">
        <v>6.7000000000000004E-2</v>
      </c>
      <c r="H89" s="2355">
        <v>0.1628</v>
      </c>
      <c r="I89" s="2355">
        <v>0.1082</v>
      </c>
      <c r="J89" s="2356">
        <v>15</v>
      </c>
      <c r="K89" s="2356">
        <v>40</v>
      </c>
      <c r="L89" s="2356">
        <v>22</v>
      </c>
      <c r="M89" s="2355">
        <v>0.5</v>
      </c>
      <c r="N89" s="2355">
        <v>0.8</v>
      </c>
      <c r="O89" s="2355">
        <v>0.67</v>
      </c>
      <c r="P89" s="2355">
        <v>5.3900000000000003E-2</v>
      </c>
      <c r="Q89" s="2355">
        <v>0.14019999999999999</v>
      </c>
      <c r="R89" s="2355">
        <v>7.6300000000000007E-2</v>
      </c>
      <c r="S89" s="2355">
        <v>7.5999999999999998E-2</v>
      </c>
      <c r="T89" s="2355">
        <v>0.18629999999999999</v>
      </c>
      <c r="U89" s="2355">
        <v>0.12559999999999999</v>
      </c>
      <c r="V89" s="2357">
        <v>1.05</v>
      </c>
      <c r="W89" s="2357">
        <v>2.85</v>
      </c>
      <c r="X89" s="2358">
        <v>1.54</v>
      </c>
    </row>
    <row r="90" spans="2:24" x14ac:dyDescent="0.25">
      <c r="B90" s="2372" t="s">
        <v>18015</v>
      </c>
      <c r="C90" s="2346" t="s">
        <v>18911</v>
      </c>
      <c r="D90" s="2355">
        <v>8.5599999999999996E-2</v>
      </c>
      <c r="E90" s="2355">
        <v>0.1595</v>
      </c>
      <c r="F90" s="2355">
        <v>0.1174</v>
      </c>
      <c r="G90" s="2355">
        <v>6.6299999999999998E-2</v>
      </c>
      <c r="H90" s="2355">
        <v>0.15229999999999999</v>
      </c>
      <c r="I90" s="2355">
        <v>9.9000000000000005E-2</v>
      </c>
      <c r="J90" s="2356">
        <v>15</v>
      </c>
      <c r="K90" s="2356">
        <v>40</v>
      </c>
      <c r="L90" s="2356">
        <v>22</v>
      </c>
      <c r="M90" s="2355">
        <v>0.5</v>
      </c>
      <c r="N90" s="2355">
        <v>0.8</v>
      </c>
      <c r="O90" s="2355">
        <v>0.67</v>
      </c>
      <c r="P90" s="2355">
        <v>5.3900000000000003E-2</v>
      </c>
      <c r="Q90" s="2355">
        <v>0.14019999999999999</v>
      </c>
      <c r="R90" s="2355">
        <v>7.6300000000000007E-2</v>
      </c>
      <c r="S90" s="2355">
        <v>7.4999999999999997E-2</v>
      </c>
      <c r="T90" s="2355">
        <v>0.18029999999999999</v>
      </c>
      <c r="U90" s="2355">
        <v>0.12239999999999999</v>
      </c>
      <c r="V90" s="2357">
        <v>1.05</v>
      </c>
      <c r="W90" s="2357">
        <v>2.85</v>
      </c>
      <c r="X90" s="2358">
        <v>1.54</v>
      </c>
    </row>
    <row r="91" spans="2:24" x14ac:dyDescent="0.25">
      <c r="B91" t="s">
        <v>18016</v>
      </c>
      <c r="C91" s="2346" t="s">
        <v>18911</v>
      </c>
      <c r="D91" s="2355">
        <v>8.0199999999999994E-2</v>
      </c>
      <c r="E91" s="2355">
        <v>0.15840000000000001</v>
      </c>
      <c r="F91" s="2355">
        <v>0.1154</v>
      </c>
      <c r="G91" s="2355">
        <v>5.9400000000000001E-2</v>
      </c>
      <c r="H91" s="2355">
        <v>0.15160000000000001</v>
      </c>
      <c r="I91" s="2355">
        <v>9.9299999999999999E-2</v>
      </c>
      <c r="J91" s="2356">
        <v>15</v>
      </c>
      <c r="K91" s="2356">
        <v>40</v>
      </c>
      <c r="L91" s="2356">
        <v>26</v>
      </c>
      <c r="M91" s="2355">
        <v>0.5</v>
      </c>
      <c r="N91" s="2355">
        <v>0.8</v>
      </c>
      <c r="O91" s="2355">
        <v>0.69</v>
      </c>
      <c r="P91" s="2355">
        <v>5.2900000000000003E-2</v>
      </c>
      <c r="Q91" s="2355">
        <v>0.1265</v>
      </c>
      <c r="R91" s="2355">
        <v>8.1900000000000001E-2</v>
      </c>
      <c r="S91" s="2355">
        <v>7.5200000000000003E-2</v>
      </c>
      <c r="T91" s="2355">
        <v>0.1736</v>
      </c>
      <c r="U91" s="2355">
        <v>0.1293</v>
      </c>
      <c r="V91" s="2357">
        <v>1.1000000000000001</v>
      </c>
      <c r="W91" s="2357">
        <v>2.0499999999999998</v>
      </c>
      <c r="X91" s="2358">
        <v>1.35</v>
      </c>
    </row>
    <row r="92" spans="2:24" x14ac:dyDescent="0.25">
      <c r="B92" s="2372" t="s">
        <v>18017</v>
      </c>
      <c r="C92" s="2346" t="s">
        <v>18911</v>
      </c>
      <c r="D92" s="2355">
        <v>8.3099999999999993E-2</v>
      </c>
      <c r="E92" s="2355">
        <v>0.15840000000000001</v>
      </c>
      <c r="F92" s="2355">
        <v>0.11840000000000001</v>
      </c>
      <c r="G92" s="2355">
        <v>6.4699999999999994E-2</v>
      </c>
      <c r="H92" s="2355">
        <v>0.15160000000000001</v>
      </c>
      <c r="I92" s="2355">
        <v>0.1056</v>
      </c>
      <c r="J92" s="2356">
        <v>15</v>
      </c>
      <c r="K92" s="2356">
        <v>40</v>
      </c>
      <c r="L92" s="2356">
        <v>26</v>
      </c>
      <c r="M92" s="2355">
        <v>0.5</v>
      </c>
      <c r="N92" s="2355">
        <v>0.8</v>
      </c>
      <c r="O92" s="2355">
        <v>0.69</v>
      </c>
      <c r="P92" s="2355">
        <v>5.2900000000000003E-2</v>
      </c>
      <c r="Q92" s="2355">
        <v>0.1265</v>
      </c>
      <c r="R92" s="2355">
        <v>8.1900000000000001E-2</v>
      </c>
      <c r="S92" s="2355">
        <v>7.5200000000000003E-2</v>
      </c>
      <c r="T92" s="2355">
        <v>0.16159999999999999</v>
      </c>
      <c r="U92" s="2355">
        <v>0.11409999999999999</v>
      </c>
      <c r="V92" s="2357">
        <v>1.1000000000000001</v>
      </c>
      <c r="W92" s="2357">
        <v>2.0499999999999998</v>
      </c>
      <c r="X92" s="2358">
        <v>1.35</v>
      </c>
    </row>
    <row r="93" spans="2:24" x14ac:dyDescent="0.25">
      <c r="B93" s="2372" t="s">
        <v>18018</v>
      </c>
      <c r="C93" s="2346" t="s">
        <v>18911</v>
      </c>
      <c r="D93" s="2355">
        <v>8.0199999999999994E-2</v>
      </c>
      <c r="E93" s="2355">
        <v>0.14610000000000001</v>
      </c>
      <c r="F93" s="2355">
        <v>0.10979999999999999</v>
      </c>
      <c r="G93" s="2355">
        <v>5.9400000000000001E-2</v>
      </c>
      <c r="H93" s="2355">
        <v>0.13619999999999999</v>
      </c>
      <c r="I93" s="2355">
        <v>9.4200000000000006E-2</v>
      </c>
      <c r="J93" s="2356">
        <v>15</v>
      </c>
      <c r="K93" s="2356">
        <v>40</v>
      </c>
      <c r="L93" s="2356">
        <v>26</v>
      </c>
      <c r="M93" s="2355">
        <v>0.5</v>
      </c>
      <c r="N93" s="2355">
        <v>0.8</v>
      </c>
      <c r="O93" s="2355">
        <v>0.69</v>
      </c>
      <c r="P93" s="2355">
        <v>5.2900000000000003E-2</v>
      </c>
      <c r="Q93" s="2355">
        <v>0.1265</v>
      </c>
      <c r="R93" s="2355">
        <v>8.1900000000000001E-2</v>
      </c>
      <c r="S93" s="2355">
        <v>7.6200000000000004E-2</v>
      </c>
      <c r="T93" s="2355">
        <v>0.1676</v>
      </c>
      <c r="U93" s="2355">
        <v>0.1173</v>
      </c>
      <c r="V93" s="2357">
        <v>1.1000000000000001</v>
      </c>
      <c r="W93" s="2357">
        <v>2.0499999999999998</v>
      </c>
      <c r="X93" s="2358">
        <v>1.35</v>
      </c>
    </row>
    <row r="94" spans="2:24" x14ac:dyDescent="0.25">
      <c r="B94" s="2372" t="s">
        <v>18019</v>
      </c>
      <c r="C94" s="2346" t="s">
        <v>18911</v>
      </c>
      <c r="D94" s="2355">
        <v>8.2299999999999998E-2</v>
      </c>
      <c r="E94" s="2355">
        <v>0.14549999999999999</v>
      </c>
      <c r="F94" s="2355">
        <v>0.11310000000000001</v>
      </c>
      <c r="G94" s="2355">
        <v>6.3500000000000001E-2</v>
      </c>
      <c r="H94" s="2355">
        <v>0.13650000000000001</v>
      </c>
      <c r="I94" s="2355">
        <v>9.8400000000000001E-2</v>
      </c>
      <c r="J94" s="2356">
        <v>15</v>
      </c>
      <c r="K94" s="2356">
        <v>40</v>
      </c>
      <c r="L94" s="2356">
        <v>26</v>
      </c>
      <c r="M94" s="2355">
        <v>0.5</v>
      </c>
      <c r="N94" s="2355">
        <v>0.8</v>
      </c>
      <c r="O94" s="2355">
        <v>0.69</v>
      </c>
      <c r="P94" s="2355">
        <v>5.2900000000000003E-2</v>
      </c>
      <c r="Q94" s="2355">
        <v>0.1265</v>
      </c>
      <c r="R94" s="2355">
        <v>8.1900000000000001E-2</v>
      </c>
      <c r="S94" s="2355">
        <v>7.7200000000000005E-2</v>
      </c>
      <c r="T94" s="2355">
        <v>0.1736</v>
      </c>
      <c r="U94" s="2355">
        <v>0.1206</v>
      </c>
      <c r="V94" s="2357">
        <v>1.1000000000000001</v>
      </c>
      <c r="W94" s="2357">
        <v>2.0499999999999998</v>
      </c>
      <c r="X94" s="2358">
        <v>1.35</v>
      </c>
    </row>
    <row r="95" spans="2:24" x14ac:dyDescent="0.25">
      <c r="B95" t="s">
        <v>18020</v>
      </c>
      <c r="C95" s="2346" t="s">
        <v>18911</v>
      </c>
      <c r="D95" s="2355">
        <v>8.5400000000000004E-2</v>
      </c>
      <c r="E95" s="2355">
        <v>0.15</v>
      </c>
      <c r="F95" s="2355">
        <v>0.1144</v>
      </c>
      <c r="G95" s="2355">
        <v>5.8599999999999999E-2</v>
      </c>
      <c r="H95" s="2355">
        <v>0.13239999999999999</v>
      </c>
      <c r="I95" s="2355">
        <v>9.2200000000000004E-2</v>
      </c>
      <c r="J95" s="2356">
        <v>15</v>
      </c>
      <c r="K95" s="2356">
        <v>40</v>
      </c>
      <c r="L95" s="2356">
        <v>30</v>
      </c>
      <c r="M95" s="2355">
        <v>0.5</v>
      </c>
      <c r="N95" s="2355">
        <v>0.8</v>
      </c>
      <c r="O95" s="2355">
        <v>0.68</v>
      </c>
      <c r="P95" s="2355">
        <v>5.2699999999999997E-2</v>
      </c>
      <c r="Q95" s="2355">
        <v>9.8199999999999996E-2</v>
      </c>
      <c r="R95" s="2355">
        <v>7.0499999999999993E-2</v>
      </c>
      <c r="S95" s="2355">
        <v>7.1800000000000003E-2</v>
      </c>
      <c r="T95" s="2355">
        <v>0.154</v>
      </c>
      <c r="U95" s="2355">
        <v>0.11700000000000001</v>
      </c>
      <c r="V95" s="2357">
        <v>1.1000000000000001</v>
      </c>
      <c r="W95" s="2357">
        <v>2.15</v>
      </c>
      <c r="X95" s="2358">
        <v>1.63</v>
      </c>
    </row>
    <row r="96" spans="2:24" x14ac:dyDescent="0.25">
      <c r="B96" s="2372" t="s">
        <v>18021</v>
      </c>
      <c r="C96" s="2346" t="s">
        <v>18911</v>
      </c>
      <c r="D96" s="2355">
        <v>8.5400000000000004E-2</v>
      </c>
      <c r="E96" s="2355">
        <v>0.14050000000000001</v>
      </c>
      <c r="F96" s="2355">
        <v>0.10920000000000001</v>
      </c>
      <c r="G96" s="2355">
        <v>5.8599999999999999E-2</v>
      </c>
      <c r="H96" s="2355">
        <v>0.1207</v>
      </c>
      <c r="I96" s="2355">
        <v>8.5999999999999993E-2</v>
      </c>
      <c r="J96" s="2356">
        <v>15</v>
      </c>
      <c r="K96" s="2356">
        <v>40</v>
      </c>
      <c r="L96" s="2356">
        <v>30</v>
      </c>
      <c r="M96" s="2355">
        <v>0.5</v>
      </c>
      <c r="N96" s="2355">
        <v>0.8</v>
      </c>
      <c r="O96" s="2355">
        <v>0.68</v>
      </c>
      <c r="P96" s="2355">
        <v>5.2699999999999997E-2</v>
      </c>
      <c r="Q96" s="2355">
        <v>9.8199999999999996E-2</v>
      </c>
      <c r="R96" s="2355">
        <v>7.0499999999999993E-2</v>
      </c>
      <c r="S96" s="2355">
        <v>7.1800000000000003E-2</v>
      </c>
      <c r="T96" s="2355">
        <v>0.14199999999999999</v>
      </c>
      <c r="U96" s="2355">
        <v>0.10340000000000001</v>
      </c>
      <c r="V96" s="2357">
        <v>1.1000000000000001</v>
      </c>
      <c r="W96" s="2357">
        <v>2.15</v>
      </c>
      <c r="X96" s="2358">
        <v>1.63</v>
      </c>
    </row>
    <row r="97" spans="2:24" x14ac:dyDescent="0.25">
      <c r="B97" s="2372" t="s">
        <v>18022</v>
      </c>
      <c r="C97" s="2346" t="s">
        <v>18911</v>
      </c>
      <c r="D97" s="2355">
        <v>9.0300000000000005E-2</v>
      </c>
      <c r="E97" s="2355">
        <v>0.15</v>
      </c>
      <c r="F97" s="2355">
        <v>0.11509999999999999</v>
      </c>
      <c r="G97" s="2355">
        <v>6.5799999999999997E-2</v>
      </c>
      <c r="H97" s="2355">
        <v>0.13239999999999999</v>
      </c>
      <c r="I97" s="2355">
        <v>9.4E-2</v>
      </c>
      <c r="J97" s="2356">
        <v>15</v>
      </c>
      <c r="K97" s="2356">
        <v>40</v>
      </c>
      <c r="L97" s="2356">
        <v>30</v>
      </c>
      <c r="M97" s="2355">
        <v>0.5</v>
      </c>
      <c r="N97" s="2355">
        <v>0.8</v>
      </c>
      <c r="O97" s="2355">
        <v>0.68</v>
      </c>
      <c r="P97" s="2355">
        <v>5.2699999999999997E-2</v>
      </c>
      <c r="Q97" s="2355">
        <v>9.8199999999999996E-2</v>
      </c>
      <c r="R97" s="2355">
        <v>7.0499999999999993E-2</v>
      </c>
      <c r="S97" s="2355">
        <v>7.3800000000000004E-2</v>
      </c>
      <c r="T97" s="2355">
        <v>0.154</v>
      </c>
      <c r="U97" s="2355">
        <v>0.1099</v>
      </c>
      <c r="V97" s="2357">
        <v>1.1000000000000001</v>
      </c>
      <c r="W97" s="2357">
        <v>2.15</v>
      </c>
      <c r="X97" s="2358">
        <v>1.63</v>
      </c>
    </row>
    <row r="98" spans="2:24" x14ac:dyDescent="0.25">
      <c r="B98" s="2372" t="s">
        <v>18023</v>
      </c>
      <c r="C98" s="2346" t="s">
        <v>18911</v>
      </c>
      <c r="D98" s="2355">
        <v>9.0499999999999997E-2</v>
      </c>
      <c r="E98" s="2355">
        <v>0.15</v>
      </c>
      <c r="F98" s="2355">
        <v>0.1053</v>
      </c>
      <c r="G98" s="2355">
        <v>6.6799999999999998E-2</v>
      </c>
      <c r="H98" s="2355">
        <v>0.12759999999999999</v>
      </c>
      <c r="I98" s="2355">
        <v>8.2199999999999995E-2</v>
      </c>
      <c r="J98" s="2356">
        <v>15</v>
      </c>
      <c r="K98" s="2356">
        <v>40</v>
      </c>
      <c r="L98" s="2356">
        <v>30</v>
      </c>
      <c r="M98" s="2355">
        <v>0.5</v>
      </c>
      <c r="N98" s="2355">
        <v>0.8</v>
      </c>
      <c r="O98" s="2355">
        <v>0.68</v>
      </c>
      <c r="P98" s="2355">
        <v>5.2699999999999997E-2</v>
      </c>
      <c r="Q98" s="2355">
        <v>9.8199999999999996E-2</v>
      </c>
      <c r="R98" s="2355">
        <v>7.0499999999999993E-2</v>
      </c>
      <c r="S98" s="2355">
        <v>7.2800000000000004E-2</v>
      </c>
      <c r="T98" s="2355">
        <v>0.14799999999999999</v>
      </c>
      <c r="U98" s="2355">
        <v>0.1066</v>
      </c>
      <c r="V98" s="2357">
        <v>1.1000000000000001</v>
      </c>
      <c r="W98" s="2357">
        <v>2.15</v>
      </c>
      <c r="X98" s="2358">
        <v>1.63</v>
      </c>
    </row>
    <row r="99" spans="2:24" x14ac:dyDescent="0.25">
      <c r="B99" t="s">
        <v>18024</v>
      </c>
      <c r="C99" s="2346" t="s">
        <v>18911</v>
      </c>
      <c r="D99" s="2355">
        <v>8.7400000000000005E-2</v>
      </c>
      <c r="E99" s="2355">
        <v>0.18909999999999999</v>
      </c>
      <c r="F99" s="2355">
        <v>0.15040000000000001</v>
      </c>
      <c r="G99" s="2355">
        <v>6.2799999999999995E-2</v>
      </c>
      <c r="H99" s="2355">
        <v>0.1759</v>
      </c>
      <c r="I99" s="2355">
        <v>0.13120000000000001</v>
      </c>
      <c r="J99" s="2356">
        <v>15</v>
      </c>
      <c r="K99" s="2356">
        <v>30</v>
      </c>
      <c r="L99" s="2356">
        <v>22</v>
      </c>
      <c r="M99" s="2355">
        <v>0.5</v>
      </c>
      <c r="N99" s="2355">
        <v>0.8</v>
      </c>
      <c r="O99" s="2355">
        <v>0.65</v>
      </c>
      <c r="P99" s="2355">
        <v>5.9499999999999997E-2</v>
      </c>
      <c r="Q99" s="2355">
        <v>0.1615</v>
      </c>
      <c r="R99" s="2355">
        <v>8.8499999999999995E-2</v>
      </c>
      <c r="S99" s="2355">
        <v>0.1008</v>
      </c>
      <c r="T99" s="2355">
        <v>0.1968</v>
      </c>
      <c r="U99" s="2355">
        <v>0.15359999999999999</v>
      </c>
      <c r="V99" s="2357">
        <v>1.1000000000000001</v>
      </c>
      <c r="W99" s="2357">
        <v>2.15</v>
      </c>
      <c r="X99" s="2358">
        <v>1.57</v>
      </c>
    </row>
    <row r="100" spans="2:24" x14ac:dyDescent="0.25">
      <c r="B100" s="2372" t="s">
        <v>18025</v>
      </c>
      <c r="C100" s="2346" t="s">
        <v>18911</v>
      </c>
      <c r="D100" s="2355">
        <v>0.1108</v>
      </c>
      <c r="E100" s="2355">
        <v>0.18909999999999999</v>
      </c>
      <c r="F100" s="2355">
        <v>0.15040000000000001</v>
      </c>
      <c r="G100" s="2355">
        <v>8.8800000000000004E-2</v>
      </c>
      <c r="H100" s="2355">
        <v>0.1759</v>
      </c>
      <c r="I100" s="2355">
        <v>0.14269999999999999</v>
      </c>
      <c r="J100" s="2356">
        <v>15</v>
      </c>
      <c r="K100" s="2356">
        <v>30</v>
      </c>
      <c r="L100" s="2356">
        <v>22</v>
      </c>
      <c r="M100" s="2355">
        <v>0.5</v>
      </c>
      <c r="N100" s="2355">
        <v>0.8</v>
      </c>
      <c r="O100" s="2355">
        <v>0.65</v>
      </c>
      <c r="P100" s="2355">
        <v>5.9499999999999997E-2</v>
      </c>
      <c r="Q100" s="2355">
        <v>0.1615</v>
      </c>
      <c r="R100" s="2355">
        <v>8.8499999999999995E-2</v>
      </c>
      <c r="S100" s="2355">
        <v>0.1028</v>
      </c>
      <c r="T100" s="2355">
        <v>0.1968</v>
      </c>
      <c r="U100" s="2355">
        <v>0.14510000000000001</v>
      </c>
      <c r="V100" s="2357">
        <v>1.1000000000000001</v>
      </c>
      <c r="W100" s="2357">
        <v>2.15</v>
      </c>
      <c r="X100" s="2358">
        <v>1.57</v>
      </c>
    </row>
    <row r="101" spans="2:24" x14ac:dyDescent="0.25">
      <c r="B101" s="2372" t="s">
        <v>18026</v>
      </c>
      <c r="C101" s="2346" t="s">
        <v>18911</v>
      </c>
      <c r="D101" s="2355">
        <v>8.7400000000000005E-2</v>
      </c>
      <c r="E101" s="2355">
        <v>0.18279999999999999</v>
      </c>
      <c r="F101" s="2355">
        <v>0.14249999999999999</v>
      </c>
      <c r="G101" s="2355">
        <v>6.2799999999999995E-2</v>
      </c>
      <c r="H101" s="2355">
        <v>0.16420000000000001</v>
      </c>
      <c r="I101" s="2355">
        <v>0.121</v>
      </c>
      <c r="J101" s="2356">
        <v>15</v>
      </c>
      <c r="K101" s="2356">
        <v>30</v>
      </c>
      <c r="L101" s="2356">
        <v>22</v>
      </c>
      <c r="M101" s="2355">
        <v>0.5</v>
      </c>
      <c r="N101" s="2355">
        <v>0.8</v>
      </c>
      <c r="O101" s="2355">
        <v>0.65</v>
      </c>
      <c r="P101" s="2355">
        <v>5.9499999999999997E-2</v>
      </c>
      <c r="Q101" s="2355">
        <v>0.1615</v>
      </c>
      <c r="R101" s="2355">
        <v>8.8499999999999995E-2</v>
      </c>
      <c r="S101" s="2355">
        <v>0.1008</v>
      </c>
      <c r="T101" s="2355">
        <v>0.18479999999999999</v>
      </c>
      <c r="U101" s="2355">
        <v>0.1386</v>
      </c>
      <c r="V101" s="2357">
        <v>1.1000000000000001</v>
      </c>
      <c r="W101" s="2357">
        <v>2.15</v>
      </c>
      <c r="X101" s="2358">
        <v>1.57</v>
      </c>
    </row>
    <row r="102" spans="2:24" x14ac:dyDescent="0.25">
      <c r="B102" t="s">
        <v>18027</v>
      </c>
      <c r="C102" s="2346" t="s">
        <v>18911</v>
      </c>
      <c r="D102" s="2355">
        <v>8.4500000000000006E-2</v>
      </c>
      <c r="E102" s="2355">
        <v>0.15709999999999999</v>
      </c>
      <c r="F102" s="2355">
        <v>0.1206</v>
      </c>
      <c r="G102" s="2355">
        <v>5.8299999999999998E-2</v>
      </c>
      <c r="H102" s="2355">
        <v>0.14130000000000001</v>
      </c>
      <c r="I102" s="2355">
        <v>9.7699999999999995E-2</v>
      </c>
      <c r="J102" s="2356">
        <v>15</v>
      </c>
      <c r="K102" s="2356">
        <v>40</v>
      </c>
      <c r="L102" s="2356">
        <v>25</v>
      </c>
      <c r="M102" s="2355">
        <v>0.5</v>
      </c>
      <c r="N102" s="2355">
        <v>0.8</v>
      </c>
      <c r="O102" s="2355">
        <v>0.7</v>
      </c>
      <c r="P102" s="2355">
        <v>5.0900000000000001E-2</v>
      </c>
      <c r="Q102" s="2355">
        <v>0.10050000000000001</v>
      </c>
      <c r="R102" s="2355">
        <v>7.4399999999999994E-2</v>
      </c>
      <c r="S102" s="2355">
        <v>7.5800000000000006E-2</v>
      </c>
      <c r="T102" s="2355">
        <v>0.17130000000000001</v>
      </c>
      <c r="U102" s="2355">
        <v>0.1283</v>
      </c>
      <c r="V102" s="2357">
        <v>1.05</v>
      </c>
      <c r="W102" s="2357">
        <v>2.15</v>
      </c>
      <c r="X102" s="2358">
        <v>1.39</v>
      </c>
    </row>
    <row r="103" spans="2:24" x14ac:dyDescent="0.25">
      <c r="B103" s="2372" t="s">
        <v>18028</v>
      </c>
      <c r="C103" s="2346" t="s">
        <v>18911</v>
      </c>
      <c r="D103" s="2355">
        <v>8.4500000000000006E-2</v>
      </c>
      <c r="E103" s="2355">
        <v>0.1462</v>
      </c>
      <c r="F103" s="2355">
        <v>0.12180000000000001</v>
      </c>
      <c r="G103" s="2355">
        <v>5.8299999999999998E-2</v>
      </c>
      <c r="H103" s="2355">
        <v>0.12809999999999999</v>
      </c>
      <c r="I103" s="2355">
        <v>9.9699999999999997E-2</v>
      </c>
      <c r="J103" s="2356">
        <v>15</v>
      </c>
      <c r="K103" s="2356">
        <v>40</v>
      </c>
      <c r="L103" s="2356">
        <v>25</v>
      </c>
      <c r="M103" s="2355">
        <v>0.5</v>
      </c>
      <c r="N103" s="2355">
        <v>0.8</v>
      </c>
      <c r="O103" s="2355">
        <v>0.7</v>
      </c>
      <c r="P103" s="2355">
        <v>5.0900000000000001E-2</v>
      </c>
      <c r="Q103" s="2355">
        <v>0.10050000000000001</v>
      </c>
      <c r="R103" s="2355">
        <v>7.4399999999999994E-2</v>
      </c>
      <c r="S103" s="2355">
        <v>7.5800000000000006E-2</v>
      </c>
      <c r="T103" s="2355">
        <v>0.1593</v>
      </c>
      <c r="U103" s="2355">
        <v>0.1133</v>
      </c>
      <c r="V103" s="2357">
        <v>1.05</v>
      </c>
      <c r="W103" s="2357">
        <v>2.15</v>
      </c>
      <c r="X103" s="2358">
        <v>1.39</v>
      </c>
    </row>
    <row r="104" spans="2:24" x14ac:dyDescent="0.25">
      <c r="B104" s="2372" t="s">
        <v>18029</v>
      </c>
      <c r="C104" s="2346" t="s">
        <v>18911</v>
      </c>
      <c r="D104" s="2355">
        <v>8.7900000000000006E-2</v>
      </c>
      <c r="E104" s="2355">
        <v>0.15709999999999999</v>
      </c>
      <c r="F104" s="2355">
        <v>0.1265</v>
      </c>
      <c r="G104" s="2355">
        <v>6.4000000000000001E-2</v>
      </c>
      <c r="H104" s="2355">
        <v>0.14130000000000001</v>
      </c>
      <c r="I104" s="2355">
        <v>0.1066</v>
      </c>
      <c r="J104" s="2356">
        <v>15</v>
      </c>
      <c r="K104" s="2356">
        <v>40</v>
      </c>
      <c r="L104" s="2356">
        <v>25</v>
      </c>
      <c r="M104" s="2355">
        <v>0.5</v>
      </c>
      <c r="N104" s="2355">
        <v>0.8</v>
      </c>
      <c r="O104" s="2355">
        <v>0.7</v>
      </c>
      <c r="P104" s="2355">
        <v>5.0900000000000001E-2</v>
      </c>
      <c r="Q104" s="2355">
        <v>0.10050000000000001</v>
      </c>
      <c r="R104" s="2355">
        <v>7.4399999999999994E-2</v>
      </c>
      <c r="S104" s="2355">
        <v>7.7799999999999994E-2</v>
      </c>
      <c r="T104" s="2355">
        <v>0.17130000000000001</v>
      </c>
      <c r="U104" s="2355">
        <v>0.1198</v>
      </c>
      <c r="V104" s="2357">
        <v>1.05</v>
      </c>
      <c r="W104" s="2357">
        <v>2.15</v>
      </c>
      <c r="X104" s="2358">
        <v>1.39</v>
      </c>
    </row>
    <row r="105" spans="2:24" x14ac:dyDescent="0.25">
      <c r="B105" s="2372" t="s">
        <v>18030</v>
      </c>
      <c r="C105" s="2346" t="s">
        <v>18911</v>
      </c>
      <c r="D105" s="2355">
        <v>8.9899999999999994E-2</v>
      </c>
      <c r="E105" s="2355">
        <v>0.158</v>
      </c>
      <c r="F105" s="2355">
        <v>0.1067</v>
      </c>
      <c r="G105" s="2355">
        <v>6.5500000000000003E-2</v>
      </c>
      <c r="H105" s="2355">
        <v>0.13650000000000001</v>
      </c>
      <c r="I105" s="2355">
        <v>8.3199999999999996E-2</v>
      </c>
      <c r="J105" s="2356">
        <v>15</v>
      </c>
      <c r="K105" s="2356">
        <v>40</v>
      </c>
      <c r="L105" s="2356">
        <v>25</v>
      </c>
      <c r="M105" s="2355">
        <v>0.5</v>
      </c>
      <c r="N105" s="2355">
        <v>0.8</v>
      </c>
      <c r="O105" s="2355">
        <v>0.7</v>
      </c>
      <c r="P105" s="2355">
        <v>5.0900000000000001E-2</v>
      </c>
      <c r="Q105" s="2355">
        <v>0.10050000000000001</v>
      </c>
      <c r="R105" s="2355">
        <v>7.4399999999999994E-2</v>
      </c>
      <c r="S105" s="2355">
        <v>7.6799999999999993E-2</v>
      </c>
      <c r="T105" s="2355">
        <v>0.1653</v>
      </c>
      <c r="U105" s="2355">
        <v>0.1166</v>
      </c>
      <c r="V105" s="2357">
        <v>1.05</v>
      </c>
      <c r="W105" s="2357">
        <v>2.15</v>
      </c>
      <c r="X105" s="2358">
        <v>1.39</v>
      </c>
    </row>
    <row r="106" spans="2:24" x14ac:dyDescent="0.25">
      <c r="B106" s="2372" t="s">
        <v>18031</v>
      </c>
      <c r="C106" s="2346" t="s">
        <v>18911</v>
      </c>
      <c r="D106" s="2355">
        <v>8.6199999999999999E-2</v>
      </c>
      <c r="E106" s="2355">
        <v>0.15479999999999999</v>
      </c>
      <c r="F106" s="2355">
        <v>0.12570000000000001</v>
      </c>
      <c r="G106" s="2355">
        <v>6.1100000000000002E-2</v>
      </c>
      <c r="H106" s="2355">
        <v>0.13469999999999999</v>
      </c>
      <c r="I106" s="2355">
        <v>0.1032</v>
      </c>
      <c r="J106" s="2356">
        <v>15</v>
      </c>
      <c r="K106" s="2356">
        <v>40</v>
      </c>
      <c r="L106" s="2356">
        <v>25</v>
      </c>
      <c r="M106" s="2355">
        <v>0.5</v>
      </c>
      <c r="N106" s="2355">
        <v>0.8</v>
      </c>
      <c r="O106" s="2355">
        <v>0.7</v>
      </c>
      <c r="P106" s="2355">
        <v>5.0900000000000001E-2</v>
      </c>
      <c r="Q106" s="2355">
        <v>0.10050000000000001</v>
      </c>
      <c r="R106" s="2355">
        <v>7.4399999999999994E-2</v>
      </c>
      <c r="S106" s="2355">
        <v>7.5300000000000006E-2</v>
      </c>
      <c r="T106" s="2355">
        <v>0.1638</v>
      </c>
      <c r="U106" s="2355">
        <v>0.11509999999999999</v>
      </c>
      <c r="V106" s="2357">
        <v>1.05</v>
      </c>
      <c r="W106" s="2357">
        <v>2.15</v>
      </c>
      <c r="X106" s="2358">
        <v>1.39</v>
      </c>
    </row>
    <row r="107" spans="2:24" x14ac:dyDescent="0.25">
      <c r="B107" t="s">
        <v>18032</v>
      </c>
      <c r="C107" s="2346" t="s">
        <v>18911</v>
      </c>
      <c r="D107" s="2355">
        <v>7.7399999999999997E-2</v>
      </c>
      <c r="E107" s="2355">
        <v>0.14119999999999999</v>
      </c>
      <c r="F107" s="2355">
        <v>0.11899999999999999</v>
      </c>
      <c r="G107" s="2355">
        <v>5.8700000000000002E-2</v>
      </c>
      <c r="H107" s="2355">
        <v>0.12989999999999999</v>
      </c>
      <c r="I107" s="2355">
        <v>9.8599999999999993E-2</v>
      </c>
      <c r="J107" s="2356">
        <v>15</v>
      </c>
      <c r="K107" s="2356">
        <v>40</v>
      </c>
      <c r="L107" s="2356">
        <v>28</v>
      </c>
      <c r="M107" s="2355">
        <v>0.5</v>
      </c>
      <c r="N107" s="2355">
        <v>0.8</v>
      </c>
      <c r="O107" s="2355">
        <v>0.7</v>
      </c>
      <c r="P107" s="2355">
        <v>5.2200000000000003E-2</v>
      </c>
      <c r="Q107" s="2355">
        <v>0.10050000000000001</v>
      </c>
      <c r="R107" s="2355">
        <v>8.3599999999999994E-2</v>
      </c>
      <c r="S107" s="2355">
        <v>7.3899999999999993E-2</v>
      </c>
      <c r="T107" s="2355">
        <v>0.1472</v>
      </c>
      <c r="U107" s="2355">
        <v>0.1142</v>
      </c>
      <c r="V107" s="2357">
        <v>1.1000000000000001</v>
      </c>
      <c r="W107" s="2357">
        <v>2.5</v>
      </c>
      <c r="X107" s="2358">
        <v>1.52</v>
      </c>
    </row>
    <row r="108" spans="2:24" x14ac:dyDescent="0.25">
      <c r="B108" s="2372" t="s">
        <v>18033</v>
      </c>
      <c r="C108" s="2346" t="s">
        <v>18911</v>
      </c>
      <c r="D108" s="2355">
        <v>7.8E-2</v>
      </c>
      <c r="E108" s="2355">
        <v>0.14119999999999999</v>
      </c>
      <c r="F108" s="2355">
        <v>0.1162</v>
      </c>
      <c r="G108" s="2355">
        <v>6.2399999999999997E-2</v>
      </c>
      <c r="H108" s="2355">
        <v>0.12989999999999999</v>
      </c>
      <c r="I108" s="2355">
        <v>9.9599999999999994E-2</v>
      </c>
      <c r="J108" s="2356">
        <v>15</v>
      </c>
      <c r="K108" s="2356">
        <v>40</v>
      </c>
      <c r="L108" s="2356">
        <v>28</v>
      </c>
      <c r="M108" s="2355">
        <v>0.5</v>
      </c>
      <c r="N108" s="2355">
        <v>0.8</v>
      </c>
      <c r="O108" s="2355">
        <v>0.7</v>
      </c>
      <c r="P108" s="2355">
        <v>5.2200000000000003E-2</v>
      </c>
      <c r="Q108" s="2355">
        <v>0.10050000000000001</v>
      </c>
      <c r="R108" s="2355">
        <v>8.3599999999999994E-2</v>
      </c>
      <c r="S108" s="2355">
        <v>7.5899999999999995E-2</v>
      </c>
      <c r="T108" s="2355">
        <v>0.1472</v>
      </c>
      <c r="U108" s="2355">
        <v>0.10879999999999999</v>
      </c>
      <c r="V108" s="2357">
        <v>1.1000000000000001</v>
      </c>
      <c r="W108" s="2357">
        <v>2.5</v>
      </c>
      <c r="X108" s="2358">
        <v>1.52</v>
      </c>
    </row>
    <row r="109" spans="2:24" x14ac:dyDescent="0.25">
      <c r="B109" s="2372" t="s">
        <v>18034</v>
      </c>
      <c r="C109" s="2346" t="s">
        <v>18911</v>
      </c>
      <c r="D109" s="2355">
        <v>7.7399999999999997E-2</v>
      </c>
      <c r="E109" s="2355">
        <v>0.15179999999999999</v>
      </c>
      <c r="F109" s="2355">
        <v>0.1188</v>
      </c>
      <c r="G109" s="2355">
        <v>5.8700000000000002E-2</v>
      </c>
      <c r="H109" s="2355">
        <v>0.1191</v>
      </c>
      <c r="I109" s="2355">
        <v>9.8000000000000004E-2</v>
      </c>
      <c r="J109" s="2356">
        <v>15</v>
      </c>
      <c r="K109" s="2356">
        <v>40</v>
      </c>
      <c r="L109" s="2356">
        <v>28</v>
      </c>
      <c r="M109" s="2355">
        <v>0.5</v>
      </c>
      <c r="N109" s="2355">
        <v>0.8</v>
      </c>
      <c r="O109" s="2355">
        <v>0.7</v>
      </c>
      <c r="P109" s="2355">
        <v>5.2200000000000003E-2</v>
      </c>
      <c r="Q109" s="2355">
        <v>0.10050000000000001</v>
      </c>
      <c r="R109" s="2355">
        <v>8.3599999999999994E-2</v>
      </c>
      <c r="S109" s="2355">
        <v>7.3899999999999993E-2</v>
      </c>
      <c r="T109" s="2355">
        <v>0.13519999999999999</v>
      </c>
      <c r="U109" s="2355">
        <v>0.10150000000000001</v>
      </c>
      <c r="V109" s="2357">
        <v>1.1000000000000001</v>
      </c>
      <c r="W109" s="2357">
        <v>2.5</v>
      </c>
      <c r="X109" s="2358">
        <v>1.52</v>
      </c>
    </row>
    <row r="110" spans="2:24" x14ac:dyDescent="0.25">
      <c r="B110" t="s">
        <v>18035</v>
      </c>
      <c r="C110" s="2346" t="s">
        <v>18911</v>
      </c>
      <c r="D110" s="2355">
        <v>9.4700000000000006E-2</v>
      </c>
      <c r="E110" s="2355">
        <v>0.19389999999999999</v>
      </c>
      <c r="F110" s="2355">
        <v>0.14219999999999999</v>
      </c>
      <c r="G110" s="2355">
        <v>6.9500000000000006E-2</v>
      </c>
      <c r="H110" s="2355">
        <v>0.17849999999999999</v>
      </c>
      <c r="I110" s="2355">
        <v>0.12230000000000001</v>
      </c>
      <c r="J110" s="2356">
        <v>15</v>
      </c>
      <c r="K110" s="2356">
        <v>40</v>
      </c>
      <c r="L110" s="2356">
        <v>23</v>
      </c>
      <c r="M110" s="2355">
        <v>0.5</v>
      </c>
      <c r="N110" s="2355">
        <v>0.8</v>
      </c>
      <c r="O110" s="2355">
        <v>0.66</v>
      </c>
      <c r="P110" s="2355">
        <v>6.1899999999999997E-2</v>
      </c>
      <c r="Q110" s="2355">
        <v>0.1575</v>
      </c>
      <c r="R110" s="2355">
        <v>9.1899999999999996E-2</v>
      </c>
      <c r="S110" s="2355">
        <v>9.9299999999999999E-2</v>
      </c>
      <c r="T110" s="2355">
        <v>0.2056</v>
      </c>
      <c r="U110" s="2355">
        <v>0.1578</v>
      </c>
      <c r="V110" s="2357">
        <v>1.1499999999999999</v>
      </c>
      <c r="W110" s="2357">
        <v>2.15</v>
      </c>
      <c r="X110" s="2358">
        <v>1.7</v>
      </c>
    </row>
    <row r="111" spans="2:24" x14ac:dyDescent="0.25">
      <c r="B111" s="2372" t="s">
        <v>18036</v>
      </c>
      <c r="C111" s="2346" t="s">
        <v>18911</v>
      </c>
      <c r="D111" s="2355">
        <v>9.4700000000000006E-2</v>
      </c>
      <c r="E111" s="2355">
        <v>0.17180000000000001</v>
      </c>
      <c r="F111" s="2355">
        <v>0.13120000000000001</v>
      </c>
      <c r="G111" s="2355">
        <v>6.9500000000000006E-2</v>
      </c>
      <c r="H111" s="2355">
        <v>0.154</v>
      </c>
      <c r="I111" s="2355">
        <v>0.1096</v>
      </c>
      <c r="J111" s="2356">
        <v>15</v>
      </c>
      <c r="K111" s="2356">
        <v>40</v>
      </c>
      <c r="L111" s="2356">
        <v>23</v>
      </c>
      <c r="M111" s="2355">
        <v>0.5</v>
      </c>
      <c r="N111" s="2355">
        <v>0.8</v>
      </c>
      <c r="O111" s="2355">
        <v>0.66</v>
      </c>
      <c r="P111" s="2355">
        <v>6.1899999999999997E-2</v>
      </c>
      <c r="Q111" s="2355">
        <v>0.1575</v>
      </c>
      <c r="R111" s="2355">
        <v>9.1899999999999996E-2</v>
      </c>
      <c r="S111" s="2355">
        <v>9.9299999999999999E-2</v>
      </c>
      <c r="T111" s="2355">
        <v>0.19359999999999999</v>
      </c>
      <c r="U111" s="2355">
        <v>0.14169999999999999</v>
      </c>
      <c r="V111" s="2357">
        <v>1.1499999999999999</v>
      </c>
      <c r="W111" s="2357">
        <v>2.15</v>
      </c>
      <c r="X111" s="2358">
        <v>1.7</v>
      </c>
    </row>
    <row r="112" spans="2:24" x14ac:dyDescent="0.25">
      <c r="B112" s="2372" t="s">
        <v>18037</v>
      </c>
      <c r="C112" s="2346" t="s">
        <v>18911</v>
      </c>
      <c r="D112" s="2355">
        <v>0.1021</v>
      </c>
      <c r="E112" s="2355">
        <v>0.19389999999999999</v>
      </c>
      <c r="F112" s="2355">
        <v>0.14199999999999999</v>
      </c>
      <c r="G112" s="2355">
        <v>7.9100000000000004E-2</v>
      </c>
      <c r="H112" s="2355">
        <v>0.17849999999999999</v>
      </c>
      <c r="I112" s="2355">
        <v>0.12470000000000001</v>
      </c>
      <c r="J112" s="2356">
        <v>15</v>
      </c>
      <c r="K112" s="2356">
        <v>40</v>
      </c>
      <c r="L112" s="2356">
        <v>23</v>
      </c>
      <c r="M112" s="2355">
        <v>0.5</v>
      </c>
      <c r="N112" s="2355">
        <v>0.8</v>
      </c>
      <c r="O112" s="2355">
        <v>0.66</v>
      </c>
      <c r="P112" s="2355">
        <v>6.1899999999999997E-2</v>
      </c>
      <c r="Q112" s="2355">
        <v>0.1575</v>
      </c>
      <c r="R112" s="2355">
        <v>9.1899999999999996E-2</v>
      </c>
      <c r="S112" s="2355">
        <v>0.1013</v>
      </c>
      <c r="T112" s="2355">
        <v>0.2056</v>
      </c>
      <c r="U112" s="2355">
        <v>0.1482</v>
      </c>
      <c r="V112" s="2357">
        <v>1.1499999999999999</v>
      </c>
      <c r="W112" s="2357">
        <v>2.15</v>
      </c>
      <c r="X112" s="2358">
        <v>1.7</v>
      </c>
    </row>
    <row r="113" spans="2:24" x14ac:dyDescent="0.25">
      <c r="B113" t="s">
        <v>18038</v>
      </c>
      <c r="C113" s="2346" t="s">
        <v>18911</v>
      </c>
      <c r="D113" s="2355">
        <v>7.7399999999999997E-2</v>
      </c>
      <c r="E113" s="2355">
        <v>0.19539999999999999</v>
      </c>
      <c r="F113" s="2355">
        <v>0.1208</v>
      </c>
      <c r="G113" s="2355">
        <v>5.2600000000000001E-2</v>
      </c>
      <c r="H113" s="2355">
        <v>0.17849999999999999</v>
      </c>
      <c r="I113" s="2355">
        <v>0.10046976744186047</v>
      </c>
      <c r="J113" s="2356">
        <v>15</v>
      </c>
      <c r="K113" s="2356">
        <v>40</v>
      </c>
      <c r="L113" s="2356">
        <v>25.046511627906977</v>
      </c>
      <c r="M113" s="2355">
        <v>0.5</v>
      </c>
      <c r="N113" s="2355">
        <v>0.9</v>
      </c>
      <c r="O113" s="2355">
        <v>0.68813953488372059</v>
      </c>
      <c r="P113" s="2355">
        <v>4.8899999999999999E-2</v>
      </c>
      <c r="Q113" s="2355">
        <v>0.1615</v>
      </c>
      <c r="R113" s="2355">
        <v>7.9048837209302295E-2</v>
      </c>
      <c r="S113" s="2355">
        <v>4.6600000000000003E-2</v>
      </c>
      <c r="T113" s="2355">
        <v>0.21640000000000001</v>
      </c>
      <c r="U113" s="2355">
        <v>0.11990000000000001</v>
      </c>
      <c r="V113" s="2357">
        <v>1</v>
      </c>
      <c r="W113" s="2357">
        <v>2.85</v>
      </c>
      <c r="X113" s="2358">
        <v>1.499534883720931</v>
      </c>
    </row>
    <row r="114" spans="2:24" x14ac:dyDescent="0.25">
      <c r="B114" t="s">
        <v>18385</v>
      </c>
      <c r="C114" s="2346" t="s">
        <v>18366</v>
      </c>
      <c r="D114" s="2355">
        <v>2.53E-2</v>
      </c>
      <c r="E114" s="2355">
        <v>0.14929999999999999</v>
      </c>
      <c r="F114" s="2355">
        <v>8.5900000000000004E-2</v>
      </c>
      <c r="G114" s="2355">
        <v>5.1299999999999998E-2</v>
      </c>
      <c r="H114" s="2355">
        <v>0.15429999999999999</v>
      </c>
      <c r="I114" s="2355">
        <v>9.5899999999999999E-2</v>
      </c>
      <c r="J114" s="2356" t="s">
        <v>17959</v>
      </c>
      <c r="K114" s="2356" t="s">
        <v>17959</v>
      </c>
      <c r="L114" s="2356" t="s">
        <v>17959</v>
      </c>
      <c r="M114" s="2355" t="s">
        <v>17959</v>
      </c>
      <c r="N114" s="2355" t="s">
        <v>17959</v>
      </c>
      <c r="O114" s="2355" t="s">
        <v>17959</v>
      </c>
      <c r="P114" s="2355" t="s">
        <v>17959</v>
      </c>
      <c r="Q114" s="2355" t="s">
        <v>17959</v>
      </c>
      <c r="R114" s="2355" t="s">
        <v>17959</v>
      </c>
      <c r="S114" s="2355" t="s">
        <v>17959</v>
      </c>
      <c r="T114" s="2355" t="s">
        <v>17959</v>
      </c>
      <c r="U114" s="2355" t="s">
        <v>17959</v>
      </c>
      <c r="V114" s="2357" t="s">
        <v>17959</v>
      </c>
      <c r="W114" s="2357" t="s">
        <v>17959</v>
      </c>
      <c r="X114" s="2358" t="s">
        <v>17959</v>
      </c>
    </row>
    <row r="115" spans="2:24" x14ac:dyDescent="0.25">
      <c r="B115" t="s">
        <v>18386</v>
      </c>
      <c r="C115" s="2346" t="s">
        <v>18366</v>
      </c>
      <c r="D115" s="2355">
        <v>2.63E-2</v>
      </c>
      <c r="E115" s="2355">
        <v>0.1018</v>
      </c>
      <c r="F115" s="2355">
        <v>6.9199999999999998E-2</v>
      </c>
      <c r="G115" s="2355">
        <v>5.2299999999999999E-2</v>
      </c>
      <c r="H115" s="2355">
        <v>0.10680000000000001</v>
      </c>
      <c r="I115" s="2355">
        <v>7.9200000000000007E-2</v>
      </c>
      <c r="J115" s="2356" t="s">
        <v>17959</v>
      </c>
      <c r="K115" s="2356" t="s">
        <v>17959</v>
      </c>
      <c r="L115" s="2356" t="s">
        <v>17959</v>
      </c>
      <c r="M115" s="2355" t="s">
        <v>17959</v>
      </c>
      <c r="N115" s="2355" t="s">
        <v>17959</v>
      </c>
      <c r="O115" s="2355" t="s">
        <v>17959</v>
      </c>
      <c r="P115" s="2355" t="s">
        <v>17959</v>
      </c>
      <c r="Q115" s="2355" t="s">
        <v>17959</v>
      </c>
      <c r="R115" s="2355" t="s">
        <v>17959</v>
      </c>
      <c r="S115" s="2355" t="s">
        <v>17959</v>
      </c>
      <c r="T115" s="2355" t="s">
        <v>17959</v>
      </c>
      <c r="U115" s="2355" t="s">
        <v>17959</v>
      </c>
      <c r="V115" s="2357" t="s">
        <v>17959</v>
      </c>
      <c r="W115" s="2357" t="s">
        <v>17959</v>
      </c>
      <c r="X115" s="2358" t="s">
        <v>17959</v>
      </c>
    </row>
    <row r="116" spans="2:24" x14ac:dyDescent="0.25">
      <c r="B116" t="s">
        <v>18387</v>
      </c>
      <c r="C116" s="2346" t="s">
        <v>18366</v>
      </c>
      <c r="D116" s="2355">
        <v>2.3800000000000002E-2</v>
      </c>
      <c r="E116" s="2355">
        <v>9.7299999999999998E-2</v>
      </c>
      <c r="F116" s="2355">
        <v>6.6600000000000006E-2</v>
      </c>
      <c r="G116" s="2355">
        <v>4.9799999999999997E-2</v>
      </c>
      <c r="H116" s="2355">
        <v>0.1023</v>
      </c>
      <c r="I116" s="2355">
        <v>7.6600000000000001E-2</v>
      </c>
      <c r="J116" s="2356" t="s">
        <v>17959</v>
      </c>
      <c r="K116" s="2356" t="s">
        <v>17959</v>
      </c>
      <c r="L116" s="2356" t="s">
        <v>17959</v>
      </c>
      <c r="M116" s="2355" t="s">
        <v>17959</v>
      </c>
      <c r="N116" s="2355" t="s">
        <v>17959</v>
      </c>
      <c r="O116" s="2355" t="s">
        <v>17959</v>
      </c>
      <c r="P116" s="2355" t="s">
        <v>17959</v>
      </c>
      <c r="Q116" s="2355" t="s">
        <v>17959</v>
      </c>
      <c r="R116" s="2355" t="s">
        <v>17959</v>
      </c>
      <c r="S116" s="2355" t="s">
        <v>17959</v>
      </c>
      <c r="T116" s="2355" t="s">
        <v>17959</v>
      </c>
      <c r="U116" s="2355" t="s">
        <v>17959</v>
      </c>
      <c r="V116" s="2357" t="s">
        <v>17959</v>
      </c>
      <c r="W116" s="2357" t="s">
        <v>17959</v>
      </c>
      <c r="X116" s="2358" t="s">
        <v>17959</v>
      </c>
    </row>
    <row r="117" spans="2:24" x14ac:dyDescent="0.25">
      <c r="B117" t="s">
        <v>18388</v>
      </c>
      <c r="C117" s="2346" t="s">
        <v>18366</v>
      </c>
      <c r="D117" s="2355">
        <v>2.53E-2</v>
      </c>
      <c r="E117" s="2355">
        <v>0.13930000000000001</v>
      </c>
      <c r="F117" s="2355">
        <v>7.1900000000000006E-2</v>
      </c>
      <c r="G117" s="2355">
        <v>5.1299999999999998E-2</v>
      </c>
      <c r="H117" s="2355">
        <v>0.14430000000000001</v>
      </c>
      <c r="I117" s="2355">
        <v>8.1900000000000001E-2</v>
      </c>
      <c r="J117" s="2356" t="s">
        <v>17959</v>
      </c>
      <c r="K117" s="2356" t="s">
        <v>17959</v>
      </c>
      <c r="L117" s="2356" t="s">
        <v>17959</v>
      </c>
      <c r="M117" s="2355" t="s">
        <v>17959</v>
      </c>
      <c r="N117" s="2355" t="s">
        <v>17959</v>
      </c>
      <c r="O117" s="2355" t="s">
        <v>17959</v>
      </c>
      <c r="P117" s="2355" t="s">
        <v>17959</v>
      </c>
      <c r="Q117" s="2355" t="s">
        <v>17959</v>
      </c>
      <c r="R117" s="2355" t="s">
        <v>17959</v>
      </c>
      <c r="S117" s="2355" t="s">
        <v>17959</v>
      </c>
      <c r="T117" s="2355" t="s">
        <v>17959</v>
      </c>
      <c r="U117" s="2355" t="s">
        <v>17959</v>
      </c>
      <c r="V117" s="2357" t="s">
        <v>17959</v>
      </c>
      <c r="W117" s="2357" t="s">
        <v>17959</v>
      </c>
      <c r="X117" s="2358" t="s">
        <v>17959</v>
      </c>
    </row>
    <row r="118" spans="2:24" x14ac:dyDescent="0.25">
      <c r="B118" t="s">
        <v>18389</v>
      </c>
      <c r="C118" s="2346" t="s">
        <v>18366</v>
      </c>
      <c r="D118" s="2355">
        <v>2.4299999999999999E-2</v>
      </c>
      <c r="E118" s="2355">
        <v>0.12330000000000001</v>
      </c>
      <c r="F118" s="2355">
        <v>7.46E-2</v>
      </c>
      <c r="G118" s="2355">
        <v>5.0299999999999997E-2</v>
      </c>
      <c r="H118" s="2355">
        <v>0.1283</v>
      </c>
      <c r="I118" s="2355">
        <v>8.4599999999999995E-2</v>
      </c>
      <c r="J118" s="2356" t="s">
        <v>17959</v>
      </c>
      <c r="K118" s="2356" t="s">
        <v>17959</v>
      </c>
      <c r="L118" s="2356" t="s">
        <v>17959</v>
      </c>
      <c r="M118" s="2355" t="s">
        <v>17959</v>
      </c>
      <c r="N118" s="2355" t="s">
        <v>17959</v>
      </c>
      <c r="O118" s="2355" t="s">
        <v>17959</v>
      </c>
      <c r="P118" s="2355" t="s">
        <v>17959</v>
      </c>
      <c r="Q118" s="2355" t="s">
        <v>17959</v>
      </c>
      <c r="R118" s="2355" t="s">
        <v>17959</v>
      </c>
      <c r="S118" s="2355" t="s">
        <v>17959</v>
      </c>
      <c r="T118" s="2355" t="s">
        <v>17959</v>
      </c>
      <c r="U118" s="2355" t="s">
        <v>17959</v>
      </c>
      <c r="V118" s="2357" t="s">
        <v>17959</v>
      </c>
      <c r="W118" s="2357" t="s">
        <v>17959</v>
      </c>
      <c r="X118" s="2358" t="s">
        <v>17959</v>
      </c>
    </row>
    <row r="119" spans="2:24" x14ac:dyDescent="0.25">
      <c r="B119" t="s">
        <v>18390</v>
      </c>
      <c r="C119" s="2346" t="s">
        <v>18366</v>
      </c>
      <c r="D119" s="2355">
        <v>2.3800000000000002E-2</v>
      </c>
      <c r="E119" s="2355">
        <v>9.5799999999999996E-2</v>
      </c>
      <c r="F119" s="2355">
        <v>6.2799999999999995E-2</v>
      </c>
      <c r="G119" s="2355">
        <v>4.9799999999999997E-2</v>
      </c>
      <c r="H119" s="2355">
        <v>0.1008</v>
      </c>
      <c r="I119" s="2355">
        <v>7.2800000000000004E-2</v>
      </c>
      <c r="J119" s="2356" t="s">
        <v>17959</v>
      </c>
      <c r="K119" s="2356" t="s">
        <v>17959</v>
      </c>
      <c r="L119" s="2356" t="s">
        <v>17959</v>
      </c>
      <c r="M119" s="2355" t="s">
        <v>17959</v>
      </c>
      <c r="N119" s="2355" t="s">
        <v>17959</v>
      </c>
      <c r="O119" s="2355" t="s">
        <v>17959</v>
      </c>
      <c r="P119" s="2355" t="s">
        <v>17959</v>
      </c>
      <c r="Q119" s="2355" t="s">
        <v>17959</v>
      </c>
      <c r="R119" s="2355" t="s">
        <v>17959</v>
      </c>
      <c r="S119" s="2355" t="s">
        <v>17959</v>
      </c>
      <c r="T119" s="2355" t="s">
        <v>17959</v>
      </c>
      <c r="U119" s="2355" t="s">
        <v>17959</v>
      </c>
      <c r="V119" s="2357" t="s">
        <v>17959</v>
      </c>
      <c r="W119" s="2357" t="s">
        <v>17959</v>
      </c>
      <c r="X119" s="2358" t="s">
        <v>17959</v>
      </c>
    </row>
    <row r="120" spans="2:24" x14ac:dyDescent="0.25">
      <c r="B120" t="s">
        <v>18391</v>
      </c>
      <c r="C120" s="2346" t="s">
        <v>18366</v>
      </c>
      <c r="D120" s="2355">
        <v>2.98E-2</v>
      </c>
      <c r="E120" s="2355">
        <v>0.14729999999999999</v>
      </c>
      <c r="F120" s="2355">
        <v>8.2299999999999998E-2</v>
      </c>
      <c r="G120" s="2355">
        <v>5.5800000000000002E-2</v>
      </c>
      <c r="H120" s="2355">
        <v>0.15229999999999999</v>
      </c>
      <c r="I120" s="2355">
        <v>9.2299999999999993E-2</v>
      </c>
      <c r="J120" s="2356" t="s">
        <v>17959</v>
      </c>
      <c r="K120" s="2356" t="s">
        <v>17959</v>
      </c>
      <c r="L120" s="2356" t="s">
        <v>17959</v>
      </c>
      <c r="M120" s="2355" t="s">
        <v>17959</v>
      </c>
      <c r="N120" s="2355" t="s">
        <v>17959</v>
      </c>
      <c r="O120" s="2355" t="s">
        <v>17959</v>
      </c>
      <c r="P120" s="2355" t="s">
        <v>17959</v>
      </c>
      <c r="Q120" s="2355" t="s">
        <v>17959</v>
      </c>
      <c r="R120" s="2355" t="s">
        <v>17959</v>
      </c>
      <c r="S120" s="2355" t="s">
        <v>17959</v>
      </c>
      <c r="T120" s="2355" t="s">
        <v>17959</v>
      </c>
      <c r="U120" s="2355" t="s">
        <v>17959</v>
      </c>
      <c r="V120" s="2357" t="s">
        <v>17959</v>
      </c>
      <c r="W120" s="2357" t="s">
        <v>17959</v>
      </c>
      <c r="X120" s="2358" t="s">
        <v>17959</v>
      </c>
    </row>
    <row r="121" spans="2:24" x14ac:dyDescent="0.25">
      <c r="B121" t="s">
        <v>18392</v>
      </c>
      <c r="C121" s="2346" t="s">
        <v>18366</v>
      </c>
      <c r="D121" s="2355">
        <v>2.18E-2</v>
      </c>
      <c r="E121" s="2355">
        <v>9.7199999999999995E-2</v>
      </c>
      <c r="F121" s="2355">
        <v>6.8000000000000005E-2</v>
      </c>
      <c r="G121" s="2355">
        <v>4.7800000000000002E-2</v>
      </c>
      <c r="H121" s="2355">
        <v>0.1022</v>
      </c>
      <c r="I121" s="2355">
        <v>7.8E-2</v>
      </c>
      <c r="J121" s="2356" t="s">
        <v>17959</v>
      </c>
      <c r="K121" s="2356" t="s">
        <v>17959</v>
      </c>
      <c r="L121" s="2356" t="s">
        <v>17959</v>
      </c>
      <c r="M121" s="2355" t="s">
        <v>17959</v>
      </c>
      <c r="N121" s="2355" t="s">
        <v>17959</v>
      </c>
      <c r="O121" s="2355" t="s">
        <v>17959</v>
      </c>
      <c r="P121" s="2355" t="s">
        <v>17959</v>
      </c>
      <c r="Q121" s="2355" t="s">
        <v>17959</v>
      </c>
      <c r="R121" s="2355" t="s">
        <v>17959</v>
      </c>
      <c r="S121" s="2355" t="s">
        <v>17959</v>
      </c>
      <c r="T121" s="2355" t="s">
        <v>17959</v>
      </c>
      <c r="U121" s="2355" t="s">
        <v>17959</v>
      </c>
      <c r="V121" s="2357" t="s">
        <v>17959</v>
      </c>
      <c r="W121" s="2357" t="s">
        <v>17959</v>
      </c>
      <c r="X121" s="2358" t="s">
        <v>17959</v>
      </c>
    </row>
    <row r="122" spans="2:24" x14ac:dyDescent="0.25">
      <c r="B122" t="s">
        <v>18393</v>
      </c>
      <c r="C122" s="2346" t="s">
        <v>18366</v>
      </c>
      <c r="D122" s="2355">
        <v>2.3800000000000002E-2</v>
      </c>
      <c r="E122" s="2355">
        <v>9.9299999999999999E-2</v>
      </c>
      <c r="F122" s="2355">
        <v>7.7299999999999994E-2</v>
      </c>
      <c r="G122" s="2355">
        <v>4.9799999999999997E-2</v>
      </c>
      <c r="H122" s="2355">
        <v>0.1043</v>
      </c>
      <c r="I122" s="2355">
        <v>8.7300000000000003E-2</v>
      </c>
      <c r="J122" s="2356" t="s">
        <v>17959</v>
      </c>
      <c r="K122" s="2356" t="s">
        <v>17959</v>
      </c>
      <c r="L122" s="2356" t="s">
        <v>17959</v>
      </c>
      <c r="M122" s="2355" t="s">
        <v>17959</v>
      </c>
      <c r="N122" s="2355" t="s">
        <v>17959</v>
      </c>
      <c r="O122" s="2355" t="s">
        <v>17959</v>
      </c>
      <c r="P122" s="2355" t="s">
        <v>17959</v>
      </c>
      <c r="Q122" s="2355" t="s">
        <v>17959</v>
      </c>
      <c r="R122" s="2355" t="s">
        <v>17959</v>
      </c>
      <c r="S122" s="2355" t="s">
        <v>17959</v>
      </c>
      <c r="T122" s="2355" t="s">
        <v>17959</v>
      </c>
      <c r="U122" s="2355" t="s">
        <v>17959</v>
      </c>
      <c r="V122" s="2357" t="s">
        <v>17959</v>
      </c>
      <c r="W122" s="2357" t="s">
        <v>17959</v>
      </c>
      <c r="X122" s="2358" t="s">
        <v>17959</v>
      </c>
    </row>
    <row r="123" spans="2:24" x14ac:dyDescent="0.25">
      <c r="B123" t="s">
        <v>18394</v>
      </c>
      <c r="C123" s="2346" t="s">
        <v>18366</v>
      </c>
      <c r="D123" s="2355">
        <v>2.93E-2</v>
      </c>
      <c r="E123" s="2355">
        <v>0.1593</v>
      </c>
      <c r="F123" s="2355">
        <v>8.6599999999999996E-2</v>
      </c>
      <c r="G123" s="2355">
        <v>6.0499999999999998E-2</v>
      </c>
      <c r="H123" s="2355">
        <v>0.17630000000000001</v>
      </c>
      <c r="I123" s="2355">
        <v>8.7900000000000006E-2</v>
      </c>
      <c r="J123" s="2356" t="s">
        <v>17959</v>
      </c>
      <c r="K123" s="2356" t="s">
        <v>17959</v>
      </c>
      <c r="L123" s="2356" t="s">
        <v>17959</v>
      </c>
      <c r="M123" s="2355" t="s">
        <v>17959</v>
      </c>
      <c r="N123" s="2355" t="s">
        <v>17959</v>
      </c>
      <c r="O123" s="2355" t="s">
        <v>17959</v>
      </c>
      <c r="P123" s="2355" t="s">
        <v>17959</v>
      </c>
      <c r="Q123" s="2355" t="s">
        <v>17959</v>
      </c>
      <c r="R123" s="2355" t="s">
        <v>17959</v>
      </c>
      <c r="S123" s="2355" t="s">
        <v>17959</v>
      </c>
      <c r="T123" s="2355" t="s">
        <v>17959</v>
      </c>
      <c r="U123" s="2355" t="s">
        <v>17959</v>
      </c>
      <c r="V123" s="2357" t="s">
        <v>17959</v>
      </c>
      <c r="W123" s="2357" t="s">
        <v>17959</v>
      </c>
      <c r="X123" s="2358" t="s">
        <v>17959</v>
      </c>
    </row>
    <row r="124" spans="2:24" x14ac:dyDescent="0.25">
      <c r="B124" t="s">
        <v>18395</v>
      </c>
      <c r="C124" s="2346" t="s">
        <v>18366</v>
      </c>
      <c r="D124" s="2355">
        <v>2.0400000000000001E-2</v>
      </c>
      <c r="E124" s="2355">
        <v>0.1593</v>
      </c>
      <c r="F124" s="2355">
        <v>7.3499999999999996E-2</v>
      </c>
      <c r="G124" s="2355">
        <v>4.6399999999999997E-2</v>
      </c>
      <c r="H124" s="2355">
        <v>0.15429999999999999</v>
      </c>
      <c r="I124" s="2355">
        <v>8.2199999999999995E-2</v>
      </c>
      <c r="J124" s="2356" t="s">
        <v>17959</v>
      </c>
      <c r="K124" s="2356" t="s">
        <v>17959</v>
      </c>
      <c r="L124" s="2356" t="s">
        <v>17959</v>
      </c>
      <c r="M124" s="2355" t="s">
        <v>17959</v>
      </c>
      <c r="N124" s="2355" t="s">
        <v>17959</v>
      </c>
      <c r="O124" s="2355" t="s">
        <v>17959</v>
      </c>
      <c r="P124" s="2355" t="s">
        <v>17959</v>
      </c>
      <c r="Q124" s="2355" t="s">
        <v>17959</v>
      </c>
      <c r="R124" s="2355" t="s">
        <v>17959</v>
      </c>
      <c r="S124" s="2355" t="s">
        <v>17959</v>
      </c>
      <c r="T124" s="2355" t="s">
        <v>17959</v>
      </c>
      <c r="U124" s="2355" t="s">
        <v>17959</v>
      </c>
      <c r="V124" s="2357" t="s">
        <v>17959</v>
      </c>
      <c r="W124" s="2357" t="s">
        <v>17959</v>
      </c>
      <c r="X124" s="2358" t="s">
        <v>17959</v>
      </c>
    </row>
    <row r="125" spans="2:24" x14ac:dyDescent="0.25">
      <c r="B125" t="s">
        <v>18038</v>
      </c>
      <c r="C125" s="2346" t="s">
        <v>18366</v>
      </c>
      <c r="D125" s="2355">
        <v>4.48E-2</v>
      </c>
      <c r="E125" s="2355">
        <v>0.17249999999999999</v>
      </c>
      <c r="F125" s="2355">
        <v>9.4700000000000006E-2</v>
      </c>
      <c r="G125" s="2355">
        <v>3.9899999999999998E-2</v>
      </c>
      <c r="H125" s="2355">
        <v>0.17430000000000001</v>
      </c>
      <c r="I125" s="2355">
        <v>9.3465116279069768E-2</v>
      </c>
      <c r="J125" s="2356">
        <v>15</v>
      </c>
      <c r="K125" s="2356">
        <v>40</v>
      </c>
      <c r="L125" s="2356">
        <v>25.046511627906977</v>
      </c>
      <c r="M125" s="2355">
        <v>0.5</v>
      </c>
      <c r="N125" s="2355">
        <v>0.9</v>
      </c>
      <c r="O125" s="2355">
        <v>0.69093023255813923</v>
      </c>
      <c r="P125" s="2355">
        <v>2.64E-2</v>
      </c>
      <c r="Q125" s="2355">
        <v>0.1416</v>
      </c>
      <c r="R125" s="2355">
        <v>5.4472093023255848E-2</v>
      </c>
      <c r="S125" s="2355">
        <v>6.0699999999999997E-2</v>
      </c>
      <c r="T125" s="2355">
        <v>0.22090000000000001</v>
      </c>
      <c r="U125" s="2355">
        <v>0.1239</v>
      </c>
      <c r="V125" s="2357">
        <v>1</v>
      </c>
      <c r="W125" s="2357">
        <v>2.85</v>
      </c>
      <c r="X125" s="2358">
        <v>1.5060465116279074</v>
      </c>
    </row>
  </sheetData>
  <pageMargins left="0.7" right="0.7" top="0.75" bottom="0.75" header="0.3" footer="0.3"/>
  <pageSetup orientation="portrait" r:id="rId1"/>
  <drawing r:id="rId2"/>
  <tableParts count="1">
    <tablePart r:id="rId3"/>
  </tableParts>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36">
    <tabColor theme="5" tint="-0.249977111117893"/>
  </sheetPr>
  <dimension ref="A1:AD131"/>
  <sheetViews>
    <sheetView zoomScaleNormal="100" workbookViewId="0">
      <selection activeCell="H61" sqref="H61"/>
    </sheetView>
  </sheetViews>
  <sheetFormatPr defaultColWidth="9.140625" defaultRowHeight="14.25" x14ac:dyDescent="0.25"/>
  <cols>
    <col min="1" max="1" width="5.7109375" style="96" customWidth="1"/>
    <col min="2" max="2" width="1.7109375" style="10" customWidth="1"/>
    <col min="3" max="3" width="0.85546875" style="10" customWidth="1"/>
    <col min="4" max="4" width="1.7109375" style="10" customWidth="1"/>
    <col min="5" max="5" width="36.7109375" style="10" customWidth="1"/>
    <col min="6" max="6" width="12.7109375" style="10" customWidth="1"/>
    <col min="7" max="7" width="3.7109375" style="10" customWidth="1"/>
    <col min="8" max="8" width="12.7109375" style="13" customWidth="1"/>
    <col min="9" max="9" width="3.7109375" style="10" customWidth="1"/>
    <col min="10" max="10" width="12.28515625" style="10" customWidth="1"/>
    <col min="11" max="11" width="0.85546875" style="10" customWidth="1"/>
    <col min="12" max="12" width="8.7109375" style="10" customWidth="1"/>
    <col min="13" max="13" width="0.85546875" style="10" customWidth="1"/>
    <col min="14" max="14" width="1.7109375" style="10" customWidth="1"/>
    <col min="15" max="15" width="10.7109375" style="10" customWidth="1"/>
    <col min="16" max="16" width="11.7109375" style="10" customWidth="1"/>
    <col min="17" max="17" width="5.7109375" style="10" customWidth="1"/>
    <col min="18" max="18" width="1.7109375" style="10" customWidth="1"/>
    <col min="19" max="19" width="0.85546875" style="10" customWidth="1"/>
    <col min="20" max="24" width="12.7109375" style="10" customWidth="1"/>
    <col min="25" max="25" width="0.85546875" style="10" customWidth="1"/>
    <col min="26" max="26" width="1.7109375" style="10" customWidth="1"/>
    <col min="27" max="16384" width="9.140625" style="10"/>
  </cols>
  <sheetData>
    <row r="1" spans="1:22" ht="60" customHeight="1" x14ac:dyDescent="0.25"/>
    <row r="2" spans="1:22" ht="24.95" customHeight="1" thickBot="1" x14ac:dyDescent="0.3"/>
    <row r="3" spans="1:22" x14ac:dyDescent="0.25">
      <c r="A3" s="957">
        <v>1</v>
      </c>
      <c r="B3" s="1"/>
      <c r="C3" s="2"/>
      <c r="D3" s="2"/>
      <c r="E3" s="2"/>
      <c r="F3" s="2"/>
      <c r="G3" s="2"/>
      <c r="H3" s="202"/>
      <c r="I3" s="2"/>
      <c r="J3" s="2"/>
      <c r="K3" s="2"/>
      <c r="L3" s="2"/>
      <c r="M3" s="2"/>
      <c r="N3" s="3"/>
    </row>
    <row r="4" spans="1:22" ht="15.95" customHeight="1" x14ac:dyDescent="0.25">
      <c r="A4" s="957">
        <v>1</v>
      </c>
      <c r="B4" s="4"/>
      <c r="C4" s="5"/>
      <c r="D4" s="3755" t="str">
        <f>IF(Income_TechniqueUsed="Direct Capitalization",IF(Main_GroundLease=FALSE,"Stabilized Net Operating Income Schedule","Stabilized Net Land Income Schedule"),"Year 1 Net Operating Income Schedule")</f>
        <v>Stabilized Net Operating Income Schedule</v>
      </c>
      <c r="E4" s="3755"/>
      <c r="F4" s="18"/>
      <c r="G4" s="5"/>
      <c r="H4" s="39"/>
      <c r="I4" s="5"/>
      <c r="J4" s="5"/>
      <c r="K4" s="5"/>
      <c r="L4" s="5"/>
      <c r="M4" s="5"/>
      <c r="N4" s="6"/>
    </row>
    <row r="5" spans="1:22" x14ac:dyDescent="0.25">
      <c r="A5" s="957">
        <v>1</v>
      </c>
      <c r="B5" s="4"/>
      <c r="C5" s="3765"/>
      <c r="D5" s="3777" t="s">
        <v>436</v>
      </c>
      <c r="E5" s="3777"/>
      <c r="F5" s="3767" t="s">
        <v>20</v>
      </c>
      <c r="G5" s="3765"/>
      <c r="H5" s="3781" t="s">
        <v>390</v>
      </c>
      <c r="I5" s="3767"/>
      <c r="J5" s="3767" t="s">
        <v>93</v>
      </c>
      <c r="K5" s="3767"/>
      <c r="L5" s="3767" t="s">
        <v>391</v>
      </c>
      <c r="M5" s="3765"/>
      <c r="N5" s="6"/>
    </row>
    <row r="6" spans="1:22" x14ac:dyDescent="0.25">
      <c r="A6" s="957">
        <f ca="1">IF(SUM(A7:A42)=0,0,1)</f>
        <v>1</v>
      </c>
      <c r="B6" s="4"/>
      <c r="C6" s="258"/>
      <c r="D6" s="3335" t="s">
        <v>672</v>
      </c>
      <c r="E6" s="3335"/>
      <c r="F6" s="258"/>
      <c r="G6" s="258"/>
      <c r="H6" s="423"/>
      <c r="I6" s="258"/>
      <c r="J6" s="258"/>
      <c r="K6" s="258"/>
      <c r="L6" s="258"/>
      <c r="M6" s="258"/>
      <c r="N6" s="6"/>
      <c r="O6" s="11"/>
      <c r="P6" s="11"/>
      <c r="Q6" s="11"/>
      <c r="R6" s="11"/>
      <c r="S6" s="11"/>
      <c r="T6" s="11"/>
      <c r="U6" s="11"/>
      <c r="V6" s="11"/>
    </row>
    <row r="7" spans="1:22" ht="15" hidden="1" customHeight="1" x14ac:dyDescent="0.25">
      <c r="A7" s="957">
        <f ca="1">IF(J7=0,0,1)</f>
        <v>0</v>
      </c>
      <c r="B7" s="4"/>
      <c r="C7" s="258"/>
      <c r="D7" s="258"/>
      <c r="E7" s="2893" t="str">
        <f ca="1">'Rent Roll'!$E7</f>
        <v>Amberg Entertainment</v>
      </c>
      <c r="F7" s="3616">
        <f ca="1">'Rent Roll'!K7</f>
        <v>5796</v>
      </c>
      <c r="G7" s="423" t="s">
        <v>176</v>
      </c>
      <c r="H7" s="1265" t="str">
        <f>IF(DirectCapRentDisplay="Tenants - Contract Rent",IF(ISNUMBER(SEARCH("vacant",E7)),VLOOKUP('Rent Roll'!S7,Income_DirectCap_AssumpMatrix,3,FALSE),'Rent Roll'!N7),IF(ISERROR(VLOOKUP('Rent Roll'!S7,'Income Assumptions'!$D$12:$H$19,3,FALSE)),"",IF(DirectCapRentDisplay="Tenants - Market Rent",VLOOKUP('Rent Roll'!S7,'Income Assumptions'!$D$12:$H$19,3,FALSE),0)))</f>
        <v/>
      </c>
      <c r="I7" s="423" t="s">
        <v>177</v>
      </c>
      <c r="J7" s="2877">
        <f ca="1">IFERROR(ROUND(F7*H7,0),0)</f>
        <v>0</v>
      </c>
      <c r="K7" s="2877"/>
      <c r="L7" s="3215">
        <f t="shared" ref="L7:L43" ca="1" si="0">J7/dpIncome_DirectCap_EGI</f>
        <v>0</v>
      </c>
      <c r="M7" s="258"/>
      <c r="N7" s="6"/>
      <c r="O7" s="11"/>
      <c r="P7" s="4336" t="s">
        <v>1218</v>
      </c>
      <c r="Q7" s="11"/>
      <c r="R7" s="11"/>
      <c r="S7" s="11"/>
      <c r="U7" s="11"/>
      <c r="V7" s="11"/>
    </row>
    <row r="8" spans="1:22" hidden="1" x14ac:dyDescent="0.25">
      <c r="A8" s="957">
        <f t="shared" ref="A8:A42" ca="1" si="1">IF(J8=0,0,1)</f>
        <v>0</v>
      </c>
      <c r="B8" s="4"/>
      <c r="C8" s="258"/>
      <c r="D8" s="258"/>
      <c r="E8" s="2893" t="str">
        <f ca="1">'Rent Roll'!$E8</f>
        <v>Fleet Repair Service</v>
      </c>
      <c r="F8" s="3616">
        <f ca="1">'Rent Roll'!K8</f>
        <v>8912</v>
      </c>
      <c r="G8" s="423" t="s">
        <v>176</v>
      </c>
      <c r="H8" s="1265" t="str">
        <f>IF(DirectCapRentDisplay="Tenants - Contract Rent",IF(ISNUMBER(SEARCH("vacant",E8)),VLOOKUP('Rent Roll'!S8,Income_DirectCap_AssumpMatrix,3,FALSE),'Rent Roll'!N8),IF(ISERROR(VLOOKUP('Rent Roll'!S8,'Income Assumptions'!$D$12:$H$19,3,FALSE)),"",IF(DirectCapRentDisplay="Tenants - Market Rent",VLOOKUP('Rent Roll'!S8,'Income Assumptions'!$D$12:$H$19,3,FALSE),0)))</f>
        <v/>
      </c>
      <c r="I8" s="423" t="s">
        <v>177</v>
      </c>
      <c r="J8" s="2877">
        <f t="shared" ref="J8:J26" ca="1" si="2">IFERROR(ROUND(F8*H8,0),0)</f>
        <v>0</v>
      </c>
      <c r="K8" s="2877"/>
      <c r="L8" s="3215">
        <f t="shared" ca="1" si="0"/>
        <v>0</v>
      </c>
      <c r="M8" s="258"/>
      <c r="N8" s="6"/>
      <c r="O8" s="11"/>
      <c r="P8" s="4337"/>
      <c r="Q8" s="11"/>
      <c r="R8" s="11"/>
      <c r="S8" s="11"/>
      <c r="U8" s="11"/>
      <c r="V8" s="11"/>
    </row>
    <row r="9" spans="1:22" hidden="1" x14ac:dyDescent="0.25">
      <c r="A9" s="957">
        <f t="shared" ca="1" si="1"/>
        <v>0</v>
      </c>
      <c r="B9" s="4"/>
      <c r="C9" s="258"/>
      <c r="D9" s="258"/>
      <c r="E9" s="2893" t="str">
        <f ca="1">'Rent Roll'!$E9</f>
        <v/>
      </c>
      <c r="F9" s="3616" t="str">
        <f ca="1">'Rent Roll'!K9</f>
        <v/>
      </c>
      <c r="G9" s="423" t="s">
        <v>176</v>
      </c>
      <c r="H9" s="1265" t="str">
        <f>IF(DirectCapRentDisplay="Tenants - Contract Rent",IF(ISNUMBER(SEARCH("vacant",E9)),VLOOKUP('Rent Roll'!S9,Income_DirectCap_AssumpMatrix,3,FALSE),'Rent Roll'!N9),IF(ISERROR(VLOOKUP('Rent Roll'!S9,'Income Assumptions'!$D$12:$H$19,3,FALSE)),"",IF(DirectCapRentDisplay="Tenants - Market Rent",VLOOKUP('Rent Roll'!S9,'Income Assumptions'!$D$12:$H$19,3,FALSE),0)))</f>
        <v/>
      </c>
      <c r="I9" s="423" t="s">
        <v>177</v>
      </c>
      <c r="J9" s="2877">
        <f t="shared" ca="1" si="2"/>
        <v>0</v>
      </c>
      <c r="K9" s="2877"/>
      <c r="L9" s="3215">
        <f t="shared" ca="1" si="0"/>
        <v>0</v>
      </c>
      <c r="M9" s="258"/>
      <c r="N9" s="6"/>
      <c r="O9" s="11"/>
      <c r="P9" s="4337"/>
      <c r="Q9" s="11"/>
      <c r="R9" s="11"/>
      <c r="S9" s="11"/>
      <c r="U9" s="11"/>
      <c r="V9" s="11"/>
    </row>
    <row r="10" spans="1:22" hidden="1" x14ac:dyDescent="0.25">
      <c r="A10" s="957">
        <f t="shared" ca="1" si="1"/>
        <v>0</v>
      </c>
      <c r="B10" s="4"/>
      <c r="C10" s="258"/>
      <c r="D10" s="258"/>
      <c r="E10" s="2893" t="str">
        <f ca="1">'Rent Roll'!$E10</f>
        <v/>
      </c>
      <c r="F10" s="3616" t="str">
        <f ca="1">'Rent Roll'!K10</f>
        <v/>
      </c>
      <c r="G10" s="423" t="s">
        <v>176</v>
      </c>
      <c r="H10" s="1265" t="str">
        <f>IF(DirectCapRentDisplay="Tenants - Contract Rent",IF(ISNUMBER(SEARCH("vacant",E10)),VLOOKUP('Rent Roll'!S10,Income_DirectCap_AssumpMatrix,3,FALSE),'Rent Roll'!N10),IF(ISERROR(VLOOKUP('Rent Roll'!S10,'Income Assumptions'!$D$12:$H$19,3,FALSE)),"",IF(DirectCapRentDisplay="Tenants - Market Rent",VLOOKUP('Rent Roll'!S10,'Income Assumptions'!$D$12:$H$19,3,FALSE),0)))</f>
        <v/>
      </c>
      <c r="I10" s="423" t="s">
        <v>177</v>
      </c>
      <c r="J10" s="2877">
        <f t="shared" ca="1" si="2"/>
        <v>0</v>
      </c>
      <c r="K10" s="2877"/>
      <c r="L10" s="3215">
        <f t="shared" ca="1" si="0"/>
        <v>0</v>
      </c>
      <c r="M10" s="258"/>
      <c r="N10" s="6"/>
      <c r="O10" s="11"/>
      <c r="P10" s="4337"/>
      <c r="Q10" s="11"/>
      <c r="R10" s="11"/>
      <c r="S10" s="11"/>
      <c r="U10" s="11"/>
      <c r="V10" s="11"/>
    </row>
    <row r="11" spans="1:22" hidden="1" x14ac:dyDescent="0.25">
      <c r="A11" s="957">
        <f t="shared" ca="1" si="1"/>
        <v>0</v>
      </c>
      <c r="B11" s="4"/>
      <c r="C11" s="258"/>
      <c r="D11" s="258"/>
      <c r="E11" s="2893" t="str">
        <f ca="1">'Rent Roll'!$E11</f>
        <v/>
      </c>
      <c r="F11" s="3616" t="str">
        <f ca="1">'Rent Roll'!K11</f>
        <v/>
      </c>
      <c r="G11" s="423" t="s">
        <v>176</v>
      </c>
      <c r="H11" s="1265" t="str">
        <f>IF(DirectCapRentDisplay="Tenants - Contract Rent",IF(ISNUMBER(SEARCH("vacant",E11)),VLOOKUP('Rent Roll'!S11,Income_DirectCap_AssumpMatrix,3,FALSE),'Rent Roll'!N11),IF(ISERROR(VLOOKUP('Rent Roll'!S11,'Income Assumptions'!$D$12:$H$19,3,FALSE)),"",IF(DirectCapRentDisplay="Tenants - Market Rent",VLOOKUP('Rent Roll'!S11,'Income Assumptions'!$D$12:$H$19,3,FALSE),0)))</f>
        <v/>
      </c>
      <c r="I11" s="423" t="s">
        <v>177</v>
      </c>
      <c r="J11" s="2877">
        <f t="shared" ca="1" si="2"/>
        <v>0</v>
      </c>
      <c r="K11" s="2877"/>
      <c r="L11" s="3215">
        <f t="shared" ca="1" si="0"/>
        <v>0</v>
      </c>
      <c r="M11" s="258"/>
      <c r="N11" s="6"/>
      <c r="O11" s="11"/>
      <c r="P11" s="4337"/>
      <c r="Q11" s="11"/>
      <c r="R11" s="11"/>
      <c r="S11" s="11"/>
      <c r="U11" s="11"/>
      <c r="V11" s="11"/>
    </row>
    <row r="12" spans="1:22" hidden="1" x14ac:dyDescent="0.25">
      <c r="A12" s="957">
        <f t="shared" ca="1" si="1"/>
        <v>0</v>
      </c>
      <c r="B12" s="4"/>
      <c r="C12" s="258"/>
      <c r="D12" s="258"/>
      <c r="E12" s="2893" t="str">
        <f ca="1">'Rent Roll'!$E12</f>
        <v/>
      </c>
      <c r="F12" s="3616" t="str">
        <f ca="1">'Rent Roll'!K12</f>
        <v/>
      </c>
      <c r="G12" s="423" t="s">
        <v>176</v>
      </c>
      <c r="H12" s="1265" t="str">
        <f>IF(DirectCapRentDisplay="Tenants - Contract Rent",IF(ISNUMBER(SEARCH("vacant",E12)),VLOOKUP('Rent Roll'!S12,Income_DirectCap_AssumpMatrix,3,FALSE),'Rent Roll'!N12),IF(ISERROR(VLOOKUP('Rent Roll'!S12,'Income Assumptions'!$D$12:$H$19,3,FALSE)),"",IF(DirectCapRentDisplay="Tenants - Market Rent",VLOOKUP('Rent Roll'!S12,'Income Assumptions'!$D$12:$H$19,3,FALSE),0)))</f>
        <v/>
      </c>
      <c r="I12" s="423" t="s">
        <v>177</v>
      </c>
      <c r="J12" s="2877">
        <f t="shared" ca="1" si="2"/>
        <v>0</v>
      </c>
      <c r="K12" s="2877"/>
      <c r="L12" s="3215">
        <f t="shared" ca="1" si="0"/>
        <v>0</v>
      </c>
      <c r="M12" s="258"/>
      <c r="N12" s="6"/>
      <c r="O12" s="11"/>
      <c r="P12" s="4337"/>
      <c r="Q12" s="11"/>
      <c r="R12" s="11"/>
      <c r="S12" s="11"/>
      <c r="U12" s="11"/>
      <c r="V12" s="11"/>
    </row>
    <row r="13" spans="1:22" hidden="1" x14ac:dyDescent="0.25">
      <c r="A13" s="957">
        <f t="shared" ca="1" si="1"/>
        <v>0</v>
      </c>
      <c r="B13" s="4"/>
      <c r="C13" s="258"/>
      <c r="D13" s="258"/>
      <c r="E13" s="2893" t="str">
        <f ca="1">'Rent Roll'!$E13</f>
        <v/>
      </c>
      <c r="F13" s="3616" t="str">
        <f ca="1">'Rent Roll'!K13</f>
        <v/>
      </c>
      <c r="G13" s="423" t="s">
        <v>176</v>
      </c>
      <c r="H13" s="1265" t="str">
        <f>IF(DirectCapRentDisplay="Tenants - Contract Rent",IF(ISNUMBER(SEARCH("vacant",E13)),VLOOKUP('Rent Roll'!S13,Income_DirectCap_AssumpMatrix,3,FALSE),'Rent Roll'!N13),IF(ISERROR(VLOOKUP('Rent Roll'!S13,'Income Assumptions'!$D$12:$H$19,3,FALSE)),"",IF(DirectCapRentDisplay="Tenants - Market Rent",VLOOKUP('Rent Roll'!S13,'Income Assumptions'!$D$12:$H$19,3,FALSE),0)))</f>
        <v/>
      </c>
      <c r="I13" s="423" t="s">
        <v>177</v>
      </c>
      <c r="J13" s="2877">
        <f t="shared" ca="1" si="2"/>
        <v>0</v>
      </c>
      <c r="K13" s="2877"/>
      <c r="L13" s="3215">
        <f t="shared" ca="1" si="0"/>
        <v>0</v>
      </c>
      <c r="M13" s="258"/>
      <c r="N13" s="6"/>
      <c r="O13" s="11"/>
      <c r="P13" s="4337"/>
      <c r="Q13" s="11"/>
      <c r="R13" s="11"/>
      <c r="S13" s="11"/>
      <c r="U13" s="11"/>
      <c r="V13" s="11"/>
    </row>
    <row r="14" spans="1:22" hidden="1" x14ac:dyDescent="0.25">
      <c r="A14" s="957">
        <f t="shared" ca="1" si="1"/>
        <v>0</v>
      </c>
      <c r="B14" s="4"/>
      <c r="C14" s="258"/>
      <c r="D14" s="258"/>
      <c r="E14" s="2893" t="str">
        <f ca="1">'Rent Roll'!$E14</f>
        <v/>
      </c>
      <c r="F14" s="3616" t="str">
        <f ca="1">'Rent Roll'!K14</f>
        <v/>
      </c>
      <c r="G14" s="423" t="s">
        <v>176</v>
      </c>
      <c r="H14" s="1265" t="str">
        <f>IF(DirectCapRentDisplay="Tenants - Contract Rent",IF(ISNUMBER(SEARCH("vacant",E14)),VLOOKUP('Rent Roll'!S14,Income_DirectCap_AssumpMatrix,3,FALSE),'Rent Roll'!N14),IF(ISERROR(VLOOKUP('Rent Roll'!S14,'Income Assumptions'!$D$12:$H$19,3,FALSE)),"",IF(DirectCapRentDisplay="Tenants - Market Rent",VLOOKUP('Rent Roll'!S14,'Income Assumptions'!$D$12:$H$19,3,FALSE),0)))</f>
        <v/>
      </c>
      <c r="I14" s="423" t="s">
        <v>177</v>
      </c>
      <c r="J14" s="2877">
        <f t="shared" ca="1" si="2"/>
        <v>0</v>
      </c>
      <c r="K14" s="2877"/>
      <c r="L14" s="3215">
        <f t="shared" ca="1" si="0"/>
        <v>0</v>
      </c>
      <c r="M14" s="258"/>
      <c r="N14" s="6"/>
      <c r="O14" s="11"/>
      <c r="P14" s="4337"/>
      <c r="Q14" s="11"/>
      <c r="R14" s="11"/>
      <c r="S14" s="11"/>
      <c r="U14" s="11"/>
      <c r="V14" s="11"/>
    </row>
    <row r="15" spans="1:22" hidden="1" x14ac:dyDescent="0.25">
      <c r="A15" s="957">
        <f t="shared" ca="1" si="1"/>
        <v>0</v>
      </c>
      <c r="B15" s="4"/>
      <c r="C15" s="258"/>
      <c r="D15" s="258"/>
      <c r="E15" s="2893" t="str">
        <f ca="1">'Rent Roll'!$E15</f>
        <v/>
      </c>
      <c r="F15" s="3616" t="str">
        <f ca="1">'Rent Roll'!K15</f>
        <v/>
      </c>
      <c r="G15" s="423" t="s">
        <v>176</v>
      </c>
      <c r="H15" s="1265" t="str">
        <f>IF(DirectCapRentDisplay="Tenants - Contract Rent",IF(ISNUMBER(SEARCH("vacant",E15)),VLOOKUP('Rent Roll'!S15,Income_DirectCap_AssumpMatrix,3,FALSE),'Rent Roll'!N15),IF(ISERROR(VLOOKUP('Rent Roll'!S15,'Income Assumptions'!$D$12:$H$19,3,FALSE)),"",IF(DirectCapRentDisplay="Tenants - Market Rent",VLOOKUP('Rent Roll'!S15,'Income Assumptions'!$D$12:$H$19,3,FALSE),0)))</f>
        <v/>
      </c>
      <c r="I15" s="423" t="s">
        <v>177</v>
      </c>
      <c r="J15" s="2877">
        <f t="shared" ca="1" si="2"/>
        <v>0</v>
      </c>
      <c r="K15" s="2877"/>
      <c r="L15" s="3215">
        <f t="shared" ca="1" si="0"/>
        <v>0</v>
      </c>
      <c r="M15" s="258"/>
      <c r="N15" s="6"/>
      <c r="O15" s="11"/>
      <c r="P15" s="4337"/>
      <c r="Q15" s="11"/>
      <c r="R15" s="11"/>
      <c r="S15" s="11"/>
      <c r="U15" s="11"/>
      <c r="V15" s="11"/>
    </row>
    <row r="16" spans="1:22" hidden="1" x14ac:dyDescent="0.25">
      <c r="A16" s="957">
        <f t="shared" ca="1" si="1"/>
        <v>0</v>
      </c>
      <c r="B16" s="4"/>
      <c r="C16" s="258"/>
      <c r="D16" s="258"/>
      <c r="E16" s="2893" t="str">
        <f ca="1">'Rent Roll'!$E16</f>
        <v/>
      </c>
      <c r="F16" s="3616" t="str">
        <f ca="1">'Rent Roll'!K16</f>
        <v/>
      </c>
      <c r="G16" s="423" t="s">
        <v>176</v>
      </c>
      <c r="H16" s="1265" t="str">
        <f>IF(DirectCapRentDisplay="Tenants - Contract Rent",IF(ISNUMBER(SEARCH("vacant",E16)),VLOOKUP('Rent Roll'!S16,Income_DirectCap_AssumpMatrix,3,FALSE),'Rent Roll'!N16),IF(ISERROR(VLOOKUP('Rent Roll'!S16,'Income Assumptions'!$D$12:$H$19,3,FALSE)),"",IF(DirectCapRentDisplay="Tenants - Market Rent",VLOOKUP('Rent Roll'!S16,'Income Assumptions'!$D$12:$H$19,3,FALSE),0)))</f>
        <v/>
      </c>
      <c r="I16" s="423" t="s">
        <v>177</v>
      </c>
      <c r="J16" s="2877">
        <f t="shared" ca="1" si="2"/>
        <v>0</v>
      </c>
      <c r="K16" s="2877"/>
      <c r="L16" s="3215">
        <f t="shared" ca="1" si="0"/>
        <v>0</v>
      </c>
      <c r="M16" s="258"/>
      <c r="N16" s="6"/>
      <c r="O16" s="11"/>
      <c r="P16" s="4337"/>
      <c r="Q16" s="11"/>
      <c r="R16" s="11"/>
      <c r="S16" s="11"/>
      <c r="U16" s="11"/>
      <c r="V16" s="11"/>
    </row>
    <row r="17" spans="1:22" hidden="1" x14ac:dyDescent="0.25">
      <c r="A17" s="957">
        <f t="shared" ca="1" si="1"/>
        <v>0</v>
      </c>
      <c r="B17" s="4"/>
      <c r="C17" s="258"/>
      <c r="D17" s="258"/>
      <c r="E17" s="2893" t="str">
        <f ca="1">'Rent Roll'!$E17</f>
        <v/>
      </c>
      <c r="F17" s="3616" t="str">
        <f ca="1">'Rent Roll'!K17</f>
        <v/>
      </c>
      <c r="G17" s="423" t="s">
        <v>176</v>
      </c>
      <c r="H17" s="1265" t="str">
        <f>IF(DirectCapRentDisplay="Tenants - Contract Rent",IF(ISNUMBER(SEARCH("vacant",E17)),VLOOKUP('Rent Roll'!S17,Income_DirectCap_AssumpMatrix,3,FALSE),'Rent Roll'!N17),IF(ISERROR(VLOOKUP('Rent Roll'!S17,'Income Assumptions'!$D$12:$H$19,3,FALSE)),"",IF(DirectCapRentDisplay="Tenants - Market Rent",VLOOKUP('Rent Roll'!S17,'Income Assumptions'!$D$12:$H$19,3,FALSE),0)))</f>
        <v/>
      </c>
      <c r="I17" s="423" t="s">
        <v>177</v>
      </c>
      <c r="J17" s="2877">
        <f t="shared" ca="1" si="2"/>
        <v>0</v>
      </c>
      <c r="K17" s="2877"/>
      <c r="L17" s="3215">
        <f t="shared" ca="1" si="0"/>
        <v>0</v>
      </c>
      <c r="M17" s="258"/>
      <c r="N17" s="6"/>
      <c r="O17" s="11"/>
      <c r="P17" s="4337"/>
      <c r="Q17" s="11"/>
      <c r="R17" s="11"/>
      <c r="S17" s="11"/>
      <c r="U17" s="11"/>
      <c r="V17" s="11"/>
    </row>
    <row r="18" spans="1:22" hidden="1" x14ac:dyDescent="0.25">
      <c r="A18" s="957">
        <f t="shared" ca="1" si="1"/>
        <v>0</v>
      </c>
      <c r="B18" s="4"/>
      <c r="C18" s="258"/>
      <c r="D18" s="258"/>
      <c r="E18" s="2893" t="str">
        <f ca="1">'Rent Roll'!$E18</f>
        <v/>
      </c>
      <c r="F18" s="3616" t="str">
        <f ca="1">'Rent Roll'!K18</f>
        <v/>
      </c>
      <c r="G18" s="423" t="s">
        <v>176</v>
      </c>
      <c r="H18" s="1265" t="str">
        <f>IF(DirectCapRentDisplay="Tenants - Contract Rent",IF(ISNUMBER(SEARCH("vacant",E18)),VLOOKUP('Rent Roll'!S18,Income_DirectCap_AssumpMatrix,3,FALSE),'Rent Roll'!N18),IF(ISERROR(VLOOKUP('Rent Roll'!S18,'Income Assumptions'!$D$12:$H$19,3,FALSE)),"",IF(DirectCapRentDisplay="Tenants - Market Rent",VLOOKUP('Rent Roll'!S18,'Income Assumptions'!$D$12:$H$19,3,FALSE),0)))</f>
        <v/>
      </c>
      <c r="I18" s="423" t="s">
        <v>177</v>
      </c>
      <c r="J18" s="2877">
        <f t="shared" ca="1" si="2"/>
        <v>0</v>
      </c>
      <c r="K18" s="2877"/>
      <c r="L18" s="3215">
        <f t="shared" ca="1" si="0"/>
        <v>0</v>
      </c>
      <c r="M18" s="258"/>
      <c r="N18" s="6"/>
      <c r="O18" s="11"/>
      <c r="P18" s="4337"/>
      <c r="Q18" s="11"/>
      <c r="R18" s="11"/>
      <c r="S18" s="11"/>
      <c r="U18" s="11"/>
      <c r="V18" s="11"/>
    </row>
    <row r="19" spans="1:22" hidden="1" x14ac:dyDescent="0.25">
      <c r="A19" s="957">
        <f t="shared" ca="1" si="1"/>
        <v>0</v>
      </c>
      <c r="B19" s="4"/>
      <c r="C19" s="258"/>
      <c r="D19" s="258"/>
      <c r="E19" s="2893" t="str">
        <f ca="1">'Rent Roll'!$E19</f>
        <v/>
      </c>
      <c r="F19" s="3616" t="str">
        <f ca="1">'Rent Roll'!K19</f>
        <v/>
      </c>
      <c r="G19" s="423" t="s">
        <v>176</v>
      </c>
      <c r="H19" s="1265" t="str">
        <f>IF(DirectCapRentDisplay="Tenants - Contract Rent",IF(ISNUMBER(SEARCH("vacant",E19)),VLOOKUP('Rent Roll'!S19,Income_DirectCap_AssumpMatrix,3,FALSE),'Rent Roll'!N19),IF(ISERROR(VLOOKUP('Rent Roll'!S19,'Income Assumptions'!$D$12:$H$19,3,FALSE)),"",IF(DirectCapRentDisplay="Tenants - Market Rent",VLOOKUP('Rent Roll'!S19,'Income Assumptions'!$D$12:$H$19,3,FALSE),0)))</f>
        <v/>
      </c>
      <c r="I19" s="423" t="s">
        <v>177</v>
      </c>
      <c r="J19" s="2877">
        <f t="shared" ca="1" si="2"/>
        <v>0</v>
      </c>
      <c r="K19" s="2877"/>
      <c r="L19" s="3215">
        <f t="shared" ca="1" si="0"/>
        <v>0</v>
      </c>
      <c r="M19" s="258"/>
      <c r="N19" s="6"/>
      <c r="O19" s="11"/>
      <c r="P19" s="4337"/>
      <c r="Q19" s="11"/>
      <c r="R19" s="11"/>
      <c r="S19" s="11"/>
      <c r="U19" s="11"/>
      <c r="V19" s="11"/>
    </row>
    <row r="20" spans="1:22" hidden="1" x14ac:dyDescent="0.25">
      <c r="A20" s="957">
        <f t="shared" ca="1" si="1"/>
        <v>0</v>
      </c>
      <c r="B20" s="4"/>
      <c r="C20" s="258"/>
      <c r="D20" s="258"/>
      <c r="E20" s="2893" t="str">
        <f ca="1">'Rent Roll'!$E20</f>
        <v/>
      </c>
      <c r="F20" s="3616" t="str">
        <f ca="1">'Rent Roll'!K20</f>
        <v/>
      </c>
      <c r="G20" s="423" t="s">
        <v>176</v>
      </c>
      <c r="H20" s="1265" t="str">
        <f>IF(DirectCapRentDisplay="Tenants - Contract Rent",IF(ISNUMBER(SEARCH("vacant",E20)),VLOOKUP('Rent Roll'!S20,Income_DirectCap_AssumpMatrix,3,FALSE),'Rent Roll'!N20),IF(ISERROR(VLOOKUP('Rent Roll'!S20,'Income Assumptions'!$D$12:$H$19,3,FALSE)),"",IF(DirectCapRentDisplay="Tenants - Market Rent",VLOOKUP('Rent Roll'!S20,'Income Assumptions'!$D$12:$H$19,3,FALSE),0)))</f>
        <v/>
      </c>
      <c r="I20" s="423" t="s">
        <v>177</v>
      </c>
      <c r="J20" s="2877">
        <f t="shared" ca="1" si="2"/>
        <v>0</v>
      </c>
      <c r="K20" s="2877"/>
      <c r="L20" s="3215">
        <f t="shared" ca="1" si="0"/>
        <v>0</v>
      </c>
      <c r="M20" s="258"/>
      <c r="N20" s="6"/>
      <c r="O20" s="11"/>
      <c r="P20" s="4337"/>
      <c r="Q20" s="11"/>
      <c r="R20" s="11"/>
      <c r="S20" s="11"/>
      <c r="U20" s="11"/>
      <c r="V20" s="11"/>
    </row>
    <row r="21" spans="1:22" hidden="1" x14ac:dyDescent="0.25">
      <c r="A21" s="957">
        <f t="shared" ca="1" si="1"/>
        <v>0</v>
      </c>
      <c r="B21" s="4"/>
      <c r="C21" s="258"/>
      <c r="D21" s="258"/>
      <c r="E21" s="2893" t="str">
        <f ca="1">'Rent Roll'!$E21</f>
        <v/>
      </c>
      <c r="F21" s="3616" t="str">
        <f ca="1">'Rent Roll'!K21</f>
        <v/>
      </c>
      <c r="G21" s="423" t="s">
        <v>176</v>
      </c>
      <c r="H21" s="1265" t="str">
        <f>IF(DirectCapRentDisplay="Tenants - Contract Rent",IF(ISNUMBER(SEARCH("vacant",E21)),VLOOKUP('Rent Roll'!S21,Income_DirectCap_AssumpMatrix,3,FALSE),'Rent Roll'!N21),IF(ISERROR(VLOOKUP('Rent Roll'!S21,'Income Assumptions'!$D$12:$H$19,3,FALSE)),"",IF(DirectCapRentDisplay="Tenants - Market Rent",VLOOKUP('Rent Roll'!S21,'Income Assumptions'!$D$12:$H$19,3,FALSE),0)))</f>
        <v/>
      </c>
      <c r="I21" s="423" t="s">
        <v>177</v>
      </c>
      <c r="J21" s="2877">
        <f t="shared" ca="1" si="2"/>
        <v>0</v>
      </c>
      <c r="K21" s="2877"/>
      <c r="L21" s="3215">
        <f t="shared" ca="1" si="0"/>
        <v>0</v>
      </c>
      <c r="M21" s="258"/>
      <c r="N21" s="6"/>
      <c r="O21" s="11"/>
      <c r="P21" s="4337"/>
      <c r="Q21" s="11"/>
      <c r="R21" s="11"/>
      <c r="S21" s="11"/>
      <c r="U21" s="11"/>
      <c r="V21" s="11"/>
    </row>
    <row r="22" spans="1:22" hidden="1" x14ac:dyDescent="0.25">
      <c r="A22" s="957">
        <f t="shared" ca="1" si="1"/>
        <v>0</v>
      </c>
      <c r="B22" s="4"/>
      <c r="C22" s="258"/>
      <c r="D22" s="258"/>
      <c r="E22" s="2893" t="str">
        <f ca="1">'Rent Roll'!$E22</f>
        <v/>
      </c>
      <c r="F22" s="3616" t="str">
        <f ca="1">'Rent Roll'!K22</f>
        <v/>
      </c>
      <c r="G22" s="423" t="s">
        <v>176</v>
      </c>
      <c r="H22" s="1265" t="str">
        <f>IF(DirectCapRentDisplay="Tenants - Contract Rent",IF(ISNUMBER(SEARCH("vacant",E22)),VLOOKUP('Rent Roll'!S22,Income_DirectCap_AssumpMatrix,3,FALSE),'Rent Roll'!N22),IF(ISERROR(VLOOKUP('Rent Roll'!S22,'Income Assumptions'!$D$12:$H$19,3,FALSE)),"",IF(DirectCapRentDisplay="Tenants - Market Rent",VLOOKUP('Rent Roll'!S22,'Income Assumptions'!$D$12:$H$19,3,FALSE),0)))</f>
        <v/>
      </c>
      <c r="I22" s="423" t="s">
        <v>177</v>
      </c>
      <c r="J22" s="2877">
        <f t="shared" ca="1" si="2"/>
        <v>0</v>
      </c>
      <c r="K22" s="2877"/>
      <c r="L22" s="3215">
        <f t="shared" ca="1" si="0"/>
        <v>0</v>
      </c>
      <c r="M22" s="258"/>
      <c r="N22" s="6"/>
      <c r="O22" s="11"/>
      <c r="P22" s="4337"/>
      <c r="Q22" s="11"/>
      <c r="R22" s="11"/>
      <c r="S22" s="11"/>
      <c r="U22" s="11"/>
      <c r="V22" s="11"/>
    </row>
    <row r="23" spans="1:22" hidden="1" x14ac:dyDescent="0.25">
      <c r="A23" s="957">
        <f t="shared" ca="1" si="1"/>
        <v>0</v>
      </c>
      <c r="B23" s="4"/>
      <c r="C23" s="258"/>
      <c r="D23" s="258"/>
      <c r="E23" s="2893" t="str">
        <f ca="1">'Rent Roll'!$E23</f>
        <v/>
      </c>
      <c r="F23" s="3616" t="str">
        <f ca="1">'Rent Roll'!K23</f>
        <v/>
      </c>
      <c r="G23" s="423" t="s">
        <v>176</v>
      </c>
      <c r="H23" s="1265" t="str">
        <f>IF(DirectCapRentDisplay="Tenants - Contract Rent",IF(ISNUMBER(SEARCH("vacant",E23)),VLOOKUP('Rent Roll'!S23,Income_DirectCap_AssumpMatrix,3,FALSE),'Rent Roll'!N23),IF(ISERROR(VLOOKUP('Rent Roll'!S23,'Income Assumptions'!$D$12:$H$19,3,FALSE)),"",IF(DirectCapRentDisplay="Tenants - Market Rent",VLOOKUP('Rent Roll'!S23,'Income Assumptions'!$D$12:$H$19,3,FALSE),0)))</f>
        <v/>
      </c>
      <c r="I23" s="423" t="s">
        <v>177</v>
      </c>
      <c r="J23" s="2877">
        <f t="shared" ca="1" si="2"/>
        <v>0</v>
      </c>
      <c r="K23" s="2877"/>
      <c r="L23" s="3215">
        <f t="shared" ca="1" si="0"/>
        <v>0</v>
      </c>
      <c r="M23" s="258"/>
      <c r="N23" s="6"/>
      <c r="O23" s="11"/>
      <c r="P23" s="4337"/>
      <c r="Q23" s="11"/>
      <c r="R23" s="11"/>
      <c r="S23" s="11"/>
      <c r="U23" s="11"/>
      <c r="V23" s="11"/>
    </row>
    <row r="24" spans="1:22" hidden="1" x14ac:dyDescent="0.25">
      <c r="A24" s="957">
        <f t="shared" ca="1" si="1"/>
        <v>0</v>
      </c>
      <c r="B24" s="4"/>
      <c r="C24" s="258"/>
      <c r="D24" s="258"/>
      <c r="E24" s="2893" t="str">
        <f ca="1">'Rent Roll'!$E24</f>
        <v/>
      </c>
      <c r="F24" s="3616" t="str">
        <f ca="1">'Rent Roll'!K24</f>
        <v/>
      </c>
      <c r="G24" s="423" t="s">
        <v>176</v>
      </c>
      <c r="H24" s="1265" t="str">
        <f>IF(DirectCapRentDisplay="Tenants - Contract Rent",IF(ISNUMBER(SEARCH("vacant",E24)),VLOOKUP('Rent Roll'!S24,Income_DirectCap_AssumpMatrix,3,FALSE),'Rent Roll'!N24),IF(ISERROR(VLOOKUP('Rent Roll'!S24,'Income Assumptions'!$D$12:$H$19,3,FALSE)),"",IF(DirectCapRentDisplay="Tenants - Market Rent",VLOOKUP('Rent Roll'!S24,'Income Assumptions'!$D$12:$H$19,3,FALSE),0)))</f>
        <v/>
      </c>
      <c r="I24" s="423" t="s">
        <v>177</v>
      </c>
      <c r="J24" s="2877">
        <f t="shared" ca="1" si="2"/>
        <v>0</v>
      </c>
      <c r="K24" s="2877"/>
      <c r="L24" s="3215">
        <f t="shared" ca="1" si="0"/>
        <v>0</v>
      </c>
      <c r="M24" s="258"/>
      <c r="N24" s="6"/>
      <c r="O24" s="11"/>
      <c r="P24" s="4337"/>
      <c r="Q24" s="11"/>
      <c r="R24" s="11"/>
      <c r="S24" s="11"/>
      <c r="U24" s="11"/>
      <c r="V24" s="11"/>
    </row>
    <row r="25" spans="1:22" hidden="1" x14ac:dyDescent="0.25">
      <c r="A25" s="957">
        <f t="shared" ca="1" si="1"/>
        <v>0</v>
      </c>
      <c r="B25" s="4"/>
      <c r="C25" s="258"/>
      <c r="D25" s="258"/>
      <c r="E25" s="2893" t="str">
        <f ca="1">'Rent Roll'!$E25</f>
        <v/>
      </c>
      <c r="F25" s="3616" t="str">
        <f ca="1">'Rent Roll'!K25</f>
        <v/>
      </c>
      <c r="G25" s="423" t="s">
        <v>176</v>
      </c>
      <c r="H25" s="1265" t="str">
        <f>IF(DirectCapRentDisplay="Tenants - Contract Rent",IF(ISNUMBER(SEARCH("vacant",E25)),VLOOKUP('Rent Roll'!S25,Income_DirectCap_AssumpMatrix,3,FALSE),'Rent Roll'!N25),IF(ISERROR(VLOOKUP('Rent Roll'!S25,'Income Assumptions'!$D$12:$H$19,3,FALSE)),"",IF(DirectCapRentDisplay="Tenants - Market Rent",VLOOKUP('Rent Roll'!S25,'Income Assumptions'!$D$12:$H$19,3,FALSE),0)))</f>
        <v/>
      </c>
      <c r="I25" s="423" t="s">
        <v>177</v>
      </c>
      <c r="J25" s="2877">
        <f t="shared" ca="1" si="2"/>
        <v>0</v>
      </c>
      <c r="K25" s="2877"/>
      <c r="L25" s="3215">
        <f t="shared" ca="1" si="0"/>
        <v>0</v>
      </c>
      <c r="M25" s="258"/>
      <c r="N25" s="6"/>
      <c r="O25" s="11"/>
      <c r="P25" s="4337"/>
      <c r="Q25" s="11"/>
      <c r="R25" s="11"/>
      <c r="S25" s="11"/>
      <c r="U25" s="11"/>
      <c r="V25" s="11"/>
    </row>
    <row r="26" spans="1:22" hidden="1" x14ac:dyDescent="0.25">
      <c r="A26" s="957">
        <f t="shared" ca="1" si="1"/>
        <v>0</v>
      </c>
      <c r="B26" s="4"/>
      <c r="C26" s="258"/>
      <c r="D26" s="258"/>
      <c r="E26" s="2893" t="str">
        <f ca="1">'Rent Roll'!$E26</f>
        <v/>
      </c>
      <c r="F26" s="3616" t="str">
        <f ca="1">'Rent Roll'!K26</f>
        <v/>
      </c>
      <c r="G26" s="423" t="s">
        <v>176</v>
      </c>
      <c r="H26" s="1265" t="str">
        <f>IF(DirectCapRentDisplay="Tenants - Contract Rent",IF(ISNUMBER(SEARCH("vacant",E26)),VLOOKUP('Rent Roll'!S26,Income_DirectCap_AssumpMatrix,3,FALSE),'Rent Roll'!N26),IF(ISERROR(VLOOKUP('Rent Roll'!S26,'Income Assumptions'!$D$12:$H$19,3,FALSE)),"",IF(DirectCapRentDisplay="Tenants - Market Rent",VLOOKUP('Rent Roll'!S26,'Income Assumptions'!$D$12:$H$19,3,FALSE),0)))</f>
        <v/>
      </c>
      <c r="I26" s="423" t="s">
        <v>177</v>
      </c>
      <c r="J26" s="2877">
        <f t="shared" ca="1" si="2"/>
        <v>0</v>
      </c>
      <c r="K26" s="2877"/>
      <c r="L26" s="3215">
        <f t="shared" ca="1" si="0"/>
        <v>0</v>
      </c>
      <c r="M26" s="258"/>
      <c r="N26" s="6"/>
      <c r="O26" s="11"/>
      <c r="P26" s="4338"/>
      <c r="Q26" s="11"/>
      <c r="R26" s="11"/>
      <c r="S26" s="11"/>
      <c r="U26" s="11"/>
      <c r="V26" s="11"/>
    </row>
    <row r="27" spans="1:22" hidden="1" x14ac:dyDescent="0.25">
      <c r="A27" s="957">
        <f t="shared" ca="1" si="1"/>
        <v>0</v>
      </c>
      <c r="B27" s="4"/>
      <c r="C27" s="258"/>
      <c r="D27" s="258"/>
      <c r="E27" s="2893" t="str">
        <f>Income_TCat1_3</f>
        <v>Industrial Office/Warehouse</v>
      </c>
      <c r="F27" s="3616">
        <f>Income_TCat1_NRA_Manual_2</f>
        <v>16410</v>
      </c>
      <c r="G27" s="423" t="s">
        <v>176</v>
      </c>
      <c r="H27" s="1265" t="e">
        <f ca="1">dpIncome_TCat1_WAContractSpeculativeRent</f>
        <v>#DIV/0!</v>
      </c>
      <c r="I27" s="423" t="s">
        <v>177</v>
      </c>
      <c r="J27" s="2877">
        <f t="shared" ref="J27:J34" ca="1" si="3">ROUND(IF(OR(ISERR(F27*H27),DirectCapRentDisplay&lt;&gt;"Space Type - Contract Rent"),0,F27*H27),0)</f>
        <v>0</v>
      </c>
      <c r="K27" s="2877"/>
      <c r="L27" s="3215">
        <f t="shared" ca="1" si="0"/>
        <v>0</v>
      </c>
      <c r="M27" s="258"/>
      <c r="N27" s="6"/>
      <c r="O27" s="11"/>
      <c r="P27" s="4337" t="s">
        <v>1217</v>
      </c>
      <c r="Q27" s="11"/>
      <c r="R27" s="11"/>
      <c r="S27" s="11"/>
      <c r="U27" s="11"/>
      <c r="V27" s="11"/>
    </row>
    <row r="28" spans="1:22" hidden="1" x14ac:dyDescent="0.25">
      <c r="A28" s="957">
        <f t="shared" ca="1" si="1"/>
        <v>0</v>
      </c>
      <c r="B28" s="4"/>
      <c r="C28" s="258"/>
      <c r="D28" s="258"/>
      <c r="E28" s="2893" t="str">
        <f>Income_TCat2_3</f>
        <v>Land Storage</v>
      </c>
      <c r="F28" s="3616">
        <f>Income_TCat2_NRA_Manual_2</f>
        <v>0</v>
      </c>
      <c r="G28" s="423" t="s">
        <v>176</v>
      </c>
      <c r="H28" s="1265" t="e">
        <f ca="1">dpIncome_TCat2_WAContractSpeculativeRent</f>
        <v>#DIV/0!</v>
      </c>
      <c r="I28" s="423" t="s">
        <v>177</v>
      </c>
      <c r="J28" s="2877">
        <f t="shared" ca="1" si="3"/>
        <v>0</v>
      </c>
      <c r="K28" s="2877"/>
      <c r="L28" s="3215">
        <f t="shared" ca="1" si="0"/>
        <v>0</v>
      </c>
      <c r="M28" s="258"/>
      <c r="N28" s="6"/>
      <c r="O28" s="11"/>
      <c r="P28" s="4337"/>
      <c r="Q28" s="11"/>
      <c r="R28" s="11"/>
      <c r="S28" s="11"/>
      <c r="U28" s="11"/>
      <c r="V28" s="11"/>
    </row>
    <row r="29" spans="1:22" hidden="1" x14ac:dyDescent="0.25">
      <c r="A29" s="957">
        <f t="shared" ca="1" si="1"/>
        <v>0</v>
      </c>
      <c r="B29" s="4"/>
      <c r="C29" s="258"/>
      <c r="D29" s="258"/>
      <c r="E29" s="2893">
        <f>Income_TCat3_3</f>
        <v>0</v>
      </c>
      <c r="F29" s="3616">
        <f ca="1">Income_TCat3_NRA_Manual_2</f>
        <v>0</v>
      </c>
      <c r="G29" s="423" t="s">
        <v>176</v>
      </c>
      <c r="H29" s="1265" t="e">
        <f ca="1">dpIncome_TCat3_WAContractSpeculativeRent</f>
        <v>#DIV/0!</v>
      </c>
      <c r="I29" s="423" t="s">
        <v>177</v>
      </c>
      <c r="J29" s="2877">
        <f t="shared" ca="1" si="3"/>
        <v>0</v>
      </c>
      <c r="K29" s="2877"/>
      <c r="L29" s="3215">
        <f t="shared" ca="1" si="0"/>
        <v>0</v>
      </c>
      <c r="M29" s="258"/>
      <c r="N29" s="6"/>
      <c r="O29" s="11"/>
      <c r="P29" s="4337"/>
      <c r="Q29" s="11"/>
      <c r="R29" s="11"/>
      <c r="S29" s="11"/>
      <c r="U29" s="11"/>
      <c r="V29" s="11"/>
    </row>
    <row r="30" spans="1:22" hidden="1" x14ac:dyDescent="0.25">
      <c r="A30" s="957">
        <f t="shared" ca="1" si="1"/>
        <v>0</v>
      </c>
      <c r="B30" s="4"/>
      <c r="C30" s="258"/>
      <c r="D30" s="258"/>
      <c r="E30" s="2893">
        <f>Income_TCat4_3</f>
        <v>0</v>
      </c>
      <c r="F30" s="3616">
        <f ca="1">Income_TCat4_NRA_Manual_2</f>
        <v>0</v>
      </c>
      <c r="G30" s="423" t="s">
        <v>176</v>
      </c>
      <c r="H30" s="1265" t="e">
        <f ca="1">dpIncome_TCat4_WAContractSpeculativeRent</f>
        <v>#DIV/0!</v>
      </c>
      <c r="I30" s="423" t="s">
        <v>177</v>
      </c>
      <c r="J30" s="2877">
        <f t="shared" ca="1" si="3"/>
        <v>0</v>
      </c>
      <c r="K30" s="2877"/>
      <c r="L30" s="3215">
        <f t="shared" ca="1" si="0"/>
        <v>0</v>
      </c>
      <c r="M30" s="258"/>
      <c r="N30" s="6"/>
      <c r="O30" s="11"/>
      <c r="P30" s="4337"/>
      <c r="Q30" s="11"/>
      <c r="R30" s="11"/>
      <c r="S30" s="11"/>
      <c r="U30" s="11"/>
      <c r="V30" s="11"/>
    </row>
    <row r="31" spans="1:22" hidden="1" x14ac:dyDescent="0.25">
      <c r="A31" s="957">
        <f t="shared" ca="1" si="1"/>
        <v>0</v>
      </c>
      <c r="B31" s="4"/>
      <c r="C31" s="258"/>
      <c r="D31" s="258"/>
      <c r="E31" s="2893">
        <f>Income_TCat5_3</f>
        <v>0</v>
      </c>
      <c r="F31" s="3616">
        <f ca="1">Income_TCat5_NRA_Manual_2</f>
        <v>0</v>
      </c>
      <c r="G31" s="423" t="s">
        <v>176</v>
      </c>
      <c r="H31" s="1265" t="e">
        <f ca="1">dpIncome_TCat5_WAContractSpeculativeRent</f>
        <v>#DIV/0!</v>
      </c>
      <c r="I31" s="423" t="s">
        <v>177</v>
      </c>
      <c r="J31" s="2877">
        <f t="shared" ca="1" si="3"/>
        <v>0</v>
      </c>
      <c r="K31" s="2877"/>
      <c r="L31" s="3215">
        <f t="shared" ca="1" si="0"/>
        <v>0</v>
      </c>
      <c r="M31" s="258"/>
      <c r="N31" s="6"/>
      <c r="O31" s="11"/>
      <c r="P31" s="4337"/>
      <c r="Q31" s="11"/>
      <c r="R31" s="11"/>
      <c r="S31" s="11"/>
      <c r="U31" s="11"/>
      <c r="V31" s="11"/>
    </row>
    <row r="32" spans="1:22" hidden="1" x14ac:dyDescent="0.25">
      <c r="A32" s="957">
        <f t="shared" ca="1" si="1"/>
        <v>0</v>
      </c>
      <c r="B32" s="4"/>
      <c r="C32" s="258"/>
      <c r="D32" s="258"/>
      <c r="E32" s="2893">
        <f>Income_TCat6_3</f>
        <v>0</v>
      </c>
      <c r="F32" s="3616">
        <f ca="1">Income_TCat6_NRA_Manual_2</f>
        <v>0</v>
      </c>
      <c r="G32" s="423" t="s">
        <v>176</v>
      </c>
      <c r="H32" s="1265" t="e">
        <f ca="1">dpIncome_TCat6_WAContractSpeculativeRent</f>
        <v>#DIV/0!</v>
      </c>
      <c r="I32" s="423" t="s">
        <v>177</v>
      </c>
      <c r="J32" s="2877">
        <f t="shared" ca="1" si="3"/>
        <v>0</v>
      </c>
      <c r="K32" s="2877"/>
      <c r="L32" s="3215">
        <f t="shared" ca="1" si="0"/>
        <v>0</v>
      </c>
      <c r="M32" s="258"/>
      <c r="N32" s="6"/>
      <c r="O32" s="11"/>
      <c r="P32" s="4337"/>
      <c r="Q32" s="11"/>
      <c r="R32" s="11"/>
      <c r="S32" s="11"/>
      <c r="U32" s="11"/>
      <c r="V32" s="11"/>
    </row>
    <row r="33" spans="1:22" hidden="1" x14ac:dyDescent="0.25">
      <c r="A33" s="957">
        <f t="shared" ca="1" si="1"/>
        <v>0</v>
      </c>
      <c r="B33" s="4"/>
      <c r="C33" s="258"/>
      <c r="D33" s="258"/>
      <c r="E33" s="2893">
        <f>Income_TCat7_3</f>
        <v>0</v>
      </c>
      <c r="F33" s="3616">
        <f ca="1">Income_TCat7_NRA_Manual_2</f>
        <v>0</v>
      </c>
      <c r="G33" s="423" t="s">
        <v>176</v>
      </c>
      <c r="H33" s="1265" t="e">
        <f ca="1">dpIncome_TCat7_WAContractSpeculativeRent</f>
        <v>#DIV/0!</v>
      </c>
      <c r="I33" s="423" t="s">
        <v>177</v>
      </c>
      <c r="J33" s="2877">
        <f t="shared" ca="1" si="3"/>
        <v>0</v>
      </c>
      <c r="K33" s="2877"/>
      <c r="L33" s="3215">
        <f t="shared" ca="1" si="0"/>
        <v>0</v>
      </c>
      <c r="M33" s="258"/>
      <c r="N33" s="6"/>
      <c r="O33" s="11"/>
      <c r="P33" s="4337"/>
      <c r="Q33" s="11"/>
      <c r="R33" s="11"/>
      <c r="S33" s="11"/>
      <c r="U33" s="11"/>
      <c r="V33" s="11"/>
    </row>
    <row r="34" spans="1:22" hidden="1" x14ac:dyDescent="0.25">
      <c r="A34" s="957">
        <f t="shared" ca="1" si="1"/>
        <v>0</v>
      </c>
      <c r="B34" s="4"/>
      <c r="C34" s="258"/>
      <c r="D34" s="258"/>
      <c r="E34" s="2893">
        <f>Income_TCat8_3</f>
        <v>0</v>
      </c>
      <c r="F34" s="3616">
        <f ca="1">Income_TCat8_NRA_Manual_2</f>
        <v>0</v>
      </c>
      <c r="G34" s="423" t="s">
        <v>176</v>
      </c>
      <c r="H34" s="1265" t="e">
        <f ca="1">dpIncome_TCat8_WAContractSpeculativeRent</f>
        <v>#DIV/0!</v>
      </c>
      <c r="I34" s="423" t="s">
        <v>177</v>
      </c>
      <c r="J34" s="2877">
        <f t="shared" ca="1" si="3"/>
        <v>0</v>
      </c>
      <c r="K34" s="2877"/>
      <c r="L34" s="3215">
        <f t="shared" ca="1" si="0"/>
        <v>0</v>
      </c>
      <c r="M34" s="258"/>
      <c r="N34" s="6"/>
      <c r="O34" s="11"/>
      <c r="P34" s="4338"/>
      <c r="Q34" s="11"/>
      <c r="R34" s="11"/>
      <c r="S34" s="11"/>
      <c r="U34" s="11"/>
      <c r="V34" s="11"/>
    </row>
    <row r="35" spans="1:22" x14ac:dyDescent="0.25">
      <c r="A35" s="957">
        <f t="shared" si="1"/>
        <v>1</v>
      </c>
      <c r="B35" s="4"/>
      <c r="C35" s="258"/>
      <c r="D35" s="258"/>
      <c r="E35" s="2895" t="s">
        <v>20050</v>
      </c>
      <c r="F35" s="3616">
        <v>16410</v>
      </c>
      <c r="G35" s="423" t="s">
        <v>176</v>
      </c>
      <c r="H35" s="1265">
        <v>16</v>
      </c>
      <c r="I35" s="423" t="s">
        <v>177</v>
      </c>
      <c r="J35" s="2877">
        <f t="shared" ref="J35:J42" si="4">ROUND(IF(OR(ISERR(F35*H35),DirectCapRentDisplay&lt;&gt;"Space Type - Market Rent"),0,F35*H35),0)</f>
        <v>262560</v>
      </c>
      <c r="K35" s="2877"/>
      <c r="L35" s="3215">
        <f t="shared" ca="1" si="0"/>
        <v>0.7417619671834742</v>
      </c>
      <c r="M35" s="258"/>
      <c r="N35" s="6"/>
      <c r="O35" s="11"/>
      <c r="P35" s="4336" t="s">
        <v>1216</v>
      </c>
      <c r="Q35" s="11"/>
      <c r="R35" s="11"/>
      <c r="S35" s="11"/>
      <c r="U35" s="11"/>
      <c r="V35" s="11"/>
    </row>
    <row r="36" spans="1:22" hidden="1" x14ac:dyDescent="0.25">
      <c r="A36" s="957">
        <v>0</v>
      </c>
      <c r="B36" s="4"/>
      <c r="C36" s="258"/>
      <c r="D36" s="258"/>
      <c r="E36" s="2893" t="s">
        <v>20036</v>
      </c>
      <c r="F36" s="3616"/>
      <c r="G36" s="423" t="s">
        <v>176</v>
      </c>
      <c r="H36" s="1265">
        <v>1.5</v>
      </c>
      <c r="I36" s="423" t="s">
        <v>177</v>
      </c>
      <c r="J36" s="2877">
        <f t="shared" si="4"/>
        <v>0</v>
      </c>
      <c r="K36" s="2877"/>
      <c r="L36" s="3215">
        <f t="shared" ca="1" si="0"/>
        <v>0</v>
      </c>
      <c r="M36" s="258"/>
      <c r="N36" s="6"/>
      <c r="O36" s="11"/>
      <c r="P36" s="4337"/>
      <c r="Q36" s="11"/>
      <c r="R36" s="11"/>
      <c r="S36" s="11"/>
      <c r="U36" s="11"/>
      <c r="V36" s="11"/>
    </row>
    <row r="37" spans="1:22" hidden="1" x14ac:dyDescent="0.25">
      <c r="A37" s="957">
        <f t="shared" ca="1" si="1"/>
        <v>0</v>
      </c>
      <c r="B37" s="4"/>
      <c r="C37" s="258"/>
      <c r="D37" s="258"/>
      <c r="E37" s="2893"/>
      <c r="F37" s="3616">
        <f ca="1">Income_TCat3_NRA</f>
        <v>0</v>
      </c>
      <c r="G37" s="423" t="s">
        <v>176</v>
      </c>
      <c r="H37" s="1265"/>
      <c r="I37" s="423" t="s">
        <v>177</v>
      </c>
      <c r="J37" s="2877">
        <f t="shared" ca="1" si="4"/>
        <v>0</v>
      </c>
      <c r="K37" s="2877"/>
      <c r="L37" s="3215">
        <f t="shared" ca="1" si="0"/>
        <v>0</v>
      </c>
      <c r="M37" s="258"/>
      <c r="N37" s="6"/>
      <c r="O37" s="11"/>
      <c r="P37" s="4337"/>
      <c r="Q37" s="11"/>
      <c r="R37" s="11"/>
      <c r="S37" s="11"/>
      <c r="U37" s="11"/>
      <c r="V37" s="11"/>
    </row>
    <row r="38" spans="1:22" hidden="1" x14ac:dyDescent="0.25">
      <c r="A38" s="957">
        <f t="shared" ca="1" si="1"/>
        <v>0</v>
      </c>
      <c r="B38" s="4"/>
      <c r="C38" s="258"/>
      <c r="D38" s="258"/>
      <c r="E38" s="2893"/>
      <c r="F38" s="3616">
        <f ca="1">Income_TCat4_NRA</f>
        <v>0</v>
      </c>
      <c r="G38" s="423" t="s">
        <v>176</v>
      </c>
      <c r="H38" s="1265"/>
      <c r="I38" s="423" t="s">
        <v>177</v>
      </c>
      <c r="J38" s="2877">
        <f t="shared" ca="1" si="4"/>
        <v>0</v>
      </c>
      <c r="K38" s="2877"/>
      <c r="L38" s="3215">
        <f t="shared" ca="1" si="0"/>
        <v>0</v>
      </c>
      <c r="M38" s="258"/>
      <c r="N38" s="6"/>
      <c r="O38" s="11"/>
      <c r="P38" s="4337"/>
      <c r="Q38" s="11"/>
      <c r="R38" s="11"/>
      <c r="S38" s="11"/>
      <c r="U38" s="11"/>
      <c r="V38" s="11"/>
    </row>
    <row r="39" spans="1:22" hidden="1" x14ac:dyDescent="0.25">
      <c r="A39" s="957">
        <f t="shared" ca="1" si="1"/>
        <v>0</v>
      </c>
      <c r="B39" s="4"/>
      <c r="C39" s="258"/>
      <c r="D39" s="258"/>
      <c r="E39" s="2893"/>
      <c r="F39" s="3616">
        <f ca="1">Income_TCat5_NRA</f>
        <v>0</v>
      </c>
      <c r="G39" s="423" t="s">
        <v>176</v>
      </c>
      <c r="H39" s="1265"/>
      <c r="I39" s="423" t="s">
        <v>177</v>
      </c>
      <c r="J39" s="2877">
        <f t="shared" ca="1" si="4"/>
        <v>0</v>
      </c>
      <c r="K39" s="2877"/>
      <c r="L39" s="3215">
        <f t="shared" ca="1" si="0"/>
        <v>0</v>
      </c>
      <c r="M39" s="258"/>
      <c r="N39" s="6"/>
      <c r="O39" s="11"/>
      <c r="P39" s="4337"/>
      <c r="Q39" s="11"/>
      <c r="R39" s="11"/>
      <c r="S39" s="11"/>
      <c r="U39" s="11"/>
      <c r="V39" s="11"/>
    </row>
    <row r="40" spans="1:22" hidden="1" x14ac:dyDescent="0.25">
      <c r="A40" s="957">
        <f t="shared" ca="1" si="1"/>
        <v>0</v>
      </c>
      <c r="B40" s="4"/>
      <c r="C40" s="258"/>
      <c r="D40" s="258"/>
      <c r="E40" s="2893"/>
      <c r="F40" s="3616">
        <f ca="1">Income_TCat6_NRA</f>
        <v>0</v>
      </c>
      <c r="G40" s="423" t="s">
        <v>176</v>
      </c>
      <c r="H40" s="1265"/>
      <c r="I40" s="423" t="s">
        <v>177</v>
      </c>
      <c r="J40" s="2877">
        <f t="shared" ca="1" si="4"/>
        <v>0</v>
      </c>
      <c r="K40" s="2877"/>
      <c r="L40" s="3215">
        <f t="shared" ca="1" si="0"/>
        <v>0</v>
      </c>
      <c r="M40" s="258"/>
      <c r="N40" s="6"/>
      <c r="O40" s="11"/>
      <c r="P40" s="4337"/>
      <c r="Q40" s="11"/>
      <c r="R40" s="11"/>
      <c r="S40" s="11"/>
      <c r="U40" s="11"/>
      <c r="V40" s="11"/>
    </row>
    <row r="41" spans="1:22" hidden="1" x14ac:dyDescent="0.25">
      <c r="A41" s="957">
        <f t="shared" ca="1" si="1"/>
        <v>0</v>
      </c>
      <c r="B41" s="4"/>
      <c r="C41" s="258"/>
      <c r="D41" s="258"/>
      <c r="E41" s="2893"/>
      <c r="F41" s="3616">
        <f ca="1">Income_TCat7_NRA</f>
        <v>0</v>
      </c>
      <c r="G41" s="423" t="s">
        <v>176</v>
      </c>
      <c r="H41" s="1265"/>
      <c r="I41" s="423" t="s">
        <v>177</v>
      </c>
      <c r="J41" s="2877">
        <f t="shared" ca="1" si="4"/>
        <v>0</v>
      </c>
      <c r="K41" s="2877"/>
      <c r="L41" s="3215">
        <f t="shared" ca="1" si="0"/>
        <v>0</v>
      </c>
      <c r="M41" s="258"/>
      <c r="N41" s="6"/>
      <c r="O41" s="11"/>
      <c r="P41" s="4337"/>
      <c r="Q41" s="11"/>
      <c r="R41" s="11"/>
      <c r="S41" s="11"/>
      <c r="U41" s="11"/>
      <c r="V41" s="11"/>
    </row>
    <row r="42" spans="1:22" hidden="1" x14ac:dyDescent="0.25">
      <c r="A42" s="957">
        <f t="shared" ca="1" si="1"/>
        <v>0</v>
      </c>
      <c r="B42" s="4"/>
      <c r="C42" s="258"/>
      <c r="D42" s="258"/>
      <c r="E42" s="2894"/>
      <c r="F42" s="3672">
        <f ca="1">Income_TCat8_NRA</f>
        <v>0</v>
      </c>
      <c r="G42" s="423" t="s">
        <v>176</v>
      </c>
      <c r="H42" s="3671"/>
      <c r="I42" s="423" t="s">
        <v>177</v>
      </c>
      <c r="J42" s="2877">
        <f t="shared" ca="1" si="4"/>
        <v>0</v>
      </c>
      <c r="K42" s="2877"/>
      <c r="L42" s="3215">
        <f t="shared" ca="1" si="0"/>
        <v>0</v>
      </c>
      <c r="M42" s="258"/>
      <c r="N42" s="6"/>
      <c r="O42" s="11"/>
      <c r="P42" s="4338"/>
      <c r="Q42" s="11"/>
      <c r="R42" s="11"/>
      <c r="S42" s="11"/>
      <c r="U42" s="11"/>
      <c r="V42" s="11"/>
    </row>
    <row r="43" spans="1:22" x14ac:dyDescent="0.25">
      <c r="A43" s="957">
        <v>1</v>
      </c>
      <c r="B43" s="4"/>
      <c r="C43" s="258"/>
      <c r="D43" s="3673" t="s">
        <v>673</v>
      </c>
      <c r="E43" s="3673"/>
      <c r="F43" s="3674"/>
      <c r="G43" s="3675"/>
      <c r="H43" s="3676"/>
      <c r="I43" s="3675"/>
      <c r="J43" s="3677">
        <f>SUBTOTAL(109,J7:J42)</f>
        <v>262560</v>
      </c>
      <c r="K43" s="3677"/>
      <c r="L43" s="3678">
        <f t="shared" ca="1" si="0"/>
        <v>0.7417619671834742</v>
      </c>
      <c r="M43" s="258"/>
      <c r="N43" s="6"/>
      <c r="O43" s="11"/>
      <c r="P43" s="11"/>
      <c r="Q43" s="11"/>
      <c r="R43" s="11"/>
      <c r="S43" s="11"/>
      <c r="T43" s="11"/>
      <c r="U43" s="11"/>
      <c r="V43" s="11"/>
    </row>
    <row r="44" spans="1:22" ht="9.9499999999999993" customHeight="1" x14ac:dyDescent="0.25">
      <c r="A44" s="957">
        <v>1</v>
      </c>
      <c r="B44" s="4"/>
      <c r="C44" s="258"/>
      <c r="D44" s="258"/>
      <c r="E44" s="258"/>
      <c r="F44" s="258"/>
      <c r="G44" s="258"/>
      <c r="H44" s="1265"/>
      <c r="I44" s="258"/>
      <c r="J44" s="3220"/>
      <c r="K44" s="3220"/>
      <c r="L44" s="3220"/>
      <c r="M44" s="258"/>
      <c r="N44" s="6"/>
      <c r="O44" s="11"/>
      <c r="P44" s="11"/>
      <c r="Q44" s="11"/>
      <c r="R44" s="11"/>
      <c r="S44" s="11"/>
      <c r="T44" s="11"/>
      <c r="U44" s="11"/>
      <c r="V44" s="11"/>
    </row>
    <row r="45" spans="1:22" ht="14.25" customHeight="1" thickBot="1" x14ac:dyDescent="0.3">
      <c r="A45" s="957">
        <f>IF(SUM(A46:A50)=0,0,1)</f>
        <v>1</v>
      </c>
      <c r="B45" s="4"/>
      <c r="C45" s="258"/>
      <c r="D45" s="3335" t="str">
        <f>IF(VacancyApplicationMethod="Applied to PGI","Potential Gross Non-Rental Income","Potential Gross Non-Rental Income (No Vacancy Applied)")</f>
        <v>Potential Gross Non-Rental Income</v>
      </c>
      <c r="E45" s="3335"/>
      <c r="F45" s="258"/>
      <c r="G45" s="258"/>
      <c r="H45" s="1265"/>
      <c r="I45" s="258"/>
      <c r="J45" s="3220"/>
      <c r="K45" s="3220"/>
      <c r="L45" s="3220"/>
      <c r="M45" s="258"/>
      <c r="N45" s="6"/>
      <c r="O45" s="11"/>
      <c r="P45" s="11"/>
      <c r="Q45" s="11"/>
      <c r="R45" s="11"/>
      <c r="S45" s="11"/>
      <c r="T45" s="11"/>
      <c r="U45" s="11"/>
      <c r="V45" s="11"/>
    </row>
    <row r="46" spans="1:22" hidden="1" x14ac:dyDescent="0.25">
      <c r="A46" s="957">
        <f>Income_PercentageRent</f>
        <v>0</v>
      </c>
      <c r="B46" s="4"/>
      <c r="C46" s="258"/>
      <c r="D46" s="258"/>
      <c r="E46" s="2893" t="str">
        <f>'Other Income Estimates'!D5</f>
        <v>Percentage Rent</v>
      </c>
      <c r="F46" s="258"/>
      <c r="G46" s="258"/>
      <c r="H46" s="1265">
        <f>dpIncome_Inc_PercentRent_Stabilized</f>
        <v>0</v>
      </c>
      <c r="I46" s="258"/>
      <c r="J46" s="3220">
        <f>ROUND(dpIncome_Inc_PercentRent_Stabilized*Subject_NRA,0)</f>
        <v>0</v>
      </c>
      <c r="K46" s="3220"/>
      <c r="L46" s="3215">
        <f t="shared" ref="L46:L51" ca="1" si="5">J46/dpIncome_DirectCap_EGI</f>
        <v>0</v>
      </c>
      <c r="M46" s="258"/>
      <c r="N46" s="6"/>
    </row>
    <row r="47" spans="1:22" ht="15" hidden="1" thickBot="1" x14ac:dyDescent="0.3">
      <c r="A47" s="957">
        <f>Income_ParkingIncome</f>
        <v>0</v>
      </c>
      <c r="B47" s="4"/>
      <c r="C47" s="258"/>
      <c r="D47" s="258"/>
      <c r="E47" s="2893" t="str">
        <f>'Other Income Estimates'!D17</f>
        <v>Parking Income</v>
      </c>
      <c r="F47" s="258"/>
      <c r="G47" s="258"/>
      <c r="H47" s="1265">
        <f>dpIncome_Inc_ParkingInc_Stabilized</f>
        <v>0</v>
      </c>
      <c r="I47" s="258"/>
      <c r="J47" s="3220">
        <f>ROUND(dpIncome_Inc_ParkingInc_Stabilized*Subject_NRA,0)</f>
        <v>0</v>
      </c>
      <c r="K47" s="3220"/>
      <c r="L47" s="3215">
        <f t="shared" ca="1" si="5"/>
        <v>0</v>
      </c>
      <c r="M47" s="258"/>
      <c r="N47" s="6"/>
    </row>
    <row r="48" spans="1:22" ht="15" thickBot="1" x14ac:dyDescent="0.3">
      <c r="A48" s="957">
        <f>IF(SUM('Income Expense History'!W20:W74)&gt;0,1,0)</f>
        <v>1</v>
      </c>
      <c r="B48" s="4"/>
      <c r="C48" s="258"/>
      <c r="D48" s="258"/>
      <c r="E48" s="2893" t="s">
        <v>291</v>
      </c>
      <c r="F48" s="258"/>
      <c r="G48" s="258"/>
      <c r="H48" s="1265">
        <f ca="1">Income_DirectCap_Total_ExpReimb/Subject_NRA*(Subject_NRA-dpIncome_ReimbOverride)/Subject_NRA</f>
        <v>0.54492180031356352</v>
      </c>
      <c r="I48" s="258"/>
      <c r="J48" s="3220">
        <f ca="1">ROUND(H48*Subject_NRA,0)</f>
        <v>114002</v>
      </c>
      <c r="K48" s="3220"/>
      <c r="L48" s="3215">
        <f t="shared" ca="1" si="5"/>
        <v>0.32206866157392761</v>
      </c>
      <c r="M48" s="258"/>
      <c r="N48" s="6"/>
      <c r="P48" s="2366"/>
      <c r="Q48" s="12" t="s">
        <v>17982</v>
      </c>
    </row>
    <row r="49" spans="1:30" hidden="1" x14ac:dyDescent="0.25">
      <c r="A49" s="957">
        <f>Income_UserDefined</f>
        <v>0</v>
      </c>
      <c r="B49" s="4"/>
      <c r="C49" s="258"/>
      <c r="D49" s="258"/>
      <c r="E49" s="2893" t="str">
        <f>'Other Income Estimates'!D29</f>
        <v>User Defined Income Category</v>
      </c>
      <c r="F49" s="258"/>
      <c r="G49" s="258"/>
      <c r="H49" s="1265">
        <f>dpIncome_Inc_UserDefInc_Stabilized</f>
        <v>0</v>
      </c>
      <c r="I49" s="258"/>
      <c r="J49" s="3220">
        <f>ROUND(dpIncome_Inc_UserDefInc_Stabilized*Subject_NRA,0)</f>
        <v>0</v>
      </c>
      <c r="K49" s="3220"/>
      <c r="L49" s="3215">
        <f t="shared" ca="1" si="5"/>
        <v>0</v>
      </c>
      <c r="M49" s="258"/>
      <c r="N49" s="6"/>
    </row>
    <row r="50" spans="1:30" hidden="1" x14ac:dyDescent="0.25">
      <c r="A50" s="957">
        <f>Income_OtherIncome</f>
        <v>0</v>
      </c>
      <c r="B50" s="4"/>
      <c r="C50" s="258"/>
      <c r="D50" s="258"/>
      <c r="E50" s="2893" t="str">
        <f>'Other Income Estimates'!D41</f>
        <v>Other Income</v>
      </c>
      <c r="F50" s="258"/>
      <c r="G50" s="258"/>
      <c r="H50" s="3671">
        <f>dpIncome_Inc_OtherIncome_Stabilized</f>
        <v>0</v>
      </c>
      <c r="I50" s="258"/>
      <c r="J50" s="3220">
        <f>ROUND(dpIncome_Inc_OtherIncome_Stabilized*Subject_NRA,0)</f>
        <v>0</v>
      </c>
      <c r="K50" s="3220"/>
      <c r="L50" s="3215">
        <f t="shared" ca="1" si="5"/>
        <v>0</v>
      </c>
      <c r="M50" s="258"/>
      <c r="N50" s="6"/>
    </row>
    <row r="51" spans="1:30" x14ac:dyDescent="0.25">
      <c r="A51" s="957">
        <f>IF(SUM(A46:A50)=0,0,1)</f>
        <v>1</v>
      </c>
      <c r="B51" s="4"/>
      <c r="C51" s="258"/>
      <c r="D51" s="3673" t="s">
        <v>964</v>
      </c>
      <c r="E51" s="3673"/>
      <c r="F51" s="3673"/>
      <c r="G51" s="3673"/>
      <c r="H51" s="3679">
        <f ca="1">Income_DirectCap_Total_PGNRI/Subject_NRA</f>
        <v>0.54492180031356352</v>
      </c>
      <c r="I51" s="3673"/>
      <c r="J51" s="3680">
        <f ca="1">SUBTOTAL(109,J46:J50)</f>
        <v>114002</v>
      </c>
      <c r="K51" s="3680"/>
      <c r="L51" s="3678">
        <f t="shared" ca="1" si="5"/>
        <v>0.32206866157392761</v>
      </c>
      <c r="M51" s="258"/>
      <c r="N51" s="6"/>
    </row>
    <row r="52" spans="1:30" ht="9.9499999999999993" customHeight="1" x14ac:dyDescent="0.25">
      <c r="A52" s="957">
        <f>A51</f>
        <v>1</v>
      </c>
      <c r="B52" s="4"/>
      <c r="C52" s="258"/>
      <c r="D52" s="258"/>
      <c r="E52" s="258"/>
      <c r="F52" s="258"/>
      <c r="G52" s="258"/>
      <c r="H52" s="1265"/>
      <c r="I52" s="258"/>
      <c r="J52" s="258"/>
      <c r="K52" s="258"/>
      <c r="L52" s="258"/>
      <c r="M52" s="258"/>
      <c r="N52" s="6"/>
    </row>
    <row r="53" spans="1:30" x14ac:dyDescent="0.25">
      <c r="A53" s="957">
        <v>1</v>
      </c>
      <c r="B53" s="4"/>
      <c r="C53" s="258"/>
      <c r="D53" s="3335" t="s">
        <v>746</v>
      </c>
      <c r="E53" s="3335"/>
      <c r="F53" s="3335"/>
      <c r="G53" s="3335"/>
      <c r="H53" s="3679">
        <f ca="1">Income_DirectCap_PGI/Subject_NRA</f>
        <v>1.7999407288440212</v>
      </c>
      <c r="I53" s="3335"/>
      <c r="J53" s="3681">
        <f ca="1">J43+J51</f>
        <v>376562</v>
      </c>
      <c r="K53" s="3681"/>
      <c r="L53" s="3682">
        <f ca="1">J53/dpIncome_DirectCap_EGI</f>
        <v>1.0638306287574018</v>
      </c>
      <c r="M53" s="258"/>
      <c r="N53" s="6"/>
    </row>
    <row r="54" spans="1:30" ht="9.9499999999999993" customHeight="1" x14ac:dyDescent="0.25">
      <c r="A54" s="957">
        <v>1</v>
      </c>
      <c r="B54" s="4"/>
      <c r="C54" s="258"/>
      <c r="D54" s="258"/>
      <c r="E54" s="258"/>
      <c r="F54" s="258"/>
      <c r="G54" s="258"/>
      <c r="H54" s="1265"/>
      <c r="I54" s="258"/>
      <c r="J54" s="258"/>
      <c r="K54" s="258"/>
      <c r="L54" s="258"/>
      <c r="M54" s="258"/>
      <c r="N54" s="6"/>
    </row>
    <row r="55" spans="1:30" ht="14.25" hidden="1" customHeight="1" x14ac:dyDescent="0.25">
      <c r="A55" s="957">
        <v>0</v>
      </c>
      <c r="B55" s="4"/>
      <c r="C55" s="258"/>
      <c r="D55" s="258"/>
      <c r="E55" s="1241" t="s">
        <v>509</v>
      </c>
      <c r="F55" s="778">
        <v>0.02</v>
      </c>
      <c r="G55" s="258"/>
      <c r="H55" s="1265"/>
      <c r="I55" s="258"/>
      <c r="J55" s="258"/>
      <c r="K55" s="258"/>
      <c r="L55" s="258"/>
      <c r="M55" s="258"/>
      <c r="N55" s="6"/>
    </row>
    <row r="56" spans="1:30" ht="14.25" hidden="1" customHeight="1" x14ac:dyDescent="0.25">
      <c r="A56" s="957">
        <v>0</v>
      </c>
      <c r="B56" s="4"/>
      <c r="C56" s="258"/>
      <c r="D56" s="258"/>
      <c r="E56" s="1241" t="s">
        <v>432</v>
      </c>
      <c r="F56" s="778">
        <v>0.01</v>
      </c>
      <c r="G56" s="258"/>
      <c r="H56" s="1265"/>
      <c r="I56" s="258"/>
      <c r="J56" s="258"/>
      <c r="K56" s="258"/>
      <c r="L56" s="258"/>
      <c r="M56" s="258"/>
      <c r="N56" s="6"/>
    </row>
    <row r="57" spans="1:30" x14ac:dyDescent="0.25">
      <c r="A57" s="957">
        <v>1</v>
      </c>
      <c r="B57" s="4"/>
      <c r="C57" s="258"/>
      <c r="D57" s="258"/>
      <c r="E57" s="3683" t="s">
        <v>965</v>
      </c>
      <c r="F57" s="3684">
        <v>0.06</v>
      </c>
      <c r="G57" s="3685"/>
      <c r="H57" s="3671">
        <f ca="1">J57/Subject_NRA</f>
        <v>0.10799778211158273</v>
      </c>
      <c r="I57" s="3685"/>
      <c r="J57" s="3221">
        <f ca="1">IF(VacancyApplicationMethod="Applied to PGI",ROUND(Income_DirectCap_PGI*F57,0),ROUND(Income_DirectCap_Total_PGRI*F57,0))</f>
        <v>22594</v>
      </c>
      <c r="K57" s="3685"/>
      <c r="L57" s="3686">
        <f ca="1">J57/dpIncome_DirectCap_EGI</f>
        <v>6.3830628757401794E-2</v>
      </c>
      <c r="M57" s="258"/>
      <c r="N57" s="6"/>
      <c r="AD57" s="10">
        <f>5796+8912</f>
        <v>14708</v>
      </c>
    </row>
    <row r="58" spans="1:30" x14ac:dyDescent="0.25">
      <c r="A58" s="957">
        <v>1</v>
      </c>
      <c r="B58" s="4"/>
      <c r="C58" s="258"/>
      <c r="D58" s="3687" t="s">
        <v>747</v>
      </c>
      <c r="E58" s="3673"/>
      <c r="F58" s="3688"/>
      <c r="G58" s="3688"/>
      <c r="H58" s="3689">
        <f ca="1">J58/Subject_NRA</f>
        <v>1.6919429467324385</v>
      </c>
      <c r="I58" s="3688"/>
      <c r="J58" s="3690">
        <f ca="1">J53-J57</f>
        <v>353968</v>
      </c>
      <c r="K58" s="3690"/>
      <c r="L58" s="3691">
        <f ca="1">J58/dpIncome_DirectCap_EGI</f>
        <v>1</v>
      </c>
      <c r="M58" s="258"/>
      <c r="N58" s="6"/>
    </row>
    <row r="59" spans="1:30" ht="9.9499999999999993" customHeight="1" x14ac:dyDescent="0.25">
      <c r="A59" s="957">
        <v>1</v>
      </c>
      <c r="B59" s="4"/>
      <c r="C59" s="258"/>
      <c r="D59" s="258"/>
      <c r="E59" s="258"/>
      <c r="F59" s="258"/>
      <c r="G59" s="258"/>
      <c r="H59" s="1265"/>
      <c r="I59" s="258"/>
      <c r="J59" s="258"/>
      <c r="K59" s="258"/>
      <c r="L59" s="258"/>
      <c r="M59" s="258"/>
      <c r="N59" s="6"/>
    </row>
    <row r="60" spans="1:30" x14ac:dyDescent="0.25">
      <c r="A60" s="957">
        <f>IF(SUM(A61:A76)=0,0,1)</f>
        <v>1</v>
      </c>
      <c r="B60" s="4"/>
      <c r="C60" s="258"/>
      <c r="D60" s="3531" t="s">
        <v>421</v>
      </c>
      <c r="E60" s="3531"/>
      <c r="F60" s="258"/>
      <c r="G60" s="258"/>
      <c r="H60" s="1265"/>
      <c r="I60" s="258"/>
      <c r="J60" s="258"/>
      <c r="K60" s="258"/>
      <c r="L60" s="258"/>
      <c r="M60" s="258"/>
      <c r="N60" s="6"/>
    </row>
    <row r="61" spans="1:30" x14ac:dyDescent="0.25">
      <c r="A61" s="957">
        <f>IF(Expense_RealEstateTax_Reimb=1,1,0)</f>
        <v>1</v>
      </c>
      <c r="B61" s="4"/>
      <c r="C61" s="258"/>
      <c r="D61" s="258"/>
      <c r="E61" s="2893" t="str">
        <f>dpIncome_ExpenseCat_1</f>
        <v>Real Estate Taxes</v>
      </c>
      <c r="F61" s="258"/>
      <c r="G61" s="258"/>
      <c r="H61" s="1265">
        <f>IF(Expense_RealEstateTax_Reimb=1,dpIncome_Expense_RETax_Stabilized,0)</f>
        <v>5.5</v>
      </c>
      <c r="I61" s="258"/>
      <c r="J61" s="3220">
        <f>+Income_TCat1_NRA_Manual_2*Income_Expense_RETax_Stabilized_1</f>
        <v>90255</v>
      </c>
      <c r="K61" s="3220"/>
      <c r="L61" s="3215">
        <f ca="1">J61/dpIncome_DirectCap_EGI</f>
        <v>0.25498067621931925</v>
      </c>
      <c r="M61" s="258"/>
      <c r="N61" s="6"/>
      <c r="U61" s="10">
        <f ca="1">+dpIncome_DirectCap_EGI*0.03</f>
        <v>10619.039999999999</v>
      </c>
    </row>
    <row r="62" spans="1:30" hidden="1" x14ac:dyDescent="0.25">
      <c r="A62" s="957">
        <f>IF(Expense_OtherTaxes_Reimb=1,1,0)</f>
        <v>0</v>
      </c>
      <c r="B62" s="4"/>
      <c r="C62" s="258"/>
      <c r="D62" s="258"/>
      <c r="E62" s="2893" t="str">
        <f>dpIncome_ExpenseCat_2</f>
        <v>Other Taxes</v>
      </c>
      <c r="F62" s="258"/>
      <c r="G62" s="258"/>
      <c r="H62" s="1265">
        <f>IF(Expense_OtherTaxes_Reimb=1,dpIncome_Expense_OtherTaxes_Stabilized,0)</f>
        <v>0</v>
      </c>
      <c r="I62" s="258"/>
      <c r="J62" s="3220">
        <f>ROUND(Income_Expense_OtherTaxes_Stabilized_1*Subject_NRA,0)</f>
        <v>0</v>
      </c>
      <c r="K62" s="3220"/>
      <c r="L62" s="3215">
        <f ca="1">J62/dpIncome_DirectCap_EGI</f>
        <v>0</v>
      </c>
      <c r="M62" s="258"/>
      <c r="N62" s="6"/>
    </row>
    <row r="63" spans="1:30" x14ac:dyDescent="0.25">
      <c r="A63" s="957">
        <f>IF(Expense_Insurance_Reimb=1,1,0)</f>
        <v>1</v>
      </c>
      <c r="B63" s="4"/>
      <c r="C63" s="258"/>
      <c r="D63" s="258"/>
      <c r="E63" s="2893" t="str">
        <f>dpIncome_ExpenseCat_3</f>
        <v>Property Insurance</v>
      </c>
      <c r="F63" s="258"/>
      <c r="G63" s="258"/>
      <c r="H63" s="1265">
        <v>0.3</v>
      </c>
      <c r="I63" s="258"/>
      <c r="J63" s="3220">
        <f>+Income_TCat1_NRA_Manual_2*0.3</f>
        <v>4923</v>
      </c>
      <c r="K63" s="3220"/>
      <c r="L63" s="3215">
        <f ca="1">J63/dpIncome_DirectCap_EGI</f>
        <v>1.3908036884690141E-2</v>
      </c>
      <c r="M63" s="258"/>
      <c r="N63" s="6"/>
    </row>
    <row r="64" spans="1:30" x14ac:dyDescent="0.25">
      <c r="A64" s="957">
        <f>IF(Expense_MgmtFees_Reimb=1,1,0)</f>
        <v>1</v>
      </c>
      <c r="B64" s="4"/>
      <c r="C64" s="258"/>
      <c r="D64" s="258"/>
      <c r="E64" s="2893" t="str">
        <f>dpIncome_ExpenseCat_4</f>
        <v>Management Fees</v>
      </c>
      <c r="F64" s="258"/>
      <c r="G64" s="258"/>
      <c r="H64" s="1265">
        <f ca="1">IF(Expense_MgmtFees_Reimb=1,'Direct Capitalization'!J64/Subject_NRA,0)</f>
        <v>5.0758097204695804E-2</v>
      </c>
      <c r="I64" s="258"/>
      <c r="J64" s="3220">
        <f ca="1">ROUND(IF(Expense_MgmtFees_Reimb=1,Income_Expense_MgmtFees_Stabilized_1*dpIncome_DirectCap_EGI,0),0)</f>
        <v>10619</v>
      </c>
      <c r="K64" s="3220"/>
      <c r="L64" s="3507">
        <f>dpIncome_Expense_MgmtFees_Stabilized</f>
        <v>0.03</v>
      </c>
      <c r="M64" s="258"/>
      <c r="N64" s="6"/>
    </row>
    <row r="65" spans="1:14" hidden="1" x14ac:dyDescent="0.25">
      <c r="A65" s="957">
        <f>IF(Expense_Administrative_Reimb=1,1,0)</f>
        <v>0</v>
      </c>
      <c r="B65" s="4"/>
      <c r="C65" s="258"/>
      <c r="D65" s="258"/>
      <c r="E65" s="2893" t="str">
        <f>dpIncome_ExpenseCat_5</f>
        <v>Administrative</v>
      </c>
      <c r="F65" s="258"/>
      <c r="G65" s="258"/>
      <c r="H65" s="1265">
        <f>IF(Expense_Administrative_Reimb=1,dpIncome_Expense_Admin_Stabilized,0)</f>
        <v>0</v>
      </c>
      <c r="I65" s="258"/>
      <c r="J65" s="2877">
        <f>ROUND(Income_Expense_Admin_Stabilized_1*Subject_NRA,0)</f>
        <v>0</v>
      </c>
      <c r="K65" s="2877"/>
      <c r="L65" s="3215">
        <f t="shared" ref="L65:L98" ca="1" si="6">J65/dpIncome_DirectCap_EGI</f>
        <v>0</v>
      </c>
      <c r="M65" s="258"/>
      <c r="N65" s="6"/>
    </row>
    <row r="66" spans="1:14" hidden="1" x14ac:dyDescent="0.25">
      <c r="A66" s="957">
        <f>IF(Expense_Utilities_Reimb=1,1,0)</f>
        <v>0</v>
      </c>
      <c r="B66" s="4"/>
      <c r="C66" s="258"/>
      <c r="D66" s="258"/>
      <c r="E66" s="2893" t="str">
        <f>dpIncome_ExpenseCat_6</f>
        <v>Utilities</v>
      </c>
      <c r="F66" s="258"/>
      <c r="G66" s="258"/>
      <c r="H66" s="1265">
        <f>IF(Expense_Utilities_Reimb=1,dpIncome_Expense_Utilities_Stabilized,0)</f>
        <v>0</v>
      </c>
      <c r="I66" s="258"/>
      <c r="J66" s="2877">
        <f>ROUND(Income_Expense_Utilities_Stabilized_1*Subject_NRA,0)</f>
        <v>0</v>
      </c>
      <c r="K66" s="2877"/>
      <c r="L66" s="3215">
        <f t="shared" ca="1" si="6"/>
        <v>0</v>
      </c>
      <c r="M66" s="258"/>
      <c r="N66" s="6"/>
    </row>
    <row r="67" spans="1:14" x14ac:dyDescent="0.25">
      <c r="A67" s="957">
        <f>IF(Expense_RepairsMaintenance_Reimb=1,1,0)</f>
        <v>1</v>
      </c>
      <c r="B67" s="4"/>
      <c r="C67" s="258"/>
      <c r="D67" s="258"/>
      <c r="E67" s="2893" t="str">
        <f>dpIncome_ExpenseCat_7</f>
        <v>Repairs &amp; Maintenance</v>
      </c>
      <c r="F67" s="258"/>
      <c r="G67" s="258"/>
      <c r="H67" s="1265">
        <v>0.5</v>
      </c>
      <c r="I67" s="258"/>
      <c r="J67" s="2877">
        <f>+Income_TCat1_NRA_Manual_2*0.5</f>
        <v>8205</v>
      </c>
      <c r="K67" s="2877"/>
      <c r="L67" s="3215">
        <f t="shared" ca="1" si="6"/>
        <v>2.3180061474483569E-2</v>
      </c>
      <c r="M67" s="258"/>
      <c r="N67" s="6"/>
    </row>
    <row r="68" spans="1:14" hidden="1" x14ac:dyDescent="0.25">
      <c r="A68" s="957">
        <f>IF(Expense_CAM_Reimb=1,1,0)</f>
        <v>0</v>
      </c>
      <c r="B68" s="4"/>
      <c r="C68" s="258"/>
      <c r="D68" s="258"/>
      <c r="E68" s="2893" t="str">
        <f>dpIncome_ExpenseCat_8</f>
        <v>Common Area Maintenance</v>
      </c>
      <c r="F68" s="258"/>
      <c r="G68" s="258"/>
      <c r="H68" s="1265">
        <f>IF(Expense_CAM_Reimb=1,dpIncome_Expense_CAM_Stabilized,0)</f>
        <v>0</v>
      </c>
      <c r="I68" s="258"/>
      <c r="J68" s="2877">
        <f>ROUND(Income_Expense_CAM_Stabilized_1*Subject_NRA,0)</f>
        <v>0</v>
      </c>
      <c r="K68" s="2877"/>
      <c r="L68" s="3215">
        <f t="shared" ca="1" si="6"/>
        <v>0</v>
      </c>
      <c r="M68" s="258"/>
      <c r="N68" s="6"/>
    </row>
    <row r="69" spans="1:14" hidden="1" x14ac:dyDescent="0.25">
      <c r="A69" s="957">
        <f>IF(Expense_CleaningJanitorial_Reimb=1,1,0)</f>
        <v>0</v>
      </c>
      <c r="B69" s="4"/>
      <c r="C69" s="258"/>
      <c r="D69" s="258"/>
      <c r="E69" s="2893" t="str">
        <f>dpIncome_ExpenseCat_9</f>
        <v>Cleaning &amp; Janitorial</v>
      </c>
      <c r="F69" s="258"/>
      <c r="G69" s="258"/>
      <c r="H69" s="1265">
        <f>IF(Expense_CleaningJanitorial_Reimb=1,dpIncome_Expense_CJ_Stabilized,0)</f>
        <v>0</v>
      </c>
      <c r="I69" s="258"/>
      <c r="J69" s="2877">
        <f>ROUND(Income_Expense_CJ_Stabilized_1*Subject_NRA,0)</f>
        <v>0</v>
      </c>
      <c r="K69" s="2877"/>
      <c r="L69" s="3215">
        <f t="shared" ca="1" si="6"/>
        <v>0</v>
      </c>
      <c r="M69" s="258"/>
      <c r="N69" s="6"/>
    </row>
    <row r="70" spans="1:14" hidden="1" x14ac:dyDescent="0.25">
      <c r="A70" s="957">
        <f>IF(Expense_Leasing_Reimb=1,1,0)</f>
        <v>0</v>
      </c>
      <c r="B70" s="4"/>
      <c r="C70" s="258"/>
      <c r="D70" s="258"/>
      <c r="E70" s="2893" t="str">
        <f>dpIncome_ExpenseCat_10</f>
        <v>Leasing Expenses</v>
      </c>
      <c r="F70" s="258"/>
      <c r="G70" s="258"/>
      <c r="H70" s="1265">
        <f>IF(Expense_Leasing_Reimb=1,dpIncome_Expense_Leasing_Stabilized,0)</f>
        <v>0</v>
      </c>
      <c r="I70" s="258"/>
      <c r="J70" s="2877">
        <f>ROUND(Income_Expense_Leasing_Stabilized_1*Subject_NRA,0)</f>
        <v>0</v>
      </c>
      <c r="K70" s="2877"/>
      <c r="L70" s="3215">
        <f t="shared" ca="1" si="6"/>
        <v>0</v>
      </c>
      <c r="M70" s="258"/>
      <c r="N70" s="6"/>
    </row>
    <row r="71" spans="1:14" hidden="1" x14ac:dyDescent="0.25">
      <c r="A71" s="957">
        <f>IF(Expense_Payroll_Reimb=1,1,0)</f>
        <v>0</v>
      </c>
      <c r="B71" s="4"/>
      <c r="C71" s="258"/>
      <c r="D71" s="258"/>
      <c r="E71" s="2893" t="str">
        <f>dpIncome_ExpenseCat_11</f>
        <v>Payroll</v>
      </c>
      <c r="F71" s="258"/>
      <c r="G71" s="258"/>
      <c r="H71" s="1265">
        <f>IF(Expense_Payroll_Reimb=1,dpIncome_Expense_Payroll_Stabilized,0)</f>
        <v>0</v>
      </c>
      <c r="I71" s="258"/>
      <c r="J71" s="2877">
        <f>ROUND(Income_Expense_Payroll_Stabilized_1*Subject_NRA,0)</f>
        <v>0</v>
      </c>
      <c r="K71" s="2877"/>
      <c r="L71" s="3215">
        <f t="shared" ca="1" si="6"/>
        <v>0</v>
      </c>
      <c r="M71" s="258"/>
      <c r="N71" s="6"/>
    </row>
    <row r="72" spans="1:14" hidden="1" x14ac:dyDescent="0.25">
      <c r="A72" s="957">
        <f>IF(Expense_Security_Reimb=1,1,0)</f>
        <v>0</v>
      </c>
      <c r="B72" s="4"/>
      <c r="C72" s="258"/>
      <c r="D72" s="258"/>
      <c r="E72" s="2893" t="str">
        <f>dpIncome_ExpenseCat_12</f>
        <v>Security</v>
      </c>
      <c r="F72" s="258"/>
      <c r="G72" s="258"/>
      <c r="H72" s="1265">
        <f>IF(Expense_Security_Reimb=1,dpIncome_Expense_Security_Stabilized,0)</f>
        <v>0</v>
      </c>
      <c r="I72" s="258"/>
      <c r="J72" s="2877">
        <f>ROUND(Income_Expense_Security_Stabilized_1*Subject_NRA,0)</f>
        <v>0</v>
      </c>
      <c r="K72" s="2877"/>
      <c r="L72" s="3215">
        <f t="shared" ca="1" si="6"/>
        <v>0</v>
      </c>
      <c r="M72" s="258"/>
      <c r="N72" s="6"/>
    </row>
    <row r="73" spans="1:14" hidden="1" x14ac:dyDescent="0.25">
      <c r="A73" s="957">
        <f>IF(Expense_RoadsGrounds_Reimb=1,1,0)</f>
        <v>0</v>
      </c>
      <c r="B73" s="4"/>
      <c r="C73" s="258"/>
      <c r="D73" s="258"/>
      <c r="E73" s="2893" t="str">
        <f>dpIncome_ExpenseCat_13</f>
        <v>Roads &amp; Grounds</v>
      </c>
      <c r="F73" s="258"/>
      <c r="G73" s="258"/>
      <c r="H73" s="1265">
        <f>IF(Expense_RoadsGrounds_Reimb=1,dpIncome_Expense_RG_Stabilized,0)</f>
        <v>0</v>
      </c>
      <c r="I73" s="258"/>
      <c r="J73" s="2877">
        <f>ROUND(Income_Expense_RG_Stabilized_1*Subject_NRA,0)</f>
        <v>0</v>
      </c>
      <c r="K73" s="2877"/>
      <c r="L73" s="3215">
        <f t="shared" ca="1" si="6"/>
        <v>0</v>
      </c>
      <c r="M73" s="258"/>
      <c r="N73" s="6"/>
    </row>
    <row r="74" spans="1:14" hidden="1" x14ac:dyDescent="0.25">
      <c r="A74" s="957">
        <f>IF(Expense_OtherOps_Reimb=1,1,0)</f>
        <v>0</v>
      </c>
      <c r="B74" s="4"/>
      <c r="C74" s="258"/>
      <c r="D74" s="258"/>
      <c r="E74" s="2893" t="str">
        <f>dpIncome_ExpenseCat_14</f>
        <v>Other Operating Expenses</v>
      </c>
      <c r="F74" s="258"/>
      <c r="G74" s="258"/>
      <c r="H74" s="1265">
        <f>IF(Expense_OtherOps_Reimb=1,dpIncome_Expense_OtherOps_Stabilized,0)</f>
        <v>0</v>
      </c>
      <c r="I74" s="258"/>
      <c r="J74" s="2877">
        <f>ROUND(Income_Expense_OtherOps_Stabilized_1*Subject_NRA,0)</f>
        <v>0</v>
      </c>
      <c r="K74" s="2877"/>
      <c r="L74" s="3215">
        <f t="shared" ca="1" si="6"/>
        <v>0</v>
      </c>
      <c r="M74" s="258"/>
      <c r="N74" s="6"/>
    </row>
    <row r="75" spans="1:14" hidden="1" x14ac:dyDescent="0.25">
      <c r="A75" s="957">
        <f>IF(Expense_LandlordCosts_Reimb=1,1,0)</f>
        <v>0</v>
      </c>
      <c r="B75" s="4"/>
      <c r="C75" s="258"/>
      <c r="D75" s="258"/>
      <c r="E75" s="2893" t="str">
        <f>dpIncome_ExpenseCat_15</f>
        <v>Landlord Costs</v>
      </c>
      <c r="F75" s="258"/>
      <c r="G75" s="258"/>
      <c r="H75" s="1265">
        <f>IF(Expense_LandlordCosts_Reimb=1,dpIncome_Expense_LC_Stabilized,0)</f>
        <v>0</v>
      </c>
      <c r="I75" s="258"/>
      <c r="J75" s="2877">
        <f>ROUND(Income_Expense_LC_Stabilized_1*Subject_NRA,0)</f>
        <v>0</v>
      </c>
      <c r="K75" s="2877"/>
      <c r="L75" s="3215">
        <f t="shared" ca="1" si="6"/>
        <v>0</v>
      </c>
      <c r="M75" s="258"/>
      <c r="N75" s="6"/>
    </row>
    <row r="76" spans="1:14" hidden="1" x14ac:dyDescent="0.25">
      <c r="A76" s="957">
        <f>IF(Expense_ReplacementReserves_Reimb=1,1,0)</f>
        <v>0</v>
      </c>
      <c r="B76" s="4"/>
      <c r="C76" s="258"/>
      <c r="D76" s="258"/>
      <c r="E76" s="2893" t="str">
        <f>dpIncome_ExpenseCat_16</f>
        <v>Replacement Reserves</v>
      </c>
      <c r="F76" s="258"/>
      <c r="G76" s="258"/>
      <c r="H76" s="3671">
        <f>IF(Expense_ReplacementReserves_Reimb=1,dpIncome_Expense_Reserves_Stabilized,0)</f>
        <v>0</v>
      </c>
      <c r="I76" s="258"/>
      <c r="J76" s="2877">
        <f>ROUND(Income_Expense_Reserves_Stabilized_1*Subject_NRA,0)</f>
        <v>0</v>
      </c>
      <c r="K76" s="2877"/>
      <c r="L76" s="3215">
        <f ca="1">J76/dpIncome_DirectCap_EGI</f>
        <v>0</v>
      </c>
      <c r="M76" s="258"/>
      <c r="N76" s="6"/>
    </row>
    <row r="77" spans="1:14" x14ac:dyDescent="0.25">
      <c r="A77" s="957">
        <f>IF(SUM(A61:A76)=0,0,1)</f>
        <v>1</v>
      </c>
      <c r="B77" s="4"/>
      <c r="C77" s="258"/>
      <c r="D77" s="3687" t="s">
        <v>422</v>
      </c>
      <c r="E77" s="3673"/>
      <c r="F77" s="3688"/>
      <c r="G77" s="3688"/>
      <c r="H77" s="3676">
        <f ca="1">Income_DirectCap_Total_ExpReimb/Subject_NRA</f>
        <v>0.54492180031356352</v>
      </c>
      <c r="I77" s="3687"/>
      <c r="J77" s="3692">
        <f ca="1">SUBTOTAL(109,J61:J76)</f>
        <v>114002</v>
      </c>
      <c r="K77" s="3692"/>
      <c r="L77" s="3691">
        <f t="shared" ca="1" si="6"/>
        <v>0.32206866157392761</v>
      </c>
      <c r="M77" s="258"/>
      <c r="N77" s="6"/>
    </row>
    <row r="78" spans="1:14" ht="9.9499999999999993" customHeight="1" x14ac:dyDescent="0.25">
      <c r="A78" s="957">
        <f>A77</f>
        <v>1</v>
      </c>
      <c r="B78" s="4"/>
      <c r="C78" s="258"/>
      <c r="D78" s="3335"/>
      <c r="E78" s="3335"/>
      <c r="F78" s="258"/>
      <c r="G78" s="258"/>
      <c r="H78" s="1265"/>
      <c r="I78" s="258"/>
      <c r="J78" s="2877"/>
      <c r="K78" s="2877"/>
      <c r="L78" s="3215"/>
      <c r="M78" s="258"/>
      <c r="N78" s="6"/>
    </row>
    <row r="79" spans="1:14" x14ac:dyDescent="0.25">
      <c r="A79" s="957">
        <f>IF(SUM(A80:A95)=0,0,1)</f>
        <v>1</v>
      </c>
      <c r="B79" s="4"/>
      <c r="C79" s="258"/>
      <c r="D79" s="3531" t="s">
        <v>423</v>
      </c>
      <c r="E79" s="3531"/>
      <c r="F79" s="258"/>
      <c r="G79" s="258"/>
      <c r="H79" s="1265"/>
      <c r="I79" s="258"/>
      <c r="J79" s="2877"/>
      <c r="K79" s="2877"/>
      <c r="L79" s="3215"/>
      <c r="M79" s="258"/>
      <c r="N79" s="6"/>
    </row>
    <row r="80" spans="1:14" hidden="1" x14ac:dyDescent="0.25">
      <c r="A80" s="957">
        <f>IF(Expense_RealEstateTax_NonReimb=1,1,0)</f>
        <v>0</v>
      </c>
      <c r="B80" s="4"/>
      <c r="C80" s="258"/>
      <c r="D80" s="258"/>
      <c r="E80" s="2893" t="str">
        <f>dpIncome_ExpenseCat_1</f>
        <v>Real Estate Taxes</v>
      </c>
      <c r="F80" s="258"/>
      <c r="G80" s="258"/>
      <c r="H80" s="1265">
        <f>IF(Expense_RealEstateTax_NonReimb=1,dpIncome_Expense_RETax_Stabilized,0)</f>
        <v>0</v>
      </c>
      <c r="I80" s="258"/>
      <c r="J80" s="3220">
        <f>ROUND(Income_Expense_RETax_Stabilized_2*Subject_NRA,0)</f>
        <v>0</v>
      </c>
      <c r="K80" s="2877"/>
      <c r="L80" s="3215">
        <f ca="1">J80/dpIncome_DirectCap_EGI</f>
        <v>0</v>
      </c>
      <c r="M80" s="258"/>
      <c r="N80" s="6"/>
    </row>
    <row r="81" spans="1:14" hidden="1" x14ac:dyDescent="0.25">
      <c r="A81" s="957">
        <f>IF(Expense_OtherTaxes_NonReimb=1,1,0)</f>
        <v>0</v>
      </c>
      <c r="B81" s="4"/>
      <c r="C81" s="258"/>
      <c r="D81" s="258"/>
      <c r="E81" s="2893" t="str">
        <f>dpIncome_ExpenseCat_2</f>
        <v>Other Taxes</v>
      </c>
      <c r="F81" s="258"/>
      <c r="G81" s="258"/>
      <c r="H81" s="1265">
        <f>IF(Expense_OtherTaxes_NonReimb=1,dpIncome_Expense_OtherTaxes_Stabilized,0)</f>
        <v>0</v>
      </c>
      <c r="I81" s="258"/>
      <c r="J81" s="3220">
        <f>ROUND(Income_Expense_OtherTaxes_Stabilized_2*Subject_NRA,0)</f>
        <v>0</v>
      </c>
      <c r="K81" s="2877"/>
      <c r="L81" s="3215">
        <f ca="1">J81/dpIncome_DirectCap_EGI</f>
        <v>0</v>
      </c>
      <c r="M81" s="258"/>
      <c r="N81" s="6"/>
    </row>
    <row r="82" spans="1:14" hidden="1" x14ac:dyDescent="0.25">
      <c r="A82" s="957">
        <f>IF(Expense_Insurance_NonReimb=1,1,0)</f>
        <v>0</v>
      </c>
      <c r="B82" s="4"/>
      <c r="C82" s="258"/>
      <c r="D82" s="258"/>
      <c r="E82" s="2893" t="str">
        <f>dpIncome_ExpenseCat_3</f>
        <v>Property Insurance</v>
      </c>
      <c r="F82" s="258"/>
      <c r="G82" s="258"/>
      <c r="H82" s="1265">
        <f>IF(Expense_Insurance_NonReimb=1,dpIncome_Expense_Insurance_Stabilized,0)</f>
        <v>0</v>
      </c>
      <c r="I82" s="258"/>
      <c r="J82" s="3220">
        <f>ROUND(Income_Expense_Insurance_Stabilized_2*Subject_NRA,0)</f>
        <v>0</v>
      </c>
      <c r="K82" s="2877"/>
      <c r="L82" s="3215">
        <f ca="1">J82/dpIncome_DirectCap_EGI</f>
        <v>0</v>
      </c>
      <c r="M82" s="258"/>
      <c r="N82" s="6"/>
    </row>
    <row r="83" spans="1:14" hidden="1" x14ac:dyDescent="0.25">
      <c r="A83" s="957">
        <f>IF(Expense_MgmtFees_NonReimb=1,1,0)</f>
        <v>0</v>
      </c>
      <c r="B83" s="4"/>
      <c r="C83" s="258"/>
      <c r="D83" s="258"/>
      <c r="E83" s="2893" t="str">
        <f>dpIncome_ExpenseCat_4</f>
        <v>Management Fees</v>
      </c>
      <c r="F83" s="258"/>
      <c r="G83" s="258"/>
      <c r="H83" s="1265">
        <f>IF(Expense_MgmtFees_NonReimb=1,'Direct Capitalization'!J83/Subject_NRA,0)</f>
        <v>0</v>
      </c>
      <c r="I83" s="258"/>
      <c r="J83" s="3220">
        <f>ROUND(IF(Expense_MgmtFees_NonReimb=1,Income_Expense_MgmtFees_Stabilized_2*dpIncome_DirectCap_EGI,0),0)</f>
        <v>0</v>
      </c>
      <c r="K83" s="2877"/>
      <c r="L83" s="3507">
        <f>dpIncome_Expense_MgmtFees_Stabilized</f>
        <v>0.03</v>
      </c>
      <c r="M83" s="258"/>
      <c r="N83" s="6"/>
    </row>
    <row r="84" spans="1:14" hidden="1" x14ac:dyDescent="0.25">
      <c r="A84" s="957">
        <f>IF(Expense_Administrative_NonReimb=1,1,0)</f>
        <v>0</v>
      </c>
      <c r="B84" s="4"/>
      <c r="C84" s="258"/>
      <c r="D84" s="258"/>
      <c r="E84" s="2893" t="str">
        <f>dpIncome_ExpenseCat_5</f>
        <v>Administrative</v>
      </c>
      <c r="F84" s="258"/>
      <c r="G84" s="258"/>
      <c r="H84" s="1265">
        <f>IF(Expense_Administrative_NonReimb=1,dpIncome_Expense_Admin_Stabilized,0)</f>
        <v>0</v>
      </c>
      <c r="I84" s="258"/>
      <c r="J84" s="2877">
        <f>ROUND(Income_Expense_Admin_Stabilized_2*Subject_NRA,0)</f>
        <v>0</v>
      </c>
      <c r="K84" s="2877"/>
      <c r="L84" s="3215">
        <f t="shared" ca="1" si="6"/>
        <v>0</v>
      </c>
      <c r="M84" s="258"/>
      <c r="N84" s="6"/>
    </row>
    <row r="85" spans="1:14" hidden="1" x14ac:dyDescent="0.25">
      <c r="A85" s="957">
        <f>IF(Expense_Utilities_NonReimb=1,1,0)</f>
        <v>0</v>
      </c>
      <c r="B85" s="4"/>
      <c r="C85" s="258"/>
      <c r="D85" s="258"/>
      <c r="E85" s="2893" t="str">
        <f>dpIncome_ExpenseCat_6</f>
        <v>Utilities</v>
      </c>
      <c r="F85" s="258"/>
      <c r="G85" s="258"/>
      <c r="H85" s="1265">
        <f>IF(Expense_Utilities_NonReimb=1,dpIncome_Expense_Utilities_Stabilized,0)</f>
        <v>0</v>
      </c>
      <c r="I85" s="258"/>
      <c r="J85" s="2877">
        <f>ROUND(Income_Expense_Utilities_Stabilized_2*Subject_NRA,0)</f>
        <v>0</v>
      </c>
      <c r="K85" s="2877"/>
      <c r="L85" s="3215">
        <f t="shared" ca="1" si="6"/>
        <v>0</v>
      </c>
      <c r="M85" s="258"/>
      <c r="N85" s="6"/>
    </row>
    <row r="86" spans="1:14" hidden="1" x14ac:dyDescent="0.25">
      <c r="A86" s="957">
        <f>IF(Expense_RepairsMaintenance_NonReimb=1,1,0)</f>
        <v>0</v>
      </c>
      <c r="B86" s="4"/>
      <c r="C86" s="258"/>
      <c r="D86" s="258"/>
      <c r="E86" s="2893" t="str">
        <f>dpIncome_ExpenseCat_7</f>
        <v>Repairs &amp; Maintenance</v>
      </c>
      <c r="F86" s="258"/>
      <c r="G86" s="258"/>
      <c r="H86" s="1265">
        <f>IF(Expense_RepairsMaintenance_NonReimb=1,dpIncome_Expense_RM_Stabilized,0)</f>
        <v>0</v>
      </c>
      <c r="I86" s="258"/>
      <c r="J86" s="2877">
        <f>ROUND(Income_Expense_RM_Stabilized_2*Subject_NRA,0)</f>
        <v>0</v>
      </c>
      <c r="K86" s="2877"/>
      <c r="L86" s="3215">
        <f t="shared" ca="1" si="6"/>
        <v>0</v>
      </c>
      <c r="M86" s="258"/>
      <c r="N86" s="6"/>
    </row>
    <row r="87" spans="1:14" hidden="1" x14ac:dyDescent="0.25">
      <c r="A87" s="957">
        <f>IF(Expense_CAM_NonReimb=1,1,0)</f>
        <v>0</v>
      </c>
      <c r="B87" s="4"/>
      <c r="C87" s="258"/>
      <c r="D87" s="258"/>
      <c r="E87" s="2893" t="str">
        <f>dpIncome_ExpenseCat_8</f>
        <v>Common Area Maintenance</v>
      </c>
      <c r="F87" s="258"/>
      <c r="G87" s="258"/>
      <c r="H87" s="1265">
        <f>IF(Expense_CAM_NonReimb=1,dpIncome_Expense_CAM_Stabilized,0)</f>
        <v>0</v>
      </c>
      <c r="I87" s="258"/>
      <c r="J87" s="2877">
        <f>ROUND(Income_Expense_CAM_Stabilized_2*Subject_NRA,0)</f>
        <v>0</v>
      </c>
      <c r="K87" s="2877"/>
      <c r="L87" s="3215">
        <f t="shared" ca="1" si="6"/>
        <v>0</v>
      </c>
      <c r="M87" s="258"/>
      <c r="N87" s="6"/>
    </row>
    <row r="88" spans="1:14" hidden="1" x14ac:dyDescent="0.25">
      <c r="A88" s="957">
        <f>IF(Expense_CleaningJanitorial_NonReimb=1,1,0)</f>
        <v>0</v>
      </c>
      <c r="B88" s="4"/>
      <c r="C88" s="258"/>
      <c r="D88" s="258"/>
      <c r="E88" s="2893" t="str">
        <f>dpIncome_ExpenseCat_9</f>
        <v>Cleaning &amp; Janitorial</v>
      </c>
      <c r="F88" s="258"/>
      <c r="G88" s="258"/>
      <c r="H88" s="1265">
        <f>IF(Expense_CleaningJanitorial_NonReimb=1,dpIncome_Expense_CJ_Stabilized,0)</f>
        <v>0</v>
      </c>
      <c r="I88" s="258"/>
      <c r="J88" s="2877">
        <f>ROUND(Income_Expense_CJ_Stabilized_2*Subject_NRA,0)</f>
        <v>0</v>
      </c>
      <c r="K88" s="2877"/>
      <c r="L88" s="3215">
        <f t="shared" ca="1" si="6"/>
        <v>0</v>
      </c>
      <c r="M88" s="258"/>
      <c r="N88" s="6"/>
    </row>
    <row r="89" spans="1:14" hidden="1" x14ac:dyDescent="0.25">
      <c r="A89" s="957">
        <f>IF(Expense_Leasing_NonReimb=1,1,0)</f>
        <v>0</v>
      </c>
      <c r="B89" s="4"/>
      <c r="C89" s="258"/>
      <c r="D89" s="258"/>
      <c r="E89" s="2893" t="str">
        <f>dpIncome_ExpenseCat_10</f>
        <v>Leasing Expenses</v>
      </c>
      <c r="F89" s="258"/>
      <c r="G89" s="258"/>
      <c r="H89" s="1265">
        <f>IF(Expense_Leasing_NonReimb=1,dpIncome_Expense_Leasing_Stabilized,0)</f>
        <v>0</v>
      </c>
      <c r="I89" s="258"/>
      <c r="J89" s="2877">
        <f>ROUND(Income_Expense_Leasing_Stabilized_2*Subject_NRA,0)</f>
        <v>0</v>
      </c>
      <c r="K89" s="2877"/>
      <c r="L89" s="3215">
        <f t="shared" ca="1" si="6"/>
        <v>0</v>
      </c>
      <c r="M89" s="258"/>
      <c r="N89" s="6"/>
    </row>
    <row r="90" spans="1:14" hidden="1" x14ac:dyDescent="0.25">
      <c r="A90" s="957">
        <f>IF(Expense_Payroll_NonReimb=1,1,0)</f>
        <v>0</v>
      </c>
      <c r="B90" s="4"/>
      <c r="C90" s="258"/>
      <c r="D90" s="258"/>
      <c r="E90" s="2893" t="str">
        <f>dpIncome_ExpenseCat_11</f>
        <v>Payroll</v>
      </c>
      <c r="F90" s="258"/>
      <c r="G90" s="258"/>
      <c r="H90" s="1265">
        <f>IF(Expense_Payroll_NonReimb=1,dpIncome_Expense_Payroll_Stabilized,0)</f>
        <v>0</v>
      </c>
      <c r="I90" s="258"/>
      <c r="J90" s="2877">
        <f>ROUND(Income_Expense_Payroll_Stabilized_2*Subject_NRA,0)</f>
        <v>0</v>
      </c>
      <c r="K90" s="2877"/>
      <c r="L90" s="3215">
        <f t="shared" ca="1" si="6"/>
        <v>0</v>
      </c>
      <c r="M90" s="258"/>
      <c r="N90" s="6"/>
    </row>
    <row r="91" spans="1:14" hidden="1" x14ac:dyDescent="0.25">
      <c r="A91" s="957">
        <f>IF(Expense_Security_NonReimb=1,1,0)</f>
        <v>0</v>
      </c>
      <c r="B91" s="4"/>
      <c r="C91" s="258"/>
      <c r="D91" s="258"/>
      <c r="E91" s="2893" t="str">
        <f>dpIncome_ExpenseCat_12</f>
        <v>Security</v>
      </c>
      <c r="F91" s="258"/>
      <c r="G91" s="258"/>
      <c r="H91" s="1265">
        <f>IF(Expense_Security_NonReimb=1,dpIncome_Expense_Security_Stabilized,0)</f>
        <v>0</v>
      </c>
      <c r="I91" s="258"/>
      <c r="J91" s="2877">
        <f>ROUND(Income_Expense_Security_Stabilized_2*Subject_NRA,0)</f>
        <v>0</v>
      </c>
      <c r="K91" s="2877"/>
      <c r="L91" s="3215">
        <f t="shared" ca="1" si="6"/>
        <v>0</v>
      </c>
      <c r="M91" s="258"/>
      <c r="N91" s="6"/>
    </row>
    <row r="92" spans="1:14" hidden="1" x14ac:dyDescent="0.25">
      <c r="A92" s="957">
        <f>IF(Expense_RoadsGrounds_NonReimb=1,1,0)</f>
        <v>0</v>
      </c>
      <c r="B92" s="4"/>
      <c r="C92" s="258"/>
      <c r="D92" s="258"/>
      <c r="E92" s="2893" t="str">
        <f>dpIncome_ExpenseCat_13</f>
        <v>Roads &amp; Grounds</v>
      </c>
      <c r="F92" s="258"/>
      <c r="G92" s="258"/>
      <c r="H92" s="1265">
        <f>IF(Expense_RoadsGrounds_NonReimb=1,dpIncome_Expense_RG_Stabilized,0)</f>
        <v>0</v>
      </c>
      <c r="I92" s="258"/>
      <c r="J92" s="2877">
        <f>ROUND(Income_Expense_RG_Stabilized_2*Subject_NRA,0)</f>
        <v>0</v>
      </c>
      <c r="K92" s="2877"/>
      <c r="L92" s="3215">
        <f t="shared" ca="1" si="6"/>
        <v>0</v>
      </c>
      <c r="M92" s="258"/>
      <c r="N92" s="6"/>
    </row>
    <row r="93" spans="1:14" hidden="1" x14ac:dyDescent="0.25">
      <c r="A93" s="957">
        <f>IF(Expense_OtherOps_NonReimb=1,1,0)</f>
        <v>0</v>
      </c>
      <c r="B93" s="4"/>
      <c r="C93" s="258"/>
      <c r="D93" s="258"/>
      <c r="E93" s="2893" t="str">
        <f>dpIncome_ExpenseCat_14</f>
        <v>Other Operating Expenses</v>
      </c>
      <c r="F93" s="258"/>
      <c r="G93" s="258"/>
      <c r="H93" s="1265">
        <f>IF(Expense_OtherOps_NonReimb=1,dpIncome_Expense_OtherOps_Stabilized,0)</f>
        <v>0</v>
      </c>
      <c r="I93" s="258"/>
      <c r="J93" s="2877">
        <f>ROUND(Income_Expense_OtherOps_Stabilized_2*Subject_NRA,0)</f>
        <v>0</v>
      </c>
      <c r="K93" s="2877"/>
      <c r="L93" s="3215">
        <f t="shared" ca="1" si="6"/>
        <v>0</v>
      </c>
      <c r="M93" s="258"/>
      <c r="N93" s="6"/>
    </row>
    <row r="94" spans="1:14" x14ac:dyDescent="0.25">
      <c r="A94" s="957">
        <f>IF(Expense_LandlordCosts_NonReimb=1,1,0)</f>
        <v>1</v>
      </c>
      <c r="B94" s="4"/>
      <c r="C94" s="258"/>
      <c r="D94" s="258"/>
      <c r="E94" s="2893" t="str">
        <f>dpIncome_ExpenseCat_15</f>
        <v>Landlord Costs</v>
      </c>
      <c r="F94" s="258"/>
      <c r="G94" s="258"/>
      <c r="H94" s="1265">
        <f>IF(Expense_LandlordCosts_NonReimb=1,dpIncome_Expense_LC_Stabilized,0)</f>
        <v>0.2</v>
      </c>
      <c r="I94" s="258"/>
      <c r="J94" s="2877">
        <f>ROUND(Income_Expense_LC_Stabilized_2*Subject_NRA,0)</f>
        <v>41842</v>
      </c>
      <c r="K94" s="2877"/>
      <c r="L94" s="3215">
        <f t="shared" ca="1" si="6"/>
        <v>0.11820842562039506</v>
      </c>
      <c r="M94" s="258"/>
      <c r="N94" s="6"/>
    </row>
    <row r="95" spans="1:14" x14ac:dyDescent="0.25">
      <c r="A95" s="957">
        <f>IF(Expense_ReplacementReserves_NonReimb=1,1,0)</f>
        <v>1</v>
      </c>
      <c r="B95" s="4"/>
      <c r="C95" s="258"/>
      <c r="D95" s="258"/>
      <c r="E95" s="2893" t="str">
        <f>dpIncome_ExpenseCat_16</f>
        <v>Replacement Reserves</v>
      </c>
      <c r="F95" s="258"/>
      <c r="G95" s="258"/>
      <c r="H95" s="3671">
        <f>IF(Expense_ReplacementReserves_NonReimb=1,dpIncome_Expense_Reserves_Stabilized,0)</f>
        <v>0.3</v>
      </c>
      <c r="I95" s="258"/>
      <c r="J95" s="2877">
        <f>ROUND(Income_Expense_Reserves_Stabilized_2*Subject_NRA,0)</f>
        <v>62762</v>
      </c>
      <c r="K95" s="2877"/>
      <c r="L95" s="3215">
        <f t="shared" ca="1" si="6"/>
        <v>0.17730981331645798</v>
      </c>
      <c r="M95" s="258"/>
      <c r="N95" s="6"/>
    </row>
    <row r="96" spans="1:14" x14ac:dyDescent="0.25">
      <c r="A96" s="957">
        <f>IF(SUM(A80:A95)=0,0,1)</f>
        <v>1</v>
      </c>
      <c r="B96" s="4"/>
      <c r="C96" s="258"/>
      <c r="D96" s="3687" t="s">
        <v>424</v>
      </c>
      <c r="E96" s="3673"/>
      <c r="F96" s="3688"/>
      <c r="G96" s="3688"/>
      <c r="H96" s="3676">
        <f>Income_DirectCap_Total_ExpNonReimb/Subject_NRA</f>
        <v>0.5</v>
      </c>
      <c r="I96" s="3687"/>
      <c r="J96" s="3690">
        <f>SUBTOTAL(109,J80:J95)</f>
        <v>104604</v>
      </c>
      <c r="K96" s="3690"/>
      <c r="L96" s="3691">
        <f t="shared" ca="1" si="6"/>
        <v>0.29551823893685303</v>
      </c>
      <c r="M96" s="258"/>
      <c r="N96" s="6"/>
    </row>
    <row r="97" spans="1:26" ht="9.9499999999999993" customHeight="1" x14ac:dyDescent="0.25">
      <c r="A97" s="957">
        <f>A96</f>
        <v>1</v>
      </c>
      <c r="B97" s="4"/>
      <c r="C97" s="258"/>
      <c r="D97" s="3335"/>
      <c r="E97" s="3335"/>
      <c r="F97" s="258"/>
      <c r="G97" s="258"/>
      <c r="H97" s="3679"/>
      <c r="I97" s="3335"/>
      <c r="J97" s="3681"/>
      <c r="K97" s="3681"/>
      <c r="L97" s="3682"/>
      <c r="M97" s="258"/>
      <c r="N97" s="6"/>
    </row>
    <row r="98" spans="1:26" x14ac:dyDescent="0.25">
      <c r="A98" s="957">
        <v>1</v>
      </c>
      <c r="B98" s="4"/>
      <c r="C98" s="258"/>
      <c r="D98" s="3335" t="s">
        <v>963</v>
      </c>
      <c r="E98" s="3335"/>
      <c r="F98" s="258"/>
      <c r="G98" s="258"/>
      <c r="H98" s="3693">
        <f ca="1">ROUND(Income_DirectCap_Total_OpEx/Subject_NRA,2)</f>
        <v>1.04</v>
      </c>
      <c r="I98" s="3335"/>
      <c r="J98" s="3694">
        <f ca="1">SUM(J77,J96)</f>
        <v>218606</v>
      </c>
      <c r="K98" s="3335"/>
      <c r="L98" s="3695">
        <f t="shared" ca="1" si="6"/>
        <v>0.61758690051078069</v>
      </c>
      <c r="M98" s="258"/>
      <c r="N98" s="6"/>
    </row>
    <row r="99" spans="1:26" ht="9.9499999999999993" customHeight="1" x14ac:dyDescent="0.25">
      <c r="A99" s="957">
        <v>1</v>
      </c>
      <c r="B99" s="4"/>
      <c r="C99" s="258"/>
      <c r="D99" s="258"/>
      <c r="E99" s="258"/>
      <c r="F99" s="258"/>
      <c r="G99" s="258"/>
      <c r="H99" s="423"/>
      <c r="I99" s="258"/>
      <c r="J99" s="258"/>
      <c r="K99" s="258"/>
      <c r="L99" s="258"/>
      <c r="M99" s="258"/>
      <c r="N99" s="6"/>
    </row>
    <row r="100" spans="1:26" x14ac:dyDescent="0.25">
      <c r="A100" s="957">
        <v>1</v>
      </c>
      <c r="B100" s="4"/>
      <c r="C100" s="258"/>
      <c r="D100" s="3335" t="str">
        <f>IF(Income_TechniqueUsed="Direct Capitalization","Stabilized Net Operating Income (NOI)","Year 1 Net Operating Income (NOI)")</f>
        <v>Stabilized Net Operating Income (NOI)</v>
      </c>
      <c r="E100" s="3335"/>
      <c r="F100" s="258"/>
      <c r="G100" s="258"/>
      <c r="H100" s="3679">
        <f ca="1">ROUND(Income_DirectCap_NOI/Subject_NRA,2)</f>
        <v>0.65</v>
      </c>
      <c r="I100" s="3335"/>
      <c r="J100" s="3681">
        <f ca="1">TRUNC(dpIncome_DirectCap_EGI-Income_DirectCap_Total_OpEx)</f>
        <v>135362</v>
      </c>
      <c r="K100" s="3681"/>
      <c r="L100" s="3696">
        <f ca="1">Income_DirectCap_NOI/dpIncome_DirectCap_EGI</f>
        <v>0.38241309948921937</v>
      </c>
      <c r="M100" s="258"/>
      <c r="N100" s="6"/>
    </row>
    <row r="101" spans="1:26" ht="0.95" customHeight="1" thickBot="1" x14ac:dyDescent="0.3">
      <c r="A101" s="957">
        <v>1</v>
      </c>
      <c r="B101" s="4"/>
      <c r="C101" s="258"/>
      <c r="D101" s="3451"/>
      <c r="E101" s="3451"/>
      <c r="F101" s="2888"/>
      <c r="G101" s="2888"/>
      <c r="H101" s="3697"/>
      <c r="I101" s="3451"/>
      <c r="J101" s="3698"/>
      <c r="K101" s="3698"/>
      <c r="L101" s="3498"/>
      <c r="M101" s="258"/>
      <c r="N101" s="6"/>
    </row>
    <row r="102" spans="1:26" ht="15" thickBot="1" x14ac:dyDescent="0.3">
      <c r="A102" s="957">
        <v>1</v>
      </c>
      <c r="B102" s="4"/>
      <c r="C102" s="5"/>
      <c r="D102" s="556" t="s">
        <v>926</v>
      </c>
      <c r="E102" s="556"/>
      <c r="F102" s="5"/>
      <c r="G102" s="5"/>
      <c r="H102" s="245"/>
      <c r="I102" s="21"/>
      <c r="J102" s="244"/>
      <c r="K102" s="244"/>
      <c r="L102" s="230"/>
      <c r="M102" s="5"/>
      <c r="N102" s="6"/>
    </row>
    <row r="103" spans="1:26" ht="15" thickBot="1" x14ac:dyDescent="0.3">
      <c r="A103" s="957">
        <v>1</v>
      </c>
      <c r="B103" s="186"/>
      <c r="C103" s="186"/>
      <c r="D103" s="247"/>
      <c r="E103" s="247"/>
      <c r="F103" s="186"/>
      <c r="G103" s="186"/>
      <c r="H103" s="248"/>
      <c r="I103" s="247"/>
      <c r="J103" s="249"/>
      <c r="K103" s="249"/>
      <c r="L103" s="250"/>
      <c r="M103" s="234"/>
      <c r="N103" s="234"/>
    </row>
    <row r="104" spans="1:26" x14ac:dyDescent="0.25">
      <c r="A104" s="957">
        <v>1</v>
      </c>
      <c r="B104" s="4"/>
      <c r="C104" s="5"/>
      <c r="D104" s="21"/>
      <c r="E104" s="21"/>
      <c r="F104" s="5"/>
      <c r="G104" s="5"/>
      <c r="H104" s="245"/>
      <c r="I104" s="21"/>
      <c r="J104" s="244"/>
      <c r="K104" s="244"/>
      <c r="L104" s="230"/>
      <c r="M104" s="228"/>
      <c r="R104" s="1"/>
      <c r="S104" s="2"/>
      <c r="T104" s="2"/>
      <c r="U104" s="2"/>
      <c r="V104" s="2"/>
      <c r="W104" s="2"/>
      <c r="X104" s="2"/>
      <c r="Y104" s="2"/>
      <c r="Z104" s="3"/>
    </row>
    <row r="105" spans="1:26" ht="15.95" customHeight="1" x14ac:dyDescent="0.3">
      <c r="A105" s="957">
        <v>1</v>
      </c>
      <c r="B105" s="4"/>
      <c r="C105" s="3765"/>
      <c r="D105" s="3952" t="str">
        <f>IF(AND(dpSort_DOV_2="N/A",dpSort_DOV_3="N/A"),"Direct Capitalization Technique Value Indication","Direct Capitalization Technique Value Indications")</f>
        <v>Direct Capitalization Technique Value Indication</v>
      </c>
      <c r="E105" s="3952"/>
      <c r="F105" s="3765"/>
      <c r="G105" s="3765"/>
      <c r="H105" s="3954"/>
      <c r="I105" s="3777"/>
      <c r="J105" s="3955"/>
      <c r="K105" s="3955"/>
      <c r="L105" s="251"/>
      <c r="M105" s="232"/>
      <c r="R105" s="4"/>
      <c r="S105" s="17"/>
      <c r="T105" s="17" t="s">
        <v>957</v>
      </c>
      <c r="U105" s="17"/>
      <c r="V105" s="17"/>
      <c r="W105" s="17"/>
      <c r="X105" s="17"/>
      <c r="Y105" s="17"/>
      <c r="Z105" s="6"/>
    </row>
    <row r="106" spans="1:26" s="36" customFormat="1" ht="18" customHeight="1" x14ac:dyDescent="0.25">
      <c r="A106" s="972">
        <v>1</v>
      </c>
      <c r="B106" s="87"/>
      <c r="C106" s="259"/>
      <c r="D106" s="3699" t="s">
        <v>18548</v>
      </c>
      <c r="E106" s="3699"/>
      <c r="F106" s="259"/>
      <c r="G106" s="259"/>
      <c r="H106" s="259"/>
      <c r="I106" s="259"/>
      <c r="J106" s="3700">
        <f ca="1">Income_DirectCap_NOI</f>
        <v>135362</v>
      </c>
      <c r="K106" s="3701"/>
      <c r="L106" s="2157" t="s">
        <v>44</v>
      </c>
      <c r="M106" s="879"/>
      <c r="R106" s="87"/>
      <c r="S106" s="424"/>
      <c r="T106" s="1104">
        <f ca="1">Income_DirectCap_NOI</f>
        <v>135362</v>
      </c>
      <c r="U106" s="1104">
        <f ca="1">Income_DirectCap_NOI</f>
        <v>135362</v>
      </c>
      <c r="V106" s="1105">
        <f ca="1">Income_DirectCap_NOI</f>
        <v>135362</v>
      </c>
      <c r="W106" s="1104">
        <f ca="1">Income_DirectCap_NOI</f>
        <v>135362</v>
      </c>
      <c r="X106" s="1104">
        <f ca="1">Income_DirectCap_NOI</f>
        <v>135362</v>
      </c>
      <c r="Y106" s="424"/>
      <c r="Z106" s="89"/>
    </row>
    <row r="107" spans="1:26" ht="18" customHeight="1" thickBot="1" x14ac:dyDescent="0.35">
      <c r="A107" s="957">
        <v>1</v>
      </c>
      <c r="B107" s="4"/>
      <c r="C107" s="258"/>
      <c r="D107" s="2893" t="str">
        <f>IF(Main_GroundLease=FALSE,"Divided by Overall Capitalization Rate","Divided by Land Capitalization Rate")</f>
        <v>Divided by Overall Capitalization Rate</v>
      </c>
      <c r="E107" s="2893"/>
      <c r="F107" s="258"/>
      <c r="G107" s="258"/>
      <c r="H107" s="423"/>
      <c r="I107" s="3702" t="s">
        <v>439</v>
      </c>
      <c r="J107" s="616">
        <v>6.7500000000000004E-2</v>
      </c>
      <c r="K107" s="3218"/>
      <c r="L107" s="1097" t="s">
        <v>1450</v>
      </c>
      <c r="M107" s="228"/>
      <c r="R107" s="4"/>
      <c r="S107" s="101"/>
      <c r="T107" s="725">
        <f>dpIncome_OAR-0.005</f>
        <v>6.25E-2</v>
      </c>
      <c r="U107" s="725">
        <f>dpIncome_OAR-0.0025</f>
        <v>6.5000000000000002E-2</v>
      </c>
      <c r="V107" s="617">
        <f>dpIncome_OAR</f>
        <v>6.7500000000000004E-2</v>
      </c>
      <c r="W107" s="725">
        <f>dpIncome_OAR+0.0025</f>
        <v>7.0000000000000007E-2</v>
      </c>
      <c r="X107" s="725">
        <f>dpIncome_OAR+0.005</f>
        <v>7.2500000000000009E-2</v>
      </c>
      <c r="Y107" s="101"/>
      <c r="Z107" s="6"/>
    </row>
    <row r="108" spans="1:26" ht="14.25" hidden="1" customHeight="1" thickBot="1" x14ac:dyDescent="0.3">
      <c r="A108" s="957">
        <f>IF(SUM(A109:A113)=0,0,1)</f>
        <v>0</v>
      </c>
      <c r="B108" s="4"/>
      <c r="C108" s="258"/>
      <c r="D108" s="3335" t="str">
        <f>IF(AND(Sort_NumValues=1,SUM(A109:A113)=0),dpSort_ValueScenario_1,IF(Sort_Perspective_1="Prospective",IF(ISERR(SEARCH("Stabilization",Sort_Premise_1)),CONCATENATE("Preliminary Prospective Upon Stabilization ",dpSort_Interest_1," Value Indication"),CONCATENATE("Preliminary Prospective ",Sort_Premise_1," ",dpSort_Interest_1," Value Indication")),IF(Sort_Perspective_1="Retrospective",IF(ISERR(SEARCH("Stabilization",Sort_Premise_1)),CONCATENATE("Preliminary Retrospective As Stabilized ",dpSort_Interest_1," Indication"),CONCATENATE("Retrospective ",Sort_Premise_1,dpSort_Interest_1," Indication")),CONCATENATE("Preliminary As Stabilized ",dpSort_Interest_1," Value Indication"))))</f>
        <v>Retrospective Fee Simple Market Value Indication</v>
      </c>
      <c r="E108" s="3335"/>
      <c r="F108" s="3335"/>
      <c r="G108" s="3335"/>
      <c r="H108" s="3335"/>
      <c r="I108" s="4339">
        <f ca="1">MROUND(Income_DirectCap_NOI/Income_OAR2,INDEX(Rounding_Options,MATCH(P108,Rounding_Label,0),2))</f>
        <v>2000000</v>
      </c>
      <c r="J108" s="4340"/>
      <c r="K108" s="3338"/>
      <c r="L108" s="33" t="str">
        <f>IFERROR(IF(dpUnit_Sales="Net Rentable Area",dpIncome_DirectCap_Preliminary/Subject_NRA,IF(dpUnit_Sales="Gross Building Area",dpIncome_DirectCap_Preliminary/Subject_GBA,dpIncome_DirectCap_Preliminary/Subject_Units)),"")</f>
        <v/>
      </c>
      <c r="M108" s="228"/>
      <c r="O108" s="150" t="s">
        <v>991</v>
      </c>
      <c r="P108" s="702" t="s">
        <v>1038</v>
      </c>
      <c r="R108" s="4"/>
      <c r="S108" s="101"/>
      <c r="T108" s="618">
        <f ca="1">Income_DirectCap_NOI/T107</f>
        <v>2165792</v>
      </c>
      <c r="U108" s="618">
        <f ca="1">Income_DirectCap_NOI/U107</f>
        <v>2082492.3076923075</v>
      </c>
      <c r="V108" s="619">
        <f ca="1">Income_DirectCap_NOI/dpIncome_OAR</f>
        <v>2005362.9629629629</v>
      </c>
      <c r="W108" s="618">
        <f ca="1">Income_DirectCap_NOI/W107</f>
        <v>1933742.857142857</v>
      </c>
      <c r="X108" s="618">
        <f ca="1">Income_DirectCap_NOI/X107</f>
        <v>1867062.068965517</v>
      </c>
      <c r="Y108" s="101"/>
      <c r="Z108" s="6"/>
    </row>
    <row r="109" spans="1:26" ht="14.25" hidden="1" customHeight="1" x14ac:dyDescent="0.25">
      <c r="A109" s="957">
        <f>IF(ValueAdj_Select1=1,1,0)</f>
        <v>0</v>
      </c>
      <c r="B109" s="4"/>
      <c r="C109" s="258"/>
      <c r="D109" s="3449" t="str">
        <f>IF(ValueAdj_Select1=1,1,"")</f>
        <v/>
      </c>
      <c r="E109" s="2893" t="s">
        <v>259</v>
      </c>
      <c r="F109" s="258"/>
      <c r="G109" s="258"/>
      <c r="H109" s="258"/>
      <c r="I109" s="426"/>
      <c r="J109" s="3455">
        <f>IF(ValueAdj_Select1=1,-dpCost_CurableItemCost_Total,0)</f>
        <v>0</v>
      </c>
      <c r="K109" s="2877"/>
      <c r="L109" s="5"/>
      <c r="M109" s="228"/>
      <c r="R109" s="4"/>
      <c r="S109" s="101"/>
      <c r="T109" s="625">
        <f>IF(ValueAdj_Select1=1,-dpCost_CurableItemCost_Total,0)</f>
        <v>0</v>
      </c>
      <c r="U109" s="625">
        <f>IF(ValueAdj_Select1=1,-dpCost_CurableItemCost_Total,0)</f>
        <v>0</v>
      </c>
      <c r="V109" s="620">
        <f>IF(ValueAdj_Select1=1,-dpCost_CurableItemCost_Total,0)</f>
        <v>0</v>
      </c>
      <c r="W109" s="625">
        <f>IF(ValueAdj_Select1=1,-dpCost_CurableItemCost_Total,0)</f>
        <v>0</v>
      </c>
      <c r="X109" s="625">
        <f>IF(ValueAdj_Select1=1,-dpCost_CurableItemCost_Total,0)</f>
        <v>0</v>
      </c>
      <c r="Y109" s="101"/>
      <c r="Z109" s="6"/>
    </row>
    <row r="110" spans="1:26" ht="14.25" hidden="1" customHeight="1" x14ac:dyDescent="0.25">
      <c r="A110" s="957">
        <f>IF(ValueAdj_Select2=1,1,0)</f>
        <v>0</v>
      </c>
      <c r="B110" s="4"/>
      <c r="C110" s="258"/>
      <c r="D110" s="3449"/>
      <c r="E110" s="1241" t="str">
        <f>IF(AdjSelect_LeaseUp_Income=TRUE,IF(ValueAdj_Select2=1,"Less Lease-Up Discount:","N/A"),"N/A")</f>
        <v>N/A</v>
      </c>
      <c r="F110" s="258"/>
      <c r="G110" s="258"/>
      <c r="H110" s="258"/>
      <c r="I110" s="426"/>
      <c r="J110" s="3455">
        <f>IF('Selection Tables'!$M$17=TRUE,IF(ValueAdj_Select2=1,-dpValue_LUD_Reconciled,0),0)</f>
        <v>0</v>
      </c>
      <c r="K110" s="2877"/>
      <c r="L110" s="5"/>
      <c r="M110" s="228"/>
      <c r="R110" s="4"/>
      <c r="S110" s="101"/>
      <c r="T110" s="625">
        <f>IF(ValueAdj_Select2=1,-dpValue_LUD_Reconciled,0)</f>
        <v>0</v>
      </c>
      <c r="U110" s="625">
        <f>IF(ValueAdj_Select2=1,-dpValue_LUD_Reconciled,0)</f>
        <v>0</v>
      </c>
      <c r="V110" s="620">
        <f>IF(ValueAdj_Select2=1,-dpValue_LUD_Reconciled,0)</f>
        <v>0</v>
      </c>
      <c r="W110" s="625">
        <f>IF(ValueAdj_Select2=1,-dpValue_LUD_Reconciled,0)</f>
        <v>0</v>
      </c>
      <c r="X110" s="625">
        <f>IF(ValueAdj_Select2=1,-dpValue_LUD_Reconciled,0)</f>
        <v>0</v>
      </c>
      <c r="Y110" s="101"/>
      <c r="Z110" s="6"/>
    </row>
    <row r="111" spans="1:26" ht="14.25" hidden="1" customHeight="1" x14ac:dyDescent="0.25">
      <c r="A111" s="957">
        <f>IF('Selection Tables'!$N$17=TRUE,IF(ValueAdj_Select3=1,1,0),0)</f>
        <v>0</v>
      </c>
      <c r="B111" s="4"/>
      <c r="C111" s="258"/>
      <c r="D111" s="3449" t="str">
        <f>IF(AdjSelect_LeaseHold_Income=TRUE,IF(ValueAdj_Select3=1,COUNT(D109:D110)+1,""),"")</f>
        <v/>
      </c>
      <c r="E111" s="2893" t="str">
        <f>IF(AdjSelect_LeaseHold_Income=TRUE,IF(ValueAdj_Select3=1,IF(dpValue_LeaseholdAdjustment&lt;0,"Less Positive Leasehold Estate:","Plus Negative Leasehold Estate:"),"N/A"),"N/A")</f>
        <v>N/A</v>
      </c>
      <c r="F111" s="258"/>
      <c r="G111" s="258"/>
      <c r="H111" s="258"/>
      <c r="I111" s="426"/>
      <c r="J111" s="3455">
        <f>IF('Selection Tables'!$N$17=TRUE,IF(ValueAdj_Select3=1,dpValue_LeaseholdAdjustment,0),0)</f>
        <v>0</v>
      </c>
      <c r="K111" s="2877"/>
      <c r="L111" s="5"/>
      <c r="M111" s="228"/>
      <c r="R111" s="4"/>
      <c r="S111" s="101"/>
      <c r="T111" s="625">
        <f>IF('Selection Tables'!$N$17=TRUE,IF(ValueAdj_Select3=1,dpValue_LeaseholdAdjustment,0),0)</f>
        <v>0</v>
      </c>
      <c r="U111" s="625">
        <f>IF('Selection Tables'!$N$17=TRUE,IF(ValueAdj_Select3=1,dpValue_LeaseholdAdjustment,0),0)</f>
        <v>0</v>
      </c>
      <c r="V111" s="620">
        <f>IF('Selection Tables'!$N$17=TRUE,IF(ValueAdj_Select3=1,dpValue_LeaseholdAdjustment,0),0)</f>
        <v>0</v>
      </c>
      <c r="W111" s="625">
        <f>IF('Selection Tables'!$N$17=TRUE,IF(ValueAdj_Select3=1,dpValue_LeaseholdAdjustment,0),0)</f>
        <v>0</v>
      </c>
      <c r="X111" s="625">
        <f>IF('Selection Tables'!$N$17=TRUE,IF(ValueAdj_Select3=1,dpValue_LeaseholdAdjustment,0),0)</f>
        <v>0</v>
      </c>
      <c r="Y111" s="101"/>
      <c r="Z111" s="6"/>
    </row>
    <row r="112" spans="1:26" ht="14.25" hidden="1" customHeight="1" x14ac:dyDescent="0.25">
      <c r="A112" s="957">
        <f>IF('Selection Tables'!$O$17=TRUE,IF(ValueAdj_Select4=1,1,0),0)</f>
        <v>0</v>
      </c>
      <c r="B112" s="4"/>
      <c r="C112" s="258"/>
      <c r="D112" s="3449" t="str">
        <f>IF(AdjSelect_UserDef1_IncomeDirectCap=TRUE,IF(ValueAdj_Select4=1,COUNT(D109:D111)+1,""),"")</f>
        <v/>
      </c>
      <c r="E112" s="2895" t="str">
        <f>IF(AdjSelect_UserDef1_IncomeDirectCap=TRUE,IF(ValueAdj_Select4=1,IF(dpValue_UserDef1Adjustment_Value&lt;0,CONCATENATE("Less ",dpValue_UserDef1Adjustment_Name,":"),CONCATENATE("Plus ",dpValue_UserDef1Adjustment_Name,":")),"N/A"),"N/A")</f>
        <v>N/A</v>
      </c>
      <c r="F112" s="258"/>
      <c r="G112" s="258"/>
      <c r="H112" s="258"/>
      <c r="I112" s="426"/>
      <c r="J112" s="3455">
        <f>IF('Selection Tables'!$O$17=TRUE,IF(ValueAdj_Select4=1,dpValue_UserDef1Adjustment_Value,0),0)</f>
        <v>0</v>
      </c>
      <c r="K112" s="2877"/>
      <c r="L112" s="5"/>
      <c r="M112" s="228"/>
      <c r="R112" s="4"/>
      <c r="S112" s="101"/>
      <c r="T112" s="625">
        <f>IF('Selection Tables'!$O$17=TRUE,IF(ValueAdj_Select4=1,dpValue_UserDef1Adjustment_Value,0),0)</f>
        <v>0</v>
      </c>
      <c r="U112" s="625">
        <f>IF('Selection Tables'!$O$17=TRUE,IF(ValueAdj_Select4=1,dpValue_UserDef1Adjustment_Value,0),0)</f>
        <v>0</v>
      </c>
      <c r="V112" s="620">
        <f>IF('Selection Tables'!$O$17=TRUE,IF(ValueAdj_Select4=1,dpValue_UserDef1Adjustment_Value,0),0)</f>
        <v>0</v>
      </c>
      <c r="W112" s="625">
        <f>IF('Selection Tables'!$O$17=TRUE,IF(ValueAdj_Select4=1,dpValue_UserDef1Adjustment_Value,0),0)</f>
        <v>0</v>
      </c>
      <c r="X112" s="625">
        <f>IF('Selection Tables'!$O$17=TRUE,IF(ValueAdj_Select4=1,dpValue_UserDef1Adjustment_Value,0),0)</f>
        <v>0</v>
      </c>
      <c r="Y112" s="101"/>
      <c r="Z112" s="6"/>
    </row>
    <row r="113" spans="1:26" ht="14.25" hidden="1" customHeight="1" thickBot="1" x14ac:dyDescent="0.3">
      <c r="A113" s="957">
        <f>IF('Selection Tables'!$P$17=TRUE,IF(ValueAdj_Select5=1,1,0),0)</f>
        <v>0</v>
      </c>
      <c r="B113" s="4"/>
      <c r="C113" s="258"/>
      <c r="D113" s="3449" t="str">
        <f>IF(AdjSelect_UserDef2_IncomeDirectCap=TRUE,IF(ValueAdj_Select5=1,COUNT(D109:D112)+1,""),"")</f>
        <v/>
      </c>
      <c r="E113" s="2895" t="str">
        <f>IF(AdjSelect_UserDef2_IncomeDirectCap=TRUE,IF(ValueAdj_Select5=1,IF(dpValue_UserDef2Adjustment_Value&lt;0,CONCATENATE("Less ",dpValue_UserDef2Adjustment_Name,":"),CONCATENATE("Plus ",dpValue_UserDef2Adjustment_Name,":")),"N/A"),"N/A")</f>
        <v>N/A</v>
      </c>
      <c r="F113" s="258"/>
      <c r="G113" s="258"/>
      <c r="H113" s="258"/>
      <c r="I113" s="426"/>
      <c r="J113" s="3455">
        <f>IF('Selection Tables'!$P$17=TRUE,IF(ValueAdj_Select5=1,dpValue_UserDef2Adjustment_Value,0),0)</f>
        <v>0</v>
      </c>
      <c r="K113" s="2877"/>
      <c r="L113" s="5"/>
      <c r="M113" s="228"/>
      <c r="R113" s="4"/>
      <c r="S113" s="101"/>
      <c r="T113" s="625">
        <f>IF('Selection Tables'!$P$17=TRUE,IF(ValueAdj_Select5=1,dpValue_UserDef2Adjustment_Value,0),0)</f>
        <v>0</v>
      </c>
      <c r="U113" s="625">
        <f>IF('Selection Tables'!$P$17=TRUE,IF(ValueAdj_Select5=1,dpValue_UserDef2Adjustment_Value,0),0)</f>
        <v>0</v>
      </c>
      <c r="V113" s="621">
        <f>IF('Selection Tables'!$P$17=TRUE,IF(ValueAdj_Select5=1,dpValue_UserDef2Adjustment_Value,0),0)</f>
        <v>0</v>
      </c>
      <c r="W113" s="622">
        <f>IF('Selection Tables'!$P$17=TRUE,IF(ValueAdj_Select5=1,dpValue_UserDef2Adjustment_Value,0),0)</f>
        <v>0</v>
      </c>
      <c r="X113" s="622">
        <f>IF('Selection Tables'!$P$17=TRUE,IF(ValueAdj_Select5=1,dpValue_UserDef2Adjustment_Value,0),0)</f>
        <v>0</v>
      </c>
      <c r="Y113" s="101"/>
      <c r="Z113" s="6"/>
    </row>
    <row r="114" spans="1:26" ht="14.25" customHeight="1" thickBot="1" x14ac:dyDescent="0.3">
      <c r="A114" s="957">
        <v>1</v>
      </c>
      <c r="B114" s="4"/>
      <c r="C114" s="258"/>
      <c r="D114" s="3451" t="str">
        <f>dpSort_ValueScenario_1</f>
        <v>Retrospective Fee Simple Market Value Indication</v>
      </c>
      <c r="E114" s="3451"/>
      <c r="F114" s="2888"/>
      <c r="G114" s="2888"/>
      <c r="H114" s="2888"/>
      <c r="I114" s="2888"/>
      <c r="J114" s="3452">
        <f ca="1">MROUND(SUM(I108:J113),INDEX(Rounding_Options,MATCH(P114,Rounding_Label,0),2))</f>
        <v>2000000</v>
      </c>
      <c r="K114" s="2877"/>
      <c r="L114" s="33">
        <f ca="1">IFERROR(IF(dpUnit_Sales="Net Rentable Area",Income_DirectCap_IndicatedValue1/Subject_NRA,IF(dpUnit_Sales="Gross Building Area",Income_DirectCap_IndicatedValue1/Subject_GBA,Income_DirectCap_IndicatedValue1/Subject_Units)),"")</f>
        <v>9.5598638675385263</v>
      </c>
      <c r="M114" s="228"/>
      <c r="O114" s="150" t="s">
        <v>991</v>
      </c>
      <c r="P114" s="702" t="s">
        <v>1037</v>
      </c>
      <c r="R114" s="4"/>
      <c r="S114" s="101"/>
      <c r="T114" s="623">
        <f ca="1">MROUND(SUM(T108:T113),INDEX(Rounding_Options,MATCH(P114,Rounding_Label,0),2))</f>
        <v>2170000</v>
      </c>
      <c r="U114" s="623">
        <f ca="1">MROUND(SUM(U108:U113),INDEX(Rounding_Options,MATCH(P114,Rounding_Label,0),2))</f>
        <v>2080000</v>
      </c>
      <c r="V114" s="624">
        <f ca="1">MROUND(SUM(V108:V113),INDEX(Rounding_Options,MATCH(P114,Rounding_Label,0),2))</f>
        <v>2010000</v>
      </c>
      <c r="W114" s="623">
        <f ca="1">MROUND(SUM(W108:W113),INDEX(Rounding_Options,MATCH(P114,Rounding_Label,0),2))</f>
        <v>1930000</v>
      </c>
      <c r="X114" s="623">
        <f ca="1">MROUND(SUM(X108:X113),INDEX(Rounding_Options,MATCH(P114,Rounding_Label,0),2))</f>
        <v>1870000</v>
      </c>
      <c r="Y114" s="101"/>
      <c r="Z114" s="6"/>
    </row>
    <row r="115" spans="1:26" ht="14.25" hidden="1" customHeight="1" x14ac:dyDescent="0.25">
      <c r="A115" s="957">
        <f>IF(ValueAdj_Select1=2,1,0)</f>
        <v>0</v>
      </c>
      <c r="B115" s="4"/>
      <c r="C115" s="258"/>
      <c r="D115" s="3450" t="str">
        <f>IF(ValueAdj_Select1=2,COUNT(D109:D113)+1,"")</f>
        <v/>
      </c>
      <c r="E115" s="2893" t="s">
        <v>259</v>
      </c>
      <c r="F115" s="258"/>
      <c r="G115" s="258"/>
      <c r="H115" s="258"/>
      <c r="I115" s="3703"/>
      <c r="J115" s="3455">
        <f>IF(ValueAdj_Select1=2,-dpCost_CurableItemCost_Total,0)</f>
        <v>0</v>
      </c>
      <c r="K115" s="2877"/>
      <c r="L115" s="5"/>
      <c r="M115" s="228"/>
      <c r="R115" s="4"/>
      <c r="S115" s="101"/>
      <c r="T115" s="625">
        <f>IF(ValueAdj_Select1=2,-dpCost_CurableItemCost_Total,0)</f>
        <v>0</v>
      </c>
      <c r="U115" s="625">
        <f>IF(ValueAdj_Select1=2,-dpCost_CurableItemCost_Total,0)</f>
        <v>0</v>
      </c>
      <c r="V115" s="620">
        <f>IF(ValueAdj_Select1=2,-dpCost_CurableItemCost_Total,0)</f>
        <v>0</v>
      </c>
      <c r="W115" s="625">
        <f>IF(ValueAdj_Select1=2,-dpCost_CurableItemCost_Total,0)</f>
        <v>0</v>
      </c>
      <c r="X115" s="625">
        <f>IF(ValueAdj_Select1=2,-dpCost_CurableItemCost_Total,0)</f>
        <v>0</v>
      </c>
      <c r="Y115" s="101"/>
      <c r="Z115" s="6"/>
    </row>
    <row r="116" spans="1:26" ht="14.25" hidden="1" customHeight="1" x14ac:dyDescent="0.25">
      <c r="A116" s="957">
        <f>IF(ValueAdj_Select2=2,1,0)</f>
        <v>0</v>
      </c>
      <c r="B116" s="4"/>
      <c r="C116" s="258"/>
      <c r="D116" s="3450" t="str">
        <f>IF(ValueAdj_Select2=2,COUNT(D109:D113,D115)+1,"")</f>
        <v/>
      </c>
      <c r="E116" s="1241" t="str">
        <f>IF(AdjSelect_LeaseUp_Income=TRUE,IF(ValueAdj_Select2=2,"Less Lease-Up Discount:","N/A"),"N/A")</f>
        <v>N/A</v>
      </c>
      <c r="F116" s="258"/>
      <c r="G116" s="258"/>
      <c r="H116" s="258"/>
      <c r="I116" s="3703"/>
      <c r="J116" s="3455">
        <f>IF('Selection Tables'!$M$17=TRUE,IF(ValueAdj_Select2=2,-dpValue_LUD_Reconciled,0),0)</f>
        <v>0</v>
      </c>
      <c r="K116" s="3338"/>
      <c r="L116" s="5"/>
      <c r="M116" s="228"/>
      <c r="R116" s="4"/>
      <c r="S116" s="101"/>
      <c r="T116" s="625">
        <f>IF(ValueAdj_Select2=2,-dpValue_LUD_Reconciled,0)</f>
        <v>0</v>
      </c>
      <c r="U116" s="625">
        <f>IF(ValueAdj_Select2=2,-dpValue_LUD_Reconciled,0)</f>
        <v>0</v>
      </c>
      <c r="V116" s="620">
        <f>IF(ValueAdj_Select2=2,-dpValue_LUD_Reconciled,0)</f>
        <v>0</v>
      </c>
      <c r="W116" s="625">
        <f>IF(ValueAdj_Select2=2,-dpValue_LUD_Reconciled,0)</f>
        <v>0</v>
      </c>
      <c r="X116" s="625">
        <f>IF(ValueAdj_Select2=2,-dpValue_LUD_Reconciled,0)</f>
        <v>0</v>
      </c>
      <c r="Y116" s="101"/>
      <c r="Z116" s="6"/>
    </row>
    <row r="117" spans="1:26" ht="14.25" hidden="1" customHeight="1" x14ac:dyDescent="0.25">
      <c r="A117" s="957">
        <f>IF(AdjSelect_LeaseHold_Income=TRUE,IF(ValueAdj_Select3=2,1,0),0)</f>
        <v>0</v>
      </c>
      <c r="B117" s="4"/>
      <c r="C117" s="258"/>
      <c r="D117" s="3450" t="str">
        <f>IF(AdjSelect_LeaseHold_Income=TRUE,IF(ValueAdj_Select3=2,COUNT(D109:D113,D115:D116)+1,""),"")</f>
        <v/>
      </c>
      <c r="E117" s="2893" t="str">
        <f>IF(AdjSelect_LeaseHold_Income=TRUE,IF(ValueAdj_Select3=2,IF(dpValue_LeaseholdAdjustment&lt;0,"Less Positive Leasehold Estate:","Plus Negative Leasehold Estate:"),"N/A"),"N/A")</f>
        <v>N/A</v>
      </c>
      <c r="F117" s="258"/>
      <c r="G117" s="258"/>
      <c r="H117" s="258"/>
      <c r="I117" s="3703"/>
      <c r="J117" s="3455">
        <f>IF('Selection Tables'!$N$17=TRUE,IF(ValueAdj_Select3=2,dpValue_LeaseholdAdjustment,0),0)</f>
        <v>0</v>
      </c>
      <c r="K117" s="2877"/>
      <c r="L117" s="5"/>
      <c r="M117" s="228"/>
      <c r="R117" s="4"/>
      <c r="S117" s="101"/>
      <c r="T117" s="625">
        <f>IF('Selection Tables'!$N$17=TRUE,IF(ValueAdj_Select3=2,dpValue_LeaseholdAdjustment,0),0)</f>
        <v>0</v>
      </c>
      <c r="U117" s="625">
        <f>IF('Selection Tables'!$N$17=TRUE,IF(ValueAdj_Select3=2,dpValue_LeaseholdAdjustment,0),0)</f>
        <v>0</v>
      </c>
      <c r="V117" s="620">
        <f>IF('Selection Tables'!$N$17=TRUE,IF(ValueAdj_Select3=2,dpValue_LeaseholdAdjustment,0),0)</f>
        <v>0</v>
      </c>
      <c r="W117" s="625">
        <f>IF('Selection Tables'!$N$17=TRUE,IF(ValueAdj_Select3=2,dpValue_LeaseholdAdjustment,0),0)</f>
        <v>0</v>
      </c>
      <c r="X117" s="625">
        <f>IF('Selection Tables'!$N$17=TRUE,IF(ValueAdj_Select3=2,dpValue_LeaseholdAdjustment,0),0)</f>
        <v>0</v>
      </c>
      <c r="Y117" s="101"/>
      <c r="Z117" s="6"/>
    </row>
    <row r="118" spans="1:26" ht="14.25" hidden="1" customHeight="1" x14ac:dyDescent="0.25">
      <c r="A118" s="957">
        <f>IF(AdjSelect_UserDef1_IncomeDirectCap=TRUE,IF(ValueAdj_Select4=2,1,0),0)</f>
        <v>0</v>
      </c>
      <c r="B118" s="4"/>
      <c r="C118" s="258"/>
      <c r="D118" s="3450" t="str">
        <f>IF(AdjSelect_UserDef1_IncomeDirectCap=TRUE,IF(ValueAdj_Select4=2,COUNT(D109:D113,D115:D117)+1,""),"")</f>
        <v/>
      </c>
      <c r="E118" s="2895" t="str">
        <f>IF(AdjSelect_UserDef1_IncomeDirectCap=TRUE,IF(ValueAdj_Select4=2,IF(dpValue_UserDef1Adjustment_Value&lt;0,CONCATENATE("Less ",dpValue_UserDef1Adjustment_Name,":"),CONCATENATE("Plus ",dpValue_UserDef1Adjustment_Name,":")),"N/A"),"N/A")</f>
        <v>N/A</v>
      </c>
      <c r="F118" s="258"/>
      <c r="G118" s="258"/>
      <c r="H118" s="258"/>
      <c r="I118" s="3703"/>
      <c r="J118" s="3455">
        <f>IF('Selection Tables'!$O$17=TRUE,IF(ValueAdj_Select4=2,dpValue_UserDef1Adjustment_Value,0),0)</f>
        <v>0</v>
      </c>
      <c r="K118" s="415"/>
      <c r="L118" s="5"/>
      <c r="M118" s="228"/>
      <c r="R118" s="4"/>
      <c r="S118" s="101"/>
      <c r="T118" s="625">
        <f>IF('Selection Tables'!$O$17=TRUE,IF(ValueAdj_Select4=2,dpValue_UserDef1Adjustment_Value,0),0)</f>
        <v>0</v>
      </c>
      <c r="U118" s="625">
        <f>IF('Selection Tables'!$O$17=TRUE,IF(ValueAdj_Select4=2,dpValue_UserDef1Adjustment_Value,0),0)</f>
        <v>0</v>
      </c>
      <c r="V118" s="620">
        <f>IF('Selection Tables'!$O$17=TRUE,IF(ValueAdj_Select4=2,dpValue_UserDef1Adjustment_Value,0),0)</f>
        <v>0</v>
      </c>
      <c r="W118" s="625">
        <f>IF('Selection Tables'!$O$17=TRUE,IF(ValueAdj_Select4=2,dpValue_UserDef1Adjustment_Value,0),0)</f>
        <v>0</v>
      </c>
      <c r="X118" s="625">
        <f>IF('Selection Tables'!$O$17=TRUE,IF(ValueAdj_Select4=2,dpValue_UserDef1Adjustment_Value,0),0)</f>
        <v>0</v>
      </c>
      <c r="Y118" s="101"/>
      <c r="Z118" s="6"/>
    </row>
    <row r="119" spans="1:26" ht="14.25" hidden="1" customHeight="1" thickBot="1" x14ac:dyDescent="0.3">
      <c r="A119" s="957">
        <f>IF(AdjSelect_UserDef2_IncomeDirectCap=TRUE,IF(ValueAdj_Select5=2,1,0),0)</f>
        <v>0</v>
      </c>
      <c r="B119" s="4"/>
      <c r="C119" s="258"/>
      <c r="D119" s="3450" t="str">
        <f>IF(AdjSelect_UserDef2_IncomeDirectCap=TRUE,IF(ValueAdj_Select5=2,COUNT(D109:D113,D115:D118)+1,""),"")</f>
        <v/>
      </c>
      <c r="E119" s="2895" t="str">
        <f>IF(AdjSelect_UserDef2_IncomeDirectCap=TRUE,IF(ValueAdj_Select5=2,IF(dpValue_UserDef2Adjustment_Value&lt;0,CONCATENATE("Less ",dpValue_UserDef2Adjustment_Name,":"),CONCATENATE("Plus ",dpValue_UserDef2Adjustment_Name,":")),"N/A"),"N/A")</f>
        <v>N/A</v>
      </c>
      <c r="F119" s="258"/>
      <c r="G119" s="258"/>
      <c r="H119" s="258"/>
      <c r="I119" s="3703"/>
      <c r="J119" s="3455">
        <f>IF('Selection Tables'!$P$17=TRUE,IF(ValueAdj_Select5=2,dpValue_UserDef2Adjustment_Value,0),0)</f>
        <v>0</v>
      </c>
      <c r="K119" s="2877"/>
      <c r="L119" s="5"/>
      <c r="M119" s="228"/>
      <c r="R119" s="4"/>
      <c r="S119" s="101"/>
      <c r="T119" s="625">
        <f>IF('Selection Tables'!$P$17=TRUE,IF(ValueAdj_Select5=2,dpValue_UserDef2Adjustment_Value,0),0)</f>
        <v>0</v>
      </c>
      <c r="U119" s="625">
        <f>IF('Selection Tables'!$P$17=TRUE,IF(ValueAdj_Select5=2,dpValue_UserDef2Adjustment_Value,0),0)</f>
        <v>0</v>
      </c>
      <c r="V119" s="620">
        <f>IF('Selection Tables'!$P$17=TRUE,IF(ValueAdj_Select5=2,dpValue_UserDef2Adjustment_Value,0),0)</f>
        <v>0</v>
      </c>
      <c r="W119" s="625">
        <f>IF('Selection Tables'!$P$17=TRUE,IF(ValueAdj_Select5=2,dpValue_UserDef2Adjustment_Value,0),0)</f>
        <v>0</v>
      </c>
      <c r="X119" s="625">
        <f>IF('Selection Tables'!$P$17=TRUE,IF(ValueAdj_Select5=2,dpValue_UserDef2Adjustment_Value,0),0)</f>
        <v>0</v>
      </c>
      <c r="Y119" s="101"/>
      <c r="Z119" s="6"/>
    </row>
    <row r="120" spans="1:26" ht="14.25" hidden="1" customHeight="1" thickBot="1" x14ac:dyDescent="0.3">
      <c r="A120" s="957">
        <f>IF(Sort_NumValues&gt;1,1,0)</f>
        <v>0</v>
      </c>
      <c r="B120" s="4"/>
      <c r="C120" s="258"/>
      <c r="D120" s="3177" t="str">
        <f>IF(Sort_NumValues&gt;1,dpSort_ValueScenario_2,"N/A")</f>
        <v>N/A</v>
      </c>
      <c r="E120" s="3177"/>
      <c r="F120" s="258"/>
      <c r="G120" s="258"/>
      <c r="H120" s="258"/>
      <c r="I120" s="258"/>
      <c r="J120" s="3704" t="str">
        <f>IF(Sort_NumValues&gt;1,MROUND(SUM(I114:J119),INDEX(Rounding_Options,MATCH(P120,Rounding_Label,0),2)),"N/A")</f>
        <v>N/A</v>
      </c>
      <c r="K120" s="415"/>
      <c r="L120" s="33" t="str">
        <f>IFERROR(IF(dpUnit_Sales="Net Rentable Area",Income_DirectCap_IndicatedValue2/Subject_NRA,IF(dpUnit_Sales="Gross Building Area",Income_DirectCap_IndicatedValue2/Subject_GBA,Income_DirectCap_IndicatedValue2/Subject_Units)),"")</f>
        <v/>
      </c>
      <c r="M120" s="228"/>
      <c r="O120" s="150" t="s">
        <v>991</v>
      </c>
      <c r="P120" s="702" t="s">
        <v>1037</v>
      </c>
      <c r="R120" s="4"/>
      <c r="S120" s="101"/>
      <c r="T120" s="623">
        <f ca="1">MROUND(SUM(T114:T119),INDEX(Rounding_Options,MATCH(P120,Rounding_Label,0),2))</f>
        <v>2170000</v>
      </c>
      <c r="U120" s="623">
        <f ca="1">MROUND(SUM(U114:U119),INDEX(Rounding_Options,MATCH(P120,Rounding_Label,0),2))</f>
        <v>2080000</v>
      </c>
      <c r="V120" s="624">
        <f ca="1">MROUND(SUM(V114:V119),INDEX(Rounding_Options,MATCH(P120,Rounding_Label,0),2))</f>
        <v>2010000</v>
      </c>
      <c r="W120" s="623">
        <f ca="1">MROUND(SUM(W114:W119),INDEX(Rounding_Options,MATCH(P120,Rounding_Label,0),2))</f>
        <v>1930000</v>
      </c>
      <c r="X120" s="623">
        <f ca="1">MROUND(SUM(X114:X119),INDEX(Rounding_Options,MATCH(P120,Rounding_Label,0),2))</f>
        <v>1870000</v>
      </c>
      <c r="Y120" s="101"/>
      <c r="Z120" s="6"/>
    </row>
    <row r="121" spans="1:26" ht="14.25" hidden="1" customHeight="1" x14ac:dyDescent="0.25">
      <c r="A121" s="957">
        <f>IF(ValueAdj_Select1=3,1,0)</f>
        <v>0</v>
      </c>
      <c r="B121" s="4"/>
      <c r="C121" s="258"/>
      <c r="D121" s="3450" t="str">
        <f>IF(ValueAdj_Select1=3,COUNT(D109:D113,D115:D119)+1,"")</f>
        <v/>
      </c>
      <c r="E121" s="1241" t="s">
        <v>259</v>
      </c>
      <c r="F121" s="258"/>
      <c r="G121" s="258"/>
      <c r="H121" s="258"/>
      <c r="I121" s="3703"/>
      <c r="J121" s="3455">
        <f>IF(ValueAdj_Select1=3,-dpCost_CurableItemCost_Total,0)</f>
        <v>0</v>
      </c>
      <c r="K121" s="2877"/>
      <c r="L121" s="5"/>
      <c r="M121" s="228"/>
      <c r="R121" s="4"/>
      <c r="S121" s="101"/>
      <c r="T121" s="625">
        <f>IF(ValueAdj_Select1=3,-dpCost_CurableItemCost_Total,0)</f>
        <v>0</v>
      </c>
      <c r="U121" s="625">
        <f>IF(ValueAdj_Select1=3,-dpCost_CurableItemCost_Total,0)</f>
        <v>0</v>
      </c>
      <c r="V121" s="620">
        <f>IF(ValueAdj_Select1=3,-dpCost_CurableItemCost_Total,0)</f>
        <v>0</v>
      </c>
      <c r="W121" s="625">
        <f>IF(ValueAdj_Select1=3,-dpCost_CurableItemCost_Total,0)</f>
        <v>0</v>
      </c>
      <c r="X121" s="625">
        <f>IF(ValueAdj_Select1=3,-dpCost_CurableItemCost_Total,0)</f>
        <v>0</v>
      </c>
      <c r="Y121" s="101"/>
      <c r="Z121" s="6"/>
    </row>
    <row r="122" spans="1:26" ht="14.25" hidden="1" customHeight="1" x14ac:dyDescent="0.25">
      <c r="A122" s="957">
        <f>IF(ValueAdj_Select2=3,1,0)</f>
        <v>0</v>
      </c>
      <c r="B122" s="4"/>
      <c r="C122" s="258"/>
      <c r="D122" s="3450" t="str">
        <f>IF(ValueAdj_Select2=3,COUNT(D109:D113,D115:D119,D121)+1,"")</f>
        <v/>
      </c>
      <c r="E122" s="1241" t="str">
        <f>IF(AdjSelect_LeaseUp_Income=TRUE,IF(ValueAdj_Select2=3,"Less Lease-Up Discount:","N/A"),"N/A")</f>
        <v>N/A</v>
      </c>
      <c r="F122" s="258"/>
      <c r="G122" s="258"/>
      <c r="H122" s="258"/>
      <c r="I122" s="3703"/>
      <c r="J122" s="3455">
        <f>IF('Selection Tables'!$M$17=TRUE,IF(ValueAdj_Select2=3,-dpValue_LUD_Reconciled,0),0)</f>
        <v>0</v>
      </c>
      <c r="K122" s="2877"/>
      <c r="L122" s="5"/>
      <c r="M122" s="228"/>
      <c r="R122" s="4"/>
      <c r="S122" s="101"/>
      <c r="T122" s="625">
        <f>IF(ValueAdj_Select2=3,-dpValue_LUD_Reconciled,0)</f>
        <v>0</v>
      </c>
      <c r="U122" s="625">
        <f>IF(ValueAdj_Select2=3,-dpValue_LUD_Reconciled,0)</f>
        <v>0</v>
      </c>
      <c r="V122" s="620">
        <f>IF(ValueAdj_Select2=3,-dpValue_LUD_Reconciled,0)</f>
        <v>0</v>
      </c>
      <c r="W122" s="625">
        <f>IF(ValueAdj_Select2=3,-dpValue_LUD_Reconciled,0)</f>
        <v>0</v>
      </c>
      <c r="X122" s="625">
        <f>IF(ValueAdj_Select2=3,-dpValue_LUD_Reconciled,0)</f>
        <v>0</v>
      </c>
      <c r="Y122" s="101"/>
      <c r="Z122" s="6"/>
    </row>
    <row r="123" spans="1:26" ht="14.25" hidden="1" customHeight="1" x14ac:dyDescent="0.25">
      <c r="A123" s="957">
        <f>IF(AdjSelect_UserDef1_IncomeDirectCap=TRUE,IF(ValueAdj_Select4=3,1,0),0)</f>
        <v>0</v>
      </c>
      <c r="B123" s="4"/>
      <c r="C123" s="258"/>
      <c r="D123" s="3450" t="str">
        <f>IF(AdjSelect_UserDef1_IncomeDirectCap=TRUE,IF(ValueAdj_Select4=3,COUNT(D109:D113,D115:D119,D121:D122)+1,""),"")</f>
        <v/>
      </c>
      <c r="E123" s="2895" t="str">
        <f>IF(AdjSelect_UserDef1_IncomeDirectCap=TRUE,IF(ValueAdj_Select4=3,IF(dpValue_UserDef1Adjustment_Value&lt;0,CONCATENATE("Less ",dpValue_UserDef1Adjustment_Name,":"),CONCATENATE("Plus ",dpValue_UserDef1Adjustment_Name,":")),"N/A"),"N/A")</f>
        <v>N/A</v>
      </c>
      <c r="F123" s="258"/>
      <c r="G123" s="258"/>
      <c r="H123" s="258"/>
      <c r="I123" s="3703"/>
      <c r="J123" s="3455">
        <f>IF('Selection Tables'!$O$17=TRUE,IF(ValueAdj_Select4=3,dpValue_UserDef1Adjustment_Value,0),0)</f>
        <v>0</v>
      </c>
      <c r="K123" s="2877"/>
      <c r="L123" s="5"/>
      <c r="M123" s="228"/>
      <c r="R123" s="4"/>
      <c r="S123" s="101"/>
      <c r="T123" s="625">
        <f>IF('Selection Tables'!$O$17=TRUE,IF(ValueAdj_Select4=3,dpValue_UserDef1Adjustment_Value,0),0)</f>
        <v>0</v>
      </c>
      <c r="U123" s="625">
        <f>IF('Selection Tables'!$O$17=TRUE,IF(ValueAdj_Select4=3,dpValue_UserDef1Adjustment_Value,0),0)</f>
        <v>0</v>
      </c>
      <c r="V123" s="620">
        <f>IF('Selection Tables'!$O$17=TRUE,IF(ValueAdj_Select4=3,dpValue_UserDef1Adjustment_Value,0),0)</f>
        <v>0</v>
      </c>
      <c r="W123" s="625">
        <f>IF('Selection Tables'!$O$17=TRUE,IF(ValueAdj_Select4=3,dpValue_UserDef1Adjustment_Value,0),0)</f>
        <v>0</v>
      </c>
      <c r="X123" s="625">
        <f>IF('Selection Tables'!$O$17=TRUE,IF(ValueAdj_Select4=3,dpValue_UserDef1Adjustment_Value,0),0)</f>
        <v>0</v>
      </c>
      <c r="Y123" s="101"/>
      <c r="Z123" s="6"/>
    </row>
    <row r="124" spans="1:26" ht="14.25" hidden="1" customHeight="1" thickBot="1" x14ac:dyDescent="0.3">
      <c r="A124" s="957">
        <f>IF(AdjSelect_UserDef2_IncomeDirectCap=TRUE,IF(ValueAdj_Select5=3,1,0),0)</f>
        <v>0</v>
      </c>
      <c r="B124" s="4"/>
      <c r="C124" s="258"/>
      <c r="D124" s="3450" t="str">
        <f>IF(AdjSelect_UserDef2_IncomeDirectCap=TRUE,IF(ValueAdj_Select5=3,COUNT(D109:D113,D115:D119,D121:D123)+1,""),"")</f>
        <v/>
      </c>
      <c r="E124" s="2895" t="str">
        <f>IF(AdjSelect_UserDef2_IncomeDirectCap=TRUE,IF(ValueAdj_Select5=3,IF(dpValue_UserDef2Adjustment_Value&lt;0,CONCATENATE("Less ",dpValue_UserDef2Adjustment_Name,":"),CONCATENATE("Plus ",dpValue_UserDef2Adjustment_Name,":")),"N/A"),"N/A")</f>
        <v>N/A</v>
      </c>
      <c r="F124" s="258"/>
      <c r="G124" s="258"/>
      <c r="H124" s="258"/>
      <c r="I124" s="3703"/>
      <c r="J124" s="3455">
        <f>IF('Selection Tables'!$P$17=TRUE,IF(ValueAdj_Select5=3,dpValue_UserDef2Adjustment_Value,0),0)</f>
        <v>0</v>
      </c>
      <c r="K124" s="3338"/>
      <c r="L124" s="5"/>
      <c r="M124" s="228"/>
      <c r="R124" s="4"/>
      <c r="S124" s="101"/>
      <c r="T124" s="625">
        <f>IF('Selection Tables'!$P$17=TRUE,IF(ValueAdj_Select5=3,dpValue_UserDef2Adjustment_Value,0),0)</f>
        <v>0</v>
      </c>
      <c r="U124" s="625">
        <f>IF('Selection Tables'!$P$17=TRUE,IF(ValueAdj_Select5=3,dpValue_UserDef2Adjustment_Value,0),0)</f>
        <v>0</v>
      </c>
      <c r="V124" s="620">
        <f>IF('Selection Tables'!$P$17=TRUE,IF(ValueAdj_Select5=3,dpValue_UserDef2Adjustment_Value,0),0)</f>
        <v>0</v>
      </c>
      <c r="W124" s="625">
        <f>IF('Selection Tables'!$P$17=TRUE,IF(ValueAdj_Select5=3,dpValue_UserDef2Adjustment_Value,0),0)</f>
        <v>0</v>
      </c>
      <c r="X124" s="625">
        <f>IF('Selection Tables'!$P$17=TRUE,IF(ValueAdj_Select5=3,dpValue_UserDef2Adjustment_Value,0),0)</f>
        <v>0</v>
      </c>
      <c r="Y124" s="101"/>
      <c r="Z124" s="6"/>
    </row>
    <row r="125" spans="1:26" ht="15" hidden="1" thickBot="1" x14ac:dyDescent="0.3">
      <c r="A125" s="957">
        <f>IF(Sort_NumValues&gt;2,1,0)</f>
        <v>0</v>
      </c>
      <c r="B125" s="4"/>
      <c r="C125" s="258"/>
      <c r="D125" s="3177" t="str">
        <f>IF(Sort_NumValues&gt;2,dpSort_ValueScenario_3,"N/A")</f>
        <v>N/A</v>
      </c>
      <c r="E125" s="3177"/>
      <c r="F125" s="258"/>
      <c r="G125" s="258"/>
      <c r="H125" s="258"/>
      <c r="I125" s="258"/>
      <c r="J125" s="3704" t="str">
        <f>IF(Sort_NumValues&gt;2,MROUND(SUM(I120:J124),INDEX(Rounding_Options,MATCH(P125,Rounding_Label,0),2)),"N/A")</f>
        <v>N/A</v>
      </c>
      <c r="K125" s="415"/>
      <c r="L125" s="33" t="str">
        <f>IFERROR(IF(dpUnit_Sales="Net Rentable Area",Income_DirectCap_IndicatedValue3/Subject_NRA,IF(dpUnit_Sales="Gross Building Area",Income_DirectCap_IndicatedValue3/Subject_GBA,Income_DirectCap_IndicatedValue3/Subject_Units)),"")</f>
        <v/>
      </c>
      <c r="M125" s="228"/>
      <c r="O125" s="150" t="s">
        <v>991</v>
      </c>
      <c r="P125" s="702" t="s">
        <v>1037</v>
      </c>
      <c r="R125" s="4"/>
      <c r="S125" s="101"/>
      <c r="T125" s="623">
        <f ca="1">MROUND(SUM(T120:T124),INDEX(Rounding_Options,MATCH(P125,Rounding_Label,0),2))</f>
        <v>2170000</v>
      </c>
      <c r="U125" s="623">
        <f ca="1">MROUND(SUM(U120:U124),INDEX(Rounding_Options,MATCH(P125,Rounding_Label,0),2))</f>
        <v>2080000</v>
      </c>
      <c r="V125" s="624">
        <f ca="1">MROUND(SUM(V120:V124),INDEX(Rounding_Options,MATCH(P125,Rounding_Label,0),2))</f>
        <v>2010000</v>
      </c>
      <c r="W125" s="623">
        <f ca="1">MROUND(SUM(W120:W124),INDEX(Rounding_Options,MATCH(P125,Rounding_Label,0),2))</f>
        <v>1930000</v>
      </c>
      <c r="X125" s="623">
        <f ca="1">MROUND(SUM(X120:X124),INDEX(Rounding_Options,MATCH(P125,Rounding_Label,0),2))</f>
        <v>1870000</v>
      </c>
      <c r="Y125" s="101"/>
      <c r="Z125" s="6"/>
    </row>
    <row r="126" spans="1:26" ht="16.5" hidden="1" thickBot="1" x14ac:dyDescent="0.3">
      <c r="A126" s="957">
        <f>IF(COUNT(D109:D113,D115:D119,D121:D124)&gt;0,1,0)</f>
        <v>0</v>
      </c>
      <c r="B126" s="4"/>
      <c r="C126" s="258"/>
      <c r="D126" s="3453"/>
      <c r="E126" s="2122"/>
      <c r="F126" s="2126"/>
      <c r="G126" s="2986"/>
      <c r="H126" s="2986"/>
      <c r="I126" s="2986"/>
      <c r="J126" s="3533"/>
      <c r="K126" s="415"/>
      <c r="L126" s="5"/>
      <c r="M126" s="228"/>
      <c r="O126" s="150"/>
      <c r="R126" s="8"/>
      <c r="S126" s="7"/>
      <c r="T126" s="7"/>
      <c r="U126" s="7"/>
      <c r="V126" s="7"/>
      <c r="W126" s="7"/>
      <c r="X126" s="7"/>
      <c r="Y126" s="7"/>
      <c r="Z126" s="9"/>
    </row>
    <row r="127" spans="1:26" ht="15.75" hidden="1" x14ac:dyDescent="0.25">
      <c r="A127" s="957">
        <f>IF(COUNT(D109:D113,D115:D119,D121:D124)&gt;1,1,0)</f>
        <v>0</v>
      </c>
      <c r="B127" s="4"/>
      <c r="C127" s="258"/>
      <c r="D127" s="3449">
        <f>D126+1</f>
        <v>1</v>
      </c>
      <c r="E127" s="2123" t="s">
        <v>1827</v>
      </c>
      <c r="F127" s="423"/>
      <c r="G127" s="258"/>
      <c r="H127" s="258"/>
      <c r="I127" s="258"/>
      <c r="J127" s="2886"/>
      <c r="K127" s="415"/>
      <c r="L127" s="5"/>
      <c r="M127" s="228"/>
      <c r="O127" s="207" t="s">
        <v>1829</v>
      </c>
      <c r="R127" s="234"/>
      <c r="S127" s="234"/>
      <c r="T127" s="234"/>
      <c r="U127" s="234"/>
      <c r="V127" s="234"/>
      <c r="W127" s="234"/>
      <c r="X127" s="234"/>
      <c r="Y127" s="234"/>
      <c r="Z127" s="234"/>
    </row>
    <row r="128" spans="1:26" ht="15.75" hidden="1" x14ac:dyDescent="0.25">
      <c r="A128" s="957">
        <f>IF(COUNT(D109:D113,D115:D119,D121:D124)&gt;2,1,0)</f>
        <v>0</v>
      </c>
      <c r="B128" s="4"/>
      <c r="C128" s="258"/>
      <c r="D128" s="3449">
        <f>D127+1</f>
        <v>2</v>
      </c>
      <c r="E128" s="2123" t="s">
        <v>1828</v>
      </c>
      <c r="F128" s="423"/>
      <c r="G128" s="258"/>
      <c r="H128" s="258"/>
      <c r="I128" s="258"/>
      <c r="J128" s="2886"/>
      <c r="K128" s="415"/>
      <c r="L128" s="5"/>
      <c r="M128" s="228"/>
      <c r="O128" s="150"/>
    </row>
    <row r="129" spans="1:24" ht="15.75" hidden="1" x14ac:dyDescent="0.25">
      <c r="A129" s="957">
        <f>IF(COUNT(D109:D113,D115:D119,D121:D124)&gt;3,1,0)</f>
        <v>0</v>
      </c>
      <c r="B129" s="4"/>
      <c r="C129" s="258"/>
      <c r="D129" s="3449">
        <f>D128+1</f>
        <v>3</v>
      </c>
      <c r="E129" s="2123" t="s">
        <v>1828</v>
      </c>
      <c r="F129" s="423"/>
      <c r="G129" s="258"/>
      <c r="H129" s="258"/>
      <c r="I129" s="258"/>
      <c r="J129" s="2886"/>
      <c r="K129" s="415"/>
      <c r="L129" s="5"/>
      <c r="M129" s="228"/>
      <c r="O129" s="150"/>
    </row>
    <row r="130" spans="1:24" ht="15.75" hidden="1" x14ac:dyDescent="0.25">
      <c r="A130" s="957">
        <f>IF(COUNT(D109:D113,D115:D119,D121:D124)&gt;4,1,0)</f>
        <v>0</v>
      </c>
      <c r="B130" s="4"/>
      <c r="C130" s="258"/>
      <c r="D130" s="3449">
        <f>D129+1</f>
        <v>4</v>
      </c>
      <c r="E130" s="2123" t="s">
        <v>1828</v>
      </c>
      <c r="F130" s="423"/>
      <c r="G130" s="258"/>
      <c r="H130" s="258"/>
      <c r="I130" s="258"/>
      <c r="J130" s="2886"/>
      <c r="K130" s="415"/>
      <c r="L130" s="5"/>
      <c r="M130" s="228"/>
      <c r="O130" s="150"/>
      <c r="P130" s="37"/>
      <c r="T130" s="2131"/>
      <c r="U130" s="2131"/>
      <c r="V130" s="2131"/>
      <c r="W130" s="2131"/>
      <c r="X130" s="2131"/>
    </row>
    <row r="131" spans="1:24" ht="15" thickBot="1" x14ac:dyDescent="0.3">
      <c r="B131" s="8"/>
      <c r="C131" s="7"/>
      <c r="D131" s="553" t="s">
        <v>927</v>
      </c>
      <c r="E131" s="553"/>
      <c r="F131" s="7"/>
      <c r="G131" s="7"/>
      <c r="H131" s="7"/>
      <c r="I131" s="7"/>
      <c r="J131" s="7"/>
      <c r="K131" s="7"/>
      <c r="L131" s="7"/>
      <c r="M131" s="228"/>
      <c r="O131" s="37"/>
      <c r="P131" s="37"/>
      <c r="Q131" s="37"/>
    </row>
  </sheetData>
  <mergeCells count="4">
    <mergeCell ref="P35:P42"/>
    <mergeCell ref="P7:P26"/>
    <mergeCell ref="P27:P34"/>
    <mergeCell ref="I108:J108"/>
  </mergeCells>
  <dataValidations count="1">
    <dataValidation type="list" allowBlank="1" showInputMessage="1" showErrorMessage="1" error="Invalid Option - Please Select from the List" prompt="Select Rounding Option" sqref="P114 P120 P108 P125" xr:uid="{00000000-0002-0000-3700-000000000000}">
      <formula1>Rounding_Label</formula1>
    </dataValidation>
  </dataValidations>
  <hyperlinks>
    <hyperlink ref="J109" location="dpCost_CurableItemCost_Total" tooltip="Click for Input Cell &amp; Hold to Select Cell" display="dpCost_CurableItemCost_Total" xr:uid="{00000000-0004-0000-3700-000000000000}"/>
    <hyperlink ref="J115" location="dpCost_CurableItemCost_Total" tooltip="Click for Input Cell &amp; Hold to Select Cell" display="dpCost_CurableItemCost_Total" xr:uid="{00000000-0004-0000-3700-000001000000}"/>
    <hyperlink ref="J121" location="dpCost_CurableItemCost_Total" tooltip="Click for Input Cell &amp; Hold to Select Cell" display="dpCost_CurableItemCost_Total" xr:uid="{00000000-0004-0000-3700-000002000000}"/>
    <hyperlink ref="J110" location="dpValue_LUD_Calculated" tooltip="Click for Input Cell &amp; Hold to Select Cell" display="dpValue_LUD_Calculated" xr:uid="{00000000-0004-0000-3700-000003000000}"/>
    <hyperlink ref="J116" location="dpValue_LUD_Calculated" tooltip="Click for Input Cell &amp; Hold to Select Cell" display="dpValue_LUD_Calculated" xr:uid="{00000000-0004-0000-3700-000004000000}"/>
    <hyperlink ref="J122" location="dpValue_LUD_Calculated" tooltip="Click for Input Cell &amp; Hold to Select Cell" display="dpValue_LUD_Calculated" xr:uid="{00000000-0004-0000-3700-000005000000}"/>
    <hyperlink ref="E112" location="dpValue_UserDef1Adjustment_Name" tooltip="Click for Input Cell &amp; Hold to Select Cell" display="dpValue_UserDef1Adjustment_Name" xr:uid="{00000000-0004-0000-3700-000006000000}"/>
    <hyperlink ref="E113" location="dpValue_UserDef2Adjustment_Name" tooltip="Click for Input Cell &amp; Hold to Select Cell" display="dpValue_UserDef2Adjustment_Name" xr:uid="{00000000-0004-0000-3700-000007000000}"/>
    <hyperlink ref="E118" location="dpValue_UserDef1Adjustment_Name" tooltip="Click for Input Cell &amp; Hold to Select Cell" display="dpValue_UserDef1Adjustment_Name" xr:uid="{00000000-0004-0000-3700-000008000000}"/>
    <hyperlink ref="E119" location="dpValue_UserDef2Adjustment_Name" tooltip="Click for Input Cell &amp; Hold to Select Cell" display="dpValue_UserDef2Adjustment_Name" xr:uid="{00000000-0004-0000-3700-000009000000}"/>
    <hyperlink ref="E123" location="dpValue_UserDef1Adjustment_Name" tooltip="Click for Input Cell &amp; Hold to Select Cell" display="dpValue_UserDef1Adjustment_Name" xr:uid="{00000000-0004-0000-3700-00000A000000}"/>
    <hyperlink ref="E124" location="dpValue_UserDef2Adjustment_Name" tooltip="Click for Input Cell &amp; Hold to Select Cell" display="dpValue_UserDef2Adjustment_Name" xr:uid="{00000000-0004-0000-3700-00000B000000}"/>
  </hyperlinks>
  <pageMargins left="0.7" right="0.7" top="0.75" bottom="0.75" header="0.3" footer="0.3"/>
  <pageSetup orientation="portrait" r:id="rId1"/>
  <drawing r:id="rId2"/>
  <legacyDrawing r:id="rId3"/>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43">
    <tabColor theme="5" tint="-0.249977111117893"/>
    <pageSetUpPr fitToPage="1"/>
  </sheetPr>
  <dimension ref="A1:V133"/>
  <sheetViews>
    <sheetView zoomScaleNormal="100" workbookViewId="0">
      <selection activeCell="AA22" sqref="AA22"/>
    </sheetView>
  </sheetViews>
  <sheetFormatPr defaultColWidth="9.140625" defaultRowHeight="12" x14ac:dyDescent="0.2"/>
  <cols>
    <col min="1" max="1" width="5.7109375" style="278" customWidth="1"/>
    <col min="2" max="2" width="1.7109375" style="268" customWidth="1"/>
    <col min="3" max="3" width="0.85546875" style="269" customWidth="1"/>
    <col min="4" max="4" width="1.7109375" style="269" customWidth="1"/>
    <col min="5" max="5" width="25.7109375" style="269" customWidth="1"/>
    <col min="6" max="18" width="10.7109375" style="269" customWidth="1"/>
    <col min="19" max="19" width="0.85546875" style="269" customWidth="1"/>
    <col min="20" max="20" width="1.7109375" style="269" customWidth="1"/>
    <col min="21" max="16384" width="9.140625" style="269"/>
  </cols>
  <sheetData>
    <row r="1" spans="1:20" ht="60" customHeight="1" x14ac:dyDescent="0.2"/>
    <row r="2" spans="1:20" ht="15" customHeight="1" thickBot="1" x14ac:dyDescent="0.25"/>
    <row r="3" spans="1:20" ht="15" customHeight="1" x14ac:dyDescent="0.2">
      <c r="B3" s="283"/>
      <c r="C3" s="270"/>
      <c r="D3" s="270"/>
      <c r="E3" s="270"/>
      <c r="F3" s="270"/>
      <c r="G3" s="270"/>
      <c r="H3" s="270"/>
      <c r="I3" s="270"/>
      <c r="J3" s="270"/>
      <c r="K3" s="270"/>
      <c r="L3" s="270"/>
      <c r="M3" s="270"/>
      <c r="N3" s="270"/>
      <c r="O3" s="270"/>
      <c r="P3" s="270"/>
      <c r="Q3" s="270"/>
      <c r="R3" s="270"/>
      <c r="S3" s="270"/>
      <c r="T3" s="271"/>
    </row>
    <row r="4" spans="1:20" s="536" customFormat="1" ht="15.95" customHeight="1" x14ac:dyDescent="0.25">
      <c r="A4" s="533"/>
      <c r="B4" s="534"/>
      <c r="C4" s="2240"/>
      <c r="D4" s="505" t="s">
        <v>418</v>
      </c>
      <c r="E4" s="2132"/>
      <c r="F4" s="2240"/>
      <c r="G4" s="2240"/>
      <c r="H4" s="2240"/>
      <c r="I4" s="2240"/>
      <c r="J4" s="2240"/>
      <c r="K4" s="2240"/>
      <c r="L4" s="2240"/>
      <c r="M4" s="2240"/>
      <c r="N4" s="2240"/>
      <c r="O4" s="2240"/>
      <c r="P4" s="2240"/>
      <c r="Q4" s="2240"/>
      <c r="R4" s="2240"/>
      <c r="S4" s="2240"/>
      <c r="T4" s="535"/>
    </row>
    <row r="5" spans="1:20" s="536" customFormat="1" ht="15.95" customHeight="1" x14ac:dyDescent="0.25">
      <c r="A5" s="533"/>
      <c r="B5" s="534"/>
      <c r="C5" s="2240"/>
      <c r="D5" s="505" t="str">
        <f>IF(Sort_NumValues=3,dpSort_ValueScenario_2,IF(Sort_NumValues=2,dpSort_ValueScenario_1,"N/A"))</f>
        <v>N/A</v>
      </c>
      <c r="E5" s="2132"/>
      <c r="F5" s="2240"/>
      <c r="G5" s="2240"/>
      <c r="H5" s="2240"/>
      <c r="I5" s="2240"/>
      <c r="J5" s="2240"/>
      <c r="K5" s="2240"/>
      <c r="L5" s="2240"/>
      <c r="M5" s="2240"/>
      <c r="N5" s="2240"/>
      <c r="O5" s="2240"/>
      <c r="P5" s="2240"/>
      <c r="Q5" s="2240"/>
      <c r="R5" s="2240"/>
      <c r="S5" s="2240"/>
      <c r="T5" s="535"/>
    </row>
    <row r="6" spans="1:20" s="280" customFormat="1" ht="0.95" customHeight="1" x14ac:dyDescent="0.2">
      <c r="A6" s="278">
        <v>1</v>
      </c>
      <c r="B6" s="284"/>
      <c r="C6" s="2262"/>
      <c r="D6" s="2262"/>
      <c r="E6" s="2242">
        <v>1</v>
      </c>
      <c r="F6" s="2242">
        <f>E6+1</f>
        <v>2</v>
      </c>
      <c r="G6" s="2242">
        <f t="shared" ref="G6:R7" si="0">F6+1</f>
        <v>3</v>
      </c>
      <c r="H6" s="2242">
        <f t="shared" si="0"/>
        <v>4</v>
      </c>
      <c r="I6" s="2242">
        <f t="shared" si="0"/>
        <v>5</v>
      </c>
      <c r="J6" s="2242">
        <f t="shared" si="0"/>
        <v>6</v>
      </c>
      <c r="K6" s="2242">
        <f t="shared" si="0"/>
        <v>7</v>
      </c>
      <c r="L6" s="2242">
        <f t="shared" si="0"/>
        <v>8</v>
      </c>
      <c r="M6" s="2242">
        <f t="shared" si="0"/>
        <v>9</v>
      </c>
      <c r="N6" s="2242">
        <f t="shared" si="0"/>
        <v>10</v>
      </c>
      <c r="O6" s="2242">
        <f t="shared" si="0"/>
        <v>11</v>
      </c>
      <c r="P6" s="2242">
        <f t="shared" si="0"/>
        <v>12</v>
      </c>
      <c r="Q6" s="2242">
        <f t="shared" si="0"/>
        <v>13</v>
      </c>
      <c r="R6" s="2242">
        <f t="shared" si="0"/>
        <v>14</v>
      </c>
      <c r="S6" s="2262"/>
      <c r="T6" s="279"/>
    </row>
    <row r="7" spans="1:20" ht="15" customHeight="1" x14ac:dyDescent="0.2">
      <c r="A7" s="2637">
        <v>1</v>
      </c>
      <c r="B7" s="284"/>
      <c r="C7" s="2244"/>
      <c r="E7" s="2244"/>
      <c r="F7" s="2245">
        <v>1</v>
      </c>
      <c r="G7" s="2245">
        <f>F7+1</f>
        <v>2</v>
      </c>
      <c r="H7" s="2245">
        <f t="shared" si="0"/>
        <v>3</v>
      </c>
      <c r="I7" s="2245">
        <f t="shared" si="0"/>
        <v>4</v>
      </c>
      <c r="J7" s="2245">
        <f t="shared" si="0"/>
        <v>5</v>
      </c>
      <c r="K7" s="2245">
        <f t="shared" si="0"/>
        <v>6</v>
      </c>
      <c r="L7" s="2245">
        <f t="shared" si="0"/>
        <v>7</v>
      </c>
      <c r="M7" s="2245">
        <f t="shared" si="0"/>
        <v>8</v>
      </c>
      <c r="N7" s="2245">
        <f t="shared" si="0"/>
        <v>9</v>
      </c>
      <c r="O7" s="2245">
        <f t="shared" si="0"/>
        <v>10</v>
      </c>
      <c r="P7" s="2245">
        <f t="shared" si="0"/>
        <v>11</v>
      </c>
      <c r="Q7" s="2245">
        <f t="shared" si="0"/>
        <v>12</v>
      </c>
      <c r="R7" s="2245">
        <f t="shared" si="0"/>
        <v>13</v>
      </c>
      <c r="S7" s="2244"/>
      <c r="T7" s="272"/>
    </row>
    <row r="8" spans="1:20" ht="15" customHeight="1" x14ac:dyDescent="0.2">
      <c r="A8" s="2637">
        <v>1</v>
      </c>
      <c r="B8" s="284">
        <v>1</v>
      </c>
      <c r="C8" s="2244"/>
      <c r="E8" s="2246" t="str">
        <f t="shared" ref="E8:E39" si="1">IF(ISERROR(INDEX(ARGUS_CashFlow2_Array,$B8,E$6)="TRUE"),"",IF(INDEX(ARGUS_CashFlow2_Array,$B8,E$6)="","",IF(OR($E8="Cash Flow Before Debt Service",$E8="  Potential Base Rent"),TEXT(INDEX(ARGUS_CashFlow2_Array,$B8,E$6),"$#,###"),IF($E8="  Average Occupancy Percentage",TEXT(INDEX(ARGUS_CashFlow2_Array,$B8,E$6),"0.0%"),TEXT(INDEX(ARGUS_CashFlow2_Array,$B8,E$6),"#,###")))))</f>
        <v/>
      </c>
      <c r="F8" s="2247" t="str">
        <f t="shared" ref="F8:R8" si="2">IF(ISERROR(INDEX(ARGUS_CashFlow2_Array,$B8,F$6)="TRUE"),"",IF(INDEX(ARGUS_CashFlow2_Array,$B8,F$6)="","",IF(OR($E8="Cash Flow Before Debt Service",$E8="  Base Rental Revenue"),TEXT(INDEX(ARGUS_CashFlow2_Array,$B8,F$6),"$#,###"),INDEX(ARGUS_CashFlow2_Array,$B8,F$6))))</f>
        <v/>
      </c>
      <c r="G8" s="2247" t="str">
        <f t="shared" si="2"/>
        <v/>
      </c>
      <c r="H8" s="2247" t="str">
        <f t="shared" si="2"/>
        <v/>
      </c>
      <c r="I8" s="2247" t="str">
        <f t="shared" si="2"/>
        <v/>
      </c>
      <c r="J8" s="2247" t="str">
        <f t="shared" si="2"/>
        <v/>
      </c>
      <c r="K8" s="2247" t="str">
        <f t="shared" si="2"/>
        <v/>
      </c>
      <c r="L8" s="2247" t="str">
        <f t="shared" si="2"/>
        <v/>
      </c>
      <c r="M8" s="2247" t="str">
        <f t="shared" si="2"/>
        <v/>
      </c>
      <c r="N8" s="2247" t="str">
        <f t="shared" si="2"/>
        <v/>
      </c>
      <c r="O8" s="2247" t="str">
        <f t="shared" si="2"/>
        <v/>
      </c>
      <c r="P8" s="2247" t="str">
        <f t="shared" si="2"/>
        <v/>
      </c>
      <c r="Q8" s="2247" t="str">
        <f t="shared" si="2"/>
        <v/>
      </c>
      <c r="R8" s="2247" t="str">
        <f t="shared" si="2"/>
        <v/>
      </c>
      <c r="S8" s="2244"/>
      <c r="T8" s="272"/>
    </row>
    <row r="9" spans="1:20" ht="15" customHeight="1" x14ac:dyDescent="0.2">
      <c r="A9" s="2637">
        <f t="shared" ref="A9:A40" si="3">IF(OR(AND(E8="",E9="",E10=""),E8="Cash Flow Available for Distribution",E9="Cash Flow Available for Distribution",E10="Cash Flow Available for Distribution"),0,1)</f>
        <v>0</v>
      </c>
      <c r="B9" s="284">
        <f>B8+1</f>
        <v>2</v>
      </c>
      <c r="C9" s="1215"/>
      <c r="D9" s="1215"/>
      <c r="E9" s="2248" t="str">
        <f t="shared" si="1"/>
        <v/>
      </c>
      <c r="F9" s="2250" t="str">
        <f t="shared" ref="F9:R18" si="4">IF(ISERROR(INDEX(ARGUS_CashFlow2_Array,$B9,F$6)="TRUE"),"",IF(INDEX(ARGUS_CashFlow2_Array,$B9,F$6)="","",IF(OR($E9="Cash Flow Before Debt Service",$E9="  Potential Base Rent"),TEXT(INDEX(ARGUS_CashFlow2_Array,$B9,F$6),"$#,###"),IF($E9="  Average Occupancy Percentage",TEXT(INDEX(ARGUS_CashFlow2_Array,$B9,F$6),"0.0%"),TEXT(INDEX(ARGUS_CashFlow2_Array,$B9,F$6),"#,###")))))</f>
        <v/>
      </c>
      <c r="G9" s="2250" t="str">
        <f t="shared" si="4"/>
        <v/>
      </c>
      <c r="H9" s="2250" t="str">
        <f t="shared" si="4"/>
        <v/>
      </c>
      <c r="I9" s="2250" t="str">
        <f t="shared" si="4"/>
        <v/>
      </c>
      <c r="J9" s="2250" t="str">
        <f t="shared" si="4"/>
        <v/>
      </c>
      <c r="K9" s="2250" t="str">
        <f t="shared" si="4"/>
        <v/>
      </c>
      <c r="L9" s="2250" t="str">
        <f t="shared" si="4"/>
        <v/>
      </c>
      <c r="M9" s="2250" t="str">
        <f t="shared" si="4"/>
        <v/>
      </c>
      <c r="N9" s="2250" t="str">
        <f t="shared" si="4"/>
        <v/>
      </c>
      <c r="O9" s="2250" t="str">
        <f t="shared" si="4"/>
        <v/>
      </c>
      <c r="P9" s="2250" t="str">
        <f t="shared" si="4"/>
        <v/>
      </c>
      <c r="Q9" s="2250" t="str">
        <f t="shared" si="4"/>
        <v/>
      </c>
      <c r="R9" s="2250" t="str">
        <f t="shared" si="4"/>
        <v/>
      </c>
      <c r="S9" s="1215"/>
      <c r="T9" s="272"/>
    </row>
    <row r="10" spans="1:20" ht="15" customHeight="1" x14ac:dyDescent="0.2">
      <c r="A10" s="2637">
        <f t="shared" si="3"/>
        <v>0</v>
      </c>
      <c r="B10" s="284">
        <f t="shared" ref="B10:B73" si="5">B9+1</f>
        <v>3</v>
      </c>
      <c r="C10" s="1215"/>
      <c r="D10" s="1215"/>
      <c r="E10" s="2248" t="str">
        <f t="shared" si="1"/>
        <v/>
      </c>
      <c r="F10" s="2250" t="str">
        <f t="shared" si="4"/>
        <v/>
      </c>
      <c r="G10" s="2250" t="str">
        <f t="shared" si="4"/>
        <v/>
      </c>
      <c r="H10" s="2250" t="str">
        <f t="shared" si="4"/>
        <v/>
      </c>
      <c r="I10" s="2250" t="str">
        <f t="shared" si="4"/>
        <v/>
      </c>
      <c r="J10" s="2250" t="str">
        <f t="shared" si="4"/>
        <v/>
      </c>
      <c r="K10" s="2250" t="str">
        <f t="shared" si="4"/>
        <v/>
      </c>
      <c r="L10" s="2250" t="str">
        <f t="shared" si="4"/>
        <v/>
      </c>
      <c r="M10" s="2250" t="str">
        <f t="shared" si="4"/>
        <v/>
      </c>
      <c r="N10" s="2250" t="str">
        <f t="shared" si="4"/>
        <v/>
      </c>
      <c r="O10" s="2250" t="str">
        <f t="shared" si="4"/>
        <v/>
      </c>
      <c r="P10" s="2250" t="str">
        <f t="shared" si="4"/>
        <v/>
      </c>
      <c r="Q10" s="2250" t="str">
        <f t="shared" si="4"/>
        <v/>
      </c>
      <c r="R10" s="2250" t="str">
        <f t="shared" si="4"/>
        <v/>
      </c>
      <c r="S10" s="1215"/>
      <c r="T10" s="272"/>
    </row>
    <row r="11" spans="1:20" ht="15" customHeight="1" x14ac:dyDescent="0.2">
      <c r="A11" s="2637">
        <f t="shared" si="3"/>
        <v>0</v>
      </c>
      <c r="B11" s="284">
        <f t="shared" si="5"/>
        <v>4</v>
      </c>
      <c r="C11" s="1215"/>
      <c r="D11" s="1215"/>
      <c r="E11" s="2248" t="str">
        <f t="shared" si="1"/>
        <v/>
      </c>
      <c r="F11" s="2250" t="str">
        <f t="shared" si="4"/>
        <v/>
      </c>
      <c r="G11" s="2250" t="str">
        <f t="shared" si="4"/>
        <v/>
      </c>
      <c r="H11" s="2250" t="str">
        <f t="shared" si="4"/>
        <v/>
      </c>
      <c r="I11" s="2250" t="str">
        <f t="shared" si="4"/>
        <v/>
      </c>
      <c r="J11" s="2250" t="str">
        <f t="shared" si="4"/>
        <v/>
      </c>
      <c r="K11" s="2250" t="str">
        <f t="shared" si="4"/>
        <v/>
      </c>
      <c r="L11" s="2250" t="str">
        <f t="shared" si="4"/>
        <v/>
      </c>
      <c r="M11" s="2250" t="str">
        <f t="shared" si="4"/>
        <v/>
      </c>
      <c r="N11" s="2250" t="str">
        <f t="shared" si="4"/>
        <v/>
      </c>
      <c r="O11" s="2250" t="str">
        <f t="shared" si="4"/>
        <v/>
      </c>
      <c r="P11" s="2250" t="str">
        <f t="shared" si="4"/>
        <v/>
      </c>
      <c r="Q11" s="2250" t="str">
        <f t="shared" si="4"/>
        <v/>
      </c>
      <c r="R11" s="2250" t="str">
        <f t="shared" si="4"/>
        <v/>
      </c>
      <c r="S11" s="1215"/>
      <c r="T11" s="272"/>
    </row>
    <row r="12" spans="1:20" ht="15" customHeight="1" x14ac:dyDescent="0.2">
      <c r="A12" s="2637">
        <f t="shared" si="3"/>
        <v>0</v>
      </c>
      <c r="B12" s="284">
        <f t="shared" si="5"/>
        <v>5</v>
      </c>
      <c r="C12" s="1215"/>
      <c r="D12" s="1215"/>
      <c r="E12" s="2248" t="str">
        <f t="shared" si="1"/>
        <v/>
      </c>
      <c r="F12" s="2250" t="str">
        <f t="shared" si="4"/>
        <v/>
      </c>
      <c r="G12" s="2250" t="str">
        <f t="shared" si="4"/>
        <v/>
      </c>
      <c r="H12" s="2250" t="str">
        <f t="shared" si="4"/>
        <v/>
      </c>
      <c r="I12" s="2250" t="str">
        <f t="shared" si="4"/>
        <v/>
      </c>
      <c r="J12" s="2250" t="str">
        <f t="shared" si="4"/>
        <v/>
      </c>
      <c r="K12" s="2250" t="str">
        <f t="shared" si="4"/>
        <v/>
      </c>
      <c r="L12" s="2250" t="str">
        <f t="shared" si="4"/>
        <v/>
      </c>
      <c r="M12" s="2250" t="str">
        <f t="shared" si="4"/>
        <v/>
      </c>
      <c r="N12" s="2250" t="str">
        <f t="shared" si="4"/>
        <v/>
      </c>
      <c r="O12" s="2250" t="str">
        <f t="shared" si="4"/>
        <v/>
      </c>
      <c r="P12" s="2250" t="str">
        <f t="shared" si="4"/>
        <v/>
      </c>
      <c r="Q12" s="2250" t="str">
        <f t="shared" si="4"/>
        <v/>
      </c>
      <c r="R12" s="2250" t="str">
        <f t="shared" si="4"/>
        <v/>
      </c>
      <c r="S12" s="1215"/>
      <c r="T12" s="272"/>
    </row>
    <row r="13" spans="1:20" ht="15" customHeight="1" x14ac:dyDescent="0.2">
      <c r="A13" s="2637">
        <f t="shared" si="3"/>
        <v>0</v>
      </c>
      <c r="B13" s="284">
        <f t="shared" si="5"/>
        <v>6</v>
      </c>
      <c r="C13" s="1215"/>
      <c r="D13" s="1215"/>
      <c r="E13" s="2248" t="str">
        <f t="shared" si="1"/>
        <v/>
      </c>
      <c r="F13" s="2250" t="str">
        <f t="shared" si="4"/>
        <v/>
      </c>
      <c r="G13" s="2250" t="str">
        <f t="shared" si="4"/>
        <v/>
      </c>
      <c r="H13" s="2250" t="str">
        <f t="shared" si="4"/>
        <v/>
      </c>
      <c r="I13" s="2250" t="str">
        <f t="shared" si="4"/>
        <v/>
      </c>
      <c r="J13" s="2250" t="str">
        <f t="shared" si="4"/>
        <v/>
      </c>
      <c r="K13" s="2250" t="str">
        <f t="shared" si="4"/>
        <v/>
      </c>
      <c r="L13" s="2250" t="str">
        <f t="shared" si="4"/>
        <v/>
      </c>
      <c r="M13" s="2250" t="str">
        <f t="shared" si="4"/>
        <v/>
      </c>
      <c r="N13" s="2250" t="str">
        <f t="shared" si="4"/>
        <v/>
      </c>
      <c r="O13" s="2250" t="str">
        <f t="shared" si="4"/>
        <v/>
      </c>
      <c r="P13" s="2250" t="str">
        <f t="shared" si="4"/>
        <v/>
      </c>
      <c r="Q13" s="2250" t="str">
        <f t="shared" si="4"/>
        <v/>
      </c>
      <c r="R13" s="2250" t="str">
        <f t="shared" si="4"/>
        <v/>
      </c>
      <c r="S13" s="1215"/>
      <c r="T13" s="272"/>
    </row>
    <row r="14" spans="1:20" ht="15" customHeight="1" x14ac:dyDescent="0.2">
      <c r="A14" s="2637">
        <f t="shared" si="3"/>
        <v>0</v>
      </c>
      <c r="B14" s="284">
        <f t="shared" si="5"/>
        <v>7</v>
      </c>
      <c r="C14" s="1215"/>
      <c r="D14" s="1215"/>
      <c r="E14" s="2248" t="str">
        <f t="shared" si="1"/>
        <v/>
      </c>
      <c r="F14" s="2250" t="str">
        <f t="shared" si="4"/>
        <v/>
      </c>
      <c r="G14" s="2250" t="str">
        <f t="shared" si="4"/>
        <v/>
      </c>
      <c r="H14" s="2250" t="str">
        <f t="shared" si="4"/>
        <v/>
      </c>
      <c r="I14" s="2250" t="str">
        <f t="shared" si="4"/>
        <v/>
      </c>
      <c r="J14" s="2250" t="str">
        <f t="shared" si="4"/>
        <v/>
      </c>
      <c r="K14" s="2250" t="str">
        <f t="shared" si="4"/>
        <v/>
      </c>
      <c r="L14" s="2250" t="str">
        <f t="shared" si="4"/>
        <v/>
      </c>
      <c r="M14" s="2250" t="str">
        <f t="shared" si="4"/>
        <v/>
      </c>
      <c r="N14" s="2250" t="str">
        <f t="shared" si="4"/>
        <v/>
      </c>
      <c r="O14" s="2250" t="str">
        <f t="shared" si="4"/>
        <v/>
      </c>
      <c r="P14" s="2250" t="str">
        <f t="shared" si="4"/>
        <v/>
      </c>
      <c r="Q14" s="2250" t="str">
        <f t="shared" si="4"/>
        <v/>
      </c>
      <c r="R14" s="2250" t="str">
        <f t="shared" si="4"/>
        <v/>
      </c>
      <c r="S14" s="1215"/>
      <c r="T14" s="272"/>
    </row>
    <row r="15" spans="1:20" ht="15" customHeight="1" x14ac:dyDescent="0.2">
      <c r="A15" s="2637">
        <f t="shared" si="3"/>
        <v>0</v>
      </c>
      <c r="B15" s="284">
        <f t="shared" si="5"/>
        <v>8</v>
      </c>
      <c r="C15" s="1215"/>
      <c r="D15" s="1215"/>
      <c r="E15" s="2248" t="str">
        <f t="shared" si="1"/>
        <v/>
      </c>
      <c r="F15" s="2250" t="str">
        <f t="shared" si="4"/>
        <v/>
      </c>
      <c r="G15" s="2250" t="str">
        <f t="shared" si="4"/>
        <v/>
      </c>
      <c r="H15" s="2250" t="str">
        <f t="shared" si="4"/>
        <v/>
      </c>
      <c r="I15" s="2250" t="str">
        <f t="shared" si="4"/>
        <v/>
      </c>
      <c r="J15" s="2250" t="str">
        <f t="shared" si="4"/>
        <v/>
      </c>
      <c r="K15" s="2250" t="str">
        <f t="shared" si="4"/>
        <v/>
      </c>
      <c r="L15" s="2250" t="str">
        <f t="shared" si="4"/>
        <v/>
      </c>
      <c r="M15" s="2250" t="str">
        <f t="shared" si="4"/>
        <v/>
      </c>
      <c r="N15" s="2250" t="str">
        <f t="shared" si="4"/>
        <v/>
      </c>
      <c r="O15" s="2250" t="str">
        <f t="shared" si="4"/>
        <v/>
      </c>
      <c r="P15" s="2250" t="str">
        <f t="shared" si="4"/>
        <v/>
      </c>
      <c r="Q15" s="2250" t="str">
        <f t="shared" si="4"/>
        <v/>
      </c>
      <c r="R15" s="2250" t="str">
        <f t="shared" si="4"/>
        <v/>
      </c>
      <c r="S15" s="1215"/>
      <c r="T15" s="272"/>
    </row>
    <row r="16" spans="1:20" ht="15" customHeight="1" x14ac:dyDescent="0.2">
      <c r="A16" s="2637">
        <f t="shared" si="3"/>
        <v>0</v>
      </c>
      <c r="B16" s="284">
        <f t="shared" si="5"/>
        <v>9</v>
      </c>
      <c r="C16" s="1215"/>
      <c r="D16" s="1215"/>
      <c r="E16" s="2248" t="str">
        <f t="shared" si="1"/>
        <v/>
      </c>
      <c r="F16" s="2250" t="str">
        <f t="shared" si="4"/>
        <v/>
      </c>
      <c r="G16" s="2250" t="str">
        <f t="shared" si="4"/>
        <v/>
      </c>
      <c r="H16" s="2250" t="str">
        <f t="shared" si="4"/>
        <v/>
      </c>
      <c r="I16" s="2250" t="str">
        <f t="shared" si="4"/>
        <v/>
      </c>
      <c r="J16" s="2250" t="str">
        <f t="shared" si="4"/>
        <v/>
      </c>
      <c r="K16" s="2250" t="str">
        <f t="shared" si="4"/>
        <v/>
      </c>
      <c r="L16" s="2250" t="str">
        <f t="shared" si="4"/>
        <v/>
      </c>
      <c r="M16" s="2250" t="str">
        <f t="shared" si="4"/>
        <v/>
      </c>
      <c r="N16" s="2250" t="str">
        <f t="shared" si="4"/>
        <v/>
      </c>
      <c r="O16" s="2250" t="str">
        <f t="shared" si="4"/>
        <v/>
      </c>
      <c r="P16" s="2250" t="str">
        <f t="shared" si="4"/>
        <v/>
      </c>
      <c r="Q16" s="2250" t="str">
        <f t="shared" si="4"/>
        <v/>
      </c>
      <c r="R16" s="2250" t="str">
        <f t="shared" si="4"/>
        <v/>
      </c>
      <c r="S16" s="1215"/>
      <c r="T16" s="272"/>
    </row>
    <row r="17" spans="1:20" ht="15" customHeight="1" x14ac:dyDescent="0.2">
      <c r="A17" s="2637">
        <f t="shared" si="3"/>
        <v>0</v>
      </c>
      <c r="B17" s="284">
        <f t="shared" si="5"/>
        <v>10</v>
      </c>
      <c r="C17" s="1215"/>
      <c r="D17" s="1215"/>
      <c r="E17" s="2248" t="str">
        <f t="shared" si="1"/>
        <v/>
      </c>
      <c r="F17" s="2250" t="str">
        <f t="shared" si="4"/>
        <v/>
      </c>
      <c r="G17" s="2250" t="str">
        <f t="shared" si="4"/>
        <v/>
      </c>
      <c r="H17" s="2250" t="str">
        <f t="shared" si="4"/>
        <v/>
      </c>
      <c r="I17" s="2250" t="str">
        <f t="shared" si="4"/>
        <v/>
      </c>
      <c r="J17" s="2250" t="str">
        <f t="shared" si="4"/>
        <v/>
      </c>
      <c r="K17" s="2250" t="str">
        <f t="shared" si="4"/>
        <v/>
      </c>
      <c r="L17" s="2250" t="str">
        <f t="shared" si="4"/>
        <v/>
      </c>
      <c r="M17" s="2250" t="str">
        <f t="shared" si="4"/>
        <v/>
      </c>
      <c r="N17" s="2250" t="str">
        <f t="shared" si="4"/>
        <v/>
      </c>
      <c r="O17" s="2250" t="str">
        <f t="shared" si="4"/>
        <v/>
      </c>
      <c r="P17" s="2250" t="str">
        <f t="shared" si="4"/>
        <v/>
      </c>
      <c r="Q17" s="2250" t="str">
        <f t="shared" si="4"/>
        <v/>
      </c>
      <c r="R17" s="2250" t="str">
        <f t="shared" si="4"/>
        <v/>
      </c>
      <c r="S17" s="1215"/>
      <c r="T17" s="272"/>
    </row>
    <row r="18" spans="1:20" ht="15" customHeight="1" x14ac:dyDescent="0.2">
      <c r="A18" s="2637">
        <f t="shared" si="3"/>
        <v>0</v>
      </c>
      <c r="B18" s="284">
        <f t="shared" si="5"/>
        <v>11</v>
      </c>
      <c r="C18" s="1215"/>
      <c r="D18" s="1215"/>
      <c r="E18" s="2248" t="str">
        <f t="shared" si="1"/>
        <v/>
      </c>
      <c r="F18" s="2250" t="str">
        <f t="shared" si="4"/>
        <v/>
      </c>
      <c r="G18" s="2250" t="str">
        <f t="shared" si="4"/>
        <v/>
      </c>
      <c r="H18" s="2250" t="str">
        <f t="shared" si="4"/>
        <v/>
      </c>
      <c r="I18" s="2250" t="str">
        <f t="shared" si="4"/>
        <v/>
      </c>
      <c r="J18" s="2250" t="str">
        <f t="shared" si="4"/>
        <v/>
      </c>
      <c r="K18" s="2250" t="str">
        <f t="shared" si="4"/>
        <v/>
      </c>
      <c r="L18" s="2250" t="str">
        <f t="shared" si="4"/>
        <v/>
      </c>
      <c r="M18" s="2250" t="str">
        <f t="shared" si="4"/>
        <v/>
      </c>
      <c r="N18" s="2250" t="str">
        <f t="shared" si="4"/>
        <v/>
      </c>
      <c r="O18" s="2250" t="str">
        <f t="shared" si="4"/>
        <v/>
      </c>
      <c r="P18" s="2250" t="str">
        <f t="shared" si="4"/>
        <v/>
      </c>
      <c r="Q18" s="2250" t="str">
        <f t="shared" si="4"/>
        <v/>
      </c>
      <c r="R18" s="2250" t="str">
        <f t="shared" si="4"/>
        <v/>
      </c>
      <c r="S18" s="1215"/>
      <c r="T18" s="272"/>
    </row>
    <row r="19" spans="1:20" ht="15" customHeight="1" x14ac:dyDescent="0.2">
      <c r="A19" s="2637">
        <f t="shared" si="3"/>
        <v>0</v>
      </c>
      <c r="B19" s="284">
        <f t="shared" si="5"/>
        <v>12</v>
      </c>
      <c r="C19" s="1215"/>
      <c r="D19" s="1215"/>
      <c r="E19" s="2248" t="str">
        <f t="shared" si="1"/>
        <v/>
      </c>
      <c r="F19" s="2250" t="str">
        <f t="shared" ref="F19:R28" si="6">IF(ISERROR(INDEX(ARGUS_CashFlow2_Array,$B19,F$6)="TRUE"),"",IF(INDEX(ARGUS_CashFlow2_Array,$B19,F$6)="","",IF(OR($E19="Cash Flow Before Debt Service",$E19="  Potential Base Rent"),TEXT(INDEX(ARGUS_CashFlow2_Array,$B19,F$6),"$#,###"),IF($E19="  Average Occupancy Percentage",TEXT(INDEX(ARGUS_CashFlow2_Array,$B19,F$6),"0.0%"),TEXT(INDEX(ARGUS_CashFlow2_Array,$B19,F$6),"#,###")))))</f>
        <v/>
      </c>
      <c r="G19" s="2250" t="str">
        <f t="shared" si="6"/>
        <v/>
      </c>
      <c r="H19" s="2250" t="str">
        <f t="shared" si="6"/>
        <v/>
      </c>
      <c r="I19" s="2250" t="str">
        <f t="shared" si="6"/>
        <v/>
      </c>
      <c r="J19" s="2250" t="str">
        <f t="shared" si="6"/>
        <v/>
      </c>
      <c r="K19" s="2250" t="str">
        <f t="shared" si="6"/>
        <v/>
      </c>
      <c r="L19" s="2250" t="str">
        <f t="shared" si="6"/>
        <v/>
      </c>
      <c r="M19" s="2250" t="str">
        <f t="shared" si="6"/>
        <v/>
      </c>
      <c r="N19" s="2250" t="str">
        <f t="shared" si="6"/>
        <v/>
      </c>
      <c r="O19" s="2250" t="str">
        <f t="shared" si="6"/>
        <v/>
      </c>
      <c r="P19" s="2250" t="str">
        <f t="shared" si="6"/>
        <v/>
      </c>
      <c r="Q19" s="2250" t="str">
        <f t="shared" si="6"/>
        <v/>
      </c>
      <c r="R19" s="2250" t="str">
        <f t="shared" si="6"/>
        <v/>
      </c>
      <c r="S19" s="1215"/>
      <c r="T19" s="272"/>
    </row>
    <row r="20" spans="1:20" ht="15" customHeight="1" x14ac:dyDescent="0.2">
      <c r="A20" s="2637">
        <f t="shared" si="3"/>
        <v>0</v>
      </c>
      <c r="B20" s="284">
        <f t="shared" si="5"/>
        <v>13</v>
      </c>
      <c r="C20" s="1215"/>
      <c r="D20" s="1215"/>
      <c r="E20" s="2248" t="str">
        <f t="shared" si="1"/>
        <v/>
      </c>
      <c r="F20" s="2250" t="str">
        <f t="shared" si="6"/>
        <v/>
      </c>
      <c r="G20" s="2250" t="str">
        <f t="shared" si="6"/>
        <v/>
      </c>
      <c r="H20" s="2250" t="str">
        <f t="shared" si="6"/>
        <v/>
      </c>
      <c r="I20" s="2250" t="str">
        <f t="shared" si="6"/>
        <v/>
      </c>
      <c r="J20" s="2250" t="str">
        <f t="shared" si="6"/>
        <v/>
      </c>
      <c r="K20" s="2250" t="str">
        <f t="shared" si="6"/>
        <v/>
      </c>
      <c r="L20" s="2250" t="str">
        <f t="shared" si="6"/>
        <v/>
      </c>
      <c r="M20" s="2250" t="str">
        <f t="shared" si="6"/>
        <v/>
      </c>
      <c r="N20" s="2250" t="str">
        <f t="shared" si="6"/>
        <v/>
      </c>
      <c r="O20" s="2250" t="str">
        <f t="shared" si="6"/>
        <v/>
      </c>
      <c r="P20" s="2250" t="str">
        <f t="shared" si="6"/>
        <v/>
      </c>
      <c r="Q20" s="2250" t="str">
        <f t="shared" si="6"/>
        <v/>
      </c>
      <c r="R20" s="2250" t="str">
        <f t="shared" si="6"/>
        <v/>
      </c>
      <c r="S20" s="1215"/>
      <c r="T20" s="272"/>
    </row>
    <row r="21" spans="1:20" ht="15" customHeight="1" x14ac:dyDescent="0.2">
      <c r="A21" s="2637">
        <f t="shared" si="3"/>
        <v>0</v>
      </c>
      <c r="B21" s="284">
        <f t="shared" si="5"/>
        <v>14</v>
      </c>
      <c r="C21" s="1215"/>
      <c r="D21" s="1215"/>
      <c r="E21" s="2248" t="str">
        <f t="shared" si="1"/>
        <v/>
      </c>
      <c r="F21" s="2250" t="str">
        <f t="shared" si="6"/>
        <v/>
      </c>
      <c r="G21" s="2250" t="str">
        <f t="shared" si="6"/>
        <v/>
      </c>
      <c r="H21" s="2250" t="str">
        <f t="shared" si="6"/>
        <v/>
      </c>
      <c r="I21" s="2250" t="str">
        <f t="shared" si="6"/>
        <v/>
      </c>
      <c r="J21" s="2250" t="str">
        <f t="shared" si="6"/>
        <v/>
      </c>
      <c r="K21" s="2250" t="str">
        <f t="shared" si="6"/>
        <v/>
      </c>
      <c r="L21" s="2250" t="str">
        <f t="shared" si="6"/>
        <v/>
      </c>
      <c r="M21" s="2250" t="str">
        <f t="shared" si="6"/>
        <v/>
      </c>
      <c r="N21" s="2250" t="str">
        <f t="shared" si="6"/>
        <v/>
      </c>
      <c r="O21" s="2250" t="str">
        <f t="shared" si="6"/>
        <v/>
      </c>
      <c r="P21" s="2250" t="str">
        <f t="shared" si="6"/>
        <v/>
      </c>
      <c r="Q21" s="2250" t="str">
        <f t="shared" si="6"/>
        <v/>
      </c>
      <c r="R21" s="2250" t="str">
        <f t="shared" si="6"/>
        <v/>
      </c>
      <c r="S21" s="1215"/>
      <c r="T21" s="272"/>
    </row>
    <row r="22" spans="1:20" ht="15" customHeight="1" x14ac:dyDescent="0.2">
      <c r="A22" s="2637">
        <f t="shared" si="3"/>
        <v>0</v>
      </c>
      <c r="B22" s="284">
        <f t="shared" si="5"/>
        <v>15</v>
      </c>
      <c r="C22" s="1215"/>
      <c r="D22" s="1215"/>
      <c r="E22" s="2248" t="str">
        <f t="shared" si="1"/>
        <v/>
      </c>
      <c r="F22" s="2250" t="str">
        <f t="shared" si="6"/>
        <v/>
      </c>
      <c r="G22" s="2250" t="str">
        <f t="shared" si="6"/>
        <v/>
      </c>
      <c r="H22" s="2250" t="str">
        <f t="shared" si="6"/>
        <v/>
      </c>
      <c r="I22" s="2250" t="str">
        <f t="shared" si="6"/>
        <v/>
      </c>
      <c r="J22" s="2250" t="str">
        <f t="shared" si="6"/>
        <v/>
      </c>
      <c r="K22" s="2250" t="str">
        <f t="shared" si="6"/>
        <v/>
      </c>
      <c r="L22" s="2250" t="str">
        <f t="shared" si="6"/>
        <v/>
      </c>
      <c r="M22" s="2250" t="str">
        <f t="shared" si="6"/>
        <v/>
      </c>
      <c r="N22" s="2250" t="str">
        <f t="shared" si="6"/>
        <v/>
      </c>
      <c r="O22" s="2250" t="str">
        <f t="shared" si="6"/>
        <v/>
      </c>
      <c r="P22" s="2250" t="str">
        <f t="shared" si="6"/>
        <v/>
      </c>
      <c r="Q22" s="2250" t="str">
        <f t="shared" si="6"/>
        <v/>
      </c>
      <c r="R22" s="2250" t="str">
        <f t="shared" si="6"/>
        <v/>
      </c>
      <c r="S22" s="1215"/>
      <c r="T22" s="272"/>
    </row>
    <row r="23" spans="1:20" ht="15" customHeight="1" x14ac:dyDescent="0.2">
      <c r="A23" s="2637">
        <f t="shared" si="3"/>
        <v>0</v>
      </c>
      <c r="B23" s="284">
        <f t="shared" si="5"/>
        <v>16</v>
      </c>
      <c r="C23" s="1215"/>
      <c r="D23" s="1215"/>
      <c r="E23" s="2248" t="str">
        <f t="shared" si="1"/>
        <v/>
      </c>
      <c r="F23" s="2250" t="str">
        <f t="shared" si="6"/>
        <v/>
      </c>
      <c r="G23" s="2250" t="str">
        <f t="shared" si="6"/>
        <v/>
      </c>
      <c r="H23" s="2250" t="str">
        <f t="shared" si="6"/>
        <v/>
      </c>
      <c r="I23" s="2250" t="str">
        <f t="shared" si="6"/>
        <v/>
      </c>
      <c r="J23" s="2250" t="str">
        <f t="shared" si="6"/>
        <v/>
      </c>
      <c r="K23" s="2250" t="str">
        <f t="shared" si="6"/>
        <v/>
      </c>
      <c r="L23" s="2250" t="str">
        <f t="shared" si="6"/>
        <v/>
      </c>
      <c r="M23" s="2250" t="str">
        <f t="shared" si="6"/>
        <v/>
      </c>
      <c r="N23" s="2250" t="str">
        <f t="shared" si="6"/>
        <v/>
      </c>
      <c r="O23" s="2250" t="str">
        <f t="shared" si="6"/>
        <v/>
      </c>
      <c r="P23" s="2250" t="str">
        <f t="shared" si="6"/>
        <v/>
      </c>
      <c r="Q23" s="2250" t="str">
        <f t="shared" si="6"/>
        <v/>
      </c>
      <c r="R23" s="2250" t="str">
        <f t="shared" si="6"/>
        <v/>
      </c>
      <c r="S23" s="1215"/>
      <c r="T23" s="272"/>
    </row>
    <row r="24" spans="1:20" ht="15" customHeight="1" x14ac:dyDescent="0.2">
      <c r="A24" s="2637">
        <f t="shared" si="3"/>
        <v>0</v>
      </c>
      <c r="B24" s="284">
        <f t="shared" si="5"/>
        <v>17</v>
      </c>
      <c r="C24" s="1215"/>
      <c r="D24" s="1215"/>
      <c r="E24" s="2248" t="str">
        <f t="shared" si="1"/>
        <v/>
      </c>
      <c r="F24" s="2250" t="str">
        <f t="shared" si="6"/>
        <v/>
      </c>
      <c r="G24" s="2250" t="str">
        <f t="shared" si="6"/>
        <v/>
      </c>
      <c r="H24" s="2250" t="str">
        <f t="shared" si="6"/>
        <v/>
      </c>
      <c r="I24" s="2250" t="str">
        <f t="shared" si="6"/>
        <v/>
      </c>
      <c r="J24" s="2250" t="str">
        <f t="shared" si="6"/>
        <v/>
      </c>
      <c r="K24" s="2250" t="str">
        <f t="shared" si="6"/>
        <v/>
      </c>
      <c r="L24" s="2250" t="str">
        <f t="shared" si="6"/>
        <v/>
      </c>
      <c r="M24" s="2250" t="str">
        <f t="shared" si="6"/>
        <v/>
      </c>
      <c r="N24" s="2250" t="str">
        <f t="shared" si="6"/>
        <v/>
      </c>
      <c r="O24" s="2250" t="str">
        <f t="shared" si="6"/>
        <v/>
      </c>
      <c r="P24" s="2250" t="str">
        <f t="shared" si="6"/>
        <v/>
      </c>
      <c r="Q24" s="2250" t="str">
        <f t="shared" si="6"/>
        <v/>
      </c>
      <c r="R24" s="2250" t="str">
        <f t="shared" si="6"/>
        <v/>
      </c>
      <c r="S24" s="1215"/>
      <c r="T24" s="272"/>
    </row>
    <row r="25" spans="1:20" ht="15" customHeight="1" x14ac:dyDescent="0.2">
      <c r="A25" s="2637">
        <f t="shared" si="3"/>
        <v>0</v>
      </c>
      <c r="B25" s="284">
        <f t="shared" si="5"/>
        <v>18</v>
      </c>
      <c r="C25" s="1215"/>
      <c r="D25" s="1215"/>
      <c r="E25" s="2248" t="str">
        <f t="shared" si="1"/>
        <v/>
      </c>
      <c r="F25" s="2250" t="str">
        <f t="shared" si="6"/>
        <v/>
      </c>
      <c r="G25" s="2250" t="str">
        <f t="shared" si="6"/>
        <v/>
      </c>
      <c r="H25" s="2250" t="str">
        <f t="shared" si="6"/>
        <v/>
      </c>
      <c r="I25" s="2250" t="str">
        <f t="shared" si="6"/>
        <v/>
      </c>
      <c r="J25" s="2250" t="str">
        <f t="shared" si="6"/>
        <v/>
      </c>
      <c r="K25" s="2250" t="str">
        <f t="shared" si="6"/>
        <v/>
      </c>
      <c r="L25" s="2250" t="str">
        <f t="shared" si="6"/>
        <v/>
      </c>
      <c r="M25" s="2250" t="str">
        <f t="shared" si="6"/>
        <v/>
      </c>
      <c r="N25" s="2250" t="str">
        <f t="shared" si="6"/>
        <v/>
      </c>
      <c r="O25" s="2250" t="str">
        <f t="shared" si="6"/>
        <v/>
      </c>
      <c r="P25" s="2250" t="str">
        <f t="shared" si="6"/>
        <v/>
      </c>
      <c r="Q25" s="2250" t="str">
        <f t="shared" si="6"/>
        <v/>
      </c>
      <c r="R25" s="2250" t="str">
        <f t="shared" si="6"/>
        <v/>
      </c>
      <c r="S25" s="1215"/>
      <c r="T25" s="272"/>
    </row>
    <row r="26" spans="1:20" ht="15" customHeight="1" x14ac:dyDescent="0.2">
      <c r="A26" s="2637">
        <f t="shared" si="3"/>
        <v>0</v>
      </c>
      <c r="B26" s="284">
        <f t="shared" si="5"/>
        <v>19</v>
      </c>
      <c r="C26" s="1215"/>
      <c r="D26" s="1215"/>
      <c r="E26" s="2248" t="str">
        <f t="shared" si="1"/>
        <v/>
      </c>
      <c r="F26" s="2250" t="str">
        <f t="shared" si="6"/>
        <v/>
      </c>
      <c r="G26" s="2250" t="str">
        <f t="shared" si="6"/>
        <v/>
      </c>
      <c r="H26" s="2250" t="str">
        <f t="shared" si="6"/>
        <v/>
      </c>
      <c r="I26" s="2250" t="str">
        <f t="shared" si="6"/>
        <v/>
      </c>
      <c r="J26" s="2250" t="str">
        <f t="shared" si="6"/>
        <v/>
      </c>
      <c r="K26" s="2250" t="str">
        <f t="shared" si="6"/>
        <v/>
      </c>
      <c r="L26" s="2250" t="str">
        <f t="shared" si="6"/>
        <v/>
      </c>
      <c r="M26" s="2250" t="str">
        <f t="shared" si="6"/>
        <v/>
      </c>
      <c r="N26" s="2250" t="str">
        <f t="shared" si="6"/>
        <v/>
      </c>
      <c r="O26" s="2250" t="str">
        <f t="shared" si="6"/>
        <v/>
      </c>
      <c r="P26" s="2250" t="str">
        <f t="shared" si="6"/>
        <v/>
      </c>
      <c r="Q26" s="2250" t="str">
        <f t="shared" si="6"/>
        <v/>
      </c>
      <c r="R26" s="2250" t="str">
        <f t="shared" si="6"/>
        <v/>
      </c>
      <c r="S26" s="1215"/>
      <c r="T26" s="272"/>
    </row>
    <row r="27" spans="1:20" ht="15" customHeight="1" x14ac:dyDescent="0.2">
      <c r="A27" s="2637">
        <f t="shared" si="3"/>
        <v>0</v>
      </c>
      <c r="B27" s="284">
        <f t="shared" si="5"/>
        <v>20</v>
      </c>
      <c r="C27" s="1215"/>
      <c r="D27" s="1215"/>
      <c r="E27" s="2248" t="str">
        <f t="shared" si="1"/>
        <v/>
      </c>
      <c r="F27" s="2250" t="str">
        <f t="shared" si="6"/>
        <v/>
      </c>
      <c r="G27" s="2250" t="str">
        <f t="shared" si="6"/>
        <v/>
      </c>
      <c r="H27" s="2250" t="str">
        <f t="shared" si="6"/>
        <v/>
      </c>
      <c r="I27" s="2250" t="str">
        <f t="shared" si="6"/>
        <v/>
      </c>
      <c r="J27" s="2250" t="str">
        <f t="shared" si="6"/>
        <v/>
      </c>
      <c r="K27" s="2250" t="str">
        <f t="shared" si="6"/>
        <v/>
      </c>
      <c r="L27" s="2250" t="str">
        <f t="shared" si="6"/>
        <v/>
      </c>
      <c r="M27" s="2250" t="str">
        <f t="shared" si="6"/>
        <v/>
      </c>
      <c r="N27" s="2250" t="str">
        <f t="shared" si="6"/>
        <v/>
      </c>
      <c r="O27" s="2250" t="str">
        <f t="shared" si="6"/>
        <v/>
      </c>
      <c r="P27" s="2250" t="str">
        <f t="shared" si="6"/>
        <v/>
      </c>
      <c r="Q27" s="2250" t="str">
        <f t="shared" si="6"/>
        <v/>
      </c>
      <c r="R27" s="2250" t="str">
        <f t="shared" si="6"/>
        <v/>
      </c>
      <c r="S27" s="1215"/>
      <c r="T27" s="272"/>
    </row>
    <row r="28" spans="1:20" ht="15" customHeight="1" x14ac:dyDescent="0.2">
      <c r="A28" s="2637">
        <f t="shared" si="3"/>
        <v>0</v>
      </c>
      <c r="B28" s="284">
        <f t="shared" si="5"/>
        <v>21</v>
      </c>
      <c r="C28" s="1215"/>
      <c r="D28" s="1215"/>
      <c r="E28" s="2248" t="str">
        <f t="shared" si="1"/>
        <v/>
      </c>
      <c r="F28" s="2250" t="str">
        <f t="shared" si="6"/>
        <v/>
      </c>
      <c r="G28" s="2250" t="str">
        <f t="shared" si="6"/>
        <v/>
      </c>
      <c r="H28" s="2250" t="str">
        <f t="shared" si="6"/>
        <v/>
      </c>
      <c r="I28" s="2250" t="str">
        <f t="shared" si="6"/>
        <v/>
      </c>
      <c r="J28" s="2250" t="str">
        <f t="shared" si="6"/>
        <v/>
      </c>
      <c r="K28" s="2250" t="str">
        <f t="shared" si="6"/>
        <v/>
      </c>
      <c r="L28" s="2250" t="str">
        <f t="shared" si="6"/>
        <v/>
      </c>
      <c r="M28" s="2250" t="str">
        <f t="shared" si="6"/>
        <v/>
      </c>
      <c r="N28" s="2250" t="str">
        <f t="shared" si="6"/>
        <v/>
      </c>
      <c r="O28" s="2250" t="str">
        <f t="shared" si="6"/>
        <v/>
      </c>
      <c r="P28" s="2250" t="str">
        <f t="shared" si="6"/>
        <v/>
      </c>
      <c r="Q28" s="2250" t="str">
        <f t="shared" si="6"/>
        <v/>
      </c>
      <c r="R28" s="2250" t="str">
        <f t="shared" si="6"/>
        <v/>
      </c>
      <c r="S28" s="1215"/>
      <c r="T28" s="272"/>
    </row>
    <row r="29" spans="1:20" ht="15" customHeight="1" x14ac:dyDescent="0.2">
      <c r="A29" s="2637">
        <f t="shared" si="3"/>
        <v>0</v>
      </c>
      <c r="B29" s="284">
        <f t="shared" si="5"/>
        <v>22</v>
      </c>
      <c r="C29" s="1215"/>
      <c r="D29" s="1215"/>
      <c r="E29" s="2248" t="str">
        <f t="shared" si="1"/>
        <v/>
      </c>
      <c r="F29" s="2250" t="str">
        <f t="shared" ref="F29:R38" si="7">IF(ISERROR(INDEX(ARGUS_CashFlow2_Array,$B29,F$6)="TRUE"),"",IF(INDEX(ARGUS_CashFlow2_Array,$B29,F$6)="","",IF(OR($E29="Cash Flow Before Debt Service",$E29="  Potential Base Rent"),TEXT(INDEX(ARGUS_CashFlow2_Array,$B29,F$6),"$#,###"),IF($E29="  Average Occupancy Percentage",TEXT(INDEX(ARGUS_CashFlow2_Array,$B29,F$6),"0.0%"),TEXT(INDEX(ARGUS_CashFlow2_Array,$B29,F$6),"#,###")))))</f>
        <v/>
      </c>
      <c r="G29" s="2250" t="str">
        <f t="shared" si="7"/>
        <v/>
      </c>
      <c r="H29" s="2250" t="str">
        <f t="shared" si="7"/>
        <v/>
      </c>
      <c r="I29" s="2250" t="str">
        <f t="shared" si="7"/>
        <v/>
      </c>
      <c r="J29" s="2250" t="str">
        <f t="shared" si="7"/>
        <v/>
      </c>
      <c r="K29" s="2250" t="str">
        <f t="shared" si="7"/>
        <v/>
      </c>
      <c r="L29" s="2250" t="str">
        <f t="shared" si="7"/>
        <v/>
      </c>
      <c r="M29" s="2250" t="str">
        <f t="shared" si="7"/>
        <v/>
      </c>
      <c r="N29" s="2250" t="str">
        <f t="shared" si="7"/>
        <v/>
      </c>
      <c r="O29" s="2250" t="str">
        <f t="shared" si="7"/>
        <v/>
      </c>
      <c r="P29" s="2250" t="str">
        <f t="shared" si="7"/>
        <v/>
      </c>
      <c r="Q29" s="2250" t="str">
        <f t="shared" si="7"/>
        <v/>
      </c>
      <c r="R29" s="2250" t="str">
        <f t="shared" si="7"/>
        <v/>
      </c>
      <c r="S29" s="1215"/>
      <c r="T29" s="272"/>
    </row>
    <row r="30" spans="1:20" ht="15" customHeight="1" x14ac:dyDescent="0.2">
      <c r="A30" s="2637">
        <f t="shared" si="3"/>
        <v>0</v>
      </c>
      <c r="B30" s="284">
        <f t="shared" si="5"/>
        <v>23</v>
      </c>
      <c r="C30" s="1215"/>
      <c r="D30" s="1215"/>
      <c r="E30" s="2248" t="str">
        <f t="shared" si="1"/>
        <v/>
      </c>
      <c r="F30" s="2250" t="str">
        <f t="shared" si="7"/>
        <v/>
      </c>
      <c r="G30" s="2250" t="str">
        <f t="shared" si="7"/>
        <v/>
      </c>
      <c r="H30" s="2250" t="str">
        <f t="shared" si="7"/>
        <v/>
      </c>
      <c r="I30" s="2250" t="str">
        <f t="shared" si="7"/>
        <v/>
      </c>
      <c r="J30" s="2250" t="str">
        <f t="shared" si="7"/>
        <v/>
      </c>
      <c r="K30" s="2250" t="str">
        <f t="shared" si="7"/>
        <v/>
      </c>
      <c r="L30" s="2250" t="str">
        <f t="shared" si="7"/>
        <v/>
      </c>
      <c r="M30" s="2250" t="str">
        <f t="shared" si="7"/>
        <v/>
      </c>
      <c r="N30" s="2250" t="str">
        <f t="shared" si="7"/>
        <v/>
      </c>
      <c r="O30" s="2250" t="str">
        <f t="shared" si="7"/>
        <v/>
      </c>
      <c r="P30" s="2250" t="str">
        <f t="shared" si="7"/>
        <v/>
      </c>
      <c r="Q30" s="2250" t="str">
        <f t="shared" si="7"/>
        <v/>
      </c>
      <c r="R30" s="2250" t="str">
        <f t="shared" si="7"/>
        <v/>
      </c>
      <c r="S30" s="1215"/>
      <c r="T30" s="272"/>
    </row>
    <row r="31" spans="1:20" ht="15" customHeight="1" x14ac:dyDescent="0.2">
      <c r="A31" s="2637">
        <f t="shared" si="3"/>
        <v>0</v>
      </c>
      <c r="B31" s="284">
        <f t="shared" si="5"/>
        <v>24</v>
      </c>
      <c r="C31" s="1215"/>
      <c r="D31" s="1215"/>
      <c r="E31" s="2248" t="str">
        <f t="shared" si="1"/>
        <v/>
      </c>
      <c r="F31" s="2250" t="str">
        <f t="shared" si="7"/>
        <v/>
      </c>
      <c r="G31" s="2250" t="str">
        <f t="shared" si="7"/>
        <v/>
      </c>
      <c r="H31" s="2250" t="str">
        <f t="shared" si="7"/>
        <v/>
      </c>
      <c r="I31" s="2250" t="str">
        <f t="shared" si="7"/>
        <v/>
      </c>
      <c r="J31" s="2250" t="str">
        <f t="shared" si="7"/>
        <v/>
      </c>
      <c r="K31" s="2250" t="str">
        <f t="shared" si="7"/>
        <v/>
      </c>
      <c r="L31" s="2250" t="str">
        <f t="shared" si="7"/>
        <v/>
      </c>
      <c r="M31" s="2250" t="str">
        <f t="shared" si="7"/>
        <v/>
      </c>
      <c r="N31" s="2250" t="str">
        <f t="shared" si="7"/>
        <v/>
      </c>
      <c r="O31" s="2250" t="str">
        <f t="shared" si="7"/>
        <v/>
      </c>
      <c r="P31" s="2250" t="str">
        <f t="shared" si="7"/>
        <v/>
      </c>
      <c r="Q31" s="2250" t="str">
        <f t="shared" si="7"/>
        <v/>
      </c>
      <c r="R31" s="2250" t="str">
        <f t="shared" si="7"/>
        <v/>
      </c>
      <c r="S31" s="1215"/>
      <c r="T31" s="272"/>
    </row>
    <row r="32" spans="1:20" ht="15" customHeight="1" x14ac:dyDescent="0.2">
      <c r="A32" s="2637">
        <f t="shared" si="3"/>
        <v>0</v>
      </c>
      <c r="B32" s="284">
        <f t="shared" si="5"/>
        <v>25</v>
      </c>
      <c r="C32" s="1215"/>
      <c r="D32" s="1215"/>
      <c r="E32" s="2248" t="str">
        <f t="shared" si="1"/>
        <v/>
      </c>
      <c r="F32" s="2250" t="str">
        <f t="shared" si="7"/>
        <v/>
      </c>
      <c r="G32" s="2250" t="str">
        <f t="shared" si="7"/>
        <v/>
      </c>
      <c r="H32" s="2250" t="str">
        <f t="shared" si="7"/>
        <v/>
      </c>
      <c r="I32" s="2250" t="str">
        <f t="shared" si="7"/>
        <v/>
      </c>
      <c r="J32" s="2250" t="str">
        <f t="shared" si="7"/>
        <v/>
      </c>
      <c r="K32" s="2250" t="str">
        <f t="shared" si="7"/>
        <v/>
      </c>
      <c r="L32" s="2250" t="str">
        <f t="shared" si="7"/>
        <v/>
      </c>
      <c r="M32" s="2250" t="str">
        <f t="shared" si="7"/>
        <v/>
      </c>
      <c r="N32" s="2250" t="str">
        <f t="shared" si="7"/>
        <v/>
      </c>
      <c r="O32" s="2250" t="str">
        <f t="shared" si="7"/>
        <v/>
      </c>
      <c r="P32" s="2250" t="str">
        <f t="shared" si="7"/>
        <v/>
      </c>
      <c r="Q32" s="2250" t="str">
        <f t="shared" si="7"/>
        <v/>
      </c>
      <c r="R32" s="2250" t="str">
        <f t="shared" si="7"/>
        <v/>
      </c>
      <c r="S32" s="1215"/>
      <c r="T32" s="272"/>
    </row>
    <row r="33" spans="1:20" ht="15" customHeight="1" x14ac:dyDescent="0.2">
      <c r="A33" s="2637">
        <f t="shared" si="3"/>
        <v>0</v>
      </c>
      <c r="B33" s="284">
        <f t="shared" si="5"/>
        <v>26</v>
      </c>
      <c r="C33" s="1215"/>
      <c r="D33" s="1215"/>
      <c r="E33" s="2248" t="str">
        <f t="shared" si="1"/>
        <v/>
      </c>
      <c r="F33" s="2250" t="str">
        <f t="shared" si="7"/>
        <v/>
      </c>
      <c r="G33" s="2250" t="str">
        <f t="shared" si="7"/>
        <v/>
      </c>
      <c r="H33" s="2250" t="str">
        <f t="shared" si="7"/>
        <v/>
      </c>
      <c r="I33" s="2250" t="str">
        <f t="shared" si="7"/>
        <v/>
      </c>
      <c r="J33" s="2250" t="str">
        <f t="shared" si="7"/>
        <v/>
      </c>
      <c r="K33" s="2250" t="str">
        <f t="shared" si="7"/>
        <v/>
      </c>
      <c r="L33" s="2250" t="str">
        <f t="shared" si="7"/>
        <v/>
      </c>
      <c r="M33" s="2250" t="str">
        <f t="shared" si="7"/>
        <v/>
      </c>
      <c r="N33" s="2250" t="str">
        <f t="shared" si="7"/>
        <v/>
      </c>
      <c r="O33" s="2250" t="str">
        <f t="shared" si="7"/>
        <v/>
      </c>
      <c r="P33" s="2250" t="str">
        <f t="shared" si="7"/>
        <v/>
      </c>
      <c r="Q33" s="2250" t="str">
        <f t="shared" si="7"/>
        <v/>
      </c>
      <c r="R33" s="2250" t="str">
        <f t="shared" si="7"/>
        <v/>
      </c>
      <c r="S33" s="1215"/>
      <c r="T33" s="272"/>
    </row>
    <row r="34" spans="1:20" ht="15" customHeight="1" x14ac:dyDescent="0.2">
      <c r="A34" s="2637">
        <f t="shared" si="3"/>
        <v>0</v>
      </c>
      <c r="B34" s="284">
        <f t="shared" si="5"/>
        <v>27</v>
      </c>
      <c r="C34" s="1215"/>
      <c r="D34" s="1215"/>
      <c r="E34" s="2248" t="str">
        <f t="shared" si="1"/>
        <v/>
      </c>
      <c r="F34" s="2250" t="str">
        <f t="shared" si="7"/>
        <v/>
      </c>
      <c r="G34" s="2250" t="str">
        <f t="shared" si="7"/>
        <v/>
      </c>
      <c r="H34" s="2250" t="str">
        <f t="shared" si="7"/>
        <v/>
      </c>
      <c r="I34" s="2250" t="str">
        <f t="shared" si="7"/>
        <v/>
      </c>
      <c r="J34" s="2250" t="str">
        <f t="shared" si="7"/>
        <v/>
      </c>
      <c r="K34" s="2250" t="str">
        <f t="shared" si="7"/>
        <v/>
      </c>
      <c r="L34" s="2250" t="str">
        <f t="shared" si="7"/>
        <v/>
      </c>
      <c r="M34" s="2250" t="str">
        <f t="shared" si="7"/>
        <v/>
      </c>
      <c r="N34" s="2250" t="str">
        <f t="shared" si="7"/>
        <v/>
      </c>
      <c r="O34" s="2250" t="str">
        <f t="shared" si="7"/>
        <v/>
      </c>
      <c r="P34" s="2250" t="str">
        <f t="shared" si="7"/>
        <v/>
      </c>
      <c r="Q34" s="2250" t="str">
        <f t="shared" si="7"/>
        <v/>
      </c>
      <c r="R34" s="2250" t="str">
        <f t="shared" si="7"/>
        <v/>
      </c>
      <c r="S34" s="1215"/>
      <c r="T34" s="272"/>
    </row>
    <row r="35" spans="1:20" ht="15" customHeight="1" x14ac:dyDescent="0.2">
      <c r="A35" s="2637">
        <f t="shared" si="3"/>
        <v>0</v>
      </c>
      <c r="B35" s="284">
        <f t="shared" si="5"/>
        <v>28</v>
      </c>
      <c r="C35" s="1215"/>
      <c r="D35" s="1215"/>
      <c r="E35" s="2248" t="str">
        <f t="shared" si="1"/>
        <v/>
      </c>
      <c r="F35" s="2250" t="str">
        <f t="shared" si="7"/>
        <v/>
      </c>
      <c r="G35" s="2250" t="str">
        <f t="shared" si="7"/>
        <v/>
      </c>
      <c r="H35" s="2250" t="str">
        <f t="shared" si="7"/>
        <v/>
      </c>
      <c r="I35" s="2250" t="str">
        <f t="shared" si="7"/>
        <v/>
      </c>
      <c r="J35" s="2250" t="str">
        <f t="shared" si="7"/>
        <v/>
      </c>
      <c r="K35" s="2250" t="str">
        <f t="shared" si="7"/>
        <v/>
      </c>
      <c r="L35" s="2250" t="str">
        <f t="shared" si="7"/>
        <v/>
      </c>
      <c r="M35" s="2250" t="str">
        <f t="shared" si="7"/>
        <v/>
      </c>
      <c r="N35" s="2250" t="str">
        <f t="shared" si="7"/>
        <v/>
      </c>
      <c r="O35" s="2250" t="str">
        <f t="shared" si="7"/>
        <v/>
      </c>
      <c r="P35" s="2250" t="str">
        <f t="shared" si="7"/>
        <v/>
      </c>
      <c r="Q35" s="2250" t="str">
        <f t="shared" si="7"/>
        <v/>
      </c>
      <c r="R35" s="2250" t="str">
        <f t="shared" si="7"/>
        <v/>
      </c>
      <c r="S35" s="1215"/>
      <c r="T35" s="272"/>
    </row>
    <row r="36" spans="1:20" ht="15" customHeight="1" x14ac:dyDescent="0.2">
      <c r="A36" s="2637">
        <f t="shared" si="3"/>
        <v>0</v>
      </c>
      <c r="B36" s="284">
        <f t="shared" si="5"/>
        <v>29</v>
      </c>
      <c r="C36" s="1215"/>
      <c r="D36" s="1215"/>
      <c r="E36" s="2248" t="str">
        <f t="shared" si="1"/>
        <v/>
      </c>
      <c r="F36" s="2250" t="str">
        <f t="shared" si="7"/>
        <v/>
      </c>
      <c r="G36" s="2250" t="str">
        <f t="shared" si="7"/>
        <v/>
      </c>
      <c r="H36" s="2250" t="str">
        <f t="shared" si="7"/>
        <v/>
      </c>
      <c r="I36" s="2250" t="str">
        <f t="shared" si="7"/>
        <v/>
      </c>
      <c r="J36" s="2250" t="str">
        <f t="shared" si="7"/>
        <v/>
      </c>
      <c r="K36" s="2250" t="str">
        <f t="shared" si="7"/>
        <v/>
      </c>
      <c r="L36" s="2250" t="str">
        <f t="shared" si="7"/>
        <v/>
      </c>
      <c r="M36" s="2250" t="str">
        <f t="shared" si="7"/>
        <v/>
      </c>
      <c r="N36" s="2250" t="str">
        <f t="shared" si="7"/>
        <v/>
      </c>
      <c r="O36" s="2250" t="str">
        <f t="shared" si="7"/>
        <v/>
      </c>
      <c r="P36" s="2250" t="str">
        <f t="shared" si="7"/>
        <v/>
      </c>
      <c r="Q36" s="2250" t="str">
        <f t="shared" si="7"/>
        <v/>
      </c>
      <c r="R36" s="2250" t="str">
        <f t="shared" si="7"/>
        <v/>
      </c>
      <c r="S36" s="1215"/>
      <c r="T36" s="272"/>
    </row>
    <row r="37" spans="1:20" ht="15" customHeight="1" x14ac:dyDescent="0.2">
      <c r="A37" s="2637">
        <f t="shared" si="3"/>
        <v>0</v>
      </c>
      <c r="B37" s="284">
        <f t="shared" si="5"/>
        <v>30</v>
      </c>
      <c r="C37" s="1215"/>
      <c r="D37" s="1215"/>
      <c r="E37" s="2248" t="str">
        <f t="shared" si="1"/>
        <v/>
      </c>
      <c r="F37" s="2250" t="str">
        <f t="shared" si="7"/>
        <v/>
      </c>
      <c r="G37" s="2250" t="str">
        <f t="shared" si="7"/>
        <v/>
      </c>
      <c r="H37" s="2250" t="str">
        <f t="shared" si="7"/>
        <v/>
      </c>
      <c r="I37" s="2250" t="str">
        <f t="shared" si="7"/>
        <v/>
      </c>
      <c r="J37" s="2250" t="str">
        <f t="shared" si="7"/>
        <v/>
      </c>
      <c r="K37" s="2250" t="str">
        <f t="shared" si="7"/>
        <v/>
      </c>
      <c r="L37" s="2250" t="str">
        <f t="shared" si="7"/>
        <v/>
      </c>
      <c r="M37" s="2250" t="str">
        <f t="shared" si="7"/>
        <v/>
      </c>
      <c r="N37" s="2250" t="str">
        <f t="shared" si="7"/>
        <v/>
      </c>
      <c r="O37" s="2250" t="str">
        <f t="shared" si="7"/>
        <v/>
      </c>
      <c r="P37" s="2250" t="str">
        <f t="shared" si="7"/>
        <v/>
      </c>
      <c r="Q37" s="2250" t="str">
        <f t="shared" si="7"/>
        <v/>
      </c>
      <c r="R37" s="2250" t="str">
        <f t="shared" si="7"/>
        <v/>
      </c>
      <c r="S37" s="1215"/>
      <c r="T37" s="272"/>
    </row>
    <row r="38" spans="1:20" ht="15" customHeight="1" x14ac:dyDescent="0.2">
      <c r="A38" s="2637">
        <f t="shared" si="3"/>
        <v>0</v>
      </c>
      <c r="B38" s="284">
        <f t="shared" si="5"/>
        <v>31</v>
      </c>
      <c r="C38" s="1215"/>
      <c r="D38" s="1215"/>
      <c r="E38" s="2248" t="str">
        <f t="shared" si="1"/>
        <v/>
      </c>
      <c r="F38" s="2250" t="str">
        <f t="shared" si="7"/>
        <v/>
      </c>
      <c r="G38" s="2250" t="str">
        <f t="shared" si="7"/>
        <v/>
      </c>
      <c r="H38" s="2250" t="str">
        <f t="shared" si="7"/>
        <v/>
      </c>
      <c r="I38" s="2250" t="str">
        <f t="shared" si="7"/>
        <v/>
      </c>
      <c r="J38" s="2250" t="str">
        <f t="shared" si="7"/>
        <v/>
      </c>
      <c r="K38" s="2250" t="str">
        <f t="shared" si="7"/>
        <v/>
      </c>
      <c r="L38" s="2250" t="str">
        <f t="shared" si="7"/>
        <v/>
      </c>
      <c r="M38" s="2250" t="str">
        <f t="shared" si="7"/>
        <v/>
      </c>
      <c r="N38" s="2250" t="str">
        <f t="shared" si="7"/>
        <v/>
      </c>
      <c r="O38" s="2250" t="str">
        <f t="shared" si="7"/>
        <v/>
      </c>
      <c r="P38" s="2250" t="str">
        <f t="shared" si="7"/>
        <v/>
      </c>
      <c r="Q38" s="2250" t="str">
        <f t="shared" si="7"/>
        <v/>
      </c>
      <c r="R38" s="2250" t="str">
        <f t="shared" si="7"/>
        <v/>
      </c>
      <c r="S38" s="1215"/>
      <c r="T38" s="272"/>
    </row>
    <row r="39" spans="1:20" ht="15" customHeight="1" x14ac:dyDescent="0.2">
      <c r="A39" s="2637">
        <f t="shared" si="3"/>
        <v>0</v>
      </c>
      <c r="B39" s="284">
        <f t="shared" si="5"/>
        <v>32</v>
      </c>
      <c r="C39" s="1215"/>
      <c r="D39" s="1215"/>
      <c r="E39" s="2248" t="str">
        <f t="shared" si="1"/>
        <v/>
      </c>
      <c r="F39" s="2250" t="str">
        <f t="shared" ref="F39:R48" si="8">IF(ISERROR(INDEX(ARGUS_CashFlow2_Array,$B39,F$6)="TRUE"),"",IF(INDEX(ARGUS_CashFlow2_Array,$B39,F$6)="","",IF(OR($E39="Cash Flow Before Debt Service",$E39="  Potential Base Rent"),TEXT(INDEX(ARGUS_CashFlow2_Array,$B39,F$6),"$#,###"),IF($E39="  Average Occupancy Percentage",TEXT(INDEX(ARGUS_CashFlow2_Array,$B39,F$6),"0.0%"),TEXT(INDEX(ARGUS_CashFlow2_Array,$B39,F$6),"#,###")))))</f>
        <v/>
      </c>
      <c r="G39" s="2250" t="str">
        <f t="shared" si="8"/>
        <v/>
      </c>
      <c r="H39" s="2250" t="str">
        <f t="shared" si="8"/>
        <v/>
      </c>
      <c r="I39" s="2250" t="str">
        <f t="shared" si="8"/>
        <v/>
      </c>
      <c r="J39" s="2250" t="str">
        <f t="shared" si="8"/>
        <v/>
      </c>
      <c r="K39" s="2250" t="str">
        <f t="shared" si="8"/>
        <v/>
      </c>
      <c r="L39" s="2250" t="str">
        <f t="shared" si="8"/>
        <v/>
      </c>
      <c r="M39" s="2250" t="str">
        <f t="shared" si="8"/>
        <v/>
      </c>
      <c r="N39" s="2250" t="str">
        <f t="shared" si="8"/>
        <v/>
      </c>
      <c r="O39" s="2250" t="str">
        <f t="shared" si="8"/>
        <v/>
      </c>
      <c r="P39" s="2250" t="str">
        <f t="shared" si="8"/>
        <v/>
      </c>
      <c r="Q39" s="2250" t="str">
        <f t="shared" si="8"/>
        <v/>
      </c>
      <c r="R39" s="2250" t="str">
        <f t="shared" si="8"/>
        <v/>
      </c>
      <c r="S39" s="1215"/>
      <c r="T39" s="272"/>
    </row>
    <row r="40" spans="1:20" ht="15" customHeight="1" x14ac:dyDescent="0.2">
      <c r="A40" s="2637">
        <f t="shared" si="3"/>
        <v>0</v>
      </c>
      <c r="B40" s="284">
        <f t="shared" si="5"/>
        <v>33</v>
      </c>
      <c r="C40" s="1215"/>
      <c r="D40" s="1215"/>
      <c r="E40" s="2248" t="str">
        <f t="shared" ref="E40:E71" si="9">IF(ISERROR(INDEX(ARGUS_CashFlow2_Array,$B40,E$6)="TRUE"),"",IF(INDEX(ARGUS_CashFlow2_Array,$B40,E$6)="","",IF(OR($E40="Cash Flow Before Debt Service",$E40="  Potential Base Rent"),TEXT(INDEX(ARGUS_CashFlow2_Array,$B40,E$6),"$#,###"),IF($E40="  Average Occupancy Percentage",TEXT(INDEX(ARGUS_CashFlow2_Array,$B40,E$6),"0.0%"),TEXT(INDEX(ARGUS_CashFlow2_Array,$B40,E$6),"#,###")))))</f>
        <v/>
      </c>
      <c r="F40" s="2250" t="str">
        <f t="shared" si="8"/>
        <v/>
      </c>
      <c r="G40" s="2250" t="str">
        <f t="shared" si="8"/>
        <v/>
      </c>
      <c r="H40" s="2250" t="str">
        <f t="shared" si="8"/>
        <v/>
      </c>
      <c r="I40" s="2250" t="str">
        <f t="shared" si="8"/>
        <v/>
      </c>
      <c r="J40" s="2250" t="str">
        <f t="shared" si="8"/>
        <v/>
      </c>
      <c r="K40" s="2250" t="str">
        <f t="shared" si="8"/>
        <v/>
      </c>
      <c r="L40" s="2250" t="str">
        <f t="shared" si="8"/>
        <v/>
      </c>
      <c r="M40" s="2250" t="str">
        <f t="shared" si="8"/>
        <v/>
      </c>
      <c r="N40" s="2250" t="str">
        <f t="shared" si="8"/>
        <v/>
      </c>
      <c r="O40" s="2250" t="str">
        <f t="shared" si="8"/>
        <v/>
      </c>
      <c r="P40" s="2250" t="str">
        <f t="shared" si="8"/>
        <v/>
      </c>
      <c r="Q40" s="2250" t="str">
        <f t="shared" si="8"/>
        <v/>
      </c>
      <c r="R40" s="2250" t="str">
        <f t="shared" si="8"/>
        <v/>
      </c>
      <c r="S40" s="1215"/>
      <c r="T40" s="272"/>
    </row>
    <row r="41" spans="1:20" ht="15" customHeight="1" x14ac:dyDescent="0.2">
      <c r="A41" s="2637">
        <f t="shared" ref="A41:A72" si="10">IF(OR(AND(E40="",E41="",E42=""),E40="Cash Flow Available for Distribution",E41="Cash Flow Available for Distribution",E42="Cash Flow Available for Distribution"),0,1)</f>
        <v>0</v>
      </c>
      <c r="B41" s="284">
        <f t="shared" si="5"/>
        <v>34</v>
      </c>
      <c r="C41" s="1215"/>
      <c r="D41" s="1215"/>
      <c r="E41" s="2248" t="str">
        <f t="shared" si="9"/>
        <v/>
      </c>
      <c r="F41" s="2250" t="str">
        <f t="shared" si="8"/>
        <v/>
      </c>
      <c r="G41" s="2250" t="str">
        <f t="shared" si="8"/>
        <v/>
      </c>
      <c r="H41" s="2250" t="str">
        <f t="shared" si="8"/>
        <v/>
      </c>
      <c r="I41" s="2250" t="str">
        <f t="shared" si="8"/>
        <v/>
      </c>
      <c r="J41" s="2250" t="str">
        <f t="shared" si="8"/>
        <v/>
      </c>
      <c r="K41" s="2250" t="str">
        <f t="shared" si="8"/>
        <v/>
      </c>
      <c r="L41" s="2250" t="str">
        <f t="shared" si="8"/>
        <v/>
      </c>
      <c r="M41" s="2250" t="str">
        <f t="shared" si="8"/>
        <v/>
      </c>
      <c r="N41" s="2250" t="str">
        <f t="shared" si="8"/>
        <v/>
      </c>
      <c r="O41" s="2250" t="str">
        <f t="shared" si="8"/>
        <v/>
      </c>
      <c r="P41" s="2250" t="str">
        <f t="shared" si="8"/>
        <v/>
      </c>
      <c r="Q41" s="2250" t="str">
        <f t="shared" si="8"/>
        <v/>
      </c>
      <c r="R41" s="2250" t="str">
        <f t="shared" si="8"/>
        <v/>
      </c>
      <c r="S41" s="1215"/>
      <c r="T41" s="272"/>
    </row>
    <row r="42" spans="1:20" ht="15" customHeight="1" x14ac:dyDescent="0.2">
      <c r="A42" s="2637">
        <f t="shared" si="10"/>
        <v>0</v>
      </c>
      <c r="B42" s="284">
        <f t="shared" si="5"/>
        <v>35</v>
      </c>
      <c r="C42" s="1215"/>
      <c r="D42" s="1215"/>
      <c r="E42" s="2248" t="str">
        <f t="shared" si="9"/>
        <v/>
      </c>
      <c r="F42" s="2250" t="str">
        <f t="shared" si="8"/>
        <v/>
      </c>
      <c r="G42" s="2250" t="str">
        <f t="shared" si="8"/>
        <v/>
      </c>
      <c r="H42" s="2250" t="str">
        <f t="shared" si="8"/>
        <v/>
      </c>
      <c r="I42" s="2250" t="str">
        <f t="shared" si="8"/>
        <v/>
      </c>
      <c r="J42" s="2250" t="str">
        <f t="shared" si="8"/>
        <v/>
      </c>
      <c r="K42" s="2250" t="str">
        <f t="shared" si="8"/>
        <v/>
      </c>
      <c r="L42" s="2250" t="str">
        <f t="shared" si="8"/>
        <v/>
      </c>
      <c r="M42" s="2250" t="str">
        <f t="shared" si="8"/>
        <v/>
      </c>
      <c r="N42" s="2250" t="str">
        <f t="shared" si="8"/>
        <v/>
      </c>
      <c r="O42" s="2250" t="str">
        <f t="shared" si="8"/>
        <v/>
      </c>
      <c r="P42" s="2250" t="str">
        <f t="shared" si="8"/>
        <v/>
      </c>
      <c r="Q42" s="2250" t="str">
        <f t="shared" si="8"/>
        <v/>
      </c>
      <c r="R42" s="2250" t="str">
        <f t="shared" si="8"/>
        <v/>
      </c>
      <c r="S42" s="1215"/>
      <c r="T42" s="272"/>
    </row>
    <row r="43" spans="1:20" ht="15" customHeight="1" x14ac:dyDescent="0.2">
      <c r="A43" s="2637">
        <f t="shared" si="10"/>
        <v>0</v>
      </c>
      <c r="B43" s="284">
        <f t="shared" si="5"/>
        <v>36</v>
      </c>
      <c r="C43" s="1215"/>
      <c r="D43" s="1215"/>
      <c r="E43" s="2248" t="str">
        <f t="shared" si="9"/>
        <v/>
      </c>
      <c r="F43" s="2250" t="str">
        <f t="shared" si="8"/>
        <v/>
      </c>
      <c r="G43" s="2250" t="str">
        <f t="shared" si="8"/>
        <v/>
      </c>
      <c r="H43" s="2250" t="str">
        <f t="shared" si="8"/>
        <v/>
      </c>
      <c r="I43" s="2250" t="str">
        <f t="shared" si="8"/>
        <v/>
      </c>
      <c r="J43" s="2250" t="str">
        <f t="shared" si="8"/>
        <v/>
      </c>
      <c r="K43" s="2250" t="str">
        <f t="shared" si="8"/>
        <v/>
      </c>
      <c r="L43" s="2250" t="str">
        <f t="shared" si="8"/>
        <v/>
      </c>
      <c r="M43" s="2250" t="str">
        <f t="shared" si="8"/>
        <v/>
      </c>
      <c r="N43" s="2250" t="str">
        <f t="shared" si="8"/>
        <v/>
      </c>
      <c r="O43" s="2250" t="str">
        <f t="shared" si="8"/>
        <v/>
      </c>
      <c r="P43" s="2250" t="str">
        <f t="shared" si="8"/>
        <v/>
      </c>
      <c r="Q43" s="2250" t="str">
        <f t="shared" si="8"/>
        <v/>
      </c>
      <c r="R43" s="2250" t="str">
        <f t="shared" si="8"/>
        <v/>
      </c>
      <c r="S43" s="1215"/>
      <c r="T43" s="272"/>
    </row>
    <row r="44" spans="1:20" ht="15" customHeight="1" x14ac:dyDescent="0.2">
      <c r="A44" s="2637">
        <f t="shared" si="10"/>
        <v>0</v>
      </c>
      <c r="B44" s="284">
        <f t="shared" si="5"/>
        <v>37</v>
      </c>
      <c r="C44" s="1215"/>
      <c r="D44" s="1215"/>
      <c r="E44" s="2248" t="str">
        <f t="shared" si="9"/>
        <v/>
      </c>
      <c r="F44" s="2250" t="str">
        <f t="shared" si="8"/>
        <v/>
      </c>
      <c r="G44" s="2250" t="str">
        <f t="shared" si="8"/>
        <v/>
      </c>
      <c r="H44" s="2250" t="str">
        <f t="shared" si="8"/>
        <v/>
      </c>
      <c r="I44" s="2250" t="str">
        <f t="shared" si="8"/>
        <v/>
      </c>
      <c r="J44" s="2250" t="str">
        <f t="shared" si="8"/>
        <v/>
      </c>
      <c r="K44" s="2250" t="str">
        <f t="shared" si="8"/>
        <v/>
      </c>
      <c r="L44" s="2250" t="str">
        <f t="shared" si="8"/>
        <v/>
      </c>
      <c r="M44" s="2250" t="str">
        <f t="shared" si="8"/>
        <v/>
      </c>
      <c r="N44" s="2250" t="str">
        <f t="shared" si="8"/>
        <v/>
      </c>
      <c r="O44" s="2250" t="str">
        <f t="shared" si="8"/>
        <v/>
      </c>
      <c r="P44" s="2250" t="str">
        <f t="shared" si="8"/>
        <v/>
      </c>
      <c r="Q44" s="2250" t="str">
        <f t="shared" si="8"/>
        <v/>
      </c>
      <c r="R44" s="2250" t="str">
        <f t="shared" si="8"/>
        <v/>
      </c>
      <c r="S44" s="1215"/>
      <c r="T44" s="272"/>
    </row>
    <row r="45" spans="1:20" ht="15" customHeight="1" x14ac:dyDescent="0.2">
      <c r="A45" s="2637">
        <f t="shared" si="10"/>
        <v>0</v>
      </c>
      <c r="B45" s="284">
        <f t="shared" si="5"/>
        <v>38</v>
      </c>
      <c r="C45" s="1215"/>
      <c r="D45" s="1215"/>
      <c r="E45" s="2248" t="str">
        <f t="shared" si="9"/>
        <v/>
      </c>
      <c r="F45" s="2250" t="str">
        <f t="shared" si="8"/>
        <v/>
      </c>
      <c r="G45" s="2250" t="str">
        <f t="shared" si="8"/>
        <v/>
      </c>
      <c r="H45" s="2250" t="str">
        <f t="shared" si="8"/>
        <v/>
      </c>
      <c r="I45" s="2250" t="str">
        <f t="shared" si="8"/>
        <v/>
      </c>
      <c r="J45" s="2250" t="str">
        <f t="shared" si="8"/>
        <v/>
      </c>
      <c r="K45" s="2250" t="str">
        <f t="shared" si="8"/>
        <v/>
      </c>
      <c r="L45" s="2250" t="str">
        <f t="shared" si="8"/>
        <v/>
      </c>
      <c r="M45" s="2250" t="str">
        <f t="shared" si="8"/>
        <v/>
      </c>
      <c r="N45" s="2250" t="str">
        <f t="shared" si="8"/>
        <v/>
      </c>
      <c r="O45" s="2250" t="str">
        <f t="shared" si="8"/>
        <v/>
      </c>
      <c r="P45" s="2250" t="str">
        <f t="shared" si="8"/>
        <v/>
      </c>
      <c r="Q45" s="2250" t="str">
        <f t="shared" si="8"/>
        <v/>
      </c>
      <c r="R45" s="2250" t="str">
        <f t="shared" si="8"/>
        <v/>
      </c>
      <c r="S45" s="1215"/>
      <c r="T45" s="272"/>
    </row>
    <row r="46" spans="1:20" ht="15" customHeight="1" x14ac:dyDescent="0.2">
      <c r="A46" s="2637">
        <f t="shared" si="10"/>
        <v>0</v>
      </c>
      <c r="B46" s="284">
        <f t="shared" si="5"/>
        <v>39</v>
      </c>
      <c r="C46" s="1215"/>
      <c r="D46" s="1215"/>
      <c r="E46" s="2248" t="str">
        <f t="shared" si="9"/>
        <v/>
      </c>
      <c r="F46" s="2250" t="str">
        <f t="shared" si="8"/>
        <v/>
      </c>
      <c r="G46" s="2250" t="str">
        <f t="shared" si="8"/>
        <v/>
      </c>
      <c r="H46" s="2250" t="str">
        <f t="shared" si="8"/>
        <v/>
      </c>
      <c r="I46" s="2250" t="str">
        <f t="shared" si="8"/>
        <v/>
      </c>
      <c r="J46" s="2250" t="str">
        <f t="shared" si="8"/>
        <v/>
      </c>
      <c r="K46" s="2250" t="str">
        <f t="shared" si="8"/>
        <v/>
      </c>
      <c r="L46" s="2250" t="str">
        <f t="shared" si="8"/>
        <v/>
      </c>
      <c r="M46" s="2250" t="str">
        <f t="shared" si="8"/>
        <v/>
      </c>
      <c r="N46" s="2250" t="str">
        <f t="shared" si="8"/>
        <v/>
      </c>
      <c r="O46" s="2250" t="str">
        <f t="shared" si="8"/>
        <v/>
      </c>
      <c r="P46" s="2250" t="str">
        <f t="shared" si="8"/>
        <v/>
      </c>
      <c r="Q46" s="2250" t="str">
        <f t="shared" si="8"/>
        <v/>
      </c>
      <c r="R46" s="2250" t="str">
        <f t="shared" si="8"/>
        <v/>
      </c>
      <c r="S46" s="1215"/>
      <c r="T46" s="272"/>
    </row>
    <row r="47" spans="1:20" ht="15" customHeight="1" x14ac:dyDescent="0.2">
      <c r="A47" s="2637">
        <f t="shared" si="10"/>
        <v>0</v>
      </c>
      <c r="B47" s="284">
        <f t="shared" si="5"/>
        <v>40</v>
      </c>
      <c r="C47" s="1215"/>
      <c r="D47" s="1215"/>
      <c r="E47" s="2248" t="str">
        <f t="shared" si="9"/>
        <v/>
      </c>
      <c r="F47" s="2250" t="str">
        <f t="shared" si="8"/>
        <v/>
      </c>
      <c r="G47" s="2250" t="str">
        <f t="shared" si="8"/>
        <v/>
      </c>
      <c r="H47" s="2250" t="str">
        <f t="shared" si="8"/>
        <v/>
      </c>
      <c r="I47" s="2250" t="str">
        <f t="shared" si="8"/>
        <v/>
      </c>
      <c r="J47" s="2250" t="str">
        <f t="shared" si="8"/>
        <v/>
      </c>
      <c r="K47" s="2250" t="str">
        <f t="shared" si="8"/>
        <v/>
      </c>
      <c r="L47" s="2250" t="str">
        <f t="shared" si="8"/>
        <v/>
      </c>
      <c r="M47" s="2250" t="str">
        <f t="shared" si="8"/>
        <v/>
      </c>
      <c r="N47" s="2250" t="str">
        <f t="shared" si="8"/>
        <v/>
      </c>
      <c r="O47" s="2250" t="str">
        <f t="shared" si="8"/>
        <v/>
      </c>
      <c r="P47" s="2250" t="str">
        <f t="shared" si="8"/>
        <v/>
      </c>
      <c r="Q47" s="2250" t="str">
        <f t="shared" si="8"/>
        <v/>
      </c>
      <c r="R47" s="2250" t="str">
        <f t="shared" si="8"/>
        <v/>
      </c>
      <c r="S47" s="1215"/>
      <c r="T47" s="272"/>
    </row>
    <row r="48" spans="1:20" ht="15" customHeight="1" x14ac:dyDescent="0.2">
      <c r="A48" s="2637">
        <f t="shared" si="10"/>
        <v>0</v>
      </c>
      <c r="B48" s="284">
        <f t="shared" si="5"/>
        <v>41</v>
      </c>
      <c r="C48" s="1215"/>
      <c r="D48" s="1215"/>
      <c r="E48" s="2248" t="str">
        <f t="shared" si="9"/>
        <v/>
      </c>
      <c r="F48" s="2250" t="str">
        <f t="shared" si="8"/>
        <v/>
      </c>
      <c r="G48" s="2250" t="str">
        <f t="shared" si="8"/>
        <v/>
      </c>
      <c r="H48" s="2250" t="str">
        <f t="shared" si="8"/>
        <v/>
      </c>
      <c r="I48" s="2250" t="str">
        <f t="shared" si="8"/>
        <v/>
      </c>
      <c r="J48" s="2250" t="str">
        <f t="shared" si="8"/>
        <v/>
      </c>
      <c r="K48" s="2250" t="str">
        <f t="shared" si="8"/>
        <v/>
      </c>
      <c r="L48" s="2250" t="str">
        <f t="shared" si="8"/>
        <v/>
      </c>
      <c r="M48" s="2250" t="str">
        <f t="shared" si="8"/>
        <v/>
      </c>
      <c r="N48" s="2250" t="str">
        <f t="shared" si="8"/>
        <v/>
      </c>
      <c r="O48" s="2250" t="str">
        <f t="shared" si="8"/>
        <v/>
      </c>
      <c r="P48" s="2250" t="str">
        <f t="shared" si="8"/>
        <v/>
      </c>
      <c r="Q48" s="2250" t="str">
        <f t="shared" si="8"/>
        <v/>
      </c>
      <c r="R48" s="2250" t="str">
        <f t="shared" si="8"/>
        <v/>
      </c>
      <c r="S48" s="1215"/>
      <c r="T48" s="272"/>
    </row>
    <row r="49" spans="1:20" ht="15" customHeight="1" x14ac:dyDescent="0.2">
      <c r="A49" s="2637">
        <f t="shared" si="10"/>
        <v>0</v>
      </c>
      <c r="B49" s="284">
        <f t="shared" si="5"/>
        <v>42</v>
      </c>
      <c r="C49" s="1215"/>
      <c r="D49" s="1215"/>
      <c r="E49" s="2248" t="str">
        <f t="shared" si="9"/>
        <v/>
      </c>
      <c r="F49" s="2250" t="str">
        <f t="shared" ref="F49:R58" si="11">IF(ISERROR(INDEX(ARGUS_CashFlow2_Array,$B49,F$6)="TRUE"),"",IF(INDEX(ARGUS_CashFlow2_Array,$B49,F$6)="","",IF(OR($E49="Cash Flow Before Debt Service",$E49="  Potential Base Rent"),TEXT(INDEX(ARGUS_CashFlow2_Array,$B49,F$6),"$#,###"),IF($E49="  Average Occupancy Percentage",TEXT(INDEX(ARGUS_CashFlow2_Array,$B49,F$6),"0.0%"),TEXT(INDEX(ARGUS_CashFlow2_Array,$B49,F$6),"#,###")))))</f>
        <v/>
      </c>
      <c r="G49" s="2250" t="str">
        <f t="shared" si="11"/>
        <v/>
      </c>
      <c r="H49" s="2250" t="str">
        <f t="shared" si="11"/>
        <v/>
      </c>
      <c r="I49" s="2250" t="str">
        <f t="shared" si="11"/>
        <v/>
      </c>
      <c r="J49" s="2250" t="str">
        <f t="shared" si="11"/>
        <v/>
      </c>
      <c r="K49" s="2250" t="str">
        <f t="shared" si="11"/>
        <v/>
      </c>
      <c r="L49" s="2250" t="str">
        <f t="shared" si="11"/>
        <v/>
      </c>
      <c r="M49" s="2250" t="str">
        <f t="shared" si="11"/>
        <v/>
      </c>
      <c r="N49" s="2250" t="str">
        <f t="shared" si="11"/>
        <v/>
      </c>
      <c r="O49" s="2250" t="str">
        <f t="shared" si="11"/>
        <v/>
      </c>
      <c r="P49" s="2250" t="str">
        <f t="shared" si="11"/>
        <v/>
      </c>
      <c r="Q49" s="2250" t="str">
        <f t="shared" si="11"/>
        <v/>
      </c>
      <c r="R49" s="2250" t="str">
        <f t="shared" si="11"/>
        <v/>
      </c>
      <c r="S49" s="1215"/>
      <c r="T49" s="272"/>
    </row>
    <row r="50" spans="1:20" ht="15" customHeight="1" x14ac:dyDescent="0.2">
      <c r="A50" s="2637">
        <f t="shared" si="10"/>
        <v>0</v>
      </c>
      <c r="B50" s="284">
        <f t="shared" si="5"/>
        <v>43</v>
      </c>
      <c r="C50" s="1215"/>
      <c r="D50" s="1215"/>
      <c r="E50" s="2248" t="str">
        <f t="shared" si="9"/>
        <v/>
      </c>
      <c r="F50" s="2250" t="str">
        <f t="shared" si="11"/>
        <v/>
      </c>
      <c r="G50" s="2250" t="str">
        <f t="shared" si="11"/>
        <v/>
      </c>
      <c r="H50" s="2250" t="str">
        <f t="shared" si="11"/>
        <v/>
      </c>
      <c r="I50" s="2250" t="str">
        <f t="shared" si="11"/>
        <v/>
      </c>
      <c r="J50" s="2250" t="str">
        <f t="shared" si="11"/>
        <v/>
      </c>
      <c r="K50" s="2250" t="str">
        <f t="shared" si="11"/>
        <v/>
      </c>
      <c r="L50" s="2250" t="str">
        <f t="shared" si="11"/>
        <v/>
      </c>
      <c r="M50" s="2250" t="str">
        <f t="shared" si="11"/>
        <v/>
      </c>
      <c r="N50" s="2250" t="str">
        <f t="shared" si="11"/>
        <v/>
      </c>
      <c r="O50" s="2250" t="str">
        <f t="shared" si="11"/>
        <v/>
      </c>
      <c r="P50" s="2250" t="str">
        <f t="shared" si="11"/>
        <v/>
      </c>
      <c r="Q50" s="2250" t="str">
        <f t="shared" si="11"/>
        <v/>
      </c>
      <c r="R50" s="2250" t="str">
        <f t="shared" si="11"/>
        <v/>
      </c>
      <c r="S50" s="1215"/>
      <c r="T50" s="272"/>
    </row>
    <row r="51" spans="1:20" ht="15" customHeight="1" x14ac:dyDescent="0.2">
      <c r="A51" s="2637">
        <f t="shared" si="10"/>
        <v>0</v>
      </c>
      <c r="B51" s="284">
        <f t="shared" si="5"/>
        <v>44</v>
      </c>
      <c r="C51" s="1215"/>
      <c r="D51" s="1215"/>
      <c r="E51" s="2248" t="str">
        <f t="shared" si="9"/>
        <v/>
      </c>
      <c r="F51" s="2250" t="str">
        <f t="shared" si="11"/>
        <v/>
      </c>
      <c r="G51" s="2250" t="str">
        <f t="shared" si="11"/>
        <v/>
      </c>
      <c r="H51" s="2250" t="str">
        <f t="shared" si="11"/>
        <v/>
      </c>
      <c r="I51" s="2250" t="str">
        <f t="shared" si="11"/>
        <v/>
      </c>
      <c r="J51" s="2250" t="str">
        <f t="shared" si="11"/>
        <v/>
      </c>
      <c r="K51" s="2250" t="str">
        <f t="shared" si="11"/>
        <v/>
      </c>
      <c r="L51" s="2250" t="str">
        <f t="shared" si="11"/>
        <v/>
      </c>
      <c r="M51" s="2250" t="str">
        <f t="shared" si="11"/>
        <v/>
      </c>
      <c r="N51" s="2250" t="str">
        <f t="shared" si="11"/>
        <v/>
      </c>
      <c r="O51" s="2250" t="str">
        <f t="shared" si="11"/>
        <v/>
      </c>
      <c r="P51" s="2250" t="str">
        <f t="shared" si="11"/>
        <v/>
      </c>
      <c r="Q51" s="2250" t="str">
        <f t="shared" si="11"/>
        <v/>
      </c>
      <c r="R51" s="2250" t="str">
        <f t="shared" si="11"/>
        <v/>
      </c>
      <c r="S51" s="1215"/>
      <c r="T51" s="272"/>
    </row>
    <row r="52" spans="1:20" ht="15" customHeight="1" x14ac:dyDescent="0.2">
      <c r="A52" s="2637">
        <f t="shared" si="10"/>
        <v>0</v>
      </c>
      <c r="B52" s="284">
        <f t="shared" si="5"/>
        <v>45</v>
      </c>
      <c r="C52" s="1215"/>
      <c r="D52" s="1215"/>
      <c r="E52" s="2248" t="str">
        <f t="shared" si="9"/>
        <v/>
      </c>
      <c r="F52" s="2250" t="str">
        <f t="shared" si="11"/>
        <v/>
      </c>
      <c r="G52" s="2250" t="str">
        <f t="shared" si="11"/>
        <v/>
      </c>
      <c r="H52" s="2250" t="str">
        <f t="shared" si="11"/>
        <v/>
      </c>
      <c r="I52" s="2250" t="str">
        <f t="shared" si="11"/>
        <v/>
      </c>
      <c r="J52" s="2250" t="str">
        <f t="shared" si="11"/>
        <v/>
      </c>
      <c r="K52" s="2250" t="str">
        <f t="shared" si="11"/>
        <v/>
      </c>
      <c r="L52" s="2250" t="str">
        <f t="shared" si="11"/>
        <v/>
      </c>
      <c r="M52" s="2250" t="str">
        <f t="shared" si="11"/>
        <v/>
      </c>
      <c r="N52" s="2250" t="str">
        <f t="shared" si="11"/>
        <v/>
      </c>
      <c r="O52" s="2250" t="str">
        <f t="shared" si="11"/>
        <v/>
      </c>
      <c r="P52" s="2250" t="str">
        <f t="shared" si="11"/>
        <v/>
      </c>
      <c r="Q52" s="2250" t="str">
        <f t="shared" si="11"/>
        <v/>
      </c>
      <c r="R52" s="2250" t="str">
        <f t="shared" si="11"/>
        <v/>
      </c>
      <c r="S52" s="1215"/>
      <c r="T52" s="272"/>
    </row>
    <row r="53" spans="1:20" ht="15" customHeight="1" x14ac:dyDescent="0.2">
      <c r="A53" s="2637">
        <f t="shared" si="10"/>
        <v>0</v>
      </c>
      <c r="B53" s="284">
        <f t="shared" si="5"/>
        <v>46</v>
      </c>
      <c r="C53" s="1215"/>
      <c r="D53" s="1215"/>
      <c r="E53" s="2248" t="str">
        <f t="shared" si="9"/>
        <v/>
      </c>
      <c r="F53" s="2250" t="str">
        <f t="shared" si="11"/>
        <v/>
      </c>
      <c r="G53" s="2250" t="str">
        <f t="shared" si="11"/>
        <v/>
      </c>
      <c r="H53" s="2250" t="str">
        <f t="shared" si="11"/>
        <v/>
      </c>
      <c r="I53" s="2250" t="str">
        <f t="shared" si="11"/>
        <v/>
      </c>
      <c r="J53" s="2250" t="str">
        <f t="shared" si="11"/>
        <v/>
      </c>
      <c r="K53" s="2250" t="str">
        <f t="shared" si="11"/>
        <v/>
      </c>
      <c r="L53" s="2250" t="str">
        <f t="shared" si="11"/>
        <v/>
      </c>
      <c r="M53" s="2250" t="str">
        <f t="shared" si="11"/>
        <v/>
      </c>
      <c r="N53" s="2250" t="str">
        <f t="shared" si="11"/>
        <v/>
      </c>
      <c r="O53" s="2250" t="str">
        <f t="shared" si="11"/>
        <v/>
      </c>
      <c r="P53" s="2250" t="str">
        <f t="shared" si="11"/>
        <v/>
      </c>
      <c r="Q53" s="2250" t="str">
        <f t="shared" si="11"/>
        <v/>
      </c>
      <c r="R53" s="2250" t="str">
        <f t="shared" si="11"/>
        <v/>
      </c>
      <c r="S53" s="1215"/>
      <c r="T53" s="272"/>
    </row>
    <row r="54" spans="1:20" ht="15" customHeight="1" x14ac:dyDescent="0.2">
      <c r="A54" s="2637">
        <f t="shared" si="10"/>
        <v>0</v>
      </c>
      <c r="B54" s="284">
        <f t="shared" si="5"/>
        <v>47</v>
      </c>
      <c r="C54" s="1215"/>
      <c r="D54" s="1215"/>
      <c r="E54" s="2248" t="str">
        <f t="shared" si="9"/>
        <v/>
      </c>
      <c r="F54" s="2250" t="str">
        <f t="shared" si="11"/>
        <v/>
      </c>
      <c r="G54" s="2250" t="str">
        <f t="shared" si="11"/>
        <v/>
      </c>
      <c r="H54" s="2250" t="str">
        <f t="shared" si="11"/>
        <v/>
      </c>
      <c r="I54" s="2250" t="str">
        <f t="shared" si="11"/>
        <v/>
      </c>
      <c r="J54" s="2250" t="str">
        <f t="shared" si="11"/>
        <v/>
      </c>
      <c r="K54" s="2250" t="str">
        <f t="shared" si="11"/>
        <v/>
      </c>
      <c r="L54" s="2250" t="str">
        <f t="shared" si="11"/>
        <v/>
      </c>
      <c r="M54" s="2250" t="str">
        <f t="shared" si="11"/>
        <v/>
      </c>
      <c r="N54" s="2250" t="str">
        <f t="shared" si="11"/>
        <v/>
      </c>
      <c r="O54" s="2250" t="str">
        <f t="shared" si="11"/>
        <v/>
      </c>
      <c r="P54" s="2250" t="str">
        <f t="shared" si="11"/>
        <v/>
      </c>
      <c r="Q54" s="2250" t="str">
        <f t="shared" si="11"/>
        <v/>
      </c>
      <c r="R54" s="2250" t="str">
        <f t="shared" si="11"/>
        <v/>
      </c>
      <c r="S54" s="1215"/>
      <c r="T54" s="272"/>
    </row>
    <row r="55" spans="1:20" ht="15" customHeight="1" x14ac:dyDescent="0.2">
      <c r="A55" s="2637">
        <f t="shared" si="10"/>
        <v>0</v>
      </c>
      <c r="B55" s="284">
        <f t="shared" si="5"/>
        <v>48</v>
      </c>
      <c r="C55" s="1215"/>
      <c r="D55" s="1215"/>
      <c r="E55" s="2248" t="str">
        <f t="shared" si="9"/>
        <v/>
      </c>
      <c r="F55" s="2250" t="str">
        <f t="shared" si="11"/>
        <v/>
      </c>
      <c r="G55" s="2250" t="str">
        <f t="shared" si="11"/>
        <v/>
      </c>
      <c r="H55" s="2250" t="str">
        <f t="shared" si="11"/>
        <v/>
      </c>
      <c r="I55" s="2250" t="str">
        <f t="shared" si="11"/>
        <v/>
      </c>
      <c r="J55" s="2250" t="str">
        <f t="shared" si="11"/>
        <v/>
      </c>
      <c r="K55" s="2250" t="str">
        <f t="shared" si="11"/>
        <v/>
      </c>
      <c r="L55" s="2250" t="str">
        <f t="shared" si="11"/>
        <v/>
      </c>
      <c r="M55" s="2250" t="str">
        <f t="shared" si="11"/>
        <v/>
      </c>
      <c r="N55" s="2250" t="str">
        <f t="shared" si="11"/>
        <v/>
      </c>
      <c r="O55" s="2250" t="str">
        <f t="shared" si="11"/>
        <v/>
      </c>
      <c r="P55" s="2250" t="str">
        <f t="shared" si="11"/>
        <v/>
      </c>
      <c r="Q55" s="2250" t="str">
        <f t="shared" si="11"/>
        <v/>
      </c>
      <c r="R55" s="2250" t="str">
        <f t="shared" si="11"/>
        <v/>
      </c>
      <c r="S55" s="1215"/>
      <c r="T55" s="272"/>
    </row>
    <row r="56" spans="1:20" ht="15" customHeight="1" x14ac:dyDescent="0.2">
      <c r="A56" s="2637">
        <f t="shared" si="10"/>
        <v>0</v>
      </c>
      <c r="B56" s="284">
        <f t="shared" si="5"/>
        <v>49</v>
      </c>
      <c r="C56" s="1215"/>
      <c r="D56" s="1215"/>
      <c r="E56" s="2248" t="str">
        <f t="shared" si="9"/>
        <v/>
      </c>
      <c r="F56" s="2250" t="str">
        <f t="shared" si="11"/>
        <v/>
      </c>
      <c r="G56" s="2250" t="str">
        <f t="shared" si="11"/>
        <v/>
      </c>
      <c r="H56" s="2250" t="str">
        <f t="shared" si="11"/>
        <v/>
      </c>
      <c r="I56" s="2250" t="str">
        <f t="shared" si="11"/>
        <v/>
      </c>
      <c r="J56" s="2250" t="str">
        <f t="shared" si="11"/>
        <v/>
      </c>
      <c r="K56" s="2250" t="str">
        <f t="shared" si="11"/>
        <v/>
      </c>
      <c r="L56" s="2250" t="str">
        <f t="shared" si="11"/>
        <v/>
      </c>
      <c r="M56" s="2250" t="str">
        <f t="shared" si="11"/>
        <v/>
      </c>
      <c r="N56" s="2250" t="str">
        <f t="shared" si="11"/>
        <v/>
      </c>
      <c r="O56" s="2250" t="str">
        <f t="shared" si="11"/>
        <v/>
      </c>
      <c r="P56" s="2250" t="str">
        <f t="shared" si="11"/>
        <v/>
      </c>
      <c r="Q56" s="2250" t="str">
        <f t="shared" si="11"/>
        <v/>
      </c>
      <c r="R56" s="2250" t="str">
        <f t="shared" si="11"/>
        <v/>
      </c>
      <c r="S56" s="1215"/>
      <c r="T56" s="272"/>
    </row>
    <row r="57" spans="1:20" ht="15" customHeight="1" x14ac:dyDescent="0.2">
      <c r="A57" s="2637">
        <f t="shared" si="10"/>
        <v>0</v>
      </c>
      <c r="B57" s="284">
        <f t="shared" si="5"/>
        <v>50</v>
      </c>
      <c r="C57" s="1215"/>
      <c r="D57" s="1215"/>
      <c r="E57" s="2248" t="str">
        <f t="shared" si="9"/>
        <v/>
      </c>
      <c r="F57" s="2250" t="str">
        <f t="shared" si="11"/>
        <v/>
      </c>
      <c r="G57" s="2250" t="str">
        <f t="shared" si="11"/>
        <v/>
      </c>
      <c r="H57" s="2250" t="str">
        <f t="shared" si="11"/>
        <v/>
      </c>
      <c r="I57" s="2250" t="str">
        <f t="shared" si="11"/>
        <v/>
      </c>
      <c r="J57" s="2250" t="str">
        <f t="shared" si="11"/>
        <v/>
      </c>
      <c r="K57" s="2250" t="str">
        <f t="shared" si="11"/>
        <v/>
      </c>
      <c r="L57" s="2250" t="str">
        <f t="shared" si="11"/>
        <v/>
      </c>
      <c r="M57" s="2250" t="str">
        <f t="shared" si="11"/>
        <v/>
      </c>
      <c r="N57" s="2250" t="str">
        <f t="shared" si="11"/>
        <v/>
      </c>
      <c r="O57" s="2250" t="str">
        <f t="shared" si="11"/>
        <v/>
      </c>
      <c r="P57" s="2250" t="str">
        <f t="shared" si="11"/>
        <v/>
      </c>
      <c r="Q57" s="2250" t="str">
        <f t="shared" si="11"/>
        <v/>
      </c>
      <c r="R57" s="2250" t="str">
        <f t="shared" si="11"/>
        <v/>
      </c>
      <c r="S57" s="1215"/>
      <c r="T57" s="272"/>
    </row>
    <row r="58" spans="1:20" ht="15" customHeight="1" x14ac:dyDescent="0.2">
      <c r="A58" s="2637">
        <f t="shared" si="10"/>
        <v>0</v>
      </c>
      <c r="B58" s="284">
        <f t="shared" si="5"/>
        <v>51</v>
      </c>
      <c r="C58" s="1215"/>
      <c r="D58" s="1215"/>
      <c r="E58" s="2248" t="str">
        <f t="shared" si="9"/>
        <v/>
      </c>
      <c r="F58" s="2250" t="str">
        <f t="shared" si="11"/>
        <v/>
      </c>
      <c r="G58" s="2250" t="str">
        <f t="shared" si="11"/>
        <v/>
      </c>
      <c r="H58" s="2250" t="str">
        <f t="shared" si="11"/>
        <v/>
      </c>
      <c r="I58" s="2250" t="str">
        <f t="shared" si="11"/>
        <v/>
      </c>
      <c r="J58" s="2250" t="str">
        <f t="shared" si="11"/>
        <v/>
      </c>
      <c r="K58" s="2250" t="str">
        <f t="shared" si="11"/>
        <v/>
      </c>
      <c r="L58" s="2250" t="str">
        <f t="shared" si="11"/>
        <v/>
      </c>
      <c r="M58" s="2250" t="str">
        <f t="shared" si="11"/>
        <v/>
      </c>
      <c r="N58" s="2250" t="str">
        <f t="shared" si="11"/>
        <v/>
      </c>
      <c r="O58" s="2250" t="str">
        <f t="shared" si="11"/>
        <v/>
      </c>
      <c r="P58" s="2250" t="str">
        <f t="shared" si="11"/>
        <v/>
      </c>
      <c r="Q58" s="2250" t="str">
        <f t="shared" si="11"/>
        <v/>
      </c>
      <c r="R58" s="2250" t="str">
        <f t="shared" si="11"/>
        <v/>
      </c>
      <c r="S58" s="1215"/>
      <c r="T58" s="272"/>
    </row>
    <row r="59" spans="1:20" ht="15" customHeight="1" x14ac:dyDescent="0.2">
      <c r="A59" s="2637">
        <f t="shared" si="10"/>
        <v>0</v>
      </c>
      <c r="B59" s="284">
        <f t="shared" si="5"/>
        <v>52</v>
      </c>
      <c r="C59" s="1215"/>
      <c r="D59" s="1215"/>
      <c r="E59" s="2248" t="str">
        <f t="shared" si="9"/>
        <v/>
      </c>
      <c r="F59" s="2250" t="str">
        <f t="shared" ref="F59:R68" si="12">IF(ISERROR(INDEX(ARGUS_CashFlow2_Array,$B59,F$6)="TRUE"),"",IF(INDEX(ARGUS_CashFlow2_Array,$B59,F$6)="","",IF(OR($E59="Cash Flow Before Debt Service",$E59="  Potential Base Rent"),TEXT(INDEX(ARGUS_CashFlow2_Array,$B59,F$6),"$#,###"),IF($E59="  Average Occupancy Percentage",TEXT(INDEX(ARGUS_CashFlow2_Array,$B59,F$6),"0.0%"),TEXT(INDEX(ARGUS_CashFlow2_Array,$B59,F$6),"#,###")))))</f>
        <v/>
      </c>
      <c r="G59" s="2250" t="str">
        <f t="shared" si="12"/>
        <v/>
      </c>
      <c r="H59" s="2250" t="str">
        <f t="shared" si="12"/>
        <v/>
      </c>
      <c r="I59" s="2250" t="str">
        <f t="shared" si="12"/>
        <v/>
      </c>
      <c r="J59" s="2250" t="str">
        <f t="shared" si="12"/>
        <v/>
      </c>
      <c r="K59" s="2250" t="str">
        <f t="shared" si="12"/>
        <v/>
      </c>
      <c r="L59" s="2250" t="str">
        <f t="shared" si="12"/>
        <v/>
      </c>
      <c r="M59" s="2250" t="str">
        <f t="shared" si="12"/>
        <v/>
      </c>
      <c r="N59" s="2250" t="str">
        <f t="shared" si="12"/>
        <v/>
      </c>
      <c r="O59" s="2250" t="str">
        <f t="shared" si="12"/>
        <v/>
      </c>
      <c r="P59" s="2250" t="str">
        <f t="shared" si="12"/>
        <v/>
      </c>
      <c r="Q59" s="2250" t="str">
        <f t="shared" si="12"/>
        <v/>
      </c>
      <c r="R59" s="2250" t="str">
        <f t="shared" si="12"/>
        <v/>
      </c>
      <c r="S59" s="1215"/>
      <c r="T59" s="272"/>
    </row>
    <row r="60" spans="1:20" ht="15" customHeight="1" x14ac:dyDescent="0.2">
      <c r="A60" s="2637">
        <f t="shared" si="10"/>
        <v>0</v>
      </c>
      <c r="B60" s="284">
        <f t="shared" si="5"/>
        <v>53</v>
      </c>
      <c r="C60" s="1215"/>
      <c r="D60" s="1215"/>
      <c r="E60" s="2248" t="str">
        <f t="shared" si="9"/>
        <v/>
      </c>
      <c r="F60" s="2250" t="str">
        <f t="shared" si="12"/>
        <v/>
      </c>
      <c r="G60" s="2250" t="str">
        <f t="shared" si="12"/>
        <v/>
      </c>
      <c r="H60" s="2250" t="str">
        <f t="shared" si="12"/>
        <v/>
      </c>
      <c r="I60" s="2250" t="str">
        <f t="shared" si="12"/>
        <v/>
      </c>
      <c r="J60" s="2250" t="str">
        <f t="shared" si="12"/>
        <v/>
      </c>
      <c r="K60" s="2250" t="str">
        <f t="shared" si="12"/>
        <v/>
      </c>
      <c r="L60" s="2250" t="str">
        <f t="shared" si="12"/>
        <v/>
      </c>
      <c r="M60" s="2250" t="str">
        <f t="shared" si="12"/>
        <v/>
      </c>
      <c r="N60" s="2250" t="str">
        <f t="shared" si="12"/>
        <v/>
      </c>
      <c r="O60" s="2250" t="str">
        <f t="shared" si="12"/>
        <v/>
      </c>
      <c r="P60" s="2250" t="str">
        <f t="shared" si="12"/>
        <v/>
      </c>
      <c r="Q60" s="2250" t="str">
        <f t="shared" si="12"/>
        <v/>
      </c>
      <c r="R60" s="2250" t="str">
        <f t="shared" si="12"/>
        <v/>
      </c>
      <c r="S60" s="1215"/>
      <c r="T60" s="272"/>
    </row>
    <row r="61" spans="1:20" ht="15" customHeight="1" x14ac:dyDescent="0.2">
      <c r="A61" s="2637">
        <f t="shared" si="10"/>
        <v>0</v>
      </c>
      <c r="B61" s="284">
        <f t="shared" si="5"/>
        <v>54</v>
      </c>
      <c r="C61" s="1215"/>
      <c r="D61" s="1215"/>
      <c r="E61" s="2248" t="str">
        <f t="shared" si="9"/>
        <v/>
      </c>
      <c r="F61" s="2250" t="str">
        <f t="shared" si="12"/>
        <v/>
      </c>
      <c r="G61" s="2250" t="str">
        <f t="shared" si="12"/>
        <v/>
      </c>
      <c r="H61" s="2250" t="str">
        <f t="shared" si="12"/>
        <v/>
      </c>
      <c r="I61" s="2250" t="str">
        <f t="shared" si="12"/>
        <v/>
      </c>
      <c r="J61" s="2250" t="str">
        <f t="shared" si="12"/>
        <v/>
      </c>
      <c r="K61" s="2250" t="str">
        <f t="shared" si="12"/>
        <v/>
      </c>
      <c r="L61" s="2250" t="str">
        <f t="shared" si="12"/>
        <v/>
      </c>
      <c r="M61" s="2250" t="str">
        <f t="shared" si="12"/>
        <v/>
      </c>
      <c r="N61" s="2250" t="str">
        <f t="shared" si="12"/>
        <v/>
      </c>
      <c r="O61" s="2250" t="str">
        <f t="shared" si="12"/>
        <v/>
      </c>
      <c r="P61" s="2250" t="str">
        <f t="shared" si="12"/>
        <v/>
      </c>
      <c r="Q61" s="2250" t="str">
        <f t="shared" si="12"/>
        <v/>
      </c>
      <c r="R61" s="2250" t="str">
        <f t="shared" si="12"/>
        <v/>
      </c>
      <c r="S61" s="1215"/>
      <c r="T61" s="272"/>
    </row>
    <row r="62" spans="1:20" ht="15" customHeight="1" x14ac:dyDescent="0.2">
      <c r="A62" s="2637">
        <f t="shared" si="10"/>
        <v>0</v>
      </c>
      <c r="B62" s="284">
        <f t="shared" si="5"/>
        <v>55</v>
      </c>
      <c r="C62" s="1215"/>
      <c r="D62" s="1215"/>
      <c r="E62" s="2248" t="str">
        <f t="shared" si="9"/>
        <v/>
      </c>
      <c r="F62" s="2250" t="str">
        <f t="shared" si="12"/>
        <v/>
      </c>
      <c r="G62" s="2250" t="str">
        <f t="shared" si="12"/>
        <v/>
      </c>
      <c r="H62" s="2250" t="str">
        <f t="shared" si="12"/>
        <v/>
      </c>
      <c r="I62" s="2250" t="str">
        <f t="shared" si="12"/>
        <v/>
      </c>
      <c r="J62" s="2250" t="str">
        <f t="shared" si="12"/>
        <v/>
      </c>
      <c r="K62" s="2250" t="str">
        <f t="shared" si="12"/>
        <v/>
      </c>
      <c r="L62" s="2250" t="str">
        <f t="shared" si="12"/>
        <v/>
      </c>
      <c r="M62" s="2250" t="str">
        <f t="shared" si="12"/>
        <v/>
      </c>
      <c r="N62" s="2250" t="str">
        <f t="shared" si="12"/>
        <v/>
      </c>
      <c r="O62" s="2250" t="str">
        <f t="shared" si="12"/>
        <v/>
      </c>
      <c r="P62" s="2250" t="str">
        <f t="shared" si="12"/>
        <v/>
      </c>
      <c r="Q62" s="2250" t="str">
        <f t="shared" si="12"/>
        <v/>
      </c>
      <c r="R62" s="2250" t="str">
        <f t="shared" si="12"/>
        <v/>
      </c>
      <c r="S62" s="1215"/>
      <c r="T62" s="272"/>
    </row>
    <row r="63" spans="1:20" ht="15" customHeight="1" x14ac:dyDescent="0.2">
      <c r="A63" s="2637">
        <f t="shared" si="10"/>
        <v>0</v>
      </c>
      <c r="B63" s="284">
        <f t="shared" si="5"/>
        <v>56</v>
      </c>
      <c r="C63" s="1215"/>
      <c r="D63" s="1215"/>
      <c r="E63" s="2248" t="str">
        <f t="shared" si="9"/>
        <v/>
      </c>
      <c r="F63" s="2250" t="str">
        <f t="shared" si="12"/>
        <v/>
      </c>
      <c r="G63" s="2250" t="str">
        <f t="shared" si="12"/>
        <v/>
      </c>
      <c r="H63" s="2250" t="str">
        <f t="shared" si="12"/>
        <v/>
      </c>
      <c r="I63" s="2250" t="str">
        <f t="shared" si="12"/>
        <v/>
      </c>
      <c r="J63" s="2250" t="str">
        <f t="shared" si="12"/>
        <v/>
      </c>
      <c r="K63" s="2250" t="str">
        <f t="shared" si="12"/>
        <v/>
      </c>
      <c r="L63" s="2250" t="str">
        <f t="shared" si="12"/>
        <v/>
      </c>
      <c r="M63" s="2250" t="str">
        <f t="shared" si="12"/>
        <v/>
      </c>
      <c r="N63" s="2250" t="str">
        <f t="shared" si="12"/>
        <v/>
      </c>
      <c r="O63" s="2250" t="str">
        <f t="shared" si="12"/>
        <v/>
      </c>
      <c r="P63" s="2250" t="str">
        <f t="shared" si="12"/>
        <v/>
      </c>
      <c r="Q63" s="2250" t="str">
        <f t="shared" si="12"/>
        <v/>
      </c>
      <c r="R63" s="2250" t="str">
        <f t="shared" si="12"/>
        <v/>
      </c>
      <c r="S63" s="1215"/>
      <c r="T63" s="272"/>
    </row>
    <row r="64" spans="1:20" ht="15" customHeight="1" x14ac:dyDescent="0.2">
      <c r="A64" s="2637">
        <f t="shared" si="10"/>
        <v>0</v>
      </c>
      <c r="B64" s="284">
        <f t="shared" si="5"/>
        <v>57</v>
      </c>
      <c r="C64" s="1215"/>
      <c r="D64" s="1215"/>
      <c r="E64" s="2248" t="str">
        <f t="shared" si="9"/>
        <v/>
      </c>
      <c r="F64" s="2250" t="str">
        <f t="shared" si="12"/>
        <v/>
      </c>
      <c r="G64" s="2250" t="str">
        <f t="shared" si="12"/>
        <v/>
      </c>
      <c r="H64" s="2250" t="str">
        <f t="shared" si="12"/>
        <v/>
      </c>
      <c r="I64" s="2250" t="str">
        <f t="shared" si="12"/>
        <v/>
      </c>
      <c r="J64" s="2250" t="str">
        <f t="shared" si="12"/>
        <v/>
      </c>
      <c r="K64" s="2250" t="str">
        <f t="shared" si="12"/>
        <v/>
      </c>
      <c r="L64" s="2250" t="str">
        <f t="shared" si="12"/>
        <v/>
      </c>
      <c r="M64" s="2250" t="str">
        <f t="shared" si="12"/>
        <v/>
      </c>
      <c r="N64" s="2250" t="str">
        <f t="shared" si="12"/>
        <v/>
      </c>
      <c r="O64" s="2250" t="str">
        <f t="shared" si="12"/>
        <v/>
      </c>
      <c r="P64" s="2250" t="str">
        <f t="shared" si="12"/>
        <v/>
      </c>
      <c r="Q64" s="2250" t="str">
        <f t="shared" si="12"/>
        <v/>
      </c>
      <c r="R64" s="2250" t="str">
        <f t="shared" si="12"/>
        <v/>
      </c>
      <c r="S64" s="1215"/>
      <c r="T64" s="272"/>
    </row>
    <row r="65" spans="1:20" ht="15" customHeight="1" x14ac:dyDescent="0.2">
      <c r="A65" s="2637">
        <f t="shared" si="10"/>
        <v>0</v>
      </c>
      <c r="B65" s="284">
        <f t="shared" si="5"/>
        <v>58</v>
      </c>
      <c r="C65" s="1215"/>
      <c r="D65" s="1215"/>
      <c r="E65" s="2248" t="str">
        <f t="shared" si="9"/>
        <v/>
      </c>
      <c r="F65" s="2250" t="str">
        <f t="shared" si="12"/>
        <v/>
      </c>
      <c r="G65" s="2250" t="str">
        <f t="shared" si="12"/>
        <v/>
      </c>
      <c r="H65" s="2250" t="str">
        <f t="shared" si="12"/>
        <v/>
      </c>
      <c r="I65" s="2250" t="str">
        <f t="shared" si="12"/>
        <v/>
      </c>
      <c r="J65" s="2250" t="str">
        <f t="shared" si="12"/>
        <v/>
      </c>
      <c r="K65" s="2250" t="str">
        <f t="shared" si="12"/>
        <v/>
      </c>
      <c r="L65" s="2250" t="str">
        <f t="shared" si="12"/>
        <v/>
      </c>
      <c r="M65" s="2250" t="str">
        <f t="shared" si="12"/>
        <v/>
      </c>
      <c r="N65" s="2250" t="str">
        <f t="shared" si="12"/>
        <v/>
      </c>
      <c r="O65" s="2250" t="str">
        <f t="shared" si="12"/>
        <v/>
      </c>
      <c r="P65" s="2250" t="str">
        <f t="shared" si="12"/>
        <v/>
      </c>
      <c r="Q65" s="2250" t="str">
        <f t="shared" si="12"/>
        <v/>
      </c>
      <c r="R65" s="2250" t="str">
        <f t="shared" si="12"/>
        <v/>
      </c>
      <c r="S65" s="1215"/>
      <c r="T65" s="272"/>
    </row>
    <row r="66" spans="1:20" ht="15" customHeight="1" x14ac:dyDescent="0.2">
      <c r="A66" s="2637">
        <f t="shared" si="10"/>
        <v>0</v>
      </c>
      <c r="B66" s="284">
        <f t="shared" si="5"/>
        <v>59</v>
      </c>
      <c r="C66" s="1215"/>
      <c r="D66" s="1215"/>
      <c r="E66" s="2248" t="str">
        <f t="shared" si="9"/>
        <v/>
      </c>
      <c r="F66" s="2250" t="str">
        <f t="shared" si="12"/>
        <v/>
      </c>
      <c r="G66" s="2250" t="str">
        <f t="shared" si="12"/>
        <v/>
      </c>
      <c r="H66" s="2250" t="str">
        <f t="shared" si="12"/>
        <v/>
      </c>
      <c r="I66" s="2250" t="str">
        <f t="shared" si="12"/>
        <v/>
      </c>
      <c r="J66" s="2250" t="str">
        <f t="shared" si="12"/>
        <v/>
      </c>
      <c r="K66" s="2250" t="str">
        <f t="shared" si="12"/>
        <v/>
      </c>
      <c r="L66" s="2250" t="str">
        <f t="shared" si="12"/>
        <v/>
      </c>
      <c r="M66" s="2250" t="str">
        <f t="shared" si="12"/>
        <v/>
      </c>
      <c r="N66" s="2250" t="str">
        <f t="shared" si="12"/>
        <v/>
      </c>
      <c r="O66" s="2250" t="str">
        <f t="shared" si="12"/>
        <v/>
      </c>
      <c r="P66" s="2250" t="str">
        <f t="shared" si="12"/>
        <v/>
      </c>
      <c r="Q66" s="2250" t="str">
        <f t="shared" si="12"/>
        <v/>
      </c>
      <c r="R66" s="2250" t="str">
        <f t="shared" si="12"/>
        <v/>
      </c>
      <c r="S66" s="1215"/>
      <c r="T66" s="272"/>
    </row>
    <row r="67" spans="1:20" ht="15" customHeight="1" x14ac:dyDescent="0.2">
      <c r="A67" s="2637">
        <f t="shared" si="10"/>
        <v>0</v>
      </c>
      <c r="B67" s="284">
        <f t="shared" si="5"/>
        <v>60</v>
      </c>
      <c r="C67" s="1215"/>
      <c r="D67" s="1215"/>
      <c r="E67" s="2248" t="str">
        <f t="shared" si="9"/>
        <v/>
      </c>
      <c r="F67" s="2250" t="str">
        <f t="shared" si="12"/>
        <v/>
      </c>
      <c r="G67" s="2250" t="str">
        <f t="shared" si="12"/>
        <v/>
      </c>
      <c r="H67" s="2250" t="str">
        <f t="shared" si="12"/>
        <v/>
      </c>
      <c r="I67" s="2250" t="str">
        <f t="shared" si="12"/>
        <v/>
      </c>
      <c r="J67" s="2250" t="str">
        <f t="shared" si="12"/>
        <v/>
      </c>
      <c r="K67" s="2250" t="str">
        <f t="shared" si="12"/>
        <v/>
      </c>
      <c r="L67" s="2250" t="str">
        <f t="shared" si="12"/>
        <v/>
      </c>
      <c r="M67" s="2250" t="str">
        <f t="shared" si="12"/>
        <v/>
      </c>
      <c r="N67" s="2250" t="str">
        <f t="shared" si="12"/>
        <v/>
      </c>
      <c r="O67" s="2250" t="str">
        <f t="shared" si="12"/>
        <v/>
      </c>
      <c r="P67" s="2250" t="str">
        <f t="shared" si="12"/>
        <v/>
      </c>
      <c r="Q67" s="2250" t="str">
        <f t="shared" si="12"/>
        <v/>
      </c>
      <c r="R67" s="2250" t="str">
        <f t="shared" si="12"/>
        <v/>
      </c>
      <c r="S67" s="1215"/>
      <c r="T67" s="272"/>
    </row>
    <row r="68" spans="1:20" ht="15" customHeight="1" x14ac:dyDescent="0.2">
      <c r="A68" s="2637">
        <f t="shared" si="10"/>
        <v>0</v>
      </c>
      <c r="B68" s="284">
        <f t="shared" si="5"/>
        <v>61</v>
      </c>
      <c r="C68" s="1215"/>
      <c r="D68" s="1215"/>
      <c r="E68" s="2248" t="str">
        <f t="shared" si="9"/>
        <v/>
      </c>
      <c r="F68" s="2250" t="str">
        <f t="shared" si="12"/>
        <v/>
      </c>
      <c r="G68" s="2250" t="str">
        <f t="shared" si="12"/>
        <v/>
      </c>
      <c r="H68" s="2250" t="str">
        <f t="shared" si="12"/>
        <v/>
      </c>
      <c r="I68" s="2250" t="str">
        <f t="shared" si="12"/>
        <v/>
      </c>
      <c r="J68" s="2250" t="str">
        <f t="shared" si="12"/>
        <v/>
      </c>
      <c r="K68" s="2250" t="str">
        <f t="shared" si="12"/>
        <v/>
      </c>
      <c r="L68" s="2250" t="str">
        <f t="shared" si="12"/>
        <v/>
      </c>
      <c r="M68" s="2250" t="str">
        <f t="shared" si="12"/>
        <v/>
      </c>
      <c r="N68" s="2250" t="str">
        <f t="shared" si="12"/>
        <v/>
      </c>
      <c r="O68" s="2250" t="str">
        <f t="shared" si="12"/>
        <v/>
      </c>
      <c r="P68" s="2250" t="str">
        <f t="shared" si="12"/>
        <v/>
      </c>
      <c r="Q68" s="2250" t="str">
        <f t="shared" si="12"/>
        <v/>
      </c>
      <c r="R68" s="2250" t="str">
        <f t="shared" si="12"/>
        <v/>
      </c>
      <c r="S68" s="1215"/>
      <c r="T68" s="272"/>
    </row>
    <row r="69" spans="1:20" ht="15" customHeight="1" x14ac:dyDescent="0.2">
      <c r="A69" s="2637">
        <f t="shared" si="10"/>
        <v>0</v>
      </c>
      <c r="B69" s="284">
        <f t="shared" si="5"/>
        <v>62</v>
      </c>
      <c r="C69" s="1215"/>
      <c r="D69" s="1215"/>
      <c r="E69" s="2248" t="str">
        <f t="shared" si="9"/>
        <v/>
      </c>
      <c r="F69" s="2250" t="str">
        <f t="shared" ref="F69:R78" si="13">IF(ISERROR(INDEX(ARGUS_CashFlow2_Array,$B69,F$6)="TRUE"),"",IF(INDEX(ARGUS_CashFlow2_Array,$B69,F$6)="","",IF(OR($E69="Cash Flow Before Debt Service",$E69="  Potential Base Rent"),TEXT(INDEX(ARGUS_CashFlow2_Array,$B69,F$6),"$#,###"),IF($E69="  Average Occupancy Percentage",TEXT(INDEX(ARGUS_CashFlow2_Array,$B69,F$6),"0.0%"),TEXT(INDEX(ARGUS_CashFlow2_Array,$B69,F$6),"#,###")))))</f>
        <v/>
      </c>
      <c r="G69" s="2250" t="str">
        <f t="shared" si="13"/>
        <v/>
      </c>
      <c r="H69" s="2250" t="str">
        <f t="shared" si="13"/>
        <v/>
      </c>
      <c r="I69" s="2250" t="str">
        <f t="shared" si="13"/>
        <v/>
      </c>
      <c r="J69" s="2250" t="str">
        <f t="shared" si="13"/>
        <v/>
      </c>
      <c r="K69" s="2250" t="str">
        <f t="shared" si="13"/>
        <v/>
      </c>
      <c r="L69" s="2250" t="str">
        <f t="shared" si="13"/>
        <v/>
      </c>
      <c r="M69" s="2250" t="str">
        <f t="shared" si="13"/>
        <v/>
      </c>
      <c r="N69" s="2250" t="str">
        <f t="shared" si="13"/>
        <v/>
      </c>
      <c r="O69" s="2250" t="str">
        <f t="shared" si="13"/>
        <v/>
      </c>
      <c r="P69" s="2250" t="str">
        <f t="shared" si="13"/>
        <v/>
      </c>
      <c r="Q69" s="2250" t="str">
        <f t="shared" si="13"/>
        <v/>
      </c>
      <c r="R69" s="2250" t="str">
        <f t="shared" si="13"/>
        <v/>
      </c>
      <c r="S69" s="1215"/>
      <c r="T69" s="272"/>
    </row>
    <row r="70" spans="1:20" ht="15" customHeight="1" x14ac:dyDescent="0.2">
      <c r="A70" s="2637">
        <f t="shared" si="10"/>
        <v>0</v>
      </c>
      <c r="B70" s="284">
        <f t="shared" si="5"/>
        <v>63</v>
      </c>
      <c r="C70" s="1215"/>
      <c r="D70" s="1215"/>
      <c r="E70" s="2248" t="str">
        <f t="shared" si="9"/>
        <v/>
      </c>
      <c r="F70" s="2250" t="str">
        <f t="shared" si="13"/>
        <v/>
      </c>
      <c r="G70" s="2250" t="str">
        <f t="shared" si="13"/>
        <v/>
      </c>
      <c r="H70" s="2250" t="str">
        <f t="shared" si="13"/>
        <v/>
      </c>
      <c r="I70" s="2250" t="str">
        <f t="shared" si="13"/>
        <v/>
      </c>
      <c r="J70" s="2250" t="str">
        <f t="shared" si="13"/>
        <v/>
      </c>
      <c r="K70" s="2250" t="str">
        <f t="shared" si="13"/>
        <v/>
      </c>
      <c r="L70" s="2250" t="str">
        <f t="shared" si="13"/>
        <v/>
      </c>
      <c r="M70" s="2250" t="str">
        <f t="shared" si="13"/>
        <v/>
      </c>
      <c r="N70" s="2250" t="str">
        <f t="shared" si="13"/>
        <v/>
      </c>
      <c r="O70" s="2250" t="str">
        <f t="shared" si="13"/>
        <v/>
      </c>
      <c r="P70" s="2250" t="str">
        <f t="shared" si="13"/>
        <v/>
      </c>
      <c r="Q70" s="2250" t="str">
        <f t="shared" si="13"/>
        <v/>
      </c>
      <c r="R70" s="2250" t="str">
        <f t="shared" si="13"/>
        <v/>
      </c>
      <c r="S70" s="1215"/>
      <c r="T70" s="272"/>
    </row>
    <row r="71" spans="1:20" ht="15" customHeight="1" x14ac:dyDescent="0.2">
      <c r="A71" s="2637">
        <f t="shared" si="10"/>
        <v>0</v>
      </c>
      <c r="B71" s="284">
        <f t="shared" si="5"/>
        <v>64</v>
      </c>
      <c r="C71" s="1215"/>
      <c r="D71" s="1215"/>
      <c r="E71" s="2248" t="str">
        <f t="shared" si="9"/>
        <v/>
      </c>
      <c r="F71" s="2250" t="str">
        <f t="shared" si="13"/>
        <v/>
      </c>
      <c r="G71" s="2250" t="str">
        <f t="shared" si="13"/>
        <v/>
      </c>
      <c r="H71" s="2250" t="str">
        <f t="shared" si="13"/>
        <v/>
      </c>
      <c r="I71" s="2250" t="str">
        <f t="shared" si="13"/>
        <v/>
      </c>
      <c r="J71" s="2250" t="str">
        <f t="shared" si="13"/>
        <v/>
      </c>
      <c r="K71" s="2250" t="str">
        <f t="shared" si="13"/>
        <v/>
      </c>
      <c r="L71" s="2250" t="str">
        <f t="shared" si="13"/>
        <v/>
      </c>
      <c r="M71" s="2250" t="str">
        <f t="shared" si="13"/>
        <v/>
      </c>
      <c r="N71" s="2250" t="str">
        <f t="shared" si="13"/>
        <v/>
      </c>
      <c r="O71" s="2250" t="str">
        <f t="shared" si="13"/>
        <v/>
      </c>
      <c r="P71" s="2250" t="str">
        <f t="shared" si="13"/>
        <v/>
      </c>
      <c r="Q71" s="2250" t="str">
        <f t="shared" si="13"/>
        <v/>
      </c>
      <c r="R71" s="2250" t="str">
        <f t="shared" si="13"/>
        <v/>
      </c>
      <c r="S71" s="1215"/>
      <c r="T71" s="272"/>
    </row>
    <row r="72" spans="1:20" ht="15" customHeight="1" x14ac:dyDescent="0.2">
      <c r="A72" s="2637">
        <f t="shared" si="10"/>
        <v>0</v>
      </c>
      <c r="B72" s="284">
        <f t="shared" si="5"/>
        <v>65</v>
      </c>
      <c r="C72" s="1215"/>
      <c r="D72" s="1215"/>
      <c r="E72" s="2248" t="str">
        <f t="shared" ref="E72:E106" si="14">IF(ISERROR(INDEX(ARGUS_CashFlow2_Array,$B72,E$6)="TRUE"),"",IF(INDEX(ARGUS_CashFlow2_Array,$B72,E$6)="","",IF(OR($E72="Cash Flow Before Debt Service",$E72="  Potential Base Rent"),TEXT(INDEX(ARGUS_CashFlow2_Array,$B72,E$6),"$#,###"),IF($E72="  Average Occupancy Percentage",TEXT(INDEX(ARGUS_CashFlow2_Array,$B72,E$6),"0.0%"),TEXT(INDEX(ARGUS_CashFlow2_Array,$B72,E$6),"#,###")))))</f>
        <v/>
      </c>
      <c r="F72" s="2250" t="str">
        <f t="shared" si="13"/>
        <v/>
      </c>
      <c r="G72" s="2250" t="str">
        <f t="shared" si="13"/>
        <v/>
      </c>
      <c r="H72" s="2250" t="str">
        <f t="shared" si="13"/>
        <v/>
      </c>
      <c r="I72" s="2250" t="str">
        <f t="shared" si="13"/>
        <v/>
      </c>
      <c r="J72" s="2250" t="str">
        <f t="shared" si="13"/>
        <v/>
      </c>
      <c r="K72" s="2250" t="str">
        <f t="shared" si="13"/>
        <v/>
      </c>
      <c r="L72" s="2250" t="str">
        <f t="shared" si="13"/>
        <v/>
      </c>
      <c r="M72" s="2250" t="str">
        <f t="shared" si="13"/>
        <v/>
      </c>
      <c r="N72" s="2250" t="str">
        <f t="shared" si="13"/>
        <v/>
      </c>
      <c r="O72" s="2250" t="str">
        <f t="shared" si="13"/>
        <v/>
      </c>
      <c r="P72" s="2250" t="str">
        <f t="shared" si="13"/>
        <v/>
      </c>
      <c r="Q72" s="2250" t="str">
        <f t="shared" si="13"/>
        <v/>
      </c>
      <c r="R72" s="2250" t="str">
        <f t="shared" si="13"/>
        <v/>
      </c>
      <c r="S72" s="1215"/>
      <c r="T72" s="272"/>
    </row>
    <row r="73" spans="1:20" ht="15" customHeight="1" x14ac:dyDescent="0.2">
      <c r="A73" s="2637">
        <f t="shared" ref="A73:A106" si="15">IF(OR(AND(E72="",E73="",E74=""),E72="Cash Flow Available for Distribution",E73="Cash Flow Available for Distribution",E74="Cash Flow Available for Distribution"),0,1)</f>
        <v>0</v>
      </c>
      <c r="B73" s="284">
        <f t="shared" si="5"/>
        <v>66</v>
      </c>
      <c r="C73" s="1215"/>
      <c r="D73" s="1215"/>
      <c r="E73" s="2248" t="str">
        <f t="shared" si="14"/>
        <v/>
      </c>
      <c r="F73" s="2250" t="str">
        <f t="shared" si="13"/>
        <v/>
      </c>
      <c r="G73" s="2250" t="str">
        <f t="shared" si="13"/>
        <v/>
      </c>
      <c r="H73" s="2250" t="str">
        <f t="shared" si="13"/>
        <v/>
      </c>
      <c r="I73" s="2250" t="str">
        <f t="shared" si="13"/>
        <v/>
      </c>
      <c r="J73" s="2250" t="str">
        <f t="shared" si="13"/>
        <v/>
      </c>
      <c r="K73" s="2250" t="str">
        <f t="shared" si="13"/>
        <v/>
      </c>
      <c r="L73" s="2250" t="str">
        <f t="shared" si="13"/>
        <v/>
      </c>
      <c r="M73" s="2250" t="str">
        <f t="shared" si="13"/>
        <v/>
      </c>
      <c r="N73" s="2250" t="str">
        <f t="shared" si="13"/>
        <v/>
      </c>
      <c r="O73" s="2250" t="str">
        <f t="shared" si="13"/>
        <v/>
      </c>
      <c r="P73" s="2250" t="str">
        <f t="shared" si="13"/>
        <v/>
      </c>
      <c r="Q73" s="2250" t="str">
        <f t="shared" si="13"/>
        <v/>
      </c>
      <c r="R73" s="2250" t="str">
        <f t="shared" si="13"/>
        <v/>
      </c>
      <c r="S73" s="1215"/>
      <c r="T73" s="272"/>
    </row>
    <row r="74" spans="1:20" ht="15" customHeight="1" x14ac:dyDescent="0.2">
      <c r="A74" s="2637">
        <f t="shared" si="15"/>
        <v>0</v>
      </c>
      <c r="B74" s="284">
        <f t="shared" ref="B74:B106" si="16">B73+1</f>
        <v>67</v>
      </c>
      <c r="C74" s="1215"/>
      <c r="D74" s="1215"/>
      <c r="E74" s="2248" t="str">
        <f t="shared" si="14"/>
        <v/>
      </c>
      <c r="F74" s="2250" t="str">
        <f t="shared" si="13"/>
        <v/>
      </c>
      <c r="G74" s="2250" t="str">
        <f t="shared" si="13"/>
        <v/>
      </c>
      <c r="H74" s="2250" t="str">
        <f t="shared" si="13"/>
        <v/>
      </c>
      <c r="I74" s="2250" t="str">
        <f t="shared" si="13"/>
        <v/>
      </c>
      <c r="J74" s="2250" t="str">
        <f t="shared" si="13"/>
        <v/>
      </c>
      <c r="K74" s="2250" t="str">
        <f t="shared" si="13"/>
        <v/>
      </c>
      <c r="L74" s="2250" t="str">
        <f t="shared" si="13"/>
        <v/>
      </c>
      <c r="M74" s="2250" t="str">
        <f t="shared" si="13"/>
        <v/>
      </c>
      <c r="N74" s="2250" t="str">
        <f t="shared" si="13"/>
        <v/>
      </c>
      <c r="O74" s="2250" t="str">
        <f t="shared" si="13"/>
        <v/>
      </c>
      <c r="P74" s="2250" t="str">
        <f t="shared" si="13"/>
        <v/>
      </c>
      <c r="Q74" s="2250" t="str">
        <f t="shared" si="13"/>
        <v/>
      </c>
      <c r="R74" s="2250" t="str">
        <f t="shared" si="13"/>
        <v/>
      </c>
      <c r="S74" s="1215"/>
      <c r="T74" s="272"/>
    </row>
    <row r="75" spans="1:20" ht="15" customHeight="1" x14ac:dyDescent="0.2">
      <c r="A75" s="2637">
        <f t="shared" si="15"/>
        <v>0</v>
      </c>
      <c r="B75" s="284">
        <f t="shared" si="16"/>
        <v>68</v>
      </c>
      <c r="C75" s="1215"/>
      <c r="D75" s="1215"/>
      <c r="E75" s="2248" t="str">
        <f t="shared" si="14"/>
        <v/>
      </c>
      <c r="F75" s="2250" t="str">
        <f t="shared" si="13"/>
        <v/>
      </c>
      <c r="G75" s="2250" t="str">
        <f t="shared" si="13"/>
        <v/>
      </c>
      <c r="H75" s="2250" t="str">
        <f t="shared" si="13"/>
        <v/>
      </c>
      <c r="I75" s="2250" t="str">
        <f t="shared" si="13"/>
        <v/>
      </c>
      <c r="J75" s="2250" t="str">
        <f t="shared" si="13"/>
        <v/>
      </c>
      <c r="K75" s="2250" t="str">
        <f t="shared" si="13"/>
        <v/>
      </c>
      <c r="L75" s="2250" t="str">
        <f t="shared" si="13"/>
        <v/>
      </c>
      <c r="M75" s="2250" t="str">
        <f t="shared" si="13"/>
        <v/>
      </c>
      <c r="N75" s="2250" t="str">
        <f t="shared" si="13"/>
        <v/>
      </c>
      <c r="O75" s="2250" t="str">
        <f t="shared" si="13"/>
        <v/>
      </c>
      <c r="P75" s="2250" t="str">
        <f t="shared" si="13"/>
        <v/>
      </c>
      <c r="Q75" s="2250" t="str">
        <f t="shared" si="13"/>
        <v/>
      </c>
      <c r="R75" s="2250" t="str">
        <f t="shared" si="13"/>
        <v/>
      </c>
      <c r="S75" s="1215"/>
      <c r="T75" s="272"/>
    </row>
    <row r="76" spans="1:20" ht="15" customHeight="1" x14ac:dyDescent="0.2">
      <c r="A76" s="2637">
        <f t="shared" si="15"/>
        <v>0</v>
      </c>
      <c r="B76" s="284">
        <f t="shared" si="16"/>
        <v>69</v>
      </c>
      <c r="C76" s="1215"/>
      <c r="D76" s="1215"/>
      <c r="E76" s="2248" t="str">
        <f t="shared" si="14"/>
        <v/>
      </c>
      <c r="F76" s="2250" t="str">
        <f t="shared" si="13"/>
        <v/>
      </c>
      <c r="G76" s="2250" t="str">
        <f t="shared" si="13"/>
        <v/>
      </c>
      <c r="H76" s="2250" t="str">
        <f t="shared" si="13"/>
        <v/>
      </c>
      <c r="I76" s="2250" t="str">
        <f t="shared" si="13"/>
        <v/>
      </c>
      <c r="J76" s="2250" t="str">
        <f t="shared" si="13"/>
        <v/>
      </c>
      <c r="K76" s="2250" t="str">
        <f t="shared" si="13"/>
        <v/>
      </c>
      <c r="L76" s="2250" t="str">
        <f t="shared" si="13"/>
        <v/>
      </c>
      <c r="M76" s="2250" t="str">
        <f t="shared" si="13"/>
        <v/>
      </c>
      <c r="N76" s="2250" t="str">
        <f t="shared" si="13"/>
        <v/>
      </c>
      <c r="O76" s="2250" t="str">
        <f t="shared" si="13"/>
        <v/>
      </c>
      <c r="P76" s="2250" t="str">
        <f t="shared" si="13"/>
        <v/>
      </c>
      <c r="Q76" s="2250" t="str">
        <f t="shared" si="13"/>
        <v/>
      </c>
      <c r="R76" s="2250" t="str">
        <f t="shared" si="13"/>
        <v/>
      </c>
      <c r="S76" s="1215"/>
      <c r="T76" s="272"/>
    </row>
    <row r="77" spans="1:20" ht="15" customHeight="1" x14ac:dyDescent="0.2">
      <c r="A77" s="2637">
        <f t="shared" si="15"/>
        <v>0</v>
      </c>
      <c r="B77" s="284">
        <f t="shared" si="16"/>
        <v>70</v>
      </c>
      <c r="C77" s="1215"/>
      <c r="D77" s="1215"/>
      <c r="E77" s="2248" t="str">
        <f t="shared" si="14"/>
        <v/>
      </c>
      <c r="F77" s="2250" t="str">
        <f t="shared" si="13"/>
        <v/>
      </c>
      <c r="G77" s="2250" t="str">
        <f t="shared" si="13"/>
        <v/>
      </c>
      <c r="H77" s="2250" t="str">
        <f t="shared" si="13"/>
        <v/>
      </c>
      <c r="I77" s="2250" t="str">
        <f t="shared" si="13"/>
        <v/>
      </c>
      <c r="J77" s="2250" t="str">
        <f t="shared" si="13"/>
        <v/>
      </c>
      <c r="K77" s="2250" t="str">
        <f t="shared" si="13"/>
        <v/>
      </c>
      <c r="L77" s="2250" t="str">
        <f t="shared" si="13"/>
        <v/>
      </c>
      <c r="M77" s="2250" t="str">
        <f t="shared" si="13"/>
        <v/>
      </c>
      <c r="N77" s="2250" t="str">
        <f t="shared" si="13"/>
        <v/>
      </c>
      <c r="O77" s="2250" t="str">
        <f t="shared" si="13"/>
        <v/>
      </c>
      <c r="P77" s="2250" t="str">
        <f t="shared" si="13"/>
        <v/>
      </c>
      <c r="Q77" s="2250" t="str">
        <f t="shared" si="13"/>
        <v/>
      </c>
      <c r="R77" s="2250" t="str">
        <f t="shared" si="13"/>
        <v/>
      </c>
      <c r="S77" s="1215"/>
      <c r="T77" s="272"/>
    </row>
    <row r="78" spans="1:20" ht="15" customHeight="1" x14ac:dyDescent="0.2">
      <c r="A78" s="2637">
        <f t="shared" si="15"/>
        <v>0</v>
      </c>
      <c r="B78" s="284">
        <f t="shared" si="16"/>
        <v>71</v>
      </c>
      <c r="C78" s="1215"/>
      <c r="D78" s="1215"/>
      <c r="E78" s="2248" t="str">
        <f t="shared" si="14"/>
        <v/>
      </c>
      <c r="F78" s="2250" t="str">
        <f t="shared" si="13"/>
        <v/>
      </c>
      <c r="G78" s="2250" t="str">
        <f t="shared" si="13"/>
        <v/>
      </c>
      <c r="H78" s="2250" t="str">
        <f t="shared" si="13"/>
        <v/>
      </c>
      <c r="I78" s="2250" t="str">
        <f t="shared" si="13"/>
        <v/>
      </c>
      <c r="J78" s="2250" t="str">
        <f t="shared" si="13"/>
        <v/>
      </c>
      <c r="K78" s="2250" t="str">
        <f t="shared" si="13"/>
        <v/>
      </c>
      <c r="L78" s="2250" t="str">
        <f t="shared" si="13"/>
        <v/>
      </c>
      <c r="M78" s="2250" t="str">
        <f t="shared" si="13"/>
        <v/>
      </c>
      <c r="N78" s="2250" t="str">
        <f t="shared" si="13"/>
        <v/>
      </c>
      <c r="O78" s="2250" t="str">
        <f t="shared" si="13"/>
        <v/>
      </c>
      <c r="P78" s="2250" t="str">
        <f t="shared" si="13"/>
        <v/>
      </c>
      <c r="Q78" s="2250" t="str">
        <f t="shared" si="13"/>
        <v/>
      </c>
      <c r="R78" s="2250" t="str">
        <f t="shared" si="13"/>
        <v/>
      </c>
      <c r="S78" s="1215"/>
      <c r="T78" s="272"/>
    </row>
    <row r="79" spans="1:20" ht="15" customHeight="1" x14ac:dyDescent="0.2">
      <c r="A79" s="2637">
        <f t="shared" si="15"/>
        <v>0</v>
      </c>
      <c r="B79" s="284">
        <f t="shared" si="16"/>
        <v>72</v>
      </c>
      <c r="C79" s="1215"/>
      <c r="D79" s="1215"/>
      <c r="E79" s="2248" t="str">
        <f t="shared" si="14"/>
        <v/>
      </c>
      <c r="F79" s="2250" t="str">
        <f t="shared" ref="F79:R88" si="17">IF(ISERROR(INDEX(ARGUS_CashFlow2_Array,$B79,F$6)="TRUE"),"",IF(INDEX(ARGUS_CashFlow2_Array,$B79,F$6)="","",IF(OR($E79="Cash Flow Before Debt Service",$E79="  Potential Base Rent"),TEXT(INDEX(ARGUS_CashFlow2_Array,$B79,F$6),"$#,###"),IF($E79="  Average Occupancy Percentage",TEXT(INDEX(ARGUS_CashFlow2_Array,$B79,F$6),"0.0%"),TEXT(INDEX(ARGUS_CashFlow2_Array,$B79,F$6),"#,###")))))</f>
        <v/>
      </c>
      <c r="G79" s="2250" t="str">
        <f t="shared" si="17"/>
        <v/>
      </c>
      <c r="H79" s="2250" t="str">
        <f t="shared" si="17"/>
        <v/>
      </c>
      <c r="I79" s="2250" t="str">
        <f t="shared" si="17"/>
        <v/>
      </c>
      <c r="J79" s="2250" t="str">
        <f t="shared" si="17"/>
        <v/>
      </c>
      <c r="K79" s="2250" t="str">
        <f t="shared" si="17"/>
        <v/>
      </c>
      <c r="L79" s="2250" t="str">
        <f t="shared" si="17"/>
        <v/>
      </c>
      <c r="M79" s="2250" t="str">
        <f t="shared" si="17"/>
        <v/>
      </c>
      <c r="N79" s="2250" t="str">
        <f t="shared" si="17"/>
        <v/>
      </c>
      <c r="O79" s="2250" t="str">
        <f t="shared" si="17"/>
        <v/>
      </c>
      <c r="P79" s="2250" t="str">
        <f t="shared" si="17"/>
        <v/>
      </c>
      <c r="Q79" s="2250" t="str">
        <f t="shared" si="17"/>
        <v/>
      </c>
      <c r="R79" s="2250" t="str">
        <f t="shared" si="17"/>
        <v/>
      </c>
      <c r="S79" s="1215"/>
      <c r="T79" s="272"/>
    </row>
    <row r="80" spans="1:20" ht="15" customHeight="1" x14ac:dyDescent="0.2">
      <c r="A80" s="2637">
        <f t="shared" si="15"/>
        <v>0</v>
      </c>
      <c r="B80" s="284">
        <f t="shared" si="16"/>
        <v>73</v>
      </c>
      <c r="C80" s="1215"/>
      <c r="D80" s="1215"/>
      <c r="E80" s="2248" t="str">
        <f t="shared" si="14"/>
        <v/>
      </c>
      <c r="F80" s="2250" t="str">
        <f t="shared" si="17"/>
        <v/>
      </c>
      <c r="G80" s="2250" t="str">
        <f t="shared" si="17"/>
        <v/>
      </c>
      <c r="H80" s="2250" t="str">
        <f t="shared" si="17"/>
        <v/>
      </c>
      <c r="I80" s="2250" t="str">
        <f t="shared" si="17"/>
        <v/>
      </c>
      <c r="J80" s="2250" t="str">
        <f t="shared" si="17"/>
        <v/>
      </c>
      <c r="K80" s="2250" t="str">
        <f t="shared" si="17"/>
        <v/>
      </c>
      <c r="L80" s="2250" t="str">
        <f t="shared" si="17"/>
        <v/>
      </c>
      <c r="M80" s="2250" t="str">
        <f t="shared" si="17"/>
        <v/>
      </c>
      <c r="N80" s="2250" t="str">
        <f t="shared" si="17"/>
        <v/>
      </c>
      <c r="O80" s="2250" t="str">
        <f t="shared" si="17"/>
        <v/>
      </c>
      <c r="P80" s="2250" t="str">
        <f t="shared" si="17"/>
        <v/>
      </c>
      <c r="Q80" s="2250" t="str">
        <f t="shared" si="17"/>
        <v/>
      </c>
      <c r="R80" s="2250" t="str">
        <f t="shared" si="17"/>
        <v/>
      </c>
      <c r="S80" s="1215"/>
      <c r="T80" s="272"/>
    </row>
    <row r="81" spans="1:20" ht="15" customHeight="1" x14ac:dyDescent="0.2">
      <c r="A81" s="2637">
        <f t="shared" si="15"/>
        <v>0</v>
      </c>
      <c r="B81" s="284">
        <f t="shared" si="16"/>
        <v>74</v>
      </c>
      <c r="C81" s="1215"/>
      <c r="D81" s="1215"/>
      <c r="E81" s="2248" t="str">
        <f t="shared" si="14"/>
        <v/>
      </c>
      <c r="F81" s="2250" t="str">
        <f t="shared" si="17"/>
        <v/>
      </c>
      <c r="G81" s="2250" t="str">
        <f t="shared" si="17"/>
        <v/>
      </c>
      <c r="H81" s="2250" t="str">
        <f t="shared" si="17"/>
        <v/>
      </c>
      <c r="I81" s="2250" t="str">
        <f t="shared" si="17"/>
        <v/>
      </c>
      <c r="J81" s="2250" t="str">
        <f t="shared" si="17"/>
        <v/>
      </c>
      <c r="K81" s="2250" t="str">
        <f t="shared" si="17"/>
        <v/>
      </c>
      <c r="L81" s="2250" t="str">
        <f t="shared" si="17"/>
        <v/>
      </c>
      <c r="M81" s="2250" t="str">
        <f t="shared" si="17"/>
        <v/>
      </c>
      <c r="N81" s="2250" t="str">
        <f t="shared" si="17"/>
        <v/>
      </c>
      <c r="O81" s="2250" t="str">
        <f t="shared" si="17"/>
        <v/>
      </c>
      <c r="P81" s="2250" t="str">
        <f t="shared" si="17"/>
        <v/>
      </c>
      <c r="Q81" s="2250" t="str">
        <f t="shared" si="17"/>
        <v/>
      </c>
      <c r="R81" s="2250" t="str">
        <f t="shared" si="17"/>
        <v/>
      </c>
      <c r="S81" s="1215"/>
      <c r="T81" s="272"/>
    </row>
    <row r="82" spans="1:20" ht="15" customHeight="1" x14ac:dyDescent="0.2">
      <c r="A82" s="2637">
        <f t="shared" si="15"/>
        <v>0</v>
      </c>
      <c r="B82" s="284">
        <f t="shared" si="16"/>
        <v>75</v>
      </c>
      <c r="C82" s="1215"/>
      <c r="D82" s="1215"/>
      <c r="E82" s="2248" t="str">
        <f t="shared" si="14"/>
        <v/>
      </c>
      <c r="F82" s="2250" t="str">
        <f t="shared" si="17"/>
        <v/>
      </c>
      <c r="G82" s="2250" t="str">
        <f t="shared" si="17"/>
        <v/>
      </c>
      <c r="H82" s="2250" t="str">
        <f t="shared" si="17"/>
        <v/>
      </c>
      <c r="I82" s="2250" t="str">
        <f t="shared" si="17"/>
        <v/>
      </c>
      <c r="J82" s="2250" t="str">
        <f t="shared" si="17"/>
        <v/>
      </c>
      <c r="K82" s="2250" t="str">
        <f t="shared" si="17"/>
        <v/>
      </c>
      <c r="L82" s="2250" t="str">
        <f t="shared" si="17"/>
        <v/>
      </c>
      <c r="M82" s="2250" t="str">
        <f t="shared" si="17"/>
        <v/>
      </c>
      <c r="N82" s="2250" t="str">
        <f t="shared" si="17"/>
        <v/>
      </c>
      <c r="O82" s="2250" t="str">
        <f t="shared" si="17"/>
        <v/>
      </c>
      <c r="P82" s="2250" t="str">
        <f t="shared" si="17"/>
        <v/>
      </c>
      <c r="Q82" s="2250" t="str">
        <f t="shared" si="17"/>
        <v/>
      </c>
      <c r="R82" s="2250" t="str">
        <f t="shared" si="17"/>
        <v/>
      </c>
      <c r="S82" s="1215"/>
      <c r="T82" s="272"/>
    </row>
    <row r="83" spans="1:20" ht="15" customHeight="1" x14ac:dyDescent="0.2">
      <c r="A83" s="2637">
        <f t="shared" si="15"/>
        <v>0</v>
      </c>
      <c r="B83" s="284">
        <f t="shared" si="16"/>
        <v>76</v>
      </c>
      <c r="C83" s="1215"/>
      <c r="D83" s="1215"/>
      <c r="E83" s="2248" t="str">
        <f t="shared" si="14"/>
        <v/>
      </c>
      <c r="F83" s="2250" t="str">
        <f t="shared" si="17"/>
        <v/>
      </c>
      <c r="G83" s="2250" t="str">
        <f t="shared" si="17"/>
        <v/>
      </c>
      <c r="H83" s="2250" t="str">
        <f t="shared" si="17"/>
        <v/>
      </c>
      <c r="I83" s="2250" t="str">
        <f t="shared" si="17"/>
        <v/>
      </c>
      <c r="J83" s="2250" t="str">
        <f t="shared" si="17"/>
        <v/>
      </c>
      <c r="K83" s="2250" t="str">
        <f t="shared" si="17"/>
        <v/>
      </c>
      <c r="L83" s="2250" t="str">
        <f t="shared" si="17"/>
        <v/>
      </c>
      <c r="M83" s="2250" t="str">
        <f t="shared" si="17"/>
        <v/>
      </c>
      <c r="N83" s="2250" t="str">
        <f t="shared" si="17"/>
        <v/>
      </c>
      <c r="O83" s="2250" t="str">
        <f t="shared" si="17"/>
        <v/>
      </c>
      <c r="P83" s="2250" t="str">
        <f t="shared" si="17"/>
        <v/>
      </c>
      <c r="Q83" s="2250" t="str">
        <f t="shared" si="17"/>
        <v/>
      </c>
      <c r="R83" s="2250" t="str">
        <f t="shared" si="17"/>
        <v/>
      </c>
      <c r="S83" s="1215"/>
      <c r="T83" s="272"/>
    </row>
    <row r="84" spans="1:20" ht="15" customHeight="1" x14ac:dyDescent="0.2">
      <c r="A84" s="2637">
        <f t="shared" si="15"/>
        <v>0</v>
      </c>
      <c r="B84" s="284">
        <f t="shared" si="16"/>
        <v>77</v>
      </c>
      <c r="C84" s="1215"/>
      <c r="D84" s="1215"/>
      <c r="E84" s="2248" t="str">
        <f t="shared" si="14"/>
        <v/>
      </c>
      <c r="F84" s="2250" t="str">
        <f t="shared" si="17"/>
        <v/>
      </c>
      <c r="G84" s="2250" t="str">
        <f t="shared" si="17"/>
        <v/>
      </c>
      <c r="H84" s="2250" t="str">
        <f t="shared" si="17"/>
        <v/>
      </c>
      <c r="I84" s="2250" t="str">
        <f t="shared" si="17"/>
        <v/>
      </c>
      <c r="J84" s="2250" t="str">
        <f t="shared" si="17"/>
        <v/>
      </c>
      <c r="K84" s="2250" t="str">
        <f t="shared" si="17"/>
        <v/>
      </c>
      <c r="L84" s="2250" t="str">
        <f t="shared" si="17"/>
        <v/>
      </c>
      <c r="M84" s="2250" t="str">
        <f t="shared" si="17"/>
        <v/>
      </c>
      <c r="N84" s="2250" t="str">
        <f t="shared" si="17"/>
        <v/>
      </c>
      <c r="O84" s="2250" t="str">
        <f t="shared" si="17"/>
        <v/>
      </c>
      <c r="P84" s="2250" t="str">
        <f t="shared" si="17"/>
        <v/>
      </c>
      <c r="Q84" s="2250" t="str">
        <f t="shared" si="17"/>
        <v/>
      </c>
      <c r="R84" s="2250" t="str">
        <f t="shared" si="17"/>
        <v/>
      </c>
      <c r="S84" s="1215"/>
      <c r="T84" s="272"/>
    </row>
    <row r="85" spans="1:20" ht="15" customHeight="1" x14ac:dyDescent="0.2">
      <c r="A85" s="2637">
        <f t="shared" si="15"/>
        <v>0</v>
      </c>
      <c r="B85" s="284">
        <f t="shared" si="16"/>
        <v>78</v>
      </c>
      <c r="C85" s="1215"/>
      <c r="D85" s="1215"/>
      <c r="E85" s="2248" t="str">
        <f t="shared" si="14"/>
        <v/>
      </c>
      <c r="F85" s="2250" t="str">
        <f t="shared" si="17"/>
        <v/>
      </c>
      <c r="G85" s="2250" t="str">
        <f t="shared" si="17"/>
        <v/>
      </c>
      <c r="H85" s="2250" t="str">
        <f t="shared" si="17"/>
        <v/>
      </c>
      <c r="I85" s="2250" t="str">
        <f t="shared" si="17"/>
        <v/>
      </c>
      <c r="J85" s="2250" t="str">
        <f t="shared" si="17"/>
        <v/>
      </c>
      <c r="K85" s="2250" t="str">
        <f t="shared" si="17"/>
        <v/>
      </c>
      <c r="L85" s="2250" t="str">
        <f t="shared" si="17"/>
        <v/>
      </c>
      <c r="M85" s="2250" t="str">
        <f t="shared" si="17"/>
        <v/>
      </c>
      <c r="N85" s="2250" t="str">
        <f t="shared" si="17"/>
        <v/>
      </c>
      <c r="O85" s="2250" t="str">
        <f t="shared" si="17"/>
        <v/>
      </c>
      <c r="P85" s="2250" t="str">
        <f t="shared" si="17"/>
        <v/>
      </c>
      <c r="Q85" s="2250" t="str">
        <f t="shared" si="17"/>
        <v/>
      </c>
      <c r="R85" s="2250" t="str">
        <f t="shared" si="17"/>
        <v/>
      </c>
      <c r="S85" s="1215"/>
      <c r="T85" s="272"/>
    </row>
    <row r="86" spans="1:20" ht="15" customHeight="1" x14ac:dyDescent="0.2">
      <c r="A86" s="2637">
        <f t="shared" si="15"/>
        <v>0</v>
      </c>
      <c r="B86" s="284">
        <f t="shared" si="16"/>
        <v>79</v>
      </c>
      <c r="C86" s="1215"/>
      <c r="D86" s="1215"/>
      <c r="E86" s="2248" t="str">
        <f t="shared" si="14"/>
        <v/>
      </c>
      <c r="F86" s="2250" t="str">
        <f t="shared" si="17"/>
        <v/>
      </c>
      <c r="G86" s="2250" t="str">
        <f t="shared" si="17"/>
        <v/>
      </c>
      <c r="H86" s="2250" t="str">
        <f t="shared" si="17"/>
        <v/>
      </c>
      <c r="I86" s="2250" t="str">
        <f t="shared" si="17"/>
        <v/>
      </c>
      <c r="J86" s="2250" t="str">
        <f t="shared" si="17"/>
        <v/>
      </c>
      <c r="K86" s="2250" t="str">
        <f t="shared" si="17"/>
        <v/>
      </c>
      <c r="L86" s="2250" t="str">
        <f t="shared" si="17"/>
        <v/>
      </c>
      <c r="M86" s="2250" t="str">
        <f t="shared" si="17"/>
        <v/>
      </c>
      <c r="N86" s="2250" t="str">
        <f t="shared" si="17"/>
        <v/>
      </c>
      <c r="O86" s="2250" t="str">
        <f t="shared" si="17"/>
        <v/>
      </c>
      <c r="P86" s="2250" t="str">
        <f t="shared" si="17"/>
        <v/>
      </c>
      <c r="Q86" s="2250" t="str">
        <f t="shared" si="17"/>
        <v/>
      </c>
      <c r="R86" s="2250" t="str">
        <f t="shared" si="17"/>
        <v/>
      </c>
      <c r="S86" s="1215"/>
      <c r="T86" s="272"/>
    </row>
    <row r="87" spans="1:20" ht="15" customHeight="1" x14ac:dyDescent="0.2">
      <c r="A87" s="2637">
        <f t="shared" si="15"/>
        <v>0</v>
      </c>
      <c r="B87" s="284">
        <f t="shared" si="16"/>
        <v>80</v>
      </c>
      <c r="C87" s="1215"/>
      <c r="D87" s="1215"/>
      <c r="E87" s="2248" t="str">
        <f t="shared" si="14"/>
        <v/>
      </c>
      <c r="F87" s="2250" t="str">
        <f t="shared" si="17"/>
        <v/>
      </c>
      <c r="G87" s="2250" t="str">
        <f t="shared" si="17"/>
        <v/>
      </c>
      <c r="H87" s="2250" t="str">
        <f t="shared" si="17"/>
        <v/>
      </c>
      <c r="I87" s="2250" t="str">
        <f t="shared" si="17"/>
        <v/>
      </c>
      <c r="J87" s="2250" t="str">
        <f t="shared" si="17"/>
        <v/>
      </c>
      <c r="K87" s="2250" t="str">
        <f t="shared" si="17"/>
        <v/>
      </c>
      <c r="L87" s="2250" t="str">
        <f t="shared" si="17"/>
        <v/>
      </c>
      <c r="M87" s="2250" t="str">
        <f t="shared" si="17"/>
        <v/>
      </c>
      <c r="N87" s="2250" t="str">
        <f t="shared" si="17"/>
        <v/>
      </c>
      <c r="O87" s="2250" t="str">
        <f t="shared" si="17"/>
        <v/>
      </c>
      <c r="P87" s="2250" t="str">
        <f t="shared" si="17"/>
        <v/>
      </c>
      <c r="Q87" s="2250" t="str">
        <f t="shared" si="17"/>
        <v/>
      </c>
      <c r="R87" s="2250" t="str">
        <f t="shared" si="17"/>
        <v/>
      </c>
      <c r="S87" s="1215"/>
      <c r="T87" s="272"/>
    </row>
    <row r="88" spans="1:20" ht="15" customHeight="1" x14ac:dyDescent="0.2">
      <c r="A88" s="2637">
        <f t="shared" si="15"/>
        <v>0</v>
      </c>
      <c r="B88" s="284">
        <f t="shared" si="16"/>
        <v>81</v>
      </c>
      <c r="C88" s="1215"/>
      <c r="D88" s="1215"/>
      <c r="E88" s="2248" t="str">
        <f t="shared" si="14"/>
        <v/>
      </c>
      <c r="F88" s="2250" t="str">
        <f t="shared" si="17"/>
        <v/>
      </c>
      <c r="G88" s="2250" t="str">
        <f t="shared" si="17"/>
        <v/>
      </c>
      <c r="H88" s="2250" t="str">
        <f t="shared" si="17"/>
        <v/>
      </c>
      <c r="I88" s="2250" t="str">
        <f t="shared" si="17"/>
        <v/>
      </c>
      <c r="J88" s="2250" t="str">
        <f t="shared" si="17"/>
        <v/>
      </c>
      <c r="K88" s="2250" t="str">
        <f t="shared" si="17"/>
        <v/>
      </c>
      <c r="L88" s="2250" t="str">
        <f t="shared" si="17"/>
        <v/>
      </c>
      <c r="M88" s="2250" t="str">
        <f t="shared" si="17"/>
        <v/>
      </c>
      <c r="N88" s="2250" t="str">
        <f t="shared" si="17"/>
        <v/>
      </c>
      <c r="O88" s="2250" t="str">
        <f t="shared" si="17"/>
        <v/>
      </c>
      <c r="P88" s="2250" t="str">
        <f t="shared" si="17"/>
        <v/>
      </c>
      <c r="Q88" s="2250" t="str">
        <f t="shared" si="17"/>
        <v/>
      </c>
      <c r="R88" s="2250" t="str">
        <f t="shared" si="17"/>
        <v/>
      </c>
      <c r="S88" s="1215"/>
      <c r="T88" s="272"/>
    </row>
    <row r="89" spans="1:20" ht="15" customHeight="1" x14ac:dyDescent="0.2">
      <c r="A89" s="2637">
        <f t="shared" si="15"/>
        <v>0</v>
      </c>
      <c r="B89" s="284">
        <f t="shared" si="16"/>
        <v>82</v>
      </c>
      <c r="C89" s="1215"/>
      <c r="D89" s="1215"/>
      <c r="E89" s="2248" t="str">
        <f t="shared" si="14"/>
        <v/>
      </c>
      <c r="F89" s="2250" t="str">
        <f t="shared" ref="F89:R98" si="18">IF(ISERROR(INDEX(ARGUS_CashFlow2_Array,$B89,F$6)="TRUE"),"",IF(INDEX(ARGUS_CashFlow2_Array,$B89,F$6)="","",IF(OR($E89="Cash Flow Before Debt Service",$E89="  Potential Base Rent"),TEXT(INDEX(ARGUS_CashFlow2_Array,$B89,F$6),"$#,###"),IF($E89="  Average Occupancy Percentage",TEXT(INDEX(ARGUS_CashFlow2_Array,$B89,F$6),"0.0%"),TEXT(INDEX(ARGUS_CashFlow2_Array,$B89,F$6),"#,###")))))</f>
        <v/>
      </c>
      <c r="G89" s="2250" t="str">
        <f t="shared" si="18"/>
        <v/>
      </c>
      <c r="H89" s="2250" t="str">
        <f t="shared" si="18"/>
        <v/>
      </c>
      <c r="I89" s="2250" t="str">
        <f t="shared" si="18"/>
        <v/>
      </c>
      <c r="J89" s="2250" t="str">
        <f t="shared" si="18"/>
        <v/>
      </c>
      <c r="K89" s="2250" t="str">
        <f t="shared" si="18"/>
        <v/>
      </c>
      <c r="L89" s="2250" t="str">
        <f t="shared" si="18"/>
        <v/>
      </c>
      <c r="M89" s="2250" t="str">
        <f t="shared" si="18"/>
        <v/>
      </c>
      <c r="N89" s="2250" t="str">
        <f t="shared" si="18"/>
        <v/>
      </c>
      <c r="O89" s="2250" t="str">
        <f t="shared" si="18"/>
        <v/>
      </c>
      <c r="P89" s="2250" t="str">
        <f t="shared" si="18"/>
        <v/>
      </c>
      <c r="Q89" s="2250" t="str">
        <f t="shared" si="18"/>
        <v/>
      </c>
      <c r="R89" s="2250" t="str">
        <f t="shared" si="18"/>
        <v/>
      </c>
      <c r="S89" s="1215"/>
      <c r="T89" s="272"/>
    </row>
    <row r="90" spans="1:20" ht="15" customHeight="1" x14ac:dyDescent="0.2">
      <c r="A90" s="2637">
        <f t="shared" si="15"/>
        <v>0</v>
      </c>
      <c r="B90" s="284">
        <f t="shared" si="16"/>
        <v>83</v>
      </c>
      <c r="C90" s="1215"/>
      <c r="D90" s="1215"/>
      <c r="E90" s="2248" t="str">
        <f t="shared" si="14"/>
        <v/>
      </c>
      <c r="F90" s="2250" t="str">
        <f t="shared" si="18"/>
        <v/>
      </c>
      <c r="G90" s="2250" t="str">
        <f t="shared" si="18"/>
        <v/>
      </c>
      <c r="H90" s="2250" t="str">
        <f t="shared" si="18"/>
        <v/>
      </c>
      <c r="I90" s="2250" t="str">
        <f t="shared" si="18"/>
        <v/>
      </c>
      <c r="J90" s="2250" t="str">
        <f t="shared" si="18"/>
        <v/>
      </c>
      <c r="K90" s="2250" t="str">
        <f t="shared" si="18"/>
        <v/>
      </c>
      <c r="L90" s="2250" t="str">
        <f t="shared" si="18"/>
        <v/>
      </c>
      <c r="M90" s="2250" t="str">
        <f t="shared" si="18"/>
        <v/>
      </c>
      <c r="N90" s="2250" t="str">
        <f t="shared" si="18"/>
        <v/>
      </c>
      <c r="O90" s="2250" t="str">
        <f t="shared" si="18"/>
        <v/>
      </c>
      <c r="P90" s="2250" t="str">
        <f t="shared" si="18"/>
        <v/>
      </c>
      <c r="Q90" s="2250" t="str">
        <f t="shared" si="18"/>
        <v/>
      </c>
      <c r="R90" s="2250" t="str">
        <f t="shared" si="18"/>
        <v/>
      </c>
      <c r="S90" s="1215"/>
      <c r="T90" s="272"/>
    </row>
    <row r="91" spans="1:20" ht="15" customHeight="1" x14ac:dyDescent="0.2">
      <c r="A91" s="2637">
        <f t="shared" si="15"/>
        <v>0</v>
      </c>
      <c r="B91" s="284">
        <f t="shared" si="16"/>
        <v>84</v>
      </c>
      <c r="C91" s="1215"/>
      <c r="D91" s="1215"/>
      <c r="E91" s="2248" t="str">
        <f t="shared" si="14"/>
        <v/>
      </c>
      <c r="F91" s="2250" t="str">
        <f t="shared" si="18"/>
        <v/>
      </c>
      <c r="G91" s="2250" t="str">
        <f t="shared" si="18"/>
        <v/>
      </c>
      <c r="H91" s="2250" t="str">
        <f t="shared" si="18"/>
        <v/>
      </c>
      <c r="I91" s="2250" t="str">
        <f t="shared" si="18"/>
        <v/>
      </c>
      <c r="J91" s="2250" t="str">
        <f t="shared" si="18"/>
        <v/>
      </c>
      <c r="K91" s="2250" t="str">
        <f t="shared" si="18"/>
        <v/>
      </c>
      <c r="L91" s="2250" t="str">
        <f t="shared" si="18"/>
        <v/>
      </c>
      <c r="M91" s="2250" t="str">
        <f t="shared" si="18"/>
        <v/>
      </c>
      <c r="N91" s="2250" t="str">
        <f t="shared" si="18"/>
        <v/>
      </c>
      <c r="O91" s="2250" t="str">
        <f t="shared" si="18"/>
        <v/>
      </c>
      <c r="P91" s="2250" t="str">
        <f t="shared" si="18"/>
        <v/>
      </c>
      <c r="Q91" s="2250" t="str">
        <f t="shared" si="18"/>
        <v/>
      </c>
      <c r="R91" s="2250" t="str">
        <f t="shared" si="18"/>
        <v/>
      </c>
      <c r="S91" s="1215"/>
      <c r="T91" s="272"/>
    </row>
    <row r="92" spans="1:20" ht="15" customHeight="1" x14ac:dyDescent="0.2">
      <c r="A92" s="2637">
        <f t="shared" si="15"/>
        <v>0</v>
      </c>
      <c r="B92" s="284">
        <f t="shared" si="16"/>
        <v>85</v>
      </c>
      <c r="C92" s="1215"/>
      <c r="D92" s="1215"/>
      <c r="E92" s="2248" t="str">
        <f t="shared" si="14"/>
        <v/>
      </c>
      <c r="F92" s="2250" t="str">
        <f t="shared" si="18"/>
        <v/>
      </c>
      <c r="G92" s="2250" t="str">
        <f t="shared" si="18"/>
        <v/>
      </c>
      <c r="H92" s="2250" t="str">
        <f t="shared" si="18"/>
        <v/>
      </c>
      <c r="I92" s="2250" t="str">
        <f t="shared" si="18"/>
        <v/>
      </c>
      <c r="J92" s="2250" t="str">
        <f t="shared" si="18"/>
        <v/>
      </c>
      <c r="K92" s="2250" t="str">
        <f t="shared" si="18"/>
        <v/>
      </c>
      <c r="L92" s="2250" t="str">
        <f t="shared" si="18"/>
        <v/>
      </c>
      <c r="M92" s="2250" t="str">
        <f t="shared" si="18"/>
        <v/>
      </c>
      <c r="N92" s="2250" t="str">
        <f t="shared" si="18"/>
        <v/>
      </c>
      <c r="O92" s="2250" t="str">
        <f t="shared" si="18"/>
        <v/>
      </c>
      <c r="P92" s="2250" t="str">
        <f t="shared" si="18"/>
        <v/>
      </c>
      <c r="Q92" s="2250" t="str">
        <f t="shared" si="18"/>
        <v/>
      </c>
      <c r="R92" s="2250" t="str">
        <f t="shared" si="18"/>
        <v/>
      </c>
      <c r="S92" s="1215"/>
      <c r="T92" s="272"/>
    </row>
    <row r="93" spans="1:20" ht="15" customHeight="1" x14ac:dyDescent="0.2">
      <c r="A93" s="2637">
        <f t="shared" si="15"/>
        <v>0</v>
      </c>
      <c r="B93" s="284">
        <f t="shared" si="16"/>
        <v>86</v>
      </c>
      <c r="C93" s="1215"/>
      <c r="D93" s="1215"/>
      <c r="E93" s="2248" t="str">
        <f t="shared" si="14"/>
        <v/>
      </c>
      <c r="F93" s="2250" t="str">
        <f t="shared" si="18"/>
        <v/>
      </c>
      <c r="G93" s="2250" t="str">
        <f t="shared" si="18"/>
        <v/>
      </c>
      <c r="H93" s="2250" t="str">
        <f t="shared" si="18"/>
        <v/>
      </c>
      <c r="I93" s="2250" t="str">
        <f t="shared" si="18"/>
        <v/>
      </c>
      <c r="J93" s="2250" t="str">
        <f t="shared" si="18"/>
        <v/>
      </c>
      <c r="K93" s="2250" t="str">
        <f t="shared" si="18"/>
        <v/>
      </c>
      <c r="L93" s="2250" t="str">
        <f t="shared" si="18"/>
        <v/>
      </c>
      <c r="M93" s="2250" t="str">
        <f t="shared" si="18"/>
        <v/>
      </c>
      <c r="N93" s="2250" t="str">
        <f t="shared" si="18"/>
        <v/>
      </c>
      <c r="O93" s="2250" t="str">
        <f t="shared" si="18"/>
        <v/>
      </c>
      <c r="P93" s="2250" t="str">
        <f t="shared" si="18"/>
        <v/>
      </c>
      <c r="Q93" s="2250" t="str">
        <f t="shared" si="18"/>
        <v/>
      </c>
      <c r="R93" s="2250" t="str">
        <f t="shared" si="18"/>
        <v/>
      </c>
      <c r="S93" s="1215"/>
      <c r="T93" s="272"/>
    </row>
    <row r="94" spans="1:20" ht="15" customHeight="1" x14ac:dyDescent="0.2">
      <c r="A94" s="2637">
        <f t="shared" si="15"/>
        <v>0</v>
      </c>
      <c r="B94" s="284">
        <f t="shared" si="16"/>
        <v>87</v>
      </c>
      <c r="C94" s="1215"/>
      <c r="D94" s="1215"/>
      <c r="E94" s="2248" t="str">
        <f t="shared" si="14"/>
        <v/>
      </c>
      <c r="F94" s="2250" t="str">
        <f t="shared" si="18"/>
        <v/>
      </c>
      <c r="G94" s="2250" t="str">
        <f t="shared" si="18"/>
        <v/>
      </c>
      <c r="H94" s="2250" t="str">
        <f t="shared" si="18"/>
        <v/>
      </c>
      <c r="I94" s="2250" t="str">
        <f t="shared" si="18"/>
        <v/>
      </c>
      <c r="J94" s="2250" t="str">
        <f t="shared" si="18"/>
        <v/>
      </c>
      <c r="K94" s="2250" t="str">
        <f t="shared" si="18"/>
        <v/>
      </c>
      <c r="L94" s="2250" t="str">
        <f t="shared" si="18"/>
        <v/>
      </c>
      <c r="M94" s="2250" t="str">
        <f t="shared" si="18"/>
        <v/>
      </c>
      <c r="N94" s="2250" t="str">
        <f t="shared" si="18"/>
        <v/>
      </c>
      <c r="O94" s="2250" t="str">
        <f t="shared" si="18"/>
        <v/>
      </c>
      <c r="P94" s="2250" t="str">
        <f t="shared" si="18"/>
        <v/>
      </c>
      <c r="Q94" s="2250" t="str">
        <f t="shared" si="18"/>
        <v/>
      </c>
      <c r="R94" s="2250" t="str">
        <f t="shared" si="18"/>
        <v/>
      </c>
      <c r="S94" s="1215"/>
      <c r="T94" s="272"/>
    </row>
    <row r="95" spans="1:20" ht="15" customHeight="1" x14ac:dyDescent="0.2">
      <c r="A95" s="2637">
        <f t="shared" si="15"/>
        <v>0</v>
      </c>
      <c r="B95" s="284">
        <f t="shared" si="16"/>
        <v>88</v>
      </c>
      <c r="C95" s="1215"/>
      <c r="D95" s="1215"/>
      <c r="E95" s="2248" t="str">
        <f t="shared" si="14"/>
        <v/>
      </c>
      <c r="F95" s="2250" t="str">
        <f t="shared" si="18"/>
        <v/>
      </c>
      <c r="G95" s="2250" t="str">
        <f t="shared" si="18"/>
        <v/>
      </c>
      <c r="H95" s="2250" t="str">
        <f t="shared" si="18"/>
        <v/>
      </c>
      <c r="I95" s="2250" t="str">
        <f t="shared" si="18"/>
        <v/>
      </c>
      <c r="J95" s="2250" t="str">
        <f t="shared" si="18"/>
        <v/>
      </c>
      <c r="K95" s="2250" t="str">
        <f t="shared" si="18"/>
        <v/>
      </c>
      <c r="L95" s="2250" t="str">
        <f t="shared" si="18"/>
        <v/>
      </c>
      <c r="M95" s="2250" t="str">
        <f t="shared" si="18"/>
        <v/>
      </c>
      <c r="N95" s="2250" t="str">
        <f t="shared" si="18"/>
        <v/>
      </c>
      <c r="O95" s="2250" t="str">
        <f t="shared" si="18"/>
        <v/>
      </c>
      <c r="P95" s="2250" t="str">
        <f t="shared" si="18"/>
        <v/>
      </c>
      <c r="Q95" s="2250" t="str">
        <f t="shared" si="18"/>
        <v/>
      </c>
      <c r="R95" s="2250" t="str">
        <f t="shared" si="18"/>
        <v/>
      </c>
      <c r="S95" s="1215"/>
      <c r="T95" s="272"/>
    </row>
    <row r="96" spans="1:20" ht="15" customHeight="1" x14ac:dyDescent="0.2">
      <c r="A96" s="2637">
        <f t="shared" si="15"/>
        <v>0</v>
      </c>
      <c r="B96" s="284">
        <f t="shared" si="16"/>
        <v>89</v>
      </c>
      <c r="C96" s="1215"/>
      <c r="D96" s="1215"/>
      <c r="E96" s="2248" t="str">
        <f t="shared" si="14"/>
        <v/>
      </c>
      <c r="F96" s="2250" t="str">
        <f t="shared" si="18"/>
        <v/>
      </c>
      <c r="G96" s="2250" t="str">
        <f t="shared" si="18"/>
        <v/>
      </c>
      <c r="H96" s="2250" t="str">
        <f t="shared" si="18"/>
        <v/>
      </c>
      <c r="I96" s="2250" t="str">
        <f t="shared" si="18"/>
        <v/>
      </c>
      <c r="J96" s="2250" t="str">
        <f t="shared" si="18"/>
        <v/>
      </c>
      <c r="K96" s="2250" t="str">
        <f t="shared" si="18"/>
        <v/>
      </c>
      <c r="L96" s="2250" t="str">
        <f t="shared" si="18"/>
        <v/>
      </c>
      <c r="M96" s="2250" t="str">
        <f t="shared" si="18"/>
        <v/>
      </c>
      <c r="N96" s="2250" t="str">
        <f t="shared" si="18"/>
        <v/>
      </c>
      <c r="O96" s="2250" t="str">
        <f t="shared" si="18"/>
        <v/>
      </c>
      <c r="P96" s="2250" t="str">
        <f t="shared" si="18"/>
        <v/>
      </c>
      <c r="Q96" s="2250" t="str">
        <f t="shared" si="18"/>
        <v/>
      </c>
      <c r="R96" s="2250" t="str">
        <f t="shared" si="18"/>
        <v/>
      </c>
      <c r="S96" s="1215"/>
      <c r="T96" s="272"/>
    </row>
    <row r="97" spans="1:20" ht="15" customHeight="1" x14ac:dyDescent="0.2">
      <c r="A97" s="2637">
        <f t="shared" si="15"/>
        <v>0</v>
      </c>
      <c r="B97" s="284">
        <f t="shared" si="16"/>
        <v>90</v>
      </c>
      <c r="C97" s="1215"/>
      <c r="D97" s="1215"/>
      <c r="E97" s="2248" t="str">
        <f t="shared" si="14"/>
        <v/>
      </c>
      <c r="F97" s="2250" t="str">
        <f t="shared" si="18"/>
        <v/>
      </c>
      <c r="G97" s="2250" t="str">
        <f t="shared" si="18"/>
        <v/>
      </c>
      <c r="H97" s="2250" t="str">
        <f t="shared" si="18"/>
        <v/>
      </c>
      <c r="I97" s="2250" t="str">
        <f t="shared" si="18"/>
        <v/>
      </c>
      <c r="J97" s="2250" t="str">
        <f t="shared" si="18"/>
        <v/>
      </c>
      <c r="K97" s="2250" t="str">
        <f t="shared" si="18"/>
        <v/>
      </c>
      <c r="L97" s="2250" t="str">
        <f t="shared" si="18"/>
        <v/>
      </c>
      <c r="M97" s="2250" t="str">
        <f t="shared" si="18"/>
        <v/>
      </c>
      <c r="N97" s="2250" t="str">
        <f t="shared" si="18"/>
        <v/>
      </c>
      <c r="O97" s="2250" t="str">
        <f t="shared" si="18"/>
        <v/>
      </c>
      <c r="P97" s="2250" t="str">
        <f t="shared" si="18"/>
        <v/>
      </c>
      <c r="Q97" s="2250" t="str">
        <f t="shared" si="18"/>
        <v/>
      </c>
      <c r="R97" s="2250" t="str">
        <f t="shared" si="18"/>
        <v/>
      </c>
      <c r="S97" s="1215"/>
      <c r="T97" s="272"/>
    </row>
    <row r="98" spans="1:20" ht="15" customHeight="1" x14ac:dyDescent="0.2">
      <c r="A98" s="2637">
        <f t="shared" si="15"/>
        <v>0</v>
      </c>
      <c r="B98" s="284">
        <f t="shared" si="16"/>
        <v>91</v>
      </c>
      <c r="C98" s="1215"/>
      <c r="D98" s="1215"/>
      <c r="E98" s="2248" t="str">
        <f t="shared" si="14"/>
        <v/>
      </c>
      <c r="F98" s="2250" t="str">
        <f t="shared" si="18"/>
        <v/>
      </c>
      <c r="G98" s="2250" t="str">
        <f t="shared" si="18"/>
        <v/>
      </c>
      <c r="H98" s="2250" t="str">
        <f t="shared" si="18"/>
        <v/>
      </c>
      <c r="I98" s="2250" t="str">
        <f t="shared" si="18"/>
        <v/>
      </c>
      <c r="J98" s="2250" t="str">
        <f t="shared" si="18"/>
        <v/>
      </c>
      <c r="K98" s="2250" t="str">
        <f t="shared" si="18"/>
        <v/>
      </c>
      <c r="L98" s="2250" t="str">
        <f t="shared" si="18"/>
        <v/>
      </c>
      <c r="M98" s="2250" t="str">
        <f t="shared" si="18"/>
        <v/>
      </c>
      <c r="N98" s="2250" t="str">
        <f t="shared" si="18"/>
        <v/>
      </c>
      <c r="O98" s="2250" t="str">
        <f t="shared" si="18"/>
        <v/>
      </c>
      <c r="P98" s="2250" t="str">
        <f t="shared" si="18"/>
        <v/>
      </c>
      <c r="Q98" s="2250" t="str">
        <f t="shared" si="18"/>
        <v/>
      </c>
      <c r="R98" s="2250" t="str">
        <f t="shared" si="18"/>
        <v/>
      </c>
      <c r="S98" s="1215"/>
      <c r="T98" s="272"/>
    </row>
    <row r="99" spans="1:20" ht="15" customHeight="1" x14ac:dyDescent="0.2">
      <c r="A99" s="2637">
        <f t="shared" si="15"/>
        <v>0</v>
      </c>
      <c r="B99" s="284">
        <f t="shared" si="16"/>
        <v>92</v>
      </c>
      <c r="C99" s="1215"/>
      <c r="D99" s="1215"/>
      <c r="E99" s="2248" t="str">
        <f t="shared" si="14"/>
        <v/>
      </c>
      <c r="F99" s="2250" t="str">
        <f t="shared" ref="F99:R106" si="19">IF(ISERROR(INDEX(ARGUS_CashFlow2_Array,$B99,F$6)="TRUE"),"",IF(INDEX(ARGUS_CashFlow2_Array,$B99,F$6)="","",IF(OR($E99="Cash Flow Before Debt Service",$E99="  Potential Base Rent"),TEXT(INDEX(ARGUS_CashFlow2_Array,$B99,F$6),"$#,###"),IF($E99="  Average Occupancy Percentage",TEXT(INDEX(ARGUS_CashFlow2_Array,$B99,F$6),"0.0%"),TEXT(INDEX(ARGUS_CashFlow2_Array,$B99,F$6),"#,###")))))</f>
        <v/>
      </c>
      <c r="G99" s="2250" t="str">
        <f t="shared" si="19"/>
        <v/>
      </c>
      <c r="H99" s="2250" t="str">
        <f t="shared" si="19"/>
        <v/>
      </c>
      <c r="I99" s="2250" t="str">
        <f t="shared" si="19"/>
        <v/>
      </c>
      <c r="J99" s="2250" t="str">
        <f t="shared" si="19"/>
        <v/>
      </c>
      <c r="K99" s="2250" t="str">
        <f t="shared" si="19"/>
        <v/>
      </c>
      <c r="L99" s="2250" t="str">
        <f t="shared" si="19"/>
        <v/>
      </c>
      <c r="M99" s="2250" t="str">
        <f t="shared" si="19"/>
        <v/>
      </c>
      <c r="N99" s="2250" t="str">
        <f t="shared" si="19"/>
        <v/>
      </c>
      <c r="O99" s="2250" t="str">
        <f t="shared" si="19"/>
        <v/>
      </c>
      <c r="P99" s="2250" t="str">
        <f t="shared" si="19"/>
        <v/>
      </c>
      <c r="Q99" s="2250" t="str">
        <f t="shared" si="19"/>
        <v/>
      </c>
      <c r="R99" s="2250" t="str">
        <f t="shared" si="19"/>
        <v/>
      </c>
      <c r="S99" s="1215"/>
      <c r="T99" s="272"/>
    </row>
    <row r="100" spans="1:20" ht="15" customHeight="1" x14ac:dyDescent="0.2">
      <c r="A100" s="2637">
        <f t="shared" si="15"/>
        <v>0</v>
      </c>
      <c r="B100" s="284">
        <f t="shared" si="16"/>
        <v>93</v>
      </c>
      <c r="C100" s="1215"/>
      <c r="D100" s="1215"/>
      <c r="E100" s="2248" t="str">
        <f t="shared" si="14"/>
        <v/>
      </c>
      <c r="F100" s="2250" t="str">
        <f t="shared" si="19"/>
        <v/>
      </c>
      <c r="G100" s="2250" t="str">
        <f t="shared" si="19"/>
        <v/>
      </c>
      <c r="H100" s="2250" t="str">
        <f t="shared" si="19"/>
        <v/>
      </c>
      <c r="I100" s="2250" t="str">
        <f t="shared" si="19"/>
        <v/>
      </c>
      <c r="J100" s="2250" t="str">
        <f t="shared" si="19"/>
        <v/>
      </c>
      <c r="K100" s="2250" t="str">
        <f t="shared" si="19"/>
        <v/>
      </c>
      <c r="L100" s="2250" t="str">
        <f t="shared" si="19"/>
        <v/>
      </c>
      <c r="M100" s="2250" t="str">
        <f t="shared" si="19"/>
        <v/>
      </c>
      <c r="N100" s="2250" t="str">
        <f t="shared" si="19"/>
        <v/>
      </c>
      <c r="O100" s="2250" t="str">
        <f t="shared" si="19"/>
        <v/>
      </c>
      <c r="P100" s="2250" t="str">
        <f t="shared" si="19"/>
        <v/>
      </c>
      <c r="Q100" s="2250" t="str">
        <f t="shared" si="19"/>
        <v/>
      </c>
      <c r="R100" s="2250" t="str">
        <f t="shared" si="19"/>
        <v/>
      </c>
      <c r="S100" s="1215"/>
      <c r="T100" s="272"/>
    </row>
    <row r="101" spans="1:20" ht="15" customHeight="1" x14ac:dyDescent="0.2">
      <c r="A101" s="2637">
        <f t="shared" si="15"/>
        <v>0</v>
      </c>
      <c r="B101" s="284">
        <f t="shared" si="16"/>
        <v>94</v>
      </c>
      <c r="C101" s="1215"/>
      <c r="D101" s="1215"/>
      <c r="E101" s="2248" t="str">
        <f t="shared" si="14"/>
        <v/>
      </c>
      <c r="F101" s="2250" t="str">
        <f t="shared" si="19"/>
        <v/>
      </c>
      <c r="G101" s="2250" t="str">
        <f t="shared" si="19"/>
        <v/>
      </c>
      <c r="H101" s="2250" t="str">
        <f t="shared" si="19"/>
        <v/>
      </c>
      <c r="I101" s="2250" t="str">
        <f t="shared" si="19"/>
        <v/>
      </c>
      <c r="J101" s="2250" t="str">
        <f t="shared" si="19"/>
        <v/>
      </c>
      <c r="K101" s="2250" t="str">
        <f t="shared" si="19"/>
        <v/>
      </c>
      <c r="L101" s="2250" t="str">
        <f t="shared" si="19"/>
        <v/>
      </c>
      <c r="M101" s="2250" t="str">
        <f t="shared" si="19"/>
        <v/>
      </c>
      <c r="N101" s="2250" t="str">
        <f t="shared" si="19"/>
        <v/>
      </c>
      <c r="O101" s="2250" t="str">
        <f t="shared" si="19"/>
        <v/>
      </c>
      <c r="P101" s="2250" t="str">
        <f t="shared" si="19"/>
        <v/>
      </c>
      <c r="Q101" s="2250" t="str">
        <f t="shared" si="19"/>
        <v/>
      </c>
      <c r="R101" s="2250" t="str">
        <f t="shared" si="19"/>
        <v/>
      </c>
      <c r="S101" s="1215"/>
      <c r="T101" s="272"/>
    </row>
    <row r="102" spans="1:20" ht="15" customHeight="1" x14ac:dyDescent="0.2">
      <c r="A102" s="2637">
        <f t="shared" si="15"/>
        <v>0</v>
      </c>
      <c r="B102" s="284">
        <f t="shared" si="16"/>
        <v>95</v>
      </c>
      <c r="C102" s="1215"/>
      <c r="D102" s="1215"/>
      <c r="E102" s="2248" t="str">
        <f t="shared" si="14"/>
        <v/>
      </c>
      <c r="F102" s="2250" t="str">
        <f t="shared" si="19"/>
        <v/>
      </c>
      <c r="G102" s="2250" t="str">
        <f t="shared" si="19"/>
        <v/>
      </c>
      <c r="H102" s="2250" t="str">
        <f t="shared" si="19"/>
        <v/>
      </c>
      <c r="I102" s="2250" t="str">
        <f t="shared" si="19"/>
        <v/>
      </c>
      <c r="J102" s="2250" t="str">
        <f t="shared" si="19"/>
        <v/>
      </c>
      <c r="K102" s="2250" t="str">
        <f t="shared" si="19"/>
        <v/>
      </c>
      <c r="L102" s="2250" t="str">
        <f t="shared" si="19"/>
        <v/>
      </c>
      <c r="M102" s="2250" t="str">
        <f t="shared" si="19"/>
        <v/>
      </c>
      <c r="N102" s="2250" t="str">
        <f t="shared" si="19"/>
        <v/>
      </c>
      <c r="O102" s="2250" t="str">
        <f t="shared" si="19"/>
        <v/>
      </c>
      <c r="P102" s="2250" t="str">
        <f t="shared" si="19"/>
        <v/>
      </c>
      <c r="Q102" s="2250" t="str">
        <f t="shared" si="19"/>
        <v/>
      </c>
      <c r="R102" s="2250" t="str">
        <f t="shared" si="19"/>
        <v/>
      </c>
      <c r="S102" s="1215"/>
      <c r="T102" s="272"/>
    </row>
    <row r="103" spans="1:20" ht="15" customHeight="1" x14ac:dyDescent="0.2">
      <c r="A103" s="2637">
        <f t="shared" si="15"/>
        <v>0</v>
      </c>
      <c r="B103" s="284">
        <f t="shared" si="16"/>
        <v>96</v>
      </c>
      <c r="C103" s="1215"/>
      <c r="D103" s="1215"/>
      <c r="E103" s="2248" t="str">
        <f t="shared" si="14"/>
        <v/>
      </c>
      <c r="F103" s="2250" t="str">
        <f t="shared" si="19"/>
        <v/>
      </c>
      <c r="G103" s="2250" t="str">
        <f t="shared" si="19"/>
        <v/>
      </c>
      <c r="H103" s="2250" t="str">
        <f t="shared" si="19"/>
        <v/>
      </c>
      <c r="I103" s="2250" t="str">
        <f t="shared" si="19"/>
        <v/>
      </c>
      <c r="J103" s="2250" t="str">
        <f t="shared" si="19"/>
        <v/>
      </c>
      <c r="K103" s="2250" t="str">
        <f t="shared" si="19"/>
        <v/>
      </c>
      <c r="L103" s="2250" t="str">
        <f t="shared" si="19"/>
        <v/>
      </c>
      <c r="M103" s="2250" t="str">
        <f t="shared" si="19"/>
        <v/>
      </c>
      <c r="N103" s="2250" t="str">
        <f t="shared" si="19"/>
        <v/>
      </c>
      <c r="O103" s="2250" t="str">
        <f t="shared" si="19"/>
        <v/>
      </c>
      <c r="P103" s="2250" t="str">
        <f t="shared" si="19"/>
        <v/>
      </c>
      <c r="Q103" s="2250" t="str">
        <f t="shared" si="19"/>
        <v/>
      </c>
      <c r="R103" s="2250" t="str">
        <f t="shared" si="19"/>
        <v/>
      </c>
      <c r="S103" s="1215"/>
      <c r="T103" s="272"/>
    </row>
    <row r="104" spans="1:20" ht="15" customHeight="1" x14ac:dyDescent="0.2">
      <c r="A104" s="2637">
        <f t="shared" si="15"/>
        <v>0</v>
      </c>
      <c r="B104" s="284">
        <f t="shared" si="16"/>
        <v>97</v>
      </c>
      <c r="C104" s="1215"/>
      <c r="D104" s="1215"/>
      <c r="E104" s="2248" t="str">
        <f t="shared" si="14"/>
        <v/>
      </c>
      <c r="F104" s="2250" t="str">
        <f t="shared" si="19"/>
        <v/>
      </c>
      <c r="G104" s="2250" t="str">
        <f t="shared" si="19"/>
        <v/>
      </c>
      <c r="H104" s="2250" t="str">
        <f t="shared" si="19"/>
        <v/>
      </c>
      <c r="I104" s="2250" t="str">
        <f t="shared" si="19"/>
        <v/>
      </c>
      <c r="J104" s="2250" t="str">
        <f t="shared" si="19"/>
        <v/>
      </c>
      <c r="K104" s="2250" t="str">
        <f t="shared" si="19"/>
        <v/>
      </c>
      <c r="L104" s="2250" t="str">
        <f t="shared" si="19"/>
        <v/>
      </c>
      <c r="M104" s="2250" t="str">
        <f t="shared" si="19"/>
        <v/>
      </c>
      <c r="N104" s="2250" t="str">
        <f t="shared" si="19"/>
        <v/>
      </c>
      <c r="O104" s="2250" t="str">
        <f t="shared" si="19"/>
        <v/>
      </c>
      <c r="P104" s="2250" t="str">
        <f t="shared" si="19"/>
        <v/>
      </c>
      <c r="Q104" s="2250" t="str">
        <f t="shared" si="19"/>
        <v/>
      </c>
      <c r="R104" s="2250" t="str">
        <f t="shared" si="19"/>
        <v/>
      </c>
      <c r="S104" s="1215"/>
      <c r="T104" s="272"/>
    </row>
    <row r="105" spans="1:20" ht="15" customHeight="1" x14ac:dyDescent="0.2">
      <c r="A105" s="2637">
        <f t="shared" si="15"/>
        <v>0</v>
      </c>
      <c r="B105" s="284">
        <f t="shared" si="16"/>
        <v>98</v>
      </c>
      <c r="C105" s="1215"/>
      <c r="D105" s="1215"/>
      <c r="E105" s="2248" t="str">
        <f t="shared" si="14"/>
        <v/>
      </c>
      <c r="F105" s="2250" t="str">
        <f t="shared" si="19"/>
        <v/>
      </c>
      <c r="G105" s="2250" t="str">
        <f t="shared" si="19"/>
        <v/>
      </c>
      <c r="H105" s="2250" t="str">
        <f t="shared" si="19"/>
        <v/>
      </c>
      <c r="I105" s="2250" t="str">
        <f t="shared" si="19"/>
        <v/>
      </c>
      <c r="J105" s="2250" t="str">
        <f t="shared" si="19"/>
        <v/>
      </c>
      <c r="K105" s="2250" t="str">
        <f t="shared" si="19"/>
        <v/>
      </c>
      <c r="L105" s="2250" t="str">
        <f t="shared" si="19"/>
        <v/>
      </c>
      <c r="M105" s="2250" t="str">
        <f t="shared" si="19"/>
        <v/>
      </c>
      <c r="N105" s="2250" t="str">
        <f t="shared" si="19"/>
        <v/>
      </c>
      <c r="O105" s="2250" t="str">
        <f t="shared" si="19"/>
        <v/>
      </c>
      <c r="P105" s="2250" t="str">
        <f t="shared" si="19"/>
        <v/>
      </c>
      <c r="Q105" s="2250" t="str">
        <f t="shared" si="19"/>
        <v/>
      </c>
      <c r="R105" s="2250" t="str">
        <f t="shared" si="19"/>
        <v/>
      </c>
      <c r="S105" s="1215"/>
      <c r="T105" s="272"/>
    </row>
    <row r="106" spans="1:20" ht="15" customHeight="1" x14ac:dyDescent="0.2">
      <c r="A106" s="2637">
        <f t="shared" si="15"/>
        <v>0</v>
      </c>
      <c r="B106" s="284">
        <f t="shared" si="16"/>
        <v>99</v>
      </c>
      <c r="C106" s="1215"/>
      <c r="D106" s="1215"/>
      <c r="E106" s="2248" t="str">
        <f t="shared" si="14"/>
        <v/>
      </c>
      <c r="F106" s="2250" t="str">
        <f t="shared" si="19"/>
        <v/>
      </c>
      <c r="G106" s="2250" t="str">
        <f t="shared" si="19"/>
        <v/>
      </c>
      <c r="H106" s="2250" t="str">
        <f t="shared" si="19"/>
        <v/>
      </c>
      <c r="I106" s="2250" t="str">
        <f t="shared" si="19"/>
        <v/>
      </c>
      <c r="J106" s="2250" t="str">
        <f t="shared" si="19"/>
        <v/>
      </c>
      <c r="K106" s="2250" t="str">
        <f t="shared" si="19"/>
        <v/>
      </c>
      <c r="L106" s="2250" t="str">
        <f t="shared" si="19"/>
        <v/>
      </c>
      <c r="M106" s="2250" t="str">
        <f t="shared" si="19"/>
        <v/>
      </c>
      <c r="N106" s="2250" t="str">
        <f t="shared" si="19"/>
        <v/>
      </c>
      <c r="O106" s="2250" t="str">
        <f t="shared" si="19"/>
        <v/>
      </c>
      <c r="P106" s="2250" t="str">
        <f t="shared" si="19"/>
        <v/>
      </c>
      <c r="Q106" s="2250" t="str">
        <f t="shared" si="19"/>
        <v/>
      </c>
      <c r="R106" s="2250" t="str">
        <f t="shared" si="19"/>
        <v/>
      </c>
      <c r="S106" s="1215"/>
      <c r="T106" s="272"/>
    </row>
    <row r="107" spans="1:20" ht="15" customHeight="1" x14ac:dyDescent="0.2">
      <c r="A107" s="2637">
        <v>1</v>
      </c>
      <c r="B107" s="284"/>
      <c r="C107" s="1215"/>
      <c r="D107" s="1215"/>
      <c r="E107" s="1215"/>
      <c r="F107" s="2250"/>
      <c r="G107" s="2250"/>
      <c r="H107" s="2250"/>
      <c r="I107" s="2250"/>
      <c r="J107" s="2250"/>
      <c r="K107" s="2250"/>
      <c r="L107" s="2250"/>
      <c r="M107" s="2250"/>
      <c r="N107" s="2250"/>
      <c r="O107" s="2250"/>
      <c r="P107" s="2250"/>
      <c r="Q107" s="2250"/>
      <c r="R107" s="2250"/>
      <c r="S107" s="1215"/>
      <c r="T107" s="272"/>
    </row>
    <row r="108" spans="1:20" ht="15" customHeight="1" x14ac:dyDescent="0.25">
      <c r="A108" s="2637">
        <v>1</v>
      </c>
      <c r="B108" s="284"/>
      <c r="C108" s="1215"/>
      <c r="D108" s="4341" t="s">
        <v>485</v>
      </c>
      <c r="E108" s="4342"/>
      <c r="F108" s="4342"/>
      <c r="G108" s="4342"/>
      <c r="H108" s="4342"/>
      <c r="I108" s="4342"/>
      <c r="J108" s="4342"/>
      <c r="K108" s="4342"/>
      <c r="L108" s="2251"/>
      <c r="M108" s="2251"/>
      <c r="N108" s="1215"/>
      <c r="O108" s="1215"/>
      <c r="P108" s="1215"/>
      <c r="Q108" s="1215"/>
      <c r="R108" s="1215"/>
      <c r="S108" s="1215"/>
      <c r="T108" s="272"/>
    </row>
    <row r="109" spans="1:20" ht="15" customHeight="1" x14ac:dyDescent="0.2">
      <c r="A109" s="2637">
        <v>1</v>
      </c>
      <c r="B109" s="284"/>
      <c r="C109" s="1215"/>
      <c r="D109" s="1215" t="s">
        <v>461</v>
      </c>
      <c r="E109" s="1215"/>
      <c r="F109" s="1215"/>
      <c r="G109" s="2252">
        <f>dpIncome_DiscRate2-0.005</f>
        <v>-5.0000000000000001E-3</v>
      </c>
      <c r="H109" s="2252">
        <f>dpIncome_DiscRate2-0.0025</f>
        <v>-2.5000000000000001E-3</v>
      </c>
      <c r="I109" s="665"/>
      <c r="J109" s="2252">
        <f>dpIncome_DiscRate2+0.0025</f>
        <v>2.5000000000000001E-3</v>
      </c>
      <c r="K109" s="2252">
        <f>dpIncome_DiscRate2+0.005</f>
        <v>5.0000000000000001E-3</v>
      </c>
      <c r="L109" s="2254"/>
      <c r="M109" s="2254"/>
      <c r="N109" s="1215"/>
      <c r="O109" s="1215"/>
      <c r="P109" s="1215"/>
      <c r="Q109" s="1215"/>
      <c r="R109" s="1215"/>
      <c r="S109" s="1215"/>
      <c r="T109" s="272"/>
    </row>
    <row r="110" spans="1:20" ht="15" customHeight="1" x14ac:dyDescent="0.2">
      <c r="A110" s="2637">
        <v>1</v>
      </c>
      <c r="B110" s="284"/>
      <c r="C110" s="1215"/>
      <c r="D110" s="1215" t="s">
        <v>482</v>
      </c>
      <c r="E110" s="1215"/>
      <c r="F110" s="1215"/>
      <c r="G110" s="2255" t="e">
        <f>NPV(G109,$F$126,$G$126,$H$126,$I$126,$J$126,$K$126,$L$126,$M$126,$N$126,$O$126,$P$126,$Q$126,$R$126)</f>
        <v>#N/A</v>
      </c>
      <c r="H110" s="2255" t="e">
        <f>NPV(H109,$F$126,$G$126,$H$126,$I$126,$J$126,$K$126,$L$126,$M$126,$N$126,$O$126,$P$126,$Q$126,$R$126)</f>
        <v>#N/A</v>
      </c>
      <c r="I110" s="2256" t="e">
        <f>NPV(I109,$F$126,$G$126,$H$126,$I$126,$J$126,$K$126,$L$126,$M$126,$N$126,$O$126,$P$126,$Q$126,$R$126)</f>
        <v>#N/A</v>
      </c>
      <c r="J110" s="2255" t="e">
        <f>NPV(J109,$F$126,$G$126,$H$126,$I$126,$J$126,$K$126,$L$126,$M$126,$N$126,$O$126,$P$126,$Q$126,$R$126)</f>
        <v>#N/A</v>
      </c>
      <c r="K110" s="2255" t="e">
        <f>NPV(K109,$F$126,$G$126,$H$126,$I$126,$J$126,$K$126,$L$126,$M$126,$N$126,$O$126,$P$126,$Q$126,$R$126)</f>
        <v>#N/A</v>
      </c>
      <c r="L110" s="1215"/>
      <c r="M110" s="1215"/>
      <c r="N110" s="1215"/>
      <c r="O110" s="1215"/>
      <c r="P110" s="1215"/>
      <c r="Q110" s="1215"/>
      <c r="R110" s="1215"/>
      <c r="S110" s="1215"/>
      <c r="T110" s="272"/>
    </row>
    <row r="111" spans="1:20" ht="15" customHeight="1" x14ac:dyDescent="0.2">
      <c r="A111" s="2637">
        <v>1</v>
      </c>
      <c r="B111" s="284"/>
      <c r="C111" s="1215"/>
      <c r="D111" s="1215" t="s">
        <v>483</v>
      </c>
      <c r="E111" s="1215"/>
      <c r="F111" s="1215"/>
      <c r="G111" s="1216" t="e">
        <f>PV(G109,Income_DCF_HoldingPeriod2,0,-Income_DCF_Reversion2)</f>
        <v>#N/A</v>
      </c>
      <c r="H111" s="1216" t="e">
        <f>PV(H109,Income_DCF_HoldingPeriod2,0,-Income_DCF_Reversion2)</f>
        <v>#N/A</v>
      </c>
      <c r="I111" s="1217" t="e">
        <f>PV(I109,Income_DCF_HoldingPeriod2,0,-Income_DCF_Reversion2)</f>
        <v>#N/A</v>
      </c>
      <c r="J111" s="1216" t="e">
        <f>PV(J109,Income_DCF_HoldingPeriod2,0,-Income_DCF_Reversion2)</f>
        <v>#N/A</v>
      </c>
      <c r="K111" s="1216" t="e">
        <f>PV(K109,Income_DCF_HoldingPeriod2,0,-Income_DCF_Reversion2)</f>
        <v>#N/A</v>
      </c>
      <c r="L111" s="1215"/>
      <c r="M111" s="1215"/>
      <c r="N111" s="1215"/>
      <c r="O111" s="1215"/>
      <c r="P111" s="1215"/>
      <c r="Q111" s="1215"/>
      <c r="R111" s="1215"/>
      <c r="S111" s="1215"/>
      <c r="T111" s="272"/>
    </row>
    <row r="112" spans="1:20" s="2153" customFormat="1" ht="15" customHeight="1" x14ac:dyDescent="0.25">
      <c r="A112" s="2638">
        <v>1</v>
      </c>
      <c r="B112" s="2151"/>
      <c r="C112" s="2257"/>
      <c r="D112" s="4343" t="str">
        <f>IF(SUM(A113:A115)=0,IF(Sort_NumValues=3,dpSort_ValueScenario_2,IF(Sort_NumValues=2,dpSort_ValueScenario_1,"N/A")),"Preliminary Value Indication")</f>
        <v>N/A</v>
      </c>
      <c r="E112" s="4343"/>
      <c r="F112" s="4343"/>
      <c r="G112" s="2263" t="e">
        <f>G110+G111</f>
        <v>#N/A</v>
      </c>
      <c r="H112" s="2263" t="e">
        <f>H110+H111</f>
        <v>#N/A</v>
      </c>
      <c r="I112" s="2264" t="e">
        <f>MROUND(I110+I111,INDEX(Rounding_Options,MATCH(I123,Rounding_Label,0),2))</f>
        <v>#N/A</v>
      </c>
      <c r="J112" s="2263" t="e">
        <f>J110+J111</f>
        <v>#N/A</v>
      </c>
      <c r="K112" s="2263" t="e">
        <f>K110+K111</f>
        <v>#N/A</v>
      </c>
      <c r="L112" s="2257"/>
      <c r="M112" s="2257"/>
      <c r="N112" s="2257"/>
      <c r="O112" s="2257"/>
      <c r="P112" s="2257"/>
      <c r="Q112" s="2257"/>
      <c r="R112" s="2257"/>
      <c r="S112" s="2257"/>
      <c r="T112" s="2152"/>
    </row>
    <row r="113" spans="1:22" ht="15" customHeight="1" x14ac:dyDescent="0.25">
      <c r="A113" s="957">
        <f>IF(I113=0,0,1)</f>
        <v>0</v>
      </c>
      <c r="B113" s="284"/>
      <c r="C113" s="1215"/>
      <c r="D113" s="2260" t="str">
        <f>IF(OR(ValueAdj_Select1=1,ValueAdj_Select1=2),1,"")</f>
        <v/>
      </c>
      <c r="E113" s="2259" t="s">
        <v>259</v>
      </c>
      <c r="F113" s="1215"/>
      <c r="G113" s="1215"/>
      <c r="H113" s="1215"/>
      <c r="I113" s="2265">
        <f>IF(OR(ValueAdj_Select1=1,ValueAdj_Select1=2),-dpCost_CurableItemCost_Total,0)</f>
        <v>0</v>
      </c>
      <c r="J113" s="1215"/>
      <c r="K113" s="1215"/>
      <c r="L113" s="1215"/>
      <c r="M113" s="1215"/>
      <c r="N113" s="1215"/>
      <c r="O113" s="1215"/>
      <c r="P113" s="1215"/>
      <c r="Q113" s="1215"/>
      <c r="R113" s="1215"/>
      <c r="S113" s="1215"/>
      <c r="T113" s="272"/>
    </row>
    <row r="114" spans="1:22" ht="15" customHeight="1" x14ac:dyDescent="0.25">
      <c r="A114" s="957">
        <f>IF(I114=0,0,1)</f>
        <v>0</v>
      </c>
      <c r="B114" s="284"/>
      <c r="C114" s="1215"/>
      <c r="D114" s="2260" t="str">
        <f>IF('Selection Tables'!$O$17=TRUE,IF(OR(ValueAdj_Select4=1,ValueAdj_Select4=2),COUNT(D113)+1,""),"")</f>
        <v/>
      </c>
      <c r="E114" s="2259" t="str">
        <f>IF(AdjSelect_UserDef1_IncomeDCF=TRUE,IF(dpValue_UserDef1Adjustment_Value&lt;0,CONCATENATE("Less ",dpValue_UserDef1Adjustment_Name,":"),CONCATENATE("Plus ",dpValue_UserDef1Adjustment_Name,":")),"N/A")</f>
        <v>N/A</v>
      </c>
      <c r="F114" s="1215"/>
      <c r="G114" s="1215"/>
      <c r="H114" s="1215"/>
      <c r="I114" s="2256">
        <f>IF(AdjSelect_UserDef1_IncomeDCF=TRUE,IF(OR(ValueAdj_Select4=1,ValueAdj_Select4=2),dpValue_UserDef1Adjustment_Value,0),0)</f>
        <v>0</v>
      </c>
      <c r="J114" s="1215"/>
      <c r="K114" s="1215"/>
      <c r="L114" s="1215"/>
      <c r="M114" s="1215"/>
      <c r="N114" s="1215"/>
      <c r="O114" s="1215"/>
      <c r="P114" s="1215"/>
      <c r="Q114" s="1215"/>
      <c r="R114" s="1215"/>
      <c r="S114" s="1215"/>
      <c r="T114" s="272"/>
    </row>
    <row r="115" spans="1:22" ht="15" customHeight="1" x14ac:dyDescent="0.25">
      <c r="A115" s="957">
        <f>IF(I115=0,0,1)</f>
        <v>0</v>
      </c>
      <c r="B115" s="284"/>
      <c r="C115" s="1215"/>
      <c r="D115" s="2260" t="str">
        <f>IF('Selection Tables'!$P$17=TRUE,IF(OR(ValueAdj_Select5=1,ValueAdj_Select5=2),COUNT(D113:D114)+1,""),"")</f>
        <v/>
      </c>
      <c r="E115" s="2259" t="str">
        <f>IF(AdjSelect_UserDef2_IncomeDCF=TRUE,IF(dpValue_UserDef2Adjustment_Value&lt;0,CONCATENATE("Less ",dpValue_UserDef2Adjustment_Name,":"),CONCATENATE("Plus ",dpValue_UserDef2Adjustment_Name,":")),"N/A")</f>
        <v>N/A</v>
      </c>
      <c r="F115" s="1215"/>
      <c r="G115" s="1215"/>
      <c r="H115" s="1215"/>
      <c r="I115" s="2256">
        <f>IF(AdjSelect_UserDef2_IncomeDCF=TRUE,IF(OR(ValueAdj_Select5=1,ValueAdj_Select5=2),dpValue_UserDef2Adjustment_Value,0),0)</f>
        <v>0</v>
      </c>
      <c r="J115" s="1215"/>
      <c r="K115" s="1215"/>
      <c r="L115" s="1215"/>
      <c r="M115" s="1215"/>
      <c r="N115" s="1215"/>
      <c r="O115" s="1215"/>
      <c r="P115" s="1215"/>
      <c r="Q115" s="1215"/>
      <c r="R115" s="1215"/>
      <c r="S115" s="1215"/>
      <c r="T115" s="272"/>
    </row>
    <row r="116" spans="1:22" ht="15" customHeight="1" thickBot="1" x14ac:dyDescent="0.25">
      <c r="A116" s="2637">
        <f>IF(SUM(A113:A115)=0,0,1)</f>
        <v>0</v>
      </c>
      <c r="B116" s="284"/>
      <c r="C116" s="1215"/>
      <c r="D116" s="2266" t="str">
        <f>IF(Sort_NumValues=3,dpSort_ValueScenario_2,IF(Sort_NumValues=2,dpSort_ValueScenario_1,"N/A"))</f>
        <v>N/A</v>
      </c>
      <c r="E116" s="1215"/>
      <c r="F116" s="1215"/>
      <c r="G116" s="1215"/>
      <c r="H116" s="1215"/>
      <c r="I116" s="2136" t="e">
        <f>MROUND(SUM(I112:I115),INDEX(Rounding_Options,MATCH(I123,Rounding_Label,0),2))</f>
        <v>#N/A</v>
      </c>
      <c r="J116" s="1215"/>
      <c r="K116" s="1215"/>
      <c r="L116" s="1215"/>
      <c r="M116" s="1215"/>
      <c r="N116" s="1215"/>
      <c r="O116" s="1215"/>
      <c r="P116" s="1215"/>
      <c r="Q116" s="1215"/>
      <c r="R116" s="1215"/>
      <c r="S116" s="1215"/>
      <c r="T116" s="272"/>
    </row>
    <row r="117" spans="1:22" ht="15" customHeight="1" x14ac:dyDescent="0.25">
      <c r="A117" s="2637">
        <f>IF(COUNT(D113:D115)&gt;0,1,0)</f>
        <v>0</v>
      </c>
      <c r="B117" s="284"/>
      <c r="C117" s="1215"/>
      <c r="D117" s="2121">
        <v>1</v>
      </c>
      <c r="E117" s="2122" t="s">
        <v>1826</v>
      </c>
      <c r="F117" s="2134"/>
      <c r="G117" s="2134"/>
      <c r="H117" s="2133"/>
      <c r="I117" s="2133"/>
      <c r="J117" s="2133"/>
      <c r="K117" s="2133"/>
      <c r="L117" s="2133"/>
      <c r="M117" s="2133"/>
      <c r="N117" s="2133"/>
      <c r="O117" s="2133"/>
      <c r="P117" s="2133"/>
      <c r="Q117" s="2133"/>
      <c r="R117" s="2133"/>
      <c r="S117" s="1215"/>
      <c r="T117" s="272"/>
    </row>
    <row r="118" spans="1:22" ht="15" customHeight="1" x14ac:dyDescent="0.25">
      <c r="A118" s="2637">
        <f>IF(COUNT(D113:D115)&gt;1,1,0)</f>
        <v>0</v>
      </c>
      <c r="B118" s="284"/>
      <c r="C118" s="1215"/>
      <c r="D118" s="2117">
        <f>D117+1</f>
        <v>2</v>
      </c>
      <c r="E118" s="2123" t="s">
        <v>1828</v>
      </c>
      <c r="F118" s="2261"/>
      <c r="G118" s="2261"/>
      <c r="H118" s="1215"/>
      <c r="I118" s="1215"/>
      <c r="J118" s="1215"/>
      <c r="K118" s="1215"/>
      <c r="L118" s="1215"/>
      <c r="M118" s="1215"/>
      <c r="N118" s="1215"/>
      <c r="O118" s="1215"/>
      <c r="P118" s="1215"/>
      <c r="Q118" s="1215"/>
      <c r="R118" s="1215"/>
      <c r="S118" s="1215"/>
      <c r="T118" s="272"/>
    </row>
    <row r="119" spans="1:22" ht="15" customHeight="1" x14ac:dyDescent="0.25">
      <c r="A119" s="2637">
        <f>IF(COUNT(D113:D115)&gt;2,1,0)</f>
        <v>0</v>
      </c>
      <c r="B119" s="284"/>
      <c r="C119" s="1215"/>
      <c r="D119" s="2117">
        <f>D118+1</f>
        <v>3</v>
      </c>
      <c r="E119" s="2123" t="s">
        <v>1828</v>
      </c>
      <c r="F119" s="2261"/>
      <c r="G119" s="2261"/>
      <c r="H119" s="1215"/>
      <c r="I119" s="1215"/>
      <c r="J119" s="1215"/>
      <c r="K119" s="1215"/>
      <c r="L119" s="1215"/>
      <c r="M119" s="1215"/>
      <c r="N119" s="1215"/>
      <c r="O119" s="1215"/>
      <c r="P119" s="1215"/>
      <c r="Q119" s="1215"/>
      <c r="R119" s="1215"/>
      <c r="S119" s="1215"/>
      <c r="T119" s="272"/>
    </row>
    <row r="120" spans="1:22" ht="15" customHeight="1" thickBot="1" x14ac:dyDescent="0.25">
      <c r="B120" s="273"/>
      <c r="C120" s="274"/>
      <c r="D120" s="557" t="s">
        <v>929</v>
      </c>
      <c r="E120" s="557"/>
      <c r="F120" s="274"/>
      <c r="G120" s="274"/>
      <c r="H120" s="274"/>
      <c r="I120" s="274"/>
      <c r="J120" s="274"/>
      <c r="K120" s="274"/>
      <c r="L120" s="274"/>
      <c r="M120" s="274"/>
      <c r="N120" s="274"/>
      <c r="O120" s="274"/>
      <c r="P120" s="274"/>
      <c r="Q120" s="274"/>
      <c r="R120" s="274"/>
      <c r="S120" s="274"/>
      <c r="T120" s="275"/>
    </row>
    <row r="121" spans="1:22" ht="15" customHeight="1" x14ac:dyDescent="0.25">
      <c r="D121" s="207" t="s">
        <v>1830</v>
      </c>
      <c r="I121" s="280"/>
    </row>
    <row r="122" spans="1:22" ht="15" customHeight="1" thickBot="1" x14ac:dyDescent="0.25">
      <c r="I122" s="188" t="s">
        <v>991</v>
      </c>
    </row>
    <row r="123" spans="1:22" ht="15" customHeight="1" thickBot="1" x14ac:dyDescent="0.25">
      <c r="I123" s="715" t="s">
        <v>1039</v>
      </c>
    </row>
    <row r="124" spans="1:22" s="280" customFormat="1" ht="15" customHeight="1" x14ac:dyDescent="0.2">
      <c r="A124" s="278"/>
      <c r="B124" s="278"/>
      <c r="E124" s="267">
        <f>SUM(Filter_DCF2Col)</f>
        <v>6</v>
      </c>
      <c r="F124" s="2637">
        <v>1</v>
      </c>
      <c r="G124" s="2637">
        <v>1</v>
      </c>
      <c r="H124" s="2637">
        <v>1</v>
      </c>
      <c r="I124" s="2637">
        <v>1</v>
      </c>
      <c r="J124" s="2637">
        <v>1</v>
      </c>
      <c r="K124" s="2637">
        <v>1</v>
      </c>
      <c r="L124" s="2637">
        <f t="shared" ref="L124:R124" si="20">IF(ISERROR(IF(K126=0,0,1)),0,IF(K126=0,0,1))</f>
        <v>0</v>
      </c>
      <c r="M124" s="2637">
        <f t="shared" si="20"/>
        <v>0</v>
      </c>
      <c r="N124" s="2637">
        <f t="shared" si="20"/>
        <v>0</v>
      </c>
      <c r="O124" s="2637">
        <f t="shared" si="20"/>
        <v>0</v>
      </c>
      <c r="P124" s="2637">
        <f t="shared" si="20"/>
        <v>0</v>
      </c>
      <c r="Q124" s="2637">
        <f t="shared" si="20"/>
        <v>0</v>
      </c>
      <c r="R124" s="2637">
        <f t="shared" si="20"/>
        <v>0</v>
      </c>
      <c r="S124" s="276"/>
      <c r="T124" s="276"/>
      <c r="U124" s="276"/>
      <c r="V124" s="276"/>
    </row>
    <row r="125" spans="1:22" s="280" customFormat="1" ht="15" customHeight="1" x14ac:dyDescent="0.2">
      <c r="A125" s="278"/>
      <c r="B125" s="278"/>
      <c r="S125" s="276"/>
      <c r="T125" s="276"/>
      <c r="U125" s="276"/>
      <c r="V125" s="276"/>
    </row>
    <row r="126" spans="1:22" s="280" customFormat="1" ht="15" customHeight="1" x14ac:dyDescent="0.2">
      <c r="A126" s="278"/>
      <c r="B126" s="278"/>
      <c r="F126" s="2150" t="e">
        <f t="shared" ref="F126:R126" si="21">IF(OR(Income_DCF_HoldingPeriod2&lt;E6,ISERR(VLOOKUP("Cash Flow Before Debt Service",$E$7:$R$106,F6,FALSE)+0)=TRUE),0,VLOOKUP("Cash Flow Before Debt Service",$E$7:$R$106,F6,FALSE)+0)</f>
        <v>#N/A</v>
      </c>
      <c r="G126" s="2150" t="e">
        <f t="shared" si="21"/>
        <v>#N/A</v>
      </c>
      <c r="H126" s="2150" t="e">
        <f t="shared" si="21"/>
        <v>#N/A</v>
      </c>
      <c r="I126" s="2150" t="e">
        <f t="shared" si="21"/>
        <v>#N/A</v>
      </c>
      <c r="J126" s="2150" t="e">
        <f t="shared" si="21"/>
        <v>#N/A</v>
      </c>
      <c r="K126" s="2150" t="e">
        <f t="shared" si="21"/>
        <v>#N/A</v>
      </c>
      <c r="L126" s="2150" t="e">
        <f t="shared" si="21"/>
        <v>#N/A</v>
      </c>
      <c r="M126" s="2150" t="e">
        <f t="shared" si="21"/>
        <v>#N/A</v>
      </c>
      <c r="N126" s="2150" t="e">
        <f t="shared" si="21"/>
        <v>#N/A</v>
      </c>
      <c r="O126" s="2150" t="e">
        <f t="shared" si="21"/>
        <v>#N/A</v>
      </c>
      <c r="P126" s="2150">
        <f t="shared" si="21"/>
        <v>0</v>
      </c>
      <c r="Q126" s="2150">
        <f t="shared" si="21"/>
        <v>0</v>
      </c>
      <c r="R126" s="2150">
        <f t="shared" si="21"/>
        <v>0</v>
      </c>
      <c r="S126" s="276"/>
      <c r="T126" s="276"/>
      <c r="U126" s="276"/>
      <c r="V126" s="276"/>
    </row>
    <row r="127" spans="1:22" s="280" customFormat="1" x14ac:dyDescent="0.2">
      <c r="A127" s="278"/>
      <c r="B127" s="267"/>
      <c r="C127" s="276"/>
      <c r="D127" s="276"/>
      <c r="S127" s="276"/>
      <c r="T127" s="276"/>
      <c r="U127" s="276"/>
      <c r="V127" s="276"/>
    </row>
    <row r="128" spans="1:22" x14ac:dyDescent="0.2">
      <c r="B128" s="267"/>
      <c r="C128" s="276"/>
      <c r="D128" s="276"/>
      <c r="E128" s="280"/>
      <c r="F128" s="280"/>
      <c r="G128" s="280"/>
      <c r="H128" s="280"/>
      <c r="I128" s="280"/>
      <c r="J128" s="280"/>
      <c r="K128" s="280"/>
      <c r="L128" s="280"/>
      <c r="M128" s="280"/>
      <c r="N128" s="280"/>
      <c r="O128" s="280"/>
      <c r="P128" s="280"/>
      <c r="Q128" s="280"/>
      <c r="R128" s="280"/>
      <c r="S128" s="276"/>
      <c r="T128" s="276"/>
      <c r="U128" s="276"/>
      <c r="V128" s="276"/>
    </row>
    <row r="129" spans="2:20" x14ac:dyDescent="0.2">
      <c r="B129" s="267"/>
      <c r="C129" s="276"/>
      <c r="D129" s="276"/>
      <c r="E129" s="280"/>
      <c r="F129" s="280"/>
      <c r="G129" s="280"/>
      <c r="H129" s="280"/>
      <c r="I129" s="280"/>
      <c r="J129" s="280"/>
      <c r="K129" s="280"/>
      <c r="L129" s="280"/>
      <c r="M129" s="280"/>
      <c r="N129" s="280"/>
      <c r="O129" s="280"/>
      <c r="P129" s="280"/>
      <c r="Q129" s="280"/>
      <c r="R129" s="280"/>
      <c r="S129" s="276"/>
      <c r="T129" s="276"/>
    </row>
    <row r="130" spans="2:20" x14ac:dyDescent="0.2">
      <c r="B130" s="267"/>
      <c r="C130" s="276"/>
      <c r="D130" s="276"/>
      <c r="E130" s="276"/>
      <c r="F130" s="276"/>
      <c r="G130" s="276"/>
      <c r="H130" s="276"/>
      <c r="I130" s="276"/>
      <c r="J130" s="276"/>
      <c r="K130" s="276"/>
      <c r="L130" s="276"/>
      <c r="M130" s="276"/>
      <c r="N130" s="276"/>
      <c r="O130" s="276"/>
      <c r="P130" s="276"/>
      <c r="Q130" s="276"/>
      <c r="R130" s="276"/>
      <c r="S130" s="276"/>
      <c r="T130" s="276"/>
    </row>
    <row r="131" spans="2:20" x14ac:dyDescent="0.2">
      <c r="B131" s="267"/>
      <c r="C131" s="276"/>
      <c r="D131" s="276"/>
      <c r="E131" s="276"/>
      <c r="F131" s="276"/>
      <c r="G131" s="276"/>
      <c r="H131" s="276"/>
      <c r="I131" s="276"/>
      <c r="J131" s="276"/>
      <c r="K131" s="276"/>
      <c r="L131" s="276"/>
      <c r="M131" s="276"/>
      <c r="N131" s="276"/>
      <c r="O131" s="276"/>
      <c r="P131" s="276"/>
      <c r="Q131" s="276"/>
      <c r="R131" s="276"/>
      <c r="S131" s="276"/>
      <c r="T131" s="276"/>
    </row>
    <row r="132" spans="2:20" x14ac:dyDescent="0.2">
      <c r="B132" s="267"/>
      <c r="C132" s="276"/>
      <c r="D132" s="276"/>
      <c r="E132" s="276"/>
      <c r="F132" s="276"/>
      <c r="G132" s="276"/>
      <c r="H132" s="276"/>
      <c r="I132" s="276"/>
      <c r="J132" s="276"/>
      <c r="K132" s="276"/>
      <c r="L132" s="276"/>
      <c r="M132" s="276"/>
      <c r="N132" s="276"/>
      <c r="O132" s="276"/>
      <c r="P132" s="276"/>
      <c r="Q132" s="276"/>
      <c r="R132" s="276"/>
      <c r="S132" s="276"/>
      <c r="T132" s="276"/>
    </row>
    <row r="133" spans="2:20" x14ac:dyDescent="0.2">
      <c r="B133" s="267"/>
      <c r="C133" s="276"/>
      <c r="D133" s="276"/>
      <c r="E133" s="276"/>
      <c r="F133" s="276"/>
      <c r="G133" s="276"/>
      <c r="H133" s="276"/>
      <c r="I133" s="276"/>
      <c r="J133" s="276"/>
      <c r="K133" s="276"/>
      <c r="L133" s="276"/>
      <c r="M133" s="276"/>
      <c r="N133" s="276"/>
      <c r="O133" s="276"/>
      <c r="P133" s="276"/>
      <c r="Q133" s="276"/>
      <c r="R133" s="276"/>
      <c r="S133" s="276"/>
      <c r="T133" s="276"/>
    </row>
  </sheetData>
  <mergeCells count="2">
    <mergeCell ref="D108:K108"/>
    <mergeCell ref="D112:F112"/>
  </mergeCells>
  <conditionalFormatting sqref="E9:R106">
    <cfRule type="cellIs" dxfId="54" priority="1" operator="equal">
      <formula>"Capital Expenditures"</formula>
    </cfRule>
    <cfRule type="expression" dxfId="53" priority="2">
      <formula>ISNUMBER(SEARCH("Cash Flow Before Debt Service",$E9))</formula>
    </cfRule>
    <cfRule type="cellIs" dxfId="52" priority="3" operator="equal">
      <formula>"Tenant Occupancy Summary"</formula>
    </cfRule>
    <cfRule type="cellIs" dxfId="51" priority="4" operator="equal">
      <formula>"Leasing Costs"</formula>
    </cfRule>
    <cfRule type="cellIs" dxfId="50" priority="5" operator="equal">
      <formula>"Operating Expenses"</formula>
    </cfRule>
    <cfRule type="cellIs" dxfId="49" priority="6" operator="equal">
      <formula>"Vacancy &amp; Credit Loss"</formula>
    </cfRule>
    <cfRule type="cellIs" dxfId="48" priority="7" operator="equal">
      <formula>"Other Tenant Revenue"</formula>
    </cfRule>
    <cfRule type="expression" dxfId="47" priority="8">
      <formula>ISNUMBER(SEARCH("Net Operating Income",$E9))</formula>
    </cfRule>
    <cfRule type="expression" dxfId="46" priority="9">
      <formula>ISNUMBER(SEARCH("Average Occupancy Percentage",$E9))</formula>
    </cfRule>
    <cfRule type="cellIs" dxfId="45" priority="10" operator="equal">
      <formula>"Rental Revenue"</formula>
    </cfRule>
    <cfRule type="expression" dxfId="44" priority="11">
      <formula>ISNUMBER(SEARCH("Effective Gross Revenue",$E9))</formula>
    </cfRule>
    <cfRule type="expression" dxfId="43" priority="12">
      <formula>ISNUMBER(SEARCH("Potential Gross Revenue",$E9))</formula>
    </cfRule>
    <cfRule type="expression" dxfId="42" priority="13">
      <formula>ISNUMBER(SEARCH("Total",$E9))</formula>
    </cfRule>
  </conditionalFormatting>
  <conditionalFormatting sqref="E10:R106">
    <cfRule type="cellIs" dxfId="41" priority="14" operator="equal">
      <formula>"Other Revenue"</formula>
    </cfRule>
    <cfRule type="expression" dxfId="40" priority="15">
      <formula>ISNUMBER(SEARCH("Total Other Revenue",$E9))</formula>
    </cfRule>
  </conditionalFormatting>
  <dataValidations count="1">
    <dataValidation type="list" allowBlank="1" showInputMessage="1" showErrorMessage="1" error="Invalid Option - Please Select from the List" prompt="Select Rounding Option" sqref="I123" xr:uid="{00000000-0002-0000-3900-000000000000}">
      <formula1>Rounding_Label</formula1>
    </dataValidation>
  </dataValidations>
  <printOptions horizontalCentered="1"/>
  <pageMargins left="0.5" right="0.5" top="0.75" bottom="0.75" header="0.3" footer="0.3"/>
  <pageSetup scale="38" orientation="portrait" r:id="rId1"/>
  <drawing r:id="rId2"/>
  <legacyDrawing r:id="rId3"/>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44">
    <tabColor theme="5" tint="-0.249977111117893"/>
    <pageSetUpPr fitToPage="1"/>
  </sheetPr>
  <dimension ref="A1:U134"/>
  <sheetViews>
    <sheetView zoomScaleNormal="100" workbookViewId="0">
      <selection activeCell="Y27" sqref="Y27"/>
    </sheetView>
  </sheetViews>
  <sheetFormatPr defaultColWidth="9.140625" defaultRowHeight="12" x14ac:dyDescent="0.2"/>
  <cols>
    <col min="1" max="1" width="5.7109375" style="278" customWidth="1"/>
    <col min="2" max="2" width="1.7109375" style="268" customWidth="1"/>
    <col min="3" max="3" width="0.85546875" style="269" customWidth="1"/>
    <col min="4" max="4" width="1.7109375" style="269" customWidth="1"/>
    <col min="5" max="5" width="25.7109375" style="269" customWidth="1"/>
    <col min="6" max="18" width="10.7109375" style="269" customWidth="1"/>
    <col min="19" max="19" width="0.85546875" style="269" customWidth="1"/>
    <col min="20" max="20" width="1.7109375" style="269" customWidth="1"/>
    <col min="21" max="16384" width="9.140625" style="269"/>
  </cols>
  <sheetData>
    <row r="1" spans="1:20" ht="60" customHeight="1" x14ac:dyDescent="0.2"/>
    <row r="2" spans="1:20" ht="15" customHeight="1" thickBot="1" x14ac:dyDescent="0.25"/>
    <row r="3" spans="1:20" ht="15" customHeight="1" x14ac:dyDescent="0.2">
      <c r="B3" s="283"/>
      <c r="C3" s="270"/>
      <c r="D3" s="270"/>
      <c r="E3" s="270"/>
      <c r="F3" s="270"/>
      <c r="G3" s="270"/>
      <c r="H3" s="270"/>
      <c r="I3" s="270"/>
      <c r="J3" s="270"/>
      <c r="K3" s="270"/>
      <c r="L3" s="270"/>
      <c r="M3" s="270"/>
      <c r="N3" s="270"/>
      <c r="O3" s="270"/>
      <c r="P3" s="270"/>
      <c r="Q3" s="270"/>
      <c r="R3" s="270"/>
      <c r="S3" s="270"/>
      <c r="T3" s="271"/>
    </row>
    <row r="4" spans="1:20" s="536" customFormat="1" ht="15.95" customHeight="1" x14ac:dyDescent="0.25">
      <c r="A4" s="533"/>
      <c r="B4" s="534"/>
      <c r="C4" s="2240"/>
      <c r="D4" s="505" t="s">
        <v>418</v>
      </c>
      <c r="E4" s="2132"/>
      <c r="F4" s="2240"/>
      <c r="G4" s="2240"/>
      <c r="H4" s="2240"/>
      <c r="I4" s="2240"/>
      <c r="J4" s="2240"/>
      <c r="K4" s="2240"/>
      <c r="L4" s="2240"/>
      <c r="M4" s="2240"/>
      <c r="N4" s="2240"/>
      <c r="O4" s="2240"/>
      <c r="P4" s="2240"/>
      <c r="Q4" s="2240"/>
      <c r="R4" s="2240"/>
      <c r="S4" s="2240"/>
      <c r="T4" s="535"/>
    </row>
    <row r="5" spans="1:20" s="536" customFormat="1" ht="15.95" customHeight="1" x14ac:dyDescent="0.25">
      <c r="A5" s="533"/>
      <c r="B5" s="534"/>
      <c r="C5" s="2240"/>
      <c r="D5" s="505" t="str">
        <f>IF(Sort_NumValues=3,dpSort_ValueScenario_1,"N/A")</f>
        <v>N/A</v>
      </c>
      <c r="E5" s="2132"/>
      <c r="F5" s="2240"/>
      <c r="G5" s="2240"/>
      <c r="H5" s="2240"/>
      <c r="I5" s="2240"/>
      <c r="J5" s="2240"/>
      <c r="K5" s="2240"/>
      <c r="L5" s="2240"/>
      <c r="M5" s="2240"/>
      <c r="N5" s="2240"/>
      <c r="O5" s="2240"/>
      <c r="P5" s="2240"/>
      <c r="Q5" s="2240"/>
      <c r="R5" s="2240"/>
      <c r="S5" s="2240"/>
      <c r="T5" s="535"/>
    </row>
    <row r="6" spans="1:20" s="280" customFormat="1" ht="0.95" customHeight="1" x14ac:dyDescent="0.2">
      <c r="A6" s="278">
        <v>1</v>
      </c>
      <c r="B6" s="284"/>
      <c r="C6" s="2262"/>
      <c r="D6" s="2262"/>
      <c r="E6" s="2242">
        <v>1</v>
      </c>
      <c r="F6" s="2242">
        <f>E6+1</f>
        <v>2</v>
      </c>
      <c r="G6" s="2242">
        <f t="shared" ref="G6:R7" si="0">F6+1</f>
        <v>3</v>
      </c>
      <c r="H6" s="2242">
        <f t="shared" si="0"/>
        <v>4</v>
      </c>
      <c r="I6" s="2242">
        <f t="shared" si="0"/>
        <v>5</v>
      </c>
      <c r="J6" s="2242">
        <f t="shared" si="0"/>
        <v>6</v>
      </c>
      <c r="K6" s="2242">
        <f t="shared" si="0"/>
        <v>7</v>
      </c>
      <c r="L6" s="2242">
        <f t="shared" si="0"/>
        <v>8</v>
      </c>
      <c r="M6" s="2242">
        <f t="shared" si="0"/>
        <v>9</v>
      </c>
      <c r="N6" s="2242">
        <f t="shared" si="0"/>
        <v>10</v>
      </c>
      <c r="O6" s="2242">
        <f t="shared" si="0"/>
        <v>11</v>
      </c>
      <c r="P6" s="2242">
        <f t="shared" si="0"/>
        <v>12</v>
      </c>
      <c r="Q6" s="2242">
        <f t="shared" si="0"/>
        <v>13</v>
      </c>
      <c r="R6" s="2242">
        <f t="shared" si="0"/>
        <v>14</v>
      </c>
      <c r="S6" s="2241"/>
      <c r="T6" s="279"/>
    </row>
    <row r="7" spans="1:20" ht="15" customHeight="1" x14ac:dyDescent="0.2">
      <c r="A7" s="2637">
        <v>1</v>
      </c>
      <c r="B7" s="284"/>
      <c r="C7" s="2244"/>
      <c r="E7" s="2244"/>
      <c r="F7" s="2245">
        <v>1</v>
      </c>
      <c r="G7" s="2245">
        <f>F7+1</f>
        <v>2</v>
      </c>
      <c r="H7" s="2245">
        <f t="shared" si="0"/>
        <v>3</v>
      </c>
      <c r="I7" s="2245">
        <f t="shared" si="0"/>
        <v>4</v>
      </c>
      <c r="J7" s="2245">
        <f t="shared" si="0"/>
        <v>5</v>
      </c>
      <c r="K7" s="2245">
        <f t="shared" si="0"/>
        <v>6</v>
      </c>
      <c r="L7" s="2245">
        <f t="shared" si="0"/>
        <v>7</v>
      </c>
      <c r="M7" s="2245">
        <f t="shared" si="0"/>
        <v>8</v>
      </c>
      <c r="N7" s="2245">
        <f t="shared" si="0"/>
        <v>9</v>
      </c>
      <c r="O7" s="2245">
        <f t="shared" si="0"/>
        <v>10</v>
      </c>
      <c r="P7" s="2245">
        <f t="shared" si="0"/>
        <v>11</v>
      </c>
      <c r="Q7" s="2245">
        <f t="shared" si="0"/>
        <v>12</v>
      </c>
      <c r="R7" s="2245">
        <f t="shared" si="0"/>
        <v>13</v>
      </c>
      <c r="S7" s="2244"/>
      <c r="T7" s="272"/>
    </row>
    <row r="8" spans="1:20" ht="15" customHeight="1" x14ac:dyDescent="0.2">
      <c r="A8" s="2637">
        <v>1</v>
      </c>
      <c r="B8" s="284">
        <v>1</v>
      </c>
      <c r="C8" s="2244"/>
      <c r="E8" s="2246" t="str">
        <f t="shared" ref="E8:E39" si="1">IF(ISERROR(INDEX(ARGUS_CashFlow3_Array,$B8,E$6)="TRUE"),"",IF(INDEX(ARGUS_CashFlow3_Array,$B8,E$6)="","",IF(OR($E8="Cash Flow Before Debt Service",$E8="  Potential Base Rent"),TEXT(INDEX(ARGUS_CashFlow3_Array,$B8,E$6),"$#,###"),IF($E8="  Average Occupancy Percentage",TEXT(INDEX(ARGUS_CashFlow3_Array,$B8,E$6),"0.0%"),TEXT(INDEX(ARGUS_CashFlow3_Array,$B8,E$6),"#,###")))))</f>
        <v/>
      </c>
      <c r="F8" s="2247" t="str">
        <f t="shared" ref="F8:N8" si="2">IF(ISERROR(INDEX(ARGUS_CashFlow3_Array,$B8,F$6)="TRUE"),"",IF(INDEX(ARGUS_CashFlow3_Array,$B8,F$6)="","",IF(OR($E8="Cash Flow Before Debt Service",$E8="  Base Rental Revenue"),TEXT(INDEX(ARGUS_CashFlow3_Array,$B8,F$6),"$#,###"),INDEX(ARGUS_CashFlow3_Array,$B8,F$6))))</f>
        <v/>
      </c>
      <c r="G8" s="2247" t="str">
        <f t="shared" si="2"/>
        <v/>
      </c>
      <c r="H8" s="2247" t="str">
        <f t="shared" si="2"/>
        <v/>
      </c>
      <c r="I8" s="2247" t="str">
        <f t="shared" si="2"/>
        <v/>
      </c>
      <c r="J8" s="2247" t="str">
        <f t="shared" si="2"/>
        <v/>
      </c>
      <c r="K8" s="2247" t="str">
        <f t="shared" si="2"/>
        <v/>
      </c>
      <c r="L8" s="2247" t="str">
        <f t="shared" si="2"/>
        <v/>
      </c>
      <c r="M8" s="2247" t="str">
        <f t="shared" si="2"/>
        <v/>
      </c>
      <c r="N8" s="2247" t="str">
        <f t="shared" si="2"/>
        <v/>
      </c>
      <c r="O8" s="2247" t="str">
        <f>IF(ISERROR(INDEX(ARGUS_CashFlow3_Array,$B8,O$6)="TRUE"),"",IF(INDEX(ARGUS_CashFlow3_Array,$B8,O$6)="","",IF(OR($E8="Cash Flow Before Debt Service",$E8="  Base Rental Revenue"),TEXT(INDEX(ARGUS_CashFlow3_Array,$B8,O$6),"$#,###"),INDEX(ARGUS_CashFlow3_Array,$B8,O$6))))</f>
        <v/>
      </c>
      <c r="P8" s="2247" t="str">
        <f>IF(ISERROR(INDEX(ARGUS_CashFlow3_Array,$B8,P$6)="TRUE"),"",IF(INDEX(ARGUS_CashFlow3_Array,$B8,P$6)="","",IF(OR($E8="Cash Flow Before Debt Service",$E8="  Base Rental Revenue"),TEXT(INDEX(ARGUS_CashFlow3_Array,$B8,P$6),"$#,###"),INDEX(ARGUS_CashFlow3_Array,$B8,P$6))))</f>
        <v/>
      </c>
      <c r="Q8" s="2247" t="str">
        <f>IF(ISERROR(INDEX(ARGUS_CashFlow3_Array,$B8,Q$6)="TRUE"),"",IF(INDEX(ARGUS_CashFlow3_Array,$B8,Q$6)="","",IF(OR($E8="Cash Flow Before Debt Service",$E8="  Base Rental Revenue"),TEXT(INDEX(ARGUS_CashFlow3_Array,$B8,Q$6),"$#,###"),INDEX(ARGUS_CashFlow3_Array,$B8,Q$6))))</f>
        <v/>
      </c>
      <c r="R8" s="2247" t="str">
        <f>IF(ISERROR(INDEX(ARGUS_CashFlow3_Array,$B8,R$6)="TRUE"),"",IF(INDEX(ARGUS_CashFlow3_Array,$B8,R$6)="","",IF(OR($E8="Cash Flow Before Debt Service",$E8="  Base Rental Revenue"),TEXT(INDEX(ARGUS_CashFlow3_Array,$B8,R$6),"$#,###"),INDEX(ARGUS_CashFlow3_Array,$B8,R$6))))</f>
        <v/>
      </c>
      <c r="S8" s="2244"/>
      <c r="T8" s="272"/>
    </row>
    <row r="9" spans="1:20" ht="15" customHeight="1" x14ac:dyDescent="0.2">
      <c r="A9" s="2637">
        <f t="shared" ref="A9:A40" si="3">IF(OR(AND(E8="",E9="",E10=""),E8="Cash Flow Available for Distribution",E9="Cash Flow Available for Distribution",E10="Cash Flow Available for Distribution"),0,1)</f>
        <v>0</v>
      </c>
      <c r="B9" s="284">
        <f>B8+1</f>
        <v>2</v>
      </c>
      <c r="C9" s="1215"/>
      <c r="D9" s="1215"/>
      <c r="E9" s="2248" t="str">
        <f t="shared" si="1"/>
        <v/>
      </c>
      <c r="F9" s="2250" t="str">
        <f t="shared" ref="F9:R18" si="4">IF(ISERROR(INDEX(ARGUS_CashFlow3_Array,$B9,F$6)="TRUE"),"",IF(INDEX(ARGUS_CashFlow3_Array,$B9,F$6)="","",IF(OR($E9="Cash Flow Before Debt Service",$E9="  Potential Base Rent"),TEXT(INDEX(ARGUS_CashFlow3_Array,$B9,F$6),"$#,###"),IF($E9="  Average Occupancy Percentage",TEXT(INDEX(ARGUS_CashFlow3_Array,$B9,F$6),"0.0%"),TEXT(INDEX(ARGUS_CashFlow3_Array,$B9,F$6),"#,###")))))</f>
        <v/>
      </c>
      <c r="G9" s="2250" t="str">
        <f t="shared" si="4"/>
        <v/>
      </c>
      <c r="H9" s="2250" t="str">
        <f t="shared" si="4"/>
        <v/>
      </c>
      <c r="I9" s="2250" t="str">
        <f t="shared" si="4"/>
        <v/>
      </c>
      <c r="J9" s="2250" t="str">
        <f t="shared" si="4"/>
        <v/>
      </c>
      <c r="K9" s="2250" t="str">
        <f t="shared" si="4"/>
        <v/>
      </c>
      <c r="L9" s="2250" t="str">
        <f t="shared" si="4"/>
        <v/>
      </c>
      <c r="M9" s="2250" t="str">
        <f t="shared" si="4"/>
        <v/>
      </c>
      <c r="N9" s="2250" t="str">
        <f t="shared" si="4"/>
        <v/>
      </c>
      <c r="O9" s="2250" t="str">
        <f t="shared" si="4"/>
        <v/>
      </c>
      <c r="P9" s="2250" t="str">
        <f t="shared" si="4"/>
        <v/>
      </c>
      <c r="Q9" s="2250" t="str">
        <f t="shared" si="4"/>
        <v/>
      </c>
      <c r="R9" s="2250" t="str">
        <f t="shared" si="4"/>
        <v/>
      </c>
      <c r="S9" s="1215"/>
      <c r="T9" s="272"/>
    </row>
    <row r="10" spans="1:20" ht="15" customHeight="1" x14ac:dyDescent="0.2">
      <c r="A10" s="2637">
        <f t="shared" si="3"/>
        <v>0</v>
      </c>
      <c r="B10" s="284">
        <f>B9+1</f>
        <v>3</v>
      </c>
      <c r="C10" s="1215"/>
      <c r="D10" s="1215"/>
      <c r="E10" s="2248" t="str">
        <f t="shared" si="1"/>
        <v/>
      </c>
      <c r="F10" s="2250" t="str">
        <f t="shared" si="4"/>
        <v/>
      </c>
      <c r="G10" s="2250" t="str">
        <f t="shared" si="4"/>
        <v/>
      </c>
      <c r="H10" s="2250" t="str">
        <f t="shared" si="4"/>
        <v/>
      </c>
      <c r="I10" s="2250" t="str">
        <f t="shared" si="4"/>
        <v/>
      </c>
      <c r="J10" s="2250" t="str">
        <f t="shared" si="4"/>
        <v/>
      </c>
      <c r="K10" s="2250" t="str">
        <f t="shared" si="4"/>
        <v/>
      </c>
      <c r="L10" s="2250" t="str">
        <f t="shared" si="4"/>
        <v/>
      </c>
      <c r="M10" s="2250" t="str">
        <f t="shared" si="4"/>
        <v/>
      </c>
      <c r="N10" s="2250" t="str">
        <f t="shared" si="4"/>
        <v/>
      </c>
      <c r="O10" s="2250" t="str">
        <f t="shared" si="4"/>
        <v/>
      </c>
      <c r="P10" s="2250" t="str">
        <f t="shared" si="4"/>
        <v/>
      </c>
      <c r="Q10" s="2250" t="str">
        <f t="shared" si="4"/>
        <v/>
      </c>
      <c r="R10" s="2250" t="str">
        <f t="shared" si="4"/>
        <v/>
      </c>
      <c r="S10" s="1215"/>
      <c r="T10" s="272"/>
    </row>
    <row r="11" spans="1:20" ht="15" customHeight="1" x14ac:dyDescent="0.2">
      <c r="A11" s="2637">
        <f t="shared" si="3"/>
        <v>0</v>
      </c>
      <c r="B11" s="284">
        <f t="shared" ref="B11:B74" si="5">B10+1</f>
        <v>4</v>
      </c>
      <c r="C11" s="1215"/>
      <c r="D11" s="1215"/>
      <c r="E11" s="2248" t="str">
        <f t="shared" si="1"/>
        <v/>
      </c>
      <c r="F11" s="2250" t="str">
        <f t="shared" si="4"/>
        <v/>
      </c>
      <c r="G11" s="2250" t="str">
        <f t="shared" si="4"/>
        <v/>
      </c>
      <c r="H11" s="2250" t="str">
        <f t="shared" si="4"/>
        <v/>
      </c>
      <c r="I11" s="2250" t="str">
        <f t="shared" si="4"/>
        <v/>
      </c>
      <c r="J11" s="2250" t="str">
        <f t="shared" si="4"/>
        <v/>
      </c>
      <c r="K11" s="2250" t="str">
        <f t="shared" si="4"/>
        <v/>
      </c>
      <c r="L11" s="2250" t="str">
        <f t="shared" si="4"/>
        <v/>
      </c>
      <c r="M11" s="2250" t="str">
        <f t="shared" si="4"/>
        <v/>
      </c>
      <c r="N11" s="2250" t="str">
        <f t="shared" si="4"/>
        <v/>
      </c>
      <c r="O11" s="2250" t="str">
        <f t="shared" si="4"/>
        <v/>
      </c>
      <c r="P11" s="2250" t="str">
        <f t="shared" si="4"/>
        <v/>
      </c>
      <c r="Q11" s="2250" t="str">
        <f t="shared" si="4"/>
        <v/>
      </c>
      <c r="R11" s="2250" t="str">
        <f t="shared" si="4"/>
        <v/>
      </c>
      <c r="S11" s="1215"/>
      <c r="T11" s="272"/>
    </row>
    <row r="12" spans="1:20" ht="15" customHeight="1" x14ac:dyDescent="0.2">
      <c r="A12" s="2637">
        <f t="shared" si="3"/>
        <v>0</v>
      </c>
      <c r="B12" s="284">
        <f t="shared" si="5"/>
        <v>5</v>
      </c>
      <c r="C12" s="1215"/>
      <c r="D12" s="1215"/>
      <c r="E12" s="2248" t="str">
        <f t="shared" si="1"/>
        <v/>
      </c>
      <c r="F12" s="2250" t="str">
        <f t="shared" si="4"/>
        <v/>
      </c>
      <c r="G12" s="2250" t="str">
        <f t="shared" si="4"/>
        <v/>
      </c>
      <c r="H12" s="2250" t="str">
        <f t="shared" si="4"/>
        <v/>
      </c>
      <c r="I12" s="2250" t="str">
        <f t="shared" si="4"/>
        <v/>
      </c>
      <c r="J12" s="2250" t="str">
        <f t="shared" si="4"/>
        <v/>
      </c>
      <c r="K12" s="2250" t="str">
        <f t="shared" si="4"/>
        <v/>
      </c>
      <c r="L12" s="2250" t="str">
        <f t="shared" si="4"/>
        <v/>
      </c>
      <c r="M12" s="2250" t="str">
        <f t="shared" si="4"/>
        <v/>
      </c>
      <c r="N12" s="2250" t="str">
        <f t="shared" si="4"/>
        <v/>
      </c>
      <c r="O12" s="2250" t="str">
        <f t="shared" si="4"/>
        <v/>
      </c>
      <c r="P12" s="2250" t="str">
        <f t="shared" si="4"/>
        <v/>
      </c>
      <c r="Q12" s="2250" t="str">
        <f t="shared" si="4"/>
        <v/>
      </c>
      <c r="R12" s="2250" t="str">
        <f t="shared" si="4"/>
        <v/>
      </c>
      <c r="S12" s="1215"/>
      <c r="T12" s="272"/>
    </row>
    <row r="13" spans="1:20" ht="15" customHeight="1" x14ac:dyDescent="0.2">
      <c r="A13" s="2637">
        <f t="shared" si="3"/>
        <v>0</v>
      </c>
      <c r="B13" s="284">
        <f t="shared" si="5"/>
        <v>6</v>
      </c>
      <c r="C13" s="1215"/>
      <c r="D13" s="1215"/>
      <c r="E13" s="2248" t="str">
        <f t="shared" si="1"/>
        <v/>
      </c>
      <c r="F13" s="2250" t="str">
        <f t="shared" si="4"/>
        <v/>
      </c>
      <c r="G13" s="2250" t="str">
        <f t="shared" si="4"/>
        <v/>
      </c>
      <c r="H13" s="2250" t="str">
        <f t="shared" si="4"/>
        <v/>
      </c>
      <c r="I13" s="2250" t="str">
        <f t="shared" si="4"/>
        <v/>
      </c>
      <c r="J13" s="2250" t="str">
        <f t="shared" si="4"/>
        <v/>
      </c>
      <c r="K13" s="2250" t="str">
        <f t="shared" si="4"/>
        <v/>
      </c>
      <c r="L13" s="2250" t="str">
        <f t="shared" si="4"/>
        <v/>
      </c>
      <c r="M13" s="2250" t="str">
        <f t="shared" si="4"/>
        <v/>
      </c>
      <c r="N13" s="2250" t="str">
        <f t="shared" si="4"/>
        <v/>
      </c>
      <c r="O13" s="2250" t="str">
        <f t="shared" si="4"/>
        <v/>
      </c>
      <c r="P13" s="2250" t="str">
        <f t="shared" si="4"/>
        <v/>
      </c>
      <c r="Q13" s="2250" t="str">
        <f t="shared" si="4"/>
        <v/>
      </c>
      <c r="R13" s="2250" t="str">
        <f t="shared" si="4"/>
        <v/>
      </c>
      <c r="S13" s="1215"/>
      <c r="T13" s="272"/>
    </row>
    <row r="14" spans="1:20" ht="15" customHeight="1" x14ac:dyDescent="0.2">
      <c r="A14" s="2637">
        <f t="shared" si="3"/>
        <v>0</v>
      </c>
      <c r="B14" s="284">
        <f t="shared" si="5"/>
        <v>7</v>
      </c>
      <c r="C14" s="1215"/>
      <c r="D14" s="1215"/>
      <c r="E14" s="2248" t="str">
        <f t="shared" si="1"/>
        <v/>
      </c>
      <c r="F14" s="2250" t="str">
        <f t="shared" si="4"/>
        <v/>
      </c>
      <c r="G14" s="2250" t="str">
        <f t="shared" si="4"/>
        <v/>
      </c>
      <c r="H14" s="2250" t="str">
        <f t="shared" si="4"/>
        <v/>
      </c>
      <c r="I14" s="2250" t="str">
        <f t="shared" si="4"/>
        <v/>
      </c>
      <c r="J14" s="2250" t="str">
        <f t="shared" si="4"/>
        <v/>
      </c>
      <c r="K14" s="2250" t="str">
        <f t="shared" si="4"/>
        <v/>
      </c>
      <c r="L14" s="2250" t="str">
        <f t="shared" si="4"/>
        <v/>
      </c>
      <c r="M14" s="2250" t="str">
        <f t="shared" si="4"/>
        <v/>
      </c>
      <c r="N14" s="2250" t="str">
        <f t="shared" si="4"/>
        <v/>
      </c>
      <c r="O14" s="2250" t="str">
        <f t="shared" si="4"/>
        <v/>
      </c>
      <c r="P14" s="2250" t="str">
        <f t="shared" si="4"/>
        <v/>
      </c>
      <c r="Q14" s="2250" t="str">
        <f t="shared" si="4"/>
        <v/>
      </c>
      <c r="R14" s="2250" t="str">
        <f t="shared" si="4"/>
        <v/>
      </c>
      <c r="S14" s="1215"/>
      <c r="T14" s="272"/>
    </row>
    <row r="15" spans="1:20" ht="15" customHeight="1" x14ac:dyDescent="0.2">
      <c r="A15" s="2637">
        <f t="shared" si="3"/>
        <v>0</v>
      </c>
      <c r="B15" s="284">
        <f t="shared" si="5"/>
        <v>8</v>
      </c>
      <c r="C15" s="1215"/>
      <c r="D15" s="1215"/>
      <c r="E15" s="2248" t="str">
        <f t="shared" si="1"/>
        <v/>
      </c>
      <c r="F15" s="2250" t="str">
        <f t="shared" si="4"/>
        <v/>
      </c>
      <c r="G15" s="2250" t="str">
        <f t="shared" si="4"/>
        <v/>
      </c>
      <c r="H15" s="2250" t="str">
        <f t="shared" si="4"/>
        <v/>
      </c>
      <c r="I15" s="2250" t="str">
        <f t="shared" si="4"/>
        <v/>
      </c>
      <c r="J15" s="2250" t="str">
        <f t="shared" si="4"/>
        <v/>
      </c>
      <c r="K15" s="2250" t="str">
        <f t="shared" si="4"/>
        <v/>
      </c>
      <c r="L15" s="2250" t="str">
        <f t="shared" si="4"/>
        <v/>
      </c>
      <c r="M15" s="2250" t="str">
        <f t="shared" si="4"/>
        <v/>
      </c>
      <c r="N15" s="2250" t="str">
        <f t="shared" si="4"/>
        <v/>
      </c>
      <c r="O15" s="2250" t="str">
        <f t="shared" si="4"/>
        <v/>
      </c>
      <c r="P15" s="2250" t="str">
        <f t="shared" si="4"/>
        <v/>
      </c>
      <c r="Q15" s="2250" t="str">
        <f t="shared" si="4"/>
        <v/>
      </c>
      <c r="R15" s="2250" t="str">
        <f t="shared" si="4"/>
        <v/>
      </c>
      <c r="S15" s="1215"/>
      <c r="T15" s="272"/>
    </row>
    <row r="16" spans="1:20" ht="15" customHeight="1" x14ac:dyDescent="0.2">
      <c r="A16" s="2637">
        <f t="shared" si="3"/>
        <v>0</v>
      </c>
      <c r="B16" s="284">
        <f t="shared" si="5"/>
        <v>9</v>
      </c>
      <c r="C16" s="1215"/>
      <c r="D16" s="1215"/>
      <c r="E16" s="2248" t="str">
        <f t="shared" si="1"/>
        <v/>
      </c>
      <c r="F16" s="2250" t="str">
        <f t="shared" si="4"/>
        <v/>
      </c>
      <c r="G16" s="2250" t="str">
        <f t="shared" si="4"/>
        <v/>
      </c>
      <c r="H16" s="2250" t="str">
        <f t="shared" si="4"/>
        <v/>
      </c>
      <c r="I16" s="2250" t="str">
        <f t="shared" si="4"/>
        <v/>
      </c>
      <c r="J16" s="2250" t="str">
        <f t="shared" si="4"/>
        <v/>
      </c>
      <c r="K16" s="2250" t="str">
        <f t="shared" si="4"/>
        <v/>
      </c>
      <c r="L16" s="2250" t="str">
        <f t="shared" si="4"/>
        <v/>
      </c>
      <c r="M16" s="2250" t="str">
        <f t="shared" si="4"/>
        <v/>
      </c>
      <c r="N16" s="2250" t="str">
        <f t="shared" si="4"/>
        <v/>
      </c>
      <c r="O16" s="2250" t="str">
        <f t="shared" si="4"/>
        <v/>
      </c>
      <c r="P16" s="2250" t="str">
        <f t="shared" si="4"/>
        <v/>
      </c>
      <c r="Q16" s="2250" t="str">
        <f t="shared" si="4"/>
        <v/>
      </c>
      <c r="R16" s="2250" t="str">
        <f t="shared" si="4"/>
        <v/>
      </c>
      <c r="S16" s="1215"/>
      <c r="T16" s="272"/>
    </row>
    <row r="17" spans="1:20" ht="15" customHeight="1" x14ac:dyDescent="0.2">
      <c r="A17" s="2637">
        <f t="shared" si="3"/>
        <v>0</v>
      </c>
      <c r="B17" s="284">
        <f t="shared" si="5"/>
        <v>10</v>
      </c>
      <c r="C17" s="1215"/>
      <c r="D17" s="1215"/>
      <c r="E17" s="2248" t="str">
        <f t="shared" si="1"/>
        <v/>
      </c>
      <c r="F17" s="2250" t="str">
        <f t="shared" si="4"/>
        <v/>
      </c>
      <c r="G17" s="2250" t="str">
        <f t="shared" si="4"/>
        <v/>
      </c>
      <c r="H17" s="2250" t="str">
        <f t="shared" si="4"/>
        <v/>
      </c>
      <c r="I17" s="2250" t="str">
        <f t="shared" si="4"/>
        <v/>
      </c>
      <c r="J17" s="2250" t="str">
        <f t="shared" si="4"/>
        <v/>
      </c>
      <c r="K17" s="2250" t="str">
        <f t="shared" si="4"/>
        <v/>
      </c>
      <c r="L17" s="2250" t="str">
        <f t="shared" si="4"/>
        <v/>
      </c>
      <c r="M17" s="2250" t="str">
        <f t="shared" si="4"/>
        <v/>
      </c>
      <c r="N17" s="2250" t="str">
        <f t="shared" si="4"/>
        <v/>
      </c>
      <c r="O17" s="2250" t="str">
        <f t="shared" si="4"/>
        <v/>
      </c>
      <c r="P17" s="2250" t="str">
        <f t="shared" si="4"/>
        <v/>
      </c>
      <c r="Q17" s="2250" t="str">
        <f t="shared" si="4"/>
        <v/>
      </c>
      <c r="R17" s="2250" t="str">
        <f t="shared" si="4"/>
        <v/>
      </c>
      <c r="S17" s="1215"/>
      <c r="T17" s="272"/>
    </row>
    <row r="18" spans="1:20" ht="15" customHeight="1" x14ac:dyDescent="0.2">
      <c r="A18" s="2637">
        <f t="shared" si="3"/>
        <v>0</v>
      </c>
      <c r="B18" s="284">
        <f t="shared" si="5"/>
        <v>11</v>
      </c>
      <c r="C18" s="1215"/>
      <c r="D18" s="1215"/>
      <c r="E18" s="2248" t="str">
        <f t="shared" si="1"/>
        <v/>
      </c>
      <c r="F18" s="2250" t="str">
        <f t="shared" si="4"/>
        <v/>
      </c>
      <c r="G18" s="2250" t="str">
        <f t="shared" si="4"/>
        <v/>
      </c>
      <c r="H18" s="2250" t="str">
        <f t="shared" si="4"/>
        <v/>
      </c>
      <c r="I18" s="2250" t="str">
        <f t="shared" si="4"/>
        <v/>
      </c>
      <c r="J18" s="2250" t="str">
        <f t="shared" si="4"/>
        <v/>
      </c>
      <c r="K18" s="2250" t="str">
        <f t="shared" si="4"/>
        <v/>
      </c>
      <c r="L18" s="2250" t="str">
        <f t="shared" si="4"/>
        <v/>
      </c>
      <c r="M18" s="2250" t="str">
        <f t="shared" si="4"/>
        <v/>
      </c>
      <c r="N18" s="2250" t="str">
        <f t="shared" si="4"/>
        <v/>
      </c>
      <c r="O18" s="2250" t="str">
        <f t="shared" si="4"/>
        <v/>
      </c>
      <c r="P18" s="2250" t="str">
        <f t="shared" si="4"/>
        <v/>
      </c>
      <c r="Q18" s="2250" t="str">
        <f t="shared" si="4"/>
        <v/>
      </c>
      <c r="R18" s="2250" t="str">
        <f t="shared" si="4"/>
        <v/>
      </c>
      <c r="S18" s="1215"/>
      <c r="T18" s="272"/>
    </row>
    <row r="19" spans="1:20" ht="15" customHeight="1" x14ac:dyDescent="0.2">
      <c r="A19" s="2637">
        <f t="shared" si="3"/>
        <v>0</v>
      </c>
      <c r="B19" s="284">
        <f t="shared" si="5"/>
        <v>12</v>
      </c>
      <c r="C19" s="1215"/>
      <c r="D19" s="1215"/>
      <c r="E19" s="2248" t="str">
        <f t="shared" si="1"/>
        <v/>
      </c>
      <c r="F19" s="2250" t="str">
        <f t="shared" ref="F19:R28" si="6">IF(ISERROR(INDEX(ARGUS_CashFlow3_Array,$B19,F$6)="TRUE"),"",IF(INDEX(ARGUS_CashFlow3_Array,$B19,F$6)="","",IF(OR($E19="Cash Flow Before Debt Service",$E19="  Potential Base Rent"),TEXT(INDEX(ARGUS_CashFlow3_Array,$B19,F$6),"$#,###"),IF($E19="  Average Occupancy Percentage",TEXT(INDEX(ARGUS_CashFlow3_Array,$B19,F$6),"0.0%"),TEXT(INDEX(ARGUS_CashFlow3_Array,$B19,F$6),"#,###")))))</f>
        <v/>
      </c>
      <c r="G19" s="2250" t="str">
        <f t="shared" si="6"/>
        <v/>
      </c>
      <c r="H19" s="2250" t="str">
        <f t="shared" si="6"/>
        <v/>
      </c>
      <c r="I19" s="2250" t="str">
        <f t="shared" si="6"/>
        <v/>
      </c>
      <c r="J19" s="2250" t="str">
        <f t="shared" si="6"/>
        <v/>
      </c>
      <c r="K19" s="2250" t="str">
        <f t="shared" si="6"/>
        <v/>
      </c>
      <c r="L19" s="2250" t="str">
        <f t="shared" si="6"/>
        <v/>
      </c>
      <c r="M19" s="2250" t="str">
        <f t="shared" si="6"/>
        <v/>
      </c>
      <c r="N19" s="2250" t="str">
        <f t="shared" si="6"/>
        <v/>
      </c>
      <c r="O19" s="2250" t="str">
        <f t="shared" si="6"/>
        <v/>
      </c>
      <c r="P19" s="2250" t="str">
        <f t="shared" si="6"/>
        <v/>
      </c>
      <c r="Q19" s="2250" t="str">
        <f t="shared" si="6"/>
        <v/>
      </c>
      <c r="R19" s="2250" t="str">
        <f t="shared" si="6"/>
        <v/>
      </c>
      <c r="S19" s="1215"/>
      <c r="T19" s="272"/>
    </row>
    <row r="20" spans="1:20" ht="15" customHeight="1" x14ac:dyDescent="0.2">
      <c r="A20" s="2637">
        <f t="shared" si="3"/>
        <v>0</v>
      </c>
      <c r="B20" s="284">
        <f t="shared" si="5"/>
        <v>13</v>
      </c>
      <c r="C20" s="1215"/>
      <c r="D20" s="1215"/>
      <c r="E20" s="2248" t="str">
        <f t="shared" si="1"/>
        <v/>
      </c>
      <c r="F20" s="2250" t="str">
        <f t="shared" si="6"/>
        <v/>
      </c>
      <c r="G20" s="2250" t="str">
        <f t="shared" si="6"/>
        <v/>
      </c>
      <c r="H20" s="2250" t="str">
        <f t="shared" si="6"/>
        <v/>
      </c>
      <c r="I20" s="2250" t="str">
        <f t="shared" si="6"/>
        <v/>
      </c>
      <c r="J20" s="2250" t="str">
        <f t="shared" si="6"/>
        <v/>
      </c>
      <c r="K20" s="2250" t="str">
        <f t="shared" si="6"/>
        <v/>
      </c>
      <c r="L20" s="2250" t="str">
        <f t="shared" si="6"/>
        <v/>
      </c>
      <c r="M20" s="2250" t="str">
        <f t="shared" si="6"/>
        <v/>
      </c>
      <c r="N20" s="2250" t="str">
        <f t="shared" si="6"/>
        <v/>
      </c>
      <c r="O20" s="2250" t="str">
        <f t="shared" si="6"/>
        <v/>
      </c>
      <c r="P20" s="2250" t="str">
        <f t="shared" si="6"/>
        <v/>
      </c>
      <c r="Q20" s="2250" t="str">
        <f t="shared" si="6"/>
        <v/>
      </c>
      <c r="R20" s="2250" t="str">
        <f t="shared" si="6"/>
        <v/>
      </c>
      <c r="S20" s="1215"/>
      <c r="T20" s="272"/>
    </row>
    <row r="21" spans="1:20" ht="15" customHeight="1" x14ac:dyDescent="0.2">
      <c r="A21" s="2637">
        <f t="shared" si="3"/>
        <v>0</v>
      </c>
      <c r="B21" s="284">
        <f t="shared" si="5"/>
        <v>14</v>
      </c>
      <c r="C21" s="1215"/>
      <c r="D21" s="1215"/>
      <c r="E21" s="2248" t="str">
        <f t="shared" si="1"/>
        <v/>
      </c>
      <c r="F21" s="2250" t="str">
        <f t="shared" si="6"/>
        <v/>
      </c>
      <c r="G21" s="2250" t="str">
        <f t="shared" si="6"/>
        <v/>
      </c>
      <c r="H21" s="2250" t="str">
        <f t="shared" si="6"/>
        <v/>
      </c>
      <c r="I21" s="2250" t="str">
        <f t="shared" si="6"/>
        <v/>
      </c>
      <c r="J21" s="2250" t="str">
        <f t="shared" si="6"/>
        <v/>
      </c>
      <c r="K21" s="2250" t="str">
        <f t="shared" si="6"/>
        <v/>
      </c>
      <c r="L21" s="2250" t="str">
        <f t="shared" si="6"/>
        <v/>
      </c>
      <c r="M21" s="2250" t="str">
        <f t="shared" si="6"/>
        <v/>
      </c>
      <c r="N21" s="2250" t="str">
        <f t="shared" si="6"/>
        <v/>
      </c>
      <c r="O21" s="2250" t="str">
        <f t="shared" si="6"/>
        <v/>
      </c>
      <c r="P21" s="2250" t="str">
        <f t="shared" si="6"/>
        <v/>
      </c>
      <c r="Q21" s="2250" t="str">
        <f t="shared" si="6"/>
        <v/>
      </c>
      <c r="R21" s="2250" t="str">
        <f t="shared" si="6"/>
        <v/>
      </c>
      <c r="S21" s="1215"/>
      <c r="T21" s="272"/>
    </row>
    <row r="22" spans="1:20" ht="15" customHeight="1" x14ac:dyDescent="0.2">
      <c r="A22" s="2637">
        <f t="shared" si="3"/>
        <v>0</v>
      </c>
      <c r="B22" s="284">
        <f t="shared" si="5"/>
        <v>15</v>
      </c>
      <c r="C22" s="1215"/>
      <c r="D22" s="1215"/>
      <c r="E22" s="2248" t="str">
        <f t="shared" si="1"/>
        <v/>
      </c>
      <c r="F22" s="2250" t="str">
        <f t="shared" si="6"/>
        <v/>
      </c>
      <c r="G22" s="2250" t="str">
        <f t="shared" si="6"/>
        <v/>
      </c>
      <c r="H22" s="2250" t="str">
        <f t="shared" si="6"/>
        <v/>
      </c>
      <c r="I22" s="2250" t="str">
        <f t="shared" si="6"/>
        <v/>
      </c>
      <c r="J22" s="2250" t="str">
        <f t="shared" si="6"/>
        <v/>
      </c>
      <c r="K22" s="2250" t="str">
        <f t="shared" si="6"/>
        <v/>
      </c>
      <c r="L22" s="2250" t="str">
        <f t="shared" si="6"/>
        <v/>
      </c>
      <c r="M22" s="2250" t="str">
        <f t="shared" si="6"/>
        <v/>
      </c>
      <c r="N22" s="2250" t="str">
        <f t="shared" si="6"/>
        <v/>
      </c>
      <c r="O22" s="2250" t="str">
        <f t="shared" si="6"/>
        <v/>
      </c>
      <c r="P22" s="2250" t="str">
        <f t="shared" si="6"/>
        <v/>
      </c>
      <c r="Q22" s="2250" t="str">
        <f t="shared" si="6"/>
        <v/>
      </c>
      <c r="R22" s="2250" t="str">
        <f t="shared" si="6"/>
        <v/>
      </c>
      <c r="S22" s="1215"/>
      <c r="T22" s="272"/>
    </row>
    <row r="23" spans="1:20" ht="15" customHeight="1" x14ac:dyDescent="0.2">
      <c r="A23" s="2637">
        <f t="shared" si="3"/>
        <v>0</v>
      </c>
      <c r="B23" s="284">
        <f t="shared" si="5"/>
        <v>16</v>
      </c>
      <c r="C23" s="1215"/>
      <c r="D23" s="1215"/>
      <c r="E23" s="2248" t="str">
        <f t="shared" si="1"/>
        <v/>
      </c>
      <c r="F23" s="2250" t="str">
        <f t="shared" si="6"/>
        <v/>
      </c>
      <c r="G23" s="2250" t="str">
        <f t="shared" si="6"/>
        <v/>
      </c>
      <c r="H23" s="2250" t="str">
        <f t="shared" si="6"/>
        <v/>
      </c>
      <c r="I23" s="2250" t="str">
        <f t="shared" si="6"/>
        <v/>
      </c>
      <c r="J23" s="2250" t="str">
        <f t="shared" si="6"/>
        <v/>
      </c>
      <c r="K23" s="2250" t="str">
        <f t="shared" si="6"/>
        <v/>
      </c>
      <c r="L23" s="2250" t="str">
        <f t="shared" si="6"/>
        <v/>
      </c>
      <c r="M23" s="2250" t="str">
        <f t="shared" si="6"/>
        <v/>
      </c>
      <c r="N23" s="2250" t="str">
        <f t="shared" si="6"/>
        <v/>
      </c>
      <c r="O23" s="2250" t="str">
        <f t="shared" si="6"/>
        <v/>
      </c>
      <c r="P23" s="2250" t="str">
        <f t="shared" si="6"/>
        <v/>
      </c>
      <c r="Q23" s="2250" t="str">
        <f t="shared" si="6"/>
        <v/>
      </c>
      <c r="R23" s="2250" t="str">
        <f t="shared" si="6"/>
        <v/>
      </c>
      <c r="S23" s="1215"/>
      <c r="T23" s="272"/>
    </row>
    <row r="24" spans="1:20" ht="15" customHeight="1" x14ac:dyDescent="0.2">
      <c r="A24" s="2637">
        <f t="shared" si="3"/>
        <v>0</v>
      </c>
      <c r="B24" s="284">
        <f t="shared" si="5"/>
        <v>17</v>
      </c>
      <c r="C24" s="1215"/>
      <c r="D24" s="1215"/>
      <c r="E24" s="2248" t="str">
        <f t="shared" si="1"/>
        <v/>
      </c>
      <c r="F24" s="2250" t="str">
        <f t="shared" si="6"/>
        <v/>
      </c>
      <c r="G24" s="2250" t="str">
        <f t="shared" si="6"/>
        <v/>
      </c>
      <c r="H24" s="2250" t="str">
        <f t="shared" si="6"/>
        <v/>
      </c>
      <c r="I24" s="2250" t="str">
        <f t="shared" si="6"/>
        <v/>
      </c>
      <c r="J24" s="2250" t="str">
        <f t="shared" si="6"/>
        <v/>
      </c>
      <c r="K24" s="2250" t="str">
        <f t="shared" si="6"/>
        <v/>
      </c>
      <c r="L24" s="2250" t="str">
        <f t="shared" si="6"/>
        <v/>
      </c>
      <c r="M24" s="2250" t="str">
        <f t="shared" si="6"/>
        <v/>
      </c>
      <c r="N24" s="2250" t="str">
        <f t="shared" si="6"/>
        <v/>
      </c>
      <c r="O24" s="2250" t="str">
        <f t="shared" si="6"/>
        <v/>
      </c>
      <c r="P24" s="2250" t="str">
        <f t="shared" si="6"/>
        <v/>
      </c>
      <c r="Q24" s="2250" t="str">
        <f t="shared" si="6"/>
        <v/>
      </c>
      <c r="R24" s="2250" t="str">
        <f t="shared" si="6"/>
        <v/>
      </c>
      <c r="S24" s="1215"/>
      <c r="T24" s="272"/>
    </row>
    <row r="25" spans="1:20" ht="15" customHeight="1" x14ac:dyDescent="0.2">
      <c r="A25" s="2637">
        <f t="shared" si="3"/>
        <v>0</v>
      </c>
      <c r="B25" s="284">
        <f t="shared" si="5"/>
        <v>18</v>
      </c>
      <c r="C25" s="1215"/>
      <c r="D25" s="1215"/>
      <c r="E25" s="2248" t="str">
        <f t="shared" si="1"/>
        <v/>
      </c>
      <c r="F25" s="2250" t="str">
        <f t="shared" si="6"/>
        <v/>
      </c>
      <c r="G25" s="2250" t="str">
        <f t="shared" si="6"/>
        <v/>
      </c>
      <c r="H25" s="2250" t="str">
        <f t="shared" si="6"/>
        <v/>
      </c>
      <c r="I25" s="2250" t="str">
        <f t="shared" si="6"/>
        <v/>
      </c>
      <c r="J25" s="2250" t="str">
        <f t="shared" si="6"/>
        <v/>
      </c>
      <c r="K25" s="2250" t="str">
        <f t="shared" si="6"/>
        <v/>
      </c>
      <c r="L25" s="2250" t="str">
        <f t="shared" si="6"/>
        <v/>
      </c>
      <c r="M25" s="2250" t="str">
        <f t="shared" si="6"/>
        <v/>
      </c>
      <c r="N25" s="2250" t="str">
        <f t="shared" si="6"/>
        <v/>
      </c>
      <c r="O25" s="2250" t="str">
        <f t="shared" si="6"/>
        <v/>
      </c>
      <c r="P25" s="2250" t="str">
        <f t="shared" si="6"/>
        <v/>
      </c>
      <c r="Q25" s="2250" t="str">
        <f t="shared" si="6"/>
        <v/>
      </c>
      <c r="R25" s="2250" t="str">
        <f t="shared" si="6"/>
        <v/>
      </c>
      <c r="S25" s="1215"/>
      <c r="T25" s="272"/>
    </row>
    <row r="26" spans="1:20" ht="15" customHeight="1" x14ac:dyDescent="0.2">
      <c r="A26" s="2637">
        <f t="shared" si="3"/>
        <v>0</v>
      </c>
      <c r="B26" s="284">
        <f t="shared" si="5"/>
        <v>19</v>
      </c>
      <c r="C26" s="1215"/>
      <c r="D26" s="1215"/>
      <c r="E26" s="2248" t="str">
        <f t="shared" si="1"/>
        <v/>
      </c>
      <c r="F26" s="2250" t="str">
        <f t="shared" si="6"/>
        <v/>
      </c>
      <c r="G26" s="2250" t="str">
        <f t="shared" si="6"/>
        <v/>
      </c>
      <c r="H26" s="2250" t="str">
        <f t="shared" si="6"/>
        <v/>
      </c>
      <c r="I26" s="2250" t="str">
        <f t="shared" si="6"/>
        <v/>
      </c>
      <c r="J26" s="2250" t="str">
        <f t="shared" si="6"/>
        <v/>
      </c>
      <c r="K26" s="2250" t="str">
        <f t="shared" si="6"/>
        <v/>
      </c>
      <c r="L26" s="2250" t="str">
        <f t="shared" si="6"/>
        <v/>
      </c>
      <c r="M26" s="2250" t="str">
        <f t="shared" si="6"/>
        <v/>
      </c>
      <c r="N26" s="2250" t="str">
        <f t="shared" si="6"/>
        <v/>
      </c>
      <c r="O26" s="2250" t="str">
        <f t="shared" si="6"/>
        <v/>
      </c>
      <c r="P26" s="2250" t="str">
        <f t="shared" si="6"/>
        <v/>
      </c>
      <c r="Q26" s="2250" t="str">
        <f t="shared" si="6"/>
        <v/>
      </c>
      <c r="R26" s="2250" t="str">
        <f t="shared" si="6"/>
        <v/>
      </c>
      <c r="S26" s="1215"/>
      <c r="T26" s="272"/>
    </row>
    <row r="27" spans="1:20" ht="15" customHeight="1" x14ac:dyDescent="0.2">
      <c r="A27" s="2637">
        <f t="shared" si="3"/>
        <v>0</v>
      </c>
      <c r="B27" s="284">
        <f t="shared" si="5"/>
        <v>20</v>
      </c>
      <c r="C27" s="1215"/>
      <c r="D27" s="1215"/>
      <c r="E27" s="2248" t="str">
        <f t="shared" si="1"/>
        <v/>
      </c>
      <c r="F27" s="2250" t="str">
        <f t="shared" si="6"/>
        <v/>
      </c>
      <c r="G27" s="2250" t="str">
        <f t="shared" si="6"/>
        <v/>
      </c>
      <c r="H27" s="2250" t="str">
        <f t="shared" si="6"/>
        <v/>
      </c>
      <c r="I27" s="2250" t="str">
        <f t="shared" si="6"/>
        <v/>
      </c>
      <c r="J27" s="2250" t="str">
        <f t="shared" si="6"/>
        <v/>
      </c>
      <c r="K27" s="2250" t="str">
        <f t="shared" si="6"/>
        <v/>
      </c>
      <c r="L27" s="2250" t="str">
        <f t="shared" si="6"/>
        <v/>
      </c>
      <c r="M27" s="2250" t="str">
        <f t="shared" si="6"/>
        <v/>
      </c>
      <c r="N27" s="2250" t="str">
        <f t="shared" si="6"/>
        <v/>
      </c>
      <c r="O27" s="2250" t="str">
        <f t="shared" si="6"/>
        <v/>
      </c>
      <c r="P27" s="2250" t="str">
        <f t="shared" si="6"/>
        <v/>
      </c>
      <c r="Q27" s="2250" t="str">
        <f t="shared" si="6"/>
        <v/>
      </c>
      <c r="R27" s="2250" t="str">
        <f t="shared" si="6"/>
        <v/>
      </c>
      <c r="S27" s="1215"/>
      <c r="T27" s="272"/>
    </row>
    <row r="28" spans="1:20" ht="15" customHeight="1" x14ac:dyDescent="0.2">
      <c r="A28" s="2637">
        <f t="shared" si="3"/>
        <v>0</v>
      </c>
      <c r="B28" s="284">
        <f t="shared" si="5"/>
        <v>21</v>
      </c>
      <c r="C28" s="1215"/>
      <c r="D28" s="1215"/>
      <c r="E28" s="2248" t="str">
        <f t="shared" si="1"/>
        <v/>
      </c>
      <c r="F28" s="2250" t="str">
        <f t="shared" si="6"/>
        <v/>
      </c>
      <c r="G28" s="2250" t="str">
        <f t="shared" si="6"/>
        <v/>
      </c>
      <c r="H28" s="2250" t="str">
        <f t="shared" si="6"/>
        <v/>
      </c>
      <c r="I28" s="2250" t="str">
        <f t="shared" si="6"/>
        <v/>
      </c>
      <c r="J28" s="2250" t="str">
        <f t="shared" si="6"/>
        <v/>
      </c>
      <c r="K28" s="2250" t="str">
        <f t="shared" si="6"/>
        <v/>
      </c>
      <c r="L28" s="2250" t="str">
        <f t="shared" si="6"/>
        <v/>
      </c>
      <c r="M28" s="2250" t="str">
        <f t="shared" si="6"/>
        <v/>
      </c>
      <c r="N28" s="2250" t="str">
        <f t="shared" si="6"/>
        <v/>
      </c>
      <c r="O28" s="2250" t="str">
        <f t="shared" si="6"/>
        <v/>
      </c>
      <c r="P28" s="2250" t="str">
        <f t="shared" si="6"/>
        <v/>
      </c>
      <c r="Q28" s="2250" t="str">
        <f t="shared" si="6"/>
        <v/>
      </c>
      <c r="R28" s="2250" t="str">
        <f t="shared" si="6"/>
        <v/>
      </c>
      <c r="S28" s="1215"/>
      <c r="T28" s="272"/>
    </row>
    <row r="29" spans="1:20" ht="15" customHeight="1" x14ac:dyDescent="0.2">
      <c r="A29" s="2637">
        <f t="shared" si="3"/>
        <v>0</v>
      </c>
      <c r="B29" s="284">
        <f t="shared" si="5"/>
        <v>22</v>
      </c>
      <c r="C29" s="1215"/>
      <c r="D29" s="1215"/>
      <c r="E29" s="2248" t="str">
        <f t="shared" si="1"/>
        <v/>
      </c>
      <c r="F29" s="2250" t="str">
        <f t="shared" ref="F29:R38" si="7">IF(ISERROR(INDEX(ARGUS_CashFlow3_Array,$B29,F$6)="TRUE"),"",IF(INDEX(ARGUS_CashFlow3_Array,$B29,F$6)="","",IF(OR($E29="Cash Flow Before Debt Service",$E29="  Potential Base Rent"),TEXT(INDEX(ARGUS_CashFlow3_Array,$B29,F$6),"$#,###"),IF($E29="  Average Occupancy Percentage",TEXT(INDEX(ARGUS_CashFlow3_Array,$B29,F$6),"0.0%"),TEXT(INDEX(ARGUS_CashFlow3_Array,$B29,F$6),"#,###")))))</f>
        <v/>
      </c>
      <c r="G29" s="2250" t="str">
        <f t="shared" si="7"/>
        <v/>
      </c>
      <c r="H29" s="2250" t="str">
        <f t="shared" si="7"/>
        <v/>
      </c>
      <c r="I29" s="2250" t="str">
        <f t="shared" si="7"/>
        <v/>
      </c>
      <c r="J29" s="2250" t="str">
        <f t="shared" si="7"/>
        <v/>
      </c>
      <c r="K29" s="2250" t="str">
        <f t="shared" si="7"/>
        <v/>
      </c>
      <c r="L29" s="2250" t="str">
        <f t="shared" si="7"/>
        <v/>
      </c>
      <c r="M29" s="2250" t="str">
        <f t="shared" si="7"/>
        <v/>
      </c>
      <c r="N29" s="2250" t="str">
        <f t="shared" si="7"/>
        <v/>
      </c>
      <c r="O29" s="2250" t="str">
        <f t="shared" si="7"/>
        <v/>
      </c>
      <c r="P29" s="2250" t="str">
        <f t="shared" si="7"/>
        <v/>
      </c>
      <c r="Q29" s="2250" t="str">
        <f t="shared" si="7"/>
        <v/>
      </c>
      <c r="R29" s="2250" t="str">
        <f t="shared" si="7"/>
        <v/>
      </c>
      <c r="S29" s="1215"/>
      <c r="T29" s="272"/>
    </row>
    <row r="30" spans="1:20" ht="15" customHeight="1" x14ac:dyDescent="0.2">
      <c r="A30" s="2637">
        <f t="shared" si="3"/>
        <v>0</v>
      </c>
      <c r="B30" s="284">
        <f t="shared" si="5"/>
        <v>23</v>
      </c>
      <c r="C30" s="1215"/>
      <c r="D30" s="1215"/>
      <c r="E30" s="2248" t="str">
        <f t="shared" si="1"/>
        <v/>
      </c>
      <c r="F30" s="2250" t="str">
        <f t="shared" si="7"/>
        <v/>
      </c>
      <c r="G30" s="2250" t="str">
        <f t="shared" si="7"/>
        <v/>
      </c>
      <c r="H30" s="2250" t="str">
        <f t="shared" si="7"/>
        <v/>
      </c>
      <c r="I30" s="2250" t="str">
        <f t="shared" si="7"/>
        <v/>
      </c>
      <c r="J30" s="2250" t="str">
        <f t="shared" si="7"/>
        <v/>
      </c>
      <c r="K30" s="2250" t="str">
        <f t="shared" si="7"/>
        <v/>
      </c>
      <c r="L30" s="2250" t="str">
        <f t="shared" si="7"/>
        <v/>
      </c>
      <c r="M30" s="2250" t="str">
        <f t="shared" si="7"/>
        <v/>
      </c>
      <c r="N30" s="2250" t="str">
        <f t="shared" si="7"/>
        <v/>
      </c>
      <c r="O30" s="2250" t="str">
        <f t="shared" si="7"/>
        <v/>
      </c>
      <c r="P30" s="2250" t="str">
        <f t="shared" si="7"/>
        <v/>
      </c>
      <c r="Q30" s="2250" t="str">
        <f t="shared" si="7"/>
        <v/>
      </c>
      <c r="R30" s="2250" t="str">
        <f t="shared" si="7"/>
        <v/>
      </c>
      <c r="S30" s="1215"/>
      <c r="T30" s="272"/>
    </row>
    <row r="31" spans="1:20" ht="15" customHeight="1" x14ac:dyDescent="0.2">
      <c r="A31" s="2637">
        <f t="shared" si="3"/>
        <v>0</v>
      </c>
      <c r="B31" s="284">
        <f t="shared" si="5"/>
        <v>24</v>
      </c>
      <c r="C31" s="1215"/>
      <c r="D31" s="1215"/>
      <c r="E31" s="2248" t="str">
        <f t="shared" si="1"/>
        <v/>
      </c>
      <c r="F31" s="2250" t="str">
        <f t="shared" si="7"/>
        <v/>
      </c>
      <c r="G31" s="2250" t="str">
        <f t="shared" si="7"/>
        <v/>
      </c>
      <c r="H31" s="2250" t="str">
        <f t="shared" si="7"/>
        <v/>
      </c>
      <c r="I31" s="2250" t="str">
        <f t="shared" si="7"/>
        <v/>
      </c>
      <c r="J31" s="2250" t="str">
        <f t="shared" si="7"/>
        <v/>
      </c>
      <c r="K31" s="2250" t="str">
        <f t="shared" si="7"/>
        <v/>
      </c>
      <c r="L31" s="2250" t="str">
        <f t="shared" si="7"/>
        <v/>
      </c>
      <c r="M31" s="2250" t="str">
        <f t="shared" si="7"/>
        <v/>
      </c>
      <c r="N31" s="2250" t="str">
        <f t="shared" si="7"/>
        <v/>
      </c>
      <c r="O31" s="2250" t="str">
        <f t="shared" si="7"/>
        <v/>
      </c>
      <c r="P31" s="2250" t="str">
        <f t="shared" si="7"/>
        <v/>
      </c>
      <c r="Q31" s="2250" t="str">
        <f t="shared" si="7"/>
        <v/>
      </c>
      <c r="R31" s="2250" t="str">
        <f t="shared" si="7"/>
        <v/>
      </c>
      <c r="S31" s="1215"/>
      <c r="T31" s="272"/>
    </row>
    <row r="32" spans="1:20" ht="15" customHeight="1" x14ac:dyDescent="0.2">
      <c r="A32" s="2637">
        <f t="shared" si="3"/>
        <v>0</v>
      </c>
      <c r="B32" s="284">
        <f t="shared" si="5"/>
        <v>25</v>
      </c>
      <c r="C32" s="1215"/>
      <c r="D32" s="1215"/>
      <c r="E32" s="2248" t="str">
        <f t="shared" si="1"/>
        <v/>
      </c>
      <c r="F32" s="2250" t="str">
        <f t="shared" si="7"/>
        <v/>
      </c>
      <c r="G32" s="2250" t="str">
        <f t="shared" si="7"/>
        <v/>
      </c>
      <c r="H32" s="2250" t="str">
        <f t="shared" si="7"/>
        <v/>
      </c>
      <c r="I32" s="2250" t="str">
        <f t="shared" si="7"/>
        <v/>
      </c>
      <c r="J32" s="2250" t="str">
        <f t="shared" si="7"/>
        <v/>
      </c>
      <c r="K32" s="2250" t="str">
        <f t="shared" si="7"/>
        <v/>
      </c>
      <c r="L32" s="2250" t="str">
        <f t="shared" si="7"/>
        <v/>
      </c>
      <c r="M32" s="2250" t="str">
        <f t="shared" si="7"/>
        <v/>
      </c>
      <c r="N32" s="2250" t="str">
        <f t="shared" si="7"/>
        <v/>
      </c>
      <c r="O32" s="2250" t="str">
        <f t="shared" si="7"/>
        <v/>
      </c>
      <c r="P32" s="2250" t="str">
        <f t="shared" si="7"/>
        <v/>
      </c>
      <c r="Q32" s="2250" t="str">
        <f t="shared" si="7"/>
        <v/>
      </c>
      <c r="R32" s="2250" t="str">
        <f t="shared" si="7"/>
        <v/>
      </c>
      <c r="S32" s="1215"/>
      <c r="T32" s="272"/>
    </row>
    <row r="33" spans="1:20" ht="15" customHeight="1" x14ac:dyDescent="0.2">
      <c r="A33" s="2637">
        <f t="shared" si="3"/>
        <v>0</v>
      </c>
      <c r="B33" s="284">
        <f t="shared" si="5"/>
        <v>26</v>
      </c>
      <c r="C33" s="1215"/>
      <c r="D33" s="1215"/>
      <c r="E33" s="2248" t="str">
        <f t="shared" si="1"/>
        <v/>
      </c>
      <c r="F33" s="2250" t="str">
        <f t="shared" si="7"/>
        <v/>
      </c>
      <c r="G33" s="2250" t="str">
        <f t="shared" si="7"/>
        <v/>
      </c>
      <c r="H33" s="2250" t="str">
        <f t="shared" si="7"/>
        <v/>
      </c>
      <c r="I33" s="2250" t="str">
        <f t="shared" si="7"/>
        <v/>
      </c>
      <c r="J33" s="2250" t="str">
        <f t="shared" si="7"/>
        <v/>
      </c>
      <c r="K33" s="2250" t="str">
        <f t="shared" si="7"/>
        <v/>
      </c>
      <c r="L33" s="2250" t="str">
        <f t="shared" si="7"/>
        <v/>
      </c>
      <c r="M33" s="2250" t="str">
        <f t="shared" si="7"/>
        <v/>
      </c>
      <c r="N33" s="2250" t="str">
        <f t="shared" si="7"/>
        <v/>
      </c>
      <c r="O33" s="2250" t="str">
        <f t="shared" si="7"/>
        <v/>
      </c>
      <c r="P33" s="2250" t="str">
        <f t="shared" si="7"/>
        <v/>
      </c>
      <c r="Q33" s="2250" t="str">
        <f t="shared" si="7"/>
        <v/>
      </c>
      <c r="R33" s="2250" t="str">
        <f t="shared" si="7"/>
        <v/>
      </c>
      <c r="S33" s="1215"/>
      <c r="T33" s="272"/>
    </row>
    <row r="34" spans="1:20" ht="15" customHeight="1" x14ac:dyDescent="0.2">
      <c r="A34" s="2637">
        <f t="shared" si="3"/>
        <v>0</v>
      </c>
      <c r="B34" s="284">
        <f t="shared" si="5"/>
        <v>27</v>
      </c>
      <c r="C34" s="1215"/>
      <c r="D34" s="1215"/>
      <c r="E34" s="2248" t="str">
        <f t="shared" si="1"/>
        <v/>
      </c>
      <c r="F34" s="2250" t="str">
        <f t="shared" si="7"/>
        <v/>
      </c>
      <c r="G34" s="2250" t="str">
        <f t="shared" si="7"/>
        <v/>
      </c>
      <c r="H34" s="2250" t="str">
        <f t="shared" si="7"/>
        <v/>
      </c>
      <c r="I34" s="2250" t="str">
        <f t="shared" si="7"/>
        <v/>
      </c>
      <c r="J34" s="2250" t="str">
        <f t="shared" si="7"/>
        <v/>
      </c>
      <c r="K34" s="2250" t="str">
        <f t="shared" si="7"/>
        <v/>
      </c>
      <c r="L34" s="2250" t="str">
        <f t="shared" si="7"/>
        <v/>
      </c>
      <c r="M34" s="2250" t="str">
        <f t="shared" si="7"/>
        <v/>
      </c>
      <c r="N34" s="2250" t="str">
        <f t="shared" si="7"/>
        <v/>
      </c>
      <c r="O34" s="2250" t="str">
        <f t="shared" si="7"/>
        <v/>
      </c>
      <c r="P34" s="2250" t="str">
        <f t="shared" si="7"/>
        <v/>
      </c>
      <c r="Q34" s="2250" t="str">
        <f t="shared" si="7"/>
        <v/>
      </c>
      <c r="R34" s="2250" t="str">
        <f t="shared" si="7"/>
        <v/>
      </c>
      <c r="S34" s="1215"/>
      <c r="T34" s="272"/>
    </row>
    <row r="35" spans="1:20" ht="15" customHeight="1" x14ac:dyDescent="0.2">
      <c r="A35" s="2637">
        <f t="shared" si="3"/>
        <v>0</v>
      </c>
      <c r="B35" s="284">
        <f t="shared" si="5"/>
        <v>28</v>
      </c>
      <c r="C35" s="1215"/>
      <c r="D35" s="1215"/>
      <c r="E35" s="2248" t="str">
        <f t="shared" si="1"/>
        <v/>
      </c>
      <c r="F35" s="2250" t="str">
        <f t="shared" si="7"/>
        <v/>
      </c>
      <c r="G35" s="2250" t="str">
        <f t="shared" si="7"/>
        <v/>
      </c>
      <c r="H35" s="2250" t="str">
        <f t="shared" si="7"/>
        <v/>
      </c>
      <c r="I35" s="2250" t="str">
        <f t="shared" si="7"/>
        <v/>
      </c>
      <c r="J35" s="2250" t="str">
        <f t="shared" si="7"/>
        <v/>
      </c>
      <c r="K35" s="2250" t="str">
        <f t="shared" si="7"/>
        <v/>
      </c>
      <c r="L35" s="2250" t="str">
        <f t="shared" si="7"/>
        <v/>
      </c>
      <c r="M35" s="2250" t="str">
        <f t="shared" si="7"/>
        <v/>
      </c>
      <c r="N35" s="2250" t="str">
        <f t="shared" si="7"/>
        <v/>
      </c>
      <c r="O35" s="2250" t="str">
        <f t="shared" si="7"/>
        <v/>
      </c>
      <c r="P35" s="2250" t="str">
        <f t="shared" si="7"/>
        <v/>
      </c>
      <c r="Q35" s="2250" t="str">
        <f t="shared" si="7"/>
        <v/>
      </c>
      <c r="R35" s="2250" t="str">
        <f t="shared" si="7"/>
        <v/>
      </c>
      <c r="S35" s="1215"/>
      <c r="T35" s="272"/>
    </row>
    <row r="36" spans="1:20" ht="15" customHeight="1" x14ac:dyDescent="0.2">
      <c r="A36" s="2637">
        <f t="shared" si="3"/>
        <v>0</v>
      </c>
      <c r="B36" s="284">
        <f t="shared" si="5"/>
        <v>29</v>
      </c>
      <c r="C36" s="1215"/>
      <c r="D36" s="1215"/>
      <c r="E36" s="2248" t="str">
        <f t="shared" si="1"/>
        <v/>
      </c>
      <c r="F36" s="2250" t="str">
        <f t="shared" si="7"/>
        <v/>
      </c>
      <c r="G36" s="2250" t="str">
        <f t="shared" si="7"/>
        <v/>
      </c>
      <c r="H36" s="2250" t="str">
        <f t="shared" si="7"/>
        <v/>
      </c>
      <c r="I36" s="2250" t="str">
        <f t="shared" si="7"/>
        <v/>
      </c>
      <c r="J36" s="2250" t="str">
        <f t="shared" si="7"/>
        <v/>
      </c>
      <c r="K36" s="2250" t="str">
        <f t="shared" si="7"/>
        <v/>
      </c>
      <c r="L36" s="2250" t="str">
        <f t="shared" si="7"/>
        <v/>
      </c>
      <c r="M36" s="2250" t="str">
        <f t="shared" si="7"/>
        <v/>
      </c>
      <c r="N36" s="2250" t="str">
        <f t="shared" si="7"/>
        <v/>
      </c>
      <c r="O36" s="2250" t="str">
        <f t="shared" si="7"/>
        <v/>
      </c>
      <c r="P36" s="2250" t="str">
        <f t="shared" si="7"/>
        <v/>
      </c>
      <c r="Q36" s="2250" t="str">
        <f t="shared" si="7"/>
        <v/>
      </c>
      <c r="R36" s="2250" t="str">
        <f t="shared" si="7"/>
        <v/>
      </c>
      <c r="S36" s="1215"/>
      <c r="T36" s="272"/>
    </row>
    <row r="37" spans="1:20" ht="15" customHeight="1" x14ac:dyDescent="0.2">
      <c r="A37" s="2637">
        <f t="shared" si="3"/>
        <v>0</v>
      </c>
      <c r="B37" s="284">
        <f t="shared" si="5"/>
        <v>30</v>
      </c>
      <c r="C37" s="1215"/>
      <c r="D37" s="1215"/>
      <c r="E37" s="2248" t="str">
        <f t="shared" si="1"/>
        <v/>
      </c>
      <c r="F37" s="2250" t="str">
        <f t="shared" si="7"/>
        <v/>
      </c>
      <c r="G37" s="2250" t="str">
        <f t="shared" si="7"/>
        <v/>
      </c>
      <c r="H37" s="2250" t="str">
        <f t="shared" si="7"/>
        <v/>
      </c>
      <c r="I37" s="2250" t="str">
        <f t="shared" si="7"/>
        <v/>
      </c>
      <c r="J37" s="2250" t="str">
        <f t="shared" si="7"/>
        <v/>
      </c>
      <c r="K37" s="2250" t="str">
        <f t="shared" si="7"/>
        <v/>
      </c>
      <c r="L37" s="2250" t="str">
        <f t="shared" si="7"/>
        <v/>
      </c>
      <c r="M37" s="2250" t="str">
        <f t="shared" si="7"/>
        <v/>
      </c>
      <c r="N37" s="2250" t="str">
        <f t="shared" si="7"/>
        <v/>
      </c>
      <c r="O37" s="2250" t="str">
        <f t="shared" si="7"/>
        <v/>
      </c>
      <c r="P37" s="2250" t="str">
        <f t="shared" si="7"/>
        <v/>
      </c>
      <c r="Q37" s="2250" t="str">
        <f t="shared" si="7"/>
        <v/>
      </c>
      <c r="R37" s="2250" t="str">
        <f t="shared" si="7"/>
        <v/>
      </c>
      <c r="S37" s="1215"/>
      <c r="T37" s="272"/>
    </row>
    <row r="38" spans="1:20" ht="15" customHeight="1" x14ac:dyDescent="0.2">
      <c r="A38" s="2637">
        <f t="shared" si="3"/>
        <v>0</v>
      </c>
      <c r="B38" s="284">
        <f t="shared" si="5"/>
        <v>31</v>
      </c>
      <c r="C38" s="1215"/>
      <c r="D38" s="1215"/>
      <c r="E38" s="2248" t="str">
        <f t="shared" si="1"/>
        <v/>
      </c>
      <c r="F38" s="2250" t="str">
        <f t="shared" si="7"/>
        <v/>
      </c>
      <c r="G38" s="2250" t="str">
        <f t="shared" si="7"/>
        <v/>
      </c>
      <c r="H38" s="2250" t="str">
        <f t="shared" si="7"/>
        <v/>
      </c>
      <c r="I38" s="2250" t="str">
        <f t="shared" si="7"/>
        <v/>
      </c>
      <c r="J38" s="2250" t="str">
        <f t="shared" si="7"/>
        <v/>
      </c>
      <c r="K38" s="2250" t="str">
        <f t="shared" si="7"/>
        <v/>
      </c>
      <c r="L38" s="2250" t="str">
        <f t="shared" si="7"/>
        <v/>
      </c>
      <c r="M38" s="2250" t="str">
        <f t="shared" si="7"/>
        <v/>
      </c>
      <c r="N38" s="2250" t="str">
        <f t="shared" si="7"/>
        <v/>
      </c>
      <c r="O38" s="2250" t="str">
        <f t="shared" si="7"/>
        <v/>
      </c>
      <c r="P38" s="2250" t="str">
        <f t="shared" si="7"/>
        <v/>
      </c>
      <c r="Q38" s="2250" t="str">
        <f t="shared" si="7"/>
        <v/>
      </c>
      <c r="R38" s="2250" t="str">
        <f t="shared" si="7"/>
        <v/>
      </c>
      <c r="S38" s="1215"/>
      <c r="T38" s="272"/>
    </row>
    <row r="39" spans="1:20" ht="15" customHeight="1" x14ac:dyDescent="0.2">
      <c r="A39" s="2637">
        <f t="shared" si="3"/>
        <v>0</v>
      </c>
      <c r="B39" s="284">
        <f t="shared" si="5"/>
        <v>32</v>
      </c>
      <c r="C39" s="1215"/>
      <c r="D39" s="1215"/>
      <c r="E39" s="2248" t="str">
        <f t="shared" si="1"/>
        <v/>
      </c>
      <c r="F39" s="2250" t="str">
        <f t="shared" ref="F39:R48" si="8">IF(ISERROR(INDEX(ARGUS_CashFlow3_Array,$B39,F$6)="TRUE"),"",IF(INDEX(ARGUS_CashFlow3_Array,$B39,F$6)="","",IF(OR($E39="Cash Flow Before Debt Service",$E39="  Potential Base Rent"),TEXT(INDEX(ARGUS_CashFlow3_Array,$B39,F$6),"$#,###"),IF($E39="  Average Occupancy Percentage",TEXT(INDEX(ARGUS_CashFlow3_Array,$B39,F$6),"0.0%"),TEXT(INDEX(ARGUS_CashFlow3_Array,$B39,F$6),"#,###")))))</f>
        <v/>
      </c>
      <c r="G39" s="2250" t="str">
        <f t="shared" si="8"/>
        <v/>
      </c>
      <c r="H39" s="2250" t="str">
        <f t="shared" si="8"/>
        <v/>
      </c>
      <c r="I39" s="2250" t="str">
        <f t="shared" si="8"/>
        <v/>
      </c>
      <c r="J39" s="2250" t="str">
        <f t="shared" si="8"/>
        <v/>
      </c>
      <c r="K39" s="2250" t="str">
        <f t="shared" si="8"/>
        <v/>
      </c>
      <c r="L39" s="2250" t="str">
        <f t="shared" si="8"/>
        <v/>
      </c>
      <c r="M39" s="2250" t="str">
        <f t="shared" si="8"/>
        <v/>
      </c>
      <c r="N39" s="2250" t="str">
        <f t="shared" si="8"/>
        <v/>
      </c>
      <c r="O39" s="2250" t="str">
        <f t="shared" si="8"/>
        <v/>
      </c>
      <c r="P39" s="2250" t="str">
        <f t="shared" si="8"/>
        <v/>
      </c>
      <c r="Q39" s="2250" t="str">
        <f t="shared" si="8"/>
        <v/>
      </c>
      <c r="R39" s="2250" t="str">
        <f t="shared" si="8"/>
        <v/>
      </c>
      <c r="S39" s="1215"/>
      <c r="T39" s="272"/>
    </row>
    <row r="40" spans="1:20" ht="15" customHeight="1" x14ac:dyDescent="0.2">
      <c r="A40" s="2637">
        <f t="shared" si="3"/>
        <v>0</v>
      </c>
      <c r="B40" s="284">
        <f t="shared" si="5"/>
        <v>33</v>
      </c>
      <c r="C40" s="1215"/>
      <c r="D40" s="1215"/>
      <c r="E40" s="2248" t="str">
        <f t="shared" ref="E40:E71" si="9">IF(ISERROR(INDEX(ARGUS_CashFlow3_Array,$B40,E$6)="TRUE"),"",IF(INDEX(ARGUS_CashFlow3_Array,$B40,E$6)="","",IF(OR($E40="Cash Flow Before Debt Service",$E40="  Potential Base Rent"),TEXT(INDEX(ARGUS_CashFlow3_Array,$B40,E$6),"$#,###"),IF($E40="  Average Occupancy Percentage",TEXT(INDEX(ARGUS_CashFlow3_Array,$B40,E$6),"0.0%"),TEXT(INDEX(ARGUS_CashFlow3_Array,$B40,E$6),"#,###")))))</f>
        <v/>
      </c>
      <c r="F40" s="2250" t="str">
        <f t="shared" si="8"/>
        <v/>
      </c>
      <c r="G40" s="2250" t="str">
        <f t="shared" si="8"/>
        <v/>
      </c>
      <c r="H40" s="2250" t="str">
        <f t="shared" si="8"/>
        <v/>
      </c>
      <c r="I40" s="2250" t="str">
        <f t="shared" si="8"/>
        <v/>
      </c>
      <c r="J40" s="2250" t="str">
        <f t="shared" si="8"/>
        <v/>
      </c>
      <c r="K40" s="2250" t="str">
        <f t="shared" si="8"/>
        <v/>
      </c>
      <c r="L40" s="2250" t="str">
        <f t="shared" si="8"/>
        <v/>
      </c>
      <c r="M40" s="2250" t="str">
        <f t="shared" si="8"/>
        <v/>
      </c>
      <c r="N40" s="2250" t="str">
        <f t="shared" si="8"/>
        <v/>
      </c>
      <c r="O40" s="2250" t="str">
        <f t="shared" si="8"/>
        <v/>
      </c>
      <c r="P40" s="2250" t="str">
        <f t="shared" si="8"/>
        <v/>
      </c>
      <c r="Q40" s="2250" t="str">
        <f t="shared" si="8"/>
        <v/>
      </c>
      <c r="R40" s="2250" t="str">
        <f t="shared" si="8"/>
        <v/>
      </c>
      <c r="S40" s="1215"/>
      <c r="T40" s="272"/>
    </row>
    <row r="41" spans="1:20" ht="15" customHeight="1" x14ac:dyDescent="0.2">
      <c r="A41" s="2637">
        <f t="shared" ref="A41:A72" si="10">IF(OR(AND(E40="",E41="",E42=""),E40="Cash Flow Available for Distribution",E41="Cash Flow Available for Distribution",E42="Cash Flow Available for Distribution"),0,1)</f>
        <v>0</v>
      </c>
      <c r="B41" s="284">
        <f t="shared" si="5"/>
        <v>34</v>
      </c>
      <c r="C41" s="1215"/>
      <c r="D41" s="1215"/>
      <c r="E41" s="2248" t="str">
        <f t="shared" si="9"/>
        <v/>
      </c>
      <c r="F41" s="2250" t="str">
        <f t="shared" si="8"/>
        <v/>
      </c>
      <c r="G41" s="2250" t="str">
        <f t="shared" si="8"/>
        <v/>
      </c>
      <c r="H41" s="2250" t="str">
        <f t="shared" si="8"/>
        <v/>
      </c>
      <c r="I41" s="2250" t="str">
        <f t="shared" si="8"/>
        <v/>
      </c>
      <c r="J41" s="2250" t="str">
        <f t="shared" si="8"/>
        <v/>
      </c>
      <c r="K41" s="2250" t="str">
        <f t="shared" si="8"/>
        <v/>
      </c>
      <c r="L41" s="2250" t="str">
        <f t="shared" si="8"/>
        <v/>
      </c>
      <c r="M41" s="2250" t="str">
        <f t="shared" si="8"/>
        <v/>
      </c>
      <c r="N41" s="2250" t="str">
        <f t="shared" si="8"/>
        <v/>
      </c>
      <c r="O41" s="2250" t="str">
        <f t="shared" si="8"/>
        <v/>
      </c>
      <c r="P41" s="2250" t="str">
        <f t="shared" si="8"/>
        <v/>
      </c>
      <c r="Q41" s="2250" t="str">
        <f t="shared" si="8"/>
        <v/>
      </c>
      <c r="R41" s="2250" t="str">
        <f t="shared" si="8"/>
        <v/>
      </c>
      <c r="S41" s="1215"/>
      <c r="T41" s="272"/>
    </row>
    <row r="42" spans="1:20" ht="15" customHeight="1" x14ac:dyDescent="0.2">
      <c r="A42" s="2637">
        <f t="shared" si="10"/>
        <v>0</v>
      </c>
      <c r="B42" s="284">
        <f t="shared" si="5"/>
        <v>35</v>
      </c>
      <c r="C42" s="1215"/>
      <c r="D42" s="1215"/>
      <c r="E42" s="2248" t="str">
        <f t="shared" si="9"/>
        <v/>
      </c>
      <c r="F42" s="2250" t="str">
        <f t="shared" si="8"/>
        <v/>
      </c>
      <c r="G42" s="2250" t="str">
        <f t="shared" si="8"/>
        <v/>
      </c>
      <c r="H42" s="2250" t="str">
        <f t="shared" si="8"/>
        <v/>
      </c>
      <c r="I42" s="2250" t="str">
        <f t="shared" si="8"/>
        <v/>
      </c>
      <c r="J42" s="2250" t="str">
        <f t="shared" si="8"/>
        <v/>
      </c>
      <c r="K42" s="2250" t="str">
        <f t="shared" si="8"/>
        <v/>
      </c>
      <c r="L42" s="2250" t="str">
        <f t="shared" si="8"/>
        <v/>
      </c>
      <c r="M42" s="2250" t="str">
        <f t="shared" si="8"/>
        <v/>
      </c>
      <c r="N42" s="2250" t="str">
        <f t="shared" si="8"/>
        <v/>
      </c>
      <c r="O42" s="2250" t="str">
        <f t="shared" si="8"/>
        <v/>
      </c>
      <c r="P42" s="2250" t="str">
        <f t="shared" si="8"/>
        <v/>
      </c>
      <c r="Q42" s="2250" t="str">
        <f t="shared" si="8"/>
        <v/>
      </c>
      <c r="R42" s="2250" t="str">
        <f t="shared" si="8"/>
        <v/>
      </c>
      <c r="S42" s="1215"/>
      <c r="T42" s="272"/>
    </row>
    <row r="43" spans="1:20" ht="15" customHeight="1" x14ac:dyDescent="0.2">
      <c r="A43" s="2637">
        <f t="shared" si="10"/>
        <v>0</v>
      </c>
      <c r="B43" s="284">
        <f t="shared" si="5"/>
        <v>36</v>
      </c>
      <c r="C43" s="1215"/>
      <c r="D43" s="1215"/>
      <c r="E43" s="2248" t="str">
        <f t="shared" si="9"/>
        <v/>
      </c>
      <c r="F43" s="2250" t="str">
        <f t="shared" si="8"/>
        <v/>
      </c>
      <c r="G43" s="2250" t="str">
        <f t="shared" si="8"/>
        <v/>
      </c>
      <c r="H43" s="2250" t="str">
        <f t="shared" si="8"/>
        <v/>
      </c>
      <c r="I43" s="2250" t="str">
        <f t="shared" si="8"/>
        <v/>
      </c>
      <c r="J43" s="2250" t="str">
        <f t="shared" si="8"/>
        <v/>
      </c>
      <c r="K43" s="2250" t="str">
        <f t="shared" si="8"/>
        <v/>
      </c>
      <c r="L43" s="2250" t="str">
        <f t="shared" si="8"/>
        <v/>
      </c>
      <c r="M43" s="2250" t="str">
        <f t="shared" si="8"/>
        <v/>
      </c>
      <c r="N43" s="2250" t="str">
        <f t="shared" si="8"/>
        <v/>
      </c>
      <c r="O43" s="2250" t="str">
        <f t="shared" si="8"/>
        <v/>
      </c>
      <c r="P43" s="2250" t="str">
        <f t="shared" si="8"/>
        <v/>
      </c>
      <c r="Q43" s="2250" t="str">
        <f t="shared" si="8"/>
        <v/>
      </c>
      <c r="R43" s="2250" t="str">
        <f t="shared" si="8"/>
        <v/>
      </c>
      <c r="S43" s="1215"/>
      <c r="T43" s="272"/>
    </row>
    <row r="44" spans="1:20" ht="15" customHeight="1" x14ac:dyDescent="0.2">
      <c r="A44" s="2637">
        <f t="shared" si="10"/>
        <v>0</v>
      </c>
      <c r="B44" s="284">
        <f t="shared" si="5"/>
        <v>37</v>
      </c>
      <c r="C44" s="1215"/>
      <c r="D44" s="1215"/>
      <c r="E44" s="2248" t="str">
        <f t="shared" si="9"/>
        <v/>
      </c>
      <c r="F44" s="2250" t="str">
        <f t="shared" si="8"/>
        <v/>
      </c>
      <c r="G44" s="2250" t="str">
        <f t="shared" si="8"/>
        <v/>
      </c>
      <c r="H44" s="2250" t="str">
        <f t="shared" si="8"/>
        <v/>
      </c>
      <c r="I44" s="2250" t="str">
        <f t="shared" si="8"/>
        <v/>
      </c>
      <c r="J44" s="2250" t="str">
        <f t="shared" si="8"/>
        <v/>
      </c>
      <c r="K44" s="2250" t="str">
        <f t="shared" si="8"/>
        <v/>
      </c>
      <c r="L44" s="2250" t="str">
        <f t="shared" si="8"/>
        <v/>
      </c>
      <c r="M44" s="2250" t="str">
        <f t="shared" si="8"/>
        <v/>
      </c>
      <c r="N44" s="2250" t="str">
        <f t="shared" si="8"/>
        <v/>
      </c>
      <c r="O44" s="2250" t="str">
        <f t="shared" si="8"/>
        <v/>
      </c>
      <c r="P44" s="2250" t="str">
        <f t="shared" si="8"/>
        <v/>
      </c>
      <c r="Q44" s="2250" t="str">
        <f t="shared" si="8"/>
        <v/>
      </c>
      <c r="R44" s="2250" t="str">
        <f t="shared" si="8"/>
        <v/>
      </c>
      <c r="S44" s="1215"/>
      <c r="T44" s="272"/>
    </row>
    <row r="45" spans="1:20" ht="15" customHeight="1" x14ac:dyDescent="0.2">
      <c r="A45" s="2637">
        <f t="shared" si="10"/>
        <v>0</v>
      </c>
      <c r="B45" s="284">
        <f t="shared" si="5"/>
        <v>38</v>
      </c>
      <c r="C45" s="1215"/>
      <c r="D45" s="1215"/>
      <c r="E45" s="2248" t="str">
        <f t="shared" si="9"/>
        <v/>
      </c>
      <c r="F45" s="2250" t="str">
        <f t="shared" si="8"/>
        <v/>
      </c>
      <c r="G45" s="2250" t="str">
        <f t="shared" si="8"/>
        <v/>
      </c>
      <c r="H45" s="2250" t="str">
        <f t="shared" si="8"/>
        <v/>
      </c>
      <c r="I45" s="2250" t="str">
        <f t="shared" si="8"/>
        <v/>
      </c>
      <c r="J45" s="2250" t="str">
        <f t="shared" si="8"/>
        <v/>
      </c>
      <c r="K45" s="2250" t="str">
        <f t="shared" si="8"/>
        <v/>
      </c>
      <c r="L45" s="2250" t="str">
        <f t="shared" si="8"/>
        <v/>
      </c>
      <c r="M45" s="2250" t="str">
        <f t="shared" si="8"/>
        <v/>
      </c>
      <c r="N45" s="2250" t="str">
        <f t="shared" si="8"/>
        <v/>
      </c>
      <c r="O45" s="2250" t="str">
        <f t="shared" si="8"/>
        <v/>
      </c>
      <c r="P45" s="2250" t="str">
        <f t="shared" si="8"/>
        <v/>
      </c>
      <c r="Q45" s="2250" t="str">
        <f t="shared" si="8"/>
        <v/>
      </c>
      <c r="R45" s="2250" t="str">
        <f t="shared" si="8"/>
        <v/>
      </c>
      <c r="S45" s="1215"/>
      <c r="T45" s="272"/>
    </row>
    <row r="46" spans="1:20" ht="15" customHeight="1" x14ac:dyDescent="0.2">
      <c r="A46" s="2637">
        <f t="shared" si="10"/>
        <v>0</v>
      </c>
      <c r="B46" s="284">
        <f t="shared" si="5"/>
        <v>39</v>
      </c>
      <c r="C46" s="1215"/>
      <c r="D46" s="1215"/>
      <c r="E46" s="2248" t="str">
        <f t="shared" si="9"/>
        <v/>
      </c>
      <c r="F46" s="2250" t="str">
        <f t="shared" si="8"/>
        <v/>
      </c>
      <c r="G46" s="2250" t="str">
        <f t="shared" si="8"/>
        <v/>
      </c>
      <c r="H46" s="2250" t="str">
        <f t="shared" si="8"/>
        <v/>
      </c>
      <c r="I46" s="2250" t="str">
        <f t="shared" si="8"/>
        <v/>
      </c>
      <c r="J46" s="2250" t="str">
        <f t="shared" si="8"/>
        <v/>
      </c>
      <c r="K46" s="2250" t="str">
        <f t="shared" si="8"/>
        <v/>
      </c>
      <c r="L46" s="2250" t="str">
        <f t="shared" si="8"/>
        <v/>
      </c>
      <c r="M46" s="2250" t="str">
        <f t="shared" si="8"/>
        <v/>
      </c>
      <c r="N46" s="2250" t="str">
        <f t="shared" si="8"/>
        <v/>
      </c>
      <c r="O46" s="2250" t="str">
        <f t="shared" si="8"/>
        <v/>
      </c>
      <c r="P46" s="2250" t="str">
        <f t="shared" si="8"/>
        <v/>
      </c>
      <c r="Q46" s="2250" t="str">
        <f t="shared" si="8"/>
        <v/>
      </c>
      <c r="R46" s="2250" t="str">
        <f t="shared" si="8"/>
        <v/>
      </c>
      <c r="S46" s="1215"/>
      <c r="T46" s="272"/>
    </row>
    <row r="47" spans="1:20" ht="15" customHeight="1" x14ac:dyDescent="0.2">
      <c r="A47" s="2637">
        <f t="shared" si="10"/>
        <v>0</v>
      </c>
      <c r="B47" s="284">
        <f t="shared" si="5"/>
        <v>40</v>
      </c>
      <c r="C47" s="1215"/>
      <c r="D47" s="1215"/>
      <c r="E47" s="2248" t="str">
        <f t="shared" si="9"/>
        <v/>
      </c>
      <c r="F47" s="2250" t="str">
        <f t="shared" si="8"/>
        <v/>
      </c>
      <c r="G47" s="2250" t="str">
        <f t="shared" si="8"/>
        <v/>
      </c>
      <c r="H47" s="2250" t="str">
        <f t="shared" si="8"/>
        <v/>
      </c>
      <c r="I47" s="2250" t="str">
        <f t="shared" si="8"/>
        <v/>
      </c>
      <c r="J47" s="2250" t="str">
        <f t="shared" si="8"/>
        <v/>
      </c>
      <c r="K47" s="2250" t="str">
        <f t="shared" si="8"/>
        <v/>
      </c>
      <c r="L47" s="2250" t="str">
        <f t="shared" si="8"/>
        <v/>
      </c>
      <c r="M47" s="2250" t="str">
        <f t="shared" si="8"/>
        <v/>
      </c>
      <c r="N47" s="2250" t="str">
        <f t="shared" si="8"/>
        <v/>
      </c>
      <c r="O47" s="2250" t="str">
        <f t="shared" si="8"/>
        <v/>
      </c>
      <c r="P47" s="2250" t="str">
        <f t="shared" si="8"/>
        <v/>
      </c>
      <c r="Q47" s="2250" t="str">
        <f t="shared" si="8"/>
        <v/>
      </c>
      <c r="R47" s="2250" t="str">
        <f t="shared" si="8"/>
        <v/>
      </c>
      <c r="S47" s="1215"/>
      <c r="T47" s="272"/>
    </row>
    <row r="48" spans="1:20" ht="15" customHeight="1" x14ac:dyDescent="0.2">
      <c r="A48" s="2637">
        <f t="shared" si="10"/>
        <v>0</v>
      </c>
      <c r="B48" s="284">
        <f t="shared" si="5"/>
        <v>41</v>
      </c>
      <c r="C48" s="1215"/>
      <c r="D48" s="1215"/>
      <c r="E48" s="2248" t="str">
        <f t="shared" si="9"/>
        <v/>
      </c>
      <c r="F48" s="2250" t="str">
        <f t="shared" si="8"/>
        <v/>
      </c>
      <c r="G48" s="2250" t="str">
        <f t="shared" si="8"/>
        <v/>
      </c>
      <c r="H48" s="2250" t="str">
        <f t="shared" si="8"/>
        <v/>
      </c>
      <c r="I48" s="2250" t="str">
        <f t="shared" si="8"/>
        <v/>
      </c>
      <c r="J48" s="2250" t="str">
        <f t="shared" si="8"/>
        <v/>
      </c>
      <c r="K48" s="2250" t="str">
        <f t="shared" si="8"/>
        <v/>
      </c>
      <c r="L48" s="2250" t="str">
        <f t="shared" si="8"/>
        <v/>
      </c>
      <c r="M48" s="2250" t="str">
        <f t="shared" si="8"/>
        <v/>
      </c>
      <c r="N48" s="2250" t="str">
        <f t="shared" si="8"/>
        <v/>
      </c>
      <c r="O48" s="2250" t="str">
        <f t="shared" si="8"/>
        <v/>
      </c>
      <c r="P48" s="2250" t="str">
        <f t="shared" si="8"/>
        <v/>
      </c>
      <c r="Q48" s="2250" t="str">
        <f t="shared" si="8"/>
        <v/>
      </c>
      <c r="R48" s="2250" t="str">
        <f t="shared" si="8"/>
        <v/>
      </c>
      <c r="S48" s="1215"/>
      <c r="T48" s="272"/>
    </row>
    <row r="49" spans="1:20" ht="15" customHeight="1" x14ac:dyDescent="0.2">
      <c r="A49" s="2637">
        <f t="shared" si="10"/>
        <v>0</v>
      </c>
      <c r="B49" s="284">
        <f t="shared" si="5"/>
        <v>42</v>
      </c>
      <c r="C49" s="1215"/>
      <c r="D49" s="1215"/>
      <c r="E49" s="2248" t="str">
        <f t="shared" si="9"/>
        <v/>
      </c>
      <c r="F49" s="2250" t="str">
        <f t="shared" ref="F49:R58" si="11">IF(ISERROR(INDEX(ARGUS_CashFlow3_Array,$B49,F$6)="TRUE"),"",IF(INDEX(ARGUS_CashFlow3_Array,$B49,F$6)="","",IF(OR($E49="Cash Flow Before Debt Service",$E49="  Potential Base Rent"),TEXT(INDEX(ARGUS_CashFlow3_Array,$B49,F$6),"$#,###"),IF($E49="  Average Occupancy Percentage",TEXT(INDEX(ARGUS_CashFlow3_Array,$B49,F$6),"0.0%"),TEXT(INDEX(ARGUS_CashFlow3_Array,$B49,F$6),"#,###")))))</f>
        <v/>
      </c>
      <c r="G49" s="2250" t="str">
        <f t="shared" si="11"/>
        <v/>
      </c>
      <c r="H49" s="2250" t="str">
        <f t="shared" si="11"/>
        <v/>
      </c>
      <c r="I49" s="2250" t="str">
        <f t="shared" si="11"/>
        <v/>
      </c>
      <c r="J49" s="2250" t="str">
        <f t="shared" si="11"/>
        <v/>
      </c>
      <c r="K49" s="2250" t="str">
        <f t="shared" si="11"/>
        <v/>
      </c>
      <c r="L49" s="2250" t="str">
        <f t="shared" si="11"/>
        <v/>
      </c>
      <c r="M49" s="2250" t="str">
        <f t="shared" si="11"/>
        <v/>
      </c>
      <c r="N49" s="2250" t="str">
        <f t="shared" si="11"/>
        <v/>
      </c>
      <c r="O49" s="2250" t="str">
        <f t="shared" si="11"/>
        <v/>
      </c>
      <c r="P49" s="2250" t="str">
        <f t="shared" si="11"/>
        <v/>
      </c>
      <c r="Q49" s="2250" t="str">
        <f t="shared" si="11"/>
        <v/>
      </c>
      <c r="R49" s="2250" t="str">
        <f t="shared" si="11"/>
        <v/>
      </c>
      <c r="S49" s="1215"/>
      <c r="T49" s="272"/>
    </row>
    <row r="50" spans="1:20" ht="15" customHeight="1" x14ac:dyDescent="0.2">
      <c r="A50" s="2637">
        <f t="shared" si="10"/>
        <v>0</v>
      </c>
      <c r="B50" s="284">
        <f t="shared" si="5"/>
        <v>43</v>
      </c>
      <c r="C50" s="1215"/>
      <c r="D50" s="1215"/>
      <c r="E50" s="2248" t="str">
        <f t="shared" si="9"/>
        <v/>
      </c>
      <c r="F50" s="2250" t="str">
        <f t="shared" si="11"/>
        <v/>
      </c>
      <c r="G50" s="2250" t="str">
        <f t="shared" si="11"/>
        <v/>
      </c>
      <c r="H50" s="2250" t="str">
        <f t="shared" si="11"/>
        <v/>
      </c>
      <c r="I50" s="2250" t="str">
        <f t="shared" si="11"/>
        <v/>
      </c>
      <c r="J50" s="2250" t="str">
        <f t="shared" si="11"/>
        <v/>
      </c>
      <c r="K50" s="2250" t="str">
        <f t="shared" si="11"/>
        <v/>
      </c>
      <c r="L50" s="2250" t="str">
        <f t="shared" si="11"/>
        <v/>
      </c>
      <c r="M50" s="2250" t="str">
        <f t="shared" si="11"/>
        <v/>
      </c>
      <c r="N50" s="2250" t="str">
        <f t="shared" si="11"/>
        <v/>
      </c>
      <c r="O50" s="2250" t="str">
        <f t="shared" si="11"/>
        <v/>
      </c>
      <c r="P50" s="2250" t="str">
        <f t="shared" si="11"/>
        <v/>
      </c>
      <c r="Q50" s="2250" t="str">
        <f t="shared" si="11"/>
        <v/>
      </c>
      <c r="R50" s="2250" t="str">
        <f t="shared" si="11"/>
        <v/>
      </c>
      <c r="S50" s="1215"/>
      <c r="T50" s="272"/>
    </row>
    <row r="51" spans="1:20" ht="15" customHeight="1" x14ac:dyDescent="0.2">
      <c r="A51" s="2637">
        <f t="shared" si="10"/>
        <v>0</v>
      </c>
      <c r="B51" s="284">
        <f t="shared" si="5"/>
        <v>44</v>
      </c>
      <c r="C51" s="1215"/>
      <c r="D51" s="1215"/>
      <c r="E51" s="2248" t="str">
        <f t="shared" si="9"/>
        <v/>
      </c>
      <c r="F51" s="2250" t="str">
        <f t="shared" si="11"/>
        <v/>
      </c>
      <c r="G51" s="2250" t="str">
        <f t="shared" si="11"/>
        <v/>
      </c>
      <c r="H51" s="2250" t="str">
        <f t="shared" si="11"/>
        <v/>
      </c>
      <c r="I51" s="2250" t="str">
        <f t="shared" si="11"/>
        <v/>
      </c>
      <c r="J51" s="2250" t="str">
        <f t="shared" si="11"/>
        <v/>
      </c>
      <c r="K51" s="2250" t="str">
        <f t="shared" si="11"/>
        <v/>
      </c>
      <c r="L51" s="2250" t="str">
        <f t="shared" si="11"/>
        <v/>
      </c>
      <c r="M51" s="2250" t="str">
        <f t="shared" si="11"/>
        <v/>
      </c>
      <c r="N51" s="2250" t="str">
        <f t="shared" si="11"/>
        <v/>
      </c>
      <c r="O51" s="2250" t="str">
        <f t="shared" si="11"/>
        <v/>
      </c>
      <c r="P51" s="2250" t="str">
        <f t="shared" si="11"/>
        <v/>
      </c>
      <c r="Q51" s="2250" t="str">
        <f t="shared" si="11"/>
        <v/>
      </c>
      <c r="R51" s="2250" t="str">
        <f t="shared" si="11"/>
        <v/>
      </c>
      <c r="S51" s="1215"/>
      <c r="T51" s="272"/>
    </row>
    <row r="52" spans="1:20" ht="15" customHeight="1" x14ac:dyDescent="0.2">
      <c r="A52" s="2637">
        <f t="shared" si="10"/>
        <v>0</v>
      </c>
      <c r="B52" s="284">
        <f t="shared" si="5"/>
        <v>45</v>
      </c>
      <c r="C52" s="1215"/>
      <c r="D52" s="1215"/>
      <c r="E52" s="2248" t="str">
        <f t="shared" si="9"/>
        <v/>
      </c>
      <c r="F52" s="2250" t="str">
        <f t="shared" si="11"/>
        <v/>
      </c>
      <c r="G52" s="2250" t="str">
        <f t="shared" si="11"/>
        <v/>
      </c>
      <c r="H52" s="2250" t="str">
        <f t="shared" si="11"/>
        <v/>
      </c>
      <c r="I52" s="2250" t="str">
        <f t="shared" si="11"/>
        <v/>
      </c>
      <c r="J52" s="2250" t="str">
        <f t="shared" si="11"/>
        <v/>
      </c>
      <c r="K52" s="2250" t="str">
        <f t="shared" si="11"/>
        <v/>
      </c>
      <c r="L52" s="2250" t="str">
        <f t="shared" si="11"/>
        <v/>
      </c>
      <c r="M52" s="2250" t="str">
        <f t="shared" si="11"/>
        <v/>
      </c>
      <c r="N52" s="2250" t="str">
        <f t="shared" si="11"/>
        <v/>
      </c>
      <c r="O52" s="2250" t="str">
        <f t="shared" si="11"/>
        <v/>
      </c>
      <c r="P52" s="2250" t="str">
        <f t="shared" si="11"/>
        <v/>
      </c>
      <c r="Q52" s="2250" t="str">
        <f t="shared" si="11"/>
        <v/>
      </c>
      <c r="R52" s="2250" t="str">
        <f t="shared" si="11"/>
        <v/>
      </c>
      <c r="S52" s="1215"/>
      <c r="T52" s="272"/>
    </row>
    <row r="53" spans="1:20" ht="15" customHeight="1" x14ac:dyDescent="0.2">
      <c r="A53" s="2637">
        <f t="shared" si="10"/>
        <v>0</v>
      </c>
      <c r="B53" s="284">
        <f t="shared" si="5"/>
        <v>46</v>
      </c>
      <c r="C53" s="1215"/>
      <c r="D53" s="1215"/>
      <c r="E53" s="2248" t="str">
        <f t="shared" si="9"/>
        <v/>
      </c>
      <c r="F53" s="2250" t="str">
        <f t="shared" si="11"/>
        <v/>
      </c>
      <c r="G53" s="2250" t="str">
        <f t="shared" si="11"/>
        <v/>
      </c>
      <c r="H53" s="2250" t="str">
        <f t="shared" si="11"/>
        <v/>
      </c>
      <c r="I53" s="2250" t="str">
        <f t="shared" si="11"/>
        <v/>
      </c>
      <c r="J53" s="2250" t="str">
        <f t="shared" si="11"/>
        <v/>
      </c>
      <c r="K53" s="2250" t="str">
        <f t="shared" si="11"/>
        <v/>
      </c>
      <c r="L53" s="2250" t="str">
        <f t="shared" si="11"/>
        <v/>
      </c>
      <c r="M53" s="2250" t="str">
        <f t="shared" si="11"/>
        <v/>
      </c>
      <c r="N53" s="2250" t="str">
        <f t="shared" si="11"/>
        <v/>
      </c>
      <c r="O53" s="2250" t="str">
        <f t="shared" si="11"/>
        <v/>
      </c>
      <c r="P53" s="2250" t="str">
        <f t="shared" si="11"/>
        <v/>
      </c>
      <c r="Q53" s="2250" t="str">
        <f t="shared" si="11"/>
        <v/>
      </c>
      <c r="R53" s="2250" t="str">
        <f t="shared" si="11"/>
        <v/>
      </c>
      <c r="S53" s="1215"/>
      <c r="T53" s="272"/>
    </row>
    <row r="54" spans="1:20" ht="15" customHeight="1" x14ac:dyDescent="0.2">
      <c r="A54" s="2637">
        <f t="shared" si="10"/>
        <v>0</v>
      </c>
      <c r="B54" s="284">
        <f t="shared" si="5"/>
        <v>47</v>
      </c>
      <c r="C54" s="1215"/>
      <c r="D54" s="1215"/>
      <c r="E54" s="2248" t="str">
        <f t="shared" si="9"/>
        <v/>
      </c>
      <c r="F54" s="2250" t="str">
        <f t="shared" si="11"/>
        <v/>
      </c>
      <c r="G54" s="2250" t="str">
        <f t="shared" si="11"/>
        <v/>
      </c>
      <c r="H54" s="2250" t="str">
        <f t="shared" si="11"/>
        <v/>
      </c>
      <c r="I54" s="2250" t="str">
        <f t="shared" si="11"/>
        <v/>
      </c>
      <c r="J54" s="2250" t="str">
        <f t="shared" si="11"/>
        <v/>
      </c>
      <c r="K54" s="2250" t="str">
        <f t="shared" si="11"/>
        <v/>
      </c>
      <c r="L54" s="2250" t="str">
        <f t="shared" si="11"/>
        <v/>
      </c>
      <c r="M54" s="2250" t="str">
        <f t="shared" si="11"/>
        <v/>
      </c>
      <c r="N54" s="2250" t="str">
        <f t="shared" si="11"/>
        <v/>
      </c>
      <c r="O54" s="2250" t="str">
        <f t="shared" si="11"/>
        <v/>
      </c>
      <c r="P54" s="2250" t="str">
        <f t="shared" si="11"/>
        <v/>
      </c>
      <c r="Q54" s="2250" t="str">
        <f t="shared" si="11"/>
        <v/>
      </c>
      <c r="R54" s="2250" t="str">
        <f t="shared" si="11"/>
        <v/>
      </c>
      <c r="S54" s="1215"/>
      <c r="T54" s="272"/>
    </row>
    <row r="55" spans="1:20" ht="15" customHeight="1" x14ac:dyDescent="0.2">
      <c r="A55" s="2637">
        <f t="shared" si="10"/>
        <v>0</v>
      </c>
      <c r="B55" s="284">
        <f t="shared" si="5"/>
        <v>48</v>
      </c>
      <c r="C55" s="1215"/>
      <c r="D55" s="1215"/>
      <c r="E55" s="2248" t="str">
        <f t="shared" si="9"/>
        <v/>
      </c>
      <c r="F55" s="2250" t="str">
        <f t="shared" si="11"/>
        <v/>
      </c>
      <c r="G55" s="2250" t="str">
        <f t="shared" si="11"/>
        <v/>
      </c>
      <c r="H55" s="2250" t="str">
        <f t="shared" si="11"/>
        <v/>
      </c>
      <c r="I55" s="2250" t="str">
        <f t="shared" si="11"/>
        <v/>
      </c>
      <c r="J55" s="2250" t="str">
        <f t="shared" si="11"/>
        <v/>
      </c>
      <c r="K55" s="2250" t="str">
        <f t="shared" si="11"/>
        <v/>
      </c>
      <c r="L55" s="2250" t="str">
        <f t="shared" si="11"/>
        <v/>
      </c>
      <c r="M55" s="2250" t="str">
        <f t="shared" si="11"/>
        <v/>
      </c>
      <c r="N55" s="2250" t="str">
        <f t="shared" si="11"/>
        <v/>
      </c>
      <c r="O55" s="2250" t="str">
        <f t="shared" si="11"/>
        <v/>
      </c>
      <c r="P55" s="2250" t="str">
        <f t="shared" si="11"/>
        <v/>
      </c>
      <c r="Q55" s="2250" t="str">
        <f t="shared" si="11"/>
        <v/>
      </c>
      <c r="R55" s="2250" t="str">
        <f t="shared" si="11"/>
        <v/>
      </c>
      <c r="S55" s="1215"/>
      <c r="T55" s="272"/>
    </row>
    <row r="56" spans="1:20" ht="15" customHeight="1" x14ac:dyDescent="0.2">
      <c r="A56" s="2637">
        <f t="shared" si="10"/>
        <v>0</v>
      </c>
      <c r="B56" s="284">
        <f t="shared" si="5"/>
        <v>49</v>
      </c>
      <c r="C56" s="1215"/>
      <c r="D56" s="1215"/>
      <c r="E56" s="2248" t="str">
        <f t="shared" si="9"/>
        <v/>
      </c>
      <c r="F56" s="2250" t="str">
        <f t="shared" si="11"/>
        <v/>
      </c>
      <c r="G56" s="2250" t="str">
        <f t="shared" si="11"/>
        <v/>
      </c>
      <c r="H56" s="2250" t="str">
        <f t="shared" si="11"/>
        <v/>
      </c>
      <c r="I56" s="2250" t="str">
        <f t="shared" si="11"/>
        <v/>
      </c>
      <c r="J56" s="2250" t="str">
        <f t="shared" si="11"/>
        <v/>
      </c>
      <c r="K56" s="2250" t="str">
        <f t="shared" si="11"/>
        <v/>
      </c>
      <c r="L56" s="2250" t="str">
        <f t="shared" si="11"/>
        <v/>
      </c>
      <c r="M56" s="2250" t="str">
        <f t="shared" si="11"/>
        <v/>
      </c>
      <c r="N56" s="2250" t="str">
        <f t="shared" si="11"/>
        <v/>
      </c>
      <c r="O56" s="2250" t="str">
        <f t="shared" si="11"/>
        <v/>
      </c>
      <c r="P56" s="2250" t="str">
        <f t="shared" si="11"/>
        <v/>
      </c>
      <c r="Q56" s="2250" t="str">
        <f t="shared" si="11"/>
        <v/>
      </c>
      <c r="R56" s="2250" t="str">
        <f t="shared" si="11"/>
        <v/>
      </c>
      <c r="S56" s="1215"/>
      <c r="T56" s="272"/>
    </row>
    <row r="57" spans="1:20" ht="15" customHeight="1" x14ac:dyDescent="0.2">
      <c r="A57" s="2637">
        <f t="shared" si="10"/>
        <v>0</v>
      </c>
      <c r="B57" s="284">
        <f t="shared" si="5"/>
        <v>50</v>
      </c>
      <c r="C57" s="1215"/>
      <c r="D57" s="1215"/>
      <c r="E57" s="2248" t="str">
        <f t="shared" si="9"/>
        <v/>
      </c>
      <c r="F57" s="2250" t="str">
        <f t="shared" si="11"/>
        <v/>
      </c>
      <c r="G57" s="2250" t="str">
        <f t="shared" si="11"/>
        <v/>
      </c>
      <c r="H57" s="2250" t="str">
        <f t="shared" si="11"/>
        <v/>
      </c>
      <c r="I57" s="2250" t="str">
        <f t="shared" si="11"/>
        <v/>
      </c>
      <c r="J57" s="2250" t="str">
        <f t="shared" si="11"/>
        <v/>
      </c>
      <c r="K57" s="2250" t="str">
        <f t="shared" si="11"/>
        <v/>
      </c>
      <c r="L57" s="2250" t="str">
        <f t="shared" si="11"/>
        <v/>
      </c>
      <c r="M57" s="2250" t="str">
        <f t="shared" si="11"/>
        <v/>
      </c>
      <c r="N57" s="2250" t="str">
        <f t="shared" si="11"/>
        <v/>
      </c>
      <c r="O57" s="2250" t="str">
        <f t="shared" si="11"/>
        <v/>
      </c>
      <c r="P57" s="2250" t="str">
        <f t="shared" si="11"/>
        <v/>
      </c>
      <c r="Q57" s="2250" t="str">
        <f t="shared" si="11"/>
        <v/>
      </c>
      <c r="R57" s="2250" t="str">
        <f t="shared" si="11"/>
        <v/>
      </c>
      <c r="S57" s="1215"/>
      <c r="T57" s="272"/>
    </row>
    <row r="58" spans="1:20" ht="15" customHeight="1" x14ac:dyDescent="0.2">
      <c r="A58" s="2637">
        <f t="shared" si="10"/>
        <v>0</v>
      </c>
      <c r="B58" s="284">
        <f t="shared" si="5"/>
        <v>51</v>
      </c>
      <c r="C58" s="1215"/>
      <c r="D58" s="1215"/>
      <c r="E58" s="2248" t="str">
        <f t="shared" si="9"/>
        <v/>
      </c>
      <c r="F58" s="2250" t="str">
        <f t="shared" si="11"/>
        <v/>
      </c>
      <c r="G58" s="2250" t="str">
        <f t="shared" si="11"/>
        <v/>
      </c>
      <c r="H58" s="2250" t="str">
        <f t="shared" si="11"/>
        <v/>
      </c>
      <c r="I58" s="2250" t="str">
        <f t="shared" si="11"/>
        <v/>
      </c>
      <c r="J58" s="2250" t="str">
        <f t="shared" si="11"/>
        <v/>
      </c>
      <c r="K58" s="2250" t="str">
        <f t="shared" si="11"/>
        <v/>
      </c>
      <c r="L58" s="2250" t="str">
        <f t="shared" si="11"/>
        <v/>
      </c>
      <c r="M58" s="2250" t="str">
        <f t="shared" si="11"/>
        <v/>
      </c>
      <c r="N58" s="2250" t="str">
        <f t="shared" si="11"/>
        <v/>
      </c>
      <c r="O58" s="2250" t="str">
        <f t="shared" si="11"/>
        <v/>
      </c>
      <c r="P58" s="2250" t="str">
        <f t="shared" si="11"/>
        <v/>
      </c>
      <c r="Q58" s="2250" t="str">
        <f t="shared" si="11"/>
        <v/>
      </c>
      <c r="R58" s="2250" t="str">
        <f t="shared" si="11"/>
        <v/>
      </c>
      <c r="S58" s="1215"/>
      <c r="T58" s="272"/>
    </row>
    <row r="59" spans="1:20" ht="15" customHeight="1" x14ac:dyDescent="0.2">
      <c r="A59" s="2637">
        <f t="shared" si="10"/>
        <v>0</v>
      </c>
      <c r="B59" s="284">
        <f t="shared" si="5"/>
        <v>52</v>
      </c>
      <c r="C59" s="1215"/>
      <c r="D59" s="1215"/>
      <c r="E59" s="2248" t="str">
        <f t="shared" si="9"/>
        <v/>
      </c>
      <c r="F59" s="2250" t="str">
        <f t="shared" ref="F59:R68" si="12">IF(ISERROR(INDEX(ARGUS_CashFlow3_Array,$B59,F$6)="TRUE"),"",IF(INDEX(ARGUS_CashFlow3_Array,$B59,F$6)="","",IF(OR($E59="Cash Flow Before Debt Service",$E59="  Potential Base Rent"),TEXT(INDEX(ARGUS_CashFlow3_Array,$B59,F$6),"$#,###"),IF($E59="  Average Occupancy Percentage",TEXT(INDEX(ARGUS_CashFlow3_Array,$B59,F$6),"0.0%"),TEXT(INDEX(ARGUS_CashFlow3_Array,$B59,F$6),"#,###")))))</f>
        <v/>
      </c>
      <c r="G59" s="2250" t="str">
        <f t="shared" si="12"/>
        <v/>
      </c>
      <c r="H59" s="2250" t="str">
        <f t="shared" si="12"/>
        <v/>
      </c>
      <c r="I59" s="2250" t="str">
        <f t="shared" si="12"/>
        <v/>
      </c>
      <c r="J59" s="2250" t="str">
        <f t="shared" si="12"/>
        <v/>
      </c>
      <c r="K59" s="2250" t="str">
        <f t="shared" si="12"/>
        <v/>
      </c>
      <c r="L59" s="2250" t="str">
        <f t="shared" si="12"/>
        <v/>
      </c>
      <c r="M59" s="2250" t="str">
        <f t="shared" si="12"/>
        <v/>
      </c>
      <c r="N59" s="2250" t="str">
        <f t="shared" si="12"/>
        <v/>
      </c>
      <c r="O59" s="2250" t="str">
        <f t="shared" si="12"/>
        <v/>
      </c>
      <c r="P59" s="2250" t="str">
        <f t="shared" si="12"/>
        <v/>
      </c>
      <c r="Q59" s="2250" t="str">
        <f t="shared" si="12"/>
        <v/>
      </c>
      <c r="R59" s="2250" t="str">
        <f t="shared" si="12"/>
        <v/>
      </c>
      <c r="S59" s="1215"/>
      <c r="T59" s="272"/>
    </row>
    <row r="60" spans="1:20" ht="15" customHeight="1" x14ac:dyDescent="0.2">
      <c r="A60" s="2637">
        <f t="shared" si="10"/>
        <v>0</v>
      </c>
      <c r="B60" s="284">
        <f t="shared" si="5"/>
        <v>53</v>
      </c>
      <c r="C60" s="1215"/>
      <c r="D60" s="1215"/>
      <c r="E60" s="2248" t="str">
        <f t="shared" si="9"/>
        <v/>
      </c>
      <c r="F60" s="2250" t="str">
        <f t="shared" si="12"/>
        <v/>
      </c>
      <c r="G60" s="2250" t="str">
        <f t="shared" si="12"/>
        <v/>
      </c>
      <c r="H60" s="2250" t="str">
        <f t="shared" si="12"/>
        <v/>
      </c>
      <c r="I60" s="2250" t="str">
        <f t="shared" si="12"/>
        <v/>
      </c>
      <c r="J60" s="2250" t="str">
        <f t="shared" si="12"/>
        <v/>
      </c>
      <c r="K60" s="2250" t="str">
        <f t="shared" si="12"/>
        <v/>
      </c>
      <c r="L60" s="2250" t="str">
        <f t="shared" si="12"/>
        <v/>
      </c>
      <c r="M60" s="2250" t="str">
        <f t="shared" si="12"/>
        <v/>
      </c>
      <c r="N60" s="2250" t="str">
        <f t="shared" si="12"/>
        <v/>
      </c>
      <c r="O60" s="2250" t="str">
        <f t="shared" si="12"/>
        <v/>
      </c>
      <c r="P60" s="2250" t="str">
        <f t="shared" si="12"/>
        <v/>
      </c>
      <c r="Q60" s="2250" t="str">
        <f t="shared" si="12"/>
        <v/>
      </c>
      <c r="R60" s="2250" t="str">
        <f t="shared" si="12"/>
        <v/>
      </c>
      <c r="S60" s="1215"/>
      <c r="T60" s="272"/>
    </row>
    <row r="61" spans="1:20" ht="15" customHeight="1" x14ac:dyDescent="0.2">
      <c r="A61" s="2637">
        <f t="shared" si="10"/>
        <v>0</v>
      </c>
      <c r="B61" s="284">
        <f t="shared" si="5"/>
        <v>54</v>
      </c>
      <c r="C61" s="1215"/>
      <c r="D61" s="1215"/>
      <c r="E61" s="2248" t="str">
        <f t="shared" si="9"/>
        <v/>
      </c>
      <c r="F61" s="2250" t="str">
        <f t="shared" si="12"/>
        <v/>
      </c>
      <c r="G61" s="2250" t="str">
        <f t="shared" si="12"/>
        <v/>
      </c>
      <c r="H61" s="2250" t="str">
        <f t="shared" si="12"/>
        <v/>
      </c>
      <c r="I61" s="2250" t="str">
        <f t="shared" si="12"/>
        <v/>
      </c>
      <c r="J61" s="2250" t="str">
        <f t="shared" si="12"/>
        <v/>
      </c>
      <c r="K61" s="2250" t="str">
        <f t="shared" si="12"/>
        <v/>
      </c>
      <c r="L61" s="2250" t="str">
        <f t="shared" si="12"/>
        <v/>
      </c>
      <c r="M61" s="2250" t="str">
        <f t="shared" si="12"/>
        <v/>
      </c>
      <c r="N61" s="2250" t="str">
        <f t="shared" si="12"/>
        <v/>
      </c>
      <c r="O61" s="2250" t="str">
        <f t="shared" si="12"/>
        <v/>
      </c>
      <c r="P61" s="2250" t="str">
        <f t="shared" si="12"/>
        <v/>
      </c>
      <c r="Q61" s="2250" t="str">
        <f t="shared" si="12"/>
        <v/>
      </c>
      <c r="R61" s="2250" t="str">
        <f t="shared" si="12"/>
        <v/>
      </c>
      <c r="S61" s="1215"/>
      <c r="T61" s="272"/>
    </row>
    <row r="62" spans="1:20" ht="15" customHeight="1" x14ac:dyDescent="0.2">
      <c r="A62" s="2637">
        <f t="shared" si="10"/>
        <v>0</v>
      </c>
      <c r="B62" s="284">
        <f t="shared" si="5"/>
        <v>55</v>
      </c>
      <c r="C62" s="1215"/>
      <c r="D62" s="1215"/>
      <c r="E62" s="2248" t="str">
        <f t="shared" si="9"/>
        <v/>
      </c>
      <c r="F62" s="2250" t="str">
        <f t="shared" si="12"/>
        <v/>
      </c>
      <c r="G62" s="2250" t="str">
        <f t="shared" si="12"/>
        <v/>
      </c>
      <c r="H62" s="2250" t="str">
        <f t="shared" si="12"/>
        <v/>
      </c>
      <c r="I62" s="2250" t="str">
        <f t="shared" si="12"/>
        <v/>
      </c>
      <c r="J62" s="2250" t="str">
        <f t="shared" si="12"/>
        <v/>
      </c>
      <c r="K62" s="2250" t="str">
        <f t="shared" si="12"/>
        <v/>
      </c>
      <c r="L62" s="2250" t="str">
        <f t="shared" si="12"/>
        <v/>
      </c>
      <c r="M62" s="2250" t="str">
        <f t="shared" si="12"/>
        <v/>
      </c>
      <c r="N62" s="2250" t="str">
        <f t="shared" si="12"/>
        <v/>
      </c>
      <c r="O62" s="2250" t="str">
        <f t="shared" si="12"/>
        <v/>
      </c>
      <c r="P62" s="2250" t="str">
        <f t="shared" si="12"/>
        <v/>
      </c>
      <c r="Q62" s="2250" t="str">
        <f t="shared" si="12"/>
        <v/>
      </c>
      <c r="R62" s="2250" t="str">
        <f t="shared" si="12"/>
        <v/>
      </c>
      <c r="S62" s="1215"/>
      <c r="T62" s="272"/>
    </row>
    <row r="63" spans="1:20" ht="15" customHeight="1" x14ac:dyDescent="0.2">
      <c r="A63" s="2637">
        <f t="shared" si="10"/>
        <v>0</v>
      </c>
      <c r="B63" s="284">
        <f t="shared" si="5"/>
        <v>56</v>
      </c>
      <c r="C63" s="1215"/>
      <c r="D63" s="1215"/>
      <c r="E63" s="2248" t="str">
        <f t="shared" si="9"/>
        <v/>
      </c>
      <c r="F63" s="2250" t="str">
        <f t="shared" si="12"/>
        <v/>
      </c>
      <c r="G63" s="2250" t="str">
        <f t="shared" si="12"/>
        <v/>
      </c>
      <c r="H63" s="2250" t="str">
        <f t="shared" si="12"/>
        <v/>
      </c>
      <c r="I63" s="2250" t="str">
        <f t="shared" si="12"/>
        <v/>
      </c>
      <c r="J63" s="2250" t="str">
        <f t="shared" si="12"/>
        <v/>
      </c>
      <c r="K63" s="2250" t="str">
        <f t="shared" si="12"/>
        <v/>
      </c>
      <c r="L63" s="2250" t="str">
        <f t="shared" si="12"/>
        <v/>
      </c>
      <c r="M63" s="2250" t="str">
        <f t="shared" si="12"/>
        <v/>
      </c>
      <c r="N63" s="2250" t="str">
        <f t="shared" si="12"/>
        <v/>
      </c>
      <c r="O63" s="2250" t="str">
        <f t="shared" si="12"/>
        <v/>
      </c>
      <c r="P63" s="2250" t="str">
        <f t="shared" si="12"/>
        <v/>
      </c>
      <c r="Q63" s="2250" t="str">
        <f t="shared" si="12"/>
        <v/>
      </c>
      <c r="R63" s="2250" t="str">
        <f t="shared" si="12"/>
        <v/>
      </c>
      <c r="S63" s="1215"/>
      <c r="T63" s="272"/>
    </row>
    <row r="64" spans="1:20" ht="15" customHeight="1" x14ac:dyDescent="0.2">
      <c r="A64" s="2637">
        <f t="shared" si="10"/>
        <v>0</v>
      </c>
      <c r="B64" s="284">
        <f t="shared" si="5"/>
        <v>57</v>
      </c>
      <c r="C64" s="1215"/>
      <c r="D64" s="1215"/>
      <c r="E64" s="2248" t="str">
        <f t="shared" si="9"/>
        <v/>
      </c>
      <c r="F64" s="2250" t="str">
        <f t="shared" si="12"/>
        <v/>
      </c>
      <c r="G64" s="2250" t="str">
        <f t="shared" si="12"/>
        <v/>
      </c>
      <c r="H64" s="2250" t="str">
        <f t="shared" si="12"/>
        <v/>
      </c>
      <c r="I64" s="2250" t="str">
        <f t="shared" si="12"/>
        <v/>
      </c>
      <c r="J64" s="2250" t="str">
        <f t="shared" si="12"/>
        <v/>
      </c>
      <c r="K64" s="2250" t="str">
        <f t="shared" si="12"/>
        <v/>
      </c>
      <c r="L64" s="2250" t="str">
        <f t="shared" si="12"/>
        <v/>
      </c>
      <c r="M64" s="2250" t="str">
        <f t="shared" si="12"/>
        <v/>
      </c>
      <c r="N64" s="2250" t="str">
        <f t="shared" si="12"/>
        <v/>
      </c>
      <c r="O64" s="2250" t="str">
        <f t="shared" si="12"/>
        <v/>
      </c>
      <c r="P64" s="2250" t="str">
        <f t="shared" si="12"/>
        <v/>
      </c>
      <c r="Q64" s="2250" t="str">
        <f t="shared" si="12"/>
        <v/>
      </c>
      <c r="R64" s="2250" t="str">
        <f t="shared" si="12"/>
        <v/>
      </c>
      <c r="S64" s="1215"/>
      <c r="T64" s="272"/>
    </row>
    <row r="65" spans="1:20" ht="15" customHeight="1" x14ac:dyDescent="0.2">
      <c r="A65" s="2637">
        <f t="shared" si="10"/>
        <v>0</v>
      </c>
      <c r="B65" s="284">
        <f t="shared" si="5"/>
        <v>58</v>
      </c>
      <c r="C65" s="1215"/>
      <c r="D65" s="1215"/>
      <c r="E65" s="2248" t="str">
        <f t="shared" si="9"/>
        <v/>
      </c>
      <c r="F65" s="2250" t="str">
        <f t="shared" si="12"/>
        <v/>
      </c>
      <c r="G65" s="2250" t="str">
        <f t="shared" si="12"/>
        <v/>
      </c>
      <c r="H65" s="2250" t="str">
        <f t="shared" si="12"/>
        <v/>
      </c>
      <c r="I65" s="2250" t="str">
        <f t="shared" si="12"/>
        <v/>
      </c>
      <c r="J65" s="2250" t="str">
        <f t="shared" si="12"/>
        <v/>
      </c>
      <c r="K65" s="2250" t="str">
        <f t="shared" si="12"/>
        <v/>
      </c>
      <c r="L65" s="2250" t="str">
        <f t="shared" si="12"/>
        <v/>
      </c>
      <c r="M65" s="2250" t="str">
        <f t="shared" si="12"/>
        <v/>
      </c>
      <c r="N65" s="2250" t="str">
        <f t="shared" si="12"/>
        <v/>
      </c>
      <c r="O65" s="2250" t="str">
        <f t="shared" si="12"/>
        <v/>
      </c>
      <c r="P65" s="2250" t="str">
        <f t="shared" si="12"/>
        <v/>
      </c>
      <c r="Q65" s="2250" t="str">
        <f t="shared" si="12"/>
        <v/>
      </c>
      <c r="R65" s="2250" t="str">
        <f t="shared" si="12"/>
        <v/>
      </c>
      <c r="S65" s="1215"/>
      <c r="T65" s="272"/>
    </row>
    <row r="66" spans="1:20" ht="15" customHeight="1" x14ac:dyDescent="0.2">
      <c r="A66" s="2637">
        <f t="shared" si="10"/>
        <v>0</v>
      </c>
      <c r="B66" s="284">
        <f t="shared" si="5"/>
        <v>59</v>
      </c>
      <c r="C66" s="1215"/>
      <c r="D66" s="1215"/>
      <c r="E66" s="2248" t="str">
        <f t="shared" si="9"/>
        <v/>
      </c>
      <c r="F66" s="2250" t="str">
        <f t="shared" si="12"/>
        <v/>
      </c>
      <c r="G66" s="2250" t="str">
        <f t="shared" si="12"/>
        <v/>
      </c>
      <c r="H66" s="2250" t="str">
        <f t="shared" si="12"/>
        <v/>
      </c>
      <c r="I66" s="2250" t="str">
        <f t="shared" si="12"/>
        <v/>
      </c>
      <c r="J66" s="2250" t="str">
        <f t="shared" si="12"/>
        <v/>
      </c>
      <c r="K66" s="2250" t="str">
        <f t="shared" si="12"/>
        <v/>
      </c>
      <c r="L66" s="2250" t="str">
        <f t="shared" si="12"/>
        <v/>
      </c>
      <c r="M66" s="2250" t="str">
        <f t="shared" si="12"/>
        <v/>
      </c>
      <c r="N66" s="2250" t="str">
        <f t="shared" si="12"/>
        <v/>
      </c>
      <c r="O66" s="2250" t="str">
        <f t="shared" si="12"/>
        <v/>
      </c>
      <c r="P66" s="2250" t="str">
        <f t="shared" si="12"/>
        <v/>
      </c>
      <c r="Q66" s="2250" t="str">
        <f t="shared" si="12"/>
        <v/>
      </c>
      <c r="R66" s="2250" t="str">
        <f t="shared" si="12"/>
        <v/>
      </c>
      <c r="S66" s="1215"/>
      <c r="T66" s="272"/>
    </row>
    <row r="67" spans="1:20" ht="15" customHeight="1" x14ac:dyDescent="0.2">
      <c r="A67" s="2637">
        <f t="shared" si="10"/>
        <v>0</v>
      </c>
      <c r="B67" s="284">
        <f t="shared" si="5"/>
        <v>60</v>
      </c>
      <c r="C67" s="1215"/>
      <c r="D67" s="1215"/>
      <c r="E67" s="2248" t="str">
        <f t="shared" si="9"/>
        <v/>
      </c>
      <c r="F67" s="2250" t="str">
        <f t="shared" si="12"/>
        <v/>
      </c>
      <c r="G67" s="2250" t="str">
        <f t="shared" si="12"/>
        <v/>
      </c>
      <c r="H67" s="2250" t="str">
        <f t="shared" si="12"/>
        <v/>
      </c>
      <c r="I67" s="2250" t="str">
        <f t="shared" si="12"/>
        <v/>
      </c>
      <c r="J67" s="2250" t="str">
        <f t="shared" si="12"/>
        <v/>
      </c>
      <c r="K67" s="2250" t="str">
        <f t="shared" si="12"/>
        <v/>
      </c>
      <c r="L67" s="2250" t="str">
        <f t="shared" si="12"/>
        <v/>
      </c>
      <c r="M67" s="2250" t="str">
        <f t="shared" si="12"/>
        <v/>
      </c>
      <c r="N67" s="2250" t="str">
        <f t="shared" si="12"/>
        <v/>
      </c>
      <c r="O67" s="2250" t="str">
        <f t="shared" si="12"/>
        <v/>
      </c>
      <c r="P67" s="2250" t="str">
        <f t="shared" si="12"/>
        <v/>
      </c>
      <c r="Q67" s="2250" t="str">
        <f t="shared" si="12"/>
        <v/>
      </c>
      <c r="R67" s="2250" t="str">
        <f t="shared" si="12"/>
        <v/>
      </c>
      <c r="S67" s="1215"/>
      <c r="T67" s="272"/>
    </row>
    <row r="68" spans="1:20" ht="15" customHeight="1" x14ac:dyDescent="0.2">
      <c r="A68" s="2637">
        <f t="shared" si="10"/>
        <v>0</v>
      </c>
      <c r="B68" s="284">
        <f t="shared" si="5"/>
        <v>61</v>
      </c>
      <c r="C68" s="1215"/>
      <c r="D68" s="1215"/>
      <c r="E68" s="2248" t="str">
        <f t="shared" si="9"/>
        <v/>
      </c>
      <c r="F68" s="2250" t="str">
        <f t="shared" si="12"/>
        <v/>
      </c>
      <c r="G68" s="2250" t="str">
        <f t="shared" si="12"/>
        <v/>
      </c>
      <c r="H68" s="2250" t="str">
        <f t="shared" si="12"/>
        <v/>
      </c>
      <c r="I68" s="2250" t="str">
        <f t="shared" si="12"/>
        <v/>
      </c>
      <c r="J68" s="2250" t="str">
        <f t="shared" si="12"/>
        <v/>
      </c>
      <c r="K68" s="2250" t="str">
        <f t="shared" si="12"/>
        <v/>
      </c>
      <c r="L68" s="2250" t="str">
        <f t="shared" si="12"/>
        <v/>
      </c>
      <c r="M68" s="2250" t="str">
        <f t="shared" si="12"/>
        <v/>
      </c>
      <c r="N68" s="2250" t="str">
        <f t="shared" si="12"/>
        <v/>
      </c>
      <c r="O68" s="2250" t="str">
        <f t="shared" si="12"/>
        <v/>
      </c>
      <c r="P68" s="2250" t="str">
        <f t="shared" si="12"/>
        <v/>
      </c>
      <c r="Q68" s="2250" t="str">
        <f t="shared" si="12"/>
        <v/>
      </c>
      <c r="R68" s="2250" t="str">
        <f t="shared" si="12"/>
        <v/>
      </c>
      <c r="S68" s="1215"/>
      <c r="T68" s="272"/>
    </row>
    <row r="69" spans="1:20" ht="15" customHeight="1" x14ac:dyDescent="0.2">
      <c r="A69" s="2637">
        <f t="shared" si="10"/>
        <v>0</v>
      </c>
      <c r="B69" s="284">
        <f t="shared" si="5"/>
        <v>62</v>
      </c>
      <c r="C69" s="1215"/>
      <c r="D69" s="1215"/>
      <c r="E69" s="2248" t="str">
        <f t="shared" si="9"/>
        <v/>
      </c>
      <c r="F69" s="2250" t="str">
        <f t="shared" ref="F69:R78" si="13">IF(ISERROR(INDEX(ARGUS_CashFlow3_Array,$B69,F$6)="TRUE"),"",IF(INDEX(ARGUS_CashFlow3_Array,$B69,F$6)="","",IF(OR($E69="Cash Flow Before Debt Service",$E69="  Potential Base Rent"),TEXT(INDEX(ARGUS_CashFlow3_Array,$B69,F$6),"$#,###"),IF($E69="  Average Occupancy Percentage",TEXT(INDEX(ARGUS_CashFlow3_Array,$B69,F$6),"0.0%"),TEXT(INDEX(ARGUS_CashFlow3_Array,$B69,F$6),"#,###")))))</f>
        <v/>
      </c>
      <c r="G69" s="2250" t="str">
        <f t="shared" si="13"/>
        <v/>
      </c>
      <c r="H69" s="2250" t="str">
        <f t="shared" si="13"/>
        <v/>
      </c>
      <c r="I69" s="2250" t="str">
        <f t="shared" si="13"/>
        <v/>
      </c>
      <c r="J69" s="2250" t="str">
        <f t="shared" si="13"/>
        <v/>
      </c>
      <c r="K69" s="2250" t="str">
        <f t="shared" si="13"/>
        <v/>
      </c>
      <c r="L69" s="2250" t="str">
        <f t="shared" si="13"/>
        <v/>
      </c>
      <c r="M69" s="2250" t="str">
        <f t="shared" si="13"/>
        <v/>
      </c>
      <c r="N69" s="2250" t="str">
        <f t="shared" si="13"/>
        <v/>
      </c>
      <c r="O69" s="2250" t="str">
        <f t="shared" si="13"/>
        <v/>
      </c>
      <c r="P69" s="2250" t="str">
        <f t="shared" si="13"/>
        <v/>
      </c>
      <c r="Q69" s="2250" t="str">
        <f t="shared" si="13"/>
        <v/>
      </c>
      <c r="R69" s="2250" t="str">
        <f t="shared" si="13"/>
        <v/>
      </c>
      <c r="S69" s="1215"/>
      <c r="T69" s="272"/>
    </row>
    <row r="70" spans="1:20" ht="15" customHeight="1" x14ac:dyDescent="0.2">
      <c r="A70" s="2637">
        <f t="shared" si="10"/>
        <v>0</v>
      </c>
      <c r="B70" s="284">
        <f t="shared" si="5"/>
        <v>63</v>
      </c>
      <c r="C70" s="1215"/>
      <c r="D70" s="1215"/>
      <c r="E70" s="2248" t="str">
        <f t="shared" si="9"/>
        <v/>
      </c>
      <c r="F70" s="2250" t="str">
        <f t="shared" si="13"/>
        <v/>
      </c>
      <c r="G70" s="2250" t="str">
        <f t="shared" si="13"/>
        <v/>
      </c>
      <c r="H70" s="2250" t="str">
        <f t="shared" si="13"/>
        <v/>
      </c>
      <c r="I70" s="2250" t="str">
        <f t="shared" si="13"/>
        <v/>
      </c>
      <c r="J70" s="2250" t="str">
        <f t="shared" si="13"/>
        <v/>
      </c>
      <c r="K70" s="2250" t="str">
        <f t="shared" si="13"/>
        <v/>
      </c>
      <c r="L70" s="2250" t="str">
        <f t="shared" si="13"/>
        <v/>
      </c>
      <c r="M70" s="2250" t="str">
        <f t="shared" si="13"/>
        <v/>
      </c>
      <c r="N70" s="2250" t="str">
        <f t="shared" si="13"/>
        <v/>
      </c>
      <c r="O70" s="2250" t="str">
        <f t="shared" si="13"/>
        <v/>
      </c>
      <c r="P70" s="2250" t="str">
        <f t="shared" si="13"/>
        <v/>
      </c>
      <c r="Q70" s="2250" t="str">
        <f t="shared" si="13"/>
        <v/>
      </c>
      <c r="R70" s="2250" t="str">
        <f t="shared" si="13"/>
        <v/>
      </c>
      <c r="S70" s="1215"/>
      <c r="T70" s="272"/>
    </row>
    <row r="71" spans="1:20" ht="15" customHeight="1" x14ac:dyDescent="0.2">
      <c r="A71" s="2637">
        <f t="shared" si="10"/>
        <v>0</v>
      </c>
      <c r="B71" s="284">
        <f t="shared" si="5"/>
        <v>64</v>
      </c>
      <c r="C71" s="1215"/>
      <c r="D71" s="1215"/>
      <c r="E71" s="2248" t="str">
        <f t="shared" si="9"/>
        <v/>
      </c>
      <c r="F71" s="2250" t="str">
        <f t="shared" si="13"/>
        <v/>
      </c>
      <c r="G71" s="2250" t="str">
        <f t="shared" si="13"/>
        <v/>
      </c>
      <c r="H71" s="2250" t="str">
        <f t="shared" si="13"/>
        <v/>
      </c>
      <c r="I71" s="2250" t="str">
        <f t="shared" si="13"/>
        <v/>
      </c>
      <c r="J71" s="2250" t="str">
        <f t="shared" si="13"/>
        <v/>
      </c>
      <c r="K71" s="2250" t="str">
        <f t="shared" si="13"/>
        <v/>
      </c>
      <c r="L71" s="2250" t="str">
        <f t="shared" si="13"/>
        <v/>
      </c>
      <c r="M71" s="2250" t="str">
        <f t="shared" si="13"/>
        <v/>
      </c>
      <c r="N71" s="2250" t="str">
        <f t="shared" si="13"/>
        <v/>
      </c>
      <c r="O71" s="2250" t="str">
        <f t="shared" si="13"/>
        <v/>
      </c>
      <c r="P71" s="2250" t="str">
        <f t="shared" si="13"/>
        <v/>
      </c>
      <c r="Q71" s="2250" t="str">
        <f t="shared" si="13"/>
        <v/>
      </c>
      <c r="R71" s="2250" t="str">
        <f t="shared" si="13"/>
        <v/>
      </c>
      <c r="S71" s="1215"/>
      <c r="T71" s="272"/>
    </row>
    <row r="72" spans="1:20" ht="15" customHeight="1" x14ac:dyDescent="0.2">
      <c r="A72" s="2637">
        <f t="shared" si="10"/>
        <v>0</v>
      </c>
      <c r="B72" s="284">
        <f t="shared" si="5"/>
        <v>65</v>
      </c>
      <c r="C72" s="1215"/>
      <c r="D72" s="1215"/>
      <c r="E72" s="2248" t="str">
        <f t="shared" ref="E72:E106" si="14">IF(ISERROR(INDEX(ARGUS_CashFlow3_Array,$B72,E$6)="TRUE"),"",IF(INDEX(ARGUS_CashFlow3_Array,$B72,E$6)="","",IF(OR($E72="Cash Flow Before Debt Service",$E72="  Potential Base Rent"),TEXT(INDEX(ARGUS_CashFlow3_Array,$B72,E$6),"$#,###"),IF($E72="  Average Occupancy Percentage",TEXT(INDEX(ARGUS_CashFlow3_Array,$B72,E$6),"0.0%"),TEXT(INDEX(ARGUS_CashFlow3_Array,$B72,E$6),"#,###")))))</f>
        <v/>
      </c>
      <c r="F72" s="2250" t="str">
        <f t="shared" si="13"/>
        <v/>
      </c>
      <c r="G72" s="2250" t="str">
        <f t="shared" si="13"/>
        <v/>
      </c>
      <c r="H72" s="2250" t="str">
        <f t="shared" si="13"/>
        <v/>
      </c>
      <c r="I72" s="2250" t="str">
        <f t="shared" si="13"/>
        <v/>
      </c>
      <c r="J72" s="2250" t="str">
        <f t="shared" si="13"/>
        <v/>
      </c>
      <c r="K72" s="2250" t="str">
        <f t="shared" si="13"/>
        <v/>
      </c>
      <c r="L72" s="2250" t="str">
        <f t="shared" si="13"/>
        <v/>
      </c>
      <c r="M72" s="2250" t="str">
        <f t="shared" si="13"/>
        <v/>
      </c>
      <c r="N72" s="2250" t="str">
        <f t="shared" si="13"/>
        <v/>
      </c>
      <c r="O72" s="2250" t="str">
        <f t="shared" si="13"/>
        <v/>
      </c>
      <c r="P72" s="2250" t="str">
        <f t="shared" si="13"/>
        <v/>
      </c>
      <c r="Q72" s="2250" t="str">
        <f t="shared" si="13"/>
        <v/>
      </c>
      <c r="R72" s="2250" t="str">
        <f t="shared" si="13"/>
        <v/>
      </c>
      <c r="S72" s="1215"/>
      <c r="T72" s="272"/>
    </row>
    <row r="73" spans="1:20" ht="15" customHeight="1" x14ac:dyDescent="0.2">
      <c r="A73" s="2637">
        <f t="shared" ref="A73:A106" si="15">IF(OR(AND(E72="",E73="",E74=""),E72="Cash Flow Available for Distribution",E73="Cash Flow Available for Distribution",E74="Cash Flow Available for Distribution"),0,1)</f>
        <v>0</v>
      </c>
      <c r="B73" s="284">
        <f t="shared" si="5"/>
        <v>66</v>
      </c>
      <c r="C73" s="1215"/>
      <c r="D73" s="1215"/>
      <c r="E73" s="2248" t="str">
        <f t="shared" si="14"/>
        <v/>
      </c>
      <c r="F73" s="2250" t="str">
        <f t="shared" si="13"/>
        <v/>
      </c>
      <c r="G73" s="2250" t="str">
        <f t="shared" si="13"/>
        <v/>
      </c>
      <c r="H73" s="2250" t="str">
        <f t="shared" si="13"/>
        <v/>
      </c>
      <c r="I73" s="2250" t="str">
        <f t="shared" si="13"/>
        <v/>
      </c>
      <c r="J73" s="2250" t="str">
        <f t="shared" si="13"/>
        <v/>
      </c>
      <c r="K73" s="2250" t="str">
        <f t="shared" si="13"/>
        <v/>
      </c>
      <c r="L73" s="2250" t="str">
        <f t="shared" si="13"/>
        <v/>
      </c>
      <c r="M73" s="2250" t="str">
        <f t="shared" si="13"/>
        <v/>
      </c>
      <c r="N73" s="2250" t="str">
        <f t="shared" si="13"/>
        <v/>
      </c>
      <c r="O73" s="2250" t="str">
        <f t="shared" si="13"/>
        <v/>
      </c>
      <c r="P73" s="2250" t="str">
        <f t="shared" si="13"/>
        <v/>
      </c>
      <c r="Q73" s="2250" t="str">
        <f t="shared" si="13"/>
        <v/>
      </c>
      <c r="R73" s="2250" t="str">
        <f t="shared" si="13"/>
        <v/>
      </c>
      <c r="S73" s="1215"/>
      <c r="T73" s="272"/>
    </row>
    <row r="74" spans="1:20" ht="15" customHeight="1" x14ac:dyDescent="0.2">
      <c r="A74" s="2637">
        <f t="shared" si="15"/>
        <v>0</v>
      </c>
      <c r="B74" s="284">
        <f t="shared" si="5"/>
        <v>67</v>
      </c>
      <c r="C74" s="1215"/>
      <c r="D74" s="1215"/>
      <c r="E74" s="2248" t="str">
        <f t="shared" si="14"/>
        <v/>
      </c>
      <c r="F74" s="2250" t="str">
        <f t="shared" si="13"/>
        <v/>
      </c>
      <c r="G74" s="2250" t="str">
        <f t="shared" si="13"/>
        <v/>
      </c>
      <c r="H74" s="2250" t="str">
        <f t="shared" si="13"/>
        <v/>
      </c>
      <c r="I74" s="2250" t="str">
        <f t="shared" si="13"/>
        <v/>
      </c>
      <c r="J74" s="2250" t="str">
        <f t="shared" si="13"/>
        <v/>
      </c>
      <c r="K74" s="2250" t="str">
        <f t="shared" si="13"/>
        <v/>
      </c>
      <c r="L74" s="2250" t="str">
        <f t="shared" si="13"/>
        <v/>
      </c>
      <c r="M74" s="2250" t="str">
        <f t="shared" si="13"/>
        <v/>
      </c>
      <c r="N74" s="2250" t="str">
        <f t="shared" si="13"/>
        <v/>
      </c>
      <c r="O74" s="2250" t="str">
        <f t="shared" si="13"/>
        <v/>
      </c>
      <c r="P74" s="2250" t="str">
        <f t="shared" si="13"/>
        <v/>
      </c>
      <c r="Q74" s="2250" t="str">
        <f t="shared" si="13"/>
        <v/>
      </c>
      <c r="R74" s="2250" t="str">
        <f t="shared" si="13"/>
        <v/>
      </c>
      <c r="S74" s="1215"/>
      <c r="T74" s="272"/>
    </row>
    <row r="75" spans="1:20" ht="15" customHeight="1" x14ac:dyDescent="0.2">
      <c r="A75" s="2637">
        <f t="shared" si="15"/>
        <v>0</v>
      </c>
      <c r="B75" s="284">
        <f t="shared" ref="B75:B106" si="16">B74+1</f>
        <v>68</v>
      </c>
      <c r="C75" s="1215"/>
      <c r="D75" s="1215"/>
      <c r="E75" s="2248" t="str">
        <f t="shared" si="14"/>
        <v/>
      </c>
      <c r="F75" s="2250" t="str">
        <f t="shared" si="13"/>
        <v/>
      </c>
      <c r="G75" s="2250" t="str">
        <f t="shared" si="13"/>
        <v/>
      </c>
      <c r="H75" s="2250" t="str">
        <f t="shared" si="13"/>
        <v/>
      </c>
      <c r="I75" s="2250" t="str">
        <f t="shared" si="13"/>
        <v/>
      </c>
      <c r="J75" s="2250" t="str">
        <f t="shared" si="13"/>
        <v/>
      </c>
      <c r="K75" s="2250" t="str">
        <f t="shared" si="13"/>
        <v/>
      </c>
      <c r="L75" s="2250" t="str">
        <f t="shared" si="13"/>
        <v/>
      </c>
      <c r="M75" s="2250" t="str">
        <f t="shared" si="13"/>
        <v/>
      </c>
      <c r="N75" s="2250" t="str">
        <f t="shared" si="13"/>
        <v/>
      </c>
      <c r="O75" s="2250" t="str">
        <f t="shared" si="13"/>
        <v/>
      </c>
      <c r="P75" s="2250" t="str">
        <f t="shared" si="13"/>
        <v/>
      </c>
      <c r="Q75" s="2250" t="str">
        <f t="shared" si="13"/>
        <v/>
      </c>
      <c r="R75" s="2250" t="str">
        <f t="shared" si="13"/>
        <v/>
      </c>
      <c r="S75" s="1215"/>
      <c r="T75" s="272"/>
    </row>
    <row r="76" spans="1:20" ht="15" customHeight="1" x14ac:dyDescent="0.2">
      <c r="A76" s="2637">
        <f t="shared" si="15"/>
        <v>0</v>
      </c>
      <c r="B76" s="284">
        <f t="shared" si="16"/>
        <v>69</v>
      </c>
      <c r="C76" s="1215"/>
      <c r="D76" s="1215"/>
      <c r="E76" s="2248" t="str">
        <f t="shared" si="14"/>
        <v/>
      </c>
      <c r="F76" s="2250" t="str">
        <f t="shared" si="13"/>
        <v/>
      </c>
      <c r="G76" s="2250" t="str">
        <f t="shared" si="13"/>
        <v/>
      </c>
      <c r="H76" s="2250" t="str">
        <f t="shared" si="13"/>
        <v/>
      </c>
      <c r="I76" s="2250" t="str">
        <f t="shared" si="13"/>
        <v/>
      </c>
      <c r="J76" s="2250" t="str">
        <f t="shared" si="13"/>
        <v/>
      </c>
      <c r="K76" s="2250" t="str">
        <f t="shared" si="13"/>
        <v/>
      </c>
      <c r="L76" s="2250" t="str">
        <f t="shared" si="13"/>
        <v/>
      </c>
      <c r="M76" s="2250" t="str">
        <f t="shared" si="13"/>
        <v/>
      </c>
      <c r="N76" s="2250" t="str">
        <f t="shared" si="13"/>
        <v/>
      </c>
      <c r="O76" s="2250" t="str">
        <f t="shared" si="13"/>
        <v/>
      </c>
      <c r="P76" s="2250" t="str">
        <f t="shared" si="13"/>
        <v/>
      </c>
      <c r="Q76" s="2250" t="str">
        <f t="shared" si="13"/>
        <v/>
      </c>
      <c r="R76" s="2250" t="str">
        <f t="shared" si="13"/>
        <v/>
      </c>
      <c r="S76" s="1215"/>
      <c r="T76" s="272"/>
    </row>
    <row r="77" spans="1:20" ht="15" customHeight="1" x14ac:dyDescent="0.2">
      <c r="A77" s="2637">
        <f t="shared" si="15"/>
        <v>0</v>
      </c>
      <c r="B77" s="284">
        <f t="shared" si="16"/>
        <v>70</v>
      </c>
      <c r="C77" s="1215"/>
      <c r="D77" s="1215"/>
      <c r="E77" s="2248" t="str">
        <f t="shared" si="14"/>
        <v/>
      </c>
      <c r="F77" s="2250" t="str">
        <f t="shared" si="13"/>
        <v/>
      </c>
      <c r="G77" s="2250" t="str">
        <f t="shared" si="13"/>
        <v/>
      </c>
      <c r="H77" s="2250" t="str">
        <f t="shared" si="13"/>
        <v/>
      </c>
      <c r="I77" s="2250" t="str">
        <f t="shared" si="13"/>
        <v/>
      </c>
      <c r="J77" s="2250" t="str">
        <f t="shared" si="13"/>
        <v/>
      </c>
      <c r="K77" s="2250" t="str">
        <f t="shared" si="13"/>
        <v/>
      </c>
      <c r="L77" s="2250" t="str">
        <f t="shared" si="13"/>
        <v/>
      </c>
      <c r="M77" s="2250" t="str">
        <f t="shared" si="13"/>
        <v/>
      </c>
      <c r="N77" s="2250" t="str">
        <f t="shared" si="13"/>
        <v/>
      </c>
      <c r="O77" s="2250" t="str">
        <f t="shared" si="13"/>
        <v/>
      </c>
      <c r="P77" s="2250" t="str">
        <f t="shared" si="13"/>
        <v/>
      </c>
      <c r="Q77" s="2250" t="str">
        <f t="shared" si="13"/>
        <v/>
      </c>
      <c r="R77" s="2250" t="str">
        <f t="shared" si="13"/>
        <v/>
      </c>
      <c r="S77" s="1215"/>
      <c r="T77" s="272"/>
    </row>
    <row r="78" spans="1:20" ht="15" customHeight="1" x14ac:dyDescent="0.2">
      <c r="A78" s="2637">
        <f t="shared" si="15"/>
        <v>0</v>
      </c>
      <c r="B78" s="284">
        <f t="shared" si="16"/>
        <v>71</v>
      </c>
      <c r="C78" s="1215"/>
      <c r="D78" s="1215"/>
      <c r="E78" s="2248" t="str">
        <f t="shared" si="14"/>
        <v/>
      </c>
      <c r="F78" s="2250" t="str">
        <f t="shared" si="13"/>
        <v/>
      </c>
      <c r="G78" s="2250" t="str">
        <f t="shared" si="13"/>
        <v/>
      </c>
      <c r="H78" s="2250" t="str">
        <f t="shared" si="13"/>
        <v/>
      </c>
      <c r="I78" s="2250" t="str">
        <f t="shared" si="13"/>
        <v/>
      </c>
      <c r="J78" s="2250" t="str">
        <f t="shared" si="13"/>
        <v/>
      </c>
      <c r="K78" s="2250" t="str">
        <f t="shared" si="13"/>
        <v/>
      </c>
      <c r="L78" s="2250" t="str">
        <f t="shared" si="13"/>
        <v/>
      </c>
      <c r="M78" s="2250" t="str">
        <f t="shared" si="13"/>
        <v/>
      </c>
      <c r="N78" s="2250" t="str">
        <f t="shared" si="13"/>
        <v/>
      </c>
      <c r="O78" s="2250" t="str">
        <f t="shared" si="13"/>
        <v/>
      </c>
      <c r="P78" s="2250" t="str">
        <f t="shared" si="13"/>
        <v/>
      </c>
      <c r="Q78" s="2250" t="str">
        <f t="shared" si="13"/>
        <v/>
      </c>
      <c r="R78" s="2250" t="str">
        <f t="shared" si="13"/>
        <v/>
      </c>
      <c r="S78" s="1215"/>
      <c r="T78" s="272"/>
    </row>
    <row r="79" spans="1:20" ht="15" customHeight="1" x14ac:dyDescent="0.2">
      <c r="A79" s="2637">
        <f t="shared" si="15"/>
        <v>0</v>
      </c>
      <c r="B79" s="284">
        <f t="shared" si="16"/>
        <v>72</v>
      </c>
      <c r="C79" s="1215"/>
      <c r="D79" s="1215"/>
      <c r="E79" s="2248" t="str">
        <f t="shared" si="14"/>
        <v/>
      </c>
      <c r="F79" s="2250" t="str">
        <f t="shared" ref="F79:R88" si="17">IF(ISERROR(INDEX(ARGUS_CashFlow3_Array,$B79,F$6)="TRUE"),"",IF(INDEX(ARGUS_CashFlow3_Array,$B79,F$6)="","",IF(OR($E79="Cash Flow Before Debt Service",$E79="  Potential Base Rent"),TEXT(INDEX(ARGUS_CashFlow3_Array,$B79,F$6),"$#,###"),IF($E79="  Average Occupancy Percentage",TEXT(INDEX(ARGUS_CashFlow3_Array,$B79,F$6),"0.0%"),TEXT(INDEX(ARGUS_CashFlow3_Array,$B79,F$6),"#,###")))))</f>
        <v/>
      </c>
      <c r="G79" s="2250" t="str">
        <f t="shared" si="17"/>
        <v/>
      </c>
      <c r="H79" s="2250" t="str">
        <f t="shared" si="17"/>
        <v/>
      </c>
      <c r="I79" s="2250" t="str">
        <f t="shared" si="17"/>
        <v/>
      </c>
      <c r="J79" s="2250" t="str">
        <f t="shared" si="17"/>
        <v/>
      </c>
      <c r="K79" s="2250" t="str">
        <f t="shared" si="17"/>
        <v/>
      </c>
      <c r="L79" s="2250" t="str">
        <f t="shared" si="17"/>
        <v/>
      </c>
      <c r="M79" s="2250" t="str">
        <f t="shared" si="17"/>
        <v/>
      </c>
      <c r="N79" s="2250" t="str">
        <f t="shared" si="17"/>
        <v/>
      </c>
      <c r="O79" s="2250" t="str">
        <f t="shared" si="17"/>
        <v/>
      </c>
      <c r="P79" s="2250" t="str">
        <f t="shared" si="17"/>
        <v/>
      </c>
      <c r="Q79" s="2250" t="str">
        <f t="shared" si="17"/>
        <v/>
      </c>
      <c r="R79" s="2250" t="str">
        <f t="shared" si="17"/>
        <v/>
      </c>
      <c r="S79" s="1215"/>
      <c r="T79" s="272"/>
    </row>
    <row r="80" spans="1:20" ht="15" customHeight="1" x14ac:dyDescent="0.2">
      <c r="A80" s="2637">
        <f t="shared" si="15"/>
        <v>0</v>
      </c>
      <c r="B80" s="284">
        <f t="shared" si="16"/>
        <v>73</v>
      </c>
      <c r="C80" s="1215"/>
      <c r="D80" s="1215"/>
      <c r="E80" s="2248" t="str">
        <f t="shared" si="14"/>
        <v/>
      </c>
      <c r="F80" s="2250" t="str">
        <f t="shared" si="17"/>
        <v/>
      </c>
      <c r="G80" s="2250" t="str">
        <f t="shared" si="17"/>
        <v/>
      </c>
      <c r="H80" s="2250" t="str">
        <f t="shared" si="17"/>
        <v/>
      </c>
      <c r="I80" s="2250" t="str">
        <f t="shared" si="17"/>
        <v/>
      </c>
      <c r="J80" s="2250" t="str">
        <f t="shared" si="17"/>
        <v/>
      </c>
      <c r="K80" s="2250" t="str">
        <f t="shared" si="17"/>
        <v/>
      </c>
      <c r="L80" s="2250" t="str">
        <f t="shared" si="17"/>
        <v/>
      </c>
      <c r="M80" s="2250" t="str">
        <f t="shared" si="17"/>
        <v/>
      </c>
      <c r="N80" s="2250" t="str">
        <f t="shared" si="17"/>
        <v/>
      </c>
      <c r="O80" s="2250" t="str">
        <f t="shared" si="17"/>
        <v/>
      </c>
      <c r="P80" s="2250" t="str">
        <f t="shared" si="17"/>
        <v/>
      </c>
      <c r="Q80" s="2250" t="str">
        <f t="shared" si="17"/>
        <v/>
      </c>
      <c r="R80" s="2250" t="str">
        <f t="shared" si="17"/>
        <v/>
      </c>
      <c r="S80" s="1215"/>
      <c r="T80" s="272"/>
    </row>
    <row r="81" spans="1:20" ht="15" customHeight="1" x14ac:dyDescent="0.2">
      <c r="A81" s="2637">
        <f t="shared" si="15"/>
        <v>0</v>
      </c>
      <c r="B81" s="284">
        <f t="shared" si="16"/>
        <v>74</v>
      </c>
      <c r="C81" s="1215"/>
      <c r="D81" s="1215"/>
      <c r="E81" s="2248" t="str">
        <f t="shared" si="14"/>
        <v/>
      </c>
      <c r="F81" s="2250" t="str">
        <f t="shared" si="17"/>
        <v/>
      </c>
      <c r="G81" s="2250" t="str">
        <f t="shared" si="17"/>
        <v/>
      </c>
      <c r="H81" s="2250" t="str">
        <f t="shared" si="17"/>
        <v/>
      </c>
      <c r="I81" s="2250" t="str">
        <f t="shared" si="17"/>
        <v/>
      </c>
      <c r="J81" s="2250" t="str">
        <f t="shared" si="17"/>
        <v/>
      </c>
      <c r="K81" s="2250" t="str">
        <f t="shared" si="17"/>
        <v/>
      </c>
      <c r="L81" s="2250" t="str">
        <f t="shared" si="17"/>
        <v/>
      </c>
      <c r="M81" s="2250" t="str">
        <f t="shared" si="17"/>
        <v/>
      </c>
      <c r="N81" s="2250" t="str">
        <f t="shared" si="17"/>
        <v/>
      </c>
      <c r="O81" s="2250" t="str">
        <f t="shared" si="17"/>
        <v/>
      </c>
      <c r="P81" s="2250" t="str">
        <f t="shared" si="17"/>
        <v/>
      </c>
      <c r="Q81" s="2250" t="str">
        <f t="shared" si="17"/>
        <v/>
      </c>
      <c r="R81" s="2250" t="str">
        <f t="shared" si="17"/>
        <v/>
      </c>
      <c r="S81" s="1215"/>
      <c r="T81" s="272"/>
    </row>
    <row r="82" spans="1:20" ht="15" customHeight="1" x14ac:dyDescent="0.2">
      <c r="A82" s="2637">
        <f t="shared" si="15"/>
        <v>0</v>
      </c>
      <c r="B82" s="284">
        <f t="shared" si="16"/>
        <v>75</v>
      </c>
      <c r="C82" s="1215"/>
      <c r="D82" s="1215"/>
      <c r="E82" s="2248" t="str">
        <f t="shared" si="14"/>
        <v/>
      </c>
      <c r="F82" s="2250" t="str">
        <f t="shared" si="17"/>
        <v/>
      </c>
      <c r="G82" s="2250" t="str">
        <f t="shared" si="17"/>
        <v/>
      </c>
      <c r="H82" s="2250" t="str">
        <f t="shared" si="17"/>
        <v/>
      </c>
      <c r="I82" s="2250" t="str">
        <f t="shared" si="17"/>
        <v/>
      </c>
      <c r="J82" s="2250" t="str">
        <f t="shared" si="17"/>
        <v/>
      </c>
      <c r="K82" s="2250" t="str">
        <f t="shared" si="17"/>
        <v/>
      </c>
      <c r="L82" s="2250" t="str">
        <f t="shared" si="17"/>
        <v/>
      </c>
      <c r="M82" s="2250" t="str">
        <f t="shared" si="17"/>
        <v/>
      </c>
      <c r="N82" s="2250" t="str">
        <f t="shared" si="17"/>
        <v/>
      </c>
      <c r="O82" s="2250" t="str">
        <f t="shared" si="17"/>
        <v/>
      </c>
      <c r="P82" s="2250" t="str">
        <f t="shared" si="17"/>
        <v/>
      </c>
      <c r="Q82" s="2250" t="str">
        <f t="shared" si="17"/>
        <v/>
      </c>
      <c r="R82" s="2250" t="str">
        <f t="shared" si="17"/>
        <v/>
      </c>
      <c r="S82" s="1215"/>
      <c r="T82" s="272"/>
    </row>
    <row r="83" spans="1:20" ht="15" customHeight="1" x14ac:dyDescent="0.2">
      <c r="A83" s="2637">
        <f t="shared" si="15"/>
        <v>0</v>
      </c>
      <c r="B83" s="284">
        <f t="shared" si="16"/>
        <v>76</v>
      </c>
      <c r="C83" s="1215"/>
      <c r="D83" s="1215"/>
      <c r="E83" s="2248" t="str">
        <f t="shared" si="14"/>
        <v/>
      </c>
      <c r="F83" s="2250" t="str">
        <f t="shared" si="17"/>
        <v/>
      </c>
      <c r="G83" s="2250" t="str">
        <f t="shared" si="17"/>
        <v/>
      </c>
      <c r="H83" s="2250" t="str">
        <f t="shared" si="17"/>
        <v/>
      </c>
      <c r="I83" s="2250" t="str">
        <f t="shared" si="17"/>
        <v/>
      </c>
      <c r="J83" s="2250" t="str">
        <f t="shared" si="17"/>
        <v/>
      </c>
      <c r="K83" s="2250" t="str">
        <f t="shared" si="17"/>
        <v/>
      </c>
      <c r="L83" s="2250" t="str">
        <f t="shared" si="17"/>
        <v/>
      </c>
      <c r="M83" s="2250" t="str">
        <f t="shared" si="17"/>
        <v/>
      </c>
      <c r="N83" s="2250" t="str">
        <f t="shared" si="17"/>
        <v/>
      </c>
      <c r="O83" s="2250" t="str">
        <f t="shared" si="17"/>
        <v/>
      </c>
      <c r="P83" s="2250" t="str">
        <f t="shared" si="17"/>
        <v/>
      </c>
      <c r="Q83" s="2250" t="str">
        <f t="shared" si="17"/>
        <v/>
      </c>
      <c r="R83" s="2250" t="str">
        <f t="shared" si="17"/>
        <v/>
      </c>
      <c r="S83" s="1215"/>
      <c r="T83" s="272"/>
    </row>
    <row r="84" spans="1:20" ht="15" customHeight="1" x14ac:dyDescent="0.2">
      <c r="A84" s="2637">
        <f t="shared" si="15"/>
        <v>0</v>
      </c>
      <c r="B84" s="284">
        <f t="shared" si="16"/>
        <v>77</v>
      </c>
      <c r="C84" s="1215"/>
      <c r="D84" s="1215"/>
      <c r="E84" s="2248" t="str">
        <f t="shared" si="14"/>
        <v/>
      </c>
      <c r="F84" s="2250" t="str">
        <f t="shared" si="17"/>
        <v/>
      </c>
      <c r="G84" s="2250" t="str">
        <f t="shared" si="17"/>
        <v/>
      </c>
      <c r="H84" s="2250" t="str">
        <f t="shared" si="17"/>
        <v/>
      </c>
      <c r="I84" s="2250" t="str">
        <f t="shared" si="17"/>
        <v/>
      </c>
      <c r="J84" s="2250" t="str">
        <f t="shared" si="17"/>
        <v/>
      </c>
      <c r="K84" s="2250" t="str">
        <f t="shared" si="17"/>
        <v/>
      </c>
      <c r="L84" s="2250" t="str">
        <f t="shared" si="17"/>
        <v/>
      </c>
      <c r="M84" s="2250" t="str">
        <f t="shared" si="17"/>
        <v/>
      </c>
      <c r="N84" s="2250" t="str">
        <f t="shared" si="17"/>
        <v/>
      </c>
      <c r="O84" s="2250" t="str">
        <f t="shared" si="17"/>
        <v/>
      </c>
      <c r="P84" s="2250" t="str">
        <f t="shared" si="17"/>
        <v/>
      </c>
      <c r="Q84" s="2250" t="str">
        <f t="shared" si="17"/>
        <v/>
      </c>
      <c r="R84" s="2250" t="str">
        <f t="shared" si="17"/>
        <v/>
      </c>
      <c r="S84" s="1215"/>
      <c r="T84" s="272"/>
    </row>
    <row r="85" spans="1:20" ht="15" customHeight="1" x14ac:dyDescent="0.2">
      <c r="A85" s="2637">
        <f t="shared" si="15"/>
        <v>0</v>
      </c>
      <c r="B85" s="284">
        <f t="shared" si="16"/>
        <v>78</v>
      </c>
      <c r="C85" s="1215"/>
      <c r="D85" s="1215"/>
      <c r="E85" s="2248" t="str">
        <f t="shared" si="14"/>
        <v/>
      </c>
      <c r="F85" s="2250" t="str">
        <f t="shared" si="17"/>
        <v/>
      </c>
      <c r="G85" s="2250" t="str">
        <f t="shared" si="17"/>
        <v/>
      </c>
      <c r="H85" s="2250" t="str">
        <f t="shared" si="17"/>
        <v/>
      </c>
      <c r="I85" s="2250" t="str">
        <f t="shared" si="17"/>
        <v/>
      </c>
      <c r="J85" s="2250" t="str">
        <f t="shared" si="17"/>
        <v/>
      </c>
      <c r="K85" s="2250" t="str">
        <f t="shared" si="17"/>
        <v/>
      </c>
      <c r="L85" s="2250" t="str">
        <f t="shared" si="17"/>
        <v/>
      </c>
      <c r="M85" s="2250" t="str">
        <f t="shared" si="17"/>
        <v/>
      </c>
      <c r="N85" s="2250" t="str">
        <f t="shared" si="17"/>
        <v/>
      </c>
      <c r="O85" s="2250" t="str">
        <f t="shared" si="17"/>
        <v/>
      </c>
      <c r="P85" s="2250" t="str">
        <f t="shared" si="17"/>
        <v/>
      </c>
      <c r="Q85" s="2250" t="str">
        <f t="shared" si="17"/>
        <v/>
      </c>
      <c r="R85" s="2250" t="str">
        <f t="shared" si="17"/>
        <v/>
      </c>
      <c r="S85" s="1215"/>
      <c r="T85" s="272"/>
    </row>
    <row r="86" spans="1:20" ht="15" customHeight="1" x14ac:dyDescent="0.2">
      <c r="A86" s="2637">
        <f t="shared" si="15"/>
        <v>0</v>
      </c>
      <c r="B86" s="284">
        <f t="shared" si="16"/>
        <v>79</v>
      </c>
      <c r="C86" s="1215"/>
      <c r="D86" s="1215"/>
      <c r="E86" s="2248" t="str">
        <f t="shared" si="14"/>
        <v/>
      </c>
      <c r="F86" s="2250" t="str">
        <f t="shared" si="17"/>
        <v/>
      </c>
      <c r="G86" s="2250" t="str">
        <f t="shared" si="17"/>
        <v/>
      </c>
      <c r="H86" s="2250" t="str">
        <f t="shared" si="17"/>
        <v/>
      </c>
      <c r="I86" s="2250" t="str">
        <f t="shared" si="17"/>
        <v/>
      </c>
      <c r="J86" s="2250" t="str">
        <f t="shared" si="17"/>
        <v/>
      </c>
      <c r="K86" s="2250" t="str">
        <f t="shared" si="17"/>
        <v/>
      </c>
      <c r="L86" s="2250" t="str">
        <f t="shared" si="17"/>
        <v/>
      </c>
      <c r="M86" s="2250" t="str">
        <f t="shared" si="17"/>
        <v/>
      </c>
      <c r="N86" s="2250" t="str">
        <f t="shared" si="17"/>
        <v/>
      </c>
      <c r="O86" s="2250" t="str">
        <f t="shared" si="17"/>
        <v/>
      </c>
      <c r="P86" s="2250" t="str">
        <f t="shared" si="17"/>
        <v/>
      </c>
      <c r="Q86" s="2250" t="str">
        <f t="shared" si="17"/>
        <v/>
      </c>
      <c r="R86" s="2250" t="str">
        <f t="shared" si="17"/>
        <v/>
      </c>
      <c r="S86" s="1215"/>
      <c r="T86" s="272"/>
    </row>
    <row r="87" spans="1:20" ht="15" customHeight="1" x14ac:dyDescent="0.2">
      <c r="A87" s="2637">
        <f t="shared" si="15"/>
        <v>0</v>
      </c>
      <c r="B87" s="284">
        <f t="shared" si="16"/>
        <v>80</v>
      </c>
      <c r="C87" s="1215"/>
      <c r="D87" s="1215"/>
      <c r="E87" s="2248" t="str">
        <f t="shared" si="14"/>
        <v/>
      </c>
      <c r="F87" s="2250" t="str">
        <f t="shared" si="17"/>
        <v/>
      </c>
      <c r="G87" s="2250" t="str">
        <f t="shared" si="17"/>
        <v/>
      </c>
      <c r="H87" s="2250" t="str">
        <f t="shared" si="17"/>
        <v/>
      </c>
      <c r="I87" s="2250" t="str">
        <f t="shared" si="17"/>
        <v/>
      </c>
      <c r="J87" s="2250" t="str">
        <f t="shared" si="17"/>
        <v/>
      </c>
      <c r="K87" s="2250" t="str">
        <f t="shared" si="17"/>
        <v/>
      </c>
      <c r="L87" s="2250" t="str">
        <f t="shared" si="17"/>
        <v/>
      </c>
      <c r="M87" s="2250" t="str">
        <f t="shared" si="17"/>
        <v/>
      </c>
      <c r="N87" s="2250" t="str">
        <f t="shared" si="17"/>
        <v/>
      </c>
      <c r="O87" s="2250" t="str">
        <f t="shared" si="17"/>
        <v/>
      </c>
      <c r="P87" s="2250" t="str">
        <f t="shared" si="17"/>
        <v/>
      </c>
      <c r="Q87" s="2250" t="str">
        <f t="shared" si="17"/>
        <v/>
      </c>
      <c r="R87" s="2250" t="str">
        <f t="shared" si="17"/>
        <v/>
      </c>
      <c r="S87" s="1215"/>
      <c r="T87" s="272"/>
    </row>
    <row r="88" spans="1:20" ht="15" customHeight="1" x14ac:dyDescent="0.2">
      <c r="A88" s="2637">
        <f t="shared" si="15"/>
        <v>0</v>
      </c>
      <c r="B88" s="284">
        <f t="shared" si="16"/>
        <v>81</v>
      </c>
      <c r="C88" s="1215"/>
      <c r="D88" s="1215"/>
      <c r="E88" s="2248" t="str">
        <f t="shared" si="14"/>
        <v/>
      </c>
      <c r="F88" s="2250" t="str">
        <f t="shared" si="17"/>
        <v/>
      </c>
      <c r="G88" s="2250" t="str">
        <f t="shared" si="17"/>
        <v/>
      </c>
      <c r="H88" s="2250" t="str">
        <f t="shared" si="17"/>
        <v/>
      </c>
      <c r="I88" s="2250" t="str">
        <f t="shared" si="17"/>
        <v/>
      </c>
      <c r="J88" s="2250" t="str">
        <f t="shared" si="17"/>
        <v/>
      </c>
      <c r="K88" s="2250" t="str">
        <f t="shared" si="17"/>
        <v/>
      </c>
      <c r="L88" s="2250" t="str">
        <f t="shared" si="17"/>
        <v/>
      </c>
      <c r="M88" s="2250" t="str">
        <f t="shared" si="17"/>
        <v/>
      </c>
      <c r="N88" s="2250" t="str">
        <f t="shared" si="17"/>
        <v/>
      </c>
      <c r="O88" s="2250" t="str">
        <f t="shared" si="17"/>
        <v/>
      </c>
      <c r="P88" s="2250" t="str">
        <f t="shared" si="17"/>
        <v/>
      </c>
      <c r="Q88" s="2250" t="str">
        <f t="shared" si="17"/>
        <v/>
      </c>
      <c r="R88" s="2250" t="str">
        <f t="shared" si="17"/>
        <v/>
      </c>
      <c r="S88" s="1215"/>
      <c r="T88" s="272"/>
    </row>
    <row r="89" spans="1:20" ht="15" customHeight="1" x14ac:dyDescent="0.2">
      <c r="A89" s="2637">
        <f t="shared" si="15"/>
        <v>0</v>
      </c>
      <c r="B89" s="284">
        <f t="shared" si="16"/>
        <v>82</v>
      </c>
      <c r="C89" s="1215"/>
      <c r="D89" s="1215"/>
      <c r="E89" s="2248" t="str">
        <f t="shared" si="14"/>
        <v/>
      </c>
      <c r="F89" s="2250" t="str">
        <f t="shared" ref="F89:R98" si="18">IF(ISERROR(INDEX(ARGUS_CashFlow3_Array,$B89,F$6)="TRUE"),"",IF(INDEX(ARGUS_CashFlow3_Array,$B89,F$6)="","",IF(OR($E89="Cash Flow Before Debt Service",$E89="  Potential Base Rent"),TEXT(INDEX(ARGUS_CashFlow3_Array,$B89,F$6),"$#,###"),IF($E89="  Average Occupancy Percentage",TEXT(INDEX(ARGUS_CashFlow3_Array,$B89,F$6),"0.0%"),TEXT(INDEX(ARGUS_CashFlow3_Array,$B89,F$6),"#,###")))))</f>
        <v/>
      </c>
      <c r="G89" s="2250" t="str">
        <f t="shared" si="18"/>
        <v/>
      </c>
      <c r="H89" s="2250" t="str">
        <f t="shared" si="18"/>
        <v/>
      </c>
      <c r="I89" s="2250" t="str">
        <f t="shared" si="18"/>
        <v/>
      </c>
      <c r="J89" s="2250" t="str">
        <f t="shared" si="18"/>
        <v/>
      </c>
      <c r="K89" s="2250" t="str">
        <f t="shared" si="18"/>
        <v/>
      </c>
      <c r="L89" s="2250" t="str">
        <f t="shared" si="18"/>
        <v/>
      </c>
      <c r="M89" s="2250" t="str">
        <f t="shared" si="18"/>
        <v/>
      </c>
      <c r="N89" s="2250" t="str">
        <f t="shared" si="18"/>
        <v/>
      </c>
      <c r="O89" s="2250" t="str">
        <f t="shared" si="18"/>
        <v/>
      </c>
      <c r="P89" s="2250" t="str">
        <f t="shared" si="18"/>
        <v/>
      </c>
      <c r="Q89" s="2250" t="str">
        <f t="shared" si="18"/>
        <v/>
      </c>
      <c r="R89" s="2250" t="str">
        <f t="shared" si="18"/>
        <v/>
      </c>
      <c r="S89" s="1215"/>
      <c r="T89" s="272"/>
    </row>
    <row r="90" spans="1:20" ht="15" customHeight="1" x14ac:dyDescent="0.2">
      <c r="A90" s="2637">
        <f t="shared" si="15"/>
        <v>0</v>
      </c>
      <c r="B90" s="284">
        <f t="shared" si="16"/>
        <v>83</v>
      </c>
      <c r="C90" s="1215"/>
      <c r="D90" s="1215"/>
      <c r="E90" s="2248" t="str">
        <f t="shared" si="14"/>
        <v/>
      </c>
      <c r="F90" s="2250" t="str">
        <f t="shared" si="18"/>
        <v/>
      </c>
      <c r="G90" s="2250" t="str">
        <f t="shared" si="18"/>
        <v/>
      </c>
      <c r="H90" s="2250" t="str">
        <f t="shared" si="18"/>
        <v/>
      </c>
      <c r="I90" s="2250" t="str">
        <f t="shared" si="18"/>
        <v/>
      </c>
      <c r="J90" s="2250" t="str">
        <f t="shared" si="18"/>
        <v/>
      </c>
      <c r="K90" s="2250" t="str">
        <f t="shared" si="18"/>
        <v/>
      </c>
      <c r="L90" s="2250" t="str">
        <f t="shared" si="18"/>
        <v/>
      </c>
      <c r="M90" s="2250" t="str">
        <f t="shared" si="18"/>
        <v/>
      </c>
      <c r="N90" s="2250" t="str">
        <f t="shared" si="18"/>
        <v/>
      </c>
      <c r="O90" s="2250" t="str">
        <f t="shared" si="18"/>
        <v/>
      </c>
      <c r="P90" s="2250" t="str">
        <f t="shared" si="18"/>
        <v/>
      </c>
      <c r="Q90" s="2250" t="str">
        <f t="shared" si="18"/>
        <v/>
      </c>
      <c r="R90" s="2250" t="str">
        <f t="shared" si="18"/>
        <v/>
      </c>
      <c r="S90" s="1215"/>
      <c r="T90" s="272"/>
    </row>
    <row r="91" spans="1:20" ht="15" customHeight="1" x14ac:dyDescent="0.2">
      <c r="A91" s="2637">
        <f t="shared" si="15"/>
        <v>0</v>
      </c>
      <c r="B91" s="284">
        <f t="shared" si="16"/>
        <v>84</v>
      </c>
      <c r="C91" s="1215"/>
      <c r="D91" s="1215"/>
      <c r="E91" s="2248" t="str">
        <f t="shared" si="14"/>
        <v/>
      </c>
      <c r="F91" s="2250" t="str">
        <f t="shared" si="18"/>
        <v/>
      </c>
      <c r="G91" s="2250" t="str">
        <f t="shared" si="18"/>
        <v/>
      </c>
      <c r="H91" s="2250" t="str">
        <f t="shared" si="18"/>
        <v/>
      </c>
      <c r="I91" s="2250" t="str">
        <f t="shared" si="18"/>
        <v/>
      </c>
      <c r="J91" s="2250" t="str">
        <f t="shared" si="18"/>
        <v/>
      </c>
      <c r="K91" s="2250" t="str">
        <f t="shared" si="18"/>
        <v/>
      </c>
      <c r="L91" s="2250" t="str">
        <f t="shared" si="18"/>
        <v/>
      </c>
      <c r="M91" s="2250" t="str">
        <f t="shared" si="18"/>
        <v/>
      </c>
      <c r="N91" s="2250" t="str">
        <f t="shared" si="18"/>
        <v/>
      </c>
      <c r="O91" s="2250" t="str">
        <f t="shared" si="18"/>
        <v/>
      </c>
      <c r="P91" s="2250" t="str">
        <f t="shared" si="18"/>
        <v/>
      </c>
      <c r="Q91" s="2250" t="str">
        <f t="shared" si="18"/>
        <v/>
      </c>
      <c r="R91" s="2250" t="str">
        <f t="shared" si="18"/>
        <v/>
      </c>
      <c r="S91" s="1215"/>
      <c r="T91" s="272"/>
    </row>
    <row r="92" spans="1:20" ht="15" customHeight="1" x14ac:dyDescent="0.2">
      <c r="A92" s="2637">
        <f t="shared" si="15"/>
        <v>0</v>
      </c>
      <c r="B92" s="284">
        <f t="shared" si="16"/>
        <v>85</v>
      </c>
      <c r="C92" s="1215"/>
      <c r="D92" s="1215"/>
      <c r="E92" s="2248" t="str">
        <f t="shared" si="14"/>
        <v/>
      </c>
      <c r="F92" s="2250" t="str">
        <f t="shared" si="18"/>
        <v/>
      </c>
      <c r="G92" s="2250" t="str">
        <f t="shared" si="18"/>
        <v/>
      </c>
      <c r="H92" s="2250" t="str">
        <f t="shared" si="18"/>
        <v/>
      </c>
      <c r="I92" s="2250" t="str">
        <f t="shared" si="18"/>
        <v/>
      </c>
      <c r="J92" s="2250" t="str">
        <f t="shared" si="18"/>
        <v/>
      </c>
      <c r="K92" s="2250" t="str">
        <f t="shared" si="18"/>
        <v/>
      </c>
      <c r="L92" s="2250" t="str">
        <f t="shared" si="18"/>
        <v/>
      </c>
      <c r="M92" s="2250" t="str">
        <f t="shared" si="18"/>
        <v/>
      </c>
      <c r="N92" s="2250" t="str">
        <f t="shared" si="18"/>
        <v/>
      </c>
      <c r="O92" s="2250" t="str">
        <f t="shared" si="18"/>
        <v/>
      </c>
      <c r="P92" s="2250" t="str">
        <f t="shared" si="18"/>
        <v/>
      </c>
      <c r="Q92" s="2250" t="str">
        <f t="shared" si="18"/>
        <v/>
      </c>
      <c r="R92" s="2250" t="str">
        <f t="shared" si="18"/>
        <v/>
      </c>
      <c r="S92" s="1215"/>
      <c r="T92" s="272"/>
    </row>
    <row r="93" spans="1:20" ht="15" customHeight="1" x14ac:dyDescent="0.2">
      <c r="A93" s="2637">
        <f t="shared" si="15"/>
        <v>0</v>
      </c>
      <c r="B93" s="284">
        <f t="shared" si="16"/>
        <v>86</v>
      </c>
      <c r="C93" s="1215"/>
      <c r="D93" s="1215"/>
      <c r="E93" s="2248" t="str">
        <f t="shared" si="14"/>
        <v/>
      </c>
      <c r="F93" s="2250" t="str">
        <f t="shared" si="18"/>
        <v/>
      </c>
      <c r="G93" s="2250" t="str">
        <f t="shared" si="18"/>
        <v/>
      </c>
      <c r="H93" s="2250" t="str">
        <f t="shared" si="18"/>
        <v/>
      </c>
      <c r="I93" s="2250" t="str">
        <f t="shared" si="18"/>
        <v/>
      </c>
      <c r="J93" s="2250" t="str">
        <f t="shared" si="18"/>
        <v/>
      </c>
      <c r="K93" s="2250" t="str">
        <f t="shared" si="18"/>
        <v/>
      </c>
      <c r="L93" s="2250" t="str">
        <f t="shared" si="18"/>
        <v/>
      </c>
      <c r="M93" s="2250" t="str">
        <f t="shared" si="18"/>
        <v/>
      </c>
      <c r="N93" s="2250" t="str">
        <f t="shared" si="18"/>
        <v/>
      </c>
      <c r="O93" s="2250" t="str">
        <f t="shared" si="18"/>
        <v/>
      </c>
      <c r="P93" s="2250" t="str">
        <f t="shared" si="18"/>
        <v/>
      </c>
      <c r="Q93" s="2250" t="str">
        <f t="shared" si="18"/>
        <v/>
      </c>
      <c r="R93" s="2250" t="str">
        <f t="shared" si="18"/>
        <v/>
      </c>
      <c r="S93" s="1215"/>
      <c r="T93" s="272"/>
    </row>
    <row r="94" spans="1:20" ht="15" customHeight="1" x14ac:dyDescent="0.2">
      <c r="A94" s="2637">
        <f t="shared" si="15"/>
        <v>0</v>
      </c>
      <c r="B94" s="284">
        <f t="shared" si="16"/>
        <v>87</v>
      </c>
      <c r="C94" s="1215"/>
      <c r="D94" s="1215"/>
      <c r="E94" s="2248" t="str">
        <f t="shared" si="14"/>
        <v/>
      </c>
      <c r="F94" s="2250" t="str">
        <f t="shared" si="18"/>
        <v/>
      </c>
      <c r="G94" s="2250" t="str">
        <f t="shared" si="18"/>
        <v/>
      </c>
      <c r="H94" s="2250" t="str">
        <f t="shared" si="18"/>
        <v/>
      </c>
      <c r="I94" s="2250" t="str">
        <f t="shared" si="18"/>
        <v/>
      </c>
      <c r="J94" s="2250" t="str">
        <f t="shared" si="18"/>
        <v/>
      </c>
      <c r="K94" s="2250" t="str">
        <f t="shared" si="18"/>
        <v/>
      </c>
      <c r="L94" s="2250" t="str">
        <f t="shared" si="18"/>
        <v/>
      </c>
      <c r="M94" s="2250" t="str">
        <f t="shared" si="18"/>
        <v/>
      </c>
      <c r="N94" s="2250" t="str">
        <f t="shared" si="18"/>
        <v/>
      </c>
      <c r="O94" s="2250" t="str">
        <f t="shared" si="18"/>
        <v/>
      </c>
      <c r="P94" s="2250" t="str">
        <f t="shared" si="18"/>
        <v/>
      </c>
      <c r="Q94" s="2250" t="str">
        <f t="shared" si="18"/>
        <v/>
      </c>
      <c r="R94" s="2250" t="str">
        <f t="shared" si="18"/>
        <v/>
      </c>
      <c r="S94" s="1215"/>
      <c r="T94" s="272"/>
    </row>
    <row r="95" spans="1:20" ht="15" customHeight="1" x14ac:dyDescent="0.2">
      <c r="A95" s="2637">
        <f t="shared" si="15"/>
        <v>0</v>
      </c>
      <c r="B95" s="284">
        <f t="shared" si="16"/>
        <v>88</v>
      </c>
      <c r="C95" s="1215"/>
      <c r="D95" s="1215"/>
      <c r="E95" s="2248" t="str">
        <f t="shared" si="14"/>
        <v/>
      </c>
      <c r="F95" s="2250" t="str">
        <f t="shared" si="18"/>
        <v/>
      </c>
      <c r="G95" s="2250" t="str">
        <f t="shared" si="18"/>
        <v/>
      </c>
      <c r="H95" s="2250" t="str">
        <f t="shared" si="18"/>
        <v/>
      </c>
      <c r="I95" s="2250" t="str">
        <f t="shared" si="18"/>
        <v/>
      </c>
      <c r="J95" s="2250" t="str">
        <f t="shared" si="18"/>
        <v/>
      </c>
      <c r="K95" s="2250" t="str">
        <f t="shared" si="18"/>
        <v/>
      </c>
      <c r="L95" s="2250" t="str">
        <f t="shared" si="18"/>
        <v/>
      </c>
      <c r="M95" s="2250" t="str">
        <f t="shared" si="18"/>
        <v/>
      </c>
      <c r="N95" s="2250" t="str">
        <f t="shared" si="18"/>
        <v/>
      </c>
      <c r="O95" s="2250" t="str">
        <f t="shared" si="18"/>
        <v/>
      </c>
      <c r="P95" s="2250" t="str">
        <f t="shared" si="18"/>
        <v/>
      </c>
      <c r="Q95" s="2250" t="str">
        <f t="shared" si="18"/>
        <v/>
      </c>
      <c r="R95" s="2250" t="str">
        <f t="shared" si="18"/>
        <v/>
      </c>
      <c r="S95" s="1215"/>
      <c r="T95" s="272"/>
    </row>
    <row r="96" spans="1:20" ht="15" customHeight="1" x14ac:dyDescent="0.2">
      <c r="A96" s="2637">
        <f t="shared" si="15"/>
        <v>0</v>
      </c>
      <c r="B96" s="284">
        <f t="shared" si="16"/>
        <v>89</v>
      </c>
      <c r="C96" s="1215"/>
      <c r="D96" s="1215"/>
      <c r="E96" s="2248" t="str">
        <f t="shared" si="14"/>
        <v/>
      </c>
      <c r="F96" s="2250" t="str">
        <f t="shared" si="18"/>
        <v/>
      </c>
      <c r="G96" s="2250" t="str">
        <f t="shared" si="18"/>
        <v/>
      </c>
      <c r="H96" s="2250" t="str">
        <f t="shared" si="18"/>
        <v/>
      </c>
      <c r="I96" s="2250" t="str">
        <f t="shared" si="18"/>
        <v/>
      </c>
      <c r="J96" s="2250" t="str">
        <f t="shared" si="18"/>
        <v/>
      </c>
      <c r="K96" s="2250" t="str">
        <f t="shared" si="18"/>
        <v/>
      </c>
      <c r="L96" s="2250" t="str">
        <f t="shared" si="18"/>
        <v/>
      </c>
      <c r="M96" s="2250" t="str">
        <f t="shared" si="18"/>
        <v/>
      </c>
      <c r="N96" s="2250" t="str">
        <f t="shared" si="18"/>
        <v/>
      </c>
      <c r="O96" s="2250" t="str">
        <f t="shared" si="18"/>
        <v/>
      </c>
      <c r="P96" s="2250" t="str">
        <f t="shared" si="18"/>
        <v/>
      </c>
      <c r="Q96" s="2250" t="str">
        <f t="shared" si="18"/>
        <v/>
      </c>
      <c r="R96" s="2250" t="str">
        <f t="shared" si="18"/>
        <v/>
      </c>
      <c r="S96" s="1215"/>
      <c r="T96" s="272"/>
    </row>
    <row r="97" spans="1:20" ht="15" customHeight="1" x14ac:dyDescent="0.2">
      <c r="A97" s="2637">
        <f t="shared" si="15"/>
        <v>0</v>
      </c>
      <c r="B97" s="284">
        <f t="shared" si="16"/>
        <v>90</v>
      </c>
      <c r="C97" s="1215"/>
      <c r="D97" s="1215"/>
      <c r="E97" s="2248" t="str">
        <f t="shared" si="14"/>
        <v/>
      </c>
      <c r="F97" s="2250" t="str">
        <f t="shared" si="18"/>
        <v/>
      </c>
      <c r="G97" s="2250" t="str">
        <f t="shared" si="18"/>
        <v/>
      </c>
      <c r="H97" s="2250" t="str">
        <f t="shared" si="18"/>
        <v/>
      </c>
      <c r="I97" s="2250" t="str">
        <f t="shared" si="18"/>
        <v/>
      </c>
      <c r="J97" s="2250" t="str">
        <f t="shared" si="18"/>
        <v/>
      </c>
      <c r="K97" s="2250" t="str">
        <f t="shared" si="18"/>
        <v/>
      </c>
      <c r="L97" s="2250" t="str">
        <f t="shared" si="18"/>
        <v/>
      </c>
      <c r="M97" s="2250" t="str">
        <f t="shared" si="18"/>
        <v/>
      </c>
      <c r="N97" s="2250" t="str">
        <f t="shared" si="18"/>
        <v/>
      </c>
      <c r="O97" s="2250" t="str">
        <f t="shared" si="18"/>
        <v/>
      </c>
      <c r="P97" s="2250" t="str">
        <f t="shared" si="18"/>
        <v/>
      </c>
      <c r="Q97" s="2250" t="str">
        <f t="shared" si="18"/>
        <v/>
      </c>
      <c r="R97" s="2250" t="str">
        <f t="shared" si="18"/>
        <v/>
      </c>
      <c r="S97" s="1215"/>
      <c r="T97" s="272"/>
    </row>
    <row r="98" spans="1:20" ht="15" customHeight="1" x14ac:dyDescent="0.2">
      <c r="A98" s="2637">
        <f t="shared" si="15"/>
        <v>0</v>
      </c>
      <c r="B98" s="284">
        <f t="shared" si="16"/>
        <v>91</v>
      </c>
      <c r="C98" s="1215"/>
      <c r="D98" s="1215"/>
      <c r="E98" s="2248" t="str">
        <f t="shared" si="14"/>
        <v/>
      </c>
      <c r="F98" s="2250" t="str">
        <f t="shared" si="18"/>
        <v/>
      </c>
      <c r="G98" s="2250" t="str">
        <f t="shared" si="18"/>
        <v/>
      </c>
      <c r="H98" s="2250" t="str">
        <f t="shared" si="18"/>
        <v/>
      </c>
      <c r="I98" s="2250" t="str">
        <f t="shared" si="18"/>
        <v/>
      </c>
      <c r="J98" s="2250" t="str">
        <f t="shared" si="18"/>
        <v/>
      </c>
      <c r="K98" s="2250" t="str">
        <f t="shared" si="18"/>
        <v/>
      </c>
      <c r="L98" s="2250" t="str">
        <f t="shared" si="18"/>
        <v/>
      </c>
      <c r="M98" s="2250" t="str">
        <f t="shared" si="18"/>
        <v/>
      </c>
      <c r="N98" s="2250" t="str">
        <f t="shared" si="18"/>
        <v/>
      </c>
      <c r="O98" s="2250" t="str">
        <f t="shared" si="18"/>
        <v/>
      </c>
      <c r="P98" s="2250" t="str">
        <f t="shared" si="18"/>
        <v/>
      </c>
      <c r="Q98" s="2250" t="str">
        <f t="shared" si="18"/>
        <v/>
      </c>
      <c r="R98" s="2250" t="str">
        <f t="shared" si="18"/>
        <v/>
      </c>
      <c r="S98" s="1215"/>
      <c r="T98" s="272"/>
    </row>
    <row r="99" spans="1:20" ht="15" customHeight="1" x14ac:dyDescent="0.2">
      <c r="A99" s="2637">
        <f t="shared" si="15"/>
        <v>0</v>
      </c>
      <c r="B99" s="284">
        <f t="shared" si="16"/>
        <v>92</v>
      </c>
      <c r="C99" s="1215"/>
      <c r="D99" s="1215"/>
      <c r="E99" s="2248" t="str">
        <f t="shared" si="14"/>
        <v/>
      </c>
      <c r="F99" s="2250" t="str">
        <f t="shared" ref="F99:R106" si="19">IF(ISERROR(INDEX(ARGUS_CashFlow3_Array,$B99,F$6)="TRUE"),"",IF(INDEX(ARGUS_CashFlow3_Array,$B99,F$6)="","",IF(OR($E99="Cash Flow Before Debt Service",$E99="  Potential Base Rent"),TEXT(INDEX(ARGUS_CashFlow3_Array,$B99,F$6),"$#,###"),IF($E99="  Average Occupancy Percentage",TEXT(INDEX(ARGUS_CashFlow3_Array,$B99,F$6),"0.0%"),TEXT(INDEX(ARGUS_CashFlow3_Array,$B99,F$6),"#,###")))))</f>
        <v/>
      </c>
      <c r="G99" s="2250" t="str">
        <f t="shared" si="19"/>
        <v/>
      </c>
      <c r="H99" s="2250" t="str">
        <f t="shared" si="19"/>
        <v/>
      </c>
      <c r="I99" s="2250" t="str">
        <f t="shared" si="19"/>
        <v/>
      </c>
      <c r="J99" s="2250" t="str">
        <f t="shared" si="19"/>
        <v/>
      </c>
      <c r="K99" s="2250" t="str">
        <f t="shared" si="19"/>
        <v/>
      </c>
      <c r="L99" s="2250" t="str">
        <f t="shared" si="19"/>
        <v/>
      </c>
      <c r="M99" s="2250" t="str">
        <f t="shared" si="19"/>
        <v/>
      </c>
      <c r="N99" s="2250" t="str">
        <f t="shared" si="19"/>
        <v/>
      </c>
      <c r="O99" s="2250" t="str">
        <f t="shared" si="19"/>
        <v/>
      </c>
      <c r="P99" s="2250" t="str">
        <f t="shared" si="19"/>
        <v/>
      </c>
      <c r="Q99" s="2250" t="str">
        <f t="shared" si="19"/>
        <v/>
      </c>
      <c r="R99" s="2250" t="str">
        <f t="shared" si="19"/>
        <v/>
      </c>
      <c r="S99" s="1215"/>
      <c r="T99" s="272"/>
    </row>
    <row r="100" spans="1:20" ht="15" customHeight="1" x14ac:dyDescent="0.2">
      <c r="A100" s="2637">
        <f t="shared" si="15"/>
        <v>0</v>
      </c>
      <c r="B100" s="284">
        <f t="shared" si="16"/>
        <v>93</v>
      </c>
      <c r="C100" s="1215"/>
      <c r="D100" s="1215"/>
      <c r="E100" s="2248" t="str">
        <f t="shared" si="14"/>
        <v/>
      </c>
      <c r="F100" s="2250" t="str">
        <f t="shared" si="19"/>
        <v/>
      </c>
      <c r="G100" s="2250" t="str">
        <f t="shared" si="19"/>
        <v/>
      </c>
      <c r="H100" s="2250" t="str">
        <f t="shared" si="19"/>
        <v/>
      </c>
      <c r="I100" s="2250" t="str">
        <f t="shared" si="19"/>
        <v/>
      </c>
      <c r="J100" s="2250" t="str">
        <f t="shared" si="19"/>
        <v/>
      </c>
      <c r="K100" s="2250" t="str">
        <f t="shared" si="19"/>
        <v/>
      </c>
      <c r="L100" s="2250" t="str">
        <f t="shared" si="19"/>
        <v/>
      </c>
      <c r="M100" s="2250" t="str">
        <f t="shared" si="19"/>
        <v/>
      </c>
      <c r="N100" s="2250" t="str">
        <f t="shared" si="19"/>
        <v/>
      </c>
      <c r="O100" s="2250" t="str">
        <f t="shared" si="19"/>
        <v/>
      </c>
      <c r="P100" s="2250" t="str">
        <f t="shared" si="19"/>
        <v/>
      </c>
      <c r="Q100" s="2250" t="str">
        <f t="shared" si="19"/>
        <v/>
      </c>
      <c r="R100" s="2250" t="str">
        <f t="shared" si="19"/>
        <v/>
      </c>
      <c r="S100" s="1215"/>
      <c r="T100" s="272"/>
    </row>
    <row r="101" spans="1:20" ht="15" customHeight="1" x14ac:dyDescent="0.2">
      <c r="A101" s="2637">
        <f t="shared" si="15"/>
        <v>0</v>
      </c>
      <c r="B101" s="284">
        <f t="shared" si="16"/>
        <v>94</v>
      </c>
      <c r="C101" s="1215"/>
      <c r="D101" s="1215"/>
      <c r="E101" s="2248" t="str">
        <f t="shared" si="14"/>
        <v/>
      </c>
      <c r="F101" s="2250" t="str">
        <f t="shared" si="19"/>
        <v/>
      </c>
      <c r="G101" s="2250" t="str">
        <f t="shared" si="19"/>
        <v/>
      </c>
      <c r="H101" s="2250" t="str">
        <f t="shared" si="19"/>
        <v/>
      </c>
      <c r="I101" s="2250" t="str">
        <f t="shared" si="19"/>
        <v/>
      </c>
      <c r="J101" s="2250" t="str">
        <f t="shared" si="19"/>
        <v/>
      </c>
      <c r="K101" s="2250" t="str">
        <f t="shared" si="19"/>
        <v/>
      </c>
      <c r="L101" s="2250" t="str">
        <f t="shared" si="19"/>
        <v/>
      </c>
      <c r="M101" s="2250" t="str">
        <f t="shared" si="19"/>
        <v/>
      </c>
      <c r="N101" s="2250" t="str">
        <f t="shared" si="19"/>
        <v/>
      </c>
      <c r="O101" s="2250" t="str">
        <f t="shared" si="19"/>
        <v/>
      </c>
      <c r="P101" s="2250" t="str">
        <f t="shared" si="19"/>
        <v/>
      </c>
      <c r="Q101" s="2250" t="str">
        <f t="shared" si="19"/>
        <v/>
      </c>
      <c r="R101" s="2250" t="str">
        <f t="shared" si="19"/>
        <v/>
      </c>
      <c r="S101" s="1215"/>
      <c r="T101" s="272"/>
    </row>
    <row r="102" spans="1:20" ht="15" customHeight="1" x14ac:dyDescent="0.2">
      <c r="A102" s="2637">
        <f t="shared" si="15"/>
        <v>0</v>
      </c>
      <c r="B102" s="284">
        <f t="shared" si="16"/>
        <v>95</v>
      </c>
      <c r="C102" s="1215"/>
      <c r="D102" s="1215"/>
      <c r="E102" s="2248" t="str">
        <f t="shared" si="14"/>
        <v/>
      </c>
      <c r="F102" s="2250" t="str">
        <f t="shared" si="19"/>
        <v/>
      </c>
      <c r="G102" s="2250" t="str">
        <f t="shared" si="19"/>
        <v/>
      </c>
      <c r="H102" s="2250" t="str">
        <f t="shared" si="19"/>
        <v/>
      </c>
      <c r="I102" s="2250" t="str">
        <f t="shared" si="19"/>
        <v/>
      </c>
      <c r="J102" s="2250" t="str">
        <f t="shared" si="19"/>
        <v/>
      </c>
      <c r="K102" s="2250" t="str">
        <f t="shared" si="19"/>
        <v/>
      </c>
      <c r="L102" s="2250" t="str">
        <f t="shared" si="19"/>
        <v/>
      </c>
      <c r="M102" s="2250" t="str">
        <f t="shared" si="19"/>
        <v/>
      </c>
      <c r="N102" s="2250" t="str">
        <f t="shared" si="19"/>
        <v/>
      </c>
      <c r="O102" s="2250" t="str">
        <f t="shared" si="19"/>
        <v/>
      </c>
      <c r="P102" s="2250" t="str">
        <f t="shared" si="19"/>
        <v/>
      </c>
      <c r="Q102" s="2250" t="str">
        <f t="shared" si="19"/>
        <v/>
      </c>
      <c r="R102" s="2250" t="str">
        <f t="shared" si="19"/>
        <v/>
      </c>
      <c r="S102" s="1215"/>
      <c r="T102" s="272"/>
    </row>
    <row r="103" spans="1:20" ht="15" customHeight="1" x14ac:dyDescent="0.2">
      <c r="A103" s="2637">
        <f t="shared" si="15"/>
        <v>0</v>
      </c>
      <c r="B103" s="284">
        <f t="shared" si="16"/>
        <v>96</v>
      </c>
      <c r="C103" s="1215"/>
      <c r="D103" s="1215"/>
      <c r="E103" s="2248" t="str">
        <f t="shared" si="14"/>
        <v/>
      </c>
      <c r="F103" s="2250" t="str">
        <f t="shared" si="19"/>
        <v/>
      </c>
      <c r="G103" s="2250" t="str">
        <f t="shared" si="19"/>
        <v/>
      </c>
      <c r="H103" s="2250" t="str">
        <f t="shared" si="19"/>
        <v/>
      </c>
      <c r="I103" s="2250" t="str">
        <f t="shared" si="19"/>
        <v/>
      </c>
      <c r="J103" s="2250" t="str">
        <f t="shared" si="19"/>
        <v/>
      </c>
      <c r="K103" s="2250" t="str">
        <f t="shared" si="19"/>
        <v/>
      </c>
      <c r="L103" s="2250" t="str">
        <f t="shared" si="19"/>
        <v/>
      </c>
      <c r="M103" s="2250" t="str">
        <f t="shared" si="19"/>
        <v/>
      </c>
      <c r="N103" s="2250" t="str">
        <f t="shared" si="19"/>
        <v/>
      </c>
      <c r="O103" s="2250" t="str">
        <f t="shared" si="19"/>
        <v/>
      </c>
      <c r="P103" s="2250" t="str">
        <f t="shared" si="19"/>
        <v/>
      </c>
      <c r="Q103" s="2250" t="str">
        <f t="shared" si="19"/>
        <v/>
      </c>
      <c r="R103" s="2250" t="str">
        <f t="shared" si="19"/>
        <v/>
      </c>
      <c r="S103" s="1215"/>
      <c r="T103" s="272"/>
    </row>
    <row r="104" spans="1:20" ht="15" customHeight="1" x14ac:dyDescent="0.2">
      <c r="A104" s="2637">
        <f t="shared" si="15"/>
        <v>0</v>
      </c>
      <c r="B104" s="284">
        <f t="shared" si="16"/>
        <v>97</v>
      </c>
      <c r="C104" s="1215"/>
      <c r="D104" s="1215"/>
      <c r="E104" s="2248" t="str">
        <f t="shared" si="14"/>
        <v/>
      </c>
      <c r="F104" s="2250" t="str">
        <f t="shared" si="19"/>
        <v/>
      </c>
      <c r="G104" s="2250" t="str">
        <f t="shared" si="19"/>
        <v/>
      </c>
      <c r="H104" s="2250" t="str">
        <f t="shared" si="19"/>
        <v/>
      </c>
      <c r="I104" s="2250" t="str">
        <f t="shared" si="19"/>
        <v/>
      </c>
      <c r="J104" s="2250" t="str">
        <f t="shared" si="19"/>
        <v/>
      </c>
      <c r="K104" s="2250" t="str">
        <f t="shared" si="19"/>
        <v/>
      </c>
      <c r="L104" s="2250" t="str">
        <f t="shared" si="19"/>
        <v/>
      </c>
      <c r="M104" s="2250" t="str">
        <f t="shared" si="19"/>
        <v/>
      </c>
      <c r="N104" s="2250" t="str">
        <f t="shared" si="19"/>
        <v/>
      </c>
      <c r="O104" s="2250" t="str">
        <f t="shared" si="19"/>
        <v/>
      </c>
      <c r="P104" s="2250" t="str">
        <f t="shared" si="19"/>
        <v/>
      </c>
      <c r="Q104" s="2250" t="str">
        <f t="shared" si="19"/>
        <v/>
      </c>
      <c r="R104" s="2250" t="str">
        <f t="shared" si="19"/>
        <v/>
      </c>
      <c r="S104" s="1215"/>
      <c r="T104" s="272"/>
    </row>
    <row r="105" spans="1:20" ht="15" customHeight="1" x14ac:dyDescent="0.2">
      <c r="A105" s="2637">
        <f t="shared" si="15"/>
        <v>0</v>
      </c>
      <c r="B105" s="284">
        <f t="shared" si="16"/>
        <v>98</v>
      </c>
      <c r="C105" s="1215"/>
      <c r="D105" s="1215"/>
      <c r="E105" s="2248" t="str">
        <f t="shared" si="14"/>
        <v/>
      </c>
      <c r="F105" s="2250" t="str">
        <f t="shared" si="19"/>
        <v/>
      </c>
      <c r="G105" s="2250" t="str">
        <f t="shared" si="19"/>
        <v/>
      </c>
      <c r="H105" s="2250" t="str">
        <f t="shared" si="19"/>
        <v/>
      </c>
      <c r="I105" s="2250" t="str">
        <f t="shared" si="19"/>
        <v/>
      </c>
      <c r="J105" s="2250" t="str">
        <f t="shared" si="19"/>
        <v/>
      </c>
      <c r="K105" s="2250" t="str">
        <f t="shared" si="19"/>
        <v/>
      </c>
      <c r="L105" s="2250" t="str">
        <f t="shared" si="19"/>
        <v/>
      </c>
      <c r="M105" s="2250" t="str">
        <f t="shared" si="19"/>
        <v/>
      </c>
      <c r="N105" s="2250" t="str">
        <f t="shared" si="19"/>
        <v/>
      </c>
      <c r="O105" s="2250" t="str">
        <f t="shared" si="19"/>
        <v/>
      </c>
      <c r="P105" s="2250" t="str">
        <f t="shared" si="19"/>
        <v/>
      </c>
      <c r="Q105" s="2250" t="str">
        <f t="shared" si="19"/>
        <v/>
      </c>
      <c r="R105" s="2250" t="str">
        <f t="shared" si="19"/>
        <v/>
      </c>
      <c r="S105" s="1215"/>
      <c r="T105" s="272"/>
    </row>
    <row r="106" spans="1:20" ht="15" customHeight="1" x14ac:dyDescent="0.2">
      <c r="A106" s="2637">
        <f t="shared" si="15"/>
        <v>0</v>
      </c>
      <c r="B106" s="284">
        <f t="shared" si="16"/>
        <v>99</v>
      </c>
      <c r="C106" s="1215"/>
      <c r="D106" s="1215"/>
      <c r="E106" s="2248" t="str">
        <f t="shared" si="14"/>
        <v/>
      </c>
      <c r="F106" s="2250" t="str">
        <f t="shared" si="19"/>
        <v/>
      </c>
      <c r="G106" s="2250" t="str">
        <f t="shared" si="19"/>
        <v/>
      </c>
      <c r="H106" s="2250" t="str">
        <f t="shared" si="19"/>
        <v/>
      </c>
      <c r="I106" s="2250" t="str">
        <f t="shared" si="19"/>
        <v/>
      </c>
      <c r="J106" s="2250" t="str">
        <f t="shared" si="19"/>
        <v/>
      </c>
      <c r="K106" s="2250" t="str">
        <f t="shared" si="19"/>
        <v/>
      </c>
      <c r="L106" s="2250" t="str">
        <f t="shared" si="19"/>
        <v/>
      </c>
      <c r="M106" s="2250" t="str">
        <f t="shared" si="19"/>
        <v/>
      </c>
      <c r="N106" s="2250" t="str">
        <f t="shared" si="19"/>
        <v/>
      </c>
      <c r="O106" s="2250" t="str">
        <f t="shared" si="19"/>
        <v/>
      </c>
      <c r="P106" s="2250" t="str">
        <f t="shared" si="19"/>
        <v/>
      </c>
      <c r="Q106" s="2250" t="str">
        <f t="shared" si="19"/>
        <v/>
      </c>
      <c r="R106" s="2250" t="str">
        <f t="shared" si="19"/>
        <v/>
      </c>
      <c r="S106" s="1215"/>
      <c r="T106" s="272"/>
    </row>
    <row r="107" spans="1:20" ht="15" customHeight="1" x14ac:dyDescent="0.2">
      <c r="A107" s="2637">
        <v>1</v>
      </c>
      <c r="B107" s="284"/>
      <c r="C107" s="1215"/>
      <c r="D107" s="1215"/>
      <c r="E107" s="1215"/>
      <c r="F107" s="2250"/>
      <c r="G107" s="2250"/>
      <c r="H107" s="2250"/>
      <c r="I107" s="2250"/>
      <c r="J107" s="2250"/>
      <c r="K107" s="2250"/>
      <c r="L107" s="2250"/>
      <c r="M107" s="2250"/>
      <c r="N107" s="2250"/>
      <c r="O107" s="2250"/>
      <c r="P107" s="2250"/>
      <c r="Q107" s="2250"/>
      <c r="R107" s="2250"/>
      <c r="S107" s="1215"/>
      <c r="T107" s="272"/>
    </row>
    <row r="108" spans="1:20" ht="15" customHeight="1" x14ac:dyDescent="0.25">
      <c r="A108" s="2637">
        <v>1</v>
      </c>
      <c r="B108" s="284"/>
      <c r="C108" s="1215"/>
      <c r="D108" s="4341" t="s">
        <v>485</v>
      </c>
      <c r="E108" s="4342"/>
      <c r="F108" s="4342"/>
      <c r="G108" s="4342"/>
      <c r="H108" s="4342"/>
      <c r="I108" s="4342"/>
      <c r="J108" s="4342"/>
      <c r="K108" s="4342"/>
      <c r="L108" s="2251"/>
      <c r="M108" s="2251"/>
      <c r="N108" s="1215"/>
      <c r="O108" s="1215"/>
      <c r="P108" s="1215"/>
      <c r="Q108" s="1215"/>
      <c r="R108" s="1215"/>
      <c r="S108" s="1215"/>
      <c r="T108" s="272"/>
    </row>
    <row r="109" spans="1:20" ht="15" customHeight="1" x14ac:dyDescent="0.2">
      <c r="A109" s="2637">
        <v>1</v>
      </c>
      <c r="B109" s="284"/>
      <c r="C109" s="1215"/>
      <c r="D109" s="1215" t="s">
        <v>461</v>
      </c>
      <c r="E109" s="1215"/>
      <c r="F109" s="1215"/>
      <c r="G109" s="2252">
        <f>dpIncome_DiscRate3-0.005</f>
        <v>-5.0000000000000001E-3</v>
      </c>
      <c r="H109" s="2252">
        <f>dpIncome_DiscRate3-0.0025</f>
        <v>-2.5000000000000001E-3</v>
      </c>
      <c r="I109" s="665"/>
      <c r="J109" s="2252">
        <f>dpIncome_DiscRate3+0.0025</f>
        <v>2.5000000000000001E-3</v>
      </c>
      <c r="K109" s="2252">
        <f>dpIncome_DiscRate3+0.005</f>
        <v>5.0000000000000001E-3</v>
      </c>
      <c r="L109" s="2254"/>
      <c r="M109" s="2254"/>
      <c r="N109" s="1215"/>
      <c r="O109" s="1215"/>
      <c r="P109" s="1215"/>
      <c r="Q109" s="1215"/>
      <c r="R109" s="1215"/>
      <c r="S109" s="1215"/>
      <c r="T109" s="272"/>
    </row>
    <row r="110" spans="1:20" ht="15" customHeight="1" x14ac:dyDescent="0.2">
      <c r="A110" s="2637">
        <v>1</v>
      </c>
      <c r="B110" s="284"/>
      <c r="C110" s="1215"/>
      <c r="D110" s="1215" t="s">
        <v>482</v>
      </c>
      <c r="E110" s="1215"/>
      <c r="F110" s="1215"/>
      <c r="G110" s="2255" t="e">
        <f>NPV(G109,$F$126,$G$126,$H$126,$I$126,$J$126,$K$126,$L$126,$M$126,$N$126,$O$126,$P$126,$Q$126,$R$126)</f>
        <v>#N/A</v>
      </c>
      <c r="H110" s="2255" t="e">
        <f>NPV(H109,$F$126,$G$126,$H$126,$I$126,$J$126,$K$126,$L$126,$M$126,$N$126,$O$126,$P$126,$Q$126,$R$126)</f>
        <v>#N/A</v>
      </c>
      <c r="I110" s="2256" t="e">
        <f>NPV(I109,$F$126,$G$126,$H$126,$I$126,$J$126,$K$126,$L$126,$M$126,$N$126,$O$126,$P$126,$Q$126,$R$126)</f>
        <v>#N/A</v>
      </c>
      <c r="J110" s="2255" t="e">
        <f>NPV(J109,$F$126,$G$126,$H$126,$I$126,$J$126,$K$126,$L$126,$M$126,$N$126,$O$126,$P$126,$Q$126,$R$126)</f>
        <v>#N/A</v>
      </c>
      <c r="K110" s="2255" t="e">
        <f>NPV(K109,$F$126,$G$126,$H$126,$I$126,$J$126,$K$126,$L$126,$M$126,$N$126,$O$126,$P$126,$Q$126,$R$126)</f>
        <v>#N/A</v>
      </c>
      <c r="L110" s="1215"/>
      <c r="M110" s="1215"/>
      <c r="N110" s="1215"/>
      <c r="O110" s="1215"/>
      <c r="P110" s="1215"/>
      <c r="Q110" s="1215"/>
      <c r="R110" s="1215"/>
      <c r="S110" s="1215"/>
      <c r="T110" s="272"/>
    </row>
    <row r="111" spans="1:20" ht="15" customHeight="1" x14ac:dyDescent="0.2">
      <c r="A111" s="2637">
        <v>1</v>
      </c>
      <c r="B111" s="284"/>
      <c r="C111" s="1215"/>
      <c r="D111" s="1215" t="s">
        <v>483</v>
      </c>
      <c r="E111" s="1215"/>
      <c r="F111" s="1215"/>
      <c r="G111" s="1216" t="e">
        <f>PV(G109,Income_DCF_HoldingPeriod3,0,-Income_DCF_Reversion3)</f>
        <v>#N/A</v>
      </c>
      <c r="H111" s="1216" t="e">
        <f>PV(H109,Income_DCF_HoldingPeriod3,0,-Income_DCF_Reversion3)</f>
        <v>#N/A</v>
      </c>
      <c r="I111" s="1217" t="e">
        <f>PV(I109,Income_DCF_HoldingPeriod3,0,-Income_DCF_Reversion3)</f>
        <v>#N/A</v>
      </c>
      <c r="J111" s="1216" t="e">
        <f>PV(J109,Income_DCF_HoldingPeriod3,0,-Income_DCF_Reversion3)</f>
        <v>#N/A</v>
      </c>
      <c r="K111" s="1216" t="e">
        <f>PV(K109,Income_DCF_HoldingPeriod3,0,-Income_DCF_Reversion3)</f>
        <v>#N/A</v>
      </c>
      <c r="L111" s="1215"/>
      <c r="M111" s="1215"/>
      <c r="N111" s="1215"/>
      <c r="O111" s="1215"/>
      <c r="P111" s="1215"/>
      <c r="Q111" s="1215"/>
      <c r="R111" s="1215"/>
      <c r="S111" s="1215"/>
      <c r="T111" s="272"/>
    </row>
    <row r="112" spans="1:20" s="2153" customFormat="1" ht="15" customHeight="1" x14ac:dyDescent="0.25">
      <c r="A112" s="2638">
        <v>1</v>
      </c>
      <c r="B112" s="2151"/>
      <c r="C112" s="2257"/>
      <c r="D112" s="4344" t="str">
        <f>IF(AND(Sort_NumValues=1,SUM(A113:A115)=0),dpSort_ValueScenario_3,"Preliminary Value Indication")</f>
        <v/>
      </c>
      <c r="E112" s="4344"/>
      <c r="F112" s="4344"/>
      <c r="G112" s="2263" t="e">
        <f>G110+G111</f>
        <v>#N/A</v>
      </c>
      <c r="H112" s="2263" t="e">
        <f>H110+H111</f>
        <v>#N/A</v>
      </c>
      <c r="I112" s="2264" t="e">
        <f>MROUND(I110+I111,INDEX(Rounding_Options,MATCH(I123,Rounding_Label,0),2))</f>
        <v>#N/A</v>
      </c>
      <c r="J112" s="2263" t="e">
        <f>J110+J111</f>
        <v>#N/A</v>
      </c>
      <c r="K112" s="2263" t="e">
        <f>K110+K111</f>
        <v>#N/A</v>
      </c>
      <c r="L112" s="2257"/>
      <c r="M112" s="2257"/>
      <c r="N112" s="2257"/>
      <c r="O112" s="2257"/>
      <c r="P112" s="2257"/>
      <c r="Q112" s="2257"/>
      <c r="R112" s="2257"/>
      <c r="S112" s="2257"/>
      <c r="T112" s="2152"/>
    </row>
    <row r="113" spans="1:21" ht="15" customHeight="1" x14ac:dyDescent="0.25">
      <c r="A113" s="957">
        <f>IF(I113=0,0,1)</f>
        <v>0</v>
      </c>
      <c r="B113" s="284"/>
      <c r="C113" s="1215"/>
      <c r="D113" s="2260" t="str">
        <f>IF(ValueAdj_Select1=1,1,"")</f>
        <v/>
      </c>
      <c r="E113" s="2259" t="s">
        <v>259</v>
      </c>
      <c r="F113" s="1215"/>
      <c r="G113" s="1215"/>
      <c r="H113" s="1215"/>
      <c r="I113" s="2265">
        <f>IF(ValueAdj_Select1=1,-dpCost_CurableItemCost_Total,0)</f>
        <v>0</v>
      </c>
      <c r="J113" s="1215"/>
      <c r="K113" s="1215"/>
      <c r="L113" s="1215"/>
      <c r="M113" s="1215"/>
      <c r="N113" s="1215"/>
      <c r="O113" s="1215"/>
      <c r="P113" s="1215"/>
      <c r="Q113" s="1215"/>
      <c r="R113" s="1215"/>
      <c r="S113" s="1215"/>
      <c r="T113" s="272"/>
    </row>
    <row r="114" spans="1:21" ht="15" customHeight="1" x14ac:dyDescent="0.25">
      <c r="A114" s="957">
        <f>IF(I114=0,0,1)</f>
        <v>0</v>
      </c>
      <c r="B114" s="284"/>
      <c r="C114" s="1215"/>
      <c r="D114" s="2260" t="str">
        <f>IF('Selection Tables'!$O$17=TRUE,IF(ValueAdj_Select4=1,COUNT(D113)+1,""),"")</f>
        <v/>
      </c>
      <c r="E114" s="2259" t="str">
        <f>IF(AdjSelect_UserDef1_IncomeDCF=TRUE,IF(dpValue_UserDef1Adjustment_Value&lt;0,CONCATENATE("Less ",dpValue_UserDef1Adjustment_Name,":"),CONCATENATE("Plus ",dpValue_UserDef1Adjustment_Name,":")),"N/A")</f>
        <v>N/A</v>
      </c>
      <c r="F114" s="1215"/>
      <c r="G114" s="1215"/>
      <c r="H114" s="1215"/>
      <c r="I114" s="2256">
        <f>IF(AdjSelect_UserDef1_IncomeDCF=TRUE,IF(ValueAdj_Select4=1,dpValue_UserDef1Adjustment_Value,0),0)</f>
        <v>0</v>
      </c>
      <c r="J114" s="1215"/>
      <c r="K114" s="1215"/>
      <c r="L114" s="1215"/>
      <c r="M114" s="1215"/>
      <c r="N114" s="1215"/>
      <c r="O114" s="1215"/>
      <c r="P114" s="1215"/>
      <c r="Q114" s="1215"/>
      <c r="R114" s="1215"/>
      <c r="S114" s="1215"/>
      <c r="T114" s="272"/>
    </row>
    <row r="115" spans="1:21" ht="15" customHeight="1" x14ac:dyDescent="0.25">
      <c r="A115" s="957">
        <f>IF(I115=0,0,1)</f>
        <v>0</v>
      </c>
      <c r="B115" s="284"/>
      <c r="C115" s="1215"/>
      <c r="D115" s="2260" t="str">
        <f>IF('Selection Tables'!$P$17=TRUE,IF(ValueAdj_Select5=1,COUNT(D113:D114)+1,""),"")</f>
        <v/>
      </c>
      <c r="E115" s="2259" t="str">
        <f>IF(AdjSelect_UserDef2_IncomeDCF=TRUE,IF(dpValue_UserDef2Adjustment_Value&lt;0,CONCATENATE("Less ",dpValue_UserDef2Adjustment_Name,":"),CONCATENATE("Plus ",dpValue_UserDef2Adjustment_Name,":")),"N/A")</f>
        <v>N/A</v>
      </c>
      <c r="F115" s="1215"/>
      <c r="G115" s="1215"/>
      <c r="H115" s="1215"/>
      <c r="I115" s="2256">
        <f>IF(AdjSelect_UserDef2_IncomeDCF=TRUE,IF(ValueAdj_Select5=1,dpValue_UserDef2Adjustment_Value,0),0)</f>
        <v>0</v>
      </c>
      <c r="J115" s="1215"/>
      <c r="K115" s="1215"/>
      <c r="L115" s="1215"/>
      <c r="M115" s="1215"/>
      <c r="N115" s="1215"/>
      <c r="O115" s="1215"/>
      <c r="P115" s="1215"/>
      <c r="Q115" s="1215"/>
      <c r="R115" s="1215"/>
      <c r="S115" s="1215"/>
      <c r="T115" s="272"/>
    </row>
    <row r="116" spans="1:21" ht="15" customHeight="1" thickBot="1" x14ac:dyDescent="0.25">
      <c r="A116" s="2637">
        <f>IF(SUM(A113:A115)=0,0,1)</f>
        <v>0</v>
      </c>
      <c r="B116" s="284"/>
      <c r="C116" s="1215"/>
      <c r="D116" s="2266" t="str">
        <f>IF(Sort_NumValues&gt;2,dpSort_ValueScenario_3,"N/A")</f>
        <v>N/A</v>
      </c>
      <c r="E116" s="1215"/>
      <c r="F116" s="1215"/>
      <c r="G116" s="1215"/>
      <c r="H116" s="1215"/>
      <c r="I116" s="2136" t="e">
        <f>MROUND(SUM(I112:I115),INDEX(Rounding_Options,MATCH(I123,Rounding_Label,0),2))</f>
        <v>#N/A</v>
      </c>
      <c r="J116" s="1215"/>
      <c r="K116" s="1215"/>
      <c r="L116" s="1215"/>
      <c r="M116" s="1215"/>
      <c r="N116" s="1215"/>
      <c r="O116" s="1215"/>
      <c r="P116" s="1215"/>
      <c r="Q116" s="1215"/>
      <c r="R116" s="1215"/>
      <c r="S116" s="1215"/>
      <c r="T116" s="272"/>
    </row>
    <row r="117" spans="1:21" ht="15" customHeight="1" x14ac:dyDescent="0.25">
      <c r="A117" s="2637">
        <f>IF(COUNT(D113:D115)&gt;0,1,0)</f>
        <v>0</v>
      </c>
      <c r="B117" s="284"/>
      <c r="C117" s="1215"/>
      <c r="D117" s="2121">
        <v>1</v>
      </c>
      <c r="E117" s="2122" t="s">
        <v>1826</v>
      </c>
      <c r="F117" s="2134"/>
      <c r="G117" s="2134"/>
      <c r="H117" s="2133"/>
      <c r="I117" s="2135"/>
      <c r="J117" s="2133"/>
      <c r="K117" s="2133"/>
      <c r="L117" s="2133"/>
      <c r="M117" s="2133"/>
      <c r="N117" s="2133"/>
      <c r="O117" s="2133"/>
      <c r="P117" s="2133"/>
      <c r="Q117" s="2133"/>
      <c r="R117" s="2133"/>
      <c r="S117" s="1215"/>
      <c r="T117" s="272"/>
    </row>
    <row r="118" spans="1:21" ht="15" customHeight="1" x14ac:dyDescent="0.25">
      <c r="A118" s="2637">
        <f>IF(COUNT(D113:D115)&gt;1,1,0)</f>
        <v>0</v>
      </c>
      <c r="B118" s="284"/>
      <c r="C118" s="1215"/>
      <c r="D118" s="2117">
        <f>D117+1</f>
        <v>2</v>
      </c>
      <c r="E118" s="2123" t="s">
        <v>1828</v>
      </c>
      <c r="F118" s="2261"/>
      <c r="G118" s="2261"/>
      <c r="H118" s="1215"/>
      <c r="I118" s="2265"/>
      <c r="J118" s="1215"/>
      <c r="K118" s="1215"/>
      <c r="L118" s="1215"/>
      <c r="M118" s="1215"/>
      <c r="N118" s="1215"/>
      <c r="O118" s="1215"/>
      <c r="P118" s="1215"/>
      <c r="Q118" s="1215"/>
      <c r="R118" s="1215"/>
      <c r="S118" s="1215"/>
      <c r="T118" s="272"/>
    </row>
    <row r="119" spans="1:21" ht="15" customHeight="1" x14ac:dyDescent="0.25">
      <c r="A119" s="2637">
        <f>IF(COUNT(D113:D115)&gt;2,1,0)</f>
        <v>0</v>
      </c>
      <c r="B119" s="284"/>
      <c r="C119" s="1215"/>
      <c r="D119" s="2117">
        <f>D118+1</f>
        <v>3</v>
      </c>
      <c r="E119" s="2123" t="s">
        <v>1828</v>
      </c>
      <c r="F119" s="2261"/>
      <c r="G119" s="2261"/>
      <c r="H119" s="1215"/>
      <c r="I119" s="1215"/>
      <c r="J119" s="1215"/>
      <c r="K119" s="1215"/>
      <c r="L119" s="1215"/>
      <c r="M119" s="1215"/>
      <c r="N119" s="1215"/>
      <c r="O119" s="1215"/>
      <c r="P119" s="1215"/>
      <c r="Q119" s="1215"/>
      <c r="R119" s="1215"/>
      <c r="S119" s="1215"/>
      <c r="T119" s="272"/>
    </row>
    <row r="120" spans="1:21" ht="15" customHeight="1" thickBot="1" x14ac:dyDescent="0.25">
      <c r="B120" s="285"/>
      <c r="C120" s="274"/>
      <c r="D120" s="557" t="s">
        <v>930</v>
      </c>
      <c r="E120" s="557"/>
      <c r="F120" s="274"/>
      <c r="G120" s="274"/>
      <c r="H120" s="274"/>
      <c r="I120" s="274"/>
      <c r="J120" s="274"/>
      <c r="K120" s="274"/>
      <c r="L120" s="274"/>
      <c r="M120" s="274"/>
      <c r="N120" s="274"/>
      <c r="O120" s="274"/>
      <c r="P120" s="274"/>
      <c r="Q120" s="274"/>
      <c r="R120" s="274"/>
      <c r="S120" s="274"/>
      <c r="T120" s="275"/>
    </row>
    <row r="121" spans="1:21" ht="15" customHeight="1" x14ac:dyDescent="0.25">
      <c r="D121" s="207" t="s">
        <v>1830</v>
      </c>
      <c r="I121" s="280"/>
    </row>
    <row r="122" spans="1:21" ht="15" customHeight="1" thickBot="1" x14ac:dyDescent="0.25">
      <c r="I122" s="188" t="s">
        <v>991</v>
      </c>
    </row>
    <row r="123" spans="1:21" ht="15" customHeight="1" thickBot="1" x14ac:dyDescent="0.25">
      <c r="I123" s="715" t="s">
        <v>1039</v>
      </c>
    </row>
    <row r="124" spans="1:21" s="280" customFormat="1" ht="15" customHeight="1" x14ac:dyDescent="0.2">
      <c r="A124" s="278"/>
      <c r="B124" s="278"/>
      <c r="E124" s="267">
        <f>SUM(Filter_DCF3Col)</f>
        <v>6</v>
      </c>
      <c r="F124" s="2637">
        <v>1</v>
      </c>
      <c r="G124" s="2637">
        <v>1</v>
      </c>
      <c r="H124" s="2637">
        <v>1</v>
      </c>
      <c r="I124" s="2637">
        <v>1</v>
      </c>
      <c r="J124" s="2637">
        <v>1</v>
      </c>
      <c r="K124" s="2637">
        <v>1</v>
      </c>
      <c r="L124" s="2637">
        <f t="shared" ref="L124:R124" si="20">IF(ISERROR(IF(K126=0,0,1)),0,IF(K126=0,0,1))</f>
        <v>0</v>
      </c>
      <c r="M124" s="2637">
        <f t="shared" si="20"/>
        <v>0</v>
      </c>
      <c r="N124" s="2637">
        <f t="shared" si="20"/>
        <v>0</v>
      </c>
      <c r="O124" s="2637">
        <f t="shared" si="20"/>
        <v>0</v>
      </c>
      <c r="P124" s="2637">
        <f t="shared" si="20"/>
        <v>0</v>
      </c>
      <c r="Q124" s="2637">
        <f t="shared" si="20"/>
        <v>0</v>
      </c>
      <c r="R124" s="2637">
        <f t="shared" si="20"/>
        <v>0</v>
      </c>
    </row>
    <row r="125" spans="1:21" s="280" customFormat="1" ht="15" customHeight="1" x14ac:dyDescent="0.2">
      <c r="A125" s="278"/>
      <c r="B125" s="278"/>
    </row>
    <row r="126" spans="1:21" s="280" customFormat="1" ht="15" customHeight="1" x14ac:dyDescent="0.2">
      <c r="A126" s="278"/>
      <c r="B126" s="278"/>
      <c r="E126" s="276"/>
      <c r="F126" s="2150" t="e">
        <f t="shared" ref="F126:R126" si="21">IF(OR(Income_DCF_HoldingPeriod3&lt;E6,ISERR(VLOOKUP("Cash Flow Before Debt Service",$E$7:$R$106,F6,FALSE)+0)=TRUE),0,VLOOKUP("Cash Flow Before Debt Service",$E$7:$R$106,F6,FALSE)+0)</f>
        <v>#N/A</v>
      </c>
      <c r="G126" s="2150" t="e">
        <f t="shared" si="21"/>
        <v>#N/A</v>
      </c>
      <c r="H126" s="2150" t="e">
        <f t="shared" si="21"/>
        <v>#N/A</v>
      </c>
      <c r="I126" s="2150" t="e">
        <f t="shared" si="21"/>
        <v>#N/A</v>
      </c>
      <c r="J126" s="2150" t="e">
        <f t="shared" si="21"/>
        <v>#N/A</v>
      </c>
      <c r="K126" s="2150" t="e">
        <f t="shared" si="21"/>
        <v>#N/A</v>
      </c>
      <c r="L126" s="2150" t="e">
        <f t="shared" si="21"/>
        <v>#N/A</v>
      </c>
      <c r="M126" s="2150" t="e">
        <f t="shared" si="21"/>
        <v>#N/A</v>
      </c>
      <c r="N126" s="2150" t="e">
        <f t="shared" si="21"/>
        <v>#N/A</v>
      </c>
      <c r="O126" s="2150" t="e">
        <f t="shared" si="21"/>
        <v>#N/A</v>
      </c>
      <c r="P126" s="2150">
        <f t="shared" si="21"/>
        <v>0</v>
      </c>
      <c r="Q126" s="2150">
        <f t="shared" si="21"/>
        <v>0</v>
      </c>
      <c r="R126" s="2150">
        <f t="shared" si="21"/>
        <v>0</v>
      </c>
    </row>
    <row r="127" spans="1:21" s="280" customFormat="1" x14ac:dyDescent="0.2">
      <c r="A127" s="278"/>
      <c r="B127" s="267"/>
      <c r="C127" s="276"/>
      <c r="D127" s="276"/>
    </row>
    <row r="128" spans="1:21" x14ac:dyDescent="0.2">
      <c r="B128" s="267"/>
      <c r="C128" s="276"/>
      <c r="D128" s="276"/>
      <c r="E128" s="280"/>
      <c r="F128" s="280"/>
      <c r="G128" s="280"/>
      <c r="H128" s="280"/>
      <c r="I128" s="280"/>
      <c r="J128" s="280"/>
      <c r="K128" s="280"/>
      <c r="L128" s="280"/>
      <c r="M128" s="280"/>
      <c r="N128" s="280"/>
      <c r="O128" s="280"/>
      <c r="P128" s="280"/>
      <c r="Q128" s="280"/>
      <c r="R128" s="280"/>
      <c r="S128" s="280"/>
      <c r="T128" s="280"/>
      <c r="U128" s="280"/>
    </row>
    <row r="129" spans="2:21" x14ac:dyDescent="0.2">
      <c r="B129" s="267"/>
      <c r="C129" s="276"/>
      <c r="D129" s="276"/>
      <c r="E129" s="280"/>
      <c r="F129" s="280"/>
      <c r="G129" s="280"/>
      <c r="H129" s="280"/>
      <c r="I129" s="280"/>
      <c r="J129" s="280"/>
      <c r="K129" s="280"/>
      <c r="L129" s="280"/>
      <c r="M129" s="280"/>
      <c r="N129" s="280"/>
      <c r="O129" s="280"/>
      <c r="P129" s="280"/>
      <c r="Q129" s="280"/>
      <c r="R129" s="280"/>
      <c r="S129" s="280"/>
      <c r="T129" s="280"/>
      <c r="U129" s="280"/>
    </row>
    <row r="130" spans="2:21" x14ac:dyDescent="0.2">
      <c r="B130" s="267"/>
      <c r="C130" s="276"/>
      <c r="D130" s="276"/>
      <c r="E130" s="280"/>
      <c r="F130" s="280"/>
      <c r="G130" s="280"/>
      <c r="H130" s="280"/>
      <c r="I130" s="280"/>
      <c r="J130" s="280"/>
      <c r="K130" s="280"/>
      <c r="L130" s="280"/>
      <c r="M130" s="280"/>
      <c r="N130" s="280"/>
      <c r="O130" s="280"/>
      <c r="P130" s="280"/>
      <c r="Q130" s="280"/>
      <c r="R130" s="280"/>
      <c r="S130" s="280"/>
      <c r="T130" s="280"/>
      <c r="U130" s="280"/>
    </row>
    <row r="131" spans="2:21" x14ac:dyDescent="0.2">
      <c r="B131" s="267"/>
      <c r="C131" s="276"/>
      <c r="D131" s="276"/>
      <c r="E131" s="280"/>
      <c r="F131" s="280"/>
      <c r="G131" s="280"/>
      <c r="H131" s="280"/>
      <c r="I131" s="280"/>
      <c r="J131" s="280"/>
      <c r="K131" s="280"/>
      <c r="L131" s="280"/>
      <c r="M131" s="280"/>
      <c r="N131" s="280"/>
      <c r="O131" s="280"/>
      <c r="P131" s="280"/>
      <c r="Q131" s="280"/>
      <c r="R131" s="280"/>
      <c r="S131" s="280"/>
      <c r="T131" s="280"/>
      <c r="U131" s="280"/>
    </row>
    <row r="132" spans="2:21" x14ac:dyDescent="0.2">
      <c r="B132" s="267"/>
      <c r="C132" s="276"/>
      <c r="D132" s="276"/>
      <c r="E132" s="280"/>
      <c r="F132" s="280"/>
      <c r="G132" s="280"/>
      <c r="H132" s="280"/>
      <c r="I132" s="280"/>
      <c r="J132" s="280"/>
      <c r="K132" s="280"/>
      <c r="L132" s="280"/>
      <c r="M132" s="280"/>
      <c r="N132" s="280"/>
      <c r="O132" s="280"/>
      <c r="P132" s="280"/>
      <c r="Q132" s="280"/>
      <c r="R132" s="280"/>
      <c r="S132" s="280"/>
      <c r="T132" s="280"/>
      <c r="U132" s="280"/>
    </row>
    <row r="133" spans="2:21" x14ac:dyDescent="0.2">
      <c r="B133" s="267"/>
      <c r="C133" s="276"/>
      <c r="D133" s="276"/>
      <c r="E133" s="280"/>
      <c r="F133" s="280"/>
      <c r="G133" s="280"/>
      <c r="H133" s="280"/>
      <c r="I133" s="280"/>
      <c r="J133" s="280"/>
      <c r="K133" s="280"/>
      <c r="L133" s="280"/>
      <c r="M133" s="280"/>
      <c r="N133" s="280"/>
      <c r="O133" s="280"/>
      <c r="P133" s="280"/>
      <c r="Q133" s="280"/>
      <c r="R133" s="280"/>
      <c r="S133" s="280"/>
      <c r="T133" s="280"/>
      <c r="U133" s="280"/>
    </row>
    <row r="134" spans="2:21" x14ac:dyDescent="0.2">
      <c r="E134" s="280"/>
      <c r="F134" s="280"/>
      <c r="G134" s="280"/>
      <c r="H134" s="280"/>
      <c r="I134" s="280"/>
      <c r="J134" s="280"/>
      <c r="K134" s="280"/>
      <c r="L134" s="280"/>
      <c r="M134" s="280"/>
      <c r="N134" s="280"/>
      <c r="O134" s="280"/>
      <c r="P134" s="280"/>
      <c r="Q134" s="280"/>
      <c r="R134" s="280"/>
      <c r="S134" s="280"/>
      <c r="T134" s="280"/>
      <c r="U134" s="280"/>
    </row>
  </sheetData>
  <mergeCells count="2">
    <mergeCell ref="D108:K108"/>
    <mergeCell ref="D112:F112"/>
  </mergeCells>
  <conditionalFormatting sqref="E9:R106">
    <cfRule type="cellIs" dxfId="39" priority="1" operator="equal">
      <formula>"Capital Expenditures"</formula>
    </cfRule>
    <cfRule type="expression" dxfId="38" priority="2">
      <formula>ISNUMBER(SEARCH("Cash Flow Before Debt Service",$E9))</formula>
    </cfRule>
    <cfRule type="cellIs" dxfId="37" priority="3" operator="equal">
      <formula>"Tenant Occupancy Summary"</formula>
    </cfRule>
    <cfRule type="cellIs" dxfId="36" priority="4" operator="equal">
      <formula>"Leasing Costs"</formula>
    </cfRule>
    <cfRule type="cellIs" dxfId="35" priority="5" operator="equal">
      <formula>"Operating Expenses"</formula>
    </cfRule>
    <cfRule type="cellIs" dxfId="34" priority="6" operator="equal">
      <formula>"Vacancy &amp; Credit Loss"</formula>
    </cfRule>
    <cfRule type="cellIs" dxfId="33" priority="7" operator="equal">
      <formula>"Other Tenant Revenue"</formula>
    </cfRule>
    <cfRule type="expression" dxfId="32" priority="8">
      <formula>ISNUMBER(SEARCH("Net Operating Income",$E9))</formula>
    </cfRule>
    <cfRule type="expression" dxfId="31" priority="9">
      <formula>ISNUMBER(SEARCH("Average Occupancy Percentage",$E9))</formula>
    </cfRule>
    <cfRule type="cellIs" dxfId="30" priority="10" operator="equal">
      <formula>"Rental Revenue"</formula>
    </cfRule>
    <cfRule type="expression" dxfId="29" priority="11">
      <formula>ISNUMBER(SEARCH("Effective Gross Revenue",$E9))</formula>
    </cfRule>
    <cfRule type="expression" dxfId="28" priority="12">
      <formula>ISNUMBER(SEARCH("Potential Gross Revenue",$E9))</formula>
    </cfRule>
    <cfRule type="expression" dxfId="27" priority="13">
      <formula>ISNUMBER(SEARCH("Total",$E9))</formula>
    </cfRule>
  </conditionalFormatting>
  <conditionalFormatting sqref="E10:R106">
    <cfRule type="cellIs" dxfId="26" priority="14" operator="equal">
      <formula>"Other Revenue"</formula>
    </cfRule>
    <cfRule type="expression" dxfId="25" priority="15">
      <formula>ISNUMBER(SEARCH("Total Other Revenue",$E9))</formula>
    </cfRule>
  </conditionalFormatting>
  <dataValidations disablePrompts="1" count="1">
    <dataValidation type="list" allowBlank="1" showInputMessage="1" showErrorMessage="1" error="Invalid Option - Please Select from the List" prompt="Select Rounding Option" sqref="I123" xr:uid="{00000000-0002-0000-3A00-000000000000}">
      <formula1>Rounding_Label</formula1>
    </dataValidation>
  </dataValidations>
  <printOptions horizontalCentered="1"/>
  <pageMargins left="0.5" right="0.5" top="0.75" bottom="0.75" header="0.3" footer="0.3"/>
  <pageSetup scale="38" orientation="portrait" r:id="rId1"/>
  <drawing r:id="rId2"/>
  <legacyDrawing r:id="rId3"/>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45">
    <tabColor theme="5" tint="-0.249977111117893"/>
  </sheetPr>
  <dimension ref="A1:O27"/>
  <sheetViews>
    <sheetView zoomScaleNormal="100" workbookViewId="0">
      <selection activeCell="W11" sqref="W11"/>
    </sheetView>
  </sheetViews>
  <sheetFormatPr defaultColWidth="9.140625" defaultRowHeight="14.25" x14ac:dyDescent="0.25"/>
  <cols>
    <col min="1" max="1" width="5.7109375" style="10" customWidth="1"/>
    <col min="2" max="2" width="1.7109375" style="10" customWidth="1"/>
    <col min="3" max="3" width="0.85546875" style="10" customWidth="1"/>
    <col min="4" max="4" width="31.7109375" style="10" customWidth="1"/>
    <col min="5" max="5" width="4.7109375" style="10" customWidth="1"/>
    <col min="6" max="6" width="12.7109375" style="10" customWidth="1"/>
    <col min="7" max="7" width="4.7109375" style="10" customWidth="1"/>
    <col min="8" max="8" width="4.7109375" style="10" hidden="1" customWidth="1"/>
    <col min="9" max="9" width="12.7109375" style="10" hidden="1" customWidth="1"/>
    <col min="10" max="11" width="4.7109375" style="10" hidden="1" customWidth="1"/>
    <col min="12" max="12" width="12.7109375" style="10" hidden="1" customWidth="1"/>
    <col min="13" max="13" width="4.7109375" style="10" hidden="1" customWidth="1"/>
    <col min="14" max="14" width="0.85546875" style="10" customWidth="1"/>
    <col min="15" max="15" width="1.7109375" style="10" customWidth="1"/>
    <col min="16" max="16384" width="9.140625" style="10"/>
  </cols>
  <sheetData>
    <row r="1" spans="1:15" ht="60" customHeight="1" x14ac:dyDescent="0.25"/>
    <row r="2" spans="1:15" ht="15" thickBot="1" x14ac:dyDescent="0.3"/>
    <row r="3" spans="1:15" x14ac:dyDescent="0.25">
      <c r="B3" s="1"/>
      <c r="C3" s="2"/>
      <c r="D3" s="2"/>
      <c r="E3" s="2"/>
      <c r="F3" s="2"/>
      <c r="G3" s="2"/>
      <c r="H3" s="2"/>
      <c r="I3" s="2"/>
      <c r="J3" s="2"/>
      <c r="K3" s="2"/>
      <c r="L3" s="2"/>
      <c r="M3" s="2"/>
      <c r="N3" s="2"/>
      <c r="O3" s="3"/>
    </row>
    <row r="4" spans="1:15" s="142" customFormat="1" ht="15.95" customHeight="1" x14ac:dyDescent="0.25">
      <c r="B4" s="286"/>
      <c r="C4" s="419"/>
      <c r="D4" s="519" t="s">
        <v>488</v>
      </c>
      <c r="E4" s="419"/>
      <c r="F4" s="419"/>
      <c r="G4" s="419"/>
      <c r="H4" s="419"/>
      <c r="I4" s="419"/>
      <c r="J4" s="419"/>
      <c r="K4" s="419"/>
      <c r="L4" s="419"/>
      <c r="M4" s="419"/>
      <c r="N4" s="419"/>
      <c r="O4" s="288"/>
    </row>
    <row r="5" spans="1:15" ht="45" customHeight="1" x14ac:dyDescent="0.25">
      <c r="B5" s="4"/>
      <c r="C5" s="258"/>
      <c r="D5" s="2873"/>
      <c r="E5" s="4345" t="str">
        <f>IF(Sort_NumValues=3,dpSort_ValueScenario_3,IF(Sort_NumValues=2,dpSort_ValueScenario_2,dpSort_ValueScenario_1))</f>
        <v>Retrospective Fee Simple Market Value Indication</v>
      </c>
      <c r="F5" s="4345"/>
      <c r="G5" s="4345"/>
      <c r="H5" s="4345" t="str">
        <f>IF(Sort_NumValues=3,dpSort_ValueScenario_2,IF(Sort_NumValues=2,dpSort_ValueScenario_1,"N/A"))</f>
        <v>N/A</v>
      </c>
      <c r="I5" s="4345"/>
      <c r="J5" s="4345"/>
      <c r="K5" s="4345" t="str">
        <f>IF(Sort_NumValues=3,dpSort_ValueScenario_1,"N/A")</f>
        <v>N/A</v>
      </c>
      <c r="L5" s="4345"/>
      <c r="M5" s="4345"/>
      <c r="N5" s="258"/>
      <c r="O5" s="6"/>
    </row>
    <row r="6" spans="1:15" ht="14.25" customHeight="1" x14ac:dyDescent="0.25">
      <c r="B6" s="4"/>
      <c r="C6" s="258"/>
      <c r="D6" s="2873"/>
      <c r="E6" s="2874"/>
      <c r="F6" s="2875">
        <f>Income_DCF_HoldingPeriod1+1</f>
        <v>11</v>
      </c>
      <c r="G6" s="2874"/>
      <c r="H6" s="2874"/>
      <c r="I6" s="2875">
        <f>Income_DCF_HoldingPeriod2+1</f>
        <v>11</v>
      </c>
      <c r="J6" s="2874"/>
      <c r="K6" s="2874"/>
      <c r="L6" s="2875">
        <f>Income_DCF_HoldingPeriod3+1</f>
        <v>11</v>
      </c>
      <c r="M6" s="2874"/>
      <c r="N6" s="258"/>
      <c r="O6" s="6"/>
    </row>
    <row r="7" spans="1:15" ht="20.100000000000001" customHeight="1" x14ac:dyDescent="0.25">
      <c r="A7" s="957">
        <v>1</v>
      </c>
      <c r="B7" s="4"/>
      <c r="C7" s="258"/>
      <c r="D7" s="2876" t="s">
        <v>386</v>
      </c>
      <c r="E7" s="258"/>
      <c r="F7" s="2877">
        <f>VLOOKUP($D7,ARGUS_Resale_Array1,3,FALSE)</f>
        <v>9962309</v>
      </c>
      <c r="G7" s="415"/>
      <c r="H7" s="415"/>
      <c r="I7" s="2877" t="e">
        <f>VLOOKUP($D7,ARGUS_Resale_Array2,3,FALSE)</f>
        <v>#N/A</v>
      </c>
      <c r="J7" s="415"/>
      <c r="K7" s="415"/>
      <c r="L7" s="2877" t="e">
        <f>VLOOKUP($D7,ARGUS_Resale_Array3,3,FALSE)</f>
        <v>#N/A</v>
      </c>
      <c r="M7" s="258"/>
      <c r="N7" s="258"/>
      <c r="O7" s="6"/>
    </row>
    <row r="8" spans="1:15" x14ac:dyDescent="0.25">
      <c r="A8" s="957">
        <f>IF(SUM(F8:L8)=0,0,1)</f>
        <v>1</v>
      </c>
      <c r="B8" s="4"/>
      <c r="C8" s="258"/>
      <c r="D8" s="2878" t="s">
        <v>1424</v>
      </c>
      <c r="E8" s="258"/>
      <c r="F8" s="2879">
        <f>IF(ISERROR(VLOOKUP("  Occupancy Gross-up Adjustment",ARGUS_Resale_Array1,3,FALSE)),0,VLOOKUP("  Occupancy Gross-up Adjustment",ARGUS_Resale_Array1,3,FALSE))</f>
        <v>-1682447</v>
      </c>
      <c r="G8" s="415"/>
      <c r="H8" s="415"/>
      <c r="I8" s="2879">
        <f>IF(ISERROR(VLOOKUP("  Occupancy Gross-up Adjustment",ARGUS_Resale_Array2,3,FALSE)),0,VLOOKUP("  Occupancy Gross-up Adjustment",ARGUS_Resale_Array2,3,FALSE))</f>
        <v>0</v>
      </c>
      <c r="J8" s="415"/>
      <c r="K8" s="415"/>
      <c r="L8" s="2879">
        <f>IF(ISERROR(VLOOKUP("  Occupancy Gross-up Adjustment",ARGUS_Resale_Array3,3,FALSE)),0,VLOOKUP("  Occupancy Gross-up Adjustment",ARGUS_Resale_Array3,3,FALSE))</f>
        <v>0</v>
      </c>
      <c r="M8" s="258"/>
      <c r="N8" s="258"/>
      <c r="O8" s="6"/>
    </row>
    <row r="9" spans="1:15" hidden="1" x14ac:dyDescent="0.25">
      <c r="A9" s="957">
        <f>IF(SUM(F9:L9)=0,0,1)</f>
        <v>0</v>
      </c>
      <c r="B9" s="4"/>
      <c r="C9" s="258"/>
      <c r="D9" s="2878" t="s">
        <v>1432</v>
      </c>
      <c r="E9" s="258"/>
      <c r="F9" s="2880">
        <f>IF(ISERROR(VLOOKUP("  Free Rent Offset",ARGUS_Resale_Array1,3,FALSE)),0,VLOOKUP("  Free Rent Offset",ARGUS_Resale_Array1,3,FALSE))</f>
        <v>0</v>
      </c>
      <c r="G9" s="415"/>
      <c r="H9" s="415"/>
      <c r="I9" s="2880">
        <f>IF(ISERROR(VLOOKUP("  Free Rent Offset",ARGUS_Resale_Array2,3,FALSE)),0,VLOOKUP("  Free Rent Offset",ARGUS_Resale_Array2,3,FALSE))</f>
        <v>0</v>
      </c>
      <c r="J9" s="415"/>
      <c r="K9" s="415"/>
      <c r="L9" s="2880">
        <f>IF(ISERROR(VLOOKUP("  Free Rent Offset",ARGUS_Resale_Array3,3,FALSE)),0,VLOOKUP("  Free Rent Offset",ARGUS_Resale_Array3,3,FALSE))</f>
        <v>0</v>
      </c>
      <c r="M9" s="258"/>
      <c r="N9" s="258"/>
      <c r="O9" s="6"/>
    </row>
    <row r="10" spans="1:15" x14ac:dyDescent="0.25">
      <c r="A10" s="957">
        <f>IF(SUM(A8:A9)=0,0,1)</f>
        <v>1</v>
      </c>
      <c r="B10" s="4"/>
      <c r="C10" s="258"/>
      <c r="D10" s="2876" t="s">
        <v>1425</v>
      </c>
      <c r="E10" s="258"/>
      <c r="F10" s="2881">
        <f>SUM(F7:F9)</f>
        <v>8279862</v>
      </c>
      <c r="G10" s="415"/>
      <c r="H10" s="415"/>
      <c r="I10" s="2881" t="e">
        <f>SUM(I7:I9)</f>
        <v>#N/A</v>
      </c>
      <c r="J10" s="415"/>
      <c r="K10" s="415"/>
      <c r="L10" s="2881" t="e">
        <f>SUM(L7:L9)</f>
        <v>#N/A</v>
      </c>
      <c r="M10" s="258"/>
      <c r="N10" s="258"/>
      <c r="O10" s="6"/>
    </row>
    <row r="11" spans="1:15" ht="24.95" customHeight="1" x14ac:dyDescent="0.25">
      <c r="A11" s="957">
        <v>1</v>
      </c>
      <c r="B11" s="4"/>
      <c r="C11" s="258"/>
      <c r="D11" s="2876" t="s">
        <v>489</v>
      </c>
      <c r="E11" s="258"/>
      <c r="F11" s="2882"/>
      <c r="G11" s="415"/>
      <c r="H11" s="415"/>
      <c r="I11" s="415"/>
      <c r="J11" s="415"/>
      <c r="K11" s="415"/>
      <c r="L11" s="415"/>
      <c r="M11" s="258"/>
      <c r="N11" s="258"/>
      <c r="O11" s="6"/>
    </row>
    <row r="12" spans="1:15" x14ac:dyDescent="0.25">
      <c r="A12" s="957">
        <v>1</v>
      </c>
      <c r="B12" s="4"/>
      <c r="C12" s="258"/>
      <c r="D12" s="2876" t="s">
        <v>490</v>
      </c>
      <c r="E12" s="258"/>
      <c r="F12" s="1386">
        <v>7.7499999999999999E-2</v>
      </c>
      <c r="G12" s="415"/>
      <c r="H12" s="415"/>
      <c r="I12" s="1386">
        <f>dpIncome_TerminalRate</f>
        <v>0</v>
      </c>
      <c r="J12" s="415"/>
      <c r="K12" s="415"/>
      <c r="L12" s="1386">
        <f>dpIncome_TerminalRate</f>
        <v>0</v>
      </c>
      <c r="M12" s="258"/>
      <c r="N12" s="258"/>
      <c r="O12" s="6"/>
    </row>
    <row r="13" spans="1:15" x14ac:dyDescent="0.25">
      <c r="A13" s="957">
        <v>1</v>
      </c>
      <c r="B13" s="4"/>
      <c r="C13" s="258"/>
      <c r="D13" s="2876" t="s">
        <v>1430</v>
      </c>
      <c r="E13" s="258"/>
      <c r="F13" s="2879">
        <f>F10/F12</f>
        <v>106836929.03225806</v>
      </c>
      <c r="G13" s="415"/>
      <c r="H13" s="415"/>
      <c r="I13" s="2879" t="e">
        <f>I10/I12</f>
        <v>#N/A</v>
      </c>
      <c r="J13" s="415"/>
      <c r="K13" s="415"/>
      <c r="L13" s="2879" t="e">
        <f>L10/L12</f>
        <v>#N/A</v>
      </c>
      <c r="M13" s="258"/>
      <c r="N13" s="258"/>
      <c r="O13" s="6"/>
    </row>
    <row r="14" spans="1:15" ht="20.100000000000001" customHeight="1" x14ac:dyDescent="0.25">
      <c r="A14" s="957">
        <f>IF(SUM(A15:A19)=0,0,1)</f>
        <v>1</v>
      </c>
      <c r="B14" s="4"/>
      <c r="C14" s="258"/>
      <c r="D14" s="2876" t="s">
        <v>492</v>
      </c>
      <c r="E14" s="258"/>
      <c r="F14" s="2882"/>
      <c r="G14" s="415"/>
      <c r="H14" s="415"/>
      <c r="I14" s="415"/>
      <c r="J14" s="415"/>
      <c r="K14" s="415"/>
      <c r="L14" s="415"/>
      <c r="M14" s="258"/>
      <c r="N14" s="258"/>
      <c r="O14" s="6"/>
    </row>
    <row r="15" spans="1:15" hidden="1" x14ac:dyDescent="0.25">
      <c r="A15" s="957">
        <f>IF(SUM(F15:L15)=0,0,1)</f>
        <v>0</v>
      </c>
      <c r="B15" s="4"/>
      <c r="C15" s="258"/>
      <c r="D15" s="2878" t="s">
        <v>1428</v>
      </c>
      <c r="E15" s="258"/>
      <c r="F15" s="2879">
        <f>IF(ISERROR(VLOOKUP("  A &amp; T Vacancy",ARGUS_Resale_Array1,3,FALSE)),0,VLOOKUP("  A &amp; T Vacancy",ARGUS_Resale_Array1,3,FALSE))</f>
        <v>0</v>
      </c>
      <c r="G15" s="415"/>
      <c r="H15" s="415"/>
      <c r="I15" s="2879">
        <f>IF(ISERROR(VLOOKUP("  A &amp; T Vacancy",ARGUS_Resale_Array2,3,FALSE)),0,VLOOKUP("  A &amp; T Vacancy",ARGUS_Resale_Array2,3,FALSE))</f>
        <v>0</v>
      </c>
      <c r="J15" s="415"/>
      <c r="K15" s="415"/>
      <c r="L15" s="2879">
        <f>IF(ISERROR(VLOOKUP("  A &amp; T Vacancy",ARGUS_Resale_Array3,3,FALSE)),0,VLOOKUP("  A &amp; T Vacancy",ARGUS_Resale_Array3,3,FALSE))</f>
        <v>0</v>
      </c>
      <c r="M15" s="258"/>
      <c r="N15" s="258"/>
      <c r="O15" s="6"/>
    </row>
    <row r="16" spans="1:15" hidden="1" x14ac:dyDescent="0.25">
      <c r="A16" s="957">
        <f>IF(SUM(F16:L16)=0,0,1)</f>
        <v>0</v>
      </c>
      <c r="B16" s="4"/>
      <c r="C16" s="258"/>
      <c r="D16" s="2878" t="s">
        <v>1429</v>
      </c>
      <c r="E16" s="258"/>
      <c r="F16" s="2879">
        <f>IF(ISERROR(VLOOKUP("  Free Rent",ARGUS_Resale_Array1,3,FALSE)),0,VLOOKUP("  Free Rent",ARGUS_Resale_Array1,3,FALSE))</f>
        <v>0</v>
      </c>
      <c r="G16" s="415"/>
      <c r="H16" s="415"/>
      <c r="I16" s="2879">
        <f>IF(ISERROR(VLOOKUP("  Free Rent",ARGUS_Resale_Array2,3,FALSE)),0,VLOOKUP("  Free Rent",ARGUS_Resale_Array2,3,FALSE))</f>
        <v>0</v>
      </c>
      <c r="J16" s="415"/>
      <c r="K16" s="415"/>
      <c r="L16" s="2879">
        <f>IF(ISERROR(VLOOKUP("  Free Rent",ARGUS_Resale_Array3,3,FALSE)),0,VLOOKUP("  Free Rent",ARGUS_Resale_Array3,3,FALSE))</f>
        <v>0</v>
      </c>
      <c r="M16" s="258"/>
      <c r="N16" s="258"/>
      <c r="O16" s="6"/>
    </row>
    <row r="17" spans="1:15" hidden="1" x14ac:dyDescent="0.25">
      <c r="A17" s="957">
        <f>IF(SUM(F17:L17)=0,0,1)</f>
        <v>0</v>
      </c>
      <c r="B17" s="4"/>
      <c r="C17" s="258"/>
      <c r="D17" s="2878" t="s">
        <v>1426</v>
      </c>
      <c r="E17" s="258"/>
      <c r="F17" s="2879">
        <f>IF(ISERROR(VLOOKUP("  TI Adjustment",ARGUS_Resale_Array1,3,FALSE)),0,VLOOKUP("  TI Adjustment",ARGUS_Resale_Array1,3,FALSE))</f>
        <v>0</v>
      </c>
      <c r="G17" s="415"/>
      <c r="H17" s="415"/>
      <c r="I17" s="2879">
        <f>IF(ISERROR(VLOOKUP("  TI Adjustment",ARGUS_Resale_Array2,3,FALSE)),0,VLOOKUP("  TI Adjustment",ARGUS_Resale_Array2,3,FALSE))</f>
        <v>0</v>
      </c>
      <c r="J17" s="415"/>
      <c r="K17" s="415"/>
      <c r="L17" s="2879">
        <f>IF(ISERROR(VLOOKUP("  TI Adjustment",ARGUS_Resale_Array3,3,FALSE)),0,VLOOKUP("  TI Adjustment",ARGUS_Resale_Array3,3,FALSE))</f>
        <v>0</v>
      </c>
      <c r="M17" s="258"/>
      <c r="N17" s="258"/>
      <c r="O17" s="6"/>
    </row>
    <row r="18" spans="1:15" x14ac:dyDescent="0.25">
      <c r="A18" s="957">
        <f>IF(SUM(F18:L18)=0,0,1)</f>
        <v>1</v>
      </c>
      <c r="B18" s="4"/>
      <c r="C18" s="258"/>
      <c r="D18" s="2878" t="s">
        <v>451</v>
      </c>
      <c r="E18" s="258"/>
      <c r="F18" s="2879">
        <f>IF(ISERROR(VLOOKUP("  LC Adjustment",ARGUS_Resale_Array1,3,FALSE)),0,VLOOKUP("  LC Adjustment",ARGUS_Resale_Array1,3,FALSE))</f>
        <v>-47089</v>
      </c>
      <c r="G18" s="415"/>
      <c r="H18" s="415"/>
      <c r="I18" s="2879">
        <f>IF(ISERROR(VLOOKUP("  LC Adjustment",ARGUS_Resale_Array2,3,FALSE)),0,VLOOKUP("  LC Adjustment",ARGUS_Resale_Array2,3,FALSE))</f>
        <v>0</v>
      </c>
      <c r="J18" s="415"/>
      <c r="K18" s="415"/>
      <c r="L18" s="2879">
        <f>IF(ISERROR(VLOOKUP("  LC Adjustment",ARGUS_Resale_Array3,3,FALSE)),0,VLOOKUP("  LC Adjustment",ARGUS_Resale_Array3,3,FALSE))</f>
        <v>0</v>
      </c>
      <c r="M18" s="258"/>
      <c r="N18" s="258"/>
      <c r="O18" s="6"/>
    </row>
    <row r="19" spans="1:15" x14ac:dyDescent="0.25">
      <c r="A19" s="957">
        <f>IF(SUM(F19:L19)=0,0,1)</f>
        <v>1</v>
      </c>
      <c r="B19" s="4"/>
      <c r="C19" s="258"/>
      <c r="D19" s="2883" t="s">
        <v>1427</v>
      </c>
      <c r="E19" s="258"/>
      <c r="F19" s="2880">
        <f>IF(ISERROR(VLOOKUP("  Capital Expenses",ARGUS_Resale_Array1,3,FALSE)),0,VLOOKUP("  Capital Expenses",ARGUS_Resale_Array1,3,FALSE))</f>
        <v>-170731</v>
      </c>
      <c r="G19" s="415"/>
      <c r="H19" s="415"/>
      <c r="I19" s="2880">
        <f>IF(ISERROR(VLOOKUP("  Capital Expenses",ARGUS_Resale_Array2,3,FALSE)),0,VLOOKUP("  Capital Expenses",ARGUS_Resale_Array2,3,FALSE))</f>
        <v>0</v>
      </c>
      <c r="J19" s="415"/>
      <c r="K19" s="415"/>
      <c r="L19" s="2880">
        <f>IF(ISERROR(VLOOKUP("  Capital Expenses",ARGUS_Resale_Array3,3,FALSE)),0,VLOOKUP("  Capital Expenses",ARGUS_Resale_Array3,3,FALSE))</f>
        <v>0</v>
      </c>
      <c r="M19" s="258"/>
      <c r="N19" s="258"/>
      <c r="O19" s="6"/>
    </row>
    <row r="20" spans="1:15" x14ac:dyDescent="0.25">
      <c r="A20" s="957">
        <f>IF(SUM(A15:A19)=0,0,1)</f>
        <v>1</v>
      </c>
      <c r="B20" s="4"/>
      <c r="C20" s="258"/>
      <c r="D20" s="2876" t="s">
        <v>1431</v>
      </c>
      <c r="E20" s="258"/>
      <c r="F20" s="2881">
        <f>SUM(F13:F19)</f>
        <v>106619109.03225806</v>
      </c>
      <c r="G20" s="415"/>
      <c r="H20" s="415"/>
      <c r="I20" s="2881" t="e">
        <f>SUM(I13:I19)</f>
        <v>#N/A</v>
      </c>
      <c r="J20" s="415"/>
      <c r="K20" s="415"/>
      <c r="L20" s="2881" t="e">
        <f>SUM(L13:L19)</f>
        <v>#N/A</v>
      </c>
      <c r="M20" s="258"/>
      <c r="N20" s="258"/>
      <c r="O20" s="6"/>
    </row>
    <row r="21" spans="1:15" ht="24.95" customHeight="1" x14ac:dyDescent="0.25">
      <c r="A21" s="11"/>
      <c r="B21" s="4"/>
      <c r="C21" s="258"/>
      <c r="D21" s="2876" t="s">
        <v>493</v>
      </c>
      <c r="E21" s="258"/>
      <c r="F21" s="2882"/>
      <c r="G21" s="415"/>
      <c r="H21" s="415"/>
      <c r="I21" s="415"/>
      <c r="J21" s="415"/>
      <c r="K21" s="415"/>
      <c r="L21" s="415"/>
      <c r="M21" s="258"/>
      <c r="N21" s="258"/>
      <c r="O21" s="6"/>
    </row>
    <row r="22" spans="1:15" x14ac:dyDescent="0.25">
      <c r="A22" s="11"/>
      <c r="B22" s="4"/>
      <c r="C22" s="258"/>
      <c r="D22" s="2876" t="str">
        <f>CONCATENATE("Commissions &amp; Adjustments (",TEXT(dpIncome_DCF_COS,"0.00%"),")")</f>
        <v>Commissions &amp; Adjustments (0.00%)</v>
      </c>
      <c r="E22" s="258"/>
      <c r="F22" s="2884">
        <f>-dpIncome_DCF_COS*F20</f>
        <v>0</v>
      </c>
      <c r="G22" s="415"/>
      <c r="H22" s="415"/>
      <c r="I22" s="2884" t="e">
        <f>-dpIncome_DCF_COS*I20</f>
        <v>#N/A</v>
      </c>
      <c r="J22" s="415"/>
      <c r="K22" s="415"/>
      <c r="L22" s="2884" t="e">
        <f>-dpIncome_DCF_COS*L20</f>
        <v>#N/A</v>
      </c>
      <c r="M22" s="258"/>
      <c r="N22" s="258"/>
      <c r="O22" s="6"/>
    </row>
    <row r="23" spans="1:15" x14ac:dyDescent="0.25">
      <c r="A23" s="11"/>
      <c r="B23" s="4"/>
      <c r="C23" s="258"/>
      <c r="D23" s="2885" t="s">
        <v>491</v>
      </c>
      <c r="E23" s="258"/>
      <c r="F23" s="2886">
        <f>F20+F22</f>
        <v>106619109.03225806</v>
      </c>
      <c r="G23" s="415"/>
      <c r="H23" s="415"/>
      <c r="I23" s="2886" t="e">
        <f>I20+I22</f>
        <v>#N/A</v>
      </c>
      <c r="J23" s="415"/>
      <c r="K23" s="415"/>
      <c r="L23" s="2886" t="e">
        <f>L20+L22</f>
        <v>#N/A</v>
      </c>
      <c r="M23" s="258"/>
      <c r="N23" s="258"/>
      <c r="O23" s="6"/>
    </row>
    <row r="24" spans="1:15" ht="5.0999999999999996" customHeight="1" thickBot="1" x14ac:dyDescent="0.3">
      <c r="B24" s="4"/>
      <c r="C24" s="258"/>
      <c r="D24" s="2887"/>
      <c r="E24" s="2888"/>
      <c r="F24" s="2889"/>
      <c r="G24" s="2888"/>
      <c r="H24" s="2888"/>
      <c r="I24" s="2888"/>
      <c r="J24" s="2888"/>
      <c r="K24" s="2888"/>
      <c r="L24" s="2888"/>
      <c r="M24" s="2888"/>
      <c r="N24" s="258"/>
      <c r="O24" s="6"/>
    </row>
    <row r="25" spans="1:15" x14ac:dyDescent="0.25">
      <c r="B25" s="4"/>
      <c r="C25" s="5"/>
      <c r="D25" s="556" t="s">
        <v>931</v>
      </c>
      <c r="E25" s="5"/>
      <c r="F25" s="5"/>
      <c r="G25" s="5"/>
      <c r="H25" s="5"/>
      <c r="I25" s="5"/>
      <c r="J25" s="5"/>
      <c r="K25" s="5"/>
      <c r="L25" s="5"/>
      <c r="M25" s="5"/>
      <c r="N25" s="5"/>
      <c r="O25" s="6"/>
    </row>
    <row r="27" spans="1:15" s="32" customFormat="1" x14ac:dyDescent="0.25">
      <c r="F27" s="957">
        <f>IF(E5="N/A",0,1)</f>
        <v>1</v>
      </c>
      <c r="G27" s="957">
        <f>F27</f>
        <v>1</v>
      </c>
      <c r="H27" s="957">
        <f>I27</f>
        <v>0</v>
      </c>
      <c r="I27" s="957">
        <f>IF(H5="N/A",0,1)</f>
        <v>0</v>
      </c>
      <c r="J27" s="957">
        <f>I27</f>
        <v>0</v>
      </c>
      <c r="K27" s="957">
        <f>L27</f>
        <v>0</v>
      </c>
      <c r="L27" s="957">
        <f>IF(K5="N/A",0,1)</f>
        <v>0</v>
      </c>
      <c r="M27" s="957">
        <f>L27</f>
        <v>0</v>
      </c>
    </row>
  </sheetData>
  <mergeCells count="3">
    <mergeCell ref="E5:G5"/>
    <mergeCell ref="H5:J5"/>
    <mergeCell ref="K5:M5"/>
  </mergeCells>
  <hyperlinks>
    <hyperlink ref="F22" location="dpIncome_DCF_COS" tooltip="Click for Input Cell &amp; Hold to Select Cell" display="dpIncome_DCF_COS" xr:uid="{00000000-0004-0000-3B00-000000000000}"/>
    <hyperlink ref="I22" location="dpIncome_DCF_COS" tooltip="Click for Input Cell &amp; Hold to Select Cell" display="dpIncome_DCF_COS" xr:uid="{00000000-0004-0000-3B00-000001000000}"/>
    <hyperlink ref="L22" location="dpIncome_DCF_COS" tooltip="Click for Input Cell &amp; Hold to Select Cell" display="dpIncome_DCF_COS" xr:uid="{00000000-0004-0000-3B00-000002000000}"/>
    <hyperlink ref="F6" location="dpIncome_DCF_HoldingPeriod1" tooltip="Click for Input Cell &amp; Hold to Select Cell" display="dpIncome_DCF_HoldingPeriod1" xr:uid="{00000000-0004-0000-3B00-000003000000}"/>
    <hyperlink ref="I6" location="dpIncome_DCF_HoldingPeriod2" tooltip="Click for Input Cell &amp; Hold to Select Cell" display="dpIncome_DCF_HoldingPeriod2" xr:uid="{00000000-0004-0000-3B00-000004000000}"/>
    <hyperlink ref="L6" location="dpIncome_DCF_HoldingPeriod3" tooltip="Click for Input Cell &amp; Hold to Select Cell" display="dpIncome_DCF_HoldingPeriod3" xr:uid="{00000000-0004-0000-3B00-000005000000}"/>
  </hyperlinks>
  <pageMargins left="0.7" right="0.7" top="0.75" bottom="0.75" header="0.3" footer="0.3"/>
  <pageSetup orientation="portrait" r:id="rId1"/>
  <drawing r:id="rId2"/>
  <legacy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16">
    <tabColor theme="3"/>
  </sheetPr>
  <dimension ref="B1:Z21"/>
  <sheetViews>
    <sheetView zoomScaleNormal="100" workbookViewId="0">
      <selection activeCell="L13" sqref="L13"/>
    </sheetView>
  </sheetViews>
  <sheetFormatPr defaultColWidth="8.85546875" defaultRowHeight="14.25" x14ac:dyDescent="0.25"/>
  <cols>
    <col min="1" max="3" width="8.85546875" style="18"/>
    <col min="4" max="4" width="8.85546875" style="18" customWidth="1"/>
    <col min="5" max="5" width="0.85546875" style="18" customWidth="1"/>
    <col min="6" max="7" width="16.7109375" style="18" customWidth="1"/>
    <col min="8" max="8" width="0.85546875" style="18" customWidth="1"/>
    <col min="9" max="9" width="8.85546875" style="18" customWidth="1"/>
    <col min="10" max="19" width="8.85546875" style="18"/>
    <col min="20" max="20" width="0.85546875" style="18" customWidth="1"/>
    <col min="21" max="25" width="16.7109375" style="18" customWidth="1"/>
    <col min="26" max="26" width="0.85546875" style="18" customWidth="1"/>
    <col min="27" max="16384" width="8.85546875" style="18"/>
  </cols>
  <sheetData>
    <row r="1" spans="2:26" s="42" customFormat="1" ht="60" customHeight="1" x14ac:dyDescent="0.25"/>
    <row r="2" spans="2:26" s="11" customFormat="1" x14ac:dyDescent="0.25"/>
    <row r="3" spans="2:26" s="12" customFormat="1" x14ac:dyDescent="0.25">
      <c r="B3" s="12" t="s">
        <v>546</v>
      </c>
    </row>
    <row r="4" spans="2:26" s="11" customFormat="1" x14ac:dyDescent="0.25"/>
    <row r="6" spans="2:26" ht="16.899999999999999" customHeight="1" x14ac:dyDescent="0.25"/>
    <row r="7" spans="2:26" ht="17.100000000000001" customHeight="1" x14ac:dyDescent="0.25">
      <c r="F7" s="18">
        <f>406414/157501</f>
        <v>2.5803899657779952</v>
      </c>
    </row>
    <row r="8" spans="2:26" ht="15" customHeight="1" x14ac:dyDescent="0.25">
      <c r="F8" s="18">
        <f>230432/80640</f>
        <v>2.8575396825396826</v>
      </c>
    </row>
    <row r="9" spans="2:26" ht="15" customHeight="1" x14ac:dyDescent="0.3">
      <c r="F9" s="18">
        <f>221285/108812</f>
        <v>2.0336451861926994</v>
      </c>
      <c r="T9" s="92"/>
      <c r="U9" s="97" t="s">
        <v>20046</v>
      </c>
      <c r="V9" s="92"/>
      <c r="W9" s="92"/>
      <c r="X9" s="92"/>
      <c r="Y9" s="92"/>
      <c r="Z9" s="92"/>
    </row>
    <row r="10" spans="2:26" ht="15" customHeight="1" x14ac:dyDescent="0.25">
      <c r="F10" s="18">
        <f>217800/123967</f>
        <v>1.7569191801043826</v>
      </c>
      <c r="T10" s="150"/>
      <c r="U10" s="150" t="s">
        <v>20047</v>
      </c>
      <c r="V10" s="150" t="s">
        <v>20047</v>
      </c>
      <c r="W10" s="150" t="s">
        <v>20047</v>
      </c>
      <c r="X10" s="150" t="s">
        <v>20047</v>
      </c>
      <c r="Y10" s="150" t="s">
        <v>20047</v>
      </c>
      <c r="Z10" s="150"/>
    </row>
    <row r="11" spans="2:26" ht="15" customHeight="1" x14ac:dyDescent="0.25">
      <c r="F11" s="18">
        <f>243500/93450</f>
        <v>2.6056714820759765</v>
      </c>
      <c r="O11" s="18">
        <v>497896</v>
      </c>
      <c r="T11" s="92"/>
      <c r="U11" s="92"/>
      <c r="V11" s="92"/>
      <c r="W11" s="92"/>
      <c r="X11" s="92"/>
      <c r="Y11" s="92"/>
      <c r="Z11" s="92"/>
    </row>
    <row r="12" spans="2:26" ht="15" customHeight="1" x14ac:dyDescent="0.25">
      <c r="O12" s="18">
        <v>87120</v>
      </c>
      <c r="T12" s="92"/>
      <c r="U12" s="92"/>
      <c r="V12" s="92"/>
      <c r="W12" s="92"/>
      <c r="X12" s="92"/>
      <c r="Y12" s="92"/>
      <c r="Z12" s="92"/>
    </row>
    <row r="13" spans="2:26" ht="15" customHeight="1" x14ac:dyDescent="0.25">
      <c r="O13" s="18">
        <f>+O11-O12</f>
        <v>410776</v>
      </c>
      <c r="P13" s="18">
        <f>+O13/43560</f>
        <v>9.4301193755739217</v>
      </c>
      <c r="R13" s="18">
        <f>24050/O13</f>
        <v>5.8547724307164976E-2</v>
      </c>
      <c r="T13" s="92"/>
      <c r="U13" s="92"/>
      <c r="V13" s="92"/>
      <c r="W13" s="92"/>
      <c r="X13" s="92"/>
      <c r="Y13" s="92"/>
      <c r="Z13" s="92"/>
    </row>
    <row r="14" spans="2:26" ht="15" customHeight="1" x14ac:dyDescent="0.25">
      <c r="T14" s="92"/>
      <c r="U14" s="92"/>
      <c r="V14" s="92"/>
      <c r="W14" s="92"/>
      <c r="X14" s="92"/>
      <c r="Y14" s="92"/>
      <c r="Z14" s="92"/>
    </row>
    <row r="15" spans="2:26" ht="15" customHeight="1" x14ac:dyDescent="0.25">
      <c r="O15" s="18">
        <f>+O13/O11</f>
        <v>0.82502369972845735</v>
      </c>
      <c r="R15" s="18">
        <v>24050</v>
      </c>
      <c r="T15" s="92"/>
      <c r="U15" s="92"/>
      <c r="V15" s="92"/>
      <c r="W15" s="92"/>
      <c r="X15" s="92"/>
      <c r="Y15" s="92"/>
      <c r="Z15" s="92"/>
    </row>
    <row r="16" spans="2:26" ht="15" customHeight="1" x14ac:dyDescent="0.25">
      <c r="T16" s="92"/>
      <c r="U16" s="92"/>
      <c r="V16" s="92"/>
      <c r="W16" s="92"/>
      <c r="X16" s="92"/>
      <c r="Y16" s="92"/>
      <c r="Z16" s="92"/>
    </row>
    <row r="17" spans="18:26" ht="15" customHeight="1" x14ac:dyDescent="0.25">
      <c r="T17" s="92"/>
      <c r="U17" s="92"/>
      <c r="V17" s="92"/>
      <c r="W17" s="92"/>
      <c r="X17" s="92"/>
      <c r="Y17" s="92"/>
      <c r="Z17" s="92"/>
    </row>
    <row r="18" spans="18:26" ht="15" customHeight="1" x14ac:dyDescent="0.25">
      <c r="R18" s="18">
        <f>+O13/R15</f>
        <v>17.080083160083159</v>
      </c>
      <c r="T18" s="92"/>
      <c r="U18" s="92"/>
      <c r="V18" s="92"/>
      <c r="W18" s="92"/>
      <c r="X18" s="92"/>
      <c r="Y18" s="92"/>
      <c r="Z18" s="92"/>
    </row>
    <row r="19" spans="18:26" ht="15" customHeight="1" x14ac:dyDescent="0.25">
      <c r="T19" s="92"/>
      <c r="U19" s="92"/>
      <c r="V19" s="92"/>
      <c r="W19" s="92"/>
      <c r="X19" s="92"/>
      <c r="Y19" s="92"/>
      <c r="Z19" s="92"/>
    </row>
    <row r="20" spans="18:26" ht="15" customHeight="1" x14ac:dyDescent="0.25">
      <c r="T20" s="92"/>
      <c r="U20" s="92"/>
      <c r="V20" s="92"/>
      <c r="W20" s="92"/>
      <c r="X20" s="92"/>
      <c r="Y20" s="92"/>
      <c r="Z20" s="92"/>
    </row>
    <row r="21" spans="18:26" ht="15" customHeight="1" thickBot="1" x14ac:dyDescent="0.3">
      <c r="T21" s="92"/>
      <c r="U21" s="3330"/>
      <c r="V21" s="3330"/>
      <c r="W21" s="3330"/>
      <c r="X21" s="3330"/>
      <c r="Y21" s="3330"/>
      <c r="Z21" s="92"/>
    </row>
  </sheetData>
  <pageMargins left="0.7" right="0.7" top="0.75" bottom="0.75" header="0.3" footer="0.3"/>
  <pageSetup orientation="portrait" r:id="rId1"/>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17">
    <tabColor theme="3"/>
  </sheetPr>
  <dimension ref="B1:O19"/>
  <sheetViews>
    <sheetView zoomScaleNormal="100" workbookViewId="0">
      <selection activeCell="K14" sqref="K14"/>
    </sheetView>
  </sheetViews>
  <sheetFormatPr defaultColWidth="8.85546875" defaultRowHeight="14.25" x14ac:dyDescent="0.25"/>
  <cols>
    <col min="1" max="16384" width="8.85546875" style="5"/>
  </cols>
  <sheetData>
    <row r="1" spans="2:15" s="11" customFormat="1" ht="60" customHeight="1" x14ac:dyDescent="0.25"/>
    <row r="2" spans="2:15" s="11" customFormat="1" x14ac:dyDescent="0.25"/>
    <row r="3" spans="2:15" s="12" customFormat="1" x14ac:dyDescent="0.25">
      <c r="B3" s="12" t="s">
        <v>546</v>
      </c>
    </row>
    <row r="4" spans="2:15" s="11" customFormat="1" x14ac:dyDescent="0.25"/>
    <row r="7" spans="2:15" x14ac:dyDescent="0.25">
      <c r="K7" s="5">
        <f>448993+524140</f>
        <v>973133</v>
      </c>
      <c r="M7" s="5">
        <v>329940</v>
      </c>
      <c r="O7" s="5">
        <f>+K7/M7</f>
        <v>2.9494241377220098</v>
      </c>
    </row>
    <row r="9" spans="2:15" x14ac:dyDescent="0.25">
      <c r="O9" s="5">
        <f>+M7/K7</f>
        <v>0.33904923581874213</v>
      </c>
    </row>
    <row r="10" spans="2:15" ht="16.899999999999999" customHeight="1" x14ac:dyDescent="0.25">
      <c r="K10" s="5">
        <f>+K7/43560</f>
        <v>22.340059687786962</v>
      </c>
    </row>
    <row r="11" spans="2:15" ht="16.899999999999999" customHeight="1" x14ac:dyDescent="0.25"/>
    <row r="12" spans="2:15" ht="16.899999999999999" customHeight="1" x14ac:dyDescent="0.25"/>
    <row r="13" spans="2:15" ht="16.899999999999999" customHeight="1" x14ac:dyDescent="0.25"/>
    <row r="14" spans="2:15" ht="16.899999999999999" customHeight="1" x14ac:dyDescent="0.25"/>
    <row r="15" spans="2:15" ht="16.899999999999999" customHeight="1" x14ac:dyDescent="0.25"/>
    <row r="16" spans="2:15" ht="16.899999999999999" customHeight="1" x14ac:dyDescent="0.25"/>
    <row r="17" ht="16.899999999999999" customHeight="1" x14ac:dyDescent="0.25"/>
    <row r="18" ht="16.899999999999999" customHeight="1" x14ac:dyDescent="0.25"/>
    <row r="19" ht="16.899999999999999" customHeight="1" x14ac:dyDescent="0.25"/>
  </sheetData>
  <pageMargins left="0.7" right="0.7" top="0.75" bottom="0.75" header="0.3" footer="0.3"/>
  <drawing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18">
    <tabColor theme="3"/>
  </sheetPr>
  <dimension ref="B1:O18"/>
  <sheetViews>
    <sheetView zoomScaleNormal="100" workbookViewId="0">
      <selection activeCell="N21" sqref="N21"/>
    </sheetView>
  </sheetViews>
  <sheetFormatPr defaultColWidth="8.85546875" defaultRowHeight="14.25" x14ac:dyDescent="0.25"/>
  <cols>
    <col min="1" max="16384" width="8.85546875" style="5"/>
  </cols>
  <sheetData>
    <row r="1" spans="2:15" s="11" customFormat="1" ht="60" customHeight="1" x14ac:dyDescent="0.25"/>
    <row r="2" spans="2:15" s="11" customFormat="1" x14ac:dyDescent="0.25"/>
    <row r="3" spans="2:15" s="12" customFormat="1" x14ac:dyDescent="0.25">
      <c r="B3" s="12" t="s">
        <v>546</v>
      </c>
    </row>
    <row r="4" spans="2:15" s="11" customFormat="1" x14ac:dyDescent="0.25"/>
    <row r="12" spans="2:15" x14ac:dyDescent="0.25">
      <c r="I12" s="5">
        <f>43200/43560</f>
        <v>0.99173553719008267</v>
      </c>
      <c r="N12" s="5">
        <v>43200</v>
      </c>
      <c r="O12" s="5">
        <f>14628/N12</f>
        <v>0.33861111111111108</v>
      </c>
    </row>
    <row r="18" spans="14:14" x14ac:dyDescent="0.25">
      <c r="N18" s="5">
        <f>+N12/14628</f>
        <v>2.9532403609515998</v>
      </c>
    </row>
  </sheetData>
  <pageMargins left="0.7" right="0.7" top="0.75" bottom="0.75" header="0.3" footer="0.3"/>
  <drawing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19">
    <tabColor theme="3"/>
    <pageSetUpPr fitToPage="1"/>
  </sheetPr>
  <dimension ref="B1:I23"/>
  <sheetViews>
    <sheetView zoomScaleNormal="100" workbookViewId="0">
      <selection activeCell="K13" sqref="K13"/>
    </sheetView>
  </sheetViews>
  <sheetFormatPr defaultColWidth="8.85546875" defaultRowHeight="14.25" x14ac:dyDescent="0.25"/>
  <cols>
    <col min="1" max="6" width="8.85546875" style="18"/>
    <col min="7" max="7" width="47.5703125" style="18" customWidth="1"/>
    <col min="8" max="8" width="37.85546875" style="18" customWidth="1"/>
    <col min="9" max="9" width="45.85546875" style="18" customWidth="1"/>
    <col min="10" max="10" width="37.85546875" style="18" customWidth="1"/>
    <col min="11" max="16384" width="8.85546875" style="18"/>
  </cols>
  <sheetData>
    <row r="1" spans="2:9" s="42" customFormat="1" ht="60" customHeight="1" x14ac:dyDescent="0.25"/>
    <row r="2" spans="2:9" s="42" customFormat="1" x14ac:dyDescent="0.25"/>
    <row r="3" spans="2:9" s="12" customFormat="1" x14ac:dyDescent="0.25">
      <c r="B3" s="12" t="s">
        <v>546</v>
      </c>
    </row>
    <row r="4" spans="2:9" s="42" customFormat="1" x14ac:dyDescent="0.25"/>
    <row r="6" spans="2:9" ht="16.899999999999999" customHeight="1" x14ac:dyDescent="0.25"/>
    <row r="7" spans="2:9" ht="16.899999999999999" customHeight="1" x14ac:dyDescent="0.25"/>
    <row r="8" spans="2:9" ht="16.899999999999999" customHeight="1" x14ac:dyDescent="0.25"/>
    <row r="9" spans="2:9" ht="16.899999999999999" customHeight="1" x14ac:dyDescent="0.25"/>
    <row r="10" spans="2:9" ht="16.899999999999999" customHeight="1" x14ac:dyDescent="0.25"/>
    <row r="11" spans="2:9" ht="16.899999999999999" customHeight="1" x14ac:dyDescent="0.25">
      <c r="I11" s="18">
        <f>1962362/329940</f>
        <v>5.9476329029520523</v>
      </c>
    </row>
    <row r="12" spans="2:9" ht="16.899999999999999" customHeight="1" x14ac:dyDescent="0.25">
      <c r="I12" s="18">
        <f>329940*6.25</f>
        <v>2062125</v>
      </c>
    </row>
    <row r="13" spans="2:9" ht="16.899999999999999" customHeight="1" x14ac:dyDescent="0.25"/>
    <row r="14" spans="2:9" ht="16.899999999999999" customHeight="1" x14ac:dyDescent="0.25">
      <c r="I14" s="18">
        <f>+I12+1962362</f>
        <v>4024487</v>
      </c>
    </row>
    <row r="15" spans="2:9" ht="16.899999999999999" customHeight="1" x14ac:dyDescent="0.25">
      <c r="I15" s="18">
        <f>+I14-201224</f>
        <v>3823263</v>
      </c>
    </row>
    <row r="16" spans="2:9" ht="16.899999999999999" customHeight="1" x14ac:dyDescent="0.25"/>
    <row r="17" ht="16.899999999999999" customHeight="1" x14ac:dyDescent="0.25"/>
    <row r="18" ht="16.899999999999999" customHeight="1" x14ac:dyDescent="0.25"/>
    <row r="19" ht="16.899999999999999" customHeight="1" x14ac:dyDescent="0.25"/>
    <row r="20" ht="16.899999999999999" customHeight="1" x14ac:dyDescent="0.25"/>
    <row r="21" ht="16.899999999999999" customHeight="1" x14ac:dyDescent="0.25"/>
    <row r="22" ht="16.899999999999999" customHeight="1" x14ac:dyDescent="0.25"/>
    <row r="23" ht="16.899999999999999" customHeight="1" x14ac:dyDescent="0.25"/>
  </sheetData>
  <pageMargins left="0.25" right="0.25" top="0.75" bottom="0.75" header="0.3" footer="0.3"/>
  <pageSetup scale="45" fitToHeight="0" orientation="portrait" draft="1"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63">
    <tabColor theme="8" tint="-0.249977111117893"/>
  </sheetPr>
  <dimension ref="A1:X100"/>
  <sheetViews>
    <sheetView workbookViewId="0">
      <selection activeCell="D4" sqref="D4"/>
    </sheetView>
  </sheetViews>
  <sheetFormatPr defaultColWidth="9.140625" defaultRowHeight="14.25" x14ac:dyDescent="0.25"/>
  <cols>
    <col min="1" max="1" width="5.7109375" style="41" customWidth="1"/>
    <col min="2" max="2" width="1.7109375" style="10" customWidth="1"/>
    <col min="3" max="3" width="0.85546875" style="10" customWidth="1"/>
    <col min="4" max="4" width="35.7109375" style="10" customWidth="1"/>
    <col min="5" max="5" width="55.7109375" style="10" customWidth="1"/>
    <col min="6" max="6" width="0.85546875" style="10" customWidth="1"/>
    <col min="7" max="7" width="1.7109375" style="10" customWidth="1"/>
    <col min="8" max="8" width="5.7109375" style="10" customWidth="1"/>
    <col min="9" max="9" width="1.7109375" style="10" customWidth="1"/>
    <col min="10" max="10" width="0.85546875" style="10" customWidth="1"/>
    <col min="11" max="11" width="35.7109375" style="10" customWidth="1"/>
    <col min="12" max="12" width="14.7109375" style="37" customWidth="1"/>
    <col min="13" max="19" width="11.7109375" style="37" customWidth="1"/>
    <col min="20" max="20" width="8.7109375" style="37" bestFit="1" customWidth="1"/>
    <col min="21" max="21" width="11.7109375" style="37" customWidth="1"/>
    <col min="22" max="22" width="8.7109375" style="37" bestFit="1" customWidth="1"/>
    <col min="23" max="23" width="0.85546875" style="10" customWidth="1"/>
    <col min="24" max="24" width="1.7109375" style="10" customWidth="1"/>
    <col min="25" max="25" width="5.7109375" style="10" customWidth="1"/>
    <col min="26" max="26" width="1.7109375" style="10" customWidth="1"/>
    <col min="27" max="27" width="0.85546875" style="10" customWidth="1"/>
    <col min="28" max="28" width="15.7109375" style="10" customWidth="1"/>
    <col min="29" max="16384" width="9.140625" style="10"/>
  </cols>
  <sheetData>
    <row r="1" spans="1:8" ht="60" customHeight="1" x14ac:dyDescent="0.25"/>
    <row r="2" spans="1:8" ht="20.100000000000001" customHeight="1" x14ac:dyDescent="0.25">
      <c r="D2" s="751" t="s">
        <v>1158</v>
      </c>
      <c r="E2" s="4347" t="s">
        <v>1399</v>
      </c>
      <c r="F2" s="4348"/>
      <c r="G2" s="4348"/>
      <c r="H2" s="4348"/>
    </row>
    <row r="3" spans="1:8" ht="20.100000000000001" customHeight="1" x14ac:dyDescent="0.25"/>
    <row r="4" spans="1:8" ht="20.100000000000001" customHeight="1" thickBot="1" x14ac:dyDescent="0.3"/>
    <row r="5" spans="1:8" x14ac:dyDescent="0.25">
      <c r="B5" s="1"/>
      <c r="C5" s="2"/>
      <c r="D5" s="2"/>
      <c r="E5" s="202"/>
      <c r="F5" s="2"/>
      <c r="G5" s="3"/>
    </row>
    <row r="6" spans="1:8" ht="16.5" x14ac:dyDescent="0.3">
      <c r="A6" s="337"/>
      <c r="B6" s="335"/>
      <c r="C6" s="336"/>
      <c r="D6" s="17" t="s">
        <v>694</v>
      </c>
      <c r="E6" s="337"/>
      <c r="F6" s="336"/>
      <c r="G6" s="338"/>
    </row>
    <row r="7" spans="1:8" ht="16.5" x14ac:dyDescent="0.3">
      <c r="A7" s="957">
        <v>1</v>
      </c>
      <c r="B7" s="4"/>
      <c r="C7" s="101"/>
      <c r="D7" s="115" t="s">
        <v>972</v>
      </c>
      <c r="E7" s="137"/>
      <c r="F7" s="101"/>
      <c r="G7" s="6"/>
    </row>
    <row r="8" spans="1:8" x14ac:dyDescent="0.25">
      <c r="A8" s="957">
        <f>IF(Subject_ClientIDNumber="",0,1)</f>
        <v>1</v>
      </c>
      <c r="B8" s="4"/>
      <c r="C8" s="101"/>
      <c r="D8" s="670" t="s">
        <v>973</v>
      </c>
      <c r="E8" s="540" t="str">
        <f>Subject_ClientIDNumber</f>
        <v>25-000142-01-01</v>
      </c>
      <c r="F8" s="101"/>
      <c r="G8" s="6"/>
    </row>
    <row r="9" spans="1:8" x14ac:dyDescent="0.25">
      <c r="A9" s="957">
        <v>1</v>
      </c>
      <c r="B9" s="4"/>
      <c r="C9" s="101"/>
      <c r="D9" s="614" t="s">
        <v>0</v>
      </c>
      <c r="E9" s="480" t="str">
        <f>Subject_PropertyName</f>
        <v>FRANKLIN INDUSTRIAL GROUP LTD</v>
      </c>
      <c r="F9" s="101"/>
      <c r="G9" s="6"/>
    </row>
    <row r="10" spans="1:8" x14ac:dyDescent="0.25">
      <c r="A10" s="957">
        <v>1</v>
      </c>
      <c r="B10" s="4"/>
      <c r="C10" s="101"/>
      <c r="D10" s="488" t="s">
        <v>980</v>
      </c>
      <c r="E10" s="727" t="str">
        <f>Subject_Address</f>
        <v>4940 Oneida St</v>
      </c>
      <c r="F10" s="101"/>
      <c r="G10" s="6"/>
    </row>
    <row r="11" spans="1:8" x14ac:dyDescent="0.25">
      <c r="A11" s="957">
        <v>1</v>
      </c>
      <c r="B11" s="4"/>
      <c r="C11" s="101"/>
      <c r="D11" s="101"/>
      <c r="E11" s="480" t="str">
        <f>CONCATENATE(Subject_City,", ",Subject_County," ",Subject_CountyorParish,", ",Subject_State,", ",TEXT(Subject_Zip,"00000"))</f>
        <v>Commerce City, Adams County, Colorado, 33904</v>
      </c>
      <c r="F11" s="101"/>
      <c r="G11" s="6"/>
    </row>
    <row r="12" spans="1:8" x14ac:dyDescent="0.25">
      <c r="A12" s="972">
        <f>IF(OR(E12=", ",E12="N/A,N/A"),0,1)</f>
        <v>1</v>
      </c>
      <c r="B12" s="87"/>
      <c r="C12" s="424"/>
      <c r="D12" s="673" t="s">
        <v>759</v>
      </c>
      <c r="E12" s="424" t="str">
        <f>CONCATENATE(Subject_Latitude,", ",Subject_Longitude)</f>
        <v>26.561524, -81.949277</v>
      </c>
      <c r="F12" s="424"/>
      <c r="G12" s="89"/>
    </row>
    <row r="13" spans="1:8" x14ac:dyDescent="0.25">
      <c r="A13" s="972">
        <f>IF(OR(E13="",E13="N/A",E13=0),0,1)</f>
        <v>1</v>
      </c>
      <c r="B13" s="87"/>
      <c r="C13" s="424"/>
      <c r="D13" s="673" t="s">
        <v>752</v>
      </c>
      <c r="E13" s="671">
        <f>Subject_CensusTract</f>
        <v>108.02</v>
      </c>
      <c r="F13" s="424"/>
      <c r="G13" s="89"/>
    </row>
    <row r="14" spans="1:8" x14ac:dyDescent="0.25">
      <c r="A14" s="972">
        <v>1</v>
      </c>
      <c r="B14" s="87"/>
      <c r="C14" s="424"/>
      <c r="D14" s="673" t="str">
        <f>IF(AND(ISERR(FIND("and",Subject_TaxAccounts)),ISERR(FIND("&amp;",Subject_TaxAccounts)))=TRUE,"Tax Parcel Number","Tax Parcel Numbers")</f>
        <v>Tax Parcel Number</v>
      </c>
      <c r="E14" s="672">
        <f>Subject_TaxAccounts</f>
        <v>171928200019</v>
      </c>
      <c r="F14" s="424"/>
      <c r="G14" s="89"/>
    </row>
    <row r="15" spans="1:8" x14ac:dyDescent="0.25">
      <c r="A15" s="972">
        <v>1</v>
      </c>
      <c r="B15" s="87"/>
      <c r="C15" s="424"/>
      <c r="D15" s="673" t="str">
        <f>IF(AND(ISERR(FIND("and",Subject_TaxAccounts)),ISERR(FIND("&amp;",Subject_TaxAccounts)))=TRUE,"Property Owner","Property Owners")</f>
        <v>Property Owner</v>
      </c>
      <c r="E15" s="672" t="str">
        <f>Subject_OwnerName</f>
        <v>Sun Empire 4940 LLC</v>
      </c>
      <c r="F15" s="424"/>
      <c r="G15" s="89"/>
    </row>
    <row r="16" spans="1:8" ht="16.5" x14ac:dyDescent="0.3">
      <c r="A16" s="957">
        <v>1</v>
      </c>
      <c r="B16" s="4"/>
      <c r="C16" s="101"/>
      <c r="D16" s="115" t="s">
        <v>974</v>
      </c>
      <c r="E16" s="481"/>
      <c r="F16" s="101"/>
      <c r="G16" s="6"/>
    </row>
    <row r="17" spans="1:7" x14ac:dyDescent="0.25">
      <c r="A17" s="957">
        <v>1</v>
      </c>
      <c r="B17" s="4"/>
      <c r="C17" s="101"/>
      <c r="D17" s="614" t="s">
        <v>76</v>
      </c>
      <c r="E17" s="482" t="str">
        <f>IF(OR(Subject_ZoningCode="",Subject_ZoningCode="Not Zoned"),"Not Zoned",CONCATENATE(,Subject_ZoningDescription," (",Subject_ZoningCode,")"))</f>
        <v>General Industrial (all parcels) (I-2 (all parcels))</v>
      </c>
      <c r="F17" s="101"/>
      <c r="G17" s="6"/>
    </row>
    <row r="18" spans="1:7" x14ac:dyDescent="0.25">
      <c r="A18" s="957">
        <v>1</v>
      </c>
      <c r="B18" s="4"/>
      <c r="C18" s="101"/>
      <c r="D18" s="614" t="s">
        <v>975</v>
      </c>
      <c r="E18" s="408" t="str">
        <f>Subject_LandFloodMapNo</f>
        <v>08001C0582H</v>
      </c>
      <c r="F18" s="101"/>
      <c r="G18" s="6"/>
    </row>
    <row r="19" spans="1:7" x14ac:dyDescent="0.25">
      <c r="A19" s="957">
        <v>1</v>
      </c>
      <c r="B19" s="4"/>
      <c r="C19" s="101"/>
      <c r="D19" s="614" t="s">
        <v>541</v>
      </c>
      <c r="E19" s="480" t="str">
        <f>Subject_LandFlood</f>
        <v>Zone AE</v>
      </c>
      <c r="F19" s="101"/>
      <c r="G19" s="6"/>
    </row>
    <row r="20" spans="1:7" x14ac:dyDescent="0.25">
      <c r="A20" s="957">
        <f>IF(E20="",0,1)</f>
        <v>0</v>
      </c>
      <c r="B20" s="4"/>
      <c r="C20" s="101"/>
      <c r="D20" s="2890"/>
      <c r="E20" s="2891"/>
      <c r="F20" s="101"/>
      <c r="G20" s="6"/>
    </row>
    <row r="21" spans="1:7" x14ac:dyDescent="0.25">
      <c r="A21" s="957">
        <f>IF(E21="",0,1)</f>
        <v>0</v>
      </c>
      <c r="B21" s="4"/>
      <c r="C21" s="101"/>
      <c r="D21" s="2890"/>
      <c r="E21" s="2891"/>
      <c r="F21" s="101"/>
      <c r="G21" s="6"/>
    </row>
    <row r="22" spans="1:7" x14ac:dyDescent="0.25">
      <c r="A22" s="957">
        <v>1</v>
      </c>
      <c r="B22" s="4"/>
      <c r="C22" s="101"/>
      <c r="D22" s="614" t="str">
        <f>IF(AND(Subject_LandSurplusAcres="",Subject_LandExcessAcres=""),IF(Subject_LandPrimary_UsableAcres=Subject_LandPrimary_GrossAcres,"Land Area",IF(OR(LandUnitDisplay="Usable Acres",LandUnitDisplay="Usable Square Feet"),"Usable Land Area","Gross Land Area")),IF(Subject_LandPrimary_UsableAcres=Subject_LandPrimary_GrossAcres,"Primary Land Area",IF(OR(LandUnitDisplay="Usable Acres",LandUnitDisplay="Usable Square Feet"),"Primary Usable Land Area","Primary Gross Land Area")))</f>
        <v>Primary Land Area</v>
      </c>
      <c r="E22" s="483">
        <f>IF(OR(LandUnitDisplay="Usable Acres",LandUnitDisplay="Usable Square Feet"),Subject_LandPrimary_UsableAcres,Subject_LandPrimary_GrossAcres)</f>
        <v>0.99173553719008267</v>
      </c>
      <c r="F22" s="101"/>
      <c r="G22" s="6"/>
    </row>
    <row r="23" spans="1:7" x14ac:dyDescent="0.25">
      <c r="A23" s="957">
        <f>IF(OR(E23=0,E23="N/A"),0,1)</f>
        <v>0</v>
      </c>
      <c r="B23" s="4"/>
      <c r="C23" s="101"/>
      <c r="D23" s="614" t="s">
        <v>534</v>
      </c>
      <c r="E23" s="483">
        <f>Subject_LandExcessAcres</f>
        <v>0</v>
      </c>
      <c r="F23" s="101"/>
      <c r="G23" s="6"/>
    </row>
    <row r="24" spans="1:7" x14ac:dyDescent="0.25">
      <c r="A24" s="957">
        <f>IF(OR(E24=0,E24="N/A"),0,1)</f>
        <v>0</v>
      </c>
      <c r="B24" s="4"/>
      <c r="C24" s="101"/>
      <c r="D24" s="614" t="s">
        <v>535</v>
      </c>
      <c r="E24" s="483">
        <f>Subject_LandSurplusAcres</f>
        <v>0</v>
      </c>
      <c r="F24" s="101"/>
      <c r="G24" s="6"/>
    </row>
    <row r="25" spans="1:7" x14ac:dyDescent="0.25">
      <c r="A25" s="957">
        <f>IF(AND(E23=0,E24=0),0,1)</f>
        <v>0</v>
      </c>
      <c r="B25" s="4"/>
      <c r="C25" s="101"/>
      <c r="D25" s="674" t="s">
        <v>38</v>
      </c>
      <c r="E25" s="544">
        <f>SUM(E22:E24)</f>
        <v>0.99173553719008267</v>
      </c>
      <c r="F25" s="101"/>
      <c r="G25" s="6"/>
    </row>
    <row r="26" spans="1:7" ht="16.5" x14ac:dyDescent="0.3">
      <c r="A26" s="957">
        <f t="shared" ref="A26:A39" si="0">IF(AND(Subject_LandAppraisal="Yes",dpLand_DemolitionCost=0),0,1)</f>
        <v>1</v>
      </c>
      <c r="B26" s="4"/>
      <c r="C26" s="101"/>
      <c r="D26" s="115" t="str">
        <f>IF(Subject_Year_Built&gt;dpSort_DOV_2,"Proposed Improvements","Existing Improvements")</f>
        <v>Existing Improvements</v>
      </c>
      <c r="E26" s="137"/>
      <c r="F26" s="101"/>
      <c r="G26" s="6"/>
    </row>
    <row r="27" spans="1:7" x14ac:dyDescent="0.25">
      <c r="A27" s="957">
        <f t="shared" si="0"/>
        <v>1</v>
      </c>
      <c r="B27" s="4"/>
      <c r="C27" s="101"/>
      <c r="D27" s="488" t="s">
        <v>833</v>
      </c>
      <c r="E27" s="540" t="str">
        <f>Subject_PropertyUse</f>
        <v>Distribution Warehouse</v>
      </c>
      <c r="F27" s="101"/>
      <c r="G27" s="6"/>
    </row>
    <row r="28" spans="1:7" x14ac:dyDescent="0.25">
      <c r="A28" s="957">
        <f t="shared" si="0"/>
        <v>1</v>
      </c>
      <c r="B28" s="4"/>
      <c r="C28" s="101"/>
      <c r="D28" s="488" t="s">
        <v>308</v>
      </c>
      <c r="E28" s="480" t="str">
        <f>Subject_InvestmentClass</f>
        <v>B</v>
      </c>
      <c r="F28" s="101"/>
      <c r="G28" s="6"/>
    </row>
    <row r="29" spans="1:7" x14ac:dyDescent="0.25">
      <c r="A29" s="957">
        <f t="shared" si="0"/>
        <v>1</v>
      </c>
      <c r="B29" s="4"/>
      <c r="C29" s="101"/>
      <c r="D29" s="488" t="s">
        <v>769</v>
      </c>
      <c r="E29" s="480" t="str">
        <f>Subject_OccupancyType</f>
        <v>Owner Occupied</v>
      </c>
      <c r="F29" s="101"/>
      <c r="G29" s="6"/>
    </row>
    <row r="30" spans="1:7" x14ac:dyDescent="0.25">
      <c r="A30" s="957">
        <f t="shared" si="0"/>
        <v>1</v>
      </c>
      <c r="B30" s="4"/>
      <c r="C30" s="101"/>
      <c r="D30" s="488" t="s">
        <v>536</v>
      </c>
      <c r="E30" s="484">
        <f>Subject_GBA</f>
        <v>220514</v>
      </c>
      <c r="F30" s="101"/>
      <c r="G30" s="6"/>
    </row>
    <row r="31" spans="1:7" x14ac:dyDescent="0.25">
      <c r="A31" s="957">
        <f t="shared" si="0"/>
        <v>1</v>
      </c>
      <c r="B31" s="4"/>
      <c r="C31" s="101"/>
      <c r="D31" s="488" t="s">
        <v>537</v>
      </c>
      <c r="E31" s="484">
        <f>Subject_NRA</f>
        <v>209208</v>
      </c>
      <c r="F31" s="101"/>
      <c r="G31" s="6"/>
    </row>
    <row r="32" spans="1:7" x14ac:dyDescent="0.25">
      <c r="A32" s="957">
        <v>1</v>
      </c>
      <c r="B32" s="4"/>
      <c r="C32" s="101"/>
      <c r="D32" s="488" t="s">
        <v>1156</v>
      </c>
      <c r="E32" s="900" t="str">
        <f>dpIncome_RentTenantSize_Subject</f>
        <v>Varies</v>
      </c>
      <c r="F32" s="101"/>
      <c r="G32" s="6"/>
    </row>
    <row r="33" spans="1:7" x14ac:dyDescent="0.25">
      <c r="A33" s="957">
        <v>1</v>
      </c>
      <c r="B33" s="4"/>
      <c r="C33" s="101"/>
      <c r="D33" s="488" t="s">
        <v>1157</v>
      </c>
      <c r="E33" s="901" t="e">
        <f>E32/E31</f>
        <v>#VALUE!</v>
      </c>
      <c r="F33" s="101"/>
      <c r="G33" s="6"/>
    </row>
    <row r="34" spans="1:7" x14ac:dyDescent="0.25">
      <c r="A34" s="957">
        <f t="shared" si="0"/>
        <v>1</v>
      </c>
      <c r="B34" s="4"/>
      <c r="C34" s="101"/>
      <c r="D34" s="488" t="s">
        <v>542</v>
      </c>
      <c r="E34" s="480">
        <f>Subject_BuildingCount</f>
        <v>1</v>
      </c>
      <c r="F34" s="101"/>
      <c r="G34" s="6"/>
    </row>
    <row r="35" spans="1:7" x14ac:dyDescent="0.25">
      <c r="A35" s="957">
        <f t="shared" si="0"/>
        <v>1</v>
      </c>
      <c r="B35" s="4"/>
      <c r="C35" s="101"/>
      <c r="D35" s="488" t="s">
        <v>745</v>
      </c>
      <c r="E35" s="480">
        <f>Subject_NumFloors</f>
        <v>1</v>
      </c>
      <c r="F35" s="101"/>
      <c r="G35" s="6"/>
    </row>
    <row r="36" spans="1:7" x14ac:dyDescent="0.25">
      <c r="A36" s="957">
        <f t="shared" si="0"/>
        <v>1</v>
      </c>
      <c r="B36" s="4"/>
      <c r="C36" s="101"/>
      <c r="D36" s="488" t="s">
        <v>10</v>
      </c>
      <c r="E36" s="480">
        <f>dpSubject_YOC_Option</f>
        <v>2021</v>
      </c>
      <c r="F36" s="101"/>
      <c r="G36" s="6"/>
    </row>
    <row r="37" spans="1:7" x14ac:dyDescent="0.25">
      <c r="A37" s="957">
        <f t="shared" si="0"/>
        <v>1</v>
      </c>
      <c r="B37" s="4"/>
      <c r="C37" s="101"/>
      <c r="D37" s="488" t="s">
        <v>538</v>
      </c>
      <c r="E37" s="480" t="str">
        <f>Subject_Condition</f>
        <v>Average</v>
      </c>
      <c r="F37" s="101"/>
      <c r="G37" s="6"/>
    </row>
    <row r="38" spans="1:7" x14ac:dyDescent="0.25">
      <c r="A38" s="957">
        <f t="shared" si="0"/>
        <v>1</v>
      </c>
      <c r="B38" s="4"/>
      <c r="C38" s="101"/>
      <c r="D38" s="488" t="s">
        <v>307</v>
      </c>
      <c r="E38" s="480" t="str">
        <f>Subject_ConstructionClass</f>
        <v>B</v>
      </c>
      <c r="F38" s="101"/>
      <c r="G38" s="6"/>
    </row>
    <row r="39" spans="1:7" x14ac:dyDescent="0.25">
      <c r="A39" s="957">
        <f t="shared" si="0"/>
        <v>1</v>
      </c>
      <c r="B39" s="4"/>
      <c r="C39" s="101"/>
      <c r="D39" s="488" t="s">
        <v>288</v>
      </c>
      <c r="E39" s="480" t="str">
        <f>Subject_ConstructionQuality</f>
        <v>Good</v>
      </c>
      <c r="F39" s="101"/>
      <c r="G39" s="6"/>
    </row>
    <row r="40" spans="1:7" x14ac:dyDescent="0.25">
      <c r="A40" s="957">
        <f>IF(Subject_PropertyType="Industrial",1,0)</f>
        <v>1</v>
      </c>
      <c r="B40" s="4"/>
      <c r="C40" s="101"/>
      <c r="D40" s="488" t="s">
        <v>540</v>
      </c>
      <c r="E40" s="485">
        <f>Subject_PercentOfficeFinish</f>
        <v>7.4999999999999997E-2</v>
      </c>
      <c r="F40" s="101"/>
      <c r="G40" s="6"/>
    </row>
    <row r="41" spans="1:7" x14ac:dyDescent="0.25">
      <c r="A41" s="957">
        <f>IF(Subject_PropertyType="Industrial",1,0)</f>
        <v>1</v>
      </c>
      <c r="B41" s="4"/>
      <c r="C41" s="101"/>
      <c r="D41" s="488" t="s">
        <v>191</v>
      </c>
      <c r="E41" s="486">
        <f>Subject_ClearHeight</f>
        <v>0</v>
      </c>
      <c r="F41" s="101"/>
      <c r="G41" s="6"/>
    </row>
    <row r="42" spans="1:7" x14ac:dyDescent="0.25">
      <c r="A42" s="957">
        <f>IF(E42="",0,1)</f>
        <v>0</v>
      </c>
      <c r="B42" s="4"/>
      <c r="C42" s="101"/>
      <c r="D42" s="2890"/>
      <c r="E42" s="2891"/>
      <c r="F42" s="101"/>
      <c r="G42" s="6"/>
    </row>
    <row r="43" spans="1:7" x14ac:dyDescent="0.25">
      <c r="A43" s="957">
        <f>IF(E43="",0,1)</f>
        <v>0</v>
      </c>
      <c r="B43" s="4"/>
      <c r="C43" s="101"/>
      <c r="D43" s="2890"/>
      <c r="E43" s="2891"/>
      <c r="F43" s="101"/>
      <c r="G43" s="6"/>
    </row>
    <row r="44" spans="1:7" x14ac:dyDescent="0.25">
      <c r="A44" s="957">
        <f>IF(E44="",0,1)</f>
        <v>0</v>
      </c>
      <c r="B44" s="4"/>
      <c r="C44" s="101"/>
      <c r="D44" s="2890"/>
      <c r="E44" s="2891"/>
      <c r="F44" s="101"/>
      <c r="G44" s="6"/>
    </row>
    <row r="45" spans="1:7" x14ac:dyDescent="0.25">
      <c r="A45" s="957">
        <f>IF(E45="",0,1)</f>
        <v>0</v>
      </c>
      <c r="B45" s="4"/>
      <c r="C45" s="101"/>
      <c r="D45" s="2890"/>
      <c r="E45" s="2891"/>
      <c r="F45" s="101"/>
      <c r="G45" s="6"/>
    </row>
    <row r="46" spans="1:7" x14ac:dyDescent="0.25">
      <c r="A46" s="957">
        <f>IF(E46=0,0,1)</f>
        <v>1</v>
      </c>
      <c r="B46" s="4"/>
      <c r="C46" s="101"/>
      <c r="D46" s="488" t="s">
        <v>801</v>
      </c>
      <c r="E46" s="487">
        <f>dpSubject_ParkingSurface</f>
        <v>30</v>
      </c>
      <c r="F46" s="101"/>
      <c r="G46" s="6"/>
    </row>
    <row r="47" spans="1:7" x14ac:dyDescent="0.25">
      <c r="A47" s="957">
        <f>IF(E47=0,0,1)</f>
        <v>0</v>
      </c>
      <c r="B47" s="4"/>
      <c r="C47" s="101"/>
      <c r="D47" s="488" t="s">
        <v>802</v>
      </c>
      <c r="E47" s="487">
        <f>Subject_ParkingGarage</f>
        <v>0</v>
      </c>
      <c r="F47" s="101"/>
      <c r="G47" s="6"/>
    </row>
    <row r="48" spans="1:7" x14ac:dyDescent="0.25">
      <c r="A48" s="957">
        <f>IF(SUM(A46:A47)=2,1,0)</f>
        <v>0</v>
      </c>
      <c r="B48" s="4"/>
      <c r="C48" s="101"/>
      <c r="D48" s="740" t="s">
        <v>803</v>
      </c>
      <c r="E48" s="803">
        <f>Subject_ParkingTotal</f>
        <v>13</v>
      </c>
      <c r="F48" s="101"/>
      <c r="G48" s="6"/>
    </row>
    <row r="49" spans="1:24" ht="16.5" x14ac:dyDescent="0.3">
      <c r="A49" s="957">
        <v>1</v>
      </c>
      <c r="B49" s="4"/>
      <c r="C49" s="101"/>
      <c r="D49" s="115" t="s">
        <v>977</v>
      </c>
      <c r="E49" s="137"/>
      <c r="F49" s="101"/>
      <c r="G49" s="6"/>
    </row>
    <row r="50" spans="1:24" x14ac:dyDescent="0.25">
      <c r="A50" s="957">
        <f>IF(USPS_ReportSelection=1,0,1)</f>
        <v>1</v>
      </c>
      <c r="B50" s="4"/>
      <c r="C50" s="101"/>
      <c r="D50" s="488" t="s">
        <v>78</v>
      </c>
      <c r="E50" s="637" t="str">
        <f>CONCATENATE(UPPER(LEFT(Subject_HBU_AsVacant,1)),RIGHT(Subject_HBU_AsVacant,LEN(Subject_HBU_AsVacant)-1))</f>
        <v xml:space="preserve">Industrial Development </v>
      </c>
      <c r="F50" s="101"/>
      <c r="G50" s="6"/>
    </row>
    <row r="51" spans="1:24" x14ac:dyDescent="0.25">
      <c r="A51" s="957">
        <f>IF(Subject_LandAppraisal="Yes",0,1)</f>
        <v>1</v>
      </c>
      <c r="B51" s="4"/>
      <c r="C51" s="101"/>
      <c r="D51" s="488" t="s">
        <v>79</v>
      </c>
      <c r="E51" s="637" t="str">
        <f>CONCATENATE(UPPER(LEFT(Subject_HBU_AsImproved,1)),RIGHT(Subject_HBU_AsImproved,LEN(Subject_HBU_AsImproved)-1))</f>
        <v xml:space="preserve">Continuation as Existing Use </v>
      </c>
      <c r="F51" s="101"/>
      <c r="G51" s="6"/>
    </row>
    <row r="52" spans="1:24" x14ac:dyDescent="0.25">
      <c r="A52" s="957">
        <f>IF(USPS_ReportSelection=1,0,1)</f>
        <v>1</v>
      </c>
      <c r="B52" s="4"/>
      <c r="C52" s="101"/>
      <c r="D52" s="488" t="s">
        <v>985</v>
      </c>
      <c r="E52" s="637" t="str">
        <f>REPLACE(Subject_ExposureTime,1,1,UPPER(LEFT(Subject_ExposureTime,1)))</f>
        <v>6 to 12 months</v>
      </c>
      <c r="F52" s="101"/>
      <c r="G52" s="6"/>
    </row>
    <row r="53" spans="1:24" ht="15" thickBot="1" x14ac:dyDescent="0.3">
      <c r="A53" s="957">
        <f>IF(USPS_ReportSelection=1,0,1)</f>
        <v>1</v>
      </c>
      <c r="B53" s="4"/>
      <c r="C53" s="101"/>
      <c r="D53" s="675" t="s">
        <v>986</v>
      </c>
      <c r="E53" s="676" t="str">
        <f>REPLACE(Subject_MarketingPeriod,1,1,UPPER(LEFT(Subject_MarketingPeriod,1)))</f>
        <v>6 to 12 months</v>
      </c>
      <c r="F53" s="101"/>
      <c r="G53" s="6"/>
    </row>
    <row r="54" spans="1:24" ht="15" thickBot="1" x14ac:dyDescent="0.3">
      <c r="A54" s="957">
        <v>1</v>
      </c>
      <c r="B54" s="8"/>
      <c r="C54" s="7"/>
      <c r="D54" s="741" t="s">
        <v>1161</v>
      </c>
      <c r="E54" s="475"/>
      <c r="F54" s="7"/>
      <c r="G54" s="9"/>
    </row>
    <row r="55" spans="1:24" ht="15" thickBot="1" x14ac:dyDescent="0.3">
      <c r="A55" s="957">
        <v>1</v>
      </c>
    </row>
    <row r="56" spans="1:24" x14ac:dyDescent="0.25">
      <c r="A56" s="957">
        <v>1</v>
      </c>
      <c r="I56" s="1"/>
      <c r="J56" s="2"/>
      <c r="K56" s="2"/>
      <c r="L56" s="123"/>
      <c r="M56" s="123"/>
      <c r="N56" s="123"/>
      <c r="O56" s="123"/>
      <c r="P56" s="123"/>
      <c r="Q56" s="123"/>
      <c r="R56" s="123"/>
      <c r="S56" s="123"/>
      <c r="T56" s="123"/>
      <c r="U56" s="123"/>
      <c r="V56" s="123"/>
      <c r="W56" s="2"/>
      <c r="X56" s="3"/>
    </row>
    <row r="57" spans="1:24" ht="16.5" x14ac:dyDescent="0.3">
      <c r="A57" s="957">
        <v>1</v>
      </c>
      <c r="I57" s="4"/>
      <c r="J57" s="5"/>
      <c r="K57" s="246" t="s">
        <v>4</v>
      </c>
      <c r="L57" s="19"/>
      <c r="M57" s="19"/>
      <c r="N57" s="19"/>
      <c r="O57" s="19"/>
      <c r="P57" s="19"/>
      <c r="Q57" s="19"/>
      <c r="R57" s="19"/>
      <c r="S57" s="19"/>
      <c r="T57" s="19"/>
      <c r="U57" s="19"/>
      <c r="V57" s="19"/>
      <c r="W57" s="5"/>
      <c r="X57" s="6"/>
    </row>
    <row r="58" spans="1:24" s="911" customFormat="1" x14ac:dyDescent="0.25">
      <c r="A58" s="957">
        <v>1</v>
      </c>
      <c r="I58" s="1251"/>
      <c r="J58" s="11"/>
      <c r="K58" s="12" t="s">
        <v>319</v>
      </c>
      <c r="L58" s="124"/>
      <c r="M58" s="124"/>
      <c r="N58" s="124"/>
      <c r="O58" s="207" t="str">
        <f>IF(USPS_ReportSelection=1,"","Market Value")</f>
        <v>Market Value</v>
      </c>
      <c r="P58" s="124"/>
      <c r="Q58" s="124"/>
      <c r="R58" s="124"/>
      <c r="S58" s="207" t="str">
        <f>IF(USPS_ReportSelection=1,"","Upon Inspection")</f>
        <v>Upon Inspection</v>
      </c>
      <c r="T58" s="124"/>
      <c r="U58" s="207" t="str">
        <f>IF(USPS_ReportSelection=3,"Upon Lease Expiration","")</f>
        <v>Upon Lease Expiration</v>
      </c>
      <c r="V58" s="124"/>
      <c r="W58" s="11"/>
      <c r="X58" s="1252"/>
    </row>
    <row r="59" spans="1:24" s="911" customFormat="1" x14ac:dyDescent="0.25">
      <c r="A59" s="957">
        <v>1</v>
      </c>
      <c r="I59" s="1251"/>
      <c r="J59" s="1080"/>
      <c r="K59" s="130" t="s">
        <v>1383</v>
      </c>
      <c r="L59" s="4346">
        <f>dpValue_DOV_1</f>
        <v>45473</v>
      </c>
      <c r="M59" s="4346"/>
      <c r="N59" s="540"/>
      <c r="O59" s="1278" t="str">
        <f>IF(USPS_ReportSelection=1,"","Effective Date")</f>
        <v>Effective Date</v>
      </c>
      <c r="P59" s="540"/>
      <c r="Q59" s="540"/>
      <c r="R59" s="540"/>
      <c r="S59" s="4346">
        <f>IF(USPS_ReportSelection=1,"",dpValue_DOV_1)</f>
        <v>45473</v>
      </c>
      <c r="T59" s="4346"/>
      <c r="U59" s="4346" t="str">
        <f>IF(USPS_ReportSelection=3,dpValue_DOV_2,"")</f>
        <v/>
      </c>
      <c r="V59" s="4346"/>
      <c r="W59" s="1080"/>
      <c r="X59" s="1252"/>
    </row>
    <row r="60" spans="1:24" s="911" customFormat="1" x14ac:dyDescent="0.25">
      <c r="A60" s="957">
        <v>1</v>
      </c>
      <c r="I60" s="1251"/>
      <c r="J60" s="1272"/>
      <c r="K60" s="130" t="s">
        <v>441</v>
      </c>
      <c r="L60" s="1355" t="str">
        <f>dpIncome_RentTenantSize_Subject</f>
        <v>Varies</v>
      </c>
      <c r="M60" s="540"/>
      <c r="N60" s="540"/>
      <c r="O60" s="1278" t="str">
        <f>IF(USPS_ReportSelection=1,"","Property Rights Appraised")</f>
        <v>Property Rights Appraised</v>
      </c>
      <c r="P60" s="540"/>
      <c r="Q60" s="540"/>
      <c r="R60" s="540"/>
      <c r="S60" s="540" t="str">
        <f>IF(USPS_ReportSelection=1,"",dpValue_Interest_1)</f>
        <v>Fee Simple</v>
      </c>
      <c r="T60" s="540"/>
      <c r="U60" s="540" t="str">
        <f>IF(USPS_ReportSelection=3,dpValue_Interest_2,"")</f>
        <v/>
      </c>
      <c r="V60" s="540"/>
      <c r="W60" s="1272"/>
      <c r="X60" s="1252"/>
    </row>
    <row r="61" spans="1:24" s="911" customFormat="1" x14ac:dyDescent="0.25">
      <c r="A61" s="957">
        <v>1</v>
      </c>
      <c r="I61" s="1251"/>
      <c r="J61" s="1272"/>
      <c r="K61" s="1278" t="s">
        <v>1384</v>
      </c>
      <c r="L61" s="1351">
        <f>dpIncome_MarketRentEstimate</f>
        <v>16</v>
      </c>
      <c r="M61" s="540"/>
      <c r="N61" s="540"/>
      <c r="O61" s="1278" t="str">
        <f>IF(USPS_ReportSelection=1,"","Market Value - Improved Property")</f>
        <v>Market Value - Improved Property</v>
      </c>
      <c r="P61" s="540"/>
      <c r="Q61" s="540"/>
      <c r="R61" s="540"/>
      <c r="S61" s="1358">
        <f>IF(USPS_ReportSelection=1,"",dpValue_Final_1)</f>
        <v>0</v>
      </c>
      <c r="T61" s="540" t="str">
        <f>IF(USPS_ReportSelection=1,"",IF(dpUnit_Sales="Net Rentable Area",TEXT(dpValue_Final_1/Subject_NRA,"$0.00")&amp;" psf",TEXT(dpValue_Final_1/Subject_GBA,"$0.00"&amp;" psf")))</f>
        <v>$0.00 psf</v>
      </c>
      <c r="U61" s="1118">
        <f>IF(USPS_ReportSelection=3,dpValue_Final_2,"")</f>
        <v>0</v>
      </c>
      <c r="V61" s="540" t="str">
        <f>IF(USPS_ReportSelection=3,IF(dpUnit_Sales="Net Rentable Area",TEXT(dpValue_Final_2/Subject_NRA,"$0.00")&amp;" psf",TEXT(dpValue_Final_2/Subject_GBA,"$0.00"&amp;" psf")),"")</f>
        <v>$0.00 psf</v>
      </c>
      <c r="W61" s="1272"/>
      <c r="X61" s="1252"/>
    </row>
    <row r="62" spans="1:24" s="911" customFormat="1" x14ac:dyDescent="0.25">
      <c r="A62" s="957">
        <v>1</v>
      </c>
      <c r="I62" s="1251"/>
      <c r="J62" s="1272"/>
      <c r="K62" s="1278" t="s">
        <v>1404</v>
      </c>
      <c r="L62" s="1358" t="e">
        <f>L61*$L$60</f>
        <v>#VALUE!</v>
      </c>
      <c r="M62" s="540"/>
      <c r="N62" s="540"/>
      <c r="O62" s="1278" t="str">
        <f>IF(USPS_ReportSelection=1,"","Market Value - Land as though Vacant")</f>
        <v>Market Value - Land as though Vacant</v>
      </c>
      <c r="P62" s="540"/>
      <c r="Q62" s="540"/>
      <c r="R62" s="540"/>
      <c r="S62" s="1118">
        <f>IF(USPS_ReportSelection=1,"",dpLand_PrimaryLandValue)</f>
        <v>6800000</v>
      </c>
      <c r="T62" s="540" t="str">
        <f>IF(USPS_ReportSelection=1,"",IF(dpUnit_Land="Per Usable Acre",TEXT(dpLand_PrimaryLandValue/Subject_LandPrimary_UsableAcres,"$0,000")&amp;" per acre",IF(dpUnit_Land="Per Gross Acre",TEXT(dpLand_PrimaryLandValue/Subject_LandPrimary_GrossAcres,"$0,000")&amp;" per acre",IF(dpUnit_Land="Per Usable Square Foot",TEXT(dpLand_PrimaryLandValue/Subject_LandPrimary_UsableAcres/43560,"$0.00")&amp;" psf",IF(dpUnit_Land="Per Gross Square Foot",TEXT(dpLand_PrimaryLandValue/Subject_LandPrimary_GrossAcres/43560,"$0.00")&amp;" psf",IF(dpUnit_Land="Per Front Foot",TEXT(dpLand_PrimaryLandValue/Subject_PrimaryFrontageFeet,"$0,000")&amp;" per front foot",IF(dpUnit_Land="Per Proposed square foot",TEXT(dpLand_PrimaryLandValue/Subject_GBA,"$0.00")&amp;" psf",TEXT(dpLand_PrimaryLandValue/Subject_Lots,"$0,000")&amp;" per lot")))))))</f>
        <v>$157.41 psf</v>
      </c>
      <c r="U62" s="1118" t="e">
        <f>IF(USPS_ReportSelection=3,dpLand_PrimaryLandValue*(1+(dpLand_MktCondAdj1*((dpValue_DOV_2-dpValue_DOV_1)/365))),"")</f>
        <v>#VALUE!</v>
      </c>
      <c r="V62" s="540" t="e">
        <f>IF(USPS_ReportSelection=3,IF(dpUnit_Land="Per Usable Acre",TEXT(U62/Subject_LandPrimary_UsableAcres,"$0,000")&amp;" per acre",IF(dpUnit_Land="Per Gross Acre",TEXT(U62/Subject_LandPrimary_GrossAcres,"$0,000")&amp;" per acre",IF(dpUnit_Land="Per Usable Square Foot",TEXT(U62/Subject_LandPrimary_UsableAcres/43560,"$0.00")&amp;" psf",IF(dpUnit_Land="Per Gross Square Foot",TEXT(U62/Subject_LandPrimary_GrossAcres/43560,"$0.00")&amp;" psf",IF(dpUnit_Land="Per Front Foot",TEXT(U62/Subject_PrimaryFrontageFeet,"$0,000")&amp;" per front foot",IF(dpUnit_Land="Per Proposed square foot",TEXT(U62/Subject_GBA,"$0.00")&amp;" psf",TEXT(U62/Subject_Lots,"$0,000")&amp;" per lot")))))),"")</f>
        <v>#VALUE!</v>
      </c>
      <c r="W62" s="1272"/>
      <c r="X62" s="1252"/>
    </row>
    <row r="63" spans="1:24" s="911" customFormat="1" x14ac:dyDescent="0.25">
      <c r="A63" s="957">
        <v>1</v>
      </c>
      <c r="I63" s="1251"/>
      <c r="J63" s="1272"/>
      <c r="K63" s="1356" t="s">
        <v>944</v>
      </c>
      <c r="L63" s="1371">
        <f>dpIncome_RentMktCondAdj1</f>
        <v>0.03</v>
      </c>
      <c r="M63" s="540"/>
      <c r="N63" s="540"/>
      <c r="O63" s="1278" t="str">
        <f>IF(USPS_ReportSelection=1,"","Market Value - Contributory Value of Improvements")</f>
        <v>Market Value - Contributory Value of Improvements</v>
      </c>
      <c r="P63" s="1278"/>
      <c r="Q63" s="1278"/>
      <c r="R63" s="1278"/>
      <c r="S63" s="1358">
        <f>IF(USPS_ReportSelection=1,"",S61-S62)</f>
        <v>-6800000</v>
      </c>
      <c r="T63" s="540" t="str">
        <f>IF(USPS_ReportSelection=1,"",IF(dpUnit_Sales="Net Rentable Area",TEXT(S63/Subject_NRA,"$0.00")&amp;" psf",TEXT(S63/Subject_GBA,"$0.00"&amp;" psf")))</f>
        <v>-$32.50 psf</v>
      </c>
      <c r="U63" s="1358" t="e">
        <f>IF(USPS_ReportSelection=3,U61-U62,"")</f>
        <v>#VALUE!</v>
      </c>
      <c r="V63" s="540" t="e">
        <f>IF(USPS_ReportSelection=3,IF(dpUnit_Sales="Net Rentable Area",TEXT(U63/Subject_NRA,"$0.00")&amp;" psf",TEXT(U63/Subject_GBA,"$0.00"&amp;" psf")),"")</f>
        <v>#VALUE!</v>
      </c>
      <c r="W63" s="1272"/>
      <c r="X63" s="1252"/>
    </row>
    <row r="64" spans="1:24" s="911" customFormat="1" x14ac:dyDescent="0.25">
      <c r="A64" s="957">
        <v>1</v>
      </c>
      <c r="I64" s="1251"/>
      <c r="J64" s="1272"/>
      <c r="K64" s="1357" t="s">
        <v>1171</v>
      </c>
      <c r="L64" s="1348"/>
      <c r="M64" s="1278"/>
      <c r="N64" s="1278"/>
      <c r="O64" s="1278"/>
      <c r="P64" s="1278"/>
      <c r="Q64" s="1278"/>
      <c r="R64" s="1278"/>
      <c r="S64" s="1278"/>
      <c r="T64" s="1278"/>
      <c r="U64" s="1278"/>
      <c r="V64" s="1278"/>
      <c r="W64" s="1272"/>
      <c r="X64" s="1252"/>
    </row>
    <row r="65" spans="1:24" s="911" customFormat="1" x14ac:dyDescent="0.25">
      <c r="A65" s="957">
        <v>1</v>
      </c>
      <c r="I65" s="1251"/>
      <c r="J65" s="1272"/>
      <c r="K65" s="1357" t="s">
        <v>1387</v>
      </c>
      <c r="L65" s="1359">
        <f>L61*(1+dpUSPS_RentMktCond*((dpUSPS_LeaseTermDate-L59)/365))</f>
        <v>-43.800109589041099</v>
      </c>
      <c r="M65" s="1278"/>
      <c r="N65" s="1278"/>
      <c r="O65" s="1118"/>
      <c r="P65" s="1278"/>
      <c r="Q65" s="1278"/>
      <c r="R65" s="1278"/>
      <c r="S65" s="1278"/>
      <c r="T65" s="1278"/>
      <c r="U65" s="1278" t="s">
        <v>1401</v>
      </c>
      <c r="V65" s="540"/>
      <c r="W65" s="1272"/>
      <c r="X65" s="1252"/>
    </row>
    <row r="66" spans="1:24" s="911" customFormat="1" x14ac:dyDescent="0.25">
      <c r="A66" s="957">
        <v>1</v>
      </c>
      <c r="I66" s="1251"/>
      <c r="J66" s="1272"/>
      <c r="K66" s="1278" t="s">
        <v>1405</v>
      </c>
      <c r="L66" s="1358" t="e">
        <f>L65*$L$60</f>
        <v>#VALUE!</v>
      </c>
      <c r="M66" s="1278"/>
      <c r="N66" s="1278"/>
      <c r="O66" s="1118"/>
      <c r="P66" s="1278"/>
      <c r="Q66" s="1278"/>
      <c r="R66" s="1278"/>
      <c r="S66" s="1278"/>
      <c r="T66" s="1278"/>
      <c r="U66" s="1278"/>
      <c r="V66" s="540"/>
      <c r="W66" s="1272"/>
      <c r="X66" s="1252"/>
    </row>
    <row r="67" spans="1:24" s="911" customFormat="1" x14ac:dyDescent="0.25">
      <c r="A67" s="957">
        <v>1</v>
      </c>
      <c r="I67" s="1251"/>
      <c r="J67" s="1272"/>
      <c r="K67" s="130" t="s">
        <v>742</v>
      </c>
      <c r="L67" s="540" t="str">
        <f>dpIncome_MarketRent_LeaseStructure</f>
        <v>Triple Net</v>
      </c>
      <c r="M67" s="540"/>
      <c r="N67" s="540"/>
      <c r="O67" s="540"/>
      <c r="P67" s="540"/>
      <c r="Q67" s="540"/>
      <c r="R67" s="540"/>
      <c r="S67" s="540"/>
      <c r="T67" s="540"/>
      <c r="U67" s="540"/>
      <c r="V67" s="540"/>
      <c r="W67" s="1272"/>
      <c r="X67" s="1252"/>
    </row>
    <row r="68" spans="1:24" s="911" customFormat="1" ht="15" thickBot="1" x14ac:dyDescent="0.3">
      <c r="A68" s="957">
        <v>1</v>
      </c>
      <c r="I68" s="1251"/>
      <c r="J68" s="1315"/>
      <c r="K68" s="99" t="s">
        <v>1381</v>
      </c>
      <c r="L68" s="1366"/>
      <c r="M68" s="1368"/>
      <c r="N68" s="540"/>
      <c r="O68" s="540"/>
      <c r="P68" s="540"/>
      <c r="Q68" s="540"/>
      <c r="R68" s="540"/>
      <c r="S68" s="540"/>
      <c r="T68" s="540"/>
      <c r="U68" s="540"/>
      <c r="V68" s="540"/>
      <c r="W68" s="1272"/>
      <c r="X68" s="1252"/>
    </row>
    <row r="69" spans="1:24" s="911" customFormat="1" x14ac:dyDescent="0.25">
      <c r="A69" s="957">
        <v>1</v>
      </c>
      <c r="I69" s="1251"/>
      <c r="J69" s="12"/>
      <c r="K69" s="12"/>
      <c r="L69" s="12"/>
      <c r="M69" s="1349">
        <v>1</v>
      </c>
      <c r="N69" s="1349">
        <f>M69+1</f>
        <v>2</v>
      </c>
      <c r="O69" s="1349">
        <f t="shared" ref="O69:V69" si="1">N69+1</f>
        <v>3</v>
      </c>
      <c r="P69" s="1349">
        <f t="shared" si="1"/>
        <v>4</v>
      </c>
      <c r="Q69" s="1349">
        <f t="shared" si="1"/>
        <v>5</v>
      </c>
      <c r="R69" s="1349">
        <f t="shared" si="1"/>
        <v>6</v>
      </c>
      <c r="S69" s="1349">
        <f t="shared" si="1"/>
        <v>7</v>
      </c>
      <c r="T69" s="1349">
        <f t="shared" si="1"/>
        <v>8</v>
      </c>
      <c r="U69" s="1349">
        <f t="shared" si="1"/>
        <v>9</v>
      </c>
      <c r="V69" s="1349">
        <f t="shared" si="1"/>
        <v>10</v>
      </c>
      <c r="X69" s="1252"/>
    </row>
    <row r="70" spans="1:24" s="911" customFormat="1" x14ac:dyDescent="0.25">
      <c r="A70" s="957">
        <v>1</v>
      </c>
      <c r="I70" s="1251"/>
      <c r="J70" s="12"/>
      <c r="K70" s="12" t="s">
        <v>1403</v>
      </c>
      <c r="L70" s="207" t="s">
        <v>1382</v>
      </c>
      <c r="M70" s="1350">
        <f>dpUSPS_LeaseTermDate</f>
        <v>0</v>
      </c>
      <c r="N70" s="1350">
        <f>DATE(YEAR(M70)+1,MONTH(M70),DAY(M70))</f>
        <v>366</v>
      </c>
      <c r="O70" s="1350">
        <f t="shared" ref="O70:V70" si="2">DATE(YEAR(N70)+1,MONTH(N70),DAY(N70))</f>
        <v>731</v>
      </c>
      <c r="P70" s="1350">
        <f t="shared" si="2"/>
        <v>1096</v>
      </c>
      <c r="Q70" s="1350">
        <f t="shared" si="2"/>
        <v>1461</v>
      </c>
      <c r="R70" s="1350">
        <f t="shared" si="2"/>
        <v>1827</v>
      </c>
      <c r="S70" s="1350">
        <f t="shared" si="2"/>
        <v>2192</v>
      </c>
      <c r="T70" s="1350">
        <f t="shared" si="2"/>
        <v>2557</v>
      </c>
      <c r="U70" s="1350">
        <f t="shared" si="2"/>
        <v>2922</v>
      </c>
      <c r="V70" s="1350">
        <f t="shared" si="2"/>
        <v>3288</v>
      </c>
      <c r="X70" s="1252"/>
    </row>
    <row r="71" spans="1:24" s="911" customFormat="1" x14ac:dyDescent="0.25">
      <c r="A71" s="957">
        <v>1</v>
      </c>
      <c r="I71" s="174"/>
      <c r="J71" s="92"/>
      <c r="K71" s="171" t="s">
        <v>1392</v>
      </c>
      <c r="L71" s="764"/>
      <c r="M71" s="1360"/>
      <c r="N71" s="1360"/>
      <c r="O71" s="1360"/>
      <c r="P71" s="1360"/>
      <c r="Q71" s="1360"/>
      <c r="R71" s="1360"/>
      <c r="S71" s="1360"/>
      <c r="T71" s="1360"/>
      <c r="U71" s="1360"/>
      <c r="V71" s="1360"/>
      <c r="W71" s="92"/>
      <c r="X71" s="74"/>
    </row>
    <row r="72" spans="1:24" s="911" customFormat="1" x14ac:dyDescent="0.25">
      <c r="A72" s="957">
        <v>1</v>
      </c>
      <c r="I72" s="1251"/>
      <c r="J72" s="1272"/>
      <c r="K72" s="130" t="s">
        <v>1385</v>
      </c>
      <c r="L72" s="540" t="s">
        <v>1386</v>
      </c>
      <c r="M72" s="1361">
        <f>dpUSPS_MarketRent_LeaseTermDate</f>
        <v>-43.800109589041099</v>
      </c>
      <c r="N72" s="1361">
        <f t="shared" ref="N72:V72" si="3">M72*(1+dpUSPS_RentAnnualEscalationRate)</f>
        <v>-43.800109589041099</v>
      </c>
      <c r="O72" s="1361">
        <f t="shared" si="3"/>
        <v>-43.800109589041099</v>
      </c>
      <c r="P72" s="1361">
        <f t="shared" si="3"/>
        <v>-43.800109589041099</v>
      </c>
      <c r="Q72" s="1361">
        <f t="shared" si="3"/>
        <v>-43.800109589041099</v>
      </c>
      <c r="R72" s="1361">
        <f t="shared" si="3"/>
        <v>-43.800109589041099</v>
      </c>
      <c r="S72" s="1361">
        <f t="shared" si="3"/>
        <v>-43.800109589041099</v>
      </c>
      <c r="T72" s="1361">
        <f t="shared" si="3"/>
        <v>-43.800109589041099</v>
      </c>
      <c r="U72" s="1361">
        <f t="shared" si="3"/>
        <v>-43.800109589041099</v>
      </c>
      <c r="V72" s="1361">
        <f t="shared" si="3"/>
        <v>-43.800109589041099</v>
      </c>
      <c r="W72" s="1272"/>
      <c r="X72" s="1252"/>
    </row>
    <row r="73" spans="1:24" s="911" customFormat="1" x14ac:dyDescent="0.25">
      <c r="A73" s="957">
        <v>1</v>
      </c>
      <c r="I73" s="1251"/>
      <c r="J73" s="1272"/>
      <c r="K73" s="130" t="s">
        <v>1388</v>
      </c>
      <c r="L73" s="540" t="s">
        <v>1160</v>
      </c>
      <c r="M73" s="1305" t="e">
        <f>M72*$L$60</f>
        <v>#VALUE!</v>
      </c>
      <c r="N73" s="1305" t="e">
        <f>N72*$L$60</f>
        <v>#VALUE!</v>
      </c>
      <c r="O73" s="1305" t="e">
        <f t="shared" ref="O73:V73" si="4">O72*$L$60</f>
        <v>#VALUE!</v>
      </c>
      <c r="P73" s="1305" t="e">
        <f t="shared" si="4"/>
        <v>#VALUE!</v>
      </c>
      <c r="Q73" s="1305" t="e">
        <f t="shared" si="4"/>
        <v>#VALUE!</v>
      </c>
      <c r="R73" s="1305" t="e">
        <f t="shared" si="4"/>
        <v>#VALUE!</v>
      </c>
      <c r="S73" s="1305" t="e">
        <f t="shared" si="4"/>
        <v>#VALUE!</v>
      </c>
      <c r="T73" s="1305" t="e">
        <f t="shared" si="4"/>
        <v>#VALUE!</v>
      </c>
      <c r="U73" s="1305" t="e">
        <f t="shared" si="4"/>
        <v>#VALUE!</v>
      </c>
      <c r="V73" s="1305" t="e">
        <f t="shared" si="4"/>
        <v>#VALUE!</v>
      </c>
      <c r="W73" s="1363">
        <f>dpUSPS_RentAnnualEscalationRate</f>
        <v>0</v>
      </c>
      <c r="X73" s="1252"/>
    </row>
    <row r="74" spans="1:24" s="911" customFormat="1" ht="24.95" customHeight="1" x14ac:dyDescent="0.25">
      <c r="A74" s="957">
        <v>1</v>
      </c>
      <c r="I74" s="1251"/>
      <c r="J74" s="1272"/>
      <c r="K74" s="171" t="s">
        <v>1393</v>
      </c>
      <c r="L74" s="540"/>
      <c r="M74" s="1305"/>
      <c r="N74" s="1305"/>
      <c r="O74" s="1305"/>
      <c r="P74" s="1305"/>
      <c r="Q74" s="1305"/>
      <c r="R74" s="1305"/>
      <c r="S74" s="1305"/>
      <c r="T74" s="1305"/>
      <c r="U74" s="1305"/>
      <c r="V74" s="1305"/>
      <c r="W74" s="1363"/>
      <c r="X74" s="1252"/>
    </row>
    <row r="75" spans="1:24" s="911" customFormat="1" x14ac:dyDescent="0.25">
      <c r="A75" s="957">
        <v>1</v>
      </c>
      <c r="I75" s="1251"/>
      <c r="J75" s="1272"/>
      <c r="K75" s="130" t="s">
        <v>1385</v>
      </c>
      <c r="L75" s="540" t="s">
        <v>1386</v>
      </c>
      <c r="M75" s="1361">
        <f>AVERAGE($M$72:$Q$72)</f>
        <v>-43.800109589041099</v>
      </c>
      <c r="N75" s="1361">
        <f>AVERAGE($M$72:$Q$72)</f>
        <v>-43.800109589041099</v>
      </c>
      <c r="O75" s="1361">
        <f>AVERAGE($M$72:$Q$72)</f>
        <v>-43.800109589041099</v>
      </c>
      <c r="P75" s="1361">
        <f>AVERAGE($M$72:$Q$72)</f>
        <v>-43.800109589041099</v>
      </c>
      <c r="Q75" s="1361">
        <f>AVERAGE($M$72:$Q$72)</f>
        <v>-43.800109589041099</v>
      </c>
      <c r="R75" s="1361">
        <f>AVERAGE($R$72:$V$72)</f>
        <v>-43.800109589041099</v>
      </c>
      <c r="S75" s="1361">
        <f>R75</f>
        <v>-43.800109589041099</v>
      </c>
      <c r="T75" s="1361">
        <f>S75</f>
        <v>-43.800109589041099</v>
      </c>
      <c r="U75" s="1361">
        <f>T75</f>
        <v>-43.800109589041099</v>
      </c>
      <c r="V75" s="1361">
        <f>U75</f>
        <v>-43.800109589041099</v>
      </c>
      <c r="W75" s="1363"/>
      <c r="X75" s="1252"/>
    </row>
    <row r="76" spans="1:24" s="911" customFormat="1" x14ac:dyDescent="0.25">
      <c r="A76" s="957">
        <v>1</v>
      </c>
      <c r="I76" s="1251"/>
      <c r="J76" s="1272"/>
      <c r="K76" s="130" t="s">
        <v>1391</v>
      </c>
      <c r="L76" s="540" t="s">
        <v>1160</v>
      </c>
      <c r="M76" s="1305" t="e">
        <f t="shared" ref="M76:V76" si="5">M75*$L$60</f>
        <v>#VALUE!</v>
      </c>
      <c r="N76" s="1305" t="e">
        <f t="shared" si="5"/>
        <v>#VALUE!</v>
      </c>
      <c r="O76" s="1305" t="e">
        <f t="shared" si="5"/>
        <v>#VALUE!</v>
      </c>
      <c r="P76" s="1305" t="e">
        <f t="shared" si="5"/>
        <v>#VALUE!</v>
      </c>
      <c r="Q76" s="1305" t="e">
        <f t="shared" si="5"/>
        <v>#VALUE!</v>
      </c>
      <c r="R76" s="1305" t="e">
        <f t="shared" si="5"/>
        <v>#VALUE!</v>
      </c>
      <c r="S76" s="1305" t="e">
        <f t="shared" si="5"/>
        <v>#VALUE!</v>
      </c>
      <c r="T76" s="1305" t="e">
        <f t="shared" si="5"/>
        <v>#VALUE!</v>
      </c>
      <c r="U76" s="1305" t="e">
        <f t="shared" si="5"/>
        <v>#VALUE!</v>
      </c>
      <c r="V76" s="1305" t="e">
        <f t="shared" si="5"/>
        <v>#VALUE!</v>
      </c>
      <c r="W76" s="1363"/>
      <c r="X76" s="1252"/>
    </row>
    <row r="77" spans="1:24" s="911" customFormat="1" ht="24.95" customHeight="1" x14ac:dyDescent="0.25">
      <c r="A77" s="957">
        <v>1</v>
      </c>
      <c r="I77" s="1251"/>
      <c r="J77" s="1272"/>
      <c r="K77" s="171" t="s">
        <v>1394</v>
      </c>
      <c r="L77" s="540"/>
      <c r="M77" s="1305"/>
      <c r="N77" s="1305"/>
      <c r="O77" s="1305"/>
      <c r="P77" s="1305"/>
      <c r="Q77" s="1305"/>
      <c r="R77" s="1305"/>
      <c r="S77" s="1305"/>
      <c r="T77" s="1305"/>
      <c r="U77" s="1305"/>
      <c r="V77" s="1305"/>
      <c r="W77" s="1363"/>
      <c r="X77" s="1252"/>
    </row>
    <row r="78" spans="1:24" s="911" customFormat="1" x14ac:dyDescent="0.25">
      <c r="A78" s="957">
        <v>1</v>
      </c>
      <c r="I78" s="1251"/>
      <c r="J78" s="1272"/>
      <c r="K78" s="130" t="s">
        <v>1389</v>
      </c>
      <c r="L78" s="540" t="s">
        <v>1386</v>
      </c>
      <c r="M78" s="1361">
        <f>dpUSPS_MarketRent_LeaseTermDate</f>
        <v>-43.800109589041099</v>
      </c>
      <c r="N78" s="1361">
        <f t="shared" ref="N78:V78" si="6">M78*(1+dpUSPS_RentAnnualEscalationRate)</f>
        <v>-43.800109589041099</v>
      </c>
      <c r="O78" s="1361">
        <f t="shared" si="6"/>
        <v>-43.800109589041099</v>
      </c>
      <c r="P78" s="1361">
        <f t="shared" si="6"/>
        <v>-43.800109589041099</v>
      </c>
      <c r="Q78" s="1361">
        <f t="shared" si="6"/>
        <v>-43.800109589041099</v>
      </c>
      <c r="R78" s="1361">
        <f t="shared" si="6"/>
        <v>-43.800109589041099</v>
      </c>
      <c r="S78" s="1361">
        <f t="shared" si="6"/>
        <v>-43.800109589041099</v>
      </c>
      <c r="T78" s="1361">
        <f t="shared" si="6"/>
        <v>-43.800109589041099</v>
      </c>
      <c r="U78" s="1361">
        <f t="shared" si="6"/>
        <v>-43.800109589041099</v>
      </c>
      <c r="V78" s="1361">
        <f t="shared" si="6"/>
        <v>-43.800109589041099</v>
      </c>
      <c r="W78" s="1363"/>
      <c r="X78" s="1252"/>
    </row>
    <row r="79" spans="1:24" s="911" customFormat="1" x14ac:dyDescent="0.25">
      <c r="A79" s="957">
        <v>1</v>
      </c>
      <c r="I79" s="1251"/>
      <c r="J79" s="1272"/>
      <c r="K79" s="130" t="s">
        <v>1388</v>
      </c>
      <c r="L79" s="540" t="s">
        <v>1160</v>
      </c>
      <c r="M79" s="1305" t="e">
        <f>M78*$L$60</f>
        <v>#VALUE!</v>
      </c>
      <c r="N79" s="1305" t="e">
        <f>N78*$L$60</f>
        <v>#VALUE!</v>
      </c>
      <c r="O79" s="1305" t="e">
        <f t="shared" ref="O79:V79" si="7">O78*$L$60</f>
        <v>#VALUE!</v>
      </c>
      <c r="P79" s="1305" t="e">
        <f t="shared" si="7"/>
        <v>#VALUE!</v>
      </c>
      <c r="Q79" s="1305" t="e">
        <f t="shared" si="7"/>
        <v>#VALUE!</v>
      </c>
      <c r="R79" s="1305" t="e">
        <f t="shared" si="7"/>
        <v>#VALUE!</v>
      </c>
      <c r="S79" s="1305" t="e">
        <f t="shared" si="7"/>
        <v>#VALUE!</v>
      </c>
      <c r="T79" s="1305" t="e">
        <f t="shared" si="7"/>
        <v>#VALUE!</v>
      </c>
      <c r="U79" s="1305" t="e">
        <f t="shared" si="7"/>
        <v>#VALUE!</v>
      </c>
      <c r="V79" s="1305" t="e">
        <f t="shared" si="7"/>
        <v>#VALUE!</v>
      </c>
      <c r="W79" s="1363"/>
      <c r="X79" s="1252"/>
    </row>
    <row r="80" spans="1:24" s="911" customFormat="1" ht="24.95" customHeight="1" x14ac:dyDescent="0.25">
      <c r="A80" s="957">
        <v>1</v>
      </c>
      <c r="I80" s="1251"/>
      <c r="J80" s="1272"/>
      <c r="K80" s="171" t="s">
        <v>1395</v>
      </c>
      <c r="L80" s="540"/>
      <c r="M80" s="1305"/>
      <c r="N80" s="1305"/>
      <c r="O80" s="1305"/>
      <c r="P80" s="1305"/>
      <c r="Q80" s="1305"/>
      <c r="R80" s="1305"/>
      <c r="S80" s="1305"/>
      <c r="T80" s="1305"/>
      <c r="U80" s="1305"/>
      <c r="V80" s="1305"/>
      <c r="W80" s="1363"/>
      <c r="X80" s="1252"/>
    </row>
    <row r="81" spans="1:24" s="911" customFormat="1" x14ac:dyDescent="0.25">
      <c r="A81" s="957">
        <v>1</v>
      </c>
      <c r="I81" s="1251"/>
      <c r="J81" s="1272"/>
      <c r="K81" s="130" t="s">
        <v>1389</v>
      </c>
      <c r="L81" s="540" t="s">
        <v>1386</v>
      </c>
      <c r="M81" s="1361">
        <f>AVERAGE($M$78:$V$78)</f>
        <v>-43.800109589041092</v>
      </c>
      <c r="N81" s="1361">
        <f t="shared" ref="N81:V81" si="8">AVERAGE($M$78:$V$78)</f>
        <v>-43.800109589041092</v>
      </c>
      <c r="O81" s="1361">
        <f t="shared" si="8"/>
        <v>-43.800109589041092</v>
      </c>
      <c r="P81" s="1361">
        <f t="shared" si="8"/>
        <v>-43.800109589041092</v>
      </c>
      <c r="Q81" s="1361">
        <f t="shared" si="8"/>
        <v>-43.800109589041092</v>
      </c>
      <c r="R81" s="1361">
        <f t="shared" si="8"/>
        <v>-43.800109589041092</v>
      </c>
      <c r="S81" s="1361">
        <f t="shared" si="8"/>
        <v>-43.800109589041092</v>
      </c>
      <c r="T81" s="1361">
        <f t="shared" si="8"/>
        <v>-43.800109589041092</v>
      </c>
      <c r="U81" s="1361">
        <f t="shared" si="8"/>
        <v>-43.800109589041092</v>
      </c>
      <c r="V81" s="1361">
        <f t="shared" si="8"/>
        <v>-43.800109589041092</v>
      </c>
      <c r="W81" s="1363"/>
      <c r="X81" s="1252"/>
    </row>
    <row r="82" spans="1:24" s="911" customFormat="1" x14ac:dyDescent="0.25">
      <c r="A82" s="957">
        <v>1</v>
      </c>
      <c r="I82" s="1251"/>
      <c r="J82" s="1272"/>
      <c r="K82" s="130" t="s">
        <v>1390</v>
      </c>
      <c r="L82" s="540" t="s">
        <v>1160</v>
      </c>
      <c r="M82" s="1305" t="e">
        <f>M81*$L$60</f>
        <v>#VALUE!</v>
      </c>
      <c r="N82" s="1305" t="e">
        <f t="shared" ref="N82:V82" si="9">N81*$L$60</f>
        <v>#VALUE!</v>
      </c>
      <c r="O82" s="1305" t="e">
        <f t="shared" si="9"/>
        <v>#VALUE!</v>
      </c>
      <c r="P82" s="1305" t="e">
        <f t="shared" si="9"/>
        <v>#VALUE!</v>
      </c>
      <c r="Q82" s="1305" t="e">
        <f t="shared" si="9"/>
        <v>#VALUE!</v>
      </c>
      <c r="R82" s="1305" t="e">
        <f t="shared" si="9"/>
        <v>#VALUE!</v>
      </c>
      <c r="S82" s="1305" t="e">
        <f t="shared" si="9"/>
        <v>#VALUE!</v>
      </c>
      <c r="T82" s="1305" t="e">
        <f t="shared" si="9"/>
        <v>#VALUE!</v>
      </c>
      <c r="U82" s="1305" t="e">
        <f t="shared" si="9"/>
        <v>#VALUE!</v>
      </c>
      <c r="V82" s="1305" t="e">
        <f t="shared" si="9"/>
        <v>#VALUE!</v>
      </c>
      <c r="W82" s="1363"/>
      <c r="X82" s="1252"/>
    </row>
    <row r="83" spans="1:24" ht="28.5" x14ac:dyDescent="0.25">
      <c r="A83" s="957">
        <f>IF(SUM($A$84:$A$97)=0,0,1)</f>
        <v>1</v>
      </c>
      <c r="I83" s="4"/>
      <c r="J83" s="12"/>
      <c r="K83" s="12" t="s">
        <v>1163</v>
      </c>
      <c r="L83" s="55" t="s">
        <v>1397</v>
      </c>
      <c r="M83" s="634" t="s">
        <v>1396</v>
      </c>
      <c r="N83" s="55"/>
      <c r="O83" s="55"/>
      <c r="P83" s="55"/>
      <c r="Q83" s="55"/>
      <c r="R83" s="55"/>
      <c r="S83" s="55"/>
      <c r="T83" s="55"/>
      <c r="U83" s="55"/>
      <c r="V83" s="1352"/>
      <c r="W83" s="12"/>
      <c r="X83" s="6"/>
    </row>
    <row r="84" spans="1:24" ht="15.95" customHeight="1" x14ac:dyDescent="0.25">
      <c r="A84" s="957">
        <f>IF(Expense_RealEstateTax_Reimb=1,1,0)</f>
        <v>1</v>
      </c>
      <c r="I84" s="4"/>
      <c r="J84" s="258"/>
      <c r="K84" s="1372" t="str">
        <f>dpIncome_ExpenseCat_1</f>
        <v>Real Estate Taxes</v>
      </c>
      <c r="L84" s="1174">
        <f>Income_Expense_RETax_Stabilized_1</f>
        <v>5.5</v>
      </c>
      <c r="M84" s="414" t="e">
        <f>Income_Expense_RETax_Stabilized_1*dpIncome_RentTenantSize_Subject</f>
        <v>#VALUE!</v>
      </c>
      <c r="N84" s="414"/>
      <c r="O84" s="414"/>
      <c r="P84" s="414"/>
      <c r="Q84" s="414"/>
      <c r="R84" s="414"/>
      <c r="S84" s="414"/>
      <c r="T84" s="414"/>
      <c r="U84" s="414"/>
      <c r="V84" s="875"/>
      <c r="W84" s="258"/>
      <c r="X84" s="6"/>
    </row>
    <row r="85" spans="1:24" ht="15.95" customHeight="1" x14ac:dyDescent="0.25">
      <c r="A85" s="957">
        <f>IF(Expense_OtherTaxes_Reimb=1,1,0)</f>
        <v>0</v>
      </c>
      <c r="I85" s="4"/>
      <c r="J85" s="258"/>
      <c r="K85" s="1372" t="str">
        <f>dpIncome_ExpenseCat_2</f>
        <v>Other Taxes</v>
      </c>
      <c r="L85" s="1174">
        <f>Income_Expense_OtherTaxes_Stabilized_1</f>
        <v>0</v>
      </c>
      <c r="M85" s="414" t="e">
        <f>Income_Expense_OtherTaxes_Stabilized_1*dpIncome_RentTenantSize_Subject</f>
        <v>#VALUE!</v>
      </c>
      <c r="N85" s="414"/>
      <c r="O85" s="414"/>
      <c r="P85" s="414"/>
      <c r="Q85" s="414"/>
      <c r="R85" s="414"/>
      <c r="S85" s="414"/>
      <c r="T85" s="414"/>
      <c r="U85" s="414"/>
      <c r="V85" s="875"/>
      <c r="W85" s="258"/>
      <c r="X85" s="6"/>
    </row>
    <row r="86" spans="1:24" ht="15.95" customHeight="1" x14ac:dyDescent="0.25">
      <c r="A86" s="957">
        <f>IF(Expense_Insurance_Reimb=1,1,0)</f>
        <v>1</v>
      </c>
      <c r="I86" s="4"/>
      <c r="J86" s="258"/>
      <c r="K86" s="1372" t="str">
        <f>dpIncome_ExpenseCat_3</f>
        <v>Property Insurance</v>
      </c>
      <c r="L86" s="1174">
        <f>Income_Expense_Insurance_Stabilized_1</f>
        <v>0.3</v>
      </c>
      <c r="M86" s="414" t="e">
        <f>Income_Expense_Insurance_Stabilized_1*dpIncome_RentTenantSize_Subject</f>
        <v>#VALUE!</v>
      </c>
      <c r="N86" s="414"/>
      <c r="O86" s="414"/>
      <c r="P86" s="414"/>
      <c r="Q86" s="414"/>
      <c r="R86" s="414"/>
      <c r="S86" s="414"/>
      <c r="T86" s="414"/>
      <c r="U86" s="414"/>
      <c r="V86" s="875"/>
      <c r="W86" s="258"/>
      <c r="X86" s="6"/>
    </row>
    <row r="87" spans="1:24" ht="15.95" customHeight="1" x14ac:dyDescent="0.25">
      <c r="A87" s="957">
        <f>IF(Expense_MgmtFees_Reimb=1,1,0)</f>
        <v>1</v>
      </c>
      <c r="I87" s="4"/>
      <c r="J87" s="258"/>
      <c r="K87" s="1372" t="str">
        <f>dpIncome_ExpenseCat_4</f>
        <v>Management Fees</v>
      </c>
      <c r="L87" s="1174">
        <f>'Direct Capitalization'!G64</f>
        <v>0</v>
      </c>
      <c r="M87" s="414">
        <f ca="1">IF(Expense_MgmtFees_Reimb=1,Income_Expense_MgmtFees_Stabilized_1*dpIncome_DirectCap_EGI,0)</f>
        <v>10619.039999999999</v>
      </c>
      <c r="N87" s="414"/>
      <c r="O87" s="414"/>
      <c r="P87" s="414"/>
      <c r="Q87" s="414"/>
      <c r="R87" s="414"/>
      <c r="S87" s="414"/>
      <c r="T87" s="414"/>
      <c r="U87" s="414"/>
      <c r="V87" s="875"/>
      <c r="W87" s="258"/>
      <c r="X87" s="6"/>
    </row>
    <row r="88" spans="1:24" ht="15.95" customHeight="1" x14ac:dyDescent="0.25">
      <c r="A88" s="957">
        <f>IF(Expense_Administrative_Reimb=1,1,0)</f>
        <v>0</v>
      </c>
      <c r="I88" s="4"/>
      <c r="J88" s="258"/>
      <c r="K88" s="1372" t="str">
        <f>dpIncome_ExpenseCat_5</f>
        <v>Administrative</v>
      </c>
      <c r="L88" s="1174">
        <f>Income_Expense_Admin_Stabilized_1</f>
        <v>0</v>
      </c>
      <c r="M88" s="874" t="e">
        <f>Income_Expense_Admin_Stabilized_1*dpIncome_RentTenantSize_Subject</f>
        <v>#VALUE!</v>
      </c>
      <c r="N88" s="874"/>
      <c r="O88" s="874"/>
      <c r="P88" s="874"/>
      <c r="Q88" s="874"/>
      <c r="R88" s="874"/>
      <c r="S88" s="874"/>
      <c r="T88" s="874"/>
      <c r="U88" s="874"/>
      <c r="V88" s="875"/>
      <c r="W88" s="258"/>
      <c r="X88" s="6"/>
    </row>
    <row r="89" spans="1:24" ht="15.95" customHeight="1" x14ac:dyDescent="0.25">
      <c r="A89" s="957">
        <f>IF(Expense_Utilities_Reimb=1,1,0)</f>
        <v>0</v>
      </c>
      <c r="I89" s="4"/>
      <c r="J89" s="258"/>
      <c r="K89" s="1372" t="str">
        <f>dpIncome_ExpenseCat_6</f>
        <v>Utilities</v>
      </c>
      <c r="L89" s="1174">
        <f>Income_Expense_Utilities_Stabilized_1</f>
        <v>0</v>
      </c>
      <c r="M89" s="874" t="e">
        <f>Income_Expense_Utilities_Stabilized_1*dpIncome_RentTenantSize_Subject</f>
        <v>#VALUE!</v>
      </c>
      <c r="N89" s="874"/>
      <c r="O89" s="874"/>
      <c r="P89" s="874"/>
      <c r="Q89" s="874"/>
      <c r="R89" s="874"/>
      <c r="S89" s="874"/>
      <c r="T89" s="874"/>
      <c r="U89" s="874"/>
      <c r="V89" s="875"/>
      <c r="W89" s="258"/>
      <c r="X89" s="6"/>
    </row>
    <row r="90" spans="1:24" ht="15.95" customHeight="1" x14ac:dyDescent="0.25">
      <c r="A90" s="957">
        <f>IF(Expense_RepairsMaintenance_Reimb=1,1,0)</f>
        <v>1</v>
      </c>
      <c r="I90" s="4"/>
      <c r="J90" s="258"/>
      <c r="K90" s="1372" t="str">
        <f>dpIncome_ExpenseCat_7</f>
        <v>Repairs &amp; Maintenance</v>
      </c>
      <c r="L90" s="1174">
        <f>Income_Expense_RM_Stabilized_1</f>
        <v>0.5</v>
      </c>
      <c r="M90" s="874" t="e">
        <f>Income_Expense_RM_Stabilized_1*dpIncome_RentTenantSize_Subject</f>
        <v>#VALUE!</v>
      </c>
      <c r="N90" s="874"/>
      <c r="O90" s="874"/>
      <c r="P90" s="874"/>
      <c r="Q90" s="874"/>
      <c r="R90" s="874"/>
      <c r="S90" s="874"/>
      <c r="T90" s="874"/>
      <c r="U90" s="874"/>
      <c r="V90" s="875"/>
      <c r="W90" s="258"/>
      <c r="X90" s="6"/>
    </row>
    <row r="91" spans="1:24" ht="15.95" customHeight="1" x14ac:dyDescent="0.25">
      <c r="A91" s="957">
        <f>IF(Expense_CAM_Reimb=1,1,0)</f>
        <v>0</v>
      </c>
      <c r="I91" s="4"/>
      <c r="J91" s="258"/>
      <c r="K91" s="1372" t="str">
        <f>dpIncome_ExpenseCat_8</f>
        <v>Common Area Maintenance</v>
      </c>
      <c r="L91" s="1174">
        <f>Income_Expense_CAM_Stabilized_1</f>
        <v>0</v>
      </c>
      <c r="M91" s="874" t="e">
        <f>Income_Expense_CAM_Stabilized_1*dpIncome_RentTenantSize_Subject</f>
        <v>#VALUE!</v>
      </c>
      <c r="N91" s="874"/>
      <c r="O91" s="874"/>
      <c r="P91" s="874"/>
      <c r="Q91" s="874"/>
      <c r="R91" s="874"/>
      <c r="S91" s="874"/>
      <c r="T91" s="874"/>
      <c r="U91" s="874"/>
      <c r="V91" s="875"/>
      <c r="W91" s="258"/>
      <c r="X91" s="6"/>
    </row>
    <row r="92" spans="1:24" ht="15.95" customHeight="1" x14ac:dyDescent="0.25">
      <c r="A92" s="957">
        <f>IF(Expense_CleaningJanitorial_Reimb=1,1,0)</f>
        <v>0</v>
      </c>
      <c r="I92" s="4"/>
      <c r="J92" s="258"/>
      <c r="K92" s="1372" t="str">
        <f>dpIncome_ExpenseCat_9</f>
        <v>Cleaning &amp; Janitorial</v>
      </c>
      <c r="L92" s="1174">
        <f>Income_Expense_CJ_Stabilized_1</f>
        <v>0</v>
      </c>
      <c r="M92" s="874" t="e">
        <f>Income_Expense_CJ_Stabilized_1*dpIncome_RentTenantSize_Subject</f>
        <v>#VALUE!</v>
      </c>
      <c r="N92" s="874"/>
      <c r="O92" s="874"/>
      <c r="P92" s="874"/>
      <c r="Q92" s="874"/>
      <c r="R92" s="874"/>
      <c r="S92" s="874"/>
      <c r="T92" s="874"/>
      <c r="U92" s="874"/>
      <c r="V92" s="875"/>
      <c r="W92" s="258"/>
      <c r="X92" s="6"/>
    </row>
    <row r="93" spans="1:24" ht="15.95" customHeight="1" x14ac:dyDescent="0.25">
      <c r="A93" s="957">
        <f>IF(Expense_Leasing_Reimb=1,1,0)</f>
        <v>0</v>
      </c>
      <c r="I93" s="4"/>
      <c r="J93" s="258"/>
      <c r="K93" s="1372" t="str">
        <f>dpIncome_ExpenseCat_10</f>
        <v>Leasing Expenses</v>
      </c>
      <c r="L93" s="1174">
        <f>Income_Expense_Leasing_Stabilized_1</f>
        <v>0</v>
      </c>
      <c r="M93" s="874" t="e">
        <f>Income_Expense_Leasing_Stabilized_1*dpIncome_RentTenantSize_Subject</f>
        <v>#VALUE!</v>
      </c>
      <c r="N93" s="874"/>
      <c r="O93" s="874"/>
      <c r="P93" s="874"/>
      <c r="Q93" s="874"/>
      <c r="R93" s="874"/>
      <c r="S93" s="874"/>
      <c r="T93" s="874"/>
      <c r="U93" s="874"/>
      <c r="V93" s="875"/>
      <c r="W93" s="258"/>
      <c r="X93" s="6"/>
    </row>
    <row r="94" spans="1:24" ht="15.95" customHeight="1" x14ac:dyDescent="0.25">
      <c r="A94" s="957">
        <f>IF(Expense_Payroll_Reimb=1,1,0)</f>
        <v>0</v>
      </c>
      <c r="I94" s="4"/>
      <c r="J94" s="258"/>
      <c r="K94" s="1372" t="str">
        <f>dpIncome_ExpenseCat_11</f>
        <v>Payroll</v>
      </c>
      <c r="L94" s="1174">
        <f>Income_Expense_Payroll_Stabilized_1</f>
        <v>0</v>
      </c>
      <c r="M94" s="874" t="e">
        <f>Income_Expense_Payroll_Stabilized_1*dpIncome_RentTenantSize_Subject</f>
        <v>#VALUE!</v>
      </c>
      <c r="N94" s="874"/>
      <c r="O94" s="874"/>
      <c r="P94" s="874"/>
      <c r="Q94" s="874"/>
      <c r="R94" s="874"/>
      <c r="S94" s="874"/>
      <c r="T94" s="874"/>
      <c r="U94" s="874"/>
      <c r="V94" s="875"/>
      <c r="W94" s="258"/>
      <c r="X94" s="6"/>
    </row>
    <row r="95" spans="1:24" ht="15.95" customHeight="1" x14ac:dyDescent="0.25">
      <c r="A95" s="957">
        <f>IF(Expense_Security_Reimb=1,1,0)</f>
        <v>0</v>
      </c>
      <c r="I95" s="4"/>
      <c r="J95" s="258"/>
      <c r="K95" s="1372" t="str">
        <f>dpIncome_ExpenseCat_12</f>
        <v>Security</v>
      </c>
      <c r="L95" s="1174">
        <f>Income_Expense_Security_Stabilized_1</f>
        <v>0</v>
      </c>
      <c r="M95" s="874" t="e">
        <f>Income_Expense_Security_Stabilized_1*dpIncome_RentTenantSize_Subject</f>
        <v>#VALUE!</v>
      </c>
      <c r="N95" s="874"/>
      <c r="O95" s="874"/>
      <c r="P95" s="874"/>
      <c r="Q95" s="874"/>
      <c r="R95" s="874"/>
      <c r="S95" s="874"/>
      <c r="T95" s="874"/>
      <c r="U95" s="874"/>
      <c r="V95" s="875"/>
      <c r="W95" s="258"/>
      <c r="X95" s="6"/>
    </row>
    <row r="96" spans="1:24" ht="15.95" customHeight="1" x14ac:dyDescent="0.25">
      <c r="A96" s="957">
        <f>IF(Expense_RoadsGrounds_Reimb=1,1,0)</f>
        <v>0</v>
      </c>
      <c r="I96" s="4"/>
      <c r="J96" s="258"/>
      <c r="K96" s="1372" t="str">
        <f>dpIncome_ExpenseCat_13</f>
        <v>Roads &amp; Grounds</v>
      </c>
      <c r="L96" s="1174">
        <f>Income_Expense_RG_Stabilized_1</f>
        <v>0</v>
      </c>
      <c r="M96" s="874" t="e">
        <f>Income_Expense_RG_Stabilized_1*dpIncome_RentTenantSize_Subject</f>
        <v>#VALUE!</v>
      </c>
      <c r="N96" s="874"/>
      <c r="O96" s="874"/>
      <c r="P96" s="874"/>
      <c r="Q96" s="874"/>
      <c r="R96" s="874"/>
      <c r="S96" s="874"/>
      <c r="T96" s="874"/>
      <c r="U96" s="874"/>
      <c r="V96" s="875"/>
      <c r="W96" s="258"/>
      <c r="X96" s="6"/>
    </row>
    <row r="97" spans="1:24" ht="15.95" customHeight="1" x14ac:dyDescent="0.25">
      <c r="A97" s="957">
        <f>IF(Expense_OtherOps_Reimb=1,1,0)</f>
        <v>0</v>
      </c>
      <c r="I97" s="4"/>
      <c r="J97" s="258"/>
      <c r="K97" s="903" t="str">
        <f>dpIncome_ExpenseCat_14</f>
        <v>Other Operating Expenses</v>
      </c>
      <c r="L97" s="1353">
        <f>Income_Expense_OtherOps_Stabilized_1</f>
        <v>0</v>
      </c>
      <c r="M97" s="874" t="e">
        <f>Income_Expense_OtherOps_Stabilized_1*dpIncome_RentTenantSize_Subject</f>
        <v>#VALUE!</v>
      </c>
      <c r="N97" s="874"/>
      <c r="O97" s="874"/>
      <c r="P97" s="874"/>
      <c r="Q97" s="874"/>
      <c r="R97" s="874"/>
      <c r="S97" s="874"/>
      <c r="T97" s="874"/>
      <c r="U97" s="874"/>
      <c r="V97" s="875"/>
      <c r="W97" s="258"/>
      <c r="X97" s="6"/>
    </row>
    <row r="98" spans="1:24" ht="15.95" customHeight="1" thickBot="1" x14ac:dyDescent="0.3">
      <c r="A98" s="957">
        <f>IF(SUM($A$84:$A$97)=0,0,1)</f>
        <v>1</v>
      </c>
      <c r="I98" s="4"/>
      <c r="J98" s="258"/>
      <c r="K98" s="904" t="str">
        <f>'Direct Capitalization'!D77</f>
        <v>Total Reimbursable Expenses</v>
      </c>
      <c r="L98" s="1354">
        <f>SUM(L84:L97)</f>
        <v>6.3</v>
      </c>
      <c r="M98" s="887" t="e">
        <f>SUM(M84:M97)</f>
        <v>#VALUE!</v>
      </c>
      <c r="N98" s="1362"/>
      <c r="O98" s="1362"/>
      <c r="P98" s="1362"/>
      <c r="Q98" s="1362"/>
      <c r="R98" s="1362"/>
      <c r="S98" s="1362"/>
      <c r="T98" s="1362"/>
      <c r="U98" s="1362"/>
      <c r="V98" s="875"/>
      <c r="W98" s="258"/>
      <c r="X98" s="6"/>
    </row>
    <row r="99" spans="1:24" x14ac:dyDescent="0.25">
      <c r="A99" s="957">
        <v>1</v>
      </c>
      <c r="I99" s="4"/>
      <c r="J99" s="258"/>
      <c r="K99" s="909" t="s">
        <v>1406</v>
      </c>
      <c r="L99" s="910"/>
      <c r="M99" s="910"/>
      <c r="N99" s="910"/>
      <c r="O99" s="910"/>
      <c r="P99" s="910"/>
      <c r="Q99" s="910"/>
      <c r="R99" s="910"/>
      <c r="S99" s="910"/>
      <c r="T99" s="910"/>
      <c r="U99" s="910"/>
      <c r="V99" s="910"/>
      <c r="W99" s="258"/>
      <c r="X99" s="6"/>
    </row>
    <row r="100" spans="1:24" ht="15" thickBot="1" x14ac:dyDescent="0.3">
      <c r="I100" s="8"/>
      <c r="J100" s="1367"/>
      <c r="K100" s="1369" t="s">
        <v>1162</v>
      </c>
      <c r="L100" s="1370"/>
      <c r="M100" s="1370"/>
      <c r="N100" s="1370"/>
      <c r="O100" s="1370"/>
      <c r="P100" s="1370"/>
      <c r="Q100" s="1370"/>
      <c r="R100" s="1370"/>
      <c r="S100" s="1370"/>
      <c r="T100" s="1370"/>
      <c r="U100" s="1370"/>
      <c r="V100" s="1370"/>
      <c r="W100" s="1367"/>
      <c r="X100" s="9"/>
    </row>
  </sheetData>
  <mergeCells count="4">
    <mergeCell ref="L59:M59"/>
    <mergeCell ref="S59:T59"/>
    <mergeCell ref="U59:V59"/>
    <mergeCell ref="E2:H2"/>
  </mergeCells>
  <hyperlinks>
    <hyperlink ref="E9" location="Subject_PropertyName" display="Subject_PropertyName" xr:uid="{00000000-0004-0000-4000-000000000000}"/>
    <hyperlink ref="E10" location="Subject_Address" display="Subject_Address" xr:uid="{00000000-0004-0000-4000-000001000000}"/>
    <hyperlink ref="E11" location="Subject_City" display="Subject_City" xr:uid="{00000000-0004-0000-4000-000002000000}"/>
    <hyperlink ref="E13" location="Subject_CensusTract" display="Subject_CensusTract" xr:uid="{00000000-0004-0000-4000-000003000000}"/>
    <hyperlink ref="E14" location="Subject_TaxAccounts" display="Subject_TaxAccounts" xr:uid="{00000000-0004-0000-4000-000004000000}"/>
    <hyperlink ref="E19" location="Subject_LandFlood" display="Subject_LandFlood" xr:uid="{00000000-0004-0000-4000-000005000000}"/>
    <hyperlink ref="E22" location="Subject_LandPrimaryAcres" display="Subject_LandPrimaryAcres" xr:uid="{00000000-0004-0000-4000-000006000000}"/>
    <hyperlink ref="E23" location="Subject_LandExcessAcres" display="Subject_LandExcessAcres" xr:uid="{00000000-0004-0000-4000-000007000000}"/>
    <hyperlink ref="E24" location="Subject_LandSurplusAcres" display="Subject_LandSurplusAcres" xr:uid="{00000000-0004-0000-4000-000008000000}"/>
    <hyperlink ref="E30" location="Subject_GBA" display="Subject_GBA" xr:uid="{00000000-0004-0000-4000-000009000000}"/>
    <hyperlink ref="E31" location="Subject_NRA" display="Subject_NRA" xr:uid="{00000000-0004-0000-4000-00000A000000}"/>
    <hyperlink ref="E34" location="Subject_BuildingCount" display="Subject_BuildingCount" xr:uid="{00000000-0004-0000-4000-00000B000000}"/>
    <hyperlink ref="E35" location="Subject_NumFloors" display="Subject_NumFloors" xr:uid="{00000000-0004-0000-4000-00000C000000}"/>
    <hyperlink ref="E36" location="Subject_Year_Built" display="Subject_Year_Built" xr:uid="{00000000-0004-0000-4000-00000D000000}"/>
    <hyperlink ref="E28" location="Subject_InvestmentClass" display="Subject_InvestmentClass" xr:uid="{00000000-0004-0000-4000-00000E000000}"/>
    <hyperlink ref="E37" location="Subject_Condition" display="Subject_Condition" xr:uid="{00000000-0004-0000-4000-00000F000000}"/>
    <hyperlink ref="E40" location="Subject_PercentOfficeFinish" display="Subject_PercentOfficeFinish" xr:uid="{00000000-0004-0000-4000-000010000000}"/>
    <hyperlink ref="E41" location="Subject_ClearHeight" display="Subject_ClearHeight" xr:uid="{00000000-0004-0000-4000-000011000000}"/>
    <hyperlink ref="E17" location="Subject_ZoningCode" display="Subject_ZoningCode" xr:uid="{00000000-0004-0000-4000-000012000000}"/>
    <hyperlink ref="E27" location="Subject_PropertyUse" display="Subject_PropertyUse" xr:uid="{00000000-0004-0000-4000-000013000000}"/>
    <hyperlink ref="E50" location="Subject_HBU_AsVacant" display="Subject_HBU_AsVacant" xr:uid="{00000000-0004-0000-4000-000014000000}"/>
    <hyperlink ref="E51" location="Subject_HBU_AsImproved" display="Subject_HBU_AsImproved" xr:uid="{00000000-0004-0000-4000-000015000000}"/>
    <hyperlink ref="E8" location="Subject_ClientIDNumber" display="Subject_ClientIDNumber" xr:uid="{00000000-0004-0000-4000-000016000000}"/>
    <hyperlink ref="E32" location="dpIncome_RentTenantSize_Subject" display="dpIncome_RentTenantSize_Subject" xr:uid="{00000000-0004-0000-4000-000017000000}"/>
  </hyperlinks>
  <printOptions horizontalCentered="1"/>
  <pageMargins left="0.5" right="0.5" top="0.75" bottom="0.75" header="0.3" footer="0.3"/>
  <pageSetup scale="85" orientation="portrait" horizontalDpi="1200" verticalDpi="1200"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Invalid Option - Please Select from the List" prompt="Select USPS Assignment Type" xr:uid="{00000000-0002-0000-4000-000000000000}">
          <x14:formula1>
            <xm:f>'Selection Tables'!$L$30:$L$32</xm:f>
          </x14:formula1>
          <xm:sqref>E2</xm:sqref>
        </x14:dataValidation>
      </x14:dataValidation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33"/>
  <dimension ref="A1:C31"/>
  <sheetViews>
    <sheetView workbookViewId="0">
      <selection sqref="A1:E39"/>
    </sheetView>
  </sheetViews>
  <sheetFormatPr defaultRowHeight="14.25" x14ac:dyDescent="0.25"/>
  <cols>
    <col min="1" max="1" width="51.42578125" bestFit="1" customWidth="1"/>
    <col min="3" max="3" width="13.42578125" bestFit="1" customWidth="1"/>
  </cols>
  <sheetData>
    <row r="1" spans="1:3" x14ac:dyDescent="0.25">
      <c r="A1" t="s">
        <v>18431</v>
      </c>
    </row>
    <row r="2" spans="1:3" x14ac:dyDescent="0.25">
      <c r="A2" t="s">
        <v>18432</v>
      </c>
    </row>
    <row r="3" spans="1:3" x14ac:dyDescent="0.25">
      <c r="A3" t="s">
        <v>18433</v>
      </c>
      <c r="C3" t="s">
        <v>18434</v>
      </c>
    </row>
    <row r="4" spans="1:3" x14ac:dyDescent="0.25">
      <c r="A4" t="s">
        <v>386</v>
      </c>
      <c r="C4" s="1383">
        <v>9962309</v>
      </c>
    </row>
    <row r="5" spans="1:3" x14ac:dyDescent="0.25">
      <c r="A5" t="s">
        <v>18435</v>
      </c>
      <c r="C5" s="1383">
        <v>-1682447</v>
      </c>
    </row>
    <row r="6" spans="1:3" x14ac:dyDescent="0.25">
      <c r="A6" t="s">
        <v>18436</v>
      </c>
      <c r="C6" s="1383">
        <v>0</v>
      </c>
    </row>
    <row r="7" spans="1:3" x14ac:dyDescent="0.25">
      <c r="A7" t="s">
        <v>18437</v>
      </c>
      <c r="C7" s="1383">
        <v>8279862</v>
      </c>
    </row>
    <row r="8" spans="1:3" x14ac:dyDescent="0.25">
      <c r="A8" t="s">
        <v>18438</v>
      </c>
      <c r="C8" s="1385" t="s">
        <v>18439</v>
      </c>
    </row>
    <row r="9" spans="1:3" x14ac:dyDescent="0.25">
      <c r="A9" t="s">
        <v>18440</v>
      </c>
      <c r="C9" s="1383">
        <v>103498271</v>
      </c>
    </row>
    <row r="10" spans="1:3" x14ac:dyDescent="0.25">
      <c r="A10" t="s">
        <v>18441</v>
      </c>
      <c r="C10" s="1383">
        <v>-47089</v>
      </c>
    </row>
    <row r="11" spans="1:3" x14ac:dyDescent="0.25">
      <c r="A11" t="s">
        <v>18442</v>
      </c>
      <c r="C11" s="1383">
        <v>-170731</v>
      </c>
    </row>
    <row r="12" spans="1:3" x14ac:dyDescent="0.25">
      <c r="A12" t="s">
        <v>18443</v>
      </c>
      <c r="C12" s="1383">
        <v>103280451</v>
      </c>
    </row>
    <row r="13" spans="1:3" x14ac:dyDescent="0.25">
      <c r="A13" t="s">
        <v>18444</v>
      </c>
      <c r="C13" s="1383">
        <v>-774603</v>
      </c>
    </row>
    <row r="14" spans="1:3" x14ac:dyDescent="0.25">
      <c r="A14" t="s">
        <v>18430</v>
      </c>
      <c r="C14" s="1383">
        <v>102505848</v>
      </c>
    </row>
    <row r="15" spans="1:3" x14ac:dyDescent="0.25">
      <c r="A15" t="s">
        <v>18445</v>
      </c>
      <c r="C15" s="1383">
        <v>0</v>
      </c>
    </row>
    <row r="16" spans="1:3" x14ac:dyDescent="0.25">
      <c r="A16" t="s">
        <v>18446</v>
      </c>
      <c r="C16" s="1383">
        <v>102505848</v>
      </c>
    </row>
    <row r="17" spans="1:3" x14ac:dyDescent="0.25">
      <c r="A17" t="s">
        <v>18447</v>
      </c>
      <c r="C17" s="1383">
        <v>39520442</v>
      </c>
    </row>
    <row r="19" spans="1:3" x14ac:dyDescent="0.25">
      <c r="A19" t="s">
        <v>18448</v>
      </c>
    </row>
    <row r="20" spans="1:3" x14ac:dyDescent="0.25">
      <c r="A20" t="s">
        <v>18449</v>
      </c>
      <c r="C20" s="1383">
        <v>17452331</v>
      </c>
    </row>
    <row r="21" spans="1:3" x14ac:dyDescent="0.25">
      <c r="A21" t="s">
        <v>18450</v>
      </c>
      <c r="C21" s="1383">
        <v>69762</v>
      </c>
    </row>
    <row r="22" spans="1:3" x14ac:dyDescent="0.25">
      <c r="A22" t="s">
        <v>18451</v>
      </c>
      <c r="C22" s="1383">
        <v>0</v>
      </c>
    </row>
    <row r="23" spans="1:3" x14ac:dyDescent="0.25">
      <c r="A23" t="s">
        <v>18452</v>
      </c>
      <c r="C23" s="1383">
        <v>0</v>
      </c>
    </row>
    <row r="24" spans="1:3" x14ac:dyDescent="0.25">
      <c r="A24" t="s">
        <v>18453</v>
      </c>
      <c r="C24" s="1383">
        <v>17522093</v>
      </c>
    </row>
    <row r="25" spans="1:3" x14ac:dyDescent="0.25">
      <c r="A25" t="s">
        <v>18454</v>
      </c>
      <c r="C25" s="1385">
        <v>0.9</v>
      </c>
    </row>
    <row r="26" spans="1:3" x14ac:dyDescent="0.25">
      <c r="A26" t="s">
        <v>18455</v>
      </c>
      <c r="C26" s="1383">
        <v>15769884</v>
      </c>
    </row>
    <row r="27" spans="1:3" x14ac:dyDescent="0.25">
      <c r="A27" t="s">
        <v>18456</v>
      </c>
      <c r="C27" s="1383">
        <v>17452331</v>
      </c>
    </row>
    <row r="28" spans="1:3" x14ac:dyDescent="0.25">
      <c r="A28" t="s">
        <v>18457</v>
      </c>
      <c r="C28" s="1383">
        <v>-1682447</v>
      </c>
    </row>
    <row r="31" spans="1:3" x14ac:dyDescent="0.25">
      <c r="A31" t="s">
        <v>18458</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65"/>
  <dimension ref="C4:C24"/>
  <sheetViews>
    <sheetView workbookViewId="0"/>
  </sheetViews>
  <sheetFormatPr defaultRowHeight="14.25" x14ac:dyDescent="0.25"/>
  <cols>
    <col min="1" max="1" width="51.42578125" bestFit="1" customWidth="1"/>
    <col min="3" max="3" width="13.42578125" bestFit="1" customWidth="1"/>
  </cols>
  <sheetData>
    <row r="4" spans="3:3" x14ac:dyDescent="0.25">
      <c r="C4" s="1383"/>
    </row>
    <row r="5" spans="3:3" x14ac:dyDescent="0.25">
      <c r="C5" s="1383"/>
    </row>
    <row r="6" spans="3:3" x14ac:dyDescent="0.25">
      <c r="C6" s="1383"/>
    </row>
    <row r="7" spans="3:3" x14ac:dyDescent="0.25">
      <c r="C7" s="1385"/>
    </row>
    <row r="8" spans="3:3" x14ac:dyDescent="0.25">
      <c r="C8" s="1383"/>
    </row>
    <row r="9" spans="3:3" x14ac:dyDescent="0.25">
      <c r="C9" s="1383"/>
    </row>
    <row r="10" spans="3:3" x14ac:dyDescent="0.25">
      <c r="C10" s="1383"/>
    </row>
    <row r="11" spans="3:3" x14ac:dyDescent="0.25">
      <c r="C11" s="1383"/>
    </row>
    <row r="12" spans="3:3" x14ac:dyDescent="0.25">
      <c r="C12" s="1383"/>
    </row>
    <row r="13" spans="3:3" x14ac:dyDescent="0.25">
      <c r="C13" s="1383"/>
    </row>
    <row r="14" spans="3:3" x14ac:dyDescent="0.25">
      <c r="C14" s="1383"/>
    </row>
    <row r="15" spans="3:3" x14ac:dyDescent="0.25">
      <c r="C15" s="1383"/>
    </row>
    <row r="16" spans="3:3" x14ac:dyDescent="0.25">
      <c r="C16" s="1383"/>
    </row>
    <row r="17" spans="3:3" x14ac:dyDescent="0.25">
      <c r="C17" s="1383"/>
    </row>
    <row r="20" spans="3:3" x14ac:dyDescent="0.25">
      <c r="C20" s="1385"/>
    </row>
    <row r="21" spans="3:3" x14ac:dyDescent="0.25">
      <c r="C21" s="1385"/>
    </row>
    <row r="22" spans="3:3" x14ac:dyDescent="0.25">
      <c r="C22" s="1387"/>
    </row>
    <row r="23" spans="3:3" x14ac:dyDescent="0.25">
      <c r="C23" s="1383"/>
    </row>
    <row r="24" spans="3:3" x14ac:dyDescent="0.25">
      <c r="C24" s="1383"/>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66"/>
  <dimension ref="C4:C24"/>
  <sheetViews>
    <sheetView workbookViewId="0"/>
  </sheetViews>
  <sheetFormatPr defaultRowHeight="14.25" x14ac:dyDescent="0.25"/>
  <cols>
    <col min="1" max="1" width="51.42578125" bestFit="1" customWidth="1"/>
    <col min="3" max="3" width="13.42578125" bestFit="1" customWidth="1"/>
  </cols>
  <sheetData>
    <row r="4" spans="3:3" x14ac:dyDescent="0.25">
      <c r="C4" s="1383"/>
    </row>
    <row r="5" spans="3:3" x14ac:dyDescent="0.25">
      <c r="C5" s="1383"/>
    </row>
    <row r="6" spans="3:3" x14ac:dyDescent="0.25">
      <c r="C6" s="1383"/>
    </row>
    <row r="7" spans="3:3" x14ac:dyDescent="0.25">
      <c r="C7" s="1385"/>
    </row>
    <row r="8" spans="3:3" x14ac:dyDescent="0.25">
      <c r="C8" s="1383"/>
    </row>
    <row r="9" spans="3:3" x14ac:dyDescent="0.25">
      <c r="C9" s="1383"/>
    </row>
    <row r="10" spans="3:3" x14ac:dyDescent="0.25">
      <c r="C10" s="1383"/>
    </row>
    <row r="11" spans="3:3" x14ac:dyDescent="0.25">
      <c r="C11" s="1383"/>
    </row>
    <row r="12" spans="3:3" x14ac:dyDescent="0.25">
      <c r="C12" s="1383"/>
    </row>
    <row r="13" spans="3:3" x14ac:dyDescent="0.25">
      <c r="C13" s="1383"/>
    </row>
    <row r="14" spans="3:3" x14ac:dyDescent="0.25">
      <c r="C14" s="1383"/>
    </row>
    <row r="15" spans="3:3" x14ac:dyDescent="0.25">
      <c r="C15" s="1383"/>
    </row>
    <row r="16" spans="3:3" x14ac:dyDescent="0.25">
      <c r="C16" s="1383"/>
    </row>
    <row r="17" spans="3:3" x14ac:dyDescent="0.25">
      <c r="C17" s="1383"/>
    </row>
    <row r="20" spans="3:3" x14ac:dyDescent="0.25">
      <c r="C20" s="1385"/>
    </row>
    <row r="21" spans="3:3" x14ac:dyDescent="0.25">
      <c r="C21" s="1385"/>
    </row>
    <row r="22" spans="3:3" x14ac:dyDescent="0.25">
      <c r="C22" s="1387"/>
    </row>
    <row r="23" spans="3:3" x14ac:dyDescent="0.25">
      <c r="C23" s="1383"/>
    </row>
    <row r="24" spans="3:3" x14ac:dyDescent="0.25">
      <c r="C24" s="1383"/>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79"/>
  <dimension ref="A1:CW5"/>
  <sheetViews>
    <sheetView workbookViewId="0"/>
  </sheetViews>
  <sheetFormatPr defaultRowHeight="14.25" x14ac:dyDescent="0.25"/>
  <cols>
    <col min="1" max="1" width="13.140625" bestFit="1" customWidth="1"/>
    <col min="2" max="2" width="6" bestFit="1" customWidth="1"/>
    <col min="3" max="3" width="20" bestFit="1" customWidth="1"/>
    <col min="4" max="4" width="9.42578125" bestFit="1" customWidth="1"/>
    <col min="5" max="5" width="11.140625" bestFit="1" customWidth="1"/>
    <col min="6" max="6" width="23.85546875" bestFit="1" customWidth="1"/>
    <col min="7" max="7" width="7.28515625" bestFit="1" customWidth="1"/>
    <col min="8" max="8" width="6.140625" bestFit="1" customWidth="1"/>
    <col min="9" max="9" width="42.140625" bestFit="1" customWidth="1"/>
    <col min="10" max="10" width="6.85546875" bestFit="1" customWidth="1"/>
    <col min="11" max="11" width="20.42578125" bestFit="1" customWidth="1"/>
    <col min="12" max="12" width="7.140625" bestFit="1" customWidth="1"/>
    <col min="13" max="13" width="7.7109375" bestFit="1" customWidth="1"/>
    <col min="14" max="14" width="7" bestFit="1" customWidth="1"/>
    <col min="15" max="15" width="6.42578125" bestFit="1" customWidth="1"/>
    <col min="16" max="16" width="8.5703125" bestFit="1" customWidth="1"/>
    <col min="17" max="17" width="4.7109375" bestFit="1" customWidth="1"/>
    <col min="18" max="19" width="7.28515625" bestFit="1" customWidth="1"/>
    <col min="20" max="20" width="7.42578125" bestFit="1" customWidth="1"/>
    <col min="21" max="21" width="5.7109375" bestFit="1" customWidth="1"/>
    <col min="22" max="22" width="8.140625" bestFit="1" customWidth="1"/>
    <col min="23" max="23" width="8.42578125" bestFit="1" customWidth="1"/>
    <col min="24" max="24" width="8.140625" bestFit="1" customWidth="1"/>
    <col min="25" max="25" width="9.28515625" bestFit="1" customWidth="1"/>
    <col min="26" max="26" width="8" bestFit="1" customWidth="1"/>
    <col min="27" max="27" width="8.28515625" bestFit="1" customWidth="1"/>
    <col min="28" max="28" width="7.5703125" bestFit="1" customWidth="1"/>
    <col min="29" max="29" width="7.7109375" bestFit="1" customWidth="1"/>
    <col min="30" max="30" width="8.85546875" bestFit="1" customWidth="1"/>
    <col min="31" max="32" width="7.7109375" bestFit="1" customWidth="1"/>
    <col min="33" max="33" width="7.5703125" bestFit="1" customWidth="1"/>
    <col min="34" max="34" width="8.140625" bestFit="1" customWidth="1"/>
    <col min="35" max="35" width="7.28515625" bestFit="1" customWidth="1"/>
    <col min="36" max="36" width="5.85546875" bestFit="1" customWidth="1"/>
    <col min="37" max="37" width="5.140625" bestFit="1" customWidth="1"/>
    <col min="38" max="38" width="5.85546875" bestFit="1" customWidth="1"/>
    <col min="39" max="39" width="5.42578125" bestFit="1" customWidth="1"/>
    <col min="40" max="40" width="5" bestFit="1" customWidth="1"/>
    <col min="41" max="41" width="6.5703125" bestFit="1" customWidth="1"/>
    <col min="42" max="42" width="7.42578125" bestFit="1" customWidth="1"/>
    <col min="43" max="43" width="5.85546875" bestFit="1" customWidth="1"/>
    <col min="44" max="44" width="7.42578125" bestFit="1" customWidth="1"/>
    <col min="45" max="45" width="16.140625" bestFit="1" customWidth="1"/>
    <col min="46" max="46" width="16.7109375" bestFit="1" customWidth="1"/>
    <col min="47" max="47" width="16" bestFit="1" customWidth="1"/>
    <col min="48" max="48" width="15.42578125" bestFit="1" customWidth="1"/>
    <col min="49" max="49" width="17.7109375" bestFit="1" customWidth="1"/>
    <col min="50" max="50" width="13.7109375" bestFit="1" customWidth="1"/>
    <col min="51" max="52" width="16.28515625" bestFit="1" customWidth="1"/>
    <col min="53" max="53" width="16.42578125" bestFit="1" customWidth="1"/>
    <col min="54" max="54" width="14.7109375" bestFit="1" customWidth="1"/>
    <col min="55" max="55" width="17.28515625" bestFit="1" customWidth="1"/>
    <col min="56" max="56" width="17.5703125" bestFit="1" customWidth="1"/>
    <col min="57" max="57" width="17.28515625" bestFit="1" customWidth="1"/>
    <col min="58" max="58" width="18.42578125" bestFit="1" customWidth="1"/>
    <col min="59" max="59" width="17" bestFit="1" customWidth="1"/>
    <col min="60" max="60" width="17.42578125" bestFit="1" customWidth="1"/>
    <col min="61" max="61" width="16.5703125" bestFit="1" customWidth="1"/>
    <col min="62" max="62" width="16.7109375" bestFit="1" customWidth="1"/>
    <col min="63" max="63" width="18" bestFit="1" customWidth="1"/>
    <col min="64" max="65" width="16.7109375" bestFit="1" customWidth="1"/>
    <col min="66" max="66" width="16.5703125" bestFit="1" customWidth="1"/>
    <col min="67" max="67" width="17.28515625" bestFit="1" customWidth="1"/>
    <col min="68" max="68" width="16.28515625" bestFit="1" customWidth="1"/>
    <col min="69" max="69" width="14.85546875" bestFit="1" customWidth="1"/>
    <col min="70" max="70" width="14.140625" bestFit="1" customWidth="1"/>
    <col min="71" max="71" width="14.85546875" bestFit="1" customWidth="1"/>
    <col min="72" max="72" width="14.42578125" bestFit="1" customWidth="1"/>
    <col min="73" max="73" width="14" bestFit="1" customWidth="1"/>
    <col min="74" max="74" width="15.5703125" bestFit="1" customWidth="1"/>
    <col min="75" max="75" width="16.42578125" bestFit="1" customWidth="1"/>
    <col min="76" max="76" width="14.85546875" bestFit="1" customWidth="1"/>
    <col min="77" max="77" width="16.42578125" bestFit="1" customWidth="1"/>
    <col min="78" max="78" width="6" bestFit="1" customWidth="1"/>
    <col min="79" max="79" width="6.42578125" bestFit="1" customWidth="1"/>
    <col min="80" max="80" width="5.7109375" bestFit="1" customWidth="1"/>
    <col min="81" max="81" width="5.5703125" bestFit="1" customWidth="1"/>
    <col min="82" max="82" width="6.42578125" bestFit="1" customWidth="1"/>
    <col min="83" max="83" width="4" bestFit="1" customWidth="1"/>
    <col min="84" max="84" width="15" bestFit="1" customWidth="1"/>
    <col min="85" max="85" width="15.42578125" bestFit="1" customWidth="1"/>
    <col min="86" max="86" width="14.7109375" bestFit="1" customWidth="1"/>
    <col min="87" max="87" width="14.5703125" bestFit="1" customWidth="1"/>
    <col min="88" max="88" width="15.42578125" bestFit="1" customWidth="1"/>
    <col min="89" max="89" width="12.42578125" bestFit="1" customWidth="1"/>
    <col min="90" max="90" width="21" bestFit="1" customWidth="1"/>
    <col min="91" max="91" width="18.140625" bestFit="1" customWidth="1"/>
    <col min="92" max="92" width="19" bestFit="1" customWidth="1"/>
    <col min="93" max="93" width="19.85546875" bestFit="1" customWidth="1"/>
    <col min="94" max="94" width="18.28515625" bestFit="1" customWidth="1"/>
    <col min="95" max="95" width="19.85546875" bestFit="1" customWidth="1"/>
    <col min="96" max="96" width="18.42578125" bestFit="1" customWidth="1"/>
    <col min="97" max="97" width="18.85546875" bestFit="1" customWidth="1"/>
    <col min="98" max="98" width="18.140625" bestFit="1" customWidth="1"/>
    <col min="99" max="99" width="18" bestFit="1" customWidth="1"/>
    <col min="100" max="100" width="18.85546875" bestFit="1" customWidth="1"/>
    <col min="101" max="101" width="15.85546875" bestFit="1" customWidth="1"/>
  </cols>
  <sheetData>
    <row r="1" spans="1:101" x14ac:dyDescent="0.25">
      <c r="A1" t="s">
        <v>1629</v>
      </c>
      <c r="B1" t="s">
        <v>1630</v>
      </c>
      <c r="C1" t="s">
        <v>1631</v>
      </c>
      <c r="D1" t="s">
        <v>1632</v>
      </c>
      <c r="E1" t="s">
        <v>1633</v>
      </c>
      <c r="F1" t="s">
        <v>1634</v>
      </c>
      <c r="G1" t="s">
        <v>1635</v>
      </c>
      <c r="H1" t="s">
        <v>1636</v>
      </c>
      <c r="I1" t="s">
        <v>1637</v>
      </c>
      <c r="J1" t="s">
        <v>1638</v>
      </c>
      <c r="K1" t="s">
        <v>1639</v>
      </c>
      <c r="L1" t="s">
        <v>1640</v>
      </c>
      <c r="M1" t="s">
        <v>1641</v>
      </c>
      <c r="N1" t="s">
        <v>1642</v>
      </c>
      <c r="O1" t="s">
        <v>1643</v>
      </c>
      <c r="P1" t="s">
        <v>1644</v>
      </c>
      <c r="Q1" t="s">
        <v>1645</v>
      </c>
      <c r="R1" t="s">
        <v>1646</v>
      </c>
      <c r="S1" t="s">
        <v>1647</v>
      </c>
      <c r="T1" t="s">
        <v>1648</v>
      </c>
      <c r="U1" t="s">
        <v>1649</v>
      </c>
      <c r="V1" t="s">
        <v>1650</v>
      </c>
      <c r="W1" t="s">
        <v>1651</v>
      </c>
      <c r="X1" t="s">
        <v>1652</v>
      </c>
      <c r="Y1" t="s">
        <v>1653</v>
      </c>
      <c r="Z1" t="s">
        <v>1654</v>
      </c>
      <c r="AA1" t="s">
        <v>1655</v>
      </c>
      <c r="AB1" t="s">
        <v>1656</v>
      </c>
      <c r="AC1" t="s">
        <v>1657</v>
      </c>
      <c r="AD1" t="s">
        <v>1658</v>
      </c>
      <c r="AE1" t="s">
        <v>1659</v>
      </c>
      <c r="AF1" t="s">
        <v>1660</v>
      </c>
      <c r="AG1" t="s">
        <v>1661</v>
      </c>
      <c r="AH1" t="s">
        <v>1662</v>
      </c>
      <c r="AI1" t="s">
        <v>1663</v>
      </c>
      <c r="AJ1" t="s">
        <v>1664</v>
      </c>
      <c r="AK1" t="s">
        <v>1665</v>
      </c>
      <c r="AL1" t="s">
        <v>1666</v>
      </c>
      <c r="AM1" t="s">
        <v>1667</v>
      </c>
      <c r="AN1" t="s">
        <v>1668</v>
      </c>
      <c r="AO1" t="s">
        <v>1669</v>
      </c>
      <c r="AP1" t="s">
        <v>1670</v>
      </c>
      <c r="AQ1" t="s">
        <v>1671</v>
      </c>
      <c r="AR1" t="s">
        <v>1672</v>
      </c>
      <c r="AS1" t="s">
        <v>1673</v>
      </c>
      <c r="AT1" t="s">
        <v>1674</v>
      </c>
      <c r="AU1" t="s">
        <v>1675</v>
      </c>
      <c r="AV1" t="s">
        <v>1676</v>
      </c>
      <c r="AW1" t="s">
        <v>1677</v>
      </c>
      <c r="AX1" t="s">
        <v>1678</v>
      </c>
      <c r="AY1" t="s">
        <v>1679</v>
      </c>
      <c r="AZ1" t="s">
        <v>1680</v>
      </c>
      <c r="BA1" t="s">
        <v>1681</v>
      </c>
      <c r="BB1" t="s">
        <v>1682</v>
      </c>
      <c r="BC1" t="s">
        <v>1683</v>
      </c>
      <c r="BD1" t="s">
        <v>1684</v>
      </c>
      <c r="BE1" t="s">
        <v>1685</v>
      </c>
      <c r="BF1" t="s">
        <v>1686</v>
      </c>
      <c r="BG1" t="s">
        <v>1687</v>
      </c>
      <c r="BH1" t="s">
        <v>1688</v>
      </c>
      <c r="BI1" t="s">
        <v>1689</v>
      </c>
      <c r="BJ1" t="s">
        <v>1690</v>
      </c>
      <c r="BK1" t="s">
        <v>1691</v>
      </c>
      <c r="BL1" t="s">
        <v>1692</v>
      </c>
      <c r="BM1" t="s">
        <v>1693</v>
      </c>
      <c r="BN1" t="s">
        <v>1694</v>
      </c>
      <c r="BO1" t="s">
        <v>1695</v>
      </c>
      <c r="BP1" t="s">
        <v>1696</v>
      </c>
      <c r="BQ1" t="s">
        <v>1697</v>
      </c>
      <c r="BR1" t="s">
        <v>1698</v>
      </c>
      <c r="BS1" t="s">
        <v>1699</v>
      </c>
      <c r="BT1" t="s">
        <v>1700</v>
      </c>
      <c r="BU1" t="s">
        <v>1701</v>
      </c>
      <c r="BV1" t="s">
        <v>1702</v>
      </c>
      <c r="BW1" t="s">
        <v>1703</v>
      </c>
      <c r="BX1" t="s">
        <v>1704</v>
      </c>
      <c r="BY1" t="s">
        <v>1705</v>
      </c>
      <c r="BZ1" t="s">
        <v>1706</v>
      </c>
      <c r="CA1" t="s">
        <v>1707</v>
      </c>
      <c r="CB1" t="s">
        <v>1708</v>
      </c>
      <c r="CC1" t="s">
        <v>1709</v>
      </c>
      <c r="CD1" t="s">
        <v>1710</v>
      </c>
      <c r="CE1" t="s">
        <v>1711</v>
      </c>
      <c r="CF1" t="s">
        <v>1712</v>
      </c>
      <c r="CG1" t="s">
        <v>1713</v>
      </c>
      <c r="CH1" t="s">
        <v>1714</v>
      </c>
      <c r="CI1" t="s">
        <v>1715</v>
      </c>
      <c r="CJ1" t="s">
        <v>1716</v>
      </c>
      <c r="CK1" t="s">
        <v>1717</v>
      </c>
      <c r="CL1" t="s">
        <v>1718</v>
      </c>
      <c r="CM1" t="s">
        <v>1719</v>
      </c>
      <c r="CN1" t="s">
        <v>1720</v>
      </c>
      <c r="CO1" t="s">
        <v>1721</v>
      </c>
      <c r="CP1" t="s">
        <v>1722</v>
      </c>
      <c r="CQ1" t="s">
        <v>1723</v>
      </c>
      <c r="CR1" t="s">
        <v>1724</v>
      </c>
      <c r="CS1" t="s">
        <v>1725</v>
      </c>
      <c r="CT1" t="s">
        <v>1726</v>
      </c>
      <c r="CU1" t="s">
        <v>1727</v>
      </c>
      <c r="CV1" t="s">
        <v>1728</v>
      </c>
      <c r="CW1" t="s">
        <v>1729</v>
      </c>
    </row>
    <row r="2" spans="1:101" x14ac:dyDescent="0.25">
      <c r="A2">
        <v>451400060342</v>
      </c>
      <c r="B2">
        <v>48201</v>
      </c>
      <c r="C2" t="s">
        <v>1734</v>
      </c>
      <c r="D2">
        <v>43922</v>
      </c>
      <c r="E2" t="s">
        <v>1363</v>
      </c>
      <c r="F2" t="s">
        <v>1735</v>
      </c>
      <c r="G2" t="s">
        <v>1730</v>
      </c>
      <c r="H2">
        <v>3009</v>
      </c>
      <c r="I2" t="s">
        <v>1731</v>
      </c>
      <c r="J2">
        <v>3</v>
      </c>
      <c r="K2" t="s">
        <v>1732</v>
      </c>
      <c r="L2">
        <v>400</v>
      </c>
      <c r="M2">
        <v>951</v>
      </c>
      <c r="N2">
        <v>993</v>
      </c>
      <c r="O2">
        <v>991</v>
      </c>
      <c r="P2">
        <v>949</v>
      </c>
      <c r="Q2">
        <v>772</v>
      </c>
      <c r="R2">
        <v>692</v>
      </c>
      <c r="S2">
        <v>617</v>
      </c>
      <c r="T2" t="s">
        <v>1733</v>
      </c>
      <c r="U2">
        <v>939</v>
      </c>
      <c r="V2">
        <v>401</v>
      </c>
      <c r="W2">
        <v>413</v>
      </c>
      <c r="X2">
        <v>706</v>
      </c>
      <c r="Y2">
        <v>460</v>
      </c>
      <c r="Z2">
        <v>411</v>
      </c>
      <c r="AA2">
        <v>406</v>
      </c>
      <c r="AB2">
        <v>444</v>
      </c>
      <c r="AC2">
        <v>401</v>
      </c>
      <c r="AD2">
        <v>449</v>
      </c>
      <c r="AE2">
        <v>494</v>
      </c>
      <c r="AF2">
        <v>622</v>
      </c>
      <c r="AG2">
        <v>417</v>
      </c>
      <c r="AH2">
        <v>586</v>
      </c>
      <c r="AI2">
        <v>416</v>
      </c>
      <c r="AJ2" t="s">
        <v>1733</v>
      </c>
      <c r="AK2">
        <v>854</v>
      </c>
      <c r="AL2">
        <v>543</v>
      </c>
      <c r="AM2">
        <v>814</v>
      </c>
      <c r="AN2">
        <v>819</v>
      </c>
      <c r="AO2">
        <v>793</v>
      </c>
      <c r="AP2">
        <v>943</v>
      </c>
      <c r="AQ2">
        <v>692</v>
      </c>
      <c r="AR2">
        <v>814</v>
      </c>
      <c r="AS2">
        <v>100</v>
      </c>
      <c r="AT2">
        <v>81</v>
      </c>
      <c r="AU2">
        <v>99</v>
      </c>
      <c r="AV2">
        <v>99</v>
      </c>
      <c r="AW2">
        <v>99</v>
      </c>
      <c r="AX2">
        <v>82</v>
      </c>
      <c r="AY2">
        <v>66</v>
      </c>
      <c r="AZ2">
        <v>19</v>
      </c>
      <c r="BA2" t="s">
        <v>1733</v>
      </c>
      <c r="BB2">
        <v>98</v>
      </c>
      <c r="BC2">
        <v>27</v>
      </c>
      <c r="BD2">
        <v>15</v>
      </c>
      <c r="BE2">
        <v>97</v>
      </c>
      <c r="BF2">
        <v>95</v>
      </c>
      <c r="BG2">
        <v>13</v>
      </c>
      <c r="BH2">
        <v>35</v>
      </c>
      <c r="BI2">
        <v>28</v>
      </c>
      <c r="BJ2">
        <v>25</v>
      </c>
      <c r="BK2">
        <v>95</v>
      </c>
      <c r="BL2">
        <v>16</v>
      </c>
      <c r="BM2">
        <v>73</v>
      </c>
      <c r="BN2">
        <v>37</v>
      </c>
      <c r="BO2">
        <v>99</v>
      </c>
      <c r="BP2">
        <v>95</v>
      </c>
      <c r="BQ2" t="s">
        <v>1733</v>
      </c>
      <c r="BR2">
        <v>80</v>
      </c>
      <c r="BS2">
        <v>20</v>
      </c>
      <c r="BT2">
        <v>77</v>
      </c>
      <c r="BU2">
        <v>81</v>
      </c>
      <c r="BV2">
        <v>64</v>
      </c>
      <c r="BW2">
        <v>99</v>
      </c>
      <c r="BX2">
        <v>59</v>
      </c>
      <c r="BY2">
        <v>77</v>
      </c>
      <c r="BZ2">
        <v>858</v>
      </c>
      <c r="CA2">
        <v>793</v>
      </c>
      <c r="CB2">
        <v>892</v>
      </c>
      <c r="CC2">
        <v>886</v>
      </c>
      <c r="CD2">
        <v>866</v>
      </c>
      <c r="CE2">
        <v>858</v>
      </c>
      <c r="CF2">
        <v>99</v>
      </c>
      <c r="CG2">
        <v>91</v>
      </c>
      <c r="CH2">
        <v>99</v>
      </c>
      <c r="CI2">
        <v>99</v>
      </c>
      <c r="CJ2">
        <v>99</v>
      </c>
      <c r="CK2">
        <v>97</v>
      </c>
      <c r="CL2">
        <v>99</v>
      </c>
      <c r="CM2">
        <v>99</v>
      </c>
      <c r="CN2">
        <v>57</v>
      </c>
      <c r="CO2">
        <v>97</v>
      </c>
      <c r="CP2">
        <v>47</v>
      </c>
      <c r="CQ2">
        <v>72</v>
      </c>
      <c r="CR2">
        <v>96</v>
      </c>
      <c r="CS2">
        <v>74</v>
      </c>
      <c r="CT2">
        <v>98</v>
      </c>
      <c r="CU2">
        <v>98</v>
      </c>
      <c r="CV2">
        <v>97</v>
      </c>
      <c r="CW2">
        <v>96</v>
      </c>
    </row>
    <row r="3" spans="1:101" x14ac:dyDescent="0.25">
      <c r="A3">
        <v>451400060342</v>
      </c>
      <c r="B3">
        <v>48201</v>
      </c>
      <c r="C3" t="s">
        <v>1734</v>
      </c>
      <c r="D3">
        <v>43862</v>
      </c>
      <c r="E3" t="s">
        <v>1363</v>
      </c>
      <c r="F3" t="s">
        <v>1735</v>
      </c>
      <c r="G3" t="s">
        <v>1730</v>
      </c>
      <c r="H3">
        <v>3009</v>
      </c>
      <c r="I3" t="s">
        <v>1731</v>
      </c>
      <c r="J3">
        <v>3</v>
      </c>
      <c r="K3" t="s">
        <v>1732</v>
      </c>
      <c r="L3">
        <v>400</v>
      </c>
      <c r="M3">
        <v>909</v>
      </c>
      <c r="N3">
        <v>993</v>
      </c>
      <c r="O3">
        <v>991</v>
      </c>
      <c r="P3">
        <v>949</v>
      </c>
      <c r="Q3">
        <v>772</v>
      </c>
      <c r="R3">
        <v>692</v>
      </c>
      <c r="S3">
        <v>617</v>
      </c>
      <c r="T3" t="s">
        <v>1733</v>
      </c>
      <c r="U3">
        <v>939</v>
      </c>
      <c r="V3">
        <v>401</v>
      </c>
      <c r="W3">
        <v>413</v>
      </c>
      <c r="X3">
        <v>706</v>
      </c>
      <c r="Y3">
        <v>460</v>
      </c>
      <c r="Z3">
        <v>411</v>
      </c>
      <c r="AA3">
        <v>406</v>
      </c>
      <c r="AB3">
        <v>444</v>
      </c>
      <c r="AC3">
        <v>401</v>
      </c>
      <c r="AD3">
        <v>449</v>
      </c>
      <c r="AE3">
        <v>494</v>
      </c>
      <c r="AF3">
        <v>622</v>
      </c>
      <c r="AG3">
        <v>417</v>
      </c>
      <c r="AH3">
        <v>586</v>
      </c>
      <c r="AI3">
        <v>416</v>
      </c>
      <c r="AJ3" t="s">
        <v>1733</v>
      </c>
      <c r="AK3">
        <v>854</v>
      </c>
      <c r="AL3">
        <v>543</v>
      </c>
      <c r="AM3">
        <v>814</v>
      </c>
      <c r="AN3">
        <v>819</v>
      </c>
      <c r="AO3">
        <v>400</v>
      </c>
      <c r="AP3">
        <v>943</v>
      </c>
      <c r="AQ3">
        <v>692</v>
      </c>
      <c r="AR3">
        <v>814</v>
      </c>
      <c r="AS3">
        <v>100</v>
      </c>
      <c r="AT3">
        <v>81</v>
      </c>
      <c r="AU3">
        <v>99</v>
      </c>
      <c r="AV3">
        <v>99</v>
      </c>
      <c r="AW3">
        <v>99</v>
      </c>
      <c r="AX3">
        <v>82</v>
      </c>
      <c r="AY3">
        <v>66</v>
      </c>
      <c r="AZ3">
        <v>19</v>
      </c>
      <c r="BA3" t="s">
        <v>1733</v>
      </c>
      <c r="BB3">
        <v>98</v>
      </c>
      <c r="BC3">
        <v>27</v>
      </c>
      <c r="BD3">
        <v>15</v>
      </c>
      <c r="BE3">
        <v>97</v>
      </c>
      <c r="BF3">
        <v>95</v>
      </c>
      <c r="BG3">
        <v>13</v>
      </c>
      <c r="BH3">
        <v>35</v>
      </c>
      <c r="BI3">
        <v>28</v>
      </c>
      <c r="BJ3">
        <v>25</v>
      </c>
      <c r="BK3">
        <v>95</v>
      </c>
      <c r="BL3">
        <v>16</v>
      </c>
      <c r="BM3">
        <v>73</v>
      </c>
      <c r="BN3">
        <v>37</v>
      </c>
      <c r="BO3">
        <v>99</v>
      </c>
      <c r="BP3">
        <v>95</v>
      </c>
      <c r="BQ3" t="s">
        <v>1733</v>
      </c>
      <c r="BR3">
        <v>80</v>
      </c>
      <c r="BS3">
        <v>20</v>
      </c>
      <c r="BT3">
        <v>77</v>
      </c>
      <c r="BU3">
        <v>81</v>
      </c>
      <c r="BV3">
        <v>78</v>
      </c>
      <c r="BW3">
        <v>99</v>
      </c>
      <c r="BX3">
        <v>59</v>
      </c>
      <c r="BY3">
        <v>77</v>
      </c>
      <c r="BZ3">
        <v>806</v>
      </c>
      <c r="CA3">
        <v>840</v>
      </c>
      <c r="CB3">
        <v>937</v>
      </c>
      <c r="CC3">
        <v>845</v>
      </c>
      <c r="CD3">
        <v>756</v>
      </c>
      <c r="CE3">
        <v>806</v>
      </c>
      <c r="CF3">
        <v>99</v>
      </c>
      <c r="CG3">
        <v>99</v>
      </c>
      <c r="CH3">
        <v>99</v>
      </c>
      <c r="CI3">
        <v>99</v>
      </c>
      <c r="CJ3">
        <v>99</v>
      </c>
      <c r="CK3">
        <v>76</v>
      </c>
      <c r="CL3">
        <v>99</v>
      </c>
      <c r="CM3">
        <v>99</v>
      </c>
      <c r="CN3">
        <v>66</v>
      </c>
      <c r="CO3">
        <v>97</v>
      </c>
      <c r="CP3">
        <v>42</v>
      </c>
      <c r="CQ3">
        <v>72</v>
      </c>
      <c r="CR3">
        <v>90</v>
      </c>
      <c r="CS3">
        <v>92</v>
      </c>
      <c r="CT3">
        <v>99</v>
      </c>
      <c r="CU3">
        <v>96</v>
      </c>
      <c r="CV3">
        <v>87</v>
      </c>
      <c r="CW3">
        <v>79</v>
      </c>
    </row>
    <row r="4" spans="1:101" x14ac:dyDescent="0.25">
      <c r="A4">
        <v>451400060342</v>
      </c>
      <c r="B4">
        <v>48201</v>
      </c>
      <c r="C4" t="s">
        <v>1734</v>
      </c>
      <c r="D4">
        <v>43739</v>
      </c>
      <c r="E4" t="s">
        <v>1363</v>
      </c>
      <c r="F4" t="s">
        <v>1735</v>
      </c>
      <c r="G4" t="s">
        <v>1730</v>
      </c>
      <c r="H4">
        <v>3009</v>
      </c>
      <c r="I4" t="s">
        <v>1731</v>
      </c>
      <c r="J4">
        <v>3</v>
      </c>
      <c r="K4" t="s">
        <v>1732</v>
      </c>
      <c r="L4">
        <v>400</v>
      </c>
      <c r="M4">
        <v>873</v>
      </c>
      <c r="N4">
        <v>907</v>
      </c>
      <c r="O4">
        <v>939</v>
      </c>
      <c r="P4">
        <v>944</v>
      </c>
      <c r="Q4">
        <v>790</v>
      </c>
      <c r="R4">
        <v>444</v>
      </c>
      <c r="S4">
        <v>590</v>
      </c>
      <c r="T4" t="s">
        <v>1733</v>
      </c>
      <c r="U4">
        <v>931</v>
      </c>
      <c r="V4">
        <v>401</v>
      </c>
      <c r="W4">
        <v>413</v>
      </c>
      <c r="X4">
        <v>706</v>
      </c>
      <c r="Y4">
        <v>460</v>
      </c>
      <c r="Z4">
        <v>411</v>
      </c>
      <c r="AA4">
        <v>406</v>
      </c>
      <c r="AB4">
        <v>444</v>
      </c>
      <c r="AC4">
        <v>401</v>
      </c>
      <c r="AD4">
        <v>449</v>
      </c>
      <c r="AE4">
        <v>494</v>
      </c>
      <c r="AF4">
        <v>622</v>
      </c>
      <c r="AG4">
        <v>417</v>
      </c>
      <c r="AH4">
        <v>586</v>
      </c>
      <c r="AI4">
        <v>416</v>
      </c>
      <c r="AJ4" t="s">
        <v>1733</v>
      </c>
      <c r="AK4">
        <v>884</v>
      </c>
      <c r="AL4">
        <v>614</v>
      </c>
      <c r="AM4">
        <v>850</v>
      </c>
      <c r="AN4">
        <v>850</v>
      </c>
      <c r="AO4">
        <v>873</v>
      </c>
      <c r="AP4">
        <v>827</v>
      </c>
      <c r="AQ4">
        <v>590</v>
      </c>
      <c r="AR4">
        <v>850</v>
      </c>
      <c r="AS4" t="s">
        <v>1733</v>
      </c>
      <c r="AT4">
        <v>81</v>
      </c>
      <c r="AU4">
        <v>99</v>
      </c>
      <c r="AV4">
        <v>98</v>
      </c>
      <c r="AW4">
        <v>98</v>
      </c>
      <c r="AX4">
        <v>82</v>
      </c>
      <c r="AY4">
        <v>0</v>
      </c>
      <c r="AZ4">
        <v>19</v>
      </c>
      <c r="BA4" t="s">
        <v>1733</v>
      </c>
      <c r="BB4">
        <v>98</v>
      </c>
      <c r="BC4">
        <v>27</v>
      </c>
      <c r="BD4">
        <v>15</v>
      </c>
      <c r="BE4">
        <v>97</v>
      </c>
      <c r="BF4">
        <v>95</v>
      </c>
      <c r="BG4">
        <v>13</v>
      </c>
      <c r="BH4">
        <v>35</v>
      </c>
      <c r="BI4">
        <v>28</v>
      </c>
      <c r="BJ4">
        <v>25</v>
      </c>
      <c r="BK4">
        <v>95</v>
      </c>
      <c r="BL4">
        <v>16</v>
      </c>
      <c r="BM4">
        <v>73</v>
      </c>
      <c r="BN4">
        <v>37</v>
      </c>
      <c r="BO4">
        <v>99</v>
      </c>
      <c r="BP4">
        <v>95</v>
      </c>
      <c r="BQ4" t="s">
        <v>1733</v>
      </c>
      <c r="BR4">
        <v>80</v>
      </c>
      <c r="BS4">
        <v>18</v>
      </c>
      <c r="BT4">
        <v>76</v>
      </c>
      <c r="BU4">
        <v>81</v>
      </c>
      <c r="BV4">
        <v>66</v>
      </c>
      <c r="BW4">
        <v>93</v>
      </c>
      <c r="BX4">
        <v>14</v>
      </c>
      <c r="BY4">
        <v>77</v>
      </c>
      <c r="BZ4">
        <v>754</v>
      </c>
      <c r="CA4">
        <v>774</v>
      </c>
      <c r="CB4">
        <v>903</v>
      </c>
      <c r="CC4">
        <v>791</v>
      </c>
      <c r="CD4">
        <v>699</v>
      </c>
      <c r="CE4">
        <v>754</v>
      </c>
      <c r="CF4">
        <v>99</v>
      </c>
      <c r="CG4">
        <v>97</v>
      </c>
      <c r="CH4">
        <v>99</v>
      </c>
      <c r="CI4">
        <v>99</v>
      </c>
      <c r="CJ4">
        <v>99</v>
      </c>
      <c r="CK4">
        <v>76</v>
      </c>
      <c r="CL4">
        <v>99</v>
      </c>
      <c r="CM4">
        <v>99</v>
      </c>
      <c r="CN4">
        <v>73</v>
      </c>
      <c r="CO4">
        <v>92</v>
      </c>
      <c r="CP4">
        <v>11</v>
      </c>
      <c r="CQ4">
        <v>69</v>
      </c>
      <c r="CR4">
        <v>84</v>
      </c>
      <c r="CS4">
        <v>82</v>
      </c>
      <c r="CT4">
        <v>99</v>
      </c>
      <c r="CU4">
        <v>92</v>
      </c>
      <c r="CV4">
        <v>75</v>
      </c>
      <c r="CW4">
        <v>74</v>
      </c>
    </row>
    <row r="5" spans="1:101" x14ac:dyDescent="0.25">
      <c r="A5">
        <v>451400060342</v>
      </c>
      <c r="B5">
        <v>48201</v>
      </c>
      <c r="C5" t="s">
        <v>1734</v>
      </c>
      <c r="D5">
        <v>43647</v>
      </c>
      <c r="E5" t="s">
        <v>1363</v>
      </c>
      <c r="F5" t="s">
        <v>1735</v>
      </c>
      <c r="G5" t="s">
        <v>1730</v>
      </c>
      <c r="H5">
        <v>3009</v>
      </c>
      <c r="I5" t="s">
        <v>1731</v>
      </c>
      <c r="J5">
        <v>3</v>
      </c>
      <c r="K5" t="s">
        <v>1732</v>
      </c>
      <c r="L5">
        <v>400</v>
      </c>
      <c r="M5">
        <v>861</v>
      </c>
      <c r="N5">
        <v>907</v>
      </c>
      <c r="O5">
        <v>939</v>
      </c>
      <c r="P5">
        <v>947</v>
      </c>
      <c r="Q5">
        <v>771</v>
      </c>
      <c r="R5">
        <v>457</v>
      </c>
      <c r="S5">
        <v>671</v>
      </c>
      <c r="T5" t="s">
        <v>1733</v>
      </c>
      <c r="U5">
        <v>931</v>
      </c>
      <c r="V5">
        <v>401</v>
      </c>
      <c r="W5">
        <v>413</v>
      </c>
      <c r="X5">
        <v>706</v>
      </c>
      <c r="Y5">
        <v>460</v>
      </c>
      <c r="Z5">
        <v>411</v>
      </c>
      <c r="AA5">
        <v>406</v>
      </c>
      <c r="AB5">
        <v>444</v>
      </c>
      <c r="AC5">
        <v>401</v>
      </c>
      <c r="AD5">
        <v>449</v>
      </c>
      <c r="AE5">
        <v>494</v>
      </c>
      <c r="AF5">
        <v>622</v>
      </c>
      <c r="AG5">
        <v>417</v>
      </c>
      <c r="AH5">
        <v>586</v>
      </c>
      <c r="AI5">
        <v>416</v>
      </c>
      <c r="AJ5" t="s">
        <v>1733</v>
      </c>
      <c r="AK5">
        <v>847</v>
      </c>
      <c r="AL5">
        <v>636</v>
      </c>
      <c r="AM5">
        <v>846</v>
      </c>
      <c r="AN5">
        <v>865</v>
      </c>
      <c r="AO5">
        <v>861</v>
      </c>
      <c r="AP5">
        <v>872</v>
      </c>
      <c r="AQ5">
        <v>457</v>
      </c>
      <c r="AR5">
        <v>846</v>
      </c>
      <c r="AS5" t="s">
        <v>1733</v>
      </c>
      <c r="AT5">
        <v>89</v>
      </c>
      <c r="AU5">
        <v>99</v>
      </c>
      <c r="AV5">
        <v>98</v>
      </c>
      <c r="AW5">
        <v>98</v>
      </c>
      <c r="AX5">
        <v>82</v>
      </c>
      <c r="AY5">
        <v>0</v>
      </c>
      <c r="AZ5">
        <v>48</v>
      </c>
      <c r="BA5" t="s">
        <v>1733</v>
      </c>
      <c r="BB5">
        <v>98</v>
      </c>
      <c r="BC5">
        <v>27</v>
      </c>
      <c r="BD5">
        <v>15</v>
      </c>
      <c r="BE5">
        <v>97</v>
      </c>
      <c r="BF5">
        <v>95</v>
      </c>
      <c r="BG5">
        <v>13</v>
      </c>
      <c r="BH5">
        <v>35</v>
      </c>
      <c r="BI5">
        <v>28</v>
      </c>
      <c r="BJ5">
        <v>25</v>
      </c>
      <c r="BK5">
        <v>95</v>
      </c>
      <c r="BL5">
        <v>16</v>
      </c>
      <c r="BM5">
        <v>73</v>
      </c>
      <c r="BN5">
        <v>37</v>
      </c>
      <c r="BO5">
        <v>99</v>
      </c>
      <c r="BP5">
        <v>95</v>
      </c>
      <c r="BQ5" t="s">
        <v>1733</v>
      </c>
      <c r="BR5">
        <v>62</v>
      </c>
      <c r="BS5">
        <v>16</v>
      </c>
      <c r="BT5">
        <v>78</v>
      </c>
      <c r="BU5">
        <v>86</v>
      </c>
      <c r="BV5">
        <v>89</v>
      </c>
      <c r="BW5">
        <v>97</v>
      </c>
      <c r="BX5">
        <v>0</v>
      </c>
      <c r="BY5">
        <v>78</v>
      </c>
      <c r="BZ5">
        <v>754</v>
      </c>
      <c r="CA5">
        <v>765</v>
      </c>
      <c r="CB5">
        <v>900</v>
      </c>
      <c r="CC5">
        <v>796</v>
      </c>
      <c r="CD5">
        <v>697</v>
      </c>
      <c r="CE5">
        <v>754</v>
      </c>
      <c r="CF5">
        <v>97</v>
      </c>
      <c r="CG5">
        <v>91</v>
      </c>
      <c r="CH5">
        <v>99</v>
      </c>
      <c r="CI5">
        <v>98</v>
      </c>
      <c r="CJ5">
        <v>99</v>
      </c>
      <c r="CK5">
        <v>75</v>
      </c>
      <c r="CL5">
        <v>99</v>
      </c>
      <c r="CM5">
        <v>99</v>
      </c>
      <c r="CN5">
        <v>90</v>
      </c>
      <c r="CO5">
        <v>97</v>
      </c>
      <c r="CP5">
        <v>0</v>
      </c>
      <c r="CQ5">
        <v>68</v>
      </c>
      <c r="CR5">
        <v>85</v>
      </c>
      <c r="CS5">
        <v>79</v>
      </c>
      <c r="CT5">
        <v>99</v>
      </c>
      <c r="CU5">
        <v>92</v>
      </c>
      <c r="CV5">
        <v>74</v>
      </c>
      <c r="CW5">
        <v>74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8"/>
  <dimension ref="A1:AV156"/>
  <sheetViews>
    <sheetView zoomScaleNormal="100" workbookViewId="0">
      <selection activeCell="Q5" sqref="Q5:Q7"/>
    </sheetView>
  </sheetViews>
  <sheetFormatPr defaultColWidth="8.85546875" defaultRowHeight="14.25" x14ac:dyDescent="0.25"/>
  <cols>
    <col min="1" max="1" width="5.7109375" style="5" customWidth="1"/>
    <col min="2" max="2" width="10.7109375" style="39" customWidth="1"/>
    <col min="3" max="3" width="30.7109375" style="39" customWidth="1"/>
    <col min="4" max="4" width="25.7109375" style="39" customWidth="1"/>
    <col min="5" max="5" width="1.7109375" style="39" customWidth="1"/>
    <col min="6" max="6" width="22.7109375" style="39" customWidth="1"/>
    <col min="7" max="7" width="18.7109375" style="39" customWidth="1"/>
    <col min="8" max="8" width="15.7109375" style="39" customWidth="1"/>
    <col min="9" max="9" width="18.28515625" style="39" customWidth="1"/>
    <col min="10" max="10" width="25.7109375" style="39" customWidth="1"/>
    <col min="11" max="11" width="20.7109375" style="39" customWidth="1"/>
    <col min="12" max="15" width="26.7109375" style="39" customWidth="1"/>
    <col min="16" max="23" width="15.7109375" style="39" customWidth="1"/>
    <col min="24" max="25" width="18.7109375" style="39" customWidth="1"/>
    <col min="26" max="27" width="5.7109375" style="39" customWidth="1"/>
    <col min="28" max="28" width="30.7109375" style="39" customWidth="1"/>
    <col min="29" max="29" width="15.7109375" style="39" customWidth="1"/>
    <col min="30" max="30" width="2.42578125" style="39" customWidth="1"/>
    <col min="31" max="31" width="22.7109375" style="39" bestFit="1" customWidth="1"/>
    <col min="32" max="32" width="12.7109375" style="39" customWidth="1"/>
    <col min="33" max="33" width="1.5703125" style="39" customWidth="1"/>
    <col min="34" max="34" width="15.7109375" style="39" customWidth="1"/>
    <col min="35" max="35" width="1.7109375" style="39" customWidth="1"/>
    <col min="36" max="36" width="22.42578125" style="39" bestFit="1" customWidth="1"/>
    <col min="37" max="37" width="2.28515625" style="39" customWidth="1"/>
    <col min="38" max="40" width="22.42578125" style="39" customWidth="1"/>
    <col min="41" max="41" width="2.28515625" style="39" customWidth="1"/>
    <col min="42" max="42" width="38.42578125" style="39" bestFit="1" customWidth="1"/>
    <col min="43" max="43" width="5.7109375" style="39" customWidth="1"/>
    <col min="44" max="44" width="30.7109375" style="20" customWidth="1"/>
    <col min="45" max="46" width="1.7109375" style="39" customWidth="1"/>
    <col min="47" max="47" width="50.7109375" style="5" customWidth="1"/>
    <col min="48" max="48" width="15.7109375" style="5" customWidth="1"/>
    <col min="49" max="16384" width="8.85546875" style="5"/>
  </cols>
  <sheetData>
    <row r="1" spans="1:48" s="10" customFormat="1" ht="60" customHeight="1" x14ac:dyDescent="0.25">
      <c r="B1" s="13"/>
      <c r="C1" s="13"/>
      <c r="D1" s="13"/>
      <c r="E1" s="13"/>
      <c r="F1" s="13"/>
      <c r="G1" s="13"/>
      <c r="H1" s="13"/>
      <c r="I1" s="13"/>
      <c r="J1" s="13"/>
      <c r="K1" s="13"/>
      <c r="L1" s="13"/>
      <c r="M1" s="13"/>
      <c r="N1" s="13"/>
      <c r="O1" s="13"/>
      <c r="P1" s="13"/>
      <c r="Q1" s="13"/>
      <c r="R1" s="13"/>
      <c r="S1" s="13"/>
      <c r="T1" s="13"/>
      <c r="U1" s="13"/>
      <c r="V1" s="13"/>
      <c r="W1" s="13"/>
      <c r="X1" s="13"/>
      <c r="Y1" s="13"/>
      <c r="Z1" s="13"/>
      <c r="AA1" s="13"/>
      <c r="AB1" s="13"/>
      <c r="AC1" s="13"/>
      <c r="AD1" s="13"/>
      <c r="AE1" s="13"/>
      <c r="AF1" s="13"/>
      <c r="AG1" s="13"/>
      <c r="AH1" s="13"/>
      <c r="AI1" s="13"/>
      <c r="AJ1" s="13"/>
      <c r="AK1" s="13"/>
      <c r="AL1" s="13"/>
      <c r="AM1" s="13"/>
      <c r="AN1" s="13"/>
      <c r="AO1" s="13"/>
      <c r="AP1" s="13"/>
      <c r="AQ1" s="13"/>
      <c r="AR1" s="24"/>
      <c r="AS1" s="13"/>
      <c r="AT1" s="13"/>
    </row>
    <row r="2" spans="1:48" s="10" customFormat="1" ht="10.15" customHeight="1" x14ac:dyDescent="0.25">
      <c r="B2" s="13"/>
      <c r="C2" s="13"/>
      <c r="D2" s="13"/>
      <c r="E2" s="13"/>
      <c r="F2" s="13"/>
      <c r="G2" s="13"/>
      <c r="H2" s="13"/>
      <c r="I2" s="13"/>
      <c r="J2" s="13"/>
      <c r="K2" s="13"/>
      <c r="L2" s="13"/>
      <c r="M2" s="13"/>
      <c r="N2" s="13"/>
      <c r="O2" s="13"/>
      <c r="P2" s="13"/>
      <c r="Q2" s="13"/>
      <c r="R2" s="13"/>
      <c r="S2" s="13"/>
      <c r="T2" s="13"/>
      <c r="U2" s="13"/>
      <c r="V2" s="13"/>
      <c r="W2" s="13"/>
      <c r="X2" s="13"/>
      <c r="Y2" s="13"/>
      <c r="Z2" s="13"/>
      <c r="AA2" s="13"/>
      <c r="AB2" s="13"/>
      <c r="AC2" s="13"/>
      <c r="AD2" s="13"/>
      <c r="AE2" s="13"/>
      <c r="AF2" s="13"/>
      <c r="AG2" s="13"/>
      <c r="AH2" s="13"/>
      <c r="AI2" s="13"/>
      <c r="AJ2" s="13"/>
      <c r="AK2" s="13"/>
      <c r="AL2" s="13"/>
      <c r="AM2" s="13"/>
      <c r="AN2" s="13"/>
      <c r="AO2" s="13"/>
      <c r="AP2" s="13"/>
      <c r="AQ2" s="13"/>
      <c r="AR2" s="24"/>
      <c r="AS2" s="13"/>
      <c r="AT2" s="13"/>
    </row>
    <row r="3" spans="1:48" s="731" customFormat="1" ht="24.95" customHeight="1" thickBot="1" x14ac:dyDescent="0.3">
      <c r="B3" s="662" t="s">
        <v>121</v>
      </c>
      <c r="C3" s="1323"/>
      <c r="D3" s="707"/>
      <c r="E3" s="707"/>
      <c r="F3" s="707"/>
      <c r="G3" s="707"/>
      <c r="H3" s="707"/>
      <c r="I3" s="707"/>
      <c r="J3" s="707"/>
      <c r="K3" s="707"/>
      <c r="L3" s="707"/>
      <c r="M3" s="707"/>
      <c r="N3" s="707"/>
      <c r="O3" s="707"/>
      <c r="P3" s="707"/>
      <c r="Q3" s="707"/>
      <c r="R3" s="707"/>
      <c r="S3" s="707"/>
      <c r="T3" s="707"/>
      <c r="U3" s="707"/>
      <c r="V3" s="707"/>
      <c r="W3" s="707"/>
      <c r="X3" s="707"/>
      <c r="Y3" s="707"/>
      <c r="Z3" s="707"/>
      <c r="AA3" s="707"/>
      <c r="AB3" s="707"/>
      <c r="AC3" s="707"/>
      <c r="AD3" s="707"/>
      <c r="AE3" s="707"/>
      <c r="AF3" s="707"/>
      <c r="AG3" s="707"/>
      <c r="AH3" s="707"/>
      <c r="AI3" s="707"/>
      <c r="AJ3" s="707"/>
      <c r="AK3" s="707"/>
      <c r="AL3" s="707"/>
      <c r="AM3" s="707"/>
      <c r="AN3" s="707"/>
      <c r="AO3" s="707"/>
      <c r="AP3" s="707"/>
      <c r="AQ3" s="707"/>
      <c r="AR3" s="1607"/>
      <c r="AS3" s="707"/>
      <c r="AT3" s="707"/>
    </row>
    <row r="4" spans="1:48" ht="15" customHeight="1" thickBot="1" x14ac:dyDescent="0.3">
      <c r="A4" s="18"/>
      <c r="B4" s="1324" t="s">
        <v>1252</v>
      </c>
      <c r="C4" s="105" t="s">
        <v>1373</v>
      </c>
      <c r="D4" s="15"/>
      <c r="F4" s="4349" t="s">
        <v>705</v>
      </c>
      <c r="G4" s="4350"/>
      <c r="H4" s="4349" t="s">
        <v>302</v>
      </c>
      <c r="I4" s="4350"/>
      <c r="J4" s="915" t="s">
        <v>211</v>
      </c>
      <c r="K4" s="917"/>
      <c r="L4" s="4349" t="s">
        <v>707</v>
      </c>
      <c r="M4" s="4357"/>
      <c r="N4" s="4357"/>
      <c r="O4" s="4357"/>
      <c r="P4" s="4357"/>
      <c r="Q4" s="4357"/>
      <c r="R4" s="4357"/>
      <c r="S4" s="4357"/>
      <c r="T4" s="4357"/>
      <c r="U4" s="4357"/>
      <c r="V4" s="4357"/>
      <c r="W4" s="4357"/>
      <c r="X4" s="4357"/>
      <c r="Y4" s="4357"/>
      <c r="Z4" s="4357"/>
      <c r="AA4" s="221"/>
      <c r="AB4" s="105" t="s">
        <v>1003</v>
      </c>
      <c r="AC4" s="105" t="s">
        <v>321</v>
      </c>
      <c r="AE4" s="4349" t="s">
        <v>1271</v>
      </c>
      <c r="AF4" s="4350"/>
      <c r="AH4" s="105" t="s">
        <v>1241</v>
      </c>
      <c r="AJ4" s="105" t="s">
        <v>1129</v>
      </c>
      <c r="AK4" s="53"/>
      <c r="AL4" s="105" t="s">
        <v>1562</v>
      </c>
      <c r="AM4" s="105" t="s">
        <v>1563</v>
      </c>
      <c r="AN4" s="105" t="s">
        <v>1564</v>
      </c>
      <c r="AP4" s="105" t="s">
        <v>1277</v>
      </c>
      <c r="AQ4" s="4349" t="s">
        <v>1544</v>
      </c>
      <c r="AR4" s="4357"/>
      <c r="AS4" s="4350"/>
      <c r="AU4" s="2896" t="s">
        <v>18506</v>
      </c>
      <c r="AV4" s="2899" t="s">
        <v>18515</v>
      </c>
    </row>
    <row r="5" spans="1:48" ht="15" customHeight="1" thickBot="1" x14ac:dyDescent="0.3">
      <c r="A5" s="18"/>
      <c r="B5" s="1325" t="b">
        <v>0</v>
      </c>
      <c r="C5" s="1326" t="s">
        <v>1063</v>
      </c>
      <c r="D5" s="34"/>
      <c r="F5" s="177">
        <v>1</v>
      </c>
      <c r="G5" s="418">
        <f>IF(Subject_Value1DOV="","N/A",Subject_Value1DOV)</f>
        <v>45473</v>
      </c>
      <c r="H5" s="177">
        <v>1</v>
      </c>
      <c r="I5" s="113" t="s">
        <v>141</v>
      </c>
      <c r="J5" s="918" t="s">
        <v>140</v>
      </c>
      <c r="K5" s="222">
        <v>1</v>
      </c>
      <c r="L5" s="200">
        <f>IF(DOV1_Selection=2,Subject_Value1DOV,"N/A")</f>
        <v>45473</v>
      </c>
      <c r="M5" s="220" t="str">
        <f>IF(DOV1_Selection=2,Subject_Value1Perspective,"N/A")</f>
        <v>Retrospective</v>
      </c>
      <c r="N5" s="220" t="str">
        <f>IF(DOV1_Selection=2,Subject_Value1Premise,"N/A")</f>
        <v>As Is</v>
      </c>
      <c r="O5" s="220" t="str">
        <f>IF(DOV1_Selection=2,Subject_Value1InterestAppraised,"N/A")</f>
        <v>Fee Simple</v>
      </c>
      <c r="P5" s="220" t="str">
        <f>IF(DOV1_Selection=2,Subject_Value1Type,"N/A")</f>
        <v>Market Value</v>
      </c>
      <c r="Q5" s="125">
        <f>IF(ISERR(LARGE($L$5:$L$7,1)),"N/A",LARGE($L$5:$L$7,1))</f>
        <v>45473</v>
      </c>
      <c r="R5" s="220" t="str">
        <f>VLOOKUP($Q5,$L$5:$P$7,2,FALSE)</f>
        <v>Retrospective</v>
      </c>
      <c r="S5" s="220" t="str">
        <f>VLOOKUP($Q5,$L$5:$P$7,3,FALSE)</f>
        <v>As Is</v>
      </c>
      <c r="T5" s="220" t="str">
        <f>VLOOKUP($Q5,$L$5:$P$7,4,FALSE)</f>
        <v>Fee Simple</v>
      </c>
      <c r="U5" s="220" t="str">
        <f>VLOOKUP($Q5,$L$5:$P$7,5,FALSE)</f>
        <v>Market Value</v>
      </c>
      <c r="V5" s="4358" t="str">
        <f>IF(dpSort_DOV_1="N/A","",IF(Sort_Perspective_1="Current",CONCATENATE(Sort_Premise_1," ",dpSort_Interest_1," ",Sort_Type_1," Indication"),IF(Sort_Premise_1="As Is",CONCATENATE(Sort_Perspective_1," ",dpSort_Interest_1," ",Sort_Type_1," Indication"),CONCATENATE(Sort_Perspective_1," ",Sort_Premise_1," ",dpSort_Interest_1," ",Sort_Type_1," Indication"))))</f>
        <v>Retrospective Fee Simple Market Value Indication</v>
      </c>
      <c r="W5" s="4358"/>
      <c r="X5" s="4358"/>
      <c r="Y5" s="4358"/>
      <c r="Z5" s="220">
        <v>2</v>
      </c>
      <c r="AA5" s="198">
        <f>IF(dpSort_DOV_1="N/A",0,1)</f>
        <v>1</v>
      </c>
      <c r="AB5" s="949" t="s">
        <v>417</v>
      </c>
      <c r="AC5" s="134" t="s">
        <v>322</v>
      </c>
      <c r="AE5" s="1102" t="s">
        <v>961</v>
      </c>
      <c r="AF5" s="1103" t="b">
        <v>1</v>
      </c>
      <c r="AH5" s="134">
        <v>0</v>
      </c>
      <c r="AJ5" s="134" t="s">
        <v>1245</v>
      </c>
      <c r="AL5" s="949" t="s">
        <v>141</v>
      </c>
      <c r="AM5" s="949" t="s">
        <v>141</v>
      </c>
      <c r="AN5" s="949" t="s">
        <v>141</v>
      </c>
      <c r="AP5" s="134" t="s">
        <v>1250</v>
      </c>
      <c r="AQ5" s="1666" t="s">
        <v>314</v>
      </c>
      <c r="AR5" s="1534" t="s">
        <v>316</v>
      </c>
      <c r="AS5" s="1660"/>
      <c r="AU5" s="2900" t="s">
        <v>18507</v>
      </c>
      <c r="AV5" s="2901" t="s">
        <v>18516</v>
      </c>
    </row>
    <row r="6" spans="1:48" ht="15" thickBot="1" x14ac:dyDescent="0.3">
      <c r="A6" s="18"/>
      <c r="B6" s="5"/>
      <c r="C6" s="1452" t="s">
        <v>45</v>
      </c>
      <c r="D6" s="34"/>
      <c r="F6" s="199">
        <f>F5+1</f>
        <v>2</v>
      </c>
      <c r="G6" s="418">
        <f>IF(Subject_Value2DOV="","N/A",Subject_Value2DOV)</f>
        <v>45473</v>
      </c>
      <c r="H6" s="199">
        <f>H5+1</f>
        <v>2</v>
      </c>
      <c r="I6" s="198" t="s">
        <v>169</v>
      </c>
      <c r="J6" s="918" t="s">
        <v>222</v>
      </c>
      <c r="K6" s="222">
        <f>K5+1</f>
        <v>2</v>
      </c>
      <c r="L6" s="200" t="str">
        <f>IF(DOV2_Selection=2,Subject_Value2DOV,"N/A")</f>
        <v>N/A</v>
      </c>
      <c r="M6" s="220" t="str">
        <f>IF(DOV2_Selection=2,Subject_Value2Perspective,"N/A")</f>
        <v>N/A</v>
      </c>
      <c r="N6" s="220" t="str">
        <f>IF(DOV2_Selection=2,Subject_Value2Premise,"N/A")</f>
        <v>N/A</v>
      </c>
      <c r="O6" s="220" t="str">
        <f>IF(DOV2_Selection=2,Subject_Value2InterestAppraised,"N/A")</f>
        <v>N/A</v>
      </c>
      <c r="P6" s="220" t="str">
        <f>IF(DOV2_Selection=2,Subject_Value2Type,"N/A")</f>
        <v>N/A</v>
      </c>
      <c r="Q6" s="125" t="str">
        <f>IF(ISERR(LARGE($L$5:$L$7,2)),"N/A",LARGE($L$5:$L$7,2))</f>
        <v>N/A</v>
      </c>
      <c r="R6" s="220" t="str">
        <f>IF($L$6=$L$5,IF($L$5=$L$6,VLOOKUP($Q6,$L$6:$P$7,2,FALSE),VLOOKUP($Q6,$L$7:$P$7,2,FALSE)),IF($L$6=$L$7,VLOOKUP($Q6,$L$5:$P$6,2,FALSE),VLOOKUP($Q6,$L$5:$P$7,2,FALSE)))</f>
        <v>N/A</v>
      </c>
      <c r="S6" s="220" t="str">
        <f>IF($L$6=$L$5,IF($L$5=$L$6,VLOOKUP($Q6,$L$6:$P$7,3,FALSE),VLOOKUP($Q6,$L$7:$P$7,3,FALSE)),IF($L$6=$L$7,VLOOKUP($Q6,$L$5:$P$6,3,FALSE),VLOOKUP($Q6,$L$5:$P$7,3,FALSE)))</f>
        <v>N/A</v>
      </c>
      <c r="T6" s="220" t="str">
        <f>IF($L$6=$L$5,IF($L$5=$L$6,VLOOKUP($Q6,$L$6:$P$7,4,FALSE),VLOOKUP($Q6,$L$7:$P$7,4,FALSE)),IF($L$6=$L$7,VLOOKUP($Q6,$L$5:$P$6,4,FALSE),VLOOKUP($Q6,$L$5:$P$7,4,FALSE)))</f>
        <v>N/A</v>
      </c>
      <c r="U6" s="220" t="str">
        <f>IF($L$6=$L$5,IF($L$5=$L$6,VLOOKUP($Q6,$L$6:$P$7,5,FALSE),VLOOKUP($Q6,$L$7:$P$7,5,FALSE)),IF($L$6=$L$7,VLOOKUP($Q6,$L$5:$P$6,5,FALSE),VLOOKUP($Q6,$L$5:$P$7,5,FALSE)))</f>
        <v>N/A</v>
      </c>
      <c r="V6" s="4358" t="str">
        <f>IF(dpSort_DOV_2="N/A","",IF(Sort_Perspective_2="Current",CONCATENATE(Sort_Premise_2," ",Sort_Interest_2," ",Sort_Type_2," Indication"),IF(Sort_Premise_2="As Is",CONCATENATE(Sort_Perspective_2," ",Sort_Interest_2," ",Sort_Type_2," Indication"),CONCATENATE(Sort_Perspective_2," ",Sort_Premise_2," ",Sort_Interest_2," ",Sort_Type_2," Indication"))))</f>
        <v/>
      </c>
      <c r="W6" s="4358"/>
      <c r="X6" s="4358"/>
      <c r="Y6" s="4358"/>
      <c r="Z6" s="220">
        <v>3</v>
      </c>
      <c r="AA6" s="198">
        <f>IF(dpSort_DOV_2="N/A",0,1)</f>
        <v>0</v>
      </c>
      <c r="AB6" s="950" t="s">
        <v>17901</v>
      </c>
      <c r="AC6" s="134" t="s">
        <v>290</v>
      </c>
      <c r="AE6" s="759" t="s">
        <v>1054</v>
      </c>
      <c r="AF6" s="198" t="b">
        <v>0</v>
      </c>
      <c r="AH6" s="134">
        <v>1</v>
      </c>
      <c r="AJ6" s="135" t="s">
        <v>1246</v>
      </c>
      <c r="AL6" s="949" t="s">
        <v>1290</v>
      </c>
      <c r="AM6" s="949" t="s">
        <v>1290</v>
      </c>
      <c r="AN6" s="949" t="s">
        <v>1290</v>
      </c>
      <c r="AP6" s="134" t="s">
        <v>1251</v>
      </c>
      <c r="AQ6" s="199">
        <v>1</v>
      </c>
      <c r="AR6" s="1608"/>
      <c r="AS6" s="1667"/>
      <c r="AU6" s="2900" t="s">
        <v>18508</v>
      </c>
      <c r="AV6" s="2901" t="s">
        <v>18517</v>
      </c>
    </row>
    <row r="7" spans="1:48" ht="15" thickBot="1" x14ac:dyDescent="0.3">
      <c r="A7" s="18"/>
      <c r="B7" s="34"/>
      <c r="C7" s="1327" t="s">
        <v>1483</v>
      </c>
      <c r="D7" s="34"/>
      <c r="F7" s="201">
        <f>F6+1</f>
        <v>3</v>
      </c>
      <c r="G7" s="418" t="str">
        <f>IF(Subject_Value3DOV="","N/A",Subject_Value3DOV)</f>
        <v>N/A</v>
      </c>
      <c r="H7" s="201">
        <f>H6+1</f>
        <v>3</v>
      </c>
      <c r="I7" s="197" t="s">
        <v>170</v>
      </c>
      <c r="J7" s="918" t="s">
        <v>160</v>
      </c>
      <c r="K7" s="222">
        <f>K6+1</f>
        <v>3</v>
      </c>
      <c r="L7" s="126" t="str">
        <f>IF(DOV3_Selection=2,Subject_Value3DOV,"N/A")</f>
        <v>N/A</v>
      </c>
      <c r="M7" s="420" t="str">
        <f>IF(DOV3_Selection=2,Subject_Value3Perspective,"N/A")</f>
        <v>N/A</v>
      </c>
      <c r="N7" s="420" t="str">
        <f>IF(DOV3_Selection=2,Subject_Value3Premise,"N/A")</f>
        <v>N/A</v>
      </c>
      <c r="O7" s="420" t="str">
        <f>IF(DOV3_Selection=2,Subject_Value3InterestAppraised,"N/A")</f>
        <v>N/A</v>
      </c>
      <c r="P7" s="420" t="str">
        <f>IF(DOV3_Selection=2,Subject_Value3Type,"N/A")</f>
        <v>N/A</v>
      </c>
      <c r="Q7" s="166" t="str">
        <f>IF(ISERR(LARGE($L$5:$L$7,3)),"N/A",LARGE($L$5:$L$7,3))</f>
        <v>N/A</v>
      </c>
      <c r="R7" s="420" t="str">
        <f>IF($L$7=$L$6,VLOOKUP($Q7,$L$7:$P$7,2,FALSE),IF($L$7=$L$5,VLOOKUP($Q7,$L$6:$P$7,2,FALSE),VLOOKUP($Q7,$L$5:$P$7,2,FALSE)))</f>
        <v>N/A</v>
      </c>
      <c r="S7" s="420" t="str">
        <f>IF($L$7=$L$6,VLOOKUP($Q7,$L$7:$P$7,3,FALSE),IF($L$7=$L$5,VLOOKUP($Q7,$L$6:$P$7,3,FALSE),VLOOKUP($Q7,$L$5:$P$7,3,FALSE)))</f>
        <v>N/A</v>
      </c>
      <c r="T7" s="420" t="str">
        <f>IF($L$7=$L$6,VLOOKUP($Q7,$L$7:$P$7,4,FALSE),IF($L$7=$L$5,VLOOKUP($Q7,$L$6:$P$7,4,FALSE),VLOOKUP($Q7,$L$5:$P$7,4,FALSE)))</f>
        <v>N/A</v>
      </c>
      <c r="U7" s="420" t="str">
        <f>IF($L$7=$L$6,VLOOKUP($Q7,$L$7:$P$7,5,FALSE),IF($L$7=$L$5,VLOOKUP($Q7,$L$6:$P$7,5,FALSE),VLOOKUP($Q7,$L$5:$P$7,5,FALSE)))</f>
        <v>N/A</v>
      </c>
      <c r="V7" s="4351" t="str">
        <f>IF(dpSort_DOV_3="N/A","",IF(Sort_Perspective_3="Current",CONCATENATE(Sort_Premise_3," ",Sort_Interest_3," ",Sort_Type_3," Indication"),IF(Sort_Premise_3="As Is",CONCATENATE(Sort_Perspective_3," ",Sort_Interest_3," ",Sort_Type_3," Indication"),CONCATENATE(Sort_Perspective_3," ",Sort_Premise_3," ",Sort_Interest_3," ",Sort_Type_3," Indication"))))</f>
        <v/>
      </c>
      <c r="W7" s="4351"/>
      <c r="X7" s="4351"/>
      <c r="Y7" s="4351"/>
      <c r="Z7" s="220">
        <v>3</v>
      </c>
      <c r="AA7" s="1087">
        <f>IF(dpSort_DOV_3="N/A",0,1)</f>
        <v>0</v>
      </c>
      <c r="AB7" s="949" t="s">
        <v>1265</v>
      </c>
      <c r="AC7" s="134" t="s">
        <v>323</v>
      </c>
      <c r="AE7" s="1364" t="s">
        <v>1565</v>
      </c>
      <c r="AF7" s="198" t="b">
        <v>1</v>
      </c>
      <c r="AH7" s="134">
        <v>2</v>
      </c>
      <c r="AJ7" s="105" t="s">
        <v>1272</v>
      </c>
      <c r="AK7" s="53"/>
      <c r="AL7" s="949" t="s">
        <v>836</v>
      </c>
      <c r="AM7" s="949" t="s">
        <v>836</v>
      </c>
      <c r="AN7" s="949" t="s">
        <v>836</v>
      </c>
      <c r="AP7" s="134" t="s">
        <v>1266</v>
      </c>
      <c r="AQ7" s="1668">
        <v>2</v>
      </c>
      <c r="AR7" s="1608"/>
      <c r="AS7" s="1667"/>
      <c r="AU7" s="2900" t="s">
        <v>18509</v>
      </c>
      <c r="AV7" s="2901" t="s">
        <v>18518</v>
      </c>
    </row>
    <row r="8" spans="1:48" ht="15.75" customHeight="1" thickBot="1" x14ac:dyDescent="0.3">
      <c r="A8" s="18"/>
      <c r="B8" s="34"/>
      <c r="C8" s="34"/>
      <c r="D8" s="34"/>
      <c r="F8" s="4349" t="s">
        <v>297</v>
      </c>
      <c r="G8" s="4350"/>
      <c r="H8" s="4349" t="s">
        <v>157</v>
      </c>
      <c r="I8" s="4350"/>
      <c r="J8" s="918" t="s">
        <v>1064</v>
      </c>
      <c r="K8" s="222">
        <f>K7+1</f>
        <v>4</v>
      </c>
      <c r="L8" s="4349" t="s">
        <v>708</v>
      </c>
      <c r="M8" s="4357"/>
      <c r="N8" s="4357"/>
      <c r="O8" s="4357"/>
      <c r="P8" s="4357"/>
      <c r="Q8" s="4357"/>
      <c r="R8" s="4357"/>
      <c r="S8" s="4357"/>
      <c r="T8" s="4357"/>
      <c r="U8" s="4357"/>
      <c r="V8" s="4357"/>
      <c r="W8" s="4357"/>
      <c r="X8" s="4357"/>
      <c r="Y8" s="4357"/>
      <c r="Z8" s="4357"/>
      <c r="AA8" s="135">
        <f>SUM(AA5:AA7)</f>
        <v>1</v>
      </c>
      <c r="AB8" s="1524" t="s">
        <v>18667</v>
      </c>
      <c r="AC8" s="134" t="s">
        <v>324</v>
      </c>
      <c r="AE8" s="1364" t="s">
        <v>18663</v>
      </c>
      <c r="AF8" s="198" t="b">
        <v>0</v>
      </c>
      <c r="AH8" s="134">
        <v>3</v>
      </c>
      <c r="AJ8" s="134" t="s">
        <v>255</v>
      </c>
      <c r="AL8" s="1527" t="s">
        <v>1561</v>
      </c>
      <c r="AM8" s="1733" t="s">
        <v>1559</v>
      </c>
      <c r="AN8" s="1734" t="s">
        <v>1560</v>
      </c>
      <c r="AP8" s="134" t="s">
        <v>1062</v>
      </c>
      <c r="AQ8" s="1668">
        <f t="shared" ref="AQ8:AQ13" si="0">AQ7+1</f>
        <v>3</v>
      </c>
      <c r="AR8" s="226"/>
      <c r="AS8" s="198"/>
      <c r="AU8" s="2900" t="s">
        <v>18510</v>
      </c>
      <c r="AV8" s="2901" t="s">
        <v>18519</v>
      </c>
    </row>
    <row r="9" spans="1:48" ht="15" thickBot="1" x14ac:dyDescent="0.3">
      <c r="D9" s="221" t="s">
        <v>39</v>
      </c>
      <c r="F9" s="177">
        <v>1</v>
      </c>
      <c r="G9" s="253">
        <f>dpSort_DOV_1</f>
        <v>45473</v>
      </c>
      <c r="H9" s="49">
        <v>1</v>
      </c>
      <c r="I9" s="50" t="str">
        <f>VLOOKUP(H9,$H$5:$I$7,2)</f>
        <v>Percent</v>
      </c>
      <c r="J9" s="918" t="s">
        <v>223</v>
      </c>
      <c r="K9" s="222">
        <f>K8+1</f>
        <v>5</v>
      </c>
      <c r="L9" s="200">
        <f>IF(DOV1_Selection=3,"N/A",Subject_Value1DOV)</f>
        <v>45473</v>
      </c>
      <c r="M9" s="220" t="str">
        <f>IF(Subject_Value1Perspective="","N/A",Subject_Value1Perspective)</f>
        <v>Retrospective</v>
      </c>
      <c r="N9" s="220" t="str">
        <f>IF(Subject_Value1Premise="","N/A",Subject_Value1Premise)</f>
        <v>As Is</v>
      </c>
      <c r="O9" s="220" t="str">
        <f>IF(Subject_Value1InterestAppraised="","N/A",Subject_Value1InterestAppraised)</f>
        <v>Fee Simple</v>
      </c>
      <c r="P9" s="421" t="str">
        <f>IF(Subject_Value1Type="","N/A",Subject_Value1Type)</f>
        <v>Market Value</v>
      </c>
      <c r="Q9" s="125">
        <f>IF(ISERR(LARGE($L$9:$L$11,1)),"N/A",LARGE($L$9:$L$11,1))</f>
        <v>45473</v>
      </c>
      <c r="R9" s="220" t="str">
        <f>VLOOKUP($Q9,$L$9:$P$11,2,FALSE)</f>
        <v>Retrospective</v>
      </c>
      <c r="S9" s="220" t="str">
        <f>VLOOKUP($Q9,$L$9:$P$11,3,FALSE)</f>
        <v>As Is</v>
      </c>
      <c r="T9" s="220" t="str">
        <f>VLOOKUP($Q9,$L$9:$P$11,4,FALSE)</f>
        <v>Fee Simple</v>
      </c>
      <c r="U9" s="220" t="str">
        <f>VLOOKUP($Q9,$L$9:$P$11,5,FALSE)</f>
        <v>Market Value</v>
      </c>
      <c r="V9" s="4358" t="str">
        <f>IF(Salient_Sort_DOV_1="N/A","",IF(Salient_Sort_Perspective_1="Current",CONCATENATE(Salient_Sort_Premise_1," ",Salient_Sort_Interest_1," ",Salient_Sort_Type_1," Indication"),IF(Salient_Sort_Premise_1="As Is",CONCATENATE(Salient_Sort_Perspective_1," ",Salient_Sort_Interest_1," ",Salient_Sort_Type_1," Indication"),CONCATENATE(Salient_Sort_Perspective_1," ",Salient_Sort_Premise_1," ",Salient_Sort_Interest_1," ",Salient_Sort_Type_1," Indication"))))</f>
        <v>Retrospective Fee Simple Market Value Indication</v>
      </c>
      <c r="W9" s="4358"/>
      <c r="X9" s="4358"/>
      <c r="Y9" s="4358"/>
      <c r="Z9" s="220"/>
      <c r="AA9" s="198">
        <f>IF(Salient_Sort_DOV_1="N/A",0,1)</f>
        <v>1</v>
      </c>
      <c r="AB9" s="951" t="s">
        <v>1266</v>
      </c>
      <c r="AC9" s="134" t="s">
        <v>289</v>
      </c>
      <c r="AE9" s="759" t="s">
        <v>1239</v>
      </c>
      <c r="AF9" s="198" t="b">
        <v>0</v>
      </c>
      <c r="AH9" s="135">
        <v>4</v>
      </c>
      <c r="AJ9" s="134" t="s">
        <v>256</v>
      </c>
      <c r="AL9" s="1528" t="s">
        <v>523</v>
      </c>
      <c r="AM9" s="1735" t="s">
        <v>523</v>
      </c>
      <c r="AN9" s="1736" t="s">
        <v>523</v>
      </c>
      <c r="AP9" s="105" t="s">
        <v>1278</v>
      </c>
      <c r="AQ9" s="1668">
        <f t="shared" si="0"/>
        <v>4</v>
      </c>
      <c r="AR9" s="226"/>
      <c r="AS9" s="198"/>
      <c r="AU9" s="2900" t="s">
        <v>18511</v>
      </c>
      <c r="AV9" s="2901" t="s">
        <v>18520</v>
      </c>
    </row>
    <row r="10" spans="1:48" ht="15.75" customHeight="1" thickBot="1" x14ac:dyDescent="0.3">
      <c r="B10" s="4359" t="s">
        <v>168</v>
      </c>
      <c r="C10" s="4360"/>
      <c r="D10" s="981">
        <v>1</v>
      </c>
      <c r="F10" s="199">
        <f>F9+1</f>
        <v>2</v>
      </c>
      <c r="G10" s="253" t="str">
        <f>dpSort_DOV_2</f>
        <v>N/A</v>
      </c>
      <c r="H10" s="4349" t="s">
        <v>521</v>
      </c>
      <c r="I10" s="4350"/>
      <c r="J10" s="919" t="s">
        <v>224</v>
      </c>
      <c r="K10" s="205">
        <f>K9+1</f>
        <v>6</v>
      </c>
      <c r="L10" s="200" t="str">
        <f>IF(DOV2_Selection=3,"N/A",Subject_Value2DOV)</f>
        <v>N/A</v>
      </c>
      <c r="M10" s="220" t="str">
        <f>IF(Subject_Value2Perspective="","N/A",Subject_Value2Perspective)</f>
        <v>N/A</v>
      </c>
      <c r="N10" s="220" t="str">
        <f>IF(Subject_Value2Premise="","N/A",Subject_Value2Premise)</f>
        <v>N/A</v>
      </c>
      <c r="O10" s="220" t="str">
        <f>IF(Subject_Value2InterestAppraised="","N/A",Subject_Value2InterestAppraised)</f>
        <v>N/A</v>
      </c>
      <c r="P10" s="421" t="str">
        <f>IF(Subject_Value2Type="","N/A",Subject_Value2Type)</f>
        <v>N/A</v>
      </c>
      <c r="Q10" s="125" t="str">
        <f>IF(ISERR(LARGE($L$9:$L$11,2)),"N/A",LARGE($L$9:$L$11,2))</f>
        <v>N/A</v>
      </c>
      <c r="R10" s="220" t="str">
        <f>IF($L$10=$L$9,IF($L$9=$L$10,VLOOKUP($Q10,$L$10:$P$11,2,FALSE),VLOOKUP($Q10,$L$11:$P$11,2,FALSE)),IF($L$10=$L$11,VLOOKUP($Q10,$L$9:$P$10,2,FALSE),VLOOKUP($Q10,$L$9:$P$11,2,FALSE)))</f>
        <v>N/A</v>
      </c>
      <c r="S10" s="220" t="str">
        <f>IF($L$10=$L$9,IF($L$9=$L$10,VLOOKUP($Q10,$L$10:$P$11,3,FALSE),VLOOKUP($Q10,$L$11:$P$11,3,FALSE)),IF($L$10=$L$11,VLOOKUP($Q10,$L$9:$P$10,3,FALSE),VLOOKUP($Q10,$L$9:$P$11,3,FALSE)))</f>
        <v>N/A</v>
      </c>
      <c r="T10" s="220" t="str">
        <f>IF($L$10=$L$9,IF($L$9=$L$10,VLOOKUP($Q10,$L$10:$P$11,4,FALSE),VLOOKUP($Q10,$L$11:$P$11,4,FALSE)),IF($L$10=$L$11,VLOOKUP($Q10,$L$9:$P$10,4,FALSE),VLOOKUP($Q10,$L$9:$P$11,4,FALSE)))</f>
        <v>N/A</v>
      </c>
      <c r="U10" s="220" t="str">
        <f>IF($L$10=$L$9,IF($L$9=$L$10,VLOOKUP($Q10,$L$10:$P$11,5,FALSE),VLOOKUP($Q10,$L$11:$P$11,5,FALSE)),IF($L$10=$L$11,VLOOKUP($Q10,$L$9:$P$10,5,FALSE),VLOOKUP($Q10,$L$9:$P$11,5,FALSE)))</f>
        <v>N/A</v>
      </c>
      <c r="V10" s="4358" t="str">
        <f>IF(Salient_Sort_DOV_2="N/A","",IF(Salient_Sort_Perspective_2="Current",CONCATENATE(Salient_Sort_Premise_2," ",Salient_Sort_Interest_2," ",Salient_Sort_Type_2," Indication"),IF(Salient_Sort_Premise_2="As Is",CONCATENATE(Salient_Sort_Perspective_2," ",Salient_Sort_Interest_2," ",Salient_Sort_Type_2," Indication"),CONCATENATE(Salient_Sort_Perspective_2," ",Salient_Sort_Premise_2," ",Salient_Sort_Interest_2," ",Salient_Sort_Type_2," Indication"))))</f>
        <v/>
      </c>
      <c r="W10" s="4358"/>
      <c r="X10" s="4358"/>
      <c r="Y10" s="4358"/>
      <c r="Z10" s="220"/>
      <c r="AA10" s="198">
        <f>IF(Salient_Sort_DOV_2="N/A",0,1)</f>
        <v>0</v>
      </c>
      <c r="AB10" s="1301" t="s">
        <v>1358</v>
      </c>
      <c r="AC10" s="134" t="s">
        <v>325</v>
      </c>
      <c r="AE10" s="918" t="s">
        <v>699</v>
      </c>
      <c r="AF10" s="222" t="b">
        <v>1</v>
      </c>
      <c r="AH10" s="1680" t="s">
        <v>18804</v>
      </c>
      <c r="AJ10" s="135" t="s">
        <v>3</v>
      </c>
      <c r="AL10" s="1528" t="s">
        <v>441</v>
      </c>
      <c r="AM10" s="1735" t="s">
        <v>441</v>
      </c>
      <c r="AN10" s="1736" t="s">
        <v>441</v>
      </c>
      <c r="AP10" s="134" t="str">
        <f ca="1">IF(Datappraise_RentRoll_TenantCount&gt;20,"Limited to 20 Tenants - Choose Other","Tenants - Contract Rent")</f>
        <v>Tenants - Contract Rent</v>
      </c>
      <c r="AQ10" s="1668">
        <f t="shared" si="0"/>
        <v>5</v>
      </c>
      <c r="AR10" s="226"/>
      <c r="AS10" s="198"/>
      <c r="AU10" s="2900" t="s">
        <v>18512</v>
      </c>
      <c r="AV10" s="2901" t="s">
        <v>18521</v>
      </c>
    </row>
    <row r="11" spans="1:48" ht="15" thickBot="1" x14ac:dyDescent="0.3">
      <c r="B11" s="49">
        <v>1</v>
      </c>
      <c r="C11" s="704" t="str">
        <f>VLOOKUP(B11,B12:C17,2)</f>
        <v>Usable Acres</v>
      </c>
      <c r="D11" s="678">
        <v>9</v>
      </c>
      <c r="F11" s="201">
        <f>F10+1</f>
        <v>3</v>
      </c>
      <c r="G11" s="104" t="str">
        <f>dpSort_DOV_3</f>
        <v>N/A</v>
      </c>
      <c r="H11" s="49">
        <v>1</v>
      </c>
      <c r="I11" s="50" t="str">
        <f>VLOOKUP(H11,$H$5:$I$7,2)</f>
        <v>Percent</v>
      </c>
      <c r="L11" s="126" t="str">
        <f>IF(DOV3_Selection=3,"N/A",Subject_Value3DOV)</f>
        <v>N/A</v>
      </c>
      <c r="M11" s="420" t="str">
        <f>IF(Subject_Value3Perspective="","N/A",Subject_Value3Perspective)</f>
        <v>N/A</v>
      </c>
      <c r="N11" s="420" t="str">
        <f>IF(Subject_Value3Premise="","N/A",Subject_Value3Premise)</f>
        <v>N/A</v>
      </c>
      <c r="O11" s="420" t="str">
        <f>IF(Subject_Value3InterestAppraised="","N/A",Subject_Value3InterestAppraised)</f>
        <v>N/A</v>
      </c>
      <c r="P11" s="422" t="str">
        <f>IF(Subject_Value3Type="","N/A",Subject_Value3Type)</f>
        <v>N/A</v>
      </c>
      <c r="Q11" s="166" t="str">
        <f>IF(ISERR(LARGE($L$9:$L$11,3)),"N/A",LARGE($L$9:$L$11,3))</f>
        <v>N/A</v>
      </c>
      <c r="R11" s="420" t="str">
        <f>IF($L$11=$L$10,VLOOKUP($Q11,$L$11:$P$11,2,FALSE),IF($L$11=$L$9,VLOOKUP($Q11,$L$10:$P$11,2,FALSE),VLOOKUP($Q11,$L$9:$P$11,2,FALSE)))</f>
        <v>N/A</v>
      </c>
      <c r="S11" s="420" t="str">
        <f>IF($L$11=$L$10,VLOOKUP($Q11,$L$11:$P$11,3,FALSE),IF($L$11=$L$9,VLOOKUP($Q11,$L$10:$P$11,3,FALSE),VLOOKUP($Q11,$L$9:$P$11,3,FALSE)))</f>
        <v>N/A</v>
      </c>
      <c r="T11" s="420" t="str">
        <f>IF($L$11=$L$10,VLOOKUP($Q11,$L$11:$P$11,4,FALSE),IF($L$11=$L$9,VLOOKUP($Q11,$L$10:$P$11,4,FALSE),VLOOKUP($Q11,$L$9:$P$11,4,FALSE)))</f>
        <v>N/A</v>
      </c>
      <c r="U11" s="420" t="str">
        <f>IF($L$11=$L$10,VLOOKUP($Q11,$L$11:$P$11,5,FALSE),IF($L$11=$L$9,VLOOKUP($Q11,$L$10:$P$11,5,FALSE),VLOOKUP($Q11,$L$9:$P$11,5,FALSE)))</f>
        <v>N/A</v>
      </c>
      <c r="V11" s="4351" t="str">
        <f>IF(Salient_Sort_DOV_3="N/A","",IF(Salient_Sort_Perspective_3="Current",CONCATENATE(Salient_Sort_Premise_3," ",Salient_Sort_Interest_3," ",Salient_Sort_Type_3," Indication"),IF(Salient_Sort_Premise_3="As Is",CONCATENATE(Salient_Sort_Perspective_3," ",Salient_Sort_Interest_3," ",Salient_Sort_Type_3," Indication"),CONCATENATE(Salient_Sort_Perspective_3," ",Salient_Sort_Premise_3," ",Salient_Sort_Interest_3," ",Salient_Sort_Type_3," Indication"))))</f>
        <v/>
      </c>
      <c r="W11" s="4351"/>
      <c r="X11" s="4351"/>
      <c r="Y11" s="4351"/>
      <c r="Z11" s="220"/>
      <c r="AA11" s="1087">
        <f>IF(Salient_Sort_DOV_3="N/A",0,1)</f>
        <v>0</v>
      </c>
      <c r="AC11" s="134" t="s">
        <v>326</v>
      </c>
      <c r="AE11" s="918" t="s">
        <v>114</v>
      </c>
      <c r="AF11" s="222" t="b">
        <v>1</v>
      </c>
      <c r="AH11" s="1681" t="s">
        <v>18805</v>
      </c>
      <c r="AJ11" s="105" t="s">
        <v>1211</v>
      </c>
      <c r="AK11" s="53"/>
      <c r="AL11" s="1528" t="s">
        <v>141</v>
      </c>
      <c r="AM11" s="1735" t="s">
        <v>141</v>
      </c>
      <c r="AN11" s="1736" t="s">
        <v>141</v>
      </c>
      <c r="AP11" s="134" t="str">
        <f ca="1">IF(Datappraise_RentRoll_TenantCount&gt;20,"Limited to 20 Tenants - Choose Other","Tenants - Market Rent")</f>
        <v>Tenants - Market Rent</v>
      </c>
      <c r="AQ11" s="1668">
        <f t="shared" si="0"/>
        <v>6</v>
      </c>
      <c r="AR11" s="226"/>
      <c r="AS11" s="198"/>
      <c r="AU11" s="2900" t="s">
        <v>18513</v>
      </c>
      <c r="AV11" s="2901" t="s">
        <v>18522</v>
      </c>
    </row>
    <row r="12" spans="1:48" ht="15.75" customHeight="1" thickBot="1" x14ac:dyDescent="0.3">
      <c r="B12" s="199">
        <v>1</v>
      </c>
      <c r="C12" s="703" t="s">
        <v>836</v>
      </c>
      <c r="D12" s="106">
        <v>1.2</v>
      </c>
      <c r="H12" s="4349" t="s">
        <v>301</v>
      </c>
      <c r="I12" s="4350"/>
      <c r="J12" s="105" t="s">
        <v>1224</v>
      </c>
      <c r="K12" s="105" t="s">
        <v>18555</v>
      </c>
      <c r="L12" s="20"/>
      <c r="Z12" s="202"/>
      <c r="AA12" s="135">
        <f>SUM(AA9:AA11)</f>
        <v>1</v>
      </c>
      <c r="AB12" s="105" t="s">
        <v>411</v>
      </c>
      <c r="AC12" s="1300" t="s">
        <v>1415</v>
      </c>
      <c r="AE12" s="918" t="s">
        <v>820</v>
      </c>
      <c r="AF12" s="222" t="b">
        <v>1</v>
      </c>
      <c r="AH12" s="134" t="s">
        <v>407</v>
      </c>
      <c r="AJ12" s="134" t="s">
        <v>1247</v>
      </c>
      <c r="AL12" s="1527" t="s">
        <v>1526</v>
      </c>
      <c r="AM12" s="1733" t="s">
        <v>1527</v>
      </c>
      <c r="AN12" s="1734" t="s">
        <v>1528</v>
      </c>
      <c r="AP12" s="1300" t="s">
        <v>18666</v>
      </c>
      <c r="AQ12" s="1668">
        <f t="shared" si="0"/>
        <v>7</v>
      </c>
      <c r="AR12" s="226"/>
      <c r="AS12" s="198"/>
      <c r="AU12" s="2902" t="s">
        <v>18514</v>
      </c>
      <c r="AV12" s="2903" t="s">
        <v>18523</v>
      </c>
    </row>
    <row r="13" spans="1:48" ht="15.75" customHeight="1" thickBot="1" x14ac:dyDescent="0.3">
      <c r="B13" s="199">
        <f t="shared" ref="B13:B19" si="1">B12+1</f>
        <v>2</v>
      </c>
      <c r="C13" s="127" t="s">
        <v>834</v>
      </c>
      <c r="D13" s="106">
        <f t="shared" ref="D13:D20" si="2">D12-0.05</f>
        <v>1.1499999999999999</v>
      </c>
      <c r="F13" s="954" t="s">
        <v>1229</v>
      </c>
      <c r="G13" s="105" t="s">
        <v>528</v>
      </c>
      <c r="H13" s="201">
        <v>1</v>
      </c>
      <c r="I13" s="122" t="str">
        <f>VLOOKUP(H13,$H$5:$I$7,2)</f>
        <v>Percent</v>
      </c>
      <c r="J13" s="134" t="s">
        <v>1495</v>
      </c>
      <c r="K13" s="134" t="s">
        <v>18551</v>
      </c>
      <c r="L13" s="4349" t="s">
        <v>261</v>
      </c>
      <c r="M13" s="4357"/>
      <c r="N13" s="4357"/>
      <c r="O13" s="4357"/>
      <c r="P13" s="4350"/>
      <c r="Q13" s="4349" t="s">
        <v>263</v>
      </c>
      <c r="R13" s="4357"/>
      <c r="S13" s="4350"/>
      <c r="T13" s="4349" t="s">
        <v>257</v>
      </c>
      <c r="U13" s="4350"/>
      <c r="V13" s="4349" t="s">
        <v>460</v>
      </c>
      <c r="W13" s="4357"/>
      <c r="X13" s="4350"/>
      <c r="Y13" s="105" t="s">
        <v>484</v>
      </c>
      <c r="AA13" s="257"/>
      <c r="AB13" s="263">
        <f>dpSort_DOV_1</f>
        <v>45473</v>
      </c>
      <c r="AC13" s="134" t="s">
        <v>327</v>
      </c>
      <c r="AE13" s="1083" t="s">
        <v>1738</v>
      </c>
      <c r="AF13" s="222" t="b">
        <v>1</v>
      </c>
      <c r="AH13" s="134" t="s">
        <v>18805</v>
      </c>
      <c r="AJ13" s="134" t="s">
        <v>1248</v>
      </c>
      <c r="AL13" s="1654"/>
      <c r="AM13" s="1654"/>
      <c r="AN13" s="1654"/>
      <c r="AP13" s="134" t="s">
        <v>18667</v>
      </c>
      <c r="AQ13" s="1669">
        <f t="shared" si="0"/>
        <v>8</v>
      </c>
      <c r="AR13" s="227"/>
      <c r="AS13" s="197"/>
    </row>
    <row r="14" spans="1:48" ht="15" customHeight="1" thickBot="1" x14ac:dyDescent="0.3">
      <c r="B14" s="199">
        <f t="shared" si="1"/>
        <v>3</v>
      </c>
      <c r="C14" s="381" t="s">
        <v>837</v>
      </c>
      <c r="D14" s="106">
        <f t="shared" si="2"/>
        <v>1.0999999999999999</v>
      </c>
      <c r="F14" s="955" t="s">
        <v>1230</v>
      </c>
      <c r="G14" s="326" t="s">
        <v>298</v>
      </c>
      <c r="J14" s="1081" t="s">
        <v>1507</v>
      </c>
      <c r="K14" s="1081" t="s">
        <v>18554</v>
      </c>
      <c r="L14" s="199"/>
      <c r="M14" s="220" t="s">
        <v>961</v>
      </c>
      <c r="N14" s="220" t="s">
        <v>262</v>
      </c>
      <c r="O14" s="220">
        <f>dpValue_UserDef1Adjustment_Name</f>
        <v>0</v>
      </c>
      <c r="P14" s="198">
        <f>dpValue_UserDef2Adjustment_Name</f>
        <v>0</v>
      </c>
      <c r="Q14" s="759" t="str">
        <f>CONCATENATE("Preliminary ",Sort_Perspective_1," ",Sort_Premise_1)</f>
        <v>Preliminary Retrospective As Is</v>
      </c>
      <c r="R14" s="90"/>
      <c r="S14" s="198">
        <v>1</v>
      </c>
      <c r="T14" s="226" t="s">
        <v>255</v>
      </c>
      <c r="U14" s="198">
        <v>1</v>
      </c>
      <c r="V14" s="236" t="s">
        <v>430</v>
      </c>
      <c r="W14" s="137"/>
      <c r="X14" s="222">
        <v>1</v>
      </c>
      <c r="Y14" s="265">
        <v>8</v>
      </c>
      <c r="AB14" s="263" t="str">
        <f>dpSort_DOV_2</f>
        <v>N/A</v>
      </c>
      <c r="AC14" s="135" t="s">
        <v>328</v>
      </c>
      <c r="AE14" s="918" t="s">
        <v>1240</v>
      </c>
      <c r="AF14" s="222">
        <v>4</v>
      </c>
      <c r="AH14" s="135" t="s">
        <v>18806</v>
      </c>
      <c r="AJ14" s="135" t="s">
        <v>1212</v>
      </c>
      <c r="AL14" s="1655" t="s">
        <v>141</v>
      </c>
      <c r="AM14" s="1655" t="s">
        <v>141</v>
      </c>
      <c r="AN14" s="1655" t="s">
        <v>141</v>
      </c>
      <c r="AP14" s="105" t="s">
        <v>1357</v>
      </c>
      <c r="AQ14" s="176"/>
    </row>
    <row r="15" spans="1:48" ht="15.75" customHeight="1" thickBot="1" x14ac:dyDescent="0.3">
      <c r="B15" s="199">
        <f t="shared" si="1"/>
        <v>4</v>
      </c>
      <c r="C15" s="381" t="s">
        <v>835</v>
      </c>
      <c r="D15" s="106">
        <f t="shared" si="2"/>
        <v>1.0499999999999998</v>
      </c>
      <c r="F15" s="105" t="s">
        <v>996</v>
      </c>
      <c r="G15" s="197" t="s">
        <v>529</v>
      </c>
      <c r="H15" s="915" t="s">
        <v>17939</v>
      </c>
      <c r="I15" s="916"/>
      <c r="J15" s="917"/>
      <c r="L15" s="199" t="s">
        <v>240</v>
      </c>
      <c r="M15" s="220" t="b">
        <v>0</v>
      </c>
      <c r="N15" s="220" t="b">
        <v>0</v>
      </c>
      <c r="O15" s="220" t="b">
        <v>0</v>
      </c>
      <c r="P15" s="198" t="b">
        <v>0</v>
      </c>
      <c r="Q15" s="759" t="str">
        <f>CONCATENATE(Sort_Perspective_1," ",Sort_Premise_1)</f>
        <v>Retrospective As Is</v>
      </c>
      <c r="R15" s="90"/>
      <c r="S15" s="198">
        <f>S14+1</f>
        <v>2</v>
      </c>
      <c r="T15" s="226" t="s">
        <v>256</v>
      </c>
      <c r="U15" s="198">
        <f>U14+1</f>
        <v>2</v>
      </c>
      <c r="V15" s="226" t="s">
        <v>1000</v>
      </c>
      <c r="W15" s="220"/>
      <c r="X15" s="220">
        <v>1</v>
      </c>
      <c r="Y15" s="265">
        <f>Y14+1</f>
        <v>9</v>
      </c>
      <c r="AB15" s="264" t="str">
        <f>dpSort_DOV_3</f>
        <v>N/A</v>
      </c>
      <c r="AE15" s="918" t="s">
        <v>414</v>
      </c>
      <c r="AF15" s="222" t="b">
        <v>1</v>
      </c>
      <c r="AH15" s="1680" t="s">
        <v>1578</v>
      </c>
      <c r="AJ15" s="105" t="s">
        <v>1273</v>
      </c>
      <c r="AK15" s="53"/>
      <c r="AL15" s="949" t="s">
        <v>298</v>
      </c>
      <c r="AM15" s="949" t="s">
        <v>298</v>
      </c>
      <c r="AN15" s="949" t="s">
        <v>298</v>
      </c>
      <c r="AP15" s="1300" t="s">
        <v>1358</v>
      </c>
    </row>
    <row r="16" spans="1:48" ht="15" thickBot="1" x14ac:dyDescent="0.3">
      <c r="B16" s="199">
        <f t="shared" si="1"/>
        <v>5</v>
      </c>
      <c r="C16" s="381" t="s">
        <v>846</v>
      </c>
      <c r="D16" s="106">
        <f t="shared" si="2"/>
        <v>0.99999999999999978</v>
      </c>
      <c r="F16" s="1658" t="s">
        <v>1437</v>
      </c>
      <c r="H16" s="4355">
        <f>VLOOKUP(CostComps,H17:J18,3,FALSE)</f>
        <v>2</v>
      </c>
      <c r="I16" s="4356"/>
      <c r="J16" s="198" t="s">
        <v>83</v>
      </c>
      <c r="L16" s="199" t="s">
        <v>260</v>
      </c>
      <c r="M16" s="220" t="b">
        <v>0</v>
      </c>
      <c r="N16" s="220" t="b">
        <v>0</v>
      </c>
      <c r="O16" s="220" t="b">
        <v>0</v>
      </c>
      <c r="P16" s="198" t="b">
        <v>0</v>
      </c>
      <c r="Q16" s="759" t="str">
        <f>CONCATENATE(Sort_Perspective_2," ",Sort_Premise_2)</f>
        <v>N/A N/A</v>
      </c>
      <c r="R16" s="90"/>
      <c r="S16" s="198">
        <f>S15+1</f>
        <v>3</v>
      </c>
      <c r="T16" s="252" t="s">
        <v>3</v>
      </c>
      <c r="U16" s="197">
        <f>U15+1</f>
        <v>3</v>
      </c>
      <c r="V16" s="236" t="str">
        <f>IF(Income_TechniqueUsed="Direct Capitalization","N/A","Year 1 &amp; Stabilized")</f>
        <v>N/A</v>
      </c>
      <c r="W16" s="137"/>
      <c r="X16" s="222">
        <f>X14+1</f>
        <v>2</v>
      </c>
      <c r="Y16" s="265">
        <f>Y15+1</f>
        <v>10</v>
      </c>
      <c r="AB16" s="105" t="s">
        <v>1256</v>
      </c>
      <c r="AE16" s="918" t="s">
        <v>240</v>
      </c>
      <c r="AF16" s="222" t="b">
        <v>1</v>
      </c>
      <c r="AH16" s="1681">
        <v>1</v>
      </c>
      <c r="AJ16" s="1300" t="s">
        <v>1231</v>
      </c>
      <c r="AK16" s="1097"/>
      <c r="AL16" s="1530" t="s">
        <v>290</v>
      </c>
      <c r="AM16" s="1530" t="s">
        <v>290</v>
      </c>
      <c r="AN16" s="1530" t="s">
        <v>328</v>
      </c>
      <c r="AP16" s="1081" t="s">
        <v>1359</v>
      </c>
    </row>
    <row r="17" spans="1:42" ht="15.75" customHeight="1" thickBot="1" x14ac:dyDescent="0.3">
      <c r="B17" s="204">
        <f t="shared" si="1"/>
        <v>6</v>
      </c>
      <c r="C17" s="381" t="s">
        <v>1402</v>
      </c>
      <c r="D17" s="106">
        <f>D16-0.05</f>
        <v>0.94999999999999973</v>
      </c>
      <c r="F17" s="1326" t="s">
        <v>1437</v>
      </c>
      <c r="G17" s="105" t="s">
        <v>61</v>
      </c>
      <c r="H17" s="1083" t="s">
        <v>67</v>
      </c>
      <c r="I17" s="101"/>
      <c r="J17" s="198">
        <v>1</v>
      </c>
      <c r="L17" s="199" t="s">
        <v>18165</v>
      </c>
      <c r="M17" s="220" t="b">
        <v>0</v>
      </c>
      <c r="N17" s="220" t="b">
        <v>0</v>
      </c>
      <c r="O17" s="220" t="b">
        <v>0</v>
      </c>
      <c r="P17" s="198" t="b">
        <v>0</v>
      </c>
      <c r="Q17" s="941" t="s">
        <v>407</v>
      </c>
      <c r="R17" s="942"/>
      <c r="S17" s="197">
        <f>S16+1</f>
        <v>4</v>
      </c>
      <c r="V17" s="236" t="str">
        <f>IF(Income_TechniqueUsed="Direct Capitalization","N/A","Years 1, 2 &amp; Stabilized")</f>
        <v>N/A</v>
      </c>
      <c r="W17" s="137"/>
      <c r="X17" s="222">
        <f>X16+1</f>
        <v>3</v>
      </c>
      <c r="Y17" s="265">
        <f>Y16+1</f>
        <v>11</v>
      </c>
      <c r="AB17" s="1653" t="s">
        <v>1437</v>
      </c>
      <c r="AE17" s="918" t="s">
        <v>260</v>
      </c>
      <c r="AF17" s="222" t="b">
        <v>1</v>
      </c>
      <c r="AH17" s="134">
        <v>1</v>
      </c>
      <c r="AJ17" s="1300" t="s">
        <v>1494</v>
      </c>
      <c r="AK17" s="1097"/>
      <c r="AM17" s="53"/>
      <c r="AN17" s="53"/>
      <c r="AP17" s="105" t="s">
        <v>1279</v>
      </c>
    </row>
    <row r="18" spans="1:42" ht="15.75" customHeight="1" thickBot="1" x14ac:dyDescent="0.3">
      <c r="B18" s="199">
        <f t="shared" si="1"/>
        <v>7</v>
      </c>
      <c r="C18" s="127" t="s">
        <v>1024</v>
      </c>
      <c r="D18" s="106">
        <f t="shared" si="2"/>
        <v>0.89999999999999969</v>
      </c>
      <c r="F18" s="1326" t="s">
        <v>1436</v>
      </c>
      <c r="G18" s="326" t="s">
        <v>1017</v>
      </c>
      <c r="H18" s="1084" t="s">
        <v>83</v>
      </c>
      <c r="I18" s="382"/>
      <c r="J18" s="197">
        <f>J17+1</f>
        <v>2</v>
      </c>
      <c r="L18" s="2636" t="s">
        <v>18166</v>
      </c>
      <c r="M18" s="2635"/>
      <c r="N18" s="2635"/>
      <c r="O18" s="2635" t="b">
        <v>0</v>
      </c>
      <c r="P18" s="205" t="b">
        <v>0</v>
      </c>
      <c r="V18" s="237" t="str">
        <f>IF(Income_TechniqueUsed="Direct Capitalization","N/A","Years 1, 2, 3 &amp; Stabilized")</f>
        <v>N/A</v>
      </c>
      <c r="W18" s="238"/>
      <c r="X18" s="239">
        <f>X17+1</f>
        <v>4</v>
      </c>
      <c r="Y18" s="266">
        <f>Y17+1</f>
        <v>12</v>
      </c>
      <c r="AB18" s="1651" t="s">
        <v>407</v>
      </c>
      <c r="AE18" s="918" t="s">
        <v>518</v>
      </c>
      <c r="AF18" s="222" t="b">
        <v>0</v>
      </c>
      <c r="AH18" s="134">
        <v>2</v>
      </c>
      <c r="AJ18" s="1300" t="s">
        <v>1495</v>
      </c>
      <c r="AK18" s="1097"/>
      <c r="AM18" s="1656"/>
      <c r="AN18" s="1656"/>
      <c r="AP18" s="134" t="s">
        <v>1257</v>
      </c>
    </row>
    <row r="19" spans="1:42" ht="15" thickBot="1" x14ac:dyDescent="0.3">
      <c r="B19" s="199">
        <f t="shared" si="1"/>
        <v>8</v>
      </c>
      <c r="C19" s="466" t="s">
        <v>1059</v>
      </c>
      <c r="D19" s="106">
        <f t="shared" si="2"/>
        <v>0.84999999999999964</v>
      </c>
      <c r="F19" s="795"/>
      <c r="G19" s="2081" t="s">
        <v>1791</v>
      </c>
      <c r="L19" s="4349" t="s">
        <v>1213</v>
      </c>
      <c r="M19" s="4350"/>
      <c r="N19" s="4352" t="s">
        <v>826</v>
      </c>
      <c r="O19" s="4353"/>
      <c r="P19" s="4354"/>
      <c r="V19" s="210">
        <f t="shared" ref="V19:V26" si="3">VLOOKUP(W19,$V$14:$X$18,3,FALSE)</f>
        <v>1</v>
      </c>
      <c r="W19" s="226" t="str">
        <f>'Other Income Estimates'!J5</f>
        <v>Stabilized Only</v>
      </c>
      <c r="X19" s="467" t="str">
        <f>IF(AND(Income_PercentageRent_Number=1,W19="Stabilized Only"),"stabilized estimate:",IF(AND(Income_PercentageRent_Number=1,W19="Year 1 Only"),"year 1 estimate:",IF(Income_PercentageRent_Number=2,"year 1 and stabilized estimates:",IF(Income_PercentageRent_Number=3,"year 1, 2 and stabilized estimates:","year 1, 2, 3 and stabilized estimates:"))))</f>
        <v>stabilized estimate:</v>
      </c>
      <c r="AB19" s="1326" t="s">
        <v>1437</v>
      </c>
      <c r="AE19" s="918" t="s">
        <v>595</v>
      </c>
      <c r="AF19" s="222" t="b">
        <v>1</v>
      </c>
      <c r="AH19" s="135">
        <v>3</v>
      </c>
      <c r="AJ19" s="1081" t="s">
        <v>1496</v>
      </c>
      <c r="AK19" s="1097"/>
      <c r="AM19" s="1656"/>
      <c r="AN19" s="1656"/>
      <c r="AP19" s="134" t="s">
        <v>1265</v>
      </c>
    </row>
    <row r="20" spans="1:42" ht="15" customHeight="1" thickBot="1" x14ac:dyDescent="0.3">
      <c r="B20" s="201">
        <v>9</v>
      </c>
      <c r="C20" s="197"/>
      <c r="D20" s="550">
        <f t="shared" si="2"/>
        <v>0.7999999999999996</v>
      </c>
      <c r="F20" s="1657"/>
      <c r="G20" s="920"/>
      <c r="H20" s="915" t="s">
        <v>1005</v>
      </c>
      <c r="I20" s="916"/>
      <c r="J20" s="917"/>
      <c r="L20" s="935" t="s">
        <v>459</v>
      </c>
      <c r="M20" s="937"/>
      <c r="N20" s="943" t="str">
        <f>IF(Subject_Value1DOV="","No Value Scenario - Select N/A",IF(Subject_Value1Perspective="Current",CONCATENATE(TEXT(Subject_Value1DOV,"[$-409]mmmm d, yyyy;@")," - ",Subject_Value1Premise," ",Subject_Value1InterestAppraised," ",Subject_Value1Type," Indication"),CONCATENATE(TEXT(Subject_Value1DOV,"[$-409]mmmm d, yyyy;@")," - ",Subject_Value1Perspective," ",Subject_Value1Premise," ",Subject_Value1InterestAppraised," ",Subject_Value1Type," Indication")))</f>
        <v>June 30, 2024 - Retrospective As Is Fee Simple Market Value Indication</v>
      </c>
      <c r="O20" s="944"/>
      <c r="P20" s="945"/>
      <c r="V20" s="210">
        <f t="shared" si="3"/>
        <v>1</v>
      </c>
      <c r="W20" s="226" t="str">
        <f>'Other Income Estimates'!J17</f>
        <v>Stabilized Only</v>
      </c>
      <c r="X20" s="466" t="str">
        <f>IF(AND(Income_ParkingIncome_Number=1,W20="Stabilized Only"),"stabilized estimate:",IF(AND(Income_ParkingIncome_Number=1,W20="Year 1 Only"),"year 1 estimate:",IF(Income_ParkingIncome_Number=2,"year 1 and stabilized estimates:",IF(Income_ParkingIncome_Number=3,"year 1, 2 and stabilized estimates:","year 1, 2, 3 and stabilized estimates:"))))</f>
        <v>stabilized estimate:</v>
      </c>
      <c r="Y20" s="105" t="s">
        <v>511</v>
      </c>
      <c r="AB20" s="1652" t="s">
        <v>1436</v>
      </c>
      <c r="AE20" s="918" t="s">
        <v>1164</v>
      </c>
      <c r="AF20" s="222" t="b">
        <v>0</v>
      </c>
      <c r="AH20" s="1680" t="s">
        <v>18162</v>
      </c>
      <c r="AJ20" s="105" t="s">
        <v>1506</v>
      </c>
      <c r="AK20" s="53"/>
      <c r="AM20" s="1656"/>
      <c r="AN20" s="1656"/>
      <c r="AP20" s="135" t="s">
        <v>1259</v>
      </c>
    </row>
    <row r="21" spans="1:42" ht="15" customHeight="1" x14ac:dyDescent="0.25">
      <c r="B21" s="4349" t="s">
        <v>88</v>
      </c>
      <c r="C21" s="4350"/>
      <c r="D21" s="221" t="s">
        <v>431</v>
      </c>
      <c r="F21" s="105" t="s">
        <v>522</v>
      </c>
      <c r="G21" s="105" t="s">
        <v>524</v>
      </c>
      <c r="H21" s="4355">
        <f>VLOOKUP(DeferredMaintenance_Scenario,H22:J23,3,FALSE)</f>
        <v>2</v>
      </c>
      <c r="I21" s="4356"/>
      <c r="J21" s="198" t="s">
        <v>487</v>
      </c>
      <c r="L21" s="936"/>
      <c r="M21" s="937"/>
      <c r="N21" s="946" t="str">
        <f>IF(Subject_Value2DOV="","No Value Scenario - Select N/A",IF(Subject_Value2Perspective="Current",CONCATENATE(TEXT(Subject_Value2DOV,"[$-409]mmmm d, yyyy;@")," - ",Subject_Value2Premise," ",Subject_Value2InterestAppraised," ",Subject_Value2Type," Indication"),CONCATENATE(TEXT(Subject_Value2DOV,"[$-409]mmmm d, yyyy;@")," - ",Subject_Value2Perspective," ",Subject_Value2Premise," ",Subject_Value2InterestAppraised," ",Subject_Value2Type," Indication")))</f>
        <v>June 30, 2024 -     Indication</v>
      </c>
      <c r="O21" s="220"/>
      <c r="P21" s="198"/>
      <c r="V21" s="210">
        <f t="shared" si="3"/>
        <v>1</v>
      </c>
      <c r="W21" s="226" t="str">
        <f>'Other Income Estimates'!J29</f>
        <v>Stabilized Only</v>
      </c>
      <c r="X21" s="466" t="str">
        <f>IF(AND(Income_UserDefinedIncome_Number=1,W21="Stabilized Only"),"stabilized estimate:",IF(AND(Income_UserDefinedIncome_Number=1,W21="Year 1 Only"),"year 1 estimate:",IF(Income_UserDefinedIncome_Number=2,"year 1 and stabilized estimates:",IF(Income_UserDefinedIncome_Number=3,"year 1, 2 and stabilized estimates:","year 1, 2, 3 and stabilized estimates:"))))</f>
        <v>stabilized estimate:</v>
      </c>
      <c r="Y21" s="134" t="s">
        <v>512</v>
      </c>
      <c r="AE21" s="918" t="s">
        <v>18206</v>
      </c>
      <c r="AF21" s="222" t="b">
        <v>0</v>
      </c>
      <c r="AH21" s="1681">
        <v>1</v>
      </c>
      <c r="AJ21" s="1300" t="s">
        <v>1507</v>
      </c>
      <c r="AK21" s="1097"/>
      <c r="AM21" s="1656"/>
      <c r="AN21" s="1656"/>
    </row>
    <row r="22" spans="1:42" ht="15" thickBot="1" x14ac:dyDescent="0.3">
      <c r="B22" s="49">
        <v>1</v>
      </c>
      <c r="C22" s="709" t="str">
        <f>VLOOKUP(B22,B23:C30,2)</f>
        <v>per Usable Acre</v>
      </c>
      <c r="D22" s="134" t="s">
        <v>47</v>
      </c>
      <c r="F22" s="134" t="s">
        <v>523</v>
      </c>
      <c r="G22" s="326" t="s">
        <v>441</v>
      </c>
      <c r="H22" s="918" t="s">
        <v>486</v>
      </c>
      <c r="I22" s="101"/>
      <c r="J22" s="198">
        <v>1</v>
      </c>
      <c r="L22" s="938"/>
      <c r="M22" s="939"/>
      <c r="N22" s="947" t="str">
        <f>IF(Subject_Value3DOV="","No Value Scenario - Select N/A",IF(Subject_Value3Perspective="Current",CONCATENATE(TEXT(Subject_Value3DOV,"[$-409]mmmm d, yyyy;@")," - ",Subject_Value3Premise," ",Subject_Value3InterestAppraised," ",Subject_Value3Type," Indication"),CONCATENATE(TEXT(Subject_Value3DOV,"[$-409]mmmm d, yyyy;@")," - ",Subject_Value3Perspective," ",Subject_Value3Premise," ",Subject_Value3InterestAppraised," ",Subject_Value3Type," Indication")))</f>
        <v>No Value Scenario - Select N/A</v>
      </c>
      <c r="O22" s="420"/>
      <c r="P22" s="197"/>
      <c r="V22" s="2576">
        <f t="shared" si="3"/>
        <v>1</v>
      </c>
      <c r="W22" s="2710" t="str">
        <f>'Other Income Estimates'!J41</f>
        <v>Stabilized Only</v>
      </c>
      <c r="X22" s="2711" t="str">
        <f>IF(AND(Income_OtherIncome_Number=1,W22="Stabilized Only"),"stabilized estimate:",IF(AND(Income_OtherIncome_Number=1,W22="Year 1 Only"),"year 1 estimate:",IF(Income_OtherIncome_Number=2,"year 1 and stabilized estimates:",IF(Income_OtherIncome_Number=3,"year 1, 2 and stabilized estimates:","year 1, 2, 3 and stabilized estimates:"))))</f>
        <v>stabilized estimate:</v>
      </c>
      <c r="Y22" s="135" t="s">
        <v>513</v>
      </c>
      <c r="AE22" s="1083" t="s">
        <v>1740</v>
      </c>
      <c r="AF22" s="222" t="b">
        <v>0</v>
      </c>
      <c r="AH22" s="134">
        <v>1</v>
      </c>
      <c r="AJ22" s="1081" t="s">
        <v>1508</v>
      </c>
      <c r="AK22" s="1097"/>
      <c r="AM22" s="53"/>
      <c r="AN22" s="53"/>
    </row>
    <row r="23" spans="1:42" ht="15" thickBot="1" x14ac:dyDescent="0.3">
      <c r="A23" s="5">
        <f>IF(dpUnit_Land_2="per Usable Acre",1,0)</f>
        <v>0</v>
      </c>
      <c r="B23" s="199">
        <v>1</v>
      </c>
      <c r="C23" s="703" t="s">
        <v>1050</v>
      </c>
      <c r="D23" s="135" t="s">
        <v>87</v>
      </c>
      <c r="F23" s="135" t="s">
        <v>530</v>
      </c>
      <c r="G23" s="134" t="s">
        <v>183</v>
      </c>
      <c r="H23" s="919" t="s">
        <v>487</v>
      </c>
      <c r="I23" s="382"/>
      <c r="J23" s="197">
        <f>J22+1</f>
        <v>2</v>
      </c>
      <c r="L23" s="940" t="s">
        <v>407</v>
      </c>
      <c r="M23" s="134">
        <f>VLOOKUP(AddDeduct_DefMaint,$Q$14:$S$17,3,FALSE)</f>
        <v>4</v>
      </c>
      <c r="V23" s="210">
        <f t="shared" si="3"/>
        <v>1</v>
      </c>
      <c r="W23" s="226" t="str">
        <f>'Expense Estimates'!P9</f>
        <v>Stabilized Only</v>
      </c>
      <c r="X23" s="466" t="str">
        <f>IF(AND(Expense_RealEstateTax_Number=1,W23="Stabilized Only"),"stabilized estimate:",IF(AND(Expense_RealEstateTax_Number=1,W23="Year 1 Only"),"year 1 estimate:",IF(Expense_RealEstateTax_Number=2,"year 1 and stabilized estimates:",IF(Expense_RealEstateTax_Number=3,"year 1, 2 and stabilized estimates:","year 1, 2, 3 and stabilized estimates:"))))</f>
        <v>stabilized estimate:</v>
      </c>
      <c r="AE23" s="776" t="s">
        <v>1339</v>
      </c>
      <c r="AF23" s="113" t="b">
        <v>0</v>
      </c>
      <c r="AH23" s="134">
        <v>2</v>
      </c>
      <c r="AJ23" s="105" t="s">
        <v>1274</v>
      </c>
      <c r="AK23" s="53"/>
      <c r="AM23" s="1656"/>
      <c r="AN23" s="1656"/>
    </row>
    <row r="24" spans="1:42" ht="15.75" customHeight="1" thickBot="1" x14ac:dyDescent="0.3">
      <c r="B24" s="199">
        <f t="shared" ref="B24:B30" si="4">B23+1</f>
        <v>2</v>
      </c>
      <c r="C24" s="127" t="s">
        <v>1051</v>
      </c>
      <c r="D24" s="105" t="s">
        <v>1011</v>
      </c>
      <c r="F24" s="948" t="s">
        <v>1249</v>
      </c>
      <c r="G24" s="135" t="s">
        <v>1056</v>
      </c>
      <c r="L24" s="759" t="s">
        <v>407</v>
      </c>
      <c r="M24" s="134">
        <f>VLOOKUP(AddDeduct_LeaseUp,$Q$14:$S$17,3,FALSE)</f>
        <v>4</v>
      </c>
      <c r="V24" s="210">
        <f t="shared" si="3"/>
        <v>1</v>
      </c>
      <c r="W24" s="226" t="str">
        <f>'Expense Estimates'!P27</f>
        <v>Stabilized Only</v>
      </c>
      <c r="X24" s="466" t="str">
        <f>IF(AND(Expense_OtherTaxes_Number=1,W24="Stabilized Only"),"stabilized estimate:",IF(AND(Expense_OtherTaxes_Number=1,W24="Year 1 Only"),"year 1 estimate:",IF(Expense_OtherTaxes_Number=2,"year 1 and stabilized estimates:",IF(Expense_OtherTaxes_Number=3,"year 1, 2 and stabilized estimates:","year 1, 2, 3 and stabilized estimates:"))))</f>
        <v>stabilized estimate:</v>
      </c>
      <c r="AE24" s="918" t="s">
        <v>1242</v>
      </c>
      <c r="AF24" s="222"/>
      <c r="AH24" s="135">
        <v>3</v>
      </c>
      <c r="AJ24" s="134" t="s">
        <v>1249</v>
      </c>
      <c r="AM24" s="1656"/>
      <c r="AN24" s="1656"/>
    </row>
    <row r="25" spans="1:42" x14ac:dyDescent="0.25">
      <c r="B25" s="199">
        <f t="shared" si="4"/>
        <v>3</v>
      </c>
      <c r="C25" s="1116" t="s">
        <v>1290</v>
      </c>
      <c r="D25" s="134" t="s">
        <v>1012</v>
      </c>
      <c r="F25" s="105" t="s">
        <v>1558</v>
      </c>
      <c r="G25" s="105" t="s">
        <v>197</v>
      </c>
      <c r="H25" s="915" t="s">
        <v>1004</v>
      </c>
      <c r="I25" s="916"/>
      <c r="J25" s="917"/>
      <c r="L25" s="759" t="s">
        <v>407</v>
      </c>
      <c r="M25" s="134">
        <f>VLOOKUP(AddDeduct_LeaseHold,$Q$14:$S$17,3,FALSE)</f>
        <v>4</v>
      </c>
      <c r="V25" s="210">
        <f t="shared" si="3"/>
        <v>1</v>
      </c>
      <c r="W25" s="226" t="str">
        <f>'Expense Estimates'!P45</f>
        <v>Stabilized Only</v>
      </c>
      <c r="X25" s="466" t="str">
        <f>IF(AND(Expense_Insurance_Number=1,W25="Stabilized Only"),"stabilized estimate:",IF(AND(Expense_Insurance_Number=1,W25="Year 1 Only"),"year 1 estimate:",IF(Expense_Insurance_Number=2,"year 1 and stabilized estimates:",IF(Expense_Insurance_Number=3,"year 1, 2 and stabilized estimates:","year 1, 2, 3 and stabilized estimates:"))))</f>
        <v>stabilized estimate:</v>
      </c>
      <c r="AE25" s="918" t="s">
        <v>1243</v>
      </c>
      <c r="AF25" s="222"/>
      <c r="AJ25" s="134" t="s">
        <v>518</v>
      </c>
      <c r="AM25" s="1656"/>
      <c r="AN25" s="1656"/>
    </row>
    <row r="26" spans="1:42" ht="15" thickBot="1" x14ac:dyDescent="0.3">
      <c r="B26" s="199">
        <f t="shared" si="4"/>
        <v>4</v>
      </c>
      <c r="C26" s="1116" t="s">
        <v>1291</v>
      </c>
      <c r="D26" s="135" t="s">
        <v>1013</v>
      </c>
      <c r="F26" s="1658" t="s">
        <v>1437</v>
      </c>
      <c r="G26" s="1300" t="s">
        <v>288</v>
      </c>
      <c r="H26" s="4355">
        <f>VLOOKUP(Profit_Application_Selection,H27:J28,3,FALSE)</f>
        <v>1</v>
      </c>
      <c r="I26" s="4356"/>
      <c r="J26" s="198" t="s">
        <v>1152</v>
      </c>
      <c r="L26" s="759" t="s">
        <v>407</v>
      </c>
      <c r="M26" s="134">
        <f>VLOOKUP(AddDeduct_UserDef1,$Q$14:$S$17,3,FALSE)</f>
        <v>4</v>
      </c>
      <c r="V26" s="210">
        <f t="shared" si="3"/>
        <v>1</v>
      </c>
      <c r="W26" s="226" t="str">
        <f>'Expense Estimates'!P63</f>
        <v>Stabilized Only</v>
      </c>
      <c r="X26" s="466" t="str">
        <f>IF(AND(Expense_MgmtFees_Number=1,W26="Stabilized Only"),"stabilized estimate:",IF(AND(Expense_MgmtFees_Number=1,W26="Year 1 Only"),"year 1 estimate:",IF(Expense_MgmtFees_Number=2,"year 1 and stabilized estimates:",IF(Expense_MgmtFees_Number=3,"year 1, 2 and stabilized estimates:","year 1, 2, 3 and stabilized estimates:"))))</f>
        <v>stabilized estimate:</v>
      </c>
      <c r="AE26" s="919" t="s">
        <v>1244</v>
      </c>
      <c r="AF26" s="205"/>
      <c r="AJ26" s="135" t="s">
        <v>1215</v>
      </c>
      <c r="AM26" s="1656"/>
      <c r="AN26" s="1656"/>
    </row>
    <row r="27" spans="1:42" ht="15" thickBot="1" x14ac:dyDescent="0.3">
      <c r="B27" s="199">
        <f t="shared" si="4"/>
        <v>5</v>
      </c>
      <c r="C27" s="381" t="s">
        <v>1052</v>
      </c>
      <c r="D27" s="105" t="s">
        <v>1014</v>
      </c>
      <c r="F27" s="1326" t="s">
        <v>1437</v>
      </c>
      <c r="G27" s="1081" t="s">
        <v>1377</v>
      </c>
      <c r="H27" s="918" t="s">
        <v>1152</v>
      </c>
      <c r="I27" s="101"/>
      <c r="J27" s="198">
        <v>1</v>
      </c>
      <c r="L27" s="941" t="s">
        <v>407</v>
      </c>
      <c r="M27" s="135">
        <f>VLOOKUP(AddDeduct_UserDef2,$Q$14:$S$17,3,FALSE)</f>
        <v>4</v>
      </c>
      <c r="V27" s="210">
        <f t="shared" ref="V27:V39" si="5">VLOOKUP(W27,$V$14:$X$18,3,FALSE)</f>
        <v>1</v>
      </c>
      <c r="W27" s="226" t="str">
        <f>'Expense Estimates'!P81</f>
        <v>Stabilized Only</v>
      </c>
      <c r="X27" s="466" t="str">
        <f>IF(AND(Expense_Administrative_Number=1,W27="Stabilized Only"),"stabilized estimate:",IF(AND(Expense_Administrative_Number=1,W27="Year 1 Only"),"year 1 estimate:",IF(Expense_Administrative_Number=2,"year 1 and stabilized estimates:",IF(Expense_Administrative_Number=3,"year 1, 2 and stabilized estimates:","year 1, 2, 3 and stabilized estimates:"))))</f>
        <v>stabilized estimate:</v>
      </c>
      <c r="AJ27" s="105" t="s">
        <v>1275</v>
      </c>
      <c r="AK27" s="53"/>
    </row>
    <row r="28" spans="1:42" ht="15" thickBot="1" x14ac:dyDescent="0.3">
      <c r="B28" s="204">
        <f t="shared" si="4"/>
        <v>6</v>
      </c>
      <c r="C28" s="1116" t="s">
        <v>1292</v>
      </c>
      <c r="D28" s="134" t="s">
        <v>654</v>
      </c>
      <c r="F28" s="1652" t="s">
        <v>1436</v>
      </c>
      <c r="G28" s="105" t="s">
        <v>1860</v>
      </c>
      <c r="H28" s="919" t="s">
        <v>1145</v>
      </c>
      <c r="I28" s="382"/>
      <c r="J28" s="197">
        <f>J27+1</f>
        <v>2</v>
      </c>
      <c r="L28" s="4349" t="s">
        <v>1159</v>
      </c>
      <c r="M28" s="4350"/>
      <c r="V28" s="210">
        <f t="shared" si="5"/>
        <v>1</v>
      </c>
      <c r="W28" s="226" t="str">
        <f>'Expense Estimates'!P99</f>
        <v>Stabilized Only</v>
      </c>
      <c r="X28" s="466" t="str">
        <f>IF(AND(Expense_Utilities_Number=1,W28="Stabilized Only"),"stabilized estimate:",IF(AND(Expense_Utilities_Number=1,W28="Year 1 Only"),"year 1 estimate:",IF(Expense_Utilities_Number=2,"year 1 and stabilized estimates:",IF(Expense_Utilities_Number=3,"year 1, 2 and stabilized estimates:","year 1, 2, 3 and stabilized estimates:"))))</f>
        <v>stabilized estimate:</v>
      </c>
      <c r="AJ28" s="1300" t="s">
        <v>417</v>
      </c>
    </row>
    <row r="29" spans="1:42" ht="15" thickBot="1" x14ac:dyDescent="0.3">
      <c r="B29" s="199">
        <f t="shared" si="4"/>
        <v>7</v>
      </c>
      <c r="C29" s="127" t="s">
        <v>1053</v>
      </c>
      <c r="D29" s="135" t="s">
        <v>831</v>
      </c>
      <c r="F29" s="795"/>
      <c r="G29" s="1300" t="s">
        <v>1737</v>
      </c>
      <c r="H29" s="723"/>
      <c r="K29" s="229"/>
      <c r="L29" s="1659">
        <f>VLOOKUP(USPS!$E$2,$L$30:$M$32,2,FALSE)</f>
        <v>3</v>
      </c>
      <c r="M29" s="222"/>
      <c r="V29" s="210">
        <f t="shared" si="5"/>
        <v>1</v>
      </c>
      <c r="W29" s="226" t="str">
        <f>'Expense Estimates'!P117</f>
        <v>Stabilized Only</v>
      </c>
      <c r="X29" s="466" t="str">
        <f>IF(AND(Expense_RepairsMaintenance_Number=1,W29="Stabilized Only"),"stabilized estimate:",IF(AND(Expense_RepairsMaintenance_Number=1,W29="Year 1 Only"),"year 1 estimate:",IF(Expense_RepairsMaintenance_Number=2,"year 1 and stabilized estimates:",IF(Expense_RepairsMaintenance_Number=3,"year 1, 2 and stabilized estimates:","year 1, 2, 3 and stabilized estimates:"))))</f>
        <v>stabilized estimate:</v>
      </c>
      <c r="AJ29" s="134" t="s">
        <v>418</v>
      </c>
    </row>
    <row r="30" spans="1:42" ht="15" thickBot="1" x14ac:dyDescent="0.3">
      <c r="B30" s="201">
        <f t="shared" si="4"/>
        <v>8</v>
      </c>
      <c r="C30" s="708" t="s">
        <v>1060</v>
      </c>
      <c r="D30" s="933" t="s">
        <v>1211</v>
      </c>
      <c r="F30" s="1657"/>
      <c r="G30" s="1081" t="s">
        <v>1409</v>
      </c>
      <c r="H30" s="915" t="s">
        <v>1260</v>
      </c>
      <c r="I30" s="916"/>
      <c r="J30" s="917"/>
      <c r="K30" s="229"/>
      <c r="L30" s="1364" t="s">
        <v>1398</v>
      </c>
      <c r="M30" s="222">
        <v>1</v>
      </c>
      <c r="V30" s="210">
        <f t="shared" si="5"/>
        <v>1</v>
      </c>
      <c r="W30" s="226" t="str">
        <f>'Expense Estimates'!P135</f>
        <v>Stabilized Only</v>
      </c>
      <c r="X30" s="466" t="str">
        <f>IF(AND(Expense_CAM_Number=1,W30="Stabilized Only"),"stabilized estimate:",IF(AND(Expense_CAM_Number=1,W30="Year 1 Only"),"year 1 estimate:",IF(Expense_CAM_Number=2,"year 1 and stabilized estimates:",IF(Expense_CAM_Number=3,"year 1, 2 and stabilized estimates:","year 1, 2, 3 and stabilized estimates:"))))</f>
        <v>stabilized estimate:</v>
      </c>
      <c r="AJ30" s="135" t="s">
        <v>1214</v>
      </c>
    </row>
    <row r="31" spans="1:42" ht="15" thickBot="1" x14ac:dyDescent="0.3">
      <c r="B31" s="934"/>
      <c r="C31" s="934"/>
      <c r="D31" s="705" t="s">
        <v>1212</v>
      </c>
      <c r="F31" s="702" t="s">
        <v>1604</v>
      </c>
      <c r="G31" s="105" t="s">
        <v>17902</v>
      </c>
      <c r="H31" s="4355">
        <f>VLOOKUP(Obsolescence,H32:J33,3,FALSE)</f>
        <v>2</v>
      </c>
      <c r="I31" s="4356"/>
      <c r="J31" s="198" t="s">
        <v>1261</v>
      </c>
      <c r="K31" s="229"/>
      <c r="L31" s="1364" t="s">
        <v>1400</v>
      </c>
      <c r="M31" s="222">
        <v>2</v>
      </c>
      <c r="V31" s="210">
        <f t="shared" si="5"/>
        <v>1</v>
      </c>
      <c r="W31" s="226" t="str">
        <f>'Expense Estimates'!P153</f>
        <v>Stabilized Only</v>
      </c>
      <c r="X31" s="466" t="str">
        <f>IF(AND(Expense_CleaningJanitorial_Number=1,W31="Stabilized Only"),"stabilized estimate:",IF(AND(Expense_CleaningJanitorial_Number=1,W31="Year 1 Only"),"year 1 estimate:",IF(Expense_CleaningJanitorial_Number=2,"year 1 and stabilized estimates:",IF(Expense_CleaningJanitorial_Number=3,"year 1, 2 and stabilized estimates:","year 1, 2, 3 and stabilized estimates:"))))</f>
        <v>stabilized estimate:</v>
      </c>
      <c r="AJ31" s="105" t="s">
        <v>1276</v>
      </c>
      <c r="AK31" s="53"/>
    </row>
    <row r="32" spans="1:42" ht="15" thickBot="1" x14ac:dyDescent="0.3">
      <c r="C32" s="5"/>
      <c r="D32" s="134" t="s">
        <v>1212</v>
      </c>
      <c r="F32" s="1757" t="s">
        <v>1602</v>
      </c>
      <c r="G32" s="1300" t="s">
        <v>1019</v>
      </c>
      <c r="H32" s="1083" t="s">
        <v>67</v>
      </c>
      <c r="I32" s="101"/>
      <c r="J32" s="198">
        <v>1</v>
      </c>
      <c r="K32" s="229"/>
      <c r="L32" s="1365" t="s">
        <v>1399</v>
      </c>
      <c r="M32" s="205">
        <v>3</v>
      </c>
      <c r="V32" s="210">
        <f t="shared" si="5"/>
        <v>1</v>
      </c>
      <c r="W32" s="226" t="str">
        <f>'Expense Estimates'!P171</f>
        <v>Stabilized Only</v>
      </c>
      <c r="X32" s="466" t="str">
        <f>IF(AND(Expense_Leasing_Number=1,W32="Stabilized Only"),"stabilized estimate:",IF(AND(Expense_Leasing_Number=1,W32="Year 1 Only"),"year 1 estimate:",IF(Expense_Leasing_Number=2,"year 1 and stabilized estimates:",IF(Expense_Leasing_Number=3,"year 1, 2 and stabilized estimates:","year 1, 2, 3 and stabilized estimates:"))))</f>
        <v>stabilized estimate:</v>
      </c>
      <c r="AJ32" s="134" t="s">
        <v>67</v>
      </c>
    </row>
    <row r="33" spans="2:36" ht="15" thickBot="1" x14ac:dyDescent="0.3">
      <c r="C33" s="5"/>
      <c r="D33" s="135" t="s">
        <v>1212</v>
      </c>
      <c r="F33" s="1300" t="s">
        <v>1603</v>
      </c>
      <c r="G33" s="1081" t="s">
        <v>17903</v>
      </c>
      <c r="H33" s="1084" t="s">
        <v>1261</v>
      </c>
      <c r="I33" s="382"/>
      <c r="J33" s="197">
        <f>J32+1</f>
        <v>2</v>
      </c>
      <c r="K33" s="229"/>
      <c r="V33" s="210">
        <f t="shared" si="5"/>
        <v>1</v>
      </c>
      <c r="W33" s="226" t="str">
        <f>'Expense Estimates'!P189</f>
        <v>Stabilized Only</v>
      </c>
      <c r="X33" s="466" t="str">
        <f>IF(AND(Expense_Payroll_Number=1,W33="Stabilized Only"),"stabilized estimate:",IF(AND(Expense_Payroll_Number=1,W33="Year 1 Only"),"year 1 estimate:",IF(Expense_Payroll_Number=2,"year 1 and stabilized estimates:",IF(Expense_Payroll_Number=3,"year 1, 2 and stabilized estimates:","year 1, 2, 3 and stabilized estimates:"))))</f>
        <v>stabilized estimate:</v>
      </c>
      <c r="AJ33" s="135" t="s">
        <v>83</v>
      </c>
    </row>
    <row r="34" spans="2:36" ht="29.25" thickBot="1" x14ac:dyDescent="0.3">
      <c r="C34" s="5"/>
      <c r="D34" s="954" t="s">
        <v>1351</v>
      </c>
      <c r="F34" s="1758" t="s">
        <v>1604</v>
      </c>
      <c r="H34" s="1525"/>
      <c r="I34" s="934"/>
      <c r="J34" s="934"/>
      <c r="K34" s="229"/>
      <c r="L34" s="4349" t="s">
        <v>18069</v>
      </c>
      <c r="M34" s="4350"/>
      <c r="V34" s="210">
        <f t="shared" si="5"/>
        <v>1</v>
      </c>
      <c r="W34" s="226" t="str">
        <f>'Expense Estimates'!P207</f>
        <v>Stabilized Only</v>
      </c>
      <c r="X34" s="466" t="str">
        <f>IF(AND(Expense_Security_Number=1,W34="Stabilized Only"),"stabilized estimate:",IF(AND(Expense_Security_Number=1,W34="Year 1 Only"),"year 1 estimate:",IF(Expense_Security_Number=2,"year 1 and stabilized estimates:",IF(Expense_Security_Number=3,"year 1, 2 and stabilized estimates:","year 1, 2, 3 and stabilized estimates:"))))</f>
        <v>stabilized estimate:</v>
      </c>
    </row>
    <row r="35" spans="2:36" ht="15" thickBot="1" x14ac:dyDescent="0.3">
      <c r="C35" s="5"/>
      <c r="D35" s="1294" t="s">
        <v>750</v>
      </c>
      <c r="F35" s="1081" t="s">
        <v>407</v>
      </c>
      <c r="H35" s="915" t="s">
        <v>1190</v>
      </c>
      <c r="I35" s="916"/>
      <c r="J35" s="917"/>
      <c r="K35" s="229"/>
      <c r="L35" s="210" t="str">
        <f>'MS Charts'!E13</f>
        <v>Semi-Annual</v>
      </c>
      <c r="M35" s="203">
        <f>VLOOKUP(L35,$L$36:$M$38,2,FALSE)</f>
        <v>2</v>
      </c>
      <c r="V35" s="210">
        <f t="shared" si="5"/>
        <v>1</v>
      </c>
      <c r="W35" s="226" t="str">
        <f>'Expense Estimates'!P225</f>
        <v>Stabilized Only</v>
      </c>
      <c r="X35" s="466" t="str">
        <f>IF(AND(Expense_RoadsGrounds_Number=1,W35="Stabilized Only"),"stabilized estimate:",IF(AND(Expense_RoadsGrounds_Number=1,W35="Year 1 Only"),"year 1 estimate:",IF(Expense_RoadsGrounds_Number=2,"year 1 and stabilized estimates:",IF(Expense_RoadsGrounds_Number=3,"year 1, 2 and stabilized estimates:","year 1, 2, 3 and stabilized estimates:"))))</f>
        <v>stabilized estimate:</v>
      </c>
      <c r="AB35" s="34"/>
    </row>
    <row r="36" spans="2:36" ht="15" thickBot="1" x14ac:dyDescent="0.3">
      <c r="C36" s="5"/>
      <c r="D36" s="1295" t="s">
        <v>1353</v>
      </c>
      <c r="H36" s="4355">
        <f>VLOOKUP('Insurable Cost'!$M$4,H37:J38,3,FALSE)</f>
        <v>1</v>
      </c>
      <c r="I36" s="4356"/>
      <c r="J36" s="1518"/>
      <c r="K36" s="229"/>
      <c r="L36" s="204" t="s">
        <v>18050</v>
      </c>
      <c r="M36" s="2434">
        <v>1</v>
      </c>
      <c r="V36" s="210">
        <f t="shared" si="5"/>
        <v>1</v>
      </c>
      <c r="W36" s="226" t="str">
        <f>'Expense Estimates'!P243</f>
        <v>Stabilized Only</v>
      </c>
      <c r="X36" s="466" t="str">
        <f>IF(AND(Expense_OtherOps_Number=1,W36="Stabilized Only"),"stabilized estimate:",IF(AND(Expense_OtherOps_Number=1,W36="Year 1 Only"),"year 1 estimate:",IF(Expense_OtherOps_Number=2,"year 1 and stabilized estimates:",IF(Expense_OtherOps_Number=3,"year 1, 2 and stabilized estimates:","year 1, 2, 3 and stabilized estimates:"))))</f>
        <v>stabilized estimate:</v>
      </c>
      <c r="AB36" s="34"/>
    </row>
    <row r="37" spans="2:36" x14ac:dyDescent="0.25">
      <c r="C37" s="5"/>
      <c r="D37" s="1097"/>
      <c r="H37" s="918" t="s">
        <v>1191</v>
      </c>
      <c r="I37" s="101"/>
      <c r="J37" s="198">
        <v>1</v>
      </c>
      <c r="K37" s="229"/>
      <c r="L37" s="204" t="s">
        <v>18051</v>
      </c>
      <c r="M37" s="2434">
        <v>2</v>
      </c>
      <c r="V37" s="210">
        <f t="shared" si="5"/>
        <v>1</v>
      </c>
      <c r="W37" s="226" t="str">
        <f>'Expense Estimates'!P261</f>
        <v>Stabilized Only</v>
      </c>
      <c r="X37" s="466" t="str">
        <f>IF(AND(Expense_LandlordCosts_Number=1,W37="Stabilized Only"),"stabilized estimate:",IF(AND(Expense_LandlordCosts_Number=1,W37="Year 1 Only"),"year 1 estimate:",IF(Expense_LandlordCosts_Number=2,"year 1 and stabilized estimates:",IF(Expense_LandlordCosts_Number=3,"year 1, 2 and stabilized estimates:","year 1, 2, 3 and stabilized estimates:"))))</f>
        <v>stabilized estimate:</v>
      </c>
      <c r="AB37" s="34"/>
    </row>
    <row r="38" spans="2:36" ht="15" thickBot="1" x14ac:dyDescent="0.3">
      <c r="C38" s="20"/>
      <c r="H38" s="919" t="s">
        <v>1192</v>
      </c>
      <c r="I38" s="382"/>
      <c r="J38" s="197">
        <f>J37+1</f>
        <v>2</v>
      </c>
      <c r="L38" s="2435" t="s">
        <v>298</v>
      </c>
      <c r="M38" s="2434">
        <v>4</v>
      </c>
      <c r="V38" s="2576">
        <f t="shared" si="5"/>
        <v>1</v>
      </c>
      <c r="W38" s="2710" t="str">
        <f>'Expense Estimates'!P279</f>
        <v>Stabilized Only</v>
      </c>
      <c r="X38" s="2711" t="str">
        <f>IF(AND(Expense_ReplacementReserves_Number=1,W38="Stabilized Only"),"stabilized estimate:",IF(AND(Expense_ReplacementReserves_Number=1,W38="Year 1 Only"),"year 1 estimate:",IF(Expense_ReplacementReserves_Number=2,"year 1 and stabilized estimates:",IF(Expense_ReplacementReserves_Number=3,"year 1, 2 and stabilized estimates:","year 1, 2, 3 and stabilized estimates:"))))</f>
        <v>stabilized estimate:</v>
      </c>
      <c r="AB38" s="34"/>
    </row>
    <row r="39" spans="2:36" ht="15" thickBot="1" x14ac:dyDescent="0.3">
      <c r="B39" s="4349" t="s">
        <v>133</v>
      </c>
      <c r="C39" s="4357"/>
      <c r="D39" s="4350"/>
      <c r="F39" s="4349" t="s">
        <v>134</v>
      </c>
      <c r="G39" s="4357"/>
      <c r="H39" s="4350"/>
      <c r="J39" s="915" t="s">
        <v>18049</v>
      </c>
      <c r="K39" s="2422" t="s">
        <v>95</v>
      </c>
      <c r="L39" s="150" t="s">
        <v>6</v>
      </c>
      <c r="M39" s="2422" t="s">
        <v>18070</v>
      </c>
      <c r="N39" s="2422" t="s">
        <v>18071</v>
      </c>
      <c r="O39" s="2516" t="s">
        <v>18088</v>
      </c>
      <c r="P39" s="2545" t="s">
        <v>18052</v>
      </c>
      <c r="Q39" s="221"/>
      <c r="R39" s="15"/>
      <c r="S39" s="15"/>
      <c r="T39" s="53"/>
      <c r="V39" s="185">
        <f t="shared" si="5"/>
        <v>1</v>
      </c>
      <c r="W39" s="2712" t="str">
        <f>'Other Income Estimates'!J53</f>
        <v>Stabilized Only</v>
      </c>
      <c r="X39" s="468" t="str">
        <f>IF(AND(Income_NOI_Number=1,W39="Stabilized Only"),"stabilized estimate:",IF(AND(Income_NOI_Number=1,W39="Year 1 Only"),"year 1 estimate:",IF(Income_NOI_Number=2,"year 1 and stabilized estimates:",IF(Income_NOI_Number=3,"year 1, 2 and stabilized estimates:","year 1, 2, 3 and stabilized estimates:"))))</f>
        <v>stabilized estimate:</v>
      </c>
      <c r="AB39" s="34"/>
    </row>
    <row r="40" spans="2:36" x14ac:dyDescent="0.25">
      <c r="B40" s="2189">
        <v>2</v>
      </c>
      <c r="C40" s="2190"/>
      <c r="D40" s="2191" t="str">
        <f>VLOOKUP(B40,B41:D63,3)</f>
        <v>Inventory SF</v>
      </c>
      <c r="E40" s="2184"/>
      <c r="F40" s="990" t="str">
        <f>IF(VLOOKUP(B40,B41:H63,5)=0,"",VLOOKUP(B40,B41:H63,5))</f>
        <v/>
      </c>
      <c r="G40" s="991" t="str">
        <f>IF(VLOOKUP(B40,B41:H63,6)=0,"",VLOOKUP(B40,B41:H63,6))</f>
        <v>Inventory</v>
      </c>
      <c r="H40" s="992" t="str">
        <f>IF(VLOOKUP(B40,B41:H63,7)=0,"",VLOOKUP(B40,B41:H63,7))</f>
        <v>Square Feet</v>
      </c>
      <c r="I40" s="39" t="s">
        <v>18063</v>
      </c>
      <c r="J40" s="2436" t="str">
        <f>'MS Charts'!N6</f>
        <v>Denver MSA - Industrial</v>
      </c>
      <c r="K40" s="39" t="str">
        <f>LEFT(dpMarketStudy_DataSet_Inventory_1A,FIND(" -",dpMarketStudy_DataSet_Inventory_1A)-1)</f>
        <v>Denver MSA</v>
      </c>
      <c r="L40" s="2437" t="str">
        <f>IF(PROPER(dpMarketStudy_PropertyType)=RIGHT(dpMarketStudy_DataSet_Inventory_1A,LEN(dpMarketStudy_DataSet_Inventory_1A)-FIND("- ",dpMarketStudy_DataSet_Inventory_1A)-1),dpMarketStudy_PropertyType,dpMarketStudy_PropertySubType)</f>
        <v>Industrial</v>
      </c>
      <c r="M40" s="2437">
        <f t="shared" ref="M40:M57" si="6">VLOOKUP(J40,$J$58:$L$61,2,FALSE)</f>
        <v>1</v>
      </c>
      <c r="N40" s="2437" t="str">
        <f t="shared" ref="N40:N57" si="7">VLOOKUP(J40,$J$58:$L$61,3,FALSE)</f>
        <v>CoStar01Array</v>
      </c>
      <c r="P40" s="2437" t="str">
        <f>'MS Charts'!O3</f>
        <v>Semi-Annual</v>
      </c>
      <c r="Q40" s="2438">
        <f>VLOOKUP(P40,$L$36:$M$38,2,FALSE)</f>
        <v>2</v>
      </c>
      <c r="R40" s="34"/>
      <c r="S40" s="34"/>
      <c r="AB40" s="18"/>
    </row>
    <row r="41" spans="2:36" x14ac:dyDescent="0.25">
      <c r="B41" s="993">
        <v>1</v>
      </c>
      <c r="C41" s="994" t="str">
        <f>IF(F41="",CONCATENATE(G41," ",H41),CONCATENATE(F41," ",G41," ",H41))</f>
        <v>No. of Buildings</v>
      </c>
      <c r="D41" s="2192" t="s">
        <v>1079</v>
      </c>
      <c r="E41" s="2184"/>
      <c r="F41" s="993"/>
      <c r="G41" s="994" t="s">
        <v>1198</v>
      </c>
      <c r="H41" s="995" t="s">
        <v>136</v>
      </c>
      <c r="I41" s="39" t="s">
        <v>18064</v>
      </c>
      <c r="J41" s="2436" t="str">
        <f>'MS Charts'!Q6</f>
        <v>Denver MSA - Warehouse</v>
      </c>
      <c r="K41" s="39" t="str">
        <f>LEFT(dpMarketStudy_DataSet_Inventory_1B,FIND(" -",dpMarketStudy_DataSet_Inventory_1B)-1)</f>
        <v>Denver MSA</v>
      </c>
      <c r="L41" s="2437" t="str">
        <f>IF(PROPER(dpMarketStudy_PropertyType)=RIGHT(dpMarketStudy_DataSet_Inventory_1B,LEN(dpMarketStudy_DataSet_Inventory_1B)-FIND("- ",dpMarketStudy_DataSet_Inventory_1B)-1),dpMarketStudy_PropertyType,dpMarketStudy_PropertySubType)</f>
        <v>Warehouse</v>
      </c>
      <c r="M41" s="2437">
        <f t="shared" si="6"/>
        <v>2</v>
      </c>
      <c r="N41" s="2437" t="str">
        <f t="shared" si="7"/>
        <v>CoStar02Array</v>
      </c>
      <c r="P41" s="2437"/>
      <c r="Q41" s="2438"/>
      <c r="R41" s="34"/>
      <c r="S41" s="34"/>
      <c r="AB41" s="18"/>
    </row>
    <row r="42" spans="2:36" x14ac:dyDescent="0.25">
      <c r="B42" s="993">
        <f t="shared" ref="B42:B61" si="8">B41+1</f>
        <v>2</v>
      </c>
      <c r="C42" s="994" t="str">
        <f t="shared" ref="C42:C54" si="9">IF(F42="",CONCATENATE(G42," ",H42),CONCATENATE(F42," ",G42," ",H42))</f>
        <v>Inventory Square Feet</v>
      </c>
      <c r="D42" s="995" t="s">
        <v>1080</v>
      </c>
      <c r="E42" s="2184"/>
      <c r="F42" s="993"/>
      <c r="G42" s="994" t="s">
        <v>1850</v>
      </c>
      <c r="H42" s="995" t="s">
        <v>140</v>
      </c>
      <c r="I42" s="39" t="s">
        <v>18065</v>
      </c>
      <c r="J42" s="2436" t="str">
        <f>'MS Charts'!Z6</f>
        <v>Northwest Denver - Industrial</v>
      </c>
      <c r="K42" s="39" t="str">
        <f>LEFT(dpMarketStudy_DataSet_Inventory_2A,FIND(" -",dpMarketStudy_DataSet_Inventory_2A)-1)</f>
        <v>Northwest Denver</v>
      </c>
      <c r="L42" s="2437" t="str">
        <f>IF(PROPER(dpMarketStudy_PropertyType)=RIGHT(dpMarketStudy_DataSet_Inventory_2A,LEN(dpMarketStudy_DataSet_Inventory_2A)-FIND("- ",dpMarketStudy_DataSet_Inventory_2A)-1),dpMarketStudy_PropertyType,dpMarketStudy_PropertySubType)</f>
        <v>Industrial</v>
      </c>
      <c r="M42" s="2437">
        <f t="shared" si="6"/>
        <v>3</v>
      </c>
      <c r="N42" s="2437" t="str">
        <f t="shared" si="7"/>
        <v>CoStar03Array</v>
      </c>
      <c r="P42" s="2437"/>
      <c r="Q42" s="2438"/>
      <c r="R42" s="34"/>
      <c r="S42" s="34"/>
      <c r="AB42" s="18"/>
    </row>
    <row r="43" spans="2:36" x14ac:dyDescent="0.25">
      <c r="B43" s="993">
        <f t="shared" si="8"/>
        <v>3</v>
      </c>
      <c r="C43" s="994" t="str">
        <f t="shared" si="9"/>
        <v>Direct Vacancy</v>
      </c>
      <c r="D43" s="995" t="s">
        <v>1794</v>
      </c>
      <c r="E43" s="2184"/>
      <c r="F43" s="993"/>
      <c r="G43" s="994" t="s">
        <v>138</v>
      </c>
      <c r="H43" s="995" t="s">
        <v>509</v>
      </c>
      <c r="I43" s="39" t="s">
        <v>18066</v>
      </c>
      <c r="J43" s="2436" t="str">
        <f>'MS Charts'!AC6</f>
        <v>Northwest Denver - Warehouse</v>
      </c>
      <c r="K43" s="39" t="str">
        <f>LEFT(dpMarketStudy_DataSet_Inventory_2B,FIND(" -",dpMarketStudy_DataSet_Inventory_2B)-1)</f>
        <v>Northwest Denver</v>
      </c>
      <c r="L43" s="2437" t="str">
        <f>IF(PROPER(dpMarketStudy_PropertyType)=RIGHT(dpMarketStudy_DataSet_Inventory_2B,LEN(dpMarketStudy_DataSet_Inventory_2B)-FIND("- ",dpMarketStudy_DataSet_Inventory_2B)-1),dpMarketStudy_PropertyType,dpMarketStudy_PropertySubType)</f>
        <v>Warehouse</v>
      </c>
      <c r="M43" s="2437">
        <f t="shared" si="6"/>
        <v>4</v>
      </c>
      <c r="N43" s="2437" t="str">
        <f t="shared" si="7"/>
        <v>CoStar04Array</v>
      </c>
      <c r="P43" s="2437"/>
      <c r="Q43" s="2438"/>
      <c r="R43" s="34"/>
      <c r="S43" s="34"/>
      <c r="AB43" s="34"/>
    </row>
    <row r="44" spans="2:36" x14ac:dyDescent="0.25">
      <c r="B44" s="993">
        <f t="shared" si="8"/>
        <v>4</v>
      </c>
      <c r="C44" s="994" t="str">
        <f t="shared" si="9"/>
        <v>Sublet Vacancy</v>
      </c>
      <c r="D44" s="995" t="s">
        <v>1795</v>
      </c>
      <c r="E44" s="2184"/>
      <c r="F44" s="993"/>
      <c r="G44" s="994" t="s">
        <v>1849</v>
      </c>
      <c r="H44" s="995" t="s">
        <v>509</v>
      </c>
      <c r="I44" s="39" t="s">
        <v>18084</v>
      </c>
      <c r="J44" s="2436" t="str">
        <f>'MS Charts'!D53</f>
        <v>Denver MSA - Industrial</v>
      </c>
      <c r="K44" s="39" t="str">
        <f>LEFT(dpMarketStudy_DataSet_Vacancy_1A,FIND(" -",dpMarketStudy_DataSet_Vacancy_1A)-1)</f>
        <v>Denver MSA</v>
      </c>
      <c r="L44" s="2437" t="str">
        <f>IF(PROPER(dpMarketStudy_PropertyType)=RIGHT(dpMarketStudy_DataSet_Vacancy_1A,LEN(dpMarketStudy_DataSet_Vacancy_1A)-FIND("- ",dpMarketStudy_DataSet_Vacancy_1A)-1),dpMarketStudy_PropertyType,dpMarketStudy_PropertySubType)</f>
        <v>Industrial</v>
      </c>
      <c r="M44" s="2437">
        <f t="shared" si="6"/>
        <v>1</v>
      </c>
      <c r="N44" s="2437" t="str">
        <f t="shared" si="7"/>
        <v>CoStar01Array</v>
      </c>
      <c r="O44" s="39" t="str">
        <f>VLOOKUP(J44,$J$58:$M$61,4,FALSE)</f>
        <v>CoStar01ArrayHeaderRow</v>
      </c>
      <c r="P44" s="2437" t="str">
        <f>'MS Charts'!G48</f>
        <v>Semi-Annual</v>
      </c>
      <c r="Q44" s="2438">
        <f>VLOOKUP(P44,$L$36:$M$38,2,FALSE)</f>
        <v>2</v>
      </c>
      <c r="R44" s="34"/>
      <c r="S44" s="34"/>
    </row>
    <row r="45" spans="2:36" x14ac:dyDescent="0.25">
      <c r="B45" s="993">
        <f t="shared" si="8"/>
        <v>5</v>
      </c>
      <c r="C45" s="994" t="str">
        <f t="shared" si="9"/>
        <v>Total Vacancy</v>
      </c>
      <c r="D45" s="995" t="s">
        <v>1796</v>
      </c>
      <c r="E45" s="2184"/>
      <c r="F45" s="993"/>
      <c r="G45" s="994" t="s">
        <v>93</v>
      </c>
      <c r="H45" s="995" t="s">
        <v>509</v>
      </c>
      <c r="I45" s="39" t="s">
        <v>18087</v>
      </c>
      <c r="J45" s="2436" t="str">
        <f>'MS Charts'!D56</f>
        <v>Denver MSA - Warehouse</v>
      </c>
      <c r="K45" s="39" t="str">
        <f>LEFT(dpMarketStudy_DataSet_Vacancy_1B,FIND(" -",dpMarketStudy_DataSet_Vacancy_1B)-1)</f>
        <v>Denver MSA</v>
      </c>
      <c r="L45" s="2437" t="str">
        <f>IF(PROPER(dpMarketStudy_PropertyType)=RIGHT(dpMarketStudy_DataSet_Vacancy_1B,LEN(dpMarketStudy_DataSet_Vacancy_1B)-FIND("- ",dpMarketStudy_DataSet_Vacancy_1B)-1),dpMarketStudy_PropertyType,dpMarketStudy_PropertySubType)</f>
        <v>Warehouse</v>
      </c>
      <c r="M45" s="2437">
        <f t="shared" si="6"/>
        <v>2</v>
      </c>
      <c r="N45" s="2437" t="str">
        <f t="shared" si="7"/>
        <v>CoStar02Array</v>
      </c>
      <c r="O45" s="39" t="str">
        <f>VLOOKUP(J45,$J$58:$M$61,4,FALSE)</f>
        <v>CoStar02ArrayHeaderRow</v>
      </c>
      <c r="P45" s="2469"/>
      <c r="Q45" s="2438"/>
      <c r="AB45" s="53"/>
    </row>
    <row r="46" spans="2:36" x14ac:dyDescent="0.25">
      <c r="B46" s="993">
        <f t="shared" si="8"/>
        <v>6</v>
      </c>
      <c r="C46" s="994" t="str">
        <f t="shared" si="9"/>
        <v xml:space="preserve"> Occupancy</v>
      </c>
      <c r="D46" s="995" t="s">
        <v>1797</v>
      </c>
      <c r="E46" s="2184"/>
      <c r="F46" s="993"/>
      <c r="G46" s="994"/>
      <c r="H46" s="995" t="s">
        <v>268</v>
      </c>
      <c r="I46" s="39" t="s">
        <v>18086</v>
      </c>
      <c r="J46" s="2436" t="str">
        <f>'MS Charts'!D66</f>
        <v>Northwest Denver - Industrial</v>
      </c>
      <c r="K46" s="39" t="str">
        <f>LEFT(dpMarketStudy_DataSet_Vacancy_2A,FIND(" -",dpMarketStudy_DataSet_Vacancy_2A)-1)</f>
        <v>Northwest Denver</v>
      </c>
      <c r="L46" s="2437" t="str">
        <f>IF(PROPER(dpMarketStudy_PropertyType)=RIGHT(dpMarketStudy_DataSet_Vacancy_2A,LEN(dpMarketStudy_DataSet_Vacancy_2A)-FIND("- ",dpMarketStudy_DataSet_Vacancy_2A)-1),dpMarketStudy_PropertyType,dpMarketStudy_PropertySubType)</f>
        <v>Industrial</v>
      </c>
      <c r="M46" s="2437">
        <f t="shared" si="6"/>
        <v>3</v>
      </c>
      <c r="N46" s="2437" t="str">
        <f t="shared" si="7"/>
        <v>CoStar03Array</v>
      </c>
      <c r="O46" s="39" t="str">
        <f>VLOOKUP(J46,$J$58:$M$61,4,FALSE)</f>
        <v>CoStar03ArrayHeaderRow</v>
      </c>
      <c r="P46" s="2437"/>
      <c r="Q46" s="2438"/>
    </row>
    <row r="47" spans="2:36" x14ac:dyDescent="0.25">
      <c r="B47" s="993">
        <f t="shared" si="8"/>
        <v>7</v>
      </c>
      <c r="C47" s="994" t="str">
        <f t="shared" si="9"/>
        <v>Direct Net Absorb.</v>
      </c>
      <c r="D47" s="995" t="s">
        <v>1085</v>
      </c>
      <c r="E47" s="2184"/>
      <c r="F47" s="993" t="s">
        <v>138</v>
      </c>
      <c r="G47" s="994" t="s">
        <v>17918</v>
      </c>
      <c r="H47" s="995" t="s">
        <v>17919</v>
      </c>
      <c r="I47" s="39" t="s">
        <v>18085</v>
      </c>
      <c r="J47" s="2436" t="str">
        <f>'MS Charts'!D69</f>
        <v>Northwest Denver - Warehouse</v>
      </c>
      <c r="K47" s="39" t="str">
        <f>LEFT(dpMarketStudy_DataSet_Vacancy_2B,FIND(" -",dpMarketStudy_DataSet_Vacancy_2B)-1)</f>
        <v>Northwest Denver</v>
      </c>
      <c r="L47" s="2437" t="str">
        <f>IF(PROPER(dpMarketStudy_PropertyType)=RIGHT(dpMarketStudy_DataSet_Vacancy_2B,LEN(dpMarketStudy_DataSet_Vacancy_2B)-FIND("- ",dpMarketStudy_DataSet_Vacancy_2B)-1),dpMarketStudy_PropertyType,dpMarketStudy_PropertySubType)</f>
        <v>Warehouse</v>
      </c>
      <c r="M47" s="2437">
        <f t="shared" si="6"/>
        <v>4</v>
      </c>
      <c r="N47" s="2437" t="str">
        <f t="shared" si="7"/>
        <v>CoStar04Array</v>
      </c>
      <c r="O47" s="39" t="str">
        <f>VLOOKUP(J47,$J$58:$M$61,4,FALSE)</f>
        <v>CoStar04ArrayHeaderRow</v>
      </c>
      <c r="P47" s="2437"/>
      <c r="Q47" s="2438"/>
      <c r="AB47" s="53"/>
    </row>
    <row r="48" spans="2:36" x14ac:dyDescent="0.25">
      <c r="B48" s="993">
        <f t="shared" si="8"/>
        <v>8</v>
      </c>
      <c r="C48" s="994" t="str">
        <f t="shared" si="9"/>
        <v>Sublet Net Absorb.</v>
      </c>
      <c r="D48" s="995" t="s">
        <v>1798</v>
      </c>
      <c r="E48" s="2184"/>
      <c r="F48" s="993" t="s">
        <v>1849</v>
      </c>
      <c r="G48" s="994" t="s">
        <v>17918</v>
      </c>
      <c r="H48" s="995" t="s">
        <v>17919</v>
      </c>
      <c r="I48" s="39" t="s">
        <v>18060</v>
      </c>
      <c r="J48" s="2436" t="str">
        <f>'MS Charts'!D27</f>
        <v>Denver MSA - Industrial</v>
      </c>
      <c r="K48" s="39" t="str">
        <f>LEFT(dpMarketStudy_DataSet_Rent_1A,FIND(" -",dpMarketStudy_DataSet_Rent_1A)-1)</f>
        <v>Denver MSA</v>
      </c>
      <c r="L48" s="2437" t="str">
        <f>IF(PROPER(dpMarketStudy_PropertyType)=RIGHT(dpMarketStudy_DataSet_Rent_1A,LEN(dpMarketStudy_DataSet_Rent_1A)-FIND("- ",dpMarketStudy_DataSet_Rent_1A)-1),dpMarketStudy_PropertyType,dpMarketStudy_PropertySubType)</f>
        <v>Industrial</v>
      </c>
      <c r="M48" s="2437">
        <f t="shared" si="6"/>
        <v>1</v>
      </c>
      <c r="N48" s="2437" t="str">
        <f t="shared" si="7"/>
        <v>CoStar01Array</v>
      </c>
      <c r="P48" s="2437" t="str">
        <f>'MS Charts'!G22</f>
        <v>Quarterly</v>
      </c>
      <c r="Q48" s="2438">
        <f>VLOOKUP(P48,$L$36:$M$38,2,FALSE)</f>
        <v>1</v>
      </c>
    </row>
    <row r="49" spans="1:17" x14ac:dyDescent="0.25">
      <c r="B49" s="993">
        <f t="shared" si="8"/>
        <v>9</v>
      </c>
      <c r="C49" s="994" t="str">
        <f t="shared" si="9"/>
        <v>Total Net Absorb.</v>
      </c>
      <c r="D49" s="995" t="s">
        <v>1086</v>
      </c>
      <c r="E49" s="2184"/>
      <c r="F49" s="993" t="s">
        <v>93</v>
      </c>
      <c r="G49" s="994" t="s">
        <v>17918</v>
      </c>
      <c r="H49" s="995" t="s">
        <v>17919</v>
      </c>
      <c r="I49" s="39" t="s">
        <v>18061</v>
      </c>
      <c r="J49" s="2436" t="str">
        <f>'MS Charts'!D29</f>
        <v>Denver MSA - Warehouse</v>
      </c>
      <c r="K49" s="39" t="str">
        <f>LEFT(dpMarketStudy_DataSet_Rent_1B,FIND(" -",dpMarketStudy_DataSet_Rent_1B)-1)</f>
        <v>Denver MSA</v>
      </c>
      <c r="L49" s="2437" t="str">
        <f>IF(PROPER(dpMarketStudy_PropertyType)=RIGHT(dpMarketStudy_DataSet_Rent_1B,LEN(dpMarketStudy_DataSet_Rent_1B)-FIND("- ",dpMarketStudy_DataSet_Rent_1B)-1),dpMarketStudy_PropertyType,dpMarketStudy_PropertySubType)</f>
        <v>Warehouse</v>
      </c>
      <c r="M49" s="2437">
        <f t="shared" si="6"/>
        <v>2</v>
      </c>
      <c r="N49" s="2437" t="str">
        <f t="shared" si="7"/>
        <v>CoStar02Array</v>
      </c>
      <c r="P49" s="2437"/>
      <c r="Q49" s="2438"/>
    </row>
    <row r="50" spans="1:17" x14ac:dyDescent="0.25">
      <c r="B50" s="993">
        <f t="shared" si="8"/>
        <v>10</v>
      </c>
      <c r="C50" s="994" t="str">
        <f t="shared" si="9"/>
        <v>Leases Signed</v>
      </c>
      <c r="D50" s="995" t="s">
        <v>1087</v>
      </c>
      <c r="E50" s="2184"/>
      <c r="F50" s="993"/>
      <c r="G50" s="994" t="s">
        <v>143</v>
      </c>
      <c r="H50" s="995" t="s">
        <v>145</v>
      </c>
      <c r="I50" s="39" t="s">
        <v>18067</v>
      </c>
      <c r="J50" s="2436" t="str">
        <f>'MS Charts'!D40</f>
        <v>Northwest Denver - Industrial</v>
      </c>
      <c r="K50" s="39" t="str">
        <f>LEFT(dpMarketStudy_DataSet_Rent_2A,FIND(" -",dpMarketStudy_DataSet_Rent_2A)-1)</f>
        <v>Northwest Denver</v>
      </c>
      <c r="L50" s="2437" t="str">
        <f>IF(PROPER(dpMarketStudy_PropertyType)=RIGHT(dpMarketStudy_DataSet_Rent_2A,LEN(dpMarketStudy_DataSet_Rent_2A)-FIND("- ",dpMarketStudy_DataSet_Rent_2A)-1),dpMarketStudy_PropertyType,dpMarketStudy_PropertySubType)</f>
        <v>Industrial</v>
      </c>
      <c r="M50" s="2437">
        <f t="shared" si="6"/>
        <v>3</v>
      </c>
      <c r="N50" s="2437" t="str">
        <f t="shared" si="7"/>
        <v>CoStar03Array</v>
      </c>
      <c r="P50" s="2437"/>
      <c r="Q50" s="2438"/>
    </row>
    <row r="51" spans="1:17" ht="15" thickBot="1" x14ac:dyDescent="0.3">
      <c r="B51" s="993">
        <f t="shared" si="8"/>
        <v>11</v>
      </c>
      <c r="C51" s="994" t="str">
        <f t="shared" si="9"/>
        <v>No. of Buildings Deliveries</v>
      </c>
      <c r="D51" s="995" t="s">
        <v>1081</v>
      </c>
      <c r="E51" s="2184"/>
      <c r="F51" s="993" t="s">
        <v>1198</v>
      </c>
      <c r="G51" s="994" t="s">
        <v>136</v>
      </c>
      <c r="H51" s="995" t="s">
        <v>131</v>
      </c>
      <c r="I51" s="39" t="s">
        <v>18068</v>
      </c>
      <c r="J51" s="2436" t="str">
        <f>'MS Charts'!D42</f>
        <v>Northwest Denver - Warehouse</v>
      </c>
      <c r="K51" s="39" t="str">
        <f>LEFT(dpMarketStudy_DataSet_Rent_2B,FIND(" -",dpMarketStudy_DataSet_Rent_2B)-1)</f>
        <v>Northwest Denver</v>
      </c>
      <c r="L51" s="2437" t="str">
        <f>IF(PROPER(dpMarketStudy_PropertyType)=RIGHT(dpMarketStudy_DataSet_Rent_2B,LEN(dpMarketStudy_DataSet_Rent_2B)-FIND("- ",dpMarketStudy_DataSet_Rent_2B)-1),dpMarketStudy_PropertyType,dpMarketStudy_PropertySubType)</f>
        <v>Warehouse</v>
      </c>
      <c r="M51" s="2437">
        <f t="shared" si="6"/>
        <v>4</v>
      </c>
      <c r="N51" s="2437" t="str">
        <f t="shared" si="7"/>
        <v>CoStar04Array</v>
      </c>
      <c r="O51" s="2470"/>
      <c r="P51" s="2470"/>
      <c r="Q51" s="2471"/>
    </row>
    <row r="52" spans="1:17" x14ac:dyDescent="0.25">
      <c r="B52" s="993">
        <f t="shared" si="8"/>
        <v>12</v>
      </c>
      <c r="C52" s="994" t="str">
        <f t="shared" si="9"/>
        <v>Square Feet Delivered</v>
      </c>
      <c r="D52" s="995" t="s">
        <v>1082</v>
      </c>
      <c r="E52" s="2184"/>
      <c r="F52" s="993" t="s">
        <v>17917</v>
      </c>
      <c r="G52" s="994" t="s">
        <v>845</v>
      </c>
      <c r="H52" s="995" t="s">
        <v>144</v>
      </c>
      <c r="I52" s="39" t="s">
        <v>18136</v>
      </c>
      <c r="J52" s="2577" t="str">
        <f>'MS Charts'!D53</f>
        <v>Denver MSA - Industrial</v>
      </c>
      <c r="K52" s="39" t="str">
        <f>LEFT(dpAbsorption_DataSet_1A,FIND(" -",dpAbsorption_DataSet_1A)-1)</f>
        <v>Denver MSA</v>
      </c>
      <c r="L52" s="2437" t="str">
        <f>IF(PROPER(dpMarketStudy_PropertyType)=RIGHT(dpAbsorption_DataSet_1A,LEN(dpAbsorption_DataSet_1A)-FIND("- ",dpAbsorption_DataSet_1A)-1),dpMarketStudy_PropertyType,dpMarketStudy_PropertySubType)</f>
        <v>Industrial</v>
      </c>
      <c r="M52" s="2437">
        <f t="shared" si="6"/>
        <v>1</v>
      </c>
      <c r="N52" s="2578" t="str">
        <f t="shared" si="7"/>
        <v>CoStar01Array</v>
      </c>
      <c r="O52" s="210"/>
      <c r="P52" s="202"/>
      <c r="Q52" s="202"/>
    </row>
    <row r="53" spans="1:17" x14ac:dyDescent="0.25">
      <c r="B53" s="993">
        <f t="shared" si="8"/>
        <v>13</v>
      </c>
      <c r="C53" s="994" t="str">
        <f t="shared" si="9"/>
        <v>Buildings Under Construction</v>
      </c>
      <c r="D53" s="995" t="s">
        <v>1083</v>
      </c>
      <c r="E53" s="2184"/>
      <c r="F53" s="993" t="s">
        <v>136</v>
      </c>
      <c r="G53" s="994" t="s">
        <v>17916</v>
      </c>
      <c r="H53" s="995" t="s">
        <v>91</v>
      </c>
      <c r="I53" s="39" t="s">
        <v>18137</v>
      </c>
      <c r="J53" s="2577" t="str">
        <f>'MS Charts'!D56</f>
        <v>Denver MSA - Warehouse</v>
      </c>
      <c r="K53" s="39" t="str">
        <f>LEFT(dpAbsorption_DataSet_1B,FIND(" -",dpAbsorption_DataSet_1B)-1)</f>
        <v>Denver MSA</v>
      </c>
      <c r="L53" s="2437" t="str">
        <f>IF(PROPER(dpMarketStudy_PropertyType)=RIGHT(dpAbsorption_DataSet_1B,LEN(dpAbsorption_DataSet_1B)-FIND("- ",dpAbsorption_DataSet_1B)-1),dpMarketStudy_PropertyType,dpMarketStudy_PropertySubType)</f>
        <v>Warehouse</v>
      </c>
      <c r="M53" s="2437">
        <f t="shared" si="6"/>
        <v>2</v>
      </c>
      <c r="N53" s="2578" t="str">
        <f t="shared" si="7"/>
        <v>CoStar02Array</v>
      </c>
      <c r="O53" s="210"/>
    </row>
    <row r="54" spans="1:17" x14ac:dyDescent="0.25">
      <c r="B54" s="2187">
        <f t="shared" si="8"/>
        <v>14</v>
      </c>
      <c r="C54" s="2394" t="str">
        <f t="shared" si="9"/>
        <v>Sq. Ft. Under Construction</v>
      </c>
      <c r="D54" s="2325" t="s">
        <v>1084</v>
      </c>
      <c r="E54" s="2184"/>
      <c r="F54" s="993" t="s">
        <v>129</v>
      </c>
      <c r="G54" s="994" t="s">
        <v>17916</v>
      </c>
      <c r="H54" s="995" t="s">
        <v>91</v>
      </c>
      <c r="I54" s="39" t="s">
        <v>18138</v>
      </c>
      <c r="J54" s="2577" t="str">
        <f>'MS Charts'!D66</f>
        <v>Northwest Denver - Industrial</v>
      </c>
      <c r="K54" s="39" t="str">
        <f>LEFT(dpAbsorption_DataSet_2A,FIND(" -",dpAbsorption_DataSet_2A)-1)</f>
        <v>Northwest Denver</v>
      </c>
      <c r="L54" s="2437" t="str">
        <f>IF(PROPER(dpMarketStudy_PropertyType)=RIGHT(dpAbsorption_DataSet_2A,LEN(dpAbsorption_DataSet_2A)-FIND("- ",dpAbsorption_DataSet_2A)-1),dpMarketStudy_PropertyType,dpMarketStudy_PropertySubType)</f>
        <v>Industrial</v>
      </c>
      <c r="M54" s="2437">
        <f t="shared" si="6"/>
        <v>3</v>
      </c>
      <c r="N54" s="2578" t="str">
        <f t="shared" si="7"/>
        <v>CoStar03Array</v>
      </c>
      <c r="O54" s="210"/>
    </row>
    <row r="55" spans="1:17" x14ac:dyDescent="0.25">
      <c r="A55" s="2184">
        <f t="shared" ref="A55:A61" si="10">A56+1</f>
        <v>9</v>
      </c>
      <c r="B55" s="993">
        <f t="shared" si="8"/>
        <v>15</v>
      </c>
      <c r="C55" s="994" t="str">
        <f t="shared" ref="C55:C63" si="11">IFERROR(CONCATENATE(F55," ",G55," ",H55),"")</f>
        <v/>
      </c>
      <c r="D55" s="2321" t="str" cm="1">
        <f t="array" ref="D55">IF(ISNUMBER(FIND("Rent",INDEX(CoStar01Array,1,MIN(COLUMN(CoStar01Array))+COLUMNS(CoStar01Array)-A55),1))=TRUE,INDEX(CoStar01Array,1,MIN(COLUMN(CoStar01Array))+COLUMNS(CoStar01Array)-A55),"")</f>
        <v/>
      </c>
      <c r="E55" s="2184"/>
      <c r="F55" s="2194" t="str">
        <f t="shared" ref="F55:F63" si="12">TRIM(RIGHT(SUBSTITUTE(TRIM(D55)," ",REPT(" ",100)),100))</f>
        <v/>
      </c>
      <c r="G55" s="2322" t="e">
        <f t="shared" ref="G55:G63" si="13">LEFT(D55,FIND("Rent",D55,1)-2)</f>
        <v>#VALUE!</v>
      </c>
      <c r="H55" s="2192" t="s">
        <v>132</v>
      </c>
      <c r="I55" s="39" t="s">
        <v>18139</v>
      </c>
      <c r="J55" s="2577" t="str">
        <f>'MS Charts'!D69</f>
        <v>Northwest Denver - Warehouse</v>
      </c>
      <c r="K55" s="2578" t="str">
        <f>LEFT(dpAbsorption_DataSet_2B,FIND(" -",dpAbsorption_DataSet_2B)-1)</f>
        <v>Northwest Denver</v>
      </c>
      <c r="L55" s="2437" t="str">
        <f>IF(PROPER(dpMarketStudy_PropertyType)=RIGHT(dpAbsorption_DataSet_2B,LEN(dpAbsorption_DataSet_2B)-FIND("- ",dpAbsorption_DataSet_2B)-1),dpMarketStudy_PropertyType,dpMarketStudy_PropertySubType)</f>
        <v>Warehouse</v>
      </c>
      <c r="M55" s="2437">
        <f t="shared" si="6"/>
        <v>4</v>
      </c>
      <c r="N55" s="2578" t="str">
        <f t="shared" si="7"/>
        <v>CoStar04Array</v>
      </c>
      <c r="O55" s="210"/>
    </row>
    <row r="56" spans="1:17" x14ac:dyDescent="0.25">
      <c r="A56" s="2184">
        <f t="shared" si="10"/>
        <v>8</v>
      </c>
      <c r="B56" s="993">
        <f t="shared" si="8"/>
        <v>16</v>
      </c>
      <c r="C56" s="994" t="str">
        <f t="shared" si="11"/>
        <v/>
      </c>
      <c r="D56" s="2321" t="str" cm="1">
        <f t="array" ref="D56">IF(ISNUMBER(FIND("Rent",INDEX(CoStar01Array,1,MIN(COLUMN(CoStar01Array))+COLUMNS(CoStar01Array)-A56),1))=TRUE,INDEX(CoStar01Array,1,MIN(COLUMN(CoStar01Array))+COLUMNS(CoStar01Array)-A56),"")</f>
        <v/>
      </c>
      <c r="E56" s="2184"/>
      <c r="F56" s="993" t="str">
        <f t="shared" si="12"/>
        <v/>
      </c>
      <c r="G56" s="994" t="e">
        <f t="shared" si="13"/>
        <v>#VALUE!</v>
      </c>
      <c r="H56" s="995" t="s">
        <v>132</v>
      </c>
      <c r="I56" s="39" t="s">
        <v>18475</v>
      </c>
      <c r="J56" s="2436" t="str">
        <f>'Income Support'!E5</f>
        <v>Denver MSA - Warehouse</v>
      </c>
      <c r="K56" s="2437" t="str" cm="1">
        <f t="array" ref="K56">LEFT(dpIncome_DataSet_Vacancy_1,FIND(" -",dpIncome_DataSet_Vacancy_1)-1)</f>
        <v>Denver MSA</v>
      </c>
      <c r="L56" s="2437" t="str">
        <f>IF(PROPER(dpMarketStudy_PropertyType)=RIGHT(dpIncome_DataSet_Vacancy_1,LEN(dpIncome_DataSet_Vacancy_1)-FIND("- ",dpIncome_DataSet_Vacancy_1)-1),dpMarketStudy_PropertyType,dpMarketStudy_PropertySubType)</f>
        <v>Warehouse</v>
      </c>
      <c r="M56" s="2437">
        <f t="shared" si="6"/>
        <v>2</v>
      </c>
      <c r="N56" s="2438" t="str">
        <f t="shared" si="7"/>
        <v>CoStar02Array</v>
      </c>
    </row>
    <row r="57" spans="1:17" ht="15" thickBot="1" x14ac:dyDescent="0.3">
      <c r="A57" s="2184">
        <f t="shared" si="10"/>
        <v>7</v>
      </c>
      <c r="B57" s="993">
        <f t="shared" si="8"/>
        <v>17</v>
      </c>
      <c r="C57" s="994" t="str">
        <f t="shared" si="11"/>
        <v/>
      </c>
      <c r="D57" s="2321" t="str" cm="1">
        <f t="array" ref="D57">IF(ISNUMBER(FIND("Rent",INDEX(CoStar01Array,1,MIN(COLUMN(CoStar01Array))+COLUMNS(CoStar01Array)-A57),1))=TRUE,INDEX(CoStar01Array,1,MIN(COLUMN(CoStar01Array))+COLUMNS(CoStar01Array)-A57),"")</f>
        <v/>
      </c>
      <c r="E57" s="2184"/>
      <c r="F57" s="993" t="str">
        <f t="shared" si="12"/>
        <v/>
      </c>
      <c r="G57" s="994" t="e">
        <f t="shared" si="13"/>
        <v>#VALUE!</v>
      </c>
      <c r="H57" s="995" t="s">
        <v>132</v>
      </c>
      <c r="I57" s="39" t="s">
        <v>18476</v>
      </c>
      <c r="J57" s="2897" t="str">
        <f>'Income Support'!F5</f>
        <v>Northwest Denver - Warehouse</v>
      </c>
      <c r="K57" s="2470" t="str">
        <f>LEFT(dpIncome_DataSet_Vacancy_2,FIND(" -",dpIncome_DataSet_Vacancy_2)-1)</f>
        <v>Northwest Denver</v>
      </c>
      <c r="L57" s="2470" t="str">
        <f>IF(PROPER(dpMarketStudy_PropertyType)=RIGHT(dpIncome_DataSet_Vacancy_2,LEN(dpIncome_DataSet_Vacancy_2)-FIND("- ",dpIncome_DataSet_Vacancy_2)-1),dpMarketStudy_PropertyType,dpMarketStudy_PropertySubType)</f>
        <v>Warehouse</v>
      </c>
      <c r="M57" s="2470">
        <f t="shared" si="6"/>
        <v>4</v>
      </c>
      <c r="N57" s="2471" t="str">
        <f t="shared" si="7"/>
        <v>CoStar04Array</v>
      </c>
    </row>
    <row r="58" spans="1:17" x14ac:dyDescent="0.25">
      <c r="A58" s="2184">
        <f t="shared" si="10"/>
        <v>6</v>
      </c>
      <c r="B58" s="993">
        <f t="shared" si="8"/>
        <v>18</v>
      </c>
      <c r="C58" s="994" t="str">
        <f t="shared" si="11"/>
        <v>Direct All Service Type Rental Rate</v>
      </c>
      <c r="D58" s="2321" t="str" cm="1">
        <f t="array" ref="D58">IF(ISNUMBER(FIND("Rent",INDEX(CoStar01Array,1,MIN(COLUMN(CoStar01Array))+COLUMNS(CoStar01Array)-A58),1))=TRUE,INDEX(CoStar01Array,1,MIN(COLUMN(CoStar01Array))+COLUMNS(CoStar01Array)-A58),"")</f>
        <v>All Service Type Rent Direct</v>
      </c>
      <c r="E58" s="2184"/>
      <c r="F58" s="993" t="str">
        <f t="shared" si="12"/>
        <v>Direct</v>
      </c>
      <c r="G58" s="994" t="str">
        <f t="shared" si="13"/>
        <v>All Service Type</v>
      </c>
      <c r="H58" s="995" t="s">
        <v>132</v>
      </c>
      <c r="J58" s="2837" t="str">
        <f>CoStar_Sector1_Master</f>
        <v>Denver MSA - Industrial</v>
      </c>
      <c r="K58" s="2410">
        <v>1</v>
      </c>
      <c r="L58" s="220" t="s">
        <v>18056</v>
      </c>
      <c r="M58" s="198" t="s">
        <v>18089</v>
      </c>
      <c r="N58" s="2835" t="str">
        <f>CONCATENATE('MS Charts'!$E$3," - ",PROPER(dpMarketStudy_PropertyType))</f>
        <v>Denver MSA - Industrial</v>
      </c>
    </row>
    <row r="59" spans="1:17" x14ac:dyDescent="0.25">
      <c r="A59" s="2184">
        <f t="shared" si="10"/>
        <v>5</v>
      </c>
      <c r="B59" s="993">
        <f t="shared" si="8"/>
        <v>19</v>
      </c>
      <c r="C59" s="994" t="str">
        <f t="shared" si="11"/>
        <v>Sublet All Service Type Rental Rate</v>
      </c>
      <c r="D59" s="2321" t="str" cm="1">
        <f t="array" ref="D59">IF(ISNUMBER(FIND("Rent",INDEX(CoStar01Array,1,MIN(COLUMN(CoStar01Array))+COLUMNS(CoStar01Array)-A59),1))=TRUE,INDEX(CoStar01Array,1,MIN(COLUMN(CoStar01Array))+COLUMNS(CoStar01Array)-A59),"")</f>
        <v>All Service Type Rent Sublet</v>
      </c>
      <c r="E59" s="2184"/>
      <c r="F59" s="993" t="str">
        <f t="shared" si="12"/>
        <v>Sublet</v>
      </c>
      <c r="G59" s="994" t="str">
        <f t="shared" si="13"/>
        <v>All Service Type</v>
      </c>
      <c r="H59" s="995" t="s">
        <v>132</v>
      </c>
      <c r="J59" s="2837" t="str">
        <f>CoStar_Sector2_Master</f>
        <v>Denver MSA - Warehouse</v>
      </c>
      <c r="K59" s="2410">
        <f>K58+1</f>
        <v>2</v>
      </c>
      <c r="L59" s="220" t="s">
        <v>18057</v>
      </c>
      <c r="M59" s="198" t="s">
        <v>18090</v>
      </c>
      <c r="N59" s="2835" t="str">
        <f>CONCATENATE('MS Charts'!$E$3," - ",PROPER(dpMarketStudy_PropertySubType))</f>
        <v>Denver MSA - Warehouse</v>
      </c>
    </row>
    <row r="60" spans="1:17" x14ac:dyDescent="0.25">
      <c r="A60" s="2184">
        <f t="shared" si="10"/>
        <v>4</v>
      </c>
      <c r="B60" s="993">
        <f t="shared" si="8"/>
        <v>20</v>
      </c>
      <c r="C60" s="994" t="str">
        <f t="shared" si="11"/>
        <v>Overall All Service Type Rental Rate</v>
      </c>
      <c r="D60" s="2321" t="str" cm="1">
        <f t="array" ref="D60">IF(ISNUMBER(FIND("Rent",INDEX(CoStar01Array,1,MIN(COLUMN(CoStar01Array))+COLUMNS(CoStar01Array)-A60),1))=TRUE,INDEX(CoStar01Array,1,MIN(COLUMN(CoStar01Array))+COLUMNS(CoStar01Array)-A60),"")</f>
        <v>All Service Type Rent Overall</v>
      </c>
      <c r="E60" s="2184"/>
      <c r="F60" s="993" t="str">
        <f t="shared" si="12"/>
        <v>Overall</v>
      </c>
      <c r="G60" s="994" t="str">
        <f t="shared" si="13"/>
        <v>All Service Type</v>
      </c>
      <c r="H60" s="995" t="s">
        <v>132</v>
      </c>
      <c r="J60" s="2837" t="str">
        <f>CoStar_Sector3_Master</f>
        <v>Northwest Denver - Industrial</v>
      </c>
      <c r="K60" s="2410">
        <f>K59+1</f>
        <v>3</v>
      </c>
      <c r="L60" s="220" t="s">
        <v>18058</v>
      </c>
      <c r="M60" s="198" t="s">
        <v>18091</v>
      </c>
      <c r="N60" s="2835" t="str">
        <f>CONCATENATE('MS Charts'!$E$4," - ",PROPER(dpMarketStudy_PropertyType))</f>
        <v>Northwest Denver - Industrial</v>
      </c>
    </row>
    <row r="61" spans="1:17" ht="15" thickBot="1" x14ac:dyDescent="0.3">
      <c r="A61" s="2184">
        <f t="shared" si="10"/>
        <v>3</v>
      </c>
      <c r="B61" s="993">
        <f t="shared" si="8"/>
        <v>21</v>
      </c>
      <c r="C61" s="994" t="str">
        <f t="shared" si="11"/>
        <v>Direct NNN Rental Rate</v>
      </c>
      <c r="D61" s="2321" t="str" cm="1">
        <f t="array" ref="D61">IF(ISNUMBER(FIND("Rent",INDEX(CoStar01Array,1,MIN(COLUMN(CoStar01Array))+COLUMNS(CoStar01Array)-A61),1))=TRUE,INDEX(CoStar01Array,1,MIN(COLUMN(CoStar01Array))+COLUMNS(CoStar01Array)-A61),"")</f>
        <v>NNN Rent Direct</v>
      </c>
      <c r="E61" s="2184"/>
      <c r="F61" s="993" t="str">
        <f t="shared" si="12"/>
        <v>Direct</v>
      </c>
      <c r="G61" s="994" t="str">
        <f t="shared" si="13"/>
        <v>NNN</v>
      </c>
      <c r="H61" s="995" t="s">
        <v>132</v>
      </c>
      <c r="J61" s="2838" t="str">
        <f>CoStar_Sector4_Master</f>
        <v>Northwest Denver - Warehouse</v>
      </c>
      <c r="K61" s="2411">
        <f>K60+1</f>
        <v>4</v>
      </c>
      <c r="L61" s="420" t="s">
        <v>18059</v>
      </c>
      <c r="M61" s="197" t="s">
        <v>18092</v>
      </c>
      <c r="N61" s="2836" t="str">
        <f>CONCATENATE('MS Charts'!$E$4," - ",PROPER(dpMarketStudy_PropertySubType))</f>
        <v>Northwest Denver - Warehouse</v>
      </c>
    </row>
    <row r="62" spans="1:17" ht="15" thickBot="1" x14ac:dyDescent="0.3">
      <c r="A62" s="2184">
        <f>A63+1</f>
        <v>2</v>
      </c>
      <c r="B62" s="993">
        <f>B61+1</f>
        <v>22</v>
      </c>
      <c r="C62" s="994" t="str">
        <f t="shared" si="11"/>
        <v>Sublet NNN Rental Rate</v>
      </c>
      <c r="D62" s="2321" t="str" cm="1">
        <f t="array" ref="D62">IF(ISNUMBER(FIND("Rent",INDEX(CoStar01Array,1,MIN(COLUMN(CoStar01Array))+COLUMNS(CoStar01Array)-A62),1))=TRUE,INDEX(CoStar01Array,1,MIN(COLUMN(CoStar01Array))+COLUMNS(CoStar01Array)-A62),"")</f>
        <v>NNN Rent Sublet</v>
      </c>
      <c r="E62" s="2184"/>
      <c r="F62" s="993" t="str">
        <f t="shared" si="12"/>
        <v>Sublet</v>
      </c>
      <c r="G62" s="994" t="str">
        <f t="shared" si="13"/>
        <v>NNN</v>
      </c>
      <c r="H62" s="995" t="s">
        <v>132</v>
      </c>
    </row>
    <row r="63" spans="1:17" ht="15" thickBot="1" x14ac:dyDescent="0.3">
      <c r="A63" s="2184">
        <v>1</v>
      </c>
      <c r="B63" s="996">
        <f>B62+1</f>
        <v>23</v>
      </c>
      <c r="C63" s="997" t="str">
        <f t="shared" si="11"/>
        <v>Overall NNN Rental Rate</v>
      </c>
      <c r="D63" s="2324" t="str" cm="1">
        <f t="array" ref="D63">IF(ISNUMBER(FIND("Rent",INDEX(CoStar01Array,1,MIN(COLUMN(CoStar01Array))+COLUMNS(CoStar01Array)-A63),1))=TRUE,INDEX(CoStar01Array,1,MIN(COLUMN(CoStar01Array))+COLUMNS(CoStar01Array)-A63),"")</f>
        <v>NNN Rent Overall</v>
      </c>
      <c r="E63" s="2184"/>
      <c r="F63" s="996" t="str">
        <f t="shared" si="12"/>
        <v>Overall</v>
      </c>
      <c r="G63" s="997" t="str">
        <f t="shared" si="13"/>
        <v>NNN</v>
      </c>
      <c r="H63" s="998" t="s">
        <v>132</v>
      </c>
      <c r="J63" s="2575" t="s">
        <v>1032</v>
      </c>
      <c r="K63" s="221"/>
      <c r="L63" s="105" t="s">
        <v>18112</v>
      </c>
      <c r="M63" s="105" t="s">
        <v>18113</v>
      </c>
      <c r="N63" s="105" t="s">
        <v>18114</v>
      </c>
      <c r="O63" s="105" t="s">
        <v>18115</v>
      </c>
    </row>
    <row r="64" spans="1:17" ht="15" thickBot="1" x14ac:dyDescent="0.3">
      <c r="B64" s="20"/>
      <c r="C64" s="20"/>
      <c r="D64" s="20"/>
      <c r="F64" s="20"/>
      <c r="G64" s="20"/>
      <c r="H64" s="20"/>
      <c r="I64" s="39">
        <v>1</v>
      </c>
      <c r="J64" s="80" t="s">
        <v>1033</v>
      </c>
      <c r="K64" s="118" t="s">
        <v>991</v>
      </c>
      <c r="L64" s="876" t="str" cm="1">
        <f t="array" ref="L64">IF(ISNUMBER(FIND("Rent",INDEX(CoStar01Array,1,MIN(COLUMN(CoStar01Array))+COLUMNS(CoStar01Array)-$I64),1))=TRUE,INDEX(CoStar01Array,1,MIN(COLUMN(CoStar01Array))+COLUMNS(CoStar01Array)-$I64),"")</f>
        <v>NNN Rent Overall</v>
      </c>
      <c r="M64" s="876" t="str" cm="1">
        <f t="array" ref="M64">IF(ISNUMBER(FIND("Rent",INDEX(CoStar02Array,1,MIN(COLUMN(CoStar02Array))+COLUMNS(CoStar02Array)-$I64),1))=TRUE,INDEX(CoStar02Array,1,MIN(COLUMN(CoStar02Array))+COLUMNS(CoStar02Array)-$I64),"")</f>
        <v>NNN Rent Overall</v>
      </c>
      <c r="N64" s="876" t="str" cm="1">
        <f t="array" ref="N64">IF(ISNUMBER(FIND("Rent",INDEX(CoStar03Array,1,MIN(COLUMN(CoStar03Array))+COLUMNS(CoStar03Array)-$I64),1))=TRUE,INDEX(CoStar03Array,1,MIN(COLUMN(CoStar03Array))+COLUMNS(CoStar03Array)-$I64),"")</f>
        <v>NNN Rent Overall</v>
      </c>
      <c r="O64" s="876" t="str" cm="1">
        <f t="array" ref="O64">IF(ISNUMBER(FIND("Rent",INDEX(CoStar04Array,1,MIN(COLUMN(CoStar04Array))+COLUMNS(CoStar04Array)-$I64),1))=TRUE,INDEX(CoStar04Array,1,MIN(COLUMN(CoStar04Array))+COLUMNS(CoStar04Array)-$I64),"")</f>
        <v/>
      </c>
    </row>
    <row r="65" spans="2:15" ht="15" customHeight="1" x14ac:dyDescent="0.25">
      <c r="B65" s="4364" t="s">
        <v>137</v>
      </c>
      <c r="C65" s="4365"/>
      <c r="D65" s="4366"/>
      <c r="F65" s="4364" t="s">
        <v>146</v>
      </c>
      <c r="G65" s="4365"/>
      <c r="H65" s="4366"/>
      <c r="I65" s="39">
        <f t="shared" ref="I65:I72" si="14">I64+1</f>
        <v>2</v>
      </c>
      <c r="J65" s="177" t="s">
        <v>407</v>
      </c>
      <c r="K65" s="711" t="s">
        <v>1034</v>
      </c>
      <c r="L65" s="876" t="str" cm="1">
        <f t="array" ref="L65">IF(ISNUMBER(FIND("Rent",INDEX(CoStar01Array,1,MIN(COLUMN(CoStar01Array))+COLUMNS(CoStar01Array)-$I65),1))=TRUE,INDEX(CoStar01Array,1,MIN(COLUMN(CoStar01Array))+COLUMNS(CoStar01Array)-$I65),"")</f>
        <v>NNN Rent Sublet</v>
      </c>
      <c r="M65" s="876" t="str" cm="1">
        <f t="array" ref="M65">IF(ISNUMBER(FIND("Rent",INDEX(CoStar02Array,1,MIN(COLUMN(CoStar02Array))+COLUMNS(CoStar02Array)-$I65),1))=TRUE,INDEX(CoStar02Array,1,MIN(COLUMN(CoStar02Array))+COLUMNS(CoStar02Array)-$I65),"")</f>
        <v>NNN Rent Sublet</v>
      </c>
      <c r="N65" s="876" t="str" cm="1">
        <f t="array" ref="N65">IF(ISNUMBER(FIND("Rent",INDEX(CoStar03Array,1,MIN(COLUMN(CoStar03Array))+COLUMNS(CoStar03Array)-$I65),1))=TRUE,INDEX(CoStar03Array,1,MIN(COLUMN(CoStar03Array))+COLUMNS(CoStar03Array)-$I65),"")</f>
        <v>NNN Rent Sublet</v>
      </c>
      <c r="O65" s="876" t="str" cm="1">
        <f t="array" ref="O65">IF(ISNUMBER(FIND("Rent",INDEX(CoStar04Array,1,MIN(COLUMN(CoStar04Array))+COLUMNS(CoStar04Array)-$I65),1))=TRUE,INDEX(CoStar04Array,1,MIN(COLUMN(CoStar04Array))+COLUMNS(CoStar04Array)-$I65),"")</f>
        <v/>
      </c>
    </row>
    <row r="66" spans="2:15" x14ac:dyDescent="0.25">
      <c r="B66" s="987">
        <v>14</v>
      </c>
      <c r="C66" s="988"/>
      <c r="D66" s="989" t="str">
        <f>VLOOKUP(B66,B67:D89,3)</f>
        <v>Under Construction SF</v>
      </c>
      <c r="F66" s="990" t="str">
        <f>IF(VLOOKUP(B66,B67:H89,5)=0,"",VLOOKUP(B66,B67:H89,5))</f>
        <v>Sq. Ft.</v>
      </c>
      <c r="G66" s="991" t="str">
        <f>IF(VLOOKUP(B66,B67:H89,6)=0,"",VLOOKUP(B66,B67:H89,6))</f>
        <v>Under</v>
      </c>
      <c r="H66" s="992" t="str">
        <f>IF(VLOOKUP(B66,B67:H89,7)=0,"",VLOOKUP(B66,B67:H89,7))</f>
        <v>Construction</v>
      </c>
      <c r="I66" s="39">
        <f t="shared" si="14"/>
        <v>3</v>
      </c>
      <c r="J66" s="199" t="s">
        <v>1035</v>
      </c>
      <c r="K66" s="712">
        <v>1000</v>
      </c>
      <c r="L66" s="876" t="str" cm="1">
        <f t="array" ref="L66">IF(ISNUMBER(FIND("Rent",INDEX(CoStar01Array,1,MIN(COLUMN(CoStar01Array))+COLUMNS(CoStar01Array)-$I66),1))=TRUE,INDEX(CoStar01Array,1,MIN(COLUMN(CoStar01Array))+COLUMNS(CoStar01Array)-$I66),"")</f>
        <v>NNN Rent Direct</v>
      </c>
      <c r="M66" s="876" t="str" cm="1">
        <f t="array" ref="M66">IF(ISNUMBER(FIND("Rent",INDEX(CoStar02Array,1,MIN(COLUMN(CoStar02Array))+COLUMNS(CoStar02Array)-$I66),1))=TRUE,INDEX(CoStar02Array,1,MIN(COLUMN(CoStar02Array))+COLUMNS(CoStar02Array)-$I66),"")</f>
        <v>NNN Rent Direct</v>
      </c>
      <c r="N66" s="876" t="str" cm="1">
        <f t="array" ref="N66">IF(ISNUMBER(FIND("Rent",INDEX(CoStar03Array,1,MIN(COLUMN(CoStar03Array))+COLUMNS(CoStar03Array)-$I66),1))=TRUE,INDEX(CoStar03Array,1,MIN(COLUMN(CoStar03Array))+COLUMNS(CoStar03Array)-$I66),"")</f>
        <v>NNN Rent Direct</v>
      </c>
      <c r="O66" s="876" t="str" cm="1">
        <f t="array" ref="O66">IF(ISNUMBER(FIND("Rent",INDEX(CoStar04Array,1,MIN(COLUMN(CoStar04Array))+COLUMNS(CoStar04Array)-$I66),1))=TRUE,INDEX(CoStar04Array,1,MIN(COLUMN(CoStar04Array))+COLUMNS(CoStar04Array)-$I66),"")</f>
        <v/>
      </c>
    </row>
    <row r="67" spans="2:15" x14ac:dyDescent="0.25">
      <c r="B67" s="993">
        <v>1</v>
      </c>
      <c r="C67" s="994" t="str">
        <f>IF(F67="",CONCATENATE(G67," ",H67),CONCATENATE(F67," ",G67," ",H67))</f>
        <v>No. of Buildings</v>
      </c>
      <c r="D67" s="2192" t="s">
        <v>1079</v>
      </c>
      <c r="E67" s="2184"/>
      <c r="F67" s="993"/>
      <c r="G67" s="994" t="s">
        <v>1198</v>
      </c>
      <c r="H67" s="995" t="s">
        <v>136</v>
      </c>
      <c r="I67" s="39">
        <f t="shared" si="14"/>
        <v>4</v>
      </c>
      <c r="J67" s="199" t="s">
        <v>1036</v>
      </c>
      <c r="K67" s="712">
        <v>5000</v>
      </c>
      <c r="L67" s="876" t="str" cm="1">
        <f t="array" ref="L67">IF(ISNUMBER(FIND("Rent",INDEX(CoStar01Array,1,MIN(COLUMN(CoStar01Array))+COLUMNS(CoStar01Array)-$I67),1))=TRUE,INDEX(CoStar01Array,1,MIN(COLUMN(CoStar01Array))+COLUMNS(CoStar01Array)-$I67),"")</f>
        <v>All Service Type Rent Overall</v>
      </c>
      <c r="M67" s="876" t="str" cm="1">
        <f t="array" ref="M67">IF(ISNUMBER(FIND("Rent",INDEX(CoStar02Array,1,MIN(COLUMN(CoStar02Array))+COLUMNS(CoStar02Array)-$I67),1))=TRUE,INDEX(CoStar02Array,1,MIN(COLUMN(CoStar02Array))+COLUMNS(CoStar02Array)-$I67),"")</f>
        <v>All Service Type Rent Overall</v>
      </c>
      <c r="N67" s="876" t="str" cm="1">
        <f t="array" ref="N67">IF(ISNUMBER(FIND("Rent",INDEX(CoStar03Array,1,MIN(COLUMN(CoStar03Array))+COLUMNS(CoStar03Array)-$I67),1))=TRUE,INDEX(CoStar03Array,1,MIN(COLUMN(CoStar03Array))+COLUMNS(CoStar03Array)-$I67),"")</f>
        <v>All Service Type Rent Overall</v>
      </c>
      <c r="O67" s="876" t="str" cm="1">
        <f t="array" ref="O67">IF(ISNUMBER(FIND("Rent",INDEX(CoStar04Array,1,MIN(COLUMN(CoStar04Array))+COLUMNS(CoStar04Array)-$I67),1))=TRUE,INDEX(CoStar04Array,1,MIN(COLUMN(CoStar04Array))+COLUMNS(CoStar04Array)-$I67),"")</f>
        <v/>
      </c>
    </row>
    <row r="68" spans="2:15" x14ac:dyDescent="0.25">
      <c r="B68" s="993">
        <f t="shared" ref="B68:B87" si="15">B67+1</f>
        <v>2</v>
      </c>
      <c r="C68" s="994" t="str">
        <f t="shared" ref="C68:C80" si="16">IF(F68="",CONCATENATE(G68," ",H68),CONCATENATE(F68," ",G68," ",H68))</f>
        <v>Inventory Square Feet</v>
      </c>
      <c r="D68" s="995" t="s">
        <v>1080</v>
      </c>
      <c r="E68" s="2184"/>
      <c r="F68" s="993"/>
      <c r="G68" s="994" t="s">
        <v>1850</v>
      </c>
      <c r="H68" s="995" t="s">
        <v>140</v>
      </c>
      <c r="I68" s="39">
        <f t="shared" si="14"/>
        <v>5</v>
      </c>
      <c r="J68" s="199" t="s">
        <v>1037</v>
      </c>
      <c r="K68" s="712">
        <v>10000</v>
      </c>
      <c r="L68" s="876" t="str" cm="1">
        <f t="array" ref="L68">IF(ISNUMBER(FIND("Rent",INDEX(CoStar01Array,1,MIN(COLUMN(CoStar01Array))+COLUMNS(CoStar01Array)-$I68),1))=TRUE,INDEX(CoStar01Array,1,MIN(COLUMN(CoStar01Array))+COLUMNS(CoStar01Array)-$I68),"")</f>
        <v>All Service Type Rent Sublet</v>
      </c>
      <c r="M68" s="876" t="str" cm="1">
        <f t="array" ref="M68">IF(ISNUMBER(FIND("Rent",INDEX(CoStar02Array,1,MIN(COLUMN(CoStar02Array))+COLUMNS(CoStar02Array)-$I68),1))=TRUE,INDEX(CoStar02Array,1,MIN(COLUMN(CoStar02Array))+COLUMNS(CoStar02Array)-$I68),"")</f>
        <v>All Service Type Rent Sublet</v>
      </c>
      <c r="N68" s="876" t="str" cm="1">
        <f t="array" ref="N68">IF(ISNUMBER(FIND("Rent",INDEX(CoStar03Array,1,MIN(COLUMN(CoStar03Array))+COLUMNS(CoStar03Array)-$I68),1))=TRUE,INDEX(CoStar03Array,1,MIN(COLUMN(CoStar03Array))+COLUMNS(CoStar03Array)-$I68),"")</f>
        <v>All Service Type Rent Sublet</v>
      </c>
      <c r="O68" s="876" t="str" cm="1">
        <f t="array" ref="O68">IF(ISNUMBER(FIND("Rent",INDEX(CoStar04Array,1,MIN(COLUMN(CoStar04Array))+COLUMNS(CoStar04Array)-$I68),1))=TRUE,INDEX(CoStar04Array,1,MIN(COLUMN(CoStar04Array))+COLUMNS(CoStar04Array)-$I68),"")</f>
        <v/>
      </c>
    </row>
    <row r="69" spans="2:15" x14ac:dyDescent="0.25">
      <c r="B69" s="993">
        <f t="shared" si="15"/>
        <v>3</v>
      </c>
      <c r="C69" s="994" t="str">
        <f t="shared" si="16"/>
        <v>Direct Vacancy</v>
      </c>
      <c r="D69" s="995" t="s">
        <v>1794</v>
      </c>
      <c r="E69" s="2184"/>
      <c r="F69" s="993"/>
      <c r="G69" s="994" t="s">
        <v>138</v>
      </c>
      <c r="H69" s="995" t="s">
        <v>509</v>
      </c>
      <c r="I69" s="39">
        <f t="shared" si="14"/>
        <v>6</v>
      </c>
      <c r="J69" s="199" t="s">
        <v>1038</v>
      </c>
      <c r="K69" s="712">
        <v>50000</v>
      </c>
      <c r="L69" s="876" t="str" cm="1">
        <f t="array" ref="L69">IF(ISNUMBER(FIND("Rent",INDEX(CoStar01Array,1,MIN(COLUMN(CoStar01Array))+COLUMNS(CoStar01Array)-$I69),1))=TRUE,INDEX(CoStar01Array,1,MIN(COLUMN(CoStar01Array))+COLUMNS(CoStar01Array)-$I69),"")</f>
        <v>All Service Type Rent Direct</v>
      </c>
      <c r="M69" s="876" t="str" cm="1">
        <f t="array" ref="M69">IF(ISNUMBER(FIND("Rent",INDEX(CoStar02Array,1,MIN(COLUMN(CoStar02Array))+COLUMNS(CoStar02Array)-$I69),1))=TRUE,INDEX(CoStar02Array,1,MIN(COLUMN(CoStar02Array))+COLUMNS(CoStar02Array)-$I69),"")</f>
        <v>All Service Type Rent Direct</v>
      </c>
      <c r="N69" s="876" t="str" cm="1">
        <f t="array" ref="N69">IF(ISNUMBER(FIND("Rent",INDEX(CoStar03Array,1,MIN(COLUMN(CoStar03Array))+COLUMNS(CoStar03Array)-$I69),1))=TRUE,INDEX(CoStar03Array,1,MIN(COLUMN(CoStar03Array))+COLUMNS(CoStar03Array)-$I69),"")</f>
        <v>All Service Type Rent Direct</v>
      </c>
      <c r="O69" s="876" t="str" cm="1">
        <f t="array" ref="O69">IF(ISNUMBER(FIND("Rent",INDEX(CoStar04Array,1,MIN(COLUMN(CoStar04Array))+COLUMNS(CoStar04Array)-$I69),1))=TRUE,INDEX(CoStar04Array,1,MIN(COLUMN(CoStar04Array))+COLUMNS(CoStar04Array)-$I69),"")</f>
        <v/>
      </c>
    </row>
    <row r="70" spans="2:15" x14ac:dyDescent="0.25">
      <c r="B70" s="993">
        <f t="shared" si="15"/>
        <v>4</v>
      </c>
      <c r="C70" s="994" t="str">
        <f t="shared" si="16"/>
        <v>Sublet Vacancy</v>
      </c>
      <c r="D70" s="995" t="s">
        <v>1795</v>
      </c>
      <c r="E70" s="2184"/>
      <c r="F70" s="993"/>
      <c r="G70" s="994" t="s">
        <v>1849</v>
      </c>
      <c r="H70" s="995" t="s">
        <v>509</v>
      </c>
      <c r="I70" s="39">
        <f t="shared" si="14"/>
        <v>7</v>
      </c>
      <c r="J70" s="199" t="s">
        <v>1039</v>
      </c>
      <c r="K70" s="712">
        <v>100000</v>
      </c>
      <c r="L70" s="876" t="str" cm="1">
        <f t="array" ref="L70">IF(ISNUMBER(FIND("Rent",INDEX(CoStar01Array,1,MIN(COLUMN(CoStar01Array))+COLUMNS(CoStar01Array)-$I70),1))=TRUE,INDEX(CoStar01Array,1,MIN(COLUMN(CoStar01Array))+COLUMNS(CoStar01Array)-$I70),"")</f>
        <v/>
      </c>
      <c r="M70" s="876" t="str" cm="1">
        <f t="array" ref="M70">IF(ISNUMBER(FIND("Rent",INDEX(CoStar02Array,1,MIN(COLUMN(CoStar02Array))+COLUMNS(CoStar02Array)-$I70),1))=TRUE,INDEX(CoStar02Array,1,MIN(COLUMN(CoStar02Array))+COLUMNS(CoStar02Array)-$I70),"")</f>
        <v/>
      </c>
      <c r="N70" s="876" t="str" cm="1">
        <f t="array" ref="N70">IF(ISNUMBER(FIND("Rent",INDEX(CoStar03Array,1,MIN(COLUMN(CoStar03Array))+COLUMNS(CoStar03Array)-$I70),1))=TRUE,INDEX(CoStar03Array,1,MIN(COLUMN(CoStar03Array))+COLUMNS(CoStar03Array)-$I70),"")</f>
        <v/>
      </c>
      <c r="O70" s="876" t="str" cm="1">
        <f t="array" ref="O70">IF(ISNUMBER(FIND("Rent",INDEX(CoStar04Array,1,MIN(COLUMN(CoStar04Array))+COLUMNS(CoStar04Array)-$I70),1))=TRUE,INDEX(CoStar04Array,1,MIN(COLUMN(CoStar04Array))+COLUMNS(CoStar04Array)-$I70),"")</f>
        <v/>
      </c>
    </row>
    <row r="71" spans="2:15" x14ac:dyDescent="0.25">
      <c r="B71" s="993">
        <f t="shared" si="15"/>
        <v>5</v>
      </c>
      <c r="C71" s="994" t="str">
        <f t="shared" si="16"/>
        <v>Total Vacancy</v>
      </c>
      <c r="D71" s="995" t="s">
        <v>1796</v>
      </c>
      <c r="E71" s="2184"/>
      <c r="F71" s="993"/>
      <c r="G71" s="994" t="s">
        <v>93</v>
      </c>
      <c r="H71" s="995" t="s">
        <v>509</v>
      </c>
      <c r="I71" s="39">
        <f t="shared" si="14"/>
        <v>8</v>
      </c>
      <c r="J71" s="199" t="s">
        <v>1040</v>
      </c>
      <c r="K71" s="712">
        <v>500000</v>
      </c>
      <c r="L71" s="876" t="str" cm="1">
        <f t="array" ref="L71">IF(ISNUMBER(FIND("Rent",INDEX(CoStar01Array,1,MIN(COLUMN(CoStar01Array))+COLUMNS(CoStar01Array)-$I71),1))=TRUE,INDEX(CoStar01Array,1,MIN(COLUMN(CoStar01Array))+COLUMNS(CoStar01Array)-$I71),"")</f>
        <v/>
      </c>
      <c r="M71" s="876" t="str" cm="1">
        <f t="array" ref="M71">IF(ISNUMBER(FIND("Rent",INDEX(CoStar02Array,1,MIN(COLUMN(CoStar02Array))+COLUMNS(CoStar02Array)-$I71),1))=TRUE,INDEX(CoStar02Array,1,MIN(COLUMN(CoStar02Array))+COLUMNS(CoStar02Array)-$I71),"")</f>
        <v/>
      </c>
      <c r="N71" s="876" t="str" cm="1">
        <f t="array" ref="N71">IF(ISNUMBER(FIND("Rent",INDEX(CoStar03Array,1,MIN(COLUMN(CoStar03Array))+COLUMNS(CoStar03Array)-$I71),1))=TRUE,INDEX(CoStar03Array,1,MIN(COLUMN(CoStar03Array))+COLUMNS(CoStar03Array)-$I71),"")</f>
        <v/>
      </c>
      <c r="O71" s="876" t="str" cm="1">
        <f t="array" ref="O71">IF(ISNUMBER(FIND("Rent",INDEX(CoStar04Array,1,MIN(COLUMN(CoStar04Array))+COLUMNS(CoStar04Array)-$I71),1))=TRUE,INDEX(CoStar04Array,1,MIN(COLUMN(CoStar04Array))+COLUMNS(CoStar04Array)-$I71),"")</f>
        <v/>
      </c>
    </row>
    <row r="72" spans="2:15" ht="15" thickBot="1" x14ac:dyDescent="0.3">
      <c r="B72" s="993">
        <f t="shared" si="15"/>
        <v>6</v>
      </c>
      <c r="C72" s="994" t="str">
        <f t="shared" si="16"/>
        <v xml:space="preserve"> Occupancy</v>
      </c>
      <c r="D72" s="995" t="s">
        <v>1797</v>
      </c>
      <c r="E72" s="2184"/>
      <c r="F72" s="993"/>
      <c r="G72" s="994"/>
      <c r="H72" s="995" t="s">
        <v>268</v>
      </c>
      <c r="I72" s="39">
        <f t="shared" si="14"/>
        <v>9</v>
      </c>
      <c r="J72" s="201" t="s">
        <v>1041</v>
      </c>
      <c r="K72" s="713">
        <v>1000000</v>
      </c>
      <c r="L72" s="877" t="str" cm="1">
        <f t="array" ref="L72">IF(ISNUMBER(FIND("Rent",INDEX(CoStar01Array,1,MIN(COLUMN(CoStar01Array))+COLUMNS(CoStar01Array)-$I72),1))=TRUE,INDEX(CoStar01Array,1,MIN(COLUMN(CoStar01Array))+COLUMNS(CoStar01Array)-$I72),"")</f>
        <v/>
      </c>
      <c r="M72" s="877" t="str" cm="1">
        <f t="array" ref="M72">IF(ISNUMBER(FIND("Rent",INDEX(CoStar02Array,1,MIN(COLUMN(CoStar02Array))+COLUMNS(CoStar02Array)-$I72),1))=TRUE,INDEX(CoStar02Array,1,MIN(COLUMN(CoStar02Array))+COLUMNS(CoStar02Array)-$I72),"")</f>
        <v/>
      </c>
      <c r="N72" s="877" t="str" cm="1">
        <f t="array" ref="N72">IF(ISNUMBER(FIND("Rent",INDEX(CoStar03Array,1,MIN(COLUMN(CoStar03Array))+COLUMNS(CoStar03Array)-$I72),1))=TRUE,INDEX(CoStar03Array,1,MIN(COLUMN(CoStar03Array))+COLUMNS(CoStar03Array)-$I72),"")</f>
        <v/>
      </c>
      <c r="O72" s="877" t="str" cm="1">
        <f t="array" ref="O72">IF(ISNUMBER(FIND("Rent",INDEX(CoStar04Array,1,MIN(COLUMN(CoStar04Array))+COLUMNS(CoStar04Array)-$I72),1))=TRUE,INDEX(CoStar04Array,1,MIN(COLUMN(CoStar04Array))+COLUMNS(CoStar04Array)-$I72),"")</f>
        <v/>
      </c>
    </row>
    <row r="73" spans="2:15" x14ac:dyDescent="0.25">
      <c r="B73" s="993">
        <f t="shared" si="15"/>
        <v>7</v>
      </c>
      <c r="C73" s="994" t="str">
        <f t="shared" si="16"/>
        <v>Direct Net Absorb.</v>
      </c>
      <c r="D73" s="995" t="s">
        <v>1085</v>
      </c>
      <c r="E73" s="2184"/>
      <c r="F73" s="993" t="s">
        <v>138</v>
      </c>
      <c r="G73" s="994" t="s">
        <v>17918</v>
      </c>
      <c r="H73" s="995" t="s">
        <v>17919</v>
      </c>
      <c r="L73" s="2575" t="s">
        <v>18131</v>
      </c>
      <c r="M73" s="221"/>
      <c r="N73" s="2564"/>
      <c r="O73" s="2564"/>
    </row>
    <row r="74" spans="2:15" x14ac:dyDescent="0.25">
      <c r="B74" s="993">
        <f t="shared" si="15"/>
        <v>8</v>
      </c>
      <c r="C74" s="994" t="str">
        <f t="shared" si="16"/>
        <v>Sublet Net Absorb.</v>
      </c>
      <c r="D74" s="995" t="s">
        <v>1798</v>
      </c>
      <c r="E74" s="2184"/>
      <c r="F74" s="993" t="s">
        <v>1849</v>
      </c>
      <c r="G74" s="994" t="s">
        <v>17918</v>
      </c>
      <c r="H74" s="995" t="s">
        <v>17919</v>
      </c>
      <c r="L74" s="2576" t="str">
        <f>'MS Charts'!D48</f>
        <v>Direct Vacancy</v>
      </c>
      <c r="M74" s="2565" t="str">
        <f>VLOOKUP(L74,L75:M77,2,FALSE)</f>
        <v>Vacant Percent % Direct</v>
      </c>
    </row>
    <row r="75" spans="2:15" x14ac:dyDescent="0.25">
      <c r="B75" s="993">
        <f t="shared" si="15"/>
        <v>9</v>
      </c>
      <c r="C75" s="994" t="str">
        <f t="shared" si="16"/>
        <v>Total Net Absorb.</v>
      </c>
      <c r="D75" s="995" t="s">
        <v>1086</v>
      </c>
      <c r="E75" s="2184"/>
      <c r="F75" s="993" t="s">
        <v>93</v>
      </c>
      <c r="G75" s="994" t="s">
        <v>17918</v>
      </c>
      <c r="H75" s="995" t="s">
        <v>17919</v>
      </c>
      <c r="L75" s="210" t="s">
        <v>18134</v>
      </c>
      <c r="M75" s="995" t="s">
        <v>18404</v>
      </c>
    </row>
    <row r="76" spans="2:15" x14ac:dyDescent="0.25">
      <c r="B76" s="993">
        <f t="shared" si="15"/>
        <v>10</v>
      </c>
      <c r="C76" s="994" t="str">
        <f t="shared" si="16"/>
        <v>Leases Signed</v>
      </c>
      <c r="D76" s="995" t="s">
        <v>1087</v>
      </c>
      <c r="E76" s="2184"/>
      <c r="F76" s="993"/>
      <c r="G76" s="994" t="s">
        <v>143</v>
      </c>
      <c r="H76" s="995" t="s">
        <v>145</v>
      </c>
      <c r="L76" s="210" t="s">
        <v>18132</v>
      </c>
      <c r="M76" s="995" t="s">
        <v>18405</v>
      </c>
    </row>
    <row r="77" spans="2:15" ht="15" thickBot="1" x14ac:dyDescent="0.3">
      <c r="B77" s="993">
        <f t="shared" si="15"/>
        <v>11</v>
      </c>
      <c r="C77" s="994" t="str">
        <f t="shared" si="16"/>
        <v>No. of Buildings Deliveries</v>
      </c>
      <c r="D77" s="995" t="s">
        <v>1081</v>
      </c>
      <c r="E77" s="2184"/>
      <c r="F77" s="993" t="s">
        <v>1198</v>
      </c>
      <c r="G77" s="994" t="s">
        <v>136</v>
      </c>
      <c r="H77" s="995" t="s">
        <v>131</v>
      </c>
      <c r="L77" s="185" t="s">
        <v>18133</v>
      </c>
      <c r="M77" s="998" t="s">
        <v>18406</v>
      </c>
    </row>
    <row r="78" spans="2:15" x14ac:dyDescent="0.25">
      <c r="B78" s="993">
        <f t="shared" si="15"/>
        <v>12</v>
      </c>
      <c r="C78" s="994" t="str">
        <f t="shared" si="16"/>
        <v>Square Feet Delivered</v>
      </c>
      <c r="D78" s="995" t="s">
        <v>1082</v>
      </c>
      <c r="E78" s="2184"/>
      <c r="F78" s="993" t="s">
        <v>17917</v>
      </c>
      <c r="G78" s="994" t="s">
        <v>845</v>
      </c>
      <c r="H78" s="995" t="s">
        <v>144</v>
      </c>
    </row>
    <row r="79" spans="2:15" x14ac:dyDescent="0.25">
      <c r="B79" s="993">
        <f t="shared" si="15"/>
        <v>13</v>
      </c>
      <c r="C79" s="994" t="str">
        <f t="shared" si="16"/>
        <v>Buildings Under Construction</v>
      </c>
      <c r="D79" s="995" t="s">
        <v>1083</v>
      </c>
      <c r="E79" s="2184"/>
      <c r="F79" s="993" t="s">
        <v>136</v>
      </c>
      <c r="G79" s="994" t="s">
        <v>17916</v>
      </c>
      <c r="H79" s="995" t="s">
        <v>91</v>
      </c>
    </row>
    <row r="80" spans="2:15" x14ac:dyDescent="0.25">
      <c r="B80" s="2187">
        <f t="shared" si="15"/>
        <v>14</v>
      </c>
      <c r="C80" s="2394" t="str">
        <f t="shared" si="16"/>
        <v>Sq. Ft. Under Construction</v>
      </c>
      <c r="D80" s="2325" t="s">
        <v>1084</v>
      </c>
      <c r="E80" s="2184"/>
      <c r="F80" s="993" t="s">
        <v>129</v>
      </c>
      <c r="G80" s="994" t="s">
        <v>17916</v>
      </c>
      <c r="H80" s="995" t="s">
        <v>91</v>
      </c>
    </row>
    <row r="81" spans="1:8" x14ac:dyDescent="0.25">
      <c r="A81" s="2184">
        <f t="shared" ref="A81:A87" si="17">A82+1</f>
        <v>9</v>
      </c>
      <c r="B81" s="993">
        <f t="shared" si="15"/>
        <v>15</v>
      </c>
      <c r="C81" s="994" t="str">
        <f t="shared" ref="C81:C89" si="18">IFERROR(CONCATENATE(F81," ",G81," ",H81),"")</f>
        <v/>
      </c>
      <c r="D81" s="2321" t="str" cm="1">
        <f t="array" ref="D81">IF(ISNUMBER(FIND("Rent",INDEX(CoStar01Array,1,MIN(COLUMN(CoStar01Array))+COLUMNS(CoStar01Array)-A81),1))=TRUE,INDEX(CoStar01Array,1,MIN(COLUMN(CoStar01Array))+COLUMNS(CoStar01Array)-A81),"")</f>
        <v/>
      </c>
      <c r="E81" s="2184"/>
      <c r="F81" s="2194" t="str">
        <f t="shared" ref="F81:F89" si="19">TRIM(RIGHT(SUBSTITUTE(TRIM(D81)," ",REPT(" ",100)),100))</f>
        <v/>
      </c>
      <c r="G81" s="2322" t="e">
        <f t="shared" ref="G81:G89" si="20">LEFT(D81,FIND("Rent",D81,1)-2)</f>
        <v>#VALUE!</v>
      </c>
      <c r="H81" s="2192" t="s">
        <v>132</v>
      </c>
    </row>
    <row r="82" spans="1:8" x14ac:dyDescent="0.25">
      <c r="A82" s="2184">
        <f t="shared" si="17"/>
        <v>8</v>
      </c>
      <c r="B82" s="993">
        <f t="shared" si="15"/>
        <v>16</v>
      </c>
      <c r="C82" s="994" t="str">
        <f t="shared" si="18"/>
        <v/>
      </c>
      <c r="D82" s="2321" t="str" cm="1">
        <f t="array" ref="D82">IF(ISNUMBER(FIND("Rent",INDEX(CoStar01Array,1,MIN(COLUMN(CoStar01Array))+COLUMNS(CoStar01Array)-A82),1))=TRUE,INDEX(CoStar01Array,1,MIN(COLUMN(CoStar01Array))+COLUMNS(CoStar01Array)-A82),"")</f>
        <v/>
      </c>
      <c r="E82" s="2184"/>
      <c r="F82" s="993" t="str">
        <f t="shared" si="19"/>
        <v/>
      </c>
      <c r="G82" s="994" t="e">
        <f t="shared" si="20"/>
        <v>#VALUE!</v>
      </c>
      <c r="H82" s="995" t="s">
        <v>132</v>
      </c>
    </row>
    <row r="83" spans="1:8" x14ac:dyDescent="0.25">
      <c r="A83" s="2184">
        <f t="shared" si="17"/>
        <v>7</v>
      </c>
      <c r="B83" s="993">
        <f t="shared" si="15"/>
        <v>17</v>
      </c>
      <c r="C83" s="994" t="str">
        <f t="shared" si="18"/>
        <v/>
      </c>
      <c r="D83" s="2321" t="str" cm="1">
        <f t="array" ref="D83">IF(ISNUMBER(FIND("Rent",INDEX(CoStar01Array,1,MIN(COLUMN(CoStar01Array))+COLUMNS(CoStar01Array)-A83),1))=TRUE,INDEX(CoStar01Array,1,MIN(COLUMN(CoStar01Array))+COLUMNS(CoStar01Array)-A83),"")</f>
        <v/>
      </c>
      <c r="E83" s="2184"/>
      <c r="F83" s="993" t="str">
        <f t="shared" si="19"/>
        <v/>
      </c>
      <c r="G83" s="994" t="e">
        <f t="shared" si="20"/>
        <v>#VALUE!</v>
      </c>
      <c r="H83" s="995" t="s">
        <v>132</v>
      </c>
    </row>
    <row r="84" spans="1:8" x14ac:dyDescent="0.25">
      <c r="A84" s="2184">
        <f t="shared" si="17"/>
        <v>6</v>
      </c>
      <c r="B84" s="993">
        <f t="shared" si="15"/>
        <v>18</v>
      </c>
      <c r="C84" s="994" t="str">
        <f t="shared" si="18"/>
        <v>Direct All Service Type Rental Rate</v>
      </c>
      <c r="D84" s="2321" t="str" cm="1">
        <f t="array" ref="D84">IF(ISNUMBER(FIND("Rent",INDEX(CoStar01Array,1,MIN(COLUMN(CoStar01Array))+COLUMNS(CoStar01Array)-A84),1))=TRUE,INDEX(CoStar01Array,1,MIN(COLUMN(CoStar01Array))+COLUMNS(CoStar01Array)-A84),"")</f>
        <v>All Service Type Rent Direct</v>
      </c>
      <c r="E84" s="2184"/>
      <c r="F84" s="993" t="str">
        <f t="shared" si="19"/>
        <v>Direct</v>
      </c>
      <c r="G84" s="994" t="str">
        <f t="shared" si="20"/>
        <v>All Service Type</v>
      </c>
      <c r="H84" s="995" t="s">
        <v>132</v>
      </c>
    </row>
    <row r="85" spans="1:8" x14ac:dyDescent="0.25">
      <c r="A85" s="2184">
        <f t="shared" si="17"/>
        <v>5</v>
      </c>
      <c r="B85" s="993">
        <f t="shared" si="15"/>
        <v>19</v>
      </c>
      <c r="C85" s="994" t="str">
        <f t="shared" si="18"/>
        <v>Sublet All Service Type Rental Rate</v>
      </c>
      <c r="D85" s="2321" t="str" cm="1">
        <f t="array" ref="D85">IF(ISNUMBER(FIND("Rent",INDEX(CoStar01Array,1,MIN(COLUMN(CoStar01Array))+COLUMNS(CoStar01Array)-A85),1))=TRUE,INDEX(CoStar01Array,1,MIN(COLUMN(CoStar01Array))+COLUMNS(CoStar01Array)-A85),"")</f>
        <v>All Service Type Rent Sublet</v>
      </c>
      <c r="E85" s="2184"/>
      <c r="F85" s="993" t="str">
        <f t="shared" si="19"/>
        <v>Sublet</v>
      </c>
      <c r="G85" s="994" t="str">
        <f t="shared" si="20"/>
        <v>All Service Type</v>
      </c>
      <c r="H85" s="995" t="s">
        <v>132</v>
      </c>
    </row>
    <row r="86" spans="1:8" x14ac:dyDescent="0.25">
      <c r="A86" s="2184">
        <f t="shared" si="17"/>
        <v>4</v>
      </c>
      <c r="B86" s="993">
        <f t="shared" si="15"/>
        <v>20</v>
      </c>
      <c r="C86" s="994" t="str">
        <f t="shared" si="18"/>
        <v>Overall All Service Type Rental Rate</v>
      </c>
      <c r="D86" s="2321" t="str" cm="1">
        <f t="array" ref="D86">IF(ISNUMBER(FIND("Rent",INDEX(CoStar01Array,1,MIN(COLUMN(CoStar01Array))+COLUMNS(CoStar01Array)-A86),1))=TRUE,INDEX(CoStar01Array,1,MIN(COLUMN(CoStar01Array))+COLUMNS(CoStar01Array)-A86),"")</f>
        <v>All Service Type Rent Overall</v>
      </c>
      <c r="E86" s="2184"/>
      <c r="F86" s="993" t="str">
        <f t="shared" si="19"/>
        <v>Overall</v>
      </c>
      <c r="G86" s="994" t="str">
        <f t="shared" si="20"/>
        <v>All Service Type</v>
      </c>
      <c r="H86" s="995" t="s">
        <v>132</v>
      </c>
    </row>
    <row r="87" spans="1:8" x14ac:dyDescent="0.25">
      <c r="A87" s="2184">
        <f t="shared" si="17"/>
        <v>3</v>
      </c>
      <c r="B87" s="993">
        <f t="shared" si="15"/>
        <v>21</v>
      </c>
      <c r="C87" s="994" t="str">
        <f t="shared" si="18"/>
        <v>Direct NNN Rental Rate</v>
      </c>
      <c r="D87" s="2321" t="str" cm="1">
        <f t="array" ref="D87">IF(ISNUMBER(FIND("Rent",INDEX(CoStar01Array,1,MIN(COLUMN(CoStar01Array))+COLUMNS(CoStar01Array)-A87),1))=TRUE,INDEX(CoStar01Array,1,MIN(COLUMN(CoStar01Array))+COLUMNS(CoStar01Array)-A87),"")</f>
        <v>NNN Rent Direct</v>
      </c>
      <c r="E87" s="2184"/>
      <c r="F87" s="993" t="str">
        <f t="shared" si="19"/>
        <v>Direct</v>
      </c>
      <c r="G87" s="994" t="str">
        <f t="shared" si="20"/>
        <v>NNN</v>
      </c>
      <c r="H87" s="995" t="s">
        <v>132</v>
      </c>
    </row>
    <row r="88" spans="1:8" x14ac:dyDescent="0.25">
      <c r="A88" s="2184">
        <f>A89+1</f>
        <v>2</v>
      </c>
      <c r="B88" s="993">
        <f>B87+1</f>
        <v>22</v>
      </c>
      <c r="C88" s="994" t="str">
        <f t="shared" si="18"/>
        <v>Sublet NNN Rental Rate</v>
      </c>
      <c r="D88" s="2321" t="str" cm="1">
        <f t="array" ref="D88">IF(ISNUMBER(FIND("Rent",INDEX(CoStar01Array,1,MIN(COLUMN(CoStar01Array))+COLUMNS(CoStar01Array)-A88),1))=TRUE,INDEX(CoStar01Array,1,MIN(COLUMN(CoStar01Array))+COLUMNS(CoStar01Array)-A88),"")</f>
        <v>NNN Rent Sublet</v>
      </c>
      <c r="E88" s="2184"/>
      <c r="F88" s="993" t="str">
        <f t="shared" si="19"/>
        <v>Sublet</v>
      </c>
      <c r="G88" s="994" t="str">
        <f t="shared" si="20"/>
        <v>NNN</v>
      </c>
      <c r="H88" s="995" t="s">
        <v>132</v>
      </c>
    </row>
    <row r="89" spans="1:8" ht="15" thickBot="1" x14ac:dyDescent="0.3">
      <c r="A89" s="2184">
        <v>1</v>
      </c>
      <c r="B89" s="996">
        <f>B88+1</f>
        <v>23</v>
      </c>
      <c r="C89" s="997" t="str">
        <f t="shared" si="18"/>
        <v>Overall NNN Rental Rate</v>
      </c>
      <c r="D89" s="2324" t="str" cm="1">
        <f t="array" ref="D89">IF(ISNUMBER(FIND("Rent",INDEX(CoStar01Array,1,MIN(COLUMN(CoStar01Array))+COLUMNS(CoStar01Array)-A89),1))=TRUE,INDEX(CoStar01Array,1,MIN(COLUMN(CoStar01Array))+COLUMNS(CoStar01Array)-A89),"")</f>
        <v>NNN Rent Overall</v>
      </c>
      <c r="E89" s="2184"/>
      <c r="F89" s="996" t="str">
        <f t="shared" si="19"/>
        <v>Overall</v>
      </c>
      <c r="G89" s="997" t="str">
        <f t="shared" si="20"/>
        <v>NNN</v>
      </c>
      <c r="H89" s="998" t="s">
        <v>132</v>
      </c>
    </row>
    <row r="90" spans="1:8" ht="15" thickBot="1" x14ac:dyDescent="0.3">
      <c r="B90" s="20"/>
      <c r="C90" s="20"/>
      <c r="D90" s="20"/>
      <c r="F90" s="20"/>
      <c r="G90" s="20"/>
      <c r="H90" s="20"/>
    </row>
    <row r="91" spans="1:8" ht="15" customHeight="1" x14ac:dyDescent="0.25">
      <c r="B91" s="4364" t="s">
        <v>151</v>
      </c>
      <c r="C91" s="4365"/>
      <c r="D91" s="4366"/>
      <c r="F91" s="4364" t="s">
        <v>152</v>
      </c>
      <c r="G91" s="4365"/>
      <c r="H91" s="4366"/>
    </row>
    <row r="92" spans="1:8" x14ac:dyDescent="0.25">
      <c r="B92" s="987">
        <v>7</v>
      </c>
      <c r="C92" s="988"/>
      <c r="D92" s="989" t="str">
        <f>VLOOKUP(B92,B93:D115,3)</f>
        <v>Net Absorption SF Direct</v>
      </c>
      <c r="F92" s="990" t="str">
        <f>IF(VLOOKUP(B92,B93:H115,5)=0,"",VLOOKUP(B92,B93:H115,5))</f>
        <v>Direct</v>
      </c>
      <c r="G92" s="991" t="str">
        <f>IF(VLOOKUP(B92,B93:H115,6)=0,"",VLOOKUP(B92,B93:H115,6))</f>
        <v>Net</v>
      </c>
      <c r="H92" s="992" t="str">
        <f>IF(VLOOKUP(B92,B93:H115,7)=0,"",VLOOKUP(B92,B93:H115,7))</f>
        <v>Absorb.</v>
      </c>
    </row>
    <row r="93" spans="1:8" x14ac:dyDescent="0.25">
      <c r="B93" s="993">
        <v>1</v>
      </c>
      <c r="C93" s="994" t="str">
        <f>IF(F93="",CONCATENATE(G93," ",H93),CONCATENATE(F93," ",G93," ",H93))</f>
        <v>No. of Buildings</v>
      </c>
      <c r="D93" s="2192" t="s">
        <v>1079</v>
      </c>
      <c r="E93" s="2184"/>
      <c r="F93" s="993"/>
      <c r="G93" s="994" t="s">
        <v>1198</v>
      </c>
      <c r="H93" s="995" t="s">
        <v>136</v>
      </c>
    </row>
    <row r="94" spans="1:8" x14ac:dyDescent="0.25">
      <c r="B94" s="993">
        <f t="shared" ref="B94:B113" si="21">B93+1</f>
        <v>2</v>
      </c>
      <c r="C94" s="994" t="str">
        <f t="shared" ref="C94:C106" si="22">IF(F94="",CONCATENATE(G94," ",H94),CONCATENATE(F94," ",G94," ",H94))</f>
        <v>Inventory Square Feet</v>
      </c>
      <c r="D94" s="995" t="s">
        <v>1080</v>
      </c>
      <c r="E94" s="2184"/>
      <c r="F94" s="993"/>
      <c r="G94" s="994" t="s">
        <v>1850</v>
      </c>
      <c r="H94" s="995" t="s">
        <v>140</v>
      </c>
    </row>
    <row r="95" spans="1:8" x14ac:dyDescent="0.25">
      <c r="B95" s="993">
        <f t="shared" si="21"/>
        <v>3</v>
      </c>
      <c r="C95" s="994" t="str">
        <f t="shared" si="22"/>
        <v>Direct Vacancy</v>
      </c>
      <c r="D95" s="995" t="s">
        <v>1794</v>
      </c>
      <c r="E95" s="2184"/>
      <c r="F95" s="993"/>
      <c r="G95" s="994" t="s">
        <v>138</v>
      </c>
      <c r="H95" s="995" t="s">
        <v>509</v>
      </c>
    </row>
    <row r="96" spans="1:8" x14ac:dyDescent="0.25">
      <c r="B96" s="993">
        <f t="shared" si="21"/>
        <v>4</v>
      </c>
      <c r="C96" s="994" t="str">
        <f t="shared" si="22"/>
        <v>Sublet Vacancy</v>
      </c>
      <c r="D96" s="995" t="s">
        <v>1795</v>
      </c>
      <c r="E96" s="2184"/>
      <c r="F96" s="993"/>
      <c r="G96" s="994" t="s">
        <v>1849</v>
      </c>
      <c r="H96" s="995" t="s">
        <v>509</v>
      </c>
    </row>
    <row r="97" spans="1:8" x14ac:dyDescent="0.25">
      <c r="B97" s="993">
        <f t="shared" si="21"/>
        <v>5</v>
      </c>
      <c r="C97" s="994" t="str">
        <f t="shared" si="22"/>
        <v>Total Vacancy</v>
      </c>
      <c r="D97" s="995" t="s">
        <v>1796</v>
      </c>
      <c r="E97" s="2184"/>
      <c r="F97" s="993"/>
      <c r="G97" s="994" t="s">
        <v>93</v>
      </c>
      <c r="H97" s="995" t="s">
        <v>509</v>
      </c>
    </row>
    <row r="98" spans="1:8" x14ac:dyDescent="0.25">
      <c r="B98" s="993">
        <f t="shared" si="21"/>
        <v>6</v>
      </c>
      <c r="C98" s="994" t="str">
        <f t="shared" si="22"/>
        <v xml:space="preserve"> Occupancy</v>
      </c>
      <c r="D98" s="995" t="s">
        <v>1797</v>
      </c>
      <c r="E98" s="2184"/>
      <c r="F98" s="993"/>
      <c r="G98" s="994"/>
      <c r="H98" s="995" t="s">
        <v>268</v>
      </c>
    </row>
    <row r="99" spans="1:8" x14ac:dyDescent="0.25">
      <c r="B99" s="993">
        <f t="shared" si="21"/>
        <v>7</v>
      </c>
      <c r="C99" s="994" t="str">
        <f t="shared" si="22"/>
        <v>Direct Net Absorb.</v>
      </c>
      <c r="D99" s="995" t="s">
        <v>1085</v>
      </c>
      <c r="E99" s="2184"/>
      <c r="F99" s="993" t="s">
        <v>138</v>
      </c>
      <c r="G99" s="994" t="s">
        <v>17918</v>
      </c>
      <c r="H99" s="995" t="s">
        <v>17919</v>
      </c>
    </row>
    <row r="100" spans="1:8" x14ac:dyDescent="0.25">
      <c r="B100" s="993">
        <f t="shared" si="21"/>
        <v>8</v>
      </c>
      <c r="C100" s="994" t="str">
        <f t="shared" si="22"/>
        <v>Sublet Net Absorb.</v>
      </c>
      <c r="D100" s="995" t="s">
        <v>1798</v>
      </c>
      <c r="E100" s="2184"/>
      <c r="F100" s="993" t="s">
        <v>1849</v>
      </c>
      <c r="G100" s="994" t="s">
        <v>17918</v>
      </c>
      <c r="H100" s="995" t="s">
        <v>17919</v>
      </c>
    </row>
    <row r="101" spans="1:8" x14ac:dyDescent="0.25">
      <c r="B101" s="993">
        <f t="shared" si="21"/>
        <v>9</v>
      </c>
      <c r="C101" s="994" t="str">
        <f t="shared" si="22"/>
        <v>Total Net Absorb.</v>
      </c>
      <c r="D101" s="995" t="s">
        <v>1086</v>
      </c>
      <c r="E101" s="2184"/>
      <c r="F101" s="993" t="s">
        <v>93</v>
      </c>
      <c r="G101" s="994" t="s">
        <v>17918</v>
      </c>
      <c r="H101" s="995" t="s">
        <v>17919</v>
      </c>
    </row>
    <row r="102" spans="1:8" x14ac:dyDescent="0.25">
      <c r="B102" s="993">
        <f t="shared" si="21"/>
        <v>10</v>
      </c>
      <c r="C102" s="994" t="str">
        <f t="shared" si="22"/>
        <v>Leases Signed</v>
      </c>
      <c r="D102" s="995" t="s">
        <v>1087</v>
      </c>
      <c r="E102" s="2184"/>
      <c r="F102" s="993"/>
      <c r="G102" s="994" t="s">
        <v>143</v>
      </c>
      <c r="H102" s="995" t="s">
        <v>145</v>
      </c>
    </row>
    <row r="103" spans="1:8" x14ac:dyDescent="0.25">
      <c r="B103" s="993">
        <f t="shared" si="21"/>
        <v>11</v>
      </c>
      <c r="C103" s="994" t="str">
        <f t="shared" si="22"/>
        <v>No. of Buildings Deliveries</v>
      </c>
      <c r="D103" s="995" t="s">
        <v>1081</v>
      </c>
      <c r="E103" s="2184"/>
      <c r="F103" s="993" t="s">
        <v>1198</v>
      </c>
      <c r="G103" s="994" t="s">
        <v>136</v>
      </c>
      <c r="H103" s="995" t="s">
        <v>131</v>
      </c>
    </row>
    <row r="104" spans="1:8" x14ac:dyDescent="0.25">
      <c r="B104" s="993">
        <f t="shared" si="21"/>
        <v>12</v>
      </c>
      <c r="C104" s="994" t="str">
        <f t="shared" si="22"/>
        <v>Square Feet Delivered</v>
      </c>
      <c r="D104" s="995" t="s">
        <v>1082</v>
      </c>
      <c r="E104" s="2184"/>
      <c r="F104" s="993" t="s">
        <v>17917</v>
      </c>
      <c r="G104" s="994" t="s">
        <v>845</v>
      </c>
      <c r="H104" s="995" t="s">
        <v>144</v>
      </c>
    </row>
    <row r="105" spans="1:8" x14ac:dyDescent="0.25">
      <c r="B105" s="993">
        <f t="shared" si="21"/>
        <v>13</v>
      </c>
      <c r="C105" s="994" t="str">
        <f t="shared" si="22"/>
        <v>Buildings Under Construction</v>
      </c>
      <c r="D105" s="995" t="s">
        <v>1083</v>
      </c>
      <c r="E105" s="2184"/>
      <c r="F105" s="993" t="s">
        <v>136</v>
      </c>
      <c r="G105" s="994" t="s">
        <v>17916</v>
      </c>
      <c r="H105" s="995" t="s">
        <v>91</v>
      </c>
    </row>
    <row r="106" spans="1:8" x14ac:dyDescent="0.25">
      <c r="B106" s="2187">
        <f t="shared" si="21"/>
        <v>14</v>
      </c>
      <c r="C106" s="2394" t="str">
        <f t="shared" si="22"/>
        <v>Sq. Ft. Under Construction</v>
      </c>
      <c r="D106" s="2325" t="s">
        <v>1084</v>
      </c>
      <c r="E106" s="2184"/>
      <c r="F106" s="993" t="s">
        <v>129</v>
      </c>
      <c r="G106" s="994" t="s">
        <v>17916</v>
      </c>
      <c r="H106" s="995" t="s">
        <v>91</v>
      </c>
    </row>
    <row r="107" spans="1:8" x14ac:dyDescent="0.25">
      <c r="A107" s="2184">
        <f t="shared" ref="A107:A113" si="23">A108+1</f>
        <v>9</v>
      </c>
      <c r="B107" s="993">
        <f t="shared" si="21"/>
        <v>15</v>
      </c>
      <c r="C107" s="994" t="str">
        <f t="shared" ref="C107:C115" si="24">IFERROR(CONCATENATE(F107," ",G107," ",H107),"")</f>
        <v/>
      </c>
      <c r="D107" s="2321" t="str" cm="1">
        <f t="array" ref="D107">IF(ISNUMBER(FIND("Rent",INDEX(CoStar01Array,1,MIN(COLUMN(CoStar01Array))+COLUMNS(CoStar01Array)-A107),1))=TRUE,INDEX(CoStar01Array,1,MIN(COLUMN(CoStar01Array))+COLUMNS(CoStar01Array)-A107),"")</f>
        <v/>
      </c>
      <c r="E107" s="2184"/>
      <c r="F107" s="2194" t="str">
        <f t="shared" ref="F107:F115" si="25">TRIM(RIGHT(SUBSTITUTE(TRIM(D107)," ",REPT(" ",100)),100))</f>
        <v/>
      </c>
      <c r="G107" s="2322" t="e">
        <f t="shared" ref="G107:G115" si="26">LEFT(D107,FIND("Rent",D107,1)-2)</f>
        <v>#VALUE!</v>
      </c>
      <c r="H107" s="2192" t="s">
        <v>132</v>
      </c>
    </row>
    <row r="108" spans="1:8" x14ac:dyDescent="0.25">
      <c r="A108" s="2184">
        <f t="shared" si="23"/>
        <v>8</v>
      </c>
      <c r="B108" s="993">
        <f t="shared" si="21"/>
        <v>16</v>
      </c>
      <c r="C108" s="994" t="str">
        <f t="shared" si="24"/>
        <v/>
      </c>
      <c r="D108" s="2321" t="str" cm="1">
        <f t="array" ref="D108">IF(ISNUMBER(FIND("Rent",INDEX(CoStar01Array,1,MIN(COLUMN(CoStar01Array))+COLUMNS(CoStar01Array)-A108),1))=TRUE,INDEX(CoStar01Array,1,MIN(COLUMN(CoStar01Array))+COLUMNS(CoStar01Array)-A108),"")</f>
        <v/>
      </c>
      <c r="E108" s="2184"/>
      <c r="F108" s="993" t="str">
        <f t="shared" si="25"/>
        <v/>
      </c>
      <c r="G108" s="994" t="e">
        <f t="shared" si="26"/>
        <v>#VALUE!</v>
      </c>
      <c r="H108" s="995" t="s">
        <v>132</v>
      </c>
    </row>
    <row r="109" spans="1:8" x14ac:dyDescent="0.25">
      <c r="A109" s="2184">
        <f t="shared" si="23"/>
        <v>7</v>
      </c>
      <c r="B109" s="993">
        <f t="shared" si="21"/>
        <v>17</v>
      </c>
      <c r="C109" s="994" t="str">
        <f t="shared" si="24"/>
        <v/>
      </c>
      <c r="D109" s="2321" t="str" cm="1">
        <f t="array" ref="D109">IF(ISNUMBER(FIND("Rent",INDEX(CoStar01Array,1,MIN(COLUMN(CoStar01Array))+COLUMNS(CoStar01Array)-A109),1))=TRUE,INDEX(CoStar01Array,1,MIN(COLUMN(CoStar01Array))+COLUMNS(CoStar01Array)-A109),"")</f>
        <v/>
      </c>
      <c r="E109" s="2184"/>
      <c r="F109" s="993" t="str">
        <f t="shared" si="25"/>
        <v/>
      </c>
      <c r="G109" s="994" t="e">
        <f t="shared" si="26"/>
        <v>#VALUE!</v>
      </c>
      <c r="H109" s="995" t="s">
        <v>132</v>
      </c>
    </row>
    <row r="110" spans="1:8" x14ac:dyDescent="0.25">
      <c r="A110" s="2184">
        <f t="shared" si="23"/>
        <v>6</v>
      </c>
      <c r="B110" s="993">
        <f t="shared" si="21"/>
        <v>18</v>
      </c>
      <c r="C110" s="994" t="str">
        <f t="shared" si="24"/>
        <v>Direct All Service Type Rental Rate</v>
      </c>
      <c r="D110" s="2321" t="str" cm="1">
        <f t="array" ref="D110">IF(ISNUMBER(FIND("Rent",INDEX(CoStar01Array,1,MIN(COLUMN(CoStar01Array))+COLUMNS(CoStar01Array)-A110),1))=TRUE,INDEX(CoStar01Array,1,MIN(COLUMN(CoStar01Array))+COLUMNS(CoStar01Array)-A110),"")</f>
        <v>All Service Type Rent Direct</v>
      </c>
      <c r="E110" s="2184"/>
      <c r="F110" s="993" t="str">
        <f t="shared" si="25"/>
        <v>Direct</v>
      </c>
      <c r="G110" s="994" t="str">
        <f t="shared" si="26"/>
        <v>All Service Type</v>
      </c>
      <c r="H110" s="995" t="s">
        <v>132</v>
      </c>
    </row>
    <row r="111" spans="1:8" x14ac:dyDescent="0.25">
      <c r="A111" s="2184">
        <f t="shared" si="23"/>
        <v>5</v>
      </c>
      <c r="B111" s="993">
        <f t="shared" si="21"/>
        <v>19</v>
      </c>
      <c r="C111" s="994" t="str">
        <f t="shared" si="24"/>
        <v>Sublet All Service Type Rental Rate</v>
      </c>
      <c r="D111" s="2321" t="str" cm="1">
        <f t="array" ref="D111">IF(ISNUMBER(FIND("Rent",INDEX(CoStar01Array,1,MIN(COLUMN(CoStar01Array))+COLUMNS(CoStar01Array)-A111),1))=TRUE,INDEX(CoStar01Array,1,MIN(COLUMN(CoStar01Array))+COLUMNS(CoStar01Array)-A111),"")</f>
        <v>All Service Type Rent Sublet</v>
      </c>
      <c r="E111" s="2184"/>
      <c r="F111" s="993" t="str">
        <f t="shared" si="25"/>
        <v>Sublet</v>
      </c>
      <c r="G111" s="994" t="str">
        <f t="shared" si="26"/>
        <v>All Service Type</v>
      </c>
      <c r="H111" s="995" t="s">
        <v>132</v>
      </c>
    </row>
    <row r="112" spans="1:8" x14ac:dyDescent="0.25">
      <c r="A112" s="2184">
        <f t="shared" si="23"/>
        <v>4</v>
      </c>
      <c r="B112" s="993">
        <f t="shared" si="21"/>
        <v>20</v>
      </c>
      <c r="C112" s="994" t="str">
        <f t="shared" si="24"/>
        <v>Overall All Service Type Rental Rate</v>
      </c>
      <c r="D112" s="2321" t="str" cm="1">
        <f t="array" ref="D112">IF(ISNUMBER(FIND("Rent",INDEX(CoStar01Array,1,MIN(COLUMN(CoStar01Array))+COLUMNS(CoStar01Array)-A112),1))=TRUE,INDEX(CoStar01Array,1,MIN(COLUMN(CoStar01Array))+COLUMNS(CoStar01Array)-A112),"")</f>
        <v>All Service Type Rent Overall</v>
      </c>
      <c r="E112" s="2184"/>
      <c r="F112" s="993" t="str">
        <f t="shared" si="25"/>
        <v>Overall</v>
      </c>
      <c r="G112" s="994" t="str">
        <f t="shared" si="26"/>
        <v>All Service Type</v>
      </c>
      <c r="H112" s="995" t="s">
        <v>132</v>
      </c>
    </row>
    <row r="113" spans="1:8" x14ac:dyDescent="0.25">
      <c r="A113" s="2184">
        <f t="shared" si="23"/>
        <v>3</v>
      </c>
      <c r="B113" s="993">
        <f t="shared" si="21"/>
        <v>21</v>
      </c>
      <c r="C113" s="994" t="str">
        <f t="shared" si="24"/>
        <v>Direct NNN Rental Rate</v>
      </c>
      <c r="D113" s="2321" t="str" cm="1">
        <f t="array" ref="D113">IF(ISNUMBER(FIND("Rent",INDEX(CoStar01Array,1,MIN(COLUMN(CoStar01Array))+COLUMNS(CoStar01Array)-A113),1))=TRUE,INDEX(CoStar01Array,1,MIN(COLUMN(CoStar01Array))+COLUMNS(CoStar01Array)-A113),"")</f>
        <v>NNN Rent Direct</v>
      </c>
      <c r="E113" s="2184"/>
      <c r="F113" s="993" t="str">
        <f t="shared" si="25"/>
        <v>Direct</v>
      </c>
      <c r="G113" s="994" t="str">
        <f t="shared" si="26"/>
        <v>NNN</v>
      </c>
      <c r="H113" s="995" t="s">
        <v>132</v>
      </c>
    </row>
    <row r="114" spans="1:8" x14ac:dyDescent="0.25">
      <c r="A114" s="2184">
        <f>A115+1</f>
        <v>2</v>
      </c>
      <c r="B114" s="993">
        <f>B113+1</f>
        <v>22</v>
      </c>
      <c r="C114" s="994" t="str">
        <f t="shared" si="24"/>
        <v>Sublet NNN Rental Rate</v>
      </c>
      <c r="D114" s="2321" t="str" cm="1">
        <f t="array" ref="D114">IF(ISNUMBER(FIND("Rent",INDEX(CoStar01Array,1,MIN(COLUMN(CoStar01Array))+COLUMNS(CoStar01Array)-A114),1))=TRUE,INDEX(CoStar01Array,1,MIN(COLUMN(CoStar01Array))+COLUMNS(CoStar01Array)-A114),"")</f>
        <v>NNN Rent Sublet</v>
      </c>
      <c r="E114" s="2184"/>
      <c r="F114" s="993" t="str">
        <f t="shared" si="25"/>
        <v>Sublet</v>
      </c>
      <c r="G114" s="994" t="str">
        <f t="shared" si="26"/>
        <v>NNN</v>
      </c>
      <c r="H114" s="995" t="s">
        <v>132</v>
      </c>
    </row>
    <row r="115" spans="1:8" ht="15" thickBot="1" x14ac:dyDescent="0.3">
      <c r="A115" s="2184">
        <v>1</v>
      </c>
      <c r="B115" s="996">
        <f>B114+1</f>
        <v>23</v>
      </c>
      <c r="C115" s="997" t="str">
        <f t="shared" si="24"/>
        <v>Overall NNN Rental Rate</v>
      </c>
      <c r="D115" s="2324" t="str" cm="1">
        <f t="array" ref="D115">IF(ISNUMBER(FIND("Rent",INDEX(CoStar01Array,1,MIN(COLUMN(CoStar01Array))+COLUMNS(CoStar01Array)-A115),1))=TRUE,INDEX(CoStar01Array,1,MIN(COLUMN(CoStar01Array))+COLUMNS(CoStar01Array)-A115),"")</f>
        <v>NNN Rent Overall</v>
      </c>
      <c r="E115" s="2184"/>
      <c r="F115" s="996" t="str">
        <f t="shared" si="25"/>
        <v>Overall</v>
      </c>
      <c r="G115" s="997" t="str">
        <f t="shared" si="26"/>
        <v>NNN</v>
      </c>
      <c r="H115" s="998" t="s">
        <v>132</v>
      </c>
    </row>
    <row r="116" spans="1:8" ht="15" thickBot="1" x14ac:dyDescent="0.3">
      <c r="B116" s="20"/>
      <c r="C116" s="20"/>
      <c r="D116" s="20"/>
      <c r="F116" s="20"/>
      <c r="G116" s="20"/>
      <c r="H116" s="20"/>
    </row>
    <row r="117" spans="1:8" ht="15" customHeight="1" x14ac:dyDescent="0.25">
      <c r="B117" s="4364" t="s">
        <v>149</v>
      </c>
      <c r="C117" s="4365"/>
      <c r="D117" s="4366"/>
      <c r="F117" s="4364" t="s">
        <v>150</v>
      </c>
      <c r="G117" s="4365"/>
      <c r="H117" s="4366"/>
    </row>
    <row r="118" spans="1:8" x14ac:dyDescent="0.25">
      <c r="B118" s="987">
        <v>3</v>
      </c>
      <c r="C118" s="988"/>
      <c r="D118" s="989" t="str">
        <f>VLOOKUP(B118,B119:D141,3)</f>
        <v>Vacant Available Percent % Direct</v>
      </c>
      <c r="F118" s="990" t="str">
        <f>IF(VLOOKUP(B118,B119:H141,5)=0,"",VLOOKUP(B118,B119:H141,5))</f>
        <v/>
      </c>
      <c r="G118" s="991" t="str">
        <f>IF(VLOOKUP(B118,B119:H141,6)=0,"",VLOOKUP(B118,B119:H141,6))</f>
        <v>Direct</v>
      </c>
      <c r="H118" s="992" t="str">
        <f>IF(VLOOKUP(B118,B119:H141,7)=0,"",VLOOKUP(B118,B119:H141,7))</f>
        <v>Vacancy</v>
      </c>
    </row>
    <row r="119" spans="1:8" x14ac:dyDescent="0.25">
      <c r="B119" s="993">
        <v>1</v>
      </c>
      <c r="C119" s="994" t="str">
        <f>IF(F119="",CONCATENATE(G119," ",H119),CONCATENATE(F119," ",G119," ",H119))</f>
        <v>No. of Buildings</v>
      </c>
      <c r="D119" s="2192" t="s">
        <v>1079</v>
      </c>
      <c r="E119" s="2184"/>
      <c r="F119" s="993"/>
      <c r="G119" s="994" t="s">
        <v>1198</v>
      </c>
      <c r="H119" s="995" t="s">
        <v>136</v>
      </c>
    </row>
    <row r="120" spans="1:8" x14ac:dyDescent="0.25">
      <c r="B120" s="993">
        <f t="shared" ref="B120:B139" si="27">B119+1</f>
        <v>2</v>
      </c>
      <c r="C120" s="994" t="str">
        <f t="shared" ref="C120:C132" si="28">IF(F120="",CONCATENATE(G120," ",H120),CONCATENATE(F120," ",G120," ",H120))</f>
        <v>Inventory Square Feet</v>
      </c>
      <c r="D120" s="995" t="s">
        <v>1080</v>
      </c>
      <c r="E120" s="2184"/>
      <c r="F120" s="993"/>
      <c r="G120" s="994" t="s">
        <v>1850</v>
      </c>
      <c r="H120" s="995" t="s">
        <v>140</v>
      </c>
    </row>
    <row r="121" spans="1:8" x14ac:dyDescent="0.25">
      <c r="B121" s="993">
        <f t="shared" si="27"/>
        <v>3</v>
      </c>
      <c r="C121" s="994" t="str">
        <f t="shared" si="28"/>
        <v>Direct Vacancy</v>
      </c>
      <c r="D121" s="995" t="s">
        <v>1794</v>
      </c>
      <c r="E121" s="2184"/>
      <c r="F121" s="993"/>
      <c r="G121" s="994" t="s">
        <v>138</v>
      </c>
      <c r="H121" s="995" t="s">
        <v>509</v>
      </c>
    </row>
    <row r="122" spans="1:8" x14ac:dyDescent="0.25">
      <c r="B122" s="993">
        <f t="shared" si="27"/>
        <v>4</v>
      </c>
      <c r="C122" s="994" t="str">
        <f t="shared" si="28"/>
        <v>Sublet Vacancy</v>
      </c>
      <c r="D122" s="995" t="s">
        <v>1795</v>
      </c>
      <c r="E122" s="2184"/>
      <c r="F122" s="993"/>
      <c r="G122" s="994" t="s">
        <v>1849</v>
      </c>
      <c r="H122" s="995" t="s">
        <v>509</v>
      </c>
    </row>
    <row r="123" spans="1:8" x14ac:dyDescent="0.25">
      <c r="B123" s="993">
        <f t="shared" si="27"/>
        <v>5</v>
      </c>
      <c r="C123" s="994" t="str">
        <f t="shared" si="28"/>
        <v>Total Vacancy</v>
      </c>
      <c r="D123" s="995" t="s">
        <v>1796</v>
      </c>
      <c r="E123" s="2184"/>
      <c r="F123" s="993"/>
      <c r="G123" s="994" t="s">
        <v>93</v>
      </c>
      <c r="H123" s="995" t="s">
        <v>509</v>
      </c>
    </row>
    <row r="124" spans="1:8" x14ac:dyDescent="0.25">
      <c r="B124" s="993">
        <f t="shared" si="27"/>
        <v>6</v>
      </c>
      <c r="C124" s="994" t="str">
        <f t="shared" si="28"/>
        <v xml:space="preserve"> Occupancy</v>
      </c>
      <c r="D124" s="995" t="s">
        <v>1797</v>
      </c>
      <c r="E124" s="2184"/>
      <c r="F124" s="993"/>
      <c r="G124" s="994"/>
      <c r="H124" s="995" t="s">
        <v>268</v>
      </c>
    </row>
    <row r="125" spans="1:8" x14ac:dyDescent="0.25">
      <c r="B125" s="993">
        <f t="shared" si="27"/>
        <v>7</v>
      </c>
      <c r="C125" s="994" t="str">
        <f t="shared" si="28"/>
        <v>Direct Net Absorb.</v>
      </c>
      <c r="D125" s="995" t="s">
        <v>1085</v>
      </c>
      <c r="E125" s="2184"/>
      <c r="F125" s="993" t="s">
        <v>138</v>
      </c>
      <c r="G125" s="994" t="s">
        <v>17918</v>
      </c>
      <c r="H125" s="995" t="s">
        <v>17919</v>
      </c>
    </row>
    <row r="126" spans="1:8" x14ac:dyDescent="0.25">
      <c r="B126" s="993">
        <f t="shared" si="27"/>
        <v>8</v>
      </c>
      <c r="C126" s="994" t="str">
        <f t="shared" si="28"/>
        <v>Sublet Net Absorb.</v>
      </c>
      <c r="D126" s="995" t="s">
        <v>1798</v>
      </c>
      <c r="E126" s="2184"/>
      <c r="F126" s="993" t="s">
        <v>1849</v>
      </c>
      <c r="G126" s="994" t="s">
        <v>17918</v>
      </c>
      <c r="H126" s="995" t="s">
        <v>17919</v>
      </c>
    </row>
    <row r="127" spans="1:8" x14ac:dyDescent="0.25">
      <c r="B127" s="993">
        <f t="shared" si="27"/>
        <v>9</v>
      </c>
      <c r="C127" s="994" t="str">
        <f t="shared" si="28"/>
        <v>Total Net Absorb.</v>
      </c>
      <c r="D127" s="995" t="s">
        <v>1086</v>
      </c>
      <c r="E127" s="2184"/>
      <c r="F127" s="993" t="s">
        <v>93</v>
      </c>
      <c r="G127" s="994" t="s">
        <v>17918</v>
      </c>
      <c r="H127" s="995" t="s">
        <v>17919</v>
      </c>
    </row>
    <row r="128" spans="1:8" x14ac:dyDescent="0.25">
      <c r="B128" s="993">
        <f t="shared" si="27"/>
        <v>10</v>
      </c>
      <c r="C128" s="994" t="str">
        <f t="shared" si="28"/>
        <v>Leases Signed</v>
      </c>
      <c r="D128" s="995" t="s">
        <v>1087</v>
      </c>
      <c r="E128" s="2184"/>
      <c r="F128" s="993"/>
      <c r="G128" s="994" t="s">
        <v>143</v>
      </c>
      <c r="H128" s="995" t="s">
        <v>145</v>
      </c>
    </row>
    <row r="129" spans="1:9" x14ac:dyDescent="0.25">
      <c r="B129" s="993">
        <f t="shared" si="27"/>
        <v>11</v>
      </c>
      <c r="C129" s="994" t="str">
        <f t="shared" si="28"/>
        <v>No. of Buildings Deliveries</v>
      </c>
      <c r="D129" s="995" t="s">
        <v>1081</v>
      </c>
      <c r="E129" s="2184"/>
      <c r="F129" s="993" t="s">
        <v>1198</v>
      </c>
      <c r="G129" s="994" t="s">
        <v>136</v>
      </c>
      <c r="H129" s="995" t="s">
        <v>131</v>
      </c>
    </row>
    <row r="130" spans="1:9" x14ac:dyDescent="0.25">
      <c r="B130" s="993">
        <f t="shared" si="27"/>
        <v>12</v>
      </c>
      <c r="C130" s="994" t="str">
        <f t="shared" si="28"/>
        <v>Square Feet Delivered</v>
      </c>
      <c r="D130" s="995" t="s">
        <v>1082</v>
      </c>
      <c r="E130" s="2184"/>
      <c r="F130" s="993" t="s">
        <v>17917</v>
      </c>
      <c r="G130" s="994" t="s">
        <v>845</v>
      </c>
      <c r="H130" s="995" t="s">
        <v>144</v>
      </c>
    </row>
    <row r="131" spans="1:9" x14ac:dyDescent="0.25">
      <c r="B131" s="993">
        <f t="shared" si="27"/>
        <v>13</v>
      </c>
      <c r="C131" s="994" t="str">
        <f t="shared" si="28"/>
        <v>Buildings Under Construction</v>
      </c>
      <c r="D131" s="995" t="s">
        <v>1083</v>
      </c>
      <c r="E131" s="2184"/>
      <c r="F131" s="993" t="s">
        <v>136</v>
      </c>
      <c r="G131" s="994" t="s">
        <v>17916</v>
      </c>
      <c r="H131" s="995" t="s">
        <v>91</v>
      </c>
    </row>
    <row r="132" spans="1:9" x14ac:dyDescent="0.25">
      <c r="B132" s="2187">
        <f t="shared" si="27"/>
        <v>14</v>
      </c>
      <c r="C132" s="2394" t="str">
        <f t="shared" si="28"/>
        <v>Sq. Ft. Under Construction</v>
      </c>
      <c r="D132" s="2325" t="s">
        <v>1084</v>
      </c>
      <c r="E132" s="2184"/>
      <c r="F132" s="993" t="s">
        <v>129</v>
      </c>
      <c r="G132" s="994" t="s">
        <v>17916</v>
      </c>
      <c r="H132" s="995" t="s">
        <v>91</v>
      </c>
    </row>
    <row r="133" spans="1:9" x14ac:dyDescent="0.25">
      <c r="A133" s="2184">
        <f t="shared" ref="A133:A139" si="29">A134+1</f>
        <v>9</v>
      </c>
      <c r="B133" s="993">
        <f t="shared" si="27"/>
        <v>15</v>
      </c>
      <c r="C133" s="994" t="str">
        <f t="shared" ref="C133:C141" si="30">IFERROR(CONCATENATE(F133," ",G133," ",H133),"")</f>
        <v/>
      </c>
      <c r="D133" s="2321" t="str" cm="1">
        <f t="array" ref="D133">IF(ISNUMBER(FIND("Rent",INDEX(CoStar01Array,1,MIN(COLUMN(CoStar01Array))+COLUMNS(CoStar01Array)-A133),1))=TRUE,INDEX(CoStar01Array,1,MIN(COLUMN(CoStar01Array))+COLUMNS(CoStar01Array)-A133),"")</f>
        <v/>
      </c>
      <c r="E133" s="2184"/>
      <c r="F133" s="2194" t="str">
        <f t="shared" ref="F133:F141" si="31">TRIM(RIGHT(SUBSTITUTE(TRIM(D133)," ",REPT(" ",100)),100))</f>
        <v/>
      </c>
      <c r="G133" s="2322" t="e">
        <f t="shared" ref="G133:G141" si="32">LEFT(D133,FIND("Rent",D133,1)-2)</f>
        <v>#VALUE!</v>
      </c>
      <c r="H133" s="2192" t="s">
        <v>132</v>
      </c>
    </row>
    <row r="134" spans="1:9" x14ac:dyDescent="0.25">
      <c r="A134" s="2184">
        <f t="shared" si="29"/>
        <v>8</v>
      </c>
      <c r="B134" s="993">
        <f t="shared" si="27"/>
        <v>16</v>
      </c>
      <c r="C134" s="994" t="str">
        <f t="shared" si="30"/>
        <v/>
      </c>
      <c r="D134" s="2321" t="str" cm="1">
        <f t="array" ref="D134">IF(ISNUMBER(FIND("Rent",INDEX(CoStar01Array,1,MIN(COLUMN(CoStar01Array))+COLUMNS(CoStar01Array)-A134),1))=TRUE,INDEX(CoStar01Array,1,MIN(COLUMN(CoStar01Array))+COLUMNS(CoStar01Array)-A134),"")</f>
        <v/>
      </c>
      <c r="E134" s="2184"/>
      <c r="F134" s="993" t="str">
        <f t="shared" si="31"/>
        <v/>
      </c>
      <c r="G134" s="994" t="e">
        <f t="shared" si="32"/>
        <v>#VALUE!</v>
      </c>
      <c r="H134" s="995" t="s">
        <v>132</v>
      </c>
    </row>
    <row r="135" spans="1:9" x14ac:dyDescent="0.25">
      <c r="A135" s="2184">
        <f t="shared" si="29"/>
        <v>7</v>
      </c>
      <c r="B135" s="993">
        <f t="shared" si="27"/>
        <v>17</v>
      </c>
      <c r="C135" s="994" t="str">
        <f t="shared" si="30"/>
        <v/>
      </c>
      <c r="D135" s="2321" t="str" cm="1">
        <f t="array" ref="D135">IF(ISNUMBER(FIND("Rent",INDEX(CoStar01Array,1,MIN(COLUMN(CoStar01Array))+COLUMNS(CoStar01Array)-A135),1))=TRUE,INDEX(CoStar01Array,1,MIN(COLUMN(CoStar01Array))+COLUMNS(CoStar01Array)-A135),"")</f>
        <v/>
      </c>
      <c r="E135" s="2184"/>
      <c r="F135" s="993" t="str">
        <f t="shared" si="31"/>
        <v/>
      </c>
      <c r="G135" s="994" t="e">
        <f t="shared" si="32"/>
        <v>#VALUE!</v>
      </c>
      <c r="H135" s="995" t="s">
        <v>132</v>
      </c>
    </row>
    <row r="136" spans="1:9" x14ac:dyDescent="0.25">
      <c r="A136" s="2184">
        <f t="shared" si="29"/>
        <v>6</v>
      </c>
      <c r="B136" s="993">
        <f t="shared" si="27"/>
        <v>18</v>
      </c>
      <c r="C136" s="994" t="str">
        <f t="shared" si="30"/>
        <v>Direct All Service Type Rental Rate</v>
      </c>
      <c r="D136" s="2321" t="str" cm="1">
        <f t="array" ref="D136">IF(ISNUMBER(FIND("Rent",INDEX(CoStar01Array,1,MIN(COLUMN(CoStar01Array))+COLUMNS(CoStar01Array)-A136),1))=TRUE,INDEX(CoStar01Array,1,MIN(COLUMN(CoStar01Array))+COLUMNS(CoStar01Array)-A136),"")</f>
        <v>All Service Type Rent Direct</v>
      </c>
      <c r="E136" s="2184"/>
      <c r="F136" s="993" t="str">
        <f t="shared" si="31"/>
        <v>Direct</v>
      </c>
      <c r="G136" s="994" t="str">
        <f t="shared" si="32"/>
        <v>All Service Type</v>
      </c>
      <c r="H136" s="995" t="s">
        <v>132</v>
      </c>
    </row>
    <row r="137" spans="1:9" x14ac:dyDescent="0.25">
      <c r="A137" s="2184">
        <f t="shared" si="29"/>
        <v>5</v>
      </c>
      <c r="B137" s="993">
        <f t="shared" si="27"/>
        <v>19</v>
      </c>
      <c r="C137" s="994" t="str">
        <f t="shared" si="30"/>
        <v>Sublet All Service Type Rental Rate</v>
      </c>
      <c r="D137" s="2321" t="str" cm="1">
        <f t="array" ref="D137">IF(ISNUMBER(FIND("Rent",INDEX(CoStar01Array,1,MIN(COLUMN(CoStar01Array))+COLUMNS(CoStar01Array)-A137),1))=TRUE,INDEX(CoStar01Array,1,MIN(COLUMN(CoStar01Array))+COLUMNS(CoStar01Array)-A137),"")</f>
        <v>All Service Type Rent Sublet</v>
      </c>
      <c r="E137" s="2184"/>
      <c r="F137" s="993" t="str">
        <f t="shared" si="31"/>
        <v>Sublet</v>
      </c>
      <c r="G137" s="994" t="str">
        <f t="shared" si="32"/>
        <v>All Service Type</v>
      </c>
      <c r="H137" s="995" t="s">
        <v>132</v>
      </c>
    </row>
    <row r="138" spans="1:9" x14ac:dyDescent="0.25">
      <c r="A138" s="2184">
        <f t="shared" si="29"/>
        <v>4</v>
      </c>
      <c r="B138" s="993">
        <f t="shared" si="27"/>
        <v>20</v>
      </c>
      <c r="C138" s="994" t="str">
        <f t="shared" si="30"/>
        <v>Overall All Service Type Rental Rate</v>
      </c>
      <c r="D138" s="2321" t="str" cm="1">
        <f t="array" ref="D138">IF(ISNUMBER(FIND("Rent",INDEX(CoStar01Array,1,MIN(COLUMN(CoStar01Array))+COLUMNS(CoStar01Array)-A138),1))=TRUE,INDEX(CoStar01Array,1,MIN(COLUMN(CoStar01Array))+COLUMNS(CoStar01Array)-A138),"")</f>
        <v>All Service Type Rent Overall</v>
      </c>
      <c r="E138" s="2184"/>
      <c r="F138" s="993" t="str">
        <f t="shared" si="31"/>
        <v>Overall</v>
      </c>
      <c r="G138" s="994" t="str">
        <f t="shared" si="32"/>
        <v>All Service Type</v>
      </c>
      <c r="H138" s="995" t="s">
        <v>132</v>
      </c>
    </row>
    <row r="139" spans="1:9" x14ac:dyDescent="0.25">
      <c r="A139" s="2184">
        <f t="shared" si="29"/>
        <v>3</v>
      </c>
      <c r="B139" s="993">
        <f t="shared" si="27"/>
        <v>21</v>
      </c>
      <c r="C139" s="994" t="str">
        <f t="shared" si="30"/>
        <v>Direct NNN Rental Rate</v>
      </c>
      <c r="D139" s="2321" t="str" cm="1">
        <f t="array" ref="D139">IF(ISNUMBER(FIND("Rent",INDEX(CoStar01Array,1,MIN(COLUMN(CoStar01Array))+COLUMNS(CoStar01Array)-A139),1))=TRUE,INDEX(CoStar01Array,1,MIN(COLUMN(CoStar01Array))+COLUMNS(CoStar01Array)-A139),"")</f>
        <v>NNN Rent Direct</v>
      </c>
      <c r="E139" s="2184"/>
      <c r="F139" s="993" t="str">
        <f t="shared" si="31"/>
        <v>Direct</v>
      </c>
      <c r="G139" s="994" t="str">
        <f t="shared" si="32"/>
        <v>NNN</v>
      </c>
      <c r="H139" s="995" t="s">
        <v>132</v>
      </c>
    </row>
    <row r="140" spans="1:9" x14ac:dyDescent="0.25">
      <c r="A140" s="2184">
        <f>A141+1</f>
        <v>2</v>
      </c>
      <c r="B140" s="993">
        <f>B139+1</f>
        <v>22</v>
      </c>
      <c r="C140" s="994" t="str">
        <f t="shared" si="30"/>
        <v>Sublet NNN Rental Rate</v>
      </c>
      <c r="D140" s="2321" t="str" cm="1">
        <f t="array" ref="D140">IF(ISNUMBER(FIND("Rent",INDEX(CoStar01Array,1,MIN(COLUMN(CoStar01Array))+COLUMNS(CoStar01Array)-A140),1))=TRUE,INDEX(CoStar01Array,1,MIN(COLUMN(CoStar01Array))+COLUMNS(CoStar01Array)-A140),"")</f>
        <v>NNN Rent Sublet</v>
      </c>
      <c r="E140" s="2184"/>
      <c r="F140" s="993" t="str">
        <f t="shared" si="31"/>
        <v>Sublet</v>
      </c>
      <c r="G140" s="994" t="str">
        <f t="shared" si="32"/>
        <v>NNN</v>
      </c>
      <c r="H140" s="995" t="s">
        <v>132</v>
      </c>
    </row>
    <row r="141" spans="1:9" ht="15" thickBot="1" x14ac:dyDescent="0.3">
      <c r="A141" s="2184">
        <v>1</v>
      </c>
      <c r="B141" s="996">
        <f>B140+1</f>
        <v>23</v>
      </c>
      <c r="C141" s="997" t="str">
        <f t="shared" si="30"/>
        <v>Overall NNN Rental Rate</v>
      </c>
      <c r="D141" s="2324" t="str" cm="1">
        <f t="array" ref="D141">IF(ISNUMBER(FIND("Rent",INDEX(CoStar01Array,1,MIN(COLUMN(CoStar01Array))+COLUMNS(CoStar01Array)-A141),1))=TRUE,INDEX(CoStar01Array,1,MIN(COLUMN(CoStar01Array))+COLUMNS(CoStar01Array)-A141),"")</f>
        <v>NNN Rent Overall</v>
      </c>
      <c r="E141" s="2184"/>
      <c r="F141" s="996" t="str">
        <f t="shared" si="31"/>
        <v>Overall</v>
      </c>
      <c r="G141" s="997" t="str">
        <f t="shared" si="32"/>
        <v>NNN</v>
      </c>
      <c r="H141" s="998" t="s">
        <v>132</v>
      </c>
    </row>
    <row r="142" spans="1:9" ht="15" thickBot="1" x14ac:dyDescent="0.3">
      <c r="B142" s="2185"/>
      <c r="C142" s="2186"/>
      <c r="D142" s="2185"/>
      <c r="E142" s="2184"/>
      <c r="F142" s="2185"/>
      <c r="G142" s="2185"/>
      <c r="H142" s="2185"/>
    </row>
    <row r="143" spans="1:9" ht="15" customHeight="1" x14ac:dyDescent="0.25">
      <c r="B143" s="4361" t="s">
        <v>147</v>
      </c>
      <c r="C143" s="4362"/>
      <c r="D143" s="4363"/>
      <c r="E143" s="2184"/>
      <c r="F143" s="4361" t="s">
        <v>148</v>
      </c>
      <c r="G143" s="4362"/>
      <c r="H143" s="4363"/>
    </row>
    <row r="144" spans="1:9" x14ac:dyDescent="0.25">
      <c r="B144" s="2187">
        <v>7</v>
      </c>
      <c r="C144" s="2188"/>
      <c r="D144" s="989" t="str">
        <f>VLOOKUP(B144,B145:D153,3)</f>
        <v>NNN Rent Direct</v>
      </c>
      <c r="E144" s="2184"/>
      <c r="F144" s="990" t="str">
        <f>IF(VLOOKUP(B144,B145:H153,5)=0,"",VLOOKUP(B144,B145:H153,5))</f>
        <v>Direct</v>
      </c>
      <c r="G144" s="991" t="str">
        <f>IF(VLOOKUP(B144,B145:H153,6)=0,"",VLOOKUP(B144,B145:H153,6))</f>
        <v>NNN</v>
      </c>
      <c r="H144" s="992" t="str">
        <f>IF(VLOOKUP(B144,B145:H153,7)=0,"",VLOOKUP(B144,B145:H153,7))</f>
        <v>Rental Rate</v>
      </c>
      <c r="I144" s="20"/>
    </row>
    <row r="145" spans="1:11" x14ac:dyDescent="0.25">
      <c r="A145" s="2184">
        <f t="shared" ref="A145:A151" si="33">A146+1</f>
        <v>9</v>
      </c>
      <c r="B145" s="2194">
        <v>1</v>
      </c>
      <c r="C145" s="994" t="str">
        <f t="shared" ref="C145:C153" si="34">IFERROR(CONCATENATE(F145," ",G145," ",H145),"")</f>
        <v/>
      </c>
      <c r="D145" s="995" t="str" cm="1">
        <f t="array" ref="D145">IF(ISNUMBER(FIND("Rent",INDEX(CoStar01Array,1,MIN(COLUMN(CoStar01Array))+COLUMNS(CoStar01Array)-A145),1))=TRUE,INDEX(CoStar01Array,1,MIN(COLUMN(CoStar01Array))+COLUMNS(CoStar01Array)-A145),"")</f>
        <v/>
      </c>
      <c r="E145" s="2184"/>
      <c r="F145" s="2194" t="str">
        <f t="shared" ref="F145:F153" si="35">TRIM(RIGHT(SUBSTITUTE(TRIM(D145)," ",REPT(" ",100)),100))</f>
        <v/>
      </c>
      <c r="G145" s="2322" t="e">
        <f t="shared" ref="G145:G153" si="36">LEFT(D145,FIND("Rent",D145,1)-2)</f>
        <v>#VALUE!</v>
      </c>
      <c r="H145" s="2192" t="s">
        <v>132</v>
      </c>
      <c r="I145" s="2193"/>
      <c r="J145" s="2185"/>
      <c r="K145" s="2185"/>
    </row>
    <row r="146" spans="1:11" x14ac:dyDescent="0.25">
      <c r="A146" s="2184">
        <f t="shared" si="33"/>
        <v>8</v>
      </c>
      <c r="B146" s="993">
        <f t="shared" ref="B146:B151" si="37">B145+1</f>
        <v>2</v>
      </c>
      <c r="C146" s="994" t="str">
        <f t="shared" si="34"/>
        <v/>
      </c>
      <c r="D146" s="995" t="str" cm="1">
        <f t="array" ref="D146">IF(ISNUMBER(FIND("Rent",INDEX(CoStar01Array,1,MIN(COLUMN(CoStar01Array))+COLUMNS(CoStar01Array)-A146),1))=TRUE,INDEX(CoStar01Array,1,MIN(COLUMN(CoStar01Array))+COLUMNS(CoStar01Array)-A146),"")</f>
        <v/>
      </c>
      <c r="E146" s="2184"/>
      <c r="F146" s="993" t="str">
        <f t="shared" si="35"/>
        <v/>
      </c>
      <c r="G146" s="994" t="e">
        <f t="shared" si="36"/>
        <v>#VALUE!</v>
      </c>
      <c r="H146" s="995" t="s">
        <v>132</v>
      </c>
      <c r="I146" s="2193"/>
      <c r="J146" s="2185"/>
      <c r="K146" s="2185"/>
    </row>
    <row r="147" spans="1:11" x14ac:dyDescent="0.25">
      <c r="A147" s="2184">
        <f t="shared" si="33"/>
        <v>7</v>
      </c>
      <c r="B147" s="993">
        <f t="shared" si="37"/>
        <v>3</v>
      </c>
      <c r="C147" s="994" t="str">
        <f t="shared" si="34"/>
        <v/>
      </c>
      <c r="D147" s="995" t="str" cm="1">
        <f t="array" ref="D147">IF(ISNUMBER(FIND("Rent",INDEX(CoStar01Array,1,MIN(COLUMN(CoStar01Array))+COLUMNS(CoStar01Array)-A147),1))=TRUE,INDEX(CoStar01Array,1,MIN(COLUMN(CoStar01Array))+COLUMNS(CoStar01Array)-A147),"")</f>
        <v/>
      </c>
      <c r="E147" s="2184"/>
      <c r="F147" s="993" t="str">
        <f t="shared" si="35"/>
        <v/>
      </c>
      <c r="G147" s="994" t="e">
        <f t="shared" si="36"/>
        <v>#VALUE!</v>
      </c>
      <c r="H147" s="995" t="s">
        <v>132</v>
      </c>
      <c r="I147" s="2193"/>
      <c r="J147" s="2185"/>
      <c r="K147" s="2185"/>
    </row>
    <row r="148" spans="1:11" x14ac:dyDescent="0.25">
      <c r="A148" s="2184">
        <f t="shared" si="33"/>
        <v>6</v>
      </c>
      <c r="B148" s="993">
        <f t="shared" si="37"/>
        <v>4</v>
      </c>
      <c r="C148" s="994" t="str">
        <f t="shared" si="34"/>
        <v>Direct All Service Type Rental Rate</v>
      </c>
      <c r="D148" s="995" t="str" cm="1">
        <f t="array" ref="D148">IF(ISNUMBER(FIND("Rent",INDEX(CoStar01Array,1,MIN(COLUMN(CoStar01Array))+COLUMNS(CoStar01Array)-A148),1))=TRUE,INDEX(CoStar01Array,1,MIN(COLUMN(CoStar01Array))+COLUMNS(CoStar01Array)-A148),"")</f>
        <v>All Service Type Rent Direct</v>
      </c>
      <c r="E148" s="2184"/>
      <c r="F148" s="993" t="str">
        <f t="shared" si="35"/>
        <v>Direct</v>
      </c>
      <c r="G148" s="994" t="str">
        <f t="shared" si="36"/>
        <v>All Service Type</v>
      </c>
      <c r="H148" s="995" t="s">
        <v>132</v>
      </c>
      <c r="I148" s="2193"/>
      <c r="J148" s="2185"/>
      <c r="K148" s="2185"/>
    </row>
    <row r="149" spans="1:11" x14ac:dyDescent="0.25">
      <c r="A149" s="2184">
        <f t="shared" si="33"/>
        <v>5</v>
      </c>
      <c r="B149" s="993">
        <f t="shared" si="37"/>
        <v>5</v>
      </c>
      <c r="C149" s="994" t="str">
        <f t="shared" si="34"/>
        <v>Sublet All Service Type Rental Rate</v>
      </c>
      <c r="D149" s="995" t="str" cm="1">
        <f t="array" ref="D149">IF(ISNUMBER(FIND("Rent",INDEX(CoStar01Array,1,MIN(COLUMN(CoStar01Array))+COLUMNS(CoStar01Array)-A149),1))=TRUE,INDEX(CoStar01Array,1,MIN(COLUMN(CoStar01Array))+COLUMNS(CoStar01Array)-A149),"")</f>
        <v>All Service Type Rent Sublet</v>
      </c>
      <c r="E149" s="2184"/>
      <c r="F149" s="993" t="str">
        <f t="shared" si="35"/>
        <v>Sublet</v>
      </c>
      <c r="G149" s="994" t="str">
        <f t="shared" si="36"/>
        <v>All Service Type</v>
      </c>
      <c r="H149" s="995" t="s">
        <v>132</v>
      </c>
      <c r="I149" s="2193"/>
      <c r="J149" s="2185"/>
      <c r="K149" s="2185"/>
    </row>
    <row r="150" spans="1:11" x14ac:dyDescent="0.25">
      <c r="A150" s="2184">
        <f t="shared" si="33"/>
        <v>4</v>
      </c>
      <c r="B150" s="993">
        <f t="shared" si="37"/>
        <v>6</v>
      </c>
      <c r="C150" s="994" t="str">
        <f t="shared" si="34"/>
        <v>Overall All Service Type Rental Rate</v>
      </c>
      <c r="D150" s="995" t="str" cm="1">
        <f t="array" ref="D150">IF(ISNUMBER(FIND("Rent",INDEX(CoStar01Array,1,MIN(COLUMN(CoStar01Array))+COLUMNS(CoStar01Array)-A150),1))=TRUE,INDEX(CoStar01Array,1,MIN(COLUMN(CoStar01Array))+COLUMNS(CoStar01Array)-A150),"")</f>
        <v>All Service Type Rent Overall</v>
      </c>
      <c r="E150" s="2184"/>
      <c r="F150" s="993" t="str">
        <f t="shared" si="35"/>
        <v>Overall</v>
      </c>
      <c r="G150" s="994" t="str">
        <f t="shared" si="36"/>
        <v>All Service Type</v>
      </c>
      <c r="H150" s="995" t="s">
        <v>132</v>
      </c>
      <c r="I150" s="2193"/>
      <c r="J150" s="2185"/>
      <c r="K150" s="2185"/>
    </row>
    <row r="151" spans="1:11" x14ac:dyDescent="0.25">
      <c r="A151" s="2184">
        <f t="shared" si="33"/>
        <v>3</v>
      </c>
      <c r="B151" s="993">
        <f t="shared" si="37"/>
        <v>7</v>
      </c>
      <c r="C151" s="994" t="str">
        <f t="shared" si="34"/>
        <v>Direct NNN Rental Rate</v>
      </c>
      <c r="D151" s="995" t="str" cm="1">
        <f t="array" ref="D151">IF(ISNUMBER(FIND("Rent",INDEX(CoStar01Array,1,MIN(COLUMN(CoStar01Array))+COLUMNS(CoStar01Array)-A151),1))=TRUE,INDEX(CoStar01Array,1,MIN(COLUMN(CoStar01Array))+COLUMNS(CoStar01Array)-A151),"")</f>
        <v>NNN Rent Direct</v>
      </c>
      <c r="E151" s="2184"/>
      <c r="F151" s="993" t="str">
        <f t="shared" si="35"/>
        <v>Direct</v>
      </c>
      <c r="G151" s="994" t="str">
        <f t="shared" si="36"/>
        <v>NNN</v>
      </c>
      <c r="H151" s="995" t="s">
        <v>132</v>
      </c>
      <c r="I151" s="2193"/>
      <c r="J151" s="2185"/>
      <c r="K151" s="2185"/>
    </row>
    <row r="152" spans="1:11" x14ac:dyDescent="0.25">
      <c r="A152" s="2184">
        <f>A153+1</f>
        <v>2</v>
      </c>
      <c r="B152" s="993">
        <f>B151+1</f>
        <v>8</v>
      </c>
      <c r="C152" s="994" t="str">
        <f t="shared" si="34"/>
        <v>Sublet NNN Rental Rate</v>
      </c>
      <c r="D152" s="995" t="str" cm="1">
        <f t="array" ref="D152">IF(ISNUMBER(FIND("Rent",INDEX(CoStar01Array,1,MIN(COLUMN(CoStar01Array))+COLUMNS(CoStar01Array)-A152),1))=TRUE,INDEX(CoStar01Array,1,MIN(COLUMN(CoStar01Array))+COLUMNS(CoStar01Array)-A152),"")</f>
        <v>NNN Rent Sublet</v>
      </c>
      <c r="E152" s="2184"/>
      <c r="F152" s="993" t="str">
        <f t="shared" si="35"/>
        <v>Sublet</v>
      </c>
      <c r="G152" s="994" t="str">
        <f t="shared" si="36"/>
        <v>NNN</v>
      </c>
      <c r="H152" s="995" t="s">
        <v>132</v>
      </c>
      <c r="I152" s="2193"/>
      <c r="J152" s="2185"/>
      <c r="K152" s="2185"/>
    </row>
    <row r="153" spans="1:11" ht="15" thickBot="1" x14ac:dyDescent="0.3">
      <c r="A153" s="2184">
        <v>1</v>
      </c>
      <c r="B153" s="996">
        <f>B152+1</f>
        <v>9</v>
      </c>
      <c r="C153" s="997" t="str">
        <f t="shared" si="34"/>
        <v>Overall NNN Rental Rate</v>
      </c>
      <c r="D153" s="998" t="str" cm="1">
        <f t="array" ref="D153">IF(ISNUMBER(FIND("Rent",INDEX(CoStar01Array,1,MIN(COLUMN(CoStar01Array))+COLUMNS(CoStar01Array)-A153),1))=TRUE,INDEX(CoStar01Array,1,MIN(COLUMN(CoStar01Array))+COLUMNS(CoStar01Array)-A153),"")</f>
        <v>NNN Rent Overall</v>
      </c>
      <c r="E153" s="2184"/>
      <c r="F153" s="996" t="str">
        <f t="shared" si="35"/>
        <v>Overall</v>
      </c>
      <c r="G153" s="997" t="str">
        <f t="shared" si="36"/>
        <v>NNN</v>
      </c>
      <c r="H153" s="998" t="s">
        <v>132</v>
      </c>
      <c r="I153" s="2193"/>
      <c r="J153" s="2185"/>
      <c r="K153" s="2185"/>
    </row>
    <row r="156" spans="1:11" x14ac:dyDescent="0.25">
      <c r="C156" s="477"/>
    </row>
  </sheetData>
  <mergeCells count="41">
    <mergeCell ref="B21:C21"/>
    <mergeCell ref="B39:D39"/>
    <mergeCell ref="F39:H39"/>
    <mergeCell ref="H36:I36"/>
    <mergeCell ref="H21:I21"/>
    <mergeCell ref="H26:I26"/>
    <mergeCell ref="H31:I31"/>
    <mergeCell ref="B143:D143"/>
    <mergeCell ref="F65:H65"/>
    <mergeCell ref="B65:D65"/>
    <mergeCell ref="F91:H91"/>
    <mergeCell ref="B91:D91"/>
    <mergeCell ref="F117:H117"/>
    <mergeCell ref="B117:D117"/>
    <mergeCell ref="F143:H143"/>
    <mergeCell ref="B10:C10"/>
    <mergeCell ref="F8:G8"/>
    <mergeCell ref="H10:I10"/>
    <mergeCell ref="H12:I12"/>
    <mergeCell ref="H8:I8"/>
    <mergeCell ref="AQ4:AS4"/>
    <mergeCell ref="AE4:AF4"/>
    <mergeCell ref="V6:Y6"/>
    <mergeCell ref="L4:Z4"/>
    <mergeCell ref="V5:Y5"/>
    <mergeCell ref="H16:I16"/>
    <mergeCell ref="L13:P13"/>
    <mergeCell ref="L8:Z8"/>
    <mergeCell ref="F4:G4"/>
    <mergeCell ref="H4:I4"/>
    <mergeCell ref="V10:Y10"/>
    <mergeCell ref="V9:Y9"/>
    <mergeCell ref="T13:U13"/>
    <mergeCell ref="Q13:S13"/>
    <mergeCell ref="V13:X13"/>
    <mergeCell ref="V7:Y7"/>
    <mergeCell ref="L34:M34"/>
    <mergeCell ref="V11:Y11"/>
    <mergeCell ref="N19:P19"/>
    <mergeCell ref="L28:M28"/>
    <mergeCell ref="L19:M19"/>
  </mergeCells>
  <pageMargins left="0.7" right="0.7" top="0.75" bottom="0.75" header="0.3" footer="0.3"/>
  <pageSetup orientation="portrait" r:id="rId1"/>
  <drawing r:id="rId2"/>
  <legacyDrawing r:id="rId3"/>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39">
    <tabColor theme="5" tint="-0.249977111117893"/>
    <pageSetUpPr fitToPage="1"/>
  </sheetPr>
  <dimension ref="A1:V133"/>
  <sheetViews>
    <sheetView zoomScaleNormal="100" workbookViewId="0">
      <selection activeCell="C4" sqref="C4:S119"/>
    </sheetView>
  </sheetViews>
  <sheetFormatPr defaultColWidth="9.140625" defaultRowHeight="12" x14ac:dyDescent="0.2"/>
  <cols>
    <col min="1" max="1" width="5.7109375" style="278" customWidth="1"/>
    <col min="2" max="2" width="1.7109375" style="278" customWidth="1"/>
    <col min="3" max="3" width="0.85546875" style="269" customWidth="1"/>
    <col min="4" max="4" width="1.7109375" style="269" customWidth="1"/>
    <col min="5" max="5" width="25.7109375" style="269" customWidth="1"/>
    <col min="6" max="18" width="10.7109375" style="269" customWidth="1"/>
    <col min="19" max="19" width="0.85546875" style="269" customWidth="1"/>
    <col min="20" max="20" width="1.7109375" style="269" customWidth="1"/>
    <col min="21" max="16384" width="9.140625" style="269"/>
  </cols>
  <sheetData>
    <row r="1" spans="1:20" ht="60" customHeight="1" x14ac:dyDescent="0.2"/>
    <row r="2" spans="1:20" ht="15" customHeight="1" thickBot="1" x14ac:dyDescent="0.25"/>
    <row r="3" spans="1:20" ht="15" customHeight="1" x14ac:dyDescent="0.2">
      <c r="B3" s="283"/>
      <c r="C3" s="270"/>
      <c r="D3" s="270"/>
      <c r="E3" s="270"/>
      <c r="F3" s="270"/>
      <c r="G3" s="270"/>
      <c r="H3" s="270"/>
      <c r="I3" s="270"/>
      <c r="J3" s="270"/>
      <c r="K3" s="270"/>
      <c r="L3" s="270"/>
      <c r="M3" s="270"/>
      <c r="N3" s="270"/>
      <c r="O3" s="270"/>
      <c r="P3" s="270"/>
      <c r="Q3" s="270"/>
      <c r="R3" s="270"/>
      <c r="S3" s="270"/>
      <c r="T3" s="271"/>
    </row>
    <row r="4" spans="1:20" s="536" customFormat="1" ht="15.95" customHeight="1" x14ac:dyDescent="0.25">
      <c r="A4" s="533"/>
      <c r="B4" s="534"/>
      <c r="C4" s="2240"/>
      <c r="D4" s="505" t="s">
        <v>418</v>
      </c>
      <c r="E4" s="2132"/>
      <c r="F4" s="2240"/>
      <c r="G4" s="2240"/>
      <c r="H4" s="2240"/>
      <c r="I4" s="2240"/>
      <c r="J4" s="2240"/>
      <c r="K4" s="2240"/>
      <c r="L4" s="2240"/>
      <c r="M4" s="2240"/>
      <c r="N4" s="2240"/>
      <c r="O4" s="2240"/>
      <c r="P4" s="2240"/>
      <c r="Q4" s="2240"/>
      <c r="R4" s="2240"/>
      <c r="S4" s="2240"/>
      <c r="T4" s="535"/>
    </row>
    <row r="5" spans="1:20" s="536" customFormat="1" ht="15.95" customHeight="1" x14ac:dyDescent="0.25">
      <c r="A5" s="533"/>
      <c r="B5" s="534"/>
      <c r="C5" s="2240"/>
      <c r="D5" s="505" t="str">
        <f>IF(Sort_NumValues=3,dpSort_ValueScenario_3,IF(Sort_NumValues=2,dpSort_ValueScenario_2,dpSort_ValueScenario_1))</f>
        <v>Retrospective Fee Simple Market Value Indication</v>
      </c>
      <c r="E5" s="2132"/>
      <c r="F5" s="2240"/>
      <c r="G5" s="2240"/>
      <c r="H5" s="2240"/>
      <c r="I5" s="2240"/>
      <c r="J5" s="2240"/>
      <c r="K5" s="2240"/>
      <c r="L5" s="2240"/>
      <c r="M5" s="2240"/>
      <c r="N5" s="2240"/>
      <c r="O5" s="2240"/>
      <c r="P5" s="2240"/>
      <c r="Q5" s="2240"/>
      <c r="R5" s="2240"/>
      <c r="S5" s="2240"/>
      <c r="T5" s="535"/>
    </row>
    <row r="6" spans="1:20" s="280" customFormat="1" ht="0.95" customHeight="1" x14ac:dyDescent="0.2">
      <c r="A6" s="2637">
        <v>1</v>
      </c>
      <c r="B6" s="284"/>
      <c r="C6" s="2241"/>
      <c r="D6" s="2241"/>
      <c r="E6" s="2242">
        <v>1</v>
      </c>
      <c r="F6" s="2243">
        <f>E6+1</f>
        <v>2</v>
      </c>
      <c r="G6" s="2242">
        <f t="shared" ref="G6:R7" si="0">F6+1</f>
        <v>3</v>
      </c>
      <c r="H6" s="2242">
        <f t="shared" si="0"/>
        <v>4</v>
      </c>
      <c r="I6" s="2242">
        <f t="shared" si="0"/>
        <v>5</v>
      </c>
      <c r="J6" s="2242">
        <f t="shared" si="0"/>
        <v>6</v>
      </c>
      <c r="K6" s="2242">
        <f t="shared" si="0"/>
        <v>7</v>
      </c>
      <c r="L6" s="2242">
        <f t="shared" si="0"/>
        <v>8</v>
      </c>
      <c r="M6" s="2242">
        <f t="shared" si="0"/>
        <v>9</v>
      </c>
      <c r="N6" s="2242">
        <f t="shared" si="0"/>
        <v>10</v>
      </c>
      <c r="O6" s="2242">
        <f t="shared" si="0"/>
        <v>11</v>
      </c>
      <c r="P6" s="2242">
        <f t="shared" si="0"/>
        <v>12</v>
      </c>
      <c r="Q6" s="2242">
        <f t="shared" si="0"/>
        <v>13</v>
      </c>
      <c r="R6" s="2242">
        <f t="shared" si="0"/>
        <v>14</v>
      </c>
      <c r="S6" s="2241"/>
      <c r="T6" s="279"/>
    </row>
    <row r="7" spans="1:20" ht="15" customHeight="1" x14ac:dyDescent="0.2">
      <c r="A7" s="2637">
        <v>1</v>
      </c>
      <c r="B7" s="284"/>
      <c r="C7" s="2244"/>
      <c r="E7" s="2244"/>
      <c r="F7" s="2245">
        <v>1</v>
      </c>
      <c r="G7" s="2245">
        <f>F7+1</f>
        <v>2</v>
      </c>
      <c r="H7" s="2245">
        <f t="shared" si="0"/>
        <v>3</v>
      </c>
      <c r="I7" s="2245">
        <f t="shared" si="0"/>
        <v>4</v>
      </c>
      <c r="J7" s="2245">
        <f t="shared" si="0"/>
        <v>5</v>
      </c>
      <c r="K7" s="2245">
        <f t="shared" si="0"/>
        <v>6</v>
      </c>
      <c r="L7" s="2245">
        <f t="shared" si="0"/>
        <v>7</v>
      </c>
      <c r="M7" s="2245">
        <f t="shared" si="0"/>
        <v>8</v>
      </c>
      <c r="N7" s="2245">
        <f t="shared" si="0"/>
        <v>9</v>
      </c>
      <c r="O7" s="2245">
        <f t="shared" si="0"/>
        <v>10</v>
      </c>
      <c r="P7" s="2245">
        <f t="shared" si="0"/>
        <v>11</v>
      </c>
      <c r="Q7" s="2245">
        <f t="shared" si="0"/>
        <v>12</v>
      </c>
      <c r="R7" s="2245">
        <f t="shared" si="0"/>
        <v>13</v>
      </c>
      <c r="S7" s="2244"/>
      <c r="T7" s="272"/>
    </row>
    <row r="8" spans="1:20" ht="15" customHeight="1" x14ac:dyDescent="0.2">
      <c r="A8" s="2637">
        <v>1</v>
      </c>
      <c r="B8" s="284">
        <v>1</v>
      </c>
      <c r="C8" s="2244"/>
      <c r="E8" s="2246" t="str">
        <f t="shared" ref="E8:E39" si="1">IF(ISERROR(INDEX(ARGUS_CashFlow1_Array,$B8,E$6)="TRUE"),"",IF(INDEX(ARGUS_CashFlow1_Array,$B8,E$6)="","",IF(OR($E8="Cash Flow Before Debt Service",$E8="  Potential Base Rent"),TEXT(INDEX(ARGUS_CashFlow1_Array,$B8,E$6),"$#,###"),IF($E8="  Average Occupancy Percentage",TEXT(INDEX(ARGUS_CashFlow1_Array,$B8,E$6),"0.0%"),TEXT(INDEX(ARGUS_CashFlow1_Array,$B8,E$6),"#,###")))))</f>
        <v/>
      </c>
      <c r="F8" s="2247" t="str">
        <f t="shared" ref="F8:P8" si="2">IF(ISERROR(INDEX(ARGUS_CashFlow1_Array,$B8,F$6)="TRUE"),"",IF(INDEX(ARGUS_CashFlow1_Array,$B8,F$6)="","",IF(OR($E8="Cash Flow Before Debt Service",$E8="  Base Rental Revenue"),TEXT(INDEX(ARGUS_CashFlow1_Array,$B8,F$6),"$#,###"),INDEX(ARGUS_CashFlow1_Array,$B8,F$6))))</f>
        <v/>
      </c>
      <c r="G8" s="2247" t="str">
        <f t="shared" si="2"/>
        <v/>
      </c>
      <c r="H8" s="2247" t="str">
        <f t="shared" si="2"/>
        <v/>
      </c>
      <c r="I8" s="2247" t="str">
        <f t="shared" si="2"/>
        <v/>
      </c>
      <c r="J8" s="2247" t="str">
        <f t="shared" si="2"/>
        <v/>
      </c>
      <c r="K8" s="2247" t="str">
        <f t="shared" si="2"/>
        <v/>
      </c>
      <c r="L8" s="2247" t="str">
        <f t="shared" si="2"/>
        <v/>
      </c>
      <c r="M8" s="2247" t="str">
        <f t="shared" si="2"/>
        <v/>
      </c>
      <c r="N8" s="2247" t="str">
        <f t="shared" si="2"/>
        <v/>
      </c>
      <c r="O8" s="2247" t="str">
        <f t="shared" si="2"/>
        <v/>
      </c>
      <c r="P8" s="2247" t="str">
        <f t="shared" si="2"/>
        <v/>
      </c>
      <c r="Q8" s="2247" t="str">
        <f>IF(ISERROR(INDEX(ARGUS_CashFlow1_Array,$B8,Q$6)="TRUE"),"",IF(INDEX(ARGUS_CashFlow1_Array,$B8,Q$6)="","",IF(OR($E8="Cash Flow Before Debt Service",$E8="  Base Rental Revenue"),TEXT(INDEX(ARGUS_CashFlow1_Array,$B8,Q$6),"$#,###"),INDEX(ARGUS_CashFlow1_Array,$B8,Q$6))))</f>
        <v/>
      </c>
      <c r="R8" s="2247" t="str">
        <f>IF(ISERROR(INDEX(ARGUS_CashFlow1_Array,$B8,R$6)="TRUE"),"",IF(INDEX(ARGUS_CashFlow1_Array,$B8,R$6)="","",IF(OR($E8="Cash Flow Before Debt Service",$E8="  Base Rental Revenue"),TEXT(INDEX(ARGUS_CashFlow1_Array,$B8,R$6),"$#,###"),INDEX(ARGUS_CashFlow1_Array,$B8,R$6))))</f>
        <v/>
      </c>
      <c r="S8" s="2244"/>
      <c r="T8" s="272"/>
    </row>
    <row r="9" spans="1:20" ht="15" customHeight="1" x14ac:dyDescent="0.2">
      <c r="A9" s="2637">
        <f t="shared" ref="A9:A40" si="3">IF(OR(AND(E8="",E9="",E10=""),E8="Cash Flow Available for Distribution",E9="Cash Flow Available for Distribution",E10="Cash Flow Available for Distribution"),0,1)</f>
        <v>0</v>
      </c>
      <c r="B9" s="284">
        <v>3</v>
      </c>
      <c r="C9" s="1215"/>
      <c r="D9" s="1215"/>
      <c r="E9" s="2248" t="str">
        <f t="shared" si="1"/>
        <v/>
      </c>
      <c r="F9" s="2249" t="str">
        <f t="shared" ref="F9:R18" si="4">IF(ISERROR(INDEX(ARGUS_CashFlow1_Array,$B9,F$6)="TRUE"),"",IF(INDEX(ARGUS_CashFlow1_Array,$B9,F$6)="","",IF(OR($E9="Cash Flow Before Debt Service",$E9="  Potential Base Rent"),TEXT(INDEX(ARGUS_CashFlow1_Array,$B9,F$6),"$#,###"),IF($E9="  Average Occupancy Percentage",TEXT(INDEX(ARGUS_CashFlow1_Array,$B9,F$6),"0.0%"),TEXT(INDEX(ARGUS_CashFlow1_Array,$B9,F$6),"#,###")))))</f>
        <v/>
      </c>
      <c r="G9" s="2250" t="str">
        <f t="shared" si="4"/>
        <v/>
      </c>
      <c r="H9" s="2250" t="str">
        <f t="shared" si="4"/>
        <v/>
      </c>
      <c r="I9" s="2250" t="str">
        <f t="shared" si="4"/>
        <v/>
      </c>
      <c r="J9" s="2250" t="str">
        <f t="shared" si="4"/>
        <v/>
      </c>
      <c r="K9" s="2250" t="str">
        <f t="shared" si="4"/>
        <v/>
      </c>
      <c r="L9" s="2250" t="str">
        <f t="shared" si="4"/>
        <v/>
      </c>
      <c r="M9" s="2250" t="str">
        <f t="shared" si="4"/>
        <v/>
      </c>
      <c r="N9" s="2250" t="str">
        <f t="shared" si="4"/>
        <v/>
      </c>
      <c r="O9" s="2250" t="str">
        <f t="shared" si="4"/>
        <v/>
      </c>
      <c r="P9" s="2250" t="str">
        <f t="shared" si="4"/>
        <v/>
      </c>
      <c r="Q9" s="2250" t="str">
        <f t="shared" si="4"/>
        <v/>
      </c>
      <c r="R9" s="2250" t="str">
        <f t="shared" si="4"/>
        <v/>
      </c>
      <c r="S9" s="1215"/>
      <c r="T9" s="272"/>
    </row>
    <row r="10" spans="1:20" ht="15" customHeight="1" x14ac:dyDescent="0.2">
      <c r="A10" s="2637">
        <f t="shared" si="3"/>
        <v>0</v>
      </c>
      <c r="B10" s="284">
        <f>B9+1</f>
        <v>4</v>
      </c>
      <c r="C10" s="1215"/>
      <c r="D10" s="1215"/>
      <c r="E10" s="2248" t="str">
        <f t="shared" si="1"/>
        <v/>
      </c>
      <c r="F10" s="2249" t="str">
        <f t="shared" si="4"/>
        <v/>
      </c>
      <c r="G10" s="2250" t="str">
        <f t="shared" si="4"/>
        <v/>
      </c>
      <c r="H10" s="2250" t="str">
        <f t="shared" si="4"/>
        <v/>
      </c>
      <c r="I10" s="2250" t="str">
        <f t="shared" si="4"/>
        <v/>
      </c>
      <c r="J10" s="2250" t="str">
        <f t="shared" si="4"/>
        <v/>
      </c>
      <c r="K10" s="2250" t="str">
        <f t="shared" si="4"/>
        <v/>
      </c>
      <c r="L10" s="2250" t="str">
        <f t="shared" si="4"/>
        <v/>
      </c>
      <c r="M10" s="2250" t="str">
        <f t="shared" si="4"/>
        <v/>
      </c>
      <c r="N10" s="2250" t="str">
        <f t="shared" si="4"/>
        <v/>
      </c>
      <c r="O10" s="2250" t="str">
        <f t="shared" si="4"/>
        <v/>
      </c>
      <c r="P10" s="2250" t="str">
        <f t="shared" si="4"/>
        <v/>
      </c>
      <c r="Q10" s="2250" t="str">
        <f t="shared" si="4"/>
        <v/>
      </c>
      <c r="R10" s="2250" t="str">
        <f t="shared" si="4"/>
        <v/>
      </c>
      <c r="S10" s="1215"/>
      <c r="T10" s="272"/>
    </row>
    <row r="11" spans="1:20" ht="15" customHeight="1" x14ac:dyDescent="0.2">
      <c r="A11" s="2637">
        <f t="shared" si="3"/>
        <v>0</v>
      </c>
      <c r="B11" s="284">
        <f t="shared" ref="B11:B74" si="5">B10+1</f>
        <v>5</v>
      </c>
      <c r="C11" s="1215"/>
      <c r="D11" s="1215"/>
      <c r="E11" s="2248" t="str">
        <f t="shared" si="1"/>
        <v/>
      </c>
      <c r="F11" s="2249" t="str">
        <f t="shared" si="4"/>
        <v/>
      </c>
      <c r="G11" s="2250" t="str">
        <f t="shared" si="4"/>
        <v/>
      </c>
      <c r="H11" s="2250" t="str">
        <f t="shared" si="4"/>
        <v/>
      </c>
      <c r="I11" s="2250" t="str">
        <f t="shared" si="4"/>
        <v/>
      </c>
      <c r="J11" s="2250" t="str">
        <f t="shared" si="4"/>
        <v/>
      </c>
      <c r="K11" s="2250" t="str">
        <f t="shared" si="4"/>
        <v/>
      </c>
      <c r="L11" s="2250" t="str">
        <f t="shared" si="4"/>
        <v/>
      </c>
      <c r="M11" s="2250" t="str">
        <f t="shared" si="4"/>
        <v/>
      </c>
      <c r="N11" s="2250" t="str">
        <f t="shared" si="4"/>
        <v/>
      </c>
      <c r="O11" s="2250" t="str">
        <f t="shared" si="4"/>
        <v/>
      </c>
      <c r="P11" s="2250" t="str">
        <f t="shared" si="4"/>
        <v/>
      </c>
      <c r="Q11" s="2250" t="str">
        <f t="shared" si="4"/>
        <v/>
      </c>
      <c r="R11" s="2250" t="str">
        <f t="shared" si="4"/>
        <v/>
      </c>
      <c r="S11" s="1215"/>
      <c r="T11" s="272"/>
    </row>
    <row r="12" spans="1:20" ht="15" customHeight="1" x14ac:dyDescent="0.2">
      <c r="A12" s="2637">
        <f t="shared" si="3"/>
        <v>0</v>
      </c>
      <c r="B12" s="284">
        <f t="shared" si="5"/>
        <v>6</v>
      </c>
      <c r="C12" s="1215"/>
      <c r="D12" s="1215"/>
      <c r="E12" s="2248" t="str">
        <f t="shared" si="1"/>
        <v/>
      </c>
      <c r="F12" s="2250" t="str">
        <f t="shared" si="4"/>
        <v/>
      </c>
      <c r="G12" s="2250" t="str">
        <f t="shared" si="4"/>
        <v/>
      </c>
      <c r="H12" s="2250" t="str">
        <f t="shared" si="4"/>
        <v/>
      </c>
      <c r="I12" s="2250" t="str">
        <f t="shared" si="4"/>
        <v/>
      </c>
      <c r="J12" s="2250" t="str">
        <f t="shared" si="4"/>
        <v/>
      </c>
      <c r="K12" s="2250" t="str">
        <f t="shared" si="4"/>
        <v/>
      </c>
      <c r="L12" s="2250" t="str">
        <f t="shared" si="4"/>
        <v/>
      </c>
      <c r="M12" s="2250" t="str">
        <f t="shared" si="4"/>
        <v/>
      </c>
      <c r="N12" s="2250" t="str">
        <f t="shared" si="4"/>
        <v/>
      </c>
      <c r="O12" s="2250" t="str">
        <f t="shared" si="4"/>
        <v/>
      </c>
      <c r="P12" s="2250" t="str">
        <f t="shared" si="4"/>
        <v/>
      </c>
      <c r="Q12" s="2250" t="str">
        <f t="shared" si="4"/>
        <v/>
      </c>
      <c r="R12" s="2250" t="str">
        <f t="shared" si="4"/>
        <v/>
      </c>
      <c r="S12" s="1215"/>
      <c r="T12" s="272"/>
    </row>
    <row r="13" spans="1:20" ht="15" customHeight="1" x14ac:dyDescent="0.2">
      <c r="A13" s="2637">
        <f t="shared" si="3"/>
        <v>0</v>
      </c>
      <c r="B13" s="284">
        <f t="shared" si="5"/>
        <v>7</v>
      </c>
      <c r="C13" s="1215"/>
      <c r="D13" s="1215"/>
      <c r="E13" s="2248" t="str">
        <f t="shared" si="1"/>
        <v/>
      </c>
      <c r="F13" s="2250" t="str">
        <f t="shared" si="4"/>
        <v/>
      </c>
      <c r="G13" s="2250" t="str">
        <f t="shared" si="4"/>
        <v/>
      </c>
      <c r="H13" s="2250" t="str">
        <f t="shared" si="4"/>
        <v/>
      </c>
      <c r="I13" s="2250" t="str">
        <f t="shared" si="4"/>
        <v/>
      </c>
      <c r="J13" s="2250" t="str">
        <f t="shared" si="4"/>
        <v/>
      </c>
      <c r="K13" s="2250" t="str">
        <f t="shared" si="4"/>
        <v/>
      </c>
      <c r="L13" s="2250" t="str">
        <f t="shared" si="4"/>
        <v/>
      </c>
      <c r="M13" s="2250" t="str">
        <f t="shared" si="4"/>
        <v/>
      </c>
      <c r="N13" s="2250" t="str">
        <f t="shared" si="4"/>
        <v/>
      </c>
      <c r="O13" s="2250" t="str">
        <f t="shared" si="4"/>
        <v/>
      </c>
      <c r="P13" s="2250" t="str">
        <f t="shared" si="4"/>
        <v/>
      </c>
      <c r="Q13" s="2250" t="str">
        <f t="shared" si="4"/>
        <v/>
      </c>
      <c r="R13" s="2250" t="str">
        <f t="shared" si="4"/>
        <v/>
      </c>
      <c r="S13" s="1215"/>
      <c r="T13" s="272"/>
    </row>
    <row r="14" spans="1:20" ht="15" customHeight="1" x14ac:dyDescent="0.2">
      <c r="A14" s="2637">
        <f t="shared" si="3"/>
        <v>0</v>
      </c>
      <c r="B14" s="284">
        <f t="shared" si="5"/>
        <v>8</v>
      </c>
      <c r="C14" s="1215"/>
      <c r="D14" s="1215"/>
      <c r="E14" s="2248" t="str">
        <f t="shared" si="1"/>
        <v/>
      </c>
      <c r="F14" s="2250" t="str">
        <f t="shared" si="4"/>
        <v/>
      </c>
      <c r="G14" s="2250" t="str">
        <f t="shared" si="4"/>
        <v/>
      </c>
      <c r="H14" s="2250" t="str">
        <f t="shared" si="4"/>
        <v/>
      </c>
      <c r="I14" s="2250" t="str">
        <f t="shared" si="4"/>
        <v/>
      </c>
      <c r="J14" s="2250" t="str">
        <f t="shared" si="4"/>
        <v/>
      </c>
      <c r="K14" s="2250" t="str">
        <f t="shared" si="4"/>
        <v/>
      </c>
      <c r="L14" s="2250" t="str">
        <f t="shared" si="4"/>
        <v/>
      </c>
      <c r="M14" s="2250" t="str">
        <f t="shared" si="4"/>
        <v/>
      </c>
      <c r="N14" s="2250" t="str">
        <f t="shared" si="4"/>
        <v/>
      </c>
      <c r="O14" s="2250" t="str">
        <f t="shared" si="4"/>
        <v/>
      </c>
      <c r="P14" s="2250" t="str">
        <f t="shared" si="4"/>
        <v/>
      </c>
      <c r="Q14" s="2250" t="str">
        <f t="shared" si="4"/>
        <v/>
      </c>
      <c r="R14" s="2250" t="str">
        <f t="shared" si="4"/>
        <v/>
      </c>
      <c r="S14" s="1215"/>
      <c r="T14" s="272"/>
    </row>
    <row r="15" spans="1:20" ht="15" customHeight="1" x14ac:dyDescent="0.2">
      <c r="A15" s="2637">
        <f t="shared" si="3"/>
        <v>0</v>
      </c>
      <c r="B15" s="284">
        <f t="shared" si="5"/>
        <v>9</v>
      </c>
      <c r="C15" s="1215"/>
      <c r="D15" s="1215"/>
      <c r="E15" s="2248" t="str">
        <f t="shared" si="1"/>
        <v/>
      </c>
      <c r="F15" s="2250" t="str">
        <f t="shared" si="4"/>
        <v/>
      </c>
      <c r="G15" s="2250" t="str">
        <f t="shared" si="4"/>
        <v/>
      </c>
      <c r="H15" s="2250" t="str">
        <f t="shared" si="4"/>
        <v/>
      </c>
      <c r="I15" s="2250" t="str">
        <f t="shared" si="4"/>
        <v/>
      </c>
      <c r="J15" s="2250" t="str">
        <f t="shared" si="4"/>
        <v/>
      </c>
      <c r="K15" s="2250" t="str">
        <f t="shared" si="4"/>
        <v/>
      </c>
      <c r="L15" s="2250" t="str">
        <f t="shared" si="4"/>
        <v/>
      </c>
      <c r="M15" s="2250" t="str">
        <f t="shared" si="4"/>
        <v/>
      </c>
      <c r="N15" s="2250" t="str">
        <f t="shared" si="4"/>
        <v/>
      </c>
      <c r="O15" s="2250" t="str">
        <f t="shared" si="4"/>
        <v/>
      </c>
      <c r="P15" s="2250" t="str">
        <f t="shared" si="4"/>
        <v/>
      </c>
      <c r="Q15" s="2250" t="str">
        <f t="shared" si="4"/>
        <v/>
      </c>
      <c r="R15" s="2250" t="str">
        <f t="shared" si="4"/>
        <v/>
      </c>
      <c r="S15" s="1215"/>
      <c r="T15" s="272"/>
    </row>
    <row r="16" spans="1:20" ht="15" customHeight="1" x14ac:dyDescent="0.2">
      <c r="A16" s="2637">
        <f t="shared" si="3"/>
        <v>0</v>
      </c>
      <c r="B16" s="284">
        <f t="shared" si="5"/>
        <v>10</v>
      </c>
      <c r="C16" s="1215"/>
      <c r="D16" s="1215"/>
      <c r="E16" s="2248" t="str">
        <f t="shared" si="1"/>
        <v/>
      </c>
      <c r="F16" s="2250" t="str">
        <f t="shared" si="4"/>
        <v/>
      </c>
      <c r="G16" s="2250" t="str">
        <f t="shared" si="4"/>
        <v/>
      </c>
      <c r="H16" s="2250" t="str">
        <f t="shared" si="4"/>
        <v/>
      </c>
      <c r="I16" s="2250" t="str">
        <f t="shared" si="4"/>
        <v/>
      </c>
      <c r="J16" s="2250" t="str">
        <f t="shared" si="4"/>
        <v/>
      </c>
      <c r="K16" s="2250" t="str">
        <f t="shared" si="4"/>
        <v/>
      </c>
      <c r="L16" s="2250" t="str">
        <f t="shared" si="4"/>
        <v/>
      </c>
      <c r="M16" s="2250" t="str">
        <f t="shared" si="4"/>
        <v/>
      </c>
      <c r="N16" s="2250" t="str">
        <f t="shared" si="4"/>
        <v/>
      </c>
      <c r="O16" s="2250" t="str">
        <f t="shared" si="4"/>
        <v/>
      </c>
      <c r="P16" s="2250" t="str">
        <f t="shared" si="4"/>
        <v/>
      </c>
      <c r="Q16" s="2250" t="str">
        <f t="shared" si="4"/>
        <v/>
      </c>
      <c r="R16" s="2250" t="str">
        <f t="shared" si="4"/>
        <v/>
      </c>
      <c r="S16" s="1215"/>
      <c r="T16" s="272"/>
    </row>
    <row r="17" spans="1:20" ht="15" customHeight="1" x14ac:dyDescent="0.2">
      <c r="A17" s="2637">
        <f t="shared" si="3"/>
        <v>0</v>
      </c>
      <c r="B17" s="284">
        <f t="shared" si="5"/>
        <v>11</v>
      </c>
      <c r="C17" s="1215"/>
      <c r="D17" s="1215"/>
      <c r="E17" s="2248" t="str">
        <f t="shared" si="1"/>
        <v/>
      </c>
      <c r="F17" s="2250" t="str">
        <f t="shared" si="4"/>
        <v/>
      </c>
      <c r="G17" s="2250" t="str">
        <f t="shared" si="4"/>
        <v/>
      </c>
      <c r="H17" s="2250" t="str">
        <f t="shared" si="4"/>
        <v/>
      </c>
      <c r="I17" s="2250" t="str">
        <f t="shared" si="4"/>
        <v/>
      </c>
      <c r="J17" s="2250" t="str">
        <f t="shared" si="4"/>
        <v/>
      </c>
      <c r="K17" s="2250" t="str">
        <f t="shared" si="4"/>
        <v/>
      </c>
      <c r="L17" s="2250" t="str">
        <f t="shared" si="4"/>
        <v/>
      </c>
      <c r="M17" s="2250" t="str">
        <f t="shared" si="4"/>
        <v/>
      </c>
      <c r="N17" s="2250" t="str">
        <f t="shared" si="4"/>
        <v/>
      </c>
      <c r="O17" s="2250" t="str">
        <f t="shared" si="4"/>
        <v/>
      </c>
      <c r="P17" s="2250" t="str">
        <f t="shared" si="4"/>
        <v/>
      </c>
      <c r="Q17" s="2250" t="str">
        <f t="shared" si="4"/>
        <v/>
      </c>
      <c r="R17" s="2250" t="str">
        <f t="shared" si="4"/>
        <v/>
      </c>
      <c r="S17" s="1215"/>
      <c r="T17" s="272"/>
    </row>
    <row r="18" spans="1:20" ht="15" customHeight="1" x14ac:dyDescent="0.2">
      <c r="A18" s="2637">
        <f t="shared" si="3"/>
        <v>0</v>
      </c>
      <c r="B18" s="284">
        <f t="shared" si="5"/>
        <v>12</v>
      </c>
      <c r="C18" s="1215"/>
      <c r="D18" s="1215"/>
      <c r="E18" s="2248" t="str">
        <f t="shared" si="1"/>
        <v/>
      </c>
      <c r="F18" s="2250" t="str">
        <f t="shared" si="4"/>
        <v/>
      </c>
      <c r="G18" s="2250" t="str">
        <f t="shared" si="4"/>
        <v/>
      </c>
      <c r="H18" s="2250" t="str">
        <f t="shared" si="4"/>
        <v/>
      </c>
      <c r="I18" s="2250" t="str">
        <f t="shared" si="4"/>
        <v/>
      </c>
      <c r="J18" s="2250" t="str">
        <f t="shared" si="4"/>
        <v/>
      </c>
      <c r="K18" s="2250" t="str">
        <f t="shared" si="4"/>
        <v/>
      </c>
      <c r="L18" s="2250" t="str">
        <f t="shared" si="4"/>
        <v/>
      </c>
      <c r="M18" s="2250" t="str">
        <f t="shared" si="4"/>
        <v/>
      </c>
      <c r="N18" s="2250" t="str">
        <f t="shared" si="4"/>
        <v/>
      </c>
      <c r="O18" s="2250" t="str">
        <f t="shared" si="4"/>
        <v/>
      </c>
      <c r="P18" s="2250" t="str">
        <f t="shared" si="4"/>
        <v/>
      </c>
      <c r="Q18" s="2250" t="str">
        <f t="shared" si="4"/>
        <v/>
      </c>
      <c r="R18" s="2250" t="str">
        <f t="shared" si="4"/>
        <v/>
      </c>
      <c r="S18" s="1215"/>
      <c r="T18" s="272"/>
    </row>
    <row r="19" spans="1:20" ht="15" customHeight="1" x14ac:dyDescent="0.2">
      <c r="A19" s="2637">
        <f t="shared" si="3"/>
        <v>0</v>
      </c>
      <c r="B19" s="284">
        <f t="shared" si="5"/>
        <v>13</v>
      </c>
      <c r="C19" s="1215"/>
      <c r="D19" s="1215"/>
      <c r="E19" s="2248" t="str">
        <f t="shared" si="1"/>
        <v/>
      </c>
      <c r="F19" s="2250" t="str">
        <f t="shared" ref="F19:R28" si="6">IF(ISERROR(INDEX(ARGUS_CashFlow1_Array,$B19,F$6)="TRUE"),"",IF(INDEX(ARGUS_CashFlow1_Array,$B19,F$6)="","",IF(OR($E19="Cash Flow Before Debt Service",$E19="  Potential Base Rent"),TEXT(INDEX(ARGUS_CashFlow1_Array,$B19,F$6),"$#,###"),IF($E19="  Average Occupancy Percentage",TEXT(INDEX(ARGUS_CashFlow1_Array,$B19,F$6),"0.0%"),TEXT(INDEX(ARGUS_CashFlow1_Array,$B19,F$6),"#,###")))))</f>
        <v/>
      </c>
      <c r="G19" s="2250" t="str">
        <f t="shared" si="6"/>
        <v/>
      </c>
      <c r="H19" s="2250" t="str">
        <f t="shared" si="6"/>
        <v/>
      </c>
      <c r="I19" s="2250" t="str">
        <f t="shared" si="6"/>
        <v/>
      </c>
      <c r="J19" s="2250" t="str">
        <f t="shared" si="6"/>
        <v/>
      </c>
      <c r="K19" s="2250" t="str">
        <f t="shared" si="6"/>
        <v/>
      </c>
      <c r="L19" s="2250" t="str">
        <f t="shared" si="6"/>
        <v/>
      </c>
      <c r="M19" s="2250" t="str">
        <f t="shared" si="6"/>
        <v/>
      </c>
      <c r="N19" s="2250" t="str">
        <f t="shared" si="6"/>
        <v/>
      </c>
      <c r="O19" s="2250" t="str">
        <f t="shared" si="6"/>
        <v/>
      </c>
      <c r="P19" s="2250" t="str">
        <f t="shared" si="6"/>
        <v/>
      </c>
      <c r="Q19" s="2250" t="str">
        <f t="shared" si="6"/>
        <v/>
      </c>
      <c r="R19" s="2250" t="str">
        <f t="shared" si="6"/>
        <v/>
      </c>
      <c r="S19" s="1215"/>
      <c r="T19" s="272"/>
    </row>
    <row r="20" spans="1:20" ht="15" customHeight="1" x14ac:dyDescent="0.2">
      <c r="A20" s="2637">
        <f t="shared" si="3"/>
        <v>0</v>
      </c>
      <c r="B20" s="284">
        <f t="shared" si="5"/>
        <v>14</v>
      </c>
      <c r="C20" s="1215"/>
      <c r="D20" s="1215"/>
      <c r="E20" s="2248" t="str">
        <f t="shared" si="1"/>
        <v/>
      </c>
      <c r="F20" s="2250" t="str">
        <f t="shared" si="6"/>
        <v/>
      </c>
      <c r="G20" s="2250" t="str">
        <f t="shared" si="6"/>
        <v/>
      </c>
      <c r="H20" s="2250" t="str">
        <f t="shared" si="6"/>
        <v/>
      </c>
      <c r="I20" s="2250" t="str">
        <f t="shared" si="6"/>
        <v/>
      </c>
      <c r="J20" s="2250" t="str">
        <f t="shared" si="6"/>
        <v/>
      </c>
      <c r="K20" s="2250" t="str">
        <f t="shared" si="6"/>
        <v/>
      </c>
      <c r="L20" s="2250" t="str">
        <f t="shared" si="6"/>
        <v/>
      </c>
      <c r="M20" s="2250" t="str">
        <f t="shared" si="6"/>
        <v/>
      </c>
      <c r="N20" s="2250" t="str">
        <f t="shared" si="6"/>
        <v/>
      </c>
      <c r="O20" s="2250" t="str">
        <f t="shared" si="6"/>
        <v/>
      </c>
      <c r="P20" s="2250" t="str">
        <f t="shared" si="6"/>
        <v/>
      </c>
      <c r="Q20" s="2250" t="str">
        <f t="shared" si="6"/>
        <v/>
      </c>
      <c r="R20" s="2250" t="str">
        <f t="shared" si="6"/>
        <v/>
      </c>
      <c r="S20" s="1215"/>
      <c r="T20" s="272"/>
    </row>
    <row r="21" spans="1:20" ht="15" customHeight="1" x14ac:dyDescent="0.2">
      <c r="A21" s="2637">
        <f t="shared" si="3"/>
        <v>0</v>
      </c>
      <c r="B21" s="284">
        <f t="shared" si="5"/>
        <v>15</v>
      </c>
      <c r="C21" s="1215"/>
      <c r="D21" s="1215"/>
      <c r="E21" s="2248" t="str">
        <f t="shared" si="1"/>
        <v/>
      </c>
      <c r="F21" s="2250" t="str">
        <f t="shared" si="6"/>
        <v/>
      </c>
      <c r="G21" s="2250" t="str">
        <f t="shared" si="6"/>
        <v/>
      </c>
      <c r="H21" s="2250" t="str">
        <f t="shared" si="6"/>
        <v/>
      </c>
      <c r="I21" s="2250" t="str">
        <f t="shared" si="6"/>
        <v/>
      </c>
      <c r="J21" s="2250" t="str">
        <f t="shared" si="6"/>
        <v/>
      </c>
      <c r="K21" s="2250" t="str">
        <f t="shared" si="6"/>
        <v/>
      </c>
      <c r="L21" s="2250" t="str">
        <f t="shared" si="6"/>
        <v/>
      </c>
      <c r="M21" s="2250" t="str">
        <f t="shared" si="6"/>
        <v/>
      </c>
      <c r="N21" s="2250" t="str">
        <f t="shared" si="6"/>
        <v/>
      </c>
      <c r="O21" s="2250" t="str">
        <f t="shared" si="6"/>
        <v/>
      </c>
      <c r="P21" s="2250" t="str">
        <f t="shared" si="6"/>
        <v/>
      </c>
      <c r="Q21" s="2250" t="str">
        <f t="shared" si="6"/>
        <v/>
      </c>
      <c r="R21" s="2250" t="str">
        <f t="shared" si="6"/>
        <v/>
      </c>
      <c r="S21" s="1215"/>
      <c r="T21" s="272"/>
    </row>
    <row r="22" spans="1:20" ht="15" customHeight="1" x14ac:dyDescent="0.2">
      <c r="A22" s="2637">
        <f t="shared" si="3"/>
        <v>0</v>
      </c>
      <c r="B22" s="284">
        <f t="shared" si="5"/>
        <v>16</v>
      </c>
      <c r="C22" s="1215"/>
      <c r="D22" s="1215"/>
      <c r="E22" s="2248" t="str">
        <f t="shared" si="1"/>
        <v/>
      </c>
      <c r="F22" s="2250" t="str">
        <f t="shared" si="6"/>
        <v/>
      </c>
      <c r="G22" s="2250" t="str">
        <f t="shared" si="6"/>
        <v/>
      </c>
      <c r="H22" s="2250" t="str">
        <f t="shared" si="6"/>
        <v/>
      </c>
      <c r="I22" s="2250" t="str">
        <f t="shared" si="6"/>
        <v/>
      </c>
      <c r="J22" s="2250" t="str">
        <f t="shared" si="6"/>
        <v/>
      </c>
      <c r="K22" s="2250" t="str">
        <f t="shared" si="6"/>
        <v/>
      </c>
      <c r="L22" s="2250" t="str">
        <f t="shared" si="6"/>
        <v/>
      </c>
      <c r="M22" s="2250" t="str">
        <f t="shared" si="6"/>
        <v/>
      </c>
      <c r="N22" s="2250" t="str">
        <f t="shared" si="6"/>
        <v/>
      </c>
      <c r="O22" s="2250" t="str">
        <f t="shared" si="6"/>
        <v/>
      </c>
      <c r="P22" s="2250" t="str">
        <f t="shared" si="6"/>
        <v/>
      </c>
      <c r="Q22" s="2250" t="str">
        <f t="shared" si="6"/>
        <v/>
      </c>
      <c r="R22" s="2250" t="str">
        <f t="shared" si="6"/>
        <v/>
      </c>
      <c r="S22" s="1215"/>
      <c r="T22" s="272"/>
    </row>
    <row r="23" spans="1:20" ht="15" customHeight="1" x14ac:dyDescent="0.2">
      <c r="A23" s="2637">
        <f t="shared" si="3"/>
        <v>0</v>
      </c>
      <c r="B23" s="284">
        <f t="shared" si="5"/>
        <v>17</v>
      </c>
      <c r="C23" s="1215"/>
      <c r="D23" s="1215"/>
      <c r="E23" s="2248" t="str">
        <f t="shared" si="1"/>
        <v/>
      </c>
      <c r="F23" s="2250" t="str">
        <f t="shared" si="6"/>
        <v/>
      </c>
      <c r="G23" s="2250" t="str">
        <f t="shared" si="6"/>
        <v/>
      </c>
      <c r="H23" s="2250" t="str">
        <f t="shared" si="6"/>
        <v/>
      </c>
      <c r="I23" s="2250" t="str">
        <f t="shared" si="6"/>
        <v/>
      </c>
      <c r="J23" s="2250" t="str">
        <f t="shared" si="6"/>
        <v/>
      </c>
      <c r="K23" s="2250" t="str">
        <f t="shared" si="6"/>
        <v/>
      </c>
      <c r="L23" s="2250" t="str">
        <f t="shared" si="6"/>
        <v/>
      </c>
      <c r="M23" s="2250" t="str">
        <f t="shared" si="6"/>
        <v/>
      </c>
      <c r="N23" s="2250" t="str">
        <f t="shared" si="6"/>
        <v/>
      </c>
      <c r="O23" s="2250" t="str">
        <f t="shared" si="6"/>
        <v/>
      </c>
      <c r="P23" s="2250" t="str">
        <f t="shared" si="6"/>
        <v/>
      </c>
      <c r="Q23" s="2250" t="str">
        <f t="shared" si="6"/>
        <v/>
      </c>
      <c r="R23" s="2250" t="str">
        <f t="shared" si="6"/>
        <v/>
      </c>
      <c r="S23" s="1215"/>
      <c r="T23" s="272"/>
    </row>
    <row r="24" spans="1:20" ht="15" customHeight="1" x14ac:dyDescent="0.2">
      <c r="A24" s="2637">
        <f t="shared" si="3"/>
        <v>0</v>
      </c>
      <c r="B24" s="284">
        <f t="shared" si="5"/>
        <v>18</v>
      </c>
      <c r="C24" s="1215"/>
      <c r="D24" s="1215"/>
      <c r="E24" s="2248" t="str">
        <f t="shared" si="1"/>
        <v/>
      </c>
      <c r="F24" s="2250" t="str">
        <f t="shared" si="6"/>
        <v/>
      </c>
      <c r="G24" s="2250" t="str">
        <f t="shared" si="6"/>
        <v/>
      </c>
      <c r="H24" s="2250" t="str">
        <f t="shared" si="6"/>
        <v/>
      </c>
      <c r="I24" s="2250" t="str">
        <f t="shared" si="6"/>
        <v/>
      </c>
      <c r="J24" s="2250" t="str">
        <f t="shared" si="6"/>
        <v/>
      </c>
      <c r="K24" s="2250" t="str">
        <f t="shared" si="6"/>
        <v/>
      </c>
      <c r="L24" s="2250" t="str">
        <f t="shared" si="6"/>
        <v/>
      </c>
      <c r="M24" s="2250" t="str">
        <f t="shared" si="6"/>
        <v/>
      </c>
      <c r="N24" s="2250" t="str">
        <f t="shared" si="6"/>
        <v/>
      </c>
      <c r="O24" s="2250" t="str">
        <f t="shared" si="6"/>
        <v/>
      </c>
      <c r="P24" s="2250" t="str">
        <f t="shared" si="6"/>
        <v/>
      </c>
      <c r="Q24" s="2250" t="str">
        <f t="shared" si="6"/>
        <v/>
      </c>
      <c r="R24" s="2250" t="str">
        <f t="shared" si="6"/>
        <v/>
      </c>
      <c r="S24" s="1215"/>
      <c r="T24" s="272"/>
    </row>
    <row r="25" spans="1:20" ht="15" customHeight="1" x14ac:dyDescent="0.2">
      <c r="A25" s="2637">
        <f t="shared" si="3"/>
        <v>0</v>
      </c>
      <c r="B25" s="284">
        <f t="shared" si="5"/>
        <v>19</v>
      </c>
      <c r="C25" s="1215"/>
      <c r="D25" s="1215"/>
      <c r="E25" s="2248" t="str">
        <f t="shared" si="1"/>
        <v/>
      </c>
      <c r="F25" s="2250" t="str">
        <f t="shared" si="6"/>
        <v/>
      </c>
      <c r="G25" s="2250" t="str">
        <f t="shared" si="6"/>
        <v/>
      </c>
      <c r="H25" s="2250" t="str">
        <f t="shared" si="6"/>
        <v/>
      </c>
      <c r="I25" s="2250" t="str">
        <f t="shared" si="6"/>
        <v/>
      </c>
      <c r="J25" s="2250" t="str">
        <f t="shared" si="6"/>
        <v/>
      </c>
      <c r="K25" s="2250" t="str">
        <f t="shared" si="6"/>
        <v/>
      </c>
      <c r="L25" s="2250" t="str">
        <f t="shared" si="6"/>
        <v/>
      </c>
      <c r="M25" s="2250" t="str">
        <f t="shared" si="6"/>
        <v/>
      </c>
      <c r="N25" s="2250" t="str">
        <f t="shared" si="6"/>
        <v/>
      </c>
      <c r="O25" s="2250" t="str">
        <f t="shared" si="6"/>
        <v/>
      </c>
      <c r="P25" s="2250" t="str">
        <f t="shared" si="6"/>
        <v/>
      </c>
      <c r="Q25" s="2250" t="str">
        <f t="shared" si="6"/>
        <v/>
      </c>
      <c r="R25" s="2250" t="str">
        <f t="shared" si="6"/>
        <v/>
      </c>
      <c r="S25" s="1215"/>
      <c r="T25" s="272"/>
    </row>
    <row r="26" spans="1:20" ht="15" customHeight="1" x14ac:dyDescent="0.2">
      <c r="A26" s="2637">
        <f t="shared" si="3"/>
        <v>0</v>
      </c>
      <c r="B26" s="284">
        <f t="shared" si="5"/>
        <v>20</v>
      </c>
      <c r="C26" s="1215"/>
      <c r="D26" s="1215"/>
      <c r="E26" s="2248" t="str">
        <f t="shared" si="1"/>
        <v/>
      </c>
      <c r="F26" s="2250" t="str">
        <f t="shared" si="6"/>
        <v/>
      </c>
      <c r="G26" s="2250" t="str">
        <f t="shared" si="6"/>
        <v/>
      </c>
      <c r="H26" s="2250" t="str">
        <f t="shared" si="6"/>
        <v/>
      </c>
      <c r="I26" s="2250" t="str">
        <f t="shared" si="6"/>
        <v/>
      </c>
      <c r="J26" s="2250" t="str">
        <f t="shared" si="6"/>
        <v/>
      </c>
      <c r="K26" s="2250" t="str">
        <f t="shared" si="6"/>
        <v/>
      </c>
      <c r="L26" s="2250" t="str">
        <f t="shared" si="6"/>
        <v/>
      </c>
      <c r="M26" s="2250" t="str">
        <f t="shared" si="6"/>
        <v/>
      </c>
      <c r="N26" s="2250" t="str">
        <f t="shared" si="6"/>
        <v/>
      </c>
      <c r="O26" s="2250" t="str">
        <f t="shared" si="6"/>
        <v/>
      </c>
      <c r="P26" s="2250" t="str">
        <f t="shared" si="6"/>
        <v/>
      </c>
      <c r="Q26" s="2250" t="str">
        <f t="shared" si="6"/>
        <v/>
      </c>
      <c r="R26" s="2250" t="str">
        <f t="shared" si="6"/>
        <v/>
      </c>
      <c r="S26" s="1215"/>
      <c r="T26" s="272"/>
    </row>
    <row r="27" spans="1:20" ht="15" customHeight="1" x14ac:dyDescent="0.2">
      <c r="A27" s="2637">
        <f t="shared" si="3"/>
        <v>0</v>
      </c>
      <c r="B27" s="284">
        <f t="shared" si="5"/>
        <v>21</v>
      </c>
      <c r="C27" s="1215"/>
      <c r="D27" s="1215"/>
      <c r="E27" s="2248" t="str">
        <f t="shared" si="1"/>
        <v/>
      </c>
      <c r="F27" s="2250" t="str">
        <f t="shared" si="6"/>
        <v/>
      </c>
      <c r="G27" s="2250" t="str">
        <f t="shared" si="6"/>
        <v/>
      </c>
      <c r="H27" s="2250" t="str">
        <f t="shared" si="6"/>
        <v/>
      </c>
      <c r="I27" s="2250" t="str">
        <f t="shared" si="6"/>
        <v/>
      </c>
      <c r="J27" s="2250" t="str">
        <f t="shared" si="6"/>
        <v/>
      </c>
      <c r="K27" s="2250" t="str">
        <f t="shared" si="6"/>
        <v/>
      </c>
      <c r="L27" s="2250" t="str">
        <f t="shared" si="6"/>
        <v/>
      </c>
      <c r="M27" s="2250" t="str">
        <f t="shared" si="6"/>
        <v/>
      </c>
      <c r="N27" s="2250" t="str">
        <f t="shared" si="6"/>
        <v/>
      </c>
      <c r="O27" s="2250" t="str">
        <f t="shared" si="6"/>
        <v/>
      </c>
      <c r="P27" s="2250" t="str">
        <f t="shared" si="6"/>
        <v/>
      </c>
      <c r="Q27" s="2250" t="str">
        <f t="shared" si="6"/>
        <v/>
      </c>
      <c r="R27" s="2250" t="str">
        <f t="shared" si="6"/>
        <v/>
      </c>
      <c r="S27" s="1215"/>
      <c r="T27" s="272"/>
    </row>
    <row r="28" spans="1:20" ht="15" customHeight="1" x14ac:dyDescent="0.2">
      <c r="A28" s="2637">
        <f t="shared" si="3"/>
        <v>0</v>
      </c>
      <c r="B28" s="284">
        <f t="shared" si="5"/>
        <v>22</v>
      </c>
      <c r="C28" s="1215"/>
      <c r="D28" s="1215"/>
      <c r="E28" s="2248" t="str">
        <f t="shared" si="1"/>
        <v/>
      </c>
      <c r="F28" s="2250" t="str">
        <f t="shared" si="6"/>
        <v/>
      </c>
      <c r="G28" s="2250" t="str">
        <f t="shared" si="6"/>
        <v/>
      </c>
      <c r="H28" s="2250" t="str">
        <f t="shared" si="6"/>
        <v/>
      </c>
      <c r="I28" s="2250" t="str">
        <f t="shared" si="6"/>
        <v/>
      </c>
      <c r="J28" s="2250" t="str">
        <f t="shared" si="6"/>
        <v/>
      </c>
      <c r="K28" s="2250" t="str">
        <f t="shared" si="6"/>
        <v/>
      </c>
      <c r="L28" s="2250" t="str">
        <f t="shared" si="6"/>
        <v/>
      </c>
      <c r="M28" s="2250" t="str">
        <f t="shared" si="6"/>
        <v/>
      </c>
      <c r="N28" s="2250" t="str">
        <f t="shared" si="6"/>
        <v/>
      </c>
      <c r="O28" s="2250" t="str">
        <f t="shared" si="6"/>
        <v/>
      </c>
      <c r="P28" s="2250" t="str">
        <f t="shared" si="6"/>
        <v/>
      </c>
      <c r="Q28" s="2250" t="str">
        <f t="shared" si="6"/>
        <v/>
      </c>
      <c r="R28" s="2250" t="str">
        <f t="shared" si="6"/>
        <v/>
      </c>
      <c r="S28" s="1215"/>
      <c r="T28" s="272"/>
    </row>
    <row r="29" spans="1:20" ht="15" customHeight="1" x14ac:dyDescent="0.2">
      <c r="A29" s="2637">
        <f t="shared" si="3"/>
        <v>0</v>
      </c>
      <c r="B29" s="284">
        <f t="shared" si="5"/>
        <v>23</v>
      </c>
      <c r="C29" s="1215"/>
      <c r="D29" s="1215"/>
      <c r="E29" s="2248" t="str">
        <f t="shared" si="1"/>
        <v/>
      </c>
      <c r="F29" s="2250" t="str">
        <f t="shared" ref="F29:R38" si="7">IF(ISERROR(INDEX(ARGUS_CashFlow1_Array,$B29,F$6)="TRUE"),"",IF(INDEX(ARGUS_CashFlow1_Array,$B29,F$6)="","",IF(OR($E29="Cash Flow Before Debt Service",$E29="  Potential Base Rent"),TEXT(INDEX(ARGUS_CashFlow1_Array,$B29,F$6),"$#,###"),IF($E29="  Average Occupancy Percentage",TEXT(INDEX(ARGUS_CashFlow1_Array,$B29,F$6),"0.0%"),TEXT(INDEX(ARGUS_CashFlow1_Array,$B29,F$6),"#,###")))))</f>
        <v/>
      </c>
      <c r="G29" s="2250" t="str">
        <f t="shared" si="7"/>
        <v/>
      </c>
      <c r="H29" s="2250" t="str">
        <f t="shared" si="7"/>
        <v/>
      </c>
      <c r="I29" s="2250" t="str">
        <f t="shared" si="7"/>
        <v/>
      </c>
      <c r="J29" s="2250" t="str">
        <f t="shared" si="7"/>
        <v/>
      </c>
      <c r="K29" s="2250" t="str">
        <f t="shared" si="7"/>
        <v/>
      </c>
      <c r="L29" s="2250" t="str">
        <f t="shared" si="7"/>
        <v/>
      </c>
      <c r="M29" s="2250" t="str">
        <f t="shared" si="7"/>
        <v/>
      </c>
      <c r="N29" s="2250" t="str">
        <f t="shared" si="7"/>
        <v/>
      </c>
      <c r="O29" s="2250" t="str">
        <f t="shared" si="7"/>
        <v/>
      </c>
      <c r="P29" s="2250" t="str">
        <f t="shared" si="7"/>
        <v/>
      </c>
      <c r="Q29" s="2250" t="str">
        <f t="shared" si="7"/>
        <v/>
      </c>
      <c r="R29" s="2250" t="str">
        <f t="shared" si="7"/>
        <v/>
      </c>
      <c r="S29" s="1215"/>
      <c r="T29" s="272"/>
    </row>
    <row r="30" spans="1:20" ht="15" customHeight="1" x14ac:dyDescent="0.2">
      <c r="A30" s="2637">
        <f t="shared" si="3"/>
        <v>0</v>
      </c>
      <c r="B30" s="284">
        <f t="shared" si="5"/>
        <v>24</v>
      </c>
      <c r="C30" s="1215"/>
      <c r="D30" s="1215"/>
      <c r="E30" s="2248" t="str">
        <f t="shared" si="1"/>
        <v/>
      </c>
      <c r="F30" s="2250" t="str">
        <f t="shared" si="7"/>
        <v/>
      </c>
      <c r="G30" s="2250" t="str">
        <f t="shared" si="7"/>
        <v/>
      </c>
      <c r="H30" s="2250" t="str">
        <f t="shared" si="7"/>
        <v/>
      </c>
      <c r="I30" s="2250" t="str">
        <f t="shared" si="7"/>
        <v/>
      </c>
      <c r="J30" s="2250" t="str">
        <f t="shared" si="7"/>
        <v/>
      </c>
      <c r="K30" s="2250" t="str">
        <f t="shared" si="7"/>
        <v/>
      </c>
      <c r="L30" s="2250" t="str">
        <f t="shared" si="7"/>
        <v/>
      </c>
      <c r="M30" s="2250" t="str">
        <f t="shared" si="7"/>
        <v/>
      </c>
      <c r="N30" s="2250" t="str">
        <f t="shared" si="7"/>
        <v/>
      </c>
      <c r="O30" s="2250" t="str">
        <f t="shared" si="7"/>
        <v/>
      </c>
      <c r="P30" s="2250" t="str">
        <f t="shared" si="7"/>
        <v/>
      </c>
      <c r="Q30" s="2250" t="str">
        <f t="shared" si="7"/>
        <v/>
      </c>
      <c r="R30" s="2250" t="str">
        <f t="shared" si="7"/>
        <v/>
      </c>
      <c r="S30" s="1215"/>
      <c r="T30" s="272"/>
    </row>
    <row r="31" spans="1:20" ht="15" customHeight="1" x14ac:dyDescent="0.2">
      <c r="A31" s="2637">
        <f t="shared" si="3"/>
        <v>0</v>
      </c>
      <c r="B31" s="284">
        <f t="shared" si="5"/>
        <v>25</v>
      </c>
      <c r="C31" s="1215"/>
      <c r="D31" s="1215"/>
      <c r="E31" s="2248" t="str">
        <f t="shared" si="1"/>
        <v/>
      </c>
      <c r="F31" s="2250" t="str">
        <f t="shared" si="7"/>
        <v/>
      </c>
      <c r="G31" s="2250" t="str">
        <f t="shared" si="7"/>
        <v/>
      </c>
      <c r="H31" s="2250" t="str">
        <f t="shared" si="7"/>
        <v/>
      </c>
      <c r="I31" s="2250" t="str">
        <f t="shared" si="7"/>
        <v/>
      </c>
      <c r="J31" s="2250" t="str">
        <f t="shared" si="7"/>
        <v/>
      </c>
      <c r="K31" s="2250" t="str">
        <f t="shared" si="7"/>
        <v/>
      </c>
      <c r="L31" s="2250" t="str">
        <f t="shared" si="7"/>
        <v/>
      </c>
      <c r="M31" s="2250" t="str">
        <f t="shared" si="7"/>
        <v/>
      </c>
      <c r="N31" s="2250" t="str">
        <f t="shared" si="7"/>
        <v/>
      </c>
      <c r="O31" s="2250" t="str">
        <f t="shared" si="7"/>
        <v/>
      </c>
      <c r="P31" s="2250" t="str">
        <f t="shared" si="7"/>
        <v/>
      </c>
      <c r="Q31" s="2250" t="str">
        <f t="shared" si="7"/>
        <v/>
      </c>
      <c r="R31" s="2250" t="str">
        <f t="shared" si="7"/>
        <v/>
      </c>
      <c r="S31" s="1215"/>
      <c r="T31" s="272"/>
    </row>
    <row r="32" spans="1:20" ht="15" customHeight="1" x14ac:dyDescent="0.2">
      <c r="A32" s="2637">
        <f t="shared" si="3"/>
        <v>0</v>
      </c>
      <c r="B32" s="284">
        <f t="shared" si="5"/>
        <v>26</v>
      </c>
      <c r="C32" s="1215"/>
      <c r="D32" s="1215"/>
      <c r="E32" s="2248" t="str">
        <f t="shared" si="1"/>
        <v/>
      </c>
      <c r="F32" s="2250" t="str">
        <f t="shared" si="7"/>
        <v/>
      </c>
      <c r="G32" s="2250" t="str">
        <f t="shared" si="7"/>
        <v/>
      </c>
      <c r="H32" s="2250" t="str">
        <f t="shared" si="7"/>
        <v/>
      </c>
      <c r="I32" s="2250" t="str">
        <f t="shared" si="7"/>
        <v/>
      </c>
      <c r="J32" s="2250" t="str">
        <f t="shared" si="7"/>
        <v/>
      </c>
      <c r="K32" s="2250" t="str">
        <f t="shared" si="7"/>
        <v/>
      </c>
      <c r="L32" s="2250" t="str">
        <f t="shared" si="7"/>
        <v/>
      </c>
      <c r="M32" s="2250" t="str">
        <f t="shared" si="7"/>
        <v/>
      </c>
      <c r="N32" s="2250" t="str">
        <f t="shared" si="7"/>
        <v/>
      </c>
      <c r="O32" s="2250" t="str">
        <f t="shared" si="7"/>
        <v/>
      </c>
      <c r="P32" s="2250" t="str">
        <f t="shared" si="7"/>
        <v/>
      </c>
      <c r="Q32" s="2250" t="str">
        <f t="shared" si="7"/>
        <v/>
      </c>
      <c r="R32" s="2250" t="str">
        <f t="shared" si="7"/>
        <v/>
      </c>
      <c r="S32" s="1215"/>
      <c r="T32" s="272"/>
    </row>
    <row r="33" spans="1:20" ht="15" customHeight="1" x14ac:dyDescent="0.2">
      <c r="A33" s="2637">
        <f t="shared" si="3"/>
        <v>0</v>
      </c>
      <c r="B33" s="284">
        <f t="shared" si="5"/>
        <v>27</v>
      </c>
      <c r="C33" s="1215"/>
      <c r="D33" s="1215"/>
      <c r="E33" s="2248" t="str">
        <f t="shared" si="1"/>
        <v/>
      </c>
      <c r="F33" s="2250" t="str">
        <f t="shared" si="7"/>
        <v/>
      </c>
      <c r="G33" s="2250" t="str">
        <f t="shared" si="7"/>
        <v/>
      </c>
      <c r="H33" s="2250" t="str">
        <f t="shared" si="7"/>
        <v/>
      </c>
      <c r="I33" s="2250" t="str">
        <f t="shared" si="7"/>
        <v/>
      </c>
      <c r="J33" s="2250" t="str">
        <f t="shared" si="7"/>
        <v/>
      </c>
      <c r="K33" s="2250" t="str">
        <f t="shared" si="7"/>
        <v/>
      </c>
      <c r="L33" s="2250" t="str">
        <f t="shared" si="7"/>
        <v/>
      </c>
      <c r="M33" s="2250" t="str">
        <f t="shared" si="7"/>
        <v/>
      </c>
      <c r="N33" s="2250" t="str">
        <f t="shared" si="7"/>
        <v/>
      </c>
      <c r="O33" s="2250" t="str">
        <f t="shared" si="7"/>
        <v/>
      </c>
      <c r="P33" s="2250" t="str">
        <f t="shared" si="7"/>
        <v/>
      </c>
      <c r="Q33" s="2250" t="str">
        <f t="shared" si="7"/>
        <v/>
      </c>
      <c r="R33" s="2250" t="str">
        <f t="shared" si="7"/>
        <v/>
      </c>
      <c r="S33" s="1215"/>
      <c r="T33" s="272"/>
    </row>
    <row r="34" spans="1:20" ht="15" customHeight="1" x14ac:dyDescent="0.2">
      <c r="A34" s="2637">
        <f t="shared" si="3"/>
        <v>0</v>
      </c>
      <c r="B34" s="284">
        <f t="shared" si="5"/>
        <v>28</v>
      </c>
      <c r="C34" s="1215"/>
      <c r="D34" s="1215"/>
      <c r="E34" s="2248" t="str">
        <f t="shared" si="1"/>
        <v/>
      </c>
      <c r="F34" s="2250" t="str">
        <f t="shared" si="7"/>
        <v/>
      </c>
      <c r="G34" s="2250" t="str">
        <f t="shared" si="7"/>
        <v/>
      </c>
      <c r="H34" s="2250" t="str">
        <f t="shared" si="7"/>
        <v/>
      </c>
      <c r="I34" s="2250" t="str">
        <f t="shared" si="7"/>
        <v/>
      </c>
      <c r="J34" s="2250" t="str">
        <f t="shared" si="7"/>
        <v/>
      </c>
      <c r="K34" s="2250" t="str">
        <f t="shared" si="7"/>
        <v/>
      </c>
      <c r="L34" s="2250" t="str">
        <f t="shared" si="7"/>
        <v/>
      </c>
      <c r="M34" s="2250" t="str">
        <f t="shared" si="7"/>
        <v/>
      </c>
      <c r="N34" s="2250" t="str">
        <f t="shared" si="7"/>
        <v/>
      </c>
      <c r="O34" s="2250" t="str">
        <f t="shared" si="7"/>
        <v/>
      </c>
      <c r="P34" s="2250" t="str">
        <f t="shared" si="7"/>
        <v/>
      </c>
      <c r="Q34" s="2250" t="str">
        <f t="shared" si="7"/>
        <v/>
      </c>
      <c r="R34" s="2250" t="str">
        <f t="shared" si="7"/>
        <v/>
      </c>
      <c r="S34" s="1215"/>
      <c r="T34" s="272"/>
    </row>
    <row r="35" spans="1:20" ht="15" customHeight="1" x14ac:dyDescent="0.2">
      <c r="A35" s="2637">
        <f t="shared" si="3"/>
        <v>0</v>
      </c>
      <c r="B35" s="284">
        <f t="shared" si="5"/>
        <v>29</v>
      </c>
      <c r="C35" s="1215"/>
      <c r="D35" s="1215"/>
      <c r="E35" s="2248" t="str">
        <f t="shared" si="1"/>
        <v/>
      </c>
      <c r="F35" s="2250" t="str">
        <f t="shared" si="7"/>
        <v/>
      </c>
      <c r="G35" s="2250" t="str">
        <f t="shared" si="7"/>
        <v/>
      </c>
      <c r="H35" s="2250" t="str">
        <f t="shared" si="7"/>
        <v/>
      </c>
      <c r="I35" s="2250" t="str">
        <f t="shared" si="7"/>
        <v/>
      </c>
      <c r="J35" s="2250" t="str">
        <f t="shared" si="7"/>
        <v/>
      </c>
      <c r="K35" s="2250" t="str">
        <f t="shared" si="7"/>
        <v/>
      </c>
      <c r="L35" s="2250" t="str">
        <f t="shared" si="7"/>
        <v/>
      </c>
      <c r="M35" s="2250" t="str">
        <f t="shared" si="7"/>
        <v/>
      </c>
      <c r="N35" s="2250" t="str">
        <f t="shared" si="7"/>
        <v/>
      </c>
      <c r="O35" s="2250" t="str">
        <f t="shared" si="7"/>
        <v/>
      </c>
      <c r="P35" s="2250" t="str">
        <f t="shared" si="7"/>
        <v/>
      </c>
      <c r="Q35" s="2250" t="str">
        <f t="shared" si="7"/>
        <v/>
      </c>
      <c r="R35" s="2250" t="str">
        <f t="shared" si="7"/>
        <v/>
      </c>
      <c r="S35" s="1215"/>
      <c r="T35" s="272"/>
    </row>
    <row r="36" spans="1:20" ht="15" customHeight="1" x14ac:dyDescent="0.2">
      <c r="A36" s="2637">
        <f t="shared" si="3"/>
        <v>0</v>
      </c>
      <c r="B36" s="284">
        <f t="shared" si="5"/>
        <v>30</v>
      </c>
      <c r="C36" s="1215"/>
      <c r="D36" s="1215"/>
      <c r="E36" s="2248" t="str">
        <f t="shared" si="1"/>
        <v/>
      </c>
      <c r="F36" s="2250" t="str">
        <f t="shared" si="7"/>
        <v/>
      </c>
      <c r="G36" s="2250" t="str">
        <f t="shared" si="7"/>
        <v/>
      </c>
      <c r="H36" s="2250" t="str">
        <f t="shared" si="7"/>
        <v/>
      </c>
      <c r="I36" s="2250" t="str">
        <f t="shared" si="7"/>
        <v/>
      </c>
      <c r="J36" s="2250" t="str">
        <f t="shared" si="7"/>
        <v/>
      </c>
      <c r="K36" s="2250" t="str">
        <f t="shared" si="7"/>
        <v/>
      </c>
      <c r="L36" s="2250" t="str">
        <f t="shared" si="7"/>
        <v/>
      </c>
      <c r="M36" s="2250" t="str">
        <f t="shared" si="7"/>
        <v/>
      </c>
      <c r="N36" s="2250" t="str">
        <f t="shared" si="7"/>
        <v/>
      </c>
      <c r="O36" s="2250" t="str">
        <f t="shared" si="7"/>
        <v/>
      </c>
      <c r="P36" s="2250" t="str">
        <f t="shared" si="7"/>
        <v/>
      </c>
      <c r="Q36" s="2250" t="str">
        <f t="shared" si="7"/>
        <v/>
      </c>
      <c r="R36" s="2250" t="str">
        <f t="shared" si="7"/>
        <v/>
      </c>
      <c r="S36" s="1215"/>
      <c r="T36" s="272"/>
    </row>
    <row r="37" spans="1:20" ht="15" customHeight="1" x14ac:dyDescent="0.2">
      <c r="A37" s="2637">
        <f t="shared" si="3"/>
        <v>0</v>
      </c>
      <c r="B37" s="284">
        <f t="shared" si="5"/>
        <v>31</v>
      </c>
      <c r="C37" s="1215"/>
      <c r="D37" s="1215"/>
      <c r="E37" s="2248" t="str">
        <f t="shared" si="1"/>
        <v/>
      </c>
      <c r="F37" s="2250" t="str">
        <f t="shared" si="7"/>
        <v/>
      </c>
      <c r="G37" s="2250" t="str">
        <f t="shared" si="7"/>
        <v/>
      </c>
      <c r="H37" s="2250" t="str">
        <f t="shared" si="7"/>
        <v/>
      </c>
      <c r="I37" s="2250" t="str">
        <f t="shared" si="7"/>
        <v/>
      </c>
      <c r="J37" s="2250" t="str">
        <f t="shared" si="7"/>
        <v/>
      </c>
      <c r="K37" s="2250" t="str">
        <f t="shared" si="7"/>
        <v/>
      </c>
      <c r="L37" s="2250" t="str">
        <f t="shared" si="7"/>
        <v/>
      </c>
      <c r="M37" s="2250" t="str">
        <f t="shared" si="7"/>
        <v/>
      </c>
      <c r="N37" s="2250" t="str">
        <f t="shared" si="7"/>
        <v/>
      </c>
      <c r="O37" s="2250" t="str">
        <f t="shared" si="7"/>
        <v/>
      </c>
      <c r="P37" s="2250" t="str">
        <f t="shared" si="7"/>
        <v/>
      </c>
      <c r="Q37" s="2250" t="str">
        <f t="shared" si="7"/>
        <v/>
      </c>
      <c r="R37" s="2250" t="str">
        <f t="shared" si="7"/>
        <v/>
      </c>
      <c r="S37" s="1215"/>
      <c r="T37" s="272"/>
    </row>
    <row r="38" spans="1:20" ht="15" customHeight="1" x14ac:dyDescent="0.2">
      <c r="A38" s="2637">
        <f t="shared" si="3"/>
        <v>0</v>
      </c>
      <c r="B38" s="284">
        <f t="shared" si="5"/>
        <v>32</v>
      </c>
      <c r="C38" s="1215"/>
      <c r="D38" s="1215"/>
      <c r="E38" s="2248" t="str">
        <f t="shared" si="1"/>
        <v/>
      </c>
      <c r="F38" s="2250" t="str">
        <f t="shared" si="7"/>
        <v/>
      </c>
      <c r="G38" s="2250" t="str">
        <f t="shared" si="7"/>
        <v/>
      </c>
      <c r="H38" s="2250" t="str">
        <f t="shared" si="7"/>
        <v/>
      </c>
      <c r="I38" s="2250" t="str">
        <f t="shared" si="7"/>
        <v/>
      </c>
      <c r="J38" s="2250" t="str">
        <f t="shared" si="7"/>
        <v/>
      </c>
      <c r="K38" s="2250" t="str">
        <f t="shared" si="7"/>
        <v/>
      </c>
      <c r="L38" s="2250" t="str">
        <f t="shared" si="7"/>
        <v/>
      </c>
      <c r="M38" s="2250" t="str">
        <f t="shared" si="7"/>
        <v/>
      </c>
      <c r="N38" s="2250" t="str">
        <f t="shared" si="7"/>
        <v/>
      </c>
      <c r="O38" s="2250" t="str">
        <f t="shared" si="7"/>
        <v/>
      </c>
      <c r="P38" s="2250" t="str">
        <f t="shared" si="7"/>
        <v/>
      </c>
      <c r="Q38" s="2250" t="str">
        <f t="shared" si="7"/>
        <v/>
      </c>
      <c r="R38" s="2250" t="str">
        <f t="shared" si="7"/>
        <v/>
      </c>
      <c r="S38" s="1215"/>
      <c r="T38" s="272"/>
    </row>
    <row r="39" spans="1:20" ht="15" customHeight="1" x14ac:dyDescent="0.2">
      <c r="A39" s="2637">
        <f t="shared" si="3"/>
        <v>0</v>
      </c>
      <c r="B39" s="284">
        <f t="shared" si="5"/>
        <v>33</v>
      </c>
      <c r="C39" s="1215"/>
      <c r="D39" s="1215"/>
      <c r="E39" s="2248" t="str">
        <f t="shared" si="1"/>
        <v/>
      </c>
      <c r="F39" s="2250" t="str">
        <f t="shared" ref="F39:R48" si="8">IF(ISERROR(INDEX(ARGUS_CashFlow1_Array,$B39,F$6)="TRUE"),"",IF(INDEX(ARGUS_CashFlow1_Array,$B39,F$6)="","",IF(OR($E39="Cash Flow Before Debt Service",$E39="  Potential Base Rent"),TEXT(INDEX(ARGUS_CashFlow1_Array,$B39,F$6),"$#,###"),IF($E39="  Average Occupancy Percentage",TEXT(INDEX(ARGUS_CashFlow1_Array,$B39,F$6),"0.0%"),TEXT(INDEX(ARGUS_CashFlow1_Array,$B39,F$6),"#,###")))))</f>
        <v/>
      </c>
      <c r="G39" s="2250" t="str">
        <f t="shared" si="8"/>
        <v/>
      </c>
      <c r="H39" s="2250" t="str">
        <f t="shared" si="8"/>
        <v/>
      </c>
      <c r="I39" s="2250" t="str">
        <f t="shared" si="8"/>
        <v/>
      </c>
      <c r="J39" s="2250" t="str">
        <f t="shared" si="8"/>
        <v/>
      </c>
      <c r="K39" s="2250" t="str">
        <f t="shared" si="8"/>
        <v/>
      </c>
      <c r="L39" s="2250" t="str">
        <f t="shared" si="8"/>
        <v/>
      </c>
      <c r="M39" s="2250" t="str">
        <f t="shared" si="8"/>
        <v/>
      </c>
      <c r="N39" s="2250" t="str">
        <f t="shared" si="8"/>
        <v/>
      </c>
      <c r="O39" s="2250" t="str">
        <f t="shared" si="8"/>
        <v/>
      </c>
      <c r="P39" s="2250" t="str">
        <f t="shared" si="8"/>
        <v/>
      </c>
      <c r="Q39" s="2250" t="str">
        <f t="shared" si="8"/>
        <v/>
      </c>
      <c r="R39" s="2250" t="str">
        <f t="shared" si="8"/>
        <v/>
      </c>
      <c r="S39" s="1215"/>
      <c r="T39" s="272"/>
    </row>
    <row r="40" spans="1:20" ht="15" customHeight="1" x14ac:dyDescent="0.2">
      <c r="A40" s="2637">
        <f t="shared" si="3"/>
        <v>0</v>
      </c>
      <c r="B40" s="284">
        <f t="shared" si="5"/>
        <v>34</v>
      </c>
      <c r="C40" s="1215"/>
      <c r="D40" s="1215"/>
      <c r="E40" s="2248" t="str">
        <f t="shared" ref="E40:E71" si="9">IF(ISERROR(INDEX(ARGUS_CashFlow1_Array,$B40,E$6)="TRUE"),"",IF(INDEX(ARGUS_CashFlow1_Array,$B40,E$6)="","",IF(OR($E40="Cash Flow Before Debt Service",$E40="  Potential Base Rent"),TEXT(INDEX(ARGUS_CashFlow1_Array,$B40,E$6),"$#,###"),IF($E40="  Average Occupancy Percentage",TEXT(INDEX(ARGUS_CashFlow1_Array,$B40,E$6),"0.0%"),TEXT(INDEX(ARGUS_CashFlow1_Array,$B40,E$6),"#,###")))))</f>
        <v/>
      </c>
      <c r="F40" s="2250" t="str">
        <f t="shared" si="8"/>
        <v/>
      </c>
      <c r="G40" s="2250" t="str">
        <f t="shared" si="8"/>
        <v/>
      </c>
      <c r="H40" s="2250" t="str">
        <f t="shared" si="8"/>
        <v/>
      </c>
      <c r="I40" s="2250" t="str">
        <f t="shared" si="8"/>
        <v/>
      </c>
      <c r="J40" s="2250" t="str">
        <f t="shared" si="8"/>
        <v/>
      </c>
      <c r="K40" s="2250" t="str">
        <f t="shared" si="8"/>
        <v/>
      </c>
      <c r="L40" s="2250" t="str">
        <f t="shared" si="8"/>
        <v/>
      </c>
      <c r="M40" s="2250" t="str">
        <f t="shared" si="8"/>
        <v/>
      </c>
      <c r="N40" s="2250" t="str">
        <f t="shared" si="8"/>
        <v/>
      </c>
      <c r="O40" s="2250" t="str">
        <f t="shared" si="8"/>
        <v/>
      </c>
      <c r="P40" s="2250" t="str">
        <f t="shared" si="8"/>
        <v/>
      </c>
      <c r="Q40" s="2250" t="str">
        <f t="shared" si="8"/>
        <v/>
      </c>
      <c r="R40" s="2250" t="str">
        <f t="shared" si="8"/>
        <v/>
      </c>
      <c r="S40" s="1215"/>
      <c r="T40" s="272"/>
    </row>
    <row r="41" spans="1:20" ht="15" customHeight="1" x14ac:dyDescent="0.2">
      <c r="A41" s="2637">
        <f t="shared" ref="A41:A72" si="10">IF(OR(AND(E40="",E41="",E42=""),E40="Cash Flow Available for Distribution",E41="Cash Flow Available for Distribution",E42="Cash Flow Available for Distribution"),0,1)</f>
        <v>0</v>
      </c>
      <c r="B41" s="284">
        <f t="shared" si="5"/>
        <v>35</v>
      </c>
      <c r="C41" s="1215"/>
      <c r="D41" s="1215"/>
      <c r="E41" s="2248" t="str">
        <f t="shared" si="9"/>
        <v/>
      </c>
      <c r="F41" s="2250" t="str">
        <f t="shared" si="8"/>
        <v/>
      </c>
      <c r="G41" s="2250" t="str">
        <f t="shared" si="8"/>
        <v/>
      </c>
      <c r="H41" s="2250" t="str">
        <f t="shared" si="8"/>
        <v/>
      </c>
      <c r="I41" s="2250" t="str">
        <f t="shared" si="8"/>
        <v/>
      </c>
      <c r="J41" s="2250" t="str">
        <f t="shared" si="8"/>
        <v/>
      </c>
      <c r="K41" s="2250" t="str">
        <f t="shared" si="8"/>
        <v/>
      </c>
      <c r="L41" s="2250" t="str">
        <f t="shared" si="8"/>
        <v/>
      </c>
      <c r="M41" s="2250" t="str">
        <f t="shared" si="8"/>
        <v/>
      </c>
      <c r="N41" s="2250" t="str">
        <f t="shared" si="8"/>
        <v/>
      </c>
      <c r="O41" s="2250" t="str">
        <f t="shared" si="8"/>
        <v/>
      </c>
      <c r="P41" s="2250" t="str">
        <f t="shared" si="8"/>
        <v/>
      </c>
      <c r="Q41" s="2250" t="str">
        <f t="shared" si="8"/>
        <v/>
      </c>
      <c r="R41" s="2250" t="str">
        <f t="shared" si="8"/>
        <v/>
      </c>
      <c r="S41" s="1215"/>
      <c r="T41" s="272"/>
    </row>
    <row r="42" spans="1:20" ht="15" customHeight="1" x14ac:dyDescent="0.2">
      <c r="A42" s="2637">
        <f t="shared" si="10"/>
        <v>0</v>
      </c>
      <c r="B42" s="284">
        <f t="shared" si="5"/>
        <v>36</v>
      </c>
      <c r="C42" s="1215"/>
      <c r="D42" s="1215"/>
      <c r="E42" s="2248" t="str">
        <f t="shared" si="9"/>
        <v/>
      </c>
      <c r="F42" s="2250" t="str">
        <f t="shared" si="8"/>
        <v/>
      </c>
      <c r="G42" s="2250" t="str">
        <f t="shared" si="8"/>
        <v/>
      </c>
      <c r="H42" s="2250" t="str">
        <f t="shared" si="8"/>
        <v/>
      </c>
      <c r="I42" s="2250" t="str">
        <f t="shared" si="8"/>
        <v/>
      </c>
      <c r="J42" s="2250" t="str">
        <f t="shared" si="8"/>
        <v/>
      </c>
      <c r="K42" s="2250" t="str">
        <f t="shared" si="8"/>
        <v/>
      </c>
      <c r="L42" s="2250" t="str">
        <f t="shared" si="8"/>
        <v/>
      </c>
      <c r="M42" s="2250" t="str">
        <f t="shared" si="8"/>
        <v/>
      </c>
      <c r="N42" s="2250" t="str">
        <f t="shared" si="8"/>
        <v/>
      </c>
      <c r="O42" s="2250" t="str">
        <f t="shared" si="8"/>
        <v/>
      </c>
      <c r="P42" s="2250" t="str">
        <f t="shared" si="8"/>
        <v/>
      </c>
      <c r="Q42" s="2250" t="str">
        <f t="shared" si="8"/>
        <v/>
      </c>
      <c r="R42" s="2250" t="str">
        <f t="shared" si="8"/>
        <v/>
      </c>
      <c r="S42" s="1215"/>
      <c r="T42" s="272"/>
    </row>
    <row r="43" spans="1:20" ht="15" customHeight="1" x14ac:dyDescent="0.2">
      <c r="A43" s="2637">
        <f t="shared" si="10"/>
        <v>0</v>
      </c>
      <c r="B43" s="284">
        <f t="shared" si="5"/>
        <v>37</v>
      </c>
      <c r="C43" s="1215"/>
      <c r="D43" s="1215"/>
      <c r="E43" s="2248" t="str">
        <f t="shared" si="9"/>
        <v/>
      </c>
      <c r="F43" s="2250" t="str">
        <f t="shared" si="8"/>
        <v/>
      </c>
      <c r="G43" s="2250" t="str">
        <f t="shared" si="8"/>
        <v/>
      </c>
      <c r="H43" s="2250" t="str">
        <f t="shared" si="8"/>
        <v/>
      </c>
      <c r="I43" s="2250" t="str">
        <f t="shared" si="8"/>
        <v/>
      </c>
      <c r="J43" s="2250" t="str">
        <f t="shared" si="8"/>
        <v/>
      </c>
      <c r="K43" s="2250" t="str">
        <f t="shared" si="8"/>
        <v/>
      </c>
      <c r="L43" s="2250" t="str">
        <f t="shared" si="8"/>
        <v/>
      </c>
      <c r="M43" s="2250" t="str">
        <f t="shared" si="8"/>
        <v/>
      </c>
      <c r="N43" s="2250" t="str">
        <f t="shared" si="8"/>
        <v/>
      </c>
      <c r="O43" s="2250" t="str">
        <f t="shared" si="8"/>
        <v/>
      </c>
      <c r="P43" s="2250" t="str">
        <f t="shared" si="8"/>
        <v/>
      </c>
      <c r="Q43" s="2250" t="str">
        <f t="shared" si="8"/>
        <v/>
      </c>
      <c r="R43" s="2250" t="str">
        <f t="shared" si="8"/>
        <v/>
      </c>
      <c r="S43" s="1215"/>
      <c r="T43" s="272"/>
    </row>
    <row r="44" spans="1:20" ht="15" customHeight="1" x14ac:dyDescent="0.2">
      <c r="A44" s="2637">
        <f t="shared" si="10"/>
        <v>0</v>
      </c>
      <c r="B44" s="284">
        <f t="shared" si="5"/>
        <v>38</v>
      </c>
      <c r="C44" s="1215"/>
      <c r="D44" s="1215"/>
      <c r="E44" s="2248" t="str">
        <f t="shared" si="9"/>
        <v/>
      </c>
      <c r="F44" s="2250" t="str">
        <f t="shared" si="8"/>
        <v/>
      </c>
      <c r="G44" s="2250" t="str">
        <f t="shared" si="8"/>
        <v/>
      </c>
      <c r="H44" s="2250" t="str">
        <f t="shared" si="8"/>
        <v/>
      </c>
      <c r="I44" s="2250" t="str">
        <f t="shared" si="8"/>
        <v/>
      </c>
      <c r="J44" s="2250" t="str">
        <f t="shared" si="8"/>
        <v/>
      </c>
      <c r="K44" s="2250" t="str">
        <f t="shared" si="8"/>
        <v/>
      </c>
      <c r="L44" s="2250" t="str">
        <f t="shared" si="8"/>
        <v/>
      </c>
      <c r="M44" s="2250" t="str">
        <f t="shared" si="8"/>
        <v/>
      </c>
      <c r="N44" s="2250" t="str">
        <f t="shared" si="8"/>
        <v/>
      </c>
      <c r="O44" s="2250" t="str">
        <f t="shared" si="8"/>
        <v/>
      </c>
      <c r="P44" s="2250" t="str">
        <f t="shared" si="8"/>
        <v/>
      </c>
      <c r="Q44" s="2250" t="str">
        <f t="shared" si="8"/>
        <v/>
      </c>
      <c r="R44" s="2250" t="str">
        <f t="shared" si="8"/>
        <v/>
      </c>
      <c r="S44" s="1215"/>
      <c r="T44" s="272"/>
    </row>
    <row r="45" spans="1:20" ht="15" customHeight="1" x14ac:dyDescent="0.2">
      <c r="A45" s="2637">
        <f t="shared" si="10"/>
        <v>0</v>
      </c>
      <c r="B45" s="284">
        <f t="shared" si="5"/>
        <v>39</v>
      </c>
      <c r="C45" s="1215"/>
      <c r="D45" s="1215"/>
      <c r="E45" s="2248" t="str">
        <f t="shared" si="9"/>
        <v/>
      </c>
      <c r="F45" s="2250" t="str">
        <f t="shared" si="8"/>
        <v/>
      </c>
      <c r="G45" s="2250" t="str">
        <f t="shared" si="8"/>
        <v/>
      </c>
      <c r="H45" s="2250" t="str">
        <f t="shared" si="8"/>
        <v/>
      </c>
      <c r="I45" s="2250" t="str">
        <f t="shared" si="8"/>
        <v/>
      </c>
      <c r="J45" s="2250" t="str">
        <f t="shared" si="8"/>
        <v/>
      </c>
      <c r="K45" s="2250" t="str">
        <f t="shared" si="8"/>
        <v/>
      </c>
      <c r="L45" s="2250" t="str">
        <f t="shared" si="8"/>
        <v/>
      </c>
      <c r="M45" s="2250" t="str">
        <f t="shared" si="8"/>
        <v/>
      </c>
      <c r="N45" s="2250" t="str">
        <f t="shared" si="8"/>
        <v/>
      </c>
      <c r="O45" s="2250" t="str">
        <f t="shared" si="8"/>
        <v/>
      </c>
      <c r="P45" s="2250" t="str">
        <f t="shared" si="8"/>
        <v/>
      </c>
      <c r="Q45" s="2250" t="str">
        <f t="shared" si="8"/>
        <v/>
      </c>
      <c r="R45" s="2250" t="str">
        <f t="shared" si="8"/>
        <v/>
      </c>
      <c r="S45" s="1215"/>
      <c r="T45" s="272"/>
    </row>
    <row r="46" spans="1:20" ht="15" customHeight="1" x14ac:dyDescent="0.2">
      <c r="A46" s="2637">
        <f t="shared" si="10"/>
        <v>0</v>
      </c>
      <c r="B46" s="284">
        <f t="shared" si="5"/>
        <v>40</v>
      </c>
      <c r="C46" s="1215"/>
      <c r="D46" s="1215"/>
      <c r="E46" s="2248" t="str">
        <f t="shared" si="9"/>
        <v/>
      </c>
      <c r="F46" s="2250" t="str">
        <f t="shared" si="8"/>
        <v/>
      </c>
      <c r="G46" s="2250" t="str">
        <f t="shared" si="8"/>
        <v/>
      </c>
      <c r="H46" s="2250" t="str">
        <f t="shared" si="8"/>
        <v/>
      </c>
      <c r="I46" s="2250" t="str">
        <f t="shared" si="8"/>
        <v/>
      </c>
      <c r="J46" s="2250" t="str">
        <f t="shared" si="8"/>
        <v/>
      </c>
      <c r="K46" s="2250" t="str">
        <f t="shared" si="8"/>
        <v/>
      </c>
      <c r="L46" s="2250" t="str">
        <f t="shared" si="8"/>
        <v/>
      </c>
      <c r="M46" s="2250" t="str">
        <f t="shared" si="8"/>
        <v/>
      </c>
      <c r="N46" s="2250" t="str">
        <f t="shared" si="8"/>
        <v/>
      </c>
      <c r="O46" s="2250" t="str">
        <f t="shared" si="8"/>
        <v/>
      </c>
      <c r="P46" s="2250" t="str">
        <f t="shared" si="8"/>
        <v/>
      </c>
      <c r="Q46" s="2250" t="str">
        <f t="shared" si="8"/>
        <v/>
      </c>
      <c r="R46" s="2250" t="str">
        <f t="shared" si="8"/>
        <v/>
      </c>
      <c r="S46" s="1215"/>
      <c r="T46" s="272"/>
    </row>
    <row r="47" spans="1:20" ht="15" customHeight="1" x14ac:dyDescent="0.2">
      <c r="A47" s="2637">
        <f t="shared" si="10"/>
        <v>0</v>
      </c>
      <c r="B47" s="284">
        <f t="shared" si="5"/>
        <v>41</v>
      </c>
      <c r="C47" s="1215"/>
      <c r="D47" s="1215"/>
      <c r="E47" s="2248" t="str">
        <f t="shared" si="9"/>
        <v/>
      </c>
      <c r="F47" s="2250" t="str">
        <f t="shared" si="8"/>
        <v/>
      </c>
      <c r="G47" s="2250" t="str">
        <f t="shared" si="8"/>
        <v/>
      </c>
      <c r="H47" s="2250" t="str">
        <f t="shared" si="8"/>
        <v/>
      </c>
      <c r="I47" s="2250" t="str">
        <f t="shared" si="8"/>
        <v/>
      </c>
      <c r="J47" s="2250" t="str">
        <f t="shared" si="8"/>
        <v/>
      </c>
      <c r="K47" s="2250" t="str">
        <f t="shared" si="8"/>
        <v/>
      </c>
      <c r="L47" s="2250" t="str">
        <f t="shared" si="8"/>
        <v/>
      </c>
      <c r="M47" s="2250" t="str">
        <f t="shared" si="8"/>
        <v/>
      </c>
      <c r="N47" s="2250" t="str">
        <f t="shared" si="8"/>
        <v/>
      </c>
      <c r="O47" s="2250" t="str">
        <f t="shared" si="8"/>
        <v/>
      </c>
      <c r="P47" s="2250" t="str">
        <f t="shared" si="8"/>
        <v/>
      </c>
      <c r="Q47" s="2250" t="str">
        <f t="shared" si="8"/>
        <v/>
      </c>
      <c r="R47" s="2250" t="str">
        <f t="shared" si="8"/>
        <v/>
      </c>
      <c r="S47" s="1215"/>
      <c r="T47" s="272"/>
    </row>
    <row r="48" spans="1:20" ht="15" customHeight="1" x14ac:dyDescent="0.2">
      <c r="A48" s="2637">
        <f t="shared" si="10"/>
        <v>0</v>
      </c>
      <c r="B48" s="284">
        <f t="shared" si="5"/>
        <v>42</v>
      </c>
      <c r="C48" s="1215"/>
      <c r="D48" s="1215"/>
      <c r="E48" s="2248" t="str">
        <f t="shared" si="9"/>
        <v/>
      </c>
      <c r="F48" s="2250" t="str">
        <f t="shared" si="8"/>
        <v/>
      </c>
      <c r="G48" s="2250" t="str">
        <f t="shared" si="8"/>
        <v/>
      </c>
      <c r="H48" s="2250" t="str">
        <f t="shared" si="8"/>
        <v/>
      </c>
      <c r="I48" s="2250" t="str">
        <f t="shared" si="8"/>
        <v/>
      </c>
      <c r="J48" s="2250" t="str">
        <f t="shared" si="8"/>
        <v/>
      </c>
      <c r="K48" s="2250" t="str">
        <f t="shared" si="8"/>
        <v/>
      </c>
      <c r="L48" s="2250" t="str">
        <f t="shared" si="8"/>
        <v/>
      </c>
      <c r="M48" s="2250" t="str">
        <f t="shared" si="8"/>
        <v/>
      </c>
      <c r="N48" s="2250" t="str">
        <f t="shared" si="8"/>
        <v/>
      </c>
      <c r="O48" s="2250" t="str">
        <f t="shared" si="8"/>
        <v/>
      </c>
      <c r="P48" s="2250" t="str">
        <f t="shared" si="8"/>
        <v/>
      </c>
      <c r="Q48" s="2250" t="str">
        <f t="shared" si="8"/>
        <v/>
      </c>
      <c r="R48" s="2250" t="str">
        <f t="shared" si="8"/>
        <v/>
      </c>
      <c r="S48" s="1215"/>
      <c r="T48" s="272"/>
    </row>
    <row r="49" spans="1:20" ht="15" customHeight="1" x14ac:dyDescent="0.2">
      <c r="A49" s="2637">
        <f t="shared" si="10"/>
        <v>0</v>
      </c>
      <c r="B49" s="284">
        <f t="shared" si="5"/>
        <v>43</v>
      </c>
      <c r="C49" s="1215"/>
      <c r="D49" s="1215"/>
      <c r="E49" s="2248" t="str">
        <f t="shared" si="9"/>
        <v/>
      </c>
      <c r="F49" s="2250" t="str">
        <f t="shared" ref="F49:R58" si="11">IF(ISERROR(INDEX(ARGUS_CashFlow1_Array,$B49,F$6)="TRUE"),"",IF(INDEX(ARGUS_CashFlow1_Array,$B49,F$6)="","",IF(OR($E49="Cash Flow Before Debt Service",$E49="  Potential Base Rent"),TEXT(INDEX(ARGUS_CashFlow1_Array,$B49,F$6),"$#,###"),IF($E49="  Average Occupancy Percentage",TEXT(INDEX(ARGUS_CashFlow1_Array,$B49,F$6),"0.0%"),TEXT(INDEX(ARGUS_CashFlow1_Array,$B49,F$6),"#,###")))))</f>
        <v/>
      </c>
      <c r="G49" s="2250" t="str">
        <f t="shared" si="11"/>
        <v/>
      </c>
      <c r="H49" s="2250" t="str">
        <f t="shared" si="11"/>
        <v/>
      </c>
      <c r="I49" s="2250" t="str">
        <f t="shared" si="11"/>
        <v/>
      </c>
      <c r="J49" s="2250" t="str">
        <f t="shared" si="11"/>
        <v/>
      </c>
      <c r="K49" s="2250" t="str">
        <f t="shared" si="11"/>
        <v/>
      </c>
      <c r="L49" s="2250" t="str">
        <f t="shared" si="11"/>
        <v/>
      </c>
      <c r="M49" s="2250" t="str">
        <f t="shared" si="11"/>
        <v/>
      </c>
      <c r="N49" s="2250" t="str">
        <f t="shared" si="11"/>
        <v/>
      </c>
      <c r="O49" s="2250" t="str">
        <f t="shared" si="11"/>
        <v/>
      </c>
      <c r="P49" s="2250" t="str">
        <f t="shared" si="11"/>
        <v/>
      </c>
      <c r="Q49" s="2250" t="str">
        <f t="shared" si="11"/>
        <v/>
      </c>
      <c r="R49" s="2250" t="str">
        <f t="shared" si="11"/>
        <v/>
      </c>
      <c r="S49" s="1215"/>
      <c r="T49" s="272"/>
    </row>
    <row r="50" spans="1:20" ht="15" customHeight="1" x14ac:dyDescent="0.2">
      <c r="A50" s="2637">
        <f t="shared" si="10"/>
        <v>0</v>
      </c>
      <c r="B50" s="284">
        <f t="shared" si="5"/>
        <v>44</v>
      </c>
      <c r="C50" s="1215"/>
      <c r="D50" s="1215"/>
      <c r="E50" s="2248" t="str">
        <f t="shared" si="9"/>
        <v/>
      </c>
      <c r="F50" s="2250" t="str">
        <f t="shared" si="11"/>
        <v/>
      </c>
      <c r="G50" s="2250" t="str">
        <f t="shared" si="11"/>
        <v/>
      </c>
      <c r="H50" s="2250" t="str">
        <f t="shared" si="11"/>
        <v/>
      </c>
      <c r="I50" s="2250" t="str">
        <f t="shared" si="11"/>
        <v/>
      </c>
      <c r="J50" s="2250" t="str">
        <f t="shared" si="11"/>
        <v/>
      </c>
      <c r="K50" s="2250" t="str">
        <f t="shared" si="11"/>
        <v/>
      </c>
      <c r="L50" s="2250" t="str">
        <f t="shared" si="11"/>
        <v/>
      </c>
      <c r="M50" s="2250" t="str">
        <f t="shared" si="11"/>
        <v/>
      </c>
      <c r="N50" s="2250" t="str">
        <f t="shared" si="11"/>
        <v/>
      </c>
      <c r="O50" s="2250" t="str">
        <f t="shared" si="11"/>
        <v/>
      </c>
      <c r="P50" s="2250" t="str">
        <f t="shared" si="11"/>
        <v/>
      </c>
      <c r="Q50" s="2250" t="str">
        <f t="shared" si="11"/>
        <v/>
      </c>
      <c r="R50" s="2250" t="str">
        <f t="shared" si="11"/>
        <v/>
      </c>
      <c r="S50" s="1215"/>
      <c r="T50" s="272"/>
    </row>
    <row r="51" spans="1:20" ht="15" customHeight="1" x14ac:dyDescent="0.2">
      <c r="A51" s="2637">
        <f t="shared" si="10"/>
        <v>0</v>
      </c>
      <c r="B51" s="284">
        <f t="shared" si="5"/>
        <v>45</v>
      </c>
      <c r="C51" s="1215"/>
      <c r="D51" s="1215"/>
      <c r="E51" s="2248" t="str">
        <f t="shared" si="9"/>
        <v/>
      </c>
      <c r="F51" s="2250" t="str">
        <f t="shared" si="11"/>
        <v/>
      </c>
      <c r="G51" s="2250" t="str">
        <f t="shared" si="11"/>
        <v/>
      </c>
      <c r="H51" s="2250" t="str">
        <f t="shared" si="11"/>
        <v/>
      </c>
      <c r="I51" s="2250" t="str">
        <f t="shared" si="11"/>
        <v/>
      </c>
      <c r="J51" s="2250" t="str">
        <f t="shared" si="11"/>
        <v/>
      </c>
      <c r="K51" s="2250" t="str">
        <f t="shared" si="11"/>
        <v/>
      </c>
      <c r="L51" s="2250" t="str">
        <f t="shared" si="11"/>
        <v/>
      </c>
      <c r="M51" s="2250" t="str">
        <f t="shared" si="11"/>
        <v/>
      </c>
      <c r="N51" s="2250" t="str">
        <f t="shared" si="11"/>
        <v/>
      </c>
      <c r="O51" s="2250" t="str">
        <f t="shared" si="11"/>
        <v/>
      </c>
      <c r="P51" s="2250" t="str">
        <f t="shared" si="11"/>
        <v/>
      </c>
      <c r="Q51" s="2250" t="str">
        <f t="shared" si="11"/>
        <v/>
      </c>
      <c r="R51" s="2250" t="str">
        <f t="shared" si="11"/>
        <v/>
      </c>
      <c r="S51" s="1215"/>
      <c r="T51" s="272"/>
    </row>
    <row r="52" spans="1:20" ht="15" customHeight="1" x14ac:dyDescent="0.2">
      <c r="A52" s="2637">
        <f t="shared" si="10"/>
        <v>0</v>
      </c>
      <c r="B52" s="284">
        <f t="shared" si="5"/>
        <v>46</v>
      </c>
      <c r="C52" s="1215"/>
      <c r="D52" s="1215"/>
      <c r="E52" s="2248" t="str">
        <f t="shared" si="9"/>
        <v/>
      </c>
      <c r="F52" s="2250" t="str">
        <f t="shared" si="11"/>
        <v/>
      </c>
      <c r="G52" s="2250" t="str">
        <f t="shared" si="11"/>
        <v/>
      </c>
      <c r="H52" s="2250" t="str">
        <f t="shared" si="11"/>
        <v/>
      </c>
      <c r="I52" s="2250" t="str">
        <f t="shared" si="11"/>
        <v/>
      </c>
      <c r="J52" s="2250" t="str">
        <f t="shared" si="11"/>
        <v/>
      </c>
      <c r="K52" s="2250" t="str">
        <f t="shared" si="11"/>
        <v/>
      </c>
      <c r="L52" s="2250" t="str">
        <f t="shared" si="11"/>
        <v/>
      </c>
      <c r="M52" s="2250" t="str">
        <f t="shared" si="11"/>
        <v/>
      </c>
      <c r="N52" s="2250" t="str">
        <f t="shared" si="11"/>
        <v/>
      </c>
      <c r="O52" s="2250" t="str">
        <f t="shared" si="11"/>
        <v/>
      </c>
      <c r="P52" s="2250" t="str">
        <f t="shared" si="11"/>
        <v/>
      </c>
      <c r="Q52" s="2250" t="str">
        <f t="shared" si="11"/>
        <v/>
      </c>
      <c r="R52" s="2250" t="str">
        <f t="shared" si="11"/>
        <v/>
      </c>
      <c r="S52" s="1215"/>
      <c r="T52" s="272"/>
    </row>
    <row r="53" spans="1:20" ht="15" customHeight="1" x14ac:dyDescent="0.2">
      <c r="A53" s="2637">
        <f t="shared" si="10"/>
        <v>0</v>
      </c>
      <c r="B53" s="284">
        <f t="shared" si="5"/>
        <v>47</v>
      </c>
      <c r="C53" s="1215"/>
      <c r="D53" s="1215"/>
      <c r="E53" s="2248" t="str">
        <f t="shared" si="9"/>
        <v/>
      </c>
      <c r="F53" s="2250" t="str">
        <f t="shared" si="11"/>
        <v/>
      </c>
      <c r="G53" s="2250" t="str">
        <f t="shared" si="11"/>
        <v/>
      </c>
      <c r="H53" s="2250" t="str">
        <f t="shared" si="11"/>
        <v/>
      </c>
      <c r="I53" s="2250" t="str">
        <f t="shared" si="11"/>
        <v/>
      </c>
      <c r="J53" s="2250" t="str">
        <f t="shared" si="11"/>
        <v/>
      </c>
      <c r="K53" s="2250" t="str">
        <f t="shared" si="11"/>
        <v/>
      </c>
      <c r="L53" s="2250" t="str">
        <f t="shared" si="11"/>
        <v/>
      </c>
      <c r="M53" s="2250" t="str">
        <f t="shared" si="11"/>
        <v/>
      </c>
      <c r="N53" s="2250" t="str">
        <f t="shared" si="11"/>
        <v/>
      </c>
      <c r="O53" s="2250" t="str">
        <f t="shared" si="11"/>
        <v/>
      </c>
      <c r="P53" s="2250" t="str">
        <f t="shared" si="11"/>
        <v/>
      </c>
      <c r="Q53" s="2250" t="str">
        <f t="shared" si="11"/>
        <v/>
      </c>
      <c r="R53" s="2250" t="str">
        <f t="shared" si="11"/>
        <v/>
      </c>
      <c r="S53" s="1215"/>
      <c r="T53" s="272"/>
    </row>
    <row r="54" spans="1:20" ht="15" customHeight="1" x14ac:dyDescent="0.2">
      <c r="A54" s="2637">
        <f t="shared" si="10"/>
        <v>0</v>
      </c>
      <c r="B54" s="284">
        <f t="shared" si="5"/>
        <v>48</v>
      </c>
      <c r="C54" s="1215"/>
      <c r="D54" s="1215"/>
      <c r="E54" s="2248" t="str">
        <f t="shared" si="9"/>
        <v/>
      </c>
      <c r="F54" s="2250" t="str">
        <f t="shared" si="11"/>
        <v/>
      </c>
      <c r="G54" s="2250" t="str">
        <f t="shared" si="11"/>
        <v/>
      </c>
      <c r="H54" s="2250" t="str">
        <f t="shared" si="11"/>
        <v/>
      </c>
      <c r="I54" s="2250" t="str">
        <f t="shared" si="11"/>
        <v/>
      </c>
      <c r="J54" s="2250" t="str">
        <f t="shared" si="11"/>
        <v/>
      </c>
      <c r="K54" s="2250" t="str">
        <f t="shared" si="11"/>
        <v/>
      </c>
      <c r="L54" s="2250" t="str">
        <f t="shared" si="11"/>
        <v/>
      </c>
      <c r="M54" s="2250" t="str">
        <f t="shared" si="11"/>
        <v/>
      </c>
      <c r="N54" s="2250" t="str">
        <f t="shared" si="11"/>
        <v/>
      </c>
      <c r="O54" s="2250" t="str">
        <f t="shared" si="11"/>
        <v/>
      </c>
      <c r="P54" s="2250" t="str">
        <f t="shared" si="11"/>
        <v/>
      </c>
      <c r="Q54" s="2250" t="str">
        <f t="shared" si="11"/>
        <v/>
      </c>
      <c r="R54" s="2250" t="str">
        <f t="shared" si="11"/>
        <v/>
      </c>
      <c r="S54" s="1215"/>
      <c r="T54" s="272"/>
    </row>
    <row r="55" spans="1:20" ht="15" customHeight="1" x14ac:dyDescent="0.2">
      <c r="A55" s="2637">
        <f t="shared" si="10"/>
        <v>0</v>
      </c>
      <c r="B55" s="284">
        <f t="shared" si="5"/>
        <v>49</v>
      </c>
      <c r="C55" s="1215"/>
      <c r="D55" s="1215"/>
      <c r="E55" s="2248" t="str">
        <f t="shared" si="9"/>
        <v/>
      </c>
      <c r="F55" s="2250" t="str">
        <f t="shared" si="11"/>
        <v/>
      </c>
      <c r="G55" s="2250" t="str">
        <f t="shared" si="11"/>
        <v/>
      </c>
      <c r="H55" s="2250" t="str">
        <f t="shared" si="11"/>
        <v/>
      </c>
      <c r="I55" s="2250" t="str">
        <f t="shared" si="11"/>
        <v/>
      </c>
      <c r="J55" s="2250" t="str">
        <f t="shared" si="11"/>
        <v/>
      </c>
      <c r="K55" s="2250" t="str">
        <f t="shared" si="11"/>
        <v/>
      </c>
      <c r="L55" s="2250" t="str">
        <f t="shared" si="11"/>
        <v/>
      </c>
      <c r="M55" s="2250" t="str">
        <f t="shared" si="11"/>
        <v/>
      </c>
      <c r="N55" s="2250" t="str">
        <f t="shared" si="11"/>
        <v/>
      </c>
      <c r="O55" s="2250" t="str">
        <f t="shared" si="11"/>
        <v/>
      </c>
      <c r="P55" s="2250" t="str">
        <f t="shared" si="11"/>
        <v/>
      </c>
      <c r="Q55" s="2250" t="str">
        <f t="shared" si="11"/>
        <v/>
      </c>
      <c r="R55" s="2250" t="str">
        <f t="shared" si="11"/>
        <v/>
      </c>
      <c r="S55" s="1215"/>
      <c r="T55" s="272"/>
    </row>
    <row r="56" spans="1:20" ht="15" customHeight="1" x14ac:dyDescent="0.2">
      <c r="A56" s="2637">
        <f t="shared" si="10"/>
        <v>0</v>
      </c>
      <c r="B56" s="284">
        <f t="shared" si="5"/>
        <v>50</v>
      </c>
      <c r="C56" s="1215"/>
      <c r="D56" s="1215"/>
      <c r="E56" s="2248" t="str">
        <f t="shared" si="9"/>
        <v/>
      </c>
      <c r="F56" s="2250" t="str">
        <f t="shared" si="11"/>
        <v/>
      </c>
      <c r="G56" s="2250" t="str">
        <f t="shared" si="11"/>
        <v/>
      </c>
      <c r="H56" s="2250" t="str">
        <f t="shared" si="11"/>
        <v/>
      </c>
      <c r="I56" s="2250" t="str">
        <f t="shared" si="11"/>
        <v/>
      </c>
      <c r="J56" s="2250" t="str">
        <f t="shared" si="11"/>
        <v/>
      </c>
      <c r="K56" s="2250" t="str">
        <f t="shared" si="11"/>
        <v/>
      </c>
      <c r="L56" s="2250" t="str">
        <f t="shared" si="11"/>
        <v/>
      </c>
      <c r="M56" s="2250" t="str">
        <f t="shared" si="11"/>
        <v/>
      </c>
      <c r="N56" s="2250" t="str">
        <f t="shared" si="11"/>
        <v/>
      </c>
      <c r="O56" s="2250" t="str">
        <f t="shared" si="11"/>
        <v/>
      </c>
      <c r="P56" s="2250" t="str">
        <f t="shared" si="11"/>
        <v/>
      </c>
      <c r="Q56" s="2250" t="str">
        <f t="shared" si="11"/>
        <v/>
      </c>
      <c r="R56" s="2250" t="str">
        <f t="shared" si="11"/>
        <v/>
      </c>
      <c r="S56" s="1215"/>
      <c r="T56" s="272"/>
    </row>
    <row r="57" spans="1:20" ht="15" customHeight="1" x14ac:dyDescent="0.2">
      <c r="A57" s="2637">
        <f t="shared" si="10"/>
        <v>0</v>
      </c>
      <c r="B57" s="284">
        <f t="shared" si="5"/>
        <v>51</v>
      </c>
      <c r="C57" s="1215"/>
      <c r="D57" s="1215"/>
      <c r="E57" s="2248" t="str">
        <f t="shared" si="9"/>
        <v/>
      </c>
      <c r="F57" s="2250" t="str">
        <f t="shared" si="11"/>
        <v/>
      </c>
      <c r="G57" s="2250" t="str">
        <f t="shared" si="11"/>
        <v/>
      </c>
      <c r="H57" s="2250" t="str">
        <f t="shared" si="11"/>
        <v/>
      </c>
      <c r="I57" s="2250" t="str">
        <f t="shared" si="11"/>
        <v/>
      </c>
      <c r="J57" s="2250" t="str">
        <f t="shared" si="11"/>
        <v/>
      </c>
      <c r="K57" s="2250" t="str">
        <f t="shared" si="11"/>
        <v/>
      </c>
      <c r="L57" s="2250" t="str">
        <f t="shared" si="11"/>
        <v/>
      </c>
      <c r="M57" s="2250" t="str">
        <f t="shared" si="11"/>
        <v/>
      </c>
      <c r="N57" s="2250" t="str">
        <f t="shared" si="11"/>
        <v/>
      </c>
      <c r="O57" s="2250" t="str">
        <f t="shared" si="11"/>
        <v/>
      </c>
      <c r="P57" s="2250" t="str">
        <f t="shared" si="11"/>
        <v/>
      </c>
      <c r="Q57" s="2250" t="str">
        <f t="shared" si="11"/>
        <v/>
      </c>
      <c r="R57" s="2250" t="str">
        <f t="shared" si="11"/>
        <v/>
      </c>
      <c r="S57" s="1215"/>
      <c r="T57" s="272"/>
    </row>
    <row r="58" spans="1:20" ht="15" customHeight="1" x14ac:dyDescent="0.2">
      <c r="A58" s="2637">
        <f t="shared" si="10"/>
        <v>0</v>
      </c>
      <c r="B58" s="284">
        <f t="shared" si="5"/>
        <v>52</v>
      </c>
      <c r="C58" s="1215"/>
      <c r="D58" s="1215"/>
      <c r="E58" s="2248" t="str">
        <f t="shared" si="9"/>
        <v/>
      </c>
      <c r="F58" s="2250" t="str">
        <f t="shared" si="11"/>
        <v/>
      </c>
      <c r="G58" s="2250" t="str">
        <f t="shared" si="11"/>
        <v/>
      </c>
      <c r="H58" s="2250" t="str">
        <f t="shared" si="11"/>
        <v/>
      </c>
      <c r="I58" s="2250" t="str">
        <f t="shared" si="11"/>
        <v/>
      </c>
      <c r="J58" s="2250" t="str">
        <f t="shared" si="11"/>
        <v/>
      </c>
      <c r="K58" s="2250" t="str">
        <f t="shared" si="11"/>
        <v/>
      </c>
      <c r="L58" s="2250" t="str">
        <f t="shared" si="11"/>
        <v/>
      </c>
      <c r="M58" s="2250" t="str">
        <f t="shared" si="11"/>
        <v/>
      </c>
      <c r="N58" s="2250" t="str">
        <f t="shared" si="11"/>
        <v/>
      </c>
      <c r="O58" s="2250" t="str">
        <f t="shared" si="11"/>
        <v/>
      </c>
      <c r="P58" s="2250" t="str">
        <f t="shared" si="11"/>
        <v/>
      </c>
      <c r="Q58" s="2250" t="str">
        <f t="shared" si="11"/>
        <v/>
      </c>
      <c r="R58" s="2250" t="str">
        <f t="shared" si="11"/>
        <v/>
      </c>
      <c r="S58" s="1215"/>
      <c r="T58" s="272"/>
    </row>
    <row r="59" spans="1:20" ht="15" customHeight="1" x14ac:dyDescent="0.2">
      <c r="A59" s="2637">
        <f t="shared" si="10"/>
        <v>0</v>
      </c>
      <c r="B59" s="284">
        <f t="shared" si="5"/>
        <v>53</v>
      </c>
      <c r="C59" s="1215"/>
      <c r="D59" s="1215"/>
      <c r="E59" s="2248" t="str">
        <f t="shared" si="9"/>
        <v/>
      </c>
      <c r="F59" s="2250" t="str">
        <f t="shared" ref="F59:R68" si="12">IF(ISERROR(INDEX(ARGUS_CashFlow1_Array,$B59,F$6)="TRUE"),"",IF(INDEX(ARGUS_CashFlow1_Array,$B59,F$6)="","",IF(OR($E59="Cash Flow Before Debt Service",$E59="  Potential Base Rent"),TEXT(INDEX(ARGUS_CashFlow1_Array,$B59,F$6),"$#,###"),IF($E59="  Average Occupancy Percentage",TEXT(INDEX(ARGUS_CashFlow1_Array,$B59,F$6),"0.0%"),TEXT(INDEX(ARGUS_CashFlow1_Array,$B59,F$6),"#,###")))))</f>
        <v/>
      </c>
      <c r="G59" s="2250" t="str">
        <f t="shared" si="12"/>
        <v/>
      </c>
      <c r="H59" s="2250" t="str">
        <f t="shared" si="12"/>
        <v/>
      </c>
      <c r="I59" s="2250" t="str">
        <f t="shared" si="12"/>
        <v/>
      </c>
      <c r="J59" s="2250" t="str">
        <f t="shared" si="12"/>
        <v/>
      </c>
      <c r="K59" s="2250" t="str">
        <f t="shared" si="12"/>
        <v/>
      </c>
      <c r="L59" s="2250" t="str">
        <f t="shared" si="12"/>
        <v/>
      </c>
      <c r="M59" s="2250" t="str">
        <f t="shared" si="12"/>
        <v/>
      </c>
      <c r="N59" s="2250" t="str">
        <f t="shared" si="12"/>
        <v/>
      </c>
      <c r="O59" s="2250" t="str">
        <f t="shared" si="12"/>
        <v/>
      </c>
      <c r="P59" s="2250" t="str">
        <f t="shared" si="12"/>
        <v/>
      </c>
      <c r="Q59" s="2250" t="str">
        <f t="shared" si="12"/>
        <v/>
      </c>
      <c r="R59" s="2250" t="str">
        <f t="shared" si="12"/>
        <v/>
      </c>
      <c r="S59" s="1215"/>
      <c r="T59" s="272"/>
    </row>
    <row r="60" spans="1:20" ht="15" customHeight="1" x14ac:dyDescent="0.2">
      <c r="A60" s="2637">
        <f t="shared" si="10"/>
        <v>0</v>
      </c>
      <c r="B60" s="284">
        <f t="shared" si="5"/>
        <v>54</v>
      </c>
      <c r="C60" s="1215"/>
      <c r="D60" s="1215"/>
      <c r="E60" s="2248" t="str">
        <f t="shared" si="9"/>
        <v/>
      </c>
      <c r="F60" s="2250" t="str">
        <f t="shared" si="12"/>
        <v/>
      </c>
      <c r="G60" s="2250" t="str">
        <f t="shared" si="12"/>
        <v/>
      </c>
      <c r="H60" s="2250" t="str">
        <f t="shared" si="12"/>
        <v/>
      </c>
      <c r="I60" s="2250" t="str">
        <f t="shared" si="12"/>
        <v/>
      </c>
      <c r="J60" s="2250" t="str">
        <f t="shared" si="12"/>
        <v/>
      </c>
      <c r="K60" s="2250" t="str">
        <f t="shared" si="12"/>
        <v/>
      </c>
      <c r="L60" s="2250" t="str">
        <f t="shared" si="12"/>
        <v/>
      </c>
      <c r="M60" s="2250" t="str">
        <f t="shared" si="12"/>
        <v/>
      </c>
      <c r="N60" s="2250" t="str">
        <f t="shared" si="12"/>
        <v/>
      </c>
      <c r="O60" s="2250" t="str">
        <f t="shared" si="12"/>
        <v/>
      </c>
      <c r="P60" s="2250" t="str">
        <f t="shared" si="12"/>
        <v/>
      </c>
      <c r="Q60" s="2250" t="str">
        <f t="shared" si="12"/>
        <v/>
      </c>
      <c r="R60" s="2250" t="str">
        <f t="shared" si="12"/>
        <v/>
      </c>
      <c r="S60" s="1215"/>
      <c r="T60" s="272"/>
    </row>
    <row r="61" spans="1:20" ht="15" customHeight="1" x14ac:dyDescent="0.2">
      <c r="A61" s="2637">
        <f t="shared" si="10"/>
        <v>0</v>
      </c>
      <c r="B61" s="284">
        <f t="shared" si="5"/>
        <v>55</v>
      </c>
      <c r="C61" s="1215"/>
      <c r="D61" s="1215"/>
      <c r="E61" s="2248" t="str">
        <f t="shared" si="9"/>
        <v/>
      </c>
      <c r="F61" s="2250" t="str">
        <f t="shared" si="12"/>
        <v/>
      </c>
      <c r="G61" s="2250" t="str">
        <f t="shared" si="12"/>
        <v/>
      </c>
      <c r="H61" s="2250" t="str">
        <f t="shared" si="12"/>
        <v/>
      </c>
      <c r="I61" s="2250" t="str">
        <f t="shared" si="12"/>
        <v/>
      </c>
      <c r="J61" s="2250" t="str">
        <f t="shared" si="12"/>
        <v/>
      </c>
      <c r="K61" s="2250" t="str">
        <f t="shared" si="12"/>
        <v/>
      </c>
      <c r="L61" s="2250" t="str">
        <f t="shared" si="12"/>
        <v/>
      </c>
      <c r="M61" s="2250" t="str">
        <f t="shared" si="12"/>
        <v/>
      </c>
      <c r="N61" s="2250" t="str">
        <f t="shared" si="12"/>
        <v/>
      </c>
      <c r="O61" s="2250" t="str">
        <f t="shared" si="12"/>
        <v/>
      </c>
      <c r="P61" s="2250" t="str">
        <f t="shared" si="12"/>
        <v/>
      </c>
      <c r="Q61" s="2250" t="str">
        <f t="shared" si="12"/>
        <v/>
      </c>
      <c r="R61" s="2250" t="str">
        <f t="shared" si="12"/>
        <v/>
      </c>
      <c r="S61" s="1215"/>
      <c r="T61" s="272"/>
    </row>
    <row r="62" spans="1:20" ht="15" customHeight="1" x14ac:dyDescent="0.2">
      <c r="A62" s="2637">
        <f t="shared" si="10"/>
        <v>0</v>
      </c>
      <c r="B62" s="284">
        <f t="shared" si="5"/>
        <v>56</v>
      </c>
      <c r="C62" s="1215"/>
      <c r="D62" s="1215"/>
      <c r="E62" s="2248" t="str">
        <f t="shared" si="9"/>
        <v/>
      </c>
      <c r="F62" s="2250" t="str">
        <f t="shared" si="12"/>
        <v/>
      </c>
      <c r="G62" s="2250" t="str">
        <f t="shared" si="12"/>
        <v/>
      </c>
      <c r="H62" s="2250" t="str">
        <f t="shared" si="12"/>
        <v/>
      </c>
      <c r="I62" s="2250" t="str">
        <f t="shared" si="12"/>
        <v/>
      </c>
      <c r="J62" s="2250" t="str">
        <f t="shared" si="12"/>
        <v/>
      </c>
      <c r="K62" s="2250" t="str">
        <f t="shared" si="12"/>
        <v/>
      </c>
      <c r="L62" s="2250" t="str">
        <f t="shared" si="12"/>
        <v/>
      </c>
      <c r="M62" s="2250" t="str">
        <f t="shared" si="12"/>
        <v/>
      </c>
      <c r="N62" s="2250" t="str">
        <f t="shared" si="12"/>
        <v/>
      </c>
      <c r="O62" s="2250" t="str">
        <f t="shared" si="12"/>
        <v/>
      </c>
      <c r="P62" s="2250" t="str">
        <f t="shared" si="12"/>
        <v/>
      </c>
      <c r="Q62" s="2250" t="str">
        <f t="shared" si="12"/>
        <v/>
      </c>
      <c r="R62" s="2250" t="str">
        <f t="shared" si="12"/>
        <v/>
      </c>
      <c r="S62" s="1215"/>
      <c r="T62" s="272"/>
    </row>
    <row r="63" spans="1:20" ht="15" customHeight="1" x14ac:dyDescent="0.2">
      <c r="A63" s="2637">
        <f t="shared" si="10"/>
        <v>0</v>
      </c>
      <c r="B63" s="284">
        <f t="shared" si="5"/>
        <v>57</v>
      </c>
      <c r="C63" s="1215"/>
      <c r="D63" s="1215"/>
      <c r="E63" s="2248" t="str">
        <f t="shared" si="9"/>
        <v/>
      </c>
      <c r="F63" s="2250" t="str">
        <f t="shared" si="12"/>
        <v/>
      </c>
      <c r="G63" s="2250" t="str">
        <f t="shared" si="12"/>
        <v/>
      </c>
      <c r="H63" s="2250" t="str">
        <f t="shared" si="12"/>
        <v/>
      </c>
      <c r="I63" s="2250" t="str">
        <f t="shared" si="12"/>
        <v/>
      </c>
      <c r="J63" s="2250" t="str">
        <f t="shared" si="12"/>
        <v/>
      </c>
      <c r="K63" s="2250" t="str">
        <f t="shared" si="12"/>
        <v/>
      </c>
      <c r="L63" s="2250" t="str">
        <f t="shared" si="12"/>
        <v/>
      </c>
      <c r="M63" s="2250" t="str">
        <f t="shared" si="12"/>
        <v/>
      </c>
      <c r="N63" s="2250" t="str">
        <f t="shared" si="12"/>
        <v/>
      </c>
      <c r="O63" s="2250" t="str">
        <f t="shared" si="12"/>
        <v/>
      </c>
      <c r="P63" s="2250" t="str">
        <f t="shared" si="12"/>
        <v/>
      </c>
      <c r="Q63" s="2250" t="str">
        <f t="shared" si="12"/>
        <v/>
      </c>
      <c r="R63" s="2250" t="str">
        <f t="shared" si="12"/>
        <v/>
      </c>
      <c r="S63" s="1215"/>
      <c r="T63" s="272"/>
    </row>
    <row r="64" spans="1:20" ht="15" customHeight="1" x14ac:dyDescent="0.2">
      <c r="A64" s="2637">
        <f t="shared" si="10"/>
        <v>0</v>
      </c>
      <c r="B64" s="284">
        <f t="shared" si="5"/>
        <v>58</v>
      </c>
      <c r="C64" s="1215"/>
      <c r="D64" s="1215"/>
      <c r="E64" s="2248" t="str">
        <f t="shared" si="9"/>
        <v/>
      </c>
      <c r="F64" s="2250" t="str">
        <f t="shared" si="12"/>
        <v/>
      </c>
      <c r="G64" s="2250" t="str">
        <f t="shared" si="12"/>
        <v/>
      </c>
      <c r="H64" s="2250" t="str">
        <f t="shared" si="12"/>
        <v/>
      </c>
      <c r="I64" s="2250" t="str">
        <f t="shared" si="12"/>
        <v/>
      </c>
      <c r="J64" s="2250" t="str">
        <f t="shared" si="12"/>
        <v/>
      </c>
      <c r="K64" s="2250" t="str">
        <f t="shared" si="12"/>
        <v/>
      </c>
      <c r="L64" s="2250" t="str">
        <f t="shared" si="12"/>
        <v/>
      </c>
      <c r="M64" s="2250" t="str">
        <f t="shared" si="12"/>
        <v/>
      </c>
      <c r="N64" s="2250" t="str">
        <f t="shared" si="12"/>
        <v/>
      </c>
      <c r="O64" s="2250" t="str">
        <f t="shared" si="12"/>
        <v/>
      </c>
      <c r="P64" s="2250" t="str">
        <f t="shared" si="12"/>
        <v/>
      </c>
      <c r="Q64" s="2250" t="str">
        <f t="shared" si="12"/>
        <v/>
      </c>
      <c r="R64" s="2250" t="str">
        <f t="shared" si="12"/>
        <v/>
      </c>
      <c r="S64" s="1215"/>
      <c r="T64" s="272"/>
    </row>
    <row r="65" spans="1:20" ht="15" customHeight="1" x14ac:dyDescent="0.2">
      <c r="A65" s="2637">
        <f t="shared" si="10"/>
        <v>0</v>
      </c>
      <c r="B65" s="284">
        <f t="shared" si="5"/>
        <v>59</v>
      </c>
      <c r="C65" s="1215"/>
      <c r="D65" s="1215"/>
      <c r="E65" s="2248" t="str">
        <f t="shared" si="9"/>
        <v/>
      </c>
      <c r="F65" s="2250" t="str">
        <f t="shared" si="12"/>
        <v/>
      </c>
      <c r="G65" s="2250" t="str">
        <f t="shared" si="12"/>
        <v/>
      </c>
      <c r="H65" s="2250" t="str">
        <f t="shared" si="12"/>
        <v/>
      </c>
      <c r="I65" s="2250" t="str">
        <f t="shared" si="12"/>
        <v/>
      </c>
      <c r="J65" s="2250" t="str">
        <f t="shared" si="12"/>
        <v/>
      </c>
      <c r="K65" s="2250" t="str">
        <f t="shared" si="12"/>
        <v/>
      </c>
      <c r="L65" s="2250" t="str">
        <f t="shared" si="12"/>
        <v/>
      </c>
      <c r="M65" s="2250" t="str">
        <f t="shared" si="12"/>
        <v/>
      </c>
      <c r="N65" s="2250" t="str">
        <f t="shared" si="12"/>
        <v/>
      </c>
      <c r="O65" s="2250" t="str">
        <f t="shared" si="12"/>
        <v/>
      </c>
      <c r="P65" s="2250" t="str">
        <f t="shared" si="12"/>
        <v/>
      </c>
      <c r="Q65" s="2250" t="str">
        <f t="shared" si="12"/>
        <v/>
      </c>
      <c r="R65" s="2250" t="str">
        <f t="shared" si="12"/>
        <v/>
      </c>
      <c r="S65" s="1215"/>
      <c r="T65" s="272"/>
    </row>
    <row r="66" spans="1:20" ht="15" customHeight="1" x14ac:dyDescent="0.2">
      <c r="A66" s="2637">
        <f t="shared" si="10"/>
        <v>0</v>
      </c>
      <c r="B66" s="284">
        <f t="shared" si="5"/>
        <v>60</v>
      </c>
      <c r="C66" s="1215"/>
      <c r="D66" s="1215"/>
      <c r="E66" s="2248" t="str">
        <f t="shared" si="9"/>
        <v/>
      </c>
      <c r="F66" s="2250" t="str">
        <f t="shared" si="12"/>
        <v/>
      </c>
      <c r="G66" s="2250" t="str">
        <f t="shared" si="12"/>
        <v/>
      </c>
      <c r="H66" s="2250" t="str">
        <f t="shared" si="12"/>
        <v/>
      </c>
      <c r="I66" s="2250" t="str">
        <f t="shared" si="12"/>
        <v/>
      </c>
      <c r="J66" s="2250" t="str">
        <f t="shared" si="12"/>
        <v/>
      </c>
      <c r="K66" s="2250" t="str">
        <f t="shared" si="12"/>
        <v/>
      </c>
      <c r="L66" s="2250" t="str">
        <f t="shared" si="12"/>
        <v/>
      </c>
      <c r="M66" s="2250" t="str">
        <f t="shared" si="12"/>
        <v/>
      </c>
      <c r="N66" s="2250" t="str">
        <f t="shared" si="12"/>
        <v/>
      </c>
      <c r="O66" s="2250" t="str">
        <f t="shared" si="12"/>
        <v/>
      </c>
      <c r="P66" s="2250" t="str">
        <f t="shared" si="12"/>
        <v/>
      </c>
      <c r="Q66" s="2250" t="str">
        <f t="shared" si="12"/>
        <v/>
      </c>
      <c r="R66" s="2250" t="str">
        <f t="shared" si="12"/>
        <v/>
      </c>
      <c r="S66" s="1215"/>
      <c r="T66" s="272"/>
    </row>
    <row r="67" spans="1:20" ht="15" customHeight="1" x14ac:dyDescent="0.2">
      <c r="A67" s="2637">
        <f t="shared" si="10"/>
        <v>0</v>
      </c>
      <c r="B67" s="284">
        <f t="shared" si="5"/>
        <v>61</v>
      </c>
      <c r="C67" s="1215"/>
      <c r="D67" s="1215"/>
      <c r="E67" s="2248" t="str">
        <f t="shared" si="9"/>
        <v/>
      </c>
      <c r="F67" s="2250" t="str">
        <f t="shared" si="12"/>
        <v/>
      </c>
      <c r="G67" s="2250" t="str">
        <f t="shared" si="12"/>
        <v/>
      </c>
      <c r="H67" s="2250" t="str">
        <f t="shared" si="12"/>
        <v/>
      </c>
      <c r="I67" s="2250" t="str">
        <f t="shared" si="12"/>
        <v/>
      </c>
      <c r="J67" s="2250" t="str">
        <f t="shared" si="12"/>
        <v/>
      </c>
      <c r="K67" s="2250" t="str">
        <f t="shared" si="12"/>
        <v/>
      </c>
      <c r="L67" s="2250" t="str">
        <f t="shared" si="12"/>
        <v/>
      </c>
      <c r="M67" s="2250" t="str">
        <f t="shared" si="12"/>
        <v/>
      </c>
      <c r="N67" s="2250" t="str">
        <f t="shared" si="12"/>
        <v/>
      </c>
      <c r="O67" s="2250" t="str">
        <f t="shared" si="12"/>
        <v/>
      </c>
      <c r="P67" s="2250" t="str">
        <f t="shared" si="12"/>
        <v/>
      </c>
      <c r="Q67" s="2250" t="str">
        <f t="shared" si="12"/>
        <v/>
      </c>
      <c r="R67" s="2250" t="str">
        <f t="shared" si="12"/>
        <v/>
      </c>
      <c r="S67" s="1215"/>
      <c r="T67" s="272"/>
    </row>
    <row r="68" spans="1:20" ht="15" customHeight="1" x14ac:dyDescent="0.2">
      <c r="A68" s="2637">
        <f t="shared" si="10"/>
        <v>0</v>
      </c>
      <c r="B68" s="284">
        <f t="shared" si="5"/>
        <v>62</v>
      </c>
      <c r="C68" s="1215"/>
      <c r="D68" s="1215"/>
      <c r="E68" s="2248" t="str">
        <f t="shared" si="9"/>
        <v/>
      </c>
      <c r="F68" s="2250" t="str">
        <f t="shared" si="12"/>
        <v/>
      </c>
      <c r="G68" s="2250" t="str">
        <f t="shared" si="12"/>
        <v/>
      </c>
      <c r="H68" s="2250" t="str">
        <f t="shared" si="12"/>
        <v/>
      </c>
      <c r="I68" s="2250" t="str">
        <f t="shared" si="12"/>
        <v/>
      </c>
      <c r="J68" s="2250" t="str">
        <f t="shared" si="12"/>
        <v/>
      </c>
      <c r="K68" s="2250" t="str">
        <f t="shared" si="12"/>
        <v/>
      </c>
      <c r="L68" s="2250" t="str">
        <f t="shared" si="12"/>
        <v/>
      </c>
      <c r="M68" s="2250" t="str">
        <f t="shared" si="12"/>
        <v/>
      </c>
      <c r="N68" s="2250" t="str">
        <f t="shared" si="12"/>
        <v/>
      </c>
      <c r="O68" s="2250" t="str">
        <f t="shared" si="12"/>
        <v/>
      </c>
      <c r="P68" s="2250" t="str">
        <f t="shared" si="12"/>
        <v/>
      </c>
      <c r="Q68" s="2250" t="str">
        <f t="shared" si="12"/>
        <v/>
      </c>
      <c r="R68" s="2250" t="str">
        <f t="shared" si="12"/>
        <v/>
      </c>
      <c r="S68" s="1215"/>
      <c r="T68" s="272"/>
    </row>
    <row r="69" spans="1:20" ht="15" customHeight="1" x14ac:dyDescent="0.2">
      <c r="A69" s="2637">
        <f t="shared" si="10"/>
        <v>0</v>
      </c>
      <c r="B69" s="284">
        <f t="shared" si="5"/>
        <v>63</v>
      </c>
      <c r="C69" s="1215"/>
      <c r="D69" s="1215"/>
      <c r="E69" s="2248" t="str">
        <f t="shared" si="9"/>
        <v/>
      </c>
      <c r="F69" s="2250" t="str">
        <f t="shared" ref="F69:R78" si="13">IF(ISERROR(INDEX(ARGUS_CashFlow1_Array,$B69,F$6)="TRUE"),"",IF(INDEX(ARGUS_CashFlow1_Array,$B69,F$6)="","",IF(OR($E69="Cash Flow Before Debt Service",$E69="  Potential Base Rent"),TEXT(INDEX(ARGUS_CashFlow1_Array,$B69,F$6),"$#,###"),IF($E69="  Average Occupancy Percentage",TEXT(INDEX(ARGUS_CashFlow1_Array,$B69,F$6),"0.0%"),TEXT(INDEX(ARGUS_CashFlow1_Array,$B69,F$6),"#,###")))))</f>
        <v/>
      </c>
      <c r="G69" s="2250" t="str">
        <f t="shared" si="13"/>
        <v/>
      </c>
      <c r="H69" s="2250" t="str">
        <f t="shared" si="13"/>
        <v/>
      </c>
      <c r="I69" s="2250" t="str">
        <f t="shared" si="13"/>
        <v/>
      </c>
      <c r="J69" s="2250" t="str">
        <f t="shared" si="13"/>
        <v/>
      </c>
      <c r="K69" s="2250" t="str">
        <f t="shared" si="13"/>
        <v/>
      </c>
      <c r="L69" s="2250" t="str">
        <f t="shared" si="13"/>
        <v/>
      </c>
      <c r="M69" s="2250" t="str">
        <f t="shared" si="13"/>
        <v/>
      </c>
      <c r="N69" s="2250" t="str">
        <f t="shared" si="13"/>
        <v/>
      </c>
      <c r="O69" s="2250" t="str">
        <f t="shared" si="13"/>
        <v/>
      </c>
      <c r="P69" s="2250" t="str">
        <f t="shared" si="13"/>
        <v/>
      </c>
      <c r="Q69" s="2250" t="str">
        <f t="shared" si="13"/>
        <v/>
      </c>
      <c r="R69" s="2250" t="str">
        <f t="shared" si="13"/>
        <v/>
      </c>
      <c r="S69" s="1215"/>
      <c r="T69" s="272"/>
    </row>
    <row r="70" spans="1:20" ht="15" customHeight="1" x14ac:dyDescent="0.2">
      <c r="A70" s="2637">
        <f t="shared" si="10"/>
        <v>0</v>
      </c>
      <c r="B70" s="284">
        <f t="shared" si="5"/>
        <v>64</v>
      </c>
      <c r="C70" s="1215"/>
      <c r="D70" s="1215"/>
      <c r="E70" s="2248" t="str">
        <f t="shared" si="9"/>
        <v/>
      </c>
      <c r="F70" s="2250" t="str">
        <f t="shared" si="13"/>
        <v/>
      </c>
      <c r="G70" s="2250" t="str">
        <f t="shared" si="13"/>
        <v/>
      </c>
      <c r="H70" s="2250" t="str">
        <f t="shared" si="13"/>
        <v/>
      </c>
      <c r="I70" s="2250" t="str">
        <f t="shared" si="13"/>
        <v/>
      </c>
      <c r="J70" s="2250" t="str">
        <f t="shared" si="13"/>
        <v/>
      </c>
      <c r="K70" s="2250" t="str">
        <f t="shared" si="13"/>
        <v/>
      </c>
      <c r="L70" s="2250" t="str">
        <f t="shared" si="13"/>
        <v/>
      </c>
      <c r="M70" s="2250" t="str">
        <f t="shared" si="13"/>
        <v/>
      </c>
      <c r="N70" s="2250" t="str">
        <f t="shared" si="13"/>
        <v/>
      </c>
      <c r="O70" s="2250" t="str">
        <f t="shared" si="13"/>
        <v/>
      </c>
      <c r="P70" s="2250" t="str">
        <f t="shared" si="13"/>
        <v/>
      </c>
      <c r="Q70" s="2250" t="str">
        <f t="shared" si="13"/>
        <v/>
      </c>
      <c r="R70" s="2250" t="str">
        <f t="shared" si="13"/>
        <v/>
      </c>
      <c r="S70" s="1215"/>
      <c r="T70" s="272"/>
    </row>
    <row r="71" spans="1:20" ht="15" customHeight="1" x14ac:dyDescent="0.2">
      <c r="A71" s="2637">
        <f t="shared" si="10"/>
        <v>0</v>
      </c>
      <c r="B71" s="284">
        <f t="shared" si="5"/>
        <v>65</v>
      </c>
      <c r="C71" s="1215"/>
      <c r="D71" s="1215"/>
      <c r="E71" s="2248" t="str">
        <f t="shared" si="9"/>
        <v/>
      </c>
      <c r="F71" s="2250" t="str">
        <f t="shared" si="13"/>
        <v/>
      </c>
      <c r="G71" s="2250" t="str">
        <f t="shared" si="13"/>
        <v/>
      </c>
      <c r="H71" s="2250" t="str">
        <f t="shared" si="13"/>
        <v/>
      </c>
      <c r="I71" s="2250" t="str">
        <f t="shared" si="13"/>
        <v/>
      </c>
      <c r="J71" s="2250" t="str">
        <f t="shared" si="13"/>
        <v/>
      </c>
      <c r="K71" s="2250" t="str">
        <f t="shared" si="13"/>
        <v/>
      </c>
      <c r="L71" s="2250" t="str">
        <f t="shared" si="13"/>
        <v/>
      </c>
      <c r="M71" s="2250" t="str">
        <f t="shared" si="13"/>
        <v/>
      </c>
      <c r="N71" s="2250" t="str">
        <f t="shared" si="13"/>
        <v/>
      </c>
      <c r="O71" s="2250" t="str">
        <f t="shared" si="13"/>
        <v/>
      </c>
      <c r="P71" s="2250" t="str">
        <f t="shared" si="13"/>
        <v/>
      </c>
      <c r="Q71" s="2250" t="str">
        <f t="shared" si="13"/>
        <v/>
      </c>
      <c r="R71" s="2250" t="str">
        <f t="shared" si="13"/>
        <v/>
      </c>
      <c r="S71" s="1215"/>
      <c r="T71" s="272"/>
    </row>
    <row r="72" spans="1:20" ht="15" customHeight="1" x14ac:dyDescent="0.2">
      <c r="A72" s="2637">
        <f t="shared" si="10"/>
        <v>0</v>
      </c>
      <c r="B72" s="284">
        <f t="shared" si="5"/>
        <v>66</v>
      </c>
      <c r="C72" s="1215"/>
      <c r="D72" s="1215"/>
      <c r="E72" s="2248" t="str">
        <f t="shared" ref="E72:E106" si="14">IF(ISERROR(INDEX(ARGUS_CashFlow1_Array,$B72,E$6)="TRUE"),"",IF(INDEX(ARGUS_CashFlow1_Array,$B72,E$6)="","",IF(OR($E72="Cash Flow Before Debt Service",$E72="  Potential Base Rent"),TEXT(INDEX(ARGUS_CashFlow1_Array,$B72,E$6),"$#,###"),IF($E72="  Average Occupancy Percentage",TEXT(INDEX(ARGUS_CashFlow1_Array,$B72,E$6),"0.0%"),TEXT(INDEX(ARGUS_CashFlow1_Array,$B72,E$6),"#,###")))))</f>
        <v/>
      </c>
      <c r="F72" s="2250" t="str">
        <f t="shared" si="13"/>
        <v/>
      </c>
      <c r="G72" s="2250" t="str">
        <f t="shared" si="13"/>
        <v/>
      </c>
      <c r="H72" s="2250" t="str">
        <f t="shared" si="13"/>
        <v/>
      </c>
      <c r="I72" s="2250" t="str">
        <f t="shared" si="13"/>
        <v/>
      </c>
      <c r="J72" s="2250" t="str">
        <f t="shared" si="13"/>
        <v/>
      </c>
      <c r="K72" s="2250" t="str">
        <f t="shared" si="13"/>
        <v/>
      </c>
      <c r="L72" s="2250" t="str">
        <f t="shared" si="13"/>
        <v/>
      </c>
      <c r="M72" s="2250" t="str">
        <f t="shared" si="13"/>
        <v/>
      </c>
      <c r="N72" s="2250" t="str">
        <f t="shared" si="13"/>
        <v/>
      </c>
      <c r="O72" s="2250" t="str">
        <f t="shared" si="13"/>
        <v/>
      </c>
      <c r="P72" s="2250" t="str">
        <f t="shared" si="13"/>
        <v/>
      </c>
      <c r="Q72" s="2250" t="str">
        <f t="shared" si="13"/>
        <v/>
      </c>
      <c r="R72" s="2250" t="str">
        <f t="shared" si="13"/>
        <v/>
      </c>
      <c r="S72" s="1215"/>
      <c r="T72" s="272"/>
    </row>
    <row r="73" spans="1:20" ht="15" customHeight="1" x14ac:dyDescent="0.2">
      <c r="A73" s="2637">
        <f t="shared" ref="A73:A106" si="15">IF(OR(AND(E72="",E73="",E74=""),E72="Cash Flow Available for Distribution",E73="Cash Flow Available for Distribution",E74="Cash Flow Available for Distribution"),0,1)</f>
        <v>0</v>
      </c>
      <c r="B73" s="284">
        <f t="shared" si="5"/>
        <v>67</v>
      </c>
      <c r="C73" s="1215"/>
      <c r="D73" s="1215"/>
      <c r="E73" s="2248" t="str">
        <f t="shared" si="14"/>
        <v/>
      </c>
      <c r="F73" s="2250" t="str">
        <f t="shared" si="13"/>
        <v/>
      </c>
      <c r="G73" s="2250" t="str">
        <f t="shared" si="13"/>
        <v/>
      </c>
      <c r="H73" s="2250" t="str">
        <f t="shared" si="13"/>
        <v/>
      </c>
      <c r="I73" s="2250" t="str">
        <f t="shared" si="13"/>
        <v/>
      </c>
      <c r="J73" s="2250" t="str">
        <f t="shared" si="13"/>
        <v/>
      </c>
      <c r="K73" s="2250" t="str">
        <f t="shared" si="13"/>
        <v/>
      </c>
      <c r="L73" s="2250" t="str">
        <f t="shared" si="13"/>
        <v/>
      </c>
      <c r="M73" s="2250" t="str">
        <f t="shared" si="13"/>
        <v/>
      </c>
      <c r="N73" s="2250" t="str">
        <f t="shared" si="13"/>
        <v/>
      </c>
      <c r="O73" s="2250" t="str">
        <f t="shared" si="13"/>
        <v/>
      </c>
      <c r="P73" s="2250" t="str">
        <f t="shared" si="13"/>
        <v/>
      </c>
      <c r="Q73" s="2250" t="str">
        <f t="shared" si="13"/>
        <v/>
      </c>
      <c r="R73" s="2250" t="str">
        <f t="shared" si="13"/>
        <v/>
      </c>
      <c r="S73" s="1215"/>
      <c r="T73" s="272"/>
    </row>
    <row r="74" spans="1:20" ht="15" customHeight="1" x14ac:dyDescent="0.2">
      <c r="A74" s="2637">
        <f t="shared" si="15"/>
        <v>0</v>
      </c>
      <c r="B74" s="284">
        <f t="shared" si="5"/>
        <v>68</v>
      </c>
      <c r="C74" s="1215"/>
      <c r="D74" s="1215"/>
      <c r="E74" s="2248" t="str">
        <f t="shared" si="14"/>
        <v/>
      </c>
      <c r="F74" s="2250" t="str">
        <f t="shared" si="13"/>
        <v/>
      </c>
      <c r="G74" s="2250" t="str">
        <f t="shared" si="13"/>
        <v/>
      </c>
      <c r="H74" s="2250" t="str">
        <f t="shared" si="13"/>
        <v/>
      </c>
      <c r="I74" s="2250" t="str">
        <f t="shared" si="13"/>
        <v/>
      </c>
      <c r="J74" s="2250" t="str">
        <f t="shared" si="13"/>
        <v/>
      </c>
      <c r="K74" s="2250" t="str">
        <f t="shared" si="13"/>
        <v/>
      </c>
      <c r="L74" s="2250" t="str">
        <f t="shared" si="13"/>
        <v/>
      </c>
      <c r="M74" s="2250" t="str">
        <f t="shared" si="13"/>
        <v/>
      </c>
      <c r="N74" s="2250" t="str">
        <f t="shared" si="13"/>
        <v/>
      </c>
      <c r="O74" s="2250" t="str">
        <f t="shared" si="13"/>
        <v/>
      </c>
      <c r="P74" s="2250" t="str">
        <f t="shared" si="13"/>
        <v/>
      </c>
      <c r="Q74" s="2250" t="str">
        <f t="shared" si="13"/>
        <v/>
      </c>
      <c r="R74" s="2250" t="str">
        <f t="shared" si="13"/>
        <v/>
      </c>
      <c r="S74" s="1215"/>
      <c r="T74" s="272"/>
    </row>
    <row r="75" spans="1:20" ht="15" customHeight="1" x14ac:dyDescent="0.2">
      <c r="A75" s="2637">
        <f t="shared" si="15"/>
        <v>0</v>
      </c>
      <c r="B75" s="284">
        <f t="shared" ref="B75:B106" si="16">B74+1</f>
        <v>69</v>
      </c>
      <c r="C75" s="1215"/>
      <c r="D75" s="1215"/>
      <c r="E75" s="2248" t="str">
        <f t="shared" si="14"/>
        <v/>
      </c>
      <c r="F75" s="2250" t="str">
        <f t="shared" si="13"/>
        <v/>
      </c>
      <c r="G75" s="2250" t="str">
        <f t="shared" si="13"/>
        <v/>
      </c>
      <c r="H75" s="2250" t="str">
        <f t="shared" si="13"/>
        <v/>
      </c>
      <c r="I75" s="2250" t="str">
        <f t="shared" si="13"/>
        <v/>
      </c>
      <c r="J75" s="2250" t="str">
        <f t="shared" si="13"/>
        <v/>
      </c>
      <c r="K75" s="2250" t="str">
        <f t="shared" si="13"/>
        <v/>
      </c>
      <c r="L75" s="2250" t="str">
        <f t="shared" si="13"/>
        <v/>
      </c>
      <c r="M75" s="2250" t="str">
        <f t="shared" si="13"/>
        <v/>
      </c>
      <c r="N75" s="2250" t="str">
        <f t="shared" si="13"/>
        <v/>
      </c>
      <c r="O75" s="2250" t="str">
        <f t="shared" si="13"/>
        <v/>
      </c>
      <c r="P75" s="2250" t="str">
        <f t="shared" si="13"/>
        <v/>
      </c>
      <c r="Q75" s="2250" t="str">
        <f t="shared" si="13"/>
        <v/>
      </c>
      <c r="R75" s="2250" t="str">
        <f t="shared" si="13"/>
        <v/>
      </c>
      <c r="S75" s="1215"/>
      <c r="T75" s="272"/>
    </row>
    <row r="76" spans="1:20" ht="15" customHeight="1" x14ac:dyDescent="0.2">
      <c r="A76" s="2637">
        <f t="shared" si="15"/>
        <v>0</v>
      </c>
      <c r="B76" s="284">
        <f t="shared" si="16"/>
        <v>70</v>
      </c>
      <c r="C76" s="1215"/>
      <c r="D76" s="1215"/>
      <c r="E76" s="2248" t="str">
        <f t="shared" si="14"/>
        <v/>
      </c>
      <c r="F76" s="2250" t="str">
        <f t="shared" si="13"/>
        <v/>
      </c>
      <c r="G76" s="2250" t="str">
        <f t="shared" si="13"/>
        <v/>
      </c>
      <c r="H76" s="2250" t="str">
        <f t="shared" si="13"/>
        <v/>
      </c>
      <c r="I76" s="2250" t="str">
        <f t="shared" si="13"/>
        <v/>
      </c>
      <c r="J76" s="2250" t="str">
        <f t="shared" si="13"/>
        <v/>
      </c>
      <c r="K76" s="2250" t="str">
        <f t="shared" si="13"/>
        <v/>
      </c>
      <c r="L76" s="2250" t="str">
        <f t="shared" si="13"/>
        <v/>
      </c>
      <c r="M76" s="2250" t="str">
        <f t="shared" si="13"/>
        <v/>
      </c>
      <c r="N76" s="2250" t="str">
        <f t="shared" si="13"/>
        <v/>
      </c>
      <c r="O76" s="2250" t="str">
        <f t="shared" si="13"/>
        <v/>
      </c>
      <c r="P76" s="2250" t="str">
        <f t="shared" si="13"/>
        <v/>
      </c>
      <c r="Q76" s="2250" t="str">
        <f t="shared" si="13"/>
        <v/>
      </c>
      <c r="R76" s="2250" t="str">
        <f t="shared" si="13"/>
        <v/>
      </c>
      <c r="S76" s="1215"/>
      <c r="T76" s="272"/>
    </row>
    <row r="77" spans="1:20" ht="15" customHeight="1" x14ac:dyDescent="0.2">
      <c r="A77" s="2637">
        <f t="shared" si="15"/>
        <v>0</v>
      </c>
      <c r="B77" s="284">
        <f t="shared" si="16"/>
        <v>71</v>
      </c>
      <c r="C77" s="1215"/>
      <c r="D77" s="1215"/>
      <c r="E77" s="2248" t="str">
        <f t="shared" si="14"/>
        <v/>
      </c>
      <c r="F77" s="2250" t="str">
        <f t="shared" si="13"/>
        <v/>
      </c>
      <c r="G77" s="2250" t="str">
        <f t="shared" si="13"/>
        <v/>
      </c>
      <c r="H77" s="2250" t="str">
        <f t="shared" si="13"/>
        <v/>
      </c>
      <c r="I77" s="2250" t="str">
        <f t="shared" si="13"/>
        <v/>
      </c>
      <c r="J77" s="2250" t="str">
        <f t="shared" si="13"/>
        <v/>
      </c>
      <c r="K77" s="2250" t="str">
        <f t="shared" si="13"/>
        <v/>
      </c>
      <c r="L77" s="2250" t="str">
        <f t="shared" si="13"/>
        <v/>
      </c>
      <c r="M77" s="2250" t="str">
        <f t="shared" si="13"/>
        <v/>
      </c>
      <c r="N77" s="2250" t="str">
        <f t="shared" si="13"/>
        <v/>
      </c>
      <c r="O77" s="2250" t="str">
        <f t="shared" si="13"/>
        <v/>
      </c>
      <c r="P77" s="2250" t="str">
        <f t="shared" si="13"/>
        <v/>
      </c>
      <c r="Q77" s="2250" t="str">
        <f t="shared" si="13"/>
        <v/>
      </c>
      <c r="R77" s="2250" t="str">
        <f t="shared" si="13"/>
        <v/>
      </c>
      <c r="S77" s="1215"/>
      <c r="T77" s="272"/>
    </row>
    <row r="78" spans="1:20" ht="15" customHeight="1" x14ac:dyDescent="0.2">
      <c r="A78" s="2637">
        <f t="shared" si="15"/>
        <v>0</v>
      </c>
      <c r="B78" s="284">
        <f t="shared" si="16"/>
        <v>72</v>
      </c>
      <c r="C78" s="1215"/>
      <c r="D78" s="1215"/>
      <c r="E78" s="2248" t="str">
        <f t="shared" si="14"/>
        <v/>
      </c>
      <c r="F78" s="2250" t="str">
        <f t="shared" si="13"/>
        <v/>
      </c>
      <c r="G78" s="2250" t="str">
        <f t="shared" si="13"/>
        <v/>
      </c>
      <c r="H78" s="2250" t="str">
        <f t="shared" si="13"/>
        <v/>
      </c>
      <c r="I78" s="2250" t="str">
        <f t="shared" si="13"/>
        <v/>
      </c>
      <c r="J78" s="2250" t="str">
        <f t="shared" si="13"/>
        <v/>
      </c>
      <c r="K78" s="2250" t="str">
        <f t="shared" si="13"/>
        <v/>
      </c>
      <c r="L78" s="2250" t="str">
        <f t="shared" si="13"/>
        <v/>
      </c>
      <c r="M78" s="2250" t="str">
        <f t="shared" si="13"/>
        <v/>
      </c>
      <c r="N78" s="2250" t="str">
        <f t="shared" si="13"/>
        <v/>
      </c>
      <c r="O78" s="2250" t="str">
        <f t="shared" si="13"/>
        <v/>
      </c>
      <c r="P78" s="2250" t="str">
        <f t="shared" si="13"/>
        <v/>
      </c>
      <c r="Q78" s="2250" t="str">
        <f t="shared" si="13"/>
        <v/>
      </c>
      <c r="R78" s="2250" t="str">
        <f t="shared" si="13"/>
        <v/>
      </c>
      <c r="S78" s="1215"/>
      <c r="T78" s="272"/>
    </row>
    <row r="79" spans="1:20" ht="15" customHeight="1" x14ac:dyDescent="0.2">
      <c r="A79" s="2637">
        <f t="shared" si="15"/>
        <v>0</v>
      </c>
      <c r="B79" s="284">
        <f t="shared" si="16"/>
        <v>73</v>
      </c>
      <c r="C79" s="1215"/>
      <c r="D79" s="1215"/>
      <c r="E79" s="2248" t="str">
        <f t="shared" si="14"/>
        <v/>
      </c>
      <c r="F79" s="2250" t="str">
        <f t="shared" ref="F79:R88" si="17">IF(ISERROR(INDEX(ARGUS_CashFlow1_Array,$B79,F$6)="TRUE"),"",IF(INDEX(ARGUS_CashFlow1_Array,$B79,F$6)="","",IF(OR($E79="Cash Flow Before Debt Service",$E79="  Potential Base Rent"),TEXT(INDEX(ARGUS_CashFlow1_Array,$B79,F$6),"$#,###"),IF($E79="  Average Occupancy Percentage",TEXT(INDEX(ARGUS_CashFlow1_Array,$B79,F$6),"0.0%"),TEXT(INDEX(ARGUS_CashFlow1_Array,$B79,F$6),"#,###")))))</f>
        <v/>
      </c>
      <c r="G79" s="2250" t="str">
        <f t="shared" si="17"/>
        <v/>
      </c>
      <c r="H79" s="2250" t="str">
        <f t="shared" si="17"/>
        <v/>
      </c>
      <c r="I79" s="2250" t="str">
        <f t="shared" si="17"/>
        <v/>
      </c>
      <c r="J79" s="2250" t="str">
        <f t="shared" si="17"/>
        <v/>
      </c>
      <c r="K79" s="2250" t="str">
        <f t="shared" si="17"/>
        <v/>
      </c>
      <c r="L79" s="2250" t="str">
        <f t="shared" si="17"/>
        <v/>
      </c>
      <c r="M79" s="2250" t="str">
        <f t="shared" si="17"/>
        <v/>
      </c>
      <c r="N79" s="2250" t="str">
        <f t="shared" si="17"/>
        <v/>
      </c>
      <c r="O79" s="2250" t="str">
        <f t="shared" si="17"/>
        <v/>
      </c>
      <c r="P79" s="2250" t="str">
        <f t="shared" si="17"/>
        <v/>
      </c>
      <c r="Q79" s="2250" t="str">
        <f t="shared" si="17"/>
        <v/>
      </c>
      <c r="R79" s="2250" t="str">
        <f t="shared" si="17"/>
        <v/>
      </c>
      <c r="S79" s="1215"/>
      <c r="T79" s="272"/>
    </row>
    <row r="80" spans="1:20" ht="15" customHeight="1" x14ac:dyDescent="0.2">
      <c r="A80" s="2637">
        <f t="shared" si="15"/>
        <v>0</v>
      </c>
      <c r="B80" s="284">
        <f t="shared" si="16"/>
        <v>74</v>
      </c>
      <c r="C80" s="1215"/>
      <c r="D80" s="1215"/>
      <c r="E80" s="2248" t="str">
        <f t="shared" si="14"/>
        <v/>
      </c>
      <c r="F80" s="2250" t="str">
        <f t="shared" si="17"/>
        <v/>
      </c>
      <c r="G80" s="2250" t="str">
        <f t="shared" si="17"/>
        <v/>
      </c>
      <c r="H80" s="2250" t="str">
        <f t="shared" si="17"/>
        <v/>
      </c>
      <c r="I80" s="2250" t="str">
        <f t="shared" si="17"/>
        <v/>
      </c>
      <c r="J80" s="2250" t="str">
        <f t="shared" si="17"/>
        <v/>
      </c>
      <c r="K80" s="2250" t="str">
        <f t="shared" si="17"/>
        <v/>
      </c>
      <c r="L80" s="2250" t="str">
        <f t="shared" si="17"/>
        <v/>
      </c>
      <c r="M80" s="2250" t="str">
        <f t="shared" si="17"/>
        <v/>
      </c>
      <c r="N80" s="2250" t="str">
        <f t="shared" si="17"/>
        <v/>
      </c>
      <c r="O80" s="2250" t="str">
        <f t="shared" si="17"/>
        <v/>
      </c>
      <c r="P80" s="2250" t="str">
        <f t="shared" si="17"/>
        <v/>
      </c>
      <c r="Q80" s="2250" t="str">
        <f t="shared" si="17"/>
        <v/>
      </c>
      <c r="R80" s="2250" t="str">
        <f t="shared" si="17"/>
        <v/>
      </c>
      <c r="S80" s="1215"/>
      <c r="T80" s="272"/>
    </row>
    <row r="81" spans="1:20" ht="15" customHeight="1" x14ac:dyDescent="0.2">
      <c r="A81" s="2637">
        <f t="shared" si="15"/>
        <v>0</v>
      </c>
      <c r="B81" s="284">
        <f t="shared" si="16"/>
        <v>75</v>
      </c>
      <c r="C81" s="1215"/>
      <c r="D81" s="1215"/>
      <c r="E81" s="2248" t="str">
        <f t="shared" si="14"/>
        <v/>
      </c>
      <c r="F81" s="2250" t="str">
        <f t="shared" si="17"/>
        <v/>
      </c>
      <c r="G81" s="2250" t="str">
        <f t="shared" si="17"/>
        <v/>
      </c>
      <c r="H81" s="2250" t="str">
        <f t="shared" si="17"/>
        <v/>
      </c>
      <c r="I81" s="2250" t="str">
        <f t="shared" si="17"/>
        <v/>
      </c>
      <c r="J81" s="2250" t="str">
        <f t="shared" si="17"/>
        <v/>
      </c>
      <c r="K81" s="2250" t="str">
        <f t="shared" si="17"/>
        <v/>
      </c>
      <c r="L81" s="2250" t="str">
        <f t="shared" si="17"/>
        <v/>
      </c>
      <c r="M81" s="2250" t="str">
        <f t="shared" si="17"/>
        <v/>
      </c>
      <c r="N81" s="2250" t="str">
        <f t="shared" si="17"/>
        <v/>
      </c>
      <c r="O81" s="2250" t="str">
        <f t="shared" si="17"/>
        <v/>
      </c>
      <c r="P81" s="2250" t="str">
        <f t="shared" si="17"/>
        <v/>
      </c>
      <c r="Q81" s="2250" t="str">
        <f t="shared" si="17"/>
        <v/>
      </c>
      <c r="R81" s="2250" t="str">
        <f t="shared" si="17"/>
        <v/>
      </c>
      <c r="S81" s="1215"/>
      <c r="T81" s="272"/>
    </row>
    <row r="82" spans="1:20" ht="15" customHeight="1" x14ac:dyDescent="0.2">
      <c r="A82" s="2637">
        <f t="shared" si="15"/>
        <v>0</v>
      </c>
      <c r="B82" s="284">
        <f t="shared" si="16"/>
        <v>76</v>
      </c>
      <c r="C82" s="1215"/>
      <c r="D82" s="1215"/>
      <c r="E82" s="2248" t="str">
        <f t="shared" si="14"/>
        <v/>
      </c>
      <c r="F82" s="2250" t="str">
        <f t="shared" si="17"/>
        <v/>
      </c>
      <c r="G82" s="2250" t="str">
        <f t="shared" si="17"/>
        <v/>
      </c>
      <c r="H82" s="2250" t="str">
        <f t="shared" si="17"/>
        <v/>
      </c>
      <c r="I82" s="2250" t="str">
        <f t="shared" si="17"/>
        <v/>
      </c>
      <c r="J82" s="2250" t="str">
        <f t="shared" si="17"/>
        <v/>
      </c>
      <c r="K82" s="2250" t="str">
        <f t="shared" si="17"/>
        <v/>
      </c>
      <c r="L82" s="2250" t="str">
        <f t="shared" si="17"/>
        <v/>
      </c>
      <c r="M82" s="2250" t="str">
        <f t="shared" si="17"/>
        <v/>
      </c>
      <c r="N82" s="2250" t="str">
        <f t="shared" si="17"/>
        <v/>
      </c>
      <c r="O82" s="2250" t="str">
        <f t="shared" si="17"/>
        <v/>
      </c>
      <c r="P82" s="2250" t="str">
        <f t="shared" si="17"/>
        <v/>
      </c>
      <c r="Q82" s="2250" t="str">
        <f t="shared" si="17"/>
        <v/>
      </c>
      <c r="R82" s="2250" t="str">
        <f t="shared" si="17"/>
        <v/>
      </c>
      <c r="S82" s="1215"/>
      <c r="T82" s="272"/>
    </row>
    <row r="83" spans="1:20" ht="15" customHeight="1" x14ac:dyDescent="0.2">
      <c r="A83" s="2637">
        <f t="shared" si="15"/>
        <v>0</v>
      </c>
      <c r="B83" s="284">
        <f t="shared" si="16"/>
        <v>77</v>
      </c>
      <c r="C83" s="1215"/>
      <c r="D83" s="1215"/>
      <c r="E83" s="2248" t="str">
        <f t="shared" si="14"/>
        <v/>
      </c>
      <c r="F83" s="2250" t="str">
        <f t="shared" si="17"/>
        <v/>
      </c>
      <c r="G83" s="2250" t="str">
        <f t="shared" si="17"/>
        <v/>
      </c>
      <c r="H83" s="2250" t="str">
        <f t="shared" si="17"/>
        <v/>
      </c>
      <c r="I83" s="2250" t="str">
        <f t="shared" si="17"/>
        <v/>
      </c>
      <c r="J83" s="2250" t="str">
        <f t="shared" si="17"/>
        <v/>
      </c>
      <c r="K83" s="2250" t="str">
        <f t="shared" si="17"/>
        <v/>
      </c>
      <c r="L83" s="2250" t="str">
        <f t="shared" si="17"/>
        <v/>
      </c>
      <c r="M83" s="2250" t="str">
        <f t="shared" si="17"/>
        <v/>
      </c>
      <c r="N83" s="2250" t="str">
        <f t="shared" si="17"/>
        <v/>
      </c>
      <c r="O83" s="2250" t="str">
        <f t="shared" si="17"/>
        <v/>
      </c>
      <c r="P83" s="2250" t="str">
        <f t="shared" si="17"/>
        <v/>
      </c>
      <c r="Q83" s="2250" t="str">
        <f t="shared" si="17"/>
        <v/>
      </c>
      <c r="R83" s="2250" t="str">
        <f t="shared" si="17"/>
        <v/>
      </c>
      <c r="S83" s="1215"/>
      <c r="T83" s="272"/>
    </row>
    <row r="84" spans="1:20" ht="15" customHeight="1" x14ac:dyDescent="0.2">
      <c r="A84" s="2637">
        <f t="shared" si="15"/>
        <v>0</v>
      </c>
      <c r="B84" s="284">
        <f t="shared" si="16"/>
        <v>78</v>
      </c>
      <c r="C84" s="1215"/>
      <c r="D84" s="1215"/>
      <c r="E84" s="2248" t="str">
        <f t="shared" si="14"/>
        <v/>
      </c>
      <c r="F84" s="2250" t="str">
        <f t="shared" si="17"/>
        <v/>
      </c>
      <c r="G84" s="2250" t="str">
        <f t="shared" si="17"/>
        <v/>
      </c>
      <c r="H84" s="2250" t="str">
        <f t="shared" si="17"/>
        <v/>
      </c>
      <c r="I84" s="2250" t="str">
        <f t="shared" si="17"/>
        <v/>
      </c>
      <c r="J84" s="2250" t="str">
        <f t="shared" si="17"/>
        <v/>
      </c>
      <c r="K84" s="2250" t="str">
        <f t="shared" si="17"/>
        <v/>
      </c>
      <c r="L84" s="2250" t="str">
        <f t="shared" si="17"/>
        <v/>
      </c>
      <c r="M84" s="2250" t="str">
        <f t="shared" si="17"/>
        <v/>
      </c>
      <c r="N84" s="2250" t="str">
        <f t="shared" si="17"/>
        <v/>
      </c>
      <c r="O84" s="2250" t="str">
        <f t="shared" si="17"/>
        <v/>
      </c>
      <c r="P84" s="2250" t="str">
        <f t="shared" si="17"/>
        <v/>
      </c>
      <c r="Q84" s="2250" t="str">
        <f t="shared" si="17"/>
        <v/>
      </c>
      <c r="R84" s="2250" t="str">
        <f t="shared" si="17"/>
        <v/>
      </c>
      <c r="S84" s="1215"/>
      <c r="T84" s="272"/>
    </row>
    <row r="85" spans="1:20" ht="15" customHeight="1" x14ac:dyDescent="0.2">
      <c r="A85" s="2637">
        <f t="shared" si="15"/>
        <v>0</v>
      </c>
      <c r="B85" s="284">
        <f t="shared" si="16"/>
        <v>79</v>
      </c>
      <c r="C85" s="1215"/>
      <c r="D85" s="1215"/>
      <c r="E85" s="2248" t="str">
        <f t="shared" si="14"/>
        <v/>
      </c>
      <c r="F85" s="2250" t="str">
        <f t="shared" si="17"/>
        <v/>
      </c>
      <c r="G85" s="2250" t="str">
        <f t="shared" si="17"/>
        <v/>
      </c>
      <c r="H85" s="2250" t="str">
        <f t="shared" si="17"/>
        <v/>
      </c>
      <c r="I85" s="2250" t="str">
        <f t="shared" si="17"/>
        <v/>
      </c>
      <c r="J85" s="2250" t="str">
        <f t="shared" si="17"/>
        <v/>
      </c>
      <c r="K85" s="2250" t="str">
        <f t="shared" si="17"/>
        <v/>
      </c>
      <c r="L85" s="2250" t="str">
        <f t="shared" si="17"/>
        <v/>
      </c>
      <c r="M85" s="2250" t="str">
        <f t="shared" si="17"/>
        <v/>
      </c>
      <c r="N85" s="2250" t="str">
        <f t="shared" si="17"/>
        <v/>
      </c>
      <c r="O85" s="2250" t="str">
        <f t="shared" si="17"/>
        <v/>
      </c>
      <c r="P85" s="2250" t="str">
        <f t="shared" si="17"/>
        <v/>
      </c>
      <c r="Q85" s="2250" t="str">
        <f t="shared" si="17"/>
        <v/>
      </c>
      <c r="R85" s="2250" t="str">
        <f t="shared" si="17"/>
        <v/>
      </c>
      <c r="S85" s="1215"/>
      <c r="T85" s="272"/>
    </row>
    <row r="86" spans="1:20" ht="15" customHeight="1" x14ac:dyDescent="0.2">
      <c r="A86" s="2637">
        <f t="shared" si="15"/>
        <v>0</v>
      </c>
      <c r="B86" s="284">
        <f t="shared" si="16"/>
        <v>80</v>
      </c>
      <c r="C86" s="1215"/>
      <c r="D86" s="1215"/>
      <c r="E86" s="2248" t="str">
        <f t="shared" si="14"/>
        <v/>
      </c>
      <c r="F86" s="2250" t="str">
        <f t="shared" si="17"/>
        <v/>
      </c>
      <c r="G86" s="2250" t="str">
        <f t="shared" si="17"/>
        <v/>
      </c>
      <c r="H86" s="2250" t="str">
        <f t="shared" si="17"/>
        <v/>
      </c>
      <c r="I86" s="2250" t="str">
        <f t="shared" si="17"/>
        <v/>
      </c>
      <c r="J86" s="2250" t="str">
        <f t="shared" si="17"/>
        <v/>
      </c>
      <c r="K86" s="2250" t="str">
        <f t="shared" si="17"/>
        <v/>
      </c>
      <c r="L86" s="2250" t="str">
        <f t="shared" si="17"/>
        <v/>
      </c>
      <c r="M86" s="2250" t="str">
        <f t="shared" si="17"/>
        <v/>
      </c>
      <c r="N86" s="2250" t="str">
        <f t="shared" si="17"/>
        <v/>
      </c>
      <c r="O86" s="2250" t="str">
        <f t="shared" si="17"/>
        <v/>
      </c>
      <c r="P86" s="2250" t="str">
        <f t="shared" si="17"/>
        <v/>
      </c>
      <c r="Q86" s="2250" t="str">
        <f t="shared" si="17"/>
        <v/>
      </c>
      <c r="R86" s="2250" t="str">
        <f t="shared" si="17"/>
        <v/>
      </c>
      <c r="S86" s="1215"/>
      <c r="T86" s="272"/>
    </row>
    <row r="87" spans="1:20" ht="15" customHeight="1" x14ac:dyDescent="0.2">
      <c r="A87" s="2637">
        <f t="shared" si="15"/>
        <v>0</v>
      </c>
      <c r="B87" s="284">
        <f t="shared" si="16"/>
        <v>81</v>
      </c>
      <c r="C87" s="1215"/>
      <c r="D87" s="1215"/>
      <c r="E87" s="2248" t="str">
        <f t="shared" si="14"/>
        <v/>
      </c>
      <c r="F87" s="2250" t="str">
        <f t="shared" si="17"/>
        <v/>
      </c>
      <c r="G87" s="2250" t="str">
        <f t="shared" si="17"/>
        <v/>
      </c>
      <c r="H87" s="2250" t="str">
        <f t="shared" si="17"/>
        <v/>
      </c>
      <c r="I87" s="2250" t="str">
        <f t="shared" si="17"/>
        <v/>
      </c>
      <c r="J87" s="2250" t="str">
        <f t="shared" si="17"/>
        <v/>
      </c>
      <c r="K87" s="2250" t="str">
        <f t="shared" si="17"/>
        <v/>
      </c>
      <c r="L87" s="2250" t="str">
        <f t="shared" si="17"/>
        <v/>
      </c>
      <c r="M87" s="2250" t="str">
        <f t="shared" si="17"/>
        <v/>
      </c>
      <c r="N87" s="2250" t="str">
        <f t="shared" si="17"/>
        <v/>
      </c>
      <c r="O87" s="2250" t="str">
        <f t="shared" si="17"/>
        <v/>
      </c>
      <c r="P87" s="2250" t="str">
        <f t="shared" si="17"/>
        <v/>
      </c>
      <c r="Q87" s="2250" t="str">
        <f t="shared" si="17"/>
        <v/>
      </c>
      <c r="R87" s="2250" t="str">
        <f t="shared" si="17"/>
        <v/>
      </c>
      <c r="S87" s="1215"/>
      <c r="T87" s="272"/>
    </row>
    <row r="88" spans="1:20" ht="15" customHeight="1" x14ac:dyDescent="0.2">
      <c r="A88" s="2637">
        <f t="shared" si="15"/>
        <v>0</v>
      </c>
      <c r="B88" s="284">
        <f t="shared" si="16"/>
        <v>82</v>
      </c>
      <c r="C88" s="1215"/>
      <c r="D88" s="1215"/>
      <c r="E88" s="2248" t="str">
        <f t="shared" si="14"/>
        <v/>
      </c>
      <c r="F88" s="2250" t="str">
        <f t="shared" si="17"/>
        <v/>
      </c>
      <c r="G88" s="2250" t="str">
        <f t="shared" si="17"/>
        <v/>
      </c>
      <c r="H88" s="2250" t="str">
        <f t="shared" si="17"/>
        <v/>
      </c>
      <c r="I88" s="2250" t="str">
        <f t="shared" si="17"/>
        <v/>
      </c>
      <c r="J88" s="2250" t="str">
        <f t="shared" si="17"/>
        <v/>
      </c>
      <c r="K88" s="2250" t="str">
        <f t="shared" si="17"/>
        <v/>
      </c>
      <c r="L88" s="2250" t="str">
        <f t="shared" si="17"/>
        <v/>
      </c>
      <c r="M88" s="2250" t="str">
        <f t="shared" si="17"/>
        <v/>
      </c>
      <c r="N88" s="2250" t="str">
        <f t="shared" si="17"/>
        <v/>
      </c>
      <c r="O88" s="2250" t="str">
        <f t="shared" si="17"/>
        <v/>
      </c>
      <c r="P88" s="2250" t="str">
        <f t="shared" si="17"/>
        <v/>
      </c>
      <c r="Q88" s="2250" t="str">
        <f t="shared" si="17"/>
        <v/>
      </c>
      <c r="R88" s="2250" t="str">
        <f t="shared" si="17"/>
        <v/>
      </c>
      <c r="S88" s="1215"/>
      <c r="T88" s="272"/>
    </row>
    <row r="89" spans="1:20" ht="15" customHeight="1" x14ac:dyDescent="0.2">
      <c r="A89" s="2637">
        <f t="shared" si="15"/>
        <v>0</v>
      </c>
      <c r="B89" s="284">
        <f t="shared" si="16"/>
        <v>83</v>
      </c>
      <c r="C89" s="1215"/>
      <c r="D89" s="1215"/>
      <c r="E89" s="2248" t="str">
        <f t="shared" si="14"/>
        <v/>
      </c>
      <c r="F89" s="2250" t="str">
        <f t="shared" ref="F89:R98" si="18">IF(ISERROR(INDEX(ARGUS_CashFlow1_Array,$B89,F$6)="TRUE"),"",IF(INDEX(ARGUS_CashFlow1_Array,$B89,F$6)="","",IF(OR($E89="Cash Flow Before Debt Service",$E89="  Potential Base Rent"),TEXT(INDEX(ARGUS_CashFlow1_Array,$B89,F$6),"$#,###"),IF($E89="  Average Occupancy Percentage",TEXT(INDEX(ARGUS_CashFlow1_Array,$B89,F$6),"0.0%"),TEXT(INDEX(ARGUS_CashFlow1_Array,$B89,F$6),"#,###")))))</f>
        <v/>
      </c>
      <c r="G89" s="2250" t="str">
        <f t="shared" si="18"/>
        <v/>
      </c>
      <c r="H89" s="2250" t="str">
        <f t="shared" si="18"/>
        <v/>
      </c>
      <c r="I89" s="2250" t="str">
        <f t="shared" si="18"/>
        <v/>
      </c>
      <c r="J89" s="2250" t="str">
        <f t="shared" si="18"/>
        <v/>
      </c>
      <c r="K89" s="2250" t="str">
        <f t="shared" si="18"/>
        <v/>
      </c>
      <c r="L89" s="2250" t="str">
        <f t="shared" si="18"/>
        <v/>
      </c>
      <c r="M89" s="2250" t="str">
        <f t="shared" si="18"/>
        <v/>
      </c>
      <c r="N89" s="2250" t="str">
        <f t="shared" si="18"/>
        <v/>
      </c>
      <c r="O89" s="2250" t="str">
        <f t="shared" si="18"/>
        <v/>
      </c>
      <c r="P89" s="2250" t="str">
        <f t="shared" si="18"/>
        <v/>
      </c>
      <c r="Q89" s="2250" t="str">
        <f t="shared" si="18"/>
        <v/>
      </c>
      <c r="R89" s="2250" t="str">
        <f t="shared" si="18"/>
        <v/>
      </c>
      <c r="S89" s="1215"/>
      <c r="T89" s="272"/>
    </row>
    <row r="90" spans="1:20" ht="15" customHeight="1" x14ac:dyDescent="0.2">
      <c r="A90" s="2637">
        <f t="shared" si="15"/>
        <v>0</v>
      </c>
      <c r="B90" s="284">
        <f t="shared" si="16"/>
        <v>84</v>
      </c>
      <c r="C90" s="1215"/>
      <c r="D90" s="1215"/>
      <c r="E90" s="2248" t="str">
        <f t="shared" si="14"/>
        <v/>
      </c>
      <c r="F90" s="2250" t="str">
        <f t="shared" si="18"/>
        <v/>
      </c>
      <c r="G90" s="2250" t="str">
        <f t="shared" si="18"/>
        <v/>
      </c>
      <c r="H90" s="2250" t="str">
        <f t="shared" si="18"/>
        <v/>
      </c>
      <c r="I90" s="2250" t="str">
        <f t="shared" si="18"/>
        <v/>
      </c>
      <c r="J90" s="2250" t="str">
        <f t="shared" si="18"/>
        <v/>
      </c>
      <c r="K90" s="2250" t="str">
        <f t="shared" si="18"/>
        <v/>
      </c>
      <c r="L90" s="2250" t="str">
        <f t="shared" si="18"/>
        <v/>
      </c>
      <c r="M90" s="2250" t="str">
        <f t="shared" si="18"/>
        <v/>
      </c>
      <c r="N90" s="2250" t="str">
        <f t="shared" si="18"/>
        <v/>
      </c>
      <c r="O90" s="2250" t="str">
        <f t="shared" si="18"/>
        <v/>
      </c>
      <c r="P90" s="2250" t="str">
        <f t="shared" si="18"/>
        <v/>
      </c>
      <c r="Q90" s="2250" t="str">
        <f t="shared" si="18"/>
        <v/>
      </c>
      <c r="R90" s="2250" t="str">
        <f t="shared" si="18"/>
        <v/>
      </c>
      <c r="S90" s="1215"/>
      <c r="T90" s="272"/>
    </row>
    <row r="91" spans="1:20" ht="15" customHeight="1" x14ac:dyDescent="0.2">
      <c r="A91" s="2637">
        <f t="shared" si="15"/>
        <v>0</v>
      </c>
      <c r="B91" s="284">
        <f t="shared" si="16"/>
        <v>85</v>
      </c>
      <c r="C91" s="1215"/>
      <c r="D91" s="1215"/>
      <c r="E91" s="2248" t="str">
        <f t="shared" si="14"/>
        <v/>
      </c>
      <c r="F91" s="2250" t="str">
        <f t="shared" si="18"/>
        <v/>
      </c>
      <c r="G91" s="2250" t="str">
        <f t="shared" si="18"/>
        <v/>
      </c>
      <c r="H91" s="2250" t="str">
        <f t="shared" si="18"/>
        <v/>
      </c>
      <c r="I91" s="2250" t="str">
        <f t="shared" si="18"/>
        <v/>
      </c>
      <c r="J91" s="2250" t="str">
        <f t="shared" si="18"/>
        <v/>
      </c>
      <c r="K91" s="2250" t="str">
        <f t="shared" si="18"/>
        <v/>
      </c>
      <c r="L91" s="2250" t="str">
        <f t="shared" si="18"/>
        <v/>
      </c>
      <c r="M91" s="2250" t="str">
        <f t="shared" si="18"/>
        <v/>
      </c>
      <c r="N91" s="2250" t="str">
        <f t="shared" si="18"/>
        <v/>
      </c>
      <c r="O91" s="2250" t="str">
        <f t="shared" si="18"/>
        <v/>
      </c>
      <c r="P91" s="2250" t="str">
        <f t="shared" si="18"/>
        <v/>
      </c>
      <c r="Q91" s="2250" t="str">
        <f t="shared" si="18"/>
        <v/>
      </c>
      <c r="R91" s="2250" t="str">
        <f t="shared" si="18"/>
        <v/>
      </c>
      <c r="S91" s="1215"/>
      <c r="T91" s="272"/>
    </row>
    <row r="92" spans="1:20" ht="15" customHeight="1" x14ac:dyDescent="0.2">
      <c r="A92" s="2637">
        <f t="shared" si="15"/>
        <v>0</v>
      </c>
      <c r="B92" s="284">
        <f t="shared" si="16"/>
        <v>86</v>
      </c>
      <c r="C92" s="1215"/>
      <c r="D92" s="1215"/>
      <c r="E92" s="2248" t="str">
        <f t="shared" si="14"/>
        <v/>
      </c>
      <c r="F92" s="2250" t="str">
        <f t="shared" si="18"/>
        <v/>
      </c>
      <c r="G92" s="2250" t="str">
        <f t="shared" si="18"/>
        <v/>
      </c>
      <c r="H92" s="2250" t="str">
        <f t="shared" si="18"/>
        <v/>
      </c>
      <c r="I92" s="2250" t="str">
        <f t="shared" si="18"/>
        <v/>
      </c>
      <c r="J92" s="2250" t="str">
        <f t="shared" si="18"/>
        <v/>
      </c>
      <c r="K92" s="2250" t="str">
        <f t="shared" si="18"/>
        <v/>
      </c>
      <c r="L92" s="2250" t="str">
        <f t="shared" si="18"/>
        <v/>
      </c>
      <c r="M92" s="2250" t="str">
        <f t="shared" si="18"/>
        <v/>
      </c>
      <c r="N92" s="2250" t="str">
        <f t="shared" si="18"/>
        <v/>
      </c>
      <c r="O92" s="2250" t="str">
        <f t="shared" si="18"/>
        <v/>
      </c>
      <c r="P92" s="2250" t="str">
        <f t="shared" si="18"/>
        <v/>
      </c>
      <c r="Q92" s="2250" t="str">
        <f t="shared" si="18"/>
        <v/>
      </c>
      <c r="R92" s="2250" t="str">
        <f t="shared" si="18"/>
        <v/>
      </c>
      <c r="S92" s="1215"/>
      <c r="T92" s="272"/>
    </row>
    <row r="93" spans="1:20" ht="15" customHeight="1" x14ac:dyDescent="0.2">
      <c r="A93" s="2637">
        <f t="shared" si="15"/>
        <v>0</v>
      </c>
      <c r="B93" s="284">
        <f t="shared" si="16"/>
        <v>87</v>
      </c>
      <c r="C93" s="1215"/>
      <c r="D93" s="1215"/>
      <c r="E93" s="2248" t="str">
        <f t="shared" si="14"/>
        <v/>
      </c>
      <c r="F93" s="2250" t="str">
        <f t="shared" si="18"/>
        <v/>
      </c>
      <c r="G93" s="2250" t="str">
        <f t="shared" si="18"/>
        <v/>
      </c>
      <c r="H93" s="2250" t="str">
        <f t="shared" si="18"/>
        <v/>
      </c>
      <c r="I93" s="2250" t="str">
        <f t="shared" si="18"/>
        <v/>
      </c>
      <c r="J93" s="2250" t="str">
        <f t="shared" si="18"/>
        <v/>
      </c>
      <c r="K93" s="2250" t="str">
        <f t="shared" si="18"/>
        <v/>
      </c>
      <c r="L93" s="2250" t="str">
        <f t="shared" si="18"/>
        <v/>
      </c>
      <c r="M93" s="2250" t="str">
        <f t="shared" si="18"/>
        <v/>
      </c>
      <c r="N93" s="2250" t="str">
        <f t="shared" si="18"/>
        <v/>
      </c>
      <c r="O93" s="2250" t="str">
        <f t="shared" si="18"/>
        <v/>
      </c>
      <c r="P93" s="2250" t="str">
        <f t="shared" si="18"/>
        <v/>
      </c>
      <c r="Q93" s="2250" t="str">
        <f t="shared" si="18"/>
        <v/>
      </c>
      <c r="R93" s="2250" t="str">
        <f t="shared" si="18"/>
        <v/>
      </c>
      <c r="S93" s="1215"/>
      <c r="T93" s="272"/>
    </row>
    <row r="94" spans="1:20" ht="15" customHeight="1" x14ac:dyDescent="0.2">
      <c r="A94" s="2637">
        <f t="shared" si="15"/>
        <v>0</v>
      </c>
      <c r="B94" s="284">
        <f t="shared" si="16"/>
        <v>88</v>
      </c>
      <c r="C94" s="1215"/>
      <c r="D94" s="1215"/>
      <c r="E94" s="2248" t="str">
        <f t="shared" si="14"/>
        <v/>
      </c>
      <c r="F94" s="2250" t="str">
        <f t="shared" si="18"/>
        <v/>
      </c>
      <c r="G94" s="2250" t="str">
        <f t="shared" si="18"/>
        <v/>
      </c>
      <c r="H94" s="2250" t="str">
        <f t="shared" si="18"/>
        <v/>
      </c>
      <c r="I94" s="2250" t="str">
        <f t="shared" si="18"/>
        <v/>
      </c>
      <c r="J94" s="2250" t="str">
        <f t="shared" si="18"/>
        <v/>
      </c>
      <c r="K94" s="2250" t="str">
        <f t="shared" si="18"/>
        <v/>
      </c>
      <c r="L94" s="2250" t="str">
        <f t="shared" si="18"/>
        <v/>
      </c>
      <c r="M94" s="2250" t="str">
        <f t="shared" si="18"/>
        <v/>
      </c>
      <c r="N94" s="2250" t="str">
        <f t="shared" si="18"/>
        <v/>
      </c>
      <c r="O94" s="2250" t="str">
        <f t="shared" si="18"/>
        <v/>
      </c>
      <c r="P94" s="2250" t="str">
        <f t="shared" si="18"/>
        <v/>
      </c>
      <c r="Q94" s="2250" t="str">
        <f t="shared" si="18"/>
        <v/>
      </c>
      <c r="R94" s="2250" t="str">
        <f t="shared" si="18"/>
        <v/>
      </c>
      <c r="S94" s="1215"/>
      <c r="T94" s="272"/>
    </row>
    <row r="95" spans="1:20" ht="15" customHeight="1" x14ac:dyDescent="0.2">
      <c r="A95" s="2637">
        <f t="shared" si="15"/>
        <v>0</v>
      </c>
      <c r="B95" s="284">
        <f t="shared" si="16"/>
        <v>89</v>
      </c>
      <c r="C95" s="1215"/>
      <c r="D95" s="1215"/>
      <c r="E95" s="2248" t="str">
        <f t="shared" si="14"/>
        <v/>
      </c>
      <c r="F95" s="2250" t="str">
        <f t="shared" si="18"/>
        <v/>
      </c>
      <c r="G95" s="2250" t="str">
        <f t="shared" si="18"/>
        <v/>
      </c>
      <c r="H95" s="2250" t="str">
        <f t="shared" si="18"/>
        <v/>
      </c>
      <c r="I95" s="2250" t="str">
        <f t="shared" si="18"/>
        <v/>
      </c>
      <c r="J95" s="2250" t="str">
        <f t="shared" si="18"/>
        <v/>
      </c>
      <c r="K95" s="2250" t="str">
        <f t="shared" si="18"/>
        <v/>
      </c>
      <c r="L95" s="2250" t="str">
        <f t="shared" si="18"/>
        <v/>
      </c>
      <c r="M95" s="2250" t="str">
        <f t="shared" si="18"/>
        <v/>
      </c>
      <c r="N95" s="2250" t="str">
        <f t="shared" si="18"/>
        <v/>
      </c>
      <c r="O95" s="2250" t="str">
        <f t="shared" si="18"/>
        <v/>
      </c>
      <c r="P95" s="2250" t="str">
        <f t="shared" si="18"/>
        <v/>
      </c>
      <c r="Q95" s="2250" t="str">
        <f t="shared" si="18"/>
        <v/>
      </c>
      <c r="R95" s="2250" t="str">
        <f t="shared" si="18"/>
        <v/>
      </c>
      <c r="S95" s="1215"/>
      <c r="T95" s="272"/>
    </row>
    <row r="96" spans="1:20" ht="15" customHeight="1" x14ac:dyDescent="0.2">
      <c r="A96" s="2637">
        <f t="shared" si="15"/>
        <v>0</v>
      </c>
      <c r="B96" s="284">
        <f t="shared" si="16"/>
        <v>90</v>
      </c>
      <c r="C96" s="1215"/>
      <c r="D96" s="1215"/>
      <c r="E96" s="2248" t="str">
        <f t="shared" si="14"/>
        <v/>
      </c>
      <c r="F96" s="2250" t="str">
        <f t="shared" si="18"/>
        <v/>
      </c>
      <c r="G96" s="2250" t="str">
        <f t="shared" si="18"/>
        <v/>
      </c>
      <c r="H96" s="2250" t="str">
        <f t="shared" si="18"/>
        <v/>
      </c>
      <c r="I96" s="2250" t="str">
        <f t="shared" si="18"/>
        <v/>
      </c>
      <c r="J96" s="2250" t="str">
        <f t="shared" si="18"/>
        <v/>
      </c>
      <c r="K96" s="2250" t="str">
        <f t="shared" si="18"/>
        <v/>
      </c>
      <c r="L96" s="2250" t="str">
        <f t="shared" si="18"/>
        <v/>
      </c>
      <c r="M96" s="2250" t="str">
        <f t="shared" si="18"/>
        <v/>
      </c>
      <c r="N96" s="2250" t="str">
        <f t="shared" si="18"/>
        <v/>
      </c>
      <c r="O96" s="2250" t="str">
        <f t="shared" si="18"/>
        <v/>
      </c>
      <c r="P96" s="2250" t="str">
        <f t="shared" si="18"/>
        <v/>
      </c>
      <c r="Q96" s="2250" t="str">
        <f t="shared" si="18"/>
        <v/>
      </c>
      <c r="R96" s="2250" t="str">
        <f t="shared" si="18"/>
        <v/>
      </c>
      <c r="S96" s="1215"/>
      <c r="T96" s="272"/>
    </row>
    <row r="97" spans="1:20" ht="15" customHeight="1" x14ac:dyDescent="0.2">
      <c r="A97" s="2637">
        <f t="shared" si="15"/>
        <v>0</v>
      </c>
      <c r="B97" s="284">
        <f t="shared" si="16"/>
        <v>91</v>
      </c>
      <c r="C97" s="1215"/>
      <c r="D97" s="1215"/>
      <c r="E97" s="2248" t="str">
        <f t="shared" si="14"/>
        <v/>
      </c>
      <c r="F97" s="2250" t="str">
        <f t="shared" si="18"/>
        <v/>
      </c>
      <c r="G97" s="2250" t="str">
        <f t="shared" si="18"/>
        <v/>
      </c>
      <c r="H97" s="2250" t="str">
        <f t="shared" si="18"/>
        <v/>
      </c>
      <c r="I97" s="2250" t="str">
        <f t="shared" si="18"/>
        <v/>
      </c>
      <c r="J97" s="2250" t="str">
        <f t="shared" si="18"/>
        <v/>
      </c>
      <c r="K97" s="2250" t="str">
        <f t="shared" si="18"/>
        <v/>
      </c>
      <c r="L97" s="2250" t="str">
        <f t="shared" si="18"/>
        <v/>
      </c>
      <c r="M97" s="2250" t="str">
        <f t="shared" si="18"/>
        <v/>
      </c>
      <c r="N97" s="2250" t="str">
        <f t="shared" si="18"/>
        <v/>
      </c>
      <c r="O97" s="2250" t="str">
        <f t="shared" si="18"/>
        <v/>
      </c>
      <c r="P97" s="2250" t="str">
        <f t="shared" si="18"/>
        <v/>
      </c>
      <c r="Q97" s="2250" t="str">
        <f t="shared" si="18"/>
        <v/>
      </c>
      <c r="R97" s="2250" t="str">
        <f t="shared" si="18"/>
        <v/>
      </c>
      <c r="S97" s="1215"/>
      <c r="T97" s="272"/>
    </row>
    <row r="98" spans="1:20" ht="15" customHeight="1" x14ac:dyDescent="0.2">
      <c r="A98" s="2637">
        <f t="shared" si="15"/>
        <v>0</v>
      </c>
      <c r="B98" s="284">
        <f t="shared" si="16"/>
        <v>92</v>
      </c>
      <c r="C98" s="1215"/>
      <c r="D98" s="1215"/>
      <c r="E98" s="2248" t="str">
        <f t="shared" si="14"/>
        <v/>
      </c>
      <c r="F98" s="2250" t="str">
        <f t="shared" si="18"/>
        <v/>
      </c>
      <c r="G98" s="2250" t="str">
        <f t="shared" si="18"/>
        <v/>
      </c>
      <c r="H98" s="2250" t="str">
        <f t="shared" si="18"/>
        <v/>
      </c>
      <c r="I98" s="2250" t="str">
        <f t="shared" si="18"/>
        <v/>
      </c>
      <c r="J98" s="2250" t="str">
        <f t="shared" si="18"/>
        <v/>
      </c>
      <c r="K98" s="2250" t="str">
        <f t="shared" si="18"/>
        <v/>
      </c>
      <c r="L98" s="2250" t="str">
        <f t="shared" si="18"/>
        <v/>
      </c>
      <c r="M98" s="2250" t="str">
        <f t="shared" si="18"/>
        <v/>
      </c>
      <c r="N98" s="2250" t="str">
        <f t="shared" si="18"/>
        <v/>
      </c>
      <c r="O98" s="2250" t="str">
        <f t="shared" si="18"/>
        <v/>
      </c>
      <c r="P98" s="2250" t="str">
        <f t="shared" si="18"/>
        <v/>
      </c>
      <c r="Q98" s="2250" t="str">
        <f t="shared" si="18"/>
        <v/>
      </c>
      <c r="R98" s="2250" t="str">
        <f t="shared" si="18"/>
        <v/>
      </c>
      <c r="S98" s="1215"/>
      <c r="T98" s="272"/>
    </row>
    <row r="99" spans="1:20" ht="15" customHeight="1" x14ac:dyDescent="0.2">
      <c r="A99" s="2637">
        <f t="shared" si="15"/>
        <v>0</v>
      </c>
      <c r="B99" s="284">
        <f t="shared" si="16"/>
        <v>93</v>
      </c>
      <c r="C99" s="1215"/>
      <c r="D99" s="1215"/>
      <c r="E99" s="2248" t="str">
        <f t="shared" si="14"/>
        <v/>
      </c>
      <c r="F99" s="2250" t="str">
        <f t="shared" ref="F99:R106" si="19">IF(ISERROR(INDEX(ARGUS_CashFlow1_Array,$B99,F$6)="TRUE"),"",IF(INDEX(ARGUS_CashFlow1_Array,$B99,F$6)="","",IF(OR($E99="Cash Flow Before Debt Service",$E99="  Potential Base Rent"),TEXT(INDEX(ARGUS_CashFlow1_Array,$B99,F$6),"$#,###"),IF($E99="  Average Occupancy Percentage",TEXT(INDEX(ARGUS_CashFlow1_Array,$B99,F$6),"0.0%"),TEXT(INDEX(ARGUS_CashFlow1_Array,$B99,F$6),"#,###")))))</f>
        <v/>
      </c>
      <c r="G99" s="2250" t="str">
        <f t="shared" si="19"/>
        <v/>
      </c>
      <c r="H99" s="2250" t="str">
        <f t="shared" si="19"/>
        <v/>
      </c>
      <c r="I99" s="2250" t="str">
        <f t="shared" si="19"/>
        <v/>
      </c>
      <c r="J99" s="2250" t="str">
        <f t="shared" si="19"/>
        <v/>
      </c>
      <c r="K99" s="2250" t="str">
        <f t="shared" si="19"/>
        <v/>
      </c>
      <c r="L99" s="2250" t="str">
        <f t="shared" si="19"/>
        <v/>
      </c>
      <c r="M99" s="2250" t="str">
        <f t="shared" si="19"/>
        <v/>
      </c>
      <c r="N99" s="2250" t="str">
        <f t="shared" si="19"/>
        <v/>
      </c>
      <c r="O99" s="2250" t="str">
        <f t="shared" si="19"/>
        <v/>
      </c>
      <c r="P99" s="2250" t="str">
        <f t="shared" si="19"/>
        <v/>
      </c>
      <c r="Q99" s="2250" t="str">
        <f t="shared" si="19"/>
        <v/>
      </c>
      <c r="R99" s="2250" t="str">
        <f t="shared" si="19"/>
        <v/>
      </c>
      <c r="S99" s="1215"/>
      <c r="T99" s="272"/>
    </row>
    <row r="100" spans="1:20" ht="15" customHeight="1" x14ac:dyDescent="0.2">
      <c r="A100" s="2637">
        <f t="shared" si="15"/>
        <v>0</v>
      </c>
      <c r="B100" s="284">
        <f t="shared" si="16"/>
        <v>94</v>
      </c>
      <c r="C100" s="1215"/>
      <c r="D100" s="1215"/>
      <c r="E100" s="2248" t="str">
        <f t="shared" si="14"/>
        <v/>
      </c>
      <c r="F100" s="2250" t="str">
        <f t="shared" si="19"/>
        <v/>
      </c>
      <c r="G100" s="2250" t="str">
        <f t="shared" si="19"/>
        <v/>
      </c>
      <c r="H100" s="2250" t="str">
        <f t="shared" si="19"/>
        <v/>
      </c>
      <c r="I100" s="2250" t="str">
        <f t="shared" si="19"/>
        <v/>
      </c>
      <c r="J100" s="2250" t="str">
        <f t="shared" si="19"/>
        <v/>
      </c>
      <c r="K100" s="2250" t="str">
        <f t="shared" si="19"/>
        <v/>
      </c>
      <c r="L100" s="2250" t="str">
        <f t="shared" si="19"/>
        <v/>
      </c>
      <c r="M100" s="2250" t="str">
        <f t="shared" si="19"/>
        <v/>
      </c>
      <c r="N100" s="2250" t="str">
        <f t="shared" si="19"/>
        <v/>
      </c>
      <c r="O100" s="2250" t="str">
        <f t="shared" si="19"/>
        <v/>
      </c>
      <c r="P100" s="2250" t="str">
        <f t="shared" si="19"/>
        <v/>
      </c>
      <c r="Q100" s="2250" t="str">
        <f t="shared" si="19"/>
        <v/>
      </c>
      <c r="R100" s="2250" t="str">
        <f t="shared" si="19"/>
        <v/>
      </c>
      <c r="S100" s="1215"/>
      <c r="T100" s="272"/>
    </row>
    <row r="101" spans="1:20" ht="15" customHeight="1" x14ac:dyDescent="0.2">
      <c r="A101" s="2637">
        <f t="shared" si="15"/>
        <v>0</v>
      </c>
      <c r="B101" s="284">
        <f t="shared" si="16"/>
        <v>95</v>
      </c>
      <c r="C101" s="1215"/>
      <c r="D101" s="1215"/>
      <c r="E101" s="2248" t="str">
        <f t="shared" si="14"/>
        <v/>
      </c>
      <c r="F101" s="2250" t="str">
        <f t="shared" si="19"/>
        <v/>
      </c>
      <c r="G101" s="2250" t="str">
        <f t="shared" si="19"/>
        <v/>
      </c>
      <c r="H101" s="2250" t="str">
        <f t="shared" si="19"/>
        <v/>
      </c>
      <c r="I101" s="2250" t="str">
        <f t="shared" si="19"/>
        <v/>
      </c>
      <c r="J101" s="2250" t="str">
        <f t="shared" si="19"/>
        <v/>
      </c>
      <c r="K101" s="2250" t="str">
        <f t="shared" si="19"/>
        <v/>
      </c>
      <c r="L101" s="2250" t="str">
        <f t="shared" si="19"/>
        <v/>
      </c>
      <c r="M101" s="2250" t="str">
        <f t="shared" si="19"/>
        <v/>
      </c>
      <c r="N101" s="2250" t="str">
        <f t="shared" si="19"/>
        <v/>
      </c>
      <c r="O101" s="2250" t="str">
        <f t="shared" si="19"/>
        <v/>
      </c>
      <c r="P101" s="2250" t="str">
        <f t="shared" si="19"/>
        <v/>
      </c>
      <c r="Q101" s="2250" t="str">
        <f t="shared" si="19"/>
        <v/>
      </c>
      <c r="R101" s="2250" t="str">
        <f t="shared" si="19"/>
        <v/>
      </c>
      <c r="S101" s="1215"/>
      <c r="T101" s="272"/>
    </row>
    <row r="102" spans="1:20" ht="15" customHeight="1" x14ac:dyDescent="0.2">
      <c r="A102" s="2637">
        <f t="shared" si="15"/>
        <v>0</v>
      </c>
      <c r="B102" s="284">
        <f t="shared" si="16"/>
        <v>96</v>
      </c>
      <c r="C102" s="1215"/>
      <c r="D102" s="1215"/>
      <c r="E102" s="2248" t="str">
        <f t="shared" si="14"/>
        <v/>
      </c>
      <c r="F102" s="2250" t="str">
        <f t="shared" si="19"/>
        <v/>
      </c>
      <c r="G102" s="2250" t="str">
        <f t="shared" si="19"/>
        <v/>
      </c>
      <c r="H102" s="2250" t="str">
        <f t="shared" si="19"/>
        <v/>
      </c>
      <c r="I102" s="2250" t="str">
        <f t="shared" si="19"/>
        <v/>
      </c>
      <c r="J102" s="2250" t="str">
        <f t="shared" si="19"/>
        <v/>
      </c>
      <c r="K102" s="2250" t="str">
        <f t="shared" si="19"/>
        <v/>
      </c>
      <c r="L102" s="2250" t="str">
        <f t="shared" si="19"/>
        <v/>
      </c>
      <c r="M102" s="2250" t="str">
        <f t="shared" si="19"/>
        <v/>
      </c>
      <c r="N102" s="2250" t="str">
        <f t="shared" si="19"/>
        <v/>
      </c>
      <c r="O102" s="2250" t="str">
        <f t="shared" si="19"/>
        <v/>
      </c>
      <c r="P102" s="2250" t="str">
        <f t="shared" si="19"/>
        <v/>
      </c>
      <c r="Q102" s="2250" t="str">
        <f t="shared" si="19"/>
        <v/>
      </c>
      <c r="R102" s="2250" t="str">
        <f t="shared" si="19"/>
        <v/>
      </c>
      <c r="S102" s="1215"/>
      <c r="T102" s="272"/>
    </row>
    <row r="103" spans="1:20" ht="15" customHeight="1" x14ac:dyDescent="0.2">
      <c r="A103" s="2637">
        <f t="shared" si="15"/>
        <v>0</v>
      </c>
      <c r="B103" s="284">
        <f t="shared" si="16"/>
        <v>97</v>
      </c>
      <c r="C103" s="1215"/>
      <c r="D103" s="1215"/>
      <c r="E103" s="2248" t="str">
        <f t="shared" si="14"/>
        <v/>
      </c>
      <c r="F103" s="2250" t="str">
        <f t="shared" si="19"/>
        <v/>
      </c>
      <c r="G103" s="2250" t="str">
        <f t="shared" si="19"/>
        <v/>
      </c>
      <c r="H103" s="2250" t="str">
        <f t="shared" si="19"/>
        <v/>
      </c>
      <c r="I103" s="2250" t="str">
        <f t="shared" si="19"/>
        <v/>
      </c>
      <c r="J103" s="2250" t="str">
        <f t="shared" si="19"/>
        <v/>
      </c>
      <c r="K103" s="2250" t="str">
        <f t="shared" si="19"/>
        <v/>
      </c>
      <c r="L103" s="2250" t="str">
        <f t="shared" si="19"/>
        <v/>
      </c>
      <c r="M103" s="2250" t="str">
        <f t="shared" si="19"/>
        <v/>
      </c>
      <c r="N103" s="2250" t="str">
        <f t="shared" si="19"/>
        <v/>
      </c>
      <c r="O103" s="2250" t="str">
        <f t="shared" si="19"/>
        <v/>
      </c>
      <c r="P103" s="2250" t="str">
        <f t="shared" si="19"/>
        <v/>
      </c>
      <c r="Q103" s="2250" t="str">
        <f t="shared" si="19"/>
        <v/>
      </c>
      <c r="R103" s="2250" t="str">
        <f t="shared" si="19"/>
        <v/>
      </c>
      <c r="S103" s="1215"/>
      <c r="T103" s="272"/>
    </row>
    <row r="104" spans="1:20" ht="15" customHeight="1" x14ac:dyDescent="0.2">
      <c r="A104" s="2637">
        <f t="shared" si="15"/>
        <v>0</v>
      </c>
      <c r="B104" s="284">
        <f t="shared" si="16"/>
        <v>98</v>
      </c>
      <c r="C104" s="1215"/>
      <c r="D104" s="1215"/>
      <c r="E104" s="2248" t="str">
        <f t="shared" si="14"/>
        <v/>
      </c>
      <c r="F104" s="2250" t="str">
        <f t="shared" si="19"/>
        <v/>
      </c>
      <c r="G104" s="2250" t="str">
        <f t="shared" si="19"/>
        <v/>
      </c>
      <c r="H104" s="2250" t="str">
        <f t="shared" si="19"/>
        <v/>
      </c>
      <c r="I104" s="2250" t="str">
        <f t="shared" si="19"/>
        <v/>
      </c>
      <c r="J104" s="2250" t="str">
        <f t="shared" si="19"/>
        <v/>
      </c>
      <c r="K104" s="2250" t="str">
        <f t="shared" si="19"/>
        <v/>
      </c>
      <c r="L104" s="2250" t="str">
        <f t="shared" si="19"/>
        <v/>
      </c>
      <c r="M104" s="2250" t="str">
        <f t="shared" si="19"/>
        <v/>
      </c>
      <c r="N104" s="2250" t="str">
        <f t="shared" si="19"/>
        <v/>
      </c>
      <c r="O104" s="2250" t="str">
        <f t="shared" si="19"/>
        <v/>
      </c>
      <c r="P104" s="2250" t="str">
        <f t="shared" si="19"/>
        <v/>
      </c>
      <c r="Q104" s="2250" t="str">
        <f t="shared" si="19"/>
        <v/>
      </c>
      <c r="R104" s="2250" t="str">
        <f t="shared" si="19"/>
        <v/>
      </c>
      <c r="S104" s="1215"/>
      <c r="T104" s="272"/>
    </row>
    <row r="105" spans="1:20" ht="15" customHeight="1" x14ac:dyDescent="0.2">
      <c r="A105" s="2637">
        <f t="shared" si="15"/>
        <v>0</v>
      </c>
      <c r="B105" s="284">
        <f t="shared" si="16"/>
        <v>99</v>
      </c>
      <c r="C105" s="1215"/>
      <c r="D105" s="1215"/>
      <c r="E105" s="2248" t="str">
        <f t="shared" si="14"/>
        <v/>
      </c>
      <c r="F105" s="2250" t="str">
        <f t="shared" si="19"/>
        <v/>
      </c>
      <c r="G105" s="2250" t="str">
        <f t="shared" si="19"/>
        <v/>
      </c>
      <c r="H105" s="2250" t="str">
        <f t="shared" si="19"/>
        <v/>
      </c>
      <c r="I105" s="2250" t="str">
        <f t="shared" si="19"/>
        <v/>
      </c>
      <c r="J105" s="2250" t="str">
        <f t="shared" si="19"/>
        <v/>
      </c>
      <c r="K105" s="2250" t="str">
        <f t="shared" si="19"/>
        <v/>
      </c>
      <c r="L105" s="2250" t="str">
        <f t="shared" si="19"/>
        <v/>
      </c>
      <c r="M105" s="2250" t="str">
        <f t="shared" si="19"/>
        <v/>
      </c>
      <c r="N105" s="2250" t="str">
        <f t="shared" si="19"/>
        <v/>
      </c>
      <c r="O105" s="2250" t="str">
        <f t="shared" si="19"/>
        <v/>
      </c>
      <c r="P105" s="2250" t="str">
        <f t="shared" si="19"/>
        <v/>
      </c>
      <c r="Q105" s="2250" t="str">
        <f t="shared" si="19"/>
        <v/>
      </c>
      <c r="R105" s="2250" t="str">
        <f t="shared" si="19"/>
        <v/>
      </c>
      <c r="S105" s="1215"/>
      <c r="T105" s="272"/>
    </row>
    <row r="106" spans="1:20" ht="15" customHeight="1" x14ac:dyDescent="0.2">
      <c r="A106" s="2637">
        <f t="shared" si="15"/>
        <v>0</v>
      </c>
      <c r="B106" s="284">
        <f t="shared" si="16"/>
        <v>100</v>
      </c>
      <c r="C106" s="1215"/>
      <c r="D106" s="1215"/>
      <c r="E106" s="2248" t="str">
        <f t="shared" si="14"/>
        <v/>
      </c>
      <c r="F106" s="2250" t="str">
        <f t="shared" si="19"/>
        <v/>
      </c>
      <c r="G106" s="2250" t="str">
        <f t="shared" si="19"/>
        <v/>
      </c>
      <c r="H106" s="2250" t="str">
        <f t="shared" si="19"/>
        <v/>
      </c>
      <c r="I106" s="2250" t="str">
        <f t="shared" si="19"/>
        <v/>
      </c>
      <c r="J106" s="2250" t="str">
        <f t="shared" si="19"/>
        <v/>
      </c>
      <c r="K106" s="2250" t="str">
        <f t="shared" si="19"/>
        <v/>
      </c>
      <c r="L106" s="2250" t="str">
        <f t="shared" si="19"/>
        <v/>
      </c>
      <c r="M106" s="2250" t="str">
        <f t="shared" si="19"/>
        <v/>
      </c>
      <c r="N106" s="2250" t="str">
        <f t="shared" si="19"/>
        <v/>
      </c>
      <c r="O106" s="2250" t="str">
        <f t="shared" si="19"/>
        <v/>
      </c>
      <c r="P106" s="2250" t="str">
        <f t="shared" si="19"/>
        <v/>
      </c>
      <c r="Q106" s="2250" t="str">
        <f t="shared" si="19"/>
        <v/>
      </c>
      <c r="R106" s="2250" t="str">
        <f t="shared" si="19"/>
        <v/>
      </c>
      <c r="S106" s="1215"/>
      <c r="T106" s="272"/>
    </row>
    <row r="107" spans="1:20" ht="15" customHeight="1" x14ac:dyDescent="0.2">
      <c r="A107" s="2637">
        <v>1</v>
      </c>
      <c r="B107" s="284"/>
      <c r="C107" s="1215"/>
      <c r="D107" s="1215"/>
      <c r="E107" s="1215"/>
      <c r="F107" s="2250"/>
      <c r="G107" s="2250"/>
      <c r="H107" s="2250"/>
      <c r="I107" s="2250"/>
      <c r="J107" s="2250"/>
      <c r="K107" s="2250"/>
      <c r="L107" s="2250"/>
      <c r="M107" s="2250"/>
      <c r="N107" s="2250"/>
      <c r="O107" s="2250"/>
      <c r="P107" s="2250"/>
      <c r="Q107" s="2250"/>
      <c r="R107" s="2250"/>
      <c r="S107" s="1215"/>
      <c r="T107" s="272"/>
    </row>
    <row r="108" spans="1:20" ht="15" customHeight="1" x14ac:dyDescent="0.25">
      <c r="A108" s="2637">
        <v>1</v>
      </c>
      <c r="B108" s="284"/>
      <c r="C108" s="1215"/>
      <c r="D108" s="4341" t="s">
        <v>485</v>
      </c>
      <c r="E108" s="4342"/>
      <c r="F108" s="4342"/>
      <c r="G108" s="4342"/>
      <c r="H108" s="4342"/>
      <c r="I108" s="4342"/>
      <c r="J108" s="4342"/>
      <c r="K108" s="4342"/>
      <c r="L108" s="2251"/>
      <c r="M108" s="2251"/>
      <c r="N108" s="1215"/>
      <c r="O108" s="1215"/>
      <c r="P108" s="1215"/>
      <c r="Q108" s="1215"/>
      <c r="R108" s="1215"/>
      <c r="S108" s="1215"/>
      <c r="T108" s="272"/>
    </row>
    <row r="109" spans="1:20" ht="15" customHeight="1" x14ac:dyDescent="0.2">
      <c r="A109" s="2637">
        <v>1</v>
      </c>
      <c r="B109" s="284"/>
      <c r="C109" s="1215"/>
      <c r="D109" s="1215" t="s">
        <v>461</v>
      </c>
      <c r="E109" s="1215"/>
      <c r="F109" s="1215"/>
      <c r="G109" s="2252">
        <f>dpIncome_DiscRate1-0.005</f>
        <v>-5.0000000000000001E-3</v>
      </c>
      <c r="H109" s="2252">
        <f>dpIncome_DiscRate1-0.0025</f>
        <v>-2.5000000000000001E-3</v>
      </c>
      <c r="I109" s="2253"/>
      <c r="J109" s="2252">
        <f>dpIncome_DiscRate1+0.0025</f>
        <v>2.5000000000000001E-3</v>
      </c>
      <c r="K109" s="2252">
        <f>dpIncome_DiscRate1+0.005</f>
        <v>5.0000000000000001E-3</v>
      </c>
      <c r="L109" s="2254"/>
      <c r="M109" s="2254"/>
      <c r="N109" s="1215"/>
      <c r="O109" s="1215"/>
      <c r="P109" s="1215"/>
      <c r="Q109" s="1215"/>
      <c r="R109" s="1215"/>
      <c r="S109" s="1215"/>
      <c r="T109" s="272"/>
    </row>
    <row r="110" spans="1:20" ht="15" customHeight="1" x14ac:dyDescent="0.2">
      <c r="A110" s="2637">
        <v>1</v>
      </c>
      <c r="B110" s="284"/>
      <c r="C110" s="1215"/>
      <c r="D110" s="1215" t="s">
        <v>482</v>
      </c>
      <c r="E110" s="1215"/>
      <c r="F110" s="1215"/>
      <c r="G110" s="2255" t="e">
        <f>NPV(G109,$F$126,$G$126,$H$126,$I$126,$J$126,$K$126,$L$126,$M$126,$N$126,$O$126,$P$126,$Q$126,$R$126)</f>
        <v>#N/A</v>
      </c>
      <c r="H110" s="2255" t="e">
        <f>NPV(H109,$F$126,$G$126,$H$126,$I$126,$J$126,$K$126,$L$126,$M$126,$N$126,$O$126,$P$126,$Q$126,$R$126)</f>
        <v>#N/A</v>
      </c>
      <c r="I110" s="2256" t="e">
        <f>NPV(I109,$F$126,$G$126,$H$126,$I$126,$J$126,$K$126,$L$126,$M$126,$N$126,$O$126,$P$126,$Q$126,$R$126)</f>
        <v>#N/A</v>
      </c>
      <c r="J110" s="2255" t="e">
        <f>NPV(J109,$F$126,$G$126,$H$126,$I$126,$J$126,$K$126,$L$126,$M$126,$N$126,$O$126,$P$126,$Q$126,$R$126)</f>
        <v>#N/A</v>
      </c>
      <c r="K110" s="2255" t="e">
        <f>NPV(K109,$F$126,$G$126,$H$126,$I$126,$J$126,$K$126,$L$126,$M$126,$N$126,$O$126,$P$126,$Q$126,$R$126)</f>
        <v>#N/A</v>
      </c>
      <c r="L110" s="1215"/>
      <c r="M110" s="1215"/>
      <c r="N110" s="1215"/>
      <c r="O110" s="1215"/>
      <c r="P110" s="1215"/>
      <c r="Q110" s="1215"/>
      <c r="R110" s="1215"/>
      <c r="S110" s="1215"/>
      <c r="T110" s="272"/>
    </row>
    <row r="111" spans="1:20" ht="15" customHeight="1" x14ac:dyDescent="0.2">
      <c r="A111" s="2637">
        <v>1</v>
      </c>
      <c r="B111" s="284"/>
      <c r="C111" s="1215"/>
      <c r="D111" s="1215" t="s">
        <v>483</v>
      </c>
      <c r="E111" s="1215"/>
      <c r="F111" s="1215"/>
      <c r="G111" s="1216">
        <f>PV(G109,Income_DCF_HoldingPeriod1,0,-Income_DCF_Reversion1)</f>
        <v>112099646.10517311</v>
      </c>
      <c r="H111" s="1216">
        <f>PV(H109,Income_DCF_HoldingPeriod1,0,-Income_DCF_Reversion1)</f>
        <v>109321606.57879589</v>
      </c>
      <c r="I111" s="1217">
        <f>PV(I109,Income_DCF_HoldingPeriod1,0,-Income_DCF_Reversion1)</f>
        <v>106619109.03225806</v>
      </c>
      <c r="J111" s="1216">
        <f>PV(J109,Income_DCF_HoldingPeriod1,0,-Income_DCF_Reversion1)</f>
        <v>103989918.07911727</v>
      </c>
      <c r="K111" s="1216">
        <f>PV(K109,Income_DCF_HoldingPeriod1,0,-Income_DCF_Reversion1)</f>
        <v>101431869.81668848</v>
      </c>
      <c r="L111" s="1215"/>
      <c r="M111" s="1215"/>
      <c r="N111" s="1215"/>
      <c r="O111" s="1215"/>
      <c r="P111" s="1215"/>
      <c r="Q111" s="1215"/>
      <c r="R111" s="1215"/>
      <c r="S111" s="1215"/>
      <c r="T111" s="272"/>
    </row>
    <row r="112" spans="1:20" s="2153" customFormat="1" ht="15" customHeight="1" thickBot="1" x14ac:dyDescent="0.3">
      <c r="A112" s="2638">
        <v>1</v>
      </c>
      <c r="B112" s="2151"/>
      <c r="C112" s="2257"/>
      <c r="D112" s="4367" t="str">
        <f>IF(SUM(A113:A115)=0,IF(Sort_NumValues=3,dpSort_ValueScenario_3,IF(Sort_NumValues=2,dpSort_ValueScenario_2,dpSort_ValueScenario_1)),"Preliminary Value Indication")</f>
        <v>Retrospective Fee Simple Market Value Indication</v>
      </c>
      <c r="E112" s="4367"/>
      <c r="F112" s="4367"/>
      <c r="G112" s="2154" t="e">
        <f>G110+G111</f>
        <v>#N/A</v>
      </c>
      <c r="H112" s="2154" t="e">
        <f>H110+H111</f>
        <v>#N/A</v>
      </c>
      <c r="I112" s="2155" t="e">
        <f>MROUND(I110+I111,INDEX(Rounding_Options,MATCH(I123,Rounding_Label,0),2))</f>
        <v>#N/A</v>
      </c>
      <c r="J112" s="2154" t="e">
        <f>J110+J111</f>
        <v>#N/A</v>
      </c>
      <c r="K112" s="2154" t="e">
        <f>K110+K111</f>
        <v>#N/A</v>
      </c>
      <c r="L112" s="2156"/>
      <c r="M112" s="2156"/>
      <c r="N112" s="2156"/>
      <c r="O112" s="2156"/>
      <c r="P112" s="2156"/>
      <c r="Q112" s="2156"/>
      <c r="R112" s="2156"/>
      <c r="S112" s="2257"/>
      <c r="T112" s="2152"/>
    </row>
    <row r="113" spans="1:21" ht="15" customHeight="1" x14ac:dyDescent="0.25">
      <c r="A113" s="957">
        <f>IF(I113=0,0,1)</f>
        <v>0</v>
      </c>
      <c r="B113" s="284"/>
      <c r="C113" s="1215"/>
      <c r="D113" s="2258" t="str">
        <f>IF(OR(ValueAdj_Select1=1,ValueAdj_Select1=2,ValueAdj_Select1=3),1,"")</f>
        <v/>
      </c>
      <c r="E113" s="2259" t="s">
        <v>259</v>
      </c>
      <c r="F113" s="1215"/>
      <c r="G113" s="1215"/>
      <c r="H113" s="1215"/>
      <c r="I113" s="2256">
        <f>IF(OR(ValueAdj_Select1=1,ValueAdj_Select1=2,ValueAdj_Select1=3),-dpCost_CurableItemCost_Total,0)</f>
        <v>0</v>
      </c>
      <c r="J113" s="2260"/>
      <c r="K113" s="2260"/>
      <c r="L113" s="2260"/>
      <c r="M113" s="2260"/>
      <c r="N113" s="2260"/>
      <c r="O113" s="1215"/>
      <c r="P113" s="1215"/>
      <c r="Q113" s="1215"/>
      <c r="R113" s="1215"/>
      <c r="S113" s="1215"/>
      <c r="T113" s="272"/>
    </row>
    <row r="114" spans="1:21" ht="15" customHeight="1" x14ac:dyDescent="0.25">
      <c r="A114" s="957">
        <f>IF(I114=0,0,1)</f>
        <v>0</v>
      </c>
      <c r="B114" s="284"/>
      <c r="C114" s="1215"/>
      <c r="D114" s="2260" t="str">
        <f>IF('Selection Tables'!$O$17=TRUE,IF(OR(ValueAdj_Select4=1,ValueAdj_Select4=2,ValueAdj_Select4=3),COUNT(D113)+1,""),"")</f>
        <v/>
      </c>
      <c r="E114" s="2259" t="str">
        <f>IF(AdjSelect_UserDef1_IncomeDCF=TRUE,IF(OR(ValueAdj_Select4=1,ValueAdj_Select4=2,ValueAdj_Select4=3),IF(dpValue_UserDef1Adjustment_Value&lt;0,CONCATENATE("Less ",dpValue_UserDef1Adjustment_Name,":"),CONCATENATE("Plus ",dpValue_UserDef1Adjustment_Name,":")),"N/A"),"N/A")</f>
        <v>N/A</v>
      </c>
      <c r="F114" s="1215"/>
      <c r="G114" s="1215"/>
      <c r="H114" s="1215"/>
      <c r="I114" s="2256">
        <f>IF(AdjSelect_UserDef1_IncomeDCF=TRUE,IF(OR(ValueAdj_Select4=1,ValueAdj_Select4=2,ValueAdj_Select4=3),dpValue_UserDef1Adjustment_Value,0),0)</f>
        <v>0</v>
      </c>
      <c r="J114" s="2260"/>
      <c r="K114" s="2260"/>
      <c r="L114" s="2260"/>
      <c r="M114" s="2260"/>
      <c r="N114" s="2260"/>
      <c r="O114" s="1215"/>
      <c r="P114" s="1215"/>
      <c r="Q114" s="1215"/>
      <c r="R114" s="1215"/>
      <c r="S114" s="1215"/>
      <c r="T114" s="272"/>
    </row>
    <row r="115" spans="1:21" ht="15" customHeight="1" x14ac:dyDescent="0.25">
      <c r="A115" s="957">
        <f>IF(I115=0,0,1)</f>
        <v>0</v>
      </c>
      <c r="B115" s="284"/>
      <c r="C115" s="1215"/>
      <c r="D115" s="2260" t="str">
        <f>IF('Selection Tables'!$P$17=TRUE,IF(OR(ValueAdj_Select5=1,ValueAdj_Select5=2,ValueAdj_Select5=3),COUNT(D113:D114)+1,""),"")</f>
        <v/>
      </c>
      <c r="E115" s="2259" t="str">
        <f>IF(AdjSelect_UserDef2_IncomeDCF=TRUE,IF(OR(ValueAdj_Select5=1,ValueAdj_Select5=2,ValueAdj_Select5=3),IF(dpValue_UserDef2Adjustment_Value&lt;0,CONCATENATE("Less ",dpValue_UserDef2Adjustment_Name,":"),CONCATENATE("Plus ",dpValue_UserDef2Adjustment_Name,":")),"N/A"),"N/A")</f>
        <v>N/A</v>
      </c>
      <c r="F115" s="1215"/>
      <c r="G115" s="1215"/>
      <c r="H115" s="1215"/>
      <c r="I115" s="2256">
        <f>IF(AdjSelect_UserDef2_IncomeDCF=TRUE,IF(OR(ValueAdj_Select5=1,ValueAdj_Select5=2,ValueAdj_Select5=3),dpValue_UserDef2Adjustment_Value,0),0)</f>
        <v>0</v>
      </c>
      <c r="J115" s="2260"/>
      <c r="K115" s="2260"/>
      <c r="L115" s="2260"/>
      <c r="M115" s="2260"/>
      <c r="N115" s="2260"/>
      <c r="O115" s="1215"/>
      <c r="P115" s="1215"/>
      <c r="Q115" s="1215"/>
      <c r="R115" s="1215"/>
      <c r="S115" s="1215"/>
      <c r="T115" s="272"/>
    </row>
    <row r="116" spans="1:21" ht="15" customHeight="1" thickBot="1" x14ac:dyDescent="0.25">
      <c r="A116" s="2637">
        <f>IF(SUM(A113:A115)=0,0,1)</f>
        <v>0</v>
      </c>
      <c r="B116" s="284"/>
      <c r="C116" s="1215"/>
      <c r="D116" s="4368" t="str">
        <f>IF(Sort_NumValues=3,dpSort_ValueScenario_3,IF(Sort_NumValues=2,dpSort_ValueScenario_2,dpSort_ValueScenario_1))</f>
        <v>Retrospective Fee Simple Market Value Indication</v>
      </c>
      <c r="E116" s="4368"/>
      <c r="F116" s="4368"/>
      <c r="G116" s="4368"/>
      <c r="H116" s="4368"/>
      <c r="I116" s="2136" t="e">
        <f>MROUND(SUM(I112:I115),INDEX(Rounding_Options,MATCH(I123,Rounding_Label,0),2))</f>
        <v>#N/A</v>
      </c>
      <c r="J116" s="1215"/>
      <c r="K116" s="1215"/>
      <c r="L116" s="1215"/>
      <c r="M116" s="1215"/>
      <c r="N116" s="1215"/>
      <c r="O116" s="1215"/>
      <c r="P116" s="1215"/>
      <c r="Q116" s="1215"/>
      <c r="R116" s="1215"/>
      <c r="S116" s="1215"/>
      <c r="T116" s="272"/>
    </row>
    <row r="117" spans="1:21" ht="15" customHeight="1" x14ac:dyDescent="0.25">
      <c r="A117" s="2637">
        <f>IF(COUNT(D113:D115)&gt;0,1,0)</f>
        <v>0</v>
      </c>
      <c r="B117" s="284"/>
      <c r="C117" s="1215"/>
      <c r="D117" s="2121">
        <v>1</v>
      </c>
      <c r="E117" s="2122" t="s">
        <v>1826</v>
      </c>
      <c r="F117" s="2134"/>
      <c r="G117" s="2134"/>
      <c r="H117" s="2133"/>
      <c r="I117" s="2133"/>
      <c r="J117" s="2133"/>
      <c r="K117" s="2133"/>
      <c r="L117" s="2133"/>
      <c r="M117" s="2133"/>
      <c r="N117" s="2133"/>
      <c r="O117" s="2133"/>
      <c r="P117" s="2133"/>
      <c r="Q117" s="2133"/>
      <c r="R117" s="2133"/>
      <c r="S117" s="1215"/>
      <c r="T117" s="272"/>
    </row>
    <row r="118" spans="1:21" ht="15" customHeight="1" x14ac:dyDescent="0.25">
      <c r="A118" s="2637">
        <f>IF(COUNT(D113:D115)&gt;1,1,0)</f>
        <v>0</v>
      </c>
      <c r="B118" s="284"/>
      <c r="C118" s="1215"/>
      <c r="D118" s="2117">
        <f>D117+1</f>
        <v>2</v>
      </c>
      <c r="E118" s="2123" t="s">
        <v>1828</v>
      </c>
      <c r="F118" s="2261"/>
      <c r="G118" s="2261"/>
      <c r="H118" s="1215"/>
      <c r="I118" s="1215"/>
      <c r="J118" s="1215"/>
      <c r="K118" s="1215"/>
      <c r="L118" s="1215"/>
      <c r="M118" s="1215"/>
      <c r="N118" s="1215"/>
      <c r="O118" s="1215"/>
      <c r="P118" s="1215"/>
      <c r="Q118" s="1215"/>
      <c r="R118" s="1215"/>
      <c r="S118" s="1215"/>
      <c r="T118" s="272"/>
    </row>
    <row r="119" spans="1:21" ht="15" customHeight="1" x14ac:dyDescent="0.25">
      <c r="A119" s="2637">
        <f>IF(COUNT(D113:D115)&gt;2,1,0)</f>
        <v>0</v>
      </c>
      <c r="B119" s="284"/>
      <c r="C119" s="1215"/>
      <c r="D119" s="2117">
        <f>D118+1</f>
        <v>3</v>
      </c>
      <c r="E119" s="2123" t="s">
        <v>1828</v>
      </c>
      <c r="F119" s="2261"/>
      <c r="G119" s="2261"/>
      <c r="H119" s="1215"/>
      <c r="I119" s="1215"/>
      <c r="J119" s="1215"/>
      <c r="K119" s="1215"/>
      <c r="L119" s="1215"/>
      <c r="M119" s="1215"/>
      <c r="N119" s="1215"/>
      <c r="O119" s="1215"/>
      <c r="P119" s="1215"/>
      <c r="Q119" s="1215"/>
      <c r="R119" s="1215"/>
      <c r="S119" s="1215"/>
      <c r="T119" s="272"/>
    </row>
    <row r="120" spans="1:21" ht="15" customHeight="1" thickBot="1" x14ac:dyDescent="0.25">
      <c r="A120" s="267"/>
      <c r="B120" s="285"/>
      <c r="C120" s="274"/>
      <c r="D120" s="557" t="s">
        <v>928</v>
      </c>
      <c r="E120" s="557"/>
      <c r="F120" s="281"/>
      <c r="G120" s="281"/>
      <c r="H120" s="281"/>
      <c r="I120" s="281"/>
      <c r="J120" s="281"/>
      <c r="K120" s="281"/>
      <c r="L120" s="281"/>
      <c r="M120" s="281"/>
      <c r="N120" s="281"/>
      <c r="O120" s="281"/>
      <c r="P120" s="281"/>
      <c r="Q120" s="281"/>
      <c r="R120" s="281"/>
      <c r="S120" s="281"/>
      <c r="T120" s="282"/>
    </row>
    <row r="121" spans="1:21" s="276" customFormat="1" ht="15" customHeight="1" x14ac:dyDescent="0.25">
      <c r="A121" s="278"/>
      <c r="B121" s="267"/>
      <c r="C121" s="280"/>
      <c r="D121" s="207" t="s">
        <v>1830</v>
      </c>
      <c r="E121" s="280"/>
      <c r="F121" s="280"/>
      <c r="G121" s="280"/>
      <c r="H121" s="280"/>
      <c r="I121" s="280"/>
      <c r="J121" s="280"/>
      <c r="K121" s="280"/>
      <c r="L121" s="280"/>
      <c r="M121" s="280"/>
      <c r="N121" s="280"/>
      <c r="O121" s="280"/>
      <c r="P121" s="280"/>
      <c r="Q121" s="280"/>
      <c r="R121" s="280"/>
      <c r="S121" s="280"/>
      <c r="T121" s="280"/>
    </row>
    <row r="122" spans="1:21" s="276" customFormat="1" ht="15" customHeight="1" thickBot="1" x14ac:dyDescent="0.25">
      <c r="A122" s="278"/>
      <c r="B122" s="267"/>
      <c r="C122" s="280"/>
      <c r="D122" s="280"/>
      <c r="E122" s="280"/>
      <c r="F122" s="280"/>
      <c r="G122" s="280"/>
      <c r="H122" s="280"/>
      <c r="I122" s="188" t="s">
        <v>991</v>
      </c>
      <c r="J122" s="280"/>
      <c r="K122" s="280"/>
      <c r="L122" s="280"/>
      <c r="M122" s="280"/>
      <c r="N122" s="280"/>
      <c r="O122" s="280"/>
      <c r="P122" s="280"/>
      <c r="Q122" s="280"/>
      <c r="R122" s="280"/>
      <c r="S122" s="280"/>
      <c r="T122" s="280"/>
    </row>
    <row r="123" spans="1:21" s="276" customFormat="1" ht="15" customHeight="1" thickBot="1" x14ac:dyDescent="0.25">
      <c r="A123" s="278"/>
      <c r="B123" s="267"/>
      <c r="C123" s="280"/>
      <c r="D123" s="280"/>
      <c r="E123" s="280"/>
      <c r="F123" s="280"/>
      <c r="G123" s="280"/>
      <c r="H123" s="280"/>
      <c r="I123" s="715" t="s">
        <v>1039</v>
      </c>
      <c r="J123" s="280"/>
      <c r="K123" s="280"/>
      <c r="L123" s="280"/>
      <c r="M123" s="280"/>
      <c r="N123" s="280"/>
      <c r="O123" s="280"/>
      <c r="P123" s="280"/>
      <c r="Q123" s="280"/>
      <c r="R123" s="280"/>
      <c r="S123" s="280"/>
      <c r="T123" s="280"/>
    </row>
    <row r="124" spans="1:21" s="276" customFormat="1" ht="15" customHeight="1" x14ac:dyDescent="0.2">
      <c r="A124" s="278"/>
      <c r="B124" s="278"/>
      <c r="C124" s="280"/>
      <c r="D124" s="280"/>
      <c r="E124" s="267">
        <f>SUM(Filter_DCF1Col)</f>
        <v>6</v>
      </c>
      <c r="F124" s="2637">
        <v>1</v>
      </c>
      <c r="G124" s="2637">
        <v>1</v>
      </c>
      <c r="H124" s="2637">
        <v>1</v>
      </c>
      <c r="I124" s="2637">
        <v>1</v>
      </c>
      <c r="J124" s="2637">
        <v>1</v>
      </c>
      <c r="K124" s="2637">
        <v>1</v>
      </c>
      <c r="L124" s="2637">
        <f t="shared" ref="L124:R124" si="20">IF(ISERROR(IF(K126=0,0,1)),0,IF(K126=0,0,1))</f>
        <v>0</v>
      </c>
      <c r="M124" s="2637">
        <f t="shared" si="20"/>
        <v>0</v>
      </c>
      <c r="N124" s="2637">
        <f t="shared" si="20"/>
        <v>0</v>
      </c>
      <c r="O124" s="2637">
        <f t="shared" si="20"/>
        <v>0</v>
      </c>
      <c r="P124" s="2637">
        <f t="shared" si="20"/>
        <v>0</v>
      </c>
      <c r="Q124" s="2637">
        <f t="shared" si="20"/>
        <v>0</v>
      </c>
      <c r="R124" s="2637">
        <f t="shared" si="20"/>
        <v>0</v>
      </c>
      <c r="S124" s="280"/>
      <c r="T124" s="280"/>
      <c r="U124" s="280"/>
    </row>
    <row r="125" spans="1:21" s="276" customFormat="1" ht="15" customHeight="1" x14ac:dyDescent="0.2">
      <c r="A125" s="278"/>
      <c r="B125" s="278"/>
      <c r="C125" s="280"/>
      <c r="D125" s="280"/>
      <c r="E125" s="280"/>
      <c r="F125" s="280"/>
      <c r="G125" s="280"/>
      <c r="H125" s="280"/>
      <c r="I125" s="280"/>
      <c r="J125" s="280"/>
      <c r="K125" s="280"/>
      <c r="L125" s="280"/>
      <c r="M125" s="280"/>
      <c r="N125" s="280"/>
      <c r="O125" s="280"/>
      <c r="P125" s="280"/>
      <c r="Q125" s="280"/>
      <c r="R125" s="280"/>
      <c r="S125" s="280"/>
      <c r="T125" s="280"/>
      <c r="U125" s="280"/>
    </row>
    <row r="126" spans="1:21" s="276" customFormat="1" ht="15" customHeight="1" x14ac:dyDescent="0.2">
      <c r="A126" s="278"/>
      <c r="B126" s="278"/>
      <c r="C126" s="280"/>
      <c r="D126" s="280"/>
      <c r="F126" s="2150" t="e">
        <f t="shared" ref="F126:R126" si="21">IF(OR(Income_DCF_HoldingPeriod1&lt;E6,ISERR(VLOOKUP("Cash Flow Before Debt Service",$E$7:$R$106,F6,FALSE)+0)=TRUE),0,VLOOKUP("Cash Flow Before Debt Service",$E$7:$R$106,F6,FALSE)+0)</f>
        <v>#N/A</v>
      </c>
      <c r="G126" s="2150" t="e">
        <f t="shared" si="21"/>
        <v>#N/A</v>
      </c>
      <c r="H126" s="2150" t="e">
        <f t="shared" si="21"/>
        <v>#N/A</v>
      </c>
      <c r="I126" s="2150" t="e">
        <f t="shared" si="21"/>
        <v>#N/A</v>
      </c>
      <c r="J126" s="2150" t="e">
        <f t="shared" si="21"/>
        <v>#N/A</v>
      </c>
      <c r="K126" s="2150" t="e">
        <f t="shared" si="21"/>
        <v>#N/A</v>
      </c>
      <c r="L126" s="2150" t="e">
        <f t="shared" si="21"/>
        <v>#N/A</v>
      </c>
      <c r="M126" s="2150" t="e">
        <f t="shared" si="21"/>
        <v>#N/A</v>
      </c>
      <c r="N126" s="2150" t="e">
        <f t="shared" si="21"/>
        <v>#N/A</v>
      </c>
      <c r="O126" s="2150" t="e">
        <f t="shared" si="21"/>
        <v>#N/A</v>
      </c>
      <c r="P126" s="2150">
        <f t="shared" si="21"/>
        <v>0</v>
      </c>
      <c r="Q126" s="2150">
        <f t="shared" si="21"/>
        <v>0</v>
      </c>
      <c r="R126" s="2150">
        <f t="shared" si="21"/>
        <v>0</v>
      </c>
      <c r="U126" s="280"/>
    </row>
    <row r="127" spans="1:21" s="276" customFormat="1" x14ac:dyDescent="0.2">
      <c r="A127" s="278"/>
      <c r="B127" s="278"/>
      <c r="C127" s="280"/>
      <c r="D127" s="280"/>
      <c r="E127" s="280"/>
      <c r="F127" s="280"/>
      <c r="G127" s="280"/>
      <c r="H127" s="280"/>
      <c r="I127" s="280"/>
      <c r="J127" s="280"/>
      <c r="K127" s="280"/>
      <c r="L127" s="280"/>
      <c r="M127" s="280"/>
      <c r="N127" s="280"/>
      <c r="O127" s="280"/>
      <c r="P127" s="280"/>
      <c r="Q127" s="280"/>
      <c r="R127" s="280"/>
      <c r="S127" s="280"/>
      <c r="T127" s="280"/>
      <c r="U127" s="280"/>
    </row>
    <row r="128" spans="1:21" s="276" customFormat="1" x14ac:dyDescent="0.2">
      <c r="A128" s="278"/>
      <c r="B128" s="278"/>
      <c r="C128" s="280"/>
      <c r="D128" s="280"/>
      <c r="E128" s="280"/>
      <c r="F128" s="280"/>
      <c r="G128" s="280"/>
      <c r="H128" s="280"/>
      <c r="I128" s="280"/>
      <c r="J128" s="280"/>
      <c r="K128" s="280"/>
      <c r="L128" s="280"/>
      <c r="M128" s="280"/>
      <c r="N128" s="280"/>
      <c r="O128" s="280"/>
      <c r="P128" s="280"/>
      <c r="Q128" s="280"/>
      <c r="R128" s="280"/>
      <c r="S128" s="280"/>
      <c r="T128" s="280"/>
      <c r="U128" s="280"/>
    </row>
    <row r="129" spans="1:22" s="276" customFormat="1" x14ac:dyDescent="0.2">
      <c r="A129" s="278"/>
      <c r="B129" s="278"/>
      <c r="C129" s="280"/>
      <c r="D129" s="280"/>
      <c r="E129" s="280"/>
      <c r="F129" s="280"/>
      <c r="G129" s="280"/>
      <c r="H129" s="280"/>
      <c r="I129" s="280"/>
      <c r="J129" s="280"/>
      <c r="K129" s="280"/>
      <c r="L129" s="280"/>
      <c r="M129" s="280"/>
      <c r="N129" s="280"/>
      <c r="O129" s="280"/>
      <c r="P129" s="280"/>
      <c r="Q129" s="280"/>
      <c r="R129" s="280"/>
      <c r="S129" s="280"/>
      <c r="T129" s="280"/>
      <c r="U129" s="280"/>
    </row>
    <row r="130" spans="1:22" s="276" customFormat="1" x14ac:dyDescent="0.2">
      <c r="A130" s="278"/>
      <c r="B130" s="278"/>
      <c r="C130" s="280"/>
      <c r="D130" s="280"/>
      <c r="E130" s="280"/>
      <c r="F130" s="280"/>
      <c r="G130" s="280"/>
      <c r="H130" s="280"/>
      <c r="I130" s="280"/>
      <c r="J130" s="280"/>
      <c r="K130" s="280"/>
      <c r="L130" s="280"/>
      <c r="M130" s="280"/>
      <c r="N130" s="280"/>
      <c r="O130" s="280"/>
      <c r="P130" s="280"/>
      <c r="Q130" s="280"/>
      <c r="R130" s="280"/>
      <c r="S130" s="280"/>
      <c r="T130" s="280"/>
      <c r="U130" s="280"/>
    </row>
    <row r="131" spans="1:22" s="276" customFormat="1" x14ac:dyDescent="0.2">
      <c r="A131" s="278"/>
      <c r="B131" s="278"/>
      <c r="C131" s="280"/>
      <c r="D131" s="280"/>
      <c r="E131" s="280"/>
      <c r="F131" s="280"/>
      <c r="G131" s="280"/>
      <c r="H131" s="280"/>
      <c r="I131" s="280"/>
      <c r="J131" s="280"/>
      <c r="K131" s="280"/>
      <c r="L131" s="280"/>
      <c r="M131" s="280"/>
      <c r="N131" s="280"/>
      <c r="O131" s="280"/>
      <c r="P131" s="280"/>
      <c r="Q131" s="280"/>
      <c r="R131" s="280"/>
      <c r="S131" s="280"/>
      <c r="T131" s="280"/>
      <c r="U131" s="280"/>
    </row>
    <row r="132" spans="1:22" x14ac:dyDescent="0.2">
      <c r="C132" s="280"/>
      <c r="D132" s="280"/>
      <c r="E132" s="280"/>
      <c r="F132" s="280"/>
      <c r="G132" s="280"/>
      <c r="H132" s="280"/>
      <c r="I132" s="280"/>
      <c r="J132" s="280"/>
      <c r="K132" s="280"/>
      <c r="L132" s="280"/>
      <c r="M132" s="280"/>
      <c r="N132" s="280"/>
      <c r="O132" s="280"/>
      <c r="P132" s="280"/>
      <c r="Q132" s="280"/>
      <c r="R132" s="280"/>
      <c r="S132" s="280"/>
      <c r="T132" s="280"/>
      <c r="U132" s="280"/>
      <c r="V132" s="276"/>
    </row>
    <row r="133" spans="1:22" x14ac:dyDescent="0.2">
      <c r="C133" s="280"/>
      <c r="D133" s="280"/>
      <c r="E133" s="280"/>
      <c r="F133" s="280"/>
      <c r="G133" s="280"/>
      <c r="H133" s="280"/>
      <c r="I133" s="280"/>
      <c r="J133" s="280"/>
      <c r="K133" s="280"/>
      <c r="L133" s="280"/>
      <c r="M133" s="280"/>
      <c r="N133" s="280"/>
      <c r="O133" s="280"/>
      <c r="P133" s="280"/>
      <c r="Q133" s="280"/>
      <c r="R133" s="280"/>
      <c r="S133" s="280"/>
      <c r="T133" s="280"/>
      <c r="U133" s="280"/>
      <c r="V133" s="276"/>
    </row>
  </sheetData>
  <mergeCells count="3">
    <mergeCell ref="D108:K108"/>
    <mergeCell ref="D112:F112"/>
    <mergeCell ref="D116:H116"/>
  </mergeCells>
  <conditionalFormatting sqref="E9:R106">
    <cfRule type="cellIs" dxfId="24" priority="1" operator="equal">
      <formula>"Capital Expenditures"</formula>
    </cfRule>
    <cfRule type="expression" dxfId="23" priority="2">
      <formula>ISNUMBER(SEARCH("Cash Flow Before Debt Service",$E9))</formula>
    </cfRule>
    <cfRule type="cellIs" dxfId="22" priority="3" operator="equal">
      <formula>"Tenant Occupancy Summary"</formula>
    </cfRule>
    <cfRule type="cellIs" dxfId="21" priority="4" operator="equal">
      <formula>"Leasing Costs"</formula>
    </cfRule>
    <cfRule type="cellIs" dxfId="20" priority="5" operator="equal">
      <formula>"Operating Expenses"</formula>
    </cfRule>
    <cfRule type="cellIs" dxfId="19" priority="6" operator="equal">
      <formula>"Vacancy &amp; Credit Loss"</formula>
    </cfRule>
    <cfRule type="cellIs" dxfId="18" priority="7" operator="equal">
      <formula>"Other Tenant Revenue"</formula>
    </cfRule>
    <cfRule type="expression" dxfId="17" priority="8">
      <formula>ISNUMBER(SEARCH("Net Operating Income",$E9))</formula>
    </cfRule>
    <cfRule type="expression" dxfId="16" priority="9">
      <formula>ISNUMBER(SEARCH("Average Occupancy Percentage",$E9))</formula>
    </cfRule>
    <cfRule type="cellIs" dxfId="15" priority="10" operator="equal">
      <formula>"Rental Revenue"</formula>
    </cfRule>
    <cfRule type="expression" dxfId="14" priority="11">
      <formula>ISNUMBER(SEARCH("Effective Gross Revenue",$E9))</formula>
    </cfRule>
    <cfRule type="expression" dxfId="13" priority="12">
      <formula>ISNUMBER(SEARCH("Potential Gross Revenue",$E9))</formula>
    </cfRule>
    <cfRule type="expression" dxfId="12" priority="13">
      <formula>ISNUMBER(SEARCH("Total",$E9))</formula>
    </cfRule>
    <cfRule type="cellIs" dxfId="11" priority="14" operator="equal">
      <formula>"Other Revenue"</formula>
    </cfRule>
    <cfRule type="expression" dxfId="10" priority="15">
      <formula>ISNUMBER(SEARCH("Total Other Revenue",$E9))</formula>
    </cfRule>
  </conditionalFormatting>
  <dataValidations disablePrompts="1" count="1">
    <dataValidation type="list" allowBlank="1" showInputMessage="1" showErrorMessage="1" error="Invalid Option - Please Select from the List" prompt="Select Rounding Option" sqref="I123" xr:uid="{00000000-0002-0000-3800-000000000000}">
      <formula1>Rounding_Label</formula1>
    </dataValidation>
  </dataValidations>
  <printOptions horizontalCentered="1"/>
  <pageMargins left="0.5" right="0.5" top="0.75" bottom="0.75" header="0.3" footer="0.3"/>
  <pageSetup scale="38" orientation="portrait" r:id="rId1"/>
  <drawing r:id="rId2"/>
  <legacyDrawing r:id="rId3"/>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7"/>
  <dimension ref="A1:N363"/>
  <sheetViews>
    <sheetView zoomScaleNormal="100" workbookViewId="0">
      <selection activeCell="D334" sqref="D334"/>
    </sheetView>
  </sheetViews>
  <sheetFormatPr defaultColWidth="8.85546875" defaultRowHeight="14.25" x14ac:dyDescent="0.25"/>
  <cols>
    <col min="1" max="2" width="5.7109375" style="10" customWidth="1"/>
    <col min="3" max="3" width="40.7109375" style="10" customWidth="1"/>
    <col min="4" max="9" width="35.7109375" style="10" customWidth="1"/>
    <col min="10" max="14" width="15.7109375" style="10" customWidth="1"/>
    <col min="15" max="16384" width="8.85546875" style="10"/>
  </cols>
  <sheetData>
    <row r="1" spans="1:10" ht="60" customHeight="1" x14ac:dyDescent="0.25"/>
    <row r="2" spans="1:10" s="36" customFormat="1" ht="20.100000000000001" customHeight="1" x14ac:dyDescent="0.25">
      <c r="B2" s="662" t="s">
        <v>1742</v>
      </c>
    </row>
    <row r="3" spans="1:10" ht="15" customHeight="1" thickBot="1" x14ac:dyDescent="0.3">
      <c r="D3" s="41">
        <v>1</v>
      </c>
      <c r="E3" s="41">
        <f>D3+1</f>
        <v>2</v>
      </c>
      <c r="F3" s="41">
        <f>E3+1</f>
        <v>3</v>
      </c>
      <c r="G3" s="41">
        <f>F3+1</f>
        <v>4</v>
      </c>
      <c r="H3" s="41">
        <f>G3+1</f>
        <v>5</v>
      </c>
      <c r="I3" s="41">
        <f>H3+1</f>
        <v>6</v>
      </c>
    </row>
    <row r="4" spans="1:10" s="48" customFormat="1" ht="30" customHeight="1" x14ac:dyDescent="0.25">
      <c r="B4" s="47"/>
      <c r="C4" s="2977" t="s">
        <v>120</v>
      </c>
      <c r="D4" s="2978" t="s">
        <v>86</v>
      </c>
      <c r="E4" s="472"/>
      <c r="F4" s="340"/>
      <c r="G4" s="340"/>
      <c r="H4" s="340"/>
      <c r="I4" s="340"/>
      <c r="J4" s="341"/>
    </row>
    <row r="5" spans="1:10" s="48" customFormat="1" ht="14.25" customHeight="1" x14ac:dyDescent="0.25">
      <c r="B5" s="409"/>
      <c r="C5" s="450" t="s">
        <v>762</v>
      </c>
      <c r="D5" s="374"/>
      <c r="E5" s="363"/>
      <c r="F5" s="357"/>
      <c r="G5" s="357"/>
      <c r="H5" s="357"/>
      <c r="I5" s="357"/>
      <c r="J5" s="410"/>
    </row>
    <row r="6" spans="1:10" s="48" customFormat="1" ht="14.25" customHeight="1" x14ac:dyDescent="0.25">
      <c r="B6" s="409"/>
      <c r="C6" s="1414" t="s">
        <v>1468</v>
      </c>
      <c r="D6" s="1415" t="str">
        <f>IF(ISERR(FIND("and",Subject_TaxAccounts)),"number","numbers")</f>
        <v>number</v>
      </c>
      <c r="E6" s="1412"/>
      <c r="F6" s="1413"/>
      <c r="G6" s="1413"/>
      <c r="H6" s="1413"/>
      <c r="I6" s="1413"/>
      <c r="J6" s="410"/>
    </row>
    <row r="7" spans="1:10" s="48" customFormat="1" ht="14.25" customHeight="1" x14ac:dyDescent="0.25">
      <c r="B7" s="409"/>
      <c r="C7" s="453" t="s">
        <v>763</v>
      </c>
      <c r="D7" s="474" t="str">
        <f>IF(ISERR(FIND("and",Subject_IntendedUser)),"user","users")</f>
        <v>users</v>
      </c>
      <c r="E7" s="454"/>
      <c r="F7" s="452"/>
      <c r="G7" s="452"/>
      <c r="H7" s="452"/>
      <c r="I7" s="452"/>
      <c r="J7" s="410"/>
    </row>
    <row r="8" spans="1:10" s="48" customFormat="1" ht="14.25" customHeight="1" x14ac:dyDescent="0.25">
      <c r="B8" s="409"/>
      <c r="C8" s="453" t="s">
        <v>764</v>
      </c>
      <c r="D8" s="474" t="str">
        <f>IF(ISERR(FIND("and",Subject_IntendedUser)),"is","are")</f>
        <v>are</v>
      </c>
      <c r="E8" s="454"/>
      <c r="F8" s="452"/>
      <c r="G8" s="452"/>
      <c r="H8" s="452"/>
      <c r="I8" s="452"/>
      <c r="J8" s="410"/>
    </row>
    <row r="9" spans="1:10" s="48" customFormat="1" ht="14.25" customHeight="1" x14ac:dyDescent="0.25">
      <c r="B9" s="409"/>
      <c r="C9" s="453" t="s">
        <v>827</v>
      </c>
      <c r="D9" s="474" t="str">
        <f>IF(dpSort_DOV_2="N/A","scenario","scenarios")</f>
        <v>scenario</v>
      </c>
      <c r="E9" s="454"/>
      <c r="F9" s="452"/>
      <c r="G9" s="452"/>
      <c r="H9" s="452"/>
      <c r="I9" s="452"/>
      <c r="J9" s="410"/>
    </row>
    <row r="10" spans="1:10" s="48" customFormat="1" ht="14.25" customHeight="1" x14ac:dyDescent="0.25">
      <c r="B10" s="409"/>
      <c r="C10" s="453" t="s">
        <v>828</v>
      </c>
      <c r="D10" s="474" t="str">
        <f>IF(dpSort_DOV_2="N/A","date","dates")</f>
        <v>date</v>
      </c>
      <c r="E10" s="454"/>
      <c r="F10" s="452"/>
      <c r="G10" s="452"/>
      <c r="H10" s="452"/>
      <c r="I10" s="452"/>
      <c r="J10" s="410"/>
    </row>
    <row r="11" spans="1:10" s="48" customFormat="1" ht="14.25" customHeight="1" x14ac:dyDescent="0.25">
      <c r="B11" s="409"/>
      <c r="C11" s="453" t="s">
        <v>829</v>
      </c>
      <c r="D11" s="474" t="str">
        <f>IF(dpSort_DOV_2="N/A","indication is","indications are")</f>
        <v>indication is</v>
      </c>
      <c r="E11" s="454"/>
      <c r="F11" s="452"/>
      <c r="G11" s="452"/>
      <c r="H11" s="452"/>
      <c r="I11" s="452"/>
      <c r="J11" s="410"/>
    </row>
    <row r="12" spans="1:10" s="48" customFormat="1" ht="14.25" customHeight="1" x14ac:dyDescent="0.25">
      <c r="B12" s="409"/>
      <c r="C12" s="545" t="s">
        <v>838</v>
      </c>
      <c r="D12" s="474" t="str">
        <f>IF(dpSort_DOV_2="N/A","an opinion","opinions")</f>
        <v>an opinion</v>
      </c>
      <c r="E12" s="547"/>
      <c r="F12" s="548"/>
      <c r="G12" s="548"/>
      <c r="H12" s="548"/>
      <c r="I12" s="548"/>
      <c r="J12" s="410"/>
    </row>
    <row r="13" spans="1:10" s="48" customFormat="1" ht="14.25" customHeight="1" x14ac:dyDescent="0.25">
      <c r="B13" s="409"/>
      <c r="C13" s="545"/>
      <c r="D13" s="546"/>
      <c r="E13" s="547"/>
      <c r="F13" s="548"/>
      <c r="G13" s="548"/>
      <c r="H13" s="548"/>
      <c r="I13" s="548"/>
      <c r="J13" s="410"/>
    </row>
    <row r="14" spans="1:10" x14ac:dyDescent="0.25">
      <c r="B14" s="4"/>
      <c r="C14" s="355" t="s">
        <v>826</v>
      </c>
      <c r="D14" s="374"/>
      <c r="E14" s="363"/>
      <c r="F14" s="357"/>
      <c r="G14" s="357"/>
      <c r="H14" s="357"/>
      <c r="I14" s="357"/>
      <c r="J14" s="6"/>
    </row>
    <row r="15" spans="1:10" x14ac:dyDescent="0.25">
      <c r="B15" s="4"/>
      <c r="C15" s="361" t="s">
        <v>1054</v>
      </c>
      <c r="D15" s="721">
        <f>ABS(dpCost_CurableItemCost_Total)</f>
        <v>0</v>
      </c>
      <c r="E15" s="363"/>
      <c r="F15" s="359"/>
      <c r="G15" s="359"/>
      <c r="H15" s="359"/>
      <c r="I15" s="359"/>
      <c r="J15" s="6"/>
    </row>
    <row r="16" spans="1:10" x14ac:dyDescent="0.25">
      <c r="B16" s="4"/>
      <c r="C16" s="716" t="s">
        <v>1001</v>
      </c>
      <c r="D16" s="722">
        <f>ABS(dpValue_LUD_Reconciled)</f>
        <v>70000</v>
      </c>
      <c r="E16" s="719"/>
      <c r="F16" s="720"/>
      <c r="G16" s="720"/>
      <c r="H16" s="720"/>
      <c r="I16" s="720"/>
      <c r="J16" s="6"/>
    </row>
    <row r="17" spans="2:10" x14ac:dyDescent="0.25">
      <c r="B17" s="4"/>
      <c r="C17" s="716" t="s">
        <v>1055</v>
      </c>
      <c r="D17" s="722">
        <f>ABS(dpValue_LeaseholdAdjustment)</f>
        <v>0</v>
      </c>
      <c r="E17" s="719" t="str">
        <f>IF(dpValue_LeaseholdAdjustment&lt;0,"positive","negative")</f>
        <v>negative</v>
      </c>
      <c r="F17" s="720"/>
      <c r="G17" s="720"/>
      <c r="H17" s="720"/>
      <c r="I17" s="720"/>
      <c r="J17" s="6"/>
    </row>
    <row r="18" spans="2:10" x14ac:dyDescent="0.25">
      <c r="B18" s="4"/>
      <c r="C18" s="716" t="s">
        <v>103</v>
      </c>
      <c r="D18" s="722">
        <f>ABS(dpValue_UserDef1Adjustment_Value)</f>
        <v>0</v>
      </c>
      <c r="E18" s="719"/>
      <c r="F18" s="720"/>
      <c r="G18" s="720"/>
      <c r="H18" s="720"/>
      <c r="I18" s="720"/>
      <c r="J18" s="6"/>
    </row>
    <row r="19" spans="2:10" x14ac:dyDescent="0.25">
      <c r="B19" s="4"/>
      <c r="C19" s="716" t="s">
        <v>104</v>
      </c>
      <c r="D19" s="722">
        <f>ABS(dpValue_UserDef2Adjustment_Value)</f>
        <v>0</v>
      </c>
      <c r="E19" s="719"/>
      <c r="F19" s="720"/>
      <c r="G19" s="720"/>
      <c r="H19" s="720"/>
      <c r="I19" s="720"/>
      <c r="J19" s="6"/>
    </row>
    <row r="20" spans="2:10" x14ac:dyDescent="0.25">
      <c r="B20" s="4"/>
      <c r="C20" s="471"/>
      <c r="D20" s="411"/>
      <c r="E20" s="413"/>
      <c r="F20" s="399"/>
      <c r="G20" s="399"/>
      <c r="H20" s="399"/>
      <c r="I20" s="399"/>
      <c r="J20" s="6"/>
    </row>
    <row r="21" spans="2:10" x14ac:dyDescent="0.25">
      <c r="B21" s="4"/>
      <c r="C21" s="3123" t="s">
        <v>18362</v>
      </c>
      <c r="D21" s="3124"/>
      <c r="E21" s="3125"/>
      <c r="F21" s="3126"/>
      <c r="G21" s="3127"/>
      <c r="H21" s="3127"/>
      <c r="I21" s="3127"/>
      <c r="J21" s="6"/>
    </row>
    <row r="22" spans="2:10" x14ac:dyDescent="0.25">
      <c r="B22" s="4"/>
      <c r="C22" s="3129" t="s">
        <v>18819</v>
      </c>
      <c r="D22" s="3131" t="str" cm="1">
        <f t="array" ref="D22">IF(Main_Demos_Select="ESRI",CONCATENATE(SpellNumber(Ring2),IF(rngDriveTimeOption="Miles","-mile radius","-minute drive time")),IF(Main_Demos_Select="LightBox",CONCATENATE(SpellNumber(LEFT(NeighborhoodLBX!F5,1)),"-mile radius"),"No Demos Source Selected"))</f>
        <v>three-mile radius</v>
      </c>
      <c r="E22" s="3125"/>
      <c r="F22" s="3126"/>
      <c r="G22" s="3127"/>
      <c r="H22" s="3127"/>
      <c r="I22" s="3127"/>
      <c r="J22" s="6"/>
    </row>
    <row r="23" spans="2:10" x14ac:dyDescent="0.25">
      <c r="B23" s="4"/>
      <c r="C23" s="3130" t="s">
        <v>72</v>
      </c>
      <c r="D23" s="3132">
        <f>IF(Main_Demos_Select="ESRI",NeighborhoodESRI!F11,IF(Main_Demos_Select="LightBox",NeighborhoodLBX!F11,"No Demos Source Selected"))</f>
        <v>60132</v>
      </c>
      <c r="E23" s="3125"/>
      <c r="F23" s="3126"/>
      <c r="G23" s="3127"/>
      <c r="H23" s="3127"/>
      <c r="I23" s="3127"/>
      <c r="J23" s="6"/>
    </row>
    <row r="24" spans="2:10" x14ac:dyDescent="0.25">
      <c r="B24" s="4"/>
      <c r="C24" s="3130" t="s">
        <v>18820</v>
      </c>
      <c r="D24" s="3133">
        <f>IF(Main_Demos_Select="ESRI",NeighborhoodESRI!F16,IF(Main_Demos_Select="LightBox",NeighborhoodLBX!F16,"No Demos Source Selected"))</f>
        <v>7.0572710339607244E-3</v>
      </c>
      <c r="E24" s="3125"/>
      <c r="F24" s="3126"/>
      <c r="G24" s="3127"/>
      <c r="H24" s="3127"/>
      <c r="I24" s="3127"/>
      <c r="J24" s="6"/>
    </row>
    <row r="25" spans="2:10" x14ac:dyDescent="0.25">
      <c r="B25" s="4"/>
      <c r="C25" s="3130" t="s">
        <v>17845</v>
      </c>
      <c r="D25" s="3132">
        <f>IF(Main_Demos_Select="ESRI",NeighborhoodESRI!F38,IF(Main_Demos_Select="LightBox",NeighborhoodLBX!F38,"No Demos Source Selected"))</f>
        <v>37298</v>
      </c>
      <c r="E25" s="3125"/>
      <c r="F25" s="3126"/>
      <c r="G25" s="3127"/>
      <c r="H25" s="3127"/>
      <c r="I25" s="3127"/>
      <c r="J25" s="6"/>
    </row>
    <row r="26" spans="2:10" x14ac:dyDescent="0.25">
      <c r="B26" s="4"/>
      <c r="C26" s="3130" t="s">
        <v>18822</v>
      </c>
      <c r="D26" s="3134" t="str">
        <f>IF(Main_Demos_Select="ESRI",IF(NeighborhoodESRI!F39&gt;0.55,"Most housing is owner-occupied.",IF(NeighborhoodESRI!F39&lt;0.45,"Most housing is renter-occupied.","Housing is near evenly divided amongst owner and renter occupants.")),IF(Main_Demos_Select="LightBox",IF(NeighborhoodLBX!F39&gt;0.55,"Most housing is owner-occupied.",IF(NeighborhoodLBX!F39&lt;0.45,"Most housing is renter-occupied.","Housing is near evenly divided amongst owner and renter occupants.")),"No Demos Source Selected"))</f>
        <v>Most housing is owner-occupied.</v>
      </c>
      <c r="E26" s="3125"/>
      <c r="F26" s="3126"/>
      <c r="G26" s="3127"/>
      <c r="H26" s="3127"/>
      <c r="I26" s="3127"/>
      <c r="J26" s="6"/>
    </row>
    <row r="27" spans="2:10" x14ac:dyDescent="0.25">
      <c r="B27" s="4"/>
      <c r="C27" s="3130" t="s">
        <v>18821</v>
      </c>
      <c r="D27" s="3135">
        <f>IF(Main_Demos_Select="ESRI",NeighborhoodESRI!F48,IF(Main_Demos_Select="LightBox",NeighborhoodLBX!F48,"No Demos Source Selected"))</f>
        <v>67731</v>
      </c>
      <c r="E27" s="3125"/>
      <c r="F27" s="3126"/>
      <c r="G27" s="3127"/>
      <c r="H27" s="3127"/>
      <c r="I27" s="3127"/>
      <c r="J27" s="6"/>
    </row>
    <row r="28" spans="2:10" x14ac:dyDescent="0.25">
      <c r="B28" s="4"/>
      <c r="C28" s="3128"/>
      <c r="D28" s="3124"/>
      <c r="E28" s="3125"/>
      <c r="F28" s="3126"/>
      <c r="G28" s="3127"/>
      <c r="H28" s="3127"/>
      <c r="I28" s="3127"/>
      <c r="J28" s="6"/>
    </row>
    <row r="29" spans="2:10" x14ac:dyDescent="0.25">
      <c r="B29" s="4"/>
      <c r="C29" s="471" t="s">
        <v>820</v>
      </c>
      <c r="D29" s="2594"/>
      <c r="E29" s="2595"/>
      <c r="F29" s="412"/>
      <c r="G29" s="399"/>
      <c r="H29" s="399"/>
      <c r="I29" s="399"/>
      <c r="J29" s="6"/>
    </row>
    <row r="30" spans="2:10" x14ac:dyDescent="0.25">
      <c r="B30" s="4"/>
      <c r="C30" s="2547" t="s">
        <v>18110</v>
      </c>
      <c r="D30" s="454" t="str">
        <f ca="1">IF(ISNUMBER(FIND("QTD",'MS Charts'!E26)),CONCATENATE(LEFT('MS Charts'!E26,4)," ",IF(LEFT(RIGHT('MS Charts'!E26,5),1)+0=1,"1st",IF(LEFT(RIGHT('MS Charts'!E26,5),1)+0=2,"2nd",IF(LEFT(RIGHT('MS Charts'!E26,5),1)+0=3,"3rd","4th")))," Quarter QTD"),CONCATENATE(LEFT('MS Charts'!E26,4)," ",IF(RIGHT('MS Charts'!E26,1)+0=1,"1st",IF(RIGHT('MS Charts'!E26,1)+0=2,"2nd",IF(RIGHT('MS Charts'!E26,1)+0=3,"3rd","4th")))," Quarter"))</f>
        <v>2022 2nd Quarter</v>
      </c>
      <c r="E30" s="456"/>
      <c r="F30" s="456"/>
      <c r="G30" s="456"/>
      <c r="H30" s="456"/>
      <c r="I30" s="456"/>
      <c r="J30" s="6"/>
    </row>
    <row r="31" spans="2:10" x14ac:dyDescent="0.25">
      <c r="B31" s="4"/>
      <c r="C31" s="2547" t="s">
        <v>18111</v>
      </c>
      <c r="D31" s="454" t="str">
        <f>CONCATENATE(LEFT(HLOOKUP(CONCATENATE("  Period"),CoStar01Array,CoStar_RowOffset_Master+4,FALSE),4)," ",IF(RIGHT(HLOOKUP(CONCATENATE("  Period"),CoStar01Array,CoStar_RowOffset_Master+4,FALSE),1)+0=1,"1st",IF(RIGHT(HLOOKUP(CONCATENATE("  Period"),CoStar01Array,CoStar_RowOffset_Master+4,FALSE),1)+0=2,"2nd",IF(RIGHT(HLOOKUP(CONCATENATE("  Period"),CoStar01Array,CoStar_RowOffset_Master+4,FALSE),1)+0=3,"3rd","4th")))," Quarter")</f>
        <v>2024 2nd Quarter</v>
      </c>
      <c r="E31" s="2548"/>
      <c r="F31" s="2549"/>
      <c r="G31" s="2549"/>
      <c r="H31" s="2549"/>
      <c r="I31" s="2549"/>
      <c r="J31" s="6"/>
    </row>
    <row r="32" spans="2:10" x14ac:dyDescent="0.25">
      <c r="B32" s="4"/>
      <c r="C32" s="455" t="s">
        <v>18117</v>
      </c>
      <c r="D32" s="454" t="str">
        <f>IF(OR(ISNUMBER(FIND("Gross",CoStar_Rent_Data_1A,1)),ISNUMBER(FIND("Full Service",CoStar_Rent_Data_1A,1))),"gross","triple net")</f>
        <v>triple net</v>
      </c>
      <c r="E32" s="462" t="str">
        <f>IF(OR(ISNUMBER(FIND("Gross",CoStar_Rent_Data_1B,1)),ISNUMBER(FIND("Full Service",CoStar_Rent_Data_1B,1))),"gross","triple net")</f>
        <v>triple net</v>
      </c>
      <c r="F32" s="2550" t="str">
        <f>IF(dpMarketStudy_RentStructure_1A=dpMarketStudy_RentStructure_1B,CONCATENATE("Quoted ",PROPER(dpMarketStudy_RentStructure_1A)," Rental Rate PSF"),CONCATENATE("Quoted ",PROPER(dpMarketStudy_RentStructure_1A),"; ",PROPER(dpMarketStudy_RentStructure_1B)," Rental Rate PSF"))</f>
        <v>Quoted Triple Net Rental Rate PSF</v>
      </c>
      <c r="G32" s="2598"/>
      <c r="H32" s="2549"/>
      <c r="I32" s="2549"/>
      <c r="J32" s="6"/>
    </row>
    <row r="33" spans="2:10" x14ac:dyDescent="0.25">
      <c r="B33" s="4"/>
      <c r="C33" s="455" t="s">
        <v>18116</v>
      </c>
      <c r="D33" s="454" t="str">
        <f>IF(OR(ISNUMBER(FIND("Gross",CoStar_Rent_Data_2A,1)),ISNUMBER(FIND("Full Service",CoStar_Rent_Data_2A,1))),"gross","triple net")</f>
        <v>triple net</v>
      </c>
      <c r="E33" s="462" t="str">
        <f>IF(OR(ISNUMBER(FIND("Gross",CoStar_Rent_Data_2B,1)),ISNUMBER(FIND("Full Service",CoStar_Rent_Data_2B,1))),"gross","triple net")</f>
        <v>triple net</v>
      </c>
      <c r="F33" s="2550" t="str">
        <f>IF(dpMarketStudy_RentStructure_2A=dpMarketStudy_RentStructure_2B,CONCATENATE("Quoted ",PROPER(dpMarketStudy_RentStructure_2A)," Rental Rate PSF"),CONCATENATE("Quoted ",PROPER(dpMarketStudy_RentStructure_2A),"; ",PROPER(dpMarketStudy_RentStructure_2B)," Rental Rate PSF"))</f>
        <v>Quoted Triple Net Rental Rate PSF</v>
      </c>
      <c r="G33" s="2598"/>
      <c r="H33" s="2549"/>
      <c r="I33" s="2549"/>
      <c r="J33" s="6"/>
    </row>
    <row r="34" spans="2:10" x14ac:dyDescent="0.25">
      <c r="B34" s="4"/>
      <c r="C34" s="2556"/>
      <c r="D34" s="4369" t="s">
        <v>267</v>
      </c>
      <c r="E34" s="4370"/>
      <c r="F34" s="2597" t="s">
        <v>509</v>
      </c>
      <c r="G34" s="2611" t="s">
        <v>130</v>
      </c>
      <c r="H34" s="2616" t="s">
        <v>1850</v>
      </c>
      <c r="I34" s="2611" t="s">
        <v>91</v>
      </c>
      <c r="J34" s="6"/>
    </row>
    <row r="35" spans="2:10" x14ac:dyDescent="0.25">
      <c r="B35" s="4"/>
      <c r="C35" s="2556" t="s">
        <v>18126</v>
      </c>
      <c r="D35" s="2596">
        <f ca="1">HLOOKUP(CoStar_Rent_Data_1A,INDIRECT(CoStar_Array_Rent_1A),CoStar_RowOffset_Rent,FALSE)</f>
        <v>8.99</v>
      </c>
      <c r="E35" s="2599"/>
      <c r="F35" s="2603">
        <f ca="1">HLOOKUP(CoStar_DataSet_VacancyOption,INDIRECT(CoStar_Array_Vacancy_1A),CoStar_RowOffset_VacancyAbsorb,FALSE)</f>
        <v>5.0999999999999997E-2</v>
      </c>
      <c r="G35" s="2609" t="str">
        <f ca="1">IFERROR(IF(ABS(SUM(OFFSET(INDIRECT(CoStar_Array_Absorption_1A),CoStar_RowOffset_VacancyAbsorb-1,MATCH('MS Data'!$AF$2,INDIRECT(CoStar_VacancyAbsorb_ArrayHeader_1A),0)-1,4,1)))&gt;=1000000,ROUND(SUM(OFFSET(INDIRECT(CoStar_Array_Absorption_1A),CoStar_RowOffset_VacancyAbsorb-1,MATCH('MS Data'!$AF$2,INDIRECT(CoStar_VacancyAbsorb_ArrayHeader_1A),0)-1,4,1))/1000000,1)&amp;" million",SUM(OFFSET(INDIRECT(CoStar_Array_Absorption_1A),CoStar_RowOffset_VacancyAbsorb-1,MATCH('MS Data'!$AF$2,INDIRECT(CoStar_VacancyAbsorb_ArrayHeader_1A),0)-1,4,1))),"NO DATA")</f>
        <v>9.4 million</v>
      </c>
      <c r="H35" s="2615">
        <f ca="1">HLOOKUP('MS Data'!$E$2,INDIRECT(CoStar_Array_Inventory_1A),CoStar_RowOffset_Inventory,FALSE)</f>
        <v>6910</v>
      </c>
      <c r="I35" s="745" t="str">
        <f ca="1">IFERROR(IF(HLOOKUP("Under Construction SF",INDIRECT(CoStar_Array_Inventory_1A),CoStar_RowOffset_Inventory,FALSE)&gt;=1000000,ROUND(HLOOKUP("Under Construction SF",INDIRECT(CoStar_Array_Inventory_1A),CoStar_RowOffset_Inventory,FALSE)/1000000,1)&amp;" million",HLOOKUP("Under Construction SF",INDIRECT(CoStar_Array_Inventory_1A),CoStar_RowOffset_Inventory,FALSE)),"NO DATA")</f>
        <v>9.6 million</v>
      </c>
      <c r="J35" s="6"/>
    </row>
    <row r="36" spans="2:10" x14ac:dyDescent="0.25">
      <c r="B36" s="4"/>
      <c r="C36" s="2547" t="str">
        <f>CONCATENATE("Sector 1A - ",'MS Charts'!F26," Yr. Prior")</f>
        <v>Sector 1A - 1 Yr. Prior</v>
      </c>
      <c r="D36" s="746">
        <f ca="1">HLOOKUP(CoStar_Rent_Data_1A,INDIRECT(CoStar_Array_Rent_1A),CoStar_RowOffset_Rent+4,FALSE)</f>
        <v>8.61</v>
      </c>
      <c r="E36" s="2600"/>
      <c r="F36" s="2604">
        <f ca="1">HLOOKUP(CoStar_DataSet_VacancyOption,INDIRECT(CoStar_Array_Vacancy_1A),CoStar_RowOffset_VacancyAbsorb+4,FALSE)</f>
        <v>6.0999999999999999E-2</v>
      </c>
      <c r="G36" s="796" t="str">
        <f ca="1">IF(SUM(OFFSET(INDIRECT(CoStar_Array_Absorption_1A),CoStar_RowOffset_VacancyAbsorb-1,MATCH('MS Data'!$AF$2,INDIRECT(CoStar_VacancyAbsorb_ArrayHeader_1A),0)-1,4,1))&gt;0,"positive","negative")</f>
        <v>positive</v>
      </c>
      <c r="H36" s="733" t="str">
        <f ca="1">IFERROR(IF(HLOOKUP('MS Data'!$I$2,INDIRECT(CoStar_Array_Inventory_1A),CoStar_RowOffset_Inventory,FALSE)&gt;=1000000,ROUND(HLOOKUP('MS Data'!$I$2,INDIRECT(CoStar_Array_Inventory_1A),CoStar_RowOffset_Inventory,FALSE)/1000000,2)&amp;" million",HLOOKUP('MS Data'!$I$2,INDIRECT(CoStar_Array_Inventory_1A),CoStar_RowOffset_Inventory,FALSE)),"NO DATA")</f>
        <v>229.77 million</v>
      </c>
      <c r="I36" s="744" t="str">
        <f ca="1">IF(HLOOKUP("Under Construction SF",INDIRECT(CoStar_Array_Inventory_1A),CoStar_RowOffset_Inventory,FALSE)/HLOOKUP('MS Data'!$I$2,INDIRECT(CoStar_Array_Inventory_1A),CoStar_RowOffset_Inventory,FALSE)=0,"No new construction was occurring.",CONCATENATE("New construction represented ",TEXT(HLOOKUP("Under Construction SF",INDIRECT(CoStar_Array_Inventory_1A),CoStar_RowOffset_Inventory,FALSE)/HLOOKUP('MS Data'!$I$2,INDIRECT(CoStar_Array_Inventory_1A),CoStar_RowOffset_Inventory,FALSE),"0.0%")," of existing supply."))</f>
        <v>New construction represented 4.2% of existing supply.</v>
      </c>
      <c r="J36" s="6"/>
    </row>
    <row r="37" spans="2:10" x14ac:dyDescent="0.25">
      <c r="B37" s="4"/>
      <c r="C37" s="716" t="s">
        <v>18143</v>
      </c>
      <c r="D37" s="719" t="str">
        <f ca="1">IF(E37&gt;0,CONCATENATE(TEXT(E37,"#0.0%;-#0.0%")," increase"),CONCATENATE(TEXT(ABS(E37),"#0.0%;-#0.0%")," decrease"))</f>
        <v>4.4% increase</v>
      </c>
      <c r="E37" s="2601">
        <f ca="1">(dpMarketStudy_Rent_Current_1A-dpMarketStudy_Rent_Prior_1A)/dpMarketStudy_Rent_Prior_1A</f>
        <v>4.4134727061556425E-2</v>
      </c>
      <c r="F37" s="2605">
        <f ca="1">ROUND((dpMarketStudy_Vacancy_Current_1A-dpMarketStudy_Vacancy_Prior_1A)*10000,0)</f>
        <v>-100</v>
      </c>
      <c r="G37" s="2609" t="str">
        <f ca="1">IFERROR(IF(ABS(SUM(OFFSET(INDIRECT(CoStar_Array_Absorption_1A),CoStar_RowOffset_VacancyAbsorb-1,MATCH('MS Data'!$AJ$2,INDIRECT(CoStar_VacancyAbsorb_ArrayHeader_1A),0)-1,4,1)))&gt;=1000000,ROUND(SUM(OFFSET(INDIRECT(CoStar_Array_Absorption_1A),CoStar_RowOffset_VacancyAbsorb-1,MATCH('MS Data'!$AJ$2,INDIRECT(CoStar_VacancyAbsorb_ArrayHeader_1A),0)-1,4,1))/1000000,1)&amp;" million",SUM(OFFSET(INDIRECT(CoStar_Array_Absorption_1A),CoStar_RowOffset_VacancyAbsorb-1,MATCH('MS Data'!$AJ$2,INDIRECT(CoStar_VacancyAbsorb_ArrayHeader_1A),0)-1,4,1))),"NO DATA")</f>
        <v>8 million</v>
      </c>
      <c r="H37" s="2549"/>
      <c r="I37" s="2549"/>
      <c r="J37" s="6"/>
    </row>
    <row r="38" spans="2:10" x14ac:dyDescent="0.25">
      <c r="B38" s="4"/>
      <c r="C38" s="2556"/>
      <c r="D38" s="2598" t="str">
        <f ca="1">IFERROR(IF((E37-'MS Charts'!I28)&gt;0.005,"higher than the long-term trend",IF((E37-'MS Charts'!I28)&lt;-0.005,"lower than the long-term trend","relatively consistent with the long-term trend")),IF((E37-'MS Charts'!I28)&gt;0.005,"higher than the long-term trend",IF((E37-'MS Charts'!I28)&lt;-0.005,"lower than the long-term trend","relatively consistent with the long-term trend")))</f>
        <v>lower than the long-term trend</v>
      </c>
      <c r="E38" s="2601"/>
      <c r="F38" s="747" t="str">
        <f ca="1">IF(MarketStudy_Vacancy_Trend_1A&gt;9,CONCATENATE("This resulted in a vacancy rate increase of ",ABS(MarketStudy_Vacancy_Trend_1A)," basis points."),IF(MarketStudy_Vacancy_Trend_1A&lt;-9,CONCATENATE("This resulted in a vacancy rate decrease of ",ABS(MarketStudy_Vacancy_Trend_1A)," basis points."),"Vacancy rates were relatively unchanged over the prior year."))</f>
        <v>This resulted in a vacancy rate decrease of 100 basis points.</v>
      </c>
      <c r="G38" s="2549"/>
      <c r="H38" s="2549"/>
      <c r="I38" s="2558"/>
      <c r="J38" s="6"/>
    </row>
    <row r="39" spans="2:10" x14ac:dyDescent="0.25">
      <c r="B39" s="4"/>
      <c r="C39" s="2556"/>
      <c r="D39" s="2613"/>
      <c r="E39" s="2614"/>
      <c r="F39" s="2557" t="str">
        <f ca="1">IF((dpMarketStudy_Vacancy_Current_1A-AVERAGE('MS Charts'!F53:I53))&gt;0.01,"higher than",IF((dpMarketStudy_Vacancy_Current_1A-AVERAGE('MS Charts'!F53:I53))&lt;-0.01,"lower than","relatively consistent with"))</f>
        <v>relatively consistent with</v>
      </c>
      <c r="G39" s="2557"/>
      <c r="H39" s="2558"/>
      <c r="I39" s="2558"/>
      <c r="J39" s="6"/>
    </row>
    <row r="40" spans="2:10" x14ac:dyDescent="0.25">
      <c r="B40" s="4"/>
      <c r="C40" s="2556" t="s">
        <v>18127</v>
      </c>
      <c r="D40" s="746">
        <f ca="1">HLOOKUP(CoStar_Rent_Data_1B,INDIRECT(CoStar_Array_Rent_1B),CoStar_RowOffset_Rent,FALSE)</f>
        <v>9.8000000000000007</v>
      </c>
      <c r="E40" s="2600"/>
      <c r="F40" s="2601">
        <f ca="1">HLOOKUP(CoStar_DataSet_VacancyOption,INDIRECT(CoStar_Array_Vacancy_1B),CoStar_RowOffset_VacancyAbsorb,FALSE)</f>
        <v>5.8000000000000003E-2</v>
      </c>
      <c r="G40" s="2610" t="str">
        <f ca="1">IFERROR(IF(ABS(SUM(OFFSET(INDIRECT(CoStar_Array_Absorption_1B),CoStar_RowOffset_VacancyAbsorb-1,MATCH('MS Data'!$AF$2,INDIRECT(CoStar_VacancyAbsorb_ArrayHeader_1B),0)-1,4,1)))&gt;=1000000,ROUND(SUM(OFFSET(INDIRECT(CoStar_Array_Absorption_1B),CoStar_RowOffset_VacancyAbsorb-1,MATCH('MS Data'!$AF$2,INDIRECT(CoStar_VacancyAbsorb_ArrayHeader_1B),0)-1,4,1))/1000000,1)&amp;" million",SUM(OFFSET(INDIRECT(CoStar_Array_Absorption_1B),CoStar_RowOffset_VacancyAbsorb-1,MATCH('MS Data'!$AF$2,INDIRECT(CoStar_VacancyAbsorb_ArrayHeader_1B),0)-1,4,1))),"NO DATA")</f>
        <v>1 million</v>
      </c>
      <c r="H40" s="2610">
        <f ca="1">HLOOKUP('MS Data'!$E$2,INDIRECT(CoStar_Array_Inventory_1B),CoStar_RowOffset_Inventory,FALSE)</f>
        <v>461</v>
      </c>
      <c r="I40" s="745" t="str">
        <f ca="1">IFERROR(IF(HLOOKUP("Under Construction SF",INDIRECT(CoStar_Array_Inventory_1B),CoStar_RowOffset_Inventory,FALSE)&gt;=1000000,ROUND(HLOOKUP("Under Construction SF",INDIRECT(CoStar_Array_Inventory_1B),CoStar_RowOffset_Inventory,FALSE)/1000000,1)&amp;" million",HLOOKUP("Under Construction SF",INDIRECT(CoStar_Array_Inventory_1B),CoStar_RowOffset_Inventory,FALSE)),"NO DATA")</f>
        <v>1 million</v>
      </c>
      <c r="J40" s="6"/>
    </row>
    <row r="41" spans="2:10" x14ac:dyDescent="0.25">
      <c r="B41" s="4"/>
      <c r="C41" s="2556" t="str">
        <f>CONCATENATE("Sector 1B - ",'MS Charts'!F26," Yr. Prior")</f>
        <v>Sector 1B - 1 Yr. Prior</v>
      </c>
      <c r="D41" s="746">
        <f ca="1">HLOOKUP(CoStar_Rent_Data_1B,INDIRECT(CoStar_Array_Rent_1B),CoStar_RowOffset_Rent+4,FALSE)</f>
        <v>9.83</v>
      </c>
      <c r="E41" s="2601"/>
      <c r="F41" s="2601">
        <f ca="1">HLOOKUP(CoStar_DataSet_VacancyOption,INDIRECT(CoStar_Array_Vacancy_1B),CoStar_RowOffset_VacancyAbsorb+4,FALSE)</f>
        <v>5.8000000000000003E-2</v>
      </c>
      <c r="G41" s="796" t="str">
        <f ca="1">IF(SUM(OFFSET(INDIRECT(CoStar_Array_Absorption_1B),CoStar_RowOffset_VacancyAbsorb-1,MATCH('MS Data'!$AF$2,INDIRECT(CoStar_VacancyAbsorb_ArrayHeader_1B),0)-1,4,1))&gt;0,"positive","negative")</f>
        <v>positive</v>
      </c>
      <c r="H41" s="2610" t="str">
        <f ca="1">IFERROR(IF(HLOOKUP('MS Data'!$I$2,INDIRECT(CoStar_Array_Inventory_1B),CoStar_RowOffset_Inventory,FALSE)&gt;=1000000,ROUND(HLOOKUP('MS Data'!$I$2,INDIRECT(CoStar_Array_Inventory_1B),CoStar_RowOffset_Inventory,FALSE)/1000000,1)&amp;" million",HLOOKUP('MS Data'!$I$2,INDIRECT(CoStar_Array_Inventory_1B),CoStar_RowOffset_Inventory,FALSE)),"NO DATA")</f>
        <v>13.8 million</v>
      </c>
      <c r="I41" s="744" t="str">
        <f ca="1">IF(HLOOKUP("Under Construction SF",INDIRECT(CoStar_Array_Inventory_1B),CoStar_RowOffset_Inventory,FALSE)/HLOOKUP('MS Data'!$I$2,INDIRECT(CoStar_Array_Inventory_1B),CoStar_RowOffset_Inventory,FALSE)=0,"No new construction was occurring.",CONCATENATE("New construction represented ",TEXT(HLOOKUP("Under Construction SF",INDIRECT(CoStar_Array_Inventory_1B),CoStar_RowOffset_Inventory,FALSE)/HLOOKUP('MS Data'!$I$2,INDIRECT(CoStar_Array_Inventory_1B),CoStar_RowOffset_Inventory,FALSE),"0.0%")," of existing supply."))</f>
        <v>New construction represented 7.4% of existing supply.</v>
      </c>
      <c r="J41" s="6"/>
    </row>
    <row r="42" spans="2:10" x14ac:dyDescent="0.25">
      <c r="B42" s="4"/>
      <c r="C42" s="716" t="s">
        <v>18146</v>
      </c>
      <c r="D42" s="719" t="str">
        <f ca="1">IF(E42&gt;0,CONCATENATE(TEXT(E42,"#0.0%;-#0.0%")," increase"),CONCATENATE(TEXT(ABS(E42),"#0.0%;-#0.0%")," decrease"))</f>
        <v>0.3% decrease</v>
      </c>
      <c r="E42" s="2601">
        <f ca="1">(dpMarketStudy_Rent_Current_1B-dpMarketStudy_Rent_Prior_1B)/dpMarketStudy_Rent_Prior_1B</f>
        <v>-3.0518819938961709E-3</v>
      </c>
      <c r="F42" s="2605">
        <f ca="1">ROUND((dpMarketStudy_Vacancy_Current_1B-dpMarketStudy_Vacancy_Prior_1B)*10000,0)</f>
        <v>0</v>
      </c>
      <c r="G42" s="2610" t="str">
        <f ca="1">IFERROR(IF(ABS(SUM(OFFSET(INDIRECT(CoStar_Array_Absorption_1B),CoStar_RowOffset_VacancyAbsorb-1,MATCH('MS Data'!$AJ$2,INDIRECT(CoStar_VacancyAbsorb_ArrayHeader_1B),0)-1,4,1)))&gt;=1000000,ROUND(SUM(OFFSET(INDIRECT(CoStar_Array_Absorption_1B),CoStar_RowOffset_VacancyAbsorb-1,MATCH('MS Data'!$AJ$2,INDIRECT(CoStar_VacancyAbsorb_ArrayHeader_1B),0)-1,4,1))/1000000,1)&amp;" million",SUM(OFFSET(INDIRECT(CoStar_Array_Absorption_1B),CoStar_RowOffset_VacancyAbsorb-1,MATCH('MS Data'!$AJ$2,INDIRECT(CoStar_VacancyAbsorb_ArrayHeader_1B),0)-1,4,1))),"NO DATA")</f>
        <v>1.1 million</v>
      </c>
      <c r="H42" s="2612">
        <f ca="1">HLOOKUP('MS Data'!$I$2,INDIRECT(CoStar_Array_Inventory_1B),CoStar_RowOffset_Inventory,FALSE)/HLOOKUP('MS Data'!$I$2,INDIRECT(CoStar_Array_Inventory_1A),CoStar_RowOffset_Inventory,FALSE)</f>
        <v>6.0069676425910455E-2</v>
      </c>
      <c r="I42" s="2612">
        <f ca="1">IFERROR(IF(HLOOKUP("Under Construction SF",INDIRECT(CoStar_Array_Inventory_1B),CoStar_RowOffset_Inventory,FALSE)/HLOOKUP("Under Construction SF",INDIRECT(CoStar_Array_Inventory_1A),CoStar_RowOffset_Inventory,FALSE)=0,"none",HLOOKUP("Under Construction SF",INDIRECT(CoStar_Array_Inventory_1B),CoStar_RowOffset_Inventory,FALSE)/HLOOKUP("Under Construction SF",INDIRECT(CoStar_Array_Inventory_1A),CoStar_RowOffset_Inventory,FALSE)),"NO DATA")</f>
        <v>0.10554239061461214</v>
      </c>
      <c r="J42" s="6"/>
    </row>
    <row r="43" spans="2:10" x14ac:dyDescent="0.25">
      <c r="B43" s="4"/>
      <c r="C43" s="2556"/>
      <c r="D43" s="2598" t="str">
        <f ca="1">IFERROR(IF((E42-'MS Charts'!I30)&gt;0.005,"higher than the long-term trend",IF((E42-'MS Charts'!I30)&lt;-0.005,"lower than the long-term trend","relatively consistent with the long-term trend")),IF((E42-'MS Charts'!I30)&gt;0.005,"higher than the long-term trend",IF((E42-'MS Charts'!I30)&lt;-0.005,"lower than the long-term trend","relatively consistent with the long-term trend")))</f>
        <v>lower than the long-term trend</v>
      </c>
      <c r="E43" s="2601"/>
      <c r="F43" s="747" t="str">
        <f ca="1">IF(MarketStudy_Vacancy_Trend_1B&gt;9,CONCATENATE("This resulted in a vacancy rate increase of ",ABS(MarketStudy_Vacancy_Trend_1B)," basis points."),IF(MarketStudy_Vacancy_Trend_1B&lt;-9,CONCATENATE("This resulted in a vacancy rate decrease of ",ABS(MarketStudy_Vacancy_Trend_1B)," basis points."),"Vacancy rates were relatively unchanged over the prior year."))</f>
        <v>Vacancy rates were relatively unchanged over the prior year.</v>
      </c>
      <c r="G43" s="2549"/>
      <c r="H43" s="2558"/>
      <c r="I43" s="2558"/>
      <c r="J43" s="6"/>
    </row>
    <row r="44" spans="2:10" x14ac:dyDescent="0.25">
      <c r="B44" s="4"/>
      <c r="C44" s="2556"/>
      <c r="D44" s="2613"/>
      <c r="E44" s="2601"/>
      <c r="F44" s="2601" t="str">
        <f ca="1">IF((dpMarketStudy_Vacancy_Current_1B-AVERAGE('MS Charts'!F56:I56))&gt;0.01,"higher than",IF((dpMarketStudy_Vacancy_Current_1B-AVERAGE('MS Charts'!F56:I56))&lt;-0.01,"lower than","relatively consistent with"))</f>
        <v>higher than</v>
      </c>
      <c r="G44" s="2601"/>
      <c r="H44" s="2558"/>
      <c r="I44" s="2558"/>
      <c r="J44" s="6"/>
    </row>
    <row r="45" spans="2:10" x14ac:dyDescent="0.25">
      <c r="B45" s="4"/>
      <c r="C45" s="2556"/>
      <c r="D45" s="2613"/>
      <c r="E45" s="2601"/>
      <c r="F45" s="2602" t="str">
        <f ca="1">IF(F39=F44,CONCATENATE("Both sectors had vacancy rates that were ",F39," the long-term trend."),CONCATENATE("The ",dpMarketStudy_Vacancy_Property_1A," sector had a vacancy rate that was ",F39," the long-term trend, but the ",dpMarketStudy_Vacancy_Property_1B," sector had a vacancy rate that was ",F44," the long-term trend."))</f>
        <v>The Industrial sector had a vacancy rate that was relatively consistent with the long-term trend, but the Warehouse sector had a vacancy rate that was higher than the long-term trend.</v>
      </c>
      <c r="G45" s="2601"/>
      <c r="H45" s="2558"/>
      <c r="I45" s="2558"/>
      <c r="J45" s="6"/>
    </row>
    <row r="46" spans="2:10" x14ac:dyDescent="0.25">
      <c r="B46" s="4"/>
      <c r="C46" s="2556" t="s">
        <v>18140</v>
      </c>
      <c r="D46" s="454" t="str">
        <f ca="1">IF((dpMarketStudy_Rent_Current_1A-dpMarketStudy_Rent_Current_1B)/ABS(dpMarketStudy_Rent_Current_1A)&lt;-0.01,CONCATENATE(TEXT(ABS((dpMarketStudy_Rent_Current_1A-dpMarketStudy_Rent_Current_1B)/ABS(dpMarketStudy_Rent_Current_1A)),"0.0%")," higher than"),IF((dpMarketStudy_Rent_Current_1A-dpMarketStudy_Rent_Current_1B)/ABS(dpMarketStudy_Rent_Current_1A)&gt;0.01,CONCATENATE(TEXT(ABS((dpMarketStudy_Rent_Current_1A-dpMarketStudy_Rent_Current_1B)/ABS(dpMarketStudy_Rent_Current_1A)),"0.0%")," lower than"),"similar to"))</f>
        <v>9.0% higher than</v>
      </c>
      <c r="E46" s="2602" t="str">
        <f ca="1">IF(('MS Charts'!I30-'MS Charts'!I28)&gt;0.005,"higher",IF(('MS Charts'!I30-'MS Charts'!I28)&lt;-0.005,"lower","similar"))</f>
        <v>similar</v>
      </c>
      <c r="F46" s="2602" t="str">
        <f ca="1">IF(('MS Charts'!E56-'MS Charts'!E53)&gt;0.005,"higher than",IF(('MS Charts'!E56-'MS Charts'!E53)&lt;-0.005,"lower than","similar to"))</f>
        <v>higher than</v>
      </c>
      <c r="G46" s="2549"/>
      <c r="H46" s="2558"/>
      <c r="I46" s="456"/>
      <c r="J46" s="6"/>
    </row>
    <row r="47" spans="2:10" x14ac:dyDescent="0.25">
      <c r="B47" s="4"/>
      <c r="C47" s="2556" t="s">
        <v>18128</v>
      </c>
      <c r="D47" s="746">
        <f ca="1">HLOOKUP(CoStar_Rent_Data_2A,INDIRECT(CoStar_Array_Rent_2A),CoStar_RowOffset_Rent,FALSE)</f>
        <v>9.68</v>
      </c>
      <c r="E47" s="2600"/>
      <c r="F47" s="2601">
        <f ca="1">HLOOKUP(CoStar_DataSet_VacancyOption,INDIRECT(CoStar_Array_Vacancy_2A),CoStar_RowOffset_VacancyAbsorb,FALSE)</f>
        <v>4.7E-2</v>
      </c>
      <c r="G47" s="2629" t="str">
        <f ca="1">IFERROR(IF(ABS(SUM(OFFSET(INDIRECT(CoStar_Array_Absorption_2A),CoStar_RowOffset_VacancyAbsorb-1,MATCH('MS Data'!$AF$2,INDIRECT(CoStar_VacancyAbsorb_ArrayHeader_2A),0)-1,4,1)))&gt;=1000000,ROUND(SUM(OFFSET(INDIRECT(CoStar_Array_Absorption_2A),CoStar_RowOffset_VacancyAbsorb-1,MATCH('MS Data'!$AF$2,INDIRECT(CoStar_VacancyAbsorb_ArrayHeader_2A),0)-1,4,1))/1000000,1)&amp;" million",SUM(OFFSET(INDIRECT(CoStar_Array_Absorption_2A),CoStar_RowOffset_VacancyAbsorb-1,MATCH('MS Data'!$AF$2,INDIRECT(CoStar_VacancyAbsorb_ArrayHeader_2A),0)-1,4,1))),"NO DATA")</f>
        <v>2 million</v>
      </c>
      <c r="H47" s="2630">
        <f ca="1">HLOOKUP('MS Data'!$E$2,INDIRECT(CoStar_Array_Inventory_2A),CoStar_RowOffset_Inventory,FALSE)</f>
        <v>721</v>
      </c>
      <c r="I47" s="745">
        <f ca="1">IFERROR(IF(HLOOKUP("Under Construction SF",INDIRECT(CoStar_Array_Absorption_2A),CoStar_RowOffset_Master,FALSE)&gt;=1000000,ROUND(HLOOKUP("Under Construction SF",INDIRECT(CoStar_Array_Absorption_2A),CoStar_RowOffset_Master,FALSE)/1000000,1)&amp;" million",HLOOKUP("Under Construction SF",INDIRECT(CoStar_Array_Absorption_2A),CoStar_RowOffset_Master,FALSE)),"NO DATA")</f>
        <v>646015</v>
      </c>
      <c r="J47" s="6"/>
    </row>
    <row r="48" spans="2:10" x14ac:dyDescent="0.25">
      <c r="B48" s="4"/>
      <c r="C48" s="716" t="str">
        <f>CONCATENATE("Sector 2A - ",'MS Charts'!F39," Yr. Prior")</f>
        <v>Sector 2A - 1 Yr. Prior</v>
      </c>
      <c r="D48" s="746">
        <f ca="1">HLOOKUP(CoStar_Rent_Data_2A,INDIRECT(CoStar_Array_Rent_2A),CoStar_RowOffset_Rent+4,FALSE)</f>
        <v>9.59</v>
      </c>
      <c r="E48" s="2600"/>
      <c r="F48" s="2601">
        <f ca="1">HLOOKUP(CoStar_DataSet_VacancyOption,INDIRECT(CoStar_Array_Vacancy_2A),CoStar_RowOffset_VacancyAbsorb+4,FALSE)</f>
        <v>5.6000000000000001E-2</v>
      </c>
      <c r="G48" s="796" t="str">
        <f ca="1">IF(SUM(OFFSET(INDIRECT(CoStar_Array_Absorption_2A),CoStar_RowOffset_VacancyAbsorb-1,MATCH('MS Data'!$AF$2,INDIRECT(CoStar_VacancyAbsorb_ArrayHeader_2A),0)-1,4,1))&gt;0,"positive","negative")</f>
        <v>positive</v>
      </c>
      <c r="H48" s="2610" t="str">
        <f ca="1">IFERROR(IF(HLOOKUP('MS Data'!$I$2,INDIRECT(CoStar_Array_Inventory_2A),CoStar_RowOffset_Inventory,FALSE)&gt;=1000000,ROUND(HLOOKUP('MS Data'!$I$2,INDIRECT(CoStar_Array_Inventory_2A),CoStar_RowOffset_Inventory,FALSE)/1000000,1)&amp;" million",HLOOKUP('MS Data'!$I$2,INDIRECT(CoStar_Array_Inventory_2A),CoStar_RowOffset_Inventory,FALSE)),"NO DATA")</f>
        <v>24.5 million</v>
      </c>
      <c r="I48" s="744" t="str">
        <f ca="1">IF(HLOOKUP("Under Construction SF",INDIRECT(CoStar_Array_Inventory_2A),CoStar_RowOffset_Inventory,FALSE)/HLOOKUP('MS Data'!$I$2,INDIRECT(CoStar_Array_Inventory_2A),CoStar_RowOffset_Inventory,FALSE)=0,"No new construction was occurring.",CONCATENATE("New construction represented ",TEXT(HLOOKUP("Under Construction SF",INDIRECT(CoStar_Array_Inventory_2A),CoStar_RowOffset_Inventory,FALSE)/HLOOKUP('MS Data'!$I$2,INDIRECT(CoStar_Array_Inventory_2A),CoStar_RowOffset_Inventory,FALSE),"0.0%")," of existing supply."))</f>
        <v>New construction represented 5.9% of existing supply.</v>
      </c>
      <c r="J48" s="6"/>
    </row>
    <row r="49" spans="2:10" x14ac:dyDescent="0.25">
      <c r="B49" s="4"/>
      <c r="C49" s="716" t="s">
        <v>18145</v>
      </c>
      <c r="D49" s="719" t="str">
        <f ca="1">IF(E49&gt;0,CONCATENATE(TEXT(E49,"#0.0%;-#0.0%")," increase"),CONCATENATE(TEXT(ABS(E49),"#0.0%;-#0.0%")," decrease"))</f>
        <v>0.9% increase</v>
      </c>
      <c r="E49" s="2601">
        <f ca="1">(dpMarketStudy_Rent_Current_2A-dpMarketStudy_Rent_Prior_2A)/dpMarketStudy_Rent_Prior_2A</f>
        <v>9.3847758081334574E-3</v>
      </c>
      <c r="F49" s="2605">
        <f ca="1">ROUND((dpMarketStudy_Vacancy_Current_2A-dpMarketStudy_Vacancy_Prior_2A)*10000,0)</f>
        <v>-90</v>
      </c>
      <c r="G49" s="2629" t="str">
        <f ca="1">IFERROR(IF(ABS(SUM(OFFSET(INDIRECT(CoStar_Array_Absorption_2A),CoStar_RowOffset_VacancyAbsorb-1,MATCH('MS Data'!$AJ$2,INDIRECT(CoStar_VacancyAbsorb_ArrayHeader_2A),0)-1,4,1)))&gt;=1000000,ROUND(SUM(OFFSET(INDIRECT(CoStar_Array_Absorption_2A),CoStar_RowOffset_VacancyAbsorb-1,MATCH('MS Data'!$AJ$2,INDIRECT(CoStar_VacancyAbsorb_ArrayHeader_2A),0)-1,4,1))/1000000,1)&amp;" million",SUM(OFFSET(INDIRECT(CoStar_Array_Absorption_2A),CoStar_RowOffset_VacancyAbsorb-1,MATCH('MS Data'!$AJ$2,INDIRECT(CoStar_VacancyAbsorb_ArrayHeader_2A),0)-1,4,1))),"NO DATA")</f>
        <v>1.9 million</v>
      </c>
      <c r="H49" s="2558"/>
      <c r="I49" s="2558"/>
      <c r="J49" s="6"/>
    </row>
    <row r="50" spans="2:10" x14ac:dyDescent="0.25">
      <c r="B50" s="4"/>
      <c r="C50" s="2556"/>
      <c r="D50" s="2598" t="str">
        <f ca="1">IFERROR(IF((E49-'MS Charts'!I41)&gt;0.005,"higher than the long-term trend",IF((E49-'MS Charts'!I41)&lt;-0.005,"lower than the long-term trend","relatively consistent with the long-term trend")),IF((E49-'MS Charts'!I41)&gt;0.005,"higher than the long-term trend",IF((E49-'MS Charts'!I41)&lt;-0.005,"lower than the long-term trend","relatively consistent with the long-term trend")))</f>
        <v>lower than the long-term trend</v>
      </c>
      <c r="E50" s="2601"/>
      <c r="F50" s="747" t="str">
        <f ca="1">IF(MarketStudy_Vacancy_Trend_2A&gt;9,CONCATENATE("This resulted in a vacancy rate increase of ",ABS(MarketStudy_Vacancy_Trend_2A)," basis points."),IF(MarketStudy_Vacancy_Trend_2A&lt;-9,CONCATENATE("This resulted in a vacancy rate decrease of ",ABS(MarketStudy_Vacancy_Trend_2A)," basis points."),"Vacancy rates were relatively unchanged over the prior year."))</f>
        <v>This resulted in a vacancy rate decrease of 90 basis points.</v>
      </c>
      <c r="G50" s="2345"/>
      <c r="H50" s="2558"/>
      <c r="I50" s="2558"/>
      <c r="J50" s="6"/>
    </row>
    <row r="51" spans="2:10" x14ac:dyDescent="0.25">
      <c r="B51" s="4"/>
      <c r="C51" s="2556"/>
      <c r="D51" s="2613"/>
      <c r="E51" s="2614"/>
      <c r="F51" s="2602" t="str">
        <f ca="1">IF((dpMarketStudy_Vacancy_Current_2A-AVERAGE('MS Charts'!F66:I66))&gt;0.01,"higher than",IF((dpMarketStudy_Vacancy_Current_2A-AVERAGE('MS Charts'!F66:I66))&lt;-0.01,"lower than","relatively consistent with"))</f>
        <v>relatively consistent with</v>
      </c>
      <c r="G51" s="2602"/>
      <c r="H51" s="2558"/>
      <c r="I51" s="2631"/>
      <c r="J51" s="6"/>
    </row>
    <row r="52" spans="2:10" x14ac:dyDescent="0.25">
      <c r="B52" s="4"/>
      <c r="C52" s="455" t="s">
        <v>18141</v>
      </c>
      <c r="D52" s="746" t="e">
        <f ca="1">HLOOKUP(CoStar_Rent_Data_2B,INDIRECT(CoStar_Array_Rent_2B),CoStar_RowOffset_Rent,FALSE)</f>
        <v>#N/A</v>
      </c>
      <c r="E52" s="2600"/>
      <c r="F52" s="2601" t="e">
        <f ca="1">HLOOKUP(CoStar_DataSet_VacancyOption,INDIRECT(CoStar_Array_Vacancy_2B),CoStar_RowOffset_VacancyAbsorb,FALSE)</f>
        <v>#N/A</v>
      </c>
      <c r="G52" s="2610" t="str">
        <f ca="1">IFERROR(IF(ABS(SUM(OFFSET(INDIRECT(CoStar_Array_Absorption_2B),CoStar_RowOffset_VacancyAbsorb-1,MATCH('MS Data'!$AF$2,INDIRECT(CoStar_VacancyAbsorb_ArrayHeader_2B),0)-1,4,1)))&gt;=1000000,ROUND(SUM(OFFSET(INDIRECT(CoStar_Array_Absorption_2B),CoStar_RowOffset_VacancyAbsorb-1,MATCH('MS Data'!$AF$2,INDIRECT(CoStar_VacancyAbsorb_ArrayHeader_2B),0)-1,4,1))/1000000,1)&amp;" million",SUM(OFFSET(INDIRECT(CoStar_Array_Absorption_2B),CoStar_RowOffset_VacancyAbsorb-1,MATCH('MS Data'!$AF$2,INDIRECT(CoStar_VacancyAbsorb_ArrayHeader_2B),0)-1,4,1))),"NO DATA")</f>
        <v>NO DATA</v>
      </c>
      <c r="H52" s="2630" t="e">
        <f ca="1">HLOOKUP('MS Data'!$E$2,INDIRECT(CoStar_Array_Inventory_2B),CoStar_RowOffset_Inventory,FALSE)</f>
        <v>#N/A</v>
      </c>
      <c r="I52" s="745" t="str">
        <f ca="1">IFERROR(IF(HLOOKUP("Under Construction SF",INDIRECT(CoStar_Array_Absorption_2B),CoStar_RowOffset_Master,FALSE)&gt;=1000000,ROUND(HLOOKUP("Under Construction SF",INDIRECT(CoStar_Array_Absorption_2B),CoStar_RowOffset_Master,FALSE)/1000000,1)&amp;" million",HLOOKUP("Under Construction SF",INDIRECT(CoStar_Array_Absorption_2B),CoStar_RowOffset_Master,FALSE)),"NO DATA")</f>
        <v>NO DATA</v>
      </c>
      <c r="J52" s="6"/>
    </row>
    <row r="53" spans="2:10" x14ac:dyDescent="0.25">
      <c r="B53" s="4"/>
      <c r="C53" s="716" t="str">
        <f>CONCATENATE("Sector 2B - ",'MS Charts'!F52," Yr. Prior")</f>
        <v>Sector 2B - 1 Yr. Prior</v>
      </c>
      <c r="D53" s="746" t="e">
        <f ca="1">HLOOKUP(CoStar_Rent_Data_2B,INDIRECT(CoStar_Array_Rent_2B),CoStar_RowOffset_Rent+4,FALSE)</f>
        <v>#N/A</v>
      </c>
      <c r="E53" s="2601"/>
      <c r="F53" s="2601" t="e">
        <f ca="1">HLOOKUP(CoStar_DataSet_VacancyOption,INDIRECT(CoStar_Array_Vacancy_2B),CoStar_RowOffset_VacancyAbsorb+4,FALSE)</f>
        <v>#N/A</v>
      </c>
      <c r="G53" s="796" t="e">
        <f ca="1">IF(SUM(OFFSET(INDIRECT(CoStar_Array_Absorption_2B),CoStar_RowOffset_VacancyAbsorb-1,MATCH('MS Data'!$AF$2,INDIRECT(CoStar_VacancyAbsorb_ArrayHeader_2B),0)-1,4,1))&gt;0,"positive","negative")</f>
        <v>#N/A</v>
      </c>
      <c r="H53" s="2610" t="str">
        <f ca="1">IFERROR(IF(HLOOKUP('MS Data'!$I$2,INDIRECT(CoStar_Array_Inventory_2B),CoStar_RowOffset_Inventory,FALSE)&gt;=1000000,ROUND(HLOOKUP('MS Data'!$I$2,INDIRECT(CoStar_Array_Inventory_2B),CoStar_RowOffset_Inventory,FALSE)/1000000,1)&amp;" million",HLOOKUP('MS Data'!$I$2,INDIRECT(CoStar_Array_Inventory_2B),CoStar_RowOffset_Inventory,FALSE)),"NO DATA")</f>
        <v>NO DATA</v>
      </c>
      <c r="I53" s="744" t="e">
        <f ca="1">IF(HLOOKUP("Under Construction SF",INDIRECT(CoStar_Array_Inventory_2B),CoStar_RowOffset_Inventory,FALSE)/HLOOKUP('MS Data'!$I$2,INDIRECT(CoStar_Array_Inventory_2B),CoStar_RowOffset_Inventory,FALSE)=0,"No new construction was occurring.",CONCATENATE("New construction represented ",TEXT(HLOOKUP("Under Construction SF",INDIRECT(CoStar_Array_Inventory_2B),CoStar_RowOffset_Inventory,FALSE)/HLOOKUP('MS Data'!$I$2,INDIRECT(CoStar_Array_Inventory_2B),CoStar_RowOffset_Inventory,FALSE),"0.0%")," of existing supply."))</f>
        <v>#N/A</v>
      </c>
      <c r="J53" s="6"/>
    </row>
    <row r="54" spans="2:10" x14ac:dyDescent="0.25">
      <c r="B54" s="4"/>
      <c r="C54" s="716" t="s">
        <v>18144</v>
      </c>
      <c r="D54" s="719" t="e">
        <f ca="1">IF(E54&gt;0,CONCATENATE(TEXT(E54,"#0.0%;-#0.0%")," increase"),CONCATENATE(TEXT(ABS(E54),"#0.0%;-#0.0%")," decrease"))</f>
        <v>#N/A</v>
      </c>
      <c r="E54" s="1339" t="e">
        <f ca="1">(dpMarketStudy_Rent_Current_2B-dpMarketStudy_Rent_Prior_2B)/dpMarketStudy_Rent_Prior_2B</f>
        <v>#N/A</v>
      </c>
      <c r="F54" s="2605" t="e">
        <f ca="1">ROUND((dpMarketStudy_Vacancy_Current_2B-dpMarketStudy_Vacancy_Prior_2B)*10000,0)</f>
        <v>#N/A</v>
      </c>
      <c r="G54" s="2610" t="str">
        <f ca="1">IFERROR(IF(ABS(SUM(OFFSET(INDIRECT(CoStar_Array_Absorption_2B),CoStar_RowOffset_VacancyAbsorb-1,MATCH('MS Data'!$AJ$2,INDIRECT(CoStar_VacancyAbsorb_ArrayHeader_2B),0)-1,4,1)))&gt;=1000000,ROUND(SUM(OFFSET(INDIRECT(CoStar_Array_Absorption_2B),CoStar_RowOffset_VacancyAbsorb-1,MATCH('MS Data'!$AJ$2,INDIRECT(CoStar_VacancyAbsorb_ArrayHeader_2B),0)-1,4,1))/1000000,1)&amp;" million",SUM(OFFSET(INDIRECT(CoStar_Array_Absorption_2B),CoStar_RowOffset_VacancyAbsorb-1,MATCH('MS Data'!$AJ$2,INDIRECT(CoStar_VacancyAbsorb_ArrayHeader_2B),0)-1,4,1))),"NO DATA")</f>
        <v>NO DATA</v>
      </c>
      <c r="H54" s="2612" t="e">
        <f ca="1">HLOOKUP('MS Data'!$I$2,INDIRECT(CoStar_Array_Inventory_2B),CoStar_RowOffset_Inventory,FALSE)/HLOOKUP('MS Data'!$I$2,INDIRECT(CoStar_Array_Inventory_2A),CoStar_RowOffset_Inventory,FALSE)</f>
        <v>#N/A</v>
      </c>
      <c r="I54" s="2612" t="str">
        <f ca="1">IFERROR(IF(HLOOKUP("Under Construction SF",INDIRECT(CoStar_Array_Inventory_2B),CoStar_RowOffset_Inventory,FALSE)/HLOOKUP("Under Construction SF",INDIRECT(CoStar_Array_Inventory_2A),CoStar_RowOffset_Inventory,FALSE)=0,"none",HLOOKUP("Under Construction SF",INDIRECT(CoStar_Array_Inventory_2B),CoStar_RowOffset_Inventory,FALSE)/HLOOKUP("Under Construction SF",INDIRECT(CoStar_Array_Inventory_2A),CoStar_RowOffset_Inventory,FALSE)),"NO DATA")</f>
        <v>NO DATA</v>
      </c>
      <c r="J54" s="6"/>
    </row>
    <row r="55" spans="2:10" x14ac:dyDescent="0.25">
      <c r="B55" s="4"/>
      <c r="C55" s="2556"/>
      <c r="D55" s="2598" t="e">
        <f ca="1">IFERROR(IF((E54-'MS Charts'!I43)&gt;0.005,"higher than the long-term trend",IF((E54-'MS Charts'!I43)&lt;-0.005,"lower than the long-term trend","relatively consistent with the long-term trend")),IF((E54-'MS Charts'!I43)&gt;0.005,"higher than the long-term trend",IF((E54-'MS Charts'!I43)&lt;-0.005,"lower than the long-term trend","relatively consistent with the long-term trend")))</f>
        <v>#N/A</v>
      </c>
      <c r="E55" s="2557"/>
      <c r="F55" s="747" t="e">
        <f ca="1">IF(MarketStudy_Vacancy_Trend_2B&gt;9,CONCATENATE("This resulted in a vacancy rate increase of ",ABS(MarketStudy_Vacancy_Trend_2B)," basis points."),IF(MarketStudy_Vacancy_Trend_2B&lt;-9,CONCATENATE("This resulted in a vacancy rate decrease of ",ABS(MarketStudy_Vacancy_Trend_2B)," basis points."),"Vacancy rates were relatively unchanged over the prior year."))</f>
        <v>#N/A</v>
      </c>
      <c r="G55" s="2345"/>
      <c r="H55" s="2558"/>
      <c r="I55" s="2558"/>
      <c r="J55" s="6"/>
    </row>
    <row r="56" spans="2:10" x14ac:dyDescent="0.25">
      <c r="B56" s="4"/>
      <c r="C56" s="2556" t="s">
        <v>18142</v>
      </c>
      <c r="D56" s="454" t="e">
        <f ca="1">IF((dpMarketStudy_Rent_Current_2A-dpMarketStudy_Rent_Current_2B)/ABS(dpMarketStudy_Rent_Current_2A)&lt;-0.01,CONCATENATE(TEXT(ABS((dpMarketStudy_Rent_Current_2A-dpMarketStudy_Rent_Current_2B)/ABS(dpMarketStudy_Rent_Current_2A)),"0.0%")," higher than"),IF((dpMarketStudy_Rent_Current_2A-dpMarketStudy_Rent_Current_2B)/ABS(dpMarketStudy_Rent_Current_2A)&gt;0.01,CONCATENATE(TEXT(ABS((dpMarketStudy_Rent_Current_2A-dpMarketStudy_Rent_Current_2B)/ABS(dpMarketStudy_Rent_Current_2A)),"0.0%")," lower than"),"similar to"))</f>
        <v>#N/A</v>
      </c>
      <c r="E56" s="462" t="e">
        <f ca="1">IF(('MS Charts'!H43-'MS Charts'!H41)&gt;0.005,"higher",IF(('MS Charts'!H43-'MS Charts'!H41)&lt;-0.005,"lower","similar"))</f>
        <v>#VALUE!</v>
      </c>
      <c r="F56" s="2602" t="e">
        <f ca="1">IF((dpMarketStudy_Vacancy_Current_2B-AVERAGE('MS Charts'!F69:I69))&gt;0.01,"higher than",IF((dpMarketStudy_Vacancy_Current_2B-AVERAGE('MS Charts'!F69:I69))&lt;-0.01,"lower than","relatively consistent with"))</f>
        <v>#N/A</v>
      </c>
      <c r="G56" s="2558"/>
      <c r="H56" s="2558"/>
      <c r="I56" s="456"/>
      <c r="J56" s="6"/>
    </row>
    <row r="57" spans="2:10" x14ac:dyDescent="0.25">
      <c r="B57" s="4"/>
      <c r="C57" s="2593"/>
      <c r="D57" s="720"/>
      <c r="E57" s="720"/>
      <c r="F57" s="2602" t="e">
        <f ca="1">IF(F51=F56,CONCATENATE("Both sectors had vacancy rates that were ",F51," the long-term trend."),CONCATENATE("The ",dpMarketStudy_Vacancy_Property_2A," sector had a vacancy rate that was ",F51," the long-term trend, but the ",dpMarketStudy_Vacancy_Property_2B," sector had a vacancy rate that was ",F56," the long-term trend."))</f>
        <v>#N/A</v>
      </c>
      <c r="G57" s="720"/>
      <c r="H57" s="2558"/>
      <c r="I57" s="720"/>
      <c r="J57" s="6"/>
    </row>
    <row r="58" spans="2:10" x14ac:dyDescent="0.25">
      <c r="B58" s="4"/>
      <c r="C58" s="455"/>
      <c r="D58" s="451"/>
      <c r="E58" s="454"/>
      <c r="F58" s="2612" t="e">
        <f ca="1">IF(('MS Charts'!E69-'MS Charts'!E66)&gt;0.005,"higher than",IF(('MS Charts'!E69-'MS Charts'!E66)&lt;-0.005,"lower than","similar to"))</f>
        <v>#VALUE!</v>
      </c>
      <c r="G58" s="456"/>
      <c r="H58" s="456"/>
      <c r="I58" s="456"/>
      <c r="J58" s="6"/>
    </row>
    <row r="59" spans="2:10" x14ac:dyDescent="0.25">
      <c r="B59" s="4"/>
      <c r="C59" s="360" t="s">
        <v>766</v>
      </c>
      <c r="D59" s="411"/>
      <c r="E59" s="413"/>
      <c r="F59" s="399"/>
      <c r="G59" s="399"/>
      <c r="H59" s="399"/>
      <c r="I59" s="399"/>
      <c r="J59" s="6"/>
    </row>
    <row r="60" spans="2:10" x14ac:dyDescent="0.25">
      <c r="B60" s="4"/>
      <c r="C60" s="457" t="s">
        <v>768</v>
      </c>
      <c r="D60" s="454" t="str">
        <f>IF(OR(LEFT(Subject_CornerExposure,1)="A",LEFT(Subject_CornerExposure,1)="E",LEFT(Subject_CornerExposure,1)="I",LEFT(Subject_CornerExposure,1)="O",LEFT(Subject_CornerExposure,1)="U"),"an","a")</f>
        <v>a</v>
      </c>
      <c r="E60" s="413"/>
      <c r="F60" s="399"/>
      <c r="G60" s="399"/>
      <c r="H60" s="399"/>
      <c r="I60" s="399"/>
      <c r="J60" s="6"/>
    </row>
    <row r="61" spans="2:10" x14ac:dyDescent="0.25">
      <c r="B61" s="4"/>
      <c r="C61" s="417"/>
      <c r="D61" s="411"/>
      <c r="E61" s="413"/>
      <c r="F61" s="399"/>
      <c r="G61" s="399"/>
      <c r="H61" s="399"/>
      <c r="I61" s="399"/>
      <c r="J61" s="6"/>
    </row>
    <row r="62" spans="2:10" x14ac:dyDescent="0.25">
      <c r="B62" s="4"/>
      <c r="C62" s="360" t="s">
        <v>640</v>
      </c>
      <c r="D62" s="374"/>
      <c r="E62" s="363"/>
      <c r="F62" s="359"/>
      <c r="G62" s="359"/>
      <c r="H62" s="359"/>
      <c r="I62" s="359"/>
      <c r="J62" s="6"/>
    </row>
    <row r="63" spans="2:10" x14ac:dyDescent="0.25">
      <c r="B63" s="4"/>
      <c r="C63" s="361" t="s">
        <v>767</v>
      </c>
      <c r="D63" s="454" t="str">
        <f>IF(OR(LEFT(Subject_ParkingDescription,1)="A",LEFT(Subject_ParkingDescription,1)="E",LEFT(Subject_ParkingDescription,1)="I",LEFT(Subject_ParkingDescription,1)="O",LEFT(Subject_ParkingDescription,1)="U"),"an","a")</f>
        <v>a</v>
      </c>
      <c r="E63" s="454"/>
      <c r="F63" s="456"/>
      <c r="G63" s="456"/>
      <c r="H63" s="456"/>
      <c r="I63" s="456"/>
      <c r="J63" s="6"/>
    </row>
    <row r="64" spans="2:10" x14ac:dyDescent="0.25">
      <c r="B64" s="4"/>
      <c r="C64" s="361" t="s">
        <v>639</v>
      </c>
      <c r="D64" s="363" t="str">
        <f>LEFT(Subject_ConstructionClass,1)</f>
        <v>B</v>
      </c>
      <c r="E64" s="363"/>
      <c r="F64" s="359"/>
      <c r="G64" s="359"/>
      <c r="H64" s="359"/>
      <c r="I64" s="359"/>
      <c r="J64" s="6"/>
    </row>
    <row r="65" spans="2:10" x14ac:dyDescent="0.25">
      <c r="B65" s="4"/>
      <c r="C65" s="455" t="s">
        <v>771</v>
      </c>
      <c r="D65" s="454" t="str">
        <f>IF(Subject_AgeEffective&gt;15,"older","newer")</f>
        <v>newer</v>
      </c>
      <c r="E65" s="454"/>
      <c r="F65" s="456"/>
      <c r="G65" s="456"/>
      <c r="H65" s="456"/>
      <c r="I65" s="456"/>
      <c r="J65" s="6"/>
    </row>
    <row r="66" spans="2:10" x14ac:dyDescent="0.25">
      <c r="B66" s="4"/>
      <c r="C66" s="698" t="s">
        <v>18195</v>
      </c>
      <c r="D66" s="701">
        <f>IF(OR(Subject_Year_Built_Range="",Subject_Year_Built_Range="N/A"),Subject_Year_Built,Subject_Year_Built_Range)</f>
        <v>2021</v>
      </c>
      <c r="E66" s="699"/>
      <c r="F66" s="700"/>
      <c r="G66" s="700"/>
      <c r="H66" s="700"/>
      <c r="I66" s="700"/>
      <c r="J66" s="6"/>
    </row>
    <row r="67" spans="2:10" x14ac:dyDescent="0.25">
      <c r="B67" s="4"/>
      <c r="C67" s="358"/>
      <c r="D67" s="374"/>
      <c r="E67" s="363"/>
      <c r="F67" s="359"/>
      <c r="G67" s="359"/>
      <c r="H67" s="359"/>
      <c r="I67" s="359"/>
      <c r="J67" s="6"/>
    </row>
    <row r="68" spans="2:10" x14ac:dyDescent="0.25">
      <c r="B68" s="4"/>
      <c r="C68" s="365" t="s">
        <v>581</v>
      </c>
      <c r="D68" s="363"/>
      <c r="E68" s="363"/>
      <c r="F68" s="359"/>
      <c r="G68" s="359"/>
      <c r="H68" s="359"/>
      <c r="I68" s="359"/>
      <c r="J68" s="6"/>
    </row>
    <row r="69" spans="2:10" x14ac:dyDescent="0.25">
      <c r="B69" s="4"/>
      <c r="C69" s="361" t="s">
        <v>582</v>
      </c>
      <c r="D69" s="363" t="str">
        <f>SpellNumber(SUM('Tax Comps'!A7:A11))</f>
        <v/>
      </c>
      <c r="E69" s="363"/>
      <c r="F69" s="359"/>
      <c r="G69" s="359"/>
      <c r="H69" s="359"/>
      <c r="I69" s="359"/>
      <c r="J69" s="6"/>
    </row>
    <row r="70" spans="2:10" x14ac:dyDescent="0.25">
      <c r="B70" s="4"/>
      <c r="C70" s="361" t="s">
        <v>585</v>
      </c>
      <c r="D70" s="362">
        <f>MIN('Tax Comps'!K7:K11)</f>
        <v>0</v>
      </c>
      <c r="E70" s="363"/>
      <c r="F70" s="359"/>
      <c r="G70" s="359"/>
      <c r="H70" s="359"/>
      <c r="I70" s="359"/>
      <c r="J70" s="6"/>
    </row>
    <row r="71" spans="2:10" x14ac:dyDescent="0.25">
      <c r="B71" s="4"/>
      <c r="C71" s="361" t="s">
        <v>586</v>
      </c>
      <c r="D71" s="362">
        <f>MAX('Tax Comps'!K7:K11)</f>
        <v>0</v>
      </c>
      <c r="E71" s="363"/>
      <c r="F71" s="359"/>
      <c r="G71" s="359"/>
      <c r="H71" s="359"/>
      <c r="I71" s="359"/>
      <c r="J71" s="6"/>
    </row>
    <row r="72" spans="2:10" x14ac:dyDescent="0.25">
      <c r="B72" s="4"/>
      <c r="C72" s="361" t="s">
        <v>587</v>
      </c>
      <c r="D72" s="371">
        <f>MIN('Tax Comps'!J7:J11)</f>
        <v>0</v>
      </c>
      <c r="E72" s="363"/>
      <c r="F72" s="359"/>
      <c r="G72" s="359"/>
      <c r="H72" s="359"/>
      <c r="I72" s="359"/>
      <c r="J72" s="6"/>
    </row>
    <row r="73" spans="2:10" x14ac:dyDescent="0.25">
      <c r="B73" s="4"/>
      <c r="C73" s="361" t="s">
        <v>588</v>
      </c>
      <c r="D73" s="371">
        <f>MAX('Tax Comps'!J7:J11)</f>
        <v>0</v>
      </c>
      <c r="E73" s="363"/>
      <c r="F73" s="359"/>
      <c r="G73" s="359"/>
      <c r="H73" s="359"/>
      <c r="I73" s="359"/>
      <c r="J73" s="6"/>
    </row>
    <row r="74" spans="2:10" x14ac:dyDescent="0.25">
      <c r="B74" s="4"/>
      <c r="C74" s="361" t="s">
        <v>583</v>
      </c>
      <c r="D74" s="372">
        <f>MIN('Tax Comps'!O7:O11)</f>
        <v>0</v>
      </c>
      <c r="E74" s="363"/>
      <c r="F74" s="359"/>
      <c r="G74" s="359"/>
      <c r="H74" s="359"/>
      <c r="I74" s="359"/>
      <c r="J74" s="6"/>
    </row>
    <row r="75" spans="2:10" x14ac:dyDescent="0.25">
      <c r="B75" s="4"/>
      <c r="C75" s="361" t="s">
        <v>584</v>
      </c>
      <c r="D75" s="372">
        <f>MAX('Tax Comps'!O7:O11)</f>
        <v>0</v>
      </c>
      <c r="E75" s="363"/>
      <c r="F75" s="359"/>
      <c r="G75" s="359"/>
      <c r="H75" s="359"/>
      <c r="I75" s="359"/>
      <c r="J75" s="6"/>
    </row>
    <row r="76" spans="2:10" x14ac:dyDescent="0.25">
      <c r="B76" s="4"/>
      <c r="C76" s="361" t="s">
        <v>590</v>
      </c>
      <c r="D76" s="372">
        <f>IF('Tax Schedule'!H7="None",IF('Tax Schedule'!G7="None",'Tax Schedule'!F11,'Tax Schedule'!G11),'Tax Schedule'!H11)</f>
        <v>128215</v>
      </c>
      <c r="E76" s="363"/>
      <c r="F76" s="359"/>
      <c r="G76" s="359"/>
      <c r="H76" s="359"/>
      <c r="I76" s="359"/>
      <c r="J76" s="6"/>
    </row>
    <row r="77" spans="2:10" x14ac:dyDescent="0.25">
      <c r="B77" s="4"/>
      <c r="C77" s="361" t="s">
        <v>591</v>
      </c>
      <c r="D77" s="372" t="str">
        <f>IF(dpTax_AssessorValuePSF&gt;dpTax_CompsMaxValuePSF,"above",IF(dpTax_AssessorValuePSF&lt;dpTax_CompsMinValuePSF,"below","within"))</f>
        <v>above</v>
      </c>
      <c r="E77" s="363"/>
      <c r="F77" s="359"/>
      <c r="G77" s="359"/>
      <c r="H77" s="359"/>
      <c r="I77" s="359"/>
      <c r="J77" s="6"/>
    </row>
    <row r="78" spans="2:10" x14ac:dyDescent="0.25">
      <c r="B78" s="4"/>
      <c r="C78" s="361" t="s">
        <v>18196</v>
      </c>
      <c r="D78" s="373" t="str">
        <f>IF(dpTax_AppraiserTaxEstY1PSF&gt;'Tax Schedule'!H12,CONCATENATE("will increase to ",TEXT(dpTax_AppraiserTaxEstY1,"$0,000")," or ",TEXT(dpTax_AppraiserTaxEstY1PSF,"$0.00")),IF(dpTax_AppraiserTaxEstY1PSF&lt;'Tax Schedule'!H12,CONCATENATE("will decrease to ",TEXT(dpTax_AppraiserTaxEstY1,"$0,000")," or ",TEXT(dpTax_AppraiserTaxEstY1PSF,"$0.00")),CONCATENATE("will remain unchanged at ",TEXT(dpTax_AppraiserTaxEstY1,"$0,000")," or ",TEXT(dpTax_AppraiserTaxEstY1PSF,"$0.00"))))</f>
        <v>will increase to $58,578,240 or $280.00</v>
      </c>
      <c r="E78" s="363"/>
      <c r="F78" s="359"/>
      <c r="G78" s="359"/>
      <c r="H78" s="359"/>
      <c r="I78" s="359"/>
      <c r="J78" s="6"/>
    </row>
    <row r="79" spans="2:10" x14ac:dyDescent="0.25">
      <c r="B79" s="4"/>
      <c r="C79" s="358"/>
      <c r="D79" s="363"/>
      <c r="E79" s="363"/>
      <c r="F79" s="359"/>
      <c r="G79" s="359"/>
      <c r="H79" s="359"/>
      <c r="I79" s="359"/>
      <c r="J79" s="6"/>
    </row>
    <row r="80" spans="2:10" x14ac:dyDescent="0.25">
      <c r="B80" s="4"/>
      <c r="C80" s="360" t="s">
        <v>773</v>
      </c>
      <c r="D80" s="363"/>
      <c r="E80" s="363"/>
      <c r="F80" s="359"/>
      <c r="G80" s="359"/>
      <c r="H80" s="359"/>
      <c r="I80" s="359"/>
      <c r="J80" s="6"/>
    </row>
    <row r="81" spans="2:10" x14ac:dyDescent="0.25">
      <c r="B81" s="4"/>
      <c r="C81" s="2805" t="s">
        <v>18400</v>
      </c>
      <c r="D81" s="2808" t="str">
        <f>IF(SUM('Selection Tables'!AA5:AA7)=0,"as vacant","as though vacant")</f>
        <v>as though vacant</v>
      </c>
      <c r="E81" s="2808" t="str">
        <f>PROPER(dpHBU_Label_Vacant_Text)</f>
        <v>As Though Vacant</v>
      </c>
      <c r="F81" s="2804"/>
      <c r="G81" s="2804"/>
      <c r="H81" s="2804"/>
      <c r="I81" s="2804"/>
      <c r="J81" s="6"/>
    </row>
    <row r="82" spans="2:10" x14ac:dyDescent="0.25">
      <c r="B82" s="4"/>
      <c r="C82" s="2805" t="s">
        <v>18401</v>
      </c>
      <c r="D82" s="2808" t="str">
        <f>IF(OR(ISNUMBER(SEARCH("complet",Sort_Premise_1,1))=TRUE,ISNUMBER(SEARCH("complet",Sort_Premise_2,1))=TRUE,ISNUMBER(SEARCH("complet",Sort_Premise_3,1))=TRUE),"as if improved as proposed","as improved")</f>
        <v>as improved</v>
      </c>
      <c r="E82" s="2808" t="str">
        <f>PROPER(dpHBU_Label_Improved_Text)</f>
        <v>As Improved</v>
      </c>
      <c r="F82" s="2804"/>
      <c r="G82" s="2804"/>
      <c r="H82" s="2804"/>
      <c r="I82" s="2804"/>
      <c r="J82" s="6"/>
    </row>
    <row r="83" spans="2:10" x14ac:dyDescent="0.25">
      <c r="B83" s="4"/>
      <c r="C83" s="361" t="s">
        <v>774</v>
      </c>
      <c r="D83" s="363" t="str">
        <f>IF(Subject_ZoningCode="None","not zoned.",CONCATENATE("zoned ",Subject_ZoningDescription," (",Subject_ZoningCode,")"))</f>
        <v>zoned General Industrial (all parcels) (I-2 (all parcels))</v>
      </c>
      <c r="E83" s="363"/>
      <c r="F83" s="359"/>
      <c r="G83" s="359"/>
      <c r="H83" s="359"/>
      <c r="I83" s="359"/>
      <c r="J83" s="6"/>
    </row>
    <row r="84" spans="2:10" x14ac:dyDescent="0.25">
      <c r="B84" s="4"/>
      <c r="C84" s="361" t="s">
        <v>776</v>
      </c>
      <c r="D84" s="454" t="str">
        <f>IF(OR(LEFT(Subject_HBU_ProbableBuyer,1)="A",LEFT(Subject_HBU_ProbableBuyer,1)="E",LEFT(Subject_HBU_ProbableBuyer,1)="I",LEFT(Subject_HBU_ProbableBuyer,1)="O",LEFT(Subject_HBU_ProbableBuyer,1)="U"),"an","a")</f>
        <v>a</v>
      </c>
      <c r="E84" s="363"/>
      <c r="F84" s="359"/>
      <c r="G84" s="359"/>
      <c r="H84" s="359"/>
      <c r="I84" s="359"/>
      <c r="J84" s="6"/>
    </row>
    <row r="85" spans="2:10" x14ac:dyDescent="0.25">
      <c r="B85" s="4"/>
      <c r="C85" s="361" t="s">
        <v>18180</v>
      </c>
      <c r="D85" s="454" t="str">
        <f>IF(OR(LEFT(Subject_HBU_ProbableUser,1)="A",LEFT(Subject_HBU_ProbableUser,1)="E",LEFT(Subject_HBU_ProbableUser,1)="I",LEFT(Subject_HBU_ProbableUser,1)="O",LEFT(Subject_HBU_ProbableUser,1)="U"),"an","a")</f>
        <v>a</v>
      </c>
      <c r="E85" s="363"/>
      <c r="F85" s="359"/>
      <c r="G85" s="359"/>
      <c r="H85" s="359"/>
      <c r="I85" s="359"/>
      <c r="J85" s="6"/>
    </row>
    <row r="86" spans="2:10" x14ac:dyDescent="0.25">
      <c r="B86" s="4"/>
      <c r="C86" s="2170" t="s">
        <v>1848</v>
      </c>
      <c r="D86" s="2172">
        <f>Subject_LandTotal_GrossAcres*43560/Subject_GBA</f>
        <v>0.19590592887526415</v>
      </c>
      <c r="E86" s="2171"/>
      <c r="F86" s="1500"/>
      <c r="G86" s="1500"/>
      <c r="H86" s="1500"/>
      <c r="I86" s="1500"/>
      <c r="J86" s="6"/>
    </row>
    <row r="87" spans="2:10" x14ac:dyDescent="0.25">
      <c r="B87" s="4"/>
      <c r="C87" s="2170"/>
      <c r="D87" s="2171"/>
      <c r="E87" s="2171"/>
      <c r="F87" s="1500"/>
      <c r="G87" s="1500"/>
      <c r="H87" s="1500"/>
      <c r="I87" s="1500"/>
      <c r="J87" s="6"/>
    </row>
    <row r="88" spans="2:10" x14ac:dyDescent="0.25">
      <c r="B88" s="4"/>
      <c r="C88" s="360" t="s">
        <v>779</v>
      </c>
      <c r="D88" s="454"/>
      <c r="E88" s="454"/>
      <c r="F88" s="456"/>
      <c r="G88" s="456"/>
      <c r="H88" s="456"/>
      <c r="I88" s="456"/>
      <c r="J88" s="6"/>
    </row>
    <row r="89" spans="2:10" x14ac:dyDescent="0.25">
      <c r="B89" s="4"/>
      <c r="C89" s="455" t="s">
        <v>769</v>
      </c>
      <c r="D89" s="454" t="str">
        <f>IF(OR(LEFT(Subject_OccupancyType,1)="A",LEFT(Subject_OccupancyType,1)="E",LEFT(Subject_OccupancyType,1)="I",LEFT(Subject_OccupancyType,1)="O",LEFT(Subject_OccupancyType,1)="U"),"an","a")</f>
        <v>an</v>
      </c>
      <c r="E89" s="454"/>
      <c r="F89" s="456"/>
      <c r="G89" s="456"/>
      <c r="H89" s="456"/>
      <c r="I89" s="456"/>
      <c r="J89" s="6"/>
    </row>
    <row r="90" spans="2:10" x14ac:dyDescent="0.25">
      <c r="B90" s="4"/>
      <c r="C90" s="455" t="s">
        <v>780</v>
      </c>
      <c r="D90" s="454" t="str">
        <f>IF(OR(AND(Subject_UseCostApproach="Yes",Subject_UseIncomeApproach="Yes",Subject_UseSaleApproach="Yes"),AND(Subject_UseCostApproach="Yes",Subject_UseIncomeApproach="Yes"),AND(Subject_UseCostApproach="Yes",Subject_UseSaleApproach="Yes"),AND(Subject_UseIncomeApproach="Yes",Subject_UseSaleApproach="Yes")),"were","was")</f>
        <v>were</v>
      </c>
      <c r="E90" s="454"/>
      <c r="F90" s="456"/>
      <c r="G90" s="456"/>
      <c r="H90" s="456"/>
      <c r="I90" s="456"/>
      <c r="J90" s="6"/>
    </row>
    <row r="91" spans="2:10" x14ac:dyDescent="0.25">
      <c r="B91" s="4"/>
      <c r="C91" s="455" t="s">
        <v>781</v>
      </c>
      <c r="D91" s="363" t="str">
        <f>IF(dpPluralCheck_ApproachesUsed="was","were","was")</f>
        <v>was</v>
      </c>
      <c r="E91" s="363"/>
      <c r="F91" s="359"/>
      <c r="G91" s="359"/>
      <c r="H91" s="359"/>
      <c r="I91" s="359"/>
      <c r="J91" s="6"/>
    </row>
    <row r="92" spans="2:10" x14ac:dyDescent="0.25">
      <c r="B92" s="4"/>
      <c r="C92" s="2971"/>
      <c r="D92" s="2976"/>
      <c r="E92" s="2976"/>
      <c r="F92" s="2970"/>
      <c r="G92" s="2970"/>
      <c r="H92" s="2970"/>
      <c r="I92" s="2970"/>
      <c r="J92" s="6"/>
    </row>
    <row r="93" spans="2:10" x14ac:dyDescent="0.25">
      <c r="B93" s="4"/>
      <c r="C93" s="470" t="s">
        <v>4</v>
      </c>
      <c r="D93" s="454"/>
      <c r="E93" s="454"/>
      <c r="F93" s="456"/>
      <c r="G93" s="456"/>
      <c r="H93" s="456"/>
      <c r="I93" s="456"/>
      <c r="J93" s="6"/>
    </row>
    <row r="94" spans="2:10" x14ac:dyDescent="0.25">
      <c r="B94" s="4"/>
      <c r="C94" s="455" t="s">
        <v>811</v>
      </c>
      <c r="D94" s="454" t="str">
        <f>IF(OR(LEFT(dpSort_ValueScenario_1,1)="A",LEFT(dpSort_ValueScenario_1,1)="E",LEFT(dpSort_ValueScenario_1,1)="I",LEFT(dpSort_ValueScenario_1,1)="O",LEFT(dpSort_ValueScenario_1,1)="U"),"an","a")</f>
        <v>a</v>
      </c>
      <c r="E94" s="454"/>
      <c r="F94" s="456"/>
      <c r="G94" s="456"/>
      <c r="H94" s="456"/>
      <c r="I94" s="456"/>
      <c r="J94" s="6"/>
    </row>
    <row r="95" spans="2:10" x14ac:dyDescent="0.25">
      <c r="B95" s="4"/>
      <c r="C95" s="455" t="s">
        <v>812</v>
      </c>
      <c r="D95" s="454" t="str">
        <f>IF(OR(LEFT(dpSort_ValueScenario_2,1)="A",LEFT(dpSort_ValueScenario_2,1)="E",LEFT(dpSort_ValueScenario_2,1)="I",LEFT(dpSort_ValueScenario_2,1)="O",LEFT(dpSort_ValueScenario_2,1)="U"),"an","a")</f>
        <v>a</v>
      </c>
      <c r="E95" s="454"/>
      <c r="F95" s="456"/>
      <c r="G95" s="456"/>
      <c r="H95" s="456"/>
      <c r="I95" s="456"/>
      <c r="J95" s="6"/>
    </row>
    <row r="96" spans="2:10" x14ac:dyDescent="0.25">
      <c r="B96" s="4"/>
      <c r="C96" s="455" t="s">
        <v>813</v>
      </c>
      <c r="D96" s="454" t="str">
        <f>IF(OR(LEFT(dpSort_ValueScenario_3,1)="A",LEFT(dpSort_ValueScenario_3,1)="E",LEFT(dpSort_ValueScenario_3,1)="I",LEFT(dpSort_ValueScenario_3,1)="O",LEFT(dpSort_ValueScenario_3,1)="U"),"an","a")</f>
        <v>a</v>
      </c>
      <c r="E96" s="454"/>
      <c r="F96" s="456"/>
      <c r="G96" s="456"/>
      <c r="H96" s="456"/>
      <c r="I96" s="456"/>
      <c r="J96" s="6"/>
    </row>
    <row r="97" spans="2:10" x14ac:dyDescent="0.25">
      <c r="B97" s="4"/>
      <c r="C97" s="767"/>
      <c r="D97" s="768"/>
      <c r="E97" s="768"/>
      <c r="F97" s="769"/>
      <c r="G97" s="769"/>
      <c r="H97" s="769"/>
      <c r="I97" s="769"/>
      <c r="J97" s="6"/>
    </row>
    <row r="98" spans="2:10" x14ac:dyDescent="0.25">
      <c r="B98" s="4"/>
      <c r="C98" s="360" t="s">
        <v>37</v>
      </c>
      <c r="D98" s="356"/>
      <c r="E98" s="363"/>
      <c r="F98" s="359"/>
      <c r="G98" s="359"/>
      <c r="H98" s="359"/>
      <c r="I98" s="359"/>
      <c r="J98" s="6"/>
    </row>
    <row r="99" spans="2:10" x14ac:dyDescent="0.25">
      <c r="B99" s="4"/>
      <c r="C99" s="361" t="s">
        <v>564</v>
      </c>
      <c r="D99" s="362" t="s">
        <v>19966</v>
      </c>
      <c r="E99" s="363"/>
      <c r="F99" s="359"/>
      <c r="G99" s="359"/>
      <c r="H99" s="359"/>
      <c r="I99" s="359"/>
      <c r="J99" s="6"/>
    </row>
    <row r="100" spans="2:10" x14ac:dyDescent="0.25">
      <c r="B100" s="4"/>
      <c r="C100" s="387" t="s">
        <v>680</v>
      </c>
      <c r="D100" s="393" t="str">
        <f>IF(Subject_LandExcessAcres&gt;0,"The land sales have been compared to the primary subject site, as a base. The indicated value was then adjusted accordingly and applied to the excess land.",IF(Subject_LandSurplusAcres&gt;0,"The land sales have been compared to the primary subject site, as a base. The indicated value was then adjusted accordingly and applied to the surplus land.",""))</f>
        <v/>
      </c>
      <c r="E100" s="473"/>
      <c r="F100" s="389"/>
      <c r="G100" s="389"/>
      <c r="H100" s="389"/>
      <c r="I100" s="389"/>
      <c r="J100" s="6"/>
    </row>
    <row r="101" spans="2:10" x14ac:dyDescent="0.25">
      <c r="B101" s="4"/>
      <c r="C101" s="455" t="s">
        <v>18197</v>
      </c>
      <c r="D101" s="458" t="str">
        <f>IF(SUM(Land_PropertyRightsRange)=0,"The appraised value and sale comparables all reflect the fee simple interest with no adjustments required.","The sale comparables include both fee simple and lease fee transactions with adjustments required.")</f>
        <v>The appraised value and sale comparables all reflect the fee simple interest with no adjustments required.</v>
      </c>
      <c r="E101" s="454"/>
      <c r="F101" s="456"/>
      <c r="G101" s="456"/>
      <c r="H101" s="456"/>
      <c r="I101" s="456"/>
      <c r="J101" s="6"/>
    </row>
    <row r="102" spans="2:10" x14ac:dyDescent="0.25">
      <c r="B102" s="4"/>
      <c r="C102" s="455" t="s">
        <v>782</v>
      </c>
      <c r="D102" s="458" t="str">
        <f>IF(SUM(Land_FinancingTermsRange)=0,CONCATENATE("All of the sale comparables involved typical market terms by which the sellers received cash or its equivalent and the buyers paid cash or tendered typical down payments and obtained conventional financing at market terms for the balance."," Therefore, no adjustments for this category were required."),"")</f>
        <v>All of the sale comparables involved typical market terms by which the sellers received cash or its equivalent and the buyers paid cash or tendered typical down payments and obtained conventional financing at market terms for the balance. Therefore, no adjustments for this category were required.</v>
      </c>
      <c r="E102" s="454"/>
      <c r="F102" s="456"/>
      <c r="G102" s="456"/>
      <c r="H102" s="456"/>
      <c r="I102" s="456"/>
      <c r="J102" s="6"/>
    </row>
    <row r="103" spans="2:10" x14ac:dyDescent="0.25">
      <c r="B103" s="4"/>
      <c r="C103" s="455" t="s">
        <v>783</v>
      </c>
      <c r="D103" s="458" t="str">
        <f>IF(SUM(Land_ConditionsofSaleRange)=0,"No adjustments for atypical conditions or for-sale listings were warranted.","")</f>
        <v>No adjustments for atypical conditions or for-sale listings were warranted.</v>
      </c>
      <c r="E103" s="454"/>
      <c r="F103" s="456"/>
      <c r="G103" s="456"/>
      <c r="H103" s="456"/>
      <c r="I103" s="456"/>
      <c r="J103" s="6"/>
    </row>
    <row r="104" spans="2:10" x14ac:dyDescent="0.25">
      <c r="B104" s="4"/>
      <c r="C104" s="455" t="s">
        <v>784</v>
      </c>
      <c r="D104" s="458" t="str">
        <f>IF(SUM(Land_ExpendituresAfterSaleRange)=0,"The parties to these transactions did not anticipate expenditures were required immediately after purchase; therefore, no adjustments were warranted.","The details of each adjustment are located in the remarks of the respective sales profile.")</f>
        <v>The parties to these transactions did not anticipate expenditures were required immediately after purchase; therefore, no adjustments were warranted.</v>
      </c>
      <c r="E104" s="454"/>
      <c r="F104" s="456"/>
      <c r="G104" s="456"/>
      <c r="H104" s="456"/>
      <c r="I104" s="456"/>
      <c r="J104" s="6"/>
    </row>
    <row r="105" spans="2:10" x14ac:dyDescent="0.25">
      <c r="B105" s="4"/>
      <c r="C105" s="455" t="s">
        <v>785</v>
      </c>
      <c r="D105" s="463" t="str">
        <f>IF(Land_AdjType="Qualitative","qualitative","quantitative")</f>
        <v>quantitative</v>
      </c>
      <c r="E105" s="454"/>
      <c r="F105" s="456"/>
      <c r="G105" s="456"/>
      <c r="H105" s="456"/>
      <c r="I105" s="456"/>
      <c r="J105" s="6"/>
    </row>
    <row r="106" spans="2:10" x14ac:dyDescent="0.25">
      <c r="B106" s="4"/>
      <c r="C106" s="387" t="s">
        <v>681</v>
      </c>
      <c r="D106" s="393" t="str">
        <f>IF(OR(Subject_LandExcessAcres&gt;0,Subject_LandSurplusAcres&gt;0),"Conclusion - Primary Site","Conclusion")</f>
        <v>Conclusion</v>
      </c>
      <c r="E106" s="473"/>
      <c r="F106" s="389"/>
      <c r="G106" s="389"/>
      <c r="H106" s="389"/>
      <c r="I106" s="389"/>
      <c r="J106" s="6"/>
    </row>
    <row r="107" spans="2:10" x14ac:dyDescent="0.25">
      <c r="B107" s="4"/>
      <c r="C107" s="387" t="s">
        <v>682</v>
      </c>
      <c r="D107" s="393" t="str">
        <f>IF(Subject_LandExcessAcres&gt;0,"Conclusion - Excess Land",IF(Subject_LandSurplusAcres&gt;0,"Conclusion - Surplus Land","Delete this Section"))</f>
        <v>Delete this Section</v>
      </c>
      <c r="E107" s="473"/>
      <c r="F107" s="389"/>
      <c r="G107" s="389"/>
      <c r="H107" s="389"/>
      <c r="I107" s="389"/>
      <c r="J107" s="6"/>
    </row>
    <row r="108" spans="2:10" x14ac:dyDescent="0.25">
      <c r="B108" s="4"/>
      <c r="C108" s="387" t="s">
        <v>683</v>
      </c>
      <c r="D108" s="393" t="str">
        <f>IF(Subject_LandExcessAcres&gt;0,"primary and excess land value indications are",IF(Subject_LandSurplusAcres&gt;0,"primary and surplus land value indications are","land value indication is"))</f>
        <v>land value indication is</v>
      </c>
      <c r="E108" s="473"/>
      <c r="F108" s="389"/>
      <c r="G108" s="389"/>
      <c r="H108" s="389"/>
      <c r="I108" s="389"/>
      <c r="J108" s="6"/>
    </row>
    <row r="109" spans="2:10" x14ac:dyDescent="0.25">
      <c r="B109" s="4"/>
      <c r="C109" s="361" t="s">
        <v>565</v>
      </c>
      <c r="D109" s="2237">
        <f>HLOOKUP(dpLand_MostComparable,dpLand_Sales_Comp_Approach_Table,ROWS(dpLand_Sales_Comp_Approach_Table),FALSE)</f>
        <v>22.119552791780826</v>
      </c>
      <c r="E109" s="2237" t="e">
        <f>HLOOKUP(dpLand_MostComparable_1,dpLand_Sales_Comp_Approach_Table_1,ROWS(dpLand_Sales_Comp_Approach_Table_1),FALSE)</f>
        <v>#DIV/0!</v>
      </c>
      <c r="F109" s="2238" t="e">
        <f>HLOOKUP(dpLand_MostComparable_2,dpLand_Sales_Comp_Approach_Table_2,ROWS(dpLand_Sales_Comp_Approach_Table_2),FALSE)</f>
        <v>#DIV/0!</v>
      </c>
      <c r="G109" s="359"/>
      <c r="H109" s="359"/>
      <c r="I109" s="359"/>
      <c r="J109" s="6"/>
    </row>
    <row r="110" spans="2:10" x14ac:dyDescent="0.25">
      <c r="B110" s="4"/>
      <c r="C110" s="361" t="s">
        <v>678</v>
      </c>
      <c r="D110" s="367" t="str">
        <f>IF(OR(LandUnitDisplay="Gross Acres",LandUnitDisplay="Usable Acres"),CONCATENATE(TEXT(MIN(Land_SizeRange_Narrative),"0.000")," to ",TEXT(MAX(Land_SizeRange_Narrative),"0.000")," acres"),IF(LandUnitDisplay="Front Feet",CONCATENATE(TEXT(MIN(Land_SizeRange_Narrative),"0,000")," to ",TEXT(MAX(Land_SizeRange_Narrative),"0,000")," front feet"),CONCATENATE(TEXT(MIN(Land_SizeRange_Narrative),"0,000")," to ",TEXT(MAX(Land_SizeRange_Narrative),"0,000")," square feet")))</f>
        <v>7.140 to 12.200 acres</v>
      </c>
      <c r="E110" s="473"/>
      <c r="F110" s="389"/>
      <c r="G110" s="389"/>
      <c r="H110" s="389"/>
      <c r="I110" s="389"/>
      <c r="J110" s="6"/>
    </row>
    <row r="111" spans="2:10" x14ac:dyDescent="0.25">
      <c r="B111" s="4"/>
      <c r="C111" s="361" t="s">
        <v>679</v>
      </c>
      <c r="D111" s="367" t="str">
        <f>CONCATENATE(TEXT(MIN(Land_SizeRange),"0.0%")," to ",TEXT(MAX(Land_SizeRange),"0.0%"))</f>
        <v>0.0% to 0.0%</v>
      </c>
      <c r="E111" s="473"/>
      <c r="F111" s="389"/>
      <c r="G111" s="389"/>
      <c r="H111" s="389"/>
      <c r="I111" s="389"/>
      <c r="J111" s="6"/>
    </row>
    <row r="112" spans="2:10" x14ac:dyDescent="0.25">
      <c r="B112" s="4"/>
      <c r="C112" s="455" t="s">
        <v>787</v>
      </c>
      <c r="D112" s="459" t="str">
        <f>IF(SUM('Land Adjustments'!$V$163:$V$166)=0,"","preliminary")</f>
        <v/>
      </c>
      <c r="E112" s="454"/>
      <c r="F112" s="456"/>
      <c r="G112" s="456"/>
      <c r="H112" s="456"/>
      <c r="I112" s="456"/>
      <c r="J112" s="6"/>
    </row>
    <row r="113" spans="2:10" x14ac:dyDescent="0.25">
      <c r="B113" s="4"/>
      <c r="C113" s="455" t="s">
        <v>788</v>
      </c>
      <c r="D113" s="459" t="str">
        <f>IF(SUM('Land Adjustments'!$V$170:$V$173)=0,"","preliminary")</f>
        <v/>
      </c>
      <c r="E113" s="454"/>
      <c r="F113" s="456"/>
      <c r="G113" s="456"/>
      <c r="H113" s="456"/>
      <c r="I113" s="456"/>
      <c r="J113" s="6"/>
    </row>
    <row r="114" spans="2:10" x14ac:dyDescent="0.25">
      <c r="B114" s="4"/>
      <c r="C114" s="455" t="s">
        <v>786</v>
      </c>
      <c r="D114" s="459" t="str">
        <f>IF(Subject_LandExcessAcres&gt;0,"excess",IF(Subject_LandSurplusAcres&gt;0,"Conclusion - surplus","Delete this Section"))</f>
        <v>Delete this Section</v>
      </c>
      <c r="E114" s="454"/>
      <c r="F114" s="456"/>
      <c r="G114" s="456"/>
      <c r="H114" s="456"/>
      <c r="I114" s="456"/>
      <c r="J114" s="6"/>
    </row>
    <row r="115" spans="2:10" x14ac:dyDescent="0.25">
      <c r="B115" s="4"/>
      <c r="C115" s="767" t="s">
        <v>1170</v>
      </c>
      <c r="D115" s="873">
        <f>ABS(dpLand_DemolitionCost)</f>
        <v>0</v>
      </c>
      <c r="E115" s="768"/>
      <c r="F115" s="769"/>
      <c r="G115" s="769"/>
      <c r="H115" s="769"/>
      <c r="I115" s="769"/>
      <c r="J115" s="6"/>
    </row>
    <row r="116" spans="2:10" x14ac:dyDescent="0.25">
      <c r="B116" s="4"/>
      <c r="C116" s="767"/>
      <c r="D116" s="770"/>
      <c r="E116" s="768"/>
      <c r="F116" s="769"/>
      <c r="G116" s="769"/>
      <c r="H116" s="769"/>
      <c r="I116" s="769"/>
      <c r="J116" s="6"/>
    </row>
    <row r="117" spans="2:10" s="111" customFormat="1" x14ac:dyDescent="0.25">
      <c r="B117" s="109"/>
      <c r="C117" s="360" t="s">
        <v>539</v>
      </c>
      <c r="D117" s="368">
        <v>1</v>
      </c>
      <c r="E117" s="368">
        <f>D117+1</f>
        <v>2</v>
      </c>
      <c r="F117" s="368">
        <f>E117+1</f>
        <v>3</v>
      </c>
      <c r="G117" s="368">
        <f>F117+1</f>
        <v>4</v>
      </c>
      <c r="H117" s="368">
        <f>G117+1</f>
        <v>5</v>
      </c>
      <c r="I117" s="368">
        <f>H117+1</f>
        <v>6</v>
      </c>
      <c r="J117" s="110"/>
    </row>
    <row r="118" spans="2:10" x14ac:dyDescent="0.25">
      <c r="B118" s="4"/>
      <c r="C118" s="361" t="str">
        <f>dpLand_TransAdjustment_1</f>
        <v>Property Rights Conveyed</v>
      </c>
      <c r="D118" s="364" t="str">
        <f t="shared" ref="D118:I118" si="0">IF(ISERR(IF(INDEX(Land_PropertyRightsRange,D$3)=0,"no adjustment",IF(INDEX(Land_PropertyRightsRange,D$3)&lt;0,CONCATENATE("a downward adjustment of ",TEXT(ABS(INDEX(Land_PropertyRightsRange,D$3)),"0.0%")),CONCATENATE("an upward adjustment of ",TEXT(ABS(INDEX(Land_PropertyRightsRange,D$3)),"0.0%"))))),"",IF(Land_AdjType="Percent",IF(INDEX(Land_PropertyRightsRange,D$3)=0,"no adjustment",IF(INDEX(Land_PropertyRightsRange,D$3)&lt;0,CONCATENATE("a downward adjustment of ",TEXT(ABS(INDEX(Land_PropertyRightsRange,D$3)),"0.0%")),CONCATENATE("an upward adjustment of ",TEXT(ABS(INDEX(Land_PropertyRightsRange,D$3)),"0.0%")))),IF(Land_AdjType="$ per Unit",IF(INDEX(Land_PropertyRightsRange,D$3)=0,"no adjustment",IF(INDEX(Land_PropertyRightsRange,D$3)&lt;0,CONCATENATE("a downward adjustment of ",TEXT(ABS(INDEX(Land_PropertyRightsRange,D$3)),"$0.00")&amp;" per unit"),CONCATENATE("an upward adjustment of ",TEXT(ABS(INDEX(Land_PropertyRightsRange,D$3)),"$0.00")&amp;" per unit"))),IF(Land_AdjType="$ per Unit",IF(INDEX(Land_PropertyRightsRange,D$3)=0,"no adjustment",IF(INDEX(Land_PropertyRightsRange,D$3)&lt;0,"a downward adjustment","an upward adjustment"))))))</f>
        <v>no adjustment</v>
      </c>
      <c r="E118" s="364" t="str">
        <f t="shared" si="0"/>
        <v>no adjustment</v>
      </c>
      <c r="F118" s="364" t="str">
        <f t="shared" si="0"/>
        <v>no adjustment</v>
      </c>
      <c r="G118" s="364" t="str">
        <f t="shared" si="0"/>
        <v>no adjustment</v>
      </c>
      <c r="H118" s="364" t="str">
        <f t="shared" si="0"/>
        <v/>
      </c>
      <c r="I118" s="364" t="str">
        <f t="shared" si="0"/>
        <v/>
      </c>
      <c r="J118" s="6"/>
    </row>
    <row r="119" spans="2:10" x14ac:dyDescent="0.25">
      <c r="B119" s="4"/>
      <c r="C119" s="361" t="str">
        <f>dpLand_TransAdjustment_2</f>
        <v>Financing Terms</v>
      </c>
      <c r="D119" s="364" t="str">
        <f t="shared" ref="D119:I119" si="1">IF(ISERR(IF(INDEX(Land_FinancingTermsRange,D$3)=0,"no adjustment",IF(INDEX(Land_FinancingTermsRange,D$3)&lt;0,CONCATENATE("a downward adjustment of ",TEXT(ABS(INDEX(Land_FinancingTermsRange,D$3)),"0.0%")),CONCATENATE("an upward adjustment of ",TEXT(ABS(INDEX(Land_FinancingTermsRange,D$3)),"0.0%"))))),"",IF(Land_AdjType="Percent",IF(INDEX(Land_FinancingTermsRange,D$3)=0,"no adjustment",IF(INDEX(Land_FinancingTermsRange,D$3)&lt;0,CONCATENATE("a downward adjustment of ",TEXT(ABS(INDEX(Land_FinancingTermsRange,D$3)),"0.0%")),CONCATENATE("an upward adjustment of ",TEXT(ABS(INDEX(Land_FinancingTermsRange,D$3)),"0.0%")))),IF(Land_AdjType="$ per Unit",IF(INDEX(Land_FinancingTermsRange,D$3)=0,"no adjustment",IF(INDEX(Land_FinancingTermsRange,D$3)&lt;0,CONCATENATE("a downward adjustment of ",TEXT(ABS(INDEX(Land_FinancingTermsRange,D$3)),"$0.00")&amp;" per unit"),CONCATENATE("an upward adjustment of ",TEXT(ABS(INDEX(Land_FinancingTermsRange,D$3)),"$0.00")&amp;" per unit"))),IF(Land_AdjType="$ per Unit",IF(INDEX(Land_FinancingTermsRange,D$3)=0,"no adjustment",IF(INDEX(Land_FinancingTermsRange,D$3)&lt;0,"a downward adjustment","an upward adjustment"))))))</f>
        <v>no adjustment</v>
      </c>
      <c r="E119" s="364" t="str">
        <f t="shared" si="1"/>
        <v>no adjustment</v>
      </c>
      <c r="F119" s="364" t="str">
        <f t="shared" si="1"/>
        <v>no adjustment</v>
      </c>
      <c r="G119" s="364" t="str">
        <f t="shared" si="1"/>
        <v>no adjustment</v>
      </c>
      <c r="H119" s="364" t="str">
        <f t="shared" si="1"/>
        <v/>
      </c>
      <c r="I119" s="364" t="str">
        <f t="shared" si="1"/>
        <v/>
      </c>
      <c r="J119" s="6"/>
    </row>
    <row r="120" spans="2:10" x14ac:dyDescent="0.25">
      <c r="B120" s="4"/>
      <c r="C120" s="361" t="str">
        <f>dpLand_TransAdjustment_3</f>
        <v>Conditions of Sale</v>
      </c>
      <c r="D120" s="364" t="str">
        <f t="shared" ref="D120:I120" si="2">IF(ISERR(IF(INDEX(Land_ConditionsofSaleRange,D$3)=0,"no adjustment",IF(INDEX(Land_ConditionsofSaleRange,D$3)&lt;0,CONCATENATE("a downward adjustment of ",TEXT(ABS(INDEX(Land_ConditionsofSaleRange,D$3)),"0.0%")),CONCATENATE("an upward adjustment of ",TEXT(ABS(INDEX(Land_ConditionsofSaleRange,D$3)),"0.0%"))))),"",IF(Land_AdjType="Percent",IF(INDEX(Land_ConditionsofSaleRange,D$3)=0,"no adjustment",IF(INDEX(Land_ConditionsofSaleRange,D$3)&lt;0,CONCATENATE("a downward adjustment of ",TEXT(ABS(INDEX(Land_ConditionsofSaleRange,D$3)),"0.0%")),CONCATENATE("an upward adjustment of ",TEXT(ABS(INDEX(Land_ConditionsofSaleRange,D$3)),"0.0%")))),IF(Land_AdjType="$ per Unit",IF(INDEX(Land_ConditionsofSaleRange,D$3)=0,"no adjustment",IF(INDEX(Land_ConditionsofSaleRange,D$3)&lt;0,CONCATENATE("a downward adjustment of ",TEXT(ABS(INDEX(Land_ConditionsofSaleRange,D$3)),"$0.00")&amp;" per unit"),CONCATENATE("an upward adjustment of ",TEXT(ABS(INDEX(Land_ConditionsofSaleRange,D$3)),"$0.00")&amp;" per unit"))),IF(Land_AdjType="$ per Unit",IF(INDEX(Land_ConditionsofSaleRange,D$3)=0,"no adjustment",IF(INDEX(Land_ConditionsofSaleRange,D$3)&lt;0,"a downward adjustment","an upward adjustment"))))))</f>
        <v>no adjustment</v>
      </c>
      <c r="E120" s="364" t="str">
        <f t="shared" si="2"/>
        <v>no adjustment</v>
      </c>
      <c r="F120" s="364" t="str">
        <f t="shared" si="2"/>
        <v>no adjustment</v>
      </c>
      <c r="G120" s="364" t="str">
        <f t="shared" si="2"/>
        <v>no adjustment</v>
      </c>
      <c r="H120" s="364" t="str">
        <f t="shared" si="2"/>
        <v/>
      </c>
      <c r="I120" s="364" t="str">
        <f t="shared" si="2"/>
        <v/>
      </c>
      <c r="J120" s="6"/>
    </row>
    <row r="121" spans="2:10" x14ac:dyDescent="0.25">
      <c r="B121" s="4"/>
      <c r="C121" s="361" t="str">
        <f>dpLand_TransAdjustment_4</f>
        <v>Expenditures after Sale</v>
      </c>
      <c r="D121" s="364" t="str">
        <f t="shared" ref="D121:I121" si="3">IF(ISERR(IF(INDEX(Land_ExpendituresAfterSaleRange,D$3)=0,"no adjustment",IF(INDEX(Land_ExpendituresAfterSaleRange,D$3)&lt;0,CONCATENATE("a downward adjustment of ",TEXT(ABS(INDEX(Land_ExpendituresAfterSaleRange,D$3)),"0.0%")),CONCATENATE("an upward adjustment of ",TEXT(ABS(INDEX(Land_ExpendituresAfterSaleRange,D$3)),"0.0%"))))),"",IF(Land_AdjType="Percent",IF(INDEX(Land_ExpendituresAfterSaleRange,D$3)=0,"no adjustment",IF(INDEX(Land_ExpendituresAfterSaleRange,D$3)&lt;0,CONCATENATE("a downward adjustment of ",TEXT(ABS(INDEX(Land_ExpendituresAfterSaleRange,D$3)),"0.0%")),CONCATENATE("an upward adjustment of ",TEXT(ABS(INDEX(Land_ExpendituresAfterSaleRange,D$3)),"0.0%")))),IF(Land_AdjType="$ per Unit",IF(INDEX(Land_ExpendituresAfterSaleRange,D$3)=0,"no adjustment",IF(INDEX(Land_ExpendituresAfterSaleRange,D$3)&lt;0,CONCATENATE("a downward adjustment of ",TEXT(ABS(INDEX(Land_ExpendituresAfterSaleRange,D$3)),"$0.00")&amp;" per unit"),CONCATENATE("an upward adjustment of ",TEXT(ABS(INDEX(Land_ExpendituresAfterSaleRange,D$3)),"$0.00")&amp;" per unit"))),IF(Land_AdjType="$ per Unit",IF(INDEX(Land_ExpendituresAfterSaleRange,D$3)=0,"no adjustment",IF(INDEX(Land_ExpendituresAfterSaleRange,D$3)&lt;0,"a downward adjustment","an upward adjustment"))))))</f>
        <v>no adjustment</v>
      </c>
      <c r="E121" s="364" t="str">
        <f t="shared" si="3"/>
        <v>no adjustment</v>
      </c>
      <c r="F121" s="364" t="str">
        <f t="shared" si="3"/>
        <v>no adjustment</v>
      </c>
      <c r="G121" s="364" t="str">
        <f t="shared" si="3"/>
        <v>no adjustment</v>
      </c>
      <c r="H121" s="364" t="str">
        <f t="shared" si="3"/>
        <v/>
      </c>
      <c r="I121" s="364" t="str">
        <f t="shared" si="3"/>
        <v/>
      </c>
      <c r="J121" s="6"/>
    </row>
    <row r="122" spans="2:10" x14ac:dyDescent="0.25">
      <c r="B122" s="4"/>
      <c r="C122" s="361" t="str">
        <f>dpLand_Adjustment_1</f>
        <v>Location</v>
      </c>
      <c r="D122" s="364" t="str">
        <f t="shared" ref="D122:I122" si="4">IF(ISERR(IF(INDEX(Land_LocationRange,D$3)=0,"no adjustment",IF(INDEX(Land_LocationRange,D$3)&lt;0,CONCATENATE("a downward adjustment of ",TEXT(ABS(INDEX(Land_LocationRange,D$3)),"0.0%")),CONCATENATE("an upward adjustment of ",TEXT(ABS(INDEX(Land_LocationRange,D$3)),"0.0%"))))),"",IF(Land_AdjType="Percent",IF(INDEX(Land_LocationRange,D$3)=0,"no adjustment",IF(INDEX(Land_LocationRange,D$3)&lt;0,CONCATENATE("a downward adjustment of ",TEXT(ABS(INDEX(Land_LocationRange,D$3)),"0.0%")),CONCATENATE("an upward adjustment of ",TEXT(ABS(INDEX(Land_LocationRange,D$3)),"0.0%")))),IF(Land_AdjType="$ per Unit",IF(INDEX(Land_LocationRange,D$3)=0,"no adjustment",IF(INDEX(Land_LocationRange,D$3)&lt;0,CONCATENATE("a downward adjustment of ",TEXT(ABS(INDEX(Land_LocationRange,D$3)),"$0.00")&amp;" per unit"),CONCATENATE("an upward adjustment of ",TEXT(ABS(INDEX(Land_LocationRange,D$3)),"$0.00")&amp;" per unit"))),IF(Land_AdjType="$ per Unit",IF(INDEX(Land_LocationRange,D$3)=0,"no adjustment",IF(INDEX(Land_LocationRange,D$3)&lt;0,"a downward adjustment","an upward adjustment"))))))</f>
        <v>no adjustment</v>
      </c>
      <c r="E122" s="364" t="str">
        <f t="shared" si="4"/>
        <v>no adjustment</v>
      </c>
      <c r="F122" s="364" t="str">
        <f t="shared" si="4"/>
        <v>no adjustment</v>
      </c>
      <c r="G122" s="364" t="str">
        <f t="shared" si="4"/>
        <v>no adjustment</v>
      </c>
      <c r="H122" s="364" t="str">
        <f t="shared" si="4"/>
        <v/>
      </c>
      <c r="I122" s="364" t="str">
        <f t="shared" si="4"/>
        <v/>
      </c>
      <c r="J122" s="6"/>
    </row>
    <row r="123" spans="2:10" x14ac:dyDescent="0.25">
      <c r="B123" s="4"/>
      <c r="C123" s="361" t="str">
        <f>dpLand_Adjustment_2</f>
        <v>Size</v>
      </c>
      <c r="D123" s="364" t="str">
        <f t="shared" ref="D123:I123" si="5">IF(ISERR(IF(INDEX(Land_SizeRange,D$3)=0,"no adjustment",IF(INDEX(Land_SizeRange,D$3)&lt;0,CONCATENATE("a downward adjustment of ",TEXT(ABS(INDEX(Land_SizeRange,D$3)),"0.0%")),CONCATENATE("an upward adjustment of ",TEXT(ABS(INDEX(Land_SizeRange,D$3)),"0.0%"))))),"",IF(Land_AdjType="Percent",IF(INDEX(Land_SizeRange,D$3)=0,"no adjustment",IF(INDEX(Land_SizeRange,D$3)&lt;0,CONCATENATE("a downward adjustment of ",TEXT(ABS(INDEX(Land_SizeRange,D$3)),"0.0%")),CONCATENATE("an upward adjustment of ",TEXT(ABS(INDEX(Land_SizeRange,D$3)),"0.0%")))),IF(Land_AdjType="$ per Unit",IF(INDEX(Land_SizeRange,D$3)=0,"no adjustment",IF(INDEX(Land_SizeRange,D$3)&lt;0,CONCATENATE("a downward adjustment of ",TEXT(ABS(INDEX(Land_SizeRange,D$3)),"$0.00")&amp;" per unit"),CONCATENATE("an upward adjustment of ",TEXT(ABS(INDEX(Land_SizeRange,D$3)),"$0.00")&amp;" per unit"))),IF(Land_AdjType="$ per Unit",IF(INDEX(Land_SizeRange,D$3)=0,"no adjustment",IF(INDEX(Land_SizeRange,D$3)&lt;0,"a downward adjustment","an upward adjustment"))))))</f>
        <v>no adjustment</v>
      </c>
      <c r="E123" s="364" t="str">
        <f t="shared" si="5"/>
        <v>no adjustment</v>
      </c>
      <c r="F123" s="364" t="str">
        <f t="shared" si="5"/>
        <v>no adjustment</v>
      </c>
      <c r="G123" s="364" t="str">
        <f t="shared" si="5"/>
        <v>no adjustment</v>
      </c>
      <c r="H123" s="364" t="str">
        <f t="shared" si="5"/>
        <v/>
      </c>
      <c r="I123" s="364" t="str">
        <f t="shared" si="5"/>
        <v/>
      </c>
      <c r="J123" s="6"/>
    </row>
    <row r="124" spans="2:10" x14ac:dyDescent="0.25">
      <c r="B124" s="4"/>
      <c r="C124" s="361" t="str">
        <f>dpLand_Adjustment_3</f>
        <v>Shape/Depth</v>
      </c>
      <c r="D124" s="364" t="str">
        <f t="shared" ref="D124:I124" si="6">IF(ISERR(IF(INDEX(Land_ShapeDepthRange,D$3)=0,"no adjustment",IF(INDEX(Land_ShapeDepthRange,D$3)&lt;0,CONCATENATE("a downward adjustment of ",TEXT(ABS(INDEX(Land_ShapeDepthRange,D$3)),"0.0%")),CONCATENATE("an upward adjustment of ",TEXT(ABS(INDEX(Land_ShapeDepthRange,D$3)),"0.0%"))))),"",IF(Land_AdjType="Percent",IF(INDEX(Land_ShapeDepthRange,D$3)=0,"no adjustment",IF(INDEX(Land_ShapeDepthRange,D$3)&lt;0,CONCATENATE("a downward adjustment of ",TEXT(ABS(INDEX(Land_ShapeDepthRange,D$3)),"0.0%")),CONCATENATE("an upward adjustment of ",TEXT(ABS(INDEX(Land_ShapeDepthRange,D$3)),"0.0%")))),IF(Land_AdjType="$ per Unit",IF(INDEX(Land_ShapeDepthRange,D$3)=0,"no adjustment",IF(INDEX(Land_ShapeDepthRange,D$3)&lt;0,CONCATENATE("a downward adjustment of ",TEXT(ABS(INDEX(Land_ShapeDepthRange,D$3)),"$0.00")&amp;" per unit"),CONCATENATE("an upward adjustment of ",TEXT(ABS(INDEX(Land_ShapeDepthRange,D$3)),"$0.00")&amp;" per unit"))),IF(Land_AdjType="$ per Unit",IF(INDEX(Land_ShapeDepthRange,D$3)=0,"no adjustment",IF(INDEX(Land_ShapeDepthRange,D$3)&lt;0,"a downward adjustment","an upward adjustment"))))))</f>
        <v>no adjustment</v>
      </c>
      <c r="E124" s="364" t="str">
        <f t="shared" si="6"/>
        <v>no adjustment</v>
      </c>
      <c r="F124" s="364" t="str">
        <f t="shared" si="6"/>
        <v>no adjustment</v>
      </c>
      <c r="G124" s="364" t="str">
        <f t="shared" si="6"/>
        <v>no adjustment</v>
      </c>
      <c r="H124" s="364" t="str">
        <f t="shared" si="6"/>
        <v/>
      </c>
      <c r="I124" s="364" t="str">
        <f t="shared" si="6"/>
        <v/>
      </c>
      <c r="J124" s="6"/>
    </row>
    <row r="125" spans="2:10" x14ac:dyDescent="0.25">
      <c r="B125" s="4"/>
      <c r="C125" s="361" t="str">
        <f>dpLand_Adjustment_4</f>
        <v>Corner Exposure</v>
      </c>
      <c r="D125" s="364" t="str">
        <f t="shared" ref="D125:I125" si="7">IF(ISERR(IF(INDEX(Land_CornerExpRange,D$3)=0,"no adjustment",IF(INDEX(Land_CornerExpRange,D$3)&lt;0,CONCATENATE("a downward adjustment of ",TEXT(ABS(INDEX(Land_CornerExpRange,D$3)),"0.0%")),CONCATENATE("an upward adjustment of ",TEXT(ABS(INDEX(Land_CornerExpRange,D$3)),"0.0%"))))),"",IF(Land_AdjType="Percent",IF(INDEX(Land_CornerExpRange,D$3)=0,"no adjustment",IF(INDEX(Land_CornerExpRange,D$3)&lt;0,CONCATENATE("a downward adjustment of ",TEXT(ABS(INDEX(Land_CornerExpRange,D$3)),"0.0%")),CONCATENATE("an upward adjustment of ",TEXT(ABS(INDEX(Land_CornerExpRange,D$3)),"0.0%")))),IF(Land_AdjType="$ per Unit",IF(INDEX(Land_CornerExpRange,D$3)=0,"no adjustment",IF(INDEX(Land_CornerExpRange,D$3)&lt;0,CONCATENATE("a downward adjustment of ",TEXT(ABS(INDEX(Land_CornerExpRange,D$3)),"$0.00")&amp;" per unit"),CONCATENATE("an upward adjustment of ",TEXT(ABS(INDEX(Land_CornerExpRange,D$3)),"$0.00")&amp;" per unit"))),IF(Land_AdjType="$ per Unit",IF(INDEX(Land_CornerExpRange,D$3)=0,"no adjustment",IF(INDEX(Land_CornerExpRange,D$3)&lt;0,"a downward adjustment","an upward adjustment"))))))</f>
        <v>no adjustment</v>
      </c>
      <c r="E125" s="364" t="str">
        <f t="shared" si="7"/>
        <v>no adjustment</v>
      </c>
      <c r="F125" s="364" t="str">
        <f t="shared" si="7"/>
        <v>no adjustment</v>
      </c>
      <c r="G125" s="364" t="str">
        <f t="shared" si="7"/>
        <v>no adjustment</v>
      </c>
      <c r="H125" s="364" t="str">
        <f t="shared" si="7"/>
        <v/>
      </c>
      <c r="I125" s="364" t="str">
        <f t="shared" si="7"/>
        <v/>
      </c>
      <c r="J125" s="6"/>
    </row>
    <row r="126" spans="2:10" x14ac:dyDescent="0.25">
      <c r="B126" s="4"/>
      <c r="C126" s="361" t="str">
        <f>dpLand_Adjustment_5</f>
        <v>Frontage</v>
      </c>
      <c r="D126" s="364" t="str">
        <f t="shared" ref="D126:I126" si="8">IF(ISERR(IF(INDEX(Land_FrontageRange,D$3)=0,"no adjustment",IF(INDEX(Land_FrontageRange,D$3)&lt;0,CONCATENATE("a downward adjustment of ",TEXT(ABS(INDEX(Land_FrontageRange,D$3)),"0.0%")),CONCATENATE("an upward adjustment of ",TEXT(ABS(INDEX(Land_FrontageRange,D$3)),"0.0%"))))),"",IF(Land_AdjType="Percent",IF(INDEX(Land_FrontageRange,D$3)=0,"no adjustment",IF(INDEX(Land_FrontageRange,D$3)&lt;0,CONCATENATE("a downward adjustment of ",TEXT(ABS(INDEX(Land_FrontageRange,D$3)),"0.0%")),CONCATENATE("an upward adjustment of ",TEXT(ABS(INDEX(Land_FrontageRange,D$3)),"0.0%")))),IF(Land_AdjType="$ per Unit",IF(INDEX(Land_FrontageRange,D$3)=0,"no adjustment",IF(INDEX(Land_FrontageRange,D$3)&lt;0,CONCATENATE("a downward adjustment of ",TEXT(ABS(INDEX(Land_FrontageRange,D$3)),"$0.00")&amp;" per unit"),CONCATENATE("an upward adjustment of ",TEXT(ABS(INDEX(Land_FrontageRange,D$3)),"$0.00")&amp;" per unit"))),IF(Land_AdjType="$ per Unit",IF(INDEX(Land_FrontageRange,D$3)=0,"no adjustment",IF(INDEX(Land_FrontageRange,D$3)&lt;0,"a downward adjustment","an upward adjustment"))))))</f>
        <v>no adjustment</v>
      </c>
      <c r="E126" s="364" t="str">
        <f t="shared" si="8"/>
        <v>no adjustment</v>
      </c>
      <c r="F126" s="364" t="str">
        <f t="shared" si="8"/>
        <v>no adjustment</v>
      </c>
      <c r="G126" s="364" t="str">
        <f t="shared" si="8"/>
        <v>no adjustment</v>
      </c>
      <c r="H126" s="364" t="str">
        <f t="shared" si="8"/>
        <v/>
      </c>
      <c r="I126" s="364" t="str">
        <f t="shared" si="8"/>
        <v/>
      </c>
      <c r="J126" s="6"/>
    </row>
    <row r="127" spans="2:10" x14ac:dyDescent="0.25">
      <c r="B127" s="4"/>
      <c r="C127" s="361" t="str">
        <f>dpLand_Adjustment_6</f>
        <v>Utilities</v>
      </c>
      <c r="D127" s="364" t="str">
        <f t="shared" ref="D127:I127" si="9">IF(ISERR(IF(INDEX(Land_UtilitiesRange,D$3)=0,"no adjustment",IF(INDEX(Land_UtilitiesRange,D$3)&lt;0,CONCATENATE("a downward adjustment of ",TEXT(ABS(INDEX(Land_UtilitiesRange,D$3)),"0.0%")),CONCATENATE("an upward adjustment of ",TEXT(ABS(INDEX(Land_UtilitiesRange,D$3)),"0.0%"))))),"",IF(Land_AdjType="Percent",IF(INDEX(Land_UtilitiesRange,D$3)=0,"no adjustment",IF(INDEX(Land_UtilitiesRange,D$3)&lt;0,CONCATENATE("a downward adjustment of ",TEXT(ABS(INDEX(Land_UtilitiesRange,D$3)),"0.0%")),CONCATENATE("an upward adjustment of ",TEXT(ABS(INDEX(Land_UtilitiesRange,D$3)),"0.0%")))),IF(Land_AdjType="$ per Unit",IF(INDEX(Land_UtilitiesRange,D$3)=0,"no adjustment",IF(INDEX(Land_UtilitiesRange,D$3)&lt;0,CONCATENATE("a downward adjustment of ",TEXT(ABS(INDEX(Land_UtilitiesRange,D$3)),"$0.00")&amp;" per unit"),CONCATENATE("an upward adjustment of ",TEXT(ABS(INDEX(Land_UtilitiesRange,D$3)),"$0.00")&amp;" per unit"))),IF(Land_AdjType="$ per Unit",IF(INDEX(Land_UtilitiesRange,D$3)=0,"no adjustment",IF(INDEX(Land_UtilitiesRange,D$3)&lt;0,"a downward adjustment","an upward adjustment"))))))</f>
        <v>no adjustment</v>
      </c>
      <c r="E127" s="364" t="str">
        <f t="shared" si="9"/>
        <v>no adjustment</v>
      </c>
      <c r="F127" s="364" t="str">
        <f t="shared" si="9"/>
        <v>no adjustment</v>
      </c>
      <c r="G127" s="364" t="str">
        <f t="shared" si="9"/>
        <v>no adjustment</v>
      </c>
      <c r="H127" s="364" t="str">
        <f t="shared" si="9"/>
        <v/>
      </c>
      <c r="I127" s="364" t="str">
        <f t="shared" si="9"/>
        <v/>
      </c>
      <c r="J127" s="6"/>
    </row>
    <row r="128" spans="2:10" x14ac:dyDescent="0.25">
      <c r="B128" s="4"/>
      <c r="C128" s="361" t="str">
        <f>dpLand_Adjustment_7</f>
        <v>Topography</v>
      </c>
      <c r="D128" s="364" t="str">
        <f t="shared" ref="D128:I128" si="10">IF(ISERR(IF(INDEX(Land_TopographyRange,D$3)=0,"no adjustment",IF(INDEX(Land_TopographyRange,D$3)&lt;0,CONCATENATE("a downward adjustment of ",TEXT(ABS(INDEX(Land_TopographyRange,D$3)),"0.0%")),CONCATENATE("an upward adjustment of ",TEXT(ABS(INDEX(Land_TopographyRange,D$3)),"0.0%"))))),"",IF(Land_AdjType="Percent",IF(INDEX(Land_TopographyRange,D$3)=0,"no adjustment",IF(INDEX(Land_TopographyRange,D$3)&lt;0,CONCATENATE("a downward adjustment of ",TEXT(ABS(INDEX(Land_TopographyRange,D$3)),"0.0%")),CONCATENATE("an upward adjustment of ",TEXT(ABS(INDEX(Land_TopographyRange,D$3)),"0.0%")))),IF(Land_AdjType="$ per Unit",IF(INDEX(Land_TopographyRange,D$3)=0,"no adjustment",IF(INDEX(Land_TopographyRange,D$3)&lt;0,CONCATENATE("a downward adjustment of ",TEXT(ABS(INDEX(Land_TopographyRange,D$3)),"$0.00")&amp;" per unit"),CONCATENATE("an upward adjustment of ",TEXT(ABS(INDEX(Land_TopographyRange,D$3)),"$0.00")&amp;" per unit"))),IF(Land_AdjType="$ per Unit",IF(INDEX(Land_TopographyRange,D$3)=0,"no adjustment",IF(INDEX(Land_TopographyRange,D$3)&lt;0,"a downward adjustment","an upward adjustment"))))))</f>
        <v>no adjustment</v>
      </c>
      <c r="E128" s="364" t="str">
        <f t="shared" si="10"/>
        <v>no adjustment</v>
      </c>
      <c r="F128" s="364" t="str">
        <f t="shared" si="10"/>
        <v>no adjustment</v>
      </c>
      <c r="G128" s="364" t="str">
        <f t="shared" si="10"/>
        <v>no adjustment</v>
      </c>
      <c r="H128" s="364" t="str">
        <f t="shared" si="10"/>
        <v/>
      </c>
      <c r="I128" s="364" t="str">
        <f t="shared" si="10"/>
        <v/>
      </c>
      <c r="J128" s="6"/>
    </row>
    <row r="129" spans="2:10" x14ac:dyDescent="0.25">
      <c r="B129" s="4"/>
      <c r="C129" s="361" t="str">
        <f>dpLand_Adjustment_8</f>
        <v>Floodplain</v>
      </c>
      <c r="D129" s="364" t="str">
        <f t="shared" ref="D129:I129" si="11">IF(ISERR(IF(INDEX(Land_FloodplainRange,D$3)=0,"no adjustment",IF(INDEX(Land_FloodplainRange,D$3)&lt;0,CONCATENATE("a downward adjustment of ",TEXT(ABS(INDEX(Land_FloodplainRange,D$3)),"0.0%")),CONCATENATE("an upward adjustment of ",TEXT(ABS(INDEX(Land_FloodplainRange,D$3)),"0.0%"))))),"",IF(Land_AdjType="Percent",IF(INDEX(Land_FloodplainRange,D$3)=0,"no adjustment",IF(INDEX(Land_FloodplainRange,D$3)&lt;0,CONCATENATE("a downward adjustment of ",TEXT(ABS(INDEX(Land_FloodplainRange,D$3)),"0.0%")),CONCATENATE("an upward adjustment of ",TEXT(ABS(INDEX(Land_FloodplainRange,D$3)),"0.0%")))),IF(Land_AdjType="$ per Unit",IF(INDEX(Land_FloodplainRange,D$3)=0,"no adjustment",IF(INDEX(Land_FloodplainRange,D$3)&lt;0,CONCATENATE("a downward adjustment of ",TEXT(ABS(INDEX(Land_FloodplainRange,D$3)),"$0.00")&amp;" per unit"),CONCATENATE("an upward adjustment of ",TEXT(ABS(INDEX(Land_FloodplainRange,D$3)),"$0.00")&amp;" per unit"))),IF(Land_AdjType="$ per Unit",IF(INDEX(Land_FloodplainRange,D$3)=0,"no adjustment",IF(INDEX(Land_FloodplainRange,D$3)&lt;0,"a downward adjustment","an upward adjustment"))))))</f>
        <v>no adjustment</v>
      </c>
      <c r="E129" s="364" t="str">
        <f t="shared" si="11"/>
        <v>a downward adjustment of 5.0%</v>
      </c>
      <c r="F129" s="364" t="str">
        <f t="shared" si="11"/>
        <v>a downward adjustment of 5.0%</v>
      </c>
      <c r="G129" s="364" t="str">
        <f t="shared" si="11"/>
        <v>a downward adjustment of 5.0%</v>
      </c>
      <c r="H129" s="364" t="str">
        <f t="shared" si="11"/>
        <v/>
      </c>
      <c r="I129" s="364" t="str">
        <f t="shared" si="11"/>
        <v/>
      </c>
      <c r="J129" s="6"/>
    </row>
    <row r="130" spans="2:10" x14ac:dyDescent="0.25">
      <c r="B130" s="4"/>
      <c r="C130" s="361" t="str">
        <f>dpLand_Adjustment_9</f>
        <v>Zoning</v>
      </c>
      <c r="D130" s="364" t="str">
        <f t="shared" ref="D130:I130" si="12">IF(ISERR(IF(INDEX(Land_ZoningRange,D$3)=0,"no adjustment",IF(INDEX(Land_ZoningRange,D$3)&lt;0,CONCATENATE("a downward adjustment of ",TEXT(ABS(INDEX(Land_ZoningRange,D$3)),"0.0%")),CONCATENATE("an upward adjustment of ",TEXT(ABS(INDEX(Land_ZoningRange,D$3)),"0.0%"))))),"",IF(Land_AdjType="Percent",IF(INDEX(Land_ZoningRange,D$3)=0,"no adjustment",IF(INDEX(Land_ZoningRange,D$3)&lt;0,CONCATENATE("a downward adjustment of ",TEXT(ABS(INDEX(Land_ZoningRange,D$3)),"0.0%")),CONCATENATE("an upward adjustment of ",TEXT(ABS(INDEX(Land_ZoningRange,D$3)),"0.0%")))),IF(Land_AdjType="$ per Unit",IF(INDEX(Land_ZoningRange,D$3)=0,"no adjustment",IF(INDEX(Land_ZoningRange,D$3)&lt;0,CONCATENATE("a downward adjustment of ",TEXT(ABS(INDEX(Land_ZoningRange,D$3)),"$0.00")&amp;" per unit"),CONCATENATE("an upward adjustment of ",TEXT(ABS(INDEX(Land_ZoningRange,D$3)),"$0.00")&amp;" per unit"))),IF(Land_AdjType="$ per Unit",IF(INDEX(Land_ZoningRange,D$3)=0,"no adjustment",IF(INDEX(Land_ZoningRange,D$3)&lt;0,"a downward adjustment","an upward adjustment"))))))</f>
        <v>no adjustment</v>
      </c>
      <c r="E130" s="364" t="str">
        <f t="shared" si="12"/>
        <v>no adjustment</v>
      </c>
      <c r="F130" s="364" t="str">
        <f t="shared" si="12"/>
        <v>no adjustment</v>
      </c>
      <c r="G130" s="364" t="str">
        <f t="shared" si="12"/>
        <v>no adjustment</v>
      </c>
      <c r="H130" s="364" t="str">
        <f t="shared" si="12"/>
        <v/>
      </c>
      <c r="I130" s="364" t="str">
        <f t="shared" si="12"/>
        <v/>
      </c>
      <c r="J130" s="6"/>
    </row>
    <row r="131" spans="2:10" x14ac:dyDescent="0.25">
      <c r="B131" s="4"/>
      <c r="C131" s="361" t="str">
        <f>dpLand_Adjustment_10</f>
        <v>Traffic Counts</v>
      </c>
      <c r="D131" s="364" t="str">
        <f t="shared" ref="D131:I131" si="13">IF(ISERR(IF(INDEX(Land_TrafficCountsRange,D$3)=0,"no adjustment",IF(INDEX(Land_TrafficCountsRange,D$3)&lt;0,CONCATENATE("a downward adjustment of ",TEXT(ABS(INDEX(Land_TrafficCountsRange,D$3)),"0.0%")),CONCATENATE("an upward adjustment of ",TEXT(ABS(INDEX(Land_TrafficCountsRange,D$3)),"0.0%"))))),"",IF(Land_AdjType="Percent",IF(INDEX(Land_TrafficCountsRange,D$3)=0,"no adjustment",IF(INDEX(Land_TrafficCountsRange,D$3)&lt;0,CONCATENATE("a downward adjustment of ",TEXT(ABS(INDEX(Land_TrafficCountsRange,D$3)),"0.0%")),CONCATENATE("an upward adjustment of ",TEXT(ABS(INDEX(Land_TrafficCountsRange,D$3)),"0.0%")))),IF(Land_AdjType="$ per Unit",IF(INDEX(Land_TrafficCountsRange,D$3)=0,"no adjustment",IF(INDEX(Land_TrafficCountsRange,D$3)&lt;0,CONCATENATE("a downward adjustment of ",TEXT(ABS(INDEX(Land_TrafficCountsRange,D$3)),"$0.00")&amp;" per unit"),CONCATENATE("an upward adjustment of ",TEXT(ABS(INDEX(Land_TrafficCountsRange,D$3)),"$0.00")&amp;" per unit"))),IF(Land_AdjType="$ per Unit",IF(INDEX(Land_TrafficCountsRange,D$3)=0,"no adjustment",IF(INDEX(Land_TrafficCountsRange,D$3)&lt;0,"a downward adjustment","an upward adjustment"))))))</f>
        <v>no adjustment</v>
      </c>
      <c r="E131" s="364" t="str">
        <f t="shared" si="13"/>
        <v>no adjustment</v>
      </c>
      <c r="F131" s="364" t="str">
        <f t="shared" si="13"/>
        <v>no adjustment</v>
      </c>
      <c r="G131" s="364" t="str">
        <f t="shared" si="13"/>
        <v>no adjustment</v>
      </c>
      <c r="H131" s="364" t="str">
        <f t="shared" si="13"/>
        <v/>
      </c>
      <c r="I131" s="364" t="str">
        <f t="shared" si="13"/>
        <v/>
      </c>
      <c r="J131" s="6"/>
    </row>
    <row r="132" spans="2:10" x14ac:dyDescent="0.25">
      <c r="B132" s="4"/>
      <c r="C132" s="361" t="str">
        <f>dpLand_Adjustment_11</f>
        <v>Site Improvements</v>
      </c>
      <c r="D132" s="364" t="str">
        <f t="shared" ref="D132:I132" si="14">IF(ISERR(IF(INDEX(Land_UserDefined1Range,D$3)=0,"no adjustment",IF(INDEX(Land_UserDefined1Range,D$3)&lt;0,CONCATENATE("a downward adjustment of ",TEXT(ABS(INDEX(Land_UserDefined1Range,D$3)),"0.0%")),CONCATENATE("an upward adjustment of ",TEXT(ABS(INDEX(Land_UserDefined1Range,D$3)),"0.0%"))))),"",IF(Land_AdjType="Percent",IF(INDEX(Land_UserDefined1Range,D$3)=0,"no adjustment",IF(INDEX(Land_UserDefined1Range,D$3)&lt;0,CONCATENATE("a downward adjustment of ",TEXT(ABS(INDEX(Land_UserDefined1Range,D$3)),"0.0%")),CONCATENATE("an upward adjustment of ",TEXT(ABS(INDEX(Land_UserDefined1Range,D$3)),"0.0%")))),IF(Land_AdjType="$ per Unit",IF(INDEX(Land_UserDefined1Range,D$3)=0,"no adjustment",IF(INDEX(Land_UserDefined1Range,D$3)&lt;0,CONCATENATE("a downward adjustment of ",TEXT(ABS(INDEX(Land_UserDefined1Range,D$3)),"$0.00")&amp;" per unit"),CONCATENATE("an upward adjustment of ",TEXT(ABS(INDEX(Land_UserDefined1Range,D$3)),"$0.00")&amp;" per unit"))),IF(Land_AdjType="$ per Unit",IF(INDEX(Land_UserDefined1Range,D$3)=0,"no adjustment",IF(INDEX(Land_UserDefined1Range,D$3)&lt;0,"a downward adjustment","an upward adjustment"))))))</f>
        <v>an upward adjustment of 3.0%</v>
      </c>
      <c r="E132" s="364" t="str">
        <f t="shared" si="14"/>
        <v>an upward adjustment of 3.0%</v>
      </c>
      <c r="F132" s="364" t="str">
        <f t="shared" si="14"/>
        <v>an upward adjustment of 3.0%</v>
      </c>
      <c r="G132" s="364" t="str">
        <f t="shared" si="14"/>
        <v>an upward adjustment of 3.0%</v>
      </c>
      <c r="H132" s="364" t="str">
        <f t="shared" si="14"/>
        <v/>
      </c>
      <c r="I132" s="364" t="str">
        <f t="shared" si="14"/>
        <v/>
      </c>
      <c r="J132" s="6"/>
    </row>
    <row r="133" spans="2:10" x14ac:dyDescent="0.25">
      <c r="B133" s="4"/>
      <c r="C133" s="361" t="str">
        <f>dpLand_Adjustment_12</f>
        <v>User Defined 2</v>
      </c>
      <c r="D133" s="364" t="str">
        <f t="shared" ref="D133:I133" si="15">IF(ISERR(IF(INDEX(Land_UserDefined2Range,D$3)=0,"no adjustment",IF(INDEX(Land_UserDefined2Range,D$3)&lt;0,CONCATENATE("a downward adjustment of ",TEXT(ABS(INDEX(Land_UserDefined2Range,D$3)),"0.0%")),CONCATENATE("an upward adjustment of ",TEXT(ABS(INDEX(Land_UserDefined2Range,D$3)),"0.0%"))))),"",IF(Land_AdjType="Percent",IF(INDEX(Land_UserDefined2Range,D$3)=0,"no adjustment",IF(INDEX(Land_UserDefined2Range,D$3)&lt;0,CONCATENATE("a downward adjustment of ",TEXT(ABS(INDEX(Land_UserDefined2Range,D$3)),"0.0%")),CONCATENATE("an upward adjustment of ",TEXT(ABS(INDEX(Land_UserDefined2Range,D$3)),"0.0%")))),IF(Land_AdjType="$ per Unit",IF(INDEX(Land_UserDefined2Range,D$3)=0,"no adjustment",IF(INDEX(Land_UserDefined2Range,D$3)&lt;0,CONCATENATE("a downward adjustment of ",TEXT(ABS(INDEX(Land_UserDefined2Range,D$3)),"$0.00")&amp;" per unit"),CONCATENATE("an upward adjustment of ",TEXT(ABS(INDEX(Land_UserDefined2Range,D$3)),"$0.00")&amp;" per unit"))),IF(Land_AdjType="$ per Unit",IF(INDEX(Land_UserDefined2Range,D$3)=0,"no adjustment",IF(INDEX(Land_UserDefined2Range,D$3)&lt;0,"a downward adjustment","an upward adjustment"))))))</f>
        <v>no adjustment</v>
      </c>
      <c r="E133" s="364" t="str">
        <f t="shared" si="15"/>
        <v>no adjustment</v>
      </c>
      <c r="F133" s="364" t="str">
        <f t="shared" si="15"/>
        <v>no adjustment</v>
      </c>
      <c r="G133" s="364" t="str">
        <f t="shared" si="15"/>
        <v>no adjustment</v>
      </c>
      <c r="H133" s="364" t="str">
        <f t="shared" si="15"/>
        <v/>
      </c>
      <c r="I133" s="364" t="str">
        <f t="shared" si="15"/>
        <v/>
      </c>
      <c r="J133" s="6"/>
    </row>
    <row r="134" spans="2:10" x14ac:dyDescent="0.25">
      <c r="B134" s="4"/>
      <c r="C134" s="767"/>
      <c r="D134" s="771"/>
      <c r="E134" s="771"/>
      <c r="F134" s="771"/>
      <c r="G134" s="771"/>
      <c r="H134" s="771"/>
      <c r="I134" s="771"/>
      <c r="J134" s="6"/>
    </row>
    <row r="135" spans="2:10" x14ac:dyDescent="0.25">
      <c r="B135" s="4"/>
      <c r="C135" s="365" t="s">
        <v>415</v>
      </c>
      <c r="D135" s="359"/>
      <c r="E135" s="359"/>
      <c r="F135" s="359"/>
      <c r="G135" s="359"/>
      <c r="H135" s="359"/>
      <c r="I135" s="359"/>
      <c r="J135" s="6"/>
    </row>
    <row r="136" spans="2:10" x14ac:dyDescent="0.25">
      <c r="B136" s="4"/>
      <c r="C136" s="767" t="s">
        <v>1133</v>
      </c>
      <c r="D136" s="890" t="str">
        <f>IF(Profit_Application=1,"construction cost and land value","construction cost")</f>
        <v>construction cost and land value</v>
      </c>
      <c r="E136" s="873"/>
      <c r="F136" s="769"/>
      <c r="G136" s="769"/>
      <c r="H136" s="769"/>
      <c r="I136" s="769"/>
      <c r="J136" s="6"/>
    </row>
    <row r="137" spans="2:10" x14ac:dyDescent="0.25">
      <c r="B137" s="4"/>
      <c r="C137" s="1501" t="s">
        <v>1513</v>
      </c>
      <c r="D137" s="1498" t="str">
        <f>IF(OR(Cost_DepreciationMethod="Breakdown",Cost_DepreciationMethod="Modified Age-Life"),CONCATENATE("The ",LOWER(Cost_DepreciationMethod)," method was used to estimate depreciation. The various forms of depreciation are discussed as follows:"),CONCATENATE("The ",LOWER(Cost_DepreciationMethod)," method was used to estimate depreciation, which is discussed as follows:"))</f>
        <v>The modified age-life method was used to estimate depreciation. The various forms of depreciation are discussed as follows:</v>
      </c>
      <c r="E137" s="1499"/>
      <c r="F137" s="1500"/>
      <c r="G137" s="1500"/>
      <c r="H137" s="1500"/>
      <c r="I137" s="1500"/>
      <c r="J137" s="6"/>
    </row>
    <row r="138" spans="2:10" x14ac:dyDescent="0.25">
      <c r="B138" s="4"/>
      <c r="C138" s="716" t="s">
        <v>1043</v>
      </c>
      <c r="D138" s="456" t="str">
        <f>IF(Sort_Perspective_1="Retrospective",IF(dpCost_CurableItemCost_Total=0,"did not exhibit deferred maintenance on the retrospective date of value.",CONCATENATE("exhibited deferred maintenance totaling ",TEXT(dpCost_CurableItemCost_Total,"$#,##0"),", which must be deducted from the preliminary value estimate.")),IF(dpCost_CurableItemCost_Total=0,"does not exhibit deferred maintenance.",CONCATENATE("exhibits deferred maintenance totaling ",TEXT(dpCost_CurableItemCost_Total,"$#,##0"),", which must be deducted from the preliminary value estimate")))</f>
        <v>did not exhibit deferred maintenance on the retrospective date of value.</v>
      </c>
      <c r="E138" s="359"/>
      <c r="F138" s="359"/>
      <c r="G138" s="359"/>
      <c r="H138" s="359"/>
      <c r="I138" s="359"/>
      <c r="J138" s="6"/>
    </row>
    <row r="139" spans="2:10" x14ac:dyDescent="0.25">
      <c r="B139" s="4"/>
      <c r="C139" s="767" t="s">
        <v>1155</v>
      </c>
      <c r="D139" s="769" t="str">
        <f>IF(dpCost_IncurableLongCost_Total=0,"The subject improvements are new with no incurable physical depreciation present.",IF(Cost_DepreciationRateMethod="Straight-Line (Linear)",CONCATENATE("Total incurable physical depreciation was estimated at ",TEXT(dpCost_IncurableLongCost_Percent,"0.0%"),", or ",TEXT(ABS(dpCost_IncurableLongCost_Total),"$#,##0"),". The calculation is presented in the following table:"),"To estimate incurable physical depreciation, the Marshall Valuation Service depreciation schedule for commercial properties was reviewed, which is presented in the following table and is followed by the total incurable physical depreciation calculation:"))</f>
        <v>The subject improvements are new with no incurable physical depreciation present.</v>
      </c>
      <c r="E139" s="769"/>
      <c r="F139" s="769"/>
      <c r="G139" s="769"/>
      <c r="H139" s="769"/>
      <c r="I139" s="769"/>
      <c r="J139" s="6"/>
    </row>
    <row r="140" spans="2:10" x14ac:dyDescent="0.25">
      <c r="B140" s="4"/>
      <c r="C140" s="387" t="s">
        <v>18198</v>
      </c>
      <c r="D140" s="456" t="str">
        <f>IF(dpCost_Functional_Obsolescence=0,"The subject property is representative of market standards and the ideal improvement. Therefore, no functional obsolescence was considered.",CONCATENATE("The subject property has superadequate features that are not recognized in the market, indicating functional obsolescence. We estimated functional obsolescence at ",TEXT(ABS(dpCost_Functional_Obsolescence),"$#,000"),"."))</f>
        <v>The subject property is representative of market standards and the ideal improvement. Therefore, no functional obsolescence was considered.</v>
      </c>
      <c r="E140" s="389"/>
      <c r="F140" s="389"/>
      <c r="G140" s="389"/>
      <c r="H140" s="389"/>
      <c r="I140" s="389"/>
      <c r="J140" s="6"/>
    </row>
    <row r="141" spans="2:10" x14ac:dyDescent="0.25">
      <c r="B141" s="4"/>
      <c r="C141" s="361" t="s">
        <v>675</v>
      </c>
      <c r="D141" s="478" t="str">
        <f ca="1">IF(OR(dpCost_External_Obsolescence="No OAR",dpCost_External_Obsolescence=0),"The subject property does not suffer from external obsolescence.",CONCATENATE("The subject property suffers from external obsolescence, which was calculated at ",TEXT(ABS(dpCost_External_Obsolescence),"$#,000"),". The following table illustrates the external obsolescence calculation:"))</f>
        <v>The subject property suffers from external obsolescence, which was calculated at $34,294,637. The following table illustrates the external obsolescence calculation:</v>
      </c>
      <c r="E141" s="359"/>
      <c r="F141" s="359"/>
      <c r="G141" s="359"/>
      <c r="H141" s="359"/>
      <c r="I141" s="359"/>
      <c r="J141" s="6"/>
    </row>
    <row r="142" spans="2:10" x14ac:dyDescent="0.25">
      <c r="B142" s="4"/>
      <c r="C142" s="387" t="s">
        <v>676</v>
      </c>
      <c r="D142" s="392">
        <f>ABS(dpCost_TotalAccruedDepreciation)</f>
        <v>0</v>
      </c>
      <c r="E142" s="389"/>
      <c r="F142" s="389"/>
      <c r="G142" s="389"/>
      <c r="H142" s="389"/>
      <c r="I142" s="389"/>
      <c r="J142" s="6"/>
    </row>
    <row r="143" spans="2:10" x14ac:dyDescent="0.25">
      <c r="B143" s="4"/>
      <c r="C143" s="455"/>
      <c r="D143" s="462"/>
      <c r="E143" s="456"/>
      <c r="F143" s="456"/>
      <c r="G143" s="456"/>
      <c r="H143" s="456"/>
      <c r="I143" s="456"/>
      <c r="J143" s="6"/>
    </row>
    <row r="144" spans="2:10" x14ac:dyDescent="0.25">
      <c r="B144" s="4"/>
      <c r="C144" s="360" t="s">
        <v>416</v>
      </c>
      <c r="D144" s="359"/>
      <c r="E144" s="359"/>
      <c r="F144" s="359"/>
      <c r="G144" s="359"/>
      <c r="H144" s="359"/>
      <c r="I144" s="359"/>
      <c r="J144" s="6"/>
    </row>
    <row r="145" spans="2:10" x14ac:dyDescent="0.25">
      <c r="B145" s="4"/>
      <c r="C145" s="1501" t="s">
        <v>1832</v>
      </c>
      <c r="D145" s="1500" t="str">
        <f>IF(dpUnit_Sales="Units","unit",CONCATENATE("square foot of ",LOWER(dpUnit_Sales)))</f>
        <v>square foot of net rentable area</v>
      </c>
      <c r="E145" s="1500"/>
      <c r="F145" s="1500"/>
      <c r="G145" s="1500"/>
      <c r="H145" s="1500"/>
      <c r="I145" s="1500"/>
      <c r="J145" s="6"/>
    </row>
    <row r="146" spans="2:10" x14ac:dyDescent="0.25">
      <c r="B146" s="4"/>
      <c r="C146" s="361" t="s">
        <v>566</v>
      </c>
      <c r="D146" s="366" t="s">
        <v>19966</v>
      </c>
      <c r="E146" s="359"/>
      <c r="F146" s="359"/>
      <c r="G146" s="359"/>
      <c r="H146" s="359"/>
      <c r="I146" s="359"/>
      <c r="J146" s="6"/>
    </row>
    <row r="147" spans="2:10" x14ac:dyDescent="0.25">
      <c r="B147" s="4"/>
      <c r="C147" s="455" t="s">
        <v>782</v>
      </c>
      <c r="D147" s="458" t="str">
        <f>IF(SUM(Sales_FinancingTermsRange)=0,CONCATENATE("All of the comparable sales involved typical market terms by which the sellers received cash or its equivalent and the buyers paid cash or tendered typical down payments and obtained conventional financing at market terms for the balance."," Therefore, no adjustments for this category were required."),"")</f>
        <v>All of the comparable sales involved typical market terms by which the sellers received cash or its equivalent and the buyers paid cash or tendered typical down payments and obtained conventional financing at market terms for the balance. Therefore, no adjustments for this category were required.</v>
      </c>
      <c r="E147" s="456"/>
      <c r="F147" s="456"/>
      <c r="G147" s="456"/>
      <c r="H147" s="456"/>
      <c r="I147" s="456"/>
      <c r="J147" s="6"/>
    </row>
    <row r="148" spans="2:10" x14ac:dyDescent="0.25">
      <c r="B148" s="4"/>
      <c r="C148" s="455" t="s">
        <v>783</v>
      </c>
      <c r="D148" s="458" t="str">
        <f>IF(SUM(Sales_ConditionsofSaleRange)=0,"The sale comparables do not indicate any condition of sale adjustments were warranted for atypical conditions or for-sale listings.","")</f>
        <v>The sale comparables do not indicate any condition of sale adjustments were warranted for atypical conditions or for-sale listings.</v>
      </c>
      <c r="E148" s="456"/>
      <c r="F148" s="456"/>
      <c r="G148" s="456"/>
      <c r="H148" s="456"/>
      <c r="I148" s="456"/>
      <c r="J148" s="6"/>
    </row>
    <row r="149" spans="2:10" x14ac:dyDescent="0.25">
      <c r="B149" s="4"/>
      <c r="C149" s="455" t="s">
        <v>784</v>
      </c>
      <c r="D149" s="458" t="str">
        <f>IF(SUM(Sales_ExpendituresAfterSaleRange)=0,"The parties to the sale comparables did not anticipate expenditures immediately after purchase; no adjustments were required.","")</f>
        <v>The parties to the sale comparables did not anticipate expenditures immediately after purchase; no adjustments were required.</v>
      </c>
      <c r="E149" s="456"/>
      <c r="F149" s="456"/>
      <c r="G149" s="456"/>
      <c r="H149" s="456"/>
      <c r="I149" s="456"/>
      <c r="J149" s="6"/>
    </row>
    <row r="150" spans="2:10" x14ac:dyDescent="0.25">
      <c r="B150" s="4"/>
      <c r="C150" s="361" t="s">
        <v>565</v>
      </c>
      <c r="D150" s="2239">
        <f>HLOOKUP(dpSales_MostComparable,dpSale_Adjustments_Table,ROWS(dpSale_Adjustments_Table),FALSE)</f>
        <v>115.45810193755401</v>
      </c>
      <c r="E150" s="359" t="e" cm="1">
        <f t="array" aca="1" ref="E150" ca="1">INDEX(dpSale_Adjustments_Table_1,
MATCH("Overall Net Relative Comparison",OFFSET(dpSale_Adjustments_Table_1,,1,,1),0)+1,
MATCH(dpSales_MostComparable_1,OFFSET(dpSale_Adjustments_Table_1,,,1),0))</f>
        <v>#DIV/0!</v>
      </c>
      <c r="F150" s="359" t="e" cm="1">
        <f t="array" aca="1" ref="F150" ca="1">INDEX(dpSale_Adjustments_Table_2,
MATCH("Overall Net Relative Comparison",OFFSET(dpSale_Adjustments_Table_2,,1,,1),0)+1,
MATCH(dpSales_MostComparable_2,OFFSET(dpSale_Adjustments_Table_2,,,1),0))</f>
        <v>#DIV/0!</v>
      </c>
      <c r="G150" s="359">
        <f ca="1">MATCH("Overall Net Relative Comparison",OFFSET(dpSale_Adjustments_Table,,1,,1),0)+1</f>
        <v>141</v>
      </c>
      <c r="H150" s="359">
        <f ca="1">MATCH(dpSales_MostComparable,OFFSET(dpSale_Adjustments_Table,,,1),0)</f>
        <v>5</v>
      </c>
      <c r="I150" s="359"/>
      <c r="J150" s="6"/>
    </row>
    <row r="151" spans="2:10" x14ac:dyDescent="0.25">
      <c r="B151" s="4"/>
      <c r="C151" s="360" t="s">
        <v>821</v>
      </c>
      <c r="D151" s="368">
        <v>1</v>
      </c>
      <c r="E151" s="368">
        <f>D151+1</f>
        <v>2</v>
      </c>
      <c r="F151" s="368">
        <f>E151+1</f>
        <v>3</v>
      </c>
      <c r="G151" s="368">
        <f>F151+1</f>
        <v>4</v>
      </c>
      <c r="H151" s="368">
        <f>G151+1</f>
        <v>5</v>
      </c>
      <c r="I151" s="368">
        <f>H151+1</f>
        <v>6</v>
      </c>
      <c r="J151" s="6"/>
    </row>
    <row r="152" spans="2:10" x14ac:dyDescent="0.25">
      <c r="B152" s="4"/>
      <c r="C152" s="361" t="str">
        <f>dpSales_TransAdjustment_1</f>
        <v>Property Rights Conveyed</v>
      </c>
      <c r="D152" s="459" t="str">
        <f t="shared" ref="D152:I152" si="16">IF(ISERR(IF(INDEX(Sales_PropertyRightsRange,D$3)=0,"no adjustment",IF(INDEX(Sales_PropertyRightsRange,D$3)&lt;0,CONCATENATE("a downward adjustment of ",TEXT(ABS(INDEX(Sales_PropertyRightsRange,D$3)),"0.0%")),CONCATENATE("an upward adjustment of ",TEXT(ABS(INDEX(Sales_PropertyRightsRange,D$3)),"0.0%"))))),"",IF(Sales_AdjType="Percent",IF(INDEX(Sales_PropertyRightsRange,D$3)=0,"no adjustment",IF(INDEX(Sales_PropertyRightsRange,D$3)&lt;0,CONCATENATE("a downward adjustment of ",TEXT(ABS(INDEX(Sales_PropertyRightsRange,D$3)),"0.0%")),CONCATENATE("an upward adjustment of ",TEXT(ABS(INDEX(Sales_PropertyRightsRange,D$3)),"0.0%")))),IF(Sales_AdjType="$ per Unit",IF(INDEX(Sales_PropertyRightsRange,D$3)=0,"no adjustment",IF(INDEX(Sales_PropertyRightsRange,D$3)&lt;0,CONCATENATE("a downward adjustment of ",TEXT(ABS(INDEX(Sales_PropertyRightsRange,D$3)),"$0.00")&amp;" per unit"),CONCATENATE("an upward adjustment of ",TEXT(ABS(INDEX(Sales_PropertyRightsRange,D$3)),"$0.00")&amp;" per unit"))),IF(Sales_AdjType="$ per Unit",IF(INDEX(Sales_PropertyRightsRange,D$3)=0,"no adjustment",IF(INDEX(Sales_PropertyRightsRange,D$3)&lt;0,"a downward adjustment","an upward adjustment"))))))</f>
        <v>no adjustment</v>
      </c>
      <c r="E152" s="459" t="str">
        <f t="shared" si="16"/>
        <v>no adjustment</v>
      </c>
      <c r="F152" s="459" t="str">
        <f t="shared" si="16"/>
        <v>no adjustment</v>
      </c>
      <c r="G152" s="459" t="str">
        <f t="shared" si="16"/>
        <v>no adjustment</v>
      </c>
      <c r="H152" s="459" t="str">
        <f t="shared" si="16"/>
        <v/>
      </c>
      <c r="I152" s="459" t="str">
        <f t="shared" si="16"/>
        <v/>
      </c>
      <c r="J152" s="6"/>
    </row>
    <row r="153" spans="2:10" x14ac:dyDescent="0.25">
      <c r="B153" s="4"/>
      <c r="C153" s="361" t="str">
        <f>dpSales_TransAdjustment_2</f>
        <v>Financing Terms</v>
      </c>
      <c r="D153" s="459" t="str">
        <f t="shared" ref="D153:I153" si="17">IF(ISERR(IF(INDEX(Sales_FinancingTermsRange,D$3)=0,"no adjustment",IF(INDEX(Sales_FinancingTermsRange,D$3)&lt;0,CONCATENATE("a downward adjustment of ",TEXT(ABS(INDEX(Sales_FinancingTermsRange,D$3)),"0.0%")),CONCATENATE("an upward adjustment of ",TEXT(ABS(INDEX(Sales_FinancingTermsRange,D$3)),"0.0%"))))),"",IF(Sales_AdjType="Percent",IF(INDEX(Sales_FinancingTermsRange,D$3)=0,"no adjustment",IF(INDEX(Sales_FinancingTermsRange,D$3)&lt;0,CONCATENATE("a downward adjustment of ",TEXT(ABS(INDEX(Sales_FinancingTermsRange,D$3)),"0.0%")),CONCATENATE("an upward adjustment of ",TEXT(ABS(INDEX(Sales_FinancingTermsRange,D$3)),"0.0%")))),IF(Sales_AdjType="$ per Unit",IF(INDEX(Sales_FinancingTermsRange,D$3)=0,"no adjustment",IF(INDEX(Sales_FinancingTermsRange,D$3)&lt;0,CONCATENATE("a downward adjustment of ",TEXT(ABS(INDEX(Sales_FinancingTermsRange,D$3)),"$0.00")&amp;" per unit"),CONCATENATE("an upward adjustment of ",TEXT(ABS(INDEX(Sales_FinancingTermsRange,D$3)),"$0.00")&amp;" per unit"))),IF(Sales_AdjType="$ per Unit",IF(INDEX(Sales_FinancingTermsRange,D$3)=0,"no adjustment",IF(INDEX(Sales_FinancingTermsRange,D$3)&lt;0,"a downward adjustment","an upward adjustment"))))))</f>
        <v>no adjustment</v>
      </c>
      <c r="E153" s="459" t="str">
        <f t="shared" si="17"/>
        <v>no adjustment</v>
      </c>
      <c r="F153" s="459" t="str">
        <f t="shared" si="17"/>
        <v>no adjustment</v>
      </c>
      <c r="G153" s="459" t="str">
        <f t="shared" si="17"/>
        <v>no adjustment</v>
      </c>
      <c r="H153" s="459" t="str">
        <f t="shared" si="17"/>
        <v/>
      </c>
      <c r="I153" s="459" t="str">
        <f t="shared" si="17"/>
        <v/>
      </c>
      <c r="J153" s="6"/>
    </row>
    <row r="154" spans="2:10" x14ac:dyDescent="0.25">
      <c r="B154" s="4"/>
      <c r="C154" s="361" t="str">
        <f>dpSales_TransAdjustment_3</f>
        <v>Conditions of Sale</v>
      </c>
      <c r="D154" s="459" t="str">
        <f t="shared" ref="D154:I154" si="18">IF(ISERR(IF(INDEX(Sales_ConditionsofSaleRange,D$3)=0,"no adjustment",IF(INDEX(Sales_ConditionsofSaleRange,D$3)&lt;0,CONCATENATE("a downward adjustment of ",TEXT(ABS(INDEX(Sales_ConditionsofSaleRange,D$3)),"0.0%")),CONCATENATE("an upward adjustment of ",TEXT(ABS(INDEX(Sales_ConditionsofSaleRange,D$3)),"0.0%"))))),"",IF(Sales_AdjType="Percent",IF(INDEX(Sales_ConditionsofSaleRange,D$3)=0,"no adjustment",IF(INDEX(Sales_ConditionsofSaleRange,D$3)&lt;0,CONCATENATE("a downward adjustment of ",TEXT(ABS(INDEX(Sales_ConditionsofSaleRange,D$3)),"0.0%")),CONCATENATE("an upward adjustment of ",TEXT(ABS(INDEX(Sales_ConditionsofSaleRange,D$3)),"0.0%")))),IF(Sales_AdjType="$ per Unit",IF(INDEX(Sales_ConditionsofSaleRange,D$3)=0,"no adjustment",IF(INDEX(Sales_ConditionsofSaleRange,D$3)&lt;0,CONCATENATE("a downward adjustment of ",TEXT(ABS(INDEX(Sales_ConditionsofSaleRange,D$3)),"$0.00")&amp;" per unit"),CONCATENATE("an upward adjustment of ",TEXT(ABS(INDEX(Sales_ConditionsofSaleRange,D$3)),"$0.00")&amp;" per unit"))),IF(Sales_AdjType="$ per Unit",IF(INDEX(Sales_ConditionsofSaleRange,D$3)=0,"no adjustment",IF(INDEX(Sales_ConditionsofSaleRange,D$3)&lt;0,"a downward adjustment","an upward adjustment"))))))</f>
        <v>no adjustment</v>
      </c>
      <c r="E154" s="459" t="str">
        <f t="shared" si="18"/>
        <v>no adjustment</v>
      </c>
      <c r="F154" s="459" t="str">
        <f t="shared" si="18"/>
        <v>no adjustment</v>
      </c>
      <c r="G154" s="459" t="str">
        <f t="shared" si="18"/>
        <v>no adjustment</v>
      </c>
      <c r="H154" s="459" t="str">
        <f t="shared" si="18"/>
        <v/>
      </c>
      <c r="I154" s="459" t="str">
        <f t="shared" si="18"/>
        <v/>
      </c>
      <c r="J154" s="6"/>
    </row>
    <row r="155" spans="2:10" x14ac:dyDescent="0.25">
      <c r="B155" s="4"/>
      <c r="C155" s="361" t="str">
        <f>dpSales_TransAdjustment_4</f>
        <v>Expenditures after Sale</v>
      </c>
      <c r="D155" s="459" t="str">
        <f t="shared" ref="D155:I155" si="19">IF(ISERR(IF(INDEX(Sales_ExpendituresAfterSaleRange,D$3)=0,"no adjustment",IF(INDEX(Sales_ExpendituresAfterSaleRange,D$3)&lt;0,CONCATENATE("a downward adjustment of ",TEXT(ABS(INDEX(Sales_ExpendituresAfterSaleRange,D$3)),"0.0%")),CONCATENATE("an upward adjustment of ",TEXT(ABS(INDEX(Sales_ExpendituresAfterSaleRange,D$3)),"0.0%"))))),"",IF(Sales_AdjType="Percent",IF(INDEX(Sales_ExpendituresAfterSaleRange,D$3)=0,"no adjustment",IF(INDEX(Sales_ExpendituresAfterSaleRange,D$3)&lt;0,CONCATENATE("a downward adjustment of ",TEXT(ABS(INDEX(Sales_ExpendituresAfterSaleRange,D$3)),"0.0%")),CONCATENATE("an upward adjustment of ",TEXT(ABS(INDEX(Sales_ExpendituresAfterSaleRange,D$3)),"0.0%")))),IF(Sales_AdjType="$ per Unit",IF(INDEX(Sales_ExpendituresAfterSaleRange,D$3)=0,"no adjustment",IF(INDEX(Sales_ExpendituresAfterSaleRange,D$3)&lt;0,CONCATENATE("a downward adjustment of ",TEXT(ABS(INDEX(Sales_ExpendituresAfterSaleRange,D$3)),"$0.00")&amp;" per unit"),CONCATENATE("an upward adjustment of ",TEXT(ABS(INDEX(Sales_ExpendituresAfterSaleRange,D$3)),"$0.00")&amp;" per unit"))),IF(Sales_AdjType="$ per Unit",IF(INDEX(Sales_ExpendituresAfterSaleRange,D$3)=0,"no adjustment",IF(INDEX(Sales_ExpendituresAfterSaleRange,D$3)&lt;0,"a downward adjustment","an upward adjustment"))))))</f>
        <v>no adjustment</v>
      </c>
      <c r="E155" s="459" t="str">
        <f t="shared" si="19"/>
        <v>no adjustment</v>
      </c>
      <c r="F155" s="459" t="str">
        <f t="shared" si="19"/>
        <v>no adjustment</v>
      </c>
      <c r="G155" s="459" t="str">
        <f t="shared" si="19"/>
        <v>no adjustment</v>
      </c>
      <c r="H155" s="459" t="str">
        <f t="shared" si="19"/>
        <v/>
      </c>
      <c r="I155" s="459" t="str">
        <f t="shared" si="19"/>
        <v/>
      </c>
      <c r="J155" s="6"/>
    </row>
    <row r="156" spans="2:10" x14ac:dyDescent="0.25">
      <c r="B156" s="4"/>
      <c r="C156" s="1603" t="s">
        <v>1454</v>
      </c>
      <c r="D156" s="1604" t="str">
        <f t="shared" ref="D156:I156" si="20">IF(ISERR(INDEX(Sales_ExpendituresAfterSaleRange,D$3)),"",IF(INDEX(Sales_ExpendituresAfterSaleRange,D$3)=0,"",INDEX(Sales_ExpendituresAfterSaleRange,D$3)))</f>
        <v/>
      </c>
      <c r="E156" s="1604" t="str">
        <f t="shared" si="20"/>
        <v/>
      </c>
      <c r="F156" s="1604" t="str">
        <f t="shared" si="20"/>
        <v/>
      </c>
      <c r="G156" s="1604" t="str">
        <f t="shared" si="20"/>
        <v/>
      </c>
      <c r="H156" s="1604" t="str">
        <f t="shared" si="20"/>
        <v/>
      </c>
      <c r="I156" s="1604" t="str">
        <f t="shared" si="20"/>
        <v/>
      </c>
      <c r="J156" s="6"/>
    </row>
    <row r="157" spans="2:10" x14ac:dyDescent="0.25">
      <c r="B157" s="4"/>
      <c r="C157" s="1603" t="s">
        <v>1450</v>
      </c>
      <c r="D157" s="1605">
        <f t="shared" ref="D157:I157" si="21">IF(ISERR(IF(INDEX(Sales_ExpendituresAfterSaleRange,D$3)=0,0,1)),"",IF(INDEX(Sales_ExpendituresAfterSaleRange,D$3)=0,0,1))</f>
        <v>0</v>
      </c>
      <c r="E157" s="1605">
        <f t="shared" si="21"/>
        <v>0</v>
      </c>
      <c r="F157" s="1605">
        <f t="shared" si="21"/>
        <v>0</v>
      </c>
      <c r="G157" s="1605">
        <f t="shared" si="21"/>
        <v>0</v>
      </c>
      <c r="H157" s="1605" t="str">
        <f t="shared" si="21"/>
        <v/>
      </c>
      <c r="I157" s="1605" t="str">
        <f t="shared" si="21"/>
        <v/>
      </c>
      <c r="J157" s="6"/>
    </row>
    <row r="158" spans="2:10" x14ac:dyDescent="0.25">
      <c r="B158" s="4"/>
      <c r="C158" s="1603" t="s">
        <v>1451</v>
      </c>
      <c r="D158" s="1605">
        <f>SUM($D157)</f>
        <v>0</v>
      </c>
      <c r="E158" s="1605">
        <f>SUM($D157:E157)</f>
        <v>0</v>
      </c>
      <c r="F158" s="1605">
        <f>SUM($D157:F157)</f>
        <v>0</v>
      </c>
      <c r="G158" s="1605">
        <f>SUM($D157:G157)</f>
        <v>0</v>
      </c>
      <c r="H158" s="1605">
        <f>SUM($D157:H157)</f>
        <v>0</v>
      </c>
      <c r="I158" s="1605">
        <f>SUM($D157:I157)</f>
        <v>0</v>
      </c>
      <c r="J158" s="6"/>
    </row>
    <row r="159" spans="2:10" x14ac:dyDescent="0.25">
      <c r="B159" s="4"/>
      <c r="C159" s="1603" t="s">
        <v>1452</v>
      </c>
      <c r="D159" s="1606" t="str">
        <f t="shared" ref="D159:I159" si="22">IF(D157=1,IF(AND(D158=$I158,$I158&gt;1),IF($I158&lt;3,CONCATENATE(" and ",D151),CONCATENATE("and ",D151)),IF($I158&lt;3,D151,CONCATENATE(D151,", "))),"")</f>
        <v/>
      </c>
      <c r="E159" s="1606" t="str">
        <f t="shared" si="22"/>
        <v/>
      </c>
      <c r="F159" s="1606" t="str">
        <f t="shared" si="22"/>
        <v/>
      </c>
      <c r="G159" s="1606" t="str">
        <f t="shared" si="22"/>
        <v/>
      </c>
      <c r="H159" s="1606" t="str">
        <f t="shared" si="22"/>
        <v/>
      </c>
      <c r="I159" s="1606" t="str">
        <f t="shared" si="22"/>
        <v/>
      </c>
      <c r="J159" s="6"/>
    </row>
    <row r="160" spans="2:10" x14ac:dyDescent="0.25">
      <c r="B160" s="4"/>
      <c r="C160" s="1603" t="s">
        <v>1543</v>
      </c>
      <c r="D160" s="1606" t="str">
        <f>IF(I158=0,"",IF(I158=6,"All of the comparables",IF(I158=1,CONCATENATE("Sale ",D159,E159,F159,G159,H159,I159),CONCATENATE("Sales ",D159,E159,F159,G159,H159,I159))))</f>
        <v/>
      </c>
      <c r="E160" s="1606"/>
      <c r="F160" s="1606"/>
      <c r="G160" s="1606"/>
      <c r="H160" s="1606"/>
      <c r="I160" s="1606"/>
      <c r="J160" s="6"/>
    </row>
    <row r="161" spans="2:14" x14ac:dyDescent="0.25">
      <c r="B161" s="4"/>
      <c r="C161" s="455" t="str">
        <f>dpSales_Adjustment_1</f>
        <v>Location</v>
      </c>
      <c r="D161" s="459" t="str">
        <f t="shared" ref="D161:I161" si="23">IF(ISERR(IF(INDEX(Sales_LocationRange,D$3)=0,"no adjustment",IF(INDEX(Sales_LocationRange,D$3)&lt;0,CONCATENATE("a downward adjustment of ",TEXT(ABS(INDEX(Sales_LocationRange,D$3)),"0.0%")),CONCATENATE("an upward adjustment of ",TEXT(ABS(INDEX(Sales_LocationRange,D$3)),"0.0%"))))),"",IF(Sales_AdjType="Percent",IF(INDEX(Sales_LocationRange,D$3)=0,"no adjustment",IF(INDEX(Sales_LocationRange,D$3)&lt;0,CONCATENATE("a downward adjustment of ",TEXT(ABS(INDEX(Sales_LocationRange,D$3)),"0.0%")),CONCATENATE("an upward adjustment of ",TEXT(ABS(INDEX(Sales_LocationRange,D$3)),"0.0%")))),IF(Sales_AdjType="$ per Unit",IF(INDEX(Sales_LocationRange,D$3)=0,"no adjustment",IF(INDEX(Sales_LocationRange,D$3)&lt;0,CONCATENATE("a downward adjustment of ",TEXT(ABS(INDEX(Sales_LocationRange,D$3)),"$0.00")&amp;" per unit"),CONCATENATE("an upward adjustment of ",TEXT(ABS(INDEX(Sales_LocationRange,D$3)),"$0.00")&amp;" per unit"))),IF(Sales_AdjType="$ per Unit",IF(INDEX(Sales_LocationRange,D$3)=0,"no adjustment",IF(INDEX(Sales_LocationRange,D$3)&lt;0,"a downward adjustment","an upward adjustment"))))))</f>
        <v>no adjustment</v>
      </c>
      <c r="E161" s="459" t="str">
        <f t="shared" si="23"/>
        <v>no adjustment</v>
      </c>
      <c r="F161" s="459" t="str">
        <f t="shared" si="23"/>
        <v>no adjustment</v>
      </c>
      <c r="G161" s="459" t="str">
        <f t="shared" si="23"/>
        <v>no adjustment</v>
      </c>
      <c r="H161" s="459" t="str">
        <f t="shared" si="23"/>
        <v/>
      </c>
      <c r="I161" s="459" t="str">
        <f t="shared" si="23"/>
        <v/>
      </c>
      <c r="J161" s="6"/>
    </row>
    <row r="162" spans="2:14" x14ac:dyDescent="0.25">
      <c r="B162" s="4"/>
      <c r="C162" s="455" t="str">
        <f>dpSales_Adjustment_2</f>
        <v>Size</v>
      </c>
      <c r="D162" s="459" t="str">
        <f t="shared" ref="D162:I162" si="24">IF(ISERR(IF(INDEX(Sales_SizeRange,D$3)=0,"no adjustment",IF(INDEX(Sales_SizeRange,D$3)&lt;0,CONCATENATE("a downward adjustment of ",TEXT(ABS(INDEX(Sales_SizeRange,D$3)),"0.0%")),CONCATENATE("an upward adjustment of ",TEXT(ABS(INDEX(Sales_SizeRange,D$3)),"0.0%"))))),"",IF(Sales_AdjType="Percent",IF(INDEX(Sales_SizeRange,D$3)=0,"no adjustment",IF(INDEX(Sales_SizeRange,D$3)&lt;0,CONCATENATE("a downward adjustment of ",TEXT(ABS(INDEX(Sales_SizeRange,D$3)),"0.0%")),CONCATENATE("an upward adjustment of ",TEXT(ABS(INDEX(Sales_SizeRange,D$3)),"0.0%")))),IF(Sales_AdjType="$ per Unit",IF(INDEX(Sales_SizeRange,D$3)=0,"no adjustment",IF(INDEX(Sales_SizeRange,D$3)&lt;0,CONCATENATE("a downward adjustment of ",TEXT(ABS(INDEX(Sales_SizeRange,D$3)),"$0.00")&amp;" per unit"),CONCATENATE("an upward adjustment of ",TEXT(ABS(INDEX(Sales_SizeRange,D$3)),"$0.00")&amp;" per unit"))),IF(Sales_AdjType="$ per Unit",IF(INDEX(Sales_SizeRange,D$3)=0,"no adjustment",IF(INDEX(Sales_SizeRange,D$3)&lt;0,"a downward adjustment","an upward adjustment"))))))</f>
        <v>no adjustment</v>
      </c>
      <c r="E162" s="459" t="str">
        <f t="shared" si="24"/>
        <v>no adjustment</v>
      </c>
      <c r="F162" s="459" t="str">
        <f t="shared" si="24"/>
        <v>a downward adjustment of 10.0%</v>
      </c>
      <c r="G162" s="459" t="str">
        <f t="shared" si="24"/>
        <v>a downward adjustment of 10.0%</v>
      </c>
      <c r="H162" s="459" t="str">
        <f t="shared" si="24"/>
        <v/>
      </c>
      <c r="I162" s="459" t="str">
        <f t="shared" si="24"/>
        <v/>
      </c>
      <c r="J162" s="6"/>
    </row>
    <row r="163" spans="2:14" x14ac:dyDescent="0.25">
      <c r="B163" s="4"/>
      <c r="C163" s="361" t="s">
        <v>678</v>
      </c>
      <c r="D163" s="367" t="str">
        <f>CONCATENATE(TEXT(MIN(Sales_SizeRange_Narrative),"0,000")," to ",TEXT(MAX(Sales_SizeRange_Narrative),"0,000"))</f>
        <v>13,613 to 42,060</v>
      </c>
      <c r="E163" s="1395"/>
      <c r="F163" s="1395"/>
      <c r="G163" s="1395"/>
      <c r="H163" s="1395"/>
      <c r="I163" s="1395"/>
      <c r="J163" s="6"/>
    </row>
    <row r="164" spans="2:14" x14ac:dyDescent="0.25">
      <c r="B164" s="4"/>
      <c r="C164" s="361" t="s">
        <v>679</v>
      </c>
      <c r="D164" s="367" t="str">
        <f>IF(AND(MIN(Sales_SizeRange)&lt;0,MAX(Sales_SizeRange)&lt;0.01),CONCATENATE("negative ",TEXT(ABS(MIN(Sales_SizeRange)),"0.0%")," to ",TEXT(ABS(MAX(Sales_SizeRange)),"0.0%")),IF(AND(MIN(Sales_SizeRange)&lt;0,MAX(Sales_SizeRange)&gt;0),CONCATENATE("negative ",TEXT(ABS(MIN(Sales_SizeRange)),"0.0%")," to positive ",TEXT(MAX(Sales_SizeRange),"0.0%")),CONCATENATE(TEXT(MIN(Sales_SizeRange),"0.0%")," to ",TEXT(MAX(Sales_SizeRange),"0.0%"))))</f>
        <v>negative 10.0% to 0.0%</v>
      </c>
      <c r="E164" s="1395"/>
      <c r="F164" s="1395"/>
      <c r="G164" s="1395"/>
      <c r="H164" s="1395"/>
      <c r="I164" s="1395"/>
      <c r="J164" s="6"/>
    </row>
    <row r="165" spans="2:14" x14ac:dyDescent="0.25">
      <c r="B165" s="4"/>
      <c r="C165" s="455" t="str">
        <f>dpSales_Adjustment_3</f>
        <v>Age/Condition</v>
      </c>
      <c r="D165" s="459" t="str">
        <f t="shared" ref="D165:I165" si="25">IF(ISERR(IF(INDEX(Sales_AgeConditionRange,D$3)=0,"no adjustment",IF(INDEX(Sales_AgeConditionRange,D$3)&lt;0,CONCATENATE("a downward adjustment of ",TEXT(ABS(INDEX(Sales_AgeConditionRange,D$3)),"0.0%")),CONCATENATE("an upward adjustment of ",TEXT(ABS(INDEX(Sales_AgeConditionRange,D$3)),"0.0%"))))),"",IF(Sales_AdjType="Percent",IF(INDEX(Sales_AgeConditionRange,D$3)=0,"no adjustment",IF(INDEX(Sales_AgeConditionRange,D$3)&lt;0,CONCATENATE("a downward adjustment of ",TEXT(ABS(INDEX(Sales_AgeConditionRange,D$3)),"0.0%")),CONCATENATE("an upward adjustment of ",TEXT(ABS(INDEX(Sales_AgeConditionRange,D$3)),"0.0%")))),IF(Sales_AdjType="$ per Unit",IF(INDEX(Sales_AgeConditionRange,D$3)=0,"no adjustment",IF(INDEX(Sales_AgeConditionRange,D$3)&lt;0,CONCATENATE("a downward adjustment of ",TEXT(ABS(INDEX(Sales_AgeConditionRange,D$3)),"$0.00")&amp;" per unit"),CONCATENATE("an upward adjustment of ",TEXT(ABS(INDEX(Sales_AgeConditionRange,D$3)),"$0.00")&amp;" per unit"))),IF(Sales_AdjType="$ per Unit",IF(INDEX(Sales_AgeConditionRange,D$3)=0,"no adjustment",IF(INDEX(Sales_AgeConditionRange,D$3)&lt;0,"a downward adjustment","an upward adjustment"))))))</f>
        <v>no adjustment</v>
      </c>
      <c r="E165" s="459" t="str">
        <f t="shared" si="25"/>
        <v>no adjustment</v>
      </c>
      <c r="F165" s="459" t="str">
        <f t="shared" si="25"/>
        <v>no adjustment</v>
      </c>
      <c r="G165" s="459" t="str">
        <f t="shared" si="25"/>
        <v>no adjustment</v>
      </c>
      <c r="H165" s="459" t="str">
        <f t="shared" si="25"/>
        <v/>
      </c>
      <c r="I165" s="459" t="str">
        <f t="shared" si="25"/>
        <v/>
      </c>
      <c r="J165" s="6"/>
    </row>
    <row r="166" spans="2:14" x14ac:dyDescent="0.25">
      <c r="B166" s="4"/>
      <c r="C166" s="455" t="str">
        <f>dpSales_Adjustment_4</f>
        <v>Construction Quality</v>
      </c>
      <c r="D166" s="459" t="str">
        <f t="shared" ref="D166:I166" si="26">IF(ISERR(IF(INDEX(Sales_QualityRange,D$3)=0,"no adjustment",IF(INDEX(Sales_QualityRange,D$3)&lt;0,CONCATENATE("a downward adjustment of ",TEXT(ABS(INDEX(Sales_QualityRange,D$3)),"0.0%")),CONCATENATE("an upward adjustment of ",TEXT(ABS(INDEX(Sales_QualityRange,D$3)),"0.0%"))))),"",IF(Sales_AdjType="Percent",IF(INDEX(Sales_QualityRange,D$3)=0,"no adjustment",IF(INDEX(Sales_QualityRange,D$3)&lt;0,CONCATENATE("a downward adjustment of ",TEXT(ABS(INDEX(Sales_QualityRange,D$3)),"0.0%")),CONCATENATE("an upward adjustment of ",TEXT(ABS(INDEX(Sales_QualityRange,D$3)),"0.0%")))),IF(Sales_AdjType="$ per Unit",IF(INDEX(Sales_QualityRange,D$3)=0,"no adjustment",IF(INDEX(Sales_QualityRange,D$3)&lt;0,CONCATENATE("a downward adjustment of ",TEXT(ABS(INDEX(Sales_QualityRange,D$3)),"$0.00")&amp;" per unit"),CONCATENATE("an upward adjustment of ",TEXT(ABS(INDEX(Sales_QualityRange,D$3)),"$0.00")&amp;" per unit"))),IF(Sales_AdjType="$ per Unit",IF(INDEX(Sales_QualityRange,D$3)=0,"no adjustment",IF(INDEX(Sales_QualityRange,D$3)&lt;0,"a downward adjustment","an upward adjustment"))))))</f>
        <v>no adjustment</v>
      </c>
      <c r="E166" s="459" t="str">
        <f t="shared" si="26"/>
        <v>no adjustment</v>
      </c>
      <c r="F166" s="459" t="str">
        <f t="shared" si="26"/>
        <v>no adjustment</v>
      </c>
      <c r="G166" s="459" t="str">
        <f t="shared" si="26"/>
        <v>no adjustment</v>
      </c>
      <c r="H166" s="459" t="str">
        <f t="shared" si="26"/>
        <v/>
      </c>
      <c r="I166" s="459" t="str">
        <f t="shared" si="26"/>
        <v/>
      </c>
      <c r="J166" s="6"/>
    </row>
    <row r="167" spans="2:14" x14ac:dyDescent="0.25">
      <c r="B167" s="4"/>
      <c r="C167" s="1396" t="s">
        <v>1454</v>
      </c>
      <c r="D167" s="1397" t="str">
        <f t="shared" ref="D167:I167" si="27">IF(ISERR(INDEX(Sales_QualityRange,D$3)),"",IF(INDEX(Sales_QualityRange,D$3)=0,"",INDEX(Sales_QualityRange,D$3)))</f>
        <v/>
      </c>
      <c r="E167" s="1397" t="str">
        <f t="shared" si="27"/>
        <v/>
      </c>
      <c r="F167" s="1397" t="str">
        <f t="shared" si="27"/>
        <v/>
      </c>
      <c r="G167" s="1397" t="str">
        <f t="shared" si="27"/>
        <v/>
      </c>
      <c r="H167" s="1397" t="str">
        <f t="shared" si="27"/>
        <v/>
      </c>
      <c r="I167" s="1397" t="str">
        <f t="shared" si="27"/>
        <v/>
      </c>
      <c r="J167" s="6"/>
    </row>
    <row r="168" spans="2:14" x14ac:dyDescent="0.25">
      <c r="B168" s="4"/>
      <c r="C168" s="1396" t="s">
        <v>1450</v>
      </c>
      <c r="D168" s="1398">
        <f t="shared" ref="D168:I168" si="28">IF(ISERR(IF(INDEX(Sales_QualityRange,D$3)=0,1,0)),"",IF(INDEX(Sales_QualityRange,D$3)=0,1,0))</f>
        <v>1</v>
      </c>
      <c r="E168" s="1398">
        <f t="shared" si="28"/>
        <v>1</v>
      </c>
      <c r="F168" s="1398">
        <f t="shared" si="28"/>
        <v>1</v>
      </c>
      <c r="G168" s="1398">
        <f t="shared" si="28"/>
        <v>1</v>
      </c>
      <c r="H168" s="1398" t="str">
        <f t="shared" si="28"/>
        <v/>
      </c>
      <c r="I168" s="1398" t="str">
        <f t="shared" si="28"/>
        <v/>
      </c>
      <c r="J168" s="6"/>
    </row>
    <row r="169" spans="2:14" x14ac:dyDescent="0.25">
      <c r="B169" s="4"/>
      <c r="C169" s="1396" t="s">
        <v>1451</v>
      </c>
      <c r="D169" s="1398">
        <f>SUM($D168)</f>
        <v>1</v>
      </c>
      <c r="E169" s="1398">
        <f>SUM($D168:E168)</f>
        <v>2</v>
      </c>
      <c r="F169" s="1398">
        <f>SUM($D168:F168)</f>
        <v>3</v>
      </c>
      <c r="G169" s="1398">
        <f>SUM($D168:G168)</f>
        <v>4</v>
      </c>
      <c r="H169" s="1398">
        <f>SUM($D168:H168)</f>
        <v>4</v>
      </c>
      <c r="I169" s="1398">
        <f>SUM($D168:I168)</f>
        <v>4</v>
      </c>
      <c r="J169" s="6"/>
    </row>
    <row r="170" spans="2:14" ht="15" thickBot="1" x14ac:dyDescent="0.3">
      <c r="B170" s="4"/>
      <c r="C170" s="1396" t="s">
        <v>1452</v>
      </c>
      <c r="D170" s="1399" t="str">
        <f t="shared" ref="D170:I170" si="29">IF(D168=1,IF(AND(D169=$I169,$I169&gt;1),IF($I169&lt;3,CONCATENATE(" and ",D151),CONCATENATE("and ",D151)),IF($I169&lt;3,D151,CONCATENATE(D151,", "))),"")</f>
        <v xml:space="preserve">1, </v>
      </c>
      <c r="E170" s="1399" t="str">
        <f t="shared" si="29"/>
        <v xml:space="preserve">2, </v>
      </c>
      <c r="F170" s="1399" t="str">
        <f t="shared" si="29"/>
        <v xml:space="preserve">3, </v>
      </c>
      <c r="G170" s="1399" t="str">
        <f t="shared" si="29"/>
        <v>and 4</v>
      </c>
      <c r="H170" s="1399" t="str">
        <f t="shared" si="29"/>
        <v/>
      </c>
      <c r="I170" s="1399" t="str">
        <f t="shared" si="29"/>
        <v/>
      </c>
      <c r="J170" s="6"/>
    </row>
    <row r="171" spans="2:14" x14ac:dyDescent="0.25">
      <c r="B171" s="4"/>
      <c r="C171" s="1284" t="s">
        <v>1453</v>
      </c>
      <c r="D171" s="1400" t="s">
        <v>1455</v>
      </c>
      <c r="E171" s="1401" t="s">
        <v>1456</v>
      </c>
      <c r="F171" s="1400" t="s">
        <v>1457</v>
      </c>
      <c r="G171" s="1401" t="s">
        <v>1458</v>
      </c>
      <c r="H171" s="1400" t="s">
        <v>306</v>
      </c>
      <c r="I171" s="1401" t="s">
        <v>1459</v>
      </c>
      <c r="J171" s="1400" t="s">
        <v>1460</v>
      </c>
      <c r="K171" s="1402" t="s">
        <v>1461</v>
      </c>
      <c r="L171" s="1403" t="s">
        <v>1462</v>
      </c>
      <c r="M171" s="1402" t="s">
        <v>1463</v>
      </c>
      <c r="N171" s="1404" t="s">
        <v>1464</v>
      </c>
    </row>
    <row r="172" spans="2:14" x14ac:dyDescent="0.25">
      <c r="B172" s="4"/>
      <c r="C172" s="1396" t="s">
        <v>1450</v>
      </c>
      <c r="D172" s="1398">
        <f t="shared" ref="D172:N172" si="30">IF(COUNTIF(Sales_QualityRange1,D171)=0,0,IF(COUNTIF(Subject_ConstructionQuality,D171)=0,1,0))</f>
        <v>0</v>
      </c>
      <c r="E172" s="1398">
        <f t="shared" si="30"/>
        <v>0</v>
      </c>
      <c r="F172" s="1398">
        <f t="shared" si="30"/>
        <v>0</v>
      </c>
      <c r="G172" s="1398">
        <f t="shared" si="30"/>
        <v>0</v>
      </c>
      <c r="H172" s="1398">
        <f t="shared" si="30"/>
        <v>1</v>
      </c>
      <c r="I172" s="1398">
        <f t="shared" si="30"/>
        <v>0</v>
      </c>
      <c r="J172" s="1398">
        <f t="shared" si="30"/>
        <v>0</v>
      </c>
      <c r="K172" s="1398">
        <f t="shared" si="30"/>
        <v>0</v>
      </c>
      <c r="L172" s="1398">
        <f t="shared" si="30"/>
        <v>0</v>
      </c>
      <c r="M172" s="1398">
        <f t="shared" si="30"/>
        <v>0</v>
      </c>
      <c r="N172" s="1405">
        <f t="shared" si="30"/>
        <v>0</v>
      </c>
    </row>
    <row r="173" spans="2:14" x14ac:dyDescent="0.25">
      <c r="B173" s="4"/>
      <c r="C173" s="1396" t="s">
        <v>1451</v>
      </c>
      <c r="D173" s="1398">
        <f>SUM($D172)</f>
        <v>0</v>
      </c>
      <c r="E173" s="1398">
        <f>SUM($D172:E172)</f>
        <v>0</v>
      </c>
      <c r="F173" s="1398">
        <f>SUM($D172:F172)</f>
        <v>0</v>
      </c>
      <c r="G173" s="1398">
        <f>SUM($D172:G172)</f>
        <v>0</v>
      </c>
      <c r="H173" s="1398">
        <f>SUM($D172:H172)</f>
        <v>1</v>
      </c>
      <c r="I173" s="1398">
        <f>SUM($D172:I172)</f>
        <v>1</v>
      </c>
      <c r="J173" s="1406">
        <f>SUM($D172:J172)</f>
        <v>1</v>
      </c>
      <c r="K173" s="1406">
        <f>SUM($D172:K172)</f>
        <v>1</v>
      </c>
      <c r="L173" s="1406">
        <f>SUM($D172:L172)</f>
        <v>1</v>
      </c>
      <c r="M173" s="1406">
        <f>SUM($D172:M172)</f>
        <v>1</v>
      </c>
      <c r="N173" s="1407">
        <f>SUM($D172:N172)</f>
        <v>1</v>
      </c>
    </row>
    <row r="174" spans="2:14" ht="15" thickBot="1" x14ac:dyDescent="0.3">
      <c r="B174" s="4"/>
      <c r="C174" s="1396" t="s">
        <v>1452</v>
      </c>
      <c r="D174" s="1398" t="str">
        <f t="shared" ref="D174:N174" si="31">IF(D172=1,IF(AND(D173=$N173,$N173&gt;1),IF($N173&lt;3,CONCATENATE(" and ",LOWER(D171)),CONCATENATE("and ",LOWER(D171))),IF($N173&lt;3,LOWER(D171),CONCATENATE(LOWER(D171),", "))),"")</f>
        <v/>
      </c>
      <c r="E174" s="1398" t="str">
        <f t="shared" si="31"/>
        <v/>
      </c>
      <c r="F174" s="1398" t="str">
        <f t="shared" si="31"/>
        <v/>
      </c>
      <c r="G174" s="1398" t="str">
        <f t="shared" si="31"/>
        <v/>
      </c>
      <c r="H174" s="1398" t="str">
        <f t="shared" si="31"/>
        <v>average</v>
      </c>
      <c r="I174" s="1398" t="str">
        <f t="shared" si="31"/>
        <v/>
      </c>
      <c r="J174" s="1398" t="str">
        <f t="shared" si="31"/>
        <v/>
      </c>
      <c r="K174" s="1408" t="str">
        <f t="shared" si="31"/>
        <v/>
      </c>
      <c r="L174" s="1408" t="str">
        <f t="shared" si="31"/>
        <v/>
      </c>
      <c r="M174" s="1408" t="str">
        <f t="shared" si="31"/>
        <v/>
      </c>
      <c r="N174" s="1409" t="str">
        <f t="shared" si="31"/>
        <v/>
      </c>
    </row>
    <row r="175" spans="2:14" x14ac:dyDescent="0.25">
      <c r="B175" s="4"/>
      <c r="C175" s="1284" t="str">
        <f>CONCATENATE(dpSales_Adjustment_4," Adjustment Range")</f>
        <v>Construction Quality Adjustment Range</v>
      </c>
      <c r="D175" s="1411" t="str">
        <f>IF(dpSales_Adjustment_4="Construction Quality",CONCATENATE(LOWER(Subject_ConstructionQuality)," construction quality"),IF(dpSales_Adjustment_4="Investment Grade",CONCATENATE(LOWER(Subject_ConstructionQuality)," Class ",Subject_InvestmentClass," investment grade ",LOWER(Subject_PropertyType)," property")))</f>
        <v>good construction quality</v>
      </c>
      <c r="E175" s="1395" t="str">
        <f>IF(I169=0,"",IF(I169=1,CONCATENATE("Sale ",D170,E170,F170,G170,H170,I170),CONCATENATE("Sales ",D170,E170,F170,G170,H170,I170)))</f>
        <v>Sales 1, 2, 3, and 4</v>
      </c>
      <c r="F175" s="34" t="str">
        <f>IF(dpSales_Adjustment_4="Construction Quality",CONCATENATE(D174,E174,F174,G174,H174,I174,J174,K174,L174,M174,N174," construction quality"),CONCATENATE(D174,E174,F174,G174,H174,I174,J174,K174,L174,M174,N174," investment grade properties"))</f>
        <v>average construction quality</v>
      </c>
      <c r="G175" s="1282" t="str">
        <f>IF(MIN($D$167:$I$167)=MAX($D$167:$I$167),IF(MAX($D$167:$I$167)&gt;0,CONCATENATE("an upward adjustment of ",TEXT(H175,"0.0%")),CONCATENATE("a downward adjustment of ",TEXT(H175,"0.0%"))),IF(AND(MIN($D$167:$I$167)&lt;0,MAX($D$167:$I$167)&lt;0.01),CONCATENATE("adjustments ranging from negative ",TEXT(H175,"0.0%")," to ",TEXT(I175,"0.0%")),IF(AND(MIN($D$167:$I$167)&lt;0,MAX($D$167:$I$167)&gt;0),CONCATENATE("adjustments ranging from negative ",TEXT(ABS(MIN($D$167:$I$167)),"0.0%")," to positive ",TEXT(MAX($D$167:$I$167),"0.0%")),CONCATENATE("adjustments ranging from ",TEXT(MIN($D$167:$I$167),"0.0%")," to ",TEXT(MAX($D$167:$I$167),"0.0%")))))</f>
        <v>a downward adjustment of 0.0%</v>
      </c>
      <c r="H175" s="1397">
        <f>ABS(MIN(D167:I167))</f>
        <v>0</v>
      </c>
      <c r="I175" s="1397">
        <f>ABS(MAX(D167:I167))</f>
        <v>0</v>
      </c>
      <c r="J175" s="6"/>
    </row>
    <row r="176" spans="2:14" x14ac:dyDescent="0.25">
      <c r="B176" s="4"/>
      <c r="C176" s="455" t="str">
        <f>dpSales_Adjustment_5</f>
        <v>Design/Functional Utility</v>
      </c>
      <c r="D176" s="459" t="str">
        <f t="shared" ref="D176:I176" si="32">IF(ISERR(IF(INDEX(Sales_DesignFunctionalUtilityRange,D$3)=0,"no adjustment",IF(INDEX(Sales_DesignFunctionalUtilityRange,D$3)&lt;0,CONCATENATE("a downward adjustment of ",TEXT(ABS(INDEX(Sales_DesignFunctionalUtilityRange,D$3)),"0.0%")),CONCATENATE("an upward adjustment of ",TEXT(ABS(INDEX(Sales_DesignFunctionalUtilityRange,D$3)),"0.0%"))))),"",IF(Sales_AdjType="Percent",IF(INDEX(Sales_DesignFunctionalUtilityRange,D$3)=0,"no adjustment",IF(INDEX(Sales_DesignFunctionalUtilityRange,D$3)&lt;0,CONCATENATE("a downward adjustment of ",TEXT(ABS(INDEX(Sales_DesignFunctionalUtilityRange,D$3)),"0.0%")),CONCATENATE("an upward adjustment of ",TEXT(ABS(INDEX(Sales_DesignFunctionalUtilityRange,D$3)),"0.0%")))),IF(Sales_AdjType="$ per Unit",IF(INDEX(Sales_DesignFunctionalUtilityRange,D$3)=0,"no adjustment",IF(INDEX(Sales_DesignFunctionalUtilityRange,D$3)&lt;0,CONCATENATE("a downward adjustment of ",TEXT(ABS(INDEX(Sales_DesignFunctionalUtilityRange,D$3)),"$0.00")&amp;" per unit"),CONCATENATE("an upward adjustment of ",TEXT(ABS(INDEX(Sales_DesignFunctionalUtilityRange,D$3)),"$0.00")&amp;" per unit"))),IF(Sales_AdjType="$ per Unit",IF(INDEX(Sales_DesignFunctionalUtilityRange,D$3)=0,"no adjustment",IF(INDEX(Sales_DesignFunctionalUtilityRange,D$3)&lt;0,"a downward adjustment","an upward adjustment"))))))</f>
        <v>no adjustment</v>
      </c>
      <c r="E176" s="459" t="str">
        <f t="shared" si="32"/>
        <v>no adjustment</v>
      </c>
      <c r="F176" s="459" t="str">
        <f t="shared" si="32"/>
        <v>no adjustment</v>
      </c>
      <c r="G176" s="459" t="str">
        <f t="shared" si="32"/>
        <v>no adjustment</v>
      </c>
      <c r="H176" s="459" t="str">
        <f t="shared" si="32"/>
        <v/>
      </c>
      <c r="I176" s="459" t="str">
        <f t="shared" si="32"/>
        <v/>
      </c>
      <c r="J176" s="6"/>
    </row>
    <row r="177" spans="2:10" x14ac:dyDescent="0.25">
      <c r="B177" s="4"/>
      <c r="C177" s="455" t="str">
        <f>dpSales_Adjustment_6</f>
        <v>Clear Height</v>
      </c>
      <c r="D177" s="459" t="str">
        <f t="shared" ref="D177:I177" si="33">IF(ISERR(IF(INDEX(Sales_ClearHeightRange,D$3)=0,"no adjustment",IF(INDEX(Sales_ClearHeightRange,D$3)&lt;0,CONCATENATE("a downward adjustment of ",TEXT(ABS(INDEX(Sales_ClearHeightRange,D$3)),"0.0%")),CONCATENATE("an upward adjustment of ",TEXT(ABS(INDEX(Sales_ClearHeightRange,D$3)),"0.0%"))))),"",IF(Sales_AdjType="Percent",IF(INDEX(Sales_ClearHeightRange,D$3)=0,"no adjustment",IF(INDEX(Sales_ClearHeightRange,D$3)&lt;0,CONCATENATE("a downward adjustment of ",TEXT(ABS(INDEX(Sales_ClearHeightRange,D$3)),"0.0%")),CONCATENATE("an upward adjustment of ",TEXT(ABS(INDEX(Sales_ClearHeightRange,D$3)),"0.0%")))),IF(Sales_AdjType="$ per Unit",IF(INDEX(Sales_ClearHeightRange,D$3)=0,"no adjustment",IF(INDEX(Sales_ClearHeightRange,D$3)&lt;0,CONCATENATE("a downward adjustment of ",TEXT(ABS(INDEX(Sales_ClearHeightRange,D$3)),"$0.00")&amp;" per unit"),CONCATENATE("an upward adjustment of ",TEXT(ABS(INDEX(Sales_ClearHeightRange,D$3)),"$0.00")&amp;" per unit"))),IF(Sales_AdjType="$ per Unit",IF(INDEX(Sales_ClearHeightRange,D$3)=0,"no adjustment",IF(INDEX(Sales_ClearHeightRange,D$3)&lt;0,"a downward adjustment","an upward adjustment"))))))</f>
        <v>no adjustment</v>
      </c>
      <c r="E177" s="459" t="str">
        <f t="shared" si="33"/>
        <v>no adjustment</v>
      </c>
      <c r="F177" s="459" t="str">
        <f t="shared" si="33"/>
        <v>no adjustment</v>
      </c>
      <c r="G177" s="459" t="str">
        <f t="shared" si="33"/>
        <v>no adjustment</v>
      </c>
      <c r="H177" s="459" t="str">
        <f t="shared" si="33"/>
        <v/>
      </c>
      <c r="I177" s="459" t="str">
        <f t="shared" si="33"/>
        <v/>
      </c>
      <c r="J177" s="6"/>
    </row>
    <row r="178" spans="2:10" x14ac:dyDescent="0.25">
      <c r="B178" s="4"/>
      <c r="C178" s="400" t="s">
        <v>693</v>
      </c>
      <c r="D178" s="398" t="str">
        <f>IF(Subject_ClearHeight&gt;24,"above average",IF(Subject_ClearHeight&lt;20,"below average","average"))</f>
        <v>below average</v>
      </c>
      <c r="E178" s="1395"/>
      <c r="F178" s="1395"/>
      <c r="G178" s="1395"/>
      <c r="H178" s="1395"/>
      <c r="I178" s="1395"/>
      <c r="J178" s="6"/>
    </row>
    <row r="179" spans="2:10" x14ac:dyDescent="0.25">
      <c r="B179" s="4"/>
      <c r="C179" s="400" t="s">
        <v>691</v>
      </c>
      <c r="D179" s="367" t="str">
        <f>CONCATENATE(TEXT(MIN(Sales_ClearHeightRange_Narrative),"0.0")," to ",TEXT(MAX(Sales_ClearHeightRange_Narrative),"0.0"))</f>
        <v>0.0 to 0.0</v>
      </c>
      <c r="E179" s="1395"/>
      <c r="F179" s="1395"/>
      <c r="G179" s="1395"/>
      <c r="H179" s="1395"/>
      <c r="I179" s="1395"/>
      <c r="J179" s="6"/>
    </row>
    <row r="180" spans="2:10" x14ac:dyDescent="0.25">
      <c r="B180" s="4"/>
      <c r="C180" s="455" t="s">
        <v>795</v>
      </c>
      <c r="D180" s="462" t="str">
        <f>IF(AND(MIN(Sales_ClearHeightRange)&lt;0,MAX(Sales_ClearHeightRange)&lt;0.01),CONCATENATE("negative ",TEXT(ABS(MIN(Sales_ClearHeightRange)),"0.0%")," to ",TEXT(ABS(MAX(Sales_ClearHeightRange)),"0.0%")),IF(AND(MIN(Sales_ClearHeightRange)&lt;0,MAX(Sales_ClearHeightRange)&gt;0),CONCATENATE("negative ",TEXT(ABS(MIN(Sales_ClearHeightRange)),"0.0%")," to positive ",TEXT(MAX(Sales_ClearHeightRange),"0.0%")),CONCATENATE(TEXT(MIN(Sales_ClearHeightRange),"0.0%")," to ",TEXT(MAX(Sales_ClearHeightRange),"0.0%"))))</f>
        <v>0.0% to 0.0%</v>
      </c>
      <c r="E180" s="459"/>
      <c r="F180" s="459"/>
      <c r="G180" s="459"/>
      <c r="H180" s="459"/>
      <c r="I180" s="459"/>
      <c r="J180" s="6"/>
    </row>
    <row r="181" spans="2:10" x14ac:dyDescent="0.25">
      <c r="B181" s="4"/>
      <c r="C181" s="455" t="str">
        <f>dpSales_Adjustment_7</f>
        <v>Percent Office Finish</v>
      </c>
      <c r="D181" s="459" t="str">
        <f t="shared" ref="D181:I181" si="34">IF(ISERR(IF(INDEX(Sales_PercentOfficeRange,D$3)=0,"no adjustment",IF(INDEX(Sales_PercentOfficeRange,D$3)&lt;0,CONCATENATE("a downward adjustment of ",TEXT(ABS(INDEX(Sales_PercentOfficeRange,D$3)),"0.0%")),CONCATENATE("an upward adjustment of ",TEXT(ABS(INDEX(Sales_PercentOfficeRange,D$3)),"0.0%"))))),"",IF(Sales_AdjType="Percent",IF(INDEX(Sales_PercentOfficeRange,D$3)=0,"no adjustment",IF(INDEX(Sales_PercentOfficeRange,D$3)&lt;0,CONCATENATE("a downward adjustment of ",TEXT(ABS(INDEX(Sales_PercentOfficeRange,D$3)),"0.0%")),CONCATENATE("an upward adjustment of ",TEXT(ABS(INDEX(Sales_PercentOfficeRange,D$3)),"0.0%")))),IF(Sales_AdjType="$ per Unit",IF(INDEX(Sales_PercentOfficeRange,D$3)=0,"no adjustment",IF(INDEX(Sales_PercentOfficeRange,D$3)&lt;0,CONCATENATE("a downward adjustment of ",TEXT(ABS(INDEX(Sales_PercentOfficeRange,D$3)),"$0.00")&amp;" per unit"),CONCATENATE("an upward adjustment of ",TEXT(ABS(INDEX(Sales_PercentOfficeRange,D$3)),"$0.00")&amp;" per unit"))),IF(Sales_AdjType="$ per Unit",IF(INDEX(Sales_PercentOfficeRange,D$3)=0,"no adjustment",IF(INDEX(Sales_PercentOfficeRange,D$3)&lt;0,"a downward adjustment","an upward adjustment"))))))</f>
        <v>no adjustment</v>
      </c>
      <c r="E181" s="459" t="str">
        <f t="shared" si="34"/>
        <v>no adjustment</v>
      </c>
      <c r="F181" s="459" t="str">
        <f t="shared" si="34"/>
        <v>no adjustment</v>
      </c>
      <c r="G181" s="459" t="str">
        <f t="shared" si="34"/>
        <v>no adjustment</v>
      </c>
      <c r="H181" s="459" t="str">
        <f t="shared" si="34"/>
        <v/>
      </c>
      <c r="I181" s="459" t="str">
        <f t="shared" si="34"/>
        <v/>
      </c>
      <c r="J181" s="6"/>
    </row>
    <row r="182" spans="2:10" x14ac:dyDescent="0.25">
      <c r="B182" s="4"/>
      <c r="C182" s="1410" t="s">
        <v>1465</v>
      </c>
      <c r="D182" s="462" t="str">
        <f>CONCATENATE(TEXT(MIN(Sales_PercentOfficeRange),"0.0%")," to ",TEXT(MAX(Sales_PercentOfficeRange),"0.0%"))</f>
        <v>0.0% to 0.0%</v>
      </c>
      <c r="E182" s="459"/>
      <c r="F182" s="459"/>
      <c r="G182" s="459"/>
      <c r="H182" s="459"/>
      <c r="I182" s="459"/>
      <c r="J182" s="6"/>
    </row>
    <row r="183" spans="2:10" x14ac:dyDescent="0.25">
      <c r="B183" s="4"/>
      <c r="C183" s="400" t="s">
        <v>692</v>
      </c>
      <c r="D183" s="398">
        <f>Sales_PercentOffice_AdjPSF</f>
        <v>40</v>
      </c>
      <c r="E183" s="1395">
        <f>Sales_PercentOffice_AdjPSF_1</f>
        <v>40</v>
      </c>
      <c r="F183" s="1395">
        <f>Sales_PercentOffice_AdjPSF_2</f>
        <v>40</v>
      </c>
      <c r="G183" s="1395"/>
      <c r="H183" s="1395"/>
      <c r="I183" s="1395"/>
      <c r="J183" s="6"/>
    </row>
    <row r="184" spans="2:10" x14ac:dyDescent="0.25">
      <c r="B184" s="4"/>
      <c r="C184" s="455" t="str">
        <f>dpSales_Adjustment_8</f>
        <v>Land-to-Building Ratio</v>
      </c>
      <c r="D184" s="459" t="str">
        <f t="shared" ref="D184:I184" si="35">IF(ISERR(IF(INDEX(Sales_LtBRange,D$3)=0,"no adjustment",IF(INDEX(Sales_LtBRange,D$3)&lt;0,CONCATENATE("a downward adjustment of ",TEXT(ABS(INDEX(Sales_LtBRange,D$3)),"0.0%")),CONCATENATE("an upward adjustment of ",TEXT(ABS(INDEX(Sales_LtBRange,D$3)),"0.0%"))))),"",IF(Sales_AdjType="Percent",IF(INDEX(Sales_LtBRange,D$3)=0,"no adjustment",IF(INDEX(Sales_LtBRange,D$3)&lt;0,CONCATENATE("a downward adjustment of ",TEXT(ABS(INDEX(Sales_LtBRange,D$3)),"0.0%")),CONCATENATE("an upward adjustment of ",TEXT(ABS(INDEX(Sales_LtBRange,D$3)),"0.0%")))),IF(Sales_AdjType="$ per Unit",IF(INDEX(Sales_LtBRange,D$3)=0,"no adjustment",IF(INDEX(Sales_LtBRange,D$3)&lt;0,CONCATENATE("a downward adjustment of ",TEXT(ABS(INDEX(Sales_LtBRange,D$3)),"$0.00")&amp;" per unit"),CONCATENATE("an upward adjustment of ",TEXT(ABS(INDEX(Sales_LtBRange,D$3)),"$0.00")&amp;" per unit"))),IF(Sales_AdjType="$ per Unit",IF(INDEX(Sales_LtBRange,D$3)=0,"no adjustment",IF(INDEX(Sales_LtBRange,D$3)&lt;0,"a downward adjustment","an upward adjustment"))))))</f>
        <v>no adjustment</v>
      </c>
      <c r="E184" s="459" t="str">
        <f t="shared" si="35"/>
        <v>an upward adjustment of 5.0%</v>
      </c>
      <c r="F184" s="459" t="str">
        <f t="shared" si="35"/>
        <v>a downward adjustment of 5.0%</v>
      </c>
      <c r="G184" s="459" t="str">
        <f t="shared" si="35"/>
        <v>no adjustment</v>
      </c>
      <c r="H184" s="459" t="str">
        <f t="shared" si="35"/>
        <v/>
      </c>
      <c r="I184" s="459" t="str">
        <f t="shared" si="35"/>
        <v/>
      </c>
      <c r="J184" s="6"/>
    </row>
    <row r="185" spans="2:10" x14ac:dyDescent="0.25">
      <c r="B185" s="4"/>
      <c r="C185" s="455" t="str">
        <f>dpSales_Adjustment_9</f>
        <v>Parking Ratio</v>
      </c>
      <c r="D185" s="459" t="str">
        <f t="shared" ref="D185:I185" si="36">IF(ISERR(IF(INDEX(Sales_ParkingRatioRange,D$3)=0,"no adjustment",IF(INDEX(Sales_ParkingRatioRange,D$3)&lt;0,CONCATENATE("a downward adjustment of ",TEXT(ABS(INDEX(Sales_ParkingRatioRange,D$3)),"0.0%")),CONCATENATE("an upward adjustment of ",TEXT(ABS(INDEX(Sales_ParkingRatioRange,D$3)),"0.0%"))))),"",IF(Sales_AdjType="Percent",IF(INDEX(Sales_ParkingRatioRange,D$3)=0,"no adjustment",IF(INDEX(Sales_ParkingRatioRange,D$3)&lt;0,CONCATENATE("a downward adjustment of ",TEXT(ABS(INDEX(Sales_ParkingRatioRange,D$3)),"0.0%")),CONCATENATE("an upward adjustment of ",TEXT(ABS(INDEX(Sales_ParkingRatioRange,D$3)),"0.0%")))),IF(Sales_AdjType="$ per Unit",IF(INDEX(Sales_ParkingRatioRange,D$3)=0,"no adjustment",IF(INDEX(Sales_ParkingRatioRange,D$3)&lt;0,CONCATENATE("a downward adjustment of ",TEXT(ABS(INDEX(Sales_ParkingRatioRange,D$3)),"$0.00")&amp;" per unit"),CONCATENATE("an upward adjustment of ",TEXT(ABS(INDEX(Sales_ParkingRatioRange,D$3)),"$0.00")&amp;" per unit"))),IF(Sales_AdjType="$ per Unit",IF(INDEX(Sales_ParkingRatioRange,D$3)=0,"no adjustment",IF(INDEX(Sales_ParkingRatioRange,D$3)&lt;0,"a downward adjustment","an upward adjustment"))))))</f>
        <v>no adjustment</v>
      </c>
      <c r="E185" s="459" t="str">
        <f t="shared" si="36"/>
        <v>no adjustment</v>
      </c>
      <c r="F185" s="459" t="str">
        <f t="shared" si="36"/>
        <v>no adjustment</v>
      </c>
      <c r="G185" s="459" t="str">
        <f t="shared" si="36"/>
        <v>no adjustment</v>
      </c>
      <c r="H185" s="459" t="str">
        <f t="shared" si="36"/>
        <v/>
      </c>
      <c r="I185" s="459" t="str">
        <f t="shared" si="36"/>
        <v/>
      </c>
      <c r="J185" s="6"/>
    </row>
    <row r="186" spans="2:10" x14ac:dyDescent="0.25">
      <c r="B186" s="4"/>
      <c r="C186" s="455" t="str">
        <f>dpSales_Adjustment_10</f>
        <v>Remaining Lease Term</v>
      </c>
      <c r="D186" s="1999"/>
      <c r="E186" s="1999"/>
      <c r="F186" s="1999"/>
      <c r="G186" s="1999"/>
      <c r="H186" s="1999"/>
      <c r="I186" s="1999"/>
      <c r="J186" s="6"/>
    </row>
    <row r="187" spans="2:10" x14ac:dyDescent="0.25">
      <c r="B187" s="4"/>
      <c r="C187" s="455" t="str">
        <f>dpSales_Adjustment_11</f>
        <v>Non-Realty Components</v>
      </c>
      <c r="D187" s="459" t="str">
        <f t="shared" ref="D187:I187" si="37">IF(ISERR(IF(INDEX(Sales_NonRealtyRange,D$3)=0,"no adjustment",IF(INDEX(Sales_NonRealtyRange,D$3)&lt;0,CONCATENATE("a downward adjustment of ",TEXT(ABS(INDEX(Sales_NonRealtyRange,D$3)),"0.0%")),CONCATENATE("an upward adjustment of ",TEXT(ABS(INDEX(Sales_NonRealtyRange,D$3)),"0.0%"))))),"",IF(Sales_AdjType="Percent",IF(INDEX(Sales_NonRealtyRange,D$3)=0,"no adjustment",IF(INDEX(Sales_NonRealtyRange,D$3)&lt;0,CONCATENATE("a downward adjustment of ",TEXT(ABS(INDEX(Sales_NonRealtyRange,D$3)),"0.0%")),CONCATENATE("an upward adjustment of ",TEXT(ABS(INDEX(Sales_NonRealtyRange,D$3)),"0.0%")))),IF(Sales_AdjType="$ per Unit",IF(INDEX(Sales_NonRealtyRange,D$3)=0,"no adjustment",IF(INDEX(Sales_NonRealtyRange,D$3)&lt;0,CONCATENATE("a downward adjustment of ",TEXT(ABS(INDEX(Sales_NonRealtyRange,D$3)),"$0.00")&amp;" per unit"),CONCATENATE("an upward adjustment of ",TEXT(ABS(INDEX(Sales_NonRealtyRange,D$3)),"$0.00")&amp;" per unit"))),IF(Sales_AdjType="$ per Unit",IF(INDEX(Sales_NonRealtyRange,D$3)=0,"no adjustment",IF(INDEX(Sales_NonRealtyRange,D$3)&lt;0,"a downward adjustment","an upward adjustment"))))))</f>
        <v>no adjustment</v>
      </c>
      <c r="E187" s="459" t="str">
        <f t="shared" si="37"/>
        <v>no adjustment</v>
      </c>
      <c r="F187" s="459" t="str">
        <f t="shared" si="37"/>
        <v>no adjustment</v>
      </c>
      <c r="G187" s="459" t="str">
        <f t="shared" si="37"/>
        <v>no adjustment</v>
      </c>
      <c r="H187" s="459" t="str">
        <f t="shared" si="37"/>
        <v/>
      </c>
      <c r="I187" s="459" t="str">
        <f t="shared" si="37"/>
        <v/>
      </c>
      <c r="J187" s="6"/>
    </row>
    <row r="188" spans="2:10" x14ac:dyDescent="0.25">
      <c r="B188" s="4"/>
      <c r="C188" s="455" t="str">
        <f>dpSales_Adjustment_12</f>
        <v>Industrial Amenities/Layout</v>
      </c>
      <c r="D188" s="459" t="str">
        <f t="shared" ref="D188:I188" si="38">IF(ISERR(IF(INDEX(Sales_UserDefined1Range,D$3)=0,"no adjustment",IF(INDEX(Sales_UserDefined1Range,D$3)&lt;0,CONCATENATE("a downward adjustment of ",TEXT(ABS(INDEX(Sales_UserDefined1Range,D$3)),"0.0%")),CONCATENATE("an upward adjustment of ",TEXT(ABS(INDEX(Sales_UserDefined1Range,D$3)),"0.0%"))))),"",IF(Sales_AdjType="Percent",IF(INDEX(Sales_UserDefined1Range,D$3)=0,"no adjustment",IF(INDEX(Sales_UserDefined1Range,D$3)&lt;0,CONCATENATE("a downward adjustment of ",TEXT(ABS(INDEX(Sales_UserDefined1Range,D$3)),"0.0%")),CONCATENATE("an upward adjustment of ",TEXT(ABS(INDEX(Sales_UserDefined1Range,D$3)),"0.0%")))),IF(Sales_AdjType="$ per Unit",IF(INDEX(Sales_UserDefined1Range,D$3)=0,"no adjustment",IF(INDEX(Sales_UserDefined1Range,D$3)&lt;0,CONCATENATE("a downward adjustment of ",TEXT(ABS(INDEX(Sales_UserDefined1Range,D$3)),"$0.00")&amp;" per unit"),CONCATENATE("an upward adjustment of ",TEXT(ABS(INDEX(Sales_UserDefined1Range,D$3)),"$0.00")&amp;" per unit"))),IF(Sales_AdjType="$ per Unit",IF(INDEX(Sales_UserDefined1Range,D$3)=0,"no adjustment",IF(INDEX(Sales_UserDefined1Range,D$3)&lt;0,"a downward adjustment","an upward adjustment"))))))</f>
        <v>no adjustment</v>
      </c>
      <c r="E188" s="459" t="str">
        <f t="shared" si="38"/>
        <v>a downward adjustment of 10.0%</v>
      </c>
      <c r="F188" s="459" t="str">
        <f t="shared" si="38"/>
        <v>a downward adjustment of 10.0%</v>
      </c>
      <c r="G188" s="459" t="str">
        <f t="shared" si="38"/>
        <v>a downward adjustment of 10.0%</v>
      </c>
      <c r="H188" s="459" t="str">
        <f t="shared" si="38"/>
        <v/>
      </c>
      <c r="I188" s="459" t="str">
        <f t="shared" si="38"/>
        <v/>
      </c>
      <c r="J188" s="6"/>
    </row>
    <row r="189" spans="2:10" x14ac:dyDescent="0.25">
      <c r="B189" s="4"/>
      <c r="C189" s="455" t="str">
        <f>dpSales_Adjustment_13</f>
        <v>Flood</v>
      </c>
      <c r="D189" s="459" t="str">
        <f t="shared" ref="D189:I189" si="39">IF(ISERR(IF(INDEX(Sales_UserDefined2Range,D$3)=0,"no adjustment",IF(INDEX(Sales_UserDefined2Range,D$3)&lt;0,CONCATENATE("a downward adjustment of ",TEXT(ABS(INDEX(Sales_UserDefined2Range,D$3)),"0.0%")),CONCATENATE("an upward adjustment of ",TEXT(ABS(INDEX(Sales_UserDefined2Range,D$3)),"0.0%"))))),"",IF(Sales_AdjType="Percent",IF(INDEX(Sales_UserDefined2Range,D$3)=0,"no adjustment",IF(INDEX(Sales_UserDefined2Range,D$3)&lt;0,CONCATENATE("a downward adjustment of ",TEXT(ABS(INDEX(Sales_UserDefined2Range,D$3)),"0.0%")),CONCATENATE("an upward adjustment of ",TEXT(ABS(INDEX(Sales_UserDefined2Range,D$3)),"0.0%")))),IF(Sales_AdjType="$ per Unit",IF(INDEX(Sales_UserDefined2Range,D$3)=0,"no adjustment",IF(INDEX(Sales_UserDefined2Range,D$3)&lt;0,CONCATENATE("a downward adjustment of ",TEXT(ABS(INDEX(Sales_UserDefined2Range,D$3)),"$0.00")&amp;" per unit"),CONCATENATE("an upward adjustment of ",TEXT(ABS(INDEX(Sales_UserDefined2Range,D$3)),"$0.00")&amp;" per unit"))),IF(Sales_AdjType="$ per Unit",IF(INDEX(Sales_UserDefined2Range,D$3)=0,"no adjustment",IF(INDEX(Sales_UserDefined2Range,D$3)&lt;0,"a downward adjustment","an upward adjustment"))))))</f>
        <v>no adjustment</v>
      </c>
      <c r="E189" s="459" t="str">
        <f t="shared" si="39"/>
        <v>no adjustment</v>
      </c>
      <c r="F189" s="459" t="str">
        <f t="shared" si="39"/>
        <v>no adjustment</v>
      </c>
      <c r="G189" s="459" t="str">
        <f t="shared" si="39"/>
        <v>no adjustment</v>
      </c>
      <c r="H189" s="459" t="str">
        <f t="shared" si="39"/>
        <v/>
      </c>
      <c r="I189" s="459" t="str">
        <f t="shared" si="39"/>
        <v/>
      </c>
      <c r="J189" s="6"/>
    </row>
    <row r="190" spans="2:10" x14ac:dyDescent="0.25">
      <c r="B190" s="4"/>
      <c r="C190" s="455" t="s">
        <v>822</v>
      </c>
      <c r="D190" s="462" t="str">
        <f>CONCATENATE(TEXT(MIN(Sales_YOCRange),"#")," to ",TEXT(MAX(Sales_YOCRange),"#"))</f>
        <v>1966 to 1978</v>
      </c>
      <c r="E190" s="459"/>
      <c r="F190" s="459"/>
      <c r="G190" s="459"/>
      <c r="H190" s="459"/>
      <c r="I190" s="459"/>
      <c r="J190" s="6"/>
    </row>
    <row r="191" spans="2:10" x14ac:dyDescent="0.25">
      <c r="B191" s="4"/>
      <c r="C191" s="455" t="s">
        <v>790</v>
      </c>
      <c r="D191" s="460">
        <f>IF(ISERROR(HLOOKUP(D$151,'Improved Sales Adjustments'!$G$7:$EP$147,64,FALSE)),"",HLOOKUP(D$151,'Improved Sales Adjustments'!$G$7:$EP$147,64,FALSE))</f>
        <v>1978</v>
      </c>
      <c r="E191" s="460">
        <f>IF(ISERROR(HLOOKUP(E$151,'Improved Sales Adjustments'!$G$7:$EP$147,64,FALSE)),"",HLOOKUP(E$151,'Improved Sales Adjustments'!$G$7:$EP$147,64,FALSE))</f>
        <v>1974</v>
      </c>
      <c r="F191" s="460">
        <f>IF(ISERROR(HLOOKUP(F$151,'Improved Sales Adjustments'!$G$7:$EP$147,64,FALSE)),"",HLOOKUP(F$151,'Improved Sales Adjustments'!$G$7:$EP$147,64,FALSE))</f>
        <v>1966</v>
      </c>
      <c r="G191" s="460">
        <f>IF(ISERROR(HLOOKUP(G$151,'Improved Sales Adjustments'!$G$7:$EP$147,64,FALSE)),"",HLOOKUP(G$151,'Improved Sales Adjustments'!$G$7:$EP$147,64,FALSE))</f>
        <v>1972</v>
      </c>
      <c r="H191" s="460" t="str">
        <f>IF(ISERROR(HLOOKUP(H$151,'Improved Sales Adjustments'!$G$7:$EP$147,64,FALSE)),"",HLOOKUP(H$151,'Improved Sales Adjustments'!$G$7:$EP$147,64,FALSE))</f>
        <v/>
      </c>
      <c r="I191" s="460" t="str">
        <f>IF(ISERROR(HLOOKUP(I$151,'Improved Sales Adjustments'!$G$7:$EP$147,64,FALSE)),"",HLOOKUP(I$151,'Improved Sales Adjustments'!$G$7:$EP$147,64,FALSE))</f>
        <v/>
      </c>
      <c r="J191" s="6"/>
    </row>
    <row r="192" spans="2:10" x14ac:dyDescent="0.25">
      <c r="B192" s="4"/>
      <c r="C192" s="455" t="s">
        <v>823</v>
      </c>
      <c r="D192" s="462" t="str">
        <f>CONCATENATE(TEXT(MIN(Sales_EffectiveAgeRange),"0")," to ",TEXT(MAX(Sales_EffectiveAgeRange),"0")," years")</f>
        <v>10 to 10 years</v>
      </c>
      <c r="E192" s="460"/>
      <c r="F192" s="460"/>
      <c r="G192" s="460"/>
      <c r="H192" s="460"/>
      <c r="I192" s="460"/>
      <c r="J192" s="6"/>
    </row>
    <row r="193" spans="2:10" x14ac:dyDescent="0.25">
      <c r="B193" s="4"/>
      <c r="C193" s="455" t="s">
        <v>791</v>
      </c>
      <c r="D193" s="461">
        <f>IF(ISERROR(HLOOKUP(D$151,'Improved Sales Adjustments'!$G$7:$EP$147,68,FALSE)),"",HLOOKUP(D$151,'Improved Sales Adjustments'!$G$7:$EP$147,68,FALSE))</f>
        <v>10</v>
      </c>
      <c r="E193" s="461">
        <f>IF(ISERROR(HLOOKUP(E$151,'Improved Sales Adjustments'!$G$7:$EP$147,68,FALSE)),"",HLOOKUP(E$151,'Improved Sales Adjustments'!$G$7:$EP$147,68,FALSE))</f>
        <v>10</v>
      </c>
      <c r="F193" s="461">
        <f>IF(ISERROR(HLOOKUP(F$151,'Improved Sales Adjustments'!$G$7:$EP$147,68,FALSE)),"",HLOOKUP(F$151,'Improved Sales Adjustments'!$G$7:$EP$147,68,FALSE))</f>
        <v>0</v>
      </c>
      <c r="G193" s="461">
        <f>IF(ISERROR(HLOOKUP(G$151,'Improved Sales Adjustments'!$G$7:$EP$147,68,FALSE)),"",HLOOKUP(G$151,'Improved Sales Adjustments'!$G$7:$EP$147,68,FALSE))</f>
        <v>0</v>
      </c>
      <c r="H193" s="461" t="str">
        <f>IF(ISERROR(HLOOKUP(H$151,'Improved Sales Adjustments'!$G$7:$EP$147,68,FALSE)),"",HLOOKUP(H$151,'Improved Sales Adjustments'!$G$7:$EP$147,68,FALSE))</f>
        <v/>
      </c>
      <c r="I193" s="461" t="str">
        <f>IF(ISERROR(HLOOKUP(I$151,'Improved Sales Adjustments'!$G$7:$EP$147,68,FALSE)),"",HLOOKUP(I$151,'Improved Sales Adjustments'!$G$7:$EP$147,68,FALSE))</f>
        <v/>
      </c>
      <c r="J193" s="6"/>
    </row>
    <row r="194" spans="2:10" x14ac:dyDescent="0.25">
      <c r="B194" s="4"/>
      <c r="C194" s="695" t="s">
        <v>792</v>
      </c>
      <c r="D194" s="462" t="str">
        <f>LOWER(IF(ISERROR(HLOOKUP(D$151,'Improved Sales Adjustments'!$G$7:$EP$147,76,FALSE)),"",HLOOKUP(D$151,'Improved Sales Adjustments'!$G$7:$EP$147,76,FALSE)))</f>
        <v xml:space="preserve">average class c </v>
      </c>
      <c r="E194" s="462" t="str">
        <f>LOWER(IF(ISERROR(HLOOKUP(E$151,'Improved Sales Adjustments'!$G$7:$EP$147,76,FALSE)),"",HLOOKUP(E$151,'Improved Sales Adjustments'!$G$7:$EP$147,76,FALSE)))</f>
        <v>average class c - concrete</v>
      </c>
      <c r="F194" s="462" t="str">
        <f>LOWER(IF(ISERROR(HLOOKUP(F$151,'Improved Sales Adjustments'!$G$7:$EP$147,76,FALSE)),"",HLOOKUP(F$151,'Improved Sales Adjustments'!$G$7:$EP$147,76,FALSE)))</f>
        <v>average class b - concrete</v>
      </c>
      <c r="G194" s="462" t="str">
        <f>LOWER(IF(ISERROR(HLOOKUP(G$151,'Improved Sales Adjustments'!$G$7:$EP$147,76,FALSE)),"",HLOOKUP(G$151,'Improved Sales Adjustments'!$G$7:$EP$147,76,FALSE)))</f>
        <v>average class b - concrete</v>
      </c>
      <c r="H194" s="462" t="str">
        <f>LOWER(IF(ISERROR(HLOOKUP(H$151,'Improved Sales Adjustments'!$G$7:$EP$147,76,FALSE)),"",HLOOKUP(H$151,'Improved Sales Adjustments'!$G$7:$EP$147,76,FALSE)))</f>
        <v/>
      </c>
      <c r="I194" s="462" t="str">
        <f>LOWER(IF(ISERROR(HLOOKUP(I$151,'Improved Sales Adjustments'!$G$7:$EP$147,76,FALSE)),"",HLOOKUP(I$151,'Improved Sales Adjustments'!$G$7:$EP$147,76,FALSE)))</f>
        <v/>
      </c>
      <c r="J194" s="6"/>
    </row>
    <row r="195" spans="2:10" x14ac:dyDescent="0.25">
      <c r="B195" s="4"/>
      <c r="C195" s="455" t="s">
        <v>796</v>
      </c>
      <c r="D195" s="462" t="str">
        <f>CONCATENATE(TEXT(MIN(Sales_PercentOfficeRange_Narrative),"0.0%")," to ",TEXT(MAX(Sales_PercentOfficeRange_Narrative),"0.0%"))</f>
        <v>0.0% to 0.0%</v>
      </c>
      <c r="E195" s="399"/>
      <c r="F195" s="399"/>
      <c r="G195" s="399"/>
      <c r="H195" s="399"/>
      <c r="I195" s="399"/>
      <c r="J195" s="6"/>
    </row>
    <row r="196" spans="2:10" x14ac:dyDescent="0.25">
      <c r="B196" s="4"/>
      <c r="C196" s="1284" t="s">
        <v>1337</v>
      </c>
      <c r="D196" s="1282" t="str">
        <f>CONCATENATE(MIN('Automated Sales Adjustments'!E114:E128)," to ",MAX('Automated Sales Adjustments'!E114:E128))</f>
        <v>1.23 to 6.53</v>
      </c>
      <c r="E196" s="1283"/>
      <c r="F196" s="1283"/>
      <c r="G196" s="1283"/>
      <c r="H196" s="1283"/>
      <c r="I196" s="1283"/>
      <c r="J196" s="6"/>
    </row>
    <row r="197" spans="2:10" x14ac:dyDescent="0.25">
      <c r="B197" s="4"/>
      <c r="C197" s="1284" t="s">
        <v>1338</v>
      </c>
      <c r="D197" s="1282" t="str">
        <f>CONCATENATE(TEXT(MIN(Sales_ParkingRatio_ParkingRates),"$0.00")," to ",TEXT(MAX(Sales_ParkingRatio_ParkingRates),"$0.00"))</f>
        <v>$0.00 to $0.00</v>
      </c>
      <c r="E197" s="1283"/>
      <c r="F197" s="1283"/>
      <c r="G197" s="1283"/>
      <c r="H197" s="1283"/>
      <c r="I197" s="1283"/>
      <c r="J197" s="6"/>
    </row>
    <row r="198" spans="2:10" x14ac:dyDescent="0.25">
      <c r="B198" s="4"/>
      <c r="C198" s="455" t="s">
        <v>785</v>
      </c>
      <c r="D198" s="463" t="str">
        <f>IF(Sales_AdjType="Qualitative","qualitative","quantitative")</f>
        <v>quantitative</v>
      </c>
      <c r="E198" s="368"/>
      <c r="F198" s="368"/>
      <c r="G198" s="368"/>
      <c r="H198" s="368"/>
      <c r="I198" s="368"/>
      <c r="J198" s="6"/>
    </row>
    <row r="199" spans="2:10" x14ac:dyDescent="0.25">
      <c r="B199" s="4"/>
      <c r="C199" s="361" t="s">
        <v>592</v>
      </c>
      <c r="D199" s="364" t="str">
        <f>CONCATENATE(TEXT(Sales_Unadjust_MinPrice_Unit,"$0.00")," to ",TEXT(Sales_Unadjust_MaxPrice_Unit,"$0.00"))</f>
        <v>$110.36 to $163.45</v>
      </c>
      <c r="E199" s="359"/>
      <c r="F199" s="359"/>
      <c r="G199" s="359"/>
      <c r="H199" s="359"/>
      <c r="I199" s="359"/>
      <c r="J199" s="6"/>
    </row>
    <row r="200" spans="2:10" x14ac:dyDescent="0.25">
      <c r="B200" s="4"/>
      <c r="C200" s="361" t="s">
        <v>593</v>
      </c>
      <c r="D200" s="364" t="str">
        <f>CONCATENATE(TEXT(Sales_Adjust_MinPrice_Unit,"$0.00")," to ",TEXT(Sales_Adjust_MaxPrice_Unit,"$0.00"))</f>
        <v>$115.46 to $134.48</v>
      </c>
      <c r="E200" s="399"/>
      <c r="F200" s="399"/>
      <c r="G200" s="399"/>
      <c r="H200" s="399"/>
      <c r="I200" s="399"/>
      <c r="J200" s="6"/>
    </row>
    <row r="201" spans="2:10" x14ac:dyDescent="0.25">
      <c r="B201" s="4"/>
      <c r="C201" s="455" t="s">
        <v>824</v>
      </c>
      <c r="D201" s="462" t="str">
        <f>IF(SUM('Improved Sales Adjustments'!A170:A174)&gt;1,"these adjustments","this adjustment")</f>
        <v>this adjustment</v>
      </c>
      <c r="E201" s="399"/>
      <c r="F201" s="399"/>
      <c r="G201" s="399"/>
      <c r="H201" s="399"/>
      <c r="I201" s="399"/>
      <c r="J201" s="6"/>
    </row>
    <row r="202" spans="2:10" x14ac:dyDescent="0.25">
      <c r="B202" s="4"/>
      <c r="C202" s="455" t="s">
        <v>825</v>
      </c>
      <c r="D202" s="462" t="str">
        <f>IF(SUM('Improved Sales Adjustments'!A176:A180)&gt;1,"these adjustments","this adjustment")</f>
        <v>this adjustment</v>
      </c>
      <c r="E202" s="390"/>
      <c r="F202" s="359"/>
      <c r="G202" s="359"/>
      <c r="H202" s="359"/>
      <c r="I202" s="359"/>
      <c r="J202" s="6"/>
    </row>
    <row r="203" spans="2:10" x14ac:dyDescent="0.25">
      <c r="B203" s="4"/>
      <c r="C203" s="361"/>
      <c r="D203" s="367"/>
      <c r="E203" s="359"/>
      <c r="F203" s="359"/>
      <c r="G203" s="359"/>
      <c r="H203" s="359"/>
      <c r="I203" s="359"/>
      <c r="J203" s="6"/>
    </row>
    <row r="204" spans="2:10" x14ac:dyDescent="0.25">
      <c r="B204" s="4"/>
      <c r="C204" s="365" t="s">
        <v>567</v>
      </c>
      <c r="D204" s="367"/>
      <c r="E204" s="359"/>
      <c r="F204" s="359"/>
      <c r="G204" s="359"/>
      <c r="H204" s="359"/>
      <c r="I204" s="359"/>
      <c r="J204" s="6"/>
    </row>
    <row r="205" spans="2:10" x14ac:dyDescent="0.25">
      <c r="B205" s="4"/>
      <c r="C205" s="397" t="s">
        <v>688</v>
      </c>
      <c r="D205" s="398"/>
      <c r="E205" s="399"/>
      <c r="F205" s="399"/>
      <c r="G205" s="399"/>
      <c r="H205" s="399"/>
      <c r="I205" s="399"/>
      <c r="J205" s="6"/>
    </row>
    <row r="206" spans="2:10" x14ac:dyDescent="0.25">
      <c r="B206" s="4"/>
      <c r="C206" s="400" t="s">
        <v>689</v>
      </c>
      <c r="D206" s="401" t="str">
        <f>IF(Income_TechniqueUsed="Direct Cap. and DCF","the direct capitalization and discounted cash flow methods",IF(Income_TechniqueUsed="Direct Capitalization","the direct capitalization method","the discounted cash flow method"))</f>
        <v>the direct capitalization method</v>
      </c>
      <c r="E206" s="399"/>
      <c r="F206" s="399"/>
      <c r="G206" s="399"/>
      <c r="H206" s="399"/>
      <c r="I206" s="399"/>
      <c r="J206" s="6"/>
    </row>
    <row r="207" spans="2:10" x14ac:dyDescent="0.25">
      <c r="B207" s="4"/>
      <c r="C207" s="397"/>
      <c r="D207" s="398"/>
      <c r="E207" s="399"/>
      <c r="F207" s="399"/>
      <c r="G207" s="399"/>
      <c r="H207" s="399"/>
      <c r="I207" s="399"/>
      <c r="J207" s="6"/>
    </row>
    <row r="208" spans="2:10" x14ac:dyDescent="0.25">
      <c r="B208" s="4"/>
      <c r="C208" s="365" t="s">
        <v>568</v>
      </c>
      <c r="D208" s="1393" t="s">
        <v>1437</v>
      </c>
      <c r="E208" s="1394" t="s">
        <v>1442</v>
      </c>
      <c r="F208" s="1394" t="s">
        <v>1443</v>
      </c>
      <c r="G208" s="359"/>
      <c r="H208" s="359"/>
      <c r="I208" s="359"/>
      <c r="J208" s="6"/>
    </row>
    <row r="209" spans="2:14" x14ac:dyDescent="0.25">
      <c r="B209" s="4"/>
      <c r="C209" s="361" t="s">
        <v>569</v>
      </c>
      <c r="D209" s="369" t="s">
        <v>19943</v>
      </c>
      <c r="E209" s="364" t="s">
        <v>1304</v>
      </c>
      <c r="F209" s="364" t="s">
        <v>1304</v>
      </c>
      <c r="G209" s="359"/>
      <c r="H209" s="359"/>
      <c r="I209" s="359"/>
      <c r="J209" s="6"/>
    </row>
    <row r="210" spans="2:14" x14ac:dyDescent="0.25">
      <c r="B210" s="4"/>
      <c r="C210" s="716"/>
      <c r="D210" s="733"/>
      <c r="E210" s="720"/>
      <c r="F210" s="720"/>
      <c r="G210" s="720"/>
      <c r="H210" s="720"/>
      <c r="I210" s="720"/>
      <c r="J210" s="6"/>
    </row>
    <row r="211" spans="2:14" x14ac:dyDescent="0.25">
      <c r="B211" s="4"/>
      <c r="C211" s="360" t="s">
        <v>789</v>
      </c>
      <c r="D211" s="368">
        <v>1</v>
      </c>
      <c r="E211" s="368">
        <f>D211+1</f>
        <v>2</v>
      </c>
      <c r="F211" s="368">
        <f>E211+1</f>
        <v>3</v>
      </c>
      <c r="G211" s="368">
        <f>F211+1</f>
        <v>4</v>
      </c>
      <c r="H211" s="368">
        <f>G211+1</f>
        <v>5</v>
      </c>
      <c r="I211" s="368">
        <f>H211+1</f>
        <v>6</v>
      </c>
      <c r="J211" s="6"/>
    </row>
    <row r="212" spans="2:14" x14ac:dyDescent="0.25">
      <c r="B212" s="4"/>
      <c r="C212" s="455" t="str">
        <f>dpIncome_RentTransAdjustment_1</f>
        <v>Expense Structure</v>
      </c>
      <c r="D212" s="364" t="str">
        <f t="shared" ref="D212:I212" si="40">IF(ISERR(IF(INDEX(Rent_ExpenseReimbursementRange,D$3)=0,"no adjustment",IF(INDEX(Rent_ExpenseReimbursementRange,D$3)&lt;0,CONCATENATE("a downward adjustment of ",TEXT(ABS(INDEX(Rent_ExpenseReimbursementRange,D$3)),"0.0%")),CONCATENATE("an upward adjustment of ",TEXT(ABS(INDEX(Rent_ExpenseReimbursementRange,D$3)),"0.0%"))))),"",IF(INDEX(Rent_ExpenseReimbursementRange,D$3)=0,"no adjustment",IF(INDEX(Rent_ExpenseReimbursementRange,D$3)&lt;0,CONCATENATE("a downward adjustment of ",TEXT(ABS(INDEX(Rent_ExpenseReimbursementRange,D$3)),"$0.00")&amp;" per square foot"),CONCATENATE("an upward adjustment of ",TEXT(ABS(INDEX(Rent_ExpenseReimbursementRange,D$3)),"$0.00")&amp;" per square foot"))))</f>
        <v>an upward adjustment of $5.00 per square foot</v>
      </c>
      <c r="E212" s="364" t="str">
        <f t="shared" si="40"/>
        <v>an upward adjustment of $5.00 per square foot</v>
      </c>
      <c r="F212" s="364" t="str">
        <f t="shared" si="40"/>
        <v>an upward adjustment of $5.00 per square foot</v>
      </c>
      <c r="G212" s="364" t="str">
        <f t="shared" si="40"/>
        <v>an upward adjustment of $5.00 per square foot</v>
      </c>
      <c r="H212" s="364" t="str">
        <f t="shared" si="40"/>
        <v/>
      </c>
      <c r="I212" s="364" t="str">
        <f t="shared" si="40"/>
        <v/>
      </c>
      <c r="J212" s="6"/>
    </row>
    <row r="213" spans="2:14" x14ac:dyDescent="0.25">
      <c r="B213" s="4"/>
      <c r="C213" s="455" t="str">
        <f>dpIncome_RentTransAdjustment_2</f>
        <v>Rent Concessions</v>
      </c>
      <c r="D213" s="364" t="str">
        <f t="shared" ref="D213:I213" si="41">IF(ISERR(IF(INDEX(Rent_ConcessionsRange,D$3)=0,"no adjustment",IF(INDEX(Rent_ConcessionsRange,D$3)&lt;0,CONCATENATE("a downward adjustment of ",TEXT(ABS(INDEX(Rent_ConcessionsRange,D$3)),"0.0%")),CONCATENATE("an upward adjustment of ",TEXT(ABS(INDEX(Rent_ConcessionsRange,D$3)),"0.0%"))))),"",IF(INDEX(Rent_ConcessionsRange,D$3)=0,"no adjustment",IF(INDEX(Rent_ConcessionsRange,D$3)&lt;0,CONCATENATE("a downward adjustment of ",TEXT(ABS(INDEX(Rent_ConcessionsRange,D$3)),"$0.00")&amp;" per square foot"),CONCATENATE("an upward adjustment of ",TEXT(ABS(INDEX(Rent_ConcessionsRange,D$3)),"$0.00")&amp;" per square foot"))))</f>
        <v>no adjustment</v>
      </c>
      <c r="E213" s="364" t="str">
        <f t="shared" si="41"/>
        <v>no adjustment</v>
      </c>
      <c r="F213" s="364" t="str">
        <f t="shared" si="41"/>
        <v>no adjustment</v>
      </c>
      <c r="G213" s="364" t="str">
        <f t="shared" si="41"/>
        <v>no adjustment</v>
      </c>
      <c r="H213" s="364" t="str">
        <f t="shared" si="41"/>
        <v/>
      </c>
      <c r="I213" s="364" t="str">
        <f t="shared" si="41"/>
        <v/>
      </c>
      <c r="J213" s="6"/>
    </row>
    <row r="214" spans="2:14" x14ac:dyDescent="0.25">
      <c r="B214" s="4"/>
      <c r="C214" s="455" t="str">
        <f>dpIncome_RentTransAdjustment_3</f>
        <v>Tenant Imp. Allowance - Over Base Amount</v>
      </c>
      <c r="D214" s="364" t="str">
        <f t="shared" ref="D214:I214" si="42">IF(ISERR(IF(INDEX(Rent_TenantImpAllowanceRange,D$3)=0,"no adjustment",IF(INDEX(Rent_TenantImpAllowanceRange,D$3)&lt;0,CONCATENATE("a downward adjustment of ",TEXT(ABS(INDEX(Rent_TenantImpAllowanceRange,D$3)),"0.0%")),CONCATENATE("an upward adjustment of ",TEXT(ABS(INDEX(Rent_TenantImpAllowanceRange,D$3)),"0.0%"))))),"",IF(INDEX(Rent_TenantImpAllowanceRange,D$3)=0,"no adjustment",IF(INDEX(Rent_TenantImpAllowanceRange,D$3)&lt;0,CONCATENATE("a downward adjustment of ",TEXT(ABS(INDEX(Rent_TenantImpAllowanceRange,D$3)),"$0.00")&amp;" per square foot"),CONCATENATE("an upward adjustment of ",TEXT(ABS(INDEX(Rent_TenantImpAllowanceRange,D$3)),"$0.00")&amp;" per square foot"))))</f>
        <v>no adjustment</v>
      </c>
      <c r="E214" s="364" t="str">
        <f t="shared" si="42"/>
        <v>no adjustment</v>
      </c>
      <c r="F214" s="364" t="str">
        <f t="shared" si="42"/>
        <v>no adjustment</v>
      </c>
      <c r="G214" s="364" t="str">
        <f t="shared" si="42"/>
        <v>no adjustment</v>
      </c>
      <c r="H214" s="364" t="str">
        <f t="shared" si="42"/>
        <v/>
      </c>
      <c r="I214" s="364" t="str">
        <f t="shared" si="42"/>
        <v/>
      </c>
      <c r="J214" s="6"/>
    </row>
    <row r="215" spans="2:14" x14ac:dyDescent="0.25">
      <c r="B215" s="4"/>
      <c r="C215" s="455" t="str">
        <f>'Rent Adjustments'!D43</f>
        <v>Conditions of Lease</v>
      </c>
      <c r="D215" s="364" t="str">
        <f t="shared" ref="D215:I215" si="43">IF(ISERR(IF(INDEX(Rent_ConditionofLeaseRange,D$3)=0,"no adjustment",IF(INDEX(Rent_ConditionofLeaseRange,D$3)&lt;0,CONCATENATE("a downward adjustment of ",TEXT(ABS(INDEX(Rent_ConditionofLeaseRange,D$3)),"0.0%")),CONCATENATE("an upward adjustment of ",TEXT(ABS(INDEX(Rent_ConditionofLeaseRange,D$3)),"0.0%"))))),"",IF(INDEX(Rent_ConditionofLeaseRange,D$3)=0,"no adjustment",IF(INDEX(Rent_ConditionofLeaseRange,D$3)&lt;0,CONCATENATE("a downward adjustment of ",TEXT(ABS(INDEX(Rent_ConditionofLeaseRange,D$3)),"$0.00")&amp;" per square foot"),CONCATENATE("an upward adjustment of ",TEXT(ABS(INDEX(Rent_ConditionofLeaseRange,D$3)),"$0.00")&amp;" per square foot"))))</f>
        <v>no adjustment</v>
      </c>
      <c r="E215" s="364" t="str">
        <f t="shared" si="43"/>
        <v>no adjustment</v>
      </c>
      <c r="F215" s="364" t="str">
        <f t="shared" si="43"/>
        <v>no adjustment</v>
      </c>
      <c r="G215" s="364" t="str">
        <f t="shared" si="43"/>
        <v>no adjustment</v>
      </c>
      <c r="H215" s="364" t="str">
        <f t="shared" si="43"/>
        <v/>
      </c>
      <c r="I215" s="364" t="str">
        <f t="shared" si="43"/>
        <v/>
      </c>
      <c r="J215" s="6"/>
    </row>
    <row r="216" spans="2:14" x14ac:dyDescent="0.25">
      <c r="B216" s="4"/>
      <c r="C216" s="455" t="str">
        <f>dpIncome_RentAdjustment_1</f>
        <v>Location</v>
      </c>
      <c r="D216" s="364" t="str">
        <f t="shared" ref="D216:I216" si="44">IF(ISERR(IF(INDEX(Rent_LocationRange,D$3)=0,"no adjustment",IF(INDEX(Rent_LocationRange,D$3)&lt;0,CONCATENATE("a downward adjustment of ",TEXT(ABS(INDEX(Rent_LocationRange,D$3)),"0.0%")),CONCATENATE("an upward adjustment of ",TEXT(ABS(INDEX(Rent_LocationRange,D$3)),"0.0%"))))),"",IF(Income_RentAdjType="Percent",IF(INDEX(Rent_LocationRange,D$3)=0,"no adjustment",IF(INDEX(Rent_LocationRange,D$3)&lt;0,CONCATENATE("a downward adjustment of ",TEXT(ABS(INDEX(Rent_LocationRange,D$3)),"0.0%")),CONCATENATE("an upward adjustment of ",TEXT(ABS(INDEX(Rent_LocationRange,D$3)),"0.0%")))),IF(Income_RentAdjType="$ per Unit",IF(INDEX(Rent_LocationRange,D$3)=0,"no adjustment",IF(INDEX(Rent_LocationRange,D$3)&lt;0,CONCATENATE("a downward adjustment of ",TEXT(ABS(INDEX(Rent_LocationRange,D$3)),"$0.00")&amp;" per unit"),CONCATENATE("an upward adjustment of ",TEXT(ABS(INDEX(Rent_LocationRange,D$3)),"$0.00")&amp;" per unit"))),IF(Income_RentAdjType="$ per Unit",IF(INDEX(Rent_LocationRange,D$3)=0,"no adjustment",IF(INDEX(Rent_LocationRange,D$3)&lt;0,"a downward adjustment","an upward adjustment"))))))</f>
        <v>no adjustment</v>
      </c>
      <c r="E216" s="364" t="str">
        <f t="shared" si="44"/>
        <v>no adjustment</v>
      </c>
      <c r="F216" s="364" t="str">
        <f t="shared" si="44"/>
        <v>no adjustment</v>
      </c>
      <c r="G216" s="364" t="str">
        <f t="shared" si="44"/>
        <v>no adjustment</v>
      </c>
      <c r="H216" s="364" t="str">
        <f t="shared" si="44"/>
        <v/>
      </c>
      <c r="I216" s="364" t="str">
        <f t="shared" si="44"/>
        <v/>
      </c>
      <c r="J216" s="6"/>
    </row>
    <row r="217" spans="2:14" x14ac:dyDescent="0.25">
      <c r="B217" s="4"/>
      <c r="C217" s="455" t="str">
        <f>dpIncome_RentAdjustment_2</f>
        <v>Tenant Space Size</v>
      </c>
      <c r="D217" s="364" t="str">
        <f t="shared" ref="D217:I217" si="45">IF(ISERR(IF(INDEX(Rent_TenantSizeRange,D$3)=0,"no adjustment",IF(INDEX(Rent_TenantSizeRange,D$3)&lt;0,CONCATENATE("a downward adjustment of ",TEXT(ABS(INDEX(Rent_TenantSizeRange,D$3)),"0.0%")),CONCATENATE("an upward adjustment of ",TEXT(ABS(INDEX(Rent_TenantSizeRange,D$3)),"0.0%"))))),"",IF(Income_RentAdjType="Percent",IF(INDEX(Rent_TenantSizeRange,D$3)=0,"no adjustment",IF(INDEX(Rent_TenantSizeRange,D$3)&lt;0,CONCATENATE("a downward adjustment of ",TEXT(ABS(INDEX(Rent_TenantSizeRange,D$3)),"0.0%")),CONCATENATE("an upward adjustment of ",TEXT(ABS(INDEX(Rent_TenantSizeRange,D$3)),"0.0%")))),IF(Income_RentAdjType="$ per Unit",IF(INDEX(Rent_TenantSizeRange,D$3)=0,"no adjustment",IF(INDEX(Rent_TenantSizeRange,D$3)&lt;0,CONCATENATE("a downward adjustment of ",TEXT(ABS(INDEX(Rent_TenantSizeRange,D$3)),"$0.00")&amp;" per unit"),CONCATENATE("an upward adjustment of ",TEXT(ABS(INDEX(Rent_TenantSizeRange,D$3)),"$0.00")&amp;" per unit"))),IF(Income_RentAdjType="$ per Unit",IF(INDEX(Rent_TenantSizeRange,D$3)=0,"no adjustment",IF(INDEX(Rent_TenantSizeRange,D$3)&lt;0,"a downward adjustment","an upward adjustment"))))))</f>
        <v>no adjustment</v>
      </c>
      <c r="E217" s="364" t="str">
        <f t="shared" si="45"/>
        <v>no adjustment</v>
      </c>
      <c r="F217" s="364" t="str">
        <f t="shared" si="45"/>
        <v>no adjustment</v>
      </c>
      <c r="G217" s="364" t="str">
        <f t="shared" si="45"/>
        <v>no adjustment</v>
      </c>
      <c r="H217" s="364" t="str">
        <f t="shared" si="45"/>
        <v/>
      </c>
      <c r="I217" s="364" t="str">
        <f t="shared" si="45"/>
        <v/>
      </c>
      <c r="J217" s="6"/>
    </row>
    <row r="218" spans="2:14" x14ac:dyDescent="0.25">
      <c r="B218" s="4"/>
      <c r="C218" s="455" t="str">
        <f>dpIncome_RentAdjustment_3</f>
        <v>Age/Condition</v>
      </c>
      <c r="D218" s="364" t="str">
        <f t="shared" ref="D218:I218" si="46">IF(ISERR(IF(INDEX(Rent_AgeConditionRange,D$3)=0,"no adjustment",IF(INDEX(Rent_AgeConditionRange,D$3)&lt;0,CONCATENATE("a downward adjustment of ",TEXT(ABS(INDEX(Rent_AgeConditionRange,D$3)),"0.0%")),CONCATENATE("an upward adjustment of ",TEXT(ABS(INDEX(Rent_AgeConditionRange,D$3)),"0.0%"))))),"",IF(Income_RentAdjType="Percent",IF(INDEX(Rent_AgeConditionRange,D$3)=0,"no adjustment",IF(INDEX(Rent_AgeConditionRange,D$3)&lt;0,CONCATENATE("a downward adjustment of ",TEXT(ABS(INDEX(Rent_AgeConditionRange,D$3)),"0.0%")),CONCATENATE("an upward adjustment of ",TEXT(ABS(INDEX(Rent_AgeConditionRange,D$3)),"0.0%")))),IF(Income_RentAdjType="$ per Unit",IF(INDEX(Rent_AgeConditionRange,D$3)=0,"no adjustment",IF(INDEX(Rent_AgeConditionRange,D$3)&lt;0,CONCATENATE("a downward adjustment of ",TEXT(ABS(INDEX(Rent_AgeConditionRange,D$3)),"$0.00")&amp;" per unit"),CONCATENATE("an upward adjustment of ",TEXT(ABS(INDEX(Rent_AgeConditionRange,D$3)),"$0.00")&amp;" per unit"))),IF(Income_RentAdjType="$ per Unit",IF(INDEX(Rent_AgeConditionRange,D$3)=0,"no adjustment",IF(INDEX(Rent_AgeConditionRange,D$3)&lt;0,"a downward adjustment","an upward adjustment"))))))</f>
        <v>no adjustment</v>
      </c>
      <c r="E218" s="364" t="str">
        <f t="shared" si="46"/>
        <v>no adjustment</v>
      </c>
      <c r="F218" s="364" t="str">
        <f t="shared" si="46"/>
        <v>no adjustment</v>
      </c>
      <c r="G218" s="364" t="str">
        <f t="shared" si="46"/>
        <v>no adjustment</v>
      </c>
      <c r="H218" s="364" t="str">
        <f t="shared" si="46"/>
        <v/>
      </c>
      <c r="I218" s="364" t="str">
        <f t="shared" si="46"/>
        <v/>
      </c>
      <c r="J218" s="6"/>
    </row>
    <row r="219" spans="2:14" x14ac:dyDescent="0.25">
      <c r="B219" s="4"/>
      <c r="C219" s="455" t="str">
        <f>dpIncome_RentAdjustment_4</f>
        <v>Construction Quality</v>
      </c>
      <c r="D219" s="364" t="str">
        <f t="shared" ref="D219:I219" si="47">IF(ISERR(IF(INDEX(Rent_QualityRange,D$3)=0,"no adjustment",IF(INDEX(Rent_QualityRange,D$3)&lt;0,CONCATENATE("a downward adjustment of ",TEXT(ABS(INDEX(Rent_QualityRange,D$3)),"0.0%")),CONCATENATE("an upward adjustment of ",TEXT(ABS(INDEX(Rent_QualityRange,D$3)),"0.0%"))))),"",IF(Income_RentAdjType="Percent",IF(INDEX(Rent_QualityRange,D$3)=0,"no adjustment",IF(INDEX(Rent_QualityRange,D$3)&lt;0,CONCATENATE("a downward adjustment of ",TEXT(ABS(INDEX(Rent_QualityRange,D$3)),"0.0%")),CONCATENATE("an upward adjustment of ",TEXT(ABS(INDEX(Rent_QualityRange,D$3)),"0.0%")))),IF(Income_RentAdjType="$ per Unit",IF(INDEX(Rent_QualityRange,D$3)=0,"no adjustment",IF(INDEX(Rent_QualityRange,D$3)&lt;0,CONCATENATE("a downward adjustment of ",TEXT(ABS(INDEX(Rent_QualityRange,D$3)),"$0.00")&amp;" per unit"),CONCATENATE("an upward adjustment of ",TEXT(ABS(INDEX(Rent_QualityRange,D$3)),"$0.00")&amp;" per unit"))),IF(Income_RentAdjType="$ per Unit",IF(INDEX(Rent_QualityRange,D$3)=0,"no adjustment",IF(INDEX(Rent_QualityRange,D$3)&lt;0,"a downward adjustment","an upward adjustment"))))))</f>
        <v>no adjustment</v>
      </c>
      <c r="E219" s="364" t="str">
        <f t="shared" si="47"/>
        <v>no adjustment</v>
      </c>
      <c r="F219" s="364" t="str">
        <f t="shared" si="47"/>
        <v>no adjustment</v>
      </c>
      <c r="G219" s="364" t="str">
        <f t="shared" si="47"/>
        <v>no adjustment</v>
      </c>
      <c r="H219" s="364" t="str">
        <f t="shared" si="47"/>
        <v/>
      </c>
      <c r="I219" s="364" t="str">
        <f t="shared" si="47"/>
        <v/>
      </c>
      <c r="J219" s="6"/>
    </row>
    <row r="220" spans="2:14" x14ac:dyDescent="0.25">
      <c r="B220" s="4"/>
      <c r="C220" s="1396" t="s">
        <v>1454</v>
      </c>
      <c r="D220" s="1397" t="str">
        <f t="shared" ref="D220:I220" si="48">IF(ISERR(INDEX(Rent_QualityRange,D$3)),"",IF(INDEX(Rent_QualityRange,D$3)=0,"",INDEX(Rent_QualityRange,D$3)))</f>
        <v/>
      </c>
      <c r="E220" s="1397" t="str">
        <f t="shared" si="48"/>
        <v/>
      </c>
      <c r="F220" s="1397" t="str">
        <f t="shared" si="48"/>
        <v/>
      </c>
      <c r="G220" s="1397" t="str">
        <f t="shared" si="48"/>
        <v/>
      </c>
      <c r="H220" s="1397" t="str">
        <f t="shared" si="48"/>
        <v/>
      </c>
      <c r="I220" s="1397" t="str">
        <f t="shared" si="48"/>
        <v/>
      </c>
      <c r="J220" s="6"/>
    </row>
    <row r="221" spans="2:14" x14ac:dyDescent="0.25">
      <c r="B221" s="4"/>
      <c r="C221" s="1396" t="s">
        <v>1450</v>
      </c>
      <c r="D221" s="1398">
        <f t="shared" ref="D221:I221" si="49">IF(ISERR(IF(INDEX(Rent_QualityRange,D$3)=0,1,0)),"",IF(INDEX(Rent_QualityRange,D$3)=0,1,0))</f>
        <v>1</v>
      </c>
      <c r="E221" s="1398">
        <f t="shared" si="49"/>
        <v>1</v>
      </c>
      <c r="F221" s="1398">
        <f t="shared" si="49"/>
        <v>1</v>
      </c>
      <c r="G221" s="1398">
        <f t="shared" si="49"/>
        <v>1</v>
      </c>
      <c r="H221" s="1398" t="str">
        <f t="shared" si="49"/>
        <v/>
      </c>
      <c r="I221" s="1398" t="str">
        <f t="shared" si="49"/>
        <v/>
      </c>
      <c r="J221" s="6"/>
    </row>
    <row r="222" spans="2:14" x14ac:dyDescent="0.25">
      <c r="B222" s="4"/>
      <c r="C222" s="1396" t="s">
        <v>1451</v>
      </c>
      <c r="D222" s="1398">
        <f>SUM($D221)</f>
        <v>1</v>
      </c>
      <c r="E222" s="1398">
        <f>SUM($D221:E221)</f>
        <v>2</v>
      </c>
      <c r="F222" s="1398">
        <f>SUM($D221:F221)</f>
        <v>3</v>
      </c>
      <c r="G222" s="1398">
        <f>SUM($D221:G221)</f>
        <v>4</v>
      </c>
      <c r="H222" s="1398">
        <f>SUM($D221:H221)</f>
        <v>4</v>
      </c>
      <c r="I222" s="1398">
        <f>SUM($D221:I221)</f>
        <v>4</v>
      </c>
      <c r="J222" s="6"/>
    </row>
    <row r="223" spans="2:14" ht="15" thickBot="1" x14ac:dyDescent="0.3">
      <c r="B223" s="4"/>
      <c r="C223" s="1396" t="s">
        <v>1452</v>
      </c>
      <c r="D223" s="1399" t="str">
        <f t="shared" ref="D223:I223" si="50">IF(D221=1,IF(AND(D222=$I222,$I222&gt;1),IF($I222&lt;3,CONCATENATE(" and ",D211),CONCATENATE("and ",D211)),IF($I222&lt;3,D211,CONCATENATE(D211,", "))),"")</f>
        <v xml:space="preserve">1, </v>
      </c>
      <c r="E223" s="1399" t="str">
        <f t="shared" si="50"/>
        <v xml:space="preserve">2, </v>
      </c>
      <c r="F223" s="1399" t="str">
        <f t="shared" si="50"/>
        <v xml:space="preserve">3, </v>
      </c>
      <c r="G223" s="1399" t="str">
        <f t="shared" si="50"/>
        <v>and 4</v>
      </c>
      <c r="H223" s="1399" t="str">
        <f t="shared" si="50"/>
        <v/>
      </c>
      <c r="I223" s="1399" t="str">
        <f t="shared" si="50"/>
        <v/>
      </c>
      <c r="J223" s="6"/>
    </row>
    <row r="224" spans="2:14" x14ac:dyDescent="0.25">
      <c r="B224" s="4"/>
      <c r="C224" s="1284" t="s">
        <v>1453</v>
      </c>
      <c r="D224" s="1400" t="s">
        <v>1455</v>
      </c>
      <c r="E224" s="1401" t="s">
        <v>1456</v>
      </c>
      <c r="F224" s="1400" t="s">
        <v>1457</v>
      </c>
      <c r="G224" s="1401" t="s">
        <v>1458</v>
      </c>
      <c r="H224" s="1400" t="s">
        <v>306</v>
      </c>
      <c r="I224" s="1401" t="s">
        <v>1459</v>
      </c>
      <c r="J224" s="1400" t="s">
        <v>1460</v>
      </c>
      <c r="K224" s="1402" t="s">
        <v>1461</v>
      </c>
      <c r="L224" s="1403" t="s">
        <v>1462</v>
      </c>
      <c r="M224" s="1402" t="s">
        <v>1463</v>
      </c>
      <c r="N224" s="1404" t="s">
        <v>1464</v>
      </c>
    </row>
    <row r="225" spans="2:14" x14ac:dyDescent="0.25">
      <c r="B225" s="4"/>
      <c r="C225" s="1396" t="s">
        <v>1450</v>
      </c>
      <c r="D225" s="1398">
        <f t="shared" ref="D225:N225" si="51">IF(COUNTIF(Rent_QualityRange1,D224)=0,0,IF(COUNTIF(Subject_ConstructionQuality,D224)=0,1,0))</f>
        <v>0</v>
      </c>
      <c r="E225" s="1398">
        <f t="shared" si="51"/>
        <v>0</v>
      </c>
      <c r="F225" s="1398">
        <f t="shared" si="51"/>
        <v>0</v>
      </c>
      <c r="G225" s="1398">
        <f t="shared" si="51"/>
        <v>0</v>
      </c>
      <c r="H225" s="1398">
        <f t="shared" si="51"/>
        <v>1</v>
      </c>
      <c r="I225" s="1398">
        <f t="shared" si="51"/>
        <v>0</v>
      </c>
      <c r="J225" s="1398">
        <f t="shared" si="51"/>
        <v>0</v>
      </c>
      <c r="K225" s="1398">
        <f t="shared" si="51"/>
        <v>0</v>
      </c>
      <c r="L225" s="1398">
        <f t="shared" si="51"/>
        <v>0</v>
      </c>
      <c r="M225" s="1398">
        <f t="shared" si="51"/>
        <v>0</v>
      </c>
      <c r="N225" s="1405">
        <f t="shared" si="51"/>
        <v>0</v>
      </c>
    </row>
    <row r="226" spans="2:14" x14ac:dyDescent="0.25">
      <c r="B226" s="4"/>
      <c r="C226" s="1396" t="s">
        <v>1451</v>
      </c>
      <c r="D226" s="1398">
        <f>SUM($D225)</f>
        <v>0</v>
      </c>
      <c r="E226" s="1398">
        <f>SUM($D225:E225)</f>
        <v>0</v>
      </c>
      <c r="F226" s="1398">
        <f>SUM($D225:F225)</f>
        <v>0</v>
      </c>
      <c r="G226" s="1398">
        <f>SUM($D225:G225)</f>
        <v>0</v>
      </c>
      <c r="H226" s="1398">
        <f>SUM($D225:H225)</f>
        <v>1</v>
      </c>
      <c r="I226" s="1398">
        <f>SUM($D225:I225)</f>
        <v>1</v>
      </c>
      <c r="J226" s="1406">
        <f>SUM($D225:J225)</f>
        <v>1</v>
      </c>
      <c r="K226" s="1406">
        <f>SUM($D225:K225)</f>
        <v>1</v>
      </c>
      <c r="L226" s="1406">
        <f>SUM($D225:L225)</f>
        <v>1</v>
      </c>
      <c r="M226" s="1406">
        <f>SUM($D225:M225)</f>
        <v>1</v>
      </c>
      <c r="N226" s="1407">
        <f>SUM($D225:N225)</f>
        <v>1</v>
      </c>
    </row>
    <row r="227" spans="2:14" ht="15" thickBot="1" x14ac:dyDescent="0.3">
      <c r="B227" s="4"/>
      <c r="C227" s="1396" t="s">
        <v>1452</v>
      </c>
      <c r="D227" s="1398" t="str">
        <f t="shared" ref="D227:N227" si="52">IF(D225=1,IF(AND(D226=$N226,$N226&gt;1),IF($N226&lt;3,CONCATENATE(" and ",LOWER(D224)),CONCATENATE("and ",LOWER(D224))),IF($N226&lt;3,LOWER(D224),CONCATENATE(LOWER(D224),", "))),"")</f>
        <v/>
      </c>
      <c r="E227" s="1398" t="str">
        <f t="shared" si="52"/>
        <v/>
      </c>
      <c r="F227" s="1398" t="str">
        <f t="shared" si="52"/>
        <v/>
      </c>
      <c r="G227" s="1398" t="str">
        <f t="shared" si="52"/>
        <v/>
      </c>
      <c r="H227" s="1398" t="str">
        <f t="shared" si="52"/>
        <v>average</v>
      </c>
      <c r="I227" s="1398" t="str">
        <f t="shared" si="52"/>
        <v/>
      </c>
      <c r="J227" s="1398" t="str">
        <f t="shared" si="52"/>
        <v/>
      </c>
      <c r="K227" s="1408" t="str">
        <f t="shared" si="52"/>
        <v/>
      </c>
      <c r="L227" s="1408" t="str">
        <f t="shared" si="52"/>
        <v/>
      </c>
      <c r="M227" s="1408" t="str">
        <f t="shared" si="52"/>
        <v/>
      </c>
      <c r="N227" s="1409" t="str">
        <f t="shared" si="52"/>
        <v/>
      </c>
    </row>
    <row r="228" spans="2:14" x14ac:dyDescent="0.25">
      <c r="B228" s="4"/>
      <c r="C228" s="1284" t="str">
        <f>CONCATENATE(dpIncome_RentAdjustment_4," Adjustment Range")</f>
        <v>Construction Quality Adjustment Range</v>
      </c>
      <c r="D228" s="1411" t="str">
        <f>IF(dpIncome_RentAdjustment_4="Construction Quality",CONCATENATE(LOWER(Subject_ConstructionQuality)," construction quality"),CONCATENATE(LOWER(Subject_ConstructionQuality)," Class ",Subject_InvestmentClass," investment grade ",LOWER(Subject_PropertyType)," property"))</f>
        <v>good construction quality</v>
      </c>
      <c r="E228" s="1395" t="str">
        <f>IF(I222=0,"",IF(I222=1,CONCATENATE("Rental ",D223,E223,F223,G223,H223,I223),CONCATENATE("Rental ",D223,E223,F223,G223,H223,I223)))</f>
        <v>Rental 1, 2, 3, and 4</v>
      </c>
      <c r="F228" s="34" t="str">
        <f>IF(dpIncome_RentAdjustment_4="Construction Quality",CONCATENATE(D227,E227,F227,G227,H227,I227,J227,K227,L227,M227,N227," construction quality"),CONCATENATE(D227,E227,F227,G227,H227,I227,J227,K227,L227,M227,N227," investment grade properties"))</f>
        <v>average construction quality</v>
      </c>
      <c r="G228" s="1282" t="str">
        <f>IF(MIN($D$220:$I$220)=MAX($D$220:$I$220),IF(MAX($D$220:$I$220)&gt;0,CONCATENATE("an upward adjustment of ",TEXT(H228,"0.0%")),CONCATENATE("a downward adjustment of ",TEXT(H228,"0.0%"))),IF(AND(MIN($D$220:$I$220)&lt;0,MAX($D$220:$I$220)&lt;0.01),CONCATENATE("adjustments ranging from negative ",TEXT(H228,"0.0%")," to ",TEXT(I228,"0.0%")),IF(AND(MIN($D$220:$I$220)&lt;0,MAX($D$220:$I$220)&gt;0),CONCATENATE("adjustments ranging from negative ",TEXT(ABS(MIN($D$220:$I$220)),"0.0%")," to positive ",TEXT(MAX($D$220:$I$220),"0.0%")),CONCATENATE("adjustments ranging from ",TEXT(MIN($D$220:$I$220),"0.0%")," to ",TEXT(MAX($D$220:$I$220),"0.0%")))))</f>
        <v>a downward adjustment of 0.0%</v>
      </c>
      <c r="H228" s="1397">
        <f>ABS(MIN(D220:I220))</f>
        <v>0</v>
      </c>
      <c r="I228" s="1397">
        <f>ABS(MAX(D220:I220))</f>
        <v>0</v>
      </c>
      <c r="J228" s="6"/>
    </row>
    <row r="229" spans="2:14" x14ac:dyDescent="0.25">
      <c r="B229" s="4"/>
      <c r="C229" s="455" t="str">
        <f>dpIncome_RentAdjustment_5</f>
        <v>Design/Functional Utility</v>
      </c>
      <c r="D229" s="364" t="str">
        <f t="shared" ref="D229:I229" si="53">IF(ISERR(IF(INDEX(Rent_DesignFunctionalUtilityRange,D$3)=0,"no adjustment",IF(INDEX(Rent_DesignFunctionalUtilityRange,D$3)&lt;0,CONCATENATE("a downward adjustment of ",TEXT(ABS(INDEX(Rent_DesignFunctionalUtilityRange,D$3)),"0.0%")),CONCATENATE("an upward adjustment of ",TEXT(ABS(INDEX(Rent_DesignFunctionalUtilityRange,D$3)),"0.0%"))))),"",IF(Income_RentAdjType="Percent",IF(INDEX(Rent_DesignFunctionalUtilityRange,D$3)=0,"no adjustment",IF(INDEX(Rent_DesignFunctionalUtilityRange,D$3)&lt;0,CONCATENATE("a downward adjustment of ",TEXT(ABS(INDEX(Rent_DesignFunctionalUtilityRange,D$3)),"0.0%")),CONCATENATE("an upward adjustment of ",TEXT(ABS(INDEX(Rent_DesignFunctionalUtilityRange,D$3)),"0.0%")))),IF(Income_RentAdjType="$ per Unit",IF(INDEX(Rent_DesignFunctionalUtilityRange,D$3)=0,"no adjustment",IF(INDEX(Rent_DesignFunctionalUtilityRange,D$3)&lt;0,CONCATENATE("a downward adjustment of ",TEXT(ABS(INDEX(Rent_DesignFunctionalUtilityRange,D$3)),"$0.00")&amp;" per unit"),CONCATENATE("an upward adjustment of ",TEXT(ABS(INDEX(Rent_DesignFunctionalUtilityRange,D$3)),"$0.00")&amp;" per unit"))),IF(Income_RentAdjType="$ per Unit",IF(INDEX(Rent_DesignFunctionalUtilityRange,D$3)=0,"no adjustment",IF(INDEX(Rent_DesignFunctionalUtilityRange,D$3)&lt;0,"a downward adjustment","an upward adjustment"))))))</f>
        <v>no adjustment</v>
      </c>
      <c r="E229" s="364" t="str">
        <f t="shared" si="53"/>
        <v>no adjustment</v>
      </c>
      <c r="F229" s="364" t="str">
        <f t="shared" si="53"/>
        <v>no adjustment</v>
      </c>
      <c r="G229" s="364" t="str">
        <f t="shared" si="53"/>
        <v>no adjustment</v>
      </c>
      <c r="H229" s="364" t="str">
        <f t="shared" si="53"/>
        <v/>
      </c>
      <c r="I229" s="364" t="str">
        <f t="shared" si="53"/>
        <v/>
      </c>
      <c r="J229" s="6"/>
    </row>
    <row r="230" spans="2:14" x14ac:dyDescent="0.25">
      <c r="B230" s="4"/>
      <c r="C230" s="455" t="str">
        <f>dpIncome_RentAdjustment_6</f>
        <v>Clear Height</v>
      </c>
      <c r="D230" s="364" t="str">
        <f t="shared" ref="D230:I230" si="54">IF(ISERR(IF(INDEX(Rent_ClearHeightRange,D$3)=0,"no adjustment",IF(INDEX(Rent_ClearHeightRange,D$3)&lt;0,CONCATENATE("a downward adjustment of ",TEXT(ABS(INDEX(Rent_ClearHeightRange,D$3)),"0.0%")),CONCATENATE("an upward adjustment of ",TEXT(ABS(INDEX(Rent_ClearHeightRange,D$3)),"0.0%"))))),"",IF(Income_RentAdjType="Percent",IF(INDEX(Rent_ClearHeightRange,D$3)=0,"no adjustment",IF(INDEX(Rent_ClearHeightRange,D$3)&lt;0,CONCATENATE("a downward adjustment of ",TEXT(ABS(INDEX(Rent_ClearHeightRange,D$3)),"0.0%")),CONCATENATE("an upward adjustment of ",TEXT(ABS(INDEX(Rent_ClearHeightRange,D$3)),"0.0%")))),IF(Income_RentAdjType="$ per Unit",IF(INDEX(Rent_ClearHeightRange,D$3)=0,"no adjustment",IF(INDEX(Rent_ClearHeightRange,D$3)&lt;0,CONCATENATE("a downward adjustment of ",TEXT(ABS(INDEX(Rent_ClearHeightRange,D$3)),"$0.00")&amp;" per unit"),CONCATENATE("an upward adjustment of ",TEXT(ABS(INDEX(Rent_ClearHeightRange,D$3)),"$0.00")&amp;" per unit"))),IF(Income_RentAdjType="$ per Unit",IF(INDEX(Rent_ClearHeightRange,D$3)=0,"no adjustment",IF(INDEX(Rent_ClearHeightRange,D$3)&lt;0,"a downward adjustment","an upward adjustment"))))))</f>
        <v>no adjustment</v>
      </c>
      <c r="E230" s="364" t="str">
        <f t="shared" si="54"/>
        <v>no adjustment</v>
      </c>
      <c r="F230" s="364" t="str">
        <f t="shared" si="54"/>
        <v>no adjustment</v>
      </c>
      <c r="G230" s="364" t="str">
        <f t="shared" si="54"/>
        <v>no adjustment</v>
      </c>
      <c r="H230" s="364" t="str">
        <f t="shared" si="54"/>
        <v/>
      </c>
      <c r="I230" s="364" t="str">
        <f t="shared" si="54"/>
        <v/>
      </c>
      <c r="J230" s="6"/>
    </row>
    <row r="231" spans="2:14" x14ac:dyDescent="0.25">
      <c r="B231" s="4"/>
      <c r="C231" s="455" t="s">
        <v>795</v>
      </c>
      <c r="D231" s="462" t="str">
        <f>CONCATENATE(TEXT(MIN(Rent_ClearHeightRange),"0.0%")," to ",TEXT(MAX(Rent_ClearHeightRange),"0.0%"))</f>
        <v>0.0% to 0.0%</v>
      </c>
      <c r="E231" s="462"/>
      <c r="F231" s="462"/>
      <c r="G231" s="462"/>
      <c r="H231" s="462"/>
      <c r="I231" s="462"/>
      <c r="J231" s="6"/>
    </row>
    <row r="232" spans="2:14" x14ac:dyDescent="0.25">
      <c r="B232" s="4"/>
      <c r="C232" s="455" t="str">
        <f>dpIncome_RentAdjustment_7</f>
        <v>Percent Office Finish</v>
      </c>
      <c r="D232" s="364" t="str">
        <f t="shared" ref="D232:I232" si="55">IF(ISERR(IF(INDEX(Rent_PercentOfficeFinishRange,D$3)=0,"no adjustment",IF(INDEX(Rent_PercentOfficeFinishRange,D$3)&lt;0,CONCATENATE("a downward adjustment of ",TEXT(ABS(INDEX(Rent_PercentOfficeFinishRange,D$3)),"0.0%")),CONCATENATE("an upward adjustment of ",TEXT(ABS(INDEX(Rent_PercentOfficeFinishRange,D$3)),"0.0%"))))),"",IF(Income_RentAdjType="Percent",IF(INDEX(Rent_PercentOfficeFinishRange,D$3)=0,"no adjustment",IF(INDEX(Rent_PercentOfficeFinishRange,D$3)&lt;0,CONCATENATE("a downward adjustment of ",TEXT(ABS(INDEX(Rent_PercentOfficeFinishRange,D$3)),"0.0%")),CONCATENATE("an upward adjustment of ",TEXT(ABS(INDEX(Rent_PercentOfficeFinishRange,D$3)),"0.0%")))),IF(Income_RentAdjType="$ per Unit",IF(INDEX(Rent_PercentOfficeFinishRange,D$3)=0,"no adjustment",IF(INDEX(Rent_PercentOfficeFinishRange,D$3)&lt;0,CONCATENATE("a downward adjustment of ",TEXT(ABS(INDEX(Rent_PercentOfficeFinishRange,D$3)),"$0.00")&amp;" per unit"),CONCATENATE("an upward adjustment of ",TEXT(ABS(INDEX(Rent_PercentOfficeFinishRange,D$3)),"$0.00")&amp;" per unit"))),IF(Income_RentAdjType="$ per Unit",IF(INDEX(Rent_PercentOfficeFinishRange,D$3)=0,"no adjustment",IF(INDEX(Rent_PercentOfficeFinishRange,D$3)&lt;0,"a downward adjustment","an upward adjustment"))))))</f>
        <v>no adjustment</v>
      </c>
      <c r="E232" s="364" t="str">
        <f t="shared" si="55"/>
        <v>no adjustment</v>
      </c>
      <c r="F232" s="364" t="str">
        <f t="shared" si="55"/>
        <v>no adjustment</v>
      </c>
      <c r="G232" s="364" t="str">
        <f t="shared" si="55"/>
        <v>no adjustment</v>
      </c>
      <c r="H232" s="364" t="str">
        <f t="shared" si="55"/>
        <v/>
      </c>
      <c r="I232" s="364" t="str">
        <f t="shared" si="55"/>
        <v/>
      </c>
      <c r="J232" s="6"/>
    </row>
    <row r="233" spans="2:14" x14ac:dyDescent="0.25">
      <c r="B233" s="4"/>
      <c r="C233" s="455" t="str">
        <f>dpIncome_RentAdjustment_8</f>
        <v>Land-to-Building Ratio</v>
      </c>
      <c r="D233" s="364" t="str">
        <f t="shared" ref="D233:I233" si="56">IF(ISERR(IF(INDEX(Rent_LtBRatioRange,D$3)=0,"no adjustment",IF(INDEX(Rent_LtBRatioRange,D$3)&lt;0,CONCATENATE("a downward adjustment of ",TEXT(ABS(INDEX(Rent_LtBRatioRange,D$3)),"0.0%")),CONCATENATE("an upward adjustment of ",TEXT(ABS(INDEX(Rent_LtBRatioRange,D$3)),"0.0%"))))),"",IF(Income_RentAdjType="Percent",IF(INDEX(Rent_LtBRatioRange,D$3)=0,"no adjustment",IF(INDEX(Rent_LtBRatioRange,D$3)&lt;0,CONCATENATE("a downward adjustment of ",TEXT(ABS(INDEX(Rent_LtBRatioRange,D$3)),"0.0%")),CONCATENATE("an upward adjustment of ",TEXT(ABS(INDEX(Rent_LtBRatioRange,D$3)),"0.0%")))),IF(Income_RentAdjType="$ per Unit",IF(INDEX(Rent_LtBRatioRange,D$3)=0,"no adjustment",IF(INDEX(Rent_LtBRatioRange,D$3)&lt;0,CONCATENATE("a downward adjustment of ",TEXT(ABS(INDEX(Rent_LtBRatioRange,D$3)),"$0.00")&amp;" per unit"),CONCATENATE("an upward adjustment of ",TEXT(ABS(INDEX(Rent_LtBRatioRange,D$3)),"$0.00")&amp;" per unit"))),IF(Income_RentAdjType="$ per Unit",IF(INDEX(Rent_LtBRatioRange,D$3)=0,"no adjustment",IF(INDEX(Rent_LtBRatioRange,D$3)&lt;0,"a downward adjustment","an upward adjustment"))))))</f>
        <v>no adjustment</v>
      </c>
      <c r="E233" s="364" t="str">
        <f t="shared" si="56"/>
        <v>no adjustment</v>
      </c>
      <c r="F233" s="364" t="str">
        <f t="shared" si="56"/>
        <v>no adjustment</v>
      </c>
      <c r="G233" s="364" t="str">
        <f t="shared" si="56"/>
        <v>no adjustment</v>
      </c>
      <c r="H233" s="364" t="str">
        <f t="shared" si="56"/>
        <v/>
      </c>
      <c r="I233" s="364" t="str">
        <f t="shared" si="56"/>
        <v/>
      </c>
      <c r="J233" s="6"/>
    </row>
    <row r="234" spans="2:14" x14ac:dyDescent="0.25">
      <c r="B234" s="4"/>
      <c r="C234" s="455" t="str">
        <f>dpIncome_RentAdjustment_9</f>
        <v>Parking Ratio</v>
      </c>
      <c r="D234" s="364" t="str">
        <f t="shared" ref="D234:I234" si="57">IF(ISERR(IF(INDEX(Rent_ParkingRatioRange,D$3)=0,"no adjustment",IF(INDEX(Rent_ParkingRatioRange,D$3)&lt;0,CONCATENATE("a downward adjustment of ",TEXT(ABS(INDEX(Rent_ParkingRatioRange,D$3)),"0.0%")),CONCATENATE("an upward adjustment of ",TEXT(ABS(INDEX(Rent_ParkingRatioRange,D$3)),"0.0%"))))),"",IF(Income_RentAdjType="Percent",IF(INDEX(Rent_ParkingRatioRange,D$3)=0,"no adjustment",IF(INDEX(Rent_ParkingRatioRange,D$3)&lt;0,CONCATENATE("a downward adjustment of ",TEXT(ABS(INDEX(Rent_ParkingRatioRange,D$3)),"0.0%")),CONCATENATE("an upward adjustment of ",TEXT(ABS(INDEX(Rent_ParkingRatioRange,D$3)),"0.0%")))),IF(Income_RentAdjType="$ per Unit",IF(INDEX(Rent_ParkingRatioRange,D$3)=0,"no adjustment",IF(INDEX(Rent_ParkingRatioRange,D$3)&lt;0,CONCATENATE("a downward adjustment of ",TEXT(ABS(INDEX(Rent_ParkingRatioRange,D$3)),"$0.00")&amp;" per unit"),CONCATENATE("an upward adjustment of ",TEXT(ABS(INDEX(Rent_ParkingRatioRange,D$3)),"$0.00")&amp;" per unit"))),IF(Income_RentAdjType="$ per Unit",IF(INDEX(Rent_ParkingRatioRange,D$3)=0,"no adjustment",IF(INDEX(Rent_ParkingRatioRange,D$3)&lt;0,"a downward adjustment","an upward adjustment"))))))</f>
        <v>no adjustment</v>
      </c>
      <c r="E234" s="364" t="str">
        <f t="shared" si="57"/>
        <v>no adjustment</v>
      </c>
      <c r="F234" s="364" t="str">
        <f t="shared" si="57"/>
        <v>no adjustment</v>
      </c>
      <c r="G234" s="364" t="str">
        <f t="shared" si="57"/>
        <v>no adjustment</v>
      </c>
      <c r="H234" s="364" t="str">
        <f t="shared" si="57"/>
        <v/>
      </c>
      <c r="I234" s="364" t="str">
        <f t="shared" si="57"/>
        <v/>
      </c>
      <c r="J234" s="6"/>
    </row>
    <row r="235" spans="2:14" x14ac:dyDescent="0.25">
      <c r="B235" s="4"/>
      <c r="C235" s="455" t="str">
        <f>dpIncome_RentAdjustment_10</f>
        <v>Rent Escalations</v>
      </c>
      <c r="D235" s="364" t="str">
        <f t="shared" ref="D235:I235" si="58">IF(ISERR(IF(INDEX(Rent_EscalationsRange,D$3)=0,"no adjustment",IF(INDEX(Rent_EscalationsRange,D$3)&lt;0,CONCATENATE("a downward adjustment of ",TEXT(ABS(INDEX(Rent_EscalationsRange,D$3)),"0.0%")),CONCATENATE("an upward adjustment of ",TEXT(ABS(INDEX(Rent_EscalationsRange,D$3)),"0.0%"))))),"",IF(Income_RentAdjType="Percent",IF(INDEX(Rent_EscalationsRange,D$3)=0,"no adjustment",IF(INDEX(Rent_EscalationsRange,D$3)&lt;0,CONCATENATE("a downward adjustment of ",TEXT(ABS(INDEX(Rent_EscalationsRange,D$3)),"0.0%")),CONCATENATE("an upward adjustment of ",TEXT(ABS(INDEX(Rent_EscalationsRange,D$3)),"0.0%")))),IF(Income_RentAdjType="$ per Unit",IF(INDEX(Rent_EscalationsRange,D$3)=0,"no adjustment",IF(INDEX(Rent_EscalationsRange,D$3)&lt;0,CONCATENATE("a downward adjustment of ",TEXT(ABS(INDEX(Rent_EscalationsRange,D$3)),"$0.00")&amp;" per unit"),CONCATENATE("an upward adjustment of ",TEXT(ABS(INDEX(Rent_EscalationsRange,D$3)),"$0.00")&amp;" per unit"))),IF(Income_RentAdjType="$ per Unit",IF(INDEX(Rent_EscalationsRange,D$3)=0,"no adjustment",IF(INDEX(Rent_EscalationsRange,D$3)&lt;0,"a downward adjustment","an upward adjustment"))))))</f>
        <v>no adjustment</v>
      </c>
      <c r="E235" s="364" t="str">
        <f t="shared" si="58"/>
        <v>no adjustment</v>
      </c>
      <c r="F235" s="364" t="str">
        <f t="shared" si="58"/>
        <v>no adjustment</v>
      </c>
      <c r="G235" s="364" t="str">
        <f t="shared" si="58"/>
        <v>no adjustment</v>
      </c>
      <c r="H235" s="364" t="str">
        <f t="shared" si="58"/>
        <v/>
      </c>
      <c r="I235" s="364" t="str">
        <f t="shared" si="58"/>
        <v/>
      </c>
      <c r="J235" s="6"/>
    </row>
    <row r="236" spans="2:14" x14ac:dyDescent="0.25">
      <c r="B236" s="4"/>
      <c r="C236" s="455" t="str">
        <f>dpIncome_RentAdjustment_11</f>
        <v>Lease Term</v>
      </c>
      <c r="D236" s="364" t="str">
        <f t="shared" ref="D236:I236" si="59">IF(ISERR(IF(INDEX(Rent_LeaseTermRange,D$3)=0,"no adjustment",IF(INDEX(Rent_LeaseTermRange,D$3)&lt;0,CONCATENATE("a downward adjustment of ",TEXT(ABS(INDEX(Rent_LeaseTermRange,D$3)),"0.0%")),CONCATENATE("an upward adjustment of ",TEXT(ABS(INDEX(Rent_LeaseTermRange,D$3)),"0.0%"))))),"",IF(Income_RentAdjType="Percent",IF(INDEX(Rent_LeaseTermRange,D$3)=0,"no adjustment",IF(INDEX(Rent_LeaseTermRange,D$3)&lt;0,CONCATENATE("a downward adjustment of ",TEXT(ABS(INDEX(Rent_LeaseTermRange,D$3)),"0.0%")),CONCATENATE("an upward adjustment of ",TEXT(ABS(INDEX(Rent_LeaseTermRange,D$3)),"0.0%")))),IF(Income_RentAdjType="$ per Unit",IF(INDEX(Rent_LeaseTermRange,D$3)=0,"no adjustment",IF(INDEX(Rent_LeaseTermRange,D$3)&lt;0,CONCATENATE("a downward adjustment of ",TEXT(ABS(INDEX(Rent_LeaseTermRange,D$3)),"$0.00")&amp;" per unit"),CONCATENATE("an upward adjustment of ",TEXT(ABS(INDEX(Rent_LeaseTermRange,D$3)),"$0.00")&amp;" per unit"))),IF(Income_RentAdjType="$ per Unit",IF(INDEX(Rent_LeaseTermRange,D$3)=0,"no adjustment",IF(INDEX(Rent_LeaseTermRange,D$3)&lt;0,"a downward adjustment","an upward adjustment"))))))</f>
        <v>no adjustment</v>
      </c>
      <c r="E236" s="364" t="str">
        <f t="shared" si="59"/>
        <v>no adjustment</v>
      </c>
      <c r="F236" s="364" t="str">
        <f t="shared" si="59"/>
        <v>no adjustment</v>
      </c>
      <c r="G236" s="364" t="str">
        <f t="shared" si="59"/>
        <v>no adjustment</v>
      </c>
      <c r="H236" s="364" t="str">
        <f t="shared" si="59"/>
        <v/>
      </c>
      <c r="I236" s="364" t="str">
        <f t="shared" si="59"/>
        <v/>
      </c>
      <c r="J236" s="6"/>
    </row>
    <row r="237" spans="2:14" x14ac:dyDescent="0.25">
      <c r="B237" s="4"/>
      <c r="C237" s="455" t="str">
        <f>dpIncome_RentAdjustment_12</f>
        <v>Industrial/Flex Amenities</v>
      </c>
      <c r="D237" s="364" t="str">
        <f t="shared" ref="D237:I237" si="60">IF(ISERR(IF(INDEX(Rent_UserDefined1Range,D$3)=0,"no adjustment",IF(INDEX(Rent_UserDefined1Range,D$3)&lt;0,CONCATENATE("a downward adjustment of ",TEXT(ABS(INDEX(Rent_UserDefined1Range,D$3)),"0.0%")),CONCATENATE("an upward adjustment of ",TEXT(ABS(INDEX(Rent_UserDefined1Range,D$3)),"0.0%"))))),"",IF(Income_RentAdjType="Percent",IF(INDEX(Rent_UserDefined1Range,D$3)=0,"no adjustment",IF(INDEX(Rent_UserDefined1Range,D$3)&lt;0,CONCATENATE("a downward adjustment of ",TEXT(ABS(INDEX(Rent_UserDefined1Range,D$3)),"0.0%")),CONCATENATE("an upward adjustment of ",TEXT(ABS(INDEX(Rent_UserDefined1Range,D$3)),"0.0%")))),IF(Income_RentAdjType="$ per Unit",IF(INDEX(Rent_UserDefined1Range,D$3)=0,"no adjustment",IF(INDEX(Rent_UserDefined1Range,D$3)&lt;0,CONCATENATE("a downward adjustment of ",TEXT(ABS(INDEX(Rent_UserDefined1Range,D$3)),"$0.00")&amp;" per unit"),CONCATENATE("an upward adjustment of ",TEXT(ABS(INDEX(Rent_UserDefined1Range,D$3)),"$0.00")&amp;" per unit"))),IF(Income_RentAdjType="$ per Unit",IF(INDEX(Rent_UserDefined1Range,D$3)=0,"no adjustment",IF(INDEX(Rent_UserDefined1Range,D$3)&lt;0,"a downward adjustment","an upward adjustment"))))))</f>
        <v>a downward adjustment of 5.0%</v>
      </c>
      <c r="E237" s="364" t="str">
        <f t="shared" si="60"/>
        <v>a downward adjustment of 5.0%</v>
      </c>
      <c r="F237" s="364" t="str">
        <f t="shared" si="60"/>
        <v>a downward adjustment of 5.0%</v>
      </c>
      <c r="G237" s="364" t="str">
        <f t="shared" si="60"/>
        <v>a downward adjustment of 5.0%</v>
      </c>
      <c r="H237" s="364" t="str">
        <f t="shared" si="60"/>
        <v/>
      </c>
      <c r="I237" s="364" t="str">
        <f t="shared" si="60"/>
        <v/>
      </c>
      <c r="J237" s="6"/>
    </row>
    <row r="238" spans="2:14" x14ac:dyDescent="0.25">
      <c r="B238" s="4"/>
      <c r="C238" s="455" t="str">
        <f>dpIncome_RentAdjustment_13</f>
        <v>User Defined 2</v>
      </c>
      <c r="D238" s="364" t="str">
        <f t="shared" ref="D238:I238" si="61">IF(ISERR(IF(INDEX(Rent_UserDefined2Range,D$3)=0,"no adjustment",IF(INDEX(Rent_UserDefined2Range,D$3)&lt;0,CONCATENATE("a downward adjustment of ",TEXT(ABS(INDEX(Rent_UserDefined2Range,D$3)),"0.0%")),CONCATENATE("an upward adjustment of ",TEXT(ABS(INDEX(Rent_UserDefined2Range,D$3)),"0.0%"))))),"",IF(Income_RentAdjType="Percent",IF(INDEX(Rent_UserDefined2Range,D$3)=0,"no adjustment",IF(INDEX(Rent_UserDefined2Range,D$3)&lt;0,CONCATENATE("a downward adjustment of ",TEXT(ABS(INDEX(Rent_UserDefined2Range,D$3)),"0.0%")),CONCATENATE("an upward adjustment of ",TEXT(ABS(INDEX(Rent_UserDefined2Range,D$3)),"0.0%")))),IF(Income_RentAdjType="$ per Unit",IF(INDEX(Rent_UserDefined2Range,D$3)=0,"no adjustment",IF(INDEX(Rent_UserDefined2Range,D$3)&lt;0,CONCATENATE("a downward adjustment of ",TEXT(ABS(INDEX(Rent_UserDefined2Range,D$3)),"$0.00")&amp;" per unit"),CONCATENATE("an upward adjustment of ",TEXT(ABS(INDEX(Rent_UserDefined2Range,D$3)),"$0.00")&amp;" per unit"))),IF(Income_RentAdjType="$ per Unit",IF(INDEX(Rent_UserDefined2Range,D$3)=0,"no adjustment",IF(INDEX(Rent_UserDefined2Range,D$3)&lt;0,"a downward adjustment","an upward adjustment"))))))</f>
        <v>no adjustment</v>
      </c>
      <c r="E238" s="364" t="str">
        <f t="shared" si="61"/>
        <v>no adjustment</v>
      </c>
      <c r="F238" s="364" t="str">
        <f t="shared" si="61"/>
        <v>no adjustment</v>
      </c>
      <c r="G238" s="364" t="str">
        <f t="shared" si="61"/>
        <v>no adjustment</v>
      </c>
      <c r="H238" s="364" t="str">
        <f t="shared" si="61"/>
        <v/>
      </c>
      <c r="I238" s="364" t="str">
        <f t="shared" si="61"/>
        <v/>
      </c>
      <c r="J238" s="6"/>
    </row>
    <row r="239" spans="2:14" x14ac:dyDescent="0.25">
      <c r="B239" s="4"/>
      <c r="C239" s="455" t="s">
        <v>790</v>
      </c>
      <c r="D239" s="460">
        <f>IF(ISERROR(HLOOKUP(D$211,'Rent Adjustments'!$G$8:$EP$146,62,FALSE)),"",HLOOKUP(D$211,'Rent Adjustments'!$G$8:$EP$146,62,FALSE))</f>
        <v>0</v>
      </c>
      <c r="E239" s="460">
        <f>IF(ISERROR(HLOOKUP(E$211,'Rent Adjustments'!$G$8:$EP$146,62,FALSE)),"",HLOOKUP(E$211,'Rent Adjustments'!$G$8:$EP$146,62,FALSE))</f>
        <v>0</v>
      </c>
      <c r="F239" s="460">
        <f>IF(ISERROR(HLOOKUP(F$211,'Rent Adjustments'!$G$8:$EP$146,62,FALSE)),"",HLOOKUP(F$211,'Rent Adjustments'!$G$8:$EP$146,62,FALSE))</f>
        <v>0</v>
      </c>
      <c r="G239" s="460">
        <f>IF(ISERROR(HLOOKUP(G$211,'Rent Adjustments'!$G$8:$EP$146,62,FALSE)),"",HLOOKUP(G$211,'Rent Adjustments'!$G$8:$EP$146,62,FALSE))</f>
        <v>0</v>
      </c>
      <c r="H239" s="460" t="str">
        <f>IF(ISERROR(HLOOKUP(H$211,'Rent Adjustments'!$G$8:$EP$146,62,FALSE)),"",HLOOKUP(H$211,'Rent Adjustments'!$G$8:$EP$146,62,FALSE))</f>
        <v/>
      </c>
      <c r="I239" s="460" t="str">
        <f>IF(ISERROR(HLOOKUP(I$211,'Rent Adjustments'!$G$8:$EP$146,62,FALSE)),"",HLOOKUP(I$211,'Rent Adjustments'!$G$8:$EP$146,62,FALSE))</f>
        <v/>
      </c>
      <c r="J239" s="6"/>
    </row>
    <row r="240" spans="2:14" x14ac:dyDescent="0.25">
      <c r="B240" s="4"/>
      <c r="C240" s="455" t="s">
        <v>791</v>
      </c>
      <c r="D240" s="461">
        <f>IF(ISERROR(HLOOKUP(D$211,'Rent Adjustments'!$G$8:$EP$146,65,FALSE)),"",HLOOKUP(D$211,'Rent Adjustments'!$G$8:$EP$146,65,FALSE))</f>
        <v>0</v>
      </c>
      <c r="E240" s="461">
        <f>IF(ISERROR(HLOOKUP(E$211,'Rent Adjustments'!$G$8:$EP$146,65,FALSE)),"",HLOOKUP(E$211,'Rent Adjustments'!$G$8:$EP$146,65,FALSE))</f>
        <v>0</v>
      </c>
      <c r="F240" s="461">
        <f>IF(ISERROR(HLOOKUP(F$211,'Rent Adjustments'!$G$8:$EP$146,65,FALSE)),"",HLOOKUP(F$211,'Rent Adjustments'!$G$8:$EP$146,65,FALSE))</f>
        <v>0</v>
      </c>
      <c r="G240" s="461">
        <f>IF(ISERROR(HLOOKUP(G$211,'Rent Adjustments'!$G$8:$EP$146,65,FALSE)),"",HLOOKUP(G$211,'Rent Adjustments'!$G$8:$EP$146,65,FALSE))</f>
        <v>0</v>
      </c>
      <c r="H240" s="461" t="str">
        <f>IF(ISERROR(HLOOKUP(H$211,'Rent Adjustments'!$G$8:$EP$146,65,FALSE)),"",HLOOKUP(H$211,'Rent Adjustments'!$G$8:$EP$146,65,FALSE))</f>
        <v/>
      </c>
      <c r="I240" s="461" t="str">
        <f>IF(ISERROR(HLOOKUP(I$211,'Rent Adjustments'!$G$8:$EP$146,65,FALSE)),"",HLOOKUP(I$211,'Rent Adjustments'!$G$8:$EP$146,65,FALSE))</f>
        <v/>
      </c>
      <c r="J240" s="6"/>
    </row>
    <row r="241" spans="2:10" x14ac:dyDescent="0.25">
      <c r="B241" s="4"/>
      <c r="C241" s="455" t="s">
        <v>797</v>
      </c>
      <c r="D241" s="388" t="str">
        <f>CONCATENATE(MIN(Rent_EffectiveAgeRange)," to ",MAX(Rent_EffectiveAgeRange)," years")</f>
        <v>10 to 10 years</v>
      </c>
      <c r="E241" s="461"/>
      <c r="F241" s="461"/>
      <c r="G241" s="461"/>
      <c r="H241" s="461"/>
      <c r="I241" s="461"/>
      <c r="J241" s="6"/>
    </row>
    <row r="242" spans="2:10" x14ac:dyDescent="0.25">
      <c r="B242" s="4"/>
      <c r="C242" s="455" t="s">
        <v>792</v>
      </c>
      <c r="D242" s="462" t="str">
        <f>LOWER(IF(ISERROR(HLOOKUP(D$211,'Rent Adjustments'!$G$8:$EP$146,73,FALSE)),"",HLOOKUP(D$211,'Rent Adjustments'!$G$8:$EP$146,73,FALSE)))</f>
        <v>average class c - concrete</v>
      </c>
      <c r="E242" s="462" t="str">
        <f>LOWER(IF(ISERROR(HLOOKUP(E$211,'Rent Adjustments'!$G$8:$EP$146,73,FALSE)),"",HLOOKUP(E$211,'Rent Adjustments'!$G$8:$EP$146,73,FALSE)))</f>
        <v xml:space="preserve">average class c </v>
      </c>
      <c r="F242" s="462" t="str">
        <f>LOWER(IF(ISERROR(HLOOKUP(F$211,'Rent Adjustments'!$G$8:$EP$146,73,FALSE)),"",HLOOKUP(F$211,'Rent Adjustments'!$G$8:$EP$146,73,FALSE)))</f>
        <v>good class c - concrete</v>
      </c>
      <c r="G242" s="462" t="str">
        <f>LOWER(IF(ISERROR(HLOOKUP(G$211,'Rent Adjustments'!$G$8:$EP$146,73,FALSE)),"",HLOOKUP(G$211,'Rent Adjustments'!$G$8:$EP$146,73,FALSE)))</f>
        <v xml:space="preserve">average class c </v>
      </c>
      <c r="H242" s="462" t="str">
        <f>LOWER(IF(ISERROR(HLOOKUP(H$211,'Rent Adjustments'!$G$8:$EP$146,73,FALSE)),"",HLOOKUP(H$211,'Rent Adjustments'!$G$8:$EP$146,73,FALSE)))</f>
        <v/>
      </c>
      <c r="I242" s="462" t="str">
        <f>LOWER(IF(ISERROR(HLOOKUP(I$211,'Rent Adjustments'!$G$8:$EP$146,73,FALSE)),"",HLOOKUP(I$211,'Rent Adjustments'!$G$8:$EP$146,73,FALSE)))</f>
        <v/>
      </c>
      <c r="J242" s="6"/>
    </row>
    <row r="243" spans="2:10" x14ac:dyDescent="0.25">
      <c r="B243" s="4"/>
      <c r="C243" s="455" t="s">
        <v>793</v>
      </c>
      <c r="D243" s="388" t="str">
        <f>CONCATENATE(MIN(Rent_ClearHeightRange_Narrative)," to ",MAX(Rent_ClearHeightRange_Narrative)," feet")</f>
        <v>0 to 0 feet</v>
      </c>
      <c r="E243" s="462"/>
      <c r="F243" s="462"/>
      <c r="G243" s="462"/>
      <c r="H243" s="462"/>
      <c r="I243" s="462"/>
      <c r="J243" s="6"/>
    </row>
    <row r="244" spans="2:10" x14ac:dyDescent="0.25">
      <c r="B244" s="4"/>
      <c r="C244" s="400" t="s">
        <v>693</v>
      </c>
      <c r="D244" s="398" t="str">
        <f>IF(Subject_ClearHeight&gt;24,"above average",IF(Subject_ClearHeight&lt;20,"below average","average"))</f>
        <v>below average</v>
      </c>
      <c r="E244" s="462"/>
      <c r="F244" s="462"/>
      <c r="G244" s="462"/>
      <c r="H244" s="462"/>
      <c r="I244" s="462"/>
      <c r="J244" s="6"/>
    </row>
    <row r="245" spans="2:10" x14ac:dyDescent="0.25">
      <c r="B245" s="4"/>
      <c r="C245" s="455" t="s">
        <v>796</v>
      </c>
      <c r="D245" s="462" t="str">
        <f>CONCATENATE(TEXT(MIN(Rent_PercentOfficeFinishRange_Narrative),"0.0%")," to ",TEXT(MAX(Rent_PercentOfficeFinishRange_Narrative),"0.0%"))</f>
        <v>0.0% to 0.0%</v>
      </c>
      <c r="E245" s="462"/>
      <c r="F245" s="462"/>
      <c r="G245" s="462"/>
      <c r="H245" s="462"/>
      <c r="I245" s="462"/>
      <c r="J245" s="6"/>
    </row>
    <row r="246" spans="2:10" x14ac:dyDescent="0.25">
      <c r="B246" s="4"/>
      <c r="C246" s="455" t="s">
        <v>785</v>
      </c>
      <c r="D246" s="463" t="str">
        <f>IF(Income_RentAdjType="Qualitative","qualitative","quantitative")</f>
        <v>quantitative</v>
      </c>
      <c r="E246" s="462"/>
      <c r="F246" s="462"/>
      <c r="G246" s="462"/>
      <c r="H246" s="462"/>
      <c r="I246" s="462"/>
      <c r="J246" s="6"/>
    </row>
    <row r="247" spans="2:10" x14ac:dyDescent="0.25">
      <c r="B247" s="4"/>
      <c r="C247" s="387" t="s">
        <v>650</v>
      </c>
      <c r="D247" s="388">
        <f>MIN(Rent_TenantSizeRange_Narrative)</f>
        <v>1900</v>
      </c>
      <c r="E247" s="389"/>
      <c r="F247" s="389"/>
      <c r="G247" s="389"/>
      <c r="H247" s="389"/>
      <c r="I247" s="389"/>
      <c r="J247" s="6"/>
    </row>
    <row r="248" spans="2:10" x14ac:dyDescent="0.25">
      <c r="B248" s="4"/>
      <c r="C248" s="387" t="s">
        <v>651</v>
      </c>
      <c r="D248" s="388">
        <f>MAX(Rent_TenantSizeRange_Narrative)</f>
        <v>5632</v>
      </c>
      <c r="E248" s="389"/>
      <c r="F248" s="389"/>
      <c r="G248" s="389"/>
      <c r="H248" s="389"/>
      <c r="I248" s="389"/>
      <c r="J248" s="6"/>
    </row>
    <row r="249" spans="2:10" x14ac:dyDescent="0.25">
      <c r="B249" s="4"/>
      <c r="C249" s="387" t="s">
        <v>652</v>
      </c>
      <c r="D249" s="390">
        <f>MIN(Rent_TenantSizeRange)</f>
        <v>0</v>
      </c>
      <c r="E249" s="389"/>
      <c r="F249" s="389"/>
      <c r="G249" s="389"/>
      <c r="H249" s="389"/>
      <c r="I249" s="389"/>
      <c r="J249" s="6"/>
    </row>
    <row r="250" spans="2:10" x14ac:dyDescent="0.25">
      <c r="B250" s="4"/>
      <c r="C250" s="387" t="s">
        <v>653</v>
      </c>
      <c r="D250" s="390">
        <f>MAX(Rent_TenantSizeRange)</f>
        <v>0</v>
      </c>
      <c r="E250" s="389"/>
      <c r="F250" s="389"/>
      <c r="G250" s="389"/>
      <c r="H250" s="389"/>
      <c r="I250" s="389"/>
      <c r="J250" s="6"/>
    </row>
    <row r="251" spans="2:10" x14ac:dyDescent="0.25">
      <c r="B251" s="4"/>
      <c r="C251" s="361" t="s">
        <v>592</v>
      </c>
      <c r="D251" s="364" t="str">
        <f>CONCATENATE(TEXT(dpIncome_RentComp_UnAdjustMin,"$0.00")," to ",TEXT(dpIncome_RentComp_UnAdjustMax,"$0.00"))</f>
        <v>$10.00 to $12.75</v>
      </c>
      <c r="E251" s="359"/>
      <c r="F251" s="359"/>
      <c r="G251" s="359"/>
      <c r="H251" s="359"/>
      <c r="I251" s="359"/>
      <c r="J251" s="6"/>
    </row>
    <row r="252" spans="2:10" x14ac:dyDescent="0.25">
      <c r="B252" s="4"/>
      <c r="C252" s="361" t="s">
        <v>593</v>
      </c>
      <c r="D252" s="364" t="str">
        <f>CONCATENATE(TEXT(dpIncome_RentComp_AdjustMin,"$0.00")," to ",TEXT(dpIncome_RentComp_AdjustMax,"$0.00"))</f>
        <v>$14.89 to $16.86</v>
      </c>
      <c r="E252" s="359"/>
      <c r="F252" s="359"/>
      <c r="G252" s="359"/>
      <c r="H252" s="359"/>
      <c r="I252" s="359"/>
      <c r="J252" s="6"/>
    </row>
    <row r="253" spans="2:10" x14ac:dyDescent="0.25">
      <c r="B253" s="4"/>
      <c r="C253" s="361" t="s">
        <v>594</v>
      </c>
      <c r="D253" s="364" t="e">
        <f ca="1">IF(ABS(dpIncome_ContractRent_Average-dpIncome_MarketRent_LeasedAvg)&lt;dpIncome_ContractRent_Average*0.04,"near",IF(dpIncome_ContractRent_Average-dpIncome_MarketRent_LeasedAvg&gt;0,CONCATENATE(TEXT((dpIncome_ContractRent_Average-dpIncome_MarketRent_LeasedAvg)/dpIncome_MarketRent_Average,"0.0%")," above"),CONCATENATE(TEXT(ABS((dpIncome_ContractRent_Average-dpIncome_MarketRent_LeasedAvg)/dpIncome_MarketRent_LeasedAvg),"0.0%")," below")))</f>
        <v>#N/A</v>
      </c>
      <c r="E253" s="359"/>
      <c r="F253" s="359"/>
      <c r="G253" s="359"/>
      <c r="H253" s="359"/>
      <c r="I253" s="359"/>
      <c r="J253" s="6"/>
    </row>
    <row r="254" spans="2:10" x14ac:dyDescent="0.25">
      <c r="B254" s="4"/>
      <c r="C254" s="361" t="s">
        <v>597</v>
      </c>
      <c r="D254" s="375">
        <f>MIN(Income_RentCompOccRange)</f>
        <v>0.88</v>
      </c>
      <c r="E254" s="375">
        <f>1-dpIncome_RentOccMax</f>
        <v>0</v>
      </c>
      <c r="F254" s="359"/>
      <c r="G254" s="359"/>
      <c r="H254" s="359"/>
      <c r="I254" s="359"/>
      <c r="J254" s="6"/>
    </row>
    <row r="255" spans="2:10" x14ac:dyDescent="0.25">
      <c r="B255" s="4"/>
      <c r="C255" s="361" t="s">
        <v>598</v>
      </c>
      <c r="D255" s="375">
        <f>MAX(Income_RentCompOccRange)</f>
        <v>1</v>
      </c>
      <c r="E255" s="375">
        <f>1-dpIncome_RentOccMin</f>
        <v>0.12</v>
      </c>
      <c r="F255" s="359"/>
      <c r="G255" s="359"/>
      <c r="H255" s="359"/>
      <c r="I255" s="359"/>
      <c r="J255" s="6"/>
    </row>
    <row r="256" spans="2:10" x14ac:dyDescent="0.25">
      <c r="B256" s="4"/>
      <c r="C256" s="361" t="s">
        <v>599</v>
      </c>
      <c r="D256" s="375">
        <f>AVERAGE(Income_RentCompOccRange)</f>
        <v>0.94</v>
      </c>
      <c r="E256" s="375">
        <f>1-dpIncome_RentOccMean</f>
        <v>6.0000000000000053E-2</v>
      </c>
      <c r="F256" s="359"/>
      <c r="G256" s="359"/>
      <c r="H256" s="359"/>
      <c r="I256" s="359"/>
      <c r="J256" s="6"/>
    </row>
    <row r="257" spans="2:10" x14ac:dyDescent="0.25">
      <c r="B257" s="4"/>
      <c r="C257" s="455" t="s">
        <v>798</v>
      </c>
      <c r="D257" s="465" t="str">
        <f>IF(Subject_Tenancy="Single-Tenant","a single tenant with a contract","multiple tenants with an average contract")</f>
        <v>multiple tenants with an average contract</v>
      </c>
      <c r="E257" s="456"/>
      <c r="F257" s="456"/>
      <c r="G257" s="456"/>
      <c r="H257" s="456"/>
      <c r="I257" s="456"/>
      <c r="J257" s="6"/>
    </row>
    <row r="258" spans="2:10" x14ac:dyDescent="0.25">
      <c r="B258" s="4"/>
      <c r="C258" s="455" t="s">
        <v>799</v>
      </c>
      <c r="D258" s="465" t="str">
        <f ca="1">IF(SUM(Income_MarketRentCatCount)&gt;1,"estimated average","estimated")</f>
        <v>estimated</v>
      </c>
      <c r="E258" s="456"/>
      <c r="F258" s="456"/>
      <c r="G258" s="456"/>
      <c r="H258" s="456"/>
      <c r="I258" s="456"/>
      <c r="J258" s="6"/>
    </row>
    <row r="259" spans="2:10" x14ac:dyDescent="0.25">
      <c r="B259" s="4"/>
      <c r="C259" s="361" t="s">
        <v>800</v>
      </c>
      <c r="D259" s="462" t="str">
        <f ca="1">IF(dpIncome_TenantCount&gt;1,"leases consist","lease consists")</f>
        <v>leases consist</v>
      </c>
      <c r="E259" s="456"/>
      <c r="F259" s="456"/>
      <c r="G259" s="456"/>
      <c r="H259" s="456"/>
      <c r="I259" s="456"/>
      <c r="J259" s="6"/>
    </row>
    <row r="260" spans="2:10" x14ac:dyDescent="0.25">
      <c r="B260" s="4"/>
      <c r="C260" s="455" t="s">
        <v>291</v>
      </c>
      <c r="D260" s="539">
        <f ca="1">IF(Income_TechniqueUsed="Direct Capitalization",Income_DirectCap_ReimbRevenue,TEXT(VLOOKUP("  Total Expense Recoveries",'DCF 1'!$E$10:$R$106,2,FALSE),"$0,000"))</f>
        <v>114002</v>
      </c>
      <c r="E260" s="456"/>
      <c r="F260" s="456"/>
      <c r="G260" s="456"/>
      <c r="H260" s="456"/>
      <c r="I260" s="456"/>
      <c r="J260" s="6"/>
    </row>
    <row r="261" spans="2:10" x14ac:dyDescent="0.25">
      <c r="B261" s="4"/>
      <c r="C261" s="387" t="s">
        <v>659</v>
      </c>
      <c r="D261" s="377" t="str">
        <f>IF(dpIncome_Inc_PercentRent_Narrative&lt;MIN(Income_IncCat_2_DataRange)*$D$281,"low end",IF(dpIncome_Inc_PercentRent_Narrative&gt;MAX(Income_IncCat_2_DataRange)*$D$282,"upper end","middle"))</f>
        <v>middle</v>
      </c>
      <c r="E261" s="389"/>
      <c r="F261" s="389"/>
      <c r="G261" s="389"/>
      <c r="H261" s="389"/>
      <c r="I261" s="389"/>
      <c r="J261" s="6"/>
    </row>
    <row r="262" spans="2:10" x14ac:dyDescent="0.25">
      <c r="B262" s="4"/>
      <c r="C262" s="387" t="s">
        <v>660</v>
      </c>
      <c r="D262" s="367">
        <f>IF(Income_PercentageRent_Number=1,dpIncome_Inc_PercentRent_Stabilized,dpIncome_Inc_PercentRent_Year1)</f>
        <v>0</v>
      </c>
      <c r="E262" s="389"/>
      <c r="F262" s="389"/>
      <c r="G262" s="389"/>
      <c r="H262" s="389"/>
      <c r="I262" s="389"/>
      <c r="J262" s="6"/>
    </row>
    <row r="263" spans="2:10" x14ac:dyDescent="0.25">
      <c r="B263" s="4"/>
      <c r="C263" s="387" t="s">
        <v>656</v>
      </c>
      <c r="D263" s="377" t="str">
        <f>IF(dpIncome_Inc_ParkingRent_Narrative&lt;MIN(Income_IncCat_3_DataRange)*$D$281,"low end",IF(dpIncome_Inc_ParkingRent_Narrative&gt;MAX(Income_IncCat_3_DataRange)*$D$282,"upper end","middle"))</f>
        <v>middle</v>
      </c>
      <c r="E263" s="389"/>
      <c r="F263" s="389"/>
      <c r="G263" s="389"/>
      <c r="H263" s="389"/>
      <c r="I263" s="389"/>
      <c r="J263" s="6"/>
    </row>
    <row r="264" spans="2:10" x14ac:dyDescent="0.25">
      <c r="B264" s="4"/>
      <c r="C264" s="387" t="s">
        <v>661</v>
      </c>
      <c r="D264" s="367">
        <f>IF(Income_ParkingIncome_Number=1,dpIncome_Inc_ParkingInc_Stabilized,dpIncome_Inc_ParkingInc_Year1)</f>
        <v>0</v>
      </c>
      <c r="E264" s="389"/>
      <c r="F264" s="389"/>
      <c r="G264" s="389"/>
      <c r="H264" s="389"/>
      <c r="I264" s="389"/>
      <c r="J264" s="6"/>
    </row>
    <row r="265" spans="2:10" x14ac:dyDescent="0.25">
      <c r="B265" s="4"/>
      <c r="C265" s="387" t="s">
        <v>657</v>
      </c>
      <c r="D265" s="377" t="str">
        <f>IF(dpIncome_Inc_UserDef_Narrative&lt;MIN(Income_IncCat_5_DataRange)*$D$281,"low end",IF(dpIncome_Inc_UserDef_Narrative&gt;MAX(Income_IncCat_5_DataRange)*$D$282,"upper end","middle"))</f>
        <v>middle</v>
      </c>
      <c r="E265" s="389"/>
      <c r="F265" s="389"/>
      <c r="G265" s="389"/>
      <c r="H265" s="389"/>
      <c r="I265" s="389"/>
      <c r="J265" s="6"/>
    </row>
    <row r="266" spans="2:10" x14ac:dyDescent="0.25">
      <c r="B266" s="4"/>
      <c r="C266" s="387" t="s">
        <v>662</v>
      </c>
      <c r="D266" s="367">
        <f>IF(Income_UserDefinedIncome_Number=1,dpIncome_Inc_UserDefInc_Stabilized,dpIncome_Inc_UserDefInc_Year1)</f>
        <v>0</v>
      </c>
      <c r="E266" s="389"/>
      <c r="F266" s="389"/>
      <c r="G266" s="389"/>
      <c r="H266" s="389"/>
      <c r="I266" s="389"/>
      <c r="J266" s="6"/>
    </row>
    <row r="267" spans="2:10" x14ac:dyDescent="0.25">
      <c r="B267" s="4"/>
      <c r="C267" s="387" t="s">
        <v>658</v>
      </c>
      <c r="D267" s="377" t="str">
        <f>IF(dpIncome_Inc_OtherInc_Narrative&lt;MIN(Income_IncCat_6_DataRange)*$D$281,"low end",IF(dpIncome_Inc_OtherInc_Narrative&gt;MAX(Income_IncCat_6_DataRange)*$D$282,"upper end","middle"))</f>
        <v>middle</v>
      </c>
      <c r="E267" s="389"/>
      <c r="F267" s="389"/>
      <c r="G267" s="389"/>
      <c r="H267" s="389"/>
      <c r="I267" s="389"/>
      <c r="J267" s="6"/>
    </row>
    <row r="268" spans="2:10" x14ac:dyDescent="0.25">
      <c r="B268" s="4"/>
      <c r="C268" s="387" t="s">
        <v>663</v>
      </c>
      <c r="D268" s="367">
        <f>IF(Income_OtherIncome_Number=1,dpIncome_Inc_OtherIncome_Stabilized,dpIncome_Inc_OtherIncome_Year1)</f>
        <v>0</v>
      </c>
      <c r="E268" s="389"/>
      <c r="F268" s="389"/>
      <c r="G268" s="389"/>
      <c r="H268" s="389"/>
      <c r="I268" s="389"/>
      <c r="J268" s="6"/>
    </row>
    <row r="269" spans="2:10" x14ac:dyDescent="0.25">
      <c r="B269" s="4"/>
      <c r="C269" s="541" t="s">
        <v>962</v>
      </c>
      <c r="D269" s="696">
        <f>dpIncome_StabilizedVacancy+dpIncome_CollectionLoss</f>
        <v>0.03</v>
      </c>
      <c r="E269" s="542"/>
      <c r="F269" s="542"/>
      <c r="G269" s="542"/>
      <c r="H269" s="542"/>
      <c r="I269" s="542"/>
      <c r="J269" s="6"/>
    </row>
    <row r="270" spans="2:10" x14ac:dyDescent="0.25">
      <c r="B270" s="4"/>
      <c r="C270" s="1998" t="s">
        <v>329</v>
      </c>
      <c r="D270" s="539">
        <f ca="1">IF(Income_TechniqueUsed="Direct Capitalization",dpIncome_DirectCap_EGI,TEXT(VLOOKUP("Effective Gross Revenue",'DCF 1'!$E$10:$R$106,2,FALSE),"$0,000"))</f>
        <v>353968</v>
      </c>
      <c r="E270" s="456"/>
      <c r="F270" s="456"/>
      <c r="G270" s="456"/>
      <c r="H270" s="456"/>
      <c r="I270" s="456"/>
      <c r="J270" s="6"/>
    </row>
    <row r="271" spans="2:10" x14ac:dyDescent="0.25">
      <c r="B271" s="4"/>
      <c r="C271" s="2974"/>
      <c r="D271" s="2975"/>
      <c r="E271" s="2970"/>
      <c r="F271" s="2970"/>
      <c r="G271" s="2970"/>
      <c r="H271" s="2970"/>
      <c r="I271" s="2970"/>
      <c r="J271" s="6"/>
    </row>
    <row r="272" spans="2:10" x14ac:dyDescent="0.25">
      <c r="B272" s="4"/>
      <c r="C272" s="365" t="s">
        <v>446</v>
      </c>
      <c r="D272" s="364"/>
      <c r="E272" s="359"/>
      <c r="F272" s="359"/>
      <c r="G272" s="359"/>
      <c r="H272" s="359"/>
      <c r="I272" s="359"/>
      <c r="J272" s="6"/>
    </row>
    <row r="273" spans="2:10" x14ac:dyDescent="0.25">
      <c r="B273" s="4"/>
      <c r="C273" s="455" t="s">
        <v>804</v>
      </c>
      <c r="D273" s="465" t="str">
        <f>IF(dpIncome_MarketRent_LeaseStructure="Base Year","reimbursable above base-year levels.","reimbursable.")</f>
        <v>reimbursable.</v>
      </c>
      <c r="E273" s="456"/>
      <c r="F273" s="456"/>
      <c r="G273" s="456"/>
      <c r="H273" s="456"/>
      <c r="I273" s="456"/>
      <c r="J273" s="6"/>
    </row>
    <row r="274" spans="2:10" x14ac:dyDescent="0.25">
      <c r="B274" s="4"/>
      <c r="C274" s="455" t="s">
        <v>805</v>
      </c>
      <c r="D274" s="465" t="str">
        <f>IF(dpIncome_MarketRent_LeaseStructure="Base Year","Reimbursable Expenses (Above Base Year)","Reimbursable Expenses")</f>
        <v>Reimbursable Expenses</v>
      </c>
      <c r="E274" s="456"/>
      <c r="F274" s="456"/>
      <c r="G274" s="456"/>
      <c r="H274" s="456"/>
      <c r="I274" s="456"/>
      <c r="J274" s="6"/>
    </row>
    <row r="275" spans="2:10" x14ac:dyDescent="0.25">
      <c r="B275" s="4"/>
      <c r="C275" s="361" t="s">
        <v>421</v>
      </c>
      <c r="D275" s="376" t="str">
        <f>CONCATENATE('Expense Estimates'!P321,'Expense Estimates'!P322,'Expense Estimates'!P323,'Expense Estimates'!P324,'Expense Estimates'!P325,'Expense Estimates'!P326,'Expense Estimates'!P327,'Expense Estimates'!P328,'Expense Estimates'!P329,'Expense Estimates'!P330,'Expense Estimates'!P331,'Expense Estimates'!P332,'Expense Estimates'!P333,'Expense Estimates'!P334,'Expense Estimates'!P335,'Expense Estimates'!P336)</f>
        <v>real estate taxes, property insurance, management fees and repairs &amp; maintenance</v>
      </c>
      <c r="E275" s="359"/>
      <c r="F275" s="359"/>
      <c r="G275" s="359"/>
      <c r="H275" s="359"/>
      <c r="I275" s="359"/>
      <c r="J275" s="6"/>
    </row>
    <row r="276" spans="2:10" x14ac:dyDescent="0.25">
      <c r="B276" s="4"/>
      <c r="C276" s="361" t="s">
        <v>600</v>
      </c>
      <c r="D276" s="364" t="str">
        <f>IF(Income_TechniqueUsed="Direct Capitalization","stabilized","year 1")</f>
        <v>stabilized</v>
      </c>
      <c r="E276" s="359"/>
      <c r="F276" s="359"/>
      <c r="G276" s="359"/>
      <c r="H276" s="359"/>
      <c r="I276" s="359"/>
      <c r="J276" s="6"/>
    </row>
    <row r="277" spans="2:10" x14ac:dyDescent="0.25">
      <c r="B277" s="4"/>
      <c r="C277" s="361" t="s">
        <v>601</v>
      </c>
      <c r="D277" s="377">
        <f ca="1">IF(Income_TechniqueUsed="Direct Capitalization",Income_DirectCap_Total_OpEx,TEXT(VLOOKUP("Total Operating Expenses",'DCF 1'!E7:S108,2,FALSE),"$0,000"))</f>
        <v>218606</v>
      </c>
      <c r="E277" s="359"/>
      <c r="F277" s="359"/>
      <c r="G277" s="359"/>
      <c r="H277" s="359"/>
      <c r="I277" s="359"/>
      <c r="J277" s="6"/>
    </row>
    <row r="278" spans="2:10" x14ac:dyDescent="0.25">
      <c r="B278" s="4"/>
      <c r="C278" s="361" t="s">
        <v>602</v>
      </c>
      <c r="D278" s="377">
        <f ca="1">IF(Income_TechniqueUsed="Direct Capitalization",Income_DirectCap_ReimbRevenue,TEXT(VLOOKUP("  Total Expense Recoveries",'DCF 1'!$E$10:$R$106,2,FALSE),"$0,000"))</f>
        <v>114002</v>
      </c>
      <c r="E278" s="359"/>
      <c r="F278" s="359"/>
      <c r="G278" s="359"/>
      <c r="H278" s="359"/>
      <c r="I278" s="359"/>
      <c r="J278" s="6"/>
    </row>
    <row r="279" spans="2:10" x14ac:dyDescent="0.25">
      <c r="B279" s="4"/>
      <c r="C279" s="361" t="s">
        <v>18199</v>
      </c>
      <c r="D279" s="378" t="str">
        <f>IF(Income_TechniqueUsed="Direct Capitalization","."," in year 1 of the discounted cash flow.")</f>
        <v>.</v>
      </c>
      <c r="E279" s="359"/>
      <c r="F279" s="359"/>
      <c r="G279" s="359"/>
      <c r="H279" s="359"/>
      <c r="I279" s="359"/>
      <c r="J279" s="6"/>
    </row>
    <row r="280" spans="2:10" x14ac:dyDescent="0.25">
      <c r="B280" s="4"/>
      <c r="C280" s="361" t="s">
        <v>605</v>
      </c>
      <c r="D280" s="378" t="str">
        <f>IF('Expense Comps'!E6="","subject historical expense",IF('Income Expense History'!E6="","expense comparable","expense comparable and subject historical expense"))</f>
        <v>subject historical expense</v>
      </c>
      <c r="E280" s="359"/>
      <c r="F280" s="359"/>
      <c r="G280" s="359"/>
      <c r="H280" s="359"/>
      <c r="I280" s="359"/>
      <c r="J280" s="6"/>
    </row>
    <row r="281" spans="2:10" x14ac:dyDescent="0.25">
      <c r="B281" s="4"/>
      <c r="C281" s="361" t="s">
        <v>624</v>
      </c>
      <c r="D281" s="375">
        <v>1.2</v>
      </c>
      <c r="E281" s="359"/>
      <c r="F281" s="359"/>
      <c r="G281" s="359"/>
      <c r="H281" s="359"/>
      <c r="I281" s="359"/>
      <c r="J281" s="6"/>
    </row>
    <row r="282" spans="2:10" x14ac:dyDescent="0.25">
      <c r="B282" s="4"/>
      <c r="C282" s="361" t="s">
        <v>625</v>
      </c>
      <c r="D282" s="375">
        <v>0.8</v>
      </c>
      <c r="E282" s="359"/>
      <c r="F282" s="359"/>
      <c r="G282" s="359"/>
      <c r="H282" s="359"/>
      <c r="I282" s="359"/>
      <c r="J282" s="6"/>
    </row>
    <row r="283" spans="2:10" x14ac:dyDescent="0.25">
      <c r="B283" s="210"/>
      <c r="C283" s="361" t="s">
        <v>604</v>
      </c>
      <c r="D283" s="377" t="str">
        <f>IF(dpIncome_Expense_RETax_Narrative&lt;MIN(Income_ExpenseCat_1_DataRange)*$D$281,"low end",IF(dpIncome_Expense_RETax_Narrative&gt;MAX(Income_ExpenseCat_1_DataRange)*$D$282,"upper end","middle"))</f>
        <v>upper end</v>
      </c>
      <c r="E283" s="364">
        <v>1</v>
      </c>
      <c r="F283" s="359"/>
      <c r="G283" s="359"/>
      <c r="H283" s="359"/>
      <c r="I283" s="359"/>
      <c r="J283" s="6"/>
    </row>
    <row r="284" spans="2:10" x14ac:dyDescent="0.25">
      <c r="B284" s="4"/>
      <c r="C284" s="361" t="s">
        <v>603</v>
      </c>
      <c r="D284" s="367">
        <f>IF(Expense_RealEstateTax_Number=1,dpIncome_Expense_RETax_Stabilized,dpIncome_Expense_RETax_Year1)</f>
        <v>5.5</v>
      </c>
      <c r="E284" s="364">
        <f>E283</f>
        <v>1</v>
      </c>
      <c r="F284" s="359"/>
      <c r="G284" s="359"/>
      <c r="H284" s="359"/>
      <c r="I284" s="359"/>
      <c r="J284" s="6"/>
    </row>
    <row r="285" spans="2:10" x14ac:dyDescent="0.25">
      <c r="B285" s="210"/>
      <c r="C285" s="361" t="s">
        <v>606</v>
      </c>
      <c r="D285" s="377" t="str">
        <f>IF(dpIncome_Expense_OtherTax_Narrative&lt;MIN(Income_ExpenseCat_2_DataRange)*$D$281,"low end",IF(dpIncome_Expense_OtherTax_Narrative&gt;MAX(Income_ExpenseCat_2_DataRange)*$D$282,"upper end","middle"))</f>
        <v>middle</v>
      </c>
      <c r="E285" s="364">
        <v>2</v>
      </c>
      <c r="F285" s="359"/>
      <c r="G285" s="359"/>
      <c r="H285" s="359"/>
      <c r="I285" s="359"/>
      <c r="J285" s="6"/>
    </row>
    <row r="286" spans="2:10" x14ac:dyDescent="0.25">
      <c r="B286" s="4"/>
      <c r="C286" s="361" t="s">
        <v>607</v>
      </c>
      <c r="D286" s="367">
        <f>IF(Expense_OtherTaxes_Number=1,dpIncome_Expense_OtherTaxes_Stabilized,dpIncome_Expense_OtherTaxes_Year1)</f>
        <v>0</v>
      </c>
      <c r="E286" s="364">
        <f>E285</f>
        <v>2</v>
      </c>
      <c r="F286" s="359"/>
      <c r="G286" s="359"/>
      <c r="H286" s="359"/>
      <c r="I286" s="359"/>
      <c r="J286" s="6"/>
    </row>
    <row r="287" spans="2:10" x14ac:dyDescent="0.25">
      <c r="B287" s="210"/>
      <c r="C287" s="361" t="s">
        <v>608</v>
      </c>
      <c r="D287" s="377" t="str">
        <f>IF(dpIncome_Expense_Insurance_Narrative&lt;MIN(Income_ExpenseCat_3_DataRange)*$D$281,"low end",IF(dpIncome_Expense_Insurance_Narrative&gt;MAX(Income_ExpenseCat_3_DataRange)*$D$282,"upper end","middle"))</f>
        <v>upper end</v>
      </c>
      <c r="E287" s="364">
        <v>3</v>
      </c>
      <c r="F287" s="359"/>
      <c r="G287" s="359"/>
      <c r="H287" s="359"/>
      <c r="I287" s="359"/>
      <c r="J287" s="6"/>
    </row>
    <row r="288" spans="2:10" x14ac:dyDescent="0.25">
      <c r="B288" s="4"/>
      <c r="C288" s="361" t="s">
        <v>609</v>
      </c>
      <c r="D288" s="367">
        <f>IF(Expense_Insurance_Number=1,dpIncome_Expense_Insurance_Stabilized,dpIncome_Expense_Insurance_Year1)</f>
        <v>0.5</v>
      </c>
      <c r="E288" s="364">
        <f>E287</f>
        <v>3</v>
      </c>
      <c r="F288" s="359"/>
      <c r="G288" s="359"/>
      <c r="H288" s="359"/>
      <c r="I288" s="359"/>
      <c r="J288" s="6"/>
    </row>
    <row r="289" spans="2:10" x14ac:dyDescent="0.25">
      <c r="B289" s="210"/>
      <c r="C289" s="361" t="s">
        <v>612</v>
      </c>
      <c r="D289" s="377" t="str">
        <f>IF(dpIncome_Expense_MgmtFees_Narrative&lt;MIN(Income_ExpenseCat_4_DataRange)*$D$281,"low end",IF(dpIncome_Expense_MgmtFees_Narrative&gt;MAX(Income_ExpenseCat_4_DataRange)*$D$282,"upper end","middle"))</f>
        <v>upper end</v>
      </c>
      <c r="E289" s="364">
        <v>4</v>
      </c>
      <c r="F289" s="359"/>
      <c r="G289" s="359"/>
      <c r="H289" s="359"/>
      <c r="I289" s="359"/>
      <c r="J289" s="6"/>
    </row>
    <row r="290" spans="2:10" x14ac:dyDescent="0.25">
      <c r="B290" s="4"/>
      <c r="C290" s="361" t="s">
        <v>613</v>
      </c>
      <c r="D290" s="367">
        <f>IF(Expense_MgmtFees_Number=1,dpIncome_Expense_MgmtFees_Stabilized,dpIncome_Expense_MgmtFees_Year1)</f>
        <v>0.03</v>
      </c>
      <c r="E290" s="364">
        <f>E289</f>
        <v>4</v>
      </c>
      <c r="F290" s="359"/>
      <c r="G290" s="359"/>
      <c r="H290" s="359"/>
      <c r="I290" s="359"/>
      <c r="J290" s="6"/>
    </row>
    <row r="291" spans="2:10" x14ac:dyDescent="0.25">
      <c r="B291" s="210"/>
      <c r="C291" s="361" t="s">
        <v>610</v>
      </c>
      <c r="D291" s="377" t="str">
        <f>IF(dpIncome_Expense_Admin_Narrative&lt;MIN(Income_ExpenseCat_5_DataRange)*$D$281,"low end",IF(dpIncome_Expense_Admin_Narrative&gt;MAX(Income_ExpenseCat_5_DataRange)*$D$282,"upper end","middle"))</f>
        <v>middle</v>
      </c>
      <c r="E291" s="364">
        <v>5</v>
      </c>
      <c r="F291" s="359"/>
      <c r="G291" s="359"/>
      <c r="H291" s="359"/>
      <c r="I291" s="359"/>
      <c r="J291" s="6"/>
    </row>
    <row r="292" spans="2:10" x14ac:dyDescent="0.25">
      <c r="B292" s="4"/>
      <c r="C292" s="361" t="s">
        <v>611</v>
      </c>
      <c r="D292" s="367">
        <f>IF(Expense_Administrative_Number=1,dpIncome_Expense_Admin_Stabilized,dpIncome_Expense_Admin_Year1)</f>
        <v>0</v>
      </c>
      <c r="E292" s="364">
        <f>E291</f>
        <v>5</v>
      </c>
      <c r="F292" s="359"/>
      <c r="G292" s="359"/>
      <c r="H292" s="359"/>
      <c r="I292" s="359"/>
      <c r="J292" s="6"/>
    </row>
    <row r="293" spans="2:10" x14ac:dyDescent="0.25">
      <c r="B293" s="210"/>
      <c r="C293" s="361" t="s">
        <v>614</v>
      </c>
      <c r="D293" s="377" t="str">
        <f>IF(dpIncome_Expense_Utilities_Narrative&lt;MIN(Income_ExpenseCat_6_DataRange)*$D$281,"low end",IF(dpIncome_Expense_Utilities_Narrative&gt;MAX(Income_ExpenseCat_6_DataRange)*$D$282,"upper end","middle"))</f>
        <v>middle</v>
      </c>
      <c r="E293" s="364">
        <v>6</v>
      </c>
      <c r="F293" s="359"/>
      <c r="G293" s="359"/>
      <c r="H293" s="359"/>
      <c r="I293" s="359"/>
      <c r="J293" s="6"/>
    </row>
    <row r="294" spans="2:10" x14ac:dyDescent="0.25">
      <c r="B294" s="4"/>
      <c r="C294" s="361" t="s">
        <v>615</v>
      </c>
      <c r="D294" s="367">
        <f>IF(Expense_Utilities_Number=1,dpIncome_Expense_Utilities_Stabilized,dpIncome_Expense_Utilities_Year1)</f>
        <v>0</v>
      </c>
      <c r="E294" s="364">
        <f>E293</f>
        <v>6</v>
      </c>
      <c r="F294" s="359"/>
      <c r="G294" s="359"/>
      <c r="H294" s="359"/>
      <c r="I294" s="359"/>
      <c r="J294" s="6"/>
    </row>
    <row r="295" spans="2:10" x14ac:dyDescent="0.25">
      <c r="B295" s="210"/>
      <c r="C295" s="361" t="s">
        <v>616</v>
      </c>
      <c r="D295" s="377" t="str">
        <f>IF(dpIncome_Expense_RM_Narrative&lt;MIN(Income_ExpenseCat_7_DataRange)*$D$281,"low end",IF(dpIncome_Expense_RM_Narrative&gt;MAX(Income_ExpenseCat_6_DataRange)*$D$282,"upper end","middle"))</f>
        <v>upper end</v>
      </c>
      <c r="E295" s="364">
        <v>7</v>
      </c>
      <c r="F295" s="359"/>
      <c r="G295" s="359"/>
      <c r="H295" s="359"/>
      <c r="I295" s="359"/>
      <c r="J295" s="6"/>
    </row>
    <row r="296" spans="2:10" x14ac:dyDescent="0.25">
      <c r="B296" s="4"/>
      <c r="C296" s="361" t="s">
        <v>617</v>
      </c>
      <c r="D296" s="367">
        <f>IF(Expense_RepairsMaintenance_Number=1,dpIncome_Expense_RM_Stabilized,dpIncome_Expense_RM_Year1)</f>
        <v>1</v>
      </c>
      <c r="E296" s="364">
        <f>E295</f>
        <v>7</v>
      </c>
      <c r="F296" s="359"/>
      <c r="G296" s="359"/>
      <c r="H296" s="359"/>
      <c r="I296" s="359"/>
      <c r="J296" s="6"/>
    </row>
    <row r="297" spans="2:10" x14ac:dyDescent="0.25">
      <c r="B297" s="210"/>
      <c r="C297" s="361" t="s">
        <v>618</v>
      </c>
      <c r="D297" s="377" t="str">
        <f>IF(dpIncome_Expense_CAM_Narrative&lt;MIN(Income_ExpenseCat_8_DataRange)*$D$281,"low end",IF(dpIncome_Expense_CAM_Narrative&gt;MAX(Income_ExpenseCat_8_DataRange)*$D$282,"upper end","middle"))</f>
        <v>middle</v>
      </c>
      <c r="E297" s="364">
        <v>8</v>
      </c>
      <c r="F297" s="359"/>
      <c r="G297" s="359"/>
      <c r="H297" s="359"/>
      <c r="I297" s="359"/>
      <c r="J297" s="6"/>
    </row>
    <row r="298" spans="2:10" x14ac:dyDescent="0.25">
      <c r="B298" s="4"/>
      <c r="C298" s="361" t="s">
        <v>619</v>
      </c>
      <c r="D298" s="367">
        <f>IF(Expense_CAM_Number=1,dpIncome_Expense_CAM_Stabilized,dpIncome_Expense_CAM_Year1)</f>
        <v>0</v>
      </c>
      <c r="E298" s="364">
        <f>E297</f>
        <v>8</v>
      </c>
      <c r="F298" s="359"/>
      <c r="G298" s="359"/>
      <c r="H298" s="359"/>
      <c r="I298" s="359"/>
      <c r="J298" s="6"/>
    </row>
    <row r="299" spans="2:10" x14ac:dyDescent="0.25">
      <c r="B299" s="210"/>
      <c r="C299" s="361" t="s">
        <v>620</v>
      </c>
      <c r="D299" s="377" t="str">
        <f>IF(dpIncome_Expense_CJ_Narrative&lt;MIN(Income_ExpenseCat_9_DataRange)*$D$281,"low end",IF(dpIncome_Expense_CJ_Narrative&gt;MAX(Income_ExpenseCat_9_DataRange)*$D$282,"upper end","middle"))</f>
        <v>middle</v>
      </c>
      <c r="E299" s="364">
        <v>9</v>
      </c>
      <c r="F299" s="359"/>
      <c r="G299" s="359"/>
      <c r="H299" s="359"/>
      <c r="I299" s="359"/>
      <c r="J299" s="6"/>
    </row>
    <row r="300" spans="2:10" x14ac:dyDescent="0.25">
      <c r="B300" s="4"/>
      <c r="C300" s="361" t="s">
        <v>621</v>
      </c>
      <c r="D300" s="367">
        <f>IF(Expense_CleaningJanitorial_Number=1,dpIncome_Expense_CJ_Stabilized,dpIncome_Expense_CJ_Year1)</f>
        <v>0</v>
      </c>
      <c r="E300" s="364">
        <f>E299</f>
        <v>9</v>
      </c>
      <c r="F300" s="359"/>
      <c r="G300" s="359"/>
      <c r="H300" s="359"/>
      <c r="I300" s="359"/>
      <c r="J300" s="6"/>
    </row>
    <row r="301" spans="2:10" x14ac:dyDescent="0.25">
      <c r="B301" s="210"/>
      <c r="C301" s="361" t="s">
        <v>622</v>
      </c>
      <c r="D301" s="377" t="str">
        <f>IF(dpIncome_Expense_Leasing_Narrative&lt;MIN(Income_ExpenseCat_10_DataRange)*$D$281,"low end",IF(dpIncome_Expense_Leasing_Narrative&gt;MAX(Income_ExpenseCat_10_DataRange)*$D$282,"upper end","middle"))</f>
        <v>middle</v>
      </c>
      <c r="E301" s="364">
        <v>10</v>
      </c>
      <c r="F301" s="359"/>
      <c r="G301" s="359"/>
      <c r="H301" s="359"/>
      <c r="I301" s="359"/>
      <c r="J301" s="6"/>
    </row>
    <row r="302" spans="2:10" x14ac:dyDescent="0.25">
      <c r="B302" s="4"/>
      <c r="C302" s="361" t="s">
        <v>623</v>
      </c>
      <c r="D302" s="367">
        <f>IF(Expense_Leasing_Number=1,dpIncome_Expense_Leasing_Stabilized,dpIncome_Expense_Leasing_Year1)</f>
        <v>0</v>
      </c>
      <c r="E302" s="364">
        <f>E301</f>
        <v>10</v>
      </c>
      <c r="F302" s="359"/>
      <c r="G302" s="359"/>
      <c r="H302" s="359"/>
      <c r="I302" s="359"/>
      <c r="J302" s="6"/>
    </row>
    <row r="303" spans="2:10" x14ac:dyDescent="0.25">
      <c r="B303" s="210"/>
      <c r="C303" s="361" t="s">
        <v>626</v>
      </c>
      <c r="D303" s="377" t="str">
        <f>IF(dpIncome_Expense_Payroll_Narrative&lt;MIN(Income_ExpenseCat_11_DataRange)*$D$281,"low end",IF(dpIncome_Expense_Payroll_Narrative&gt;MAX(Income_ExpenseCat_11_DataRange)*$D$282,"upper end","middle"))</f>
        <v>middle</v>
      </c>
      <c r="E303" s="364">
        <v>11</v>
      </c>
      <c r="F303" s="359"/>
      <c r="G303" s="359"/>
      <c r="H303" s="359"/>
      <c r="I303" s="359"/>
      <c r="J303" s="6"/>
    </row>
    <row r="304" spans="2:10" x14ac:dyDescent="0.25">
      <c r="B304" s="4"/>
      <c r="C304" s="361" t="s">
        <v>627</v>
      </c>
      <c r="D304" s="367">
        <f>IF(Expense_Payroll_Number=1,dpIncome_Expense_Payroll_Stabilized,dpIncome_Expense_Payroll_Year1)</f>
        <v>0</v>
      </c>
      <c r="E304" s="364">
        <f>E303</f>
        <v>11</v>
      </c>
      <c r="F304" s="359"/>
      <c r="G304" s="359"/>
      <c r="H304" s="359"/>
      <c r="I304" s="359"/>
      <c r="J304" s="6"/>
    </row>
    <row r="305" spans="2:10" x14ac:dyDescent="0.25">
      <c r="B305" s="210"/>
      <c r="C305" s="361" t="s">
        <v>628</v>
      </c>
      <c r="D305" s="377" t="str">
        <f>IF(dpIncome_Expense_Security_Narrative&lt;MIN(Income_ExpenseCat_12_DataRange)*$D$281,"low end",IF(dpIncome_Expense_Security_Narrative&gt;MAX(Income_ExpenseCat_12_DataRange)*$D$282,"upper end","middle"))</f>
        <v>middle</v>
      </c>
      <c r="E305" s="364">
        <v>12</v>
      </c>
      <c r="F305" s="359"/>
      <c r="G305" s="359"/>
      <c r="H305" s="359"/>
      <c r="I305" s="359"/>
      <c r="J305" s="6"/>
    </row>
    <row r="306" spans="2:10" x14ac:dyDescent="0.25">
      <c r="B306" s="4"/>
      <c r="C306" s="361" t="s">
        <v>629</v>
      </c>
      <c r="D306" s="367">
        <f>IF(Expense_Security_Number=1,dpIncome_Expense_Security_Stabilized,dpIncome_Expense_Security_Year1)</f>
        <v>0</v>
      </c>
      <c r="E306" s="364">
        <f>E305</f>
        <v>12</v>
      </c>
      <c r="F306" s="359"/>
      <c r="G306" s="359"/>
      <c r="H306" s="359"/>
      <c r="I306" s="359"/>
      <c r="J306" s="6"/>
    </row>
    <row r="307" spans="2:10" x14ac:dyDescent="0.25">
      <c r="B307" s="210"/>
      <c r="C307" s="361" t="s">
        <v>630</v>
      </c>
      <c r="D307" s="377" t="str">
        <f>IF(dpIncome_Expense_RG_Narrative&lt;MIN(Income_ExpenseCat_13_DataRange)*$D$281,"low end",IF(dpIncome_Expense_RG_Narrative&gt;MAX(Income_ExpenseCat_13_DataRange)*$D$282,"upper end","middle"))</f>
        <v>middle</v>
      </c>
      <c r="E307" s="364">
        <v>13</v>
      </c>
      <c r="F307" s="359"/>
      <c r="G307" s="359"/>
      <c r="H307" s="359"/>
      <c r="I307" s="359"/>
      <c r="J307" s="6"/>
    </row>
    <row r="308" spans="2:10" x14ac:dyDescent="0.25">
      <c r="B308" s="4"/>
      <c r="C308" s="361" t="s">
        <v>631</v>
      </c>
      <c r="D308" s="367">
        <f>IF(Expense_RoadsGrounds_Number=1,dpIncome_Expense_RG_Stabilized,dpIncome_Expense_RG_Year1)</f>
        <v>0</v>
      </c>
      <c r="E308" s="364">
        <f>E307</f>
        <v>13</v>
      </c>
      <c r="F308" s="359"/>
      <c r="G308" s="359"/>
      <c r="H308" s="359"/>
      <c r="I308" s="359"/>
      <c r="J308" s="6"/>
    </row>
    <row r="309" spans="2:10" x14ac:dyDescent="0.25">
      <c r="B309" s="210"/>
      <c r="C309" s="361" t="s">
        <v>632</v>
      </c>
      <c r="D309" s="377" t="str">
        <f>IF(dpIncome_Expense_OtherOps_Narrative&lt;MIN(Income_ExpenseCat_14_DataRange)*$D$281,"low end",IF(dpIncome_Expense_OtherOps_Narrative&gt;MAX(Income_ExpenseCat_14_DataRange)*$D$282,"upper end","middle"))</f>
        <v>middle</v>
      </c>
      <c r="E309" s="364">
        <v>14</v>
      </c>
      <c r="F309" s="359"/>
      <c r="G309" s="359"/>
      <c r="H309" s="359"/>
      <c r="I309" s="359"/>
      <c r="J309" s="6"/>
    </row>
    <row r="310" spans="2:10" x14ac:dyDescent="0.25">
      <c r="B310" s="4"/>
      <c r="C310" s="361" t="s">
        <v>633</v>
      </c>
      <c r="D310" s="367">
        <f>IF(Expense_OtherOps_Number=1,dpIncome_Expense_OtherOps_Stabilized,dpIncome_Expense_OtherOps_Year1)</f>
        <v>0</v>
      </c>
      <c r="E310" s="364">
        <f>E309</f>
        <v>14</v>
      </c>
      <c r="F310" s="359"/>
      <c r="G310" s="359"/>
      <c r="H310" s="359"/>
      <c r="I310" s="359"/>
      <c r="J310" s="6"/>
    </row>
    <row r="311" spans="2:10" x14ac:dyDescent="0.25">
      <c r="B311" s="210"/>
      <c r="C311" s="361" t="s">
        <v>634</v>
      </c>
      <c r="D311" s="377" t="str">
        <f>IF(dpIncome_Expense_OtherOps_Narrative&lt;MIN(Income_ExpenseCat_15_DataRange)*$D$281,"low end",IF(dpIncome_Expense_OtherOps_Narrative&gt;MAX(Income_ExpenseCat_15_DataRange)*$D$282,"upper end","middle"))</f>
        <v>middle</v>
      </c>
      <c r="E311" s="364">
        <v>15</v>
      </c>
      <c r="F311" s="359"/>
      <c r="G311" s="359"/>
      <c r="H311" s="359"/>
      <c r="I311" s="359"/>
      <c r="J311" s="6"/>
    </row>
    <row r="312" spans="2:10" x14ac:dyDescent="0.25">
      <c r="B312" s="4"/>
      <c r="C312" s="361" t="s">
        <v>635</v>
      </c>
      <c r="D312" s="367">
        <f>IF(Expense_LandlordCosts_Number=1,dpIncome_Expense_LC_Stabilized,dpIncome_Expense_LC_Year1)</f>
        <v>0.2</v>
      </c>
      <c r="E312" s="364">
        <f>E311</f>
        <v>15</v>
      </c>
      <c r="F312" s="359"/>
      <c r="G312" s="359"/>
      <c r="H312" s="359"/>
      <c r="I312" s="359"/>
      <c r="J312" s="6"/>
    </row>
    <row r="313" spans="2:10" x14ac:dyDescent="0.25">
      <c r="B313" s="210"/>
      <c r="C313" s="361" t="s">
        <v>647</v>
      </c>
      <c r="D313" s="377" t="str">
        <f>IF(dpIncome_Expense_OtherOps_Narrative&lt;MIN(Income_ExpenseCat_16_DataRange)*$D$281,"low end",IF(dpIncome_Expense_OtherOps_Narrative&gt;MAX(Income_ExpenseCat_16_DataRange)*$D$282,"upper end","middle"))</f>
        <v>middle</v>
      </c>
      <c r="E313" s="364">
        <v>16</v>
      </c>
      <c r="F313" s="359"/>
      <c r="G313" s="359"/>
      <c r="H313" s="359"/>
      <c r="I313" s="359"/>
      <c r="J313" s="6"/>
    </row>
    <row r="314" spans="2:10" x14ac:dyDescent="0.25">
      <c r="B314" s="4"/>
      <c r="C314" s="361" t="s">
        <v>648</v>
      </c>
      <c r="D314" s="367">
        <f>IF(Expense_ReplacementReserves_Number=1,dpIncome_Expense_Reserves_Stabilized,dpIncome_Expense_Reserves_Year1)</f>
        <v>0.3</v>
      </c>
      <c r="E314" s="364">
        <f>E313</f>
        <v>16</v>
      </c>
      <c r="F314" s="359"/>
      <c r="G314" s="359"/>
      <c r="H314" s="359"/>
      <c r="I314" s="359"/>
      <c r="J314" s="6"/>
    </row>
    <row r="315" spans="2:10" x14ac:dyDescent="0.25">
      <c r="B315" s="4"/>
      <c r="C315" s="1501"/>
      <c r="D315" s="1999"/>
      <c r="E315" s="1997"/>
      <c r="F315" s="1500"/>
      <c r="G315" s="1500"/>
      <c r="H315" s="1500"/>
      <c r="I315" s="1500"/>
      <c r="J315" s="6"/>
    </row>
    <row r="316" spans="2:10" x14ac:dyDescent="0.25">
      <c r="B316" s="4"/>
      <c r="C316" s="365" t="s">
        <v>130</v>
      </c>
      <c r="D316" s="2803"/>
      <c r="E316" s="2806"/>
      <c r="F316" s="2804"/>
      <c r="G316" s="2804"/>
      <c r="H316" s="2804"/>
      <c r="I316" s="2804"/>
      <c r="J316" s="6"/>
    </row>
    <row r="317" spans="2:10" x14ac:dyDescent="0.25">
      <c r="B317" s="4"/>
      <c r="C317" s="361" t="s">
        <v>18399</v>
      </c>
      <c r="D317" s="2807" t="str">
        <f ca="1">CONCATENATE(Absorption!AH50,Absorption!AH51,Absorption!AH52,Absorption!AH53)</f>
        <v>costar historical absorption and subject historical absorption</v>
      </c>
      <c r="E317" s="2806"/>
      <c r="F317" s="2804"/>
      <c r="G317" s="2804"/>
      <c r="H317" s="2804"/>
      <c r="I317" s="2804"/>
      <c r="J317" s="6"/>
    </row>
    <row r="318" spans="2:10" x14ac:dyDescent="0.25">
      <c r="B318" s="4"/>
      <c r="C318" s="2802"/>
      <c r="D318" s="2803"/>
      <c r="E318" s="2806"/>
      <c r="F318" s="2804"/>
      <c r="G318" s="2804"/>
      <c r="H318" s="2804"/>
      <c r="I318" s="2804"/>
      <c r="J318" s="6"/>
    </row>
    <row r="319" spans="2:10" x14ac:dyDescent="0.25">
      <c r="B319" s="4"/>
      <c r="C319" s="365" t="s">
        <v>417</v>
      </c>
      <c r="D319" s="367"/>
      <c r="E319" s="364"/>
      <c r="F319" s="359"/>
      <c r="G319" s="359"/>
      <c r="H319" s="359"/>
      <c r="I319" s="359"/>
      <c r="J319" s="6"/>
    </row>
    <row r="320" spans="2:10" x14ac:dyDescent="0.25">
      <c r="B320" s="4"/>
      <c r="C320" s="361" t="s">
        <v>18204</v>
      </c>
      <c r="D320" s="379">
        <f>MIN(Income_OAR_ActualCol)+(dpIncome_Spread_OARTerm/10000)</f>
        <v>-7.5000000000000067E-3</v>
      </c>
      <c r="E320" s="1997"/>
      <c r="F320" s="359"/>
      <c r="G320" s="359"/>
      <c r="H320" s="359"/>
      <c r="I320" s="359"/>
      <c r="J320" s="6"/>
    </row>
    <row r="321" spans="2:10" x14ac:dyDescent="0.25">
      <c r="B321" s="4"/>
      <c r="C321" s="361" t="s">
        <v>18205</v>
      </c>
      <c r="D321" s="379">
        <f>MAX(Income_OAR_ActualCol)+(dpIncome_Spread_OARTerm/10000)</f>
        <v>1.0499999999999995E-2</v>
      </c>
      <c r="E321" s="364"/>
      <c r="F321" s="359"/>
      <c r="G321" s="359"/>
      <c r="H321" s="359"/>
      <c r="I321" s="359"/>
      <c r="J321" s="6"/>
    </row>
    <row r="322" spans="2:10" x14ac:dyDescent="0.25">
      <c r="B322" s="4"/>
      <c r="C322" s="361" t="s">
        <v>649</v>
      </c>
      <c r="D322" s="379">
        <f>dpIncome_BOI_CapRate+(dpIncome_Spread_OARTerm/10000)</f>
        <v>3.3559999999999979E-3</v>
      </c>
      <c r="E322" s="364"/>
      <c r="F322" s="359"/>
      <c r="G322" s="359"/>
      <c r="H322" s="359"/>
      <c r="I322" s="359"/>
      <c r="J322" s="6"/>
    </row>
    <row r="323" spans="2:10" x14ac:dyDescent="0.25">
      <c r="B323" s="4"/>
      <c r="C323" s="2971"/>
      <c r="D323" s="2973"/>
      <c r="E323" s="2969"/>
      <c r="F323" s="2970"/>
      <c r="G323" s="2970"/>
      <c r="H323" s="2970"/>
      <c r="I323" s="2970"/>
      <c r="J323" s="6"/>
    </row>
    <row r="324" spans="2:10" x14ac:dyDescent="0.25">
      <c r="B324" s="4"/>
      <c r="C324" s="365" t="s">
        <v>418</v>
      </c>
      <c r="D324" s="367"/>
      <c r="E324" s="364"/>
      <c r="F324" s="359"/>
      <c r="G324" s="359"/>
      <c r="H324" s="359"/>
      <c r="I324" s="359"/>
      <c r="J324" s="6"/>
    </row>
    <row r="325" spans="2:10" x14ac:dyDescent="0.25">
      <c r="B325" s="4"/>
      <c r="C325" s="361" t="s">
        <v>642</v>
      </c>
      <c r="D325" s="384" t="str">
        <f>IF(dpSort_DOV_3="N/A",IF(dpSort_DOV_2="N/A",CONCATENATE("a ",Income_DCF_HoldingPeriod1,"-year cash flow"),IF(Income_DCF_HoldingPeriod1=Income_DCF_HoldingPeriod2,CONCATENATE("two ",Income_DCF_HoldingPeriod1,"-year cash flows"),CONCATENATE(Income_DCF_HoldingPeriod1," and ",Income_DCF_HoldingPeriod2,"-year cash flows"))),IF(AND(Income_DCF_HoldingPeriod1=Income_DCF_HoldingPeriod2,Income_DCF_HoldingPeriod1=Income_DCF_HoldingPeriod3),CONCATENATE("three ",Income_DCF_HoldingPeriod1,"-year cash flows"),IF(AND(Income_DCF_HoldingPeriod1=Income_DCF_HoldingPeriod2,Income_DCF_HoldingPeriod1&lt;&gt;Income_DCF_HoldingPeriod3),CONCATENATE("two ",Income_DCF_HoldingPeriod1,"-year cash flows and one",Income_DCF_HoldingPeriod3,"-year cash flow"),IF(AND(Income_DCF_HoldingPeriod1=Income_DCF_HoldingPeriod3,Income_DCF_HoldingPeriod1&lt;&gt;Income_DCF_HoldingPeriod2),CONCATENATE("two ",Income_DCF_HoldingPeriod1,"-year cash flows and one",Income_DCF_HoldingPeriod2,"-year cash flow"),CONCATENATE(Income_DCF_HoldingPeriod1,", ",Income_DCF_HoldingPeriod2," and ",Income_DCF_HoldingPeriod3,"-year cash flows")))))</f>
        <v>a 10-year cash flow</v>
      </c>
      <c r="E325" s="385"/>
      <c r="F325" s="386"/>
      <c r="G325" s="386"/>
      <c r="H325" s="386"/>
      <c r="I325" s="386"/>
      <c r="J325" s="6"/>
    </row>
    <row r="326" spans="2:10" x14ac:dyDescent="0.25">
      <c r="B326" s="4"/>
      <c r="C326" s="361" t="s">
        <v>643</v>
      </c>
      <c r="D326" s="384" t="str">
        <f>IF(dpSort_DOV_3="N/A",IF(dpSort_DOV_2="N/A",CONCATENATE("a ",Income_DCF_HoldingPeriod1,"-year cash flow"),IF(Income_DCF_HoldingPeriod1=Income_DCF_HoldingPeriod2,CONCATENATE("two ",Income_DCF_HoldingPeriod1,"-year cash flow"),CONCATENATE(Income_DCF_HoldingPeriod1," and ",Income_DCF_HoldingPeriod2,"-year cash flow"))),IF(AND(Income_DCF_HoldingPeriod1=Income_DCF_HoldingPeriod2,Income_DCF_HoldingPeriod1=Income_DCF_HoldingPeriod3),CONCATENATE("three ",Income_DCF_HoldingPeriod1,"-year cash flow"),IF(AND(Income_DCF_HoldingPeriod1=Income_DCF_HoldingPeriod2,Income_DCF_HoldingPeriod1&lt;&gt;Income_DCF_HoldingPeriod3),CONCATENATE("two ",Income_DCF_HoldingPeriod1,"-year cash flow and one",Income_DCF_HoldingPeriod3,"-year cash flow"),IF(AND(Income_DCF_HoldingPeriod1=Income_DCF_HoldingPeriod3,Income_DCF_HoldingPeriod1&lt;&gt;Income_DCF_HoldingPeriod2),CONCATENATE("two ",Income_DCF_HoldingPeriod1,"-year cash flow and one",Income_DCF_HoldingPeriod2,"-year cash flow"),CONCATENATE(Income_DCF_HoldingPeriod1,", ",Income_DCF_HoldingPeriod2," and ",Income_DCF_HoldingPeriod3,"-year cash flow")))))</f>
        <v>a 10-year cash flow</v>
      </c>
      <c r="E326" s="385"/>
      <c r="F326" s="386"/>
      <c r="G326" s="386"/>
      <c r="H326" s="386"/>
      <c r="I326" s="386"/>
      <c r="J326" s="6"/>
    </row>
    <row r="327" spans="2:10" x14ac:dyDescent="0.25">
      <c r="B327" s="4"/>
      <c r="C327" s="361" t="s">
        <v>641</v>
      </c>
      <c r="D327" s="384" t="str">
        <f>IF(dpSort_DOV_3="N/A",IF(dpSort_DOV_2="N/A",CONCATENATE(Income_DCF_HoldingPeriod1,"-year holding period"),IF(Income_DCF_HoldingPeriod1=Income_DCF_HoldingPeriod2,CONCATENATE(Income_DCF_HoldingPeriod1,"-year holding periods"),CONCATENATE(Income_DCF_HoldingPeriod1," and ",Income_DCF_HoldingPeriod2,"-year holding period"))),IF(AND(Income_DCF_HoldingPeriod1=Income_DCF_HoldingPeriod2,Income_DCF_HoldingPeriod1=Income_DCF_HoldingPeriod3),CONCATENATE(Income_DCF_HoldingPeriod1,"-year holding period"),IF(AND(Income_DCF_HoldingPeriod1=Income_DCF_HoldingPeriod2,Income_DCF_HoldingPeriod1&lt;&gt;Income_DCF_HoldingPeriod3),CONCATENATE(Income_DCF_HoldingPeriod1," and ",Income_DCF_HoldingPeriod3,"-year holding periods"),IF(AND(Income_DCF_HoldingPeriod1=Income_DCF_HoldingPeriod3,Income_DCF_HoldingPeriod1&lt;&gt;Income_DCF_HoldingPeriod2),CONCATENATE(Income_DCF_HoldingPeriod1," and ",Income_DCF_HoldingPeriod2,"-year holding periods"),CONCATENATE(Income_DCF_HoldingPeriod1,", ",Income_DCF_HoldingPeriod2," and ",Income_DCF_HoldingPeriod3,"-year holding periods")))))</f>
        <v>10-year holding period</v>
      </c>
      <c r="E327" s="385"/>
      <c r="F327" s="386"/>
      <c r="G327" s="386"/>
      <c r="H327" s="386"/>
      <c r="I327" s="386"/>
      <c r="J327" s="6"/>
    </row>
    <row r="328" spans="2:10" x14ac:dyDescent="0.25">
      <c r="B328" s="4"/>
      <c r="C328" s="361" t="s">
        <v>644</v>
      </c>
      <c r="D328" s="367" t="e">
        <f ca="1">IF(dpIncome_RentRollOccupancy&lt;dpIncome_StabilizedOccupancy,"below-stabilized","stabilized")</f>
        <v>#VALUE!</v>
      </c>
      <c r="E328" s="364"/>
      <c r="F328" s="359"/>
      <c r="G328" s="359"/>
      <c r="H328" s="359"/>
      <c r="I328" s="359"/>
      <c r="J328" s="6"/>
    </row>
    <row r="329" spans="2:10" x14ac:dyDescent="0.25">
      <c r="B329" s="4"/>
      <c r="C329" s="455" t="s">
        <v>806</v>
      </c>
      <c r="D329" s="685" t="e">
        <f>VLOOKUP(dpIncome_SpaceCategory_MarketRent,'Income Assumptions'!$D$50:$W$57,19,FALSE)</f>
        <v>#N/A</v>
      </c>
      <c r="E329" s="685" t="e">
        <f>IF(INDEX('Income Assumptions'!$V$50:$V$57,MATCH(TRUE,INDEX('Income Assumptions'!$V$50:$V$57&lt;&gt;0,0,0),0),0)=dpIncome_RenewalProb1,LOOKUP(2,1/('Income Assumptions'!$V$50:$V$57&lt;&gt;""),'Income Assumptions'!$V$50:$V$57),INDEX('Income Assumptions'!$V$50:$V$57,MATCH(TRUE,INDEX('Income Assumptions'!$V$50:$V$57&lt;&gt;0,0,0),0),0))</f>
        <v>#N/A</v>
      </c>
      <c r="F329" s="469"/>
      <c r="G329" s="464"/>
      <c r="H329" s="456"/>
      <c r="I329" s="456"/>
      <c r="J329" s="6"/>
    </row>
    <row r="330" spans="2:10" x14ac:dyDescent="0.25">
      <c r="B330" s="4"/>
      <c r="C330" s="455" t="s">
        <v>807</v>
      </c>
      <c r="D330" s="686" t="e">
        <f>VLOOKUP(dpIncome_SpaceCategory_MarketRent,'Income Assumptions'!$D$50:$W$57,20,FALSE)</f>
        <v>#N/A</v>
      </c>
      <c r="E330" s="686" t="e">
        <f>IF(INDEX('Income Assumptions'!$W$50:$W$57,MATCH(TRUE,INDEX('Income Assumptions'!$W$50:$W$57&lt;&gt;0,0,0),0),0)=dpIncome_MonthsVacant1,LOOKUP(2,1/('Income Assumptions'!$W$50:$W$57&lt;&gt;""),'Income Assumptions'!$W$50:$W$57),INDEX('Income Assumptions'!$W$50:$W$57,MATCH(TRUE,INDEX('Income Assumptions'!$W$50:$W$57&lt;&gt;0,0,0),0),0))</f>
        <v>#N/A</v>
      </c>
      <c r="F330" s="469"/>
      <c r="G330" s="456"/>
      <c r="H330" s="456"/>
      <c r="I330" s="456"/>
      <c r="J330" s="6"/>
    </row>
    <row r="331" spans="2:10" x14ac:dyDescent="0.25">
      <c r="B331" s="4"/>
      <c r="C331" s="455" t="s">
        <v>293</v>
      </c>
      <c r="D331" s="687" t="e">
        <f>VLOOKUP(dpIncome_SpaceCategory_MarketRent,'Income Assumptions'!$D$50:$W$57,18,FALSE)</f>
        <v>#N/A</v>
      </c>
      <c r="E331" s="687" t="e">
        <f>IF(INDEX('Income Assumptions'!$U$50:$U$57,MATCH(TRUE,INDEX('Income Assumptions'!$U$50:$U$57&lt;&gt;0,0,0),0),0)=dpIncome_LeaseTerm1,LOOKUP(2,1/('Income Assumptions'!$U$50:$U$57&lt;&gt;""),'Income Assumptions'!$U$50:$U$57),INDEX('Income Assumptions'!$U$50:$U$57,MATCH(TRUE,INDEX('Income Assumptions'!$U$50:$U$57&lt;&gt;0,0,0),0),0))</f>
        <v>#N/A</v>
      </c>
      <c r="F331" s="469"/>
      <c r="G331" s="456"/>
      <c r="H331" s="456"/>
      <c r="I331" s="456"/>
      <c r="J331" s="6"/>
    </row>
    <row r="332" spans="2:10" x14ac:dyDescent="0.25">
      <c r="B332" s="4"/>
      <c r="C332" s="361" t="s">
        <v>645</v>
      </c>
      <c r="D332" s="688" t="e">
        <f>VLOOKUP(dpIncome_SpaceCategory_MarketRent,'Income Assumptions'!$D$50:$W$57,9,FALSE)</f>
        <v>#N/A</v>
      </c>
      <c r="E332" s="685"/>
      <c r="F332" s="359"/>
      <c r="G332" s="456"/>
      <c r="H332" s="456"/>
      <c r="I332" s="359"/>
      <c r="J332" s="6"/>
    </row>
    <row r="333" spans="2:10" x14ac:dyDescent="0.25">
      <c r="B333" s="4"/>
      <c r="C333" s="361" t="s">
        <v>646</v>
      </c>
      <c r="D333" s="688" t="e">
        <f>VLOOKUP(dpIncome_SpaceCategory_MarketRent,'Income Assumptions'!$D$50:$W$57,10,FALSE)</f>
        <v>#N/A</v>
      </c>
      <c r="E333" s="689"/>
      <c r="F333" s="386"/>
      <c r="G333" s="386"/>
      <c r="H333" s="386"/>
      <c r="I333" s="386"/>
      <c r="J333" s="6"/>
    </row>
    <row r="334" spans="2:10" x14ac:dyDescent="0.25">
      <c r="B334" s="4"/>
      <c r="C334" s="455" t="s">
        <v>808</v>
      </c>
      <c r="D334" s="690" t="e">
        <f>VLOOKUP(dpIncome_SpaceCategory_MarketRent,'Income Assumptions'!$D$50:$W$57,11,FALSE)</f>
        <v>#N/A</v>
      </c>
      <c r="E334" s="691"/>
      <c r="F334" s="456"/>
      <c r="G334" s="456"/>
      <c r="H334" s="456"/>
      <c r="I334" s="456"/>
      <c r="J334" s="6"/>
    </row>
    <row r="335" spans="2:10" x14ac:dyDescent="0.25">
      <c r="B335" s="4"/>
      <c r="C335" s="455" t="s">
        <v>809</v>
      </c>
      <c r="D335" s="690" t="e">
        <f>VLOOKUP(dpIncome_SpaceCategory_MarketRent,'Income Assumptions'!$D$50:$W$57,12,FALSE)</f>
        <v>#N/A</v>
      </c>
      <c r="E335" s="691"/>
      <c r="F335" s="456"/>
      <c r="G335" s="456"/>
      <c r="H335" s="456"/>
      <c r="I335" s="456"/>
      <c r="J335" s="6"/>
    </row>
    <row r="336" spans="2:10" x14ac:dyDescent="0.25">
      <c r="B336" s="4"/>
      <c r="C336" s="455" t="s">
        <v>810</v>
      </c>
      <c r="D336" s="469" t="str">
        <f>IF(Subject_InvestmentClass="A","lower-end",IF(Subject_InvestmentClass="B","middle","upper-end"))</f>
        <v>middle</v>
      </c>
      <c r="E336" s="462"/>
      <c r="F336" s="456"/>
      <c r="G336" s="456"/>
      <c r="H336" s="456"/>
      <c r="I336" s="456"/>
      <c r="J336" s="6"/>
    </row>
    <row r="337" spans="2:10" x14ac:dyDescent="0.25">
      <c r="B337" s="4"/>
      <c r="C337" s="2954" t="s">
        <v>18645</v>
      </c>
      <c r="D337" s="2955" t="str">
        <f>IF(VLOOKUP("Moody's Baa Corporate Bonds",'BOI Investor Surveys'!$D$168:$I$175,6,0)=0,"FRED Rates Not Imported",VLOOKUP("Moody's Baa Corporate Bonds",'BOI Investor Surveys'!$D$168:$I$175,6,0))</f>
        <v>FRED Rates Not Imported</v>
      </c>
      <c r="E337" s="2956"/>
      <c r="F337" s="2957"/>
      <c r="G337" s="2957"/>
      <c r="H337" s="2957"/>
      <c r="I337" s="2957"/>
      <c r="J337" s="6"/>
    </row>
    <row r="338" spans="2:10" x14ac:dyDescent="0.25">
      <c r="B338" s="4"/>
      <c r="C338" s="660" t="s">
        <v>18203</v>
      </c>
      <c r="D338" s="2006">
        <f>(dpIncome_DiscRate1-dpIncome_DiscRate2)*10000</f>
        <v>0</v>
      </c>
      <c r="E338" s="2006"/>
      <c r="F338" s="661"/>
      <c r="G338" s="661"/>
      <c r="H338" s="661"/>
      <c r="I338" s="661"/>
      <c r="J338" s="6"/>
    </row>
    <row r="339" spans="2:10" x14ac:dyDescent="0.25">
      <c r="B339" s="4"/>
      <c r="C339" s="2971"/>
      <c r="D339" s="2972"/>
      <c r="E339" s="2972"/>
      <c r="F339" s="2970"/>
      <c r="G339" s="2970"/>
      <c r="H339" s="2970"/>
      <c r="I339" s="2970"/>
      <c r="J339" s="6"/>
    </row>
    <row r="340" spans="2:10" x14ac:dyDescent="0.25">
      <c r="B340" s="4"/>
      <c r="C340" s="549" t="s">
        <v>839</v>
      </c>
      <c r="D340" s="384"/>
      <c r="E340" s="385"/>
      <c r="F340" s="386"/>
      <c r="G340" s="386"/>
      <c r="H340" s="386"/>
      <c r="I340" s="386"/>
      <c r="J340" s="6"/>
    </row>
    <row r="341" spans="2:10" x14ac:dyDescent="0.25">
      <c r="B341" s="4"/>
      <c r="C341" s="545" t="s">
        <v>840</v>
      </c>
      <c r="D341" s="474" t="str">
        <f>IF(dpSort_DOV_2=0,"value","values")</f>
        <v>values</v>
      </c>
      <c r="E341" s="385"/>
      <c r="F341" s="386"/>
      <c r="G341" s="386"/>
      <c r="H341" s="386"/>
      <c r="I341" s="386"/>
      <c r="J341" s="6"/>
    </row>
    <row r="342" spans="2:10" x14ac:dyDescent="0.25">
      <c r="B342" s="4"/>
      <c r="C342" s="2967"/>
      <c r="D342" s="2968"/>
      <c r="E342" s="2969"/>
      <c r="F342" s="2970"/>
      <c r="G342" s="2970"/>
      <c r="H342" s="2970"/>
      <c r="I342" s="2970"/>
      <c r="J342" s="6"/>
    </row>
    <row r="343" spans="2:10" x14ac:dyDescent="0.25">
      <c r="B343" s="4"/>
      <c r="C343" s="2002" t="s">
        <v>1743</v>
      </c>
      <c r="D343" s="2001"/>
      <c r="E343" s="1997"/>
      <c r="F343" s="1500"/>
      <c r="G343" s="1500"/>
      <c r="H343" s="1500"/>
      <c r="I343" s="1500"/>
      <c r="J343" s="6"/>
    </row>
    <row r="344" spans="2:10" x14ac:dyDescent="0.25">
      <c r="B344" s="4"/>
      <c r="C344" s="2000" t="s">
        <v>1744</v>
      </c>
      <c r="D344" s="2003">
        <f>IF(ISERROR(SMALL('Selection Tables'!$Q$9:$Q$11,1)),"",IF(SMALL('Selection Tables'!$Q$9:$Q$11,1)=0,"",SMALL('Selection Tables'!$Q$9:$Q$11,1)))</f>
        <v>45473</v>
      </c>
      <c r="E344" s="1997"/>
      <c r="F344" s="1500"/>
      <c r="G344" s="1500"/>
      <c r="H344" s="1500"/>
      <c r="I344" s="1500"/>
      <c r="J344" s="6"/>
    </row>
    <row r="345" spans="2:10" x14ac:dyDescent="0.25">
      <c r="B345" s="4"/>
      <c r="C345" s="2000" t="s">
        <v>1745</v>
      </c>
      <c r="D345" s="2003">
        <f>IF(ISERROR(SMALL('Selection Tables'!$Q$5:$Q$7,1)),"",IF(SMALL('Selection Tables'!$Q$5:$Q$7,1)=0,"",SMALL('Selection Tables'!$Q$5:$Q$7,1)))</f>
        <v>45473</v>
      </c>
      <c r="E345" s="1997"/>
      <c r="F345" s="1500"/>
      <c r="G345" s="1500"/>
      <c r="H345" s="1500"/>
      <c r="I345" s="1500"/>
      <c r="J345" s="6"/>
    </row>
    <row r="346" spans="2:10" x14ac:dyDescent="0.25">
      <c r="B346" s="4"/>
      <c r="C346" s="2000" t="s">
        <v>1746</v>
      </c>
      <c r="D346" s="2004">
        <f ca="1">IFERROR(Income_DirectCap_PGI,"")</f>
        <v>376562</v>
      </c>
      <c r="E346" s="1997"/>
      <c r="F346" s="1500"/>
      <c r="G346" s="1500"/>
      <c r="H346" s="1500"/>
      <c r="I346" s="1500"/>
      <c r="J346" s="6"/>
    </row>
    <row r="347" spans="2:10" x14ac:dyDescent="0.25">
      <c r="B347" s="4"/>
      <c r="C347" s="2007" t="s">
        <v>956</v>
      </c>
      <c r="D347" s="2008" t="e">
        <f ca="1">IF(ISERROR(SMALL('Selection Tables'!$Q$5:$Q$7,1)),"",IF(SMALL('Selection Tables'!$Q$5:$Q$7,1)=0,"",1-dpIncome_ActualOccupancy))</f>
        <v>#VALUE!</v>
      </c>
      <c r="E347" s="1997"/>
      <c r="F347" s="1500"/>
      <c r="G347" s="1500"/>
      <c r="H347" s="1500"/>
      <c r="I347" s="1500"/>
      <c r="J347" s="6"/>
    </row>
    <row r="348" spans="2:10" x14ac:dyDescent="0.25">
      <c r="B348" s="4"/>
      <c r="C348" s="2000" t="s">
        <v>438</v>
      </c>
      <c r="D348" s="2005">
        <f>IF(ISERROR(SMALL('Selection Tables'!$Q$5:$Q$7,1)),"",IF(SMALL('Selection Tables'!$Q$5:$Q$7,1)=0,"",dpIncome_StabilizedVacancy))</f>
        <v>0.02</v>
      </c>
      <c r="E348" s="1997"/>
      <c r="F348" s="1500"/>
      <c r="G348" s="1500"/>
      <c r="H348" s="1500"/>
      <c r="I348" s="1500"/>
      <c r="J348" s="6"/>
    </row>
    <row r="349" spans="2:10" x14ac:dyDescent="0.25">
      <c r="B349" s="4"/>
      <c r="C349" s="2007" t="s">
        <v>1793</v>
      </c>
      <c r="D349" s="2005">
        <f>IF(ISERROR(SMALL('Selection Tables'!$Q$5:$Q$7,1)),"",IF(SMALL('Selection Tables'!$Q$5:$Q$7,1)=0,"",dpIncome_CollectionLoss))</f>
        <v>0.01</v>
      </c>
      <c r="E349" s="1997"/>
      <c r="F349" s="1500"/>
      <c r="G349" s="1500"/>
      <c r="H349" s="1500"/>
      <c r="I349" s="1500"/>
      <c r="J349" s="6"/>
    </row>
    <row r="350" spans="2:10" x14ac:dyDescent="0.25">
      <c r="B350" s="4"/>
      <c r="C350" s="2000" t="s">
        <v>329</v>
      </c>
      <c r="D350" s="2004">
        <f ca="1">IFERROR(dpIncome_EGI,"")</f>
        <v>353968</v>
      </c>
      <c r="E350" s="1997"/>
      <c r="F350" s="1500"/>
      <c r="G350" s="1500"/>
      <c r="H350" s="1500"/>
      <c r="I350" s="1500"/>
      <c r="J350" s="6"/>
    </row>
    <row r="351" spans="2:10" x14ac:dyDescent="0.25">
      <c r="B351" s="4"/>
      <c r="C351" s="2000" t="s">
        <v>1747</v>
      </c>
      <c r="D351" s="2004">
        <f ca="1">IFERROR(dpIncome_Expense_Total,"")</f>
        <v>218606</v>
      </c>
      <c r="E351" s="1997"/>
      <c r="F351" s="1500"/>
      <c r="G351" s="1500"/>
      <c r="H351" s="1500"/>
      <c r="I351" s="1500"/>
      <c r="J351" s="6"/>
    </row>
    <row r="352" spans="2:10" x14ac:dyDescent="0.25">
      <c r="B352" s="4"/>
      <c r="C352" s="2000" t="s">
        <v>386</v>
      </c>
      <c r="D352" s="2004">
        <f ca="1">IFERROR(Income_DirectCap_NOI,"")</f>
        <v>135362</v>
      </c>
      <c r="E352" s="1997"/>
      <c r="F352" s="1500"/>
      <c r="G352" s="1500"/>
      <c r="H352" s="1500"/>
      <c r="I352" s="1500"/>
      <c r="J352" s="6"/>
    </row>
    <row r="353" spans="2:10" x14ac:dyDescent="0.25">
      <c r="B353" s="4"/>
      <c r="C353" s="2000" t="s">
        <v>433</v>
      </c>
      <c r="D353" s="2005">
        <f>IF(dpIncome_OAR=0,"",dpIncome_OAR)</f>
        <v>6.7500000000000004E-2</v>
      </c>
      <c r="E353" s="1997"/>
      <c r="F353" s="1500"/>
      <c r="G353" s="1500"/>
      <c r="H353" s="1500"/>
      <c r="I353" s="1500"/>
      <c r="J353" s="6"/>
    </row>
    <row r="354" spans="2:10" x14ac:dyDescent="0.25">
      <c r="B354" s="4"/>
      <c r="C354" s="2000" t="s">
        <v>461</v>
      </c>
      <c r="D354" s="2005" t="str">
        <f>IF(dpIncome_DiscRate1=0,"",dpIncome_DiscRate1)</f>
        <v/>
      </c>
      <c r="E354" s="1997"/>
      <c r="F354" s="1500"/>
      <c r="G354" s="1500"/>
      <c r="H354" s="1500"/>
      <c r="I354" s="1500"/>
      <c r="J354" s="6"/>
    </row>
    <row r="355" spans="2:10" x14ac:dyDescent="0.25">
      <c r="B355" s="4"/>
      <c r="C355" s="2000" t="s">
        <v>434</v>
      </c>
      <c r="D355" s="2005" t="str">
        <f>IF(dpIncome_TerminalRate=0,"",dpIncome_TerminalRate)</f>
        <v/>
      </c>
      <c r="E355" s="1997"/>
      <c r="F355" s="1500"/>
      <c r="G355" s="1500"/>
      <c r="H355" s="1500"/>
      <c r="I355" s="1500"/>
      <c r="J355" s="6"/>
    </row>
    <row r="356" spans="2:10" x14ac:dyDescent="0.25">
      <c r="B356" s="4"/>
      <c r="C356" s="2000" t="s">
        <v>1748</v>
      </c>
      <c r="D356" s="2004">
        <f>IF(dpLand_PrimaryLandValue=0,"",dpLand_PrimaryLandValue)</f>
        <v>6800000</v>
      </c>
      <c r="E356" s="1997"/>
      <c r="F356" s="1500"/>
      <c r="G356" s="1500"/>
      <c r="H356" s="1500"/>
      <c r="I356" s="1500"/>
      <c r="J356" s="6"/>
    </row>
    <row r="357" spans="2:10" x14ac:dyDescent="0.25">
      <c r="B357" s="4"/>
      <c r="C357" s="2000" t="s">
        <v>1749</v>
      </c>
      <c r="D357" s="2004" t="str">
        <f>IF(dpValue_Final_1=0,"",dpValue_Final_1)</f>
        <v/>
      </c>
      <c r="E357" s="1997"/>
      <c r="F357" s="1500"/>
      <c r="G357" s="1500"/>
      <c r="H357" s="1500"/>
      <c r="I357" s="1500"/>
      <c r="J357" s="6"/>
    </row>
    <row r="358" spans="2:10" x14ac:dyDescent="0.25">
      <c r="B358" s="4"/>
      <c r="C358" s="2000"/>
      <c r="D358" s="2001"/>
      <c r="E358" s="1997"/>
      <c r="F358" s="1500"/>
      <c r="G358" s="1500"/>
      <c r="H358" s="1500"/>
      <c r="I358" s="1500"/>
      <c r="J358" s="6"/>
    </row>
    <row r="359" spans="2:10" x14ac:dyDescent="0.25">
      <c r="B359" s="4"/>
      <c r="C359" s="2000"/>
      <c r="D359" s="2001"/>
      <c r="E359" s="1997"/>
      <c r="F359" s="1500"/>
      <c r="G359" s="1500"/>
      <c r="H359" s="1500"/>
      <c r="I359" s="1500"/>
      <c r="J359" s="6"/>
    </row>
    <row r="360" spans="2:10" x14ac:dyDescent="0.25">
      <c r="B360" s="4"/>
      <c r="C360" s="2000"/>
      <c r="D360" s="2001"/>
      <c r="E360" s="1997"/>
      <c r="F360" s="1500"/>
      <c r="G360" s="1500"/>
      <c r="H360" s="1500"/>
      <c r="I360" s="1500"/>
      <c r="J360" s="6"/>
    </row>
    <row r="361" spans="2:10" x14ac:dyDescent="0.25">
      <c r="B361" s="210"/>
      <c r="C361" s="358"/>
      <c r="D361" s="359"/>
      <c r="E361" s="359"/>
      <c r="F361" s="359"/>
      <c r="G361" s="359"/>
      <c r="H361" s="359"/>
      <c r="I361" s="359"/>
      <c r="J361" s="6"/>
    </row>
    <row r="362" spans="2:10" x14ac:dyDescent="0.25">
      <c r="B362" s="4"/>
      <c r="C362" s="5"/>
      <c r="D362" s="38"/>
      <c r="E362" s="339"/>
      <c r="F362" s="38"/>
      <c r="G362" s="38"/>
      <c r="H362" s="38"/>
      <c r="I362" s="38"/>
      <c r="J362" s="6"/>
    </row>
    <row r="363" spans="2:10" ht="19.899999999999999" customHeight="1" thickBot="1" x14ac:dyDescent="0.3">
      <c r="B363" s="8"/>
      <c r="C363" s="7"/>
      <c r="D363" s="7"/>
      <c r="E363" s="7"/>
      <c r="F363" s="7"/>
      <c r="G363" s="7"/>
      <c r="H363" s="7"/>
      <c r="I363" s="7"/>
      <c r="J363" s="9"/>
    </row>
  </sheetData>
  <mergeCells count="1">
    <mergeCell ref="D34:E34"/>
  </mergeCells>
  <pageMargins left="0.7" right="0.7" top="0.75" bottom="0.75" header="0.3" footer="0.3"/>
  <pageSetup orientation="portrait" r:id="rId1"/>
  <drawing r:id="rId2"/>
  <legacyDrawing r:id="rId3"/>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C9C87D-F4FE-48CE-BB43-9E335FC333A5}">
  <sheetPr codeName="Sheet80"/>
  <dimension ref="A1:I84"/>
  <sheetViews>
    <sheetView showGridLines="0" workbookViewId="0">
      <selection activeCell="D7" sqref="D7"/>
    </sheetView>
  </sheetViews>
  <sheetFormatPr defaultColWidth="9.140625" defaultRowHeight="14.25" x14ac:dyDescent="0.25"/>
  <cols>
    <col min="1" max="1" width="5.7109375" style="911" customWidth="1"/>
    <col min="2" max="2" width="35.7109375" style="911" customWidth="1"/>
    <col min="3" max="9" width="20.7109375" style="911" customWidth="1"/>
    <col min="10" max="16384" width="9.140625" style="911"/>
  </cols>
  <sheetData>
    <row r="1" spans="1:9" ht="60" customHeight="1" x14ac:dyDescent="0.25"/>
    <row r="2" spans="1:9" s="1290" customFormat="1" ht="20.100000000000001" customHeight="1" x14ac:dyDescent="0.25">
      <c r="A2" s="2935" t="s">
        <v>18623</v>
      </c>
      <c r="B2" s="2935" t="s">
        <v>18622</v>
      </c>
      <c r="C2" s="2936">
        <v>2</v>
      </c>
      <c r="D2" s="2936">
        <v>3</v>
      </c>
      <c r="E2" s="2936">
        <v>4</v>
      </c>
      <c r="F2" s="2936">
        <v>5</v>
      </c>
      <c r="G2" s="2936">
        <v>6</v>
      </c>
      <c r="H2" s="2936">
        <v>7</v>
      </c>
      <c r="I2" s="2935">
        <v>8</v>
      </c>
    </row>
    <row r="3" spans="1:9" x14ac:dyDescent="0.25">
      <c r="A3" s="2937">
        <v>1</v>
      </c>
      <c r="B3" s="2958"/>
      <c r="C3" s="2959">
        <v>1</v>
      </c>
      <c r="D3" s="2959">
        <v>2</v>
      </c>
      <c r="E3" s="2959">
        <v>3</v>
      </c>
      <c r="F3" s="2959">
        <v>4</v>
      </c>
      <c r="G3" s="2959">
        <v>5</v>
      </c>
      <c r="H3" s="2959">
        <v>6</v>
      </c>
      <c r="I3" s="2959">
        <v>7</v>
      </c>
    </row>
    <row r="4" spans="1:9" ht="20.100000000000001" customHeight="1" x14ac:dyDescent="0.25">
      <c r="A4" s="2938">
        <v>2</v>
      </c>
      <c r="B4" s="2960" t="s">
        <v>18648</v>
      </c>
      <c r="C4" s="2961" t="s">
        <v>18563</v>
      </c>
      <c r="D4" s="2961" t="s">
        <v>18563</v>
      </c>
      <c r="E4" s="2961" t="s">
        <v>18563</v>
      </c>
      <c r="F4" s="2961" t="s">
        <v>18564</v>
      </c>
      <c r="G4" s="2961" t="s">
        <v>18567</v>
      </c>
      <c r="H4" s="2961" t="s">
        <v>21</v>
      </c>
      <c r="I4" s="2961" t="s">
        <v>18565</v>
      </c>
    </row>
    <row r="5" spans="1:9" ht="20.100000000000001" customHeight="1" x14ac:dyDescent="0.25">
      <c r="A5" s="2938">
        <v>3</v>
      </c>
      <c r="B5" s="2960" t="s">
        <v>18621</v>
      </c>
      <c r="C5" s="2961"/>
      <c r="D5" s="2961"/>
      <c r="E5" s="2961"/>
      <c r="F5" s="2961"/>
      <c r="G5" s="2961"/>
      <c r="H5" s="2961"/>
      <c r="I5" s="2961"/>
    </row>
    <row r="6" spans="1:9" x14ac:dyDescent="0.25">
      <c r="A6" s="2937">
        <v>4</v>
      </c>
      <c r="B6" s="2939" t="s">
        <v>18562</v>
      </c>
      <c r="C6" s="2962" t="str">
        <f>C4</f>
        <v>Radius</v>
      </c>
      <c r="D6" s="2962" t="str">
        <f>D4</f>
        <v>Radius</v>
      </c>
      <c r="E6" s="2962" t="str">
        <f>E4</f>
        <v>Radius</v>
      </c>
      <c r="F6" s="2962" t="str">
        <f>F4</f>
        <v>County</v>
      </c>
      <c r="G6" s="2962" t="str">
        <f>G4 &amp; "*"</f>
        <v>CBSA*</v>
      </c>
      <c r="H6" s="2962" t="str">
        <f t="shared" ref="H6:I6" si="0">H4</f>
        <v>State</v>
      </c>
      <c r="I6" s="2962" t="str">
        <f t="shared" si="0"/>
        <v>Country</v>
      </c>
    </row>
    <row r="7" spans="1:9" x14ac:dyDescent="0.25">
      <c r="A7" s="2937">
        <v>5</v>
      </c>
      <c r="B7" s="2940" t="s">
        <v>18566</v>
      </c>
      <c r="C7" s="2941"/>
      <c r="D7" s="2941"/>
      <c r="E7" s="2941"/>
      <c r="F7" s="2941"/>
      <c r="G7" s="2941"/>
      <c r="H7" s="2941"/>
      <c r="I7" s="2941"/>
    </row>
    <row r="8" spans="1:9" x14ac:dyDescent="0.25">
      <c r="A8" s="2937">
        <v>6</v>
      </c>
      <c r="B8" s="2940" t="s">
        <v>18627</v>
      </c>
      <c r="C8" s="2942"/>
      <c r="D8" s="2942"/>
      <c r="E8" s="2942"/>
      <c r="F8" s="2942"/>
      <c r="G8" s="2942"/>
      <c r="H8" s="2942"/>
      <c r="I8" s="2942"/>
    </row>
    <row r="9" spans="1:9" x14ac:dyDescent="0.25">
      <c r="A9" s="2937">
        <v>7</v>
      </c>
      <c r="B9" s="2940" t="s">
        <v>18628</v>
      </c>
      <c r="C9" s="2943"/>
      <c r="D9" s="2943"/>
      <c r="E9" s="2943"/>
      <c r="F9" s="2943"/>
      <c r="G9" s="2943"/>
      <c r="H9" s="2943"/>
      <c r="I9" s="2943"/>
    </row>
    <row r="10" spans="1:9" x14ac:dyDescent="0.25">
      <c r="A10" s="2937">
        <v>8</v>
      </c>
      <c r="B10" s="2944" t="s">
        <v>72</v>
      </c>
      <c r="C10" s="2963"/>
      <c r="D10" s="2963"/>
      <c r="E10" s="2963"/>
      <c r="F10" s="2963"/>
      <c r="G10" s="2963"/>
      <c r="H10" s="2963"/>
      <c r="I10" s="2963"/>
    </row>
    <row r="11" spans="1:9" x14ac:dyDescent="0.25">
      <c r="A11" s="2937">
        <v>9</v>
      </c>
      <c r="B11" s="2940" t="str">
        <f>"Census Population (" &amp; EASI.CensusPrior &amp; ")"</f>
        <v>Census Population (2000)</v>
      </c>
      <c r="C11" s="2943"/>
      <c r="D11" s="2943"/>
      <c r="E11" s="2943"/>
      <c r="F11" s="2943"/>
      <c r="G11" s="2943"/>
      <c r="H11" s="2943"/>
      <c r="I11" s="2943"/>
    </row>
    <row r="12" spans="1:9" x14ac:dyDescent="0.25">
      <c r="A12" s="2937">
        <v>10</v>
      </c>
      <c r="B12" s="2940" t="str">
        <f>"Census Population (" &amp; EASI.CensusLatest &amp; ")"</f>
        <v>Census Population (2010)</v>
      </c>
      <c r="C12" s="2943"/>
      <c r="D12" s="2943"/>
      <c r="E12" s="2943"/>
      <c r="F12" s="2943"/>
      <c r="G12" s="2943"/>
      <c r="H12" s="2943"/>
      <c r="I12" s="2943"/>
    </row>
    <row r="13" spans="1:9" x14ac:dyDescent="0.25">
      <c r="A13" s="2937">
        <v>11</v>
      </c>
      <c r="B13" s="2940" t="str">
        <f>"Current Population (" &amp; EASI.CY &amp; ")"</f>
        <v>Current Population (2021)</v>
      </c>
      <c r="C13" s="2943"/>
      <c r="D13" s="2943"/>
      <c r="E13" s="2943"/>
      <c r="F13" s="2943"/>
      <c r="G13" s="2943"/>
      <c r="H13" s="2943"/>
      <c r="I13" s="2943"/>
    </row>
    <row r="14" spans="1:9" x14ac:dyDescent="0.25">
      <c r="A14" s="2937">
        <v>12</v>
      </c>
      <c r="B14" s="2940" t="str">
        <f>"Projected Population (" &amp; EASI.FY &amp; ")"</f>
        <v>Projected Population (2026)</v>
      </c>
      <c r="C14" s="2943"/>
      <c r="D14" s="2943"/>
      <c r="E14" s="2943"/>
      <c r="F14" s="2943"/>
      <c r="G14" s="2943"/>
      <c r="H14" s="2943"/>
      <c r="I14" s="2943"/>
    </row>
    <row r="15" spans="1:9" x14ac:dyDescent="0.25">
      <c r="A15" s="2937">
        <v>13</v>
      </c>
      <c r="B15" s="2945" t="s">
        <v>18568</v>
      </c>
      <c r="C15" s="2963"/>
      <c r="D15" s="2963"/>
      <c r="E15" s="2963"/>
      <c r="F15" s="2963"/>
      <c r="G15" s="2963"/>
      <c r="H15" s="2963"/>
      <c r="I15" s="2963"/>
    </row>
    <row r="16" spans="1:9" x14ac:dyDescent="0.25">
      <c r="A16" s="2937">
        <v>14</v>
      </c>
      <c r="B16" s="2946" t="str">
        <f>EASI.CensusPrior&amp;" - "&amp;EASI.CensusLatest</f>
        <v>2000 - 2010</v>
      </c>
      <c r="C16" s="2964" t="e">
        <f t="shared" ref="C16:H16" si="1">RATE(EASI.CensusLatest-EASI.CensusPrior,1,-C11,C12)</f>
        <v>#NUM!</v>
      </c>
      <c r="D16" s="2964" t="e">
        <f t="shared" si="1"/>
        <v>#NUM!</v>
      </c>
      <c r="E16" s="2964" t="e">
        <f t="shared" si="1"/>
        <v>#NUM!</v>
      </c>
      <c r="F16" s="2964" t="e">
        <f t="shared" si="1"/>
        <v>#NUM!</v>
      </c>
      <c r="G16" s="2964" t="e">
        <f t="shared" si="1"/>
        <v>#NUM!</v>
      </c>
      <c r="H16" s="2964" t="e">
        <f t="shared" si="1"/>
        <v>#NUM!</v>
      </c>
      <c r="I16" s="2964" t="e">
        <f t="shared" ref="I16" si="2">RATE(EASI.CensusLatest-EASI.CensusPrior,1,-I11,I12)</f>
        <v>#NUM!</v>
      </c>
    </row>
    <row r="17" spans="1:9" x14ac:dyDescent="0.25">
      <c r="A17" s="2937">
        <v>15</v>
      </c>
      <c r="B17" s="2946" t="str">
        <f>EASI.CensusLatest&amp;" - "&amp;EASI.CY</f>
        <v>2010 - 2021</v>
      </c>
      <c r="C17" s="2964" t="e">
        <f t="shared" ref="C17:H17" si="3">RATE(EASI.CY-EASI.CensusLatest,1,-C12,C13)</f>
        <v>#NUM!</v>
      </c>
      <c r="D17" s="2964" t="e">
        <f t="shared" si="3"/>
        <v>#NUM!</v>
      </c>
      <c r="E17" s="2964" t="e">
        <f t="shared" si="3"/>
        <v>#NUM!</v>
      </c>
      <c r="F17" s="2964" t="e">
        <f t="shared" si="3"/>
        <v>#NUM!</v>
      </c>
      <c r="G17" s="2964" t="e">
        <f t="shared" si="3"/>
        <v>#NUM!</v>
      </c>
      <c r="H17" s="2964" t="e">
        <f t="shared" si="3"/>
        <v>#NUM!</v>
      </c>
      <c r="I17" s="2964" t="e">
        <f t="shared" ref="I17" si="4">RATE(EASI.CY-EASI.CensusLatest,1,-I12,I13)</f>
        <v>#NUM!</v>
      </c>
    </row>
    <row r="18" spans="1:9" x14ac:dyDescent="0.25">
      <c r="A18" s="2937">
        <v>16</v>
      </c>
      <c r="B18" s="2946" t="str">
        <f>EASI.CY&amp;" - "&amp;EASI.FY</f>
        <v>2021 - 2026</v>
      </c>
      <c r="C18" s="2964" t="e">
        <f t="shared" ref="C18:H18" si="5">RATE(EASI.FY-EASI.CY,1,-C13,C14)</f>
        <v>#NUM!</v>
      </c>
      <c r="D18" s="2964" t="e">
        <f t="shared" si="5"/>
        <v>#NUM!</v>
      </c>
      <c r="E18" s="2964" t="e">
        <f t="shared" si="5"/>
        <v>#NUM!</v>
      </c>
      <c r="F18" s="2964" t="e">
        <f t="shared" si="5"/>
        <v>#NUM!</v>
      </c>
      <c r="G18" s="2964" t="e">
        <f t="shared" si="5"/>
        <v>#NUM!</v>
      </c>
      <c r="H18" s="2964" t="e">
        <f t="shared" si="5"/>
        <v>#NUM!</v>
      </c>
      <c r="I18" s="2964" t="e">
        <f t="shared" ref="I18" si="6">RATE(EASI.FY-EASI.CY,1,-I13,I14)</f>
        <v>#NUM!</v>
      </c>
    </row>
    <row r="19" spans="1:9" x14ac:dyDescent="0.25">
      <c r="A19" s="2937">
        <v>17</v>
      </c>
      <c r="B19" s="2944" t="s">
        <v>18569</v>
      </c>
      <c r="C19" s="2963"/>
      <c r="D19" s="2963"/>
      <c r="E19" s="2963"/>
      <c r="F19" s="2963"/>
      <c r="G19" s="2963"/>
      <c r="H19" s="2963"/>
      <c r="I19" s="2963"/>
    </row>
    <row r="20" spans="1:9" x14ac:dyDescent="0.25">
      <c r="A20" s="2937">
        <v>18</v>
      </c>
      <c r="B20" s="2940" t="s">
        <v>18570</v>
      </c>
      <c r="C20" s="2941"/>
      <c r="D20" s="2941"/>
      <c r="E20" s="2941"/>
      <c r="F20" s="2941"/>
      <c r="G20" s="2941"/>
      <c r="H20" s="2941"/>
      <c r="I20" s="2941"/>
    </row>
    <row r="21" spans="1:9" x14ac:dyDescent="0.25">
      <c r="A21" s="2937">
        <v>19</v>
      </c>
      <c r="B21" s="2940" t="s">
        <v>18571</v>
      </c>
      <c r="C21" s="2948"/>
      <c r="D21" s="2948"/>
      <c r="E21" s="2948"/>
      <c r="F21" s="2948"/>
      <c r="G21" s="2948"/>
      <c r="H21" s="2948"/>
      <c r="I21" s="2948"/>
    </row>
    <row r="22" spans="1:9" x14ac:dyDescent="0.25">
      <c r="A22" s="2937">
        <v>20</v>
      </c>
      <c r="B22" s="2940" t="s">
        <v>18572</v>
      </c>
      <c r="C22" s="2948"/>
      <c r="D22" s="2948"/>
      <c r="E22" s="2948"/>
      <c r="F22" s="2948"/>
      <c r="G22" s="2948"/>
      <c r="H22" s="2948"/>
      <c r="I22" s="2948"/>
    </row>
    <row r="23" spans="1:9" x14ac:dyDescent="0.25">
      <c r="A23" s="2937">
        <v>21</v>
      </c>
      <c r="B23" s="2940" t="s">
        <v>18573</v>
      </c>
      <c r="C23" s="2948"/>
      <c r="D23" s="2948"/>
      <c r="E23" s="2948"/>
      <c r="F23" s="2948"/>
      <c r="G23" s="2948"/>
      <c r="H23" s="2948"/>
      <c r="I23" s="2948"/>
    </row>
    <row r="24" spans="1:9" x14ac:dyDescent="0.25">
      <c r="A24" s="2937">
        <v>22</v>
      </c>
      <c r="B24" s="2940" t="s">
        <v>18574</v>
      </c>
      <c r="C24" s="2948"/>
      <c r="D24" s="2948"/>
      <c r="E24" s="2948"/>
      <c r="F24" s="2948"/>
      <c r="G24" s="2948"/>
      <c r="H24" s="2948"/>
      <c r="I24" s="2948"/>
    </row>
    <row r="25" spans="1:9" x14ac:dyDescent="0.25">
      <c r="A25" s="2937">
        <v>23</v>
      </c>
      <c r="B25" s="2940" t="s">
        <v>18575</v>
      </c>
      <c r="C25" s="2948"/>
      <c r="D25" s="2948"/>
      <c r="E25" s="2948"/>
      <c r="F25" s="2948"/>
      <c r="G25" s="2948"/>
      <c r="H25" s="2948"/>
      <c r="I25" s="2948"/>
    </row>
    <row r="26" spans="1:9" x14ac:dyDescent="0.25">
      <c r="A26" s="2937">
        <v>24</v>
      </c>
      <c r="B26" s="2940" t="s">
        <v>18576</v>
      </c>
      <c r="C26" s="2948"/>
      <c r="D26" s="2948"/>
      <c r="E26" s="2948"/>
      <c r="F26" s="2948"/>
      <c r="G26" s="2948"/>
      <c r="H26" s="2948"/>
      <c r="I26" s="2948"/>
    </row>
    <row r="27" spans="1:9" x14ac:dyDescent="0.25">
      <c r="A27" s="2937">
        <v>25</v>
      </c>
      <c r="B27" s="2940" t="s">
        <v>18577</v>
      </c>
      <c r="C27" s="2948"/>
      <c r="D27" s="2948"/>
      <c r="E27" s="2948"/>
      <c r="F27" s="2948"/>
      <c r="G27" s="2948"/>
      <c r="H27" s="2948"/>
      <c r="I27" s="2948"/>
    </row>
    <row r="28" spans="1:9" x14ac:dyDescent="0.25">
      <c r="A28" s="2937">
        <v>26</v>
      </c>
      <c r="B28" s="2940" t="s">
        <v>18578</v>
      </c>
      <c r="C28" s="2948"/>
      <c r="D28" s="2948"/>
      <c r="E28" s="2948"/>
      <c r="F28" s="2948"/>
      <c r="G28" s="2948"/>
      <c r="H28" s="2948"/>
      <c r="I28" s="2948"/>
    </row>
    <row r="29" spans="1:9" x14ac:dyDescent="0.25">
      <c r="A29" s="2937">
        <v>27</v>
      </c>
      <c r="B29" s="2940" t="s">
        <v>18579</v>
      </c>
      <c r="C29" s="2948"/>
      <c r="D29" s="2948"/>
      <c r="E29" s="2948"/>
      <c r="F29" s="2948"/>
      <c r="G29" s="2948"/>
      <c r="H29" s="2948"/>
      <c r="I29" s="2948"/>
    </row>
    <row r="30" spans="1:9" x14ac:dyDescent="0.25">
      <c r="A30" s="2937">
        <v>28</v>
      </c>
      <c r="B30" s="2940" t="s">
        <v>18580</v>
      </c>
      <c r="C30" s="2948"/>
      <c r="D30" s="2948"/>
      <c r="E30" s="2948"/>
      <c r="F30" s="2948"/>
      <c r="G30" s="2948"/>
      <c r="H30" s="2948"/>
      <c r="I30" s="2948"/>
    </row>
    <row r="31" spans="1:9" x14ac:dyDescent="0.25">
      <c r="A31" s="2937">
        <v>29</v>
      </c>
      <c r="B31" s="2940" t="s">
        <v>18581</v>
      </c>
      <c r="C31" s="2948"/>
      <c r="D31" s="2948"/>
      <c r="E31" s="2948"/>
      <c r="F31" s="2948"/>
      <c r="G31" s="2948"/>
      <c r="H31" s="2948"/>
      <c r="I31" s="2948"/>
    </row>
    <row r="32" spans="1:9" x14ac:dyDescent="0.25">
      <c r="A32" s="2937">
        <v>30</v>
      </c>
      <c r="B32" s="2944" t="s">
        <v>18582</v>
      </c>
      <c r="C32" s="2963"/>
      <c r="D32" s="2963"/>
      <c r="E32" s="2963"/>
      <c r="F32" s="2963"/>
      <c r="G32" s="2963"/>
      <c r="H32" s="2963"/>
      <c r="I32" s="2963"/>
    </row>
    <row r="33" spans="1:9" x14ac:dyDescent="0.25">
      <c r="A33" s="2937">
        <v>31</v>
      </c>
      <c r="B33" s="2940" t="str">
        <f>"Census Households (" &amp; EASI.CensusPrior &amp; ")"</f>
        <v>Census Households (2000)</v>
      </c>
      <c r="C33" s="2943"/>
      <c r="D33" s="2943"/>
      <c r="E33" s="2943"/>
      <c r="F33" s="2943"/>
      <c r="G33" s="2943"/>
      <c r="H33" s="2943"/>
      <c r="I33" s="2943"/>
    </row>
    <row r="34" spans="1:9" x14ac:dyDescent="0.25">
      <c r="A34" s="2937">
        <v>32</v>
      </c>
      <c r="B34" s="2940" t="str">
        <f>"Census Households (" &amp; EASI.CensusLatest &amp; ")"</f>
        <v>Census Households (2010)</v>
      </c>
      <c r="C34" s="2943"/>
      <c r="D34" s="2943"/>
      <c r="E34" s="2943"/>
      <c r="F34" s="2943"/>
      <c r="G34" s="2943"/>
      <c r="H34" s="2943"/>
      <c r="I34" s="2943"/>
    </row>
    <row r="35" spans="1:9" x14ac:dyDescent="0.25">
      <c r="A35" s="2937">
        <v>33</v>
      </c>
      <c r="B35" s="2940" t="str">
        <f>"Current Households (" &amp; EASI.CY &amp; ")"</f>
        <v>Current Households (2021)</v>
      </c>
      <c r="C35" s="2943"/>
      <c r="D35" s="2943"/>
      <c r="E35" s="2943"/>
      <c r="F35" s="2943"/>
      <c r="G35" s="2943"/>
      <c r="H35" s="2943"/>
      <c r="I35" s="2943"/>
    </row>
    <row r="36" spans="1:9" x14ac:dyDescent="0.25">
      <c r="A36" s="2937">
        <v>34</v>
      </c>
      <c r="B36" s="2940" t="str">
        <f>"Projected Households (" &amp; EASI.FY &amp; ")"</f>
        <v>Projected Households (2026)</v>
      </c>
      <c r="C36" s="2943"/>
      <c r="D36" s="2943"/>
      <c r="E36" s="2943"/>
      <c r="F36" s="2943"/>
      <c r="G36" s="2943"/>
      <c r="H36" s="2943"/>
      <c r="I36" s="2943"/>
    </row>
    <row r="37" spans="1:9" x14ac:dyDescent="0.25">
      <c r="A37" s="2937">
        <v>35</v>
      </c>
      <c r="B37" s="2945" t="s">
        <v>18568</v>
      </c>
      <c r="C37" s="2963"/>
      <c r="D37" s="2963"/>
      <c r="E37" s="2963"/>
      <c r="F37" s="2963"/>
      <c r="G37" s="2963"/>
      <c r="H37" s="2963"/>
      <c r="I37" s="2963"/>
    </row>
    <row r="38" spans="1:9" x14ac:dyDescent="0.25">
      <c r="A38" s="2937">
        <v>36</v>
      </c>
      <c r="B38" s="2946" t="str">
        <f>EASI.CensusPrior&amp;" - "&amp;EASI.CensusLatest</f>
        <v>2000 - 2010</v>
      </c>
      <c r="C38" s="2964" t="e">
        <f t="shared" ref="C38:H38" si="7">RATE(EASI.CensusLatest-EASI.CensusPrior,1,-C33,C34)</f>
        <v>#NUM!</v>
      </c>
      <c r="D38" s="2964" t="e">
        <f t="shared" si="7"/>
        <v>#NUM!</v>
      </c>
      <c r="E38" s="2964" t="e">
        <f t="shared" si="7"/>
        <v>#NUM!</v>
      </c>
      <c r="F38" s="2964" t="e">
        <f t="shared" si="7"/>
        <v>#NUM!</v>
      </c>
      <c r="G38" s="2964" t="e">
        <f t="shared" si="7"/>
        <v>#NUM!</v>
      </c>
      <c r="H38" s="2964" t="e">
        <f t="shared" si="7"/>
        <v>#NUM!</v>
      </c>
      <c r="I38" s="2964" t="e">
        <f t="shared" ref="I38" si="8">RATE(EASI.CensusLatest-EASI.CensusPrior,1,-I33,I34)</f>
        <v>#NUM!</v>
      </c>
    </row>
    <row r="39" spans="1:9" x14ac:dyDescent="0.25">
      <c r="A39" s="2937">
        <v>37</v>
      </c>
      <c r="B39" s="2946" t="str">
        <f>EASI.CensusLatest&amp;" - "&amp;EASI.CY</f>
        <v>2010 - 2021</v>
      </c>
      <c r="C39" s="2964" t="e">
        <f t="shared" ref="C39:H39" si="9">RATE(EASI.CY-EASI.CensusLatest,1,-C34,C35)</f>
        <v>#NUM!</v>
      </c>
      <c r="D39" s="2964" t="e">
        <f t="shared" si="9"/>
        <v>#NUM!</v>
      </c>
      <c r="E39" s="2964" t="e">
        <f t="shared" si="9"/>
        <v>#NUM!</v>
      </c>
      <c r="F39" s="2964" t="e">
        <f t="shared" si="9"/>
        <v>#NUM!</v>
      </c>
      <c r="G39" s="2964" t="e">
        <f t="shared" si="9"/>
        <v>#NUM!</v>
      </c>
      <c r="H39" s="2964" t="e">
        <f t="shared" si="9"/>
        <v>#NUM!</v>
      </c>
      <c r="I39" s="2964" t="e">
        <f t="shared" ref="I39" si="10">RATE(EASI.CY-EASI.CensusLatest,1,-I34,I35)</f>
        <v>#NUM!</v>
      </c>
    </row>
    <row r="40" spans="1:9" x14ac:dyDescent="0.25">
      <c r="A40" s="2937">
        <v>38</v>
      </c>
      <c r="B40" s="2946" t="str">
        <f>EASI.CY&amp;" - "&amp;EASI.FY</f>
        <v>2021 - 2026</v>
      </c>
      <c r="C40" s="2964" t="e">
        <f t="shared" ref="C40:H40" si="11">RATE(EASI.FY-EASI.CY,1,-C35,C36)</f>
        <v>#NUM!</v>
      </c>
      <c r="D40" s="2964" t="e">
        <f t="shared" si="11"/>
        <v>#NUM!</v>
      </c>
      <c r="E40" s="2964" t="e">
        <f t="shared" si="11"/>
        <v>#NUM!</v>
      </c>
      <c r="F40" s="2964" t="e">
        <f t="shared" si="11"/>
        <v>#NUM!</v>
      </c>
      <c r="G40" s="2964" t="e">
        <f t="shared" si="11"/>
        <v>#NUM!</v>
      </c>
      <c r="H40" s="2964" t="e">
        <f t="shared" si="11"/>
        <v>#NUM!</v>
      </c>
      <c r="I40" s="2964" t="e">
        <f t="shared" ref="I40" si="12">RATE(EASI.FY-EASI.CY,1,-I35,I36)</f>
        <v>#NUM!</v>
      </c>
    </row>
    <row r="41" spans="1:9" x14ac:dyDescent="0.25">
      <c r="A41" s="2937">
        <v>39</v>
      </c>
      <c r="B41" s="2940" t="s">
        <v>18583</v>
      </c>
      <c r="C41" s="2941"/>
      <c r="D41" s="2941"/>
      <c r="E41" s="2941"/>
      <c r="F41" s="2941"/>
      <c r="G41" s="2941"/>
      <c r="H41" s="2941"/>
      <c r="I41" s="2941"/>
    </row>
    <row r="42" spans="1:9" x14ac:dyDescent="0.25">
      <c r="A42" s="2937">
        <v>40</v>
      </c>
      <c r="B42" s="2944" t="s">
        <v>17845</v>
      </c>
      <c r="C42" s="2963"/>
      <c r="D42" s="2963"/>
      <c r="E42" s="2963"/>
      <c r="F42" s="2963"/>
      <c r="G42" s="2963"/>
      <c r="H42" s="2963"/>
      <c r="I42" s="2963"/>
    </row>
    <row r="43" spans="1:9" x14ac:dyDescent="0.25">
      <c r="A43" s="2937">
        <v>41</v>
      </c>
      <c r="B43" s="2940" t="s">
        <v>18584</v>
      </c>
      <c r="C43" s="2949"/>
      <c r="D43" s="2949"/>
      <c r="E43" s="2949"/>
      <c r="F43" s="2949"/>
      <c r="G43" s="2949"/>
      <c r="H43" s="2949"/>
      <c r="I43" s="2949"/>
    </row>
    <row r="44" spans="1:9" x14ac:dyDescent="0.25">
      <c r="A44" s="2937">
        <v>42</v>
      </c>
      <c r="B44" s="2940" t="s">
        <v>18585</v>
      </c>
      <c r="C44" s="2941"/>
      <c r="D44" s="2941"/>
      <c r="E44" s="2941"/>
      <c r="F44" s="2941"/>
      <c r="G44" s="2941"/>
      <c r="H44" s="2941"/>
      <c r="I44" s="2941"/>
    </row>
    <row r="45" spans="1:9" x14ac:dyDescent="0.25">
      <c r="A45" s="2937">
        <v>43</v>
      </c>
      <c r="B45" s="2940" t="s">
        <v>18586</v>
      </c>
      <c r="C45" s="2943"/>
      <c r="D45" s="2943"/>
      <c r="E45" s="2943"/>
      <c r="F45" s="2943"/>
      <c r="G45" s="2943"/>
      <c r="H45" s="2943"/>
      <c r="I45" s="2943"/>
    </row>
    <row r="46" spans="1:9" x14ac:dyDescent="0.25">
      <c r="A46" s="2937">
        <v>44</v>
      </c>
      <c r="B46" s="2946" t="s">
        <v>18587</v>
      </c>
      <c r="C46" s="2947"/>
      <c r="D46" s="2947"/>
      <c r="E46" s="2947"/>
      <c r="F46" s="2947"/>
      <c r="G46" s="2947"/>
      <c r="H46" s="2947"/>
      <c r="I46" s="2947"/>
    </row>
    <row r="47" spans="1:9" x14ac:dyDescent="0.25">
      <c r="A47" s="2937">
        <v>45</v>
      </c>
      <c r="B47" s="2946" t="s">
        <v>18588</v>
      </c>
      <c r="C47" s="2947"/>
      <c r="D47" s="2947"/>
      <c r="E47" s="2947"/>
      <c r="F47" s="2947"/>
      <c r="G47" s="2947"/>
      <c r="H47" s="2947"/>
      <c r="I47" s="2947"/>
    </row>
    <row r="48" spans="1:9" x14ac:dyDescent="0.25">
      <c r="A48" s="2937">
        <v>46</v>
      </c>
      <c r="B48" s="2946" t="s">
        <v>18589</v>
      </c>
      <c r="C48" s="2947"/>
      <c r="D48" s="2947"/>
      <c r="E48" s="2947"/>
      <c r="F48" s="2947"/>
      <c r="G48" s="2947"/>
      <c r="H48" s="2947"/>
      <c r="I48" s="2947"/>
    </row>
    <row r="49" spans="1:9" x14ac:dyDescent="0.25">
      <c r="A49" s="2937">
        <v>47</v>
      </c>
      <c r="B49" s="2944" t="s">
        <v>544</v>
      </c>
      <c r="C49" s="2965"/>
      <c r="D49" s="2965"/>
      <c r="E49" s="2965"/>
      <c r="F49" s="2965"/>
      <c r="G49" s="2965"/>
      <c r="H49" s="2965"/>
      <c r="I49" s="2965"/>
    </row>
    <row r="50" spans="1:9" x14ac:dyDescent="0.25">
      <c r="A50" s="2937">
        <v>48</v>
      </c>
      <c r="B50" s="2940" t="s">
        <v>18590</v>
      </c>
      <c r="C50" s="2948"/>
      <c r="D50" s="2948"/>
      <c r="E50" s="2948"/>
      <c r="F50" s="2948"/>
      <c r="G50" s="2948"/>
      <c r="H50" s="2948"/>
      <c r="I50" s="2948"/>
    </row>
    <row r="51" spans="1:9" x14ac:dyDescent="0.25">
      <c r="A51" s="2937">
        <v>49</v>
      </c>
      <c r="B51" s="2940" t="s">
        <v>18591</v>
      </c>
      <c r="C51" s="2948"/>
      <c r="D51" s="2948"/>
      <c r="E51" s="2948"/>
      <c r="F51" s="2948"/>
      <c r="G51" s="2948"/>
      <c r="H51" s="2948"/>
      <c r="I51" s="2948"/>
    </row>
    <row r="52" spans="1:9" x14ac:dyDescent="0.25">
      <c r="A52" s="2937">
        <v>50</v>
      </c>
      <c r="B52" s="2940" t="s">
        <v>18592</v>
      </c>
      <c r="C52" s="2950"/>
      <c r="D52" s="2950"/>
      <c r="E52" s="2950"/>
      <c r="F52" s="2950"/>
      <c r="G52" s="2950"/>
      <c r="H52" s="2950"/>
      <c r="I52" s="2950"/>
    </row>
    <row r="53" spans="1:9" x14ac:dyDescent="0.25">
      <c r="A53" s="2937">
        <v>51</v>
      </c>
      <c r="B53" s="2940" t="s">
        <v>18593</v>
      </c>
      <c r="C53" s="2951"/>
      <c r="D53" s="2951"/>
      <c r="E53" s="2951"/>
      <c r="F53" s="2951"/>
      <c r="G53" s="2951"/>
      <c r="H53" s="2951"/>
      <c r="I53" s="2951"/>
    </row>
    <row r="54" spans="1:9" x14ac:dyDescent="0.25">
      <c r="A54" s="2937">
        <v>52</v>
      </c>
      <c r="B54" s="2944" t="s">
        <v>563</v>
      </c>
      <c r="C54" s="2963"/>
      <c r="D54" s="2963"/>
      <c r="E54" s="2963"/>
      <c r="F54" s="2963"/>
      <c r="G54" s="2963"/>
      <c r="H54" s="2963"/>
      <c r="I54" s="2963"/>
    </row>
    <row r="55" spans="1:9" x14ac:dyDescent="0.25">
      <c r="A55" s="2937">
        <v>53</v>
      </c>
      <c r="B55" s="2940" t="s">
        <v>543</v>
      </c>
      <c r="C55" s="2949"/>
      <c r="D55" s="2949"/>
      <c r="E55" s="2949"/>
      <c r="F55" s="2949"/>
      <c r="G55" s="2949"/>
      <c r="H55" s="2949"/>
      <c r="I55" s="2949"/>
    </row>
    <row r="56" spans="1:9" x14ac:dyDescent="0.25">
      <c r="A56" s="2937">
        <v>54</v>
      </c>
      <c r="B56" s="2940" t="s">
        <v>18594</v>
      </c>
      <c r="C56" s="2952"/>
      <c r="D56" s="2952"/>
      <c r="E56" s="2952"/>
      <c r="F56" s="2952"/>
      <c r="G56" s="2952"/>
      <c r="H56" s="2952"/>
      <c r="I56" s="2952"/>
    </row>
    <row r="57" spans="1:9" x14ac:dyDescent="0.25">
      <c r="A57" s="2937">
        <v>55</v>
      </c>
      <c r="B57" s="2945" t="s">
        <v>18595</v>
      </c>
      <c r="C57" s="2963"/>
      <c r="D57" s="2963"/>
      <c r="E57" s="2963"/>
      <c r="F57" s="2963"/>
      <c r="G57" s="2963"/>
      <c r="H57" s="2963"/>
      <c r="I57" s="2963"/>
    </row>
    <row r="58" spans="1:9" x14ac:dyDescent="0.25">
      <c r="A58" s="2937">
        <v>56</v>
      </c>
      <c r="B58" s="2946" t="s">
        <v>18596</v>
      </c>
      <c r="C58" s="2948"/>
      <c r="D58" s="2948"/>
      <c r="E58" s="2948"/>
      <c r="F58" s="2948"/>
      <c r="G58" s="2948"/>
      <c r="H58" s="2948"/>
      <c r="I58" s="2948"/>
    </row>
    <row r="59" spans="1:9" x14ac:dyDescent="0.25">
      <c r="A59" s="2937">
        <v>57</v>
      </c>
      <c r="B59" s="2946" t="s">
        <v>18597</v>
      </c>
      <c r="C59" s="2948"/>
      <c r="D59" s="2948"/>
      <c r="E59" s="2948"/>
      <c r="F59" s="2948"/>
      <c r="G59" s="2948"/>
      <c r="H59" s="2948"/>
      <c r="I59" s="2948"/>
    </row>
    <row r="60" spans="1:9" x14ac:dyDescent="0.25">
      <c r="A60" s="2937">
        <v>58</v>
      </c>
      <c r="B60" s="2946" t="s">
        <v>18598</v>
      </c>
      <c r="C60" s="2948"/>
      <c r="D60" s="2948"/>
      <c r="E60" s="2948"/>
      <c r="F60" s="2948"/>
      <c r="G60" s="2948"/>
      <c r="H60" s="2948"/>
      <c r="I60" s="2948"/>
    </row>
    <row r="61" spans="1:9" x14ac:dyDescent="0.25">
      <c r="A61" s="2937">
        <v>59</v>
      </c>
      <c r="B61" s="2946" t="s">
        <v>18599</v>
      </c>
      <c r="C61" s="2948"/>
      <c r="D61" s="2948"/>
      <c r="E61" s="2948"/>
      <c r="F61" s="2948"/>
      <c r="G61" s="2948"/>
      <c r="H61" s="2948"/>
      <c r="I61" s="2948"/>
    </row>
    <row r="62" spans="1:9" x14ac:dyDescent="0.25">
      <c r="A62" s="2937">
        <v>60</v>
      </c>
      <c r="B62" s="2946" t="s">
        <v>18600</v>
      </c>
      <c r="C62" s="2948"/>
      <c r="D62" s="2948"/>
      <c r="E62" s="2948"/>
      <c r="F62" s="2948"/>
      <c r="G62" s="2948"/>
      <c r="H62" s="2948"/>
      <c r="I62" s="2948"/>
    </row>
    <row r="63" spans="1:9" x14ac:dyDescent="0.25">
      <c r="A63" s="2937">
        <v>61</v>
      </c>
      <c r="B63" s="2946" t="s">
        <v>18601</v>
      </c>
      <c r="C63" s="2948"/>
      <c r="D63" s="2948"/>
      <c r="E63" s="2948"/>
      <c r="F63" s="2948"/>
      <c r="G63" s="2948"/>
      <c r="H63" s="2948"/>
      <c r="I63" s="2948"/>
    </row>
    <row r="64" spans="1:9" x14ac:dyDescent="0.25">
      <c r="A64" s="2937">
        <v>62</v>
      </c>
      <c r="B64" s="2946" t="s">
        <v>18602</v>
      </c>
      <c r="C64" s="2948"/>
      <c r="D64" s="2948"/>
      <c r="E64" s="2948"/>
      <c r="F64" s="2948"/>
      <c r="G64" s="2948"/>
      <c r="H64" s="2948"/>
      <c r="I64" s="2948"/>
    </row>
    <row r="65" spans="1:9" x14ac:dyDescent="0.25">
      <c r="A65" s="2937">
        <v>63</v>
      </c>
      <c r="B65" s="2946" t="s">
        <v>18603</v>
      </c>
      <c r="C65" s="2948"/>
      <c r="D65" s="2948"/>
      <c r="E65" s="2948"/>
      <c r="F65" s="2948"/>
      <c r="G65" s="2948"/>
      <c r="H65" s="2948"/>
      <c r="I65" s="2948"/>
    </row>
    <row r="66" spans="1:9" x14ac:dyDescent="0.25">
      <c r="A66" s="2937">
        <v>64</v>
      </c>
      <c r="B66" s="2946" t="s">
        <v>18604</v>
      </c>
      <c r="C66" s="2948"/>
      <c r="D66" s="2948"/>
      <c r="E66" s="2948"/>
      <c r="F66" s="2948"/>
      <c r="G66" s="2948"/>
      <c r="H66" s="2948"/>
      <c r="I66" s="2948"/>
    </row>
    <row r="67" spans="1:9" x14ac:dyDescent="0.25">
      <c r="A67" s="2937">
        <v>65</v>
      </c>
      <c r="B67" s="2946" t="s">
        <v>18605</v>
      </c>
      <c r="C67" s="2948"/>
      <c r="D67" s="2948"/>
      <c r="E67" s="2948"/>
      <c r="F67" s="2948"/>
      <c r="G67" s="2948"/>
      <c r="H67" s="2948"/>
      <c r="I67" s="2948"/>
    </row>
    <row r="68" spans="1:9" x14ac:dyDescent="0.25">
      <c r="A68" s="2937">
        <v>66</v>
      </c>
      <c r="B68" s="2940" t="s">
        <v>18606</v>
      </c>
      <c r="C68" s="2949"/>
      <c r="D68" s="2949"/>
      <c r="E68" s="2949"/>
      <c r="F68" s="2949"/>
      <c r="G68" s="2949"/>
      <c r="H68" s="2949"/>
      <c r="I68" s="2949"/>
    </row>
    <row r="69" spans="1:9" x14ac:dyDescent="0.25">
      <c r="A69" s="2937">
        <v>67</v>
      </c>
      <c r="B69" s="2940" t="s">
        <v>18607</v>
      </c>
      <c r="C69" s="2949"/>
      <c r="D69" s="2949"/>
      <c r="E69" s="2949"/>
      <c r="F69" s="2949"/>
      <c r="G69" s="2949"/>
      <c r="H69" s="2949"/>
      <c r="I69" s="2949"/>
    </row>
    <row r="70" spans="1:9" x14ac:dyDescent="0.25">
      <c r="A70" s="2937">
        <v>68</v>
      </c>
      <c r="B70" s="2944" t="s">
        <v>18608</v>
      </c>
      <c r="C70" s="2963"/>
      <c r="D70" s="2963"/>
      <c r="E70" s="2963"/>
      <c r="F70" s="2963"/>
      <c r="G70" s="2963"/>
      <c r="H70" s="2963"/>
      <c r="I70" s="2963"/>
    </row>
    <row r="71" spans="1:9" x14ac:dyDescent="0.25">
      <c r="A71" s="2937">
        <v>69</v>
      </c>
      <c r="B71" s="2940" t="s">
        <v>18609</v>
      </c>
      <c r="C71" s="2952"/>
      <c r="D71" s="2952"/>
      <c r="E71" s="2952"/>
      <c r="F71" s="2952"/>
      <c r="G71" s="2952"/>
      <c r="H71" s="2952"/>
      <c r="I71" s="2952"/>
    </row>
    <row r="72" spans="1:9" x14ac:dyDescent="0.25">
      <c r="A72" s="2937">
        <v>70</v>
      </c>
      <c r="B72" s="2940" t="s">
        <v>18610</v>
      </c>
      <c r="C72" s="2952"/>
      <c r="D72" s="2952"/>
      <c r="E72" s="2952"/>
      <c r="F72" s="2952"/>
      <c r="G72" s="2952"/>
      <c r="H72" s="2952"/>
      <c r="I72" s="2952"/>
    </row>
    <row r="73" spans="1:9" x14ac:dyDescent="0.25">
      <c r="A73" s="2937">
        <v>71</v>
      </c>
      <c r="B73" s="2940" t="s">
        <v>18611</v>
      </c>
      <c r="C73" s="2952"/>
      <c r="D73" s="2952"/>
      <c r="E73" s="2952"/>
      <c r="F73" s="2952"/>
      <c r="G73" s="2952"/>
      <c r="H73" s="2952"/>
      <c r="I73" s="2952"/>
    </row>
    <row r="74" spans="1:9" x14ac:dyDescent="0.25">
      <c r="A74" s="2937">
        <v>72</v>
      </c>
      <c r="B74" s="2940" t="s">
        <v>18612</v>
      </c>
      <c r="C74" s="2952"/>
      <c r="D74" s="2952"/>
      <c r="E74" s="2952"/>
      <c r="F74" s="2952"/>
      <c r="G74" s="2952"/>
      <c r="H74" s="2952"/>
      <c r="I74" s="2952"/>
    </row>
    <row r="75" spans="1:9" x14ac:dyDescent="0.25">
      <c r="A75" s="2937">
        <v>73</v>
      </c>
      <c r="B75" s="2940" t="s">
        <v>18613</v>
      </c>
      <c r="C75" s="2952"/>
      <c r="D75" s="2952"/>
      <c r="E75" s="2952"/>
      <c r="F75" s="2952"/>
      <c r="G75" s="2952"/>
      <c r="H75" s="2952"/>
      <c r="I75" s="2952"/>
    </row>
    <row r="76" spans="1:9" x14ac:dyDescent="0.25">
      <c r="A76" s="2937">
        <v>74</v>
      </c>
      <c r="B76" s="2940" t="s">
        <v>18614</v>
      </c>
      <c r="C76" s="2952"/>
      <c r="D76" s="2952"/>
      <c r="E76" s="2952"/>
      <c r="F76" s="2952"/>
      <c r="G76" s="2952"/>
      <c r="H76" s="2952"/>
      <c r="I76" s="2952"/>
    </row>
    <row r="77" spans="1:9" x14ac:dyDescent="0.25">
      <c r="A77" s="2937">
        <v>75</v>
      </c>
      <c r="B77" s="2940" t="s">
        <v>18615</v>
      </c>
      <c r="C77" s="2952"/>
      <c r="D77" s="2952"/>
      <c r="E77" s="2952"/>
      <c r="F77" s="2952"/>
      <c r="G77" s="2952"/>
      <c r="H77" s="2952"/>
      <c r="I77" s="2952"/>
    </row>
    <row r="78" spans="1:9" x14ac:dyDescent="0.25">
      <c r="A78" s="2937">
        <v>76</v>
      </c>
      <c r="B78" s="2940" t="s">
        <v>18616</v>
      </c>
      <c r="C78" s="2952"/>
      <c r="D78" s="2952"/>
      <c r="E78" s="2952"/>
      <c r="F78" s="2952"/>
      <c r="G78" s="2952"/>
      <c r="H78" s="2952"/>
      <c r="I78" s="2952"/>
    </row>
    <row r="79" spans="1:9" x14ac:dyDescent="0.25">
      <c r="A79" s="2937">
        <v>77</v>
      </c>
      <c r="B79" s="2940" t="s">
        <v>18617</v>
      </c>
      <c r="C79" s="2952"/>
      <c r="D79" s="2952"/>
      <c r="E79" s="2952"/>
      <c r="F79" s="2952"/>
      <c r="G79" s="2952"/>
      <c r="H79" s="2952"/>
      <c r="I79" s="2952"/>
    </row>
    <row r="80" spans="1:9" x14ac:dyDescent="0.25">
      <c r="A80" s="2937">
        <v>78</v>
      </c>
      <c r="B80" s="2940" t="s">
        <v>1757</v>
      </c>
      <c r="C80" s="2952"/>
      <c r="D80" s="2952"/>
      <c r="E80" s="2952"/>
      <c r="F80" s="2952"/>
      <c r="G80" s="2952"/>
      <c r="H80" s="2952"/>
      <c r="I80" s="2952"/>
    </row>
    <row r="81" spans="1:9" x14ac:dyDescent="0.25">
      <c r="A81" s="2937">
        <v>79</v>
      </c>
      <c r="B81" s="2940" t="s">
        <v>18618</v>
      </c>
      <c r="C81" s="2952"/>
      <c r="D81" s="2952"/>
      <c r="E81" s="2952"/>
      <c r="F81" s="2952"/>
      <c r="G81" s="2952"/>
      <c r="H81" s="2952"/>
      <c r="I81" s="2952"/>
    </row>
    <row r="82" spans="1:9" x14ac:dyDescent="0.25">
      <c r="A82" s="2937">
        <v>80</v>
      </c>
      <c r="B82" s="2940" t="s">
        <v>18619</v>
      </c>
      <c r="C82" s="2952"/>
      <c r="D82" s="2952"/>
      <c r="E82" s="2952"/>
      <c r="F82" s="2952"/>
      <c r="G82" s="2952"/>
      <c r="H82" s="2952"/>
      <c r="I82" s="2952"/>
    </row>
    <row r="83" spans="1:9" x14ac:dyDescent="0.25">
      <c r="A83" s="2937">
        <v>81</v>
      </c>
      <c r="B83" s="2940" t="s">
        <v>18620</v>
      </c>
      <c r="C83" s="2952"/>
      <c r="D83" s="2952"/>
      <c r="E83" s="2952"/>
      <c r="F83" s="2952"/>
      <c r="G83" s="2952"/>
      <c r="H83" s="2952"/>
      <c r="I83" s="2952"/>
    </row>
    <row r="84" spans="1:9" x14ac:dyDescent="0.25">
      <c r="A84" s="2937">
        <v>82</v>
      </c>
      <c r="B84" s="2953" t="str">
        <f>"Source:  EASI;  * CBSA = "&amp;G5</f>
        <v xml:space="preserve">Source:  EASI;  * CBSA = </v>
      </c>
      <c r="C84" s="2966"/>
      <c r="D84" s="2966"/>
      <c r="E84" s="2966"/>
      <c r="F84" s="2966"/>
      <c r="G84" s="2966"/>
      <c r="H84" s="2966"/>
      <c r="I84" s="2966"/>
    </row>
  </sheetData>
  <pageMargins left="0.7" right="0.7" top="0.75" bottom="0.75" header="0.3" footer="0.3"/>
  <drawing r:id="rId1"/>
  <legacyDrawing r:id="rId2"/>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C1508-A56A-44A3-BDE7-3E76539A2A04}">
  <sheetPr codeName="Sheet78"/>
  <dimension ref="A1:Z99"/>
  <sheetViews>
    <sheetView topLeftCell="A33" workbookViewId="0">
      <selection activeCell="B73" sqref="B73:J76"/>
    </sheetView>
  </sheetViews>
  <sheetFormatPr defaultColWidth="9.140625" defaultRowHeight="14.25" x14ac:dyDescent="0.25"/>
  <cols>
    <col min="1" max="2" width="5.7109375" style="2718" customWidth="1"/>
    <col min="3" max="3" width="50.7109375" style="2781" customWidth="1"/>
    <col min="4" max="8" width="30.7109375" style="2781" customWidth="1"/>
    <col min="9" max="9" width="71.7109375" style="2718" bestFit="1" customWidth="1"/>
    <col min="10" max="11" width="5.7109375" style="2718" customWidth="1"/>
    <col min="12" max="12" width="26.28515625" style="2718" bestFit="1" customWidth="1"/>
    <col min="13" max="13" width="54.5703125" style="2718" bestFit="1" customWidth="1"/>
    <col min="14" max="14" width="22.85546875" style="2718" bestFit="1" customWidth="1"/>
    <col min="15" max="16384" width="9.140625" style="2718"/>
  </cols>
  <sheetData>
    <row r="1" spans="1:26" ht="60" customHeight="1" x14ac:dyDescent="0.25">
      <c r="A1" s="2716"/>
      <c r="B1" s="2716"/>
      <c r="C1" s="2717"/>
      <c r="D1" s="2717"/>
      <c r="E1" s="2717"/>
      <c r="F1" s="2717"/>
      <c r="G1" s="2717"/>
      <c r="H1" s="2717"/>
      <c r="I1" s="2716"/>
      <c r="J1" s="2716"/>
      <c r="K1" s="2716"/>
      <c r="L1" s="2716"/>
      <c r="M1" s="2716"/>
      <c r="N1" s="2716"/>
      <c r="O1" s="2716"/>
      <c r="P1" s="2716"/>
      <c r="Q1" s="2716"/>
      <c r="R1" s="2716"/>
      <c r="S1" s="2716"/>
      <c r="T1" s="2716"/>
      <c r="U1" s="2716"/>
      <c r="V1" s="2716"/>
      <c r="W1" s="2716"/>
      <c r="X1" s="2716"/>
      <c r="Y1" s="2716"/>
      <c r="Z1" s="2716"/>
    </row>
    <row r="2" spans="1:26" ht="69.95" customHeight="1" x14ac:dyDescent="0.25">
      <c r="A2" s="2716"/>
      <c r="B2" s="2716"/>
      <c r="C2" s="2898" t="s">
        <v>18500</v>
      </c>
      <c r="D2" s="4372" t="s">
        <v>18537</v>
      </c>
      <c r="E2" s="4372"/>
      <c r="F2" s="4372"/>
      <c r="G2" s="4372"/>
      <c r="H2" s="4372"/>
      <c r="I2" s="4372"/>
      <c r="J2" s="2716"/>
      <c r="K2" s="2716"/>
      <c r="L2" s="2720" t="s">
        <v>18270</v>
      </c>
      <c r="M2" s="2720" t="s">
        <v>18271</v>
      </c>
      <c r="N2" s="2720" t="s">
        <v>18272</v>
      </c>
      <c r="O2" s="2716"/>
      <c r="P2" s="2716"/>
      <c r="Q2" s="2716"/>
      <c r="R2" s="2716"/>
      <c r="S2" s="2716"/>
      <c r="T2" s="2716"/>
      <c r="U2" s="2716"/>
      <c r="V2" s="2716"/>
      <c r="W2" s="2716"/>
      <c r="X2" s="2716"/>
      <c r="Y2" s="2716"/>
      <c r="Z2" s="2716"/>
    </row>
    <row r="3" spans="1:26" ht="33" x14ac:dyDescent="0.3">
      <c r="A3" s="2716"/>
      <c r="B3" s="2721"/>
      <c r="C3" s="2923" t="s">
        <v>18501</v>
      </c>
      <c r="D3" s="2922" t="s">
        <v>18346</v>
      </c>
      <c r="E3" s="2924" t="s">
        <v>18348</v>
      </c>
      <c r="F3" s="2924" t="s">
        <v>18347</v>
      </c>
      <c r="G3" s="2921" t="s">
        <v>18230</v>
      </c>
      <c r="H3" s="2921" t="s">
        <v>18349</v>
      </c>
      <c r="I3" s="2722" t="s">
        <v>18211</v>
      </c>
      <c r="J3" s="2723"/>
      <c r="K3" s="2716"/>
      <c r="L3" s="2724" t="s">
        <v>18358</v>
      </c>
      <c r="M3" s="2725" t="s">
        <v>18231</v>
      </c>
      <c r="N3" s="2725" t="s">
        <v>18257</v>
      </c>
      <c r="O3" s="2716"/>
      <c r="P3" s="2716"/>
      <c r="Q3" s="2716"/>
      <c r="R3" s="2716"/>
      <c r="S3" s="2716"/>
      <c r="T3" s="2716"/>
      <c r="U3" s="2716"/>
      <c r="V3" s="2716"/>
      <c r="W3" s="2716"/>
      <c r="X3" s="2716"/>
      <c r="Y3" s="2716"/>
      <c r="Z3" s="2716"/>
    </row>
    <row r="4" spans="1:26" x14ac:dyDescent="0.25">
      <c r="A4" s="2716"/>
      <c r="B4" s="2721"/>
      <c r="C4" s="2726" t="s">
        <v>18213</v>
      </c>
      <c r="D4" s="2925" t="b">
        <v>0</v>
      </c>
      <c r="E4" s="2926" t="b">
        <v>0</v>
      </c>
      <c r="F4" s="2926" t="b">
        <v>0</v>
      </c>
      <c r="G4" s="2926" t="b">
        <v>0</v>
      </c>
      <c r="H4" s="2926" t="b">
        <v>0</v>
      </c>
      <c r="I4" s="2728"/>
      <c r="J4" s="2723"/>
      <c r="K4" s="2716"/>
      <c r="L4" s="2724" t="s">
        <v>18235</v>
      </c>
      <c r="M4" s="2725" t="s">
        <v>18248</v>
      </c>
      <c r="N4" s="2725" t="s">
        <v>18258</v>
      </c>
      <c r="O4" s="2716"/>
      <c r="P4" s="2716"/>
      <c r="Q4" s="2716"/>
      <c r="R4" s="2716"/>
      <c r="S4" s="2716"/>
      <c r="T4" s="2716"/>
      <c r="U4" s="2716"/>
      <c r="V4" s="2716"/>
      <c r="W4" s="2716"/>
      <c r="X4" s="2716"/>
      <c r="Y4" s="2716"/>
      <c r="Z4" s="2716"/>
    </row>
    <row r="5" spans="1:26" x14ac:dyDescent="0.25">
      <c r="A5" s="2716"/>
      <c r="B5" s="2721"/>
      <c r="C5" s="2729" t="s">
        <v>18207</v>
      </c>
      <c r="D5" s="2727" t="s">
        <v>18208</v>
      </c>
      <c r="E5" s="2717"/>
      <c r="F5" s="2717"/>
      <c r="G5" s="2717"/>
      <c r="H5" s="2717"/>
      <c r="I5" s="2728"/>
      <c r="J5" s="2723"/>
      <c r="K5" s="2716"/>
      <c r="L5" s="2724" t="s">
        <v>18236</v>
      </c>
      <c r="M5" s="2725" t="s">
        <v>18249</v>
      </c>
      <c r="N5" s="2725" t="s">
        <v>18259</v>
      </c>
      <c r="O5" s="2716"/>
      <c r="P5" s="2716"/>
      <c r="Q5" s="2716"/>
      <c r="R5" s="2716"/>
      <c r="S5" s="2716"/>
      <c r="T5" s="2716"/>
      <c r="U5" s="2716"/>
      <c r="V5" s="2716"/>
      <c r="W5" s="2716"/>
      <c r="X5" s="2716"/>
      <c r="Y5" s="2716"/>
      <c r="Z5" s="2716"/>
    </row>
    <row r="6" spans="1:26" x14ac:dyDescent="0.25">
      <c r="A6" s="2716"/>
      <c r="B6" s="2721"/>
      <c r="C6" s="2729" t="s">
        <v>18209</v>
      </c>
      <c r="D6" s="2730">
        <f>Date_Report</f>
        <v>0</v>
      </c>
      <c r="E6" s="2783"/>
      <c r="F6" s="2783"/>
      <c r="G6" s="2783"/>
      <c r="H6" s="2783"/>
      <c r="I6" s="2728"/>
      <c r="J6" s="2723"/>
      <c r="K6" s="2716"/>
      <c r="L6" s="2724" t="s">
        <v>18237</v>
      </c>
      <c r="M6" s="2725" t="s">
        <v>18250</v>
      </c>
      <c r="N6" s="2725" t="s">
        <v>18260</v>
      </c>
      <c r="O6" s="2716"/>
      <c r="P6" s="2716"/>
      <c r="Q6" s="2716"/>
      <c r="R6" s="2716"/>
      <c r="S6" s="2716"/>
      <c r="T6" s="2716"/>
      <c r="U6" s="2716"/>
      <c r="V6" s="2716"/>
      <c r="W6" s="2716"/>
      <c r="X6" s="2716"/>
      <c r="Y6" s="2716"/>
      <c r="Z6" s="2716"/>
    </row>
    <row r="7" spans="1:26" ht="20.100000000000001" customHeight="1" x14ac:dyDescent="0.25">
      <c r="A7" s="2716"/>
      <c r="B7" s="2721"/>
      <c r="C7" s="2726" t="s">
        <v>18214</v>
      </c>
      <c r="D7" s="2727"/>
      <c r="E7" s="2717"/>
      <c r="F7" s="2717"/>
      <c r="G7" s="2717"/>
      <c r="H7" s="2717"/>
      <c r="I7" s="2728"/>
      <c r="J7" s="2723"/>
      <c r="K7" s="2716"/>
      <c r="L7" s="2724" t="s">
        <v>60</v>
      </c>
      <c r="M7" s="2725" t="s">
        <v>18251</v>
      </c>
      <c r="N7" s="2725" t="s">
        <v>18261</v>
      </c>
      <c r="O7" s="2716"/>
      <c r="P7" s="2716"/>
      <c r="Q7" s="2716"/>
      <c r="R7" s="2716"/>
      <c r="S7" s="2716"/>
      <c r="T7" s="2716"/>
      <c r="U7" s="2716"/>
      <c r="V7" s="2716"/>
      <c r="W7" s="2716"/>
      <c r="X7" s="2716"/>
      <c r="Y7" s="2716"/>
      <c r="Z7" s="2716"/>
    </row>
    <row r="8" spans="1:26" x14ac:dyDescent="0.25">
      <c r="A8" s="2716"/>
      <c r="B8" s="2721"/>
      <c r="C8" s="2729" t="s">
        <v>18210</v>
      </c>
      <c r="D8" s="2731">
        <f>Tax_CurrentValue</f>
        <v>128215</v>
      </c>
      <c r="E8" s="2784"/>
      <c r="F8" s="2784"/>
      <c r="G8" s="2784"/>
      <c r="H8" s="2784"/>
      <c r="I8" s="2728" t="s">
        <v>18212</v>
      </c>
      <c r="J8" s="2723"/>
      <c r="K8" s="2716"/>
      <c r="L8" s="2724" t="s">
        <v>18238</v>
      </c>
      <c r="M8" s="2725" t="s">
        <v>18252</v>
      </c>
      <c r="N8" s="2725" t="s">
        <v>18262</v>
      </c>
      <c r="O8" s="2716"/>
      <c r="P8" s="2716"/>
      <c r="Q8" s="2716"/>
      <c r="R8" s="2716"/>
      <c r="S8" s="2716"/>
      <c r="T8" s="2716"/>
      <c r="U8" s="2716"/>
      <c r="V8" s="2716"/>
      <c r="W8" s="2716"/>
      <c r="X8" s="2716"/>
      <c r="Y8" s="2716"/>
      <c r="Z8" s="2716"/>
    </row>
    <row r="9" spans="1:26" ht="20.100000000000001" customHeight="1" x14ac:dyDescent="0.25">
      <c r="A9" s="2716"/>
      <c r="B9" s="2721"/>
      <c r="C9" s="2726" t="s">
        <v>18215</v>
      </c>
      <c r="D9" s="2727"/>
      <c r="E9" s="2717"/>
      <c r="F9" s="2717"/>
      <c r="G9" s="2717"/>
      <c r="H9" s="2717"/>
      <c r="I9" s="2728"/>
      <c r="J9" s="2723"/>
      <c r="K9" s="2716"/>
      <c r="L9" s="2724" t="s">
        <v>18239</v>
      </c>
      <c r="M9" s="2725" t="s">
        <v>18357</v>
      </c>
      <c r="N9" s="2725" t="s">
        <v>18263</v>
      </c>
      <c r="O9" s="2716"/>
      <c r="P9" s="2716"/>
      <c r="Q9" s="2716"/>
      <c r="R9" s="2716"/>
      <c r="S9" s="2716"/>
      <c r="T9" s="2716"/>
      <c r="U9" s="2716"/>
      <c r="V9" s="2716"/>
      <c r="W9" s="2716"/>
      <c r="X9" s="2716"/>
      <c r="Y9" s="2716"/>
      <c r="Z9" s="2716"/>
    </row>
    <row r="10" spans="1:26" ht="28.5" x14ac:dyDescent="0.25">
      <c r="A10" s="2716"/>
      <c r="B10" s="2721"/>
      <c r="C10" s="2732" t="s">
        <v>18216</v>
      </c>
      <c r="D10" s="2727" t="str">
        <f>IF(Subject_Sold3Yrs="has","Yes","No")</f>
        <v>No</v>
      </c>
      <c r="E10" s="2717"/>
      <c r="F10" s="2717"/>
      <c r="G10" s="2717"/>
      <c r="H10" s="2717"/>
      <c r="I10" s="2728"/>
      <c r="J10" s="2723"/>
      <c r="K10" s="2716"/>
      <c r="L10" s="2724" t="s">
        <v>18240</v>
      </c>
      <c r="M10" s="2725" t="s">
        <v>18253</v>
      </c>
      <c r="N10" s="2725" t="s">
        <v>18264</v>
      </c>
      <c r="O10" s="2716"/>
      <c r="P10" s="2716"/>
      <c r="Q10" s="2716"/>
      <c r="R10" s="2716"/>
      <c r="S10" s="2716"/>
      <c r="T10" s="2716"/>
      <c r="U10" s="2716"/>
      <c r="V10" s="2716"/>
      <c r="W10" s="2716"/>
      <c r="X10" s="2716"/>
      <c r="Y10" s="2716"/>
      <c r="Z10" s="2716"/>
    </row>
    <row r="11" spans="1:26" x14ac:dyDescent="0.25">
      <c r="A11" s="2716"/>
      <c r="B11" s="2721"/>
      <c r="C11" s="2729" t="s">
        <v>18218</v>
      </c>
      <c r="D11" s="2731" t="str">
        <f>IF(D10="Yes",Subject_SalePrice,"")</f>
        <v/>
      </c>
      <c r="E11" s="2784"/>
      <c r="F11" s="2784"/>
      <c r="G11" s="2784"/>
      <c r="H11" s="2784"/>
      <c r="I11" s="2728"/>
      <c r="J11" s="2723"/>
      <c r="K11" s="2716"/>
      <c r="L11" s="2724" t="s">
        <v>18241</v>
      </c>
      <c r="M11" s="2725" t="s">
        <v>18359</v>
      </c>
      <c r="N11" s="2725" t="s">
        <v>18229</v>
      </c>
      <c r="O11" s="2716"/>
      <c r="P11" s="2716"/>
      <c r="Q11" s="2716"/>
      <c r="R11" s="2716"/>
      <c r="S11" s="2716"/>
      <c r="T11" s="2716"/>
      <c r="U11" s="2716"/>
      <c r="V11" s="2716"/>
      <c r="W11" s="2716"/>
      <c r="X11" s="2716"/>
      <c r="Y11" s="2716"/>
      <c r="Z11" s="2716"/>
    </row>
    <row r="12" spans="1:26" ht="15" thickBot="1" x14ac:dyDescent="0.3">
      <c r="A12" s="2716"/>
      <c r="B12" s="2721"/>
      <c r="C12" s="2729" t="s">
        <v>18219</v>
      </c>
      <c r="D12" s="2730" t="str">
        <f>IF(D10="Yes",Subject_PriorSaleDate,"")</f>
        <v/>
      </c>
      <c r="E12" s="2783"/>
      <c r="F12" s="2783"/>
      <c r="G12" s="2783"/>
      <c r="H12" s="2783"/>
      <c r="I12" s="2728"/>
      <c r="J12" s="2723"/>
      <c r="K12" s="2716"/>
      <c r="L12" s="2724" t="s">
        <v>18242</v>
      </c>
      <c r="M12" s="2725" t="s">
        <v>18254</v>
      </c>
      <c r="N12" s="2725" t="s">
        <v>262</v>
      </c>
      <c r="O12" s="2716"/>
      <c r="P12" s="2716"/>
      <c r="Q12" s="2716"/>
      <c r="R12" s="2716"/>
      <c r="S12" s="2716"/>
      <c r="T12" s="2716"/>
      <c r="U12" s="2716"/>
      <c r="V12" s="2716"/>
      <c r="W12" s="2716"/>
      <c r="X12" s="2716"/>
      <c r="Y12" s="2716"/>
      <c r="Z12" s="2716"/>
    </row>
    <row r="13" spans="1:26" x14ac:dyDescent="0.25">
      <c r="A13" s="2716"/>
      <c r="B13" s="2721"/>
      <c r="C13" s="2729" t="s">
        <v>18221</v>
      </c>
      <c r="D13" s="2733"/>
      <c r="E13" s="2783"/>
      <c r="F13" s="2783"/>
      <c r="G13" s="2783"/>
      <c r="H13" s="2783"/>
      <c r="I13" s="2728"/>
      <c r="J13" s="2723"/>
      <c r="K13" s="2716"/>
      <c r="L13" s="2724" t="s">
        <v>18230</v>
      </c>
      <c r="M13" s="2725" t="s">
        <v>18255</v>
      </c>
      <c r="N13" s="2725" t="s">
        <v>18233</v>
      </c>
      <c r="O13" s="2716"/>
      <c r="P13" s="2716"/>
      <c r="Q13" s="2716"/>
      <c r="R13" s="2716"/>
      <c r="S13" s="2716"/>
      <c r="T13" s="2716"/>
      <c r="U13" s="2716"/>
      <c r="V13" s="2716"/>
      <c r="W13" s="2716"/>
      <c r="X13" s="2716"/>
      <c r="Y13" s="2716"/>
      <c r="Z13" s="2716"/>
    </row>
    <row r="14" spans="1:26" x14ac:dyDescent="0.25">
      <c r="A14" s="2716"/>
      <c r="B14" s="2721"/>
      <c r="C14" s="2729" t="s">
        <v>18218</v>
      </c>
      <c r="D14" s="2734"/>
      <c r="E14" s="2783"/>
      <c r="F14" s="2783"/>
      <c r="G14" s="2783"/>
      <c r="H14" s="2783"/>
      <c r="I14" s="2728"/>
      <c r="J14" s="2723"/>
      <c r="K14" s="2716"/>
      <c r="L14" s="2724" t="s">
        <v>18243</v>
      </c>
      <c r="M14" s="2725" t="s">
        <v>18256</v>
      </c>
      <c r="N14" s="2735" t="s">
        <v>18265</v>
      </c>
      <c r="O14" s="2716"/>
      <c r="P14" s="2716"/>
      <c r="Q14" s="2716"/>
      <c r="R14" s="2716"/>
      <c r="S14" s="2716"/>
      <c r="T14" s="2716"/>
      <c r="U14" s="2716"/>
      <c r="V14" s="2716"/>
      <c r="W14" s="2716"/>
      <c r="X14" s="2716"/>
      <c r="Y14" s="2716"/>
      <c r="Z14" s="2716"/>
    </row>
    <row r="15" spans="1:26" s="2743" customFormat="1" ht="28.5" x14ac:dyDescent="0.25">
      <c r="A15" s="2736"/>
      <c r="B15" s="2737"/>
      <c r="C15" s="2738" t="s">
        <v>18222</v>
      </c>
      <c r="D15" s="2739"/>
      <c r="E15" s="2785"/>
      <c r="F15" s="2785"/>
      <c r="G15" s="2785"/>
      <c r="H15" s="2785"/>
      <c r="I15" s="2740"/>
      <c r="J15" s="2741"/>
      <c r="K15" s="2736"/>
      <c r="L15" s="2724" t="s">
        <v>18244</v>
      </c>
      <c r="M15" s="2735" t="s">
        <v>18232</v>
      </c>
      <c r="N15" s="2742"/>
      <c r="O15" s="2736"/>
      <c r="P15" s="2736"/>
      <c r="Q15" s="2736"/>
      <c r="R15" s="2736"/>
      <c r="S15" s="2736"/>
      <c r="T15" s="2736"/>
      <c r="U15" s="2736"/>
      <c r="V15" s="2736"/>
      <c r="W15" s="2736"/>
      <c r="X15" s="2736"/>
      <c r="Y15" s="2736"/>
      <c r="Z15" s="2736"/>
    </row>
    <row r="16" spans="1:26" x14ac:dyDescent="0.25">
      <c r="A16" s="2716"/>
      <c r="B16" s="2721"/>
      <c r="C16" s="2729" t="s">
        <v>18218</v>
      </c>
      <c r="D16" s="2734"/>
      <c r="E16" s="2783"/>
      <c r="F16" s="2783"/>
      <c r="G16" s="2783"/>
      <c r="H16" s="2783"/>
      <c r="I16" s="2728"/>
      <c r="J16" s="2723"/>
      <c r="K16" s="2716"/>
      <c r="L16" s="2725" t="s">
        <v>18228</v>
      </c>
      <c r="M16" s="2742"/>
      <c r="N16" s="2736"/>
      <c r="O16" s="2716"/>
      <c r="P16" s="2716"/>
      <c r="Q16" s="2716"/>
      <c r="R16" s="2716"/>
      <c r="S16" s="2716"/>
      <c r="T16" s="2716"/>
      <c r="U16" s="2716"/>
      <c r="V16" s="2716"/>
      <c r="W16" s="2716"/>
      <c r="X16" s="2716"/>
      <c r="Y16" s="2716"/>
      <c r="Z16" s="2716"/>
    </row>
    <row r="17" spans="1:26" ht="15" thickBot="1" x14ac:dyDescent="0.3">
      <c r="A17" s="2716"/>
      <c r="B17" s="2721"/>
      <c r="C17" s="2729" t="s">
        <v>18539</v>
      </c>
      <c r="D17" s="2744"/>
      <c r="E17" s="2927" t="s">
        <v>18538</v>
      </c>
      <c r="F17" s="2783"/>
      <c r="G17" s="2783"/>
      <c r="H17" s="2783"/>
      <c r="I17" s="2728"/>
      <c r="J17" s="2723"/>
      <c r="K17" s="2716"/>
      <c r="L17" s="2725" t="s">
        <v>18245</v>
      </c>
      <c r="M17" s="2742"/>
      <c r="N17" s="2736"/>
      <c r="O17" s="2716"/>
      <c r="P17" s="2716"/>
      <c r="Q17" s="2716"/>
      <c r="R17" s="2716"/>
      <c r="S17" s="2716"/>
      <c r="T17" s="2716"/>
      <c r="U17" s="2716"/>
      <c r="V17" s="2716"/>
      <c r="W17" s="2716"/>
      <c r="X17" s="2716"/>
      <c r="Y17" s="2716"/>
      <c r="Z17" s="2716"/>
    </row>
    <row r="18" spans="1:26" ht="30" customHeight="1" thickBot="1" x14ac:dyDescent="0.3">
      <c r="A18" s="2716"/>
      <c r="B18" s="2721"/>
      <c r="C18" s="2726" t="s">
        <v>18223</v>
      </c>
      <c r="D18" s="2745" t="str">
        <f>Salient_ValueScenario_1</f>
        <v>Retrospective Fee Simple Market Value Indication</v>
      </c>
      <c r="E18" s="2745" t="str">
        <f>Salient_ValueScenario_2</f>
        <v/>
      </c>
      <c r="F18" s="2745" t="str">
        <f>Salient_ValueScenario_3</f>
        <v/>
      </c>
      <c r="G18" s="2745" t="s">
        <v>1565</v>
      </c>
      <c r="H18" s="2745" t="s">
        <v>1565</v>
      </c>
      <c r="I18" s="2728"/>
      <c r="J18" s="2723"/>
      <c r="K18" s="2716"/>
      <c r="L18" s="2725" t="s">
        <v>18246</v>
      </c>
      <c r="M18" s="2742"/>
      <c r="N18" s="2736"/>
      <c r="O18" s="2716"/>
      <c r="P18" s="2716"/>
      <c r="Q18" s="2716"/>
      <c r="R18" s="2716"/>
      <c r="S18" s="2716"/>
      <c r="T18" s="2716"/>
      <c r="U18" s="2716"/>
      <c r="V18" s="2716"/>
      <c r="W18" s="2716"/>
      <c r="X18" s="2716"/>
      <c r="Y18" s="2716"/>
      <c r="Z18" s="2716"/>
    </row>
    <row r="19" spans="1:26" x14ac:dyDescent="0.25">
      <c r="A19" s="2716"/>
      <c r="B19" s="2721"/>
      <c r="C19" s="2729" t="s">
        <v>18224</v>
      </c>
      <c r="D19" s="2746" t="s">
        <v>18270</v>
      </c>
      <c r="E19" s="2747" t="s">
        <v>18270</v>
      </c>
      <c r="F19" s="2747" t="s">
        <v>18270</v>
      </c>
      <c r="G19" s="2747" t="s">
        <v>18230</v>
      </c>
      <c r="H19" s="2748" t="s">
        <v>18230</v>
      </c>
      <c r="I19" s="4371" t="s">
        <v>18345</v>
      </c>
      <c r="J19" s="2723"/>
      <c r="K19" s="2716"/>
      <c r="L19" s="2735" t="s">
        <v>18247</v>
      </c>
      <c r="M19" s="2716"/>
      <c r="N19" s="2716"/>
      <c r="O19" s="2716"/>
      <c r="P19" s="2716"/>
      <c r="Q19" s="2716"/>
      <c r="R19" s="2716"/>
      <c r="S19" s="2716"/>
      <c r="T19" s="2716"/>
      <c r="U19" s="2716"/>
      <c r="V19" s="2716"/>
      <c r="W19" s="2716"/>
      <c r="X19" s="2716"/>
      <c r="Y19" s="2716"/>
      <c r="Z19" s="2716"/>
    </row>
    <row r="20" spans="1:26" x14ac:dyDescent="0.25">
      <c r="A20" s="2716"/>
      <c r="B20" s="2721"/>
      <c r="C20" s="2729" t="s">
        <v>18225</v>
      </c>
      <c r="D20" s="2750" t="s">
        <v>18271</v>
      </c>
      <c r="E20" s="2751" t="s">
        <v>18271</v>
      </c>
      <c r="F20" s="2751" t="s">
        <v>18271</v>
      </c>
      <c r="G20" s="2751" t="s">
        <v>18232</v>
      </c>
      <c r="H20" s="2752" t="s">
        <v>18231</v>
      </c>
      <c r="I20" s="4371"/>
      <c r="J20" s="2723"/>
      <c r="K20" s="2716"/>
      <c r="L20" s="2749"/>
      <c r="M20" s="2716"/>
      <c r="N20" s="2716"/>
      <c r="O20" s="2716"/>
      <c r="P20" s="2716"/>
      <c r="Q20" s="2716"/>
      <c r="R20" s="2716"/>
      <c r="S20" s="2716"/>
      <c r="T20" s="2716"/>
      <c r="U20" s="2716"/>
      <c r="V20" s="2716"/>
      <c r="W20" s="2716"/>
      <c r="X20" s="2716"/>
      <c r="Y20" s="2716"/>
      <c r="Z20" s="2716"/>
    </row>
    <row r="21" spans="1:26" ht="15" thickBot="1" x14ac:dyDescent="0.3">
      <c r="A21" s="2716"/>
      <c r="B21" s="2721"/>
      <c r="C21" s="2729" t="s">
        <v>18226</v>
      </c>
      <c r="D21" s="2753" t="s">
        <v>18272</v>
      </c>
      <c r="E21" s="2754" t="s">
        <v>18272</v>
      </c>
      <c r="F21" s="2754" t="s">
        <v>18272</v>
      </c>
      <c r="G21" s="2754" t="s">
        <v>18260</v>
      </c>
      <c r="H21" s="2755" t="s">
        <v>18260</v>
      </c>
      <c r="I21" s="4371"/>
      <c r="J21" s="2723"/>
      <c r="K21" s="2716"/>
      <c r="L21" s="2719" t="s">
        <v>18268</v>
      </c>
      <c r="M21" s="2719" t="s">
        <v>18533</v>
      </c>
      <c r="N21" s="2716"/>
      <c r="O21" s="2716"/>
      <c r="P21" s="2716"/>
      <c r="Q21" s="2716"/>
      <c r="R21" s="2716"/>
      <c r="S21" s="2716"/>
      <c r="T21" s="2716"/>
      <c r="U21" s="2716"/>
      <c r="V21" s="2716"/>
      <c r="W21" s="2716"/>
      <c r="X21" s="2716"/>
      <c r="Y21" s="2716"/>
      <c r="Z21" s="2716"/>
    </row>
    <row r="22" spans="1:26" ht="42.75" x14ac:dyDescent="0.25">
      <c r="A22" s="2716"/>
      <c r="B22" s="2721"/>
      <c r="C22" s="2757" t="s">
        <v>18227</v>
      </c>
      <c r="D22" s="2758"/>
      <c r="E22" s="2758"/>
      <c r="F22" s="2758"/>
      <c r="G22" s="2759" t="s">
        <v>18351</v>
      </c>
      <c r="H22" s="2759" t="s">
        <v>18350</v>
      </c>
      <c r="I22" s="2728"/>
      <c r="J22" s="2723"/>
      <c r="K22" s="2716"/>
      <c r="L22" s="2756" t="s">
        <v>18269</v>
      </c>
      <c r="M22" s="2756" t="s">
        <v>18535</v>
      </c>
      <c r="N22" s="2716"/>
      <c r="O22" s="2716"/>
      <c r="P22" s="2716"/>
      <c r="Q22" s="2716"/>
      <c r="R22" s="2716"/>
      <c r="S22" s="2716"/>
      <c r="T22" s="2716"/>
      <c r="U22" s="2716"/>
      <c r="V22" s="2716"/>
      <c r="W22" s="2716"/>
      <c r="X22" s="2716"/>
      <c r="Y22" s="2716"/>
      <c r="Z22" s="2716"/>
    </row>
    <row r="23" spans="1:26" x14ac:dyDescent="0.25">
      <c r="A23" s="2716"/>
      <c r="B23" s="2721"/>
      <c r="C23" s="2729" t="s">
        <v>18234</v>
      </c>
      <c r="D23" s="2730">
        <f>IF(D18="","",dpSort_DOV_1)</f>
        <v>45473</v>
      </c>
      <c r="E23" s="2730" t="str">
        <f>IF(E18="","",dpSort_DOV_2)</f>
        <v/>
      </c>
      <c r="F23" s="2730" t="str">
        <f>IF(F18="","",dpSort_DOV_3)</f>
        <v/>
      </c>
      <c r="G23" s="2730">
        <f>D23</f>
        <v>45473</v>
      </c>
      <c r="H23" s="2730">
        <f>D23</f>
        <v>45473</v>
      </c>
      <c r="I23" s="2728"/>
      <c r="J23" s="2723"/>
      <c r="K23" s="2716"/>
      <c r="L23" s="2760" t="s">
        <v>160</v>
      </c>
      <c r="M23" s="2914">
        <f>Subject_LandPrimary_UsableAcres</f>
        <v>0.99173553719008267</v>
      </c>
      <c r="N23" s="2716"/>
      <c r="O23" s="2716"/>
      <c r="P23" s="2716"/>
      <c r="Q23" s="2716"/>
      <c r="R23" s="2716"/>
      <c r="S23" s="2716"/>
      <c r="T23" s="2716"/>
      <c r="U23" s="2716"/>
      <c r="V23" s="2716"/>
      <c r="W23" s="2716"/>
      <c r="X23" s="2716"/>
      <c r="Y23" s="2716"/>
      <c r="Z23" s="2716"/>
    </row>
    <row r="24" spans="1:26" ht="20.100000000000001" customHeight="1" x14ac:dyDescent="0.25">
      <c r="A24" s="2716"/>
      <c r="B24" s="2721"/>
      <c r="C24" s="2726" t="s">
        <v>18266</v>
      </c>
      <c r="D24" s="2727"/>
      <c r="E24" s="2727"/>
      <c r="F24" s="2727"/>
      <c r="G24" s="2727"/>
      <c r="H24" s="2727"/>
      <c r="I24" s="2728"/>
      <c r="J24" s="2723"/>
      <c r="K24" s="2716"/>
      <c r="L24" s="2760" t="s">
        <v>18273</v>
      </c>
      <c r="M24" s="2915">
        <f>Subject_Units</f>
        <v>77</v>
      </c>
      <c r="N24" s="2716"/>
      <c r="O24" s="2716"/>
      <c r="P24" s="2716"/>
      <c r="Q24" s="2716"/>
      <c r="R24" s="2716"/>
      <c r="S24" s="2716"/>
      <c r="T24" s="2716"/>
      <c r="U24" s="2716"/>
      <c r="V24" s="2716"/>
      <c r="W24" s="2716"/>
      <c r="X24" s="2716"/>
      <c r="Y24" s="2716"/>
      <c r="Z24" s="2716"/>
    </row>
    <row r="25" spans="1:26" ht="20.100000000000001" customHeight="1" thickBot="1" x14ac:dyDescent="0.3">
      <c r="A25" s="2716"/>
      <c r="B25" s="2721"/>
      <c r="C25" s="2729" t="s">
        <v>18267</v>
      </c>
      <c r="D25" s="2834" t="str">
        <f>VLOOKUP(D26,$L$22:$M$51,2,FALSE)</f>
        <v>Select Unit of Measure Below</v>
      </c>
      <c r="E25" s="2834" t="str">
        <f>VLOOKUP(E26,$L$22:$M$51,2,FALSE)</f>
        <v>Select Unit of Measure Below</v>
      </c>
      <c r="F25" s="2834" t="str">
        <f>VLOOKUP(F26,$L$22:$M$51,2,FALSE)</f>
        <v>Select Unit of Measure Below</v>
      </c>
      <c r="G25" s="2834">
        <f>VLOOKUP(G26,$L$22:$M$51,2,FALSE)</f>
        <v>220514</v>
      </c>
      <c r="H25" s="2834">
        <f>VLOOKUP(H26,$L$22:$M$51,2,FALSE)</f>
        <v>220514</v>
      </c>
      <c r="I25" s="2728"/>
      <c r="J25" s="2723"/>
      <c r="K25" s="2716"/>
      <c r="L25" s="2760" t="s">
        <v>18274</v>
      </c>
      <c r="M25" s="2916" t="s">
        <v>3</v>
      </c>
      <c r="N25" s="2716"/>
      <c r="O25" s="2716"/>
      <c r="P25" s="2716"/>
      <c r="Q25" s="2716"/>
      <c r="R25" s="2716"/>
      <c r="S25" s="2716"/>
      <c r="T25" s="2716"/>
      <c r="U25" s="2716"/>
      <c r="V25" s="2716"/>
      <c r="W25" s="2716"/>
      <c r="X25" s="2716"/>
      <c r="Y25" s="2716"/>
      <c r="Z25" s="2716"/>
    </row>
    <row r="26" spans="1:26" ht="15" thickBot="1" x14ac:dyDescent="0.3">
      <c r="A26" s="2716"/>
      <c r="B26" s="2721"/>
      <c r="C26" s="2729" t="s">
        <v>18344</v>
      </c>
      <c r="D26" s="2761" t="s">
        <v>18269</v>
      </c>
      <c r="E26" s="2762" t="s">
        <v>18269</v>
      </c>
      <c r="F26" s="2762" t="s">
        <v>18269</v>
      </c>
      <c r="G26" s="2762" t="s">
        <v>18286</v>
      </c>
      <c r="H26" s="2763" t="s">
        <v>18286</v>
      </c>
      <c r="I26" s="2728" t="s">
        <v>18345</v>
      </c>
      <c r="J26" s="2723"/>
      <c r="K26" s="2716"/>
      <c r="L26" s="2760" t="s">
        <v>18355</v>
      </c>
      <c r="M26" s="2915">
        <f>Subject_BuildingCount</f>
        <v>1</v>
      </c>
      <c r="N26" s="2716"/>
      <c r="O26" s="2716"/>
      <c r="P26" s="2716"/>
      <c r="Q26" s="2716"/>
      <c r="R26" s="2716"/>
      <c r="S26" s="2716"/>
      <c r="T26" s="2716"/>
      <c r="U26" s="2716"/>
      <c r="V26" s="2716"/>
      <c r="W26" s="2716"/>
      <c r="X26" s="2716"/>
      <c r="Y26" s="2716"/>
      <c r="Z26" s="2716"/>
    </row>
    <row r="27" spans="1:26" ht="20.100000000000001" customHeight="1" x14ac:dyDescent="0.25">
      <c r="A27" s="2716"/>
      <c r="B27" s="2721"/>
      <c r="C27" s="2726" t="s">
        <v>18296</v>
      </c>
      <c r="D27" s="2727"/>
      <c r="E27" s="2727"/>
      <c r="F27" s="2727"/>
      <c r="G27" s="2727"/>
      <c r="H27" s="2727"/>
      <c r="I27" s="2728"/>
      <c r="J27" s="2723"/>
      <c r="K27" s="2716"/>
      <c r="L27" s="2760" t="s">
        <v>18275</v>
      </c>
      <c r="M27" s="2917" t="s">
        <v>3</v>
      </c>
      <c r="N27" s="2716"/>
      <c r="O27" s="2716"/>
      <c r="P27" s="2716"/>
      <c r="Q27" s="2716"/>
      <c r="R27" s="2716"/>
      <c r="S27" s="2716"/>
      <c r="T27" s="2716"/>
      <c r="U27" s="2716"/>
      <c r="V27" s="2716"/>
      <c r="W27" s="2716"/>
      <c r="X27" s="2716"/>
      <c r="Y27" s="2716"/>
      <c r="Z27" s="2716"/>
    </row>
    <row r="28" spans="1:26" x14ac:dyDescent="0.25">
      <c r="A28" s="2716"/>
      <c r="B28" s="2721"/>
      <c r="C28" s="2729" t="s">
        <v>18297</v>
      </c>
      <c r="D28" s="2731">
        <f>IF(dpLand_PrimaryLandValue&gt;0,D30-D29,"")</f>
        <v>-6800000</v>
      </c>
      <c r="E28" s="2731">
        <f>IF(dpLand_PrimaryLandValue&gt;0,E30-E29,"")</f>
        <v>-6800000</v>
      </c>
      <c r="F28" s="2731">
        <f>IF(dpLand_PrimaryLandValue&gt;0,F30-F29,"")</f>
        <v>-6800000</v>
      </c>
      <c r="G28" s="2731">
        <f>dpInsurable_Total</f>
        <v>23500000</v>
      </c>
      <c r="H28" s="2731">
        <f>'Insurable Cost'!G50</f>
        <v>23500000</v>
      </c>
      <c r="I28" s="2728"/>
      <c r="J28" s="2723"/>
      <c r="K28" s="2716"/>
      <c r="L28" s="2760" t="s">
        <v>18276</v>
      </c>
      <c r="M28" s="2918" t="s">
        <v>3</v>
      </c>
      <c r="N28" s="2716"/>
      <c r="O28" s="2716"/>
      <c r="P28" s="2716"/>
      <c r="Q28" s="2716"/>
      <c r="R28" s="2716"/>
      <c r="S28" s="2716"/>
      <c r="T28" s="2716"/>
      <c r="U28" s="2716"/>
      <c r="V28" s="2716"/>
      <c r="W28" s="2716"/>
      <c r="X28" s="2716"/>
      <c r="Y28" s="2716"/>
      <c r="Z28" s="2716"/>
    </row>
    <row r="29" spans="1:26" x14ac:dyDescent="0.25">
      <c r="A29" s="2716"/>
      <c r="B29" s="2721"/>
      <c r="C29" s="2729" t="s">
        <v>18298</v>
      </c>
      <c r="D29" s="2764">
        <f>IF(dpLand_PrimaryLandValue=0,"",dpLand_PrimaryLandValue)</f>
        <v>6800000</v>
      </c>
      <c r="E29" s="2764">
        <f>IF(dpCost_LandValue=0,"",dpCost_LandValue)</f>
        <v>6800000</v>
      </c>
      <c r="F29" s="2764">
        <f>IF(dpCost_LandValue=0,"",dpCost_LandValue)</f>
        <v>6800000</v>
      </c>
      <c r="G29" s="2764"/>
      <c r="H29" s="2764"/>
      <c r="I29" s="2728"/>
      <c r="J29" s="2723"/>
      <c r="K29" s="2716"/>
      <c r="L29" s="2760" t="s">
        <v>18277</v>
      </c>
      <c r="M29" s="2918" t="s">
        <v>3</v>
      </c>
      <c r="N29" s="2716"/>
      <c r="O29" s="2716"/>
      <c r="P29" s="2716"/>
      <c r="Q29" s="2716"/>
      <c r="R29" s="2716"/>
      <c r="S29" s="2716"/>
      <c r="T29" s="2716"/>
      <c r="U29" s="2716"/>
      <c r="V29" s="2716"/>
      <c r="W29" s="2716"/>
      <c r="X29" s="2716"/>
      <c r="Y29" s="2716"/>
      <c r="Z29" s="2716"/>
    </row>
    <row r="30" spans="1:26" ht="15" thickBot="1" x14ac:dyDescent="0.3">
      <c r="A30" s="2716"/>
      <c r="B30" s="2721"/>
      <c r="C30" s="2729" t="s">
        <v>18299</v>
      </c>
      <c r="D30" s="2731">
        <f>D32-D31</f>
        <v>0</v>
      </c>
      <c r="E30" s="2731">
        <f t="shared" ref="E30:F30" si="0">E32-E31</f>
        <v>0</v>
      </c>
      <c r="F30" s="2731">
        <f t="shared" si="0"/>
        <v>0</v>
      </c>
      <c r="G30" s="2731"/>
      <c r="H30" s="2731"/>
      <c r="I30" s="2728"/>
      <c r="J30" s="2723"/>
      <c r="K30" s="2716"/>
      <c r="L30" s="2760" t="s">
        <v>18278</v>
      </c>
      <c r="M30" s="2918" t="s">
        <v>3</v>
      </c>
      <c r="N30" s="2716"/>
      <c r="O30" s="2716"/>
      <c r="P30" s="2716"/>
      <c r="Q30" s="2716"/>
      <c r="R30" s="2716"/>
      <c r="S30" s="2716"/>
      <c r="T30" s="2716"/>
      <c r="U30" s="2716"/>
      <c r="V30" s="2716"/>
      <c r="W30" s="2716"/>
      <c r="X30" s="2716"/>
      <c r="Y30" s="2716"/>
      <c r="Z30" s="2716"/>
    </row>
    <row r="31" spans="1:26" ht="15" thickBot="1" x14ac:dyDescent="0.3">
      <c r="A31" s="2716"/>
      <c r="B31" s="2721"/>
      <c r="C31" s="2729" t="s">
        <v>18300</v>
      </c>
      <c r="D31" s="2765"/>
      <c r="E31" s="2766"/>
      <c r="F31" s="2766"/>
      <c r="G31" s="2766"/>
      <c r="H31" s="2767"/>
      <c r="I31" s="2728" t="s">
        <v>18356</v>
      </c>
      <c r="J31" s="2723"/>
      <c r="K31" s="2716"/>
      <c r="L31" s="2760" t="s">
        <v>18279</v>
      </c>
      <c r="M31" s="2918" t="s">
        <v>3</v>
      </c>
      <c r="N31" s="2716"/>
      <c r="O31" s="2716"/>
      <c r="P31" s="2716"/>
      <c r="Q31" s="2716"/>
      <c r="R31" s="2716"/>
      <c r="S31" s="2716"/>
      <c r="T31" s="2716"/>
      <c r="U31" s="2716"/>
      <c r="V31" s="2716"/>
      <c r="W31" s="2716"/>
      <c r="X31" s="2716"/>
      <c r="Y31" s="2716"/>
      <c r="Z31" s="2716"/>
    </row>
    <row r="32" spans="1:26" x14ac:dyDescent="0.25">
      <c r="A32" s="2716"/>
      <c r="B32" s="2721"/>
      <c r="C32" s="2729" t="s">
        <v>18301</v>
      </c>
      <c r="D32" s="2731">
        <f>IF(D33="",D34,D34-D33)</f>
        <v>0</v>
      </c>
      <c r="E32" s="2731">
        <f>IF(E33="",E34,E34-E33)</f>
        <v>0</v>
      </c>
      <c r="F32" s="2731">
        <f>IF(F33="",F34,F34-F33)</f>
        <v>0</v>
      </c>
      <c r="G32" s="2731"/>
      <c r="H32" s="2731"/>
      <c r="I32" s="2728"/>
      <c r="J32" s="2723"/>
      <c r="K32" s="2716"/>
      <c r="L32" s="2760" t="s">
        <v>18280</v>
      </c>
      <c r="M32" s="2918" t="s">
        <v>3</v>
      </c>
      <c r="N32" s="2716"/>
      <c r="O32" s="2716"/>
      <c r="P32" s="2716"/>
      <c r="Q32" s="2716"/>
      <c r="R32" s="2716"/>
      <c r="S32" s="2716"/>
      <c r="T32" s="2716"/>
      <c r="U32" s="2716"/>
      <c r="V32" s="2716"/>
      <c r="W32" s="2716"/>
      <c r="X32" s="2716"/>
      <c r="Y32" s="2716"/>
      <c r="Z32" s="2716"/>
    </row>
    <row r="33" spans="1:26" x14ac:dyDescent="0.25">
      <c r="A33" s="2716"/>
      <c r="B33" s="2721"/>
      <c r="C33" s="2729" t="s">
        <v>18239</v>
      </c>
      <c r="D33" s="2764" t="str">
        <f>IF(Subject_LandExcessSF=0,"",dpLand_ExcessSurplus_LandValue)</f>
        <v/>
      </c>
      <c r="E33" s="2764" t="str">
        <f>IF(Subject_LandExcessSF=0,"",dpLand_ExcessSurplus_LandValue)</f>
        <v/>
      </c>
      <c r="F33" s="2764" t="str">
        <f>IF(Subject_LandExcessSF=0,"",dpLand_ExcessSurplus_LandValue)</f>
        <v/>
      </c>
      <c r="G33" s="2764"/>
      <c r="H33" s="2764"/>
      <c r="I33" s="2728"/>
      <c r="J33" s="2723"/>
      <c r="K33" s="2716"/>
      <c r="L33" s="2760" t="s">
        <v>18281</v>
      </c>
      <c r="M33" s="2919" t="s">
        <v>3</v>
      </c>
      <c r="N33" s="2716"/>
      <c r="O33" s="2716"/>
      <c r="P33" s="2716"/>
      <c r="Q33" s="2716"/>
      <c r="R33" s="2716"/>
      <c r="S33" s="2716"/>
      <c r="T33" s="2716"/>
      <c r="U33" s="2716"/>
      <c r="V33" s="2716"/>
      <c r="W33" s="2716"/>
      <c r="X33" s="2716"/>
      <c r="Y33" s="2716"/>
      <c r="Z33" s="2716"/>
    </row>
    <row r="34" spans="1:26" x14ac:dyDescent="0.25">
      <c r="A34" s="2716"/>
      <c r="B34" s="2721"/>
      <c r="C34" s="2729" t="s">
        <v>18302</v>
      </c>
      <c r="D34" s="2731">
        <f>dpValue_Final_1</f>
        <v>0</v>
      </c>
      <c r="E34" s="2731">
        <f>dpValue_Final_2</f>
        <v>0</v>
      </c>
      <c r="F34" s="2731">
        <f>dpValue_Final_3</f>
        <v>0</v>
      </c>
      <c r="G34" s="2731">
        <f>G28</f>
        <v>23500000</v>
      </c>
      <c r="H34" s="2731">
        <f>H28</f>
        <v>23500000</v>
      </c>
      <c r="I34" s="2728"/>
      <c r="J34" s="2723"/>
      <c r="K34" s="2716"/>
      <c r="L34" s="2760" t="s">
        <v>1024</v>
      </c>
      <c r="M34" s="2915">
        <f>Subject_Lots</f>
        <v>1</v>
      </c>
      <c r="N34" s="2716"/>
      <c r="O34" s="2716"/>
      <c r="P34" s="2716"/>
      <c r="Q34" s="2716"/>
      <c r="R34" s="2716"/>
      <c r="S34" s="2716"/>
      <c r="T34" s="2716"/>
      <c r="U34" s="2716"/>
      <c r="V34" s="2716"/>
      <c r="W34" s="2716"/>
      <c r="X34" s="2716"/>
      <c r="Y34" s="2716"/>
      <c r="Z34" s="2716"/>
    </row>
    <row r="35" spans="1:26" ht="20.100000000000001" customHeight="1" x14ac:dyDescent="0.25">
      <c r="A35" s="2716"/>
      <c r="B35" s="2721"/>
      <c r="C35" s="2726" t="s">
        <v>18303</v>
      </c>
      <c r="D35" s="2727"/>
      <c r="E35" s="2727"/>
      <c r="F35" s="2727"/>
      <c r="G35" s="2727"/>
      <c r="H35" s="2727"/>
      <c r="I35" s="2728"/>
      <c r="J35" s="2723"/>
      <c r="K35" s="2716"/>
      <c r="L35" s="2760" t="s">
        <v>18282</v>
      </c>
      <c r="M35" s="2917" t="s">
        <v>3</v>
      </c>
      <c r="N35" s="2716"/>
      <c r="O35" s="2716"/>
      <c r="P35" s="2716"/>
      <c r="Q35" s="2716"/>
      <c r="R35" s="2716"/>
      <c r="S35" s="2716"/>
      <c r="T35" s="2716"/>
      <c r="U35" s="2716"/>
      <c r="V35" s="2716"/>
      <c r="W35" s="2716"/>
      <c r="X35" s="2716"/>
      <c r="Y35" s="2716"/>
      <c r="Z35" s="2716"/>
    </row>
    <row r="36" spans="1:26" x14ac:dyDescent="0.25">
      <c r="A36" s="2716"/>
      <c r="B36" s="2721"/>
      <c r="C36" s="2729" t="s">
        <v>1411</v>
      </c>
      <c r="D36" s="2731" t="str">
        <f>IF('Value Indications'!F24="","",'Value Indications'!F24)</f>
        <v/>
      </c>
      <c r="E36" s="2731" t="str">
        <f>IF('Value Indications'!G24="","",'Value Indications'!G24)</f>
        <v/>
      </c>
      <c r="F36" s="2731" t="str">
        <f>IF('Value Indications'!H24="","",'Value Indications'!H24)</f>
        <v/>
      </c>
      <c r="G36" s="2731"/>
      <c r="H36" s="2731"/>
      <c r="I36" s="2728"/>
      <c r="J36" s="2723"/>
      <c r="K36" s="2716"/>
      <c r="L36" s="2760" t="s">
        <v>18283</v>
      </c>
      <c r="M36" s="2918" t="s">
        <v>3</v>
      </c>
      <c r="N36" s="2716"/>
      <c r="O36" s="2716"/>
      <c r="P36" s="2716"/>
      <c r="Q36" s="2716"/>
      <c r="R36" s="2716"/>
      <c r="S36" s="2716"/>
      <c r="T36" s="2716"/>
      <c r="U36" s="2716"/>
      <c r="V36" s="2716"/>
      <c r="W36" s="2716"/>
      <c r="X36" s="2716"/>
      <c r="Y36" s="2716"/>
      <c r="Z36" s="2716"/>
    </row>
    <row r="37" spans="1:26" x14ac:dyDescent="0.25">
      <c r="A37" s="2716"/>
      <c r="B37" s="2721"/>
      <c r="C37" s="2729" t="s">
        <v>18304</v>
      </c>
      <c r="D37" s="2764" t="str">
        <f>IF('Value Indications'!F23="","",'Value Indications'!F23)</f>
        <v/>
      </c>
      <c r="E37" s="2764" t="str">
        <f>IF('Value Indications'!G23="","",'Value Indications'!G23)</f>
        <v/>
      </c>
      <c r="F37" s="2764" t="str">
        <f>IF('Value Indications'!H23="","",'Value Indications'!H23)</f>
        <v/>
      </c>
      <c r="G37" s="2764"/>
      <c r="H37" s="2764"/>
      <c r="I37" s="2728"/>
      <c r="J37" s="2723"/>
      <c r="K37" s="2716"/>
      <c r="L37" s="2760" t="s">
        <v>18284</v>
      </c>
      <c r="M37" s="2918" t="s">
        <v>3</v>
      </c>
      <c r="N37" s="2716"/>
      <c r="O37" s="2716"/>
      <c r="P37" s="2716"/>
      <c r="Q37" s="2716"/>
      <c r="R37" s="2716"/>
      <c r="S37" s="2716"/>
      <c r="T37" s="2716"/>
      <c r="U37" s="2716"/>
      <c r="V37" s="2716"/>
      <c r="W37" s="2716"/>
      <c r="X37" s="2716"/>
      <c r="Y37" s="2716"/>
      <c r="Z37" s="2716"/>
    </row>
    <row r="38" spans="1:26" x14ac:dyDescent="0.25">
      <c r="A38" s="2716"/>
      <c r="B38" s="2721"/>
      <c r="C38" s="2729" t="s">
        <v>18305</v>
      </c>
      <c r="D38" s="2731" t="str">
        <f>IF(SUM(D36:D37)=0,"",SUM(D36:D37))</f>
        <v/>
      </c>
      <c r="E38" s="2731" t="str">
        <f>IF(SUM(E36:E37)=0,"",SUM(E36:E37))</f>
        <v/>
      </c>
      <c r="F38" s="2731" t="str">
        <f>IF(SUM(F36:F37)=0,"",SUM(F36:F37))</f>
        <v/>
      </c>
      <c r="G38" s="2731"/>
      <c r="H38" s="2731"/>
      <c r="I38" s="2728"/>
      <c r="J38" s="2723"/>
      <c r="K38" s="2716"/>
      <c r="L38" s="2760" t="s">
        <v>18285</v>
      </c>
      <c r="M38" s="2919" t="s">
        <v>3</v>
      </c>
      <c r="N38" s="2716"/>
      <c r="O38" s="2716"/>
      <c r="P38" s="2716"/>
      <c r="Q38" s="2716"/>
      <c r="R38" s="2716"/>
      <c r="S38" s="2716"/>
      <c r="T38" s="2716"/>
      <c r="U38" s="2716"/>
      <c r="V38" s="2716"/>
      <c r="W38" s="2716"/>
      <c r="X38" s="2716"/>
      <c r="Y38" s="2716"/>
      <c r="Z38" s="2716"/>
    </row>
    <row r="39" spans="1:26" ht="20.100000000000001" customHeight="1" x14ac:dyDescent="0.25">
      <c r="A39" s="2716"/>
      <c r="B39" s="2721"/>
      <c r="C39" s="2726" t="s">
        <v>18306</v>
      </c>
      <c r="D39" s="2727"/>
      <c r="E39" s="2727"/>
      <c r="F39" s="2727"/>
      <c r="G39" s="2727"/>
      <c r="H39" s="2727"/>
      <c r="I39" s="2728"/>
      <c r="J39" s="2723"/>
      <c r="K39" s="2716"/>
      <c r="L39" s="2760" t="s">
        <v>527</v>
      </c>
      <c r="M39" s="2915" t="s">
        <v>18534</v>
      </c>
      <c r="N39" s="2716"/>
      <c r="O39" s="2716"/>
      <c r="P39" s="2716"/>
      <c r="Q39" s="2716"/>
      <c r="R39" s="2716"/>
      <c r="S39" s="2716"/>
      <c r="T39" s="2716"/>
      <c r="U39" s="2716"/>
      <c r="V39" s="2716"/>
      <c r="W39" s="2716"/>
      <c r="X39" s="2716"/>
      <c r="Y39" s="2716"/>
      <c r="Z39" s="2716"/>
    </row>
    <row r="40" spans="1:26" x14ac:dyDescent="0.25">
      <c r="A40" s="2716"/>
      <c r="B40" s="2721"/>
      <c r="C40" s="2729" t="s">
        <v>18307</v>
      </c>
      <c r="D40" s="2768" t="str">
        <f>IFERROR(D34/D$25,"")</f>
        <v/>
      </c>
      <c r="E40" s="2768" t="str">
        <f>IFERROR(E34/E$25,"")</f>
        <v/>
      </c>
      <c r="F40" s="2768" t="str">
        <f>IFERROR(F34/F$25,"")</f>
        <v/>
      </c>
      <c r="G40" s="2768">
        <f>G28/Subject_GBA</f>
        <v>106.56919742057194</v>
      </c>
      <c r="H40" s="2768">
        <f>H28/Subject_GBA</f>
        <v>106.56919742057194</v>
      </c>
      <c r="I40" s="2728"/>
      <c r="J40" s="2723"/>
      <c r="K40" s="2716"/>
      <c r="L40" s="2760" t="s">
        <v>18286</v>
      </c>
      <c r="M40" s="2915">
        <f>Subject_GBA</f>
        <v>220514</v>
      </c>
      <c r="N40" s="2716"/>
      <c r="O40" s="2716"/>
      <c r="P40" s="2716"/>
      <c r="Q40" s="2716"/>
      <c r="R40" s="2716"/>
      <c r="S40" s="2716"/>
      <c r="T40" s="2716"/>
      <c r="U40" s="2716"/>
      <c r="V40" s="2716"/>
      <c r="W40" s="2716"/>
      <c r="X40" s="2716"/>
      <c r="Y40" s="2716"/>
      <c r="Z40" s="2716"/>
    </row>
    <row r="41" spans="1:26" x14ac:dyDescent="0.25">
      <c r="A41" s="2716"/>
      <c r="B41" s="2721"/>
      <c r="C41" s="2729" t="s">
        <v>18308</v>
      </c>
      <c r="D41" s="2727" t="str">
        <f>D$26</f>
        <v>Select unit of measure</v>
      </c>
      <c r="E41" s="2727" t="str">
        <f t="shared" ref="E41:H41" si="1">E$26</f>
        <v>Select unit of measure</v>
      </c>
      <c r="F41" s="2727" t="str">
        <f t="shared" si="1"/>
        <v>Select unit of measure</v>
      </c>
      <c r="G41" s="2727" t="str">
        <f t="shared" si="1"/>
        <v>SF-GBA</v>
      </c>
      <c r="H41" s="2727" t="str">
        <f t="shared" si="1"/>
        <v>SF-GBA</v>
      </c>
      <c r="I41" s="2728"/>
      <c r="J41" s="2723"/>
      <c r="K41" s="2716"/>
      <c r="L41" s="2760" t="s">
        <v>18287</v>
      </c>
      <c r="M41" s="2915">
        <f>Subject_LandPrimary_UsableSF</f>
        <v>43200</v>
      </c>
      <c r="N41" s="2716"/>
      <c r="O41" s="2716"/>
      <c r="P41" s="2716"/>
      <c r="Q41" s="2716"/>
      <c r="R41" s="2716"/>
      <c r="S41" s="2716"/>
      <c r="T41" s="2716"/>
      <c r="U41" s="2716"/>
      <c r="V41" s="2716"/>
      <c r="W41" s="2716"/>
      <c r="X41" s="2716"/>
      <c r="Y41" s="2716"/>
      <c r="Z41" s="2716"/>
    </row>
    <row r="42" spans="1:26" x14ac:dyDescent="0.25">
      <c r="A42" s="2716"/>
      <c r="B42" s="2721"/>
      <c r="C42" s="2729" t="s">
        <v>18309</v>
      </c>
      <c r="D42" s="2769" t="e">
        <f ca="1">IF(AND(DOV1_Selection=2,Subject_UseIncomeApproach="Yes"),Income_DirectCap_NOI/D34,"")</f>
        <v>#DIV/0!</v>
      </c>
      <c r="E42" s="2769" t="str">
        <f>IF(AND(DOV2_Selection=2,Subject_UseIncomeApproach="Yes"),Income_DirectCap_NOI/E34,"")</f>
        <v/>
      </c>
      <c r="F42" s="2769" t="str">
        <f>IF(AND(DOV3_Selection=2,Subject_UseIncomeApproach="Yes"),Income_DirectCap_NOI/F34,"")</f>
        <v/>
      </c>
      <c r="G42" s="2727"/>
      <c r="H42" s="2727"/>
      <c r="I42" s="2728"/>
      <c r="J42" s="2723"/>
      <c r="K42" s="2716"/>
      <c r="L42" s="2760" t="s">
        <v>18288</v>
      </c>
      <c r="M42" s="2915">
        <f>Subject_NRA</f>
        <v>209208</v>
      </c>
      <c r="N42" s="2716"/>
      <c r="O42" s="2716"/>
      <c r="P42" s="2716"/>
      <c r="Q42" s="2716"/>
      <c r="R42" s="2716"/>
      <c r="S42" s="2716"/>
      <c r="T42" s="2716"/>
      <c r="U42" s="2716"/>
      <c r="V42" s="2716"/>
      <c r="W42" s="2716"/>
      <c r="X42" s="2716"/>
      <c r="Y42" s="2716"/>
      <c r="Z42" s="2716"/>
    </row>
    <row r="43" spans="1:26" x14ac:dyDescent="0.25">
      <c r="A43" s="2716"/>
      <c r="B43" s="2721"/>
      <c r="C43" s="2729" t="s">
        <v>18310</v>
      </c>
      <c r="D43" s="2770">
        <f ca="1">IF(AND(DOV1_Selection=2,Subject_UseIncomeApproach="Yes"),D34/dpIncome_DirectCap_EGI,"")</f>
        <v>0</v>
      </c>
      <c r="E43" s="2770" t="str">
        <f>IF(AND(DOV2_Selection=2,Subject_UseIncomeApproach="Yes"),E34/dpIncome_DirectCap_EGI,"")</f>
        <v/>
      </c>
      <c r="F43" s="2770" t="str">
        <f>IF(AND(DOV3_Selection=2,Subject_UseIncomeApproach="Yes"),F34/dpIncome_DirectCap_EGI,"")</f>
        <v/>
      </c>
      <c r="G43" s="2727"/>
      <c r="H43" s="2727"/>
      <c r="I43" s="2728"/>
      <c r="J43" s="2723"/>
      <c r="K43" s="2716"/>
      <c r="L43" s="2760" t="s">
        <v>18289</v>
      </c>
      <c r="M43" s="2917" t="s">
        <v>3</v>
      </c>
      <c r="N43" s="2716"/>
      <c r="O43" s="2716"/>
      <c r="P43" s="2716"/>
      <c r="Q43" s="2716"/>
      <c r="R43" s="2716"/>
      <c r="S43" s="2716"/>
      <c r="T43" s="2716"/>
      <c r="U43" s="2716"/>
      <c r="V43" s="2716"/>
      <c r="W43" s="2716"/>
      <c r="X43" s="2716"/>
      <c r="Y43" s="2716"/>
      <c r="Z43" s="2716"/>
    </row>
    <row r="44" spans="1:26" ht="20.100000000000001" customHeight="1" x14ac:dyDescent="0.25">
      <c r="A44" s="2716"/>
      <c r="B44" s="2721"/>
      <c r="C44" s="2726" t="s">
        <v>18311</v>
      </c>
      <c r="D44" s="2727"/>
      <c r="E44" s="2727"/>
      <c r="F44" s="2727"/>
      <c r="G44" s="2727"/>
      <c r="H44" s="2727"/>
      <c r="I44" s="2728"/>
      <c r="J44" s="2723"/>
      <c r="K44" s="2716"/>
      <c r="L44" s="2760" t="s">
        <v>18290</v>
      </c>
      <c r="M44" s="2918" t="s">
        <v>3</v>
      </c>
      <c r="N44" s="2716"/>
      <c r="O44" s="2716"/>
      <c r="P44" s="2716"/>
      <c r="Q44" s="2716"/>
      <c r="R44" s="2716"/>
      <c r="S44" s="2716"/>
      <c r="T44" s="2716"/>
      <c r="U44" s="2716"/>
      <c r="V44" s="2716"/>
      <c r="W44" s="2716"/>
      <c r="X44" s="2716"/>
      <c r="Y44" s="2716"/>
      <c r="Z44" s="2716"/>
    </row>
    <row r="45" spans="1:26" x14ac:dyDescent="0.25">
      <c r="A45" s="2716"/>
      <c r="B45" s="2721"/>
      <c r="C45" s="2729" t="s">
        <v>18312</v>
      </c>
      <c r="D45" s="2731">
        <f>IF(AND(DOV1_Selection=2,Income_TechniqueUsed="Direct Capitalization"),'Value Indications'!F12,IF(DOV1_Selection=2,'Value Indications'!F14,""))</f>
        <v>3850000</v>
      </c>
      <c r="E45" s="2731" t="str">
        <f>IF(AND(DOV2_Selection=2,Income_TechniqueUsed="Direct Capitalization"),'Value Indications'!G12,IF(DOV2_Selection=2,'Value Indications'!G14,""))</f>
        <v/>
      </c>
      <c r="F45" s="2731" t="str">
        <f>IF(AND(DOV3_Selection=2,Income_TechniqueUsed="Direct Capitalization"),'Value Indications'!H12,IF(DOV3_Selection=2,'Value Indications'!H14,""))</f>
        <v/>
      </c>
      <c r="G45" s="2727"/>
      <c r="H45" s="2727"/>
      <c r="I45" s="2728"/>
      <c r="J45" s="2723"/>
      <c r="K45" s="2716"/>
      <c r="L45" s="2760" t="s">
        <v>18291</v>
      </c>
      <c r="M45" s="2918" t="s">
        <v>3</v>
      </c>
      <c r="N45" s="2716"/>
      <c r="O45" s="2716"/>
      <c r="P45" s="2716"/>
      <c r="Q45" s="2716"/>
      <c r="R45" s="2716"/>
      <c r="S45" s="2716"/>
      <c r="T45" s="2716"/>
      <c r="U45" s="2716"/>
      <c r="V45" s="2716"/>
      <c r="W45" s="2716"/>
      <c r="X45" s="2716"/>
      <c r="Y45" s="2716"/>
      <c r="Z45" s="2716"/>
    </row>
    <row r="46" spans="1:26" x14ac:dyDescent="0.25">
      <c r="A46" s="2716"/>
      <c r="B46" s="2721"/>
      <c r="C46" s="2729" t="s">
        <v>18313</v>
      </c>
      <c r="D46" s="2768" t="str">
        <f>IFERROR(D45/D$25,"")</f>
        <v/>
      </c>
      <c r="E46" s="2768" t="str">
        <f>IFERROR(E45/E$25,"")</f>
        <v/>
      </c>
      <c r="F46" s="2768" t="str">
        <f>IFERROR(F45/F$25,"")</f>
        <v/>
      </c>
      <c r="G46" s="2727"/>
      <c r="H46" s="2727"/>
      <c r="I46" s="2728"/>
      <c r="J46" s="2723"/>
      <c r="K46" s="2716"/>
      <c r="L46" s="2760" t="s">
        <v>18292</v>
      </c>
      <c r="M46" s="2919" t="s">
        <v>3</v>
      </c>
      <c r="N46" s="2716"/>
      <c r="O46" s="2716"/>
      <c r="P46" s="2716"/>
      <c r="Q46" s="2716"/>
      <c r="R46" s="2716"/>
      <c r="S46" s="2716"/>
      <c r="T46" s="2716"/>
      <c r="U46" s="2716"/>
      <c r="V46" s="2716"/>
      <c r="W46" s="2716"/>
      <c r="X46" s="2716"/>
      <c r="Y46" s="2716"/>
      <c r="Z46" s="2716"/>
    </row>
    <row r="47" spans="1:26" x14ac:dyDescent="0.25">
      <c r="A47" s="2716"/>
      <c r="B47" s="2721"/>
      <c r="C47" s="2729" t="s">
        <v>18314</v>
      </c>
      <c r="D47" s="2727" t="str">
        <f>D$26</f>
        <v>Select unit of measure</v>
      </c>
      <c r="E47" s="2727" t="str">
        <f t="shared" ref="E47:H47" si="2">E$26</f>
        <v>Select unit of measure</v>
      </c>
      <c r="F47" s="2727" t="str">
        <f t="shared" si="2"/>
        <v>Select unit of measure</v>
      </c>
      <c r="G47" s="2727" t="str">
        <f t="shared" si="2"/>
        <v>SF-GBA</v>
      </c>
      <c r="H47" s="2727" t="str">
        <f t="shared" si="2"/>
        <v>SF-GBA</v>
      </c>
      <c r="I47" s="2728"/>
      <c r="J47" s="2723"/>
      <c r="K47" s="2716"/>
      <c r="L47" s="2760" t="s">
        <v>223</v>
      </c>
      <c r="M47" s="2915">
        <f>Subject_ParkingTotal</f>
        <v>13</v>
      </c>
      <c r="N47" s="2716"/>
      <c r="O47" s="2716"/>
      <c r="P47" s="2716"/>
      <c r="Q47" s="2716"/>
      <c r="R47" s="2716"/>
      <c r="S47" s="2716"/>
      <c r="T47" s="2716"/>
      <c r="U47" s="2716"/>
      <c r="V47" s="2716"/>
      <c r="W47" s="2716"/>
      <c r="X47" s="2716"/>
      <c r="Y47" s="2716"/>
      <c r="Z47" s="2716"/>
    </row>
    <row r="48" spans="1:26" x14ac:dyDescent="0.25">
      <c r="A48" s="2716"/>
      <c r="B48" s="2721"/>
      <c r="C48" s="2729" t="s">
        <v>18315</v>
      </c>
      <c r="D48" s="2769" t="e">
        <f ca="1">IF(AND(DOV1_Selection=2,Subject_UseIncomeApproach="Yes"),Income_DirectCap_NOI/D34,"")</f>
        <v>#DIV/0!</v>
      </c>
      <c r="E48" s="2769" t="str">
        <f>IF(AND(DOV2_Selection=2,Subject_UseIncomeApproach="Yes"),Income_DirectCap_NOI/E34,"")</f>
        <v/>
      </c>
      <c r="F48" s="2769" t="str">
        <f>IF(AND(DOV3_Selection=2,Subject_UseIncomeApproach="Yes"),Income_DirectCap_NOI/F34,"")</f>
        <v/>
      </c>
      <c r="G48" s="2727"/>
      <c r="H48" s="2727"/>
      <c r="I48" s="2728"/>
      <c r="J48" s="2723"/>
      <c r="K48" s="2716"/>
      <c r="L48" s="2760" t="s">
        <v>18293</v>
      </c>
      <c r="M48" s="2917" t="s">
        <v>3</v>
      </c>
      <c r="N48" s="2716"/>
      <c r="O48" s="2716"/>
      <c r="P48" s="2716"/>
      <c r="Q48" s="2716"/>
      <c r="R48" s="2716"/>
      <c r="S48" s="2716"/>
      <c r="T48" s="2716"/>
      <c r="U48" s="2716"/>
      <c r="V48" s="2716"/>
      <c r="W48" s="2716"/>
      <c r="X48" s="2716"/>
      <c r="Y48" s="2716"/>
      <c r="Z48" s="2716"/>
    </row>
    <row r="49" spans="1:26" ht="20.100000000000001" customHeight="1" x14ac:dyDescent="0.25">
      <c r="A49" s="2716"/>
      <c r="B49" s="2721"/>
      <c r="C49" s="2726" t="s">
        <v>18316</v>
      </c>
      <c r="D49" s="2727"/>
      <c r="E49" s="2727"/>
      <c r="F49" s="2727"/>
      <c r="G49" s="2727"/>
      <c r="H49" s="2727"/>
      <c r="I49" s="2728"/>
      <c r="J49" s="2723"/>
      <c r="K49" s="2716"/>
      <c r="L49" s="2760" t="s">
        <v>18294</v>
      </c>
      <c r="M49" s="2918" t="s">
        <v>3</v>
      </c>
      <c r="N49" s="2716"/>
      <c r="O49" s="2716"/>
      <c r="P49" s="2716"/>
      <c r="Q49" s="2716"/>
      <c r="R49" s="2716"/>
      <c r="S49" s="2716"/>
      <c r="T49" s="2716"/>
      <c r="U49" s="2716"/>
      <c r="V49" s="2716"/>
      <c r="W49" s="2716"/>
      <c r="X49" s="2716"/>
      <c r="Y49" s="2716"/>
      <c r="Z49" s="2716"/>
    </row>
    <row r="50" spans="1:26" x14ac:dyDescent="0.25">
      <c r="A50" s="2716"/>
      <c r="B50" s="2721"/>
      <c r="C50" s="2729" t="s">
        <v>1746</v>
      </c>
      <c r="D50" s="2731">
        <f ca="1">IF(AND(DOV1_Selection=2,Subject_UseIncomeApproach="Yes",AND(ISNUMBER(SEARCH("Stabilized",$E$20,1))&lt;&gt;TRUE,ISNUMBER(SEARCH("Stabilized",$F$20,1))&lt;&gt;TRUE)),Income_DirectCap_PGI,"")</f>
        <v>376562</v>
      </c>
      <c r="E50" s="2731" t="str">
        <f>IF(AND(DOV2_Selection=2,Subject_UseIncomeApproach="Yes",ISNUMBER(SEARCH("Stabilized",$E$20,1))=TRUE),Income_DirectCap_PGI,"")</f>
        <v/>
      </c>
      <c r="F50" s="2731" t="str">
        <f>IF(AND(DOV3_Selection=2,Subject_UseIncomeApproach="Yes",ISNUMBER(SEARCH("Stabilized",$F$20,1))=TRUE),Income_DirectCap_PGI,"")</f>
        <v/>
      </c>
      <c r="G50" s="2727"/>
      <c r="H50" s="2727"/>
      <c r="I50" s="2728"/>
      <c r="J50" s="2723"/>
      <c r="K50" s="2716"/>
      <c r="L50" s="2760" t="s">
        <v>18295</v>
      </c>
      <c r="M50" s="2919" t="s">
        <v>3</v>
      </c>
      <c r="N50" s="2716"/>
      <c r="O50" s="2716"/>
      <c r="P50" s="2716"/>
      <c r="Q50" s="2716"/>
      <c r="R50" s="2716"/>
      <c r="S50" s="2716"/>
      <c r="T50" s="2716"/>
      <c r="U50" s="2716"/>
      <c r="V50" s="2716"/>
      <c r="W50" s="2716"/>
      <c r="X50" s="2716"/>
      <c r="Y50" s="2716"/>
      <c r="Z50" s="2716"/>
    </row>
    <row r="51" spans="1:26" x14ac:dyDescent="0.25">
      <c r="A51" s="2716"/>
      <c r="B51" s="2721"/>
      <c r="C51" s="2729" t="s">
        <v>329</v>
      </c>
      <c r="D51" s="2731">
        <f ca="1">IF(AND(DOV1_Selection=2,Subject_UseIncomeApproach="Yes",AND(ISNUMBER(SEARCH("Stabilized",$E$20,1))&lt;&gt;TRUE,ISNUMBER(SEARCH("Stabilized",$F$20,1))&lt;&gt;TRUE)),dpIncome_DirectCap_EGI,"")</f>
        <v>353968</v>
      </c>
      <c r="E51" s="2731" t="str">
        <f>IF(AND(DOV2_Selection=2,Subject_UseIncomeApproach="Yes",ISNUMBER(SEARCH("Stabilized",$E$20,1))=TRUE),dpIncome_DirectCap_EGI,"")</f>
        <v/>
      </c>
      <c r="F51" s="2731" t="str">
        <f>IF(AND(DOV3_Selection=2,Subject_UseIncomeApproach="Yes",ISNUMBER(SEARCH("Stabilized",$F$20,1))=TRUE),dpIncome_DirectCap_EGI,"")</f>
        <v/>
      </c>
      <c r="G51" s="2727"/>
      <c r="H51" s="2727"/>
      <c r="I51" s="2728"/>
      <c r="J51" s="2723"/>
      <c r="K51" s="2716"/>
      <c r="L51" s="2771" t="s">
        <v>1056</v>
      </c>
      <c r="M51" s="2920">
        <f>Subject_Units</f>
        <v>77</v>
      </c>
      <c r="N51" s="2716"/>
      <c r="O51" s="2716"/>
      <c r="P51" s="2716"/>
      <c r="Q51" s="2716"/>
      <c r="R51" s="2716"/>
      <c r="S51" s="2716"/>
      <c r="T51" s="2716"/>
      <c r="U51" s="2716"/>
      <c r="V51" s="2716"/>
      <c r="W51" s="2716"/>
      <c r="X51" s="2716"/>
      <c r="Y51" s="2716"/>
      <c r="Z51" s="2716"/>
    </row>
    <row r="52" spans="1:26" x14ac:dyDescent="0.25">
      <c r="A52" s="2716"/>
      <c r="B52" s="2721"/>
      <c r="C52" s="2729" t="s">
        <v>330</v>
      </c>
      <c r="D52" s="2731">
        <f ca="1">IF(AND(DOV1_Selection=2,Subject_UseIncomeApproach="Yes",AND(ISNUMBER(SEARCH("Stabilized",$E$20,1))&lt;&gt;TRUE,ISNUMBER(SEARCH("Stabilized",$F$20,1))&lt;&gt;TRUE)),Income_DirectCap_Total_OpEx,"")</f>
        <v>218606</v>
      </c>
      <c r="E52" s="2731" t="str">
        <f>IF(AND(DOV2_Selection=2,Subject_UseIncomeApproach="Yes",ISNUMBER(SEARCH("Stabilized",$E$20,1))=TRUE),Income_DirectCap_Total_OpEx,"")</f>
        <v/>
      </c>
      <c r="F52" s="2731" t="str">
        <f>IF(AND(DOV3_Selection=2,Subject_UseIncomeApproach="Yes",ISNUMBER(SEARCH("Stabilized",$F$20,1))=TRUE),Income_DirectCap_Total_OpEx,"")</f>
        <v/>
      </c>
      <c r="G52" s="2727"/>
      <c r="H52" s="2727"/>
      <c r="I52" s="2728"/>
      <c r="J52" s="2723"/>
      <c r="K52" s="2716"/>
      <c r="L52" s="2749"/>
      <c r="M52" s="2716"/>
      <c r="N52" s="2716"/>
      <c r="O52" s="2716"/>
      <c r="P52" s="2716"/>
      <c r="Q52" s="2716"/>
      <c r="R52" s="2716"/>
      <c r="S52" s="2716"/>
      <c r="T52" s="2716"/>
      <c r="U52" s="2716"/>
      <c r="V52" s="2716"/>
      <c r="W52" s="2716"/>
      <c r="X52" s="2716"/>
      <c r="Y52" s="2716"/>
      <c r="Z52" s="2716"/>
    </row>
    <row r="53" spans="1:26" x14ac:dyDescent="0.25">
      <c r="A53" s="2716"/>
      <c r="B53" s="2721"/>
      <c r="C53" s="2729" t="s">
        <v>18317</v>
      </c>
      <c r="D53" s="2731">
        <f ca="1">IF(AND(DOV1_Selection=2,Subject_UseIncomeApproach="Yes",AND(ISNUMBER(SEARCH("Stabilized",$E$20,1))&lt;&gt;TRUE,ISNUMBER(SEARCH("Stabilized",$F$20,1))&lt;&gt;TRUE)),Income_DirectCap_Total_OpExRatio,"")</f>
        <v>0.61758690051078069</v>
      </c>
      <c r="E53" s="2731" t="str">
        <f>IF(AND(DOV2_Selection=2,Subject_UseIncomeApproach="Yes",ISNUMBER(SEARCH("Stabilized",$E$20,1))=TRUE),Income_DirectCap_Total_OpEx,"")</f>
        <v/>
      </c>
      <c r="F53" s="2731" t="str">
        <f>IF(AND(DOV3_Selection=2,Subject_UseIncomeApproach="Yes",ISNUMBER(SEARCH("Stabilized",$F$20,1))=TRUE),Income_DirectCap_Total_OpEx,"")</f>
        <v/>
      </c>
      <c r="G53" s="2727"/>
      <c r="H53" s="2727"/>
      <c r="I53" s="2728"/>
      <c r="J53" s="2723"/>
      <c r="K53" s="2716"/>
      <c r="L53" s="2716"/>
      <c r="M53" s="2716"/>
      <c r="N53" s="2716"/>
      <c r="O53" s="2716"/>
      <c r="P53" s="2716"/>
      <c r="Q53" s="2716"/>
      <c r="R53" s="2716"/>
      <c r="S53" s="2716"/>
      <c r="T53" s="2716"/>
      <c r="U53" s="2716"/>
      <c r="V53" s="2716"/>
      <c r="W53" s="2716"/>
      <c r="X53" s="2716"/>
      <c r="Y53" s="2716"/>
      <c r="Z53" s="2716"/>
    </row>
    <row r="54" spans="1:26" ht="15" thickBot="1" x14ac:dyDescent="0.3">
      <c r="A54" s="2716"/>
      <c r="B54" s="2721"/>
      <c r="C54" s="2729" t="s">
        <v>18318</v>
      </c>
      <c r="D54" s="2727" t="str">
        <f>IF(AND(DOV1_Selection=2,Subject_UseIncomeApproach="Yes",AND(ISNUMBER(SEARCH("Stabilized",$E$20,1))&lt;&gt;TRUE,ISNUMBER(SEARCH("Stabilized",$F$20,1))&lt;&gt;TRUE)),IF(Income_Expense_Reserves_Stabilized_1+Income_Expense_Reserves_Stabilized_2=0,"No","Yes"),"")</f>
        <v>Yes</v>
      </c>
      <c r="E54" s="2727" t="str">
        <f>IF(AND(DOV2_Selection=2,Subject_UseIncomeApproach="Yes",ISNUMBER(SEARCH("Stabilized",$E$20,1))=TRUE),IF(Income_Expense_Reserves_Stabilized_1+Income_Expense_Reserves_Stabilized_2=0,"No","Yes"),"")</f>
        <v/>
      </c>
      <c r="F54" s="2727" t="str">
        <f>IF(AND(DOV3_Selection=2,Subject_UseIncomeApproach="Yes",ISNUMBER(SEARCH("Stabilized",$F$20,1))=TRUE),IF(Income_Expense_Reserves_Stabilized_1+Income_Expense_Reserves_Stabilized_2=0,"No","Yes"),"")</f>
        <v/>
      </c>
      <c r="G54" s="2727"/>
      <c r="H54" s="2727"/>
      <c r="I54" s="2728"/>
      <c r="J54" s="2723"/>
      <c r="K54" s="2716"/>
      <c r="L54" s="2716"/>
      <c r="M54" s="2716"/>
      <c r="N54" s="2716"/>
      <c r="O54" s="2716"/>
      <c r="P54" s="2716"/>
      <c r="Q54" s="2716"/>
      <c r="R54" s="2716"/>
      <c r="S54" s="2716"/>
      <c r="T54" s="2716"/>
      <c r="U54" s="2716"/>
      <c r="V54" s="2716"/>
      <c r="W54" s="2716"/>
      <c r="X54" s="2716"/>
      <c r="Y54" s="2716"/>
      <c r="Z54" s="2716"/>
    </row>
    <row r="55" spans="1:26" ht="15" thickBot="1" x14ac:dyDescent="0.3">
      <c r="A55" s="2716"/>
      <c r="B55" s="2721"/>
      <c r="C55" s="2729" t="s">
        <v>18319</v>
      </c>
      <c r="D55" s="2761"/>
      <c r="E55" s="2762"/>
      <c r="F55" s="2763"/>
      <c r="G55" s="2727"/>
      <c r="H55" s="2727"/>
      <c r="I55" s="2728"/>
      <c r="J55" s="2723"/>
      <c r="K55" s="2716"/>
      <c r="L55" s="2716"/>
      <c r="M55" s="2716"/>
      <c r="N55" s="2716"/>
      <c r="O55" s="2716"/>
      <c r="P55" s="2716"/>
      <c r="Q55" s="2716"/>
      <c r="R55" s="2716"/>
      <c r="S55" s="2716"/>
      <c r="T55" s="2716"/>
      <c r="U55" s="2716"/>
      <c r="V55" s="2716"/>
      <c r="W55" s="2716"/>
      <c r="X55" s="2716"/>
      <c r="Y55" s="2716"/>
      <c r="Z55" s="2716"/>
    </row>
    <row r="56" spans="1:26" ht="15" thickBot="1" x14ac:dyDescent="0.3">
      <c r="A56" s="2716"/>
      <c r="B56" s="2721"/>
      <c r="C56" s="2729" t="s">
        <v>386</v>
      </c>
      <c r="D56" s="2731">
        <f ca="1">IF(AND(DOV1_Selection=2,Subject_UseIncomeApproach="Yes",AND(ISNUMBER(SEARCH("Stabilized",$E$20,1))&lt;&gt;TRUE,ISNUMBER(SEARCH("Stabilized",$F$20,1))&lt;&gt;TRUE)),Income_DirectCap_NOI,"")</f>
        <v>135362</v>
      </c>
      <c r="E56" s="2731" t="str">
        <f>IF(AND(DOV2_Selection=2,Subject_UseIncomeApproach="Yes",ISNUMBER(SEARCH("Stabilized",$E$20,1))=TRUE),Income_DirectCap_NOI,"")</f>
        <v/>
      </c>
      <c r="F56" s="2731" t="str">
        <f>IF(AND(DOV3_Selection=2,Subject_UseIncomeApproach="Yes",ISNUMBER(SEARCH("Stabilized",$F$20,1))=TRUE),Income_DirectCap_NOI,"")</f>
        <v/>
      </c>
      <c r="G56" s="2727"/>
      <c r="H56" s="2727"/>
      <c r="I56" s="2728"/>
      <c r="J56" s="2723"/>
      <c r="K56" s="2716"/>
      <c r="L56" s="2716"/>
      <c r="M56" s="2716"/>
      <c r="N56" s="2716"/>
      <c r="O56" s="2716"/>
      <c r="P56" s="2716"/>
      <c r="Q56" s="2716"/>
      <c r="R56" s="2716"/>
      <c r="S56" s="2716"/>
      <c r="T56" s="2716"/>
      <c r="U56" s="2716"/>
      <c r="V56" s="2716"/>
      <c r="W56" s="2716"/>
      <c r="X56" s="2716"/>
      <c r="Y56" s="2716"/>
      <c r="Z56" s="2716"/>
    </row>
    <row r="57" spans="1:26" ht="29.25" thickBot="1" x14ac:dyDescent="0.3">
      <c r="A57" s="2716"/>
      <c r="B57" s="2721"/>
      <c r="C57" s="2729" t="s">
        <v>18320</v>
      </c>
      <c r="D57" s="2911" t="e">
        <f ca="1">dpIncome_ActualOccupancy</f>
        <v>#VALUE!</v>
      </c>
      <c r="E57" s="2912" t="str">
        <f>IF(ISNUMBER(SEARCH("Stabilized",$E$20,1))=TRUE,dpIncome_StabilizedOccupancy,"")</f>
        <v/>
      </c>
      <c r="F57" s="2913" t="str">
        <f>IF(ISNUMBER(SEARCH("Stabilized",$F$20,1))=TRUE,dpIncome_StabilizedOccupancy,"")</f>
        <v/>
      </c>
      <c r="G57" s="2727"/>
      <c r="H57" s="2727"/>
      <c r="I57" s="2782" t="s">
        <v>18532</v>
      </c>
      <c r="J57" s="2723"/>
      <c r="K57" s="2716"/>
      <c r="L57" s="2716"/>
      <c r="M57" s="2716"/>
      <c r="N57" s="2716"/>
      <c r="O57" s="2716"/>
      <c r="P57" s="2716"/>
      <c r="Q57" s="2716"/>
      <c r="R57" s="2716"/>
      <c r="S57" s="2716"/>
      <c r="T57" s="2716"/>
      <c r="U57" s="2716"/>
      <c r="V57" s="2716"/>
      <c r="W57" s="2716"/>
      <c r="X57" s="2716"/>
      <c r="Y57" s="2716"/>
      <c r="Z57" s="2716"/>
    </row>
    <row r="58" spans="1:26" ht="20.100000000000001" customHeight="1" x14ac:dyDescent="0.25">
      <c r="A58" s="2716"/>
      <c r="B58" s="2721"/>
      <c r="C58" s="2726" t="s">
        <v>18321</v>
      </c>
      <c r="D58" s="2727"/>
      <c r="E58" s="2727"/>
      <c r="F58" s="2727"/>
      <c r="G58" s="2727"/>
      <c r="H58" s="2727"/>
      <c r="I58" s="2728"/>
      <c r="J58" s="2723"/>
      <c r="K58" s="2716"/>
      <c r="L58" s="2716"/>
      <c r="M58" s="2716"/>
      <c r="N58" s="2716"/>
      <c r="O58" s="2716"/>
      <c r="P58" s="2716"/>
      <c r="Q58" s="2716"/>
      <c r="R58" s="2716"/>
      <c r="S58" s="2716"/>
      <c r="T58" s="2716"/>
      <c r="U58" s="2716"/>
      <c r="V58" s="2716"/>
      <c r="W58" s="2716"/>
      <c r="X58" s="2716"/>
      <c r="Y58" s="2716"/>
      <c r="Z58" s="2716"/>
    </row>
    <row r="59" spans="1:26" x14ac:dyDescent="0.25">
      <c r="A59" s="2716"/>
      <c r="B59" s="2721"/>
      <c r="C59" s="2729" t="s">
        <v>18322</v>
      </c>
      <c r="D59" s="2731">
        <f>IF(ISNUMBER('Value Indications'!F12)=TRUE,'Value Indications'!F12,"")</f>
        <v>3850000</v>
      </c>
      <c r="E59" s="2731" t="str">
        <f>IF(ISNUMBER('Value Indications'!G12)=TRUE,'Value Indications'!G12,"")</f>
        <v/>
      </c>
      <c r="F59" s="2731" t="str">
        <f>IF(ISNUMBER('Value Indications'!H12)=TRUE,'Value Indications'!H12,"")</f>
        <v/>
      </c>
      <c r="G59" s="2731"/>
      <c r="H59" s="2731"/>
      <c r="I59" s="2728"/>
      <c r="J59" s="2723"/>
      <c r="K59" s="2716"/>
      <c r="L59" s="2716"/>
      <c r="M59" s="2716"/>
      <c r="N59" s="2716"/>
      <c r="O59" s="2716"/>
      <c r="P59" s="2716"/>
      <c r="Q59" s="2716"/>
      <c r="R59" s="2716"/>
      <c r="S59" s="2716"/>
      <c r="T59" s="2716"/>
      <c r="U59" s="2716"/>
      <c r="V59" s="2716"/>
      <c r="W59" s="2716"/>
      <c r="X59" s="2716"/>
      <c r="Y59" s="2716"/>
      <c r="Z59" s="2716"/>
    </row>
    <row r="60" spans="1:26" x14ac:dyDescent="0.25">
      <c r="A60" s="2716"/>
      <c r="B60" s="2721"/>
      <c r="C60" s="2729" t="s">
        <v>18323</v>
      </c>
      <c r="D60" s="2768" t="str">
        <f>IFERROR(D59/D$25,"")</f>
        <v/>
      </c>
      <c r="E60" s="2768" t="str">
        <f>IFERROR(E59/E$25,"")</f>
        <v/>
      </c>
      <c r="F60" s="2768" t="str">
        <f>IFERROR(F59/F$25,"")</f>
        <v/>
      </c>
      <c r="G60" s="2768"/>
      <c r="H60" s="2768"/>
      <c r="I60" s="2728"/>
      <c r="J60" s="2723"/>
      <c r="K60" s="2716"/>
      <c r="L60" s="2716"/>
      <c r="M60" s="2716"/>
      <c r="N60" s="2716"/>
      <c r="O60" s="2716"/>
      <c r="P60" s="2716"/>
      <c r="Q60" s="2716"/>
      <c r="R60" s="2716"/>
      <c r="S60" s="2716"/>
      <c r="T60" s="2716"/>
      <c r="U60" s="2716"/>
      <c r="V60" s="2716"/>
      <c r="W60" s="2716"/>
      <c r="X60" s="2716"/>
      <c r="Y60" s="2716"/>
      <c r="Z60" s="2716"/>
    </row>
    <row r="61" spans="1:26" x14ac:dyDescent="0.25">
      <c r="A61" s="2716"/>
      <c r="B61" s="2721"/>
      <c r="C61" s="2729" t="s">
        <v>18324</v>
      </c>
      <c r="D61" s="2727" t="str">
        <f>D$26</f>
        <v>Select unit of measure</v>
      </c>
      <c r="E61" s="2727" t="str">
        <f t="shared" ref="E61:H61" si="3">E$26</f>
        <v>Select unit of measure</v>
      </c>
      <c r="F61" s="2727" t="str">
        <f t="shared" si="3"/>
        <v>Select unit of measure</v>
      </c>
      <c r="G61" s="2727" t="str">
        <f t="shared" si="3"/>
        <v>SF-GBA</v>
      </c>
      <c r="H61" s="2727" t="str">
        <f t="shared" si="3"/>
        <v>SF-GBA</v>
      </c>
      <c r="I61" s="2728"/>
      <c r="J61" s="2723"/>
      <c r="K61" s="2716"/>
      <c r="L61" s="2716"/>
      <c r="M61" s="2716"/>
      <c r="N61" s="2716"/>
      <c r="O61" s="2716"/>
      <c r="P61" s="2716"/>
      <c r="Q61" s="2716"/>
      <c r="R61" s="2716"/>
      <c r="S61" s="2716"/>
      <c r="T61" s="2716"/>
      <c r="U61" s="2716"/>
      <c r="V61" s="2716"/>
      <c r="W61" s="2716"/>
      <c r="X61" s="2716"/>
      <c r="Y61" s="2716"/>
      <c r="Z61" s="2716"/>
    </row>
    <row r="62" spans="1:26" x14ac:dyDescent="0.25">
      <c r="A62" s="2716"/>
      <c r="B62" s="2721"/>
      <c r="C62" s="2729" t="s">
        <v>18325</v>
      </c>
      <c r="D62" s="2769">
        <f>IF(AND(DOV1_Selection=2,Subject_UseIncomeApproach="Yes",OR(Income_TechniqueUsed="Direct Capitalization",Income_TechniqueUsed="Direct Cap. and DCF")),dpIncome_OAR,"")</f>
        <v>6.7500000000000004E-2</v>
      </c>
      <c r="E62" s="2769" t="str">
        <f>IF(AND(DOV2_Selection=2,Subject_UseIncomeApproach="Yes",OR(Income_TechniqueUsed="Direct Capitalization",Income_TechniqueUsed="Direct Cap. and DCF")),dpIncome_OAR,"")</f>
        <v/>
      </c>
      <c r="F62" s="2769" t="str">
        <f>IF(AND(DOV2_Selection=2,Subject_UseIncomeApproach="Yes",OR(Income_TechniqueUsed="Direct Capitalization",Income_TechniqueUsed="Direct Cap. and DCF")),dpIncome_OAR,"")</f>
        <v/>
      </c>
      <c r="G62" s="2727"/>
      <c r="H62" s="2727"/>
      <c r="I62" s="2728"/>
      <c r="J62" s="2723"/>
      <c r="K62" s="2716"/>
      <c r="L62" s="2716"/>
      <c r="M62" s="2716"/>
      <c r="N62" s="2716"/>
      <c r="O62" s="2716"/>
      <c r="P62" s="2716"/>
      <c r="Q62" s="2716"/>
      <c r="R62" s="2716"/>
      <c r="S62" s="2716"/>
      <c r="T62" s="2716"/>
      <c r="U62" s="2716"/>
      <c r="V62" s="2716"/>
      <c r="W62" s="2716"/>
      <c r="X62" s="2716"/>
      <c r="Y62" s="2716"/>
      <c r="Z62" s="2716"/>
    </row>
    <row r="63" spans="1:26" ht="20.100000000000001" customHeight="1" x14ac:dyDescent="0.25">
      <c r="A63" s="2716"/>
      <c r="B63" s="2721"/>
      <c r="C63" s="2726" t="s">
        <v>18326</v>
      </c>
      <c r="D63" s="2727"/>
      <c r="E63" s="2727"/>
      <c r="F63" s="2727"/>
      <c r="G63" s="2727"/>
      <c r="H63" s="2727"/>
      <c r="I63" s="2728"/>
      <c r="J63" s="2723"/>
      <c r="K63" s="2716"/>
      <c r="L63" s="2716"/>
      <c r="M63" s="2716"/>
      <c r="N63" s="2716"/>
      <c r="O63" s="2716"/>
      <c r="P63" s="2716"/>
      <c r="Q63" s="2716"/>
      <c r="R63" s="2716"/>
      <c r="S63" s="2716"/>
      <c r="T63" s="2716"/>
      <c r="U63" s="2716"/>
      <c r="V63" s="2716"/>
      <c r="W63" s="2716"/>
      <c r="X63" s="2716"/>
      <c r="Y63" s="2716"/>
      <c r="Z63" s="2716"/>
    </row>
    <row r="64" spans="1:26" x14ac:dyDescent="0.25">
      <c r="A64" s="2716"/>
      <c r="B64" s="2721"/>
      <c r="C64" s="2729" t="s">
        <v>18327</v>
      </c>
      <c r="D64" s="2731" t="str">
        <f>IF(ISNUMBER('Value Indications'!F13)=TRUE,'Value Indications'!F13,"")</f>
        <v/>
      </c>
      <c r="E64" s="2731" t="str">
        <f>IF(ISNUMBER('Value Indications'!G13)=TRUE,'Value Indications'!G13,"")</f>
        <v/>
      </c>
      <c r="F64" s="2731" t="str">
        <f>IF(ISNUMBER('Value Indications'!H13)=TRUE,'Value Indications'!H13,"")</f>
        <v/>
      </c>
      <c r="G64" s="2727"/>
      <c r="H64" s="2727"/>
      <c r="I64" s="2728"/>
      <c r="J64" s="2723"/>
      <c r="K64" s="2716"/>
      <c r="L64" s="2716"/>
      <c r="M64" s="2716"/>
      <c r="N64" s="2716"/>
      <c r="O64" s="2716"/>
      <c r="P64" s="2716"/>
      <c r="Q64" s="2716"/>
      <c r="R64" s="2716"/>
      <c r="S64" s="2716"/>
      <c r="T64" s="2716"/>
      <c r="U64" s="2716"/>
      <c r="V64" s="2716"/>
      <c r="W64" s="2716"/>
      <c r="X64" s="2716"/>
      <c r="Y64" s="2716"/>
      <c r="Z64" s="2716"/>
    </row>
    <row r="65" spans="1:26" x14ac:dyDescent="0.25">
      <c r="A65" s="2716"/>
      <c r="B65" s="2721"/>
      <c r="C65" s="2729" t="s">
        <v>18328</v>
      </c>
      <c r="D65" s="2768" t="str">
        <f>IFERROR(D64/D$25,"")</f>
        <v/>
      </c>
      <c r="E65" s="2768" t="str">
        <f>IFERROR(E64/E$25,"")</f>
        <v/>
      </c>
      <c r="F65" s="2768" t="str">
        <f>IFERROR(F64/F$25,"")</f>
        <v/>
      </c>
      <c r="G65" s="2727"/>
      <c r="H65" s="2727"/>
      <c r="I65" s="2728"/>
      <c r="J65" s="2723"/>
      <c r="K65" s="2716"/>
      <c r="L65" s="2716"/>
      <c r="M65" s="2716"/>
      <c r="N65" s="2716"/>
      <c r="O65" s="2716"/>
      <c r="P65" s="2716"/>
      <c r="Q65" s="2716"/>
      <c r="R65" s="2716"/>
      <c r="S65" s="2716"/>
      <c r="T65" s="2716"/>
      <c r="U65" s="2716"/>
      <c r="V65" s="2716"/>
      <c r="W65" s="2716"/>
      <c r="X65" s="2716"/>
      <c r="Y65" s="2716"/>
      <c r="Z65" s="2716"/>
    </row>
    <row r="66" spans="1:26" x14ac:dyDescent="0.25">
      <c r="A66" s="2716"/>
      <c r="B66" s="2721"/>
      <c r="C66" s="2729" t="s">
        <v>18329</v>
      </c>
      <c r="D66" s="2727" t="str">
        <f>D$26</f>
        <v>Select unit of measure</v>
      </c>
      <c r="E66" s="2727" t="str">
        <f t="shared" ref="E66:H66" si="4">E$26</f>
        <v>Select unit of measure</v>
      </c>
      <c r="F66" s="2727" t="str">
        <f t="shared" si="4"/>
        <v>Select unit of measure</v>
      </c>
      <c r="G66" s="2727" t="str">
        <f t="shared" si="4"/>
        <v>SF-GBA</v>
      </c>
      <c r="H66" s="2727" t="str">
        <f t="shared" si="4"/>
        <v>SF-GBA</v>
      </c>
      <c r="I66" s="2728"/>
      <c r="J66" s="2723"/>
      <c r="K66" s="2716"/>
      <c r="L66" s="2716"/>
      <c r="M66" s="2716"/>
      <c r="N66" s="2716"/>
      <c r="O66" s="2716"/>
      <c r="P66" s="2716"/>
      <c r="Q66" s="2716"/>
      <c r="R66" s="2716"/>
      <c r="S66" s="2716"/>
      <c r="T66" s="2716"/>
      <c r="U66" s="2716"/>
      <c r="V66" s="2716"/>
      <c r="W66" s="2716"/>
      <c r="X66" s="2716"/>
      <c r="Y66" s="2716"/>
      <c r="Z66" s="2716"/>
    </row>
    <row r="67" spans="1:26" x14ac:dyDescent="0.25">
      <c r="A67" s="2716"/>
      <c r="B67" s="2721"/>
      <c r="C67" s="2729" t="s">
        <v>18330</v>
      </c>
      <c r="D67" s="2727" t="str">
        <f>IF(AND(DOV1_Selection=2,Subject_UseIncomeApproach="Yes",OR(Income_TechniqueUsed="Discounted Cash Flow",Income_TechniqueUsed="Direct Cap. and DCF")),dpIncome_TerminalRate,"")</f>
        <v/>
      </c>
      <c r="E67" s="2727" t="str">
        <f>IF(AND(DOV2_Selection=2,Subject_UseIncomeApproach="Yes",OR(Income_TechniqueUsed="Discounted Cash Flow",Income_TechniqueUsed="Direct Cap. and DCF")),IF(DOV1_Selection=2,dpIncome_DiscRate2,dpIncome_DiscRate1),"")</f>
        <v/>
      </c>
      <c r="F67" s="2727" t="str">
        <f>IF(AND(DOV3_Selection=2,Subject_UseIncomeApproach="Yes",OR(Income_TechniqueUsed="Discounted Cash Flow",Income_TechniqueUsed="Direct Cap. and DCF")),IF(AND(DOV1_Selection=2,DOV2_Selection=2),dpIncome_DiscRate3,dpIncome_DiscRate2),"")</f>
        <v/>
      </c>
      <c r="G67" s="2727"/>
      <c r="H67" s="2727"/>
      <c r="I67" s="2728"/>
      <c r="J67" s="2723"/>
      <c r="K67" s="2716"/>
      <c r="L67" s="2716"/>
      <c r="M67" s="2716"/>
      <c r="N67" s="2716"/>
      <c r="O67" s="2716"/>
      <c r="P67" s="2716"/>
      <c r="Q67" s="2716"/>
      <c r="R67" s="2716"/>
      <c r="S67" s="2716"/>
      <c r="T67" s="2716"/>
      <c r="U67" s="2716"/>
      <c r="V67" s="2716"/>
      <c r="W67" s="2716"/>
      <c r="X67" s="2716"/>
      <c r="Y67" s="2716"/>
      <c r="Z67" s="2716"/>
    </row>
    <row r="68" spans="1:26" x14ac:dyDescent="0.25">
      <c r="A68" s="2716"/>
      <c r="B68" s="2721"/>
      <c r="C68" s="2729" t="s">
        <v>18331</v>
      </c>
      <c r="D68" s="2727" t="str">
        <f>IF(AND(DOV1_Selection=2,Subject_UseIncomeApproach="Yes",OR(Income_TechniqueUsed="Discounted Cash Flow",Income_TechniqueUsed="Direct Cap. and DCF")),dpIncome_DiscRate1,"")</f>
        <v/>
      </c>
      <c r="E68" s="2727" t="str">
        <f>IF(AND(DOV2_Selection=2,Subject_UseIncomeApproach="Yes",OR(Income_TechniqueUsed="Discounted Cash Flow",Income_TechniqueUsed="Direct Cap. and DCF")),dpIncome_TerminalRate,"")</f>
        <v/>
      </c>
      <c r="F68" s="2727" t="str">
        <f>IF(AND(DOV3_Selection=2,Subject_UseIncomeApproach="Yes",OR(Income_TechniqueUsed="Discounted Cash Flow",Income_TechniqueUsed="Direct Cap. and DCF")),dpIncome_TerminalRate,"")</f>
        <v/>
      </c>
      <c r="G68" s="2727"/>
      <c r="H68" s="2727"/>
      <c r="I68" s="2728"/>
      <c r="J68" s="2723"/>
      <c r="K68" s="2716"/>
      <c r="L68" s="2716"/>
      <c r="M68" s="2716"/>
      <c r="N68" s="2716"/>
      <c r="O68" s="2716"/>
      <c r="P68" s="2716"/>
      <c r="Q68" s="2716"/>
      <c r="R68" s="2716"/>
      <c r="S68" s="2716"/>
      <c r="T68" s="2716"/>
      <c r="U68" s="2716"/>
      <c r="V68" s="2716"/>
      <c r="W68" s="2716"/>
      <c r="X68" s="2716"/>
      <c r="Y68" s="2716"/>
      <c r="Z68" s="2716"/>
    </row>
    <row r="69" spans="1:26" ht="20.100000000000001" customHeight="1" x14ac:dyDescent="0.25">
      <c r="A69" s="2716"/>
      <c r="B69" s="2721"/>
      <c r="C69" s="2726" t="s">
        <v>18332</v>
      </c>
      <c r="D69" s="2727"/>
      <c r="E69" s="2727"/>
      <c r="F69" s="2727"/>
      <c r="G69" s="2727"/>
      <c r="H69" s="2727"/>
      <c r="I69" s="2728"/>
      <c r="J69" s="2723"/>
      <c r="K69" s="2716"/>
      <c r="L69" s="2716"/>
      <c r="M69" s="2716"/>
      <c r="N69" s="2716"/>
      <c r="O69" s="2716"/>
      <c r="P69" s="2716"/>
      <c r="Q69" s="2716"/>
      <c r="R69" s="2716"/>
      <c r="S69" s="2716"/>
      <c r="T69" s="2716"/>
      <c r="U69" s="2716"/>
      <c r="V69" s="2716"/>
      <c r="W69" s="2716"/>
      <c r="X69" s="2716"/>
      <c r="Y69" s="2716"/>
      <c r="Z69" s="2716"/>
    </row>
    <row r="70" spans="1:26" x14ac:dyDescent="0.25">
      <c r="A70" s="2716"/>
      <c r="B70" s="2721"/>
      <c r="C70" s="2729" t="s">
        <v>18333</v>
      </c>
      <c r="D70" s="2731">
        <f>IF(ISNUMBER('Value Indications'!F9)=TRUE,'Value Indications'!F9,"")</f>
        <v>4000000</v>
      </c>
      <c r="E70" s="2731" t="str">
        <f>IF(ISNUMBER('Value Indications'!G9)=TRUE,'Value Indications'!G9,"")</f>
        <v/>
      </c>
      <c r="F70" s="2731" t="str">
        <f>IF(ISNUMBER('Value Indications'!H9)=TRUE,'Value Indications'!H9,"")</f>
        <v/>
      </c>
      <c r="G70" s="2727"/>
      <c r="H70" s="2727"/>
      <c r="I70" s="2728"/>
      <c r="J70" s="2723"/>
      <c r="K70" s="2716"/>
      <c r="L70" s="2716"/>
      <c r="M70" s="2716"/>
      <c r="N70" s="2716"/>
      <c r="O70" s="2716"/>
      <c r="P70" s="2716"/>
      <c r="Q70" s="2716"/>
      <c r="R70" s="2716"/>
      <c r="S70" s="2716"/>
      <c r="T70" s="2716"/>
      <c r="U70" s="2716"/>
      <c r="V70" s="2716"/>
      <c r="W70" s="2716"/>
      <c r="X70" s="2716"/>
      <c r="Y70" s="2716"/>
      <c r="Z70" s="2716"/>
    </row>
    <row r="71" spans="1:26" x14ac:dyDescent="0.25">
      <c r="A71" s="2716"/>
      <c r="B71" s="2721"/>
      <c r="C71" s="2729" t="s">
        <v>18334</v>
      </c>
      <c r="D71" s="2768" t="str">
        <f>IFERROR(D70/D$25,"")</f>
        <v/>
      </c>
      <c r="E71" s="2768" t="str">
        <f>IFERROR(E70/E$25,"")</f>
        <v/>
      </c>
      <c r="F71" s="2768" t="str">
        <f>IFERROR(F70/F$25,"")</f>
        <v/>
      </c>
      <c r="G71" s="2727"/>
      <c r="H71" s="2727"/>
      <c r="I71" s="2728"/>
      <c r="J71" s="2723"/>
      <c r="K71" s="2716"/>
      <c r="L71" s="2716"/>
      <c r="M71" s="2716"/>
      <c r="N71" s="2716"/>
      <c r="O71" s="2716"/>
      <c r="P71" s="2716"/>
      <c r="Q71" s="2716"/>
      <c r="R71" s="2716"/>
      <c r="S71" s="2716"/>
      <c r="T71" s="2716"/>
      <c r="U71" s="2716"/>
      <c r="V71" s="2716"/>
      <c r="W71" s="2716"/>
      <c r="X71" s="2716"/>
      <c r="Y71" s="2716"/>
      <c r="Z71" s="2716"/>
    </row>
    <row r="72" spans="1:26" x14ac:dyDescent="0.25">
      <c r="A72" s="2716"/>
      <c r="B72" s="2721"/>
      <c r="C72" s="2729" t="s">
        <v>18335</v>
      </c>
      <c r="D72" s="2727" t="str">
        <f>D$26</f>
        <v>Select unit of measure</v>
      </c>
      <c r="E72" s="2727" t="str">
        <f t="shared" ref="E72:H72" si="5">E$26</f>
        <v>Select unit of measure</v>
      </c>
      <c r="F72" s="2727" t="str">
        <f t="shared" si="5"/>
        <v>Select unit of measure</v>
      </c>
      <c r="G72" s="2727" t="str">
        <f t="shared" si="5"/>
        <v>SF-GBA</v>
      </c>
      <c r="H72" s="2727" t="str">
        <f t="shared" si="5"/>
        <v>SF-GBA</v>
      </c>
      <c r="I72" s="2728"/>
      <c r="J72" s="2723"/>
      <c r="K72" s="2716"/>
      <c r="L72" s="2716"/>
      <c r="M72" s="2716"/>
      <c r="N72" s="2716"/>
      <c r="O72" s="2716"/>
      <c r="P72" s="2716"/>
      <c r="Q72" s="2716"/>
      <c r="R72" s="2716"/>
      <c r="S72" s="2716"/>
      <c r="T72" s="2716"/>
      <c r="U72" s="2716"/>
      <c r="V72" s="2716"/>
      <c r="W72" s="2716"/>
      <c r="X72" s="2716"/>
      <c r="Y72" s="2716"/>
      <c r="Z72" s="2716"/>
    </row>
    <row r="73" spans="1:26" ht="20.100000000000001" customHeight="1" x14ac:dyDescent="0.25">
      <c r="A73" s="2716"/>
      <c r="B73" s="2721"/>
      <c r="C73" s="2726" t="s">
        <v>18336</v>
      </c>
      <c r="D73" s="2727"/>
      <c r="E73" s="2727"/>
      <c r="F73" s="2727"/>
      <c r="G73" s="2727"/>
      <c r="H73" s="2727"/>
      <c r="I73" s="2728"/>
      <c r="J73" s="2723"/>
      <c r="K73" s="2716"/>
      <c r="L73" s="2716"/>
      <c r="M73" s="2716"/>
      <c r="N73" s="2716"/>
      <c r="O73" s="2716"/>
      <c r="P73" s="2716"/>
      <c r="Q73" s="2716"/>
      <c r="R73" s="2716"/>
      <c r="S73" s="2716"/>
      <c r="T73" s="2716"/>
      <c r="U73" s="2716"/>
      <c r="V73" s="2716"/>
      <c r="W73" s="2716"/>
      <c r="X73" s="2716"/>
      <c r="Y73" s="2716"/>
      <c r="Z73" s="2716"/>
    </row>
    <row r="74" spans="1:26" s="2775" customFormat="1" x14ac:dyDescent="0.25">
      <c r="A74" s="2772"/>
      <c r="B74" s="2773"/>
      <c r="C74" s="2729" t="s">
        <v>18337</v>
      </c>
      <c r="D74" s="2731" t="str">
        <f>IF(ISNUMBER('Value Indications'!F8)=TRUE,'Value Indications'!F8,"")</f>
        <v/>
      </c>
      <c r="E74" s="2731" t="str">
        <f>IF(ISNUMBER('Value Indications'!G8)=TRUE,'Value Indications'!G8,"")</f>
        <v/>
      </c>
      <c r="F74" s="2731" t="str">
        <f>IF(ISNUMBER('Value Indications'!H8)=TRUE,'Value Indications'!H8,"")</f>
        <v/>
      </c>
      <c r="G74" s="2729"/>
      <c r="H74" s="2729"/>
      <c r="I74" s="2729"/>
      <c r="J74" s="2774"/>
      <c r="K74" s="2772"/>
      <c r="L74" s="2772"/>
      <c r="M74" s="2772"/>
      <c r="N74" s="2772"/>
      <c r="O74" s="2772"/>
      <c r="P74" s="2772"/>
      <c r="Q74" s="2772"/>
      <c r="R74" s="2772"/>
      <c r="S74" s="2772"/>
      <c r="T74" s="2772"/>
      <c r="U74" s="2772"/>
      <c r="V74" s="2772"/>
      <c r="W74" s="2772"/>
      <c r="X74" s="2772"/>
      <c r="Y74" s="2772"/>
      <c r="Z74" s="2772"/>
    </row>
    <row r="75" spans="1:26" s="2775" customFormat="1" x14ac:dyDescent="0.25">
      <c r="A75" s="2772"/>
      <c r="B75" s="2773"/>
      <c r="C75" s="2729" t="s">
        <v>18338</v>
      </c>
      <c r="D75" s="2768" t="str">
        <f>IFERROR(D74/D$25,"")</f>
        <v/>
      </c>
      <c r="E75" s="2768" t="str">
        <f>IFERROR(E74/E$25,"")</f>
        <v/>
      </c>
      <c r="F75" s="2768" t="str">
        <f>IFERROR(F74/F$25,"")</f>
        <v/>
      </c>
      <c r="G75" s="2729"/>
      <c r="H75" s="2729"/>
      <c r="I75" s="2729"/>
      <c r="J75" s="2774"/>
      <c r="K75" s="2772"/>
      <c r="L75" s="2772"/>
      <c r="M75" s="2772"/>
      <c r="N75" s="2772"/>
      <c r="O75" s="2772"/>
      <c r="P75" s="2772"/>
      <c r="Q75" s="2772"/>
      <c r="R75" s="2772"/>
      <c r="S75" s="2772"/>
      <c r="T75" s="2772"/>
      <c r="U75" s="2772"/>
      <c r="V75" s="2772"/>
      <c r="W75" s="2772"/>
      <c r="X75" s="2772"/>
      <c r="Y75" s="2772"/>
      <c r="Z75" s="2772"/>
    </row>
    <row r="76" spans="1:26" s="2775" customFormat="1" x14ac:dyDescent="0.25">
      <c r="A76" s="2772"/>
      <c r="B76" s="2773"/>
      <c r="C76" s="2729" t="s">
        <v>18339</v>
      </c>
      <c r="D76" s="2727" t="str">
        <f>D$26</f>
        <v>Select unit of measure</v>
      </c>
      <c r="E76" s="2727" t="str">
        <f t="shared" ref="E76:F76" si="6">E$26</f>
        <v>Select unit of measure</v>
      </c>
      <c r="F76" s="2727" t="str">
        <f t="shared" si="6"/>
        <v>Select unit of measure</v>
      </c>
      <c r="G76" s="2728" t="s">
        <v>18286</v>
      </c>
      <c r="H76" s="2728" t="s">
        <v>18286</v>
      </c>
      <c r="I76" s="2729"/>
      <c r="J76" s="2774"/>
      <c r="K76" s="2772"/>
      <c r="L76" s="2772"/>
      <c r="M76" s="2772"/>
      <c r="N76" s="2772"/>
      <c r="O76" s="2772"/>
      <c r="P76" s="2772"/>
      <c r="Q76" s="2772"/>
      <c r="R76" s="2772"/>
      <c r="S76" s="2772"/>
      <c r="T76" s="2772"/>
      <c r="U76" s="2772"/>
      <c r="V76" s="2772"/>
      <c r="W76" s="2772"/>
      <c r="X76" s="2772"/>
      <c r="Y76" s="2772"/>
      <c r="Z76" s="2772"/>
    </row>
    <row r="77" spans="1:26" ht="20.100000000000001" customHeight="1" x14ac:dyDescent="0.25">
      <c r="A77" s="2716"/>
      <c r="B77" s="2721"/>
      <c r="C77" s="2726" t="s">
        <v>18340</v>
      </c>
      <c r="D77" s="2727"/>
      <c r="E77" s="2727"/>
      <c r="F77" s="2727"/>
      <c r="G77" s="2727"/>
      <c r="H77" s="2727"/>
      <c r="I77" s="2728"/>
      <c r="J77" s="2723"/>
      <c r="K77" s="2716"/>
      <c r="L77" s="2716"/>
      <c r="M77" s="2716"/>
      <c r="N77" s="2716"/>
      <c r="O77" s="2716"/>
      <c r="P77" s="2716"/>
      <c r="Q77" s="2716"/>
      <c r="R77" s="2716"/>
      <c r="S77" s="2716"/>
      <c r="T77" s="2716"/>
      <c r="U77" s="2716"/>
      <c r="V77" s="2716"/>
      <c r="W77" s="2716"/>
      <c r="X77" s="2716"/>
      <c r="Y77" s="2716"/>
      <c r="Z77" s="2716"/>
    </row>
    <row r="78" spans="1:26" x14ac:dyDescent="0.25">
      <c r="A78" s="2716"/>
      <c r="B78" s="2721"/>
      <c r="C78" s="2729" t="s">
        <v>18341</v>
      </c>
      <c r="D78" s="2727" t="str">
        <f>Subject_ExposureTime</f>
        <v>6 to 12 months</v>
      </c>
      <c r="E78" s="2727" t="str">
        <f>Subject_ExposureTime</f>
        <v>6 to 12 months</v>
      </c>
      <c r="F78" s="2727" t="str">
        <f>Subject_ExposureTime</f>
        <v>6 to 12 months</v>
      </c>
      <c r="G78" s="2727"/>
      <c r="H78" s="2727"/>
      <c r="I78" s="2728"/>
      <c r="J78" s="2723"/>
      <c r="K78" s="2716"/>
      <c r="L78" s="2716"/>
      <c r="M78" s="2716"/>
      <c r="N78" s="2716"/>
      <c r="O78" s="2716"/>
      <c r="P78" s="2716"/>
      <c r="Q78" s="2716"/>
      <c r="R78" s="2716"/>
      <c r="S78" s="2716"/>
      <c r="T78" s="2716"/>
      <c r="U78" s="2716"/>
      <c r="V78" s="2716"/>
      <c r="W78" s="2716"/>
      <c r="X78" s="2716"/>
      <c r="Y78" s="2716"/>
      <c r="Z78" s="2716"/>
    </row>
    <row r="79" spans="1:26" x14ac:dyDescent="0.25">
      <c r="A79" s="2716"/>
      <c r="B79" s="2721"/>
      <c r="C79" s="2729" t="s">
        <v>18342</v>
      </c>
      <c r="D79" s="2727" t="str">
        <f>Subject_MarketingPeriod</f>
        <v>6 to 12 months</v>
      </c>
      <c r="E79" s="2727" t="str">
        <f>Subject_MarketingPeriod</f>
        <v>6 to 12 months</v>
      </c>
      <c r="F79" s="2727" t="str">
        <f>Subject_MarketingPeriod</f>
        <v>6 to 12 months</v>
      </c>
      <c r="G79" s="2727"/>
      <c r="H79" s="2727"/>
      <c r="I79" s="2728"/>
      <c r="J79" s="2723"/>
      <c r="K79" s="2716"/>
      <c r="L79" s="2716"/>
      <c r="M79" s="2716"/>
      <c r="N79" s="2716"/>
      <c r="O79" s="2716"/>
      <c r="P79" s="2716"/>
      <c r="Q79" s="2716"/>
      <c r="R79" s="2716"/>
      <c r="S79" s="2716"/>
      <c r="T79" s="2716"/>
      <c r="U79" s="2716"/>
      <c r="V79" s="2716"/>
      <c r="W79" s="2716"/>
      <c r="X79" s="2716"/>
      <c r="Y79" s="2716"/>
      <c r="Z79" s="2716"/>
    </row>
    <row r="80" spans="1:26" x14ac:dyDescent="0.25">
      <c r="A80" s="2716"/>
      <c r="B80" s="2721"/>
      <c r="C80" s="2729" t="s">
        <v>18343</v>
      </c>
      <c r="D80" s="2727">
        <f>IF(DOV1_Selection=2,Subject_AgeRemainEco,"")</f>
        <v>45</v>
      </c>
      <c r="E80" s="2727" t="str">
        <f>IF(DOV2_Selection=2,Subject_AgeRemainEco,"")</f>
        <v/>
      </c>
      <c r="F80" s="2727" t="str">
        <f>IF(DOV3_Selection=2,Subject_AgeRemainEco,"")</f>
        <v/>
      </c>
      <c r="G80" s="2727"/>
      <c r="H80" s="2727"/>
      <c r="I80" s="2728" t="s">
        <v>18536</v>
      </c>
      <c r="J80" s="2723"/>
      <c r="K80" s="2716"/>
      <c r="L80" s="2716"/>
      <c r="M80" s="2716"/>
      <c r="N80" s="2716"/>
      <c r="O80" s="2716"/>
      <c r="P80" s="2716"/>
      <c r="Q80" s="2716"/>
      <c r="R80" s="2716"/>
      <c r="S80" s="2716"/>
      <c r="T80" s="2716"/>
      <c r="U80" s="2716"/>
      <c r="V80" s="2716"/>
      <c r="W80" s="2716"/>
      <c r="X80" s="2716"/>
      <c r="Y80" s="2716"/>
      <c r="Z80" s="2716"/>
    </row>
    <row r="81" spans="1:26" x14ac:dyDescent="0.25">
      <c r="A81" s="2716"/>
      <c r="B81" s="2721"/>
      <c r="C81" s="2727"/>
      <c r="D81" s="2727"/>
      <c r="E81" s="2727"/>
      <c r="F81" s="2727"/>
      <c r="G81" s="2727"/>
      <c r="H81" s="2727"/>
      <c r="I81" s="2728"/>
      <c r="J81" s="2723"/>
      <c r="K81" s="2716"/>
      <c r="L81" s="2716"/>
      <c r="M81" s="2716"/>
      <c r="N81" s="2716"/>
      <c r="O81" s="2716"/>
      <c r="P81" s="2716"/>
      <c r="Q81" s="2716"/>
      <c r="R81" s="2716"/>
      <c r="S81" s="2716"/>
      <c r="T81" s="2716"/>
      <c r="U81" s="2716"/>
      <c r="V81" s="2716"/>
      <c r="W81" s="2716"/>
      <c r="X81" s="2716"/>
      <c r="Y81" s="2716"/>
      <c r="Z81" s="2716"/>
    </row>
    <row r="82" spans="1:26" ht="15" thickBot="1" x14ac:dyDescent="0.3">
      <c r="A82" s="2716"/>
      <c r="B82" s="2776"/>
      <c r="C82" s="2777"/>
      <c r="D82" s="2777"/>
      <c r="E82" s="2777"/>
      <c r="F82" s="2777"/>
      <c r="G82" s="2777"/>
      <c r="H82" s="2777"/>
      <c r="I82" s="2778"/>
      <c r="J82" s="2779"/>
      <c r="K82" s="2716"/>
      <c r="L82" s="2716"/>
      <c r="M82" s="2716"/>
      <c r="N82" s="2716"/>
      <c r="O82" s="2716"/>
      <c r="P82" s="2716"/>
      <c r="Q82" s="2716"/>
      <c r="R82" s="2716"/>
      <c r="S82" s="2716"/>
      <c r="T82" s="2716"/>
      <c r="U82" s="2716"/>
      <c r="V82" s="2716"/>
      <c r="W82" s="2716"/>
      <c r="X82" s="2716"/>
      <c r="Y82" s="2716"/>
      <c r="Z82" s="2716"/>
    </row>
    <row r="83" spans="1:26" x14ac:dyDescent="0.25">
      <c r="A83" s="2716"/>
      <c r="B83" s="2716"/>
      <c r="C83" s="2717"/>
      <c r="D83" s="2780">
        <f>IF(dpValue_Scenario1="",0,1)</f>
        <v>1</v>
      </c>
      <c r="E83" s="2780">
        <f>IF(dpValue_Scenario2="",0,1)</f>
        <v>0</v>
      </c>
      <c r="F83" s="2780">
        <f>IF(dpValue_Scenario3="",0,1)</f>
        <v>0</v>
      </c>
      <c r="G83" s="2780">
        <f>IF(Subject_LandAppraisal="Yes",0,1)</f>
        <v>1</v>
      </c>
      <c r="H83" s="2780">
        <f>IF(Subject_LandAppraisal="Yes",0,1)</f>
        <v>1</v>
      </c>
      <c r="I83" s="2716"/>
      <c r="J83" s="2716"/>
      <c r="K83" s="2716"/>
      <c r="L83" s="2716"/>
      <c r="M83" s="2716"/>
      <c r="N83" s="2716"/>
      <c r="O83" s="2716"/>
      <c r="P83" s="2716"/>
      <c r="Q83" s="2716"/>
      <c r="R83" s="2716"/>
      <c r="S83" s="2716"/>
      <c r="T83" s="2716"/>
      <c r="U83" s="2716"/>
      <c r="V83" s="2716"/>
      <c r="W83" s="2716"/>
      <c r="X83" s="2716"/>
      <c r="Y83" s="2716"/>
      <c r="Z83" s="2716"/>
    </row>
    <row r="84" spans="1:26" x14ac:dyDescent="0.25">
      <c r="A84" s="2716"/>
      <c r="B84" s="2716"/>
      <c r="C84" s="2717"/>
      <c r="D84" s="2717"/>
      <c r="E84" s="2717"/>
      <c r="F84" s="2717"/>
      <c r="G84" s="2717"/>
      <c r="H84" s="2717"/>
      <c r="I84" s="2716"/>
      <c r="J84" s="2716"/>
      <c r="K84" s="2716"/>
      <c r="L84" s="2716"/>
      <c r="M84" s="2716"/>
      <c r="N84" s="2716"/>
      <c r="O84" s="2716"/>
      <c r="P84" s="2716"/>
      <c r="Q84" s="2716"/>
      <c r="R84" s="2716"/>
      <c r="S84" s="2716"/>
      <c r="T84" s="2716"/>
      <c r="U84" s="2716"/>
      <c r="V84" s="2716"/>
      <c r="W84" s="2716"/>
      <c r="X84" s="2716"/>
      <c r="Y84" s="2716"/>
      <c r="Z84" s="2716"/>
    </row>
    <row r="85" spans="1:26" x14ac:dyDescent="0.25">
      <c r="A85" s="2716"/>
      <c r="B85" s="2716"/>
      <c r="C85" s="2717"/>
      <c r="D85" s="2717"/>
      <c r="E85" s="2717"/>
      <c r="F85" s="2717"/>
      <c r="G85" s="2717"/>
      <c r="H85" s="2717"/>
      <c r="I85" s="2716"/>
      <c r="J85" s="2716"/>
      <c r="K85" s="2716"/>
      <c r="L85" s="2716"/>
      <c r="M85" s="2716"/>
      <c r="N85" s="2716"/>
      <c r="O85" s="2716"/>
      <c r="P85" s="2716"/>
      <c r="Q85" s="2716"/>
      <c r="R85" s="2716"/>
      <c r="S85" s="2716"/>
      <c r="T85" s="2716"/>
      <c r="U85" s="2716"/>
      <c r="V85" s="2716"/>
      <c r="W85" s="2716"/>
      <c r="X85" s="2716"/>
      <c r="Y85" s="2716"/>
      <c r="Z85" s="2716"/>
    </row>
    <row r="86" spans="1:26" x14ac:dyDescent="0.25">
      <c r="A86" s="2716"/>
      <c r="B86" s="2716"/>
      <c r="C86" s="2717"/>
      <c r="D86" s="2717"/>
      <c r="E86" s="2717"/>
      <c r="F86" s="2717"/>
      <c r="G86" s="2717"/>
      <c r="H86" s="2717"/>
      <c r="I86" s="2716"/>
      <c r="J86" s="2716"/>
      <c r="K86" s="2716"/>
      <c r="L86" s="2716"/>
      <c r="M86" s="2716"/>
      <c r="N86" s="2716"/>
      <c r="O86" s="2716"/>
      <c r="P86" s="2716"/>
      <c r="Q86" s="2716"/>
      <c r="R86" s="2716"/>
      <c r="S86" s="2716"/>
      <c r="T86" s="2716"/>
      <c r="U86" s="2716"/>
      <c r="V86" s="2716"/>
      <c r="W86" s="2716"/>
      <c r="X86" s="2716"/>
      <c r="Y86" s="2716"/>
      <c r="Z86" s="2716"/>
    </row>
    <row r="87" spans="1:26" x14ac:dyDescent="0.25">
      <c r="A87" s="2716"/>
      <c r="B87" s="2716"/>
      <c r="C87" s="2717"/>
      <c r="D87" s="2717"/>
      <c r="E87" s="2717"/>
      <c r="F87" s="2717"/>
      <c r="G87" s="2717"/>
      <c r="H87" s="2717"/>
      <c r="I87" s="2716"/>
      <c r="J87" s="2716"/>
      <c r="K87" s="2716"/>
      <c r="L87" s="2716"/>
      <c r="M87" s="2716"/>
      <c r="N87" s="2716"/>
      <c r="O87" s="2716"/>
      <c r="P87" s="2716"/>
      <c r="Q87" s="2716"/>
      <c r="R87" s="2716"/>
      <c r="S87" s="2716"/>
      <c r="T87" s="2716"/>
      <c r="U87" s="2716"/>
      <c r="V87" s="2716"/>
      <c r="W87" s="2716"/>
      <c r="X87" s="2716"/>
      <c r="Y87" s="2716"/>
      <c r="Z87" s="2716"/>
    </row>
    <row r="88" spans="1:26" x14ac:dyDescent="0.25">
      <c r="A88" s="2716"/>
      <c r="B88" s="2716"/>
      <c r="C88" s="2717"/>
      <c r="D88" s="2717"/>
      <c r="E88" s="2717"/>
      <c r="F88" s="2717"/>
      <c r="G88" s="2717"/>
      <c r="H88" s="2717"/>
      <c r="I88" s="2716"/>
      <c r="J88" s="2716"/>
      <c r="K88" s="2716"/>
      <c r="L88" s="2716"/>
      <c r="M88" s="2716"/>
      <c r="N88" s="2716"/>
      <c r="O88" s="2716"/>
      <c r="P88" s="2716"/>
      <c r="Q88" s="2716"/>
      <c r="R88" s="2716"/>
      <c r="S88" s="2716"/>
      <c r="T88" s="2716"/>
      <c r="U88" s="2716"/>
      <c r="V88" s="2716"/>
      <c r="W88" s="2716"/>
      <c r="X88" s="2716"/>
      <c r="Y88" s="2716"/>
      <c r="Z88" s="2716"/>
    </row>
    <row r="89" spans="1:26" x14ac:dyDescent="0.25">
      <c r="A89" s="2716"/>
      <c r="B89" s="2716"/>
      <c r="C89" s="2717"/>
      <c r="D89" s="2717"/>
      <c r="E89" s="2717"/>
      <c r="F89" s="2717"/>
      <c r="G89" s="2717"/>
      <c r="H89" s="2717"/>
      <c r="I89" s="2716"/>
      <c r="J89" s="2716"/>
      <c r="K89" s="2716"/>
      <c r="L89" s="2716"/>
      <c r="M89" s="2716"/>
      <c r="N89" s="2716"/>
      <c r="O89" s="2716"/>
      <c r="P89" s="2716"/>
      <c r="Q89" s="2716"/>
      <c r="R89" s="2716"/>
      <c r="S89" s="2716"/>
      <c r="T89" s="2716"/>
      <c r="U89" s="2716"/>
      <c r="V89" s="2716"/>
      <c r="W89" s="2716"/>
      <c r="X89" s="2716"/>
      <c r="Y89" s="2716"/>
      <c r="Z89" s="2716"/>
    </row>
    <row r="90" spans="1:26" x14ac:dyDescent="0.25">
      <c r="A90" s="2716"/>
      <c r="B90" s="2716"/>
      <c r="C90" s="2717"/>
      <c r="D90" s="2717"/>
      <c r="E90" s="2717"/>
      <c r="F90" s="2717"/>
      <c r="G90" s="2717"/>
      <c r="H90" s="2717"/>
      <c r="I90" s="2716"/>
      <c r="J90" s="2716"/>
      <c r="K90" s="2716"/>
      <c r="L90" s="2716"/>
      <c r="M90" s="2716"/>
      <c r="N90" s="2716"/>
      <c r="O90" s="2716"/>
      <c r="P90" s="2716"/>
      <c r="Q90" s="2716"/>
      <c r="R90" s="2716"/>
      <c r="S90" s="2716"/>
      <c r="T90" s="2716"/>
      <c r="U90" s="2716"/>
      <c r="V90" s="2716"/>
      <c r="W90" s="2716"/>
      <c r="X90" s="2716"/>
      <c r="Y90" s="2716"/>
      <c r="Z90" s="2716"/>
    </row>
    <row r="91" spans="1:26" x14ac:dyDescent="0.25">
      <c r="A91" s="2716"/>
      <c r="B91" s="2716"/>
      <c r="C91" s="2717"/>
      <c r="D91" s="2717"/>
      <c r="E91" s="2717"/>
      <c r="F91" s="2717"/>
      <c r="G91" s="2717"/>
      <c r="H91" s="2717"/>
      <c r="I91" s="2716"/>
      <c r="J91" s="2716"/>
      <c r="K91" s="2716"/>
      <c r="L91" s="2716"/>
      <c r="M91" s="2716"/>
      <c r="N91" s="2716"/>
      <c r="O91" s="2716"/>
      <c r="P91" s="2716"/>
      <c r="Q91" s="2716"/>
      <c r="R91" s="2716"/>
      <c r="S91" s="2716"/>
      <c r="T91" s="2716"/>
      <c r="U91" s="2716"/>
      <c r="V91" s="2716"/>
      <c r="W91" s="2716"/>
      <c r="X91" s="2716"/>
      <c r="Y91" s="2716"/>
      <c r="Z91" s="2716"/>
    </row>
    <row r="92" spans="1:26" x14ac:dyDescent="0.25">
      <c r="A92" s="2716"/>
      <c r="B92" s="2716"/>
      <c r="C92" s="2717"/>
      <c r="D92" s="2717"/>
      <c r="E92" s="2717"/>
      <c r="F92" s="2717"/>
      <c r="G92" s="2717"/>
      <c r="H92" s="2717"/>
      <c r="I92" s="2716"/>
      <c r="J92" s="2716"/>
      <c r="K92" s="2716"/>
      <c r="L92" s="2716"/>
      <c r="M92" s="2716"/>
      <c r="N92" s="2716"/>
      <c r="O92" s="2716"/>
      <c r="P92" s="2716"/>
      <c r="Q92" s="2716"/>
      <c r="R92" s="2716"/>
      <c r="S92" s="2716"/>
      <c r="T92" s="2716"/>
      <c r="U92" s="2716"/>
      <c r="V92" s="2716"/>
      <c r="W92" s="2716"/>
      <c r="X92" s="2716"/>
      <c r="Y92" s="2716"/>
      <c r="Z92" s="2716"/>
    </row>
    <row r="93" spans="1:26" x14ac:dyDescent="0.25">
      <c r="A93" s="2716"/>
      <c r="B93" s="2716"/>
      <c r="C93" s="2717"/>
      <c r="D93" s="2717"/>
      <c r="E93" s="2717"/>
      <c r="F93" s="2717"/>
      <c r="G93" s="2717"/>
      <c r="H93" s="2717"/>
      <c r="I93" s="2716"/>
      <c r="J93" s="2716"/>
      <c r="K93" s="2716"/>
      <c r="L93" s="2716"/>
      <c r="M93" s="2716"/>
      <c r="N93" s="2716"/>
      <c r="O93" s="2716"/>
      <c r="P93" s="2716"/>
      <c r="Q93" s="2716"/>
      <c r="R93" s="2716"/>
      <c r="S93" s="2716"/>
      <c r="T93" s="2716"/>
      <c r="U93" s="2716"/>
      <c r="V93" s="2716"/>
      <c r="W93" s="2716"/>
      <c r="X93" s="2716"/>
      <c r="Y93" s="2716"/>
      <c r="Z93" s="2716"/>
    </row>
    <row r="94" spans="1:26" x14ac:dyDescent="0.25">
      <c r="A94" s="2716"/>
      <c r="B94" s="2716"/>
      <c r="C94" s="2717"/>
      <c r="D94" s="2717"/>
      <c r="E94" s="2717"/>
      <c r="F94" s="2717"/>
      <c r="G94" s="2717"/>
      <c r="H94" s="2717"/>
      <c r="I94" s="2716"/>
      <c r="J94" s="2716"/>
      <c r="K94" s="2716"/>
      <c r="L94" s="2716"/>
      <c r="M94" s="2716"/>
      <c r="N94" s="2716"/>
      <c r="O94" s="2716"/>
      <c r="P94" s="2716"/>
      <c r="Q94" s="2716"/>
      <c r="R94" s="2716"/>
      <c r="S94" s="2716"/>
      <c r="T94" s="2716"/>
      <c r="U94" s="2716"/>
      <c r="V94" s="2716"/>
      <c r="W94" s="2716"/>
      <c r="X94" s="2716"/>
      <c r="Y94" s="2716"/>
      <c r="Z94" s="2716"/>
    </row>
    <row r="95" spans="1:26" x14ac:dyDescent="0.25">
      <c r="A95" s="2716"/>
      <c r="B95" s="2716"/>
      <c r="C95" s="2717"/>
      <c r="D95" s="2717"/>
      <c r="E95" s="2717"/>
      <c r="F95" s="2717"/>
      <c r="G95" s="2717"/>
      <c r="H95" s="2717"/>
      <c r="I95" s="2716"/>
      <c r="J95" s="2716"/>
      <c r="K95" s="2716"/>
      <c r="L95" s="2716"/>
      <c r="M95" s="2716"/>
      <c r="N95" s="2716"/>
      <c r="O95" s="2716"/>
      <c r="P95" s="2716"/>
      <c r="Q95" s="2716"/>
      <c r="R95" s="2716"/>
      <c r="S95" s="2716"/>
      <c r="T95" s="2716"/>
      <c r="U95" s="2716"/>
      <c r="V95" s="2716"/>
      <c r="W95" s="2716"/>
      <c r="X95" s="2716"/>
      <c r="Y95" s="2716"/>
      <c r="Z95" s="2716"/>
    </row>
    <row r="96" spans="1:26" x14ac:dyDescent="0.25">
      <c r="A96" s="2716"/>
      <c r="B96" s="2716"/>
      <c r="C96" s="2717"/>
      <c r="D96" s="2717"/>
      <c r="E96" s="2717"/>
      <c r="F96" s="2717"/>
      <c r="G96" s="2717"/>
      <c r="H96" s="2717"/>
      <c r="I96" s="2716"/>
      <c r="J96" s="2716"/>
      <c r="K96" s="2716"/>
      <c r="L96" s="2716"/>
      <c r="M96" s="2716"/>
      <c r="N96" s="2716"/>
      <c r="O96" s="2716"/>
      <c r="P96" s="2716"/>
      <c r="Q96" s="2716"/>
      <c r="R96" s="2716"/>
      <c r="S96" s="2716"/>
      <c r="T96" s="2716"/>
      <c r="U96" s="2716"/>
      <c r="V96" s="2716"/>
      <c r="W96" s="2716"/>
      <c r="X96" s="2716"/>
      <c r="Y96" s="2716"/>
      <c r="Z96" s="2716"/>
    </row>
    <row r="97" spans="1:26" x14ac:dyDescent="0.25">
      <c r="A97" s="2716"/>
      <c r="B97" s="2716"/>
      <c r="C97" s="2717"/>
      <c r="D97" s="2717"/>
      <c r="E97" s="2717"/>
      <c r="F97" s="2717"/>
      <c r="G97" s="2717"/>
      <c r="H97" s="2717"/>
      <c r="I97" s="2716"/>
      <c r="J97" s="2716"/>
      <c r="K97" s="2716"/>
      <c r="L97" s="2716"/>
      <c r="M97" s="2716"/>
      <c r="N97" s="2716"/>
      <c r="O97" s="2716"/>
      <c r="P97" s="2716"/>
      <c r="Q97" s="2716"/>
      <c r="R97" s="2716"/>
      <c r="S97" s="2716"/>
      <c r="T97" s="2716"/>
      <c r="U97" s="2716"/>
      <c r="V97" s="2716"/>
      <c r="W97" s="2716"/>
      <c r="X97" s="2716"/>
      <c r="Y97" s="2716"/>
      <c r="Z97" s="2716"/>
    </row>
    <row r="98" spans="1:26" x14ac:dyDescent="0.25">
      <c r="A98" s="2716"/>
      <c r="B98" s="2716"/>
      <c r="C98" s="2717"/>
      <c r="D98" s="2717"/>
      <c r="E98" s="2717"/>
      <c r="F98" s="2717"/>
      <c r="G98" s="2717"/>
      <c r="H98" s="2717"/>
      <c r="I98" s="2716"/>
      <c r="J98" s="2716"/>
      <c r="K98" s="2716"/>
      <c r="L98" s="2716"/>
      <c r="M98" s="2716"/>
      <c r="N98" s="2716"/>
      <c r="O98" s="2716"/>
      <c r="P98" s="2716"/>
      <c r="Q98" s="2716"/>
      <c r="R98" s="2716"/>
      <c r="S98" s="2716"/>
      <c r="T98" s="2716"/>
      <c r="U98" s="2716"/>
      <c r="V98" s="2716"/>
      <c r="W98" s="2716"/>
      <c r="X98" s="2716"/>
      <c r="Y98" s="2716"/>
      <c r="Z98" s="2716"/>
    </row>
    <row r="99" spans="1:26" x14ac:dyDescent="0.25">
      <c r="A99" s="2716"/>
      <c r="B99" s="2716"/>
      <c r="C99" s="2717"/>
      <c r="D99" s="2717"/>
      <c r="E99" s="2717"/>
      <c r="F99" s="2717"/>
      <c r="G99" s="2717"/>
      <c r="H99" s="2717"/>
      <c r="I99" s="2716"/>
      <c r="J99" s="2716"/>
      <c r="K99" s="2716"/>
      <c r="L99" s="2716"/>
      <c r="M99" s="2716"/>
      <c r="N99" s="2716"/>
      <c r="O99" s="2716"/>
      <c r="P99" s="2716"/>
      <c r="Q99" s="2716"/>
      <c r="R99" s="2716"/>
      <c r="S99" s="2716"/>
      <c r="T99" s="2716"/>
      <c r="U99" s="2716"/>
      <c r="V99" s="2716"/>
      <c r="W99" s="2716"/>
      <c r="X99" s="2716"/>
      <c r="Y99" s="2716"/>
      <c r="Z99" s="2716"/>
    </row>
  </sheetData>
  <sheetProtection formatCells="0"/>
  <mergeCells count="2">
    <mergeCell ref="I19:I21"/>
    <mergeCell ref="D2:I2"/>
  </mergeCells>
  <conditionalFormatting sqref="D3">
    <cfRule type="expression" dxfId="9" priority="1">
      <formula>D4=TRUE</formula>
    </cfRule>
    <cfRule type="expression" dxfId="8" priority="6">
      <formula>D4=FALSE</formula>
    </cfRule>
  </conditionalFormatting>
  <conditionalFormatting sqref="E3">
    <cfRule type="expression" dxfId="7" priority="2">
      <formula>E4=TRUE</formula>
    </cfRule>
    <cfRule type="expression" dxfId="6" priority="7">
      <formula>E4=FALSE</formula>
    </cfRule>
  </conditionalFormatting>
  <conditionalFormatting sqref="F3">
    <cfRule type="expression" dxfId="5" priority="3">
      <formula>F4=TRUE</formula>
    </cfRule>
    <cfRule type="expression" dxfId="4" priority="8">
      <formula>F4=FALSE</formula>
    </cfRule>
  </conditionalFormatting>
  <conditionalFormatting sqref="G3">
    <cfRule type="expression" dxfId="3" priority="4">
      <formula>G4=TRUE</formula>
    </cfRule>
    <cfRule type="expression" dxfId="2" priority="9">
      <formula>G4=FALSE</formula>
    </cfRule>
  </conditionalFormatting>
  <conditionalFormatting sqref="H3">
    <cfRule type="expression" dxfId="1" priority="5">
      <formula>H4=TRUE</formula>
    </cfRule>
    <cfRule type="expression" dxfId="0" priority="10">
      <formula>H4=FALSE</formula>
    </cfRule>
  </conditionalFormatting>
  <dataValidations count="6">
    <dataValidation type="list" allowBlank="1" showInputMessage="1" showErrorMessage="1" error="Selection Must Match Item in List" promptTitle="Wells Fargo Valuation Type" prompt="This List Matches Wells Fargo Database and May be Different than used in Appraisal Report" sqref="D20:H20" xr:uid="{4E9E3CD9-1CC2-4576-BF21-7BB52F324221}">
      <formula1>WellsFargo_List_ValueType</formula1>
    </dataValidation>
    <dataValidation type="list" allowBlank="1" showInputMessage="1" showErrorMessage="1" error="Selection Must Match Item in List" promptTitle="Wells Fargo Vauation Premise" prompt="This List Matches Wells Fargo Database and May be Different than used in Appraisal Report" sqref="D19:H19" xr:uid="{32F9BD31-06D8-43FD-BAE7-8B962472F77E}">
      <formula1>WellsFargo_List_ValuePremise</formula1>
    </dataValidation>
    <dataValidation type="list" allowBlank="1" showInputMessage="1" showErrorMessage="1" error="Selection Must Match Item in List" promptTitle="Wells Fargo Valuation Interest" prompt="This List Matches Wells Fargo Database and May be Different than used in Appraisal Report" sqref="D21:H21" xr:uid="{EB737269-76E8-42B2-A5F7-29ACA2133FC1}">
      <formula1>WellsFargo_List_ValueInterest</formula1>
    </dataValidation>
    <dataValidation type="list" allowBlank="1" showInputMessage="1" showErrorMessage="1" error="Selection Must Match Item in List" promptTitle="YesNo" sqref="D13 D55:F55 D15" xr:uid="{15B5187B-4905-4DF9-9D93-49B1FE1BC1C1}">
      <formula1>yesno</formula1>
    </dataValidation>
    <dataValidation type="list" allowBlank="1" showInputMessage="1" showErrorMessage="1" error="Selection Must Match Item in List" promptTitle="Wells Fargo Unit of Measure" prompt="This List Matches Wells Fargo Database and May be Different than used in Appraisal Report" sqref="D26:H26" xr:uid="{F83DDF51-5C6D-4B52-8657-AECADA864C35}">
      <formula1>WellsFargo_List_SizeUnits</formula1>
    </dataValidation>
    <dataValidation type="date" operator="greaterThan" allowBlank="1" showInputMessage="1" showErrorMessage="1" errorTitle="Please Follow Instructions" error="Wells Fargo Requires a Closing Date Estimate. This cell Will Only Accept Dates that are After Todays Date" sqref="D17" xr:uid="{6017227D-4E1F-481C-B3D4-A7E83A8B9AE2}">
      <formula1>TODAY()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12436" r:id="rId4" name="CheckBox_WF_Validation1">
              <controlPr defaultSize="0" autoFill="0" autoLine="0" autoPict="0" altText="Value">
                <anchor moveWithCells="1">
                  <from>
                    <xdr:col>3</xdr:col>
                    <xdr:colOff>66675</xdr:colOff>
                    <xdr:row>2</xdr:row>
                    <xdr:rowOff>47625</xdr:rowOff>
                  </from>
                  <to>
                    <xdr:col>3</xdr:col>
                    <xdr:colOff>285750</xdr:colOff>
                    <xdr:row>2</xdr:row>
                    <xdr:rowOff>352425</xdr:rowOff>
                  </to>
                </anchor>
              </controlPr>
            </control>
          </mc:Choice>
        </mc:AlternateContent>
        <mc:AlternateContent xmlns:mc="http://schemas.openxmlformats.org/markup-compatibility/2006">
          <mc:Choice Requires="x14">
            <control shapeId="1212437" r:id="rId5" name="CheckBox_WF_Validation2">
              <controlPr defaultSize="0" autoFill="0" autoLine="0" autoPict="0" altText="Value">
                <anchor moveWithCells="1">
                  <from>
                    <xdr:col>4</xdr:col>
                    <xdr:colOff>66675</xdr:colOff>
                    <xdr:row>2</xdr:row>
                    <xdr:rowOff>47625</xdr:rowOff>
                  </from>
                  <to>
                    <xdr:col>4</xdr:col>
                    <xdr:colOff>285750</xdr:colOff>
                    <xdr:row>2</xdr:row>
                    <xdr:rowOff>352425</xdr:rowOff>
                  </to>
                </anchor>
              </controlPr>
            </control>
          </mc:Choice>
        </mc:AlternateContent>
        <mc:AlternateContent xmlns:mc="http://schemas.openxmlformats.org/markup-compatibility/2006">
          <mc:Choice Requires="x14">
            <control shapeId="1212438" r:id="rId6" name="CheckBox_WF_Validation3">
              <controlPr defaultSize="0" autoFill="0" autoLine="0" autoPict="0" altText="Value">
                <anchor moveWithCells="1">
                  <from>
                    <xdr:col>5</xdr:col>
                    <xdr:colOff>66675</xdr:colOff>
                    <xdr:row>2</xdr:row>
                    <xdr:rowOff>47625</xdr:rowOff>
                  </from>
                  <to>
                    <xdr:col>5</xdr:col>
                    <xdr:colOff>285750</xdr:colOff>
                    <xdr:row>2</xdr:row>
                    <xdr:rowOff>352425</xdr:rowOff>
                  </to>
                </anchor>
              </controlPr>
            </control>
          </mc:Choice>
        </mc:AlternateContent>
        <mc:AlternateContent xmlns:mc="http://schemas.openxmlformats.org/markup-compatibility/2006">
          <mc:Choice Requires="x14">
            <control shapeId="1212439" r:id="rId7" name="CheckBox_WF_Validation4">
              <controlPr defaultSize="0" autoFill="0" autoLine="0" autoPict="0" altText="Value">
                <anchor moveWithCells="1">
                  <from>
                    <xdr:col>6</xdr:col>
                    <xdr:colOff>66675</xdr:colOff>
                    <xdr:row>2</xdr:row>
                    <xdr:rowOff>47625</xdr:rowOff>
                  </from>
                  <to>
                    <xdr:col>6</xdr:col>
                    <xdr:colOff>285750</xdr:colOff>
                    <xdr:row>2</xdr:row>
                    <xdr:rowOff>352425</xdr:rowOff>
                  </to>
                </anchor>
              </controlPr>
            </control>
          </mc:Choice>
        </mc:AlternateContent>
        <mc:AlternateContent xmlns:mc="http://schemas.openxmlformats.org/markup-compatibility/2006">
          <mc:Choice Requires="x14">
            <control shapeId="1212440" r:id="rId8" name="CheckBox_WF_Validation5">
              <controlPr defaultSize="0" autoFill="0" autoLine="0" autoPict="0" altText="Value">
                <anchor moveWithCells="1">
                  <from>
                    <xdr:col>7</xdr:col>
                    <xdr:colOff>66675</xdr:colOff>
                    <xdr:row>2</xdr:row>
                    <xdr:rowOff>47625</xdr:rowOff>
                  </from>
                  <to>
                    <xdr:col>7</xdr:col>
                    <xdr:colOff>285750</xdr:colOff>
                    <xdr:row>2</xdr:row>
                    <xdr:rowOff>352425</xdr:rowOff>
                  </to>
                </anchor>
              </controlPr>
            </control>
          </mc:Choice>
        </mc:AlternateContent>
      </controls>
    </mc:Choice>
  </mc:AlternateContent>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60"/>
  <dimension ref="A1:H144"/>
  <sheetViews>
    <sheetView zoomScaleNormal="100" workbookViewId="0">
      <selection activeCell="D138" sqref="D138"/>
    </sheetView>
  </sheetViews>
  <sheetFormatPr defaultColWidth="9.140625" defaultRowHeight="14.25" outlineLevelRow="2" x14ac:dyDescent="0.25"/>
  <cols>
    <col min="1" max="1" width="9.140625" style="10"/>
    <col min="2" max="4" width="1.7109375" style="10" customWidth="1"/>
    <col min="5" max="5" width="2.7109375" style="10" customWidth="1"/>
    <col min="6" max="6" width="180.7109375" style="10" customWidth="1"/>
    <col min="7" max="8" width="1.7109375" style="10" customWidth="1"/>
    <col min="9" max="16384" width="9.140625" style="10"/>
  </cols>
  <sheetData>
    <row r="1" spans="1:8" ht="60" customHeight="1" x14ac:dyDescent="0.25"/>
    <row r="2" spans="1:8" ht="15" thickBot="1" x14ac:dyDescent="0.3"/>
    <row r="3" spans="1:8" x14ac:dyDescent="0.25">
      <c r="B3" s="1"/>
      <c r="C3" s="2"/>
      <c r="D3" s="2"/>
      <c r="E3" s="2"/>
      <c r="F3" s="2"/>
      <c r="G3" s="2"/>
      <c r="H3" s="3"/>
    </row>
    <row r="4" spans="1:8" ht="16.5" x14ac:dyDescent="0.3">
      <c r="B4" s="4"/>
      <c r="C4" s="11"/>
      <c r="D4" s="11"/>
      <c r="E4" s="17" t="s">
        <v>995</v>
      </c>
      <c r="F4" s="11"/>
      <c r="G4" s="11"/>
      <c r="H4" s="6"/>
    </row>
    <row r="5" spans="1:8" ht="16.5" x14ac:dyDescent="0.3">
      <c r="B5" s="4"/>
      <c r="C5" s="11"/>
      <c r="D5" s="11"/>
      <c r="E5" s="17" t="s">
        <v>997</v>
      </c>
      <c r="F5" s="11"/>
      <c r="G5" s="11"/>
      <c r="H5" s="6"/>
    </row>
    <row r="6" spans="1:8" ht="16.5" x14ac:dyDescent="0.3">
      <c r="B6" s="4"/>
      <c r="C6" s="5"/>
      <c r="D6" s="246" t="s">
        <v>18360</v>
      </c>
      <c r="E6" s="692"/>
      <c r="F6" s="1080"/>
      <c r="G6" s="5"/>
      <c r="H6" s="6"/>
    </row>
    <row r="7" spans="1:8" ht="16.5" hidden="1" outlineLevel="1" x14ac:dyDescent="0.3">
      <c r="B7" s="4"/>
      <c r="C7" s="5"/>
      <c r="D7" s="246"/>
      <c r="E7" s="692" t="s">
        <v>18167</v>
      </c>
      <c r="F7" s="1080"/>
      <c r="G7" s="5"/>
      <c r="H7" s="6"/>
    </row>
    <row r="8" spans="1:8" ht="16.5" hidden="1" outlineLevel="2" x14ac:dyDescent="0.3">
      <c r="B8" s="4"/>
      <c r="C8" s="5"/>
      <c r="D8" s="246"/>
      <c r="E8" s="692"/>
      <c r="F8" s="1080" t="s">
        <v>18168</v>
      </c>
      <c r="G8" s="5"/>
      <c r="H8" s="6"/>
    </row>
    <row r="9" spans="1:8" ht="16.5" hidden="1" outlineLevel="1" collapsed="1" x14ac:dyDescent="0.3">
      <c r="B9" s="4"/>
      <c r="C9" s="5"/>
      <c r="D9" s="246"/>
      <c r="E9" s="692" t="s">
        <v>18161</v>
      </c>
      <c r="F9" s="1080"/>
      <c r="G9" s="5"/>
      <c r="H9" s="6"/>
    </row>
    <row r="10" spans="1:8" ht="16.5" hidden="1" outlineLevel="2" x14ac:dyDescent="0.3">
      <c r="B10" s="4"/>
      <c r="C10" s="5"/>
      <c r="D10" s="246"/>
      <c r="E10" s="692"/>
      <c r="F10" s="1080" t="s">
        <v>18354</v>
      </c>
      <c r="G10" s="5"/>
      <c r="H10" s="6"/>
    </row>
    <row r="11" spans="1:8" ht="16.5" hidden="1" outlineLevel="1" collapsed="1" x14ac:dyDescent="0.3">
      <c r="B11" s="4"/>
      <c r="C11" s="5"/>
      <c r="D11" s="246"/>
      <c r="E11" s="692" t="s">
        <v>18182</v>
      </c>
      <c r="F11" s="1080"/>
      <c r="G11" s="5"/>
      <c r="H11" s="6"/>
    </row>
    <row r="12" spans="1:8" ht="16.5" hidden="1" outlineLevel="2" x14ac:dyDescent="0.3">
      <c r="B12" s="4"/>
      <c r="C12" s="5"/>
      <c r="D12" s="246"/>
      <c r="E12" s="692"/>
      <c r="F12" s="1080" t="s">
        <v>18183</v>
      </c>
      <c r="G12" s="5"/>
      <c r="H12" s="6"/>
    </row>
    <row r="13" spans="1:8" ht="16.5" hidden="1" outlineLevel="1" collapsed="1" x14ac:dyDescent="0.3">
      <c r="B13" s="4"/>
      <c r="C13" s="5"/>
      <c r="D13" s="246"/>
      <c r="E13" s="692" t="s">
        <v>415</v>
      </c>
      <c r="F13" s="1080"/>
      <c r="G13" s="5"/>
      <c r="H13" s="6"/>
    </row>
    <row r="14" spans="1:8" ht="16.5" hidden="1" outlineLevel="2" x14ac:dyDescent="0.3">
      <c r="B14" s="4"/>
      <c r="C14" s="5"/>
      <c r="D14" s="246"/>
      <c r="E14" s="692"/>
      <c r="F14" s="1080" t="s">
        <v>18160</v>
      </c>
      <c r="G14" s="5"/>
      <c r="H14" s="6"/>
    </row>
    <row r="15" spans="1:8" ht="16.5" hidden="1" outlineLevel="1" collapsed="1" x14ac:dyDescent="0.3">
      <c r="B15" s="4"/>
      <c r="C15" s="5"/>
      <c r="D15" s="246"/>
      <c r="E15" s="692" t="s">
        <v>130</v>
      </c>
      <c r="F15" s="1080"/>
      <c r="G15" s="5"/>
      <c r="H15" s="6"/>
    </row>
    <row r="16" spans="1:8" ht="16.5" hidden="1" outlineLevel="2" x14ac:dyDescent="0.3">
      <c r="B16" s="4"/>
      <c r="C16" s="5"/>
      <c r="D16" s="246"/>
      <c r="E16" s="692"/>
      <c r="F16" s="1080" t="s">
        <v>18194</v>
      </c>
      <c r="G16" s="5"/>
      <c r="H16" s="6"/>
    </row>
    <row r="17" spans="2:8" ht="16.5" hidden="1" outlineLevel="1" collapsed="1" x14ac:dyDescent="0.3">
      <c r="B17" s="4"/>
      <c r="C17" s="5"/>
      <c r="D17" s="246"/>
      <c r="E17" s="692" t="s">
        <v>18201</v>
      </c>
      <c r="F17" s="1080"/>
      <c r="G17" s="5"/>
      <c r="H17" s="6"/>
    </row>
    <row r="18" spans="2:8" ht="16.5" hidden="1" outlineLevel="2" x14ac:dyDescent="0.3">
      <c r="B18" s="4"/>
      <c r="C18" s="5"/>
      <c r="D18" s="246"/>
      <c r="E18" s="692"/>
      <c r="F18" s="1080" t="s">
        <v>18181</v>
      </c>
      <c r="G18" s="5"/>
      <c r="H18" s="6"/>
    </row>
    <row r="19" spans="2:8" ht="16.5" hidden="1" outlineLevel="2" x14ac:dyDescent="0.3">
      <c r="B19" s="4"/>
      <c r="C19" s="5"/>
      <c r="D19" s="246"/>
      <c r="E19" s="692"/>
      <c r="F19" s="1080" t="s">
        <v>18202</v>
      </c>
      <c r="G19" s="5"/>
      <c r="H19" s="6"/>
    </row>
    <row r="20" spans="2:8" ht="16.5" hidden="1" outlineLevel="1" collapsed="1" x14ac:dyDescent="0.3">
      <c r="B20" s="4"/>
      <c r="C20" s="5"/>
      <c r="D20" s="246"/>
      <c r="E20" s="692" t="s">
        <v>1281</v>
      </c>
      <c r="F20" s="1080"/>
      <c r="G20" s="5"/>
      <c r="H20" s="6"/>
    </row>
    <row r="21" spans="2:8" ht="16.5" hidden="1" outlineLevel="2" x14ac:dyDescent="0.3">
      <c r="B21" s="4"/>
      <c r="C21" s="5"/>
      <c r="D21" s="246"/>
      <c r="E21" s="692"/>
      <c r="F21" s="1080" t="s">
        <v>18179</v>
      </c>
      <c r="G21" s="5"/>
      <c r="H21" s="6"/>
    </row>
    <row r="22" spans="2:8" ht="16.5" hidden="1" outlineLevel="1" collapsed="1" x14ac:dyDescent="0.3">
      <c r="B22" s="4"/>
      <c r="C22" s="5"/>
      <c r="D22" s="246"/>
      <c r="E22" s="692" t="s">
        <v>794</v>
      </c>
      <c r="F22" s="1080"/>
      <c r="G22" s="5"/>
      <c r="H22" s="6"/>
    </row>
    <row r="23" spans="2:8" ht="16.5" hidden="1" outlineLevel="2" x14ac:dyDescent="0.3">
      <c r="B23" s="4"/>
      <c r="C23" s="5"/>
      <c r="D23" s="246"/>
      <c r="E23" s="692"/>
      <c r="F23" s="1080" t="s">
        <v>1416</v>
      </c>
      <c r="G23" s="5"/>
      <c r="H23" s="6"/>
    </row>
    <row r="24" spans="2:8" ht="16.5" hidden="1" outlineLevel="2" x14ac:dyDescent="0.3">
      <c r="B24" s="4"/>
      <c r="C24" s="5"/>
      <c r="D24" s="246"/>
      <c r="E24" s="692"/>
      <c r="F24" s="1080" t="s">
        <v>18184</v>
      </c>
      <c r="G24" s="5"/>
      <c r="H24" s="6"/>
    </row>
    <row r="25" spans="2:8" ht="16.5" hidden="1" outlineLevel="1" collapsed="1" x14ac:dyDescent="0.3">
      <c r="B25" s="4"/>
      <c r="C25" s="5"/>
      <c r="D25" s="246"/>
      <c r="E25" s="692" t="s">
        <v>18163</v>
      </c>
      <c r="F25" s="1080"/>
      <c r="G25" s="5"/>
      <c r="H25" s="6"/>
    </row>
    <row r="26" spans="2:8" ht="16.5" hidden="1" outlineLevel="2" x14ac:dyDescent="0.3">
      <c r="B26" s="4"/>
      <c r="C26" s="5"/>
      <c r="D26" s="246"/>
      <c r="E26" s="692"/>
      <c r="F26" s="1080" t="s">
        <v>18164</v>
      </c>
      <c r="G26" s="5"/>
      <c r="H26" s="6"/>
    </row>
    <row r="27" spans="2:8" ht="16.5" hidden="1" outlineLevel="1" collapsed="1" x14ac:dyDescent="0.3">
      <c r="B27" s="4"/>
      <c r="C27" s="5"/>
      <c r="D27" s="246"/>
      <c r="E27" s="692" t="s">
        <v>18103</v>
      </c>
      <c r="F27" s="1080"/>
      <c r="G27" s="5"/>
      <c r="H27" s="6"/>
    </row>
    <row r="28" spans="2:8" ht="16.5" hidden="1" outlineLevel="2" x14ac:dyDescent="0.3">
      <c r="B28" s="4"/>
      <c r="C28" s="5"/>
      <c r="D28" s="246"/>
      <c r="E28" s="692"/>
      <c r="F28" s="1080" t="s">
        <v>18104</v>
      </c>
      <c r="G28" s="5"/>
      <c r="H28" s="6"/>
    </row>
    <row r="29" spans="2:8" ht="16.5" hidden="1" outlineLevel="1" collapsed="1" x14ac:dyDescent="0.3">
      <c r="B29" s="4"/>
      <c r="C29" s="5"/>
      <c r="D29" s="246"/>
      <c r="E29" s="692" t="s">
        <v>18206</v>
      </c>
      <c r="F29" s="1080"/>
      <c r="G29" s="5"/>
      <c r="H29" s="6"/>
    </row>
    <row r="30" spans="2:8" ht="16.5" hidden="1" outlineLevel="2" x14ac:dyDescent="0.3">
      <c r="B30" s="4"/>
      <c r="C30" s="5"/>
      <c r="D30" s="246"/>
      <c r="E30" s="692"/>
      <c r="F30" s="1080" t="s">
        <v>18352</v>
      </c>
      <c r="G30" s="5"/>
      <c r="H30" s="6"/>
    </row>
    <row r="31" spans="2:8" ht="16.5" hidden="1" outlineLevel="1" collapsed="1" x14ac:dyDescent="0.3">
      <c r="B31" s="4"/>
      <c r="C31" s="5"/>
      <c r="D31" s="246"/>
      <c r="E31" s="692" t="s">
        <v>18169</v>
      </c>
      <c r="F31" s="1080"/>
      <c r="G31" s="5"/>
      <c r="H31" s="6"/>
    </row>
    <row r="32" spans="2:8" ht="16.5" hidden="1" outlineLevel="2" x14ac:dyDescent="0.3">
      <c r="B32" s="4"/>
      <c r="C32" s="5"/>
      <c r="D32" s="246"/>
      <c r="E32" s="692"/>
      <c r="F32" s="1080" t="s">
        <v>18170</v>
      </c>
      <c r="G32" s="5"/>
      <c r="H32" s="6"/>
    </row>
    <row r="33" spans="2:8" ht="16.5" hidden="1" outlineLevel="1" collapsed="1" x14ac:dyDescent="0.3">
      <c r="B33" s="4"/>
      <c r="C33" s="5"/>
      <c r="D33" s="246"/>
      <c r="E33" s="692"/>
      <c r="F33" s="1080"/>
      <c r="G33" s="5"/>
      <c r="H33" s="6"/>
    </row>
    <row r="34" spans="2:8" ht="16.5" collapsed="1" x14ac:dyDescent="0.3">
      <c r="B34" s="4"/>
      <c r="C34" s="5"/>
      <c r="D34" s="246" t="s">
        <v>18403</v>
      </c>
      <c r="E34" s="692"/>
      <c r="F34" s="1080"/>
      <c r="G34" s="5"/>
      <c r="H34" s="6"/>
    </row>
    <row r="35" spans="2:8" ht="16.5" hidden="1" outlineLevel="1" x14ac:dyDescent="0.3">
      <c r="B35" s="4"/>
      <c r="C35" s="5"/>
      <c r="D35" s="246"/>
      <c r="E35" s="692" t="s">
        <v>18167</v>
      </c>
      <c r="F35" s="1080"/>
      <c r="G35" s="5"/>
      <c r="H35" s="6"/>
    </row>
    <row r="36" spans="2:8" ht="16.5" hidden="1" outlineLevel="2" x14ac:dyDescent="0.3">
      <c r="B36" s="4"/>
      <c r="C36" s="5"/>
      <c r="D36" s="246"/>
      <c r="E36" s="692"/>
      <c r="F36" s="1080" t="s">
        <v>18361</v>
      </c>
      <c r="G36" s="5"/>
      <c r="H36" s="6"/>
    </row>
    <row r="37" spans="2:8" ht="16.5" hidden="1" outlineLevel="1" collapsed="1" x14ac:dyDescent="0.3">
      <c r="B37" s="4"/>
      <c r="C37" s="5"/>
      <c r="D37" s="246"/>
      <c r="E37" s="692" t="s">
        <v>18362</v>
      </c>
      <c r="F37" s="1080"/>
      <c r="G37" s="5"/>
      <c r="H37" s="6"/>
    </row>
    <row r="38" spans="2:8" ht="16.5" hidden="1" outlineLevel="2" x14ac:dyDescent="0.3">
      <c r="B38" s="4"/>
      <c r="C38" s="5"/>
      <c r="D38" s="246"/>
      <c r="E38" s="692"/>
      <c r="F38" s="1080" t="s">
        <v>18363</v>
      </c>
      <c r="G38" s="5"/>
      <c r="H38" s="6"/>
    </row>
    <row r="39" spans="2:8" ht="16.5" hidden="1" outlineLevel="1" collapsed="1" x14ac:dyDescent="0.3">
      <c r="B39" s="4"/>
      <c r="C39" s="5"/>
      <c r="D39" s="246"/>
      <c r="E39" s="692" t="s">
        <v>773</v>
      </c>
      <c r="F39" s="1080"/>
      <c r="G39" s="5"/>
      <c r="H39" s="6"/>
    </row>
    <row r="40" spans="2:8" ht="16.5" hidden="1" outlineLevel="2" x14ac:dyDescent="0.3">
      <c r="B40" s="4"/>
      <c r="C40" s="5"/>
      <c r="D40" s="246"/>
      <c r="E40" s="692"/>
      <c r="F40" s="1080" t="s">
        <v>18402</v>
      </c>
      <c r="G40" s="5"/>
      <c r="H40" s="6"/>
    </row>
    <row r="41" spans="2:8" ht="16.5" hidden="1" outlineLevel="1" collapsed="1" x14ac:dyDescent="0.3">
      <c r="B41" s="4"/>
      <c r="C41" s="5"/>
      <c r="D41" s="246"/>
      <c r="E41" s="692" t="s">
        <v>820</v>
      </c>
      <c r="F41" s="1080"/>
      <c r="G41" s="5"/>
      <c r="H41" s="6"/>
    </row>
    <row r="42" spans="2:8" ht="16.5" hidden="1" outlineLevel="2" x14ac:dyDescent="0.3">
      <c r="B42" s="4"/>
      <c r="C42" s="5"/>
      <c r="D42" s="246"/>
      <c r="E42" s="692"/>
      <c r="F42" s="1080" t="s">
        <v>18396</v>
      </c>
      <c r="G42" s="5"/>
      <c r="H42" s="6"/>
    </row>
    <row r="43" spans="2:8" ht="16.5" hidden="1" outlineLevel="1" collapsed="1" x14ac:dyDescent="0.3">
      <c r="B43" s="4"/>
      <c r="C43" s="5"/>
      <c r="D43" s="246"/>
      <c r="E43" s="692" t="s">
        <v>18364</v>
      </c>
      <c r="F43" s="1080"/>
      <c r="G43" s="5"/>
      <c r="H43" s="6"/>
    </row>
    <row r="44" spans="2:8" ht="16.5" hidden="1" outlineLevel="2" x14ac:dyDescent="0.3">
      <c r="B44" s="4"/>
      <c r="C44" s="5"/>
      <c r="D44" s="246"/>
      <c r="E44" s="692"/>
      <c r="F44" s="1080" t="s">
        <v>18365</v>
      </c>
      <c r="G44" s="5"/>
      <c r="H44" s="6"/>
    </row>
    <row r="45" spans="2:8" ht="16.5" hidden="1" outlineLevel="1" collapsed="1" x14ac:dyDescent="0.3">
      <c r="B45" s="4"/>
      <c r="C45" s="5"/>
      <c r="D45" s="246"/>
      <c r="E45" s="692" t="s">
        <v>18397</v>
      </c>
      <c r="F45" s="1080"/>
      <c r="G45" s="5"/>
      <c r="H45" s="6"/>
    </row>
    <row r="46" spans="2:8" ht="16.5" hidden="1" outlineLevel="2" x14ac:dyDescent="0.3">
      <c r="B46" s="4"/>
      <c r="C46" s="5"/>
      <c r="D46" s="246"/>
      <c r="E46" s="692"/>
      <c r="F46" s="1080" t="s">
        <v>18398</v>
      </c>
      <c r="G46" s="5"/>
      <c r="H46" s="6"/>
    </row>
    <row r="47" spans="2:8" ht="16.5" hidden="1" outlineLevel="1" collapsed="1" x14ac:dyDescent="0.3">
      <c r="B47" s="4"/>
      <c r="C47" s="5"/>
      <c r="D47" s="246"/>
      <c r="E47" s="692"/>
      <c r="F47" s="1080"/>
      <c r="G47" s="5"/>
      <c r="H47" s="6"/>
    </row>
    <row r="48" spans="2:8" ht="16.5" collapsed="1" x14ac:dyDescent="0.3">
      <c r="B48" s="4"/>
      <c r="C48" s="5"/>
      <c r="D48" s="246" t="s">
        <v>18417</v>
      </c>
      <c r="E48" s="692"/>
      <c r="F48" s="1080"/>
      <c r="G48" s="5"/>
      <c r="H48" s="6"/>
    </row>
    <row r="49" spans="2:8" ht="16.5" hidden="1" outlineLevel="1" x14ac:dyDescent="0.3">
      <c r="B49" s="4"/>
      <c r="C49" s="5"/>
      <c r="D49" s="246"/>
      <c r="E49" s="692" t="s">
        <v>699</v>
      </c>
      <c r="F49" s="1080"/>
      <c r="G49" s="5"/>
      <c r="H49" s="6"/>
    </row>
    <row r="50" spans="2:8" ht="16.5" hidden="1" outlineLevel="2" x14ac:dyDescent="0.3">
      <c r="B50" s="4"/>
      <c r="C50" s="5"/>
      <c r="D50" s="246"/>
      <c r="E50" s="692"/>
      <c r="F50" s="1080" t="s">
        <v>18409</v>
      </c>
      <c r="G50" s="5"/>
      <c r="H50" s="6"/>
    </row>
    <row r="51" spans="2:8" ht="16.5" hidden="1" outlineLevel="1" collapsed="1" x14ac:dyDescent="0.3">
      <c r="B51" s="4"/>
      <c r="C51" s="5"/>
      <c r="D51" s="246"/>
      <c r="E51" s="692" t="s">
        <v>820</v>
      </c>
      <c r="F51" s="1080"/>
      <c r="G51" s="5"/>
      <c r="H51" s="6"/>
    </row>
    <row r="52" spans="2:8" ht="16.5" hidden="1" outlineLevel="2" x14ac:dyDescent="0.3">
      <c r="B52" s="4"/>
      <c r="C52" s="5"/>
      <c r="D52" s="246"/>
      <c r="E52" s="692"/>
      <c r="F52" s="1080" t="s">
        <v>18407</v>
      </c>
      <c r="G52" s="5"/>
      <c r="H52" s="6"/>
    </row>
    <row r="53" spans="2:8" ht="16.5" hidden="1" outlineLevel="2" x14ac:dyDescent="0.3">
      <c r="B53" s="4"/>
      <c r="C53" s="5"/>
      <c r="D53" s="246"/>
      <c r="E53" s="692"/>
      <c r="F53" s="1080" t="s">
        <v>18410</v>
      </c>
      <c r="G53" s="5"/>
      <c r="H53" s="6"/>
    </row>
    <row r="54" spans="2:8" ht="16.5" hidden="1" outlineLevel="1" collapsed="1" x14ac:dyDescent="0.3">
      <c r="B54" s="4"/>
      <c r="C54" s="5"/>
      <c r="D54" s="246"/>
      <c r="E54" s="692" t="s">
        <v>18414</v>
      </c>
      <c r="F54" s="1080"/>
      <c r="G54" s="5"/>
      <c r="H54" s="6"/>
    </row>
    <row r="55" spans="2:8" ht="16.5" hidden="1" outlineLevel="2" x14ac:dyDescent="0.3">
      <c r="B55" s="4"/>
      <c r="C55" s="5"/>
      <c r="D55" s="246"/>
      <c r="E55" s="692"/>
      <c r="F55" s="1080" t="s">
        <v>18415</v>
      </c>
      <c r="G55" s="5"/>
      <c r="H55" s="6"/>
    </row>
    <row r="56" spans="2:8" ht="16.5" hidden="1" outlineLevel="1" collapsed="1" x14ac:dyDescent="0.3">
      <c r="B56" s="4"/>
      <c r="C56" s="5"/>
      <c r="D56" s="246"/>
      <c r="E56" s="692" t="s">
        <v>18411</v>
      </c>
      <c r="F56" s="1080"/>
      <c r="G56" s="5"/>
      <c r="H56" s="6"/>
    </row>
    <row r="57" spans="2:8" ht="16.5" hidden="1" outlineLevel="1" x14ac:dyDescent="0.3">
      <c r="B57" s="4"/>
      <c r="C57" s="5"/>
      <c r="D57" s="246"/>
      <c r="E57" s="692"/>
      <c r="F57" s="1080" t="s">
        <v>18412</v>
      </c>
      <c r="G57" s="5"/>
      <c r="H57" s="6"/>
    </row>
    <row r="58" spans="2:8" ht="16.5" hidden="1" outlineLevel="1" x14ac:dyDescent="0.3">
      <c r="B58" s="4"/>
      <c r="C58" s="5"/>
      <c r="D58" s="246"/>
      <c r="E58" s="692" t="s">
        <v>1281</v>
      </c>
      <c r="F58" s="1080"/>
      <c r="G58" s="5"/>
      <c r="H58" s="6"/>
    </row>
    <row r="59" spans="2:8" ht="16.5" hidden="1" outlineLevel="2" x14ac:dyDescent="0.3">
      <c r="B59" s="4"/>
      <c r="C59" s="5"/>
      <c r="D59" s="246"/>
      <c r="E59" s="692"/>
      <c r="F59" s="1080" t="s">
        <v>18408</v>
      </c>
      <c r="G59" s="5"/>
      <c r="H59" s="6"/>
    </row>
    <row r="60" spans="2:8" ht="16.5" hidden="1" outlineLevel="1" collapsed="1" x14ac:dyDescent="0.3">
      <c r="B60" s="4"/>
      <c r="C60" s="5"/>
      <c r="D60" s="246"/>
      <c r="E60" s="692" t="s">
        <v>18353</v>
      </c>
      <c r="F60" s="1080"/>
      <c r="G60" s="5"/>
      <c r="H60" s="6"/>
    </row>
    <row r="61" spans="2:8" ht="16.5" hidden="1" outlineLevel="2" x14ac:dyDescent="0.3">
      <c r="B61" s="4"/>
      <c r="C61" s="5"/>
      <c r="D61" s="246"/>
      <c r="E61" s="692"/>
      <c r="F61" s="1080" t="s">
        <v>18416</v>
      </c>
      <c r="G61" s="5"/>
      <c r="H61" s="6"/>
    </row>
    <row r="62" spans="2:8" ht="16.5" hidden="1" outlineLevel="1" collapsed="1" x14ac:dyDescent="0.3">
      <c r="B62" s="4"/>
      <c r="C62" s="5"/>
      <c r="D62" s="246"/>
      <c r="E62" s="692"/>
      <c r="F62" s="1080"/>
      <c r="G62" s="5"/>
      <c r="H62" s="6"/>
    </row>
    <row r="63" spans="2:8" ht="16.5" collapsed="1" x14ac:dyDescent="0.3">
      <c r="B63" s="4"/>
      <c r="C63" s="5"/>
      <c r="D63" s="246" t="s">
        <v>18424</v>
      </c>
      <c r="E63" s="692"/>
      <c r="F63" s="1080"/>
      <c r="G63" s="5"/>
      <c r="H63" s="6"/>
    </row>
    <row r="64" spans="2:8" ht="16.5" hidden="1" outlineLevel="1" x14ac:dyDescent="0.3">
      <c r="B64" s="4"/>
      <c r="C64" s="5"/>
      <c r="D64" s="246"/>
      <c r="E64" s="692" t="s">
        <v>18422</v>
      </c>
      <c r="F64" s="1080"/>
      <c r="G64" s="5"/>
      <c r="H64" s="6"/>
    </row>
    <row r="65" spans="2:8" ht="16.5" hidden="1" outlineLevel="2" x14ac:dyDescent="0.3">
      <c r="B65" s="4"/>
      <c r="C65" s="5"/>
      <c r="D65" s="246"/>
      <c r="E65" s="692"/>
      <c r="F65" s="1080" t="s">
        <v>18423</v>
      </c>
      <c r="G65" s="5"/>
      <c r="H65" s="6"/>
    </row>
    <row r="66" spans="2:8" ht="16.5" hidden="1" outlineLevel="1" collapsed="1" x14ac:dyDescent="0.3">
      <c r="B66" s="4"/>
      <c r="C66" s="5"/>
      <c r="D66" s="246"/>
      <c r="E66" s="692" t="s">
        <v>18182</v>
      </c>
      <c r="F66" s="1080"/>
      <c r="G66" s="5"/>
      <c r="H66" s="6"/>
    </row>
    <row r="67" spans="2:8" ht="16.5" hidden="1" outlineLevel="2" x14ac:dyDescent="0.3">
      <c r="B67" s="4"/>
      <c r="C67" s="5"/>
      <c r="D67" s="246"/>
      <c r="E67" s="692"/>
      <c r="F67" s="1080" t="s">
        <v>18425</v>
      </c>
      <c r="G67" s="5"/>
      <c r="H67" s="6"/>
    </row>
    <row r="68" spans="2:8" ht="16.5" hidden="1" outlineLevel="1" collapsed="1" x14ac:dyDescent="0.3">
      <c r="B68" s="4"/>
      <c r="C68" s="5"/>
      <c r="D68" s="246"/>
      <c r="E68" s="692"/>
      <c r="F68" s="1080"/>
      <c r="G68" s="5"/>
      <c r="H68" s="6"/>
    </row>
    <row r="69" spans="2:8" ht="16.5" collapsed="1" x14ac:dyDescent="0.3">
      <c r="B69" s="4"/>
      <c r="C69" s="5"/>
      <c r="D69" s="246" t="s">
        <v>18541</v>
      </c>
      <c r="E69" s="692"/>
      <c r="F69" s="1080"/>
      <c r="G69" s="5"/>
      <c r="H69" s="6"/>
    </row>
    <row r="70" spans="2:8" ht="16.5" hidden="1" outlineLevel="1" x14ac:dyDescent="0.3">
      <c r="B70" s="4"/>
      <c r="C70" s="5"/>
      <c r="D70" s="246"/>
      <c r="E70" s="692" t="s">
        <v>18182</v>
      </c>
      <c r="F70" s="1080"/>
      <c r="G70" s="5"/>
      <c r="H70" s="6"/>
    </row>
    <row r="71" spans="2:8" ht="16.5" hidden="1" outlineLevel="2" x14ac:dyDescent="0.3">
      <c r="B71" s="4"/>
      <c r="C71" s="5"/>
      <c r="D71" s="246"/>
      <c r="E71" s="692"/>
      <c r="F71" s="1080" t="s">
        <v>18427</v>
      </c>
      <c r="G71" s="5"/>
      <c r="H71" s="6"/>
    </row>
    <row r="72" spans="2:8" ht="16.5" hidden="1" outlineLevel="1" collapsed="1" x14ac:dyDescent="0.3">
      <c r="B72" s="4"/>
      <c r="C72" s="5"/>
      <c r="D72" s="246"/>
      <c r="E72" s="692" t="s">
        <v>370</v>
      </c>
      <c r="F72" s="1080"/>
      <c r="G72" s="5"/>
      <c r="H72" s="6"/>
    </row>
    <row r="73" spans="2:8" ht="16.5" hidden="1" outlineLevel="2" x14ac:dyDescent="0.3">
      <c r="B73" s="4"/>
      <c r="C73" s="5"/>
      <c r="D73" s="246"/>
      <c r="E73" s="692"/>
      <c r="F73" s="1080" t="s">
        <v>18426</v>
      </c>
      <c r="G73" s="5"/>
      <c r="H73" s="6"/>
    </row>
    <row r="74" spans="2:8" ht="16.5" hidden="1" outlineLevel="1" collapsed="1" x14ac:dyDescent="0.3">
      <c r="B74" s="4"/>
      <c r="C74" s="5"/>
      <c r="D74" s="246"/>
      <c r="E74" s="692"/>
      <c r="F74" s="1080"/>
      <c r="G74" s="5"/>
      <c r="H74" s="6"/>
    </row>
    <row r="75" spans="2:8" ht="16.5" collapsed="1" x14ac:dyDescent="0.3">
      <c r="B75" s="4"/>
      <c r="C75" s="5"/>
      <c r="D75" s="246" t="s">
        <v>18540</v>
      </c>
      <c r="E75" s="692"/>
      <c r="F75" s="1080"/>
      <c r="G75" s="5"/>
      <c r="H75" s="6"/>
    </row>
    <row r="76" spans="2:8" ht="16.5" hidden="1" outlineLevel="1" x14ac:dyDescent="0.3">
      <c r="B76" s="4"/>
      <c r="C76" s="5"/>
      <c r="D76" s="246"/>
      <c r="E76" s="692" t="s">
        <v>18182</v>
      </c>
      <c r="F76" s="1080"/>
      <c r="G76" s="5"/>
      <c r="H76" s="6"/>
    </row>
    <row r="77" spans="2:8" ht="16.5" hidden="1" outlineLevel="2" x14ac:dyDescent="0.3">
      <c r="B77" s="4"/>
      <c r="C77" s="5"/>
      <c r="D77" s="246"/>
      <c r="E77" s="692"/>
      <c r="F77" s="1080" t="s">
        <v>18503</v>
      </c>
      <c r="G77" s="5"/>
      <c r="H77" s="6"/>
    </row>
    <row r="78" spans="2:8" ht="16.5" hidden="1" outlineLevel="1" collapsed="1" x14ac:dyDescent="0.3">
      <c r="B78" s="4"/>
      <c r="C78" s="5"/>
      <c r="D78" s="246"/>
      <c r="E78" s="692" t="s">
        <v>18470</v>
      </c>
      <c r="F78" s="1080"/>
      <c r="G78" s="5"/>
      <c r="H78" s="6"/>
    </row>
    <row r="79" spans="2:8" ht="16.5" hidden="1" outlineLevel="2" x14ac:dyDescent="0.3">
      <c r="B79" s="4"/>
      <c r="C79" s="5"/>
      <c r="D79" s="246"/>
      <c r="E79" s="692"/>
      <c r="F79" s="1080" t="s">
        <v>18471</v>
      </c>
      <c r="G79" s="5"/>
      <c r="H79" s="6"/>
    </row>
    <row r="80" spans="2:8" ht="16.5" hidden="1" outlineLevel="1" collapsed="1" x14ac:dyDescent="0.3">
      <c r="B80" s="4"/>
      <c r="C80" s="5"/>
      <c r="D80" s="246"/>
      <c r="E80" s="692" t="s">
        <v>18472</v>
      </c>
      <c r="F80" s="1080"/>
      <c r="G80" s="5"/>
      <c r="H80" s="6"/>
    </row>
    <row r="81" spans="2:8" ht="16.5" hidden="1" outlineLevel="2" x14ac:dyDescent="0.3">
      <c r="B81" s="4"/>
      <c r="C81" s="5"/>
      <c r="D81" s="246"/>
      <c r="E81" s="692"/>
      <c r="F81" s="1080" t="s">
        <v>18473</v>
      </c>
      <c r="G81" s="5"/>
      <c r="H81" s="6"/>
    </row>
    <row r="82" spans="2:8" ht="16.5" hidden="1" outlineLevel="1" collapsed="1" x14ac:dyDescent="0.3">
      <c r="B82" s="4"/>
      <c r="C82" s="5"/>
      <c r="D82" s="246"/>
      <c r="E82" s="692" t="s">
        <v>18504</v>
      </c>
      <c r="F82" s="1080"/>
      <c r="G82" s="5"/>
      <c r="H82" s="6"/>
    </row>
    <row r="83" spans="2:8" ht="16.5" hidden="1" outlineLevel="2" x14ac:dyDescent="0.3">
      <c r="B83" s="4"/>
      <c r="C83" s="5"/>
      <c r="D83" s="246"/>
      <c r="E83" s="692"/>
      <c r="F83" s="1080" t="s">
        <v>18505</v>
      </c>
      <c r="G83" s="5"/>
      <c r="H83" s="6"/>
    </row>
    <row r="84" spans="2:8" ht="16.5" hidden="1" outlineLevel="2" x14ac:dyDescent="0.3">
      <c r="B84" s="4"/>
      <c r="C84" s="5"/>
      <c r="D84" s="246"/>
      <c r="E84" s="692"/>
      <c r="F84" s="1080" t="s">
        <v>18531</v>
      </c>
      <c r="G84" s="5"/>
      <c r="H84" s="6"/>
    </row>
    <row r="85" spans="2:8" ht="16.5" hidden="1" outlineLevel="1" collapsed="1" x14ac:dyDescent="0.3">
      <c r="B85" s="4"/>
      <c r="C85" s="5"/>
      <c r="D85" s="246"/>
      <c r="E85" s="692" t="s">
        <v>18353</v>
      </c>
      <c r="F85" s="1080"/>
      <c r="G85" s="5"/>
      <c r="H85" s="6"/>
    </row>
    <row r="86" spans="2:8" ht="16.5" hidden="1" outlineLevel="2" x14ac:dyDescent="0.3">
      <c r="B86" s="4"/>
      <c r="C86" s="5"/>
      <c r="D86" s="246"/>
      <c r="E86" s="692"/>
      <c r="F86" s="1080" t="s">
        <v>18502</v>
      </c>
      <c r="G86" s="5"/>
      <c r="H86" s="6"/>
    </row>
    <row r="87" spans="2:8" ht="16.5" hidden="1" outlineLevel="1" collapsed="1" x14ac:dyDescent="0.3">
      <c r="B87" s="4"/>
      <c r="C87" s="5"/>
      <c r="D87" s="246"/>
      <c r="E87" s="692"/>
      <c r="F87" s="1080"/>
      <c r="G87" s="5"/>
      <c r="H87" s="6"/>
    </row>
    <row r="88" spans="2:8" ht="16.5" collapsed="1" x14ac:dyDescent="0.3">
      <c r="B88" s="4"/>
      <c r="C88" s="5"/>
      <c r="D88" s="246" t="s">
        <v>18818</v>
      </c>
      <c r="E88" s="692"/>
      <c r="F88" s="1080"/>
      <c r="G88" s="5"/>
      <c r="H88" s="6"/>
    </row>
    <row r="89" spans="2:8" ht="16.5" hidden="1" outlineLevel="1" x14ac:dyDescent="0.3">
      <c r="B89" s="4"/>
      <c r="C89" s="5"/>
      <c r="D89" s="246"/>
      <c r="E89" s="692" t="s">
        <v>694</v>
      </c>
      <c r="F89" s="1080"/>
      <c r="G89" s="5"/>
      <c r="H89" s="6"/>
    </row>
    <row r="90" spans="2:8" ht="16.5" hidden="1" outlineLevel="2" x14ac:dyDescent="0.3">
      <c r="B90" s="4"/>
      <c r="C90" s="5"/>
      <c r="D90" s="246"/>
      <c r="E90" s="692"/>
      <c r="F90" s="1080" t="s">
        <v>18546</v>
      </c>
      <c r="G90" s="5"/>
      <c r="H90" s="6"/>
    </row>
    <row r="91" spans="2:8" ht="16.5" hidden="1" outlineLevel="1" collapsed="1" x14ac:dyDescent="0.3">
      <c r="B91" s="4"/>
      <c r="C91" s="5"/>
      <c r="D91" s="246"/>
      <c r="E91" s="692" t="s">
        <v>18362</v>
      </c>
      <c r="F91" s="1080"/>
      <c r="G91" s="5"/>
      <c r="H91" s="6"/>
    </row>
    <row r="92" spans="2:8" ht="16.5" hidden="1" outlineLevel="2" x14ac:dyDescent="0.3">
      <c r="B92" s="4"/>
      <c r="C92" s="5"/>
      <c r="D92" s="246"/>
      <c r="E92" s="692"/>
      <c r="F92" s="1080" t="s">
        <v>18807</v>
      </c>
      <c r="G92" s="5"/>
      <c r="H92" s="6"/>
    </row>
    <row r="93" spans="2:8" ht="16.5" hidden="1" outlineLevel="1" collapsed="1" x14ac:dyDescent="0.3">
      <c r="B93" s="4"/>
      <c r="C93" s="5"/>
      <c r="D93" s="246"/>
      <c r="E93" s="692" t="s">
        <v>415</v>
      </c>
      <c r="F93" s="1080"/>
      <c r="G93" s="5"/>
      <c r="H93" s="6"/>
    </row>
    <row r="94" spans="2:8" ht="16.5" hidden="1" outlineLevel="2" x14ac:dyDescent="0.3">
      <c r="B94" s="4"/>
      <c r="C94" s="5"/>
      <c r="D94" s="246"/>
      <c r="E94" s="692"/>
      <c r="F94" s="1080" t="s">
        <v>18559</v>
      </c>
      <c r="G94" s="5"/>
      <c r="H94" s="6"/>
    </row>
    <row r="95" spans="2:8" ht="16.5" hidden="1" outlineLevel="2" x14ac:dyDescent="0.3">
      <c r="B95" s="4"/>
      <c r="C95" s="5"/>
      <c r="D95" s="246"/>
      <c r="E95" s="692"/>
      <c r="F95" s="1080" t="s">
        <v>18547</v>
      </c>
      <c r="G95" s="5"/>
      <c r="H95" s="6"/>
    </row>
    <row r="96" spans="2:8" ht="16.5" hidden="1" outlineLevel="2" x14ac:dyDescent="0.3">
      <c r="B96" s="4"/>
      <c r="C96" s="5"/>
      <c r="D96" s="246"/>
      <c r="E96" s="692"/>
      <c r="F96" s="1080" t="s">
        <v>18561</v>
      </c>
      <c r="G96" s="5"/>
      <c r="H96" s="6"/>
    </row>
    <row r="97" spans="2:8" ht="16.5" hidden="1" outlineLevel="2" x14ac:dyDescent="0.3">
      <c r="B97" s="4"/>
      <c r="C97" s="5"/>
      <c r="D97" s="246"/>
      <c r="E97" s="692"/>
      <c r="F97" s="1080" t="s">
        <v>18650</v>
      </c>
      <c r="G97" s="5"/>
      <c r="H97" s="6"/>
    </row>
    <row r="98" spans="2:8" ht="16.5" hidden="1" outlineLevel="1" collapsed="1" x14ac:dyDescent="0.3">
      <c r="B98" s="4"/>
      <c r="C98" s="5"/>
      <c r="D98" s="246"/>
      <c r="E98" s="692" t="s">
        <v>820</v>
      </c>
      <c r="F98" s="1080"/>
      <c r="G98" s="5"/>
      <c r="H98" s="6"/>
    </row>
    <row r="99" spans="2:8" ht="16.5" hidden="1" outlineLevel="2" x14ac:dyDescent="0.3">
      <c r="B99" s="4"/>
      <c r="C99" s="5"/>
      <c r="D99" s="246"/>
      <c r="E99" s="692"/>
      <c r="F99" s="1080" t="s">
        <v>18644</v>
      </c>
      <c r="G99" s="5"/>
      <c r="H99" s="6"/>
    </row>
    <row r="100" spans="2:8" ht="16.5" hidden="1" outlineLevel="2" x14ac:dyDescent="0.3">
      <c r="B100" s="4"/>
      <c r="C100" s="5"/>
      <c r="D100" s="246"/>
      <c r="E100" s="692"/>
      <c r="F100" s="1080" t="s">
        <v>18664</v>
      </c>
      <c r="G100" s="5"/>
      <c r="H100" s="6"/>
    </row>
    <row r="101" spans="2:8" ht="16.5" hidden="1" outlineLevel="1" collapsed="1" x14ac:dyDescent="0.3">
      <c r="B101" s="4"/>
      <c r="C101" s="5"/>
      <c r="D101" s="246"/>
      <c r="E101" s="692" t="s">
        <v>18641</v>
      </c>
      <c r="F101" s="1080"/>
      <c r="G101" s="5"/>
      <c r="H101" s="6"/>
    </row>
    <row r="102" spans="2:8" ht="16.5" hidden="1" outlineLevel="2" x14ac:dyDescent="0.3">
      <c r="B102" s="4"/>
      <c r="C102" s="5"/>
      <c r="D102" s="246"/>
      <c r="E102" s="692"/>
      <c r="F102" s="1080" t="s">
        <v>18642</v>
      </c>
      <c r="G102" s="5"/>
      <c r="H102" s="6"/>
    </row>
    <row r="103" spans="2:8" ht="16.5" hidden="1" outlineLevel="2" x14ac:dyDescent="0.3">
      <c r="B103" s="4"/>
      <c r="C103" s="5"/>
      <c r="D103" s="246"/>
      <c r="E103" s="692"/>
      <c r="F103" s="1080" t="s">
        <v>18643</v>
      </c>
      <c r="G103" s="5"/>
      <c r="H103" s="6"/>
    </row>
    <row r="104" spans="2:8" ht="16.5" hidden="1" outlineLevel="2" x14ac:dyDescent="0.3">
      <c r="B104" s="4"/>
      <c r="C104" s="5"/>
      <c r="D104" s="246"/>
      <c r="E104" s="692"/>
      <c r="F104" s="1080" t="s">
        <v>18646</v>
      </c>
      <c r="G104" s="5"/>
      <c r="H104" s="6"/>
    </row>
    <row r="105" spans="2:8" ht="16.5" hidden="1" outlineLevel="1" collapsed="1" x14ac:dyDescent="0.3">
      <c r="B105" s="4"/>
      <c r="C105" s="5"/>
      <c r="D105" s="246"/>
      <c r="E105" s="692" t="s">
        <v>959</v>
      </c>
      <c r="F105" s="1080"/>
      <c r="G105" s="5"/>
      <c r="H105" s="6"/>
    </row>
    <row r="106" spans="2:8" ht="16.5" hidden="1" outlineLevel="2" x14ac:dyDescent="0.3">
      <c r="B106" s="4"/>
      <c r="C106" s="5"/>
      <c r="D106" s="246"/>
      <c r="E106" s="692"/>
      <c r="F106" s="1080" t="s">
        <v>18673</v>
      </c>
      <c r="G106" s="5"/>
      <c r="H106" s="6"/>
    </row>
    <row r="107" spans="2:8" ht="16.5" hidden="1" outlineLevel="1" collapsed="1" x14ac:dyDescent="0.3">
      <c r="B107" s="4"/>
      <c r="C107" s="5"/>
      <c r="D107" s="246"/>
      <c r="E107" s="692" t="s">
        <v>18651</v>
      </c>
      <c r="F107" s="1080"/>
      <c r="G107" s="5"/>
      <c r="H107" s="6"/>
    </row>
    <row r="108" spans="2:8" ht="16.5" hidden="1" outlineLevel="2" x14ac:dyDescent="0.3">
      <c r="B108" s="4"/>
      <c r="C108" s="5"/>
      <c r="D108" s="246"/>
      <c r="E108" s="692"/>
      <c r="F108" s="1080" t="s">
        <v>18652</v>
      </c>
      <c r="G108" s="5"/>
      <c r="H108" s="6"/>
    </row>
    <row r="109" spans="2:8" ht="16.5" hidden="1" outlineLevel="1" collapsed="1" x14ac:dyDescent="0.3">
      <c r="B109" s="4"/>
      <c r="C109" s="5"/>
      <c r="D109" s="246"/>
      <c r="E109" s="692" t="s">
        <v>18504</v>
      </c>
      <c r="F109" s="1080"/>
      <c r="G109" s="5"/>
      <c r="H109" s="6"/>
    </row>
    <row r="110" spans="2:8" ht="16.5" hidden="1" outlineLevel="2" x14ac:dyDescent="0.3">
      <c r="B110" s="4"/>
      <c r="C110" s="5"/>
      <c r="D110" s="246"/>
      <c r="E110" s="692"/>
      <c r="F110" s="1080" t="s">
        <v>18662</v>
      </c>
      <c r="G110" s="5"/>
      <c r="H110" s="6"/>
    </row>
    <row r="111" spans="2:8" ht="16.5" hidden="1" outlineLevel="1" collapsed="1" x14ac:dyDescent="0.3">
      <c r="B111" s="4"/>
      <c r="C111" s="5"/>
      <c r="D111" s="246"/>
      <c r="E111" s="692"/>
      <c r="F111" s="1080"/>
      <c r="G111" s="5"/>
      <c r="H111" s="6"/>
    </row>
    <row r="112" spans="2:8" ht="16.5" collapsed="1" x14ac:dyDescent="0.3">
      <c r="B112" s="4"/>
      <c r="C112" s="5"/>
      <c r="D112" s="246" t="s">
        <v>18890</v>
      </c>
      <c r="E112" s="692"/>
      <c r="F112" s="1080"/>
      <c r="G112" s="5"/>
      <c r="H112" s="6"/>
    </row>
    <row r="113" spans="2:8" ht="16.5" hidden="1" outlineLevel="1" x14ac:dyDescent="0.3">
      <c r="B113" s="4"/>
      <c r="C113" s="5"/>
      <c r="D113" s="246"/>
      <c r="E113" s="692" t="s">
        <v>18362</v>
      </c>
      <c r="F113" s="1080"/>
      <c r="G113" s="5"/>
      <c r="H113" s="6"/>
    </row>
    <row r="114" spans="2:8" ht="16.5" hidden="1" outlineLevel="2" x14ac:dyDescent="0.3">
      <c r="B114" s="4"/>
      <c r="C114" s="5"/>
      <c r="D114" s="246"/>
      <c r="E114" s="692"/>
      <c r="F114" s="1080" t="s">
        <v>18823</v>
      </c>
      <c r="G114" s="5"/>
      <c r="H114" s="6"/>
    </row>
    <row r="115" spans="2:8" ht="16.5" hidden="1" outlineLevel="2" x14ac:dyDescent="0.3">
      <c r="B115" s="4"/>
      <c r="C115" s="5"/>
      <c r="D115" s="246"/>
      <c r="E115" s="692"/>
      <c r="F115" s="1080" t="s">
        <v>18824</v>
      </c>
      <c r="G115" s="5"/>
      <c r="H115" s="6"/>
    </row>
    <row r="116" spans="2:8" ht="16.5" hidden="1" outlineLevel="2" x14ac:dyDescent="0.3">
      <c r="B116" s="4"/>
      <c r="C116" s="5"/>
      <c r="D116" s="246"/>
      <c r="E116" s="692"/>
      <c r="F116" s="1080" t="s">
        <v>18845</v>
      </c>
      <c r="G116" s="5"/>
      <c r="H116" s="6"/>
    </row>
    <row r="117" spans="2:8" ht="16.5" hidden="1" outlineLevel="1" collapsed="1" x14ac:dyDescent="0.3">
      <c r="B117" s="4"/>
      <c r="C117" s="5"/>
      <c r="D117" s="246"/>
      <c r="E117" s="692"/>
      <c r="F117" s="1080"/>
      <c r="G117" s="5"/>
      <c r="H117" s="6"/>
    </row>
    <row r="118" spans="2:8" ht="16.5" collapsed="1" x14ac:dyDescent="0.3">
      <c r="B118" s="4"/>
      <c r="C118" s="5"/>
      <c r="D118" s="246" t="s">
        <v>18892</v>
      </c>
      <c r="E118" s="692"/>
      <c r="F118" s="1080"/>
      <c r="G118" s="5"/>
      <c r="H118" s="6"/>
    </row>
    <row r="119" spans="2:8" ht="16.5" hidden="1" outlineLevel="1" x14ac:dyDescent="0.3">
      <c r="B119" s="4"/>
      <c r="C119" s="5"/>
      <c r="D119" s="246"/>
      <c r="E119" s="692" t="s">
        <v>416</v>
      </c>
      <c r="F119" s="1080"/>
      <c r="G119" s="5"/>
      <c r="H119" s="6"/>
    </row>
    <row r="120" spans="2:8" ht="16.5" hidden="1" outlineLevel="2" x14ac:dyDescent="0.3">
      <c r="B120" s="4"/>
      <c r="C120" s="5"/>
      <c r="D120" s="246"/>
      <c r="E120" s="692"/>
      <c r="F120" s="1080" t="s">
        <v>18891</v>
      </c>
      <c r="G120" s="5"/>
      <c r="H120" s="6"/>
    </row>
    <row r="121" spans="2:8" ht="16.5" hidden="1" outlineLevel="1" collapsed="1" x14ac:dyDescent="0.3">
      <c r="B121" s="4"/>
      <c r="C121" s="5"/>
      <c r="D121" s="246"/>
      <c r="E121" s="692"/>
      <c r="F121" s="1080"/>
      <c r="G121" s="5"/>
      <c r="H121" s="6"/>
    </row>
    <row r="122" spans="2:8" ht="16.5" collapsed="1" x14ac:dyDescent="0.3">
      <c r="B122" s="4"/>
      <c r="C122" s="5"/>
      <c r="D122" s="246" t="s">
        <v>18900</v>
      </c>
      <c r="E122" s="692"/>
      <c r="F122" s="1080"/>
      <c r="G122" s="5"/>
      <c r="H122" s="6"/>
    </row>
    <row r="123" spans="2:8" ht="16.5" hidden="1" outlineLevel="1" x14ac:dyDescent="0.3">
      <c r="B123" s="4"/>
      <c r="C123" s="5"/>
      <c r="D123" s="246"/>
      <c r="E123" s="692" t="s">
        <v>18362</v>
      </c>
      <c r="F123" s="1080"/>
      <c r="G123" s="5"/>
      <c r="H123" s="6"/>
    </row>
    <row r="124" spans="2:8" ht="16.5" hidden="1" outlineLevel="1" x14ac:dyDescent="0.3">
      <c r="B124" s="4"/>
      <c r="C124" s="5"/>
      <c r="D124" s="246"/>
      <c r="E124" s="692"/>
      <c r="F124" s="1080" t="s">
        <v>18896</v>
      </c>
      <c r="G124" s="5"/>
      <c r="H124" s="6"/>
    </row>
    <row r="125" spans="2:8" ht="16.5" hidden="1" outlineLevel="1" x14ac:dyDescent="0.3">
      <c r="B125" s="4"/>
      <c r="C125" s="5"/>
      <c r="D125" s="246"/>
      <c r="E125" s="692"/>
      <c r="F125" s="1080" t="s">
        <v>18897</v>
      </c>
      <c r="G125" s="5"/>
      <c r="H125" s="6"/>
    </row>
    <row r="126" spans="2:8" ht="16.5" hidden="1" outlineLevel="1" x14ac:dyDescent="0.3">
      <c r="B126" s="4"/>
      <c r="C126" s="5"/>
      <c r="D126" s="246"/>
      <c r="E126" s="692"/>
      <c r="F126" s="1080" t="s">
        <v>18898</v>
      </c>
      <c r="G126" s="5"/>
      <c r="H126" s="6"/>
    </row>
    <row r="127" spans="2:8" ht="16.5" hidden="1" outlineLevel="1" x14ac:dyDescent="0.3">
      <c r="B127" s="4"/>
      <c r="C127" s="5"/>
      <c r="D127" s="246"/>
      <c r="E127" s="692"/>
      <c r="F127" s="1080" t="s">
        <v>18899</v>
      </c>
      <c r="G127" s="5"/>
      <c r="H127" s="6"/>
    </row>
    <row r="128" spans="2:8" ht="16.5" hidden="1" outlineLevel="1" x14ac:dyDescent="0.3">
      <c r="B128" s="4"/>
      <c r="C128" s="5"/>
      <c r="D128" s="246"/>
      <c r="E128" s="692"/>
      <c r="F128" s="1080"/>
      <c r="G128" s="5"/>
      <c r="H128" s="6"/>
    </row>
    <row r="129" spans="2:8" ht="16.5" collapsed="1" x14ac:dyDescent="0.3">
      <c r="B129" s="4"/>
      <c r="C129" s="5"/>
      <c r="D129" s="246" t="s">
        <v>18905</v>
      </c>
      <c r="E129" s="692"/>
      <c r="F129" s="1080"/>
      <c r="G129" s="5"/>
      <c r="H129" s="6"/>
    </row>
    <row r="130" spans="2:8" ht="16.5" hidden="1" outlineLevel="1" x14ac:dyDescent="0.3">
      <c r="B130" s="4"/>
      <c r="C130" s="5"/>
      <c r="D130" s="246"/>
      <c r="E130" s="692" t="s">
        <v>18903</v>
      </c>
      <c r="F130" s="1080"/>
      <c r="G130" s="5"/>
      <c r="H130" s="6"/>
    </row>
    <row r="131" spans="2:8" ht="16.5" hidden="1" outlineLevel="2" x14ac:dyDescent="0.3">
      <c r="B131" s="4"/>
      <c r="C131" s="5"/>
      <c r="D131" s="246"/>
      <c r="E131" s="692"/>
      <c r="F131" s="1080" t="s">
        <v>18904</v>
      </c>
      <c r="G131" s="5"/>
      <c r="H131" s="6"/>
    </row>
    <row r="132" spans="2:8" ht="16.5" hidden="1" outlineLevel="1" collapsed="1" x14ac:dyDescent="0.3">
      <c r="B132" s="4"/>
      <c r="C132" s="5"/>
      <c r="D132" s="246"/>
      <c r="E132" s="692" t="s">
        <v>18470</v>
      </c>
      <c r="F132" s="1080"/>
      <c r="G132" s="5"/>
      <c r="H132" s="6"/>
    </row>
    <row r="133" spans="2:8" ht="16.5" hidden="1" outlineLevel="2" x14ac:dyDescent="0.3">
      <c r="B133" s="4"/>
      <c r="C133" s="5"/>
      <c r="D133" s="246"/>
      <c r="E133" s="692"/>
      <c r="F133" s="1080" t="s">
        <v>18906</v>
      </c>
      <c r="G133" s="5"/>
      <c r="H133" s="6"/>
    </row>
    <row r="134" spans="2:8" ht="16.5" hidden="1" outlineLevel="1" collapsed="1" x14ac:dyDescent="0.3">
      <c r="B134" s="4"/>
      <c r="C134" s="5"/>
      <c r="D134" s="246"/>
      <c r="E134" s="692" t="s">
        <v>417</v>
      </c>
      <c r="F134" s="1080"/>
      <c r="G134" s="5"/>
      <c r="H134" s="6"/>
    </row>
    <row r="135" spans="2:8" ht="16.5" hidden="1" outlineLevel="2" x14ac:dyDescent="0.3">
      <c r="B135" s="4"/>
      <c r="C135" s="5"/>
      <c r="D135" s="246"/>
      <c r="E135" s="692"/>
      <c r="F135" s="1080" t="s">
        <v>18901</v>
      </c>
      <c r="G135" s="5"/>
      <c r="H135" s="6"/>
    </row>
    <row r="136" spans="2:8" ht="16.5" hidden="1" outlineLevel="1" collapsed="1" x14ac:dyDescent="0.3">
      <c r="B136" s="4"/>
      <c r="C136" s="5"/>
      <c r="D136" s="246"/>
      <c r="E136" s="692"/>
      <c r="F136" s="1080"/>
      <c r="G136" s="5"/>
      <c r="H136" s="6"/>
    </row>
    <row r="137" spans="2:8" ht="16.5" collapsed="1" x14ac:dyDescent="0.3">
      <c r="B137" s="4"/>
      <c r="C137" s="5"/>
      <c r="D137" s="246" t="s">
        <v>18919</v>
      </c>
      <c r="E137" s="692"/>
      <c r="F137" s="1080"/>
      <c r="G137" s="5"/>
      <c r="H137" s="6"/>
    </row>
    <row r="138" spans="2:8" ht="16.5" x14ac:dyDescent="0.3">
      <c r="B138" s="4"/>
      <c r="C138" s="5"/>
      <c r="D138" s="246"/>
      <c r="E138" s="692" t="s">
        <v>18907</v>
      </c>
      <c r="F138" s="1080"/>
      <c r="G138" s="5"/>
      <c r="H138" s="6"/>
    </row>
    <row r="139" spans="2:8" ht="16.5" x14ac:dyDescent="0.3">
      <c r="B139" s="4"/>
      <c r="C139" s="5"/>
      <c r="D139" s="246"/>
      <c r="E139" s="692"/>
      <c r="F139" s="1080" t="s">
        <v>18908</v>
      </c>
      <c r="G139" s="5"/>
      <c r="H139" s="6"/>
    </row>
    <row r="140" spans="2:8" ht="16.5" x14ac:dyDescent="0.3">
      <c r="B140" s="4"/>
      <c r="C140" s="5"/>
      <c r="D140" s="246"/>
      <c r="E140" s="692" t="s">
        <v>18362</v>
      </c>
      <c r="F140" s="1080"/>
      <c r="G140" s="5"/>
      <c r="H140" s="6"/>
    </row>
    <row r="141" spans="2:8" ht="16.5" x14ac:dyDescent="0.3">
      <c r="B141" s="4"/>
      <c r="C141" s="5"/>
      <c r="D141" s="246"/>
      <c r="E141" s="692"/>
      <c r="F141" s="1080" t="s">
        <v>18918</v>
      </c>
      <c r="G141" s="5"/>
      <c r="H141" s="6"/>
    </row>
    <row r="142" spans="2:8" ht="16.5" x14ac:dyDescent="0.3">
      <c r="B142" s="4"/>
      <c r="C142" s="5"/>
      <c r="D142" s="246"/>
      <c r="E142" s="692"/>
      <c r="F142" s="1080" t="s">
        <v>18917</v>
      </c>
      <c r="G142" s="5"/>
      <c r="H142" s="6"/>
    </row>
    <row r="143" spans="2:8" ht="16.5" x14ac:dyDescent="0.3">
      <c r="B143" s="4"/>
      <c r="C143" s="5"/>
      <c r="D143" s="246"/>
      <c r="E143" s="692"/>
      <c r="F143" s="1080"/>
      <c r="G143" s="5"/>
      <c r="H143" s="6"/>
    </row>
    <row r="144" spans="2:8" ht="15" thickBot="1" x14ac:dyDescent="0.3">
      <c r="B144" s="8"/>
      <c r="C144" s="7"/>
      <c r="D144" s="7"/>
      <c r="E144" s="7"/>
      <c r="F144" s="7"/>
      <c r="G144" s="7"/>
      <c r="H144" s="9"/>
    </row>
  </sheetData>
  <pageMargins left="0.7" right="0.7" top="0.75" bottom="0.75" header="0.3" footer="0.3"/>
  <pageSetup orientation="portrait" horizontalDpi="1200" verticalDpi="1200" r:id="rId1"/>
  <drawing r:id="rId2"/>
  <legacy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12"/>
  <dimension ref="A1:AS108"/>
  <sheetViews>
    <sheetView workbookViewId="0">
      <selection activeCell="A2" sqref="A2:AS108"/>
    </sheetView>
  </sheetViews>
  <sheetFormatPr defaultRowHeight="14.25" x14ac:dyDescent="0.25"/>
  <cols>
    <col min="1" max="1" width="12.28515625" bestFit="1" customWidth="1"/>
    <col min="2" max="2" width="13.85546875" bestFit="1" customWidth="1"/>
    <col min="3" max="3" width="11" bestFit="1" customWidth="1"/>
    <col min="4" max="4" width="14.5703125" bestFit="1" customWidth="1"/>
    <col min="5" max="5" width="14.85546875" bestFit="1" customWidth="1"/>
    <col min="6" max="6" width="13.85546875" bestFit="1" customWidth="1"/>
    <col min="7" max="7" width="21.140625" bestFit="1" customWidth="1"/>
    <col min="8" max="8" width="21.5703125" bestFit="1" customWidth="1"/>
    <col min="9" max="9" width="20.42578125" bestFit="1" customWidth="1"/>
    <col min="10" max="10" width="21.42578125" bestFit="1" customWidth="1"/>
    <col min="11" max="11" width="21.7109375" bestFit="1" customWidth="1"/>
    <col min="12" max="12" width="20.5703125" bestFit="1" customWidth="1"/>
    <col min="13" max="13" width="28" bestFit="1" customWidth="1"/>
    <col min="14" max="14" width="28.28515625" bestFit="1" customWidth="1"/>
    <col min="15" max="15" width="27.28515625" bestFit="1" customWidth="1"/>
    <col min="16" max="16" width="22.85546875" bestFit="1" customWidth="1"/>
    <col min="17" max="17" width="23.140625" bestFit="1" customWidth="1"/>
    <col min="18" max="18" width="22.140625" bestFit="1" customWidth="1"/>
    <col min="19" max="19" width="29.42578125" bestFit="1" customWidth="1"/>
    <col min="20" max="20" width="29.85546875" bestFit="1" customWidth="1"/>
    <col min="21" max="21" width="28.7109375" bestFit="1" customWidth="1"/>
    <col min="22" max="22" width="12.42578125" bestFit="1" customWidth="1"/>
    <col min="23" max="23" width="16.85546875" bestFit="1" customWidth="1"/>
    <col min="24" max="24" width="22.140625" bestFit="1" customWidth="1"/>
    <col min="25" max="25" width="22.42578125" bestFit="1" customWidth="1"/>
    <col min="26" max="26" width="21.42578125" bestFit="1" customWidth="1"/>
    <col min="27" max="27" width="24" bestFit="1" customWidth="1"/>
    <col min="28" max="28" width="24.28515625" bestFit="1" customWidth="1"/>
    <col min="29" max="29" width="23.28515625" bestFit="1" customWidth="1"/>
    <col min="30" max="30" width="24.5703125" bestFit="1" customWidth="1"/>
    <col min="31" max="31" width="24.85546875" bestFit="1" customWidth="1"/>
    <col min="32" max="32" width="23.85546875" bestFit="1" customWidth="1"/>
    <col min="33" max="33" width="21.85546875" bestFit="1" customWidth="1"/>
    <col min="34" max="34" width="22.140625" bestFit="1" customWidth="1"/>
    <col min="35" max="35" width="21" bestFit="1" customWidth="1"/>
    <col min="36" max="36" width="14.28515625" bestFit="1" customWidth="1"/>
    <col min="37" max="37" width="11.42578125" bestFit="1" customWidth="1"/>
    <col min="38" max="38" width="22.7109375" bestFit="1" customWidth="1"/>
    <col min="39" max="39" width="19.85546875" bestFit="1" customWidth="1"/>
    <col min="40" max="40" width="21.42578125" bestFit="1" customWidth="1"/>
    <col min="41" max="41" width="21.7109375" bestFit="1" customWidth="1"/>
    <col min="42" max="42" width="22.42578125" bestFit="1" customWidth="1"/>
    <col min="43" max="43" width="20.28515625" bestFit="1" customWidth="1"/>
    <col min="44" max="44" width="20.5703125" bestFit="1" customWidth="1"/>
    <col min="45" max="45" width="21.42578125" bestFit="1" customWidth="1"/>
  </cols>
  <sheetData>
    <row r="1" spans="1:45" x14ac:dyDescent="0.25">
      <c r="A1" t="s">
        <v>18478</v>
      </c>
      <c r="B1" t="s">
        <v>1079</v>
      </c>
      <c r="C1" t="s">
        <v>1080</v>
      </c>
      <c r="D1" t="s">
        <v>18479</v>
      </c>
      <c r="E1" t="s">
        <v>18480</v>
      </c>
      <c r="F1" t="s">
        <v>18481</v>
      </c>
      <c r="G1" t="s">
        <v>18404</v>
      </c>
      <c r="H1" t="s">
        <v>18405</v>
      </c>
      <c r="I1" t="s">
        <v>18406</v>
      </c>
      <c r="J1" t="s">
        <v>18482</v>
      </c>
      <c r="K1" t="s">
        <v>18483</v>
      </c>
      <c r="L1" t="s">
        <v>18484</v>
      </c>
      <c r="M1" t="s">
        <v>18485</v>
      </c>
      <c r="N1" t="s">
        <v>18486</v>
      </c>
      <c r="O1" t="s">
        <v>18487</v>
      </c>
      <c r="P1" t="s">
        <v>18488</v>
      </c>
      <c r="Q1" t="s">
        <v>18489</v>
      </c>
      <c r="R1" t="s">
        <v>18490</v>
      </c>
      <c r="S1" t="s">
        <v>1794</v>
      </c>
      <c r="T1" t="s">
        <v>1795</v>
      </c>
      <c r="U1" t="s">
        <v>1796</v>
      </c>
      <c r="V1" t="s">
        <v>18491</v>
      </c>
      <c r="W1" t="s">
        <v>1797</v>
      </c>
      <c r="X1" t="s">
        <v>1085</v>
      </c>
      <c r="Y1" t="s">
        <v>1798</v>
      </c>
      <c r="Z1" t="s">
        <v>1086</v>
      </c>
      <c r="AA1" t="s">
        <v>18492</v>
      </c>
      <c r="AB1" t="s">
        <v>18493</v>
      </c>
      <c r="AC1" t="s">
        <v>18494</v>
      </c>
      <c r="AD1" t="s">
        <v>18495</v>
      </c>
      <c r="AE1" t="s">
        <v>18496</v>
      </c>
      <c r="AF1" t="s">
        <v>1087</v>
      </c>
      <c r="AG1" t="s">
        <v>18497</v>
      </c>
      <c r="AH1" t="s">
        <v>18498</v>
      </c>
      <c r="AI1" t="s">
        <v>18499</v>
      </c>
      <c r="AJ1" t="s">
        <v>1081</v>
      </c>
      <c r="AK1" t="s">
        <v>1082</v>
      </c>
      <c r="AL1" t="s">
        <v>1083</v>
      </c>
      <c r="AM1" t="s">
        <v>1084</v>
      </c>
      <c r="AN1" t="s">
        <v>19973</v>
      </c>
      <c r="AO1" t="s">
        <v>19974</v>
      </c>
      <c r="AP1" t="s">
        <v>19975</v>
      </c>
      <c r="AQ1" t="s">
        <v>19976</v>
      </c>
      <c r="AR1" t="s">
        <v>19977</v>
      </c>
      <c r="AS1" t="s">
        <v>19978</v>
      </c>
    </row>
    <row r="2" spans="1:45" x14ac:dyDescent="0.25">
      <c r="A2" t="s">
        <v>20012</v>
      </c>
      <c r="B2">
        <v>7017</v>
      </c>
      <c r="C2">
        <v>249784977</v>
      </c>
      <c r="D2">
        <v>19890265</v>
      </c>
      <c r="E2">
        <v>1821452</v>
      </c>
      <c r="F2">
        <v>21711717</v>
      </c>
      <c r="G2">
        <v>0.08</v>
      </c>
      <c r="H2">
        <v>7.0000000000000001E-3</v>
      </c>
      <c r="I2">
        <v>8.6999999999999994E-2</v>
      </c>
      <c r="J2">
        <v>26511253</v>
      </c>
      <c r="K2">
        <v>3684651</v>
      </c>
      <c r="L2">
        <v>29285531</v>
      </c>
      <c r="M2">
        <v>0.104</v>
      </c>
      <c r="N2">
        <v>1.4E-2</v>
      </c>
      <c r="O2">
        <v>0.115</v>
      </c>
      <c r="P2">
        <v>17530480</v>
      </c>
      <c r="Q2">
        <v>1713295</v>
      </c>
      <c r="R2">
        <v>19243775</v>
      </c>
      <c r="S2">
        <v>7.0000000000000007E-2</v>
      </c>
      <c r="T2">
        <v>7.0000000000000001E-3</v>
      </c>
      <c r="U2">
        <v>7.6999999999999999E-2</v>
      </c>
      <c r="V2">
        <v>228073260</v>
      </c>
      <c r="W2">
        <v>0.91300000000000003</v>
      </c>
      <c r="X2">
        <v>893898</v>
      </c>
      <c r="Y2">
        <v>676289</v>
      </c>
      <c r="Z2">
        <v>1570187</v>
      </c>
      <c r="AA2">
        <v>3167745</v>
      </c>
      <c r="AB2">
        <v>1140686</v>
      </c>
      <c r="AC2">
        <v>4308431</v>
      </c>
      <c r="AD2">
        <v>136</v>
      </c>
      <c r="AE2">
        <v>9</v>
      </c>
      <c r="AF2">
        <v>145</v>
      </c>
      <c r="AG2">
        <v>2015047</v>
      </c>
      <c r="AH2">
        <v>159897</v>
      </c>
      <c r="AI2">
        <v>2174944</v>
      </c>
      <c r="AJ2">
        <v>7</v>
      </c>
      <c r="AK2">
        <v>714431</v>
      </c>
      <c r="AL2">
        <v>18</v>
      </c>
      <c r="AM2">
        <v>5390597</v>
      </c>
      <c r="AN2">
        <v>10.54</v>
      </c>
      <c r="AO2">
        <v>7.86</v>
      </c>
      <c r="AP2">
        <v>10.18</v>
      </c>
      <c r="AQ2">
        <v>10.25</v>
      </c>
      <c r="AR2">
        <v>7.51</v>
      </c>
      <c r="AS2">
        <v>9.86</v>
      </c>
    </row>
    <row r="3" spans="1:45" x14ac:dyDescent="0.25">
      <c r="A3" t="s">
        <v>20013</v>
      </c>
      <c r="B3">
        <v>7010</v>
      </c>
      <c r="C3">
        <v>249070546</v>
      </c>
      <c r="D3">
        <v>20069732</v>
      </c>
      <c r="E3">
        <v>2497741</v>
      </c>
      <c r="F3">
        <v>22567473</v>
      </c>
      <c r="G3">
        <v>8.1000000000000003E-2</v>
      </c>
      <c r="H3">
        <v>0.01</v>
      </c>
      <c r="I3">
        <v>9.0999999999999998E-2</v>
      </c>
      <c r="J3">
        <v>27071582</v>
      </c>
      <c r="K3">
        <v>3206621</v>
      </c>
      <c r="L3">
        <v>29455158</v>
      </c>
      <c r="M3">
        <v>0.106</v>
      </c>
      <c r="N3">
        <v>1.2999999999999999E-2</v>
      </c>
      <c r="O3">
        <v>0.11600000000000001</v>
      </c>
      <c r="P3">
        <v>17931187</v>
      </c>
      <c r="Q3">
        <v>2271572</v>
      </c>
      <c r="R3">
        <v>20202759</v>
      </c>
      <c r="S3">
        <v>7.1999999999999995E-2</v>
      </c>
      <c r="T3">
        <v>8.9999999999999993E-3</v>
      </c>
      <c r="U3">
        <v>8.1000000000000003E-2</v>
      </c>
      <c r="V3">
        <v>226503073</v>
      </c>
      <c r="W3">
        <v>0.90900000000000003</v>
      </c>
      <c r="X3">
        <v>-748981</v>
      </c>
      <c r="Y3">
        <v>-1001453</v>
      </c>
      <c r="Z3">
        <v>-1750434</v>
      </c>
      <c r="AA3">
        <v>3002969</v>
      </c>
      <c r="AB3">
        <v>192435</v>
      </c>
      <c r="AC3">
        <v>3195404</v>
      </c>
      <c r="AD3">
        <v>172</v>
      </c>
      <c r="AE3">
        <v>5</v>
      </c>
      <c r="AF3">
        <v>177</v>
      </c>
      <c r="AG3">
        <v>2650211</v>
      </c>
      <c r="AH3">
        <v>84712</v>
      </c>
      <c r="AI3">
        <v>2734923</v>
      </c>
      <c r="AJ3">
        <v>6</v>
      </c>
      <c r="AK3">
        <v>679611</v>
      </c>
      <c r="AL3">
        <v>21</v>
      </c>
      <c r="AM3">
        <v>5695447</v>
      </c>
      <c r="AN3">
        <v>10.66</v>
      </c>
      <c r="AO3">
        <v>8.16</v>
      </c>
      <c r="AP3">
        <v>10.32</v>
      </c>
      <c r="AQ3">
        <v>10.35</v>
      </c>
      <c r="AR3">
        <v>8.01</v>
      </c>
      <c r="AS3">
        <v>10.029999999999999</v>
      </c>
    </row>
    <row r="4" spans="1:45" x14ac:dyDescent="0.25">
      <c r="A4" t="s">
        <v>19980</v>
      </c>
      <c r="B4">
        <v>7006</v>
      </c>
      <c r="C4">
        <v>248845472</v>
      </c>
      <c r="D4">
        <v>19095677</v>
      </c>
      <c r="E4">
        <v>1496288</v>
      </c>
      <c r="F4">
        <v>20591965</v>
      </c>
      <c r="G4">
        <v>7.6999999999999999E-2</v>
      </c>
      <c r="H4">
        <v>6.0000000000000001E-3</v>
      </c>
      <c r="I4">
        <v>8.3000000000000004E-2</v>
      </c>
      <c r="J4">
        <v>25544956</v>
      </c>
      <c r="K4">
        <v>2591186</v>
      </c>
      <c r="L4">
        <v>28118452</v>
      </c>
      <c r="M4">
        <v>0.1</v>
      </c>
      <c r="N4">
        <v>0.01</v>
      </c>
      <c r="O4">
        <v>0.11</v>
      </c>
      <c r="P4">
        <v>16280364</v>
      </c>
      <c r="Q4">
        <v>1382585</v>
      </c>
      <c r="R4">
        <v>17742177</v>
      </c>
      <c r="S4">
        <v>6.5000000000000002E-2</v>
      </c>
      <c r="T4">
        <v>6.0000000000000001E-3</v>
      </c>
      <c r="U4">
        <v>7.0999999999999994E-2</v>
      </c>
      <c r="V4">
        <v>228253507</v>
      </c>
      <c r="W4">
        <v>0.91700000000000004</v>
      </c>
      <c r="X4">
        <v>115069</v>
      </c>
      <c r="Y4">
        <v>-208884</v>
      </c>
      <c r="Z4">
        <v>-93815</v>
      </c>
      <c r="AA4">
        <v>3201809</v>
      </c>
      <c r="AB4">
        <v>287210</v>
      </c>
      <c r="AC4">
        <v>3489019</v>
      </c>
      <c r="AD4">
        <v>182</v>
      </c>
      <c r="AE4">
        <v>10</v>
      </c>
      <c r="AF4">
        <v>192</v>
      </c>
      <c r="AG4">
        <v>2690582</v>
      </c>
      <c r="AH4">
        <v>174446</v>
      </c>
      <c r="AI4">
        <v>2865028</v>
      </c>
      <c r="AJ4">
        <v>7</v>
      </c>
      <c r="AK4">
        <v>370098</v>
      </c>
      <c r="AL4">
        <v>24</v>
      </c>
      <c r="AM4">
        <v>6061261</v>
      </c>
      <c r="AN4">
        <v>11.07</v>
      </c>
      <c r="AO4">
        <v>7.59</v>
      </c>
      <c r="AP4">
        <v>10.56</v>
      </c>
      <c r="AQ4">
        <v>10.8</v>
      </c>
      <c r="AR4">
        <v>7.68</v>
      </c>
      <c r="AS4">
        <v>10.39</v>
      </c>
    </row>
    <row r="5" spans="1:45" x14ac:dyDescent="0.25">
      <c r="A5" t="s">
        <v>19778</v>
      </c>
      <c r="B5">
        <v>7002</v>
      </c>
      <c r="C5">
        <v>248492117</v>
      </c>
      <c r="D5">
        <v>18857391</v>
      </c>
      <c r="E5">
        <v>1287404</v>
      </c>
      <c r="F5">
        <v>20144795</v>
      </c>
      <c r="G5">
        <v>7.5999999999999998E-2</v>
      </c>
      <c r="H5">
        <v>5.0000000000000001E-3</v>
      </c>
      <c r="I5">
        <v>8.1000000000000003E-2</v>
      </c>
      <c r="J5">
        <v>24366741</v>
      </c>
      <c r="K5">
        <v>2460170</v>
      </c>
      <c r="L5">
        <v>26764105</v>
      </c>
      <c r="M5">
        <v>9.6000000000000002E-2</v>
      </c>
      <c r="N5">
        <v>0.01</v>
      </c>
      <c r="O5">
        <v>0.106</v>
      </c>
      <c r="P5">
        <v>16321480</v>
      </c>
      <c r="Q5">
        <v>1179766</v>
      </c>
      <c r="R5">
        <v>17501246</v>
      </c>
      <c r="S5">
        <v>6.6000000000000003E-2</v>
      </c>
      <c r="T5">
        <v>5.0000000000000001E-3</v>
      </c>
      <c r="U5">
        <v>7.0000000000000007E-2</v>
      </c>
      <c r="V5">
        <v>228347322</v>
      </c>
      <c r="W5">
        <v>0.91900000000000004</v>
      </c>
      <c r="X5">
        <v>631929</v>
      </c>
      <c r="Y5">
        <v>-159155</v>
      </c>
      <c r="Z5">
        <v>472774</v>
      </c>
      <c r="AA5">
        <v>2660582</v>
      </c>
      <c r="AB5">
        <v>151979</v>
      </c>
      <c r="AC5">
        <v>2812561</v>
      </c>
      <c r="AD5">
        <v>177</v>
      </c>
      <c r="AE5">
        <v>10</v>
      </c>
      <c r="AF5">
        <v>187</v>
      </c>
      <c r="AG5">
        <v>2277522</v>
      </c>
      <c r="AH5">
        <v>98214</v>
      </c>
      <c r="AI5">
        <v>2375736</v>
      </c>
      <c r="AJ5">
        <v>8</v>
      </c>
      <c r="AK5">
        <v>1601840</v>
      </c>
      <c r="AL5">
        <v>26</v>
      </c>
      <c r="AM5">
        <v>5176364</v>
      </c>
      <c r="AN5">
        <v>11.25</v>
      </c>
      <c r="AO5">
        <v>8.0399999999999991</v>
      </c>
      <c r="AP5">
        <v>10.8</v>
      </c>
      <c r="AQ5">
        <v>10.78</v>
      </c>
      <c r="AR5">
        <v>8.0299999999999994</v>
      </c>
      <c r="AS5">
        <v>10.42</v>
      </c>
    </row>
    <row r="6" spans="1:45" x14ac:dyDescent="0.25">
      <c r="A6" t="s">
        <v>19779</v>
      </c>
      <c r="B6">
        <v>6994</v>
      </c>
      <c r="C6">
        <v>246890277</v>
      </c>
      <c r="D6">
        <v>17887480</v>
      </c>
      <c r="E6">
        <v>1128249</v>
      </c>
      <c r="F6">
        <v>19015729</v>
      </c>
      <c r="G6">
        <v>7.1999999999999995E-2</v>
      </c>
      <c r="H6">
        <v>5.0000000000000001E-3</v>
      </c>
      <c r="I6">
        <v>7.6999999999999999E-2</v>
      </c>
      <c r="J6">
        <v>22726878</v>
      </c>
      <c r="K6">
        <v>2200267</v>
      </c>
      <c r="L6">
        <v>24898307</v>
      </c>
      <c r="M6">
        <v>0.09</v>
      </c>
      <c r="N6">
        <v>8.9999999999999993E-3</v>
      </c>
      <c r="O6">
        <v>9.9000000000000005E-2</v>
      </c>
      <c r="P6">
        <v>15532795</v>
      </c>
      <c r="Q6">
        <v>993982</v>
      </c>
      <c r="R6">
        <v>16526777</v>
      </c>
      <c r="S6">
        <v>6.3E-2</v>
      </c>
      <c r="T6">
        <v>4.0000000000000001E-3</v>
      </c>
      <c r="U6">
        <v>6.7000000000000004E-2</v>
      </c>
      <c r="V6">
        <v>227874548</v>
      </c>
      <c r="W6">
        <v>0.92300000000000004</v>
      </c>
      <c r="X6">
        <v>2002893</v>
      </c>
      <c r="Y6">
        <v>-91642</v>
      </c>
      <c r="Z6">
        <v>1911251</v>
      </c>
      <c r="AA6">
        <v>4402097</v>
      </c>
      <c r="AB6">
        <v>328711</v>
      </c>
      <c r="AC6">
        <v>4730808</v>
      </c>
      <c r="AD6">
        <v>195</v>
      </c>
      <c r="AE6">
        <v>7</v>
      </c>
      <c r="AF6">
        <v>202</v>
      </c>
      <c r="AG6">
        <v>3644563</v>
      </c>
      <c r="AH6">
        <v>118282</v>
      </c>
      <c r="AI6">
        <v>3762845</v>
      </c>
      <c r="AJ6">
        <v>11</v>
      </c>
      <c r="AK6">
        <v>1059443</v>
      </c>
      <c r="AL6">
        <v>30</v>
      </c>
      <c r="AM6">
        <v>5616929</v>
      </c>
      <c r="AN6">
        <v>11.14</v>
      </c>
      <c r="AO6">
        <v>8.14</v>
      </c>
      <c r="AP6">
        <v>10.72</v>
      </c>
      <c r="AQ6">
        <v>10.68</v>
      </c>
      <c r="AR6">
        <v>8.09</v>
      </c>
      <c r="AS6">
        <v>10.31</v>
      </c>
    </row>
    <row r="7" spans="1:45" x14ac:dyDescent="0.25">
      <c r="A7" t="s">
        <v>19780</v>
      </c>
      <c r="B7">
        <v>6983</v>
      </c>
      <c r="C7">
        <v>245830834</v>
      </c>
      <c r="D7">
        <v>18830930</v>
      </c>
      <c r="E7">
        <v>1036607</v>
      </c>
      <c r="F7">
        <v>19867537</v>
      </c>
      <c r="G7">
        <v>7.6999999999999999E-2</v>
      </c>
      <c r="H7">
        <v>4.0000000000000001E-3</v>
      </c>
      <c r="I7">
        <v>8.1000000000000003E-2</v>
      </c>
      <c r="J7">
        <v>23999899</v>
      </c>
      <c r="K7">
        <v>2216336</v>
      </c>
      <c r="L7">
        <v>26175859</v>
      </c>
      <c r="M7">
        <v>9.5000000000000001E-2</v>
      </c>
      <c r="N7">
        <v>8.9999999999999993E-3</v>
      </c>
      <c r="O7">
        <v>0.104</v>
      </c>
      <c r="P7">
        <v>16531262</v>
      </c>
      <c r="Q7">
        <v>1017945</v>
      </c>
      <c r="R7">
        <v>17549207</v>
      </c>
      <c r="S7">
        <v>6.7000000000000004E-2</v>
      </c>
      <c r="T7">
        <v>4.0000000000000001E-3</v>
      </c>
      <c r="U7">
        <v>7.0999999999999994E-2</v>
      </c>
      <c r="V7">
        <v>225963297</v>
      </c>
      <c r="W7">
        <v>0.91900000000000004</v>
      </c>
      <c r="X7">
        <v>795628</v>
      </c>
      <c r="Y7">
        <v>-183231</v>
      </c>
      <c r="Z7">
        <v>612397</v>
      </c>
      <c r="AA7">
        <v>3258862</v>
      </c>
      <c r="AB7">
        <v>191684</v>
      </c>
      <c r="AC7">
        <v>3450546</v>
      </c>
      <c r="AD7">
        <v>201</v>
      </c>
      <c r="AE7">
        <v>10</v>
      </c>
      <c r="AF7">
        <v>211</v>
      </c>
      <c r="AG7">
        <v>2749779</v>
      </c>
      <c r="AH7">
        <v>158456</v>
      </c>
      <c r="AI7">
        <v>2908235</v>
      </c>
      <c r="AJ7">
        <v>9</v>
      </c>
      <c r="AK7">
        <v>842586</v>
      </c>
      <c r="AL7">
        <v>36</v>
      </c>
      <c r="AM7">
        <v>5867210</v>
      </c>
      <c r="AN7">
        <v>11.52</v>
      </c>
      <c r="AO7">
        <v>8.2899999999999991</v>
      </c>
      <c r="AP7">
        <v>11.03</v>
      </c>
      <c r="AQ7">
        <v>11.04</v>
      </c>
      <c r="AR7">
        <v>8.19</v>
      </c>
      <c r="AS7">
        <v>10.58</v>
      </c>
    </row>
    <row r="8" spans="1:45" x14ac:dyDescent="0.25">
      <c r="A8" t="s">
        <v>19781</v>
      </c>
      <c r="B8">
        <v>6977</v>
      </c>
      <c r="C8">
        <v>245054673</v>
      </c>
      <c r="D8">
        <v>18850397</v>
      </c>
      <c r="E8">
        <v>853376</v>
      </c>
      <c r="F8">
        <v>19703773</v>
      </c>
      <c r="G8">
        <v>7.6999999999999999E-2</v>
      </c>
      <c r="H8">
        <v>3.0000000000000001E-3</v>
      </c>
      <c r="I8">
        <v>0.08</v>
      </c>
      <c r="J8">
        <v>24455560</v>
      </c>
      <c r="K8">
        <v>2015930</v>
      </c>
      <c r="L8">
        <v>26396478</v>
      </c>
      <c r="M8">
        <v>9.7000000000000003E-2</v>
      </c>
      <c r="N8">
        <v>8.0000000000000002E-3</v>
      </c>
      <c r="O8">
        <v>0.105</v>
      </c>
      <c r="P8">
        <v>14845068</v>
      </c>
      <c r="Q8">
        <v>828193</v>
      </c>
      <c r="R8">
        <v>15673261</v>
      </c>
      <c r="S8">
        <v>6.0999999999999999E-2</v>
      </c>
      <c r="T8">
        <v>3.0000000000000001E-3</v>
      </c>
      <c r="U8">
        <v>6.4000000000000001E-2</v>
      </c>
      <c r="V8">
        <v>225350900</v>
      </c>
      <c r="W8">
        <v>0.92</v>
      </c>
      <c r="X8">
        <v>1507526</v>
      </c>
      <c r="Y8">
        <v>5411</v>
      </c>
      <c r="Z8">
        <v>1512937</v>
      </c>
      <c r="AA8">
        <v>3587095</v>
      </c>
      <c r="AB8">
        <v>282473</v>
      </c>
      <c r="AC8">
        <v>3869568</v>
      </c>
      <c r="AD8">
        <v>213</v>
      </c>
      <c r="AE8">
        <v>9</v>
      </c>
      <c r="AF8">
        <v>222</v>
      </c>
      <c r="AG8">
        <v>3101890</v>
      </c>
      <c r="AH8">
        <v>117759</v>
      </c>
      <c r="AI8">
        <v>3219649</v>
      </c>
      <c r="AJ8">
        <v>11</v>
      </c>
      <c r="AK8">
        <v>1550139</v>
      </c>
      <c r="AL8">
        <v>41</v>
      </c>
      <c r="AM8">
        <v>6339992</v>
      </c>
      <c r="AN8">
        <v>11.4</v>
      </c>
      <c r="AO8">
        <v>8.51</v>
      </c>
      <c r="AP8">
        <v>10.97</v>
      </c>
      <c r="AQ8">
        <v>10.96</v>
      </c>
      <c r="AR8">
        <v>8.4700000000000006</v>
      </c>
      <c r="AS8">
        <v>10.57</v>
      </c>
    </row>
    <row r="9" spans="1:45" x14ac:dyDescent="0.25">
      <c r="A9" t="s">
        <v>19782</v>
      </c>
      <c r="B9">
        <v>6968</v>
      </c>
      <c r="C9">
        <v>243567716</v>
      </c>
      <c r="D9">
        <v>18870966</v>
      </c>
      <c r="E9">
        <v>858787</v>
      </c>
      <c r="F9">
        <v>19729753</v>
      </c>
      <c r="G9">
        <v>7.6999999999999999E-2</v>
      </c>
      <c r="H9">
        <v>4.0000000000000001E-3</v>
      </c>
      <c r="I9">
        <v>8.1000000000000003E-2</v>
      </c>
      <c r="J9">
        <v>24718182</v>
      </c>
      <c r="K9">
        <v>2011175</v>
      </c>
      <c r="L9">
        <v>26717256</v>
      </c>
      <c r="M9">
        <v>9.8000000000000004E-2</v>
      </c>
      <c r="N9">
        <v>8.0000000000000002E-3</v>
      </c>
      <c r="O9">
        <v>0.106</v>
      </c>
      <c r="P9">
        <v>15675585</v>
      </c>
      <c r="Q9">
        <v>844187</v>
      </c>
      <c r="R9">
        <v>16519772</v>
      </c>
      <c r="S9">
        <v>6.4000000000000001E-2</v>
      </c>
      <c r="T9">
        <v>3.0000000000000001E-3</v>
      </c>
      <c r="U9">
        <v>6.8000000000000005E-2</v>
      </c>
      <c r="V9">
        <v>223837963</v>
      </c>
      <c r="W9">
        <v>0.91900000000000004</v>
      </c>
      <c r="X9">
        <v>1925697</v>
      </c>
      <c r="Y9">
        <v>107818</v>
      </c>
      <c r="Z9">
        <v>2033515</v>
      </c>
      <c r="AA9">
        <v>3748164</v>
      </c>
      <c r="AB9">
        <v>267252</v>
      </c>
      <c r="AC9">
        <v>4015416</v>
      </c>
      <c r="AD9">
        <v>199</v>
      </c>
      <c r="AE9">
        <v>9</v>
      </c>
      <c r="AF9">
        <v>208</v>
      </c>
      <c r="AG9">
        <v>3301708</v>
      </c>
      <c r="AH9">
        <v>150521</v>
      </c>
      <c r="AI9">
        <v>3452229</v>
      </c>
      <c r="AJ9">
        <v>17</v>
      </c>
      <c r="AK9">
        <v>4544876</v>
      </c>
      <c r="AL9">
        <v>47</v>
      </c>
      <c r="AM9">
        <v>7798465</v>
      </c>
      <c r="AN9">
        <v>11.15</v>
      </c>
      <c r="AO9">
        <v>8.86</v>
      </c>
      <c r="AP9">
        <v>10.84</v>
      </c>
      <c r="AQ9">
        <v>10.66</v>
      </c>
      <c r="AR9">
        <v>8.76</v>
      </c>
      <c r="AS9">
        <v>10.39</v>
      </c>
    </row>
    <row r="10" spans="1:45" x14ac:dyDescent="0.25">
      <c r="A10" t="s">
        <v>19783</v>
      </c>
      <c r="B10">
        <v>6955</v>
      </c>
      <c r="C10">
        <v>239117048</v>
      </c>
      <c r="D10">
        <v>16345995</v>
      </c>
      <c r="E10">
        <v>966605</v>
      </c>
      <c r="F10">
        <v>17312600</v>
      </c>
      <c r="G10">
        <v>6.8000000000000005E-2</v>
      </c>
      <c r="H10">
        <v>4.0000000000000001E-3</v>
      </c>
      <c r="I10">
        <v>7.1999999999999995E-2</v>
      </c>
      <c r="J10">
        <v>24600858</v>
      </c>
      <c r="K10">
        <v>1992311</v>
      </c>
      <c r="L10">
        <v>26448089</v>
      </c>
      <c r="M10">
        <v>9.9000000000000005E-2</v>
      </c>
      <c r="N10">
        <v>8.0000000000000002E-3</v>
      </c>
      <c r="O10">
        <v>0.106</v>
      </c>
      <c r="P10">
        <v>12585035</v>
      </c>
      <c r="Q10">
        <v>924567</v>
      </c>
      <c r="R10">
        <v>13509602</v>
      </c>
      <c r="S10">
        <v>5.2999999999999999E-2</v>
      </c>
      <c r="T10">
        <v>4.0000000000000001E-3</v>
      </c>
      <c r="U10">
        <v>5.6000000000000001E-2</v>
      </c>
      <c r="V10">
        <v>221804448</v>
      </c>
      <c r="W10">
        <v>0.92800000000000005</v>
      </c>
      <c r="X10">
        <v>138301</v>
      </c>
      <c r="Y10">
        <v>-271514</v>
      </c>
      <c r="Z10">
        <v>-133213</v>
      </c>
      <c r="AA10">
        <v>2515994</v>
      </c>
      <c r="AB10">
        <v>181963</v>
      </c>
      <c r="AC10">
        <v>2697957</v>
      </c>
      <c r="AD10">
        <v>159</v>
      </c>
      <c r="AE10">
        <v>8</v>
      </c>
      <c r="AF10">
        <v>167</v>
      </c>
      <c r="AG10">
        <v>2547298</v>
      </c>
      <c r="AH10">
        <v>87229</v>
      </c>
      <c r="AI10">
        <v>2634527</v>
      </c>
      <c r="AJ10">
        <v>13</v>
      </c>
      <c r="AK10">
        <v>1114679</v>
      </c>
      <c r="AL10">
        <v>53</v>
      </c>
      <c r="AM10">
        <v>9940263</v>
      </c>
      <c r="AN10">
        <v>11.31</v>
      </c>
      <c r="AO10">
        <v>8.31</v>
      </c>
      <c r="AP10">
        <v>10.92</v>
      </c>
      <c r="AQ10">
        <v>10.89</v>
      </c>
      <c r="AR10">
        <v>8.41</v>
      </c>
      <c r="AS10">
        <v>10.58</v>
      </c>
    </row>
    <row r="11" spans="1:45" x14ac:dyDescent="0.25">
      <c r="A11" t="s">
        <v>19784</v>
      </c>
      <c r="B11">
        <v>6942</v>
      </c>
      <c r="C11">
        <v>238002369</v>
      </c>
      <c r="D11">
        <v>15369617</v>
      </c>
      <c r="E11">
        <v>695091</v>
      </c>
      <c r="F11">
        <v>16064708</v>
      </c>
      <c r="G11">
        <v>6.5000000000000002E-2</v>
      </c>
      <c r="H11">
        <v>3.0000000000000001E-3</v>
      </c>
      <c r="I11">
        <v>6.7000000000000004E-2</v>
      </c>
      <c r="J11">
        <v>21964468</v>
      </c>
      <c r="K11">
        <v>1252603</v>
      </c>
      <c r="L11">
        <v>23206471</v>
      </c>
      <c r="M11">
        <v>8.8999999999999996E-2</v>
      </c>
      <c r="N11">
        <v>5.0000000000000001E-3</v>
      </c>
      <c r="O11">
        <v>9.4E-2</v>
      </c>
      <c r="P11">
        <v>11662986</v>
      </c>
      <c r="Q11">
        <v>626734</v>
      </c>
      <c r="R11">
        <v>12289720</v>
      </c>
      <c r="S11">
        <v>4.9000000000000002E-2</v>
      </c>
      <c r="T11">
        <v>3.0000000000000001E-3</v>
      </c>
      <c r="U11">
        <v>5.1999999999999998E-2</v>
      </c>
      <c r="V11">
        <v>221937661</v>
      </c>
      <c r="W11">
        <v>0.93300000000000005</v>
      </c>
      <c r="X11">
        <v>1208232</v>
      </c>
      <c r="Y11">
        <v>108736</v>
      </c>
      <c r="Z11">
        <v>1316968</v>
      </c>
      <c r="AA11">
        <v>2703535</v>
      </c>
      <c r="AB11">
        <v>271471</v>
      </c>
      <c r="AC11">
        <v>2975006</v>
      </c>
      <c r="AD11">
        <v>183</v>
      </c>
      <c r="AE11">
        <v>7</v>
      </c>
      <c r="AF11">
        <v>190</v>
      </c>
      <c r="AG11">
        <v>3899394</v>
      </c>
      <c r="AH11">
        <v>52558</v>
      </c>
      <c r="AI11">
        <v>3951952</v>
      </c>
      <c r="AJ11">
        <v>9</v>
      </c>
      <c r="AK11">
        <v>1139378</v>
      </c>
      <c r="AL11">
        <v>57</v>
      </c>
      <c r="AM11">
        <v>10055035</v>
      </c>
      <c r="AN11">
        <v>10.35</v>
      </c>
      <c r="AO11">
        <v>8.82</v>
      </c>
      <c r="AP11">
        <v>10.19</v>
      </c>
      <c r="AQ11">
        <v>10.16</v>
      </c>
      <c r="AR11">
        <v>8.66</v>
      </c>
      <c r="AS11">
        <v>10</v>
      </c>
    </row>
    <row r="12" spans="1:45" x14ac:dyDescent="0.25">
      <c r="A12" t="s">
        <v>19785</v>
      </c>
      <c r="B12">
        <v>6936</v>
      </c>
      <c r="C12">
        <v>236908609</v>
      </c>
      <c r="D12">
        <v>15484089</v>
      </c>
      <c r="E12">
        <v>803827</v>
      </c>
      <c r="F12">
        <v>16287916</v>
      </c>
      <c r="G12">
        <v>6.5000000000000002E-2</v>
      </c>
      <c r="H12">
        <v>3.0000000000000001E-3</v>
      </c>
      <c r="I12">
        <v>6.9000000000000006E-2</v>
      </c>
      <c r="J12">
        <v>22192008</v>
      </c>
      <c r="K12">
        <v>1412025</v>
      </c>
      <c r="L12">
        <v>23414913</v>
      </c>
      <c r="M12">
        <v>0.09</v>
      </c>
      <c r="N12">
        <v>6.0000000000000001E-3</v>
      </c>
      <c r="O12">
        <v>9.5000000000000001E-2</v>
      </c>
      <c r="P12">
        <v>12482707</v>
      </c>
      <c r="Q12">
        <v>752925</v>
      </c>
      <c r="R12">
        <v>13235632</v>
      </c>
      <c r="S12">
        <v>5.2999999999999999E-2</v>
      </c>
      <c r="T12">
        <v>3.0000000000000001E-3</v>
      </c>
      <c r="U12">
        <v>5.6000000000000001E-2</v>
      </c>
      <c r="V12">
        <v>220620693</v>
      </c>
      <c r="W12">
        <v>0.93100000000000005</v>
      </c>
      <c r="X12">
        <v>110597</v>
      </c>
      <c r="Y12">
        <v>199897</v>
      </c>
      <c r="Z12">
        <v>310494</v>
      </c>
      <c r="AA12">
        <v>2264674</v>
      </c>
      <c r="AB12">
        <v>382598</v>
      </c>
      <c r="AC12">
        <v>2647272</v>
      </c>
      <c r="AD12">
        <v>204</v>
      </c>
      <c r="AE12">
        <v>9</v>
      </c>
      <c r="AF12">
        <v>213</v>
      </c>
      <c r="AG12">
        <v>3044019</v>
      </c>
      <c r="AH12">
        <v>165651</v>
      </c>
      <c r="AI12">
        <v>3209670</v>
      </c>
      <c r="AJ12">
        <v>9</v>
      </c>
      <c r="AK12">
        <v>1775132</v>
      </c>
      <c r="AL12">
        <v>59</v>
      </c>
      <c r="AM12">
        <v>10779144</v>
      </c>
      <c r="AN12">
        <v>9.7799999999999994</v>
      </c>
      <c r="AO12">
        <v>8.9600000000000009</v>
      </c>
      <c r="AP12">
        <v>9.69</v>
      </c>
      <c r="AQ12">
        <v>9.59</v>
      </c>
      <c r="AR12">
        <v>8.91</v>
      </c>
      <c r="AS12">
        <v>9.52</v>
      </c>
    </row>
    <row r="13" spans="1:45" x14ac:dyDescent="0.25">
      <c r="A13" t="s">
        <v>19786</v>
      </c>
      <c r="B13">
        <v>6934</v>
      </c>
      <c r="C13">
        <v>235226049</v>
      </c>
      <c r="D13">
        <v>13912126</v>
      </c>
      <c r="E13">
        <v>1003724</v>
      </c>
      <c r="F13">
        <v>14915850</v>
      </c>
      <c r="G13">
        <v>5.8999999999999997E-2</v>
      </c>
      <c r="H13">
        <v>4.0000000000000001E-3</v>
      </c>
      <c r="I13">
        <v>6.3E-2</v>
      </c>
      <c r="J13">
        <v>20714518</v>
      </c>
      <c r="K13">
        <v>1150233</v>
      </c>
      <c r="L13">
        <v>21864751</v>
      </c>
      <c r="M13">
        <v>8.5000000000000006E-2</v>
      </c>
      <c r="N13">
        <v>5.0000000000000001E-3</v>
      </c>
      <c r="O13">
        <v>0.09</v>
      </c>
      <c r="P13">
        <v>10669045</v>
      </c>
      <c r="Q13">
        <v>760864</v>
      </c>
      <c r="R13">
        <v>11429909</v>
      </c>
      <c r="S13">
        <v>4.4999999999999998E-2</v>
      </c>
      <c r="T13">
        <v>3.0000000000000001E-3</v>
      </c>
      <c r="U13">
        <v>4.9000000000000002E-2</v>
      </c>
      <c r="V13">
        <v>220310199</v>
      </c>
      <c r="W13">
        <v>0.93700000000000006</v>
      </c>
      <c r="X13">
        <v>931769</v>
      </c>
      <c r="Y13">
        <v>-310730</v>
      </c>
      <c r="Z13">
        <v>621039</v>
      </c>
      <c r="AA13">
        <v>3325625</v>
      </c>
      <c r="AB13">
        <v>123798</v>
      </c>
      <c r="AC13">
        <v>3449423</v>
      </c>
      <c r="AD13">
        <v>168</v>
      </c>
      <c r="AE13">
        <v>8</v>
      </c>
      <c r="AF13">
        <v>176</v>
      </c>
      <c r="AG13">
        <v>2350829</v>
      </c>
      <c r="AH13">
        <v>72883</v>
      </c>
      <c r="AI13">
        <v>2423712</v>
      </c>
      <c r="AJ13">
        <v>11</v>
      </c>
      <c r="AK13">
        <v>1534162</v>
      </c>
      <c r="AL13">
        <v>43</v>
      </c>
      <c r="AM13">
        <v>8682688</v>
      </c>
      <c r="AN13">
        <v>9.43</v>
      </c>
      <c r="AO13">
        <v>8.06</v>
      </c>
      <c r="AP13">
        <v>9.2899999999999991</v>
      </c>
      <c r="AQ13">
        <v>9.2899999999999991</v>
      </c>
      <c r="AR13">
        <v>7.7</v>
      </c>
      <c r="AS13">
        <v>9.1199999999999992</v>
      </c>
    </row>
    <row r="14" spans="1:45" x14ac:dyDescent="0.25">
      <c r="A14" t="s">
        <v>19787</v>
      </c>
      <c r="B14">
        <v>6928</v>
      </c>
      <c r="C14">
        <v>233793046</v>
      </c>
      <c r="D14">
        <v>13410892</v>
      </c>
      <c r="E14">
        <v>692994</v>
      </c>
      <c r="F14">
        <v>14103886</v>
      </c>
      <c r="G14">
        <v>5.7000000000000002E-2</v>
      </c>
      <c r="H14">
        <v>3.0000000000000001E-3</v>
      </c>
      <c r="I14">
        <v>0.06</v>
      </c>
      <c r="J14">
        <v>21078642</v>
      </c>
      <c r="K14">
        <v>1030310</v>
      </c>
      <c r="L14">
        <v>22095436</v>
      </c>
      <c r="M14">
        <v>8.6999999999999994E-2</v>
      </c>
      <c r="N14">
        <v>4.0000000000000001E-3</v>
      </c>
      <c r="O14">
        <v>9.0999999999999998E-2</v>
      </c>
      <c r="P14">
        <v>9814916</v>
      </c>
      <c r="Q14">
        <v>574156</v>
      </c>
      <c r="R14">
        <v>10389072</v>
      </c>
      <c r="S14">
        <v>4.2000000000000003E-2</v>
      </c>
      <c r="T14">
        <v>2E-3</v>
      </c>
      <c r="U14">
        <v>4.3999999999999997E-2</v>
      </c>
      <c r="V14">
        <v>219689160</v>
      </c>
      <c r="W14">
        <v>0.94</v>
      </c>
      <c r="X14">
        <v>2398873</v>
      </c>
      <c r="Y14">
        <v>-77298</v>
      </c>
      <c r="Z14">
        <v>2321575</v>
      </c>
      <c r="AA14">
        <v>3684804</v>
      </c>
      <c r="AB14">
        <v>78988</v>
      </c>
      <c r="AC14">
        <v>3763792</v>
      </c>
      <c r="AD14">
        <v>203</v>
      </c>
      <c r="AE14">
        <v>6</v>
      </c>
      <c r="AF14">
        <v>209</v>
      </c>
      <c r="AG14">
        <v>4726983</v>
      </c>
      <c r="AH14">
        <v>144290</v>
      </c>
      <c r="AI14">
        <v>4871273</v>
      </c>
      <c r="AJ14">
        <v>23</v>
      </c>
      <c r="AK14">
        <v>4129411</v>
      </c>
      <c r="AL14">
        <v>47</v>
      </c>
      <c r="AM14">
        <v>8590915</v>
      </c>
      <c r="AN14">
        <v>9.61</v>
      </c>
      <c r="AO14">
        <v>7.55</v>
      </c>
      <c r="AP14">
        <v>9.44</v>
      </c>
      <c r="AQ14">
        <v>9.42</v>
      </c>
      <c r="AR14">
        <v>7.28</v>
      </c>
      <c r="AS14">
        <v>9.25</v>
      </c>
    </row>
    <row r="15" spans="1:45" x14ac:dyDescent="0.25">
      <c r="A15" t="s">
        <v>19788</v>
      </c>
      <c r="B15">
        <v>6910</v>
      </c>
      <c r="C15">
        <v>229774702</v>
      </c>
      <c r="D15">
        <v>11791421</v>
      </c>
      <c r="E15">
        <v>615696</v>
      </c>
      <c r="F15">
        <v>12407117</v>
      </c>
      <c r="G15">
        <v>5.0999999999999997E-2</v>
      </c>
      <c r="H15">
        <v>3.0000000000000001E-3</v>
      </c>
      <c r="I15">
        <v>5.3999999999999999E-2</v>
      </c>
      <c r="J15">
        <v>20272532</v>
      </c>
      <c r="K15">
        <v>949469</v>
      </c>
      <c r="L15">
        <v>21185007</v>
      </c>
      <c r="M15">
        <v>8.5000000000000006E-2</v>
      </c>
      <c r="N15">
        <v>4.0000000000000001E-3</v>
      </c>
      <c r="O15">
        <v>8.7999999999999995E-2</v>
      </c>
      <c r="P15">
        <v>8517245</v>
      </c>
      <c r="Q15">
        <v>592224</v>
      </c>
      <c r="R15">
        <v>9109469</v>
      </c>
      <c r="S15">
        <v>3.6999999999999998E-2</v>
      </c>
      <c r="T15">
        <v>3.0000000000000001E-3</v>
      </c>
      <c r="U15">
        <v>0.04</v>
      </c>
      <c r="V15">
        <v>217367585</v>
      </c>
      <c r="W15">
        <v>0.94599999999999995</v>
      </c>
      <c r="X15">
        <v>2834196</v>
      </c>
      <c r="Y15">
        <v>127790</v>
      </c>
      <c r="Z15">
        <v>2961986</v>
      </c>
      <c r="AA15">
        <v>4670456</v>
      </c>
      <c r="AB15">
        <v>213289</v>
      </c>
      <c r="AC15">
        <v>4883745</v>
      </c>
      <c r="AD15">
        <v>187</v>
      </c>
      <c r="AE15">
        <v>6</v>
      </c>
      <c r="AF15">
        <v>193</v>
      </c>
      <c r="AG15">
        <v>4200351</v>
      </c>
      <c r="AH15">
        <v>66140</v>
      </c>
      <c r="AI15">
        <v>4266491</v>
      </c>
      <c r="AJ15">
        <v>8</v>
      </c>
      <c r="AK15">
        <v>1912710</v>
      </c>
      <c r="AL15">
        <v>54</v>
      </c>
      <c r="AM15">
        <v>9647678</v>
      </c>
      <c r="AN15">
        <v>9.32</v>
      </c>
      <c r="AO15">
        <v>7.49</v>
      </c>
      <c r="AP15">
        <v>9.18</v>
      </c>
      <c r="AQ15">
        <v>9.1300000000000008</v>
      </c>
      <c r="AR15">
        <v>7.3</v>
      </c>
      <c r="AS15">
        <v>8.99</v>
      </c>
    </row>
    <row r="16" spans="1:45" x14ac:dyDescent="0.25">
      <c r="A16" t="s">
        <v>19789</v>
      </c>
      <c r="B16">
        <v>6903</v>
      </c>
      <c r="C16">
        <v>227866790</v>
      </c>
      <c r="D16">
        <v>12717705</v>
      </c>
      <c r="E16">
        <v>743486</v>
      </c>
      <c r="F16">
        <v>13461191</v>
      </c>
      <c r="G16">
        <v>5.6000000000000001E-2</v>
      </c>
      <c r="H16">
        <v>3.0000000000000001E-3</v>
      </c>
      <c r="I16">
        <v>5.8999999999999997E-2</v>
      </c>
      <c r="J16">
        <v>19323928</v>
      </c>
      <c r="K16">
        <v>1138706</v>
      </c>
      <c r="L16">
        <v>20440313</v>
      </c>
      <c r="M16">
        <v>8.2000000000000003E-2</v>
      </c>
      <c r="N16">
        <v>5.0000000000000001E-3</v>
      </c>
      <c r="O16">
        <v>8.5999999999999993E-2</v>
      </c>
      <c r="P16">
        <v>9277804</v>
      </c>
      <c r="Q16">
        <v>712293</v>
      </c>
      <c r="R16">
        <v>9990097</v>
      </c>
      <c r="S16">
        <v>4.1000000000000002E-2</v>
      </c>
      <c r="T16">
        <v>3.0000000000000001E-3</v>
      </c>
      <c r="U16">
        <v>4.3999999999999997E-2</v>
      </c>
      <c r="V16">
        <v>214405599</v>
      </c>
      <c r="W16">
        <v>0.94099999999999995</v>
      </c>
      <c r="X16">
        <v>-808283</v>
      </c>
      <c r="Y16">
        <v>-68970</v>
      </c>
      <c r="Z16">
        <v>-877253</v>
      </c>
      <c r="AA16">
        <v>3119231</v>
      </c>
      <c r="AB16">
        <v>285540</v>
      </c>
      <c r="AC16">
        <v>3404771</v>
      </c>
      <c r="AD16">
        <v>232</v>
      </c>
      <c r="AE16">
        <v>8</v>
      </c>
      <c r="AF16">
        <v>240</v>
      </c>
      <c r="AG16">
        <v>4509697</v>
      </c>
      <c r="AH16">
        <v>120713</v>
      </c>
      <c r="AI16">
        <v>4630410</v>
      </c>
      <c r="AJ16">
        <v>8</v>
      </c>
      <c r="AK16">
        <v>662465</v>
      </c>
      <c r="AL16">
        <v>48</v>
      </c>
      <c r="AM16">
        <v>8820239</v>
      </c>
      <c r="AN16">
        <v>9.58</v>
      </c>
      <c r="AO16">
        <v>7.54</v>
      </c>
      <c r="AP16">
        <v>9.39</v>
      </c>
      <c r="AQ16">
        <v>9.35</v>
      </c>
      <c r="AR16">
        <v>7.2</v>
      </c>
      <c r="AS16">
        <v>9.15</v>
      </c>
    </row>
    <row r="17" spans="1:45" x14ac:dyDescent="0.25">
      <c r="A17" t="s">
        <v>19790</v>
      </c>
      <c r="B17">
        <v>6896</v>
      </c>
      <c r="C17">
        <v>227212899</v>
      </c>
      <c r="D17">
        <v>11255531</v>
      </c>
      <c r="E17">
        <v>674516</v>
      </c>
      <c r="F17">
        <v>11930047</v>
      </c>
      <c r="G17">
        <v>0.05</v>
      </c>
      <c r="H17">
        <v>3.0000000000000001E-3</v>
      </c>
      <c r="I17">
        <v>5.2999999999999999E-2</v>
      </c>
      <c r="J17">
        <v>19587983</v>
      </c>
      <c r="K17">
        <v>1076617</v>
      </c>
      <c r="L17">
        <v>20585181</v>
      </c>
      <c r="M17">
        <v>8.3000000000000004E-2</v>
      </c>
      <c r="N17">
        <v>5.0000000000000001E-3</v>
      </c>
      <c r="O17">
        <v>8.6999999999999994E-2</v>
      </c>
      <c r="P17">
        <v>9038151</v>
      </c>
      <c r="Q17">
        <v>545918</v>
      </c>
      <c r="R17">
        <v>9584069</v>
      </c>
      <c r="S17">
        <v>0.04</v>
      </c>
      <c r="T17">
        <v>2E-3</v>
      </c>
      <c r="U17">
        <v>4.2000000000000003E-2</v>
      </c>
      <c r="V17">
        <v>215282852</v>
      </c>
      <c r="W17">
        <v>0.94699999999999995</v>
      </c>
      <c r="X17">
        <v>5471103</v>
      </c>
      <c r="Y17">
        <v>285671</v>
      </c>
      <c r="Z17">
        <v>5756774</v>
      </c>
      <c r="AA17">
        <v>6257059</v>
      </c>
      <c r="AB17">
        <v>377621</v>
      </c>
      <c r="AC17">
        <v>6634680</v>
      </c>
      <c r="AD17">
        <v>186</v>
      </c>
      <c r="AE17">
        <v>12</v>
      </c>
      <c r="AF17">
        <v>198</v>
      </c>
      <c r="AG17">
        <v>3763698</v>
      </c>
      <c r="AH17">
        <v>331997</v>
      </c>
      <c r="AI17">
        <v>4095695</v>
      </c>
      <c r="AJ17">
        <v>12</v>
      </c>
      <c r="AK17">
        <v>3769955</v>
      </c>
      <c r="AL17">
        <v>48</v>
      </c>
      <c r="AM17">
        <v>8222445</v>
      </c>
      <c r="AN17">
        <v>9.24</v>
      </c>
      <c r="AO17">
        <v>7.09</v>
      </c>
      <c r="AP17">
        <v>9.06</v>
      </c>
      <c r="AQ17">
        <v>9.0500000000000007</v>
      </c>
      <c r="AR17">
        <v>6.68</v>
      </c>
      <c r="AS17">
        <v>8.85</v>
      </c>
    </row>
    <row r="18" spans="1:45" x14ac:dyDescent="0.25">
      <c r="A18" t="s">
        <v>19791</v>
      </c>
      <c r="B18">
        <v>6889</v>
      </c>
      <c r="C18">
        <v>223497900</v>
      </c>
      <c r="D18">
        <v>13011634</v>
      </c>
      <c r="E18">
        <v>960187</v>
      </c>
      <c r="F18">
        <v>13971821</v>
      </c>
      <c r="G18">
        <v>5.8000000000000003E-2</v>
      </c>
      <c r="H18">
        <v>4.0000000000000001E-3</v>
      </c>
      <c r="I18">
        <v>6.3E-2</v>
      </c>
      <c r="J18">
        <v>20744577</v>
      </c>
      <c r="K18">
        <v>1070333</v>
      </c>
      <c r="L18">
        <v>21697220</v>
      </c>
      <c r="M18">
        <v>8.8999999999999996E-2</v>
      </c>
      <c r="N18">
        <v>5.0000000000000001E-3</v>
      </c>
      <c r="O18">
        <v>9.2999999999999999E-2</v>
      </c>
      <c r="P18">
        <v>10136353</v>
      </c>
      <c r="Q18">
        <v>604590</v>
      </c>
      <c r="R18">
        <v>10740943</v>
      </c>
      <c r="S18">
        <v>4.4999999999999998E-2</v>
      </c>
      <c r="T18">
        <v>3.0000000000000001E-3</v>
      </c>
      <c r="U18">
        <v>4.8000000000000001E-2</v>
      </c>
      <c r="V18">
        <v>209526079</v>
      </c>
      <c r="W18">
        <v>0.93700000000000006</v>
      </c>
      <c r="X18">
        <v>1866424</v>
      </c>
      <c r="Y18">
        <v>380710</v>
      </c>
      <c r="Z18">
        <v>2247134</v>
      </c>
      <c r="AA18">
        <v>3420045</v>
      </c>
      <c r="AB18">
        <v>594725</v>
      </c>
      <c r="AC18">
        <v>4014770</v>
      </c>
      <c r="AD18">
        <v>196</v>
      </c>
      <c r="AE18">
        <v>6</v>
      </c>
      <c r="AF18">
        <v>202</v>
      </c>
      <c r="AG18">
        <v>6146658</v>
      </c>
      <c r="AH18">
        <v>151895</v>
      </c>
      <c r="AI18">
        <v>6298553</v>
      </c>
      <c r="AJ18">
        <v>8</v>
      </c>
      <c r="AK18">
        <v>1621732</v>
      </c>
      <c r="AL18">
        <v>45</v>
      </c>
      <c r="AM18">
        <v>9835132</v>
      </c>
      <c r="AN18">
        <v>8.89</v>
      </c>
      <c r="AO18">
        <v>7.33</v>
      </c>
      <c r="AP18">
        <v>8.7899999999999991</v>
      </c>
      <c r="AQ18">
        <v>8.7200000000000006</v>
      </c>
      <c r="AR18">
        <v>7.14</v>
      </c>
      <c r="AS18">
        <v>8.6199999999999992</v>
      </c>
    </row>
    <row r="19" spans="1:45" x14ac:dyDescent="0.25">
      <c r="A19" t="s">
        <v>19792</v>
      </c>
      <c r="B19">
        <v>6891</v>
      </c>
      <c r="C19">
        <v>222253785</v>
      </c>
      <c r="D19">
        <v>13633943</v>
      </c>
      <c r="E19">
        <v>1340897</v>
      </c>
      <c r="F19">
        <v>14974840</v>
      </c>
      <c r="G19">
        <v>6.0999999999999999E-2</v>
      </c>
      <c r="H19">
        <v>6.0000000000000001E-3</v>
      </c>
      <c r="I19">
        <v>6.7000000000000004E-2</v>
      </c>
      <c r="J19">
        <v>20871358</v>
      </c>
      <c r="K19">
        <v>1125082</v>
      </c>
      <c r="L19">
        <v>21899971</v>
      </c>
      <c r="M19">
        <v>0.09</v>
      </c>
      <c r="N19">
        <v>5.0000000000000001E-3</v>
      </c>
      <c r="O19">
        <v>9.5000000000000001E-2</v>
      </c>
      <c r="P19">
        <v>10887594</v>
      </c>
      <c r="Q19">
        <v>560312</v>
      </c>
      <c r="R19">
        <v>11435196</v>
      </c>
      <c r="S19">
        <v>4.9000000000000002E-2</v>
      </c>
      <c r="T19">
        <v>3.0000000000000001E-3</v>
      </c>
      <c r="U19">
        <v>5.0999999999999997E-2</v>
      </c>
      <c r="V19">
        <v>207278945</v>
      </c>
      <c r="W19">
        <v>0.93300000000000005</v>
      </c>
      <c r="X19">
        <v>1007196</v>
      </c>
      <c r="Y19">
        <v>-99215</v>
      </c>
      <c r="Z19">
        <v>907981</v>
      </c>
      <c r="AA19">
        <v>2819632</v>
      </c>
      <c r="AB19">
        <v>310247</v>
      </c>
      <c r="AC19">
        <v>3129879</v>
      </c>
      <c r="AD19">
        <v>231</v>
      </c>
      <c r="AE19">
        <v>16</v>
      </c>
      <c r="AF19">
        <v>247</v>
      </c>
      <c r="AG19">
        <v>3836876</v>
      </c>
      <c r="AH19">
        <v>529104</v>
      </c>
      <c r="AI19">
        <v>4365980</v>
      </c>
      <c r="AJ19">
        <v>12</v>
      </c>
      <c r="AK19">
        <v>2112737</v>
      </c>
      <c r="AL19">
        <v>39</v>
      </c>
      <c r="AM19">
        <v>8990880</v>
      </c>
      <c r="AN19">
        <v>8.8699999999999992</v>
      </c>
      <c r="AO19">
        <v>7.83</v>
      </c>
      <c r="AP19">
        <v>8.81</v>
      </c>
      <c r="AQ19">
        <v>8.67</v>
      </c>
      <c r="AR19">
        <v>7.83</v>
      </c>
      <c r="AS19">
        <v>8.61</v>
      </c>
    </row>
    <row r="20" spans="1:45" x14ac:dyDescent="0.25">
      <c r="A20" t="s">
        <v>19793</v>
      </c>
      <c r="B20">
        <v>6884</v>
      </c>
      <c r="C20">
        <v>220232457</v>
      </c>
      <c r="D20">
        <v>12619811</v>
      </c>
      <c r="E20">
        <v>1241662</v>
      </c>
      <c r="F20">
        <v>13861473</v>
      </c>
      <c r="G20">
        <v>5.7000000000000002E-2</v>
      </c>
      <c r="H20">
        <v>6.0000000000000001E-3</v>
      </c>
      <c r="I20">
        <v>6.3E-2</v>
      </c>
      <c r="J20">
        <v>18110037</v>
      </c>
      <c r="K20">
        <v>2120471</v>
      </c>
      <c r="L20">
        <v>20153503</v>
      </c>
      <c r="M20">
        <v>7.9000000000000001E-2</v>
      </c>
      <c r="N20">
        <v>8.9999999999999993E-3</v>
      </c>
      <c r="O20">
        <v>8.7999999999999995E-2</v>
      </c>
      <c r="P20">
        <v>10087639</v>
      </c>
      <c r="Q20">
        <v>895635</v>
      </c>
      <c r="R20">
        <v>10968884</v>
      </c>
      <c r="S20">
        <v>4.5999999999999999E-2</v>
      </c>
      <c r="T20">
        <v>4.0000000000000001E-3</v>
      </c>
      <c r="U20">
        <v>0.05</v>
      </c>
      <c r="V20">
        <v>206370984</v>
      </c>
      <c r="W20">
        <v>0.93700000000000006</v>
      </c>
      <c r="X20">
        <v>138029</v>
      </c>
      <c r="Y20">
        <v>-17926</v>
      </c>
      <c r="Z20">
        <v>120103</v>
      </c>
      <c r="AA20">
        <v>1931793</v>
      </c>
      <c r="AB20">
        <v>142097</v>
      </c>
      <c r="AC20">
        <v>2073890</v>
      </c>
      <c r="AD20">
        <v>214</v>
      </c>
      <c r="AE20">
        <v>7</v>
      </c>
      <c r="AF20">
        <v>221</v>
      </c>
      <c r="AG20">
        <v>3348866</v>
      </c>
      <c r="AH20">
        <v>445950</v>
      </c>
      <c r="AI20">
        <v>3794816</v>
      </c>
      <c r="AJ20">
        <v>12</v>
      </c>
      <c r="AK20">
        <v>1402525</v>
      </c>
      <c r="AL20">
        <v>38</v>
      </c>
      <c r="AM20">
        <v>8526862</v>
      </c>
      <c r="AN20">
        <v>8.9</v>
      </c>
      <c r="AO20">
        <v>6.83</v>
      </c>
      <c r="AP20">
        <v>8.64</v>
      </c>
      <c r="AQ20">
        <v>8.6999999999999993</v>
      </c>
      <c r="AR20">
        <v>6.76</v>
      </c>
      <c r="AS20">
        <v>8.4499999999999993</v>
      </c>
    </row>
    <row r="21" spans="1:45" x14ac:dyDescent="0.25">
      <c r="A21" t="s">
        <v>19794</v>
      </c>
      <c r="B21">
        <v>6878</v>
      </c>
      <c r="C21">
        <v>219006636</v>
      </c>
      <c r="D21">
        <v>11557500</v>
      </c>
      <c r="E21">
        <v>1223736</v>
      </c>
      <c r="F21">
        <v>12781236</v>
      </c>
      <c r="G21">
        <v>5.2999999999999999E-2</v>
      </c>
      <c r="H21">
        <v>6.0000000000000001E-3</v>
      </c>
      <c r="I21">
        <v>5.8000000000000003E-2</v>
      </c>
      <c r="J21">
        <v>17093553</v>
      </c>
      <c r="K21">
        <v>2303154</v>
      </c>
      <c r="L21">
        <v>19270851</v>
      </c>
      <c r="M21">
        <v>7.4999999999999997E-2</v>
      </c>
      <c r="N21">
        <v>0.01</v>
      </c>
      <c r="O21">
        <v>8.5000000000000006E-2</v>
      </c>
      <c r="P21">
        <v>9822590</v>
      </c>
      <c r="Q21">
        <v>1139668</v>
      </c>
      <c r="R21">
        <v>10962258</v>
      </c>
      <c r="S21">
        <v>4.4999999999999998E-2</v>
      </c>
      <c r="T21">
        <v>5.0000000000000001E-3</v>
      </c>
      <c r="U21">
        <v>0.05</v>
      </c>
      <c r="V21">
        <v>206225400</v>
      </c>
      <c r="W21">
        <v>0.94199999999999995</v>
      </c>
      <c r="X21">
        <v>1110951</v>
      </c>
      <c r="Y21">
        <v>-35287</v>
      </c>
      <c r="Z21">
        <v>1075664</v>
      </c>
      <c r="AA21">
        <v>2094687</v>
      </c>
      <c r="AB21">
        <v>123128</v>
      </c>
      <c r="AC21">
        <v>2217815</v>
      </c>
      <c r="AD21">
        <v>196</v>
      </c>
      <c r="AE21">
        <v>10</v>
      </c>
      <c r="AF21">
        <v>206</v>
      </c>
      <c r="AG21">
        <v>2684669</v>
      </c>
      <c r="AH21">
        <v>145337</v>
      </c>
      <c r="AI21">
        <v>2830006</v>
      </c>
      <c r="AJ21">
        <v>15</v>
      </c>
      <c r="AK21">
        <v>1682562</v>
      </c>
      <c r="AL21">
        <v>36</v>
      </c>
      <c r="AM21">
        <v>7933291</v>
      </c>
      <c r="AN21">
        <v>8.7799999999999994</v>
      </c>
      <c r="AO21">
        <v>6.45</v>
      </c>
      <c r="AP21">
        <v>8.4499999999999993</v>
      </c>
      <c r="AQ21">
        <v>8.57</v>
      </c>
      <c r="AR21">
        <v>6.37</v>
      </c>
      <c r="AS21">
        <v>8.25</v>
      </c>
    </row>
    <row r="22" spans="1:45" x14ac:dyDescent="0.25">
      <c r="A22" t="s">
        <v>19795</v>
      </c>
      <c r="B22">
        <v>6864</v>
      </c>
      <c r="C22">
        <v>217335284</v>
      </c>
      <c r="D22">
        <v>10997099</v>
      </c>
      <c r="E22">
        <v>1188469</v>
      </c>
      <c r="F22">
        <v>12185568</v>
      </c>
      <c r="G22">
        <v>5.0999999999999997E-2</v>
      </c>
      <c r="H22">
        <v>5.0000000000000001E-3</v>
      </c>
      <c r="I22">
        <v>5.6000000000000001E-2</v>
      </c>
      <c r="J22">
        <v>16466951</v>
      </c>
      <c r="K22">
        <v>2105910</v>
      </c>
      <c r="L22">
        <v>18466573</v>
      </c>
      <c r="M22">
        <v>7.2999999999999995E-2</v>
      </c>
      <c r="N22">
        <v>8.9999999999999993E-3</v>
      </c>
      <c r="O22">
        <v>8.2000000000000003E-2</v>
      </c>
      <c r="P22">
        <v>9584722</v>
      </c>
      <c r="Q22">
        <v>1113634</v>
      </c>
      <c r="R22">
        <v>10698356</v>
      </c>
      <c r="S22">
        <v>4.3999999999999997E-2</v>
      </c>
      <c r="T22">
        <v>5.0000000000000001E-3</v>
      </c>
      <c r="U22">
        <v>4.9000000000000002E-2</v>
      </c>
      <c r="V22">
        <v>205149716</v>
      </c>
      <c r="W22">
        <v>0.94399999999999995</v>
      </c>
      <c r="X22">
        <v>588018</v>
      </c>
      <c r="Y22">
        <v>-117639</v>
      </c>
      <c r="Z22">
        <v>470379</v>
      </c>
      <c r="AA22">
        <v>2456758</v>
      </c>
      <c r="AB22">
        <v>84677</v>
      </c>
      <c r="AC22">
        <v>2541435</v>
      </c>
      <c r="AD22">
        <v>234</v>
      </c>
      <c r="AE22">
        <v>16</v>
      </c>
      <c r="AF22">
        <v>250</v>
      </c>
      <c r="AG22">
        <v>2652891</v>
      </c>
      <c r="AH22">
        <v>187860</v>
      </c>
      <c r="AI22">
        <v>2840751</v>
      </c>
      <c r="AJ22">
        <v>7</v>
      </c>
      <c r="AK22">
        <v>531311</v>
      </c>
      <c r="AL22">
        <v>46</v>
      </c>
      <c r="AM22">
        <v>7751285</v>
      </c>
      <c r="AN22">
        <v>8.7899999999999991</v>
      </c>
      <c r="AO22">
        <v>6.41</v>
      </c>
      <c r="AP22">
        <v>8.42</v>
      </c>
      <c r="AQ22">
        <v>8.58</v>
      </c>
      <c r="AR22">
        <v>6.22</v>
      </c>
      <c r="AS22">
        <v>8.1999999999999993</v>
      </c>
    </row>
    <row r="23" spans="1:45" x14ac:dyDescent="0.25">
      <c r="A23" t="s">
        <v>19796</v>
      </c>
      <c r="B23">
        <v>6864</v>
      </c>
      <c r="C23">
        <v>217039952</v>
      </c>
      <c r="D23">
        <v>11289785</v>
      </c>
      <c r="E23">
        <v>1070830</v>
      </c>
      <c r="F23">
        <v>12360615</v>
      </c>
      <c r="G23">
        <v>5.1999999999999998E-2</v>
      </c>
      <c r="H23">
        <v>5.0000000000000001E-3</v>
      </c>
      <c r="I23">
        <v>5.7000000000000002E-2</v>
      </c>
      <c r="J23">
        <v>15372866</v>
      </c>
      <c r="K23">
        <v>2152118</v>
      </c>
      <c r="L23">
        <v>17439193</v>
      </c>
      <c r="M23">
        <v>6.9000000000000006E-2</v>
      </c>
      <c r="N23">
        <v>0.01</v>
      </c>
      <c r="O23">
        <v>7.8E-2</v>
      </c>
      <c r="P23">
        <v>9435725</v>
      </c>
      <c r="Q23">
        <v>1062816</v>
      </c>
      <c r="R23">
        <v>10501641</v>
      </c>
      <c r="S23">
        <v>4.2999999999999997E-2</v>
      </c>
      <c r="T23">
        <v>5.0000000000000001E-3</v>
      </c>
      <c r="U23">
        <v>4.8000000000000001E-2</v>
      </c>
      <c r="V23">
        <v>204679337</v>
      </c>
      <c r="W23">
        <v>0.94299999999999995</v>
      </c>
      <c r="X23">
        <v>839257</v>
      </c>
      <c r="Y23">
        <v>-245448</v>
      </c>
      <c r="Z23">
        <v>593809</v>
      </c>
      <c r="AA23">
        <v>2766306</v>
      </c>
      <c r="AB23">
        <v>34519</v>
      </c>
      <c r="AC23">
        <v>2800825</v>
      </c>
      <c r="AD23">
        <v>150</v>
      </c>
      <c r="AE23">
        <v>5</v>
      </c>
      <c r="AF23">
        <v>155</v>
      </c>
      <c r="AG23">
        <v>1751682</v>
      </c>
      <c r="AH23">
        <v>118753</v>
      </c>
      <c r="AI23">
        <v>1870435</v>
      </c>
      <c r="AJ23">
        <v>13</v>
      </c>
      <c r="AK23">
        <v>2121482</v>
      </c>
      <c r="AL23">
        <v>42</v>
      </c>
      <c r="AM23">
        <v>5753819</v>
      </c>
      <c r="AN23">
        <v>8.81</v>
      </c>
      <c r="AO23">
        <v>6.5</v>
      </c>
      <c r="AP23">
        <v>8.43</v>
      </c>
      <c r="AQ23">
        <v>8.66</v>
      </c>
      <c r="AR23">
        <v>6.38</v>
      </c>
      <c r="AS23">
        <v>8.26</v>
      </c>
    </row>
    <row r="24" spans="1:45" x14ac:dyDescent="0.25">
      <c r="A24" t="s">
        <v>19797</v>
      </c>
      <c r="B24">
        <v>6860</v>
      </c>
      <c r="C24">
        <v>214996302</v>
      </c>
      <c r="D24">
        <v>10085392</v>
      </c>
      <c r="E24">
        <v>825382</v>
      </c>
      <c r="F24">
        <v>10910774</v>
      </c>
      <c r="G24">
        <v>4.7E-2</v>
      </c>
      <c r="H24">
        <v>4.0000000000000001E-3</v>
      </c>
      <c r="I24">
        <v>5.0999999999999997E-2</v>
      </c>
      <c r="J24">
        <v>13389949</v>
      </c>
      <c r="K24">
        <v>1901534</v>
      </c>
      <c r="L24">
        <v>15272928</v>
      </c>
      <c r="M24">
        <v>0.06</v>
      </c>
      <c r="N24">
        <v>8.9999999999999993E-3</v>
      </c>
      <c r="O24">
        <v>6.9000000000000006E-2</v>
      </c>
      <c r="P24">
        <v>7448480</v>
      </c>
      <c r="Q24">
        <v>817368</v>
      </c>
      <c r="R24">
        <v>8271335</v>
      </c>
      <c r="S24">
        <v>3.5000000000000003E-2</v>
      </c>
      <c r="T24">
        <v>4.0000000000000001E-3</v>
      </c>
      <c r="U24">
        <v>3.7999999999999999E-2</v>
      </c>
      <c r="V24">
        <v>204085528</v>
      </c>
      <c r="W24">
        <v>0.94899999999999995</v>
      </c>
      <c r="X24">
        <v>1191069</v>
      </c>
      <c r="Y24">
        <v>-319440</v>
      </c>
      <c r="Z24">
        <v>871629</v>
      </c>
      <c r="AA24">
        <v>2727476</v>
      </c>
      <c r="AB24">
        <v>151459</v>
      </c>
      <c r="AC24">
        <v>2878935</v>
      </c>
      <c r="AD24">
        <v>179</v>
      </c>
      <c r="AE24">
        <v>7</v>
      </c>
      <c r="AF24">
        <v>186</v>
      </c>
      <c r="AG24">
        <v>2618649</v>
      </c>
      <c r="AH24">
        <v>133083</v>
      </c>
      <c r="AI24">
        <v>2751732</v>
      </c>
      <c r="AJ24">
        <v>7</v>
      </c>
      <c r="AK24">
        <v>491339</v>
      </c>
      <c r="AL24">
        <v>45</v>
      </c>
      <c r="AM24">
        <v>6472614</v>
      </c>
      <c r="AN24">
        <v>8.58</v>
      </c>
      <c r="AO24">
        <v>6.52</v>
      </c>
      <c r="AP24">
        <v>8.2799999999999994</v>
      </c>
      <c r="AQ24">
        <v>8.3800000000000008</v>
      </c>
      <c r="AR24">
        <v>6.44</v>
      </c>
      <c r="AS24">
        <v>8.07</v>
      </c>
    </row>
    <row r="25" spans="1:45" x14ac:dyDescent="0.25">
      <c r="A25" t="s">
        <v>19798</v>
      </c>
      <c r="B25">
        <v>6858</v>
      </c>
      <c r="C25">
        <v>214603026</v>
      </c>
      <c r="D25">
        <v>10883185</v>
      </c>
      <c r="E25">
        <v>505942</v>
      </c>
      <c r="F25">
        <v>11389127</v>
      </c>
      <c r="G25">
        <v>5.0999999999999997E-2</v>
      </c>
      <c r="H25">
        <v>2E-3</v>
      </c>
      <c r="I25">
        <v>5.2999999999999999E-2</v>
      </c>
      <c r="J25">
        <v>15283129</v>
      </c>
      <c r="K25">
        <v>1983637</v>
      </c>
      <c r="L25">
        <v>16992006</v>
      </c>
      <c r="M25">
        <v>7.0000000000000007E-2</v>
      </c>
      <c r="N25">
        <v>8.9999999999999993E-3</v>
      </c>
      <c r="O25">
        <v>7.6999999999999999E-2</v>
      </c>
      <c r="P25">
        <v>9688541</v>
      </c>
      <c r="Q25">
        <v>395773</v>
      </c>
      <c r="R25">
        <v>10084314</v>
      </c>
      <c r="S25">
        <v>4.4999999999999998E-2</v>
      </c>
      <c r="T25">
        <v>2E-3</v>
      </c>
      <c r="U25">
        <v>4.7E-2</v>
      </c>
      <c r="V25">
        <v>203213899</v>
      </c>
      <c r="W25">
        <v>0.94699999999999995</v>
      </c>
      <c r="X25">
        <v>306105</v>
      </c>
      <c r="Y25">
        <v>-19704</v>
      </c>
      <c r="Z25">
        <v>286401</v>
      </c>
      <c r="AA25">
        <v>1955910</v>
      </c>
      <c r="AB25">
        <v>73307</v>
      </c>
      <c r="AC25">
        <v>2029217</v>
      </c>
      <c r="AD25">
        <v>188</v>
      </c>
      <c r="AE25">
        <v>10</v>
      </c>
      <c r="AF25">
        <v>198</v>
      </c>
      <c r="AG25">
        <v>4091539</v>
      </c>
      <c r="AH25">
        <v>88096</v>
      </c>
      <c r="AI25">
        <v>4179635</v>
      </c>
      <c r="AJ25">
        <v>7</v>
      </c>
      <c r="AK25">
        <v>1112589</v>
      </c>
      <c r="AL25">
        <v>38</v>
      </c>
      <c r="AM25">
        <v>5191382</v>
      </c>
      <c r="AN25">
        <v>8.49</v>
      </c>
      <c r="AO25">
        <v>6.83</v>
      </c>
      <c r="AP25">
        <v>8.25</v>
      </c>
      <c r="AQ25">
        <v>8.3000000000000007</v>
      </c>
      <c r="AR25">
        <v>6.78</v>
      </c>
      <c r="AS25">
        <v>8.06</v>
      </c>
    </row>
    <row r="26" spans="1:45" x14ac:dyDescent="0.25">
      <c r="A26" t="s">
        <v>19799</v>
      </c>
      <c r="B26">
        <v>6854</v>
      </c>
      <c r="C26">
        <v>213507322</v>
      </c>
      <c r="D26">
        <v>10093229</v>
      </c>
      <c r="E26">
        <v>486238</v>
      </c>
      <c r="F26">
        <v>10579467</v>
      </c>
      <c r="G26">
        <v>4.7E-2</v>
      </c>
      <c r="H26">
        <v>2E-3</v>
      </c>
      <c r="I26">
        <v>0.05</v>
      </c>
      <c r="J26">
        <v>15525260</v>
      </c>
      <c r="K26">
        <v>1702846</v>
      </c>
      <c r="L26">
        <v>16932309</v>
      </c>
      <c r="M26">
        <v>7.0999999999999994E-2</v>
      </c>
      <c r="N26">
        <v>8.0000000000000002E-3</v>
      </c>
      <c r="O26">
        <v>7.8E-2</v>
      </c>
      <c r="P26">
        <v>8742053</v>
      </c>
      <c r="Q26">
        <v>380599</v>
      </c>
      <c r="R26">
        <v>9122652</v>
      </c>
      <c r="S26">
        <v>4.1000000000000002E-2</v>
      </c>
      <c r="T26">
        <v>2E-3</v>
      </c>
      <c r="U26">
        <v>4.2999999999999997E-2</v>
      </c>
      <c r="V26">
        <v>202927855</v>
      </c>
      <c r="W26">
        <v>0.95</v>
      </c>
      <c r="X26">
        <v>834865</v>
      </c>
      <c r="Y26">
        <v>-214541</v>
      </c>
      <c r="Z26">
        <v>620324</v>
      </c>
      <c r="AA26">
        <v>2006434</v>
      </c>
      <c r="AB26">
        <v>81958</v>
      </c>
      <c r="AC26">
        <v>2088392</v>
      </c>
      <c r="AD26">
        <v>169</v>
      </c>
      <c r="AE26">
        <v>10</v>
      </c>
      <c r="AF26">
        <v>179</v>
      </c>
      <c r="AG26">
        <v>2478453</v>
      </c>
      <c r="AH26">
        <v>155667</v>
      </c>
      <c r="AI26">
        <v>2634120</v>
      </c>
      <c r="AJ26">
        <v>21</v>
      </c>
      <c r="AK26">
        <v>2076763</v>
      </c>
      <c r="AL26">
        <v>31</v>
      </c>
      <c r="AM26">
        <v>4380415</v>
      </c>
      <c r="AN26">
        <v>8.34</v>
      </c>
      <c r="AO26">
        <v>6.82</v>
      </c>
      <c r="AP26">
        <v>8.16</v>
      </c>
      <c r="AQ26">
        <v>8.19</v>
      </c>
      <c r="AR26">
        <v>6.81</v>
      </c>
      <c r="AS26">
        <v>8.02</v>
      </c>
    </row>
    <row r="27" spans="1:45" x14ac:dyDescent="0.25">
      <c r="A27" t="s">
        <v>19800</v>
      </c>
      <c r="B27">
        <v>6841</v>
      </c>
      <c r="C27">
        <v>211543074</v>
      </c>
      <c r="D27">
        <v>8963846</v>
      </c>
      <c r="E27">
        <v>271697</v>
      </c>
      <c r="F27">
        <v>9235543</v>
      </c>
      <c r="G27">
        <v>4.2000000000000003E-2</v>
      </c>
      <c r="H27">
        <v>1E-3</v>
      </c>
      <c r="I27">
        <v>4.3999999999999997E-2</v>
      </c>
      <c r="J27">
        <v>15355117</v>
      </c>
      <c r="K27">
        <v>1669320</v>
      </c>
      <c r="L27">
        <v>16749677</v>
      </c>
      <c r="M27">
        <v>7.0999999999999994E-2</v>
      </c>
      <c r="N27">
        <v>8.0000000000000002E-3</v>
      </c>
      <c r="O27">
        <v>7.6999999999999999E-2</v>
      </c>
      <c r="P27">
        <v>7936002</v>
      </c>
      <c r="Q27">
        <v>253047</v>
      </c>
      <c r="R27">
        <v>8189049</v>
      </c>
      <c r="S27">
        <v>3.7999999999999999E-2</v>
      </c>
      <c r="T27">
        <v>1E-3</v>
      </c>
      <c r="U27">
        <v>3.9E-2</v>
      </c>
      <c r="V27">
        <v>202307531</v>
      </c>
      <c r="W27">
        <v>0.95599999999999996</v>
      </c>
      <c r="X27">
        <v>342386</v>
      </c>
      <c r="Y27">
        <v>-147119</v>
      </c>
      <c r="Z27">
        <v>195267</v>
      </c>
      <c r="AA27">
        <v>1613707</v>
      </c>
      <c r="AB27">
        <v>29529</v>
      </c>
      <c r="AC27">
        <v>1643236</v>
      </c>
      <c r="AD27">
        <v>180</v>
      </c>
      <c r="AE27">
        <v>9</v>
      </c>
      <c r="AF27">
        <v>189</v>
      </c>
      <c r="AG27">
        <v>2472935</v>
      </c>
      <c r="AH27">
        <v>72858</v>
      </c>
      <c r="AI27">
        <v>2545793</v>
      </c>
      <c r="AJ27">
        <v>10</v>
      </c>
      <c r="AK27">
        <v>1389371</v>
      </c>
      <c r="AL27">
        <v>46</v>
      </c>
      <c r="AM27">
        <v>5610137</v>
      </c>
      <c r="AN27">
        <v>8.0500000000000007</v>
      </c>
      <c r="AO27">
        <v>6.96</v>
      </c>
      <c r="AP27">
        <v>7.92</v>
      </c>
      <c r="AQ27">
        <v>7.88</v>
      </c>
      <c r="AR27">
        <v>6.78</v>
      </c>
      <c r="AS27">
        <v>7.74</v>
      </c>
    </row>
    <row r="28" spans="1:45" x14ac:dyDescent="0.25">
      <c r="A28" t="s">
        <v>19801</v>
      </c>
      <c r="B28">
        <v>6835</v>
      </c>
      <c r="C28">
        <v>210179907</v>
      </c>
      <c r="D28">
        <v>7943422</v>
      </c>
      <c r="E28">
        <v>124578</v>
      </c>
      <c r="F28">
        <v>8068000</v>
      </c>
      <c r="G28">
        <v>3.7999999999999999E-2</v>
      </c>
      <c r="H28">
        <v>1E-3</v>
      </c>
      <c r="I28">
        <v>3.7999999999999999E-2</v>
      </c>
      <c r="J28">
        <v>14119055</v>
      </c>
      <c r="K28">
        <v>1201812</v>
      </c>
      <c r="L28">
        <v>15042258</v>
      </c>
      <c r="M28">
        <v>6.5000000000000002E-2</v>
      </c>
      <c r="N28">
        <v>6.0000000000000001E-3</v>
      </c>
      <c r="O28">
        <v>7.0000000000000007E-2</v>
      </c>
      <c r="P28">
        <v>7160670</v>
      </c>
      <c r="Q28">
        <v>124578</v>
      </c>
      <c r="R28">
        <v>7285248</v>
      </c>
      <c r="S28">
        <v>3.4000000000000002E-2</v>
      </c>
      <c r="T28">
        <v>1E-3</v>
      </c>
      <c r="U28">
        <v>3.5000000000000003E-2</v>
      </c>
      <c r="V28">
        <v>202111907</v>
      </c>
      <c r="W28">
        <v>0.96199999999999997</v>
      </c>
      <c r="X28">
        <v>844667</v>
      </c>
      <c r="Y28">
        <v>-17956</v>
      </c>
      <c r="Z28">
        <v>826711</v>
      </c>
      <c r="AA28">
        <v>2273002</v>
      </c>
      <c r="AB28">
        <v>67408</v>
      </c>
      <c r="AC28">
        <v>2340410</v>
      </c>
      <c r="AD28">
        <v>216</v>
      </c>
      <c r="AE28">
        <v>6</v>
      </c>
      <c r="AF28">
        <v>222</v>
      </c>
      <c r="AG28">
        <v>2677744</v>
      </c>
      <c r="AH28">
        <v>53147</v>
      </c>
      <c r="AI28">
        <v>2730891</v>
      </c>
      <c r="AJ28">
        <v>11</v>
      </c>
      <c r="AK28">
        <v>816327</v>
      </c>
      <c r="AL28">
        <v>42</v>
      </c>
      <c r="AM28">
        <v>5535244</v>
      </c>
      <c r="AN28">
        <v>8.15</v>
      </c>
      <c r="AO28">
        <v>6.54</v>
      </c>
      <c r="AP28">
        <v>8.0299999999999994</v>
      </c>
      <c r="AQ28">
        <v>8.01</v>
      </c>
      <c r="AR28">
        <v>6.34</v>
      </c>
      <c r="AS28">
        <v>7.87</v>
      </c>
    </row>
    <row r="29" spans="1:45" x14ac:dyDescent="0.25">
      <c r="A29" t="s">
        <v>19802</v>
      </c>
      <c r="B29">
        <v>6828</v>
      </c>
      <c r="C29">
        <v>209404627</v>
      </c>
      <c r="D29">
        <v>8011509</v>
      </c>
      <c r="E29">
        <v>106622</v>
      </c>
      <c r="F29">
        <v>8118131</v>
      </c>
      <c r="G29">
        <v>3.7999999999999999E-2</v>
      </c>
      <c r="H29">
        <v>1E-3</v>
      </c>
      <c r="I29">
        <v>3.9E-2</v>
      </c>
      <c r="J29">
        <v>14235440</v>
      </c>
      <c r="K29">
        <v>1118209</v>
      </c>
      <c r="L29">
        <v>15357225</v>
      </c>
      <c r="M29">
        <v>6.6000000000000003E-2</v>
      </c>
      <c r="N29">
        <v>5.0000000000000001E-3</v>
      </c>
      <c r="O29">
        <v>7.0999999999999994E-2</v>
      </c>
      <c r="P29">
        <v>7126207</v>
      </c>
      <c r="Q29">
        <v>106622</v>
      </c>
      <c r="R29">
        <v>7236405</v>
      </c>
      <c r="S29">
        <v>3.4000000000000002E-2</v>
      </c>
      <c r="T29">
        <v>1E-3</v>
      </c>
      <c r="U29">
        <v>3.5000000000000003E-2</v>
      </c>
      <c r="V29">
        <v>201286496</v>
      </c>
      <c r="W29">
        <v>0.96099999999999997</v>
      </c>
      <c r="X29">
        <v>1372299</v>
      </c>
      <c r="Y29">
        <v>-16317</v>
      </c>
      <c r="Z29">
        <v>1355982</v>
      </c>
      <c r="AA29">
        <v>2953405</v>
      </c>
      <c r="AB29">
        <v>81439</v>
      </c>
      <c r="AC29">
        <v>3034844</v>
      </c>
      <c r="AD29">
        <v>173</v>
      </c>
      <c r="AE29">
        <v>6</v>
      </c>
      <c r="AF29">
        <v>179</v>
      </c>
      <c r="AG29">
        <v>2724141</v>
      </c>
      <c r="AH29">
        <v>167535</v>
      </c>
      <c r="AI29">
        <v>2891676</v>
      </c>
      <c r="AJ29">
        <v>6</v>
      </c>
      <c r="AK29">
        <v>2068560</v>
      </c>
      <c r="AL29">
        <v>39</v>
      </c>
      <c r="AM29">
        <v>5429444</v>
      </c>
      <c r="AN29">
        <v>7.91</v>
      </c>
      <c r="AO29">
        <v>6.01</v>
      </c>
      <c r="AP29">
        <v>7.72</v>
      </c>
      <c r="AQ29">
        <v>7.86</v>
      </c>
      <c r="AR29">
        <v>5.87</v>
      </c>
      <c r="AS29">
        <v>7.63</v>
      </c>
    </row>
    <row r="30" spans="1:45" x14ac:dyDescent="0.25">
      <c r="A30" t="s">
        <v>19803</v>
      </c>
      <c r="B30">
        <v>6823</v>
      </c>
      <c r="C30">
        <v>207336787</v>
      </c>
      <c r="D30">
        <v>7315968</v>
      </c>
      <c r="E30">
        <v>90305</v>
      </c>
      <c r="F30">
        <v>7406273</v>
      </c>
      <c r="G30">
        <v>3.5000000000000003E-2</v>
      </c>
      <c r="H30">
        <v>0</v>
      </c>
      <c r="I30">
        <v>3.5999999999999997E-2</v>
      </c>
      <c r="J30">
        <v>12145462</v>
      </c>
      <c r="K30">
        <v>879471</v>
      </c>
      <c r="L30">
        <v>13009933</v>
      </c>
      <c r="M30">
        <v>5.7000000000000002E-2</v>
      </c>
      <c r="N30">
        <v>4.0000000000000001E-3</v>
      </c>
      <c r="O30">
        <v>6.0999999999999999E-2</v>
      </c>
      <c r="P30">
        <v>6224144</v>
      </c>
      <c r="Q30">
        <v>79505</v>
      </c>
      <c r="R30">
        <v>6303649</v>
      </c>
      <c r="S30">
        <v>0.03</v>
      </c>
      <c r="T30">
        <v>0</v>
      </c>
      <c r="U30">
        <v>0.03</v>
      </c>
      <c r="V30">
        <v>199930514</v>
      </c>
      <c r="W30">
        <v>0.96399999999999997</v>
      </c>
      <c r="X30">
        <v>1106639</v>
      </c>
      <c r="Y30">
        <v>158343</v>
      </c>
      <c r="Z30">
        <v>1264982</v>
      </c>
      <c r="AA30">
        <v>2376676</v>
      </c>
      <c r="AB30">
        <v>202627</v>
      </c>
      <c r="AC30">
        <v>2579303</v>
      </c>
      <c r="AD30">
        <v>161</v>
      </c>
      <c r="AE30">
        <v>9</v>
      </c>
      <c r="AF30">
        <v>170</v>
      </c>
      <c r="AG30">
        <v>2361468</v>
      </c>
      <c r="AH30">
        <v>104004</v>
      </c>
      <c r="AI30">
        <v>2465472</v>
      </c>
      <c r="AJ30">
        <v>14</v>
      </c>
      <c r="AK30">
        <v>1066063</v>
      </c>
      <c r="AL30">
        <v>34</v>
      </c>
      <c r="AM30">
        <v>5222237</v>
      </c>
      <c r="AN30">
        <v>7.8</v>
      </c>
      <c r="AO30">
        <v>6.35</v>
      </c>
      <c r="AP30">
        <v>7.66</v>
      </c>
      <c r="AQ30">
        <v>7.75</v>
      </c>
      <c r="AR30">
        <v>6.18</v>
      </c>
      <c r="AS30">
        <v>7.57</v>
      </c>
    </row>
    <row r="31" spans="1:45" x14ac:dyDescent="0.25">
      <c r="A31" t="s">
        <v>19804</v>
      </c>
      <c r="B31">
        <v>6811</v>
      </c>
      <c r="C31">
        <v>206284038</v>
      </c>
      <c r="D31">
        <v>7369858</v>
      </c>
      <c r="E31">
        <v>248648</v>
      </c>
      <c r="F31">
        <v>7618506</v>
      </c>
      <c r="G31">
        <v>3.5999999999999997E-2</v>
      </c>
      <c r="H31">
        <v>1E-3</v>
      </c>
      <c r="I31">
        <v>3.6999999999999998E-2</v>
      </c>
      <c r="J31">
        <v>12613150</v>
      </c>
      <c r="K31">
        <v>1003182</v>
      </c>
      <c r="L31">
        <v>13596332</v>
      </c>
      <c r="M31">
        <v>0.06</v>
      </c>
      <c r="N31">
        <v>5.0000000000000001E-3</v>
      </c>
      <c r="O31">
        <v>6.4000000000000001E-2</v>
      </c>
      <c r="P31">
        <v>6515063</v>
      </c>
      <c r="Q31">
        <v>76021</v>
      </c>
      <c r="R31">
        <v>6591084</v>
      </c>
      <c r="S31">
        <v>3.2000000000000001E-2</v>
      </c>
      <c r="T31">
        <v>0</v>
      </c>
      <c r="U31">
        <v>3.2000000000000001E-2</v>
      </c>
      <c r="V31">
        <v>198665532</v>
      </c>
      <c r="W31">
        <v>0.96299999999999997</v>
      </c>
      <c r="X31">
        <v>680480</v>
      </c>
      <c r="Y31">
        <v>-14985</v>
      </c>
      <c r="Z31">
        <v>665495</v>
      </c>
      <c r="AA31">
        <v>1783641</v>
      </c>
      <c r="AB31">
        <v>206587</v>
      </c>
      <c r="AC31">
        <v>1990228</v>
      </c>
      <c r="AD31">
        <v>201</v>
      </c>
      <c r="AE31">
        <v>4</v>
      </c>
      <c r="AF31">
        <v>205</v>
      </c>
      <c r="AG31">
        <v>2971458</v>
      </c>
      <c r="AH31">
        <v>61577</v>
      </c>
      <c r="AI31">
        <v>3033035</v>
      </c>
      <c r="AJ31">
        <v>5</v>
      </c>
      <c r="AK31">
        <v>941661</v>
      </c>
      <c r="AL31">
        <v>37</v>
      </c>
      <c r="AM31">
        <v>4752546</v>
      </c>
      <c r="AN31">
        <v>7.9</v>
      </c>
      <c r="AO31">
        <v>6.42</v>
      </c>
      <c r="AP31">
        <v>7.75</v>
      </c>
      <c r="AQ31">
        <v>7.84</v>
      </c>
      <c r="AR31">
        <v>6.33</v>
      </c>
      <c r="AS31">
        <v>7.67</v>
      </c>
    </row>
    <row r="32" spans="1:45" x14ac:dyDescent="0.25">
      <c r="A32" t="s">
        <v>19805</v>
      </c>
      <c r="B32">
        <v>6811</v>
      </c>
      <c r="C32">
        <v>205541267</v>
      </c>
      <c r="D32">
        <v>7307567</v>
      </c>
      <c r="E32">
        <v>233663</v>
      </c>
      <c r="F32">
        <v>7541230</v>
      </c>
      <c r="G32">
        <v>3.5999999999999997E-2</v>
      </c>
      <c r="H32">
        <v>1E-3</v>
      </c>
      <c r="I32">
        <v>3.6999999999999998E-2</v>
      </c>
      <c r="J32">
        <v>10861376</v>
      </c>
      <c r="K32">
        <v>1006403</v>
      </c>
      <c r="L32">
        <v>11867779</v>
      </c>
      <c r="M32">
        <v>5.1999999999999998E-2</v>
      </c>
      <c r="N32">
        <v>5.0000000000000001E-3</v>
      </c>
      <c r="O32">
        <v>5.6000000000000001E-2</v>
      </c>
      <c r="P32">
        <v>6356035</v>
      </c>
      <c r="Q32">
        <v>82653</v>
      </c>
      <c r="R32">
        <v>6450688</v>
      </c>
      <c r="S32">
        <v>3.1E-2</v>
      </c>
      <c r="T32">
        <v>0</v>
      </c>
      <c r="U32">
        <v>3.1E-2</v>
      </c>
      <c r="V32">
        <v>198000037</v>
      </c>
      <c r="W32">
        <v>0.96299999999999997</v>
      </c>
      <c r="X32">
        <v>543478</v>
      </c>
      <c r="Y32">
        <v>-80444</v>
      </c>
      <c r="Z32">
        <v>450528</v>
      </c>
      <c r="AA32">
        <v>2244586</v>
      </c>
      <c r="AB32">
        <v>142987</v>
      </c>
      <c r="AC32">
        <v>2387573</v>
      </c>
      <c r="AD32">
        <v>177</v>
      </c>
      <c r="AE32">
        <v>9</v>
      </c>
      <c r="AF32">
        <v>186</v>
      </c>
      <c r="AG32">
        <v>4251855</v>
      </c>
      <c r="AH32">
        <v>166591</v>
      </c>
      <c r="AI32">
        <v>4418446</v>
      </c>
      <c r="AJ32">
        <v>7</v>
      </c>
      <c r="AK32">
        <v>316577</v>
      </c>
      <c r="AL32">
        <v>36</v>
      </c>
      <c r="AM32">
        <v>4615447</v>
      </c>
      <c r="AN32">
        <v>7.82</v>
      </c>
      <c r="AO32">
        <v>5.87</v>
      </c>
      <c r="AP32">
        <v>7.63</v>
      </c>
      <c r="AQ32">
        <v>7.71</v>
      </c>
      <c r="AR32">
        <v>5.95</v>
      </c>
      <c r="AS32">
        <v>7.53</v>
      </c>
    </row>
    <row r="33" spans="1:45" x14ac:dyDescent="0.25">
      <c r="A33" t="s">
        <v>19806</v>
      </c>
      <c r="B33">
        <v>6807</v>
      </c>
      <c r="C33">
        <v>205308460</v>
      </c>
      <c r="D33">
        <v>7605732</v>
      </c>
      <c r="E33">
        <v>153219</v>
      </c>
      <c r="F33">
        <v>7758951</v>
      </c>
      <c r="G33">
        <v>3.6999999999999998E-2</v>
      </c>
      <c r="H33">
        <v>1E-3</v>
      </c>
      <c r="I33">
        <v>3.7999999999999999E-2</v>
      </c>
      <c r="J33">
        <v>10617196</v>
      </c>
      <c r="K33">
        <v>996267</v>
      </c>
      <c r="L33">
        <v>11613463</v>
      </c>
      <c r="M33">
        <v>5.0999999999999997E-2</v>
      </c>
      <c r="N33">
        <v>5.0000000000000001E-3</v>
      </c>
      <c r="O33">
        <v>5.6000000000000001E-2</v>
      </c>
      <c r="P33">
        <v>6711875</v>
      </c>
      <c r="Q33">
        <v>153219</v>
      </c>
      <c r="R33">
        <v>6865094</v>
      </c>
      <c r="S33">
        <v>3.3000000000000002E-2</v>
      </c>
      <c r="T33">
        <v>1E-3</v>
      </c>
      <c r="U33">
        <v>3.3000000000000002E-2</v>
      </c>
      <c r="V33">
        <v>197549509</v>
      </c>
      <c r="W33">
        <v>0.96199999999999997</v>
      </c>
      <c r="X33">
        <v>1856044</v>
      </c>
      <c r="Y33">
        <v>409934</v>
      </c>
      <c r="Z33">
        <v>2278484</v>
      </c>
      <c r="AA33">
        <v>3590745</v>
      </c>
      <c r="AB33">
        <v>434156</v>
      </c>
      <c r="AC33">
        <v>4024901</v>
      </c>
      <c r="AD33">
        <v>167</v>
      </c>
      <c r="AE33">
        <v>4</v>
      </c>
      <c r="AF33">
        <v>171</v>
      </c>
      <c r="AG33">
        <v>2434596</v>
      </c>
      <c r="AH33">
        <v>110190</v>
      </c>
      <c r="AI33">
        <v>2544786</v>
      </c>
      <c r="AJ33">
        <v>10</v>
      </c>
      <c r="AK33">
        <v>1236020</v>
      </c>
      <c r="AL33">
        <v>31</v>
      </c>
      <c r="AM33">
        <v>3498750</v>
      </c>
      <c r="AN33">
        <v>7.78</v>
      </c>
      <c r="AO33">
        <v>5.83</v>
      </c>
      <c r="AP33">
        <v>7.65</v>
      </c>
      <c r="AQ33">
        <v>7.6</v>
      </c>
      <c r="AR33">
        <v>5.85</v>
      </c>
      <c r="AS33">
        <v>7.49</v>
      </c>
    </row>
    <row r="34" spans="1:45" x14ac:dyDescent="0.25">
      <c r="A34" t="s">
        <v>19807</v>
      </c>
      <c r="B34">
        <v>6798</v>
      </c>
      <c r="C34">
        <v>204254440</v>
      </c>
      <c r="D34">
        <v>8420262</v>
      </c>
      <c r="E34">
        <v>563153</v>
      </c>
      <c r="F34">
        <v>8983415</v>
      </c>
      <c r="G34">
        <v>4.1000000000000002E-2</v>
      </c>
      <c r="H34">
        <v>3.0000000000000001E-3</v>
      </c>
      <c r="I34">
        <v>4.3999999999999997E-2</v>
      </c>
      <c r="J34">
        <v>10991840</v>
      </c>
      <c r="K34">
        <v>1414411</v>
      </c>
      <c r="L34">
        <v>12377838</v>
      </c>
      <c r="M34">
        <v>5.2999999999999999E-2</v>
      </c>
      <c r="N34">
        <v>7.0000000000000001E-3</v>
      </c>
      <c r="O34">
        <v>0.06</v>
      </c>
      <c r="P34">
        <v>6500395</v>
      </c>
      <c r="Q34">
        <v>478532</v>
      </c>
      <c r="R34">
        <v>6978927</v>
      </c>
      <c r="S34">
        <v>3.2000000000000001E-2</v>
      </c>
      <c r="T34">
        <v>2E-3</v>
      </c>
      <c r="U34">
        <v>3.4000000000000002E-2</v>
      </c>
      <c r="V34">
        <v>195271025</v>
      </c>
      <c r="W34">
        <v>0.95599999999999996</v>
      </c>
      <c r="X34">
        <v>757216</v>
      </c>
      <c r="Y34">
        <v>61435</v>
      </c>
      <c r="Z34">
        <v>818651</v>
      </c>
      <c r="AA34">
        <v>2797615</v>
      </c>
      <c r="AB34">
        <v>151622</v>
      </c>
      <c r="AC34">
        <v>2949237</v>
      </c>
      <c r="AD34">
        <v>165</v>
      </c>
      <c r="AE34">
        <v>4</v>
      </c>
      <c r="AF34">
        <v>169</v>
      </c>
      <c r="AG34">
        <v>2485090</v>
      </c>
      <c r="AH34">
        <v>92646</v>
      </c>
      <c r="AI34">
        <v>2577736</v>
      </c>
      <c r="AJ34">
        <v>9</v>
      </c>
      <c r="AK34">
        <v>1532770</v>
      </c>
      <c r="AL34">
        <v>27</v>
      </c>
      <c r="AM34">
        <v>3203689</v>
      </c>
      <c r="AN34">
        <v>7.57</v>
      </c>
      <c r="AO34">
        <v>5.76</v>
      </c>
      <c r="AP34">
        <v>7.43</v>
      </c>
      <c r="AQ34">
        <v>7.42</v>
      </c>
      <c r="AR34">
        <v>5.78</v>
      </c>
      <c r="AS34">
        <v>7.3</v>
      </c>
    </row>
    <row r="35" spans="1:45" x14ac:dyDescent="0.25">
      <c r="A35" t="s">
        <v>19808</v>
      </c>
      <c r="B35">
        <v>6794</v>
      </c>
      <c r="C35">
        <v>202950252</v>
      </c>
      <c r="D35">
        <v>7873290</v>
      </c>
      <c r="E35">
        <v>624588</v>
      </c>
      <c r="F35">
        <v>8497878</v>
      </c>
      <c r="G35">
        <v>3.9E-2</v>
      </c>
      <c r="H35">
        <v>3.0000000000000001E-3</v>
      </c>
      <c r="I35">
        <v>4.2000000000000003E-2</v>
      </c>
      <c r="J35">
        <v>10796049</v>
      </c>
      <c r="K35">
        <v>1667009</v>
      </c>
      <c r="L35">
        <v>12333245</v>
      </c>
      <c r="M35">
        <v>5.1999999999999998E-2</v>
      </c>
      <c r="N35">
        <v>8.0000000000000002E-3</v>
      </c>
      <c r="O35">
        <v>0.06</v>
      </c>
      <c r="P35">
        <v>6230423</v>
      </c>
      <c r="Q35">
        <v>588516</v>
      </c>
      <c r="R35">
        <v>6818939</v>
      </c>
      <c r="S35">
        <v>3.1E-2</v>
      </c>
      <c r="T35">
        <v>3.0000000000000001E-3</v>
      </c>
      <c r="U35">
        <v>3.4000000000000002E-2</v>
      </c>
      <c r="V35">
        <v>194452374</v>
      </c>
      <c r="W35">
        <v>0.95799999999999996</v>
      </c>
      <c r="X35">
        <v>578602</v>
      </c>
      <c r="Y35">
        <v>21183</v>
      </c>
      <c r="Z35">
        <v>599785</v>
      </c>
      <c r="AA35">
        <v>2665505</v>
      </c>
      <c r="AB35">
        <v>166376</v>
      </c>
      <c r="AC35">
        <v>2831881</v>
      </c>
      <c r="AD35">
        <v>214</v>
      </c>
      <c r="AE35">
        <v>12</v>
      </c>
      <c r="AF35">
        <v>226</v>
      </c>
      <c r="AG35">
        <v>3431249</v>
      </c>
      <c r="AH35">
        <v>609409</v>
      </c>
      <c r="AI35">
        <v>4040658</v>
      </c>
      <c r="AJ35">
        <v>12</v>
      </c>
      <c r="AK35">
        <v>1454185</v>
      </c>
      <c r="AL35">
        <v>28</v>
      </c>
      <c r="AM35">
        <v>3440891</v>
      </c>
      <c r="AN35">
        <v>7.53</v>
      </c>
      <c r="AO35">
        <v>5.67</v>
      </c>
      <c r="AP35">
        <v>7.38</v>
      </c>
      <c r="AQ35">
        <v>7.39</v>
      </c>
      <c r="AR35">
        <v>5.42</v>
      </c>
      <c r="AS35">
        <v>7.23</v>
      </c>
    </row>
    <row r="36" spans="1:45" x14ac:dyDescent="0.25">
      <c r="A36" t="s">
        <v>19809</v>
      </c>
      <c r="B36">
        <v>6790</v>
      </c>
      <c r="C36">
        <v>201595490</v>
      </c>
      <c r="D36">
        <v>7100225</v>
      </c>
      <c r="E36">
        <v>645771</v>
      </c>
      <c r="F36">
        <v>7745996</v>
      </c>
      <c r="G36">
        <v>3.5000000000000003E-2</v>
      </c>
      <c r="H36">
        <v>3.0000000000000001E-3</v>
      </c>
      <c r="I36">
        <v>3.7999999999999999E-2</v>
      </c>
      <c r="J36">
        <v>10966837</v>
      </c>
      <c r="K36">
        <v>1680924</v>
      </c>
      <c r="L36">
        <v>12526076</v>
      </c>
      <c r="M36">
        <v>5.2999999999999999E-2</v>
      </c>
      <c r="N36">
        <v>8.0000000000000002E-3</v>
      </c>
      <c r="O36">
        <v>6.0999999999999999E-2</v>
      </c>
      <c r="P36">
        <v>5659803</v>
      </c>
      <c r="Q36">
        <v>645771</v>
      </c>
      <c r="R36">
        <v>6305574</v>
      </c>
      <c r="S36">
        <v>2.8000000000000001E-2</v>
      </c>
      <c r="T36">
        <v>3.0000000000000001E-3</v>
      </c>
      <c r="U36">
        <v>3.1E-2</v>
      </c>
      <c r="V36">
        <v>193849494</v>
      </c>
      <c r="W36">
        <v>0.96199999999999997</v>
      </c>
      <c r="X36">
        <v>143172</v>
      </c>
      <c r="Y36">
        <v>-54631</v>
      </c>
      <c r="Z36">
        <v>88541</v>
      </c>
      <c r="AA36">
        <v>1546490</v>
      </c>
      <c r="AB36">
        <v>150668</v>
      </c>
      <c r="AC36">
        <v>1697158</v>
      </c>
      <c r="AD36">
        <v>177</v>
      </c>
      <c r="AE36">
        <v>6</v>
      </c>
      <c r="AF36">
        <v>183</v>
      </c>
      <c r="AG36">
        <v>3990817</v>
      </c>
      <c r="AH36">
        <v>66033</v>
      </c>
      <c r="AI36">
        <v>4056850</v>
      </c>
      <c r="AJ36">
        <v>15</v>
      </c>
      <c r="AK36">
        <v>967728</v>
      </c>
      <c r="AL36">
        <v>34</v>
      </c>
      <c r="AM36">
        <v>4683450</v>
      </c>
      <c r="AN36">
        <v>7.29</v>
      </c>
      <c r="AO36">
        <v>5.73</v>
      </c>
      <c r="AP36">
        <v>7.18</v>
      </c>
      <c r="AQ36">
        <v>7.09</v>
      </c>
      <c r="AR36">
        <v>5.51</v>
      </c>
      <c r="AS36">
        <v>6.99</v>
      </c>
    </row>
    <row r="37" spans="1:45" x14ac:dyDescent="0.25">
      <c r="A37" t="s">
        <v>19810</v>
      </c>
      <c r="B37">
        <v>6777</v>
      </c>
      <c r="C37">
        <v>200643027</v>
      </c>
      <c r="D37">
        <v>6313506</v>
      </c>
      <c r="E37">
        <v>591140</v>
      </c>
      <c r="F37">
        <v>6904646</v>
      </c>
      <c r="G37">
        <v>3.1E-2</v>
      </c>
      <c r="H37">
        <v>3.0000000000000001E-3</v>
      </c>
      <c r="I37">
        <v>3.4000000000000002E-2</v>
      </c>
      <c r="J37">
        <v>10695765</v>
      </c>
      <c r="K37">
        <v>1525618</v>
      </c>
      <c r="L37">
        <v>12163547</v>
      </c>
      <c r="M37">
        <v>5.1999999999999998E-2</v>
      </c>
      <c r="N37">
        <v>7.0000000000000001E-3</v>
      </c>
      <c r="O37">
        <v>5.8999999999999997E-2</v>
      </c>
      <c r="P37">
        <v>5664076</v>
      </c>
      <c r="Q37">
        <v>514554</v>
      </c>
      <c r="R37">
        <v>6178630</v>
      </c>
      <c r="S37">
        <v>2.8000000000000001E-2</v>
      </c>
      <c r="T37">
        <v>3.0000000000000001E-3</v>
      </c>
      <c r="U37">
        <v>3.1E-2</v>
      </c>
      <c r="V37">
        <v>193738381</v>
      </c>
      <c r="W37">
        <v>0.96599999999999997</v>
      </c>
      <c r="X37">
        <v>914558</v>
      </c>
      <c r="Y37">
        <v>-64396</v>
      </c>
      <c r="Z37">
        <v>850162</v>
      </c>
      <c r="AA37">
        <v>2258050</v>
      </c>
      <c r="AB37">
        <v>1530</v>
      </c>
      <c r="AC37">
        <v>2259580</v>
      </c>
      <c r="AD37">
        <v>158</v>
      </c>
      <c r="AE37">
        <v>5</v>
      </c>
      <c r="AF37">
        <v>163</v>
      </c>
      <c r="AG37">
        <v>3743611</v>
      </c>
      <c r="AH37">
        <v>321042</v>
      </c>
      <c r="AI37">
        <v>4064653</v>
      </c>
      <c r="AJ37">
        <v>9</v>
      </c>
      <c r="AK37">
        <v>1230041</v>
      </c>
      <c r="AL37">
        <v>40</v>
      </c>
      <c r="AM37">
        <v>4838841</v>
      </c>
      <c r="AN37">
        <v>7.36</v>
      </c>
      <c r="AO37">
        <v>5.1100000000000003</v>
      </c>
      <c r="AP37">
        <v>7.11</v>
      </c>
      <c r="AQ37">
        <v>7.17</v>
      </c>
      <c r="AR37">
        <v>4.97</v>
      </c>
      <c r="AS37">
        <v>6.91</v>
      </c>
    </row>
    <row r="38" spans="1:45" x14ac:dyDescent="0.25">
      <c r="A38" t="s">
        <v>19811</v>
      </c>
      <c r="B38">
        <v>6773</v>
      </c>
      <c r="C38">
        <v>199470339</v>
      </c>
      <c r="D38">
        <v>6055376</v>
      </c>
      <c r="E38">
        <v>526744</v>
      </c>
      <c r="F38">
        <v>6582120</v>
      </c>
      <c r="G38">
        <v>0.03</v>
      </c>
      <c r="H38">
        <v>3.0000000000000001E-3</v>
      </c>
      <c r="I38">
        <v>3.3000000000000002E-2</v>
      </c>
      <c r="J38">
        <v>11274658</v>
      </c>
      <c r="K38">
        <v>1239560</v>
      </c>
      <c r="L38">
        <v>12498533</v>
      </c>
      <c r="M38">
        <v>5.5E-2</v>
      </c>
      <c r="N38">
        <v>6.0000000000000001E-3</v>
      </c>
      <c r="O38">
        <v>6.0999999999999999E-2</v>
      </c>
      <c r="P38">
        <v>5223987</v>
      </c>
      <c r="Q38">
        <v>526744</v>
      </c>
      <c r="R38">
        <v>5750731</v>
      </c>
      <c r="S38">
        <v>2.5999999999999999E-2</v>
      </c>
      <c r="T38">
        <v>3.0000000000000001E-3</v>
      </c>
      <c r="U38">
        <v>2.9000000000000001E-2</v>
      </c>
      <c r="V38">
        <v>192888219</v>
      </c>
      <c r="W38">
        <v>0.96699999999999997</v>
      </c>
      <c r="X38">
        <v>563989</v>
      </c>
      <c r="Y38">
        <v>-115163</v>
      </c>
      <c r="Z38">
        <v>448826</v>
      </c>
      <c r="AA38">
        <v>1707831</v>
      </c>
      <c r="AB38">
        <v>46205</v>
      </c>
      <c r="AC38">
        <v>1754036</v>
      </c>
      <c r="AD38">
        <v>166</v>
      </c>
      <c r="AE38">
        <v>8</v>
      </c>
      <c r="AF38">
        <v>174</v>
      </c>
      <c r="AG38">
        <v>2900272</v>
      </c>
      <c r="AH38">
        <v>189262</v>
      </c>
      <c r="AI38">
        <v>3089534</v>
      </c>
      <c r="AJ38">
        <v>12</v>
      </c>
      <c r="AK38">
        <v>1044320</v>
      </c>
      <c r="AL38">
        <v>39</v>
      </c>
      <c r="AM38">
        <v>4272846</v>
      </c>
      <c r="AN38">
        <v>7.24</v>
      </c>
      <c r="AO38">
        <v>5.1100000000000003</v>
      </c>
      <c r="AP38">
        <v>6.99</v>
      </c>
      <c r="AQ38">
        <v>7.04</v>
      </c>
      <c r="AR38">
        <v>5.0999999999999996</v>
      </c>
      <c r="AS38">
        <v>6.8</v>
      </c>
    </row>
    <row r="39" spans="1:45" x14ac:dyDescent="0.25">
      <c r="A39" t="s">
        <v>19812</v>
      </c>
      <c r="B39">
        <v>6765</v>
      </c>
      <c r="C39">
        <v>198648889</v>
      </c>
      <c r="D39">
        <v>5797587</v>
      </c>
      <c r="E39">
        <v>411581</v>
      </c>
      <c r="F39">
        <v>6209168</v>
      </c>
      <c r="G39">
        <v>2.9000000000000001E-2</v>
      </c>
      <c r="H39">
        <v>2E-3</v>
      </c>
      <c r="I39">
        <v>3.1E-2</v>
      </c>
      <c r="J39">
        <v>10781567</v>
      </c>
      <c r="K39">
        <v>1263377</v>
      </c>
      <c r="L39">
        <v>12497344</v>
      </c>
      <c r="M39">
        <v>5.2999999999999999E-2</v>
      </c>
      <c r="N39">
        <v>6.0000000000000001E-3</v>
      </c>
      <c r="O39">
        <v>6.2E-2</v>
      </c>
      <c r="P39">
        <v>4778650</v>
      </c>
      <c r="Q39">
        <v>405041</v>
      </c>
      <c r="R39">
        <v>5183691</v>
      </c>
      <c r="S39">
        <v>2.4E-2</v>
      </c>
      <c r="T39">
        <v>2E-3</v>
      </c>
      <c r="U39">
        <v>2.5999999999999999E-2</v>
      </c>
      <c r="V39">
        <v>192439721</v>
      </c>
      <c r="W39">
        <v>0.96899999999999997</v>
      </c>
      <c r="X39">
        <v>960048</v>
      </c>
      <c r="Y39">
        <v>159077</v>
      </c>
      <c r="Z39">
        <v>1119125</v>
      </c>
      <c r="AA39">
        <v>2160208</v>
      </c>
      <c r="AB39">
        <v>257722</v>
      </c>
      <c r="AC39">
        <v>2417930</v>
      </c>
      <c r="AD39">
        <v>170</v>
      </c>
      <c r="AE39">
        <v>4</v>
      </c>
      <c r="AF39">
        <v>174</v>
      </c>
      <c r="AG39">
        <v>3090082</v>
      </c>
      <c r="AH39">
        <v>193628</v>
      </c>
      <c r="AI39">
        <v>3283710</v>
      </c>
      <c r="AJ39">
        <v>8</v>
      </c>
      <c r="AK39">
        <v>1646590</v>
      </c>
      <c r="AL39">
        <v>30</v>
      </c>
      <c r="AM39">
        <v>3251017</v>
      </c>
      <c r="AN39">
        <v>7.42</v>
      </c>
      <c r="AO39">
        <v>5.08</v>
      </c>
      <c r="AP39">
        <v>7.12</v>
      </c>
      <c r="AQ39">
        <v>7.26</v>
      </c>
      <c r="AR39">
        <v>5.05</v>
      </c>
      <c r="AS39">
        <v>6.96</v>
      </c>
    </row>
    <row r="40" spans="1:45" x14ac:dyDescent="0.25">
      <c r="A40" t="s">
        <v>19813</v>
      </c>
      <c r="B40">
        <v>6767</v>
      </c>
      <c r="C40">
        <v>197254778</v>
      </c>
      <c r="D40">
        <v>5363524</v>
      </c>
      <c r="E40">
        <v>570658</v>
      </c>
      <c r="F40">
        <v>5934182</v>
      </c>
      <c r="G40">
        <v>2.7E-2</v>
      </c>
      <c r="H40">
        <v>3.0000000000000001E-3</v>
      </c>
      <c r="I40">
        <v>0.03</v>
      </c>
      <c r="J40">
        <v>10431571</v>
      </c>
      <c r="K40">
        <v>1170010</v>
      </c>
      <c r="L40">
        <v>11601581</v>
      </c>
      <c r="M40">
        <v>5.1999999999999998E-2</v>
      </c>
      <c r="N40">
        <v>6.0000000000000001E-3</v>
      </c>
      <c r="O40">
        <v>5.8000000000000003E-2</v>
      </c>
      <c r="P40">
        <v>4321626</v>
      </c>
      <c r="Q40">
        <v>557986</v>
      </c>
      <c r="R40">
        <v>4879612</v>
      </c>
      <c r="S40">
        <v>2.1999999999999999E-2</v>
      </c>
      <c r="T40">
        <v>3.0000000000000001E-3</v>
      </c>
      <c r="U40">
        <v>2.5000000000000001E-2</v>
      </c>
      <c r="V40">
        <v>191320596</v>
      </c>
      <c r="W40">
        <v>0.97</v>
      </c>
      <c r="X40">
        <v>-361064</v>
      </c>
      <c r="Y40">
        <v>-61280</v>
      </c>
      <c r="Z40">
        <v>-422344</v>
      </c>
      <c r="AA40">
        <v>1277555</v>
      </c>
      <c r="AB40">
        <v>181270</v>
      </c>
      <c r="AC40">
        <v>1458825</v>
      </c>
      <c r="AD40">
        <v>171</v>
      </c>
      <c r="AE40">
        <v>11</v>
      </c>
      <c r="AF40">
        <v>182</v>
      </c>
      <c r="AG40">
        <v>2897356</v>
      </c>
      <c r="AH40">
        <v>273124</v>
      </c>
      <c r="AI40">
        <v>3170480</v>
      </c>
      <c r="AJ40">
        <v>4</v>
      </c>
      <c r="AK40">
        <v>122285</v>
      </c>
      <c r="AL40">
        <v>29</v>
      </c>
      <c r="AM40">
        <v>4511349</v>
      </c>
      <c r="AN40">
        <v>7.4</v>
      </c>
      <c r="AO40">
        <v>4.91</v>
      </c>
      <c r="AP40">
        <v>7.02</v>
      </c>
      <c r="AQ40">
        <v>7.26</v>
      </c>
      <c r="AR40">
        <v>4.9000000000000004</v>
      </c>
      <c r="AS40">
        <v>6.88</v>
      </c>
    </row>
    <row r="41" spans="1:45" x14ac:dyDescent="0.25">
      <c r="A41" t="s">
        <v>19814</v>
      </c>
      <c r="B41">
        <v>6768</v>
      </c>
      <c r="C41">
        <v>197474287</v>
      </c>
      <c r="D41">
        <v>5221969</v>
      </c>
      <c r="E41">
        <v>509378</v>
      </c>
      <c r="F41">
        <v>5731347</v>
      </c>
      <c r="G41">
        <v>2.5999999999999999E-2</v>
      </c>
      <c r="H41">
        <v>3.0000000000000001E-3</v>
      </c>
      <c r="I41">
        <v>2.9000000000000001E-2</v>
      </c>
      <c r="J41">
        <v>9558736</v>
      </c>
      <c r="K41">
        <v>1095123</v>
      </c>
      <c r="L41">
        <v>10680748</v>
      </c>
      <c r="M41">
        <v>4.8000000000000001E-2</v>
      </c>
      <c r="N41">
        <v>5.0000000000000001E-3</v>
      </c>
      <c r="O41">
        <v>5.2999999999999999E-2</v>
      </c>
      <c r="P41">
        <v>4006255</v>
      </c>
      <c r="Q41">
        <v>424180</v>
      </c>
      <c r="R41">
        <v>4430435</v>
      </c>
      <c r="S41">
        <v>0.02</v>
      </c>
      <c r="T41">
        <v>2E-3</v>
      </c>
      <c r="U41">
        <v>2.1999999999999999E-2</v>
      </c>
      <c r="V41">
        <v>191742940</v>
      </c>
      <c r="W41">
        <v>0.97099999999999997</v>
      </c>
      <c r="X41">
        <v>202822</v>
      </c>
      <c r="Y41">
        <v>-30344</v>
      </c>
      <c r="Z41">
        <v>172478</v>
      </c>
      <c r="AA41">
        <v>1823111</v>
      </c>
      <c r="AB41">
        <v>141641</v>
      </c>
      <c r="AC41">
        <v>1964752</v>
      </c>
      <c r="AD41">
        <v>156</v>
      </c>
      <c r="AE41">
        <v>7</v>
      </c>
      <c r="AF41">
        <v>163</v>
      </c>
      <c r="AG41">
        <v>2773181</v>
      </c>
      <c r="AH41">
        <v>144418</v>
      </c>
      <c r="AI41">
        <v>2917599</v>
      </c>
      <c r="AJ41">
        <v>6</v>
      </c>
      <c r="AK41">
        <v>506821</v>
      </c>
      <c r="AL41">
        <v>23</v>
      </c>
      <c r="AM41">
        <v>3227299</v>
      </c>
      <c r="AN41">
        <v>6.97</v>
      </c>
      <c r="AO41">
        <v>4.87</v>
      </c>
      <c r="AP41">
        <v>6.66</v>
      </c>
      <c r="AQ41">
        <v>6.81</v>
      </c>
      <c r="AR41">
        <v>4.63</v>
      </c>
      <c r="AS41">
        <v>6.48</v>
      </c>
    </row>
    <row r="42" spans="1:45" x14ac:dyDescent="0.25">
      <c r="A42" t="s">
        <v>19815</v>
      </c>
      <c r="B42">
        <v>6773</v>
      </c>
      <c r="C42">
        <v>197152160</v>
      </c>
      <c r="D42">
        <v>5102664</v>
      </c>
      <c r="E42">
        <v>479034</v>
      </c>
      <c r="F42">
        <v>5581698</v>
      </c>
      <c r="G42">
        <v>2.5999999999999999E-2</v>
      </c>
      <c r="H42">
        <v>2E-3</v>
      </c>
      <c r="I42">
        <v>2.8000000000000001E-2</v>
      </c>
      <c r="J42">
        <v>9175999</v>
      </c>
      <c r="K42">
        <v>1236649</v>
      </c>
      <c r="L42">
        <v>10404815</v>
      </c>
      <c r="M42">
        <v>4.5999999999999999E-2</v>
      </c>
      <c r="N42">
        <v>6.0000000000000001E-3</v>
      </c>
      <c r="O42">
        <v>5.1999999999999998E-2</v>
      </c>
      <c r="P42">
        <v>4001243</v>
      </c>
      <c r="Q42">
        <v>479034</v>
      </c>
      <c r="R42">
        <v>4480277</v>
      </c>
      <c r="S42">
        <v>0.02</v>
      </c>
      <c r="T42">
        <v>2E-3</v>
      </c>
      <c r="U42">
        <v>2.3E-2</v>
      </c>
      <c r="V42">
        <v>191570462</v>
      </c>
      <c r="W42">
        <v>0.97199999999999998</v>
      </c>
      <c r="X42">
        <v>599750</v>
      </c>
      <c r="Y42">
        <v>19441</v>
      </c>
      <c r="Z42">
        <v>619191</v>
      </c>
      <c r="AA42">
        <v>2006066</v>
      </c>
      <c r="AB42">
        <v>19441</v>
      </c>
      <c r="AC42">
        <v>2025507</v>
      </c>
      <c r="AD42">
        <v>156</v>
      </c>
      <c r="AE42">
        <v>4</v>
      </c>
      <c r="AF42">
        <v>160</v>
      </c>
      <c r="AG42">
        <v>2562247</v>
      </c>
      <c r="AH42">
        <v>143100</v>
      </c>
      <c r="AI42">
        <v>2705347</v>
      </c>
      <c r="AJ42">
        <v>2</v>
      </c>
      <c r="AK42">
        <v>357840</v>
      </c>
      <c r="AL42">
        <v>19</v>
      </c>
      <c r="AM42">
        <v>2320245</v>
      </c>
      <c r="AN42">
        <v>6.84</v>
      </c>
      <c r="AO42">
        <v>4.9400000000000004</v>
      </c>
      <c r="AP42">
        <v>6.61</v>
      </c>
      <c r="AQ42">
        <v>6.67</v>
      </c>
      <c r="AR42">
        <v>4.63</v>
      </c>
      <c r="AS42">
        <v>6.43</v>
      </c>
    </row>
    <row r="43" spans="1:45" x14ac:dyDescent="0.25">
      <c r="A43" t="s">
        <v>19816</v>
      </c>
      <c r="B43">
        <v>6771</v>
      </c>
      <c r="C43">
        <v>196794320</v>
      </c>
      <c r="D43">
        <v>5344574</v>
      </c>
      <c r="E43">
        <v>498475</v>
      </c>
      <c r="F43">
        <v>5843049</v>
      </c>
      <c r="G43">
        <v>2.7E-2</v>
      </c>
      <c r="H43">
        <v>3.0000000000000001E-3</v>
      </c>
      <c r="I43">
        <v>0.03</v>
      </c>
      <c r="J43">
        <v>8355964</v>
      </c>
      <c r="K43">
        <v>1080685</v>
      </c>
      <c r="L43">
        <v>9436649</v>
      </c>
      <c r="M43">
        <v>4.2000000000000003E-2</v>
      </c>
      <c r="N43">
        <v>5.0000000000000001E-3</v>
      </c>
      <c r="O43">
        <v>4.8000000000000001E-2</v>
      </c>
      <c r="P43">
        <v>4140720</v>
      </c>
      <c r="Q43">
        <v>498475</v>
      </c>
      <c r="R43">
        <v>4639195</v>
      </c>
      <c r="S43">
        <v>2.1000000000000001E-2</v>
      </c>
      <c r="T43">
        <v>3.0000000000000001E-3</v>
      </c>
      <c r="U43">
        <v>2.4E-2</v>
      </c>
      <c r="V43">
        <v>190951271</v>
      </c>
      <c r="W43">
        <v>0.97</v>
      </c>
      <c r="X43">
        <v>767090</v>
      </c>
      <c r="Y43">
        <v>-79179</v>
      </c>
      <c r="Z43">
        <v>687911</v>
      </c>
      <c r="AA43">
        <v>1919713</v>
      </c>
      <c r="AB43">
        <v>19875</v>
      </c>
      <c r="AC43">
        <v>1939588</v>
      </c>
      <c r="AD43">
        <v>166</v>
      </c>
      <c r="AE43">
        <v>5</v>
      </c>
      <c r="AF43">
        <v>171</v>
      </c>
      <c r="AG43">
        <v>3389548</v>
      </c>
      <c r="AH43">
        <v>154893</v>
      </c>
      <c r="AI43">
        <v>3544441</v>
      </c>
      <c r="AJ43">
        <v>6</v>
      </c>
      <c r="AK43">
        <v>547011</v>
      </c>
      <c r="AL43">
        <v>13</v>
      </c>
      <c r="AM43">
        <v>1223574</v>
      </c>
      <c r="AN43">
        <v>6.63</v>
      </c>
      <c r="AO43">
        <v>5.36</v>
      </c>
      <c r="AP43">
        <v>6.48</v>
      </c>
      <c r="AQ43">
        <v>6.48</v>
      </c>
      <c r="AR43">
        <v>5.23</v>
      </c>
      <c r="AS43">
        <v>6.34</v>
      </c>
    </row>
    <row r="44" spans="1:45" x14ac:dyDescent="0.25">
      <c r="A44" t="s">
        <v>19817</v>
      </c>
      <c r="B44">
        <v>6769</v>
      </c>
      <c r="C44">
        <v>196333351</v>
      </c>
      <c r="D44">
        <v>5650695</v>
      </c>
      <c r="E44">
        <v>419296</v>
      </c>
      <c r="F44">
        <v>6069991</v>
      </c>
      <c r="G44">
        <v>2.9000000000000001E-2</v>
      </c>
      <c r="H44">
        <v>2E-3</v>
      </c>
      <c r="I44">
        <v>3.1E-2</v>
      </c>
      <c r="J44">
        <v>8761876</v>
      </c>
      <c r="K44">
        <v>1178297</v>
      </c>
      <c r="L44">
        <v>9930173</v>
      </c>
      <c r="M44">
        <v>4.3999999999999997E-2</v>
      </c>
      <c r="N44">
        <v>6.0000000000000001E-3</v>
      </c>
      <c r="O44">
        <v>0.05</v>
      </c>
      <c r="P44">
        <v>4393336</v>
      </c>
      <c r="Q44">
        <v>401796</v>
      </c>
      <c r="R44">
        <v>4795132</v>
      </c>
      <c r="S44">
        <v>2.1999999999999999E-2</v>
      </c>
      <c r="T44">
        <v>2E-3</v>
      </c>
      <c r="U44">
        <v>2.4E-2</v>
      </c>
      <c r="V44">
        <v>190263360</v>
      </c>
      <c r="W44">
        <v>0.96899999999999997</v>
      </c>
      <c r="X44">
        <v>841601</v>
      </c>
      <c r="Y44">
        <v>28087</v>
      </c>
      <c r="Z44">
        <v>869688</v>
      </c>
      <c r="AA44">
        <v>1786489</v>
      </c>
      <c r="AB44">
        <v>61481</v>
      </c>
      <c r="AC44">
        <v>1847970</v>
      </c>
      <c r="AD44">
        <v>161</v>
      </c>
      <c r="AE44">
        <v>4</v>
      </c>
      <c r="AF44">
        <v>165</v>
      </c>
      <c r="AG44">
        <v>3463680</v>
      </c>
      <c r="AH44">
        <v>108797</v>
      </c>
      <c r="AI44">
        <v>3572477</v>
      </c>
      <c r="AJ44">
        <v>7</v>
      </c>
      <c r="AK44">
        <v>777838</v>
      </c>
      <c r="AL44">
        <v>13</v>
      </c>
      <c r="AM44">
        <v>1464789</v>
      </c>
      <c r="AN44">
        <v>6.57</v>
      </c>
      <c r="AO44">
        <v>5.35</v>
      </c>
      <c r="AP44">
        <v>6.43</v>
      </c>
      <c r="AQ44">
        <v>6.35</v>
      </c>
      <c r="AR44">
        <v>5.07</v>
      </c>
      <c r="AS44">
        <v>6.2</v>
      </c>
    </row>
    <row r="45" spans="1:45" x14ac:dyDescent="0.25">
      <c r="A45" t="s">
        <v>19818</v>
      </c>
      <c r="B45">
        <v>6763</v>
      </c>
      <c r="C45">
        <v>195557311</v>
      </c>
      <c r="D45">
        <v>5716256</v>
      </c>
      <c r="E45">
        <v>447383</v>
      </c>
      <c r="F45">
        <v>6163639</v>
      </c>
      <c r="G45">
        <v>2.9000000000000001E-2</v>
      </c>
      <c r="H45">
        <v>2E-3</v>
      </c>
      <c r="I45">
        <v>3.2000000000000001E-2</v>
      </c>
      <c r="J45">
        <v>10359050</v>
      </c>
      <c r="K45">
        <v>968769</v>
      </c>
      <c r="L45">
        <v>11417504</v>
      </c>
      <c r="M45">
        <v>5.1999999999999998E-2</v>
      </c>
      <c r="N45">
        <v>5.0000000000000001E-3</v>
      </c>
      <c r="O45">
        <v>5.8000000000000003E-2</v>
      </c>
      <c r="P45">
        <v>5025746</v>
      </c>
      <c r="Q45">
        <v>447383</v>
      </c>
      <c r="R45">
        <v>5473129</v>
      </c>
      <c r="S45">
        <v>2.5999999999999999E-2</v>
      </c>
      <c r="T45">
        <v>2E-3</v>
      </c>
      <c r="U45">
        <v>2.8000000000000001E-2</v>
      </c>
      <c r="V45">
        <v>189393672</v>
      </c>
      <c r="W45">
        <v>0.96799999999999997</v>
      </c>
      <c r="X45">
        <v>1536398</v>
      </c>
      <c r="Y45">
        <v>33138</v>
      </c>
      <c r="Z45">
        <v>1569536</v>
      </c>
      <c r="AA45">
        <v>2017893</v>
      </c>
      <c r="AB45">
        <v>39243</v>
      </c>
      <c r="AC45">
        <v>2057136</v>
      </c>
      <c r="AD45">
        <v>139</v>
      </c>
      <c r="AE45">
        <v>6</v>
      </c>
      <c r="AF45">
        <v>145</v>
      </c>
      <c r="AG45">
        <v>2285266</v>
      </c>
      <c r="AH45">
        <v>70612</v>
      </c>
      <c r="AI45">
        <v>2355878</v>
      </c>
      <c r="AJ45">
        <v>5</v>
      </c>
      <c r="AK45">
        <v>514886</v>
      </c>
      <c r="AL45">
        <v>16</v>
      </c>
      <c r="AM45">
        <v>1787414</v>
      </c>
      <c r="AN45">
        <v>6.17</v>
      </c>
      <c r="AO45">
        <v>5.15</v>
      </c>
      <c r="AP45">
        <v>6.08</v>
      </c>
      <c r="AQ45">
        <v>5.95</v>
      </c>
      <c r="AR45">
        <v>4.8</v>
      </c>
      <c r="AS45">
        <v>5.86</v>
      </c>
    </row>
    <row r="46" spans="1:45" x14ac:dyDescent="0.25">
      <c r="A46" t="s">
        <v>19819</v>
      </c>
      <c r="B46">
        <v>6760</v>
      </c>
      <c r="C46">
        <v>195226807</v>
      </c>
      <c r="D46">
        <v>6922150</v>
      </c>
      <c r="E46">
        <v>480521</v>
      </c>
      <c r="F46">
        <v>7402671</v>
      </c>
      <c r="G46">
        <v>3.5000000000000003E-2</v>
      </c>
      <c r="H46">
        <v>2E-3</v>
      </c>
      <c r="I46">
        <v>3.7999999999999999E-2</v>
      </c>
      <c r="J46">
        <v>11734085</v>
      </c>
      <c r="K46">
        <v>932670</v>
      </c>
      <c r="L46">
        <v>12652460</v>
      </c>
      <c r="M46">
        <v>5.8999999999999997E-2</v>
      </c>
      <c r="N46">
        <v>5.0000000000000001E-3</v>
      </c>
      <c r="O46">
        <v>6.4000000000000001E-2</v>
      </c>
      <c r="P46">
        <v>5927222</v>
      </c>
      <c r="Q46">
        <v>455378</v>
      </c>
      <c r="R46">
        <v>6382600</v>
      </c>
      <c r="S46">
        <v>0.03</v>
      </c>
      <c r="T46">
        <v>2E-3</v>
      </c>
      <c r="U46">
        <v>3.3000000000000002E-2</v>
      </c>
      <c r="V46">
        <v>187824136</v>
      </c>
      <c r="W46">
        <v>0.96199999999999997</v>
      </c>
      <c r="X46">
        <v>200950</v>
      </c>
      <c r="Y46">
        <v>-12879</v>
      </c>
      <c r="Z46">
        <v>188071</v>
      </c>
      <c r="AA46">
        <v>1562298</v>
      </c>
      <c r="AB46">
        <v>34079</v>
      </c>
      <c r="AC46">
        <v>1596377</v>
      </c>
      <c r="AD46">
        <v>195</v>
      </c>
      <c r="AE46">
        <v>8</v>
      </c>
      <c r="AF46">
        <v>203</v>
      </c>
      <c r="AG46">
        <v>3234204</v>
      </c>
      <c r="AH46">
        <v>103581</v>
      </c>
      <c r="AI46">
        <v>3337785</v>
      </c>
      <c r="AJ46">
        <v>6</v>
      </c>
      <c r="AK46">
        <v>435231</v>
      </c>
      <c r="AL46">
        <v>16</v>
      </c>
      <c r="AM46">
        <v>2221344</v>
      </c>
      <c r="AN46">
        <v>5.98</v>
      </c>
      <c r="AO46">
        <v>5.0599999999999996</v>
      </c>
      <c r="AP46">
        <v>5.92</v>
      </c>
      <c r="AQ46">
        <v>5.73</v>
      </c>
      <c r="AR46">
        <v>4.8899999999999997</v>
      </c>
      <c r="AS46">
        <v>5.66</v>
      </c>
    </row>
    <row r="47" spans="1:45" x14ac:dyDescent="0.25">
      <c r="A47" t="s">
        <v>19820</v>
      </c>
      <c r="B47">
        <v>6759</v>
      </c>
      <c r="C47">
        <v>194890195</v>
      </c>
      <c r="D47">
        <v>6786488</v>
      </c>
      <c r="E47">
        <v>467642</v>
      </c>
      <c r="F47">
        <v>7254130</v>
      </c>
      <c r="G47">
        <v>3.5000000000000003E-2</v>
      </c>
      <c r="H47">
        <v>2E-3</v>
      </c>
      <c r="I47">
        <v>3.6999999999999998E-2</v>
      </c>
      <c r="J47">
        <v>11839800</v>
      </c>
      <c r="K47">
        <v>997338</v>
      </c>
      <c r="L47">
        <v>12953253</v>
      </c>
      <c r="M47">
        <v>0.06</v>
      </c>
      <c r="N47">
        <v>5.0000000000000001E-3</v>
      </c>
      <c r="O47">
        <v>6.6000000000000003E-2</v>
      </c>
      <c r="P47">
        <v>5701027</v>
      </c>
      <c r="Q47">
        <v>467642</v>
      </c>
      <c r="R47">
        <v>6168669</v>
      </c>
      <c r="S47">
        <v>2.9000000000000001E-2</v>
      </c>
      <c r="T47">
        <v>2E-3</v>
      </c>
      <c r="U47">
        <v>3.2000000000000001E-2</v>
      </c>
      <c r="V47">
        <v>187636065</v>
      </c>
      <c r="W47">
        <v>0.96299999999999997</v>
      </c>
      <c r="X47">
        <v>1343736</v>
      </c>
      <c r="Y47">
        <v>90233</v>
      </c>
      <c r="Z47">
        <v>1433969</v>
      </c>
      <c r="AA47">
        <v>2582300</v>
      </c>
      <c r="AB47">
        <v>129687</v>
      </c>
      <c r="AC47">
        <v>2711987</v>
      </c>
      <c r="AD47">
        <v>223</v>
      </c>
      <c r="AE47">
        <v>6</v>
      </c>
      <c r="AF47">
        <v>229</v>
      </c>
      <c r="AG47">
        <v>3345273</v>
      </c>
      <c r="AH47">
        <v>83586</v>
      </c>
      <c r="AI47">
        <v>3428859</v>
      </c>
      <c r="AJ47">
        <v>12</v>
      </c>
      <c r="AK47">
        <v>1552762</v>
      </c>
      <c r="AL47">
        <v>16</v>
      </c>
      <c r="AM47">
        <v>2160534</v>
      </c>
      <c r="AN47">
        <v>5.86</v>
      </c>
      <c r="AO47">
        <v>4.58</v>
      </c>
      <c r="AP47">
        <v>5.75</v>
      </c>
      <c r="AQ47">
        <v>5.59</v>
      </c>
      <c r="AR47">
        <v>4.4800000000000004</v>
      </c>
      <c r="AS47">
        <v>5.49</v>
      </c>
    </row>
    <row r="48" spans="1:45" x14ac:dyDescent="0.25">
      <c r="A48" t="s">
        <v>19821</v>
      </c>
      <c r="B48">
        <v>6761</v>
      </c>
      <c r="C48">
        <v>193650980</v>
      </c>
      <c r="D48">
        <v>6890660</v>
      </c>
      <c r="E48">
        <v>557875</v>
      </c>
      <c r="F48">
        <v>7448535</v>
      </c>
      <c r="G48">
        <v>3.5999999999999997E-2</v>
      </c>
      <c r="H48">
        <v>3.0000000000000001E-3</v>
      </c>
      <c r="I48">
        <v>3.7999999999999999E-2</v>
      </c>
      <c r="J48">
        <v>11799867</v>
      </c>
      <c r="K48">
        <v>1070315</v>
      </c>
      <c r="L48">
        <v>12839089</v>
      </c>
      <c r="M48">
        <v>0.06</v>
      </c>
      <c r="N48">
        <v>5.0000000000000001E-3</v>
      </c>
      <c r="O48">
        <v>6.5000000000000002E-2</v>
      </c>
      <c r="P48">
        <v>5859525</v>
      </c>
      <c r="Q48">
        <v>391626</v>
      </c>
      <c r="R48">
        <v>6251151</v>
      </c>
      <c r="S48">
        <v>0.03</v>
      </c>
      <c r="T48">
        <v>2E-3</v>
      </c>
      <c r="U48">
        <v>3.2000000000000001E-2</v>
      </c>
      <c r="V48">
        <v>186202445</v>
      </c>
      <c r="W48">
        <v>0.96199999999999997</v>
      </c>
      <c r="X48">
        <v>1097533</v>
      </c>
      <c r="Y48">
        <v>9808</v>
      </c>
      <c r="Z48">
        <v>1107341</v>
      </c>
      <c r="AA48">
        <v>2157615</v>
      </c>
      <c r="AB48">
        <v>36231</v>
      </c>
      <c r="AC48">
        <v>2193846</v>
      </c>
      <c r="AD48">
        <v>242</v>
      </c>
      <c r="AE48">
        <v>5</v>
      </c>
      <c r="AF48">
        <v>247</v>
      </c>
      <c r="AG48">
        <v>2308445</v>
      </c>
      <c r="AH48">
        <v>110541</v>
      </c>
      <c r="AI48">
        <v>2418986</v>
      </c>
      <c r="AJ48">
        <v>9</v>
      </c>
      <c r="AK48">
        <v>470404</v>
      </c>
      <c r="AL48">
        <v>22</v>
      </c>
      <c r="AM48">
        <v>2492892</v>
      </c>
      <c r="AN48">
        <v>5.52</v>
      </c>
      <c r="AO48">
        <v>4.78</v>
      </c>
      <c r="AP48">
        <v>5.46</v>
      </c>
      <c r="AQ48">
        <v>5.3</v>
      </c>
      <c r="AR48">
        <v>4.72</v>
      </c>
      <c r="AS48">
        <v>5.25</v>
      </c>
    </row>
    <row r="49" spans="1:45" x14ac:dyDescent="0.25">
      <c r="A49" t="s">
        <v>19822</v>
      </c>
      <c r="B49">
        <v>6764</v>
      </c>
      <c r="C49">
        <v>193356218</v>
      </c>
      <c r="D49">
        <v>7693431</v>
      </c>
      <c r="E49">
        <v>567683</v>
      </c>
      <c r="F49">
        <v>8261114</v>
      </c>
      <c r="G49">
        <v>0.04</v>
      </c>
      <c r="H49">
        <v>3.0000000000000001E-3</v>
      </c>
      <c r="I49">
        <v>4.2999999999999997E-2</v>
      </c>
      <c r="J49">
        <v>12350368</v>
      </c>
      <c r="K49">
        <v>1395106</v>
      </c>
      <c r="L49">
        <v>13714381</v>
      </c>
      <c r="M49">
        <v>6.3E-2</v>
      </c>
      <c r="N49">
        <v>7.0000000000000001E-3</v>
      </c>
      <c r="O49">
        <v>7.0000000000000007E-2</v>
      </c>
      <c r="P49">
        <v>6489458</v>
      </c>
      <c r="Q49">
        <v>424895</v>
      </c>
      <c r="R49">
        <v>6914353</v>
      </c>
      <c r="S49">
        <v>3.4000000000000002E-2</v>
      </c>
      <c r="T49">
        <v>2E-3</v>
      </c>
      <c r="U49">
        <v>3.5999999999999997E-2</v>
      </c>
      <c r="V49">
        <v>185095104</v>
      </c>
      <c r="W49">
        <v>0.95699999999999996</v>
      </c>
      <c r="X49">
        <v>918765</v>
      </c>
      <c r="Y49">
        <v>-25415</v>
      </c>
      <c r="Z49">
        <v>893350</v>
      </c>
      <c r="AA49">
        <v>2262811</v>
      </c>
      <c r="AB49">
        <v>58220</v>
      </c>
      <c r="AC49">
        <v>2321031</v>
      </c>
      <c r="AD49">
        <v>206</v>
      </c>
      <c r="AE49">
        <v>4</v>
      </c>
      <c r="AF49">
        <v>210</v>
      </c>
      <c r="AG49">
        <v>3288128</v>
      </c>
      <c r="AH49">
        <v>181095</v>
      </c>
      <c r="AI49">
        <v>3469223</v>
      </c>
      <c r="AJ49">
        <v>4</v>
      </c>
      <c r="AK49">
        <v>157795</v>
      </c>
      <c r="AL49">
        <v>24</v>
      </c>
      <c r="AM49">
        <v>2438897</v>
      </c>
      <c r="AN49">
        <v>5.37</v>
      </c>
      <c r="AO49">
        <v>4.83</v>
      </c>
      <c r="AP49">
        <v>5.33</v>
      </c>
      <c r="AQ49">
        <v>5.13</v>
      </c>
      <c r="AR49">
        <v>4.7699999999999996</v>
      </c>
      <c r="AS49">
        <v>5.0999999999999996</v>
      </c>
    </row>
    <row r="50" spans="1:45" x14ac:dyDescent="0.25">
      <c r="A50" t="s">
        <v>19823</v>
      </c>
      <c r="B50">
        <v>6778</v>
      </c>
      <c r="C50">
        <v>194594020</v>
      </c>
      <c r="D50">
        <v>9849998</v>
      </c>
      <c r="E50">
        <v>542268</v>
      </c>
      <c r="F50">
        <v>10392266</v>
      </c>
      <c r="G50">
        <v>5.0999999999999997E-2</v>
      </c>
      <c r="H50">
        <v>3.0000000000000001E-3</v>
      </c>
      <c r="I50">
        <v>5.2999999999999999E-2</v>
      </c>
      <c r="J50">
        <v>14705209</v>
      </c>
      <c r="K50">
        <v>1295798</v>
      </c>
      <c r="L50">
        <v>15969658</v>
      </c>
      <c r="M50">
        <v>7.4999999999999997E-2</v>
      </c>
      <c r="N50">
        <v>7.0000000000000001E-3</v>
      </c>
      <c r="O50">
        <v>8.1000000000000003E-2</v>
      </c>
      <c r="P50">
        <v>8405149</v>
      </c>
      <c r="Q50">
        <v>350460</v>
      </c>
      <c r="R50">
        <v>8755609</v>
      </c>
      <c r="S50">
        <v>4.2999999999999997E-2</v>
      </c>
      <c r="T50">
        <v>2E-3</v>
      </c>
      <c r="U50">
        <v>4.4999999999999998E-2</v>
      </c>
      <c r="V50">
        <v>184201754</v>
      </c>
      <c r="W50">
        <v>0.94699999999999995</v>
      </c>
      <c r="X50">
        <v>745263</v>
      </c>
      <c r="Y50">
        <v>-113066</v>
      </c>
      <c r="Z50">
        <v>632197</v>
      </c>
      <c r="AA50">
        <v>2240840</v>
      </c>
      <c r="AB50">
        <v>35156</v>
      </c>
      <c r="AC50">
        <v>2275996</v>
      </c>
      <c r="AD50">
        <v>208</v>
      </c>
      <c r="AE50">
        <v>4</v>
      </c>
      <c r="AF50">
        <v>212</v>
      </c>
      <c r="AG50">
        <v>2465893</v>
      </c>
      <c r="AH50">
        <v>91256</v>
      </c>
      <c r="AI50">
        <v>2557149</v>
      </c>
      <c r="AJ50">
        <v>3</v>
      </c>
      <c r="AK50">
        <v>36117</v>
      </c>
      <c r="AL50">
        <v>20</v>
      </c>
      <c r="AM50">
        <v>1605777</v>
      </c>
      <c r="AN50">
        <v>5.2</v>
      </c>
      <c r="AO50">
        <v>5.77</v>
      </c>
      <c r="AP50">
        <v>5.23</v>
      </c>
      <c r="AQ50">
        <v>4.9400000000000004</v>
      </c>
      <c r="AR50">
        <v>5.71</v>
      </c>
      <c r="AS50">
        <v>4.9800000000000004</v>
      </c>
    </row>
    <row r="51" spans="1:45" x14ac:dyDescent="0.25">
      <c r="A51" t="s">
        <v>19824</v>
      </c>
      <c r="B51">
        <v>6780</v>
      </c>
      <c r="C51">
        <v>196028156</v>
      </c>
      <c r="D51">
        <v>12029397</v>
      </c>
      <c r="E51">
        <v>429202</v>
      </c>
      <c r="F51">
        <v>12458599</v>
      </c>
      <c r="G51">
        <v>6.0999999999999999E-2</v>
      </c>
      <c r="H51">
        <v>2E-3</v>
      </c>
      <c r="I51">
        <v>6.4000000000000001E-2</v>
      </c>
      <c r="J51">
        <v>15690880</v>
      </c>
      <c r="K51">
        <v>1178867</v>
      </c>
      <c r="L51">
        <v>16826242</v>
      </c>
      <c r="M51">
        <v>0.08</v>
      </c>
      <c r="N51">
        <v>6.0000000000000001E-3</v>
      </c>
      <c r="O51">
        <v>8.5999999999999993E-2</v>
      </c>
      <c r="P51">
        <v>9632751</v>
      </c>
      <c r="Q51">
        <v>429202</v>
      </c>
      <c r="R51">
        <v>10061953</v>
      </c>
      <c r="S51">
        <v>4.9000000000000002E-2</v>
      </c>
      <c r="T51">
        <v>2E-3</v>
      </c>
      <c r="U51">
        <v>5.0999999999999997E-2</v>
      </c>
      <c r="V51">
        <v>183569557</v>
      </c>
      <c r="W51">
        <v>0.93600000000000005</v>
      </c>
      <c r="X51">
        <v>414112</v>
      </c>
      <c r="Y51">
        <v>79223</v>
      </c>
      <c r="Z51">
        <v>493335</v>
      </c>
      <c r="AA51">
        <v>3136952</v>
      </c>
      <c r="AB51">
        <v>119109</v>
      </c>
      <c r="AC51">
        <v>3256061</v>
      </c>
      <c r="AD51">
        <v>228</v>
      </c>
      <c r="AE51">
        <v>3</v>
      </c>
      <c r="AF51">
        <v>231</v>
      </c>
      <c r="AG51">
        <v>3032190</v>
      </c>
      <c r="AH51">
        <v>24828</v>
      </c>
      <c r="AI51">
        <v>3057018</v>
      </c>
      <c r="AJ51">
        <v>5</v>
      </c>
      <c r="AK51">
        <v>954839</v>
      </c>
      <c r="AL51">
        <v>9</v>
      </c>
      <c r="AM51">
        <v>612518</v>
      </c>
      <c r="AN51">
        <v>4.95</v>
      </c>
      <c r="AO51">
        <v>5.3</v>
      </c>
      <c r="AP51">
        <v>4.96</v>
      </c>
      <c r="AQ51">
        <v>4.75</v>
      </c>
      <c r="AR51">
        <v>5.26</v>
      </c>
      <c r="AS51">
        <v>4.7699999999999996</v>
      </c>
    </row>
    <row r="52" spans="1:45" x14ac:dyDescent="0.25">
      <c r="A52" t="s">
        <v>19825</v>
      </c>
      <c r="B52">
        <v>6785</v>
      </c>
      <c r="C52">
        <v>195274887</v>
      </c>
      <c r="D52">
        <v>11690240</v>
      </c>
      <c r="E52">
        <v>508425</v>
      </c>
      <c r="F52">
        <v>12198665</v>
      </c>
      <c r="G52">
        <v>0.06</v>
      </c>
      <c r="H52">
        <v>3.0000000000000001E-3</v>
      </c>
      <c r="I52">
        <v>6.2E-2</v>
      </c>
      <c r="J52">
        <v>17668508</v>
      </c>
      <c r="K52">
        <v>1322087</v>
      </c>
      <c r="L52">
        <v>18888596</v>
      </c>
      <c r="M52">
        <v>0.09</v>
      </c>
      <c r="N52">
        <v>7.0000000000000001E-3</v>
      </c>
      <c r="O52">
        <v>9.6000000000000002E-2</v>
      </c>
      <c r="P52">
        <v>10522102</v>
      </c>
      <c r="Q52">
        <v>434210</v>
      </c>
      <c r="R52">
        <v>10956312</v>
      </c>
      <c r="S52">
        <v>5.3999999999999999E-2</v>
      </c>
      <c r="T52">
        <v>2E-3</v>
      </c>
      <c r="U52">
        <v>5.6000000000000001E-2</v>
      </c>
      <c r="V52">
        <v>183076222</v>
      </c>
      <c r="W52">
        <v>0.93799999999999994</v>
      </c>
      <c r="X52">
        <v>74698</v>
      </c>
      <c r="Y52">
        <v>23423</v>
      </c>
      <c r="Z52">
        <v>98121</v>
      </c>
      <c r="AA52">
        <v>2130165</v>
      </c>
      <c r="AB52">
        <v>118466</v>
      </c>
      <c r="AC52">
        <v>2248631</v>
      </c>
      <c r="AD52">
        <v>193</v>
      </c>
      <c r="AE52">
        <v>2</v>
      </c>
      <c r="AF52">
        <v>195</v>
      </c>
      <c r="AG52">
        <v>1993997</v>
      </c>
      <c r="AH52">
        <v>31081</v>
      </c>
      <c r="AI52">
        <v>2025078</v>
      </c>
      <c r="AJ52">
        <v>1</v>
      </c>
      <c r="AK52">
        <v>420000</v>
      </c>
      <c r="AL52">
        <v>9</v>
      </c>
      <c r="AM52">
        <v>1080956</v>
      </c>
      <c r="AN52">
        <v>4.8099999999999996</v>
      </c>
      <c r="AO52">
        <v>4.71</v>
      </c>
      <c r="AP52">
        <v>4.8099999999999996</v>
      </c>
      <c r="AQ52">
        <v>4.6399999999999997</v>
      </c>
      <c r="AR52">
        <v>4.67</v>
      </c>
      <c r="AS52">
        <v>4.6399999999999997</v>
      </c>
    </row>
    <row r="53" spans="1:45" x14ac:dyDescent="0.25">
      <c r="A53" t="s">
        <v>19826</v>
      </c>
      <c r="B53">
        <v>6808</v>
      </c>
      <c r="C53">
        <v>195655918</v>
      </c>
      <c r="D53">
        <v>12082794</v>
      </c>
      <c r="E53">
        <v>531848</v>
      </c>
      <c r="F53">
        <v>12614642</v>
      </c>
      <c r="G53">
        <v>6.2E-2</v>
      </c>
      <c r="H53">
        <v>3.0000000000000001E-3</v>
      </c>
      <c r="I53">
        <v>6.4000000000000001E-2</v>
      </c>
      <c r="J53">
        <v>17738508</v>
      </c>
      <c r="K53">
        <v>1374982</v>
      </c>
      <c r="L53">
        <v>18967528</v>
      </c>
      <c r="M53">
        <v>0.09</v>
      </c>
      <c r="N53">
        <v>7.0000000000000001E-3</v>
      </c>
      <c r="O53">
        <v>9.6000000000000002E-2</v>
      </c>
      <c r="P53">
        <v>10557528</v>
      </c>
      <c r="Q53">
        <v>461193</v>
      </c>
      <c r="R53">
        <v>11018721</v>
      </c>
      <c r="S53">
        <v>5.3999999999999999E-2</v>
      </c>
      <c r="T53">
        <v>2E-3</v>
      </c>
      <c r="U53">
        <v>5.6000000000000001E-2</v>
      </c>
      <c r="V53">
        <v>183041276</v>
      </c>
      <c r="W53">
        <v>0.93600000000000005</v>
      </c>
      <c r="X53">
        <v>738537</v>
      </c>
      <c r="Y53">
        <v>-31444</v>
      </c>
      <c r="Z53">
        <v>707093</v>
      </c>
      <c r="AA53">
        <v>2362992</v>
      </c>
      <c r="AB53">
        <v>12312</v>
      </c>
      <c r="AC53">
        <v>2375304</v>
      </c>
      <c r="AD53">
        <v>212</v>
      </c>
      <c r="AE53">
        <v>4</v>
      </c>
      <c r="AF53">
        <v>216</v>
      </c>
      <c r="AG53">
        <v>2851009</v>
      </c>
      <c r="AH53">
        <v>107878</v>
      </c>
      <c r="AI53">
        <v>2958887</v>
      </c>
      <c r="AJ53">
        <v>4</v>
      </c>
      <c r="AK53">
        <v>334154</v>
      </c>
      <c r="AL53">
        <v>8</v>
      </c>
      <c r="AM53">
        <v>1471664</v>
      </c>
      <c r="AN53">
        <v>4.78</v>
      </c>
      <c r="AO53">
        <v>4.09</v>
      </c>
      <c r="AP53">
        <v>4.75</v>
      </c>
      <c r="AQ53">
        <v>4.63</v>
      </c>
      <c r="AR53">
        <v>4.22</v>
      </c>
      <c r="AS53">
        <v>4.62</v>
      </c>
    </row>
    <row r="54" spans="1:45" x14ac:dyDescent="0.25">
      <c r="A54" t="s">
        <v>19827</v>
      </c>
      <c r="B54">
        <v>6812</v>
      </c>
      <c r="C54">
        <v>195429334</v>
      </c>
      <c r="D54">
        <v>12661247</v>
      </c>
      <c r="E54">
        <v>500404</v>
      </c>
      <c r="F54">
        <v>13161651</v>
      </c>
      <c r="G54">
        <v>6.5000000000000002E-2</v>
      </c>
      <c r="H54">
        <v>3.0000000000000001E-3</v>
      </c>
      <c r="I54">
        <v>6.7000000000000004E-2</v>
      </c>
      <c r="J54">
        <v>18871170</v>
      </c>
      <c r="K54">
        <v>1388314</v>
      </c>
      <c r="L54">
        <v>20101115</v>
      </c>
      <c r="M54">
        <v>9.6000000000000002E-2</v>
      </c>
      <c r="N54">
        <v>7.0000000000000001E-3</v>
      </c>
      <c r="O54">
        <v>0.10199999999999999</v>
      </c>
      <c r="P54">
        <v>11084587</v>
      </c>
      <c r="Q54">
        <v>495551</v>
      </c>
      <c r="R54">
        <v>11580138</v>
      </c>
      <c r="S54">
        <v>5.7000000000000002E-2</v>
      </c>
      <c r="T54">
        <v>3.0000000000000001E-3</v>
      </c>
      <c r="U54">
        <v>5.8999999999999997E-2</v>
      </c>
      <c r="V54">
        <v>182267683</v>
      </c>
      <c r="W54">
        <v>0.93300000000000005</v>
      </c>
      <c r="X54">
        <v>190534</v>
      </c>
      <c r="Y54">
        <v>0</v>
      </c>
      <c r="Z54">
        <v>190534</v>
      </c>
      <c r="AA54">
        <v>1872313</v>
      </c>
      <c r="AB54">
        <v>0</v>
      </c>
      <c r="AC54">
        <v>1872313</v>
      </c>
      <c r="AD54">
        <v>171</v>
      </c>
      <c r="AE54">
        <v>3</v>
      </c>
      <c r="AF54">
        <v>174</v>
      </c>
      <c r="AG54">
        <v>2360346</v>
      </c>
      <c r="AH54">
        <v>6432</v>
      </c>
      <c r="AI54">
        <v>2366778</v>
      </c>
      <c r="AJ54">
        <v>3</v>
      </c>
      <c r="AK54">
        <v>83016</v>
      </c>
      <c r="AL54">
        <v>11</v>
      </c>
      <c r="AM54">
        <v>1794943</v>
      </c>
      <c r="AN54">
        <v>4.79</v>
      </c>
      <c r="AO54">
        <v>4.26</v>
      </c>
      <c r="AP54">
        <v>4.7699999999999996</v>
      </c>
      <c r="AQ54">
        <v>4.6399999999999997</v>
      </c>
      <c r="AR54">
        <v>4.34</v>
      </c>
      <c r="AS54">
        <v>4.62</v>
      </c>
    </row>
    <row r="55" spans="1:45" x14ac:dyDescent="0.25">
      <c r="A55" t="s">
        <v>19828</v>
      </c>
      <c r="B55">
        <v>6815</v>
      </c>
      <c r="C55">
        <v>195370098</v>
      </c>
      <c r="D55">
        <v>12792545</v>
      </c>
      <c r="E55">
        <v>500404</v>
      </c>
      <c r="F55">
        <v>13292949</v>
      </c>
      <c r="G55">
        <v>6.5000000000000002E-2</v>
      </c>
      <c r="H55">
        <v>3.0000000000000001E-3</v>
      </c>
      <c r="I55">
        <v>6.8000000000000005E-2</v>
      </c>
      <c r="J55">
        <v>19865765</v>
      </c>
      <c r="K55">
        <v>959688</v>
      </c>
      <c r="L55">
        <v>20555154</v>
      </c>
      <c r="M55">
        <v>0.10100000000000001</v>
      </c>
      <c r="N55">
        <v>5.0000000000000001E-3</v>
      </c>
      <c r="O55">
        <v>0.104</v>
      </c>
      <c r="P55">
        <v>11427673</v>
      </c>
      <c r="Q55">
        <v>500404</v>
      </c>
      <c r="R55">
        <v>11928077</v>
      </c>
      <c r="S55">
        <v>5.8000000000000003E-2</v>
      </c>
      <c r="T55">
        <v>3.0000000000000001E-3</v>
      </c>
      <c r="U55">
        <v>6.0999999999999999E-2</v>
      </c>
      <c r="V55">
        <v>182077149</v>
      </c>
      <c r="W55">
        <v>0.93200000000000005</v>
      </c>
      <c r="X55">
        <v>1059166</v>
      </c>
      <c r="Y55">
        <v>-297640</v>
      </c>
      <c r="Z55">
        <v>761526</v>
      </c>
      <c r="AA55">
        <v>2811942</v>
      </c>
      <c r="AB55">
        <v>96886</v>
      </c>
      <c r="AC55">
        <v>2908828</v>
      </c>
      <c r="AD55">
        <v>208</v>
      </c>
      <c r="AE55">
        <v>4</v>
      </c>
      <c r="AF55">
        <v>212</v>
      </c>
      <c r="AG55">
        <v>3922049</v>
      </c>
      <c r="AH55">
        <v>121707</v>
      </c>
      <c r="AI55">
        <v>4043756</v>
      </c>
      <c r="AJ55">
        <v>1</v>
      </c>
      <c r="AK55">
        <v>161730</v>
      </c>
      <c r="AL55">
        <v>12</v>
      </c>
      <c r="AM55">
        <v>1737471</v>
      </c>
      <c r="AN55">
        <v>4.7300000000000004</v>
      </c>
      <c r="AO55">
        <v>4.0999999999999996</v>
      </c>
      <c r="AP55">
        <v>4.71</v>
      </c>
      <c r="AQ55">
        <v>4.57</v>
      </c>
      <c r="AR55">
        <v>4.1100000000000003</v>
      </c>
      <c r="AS55">
        <v>4.5599999999999996</v>
      </c>
    </row>
    <row r="56" spans="1:45" x14ac:dyDescent="0.25">
      <c r="A56" t="s">
        <v>19829</v>
      </c>
      <c r="B56">
        <v>6826</v>
      </c>
      <c r="C56">
        <v>195385195</v>
      </c>
      <c r="D56">
        <v>13866808</v>
      </c>
      <c r="E56">
        <v>202764</v>
      </c>
      <c r="F56">
        <v>14069572</v>
      </c>
      <c r="G56">
        <v>7.0999999999999994E-2</v>
      </c>
      <c r="H56">
        <v>1E-3</v>
      </c>
      <c r="I56">
        <v>7.1999999999999995E-2</v>
      </c>
      <c r="J56">
        <v>20892530</v>
      </c>
      <c r="K56">
        <v>721117</v>
      </c>
      <c r="L56">
        <v>21293298</v>
      </c>
      <c r="M56">
        <v>0.106</v>
      </c>
      <c r="N56">
        <v>4.0000000000000001E-3</v>
      </c>
      <c r="O56">
        <v>0.108</v>
      </c>
      <c r="P56">
        <v>12755662</v>
      </c>
      <c r="Q56">
        <v>185478</v>
      </c>
      <c r="R56">
        <v>12941140</v>
      </c>
      <c r="S56">
        <v>6.5000000000000002E-2</v>
      </c>
      <c r="T56">
        <v>1E-3</v>
      </c>
      <c r="U56">
        <v>6.6000000000000003E-2</v>
      </c>
      <c r="V56">
        <v>181315623</v>
      </c>
      <c r="W56">
        <v>0.92800000000000005</v>
      </c>
      <c r="X56">
        <v>210218</v>
      </c>
      <c r="Y56">
        <v>53912</v>
      </c>
      <c r="Z56">
        <v>264130</v>
      </c>
      <c r="AA56">
        <v>2108212</v>
      </c>
      <c r="AB56">
        <v>76912</v>
      </c>
      <c r="AC56">
        <v>2185124</v>
      </c>
      <c r="AD56">
        <v>215</v>
      </c>
      <c r="AE56">
        <v>5</v>
      </c>
      <c r="AF56">
        <v>220</v>
      </c>
      <c r="AG56">
        <v>2934403</v>
      </c>
      <c r="AH56">
        <v>188517</v>
      </c>
      <c r="AI56">
        <v>3122920</v>
      </c>
      <c r="AJ56">
        <v>6</v>
      </c>
      <c r="AK56">
        <v>64305</v>
      </c>
      <c r="AL56">
        <v>7</v>
      </c>
      <c r="AM56">
        <v>1106477</v>
      </c>
      <c r="AN56">
        <v>4.71</v>
      </c>
      <c r="AO56">
        <v>4.09</v>
      </c>
      <c r="AP56">
        <v>4.68</v>
      </c>
      <c r="AQ56">
        <v>4.53</v>
      </c>
      <c r="AR56">
        <v>3.89</v>
      </c>
      <c r="AS56">
        <v>4.5</v>
      </c>
    </row>
    <row r="57" spans="1:45" x14ac:dyDescent="0.25">
      <c r="A57" t="s">
        <v>19830</v>
      </c>
      <c r="B57">
        <v>6828</v>
      </c>
      <c r="C57">
        <v>195454655</v>
      </c>
      <c r="D57">
        <v>14146486</v>
      </c>
      <c r="E57">
        <v>256676</v>
      </c>
      <c r="F57">
        <v>14403162</v>
      </c>
      <c r="G57">
        <v>7.1999999999999995E-2</v>
      </c>
      <c r="H57">
        <v>1E-3</v>
      </c>
      <c r="I57">
        <v>7.3999999999999996E-2</v>
      </c>
      <c r="J57">
        <v>21057865</v>
      </c>
      <c r="K57">
        <v>756120</v>
      </c>
      <c r="L57">
        <v>21623990</v>
      </c>
      <c r="M57">
        <v>0.108</v>
      </c>
      <c r="N57">
        <v>4.0000000000000001E-3</v>
      </c>
      <c r="O57">
        <v>0.11</v>
      </c>
      <c r="P57">
        <v>13052399</v>
      </c>
      <c r="Q57">
        <v>205476</v>
      </c>
      <c r="R57">
        <v>13257875</v>
      </c>
      <c r="S57">
        <v>6.7000000000000004E-2</v>
      </c>
      <c r="T57">
        <v>1E-3</v>
      </c>
      <c r="U57">
        <v>6.8000000000000005E-2</v>
      </c>
      <c r="V57">
        <v>181051493</v>
      </c>
      <c r="W57">
        <v>0.92600000000000005</v>
      </c>
      <c r="X57">
        <v>-429645</v>
      </c>
      <c r="Y57">
        <v>5651</v>
      </c>
      <c r="Z57">
        <v>-423994</v>
      </c>
      <c r="AA57">
        <v>1387717</v>
      </c>
      <c r="AB57">
        <v>80837</v>
      </c>
      <c r="AC57">
        <v>1468554</v>
      </c>
      <c r="AD57">
        <v>188</v>
      </c>
      <c r="AE57">
        <v>2</v>
      </c>
      <c r="AF57">
        <v>190</v>
      </c>
      <c r="AG57">
        <v>3079581</v>
      </c>
      <c r="AH57">
        <v>55200</v>
      </c>
      <c r="AI57">
        <v>3134781</v>
      </c>
      <c r="AJ57">
        <v>1</v>
      </c>
      <c r="AK57">
        <v>4835</v>
      </c>
      <c r="AL57">
        <v>8</v>
      </c>
      <c r="AM57">
        <v>281850</v>
      </c>
      <c r="AN57">
        <v>4.7</v>
      </c>
      <c r="AO57">
        <v>4.13</v>
      </c>
      <c r="AP57">
        <v>4.68</v>
      </c>
      <c r="AQ57">
        <v>4.5199999999999996</v>
      </c>
      <c r="AR57">
        <v>4.05</v>
      </c>
      <c r="AS57">
        <v>4.49</v>
      </c>
    </row>
    <row r="58" spans="1:45" x14ac:dyDescent="0.25">
      <c r="A58" t="s">
        <v>19831</v>
      </c>
      <c r="B58">
        <v>6827</v>
      </c>
      <c r="C58">
        <v>195449820</v>
      </c>
      <c r="D58">
        <v>13712006</v>
      </c>
      <c r="E58">
        <v>262327</v>
      </c>
      <c r="F58">
        <v>13974333</v>
      </c>
      <c r="G58">
        <v>7.0000000000000007E-2</v>
      </c>
      <c r="H58">
        <v>1E-3</v>
      </c>
      <c r="I58">
        <v>7.0999999999999994E-2</v>
      </c>
      <c r="J58">
        <v>21187646</v>
      </c>
      <c r="K58">
        <v>767858</v>
      </c>
      <c r="L58">
        <v>21765977</v>
      </c>
      <c r="M58">
        <v>0.108</v>
      </c>
      <c r="N58">
        <v>4.0000000000000001E-3</v>
      </c>
      <c r="O58">
        <v>0.111</v>
      </c>
      <c r="P58">
        <v>13040306</v>
      </c>
      <c r="Q58">
        <v>186590</v>
      </c>
      <c r="R58">
        <v>13226896</v>
      </c>
      <c r="S58">
        <v>6.7000000000000004E-2</v>
      </c>
      <c r="T58">
        <v>1E-3</v>
      </c>
      <c r="U58">
        <v>6.8000000000000005E-2</v>
      </c>
      <c r="V58">
        <v>181475487</v>
      </c>
      <c r="W58">
        <v>0.92900000000000005</v>
      </c>
      <c r="X58">
        <v>256986</v>
      </c>
      <c r="Y58">
        <v>313605</v>
      </c>
      <c r="Z58">
        <v>570591</v>
      </c>
      <c r="AA58">
        <v>1879905</v>
      </c>
      <c r="AB58">
        <v>339485</v>
      </c>
      <c r="AC58">
        <v>2219390</v>
      </c>
      <c r="AD58">
        <v>196</v>
      </c>
      <c r="AE58">
        <v>6</v>
      </c>
      <c r="AF58">
        <v>202</v>
      </c>
      <c r="AG58">
        <v>2887501</v>
      </c>
      <c r="AH58">
        <v>47717</v>
      </c>
      <c r="AI58">
        <v>2935218</v>
      </c>
      <c r="AJ58">
        <v>3</v>
      </c>
      <c r="AK58">
        <v>78330</v>
      </c>
      <c r="AL58">
        <v>8</v>
      </c>
      <c r="AM58">
        <v>230870</v>
      </c>
      <c r="AN58">
        <v>4.7300000000000004</v>
      </c>
      <c r="AO58">
        <v>4.63</v>
      </c>
      <c r="AP58">
        <v>4.72</v>
      </c>
      <c r="AQ58">
        <v>4.55</v>
      </c>
      <c r="AR58">
        <v>4.2300000000000004</v>
      </c>
      <c r="AS58">
        <v>4.54</v>
      </c>
    </row>
    <row r="59" spans="1:45" x14ac:dyDescent="0.25">
      <c r="A59" t="s">
        <v>19832</v>
      </c>
      <c r="B59">
        <v>6829</v>
      </c>
      <c r="C59">
        <v>195417547</v>
      </c>
      <c r="D59">
        <v>13936719</v>
      </c>
      <c r="E59">
        <v>575932</v>
      </c>
      <c r="F59">
        <v>14512651</v>
      </c>
      <c r="G59">
        <v>7.0999999999999994E-2</v>
      </c>
      <c r="H59">
        <v>3.0000000000000001E-3</v>
      </c>
      <c r="I59">
        <v>7.3999999999999996E-2</v>
      </c>
      <c r="J59">
        <v>22212653</v>
      </c>
      <c r="K59">
        <v>1145552</v>
      </c>
      <c r="L59">
        <v>23042222</v>
      </c>
      <c r="M59">
        <v>0.114</v>
      </c>
      <c r="N59">
        <v>6.0000000000000001E-3</v>
      </c>
      <c r="O59">
        <v>0.11799999999999999</v>
      </c>
      <c r="P59">
        <v>12873002</v>
      </c>
      <c r="Q59">
        <v>533332</v>
      </c>
      <c r="R59">
        <v>13406334</v>
      </c>
      <c r="S59">
        <v>6.6000000000000003E-2</v>
      </c>
      <c r="T59">
        <v>3.0000000000000001E-3</v>
      </c>
      <c r="U59">
        <v>6.9000000000000006E-2</v>
      </c>
      <c r="V59">
        <v>180904896</v>
      </c>
      <c r="W59">
        <v>0.92600000000000005</v>
      </c>
      <c r="X59">
        <v>-601037</v>
      </c>
      <c r="Y59">
        <v>35761</v>
      </c>
      <c r="Z59">
        <v>-565276</v>
      </c>
      <c r="AA59">
        <v>1553785</v>
      </c>
      <c r="AB59">
        <v>47834</v>
      </c>
      <c r="AC59">
        <v>1601619</v>
      </c>
      <c r="AD59">
        <v>222</v>
      </c>
      <c r="AE59">
        <v>4</v>
      </c>
      <c r="AF59">
        <v>226</v>
      </c>
      <c r="AG59">
        <v>2334716</v>
      </c>
      <c r="AH59">
        <v>41155</v>
      </c>
      <c r="AI59">
        <v>2375871</v>
      </c>
      <c r="AJ59">
        <v>4</v>
      </c>
      <c r="AK59">
        <v>105263</v>
      </c>
      <c r="AL59">
        <v>5</v>
      </c>
      <c r="AM59">
        <v>91831</v>
      </c>
      <c r="AN59">
        <v>4.78</v>
      </c>
      <c r="AO59">
        <v>4.3600000000000003</v>
      </c>
      <c r="AP59">
        <v>4.76</v>
      </c>
      <c r="AQ59">
        <v>4.62</v>
      </c>
      <c r="AR59">
        <v>4</v>
      </c>
      <c r="AS59">
        <v>4.58</v>
      </c>
    </row>
    <row r="60" spans="1:45" x14ac:dyDescent="0.25">
      <c r="A60" t="s">
        <v>19833</v>
      </c>
      <c r="B60">
        <v>6828</v>
      </c>
      <c r="C60">
        <v>195368259</v>
      </c>
      <c r="D60">
        <v>13286394</v>
      </c>
      <c r="E60">
        <v>611693</v>
      </c>
      <c r="F60">
        <v>13898087</v>
      </c>
      <c r="G60">
        <v>6.8000000000000005E-2</v>
      </c>
      <c r="H60">
        <v>3.0000000000000001E-3</v>
      </c>
      <c r="I60">
        <v>7.0999999999999994E-2</v>
      </c>
      <c r="J60">
        <v>22588259</v>
      </c>
      <c r="K60">
        <v>1275977</v>
      </c>
      <c r="L60">
        <v>23693172</v>
      </c>
      <c r="M60">
        <v>0.11600000000000001</v>
      </c>
      <c r="N60">
        <v>7.0000000000000001E-3</v>
      </c>
      <c r="O60">
        <v>0.121</v>
      </c>
      <c r="P60">
        <v>12492456</v>
      </c>
      <c r="Q60">
        <v>551461</v>
      </c>
      <c r="R60">
        <v>13043917</v>
      </c>
      <c r="S60">
        <v>6.4000000000000001E-2</v>
      </c>
      <c r="T60">
        <v>3.0000000000000001E-3</v>
      </c>
      <c r="U60">
        <v>6.7000000000000004E-2</v>
      </c>
      <c r="V60">
        <v>181470172</v>
      </c>
      <c r="W60">
        <v>0.92900000000000005</v>
      </c>
      <c r="X60">
        <v>-691506</v>
      </c>
      <c r="Y60">
        <v>94852</v>
      </c>
      <c r="Z60">
        <v>-596654</v>
      </c>
      <c r="AA60">
        <v>1489131</v>
      </c>
      <c r="AB60">
        <v>128581</v>
      </c>
      <c r="AC60">
        <v>1617712</v>
      </c>
      <c r="AD60">
        <v>192</v>
      </c>
      <c r="AE60">
        <v>6</v>
      </c>
      <c r="AF60">
        <v>198</v>
      </c>
      <c r="AG60">
        <v>2147185</v>
      </c>
      <c r="AH60">
        <v>115271</v>
      </c>
      <c r="AI60">
        <v>2262456</v>
      </c>
      <c r="AJ60">
        <v>1</v>
      </c>
      <c r="AK60">
        <v>2000</v>
      </c>
      <c r="AL60">
        <v>7</v>
      </c>
      <c r="AM60">
        <v>183593</v>
      </c>
      <c r="AN60">
        <v>4.75</v>
      </c>
      <c r="AO60">
        <v>4.3</v>
      </c>
      <c r="AP60">
        <v>4.72</v>
      </c>
      <c r="AQ60">
        <v>4.5999999999999996</v>
      </c>
      <c r="AR60">
        <v>3.92</v>
      </c>
      <c r="AS60">
        <v>4.5599999999999996</v>
      </c>
    </row>
    <row r="61" spans="1:45" x14ac:dyDescent="0.25">
      <c r="A61" t="s">
        <v>19834</v>
      </c>
      <c r="B61">
        <v>6835</v>
      </c>
      <c r="C61">
        <v>195688369</v>
      </c>
      <c r="D61">
        <v>12914998</v>
      </c>
      <c r="E61">
        <v>706545</v>
      </c>
      <c r="F61">
        <v>13621543</v>
      </c>
      <c r="G61">
        <v>6.6000000000000003E-2</v>
      </c>
      <c r="H61">
        <v>4.0000000000000001E-3</v>
      </c>
      <c r="I61">
        <v>7.0000000000000007E-2</v>
      </c>
      <c r="J61">
        <v>21093099</v>
      </c>
      <c r="K61">
        <v>1414709</v>
      </c>
      <c r="L61">
        <v>22537956</v>
      </c>
      <c r="M61">
        <v>0.108</v>
      </c>
      <c r="N61">
        <v>7.0000000000000001E-3</v>
      </c>
      <c r="O61">
        <v>0.115</v>
      </c>
      <c r="P61">
        <v>11598447</v>
      </c>
      <c r="Q61">
        <v>655795</v>
      </c>
      <c r="R61">
        <v>12254242</v>
      </c>
      <c r="S61">
        <v>5.8999999999999997E-2</v>
      </c>
      <c r="T61">
        <v>3.0000000000000001E-3</v>
      </c>
      <c r="U61">
        <v>6.3E-2</v>
      </c>
      <c r="V61">
        <v>182066826</v>
      </c>
      <c r="W61">
        <v>0.93</v>
      </c>
      <c r="X61">
        <v>-196256</v>
      </c>
      <c r="Y61">
        <v>-15133</v>
      </c>
      <c r="Z61">
        <v>-211389</v>
      </c>
      <c r="AA61">
        <v>1574749</v>
      </c>
      <c r="AB61">
        <v>61068</v>
      </c>
      <c r="AC61">
        <v>1635817</v>
      </c>
      <c r="AD61">
        <v>193</v>
      </c>
      <c r="AE61">
        <v>4</v>
      </c>
      <c r="AF61">
        <v>197</v>
      </c>
      <c r="AG61">
        <v>2565871</v>
      </c>
      <c r="AH61">
        <v>37089</v>
      </c>
      <c r="AI61">
        <v>2602960</v>
      </c>
      <c r="AJ61">
        <v>1</v>
      </c>
      <c r="AK61">
        <v>5000</v>
      </c>
      <c r="AL61">
        <v>6</v>
      </c>
      <c r="AM61">
        <v>162943</v>
      </c>
      <c r="AN61">
        <v>4.74</v>
      </c>
      <c r="AO61">
        <v>4.0599999999999996</v>
      </c>
      <c r="AP61">
        <v>4.7</v>
      </c>
      <c r="AQ61">
        <v>4.5999999999999996</v>
      </c>
      <c r="AR61">
        <v>4.09</v>
      </c>
      <c r="AS61">
        <v>4.57</v>
      </c>
    </row>
    <row r="62" spans="1:45" x14ac:dyDescent="0.25">
      <c r="A62" t="s">
        <v>19835</v>
      </c>
      <c r="B62">
        <v>6839</v>
      </c>
      <c r="C62">
        <v>195730543</v>
      </c>
      <c r="D62">
        <v>12760916</v>
      </c>
      <c r="E62">
        <v>691412</v>
      </c>
      <c r="F62">
        <v>13452328</v>
      </c>
      <c r="G62">
        <v>6.5000000000000002E-2</v>
      </c>
      <c r="H62">
        <v>4.0000000000000001E-3</v>
      </c>
      <c r="I62">
        <v>6.9000000000000006E-2</v>
      </c>
      <c r="J62">
        <v>20389554</v>
      </c>
      <c r="K62">
        <v>1371474</v>
      </c>
      <c r="L62">
        <v>21791044</v>
      </c>
      <c r="M62">
        <v>0.104</v>
      </c>
      <c r="N62">
        <v>7.0000000000000001E-3</v>
      </c>
      <c r="O62">
        <v>0.111</v>
      </c>
      <c r="P62">
        <v>11943059</v>
      </c>
      <c r="Q62">
        <v>678705</v>
      </c>
      <c r="R62">
        <v>12621764</v>
      </c>
      <c r="S62">
        <v>6.0999999999999999E-2</v>
      </c>
      <c r="T62">
        <v>3.0000000000000001E-3</v>
      </c>
      <c r="U62">
        <v>6.4000000000000001E-2</v>
      </c>
      <c r="V62">
        <v>182278215</v>
      </c>
      <c r="W62">
        <v>0.93100000000000005</v>
      </c>
      <c r="X62">
        <v>226678</v>
      </c>
      <c r="Y62">
        <v>109271</v>
      </c>
      <c r="Z62">
        <v>335949</v>
      </c>
      <c r="AA62">
        <v>1684821</v>
      </c>
      <c r="AB62">
        <v>198274</v>
      </c>
      <c r="AC62">
        <v>1883095</v>
      </c>
      <c r="AD62">
        <v>209</v>
      </c>
      <c r="AE62">
        <v>5</v>
      </c>
      <c r="AF62">
        <v>214</v>
      </c>
      <c r="AG62">
        <v>2764786</v>
      </c>
      <c r="AH62">
        <v>47150</v>
      </c>
      <c r="AI62">
        <v>2811936</v>
      </c>
      <c r="AJ62">
        <v>4</v>
      </c>
      <c r="AK62">
        <v>78929</v>
      </c>
      <c r="AL62">
        <v>4</v>
      </c>
      <c r="AM62">
        <v>141801</v>
      </c>
      <c r="AN62">
        <v>4.78</v>
      </c>
      <c r="AO62">
        <v>4.03</v>
      </c>
      <c r="AP62">
        <v>4.7300000000000004</v>
      </c>
      <c r="AQ62">
        <v>4.63</v>
      </c>
      <c r="AR62">
        <v>4.05</v>
      </c>
      <c r="AS62">
        <v>4.59</v>
      </c>
    </row>
    <row r="63" spans="1:45" x14ac:dyDescent="0.25">
      <c r="A63" t="s">
        <v>19836</v>
      </c>
      <c r="B63">
        <v>6845</v>
      </c>
      <c r="C63">
        <v>196192865</v>
      </c>
      <c r="D63">
        <v>13449916</v>
      </c>
      <c r="E63">
        <v>800683</v>
      </c>
      <c r="F63">
        <v>14250599</v>
      </c>
      <c r="G63">
        <v>6.9000000000000006E-2</v>
      </c>
      <c r="H63">
        <v>4.0000000000000001E-3</v>
      </c>
      <c r="I63">
        <v>7.2999999999999995E-2</v>
      </c>
      <c r="J63">
        <v>21416668</v>
      </c>
      <c r="K63">
        <v>1523929</v>
      </c>
      <c r="L63">
        <v>22842483</v>
      </c>
      <c r="M63">
        <v>0.109</v>
      </c>
      <c r="N63">
        <v>8.0000000000000002E-3</v>
      </c>
      <c r="O63">
        <v>0.11600000000000001</v>
      </c>
      <c r="P63">
        <v>12075642</v>
      </c>
      <c r="Q63">
        <v>740683</v>
      </c>
      <c r="R63">
        <v>12816325</v>
      </c>
      <c r="S63">
        <v>6.2E-2</v>
      </c>
      <c r="T63">
        <v>4.0000000000000001E-3</v>
      </c>
      <c r="U63">
        <v>6.5000000000000002E-2</v>
      </c>
      <c r="V63">
        <v>181942266</v>
      </c>
      <c r="W63">
        <v>0.92700000000000005</v>
      </c>
      <c r="X63">
        <v>340405</v>
      </c>
      <c r="Y63">
        <v>-76688</v>
      </c>
      <c r="Z63">
        <v>263717</v>
      </c>
      <c r="AA63">
        <v>2542918</v>
      </c>
      <c r="AB63">
        <v>12343</v>
      </c>
      <c r="AC63">
        <v>2555261</v>
      </c>
      <c r="AD63">
        <v>195</v>
      </c>
      <c r="AE63">
        <v>5</v>
      </c>
      <c r="AF63">
        <v>200</v>
      </c>
      <c r="AG63">
        <v>1884121</v>
      </c>
      <c r="AH63">
        <v>51595</v>
      </c>
      <c r="AI63">
        <v>1935716</v>
      </c>
      <c r="AJ63">
        <v>2</v>
      </c>
      <c r="AK63">
        <v>93661</v>
      </c>
      <c r="AL63">
        <v>6</v>
      </c>
      <c r="AM63">
        <v>139609</v>
      </c>
      <c r="AN63">
        <v>4.8099999999999996</v>
      </c>
      <c r="AO63">
        <v>3.99</v>
      </c>
      <c r="AP63">
        <v>4.75</v>
      </c>
      <c r="AQ63">
        <v>4.62</v>
      </c>
      <c r="AR63">
        <v>4.0199999999999996</v>
      </c>
      <c r="AS63">
        <v>4.58</v>
      </c>
    </row>
    <row r="64" spans="1:45" x14ac:dyDescent="0.25">
      <c r="A64" t="s">
        <v>19837</v>
      </c>
      <c r="B64">
        <v>6860</v>
      </c>
      <c r="C64">
        <v>196649957</v>
      </c>
      <c r="D64">
        <v>14247412</v>
      </c>
      <c r="E64">
        <v>723995</v>
      </c>
      <c r="F64">
        <v>14971407</v>
      </c>
      <c r="G64">
        <v>7.1999999999999995E-2</v>
      </c>
      <c r="H64">
        <v>4.0000000000000001E-3</v>
      </c>
      <c r="I64">
        <v>7.5999999999999998E-2</v>
      </c>
      <c r="J64">
        <v>20076172</v>
      </c>
      <c r="K64">
        <v>1608434</v>
      </c>
      <c r="L64">
        <v>21672933</v>
      </c>
      <c r="M64">
        <v>0.10199999999999999</v>
      </c>
      <c r="N64">
        <v>8.0000000000000002E-3</v>
      </c>
      <c r="O64">
        <v>0.11</v>
      </c>
      <c r="P64">
        <v>12427523</v>
      </c>
      <c r="Q64">
        <v>723995</v>
      </c>
      <c r="R64">
        <v>13151518</v>
      </c>
      <c r="S64">
        <v>6.3E-2</v>
      </c>
      <c r="T64">
        <v>4.0000000000000001E-3</v>
      </c>
      <c r="U64">
        <v>6.7000000000000004E-2</v>
      </c>
      <c r="V64">
        <v>181678550</v>
      </c>
      <c r="W64">
        <v>0.92400000000000004</v>
      </c>
      <c r="X64">
        <v>198434</v>
      </c>
      <c r="Y64">
        <v>-44870</v>
      </c>
      <c r="Z64">
        <v>153564</v>
      </c>
      <c r="AA64">
        <v>2206282</v>
      </c>
      <c r="AB64">
        <v>118061</v>
      </c>
      <c r="AC64">
        <v>2324343</v>
      </c>
      <c r="AD64">
        <v>187</v>
      </c>
      <c r="AE64">
        <v>4</v>
      </c>
      <c r="AF64">
        <v>191</v>
      </c>
      <c r="AG64">
        <v>2401339</v>
      </c>
      <c r="AH64">
        <v>194623</v>
      </c>
      <c r="AI64">
        <v>2595962</v>
      </c>
      <c r="AJ64">
        <v>7</v>
      </c>
      <c r="AK64">
        <v>79793</v>
      </c>
      <c r="AL64">
        <v>7</v>
      </c>
      <c r="AM64">
        <v>228270</v>
      </c>
      <c r="AN64">
        <v>4.8499999999999996</v>
      </c>
      <c r="AO64">
        <v>4.2699999999999996</v>
      </c>
      <c r="AP64">
        <v>4.8</v>
      </c>
      <c r="AQ64">
        <v>4.6100000000000003</v>
      </c>
      <c r="AR64">
        <v>4.34</v>
      </c>
      <c r="AS64">
        <v>4.59</v>
      </c>
    </row>
    <row r="65" spans="1:45" x14ac:dyDescent="0.25">
      <c r="A65" t="s">
        <v>19838</v>
      </c>
      <c r="B65">
        <v>6868</v>
      </c>
      <c r="C65">
        <v>196774656</v>
      </c>
      <c r="D65">
        <v>14570303</v>
      </c>
      <c r="E65">
        <v>679125</v>
      </c>
      <c r="F65">
        <v>15249428</v>
      </c>
      <c r="G65">
        <v>7.3999999999999996E-2</v>
      </c>
      <c r="H65">
        <v>3.0000000000000001E-3</v>
      </c>
      <c r="I65">
        <v>7.6999999999999999E-2</v>
      </c>
      <c r="J65">
        <v>20256071</v>
      </c>
      <c r="K65">
        <v>1775417</v>
      </c>
      <c r="L65">
        <v>21995791</v>
      </c>
      <c r="M65">
        <v>0.10299999999999999</v>
      </c>
      <c r="N65">
        <v>8.9999999999999993E-3</v>
      </c>
      <c r="O65">
        <v>0.112</v>
      </c>
      <c r="P65">
        <v>13336314</v>
      </c>
      <c r="Q65">
        <v>679125</v>
      </c>
      <c r="R65">
        <v>14015439</v>
      </c>
      <c r="S65">
        <v>6.8000000000000005E-2</v>
      </c>
      <c r="T65">
        <v>3.0000000000000001E-3</v>
      </c>
      <c r="U65">
        <v>7.0999999999999994E-2</v>
      </c>
      <c r="V65">
        <v>181525228</v>
      </c>
      <c r="W65">
        <v>0.92300000000000004</v>
      </c>
      <c r="X65">
        <v>-137785</v>
      </c>
      <c r="Y65">
        <v>-24519</v>
      </c>
      <c r="Z65">
        <v>-162304</v>
      </c>
      <c r="AA65">
        <v>1631069</v>
      </c>
      <c r="AB65">
        <v>11570</v>
      </c>
      <c r="AC65">
        <v>1642639</v>
      </c>
      <c r="AD65">
        <v>217</v>
      </c>
      <c r="AE65">
        <v>0</v>
      </c>
      <c r="AF65">
        <v>217</v>
      </c>
      <c r="AG65">
        <v>2433433</v>
      </c>
      <c r="AH65">
        <v>0</v>
      </c>
      <c r="AI65">
        <v>2433433</v>
      </c>
      <c r="AJ65">
        <v>4</v>
      </c>
      <c r="AK65">
        <v>77980</v>
      </c>
      <c r="AL65">
        <v>10</v>
      </c>
      <c r="AM65">
        <v>229134</v>
      </c>
      <c r="AN65">
        <v>4.97</v>
      </c>
      <c r="AO65">
        <v>4.4000000000000004</v>
      </c>
      <c r="AP65">
        <v>4.92</v>
      </c>
      <c r="AQ65">
        <v>4.7300000000000004</v>
      </c>
      <c r="AR65">
        <v>4.4400000000000004</v>
      </c>
      <c r="AS65">
        <v>4.7</v>
      </c>
    </row>
    <row r="66" spans="1:45" x14ac:dyDescent="0.25">
      <c r="A66" t="s">
        <v>19839</v>
      </c>
      <c r="B66">
        <v>6868</v>
      </c>
      <c r="C66">
        <v>196796372</v>
      </c>
      <c r="D66">
        <v>14454234</v>
      </c>
      <c r="E66">
        <v>654606</v>
      </c>
      <c r="F66">
        <v>15108840</v>
      </c>
      <c r="G66">
        <v>7.2999999999999995E-2</v>
      </c>
      <c r="H66">
        <v>3.0000000000000001E-3</v>
      </c>
      <c r="I66">
        <v>7.6999999999999999E-2</v>
      </c>
      <c r="J66">
        <v>19865209</v>
      </c>
      <c r="K66">
        <v>1557967</v>
      </c>
      <c r="L66">
        <v>21410429</v>
      </c>
      <c r="M66">
        <v>0.10100000000000001</v>
      </c>
      <c r="N66">
        <v>8.0000000000000002E-3</v>
      </c>
      <c r="O66">
        <v>0.109</v>
      </c>
      <c r="P66">
        <v>13502970</v>
      </c>
      <c r="Q66">
        <v>654606</v>
      </c>
      <c r="R66">
        <v>14157576</v>
      </c>
      <c r="S66">
        <v>6.9000000000000006E-2</v>
      </c>
      <c r="T66">
        <v>3.0000000000000001E-3</v>
      </c>
      <c r="U66">
        <v>7.1999999999999995E-2</v>
      </c>
      <c r="V66">
        <v>181687532</v>
      </c>
      <c r="W66">
        <v>0.92300000000000004</v>
      </c>
      <c r="X66">
        <v>540009</v>
      </c>
      <c r="Y66">
        <v>-57220</v>
      </c>
      <c r="Z66">
        <v>482789</v>
      </c>
      <c r="AA66">
        <v>2208272</v>
      </c>
      <c r="AB66">
        <v>55535</v>
      </c>
      <c r="AC66">
        <v>2263807</v>
      </c>
      <c r="AD66">
        <v>187</v>
      </c>
      <c r="AE66">
        <v>3</v>
      </c>
      <c r="AF66">
        <v>190</v>
      </c>
      <c r="AG66">
        <v>2506645</v>
      </c>
      <c r="AH66">
        <v>18500</v>
      </c>
      <c r="AI66">
        <v>2525145</v>
      </c>
      <c r="AJ66">
        <v>2</v>
      </c>
      <c r="AK66">
        <v>153702</v>
      </c>
      <c r="AL66">
        <v>13</v>
      </c>
      <c r="AM66">
        <v>283866</v>
      </c>
      <c r="AN66">
        <v>5.01</v>
      </c>
      <c r="AO66">
        <v>4.75</v>
      </c>
      <c r="AP66">
        <v>4.9800000000000004</v>
      </c>
      <c r="AQ66">
        <v>4.7300000000000004</v>
      </c>
      <c r="AR66">
        <v>4.68</v>
      </c>
      <c r="AS66">
        <v>4.72</v>
      </c>
    </row>
    <row r="67" spans="1:45" x14ac:dyDescent="0.25">
      <c r="A67" t="s">
        <v>19840</v>
      </c>
      <c r="B67">
        <v>6869</v>
      </c>
      <c r="C67">
        <v>196714325</v>
      </c>
      <c r="D67">
        <v>14912197</v>
      </c>
      <c r="E67">
        <v>597386</v>
      </c>
      <c r="F67">
        <v>15509583</v>
      </c>
      <c r="G67">
        <v>7.5999999999999998E-2</v>
      </c>
      <c r="H67">
        <v>3.0000000000000001E-3</v>
      </c>
      <c r="I67">
        <v>7.9000000000000001E-2</v>
      </c>
      <c r="J67">
        <v>20113325</v>
      </c>
      <c r="K67">
        <v>1427625</v>
      </c>
      <c r="L67">
        <v>21513282</v>
      </c>
      <c r="M67">
        <v>0.10199999999999999</v>
      </c>
      <c r="N67">
        <v>7.0000000000000001E-3</v>
      </c>
      <c r="O67">
        <v>0.109</v>
      </c>
      <c r="P67">
        <v>13631028</v>
      </c>
      <c r="Q67">
        <v>586586</v>
      </c>
      <c r="R67">
        <v>14217614</v>
      </c>
      <c r="S67">
        <v>6.9000000000000006E-2</v>
      </c>
      <c r="T67">
        <v>3.0000000000000001E-3</v>
      </c>
      <c r="U67">
        <v>7.1999999999999995E-2</v>
      </c>
      <c r="V67">
        <v>181204742</v>
      </c>
      <c r="W67">
        <v>0.92100000000000004</v>
      </c>
      <c r="X67">
        <v>-481348</v>
      </c>
      <c r="Y67">
        <v>-139518</v>
      </c>
      <c r="Z67">
        <v>-620866</v>
      </c>
      <c r="AA67">
        <v>1491490</v>
      </c>
      <c r="AB67">
        <v>164300</v>
      </c>
      <c r="AC67">
        <v>1655790</v>
      </c>
      <c r="AD67">
        <v>128</v>
      </c>
      <c r="AE67">
        <v>2</v>
      </c>
      <c r="AF67">
        <v>130</v>
      </c>
      <c r="AG67">
        <v>1552647</v>
      </c>
      <c r="AH67">
        <v>9600</v>
      </c>
      <c r="AI67">
        <v>1562247</v>
      </c>
      <c r="AJ67">
        <v>5</v>
      </c>
      <c r="AK67">
        <v>259106</v>
      </c>
      <c r="AL67">
        <v>8</v>
      </c>
      <c r="AM67">
        <v>296962</v>
      </c>
      <c r="AN67">
        <v>5.0599999999999996</v>
      </c>
      <c r="AO67">
        <v>4.8099999999999996</v>
      </c>
      <c r="AP67">
        <v>5.04</v>
      </c>
      <c r="AQ67">
        <v>4.87</v>
      </c>
      <c r="AR67">
        <v>4.74</v>
      </c>
      <c r="AS67">
        <v>4.8499999999999996</v>
      </c>
    </row>
    <row r="68" spans="1:45" x14ac:dyDescent="0.25">
      <c r="A68" t="s">
        <v>19841</v>
      </c>
      <c r="B68">
        <v>6865</v>
      </c>
      <c r="C68">
        <v>196465219</v>
      </c>
      <c r="D68">
        <v>14181743</v>
      </c>
      <c r="E68">
        <v>457868</v>
      </c>
      <c r="F68">
        <v>14639611</v>
      </c>
      <c r="G68">
        <v>7.1999999999999995E-2</v>
      </c>
      <c r="H68">
        <v>2E-3</v>
      </c>
      <c r="I68">
        <v>7.4999999999999997E-2</v>
      </c>
      <c r="J68">
        <v>18971757</v>
      </c>
      <c r="K68">
        <v>1158806</v>
      </c>
      <c r="L68">
        <v>20085963</v>
      </c>
      <c r="M68">
        <v>9.6000000000000002E-2</v>
      </c>
      <c r="N68">
        <v>6.0000000000000001E-3</v>
      </c>
      <c r="O68">
        <v>0.10199999999999999</v>
      </c>
      <c r="P68">
        <v>13172191</v>
      </c>
      <c r="Q68">
        <v>456503</v>
      </c>
      <c r="R68">
        <v>13628694</v>
      </c>
      <c r="S68">
        <v>6.7000000000000004E-2</v>
      </c>
      <c r="T68">
        <v>2E-3</v>
      </c>
      <c r="U68">
        <v>6.9000000000000006E-2</v>
      </c>
      <c r="V68">
        <v>181825608</v>
      </c>
      <c r="W68">
        <v>0.92500000000000004</v>
      </c>
      <c r="X68">
        <v>-459794</v>
      </c>
      <c r="Y68">
        <v>-34392</v>
      </c>
      <c r="Z68">
        <v>-494186</v>
      </c>
      <c r="AA68">
        <v>1615112</v>
      </c>
      <c r="AB68">
        <v>91595</v>
      </c>
      <c r="AC68">
        <v>1706707</v>
      </c>
      <c r="AD68">
        <v>142</v>
      </c>
      <c r="AE68">
        <v>3</v>
      </c>
      <c r="AF68">
        <v>145</v>
      </c>
      <c r="AG68">
        <v>1471103</v>
      </c>
      <c r="AH68">
        <v>34608</v>
      </c>
      <c r="AI68">
        <v>1505711</v>
      </c>
      <c r="AJ68">
        <v>7</v>
      </c>
      <c r="AK68">
        <v>183802</v>
      </c>
      <c r="AL68">
        <v>10</v>
      </c>
      <c r="AM68">
        <v>529688</v>
      </c>
      <c r="AN68">
        <v>5.15</v>
      </c>
      <c r="AO68">
        <v>4.96</v>
      </c>
      <c r="AP68">
        <v>5.13</v>
      </c>
      <c r="AQ68">
        <v>4.9800000000000004</v>
      </c>
      <c r="AR68">
        <v>4.91</v>
      </c>
      <c r="AS68">
        <v>4.9800000000000004</v>
      </c>
    </row>
    <row r="69" spans="1:45" x14ac:dyDescent="0.25">
      <c r="A69" t="s">
        <v>19842</v>
      </c>
      <c r="B69">
        <v>6868</v>
      </c>
      <c r="C69">
        <v>196422029</v>
      </c>
      <c r="D69">
        <v>13678759</v>
      </c>
      <c r="E69">
        <v>423476</v>
      </c>
      <c r="F69">
        <v>14102235</v>
      </c>
      <c r="G69">
        <v>7.0000000000000007E-2</v>
      </c>
      <c r="H69">
        <v>2E-3</v>
      </c>
      <c r="I69">
        <v>7.1999999999999995E-2</v>
      </c>
      <c r="J69">
        <v>18177200</v>
      </c>
      <c r="K69">
        <v>1104226</v>
      </c>
      <c r="L69">
        <v>19235133</v>
      </c>
      <c r="M69">
        <v>9.1999999999999998E-2</v>
      </c>
      <c r="N69">
        <v>6.0000000000000001E-3</v>
      </c>
      <c r="O69">
        <v>9.8000000000000004E-2</v>
      </c>
      <c r="P69">
        <v>12804204</v>
      </c>
      <c r="Q69">
        <v>399054</v>
      </c>
      <c r="R69">
        <v>13203258</v>
      </c>
      <c r="S69">
        <v>6.5000000000000002E-2</v>
      </c>
      <c r="T69">
        <v>2E-3</v>
      </c>
      <c r="U69">
        <v>6.7000000000000004E-2</v>
      </c>
      <c r="V69">
        <v>182319794</v>
      </c>
      <c r="W69">
        <v>0.92800000000000005</v>
      </c>
      <c r="X69">
        <v>-237264</v>
      </c>
      <c r="Y69">
        <v>173825</v>
      </c>
      <c r="Z69">
        <v>-63439</v>
      </c>
      <c r="AA69">
        <v>1968169</v>
      </c>
      <c r="AB69">
        <v>234111</v>
      </c>
      <c r="AC69">
        <v>2202280</v>
      </c>
      <c r="AD69">
        <v>153</v>
      </c>
      <c r="AE69">
        <v>5</v>
      </c>
      <c r="AF69">
        <v>158</v>
      </c>
      <c r="AG69">
        <v>2240245</v>
      </c>
      <c r="AH69">
        <v>77972</v>
      </c>
      <c r="AI69">
        <v>2318217</v>
      </c>
      <c r="AJ69">
        <v>17</v>
      </c>
      <c r="AK69">
        <v>1015970</v>
      </c>
      <c r="AL69">
        <v>15</v>
      </c>
      <c r="AM69">
        <v>657090</v>
      </c>
      <c r="AN69">
        <v>5.14</v>
      </c>
      <c r="AO69">
        <v>4.97</v>
      </c>
      <c r="AP69">
        <v>5.13</v>
      </c>
      <c r="AQ69">
        <v>4.97</v>
      </c>
      <c r="AR69">
        <v>4.93</v>
      </c>
      <c r="AS69">
        <v>4.97</v>
      </c>
    </row>
    <row r="70" spans="1:45" x14ac:dyDescent="0.25">
      <c r="A70" t="s">
        <v>19843</v>
      </c>
      <c r="B70">
        <v>6853</v>
      </c>
      <c r="C70">
        <v>195428892</v>
      </c>
      <c r="D70">
        <v>12448358</v>
      </c>
      <c r="E70">
        <v>597301</v>
      </c>
      <c r="F70">
        <v>13045659</v>
      </c>
      <c r="G70">
        <v>6.4000000000000001E-2</v>
      </c>
      <c r="H70">
        <v>3.0000000000000001E-3</v>
      </c>
      <c r="I70">
        <v>6.7000000000000004E-2</v>
      </c>
      <c r="J70">
        <v>17130262</v>
      </c>
      <c r="K70">
        <v>1242159</v>
      </c>
      <c r="L70">
        <v>18276352</v>
      </c>
      <c r="M70">
        <v>8.6999999999999994E-2</v>
      </c>
      <c r="N70">
        <v>6.0000000000000001E-3</v>
      </c>
      <c r="O70">
        <v>9.2999999999999999E-2</v>
      </c>
      <c r="P70">
        <v>11794602</v>
      </c>
      <c r="Q70">
        <v>460055</v>
      </c>
      <c r="R70">
        <v>12254657</v>
      </c>
      <c r="S70">
        <v>0.06</v>
      </c>
      <c r="T70">
        <v>2E-3</v>
      </c>
      <c r="U70">
        <v>6.3E-2</v>
      </c>
      <c r="V70">
        <v>182383233</v>
      </c>
      <c r="W70">
        <v>0.93300000000000005</v>
      </c>
      <c r="X70">
        <v>765312</v>
      </c>
      <c r="Y70">
        <v>152403</v>
      </c>
      <c r="Z70">
        <v>917715</v>
      </c>
      <c r="AA70">
        <v>2550677</v>
      </c>
      <c r="AB70">
        <v>239121</v>
      </c>
      <c r="AC70">
        <v>2789798</v>
      </c>
      <c r="AD70">
        <v>150</v>
      </c>
      <c r="AE70">
        <v>9</v>
      </c>
      <c r="AF70">
        <v>159</v>
      </c>
      <c r="AG70">
        <v>1690043</v>
      </c>
      <c r="AH70">
        <v>322396</v>
      </c>
      <c r="AI70">
        <v>2012439</v>
      </c>
      <c r="AJ70">
        <v>19</v>
      </c>
      <c r="AK70">
        <v>616749</v>
      </c>
      <c r="AL70">
        <v>28</v>
      </c>
      <c r="AM70">
        <v>1554419</v>
      </c>
      <c r="AN70">
        <v>5.18</v>
      </c>
      <c r="AO70">
        <v>4.8899999999999997</v>
      </c>
      <c r="AP70">
        <v>5.15</v>
      </c>
      <c r="AQ70">
        <v>5</v>
      </c>
      <c r="AR70">
        <v>4.8499999999999996</v>
      </c>
      <c r="AS70">
        <v>4.9800000000000004</v>
      </c>
    </row>
    <row r="71" spans="1:45" x14ac:dyDescent="0.25">
      <c r="A71" t="s">
        <v>19844</v>
      </c>
      <c r="B71">
        <v>6840</v>
      </c>
      <c r="C71">
        <v>195512570</v>
      </c>
      <c r="D71">
        <v>13297348</v>
      </c>
      <c r="E71">
        <v>749704</v>
      </c>
      <c r="F71">
        <v>14047052</v>
      </c>
      <c r="G71">
        <v>6.8000000000000005E-2</v>
      </c>
      <c r="H71">
        <v>4.0000000000000001E-3</v>
      </c>
      <c r="I71">
        <v>7.1999999999999995E-2</v>
      </c>
      <c r="J71">
        <v>17132266</v>
      </c>
      <c r="K71">
        <v>1313401</v>
      </c>
      <c r="L71">
        <v>18381925</v>
      </c>
      <c r="M71">
        <v>8.6999999999999994E-2</v>
      </c>
      <c r="N71">
        <v>7.0000000000000001E-3</v>
      </c>
      <c r="O71">
        <v>9.2999999999999999E-2</v>
      </c>
      <c r="P71">
        <v>11654031</v>
      </c>
      <c r="Q71">
        <v>749704</v>
      </c>
      <c r="R71">
        <v>12403735</v>
      </c>
      <c r="S71">
        <v>0.06</v>
      </c>
      <c r="T71">
        <v>4.0000000000000001E-3</v>
      </c>
      <c r="U71">
        <v>6.3E-2</v>
      </c>
      <c r="V71">
        <v>181465518</v>
      </c>
      <c r="W71">
        <v>0.92800000000000005</v>
      </c>
      <c r="X71">
        <v>-536372</v>
      </c>
      <c r="Y71">
        <v>-264573</v>
      </c>
      <c r="Z71">
        <v>-800945</v>
      </c>
      <c r="AA71">
        <v>1984005</v>
      </c>
      <c r="AB71">
        <v>33163</v>
      </c>
      <c r="AC71">
        <v>2017168</v>
      </c>
      <c r="AD71">
        <v>166</v>
      </c>
      <c r="AE71">
        <v>3</v>
      </c>
      <c r="AF71">
        <v>169</v>
      </c>
      <c r="AG71">
        <v>1631666</v>
      </c>
      <c r="AH71">
        <v>50742</v>
      </c>
      <c r="AI71">
        <v>1682408</v>
      </c>
      <c r="AJ71">
        <v>8</v>
      </c>
      <c r="AK71">
        <v>536981</v>
      </c>
      <c r="AL71">
        <v>39</v>
      </c>
      <c r="AM71">
        <v>1819221</v>
      </c>
      <c r="AN71">
        <v>5.15</v>
      </c>
      <c r="AO71">
        <v>4.74</v>
      </c>
      <c r="AP71">
        <v>5.12</v>
      </c>
      <c r="AQ71">
        <v>5.01</v>
      </c>
      <c r="AR71">
        <v>4.67</v>
      </c>
      <c r="AS71">
        <v>4.9800000000000004</v>
      </c>
    </row>
    <row r="72" spans="1:45" x14ac:dyDescent="0.25">
      <c r="A72" t="s">
        <v>19845</v>
      </c>
      <c r="B72">
        <v>6833</v>
      </c>
      <c r="C72">
        <v>195364589</v>
      </c>
      <c r="D72">
        <v>12612995</v>
      </c>
      <c r="E72">
        <v>485131</v>
      </c>
      <c r="F72">
        <v>13098126</v>
      </c>
      <c r="G72">
        <v>6.5000000000000002E-2</v>
      </c>
      <c r="H72">
        <v>2E-3</v>
      </c>
      <c r="I72">
        <v>6.7000000000000004E-2</v>
      </c>
      <c r="J72">
        <v>15974407</v>
      </c>
      <c r="K72">
        <v>988639</v>
      </c>
      <c r="L72">
        <v>16896422</v>
      </c>
      <c r="M72">
        <v>8.1000000000000003E-2</v>
      </c>
      <c r="N72">
        <v>5.0000000000000001E-3</v>
      </c>
      <c r="O72">
        <v>8.5999999999999993E-2</v>
      </c>
      <c r="P72">
        <v>10984423</v>
      </c>
      <c r="Q72">
        <v>485131</v>
      </c>
      <c r="R72">
        <v>11469554</v>
      </c>
      <c r="S72">
        <v>5.6000000000000001E-2</v>
      </c>
      <c r="T72">
        <v>2E-3</v>
      </c>
      <c r="U72">
        <v>5.8999999999999997E-2</v>
      </c>
      <c r="V72">
        <v>182266463</v>
      </c>
      <c r="W72">
        <v>0.93300000000000005</v>
      </c>
      <c r="X72">
        <v>-75759</v>
      </c>
      <c r="Y72">
        <v>11346</v>
      </c>
      <c r="Z72">
        <v>-64413</v>
      </c>
      <c r="AA72">
        <v>2705010</v>
      </c>
      <c r="AB72">
        <v>90150</v>
      </c>
      <c r="AC72">
        <v>2795160</v>
      </c>
      <c r="AD72">
        <v>177</v>
      </c>
      <c r="AE72">
        <v>0</v>
      </c>
      <c r="AF72">
        <v>177</v>
      </c>
      <c r="AG72">
        <v>2248837</v>
      </c>
      <c r="AH72">
        <v>0</v>
      </c>
      <c r="AI72">
        <v>2248837</v>
      </c>
      <c r="AJ72">
        <v>18</v>
      </c>
      <c r="AK72">
        <v>941450</v>
      </c>
      <c r="AL72">
        <v>36</v>
      </c>
      <c r="AM72">
        <v>2097891</v>
      </c>
      <c r="AN72">
        <v>5.12</v>
      </c>
      <c r="AO72">
        <v>4.4000000000000004</v>
      </c>
      <c r="AP72">
        <v>5.0599999999999996</v>
      </c>
      <c r="AQ72">
        <v>5</v>
      </c>
      <c r="AR72">
        <v>4.53</v>
      </c>
      <c r="AS72">
        <v>4.96</v>
      </c>
    </row>
    <row r="73" spans="1:45" x14ac:dyDescent="0.25">
      <c r="A73" t="s">
        <v>19846</v>
      </c>
      <c r="B73">
        <v>6819</v>
      </c>
      <c r="C73">
        <v>194458830</v>
      </c>
      <c r="D73">
        <v>11631477</v>
      </c>
      <c r="E73">
        <v>496477</v>
      </c>
      <c r="F73">
        <v>12127954</v>
      </c>
      <c r="G73">
        <v>0.06</v>
      </c>
      <c r="H73">
        <v>3.0000000000000001E-3</v>
      </c>
      <c r="I73">
        <v>6.2E-2</v>
      </c>
      <c r="J73">
        <v>15576306</v>
      </c>
      <c r="K73">
        <v>836341</v>
      </c>
      <c r="L73">
        <v>16378660</v>
      </c>
      <c r="M73">
        <v>7.9000000000000001E-2</v>
      </c>
      <c r="N73">
        <v>4.0000000000000001E-3</v>
      </c>
      <c r="O73">
        <v>8.3000000000000004E-2</v>
      </c>
      <c r="P73">
        <v>10742322</v>
      </c>
      <c r="Q73">
        <v>476308</v>
      </c>
      <c r="R73">
        <v>11218630</v>
      </c>
      <c r="S73">
        <v>5.5E-2</v>
      </c>
      <c r="T73">
        <v>2E-3</v>
      </c>
      <c r="U73">
        <v>5.8000000000000003E-2</v>
      </c>
      <c r="V73">
        <v>182330876</v>
      </c>
      <c r="W73">
        <v>0.93799999999999994</v>
      </c>
      <c r="X73">
        <v>1198625</v>
      </c>
      <c r="Y73">
        <v>-113324</v>
      </c>
      <c r="Z73">
        <v>1085301</v>
      </c>
      <c r="AA73">
        <v>3033060</v>
      </c>
      <c r="AB73">
        <v>71464</v>
      </c>
      <c r="AC73">
        <v>3104524</v>
      </c>
      <c r="AD73">
        <v>164</v>
      </c>
      <c r="AE73">
        <v>4</v>
      </c>
      <c r="AF73">
        <v>168</v>
      </c>
      <c r="AG73">
        <v>1745395</v>
      </c>
      <c r="AH73">
        <v>84125</v>
      </c>
      <c r="AI73">
        <v>1829520</v>
      </c>
      <c r="AJ73">
        <v>16</v>
      </c>
      <c r="AK73">
        <v>1075868</v>
      </c>
      <c r="AL73">
        <v>32</v>
      </c>
      <c r="AM73">
        <v>1946535</v>
      </c>
      <c r="AN73">
        <v>5.04</v>
      </c>
      <c r="AO73">
        <v>3.93</v>
      </c>
      <c r="AP73">
        <v>4.93</v>
      </c>
      <c r="AQ73">
        <v>4.91</v>
      </c>
      <c r="AR73">
        <v>4</v>
      </c>
      <c r="AS73">
        <v>4.82</v>
      </c>
    </row>
    <row r="74" spans="1:45" x14ac:dyDescent="0.25">
      <c r="A74" t="s">
        <v>19847</v>
      </c>
      <c r="B74">
        <v>6804</v>
      </c>
      <c r="C74">
        <v>193386562</v>
      </c>
      <c r="D74">
        <v>11757834</v>
      </c>
      <c r="E74">
        <v>383153</v>
      </c>
      <c r="F74">
        <v>12140987</v>
      </c>
      <c r="G74">
        <v>6.0999999999999999E-2</v>
      </c>
      <c r="H74">
        <v>2E-3</v>
      </c>
      <c r="I74">
        <v>6.3E-2</v>
      </c>
      <c r="J74">
        <v>15187369</v>
      </c>
      <c r="K74">
        <v>821541</v>
      </c>
      <c r="L74">
        <v>15930961</v>
      </c>
      <c r="M74">
        <v>7.8E-2</v>
      </c>
      <c r="N74">
        <v>4.0000000000000001E-3</v>
      </c>
      <c r="O74">
        <v>8.1000000000000003E-2</v>
      </c>
      <c r="P74">
        <v>10532644</v>
      </c>
      <c r="Q74">
        <v>383153</v>
      </c>
      <c r="R74">
        <v>10915797</v>
      </c>
      <c r="S74">
        <v>5.3999999999999999E-2</v>
      </c>
      <c r="T74">
        <v>2E-3</v>
      </c>
      <c r="U74">
        <v>5.6000000000000001E-2</v>
      </c>
      <c r="V74">
        <v>181245575</v>
      </c>
      <c r="W74">
        <v>0.93700000000000006</v>
      </c>
      <c r="X74">
        <v>1421406</v>
      </c>
      <c r="Y74">
        <v>-7008</v>
      </c>
      <c r="Z74">
        <v>1414398</v>
      </c>
      <c r="AA74">
        <v>2552491</v>
      </c>
      <c r="AB74">
        <v>69080</v>
      </c>
      <c r="AC74">
        <v>2621571</v>
      </c>
      <c r="AD74">
        <v>178</v>
      </c>
      <c r="AE74">
        <v>3</v>
      </c>
      <c r="AF74">
        <v>181</v>
      </c>
      <c r="AG74">
        <v>2718785</v>
      </c>
      <c r="AH74">
        <v>52636</v>
      </c>
      <c r="AI74">
        <v>2771421</v>
      </c>
      <c r="AJ74">
        <v>12</v>
      </c>
      <c r="AK74">
        <v>697236</v>
      </c>
      <c r="AL74">
        <v>37</v>
      </c>
      <c r="AM74">
        <v>2364436</v>
      </c>
      <c r="AN74">
        <v>5.01</v>
      </c>
      <c r="AO74">
        <v>3.86</v>
      </c>
      <c r="AP74">
        <v>4.9000000000000004</v>
      </c>
      <c r="AQ74">
        <v>4.88</v>
      </c>
      <c r="AR74">
        <v>3.94</v>
      </c>
      <c r="AS74">
        <v>4.79</v>
      </c>
    </row>
    <row r="75" spans="1:45" x14ac:dyDescent="0.25">
      <c r="A75" t="s">
        <v>19848</v>
      </c>
      <c r="B75">
        <v>6793</v>
      </c>
      <c r="C75">
        <v>192706630</v>
      </c>
      <c r="D75">
        <v>12499308</v>
      </c>
      <c r="E75">
        <v>376145</v>
      </c>
      <c r="F75">
        <v>12875453</v>
      </c>
      <c r="G75">
        <v>6.5000000000000002E-2</v>
      </c>
      <c r="H75">
        <v>2E-3</v>
      </c>
      <c r="I75">
        <v>6.7000000000000004E-2</v>
      </c>
      <c r="J75">
        <v>15072905</v>
      </c>
      <c r="K75">
        <v>780090</v>
      </c>
      <c r="L75">
        <v>15765886</v>
      </c>
      <c r="M75">
        <v>7.6999999999999999E-2</v>
      </c>
      <c r="N75">
        <v>4.0000000000000001E-3</v>
      </c>
      <c r="O75">
        <v>8.1000000000000003E-2</v>
      </c>
      <c r="P75">
        <v>11332770</v>
      </c>
      <c r="Q75">
        <v>309945</v>
      </c>
      <c r="R75">
        <v>11642715</v>
      </c>
      <c r="S75">
        <v>5.8999999999999997E-2</v>
      </c>
      <c r="T75">
        <v>2E-3</v>
      </c>
      <c r="U75">
        <v>0.06</v>
      </c>
      <c r="V75">
        <v>179831177</v>
      </c>
      <c r="W75">
        <v>0.93300000000000005</v>
      </c>
      <c r="X75">
        <v>305052</v>
      </c>
      <c r="Y75">
        <v>350228</v>
      </c>
      <c r="Z75">
        <v>655280</v>
      </c>
      <c r="AA75">
        <v>2251005</v>
      </c>
      <c r="AB75">
        <v>383557</v>
      </c>
      <c r="AC75">
        <v>2634562</v>
      </c>
      <c r="AD75">
        <v>132</v>
      </c>
      <c r="AE75">
        <v>1</v>
      </c>
      <c r="AF75">
        <v>133</v>
      </c>
      <c r="AG75">
        <v>1540378</v>
      </c>
      <c r="AH75">
        <v>125786</v>
      </c>
      <c r="AI75">
        <v>1666164</v>
      </c>
      <c r="AJ75">
        <v>13</v>
      </c>
      <c r="AK75">
        <v>600066</v>
      </c>
      <c r="AL75">
        <v>33</v>
      </c>
      <c r="AM75">
        <v>2406668</v>
      </c>
      <c r="AN75">
        <v>4.97</v>
      </c>
      <c r="AO75">
        <v>3.58</v>
      </c>
      <c r="AP75">
        <v>4.8499999999999996</v>
      </c>
      <c r="AQ75">
        <v>4.8600000000000003</v>
      </c>
      <c r="AR75">
        <v>3.72</v>
      </c>
      <c r="AS75">
        <v>4.76</v>
      </c>
    </row>
    <row r="76" spans="1:45" x14ac:dyDescent="0.25">
      <c r="A76" t="s">
        <v>19849</v>
      </c>
      <c r="B76">
        <v>6780</v>
      </c>
      <c r="C76">
        <v>192106564</v>
      </c>
      <c r="D76">
        <v>12204294</v>
      </c>
      <c r="E76">
        <v>726373</v>
      </c>
      <c r="F76">
        <v>12930667</v>
      </c>
      <c r="G76">
        <v>6.4000000000000001E-2</v>
      </c>
      <c r="H76">
        <v>4.0000000000000001E-3</v>
      </c>
      <c r="I76">
        <v>6.7000000000000004E-2</v>
      </c>
      <c r="J76">
        <v>14859295</v>
      </c>
      <c r="K76">
        <v>833097</v>
      </c>
      <c r="L76">
        <v>15411805</v>
      </c>
      <c r="M76">
        <v>7.5999999999999998E-2</v>
      </c>
      <c r="N76">
        <v>4.0000000000000001E-3</v>
      </c>
      <c r="O76">
        <v>7.9000000000000001E-2</v>
      </c>
      <c r="P76">
        <v>10915498</v>
      </c>
      <c r="Q76">
        <v>596008</v>
      </c>
      <c r="R76">
        <v>11511506</v>
      </c>
      <c r="S76">
        <v>5.7000000000000002E-2</v>
      </c>
      <c r="T76">
        <v>3.0000000000000001E-3</v>
      </c>
      <c r="U76">
        <v>0.06</v>
      </c>
      <c r="V76">
        <v>179175897</v>
      </c>
      <c r="W76">
        <v>0.93300000000000005</v>
      </c>
      <c r="X76">
        <v>1161190</v>
      </c>
      <c r="Y76">
        <v>-12450</v>
      </c>
      <c r="Z76">
        <v>1148740</v>
      </c>
      <c r="AA76">
        <v>3045745</v>
      </c>
      <c r="AB76">
        <v>95921</v>
      </c>
      <c r="AC76">
        <v>3141666</v>
      </c>
      <c r="AD76">
        <v>169</v>
      </c>
      <c r="AE76">
        <v>3</v>
      </c>
      <c r="AF76">
        <v>172</v>
      </c>
      <c r="AG76">
        <v>2229297</v>
      </c>
      <c r="AH76">
        <v>148194</v>
      </c>
      <c r="AI76">
        <v>2377491</v>
      </c>
      <c r="AJ76">
        <v>11</v>
      </c>
      <c r="AK76">
        <v>504322</v>
      </c>
      <c r="AL76">
        <v>31</v>
      </c>
      <c r="AM76">
        <v>2459561</v>
      </c>
      <c r="AN76">
        <v>4.97</v>
      </c>
      <c r="AO76">
        <v>3.48</v>
      </c>
      <c r="AP76">
        <v>4.83</v>
      </c>
      <c r="AQ76">
        <v>4.83</v>
      </c>
      <c r="AR76">
        <v>3.68</v>
      </c>
      <c r="AS76">
        <v>4.7300000000000004</v>
      </c>
    </row>
    <row r="77" spans="1:45" x14ac:dyDescent="0.25">
      <c r="A77" t="s">
        <v>19850</v>
      </c>
      <c r="B77">
        <v>6771</v>
      </c>
      <c r="C77">
        <v>191857379</v>
      </c>
      <c r="D77">
        <v>13116299</v>
      </c>
      <c r="E77">
        <v>713923</v>
      </c>
      <c r="F77">
        <v>13830222</v>
      </c>
      <c r="G77">
        <v>6.8000000000000005E-2</v>
      </c>
      <c r="H77">
        <v>4.0000000000000001E-3</v>
      </c>
      <c r="I77">
        <v>7.1999999999999995E-2</v>
      </c>
      <c r="J77">
        <v>15759877</v>
      </c>
      <c r="K77">
        <v>1109299</v>
      </c>
      <c r="L77">
        <v>16557449</v>
      </c>
      <c r="M77">
        <v>8.1000000000000003E-2</v>
      </c>
      <c r="N77">
        <v>6.0000000000000001E-3</v>
      </c>
      <c r="O77">
        <v>8.5000000000000006E-2</v>
      </c>
      <c r="P77">
        <v>11606782</v>
      </c>
      <c r="Q77">
        <v>699016</v>
      </c>
      <c r="R77">
        <v>12305798</v>
      </c>
      <c r="S77">
        <v>0.06</v>
      </c>
      <c r="T77">
        <v>4.0000000000000001E-3</v>
      </c>
      <c r="U77">
        <v>6.4000000000000001E-2</v>
      </c>
      <c r="V77">
        <v>178027157</v>
      </c>
      <c r="W77">
        <v>0.92800000000000005</v>
      </c>
      <c r="X77">
        <v>1414142</v>
      </c>
      <c r="Y77">
        <v>-24830</v>
      </c>
      <c r="Z77">
        <v>1389312</v>
      </c>
      <c r="AA77">
        <v>3542538</v>
      </c>
      <c r="AB77">
        <v>120578</v>
      </c>
      <c r="AC77">
        <v>3663116</v>
      </c>
      <c r="AD77">
        <v>152</v>
      </c>
      <c r="AE77">
        <v>4</v>
      </c>
      <c r="AF77">
        <v>156</v>
      </c>
      <c r="AG77">
        <v>1951240</v>
      </c>
      <c r="AH77">
        <v>45486</v>
      </c>
      <c r="AI77">
        <v>1996726</v>
      </c>
      <c r="AJ77">
        <v>16</v>
      </c>
      <c r="AK77">
        <v>700133</v>
      </c>
      <c r="AL77">
        <v>27</v>
      </c>
      <c r="AM77">
        <v>2467823</v>
      </c>
      <c r="AN77">
        <v>4.91</v>
      </c>
      <c r="AO77">
        <v>3.62</v>
      </c>
      <c r="AP77">
        <v>4.79</v>
      </c>
      <c r="AQ77">
        <v>4.7699999999999996</v>
      </c>
      <c r="AR77">
        <v>3.83</v>
      </c>
      <c r="AS77">
        <v>4.68</v>
      </c>
    </row>
    <row r="78" spans="1:45" x14ac:dyDescent="0.25">
      <c r="A78" t="s">
        <v>19851</v>
      </c>
      <c r="B78">
        <v>6764</v>
      </c>
      <c r="C78">
        <v>191391872</v>
      </c>
      <c r="D78">
        <v>14064871</v>
      </c>
      <c r="E78">
        <v>689086</v>
      </c>
      <c r="F78">
        <v>14753957</v>
      </c>
      <c r="G78">
        <v>7.2999999999999995E-2</v>
      </c>
      <c r="H78">
        <v>4.0000000000000001E-3</v>
      </c>
      <c r="I78">
        <v>7.6999999999999999E-2</v>
      </c>
      <c r="J78">
        <v>16341864</v>
      </c>
      <c r="K78">
        <v>1037894</v>
      </c>
      <c r="L78">
        <v>17080997</v>
      </c>
      <c r="M78">
        <v>8.5000000000000006E-2</v>
      </c>
      <c r="N78">
        <v>5.0000000000000001E-3</v>
      </c>
      <c r="O78">
        <v>8.7999999999999995E-2</v>
      </c>
      <c r="P78">
        <v>12590746</v>
      </c>
      <c r="Q78">
        <v>689086</v>
      </c>
      <c r="R78">
        <v>13279832</v>
      </c>
      <c r="S78">
        <v>6.6000000000000003E-2</v>
      </c>
      <c r="T78">
        <v>4.0000000000000001E-3</v>
      </c>
      <c r="U78">
        <v>6.9000000000000006E-2</v>
      </c>
      <c r="V78">
        <v>176637915</v>
      </c>
      <c r="W78">
        <v>0.92300000000000004</v>
      </c>
      <c r="X78">
        <v>874103</v>
      </c>
      <c r="Y78">
        <v>10860</v>
      </c>
      <c r="Z78">
        <v>884963</v>
      </c>
      <c r="AA78">
        <v>2661559</v>
      </c>
      <c r="AB78">
        <v>148495</v>
      </c>
      <c r="AC78">
        <v>2810054</v>
      </c>
      <c r="AD78">
        <v>152</v>
      </c>
      <c r="AE78">
        <v>4</v>
      </c>
      <c r="AF78">
        <v>156</v>
      </c>
      <c r="AG78">
        <v>1711421</v>
      </c>
      <c r="AH78">
        <v>60287</v>
      </c>
      <c r="AI78">
        <v>1771708</v>
      </c>
      <c r="AJ78">
        <v>10</v>
      </c>
      <c r="AK78">
        <v>269262</v>
      </c>
      <c r="AL78">
        <v>32</v>
      </c>
      <c r="AM78">
        <v>1685806</v>
      </c>
      <c r="AN78">
        <v>4.9000000000000004</v>
      </c>
      <c r="AO78">
        <v>3.6</v>
      </c>
      <c r="AP78">
        <v>4.78</v>
      </c>
      <c r="AQ78">
        <v>4.76</v>
      </c>
      <c r="AR78">
        <v>3.84</v>
      </c>
      <c r="AS78">
        <v>4.68</v>
      </c>
    </row>
    <row r="79" spans="1:45" x14ac:dyDescent="0.25">
      <c r="A79" t="s">
        <v>19852</v>
      </c>
      <c r="B79">
        <v>6754</v>
      </c>
      <c r="C79">
        <v>191122610</v>
      </c>
      <c r="D79">
        <v>14669712</v>
      </c>
      <c r="E79">
        <v>699946</v>
      </c>
      <c r="F79">
        <v>15369658</v>
      </c>
      <c r="G79">
        <v>7.6999999999999999E-2</v>
      </c>
      <c r="H79">
        <v>4.0000000000000001E-3</v>
      </c>
      <c r="I79">
        <v>0.08</v>
      </c>
      <c r="J79">
        <v>16580913</v>
      </c>
      <c r="K79">
        <v>1093230</v>
      </c>
      <c r="L79">
        <v>17277803</v>
      </c>
      <c r="M79">
        <v>8.5999999999999993E-2</v>
      </c>
      <c r="N79">
        <v>6.0000000000000001E-3</v>
      </c>
      <c r="O79">
        <v>0.09</v>
      </c>
      <c r="P79">
        <v>13019419</v>
      </c>
      <c r="Q79">
        <v>644137</v>
      </c>
      <c r="R79">
        <v>13663556</v>
      </c>
      <c r="S79">
        <v>6.8000000000000005E-2</v>
      </c>
      <c r="T79">
        <v>3.0000000000000001E-3</v>
      </c>
      <c r="U79">
        <v>7.0999999999999994E-2</v>
      </c>
      <c r="V79">
        <v>175752952</v>
      </c>
      <c r="W79">
        <v>0.92</v>
      </c>
      <c r="X79">
        <v>592924</v>
      </c>
      <c r="Y79">
        <v>85857</v>
      </c>
      <c r="Z79">
        <v>678781</v>
      </c>
      <c r="AA79">
        <v>2430658</v>
      </c>
      <c r="AB79">
        <v>147307</v>
      </c>
      <c r="AC79">
        <v>2577965</v>
      </c>
      <c r="AD79">
        <v>176</v>
      </c>
      <c r="AE79">
        <v>4</v>
      </c>
      <c r="AF79">
        <v>180</v>
      </c>
      <c r="AG79">
        <v>2485945</v>
      </c>
      <c r="AH79">
        <v>215907</v>
      </c>
      <c r="AI79">
        <v>2701852</v>
      </c>
      <c r="AJ79">
        <v>14</v>
      </c>
      <c r="AK79">
        <v>307997</v>
      </c>
      <c r="AL79">
        <v>31</v>
      </c>
      <c r="AM79">
        <v>1784596</v>
      </c>
      <c r="AN79">
        <v>4.8600000000000003</v>
      </c>
      <c r="AO79">
        <v>3.5</v>
      </c>
      <c r="AP79">
        <v>4.72</v>
      </c>
      <c r="AQ79">
        <v>4.6900000000000004</v>
      </c>
      <c r="AR79">
        <v>3.52</v>
      </c>
      <c r="AS79">
        <v>4.5599999999999996</v>
      </c>
    </row>
    <row r="80" spans="1:45" x14ac:dyDescent="0.25">
      <c r="A80" t="s">
        <v>19853</v>
      </c>
      <c r="B80">
        <v>6741</v>
      </c>
      <c r="C80">
        <v>190823513</v>
      </c>
      <c r="D80">
        <v>14963542</v>
      </c>
      <c r="E80">
        <v>785800</v>
      </c>
      <c r="F80">
        <v>15749342</v>
      </c>
      <c r="G80">
        <v>7.8E-2</v>
      </c>
      <c r="H80">
        <v>4.0000000000000001E-3</v>
      </c>
      <c r="I80">
        <v>8.3000000000000004E-2</v>
      </c>
      <c r="J80">
        <v>17518453</v>
      </c>
      <c r="K80">
        <v>1530770</v>
      </c>
      <c r="L80">
        <v>18655213</v>
      </c>
      <c r="M80">
        <v>9.0999999999999998E-2</v>
      </c>
      <c r="N80">
        <v>8.0000000000000002E-3</v>
      </c>
      <c r="O80">
        <v>9.7000000000000003E-2</v>
      </c>
      <c r="P80">
        <v>13808281</v>
      </c>
      <c r="Q80">
        <v>749086</v>
      </c>
      <c r="R80">
        <v>14557367</v>
      </c>
      <c r="S80">
        <v>7.1999999999999995E-2</v>
      </c>
      <c r="T80">
        <v>4.0000000000000001E-3</v>
      </c>
      <c r="U80">
        <v>7.5999999999999998E-2</v>
      </c>
      <c r="V80">
        <v>175074171</v>
      </c>
      <c r="W80">
        <v>0.91700000000000004</v>
      </c>
      <c r="X80">
        <v>929256</v>
      </c>
      <c r="Y80">
        <v>-160367</v>
      </c>
      <c r="Z80">
        <v>768889</v>
      </c>
      <c r="AA80">
        <v>3029194</v>
      </c>
      <c r="AB80">
        <v>177039</v>
      </c>
      <c r="AC80">
        <v>3206233</v>
      </c>
      <c r="AD80">
        <v>177</v>
      </c>
      <c r="AE80">
        <v>3</v>
      </c>
      <c r="AF80">
        <v>180</v>
      </c>
      <c r="AG80">
        <v>2039552</v>
      </c>
      <c r="AH80">
        <v>32350</v>
      </c>
      <c r="AI80">
        <v>2071902</v>
      </c>
      <c r="AJ80">
        <v>18</v>
      </c>
      <c r="AK80">
        <v>794877</v>
      </c>
      <c r="AL80">
        <v>30</v>
      </c>
      <c r="AM80">
        <v>1121072</v>
      </c>
      <c r="AN80">
        <v>4.83</v>
      </c>
      <c r="AO80">
        <v>3.7</v>
      </c>
      <c r="AP80">
        <v>4.7</v>
      </c>
      <c r="AQ80">
        <v>4.63</v>
      </c>
      <c r="AR80">
        <v>3.64</v>
      </c>
      <c r="AS80">
        <v>4.51</v>
      </c>
    </row>
    <row r="81" spans="1:45" x14ac:dyDescent="0.25">
      <c r="A81" t="s">
        <v>19981</v>
      </c>
      <c r="B81">
        <v>6724</v>
      </c>
      <c r="C81">
        <v>190034386</v>
      </c>
      <c r="D81">
        <v>15103681</v>
      </c>
      <c r="E81">
        <v>625443</v>
      </c>
      <c r="F81">
        <v>15729124</v>
      </c>
      <c r="G81">
        <v>7.9000000000000001E-2</v>
      </c>
      <c r="H81">
        <v>3.0000000000000001E-3</v>
      </c>
      <c r="I81">
        <v>8.3000000000000004E-2</v>
      </c>
      <c r="J81">
        <v>18637918</v>
      </c>
      <c r="K81">
        <v>1365627</v>
      </c>
      <c r="L81">
        <v>19621677</v>
      </c>
      <c r="M81">
        <v>9.7000000000000003E-2</v>
      </c>
      <c r="N81">
        <v>7.0000000000000001E-3</v>
      </c>
      <c r="O81">
        <v>0.10299999999999999</v>
      </c>
      <c r="P81">
        <v>14269393</v>
      </c>
      <c r="Q81">
        <v>625443</v>
      </c>
      <c r="R81">
        <v>14894836</v>
      </c>
      <c r="S81">
        <v>7.4999999999999997E-2</v>
      </c>
      <c r="T81">
        <v>3.0000000000000001E-3</v>
      </c>
      <c r="U81">
        <v>7.8E-2</v>
      </c>
      <c r="V81">
        <v>174305262</v>
      </c>
      <c r="W81">
        <v>0.91700000000000004</v>
      </c>
      <c r="X81">
        <v>426015</v>
      </c>
      <c r="Y81">
        <v>140649</v>
      </c>
      <c r="Z81">
        <v>566664</v>
      </c>
      <c r="AA81">
        <v>2323994</v>
      </c>
      <c r="AB81">
        <v>213909</v>
      </c>
      <c r="AC81">
        <v>2537903</v>
      </c>
      <c r="AD81">
        <v>140</v>
      </c>
      <c r="AE81">
        <v>0</v>
      </c>
      <c r="AF81">
        <v>140</v>
      </c>
      <c r="AG81">
        <v>1816174</v>
      </c>
      <c r="AH81">
        <v>0</v>
      </c>
      <c r="AI81">
        <v>1816174</v>
      </c>
      <c r="AJ81">
        <v>16</v>
      </c>
      <c r="AK81">
        <v>646270</v>
      </c>
      <c r="AL81">
        <v>36</v>
      </c>
      <c r="AM81">
        <v>1213932</v>
      </c>
      <c r="AN81">
        <v>4.6900000000000004</v>
      </c>
      <c r="AO81">
        <v>3.7</v>
      </c>
      <c r="AP81">
        <v>4.59</v>
      </c>
      <c r="AQ81">
        <v>4.51</v>
      </c>
      <c r="AR81">
        <v>3.63</v>
      </c>
      <c r="AS81">
        <v>4.41</v>
      </c>
    </row>
    <row r="82" spans="1:45" x14ac:dyDescent="0.25">
      <c r="A82" t="s">
        <v>19982</v>
      </c>
      <c r="B82">
        <v>6709</v>
      </c>
      <c r="C82">
        <v>189390216</v>
      </c>
      <c r="D82">
        <v>14885526</v>
      </c>
      <c r="E82">
        <v>766092</v>
      </c>
      <c r="F82">
        <v>15651618</v>
      </c>
      <c r="G82">
        <v>7.9000000000000001E-2</v>
      </c>
      <c r="H82">
        <v>4.0000000000000001E-3</v>
      </c>
      <c r="I82">
        <v>8.3000000000000004E-2</v>
      </c>
      <c r="J82">
        <v>17744191</v>
      </c>
      <c r="K82">
        <v>1394712</v>
      </c>
      <c r="L82">
        <v>18847283</v>
      </c>
      <c r="M82">
        <v>9.2999999999999999E-2</v>
      </c>
      <c r="N82">
        <v>7.0000000000000001E-3</v>
      </c>
      <c r="O82">
        <v>9.9000000000000005E-2</v>
      </c>
      <c r="P82">
        <v>13409538</v>
      </c>
      <c r="Q82">
        <v>615830</v>
      </c>
      <c r="R82">
        <v>14025368</v>
      </c>
      <c r="S82">
        <v>7.0999999999999994E-2</v>
      </c>
      <c r="T82">
        <v>3.0000000000000001E-3</v>
      </c>
      <c r="U82">
        <v>7.3999999999999996E-2</v>
      </c>
      <c r="V82">
        <v>173738598</v>
      </c>
      <c r="W82">
        <v>0.91700000000000004</v>
      </c>
      <c r="X82">
        <v>520010</v>
      </c>
      <c r="Y82">
        <v>222343</v>
      </c>
      <c r="Z82">
        <v>742353</v>
      </c>
      <c r="AA82">
        <v>2738545</v>
      </c>
      <c r="AB82">
        <v>344412</v>
      </c>
      <c r="AC82">
        <v>3082957</v>
      </c>
      <c r="AD82">
        <v>127</v>
      </c>
      <c r="AE82">
        <v>2</v>
      </c>
      <c r="AF82">
        <v>129</v>
      </c>
      <c r="AG82">
        <v>1495956</v>
      </c>
      <c r="AH82">
        <v>78479</v>
      </c>
      <c r="AI82">
        <v>1574435</v>
      </c>
      <c r="AJ82">
        <v>18</v>
      </c>
      <c r="AK82">
        <v>668815</v>
      </c>
      <c r="AL82">
        <v>41</v>
      </c>
      <c r="AM82">
        <v>1626223</v>
      </c>
      <c r="AN82">
        <v>4.7</v>
      </c>
      <c r="AO82">
        <v>3.6</v>
      </c>
      <c r="AP82">
        <v>4.58</v>
      </c>
      <c r="AQ82">
        <v>4.5199999999999996</v>
      </c>
      <c r="AR82">
        <v>3.52</v>
      </c>
      <c r="AS82">
        <v>4.4000000000000004</v>
      </c>
    </row>
    <row r="83" spans="1:45" x14ac:dyDescent="0.25">
      <c r="A83" t="s">
        <v>19983</v>
      </c>
      <c r="B83">
        <v>6693</v>
      </c>
      <c r="C83">
        <v>188921580</v>
      </c>
      <c r="D83">
        <v>14936900</v>
      </c>
      <c r="E83">
        <v>988435</v>
      </c>
      <c r="F83">
        <v>15925335</v>
      </c>
      <c r="G83">
        <v>7.9000000000000001E-2</v>
      </c>
      <c r="H83">
        <v>5.0000000000000001E-3</v>
      </c>
      <c r="I83">
        <v>8.4000000000000005E-2</v>
      </c>
      <c r="J83">
        <v>17353936</v>
      </c>
      <c r="K83">
        <v>1561877</v>
      </c>
      <c r="L83">
        <v>18509633</v>
      </c>
      <c r="M83">
        <v>9.0999999999999998E-2</v>
      </c>
      <c r="N83">
        <v>8.0000000000000002E-3</v>
      </c>
      <c r="O83">
        <v>9.7000000000000003E-2</v>
      </c>
      <c r="P83">
        <v>13047605</v>
      </c>
      <c r="Q83">
        <v>808173</v>
      </c>
      <c r="R83">
        <v>13855778</v>
      </c>
      <c r="S83">
        <v>6.9000000000000006E-2</v>
      </c>
      <c r="T83">
        <v>4.0000000000000001E-3</v>
      </c>
      <c r="U83">
        <v>7.2999999999999995E-2</v>
      </c>
      <c r="V83">
        <v>172996245</v>
      </c>
      <c r="W83">
        <v>0.91600000000000004</v>
      </c>
      <c r="X83">
        <v>954951</v>
      </c>
      <c r="Y83">
        <v>124169</v>
      </c>
      <c r="Z83">
        <v>1079120</v>
      </c>
      <c r="AA83">
        <v>2633144</v>
      </c>
      <c r="AB83">
        <v>191733</v>
      </c>
      <c r="AC83">
        <v>2824877</v>
      </c>
      <c r="AD83">
        <v>138</v>
      </c>
      <c r="AE83">
        <v>3</v>
      </c>
      <c r="AF83">
        <v>141</v>
      </c>
      <c r="AG83">
        <v>1683625</v>
      </c>
      <c r="AH83">
        <v>180262</v>
      </c>
      <c r="AI83">
        <v>1863887</v>
      </c>
      <c r="AJ83">
        <v>13</v>
      </c>
      <c r="AK83">
        <v>405886</v>
      </c>
      <c r="AL83">
        <v>41</v>
      </c>
      <c r="AM83">
        <v>1928694</v>
      </c>
      <c r="AN83">
        <v>4.68</v>
      </c>
      <c r="AO83">
        <v>3.6</v>
      </c>
      <c r="AP83">
        <v>4.57</v>
      </c>
      <c r="AQ83">
        <v>4.43</v>
      </c>
      <c r="AR83">
        <v>3.51</v>
      </c>
      <c r="AS83">
        <v>4.33</v>
      </c>
    </row>
    <row r="84" spans="1:45" x14ac:dyDescent="0.25">
      <c r="A84" t="s">
        <v>19984</v>
      </c>
      <c r="B84">
        <v>6682</v>
      </c>
      <c r="C84">
        <v>188728906</v>
      </c>
      <c r="D84">
        <v>15699227</v>
      </c>
      <c r="E84">
        <v>1112604</v>
      </c>
      <c r="F84">
        <v>16811831</v>
      </c>
      <c r="G84">
        <v>8.3000000000000004E-2</v>
      </c>
      <c r="H84">
        <v>6.0000000000000001E-3</v>
      </c>
      <c r="I84">
        <v>8.8999999999999996E-2</v>
      </c>
      <c r="J84" t="s">
        <v>1784</v>
      </c>
      <c r="K84" t="s">
        <v>1784</v>
      </c>
      <c r="L84" t="s">
        <v>1784</v>
      </c>
      <c r="M84" t="s">
        <v>1784</v>
      </c>
      <c r="N84" t="s">
        <v>1784</v>
      </c>
      <c r="O84" t="s">
        <v>1784</v>
      </c>
      <c r="P84">
        <v>12979255</v>
      </c>
      <c r="Q84">
        <v>1059556</v>
      </c>
      <c r="R84">
        <v>14038811</v>
      </c>
      <c r="S84">
        <v>6.9000000000000006E-2</v>
      </c>
      <c r="T84">
        <v>6.0000000000000001E-3</v>
      </c>
      <c r="U84">
        <v>7.3999999999999996E-2</v>
      </c>
      <c r="V84">
        <v>171917075</v>
      </c>
      <c r="W84">
        <v>0.91100000000000003</v>
      </c>
      <c r="X84">
        <v>22612</v>
      </c>
      <c r="Y84">
        <v>85090</v>
      </c>
      <c r="Z84">
        <v>107702</v>
      </c>
      <c r="AA84">
        <v>2036948</v>
      </c>
      <c r="AB84">
        <v>85090</v>
      </c>
      <c r="AC84">
        <v>2122038</v>
      </c>
      <c r="AD84">
        <v>229</v>
      </c>
      <c r="AE84">
        <v>4</v>
      </c>
      <c r="AF84">
        <v>233</v>
      </c>
      <c r="AG84">
        <v>2720982</v>
      </c>
      <c r="AH84">
        <v>61340</v>
      </c>
      <c r="AI84">
        <v>2782322</v>
      </c>
      <c r="AJ84">
        <v>25</v>
      </c>
      <c r="AK84">
        <v>385743</v>
      </c>
      <c r="AL84">
        <v>39</v>
      </c>
      <c r="AM84">
        <v>2109595</v>
      </c>
      <c r="AN84">
        <v>4.68</v>
      </c>
      <c r="AO84">
        <v>3.58</v>
      </c>
      <c r="AP84">
        <v>4.5599999999999996</v>
      </c>
      <c r="AQ84">
        <v>4.43</v>
      </c>
      <c r="AR84">
        <v>3.47</v>
      </c>
      <c r="AS84">
        <v>4.3099999999999996</v>
      </c>
    </row>
    <row r="85" spans="1:45" x14ac:dyDescent="0.25">
      <c r="A85" t="s">
        <v>19985</v>
      </c>
      <c r="B85">
        <v>6658</v>
      </c>
      <c r="C85">
        <v>188367733</v>
      </c>
      <c r="D85">
        <v>15360666</v>
      </c>
      <c r="E85">
        <v>1197694</v>
      </c>
      <c r="F85">
        <v>16558360</v>
      </c>
      <c r="G85">
        <v>8.2000000000000003E-2</v>
      </c>
      <c r="H85">
        <v>6.0000000000000001E-3</v>
      </c>
      <c r="I85">
        <v>8.7999999999999995E-2</v>
      </c>
      <c r="J85" t="s">
        <v>1784</v>
      </c>
      <c r="K85" t="s">
        <v>1784</v>
      </c>
      <c r="L85" t="s">
        <v>1784</v>
      </c>
      <c r="M85" t="s">
        <v>1784</v>
      </c>
      <c r="N85" t="s">
        <v>1784</v>
      </c>
      <c r="O85" t="s">
        <v>1784</v>
      </c>
      <c r="P85">
        <v>13761081</v>
      </c>
      <c r="Q85">
        <v>1201294</v>
      </c>
      <c r="R85">
        <v>14962375</v>
      </c>
      <c r="S85">
        <v>7.2999999999999995E-2</v>
      </c>
      <c r="T85">
        <v>6.0000000000000001E-3</v>
      </c>
      <c r="U85">
        <v>7.9000000000000001E-2</v>
      </c>
      <c r="V85">
        <v>171809373</v>
      </c>
      <c r="W85">
        <v>0.91200000000000003</v>
      </c>
      <c r="X85">
        <v>116666</v>
      </c>
      <c r="Y85">
        <v>-115549</v>
      </c>
      <c r="Z85">
        <v>1117</v>
      </c>
      <c r="AA85">
        <v>2161073</v>
      </c>
      <c r="AB85">
        <v>258482</v>
      </c>
      <c r="AC85">
        <v>2419555</v>
      </c>
      <c r="AD85">
        <v>173</v>
      </c>
      <c r="AE85">
        <v>6</v>
      </c>
      <c r="AF85">
        <v>179</v>
      </c>
      <c r="AG85">
        <v>1434268</v>
      </c>
      <c r="AH85">
        <v>22248</v>
      </c>
      <c r="AI85">
        <v>1456516</v>
      </c>
      <c r="AJ85">
        <v>5</v>
      </c>
      <c r="AK85">
        <v>397509</v>
      </c>
      <c r="AL85">
        <v>45</v>
      </c>
      <c r="AM85">
        <v>1607258</v>
      </c>
      <c r="AN85">
        <v>4.76</v>
      </c>
      <c r="AO85">
        <v>3.61</v>
      </c>
      <c r="AP85">
        <v>4.62</v>
      </c>
      <c r="AQ85">
        <v>4.4800000000000004</v>
      </c>
      <c r="AR85">
        <v>3.5</v>
      </c>
      <c r="AS85">
        <v>4.3600000000000003</v>
      </c>
    </row>
    <row r="86" spans="1:45" x14ac:dyDescent="0.25">
      <c r="A86" t="s">
        <v>19986</v>
      </c>
      <c r="B86">
        <v>6653</v>
      </c>
      <c r="C86">
        <v>187970224</v>
      </c>
      <c r="D86">
        <v>15079823</v>
      </c>
      <c r="E86">
        <v>1082145</v>
      </c>
      <c r="F86">
        <v>16161968</v>
      </c>
      <c r="G86">
        <v>0.08</v>
      </c>
      <c r="H86">
        <v>6.0000000000000001E-3</v>
      </c>
      <c r="I86">
        <v>8.5999999999999993E-2</v>
      </c>
      <c r="J86" t="s">
        <v>1784</v>
      </c>
      <c r="K86" t="s">
        <v>1784</v>
      </c>
      <c r="L86" t="s">
        <v>1784</v>
      </c>
      <c r="M86" t="s">
        <v>1784</v>
      </c>
      <c r="N86" t="s">
        <v>1784</v>
      </c>
      <c r="O86" t="s">
        <v>1784</v>
      </c>
      <c r="P86">
        <v>13478902</v>
      </c>
      <c r="Q86">
        <v>933945</v>
      </c>
      <c r="R86">
        <v>14412847</v>
      </c>
      <c r="S86">
        <v>7.1999999999999995E-2</v>
      </c>
      <c r="T86">
        <v>5.0000000000000001E-3</v>
      </c>
      <c r="U86">
        <v>7.6999999999999999E-2</v>
      </c>
      <c r="V86">
        <v>171808256</v>
      </c>
      <c r="W86">
        <v>0.91400000000000003</v>
      </c>
      <c r="X86">
        <v>730525</v>
      </c>
      <c r="Y86">
        <v>725342</v>
      </c>
      <c r="Z86">
        <v>1455867</v>
      </c>
      <c r="AA86">
        <v>2520779</v>
      </c>
      <c r="AB86">
        <v>825573</v>
      </c>
      <c r="AC86">
        <v>3346352</v>
      </c>
      <c r="AD86">
        <v>204</v>
      </c>
      <c r="AE86">
        <v>3</v>
      </c>
      <c r="AF86">
        <v>207</v>
      </c>
      <c r="AG86">
        <v>1916131</v>
      </c>
      <c r="AH86">
        <v>103635</v>
      </c>
      <c r="AI86">
        <v>2019766</v>
      </c>
      <c r="AJ86">
        <v>15</v>
      </c>
      <c r="AK86">
        <v>200084</v>
      </c>
      <c r="AL86">
        <v>37</v>
      </c>
      <c r="AM86">
        <v>1256393</v>
      </c>
      <c r="AN86">
        <v>4.84</v>
      </c>
      <c r="AO86">
        <v>4.04</v>
      </c>
      <c r="AP86">
        <v>4.75</v>
      </c>
      <c r="AQ86">
        <v>4.62</v>
      </c>
      <c r="AR86">
        <v>3.83</v>
      </c>
      <c r="AS86">
        <v>4.53</v>
      </c>
    </row>
    <row r="87" spans="1:45" x14ac:dyDescent="0.25">
      <c r="A87" t="s">
        <v>19987</v>
      </c>
      <c r="B87">
        <v>6640</v>
      </c>
      <c r="C87">
        <v>187991600</v>
      </c>
      <c r="D87">
        <v>15831724</v>
      </c>
      <c r="E87">
        <v>1807487</v>
      </c>
      <c r="F87">
        <v>17639211</v>
      </c>
      <c r="G87">
        <v>8.4000000000000005E-2</v>
      </c>
      <c r="H87">
        <v>0.01</v>
      </c>
      <c r="I87">
        <v>9.4E-2</v>
      </c>
      <c r="J87" t="s">
        <v>1784</v>
      </c>
      <c r="K87" t="s">
        <v>1784</v>
      </c>
      <c r="L87" t="s">
        <v>1784</v>
      </c>
      <c r="M87" t="s">
        <v>1784</v>
      </c>
      <c r="N87" t="s">
        <v>1784</v>
      </c>
      <c r="O87" t="s">
        <v>1784</v>
      </c>
      <c r="P87">
        <v>14073319</v>
      </c>
      <c r="Q87">
        <v>1512853</v>
      </c>
      <c r="R87">
        <v>15586172</v>
      </c>
      <c r="S87">
        <v>7.4999999999999997E-2</v>
      </c>
      <c r="T87">
        <v>8.0000000000000002E-3</v>
      </c>
      <c r="U87">
        <v>8.3000000000000004E-2</v>
      </c>
      <c r="V87">
        <v>170352389</v>
      </c>
      <c r="W87">
        <v>0.90600000000000003</v>
      </c>
      <c r="X87">
        <v>397775</v>
      </c>
      <c r="Y87">
        <v>-239708</v>
      </c>
      <c r="Z87">
        <v>158067</v>
      </c>
      <c r="AA87">
        <v>3113881</v>
      </c>
      <c r="AB87">
        <v>163450</v>
      </c>
      <c r="AC87">
        <v>3277331</v>
      </c>
      <c r="AD87">
        <v>187</v>
      </c>
      <c r="AE87">
        <v>11</v>
      </c>
      <c r="AF87">
        <v>198</v>
      </c>
      <c r="AG87">
        <v>1922447</v>
      </c>
      <c r="AH87">
        <v>213354</v>
      </c>
      <c r="AI87">
        <v>2135801</v>
      </c>
      <c r="AJ87">
        <v>16</v>
      </c>
      <c r="AK87">
        <v>894376</v>
      </c>
      <c r="AL87">
        <v>25</v>
      </c>
      <c r="AM87">
        <v>754072</v>
      </c>
      <c r="AN87">
        <v>4.74</v>
      </c>
      <c r="AO87">
        <v>3.83</v>
      </c>
      <c r="AP87">
        <v>4.62</v>
      </c>
      <c r="AQ87">
        <v>4.6100000000000003</v>
      </c>
      <c r="AR87">
        <v>3.8</v>
      </c>
      <c r="AS87">
        <v>4.4800000000000004</v>
      </c>
    </row>
    <row r="88" spans="1:45" x14ac:dyDescent="0.25">
      <c r="A88" t="s">
        <v>19988</v>
      </c>
      <c r="B88">
        <v>6624</v>
      </c>
      <c r="C88">
        <v>187097224</v>
      </c>
      <c r="D88">
        <v>15335123</v>
      </c>
      <c r="E88">
        <v>1567779</v>
      </c>
      <c r="F88">
        <v>16902902</v>
      </c>
      <c r="G88">
        <v>8.2000000000000003E-2</v>
      </c>
      <c r="H88">
        <v>8.0000000000000002E-3</v>
      </c>
      <c r="I88">
        <v>0.09</v>
      </c>
      <c r="J88" t="s">
        <v>1784</v>
      </c>
      <c r="K88" t="s">
        <v>1784</v>
      </c>
      <c r="L88" t="s">
        <v>1784</v>
      </c>
      <c r="M88" t="s">
        <v>1784</v>
      </c>
      <c r="N88" t="s">
        <v>1784</v>
      </c>
      <c r="O88" t="s">
        <v>1784</v>
      </c>
      <c r="P88">
        <v>13453063</v>
      </c>
      <c r="Q88">
        <v>1269479</v>
      </c>
      <c r="R88">
        <v>14722542</v>
      </c>
      <c r="S88">
        <v>7.1999999999999995E-2</v>
      </c>
      <c r="T88">
        <v>7.0000000000000001E-3</v>
      </c>
      <c r="U88">
        <v>7.9000000000000001E-2</v>
      </c>
      <c r="V88">
        <v>170194322</v>
      </c>
      <c r="W88">
        <v>0.91</v>
      </c>
      <c r="X88">
        <v>280517</v>
      </c>
      <c r="Y88">
        <v>16623</v>
      </c>
      <c r="Z88">
        <v>297140</v>
      </c>
      <c r="AA88">
        <v>3087846</v>
      </c>
      <c r="AB88">
        <v>300695</v>
      </c>
      <c r="AC88">
        <v>3388541</v>
      </c>
      <c r="AD88">
        <v>225</v>
      </c>
      <c r="AE88">
        <v>10</v>
      </c>
      <c r="AF88">
        <v>235</v>
      </c>
      <c r="AG88">
        <v>2434154</v>
      </c>
      <c r="AH88">
        <v>352568</v>
      </c>
      <c r="AI88">
        <v>2786722</v>
      </c>
      <c r="AJ88">
        <v>18</v>
      </c>
      <c r="AK88">
        <v>1040290</v>
      </c>
      <c r="AL88">
        <v>33</v>
      </c>
      <c r="AM88">
        <v>1532382</v>
      </c>
      <c r="AN88">
        <v>4.75</v>
      </c>
      <c r="AO88">
        <v>3.97</v>
      </c>
      <c r="AP88">
        <v>4.63</v>
      </c>
      <c r="AQ88">
        <v>4.6100000000000003</v>
      </c>
      <c r="AR88">
        <v>3.95</v>
      </c>
      <c r="AS88">
        <v>4.51</v>
      </c>
    </row>
    <row r="89" spans="1:45" x14ac:dyDescent="0.25">
      <c r="A89" t="s">
        <v>19989</v>
      </c>
      <c r="B89">
        <v>6608</v>
      </c>
      <c r="C89">
        <v>186081734</v>
      </c>
      <c r="D89">
        <v>14600150</v>
      </c>
      <c r="E89">
        <v>1584402</v>
      </c>
      <c r="F89">
        <v>16184552</v>
      </c>
      <c r="G89">
        <v>7.8E-2</v>
      </c>
      <c r="H89">
        <v>8.9999999999999993E-3</v>
      </c>
      <c r="I89">
        <v>8.6999999999999994E-2</v>
      </c>
      <c r="J89" t="s">
        <v>1784</v>
      </c>
      <c r="K89" t="s">
        <v>1784</v>
      </c>
      <c r="L89" t="s">
        <v>1784</v>
      </c>
      <c r="M89" t="s">
        <v>1784</v>
      </c>
      <c r="N89" t="s">
        <v>1784</v>
      </c>
      <c r="O89" t="s">
        <v>1784</v>
      </c>
      <c r="P89">
        <v>13071600</v>
      </c>
      <c r="Q89">
        <v>1514002</v>
      </c>
      <c r="R89">
        <v>14585602</v>
      </c>
      <c r="S89">
        <v>7.0000000000000007E-2</v>
      </c>
      <c r="T89">
        <v>8.0000000000000002E-3</v>
      </c>
      <c r="U89">
        <v>7.8E-2</v>
      </c>
      <c r="V89">
        <v>169897182</v>
      </c>
      <c r="W89">
        <v>0.91300000000000003</v>
      </c>
      <c r="X89">
        <v>-51401</v>
      </c>
      <c r="Y89">
        <v>-266820</v>
      </c>
      <c r="Z89">
        <v>-318221</v>
      </c>
      <c r="AA89">
        <v>1982544</v>
      </c>
      <c r="AB89">
        <v>119918</v>
      </c>
      <c r="AC89">
        <v>2102462</v>
      </c>
      <c r="AD89">
        <v>173</v>
      </c>
      <c r="AE89">
        <v>13</v>
      </c>
      <c r="AF89">
        <v>186</v>
      </c>
      <c r="AG89">
        <v>1665908</v>
      </c>
      <c r="AH89">
        <v>154135</v>
      </c>
      <c r="AI89">
        <v>1820043</v>
      </c>
      <c r="AJ89">
        <v>12</v>
      </c>
      <c r="AK89">
        <v>384099</v>
      </c>
      <c r="AL89">
        <v>36</v>
      </c>
      <c r="AM89">
        <v>2023724</v>
      </c>
      <c r="AN89">
        <v>4.76</v>
      </c>
      <c r="AO89">
        <v>4.08</v>
      </c>
      <c r="AP89">
        <v>4.6500000000000004</v>
      </c>
      <c r="AQ89">
        <v>4.62</v>
      </c>
      <c r="AR89">
        <v>4.04</v>
      </c>
      <c r="AS89">
        <v>4.5199999999999996</v>
      </c>
    </row>
    <row r="90" spans="1:45" x14ac:dyDescent="0.25">
      <c r="A90" t="s">
        <v>19990</v>
      </c>
      <c r="B90">
        <v>6598</v>
      </c>
      <c r="C90">
        <v>185705537</v>
      </c>
      <c r="D90">
        <v>14172552</v>
      </c>
      <c r="E90">
        <v>1317582</v>
      </c>
      <c r="F90">
        <v>15490134</v>
      </c>
      <c r="G90">
        <v>7.5999999999999998E-2</v>
      </c>
      <c r="H90">
        <v>7.0000000000000001E-3</v>
      </c>
      <c r="I90">
        <v>8.3000000000000004E-2</v>
      </c>
      <c r="J90" t="s">
        <v>1784</v>
      </c>
      <c r="K90" t="s">
        <v>1784</v>
      </c>
      <c r="L90" t="s">
        <v>1784</v>
      </c>
      <c r="M90" t="s">
        <v>1784</v>
      </c>
      <c r="N90" t="s">
        <v>1784</v>
      </c>
      <c r="O90" t="s">
        <v>1784</v>
      </c>
      <c r="P90">
        <v>12864742</v>
      </c>
      <c r="Q90">
        <v>1273132</v>
      </c>
      <c r="R90">
        <v>14137874</v>
      </c>
      <c r="S90">
        <v>6.9000000000000006E-2</v>
      </c>
      <c r="T90">
        <v>7.0000000000000001E-3</v>
      </c>
      <c r="U90">
        <v>7.5999999999999998E-2</v>
      </c>
      <c r="V90">
        <v>170215403</v>
      </c>
      <c r="W90">
        <v>0.91700000000000004</v>
      </c>
      <c r="X90">
        <v>-2090530</v>
      </c>
      <c r="Y90">
        <v>69978</v>
      </c>
      <c r="Z90">
        <v>-2020552</v>
      </c>
      <c r="AA90">
        <v>1601028</v>
      </c>
      <c r="AB90">
        <v>180101</v>
      </c>
      <c r="AC90">
        <v>1781129</v>
      </c>
      <c r="AD90">
        <v>176</v>
      </c>
      <c r="AE90">
        <v>9</v>
      </c>
      <c r="AF90">
        <v>185</v>
      </c>
      <c r="AG90">
        <v>2122945</v>
      </c>
      <c r="AH90">
        <v>78145</v>
      </c>
      <c r="AI90">
        <v>2201090</v>
      </c>
      <c r="AJ90">
        <v>12</v>
      </c>
      <c r="AK90">
        <v>298344</v>
      </c>
      <c r="AL90">
        <v>38</v>
      </c>
      <c r="AM90">
        <v>1968036</v>
      </c>
      <c r="AN90">
        <v>5.04</v>
      </c>
      <c r="AO90">
        <v>4.1399999999999997</v>
      </c>
      <c r="AP90">
        <v>4.88</v>
      </c>
      <c r="AQ90">
        <v>4.95</v>
      </c>
      <c r="AR90">
        <v>4.1500000000000004</v>
      </c>
      <c r="AS90">
        <v>4.8099999999999996</v>
      </c>
    </row>
    <row r="91" spans="1:45" x14ac:dyDescent="0.25">
      <c r="A91" t="s">
        <v>19991</v>
      </c>
      <c r="B91">
        <v>6588</v>
      </c>
      <c r="C91">
        <v>185862021</v>
      </c>
      <c r="D91">
        <v>12238506</v>
      </c>
      <c r="E91">
        <v>1387560</v>
      </c>
      <c r="F91">
        <v>13626066</v>
      </c>
      <c r="G91">
        <v>6.6000000000000003E-2</v>
      </c>
      <c r="H91">
        <v>7.0000000000000001E-3</v>
      </c>
      <c r="I91">
        <v>7.2999999999999995E-2</v>
      </c>
      <c r="J91" t="s">
        <v>1784</v>
      </c>
      <c r="K91" t="s">
        <v>1784</v>
      </c>
      <c r="L91" t="s">
        <v>1784</v>
      </c>
      <c r="M91" t="s">
        <v>1784</v>
      </c>
      <c r="N91" t="s">
        <v>1784</v>
      </c>
      <c r="O91" t="s">
        <v>1784</v>
      </c>
      <c r="P91">
        <v>10833185</v>
      </c>
      <c r="Q91">
        <v>1384560</v>
      </c>
      <c r="R91">
        <v>12217745</v>
      </c>
      <c r="S91">
        <v>5.8000000000000003E-2</v>
      </c>
      <c r="T91">
        <v>7.0000000000000001E-3</v>
      </c>
      <c r="U91">
        <v>6.6000000000000003E-2</v>
      </c>
      <c r="V91">
        <v>172235955</v>
      </c>
      <c r="W91">
        <v>0.92700000000000005</v>
      </c>
      <c r="X91">
        <v>216245</v>
      </c>
      <c r="Y91">
        <v>125740</v>
      </c>
      <c r="Z91">
        <v>341985</v>
      </c>
      <c r="AA91">
        <v>2065143</v>
      </c>
      <c r="AB91">
        <v>258016</v>
      </c>
      <c r="AC91">
        <v>2323159</v>
      </c>
      <c r="AD91">
        <v>119</v>
      </c>
      <c r="AE91">
        <v>2</v>
      </c>
      <c r="AF91">
        <v>121</v>
      </c>
      <c r="AG91">
        <v>1656291</v>
      </c>
      <c r="AH91">
        <v>12894</v>
      </c>
      <c r="AI91">
        <v>1669185</v>
      </c>
      <c r="AJ91">
        <v>22</v>
      </c>
      <c r="AK91">
        <v>989118</v>
      </c>
      <c r="AL91">
        <v>30</v>
      </c>
      <c r="AM91">
        <v>1575418</v>
      </c>
      <c r="AN91">
        <v>5.22</v>
      </c>
      <c r="AO91">
        <v>4.21</v>
      </c>
      <c r="AP91">
        <v>5.05</v>
      </c>
      <c r="AQ91">
        <v>5.14</v>
      </c>
      <c r="AR91">
        <v>4.2699999999999996</v>
      </c>
      <c r="AS91">
        <v>4.99</v>
      </c>
    </row>
    <row r="92" spans="1:45" x14ac:dyDescent="0.25">
      <c r="A92" t="s">
        <v>19992</v>
      </c>
      <c r="B92">
        <v>6567</v>
      </c>
      <c r="C92">
        <v>184890903</v>
      </c>
      <c r="D92">
        <v>11483633</v>
      </c>
      <c r="E92">
        <v>1513300</v>
      </c>
      <c r="F92">
        <v>12996933</v>
      </c>
      <c r="G92">
        <v>6.2E-2</v>
      </c>
      <c r="H92">
        <v>8.0000000000000002E-3</v>
      </c>
      <c r="I92">
        <v>7.0000000000000007E-2</v>
      </c>
      <c r="J92" t="s">
        <v>1784</v>
      </c>
      <c r="K92" t="s">
        <v>1784</v>
      </c>
      <c r="L92" t="s">
        <v>1784</v>
      </c>
      <c r="M92" t="s">
        <v>1784</v>
      </c>
      <c r="N92" t="s">
        <v>1784</v>
      </c>
      <c r="O92" t="s">
        <v>1784</v>
      </c>
      <c r="P92">
        <v>10372862</v>
      </c>
      <c r="Q92">
        <v>1180024</v>
      </c>
      <c r="R92">
        <v>11552886</v>
      </c>
      <c r="S92">
        <v>5.6000000000000001E-2</v>
      </c>
      <c r="T92">
        <v>6.0000000000000001E-3</v>
      </c>
      <c r="U92">
        <v>6.2E-2</v>
      </c>
      <c r="V92">
        <v>171893970</v>
      </c>
      <c r="W92">
        <v>0.93</v>
      </c>
      <c r="X92">
        <v>613198</v>
      </c>
      <c r="Y92">
        <v>299889</v>
      </c>
      <c r="Z92">
        <v>913087</v>
      </c>
      <c r="AA92">
        <v>3015103</v>
      </c>
      <c r="AB92">
        <v>536528</v>
      </c>
      <c r="AC92">
        <v>3551631</v>
      </c>
      <c r="AD92">
        <v>187</v>
      </c>
      <c r="AE92">
        <v>9</v>
      </c>
      <c r="AF92">
        <v>196</v>
      </c>
      <c r="AG92">
        <v>1616779</v>
      </c>
      <c r="AH92">
        <v>78765</v>
      </c>
      <c r="AI92">
        <v>1695544</v>
      </c>
      <c r="AJ92">
        <v>18</v>
      </c>
      <c r="AK92">
        <v>387546</v>
      </c>
      <c r="AL92">
        <v>37</v>
      </c>
      <c r="AM92">
        <v>1890043</v>
      </c>
      <c r="AN92">
        <v>5.24</v>
      </c>
      <c r="AO92">
        <v>4.54</v>
      </c>
      <c r="AP92">
        <v>5.14</v>
      </c>
      <c r="AQ92">
        <v>5.15</v>
      </c>
      <c r="AR92">
        <v>4.5</v>
      </c>
      <c r="AS92">
        <v>5.0599999999999996</v>
      </c>
    </row>
    <row r="93" spans="1:45" x14ac:dyDescent="0.25">
      <c r="A93" t="s">
        <v>19993</v>
      </c>
      <c r="B93">
        <v>6551</v>
      </c>
      <c r="C93">
        <v>185027570</v>
      </c>
      <c r="D93">
        <v>12233498</v>
      </c>
      <c r="E93">
        <v>1813189</v>
      </c>
      <c r="F93">
        <v>14046687</v>
      </c>
      <c r="G93">
        <v>6.6000000000000003E-2</v>
      </c>
      <c r="H93">
        <v>0.01</v>
      </c>
      <c r="I93">
        <v>7.5999999999999998E-2</v>
      </c>
      <c r="J93" t="s">
        <v>1784</v>
      </c>
      <c r="K93" t="s">
        <v>1784</v>
      </c>
      <c r="L93" t="s">
        <v>1784</v>
      </c>
      <c r="M93" t="s">
        <v>1784</v>
      </c>
      <c r="N93" t="s">
        <v>1784</v>
      </c>
      <c r="O93" t="s">
        <v>1784</v>
      </c>
      <c r="P93">
        <v>10077542</v>
      </c>
      <c r="Q93">
        <v>1784385</v>
      </c>
      <c r="R93">
        <v>11861927</v>
      </c>
      <c r="S93">
        <v>5.3999999999999999E-2</v>
      </c>
      <c r="T93">
        <v>0.01</v>
      </c>
      <c r="U93">
        <v>6.4000000000000001E-2</v>
      </c>
      <c r="V93">
        <v>170980883</v>
      </c>
      <c r="W93">
        <v>0.92400000000000004</v>
      </c>
      <c r="X93">
        <v>-1023874</v>
      </c>
      <c r="Y93">
        <v>-81051</v>
      </c>
      <c r="Z93">
        <v>-1104925</v>
      </c>
      <c r="AA93">
        <v>1797544</v>
      </c>
      <c r="AB93">
        <v>304360</v>
      </c>
      <c r="AC93">
        <v>2101904</v>
      </c>
      <c r="AD93">
        <v>162</v>
      </c>
      <c r="AE93">
        <v>7</v>
      </c>
      <c r="AF93">
        <v>169</v>
      </c>
      <c r="AG93">
        <v>1822726</v>
      </c>
      <c r="AH93">
        <v>114892</v>
      </c>
      <c r="AI93">
        <v>1937618</v>
      </c>
      <c r="AJ93">
        <v>15</v>
      </c>
      <c r="AK93">
        <v>436471</v>
      </c>
      <c r="AL93">
        <v>41</v>
      </c>
      <c r="AM93">
        <v>1430101</v>
      </c>
      <c r="AN93">
        <v>5.3</v>
      </c>
      <c r="AO93">
        <v>4.47</v>
      </c>
      <c r="AP93">
        <v>5.14</v>
      </c>
      <c r="AQ93">
        <v>5.2</v>
      </c>
      <c r="AR93">
        <v>4.43</v>
      </c>
      <c r="AS93">
        <v>5.05</v>
      </c>
    </row>
    <row r="94" spans="1:45" x14ac:dyDescent="0.25">
      <c r="A94" t="s">
        <v>19994</v>
      </c>
      <c r="B94">
        <v>6538</v>
      </c>
      <c r="C94">
        <v>184722799</v>
      </c>
      <c r="D94">
        <v>10904853</v>
      </c>
      <c r="E94">
        <v>1732138</v>
      </c>
      <c r="F94">
        <v>12636991</v>
      </c>
      <c r="G94">
        <v>5.8999999999999997E-2</v>
      </c>
      <c r="H94">
        <v>8.9999999999999993E-3</v>
      </c>
      <c r="I94">
        <v>6.8000000000000005E-2</v>
      </c>
      <c r="J94" t="s">
        <v>1784</v>
      </c>
      <c r="K94" t="s">
        <v>1784</v>
      </c>
      <c r="L94" t="s">
        <v>1784</v>
      </c>
      <c r="M94" t="s">
        <v>1784</v>
      </c>
      <c r="N94" t="s">
        <v>1784</v>
      </c>
      <c r="O94" t="s">
        <v>1784</v>
      </c>
      <c r="P94">
        <v>10082503</v>
      </c>
      <c r="Q94">
        <v>1728038</v>
      </c>
      <c r="R94">
        <v>11810541</v>
      </c>
      <c r="S94">
        <v>5.5E-2</v>
      </c>
      <c r="T94">
        <v>8.9999999999999993E-3</v>
      </c>
      <c r="U94">
        <v>6.4000000000000001E-2</v>
      </c>
      <c r="V94">
        <v>172085808</v>
      </c>
      <c r="W94">
        <v>0.93200000000000005</v>
      </c>
      <c r="X94">
        <v>1270913</v>
      </c>
      <c r="Y94">
        <v>38966</v>
      </c>
      <c r="Z94">
        <v>1309879</v>
      </c>
      <c r="AA94">
        <v>3247130</v>
      </c>
      <c r="AB94">
        <v>410525</v>
      </c>
      <c r="AC94">
        <v>3657655</v>
      </c>
      <c r="AD94">
        <v>145</v>
      </c>
      <c r="AE94">
        <v>10</v>
      </c>
      <c r="AF94">
        <v>155</v>
      </c>
      <c r="AG94">
        <v>1571171</v>
      </c>
      <c r="AH94">
        <v>157032</v>
      </c>
      <c r="AI94">
        <v>1728203</v>
      </c>
      <c r="AJ94">
        <v>24</v>
      </c>
      <c r="AK94">
        <v>1670698</v>
      </c>
      <c r="AL94">
        <v>38</v>
      </c>
      <c r="AM94">
        <v>1217296</v>
      </c>
      <c r="AN94">
        <v>5.3</v>
      </c>
      <c r="AO94">
        <v>4.68</v>
      </c>
      <c r="AP94">
        <v>5.19</v>
      </c>
      <c r="AQ94">
        <v>5.16</v>
      </c>
      <c r="AR94">
        <v>4.6500000000000004</v>
      </c>
      <c r="AS94">
        <v>5.08</v>
      </c>
    </row>
    <row r="95" spans="1:45" x14ac:dyDescent="0.25">
      <c r="A95" t="s">
        <v>19995</v>
      </c>
      <c r="B95">
        <v>6515</v>
      </c>
      <c r="C95">
        <v>183078101</v>
      </c>
      <c r="D95">
        <v>10531068</v>
      </c>
      <c r="E95">
        <v>1771104</v>
      </c>
      <c r="F95">
        <v>12302172</v>
      </c>
      <c r="G95">
        <v>5.8000000000000003E-2</v>
      </c>
      <c r="H95">
        <v>0.01</v>
      </c>
      <c r="I95">
        <v>6.7000000000000004E-2</v>
      </c>
      <c r="J95" t="s">
        <v>1784</v>
      </c>
      <c r="K95" t="s">
        <v>1784</v>
      </c>
      <c r="L95" t="s">
        <v>1784</v>
      </c>
      <c r="M95" t="s">
        <v>1784</v>
      </c>
      <c r="N95" t="s">
        <v>1784</v>
      </c>
      <c r="O95" t="s">
        <v>1784</v>
      </c>
      <c r="P95">
        <v>9266043</v>
      </c>
      <c r="Q95">
        <v>1595011</v>
      </c>
      <c r="R95">
        <v>10861054</v>
      </c>
      <c r="S95">
        <v>5.0999999999999997E-2</v>
      </c>
      <c r="T95">
        <v>8.9999999999999993E-3</v>
      </c>
      <c r="U95">
        <v>5.8999999999999997E-2</v>
      </c>
      <c r="V95">
        <v>170775929</v>
      </c>
      <c r="W95">
        <v>0.93300000000000005</v>
      </c>
      <c r="X95">
        <v>315085</v>
      </c>
      <c r="Y95">
        <v>-398031</v>
      </c>
      <c r="Z95">
        <v>-82946</v>
      </c>
      <c r="AA95">
        <v>1667389</v>
      </c>
      <c r="AB95">
        <v>106998</v>
      </c>
      <c r="AC95">
        <v>1774387</v>
      </c>
      <c r="AD95">
        <v>193</v>
      </c>
      <c r="AE95">
        <v>11</v>
      </c>
      <c r="AF95">
        <v>204</v>
      </c>
      <c r="AG95">
        <v>1584629</v>
      </c>
      <c r="AH95">
        <v>224885</v>
      </c>
      <c r="AI95">
        <v>1809514</v>
      </c>
      <c r="AJ95">
        <v>14</v>
      </c>
      <c r="AK95">
        <v>576791</v>
      </c>
      <c r="AL95">
        <v>42</v>
      </c>
      <c r="AM95">
        <v>2057156</v>
      </c>
      <c r="AN95">
        <v>5.33</v>
      </c>
      <c r="AO95">
        <v>4.7300000000000004</v>
      </c>
      <c r="AP95">
        <v>5.23</v>
      </c>
      <c r="AQ95">
        <v>5.22</v>
      </c>
      <c r="AR95">
        <v>4.66</v>
      </c>
      <c r="AS95">
        <v>5.13</v>
      </c>
    </row>
    <row r="96" spans="1:45" x14ac:dyDescent="0.25">
      <c r="A96" t="s">
        <v>19996</v>
      </c>
      <c r="B96">
        <v>6503</v>
      </c>
      <c r="C96">
        <v>182599238</v>
      </c>
      <c r="D96">
        <v>10367290</v>
      </c>
      <c r="E96">
        <v>1373073</v>
      </c>
      <c r="F96">
        <v>11740363</v>
      </c>
      <c r="G96">
        <v>5.7000000000000002E-2</v>
      </c>
      <c r="H96">
        <v>8.0000000000000002E-3</v>
      </c>
      <c r="I96">
        <v>6.4000000000000001E-2</v>
      </c>
      <c r="J96" t="s">
        <v>1784</v>
      </c>
      <c r="K96" t="s">
        <v>1784</v>
      </c>
      <c r="L96" t="s">
        <v>1784</v>
      </c>
      <c r="M96" t="s">
        <v>1784</v>
      </c>
      <c r="N96" t="s">
        <v>1784</v>
      </c>
      <c r="O96" t="s">
        <v>1784</v>
      </c>
      <c r="P96">
        <v>9010827</v>
      </c>
      <c r="Q96">
        <v>1323188</v>
      </c>
      <c r="R96">
        <v>10334015</v>
      </c>
      <c r="S96">
        <v>4.9000000000000002E-2</v>
      </c>
      <c r="T96">
        <v>7.0000000000000001E-3</v>
      </c>
      <c r="U96">
        <v>5.7000000000000002E-2</v>
      </c>
      <c r="V96">
        <v>170858875</v>
      </c>
      <c r="W96">
        <v>0.93600000000000005</v>
      </c>
      <c r="X96">
        <v>-267214</v>
      </c>
      <c r="Y96">
        <v>-6024</v>
      </c>
      <c r="Z96">
        <v>-273238</v>
      </c>
      <c r="AA96">
        <v>2043417</v>
      </c>
      <c r="AB96">
        <v>329142</v>
      </c>
      <c r="AC96">
        <v>2372559</v>
      </c>
      <c r="AD96">
        <v>151</v>
      </c>
      <c r="AE96">
        <v>9</v>
      </c>
      <c r="AF96">
        <v>160</v>
      </c>
      <c r="AG96">
        <v>1930443</v>
      </c>
      <c r="AH96">
        <v>256162</v>
      </c>
      <c r="AI96">
        <v>2186605</v>
      </c>
      <c r="AJ96">
        <v>40</v>
      </c>
      <c r="AK96">
        <v>1176032</v>
      </c>
      <c r="AL96">
        <v>41</v>
      </c>
      <c r="AM96">
        <v>2238597</v>
      </c>
      <c r="AN96">
        <v>5.31</v>
      </c>
      <c r="AO96">
        <v>4.6500000000000004</v>
      </c>
      <c r="AP96">
        <v>5.21</v>
      </c>
      <c r="AQ96">
        <v>5.22</v>
      </c>
      <c r="AR96">
        <v>4.5999999999999996</v>
      </c>
      <c r="AS96">
        <v>5.12</v>
      </c>
    </row>
    <row r="97" spans="1:45" x14ac:dyDescent="0.25">
      <c r="A97" t="s">
        <v>19997</v>
      </c>
      <c r="B97">
        <v>6467</v>
      </c>
      <c r="C97">
        <v>181492065</v>
      </c>
      <c r="D97">
        <v>8992903</v>
      </c>
      <c r="E97">
        <v>1367049</v>
      </c>
      <c r="F97">
        <v>10359952</v>
      </c>
      <c r="G97">
        <v>0.05</v>
      </c>
      <c r="H97">
        <v>8.0000000000000002E-3</v>
      </c>
      <c r="I97">
        <v>5.7000000000000002E-2</v>
      </c>
      <c r="J97" t="s">
        <v>1784</v>
      </c>
      <c r="K97" t="s">
        <v>1784</v>
      </c>
      <c r="L97" t="s">
        <v>1784</v>
      </c>
      <c r="M97" t="s">
        <v>1784</v>
      </c>
      <c r="N97" t="s">
        <v>1784</v>
      </c>
      <c r="O97" t="s">
        <v>1784</v>
      </c>
      <c r="P97">
        <v>7941451</v>
      </c>
      <c r="Q97">
        <v>1362049</v>
      </c>
      <c r="R97">
        <v>9303500</v>
      </c>
      <c r="S97">
        <v>4.3999999999999997E-2</v>
      </c>
      <c r="T97">
        <v>8.0000000000000002E-3</v>
      </c>
      <c r="U97">
        <v>5.0999999999999997E-2</v>
      </c>
      <c r="V97">
        <v>171132113</v>
      </c>
      <c r="W97">
        <v>0.94299999999999995</v>
      </c>
      <c r="X97">
        <v>359419</v>
      </c>
      <c r="Y97">
        <v>-199328</v>
      </c>
      <c r="Z97">
        <v>160091</v>
      </c>
      <c r="AA97">
        <v>2434070</v>
      </c>
      <c r="AB97">
        <v>187459</v>
      </c>
      <c r="AC97">
        <v>2621529</v>
      </c>
      <c r="AD97">
        <v>177</v>
      </c>
      <c r="AE97">
        <v>10</v>
      </c>
      <c r="AF97">
        <v>187</v>
      </c>
      <c r="AG97">
        <v>2396025</v>
      </c>
      <c r="AH97">
        <v>262672</v>
      </c>
      <c r="AI97">
        <v>2658697</v>
      </c>
      <c r="AJ97">
        <v>14</v>
      </c>
      <c r="AK97">
        <v>837791</v>
      </c>
      <c r="AL97">
        <v>61</v>
      </c>
      <c r="AM97">
        <v>2685385</v>
      </c>
      <c r="AN97">
        <v>5.41</v>
      </c>
      <c r="AO97">
        <v>4.7300000000000004</v>
      </c>
      <c r="AP97">
        <v>5.29</v>
      </c>
      <c r="AQ97">
        <v>5.31</v>
      </c>
      <c r="AR97">
        <v>4.6100000000000003</v>
      </c>
      <c r="AS97">
        <v>5.18</v>
      </c>
    </row>
    <row r="98" spans="1:45" x14ac:dyDescent="0.25">
      <c r="A98" t="s">
        <v>19998</v>
      </c>
      <c r="B98">
        <v>6454</v>
      </c>
      <c r="C98">
        <v>180720874</v>
      </c>
      <c r="D98">
        <v>8581131</v>
      </c>
      <c r="E98">
        <v>1167721</v>
      </c>
      <c r="F98">
        <v>9748852</v>
      </c>
      <c r="G98">
        <v>4.7E-2</v>
      </c>
      <c r="H98">
        <v>6.0000000000000001E-3</v>
      </c>
      <c r="I98">
        <v>5.3999999999999999E-2</v>
      </c>
      <c r="J98" t="s">
        <v>1784</v>
      </c>
      <c r="K98" t="s">
        <v>1784</v>
      </c>
      <c r="L98" t="s">
        <v>1784</v>
      </c>
      <c r="M98" t="s">
        <v>1784</v>
      </c>
      <c r="N98" t="s">
        <v>1784</v>
      </c>
      <c r="O98" t="s">
        <v>1784</v>
      </c>
      <c r="P98">
        <v>7953964</v>
      </c>
      <c r="Q98">
        <v>1159721</v>
      </c>
      <c r="R98">
        <v>9113685</v>
      </c>
      <c r="S98">
        <v>4.3999999999999997E-2</v>
      </c>
      <c r="T98">
        <v>6.0000000000000001E-3</v>
      </c>
      <c r="U98">
        <v>0.05</v>
      </c>
      <c r="V98">
        <v>170972022</v>
      </c>
      <c r="W98">
        <v>0.94599999999999995</v>
      </c>
      <c r="X98">
        <v>1242373</v>
      </c>
      <c r="Y98">
        <v>-369257</v>
      </c>
      <c r="Z98">
        <v>873116</v>
      </c>
      <c r="AA98">
        <v>3822018</v>
      </c>
      <c r="AB98">
        <v>167038</v>
      </c>
      <c r="AC98">
        <v>3989056</v>
      </c>
      <c r="AD98">
        <v>133</v>
      </c>
      <c r="AE98">
        <v>4</v>
      </c>
      <c r="AF98">
        <v>137</v>
      </c>
      <c r="AG98">
        <v>1479344</v>
      </c>
      <c r="AH98">
        <v>24968</v>
      </c>
      <c r="AI98">
        <v>1504312</v>
      </c>
      <c r="AJ98">
        <v>26</v>
      </c>
      <c r="AK98">
        <v>1028760</v>
      </c>
      <c r="AL98">
        <v>58</v>
      </c>
      <c r="AM98">
        <v>2100240</v>
      </c>
      <c r="AN98">
        <v>5.51</v>
      </c>
      <c r="AO98">
        <v>4.78</v>
      </c>
      <c r="AP98">
        <v>5.39</v>
      </c>
      <c r="AQ98">
        <v>5.44</v>
      </c>
      <c r="AR98">
        <v>4.66</v>
      </c>
      <c r="AS98">
        <v>5.3</v>
      </c>
    </row>
    <row r="99" spans="1:45" x14ac:dyDescent="0.25">
      <c r="A99" t="s">
        <v>19999</v>
      </c>
      <c r="B99">
        <v>6428</v>
      </c>
      <c r="C99">
        <v>179692114</v>
      </c>
      <c r="D99">
        <v>8794744</v>
      </c>
      <c r="E99">
        <v>798464</v>
      </c>
      <c r="F99">
        <v>9593208</v>
      </c>
      <c r="G99">
        <v>4.9000000000000002E-2</v>
      </c>
      <c r="H99">
        <v>4.0000000000000001E-3</v>
      </c>
      <c r="I99">
        <v>5.2999999999999999E-2</v>
      </c>
      <c r="J99" t="s">
        <v>1784</v>
      </c>
      <c r="K99" t="s">
        <v>1784</v>
      </c>
      <c r="L99" t="s">
        <v>1784</v>
      </c>
      <c r="M99" t="s">
        <v>1784</v>
      </c>
      <c r="N99" t="s">
        <v>1784</v>
      </c>
      <c r="O99" t="s">
        <v>1784</v>
      </c>
      <c r="P99">
        <v>7042188</v>
      </c>
      <c r="Q99">
        <v>770320</v>
      </c>
      <c r="R99">
        <v>7812508</v>
      </c>
      <c r="S99">
        <v>3.9E-2</v>
      </c>
      <c r="T99">
        <v>4.0000000000000001E-3</v>
      </c>
      <c r="U99">
        <v>4.2999999999999997E-2</v>
      </c>
      <c r="V99">
        <v>170098906</v>
      </c>
      <c r="W99">
        <v>0.94699999999999995</v>
      </c>
      <c r="X99">
        <v>973899</v>
      </c>
      <c r="Y99">
        <v>722089</v>
      </c>
      <c r="Z99">
        <v>1695988</v>
      </c>
      <c r="AA99">
        <v>3023863</v>
      </c>
      <c r="AB99">
        <v>779761</v>
      </c>
      <c r="AC99">
        <v>3803624</v>
      </c>
      <c r="AD99">
        <v>163</v>
      </c>
      <c r="AE99">
        <v>11</v>
      </c>
      <c r="AF99">
        <v>174</v>
      </c>
      <c r="AG99">
        <v>1834562</v>
      </c>
      <c r="AH99">
        <v>182753</v>
      </c>
      <c r="AI99">
        <v>2017315</v>
      </c>
      <c r="AJ99">
        <v>21</v>
      </c>
      <c r="AK99">
        <v>982125</v>
      </c>
      <c r="AL99">
        <v>52</v>
      </c>
      <c r="AM99">
        <v>2407762</v>
      </c>
      <c r="AN99">
        <v>5.2</v>
      </c>
      <c r="AO99">
        <v>4.55</v>
      </c>
      <c r="AP99">
        <v>5.0999999999999996</v>
      </c>
      <c r="AQ99">
        <v>5.1100000000000003</v>
      </c>
      <c r="AR99">
        <v>4.55</v>
      </c>
      <c r="AS99">
        <v>5.03</v>
      </c>
    </row>
    <row r="100" spans="1:45" x14ac:dyDescent="0.25">
      <c r="A100" t="s">
        <v>20000</v>
      </c>
      <c r="B100">
        <v>6408</v>
      </c>
      <c r="C100">
        <v>178736989</v>
      </c>
      <c r="D100">
        <v>8813518</v>
      </c>
      <c r="E100">
        <v>1520553</v>
      </c>
      <c r="F100">
        <v>10334071</v>
      </c>
      <c r="G100">
        <v>4.9000000000000002E-2</v>
      </c>
      <c r="H100">
        <v>8.9999999999999993E-3</v>
      </c>
      <c r="I100">
        <v>5.8000000000000003E-2</v>
      </c>
      <c r="J100" t="s">
        <v>1784</v>
      </c>
      <c r="K100" t="s">
        <v>1784</v>
      </c>
      <c r="L100" t="s">
        <v>1784</v>
      </c>
      <c r="M100" t="s">
        <v>1784</v>
      </c>
      <c r="N100" t="s">
        <v>1784</v>
      </c>
      <c r="O100" t="s">
        <v>1784</v>
      </c>
      <c r="P100">
        <v>6870150</v>
      </c>
      <c r="Q100">
        <v>1178956</v>
      </c>
      <c r="R100">
        <v>8049106</v>
      </c>
      <c r="S100">
        <v>3.7999999999999999E-2</v>
      </c>
      <c r="T100">
        <v>7.0000000000000001E-3</v>
      </c>
      <c r="U100">
        <v>4.4999999999999998E-2</v>
      </c>
      <c r="V100">
        <v>168402918</v>
      </c>
      <c r="W100">
        <v>0.94199999999999995</v>
      </c>
      <c r="X100">
        <v>1937699</v>
      </c>
      <c r="Y100">
        <v>-779680</v>
      </c>
      <c r="Z100">
        <v>1158019</v>
      </c>
      <c r="AA100">
        <v>4027493</v>
      </c>
      <c r="AB100">
        <v>123861</v>
      </c>
      <c r="AC100">
        <v>4151354</v>
      </c>
      <c r="AD100">
        <v>113</v>
      </c>
      <c r="AE100">
        <v>1</v>
      </c>
      <c r="AF100">
        <v>114</v>
      </c>
      <c r="AG100">
        <v>2117455</v>
      </c>
      <c r="AH100">
        <v>21675</v>
      </c>
      <c r="AI100">
        <v>2139130</v>
      </c>
      <c r="AJ100">
        <v>47</v>
      </c>
      <c r="AK100">
        <v>1715962</v>
      </c>
      <c r="AL100">
        <v>59</v>
      </c>
      <c r="AM100">
        <v>2764096</v>
      </c>
      <c r="AN100">
        <v>4.9400000000000004</v>
      </c>
      <c r="AO100">
        <v>4.58</v>
      </c>
      <c r="AP100">
        <v>4.88</v>
      </c>
      <c r="AQ100">
        <v>4.87</v>
      </c>
      <c r="AR100">
        <v>4.58</v>
      </c>
      <c r="AS100">
        <v>4.82</v>
      </c>
    </row>
    <row r="101" spans="1:45" x14ac:dyDescent="0.25">
      <c r="A101" t="s">
        <v>20001</v>
      </c>
      <c r="B101">
        <v>6368</v>
      </c>
      <c r="C101">
        <v>177142153</v>
      </c>
      <c r="D101">
        <v>9156381</v>
      </c>
      <c r="E101">
        <v>740873</v>
      </c>
      <c r="F101">
        <v>9897254</v>
      </c>
      <c r="G101">
        <v>5.1999999999999998E-2</v>
      </c>
      <c r="H101">
        <v>4.0000000000000001E-3</v>
      </c>
      <c r="I101">
        <v>5.6000000000000001E-2</v>
      </c>
      <c r="J101" t="s">
        <v>1784</v>
      </c>
      <c r="K101" t="s">
        <v>1784</v>
      </c>
      <c r="L101" t="s">
        <v>1784</v>
      </c>
      <c r="M101" t="s">
        <v>1784</v>
      </c>
      <c r="N101" t="s">
        <v>1784</v>
      </c>
      <c r="O101" t="s">
        <v>1784</v>
      </c>
      <c r="P101">
        <v>7348128</v>
      </c>
      <c r="Q101">
        <v>452908</v>
      </c>
      <c r="R101">
        <v>7801036</v>
      </c>
      <c r="S101">
        <v>4.1000000000000002E-2</v>
      </c>
      <c r="T101">
        <v>3.0000000000000001E-3</v>
      </c>
      <c r="U101">
        <v>4.3999999999999997E-2</v>
      </c>
      <c r="V101">
        <v>167244899</v>
      </c>
      <c r="W101">
        <v>0.94399999999999995</v>
      </c>
      <c r="X101">
        <v>-519516</v>
      </c>
      <c r="Y101">
        <v>-144226</v>
      </c>
      <c r="Z101">
        <v>-663742</v>
      </c>
      <c r="AA101">
        <v>1691355</v>
      </c>
      <c r="AB101">
        <v>161049</v>
      </c>
      <c r="AC101">
        <v>1852404</v>
      </c>
      <c r="AD101">
        <v>98</v>
      </c>
      <c r="AE101">
        <v>4</v>
      </c>
      <c r="AF101">
        <v>102</v>
      </c>
      <c r="AG101">
        <v>1259832</v>
      </c>
      <c r="AH101">
        <v>318576</v>
      </c>
      <c r="AI101">
        <v>1578408</v>
      </c>
      <c r="AJ101">
        <v>11</v>
      </c>
      <c r="AK101">
        <v>216073</v>
      </c>
      <c r="AL101">
        <v>83</v>
      </c>
      <c r="AM101">
        <v>4142152</v>
      </c>
      <c r="AN101">
        <v>4.7</v>
      </c>
      <c r="AO101">
        <v>4.74</v>
      </c>
      <c r="AP101">
        <v>4.7</v>
      </c>
      <c r="AQ101">
        <v>4.66</v>
      </c>
      <c r="AR101">
        <v>4.91</v>
      </c>
      <c r="AS101">
        <v>4.68</v>
      </c>
    </row>
    <row r="102" spans="1:45" x14ac:dyDescent="0.25">
      <c r="A102" t="s">
        <v>20002</v>
      </c>
      <c r="B102">
        <v>6357</v>
      </c>
      <c r="C102">
        <v>176926080</v>
      </c>
      <c r="D102">
        <v>8420792</v>
      </c>
      <c r="E102">
        <v>596647</v>
      </c>
      <c r="F102">
        <v>9017439</v>
      </c>
      <c r="G102">
        <v>4.8000000000000001E-2</v>
      </c>
      <c r="H102">
        <v>3.0000000000000001E-3</v>
      </c>
      <c r="I102">
        <v>5.0999999999999997E-2</v>
      </c>
      <c r="J102" t="s">
        <v>1784</v>
      </c>
      <c r="K102" t="s">
        <v>1784</v>
      </c>
      <c r="L102" t="s">
        <v>1784</v>
      </c>
      <c r="M102" t="s">
        <v>1784</v>
      </c>
      <c r="N102" t="s">
        <v>1784</v>
      </c>
      <c r="O102" t="s">
        <v>1784</v>
      </c>
      <c r="P102">
        <v>6699664</v>
      </c>
      <c r="Q102">
        <v>596647</v>
      </c>
      <c r="R102">
        <v>7296311</v>
      </c>
      <c r="S102">
        <v>3.7999999999999999E-2</v>
      </c>
      <c r="T102">
        <v>3.0000000000000001E-3</v>
      </c>
      <c r="U102">
        <v>4.1000000000000002E-2</v>
      </c>
      <c r="V102">
        <v>167908641</v>
      </c>
      <c r="W102">
        <v>0.94899999999999995</v>
      </c>
      <c r="X102">
        <v>-741383</v>
      </c>
      <c r="Y102">
        <v>-353779</v>
      </c>
      <c r="Z102">
        <v>-1095162</v>
      </c>
      <c r="AA102">
        <v>1688030</v>
      </c>
      <c r="AB102">
        <v>155578</v>
      </c>
      <c r="AC102">
        <v>1843608</v>
      </c>
      <c r="AD102">
        <v>123</v>
      </c>
      <c r="AE102">
        <v>4</v>
      </c>
      <c r="AF102">
        <v>127</v>
      </c>
      <c r="AG102">
        <v>2020283</v>
      </c>
      <c r="AH102">
        <v>53748</v>
      </c>
      <c r="AI102">
        <v>2074031</v>
      </c>
      <c r="AJ102">
        <v>15</v>
      </c>
      <c r="AK102">
        <v>731642</v>
      </c>
      <c r="AL102">
        <v>71</v>
      </c>
      <c r="AM102">
        <v>3142611</v>
      </c>
      <c r="AN102">
        <v>4.71</v>
      </c>
      <c r="AO102">
        <v>3.89</v>
      </c>
      <c r="AP102">
        <v>4.63</v>
      </c>
      <c r="AQ102">
        <v>4.59</v>
      </c>
      <c r="AR102">
        <v>3.97</v>
      </c>
      <c r="AS102">
        <v>4.53</v>
      </c>
    </row>
    <row r="103" spans="1:45" x14ac:dyDescent="0.25">
      <c r="A103" t="s">
        <v>20003</v>
      </c>
      <c r="B103">
        <v>6342</v>
      </c>
      <c r="C103">
        <v>176194438</v>
      </c>
      <c r="D103">
        <v>6947767</v>
      </c>
      <c r="E103">
        <v>242868</v>
      </c>
      <c r="F103">
        <v>7190635</v>
      </c>
      <c r="G103">
        <v>3.9E-2</v>
      </c>
      <c r="H103">
        <v>1E-3</v>
      </c>
      <c r="I103">
        <v>4.1000000000000002E-2</v>
      </c>
      <c r="J103" t="s">
        <v>1784</v>
      </c>
      <c r="K103" t="s">
        <v>1784</v>
      </c>
      <c r="L103" t="s">
        <v>1784</v>
      </c>
      <c r="M103" t="s">
        <v>1784</v>
      </c>
      <c r="N103" t="s">
        <v>1784</v>
      </c>
      <c r="O103" t="s">
        <v>1784</v>
      </c>
      <c r="P103">
        <v>6775086</v>
      </c>
      <c r="Q103">
        <v>242868</v>
      </c>
      <c r="R103">
        <v>7017954</v>
      </c>
      <c r="S103">
        <v>3.7999999999999999E-2</v>
      </c>
      <c r="T103">
        <v>1E-3</v>
      </c>
      <c r="U103">
        <v>0.04</v>
      </c>
      <c r="V103">
        <v>169003803</v>
      </c>
      <c r="W103">
        <v>0.95899999999999996</v>
      </c>
      <c r="X103">
        <v>1125191</v>
      </c>
      <c r="Y103">
        <v>406920</v>
      </c>
      <c r="Z103">
        <v>1532111</v>
      </c>
      <c r="AA103">
        <v>2884059</v>
      </c>
      <c r="AB103">
        <v>461082</v>
      </c>
      <c r="AC103">
        <v>3345141</v>
      </c>
      <c r="AD103">
        <v>147</v>
      </c>
      <c r="AE103">
        <v>5</v>
      </c>
      <c r="AF103">
        <v>152</v>
      </c>
      <c r="AG103">
        <v>1870425</v>
      </c>
      <c r="AH103">
        <v>128484</v>
      </c>
      <c r="AI103">
        <v>1998909</v>
      </c>
      <c r="AJ103">
        <v>16</v>
      </c>
      <c r="AK103">
        <v>259772</v>
      </c>
      <c r="AL103">
        <v>41</v>
      </c>
      <c r="AM103">
        <v>2794191</v>
      </c>
      <c r="AN103">
        <v>4.59</v>
      </c>
      <c r="AO103">
        <v>3.8</v>
      </c>
      <c r="AP103">
        <v>4.55</v>
      </c>
      <c r="AQ103">
        <v>4.47</v>
      </c>
      <c r="AR103">
        <v>3.65</v>
      </c>
      <c r="AS103">
        <v>4.43</v>
      </c>
    </row>
    <row r="104" spans="1:45" x14ac:dyDescent="0.25">
      <c r="A104" t="s">
        <v>20004</v>
      </c>
      <c r="B104">
        <v>6326</v>
      </c>
      <c r="C104">
        <v>175934666</v>
      </c>
      <c r="D104">
        <v>7813186</v>
      </c>
      <c r="E104">
        <v>649788</v>
      </c>
      <c r="F104">
        <v>8462974</v>
      </c>
      <c r="G104">
        <v>4.3999999999999997E-2</v>
      </c>
      <c r="H104">
        <v>4.0000000000000001E-3</v>
      </c>
      <c r="I104">
        <v>4.8000000000000001E-2</v>
      </c>
      <c r="J104" t="s">
        <v>1784</v>
      </c>
      <c r="K104" t="s">
        <v>1784</v>
      </c>
      <c r="L104" t="s">
        <v>1784</v>
      </c>
      <c r="M104" t="s">
        <v>1784</v>
      </c>
      <c r="N104" t="s">
        <v>1784</v>
      </c>
      <c r="O104" t="s">
        <v>1784</v>
      </c>
      <c r="P104">
        <v>7515574</v>
      </c>
      <c r="Q104">
        <v>649788</v>
      </c>
      <c r="R104">
        <v>8165362</v>
      </c>
      <c r="S104">
        <v>4.2999999999999997E-2</v>
      </c>
      <c r="T104">
        <v>4.0000000000000001E-3</v>
      </c>
      <c r="U104">
        <v>4.5999999999999999E-2</v>
      </c>
      <c r="V104">
        <v>167471692</v>
      </c>
      <c r="W104">
        <v>0.95199999999999996</v>
      </c>
      <c r="X104">
        <v>1625016</v>
      </c>
      <c r="Y104">
        <v>90811</v>
      </c>
      <c r="Z104">
        <v>1715827</v>
      </c>
      <c r="AA104">
        <v>3667382</v>
      </c>
      <c r="AB104">
        <v>173299</v>
      </c>
      <c r="AC104">
        <v>3840681</v>
      </c>
      <c r="AD104">
        <v>139</v>
      </c>
      <c r="AE104">
        <v>8</v>
      </c>
      <c r="AF104">
        <v>147</v>
      </c>
      <c r="AG104">
        <v>1926373</v>
      </c>
      <c r="AH104">
        <v>117283</v>
      </c>
      <c r="AI104">
        <v>2043656</v>
      </c>
      <c r="AJ104">
        <v>65</v>
      </c>
      <c r="AK104">
        <v>2241412</v>
      </c>
      <c r="AL104">
        <v>44</v>
      </c>
      <c r="AM104">
        <v>1980707</v>
      </c>
      <c r="AN104">
        <v>4.59</v>
      </c>
      <c r="AO104">
        <v>3.4</v>
      </c>
      <c r="AP104">
        <v>4.4800000000000004</v>
      </c>
      <c r="AQ104">
        <v>4.43</v>
      </c>
      <c r="AR104">
        <v>3.3</v>
      </c>
      <c r="AS104">
        <v>4.32</v>
      </c>
    </row>
    <row r="105" spans="1:45" x14ac:dyDescent="0.25">
      <c r="A105" t="s">
        <v>20005</v>
      </c>
      <c r="B105">
        <v>6262</v>
      </c>
      <c r="C105">
        <v>173737164</v>
      </c>
      <c r="D105">
        <v>7240700</v>
      </c>
      <c r="E105">
        <v>740599</v>
      </c>
      <c r="F105">
        <v>7981299</v>
      </c>
      <c r="G105">
        <v>4.2000000000000003E-2</v>
      </c>
      <c r="H105">
        <v>4.0000000000000001E-3</v>
      </c>
      <c r="I105">
        <v>4.5999999999999999E-2</v>
      </c>
      <c r="J105" t="s">
        <v>1784</v>
      </c>
      <c r="K105" t="s">
        <v>1784</v>
      </c>
      <c r="L105" t="s">
        <v>1784</v>
      </c>
      <c r="M105" t="s">
        <v>1784</v>
      </c>
      <c r="N105" t="s">
        <v>1784</v>
      </c>
      <c r="O105" t="s">
        <v>1784</v>
      </c>
      <c r="P105">
        <v>7051697</v>
      </c>
      <c r="Q105">
        <v>740599</v>
      </c>
      <c r="R105">
        <v>7792296</v>
      </c>
      <c r="S105">
        <v>4.1000000000000002E-2</v>
      </c>
      <c r="T105">
        <v>4.0000000000000001E-3</v>
      </c>
      <c r="U105">
        <v>4.4999999999999998E-2</v>
      </c>
      <c r="V105">
        <v>165755865</v>
      </c>
      <c r="W105">
        <v>0.95399999999999996</v>
      </c>
      <c r="X105">
        <v>2484063</v>
      </c>
      <c r="Y105">
        <v>-216553</v>
      </c>
      <c r="Z105">
        <v>2267510</v>
      </c>
      <c r="AA105">
        <v>4518735</v>
      </c>
      <c r="AB105">
        <v>330224</v>
      </c>
      <c r="AC105">
        <v>4848959</v>
      </c>
      <c r="AD105">
        <v>176</v>
      </c>
      <c r="AE105">
        <v>12</v>
      </c>
      <c r="AF105">
        <v>188</v>
      </c>
      <c r="AG105">
        <v>2853489</v>
      </c>
      <c r="AH105">
        <v>321231</v>
      </c>
      <c r="AI105">
        <v>3174720</v>
      </c>
      <c r="AJ105">
        <v>20</v>
      </c>
      <c r="AK105">
        <v>762735</v>
      </c>
      <c r="AL105">
        <v>85</v>
      </c>
      <c r="AM105">
        <v>3078313</v>
      </c>
      <c r="AN105">
        <v>5.44</v>
      </c>
      <c r="AO105">
        <v>3.54</v>
      </c>
      <c r="AP105">
        <v>5.25</v>
      </c>
      <c r="AQ105">
        <v>5.39</v>
      </c>
      <c r="AR105">
        <v>3.49</v>
      </c>
      <c r="AS105">
        <v>5.19</v>
      </c>
    </row>
    <row r="106" spans="1:45" x14ac:dyDescent="0.25">
      <c r="A106" t="s">
        <v>20006</v>
      </c>
      <c r="B106">
        <v>6242</v>
      </c>
      <c r="C106">
        <v>172974429</v>
      </c>
      <c r="D106">
        <v>8962028</v>
      </c>
      <c r="E106">
        <v>524046</v>
      </c>
      <c r="F106">
        <v>9486074</v>
      </c>
      <c r="G106">
        <v>5.1999999999999998E-2</v>
      </c>
      <c r="H106">
        <v>3.0000000000000001E-3</v>
      </c>
      <c r="I106">
        <v>5.5E-2</v>
      </c>
      <c r="J106" t="s">
        <v>1784</v>
      </c>
      <c r="K106" t="s">
        <v>1784</v>
      </c>
      <c r="L106" t="s">
        <v>1784</v>
      </c>
      <c r="M106" t="s">
        <v>1784</v>
      </c>
      <c r="N106" t="s">
        <v>1784</v>
      </c>
      <c r="O106" t="s">
        <v>1784</v>
      </c>
      <c r="P106">
        <v>8303041</v>
      </c>
      <c r="Q106">
        <v>516046</v>
      </c>
      <c r="R106">
        <v>8819087</v>
      </c>
      <c r="S106">
        <v>4.8000000000000001E-2</v>
      </c>
      <c r="T106">
        <v>3.0000000000000001E-3</v>
      </c>
      <c r="U106">
        <v>5.0999999999999997E-2</v>
      </c>
      <c r="V106">
        <v>163488355</v>
      </c>
      <c r="W106">
        <v>0.94499999999999995</v>
      </c>
      <c r="X106">
        <v>151784</v>
      </c>
      <c r="Y106">
        <v>0</v>
      </c>
      <c r="Z106">
        <v>151784</v>
      </c>
      <c r="AA106">
        <v>151784</v>
      </c>
      <c r="AB106">
        <v>0</v>
      </c>
      <c r="AC106">
        <v>151784</v>
      </c>
      <c r="AD106">
        <v>95</v>
      </c>
      <c r="AE106">
        <v>2</v>
      </c>
      <c r="AF106">
        <v>97</v>
      </c>
      <c r="AG106">
        <v>2337906</v>
      </c>
      <c r="AH106">
        <v>17520</v>
      </c>
      <c r="AI106">
        <v>2355426</v>
      </c>
      <c r="AJ106">
        <v>0</v>
      </c>
      <c r="AK106">
        <v>0</v>
      </c>
      <c r="AL106">
        <v>86</v>
      </c>
      <c r="AM106">
        <v>3009719</v>
      </c>
      <c r="AN106">
        <v>4.51</v>
      </c>
      <c r="AO106">
        <v>3.68</v>
      </c>
      <c r="AP106">
        <v>4.45</v>
      </c>
      <c r="AQ106">
        <v>4.33</v>
      </c>
      <c r="AR106">
        <v>4.0199999999999996</v>
      </c>
      <c r="AS106">
        <v>4.32</v>
      </c>
    </row>
    <row r="107" spans="1:45" x14ac:dyDescent="0.25">
      <c r="A107" t="s">
        <v>20007</v>
      </c>
      <c r="B107" t="s">
        <v>1784</v>
      </c>
      <c r="C107" t="s">
        <v>1784</v>
      </c>
      <c r="D107" t="s">
        <v>1784</v>
      </c>
      <c r="E107" t="s">
        <v>1784</v>
      </c>
      <c r="F107" t="s">
        <v>1784</v>
      </c>
      <c r="G107" t="s">
        <v>1784</v>
      </c>
      <c r="H107" t="s">
        <v>1784</v>
      </c>
      <c r="I107" t="s">
        <v>1784</v>
      </c>
      <c r="J107" t="s">
        <v>1784</v>
      </c>
      <c r="K107" t="s">
        <v>1784</v>
      </c>
      <c r="L107" t="s">
        <v>1784</v>
      </c>
      <c r="M107" t="s">
        <v>1784</v>
      </c>
      <c r="N107" t="s">
        <v>1784</v>
      </c>
      <c r="O107" t="s">
        <v>1784</v>
      </c>
      <c r="P107" t="s">
        <v>1784</v>
      </c>
      <c r="Q107" t="s">
        <v>1784</v>
      </c>
      <c r="R107" t="s">
        <v>1784</v>
      </c>
      <c r="S107" t="s">
        <v>1784</v>
      </c>
      <c r="T107" t="s">
        <v>1784</v>
      </c>
      <c r="U107" t="s">
        <v>1784</v>
      </c>
      <c r="V107" t="s">
        <v>1784</v>
      </c>
      <c r="W107" t="s">
        <v>1784</v>
      </c>
      <c r="X107" t="s">
        <v>1784</v>
      </c>
      <c r="Y107" t="s">
        <v>1784</v>
      </c>
      <c r="Z107" t="s">
        <v>1784</v>
      </c>
      <c r="AA107" t="s">
        <v>1784</v>
      </c>
      <c r="AB107" t="s">
        <v>1784</v>
      </c>
      <c r="AC107" t="s">
        <v>1784</v>
      </c>
      <c r="AD107" t="s">
        <v>1784</v>
      </c>
      <c r="AE107" t="s">
        <v>1784</v>
      </c>
      <c r="AF107" t="s">
        <v>1784</v>
      </c>
      <c r="AG107" t="s">
        <v>1784</v>
      </c>
      <c r="AH107" t="s">
        <v>1784</v>
      </c>
      <c r="AI107" t="s">
        <v>1784</v>
      </c>
      <c r="AJ107" t="s">
        <v>1784</v>
      </c>
      <c r="AK107" t="s">
        <v>1784</v>
      </c>
      <c r="AL107" t="s">
        <v>1784</v>
      </c>
      <c r="AM107" t="s">
        <v>1784</v>
      </c>
      <c r="AN107" t="s">
        <v>1784</v>
      </c>
      <c r="AO107" t="s">
        <v>1784</v>
      </c>
      <c r="AP107" t="s">
        <v>1784</v>
      </c>
      <c r="AQ107" t="s">
        <v>1784</v>
      </c>
      <c r="AR107" t="s">
        <v>1784</v>
      </c>
      <c r="AS107" t="s">
        <v>1784</v>
      </c>
    </row>
    <row r="108" spans="1:45" x14ac:dyDescent="0.25">
      <c r="A108" t="s">
        <v>20008</v>
      </c>
      <c r="B108" t="s">
        <v>1784</v>
      </c>
      <c r="C108" t="s">
        <v>1784</v>
      </c>
      <c r="D108" t="s">
        <v>1784</v>
      </c>
      <c r="E108" t="s">
        <v>1784</v>
      </c>
      <c r="F108" t="s">
        <v>1784</v>
      </c>
      <c r="G108" t="s">
        <v>1784</v>
      </c>
      <c r="H108" t="s">
        <v>1784</v>
      </c>
      <c r="I108" t="s">
        <v>1784</v>
      </c>
      <c r="J108" t="s">
        <v>1784</v>
      </c>
      <c r="K108" t="s">
        <v>1784</v>
      </c>
      <c r="L108" t="s">
        <v>1784</v>
      </c>
      <c r="M108" t="s">
        <v>1784</v>
      </c>
      <c r="N108" t="s">
        <v>1784</v>
      </c>
      <c r="O108" t="s">
        <v>1784</v>
      </c>
      <c r="P108" t="s">
        <v>1784</v>
      </c>
      <c r="Q108" t="s">
        <v>1784</v>
      </c>
      <c r="R108" t="s">
        <v>1784</v>
      </c>
      <c r="S108" t="s">
        <v>1784</v>
      </c>
      <c r="T108" t="s">
        <v>1784</v>
      </c>
      <c r="U108" t="s">
        <v>1784</v>
      </c>
      <c r="V108" t="s">
        <v>1784</v>
      </c>
      <c r="W108" t="s">
        <v>1784</v>
      </c>
      <c r="X108">
        <v>0</v>
      </c>
      <c r="Y108">
        <v>0</v>
      </c>
      <c r="Z108">
        <v>0</v>
      </c>
      <c r="AA108" t="s">
        <v>1784</v>
      </c>
      <c r="AB108" t="s">
        <v>1784</v>
      </c>
      <c r="AC108" t="s">
        <v>1784</v>
      </c>
      <c r="AD108" t="s">
        <v>1784</v>
      </c>
      <c r="AE108" t="s">
        <v>1784</v>
      </c>
      <c r="AF108" t="s">
        <v>1784</v>
      </c>
      <c r="AG108" t="s">
        <v>1784</v>
      </c>
      <c r="AH108" t="s">
        <v>1784</v>
      </c>
      <c r="AI108" t="s">
        <v>1784</v>
      </c>
      <c r="AJ108" t="s">
        <v>1784</v>
      </c>
      <c r="AK108" t="s">
        <v>1784</v>
      </c>
      <c r="AL108" t="s">
        <v>1784</v>
      </c>
      <c r="AM108" t="s">
        <v>1784</v>
      </c>
      <c r="AN108" t="s">
        <v>1784</v>
      </c>
      <c r="AO108" t="s">
        <v>1784</v>
      </c>
      <c r="AP108" t="s">
        <v>1784</v>
      </c>
      <c r="AQ108" t="s">
        <v>1784</v>
      </c>
      <c r="AR108" t="s">
        <v>1784</v>
      </c>
      <c r="AS108" t="s">
        <v>1784</v>
      </c>
    </row>
  </sheetData>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13"/>
  <dimension ref="A1:AS108"/>
  <sheetViews>
    <sheetView workbookViewId="0">
      <selection activeCell="A2" sqref="A2:AS108"/>
    </sheetView>
  </sheetViews>
  <sheetFormatPr defaultRowHeight="14.25" x14ac:dyDescent="0.25"/>
  <cols>
    <col min="2" max="2" width="9" bestFit="1" customWidth="1"/>
    <col min="3" max="3" width="11.28515625" bestFit="1" customWidth="1"/>
    <col min="4" max="4" width="10.140625" bestFit="1" customWidth="1"/>
    <col min="5" max="5" width="9" bestFit="1" customWidth="1"/>
    <col min="6" max="6" width="10.140625" bestFit="1" customWidth="1"/>
    <col min="7" max="9" width="9" bestFit="1" customWidth="1"/>
    <col min="10" max="10" width="10.140625" bestFit="1" customWidth="1"/>
    <col min="11" max="11" width="9" bestFit="1" customWidth="1"/>
    <col min="12" max="12" width="10.140625" bestFit="1" customWidth="1"/>
    <col min="13" max="15" width="9" bestFit="1" customWidth="1"/>
    <col min="16" max="16" width="10.140625" bestFit="1" customWidth="1"/>
    <col min="17" max="17" width="9" bestFit="1" customWidth="1"/>
    <col min="18" max="18" width="10.140625" bestFit="1" customWidth="1"/>
    <col min="19" max="21" width="9" bestFit="1" customWidth="1"/>
    <col min="23" max="23" width="9" bestFit="1" customWidth="1"/>
    <col min="24" max="24" width="9.85546875" bestFit="1" customWidth="1"/>
    <col min="25" max="25" width="9" bestFit="1" customWidth="1"/>
    <col min="26" max="26" width="9.85546875" bestFit="1" customWidth="1"/>
    <col min="27" max="30" width="9" bestFit="1" customWidth="1"/>
    <col min="31" max="35" width="9.28515625" bestFit="1" customWidth="1"/>
  </cols>
  <sheetData>
    <row r="1" spans="1:45" x14ac:dyDescent="0.25">
      <c r="A1" t="s">
        <v>18478</v>
      </c>
      <c r="B1" t="s">
        <v>1079</v>
      </c>
      <c r="C1" t="s">
        <v>1080</v>
      </c>
      <c r="D1" t="s">
        <v>18479</v>
      </c>
      <c r="E1" t="s">
        <v>18480</v>
      </c>
      <c r="F1" t="s">
        <v>18481</v>
      </c>
      <c r="G1" t="s">
        <v>18404</v>
      </c>
      <c r="H1" t="s">
        <v>18405</v>
      </c>
      <c r="I1" t="s">
        <v>18406</v>
      </c>
      <c r="J1" t="s">
        <v>18482</v>
      </c>
      <c r="K1" t="s">
        <v>18483</v>
      </c>
      <c r="L1" t="s">
        <v>18484</v>
      </c>
      <c r="M1" t="s">
        <v>18485</v>
      </c>
      <c r="N1" t="s">
        <v>18486</v>
      </c>
      <c r="O1" t="s">
        <v>18487</v>
      </c>
      <c r="P1" t="s">
        <v>18488</v>
      </c>
      <c r="Q1" t="s">
        <v>18489</v>
      </c>
      <c r="R1" t="s">
        <v>18490</v>
      </c>
      <c r="S1" t="s">
        <v>1794</v>
      </c>
      <c r="T1" t="s">
        <v>1795</v>
      </c>
      <c r="U1" t="s">
        <v>1796</v>
      </c>
      <c r="V1" t="s">
        <v>18491</v>
      </c>
      <c r="W1" t="s">
        <v>1797</v>
      </c>
      <c r="X1" t="s">
        <v>1085</v>
      </c>
      <c r="Y1" t="s">
        <v>1798</v>
      </c>
      <c r="Z1" t="s">
        <v>1086</v>
      </c>
      <c r="AA1" t="s">
        <v>18492</v>
      </c>
      <c r="AB1" t="s">
        <v>18493</v>
      </c>
      <c r="AC1" t="s">
        <v>18494</v>
      </c>
      <c r="AD1" t="s">
        <v>18495</v>
      </c>
      <c r="AE1" t="s">
        <v>18496</v>
      </c>
      <c r="AF1" t="s">
        <v>1087</v>
      </c>
      <c r="AG1" t="s">
        <v>18497</v>
      </c>
      <c r="AH1" t="s">
        <v>18498</v>
      </c>
      <c r="AI1" t="s">
        <v>18499</v>
      </c>
      <c r="AJ1" t="s">
        <v>1081</v>
      </c>
      <c r="AK1" t="s">
        <v>1082</v>
      </c>
      <c r="AL1" t="s">
        <v>1083</v>
      </c>
      <c r="AM1" t="s">
        <v>1084</v>
      </c>
      <c r="AN1" t="s">
        <v>19973</v>
      </c>
      <c r="AO1" t="s">
        <v>19974</v>
      </c>
      <c r="AP1" t="s">
        <v>19975</v>
      </c>
      <c r="AQ1" t="s">
        <v>19976</v>
      </c>
      <c r="AR1" t="s">
        <v>19977</v>
      </c>
      <c r="AS1" t="s">
        <v>19978</v>
      </c>
    </row>
    <row r="2" spans="1:45" x14ac:dyDescent="0.25">
      <c r="A2" t="s">
        <v>20012</v>
      </c>
      <c r="B2">
        <v>476</v>
      </c>
      <c r="C2">
        <v>16060792</v>
      </c>
      <c r="D2">
        <v>2070999</v>
      </c>
      <c r="E2">
        <v>110346</v>
      </c>
      <c r="F2">
        <v>2181345</v>
      </c>
      <c r="G2">
        <v>0.129</v>
      </c>
      <c r="H2">
        <v>7.0000000000000001E-3</v>
      </c>
      <c r="I2">
        <v>0.13600000000000001</v>
      </c>
      <c r="J2">
        <v>2518695</v>
      </c>
      <c r="K2">
        <v>141646</v>
      </c>
      <c r="L2">
        <v>2660341</v>
      </c>
      <c r="M2">
        <v>0.156</v>
      </c>
      <c r="N2">
        <v>8.9999999999999993E-3</v>
      </c>
      <c r="O2">
        <v>0.16500000000000001</v>
      </c>
      <c r="P2">
        <v>1853122</v>
      </c>
      <c r="Q2">
        <v>110346</v>
      </c>
      <c r="R2">
        <v>1963468</v>
      </c>
      <c r="S2">
        <v>0.115</v>
      </c>
      <c r="T2">
        <v>7.0000000000000001E-3</v>
      </c>
      <c r="U2">
        <v>0.122</v>
      </c>
      <c r="V2">
        <v>13879447</v>
      </c>
      <c r="W2">
        <v>0.86399999999999999</v>
      </c>
      <c r="X2">
        <v>-32621</v>
      </c>
      <c r="Y2">
        <v>-69399</v>
      </c>
      <c r="Z2">
        <v>-102020</v>
      </c>
      <c r="AA2">
        <v>156534</v>
      </c>
      <c r="AB2">
        <v>0</v>
      </c>
      <c r="AC2">
        <v>156534</v>
      </c>
      <c r="AD2">
        <v>14</v>
      </c>
      <c r="AE2">
        <v>0</v>
      </c>
      <c r="AF2">
        <v>14</v>
      </c>
      <c r="AG2">
        <v>62342</v>
      </c>
      <c r="AH2">
        <v>0</v>
      </c>
      <c r="AI2">
        <v>62342</v>
      </c>
      <c r="AJ2">
        <v>0</v>
      </c>
      <c r="AK2">
        <v>0</v>
      </c>
      <c r="AL2">
        <v>1</v>
      </c>
      <c r="AM2">
        <v>75058</v>
      </c>
      <c r="AN2">
        <v>11.91</v>
      </c>
      <c r="AO2">
        <v>10.09</v>
      </c>
      <c r="AP2">
        <v>11.89</v>
      </c>
      <c r="AQ2">
        <v>11.71</v>
      </c>
      <c r="AR2">
        <v>12.5</v>
      </c>
      <c r="AS2">
        <v>11.71</v>
      </c>
    </row>
    <row r="3" spans="1:45" x14ac:dyDescent="0.25">
      <c r="A3" t="s">
        <v>20013</v>
      </c>
      <c r="B3">
        <v>476</v>
      </c>
      <c r="C3">
        <v>16060792</v>
      </c>
      <c r="D3">
        <v>2038378</v>
      </c>
      <c r="E3">
        <v>40947</v>
      </c>
      <c r="F3">
        <v>2079325</v>
      </c>
      <c r="G3">
        <v>0.127</v>
      </c>
      <c r="H3">
        <v>3.0000000000000001E-3</v>
      </c>
      <c r="I3">
        <v>0.129</v>
      </c>
      <c r="J3">
        <v>2157845</v>
      </c>
      <c r="K3">
        <v>40947</v>
      </c>
      <c r="L3">
        <v>2198792</v>
      </c>
      <c r="M3">
        <v>0.13400000000000001</v>
      </c>
      <c r="N3">
        <v>3.0000000000000001E-3</v>
      </c>
      <c r="O3">
        <v>0.13700000000000001</v>
      </c>
      <c r="P3">
        <v>1766741</v>
      </c>
      <c r="Q3">
        <v>40947</v>
      </c>
      <c r="R3">
        <v>1807688</v>
      </c>
      <c r="S3">
        <v>0.11</v>
      </c>
      <c r="T3">
        <v>3.0000000000000001E-3</v>
      </c>
      <c r="U3">
        <v>0.113</v>
      </c>
      <c r="V3">
        <v>13981467</v>
      </c>
      <c r="W3">
        <v>0.871</v>
      </c>
      <c r="X3">
        <v>176866</v>
      </c>
      <c r="Y3">
        <v>13152</v>
      </c>
      <c r="Z3">
        <v>190018</v>
      </c>
      <c r="AA3">
        <v>360110</v>
      </c>
      <c r="AB3">
        <v>13152</v>
      </c>
      <c r="AC3">
        <v>373262</v>
      </c>
      <c r="AD3">
        <v>24</v>
      </c>
      <c r="AE3">
        <v>1</v>
      </c>
      <c r="AF3">
        <v>25</v>
      </c>
      <c r="AG3">
        <v>236227</v>
      </c>
      <c r="AH3">
        <v>13152</v>
      </c>
      <c r="AI3">
        <v>249379</v>
      </c>
      <c r="AJ3">
        <v>2</v>
      </c>
      <c r="AK3">
        <v>343800</v>
      </c>
      <c r="AL3">
        <v>0</v>
      </c>
      <c r="AM3">
        <v>0</v>
      </c>
      <c r="AN3">
        <v>11.52</v>
      </c>
      <c r="AO3">
        <v>9</v>
      </c>
      <c r="AP3">
        <v>11.5</v>
      </c>
      <c r="AQ3">
        <v>11.18</v>
      </c>
      <c r="AR3" t="s">
        <v>1784</v>
      </c>
      <c r="AS3">
        <v>11.18</v>
      </c>
    </row>
    <row r="4" spans="1:45" x14ac:dyDescent="0.25">
      <c r="A4" t="s">
        <v>19980</v>
      </c>
      <c r="B4">
        <v>474</v>
      </c>
      <c r="C4">
        <v>15716992</v>
      </c>
      <c r="D4">
        <v>1871444</v>
      </c>
      <c r="E4">
        <v>54099</v>
      </c>
      <c r="F4">
        <v>1925543</v>
      </c>
      <c r="G4">
        <v>0.11899999999999999</v>
      </c>
      <c r="H4">
        <v>3.0000000000000001E-3</v>
      </c>
      <c r="I4">
        <v>0.123</v>
      </c>
      <c r="J4">
        <v>2224335</v>
      </c>
      <c r="K4">
        <v>54099</v>
      </c>
      <c r="L4">
        <v>2278434</v>
      </c>
      <c r="M4">
        <v>0.13800000000000001</v>
      </c>
      <c r="N4">
        <v>3.0000000000000001E-3</v>
      </c>
      <c r="O4">
        <v>0.14199999999999999</v>
      </c>
      <c r="P4">
        <v>1539007</v>
      </c>
      <c r="Q4">
        <v>54099</v>
      </c>
      <c r="R4">
        <v>1593106</v>
      </c>
      <c r="S4">
        <v>9.8000000000000004E-2</v>
      </c>
      <c r="T4">
        <v>3.0000000000000001E-3</v>
      </c>
      <c r="U4">
        <v>0.10100000000000001</v>
      </c>
      <c r="V4">
        <v>13791449</v>
      </c>
      <c r="W4">
        <v>0.877</v>
      </c>
      <c r="X4">
        <v>191388</v>
      </c>
      <c r="Y4">
        <v>-19002</v>
      </c>
      <c r="Z4">
        <v>172386</v>
      </c>
      <c r="AA4">
        <v>368869</v>
      </c>
      <c r="AB4">
        <v>0</v>
      </c>
      <c r="AC4">
        <v>368869</v>
      </c>
      <c r="AD4">
        <v>29</v>
      </c>
      <c r="AE4">
        <v>0</v>
      </c>
      <c r="AF4">
        <v>29</v>
      </c>
      <c r="AG4">
        <v>365437</v>
      </c>
      <c r="AH4">
        <v>0</v>
      </c>
      <c r="AI4">
        <v>365437</v>
      </c>
      <c r="AJ4">
        <v>0</v>
      </c>
      <c r="AK4">
        <v>0</v>
      </c>
      <c r="AL4">
        <v>2</v>
      </c>
      <c r="AM4">
        <v>343800</v>
      </c>
      <c r="AN4">
        <v>11.89</v>
      </c>
      <c r="AO4">
        <v>9</v>
      </c>
      <c r="AP4">
        <v>11.87</v>
      </c>
      <c r="AQ4">
        <v>11.72</v>
      </c>
      <c r="AR4" t="s">
        <v>1784</v>
      </c>
      <c r="AS4">
        <v>11.72</v>
      </c>
    </row>
    <row r="5" spans="1:45" x14ac:dyDescent="0.25">
      <c r="A5" t="s">
        <v>19778</v>
      </c>
      <c r="B5">
        <v>474</v>
      </c>
      <c r="C5">
        <v>15716992</v>
      </c>
      <c r="D5">
        <v>2062832</v>
      </c>
      <c r="E5">
        <v>35097</v>
      </c>
      <c r="F5">
        <v>2097929</v>
      </c>
      <c r="G5">
        <v>0.13100000000000001</v>
      </c>
      <c r="H5">
        <v>2E-3</v>
      </c>
      <c r="I5">
        <v>0.13300000000000001</v>
      </c>
      <c r="J5">
        <v>2313882</v>
      </c>
      <c r="K5">
        <v>35097</v>
      </c>
      <c r="L5">
        <v>2348979</v>
      </c>
      <c r="M5">
        <v>0.14399999999999999</v>
      </c>
      <c r="N5">
        <v>2E-3</v>
      </c>
      <c r="O5">
        <v>0.14599999999999999</v>
      </c>
      <c r="P5">
        <v>1725742</v>
      </c>
      <c r="Q5">
        <v>35097</v>
      </c>
      <c r="R5">
        <v>1760839</v>
      </c>
      <c r="S5">
        <v>0.11</v>
      </c>
      <c r="T5">
        <v>2E-3</v>
      </c>
      <c r="U5">
        <v>0.112</v>
      </c>
      <c r="V5">
        <v>13619063</v>
      </c>
      <c r="W5">
        <v>0.86699999999999999</v>
      </c>
      <c r="X5">
        <v>11297</v>
      </c>
      <c r="Y5">
        <v>0</v>
      </c>
      <c r="Z5">
        <v>11297</v>
      </c>
      <c r="AA5">
        <v>123381</v>
      </c>
      <c r="AB5">
        <v>0</v>
      </c>
      <c r="AC5">
        <v>123381</v>
      </c>
      <c r="AD5">
        <v>16</v>
      </c>
      <c r="AE5">
        <v>0</v>
      </c>
      <c r="AF5">
        <v>16</v>
      </c>
      <c r="AG5">
        <v>242640</v>
      </c>
      <c r="AH5">
        <v>0</v>
      </c>
      <c r="AI5">
        <v>242640</v>
      </c>
      <c r="AJ5">
        <v>0</v>
      </c>
      <c r="AK5">
        <v>0</v>
      </c>
      <c r="AL5">
        <v>2</v>
      </c>
      <c r="AM5">
        <v>343800</v>
      </c>
      <c r="AN5">
        <v>12.25</v>
      </c>
      <c r="AO5" t="s">
        <v>1784</v>
      </c>
      <c r="AP5">
        <v>12.25</v>
      </c>
      <c r="AQ5">
        <v>12.04</v>
      </c>
      <c r="AR5" t="s">
        <v>1784</v>
      </c>
      <c r="AS5">
        <v>12.04</v>
      </c>
    </row>
    <row r="6" spans="1:45" x14ac:dyDescent="0.25">
      <c r="A6" t="s">
        <v>19779</v>
      </c>
      <c r="B6">
        <v>474</v>
      </c>
      <c r="C6">
        <v>15716992</v>
      </c>
      <c r="D6">
        <v>2074129</v>
      </c>
      <c r="E6">
        <v>35097</v>
      </c>
      <c r="F6">
        <v>2109226</v>
      </c>
      <c r="G6">
        <v>0.13200000000000001</v>
      </c>
      <c r="H6">
        <v>2E-3</v>
      </c>
      <c r="I6">
        <v>0.13400000000000001</v>
      </c>
      <c r="J6">
        <v>1985799</v>
      </c>
      <c r="K6">
        <v>35097</v>
      </c>
      <c r="L6">
        <v>2020896</v>
      </c>
      <c r="M6">
        <v>0.126</v>
      </c>
      <c r="N6">
        <v>2E-3</v>
      </c>
      <c r="O6">
        <v>0.129</v>
      </c>
      <c r="P6">
        <v>1780691</v>
      </c>
      <c r="Q6">
        <v>35097</v>
      </c>
      <c r="R6">
        <v>1815788</v>
      </c>
      <c r="S6">
        <v>0.113</v>
      </c>
      <c r="T6">
        <v>2E-3</v>
      </c>
      <c r="U6">
        <v>0.11600000000000001</v>
      </c>
      <c r="V6">
        <v>13607766</v>
      </c>
      <c r="W6">
        <v>0.86599999999999999</v>
      </c>
      <c r="X6">
        <v>-50570</v>
      </c>
      <c r="Y6">
        <v>35103</v>
      </c>
      <c r="Z6">
        <v>-15467</v>
      </c>
      <c r="AA6">
        <v>101757</v>
      </c>
      <c r="AB6">
        <v>35103</v>
      </c>
      <c r="AC6">
        <v>136860</v>
      </c>
      <c r="AD6">
        <v>22</v>
      </c>
      <c r="AE6">
        <v>1</v>
      </c>
      <c r="AF6">
        <v>23</v>
      </c>
      <c r="AG6">
        <v>84133</v>
      </c>
      <c r="AH6">
        <v>5000</v>
      </c>
      <c r="AI6">
        <v>89133</v>
      </c>
      <c r="AJ6">
        <v>5</v>
      </c>
      <c r="AK6">
        <v>817302</v>
      </c>
      <c r="AL6">
        <v>0</v>
      </c>
      <c r="AM6">
        <v>0</v>
      </c>
      <c r="AN6">
        <v>12.16</v>
      </c>
      <c r="AO6">
        <v>16</v>
      </c>
      <c r="AP6">
        <v>12.2</v>
      </c>
      <c r="AQ6">
        <v>11.79</v>
      </c>
      <c r="AR6" t="s">
        <v>1784</v>
      </c>
      <c r="AS6">
        <v>11.79</v>
      </c>
    </row>
    <row r="7" spans="1:45" x14ac:dyDescent="0.25">
      <c r="A7" t="s">
        <v>19780</v>
      </c>
      <c r="B7">
        <v>469</v>
      </c>
      <c r="C7">
        <v>14899690</v>
      </c>
      <c r="D7">
        <v>1206257</v>
      </c>
      <c r="E7">
        <v>70200</v>
      </c>
      <c r="F7">
        <v>1276457</v>
      </c>
      <c r="G7">
        <v>8.1000000000000003E-2</v>
      </c>
      <c r="H7">
        <v>5.0000000000000001E-3</v>
      </c>
      <c r="I7">
        <v>8.5999999999999993E-2</v>
      </c>
      <c r="J7">
        <v>2096834</v>
      </c>
      <c r="K7">
        <v>51538</v>
      </c>
      <c r="L7">
        <v>2148372</v>
      </c>
      <c r="M7">
        <v>0.13300000000000001</v>
      </c>
      <c r="N7">
        <v>3.0000000000000001E-3</v>
      </c>
      <c r="O7">
        <v>0.13700000000000001</v>
      </c>
      <c r="P7">
        <v>927315</v>
      </c>
      <c r="Q7">
        <v>51538</v>
      </c>
      <c r="R7">
        <v>978853</v>
      </c>
      <c r="S7">
        <v>6.2E-2</v>
      </c>
      <c r="T7">
        <v>3.0000000000000001E-3</v>
      </c>
      <c r="U7">
        <v>6.6000000000000003E-2</v>
      </c>
      <c r="V7">
        <v>13623233</v>
      </c>
      <c r="W7">
        <v>0.91400000000000003</v>
      </c>
      <c r="X7">
        <v>-45477</v>
      </c>
      <c r="Y7">
        <v>28293</v>
      </c>
      <c r="Z7">
        <v>-17184</v>
      </c>
      <c r="AA7">
        <v>107067</v>
      </c>
      <c r="AB7">
        <v>74431</v>
      </c>
      <c r="AC7">
        <v>181498</v>
      </c>
      <c r="AD7">
        <v>13</v>
      </c>
      <c r="AE7">
        <v>1</v>
      </c>
      <c r="AF7">
        <v>14</v>
      </c>
      <c r="AG7">
        <v>181273</v>
      </c>
      <c r="AH7">
        <v>18662</v>
      </c>
      <c r="AI7">
        <v>199935</v>
      </c>
      <c r="AJ7">
        <v>0</v>
      </c>
      <c r="AK7">
        <v>0</v>
      </c>
      <c r="AL7">
        <v>5</v>
      </c>
      <c r="AM7">
        <v>817302</v>
      </c>
      <c r="AN7">
        <v>11.86</v>
      </c>
      <c r="AO7">
        <v>11.88</v>
      </c>
      <c r="AP7">
        <v>11.86</v>
      </c>
      <c r="AQ7">
        <v>11.5</v>
      </c>
      <c r="AR7">
        <v>11.95</v>
      </c>
      <c r="AS7">
        <v>11.51</v>
      </c>
    </row>
    <row r="8" spans="1:45" x14ac:dyDescent="0.25">
      <c r="A8" t="s">
        <v>19781</v>
      </c>
      <c r="B8">
        <v>469</v>
      </c>
      <c r="C8">
        <v>14899690</v>
      </c>
      <c r="D8">
        <v>1160780</v>
      </c>
      <c r="E8">
        <v>98493</v>
      </c>
      <c r="F8">
        <v>1259273</v>
      </c>
      <c r="G8">
        <v>7.8E-2</v>
      </c>
      <c r="H8">
        <v>7.0000000000000001E-3</v>
      </c>
      <c r="I8">
        <v>8.5000000000000006E-2</v>
      </c>
      <c r="J8">
        <v>2175111</v>
      </c>
      <c r="K8">
        <v>130090</v>
      </c>
      <c r="L8">
        <v>2270565</v>
      </c>
      <c r="M8">
        <v>0.13800000000000001</v>
      </c>
      <c r="N8">
        <v>8.0000000000000002E-3</v>
      </c>
      <c r="O8">
        <v>0.14399999999999999</v>
      </c>
      <c r="P8">
        <v>992595</v>
      </c>
      <c r="Q8">
        <v>94993</v>
      </c>
      <c r="R8">
        <v>1087588</v>
      </c>
      <c r="S8">
        <v>6.7000000000000004E-2</v>
      </c>
      <c r="T8">
        <v>6.0000000000000001E-3</v>
      </c>
      <c r="U8">
        <v>7.2999999999999995E-2</v>
      </c>
      <c r="V8">
        <v>13640417</v>
      </c>
      <c r="W8">
        <v>0.91500000000000004</v>
      </c>
      <c r="X8">
        <v>-91563</v>
      </c>
      <c r="Y8">
        <v>10546</v>
      </c>
      <c r="Z8">
        <v>-81017</v>
      </c>
      <c r="AA8">
        <v>107042</v>
      </c>
      <c r="AB8">
        <v>29208</v>
      </c>
      <c r="AC8">
        <v>136250</v>
      </c>
      <c r="AD8">
        <v>29</v>
      </c>
      <c r="AE8">
        <v>2</v>
      </c>
      <c r="AF8">
        <v>31</v>
      </c>
      <c r="AG8">
        <v>200436</v>
      </c>
      <c r="AH8">
        <v>28708</v>
      </c>
      <c r="AI8">
        <v>229144</v>
      </c>
      <c r="AJ8">
        <v>0</v>
      </c>
      <c r="AK8">
        <v>0</v>
      </c>
      <c r="AL8">
        <v>5</v>
      </c>
      <c r="AM8">
        <v>817302</v>
      </c>
      <c r="AN8">
        <v>11.3</v>
      </c>
      <c r="AO8">
        <v>7.77</v>
      </c>
      <c r="AP8">
        <v>10.53</v>
      </c>
      <c r="AQ8">
        <v>10.87</v>
      </c>
      <c r="AR8">
        <v>7.5</v>
      </c>
      <c r="AS8">
        <v>10.09</v>
      </c>
    </row>
    <row r="9" spans="1:45" x14ac:dyDescent="0.25">
      <c r="A9" t="s">
        <v>19782</v>
      </c>
      <c r="B9">
        <v>469</v>
      </c>
      <c r="C9">
        <v>14899690</v>
      </c>
      <c r="D9">
        <v>1069217</v>
      </c>
      <c r="E9">
        <v>109039</v>
      </c>
      <c r="F9">
        <v>1178256</v>
      </c>
      <c r="G9">
        <v>7.1999999999999995E-2</v>
      </c>
      <c r="H9">
        <v>7.0000000000000001E-3</v>
      </c>
      <c r="I9">
        <v>7.9000000000000001E-2</v>
      </c>
      <c r="J9">
        <v>2019149</v>
      </c>
      <c r="K9">
        <v>109039</v>
      </c>
      <c r="L9">
        <v>2128188</v>
      </c>
      <c r="M9">
        <v>0.129</v>
      </c>
      <c r="N9">
        <v>7.0000000000000001E-3</v>
      </c>
      <c r="O9">
        <v>0.13600000000000001</v>
      </c>
      <c r="P9">
        <v>936645</v>
      </c>
      <c r="Q9">
        <v>109039</v>
      </c>
      <c r="R9">
        <v>1045684</v>
      </c>
      <c r="S9">
        <v>6.3E-2</v>
      </c>
      <c r="T9">
        <v>7.0000000000000001E-3</v>
      </c>
      <c r="U9">
        <v>7.0000000000000007E-2</v>
      </c>
      <c r="V9">
        <v>13721434</v>
      </c>
      <c r="W9">
        <v>0.92100000000000004</v>
      </c>
      <c r="X9">
        <v>86799</v>
      </c>
      <c r="Y9">
        <v>0</v>
      </c>
      <c r="Z9">
        <v>86799</v>
      </c>
      <c r="AA9">
        <v>196558</v>
      </c>
      <c r="AB9">
        <v>0</v>
      </c>
      <c r="AC9">
        <v>196558</v>
      </c>
      <c r="AD9">
        <v>15</v>
      </c>
      <c r="AE9">
        <v>1</v>
      </c>
      <c r="AF9">
        <v>16</v>
      </c>
      <c r="AG9">
        <v>48430</v>
      </c>
      <c r="AH9">
        <v>4000</v>
      </c>
      <c r="AI9">
        <v>52430</v>
      </c>
      <c r="AJ9">
        <v>0</v>
      </c>
      <c r="AK9">
        <v>0</v>
      </c>
      <c r="AL9">
        <v>4</v>
      </c>
      <c r="AM9">
        <v>786242</v>
      </c>
      <c r="AN9">
        <v>11.48</v>
      </c>
      <c r="AO9">
        <v>7.1</v>
      </c>
      <c r="AP9">
        <v>10.66</v>
      </c>
      <c r="AQ9">
        <v>11.25</v>
      </c>
      <c r="AR9">
        <v>6.75</v>
      </c>
      <c r="AS9">
        <v>10.4</v>
      </c>
    </row>
    <row r="10" spans="1:45" x14ac:dyDescent="0.25">
      <c r="A10" t="s">
        <v>19783</v>
      </c>
      <c r="B10">
        <v>469</v>
      </c>
      <c r="C10">
        <v>14899690</v>
      </c>
      <c r="D10">
        <v>1156016</v>
      </c>
      <c r="E10">
        <v>109039</v>
      </c>
      <c r="F10">
        <v>1265055</v>
      </c>
      <c r="G10">
        <v>7.8E-2</v>
      </c>
      <c r="H10">
        <v>7.0000000000000001E-3</v>
      </c>
      <c r="I10">
        <v>8.5000000000000006E-2</v>
      </c>
      <c r="J10">
        <v>1615411</v>
      </c>
      <c r="K10">
        <v>113039</v>
      </c>
      <c r="L10">
        <v>1728450</v>
      </c>
      <c r="M10">
        <v>0.105</v>
      </c>
      <c r="N10">
        <v>7.0000000000000001E-3</v>
      </c>
      <c r="O10">
        <v>0.113</v>
      </c>
      <c r="P10">
        <v>908771</v>
      </c>
      <c r="Q10">
        <v>109039</v>
      </c>
      <c r="R10">
        <v>1017810</v>
      </c>
      <c r="S10">
        <v>6.0999999999999999E-2</v>
      </c>
      <c r="T10">
        <v>7.0000000000000001E-3</v>
      </c>
      <c r="U10">
        <v>6.8000000000000005E-2</v>
      </c>
      <c r="V10">
        <v>13634635</v>
      </c>
      <c r="W10">
        <v>0.91500000000000004</v>
      </c>
      <c r="X10">
        <v>93722</v>
      </c>
      <c r="Y10">
        <v>23000</v>
      </c>
      <c r="Z10">
        <v>116722</v>
      </c>
      <c r="AA10">
        <v>255852</v>
      </c>
      <c r="AB10">
        <v>23000</v>
      </c>
      <c r="AC10">
        <v>278852</v>
      </c>
      <c r="AD10">
        <v>14</v>
      </c>
      <c r="AE10">
        <v>1</v>
      </c>
      <c r="AF10">
        <v>15</v>
      </c>
      <c r="AG10">
        <v>165174</v>
      </c>
      <c r="AH10">
        <v>2400</v>
      </c>
      <c r="AI10">
        <v>167574</v>
      </c>
      <c r="AJ10">
        <v>0</v>
      </c>
      <c r="AK10">
        <v>0</v>
      </c>
      <c r="AL10">
        <v>3</v>
      </c>
      <c r="AM10">
        <v>434213</v>
      </c>
      <c r="AN10">
        <v>10.95</v>
      </c>
      <c r="AO10">
        <v>7.22</v>
      </c>
      <c r="AP10">
        <v>10.18</v>
      </c>
      <c r="AQ10">
        <v>10.87</v>
      </c>
      <c r="AR10">
        <v>6.89</v>
      </c>
      <c r="AS10">
        <v>10.039999999999999</v>
      </c>
    </row>
    <row r="11" spans="1:45" x14ac:dyDescent="0.25">
      <c r="A11" t="s">
        <v>19784</v>
      </c>
      <c r="B11">
        <v>469</v>
      </c>
      <c r="C11">
        <v>14899690</v>
      </c>
      <c r="D11">
        <v>1249738</v>
      </c>
      <c r="E11">
        <v>132039</v>
      </c>
      <c r="F11">
        <v>1381777</v>
      </c>
      <c r="G11">
        <v>8.4000000000000005E-2</v>
      </c>
      <c r="H11">
        <v>8.9999999999999993E-3</v>
      </c>
      <c r="I11">
        <v>9.2999999999999999E-2</v>
      </c>
      <c r="J11">
        <v>1377915</v>
      </c>
      <c r="K11">
        <v>111439</v>
      </c>
      <c r="L11">
        <v>1489354</v>
      </c>
      <c r="M11">
        <v>9.0999999999999998E-2</v>
      </c>
      <c r="N11">
        <v>7.0000000000000001E-3</v>
      </c>
      <c r="O11">
        <v>9.9000000000000005E-2</v>
      </c>
      <c r="P11">
        <v>954566</v>
      </c>
      <c r="Q11">
        <v>111439</v>
      </c>
      <c r="R11">
        <v>1066005</v>
      </c>
      <c r="S11">
        <v>6.4000000000000001E-2</v>
      </c>
      <c r="T11">
        <v>7.0000000000000001E-3</v>
      </c>
      <c r="U11">
        <v>7.1999999999999995E-2</v>
      </c>
      <c r="V11">
        <v>13517913</v>
      </c>
      <c r="W11">
        <v>0.90700000000000003</v>
      </c>
      <c r="X11">
        <v>34355</v>
      </c>
      <c r="Y11">
        <v>-28708</v>
      </c>
      <c r="Z11">
        <v>5647</v>
      </c>
      <c r="AA11">
        <v>187174</v>
      </c>
      <c r="AB11">
        <v>0</v>
      </c>
      <c r="AC11">
        <v>187174</v>
      </c>
      <c r="AD11">
        <v>20</v>
      </c>
      <c r="AE11">
        <v>1</v>
      </c>
      <c r="AF11">
        <v>21</v>
      </c>
      <c r="AG11">
        <v>201580</v>
      </c>
      <c r="AH11">
        <v>2900</v>
      </c>
      <c r="AI11">
        <v>204480</v>
      </c>
      <c r="AJ11">
        <v>3</v>
      </c>
      <c r="AK11">
        <v>291985</v>
      </c>
      <c r="AL11">
        <v>1</v>
      </c>
      <c r="AM11">
        <v>201329</v>
      </c>
      <c r="AN11">
        <v>10.71</v>
      </c>
      <c r="AO11">
        <v>7.22</v>
      </c>
      <c r="AP11">
        <v>9.91</v>
      </c>
      <c r="AQ11">
        <v>10.89</v>
      </c>
      <c r="AR11">
        <v>6.89</v>
      </c>
      <c r="AS11">
        <v>10</v>
      </c>
    </row>
    <row r="12" spans="1:45" x14ac:dyDescent="0.25">
      <c r="A12" t="s">
        <v>19785</v>
      </c>
      <c r="B12">
        <v>466</v>
      </c>
      <c r="C12">
        <v>14607705</v>
      </c>
      <c r="D12">
        <v>992108</v>
      </c>
      <c r="E12">
        <v>103331</v>
      </c>
      <c r="F12">
        <v>1095439</v>
      </c>
      <c r="G12">
        <v>6.8000000000000005E-2</v>
      </c>
      <c r="H12">
        <v>7.0000000000000001E-3</v>
      </c>
      <c r="I12">
        <v>7.4999999999999997E-2</v>
      </c>
      <c r="J12">
        <v>1488164</v>
      </c>
      <c r="K12">
        <v>82731</v>
      </c>
      <c r="L12">
        <v>1570895</v>
      </c>
      <c r="M12">
        <v>9.9000000000000005E-2</v>
      </c>
      <c r="N12">
        <v>5.0000000000000001E-3</v>
      </c>
      <c r="O12">
        <v>0.104</v>
      </c>
      <c r="P12">
        <v>842920</v>
      </c>
      <c r="Q12">
        <v>82731</v>
      </c>
      <c r="R12">
        <v>925651</v>
      </c>
      <c r="S12">
        <v>5.8000000000000003E-2</v>
      </c>
      <c r="T12">
        <v>6.0000000000000001E-3</v>
      </c>
      <c r="U12">
        <v>6.3E-2</v>
      </c>
      <c r="V12">
        <v>13512266</v>
      </c>
      <c r="W12">
        <v>0.92500000000000004</v>
      </c>
      <c r="X12">
        <v>150395</v>
      </c>
      <c r="Y12">
        <v>-32400</v>
      </c>
      <c r="Z12">
        <v>117995</v>
      </c>
      <c r="AA12">
        <v>299496</v>
      </c>
      <c r="AB12">
        <v>0</v>
      </c>
      <c r="AC12">
        <v>299496</v>
      </c>
      <c r="AD12">
        <v>24</v>
      </c>
      <c r="AE12">
        <v>1</v>
      </c>
      <c r="AF12">
        <v>25</v>
      </c>
      <c r="AG12">
        <v>94937</v>
      </c>
      <c r="AH12">
        <v>20600</v>
      </c>
      <c r="AI12">
        <v>115537</v>
      </c>
      <c r="AJ12">
        <v>0</v>
      </c>
      <c r="AK12">
        <v>0</v>
      </c>
      <c r="AL12">
        <v>4</v>
      </c>
      <c r="AM12">
        <v>493314</v>
      </c>
      <c r="AN12">
        <v>10.71</v>
      </c>
      <c r="AO12">
        <v>6.96</v>
      </c>
      <c r="AP12">
        <v>9.92</v>
      </c>
      <c r="AQ12">
        <v>10.8</v>
      </c>
      <c r="AR12">
        <v>6.53</v>
      </c>
      <c r="AS12">
        <v>10.039999999999999</v>
      </c>
    </row>
    <row r="13" spans="1:45" x14ac:dyDescent="0.25">
      <c r="A13" t="s">
        <v>19786</v>
      </c>
      <c r="B13">
        <v>466</v>
      </c>
      <c r="C13">
        <v>14607705</v>
      </c>
      <c r="D13">
        <v>1142503</v>
      </c>
      <c r="E13">
        <v>70931</v>
      </c>
      <c r="F13">
        <v>1213434</v>
      </c>
      <c r="G13">
        <v>7.8E-2</v>
      </c>
      <c r="H13">
        <v>5.0000000000000001E-3</v>
      </c>
      <c r="I13">
        <v>8.3000000000000004E-2</v>
      </c>
      <c r="J13">
        <v>1654238</v>
      </c>
      <c r="K13">
        <v>70931</v>
      </c>
      <c r="L13">
        <v>1725169</v>
      </c>
      <c r="M13">
        <v>0.11</v>
      </c>
      <c r="N13">
        <v>5.0000000000000001E-3</v>
      </c>
      <c r="O13">
        <v>0.114</v>
      </c>
      <c r="P13">
        <v>935174</v>
      </c>
      <c r="Q13">
        <v>70931</v>
      </c>
      <c r="R13">
        <v>1006105</v>
      </c>
      <c r="S13">
        <v>6.4000000000000001E-2</v>
      </c>
      <c r="T13">
        <v>5.0000000000000001E-3</v>
      </c>
      <c r="U13">
        <v>6.9000000000000006E-2</v>
      </c>
      <c r="V13">
        <v>13394271</v>
      </c>
      <c r="W13">
        <v>0.91700000000000004</v>
      </c>
      <c r="X13">
        <v>170552</v>
      </c>
      <c r="Y13">
        <v>0</v>
      </c>
      <c r="Z13">
        <v>170552</v>
      </c>
      <c r="AA13">
        <v>318988</v>
      </c>
      <c r="AB13">
        <v>0</v>
      </c>
      <c r="AC13">
        <v>318988</v>
      </c>
      <c r="AD13">
        <v>17</v>
      </c>
      <c r="AE13">
        <v>0</v>
      </c>
      <c r="AF13">
        <v>17</v>
      </c>
      <c r="AG13">
        <v>164661</v>
      </c>
      <c r="AH13">
        <v>0</v>
      </c>
      <c r="AI13">
        <v>164661</v>
      </c>
      <c r="AJ13">
        <v>1</v>
      </c>
      <c r="AK13">
        <v>131170</v>
      </c>
      <c r="AL13">
        <v>4</v>
      </c>
      <c r="AM13">
        <v>493314</v>
      </c>
      <c r="AN13">
        <v>10.59</v>
      </c>
      <c r="AO13">
        <v>8.1300000000000008</v>
      </c>
      <c r="AP13">
        <v>10.18</v>
      </c>
      <c r="AQ13">
        <v>10.74</v>
      </c>
      <c r="AR13">
        <v>8.1300000000000008</v>
      </c>
      <c r="AS13">
        <v>10.26</v>
      </c>
    </row>
    <row r="14" spans="1:45" x14ac:dyDescent="0.25">
      <c r="A14" t="s">
        <v>19787</v>
      </c>
      <c r="B14">
        <v>465</v>
      </c>
      <c r="C14">
        <v>14476535</v>
      </c>
      <c r="D14">
        <v>1181885</v>
      </c>
      <c r="E14">
        <v>70931</v>
      </c>
      <c r="F14">
        <v>1252816</v>
      </c>
      <c r="G14">
        <v>8.2000000000000003E-2</v>
      </c>
      <c r="H14">
        <v>5.0000000000000001E-3</v>
      </c>
      <c r="I14">
        <v>8.6999999999999994E-2</v>
      </c>
      <c r="J14">
        <v>1364786</v>
      </c>
      <c r="K14">
        <v>102259</v>
      </c>
      <c r="L14">
        <v>1467045</v>
      </c>
      <c r="M14">
        <v>9.1999999999999998E-2</v>
      </c>
      <c r="N14">
        <v>7.0000000000000001E-3</v>
      </c>
      <c r="O14">
        <v>9.9000000000000005E-2</v>
      </c>
      <c r="P14">
        <v>845869</v>
      </c>
      <c r="Q14">
        <v>70931</v>
      </c>
      <c r="R14">
        <v>916800</v>
      </c>
      <c r="S14">
        <v>5.8000000000000003E-2</v>
      </c>
      <c r="T14">
        <v>5.0000000000000001E-3</v>
      </c>
      <c r="U14">
        <v>6.3E-2</v>
      </c>
      <c r="V14">
        <v>13223719</v>
      </c>
      <c r="W14">
        <v>0.91300000000000003</v>
      </c>
      <c r="X14">
        <v>290864</v>
      </c>
      <c r="Y14">
        <v>0</v>
      </c>
      <c r="Z14">
        <v>290864</v>
      </c>
      <c r="AA14">
        <v>397769</v>
      </c>
      <c r="AB14">
        <v>0</v>
      </c>
      <c r="AC14">
        <v>397769</v>
      </c>
      <c r="AD14">
        <v>20</v>
      </c>
      <c r="AE14">
        <v>0</v>
      </c>
      <c r="AF14">
        <v>20</v>
      </c>
      <c r="AG14">
        <v>192791</v>
      </c>
      <c r="AH14">
        <v>0</v>
      </c>
      <c r="AI14">
        <v>192791</v>
      </c>
      <c r="AJ14">
        <v>5</v>
      </c>
      <c r="AK14">
        <v>753330</v>
      </c>
      <c r="AL14">
        <v>3</v>
      </c>
      <c r="AM14">
        <v>415155</v>
      </c>
      <c r="AN14">
        <v>10.94</v>
      </c>
      <c r="AO14">
        <v>7.74</v>
      </c>
      <c r="AP14">
        <v>10.24</v>
      </c>
      <c r="AQ14">
        <v>10.72</v>
      </c>
      <c r="AR14">
        <v>7.74</v>
      </c>
      <c r="AS14">
        <v>9.99</v>
      </c>
    </row>
    <row r="15" spans="1:45" x14ac:dyDescent="0.25">
      <c r="A15" t="s">
        <v>19788</v>
      </c>
      <c r="B15">
        <v>461</v>
      </c>
      <c r="C15">
        <v>13802492</v>
      </c>
      <c r="D15">
        <v>798706</v>
      </c>
      <c r="E15">
        <v>70931</v>
      </c>
      <c r="F15">
        <v>869637</v>
      </c>
      <c r="G15">
        <v>5.8000000000000003E-2</v>
      </c>
      <c r="H15">
        <v>5.0000000000000001E-3</v>
      </c>
      <c r="I15">
        <v>6.3E-2</v>
      </c>
      <c r="J15">
        <v>1451754</v>
      </c>
      <c r="K15">
        <v>102259</v>
      </c>
      <c r="L15">
        <v>1554013</v>
      </c>
      <c r="M15">
        <v>9.8000000000000004E-2</v>
      </c>
      <c r="N15">
        <v>7.0000000000000001E-3</v>
      </c>
      <c r="O15">
        <v>0.105</v>
      </c>
      <c r="P15">
        <v>559803</v>
      </c>
      <c r="Q15">
        <v>70931</v>
      </c>
      <c r="R15">
        <v>630734</v>
      </c>
      <c r="S15">
        <v>4.1000000000000002E-2</v>
      </c>
      <c r="T15">
        <v>5.0000000000000001E-3</v>
      </c>
      <c r="U15">
        <v>4.5999999999999999E-2</v>
      </c>
      <c r="V15">
        <v>12932855</v>
      </c>
      <c r="W15">
        <v>0.93700000000000006</v>
      </c>
      <c r="X15">
        <v>8732</v>
      </c>
      <c r="Y15">
        <v>103310</v>
      </c>
      <c r="Z15">
        <v>112042</v>
      </c>
      <c r="AA15">
        <v>109799</v>
      </c>
      <c r="AB15">
        <v>103310</v>
      </c>
      <c r="AC15">
        <v>213109</v>
      </c>
      <c r="AD15">
        <v>22</v>
      </c>
      <c r="AE15">
        <v>0</v>
      </c>
      <c r="AF15">
        <v>22</v>
      </c>
      <c r="AG15">
        <v>468694</v>
      </c>
      <c r="AH15">
        <v>0</v>
      </c>
      <c r="AI15">
        <v>468694</v>
      </c>
      <c r="AJ15">
        <v>1</v>
      </c>
      <c r="AK15">
        <v>142200</v>
      </c>
      <c r="AL15">
        <v>7</v>
      </c>
      <c r="AM15">
        <v>1018239</v>
      </c>
      <c r="AN15">
        <v>10.28</v>
      </c>
      <c r="AO15">
        <v>7.74</v>
      </c>
      <c r="AP15">
        <v>9.8800000000000008</v>
      </c>
      <c r="AQ15">
        <v>10.210000000000001</v>
      </c>
      <c r="AR15">
        <v>7.74</v>
      </c>
      <c r="AS15">
        <v>9.8000000000000007</v>
      </c>
    </row>
    <row r="16" spans="1:45" x14ac:dyDescent="0.25">
      <c r="A16" t="s">
        <v>19789</v>
      </c>
      <c r="B16">
        <v>460</v>
      </c>
      <c r="C16">
        <v>13660292</v>
      </c>
      <c r="D16">
        <v>665238</v>
      </c>
      <c r="E16">
        <v>174241</v>
      </c>
      <c r="F16">
        <v>839479</v>
      </c>
      <c r="G16">
        <v>4.9000000000000002E-2</v>
      </c>
      <c r="H16">
        <v>1.2999999999999999E-2</v>
      </c>
      <c r="I16">
        <v>6.0999999999999999E-2</v>
      </c>
      <c r="J16">
        <v>1306652</v>
      </c>
      <c r="K16">
        <v>205569</v>
      </c>
      <c r="L16">
        <v>1512221</v>
      </c>
      <c r="M16">
        <v>8.7999999999999995E-2</v>
      </c>
      <c r="N16">
        <v>1.4E-2</v>
      </c>
      <c r="O16">
        <v>0.10199999999999999</v>
      </c>
      <c r="P16">
        <v>508980</v>
      </c>
      <c r="Q16">
        <v>174241</v>
      </c>
      <c r="R16">
        <v>683221</v>
      </c>
      <c r="S16">
        <v>3.6999999999999998E-2</v>
      </c>
      <c r="T16">
        <v>1.2999999999999999E-2</v>
      </c>
      <c r="U16">
        <v>0.05</v>
      </c>
      <c r="V16">
        <v>12820813</v>
      </c>
      <c r="W16">
        <v>0.93899999999999995</v>
      </c>
      <c r="X16">
        <v>187362</v>
      </c>
      <c r="Y16">
        <v>-137946</v>
      </c>
      <c r="Z16">
        <v>49416</v>
      </c>
      <c r="AA16">
        <v>285776</v>
      </c>
      <c r="AB16">
        <v>0</v>
      </c>
      <c r="AC16">
        <v>285776</v>
      </c>
      <c r="AD16">
        <v>28</v>
      </c>
      <c r="AE16">
        <v>0</v>
      </c>
      <c r="AF16">
        <v>28</v>
      </c>
      <c r="AG16">
        <v>246839</v>
      </c>
      <c r="AH16">
        <v>0</v>
      </c>
      <c r="AI16">
        <v>246839</v>
      </c>
      <c r="AJ16">
        <v>0</v>
      </c>
      <c r="AK16">
        <v>0</v>
      </c>
      <c r="AL16">
        <v>8</v>
      </c>
      <c r="AM16">
        <v>1160439</v>
      </c>
      <c r="AN16">
        <v>10.33</v>
      </c>
      <c r="AO16">
        <v>7.82</v>
      </c>
      <c r="AP16">
        <v>9.64</v>
      </c>
      <c r="AQ16">
        <v>10.119999999999999</v>
      </c>
      <c r="AR16">
        <v>7.82</v>
      </c>
      <c r="AS16">
        <v>9.44</v>
      </c>
    </row>
    <row r="17" spans="1:45" x14ac:dyDescent="0.25">
      <c r="A17" t="s">
        <v>19790</v>
      </c>
      <c r="B17">
        <v>460</v>
      </c>
      <c r="C17">
        <v>13660292</v>
      </c>
      <c r="D17">
        <v>852600</v>
      </c>
      <c r="E17">
        <v>36295</v>
      </c>
      <c r="F17">
        <v>888895</v>
      </c>
      <c r="G17">
        <v>6.2E-2</v>
      </c>
      <c r="H17">
        <v>3.0000000000000001E-3</v>
      </c>
      <c r="I17">
        <v>6.5000000000000002E-2</v>
      </c>
      <c r="J17">
        <v>1180515</v>
      </c>
      <c r="K17">
        <v>67623</v>
      </c>
      <c r="L17">
        <v>1248138</v>
      </c>
      <c r="M17">
        <v>8.1000000000000003E-2</v>
      </c>
      <c r="N17">
        <v>5.0000000000000001E-3</v>
      </c>
      <c r="O17">
        <v>8.5999999999999993E-2</v>
      </c>
      <c r="P17">
        <v>516284</v>
      </c>
      <c r="Q17">
        <v>36295</v>
      </c>
      <c r="R17">
        <v>552579</v>
      </c>
      <c r="S17">
        <v>3.7999999999999999E-2</v>
      </c>
      <c r="T17">
        <v>3.0000000000000001E-3</v>
      </c>
      <c r="U17">
        <v>0.04</v>
      </c>
      <c r="V17">
        <v>12771397</v>
      </c>
      <c r="W17">
        <v>0.93500000000000005</v>
      </c>
      <c r="X17">
        <v>444059</v>
      </c>
      <c r="Y17">
        <v>14387</v>
      </c>
      <c r="Z17">
        <v>458446</v>
      </c>
      <c r="AA17">
        <v>474971</v>
      </c>
      <c r="AB17">
        <v>14387</v>
      </c>
      <c r="AC17">
        <v>489358</v>
      </c>
      <c r="AD17">
        <v>19</v>
      </c>
      <c r="AE17">
        <v>0</v>
      </c>
      <c r="AF17">
        <v>19</v>
      </c>
      <c r="AG17">
        <v>177808</v>
      </c>
      <c r="AH17">
        <v>0</v>
      </c>
      <c r="AI17">
        <v>177808</v>
      </c>
      <c r="AJ17">
        <v>1</v>
      </c>
      <c r="AK17">
        <v>283500</v>
      </c>
      <c r="AL17">
        <v>6</v>
      </c>
      <c r="AM17">
        <v>895530</v>
      </c>
      <c r="AN17">
        <v>10.35</v>
      </c>
      <c r="AO17">
        <v>7.58</v>
      </c>
      <c r="AP17">
        <v>10.039999999999999</v>
      </c>
      <c r="AQ17">
        <v>10.08</v>
      </c>
      <c r="AR17">
        <v>7.58</v>
      </c>
      <c r="AS17">
        <v>9.76</v>
      </c>
    </row>
    <row r="18" spans="1:45" x14ac:dyDescent="0.25">
      <c r="A18" t="s">
        <v>19791</v>
      </c>
      <c r="B18">
        <v>459</v>
      </c>
      <c r="C18">
        <v>13376792</v>
      </c>
      <c r="D18">
        <v>1013159</v>
      </c>
      <c r="E18">
        <v>50682</v>
      </c>
      <c r="F18">
        <v>1063841</v>
      </c>
      <c r="G18">
        <v>7.5999999999999998E-2</v>
      </c>
      <c r="H18">
        <v>4.0000000000000001E-3</v>
      </c>
      <c r="I18">
        <v>0.08</v>
      </c>
      <c r="J18">
        <v>1316818</v>
      </c>
      <c r="K18">
        <v>36295</v>
      </c>
      <c r="L18">
        <v>1353113</v>
      </c>
      <c r="M18">
        <v>9.0999999999999998E-2</v>
      </c>
      <c r="N18">
        <v>3.0000000000000001E-3</v>
      </c>
      <c r="O18">
        <v>9.4E-2</v>
      </c>
      <c r="P18">
        <v>699222</v>
      </c>
      <c r="Q18">
        <v>36295</v>
      </c>
      <c r="R18">
        <v>735517</v>
      </c>
      <c r="S18">
        <v>5.1999999999999998E-2</v>
      </c>
      <c r="T18">
        <v>3.0000000000000001E-3</v>
      </c>
      <c r="U18">
        <v>5.5E-2</v>
      </c>
      <c r="V18">
        <v>12312951</v>
      </c>
      <c r="W18">
        <v>0.92</v>
      </c>
      <c r="X18">
        <v>401612</v>
      </c>
      <c r="Y18">
        <v>-50682</v>
      </c>
      <c r="Z18">
        <v>350930</v>
      </c>
      <c r="AA18">
        <v>501150</v>
      </c>
      <c r="AB18">
        <v>0</v>
      </c>
      <c r="AC18">
        <v>501150</v>
      </c>
      <c r="AD18">
        <v>10</v>
      </c>
      <c r="AE18">
        <v>1</v>
      </c>
      <c r="AF18">
        <v>11</v>
      </c>
      <c r="AG18">
        <v>246805</v>
      </c>
      <c r="AH18">
        <v>14387</v>
      </c>
      <c r="AI18">
        <v>261192</v>
      </c>
      <c r="AJ18">
        <v>3</v>
      </c>
      <c r="AK18">
        <v>684302</v>
      </c>
      <c r="AL18">
        <v>6</v>
      </c>
      <c r="AM18">
        <v>1036030</v>
      </c>
      <c r="AN18">
        <v>10.41</v>
      </c>
      <c r="AO18">
        <v>8.16</v>
      </c>
      <c r="AP18">
        <v>10.27</v>
      </c>
      <c r="AQ18">
        <v>10.23</v>
      </c>
      <c r="AR18">
        <v>8.16</v>
      </c>
      <c r="AS18">
        <v>10.09</v>
      </c>
    </row>
    <row r="19" spans="1:45" x14ac:dyDescent="0.25">
      <c r="A19" t="s">
        <v>19792</v>
      </c>
      <c r="B19">
        <v>456</v>
      </c>
      <c r="C19">
        <v>12692490</v>
      </c>
      <c r="D19">
        <v>730469</v>
      </c>
      <c r="E19">
        <v>0</v>
      </c>
      <c r="F19">
        <v>730469</v>
      </c>
      <c r="G19">
        <v>5.8000000000000003E-2</v>
      </c>
      <c r="H19">
        <v>0</v>
      </c>
      <c r="I19">
        <v>5.8000000000000003E-2</v>
      </c>
      <c r="J19">
        <v>1070588</v>
      </c>
      <c r="K19">
        <v>50682</v>
      </c>
      <c r="L19">
        <v>1121270</v>
      </c>
      <c r="M19">
        <v>7.6999999999999999E-2</v>
      </c>
      <c r="N19">
        <v>4.0000000000000001E-3</v>
      </c>
      <c r="O19">
        <v>0.08</v>
      </c>
      <c r="P19">
        <v>723991</v>
      </c>
      <c r="Q19">
        <v>0</v>
      </c>
      <c r="R19">
        <v>723991</v>
      </c>
      <c r="S19">
        <v>5.7000000000000002E-2</v>
      </c>
      <c r="T19">
        <v>0</v>
      </c>
      <c r="U19">
        <v>5.7000000000000002E-2</v>
      </c>
      <c r="V19">
        <v>11962021</v>
      </c>
      <c r="W19">
        <v>0.94199999999999995</v>
      </c>
      <c r="X19">
        <v>167299</v>
      </c>
      <c r="Y19">
        <v>0</v>
      </c>
      <c r="Z19">
        <v>167299</v>
      </c>
      <c r="AA19">
        <v>245277</v>
      </c>
      <c r="AB19">
        <v>0</v>
      </c>
      <c r="AC19">
        <v>245277</v>
      </c>
      <c r="AD19">
        <v>24</v>
      </c>
      <c r="AE19">
        <v>0</v>
      </c>
      <c r="AF19">
        <v>24</v>
      </c>
      <c r="AG19">
        <v>519805</v>
      </c>
      <c r="AH19">
        <v>0</v>
      </c>
      <c r="AI19">
        <v>519805</v>
      </c>
      <c r="AJ19">
        <v>2</v>
      </c>
      <c r="AK19">
        <v>209879</v>
      </c>
      <c r="AL19">
        <v>6</v>
      </c>
      <c r="AM19">
        <v>1249202</v>
      </c>
      <c r="AN19">
        <v>10.34</v>
      </c>
      <c r="AO19">
        <v>8.01</v>
      </c>
      <c r="AP19">
        <v>10.16</v>
      </c>
      <c r="AQ19">
        <v>10.01</v>
      </c>
      <c r="AR19">
        <v>8.01</v>
      </c>
      <c r="AS19">
        <v>9.83</v>
      </c>
    </row>
    <row r="20" spans="1:45" x14ac:dyDescent="0.25">
      <c r="A20" t="s">
        <v>19793</v>
      </c>
      <c r="B20">
        <v>454</v>
      </c>
      <c r="C20">
        <v>12482611</v>
      </c>
      <c r="D20">
        <v>687889</v>
      </c>
      <c r="E20">
        <v>0</v>
      </c>
      <c r="F20">
        <v>687889</v>
      </c>
      <c r="G20">
        <v>5.5E-2</v>
      </c>
      <c r="H20">
        <v>0</v>
      </c>
      <c r="I20">
        <v>5.5E-2</v>
      </c>
      <c r="J20">
        <v>1211395</v>
      </c>
      <c r="K20">
        <v>50682</v>
      </c>
      <c r="L20">
        <v>1262077</v>
      </c>
      <c r="M20">
        <v>8.7999999999999995E-2</v>
      </c>
      <c r="N20">
        <v>4.0000000000000001E-3</v>
      </c>
      <c r="O20">
        <v>9.0999999999999998E-2</v>
      </c>
      <c r="P20">
        <v>632818</v>
      </c>
      <c r="Q20">
        <v>0</v>
      </c>
      <c r="R20">
        <v>632818</v>
      </c>
      <c r="S20">
        <v>5.0999999999999997E-2</v>
      </c>
      <c r="T20">
        <v>0</v>
      </c>
      <c r="U20">
        <v>5.0999999999999997E-2</v>
      </c>
      <c r="V20">
        <v>11794722</v>
      </c>
      <c r="W20">
        <v>0.94499999999999995</v>
      </c>
      <c r="X20">
        <v>22034</v>
      </c>
      <c r="Y20">
        <v>0</v>
      </c>
      <c r="Z20">
        <v>22034</v>
      </c>
      <c r="AA20">
        <v>64803</v>
      </c>
      <c r="AB20">
        <v>0</v>
      </c>
      <c r="AC20">
        <v>64803</v>
      </c>
      <c r="AD20">
        <v>20</v>
      </c>
      <c r="AE20">
        <v>0</v>
      </c>
      <c r="AF20">
        <v>20</v>
      </c>
      <c r="AG20">
        <v>158502</v>
      </c>
      <c r="AH20">
        <v>0</v>
      </c>
      <c r="AI20">
        <v>158502</v>
      </c>
      <c r="AJ20">
        <v>1</v>
      </c>
      <c r="AK20">
        <v>157100</v>
      </c>
      <c r="AL20">
        <v>7</v>
      </c>
      <c r="AM20">
        <v>1319881</v>
      </c>
      <c r="AN20">
        <v>10.19</v>
      </c>
      <c r="AO20">
        <v>8.01</v>
      </c>
      <c r="AP20">
        <v>10.02</v>
      </c>
      <c r="AQ20">
        <v>9.83</v>
      </c>
      <c r="AR20">
        <v>8.01</v>
      </c>
      <c r="AS20">
        <v>9.66</v>
      </c>
    </row>
    <row r="21" spans="1:45" x14ac:dyDescent="0.25">
      <c r="A21" t="s">
        <v>19794</v>
      </c>
      <c r="B21">
        <v>455</v>
      </c>
      <c r="C21">
        <v>12390671</v>
      </c>
      <c r="D21">
        <v>617983</v>
      </c>
      <c r="E21">
        <v>0</v>
      </c>
      <c r="F21">
        <v>617983</v>
      </c>
      <c r="G21">
        <v>0.05</v>
      </c>
      <c r="H21">
        <v>0</v>
      </c>
      <c r="I21">
        <v>0.05</v>
      </c>
      <c r="J21">
        <v>976393</v>
      </c>
      <c r="K21">
        <v>36295</v>
      </c>
      <c r="L21">
        <v>1012688</v>
      </c>
      <c r="M21">
        <v>7.0999999999999994E-2</v>
      </c>
      <c r="N21">
        <v>3.0000000000000001E-3</v>
      </c>
      <c r="O21">
        <v>7.3999999999999996E-2</v>
      </c>
      <c r="P21">
        <v>517068</v>
      </c>
      <c r="Q21">
        <v>0</v>
      </c>
      <c r="R21">
        <v>517068</v>
      </c>
      <c r="S21">
        <v>4.2000000000000003E-2</v>
      </c>
      <c r="T21">
        <v>0</v>
      </c>
      <c r="U21">
        <v>4.2000000000000003E-2</v>
      </c>
      <c r="V21">
        <v>11772688</v>
      </c>
      <c r="W21">
        <v>0.95</v>
      </c>
      <c r="X21">
        <v>-52826</v>
      </c>
      <c r="Y21">
        <v>12707</v>
      </c>
      <c r="Z21">
        <v>-40119</v>
      </c>
      <c r="AA21">
        <v>64979</v>
      </c>
      <c r="AB21">
        <v>12707</v>
      </c>
      <c r="AC21">
        <v>77686</v>
      </c>
      <c r="AD21">
        <v>18</v>
      </c>
      <c r="AE21">
        <v>1</v>
      </c>
      <c r="AF21">
        <v>19</v>
      </c>
      <c r="AG21">
        <v>90440</v>
      </c>
      <c r="AH21">
        <v>12707</v>
      </c>
      <c r="AI21">
        <v>103147</v>
      </c>
      <c r="AJ21">
        <v>1</v>
      </c>
      <c r="AK21">
        <v>82436</v>
      </c>
      <c r="AL21">
        <v>7</v>
      </c>
      <c r="AM21">
        <v>1334781</v>
      </c>
      <c r="AN21">
        <v>10.25</v>
      </c>
      <c r="AO21">
        <v>8.2100000000000009</v>
      </c>
      <c r="AP21">
        <v>10.130000000000001</v>
      </c>
      <c r="AQ21">
        <v>9.91</v>
      </c>
      <c r="AR21">
        <v>8.2100000000000009</v>
      </c>
      <c r="AS21">
        <v>9.8000000000000007</v>
      </c>
    </row>
    <row r="22" spans="1:45" x14ac:dyDescent="0.25">
      <c r="A22" t="s">
        <v>19795</v>
      </c>
      <c r="B22">
        <v>454</v>
      </c>
      <c r="C22">
        <v>12308235</v>
      </c>
      <c r="D22">
        <v>482721</v>
      </c>
      <c r="E22">
        <v>12707</v>
      </c>
      <c r="F22">
        <v>495428</v>
      </c>
      <c r="G22">
        <v>3.9E-2</v>
      </c>
      <c r="H22">
        <v>1E-3</v>
      </c>
      <c r="I22">
        <v>0.04</v>
      </c>
      <c r="J22">
        <v>921585</v>
      </c>
      <c r="K22">
        <v>12707</v>
      </c>
      <c r="L22">
        <v>934292</v>
      </c>
      <c r="M22">
        <v>6.8000000000000005E-2</v>
      </c>
      <c r="N22">
        <v>1E-3</v>
      </c>
      <c r="O22">
        <v>6.9000000000000006E-2</v>
      </c>
      <c r="P22">
        <v>471367</v>
      </c>
      <c r="Q22">
        <v>12707</v>
      </c>
      <c r="R22">
        <v>484074</v>
      </c>
      <c r="S22">
        <v>3.7999999999999999E-2</v>
      </c>
      <c r="T22">
        <v>1E-3</v>
      </c>
      <c r="U22">
        <v>3.9E-2</v>
      </c>
      <c r="V22">
        <v>11812807</v>
      </c>
      <c r="W22">
        <v>0.96</v>
      </c>
      <c r="X22">
        <v>58272</v>
      </c>
      <c r="Y22">
        <v>15293</v>
      </c>
      <c r="Z22">
        <v>73565</v>
      </c>
      <c r="AA22">
        <v>193022</v>
      </c>
      <c r="AB22">
        <v>15293</v>
      </c>
      <c r="AC22">
        <v>208315</v>
      </c>
      <c r="AD22">
        <v>25</v>
      </c>
      <c r="AE22">
        <v>1</v>
      </c>
      <c r="AF22">
        <v>26</v>
      </c>
      <c r="AG22">
        <v>210283</v>
      </c>
      <c r="AH22">
        <v>4400</v>
      </c>
      <c r="AI22">
        <v>214683</v>
      </c>
      <c r="AJ22">
        <v>2</v>
      </c>
      <c r="AK22">
        <v>64527</v>
      </c>
      <c r="AL22">
        <v>6</v>
      </c>
      <c r="AM22">
        <v>1164817</v>
      </c>
      <c r="AN22">
        <v>10.31</v>
      </c>
      <c r="AO22">
        <v>16</v>
      </c>
      <c r="AP22">
        <v>10.33</v>
      </c>
      <c r="AQ22">
        <v>9.8699999999999992</v>
      </c>
      <c r="AR22">
        <v>16</v>
      </c>
      <c r="AS22">
        <v>9.89</v>
      </c>
    </row>
    <row r="23" spans="1:45" x14ac:dyDescent="0.25">
      <c r="A23" t="s">
        <v>19796</v>
      </c>
      <c r="B23">
        <v>455</v>
      </c>
      <c r="C23">
        <v>12322469</v>
      </c>
      <c r="D23">
        <v>555227</v>
      </c>
      <c r="E23">
        <v>28000</v>
      </c>
      <c r="F23">
        <v>583227</v>
      </c>
      <c r="G23">
        <v>4.4999999999999998E-2</v>
      </c>
      <c r="H23">
        <v>2E-3</v>
      </c>
      <c r="I23">
        <v>4.7E-2</v>
      </c>
      <c r="J23">
        <v>910343</v>
      </c>
      <c r="K23">
        <v>32400</v>
      </c>
      <c r="L23">
        <v>945743</v>
      </c>
      <c r="M23">
        <v>6.9000000000000006E-2</v>
      </c>
      <c r="N23">
        <v>2E-3</v>
      </c>
      <c r="O23">
        <v>7.1999999999999995E-2</v>
      </c>
      <c r="P23">
        <v>415017</v>
      </c>
      <c r="Q23">
        <v>28000</v>
      </c>
      <c r="R23">
        <v>444417</v>
      </c>
      <c r="S23">
        <v>3.4000000000000002E-2</v>
      </c>
      <c r="T23">
        <v>2E-3</v>
      </c>
      <c r="U23">
        <v>3.5999999999999997E-2</v>
      </c>
      <c r="V23">
        <v>11739242</v>
      </c>
      <c r="W23">
        <v>0.95299999999999996</v>
      </c>
      <c r="X23">
        <v>-217510</v>
      </c>
      <c r="Y23">
        <v>-12707</v>
      </c>
      <c r="Z23">
        <v>-230217</v>
      </c>
      <c r="AA23">
        <v>53587</v>
      </c>
      <c r="AB23">
        <v>0</v>
      </c>
      <c r="AC23">
        <v>53587</v>
      </c>
      <c r="AD23">
        <v>13</v>
      </c>
      <c r="AE23">
        <v>0</v>
      </c>
      <c r="AF23">
        <v>13</v>
      </c>
      <c r="AG23">
        <v>248070</v>
      </c>
      <c r="AH23">
        <v>0</v>
      </c>
      <c r="AI23">
        <v>248070</v>
      </c>
      <c r="AJ23">
        <v>0</v>
      </c>
      <c r="AK23">
        <v>0</v>
      </c>
      <c r="AL23">
        <v>6</v>
      </c>
      <c r="AM23">
        <v>798835</v>
      </c>
      <c r="AN23">
        <v>9.89</v>
      </c>
      <c r="AO23">
        <v>9.4</v>
      </c>
      <c r="AP23">
        <v>9.8699999999999992</v>
      </c>
      <c r="AQ23">
        <v>9.59</v>
      </c>
      <c r="AR23">
        <v>9.18</v>
      </c>
      <c r="AS23">
        <v>9.57</v>
      </c>
    </row>
    <row r="24" spans="1:45" x14ac:dyDescent="0.25">
      <c r="A24" t="s">
        <v>19797</v>
      </c>
      <c r="B24">
        <v>455</v>
      </c>
      <c r="C24">
        <v>12322469</v>
      </c>
      <c r="D24">
        <v>337717</v>
      </c>
      <c r="E24">
        <v>15293</v>
      </c>
      <c r="F24">
        <v>353010</v>
      </c>
      <c r="G24">
        <v>2.7E-2</v>
      </c>
      <c r="H24">
        <v>1E-3</v>
      </c>
      <c r="I24">
        <v>2.9000000000000001E-2</v>
      </c>
      <c r="J24">
        <v>910502</v>
      </c>
      <c r="K24">
        <v>15293</v>
      </c>
      <c r="L24">
        <v>925795</v>
      </c>
      <c r="M24">
        <v>6.9000000000000006E-2</v>
      </c>
      <c r="N24">
        <v>1E-3</v>
      </c>
      <c r="O24">
        <v>7.0999999999999994E-2</v>
      </c>
      <c r="P24">
        <v>252781</v>
      </c>
      <c r="Q24">
        <v>15293</v>
      </c>
      <c r="R24">
        <v>268074</v>
      </c>
      <c r="S24">
        <v>2.1000000000000001E-2</v>
      </c>
      <c r="T24">
        <v>1E-3</v>
      </c>
      <c r="U24">
        <v>2.1999999999999999E-2</v>
      </c>
      <c r="V24">
        <v>11969459</v>
      </c>
      <c r="W24">
        <v>0.97099999999999997</v>
      </c>
      <c r="X24">
        <v>30837</v>
      </c>
      <c r="Y24">
        <v>11015</v>
      </c>
      <c r="Z24">
        <v>41852</v>
      </c>
      <c r="AA24">
        <v>67910</v>
      </c>
      <c r="AB24">
        <v>11115</v>
      </c>
      <c r="AC24">
        <v>79025</v>
      </c>
      <c r="AD24">
        <v>20</v>
      </c>
      <c r="AE24">
        <v>0</v>
      </c>
      <c r="AF24">
        <v>20</v>
      </c>
      <c r="AG24">
        <v>128610</v>
      </c>
      <c r="AH24">
        <v>0</v>
      </c>
      <c r="AI24">
        <v>128610</v>
      </c>
      <c r="AJ24">
        <v>0</v>
      </c>
      <c r="AK24">
        <v>0</v>
      </c>
      <c r="AL24">
        <v>6</v>
      </c>
      <c r="AM24">
        <v>798835</v>
      </c>
      <c r="AN24">
        <v>9.41</v>
      </c>
      <c r="AO24">
        <v>6.29</v>
      </c>
      <c r="AP24">
        <v>9.32</v>
      </c>
      <c r="AQ24">
        <v>9.14</v>
      </c>
      <c r="AR24">
        <v>5.25</v>
      </c>
      <c r="AS24">
        <v>9.0399999999999991</v>
      </c>
    </row>
    <row r="25" spans="1:45" x14ac:dyDescent="0.25">
      <c r="A25" t="s">
        <v>19798</v>
      </c>
      <c r="B25">
        <v>455</v>
      </c>
      <c r="C25">
        <v>12322469</v>
      </c>
      <c r="D25">
        <v>368554</v>
      </c>
      <c r="E25">
        <v>26308</v>
      </c>
      <c r="F25">
        <v>394862</v>
      </c>
      <c r="G25">
        <v>0.03</v>
      </c>
      <c r="H25">
        <v>2E-3</v>
      </c>
      <c r="I25">
        <v>3.2000000000000001E-2</v>
      </c>
      <c r="J25">
        <v>712664</v>
      </c>
      <c r="K25">
        <v>15293</v>
      </c>
      <c r="L25">
        <v>727957</v>
      </c>
      <c r="M25">
        <v>5.5E-2</v>
      </c>
      <c r="N25">
        <v>1E-3</v>
      </c>
      <c r="O25">
        <v>5.7000000000000002E-2</v>
      </c>
      <c r="P25">
        <v>252586</v>
      </c>
      <c r="Q25">
        <v>15293</v>
      </c>
      <c r="R25">
        <v>267879</v>
      </c>
      <c r="S25">
        <v>0.02</v>
      </c>
      <c r="T25">
        <v>1E-3</v>
      </c>
      <c r="U25">
        <v>2.1999999999999999E-2</v>
      </c>
      <c r="V25">
        <v>11927607</v>
      </c>
      <c r="W25">
        <v>0.96799999999999997</v>
      </c>
      <c r="X25">
        <v>-84173</v>
      </c>
      <c r="Y25">
        <v>19812</v>
      </c>
      <c r="Z25">
        <v>-64361</v>
      </c>
      <c r="AA25">
        <v>108452</v>
      </c>
      <c r="AB25">
        <v>19812</v>
      </c>
      <c r="AC25">
        <v>128264</v>
      </c>
      <c r="AD25">
        <v>20</v>
      </c>
      <c r="AE25">
        <v>2</v>
      </c>
      <c r="AF25">
        <v>22</v>
      </c>
      <c r="AG25">
        <v>317890</v>
      </c>
      <c r="AH25">
        <v>30927</v>
      </c>
      <c r="AI25">
        <v>348817</v>
      </c>
      <c r="AJ25">
        <v>0</v>
      </c>
      <c r="AK25">
        <v>0</v>
      </c>
      <c r="AL25">
        <v>3</v>
      </c>
      <c r="AM25">
        <v>559865</v>
      </c>
      <c r="AN25">
        <v>9.4499999999999993</v>
      </c>
      <c r="AO25">
        <v>6.46</v>
      </c>
      <c r="AP25">
        <v>9.26</v>
      </c>
      <c r="AQ25">
        <v>9.06</v>
      </c>
      <c r="AR25">
        <v>5.88</v>
      </c>
      <c r="AS25">
        <v>8.84</v>
      </c>
    </row>
    <row r="26" spans="1:45" x14ac:dyDescent="0.25">
      <c r="A26" t="s">
        <v>19799</v>
      </c>
      <c r="B26">
        <v>455</v>
      </c>
      <c r="C26">
        <v>12322469</v>
      </c>
      <c r="D26">
        <v>284381</v>
      </c>
      <c r="E26">
        <v>46120</v>
      </c>
      <c r="F26">
        <v>330501</v>
      </c>
      <c r="G26">
        <v>2.3E-2</v>
      </c>
      <c r="H26">
        <v>4.0000000000000001E-3</v>
      </c>
      <c r="I26">
        <v>2.7E-2</v>
      </c>
      <c r="J26">
        <v>707032</v>
      </c>
      <c r="K26">
        <v>46120</v>
      </c>
      <c r="L26">
        <v>753152</v>
      </c>
      <c r="M26">
        <v>5.5E-2</v>
      </c>
      <c r="N26">
        <v>4.0000000000000001E-3</v>
      </c>
      <c r="O26">
        <v>5.8000000000000003E-2</v>
      </c>
      <c r="P26">
        <v>196440</v>
      </c>
      <c r="Q26">
        <v>46120</v>
      </c>
      <c r="R26">
        <v>242560</v>
      </c>
      <c r="S26">
        <v>1.6E-2</v>
      </c>
      <c r="T26">
        <v>4.0000000000000001E-3</v>
      </c>
      <c r="U26">
        <v>0.02</v>
      </c>
      <c r="V26">
        <v>11991968</v>
      </c>
      <c r="W26">
        <v>0.97299999999999998</v>
      </c>
      <c r="X26">
        <v>38822</v>
      </c>
      <c r="Y26">
        <v>7929</v>
      </c>
      <c r="Z26">
        <v>46751</v>
      </c>
      <c r="AA26">
        <v>70980</v>
      </c>
      <c r="AB26">
        <v>7929</v>
      </c>
      <c r="AC26">
        <v>78909</v>
      </c>
      <c r="AD26">
        <v>21</v>
      </c>
      <c r="AE26">
        <v>1</v>
      </c>
      <c r="AF26">
        <v>22</v>
      </c>
      <c r="AG26">
        <v>198677</v>
      </c>
      <c r="AH26">
        <v>4690</v>
      </c>
      <c r="AI26">
        <v>203367</v>
      </c>
      <c r="AJ26">
        <v>1</v>
      </c>
      <c r="AK26">
        <v>14494</v>
      </c>
      <c r="AL26">
        <v>3</v>
      </c>
      <c r="AM26">
        <v>559865</v>
      </c>
      <c r="AN26">
        <v>8.8800000000000008</v>
      </c>
      <c r="AO26">
        <v>6.45</v>
      </c>
      <c r="AP26">
        <v>8.65</v>
      </c>
      <c r="AQ26">
        <v>8.8800000000000008</v>
      </c>
      <c r="AR26">
        <v>6.06</v>
      </c>
      <c r="AS26">
        <v>8.57</v>
      </c>
    </row>
    <row r="27" spans="1:45" x14ac:dyDescent="0.25">
      <c r="A27" t="s">
        <v>19800</v>
      </c>
      <c r="B27">
        <v>454</v>
      </c>
      <c r="C27">
        <v>12307975</v>
      </c>
      <c r="D27">
        <v>308709</v>
      </c>
      <c r="E27">
        <v>54049</v>
      </c>
      <c r="F27">
        <v>362758</v>
      </c>
      <c r="G27">
        <v>2.5000000000000001E-2</v>
      </c>
      <c r="H27">
        <v>4.0000000000000001E-3</v>
      </c>
      <c r="I27">
        <v>2.9000000000000001E-2</v>
      </c>
      <c r="J27">
        <v>669359</v>
      </c>
      <c r="K27">
        <v>50810</v>
      </c>
      <c r="L27">
        <v>720169</v>
      </c>
      <c r="M27">
        <v>5.1999999999999998E-2</v>
      </c>
      <c r="N27">
        <v>4.0000000000000001E-3</v>
      </c>
      <c r="O27">
        <v>5.6000000000000001E-2</v>
      </c>
      <c r="P27">
        <v>297619</v>
      </c>
      <c r="Q27">
        <v>46120</v>
      </c>
      <c r="R27">
        <v>343739</v>
      </c>
      <c r="S27">
        <v>2.4E-2</v>
      </c>
      <c r="T27">
        <v>4.0000000000000001E-3</v>
      </c>
      <c r="U27">
        <v>2.8000000000000001E-2</v>
      </c>
      <c r="V27">
        <v>11945217</v>
      </c>
      <c r="W27">
        <v>0.97099999999999997</v>
      </c>
      <c r="X27">
        <v>-16178</v>
      </c>
      <c r="Y27">
        <v>-46120</v>
      </c>
      <c r="Z27">
        <v>-62298</v>
      </c>
      <c r="AA27">
        <v>83860</v>
      </c>
      <c r="AB27">
        <v>0</v>
      </c>
      <c r="AC27">
        <v>83860</v>
      </c>
      <c r="AD27">
        <v>18</v>
      </c>
      <c r="AE27">
        <v>2</v>
      </c>
      <c r="AF27">
        <v>20</v>
      </c>
      <c r="AG27">
        <v>75168</v>
      </c>
      <c r="AH27">
        <v>7929</v>
      </c>
      <c r="AI27">
        <v>83097</v>
      </c>
      <c r="AJ27">
        <v>0</v>
      </c>
      <c r="AK27">
        <v>0</v>
      </c>
      <c r="AL27">
        <v>2</v>
      </c>
      <c r="AM27">
        <v>446396</v>
      </c>
      <c r="AN27">
        <v>8.35</v>
      </c>
      <c r="AO27">
        <v>6.98</v>
      </c>
      <c r="AP27">
        <v>8.1300000000000008</v>
      </c>
      <c r="AQ27">
        <v>8.25</v>
      </c>
      <c r="AR27">
        <v>6.98</v>
      </c>
      <c r="AS27">
        <v>7.99</v>
      </c>
    </row>
    <row r="28" spans="1:45" x14ac:dyDescent="0.25">
      <c r="A28" t="s">
        <v>19801</v>
      </c>
      <c r="B28">
        <v>454</v>
      </c>
      <c r="C28">
        <v>12307975</v>
      </c>
      <c r="D28">
        <v>292531</v>
      </c>
      <c r="E28">
        <v>7929</v>
      </c>
      <c r="F28">
        <v>300460</v>
      </c>
      <c r="G28">
        <v>2.4E-2</v>
      </c>
      <c r="H28">
        <v>1E-3</v>
      </c>
      <c r="I28">
        <v>2.4E-2</v>
      </c>
      <c r="J28">
        <v>395611</v>
      </c>
      <c r="K28">
        <v>58739</v>
      </c>
      <c r="L28">
        <v>454350</v>
      </c>
      <c r="M28">
        <v>3.1E-2</v>
      </c>
      <c r="N28">
        <v>5.0000000000000001E-3</v>
      </c>
      <c r="O28">
        <v>3.5999999999999997E-2</v>
      </c>
      <c r="P28">
        <v>271269</v>
      </c>
      <c r="Q28">
        <v>7929</v>
      </c>
      <c r="R28">
        <v>279198</v>
      </c>
      <c r="S28">
        <v>2.1999999999999999E-2</v>
      </c>
      <c r="T28">
        <v>1E-3</v>
      </c>
      <c r="U28">
        <v>2.3E-2</v>
      </c>
      <c r="V28">
        <v>12007515</v>
      </c>
      <c r="W28">
        <v>0.97599999999999998</v>
      </c>
      <c r="X28">
        <v>69566</v>
      </c>
      <c r="Y28">
        <v>-7929</v>
      </c>
      <c r="Z28">
        <v>61637</v>
      </c>
      <c r="AA28">
        <v>130880</v>
      </c>
      <c r="AB28">
        <v>0</v>
      </c>
      <c r="AC28">
        <v>130880</v>
      </c>
      <c r="AD28">
        <v>16</v>
      </c>
      <c r="AE28">
        <v>0</v>
      </c>
      <c r="AF28">
        <v>16</v>
      </c>
      <c r="AG28">
        <v>125272</v>
      </c>
      <c r="AH28">
        <v>0</v>
      </c>
      <c r="AI28">
        <v>125272</v>
      </c>
      <c r="AJ28">
        <v>1</v>
      </c>
      <c r="AK28">
        <v>2004</v>
      </c>
      <c r="AL28">
        <v>2</v>
      </c>
      <c r="AM28">
        <v>446396</v>
      </c>
      <c r="AN28">
        <v>8.3800000000000008</v>
      </c>
      <c r="AO28">
        <v>7.31</v>
      </c>
      <c r="AP28">
        <v>8.23</v>
      </c>
      <c r="AQ28">
        <v>8.5500000000000007</v>
      </c>
      <c r="AR28">
        <v>7.31</v>
      </c>
      <c r="AS28">
        <v>8.32</v>
      </c>
    </row>
    <row r="29" spans="1:45" x14ac:dyDescent="0.25">
      <c r="A29" t="s">
        <v>19802</v>
      </c>
      <c r="B29">
        <v>453</v>
      </c>
      <c r="C29">
        <v>12305971</v>
      </c>
      <c r="D29">
        <v>360093</v>
      </c>
      <c r="E29">
        <v>0</v>
      </c>
      <c r="F29">
        <v>360093</v>
      </c>
      <c r="G29">
        <v>2.9000000000000001E-2</v>
      </c>
      <c r="H29">
        <v>0</v>
      </c>
      <c r="I29">
        <v>2.9000000000000001E-2</v>
      </c>
      <c r="J29">
        <v>406690</v>
      </c>
      <c r="K29">
        <v>0</v>
      </c>
      <c r="L29">
        <v>406690</v>
      </c>
      <c r="M29">
        <v>3.2000000000000001E-2</v>
      </c>
      <c r="N29">
        <v>0</v>
      </c>
      <c r="O29">
        <v>3.2000000000000001E-2</v>
      </c>
      <c r="P29">
        <v>315578</v>
      </c>
      <c r="Q29">
        <v>0</v>
      </c>
      <c r="R29">
        <v>315578</v>
      </c>
      <c r="S29">
        <v>2.5999999999999999E-2</v>
      </c>
      <c r="T29">
        <v>0</v>
      </c>
      <c r="U29">
        <v>2.5999999999999999E-2</v>
      </c>
      <c r="V29">
        <v>11945878</v>
      </c>
      <c r="W29">
        <v>0.97099999999999997</v>
      </c>
      <c r="X29">
        <v>35149</v>
      </c>
      <c r="Y29">
        <v>15191</v>
      </c>
      <c r="Z29">
        <v>50340</v>
      </c>
      <c r="AA29">
        <v>120118</v>
      </c>
      <c r="AB29">
        <v>15191</v>
      </c>
      <c r="AC29">
        <v>135309</v>
      </c>
      <c r="AD29">
        <v>23</v>
      </c>
      <c r="AE29">
        <v>0</v>
      </c>
      <c r="AF29">
        <v>23</v>
      </c>
      <c r="AG29">
        <v>307578</v>
      </c>
      <c r="AH29">
        <v>0</v>
      </c>
      <c r="AI29">
        <v>307578</v>
      </c>
      <c r="AJ29">
        <v>0</v>
      </c>
      <c r="AK29">
        <v>0</v>
      </c>
      <c r="AL29">
        <v>2</v>
      </c>
      <c r="AM29">
        <v>433906</v>
      </c>
      <c r="AN29">
        <v>9.18</v>
      </c>
      <c r="AO29">
        <v>7.61</v>
      </c>
      <c r="AP29">
        <v>9.0500000000000007</v>
      </c>
      <c r="AQ29">
        <v>9.6300000000000008</v>
      </c>
      <c r="AR29">
        <v>7.61</v>
      </c>
      <c r="AS29">
        <v>9.4</v>
      </c>
    </row>
    <row r="30" spans="1:45" x14ac:dyDescent="0.25">
      <c r="A30" t="s">
        <v>19803</v>
      </c>
      <c r="B30">
        <v>453</v>
      </c>
      <c r="C30">
        <v>12305971</v>
      </c>
      <c r="D30">
        <v>395242</v>
      </c>
      <c r="E30">
        <v>15191</v>
      </c>
      <c r="F30">
        <v>410433</v>
      </c>
      <c r="G30">
        <v>3.2000000000000001E-2</v>
      </c>
      <c r="H30">
        <v>1E-3</v>
      </c>
      <c r="I30">
        <v>3.3000000000000002E-2</v>
      </c>
      <c r="J30">
        <v>552460</v>
      </c>
      <c r="K30">
        <v>15191</v>
      </c>
      <c r="L30">
        <v>567651</v>
      </c>
      <c r="M30">
        <v>4.2999999999999997E-2</v>
      </c>
      <c r="N30">
        <v>1E-3</v>
      </c>
      <c r="O30">
        <v>4.4999999999999998E-2</v>
      </c>
      <c r="P30">
        <v>390550</v>
      </c>
      <c r="Q30">
        <v>15191</v>
      </c>
      <c r="R30">
        <v>405741</v>
      </c>
      <c r="S30">
        <v>3.2000000000000001E-2</v>
      </c>
      <c r="T30">
        <v>1E-3</v>
      </c>
      <c r="U30">
        <v>3.3000000000000002E-2</v>
      </c>
      <c r="V30">
        <v>11895538</v>
      </c>
      <c r="W30">
        <v>0.96699999999999997</v>
      </c>
      <c r="X30">
        <v>197060</v>
      </c>
      <c r="Y30">
        <v>0</v>
      </c>
      <c r="Z30">
        <v>197060</v>
      </c>
      <c r="AA30">
        <v>311505</v>
      </c>
      <c r="AB30">
        <v>0</v>
      </c>
      <c r="AC30">
        <v>311505</v>
      </c>
      <c r="AD30">
        <v>11</v>
      </c>
      <c r="AE30">
        <v>0</v>
      </c>
      <c r="AF30">
        <v>11</v>
      </c>
      <c r="AG30">
        <v>79827</v>
      </c>
      <c r="AH30">
        <v>0</v>
      </c>
      <c r="AI30">
        <v>79827</v>
      </c>
      <c r="AJ30">
        <v>2</v>
      </c>
      <c r="AK30">
        <v>182298</v>
      </c>
      <c r="AL30">
        <v>2</v>
      </c>
      <c r="AM30">
        <v>433906</v>
      </c>
      <c r="AN30">
        <v>8.68</v>
      </c>
      <c r="AO30">
        <v>9.5</v>
      </c>
      <c r="AP30">
        <v>8.6999999999999993</v>
      </c>
      <c r="AQ30">
        <v>8.84</v>
      </c>
      <c r="AR30">
        <v>9.5</v>
      </c>
      <c r="AS30">
        <v>8.86</v>
      </c>
    </row>
    <row r="31" spans="1:45" x14ac:dyDescent="0.25">
      <c r="A31" t="s">
        <v>19804</v>
      </c>
      <c r="B31">
        <v>451</v>
      </c>
      <c r="C31">
        <v>12123673</v>
      </c>
      <c r="D31">
        <v>410004</v>
      </c>
      <c r="E31">
        <v>15191</v>
      </c>
      <c r="F31">
        <v>425195</v>
      </c>
      <c r="G31">
        <v>3.4000000000000002E-2</v>
      </c>
      <c r="H31">
        <v>1E-3</v>
      </c>
      <c r="I31">
        <v>3.5000000000000003E-2</v>
      </c>
      <c r="J31">
        <v>549000</v>
      </c>
      <c r="K31">
        <v>15191</v>
      </c>
      <c r="L31">
        <v>564191</v>
      </c>
      <c r="M31">
        <v>4.4999999999999998E-2</v>
      </c>
      <c r="N31">
        <v>1E-3</v>
      </c>
      <c r="O31">
        <v>4.5999999999999999E-2</v>
      </c>
      <c r="P31">
        <v>359241</v>
      </c>
      <c r="Q31">
        <v>15191</v>
      </c>
      <c r="R31">
        <v>374432</v>
      </c>
      <c r="S31">
        <v>0.03</v>
      </c>
      <c r="T31">
        <v>1E-3</v>
      </c>
      <c r="U31">
        <v>3.1E-2</v>
      </c>
      <c r="V31">
        <v>11698478</v>
      </c>
      <c r="W31">
        <v>0.96499999999999997</v>
      </c>
      <c r="X31">
        <v>-41326</v>
      </c>
      <c r="Y31">
        <v>-15191</v>
      </c>
      <c r="Z31">
        <v>-56517</v>
      </c>
      <c r="AA31">
        <v>31067</v>
      </c>
      <c r="AB31">
        <v>0</v>
      </c>
      <c r="AC31">
        <v>31067</v>
      </c>
      <c r="AD31">
        <v>16</v>
      </c>
      <c r="AE31">
        <v>0</v>
      </c>
      <c r="AF31">
        <v>16</v>
      </c>
      <c r="AG31">
        <v>198385</v>
      </c>
      <c r="AH31">
        <v>0</v>
      </c>
      <c r="AI31">
        <v>198385</v>
      </c>
      <c r="AJ31">
        <v>0</v>
      </c>
      <c r="AK31">
        <v>0</v>
      </c>
      <c r="AL31">
        <v>2</v>
      </c>
      <c r="AM31">
        <v>182298</v>
      </c>
      <c r="AN31">
        <v>8.77</v>
      </c>
      <c r="AO31">
        <v>9.5</v>
      </c>
      <c r="AP31">
        <v>8.7899999999999991</v>
      </c>
      <c r="AQ31">
        <v>8.94</v>
      </c>
      <c r="AR31">
        <v>9.5</v>
      </c>
      <c r="AS31">
        <v>8.9700000000000006</v>
      </c>
    </row>
    <row r="32" spans="1:45" x14ac:dyDescent="0.25">
      <c r="A32" t="s">
        <v>19805</v>
      </c>
      <c r="B32">
        <v>451</v>
      </c>
      <c r="C32">
        <v>12123673</v>
      </c>
      <c r="D32">
        <v>368678</v>
      </c>
      <c r="E32">
        <v>0</v>
      </c>
      <c r="F32">
        <v>368678</v>
      </c>
      <c r="G32">
        <v>0.03</v>
      </c>
      <c r="H32">
        <v>0</v>
      </c>
      <c r="I32">
        <v>0.03</v>
      </c>
      <c r="J32">
        <v>565451</v>
      </c>
      <c r="K32">
        <v>0</v>
      </c>
      <c r="L32">
        <v>565451</v>
      </c>
      <c r="M32">
        <v>4.5999999999999999E-2</v>
      </c>
      <c r="N32">
        <v>0</v>
      </c>
      <c r="O32">
        <v>4.5999999999999999E-2</v>
      </c>
      <c r="P32">
        <v>314517</v>
      </c>
      <c r="Q32">
        <v>0</v>
      </c>
      <c r="R32">
        <v>314517</v>
      </c>
      <c r="S32">
        <v>2.5999999999999999E-2</v>
      </c>
      <c r="T32">
        <v>0</v>
      </c>
      <c r="U32">
        <v>2.5999999999999999E-2</v>
      </c>
      <c r="V32">
        <v>11754995</v>
      </c>
      <c r="W32">
        <v>0.97</v>
      </c>
      <c r="X32">
        <v>-6122</v>
      </c>
      <c r="Y32">
        <v>456</v>
      </c>
      <c r="Z32">
        <v>-5666</v>
      </c>
      <c r="AA32">
        <v>131163</v>
      </c>
      <c r="AB32">
        <v>456</v>
      </c>
      <c r="AC32">
        <v>131619</v>
      </c>
      <c r="AD32">
        <v>16</v>
      </c>
      <c r="AE32">
        <v>4</v>
      </c>
      <c r="AF32">
        <v>20</v>
      </c>
      <c r="AG32">
        <v>50575</v>
      </c>
      <c r="AH32">
        <v>2000</v>
      </c>
      <c r="AI32">
        <v>52575</v>
      </c>
      <c r="AJ32">
        <v>1</v>
      </c>
      <c r="AK32">
        <v>22050</v>
      </c>
      <c r="AL32">
        <v>2</v>
      </c>
      <c r="AM32">
        <v>182298</v>
      </c>
      <c r="AN32">
        <v>8.39</v>
      </c>
      <c r="AO32" t="s">
        <v>1784</v>
      </c>
      <c r="AP32">
        <v>8.39</v>
      </c>
      <c r="AQ32">
        <v>8.52</v>
      </c>
      <c r="AR32" t="s">
        <v>1784</v>
      </c>
      <c r="AS32">
        <v>8.52</v>
      </c>
    </row>
    <row r="33" spans="1:45" x14ac:dyDescent="0.25">
      <c r="A33" t="s">
        <v>19806</v>
      </c>
      <c r="B33">
        <v>450</v>
      </c>
      <c r="C33">
        <v>12101623</v>
      </c>
      <c r="D33">
        <v>340506</v>
      </c>
      <c r="E33">
        <v>456</v>
      </c>
      <c r="F33">
        <v>340962</v>
      </c>
      <c r="G33">
        <v>2.8000000000000001E-2</v>
      </c>
      <c r="H33">
        <v>0</v>
      </c>
      <c r="I33">
        <v>2.8000000000000001E-2</v>
      </c>
      <c r="J33">
        <v>465295</v>
      </c>
      <c r="K33">
        <v>456</v>
      </c>
      <c r="L33">
        <v>465751</v>
      </c>
      <c r="M33">
        <v>3.7999999999999999E-2</v>
      </c>
      <c r="N33">
        <v>0</v>
      </c>
      <c r="O33">
        <v>3.7999999999999999E-2</v>
      </c>
      <c r="P33">
        <v>235515</v>
      </c>
      <c r="Q33">
        <v>456</v>
      </c>
      <c r="R33">
        <v>235971</v>
      </c>
      <c r="S33">
        <v>1.9E-2</v>
      </c>
      <c r="T33">
        <v>0</v>
      </c>
      <c r="U33">
        <v>1.9E-2</v>
      </c>
      <c r="V33">
        <v>11760661</v>
      </c>
      <c r="W33">
        <v>0.97199999999999998</v>
      </c>
      <c r="X33">
        <v>22383</v>
      </c>
      <c r="Y33">
        <v>19686</v>
      </c>
      <c r="Z33">
        <v>42069</v>
      </c>
      <c r="AA33">
        <v>59041</v>
      </c>
      <c r="AB33">
        <v>19686</v>
      </c>
      <c r="AC33">
        <v>78727</v>
      </c>
      <c r="AD33">
        <v>7</v>
      </c>
      <c r="AE33">
        <v>0</v>
      </c>
      <c r="AF33">
        <v>7</v>
      </c>
      <c r="AG33">
        <v>68562</v>
      </c>
      <c r="AH33">
        <v>0</v>
      </c>
      <c r="AI33">
        <v>68562</v>
      </c>
      <c r="AJ33">
        <v>0</v>
      </c>
      <c r="AK33">
        <v>0</v>
      </c>
      <c r="AL33">
        <v>2</v>
      </c>
      <c r="AM33">
        <v>199348</v>
      </c>
      <c r="AN33">
        <v>8.43</v>
      </c>
      <c r="AO33">
        <v>7</v>
      </c>
      <c r="AP33">
        <v>8.36</v>
      </c>
      <c r="AQ33">
        <v>8.65</v>
      </c>
      <c r="AR33">
        <v>7</v>
      </c>
      <c r="AS33">
        <v>8.5399999999999991</v>
      </c>
    </row>
    <row r="34" spans="1:45" x14ac:dyDescent="0.25">
      <c r="A34" t="s">
        <v>19807</v>
      </c>
      <c r="B34">
        <v>450</v>
      </c>
      <c r="C34">
        <v>12101623</v>
      </c>
      <c r="D34">
        <v>362889</v>
      </c>
      <c r="E34">
        <v>20142</v>
      </c>
      <c r="F34">
        <v>383031</v>
      </c>
      <c r="G34">
        <v>0.03</v>
      </c>
      <c r="H34">
        <v>2E-3</v>
      </c>
      <c r="I34">
        <v>3.2000000000000001E-2</v>
      </c>
      <c r="J34">
        <v>377859</v>
      </c>
      <c r="K34">
        <v>20142</v>
      </c>
      <c r="L34">
        <v>398001</v>
      </c>
      <c r="M34">
        <v>3.1E-2</v>
      </c>
      <c r="N34">
        <v>2E-3</v>
      </c>
      <c r="O34">
        <v>3.3000000000000002E-2</v>
      </c>
      <c r="P34">
        <v>312023</v>
      </c>
      <c r="Q34">
        <v>20142</v>
      </c>
      <c r="R34">
        <v>332165</v>
      </c>
      <c r="S34">
        <v>2.5999999999999999E-2</v>
      </c>
      <c r="T34">
        <v>2E-3</v>
      </c>
      <c r="U34">
        <v>2.7E-2</v>
      </c>
      <c r="V34">
        <v>11718592</v>
      </c>
      <c r="W34">
        <v>0.96799999999999997</v>
      </c>
      <c r="X34">
        <v>85033</v>
      </c>
      <c r="Y34">
        <v>-15048</v>
      </c>
      <c r="Z34">
        <v>69985</v>
      </c>
      <c r="AA34">
        <v>154659</v>
      </c>
      <c r="AB34">
        <v>4638</v>
      </c>
      <c r="AC34">
        <v>159297</v>
      </c>
      <c r="AD34">
        <v>16</v>
      </c>
      <c r="AE34">
        <v>1</v>
      </c>
      <c r="AF34">
        <v>17</v>
      </c>
      <c r="AG34">
        <v>119488</v>
      </c>
      <c r="AH34">
        <v>19686</v>
      </c>
      <c r="AI34">
        <v>139174</v>
      </c>
      <c r="AJ34">
        <v>2</v>
      </c>
      <c r="AK34">
        <v>180740</v>
      </c>
      <c r="AL34">
        <v>1</v>
      </c>
      <c r="AM34">
        <v>22050</v>
      </c>
      <c r="AN34">
        <v>8.58</v>
      </c>
      <c r="AO34">
        <v>7</v>
      </c>
      <c r="AP34">
        <v>8.51</v>
      </c>
      <c r="AQ34">
        <v>8.73</v>
      </c>
      <c r="AR34">
        <v>7</v>
      </c>
      <c r="AS34">
        <v>8.61</v>
      </c>
    </row>
    <row r="35" spans="1:45" x14ac:dyDescent="0.25">
      <c r="A35" t="s">
        <v>19808</v>
      </c>
      <c r="B35">
        <v>448</v>
      </c>
      <c r="C35">
        <v>11920883</v>
      </c>
      <c r="D35">
        <v>267182</v>
      </c>
      <c r="E35">
        <v>5094</v>
      </c>
      <c r="F35">
        <v>272276</v>
      </c>
      <c r="G35">
        <v>2.1999999999999999E-2</v>
      </c>
      <c r="H35">
        <v>0</v>
      </c>
      <c r="I35">
        <v>2.3E-2</v>
      </c>
      <c r="J35">
        <v>315861</v>
      </c>
      <c r="K35">
        <v>27650</v>
      </c>
      <c r="L35">
        <v>343511</v>
      </c>
      <c r="M35">
        <v>2.5999999999999999E-2</v>
      </c>
      <c r="N35">
        <v>2E-3</v>
      </c>
      <c r="O35">
        <v>2.8000000000000001E-2</v>
      </c>
      <c r="P35">
        <v>240143</v>
      </c>
      <c r="Q35">
        <v>5094</v>
      </c>
      <c r="R35">
        <v>245237</v>
      </c>
      <c r="S35">
        <v>0.02</v>
      </c>
      <c r="T35">
        <v>0</v>
      </c>
      <c r="U35">
        <v>2.1000000000000001E-2</v>
      </c>
      <c r="V35">
        <v>11648607</v>
      </c>
      <c r="W35">
        <v>0.97699999999999998</v>
      </c>
      <c r="X35">
        <v>75397</v>
      </c>
      <c r="Y35">
        <v>-3000</v>
      </c>
      <c r="Z35">
        <v>72397</v>
      </c>
      <c r="AA35">
        <v>104657</v>
      </c>
      <c r="AB35">
        <v>0</v>
      </c>
      <c r="AC35">
        <v>104657</v>
      </c>
      <c r="AD35">
        <v>15</v>
      </c>
      <c r="AE35">
        <v>0</v>
      </c>
      <c r="AF35">
        <v>15</v>
      </c>
      <c r="AG35">
        <v>98132</v>
      </c>
      <c r="AH35">
        <v>0</v>
      </c>
      <c r="AI35">
        <v>98132</v>
      </c>
      <c r="AJ35">
        <v>0</v>
      </c>
      <c r="AK35">
        <v>0</v>
      </c>
      <c r="AL35">
        <v>3</v>
      </c>
      <c r="AM35">
        <v>202790</v>
      </c>
      <c r="AN35">
        <v>8.4499999999999993</v>
      </c>
      <c r="AO35">
        <v>8.4499999999999993</v>
      </c>
      <c r="AP35">
        <v>8.4499999999999993</v>
      </c>
      <c r="AQ35">
        <v>8.5500000000000007</v>
      </c>
      <c r="AR35">
        <v>7</v>
      </c>
      <c r="AS35">
        <v>8.44</v>
      </c>
    </row>
    <row r="36" spans="1:45" x14ac:dyDescent="0.25">
      <c r="A36" t="s">
        <v>19809</v>
      </c>
      <c r="B36">
        <v>448</v>
      </c>
      <c r="C36">
        <v>11920883</v>
      </c>
      <c r="D36">
        <v>342579</v>
      </c>
      <c r="E36">
        <v>2094</v>
      </c>
      <c r="F36">
        <v>344673</v>
      </c>
      <c r="G36">
        <v>2.9000000000000001E-2</v>
      </c>
      <c r="H36">
        <v>0</v>
      </c>
      <c r="I36">
        <v>2.9000000000000001E-2</v>
      </c>
      <c r="J36">
        <v>410446</v>
      </c>
      <c r="K36">
        <v>21780</v>
      </c>
      <c r="L36">
        <v>432226</v>
      </c>
      <c r="M36">
        <v>3.4000000000000002E-2</v>
      </c>
      <c r="N36">
        <v>2E-3</v>
      </c>
      <c r="O36">
        <v>3.5999999999999997E-2</v>
      </c>
      <c r="P36">
        <v>333923</v>
      </c>
      <c r="Q36">
        <v>2094</v>
      </c>
      <c r="R36">
        <v>336017</v>
      </c>
      <c r="S36">
        <v>2.8000000000000001E-2</v>
      </c>
      <c r="T36">
        <v>0</v>
      </c>
      <c r="U36">
        <v>2.8000000000000001E-2</v>
      </c>
      <c r="V36">
        <v>11576210</v>
      </c>
      <c r="W36">
        <v>0.97099999999999997</v>
      </c>
      <c r="X36">
        <v>-214422</v>
      </c>
      <c r="Y36">
        <v>0</v>
      </c>
      <c r="Z36">
        <v>-214422</v>
      </c>
      <c r="AA36">
        <v>68283</v>
      </c>
      <c r="AB36">
        <v>0</v>
      </c>
      <c r="AC36">
        <v>68283</v>
      </c>
      <c r="AD36">
        <v>15</v>
      </c>
      <c r="AE36">
        <v>0</v>
      </c>
      <c r="AF36">
        <v>15</v>
      </c>
      <c r="AG36">
        <v>96417</v>
      </c>
      <c r="AH36">
        <v>0</v>
      </c>
      <c r="AI36">
        <v>96417</v>
      </c>
      <c r="AJ36">
        <v>0</v>
      </c>
      <c r="AK36">
        <v>0</v>
      </c>
      <c r="AL36">
        <v>3</v>
      </c>
      <c r="AM36">
        <v>202790</v>
      </c>
      <c r="AN36">
        <v>8.49</v>
      </c>
      <c r="AO36">
        <v>7</v>
      </c>
      <c r="AP36">
        <v>8.42</v>
      </c>
      <c r="AQ36">
        <v>8.8000000000000007</v>
      </c>
      <c r="AR36">
        <v>7</v>
      </c>
      <c r="AS36">
        <v>8.67</v>
      </c>
    </row>
    <row r="37" spans="1:45" x14ac:dyDescent="0.25">
      <c r="A37" t="s">
        <v>19810</v>
      </c>
      <c r="B37">
        <v>448</v>
      </c>
      <c r="C37">
        <v>11920883</v>
      </c>
      <c r="D37">
        <v>128157</v>
      </c>
      <c r="E37">
        <v>2094</v>
      </c>
      <c r="F37">
        <v>130251</v>
      </c>
      <c r="G37">
        <v>1.0999999999999999E-2</v>
      </c>
      <c r="H37">
        <v>0</v>
      </c>
      <c r="I37">
        <v>1.0999999999999999E-2</v>
      </c>
      <c r="J37">
        <v>271963</v>
      </c>
      <c r="K37">
        <v>7342</v>
      </c>
      <c r="L37">
        <v>279305</v>
      </c>
      <c r="M37">
        <v>2.1999999999999999E-2</v>
      </c>
      <c r="N37">
        <v>1E-3</v>
      </c>
      <c r="O37">
        <v>2.3E-2</v>
      </c>
      <c r="P37">
        <v>109674</v>
      </c>
      <c r="Q37">
        <v>2094</v>
      </c>
      <c r="R37">
        <v>111768</v>
      </c>
      <c r="S37">
        <v>8.9999999999999993E-3</v>
      </c>
      <c r="T37">
        <v>0</v>
      </c>
      <c r="U37">
        <v>8.9999999999999993E-3</v>
      </c>
      <c r="V37">
        <v>11790632</v>
      </c>
      <c r="W37">
        <v>0.98899999999999999</v>
      </c>
      <c r="X37">
        <v>61718</v>
      </c>
      <c r="Y37">
        <v>-2094</v>
      </c>
      <c r="Z37">
        <v>59624</v>
      </c>
      <c r="AA37">
        <v>102284</v>
      </c>
      <c r="AB37">
        <v>0</v>
      </c>
      <c r="AC37">
        <v>102284</v>
      </c>
      <c r="AD37">
        <v>8</v>
      </c>
      <c r="AE37">
        <v>0</v>
      </c>
      <c r="AF37">
        <v>8</v>
      </c>
      <c r="AG37">
        <v>37040</v>
      </c>
      <c r="AH37">
        <v>0</v>
      </c>
      <c r="AI37">
        <v>37040</v>
      </c>
      <c r="AJ37">
        <v>1</v>
      </c>
      <c r="AK37">
        <v>21700</v>
      </c>
      <c r="AL37">
        <v>3</v>
      </c>
      <c r="AM37">
        <v>202790</v>
      </c>
      <c r="AN37">
        <v>8.0500000000000007</v>
      </c>
      <c r="AO37" t="s">
        <v>1784</v>
      </c>
      <c r="AP37">
        <v>8.0500000000000007</v>
      </c>
      <c r="AQ37">
        <v>7.94</v>
      </c>
      <c r="AR37" t="s">
        <v>1784</v>
      </c>
      <c r="AS37">
        <v>7.94</v>
      </c>
    </row>
    <row r="38" spans="1:45" x14ac:dyDescent="0.25">
      <c r="A38" t="s">
        <v>19811</v>
      </c>
      <c r="B38">
        <v>448</v>
      </c>
      <c r="C38">
        <v>11909470</v>
      </c>
      <c r="D38">
        <v>178462</v>
      </c>
      <c r="E38">
        <v>0</v>
      </c>
      <c r="F38">
        <v>178462</v>
      </c>
      <c r="G38">
        <v>1.4999999999999999E-2</v>
      </c>
      <c r="H38">
        <v>0</v>
      </c>
      <c r="I38">
        <v>1.4999999999999999E-2</v>
      </c>
      <c r="J38">
        <v>263878</v>
      </c>
      <c r="K38">
        <v>5248</v>
      </c>
      <c r="L38">
        <v>269126</v>
      </c>
      <c r="M38">
        <v>2.1999999999999999E-2</v>
      </c>
      <c r="N38">
        <v>0</v>
      </c>
      <c r="O38">
        <v>2.1999999999999999E-2</v>
      </c>
      <c r="P38">
        <v>93393</v>
      </c>
      <c r="Q38">
        <v>0</v>
      </c>
      <c r="R38">
        <v>93393</v>
      </c>
      <c r="S38">
        <v>8.0000000000000002E-3</v>
      </c>
      <c r="T38">
        <v>0</v>
      </c>
      <c r="U38">
        <v>8.0000000000000002E-3</v>
      </c>
      <c r="V38">
        <v>11731008</v>
      </c>
      <c r="W38">
        <v>0.98499999999999999</v>
      </c>
      <c r="X38">
        <v>-72459</v>
      </c>
      <c r="Y38">
        <v>0</v>
      </c>
      <c r="Z38">
        <v>-72459</v>
      </c>
      <c r="AA38">
        <v>29634</v>
      </c>
      <c r="AB38">
        <v>0</v>
      </c>
      <c r="AC38">
        <v>29634</v>
      </c>
      <c r="AD38">
        <v>9</v>
      </c>
      <c r="AE38">
        <v>0</v>
      </c>
      <c r="AF38">
        <v>9</v>
      </c>
      <c r="AG38">
        <v>103266</v>
      </c>
      <c r="AH38">
        <v>0</v>
      </c>
      <c r="AI38">
        <v>103266</v>
      </c>
      <c r="AJ38">
        <v>0</v>
      </c>
      <c r="AK38">
        <v>0</v>
      </c>
      <c r="AL38">
        <v>2</v>
      </c>
      <c r="AM38">
        <v>131700</v>
      </c>
      <c r="AN38">
        <v>7.68</v>
      </c>
      <c r="AO38" t="s">
        <v>1784</v>
      </c>
      <c r="AP38">
        <v>7.68</v>
      </c>
      <c r="AQ38">
        <v>7.49</v>
      </c>
      <c r="AR38" t="s">
        <v>1784</v>
      </c>
      <c r="AS38">
        <v>7.49</v>
      </c>
    </row>
    <row r="39" spans="1:45" x14ac:dyDescent="0.25">
      <c r="A39" t="s">
        <v>19812</v>
      </c>
      <c r="B39">
        <v>449</v>
      </c>
      <c r="C39">
        <v>12064170</v>
      </c>
      <c r="D39">
        <v>260375</v>
      </c>
      <c r="E39">
        <v>0</v>
      </c>
      <c r="F39">
        <v>260375</v>
      </c>
      <c r="G39">
        <v>2.1999999999999999E-2</v>
      </c>
      <c r="H39">
        <v>0</v>
      </c>
      <c r="I39">
        <v>2.1999999999999999E-2</v>
      </c>
      <c r="J39">
        <v>425715</v>
      </c>
      <c r="K39">
        <v>26928</v>
      </c>
      <c r="L39">
        <v>452643</v>
      </c>
      <c r="M39">
        <v>3.5000000000000003E-2</v>
      </c>
      <c r="N39">
        <v>2E-3</v>
      </c>
      <c r="O39">
        <v>3.6999999999999998E-2</v>
      </c>
      <c r="P39">
        <v>187593</v>
      </c>
      <c r="Q39">
        <v>0</v>
      </c>
      <c r="R39">
        <v>187593</v>
      </c>
      <c r="S39">
        <v>1.6E-2</v>
      </c>
      <c r="T39">
        <v>0</v>
      </c>
      <c r="U39">
        <v>1.6E-2</v>
      </c>
      <c r="V39">
        <v>11803795</v>
      </c>
      <c r="W39">
        <v>0.97799999999999998</v>
      </c>
      <c r="X39">
        <v>165713</v>
      </c>
      <c r="Y39">
        <v>100486</v>
      </c>
      <c r="Z39">
        <v>266199</v>
      </c>
      <c r="AA39">
        <v>254679</v>
      </c>
      <c r="AB39">
        <v>100486</v>
      </c>
      <c r="AC39">
        <v>355165</v>
      </c>
      <c r="AD39">
        <v>12</v>
      </c>
      <c r="AE39">
        <v>0</v>
      </c>
      <c r="AF39">
        <v>12</v>
      </c>
      <c r="AG39">
        <v>418962</v>
      </c>
      <c r="AH39">
        <v>0</v>
      </c>
      <c r="AI39">
        <v>418962</v>
      </c>
      <c r="AJ39">
        <v>1</v>
      </c>
      <c r="AK39">
        <v>211827</v>
      </c>
      <c r="AL39">
        <v>1</v>
      </c>
      <c r="AM39">
        <v>21700</v>
      </c>
      <c r="AN39">
        <v>7.53</v>
      </c>
      <c r="AO39">
        <v>5</v>
      </c>
      <c r="AP39">
        <v>7.39</v>
      </c>
      <c r="AQ39">
        <v>7.34</v>
      </c>
      <c r="AR39">
        <v>5</v>
      </c>
      <c r="AS39">
        <v>7.19</v>
      </c>
    </row>
    <row r="40" spans="1:45" x14ac:dyDescent="0.25">
      <c r="A40" t="s">
        <v>19813</v>
      </c>
      <c r="B40">
        <v>448</v>
      </c>
      <c r="C40">
        <v>11852343</v>
      </c>
      <c r="D40">
        <v>214261</v>
      </c>
      <c r="E40">
        <v>100486</v>
      </c>
      <c r="F40">
        <v>314747</v>
      </c>
      <c r="G40">
        <v>1.7999999999999999E-2</v>
      </c>
      <c r="H40">
        <v>8.0000000000000002E-3</v>
      </c>
      <c r="I40">
        <v>2.7E-2</v>
      </c>
      <c r="J40">
        <v>411456</v>
      </c>
      <c r="K40">
        <v>122166</v>
      </c>
      <c r="L40">
        <v>533622</v>
      </c>
      <c r="M40">
        <v>3.4000000000000002E-2</v>
      </c>
      <c r="N40">
        <v>0.01</v>
      </c>
      <c r="O40">
        <v>4.3999999999999997E-2</v>
      </c>
      <c r="P40">
        <v>193609</v>
      </c>
      <c r="Q40">
        <v>100486</v>
      </c>
      <c r="R40">
        <v>294095</v>
      </c>
      <c r="S40">
        <v>1.6E-2</v>
      </c>
      <c r="T40">
        <v>8.0000000000000002E-3</v>
      </c>
      <c r="U40">
        <v>2.5000000000000001E-2</v>
      </c>
      <c r="V40">
        <v>11537596</v>
      </c>
      <c r="W40">
        <v>0.97299999999999998</v>
      </c>
      <c r="X40">
        <v>73920</v>
      </c>
      <c r="Y40">
        <v>-100486</v>
      </c>
      <c r="Z40">
        <v>-26566</v>
      </c>
      <c r="AA40">
        <v>105760</v>
      </c>
      <c r="AB40">
        <v>0</v>
      </c>
      <c r="AC40">
        <v>105760</v>
      </c>
      <c r="AD40">
        <v>14</v>
      </c>
      <c r="AE40">
        <v>0</v>
      </c>
      <c r="AF40">
        <v>14</v>
      </c>
      <c r="AG40">
        <v>337520</v>
      </c>
      <c r="AH40">
        <v>0</v>
      </c>
      <c r="AI40">
        <v>337520</v>
      </c>
      <c r="AJ40">
        <v>0</v>
      </c>
      <c r="AK40">
        <v>0</v>
      </c>
      <c r="AL40">
        <v>2</v>
      </c>
      <c r="AM40">
        <v>233527</v>
      </c>
      <c r="AN40">
        <v>7.32</v>
      </c>
      <c r="AO40">
        <v>3.96</v>
      </c>
      <c r="AP40">
        <v>6.4</v>
      </c>
      <c r="AQ40">
        <v>7.07</v>
      </c>
      <c r="AR40">
        <v>3.96</v>
      </c>
      <c r="AS40">
        <v>6.09</v>
      </c>
    </row>
    <row r="41" spans="1:45" x14ac:dyDescent="0.25">
      <c r="A41" t="s">
        <v>19814</v>
      </c>
      <c r="B41">
        <v>448</v>
      </c>
      <c r="C41">
        <v>11852343</v>
      </c>
      <c r="D41">
        <v>288181</v>
      </c>
      <c r="E41">
        <v>0</v>
      </c>
      <c r="F41">
        <v>288181</v>
      </c>
      <c r="G41">
        <v>2.4E-2</v>
      </c>
      <c r="H41">
        <v>0</v>
      </c>
      <c r="I41">
        <v>2.4E-2</v>
      </c>
      <c r="J41">
        <v>357299</v>
      </c>
      <c r="K41">
        <v>125106</v>
      </c>
      <c r="L41">
        <v>482405</v>
      </c>
      <c r="M41">
        <v>0.03</v>
      </c>
      <c r="N41">
        <v>0.01</v>
      </c>
      <c r="O41">
        <v>0.04</v>
      </c>
      <c r="P41">
        <v>211603</v>
      </c>
      <c r="Q41">
        <v>0</v>
      </c>
      <c r="R41">
        <v>211603</v>
      </c>
      <c r="S41">
        <v>1.7999999999999999E-2</v>
      </c>
      <c r="T41">
        <v>0</v>
      </c>
      <c r="U41">
        <v>1.7999999999999999E-2</v>
      </c>
      <c r="V41">
        <v>11564162</v>
      </c>
      <c r="W41">
        <v>0.97599999999999998</v>
      </c>
      <c r="X41">
        <v>-9035</v>
      </c>
      <c r="Y41">
        <v>0</v>
      </c>
      <c r="Z41">
        <v>-9035</v>
      </c>
      <c r="AA41">
        <v>84163</v>
      </c>
      <c r="AB41">
        <v>0</v>
      </c>
      <c r="AC41">
        <v>84163</v>
      </c>
      <c r="AD41">
        <v>10</v>
      </c>
      <c r="AE41">
        <v>0</v>
      </c>
      <c r="AF41">
        <v>10</v>
      </c>
      <c r="AG41">
        <v>41358</v>
      </c>
      <c r="AH41">
        <v>0</v>
      </c>
      <c r="AI41">
        <v>41358</v>
      </c>
      <c r="AJ41">
        <v>0</v>
      </c>
      <c r="AK41">
        <v>0</v>
      </c>
      <c r="AL41">
        <v>2</v>
      </c>
      <c r="AM41">
        <v>233527</v>
      </c>
      <c r="AN41">
        <v>5.77</v>
      </c>
      <c r="AO41">
        <v>4.41</v>
      </c>
      <c r="AP41">
        <v>5.45</v>
      </c>
      <c r="AQ41">
        <v>5.4</v>
      </c>
      <c r="AR41">
        <v>3.75</v>
      </c>
      <c r="AS41">
        <v>5.01</v>
      </c>
    </row>
    <row r="42" spans="1:45" x14ac:dyDescent="0.25">
      <c r="A42" t="s">
        <v>19815</v>
      </c>
      <c r="B42">
        <v>452</v>
      </c>
      <c r="C42">
        <v>11883747</v>
      </c>
      <c r="D42">
        <v>310550</v>
      </c>
      <c r="E42">
        <v>0</v>
      </c>
      <c r="F42">
        <v>310550</v>
      </c>
      <c r="G42">
        <v>2.5999999999999999E-2</v>
      </c>
      <c r="H42">
        <v>0</v>
      </c>
      <c r="I42">
        <v>2.5999999999999999E-2</v>
      </c>
      <c r="J42">
        <v>339650</v>
      </c>
      <c r="K42">
        <v>125106</v>
      </c>
      <c r="L42">
        <v>464756</v>
      </c>
      <c r="M42">
        <v>2.8000000000000001E-2</v>
      </c>
      <c r="N42">
        <v>0.01</v>
      </c>
      <c r="O42">
        <v>3.7999999999999999E-2</v>
      </c>
      <c r="P42">
        <v>195553</v>
      </c>
      <c r="Q42">
        <v>0</v>
      </c>
      <c r="R42">
        <v>195553</v>
      </c>
      <c r="S42">
        <v>1.6E-2</v>
      </c>
      <c r="T42">
        <v>0</v>
      </c>
      <c r="U42">
        <v>1.6E-2</v>
      </c>
      <c r="V42">
        <v>11573197</v>
      </c>
      <c r="W42">
        <v>0.97399999999999998</v>
      </c>
      <c r="X42">
        <v>-82049</v>
      </c>
      <c r="Y42">
        <v>0</v>
      </c>
      <c r="Z42">
        <v>-82049</v>
      </c>
      <c r="AA42">
        <v>35778</v>
      </c>
      <c r="AB42">
        <v>0</v>
      </c>
      <c r="AC42">
        <v>35778</v>
      </c>
      <c r="AD42">
        <v>12</v>
      </c>
      <c r="AE42">
        <v>0</v>
      </c>
      <c r="AF42">
        <v>12</v>
      </c>
      <c r="AG42">
        <v>72921</v>
      </c>
      <c r="AH42">
        <v>0</v>
      </c>
      <c r="AI42">
        <v>72921</v>
      </c>
      <c r="AJ42">
        <v>0</v>
      </c>
      <c r="AK42">
        <v>0</v>
      </c>
      <c r="AL42">
        <v>1</v>
      </c>
      <c r="AM42">
        <v>211827</v>
      </c>
      <c r="AN42">
        <v>5.77</v>
      </c>
      <c r="AO42">
        <v>4.41</v>
      </c>
      <c r="AP42">
        <v>5.44</v>
      </c>
      <c r="AQ42">
        <v>5.29</v>
      </c>
      <c r="AR42">
        <v>3.75</v>
      </c>
      <c r="AS42">
        <v>4.92</v>
      </c>
    </row>
    <row r="43" spans="1:45" x14ac:dyDescent="0.25">
      <c r="A43" t="s">
        <v>19816</v>
      </c>
      <c r="B43">
        <v>452</v>
      </c>
      <c r="C43">
        <v>11883747</v>
      </c>
      <c r="D43">
        <v>228501</v>
      </c>
      <c r="E43">
        <v>0</v>
      </c>
      <c r="F43">
        <v>228501</v>
      </c>
      <c r="G43">
        <v>1.9E-2</v>
      </c>
      <c r="H43">
        <v>0</v>
      </c>
      <c r="I43">
        <v>1.9E-2</v>
      </c>
      <c r="J43">
        <v>379697</v>
      </c>
      <c r="K43">
        <v>100486</v>
      </c>
      <c r="L43">
        <v>480183</v>
      </c>
      <c r="M43">
        <v>3.1E-2</v>
      </c>
      <c r="N43">
        <v>8.0000000000000002E-3</v>
      </c>
      <c r="O43">
        <v>0.04</v>
      </c>
      <c r="P43">
        <v>213453</v>
      </c>
      <c r="Q43">
        <v>0</v>
      </c>
      <c r="R43">
        <v>213453</v>
      </c>
      <c r="S43">
        <v>1.7999999999999999E-2</v>
      </c>
      <c r="T43">
        <v>0</v>
      </c>
      <c r="U43">
        <v>1.7999999999999999E-2</v>
      </c>
      <c r="V43">
        <v>11655246</v>
      </c>
      <c r="W43">
        <v>0.98099999999999998</v>
      </c>
      <c r="X43">
        <v>61540</v>
      </c>
      <c r="Y43">
        <v>0</v>
      </c>
      <c r="Z43">
        <v>61540</v>
      </c>
      <c r="AA43">
        <v>112048</v>
      </c>
      <c r="AB43">
        <v>0</v>
      </c>
      <c r="AC43">
        <v>112048</v>
      </c>
      <c r="AD43">
        <v>14</v>
      </c>
      <c r="AE43">
        <v>0</v>
      </c>
      <c r="AF43">
        <v>14</v>
      </c>
      <c r="AG43">
        <v>106458</v>
      </c>
      <c r="AH43">
        <v>0</v>
      </c>
      <c r="AI43">
        <v>106458</v>
      </c>
      <c r="AJ43">
        <v>1</v>
      </c>
      <c r="AK43">
        <v>20000</v>
      </c>
      <c r="AL43">
        <v>1</v>
      </c>
      <c r="AM43">
        <v>211827</v>
      </c>
      <c r="AN43">
        <v>5.8</v>
      </c>
      <c r="AO43">
        <v>3.75</v>
      </c>
      <c r="AP43">
        <v>5.42</v>
      </c>
      <c r="AQ43">
        <v>5.48</v>
      </c>
      <c r="AR43">
        <v>3.75</v>
      </c>
      <c r="AS43">
        <v>5.1100000000000003</v>
      </c>
    </row>
    <row r="44" spans="1:45" x14ac:dyDescent="0.25">
      <c r="A44" t="s">
        <v>19817</v>
      </c>
      <c r="B44">
        <v>451</v>
      </c>
      <c r="C44">
        <v>11863747</v>
      </c>
      <c r="D44">
        <v>270041</v>
      </c>
      <c r="E44">
        <v>0</v>
      </c>
      <c r="F44">
        <v>270041</v>
      </c>
      <c r="G44">
        <v>2.3E-2</v>
      </c>
      <c r="H44">
        <v>0</v>
      </c>
      <c r="I44">
        <v>2.3E-2</v>
      </c>
      <c r="J44">
        <v>418373</v>
      </c>
      <c r="K44">
        <v>100486</v>
      </c>
      <c r="L44">
        <v>518859</v>
      </c>
      <c r="M44">
        <v>3.5000000000000003E-2</v>
      </c>
      <c r="N44">
        <v>8.0000000000000002E-3</v>
      </c>
      <c r="O44">
        <v>4.2999999999999997E-2</v>
      </c>
      <c r="P44">
        <v>246003</v>
      </c>
      <c r="Q44">
        <v>0</v>
      </c>
      <c r="R44">
        <v>246003</v>
      </c>
      <c r="S44">
        <v>2.1000000000000001E-2</v>
      </c>
      <c r="T44">
        <v>0</v>
      </c>
      <c r="U44">
        <v>2.1000000000000001E-2</v>
      </c>
      <c r="V44">
        <v>11593706</v>
      </c>
      <c r="W44">
        <v>0.97699999999999998</v>
      </c>
      <c r="X44">
        <v>-109215</v>
      </c>
      <c r="Y44">
        <v>0</v>
      </c>
      <c r="Z44">
        <v>-109215</v>
      </c>
      <c r="AA44">
        <v>24388</v>
      </c>
      <c r="AB44">
        <v>0</v>
      </c>
      <c r="AC44">
        <v>24388</v>
      </c>
      <c r="AD44">
        <v>10</v>
      </c>
      <c r="AE44">
        <v>0</v>
      </c>
      <c r="AF44">
        <v>10</v>
      </c>
      <c r="AG44">
        <v>152714</v>
      </c>
      <c r="AH44">
        <v>0</v>
      </c>
      <c r="AI44">
        <v>152714</v>
      </c>
      <c r="AJ44">
        <v>0</v>
      </c>
      <c r="AK44">
        <v>0</v>
      </c>
      <c r="AL44">
        <v>2</v>
      </c>
      <c r="AM44">
        <v>231827</v>
      </c>
      <c r="AN44">
        <v>5.32</v>
      </c>
      <c r="AO44">
        <v>3.75</v>
      </c>
      <c r="AP44">
        <v>5.05</v>
      </c>
      <c r="AQ44">
        <v>5.03</v>
      </c>
      <c r="AR44">
        <v>3.75</v>
      </c>
      <c r="AS44">
        <v>4.8</v>
      </c>
    </row>
    <row r="45" spans="1:45" x14ac:dyDescent="0.25">
      <c r="A45" t="s">
        <v>19818</v>
      </c>
      <c r="B45">
        <v>451</v>
      </c>
      <c r="C45">
        <v>11863747</v>
      </c>
      <c r="D45">
        <v>160826</v>
      </c>
      <c r="E45">
        <v>0</v>
      </c>
      <c r="F45">
        <v>160826</v>
      </c>
      <c r="G45">
        <v>1.4E-2</v>
      </c>
      <c r="H45">
        <v>0</v>
      </c>
      <c r="I45">
        <v>1.4E-2</v>
      </c>
      <c r="J45">
        <v>399218</v>
      </c>
      <c r="K45">
        <v>0</v>
      </c>
      <c r="L45">
        <v>487976</v>
      </c>
      <c r="M45">
        <v>3.4000000000000002E-2</v>
      </c>
      <c r="N45">
        <v>0</v>
      </c>
      <c r="O45">
        <v>4.1000000000000002E-2</v>
      </c>
      <c r="P45">
        <v>148456</v>
      </c>
      <c r="Q45">
        <v>0</v>
      </c>
      <c r="R45">
        <v>148456</v>
      </c>
      <c r="S45">
        <v>1.2999999999999999E-2</v>
      </c>
      <c r="T45">
        <v>0</v>
      </c>
      <c r="U45">
        <v>1.2999999999999999E-2</v>
      </c>
      <c r="V45">
        <v>11702921</v>
      </c>
      <c r="W45">
        <v>0.98599999999999999</v>
      </c>
      <c r="X45">
        <v>223366</v>
      </c>
      <c r="Y45">
        <v>0</v>
      </c>
      <c r="Z45">
        <v>223366</v>
      </c>
      <c r="AA45">
        <v>231729</v>
      </c>
      <c r="AB45">
        <v>0</v>
      </c>
      <c r="AC45">
        <v>231729</v>
      </c>
      <c r="AD45">
        <v>7</v>
      </c>
      <c r="AE45">
        <v>0</v>
      </c>
      <c r="AF45">
        <v>7</v>
      </c>
      <c r="AG45">
        <v>67260</v>
      </c>
      <c r="AH45">
        <v>0</v>
      </c>
      <c r="AI45">
        <v>67260</v>
      </c>
      <c r="AJ45">
        <v>0</v>
      </c>
      <c r="AK45">
        <v>0</v>
      </c>
      <c r="AL45">
        <v>1</v>
      </c>
      <c r="AM45">
        <v>20000</v>
      </c>
      <c r="AN45">
        <v>4.9800000000000004</v>
      </c>
      <c r="AO45" t="s">
        <v>1784</v>
      </c>
      <c r="AP45">
        <v>4.9800000000000004</v>
      </c>
      <c r="AQ45">
        <v>4.68</v>
      </c>
      <c r="AR45" t="s">
        <v>1784</v>
      </c>
      <c r="AS45">
        <v>4.68</v>
      </c>
    </row>
    <row r="46" spans="1:45" x14ac:dyDescent="0.25">
      <c r="A46" t="s">
        <v>19819</v>
      </c>
      <c r="B46">
        <v>451</v>
      </c>
      <c r="C46">
        <v>11863747</v>
      </c>
      <c r="D46">
        <v>384192</v>
      </c>
      <c r="E46">
        <v>0</v>
      </c>
      <c r="F46">
        <v>384192</v>
      </c>
      <c r="G46">
        <v>3.2000000000000001E-2</v>
      </c>
      <c r="H46">
        <v>0</v>
      </c>
      <c r="I46">
        <v>3.2000000000000001E-2</v>
      </c>
      <c r="J46">
        <v>394015</v>
      </c>
      <c r="K46">
        <v>0</v>
      </c>
      <c r="L46">
        <v>394015</v>
      </c>
      <c r="M46">
        <v>3.3000000000000002E-2</v>
      </c>
      <c r="N46">
        <v>0</v>
      </c>
      <c r="O46">
        <v>3.3000000000000002E-2</v>
      </c>
      <c r="P46">
        <v>265052</v>
      </c>
      <c r="Q46">
        <v>0</v>
      </c>
      <c r="R46">
        <v>265052</v>
      </c>
      <c r="S46">
        <v>2.1999999999999999E-2</v>
      </c>
      <c r="T46">
        <v>0</v>
      </c>
      <c r="U46">
        <v>2.1999999999999999E-2</v>
      </c>
      <c r="V46">
        <v>11479555</v>
      </c>
      <c r="W46">
        <v>0.96799999999999997</v>
      </c>
      <c r="X46">
        <v>66896</v>
      </c>
      <c r="Y46">
        <v>0</v>
      </c>
      <c r="Z46">
        <v>66896</v>
      </c>
      <c r="AA46">
        <v>91143</v>
      </c>
      <c r="AB46">
        <v>0</v>
      </c>
      <c r="AC46">
        <v>91143</v>
      </c>
      <c r="AD46">
        <v>12</v>
      </c>
      <c r="AE46">
        <v>0</v>
      </c>
      <c r="AF46">
        <v>12</v>
      </c>
      <c r="AG46">
        <v>187845</v>
      </c>
      <c r="AH46">
        <v>0</v>
      </c>
      <c r="AI46">
        <v>187845</v>
      </c>
      <c r="AJ46">
        <v>0</v>
      </c>
      <c r="AK46">
        <v>0</v>
      </c>
      <c r="AL46">
        <v>0</v>
      </c>
      <c r="AM46">
        <v>0</v>
      </c>
      <c r="AN46">
        <v>5.33</v>
      </c>
      <c r="AO46" t="s">
        <v>1784</v>
      </c>
      <c r="AP46">
        <v>5.33</v>
      </c>
      <c r="AQ46">
        <v>4.99</v>
      </c>
      <c r="AR46" t="s">
        <v>1784</v>
      </c>
      <c r="AS46">
        <v>4.99</v>
      </c>
    </row>
    <row r="47" spans="1:45" x14ac:dyDescent="0.25">
      <c r="A47" t="s">
        <v>19820</v>
      </c>
      <c r="B47">
        <v>452</v>
      </c>
      <c r="C47">
        <v>11876147</v>
      </c>
      <c r="D47">
        <v>463488</v>
      </c>
      <c r="E47">
        <v>0</v>
      </c>
      <c r="F47">
        <v>463488</v>
      </c>
      <c r="G47">
        <v>3.9E-2</v>
      </c>
      <c r="H47">
        <v>0</v>
      </c>
      <c r="I47">
        <v>3.9E-2</v>
      </c>
      <c r="J47">
        <v>491752</v>
      </c>
      <c r="K47">
        <v>0</v>
      </c>
      <c r="L47">
        <v>491752</v>
      </c>
      <c r="M47">
        <v>4.1000000000000002E-2</v>
      </c>
      <c r="N47">
        <v>0</v>
      </c>
      <c r="O47">
        <v>4.1000000000000002E-2</v>
      </c>
      <c r="P47">
        <v>313720</v>
      </c>
      <c r="Q47">
        <v>0</v>
      </c>
      <c r="R47">
        <v>313720</v>
      </c>
      <c r="S47">
        <v>2.5999999999999999E-2</v>
      </c>
      <c r="T47">
        <v>0</v>
      </c>
      <c r="U47">
        <v>2.5999999999999999E-2</v>
      </c>
      <c r="V47">
        <v>11412659</v>
      </c>
      <c r="W47">
        <v>0.96099999999999997</v>
      </c>
      <c r="X47">
        <v>-64632</v>
      </c>
      <c r="Y47">
        <v>0</v>
      </c>
      <c r="Z47">
        <v>-64632</v>
      </c>
      <c r="AA47">
        <v>94203</v>
      </c>
      <c r="AB47">
        <v>0</v>
      </c>
      <c r="AC47">
        <v>94203</v>
      </c>
      <c r="AD47">
        <v>17</v>
      </c>
      <c r="AE47">
        <v>0</v>
      </c>
      <c r="AF47">
        <v>17</v>
      </c>
      <c r="AG47">
        <v>102866</v>
      </c>
      <c r="AH47">
        <v>0</v>
      </c>
      <c r="AI47">
        <v>102866</v>
      </c>
      <c r="AJ47">
        <v>0</v>
      </c>
      <c r="AK47">
        <v>0</v>
      </c>
      <c r="AL47">
        <v>0</v>
      </c>
      <c r="AM47">
        <v>0</v>
      </c>
      <c r="AN47">
        <v>5.36</v>
      </c>
      <c r="AO47" t="s">
        <v>1784</v>
      </c>
      <c r="AP47">
        <v>5.36</v>
      </c>
      <c r="AQ47">
        <v>5.07</v>
      </c>
      <c r="AR47" t="s">
        <v>1784</v>
      </c>
      <c r="AS47">
        <v>5.07</v>
      </c>
    </row>
    <row r="48" spans="1:45" x14ac:dyDescent="0.25">
      <c r="A48" t="s">
        <v>19821</v>
      </c>
      <c r="B48">
        <v>452</v>
      </c>
      <c r="C48">
        <v>11876147</v>
      </c>
      <c r="D48">
        <v>398856</v>
      </c>
      <c r="E48">
        <v>0</v>
      </c>
      <c r="F48">
        <v>398856</v>
      </c>
      <c r="G48">
        <v>3.4000000000000002E-2</v>
      </c>
      <c r="H48">
        <v>0</v>
      </c>
      <c r="I48">
        <v>3.4000000000000002E-2</v>
      </c>
      <c r="J48">
        <v>559912</v>
      </c>
      <c r="K48">
        <v>0</v>
      </c>
      <c r="L48">
        <v>559912</v>
      </c>
      <c r="M48">
        <v>4.7E-2</v>
      </c>
      <c r="N48">
        <v>0</v>
      </c>
      <c r="O48">
        <v>4.7E-2</v>
      </c>
      <c r="P48">
        <v>357193</v>
      </c>
      <c r="Q48">
        <v>0</v>
      </c>
      <c r="R48">
        <v>357193</v>
      </c>
      <c r="S48">
        <v>0.03</v>
      </c>
      <c r="T48">
        <v>0</v>
      </c>
      <c r="U48">
        <v>0.03</v>
      </c>
      <c r="V48">
        <v>11477291</v>
      </c>
      <c r="W48">
        <v>0.96599999999999997</v>
      </c>
      <c r="X48">
        <v>-55772</v>
      </c>
      <c r="Y48">
        <v>0</v>
      </c>
      <c r="Z48">
        <v>-55772</v>
      </c>
      <c r="AA48">
        <v>100003</v>
      </c>
      <c r="AB48">
        <v>0</v>
      </c>
      <c r="AC48">
        <v>100003</v>
      </c>
      <c r="AD48">
        <v>28</v>
      </c>
      <c r="AE48">
        <v>0</v>
      </c>
      <c r="AF48">
        <v>28</v>
      </c>
      <c r="AG48">
        <v>238179</v>
      </c>
      <c r="AH48">
        <v>0</v>
      </c>
      <c r="AI48">
        <v>238179</v>
      </c>
      <c r="AJ48">
        <v>0</v>
      </c>
      <c r="AK48">
        <v>0</v>
      </c>
      <c r="AL48">
        <v>0</v>
      </c>
      <c r="AM48">
        <v>0</v>
      </c>
      <c r="AN48">
        <v>5.32</v>
      </c>
      <c r="AO48" t="s">
        <v>1784</v>
      </c>
      <c r="AP48">
        <v>5.32</v>
      </c>
      <c r="AQ48">
        <v>4.92</v>
      </c>
      <c r="AR48" t="s">
        <v>1784</v>
      </c>
      <c r="AS48">
        <v>4.92</v>
      </c>
    </row>
    <row r="49" spans="1:45" x14ac:dyDescent="0.25">
      <c r="A49" t="s">
        <v>19822</v>
      </c>
      <c r="B49">
        <v>452</v>
      </c>
      <c r="C49">
        <v>11876147</v>
      </c>
      <c r="D49">
        <v>343084</v>
      </c>
      <c r="E49">
        <v>0</v>
      </c>
      <c r="F49">
        <v>343084</v>
      </c>
      <c r="G49">
        <v>2.9000000000000001E-2</v>
      </c>
      <c r="H49">
        <v>0</v>
      </c>
      <c r="I49">
        <v>2.9000000000000001E-2</v>
      </c>
      <c r="J49">
        <v>601982</v>
      </c>
      <c r="K49">
        <v>0</v>
      </c>
      <c r="L49">
        <v>601982</v>
      </c>
      <c r="M49">
        <v>5.0999999999999997E-2</v>
      </c>
      <c r="N49">
        <v>0</v>
      </c>
      <c r="O49">
        <v>5.0999999999999997E-2</v>
      </c>
      <c r="P49">
        <v>337834</v>
      </c>
      <c r="Q49">
        <v>0</v>
      </c>
      <c r="R49">
        <v>337834</v>
      </c>
      <c r="S49">
        <v>2.8000000000000001E-2</v>
      </c>
      <c r="T49">
        <v>0</v>
      </c>
      <c r="U49">
        <v>2.8000000000000001E-2</v>
      </c>
      <c r="V49">
        <v>11533063</v>
      </c>
      <c r="W49">
        <v>0.97099999999999997</v>
      </c>
      <c r="X49">
        <v>48874</v>
      </c>
      <c r="Y49">
        <v>0</v>
      </c>
      <c r="Z49">
        <v>48874</v>
      </c>
      <c r="AA49">
        <v>108757</v>
      </c>
      <c r="AB49">
        <v>0</v>
      </c>
      <c r="AC49">
        <v>108757</v>
      </c>
      <c r="AD49">
        <v>11</v>
      </c>
      <c r="AE49">
        <v>0</v>
      </c>
      <c r="AF49">
        <v>11</v>
      </c>
      <c r="AG49">
        <v>48759</v>
      </c>
      <c r="AH49">
        <v>0</v>
      </c>
      <c r="AI49">
        <v>48759</v>
      </c>
      <c r="AJ49">
        <v>0</v>
      </c>
      <c r="AK49">
        <v>0</v>
      </c>
      <c r="AL49">
        <v>0</v>
      </c>
      <c r="AM49">
        <v>0</v>
      </c>
      <c r="AN49">
        <v>5.23</v>
      </c>
      <c r="AO49" t="s">
        <v>1784</v>
      </c>
      <c r="AP49">
        <v>5.23</v>
      </c>
      <c r="AQ49">
        <v>4.96</v>
      </c>
      <c r="AR49" t="s">
        <v>1784</v>
      </c>
      <c r="AS49">
        <v>4.96</v>
      </c>
    </row>
    <row r="50" spans="1:45" x14ac:dyDescent="0.25">
      <c r="A50" t="s">
        <v>19823</v>
      </c>
      <c r="B50">
        <v>455</v>
      </c>
      <c r="C50">
        <v>12002222</v>
      </c>
      <c r="D50">
        <v>518033</v>
      </c>
      <c r="E50">
        <v>0</v>
      </c>
      <c r="F50">
        <v>518033</v>
      </c>
      <c r="G50">
        <v>4.2999999999999997E-2</v>
      </c>
      <c r="H50">
        <v>0</v>
      </c>
      <c r="I50">
        <v>4.2999999999999997E-2</v>
      </c>
      <c r="J50">
        <v>732130</v>
      </c>
      <c r="K50">
        <v>0</v>
      </c>
      <c r="L50">
        <v>732130</v>
      </c>
      <c r="M50">
        <v>6.0999999999999999E-2</v>
      </c>
      <c r="N50">
        <v>0</v>
      </c>
      <c r="O50">
        <v>6.0999999999999999E-2</v>
      </c>
      <c r="P50">
        <v>339040</v>
      </c>
      <c r="Q50">
        <v>0</v>
      </c>
      <c r="R50">
        <v>339040</v>
      </c>
      <c r="S50">
        <v>2.8000000000000001E-2</v>
      </c>
      <c r="T50">
        <v>0</v>
      </c>
      <c r="U50">
        <v>2.8000000000000001E-2</v>
      </c>
      <c r="V50">
        <v>11484189</v>
      </c>
      <c r="W50">
        <v>0.95699999999999996</v>
      </c>
      <c r="X50">
        <v>-161385</v>
      </c>
      <c r="Y50">
        <v>12156</v>
      </c>
      <c r="Z50">
        <v>-149229</v>
      </c>
      <c r="AA50">
        <v>114782</v>
      </c>
      <c r="AB50">
        <v>12156</v>
      </c>
      <c r="AC50">
        <v>126938</v>
      </c>
      <c r="AD50">
        <v>15</v>
      </c>
      <c r="AE50">
        <v>0</v>
      </c>
      <c r="AF50">
        <v>15</v>
      </c>
      <c r="AG50">
        <v>50115</v>
      </c>
      <c r="AH50">
        <v>0</v>
      </c>
      <c r="AI50">
        <v>50115</v>
      </c>
      <c r="AJ50">
        <v>0</v>
      </c>
      <c r="AK50">
        <v>0</v>
      </c>
      <c r="AL50">
        <v>0</v>
      </c>
      <c r="AM50">
        <v>0</v>
      </c>
      <c r="AN50">
        <v>5.03</v>
      </c>
      <c r="AO50" t="s">
        <v>1784</v>
      </c>
      <c r="AP50">
        <v>5.03</v>
      </c>
      <c r="AQ50">
        <v>4.78</v>
      </c>
      <c r="AR50" t="s">
        <v>1784</v>
      </c>
      <c r="AS50">
        <v>4.78</v>
      </c>
    </row>
    <row r="51" spans="1:45" x14ac:dyDescent="0.25">
      <c r="A51" t="s">
        <v>19824</v>
      </c>
      <c r="B51">
        <v>455</v>
      </c>
      <c r="C51">
        <v>12002222</v>
      </c>
      <c r="D51">
        <v>356648</v>
      </c>
      <c r="E51">
        <v>12156</v>
      </c>
      <c r="F51">
        <v>368804</v>
      </c>
      <c r="G51">
        <v>0.03</v>
      </c>
      <c r="H51">
        <v>1E-3</v>
      </c>
      <c r="I51">
        <v>3.1E-2</v>
      </c>
      <c r="J51">
        <v>779539</v>
      </c>
      <c r="K51">
        <v>12156</v>
      </c>
      <c r="L51">
        <v>779539</v>
      </c>
      <c r="M51">
        <v>6.5000000000000002E-2</v>
      </c>
      <c r="N51">
        <v>1E-3</v>
      </c>
      <c r="O51">
        <v>6.5000000000000002E-2</v>
      </c>
      <c r="P51">
        <v>316016</v>
      </c>
      <c r="Q51">
        <v>12156</v>
      </c>
      <c r="R51">
        <v>328172</v>
      </c>
      <c r="S51">
        <v>2.5999999999999999E-2</v>
      </c>
      <c r="T51">
        <v>1E-3</v>
      </c>
      <c r="U51">
        <v>2.7E-2</v>
      </c>
      <c r="V51">
        <v>11633418</v>
      </c>
      <c r="W51">
        <v>0.96899999999999997</v>
      </c>
      <c r="X51">
        <v>25077</v>
      </c>
      <c r="Y51">
        <v>31571</v>
      </c>
      <c r="Z51">
        <v>56648</v>
      </c>
      <c r="AA51">
        <v>85519</v>
      </c>
      <c r="AB51">
        <v>31571</v>
      </c>
      <c r="AC51">
        <v>117090</v>
      </c>
      <c r="AD51">
        <v>26</v>
      </c>
      <c r="AE51">
        <v>0</v>
      </c>
      <c r="AF51">
        <v>26</v>
      </c>
      <c r="AG51">
        <v>186988</v>
      </c>
      <c r="AH51">
        <v>0</v>
      </c>
      <c r="AI51">
        <v>186988</v>
      </c>
      <c r="AJ51">
        <v>0</v>
      </c>
      <c r="AK51">
        <v>0</v>
      </c>
      <c r="AL51">
        <v>0</v>
      </c>
      <c r="AM51">
        <v>0</v>
      </c>
      <c r="AN51">
        <v>5.52</v>
      </c>
      <c r="AO51" t="s">
        <v>1784</v>
      </c>
      <c r="AP51">
        <v>5.52</v>
      </c>
      <c r="AQ51">
        <v>5.3</v>
      </c>
      <c r="AR51" t="s">
        <v>1784</v>
      </c>
      <c r="AS51">
        <v>5.3</v>
      </c>
    </row>
    <row r="52" spans="1:45" x14ac:dyDescent="0.25">
      <c r="A52" t="s">
        <v>19825</v>
      </c>
      <c r="B52">
        <v>456</v>
      </c>
      <c r="C52">
        <v>12020174</v>
      </c>
      <c r="D52">
        <v>399677</v>
      </c>
      <c r="E52">
        <v>43727</v>
      </c>
      <c r="F52">
        <v>443404</v>
      </c>
      <c r="G52">
        <v>3.3000000000000002E-2</v>
      </c>
      <c r="H52">
        <v>4.0000000000000001E-3</v>
      </c>
      <c r="I52">
        <v>3.6999999999999998E-2</v>
      </c>
      <c r="J52">
        <v>854472</v>
      </c>
      <c r="K52">
        <v>12156</v>
      </c>
      <c r="L52">
        <v>866628</v>
      </c>
      <c r="M52">
        <v>7.0999999999999994E-2</v>
      </c>
      <c r="N52">
        <v>1E-3</v>
      </c>
      <c r="O52">
        <v>7.1999999999999995E-2</v>
      </c>
      <c r="P52">
        <v>347152</v>
      </c>
      <c r="Q52">
        <v>12156</v>
      </c>
      <c r="R52">
        <v>359308</v>
      </c>
      <c r="S52">
        <v>2.9000000000000001E-2</v>
      </c>
      <c r="T52">
        <v>1E-3</v>
      </c>
      <c r="U52">
        <v>0.03</v>
      </c>
      <c r="V52">
        <v>11576770</v>
      </c>
      <c r="W52">
        <v>0.96299999999999997</v>
      </c>
      <c r="X52">
        <v>33880</v>
      </c>
      <c r="Y52">
        <v>-43727</v>
      </c>
      <c r="Z52">
        <v>-9847</v>
      </c>
      <c r="AA52">
        <v>91976</v>
      </c>
      <c r="AB52">
        <v>31571</v>
      </c>
      <c r="AC52">
        <v>123547</v>
      </c>
      <c r="AD52">
        <v>17</v>
      </c>
      <c r="AE52">
        <v>0</v>
      </c>
      <c r="AF52">
        <v>17</v>
      </c>
      <c r="AG52">
        <v>53563</v>
      </c>
      <c r="AH52">
        <v>0</v>
      </c>
      <c r="AI52">
        <v>53563</v>
      </c>
      <c r="AJ52">
        <v>0</v>
      </c>
      <c r="AK52">
        <v>0</v>
      </c>
      <c r="AL52">
        <v>0</v>
      </c>
      <c r="AM52">
        <v>0</v>
      </c>
      <c r="AN52">
        <v>5.56</v>
      </c>
      <c r="AO52">
        <v>4.5</v>
      </c>
      <c r="AP52">
        <v>5.55</v>
      </c>
      <c r="AQ52">
        <v>5.35</v>
      </c>
      <c r="AR52">
        <v>4.5</v>
      </c>
      <c r="AS52">
        <v>5.34</v>
      </c>
    </row>
    <row r="53" spans="1:45" x14ac:dyDescent="0.25">
      <c r="A53" t="s">
        <v>19826</v>
      </c>
      <c r="B53">
        <v>457</v>
      </c>
      <c r="C53">
        <v>12052414</v>
      </c>
      <c r="D53">
        <v>465797</v>
      </c>
      <c r="E53">
        <v>0</v>
      </c>
      <c r="F53">
        <v>465797</v>
      </c>
      <c r="G53">
        <v>3.9E-2</v>
      </c>
      <c r="H53">
        <v>0</v>
      </c>
      <c r="I53">
        <v>3.9E-2</v>
      </c>
      <c r="J53">
        <v>948586</v>
      </c>
      <c r="K53">
        <v>31571</v>
      </c>
      <c r="L53">
        <v>980157</v>
      </c>
      <c r="M53">
        <v>7.9000000000000001E-2</v>
      </c>
      <c r="N53">
        <v>3.0000000000000001E-3</v>
      </c>
      <c r="O53">
        <v>8.1000000000000003E-2</v>
      </c>
      <c r="P53">
        <v>417538</v>
      </c>
      <c r="Q53">
        <v>0</v>
      </c>
      <c r="R53">
        <v>417538</v>
      </c>
      <c r="S53">
        <v>3.5000000000000003E-2</v>
      </c>
      <c r="T53">
        <v>0</v>
      </c>
      <c r="U53">
        <v>3.5000000000000003E-2</v>
      </c>
      <c r="V53">
        <v>11586617</v>
      </c>
      <c r="W53">
        <v>0.96099999999999997</v>
      </c>
      <c r="X53">
        <v>5291</v>
      </c>
      <c r="Y53">
        <v>0</v>
      </c>
      <c r="Z53">
        <v>5291</v>
      </c>
      <c r="AA53">
        <v>56956</v>
      </c>
      <c r="AB53">
        <v>0</v>
      </c>
      <c r="AC53">
        <v>56956</v>
      </c>
      <c r="AD53">
        <v>20</v>
      </c>
      <c r="AE53">
        <v>1</v>
      </c>
      <c r="AF53">
        <v>21</v>
      </c>
      <c r="AG53">
        <v>179735</v>
      </c>
      <c r="AH53">
        <v>31543</v>
      </c>
      <c r="AI53">
        <v>211278</v>
      </c>
      <c r="AJ53">
        <v>0</v>
      </c>
      <c r="AK53">
        <v>0</v>
      </c>
      <c r="AL53">
        <v>0</v>
      </c>
      <c r="AM53">
        <v>0</v>
      </c>
      <c r="AN53">
        <v>5.61</v>
      </c>
      <c r="AO53">
        <v>4.5</v>
      </c>
      <c r="AP53">
        <v>5.57</v>
      </c>
      <c r="AQ53">
        <v>5.42</v>
      </c>
      <c r="AR53">
        <v>4.5</v>
      </c>
      <c r="AS53">
        <v>5.38</v>
      </c>
    </row>
    <row r="54" spans="1:45" x14ac:dyDescent="0.25">
      <c r="A54" t="s">
        <v>19827</v>
      </c>
      <c r="B54">
        <v>457</v>
      </c>
      <c r="C54">
        <v>12052414</v>
      </c>
      <c r="D54">
        <v>471088</v>
      </c>
      <c r="E54">
        <v>0</v>
      </c>
      <c r="F54">
        <v>471088</v>
      </c>
      <c r="G54">
        <v>3.9E-2</v>
      </c>
      <c r="H54">
        <v>0</v>
      </c>
      <c r="I54">
        <v>3.9E-2</v>
      </c>
      <c r="J54">
        <v>956736</v>
      </c>
      <c r="K54">
        <v>31571</v>
      </c>
      <c r="L54">
        <v>988307</v>
      </c>
      <c r="M54">
        <v>7.9000000000000001E-2</v>
      </c>
      <c r="N54">
        <v>3.0000000000000001E-3</v>
      </c>
      <c r="O54">
        <v>8.2000000000000003E-2</v>
      </c>
      <c r="P54">
        <v>450188</v>
      </c>
      <c r="Q54">
        <v>0</v>
      </c>
      <c r="R54">
        <v>450188</v>
      </c>
      <c r="S54">
        <v>3.6999999999999998E-2</v>
      </c>
      <c r="T54">
        <v>0</v>
      </c>
      <c r="U54">
        <v>3.6999999999999998E-2</v>
      </c>
      <c r="V54">
        <v>11581326</v>
      </c>
      <c r="W54">
        <v>0.96099999999999997</v>
      </c>
      <c r="X54">
        <v>195465</v>
      </c>
      <c r="Y54">
        <v>0</v>
      </c>
      <c r="Z54">
        <v>195465</v>
      </c>
      <c r="AA54">
        <v>250442</v>
      </c>
      <c r="AB54">
        <v>0</v>
      </c>
      <c r="AC54">
        <v>250442</v>
      </c>
      <c r="AD54">
        <v>7</v>
      </c>
      <c r="AE54">
        <v>0</v>
      </c>
      <c r="AF54">
        <v>7</v>
      </c>
      <c r="AG54">
        <v>120673</v>
      </c>
      <c r="AH54">
        <v>0</v>
      </c>
      <c r="AI54">
        <v>120673</v>
      </c>
      <c r="AJ54">
        <v>0</v>
      </c>
      <c r="AK54">
        <v>0</v>
      </c>
      <c r="AL54">
        <v>0</v>
      </c>
      <c r="AM54">
        <v>0</v>
      </c>
      <c r="AN54">
        <v>5.66</v>
      </c>
      <c r="AO54">
        <v>4.5</v>
      </c>
      <c r="AP54">
        <v>5.62</v>
      </c>
      <c r="AQ54">
        <v>5.38</v>
      </c>
      <c r="AR54">
        <v>4.5</v>
      </c>
      <c r="AS54">
        <v>5.34</v>
      </c>
    </row>
    <row r="55" spans="1:45" x14ac:dyDescent="0.25">
      <c r="A55" t="s">
        <v>19828</v>
      </c>
      <c r="B55">
        <v>457</v>
      </c>
      <c r="C55">
        <v>12052414</v>
      </c>
      <c r="D55">
        <v>666553</v>
      </c>
      <c r="E55">
        <v>0</v>
      </c>
      <c r="F55">
        <v>666553</v>
      </c>
      <c r="G55">
        <v>5.5E-2</v>
      </c>
      <c r="H55">
        <v>0</v>
      </c>
      <c r="I55">
        <v>5.5E-2</v>
      </c>
      <c r="J55">
        <v>889405</v>
      </c>
      <c r="K55">
        <v>0</v>
      </c>
      <c r="L55">
        <v>889405</v>
      </c>
      <c r="M55">
        <v>7.3999999999999996E-2</v>
      </c>
      <c r="N55">
        <v>0</v>
      </c>
      <c r="O55">
        <v>7.3999999999999996E-2</v>
      </c>
      <c r="P55">
        <v>482110</v>
      </c>
      <c r="Q55">
        <v>0</v>
      </c>
      <c r="R55">
        <v>482110</v>
      </c>
      <c r="S55">
        <v>0.04</v>
      </c>
      <c r="T55">
        <v>0</v>
      </c>
      <c r="U55">
        <v>0.04</v>
      </c>
      <c r="V55">
        <v>11385861</v>
      </c>
      <c r="W55">
        <v>0.94499999999999995</v>
      </c>
      <c r="X55">
        <v>-213651</v>
      </c>
      <c r="Y55">
        <v>0</v>
      </c>
      <c r="Z55">
        <v>-213651</v>
      </c>
      <c r="AA55">
        <v>65670</v>
      </c>
      <c r="AB55">
        <v>0</v>
      </c>
      <c r="AC55">
        <v>65670</v>
      </c>
      <c r="AD55">
        <v>20</v>
      </c>
      <c r="AE55">
        <v>0</v>
      </c>
      <c r="AF55">
        <v>20</v>
      </c>
      <c r="AG55">
        <v>121202</v>
      </c>
      <c r="AH55">
        <v>0</v>
      </c>
      <c r="AI55">
        <v>121202</v>
      </c>
      <c r="AJ55">
        <v>0</v>
      </c>
      <c r="AK55">
        <v>0</v>
      </c>
      <c r="AL55">
        <v>0</v>
      </c>
      <c r="AM55">
        <v>0</v>
      </c>
      <c r="AN55">
        <v>5.48</v>
      </c>
      <c r="AO55" t="s">
        <v>1784</v>
      </c>
      <c r="AP55">
        <v>5.48</v>
      </c>
      <c r="AQ55">
        <v>5.18</v>
      </c>
      <c r="AR55" t="s">
        <v>1784</v>
      </c>
      <c r="AS55">
        <v>5.18</v>
      </c>
    </row>
    <row r="56" spans="1:45" x14ac:dyDescent="0.25">
      <c r="A56" t="s">
        <v>19829</v>
      </c>
      <c r="B56">
        <v>458</v>
      </c>
      <c r="C56">
        <v>12071604</v>
      </c>
      <c r="D56">
        <v>472092</v>
      </c>
      <c r="E56">
        <v>0</v>
      </c>
      <c r="F56">
        <v>472092</v>
      </c>
      <c r="G56">
        <v>3.9E-2</v>
      </c>
      <c r="H56">
        <v>0</v>
      </c>
      <c r="I56">
        <v>3.9E-2</v>
      </c>
      <c r="J56">
        <v>964026</v>
      </c>
      <c r="K56">
        <v>0</v>
      </c>
      <c r="L56">
        <v>964026</v>
      </c>
      <c r="M56">
        <v>0.08</v>
      </c>
      <c r="N56">
        <v>0</v>
      </c>
      <c r="O56">
        <v>0.08</v>
      </c>
      <c r="P56">
        <v>429216</v>
      </c>
      <c r="Q56">
        <v>0</v>
      </c>
      <c r="R56">
        <v>429216</v>
      </c>
      <c r="S56">
        <v>3.5999999999999997E-2</v>
      </c>
      <c r="T56">
        <v>0</v>
      </c>
      <c r="U56">
        <v>3.5999999999999997E-2</v>
      </c>
      <c r="V56">
        <v>11599512</v>
      </c>
      <c r="W56">
        <v>0.96099999999999997</v>
      </c>
      <c r="X56">
        <v>47649</v>
      </c>
      <c r="Y56">
        <v>0</v>
      </c>
      <c r="Z56">
        <v>47649</v>
      </c>
      <c r="AA56">
        <v>126217</v>
      </c>
      <c r="AB56">
        <v>0</v>
      </c>
      <c r="AC56">
        <v>126217</v>
      </c>
      <c r="AD56">
        <v>25</v>
      </c>
      <c r="AE56">
        <v>0</v>
      </c>
      <c r="AF56">
        <v>25</v>
      </c>
      <c r="AG56">
        <v>233230</v>
      </c>
      <c r="AH56">
        <v>0</v>
      </c>
      <c r="AI56">
        <v>233230</v>
      </c>
      <c r="AJ56">
        <v>0</v>
      </c>
      <c r="AK56">
        <v>0</v>
      </c>
      <c r="AL56">
        <v>0</v>
      </c>
      <c r="AM56">
        <v>0</v>
      </c>
      <c r="AN56">
        <v>5.39</v>
      </c>
      <c r="AO56" t="s">
        <v>1784</v>
      </c>
      <c r="AP56">
        <v>5.39</v>
      </c>
      <c r="AQ56">
        <v>5.0999999999999996</v>
      </c>
      <c r="AR56" t="s">
        <v>1784</v>
      </c>
      <c r="AS56">
        <v>5.0999999999999996</v>
      </c>
    </row>
    <row r="57" spans="1:45" x14ac:dyDescent="0.25">
      <c r="A57" t="s">
        <v>19830</v>
      </c>
      <c r="B57">
        <v>459</v>
      </c>
      <c r="C57">
        <v>12095341</v>
      </c>
      <c r="D57">
        <v>543478</v>
      </c>
      <c r="E57">
        <v>0</v>
      </c>
      <c r="F57">
        <v>543478</v>
      </c>
      <c r="G57">
        <v>4.4999999999999998E-2</v>
      </c>
      <c r="H57">
        <v>0</v>
      </c>
      <c r="I57">
        <v>4.4999999999999998E-2</v>
      </c>
      <c r="J57">
        <v>965220</v>
      </c>
      <c r="K57">
        <v>0</v>
      </c>
      <c r="L57">
        <v>965220</v>
      </c>
      <c r="M57">
        <v>0.08</v>
      </c>
      <c r="N57">
        <v>0</v>
      </c>
      <c r="O57">
        <v>0.08</v>
      </c>
      <c r="P57">
        <v>483997</v>
      </c>
      <c r="Q57">
        <v>0</v>
      </c>
      <c r="R57">
        <v>483997</v>
      </c>
      <c r="S57">
        <v>0.04</v>
      </c>
      <c r="T57">
        <v>0</v>
      </c>
      <c r="U57">
        <v>0.04</v>
      </c>
      <c r="V57">
        <v>11551863</v>
      </c>
      <c r="W57">
        <v>0.95499999999999996</v>
      </c>
      <c r="X57">
        <v>-12292</v>
      </c>
      <c r="Y57">
        <v>0</v>
      </c>
      <c r="Z57">
        <v>-12292</v>
      </c>
      <c r="AA57">
        <v>48558</v>
      </c>
      <c r="AB57">
        <v>0</v>
      </c>
      <c r="AC57">
        <v>48558</v>
      </c>
      <c r="AD57">
        <v>16</v>
      </c>
      <c r="AE57">
        <v>0</v>
      </c>
      <c r="AF57">
        <v>16</v>
      </c>
      <c r="AG57">
        <v>63154</v>
      </c>
      <c r="AH57">
        <v>0</v>
      </c>
      <c r="AI57">
        <v>63154</v>
      </c>
      <c r="AJ57">
        <v>0</v>
      </c>
      <c r="AK57">
        <v>0</v>
      </c>
      <c r="AL57">
        <v>0</v>
      </c>
      <c r="AM57">
        <v>0</v>
      </c>
      <c r="AN57">
        <v>5.4</v>
      </c>
      <c r="AO57" t="s">
        <v>1784</v>
      </c>
      <c r="AP57">
        <v>5.4</v>
      </c>
      <c r="AQ57">
        <v>5.0199999999999996</v>
      </c>
      <c r="AR57" t="s">
        <v>1784</v>
      </c>
      <c r="AS57">
        <v>5.0199999999999996</v>
      </c>
    </row>
    <row r="58" spans="1:45" x14ac:dyDescent="0.25">
      <c r="A58" t="s">
        <v>19831</v>
      </c>
      <c r="B58">
        <v>459</v>
      </c>
      <c r="C58">
        <v>12095341</v>
      </c>
      <c r="D58">
        <v>531186</v>
      </c>
      <c r="E58">
        <v>0</v>
      </c>
      <c r="F58">
        <v>531186</v>
      </c>
      <c r="G58">
        <v>4.3999999999999997E-2</v>
      </c>
      <c r="H58">
        <v>0</v>
      </c>
      <c r="I58">
        <v>4.3999999999999997E-2</v>
      </c>
      <c r="J58">
        <v>1012505</v>
      </c>
      <c r="K58">
        <v>0</v>
      </c>
      <c r="L58">
        <v>1012505</v>
      </c>
      <c r="M58">
        <v>8.4000000000000005E-2</v>
      </c>
      <c r="N58">
        <v>0</v>
      </c>
      <c r="O58">
        <v>8.4000000000000005E-2</v>
      </c>
      <c r="P58">
        <v>499488</v>
      </c>
      <c r="Q58">
        <v>0</v>
      </c>
      <c r="R58">
        <v>499488</v>
      </c>
      <c r="S58">
        <v>4.1000000000000002E-2</v>
      </c>
      <c r="T58">
        <v>0</v>
      </c>
      <c r="U58">
        <v>4.1000000000000002E-2</v>
      </c>
      <c r="V58">
        <v>11564155</v>
      </c>
      <c r="W58">
        <v>0.95599999999999996</v>
      </c>
      <c r="X58">
        <v>154591</v>
      </c>
      <c r="Y58">
        <v>0</v>
      </c>
      <c r="Z58">
        <v>154591</v>
      </c>
      <c r="AA58">
        <v>196096</v>
      </c>
      <c r="AB58">
        <v>0</v>
      </c>
      <c r="AC58">
        <v>196096</v>
      </c>
      <c r="AD58">
        <v>14</v>
      </c>
      <c r="AE58">
        <v>0</v>
      </c>
      <c r="AF58">
        <v>14</v>
      </c>
      <c r="AG58">
        <v>44731</v>
      </c>
      <c r="AH58">
        <v>0</v>
      </c>
      <c r="AI58">
        <v>44731</v>
      </c>
      <c r="AJ58">
        <v>1</v>
      </c>
      <c r="AK58">
        <v>11250</v>
      </c>
      <c r="AL58">
        <v>0</v>
      </c>
      <c r="AM58">
        <v>0</v>
      </c>
      <c r="AN58">
        <v>5.45</v>
      </c>
      <c r="AO58" t="s">
        <v>1784</v>
      </c>
      <c r="AP58">
        <v>5.45</v>
      </c>
      <c r="AQ58">
        <v>5.09</v>
      </c>
      <c r="AR58" t="s">
        <v>1784</v>
      </c>
      <c r="AS58">
        <v>5.09</v>
      </c>
    </row>
    <row r="59" spans="1:45" x14ac:dyDescent="0.25">
      <c r="A59" t="s">
        <v>19832</v>
      </c>
      <c r="B59">
        <v>458</v>
      </c>
      <c r="C59">
        <v>12084091</v>
      </c>
      <c r="D59">
        <v>674527</v>
      </c>
      <c r="E59">
        <v>0</v>
      </c>
      <c r="F59">
        <v>674527</v>
      </c>
      <c r="G59">
        <v>5.6000000000000001E-2</v>
      </c>
      <c r="H59">
        <v>0</v>
      </c>
      <c r="I59">
        <v>5.6000000000000001E-2</v>
      </c>
      <c r="J59">
        <v>1137546</v>
      </c>
      <c r="K59">
        <v>0</v>
      </c>
      <c r="L59">
        <v>1137546</v>
      </c>
      <c r="M59">
        <v>9.4E-2</v>
      </c>
      <c r="N59">
        <v>0</v>
      </c>
      <c r="O59">
        <v>9.4E-2</v>
      </c>
      <c r="P59">
        <v>602333</v>
      </c>
      <c r="Q59">
        <v>0</v>
      </c>
      <c r="R59">
        <v>602333</v>
      </c>
      <c r="S59">
        <v>0.05</v>
      </c>
      <c r="T59">
        <v>0</v>
      </c>
      <c r="U59">
        <v>0.05</v>
      </c>
      <c r="V59">
        <v>11409564</v>
      </c>
      <c r="W59">
        <v>0.94399999999999995</v>
      </c>
      <c r="X59">
        <v>-61468</v>
      </c>
      <c r="Y59">
        <v>8544</v>
      </c>
      <c r="Z59">
        <v>-52924</v>
      </c>
      <c r="AA59">
        <v>54600</v>
      </c>
      <c r="AB59">
        <v>8544</v>
      </c>
      <c r="AC59">
        <v>63144</v>
      </c>
      <c r="AD59">
        <v>22</v>
      </c>
      <c r="AE59">
        <v>0</v>
      </c>
      <c r="AF59">
        <v>22</v>
      </c>
      <c r="AG59">
        <v>217270</v>
      </c>
      <c r="AH59">
        <v>0</v>
      </c>
      <c r="AI59">
        <v>217270</v>
      </c>
      <c r="AJ59">
        <v>0</v>
      </c>
      <c r="AK59">
        <v>0</v>
      </c>
      <c r="AL59">
        <v>1</v>
      </c>
      <c r="AM59">
        <v>11250</v>
      </c>
      <c r="AN59">
        <v>5.57</v>
      </c>
      <c r="AO59" t="s">
        <v>1784</v>
      </c>
      <c r="AP59">
        <v>5.57</v>
      </c>
      <c r="AQ59">
        <v>5.19</v>
      </c>
      <c r="AR59" t="s">
        <v>1784</v>
      </c>
      <c r="AS59">
        <v>5.19</v>
      </c>
    </row>
    <row r="60" spans="1:45" x14ac:dyDescent="0.25">
      <c r="A60" t="s">
        <v>19833</v>
      </c>
      <c r="B60">
        <v>458</v>
      </c>
      <c r="C60">
        <v>12084091</v>
      </c>
      <c r="D60">
        <v>613059</v>
      </c>
      <c r="E60">
        <v>8544</v>
      </c>
      <c r="F60">
        <v>621603</v>
      </c>
      <c r="G60">
        <v>5.0999999999999997E-2</v>
      </c>
      <c r="H60">
        <v>1E-3</v>
      </c>
      <c r="I60">
        <v>5.0999999999999997E-2</v>
      </c>
      <c r="J60">
        <v>1021526</v>
      </c>
      <c r="K60">
        <v>8544</v>
      </c>
      <c r="L60">
        <v>1030070</v>
      </c>
      <c r="M60">
        <v>8.4000000000000005E-2</v>
      </c>
      <c r="N60">
        <v>1E-3</v>
      </c>
      <c r="O60">
        <v>8.5000000000000006E-2</v>
      </c>
      <c r="P60">
        <v>550509</v>
      </c>
      <c r="Q60">
        <v>8544</v>
      </c>
      <c r="R60">
        <v>559053</v>
      </c>
      <c r="S60">
        <v>4.5999999999999999E-2</v>
      </c>
      <c r="T60">
        <v>1E-3</v>
      </c>
      <c r="U60">
        <v>4.5999999999999999E-2</v>
      </c>
      <c r="V60">
        <v>11462488</v>
      </c>
      <c r="W60">
        <v>0.94899999999999995</v>
      </c>
      <c r="X60">
        <v>-53382</v>
      </c>
      <c r="Y60">
        <v>0</v>
      </c>
      <c r="Z60">
        <v>-53382</v>
      </c>
      <c r="AA60">
        <v>40880</v>
      </c>
      <c r="AB60">
        <v>0</v>
      </c>
      <c r="AC60">
        <v>40880</v>
      </c>
      <c r="AD60">
        <v>22</v>
      </c>
      <c r="AE60">
        <v>0</v>
      </c>
      <c r="AF60">
        <v>22</v>
      </c>
      <c r="AG60">
        <v>109738</v>
      </c>
      <c r="AH60">
        <v>0</v>
      </c>
      <c r="AI60">
        <v>109738</v>
      </c>
      <c r="AJ60">
        <v>0</v>
      </c>
      <c r="AK60">
        <v>0</v>
      </c>
      <c r="AL60">
        <v>1</v>
      </c>
      <c r="AM60">
        <v>11250</v>
      </c>
      <c r="AN60">
        <v>5.76</v>
      </c>
      <c r="AO60">
        <v>6</v>
      </c>
      <c r="AP60">
        <v>5.76</v>
      </c>
      <c r="AQ60">
        <v>5.46</v>
      </c>
      <c r="AR60">
        <v>6</v>
      </c>
      <c r="AS60">
        <v>5.46</v>
      </c>
    </row>
    <row r="61" spans="1:45" x14ac:dyDescent="0.25">
      <c r="A61" t="s">
        <v>19834</v>
      </c>
      <c r="B61">
        <v>458</v>
      </c>
      <c r="C61">
        <v>12084091</v>
      </c>
      <c r="D61">
        <v>559677</v>
      </c>
      <c r="E61">
        <v>8544</v>
      </c>
      <c r="F61">
        <v>568221</v>
      </c>
      <c r="G61">
        <v>4.5999999999999999E-2</v>
      </c>
      <c r="H61">
        <v>1E-3</v>
      </c>
      <c r="I61">
        <v>4.7E-2</v>
      </c>
      <c r="J61">
        <v>971037</v>
      </c>
      <c r="K61">
        <v>8544</v>
      </c>
      <c r="L61">
        <v>979581</v>
      </c>
      <c r="M61">
        <v>0.08</v>
      </c>
      <c r="N61">
        <v>1E-3</v>
      </c>
      <c r="O61">
        <v>8.1000000000000003E-2</v>
      </c>
      <c r="P61">
        <v>551177</v>
      </c>
      <c r="Q61">
        <v>8544</v>
      </c>
      <c r="R61">
        <v>559721</v>
      </c>
      <c r="S61">
        <v>4.5999999999999999E-2</v>
      </c>
      <c r="T61">
        <v>1E-3</v>
      </c>
      <c r="U61">
        <v>4.5999999999999999E-2</v>
      </c>
      <c r="V61">
        <v>11515870</v>
      </c>
      <c r="W61">
        <v>0.95299999999999996</v>
      </c>
      <c r="X61">
        <v>48286</v>
      </c>
      <c r="Y61">
        <v>12707</v>
      </c>
      <c r="Z61">
        <v>60993</v>
      </c>
      <c r="AA61">
        <v>101508</v>
      </c>
      <c r="AB61">
        <v>12707</v>
      </c>
      <c r="AC61">
        <v>114215</v>
      </c>
      <c r="AD61">
        <v>11</v>
      </c>
      <c r="AE61">
        <v>0</v>
      </c>
      <c r="AF61">
        <v>11</v>
      </c>
      <c r="AG61">
        <v>42207</v>
      </c>
      <c r="AH61">
        <v>0</v>
      </c>
      <c r="AI61">
        <v>42207</v>
      </c>
      <c r="AJ61">
        <v>0</v>
      </c>
      <c r="AK61">
        <v>0</v>
      </c>
      <c r="AL61">
        <v>0</v>
      </c>
      <c r="AM61">
        <v>0</v>
      </c>
      <c r="AN61">
        <v>5.61</v>
      </c>
      <c r="AO61">
        <v>6</v>
      </c>
      <c r="AP61">
        <v>5.62</v>
      </c>
      <c r="AQ61">
        <v>5.34</v>
      </c>
      <c r="AR61">
        <v>6</v>
      </c>
      <c r="AS61">
        <v>5.35</v>
      </c>
    </row>
    <row r="62" spans="1:45" x14ac:dyDescent="0.25">
      <c r="A62" t="s">
        <v>19835</v>
      </c>
      <c r="B62">
        <v>458</v>
      </c>
      <c r="C62">
        <v>12084091</v>
      </c>
      <c r="D62">
        <v>607963</v>
      </c>
      <c r="E62">
        <v>21251</v>
      </c>
      <c r="F62">
        <v>629214</v>
      </c>
      <c r="G62">
        <v>0.05</v>
      </c>
      <c r="H62">
        <v>2E-3</v>
      </c>
      <c r="I62">
        <v>5.1999999999999998E-2</v>
      </c>
      <c r="J62">
        <v>897844</v>
      </c>
      <c r="K62">
        <v>38544</v>
      </c>
      <c r="L62">
        <v>936388</v>
      </c>
      <c r="M62">
        <v>7.3999999999999996E-2</v>
      </c>
      <c r="N62">
        <v>3.0000000000000001E-3</v>
      </c>
      <c r="O62">
        <v>7.6999999999999999E-2</v>
      </c>
      <c r="P62">
        <v>554404</v>
      </c>
      <c r="Q62">
        <v>8544</v>
      </c>
      <c r="R62">
        <v>562948</v>
      </c>
      <c r="S62">
        <v>4.5999999999999999E-2</v>
      </c>
      <c r="T62">
        <v>1E-3</v>
      </c>
      <c r="U62">
        <v>4.7E-2</v>
      </c>
      <c r="V62">
        <v>11454877</v>
      </c>
      <c r="W62">
        <v>0.94799999999999995</v>
      </c>
      <c r="X62">
        <v>-31208</v>
      </c>
      <c r="Y62">
        <v>0</v>
      </c>
      <c r="Z62">
        <v>-31208</v>
      </c>
      <c r="AA62">
        <v>64338</v>
      </c>
      <c r="AB62">
        <v>0</v>
      </c>
      <c r="AC62">
        <v>64338</v>
      </c>
      <c r="AD62">
        <v>20</v>
      </c>
      <c r="AE62">
        <v>1</v>
      </c>
      <c r="AF62">
        <v>21</v>
      </c>
      <c r="AG62">
        <v>273557</v>
      </c>
      <c r="AH62">
        <v>12707</v>
      </c>
      <c r="AI62">
        <v>286264</v>
      </c>
      <c r="AJ62">
        <v>0</v>
      </c>
      <c r="AK62">
        <v>0</v>
      </c>
      <c r="AL62">
        <v>0</v>
      </c>
      <c r="AM62">
        <v>0</v>
      </c>
      <c r="AN62">
        <v>5.66</v>
      </c>
      <c r="AO62">
        <v>4.12</v>
      </c>
      <c r="AP62">
        <v>5.59</v>
      </c>
      <c r="AQ62">
        <v>5.43</v>
      </c>
      <c r="AR62">
        <v>4.12</v>
      </c>
      <c r="AS62">
        <v>5.37</v>
      </c>
    </row>
    <row r="63" spans="1:45" x14ac:dyDescent="0.25">
      <c r="A63" t="s">
        <v>19836</v>
      </c>
      <c r="B63">
        <v>458</v>
      </c>
      <c r="C63">
        <v>12084091</v>
      </c>
      <c r="D63">
        <v>576755</v>
      </c>
      <c r="E63">
        <v>21251</v>
      </c>
      <c r="F63">
        <v>598006</v>
      </c>
      <c r="G63">
        <v>4.8000000000000001E-2</v>
      </c>
      <c r="H63">
        <v>2E-3</v>
      </c>
      <c r="I63">
        <v>4.9000000000000002E-2</v>
      </c>
      <c r="J63">
        <v>997371</v>
      </c>
      <c r="K63">
        <v>51251</v>
      </c>
      <c r="L63">
        <v>1048622</v>
      </c>
      <c r="M63">
        <v>8.3000000000000004E-2</v>
      </c>
      <c r="N63">
        <v>4.0000000000000001E-3</v>
      </c>
      <c r="O63">
        <v>8.6999999999999994E-2</v>
      </c>
      <c r="P63">
        <v>526102</v>
      </c>
      <c r="Q63">
        <v>21251</v>
      </c>
      <c r="R63">
        <v>547353</v>
      </c>
      <c r="S63">
        <v>4.3999999999999997E-2</v>
      </c>
      <c r="T63">
        <v>2E-3</v>
      </c>
      <c r="U63">
        <v>4.4999999999999998E-2</v>
      </c>
      <c r="V63">
        <v>11486085</v>
      </c>
      <c r="W63">
        <v>0.95099999999999996</v>
      </c>
      <c r="X63">
        <v>118101</v>
      </c>
      <c r="Y63">
        <v>0</v>
      </c>
      <c r="Z63">
        <v>118101</v>
      </c>
      <c r="AA63">
        <v>163147</v>
      </c>
      <c r="AB63">
        <v>0</v>
      </c>
      <c r="AC63">
        <v>163147</v>
      </c>
      <c r="AD63">
        <v>11</v>
      </c>
      <c r="AE63">
        <v>0</v>
      </c>
      <c r="AF63">
        <v>11</v>
      </c>
      <c r="AG63">
        <v>78780</v>
      </c>
      <c r="AH63">
        <v>0</v>
      </c>
      <c r="AI63">
        <v>78780</v>
      </c>
      <c r="AJ63">
        <v>0</v>
      </c>
      <c r="AK63">
        <v>0</v>
      </c>
      <c r="AL63">
        <v>0</v>
      </c>
      <c r="AM63">
        <v>0</v>
      </c>
      <c r="AN63">
        <v>5.42</v>
      </c>
      <c r="AO63">
        <v>4.12</v>
      </c>
      <c r="AP63">
        <v>5.37</v>
      </c>
      <c r="AQ63">
        <v>5.2</v>
      </c>
      <c r="AR63">
        <v>4.12</v>
      </c>
      <c r="AS63">
        <v>5.15</v>
      </c>
    </row>
    <row r="64" spans="1:45" x14ac:dyDescent="0.25">
      <c r="A64" t="s">
        <v>19837</v>
      </c>
      <c r="B64">
        <v>458</v>
      </c>
      <c r="C64">
        <v>12084091</v>
      </c>
      <c r="D64">
        <v>694856</v>
      </c>
      <c r="E64">
        <v>21251</v>
      </c>
      <c r="F64">
        <v>716107</v>
      </c>
      <c r="G64">
        <v>5.8000000000000003E-2</v>
      </c>
      <c r="H64">
        <v>2E-3</v>
      </c>
      <c r="I64">
        <v>5.8999999999999997E-2</v>
      </c>
      <c r="J64">
        <v>889555</v>
      </c>
      <c r="K64">
        <v>101951</v>
      </c>
      <c r="L64">
        <v>991506</v>
      </c>
      <c r="M64">
        <v>7.3999999999999996E-2</v>
      </c>
      <c r="N64">
        <v>8.0000000000000002E-3</v>
      </c>
      <c r="O64">
        <v>8.2000000000000003E-2</v>
      </c>
      <c r="P64">
        <v>558265</v>
      </c>
      <c r="Q64">
        <v>21251</v>
      </c>
      <c r="R64">
        <v>579516</v>
      </c>
      <c r="S64">
        <v>4.5999999999999999E-2</v>
      </c>
      <c r="T64">
        <v>2E-3</v>
      </c>
      <c r="U64">
        <v>4.8000000000000001E-2</v>
      </c>
      <c r="V64">
        <v>11367984</v>
      </c>
      <c r="W64">
        <v>0.94099999999999995</v>
      </c>
      <c r="X64">
        <v>51791</v>
      </c>
      <c r="Y64">
        <v>-89</v>
      </c>
      <c r="Z64">
        <v>51702</v>
      </c>
      <c r="AA64">
        <v>110478</v>
      </c>
      <c r="AB64">
        <v>0</v>
      </c>
      <c r="AC64">
        <v>110478</v>
      </c>
      <c r="AD64">
        <v>13</v>
      </c>
      <c r="AE64">
        <v>0</v>
      </c>
      <c r="AF64">
        <v>13</v>
      </c>
      <c r="AG64">
        <v>135142</v>
      </c>
      <c r="AH64">
        <v>0</v>
      </c>
      <c r="AI64">
        <v>135142</v>
      </c>
      <c r="AJ64">
        <v>1</v>
      </c>
      <c r="AK64">
        <v>26716</v>
      </c>
      <c r="AL64">
        <v>0</v>
      </c>
      <c r="AM64">
        <v>0</v>
      </c>
      <c r="AN64">
        <v>5.57</v>
      </c>
      <c r="AO64">
        <v>3.94</v>
      </c>
      <c r="AP64">
        <v>5.38</v>
      </c>
      <c r="AQ64">
        <v>5.25</v>
      </c>
      <c r="AR64">
        <v>3.94</v>
      </c>
      <c r="AS64">
        <v>5.07</v>
      </c>
    </row>
    <row r="65" spans="1:45" x14ac:dyDescent="0.25">
      <c r="A65" t="s">
        <v>19838</v>
      </c>
      <c r="B65">
        <v>457</v>
      </c>
      <c r="C65">
        <v>12057375</v>
      </c>
      <c r="D65">
        <v>719931</v>
      </c>
      <c r="E65">
        <v>21162</v>
      </c>
      <c r="F65">
        <v>741093</v>
      </c>
      <c r="G65">
        <v>0.06</v>
      </c>
      <c r="H65">
        <v>2E-3</v>
      </c>
      <c r="I65">
        <v>6.0999999999999999E-2</v>
      </c>
      <c r="J65">
        <v>955658</v>
      </c>
      <c r="K65">
        <v>101862</v>
      </c>
      <c r="L65">
        <v>1057520</v>
      </c>
      <c r="M65">
        <v>7.9000000000000001E-2</v>
      </c>
      <c r="N65">
        <v>8.0000000000000002E-3</v>
      </c>
      <c r="O65">
        <v>8.7999999999999995E-2</v>
      </c>
      <c r="P65">
        <v>660768</v>
      </c>
      <c r="Q65">
        <v>21162</v>
      </c>
      <c r="R65">
        <v>681930</v>
      </c>
      <c r="S65">
        <v>5.5E-2</v>
      </c>
      <c r="T65">
        <v>2E-3</v>
      </c>
      <c r="U65">
        <v>5.7000000000000002E-2</v>
      </c>
      <c r="V65">
        <v>11316282</v>
      </c>
      <c r="W65">
        <v>0.93899999999999995</v>
      </c>
      <c r="X65">
        <v>112944</v>
      </c>
      <c r="Y65">
        <v>11570</v>
      </c>
      <c r="Z65">
        <v>124514</v>
      </c>
      <c r="AA65">
        <v>165043</v>
      </c>
      <c r="AB65">
        <v>11570</v>
      </c>
      <c r="AC65">
        <v>176613</v>
      </c>
      <c r="AD65">
        <v>17</v>
      </c>
      <c r="AE65">
        <v>0</v>
      </c>
      <c r="AF65">
        <v>17</v>
      </c>
      <c r="AG65">
        <v>101770</v>
      </c>
      <c r="AH65">
        <v>0</v>
      </c>
      <c r="AI65">
        <v>101770</v>
      </c>
      <c r="AJ65">
        <v>1</v>
      </c>
      <c r="AK65">
        <v>51600</v>
      </c>
      <c r="AL65">
        <v>1</v>
      </c>
      <c r="AM65">
        <v>26716</v>
      </c>
      <c r="AN65">
        <v>5.56</v>
      </c>
      <c r="AO65">
        <v>3.98</v>
      </c>
      <c r="AP65">
        <v>5.35</v>
      </c>
      <c r="AQ65">
        <v>5.33</v>
      </c>
      <c r="AR65">
        <v>3.98</v>
      </c>
      <c r="AS65">
        <v>5.12</v>
      </c>
    </row>
    <row r="66" spans="1:45" x14ac:dyDescent="0.25">
      <c r="A66" t="s">
        <v>19839</v>
      </c>
      <c r="B66">
        <v>456</v>
      </c>
      <c r="C66">
        <v>12005775</v>
      </c>
      <c r="D66">
        <v>781275</v>
      </c>
      <c r="E66">
        <v>32732</v>
      </c>
      <c r="F66">
        <v>814007</v>
      </c>
      <c r="G66">
        <v>6.5000000000000002E-2</v>
      </c>
      <c r="H66">
        <v>3.0000000000000001E-3</v>
      </c>
      <c r="I66">
        <v>6.8000000000000005E-2</v>
      </c>
      <c r="J66">
        <v>1043677</v>
      </c>
      <c r="K66">
        <v>113432</v>
      </c>
      <c r="L66">
        <v>1157109</v>
      </c>
      <c r="M66">
        <v>8.5999999999999993E-2</v>
      </c>
      <c r="N66">
        <v>8.9999999999999993E-3</v>
      </c>
      <c r="O66">
        <v>9.6000000000000002E-2</v>
      </c>
      <c r="P66">
        <v>758228</v>
      </c>
      <c r="Q66">
        <v>32732</v>
      </c>
      <c r="R66">
        <v>790960</v>
      </c>
      <c r="S66">
        <v>6.3E-2</v>
      </c>
      <c r="T66">
        <v>3.0000000000000001E-3</v>
      </c>
      <c r="U66">
        <v>6.6000000000000003E-2</v>
      </c>
      <c r="V66">
        <v>11191768</v>
      </c>
      <c r="W66">
        <v>0.93200000000000005</v>
      </c>
      <c r="X66">
        <v>56783</v>
      </c>
      <c r="Y66">
        <v>-12707</v>
      </c>
      <c r="Z66">
        <v>44076</v>
      </c>
      <c r="AA66">
        <v>163633</v>
      </c>
      <c r="AB66">
        <v>0</v>
      </c>
      <c r="AC66">
        <v>163633</v>
      </c>
      <c r="AD66">
        <v>16</v>
      </c>
      <c r="AE66">
        <v>0</v>
      </c>
      <c r="AF66">
        <v>16</v>
      </c>
      <c r="AG66">
        <v>208482</v>
      </c>
      <c r="AH66">
        <v>0</v>
      </c>
      <c r="AI66">
        <v>208482</v>
      </c>
      <c r="AJ66">
        <v>0</v>
      </c>
      <c r="AK66">
        <v>0</v>
      </c>
      <c r="AL66">
        <v>2</v>
      </c>
      <c r="AM66">
        <v>78316</v>
      </c>
      <c r="AN66">
        <v>5.6</v>
      </c>
      <c r="AO66">
        <v>5.05</v>
      </c>
      <c r="AP66">
        <v>5.54</v>
      </c>
      <c r="AQ66">
        <v>5.07</v>
      </c>
      <c r="AR66">
        <v>4.3099999999999996</v>
      </c>
      <c r="AS66">
        <v>4.99</v>
      </c>
    </row>
    <row r="67" spans="1:45" x14ac:dyDescent="0.25">
      <c r="A67" t="s">
        <v>19840</v>
      </c>
      <c r="B67">
        <v>456</v>
      </c>
      <c r="C67">
        <v>12005775</v>
      </c>
      <c r="D67">
        <v>838058</v>
      </c>
      <c r="E67">
        <v>20025</v>
      </c>
      <c r="F67">
        <v>858083</v>
      </c>
      <c r="G67">
        <v>7.0000000000000007E-2</v>
      </c>
      <c r="H67">
        <v>2E-3</v>
      </c>
      <c r="I67">
        <v>7.0999999999999994E-2</v>
      </c>
      <c r="J67">
        <v>1082806</v>
      </c>
      <c r="K67">
        <v>120062</v>
      </c>
      <c r="L67">
        <v>1202868</v>
      </c>
      <c r="M67">
        <v>0.09</v>
      </c>
      <c r="N67">
        <v>0.01</v>
      </c>
      <c r="O67">
        <v>0.1</v>
      </c>
      <c r="P67">
        <v>828958</v>
      </c>
      <c r="Q67">
        <v>20025</v>
      </c>
      <c r="R67">
        <v>848983</v>
      </c>
      <c r="S67">
        <v>6.9000000000000006E-2</v>
      </c>
      <c r="T67">
        <v>2E-3</v>
      </c>
      <c r="U67">
        <v>7.0999999999999994E-2</v>
      </c>
      <c r="V67">
        <v>11147692</v>
      </c>
      <c r="W67">
        <v>0.92900000000000005</v>
      </c>
      <c r="X67">
        <v>-97314</v>
      </c>
      <c r="Y67">
        <v>0</v>
      </c>
      <c r="Z67">
        <v>-97314</v>
      </c>
      <c r="AA67">
        <v>60955</v>
      </c>
      <c r="AB67">
        <v>0</v>
      </c>
      <c r="AC67">
        <v>60955</v>
      </c>
      <c r="AD67">
        <v>3</v>
      </c>
      <c r="AE67">
        <v>0</v>
      </c>
      <c r="AF67">
        <v>3</v>
      </c>
      <c r="AG67">
        <v>19896</v>
      </c>
      <c r="AH67">
        <v>0</v>
      </c>
      <c r="AI67">
        <v>19896</v>
      </c>
      <c r="AJ67">
        <v>1</v>
      </c>
      <c r="AK67">
        <v>16633</v>
      </c>
      <c r="AL67">
        <v>1</v>
      </c>
      <c r="AM67">
        <v>51600</v>
      </c>
      <c r="AN67">
        <v>5.61</v>
      </c>
      <c r="AO67">
        <v>5.05</v>
      </c>
      <c r="AP67">
        <v>5.55</v>
      </c>
      <c r="AQ67">
        <v>5.08</v>
      </c>
      <c r="AR67">
        <v>4.3099999999999996</v>
      </c>
      <c r="AS67">
        <v>5</v>
      </c>
    </row>
    <row r="68" spans="1:45" x14ac:dyDescent="0.25">
      <c r="A68" t="s">
        <v>19841</v>
      </c>
      <c r="B68">
        <v>455</v>
      </c>
      <c r="C68">
        <v>11989142</v>
      </c>
      <c r="D68">
        <v>724111</v>
      </c>
      <c r="E68">
        <v>20025</v>
      </c>
      <c r="F68">
        <v>744136</v>
      </c>
      <c r="G68">
        <v>0.06</v>
      </c>
      <c r="H68">
        <v>2E-3</v>
      </c>
      <c r="I68">
        <v>6.2E-2</v>
      </c>
      <c r="J68">
        <v>907124</v>
      </c>
      <c r="K68">
        <v>100725</v>
      </c>
      <c r="L68">
        <v>1007849</v>
      </c>
      <c r="M68">
        <v>7.4999999999999997E-2</v>
      </c>
      <c r="N68">
        <v>8.0000000000000002E-3</v>
      </c>
      <c r="O68">
        <v>8.4000000000000005E-2</v>
      </c>
      <c r="P68">
        <v>695713</v>
      </c>
      <c r="Q68">
        <v>20025</v>
      </c>
      <c r="R68">
        <v>715738</v>
      </c>
      <c r="S68">
        <v>5.8000000000000003E-2</v>
      </c>
      <c r="T68">
        <v>2E-3</v>
      </c>
      <c r="U68">
        <v>0.06</v>
      </c>
      <c r="V68">
        <v>11245006</v>
      </c>
      <c r="W68">
        <v>0.93799999999999994</v>
      </c>
      <c r="X68">
        <v>-9035</v>
      </c>
      <c r="Y68">
        <v>0</v>
      </c>
      <c r="Z68">
        <v>-9035</v>
      </c>
      <c r="AA68">
        <v>96624</v>
      </c>
      <c r="AB68">
        <v>0</v>
      </c>
      <c r="AC68">
        <v>96624</v>
      </c>
      <c r="AD68">
        <v>5</v>
      </c>
      <c r="AE68">
        <v>0</v>
      </c>
      <c r="AF68">
        <v>5</v>
      </c>
      <c r="AG68">
        <v>33859</v>
      </c>
      <c r="AH68">
        <v>0</v>
      </c>
      <c r="AI68">
        <v>33859</v>
      </c>
      <c r="AJ68">
        <v>1</v>
      </c>
      <c r="AK68">
        <v>27500</v>
      </c>
      <c r="AL68">
        <v>2</v>
      </c>
      <c r="AM68">
        <v>68233</v>
      </c>
      <c r="AN68">
        <v>5.49</v>
      </c>
      <c r="AO68">
        <v>5.62</v>
      </c>
      <c r="AP68">
        <v>5.51</v>
      </c>
      <c r="AQ68">
        <v>5.34</v>
      </c>
      <c r="AR68">
        <v>5.03</v>
      </c>
      <c r="AS68">
        <v>5.3</v>
      </c>
    </row>
    <row r="69" spans="1:45" x14ac:dyDescent="0.25">
      <c r="A69" t="s">
        <v>19842</v>
      </c>
      <c r="B69">
        <v>454</v>
      </c>
      <c r="C69">
        <v>11961642</v>
      </c>
      <c r="D69">
        <v>687576</v>
      </c>
      <c r="E69">
        <v>20025</v>
      </c>
      <c r="F69">
        <v>707601</v>
      </c>
      <c r="G69">
        <v>5.7000000000000002E-2</v>
      </c>
      <c r="H69">
        <v>2E-3</v>
      </c>
      <c r="I69">
        <v>5.8999999999999997E-2</v>
      </c>
      <c r="J69">
        <v>863371</v>
      </c>
      <c r="K69">
        <v>50025</v>
      </c>
      <c r="L69">
        <v>913396</v>
      </c>
      <c r="M69">
        <v>7.1999999999999995E-2</v>
      </c>
      <c r="N69">
        <v>4.0000000000000001E-3</v>
      </c>
      <c r="O69">
        <v>7.5999999999999998E-2</v>
      </c>
      <c r="P69">
        <v>637331</v>
      </c>
      <c r="Q69">
        <v>20025</v>
      </c>
      <c r="R69">
        <v>657356</v>
      </c>
      <c r="S69">
        <v>5.2999999999999999E-2</v>
      </c>
      <c r="T69">
        <v>2E-3</v>
      </c>
      <c r="U69">
        <v>5.5E-2</v>
      </c>
      <c r="V69">
        <v>11254041</v>
      </c>
      <c r="W69">
        <v>0.94099999999999995</v>
      </c>
      <c r="X69">
        <v>-70198</v>
      </c>
      <c r="Y69">
        <v>-11570</v>
      </c>
      <c r="Z69">
        <v>-81768</v>
      </c>
      <c r="AA69">
        <v>38452</v>
      </c>
      <c r="AB69">
        <v>0</v>
      </c>
      <c r="AC69">
        <v>38452</v>
      </c>
      <c r="AD69">
        <v>6</v>
      </c>
      <c r="AE69">
        <v>0</v>
      </c>
      <c r="AF69">
        <v>6</v>
      </c>
      <c r="AG69">
        <v>20975</v>
      </c>
      <c r="AH69">
        <v>0</v>
      </c>
      <c r="AI69">
        <v>20975</v>
      </c>
      <c r="AJ69">
        <v>1</v>
      </c>
      <c r="AK69">
        <v>49155</v>
      </c>
      <c r="AL69">
        <v>2</v>
      </c>
      <c r="AM69">
        <v>44133</v>
      </c>
      <c r="AN69">
        <v>5.43</v>
      </c>
      <c r="AO69">
        <v>5.51</v>
      </c>
      <c r="AP69">
        <v>5.44</v>
      </c>
      <c r="AQ69">
        <v>5.28</v>
      </c>
      <c r="AR69">
        <v>4.5</v>
      </c>
      <c r="AS69">
        <v>5.21</v>
      </c>
    </row>
    <row r="70" spans="1:45" x14ac:dyDescent="0.25">
      <c r="A70" t="s">
        <v>19843</v>
      </c>
      <c r="B70">
        <v>453</v>
      </c>
      <c r="C70">
        <v>11912487</v>
      </c>
      <c r="D70">
        <v>568223</v>
      </c>
      <c r="E70">
        <v>8455</v>
      </c>
      <c r="F70">
        <v>576678</v>
      </c>
      <c r="G70">
        <v>4.8000000000000001E-2</v>
      </c>
      <c r="H70">
        <v>1E-3</v>
      </c>
      <c r="I70">
        <v>4.8000000000000001E-2</v>
      </c>
      <c r="J70">
        <v>769119</v>
      </c>
      <c r="K70">
        <v>50025</v>
      </c>
      <c r="L70">
        <v>819144</v>
      </c>
      <c r="M70">
        <v>6.4000000000000001E-2</v>
      </c>
      <c r="N70">
        <v>4.0000000000000001E-3</v>
      </c>
      <c r="O70">
        <v>6.8000000000000005E-2</v>
      </c>
      <c r="P70">
        <v>561051</v>
      </c>
      <c r="Q70">
        <v>8455</v>
      </c>
      <c r="R70">
        <v>569506</v>
      </c>
      <c r="S70">
        <v>4.7E-2</v>
      </c>
      <c r="T70">
        <v>1E-3</v>
      </c>
      <c r="U70">
        <v>4.8000000000000001E-2</v>
      </c>
      <c r="V70">
        <v>11335809</v>
      </c>
      <c r="W70">
        <v>0.95199999999999996</v>
      </c>
      <c r="X70">
        <v>5129</v>
      </c>
      <c r="Y70">
        <v>0</v>
      </c>
      <c r="Z70">
        <v>5129</v>
      </c>
      <c r="AA70">
        <v>84354</v>
      </c>
      <c r="AB70">
        <v>0</v>
      </c>
      <c r="AC70">
        <v>84354</v>
      </c>
      <c r="AD70">
        <v>5</v>
      </c>
      <c r="AE70">
        <v>1</v>
      </c>
      <c r="AF70">
        <v>6</v>
      </c>
      <c r="AG70">
        <v>60677</v>
      </c>
      <c r="AH70">
        <v>15600</v>
      </c>
      <c r="AI70">
        <v>76277</v>
      </c>
      <c r="AJ70">
        <v>7</v>
      </c>
      <c r="AK70">
        <v>102108</v>
      </c>
      <c r="AL70">
        <v>2</v>
      </c>
      <c r="AM70">
        <v>76655</v>
      </c>
      <c r="AN70">
        <v>5.62</v>
      </c>
      <c r="AO70">
        <v>5.51</v>
      </c>
      <c r="AP70">
        <v>5.61</v>
      </c>
      <c r="AQ70">
        <v>5.5</v>
      </c>
      <c r="AR70">
        <v>4.5</v>
      </c>
      <c r="AS70">
        <v>5.41</v>
      </c>
    </row>
    <row r="71" spans="1:45" x14ac:dyDescent="0.25">
      <c r="A71" t="s">
        <v>19844</v>
      </c>
      <c r="B71">
        <v>446</v>
      </c>
      <c r="C71">
        <v>11810379</v>
      </c>
      <c r="D71">
        <v>471244</v>
      </c>
      <c r="E71">
        <v>8455</v>
      </c>
      <c r="F71">
        <v>479699</v>
      </c>
      <c r="G71">
        <v>0.04</v>
      </c>
      <c r="H71">
        <v>1E-3</v>
      </c>
      <c r="I71">
        <v>4.1000000000000002E-2</v>
      </c>
      <c r="J71">
        <v>761338</v>
      </c>
      <c r="K71">
        <v>64455</v>
      </c>
      <c r="L71">
        <v>825793</v>
      </c>
      <c r="M71">
        <v>6.4000000000000001E-2</v>
      </c>
      <c r="N71">
        <v>5.0000000000000001E-3</v>
      </c>
      <c r="O71">
        <v>6.9000000000000006E-2</v>
      </c>
      <c r="P71">
        <v>460544</v>
      </c>
      <c r="Q71">
        <v>8455</v>
      </c>
      <c r="R71">
        <v>468999</v>
      </c>
      <c r="S71">
        <v>3.9E-2</v>
      </c>
      <c r="T71">
        <v>1E-3</v>
      </c>
      <c r="U71">
        <v>0.04</v>
      </c>
      <c r="V71">
        <v>11330680</v>
      </c>
      <c r="W71">
        <v>0.95899999999999996</v>
      </c>
      <c r="X71">
        <v>-53763</v>
      </c>
      <c r="Y71">
        <v>-7413</v>
      </c>
      <c r="Z71">
        <v>-61176</v>
      </c>
      <c r="AA71">
        <v>67799</v>
      </c>
      <c r="AB71">
        <v>1042</v>
      </c>
      <c r="AC71">
        <v>68841</v>
      </c>
      <c r="AD71">
        <v>10</v>
      </c>
      <c r="AE71">
        <v>1</v>
      </c>
      <c r="AF71">
        <v>11</v>
      </c>
      <c r="AG71">
        <v>42184</v>
      </c>
      <c r="AH71">
        <v>1042</v>
      </c>
      <c r="AI71">
        <v>43226</v>
      </c>
      <c r="AJ71">
        <v>1</v>
      </c>
      <c r="AK71">
        <v>18000</v>
      </c>
      <c r="AL71">
        <v>8</v>
      </c>
      <c r="AM71">
        <v>151263</v>
      </c>
      <c r="AN71">
        <v>5.7</v>
      </c>
      <c r="AO71">
        <v>5.61</v>
      </c>
      <c r="AP71">
        <v>5.69</v>
      </c>
      <c r="AQ71">
        <v>5.6</v>
      </c>
      <c r="AR71">
        <v>4.45</v>
      </c>
      <c r="AS71">
        <v>5.51</v>
      </c>
    </row>
    <row r="72" spans="1:45" x14ac:dyDescent="0.25">
      <c r="A72" t="s">
        <v>19845</v>
      </c>
      <c r="B72">
        <v>446</v>
      </c>
      <c r="C72">
        <v>12181379</v>
      </c>
      <c r="D72">
        <v>788481</v>
      </c>
      <c r="E72">
        <v>1042</v>
      </c>
      <c r="F72">
        <v>789523</v>
      </c>
      <c r="G72">
        <v>6.5000000000000002E-2</v>
      </c>
      <c r="H72">
        <v>0</v>
      </c>
      <c r="I72">
        <v>6.5000000000000002E-2</v>
      </c>
      <c r="J72">
        <v>593994</v>
      </c>
      <c r="K72">
        <v>52194</v>
      </c>
      <c r="L72">
        <v>646188</v>
      </c>
      <c r="M72">
        <v>4.8000000000000001E-2</v>
      </c>
      <c r="N72">
        <v>4.0000000000000001E-3</v>
      </c>
      <c r="O72">
        <v>5.1999999999999998E-2</v>
      </c>
      <c r="P72">
        <v>362078</v>
      </c>
      <c r="Q72">
        <v>1042</v>
      </c>
      <c r="R72">
        <v>363120</v>
      </c>
      <c r="S72">
        <v>0.03</v>
      </c>
      <c r="T72">
        <v>0</v>
      </c>
      <c r="U72">
        <v>0.03</v>
      </c>
      <c r="V72">
        <v>11391856</v>
      </c>
      <c r="W72">
        <v>0.93500000000000005</v>
      </c>
      <c r="X72">
        <v>-287104</v>
      </c>
      <c r="Y72">
        <v>9019</v>
      </c>
      <c r="Z72">
        <v>-278085</v>
      </c>
      <c r="AA72">
        <v>149564</v>
      </c>
      <c r="AB72">
        <v>10061</v>
      </c>
      <c r="AC72">
        <v>159625</v>
      </c>
      <c r="AD72">
        <v>8</v>
      </c>
      <c r="AE72">
        <v>0</v>
      </c>
      <c r="AF72">
        <v>8</v>
      </c>
      <c r="AG72">
        <v>171362</v>
      </c>
      <c r="AH72">
        <v>0</v>
      </c>
      <c r="AI72">
        <v>171362</v>
      </c>
      <c r="AJ72">
        <v>0</v>
      </c>
      <c r="AK72">
        <v>0</v>
      </c>
      <c r="AL72">
        <v>9</v>
      </c>
      <c r="AM72">
        <v>169263</v>
      </c>
      <c r="AN72">
        <v>5.72</v>
      </c>
      <c r="AO72">
        <v>6.47</v>
      </c>
      <c r="AP72">
        <v>5.78</v>
      </c>
      <c r="AQ72">
        <v>5.63</v>
      </c>
      <c r="AR72">
        <v>4.97</v>
      </c>
      <c r="AS72">
        <v>5.6</v>
      </c>
    </row>
    <row r="73" spans="1:45" x14ac:dyDescent="0.25">
      <c r="A73" t="s">
        <v>19846</v>
      </c>
      <c r="B73">
        <v>446</v>
      </c>
      <c r="C73">
        <v>12181379</v>
      </c>
      <c r="D73">
        <v>501377</v>
      </c>
      <c r="E73">
        <v>10061</v>
      </c>
      <c r="F73">
        <v>511438</v>
      </c>
      <c r="G73">
        <v>4.1000000000000002E-2</v>
      </c>
      <c r="H73">
        <v>1E-3</v>
      </c>
      <c r="I73">
        <v>4.2000000000000003E-2</v>
      </c>
      <c r="J73">
        <v>568384</v>
      </c>
      <c r="K73">
        <v>61213</v>
      </c>
      <c r="L73">
        <v>629597</v>
      </c>
      <c r="M73">
        <v>4.5999999999999999E-2</v>
      </c>
      <c r="N73">
        <v>5.0000000000000001E-3</v>
      </c>
      <c r="O73">
        <v>5.0999999999999997E-2</v>
      </c>
      <c r="P73">
        <v>482924</v>
      </c>
      <c r="Q73">
        <v>10061</v>
      </c>
      <c r="R73">
        <v>492985</v>
      </c>
      <c r="S73">
        <v>0.04</v>
      </c>
      <c r="T73">
        <v>1E-3</v>
      </c>
      <c r="U73">
        <v>0.04</v>
      </c>
      <c r="V73">
        <v>11669941</v>
      </c>
      <c r="W73">
        <v>0.95799999999999996</v>
      </c>
      <c r="X73">
        <v>80315</v>
      </c>
      <c r="Y73">
        <v>0</v>
      </c>
      <c r="Z73">
        <v>80315</v>
      </c>
      <c r="AA73">
        <v>135433</v>
      </c>
      <c r="AB73">
        <v>0</v>
      </c>
      <c r="AC73">
        <v>135433</v>
      </c>
      <c r="AD73">
        <v>16</v>
      </c>
      <c r="AE73">
        <v>0</v>
      </c>
      <c r="AF73">
        <v>16</v>
      </c>
      <c r="AG73">
        <v>71901</v>
      </c>
      <c r="AH73">
        <v>0</v>
      </c>
      <c r="AI73">
        <v>71901</v>
      </c>
      <c r="AJ73">
        <v>0</v>
      </c>
      <c r="AK73">
        <v>0</v>
      </c>
      <c r="AL73">
        <v>2</v>
      </c>
      <c r="AM73">
        <v>67155</v>
      </c>
      <c r="AN73">
        <v>5.49</v>
      </c>
      <c r="AO73">
        <v>6.42</v>
      </c>
      <c r="AP73">
        <v>5.56</v>
      </c>
      <c r="AQ73">
        <v>5.35</v>
      </c>
      <c r="AR73">
        <v>4.9400000000000004</v>
      </c>
      <c r="AS73">
        <v>5.33</v>
      </c>
    </row>
    <row r="74" spans="1:45" x14ac:dyDescent="0.25">
      <c r="A74" t="s">
        <v>19847</v>
      </c>
      <c r="B74">
        <v>447</v>
      </c>
      <c r="C74">
        <v>12184979</v>
      </c>
      <c r="D74">
        <v>585292</v>
      </c>
      <c r="E74">
        <v>10061</v>
      </c>
      <c r="F74">
        <v>595353</v>
      </c>
      <c r="G74">
        <v>4.8000000000000001E-2</v>
      </c>
      <c r="H74">
        <v>1E-3</v>
      </c>
      <c r="I74">
        <v>4.9000000000000002E-2</v>
      </c>
      <c r="J74">
        <v>640273</v>
      </c>
      <c r="K74">
        <v>61213</v>
      </c>
      <c r="L74">
        <v>701486</v>
      </c>
      <c r="M74">
        <v>5.1999999999999998E-2</v>
      </c>
      <c r="N74">
        <v>5.0000000000000001E-3</v>
      </c>
      <c r="O74">
        <v>5.7000000000000002E-2</v>
      </c>
      <c r="P74">
        <v>527013</v>
      </c>
      <c r="Q74">
        <v>10061</v>
      </c>
      <c r="R74">
        <v>537074</v>
      </c>
      <c r="S74">
        <v>4.2999999999999997E-2</v>
      </c>
      <c r="T74">
        <v>1E-3</v>
      </c>
      <c r="U74">
        <v>4.3999999999999997E-2</v>
      </c>
      <c r="V74">
        <v>11589626</v>
      </c>
      <c r="W74">
        <v>0.95099999999999996</v>
      </c>
      <c r="X74">
        <v>68500</v>
      </c>
      <c r="Y74">
        <v>-8544</v>
      </c>
      <c r="Z74">
        <v>59956</v>
      </c>
      <c r="AA74">
        <v>165003</v>
      </c>
      <c r="AB74">
        <v>0</v>
      </c>
      <c r="AC74">
        <v>165003</v>
      </c>
      <c r="AD74">
        <v>15</v>
      </c>
      <c r="AE74">
        <v>0</v>
      </c>
      <c r="AF74">
        <v>15</v>
      </c>
      <c r="AG74">
        <v>80396</v>
      </c>
      <c r="AH74">
        <v>0</v>
      </c>
      <c r="AI74">
        <v>80396</v>
      </c>
      <c r="AJ74">
        <v>0</v>
      </c>
      <c r="AK74">
        <v>0</v>
      </c>
      <c r="AL74">
        <v>1</v>
      </c>
      <c r="AM74">
        <v>18000</v>
      </c>
      <c r="AN74">
        <v>5.58</v>
      </c>
      <c r="AO74">
        <v>6.42</v>
      </c>
      <c r="AP74">
        <v>5.64</v>
      </c>
      <c r="AQ74">
        <v>5.41</v>
      </c>
      <c r="AR74">
        <v>4.9400000000000004</v>
      </c>
      <c r="AS74">
        <v>5.39</v>
      </c>
    </row>
    <row r="75" spans="1:45" x14ac:dyDescent="0.25">
      <c r="A75" t="s">
        <v>19848</v>
      </c>
      <c r="B75">
        <v>447</v>
      </c>
      <c r="C75">
        <v>12184979</v>
      </c>
      <c r="D75">
        <v>653792</v>
      </c>
      <c r="E75">
        <v>1517</v>
      </c>
      <c r="F75">
        <v>655309</v>
      </c>
      <c r="G75">
        <v>5.3999999999999999E-2</v>
      </c>
      <c r="H75">
        <v>0</v>
      </c>
      <c r="I75">
        <v>5.3999999999999999E-2</v>
      </c>
      <c r="J75">
        <v>603748</v>
      </c>
      <c r="K75">
        <v>1517</v>
      </c>
      <c r="L75">
        <v>605265</v>
      </c>
      <c r="M75">
        <v>0.05</v>
      </c>
      <c r="N75">
        <v>0</v>
      </c>
      <c r="O75">
        <v>0.05</v>
      </c>
      <c r="P75">
        <v>509405</v>
      </c>
      <c r="Q75">
        <v>1517</v>
      </c>
      <c r="R75">
        <v>510922</v>
      </c>
      <c r="S75">
        <v>4.2000000000000003E-2</v>
      </c>
      <c r="T75">
        <v>0</v>
      </c>
      <c r="U75">
        <v>4.2000000000000003E-2</v>
      </c>
      <c r="V75">
        <v>11529670</v>
      </c>
      <c r="W75">
        <v>0.94599999999999995</v>
      </c>
      <c r="X75">
        <v>-120240</v>
      </c>
      <c r="Y75">
        <v>0</v>
      </c>
      <c r="Z75">
        <v>-120240</v>
      </c>
      <c r="AA75">
        <v>94813</v>
      </c>
      <c r="AB75">
        <v>1517</v>
      </c>
      <c r="AC75">
        <v>96330</v>
      </c>
      <c r="AD75">
        <v>10</v>
      </c>
      <c r="AE75">
        <v>0</v>
      </c>
      <c r="AF75">
        <v>10</v>
      </c>
      <c r="AG75">
        <v>107499</v>
      </c>
      <c r="AH75">
        <v>0</v>
      </c>
      <c r="AI75">
        <v>107499</v>
      </c>
      <c r="AJ75">
        <v>2</v>
      </c>
      <c r="AK75">
        <v>27925</v>
      </c>
      <c r="AL75">
        <v>0</v>
      </c>
      <c r="AM75">
        <v>0</v>
      </c>
      <c r="AN75">
        <v>5.22</v>
      </c>
      <c r="AO75">
        <v>4.25</v>
      </c>
      <c r="AP75">
        <v>5.22</v>
      </c>
      <c r="AQ75">
        <v>5.03</v>
      </c>
      <c r="AR75">
        <v>4.25</v>
      </c>
      <c r="AS75">
        <v>5.03</v>
      </c>
    </row>
    <row r="76" spans="1:45" x14ac:dyDescent="0.25">
      <c r="A76" t="s">
        <v>19849</v>
      </c>
      <c r="B76">
        <v>445</v>
      </c>
      <c r="C76">
        <v>12157054</v>
      </c>
      <c r="D76">
        <v>505627</v>
      </c>
      <c r="E76">
        <v>1517</v>
      </c>
      <c r="F76">
        <v>507144</v>
      </c>
      <c r="G76">
        <v>4.2000000000000003E-2</v>
      </c>
      <c r="H76">
        <v>0</v>
      </c>
      <c r="I76">
        <v>4.2000000000000003E-2</v>
      </c>
      <c r="J76">
        <v>702876</v>
      </c>
      <c r="K76">
        <v>1517</v>
      </c>
      <c r="L76">
        <v>704393</v>
      </c>
      <c r="M76">
        <v>5.8000000000000003E-2</v>
      </c>
      <c r="N76">
        <v>0</v>
      </c>
      <c r="O76">
        <v>5.8000000000000003E-2</v>
      </c>
      <c r="P76">
        <v>447257</v>
      </c>
      <c r="Q76">
        <v>1517</v>
      </c>
      <c r="R76">
        <v>448774</v>
      </c>
      <c r="S76">
        <v>3.6999999999999998E-2</v>
      </c>
      <c r="T76">
        <v>0</v>
      </c>
      <c r="U76">
        <v>3.6999999999999998E-2</v>
      </c>
      <c r="V76">
        <v>11649910</v>
      </c>
      <c r="W76">
        <v>0.95799999999999996</v>
      </c>
      <c r="X76">
        <v>40604</v>
      </c>
      <c r="Y76">
        <v>-1517</v>
      </c>
      <c r="Z76">
        <v>39087</v>
      </c>
      <c r="AA76">
        <v>167516</v>
      </c>
      <c r="AB76">
        <v>0</v>
      </c>
      <c r="AC76">
        <v>167516</v>
      </c>
      <c r="AD76">
        <v>19</v>
      </c>
      <c r="AE76">
        <v>0</v>
      </c>
      <c r="AF76">
        <v>19</v>
      </c>
      <c r="AG76">
        <v>108957</v>
      </c>
      <c r="AH76">
        <v>0</v>
      </c>
      <c r="AI76">
        <v>108957</v>
      </c>
      <c r="AJ76">
        <v>2</v>
      </c>
      <c r="AK76">
        <v>24120</v>
      </c>
      <c r="AL76">
        <v>2</v>
      </c>
      <c r="AM76">
        <v>27925</v>
      </c>
      <c r="AN76">
        <v>5.2</v>
      </c>
      <c r="AO76">
        <v>4.25</v>
      </c>
      <c r="AP76">
        <v>5.2</v>
      </c>
      <c r="AQ76">
        <v>5.0599999999999996</v>
      </c>
      <c r="AR76">
        <v>4.25</v>
      </c>
      <c r="AS76">
        <v>5.0599999999999996</v>
      </c>
    </row>
    <row r="77" spans="1:45" x14ac:dyDescent="0.25">
      <c r="A77" t="s">
        <v>19850</v>
      </c>
      <c r="B77">
        <v>443</v>
      </c>
      <c r="C77">
        <v>12132934</v>
      </c>
      <c r="D77">
        <v>522111</v>
      </c>
      <c r="E77">
        <v>0</v>
      </c>
      <c r="F77">
        <v>522111</v>
      </c>
      <c r="G77">
        <v>4.2999999999999997E-2</v>
      </c>
      <c r="H77">
        <v>0</v>
      </c>
      <c r="I77">
        <v>4.2999999999999997E-2</v>
      </c>
      <c r="J77">
        <v>632280</v>
      </c>
      <c r="K77">
        <v>0</v>
      </c>
      <c r="L77">
        <v>632280</v>
      </c>
      <c r="M77">
        <v>5.1999999999999998E-2</v>
      </c>
      <c r="N77">
        <v>0</v>
      </c>
      <c r="O77">
        <v>5.1999999999999998E-2</v>
      </c>
      <c r="P77">
        <v>451386</v>
      </c>
      <c r="Q77">
        <v>0</v>
      </c>
      <c r="R77">
        <v>451386</v>
      </c>
      <c r="S77">
        <v>3.6999999999999998E-2</v>
      </c>
      <c r="T77">
        <v>0</v>
      </c>
      <c r="U77">
        <v>3.6999999999999998E-2</v>
      </c>
      <c r="V77">
        <v>11610823</v>
      </c>
      <c r="W77">
        <v>0.95699999999999996</v>
      </c>
      <c r="X77">
        <v>47281</v>
      </c>
      <c r="Y77">
        <v>0</v>
      </c>
      <c r="Z77">
        <v>47281</v>
      </c>
      <c r="AA77">
        <v>81991</v>
      </c>
      <c r="AB77">
        <v>0</v>
      </c>
      <c r="AC77">
        <v>81991</v>
      </c>
      <c r="AD77">
        <v>16</v>
      </c>
      <c r="AE77">
        <v>0</v>
      </c>
      <c r="AF77">
        <v>16</v>
      </c>
      <c r="AG77">
        <v>53251</v>
      </c>
      <c r="AH77">
        <v>0</v>
      </c>
      <c r="AI77">
        <v>53251</v>
      </c>
      <c r="AJ77">
        <v>2</v>
      </c>
      <c r="AK77">
        <v>13516</v>
      </c>
      <c r="AL77">
        <v>4</v>
      </c>
      <c r="AM77">
        <v>52045</v>
      </c>
      <c r="AN77">
        <v>5.44</v>
      </c>
      <c r="AO77" t="s">
        <v>1784</v>
      </c>
      <c r="AP77">
        <v>5.44</v>
      </c>
      <c r="AQ77">
        <v>5.23</v>
      </c>
      <c r="AR77" t="s">
        <v>1784</v>
      </c>
      <c r="AS77">
        <v>5.23</v>
      </c>
    </row>
    <row r="78" spans="1:45" x14ac:dyDescent="0.25">
      <c r="A78" t="s">
        <v>19851</v>
      </c>
      <c r="B78">
        <v>443</v>
      </c>
      <c r="C78">
        <v>12128523</v>
      </c>
      <c r="D78">
        <v>564981</v>
      </c>
      <c r="E78">
        <v>0</v>
      </c>
      <c r="F78">
        <v>564981</v>
      </c>
      <c r="G78">
        <v>4.7E-2</v>
      </c>
      <c r="H78">
        <v>0</v>
      </c>
      <c r="I78">
        <v>4.7E-2</v>
      </c>
      <c r="J78">
        <v>651565</v>
      </c>
      <c r="K78">
        <v>0</v>
      </c>
      <c r="L78">
        <v>651565</v>
      </c>
      <c r="M78">
        <v>5.3999999999999999E-2</v>
      </c>
      <c r="N78">
        <v>0</v>
      </c>
      <c r="O78">
        <v>5.3999999999999999E-2</v>
      </c>
      <c r="P78">
        <v>469676</v>
      </c>
      <c r="Q78">
        <v>0</v>
      </c>
      <c r="R78">
        <v>469676</v>
      </c>
      <c r="S78">
        <v>3.9E-2</v>
      </c>
      <c r="T78">
        <v>0</v>
      </c>
      <c r="U78">
        <v>3.9E-2</v>
      </c>
      <c r="V78">
        <v>11563542</v>
      </c>
      <c r="W78">
        <v>0.95299999999999996</v>
      </c>
      <c r="X78">
        <v>-48636</v>
      </c>
      <c r="Y78">
        <v>0</v>
      </c>
      <c r="Z78">
        <v>-48636</v>
      </c>
      <c r="AA78">
        <v>49956</v>
      </c>
      <c r="AB78">
        <v>0</v>
      </c>
      <c r="AC78">
        <v>49956</v>
      </c>
      <c r="AD78">
        <v>11</v>
      </c>
      <c r="AE78">
        <v>0</v>
      </c>
      <c r="AF78">
        <v>11</v>
      </c>
      <c r="AG78">
        <v>118430</v>
      </c>
      <c r="AH78">
        <v>0</v>
      </c>
      <c r="AI78">
        <v>118430</v>
      </c>
      <c r="AJ78">
        <v>0</v>
      </c>
      <c r="AK78">
        <v>0</v>
      </c>
      <c r="AL78">
        <v>4</v>
      </c>
      <c r="AM78">
        <v>37636</v>
      </c>
      <c r="AN78">
        <v>5.28</v>
      </c>
      <c r="AO78" t="s">
        <v>1784</v>
      </c>
      <c r="AP78">
        <v>5.28</v>
      </c>
      <c r="AQ78">
        <v>5.09</v>
      </c>
      <c r="AR78" t="s">
        <v>1784</v>
      </c>
      <c r="AS78">
        <v>5.09</v>
      </c>
    </row>
    <row r="79" spans="1:45" x14ac:dyDescent="0.25">
      <c r="A79" t="s">
        <v>19852</v>
      </c>
      <c r="B79">
        <v>443</v>
      </c>
      <c r="C79">
        <v>12128523</v>
      </c>
      <c r="D79">
        <v>516345</v>
      </c>
      <c r="E79">
        <v>0</v>
      </c>
      <c r="F79">
        <v>516345</v>
      </c>
      <c r="G79">
        <v>4.2999999999999997E-2</v>
      </c>
      <c r="H79">
        <v>0</v>
      </c>
      <c r="I79">
        <v>4.2999999999999997E-2</v>
      </c>
      <c r="J79">
        <v>638603</v>
      </c>
      <c r="K79">
        <v>0</v>
      </c>
      <c r="L79">
        <v>638603</v>
      </c>
      <c r="M79">
        <v>5.2999999999999999E-2</v>
      </c>
      <c r="N79">
        <v>0</v>
      </c>
      <c r="O79">
        <v>5.2999999999999999E-2</v>
      </c>
      <c r="P79">
        <v>499104</v>
      </c>
      <c r="Q79">
        <v>0</v>
      </c>
      <c r="R79">
        <v>499104</v>
      </c>
      <c r="S79">
        <v>4.1000000000000002E-2</v>
      </c>
      <c r="T79">
        <v>0</v>
      </c>
      <c r="U79">
        <v>4.1000000000000002E-2</v>
      </c>
      <c r="V79">
        <v>11612178</v>
      </c>
      <c r="W79">
        <v>0.95699999999999996</v>
      </c>
      <c r="X79">
        <v>139861</v>
      </c>
      <c r="Y79">
        <v>0</v>
      </c>
      <c r="Z79">
        <v>139861</v>
      </c>
      <c r="AA79">
        <v>151231</v>
      </c>
      <c r="AB79">
        <v>0</v>
      </c>
      <c r="AC79">
        <v>151231</v>
      </c>
      <c r="AD79">
        <v>22</v>
      </c>
      <c r="AE79">
        <v>0</v>
      </c>
      <c r="AF79">
        <v>22</v>
      </c>
      <c r="AG79">
        <v>79424</v>
      </c>
      <c r="AH79">
        <v>0</v>
      </c>
      <c r="AI79">
        <v>79424</v>
      </c>
      <c r="AJ79">
        <v>0</v>
      </c>
      <c r="AK79">
        <v>0</v>
      </c>
      <c r="AL79">
        <v>2</v>
      </c>
      <c r="AM79">
        <v>13516</v>
      </c>
      <c r="AN79">
        <v>5.14</v>
      </c>
      <c r="AO79" t="s">
        <v>1784</v>
      </c>
      <c r="AP79">
        <v>5.14</v>
      </c>
      <c r="AQ79">
        <v>4.88</v>
      </c>
      <c r="AR79" t="s">
        <v>1784</v>
      </c>
      <c r="AS79">
        <v>4.88</v>
      </c>
    </row>
    <row r="80" spans="1:45" x14ac:dyDescent="0.25">
      <c r="A80" t="s">
        <v>19853</v>
      </c>
      <c r="B80">
        <v>444</v>
      </c>
      <c r="C80">
        <v>12137423</v>
      </c>
      <c r="D80">
        <v>665106</v>
      </c>
      <c r="E80">
        <v>0</v>
      </c>
      <c r="F80">
        <v>665106</v>
      </c>
      <c r="G80">
        <v>5.5E-2</v>
      </c>
      <c r="H80">
        <v>0</v>
      </c>
      <c r="I80">
        <v>5.5E-2</v>
      </c>
      <c r="J80">
        <v>664137</v>
      </c>
      <c r="K80">
        <v>0</v>
      </c>
      <c r="L80">
        <v>664137</v>
      </c>
      <c r="M80">
        <v>5.5E-2</v>
      </c>
      <c r="N80">
        <v>0</v>
      </c>
      <c r="O80">
        <v>5.5E-2</v>
      </c>
      <c r="P80">
        <v>565922</v>
      </c>
      <c r="Q80">
        <v>0</v>
      </c>
      <c r="R80">
        <v>565922</v>
      </c>
      <c r="S80">
        <v>4.7E-2</v>
      </c>
      <c r="T80">
        <v>0</v>
      </c>
      <c r="U80">
        <v>4.7E-2</v>
      </c>
      <c r="V80">
        <v>11472317</v>
      </c>
      <c r="W80">
        <v>0.94499999999999995</v>
      </c>
      <c r="X80">
        <v>54054</v>
      </c>
      <c r="Y80">
        <v>0</v>
      </c>
      <c r="Z80">
        <v>54054</v>
      </c>
      <c r="AA80">
        <v>187920</v>
      </c>
      <c r="AB80">
        <v>0</v>
      </c>
      <c r="AC80">
        <v>187920</v>
      </c>
      <c r="AD80">
        <v>23</v>
      </c>
      <c r="AE80">
        <v>0</v>
      </c>
      <c r="AF80">
        <v>23</v>
      </c>
      <c r="AG80">
        <v>114611</v>
      </c>
      <c r="AH80">
        <v>0</v>
      </c>
      <c r="AI80">
        <v>114611</v>
      </c>
      <c r="AJ80">
        <v>2</v>
      </c>
      <c r="AK80">
        <v>26311</v>
      </c>
      <c r="AL80">
        <v>0</v>
      </c>
      <c r="AM80">
        <v>0</v>
      </c>
      <c r="AN80">
        <v>5.24</v>
      </c>
      <c r="AO80" t="s">
        <v>1784</v>
      </c>
      <c r="AP80">
        <v>5.24</v>
      </c>
      <c r="AQ80">
        <v>4.91</v>
      </c>
      <c r="AR80" t="s">
        <v>1784</v>
      </c>
      <c r="AS80">
        <v>4.91</v>
      </c>
    </row>
    <row r="81" spans="1:45" x14ac:dyDescent="0.25">
      <c r="A81" t="s">
        <v>19981</v>
      </c>
      <c r="B81">
        <v>442</v>
      </c>
      <c r="C81">
        <v>12111112</v>
      </c>
      <c r="D81">
        <v>692849</v>
      </c>
      <c r="E81">
        <v>0</v>
      </c>
      <c r="F81">
        <v>692849</v>
      </c>
      <c r="G81">
        <v>5.7000000000000002E-2</v>
      </c>
      <c r="H81">
        <v>0</v>
      </c>
      <c r="I81">
        <v>5.7000000000000002E-2</v>
      </c>
      <c r="J81">
        <v>785623</v>
      </c>
      <c r="K81">
        <v>0</v>
      </c>
      <c r="L81">
        <v>785623</v>
      </c>
      <c r="M81">
        <v>6.5000000000000002E-2</v>
      </c>
      <c r="N81">
        <v>0</v>
      </c>
      <c r="O81">
        <v>6.5000000000000002E-2</v>
      </c>
      <c r="P81">
        <v>668975</v>
      </c>
      <c r="Q81">
        <v>0</v>
      </c>
      <c r="R81">
        <v>668975</v>
      </c>
      <c r="S81">
        <v>5.5E-2</v>
      </c>
      <c r="T81">
        <v>0</v>
      </c>
      <c r="U81">
        <v>5.5E-2</v>
      </c>
      <c r="V81">
        <v>11418263</v>
      </c>
      <c r="W81">
        <v>0.94299999999999995</v>
      </c>
      <c r="X81">
        <v>148084</v>
      </c>
      <c r="Y81">
        <v>0</v>
      </c>
      <c r="Z81">
        <v>148084</v>
      </c>
      <c r="AA81">
        <v>228106</v>
      </c>
      <c r="AB81">
        <v>0</v>
      </c>
      <c r="AC81">
        <v>228106</v>
      </c>
      <c r="AD81">
        <v>17</v>
      </c>
      <c r="AE81">
        <v>0</v>
      </c>
      <c r="AF81">
        <v>17</v>
      </c>
      <c r="AG81">
        <v>88324</v>
      </c>
      <c r="AH81">
        <v>0</v>
      </c>
      <c r="AI81">
        <v>88324</v>
      </c>
      <c r="AJ81">
        <v>0</v>
      </c>
      <c r="AK81">
        <v>0</v>
      </c>
      <c r="AL81">
        <v>2</v>
      </c>
      <c r="AM81">
        <v>26311</v>
      </c>
      <c r="AN81">
        <v>5.35</v>
      </c>
      <c r="AO81" t="s">
        <v>1784</v>
      </c>
      <c r="AP81">
        <v>5.35</v>
      </c>
      <c r="AQ81">
        <v>4.92</v>
      </c>
      <c r="AR81" t="s">
        <v>1784</v>
      </c>
      <c r="AS81">
        <v>4.92</v>
      </c>
    </row>
    <row r="82" spans="1:45" x14ac:dyDescent="0.25">
      <c r="A82" t="s">
        <v>19982</v>
      </c>
      <c r="B82">
        <v>442</v>
      </c>
      <c r="C82">
        <v>12111112</v>
      </c>
      <c r="D82">
        <v>840933</v>
      </c>
      <c r="E82">
        <v>0</v>
      </c>
      <c r="F82">
        <v>840933</v>
      </c>
      <c r="G82">
        <v>6.9000000000000006E-2</v>
      </c>
      <c r="H82">
        <v>0</v>
      </c>
      <c r="I82">
        <v>6.9000000000000006E-2</v>
      </c>
      <c r="J82">
        <v>824146</v>
      </c>
      <c r="K82">
        <v>0</v>
      </c>
      <c r="L82">
        <v>824146</v>
      </c>
      <c r="M82">
        <v>6.8000000000000005E-2</v>
      </c>
      <c r="N82">
        <v>0</v>
      </c>
      <c r="O82">
        <v>6.8000000000000005E-2</v>
      </c>
      <c r="P82">
        <v>704063</v>
      </c>
      <c r="Q82">
        <v>0</v>
      </c>
      <c r="R82">
        <v>704063</v>
      </c>
      <c r="S82">
        <v>5.8000000000000003E-2</v>
      </c>
      <c r="T82">
        <v>0</v>
      </c>
      <c r="U82">
        <v>5.8000000000000003E-2</v>
      </c>
      <c r="V82">
        <v>11270179</v>
      </c>
      <c r="W82">
        <v>0.93100000000000005</v>
      </c>
      <c r="X82">
        <v>67356</v>
      </c>
      <c r="Y82">
        <v>0</v>
      </c>
      <c r="Z82">
        <v>67356</v>
      </c>
      <c r="AA82">
        <v>202902</v>
      </c>
      <c r="AB82">
        <v>0</v>
      </c>
      <c r="AC82">
        <v>202902</v>
      </c>
      <c r="AD82">
        <v>12</v>
      </c>
      <c r="AE82">
        <v>0</v>
      </c>
      <c r="AF82">
        <v>12</v>
      </c>
      <c r="AG82">
        <v>57886</v>
      </c>
      <c r="AH82">
        <v>0</v>
      </c>
      <c r="AI82">
        <v>57886</v>
      </c>
      <c r="AJ82">
        <v>0</v>
      </c>
      <c r="AK82">
        <v>0</v>
      </c>
      <c r="AL82">
        <v>2</v>
      </c>
      <c r="AM82">
        <v>26311</v>
      </c>
      <c r="AN82">
        <v>5.36</v>
      </c>
      <c r="AO82" t="s">
        <v>1784</v>
      </c>
      <c r="AP82">
        <v>5.36</v>
      </c>
      <c r="AQ82">
        <v>4.87</v>
      </c>
      <c r="AR82" t="s">
        <v>1784</v>
      </c>
      <c r="AS82">
        <v>4.87</v>
      </c>
    </row>
    <row r="83" spans="1:45" x14ac:dyDescent="0.25">
      <c r="A83" t="s">
        <v>19983</v>
      </c>
      <c r="B83">
        <v>442</v>
      </c>
      <c r="C83">
        <v>12111112</v>
      </c>
      <c r="D83">
        <v>908289</v>
      </c>
      <c r="E83">
        <v>0</v>
      </c>
      <c r="F83">
        <v>908289</v>
      </c>
      <c r="G83">
        <v>7.4999999999999997E-2</v>
      </c>
      <c r="H83">
        <v>0</v>
      </c>
      <c r="I83">
        <v>7.4999999999999997E-2</v>
      </c>
      <c r="J83">
        <v>849596</v>
      </c>
      <c r="K83">
        <v>0</v>
      </c>
      <c r="L83">
        <v>849596</v>
      </c>
      <c r="M83">
        <v>7.0000000000000007E-2</v>
      </c>
      <c r="N83">
        <v>0</v>
      </c>
      <c r="O83">
        <v>7.0000000000000007E-2</v>
      </c>
      <c r="P83">
        <v>773775</v>
      </c>
      <c r="Q83">
        <v>0</v>
      </c>
      <c r="R83">
        <v>773775</v>
      </c>
      <c r="S83">
        <v>6.4000000000000001E-2</v>
      </c>
      <c r="T83">
        <v>0</v>
      </c>
      <c r="U83">
        <v>6.4000000000000001E-2</v>
      </c>
      <c r="V83">
        <v>11202823</v>
      </c>
      <c r="W83">
        <v>0.92500000000000004</v>
      </c>
      <c r="X83">
        <v>9268</v>
      </c>
      <c r="Y83">
        <v>0</v>
      </c>
      <c r="Z83">
        <v>9268</v>
      </c>
      <c r="AA83">
        <v>80239</v>
      </c>
      <c r="AB83">
        <v>0</v>
      </c>
      <c r="AC83">
        <v>80239</v>
      </c>
      <c r="AD83">
        <v>12</v>
      </c>
      <c r="AE83">
        <v>0</v>
      </c>
      <c r="AF83">
        <v>12</v>
      </c>
      <c r="AG83">
        <v>152738</v>
      </c>
      <c r="AH83">
        <v>0</v>
      </c>
      <c r="AI83">
        <v>152738</v>
      </c>
      <c r="AJ83">
        <v>2</v>
      </c>
      <c r="AK83">
        <v>29084</v>
      </c>
      <c r="AL83">
        <v>0</v>
      </c>
      <c r="AM83">
        <v>0</v>
      </c>
      <c r="AN83">
        <v>5.83</v>
      </c>
      <c r="AO83" t="s">
        <v>1784</v>
      </c>
      <c r="AP83">
        <v>5.83</v>
      </c>
      <c r="AQ83">
        <v>5.4</v>
      </c>
      <c r="AR83" t="s">
        <v>1784</v>
      </c>
      <c r="AS83">
        <v>5.4</v>
      </c>
    </row>
    <row r="84" spans="1:45" x14ac:dyDescent="0.25">
      <c r="A84" t="s">
        <v>19984</v>
      </c>
      <c r="B84">
        <v>440</v>
      </c>
      <c r="C84">
        <v>12082028</v>
      </c>
      <c r="D84">
        <v>888473</v>
      </c>
      <c r="E84">
        <v>0</v>
      </c>
      <c r="F84">
        <v>888473</v>
      </c>
      <c r="G84">
        <v>7.3999999999999996E-2</v>
      </c>
      <c r="H84">
        <v>0</v>
      </c>
      <c r="I84">
        <v>7.3999999999999996E-2</v>
      </c>
      <c r="J84" t="s">
        <v>1784</v>
      </c>
      <c r="K84" t="s">
        <v>1784</v>
      </c>
      <c r="L84" t="s">
        <v>1784</v>
      </c>
      <c r="M84" t="s">
        <v>1784</v>
      </c>
      <c r="N84" t="s">
        <v>1784</v>
      </c>
      <c r="O84" t="s">
        <v>1784</v>
      </c>
      <c r="P84">
        <v>717592</v>
      </c>
      <c r="Q84">
        <v>0</v>
      </c>
      <c r="R84">
        <v>717592</v>
      </c>
      <c r="S84">
        <v>5.8999999999999997E-2</v>
      </c>
      <c r="T84">
        <v>0</v>
      </c>
      <c r="U84">
        <v>5.8999999999999997E-2</v>
      </c>
      <c r="V84">
        <v>11193555</v>
      </c>
      <c r="W84">
        <v>0.92600000000000005</v>
      </c>
      <c r="X84">
        <v>-26460</v>
      </c>
      <c r="Y84">
        <v>0</v>
      </c>
      <c r="Z84">
        <v>-26460</v>
      </c>
      <c r="AA84">
        <v>108697</v>
      </c>
      <c r="AB84">
        <v>0</v>
      </c>
      <c r="AC84">
        <v>108697</v>
      </c>
      <c r="AD84">
        <v>16</v>
      </c>
      <c r="AE84">
        <v>0</v>
      </c>
      <c r="AF84">
        <v>16</v>
      </c>
      <c r="AG84">
        <v>153952</v>
      </c>
      <c r="AH84">
        <v>0</v>
      </c>
      <c r="AI84">
        <v>153952</v>
      </c>
      <c r="AJ84">
        <v>7</v>
      </c>
      <c r="AK84">
        <v>77116</v>
      </c>
      <c r="AL84">
        <v>2</v>
      </c>
      <c r="AM84">
        <v>29084</v>
      </c>
      <c r="AN84">
        <v>5.82</v>
      </c>
      <c r="AO84" t="s">
        <v>1784</v>
      </c>
      <c r="AP84">
        <v>5.82</v>
      </c>
      <c r="AQ84">
        <v>5.35</v>
      </c>
      <c r="AR84" t="s">
        <v>1784</v>
      </c>
      <c r="AS84">
        <v>5.35</v>
      </c>
    </row>
    <row r="85" spans="1:45" x14ac:dyDescent="0.25">
      <c r="A85" t="s">
        <v>19985</v>
      </c>
      <c r="B85">
        <v>433</v>
      </c>
      <c r="C85">
        <v>12004912</v>
      </c>
      <c r="D85">
        <v>784897</v>
      </c>
      <c r="E85">
        <v>0</v>
      </c>
      <c r="F85">
        <v>784897</v>
      </c>
      <c r="G85">
        <v>6.5000000000000002E-2</v>
      </c>
      <c r="H85">
        <v>0</v>
      </c>
      <c r="I85">
        <v>6.5000000000000002E-2</v>
      </c>
      <c r="J85" t="s">
        <v>1784</v>
      </c>
      <c r="K85" t="s">
        <v>1784</v>
      </c>
      <c r="L85" t="s">
        <v>1784</v>
      </c>
      <c r="M85" t="s">
        <v>1784</v>
      </c>
      <c r="N85" t="s">
        <v>1784</v>
      </c>
      <c r="O85" t="s">
        <v>1784</v>
      </c>
      <c r="P85">
        <v>708175</v>
      </c>
      <c r="Q85">
        <v>0</v>
      </c>
      <c r="R85">
        <v>708175</v>
      </c>
      <c r="S85">
        <v>5.8999999999999997E-2</v>
      </c>
      <c r="T85">
        <v>0</v>
      </c>
      <c r="U85">
        <v>5.8999999999999997E-2</v>
      </c>
      <c r="V85">
        <v>11220015</v>
      </c>
      <c r="W85">
        <v>0.93500000000000005</v>
      </c>
      <c r="X85">
        <v>32571</v>
      </c>
      <c r="Y85">
        <v>2600</v>
      </c>
      <c r="Z85">
        <v>35171</v>
      </c>
      <c r="AA85">
        <v>126178</v>
      </c>
      <c r="AB85">
        <v>2600</v>
      </c>
      <c r="AC85">
        <v>128778</v>
      </c>
      <c r="AD85">
        <v>16</v>
      </c>
      <c r="AE85">
        <v>1</v>
      </c>
      <c r="AF85">
        <v>17</v>
      </c>
      <c r="AG85">
        <v>68822</v>
      </c>
      <c r="AH85">
        <v>2600</v>
      </c>
      <c r="AI85">
        <v>71422</v>
      </c>
      <c r="AJ85">
        <v>1</v>
      </c>
      <c r="AK85">
        <v>12860</v>
      </c>
      <c r="AL85">
        <v>9</v>
      </c>
      <c r="AM85">
        <v>106200</v>
      </c>
      <c r="AN85">
        <v>5.63</v>
      </c>
      <c r="AO85" t="s">
        <v>1784</v>
      </c>
      <c r="AP85">
        <v>5.63</v>
      </c>
      <c r="AQ85">
        <v>5.3</v>
      </c>
      <c r="AR85" t="s">
        <v>1784</v>
      </c>
      <c r="AS85">
        <v>5.3</v>
      </c>
    </row>
    <row r="86" spans="1:45" x14ac:dyDescent="0.25">
      <c r="A86" t="s">
        <v>19986</v>
      </c>
      <c r="B86">
        <v>432</v>
      </c>
      <c r="C86">
        <v>11992052</v>
      </c>
      <c r="D86">
        <v>804608</v>
      </c>
      <c r="E86">
        <v>2600</v>
      </c>
      <c r="F86">
        <v>807208</v>
      </c>
      <c r="G86">
        <v>6.7000000000000004E-2</v>
      </c>
      <c r="H86">
        <v>0</v>
      </c>
      <c r="I86">
        <v>6.7000000000000004E-2</v>
      </c>
      <c r="J86" t="s">
        <v>1784</v>
      </c>
      <c r="K86" t="s">
        <v>1784</v>
      </c>
      <c r="L86" t="s">
        <v>1784</v>
      </c>
      <c r="M86" t="s">
        <v>1784</v>
      </c>
      <c r="N86" t="s">
        <v>1784</v>
      </c>
      <c r="O86" t="s">
        <v>1784</v>
      </c>
      <c r="P86">
        <v>703465</v>
      </c>
      <c r="Q86">
        <v>2600</v>
      </c>
      <c r="R86">
        <v>706065</v>
      </c>
      <c r="S86">
        <v>5.8999999999999997E-2</v>
      </c>
      <c r="T86">
        <v>0</v>
      </c>
      <c r="U86">
        <v>5.8999999999999997E-2</v>
      </c>
      <c r="V86">
        <v>11184844</v>
      </c>
      <c r="W86">
        <v>0.93300000000000005</v>
      </c>
      <c r="X86">
        <v>108177</v>
      </c>
      <c r="Y86">
        <v>6997</v>
      </c>
      <c r="Z86">
        <v>115174</v>
      </c>
      <c r="AA86">
        <v>215850</v>
      </c>
      <c r="AB86">
        <v>9597</v>
      </c>
      <c r="AC86">
        <v>225447</v>
      </c>
      <c r="AD86">
        <v>28</v>
      </c>
      <c r="AE86">
        <v>0</v>
      </c>
      <c r="AF86">
        <v>28</v>
      </c>
      <c r="AG86">
        <v>104759</v>
      </c>
      <c r="AH86">
        <v>0</v>
      </c>
      <c r="AI86">
        <v>104759</v>
      </c>
      <c r="AJ86">
        <v>1</v>
      </c>
      <c r="AK86">
        <v>7519</v>
      </c>
      <c r="AL86">
        <v>9</v>
      </c>
      <c r="AM86">
        <v>111976</v>
      </c>
      <c r="AN86">
        <v>5.67</v>
      </c>
      <c r="AO86">
        <v>7.5</v>
      </c>
      <c r="AP86">
        <v>5.68</v>
      </c>
      <c r="AQ86">
        <v>5.4</v>
      </c>
      <c r="AR86" t="s">
        <v>1784</v>
      </c>
      <c r="AS86">
        <v>5.4</v>
      </c>
    </row>
    <row r="87" spans="1:45" x14ac:dyDescent="0.25">
      <c r="A87" t="s">
        <v>19987</v>
      </c>
      <c r="B87">
        <v>432</v>
      </c>
      <c r="C87">
        <v>12193993</v>
      </c>
      <c r="D87">
        <v>1114726</v>
      </c>
      <c r="E87">
        <v>9597</v>
      </c>
      <c r="F87">
        <v>1124323</v>
      </c>
      <c r="G87">
        <v>9.0999999999999998E-2</v>
      </c>
      <c r="H87">
        <v>1E-3</v>
      </c>
      <c r="I87">
        <v>9.1999999999999998E-2</v>
      </c>
      <c r="J87" t="s">
        <v>1784</v>
      </c>
      <c r="K87" t="s">
        <v>1784</v>
      </c>
      <c r="L87" t="s">
        <v>1784</v>
      </c>
      <c r="M87" t="s">
        <v>1784</v>
      </c>
      <c r="N87" t="s">
        <v>1784</v>
      </c>
      <c r="O87" t="s">
        <v>1784</v>
      </c>
      <c r="P87">
        <v>775535</v>
      </c>
      <c r="Q87">
        <v>9597</v>
      </c>
      <c r="R87">
        <v>785132</v>
      </c>
      <c r="S87">
        <v>6.4000000000000001E-2</v>
      </c>
      <c r="T87">
        <v>1E-3</v>
      </c>
      <c r="U87">
        <v>6.4000000000000001E-2</v>
      </c>
      <c r="V87">
        <v>11069670</v>
      </c>
      <c r="W87">
        <v>0.90800000000000003</v>
      </c>
      <c r="X87">
        <v>-281053</v>
      </c>
      <c r="Y87">
        <v>0</v>
      </c>
      <c r="Z87">
        <v>-281053</v>
      </c>
      <c r="AA87">
        <v>134325</v>
      </c>
      <c r="AB87">
        <v>0</v>
      </c>
      <c r="AC87">
        <v>134325</v>
      </c>
      <c r="AD87">
        <v>23</v>
      </c>
      <c r="AE87">
        <v>0</v>
      </c>
      <c r="AF87">
        <v>23</v>
      </c>
      <c r="AG87">
        <v>127710</v>
      </c>
      <c r="AH87">
        <v>0</v>
      </c>
      <c r="AI87">
        <v>127710</v>
      </c>
      <c r="AJ87">
        <v>1</v>
      </c>
      <c r="AK87">
        <v>10720</v>
      </c>
      <c r="AL87">
        <v>2</v>
      </c>
      <c r="AM87">
        <v>20379</v>
      </c>
      <c r="AN87">
        <v>5.39</v>
      </c>
      <c r="AO87">
        <v>5</v>
      </c>
      <c r="AP87">
        <v>5.38</v>
      </c>
      <c r="AQ87">
        <v>5.33</v>
      </c>
      <c r="AR87">
        <v>5</v>
      </c>
      <c r="AS87">
        <v>5.33</v>
      </c>
    </row>
    <row r="88" spans="1:45" x14ac:dyDescent="0.25">
      <c r="A88" t="s">
        <v>19988</v>
      </c>
      <c r="B88">
        <v>431</v>
      </c>
      <c r="C88">
        <v>12183273</v>
      </c>
      <c r="D88">
        <v>822953</v>
      </c>
      <c r="E88">
        <v>9597</v>
      </c>
      <c r="F88">
        <v>832550</v>
      </c>
      <c r="G88">
        <v>6.8000000000000005E-2</v>
      </c>
      <c r="H88">
        <v>1E-3</v>
      </c>
      <c r="I88">
        <v>6.8000000000000005E-2</v>
      </c>
      <c r="J88" t="s">
        <v>1784</v>
      </c>
      <c r="K88" t="s">
        <v>1784</v>
      </c>
      <c r="L88" t="s">
        <v>1784</v>
      </c>
      <c r="M88" t="s">
        <v>1784</v>
      </c>
      <c r="N88" t="s">
        <v>1784</v>
      </c>
      <c r="O88" t="s">
        <v>1784</v>
      </c>
      <c r="P88">
        <v>724777</v>
      </c>
      <c r="Q88">
        <v>9597</v>
      </c>
      <c r="R88">
        <v>734374</v>
      </c>
      <c r="S88">
        <v>5.8999999999999997E-2</v>
      </c>
      <c r="T88">
        <v>1E-3</v>
      </c>
      <c r="U88">
        <v>0.06</v>
      </c>
      <c r="V88">
        <v>11350723</v>
      </c>
      <c r="W88">
        <v>0.93200000000000005</v>
      </c>
      <c r="X88">
        <v>60383</v>
      </c>
      <c r="Y88">
        <v>0</v>
      </c>
      <c r="Z88">
        <v>60383</v>
      </c>
      <c r="AA88">
        <v>195879</v>
      </c>
      <c r="AB88">
        <v>0</v>
      </c>
      <c r="AC88">
        <v>195879</v>
      </c>
      <c r="AD88">
        <v>21</v>
      </c>
      <c r="AE88">
        <v>0</v>
      </c>
      <c r="AF88">
        <v>21</v>
      </c>
      <c r="AG88">
        <v>74776</v>
      </c>
      <c r="AH88">
        <v>0</v>
      </c>
      <c r="AI88">
        <v>74776</v>
      </c>
      <c r="AJ88">
        <v>1</v>
      </c>
      <c r="AK88">
        <v>22000</v>
      </c>
      <c r="AL88">
        <v>2</v>
      </c>
      <c r="AM88">
        <v>18239</v>
      </c>
      <c r="AN88">
        <v>5.41</v>
      </c>
      <c r="AO88">
        <v>5</v>
      </c>
      <c r="AP88">
        <v>5.41</v>
      </c>
      <c r="AQ88">
        <v>5.31</v>
      </c>
      <c r="AR88">
        <v>5</v>
      </c>
      <c r="AS88">
        <v>5.31</v>
      </c>
    </row>
    <row r="89" spans="1:45" x14ac:dyDescent="0.25">
      <c r="A89" t="s">
        <v>19989</v>
      </c>
      <c r="B89">
        <v>430</v>
      </c>
      <c r="C89">
        <v>12161273</v>
      </c>
      <c r="D89">
        <v>861336</v>
      </c>
      <c r="E89">
        <v>9597</v>
      </c>
      <c r="F89">
        <v>870933</v>
      </c>
      <c r="G89">
        <v>7.0999999999999994E-2</v>
      </c>
      <c r="H89">
        <v>1E-3</v>
      </c>
      <c r="I89">
        <v>7.1999999999999995E-2</v>
      </c>
      <c r="J89" t="s">
        <v>1784</v>
      </c>
      <c r="K89" t="s">
        <v>1784</v>
      </c>
      <c r="L89" t="s">
        <v>1784</v>
      </c>
      <c r="M89" t="s">
        <v>1784</v>
      </c>
      <c r="N89" t="s">
        <v>1784</v>
      </c>
      <c r="O89" t="s">
        <v>1784</v>
      </c>
      <c r="P89">
        <v>810739</v>
      </c>
      <c r="Q89">
        <v>9597</v>
      </c>
      <c r="R89">
        <v>820336</v>
      </c>
      <c r="S89">
        <v>6.7000000000000004E-2</v>
      </c>
      <c r="T89">
        <v>1E-3</v>
      </c>
      <c r="U89">
        <v>6.7000000000000004E-2</v>
      </c>
      <c r="V89">
        <v>11290340</v>
      </c>
      <c r="W89">
        <v>0.92800000000000005</v>
      </c>
      <c r="X89">
        <v>-21839</v>
      </c>
      <c r="Y89">
        <v>0</v>
      </c>
      <c r="Z89">
        <v>-21839</v>
      </c>
      <c r="AA89">
        <v>27284</v>
      </c>
      <c r="AB89">
        <v>0</v>
      </c>
      <c r="AC89">
        <v>27284</v>
      </c>
      <c r="AD89">
        <v>12</v>
      </c>
      <c r="AE89">
        <v>0</v>
      </c>
      <c r="AF89">
        <v>12</v>
      </c>
      <c r="AG89">
        <v>71522</v>
      </c>
      <c r="AH89">
        <v>0</v>
      </c>
      <c r="AI89">
        <v>71522</v>
      </c>
      <c r="AJ89">
        <v>0</v>
      </c>
      <c r="AK89">
        <v>0</v>
      </c>
      <c r="AL89">
        <v>2</v>
      </c>
      <c r="AM89">
        <v>32720</v>
      </c>
      <c r="AN89">
        <v>5.38</v>
      </c>
      <c r="AO89">
        <v>5</v>
      </c>
      <c r="AP89">
        <v>5.37</v>
      </c>
      <c r="AQ89">
        <v>5.29</v>
      </c>
      <c r="AR89">
        <v>5</v>
      </c>
      <c r="AS89">
        <v>5.28</v>
      </c>
    </row>
    <row r="90" spans="1:45" x14ac:dyDescent="0.25">
      <c r="A90" t="s">
        <v>19990</v>
      </c>
      <c r="B90">
        <v>430</v>
      </c>
      <c r="C90">
        <v>12161273</v>
      </c>
      <c r="D90">
        <v>839497</v>
      </c>
      <c r="E90">
        <v>9597</v>
      </c>
      <c r="F90">
        <v>849094</v>
      </c>
      <c r="G90">
        <v>6.9000000000000006E-2</v>
      </c>
      <c r="H90">
        <v>1E-3</v>
      </c>
      <c r="I90">
        <v>7.0000000000000007E-2</v>
      </c>
      <c r="J90" t="s">
        <v>1784</v>
      </c>
      <c r="K90" t="s">
        <v>1784</v>
      </c>
      <c r="L90" t="s">
        <v>1784</v>
      </c>
      <c r="M90" t="s">
        <v>1784</v>
      </c>
      <c r="N90" t="s">
        <v>1784</v>
      </c>
      <c r="O90" t="s">
        <v>1784</v>
      </c>
      <c r="P90">
        <v>793331</v>
      </c>
      <c r="Q90">
        <v>9597</v>
      </c>
      <c r="R90">
        <v>802928</v>
      </c>
      <c r="S90">
        <v>6.5000000000000002E-2</v>
      </c>
      <c r="T90">
        <v>1E-3</v>
      </c>
      <c r="U90">
        <v>6.6000000000000003E-2</v>
      </c>
      <c r="V90">
        <v>11312179</v>
      </c>
      <c r="W90">
        <v>0.93</v>
      </c>
      <c r="X90">
        <v>51870</v>
      </c>
      <c r="Y90">
        <v>0</v>
      </c>
      <c r="Z90">
        <v>51870</v>
      </c>
      <c r="AA90">
        <v>111899</v>
      </c>
      <c r="AB90">
        <v>700</v>
      </c>
      <c r="AC90">
        <v>112599</v>
      </c>
      <c r="AD90">
        <v>12</v>
      </c>
      <c r="AE90">
        <v>1</v>
      </c>
      <c r="AF90">
        <v>13</v>
      </c>
      <c r="AG90">
        <v>53615</v>
      </c>
      <c r="AH90">
        <v>700</v>
      </c>
      <c r="AI90">
        <v>54315</v>
      </c>
      <c r="AJ90">
        <v>1</v>
      </c>
      <c r="AK90">
        <v>2538</v>
      </c>
      <c r="AL90">
        <v>2</v>
      </c>
      <c r="AM90">
        <v>32720</v>
      </c>
      <c r="AN90">
        <v>5.34</v>
      </c>
      <c r="AO90">
        <v>5</v>
      </c>
      <c r="AP90">
        <v>5.33</v>
      </c>
      <c r="AQ90">
        <v>5.26</v>
      </c>
      <c r="AR90">
        <v>5</v>
      </c>
      <c r="AS90">
        <v>5.26</v>
      </c>
    </row>
    <row r="91" spans="1:45" x14ac:dyDescent="0.25">
      <c r="A91" t="s">
        <v>19991</v>
      </c>
      <c r="B91">
        <v>429</v>
      </c>
      <c r="C91">
        <v>12158735</v>
      </c>
      <c r="D91">
        <v>888829</v>
      </c>
      <c r="E91">
        <v>9597</v>
      </c>
      <c r="F91">
        <v>898426</v>
      </c>
      <c r="G91">
        <v>7.2999999999999995E-2</v>
      </c>
      <c r="H91">
        <v>1E-3</v>
      </c>
      <c r="I91">
        <v>7.3999999999999996E-2</v>
      </c>
      <c r="J91" t="s">
        <v>1784</v>
      </c>
      <c r="K91" t="s">
        <v>1784</v>
      </c>
      <c r="L91" t="s">
        <v>1784</v>
      </c>
      <c r="M91" t="s">
        <v>1784</v>
      </c>
      <c r="N91" t="s">
        <v>1784</v>
      </c>
      <c r="O91" t="s">
        <v>1784</v>
      </c>
      <c r="P91">
        <v>817991</v>
      </c>
      <c r="Q91">
        <v>9597</v>
      </c>
      <c r="R91">
        <v>827588</v>
      </c>
      <c r="S91">
        <v>6.7000000000000004E-2</v>
      </c>
      <c r="T91">
        <v>1E-3</v>
      </c>
      <c r="U91">
        <v>6.8000000000000005E-2</v>
      </c>
      <c r="V91">
        <v>11260309</v>
      </c>
      <c r="W91">
        <v>0.92600000000000005</v>
      </c>
      <c r="X91">
        <v>165651</v>
      </c>
      <c r="Y91">
        <v>-7097</v>
      </c>
      <c r="Z91">
        <v>158554</v>
      </c>
      <c r="AA91">
        <v>222535</v>
      </c>
      <c r="AB91">
        <v>2500</v>
      </c>
      <c r="AC91">
        <v>225035</v>
      </c>
      <c r="AD91">
        <v>12</v>
      </c>
      <c r="AE91">
        <v>0</v>
      </c>
      <c r="AF91">
        <v>12</v>
      </c>
      <c r="AG91">
        <v>128050</v>
      </c>
      <c r="AH91">
        <v>0</v>
      </c>
      <c r="AI91">
        <v>128050</v>
      </c>
      <c r="AJ91">
        <v>4</v>
      </c>
      <c r="AK91">
        <v>253680</v>
      </c>
      <c r="AL91">
        <v>2</v>
      </c>
      <c r="AM91">
        <v>24538</v>
      </c>
      <c r="AN91">
        <v>5.35</v>
      </c>
      <c r="AO91">
        <v>5</v>
      </c>
      <c r="AP91">
        <v>5.34</v>
      </c>
      <c r="AQ91">
        <v>5.19</v>
      </c>
      <c r="AR91">
        <v>5</v>
      </c>
      <c r="AS91">
        <v>5.19</v>
      </c>
    </row>
    <row r="92" spans="1:45" x14ac:dyDescent="0.25">
      <c r="A92" t="s">
        <v>19992</v>
      </c>
      <c r="B92">
        <v>425</v>
      </c>
      <c r="C92">
        <v>11905055</v>
      </c>
      <c r="D92">
        <v>800800</v>
      </c>
      <c r="E92">
        <v>2500</v>
      </c>
      <c r="F92">
        <v>803300</v>
      </c>
      <c r="G92">
        <v>6.7000000000000004E-2</v>
      </c>
      <c r="H92">
        <v>0</v>
      </c>
      <c r="I92">
        <v>6.7000000000000004E-2</v>
      </c>
      <c r="J92" t="s">
        <v>1784</v>
      </c>
      <c r="K92" t="s">
        <v>1784</v>
      </c>
      <c r="L92" t="s">
        <v>1784</v>
      </c>
      <c r="M92" t="s">
        <v>1784</v>
      </c>
      <c r="N92" t="s">
        <v>1784</v>
      </c>
      <c r="O92" t="s">
        <v>1784</v>
      </c>
      <c r="P92">
        <v>751182</v>
      </c>
      <c r="Q92">
        <v>0</v>
      </c>
      <c r="R92">
        <v>751182</v>
      </c>
      <c r="S92">
        <v>6.3E-2</v>
      </c>
      <c r="T92">
        <v>0</v>
      </c>
      <c r="U92">
        <v>6.3E-2</v>
      </c>
      <c r="V92">
        <v>11101755</v>
      </c>
      <c r="W92">
        <v>0.93300000000000005</v>
      </c>
      <c r="X92">
        <v>156341</v>
      </c>
      <c r="Y92">
        <v>3500</v>
      </c>
      <c r="Z92">
        <v>159841</v>
      </c>
      <c r="AA92">
        <v>219039</v>
      </c>
      <c r="AB92">
        <v>3500</v>
      </c>
      <c r="AC92">
        <v>222539</v>
      </c>
      <c r="AD92">
        <v>16</v>
      </c>
      <c r="AE92">
        <v>1</v>
      </c>
      <c r="AF92">
        <v>17</v>
      </c>
      <c r="AG92">
        <v>83562</v>
      </c>
      <c r="AH92">
        <v>2500</v>
      </c>
      <c r="AI92">
        <v>86062</v>
      </c>
      <c r="AJ92">
        <v>3</v>
      </c>
      <c r="AK92">
        <v>73240</v>
      </c>
      <c r="AL92">
        <v>5</v>
      </c>
      <c r="AM92">
        <v>256218</v>
      </c>
      <c r="AN92">
        <v>5.45</v>
      </c>
      <c r="AO92">
        <v>5.49</v>
      </c>
      <c r="AP92">
        <v>5.45</v>
      </c>
      <c r="AQ92">
        <v>5.29</v>
      </c>
      <c r="AR92" t="s">
        <v>1784</v>
      </c>
      <c r="AS92">
        <v>5.29</v>
      </c>
    </row>
    <row r="93" spans="1:45" x14ac:dyDescent="0.25">
      <c r="A93" t="s">
        <v>19993</v>
      </c>
      <c r="B93">
        <v>422</v>
      </c>
      <c r="C93">
        <v>11831815</v>
      </c>
      <c r="D93">
        <v>883901</v>
      </c>
      <c r="E93">
        <v>6000</v>
      </c>
      <c r="F93">
        <v>889901</v>
      </c>
      <c r="G93">
        <v>7.4999999999999997E-2</v>
      </c>
      <c r="H93">
        <v>1E-3</v>
      </c>
      <c r="I93">
        <v>7.4999999999999997E-2</v>
      </c>
      <c r="J93" t="s">
        <v>1784</v>
      </c>
      <c r="K93" t="s">
        <v>1784</v>
      </c>
      <c r="L93" t="s">
        <v>1784</v>
      </c>
      <c r="M93" t="s">
        <v>1784</v>
      </c>
      <c r="N93" t="s">
        <v>1784</v>
      </c>
      <c r="O93" t="s">
        <v>1784</v>
      </c>
      <c r="P93">
        <v>807765</v>
      </c>
      <c r="Q93">
        <v>6000</v>
      </c>
      <c r="R93">
        <v>813765</v>
      </c>
      <c r="S93">
        <v>6.8000000000000005E-2</v>
      </c>
      <c r="T93">
        <v>1E-3</v>
      </c>
      <c r="U93">
        <v>6.9000000000000006E-2</v>
      </c>
      <c r="V93">
        <v>10941914</v>
      </c>
      <c r="W93">
        <v>0.92500000000000004</v>
      </c>
      <c r="X93">
        <v>70520</v>
      </c>
      <c r="Y93">
        <v>-6000</v>
      </c>
      <c r="Z93">
        <v>64520</v>
      </c>
      <c r="AA93">
        <v>180091</v>
      </c>
      <c r="AB93">
        <v>0</v>
      </c>
      <c r="AC93">
        <v>180091</v>
      </c>
      <c r="AD93">
        <v>15</v>
      </c>
      <c r="AE93">
        <v>0</v>
      </c>
      <c r="AF93">
        <v>15</v>
      </c>
      <c r="AG93">
        <v>113865</v>
      </c>
      <c r="AH93">
        <v>0</v>
      </c>
      <c r="AI93">
        <v>113865</v>
      </c>
      <c r="AJ93">
        <v>1</v>
      </c>
      <c r="AK93">
        <v>19960</v>
      </c>
      <c r="AL93">
        <v>5</v>
      </c>
      <c r="AM93">
        <v>181989</v>
      </c>
      <c r="AN93">
        <v>5.01</v>
      </c>
      <c r="AO93">
        <v>5.36</v>
      </c>
      <c r="AP93">
        <v>5.01</v>
      </c>
      <c r="AQ93">
        <v>4.8499999999999996</v>
      </c>
      <c r="AR93">
        <v>5.33</v>
      </c>
      <c r="AS93">
        <v>4.8600000000000003</v>
      </c>
    </row>
    <row r="94" spans="1:45" x14ac:dyDescent="0.25">
      <c r="A94" t="s">
        <v>19994</v>
      </c>
      <c r="B94">
        <v>421</v>
      </c>
      <c r="C94">
        <v>11811855</v>
      </c>
      <c r="D94">
        <v>934461</v>
      </c>
      <c r="E94">
        <v>0</v>
      </c>
      <c r="F94">
        <v>934461</v>
      </c>
      <c r="G94">
        <v>7.9000000000000001E-2</v>
      </c>
      <c r="H94">
        <v>0</v>
      </c>
      <c r="I94">
        <v>7.9000000000000001E-2</v>
      </c>
      <c r="J94" t="s">
        <v>1784</v>
      </c>
      <c r="K94" t="s">
        <v>1784</v>
      </c>
      <c r="L94" t="s">
        <v>1784</v>
      </c>
      <c r="M94" t="s">
        <v>1784</v>
      </c>
      <c r="N94" t="s">
        <v>1784</v>
      </c>
      <c r="O94" t="s">
        <v>1784</v>
      </c>
      <c r="P94">
        <v>790810</v>
      </c>
      <c r="Q94">
        <v>0</v>
      </c>
      <c r="R94">
        <v>790810</v>
      </c>
      <c r="S94">
        <v>6.7000000000000004E-2</v>
      </c>
      <c r="T94">
        <v>0</v>
      </c>
      <c r="U94">
        <v>6.7000000000000004E-2</v>
      </c>
      <c r="V94">
        <v>10877394</v>
      </c>
      <c r="W94">
        <v>0.92100000000000004</v>
      </c>
      <c r="X94">
        <v>140717</v>
      </c>
      <c r="Y94">
        <v>0</v>
      </c>
      <c r="Z94">
        <v>140717</v>
      </c>
      <c r="AA94">
        <v>221593</v>
      </c>
      <c r="AB94">
        <v>0</v>
      </c>
      <c r="AC94">
        <v>221593</v>
      </c>
      <c r="AD94">
        <v>15</v>
      </c>
      <c r="AE94">
        <v>0</v>
      </c>
      <c r="AF94">
        <v>15</v>
      </c>
      <c r="AG94">
        <v>131679</v>
      </c>
      <c r="AH94">
        <v>0</v>
      </c>
      <c r="AI94">
        <v>131679</v>
      </c>
      <c r="AJ94">
        <v>1</v>
      </c>
      <c r="AK94">
        <v>28659</v>
      </c>
      <c r="AL94">
        <v>4</v>
      </c>
      <c r="AM94">
        <v>93200</v>
      </c>
      <c r="AN94">
        <v>5.0599999999999996</v>
      </c>
      <c r="AO94">
        <v>5</v>
      </c>
      <c r="AP94">
        <v>5.0599999999999996</v>
      </c>
      <c r="AQ94">
        <v>4.88</v>
      </c>
      <c r="AR94">
        <v>5</v>
      </c>
      <c r="AS94">
        <v>4.88</v>
      </c>
    </row>
    <row r="95" spans="1:45" x14ac:dyDescent="0.25">
      <c r="A95" t="s">
        <v>19995</v>
      </c>
      <c r="B95">
        <v>420</v>
      </c>
      <c r="C95">
        <v>11783196</v>
      </c>
      <c r="D95">
        <v>1046519</v>
      </c>
      <c r="E95">
        <v>0</v>
      </c>
      <c r="F95">
        <v>1046519</v>
      </c>
      <c r="G95">
        <v>8.8999999999999996E-2</v>
      </c>
      <c r="H95">
        <v>0</v>
      </c>
      <c r="I95">
        <v>8.8999999999999996E-2</v>
      </c>
      <c r="J95" t="s">
        <v>1784</v>
      </c>
      <c r="K95" t="s">
        <v>1784</v>
      </c>
      <c r="L95" t="s">
        <v>1784</v>
      </c>
      <c r="M95" t="s">
        <v>1784</v>
      </c>
      <c r="N95" t="s">
        <v>1784</v>
      </c>
      <c r="O95" t="s">
        <v>1784</v>
      </c>
      <c r="P95">
        <v>848108</v>
      </c>
      <c r="Q95">
        <v>0</v>
      </c>
      <c r="R95">
        <v>848108</v>
      </c>
      <c r="S95">
        <v>7.1999999999999995E-2</v>
      </c>
      <c r="T95">
        <v>0</v>
      </c>
      <c r="U95">
        <v>7.1999999999999995E-2</v>
      </c>
      <c r="V95">
        <v>10736677</v>
      </c>
      <c r="W95">
        <v>0.91100000000000003</v>
      </c>
      <c r="X95">
        <v>39972</v>
      </c>
      <c r="Y95">
        <v>0</v>
      </c>
      <c r="Z95">
        <v>39972</v>
      </c>
      <c r="AA95">
        <v>126737</v>
      </c>
      <c r="AB95">
        <v>0</v>
      </c>
      <c r="AC95">
        <v>126737</v>
      </c>
      <c r="AD95">
        <v>18</v>
      </c>
      <c r="AE95">
        <v>0</v>
      </c>
      <c r="AF95">
        <v>18</v>
      </c>
      <c r="AG95">
        <v>84305</v>
      </c>
      <c r="AH95">
        <v>0</v>
      </c>
      <c r="AI95">
        <v>84305</v>
      </c>
      <c r="AJ95">
        <v>4</v>
      </c>
      <c r="AK95">
        <v>76850</v>
      </c>
      <c r="AL95">
        <v>2</v>
      </c>
      <c r="AM95">
        <v>48619</v>
      </c>
      <c r="AN95">
        <v>5.07</v>
      </c>
      <c r="AO95">
        <v>5</v>
      </c>
      <c r="AP95">
        <v>5.07</v>
      </c>
      <c r="AQ95">
        <v>4.92</v>
      </c>
      <c r="AR95">
        <v>5</v>
      </c>
      <c r="AS95">
        <v>4.92</v>
      </c>
    </row>
    <row r="96" spans="1:45" x14ac:dyDescent="0.25">
      <c r="A96" t="s">
        <v>19996</v>
      </c>
      <c r="B96">
        <v>416</v>
      </c>
      <c r="C96">
        <v>11706346</v>
      </c>
      <c r="D96">
        <v>1009641</v>
      </c>
      <c r="E96">
        <v>0</v>
      </c>
      <c r="F96">
        <v>1009641</v>
      </c>
      <c r="G96">
        <v>8.5999999999999993E-2</v>
      </c>
      <c r="H96">
        <v>0</v>
      </c>
      <c r="I96">
        <v>8.5999999999999993E-2</v>
      </c>
      <c r="J96" t="s">
        <v>1784</v>
      </c>
      <c r="K96" t="s">
        <v>1784</v>
      </c>
      <c r="L96" t="s">
        <v>1784</v>
      </c>
      <c r="M96" t="s">
        <v>1784</v>
      </c>
      <c r="N96" t="s">
        <v>1784</v>
      </c>
      <c r="O96" t="s">
        <v>1784</v>
      </c>
      <c r="P96">
        <v>934359</v>
      </c>
      <c r="Q96">
        <v>0</v>
      </c>
      <c r="R96">
        <v>934359</v>
      </c>
      <c r="S96">
        <v>0.08</v>
      </c>
      <c r="T96">
        <v>0</v>
      </c>
      <c r="U96">
        <v>0.08</v>
      </c>
      <c r="V96">
        <v>10696705</v>
      </c>
      <c r="W96">
        <v>0.91400000000000003</v>
      </c>
      <c r="X96">
        <v>194569</v>
      </c>
      <c r="Y96">
        <v>0</v>
      </c>
      <c r="Z96">
        <v>194569</v>
      </c>
      <c r="AA96">
        <v>423453</v>
      </c>
      <c r="AB96">
        <v>0</v>
      </c>
      <c r="AC96">
        <v>423453</v>
      </c>
      <c r="AD96">
        <v>9</v>
      </c>
      <c r="AE96">
        <v>0</v>
      </c>
      <c r="AF96">
        <v>9</v>
      </c>
      <c r="AG96">
        <v>149136</v>
      </c>
      <c r="AH96">
        <v>0</v>
      </c>
      <c r="AI96">
        <v>149136</v>
      </c>
      <c r="AJ96">
        <v>8</v>
      </c>
      <c r="AK96">
        <v>418382</v>
      </c>
      <c r="AL96">
        <v>6</v>
      </c>
      <c r="AM96">
        <v>125469</v>
      </c>
      <c r="AN96">
        <v>5.2</v>
      </c>
      <c r="AO96">
        <v>5</v>
      </c>
      <c r="AP96">
        <v>5.2</v>
      </c>
      <c r="AQ96">
        <v>5.04</v>
      </c>
      <c r="AR96">
        <v>5</v>
      </c>
      <c r="AS96">
        <v>5.04</v>
      </c>
    </row>
    <row r="97" spans="1:45" x14ac:dyDescent="0.25">
      <c r="A97" t="s">
        <v>19997</v>
      </c>
      <c r="B97">
        <v>408</v>
      </c>
      <c r="C97">
        <v>11287964</v>
      </c>
      <c r="D97">
        <v>785828</v>
      </c>
      <c r="E97">
        <v>0</v>
      </c>
      <c r="F97">
        <v>785828</v>
      </c>
      <c r="G97">
        <v>7.0000000000000007E-2</v>
      </c>
      <c r="H97">
        <v>0</v>
      </c>
      <c r="I97">
        <v>7.0000000000000007E-2</v>
      </c>
      <c r="J97" t="s">
        <v>1784</v>
      </c>
      <c r="K97" t="s">
        <v>1784</v>
      </c>
      <c r="L97" t="s">
        <v>1784</v>
      </c>
      <c r="M97" t="s">
        <v>1784</v>
      </c>
      <c r="N97" t="s">
        <v>1784</v>
      </c>
      <c r="O97" t="s">
        <v>1784</v>
      </c>
      <c r="P97">
        <v>720105</v>
      </c>
      <c r="Q97">
        <v>0</v>
      </c>
      <c r="R97">
        <v>720105</v>
      </c>
      <c r="S97">
        <v>6.4000000000000001E-2</v>
      </c>
      <c r="T97">
        <v>0</v>
      </c>
      <c r="U97">
        <v>6.4000000000000001E-2</v>
      </c>
      <c r="V97">
        <v>10502136</v>
      </c>
      <c r="W97">
        <v>0.93</v>
      </c>
      <c r="X97">
        <v>-290914</v>
      </c>
      <c r="Y97">
        <v>0</v>
      </c>
      <c r="Z97">
        <v>-290914</v>
      </c>
      <c r="AA97">
        <v>90963</v>
      </c>
      <c r="AB97">
        <v>0</v>
      </c>
      <c r="AC97">
        <v>90963</v>
      </c>
      <c r="AD97">
        <v>22</v>
      </c>
      <c r="AE97">
        <v>0</v>
      </c>
      <c r="AF97">
        <v>22</v>
      </c>
      <c r="AG97">
        <v>135928</v>
      </c>
      <c r="AH97">
        <v>0</v>
      </c>
      <c r="AI97">
        <v>135928</v>
      </c>
      <c r="AJ97">
        <v>1</v>
      </c>
      <c r="AK97">
        <v>5600</v>
      </c>
      <c r="AL97">
        <v>13</v>
      </c>
      <c r="AM97">
        <v>523891</v>
      </c>
      <c r="AN97">
        <v>5.38</v>
      </c>
      <c r="AO97">
        <v>4.26</v>
      </c>
      <c r="AP97">
        <v>5.3</v>
      </c>
      <c r="AQ97">
        <v>5.17</v>
      </c>
      <c r="AR97">
        <v>4.26</v>
      </c>
      <c r="AS97">
        <v>5.0999999999999996</v>
      </c>
    </row>
    <row r="98" spans="1:45" x14ac:dyDescent="0.25">
      <c r="A98" t="s">
        <v>19998</v>
      </c>
      <c r="B98">
        <v>407</v>
      </c>
      <c r="C98">
        <v>11282364</v>
      </c>
      <c r="D98">
        <v>489314</v>
      </c>
      <c r="E98">
        <v>0</v>
      </c>
      <c r="F98">
        <v>489314</v>
      </c>
      <c r="G98">
        <v>4.2999999999999997E-2</v>
      </c>
      <c r="H98">
        <v>0</v>
      </c>
      <c r="I98">
        <v>4.2999999999999997E-2</v>
      </c>
      <c r="J98" t="s">
        <v>1784</v>
      </c>
      <c r="K98" t="s">
        <v>1784</v>
      </c>
      <c r="L98" t="s">
        <v>1784</v>
      </c>
      <c r="M98" t="s">
        <v>1784</v>
      </c>
      <c r="N98" t="s">
        <v>1784</v>
      </c>
      <c r="O98" t="s">
        <v>1784</v>
      </c>
      <c r="P98">
        <v>453744</v>
      </c>
      <c r="Q98">
        <v>0</v>
      </c>
      <c r="R98">
        <v>453744</v>
      </c>
      <c r="S98">
        <v>0.04</v>
      </c>
      <c r="T98">
        <v>0</v>
      </c>
      <c r="U98">
        <v>0.04</v>
      </c>
      <c r="V98">
        <v>10793050</v>
      </c>
      <c r="W98">
        <v>0.95699999999999996</v>
      </c>
      <c r="X98">
        <v>94596</v>
      </c>
      <c r="Y98">
        <v>0</v>
      </c>
      <c r="Z98">
        <v>94596</v>
      </c>
      <c r="AA98">
        <v>211930</v>
      </c>
      <c r="AB98">
        <v>0</v>
      </c>
      <c r="AC98">
        <v>211930</v>
      </c>
      <c r="AD98">
        <v>13</v>
      </c>
      <c r="AE98">
        <v>0</v>
      </c>
      <c r="AF98">
        <v>13</v>
      </c>
      <c r="AG98">
        <v>104793</v>
      </c>
      <c r="AH98">
        <v>0</v>
      </c>
      <c r="AI98">
        <v>104793</v>
      </c>
      <c r="AJ98">
        <v>2</v>
      </c>
      <c r="AK98">
        <v>45481</v>
      </c>
      <c r="AL98">
        <v>9</v>
      </c>
      <c r="AM98">
        <v>423982</v>
      </c>
      <c r="AN98">
        <v>5.5</v>
      </c>
      <c r="AO98">
        <v>4.6500000000000004</v>
      </c>
      <c r="AP98">
        <v>5.46</v>
      </c>
      <c r="AQ98">
        <v>5.16</v>
      </c>
      <c r="AR98">
        <v>4.6500000000000004</v>
      </c>
      <c r="AS98">
        <v>5.13</v>
      </c>
    </row>
    <row r="99" spans="1:45" x14ac:dyDescent="0.25">
      <c r="A99" t="s">
        <v>19999</v>
      </c>
      <c r="B99">
        <v>405</v>
      </c>
      <c r="C99">
        <v>11236883</v>
      </c>
      <c r="D99">
        <v>538429</v>
      </c>
      <c r="E99">
        <v>0</v>
      </c>
      <c r="F99">
        <v>538429</v>
      </c>
      <c r="G99">
        <v>4.8000000000000001E-2</v>
      </c>
      <c r="H99">
        <v>0</v>
      </c>
      <c r="I99">
        <v>4.8000000000000001E-2</v>
      </c>
      <c r="J99" t="s">
        <v>1784</v>
      </c>
      <c r="K99" t="s">
        <v>1784</v>
      </c>
      <c r="L99" t="s">
        <v>1784</v>
      </c>
      <c r="M99" t="s">
        <v>1784</v>
      </c>
      <c r="N99" t="s">
        <v>1784</v>
      </c>
      <c r="O99" t="s">
        <v>1784</v>
      </c>
      <c r="P99">
        <v>465634</v>
      </c>
      <c r="Q99">
        <v>0</v>
      </c>
      <c r="R99">
        <v>465634</v>
      </c>
      <c r="S99">
        <v>4.1000000000000002E-2</v>
      </c>
      <c r="T99">
        <v>0</v>
      </c>
      <c r="U99">
        <v>4.1000000000000002E-2</v>
      </c>
      <c r="V99">
        <v>10698454</v>
      </c>
      <c r="W99">
        <v>0.95199999999999996</v>
      </c>
      <c r="X99">
        <v>-2704</v>
      </c>
      <c r="Y99">
        <v>32361</v>
      </c>
      <c r="Z99">
        <v>29657</v>
      </c>
      <c r="AA99">
        <v>142916</v>
      </c>
      <c r="AB99">
        <v>32361</v>
      </c>
      <c r="AC99">
        <v>175277</v>
      </c>
      <c r="AD99">
        <v>25</v>
      </c>
      <c r="AE99">
        <v>2</v>
      </c>
      <c r="AF99">
        <v>27</v>
      </c>
      <c r="AG99">
        <v>96536</v>
      </c>
      <c r="AH99">
        <v>30342</v>
      </c>
      <c r="AI99">
        <v>126878</v>
      </c>
      <c r="AJ99">
        <v>3</v>
      </c>
      <c r="AK99">
        <v>36361</v>
      </c>
      <c r="AL99">
        <v>5</v>
      </c>
      <c r="AM99">
        <v>113346</v>
      </c>
      <c r="AN99">
        <v>5.3</v>
      </c>
      <c r="AO99">
        <v>4.6500000000000004</v>
      </c>
      <c r="AP99">
        <v>5.26</v>
      </c>
      <c r="AQ99">
        <v>4.99</v>
      </c>
      <c r="AR99">
        <v>4.6500000000000004</v>
      </c>
      <c r="AS99">
        <v>4.97</v>
      </c>
    </row>
    <row r="100" spans="1:45" x14ac:dyDescent="0.25">
      <c r="A100" t="s">
        <v>20000</v>
      </c>
      <c r="B100">
        <v>402</v>
      </c>
      <c r="C100">
        <v>11200522</v>
      </c>
      <c r="D100">
        <v>499364</v>
      </c>
      <c r="E100">
        <v>32361</v>
      </c>
      <c r="F100">
        <v>531725</v>
      </c>
      <c r="G100">
        <v>4.4999999999999998E-2</v>
      </c>
      <c r="H100">
        <v>3.0000000000000001E-3</v>
      </c>
      <c r="I100">
        <v>4.7E-2</v>
      </c>
      <c r="J100" t="s">
        <v>1784</v>
      </c>
      <c r="K100" t="s">
        <v>1784</v>
      </c>
      <c r="L100" t="s">
        <v>1784</v>
      </c>
      <c r="M100" t="s">
        <v>1784</v>
      </c>
      <c r="N100" t="s">
        <v>1784</v>
      </c>
      <c r="O100" t="s">
        <v>1784</v>
      </c>
      <c r="P100">
        <v>422871</v>
      </c>
      <c r="Q100">
        <v>32361</v>
      </c>
      <c r="R100">
        <v>455232</v>
      </c>
      <c r="S100">
        <v>3.7999999999999999E-2</v>
      </c>
      <c r="T100">
        <v>3.0000000000000001E-3</v>
      </c>
      <c r="U100">
        <v>4.1000000000000002E-2</v>
      </c>
      <c r="V100">
        <v>10668797</v>
      </c>
      <c r="W100">
        <v>0.95299999999999996</v>
      </c>
      <c r="X100">
        <v>244845</v>
      </c>
      <c r="Y100">
        <v>398</v>
      </c>
      <c r="Z100">
        <v>245243</v>
      </c>
      <c r="AA100">
        <v>298547</v>
      </c>
      <c r="AB100">
        <v>12557</v>
      </c>
      <c r="AC100">
        <v>311104</v>
      </c>
      <c r="AD100">
        <v>14</v>
      </c>
      <c r="AE100">
        <v>0</v>
      </c>
      <c r="AF100">
        <v>14</v>
      </c>
      <c r="AG100">
        <v>95773</v>
      </c>
      <c r="AH100">
        <v>0</v>
      </c>
      <c r="AI100">
        <v>95773</v>
      </c>
      <c r="AJ100">
        <v>6</v>
      </c>
      <c r="AK100">
        <v>121840</v>
      </c>
      <c r="AL100">
        <v>4</v>
      </c>
      <c r="AM100">
        <v>60361</v>
      </c>
      <c r="AN100">
        <v>5.34</v>
      </c>
      <c r="AO100">
        <v>4.6500000000000004</v>
      </c>
      <c r="AP100">
        <v>5.3</v>
      </c>
      <c r="AQ100">
        <v>5.17</v>
      </c>
      <c r="AR100">
        <v>4.6500000000000004</v>
      </c>
      <c r="AS100">
        <v>5.14</v>
      </c>
    </row>
    <row r="101" spans="1:45" x14ac:dyDescent="0.25">
      <c r="A101" t="s">
        <v>20001</v>
      </c>
      <c r="B101">
        <v>396</v>
      </c>
      <c r="C101">
        <v>11078682</v>
      </c>
      <c r="D101">
        <v>622369</v>
      </c>
      <c r="E101">
        <v>32759</v>
      </c>
      <c r="F101">
        <v>655128</v>
      </c>
      <c r="G101">
        <v>5.6000000000000001E-2</v>
      </c>
      <c r="H101">
        <v>3.0000000000000001E-3</v>
      </c>
      <c r="I101">
        <v>5.8999999999999997E-2</v>
      </c>
      <c r="J101" t="s">
        <v>1784</v>
      </c>
      <c r="K101" t="s">
        <v>1784</v>
      </c>
      <c r="L101" t="s">
        <v>1784</v>
      </c>
      <c r="M101" t="s">
        <v>1784</v>
      </c>
      <c r="N101" t="s">
        <v>1784</v>
      </c>
      <c r="O101" t="s">
        <v>1784</v>
      </c>
      <c r="P101">
        <v>507722</v>
      </c>
      <c r="Q101">
        <v>32759</v>
      </c>
      <c r="R101">
        <v>540481</v>
      </c>
      <c r="S101">
        <v>4.5999999999999999E-2</v>
      </c>
      <c r="T101">
        <v>3.0000000000000001E-3</v>
      </c>
      <c r="U101">
        <v>4.9000000000000002E-2</v>
      </c>
      <c r="V101">
        <v>10423554</v>
      </c>
      <c r="W101">
        <v>0.94099999999999995</v>
      </c>
      <c r="X101">
        <v>-43938</v>
      </c>
      <c r="Y101">
        <v>-32759</v>
      </c>
      <c r="Z101">
        <v>-76697</v>
      </c>
      <c r="AA101">
        <v>86935</v>
      </c>
      <c r="AB101">
        <v>0</v>
      </c>
      <c r="AC101">
        <v>86935</v>
      </c>
      <c r="AD101">
        <v>6</v>
      </c>
      <c r="AE101">
        <v>0</v>
      </c>
      <c r="AF101">
        <v>6</v>
      </c>
      <c r="AG101">
        <v>47748</v>
      </c>
      <c r="AH101">
        <v>0</v>
      </c>
      <c r="AI101">
        <v>47748</v>
      </c>
      <c r="AJ101">
        <v>1</v>
      </c>
      <c r="AK101">
        <v>26950</v>
      </c>
      <c r="AL101">
        <v>10</v>
      </c>
      <c r="AM101">
        <v>182201</v>
      </c>
      <c r="AN101">
        <v>5</v>
      </c>
      <c r="AO101">
        <v>4.6900000000000004</v>
      </c>
      <c r="AP101">
        <v>4.9800000000000004</v>
      </c>
      <c r="AQ101">
        <v>4.91</v>
      </c>
      <c r="AR101">
        <v>4.6900000000000004</v>
      </c>
      <c r="AS101">
        <v>4.8899999999999997</v>
      </c>
    </row>
    <row r="102" spans="1:45" x14ac:dyDescent="0.25">
      <c r="A102" t="s">
        <v>20002</v>
      </c>
      <c r="B102">
        <v>395</v>
      </c>
      <c r="C102">
        <v>11051732</v>
      </c>
      <c r="D102">
        <v>551481</v>
      </c>
      <c r="E102">
        <v>0</v>
      </c>
      <c r="F102">
        <v>551481</v>
      </c>
      <c r="G102">
        <v>0.05</v>
      </c>
      <c r="H102">
        <v>0</v>
      </c>
      <c r="I102">
        <v>0.05</v>
      </c>
      <c r="J102" t="s">
        <v>1784</v>
      </c>
      <c r="K102" t="s">
        <v>1784</v>
      </c>
      <c r="L102" t="s">
        <v>1784</v>
      </c>
      <c r="M102" t="s">
        <v>1784</v>
      </c>
      <c r="N102" t="s">
        <v>1784</v>
      </c>
      <c r="O102" t="s">
        <v>1784</v>
      </c>
      <c r="P102">
        <v>438149</v>
      </c>
      <c r="Q102">
        <v>0</v>
      </c>
      <c r="R102">
        <v>438149</v>
      </c>
      <c r="S102">
        <v>0.04</v>
      </c>
      <c r="T102">
        <v>0</v>
      </c>
      <c r="U102">
        <v>0.04</v>
      </c>
      <c r="V102">
        <v>10500251</v>
      </c>
      <c r="W102">
        <v>0.95</v>
      </c>
      <c r="X102">
        <v>-217448</v>
      </c>
      <c r="Y102">
        <v>0</v>
      </c>
      <c r="Z102">
        <v>-217448</v>
      </c>
      <c r="AA102">
        <v>90569</v>
      </c>
      <c r="AB102">
        <v>0</v>
      </c>
      <c r="AC102">
        <v>90569</v>
      </c>
      <c r="AD102">
        <v>8</v>
      </c>
      <c r="AE102">
        <v>0</v>
      </c>
      <c r="AF102">
        <v>8</v>
      </c>
      <c r="AG102">
        <v>114907</v>
      </c>
      <c r="AH102">
        <v>0</v>
      </c>
      <c r="AI102">
        <v>114907</v>
      </c>
      <c r="AJ102">
        <v>2</v>
      </c>
      <c r="AK102">
        <v>16326</v>
      </c>
      <c r="AL102">
        <v>8</v>
      </c>
      <c r="AM102">
        <v>172790</v>
      </c>
      <c r="AN102">
        <v>4.88</v>
      </c>
      <c r="AO102">
        <v>5</v>
      </c>
      <c r="AP102">
        <v>4.88</v>
      </c>
      <c r="AQ102">
        <v>4.8499999999999996</v>
      </c>
      <c r="AR102">
        <v>5</v>
      </c>
      <c r="AS102">
        <v>4.8499999999999996</v>
      </c>
    </row>
    <row r="103" spans="1:45" x14ac:dyDescent="0.25">
      <c r="A103" t="s">
        <v>20003</v>
      </c>
      <c r="B103">
        <v>393</v>
      </c>
      <c r="C103">
        <v>11035406</v>
      </c>
      <c r="D103">
        <v>317707</v>
      </c>
      <c r="E103">
        <v>0</v>
      </c>
      <c r="F103">
        <v>317707</v>
      </c>
      <c r="G103">
        <v>2.9000000000000001E-2</v>
      </c>
      <c r="H103">
        <v>0</v>
      </c>
      <c r="I103">
        <v>2.9000000000000001E-2</v>
      </c>
      <c r="J103" t="s">
        <v>1784</v>
      </c>
      <c r="K103" t="s">
        <v>1784</v>
      </c>
      <c r="L103" t="s">
        <v>1784</v>
      </c>
      <c r="M103" t="s">
        <v>1784</v>
      </c>
      <c r="N103" t="s">
        <v>1784</v>
      </c>
      <c r="O103" t="s">
        <v>1784</v>
      </c>
      <c r="P103">
        <v>303307</v>
      </c>
      <c r="Q103">
        <v>0</v>
      </c>
      <c r="R103">
        <v>303307</v>
      </c>
      <c r="S103">
        <v>2.7E-2</v>
      </c>
      <c r="T103">
        <v>0</v>
      </c>
      <c r="U103">
        <v>2.7E-2</v>
      </c>
      <c r="V103">
        <v>10717699</v>
      </c>
      <c r="W103">
        <v>0.97099999999999997</v>
      </c>
      <c r="X103">
        <v>100921</v>
      </c>
      <c r="Y103">
        <v>0</v>
      </c>
      <c r="Z103">
        <v>100921</v>
      </c>
      <c r="AA103">
        <v>149308</v>
      </c>
      <c r="AB103">
        <v>0</v>
      </c>
      <c r="AC103">
        <v>149308</v>
      </c>
      <c r="AD103">
        <v>11</v>
      </c>
      <c r="AE103">
        <v>0</v>
      </c>
      <c r="AF103">
        <v>11</v>
      </c>
      <c r="AG103">
        <v>78080</v>
      </c>
      <c r="AH103">
        <v>0</v>
      </c>
      <c r="AI103">
        <v>78080</v>
      </c>
      <c r="AJ103">
        <v>3</v>
      </c>
      <c r="AK103">
        <v>61678</v>
      </c>
      <c r="AL103">
        <v>4</v>
      </c>
      <c r="AM103">
        <v>67276</v>
      </c>
      <c r="AN103">
        <v>4.72</v>
      </c>
      <c r="AO103" t="s">
        <v>1784</v>
      </c>
      <c r="AP103">
        <v>4.72</v>
      </c>
      <c r="AQ103">
        <v>4.63</v>
      </c>
      <c r="AR103" t="s">
        <v>1784</v>
      </c>
      <c r="AS103">
        <v>4.63</v>
      </c>
    </row>
    <row r="104" spans="1:45" x14ac:dyDescent="0.25">
      <c r="A104" t="s">
        <v>20004</v>
      </c>
      <c r="B104">
        <v>390</v>
      </c>
      <c r="C104">
        <v>10973728</v>
      </c>
      <c r="D104">
        <v>356950</v>
      </c>
      <c r="E104">
        <v>0</v>
      </c>
      <c r="F104">
        <v>356950</v>
      </c>
      <c r="G104">
        <v>3.3000000000000002E-2</v>
      </c>
      <c r="H104">
        <v>0</v>
      </c>
      <c r="I104">
        <v>3.3000000000000002E-2</v>
      </c>
      <c r="J104" t="s">
        <v>1784</v>
      </c>
      <c r="K104" t="s">
        <v>1784</v>
      </c>
      <c r="L104" t="s">
        <v>1784</v>
      </c>
      <c r="M104" t="s">
        <v>1784</v>
      </c>
      <c r="N104" t="s">
        <v>1784</v>
      </c>
      <c r="O104" t="s">
        <v>1784</v>
      </c>
      <c r="P104">
        <v>341150</v>
      </c>
      <c r="Q104">
        <v>0</v>
      </c>
      <c r="R104">
        <v>341150</v>
      </c>
      <c r="S104">
        <v>3.1E-2</v>
      </c>
      <c r="T104">
        <v>0</v>
      </c>
      <c r="U104">
        <v>3.1E-2</v>
      </c>
      <c r="V104">
        <v>10616778</v>
      </c>
      <c r="W104">
        <v>0.96699999999999997</v>
      </c>
      <c r="X104">
        <v>222941</v>
      </c>
      <c r="Y104">
        <v>0</v>
      </c>
      <c r="Z104">
        <v>222941</v>
      </c>
      <c r="AA104">
        <v>264789</v>
      </c>
      <c r="AB104">
        <v>0</v>
      </c>
      <c r="AC104">
        <v>264789</v>
      </c>
      <c r="AD104">
        <v>9</v>
      </c>
      <c r="AE104">
        <v>0</v>
      </c>
      <c r="AF104">
        <v>9</v>
      </c>
      <c r="AG104">
        <v>37405</v>
      </c>
      <c r="AH104">
        <v>0</v>
      </c>
      <c r="AI104">
        <v>37405</v>
      </c>
      <c r="AJ104">
        <v>8</v>
      </c>
      <c r="AK104">
        <v>170734</v>
      </c>
      <c r="AL104">
        <v>6</v>
      </c>
      <c r="AM104">
        <v>102004</v>
      </c>
      <c r="AN104">
        <v>4.6500000000000004</v>
      </c>
      <c r="AO104" t="s">
        <v>1784</v>
      </c>
      <c r="AP104">
        <v>4.6500000000000004</v>
      </c>
      <c r="AQ104">
        <v>4.3499999999999996</v>
      </c>
      <c r="AR104" t="s">
        <v>1784</v>
      </c>
      <c r="AS104">
        <v>4.3499999999999996</v>
      </c>
    </row>
    <row r="105" spans="1:45" x14ac:dyDescent="0.25">
      <c r="A105" t="s">
        <v>20005</v>
      </c>
      <c r="B105">
        <v>382</v>
      </c>
      <c r="C105">
        <v>10802994</v>
      </c>
      <c r="D105">
        <v>409157</v>
      </c>
      <c r="E105">
        <v>0</v>
      </c>
      <c r="F105">
        <v>409157</v>
      </c>
      <c r="G105">
        <v>3.7999999999999999E-2</v>
      </c>
      <c r="H105">
        <v>0</v>
      </c>
      <c r="I105">
        <v>3.7999999999999999E-2</v>
      </c>
      <c r="J105" t="s">
        <v>1784</v>
      </c>
      <c r="K105" t="s">
        <v>1784</v>
      </c>
      <c r="L105" t="s">
        <v>1784</v>
      </c>
      <c r="M105" t="s">
        <v>1784</v>
      </c>
      <c r="N105" t="s">
        <v>1784</v>
      </c>
      <c r="O105" t="s">
        <v>1784</v>
      </c>
      <c r="P105">
        <v>390757</v>
      </c>
      <c r="Q105">
        <v>0</v>
      </c>
      <c r="R105">
        <v>390757</v>
      </c>
      <c r="S105">
        <v>3.5999999999999997E-2</v>
      </c>
      <c r="T105">
        <v>0</v>
      </c>
      <c r="U105">
        <v>3.5999999999999997E-2</v>
      </c>
      <c r="V105">
        <v>10393837</v>
      </c>
      <c r="W105">
        <v>0.96199999999999997</v>
      </c>
      <c r="X105">
        <v>238974</v>
      </c>
      <c r="Y105">
        <v>0</v>
      </c>
      <c r="Z105">
        <v>238974</v>
      </c>
      <c r="AA105">
        <v>431797</v>
      </c>
      <c r="AB105">
        <v>3050</v>
      </c>
      <c r="AC105">
        <v>434847</v>
      </c>
      <c r="AD105">
        <v>18</v>
      </c>
      <c r="AE105">
        <v>1</v>
      </c>
      <c r="AF105">
        <v>19</v>
      </c>
      <c r="AG105">
        <v>231948</v>
      </c>
      <c r="AH105">
        <v>3050</v>
      </c>
      <c r="AI105">
        <v>234998</v>
      </c>
      <c r="AJ105">
        <v>1</v>
      </c>
      <c r="AK105">
        <v>13464</v>
      </c>
      <c r="AL105">
        <v>11</v>
      </c>
      <c r="AM105">
        <v>232412</v>
      </c>
      <c r="AN105">
        <v>5.51</v>
      </c>
      <c r="AO105" t="s">
        <v>1784</v>
      </c>
      <c r="AP105">
        <v>5.51</v>
      </c>
      <c r="AQ105">
        <v>4.34</v>
      </c>
      <c r="AR105" t="s">
        <v>1784</v>
      </c>
      <c r="AS105">
        <v>4.34</v>
      </c>
    </row>
    <row r="106" spans="1:45" x14ac:dyDescent="0.25">
      <c r="A106" t="s">
        <v>20006</v>
      </c>
      <c r="B106">
        <v>381</v>
      </c>
      <c r="C106">
        <v>10789530</v>
      </c>
      <c r="D106">
        <v>634667</v>
      </c>
      <c r="E106">
        <v>0</v>
      </c>
      <c r="F106">
        <v>634667</v>
      </c>
      <c r="G106">
        <v>5.8999999999999997E-2</v>
      </c>
      <c r="H106">
        <v>0</v>
      </c>
      <c r="I106">
        <v>5.8999999999999997E-2</v>
      </c>
      <c r="J106" t="s">
        <v>1784</v>
      </c>
      <c r="K106" t="s">
        <v>1784</v>
      </c>
      <c r="L106" t="s">
        <v>1784</v>
      </c>
      <c r="M106" t="s">
        <v>1784</v>
      </c>
      <c r="N106" t="s">
        <v>1784</v>
      </c>
      <c r="O106" t="s">
        <v>1784</v>
      </c>
      <c r="P106">
        <v>633017</v>
      </c>
      <c r="Q106">
        <v>0</v>
      </c>
      <c r="R106">
        <v>633017</v>
      </c>
      <c r="S106">
        <v>5.8999999999999997E-2</v>
      </c>
      <c r="T106">
        <v>0</v>
      </c>
      <c r="U106">
        <v>5.8999999999999997E-2</v>
      </c>
      <c r="V106">
        <v>10154863</v>
      </c>
      <c r="W106">
        <v>0.94099999999999995</v>
      </c>
      <c r="X106" t="s">
        <v>1784</v>
      </c>
      <c r="Y106" t="s">
        <v>1784</v>
      </c>
      <c r="Z106" t="s">
        <v>1784</v>
      </c>
      <c r="AA106" t="s">
        <v>1784</v>
      </c>
      <c r="AB106" t="s">
        <v>1784</v>
      </c>
      <c r="AC106" t="s">
        <v>1784</v>
      </c>
      <c r="AD106">
        <v>9</v>
      </c>
      <c r="AE106">
        <v>0</v>
      </c>
      <c r="AF106">
        <v>9</v>
      </c>
      <c r="AG106">
        <v>142952</v>
      </c>
      <c r="AH106">
        <v>0</v>
      </c>
      <c r="AI106">
        <v>142952</v>
      </c>
      <c r="AJ106">
        <v>0</v>
      </c>
      <c r="AK106">
        <v>0</v>
      </c>
      <c r="AL106">
        <v>9</v>
      </c>
      <c r="AM106">
        <v>184198</v>
      </c>
      <c r="AN106">
        <v>3.98</v>
      </c>
      <c r="AO106">
        <v>6</v>
      </c>
      <c r="AP106">
        <v>4</v>
      </c>
      <c r="AQ106">
        <v>3.95</v>
      </c>
      <c r="AR106">
        <v>6</v>
      </c>
      <c r="AS106">
        <v>3.98</v>
      </c>
    </row>
    <row r="107" spans="1:45" x14ac:dyDescent="0.25">
      <c r="A107" t="s">
        <v>20007</v>
      </c>
      <c r="B107" t="s">
        <v>1784</v>
      </c>
      <c r="C107" t="s">
        <v>1784</v>
      </c>
      <c r="D107" t="s">
        <v>1784</v>
      </c>
      <c r="E107" t="s">
        <v>1784</v>
      </c>
      <c r="F107" t="s">
        <v>1784</v>
      </c>
      <c r="G107" t="s">
        <v>1784</v>
      </c>
      <c r="H107" t="s">
        <v>1784</v>
      </c>
      <c r="I107" t="s">
        <v>1784</v>
      </c>
      <c r="J107" t="s">
        <v>1784</v>
      </c>
      <c r="K107" t="s">
        <v>1784</v>
      </c>
      <c r="L107" t="s">
        <v>1784</v>
      </c>
      <c r="M107" t="s">
        <v>1784</v>
      </c>
      <c r="N107" t="s">
        <v>1784</v>
      </c>
      <c r="O107" t="s">
        <v>1784</v>
      </c>
      <c r="P107" t="s">
        <v>1784</v>
      </c>
      <c r="Q107" t="s">
        <v>1784</v>
      </c>
      <c r="R107" t="s">
        <v>1784</v>
      </c>
      <c r="S107" t="s">
        <v>1784</v>
      </c>
      <c r="T107" t="s">
        <v>1784</v>
      </c>
      <c r="U107" t="s">
        <v>1784</v>
      </c>
      <c r="V107" t="s">
        <v>1784</v>
      </c>
      <c r="W107" t="s">
        <v>1784</v>
      </c>
      <c r="X107" t="s">
        <v>1784</v>
      </c>
      <c r="Y107" t="s">
        <v>1784</v>
      </c>
      <c r="Z107" t="s">
        <v>1784</v>
      </c>
      <c r="AA107" t="s">
        <v>1784</v>
      </c>
      <c r="AB107" t="s">
        <v>1784</v>
      </c>
      <c r="AC107" t="s">
        <v>1784</v>
      </c>
      <c r="AD107" t="s">
        <v>1784</v>
      </c>
      <c r="AE107" t="s">
        <v>1784</v>
      </c>
      <c r="AF107" t="s">
        <v>1784</v>
      </c>
      <c r="AG107" t="s">
        <v>1784</v>
      </c>
      <c r="AH107" t="s">
        <v>1784</v>
      </c>
      <c r="AI107" t="s">
        <v>1784</v>
      </c>
      <c r="AJ107" t="s">
        <v>1784</v>
      </c>
      <c r="AK107" t="s">
        <v>1784</v>
      </c>
      <c r="AL107" t="s">
        <v>1784</v>
      </c>
      <c r="AM107" t="s">
        <v>1784</v>
      </c>
      <c r="AN107" t="s">
        <v>1784</v>
      </c>
      <c r="AO107" t="s">
        <v>1784</v>
      </c>
      <c r="AP107" t="s">
        <v>1784</v>
      </c>
      <c r="AQ107" t="s">
        <v>1784</v>
      </c>
      <c r="AR107" t="s">
        <v>1784</v>
      </c>
      <c r="AS107" t="s">
        <v>1784</v>
      </c>
    </row>
    <row r="108" spans="1:45" x14ac:dyDescent="0.25">
      <c r="A108" t="s">
        <v>20008</v>
      </c>
      <c r="B108" t="s">
        <v>1784</v>
      </c>
      <c r="C108" t="s">
        <v>1784</v>
      </c>
      <c r="D108" t="s">
        <v>1784</v>
      </c>
      <c r="E108" t="s">
        <v>1784</v>
      </c>
      <c r="F108" t="s">
        <v>1784</v>
      </c>
      <c r="G108" t="s">
        <v>1784</v>
      </c>
      <c r="H108" t="s">
        <v>1784</v>
      </c>
      <c r="I108" t="s">
        <v>1784</v>
      </c>
      <c r="J108" t="s">
        <v>1784</v>
      </c>
      <c r="K108" t="s">
        <v>1784</v>
      </c>
      <c r="L108" t="s">
        <v>1784</v>
      </c>
      <c r="M108" t="s">
        <v>1784</v>
      </c>
      <c r="N108" t="s">
        <v>1784</v>
      </c>
      <c r="O108" t="s">
        <v>1784</v>
      </c>
      <c r="P108" t="s">
        <v>1784</v>
      </c>
      <c r="Q108" t="s">
        <v>1784</v>
      </c>
      <c r="R108" t="s">
        <v>1784</v>
      </c>
      <c r="S108" t="s">
        <v>1784</v>
      </c>
      <c r="T108" t="s">
        <v>1784</v>
      </c>
      <c r="U108" t="s">
        <v>1784</v>
      </c>
      <c r="V108" t="s">
        <v>1784</v>
      </c>
      <c r="W108" t="s">
        <v>1784</v>
      </c>
      <c r="X108">
        <v>0</v>
      </c>
      <c r="Y108">
        <v>0</v>
      </c>
      <c r="Z108">
        <v>0</v>
      </c>
      <c r="AA108" t="s">
        <v>1784</v>
      </c>
      <c r="AB108" t="s">
        <v>1784</v>
      </c>
      <c r="AC108" t="s">
        <v>1784</v>
      </c>
      <c r="AD108" t="s">
        <v>1784</v>
      </c>
      <c r="AE108" t="s">
        <v>1784</v>
      </c>
      <c r="AF108" t="s">
        <v>1784</v>
      </c>
      <c r="AG108" t="s">
        <v>1784</v>
      </c>
      <c r="AH108" t="s">
        <v>1784</v>
      </c>
      <c r="AI108" t="s">
        <v>1784</v>
      </c>
      <c r="AJ108" t="s">
        <v>1784</v>
      </c>
      <c r="AK108" t="s">
        <v>1784</v>
      </c>
      <c r="AL108" t="s">
        <v>1784</v>
      </c>
      <c r="AM108" t="s">
        <v>1784</v>
      </c>
      <c r="AN108" t="s">
        <v>1784</v>
      </c>
      <c r="AO108" t="s">
        <v>1784</v>
      </c>
      <c r="AP108" t="s">
        <v>1784</v>
      </c>
      <c r="AQ108" t="s">
        <v>1784</v>
      </c>
      <c r="AR108" t="s">
        <v>1784</v>
      </c>
      <c r="AS108" t="s">
        <v>1784</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14"/>
  <dimension ref="A1:AS107"/>
  <sheetViews>
    <sheetView workbookViewId="0">
      <selection activeCell="A2" sqref="A2:AS107"/>
    </sheetView>
  </sheetViews>
  <sheetFormatPr defaultRowHeight="14.25" x14ac:dyDescent="0.25"/>
  <cols>
    <col min="2" max="2" width="9" bestFit="1" customWidth="1"/>
    <col min="3" max="3" width="10.140625" bestFit="1" customWidth="1"/>
    <col min="4" max="21" width="9" bestFit="1" customWidth="1"/>
    <col min="23" max="30" width="9" bestFit="1" customWidth="1"/>
    <col min="31" max="36" width="9.28515625" bestFit="1" customWidth="1"/>
  </cols>
  <sheetData>
    <row r="1" spans="1:45" x14ac:dyDescent="0.25">
      <c r="A1" t="s">
        <v>18478</v>
      </c>
      <c r="B1" t="s">
        <v>1079</v>
      </c>
      <c r="C1" t="s">
        <v>1080</v>
      </c>
      <c r="D1" t="s">
        <v>18479</v>
      </c>
      <c r="E1" t="s">
        <v>18480</v>
      </c>
      <c r="F1" t="s">
        <v>18481</v>
      </c>
      <c r="G1" t="s">
        <v>18404</v>
      </c>
      <c r="H1" t="s">
        <v>18405</v>
      </c>
      <c r="I1" t="s">
        <v>18406</v>
      </c>
      <c r="J1" t="s">
        <v>18482</v>
      </c>
      <c r="K1" t="s">
        <v>18483</v>
      </c>
      <c r="L1" t="s">
        <v>18484</v>
      </c>
      <c r="M1" t="s">
        <v>18485</v>
      </c>
      <c r="N1" t="s">
        <v>18486</v>
      </c>
      <c r="O1" t="s">
        <v>18487</v>
      </c>
      <c r="P1" t="s">
        <v>18488</v>
      </c>
      <c r="Q1" t="s">
        <v>18489</v>
      </c>
      <c r="R1" t="s">
        <v>18490</v>
      </c>
      <c r="S1" t="s">
        <v>1794</v>
      </c>
      <c r="T1" t="s">
        <v>1795</v>
      </c>
      <c r="U1" t="s">
        <v>1796</v>
      </c>
      <c r="V1" t="s">
        <v>18491</v>
      </c>
      <c r="W1" t="s">
        <v>1797</v>
      </c>
      <c r="X1" t="s">
        <v>1085</v>
      </c>
      <c r="Y1" t="s">
        <v>1798</v>
      </c>
      <c r="Z1" t="s">
        <v>1086</v>
      </c>
      <c r="AA1" t="s">
        <v>18492</v>
      </c>
      <c r="AB1" t="s">
        <v>18493</v>
      </c>
      <c r="AC1" t="s">
        <v>18494</v>
      </c>
      <c r="AD1" t="s">
        <v>18495</v>
      </c>
      <c r="AE1" t="s">
        <v>18496</v>
      </c>
      <c r="AF1" t="s">
        <v>1087</v>
      </c>
      <c r="AG1" t="s">
        <v>18497</v>
      </c>
      <c r="AH1" t="s">
        <v>18498</v>
      </c>
      <c r="AI1" t="s">
        <v>18499</v>
      </c>
      <c r="AJ1" t="s">
        <v>1081</v>
      </c>
      <c r="AK1" t="s">
        <v>1082</v>
      </c>
      <c r="AL1" t="s">
        <v>1083</v>
      </c>
      <c r="AM1" t="s">
        <v>1084</v>
      </c>
      <c r="AN1" t="s">
        <v>19973</v>
      </c>
      <c r="AO1" t="s">
        <v>19974</v>
      </c>
      <c r="AP1" t="s">
        <v>19975</v>
      </c>
      <c r="AQ1" t="s">
        <v>19976</v>
      </c>
      <c r="AR1" t="s">
        <v>19977</v>
      </c>
      <c r="AS1" t="s">
        <v>19978</v>
      </c>
    </row>
    <row r="2" spans="1:45" x14ac:dyDescent="0.25">
      <c r="A2" t="s">
        <v>19979</v>
      </c>
      <c r="B2">
        <v>751</v>
      </c>
      <c r="C2">
        <v>28993484</v>
      </c>
      <c r="D2">
        <v>3215307</v>
      </c>
      <c r="E2">
        <v>173261</v>
      </c>
      <c r="F2">
        <v>3388568</v>
      </c>
      <c r="G2">
        <v>0.111</v>
      </c>
      <c r="H2">
        <v>6.0000000000000001E-3</v>
      </c>
      <c r="I2">
        <v>0.11700000000000001</v>
      </c>
      <c r="J2">
        <v>3658103</v>
      </c>
      <c r="K2">
        <v>197109</v>
      </c>
      <c r="L2">
        <v>3832212</v>
      </c>
      <c r="M2">
        <v>0.125</v>
      </c>
      <c r="N2">
        <v>7.0000000000000001E-3</v>
      </c>
      <c r="O2">
        <v>0.13</v>
      </c>
      <c r="P2">
        <v>2786585</v>
      </c>
      <c r="Q2">
        <v>160109</v>
      </c>
      <c r="R2">
        <v>2946694</v>
      </c>
      <c r="S2">
        <v>9.6000000000000002E-2</v>
      </c>
      <c r="T2">
        <v>6.0000000000000001E-3</v>
      </c>
      <c r="U2">
        <v>0.10199999999999999</v>
      </c>
      <c r="V2">
        <v>25604916</v>
      </c>
      <c r="W2">
        <v>0.88300000000000001</v>
      </c>
      <c r="X2">
        <v>226308</v>
      </c>
      <c r="Y2">
        <v>6031</v>
      </c>
      <c r="Z2">
        <v>232339</v>
      </c>
      <c r="AA2">
        <v>656767</v>
      </c>
      <c r="AB2">
        <v>6031</v>
      </c>
      <c r="AC2">
        <v>662798</v>
      </c>
      <c r="AD2">
        <v>23</v>
      </c>
      <c r="AE2">
        <v>2</v>
      </c>
      <c r="AF2">
        <v>25</v>
      </c>
      <c r="AG2">
        <v>222273</v>
      </c>
      <c r="AH2">
        <v>45912</v>
      </c>
      <c r="AI2">
        <v>268185</v>
      </c>
      <c r="AJ2">
        <v>2</v>
      </c>
      <c r="AK2">
        <v>343800</v>
      </c>
      <c r="AL2">
        <v>4</v>
      </c>
      <c r="AM2">
        <v>377273</v>
      </c>
      <c r="AN2">
        <v>11.48</v>
      </c>
      <c r="AO2">
        <v>9.7200000000000006</v>
      </c>
      <c r="AP2">
        <v>11.24</v>
      </c>
      <c r="AQ2">
        <v>11.35</v>
      </c>
      <c r="AR2">
        <v>9.23</v>
      </c>
      <c r="AS2">
        <v>11.07</v>
      </c>
    </row>
    <row r="3" spans="1:45" x14ac:dyDescent="0.25">
      <c r="A3" t="s">
        <v>19980</v>
      </c>
      <c r="B3">
        <v>749</v>
      </c>
      <c r="C3">
        <v>28649684</v>
      </c>
      <c r="D3">
        <v>3097815</v>
      </c>
      <c r="E3">
        <v>179292</v>
      </c>
      <c r="F3">
        <v>3277107</v>
      </c>
      <c r="G3">
        <v>0.108</v>
      </c>
      <c r="H3">
        <v>6.0000000000000001E-3</v>
      </c>
      <c r="I3">
        <v>0.114</v>
      </c>
      <c r="J3">
        <v>3612628</v>
      </c>
      <c r="K3">
        <v>243021</v>
      </c>
      <c r="L3">
        <v>3832649</v>
      </c>
      <c r="M3">
        <v>0.123</v>
      </c>
      <c r="N3">
        <v>8.0000000000000002E-3</v>
      </c>
      <c r="O3">
        <v>0.13100000000000001</v>
      </c>
      <c r="P3">
        <v>2458009</v>
      </c>
      <c r="Q3">
        <v>173261</v>
      </c>
      <c r="R3">
        <v>2631270</v>
      </c>
      <c r="S3">
        <v>8.5999999999999993E-2</v>
      </c>
      <c r="T3">
        <v>6.0000000000000001E-3</v>
      </c>
      <c r="U3">
        <v>9.1999999999999998E-2</v>
      </c>
      <c r="V3">
        <v>25372577</v>
      </c>
      <c r="W3">
        <v>0.88600000000000001</v>
      </c>
      <c r="X3">
        <v>504252</v>
      </c>
      <c r="Y3">
        <v>-85602</v>
      </c>
      <c r="Z3">
        <v>418650</v>
      </c>
      <c r="AA3">
        <v>690844</v>
      </c>
      <c r="AB3">
        <v>0</v>
      </c>
      <c r="AC3">
        <v>690844</v>
      </c>
      <c r="AD3">
        <v>35</v>
      </c>
      <c r="AE3">
        <v>1</v>
      </c>
      <c r="AF3">
        <v>36</v>
      </c>
      <c r="AG3">
        <v>410510</v>
      </c>
      <c r="AH3">
        <v>6031</v>
      </c>
      <c r="AI3">
        <v>416541</v>
      </c>
      <c r="AJ3">
        <v>0</v>
      </c>
      <c r="AK3">
        <v>0</v>
      </c>
      <c r="AL3">
        <v>5</v>
      </c>
      <c r="AM3">
        <v>646015</v>
      </c>
      <c r="AN3">
        <v>12.04</v>
      </c>
      <c r="AO3">
        <v>9.7200000000000006</v>
      </c>
      <c r="AP3">
        <v>11.73</v>
      </c>
      <c r="AQ3">
        <v>11.86</v>
      </c>
      <c r="AR3">
        <v>9.23</v>
      </c>
      <c r="AS3">
        <v>11.52</v>
      </c>
    </row>
    <row r="4" spans="1:45" x14ac:dyDescent="0.25">
      <c r="A4" t="s">
        <v>19778</v>
      </c>
      <c r="B4">
        <v>749</v>
      </c>
      <c r="C4">
        <v>28649684</v>
      </c>
      <c r="D4">
        <v>3602067</v>
      </c>
      <c r="E4">
        <v>93690</v>
      </c>
      <c r="F4">
        <v>3695757</v>
      </c>
      <c r="G4">
        <v>0.126</v>
      </c>
      <c r="H4">
        <v>3.0000000000000001E-3</v>
      </c>
      <c r="I4">
        <v>0.129</v>
      </c>
      <c r="J4">
        <v>3891092</v>
      </c>
      <c r="K4">
        <v>230050</v>
      </c>
      <c r="L4">
        <v>4098142</v>
      </c>
      <c r="M4">
        <v>0.13300000000000001</v>
      </c>
      <c r="N4">
        <v>8.0000000000000002E-3</v>
      </c>
      <c r="O4">
        <v>0.14000000000000001</v>
      </c>
      <c r="P4">
        <v>2863400</v>
      </c>
      <c r="Q4">
        <v>93690</v>
      </c>
      <c r="R4">
        <v>2957090</v>
      </c>
      <c r="S4">
        <v>0.1</v>
      </c>
      <c r="T4">
        <v>3.0000000000000001E-3</v>
      </c>
      <c r="U4">
        <v>0.10299999999999999</v>
      </c>
      <c r="V4">
        <v>24953927</v>
      </c>
      <c r="W4">
        <v>0.871</v>
      </c>
      <c r="X4">
        <v>58221</v>
      </c>
      <c r="Y4">
        <v>3054</v>
      </c>
      <c r="Z4">
        <v>61275</v>
      </c>
      <c r="AA4">
        <v>325977</v>
      </c>
      <c r="AB4">
        <v>8000</v>
      </c>
      <c r="AC4">
        <v>333977</v>
      </c>
      <c r="AD4">
        <v>35</v>
      </c>
      <c r="AE4">
        <v>0</v>
      </c>
      <c r="AF4">
        <v>35</v>
      </c>
      <c r="AG4">
        <v>471467</v>
      </c>
      <c r="AH4">
        <v>0</v>
      </c>
      <c r="AI4">
        <v>471467</v>
      </c>
      <c r="AJ4">
        <v>4</v>
      </c>
      <c r="AK4">
        <v>588550</v>
      </c>
      <c r="AL4">
        <v>5</v>
      </c>
      <c r="AM4">
        <v>646015</v>
      </c>
      <c r="AN4">
        <v>12.05</v>
      </c>
      <c r="AO4">
        <v>10.119999999999999</v>
      </c>
      <c r="AP4">
        <v>11.82</v>
      </c>
      <c r="AQ4">
        <v>11.88</v>
      </c>
      <c r="AR4">
        <v>9.52</v>
      </c>
      <c r="AS4">
        <v>11.61</v>
      </c>
    </row>
    <row r="5" spans="1:45" x14ac:dyDescent="0.25">
      <c r="A5" t="s">
        <v>19779</v>
      </c>
      <c r="B5">
        <v>745</v>
      </c>
      <c r="C5">
        <v>28061134</v>
      </c>
      <c r="D5">
        <v>3071738</v>
      </c>
      <c r="E5">
        <v>96744</v>
      </c>
      <c r="F5">
        <v>3168482</v>
      </c>
      <c r="G5">
        <v>0.109</v>
      </c>
      <c r="H5">
        <v>3.0000000000000001E-3</v>
      </c>
      <c r="I5">
        <v>0.113</v>
      </c>
      <c r="J5">
        <v>3876151</v>
      </c>
      <c r="K5">
        <v>125690</v>
      </c>
      <c r="L5">
        <v>3993841</v>
      </c>
      <c r="M5">
        <v>0.13400000000000001</v>
      </c>
      <c r="N5">
        <v>4.0000000000000001E-3</v>
      </c>
      <c r="O5">
        <v>0.13800000000000001</v>
      </c>
      <c r="P5">
        <v>2769462</v>
      </c>
      <c r="Q5">
        <v>96744</v>
      </c>
      <c r="R5">
        <v>2866206</v>
      </c>
      <c r="S5">
        <v>9.9000000000000005E-2</v>
      </c>
      <c r="T5">
        <v>3.0000000000000001E-3</v>
      </c>
      <c r="U5">
        <v>0.10199999999999999</v>
      </c>
      <c r="V5">
        <v>24892652</v>
      </c>
      <c r="W5">
        <v>0.88700000000000001</v>
      </c>
      <c r="X5">
        <v>55732</v>
      </c>
      <c r="Y5">
        <v>-9437</v>
      </c>
      <c r="Z5">
        <v>46295</v>
      </c>
      <c r="AA5">
        <v>277573</v>
      </c>
      <c r="AB5">
        <v>40049</v>
      </c>
      <c r="AC5">
        <v>317622</v>
      </c>
      <c r="AD5">
        <v>33</v>
      </c>
      <c r="AE5">
        <v>1</v>
      </c>
      <c r="AF5">
        <v>34</v>
      </c>
      <c r="AG5">
        <v>289471</v>
      </c>
      <c r="AH5">
        <v>5000</v>
      </c>
      <c r="AI5">
        <v>294471</v>
      </c>
      <c r="AJ5">
        <v>7</v>
      </c>
      <c r="AK5">
        <v>974775</v>
      </c>
      <c r="AL5">
        <v>7</v>
      </c>
      <c r="AM5">
        <v>890765</v>
      </c>
      <c r="AN5">
        <v>12.07</v>
      </c>
      <c r="AO5">
        <v>11.8</v>
      </c>
      <c r="AP5">
        <v>12.04</v>
      </c>
      <c r="AQ5">
        <v>11.74</v>
      </c>
      <c r="AR5">
        <v>11.53</v>
      </c>
      <c r="AS5">
        <v>11.73</v>
      </c>
    </row>
    <row r="6" spans="1:45" x14ac:dyDescent="0.25">
      <c r="A6" t="s">
        <v>19780</v>
      </c>
      <c r="B6">
        <v>738</v>
      </c>
      <c r="C6">
        <v>27086359</v>
      </c>
      <c r="D6">
        <v>2152695</v>
      </c>
      <c r="E6">
        <v>87307</v>
      </c>
      <c r="F6">
        <v>2240002</v>
      </c>
      <c r="G6">
        <v>7.9000000000000001E-2</v>
      </c>
      <c r="H6">
        <v>3.0000000000000001E-3</v>
      </c>
      <c r="I6">
        <v>8.3000000000000004E-2</v>
      </c>
      <c r="J6">
        <v>3924770</v>
      </c>
      <c r="K6">
        <v>76645</v>
      </c>
      <c r="L6">
        <v>4001415</v>
      </c>
      <c r="M6">
        <v>0.13600000000000001</v>
      </c>
      <c r="N6">
        <v>3.0000000000000001E-3</v>
      </c>
      <c r="O6">
        <v>0.13800000000000001</v>
      </c>
      <c r="P6">
        <v>1777328</v>
      </c>
      <c r="Q6">
        <v>68645</v>
      </c>
      <c r="R6">
        <v>1845973</v>
      </c>
      <c r="S6">
        <v>6.6000000000000003E-2</v>
      </c>
      <c r="T6">
        <v>3.0000000000000001E-3</v>
      </c>
      <c r="U6">
        <v>6.8000000000000005E-2</v>
      </c>
      <c r="V6">
        <v>24846357</v>
      </c>
      <c r="W6">
        <v>0.91700000000000004</v>
      </c>
      <c r="X6">
        <v>-41072</v>
      </c>
      <c r="Y6">
        <v>26495</v>
      </c>
      <c r="Z6">
        <v>-14577</v>
      </c>
      <c r="AA6">
        <v>234999</v>
      </c>
      <c r="AB6">
        <v>77579</v>
      </c>
      <c r="AC6">
        <v>312578</v>
      </c>
      <c r="AD6">
        <v>25</v>
      </c>
      <c r="AE6">
        <v>3</v>
      </c>
      <c r="AF6">
        <v>28</v>
      </c>
      <c r="AG6">
        <v>312013</v>
      </c>
      <c r="AH6">
        <v>72459</v>
      </c>
      <c r="AI6">
        <v>384472</v>
      </c>
      <c r="AJ6">
        <v>0</v>
      </c>
      <c r="AK6">
        <v>0</v>
      </c>
      <c r="AL6">
        <v>14</v>
      </c>
      <c r="AM6">
        <v>1865540</v>
      </c>
      <c r="AN6">
        <v>11.58</v>
      </c>
      <c r="AO6">
        <v>12.3</v>
      </c>
      <c r="AP6">
        <v>11.6</v>
      </c>
      <c r="AQ6">
        <v>11.25</v>
      </c>
      <c r="AR6">
        <v>12.65</v>
      </c>
      <c r="AS6">
        <v>11.27</v>
      </c>
    </row>
    <row r="7" spans="1:45" x14ac:dyDescent="0.25">
      <c r="A7" t="s">
        <v>19781</v>
      </c>
      <c r="B7">
        <v>738</v>
      </c>
      <c r="C7">
        <v>27086359</v>
      </c>
      <c r="D7">
        <v>2111623</v>
      </c>
      <c r="E7">
        <v>113802</v>
      </c>
      <c r="F7">
        <v>2225425</v>
      </c>
      <c r="G7">
        <v>7.8E-2</v>
      </c>
      <c r="H7">
        <v>4.0000000000000001E-3</v>
      </c>
      <c r="I7">
        <v>8.2000000000000003E-2</v>
      </c>
      <c r="J7">
        <v>4077688</v>
      </c>
      <c r="K7">
        <v>194885</v>
      </c>
      <c r="L7">
        <v>4237937</v>
      </c>
      <c r="M7">
        <v>0.14099999999999999</v>
      </c>
      <c r="N7">
        <v>7.0000000000000001E-3</v>
      </c>
      <c r="O7">
        <v>0.14599999999999999</v>
      </c>
      <c r="P7">
        <v>1855402</v>
      </c>
      <c r="Q7">
        <v>110302</v>
      </c>
      <c r="R7">
        <v>1965704</v>
      </c>
      <c r="S7">
        <v>6.8000000000000005E-2</v>
      </c>
      <c r="T7">
        <v>4.0000000000000001E-3</v>
      </c>
      <c r="U7">
        <v>7.2999999999999995E-2</v>
      </c>
      <c r="V7">
        <v>24860934</v>
      </c>
      <c r="W7">
        <v>0.91800000000000004</v>
      </c>
      <c r="X7">
        <v>476150</v>
      </c>
      <c r="Y7">
        <v>10546</v>
      </c>
      <c r="Z7">
        <v>486696</v>
      </c>
      <c r="AA7">
        <v>757174</v>
      </c>
      <c r="AB7">
        <v>29208</v>
      </c>
      <c r="AC7">
        <v>786382</v>
      </c>
      <c r="AD7">
        <v>54</v>
      </c>
      <c r="AE7">
        <v>3</v>
      </c>
      <c r="AF7">
        <v>57</v>
      </c>
      <c r="AG7">
        <v>549351</v>
      </c>
      <c r="AH7">
        <v>79357</v>
      </c>
      <c r="AI7">
        <v>628708</v>
      </c>
      <c r="AJ7">
        <v>1</v>
      </c>
      <c r="AK7">
        <v>529836</v>
      </c>
      <c r="AL7">
        <v>14</v>
      </c>
      <c r="AM7">
        <v>1865540</v>
      </c>
      <c r="AN7">
        <v>11.29</v>
      </c>
      <c r="AO7">
        <v>8.2100000000000009</v>
      </c>
      <c r="AP7">
        <v>10.68</v>
      </c>
      <c r="AQ7">
        <v>10.92</v>
      </c>
      <c r="AR7">
        <v>8.06</v>
      </c>
      <c r="AS7">
        <v>10.32</v>
      </c>
    </row>
    <row r="8" spans="1:45" x14ac:dyDescent="0.25">
      <c r="A8" t="s">
        <v>19782</v>
      </c>
      <c r="B8">
        <v>737</v>
      </c>
      <c r="C8">
        <v>26556523</v>
      </c>
      <c r="D8">
        <v>2057937</v>
      </c>
      <c r="E8">
        <v>124348</v>
      </c>
      <c r="F8">
        <v>2182285</v>
      </c>
      <c r="G8">
        <v>7.6999999999999999E-2</v>
      </c>
      <c r="H8">
        <v>5.0000000000000001E-3</v>
      </c>
      <c r="I8">
        <v>8.2000000000000003E-2</v>
      </c>
      <c r="J8">
        <v>4072527</v>
      </c>
      <c r="K8">
        <v>224483</v>
      </c>
      <c r="L8">
        <v>4297010</v>
      </c>
      <c r="M8">
        <v>0.14099999999999999</v>
      </c>
      <c r="N8">
        <v>8.0000000000000002E-3</v>
      </c>
      <c r="O8">
        <v>0.14899999999999999</v>
      </c>
      <c r="P8">
        <v>1898314</v>
      </c>
      <c r="Q8">
        <v>124348</v>
      </c>
      <c r="R8">
        <v>2022662</v>
      </c>
      <c r="S8">
        <v>7.0999999999999994E-2</v>
      </c>
      <c r="T8">
        <v>5.0000000000000001E-3</v>
      </c>
      <c r="U8">
        <v>7.5999999999999998E-2</v>
      </c>
      <c r="V8">
        <v>24374238</v>
      </c>
      <c r="W8">
        <v>0.91800000000000004</v>
      </c>
      <c r="X8">
        <v>103619</v>
      </c>
      <c r="Y8">
        <v>-12161</v>
      </c>
      <c r="Z8">
        <v>91458</v>
      </c>
      <c r="AA8">
        <v>352398</v>
      </c>
      <c r="AB8">
        <v>0</v>
      </c>
      <c r="AC8">
        <v>352398</v>
      </c>
      <c r="AD8">
        <v>34</v>
      </c>
      <c r="AE8">
        <v>1</v>
      </c>
      <c r="AF8">
        <v>35</v>
      </c>
      <c r="AG8">
        <v>164844</v>
      </c>
      <c r="AH8">
        <v>4000</v>
      </c>
      <c r="AI8">
        <v>168844</v>
      </c>
      <c r="AJ8">
        <v>0</v>
      </c>
      <c r="AK8">
        <v>0</v>
      </c>
      <c r="AL8">
        <v>14</v>
      </c>
      <c r="AM8">
        <v>2364316</v>
      </c>
      <c r="AN8">
        <v>11.32</v>
      </c>
      <c r="AO8">
        <v>8.19</v>
      </c>
      <c r="AP8">
        <v>10.66</v>
      </c>
      <c r="AQ8">
        <v>11.09</v>
      </c>
      <c r="AR8">
        <v>8.09</v>
      </c>
      <c r="AS8">
        <v>10.44</v>
      </c>
    </row>
    <row r="9" spans="1:45" x14ac:dyDescent="0.25">
      <c r="A9" t="s">
        <v>19783</v>
      </c>
      <c r="B9">
        <v>739</v>
      </c>
      <c r="C9">
        <v>26632111</v>
      </c>
      <c r="D9">
        <v>2237144</v>
      </c>
      <c r="E9">
        <v>112187</v>
      </c>
      <c r="F9">
        <v>2349331</v>
      </c>
      <c r="G9">
        <v>8.4000000000000005E-2</v>
      </c>
      <c r="H9">
        <v>4.0000000000000001E-3</v>
      </c>
      <c r="I9">
        <v>8.7999999999999995E-2</v>
      </c>
      <c r="J9">
        <v>3505434</v>
      </c>
      <c r="K9">
        <v>208322</v>
      </c>
      <c r="L9">
        <v>3713756</v>
      </c>
      <c r="M9">
        <v>0.124</v>
      </c>
      <c r="N9">
        <v>7.0000000000000001E-3</v>
      </c>
      <c r="O9">
        <v>0.13100000000000001</v>
      </c>
      <c r="P9">
        <v>1787208</v>
      </c>
      <c r="Q9">
        <v>112187</v>
      </c>
      <c r="R9">
        <v>1899395</v>
      </c>
      <c r="S9">
        <v>6.7000000000000004E-2</v>
      </c>
      <c r="T9">
        <v>4.0000000000000001E-3</v>
      </c>
      <c r="U9">
        <v>7.0999999999999994E-2</v>
      </c>
      <c r="V9">
        <v>24282780</v>
      </c>
      <c r="W9">
        <v>0.91200000000000003</v>
      </c>
      <c r="X9">
        <v>-80356</v>
      </c>
      <c r="Y9">
        <v>40598</v>
      </c>
      <c r="Z9">
        <v>-39758</v>
      </c>
      <c r="AA9">
        <v>307716</v>
      </c>
      <c r="AB9">
        <v>43746</v>
      </c>
      <c r="AC9">
        <v>351462</v>
      </c>
      <c r="AD9">
        <v>18</v>
      </c>
      <c r="AE9">
        <v>2</v>
      </c>
      <c r="AF9">
        <v>20</v>
      </c>
      <c r="AG9">
        <v>191510</v>
      </c>
      <c r="AH9">
        <v>15146</v>
      </c>
      <c r="AI9">
        <v>206656</v>
      </c>
      <c r="AJ9">
        <v>3</v>
      </c>
      <c r="AK9">
        <v>244750</v>
      </c>
      <c r="AL9">
        <v>10</v>
      </c>
      <c r="AM9">
        <v>1710072</v>
      </c>
      <c r="AN9">
        <v>11.42</v>
      </c>
      <c r="AO9">
        <v>8.42</v>
      </c>
      <c r="AP9">
        <v>10.79</v>
      </c>
      <c r="AQ9">
        <v>11.37</v>
      </c>
      <c r="AR9">
        <v>8.15</v>
      </c>
      <c r="AS9">
        <v>10.7</v>
      </c>
    </row>
    <row r="10" spans="1:45" x14ac:dyDescent="0.25">
      <c r="A10" t="s">
        <v>19784</v>
      </c>
      <c r="B10">
        <v>736</v>
      </c>
      <c r="C10">
        <v>26387361</v>
      </c>
      <c r="D10">
        <v>1912038</v>
      </c>
      <c r="E10">
        <v>152785</v>
      </c>
      <c r="F10">
        <v>2064823</v>
      </c>
      <c r="G10">
        <v>7.1999999999999995E-2</v>
      </c>
      <c r="H10">
        <v>6.0000000000000001E-3</v>
      </c>
      <c r="I10">
        <v>7.8E-2</v>
      </c>
      <c r="J10">
        <v>2493279</v>
      </c>
      <c r="K10">
        <v>224120</v>
      </c>
      <c r="L10">
        <v>2717399</v>
      </c>
      <c r="M10">
        <v>9.0999999999999998E-2</v>
      </c>
      <c r="N10">
        <v>8.0000000000000002E-3</v>
      </c>
      <c r="O10">
        <v>9.9000000000000005E-2</v>
      </c>
      <c r="P10">
        <v>1471517</v>
      </c>
      <c r="Q10">
        <v>124185</v>
      </c>
      <c r="R10">
        <v>1595702</v>
      </c>
      <c r="S10">
        <v>5.6000000000000001E-2</v>
      </c>
      <c r="T10">
        <v>5.0000000000000001E-3</v>
      </c>
      <c r="U10">
        <v>0.06</v>
      </c>
      <c r="V10">
        <v>24322538</v>
      </c>
      <c r="W10">
        <v>0.92200000000000004</v>
      </c>
      <c r="X10">
        <v>72277</v>
      </c>
      <c r="Y10">
        <v>-36708</v>
      </c>
      <c r="Z10">
        <v>35569</v>
      </c>
      <c r="AA10">
        <v>238021</v>
      </c>
      <c r="AB10">
        <v>0</v>
      </c>
      <c r="AC10">
        <v>238021</v>
      </c>
      <c r="AD10">
        <v>31</v>
      </c>
      <c r="AE10">
        <v>2</v>
      </c>
      <c r="AF10">
        <v>33</v>
      </c>
      <c r="AG10">
        <v>366695</v>
      </c>
      <c r="AH10">
        <v>10900</v>
      </c>
      <c r="AI10">
        <v>377595</v>
      </c>
      <c r="AJ10">
        <v>4</v>
      </c>
      <c r="AK10">
        <v>295713</v>
      </c>
      <c r="AL10">
        <v>6</v>
      </c>
      <c r="AM10">
        <v>1110915</v>
      </c>
      <c r="AN10">
        <v>11.27</v>
      </c>
      <c r="AO10">
        <v>8.3800000000000008</v>
      </c>
      <c r="AP10">
        <v>10.63</v>
      </c>
      <c r="AQ10">
        <v>11.31</v>
      </c>
      <c r="AR10">
        <v>8.1</v>
      </c>
      <c r="AS10">
        <v>10.62</v>
      </c>
    </row>
    <row r="11" spans="1:45" x14ac:dyDescent="0.25">
      <c r="A11" t="s">
        <v>19785</v>
      </c>
      <c r="B11">
        <v>732</v>
      </c>
      <c r="C11">
        <v>26091648</v>
      </c>
      <c r="D11">
        <v>1688602</v>
      </c>
      <c r="E11">
        <v>116077</v>
      </c>
      <c r="F11">
        <v>1804679</v>
      </c>
      <c r="G11">
        <v>6.5000000000000002E-2</v>
      </c>
      <c r="H11">
        <v>4.0000000000000001E-3</v>
      </c>
      <c r="I11">
        <v>6.9000000000000006E-2</v>
      </c>
      <c r="J11">
        <v>2631031</v>
      </c>
      <c r="K11">
        <v>146126</v>
      </c>
      <c r="L11">
        <v>2777157</v>
      </c>
      <c r="M11">
        <v>9.6000000000000002E-2</v>
      </c>
      <c r="N11">
        <v>5.0000000000000001E-3</v>
      </c>
      <c r="O11">
        <v>0.10100000000000001</v>
      </c>
      <c r="P11">
        <v>1535214</v>
      </c>
      <c r="Q11">
        <v>95477</v>
      </c>
      <c r="R11">
        <v>1630691</v>
      </c>
      <c r="S11">
        <v>5.8999999999999997E-2</v>
      </c>
      <c r="T11">
        <v>4.0000000000000001E-3</v>
      </c>
      <c r="U11">
        <v>6.2E-2</v>
      </c>
      <c r="V11">
        <v>24286969</v>
      </c>
      <c r="W11">
        <v>0.93100000000000005</v>
      </c>
      <c r="X11">
        <v>282533</v>
      </c>
      <c r="Y11">
        <v>-45146</v>
      </c>
      <c r="Z11">
        <v>237387</v>
      </c>
      <c r="AA11">
        <v>473248</v>
      </c>
      <c r="AB11">
        <v>0</v>
      </c>
      <c r="AC11">
        <v>473248</v>
      </c>
      <c r="AD11">
        <v>36</v>
      </c>
      <c r="AE11">
        <v>1</v>
      </c>
      <c r="AF11">
        <v>37</v>
      </c>
      <c r="AG11">
        <v>162594</v>
      </c>
      <c r="AH11">
        <v>20600</v>
      </c>
      <c r="AI11">
        <v>183194</v>
      </c>
      <c r="AJ11">
        <v>2</v>
      </c>
      <c r="AK11">
        <v>282601</v>
      </c>
      <c r="AL11">
        <v>10</v>
      </c>
      <c r="AM11">
        <v>1406628</v>
      </c>
      <c r="AN11">
        <v>11.24</v>
      </c>
      <c r="AO11">
        <v>7.88</v>
      </c>
      <c r="AP11">
        <v>10.64</v>
      </c>
      <c r="AQ11">
        <v>11.27</v>
      </c>
      <c r="AR11">
        <v>7.85</v>
      </c>
      <c r="AS11">
        <v>10.73</v>
      </c>
    </row>
    <row r="12" spans="1:45" x14ac:dyDescent="0.25">
      <c r="A12" t="s">
        <v>19786</v>
      </c>
      <c r="B12">
        <v>730</v>
      </c>
      <c r="C12">
        <v>25809047</v>
      </c>
      <c r="D12">
        <v>1688534</v>
      </c>
      <c r="E12">
        <v>70931</v>
      </c>
      <c r="F12">
        <v>1759465</v>
      </c>
      <c r="G12">
        <v>6.5000000000000002E-2</v>
      </c>
      <c r="H12">
        <v>3.0000000000000001E-3</v>
      </c>
      <c r="I12">
        <v>6.8000000000000005E-2</v>
      </c>
      <c r="J12">
        <v>2666242</v>
      </c>
      <c r="K12">
        <v>136380</v>
      </c>
      <c r="L12">
        <v>2802622</v>
      </c>
      <c r="M12">
        <v>0.1</v>
      </c>
      <c r="N12">
        <v>5.0000000000000001E-3</v>
      </c>
      <c r="O12">
        <v>0.105</v>
      </c>
      <c r="P12">
        <v>1481205</v>
      </c>
      <c r="Q12">
        <v>70931</v>
      </c>
      <c r="R12">
        <v>1552136</v>
      </c>
      <c r="S12">
        <v>5.7000000000000002E-2</v>
      </c>
      <c r="T12">
        <v>3.0000000000000001E-3</v>
      </c>
      <c r="U12">
        <v>0.06</v>
      </c>
      <c r="V12">
        <v>24049582</v>
      </c>
      <c r="W12">
        <v>0.93200000000000005</v>
      </c>
      <c r="X12">
        <v>122457</v>
      </c>
      <c r="Y12">
        <v>0</v>
      </c>
      <c r="Z12">
        <v>122457</v>
      </c>
      <c r="AA12">
        <v>356060</v>
      </c>
      <c r="AB12">
        <v>0</v>
      </c>
      <c r="AC12">
        <v>356060</v>
      </c>
      <c r="AD12">
        <v>26</v>
      </c>
      <c r="AE12">
        <v>0</v>
      </c>
      <c r="AF12">
        <v>26</v>
      </c>
      <c r="AG12">
        <v>202425</v>
      </c>
      <c r="AH12">
        <v>0</v>
      </c>
      <c r="AI12">
        <v>202425</v>
      </c>
      <c r="AJ12">
        <v>1</v>
      </c>
      <c r="AK12">
        <v>131170</v>
      </c>
      <c r="AL12">
        <v>9</v>
      </c>
      <c r="AM12">
        <v>937943</v>
      </c>
      <c r="AN12">
        <v>10.88</v>
      </c>
      <c r="AO12">
        <v>9.26</v>
      </c>
      <c r="AP12">
        <v>10.62</v>
      </c>
      <c r="AQ12">
        <v>10.89</v>
      </c>
      <c r="AR12">
        <v>9.26</v>
      </c>
      <c r="AS12">
        <v>10.61</v>
      </c>
    </row>
    <row r="13" spans="1:45" x14ac:dyDescent="0.25">
      <c r="A13" t="s">
        <v>19787</v>
      </c>
      <c r="B13">
        <v>729</v>
      </c>
      <c r="C13">
        <v>25677877</v>
      </c>
      <c r="D13">
        <v>1710921</v>
      </c>
      <c r="E13">
        <v>70931</v>
      </c>
      <c r="F13">
        <v>1781852</v>
      </c>
      <c r="G13">
        <v>6.7000000000000004E-2</v>
      </c>
      <c r="H13">
        <v>3.0000000000000001E-3</v>
      </c>
      <c r="I13">
        <v>6.9000000000000006E-2</v>
      </c>
      <c r="J13">
        <v>2348935</v>
      </c>
      <c r="K13">
        <v>152908</v>
      </c>
      <c r="L13">
        <v>2501843</v>
      </c>
      <c r="M13">
        <v>8.8999999999999996E-2</v>
      </c>
      <c r="N13">
        <v>6.0000000000000001E-3</v>
      </c>
      <c r="O13">
        <v>9.4E-2</v>
      </c>
      <c r="P13">
        <v>1365405</v>
      </c>
      <c r="Q13">
        <v>70931</v>
      </c>
      <c r="R13">
        <v>1436336</v>
      </c>
      <c r="S13">
        <v>5.2999999999999999E-2</v>
      </c>
      <c r="T13">
        <v>3.0000000000000001E-3</v>
      </c>
      <c r="U13">
        <v>5.6000000000000001E-2</v>
      </c>
      <c r="V13">
        <v>23896025</v>
      </c>
      <c r="W13">
        <v>0.93100000000000005</v>
      </c>
      <c r="X13">
        <v>499544</v>
      </c>
      <c r="Y13">
        <v>0</v>
      </c>
      <c r="Z13">
        <v>499544</v>
      </c>
      <c r="AA13">
        <v>628074</v>
      </c>
      <c r="AB13">
        <v>0</v>
      </c>
      <c r="AC13">
        <v>628074</v>
      </c>
      <c r="AD13">
        <v>32</v>
      </c>
      <c r="AE13">
        <v>0</v>
      </c>
      <c r="AF13">
        <v>32</v>
      </c>
      <c r="AG13">
        <v>231996</v>
      </c>
      <c r="AH13">
        <v>0</v>
      </c>
      <c r="AI13">
        <v>231996</v>
      </c>
      <c r="AJ13">
        <v>5</v>
      </c>
      <c r="AK13">
        <v>753330</v>
      </c>
      <c r="AL13">
        <v>7</v>
      </c>
      <c r="AM13">
        <v>856056</v>
      </c>
      <c r="AN13">
        <v>11.03</v>
      </c>
      <c r="AO13">
        <v>8.4</v>
      </c>
      <c r="AP13">
        <v>10.52</v>
      </c>
      <c r="AQ13">
        <v>10.84</v>
      </c>
      <c r="AR13">
        <v>8.4</v>
      </c>
      <c r="AS13">
        <v>10.33</v>
      </c>
    </row>
    <row r="14" spans="1:45" x14ac:dyDescent="0.25">
      <c r="A14" t="s">
        <v>19788</v>
      </c>
      <c r="B14">
        <v>724</v>
      </c>
      <c r="C14">
        <v>24924547</v>
      </c>
      <c r="D14">
        <v>1426035</v>
      </c>
      <c r="E14">
        <v>70931</v>
      </c>
      <c r="F14">
        <v>1496966</v>
      </c>
      <c r="G14">
        <v>5.7000000000000002E-2</v>
      </c>
      <c r="H14">
        <v>3.0000000000000001E-3</v>
      </c>
      <c r="I14">
        <v>0.06</v>
      </c>
      <c r="J14">
        <v>2413761</v>
      </c>
      <c r="K14">
        <v>102259</v>
      </c>
      <c r="L14">
        <v>2516020</v>
      </c>
      <c r="M14">
        <v>9.0999999999999998E-2</v>
      </c>
      <c r="N14">
        <v>4.0000000000000001E-3</v>
      </c>
      <c r="O14">
        <v>9.5000000000000001E-2</v>
      </c>
      <c r="P14">
        <v>1040602</v>
      </c>
      <c r="Q14">
        <v>70931</v>
      </c>
      <c r="R14">
        <v>1111533</v>
      </c>
      <c r="S14">
        <v>4.2000000000000003E-2</v>
      </c>
      <c r="T14">
        <v>3.0000000000000001E-3</v>
      </c>
      <c r="U14">
        <v>4.4999999999999998E-2</v>
      </c>
      <c r="V14">
        <v>23427581</v>
      </c>
      <c r="W14">
        <v>0.94</v>
      </c>
      <c r="X14">
        <v>114815</v>
      </c>
      <c r="Y14">
        <v>103310</v>
      </c>
      <c r="Z14">
        <v>218125</v>
      </c>
      <c r="AA14">
        <v>250101</v>
      </c>
      <c r="AB14">
        <v>103310</v>
      </c>
      <c r="AC14">
        <v>353411</v>
      </c>
      <c r="AD14">
        <v>32</v>
      </c>
      <c r="AE14">
        <v>0</v>
      </c>
      <c r="AF14">
        <v>32</v>
      </c>
      <c r="AG14">
        <v>727697</v>
      </c>
      <c r="AH14">
        <v>0</v>
      </c>
      <c r="AI14">
        <v>727697</v>
      </c>
      <c r="AJ14">
        <v>3</v>
      </c>
      <c r="AK14">
        <v>424308</v>
      </c>
      <c r="AL14">
        <v>11</v>
      </c>
      <c r="AM14">
        <v>1459140</v>
      </c>
      <c r="AN14">
        <v>10.54</v>
      </c>
      <c r="AO14">
        <v>7.74</v>
      </c>
      <c r="AP14">
        <v>10.220000000000001</v>
      </c>
      <c r="AQ14">
        <v>10.46</v>
      </c>
      <c r="AR14">
        <v>7.74</v>
      </c>
      <c r="AS14">
        <v>10.14</v>
      </c>
    </row>
    <row r="15" spans="1:45" x14ac:dyDescent="0.25">
      <c r="A15" t="s">
        <v>19789</v>
      </c>
      <c r="B15">
        <v>721</v>
      </c>
      <c r="C15">
        <v>24500239</v>
      </c>
      <c r="D15">
        <v>1145842</v>
      </c>
      <c r="E15">
        <v>174241</v>
      </c>
      <c r="F15">
        <v>1320083</v>
      </c>
      <c r="G15">
        <v>4.7E-2</v>
      </c>
      <c r="H15">
        <v>7.0000000000000001E-3</v>
      </c>
      <c r="I15">
        <v>5.3999999999999999E-2</v>
      </c>
      <c r="J15">
        <v>2100356</v>
      </c>
      <c r="K15">
        <v>205569</v>
      </c>
      <c r="L15">
        <v>2305925</v>
      </c>
      <c r="M15">
        <v>8.1000000000000003E-2</v>
      </c>
      <c r="N15">
        <v>8.0000000000000002E-3</v>
      </c>
      <c r="O15">
        <v>8.8999999999999996E-2</v>
      </c>
      <c r="P15">
        <v>814605</v>
      </c>
      <c r="Q15">
        <v>174241</v>
      </c>
      <c r="R15">
        <v>988846</v>
      </c>
      <c r="S15">
        <v>3.3000000000000002E-2</v>
      </c>
      <c r="T15">
        <v>7.0000000000000001E-3</v>
      </c>
      <c r="U15">
        <v>0.04</v>
      </c>
      <c r="V15">
        <v>23180156</v>
      </c>
      <c r="W15">
        <v>0.94599999999999995</v>
      </c>
      <c r="X15">
        <v>835966</v>
      </c>
      <c r="Y15">
        <v>-137946</v>
      </c>
      <c r="Z15">
        <v>698020</v>
      </c>
      <c r="AA15">
        <v>971453</v>
      </c>
      <c r="AB15">
        <v>0</v>
      </c>
      <c r="AC15">
        <v>971453</v>
      </c>
      <c r="AD15">
        <v>46</v>
      </c>
      <c r="AE15">
        <v>0</v>
      </c>
      <c r="AF15">
        <v>46</v>
      </c>
      <c r="AG15">
        <v>448099</v>
      </c>
      <c r="AH15">
        <v>0</v>
      </c>
      <c r="AI15">
        <v>448099</v>
      </c>
      <c r="AJ15">
        <v>1</v>
      </c>
      <c r="AK15">
        <v>107774</v>
      </c>
      <c r="AL15">
        <v>10</v>
      </c>
      <c r="AM15">
        <v>1442547</v>
      </c>
      <c r="AN15">
        <v>10.32</v>
      </c>
      <c r="AO15">
        <v>7.82</v>
      </c>
      <c r="AP15">
        <v>9.89</v>
      </c>
      <c r="AQ15">
        <v>10.1</v>
      </c>
      <c r="AR15">
        <v>7.82</v>
      </c>
      <c r="AS15">
        <v>9.68</v>
      </c>
    </row>
    <row r="16" spans="1:45" x14ac:dyDescent="0.25">
      <c r="A16" t="s">
        <v>19790</v>
      </c>
      <c r="B16">
        <v>720</v>
      </c>
      <c r="C16">
        <v>24392465</v>
      </c>
      <c r="D16">
        <v>1844734</v>
      </c>
      <c r="E16">
        <v>36295</v>
      </c>
      <c r="F16">
        <v>1881029</v>
      </c>
      <c r="G16">
        <v>7.5999999999999998E-2</v>
      </c>
      <c r="H16">
        <v>1E-3</v>
      </c>
      <c r="I16">
        <v>7.6999999999999999E-2</v>
      </c>
      <c r="J16">
        <v>2575916</v>
      </c>
      <c r="K16">
        <v>90623</v>
      </c>
      <c r="L16">
        <v>2643539</v>
      </c>
      <c r="M16">
        <v>0.1</v>
      </c>
      <c r="N16">
        <v>4.0000000000000001E-3</v>
      </c>
      <c r="O16">
        <v>0.10299999999999999</v>
      </c>
      <c r="P16">
        <v>1355811</v>
      </c>
      <c r="Q16">
        <v>36295</v>
      </c>
      <c r="R16">
        <v>1392106</v>
      </c>
      <c r="S16">
        <v>5.6000000000000001E-2</v>
      </c>
      <c r="T16">
        <v>1E-3</v>
      </c>
      <c r="U16">
        <v>5.7000000000000002E-2</v>
      </c>
      <c r="V16">
        <v>22511436</v>
      </c>
      <c r="W16">
        <v>0.92300000000000004</v>
      </c>
      <c r="X16">
        <v>675176</v>
      </c>
      <c r="Y16">
        <v>14387</v>
      </c>
      <c r="Z16">
        <v>689563</v>
      </c>
      <c r="AA16">
        <v>838909</v>
      </c>
      <c r="AB16">
        <v>14387</v>
      </c>
      <c r="AC16">
        <v>853296</v>
      </c>
      <c r="AD16">
        <v>36</v>
      </c>
      <c r="AE16">
        <v>0</v>
      </c>
      <c r="AF16">
        <v>36</v>
      </c>
      <c r="AG16">
        <v>441445</v>
      </c>
      <c r="AH16">
        <v>0</v>
      </c>
      <c r="AI16">
        <v>441445</v>
      </c>
      <c r="AJ16">
        <v>1</v>
      </c>
      <c r="AK16">
        <v>283500</v>
      </c>
      <c r="AL16">
        <v>9</v>
      </c>
      <c r="AM16">
        <v>1285412</v>
      </c>
      <c r="AN16">
        <v>10.33</v>
      </c>
      <c r="AO16">
        <v>7.58</v>
      </c>
      <c r="AP16">
        <v>10.14</v>
      </c>
      <c r="AQ16">
        <v>10.08</v>
      </c>
      <c r="AR16">
        <v>7.58</v>
      </c>
      <c r="AS16">
        <v>9.89</v>
      </c>
    </row>
    <row r="17" spans="1:45" x14ac:dyDescent="0.25">
      <c r="A17" t="s">
        <v>19791</v>
      </c>
      <c r="B17">
        <v>719</v>
      </c>
      <c r="C17">
        <v>24108965</v>
      </c>
      <c r="D17">
        <v>2236410</v>
      </c>
      <c r="E17">
        <v>50682</v>
      </c>
      <c r="F17">
        <v>2287092</v>
      </c>
      <c r="G17">
        <v>9.2999999999999999E-2</v>
      </c>
      <c r="H17">
        <v>2E-3</v>
      </c>
      <c r="I17">
        <v>9.5000000000000001E-2</v>
      </c>
      <c r="J17">
        <v>2957594</v>
      </c>
      <c r="K17">
        <v>59295</v>
      </c>
      <c r="L17">
        <v>2994889</v>
      </c>
      <c r="M17">
        <v>0.11600000000000001</v>
      </c>
      <c r="N17">
        <v>2E-3</v>
      </c>
      <c r="O17">
        <v>0.11700000000000001</v>
      </c>
      <c r="P17">
        <v>1584301</v>
      </c>
      <c r="Q17">
        <v>36295</v>
      </c>
      <c r="R17">
        <v>1620596</v>
      </c>
      <c r="S17">
        <v>6.6000000000000003E-2</v>
      </c>
      <c r="T17">
        <v>2E-3</v>
      </c>
      <c r="U17">
        <v>6.7000000000000004E-2</v>
      </c>
      <c r="V17">
        <v>21821873</v>
      </c>
      <c r="W17">
        <v>0.90500000000000003</v>
      </c>
      <c r="X17">
        <v>393189</v>
      </c>
      <c r="Y17">
        <v>-50682</v>
      </c>
      <c r="Z17">
        <v>342507</v>
      </c>
      <c r="AA17">
        <v>570200</v>
      </c>
      <c r="AB17">
        <v>0</v>
      </c>
      <c r="AC17">
        <v>570200</v>
      </c>
      <c r="AD17">
        <v>25</v>
      </c>
      <c r="AE17">
        <v>1</v>
      </c>
      <c r="AF17">
        <v>26</v>
      </c>
      <c r="AG17">
        <v>908750</v>
      </c>
      <c r="AH17">
        <v>14387</v>
      </c>
      <c r="AI17">
        <v>923137</v>
      </c>
      <c r="AJ17">
        <v>3</v>
      </c>
      <c r="AK17">
        <v>684302</v>
      </c>
      <c r="AL17">
        <v>9</v>
      </c>
      <c r="AM17">
        <v>1425912</v>
      </c>
      <c r="AN17">
        <v>10.4</v>
      </c>
      <c r="AO17">
        <v>8.16</v>
      </c>
      <c r="AP17">
        <v>10.31</v>
      </c>
      <c r="AQ17">
        <v>10.24</v>
      </c>
      <c r="AR17">
        <v>8.16</v>
      </c>
      <c r="AS17">
        <v>10.15</v>
      </c>
    </row>
    <row r="18" spans="1:45" x14ac:dyDescent="0.25">
      <c r="A18" t="s">
        <v>19792</v>
      </c>
      <c r="B18">
        <v>716</v>
      </c>
      <c r="C18">
        <v>23424663</v>
      </c>
      <c r="D18">
        <v>2028297</v>
      </c>
      <c r="E18">
        <v>0</v>
      </c>
      <c r="F18">
        <v>2028297</v>
      </c>
      <c r="G18">
        <v>8.6999999999999994E-2</v>
      </c>
      <c r="H18">
        <v>0</v>
      </c>
      <c r="I18">
        <v>8.6999999999999994E-2</v>
      </c>
      <c r="J18">
        <v>2607409</v>
      </c>
      <c r="K18">
        <v>70232</v>
      </c>
      <c r="L18">
        <v>2660541</v>
      </c>
      <c r="M18">
        <v>0.105</v>
      </c>
      <c r="N18">
        <v>3.0000000000000001E-3</v>
      </c>
      <c r="O18">
        <v>0.107</v>
      </c>
      <c r="P18">
        <v>1761103</v>
      </c>
      <c r="Q18">
        <v>0</v>
      </c>
      <c r="R18">
        <v>1761103</v>
      </c>
      <c r="S18">
        <v>7.4999999999999997E-2</v>
      </c>
      <c r="T18">
        <v>0</v>
      </c>
      <c r="U18">
        <v>7.4999999999999997E-2</v>
      </c>
      <c r="V18">
        <v>21396366</v>
      </c>
      <c r="W18">
        <v>0.91300000000000003</v>
      </c>
      <c r="X18">
        <v>115329</v>
      </c>
      <c r="Y18">
        <v>11175</v>
      </c>
      <c r="Z18">
        <v>126504</v>
      </c>
      <c r="AA18">
        <v>391279</v>
      </c>
      <c r="AB18">
        <v>11175</v>
      </c>
      <c r="AC18">
        <v>402454</v>
      </c>
      <c r="AD18">
        <v>41</v>
      </c>
      <c r="AE18">
        <v>0</v>
      </c>
      <c r="AF18">
        <v>41</v>
      </c>
      <c r="AG18">
        <v>884087</v>
      </c>
      <c r="AH18">
        <v>0</v>
      </c>
      <c r="AI18">
        <v>884087</v>
      </c>
      <c r="AJ18">
        <v>5</v>
      </c>
      <c r="AK18">
        <v>850918</v>
      </c>
      <c r="AL18">
        <v>7</v>
      </c>
      <c r="AM18">
        <v>1356976</v>
      </c>
      <c r="AN18">
        <v>10.38</v>
      </c>
      <c r="AO18">
        <v>8.01</v>
      </c>
      <c r="AP18">
        <v>10.26</v>
      </c>
      <c r="AQ18">
        <v>10.11</v>
      </c>
      <c r="AR18">
        <v>8.01</v>
      </c>
      <c r="AS18">
        <v>9.99</v>
      </c>
    </row>
    <row r="19" spans="1:45" x14ac:dyDescent="0.25">
      <c r="A19" t="s">
        <v>19793</v>
      </c>
      <c r="B19">
        <v>711</v>
      </c>
      <c r="C19">
        <v>22573745</v>
      </c>
      <c r="D19">
        <v>1253308</v>
      </c>
      <c r="E19">
        <v>11175</v>
      </c>
      <c r="F19">
        <v>1264483</v>
      </c>
      <c r="G19">
        <v>5.6000000000000001E-2</v>
      </c>
      <c r="H19">
        <v>0</v>
      </c>
      <c r="I19">
        <v>5.6000000000000001E-2</v>
      </c>
      <c r="J19">
        <v>2352549</v>
      </c>
      <c r="K19">
        <v>83857</v>
      </c>
      <c r="L19">
        <v>2436406</v>
      </c>
      <c r="M19">
        <v>9.5000000000000001E-2</v>
      </c>
      <c r="N19">
        <v>3.0000000000000001E-3</v>
      </c>
      <c r="O19">
        <v>9.9000000000000005E-2</v>
      </c>
      <c r="P19">
        <v>1023420</v>
      </c>
      <c r="Q19">
        <v>11175</v>
      </c>
      <c r="R19">
        <v>1034595</v>
      </c>
      <c r="S19">
        <v>4.4999999999999998E-2</v>
      </c>
      <c r="T19">
        <v>0</v>
      </c>
      <c r="U19">
        <v>4.5999999999999999E-2</v>
      </c>
      <c r="V19">
        <v>21309262</v>
      </c>
      <c r="W19">
        <v>0.94399999999999995</v>
      </c>
      <c r="X19">
        <v>76122</v>
      </c>
      <c r="Y19">
        <v>0</v>
      </c>
      <c r="Z19">
        <v>76122</v>
      </c>
      <c r="AA19">
        <v>166333</v>
      </c>
      <c r="AB19">
        <v>0</v>
      </c>
      <c r="AC19">
        <v>166333</v>
      </c>
      <c r="AD19">
        <v>38</v>
      </c>
      <c r="AE19">
        <v>0</v>
      </c>
      <c r="AF19">
        <v>38</v>
      </c>
      <c r="AG19">
        <v>443084</v>
      </c>
      <c r="AH19">
        <v>0</v>
      </c>
      <c r="AI19">
        <v>443084</v>
      </c>
      <c r="AJ19">
        <v>2</v>
      </c>
      <c r="AK19">
        <v>176900</v>
      </c>
      <c r="AL19">
        <v>11</v>
      </c>
      <c r="AM19">
        <v>2068694</v>
      </c>
      <c r="AN19">
        <v>10.08</v>
      </c>
      <c r="AO19">
        <v>8.01</v>
      </c>
      <c r="AP19">
        <v>9.9600000000000009</v>
      </c>
      <c r="AQ19">
        <v>9.6999999999999993</v>
      </c>
      <c r="AR19">
        <v>8.01</v>
      </c>
      <c r="AS19">
        <v>9.59</v>
      </c>
    </row>
    <row r="20" spans="1:45" x14ac:dyDescent="0.25">
      <c r="A20" t="s">
        <v>19794</v>
      </c>
      <c r="B20">
        <v>711</v>
      </c>
      <c r="C20">
        <v>22462005</v>
      </c>
      <c r="D20">
        <v>1214390</v>
      </c>
      <c r="E20">
        <v>11175</v>
      </c>
      <c r="F20">
        <v>1225565</v>
      </c>
      <c r="G20">
        <v>5.3999999999999999E-2</v>
      </c>
      <c r="H20">
        <v>0</v>
      </c>
      <c r="I20">
        <v>5.5E-2</v>
      </c>
      <c r="J20">
        <v>2236377</v>
      </c>
      <c r="K20">
        <v>69470</v>
      </c>
      <c r="L20">
        <v>2305847</v>
      </c>
      <c r="M20">
        <v>9.0999999999999998E-2</v>
      </c>
      <c r="N20">
        <v>3.0000000000000001E-3</v>
      </c>
      <c r="O20">
        <v>9.4E-2</v>
      </c>
      <c r="P20">
        <v>1020680</v>
      </c>
      <c r="Q20">
        <v>11175</v>
      </c>
      <c r="R20">
        <v>1031855</v>
      </c>
      <c r="S20">
        <v>4.4999999999999998E-2</v>
      </c>
      <c r="T20">
        <v>0</v>
      </c>
      <c r="U20">
        <v>4.5999999999999999E-2</v>
      </c>
      <c r="V20">
        <v>21236440</v>
      </c>
      <c r="W20">
        <v>0.94499999999999995</v>
      </c>
      <c r="X20">
        <v>56648</v>
      </c>
      <c r="Y20">
        <v>12707</v>
      </c>
      <c r="Z20">
        <v>69355</v>
      </c>
      <c r="AA20">
        <v>204967</v>
      </c>
      <c r="AB20">
        <v>12707</v>
      </c>
      <c r="AC20">
        <v>217674</v>
      </c>
      <c r="AD20">
        <v>38</v>
      </c>
      <c r="AE20">
        <v>1</v>
      </c>
      <c r="AF20">
        <v>39</v>
      </c>
      <c r="AG20">
        <v>436639</v>
      </c>
      <c r="AH20">
        <v>12707</v>
      </c>
      <c r="AI20">
        <v>449346</v>
      </c>
      <c r="AJ20">
        <v>3</v>
      </c>
      <c r="AK20">
        <v>277147</v>
      </c>
      <c r="AL20">
        <v>12</v>
      </c>
      <c r="AM20">
        <v>2103394</v>
      </c>
      <c r="AN20">
        <v>10.16</v>
      </c>
      <c r="AO20">
        <v>8.2100000000000009</v>
      </c>
      <c r="AP20">
        <v>10.08</v>
      </c>
      <c r="AQ20">
        <v>9.85</v>
      </c>
      <c r="AR20">
        <v>8.2100000000000009</v>
      </c>
      <c r="AS20">
        <v>9.7799999999999994</v>
      </c>
    </row>
    <row r="21" spans="1:45" x14ac:dyDescent="0.25">
      <c r="A21" t="s">
        <v>19795</v>
      </c>
      <c r="B21">
        <v>708</v>
      </c>
      <c r="C21">
        <v>22184858</v>
      </c>
      <c r="D21">
        <v>998291</v>
      </c>
      <c r="E21">
        <v>23882</v>
      </c>
      <c r="F21">
        <v>1022173</v>
      </c>
      <c r="G21">
        <v>4.4999999999999998E-2</v>
      </c>
      <c r="H21">
        <v>1E-3</v>
      </c>
      <c r="I21">
        <v>4.5999999999999999E-2</v>
      </c>
      <c r="J21">
        <v>2185690</v>
      </c>
      <c r="K21">
        <v>23882</v>
      </c>
      <c r="L21">
        <v>2209572</v>
      </c>
      <c r="M21">
        <v>0.09</v>
      </c>
      <c r="N21">
        <v>1E-3</v>
      </c>
      <c r="O21">
        <v>9.0999999999999998E-2</v>
      </c>
      <c r="P21">
        <v>978337</v>
      </c>
      <c r="Q21">
        <v>23882</v>
      </c>
      <c r="R21">
        <v>1002219</v>
      </c>
      <c r="S21">
        <v>4.3999999999999997E-2</v>
      </c>
      <c r="T21">
        <v>1E-3</v>
      </c>
      <c r="U21">
        <v>4.4999999999999998E-2</v>
      </c>
      <c r="V21">
        <v>21162685</v>
      </c>
      <c r="W21">
        <v>0.95399999999999996</v>
      </c>
      <c r="X21">
        <v>21426</v>
      </c>
      <c r="Y21">
        <v>15293</v>
      </c>
      <c r="Z21">
        <v>36719</v>
      </c>
      <c r="AA21">
        <v>214222</v>
      </c>
      <c r="AB21">
        <v>15293</v>
      </c>
      <c r="AC21">
        <v>229515</v>
      </c>
      <c r="AD21">
        <v>33</v>
      </c>
      <c r="AE21">
        <v>1</v>
      </c>
      <c r="AF21">
        <v>34</v>
      </c>
      <c r="AG21">
        <v>363497</v>
      </c>
      <c r="AH21">
        <v>4400</v>
      </c>
      <c r="AI21">
        <v>367897</v>
      </c>
      <c r="AJ21">
        <v>3</v>
      </c>
      <c r="AK21">
        <v>169027</v>
      </c>
      <c r="AL21">
        <v>13</v>
      </c>
      <c r="AM21">
        <v>2128141</v>
      </c>
      <c r="AN21">
        <v>10.220000000000001</v>
      </c>
      <c r="AO21">
        <v>14.17</v>
      </c>
      <c r="AP21">
        <v>10.25</v>
      </c>
      <c r="AQ21">
        <v>9.81</v>
      </c>
      <c r="AR21">
        <v>14.17</v>
      </c>
      <c r="AS21">
        <v>9.85</v>
      </c>
    </row>
    <row r="22" spans="1:45" x14ac:dyDescent="0.25">
      <c r="A22" t="s">
        <v>19796</v>
      </c>
      <c r="B22">
        <v>708</v>
      </c>
      <c r="C22">
        <v>22094592</v>
      </c>
      <c r="D22">
        <v>909951</v>
      </c>
      <c r="E22">
        <v>39175</v>
      </c>
      <c r="F22">
        <v>949126</v>
      </c>
      <c r="G22">
        <v>4.1000000000000002E-2</v>
      </c>
      <c r="H22">
        <v>2E-3</v>
      </c>
      <c r="I22">
        <v>4.2999999999999997E-2</v>
      </c>
      <c r="J22">
        <v>1910093</v>
      </c>
      <c r="K22">
        <v>78207</v>
      </c>
      <c r="L22">
        <v>1988636</v>
      </c>
      <c r="M22">
        <v>0.08</v>
      </c>
      <c r="N22">
        <v>3.0000000000000001E-3</v>
      </c>
      <c r="O22">
        <v>8.3000000000000004E-2</v>
      </c>
      <c r="P22">
        <v>768941</v>
      </c>
      <c r="Q22">
        <v>39175</v>
      </c>
      <c r="R22">
        <v>809516</v>
      </c>
      <c r="S22">
        <v>3.5000000000000003E-2</v>
      </c>
      <c r="T22">
        <v>2E-3</v>
      </c>
      <c r="U22">
        <v>3.6999999999999998E-2</v>
      </c>
      <c r="V22">
        <v>21145466</v>
      </c>
      <c r="W22">
        <v>0.95699999999999996</v>
      </c>
      <c r="X22">
        <v>90831</v>
      </c>
      <c r="Y22">
        <v>-12707</v>
      </c>
      <c r="Z22">
        <v>78124</v>
      </c>
      <c r="AA22">
        <v>375191</v>
      </c>
      <c r="AB22">
        <v>0</v>
      </c>
      <c r="AC22">
        <v>375191</v>
      </c>
      <c r="AD22">
        <v>19</v>
      </c>
      <c r="AE22">
        <v>0</v>
      </c>
      <c r="AF22">
        <v>19</v>
      </c>
      <c r="AG22">
        <v>291533</v>
      </c>
      <c r="AH22">
        <v>0</v>
      </c>
      <c r="AI22">
        <v>291533</v>
      </c>
      <c r="AJ22">
        <v>1</v>
      </c>
      <c r="AK22">
        <v>269000</v>
      </c>
      <c r="AL22">
        <v>12</v>
      </c>
      <c r="AM22">
        <v>1739085</v>
      </c>
      <c r="AN22">
        <v>9.73</v>
      </c>
      <c r="AO22">
        <v>8.0500000000000007</v>
      </c>
      <c r="AP22">
        <v>9.57</v>
      </c>
      <c r="AQ22">
        <v>9.39</v>
      </c>
      <c r="AR22">
        <v>7.95</v>
      </c>
      <c r="AS22">
        <v>9.23</v>
      </c>
    </row>
    <row r="23" spans="1:45" x14ac:dyDescent="0.25">
      <c r="A23" t="s">
        <v>19797</v>
      </c>
      <c r="B23">
        <v>707</v>
      </c>
      <c r="C23">
        <v>21825592</v>
      </c>
      <c r="D23">
        <v>736182</v>
      </c>
      <c r="E23">
        <v>26468</v>
      </c>
      <c r="F23">
        <v>762650</v>
      </c>
      <c r="G23">
        <v>3.4000000000000002E-2</v>
      </c>
      <c r="H23">
        <v>1E-3</v>
      </c>
      <c r="I23">
        <v>3.5000000000000003E-2</v>
      </c>
      <c r="J23">
        <v>1680350</v>
      </c>
      <c r="K23">
        <v>61100</v>
      </c>
      <c r="L23">
        <v>1738786</v>
      </c>
      <c r="M23">
        <v>7.2999999999999995E-2</v>
      </c>
      <c r="N23">
        <v>3.0000000000000001E-3</v>
      </c>
      <c r="O23">
        <v>7.4999999999999997E-2</v>
      </c>
      <c r="P23">
        <v>601442</v>
      </c>
      <c r="Q23">
        <v>26468</v>
      </c>
      <c r="R23">
        <v>627910</v>
      </c>
      <c r="S23">
        <v>2.8000000000000001E-2</v>
      </c>
      <c r="T23">
        <v>1E-3</v>
      </c>
      <c r="U23">
        <v>2.9000000000000001E-2</v>
      </c>
      <c r="V23">
        <v>21062942</v>
      </c>
      <c r="W23">
        <v>0.96499999999999997</v>
      </c>
      <c r="X23">
        <v>-49741</v>
      </c>
      <c r="Y23">
        <v>11015</v>
      </c>
      <c r="Z23">
        <v>-38726</v>
      </c>
      <c r="AA23">
        <v>75132</v>
      </c>
      <c r="AB23">
        <v>11115</v>
      </c>
      <c r="AC23">
        <v>86247</v>
      </c>
      <c r="AD23">
        <v>23</v>
      </c>
      <c r="AE23">
        <v>0</v>
      </c>
      <c r="AF23">
        <v>23</v>
      </c>
      <c r="AG23">
        <v>173352</v>
      </c>
      <c r="AH23">
        <v>0</v>
      </c>
      <c r="AI23">
        <v>173352</v>
      </c>
      <c r="AJ23">
        <v>0</v>
      </c>
      <c r="AK23">
        <v>0</v>
      </c>
      <c r="AL23">
        <v>9</v>
      </c>
      <c r="AM23">
        <v>1325600</v>
      </c>
      <c r="AN23">
        <v>9.34</v>
      </c>
      <c r="AO23">
        <v>7.23</v>
      </c>
      <c r="AP23">
        <v>9.16</v>
      </c>
      <c r="AQ23">
        <v>9.09</v>
      </c>
      <c r="AR23">
        <v>7.08</v>
      </c>
      <c r="AS23">
        <v>8.91</v>
      </c>
    </row>
    <row r="24" spans="1:45" x14ac:dyDescent="0.25">
      <c r="A24" t="s">
        <v>19798</v>
      </c>
      <c r="B24">
        <v>707</v>
      </c>
      <c r="C24">
        <v>21825592</v>
      </c>
      <c r="D24">
        <v>699741</v>
      </c>
      <c r="E24">
        <v>37483</v>
      </c>
      <c r="F24">
        <v>737224</v>
      </c>
      <c r="G24">
        <v>3.2000000000000001E-2</v>
      </c>
      <c r="H24">
        <v>2E-3</v>
      </c>
      <c r="I24">
        <v>3.4000000000000002E-2</v>
      </c>
      <c r="J24">
        <v>1418935</v>
      </c>
      <c r="K24">
        <v>93068</v>
      </c>
      <c r="L24">
        <v>1512003</v>
      </c>
      <c r="M24">
        <v>6.2E-2</v>
      </c>
      <c r="N24">
        <v>4.0000000000000001E-3</v>
      </c>
      <c r="O24">
        <v>6.6000000000000003E-2</v>
      </c>
      <c r="P24">
        <v>569650</v>
      </c>
      <c r="Q24">
        <v>26468</v>
      </c>
      <c r="R24">
        <v>596118</v>
      </c>
      <c r="S24">
        <v>2.5999999999999999E-2</v>
      </c>
      <c r="T24">
        <v>1E-3</v>
      </c>
      <c r="U24">
        <v>2.7E-2</v>
      </c>
      <c r="V24">
        <v>21088368</v>
      </c>
      <c r="W24">
        <v>0.96599999999999997</v>
      </c>
      <c r="X24">
        <v>86391</v>
      </c>
      <c r="Y24">
        <v>24292</v>
      </c>
      <c r="Z24">
        <v>110683</v>
      </c>
      <c r="AA24">
        <v>300116</v>
      </c>
      <c r="AB24">
        <v>24292</v>
      </c>
      <c r="AC24">
        <v>324408</v>
      </c>
      <c r="AD24">
        <v>25</v>
      </c>
      <c r="AE24">
        <v>2</v>
      </c>
      <c r="AF24">
        <v>27</v>
      </c>
      <c r="AG24">
        <v>400628</v>
      </c>
      <c r="AH24">
        <v>30927</v>
      </c>
      <c r="AI24">
        <v>431555</v>
      </c>
      <c r="AJ24">
        <v>1</v>
      </c>
      <c r="AK24">
        <v>151668</v>
      </c>
      <c r="AL24">
        <v>6</v>
      </c>
      <c r="AM24">
        <v>1086630</v>
      </c>
      <c r="AN24">
        <v>9.26</v>
      </c>
      <c r="AO24">
        <v>7.18</v>
      </c>
      <c r="AP24">
        <v>9.0399999999999991</v>
      </c>
      <c r="AQ24">
        <v>8.9700000000000006</v>
      </c>
      <c r="AR24">
        <v>7.04</v>
      </c>
      <c r="AS24">
        <v>8.75</v>
      </c>
    </row>
    <row r="25" spans="1:45" x14ac:dyDescent="0.25">
      <c r="A25" t="s">
        <v>19799</v>
      </c>
      <c r="B25">
        <v>706</v>
      </c>
      <c r="C25">
        <v>21673924</v>
      </c>
      <c r="D25">
        <v>623964</v>
      </c>
      <c r="E25">
        <v>61775</v>
      </c>
      <c r="F25">
        <v>685739</v>
      </c>
      <c r="G25">
        <v>2.9000000000000001E-2</v>
      </c>
      <c r="H25">
        <v>3.0000000000000001E-3</v>
      </c>
      <c r="I25">
        <v>3.2000000000000001E-2</v>
      </c>
      <c r="J25">
        <v>1620988</v>
      </c>
      <c r="K25">
        <v>128375</v>
      </c>
      <c r="L25">
        <v>1749363</v>
      </c>
      <c r="M25">
        <v>7.0999999999999994E-2</v>
      </c>
      <c r="N25">
        <v>6.0000000000000001E-3</v>
      </c>
      <c r="O25">
        <v>7.6999999999999999E-2</v>
      </c>
      <c r="P25">
        <v>525444</v>
      </c>
      <c r="Q25">
        <v>61775</v>
      </c>
      <c r="R25">
        <v>587219</v>
      </c>
      <c r="S25">
        <v>2.4E-2</v>
      </c>
      <c r="T25">
        <v>3.0000000000000001E-3</v>
      </c>
      <c r="U25">
        <v>2.7E-2</v>
      </c>
      <c r="V25">
        <v>20988185</v>
      </c>
      <c r="W25">
        <v>0.96799999999999997</v>
      </c>
      <c r="X25">
        <v>89077</v>
      </c>
      <c r="Y25">
        <v>-7726</v>
      </c>
      <c r="Z25">
        <v>81351</v>
      </c>
      <c r="AA25">
        <v>130088</v>
      </c>
      <c r="AB25">
        <v>7929</v>
      </c>
      <c r="AC25">
        <v>138017</v>
      </c>
      <c r="AD25">
        <v>26</v>
      </c>
      <c r="AE25">
        <v>1</v>
      </c>
      <c r="AF25">
        <v>27</v>
      </c>
      <c r="AG25">
        <v>222571</v>
      </c>
      <c r="AH25">
        <v>4690</v>
      </c>
      <c r="AI25">
        <v>227261</v>
      </c>
      <c r="AJ25">
        <v>3</v>
      </c>
      <c r="AK25">
        <v>159194</v>
      </c>
      <c r="AL25">
        <v>6</v>
      </c>
      <c r="AM25">
        <v>1085033</v>
      </c>
      <c r="AN25">
        <v>8.9600000000000009</v>
      </c>
      <c r="AO25">
        <v>7.04</v>
      </c>
      <c r="AP25">
        <v>8.73</v>
      </c>
      <c r="AQ25">
        <v>8.89</v>
      </c>
      <c r="AR25">
        <v>6.9</v>
      </c>
      <c r="AS25">
        <v>8.61</v>
      </c>
    </row>
    <row r="26" spans="1:45" x14ac:dyDescent="0.25">
      <c r="A26" t="s">
        <v>19800</v>
      </c>
      <c r="B26">
        <v>703</v>
      </c>
      <c r="C26">
        <v>21514730</v>
      </c>
      <c r="D26">
        <v>556347</v>
      </c>
      <c r="E26">
        <v>54049</v>
      </c>
      <c r="F26">
        <v>610396</v>
      </c>
      <c r="G26">
        <v>2.5999999999999999E-2</v>
      </c>
      <c r="H26">
        <v>3.0000000000000001E-3</v>
      </c>
      <c r="I26">
        <v>2.8000000000000001E-2</v>
      </c>
      <c r="J26">
        <v>1325032</v>
      </c>
      <c r="K26">
        <v>117410</v>
      </c>
      <c r="L26">
        <v>1442442</v>
      </c>
      <c r="M26">
        <v>5.8999999999999997E-2</v>
      </c>
      <c r="N26">
        <v>5.0000000000000001E-3</v>
      </c>
      <c r="O26">
        <v>6.4000000000000001E-2</v>
      </c>
      <c r="P26">
        <v>516914</v>
      </c>
      <c r="Q26">
        <v>46120</v>
      </c>
      <c r="R26">
        <v>563034</v>
      </c>
      <c r="S26">
        <v>2.4E-2</v>
      </c>
      <c r="T26">
        <v>2E-3</v>
      </c>
      <c r="U26">
        <v>2.5999999999999999E-2</v>
      </c>
      <c r="V26">
        <v>20904334</v>
      </c>
      <c r="W26">
        <v>0.97199999999999998</v>
      </c>
      <c r="X26">
        <v>1302</v>
      </c>
      <c r="Y26">
        <v>-46120</v>
      </c>
      <c r="Z26">
        <v>-44818</v>
      </c>
      <c r="AA26">
        <v>103862</v>
      </c>
      <c r="AB26">
        <v>0</v>
      </c>
      <c r="AC26">
        <v>103862</v>
      </c>
      <c r="AD26">
        <v>26</v>
      </c>
      <c r="AE26">
        <v>2</v>
      </c>
      <c r="AF26">
        <v>28</v>
      </c>
      <c r="AG26">
        <v>131591</v>
      </c>
      <c r="AH26">
        <v>7929</v>
      </c>
      <c r="AI26">
        <v>139520</v>
      </c>
      <c r="AJ26">
        <v>0</v>
      </c>
      <c r="AK26">
        <v>0</v>
      </c>
      <c r="AL26">
        <v>7</v>
      </c>
      <c r="AM26">
        <v>1116264</v>
      </c>
      <c r="AN26">
        <v>8.64</v>
      </c>
      <c r="AO26">
        <v>7.19</v>
      </c>
      <c r="AP26">
        <v>8.41</v>
      </c>
      <c r="AQ26">
        <v>8.4700000000000006</v>
      </c>
      <c r="AR26">
        <v>7.19</v>
      </c>
      <c r="AS26">
        <v>8.23</v>
      </c>
    </row>
    <row r="27" spans="1:45" x14ac:dyDescent="0.25">
      <c r="A27" t="s">
        <v>19801</v>
      </c>
      <c r="B27">
        <v>703</v>
      </c>
      <c r="C27">
        <v>21514730</v>
      </c>
      <c r="D27">
        <v>565649</v>
      </c>
      <c r="E27">
        <v>7929</v>
      </c>
      <c r="F27">
        <v>573578</v>
      </c>
      <c r="G27">
        <v>2.5999999999999999E-2</v>
      </c>
      <c r="H27">
        <v>0</v>
      </c>
      <c r="I27">
        <v>2.7E-2</v>
      </c>
      <c r="J27">
        <v>810582</v>
      </c>
      <c r="K27">
        <v>63219</v>
      </c>
      <c r="L27">
        <v>873801</v>
      </c>
      <c r="M27">
        <v>3.5999999999999997E-2</v>
      </c>
      <c r="N27">
        <v>3.0000000000000001E-3</v>
      </c>
      <c r="O27">
        <v>3.9E-2</v>
      </c>
      <c r="P27">
        <v>526957</v>
      </c>
      <c r="Q27">
        <v>7929</v>
      </c>
      <c r="R27">
        <v>534886</v>
      </c>
      <c r="S27">
        <v>2.4E-2</v>
      </c>
      <c r="T27">
        <v>0</v>
      </c>
      <c r="U27">
        <v>2.5000000000000001E-2</v>
      </c>
      <c r="V27">
        <v>20941152</v>
      </c>
      <c r="W27">
        <v>0.97299999999999998</v>
      </c>
      <c r="X27">
        <v>137279</v>
      </c>
      <c r="Y27">
        <v>-7929</v>
      </c>
      <c r="Z27">
        <v>129350</v>
      </c>
      <c r="AA27">
        <v>208322</v>
      </c>
      <c r="AB27">
        <v>0</v>
      </c>
      <c r="AC27">
        <v>208322</v>
      </c>
      <c r="AD27">
        <v>30</v>
      </c>
      <c r="AE27">
        <v>1</v>
      </c>
      <c r="AF27">
        <v>31</v>
      </c>
      <c r="AG27">
        <v>173324</v>
      </c>
      <c r="AH27">
        <v>5000</v>
      </c>
      <c r="AI27">
        <v>178324</v>
      </c>
      <c r="AJ27">
        <v>3</v>
      </c>
      <c r="AK27">
        <v>68804</v>
      </c>
      <c r="AL27">
        <v>4</v>
      </c>
      <c r="AM27">
        <v>745396</v>
      </c>
      <c r="AN27">
        <v>8.7899999999999991</v>
      </c>
      <c r="AO27">
        <v>7.34</v>
      </c>
      <c r="AP27">
        <v>8.67</v>
      </c>
      <c r="AQ27">
        <v>8.76</v>
      </c>
      <c r="AR27">
        <v>7.34</v>
      </c>
      <c r="AS27">
        <v>8.6199999999999992</v>
      </c>
    </row>
    <row r="28" spans="1:45" x14ac:dyDescent="0.25">
      <c r="A28" t="s">
        <v>19802</v>
      </c>
      <c r="B28">
        <v>701</v>
      </c>
      <c r="C28">
        <v>21454736</v>
      </c>
      <c r="D28">
        <v>641534</v>
      </c>
      <c r="E28">
        <v>0</v>
      </c>
      <c r="F28">
        <v>641534</v>
      </c>
      <c r="G28">
        <v>0.03</v>
      </c>
      <c r="H28">
        <v>0</v>
      </c>
      <c r="I28">
        <v>0.03</v>
      </c>
      <c r="J28">
        <v>778330</v>
      </c>
      <c r="K28">
        <v>32000</v>
      </c>
      <c r="L28">
        <v>810330</v>
      </c>
      <c r="M28">
        <v>3.5000000000000003E-2</v>
      </c>
      <c r="N28">
        <v>1E-3</v>
      </c>
      <c r="O28">
        <v>3.6999999999999998E-2</v>
      </c>
      <c r="P28">
        <v>574409</v>
      </c>
      <c r="Q28">
        <v>0</v>
      </c>
      <c r="R28">
        <v>574409</v>
      </c>
      <c r="S28">
        <v>2.7E-2</v>
      </c>
      <c r="T28">
        <v>0</v>
      </c>
      <c r="U28">
        <v>2.7E-2</v>
      </c>
      <c r="V28">
        <v>20813202</v>
      </c>
      <c r="W28">
        <v>0.97</v>
      </c>
      <c r="X28">
        <v>899700</v>
      </c>
      <c r="Y28">
        <v>15191</v>
      </c>
      <c r="Z28">
        <v>914891</v>
      </c>
      <c r="AA28">
        <v>1044579</v>
      </c>
      <c r="AB28">
        <v>15191</v>
      </c>
      <c r="AC28">
        <v>1059770</v>
      </c>
      <c r="AD28">
        <v>38</v>
      </c>
      <c r="AE28">
        <v>0</v>
      </c>
      <c r="AF28">
        <v>38</v>
      </c>
      <c r="AG28">
        <v>390577</v>
      </c>
      <c r="AH28">
        <v>0</v>
      </c>
      <c r="AI28">
        <v>390577</v>
      </c>
      <c r="AJ28">
        <v>1</v>
      </c>
      <c r="AK28">
        <v>855000</v>
      </c>
      <c r="AL28">
        <v>4</v>
      </c>
      <c r="AM28">
        <v>500706</v>
      </c>
      <c r="AN28">
        <v>9.2100000000000009</v>
      </c>
      <c r="AO28">
        <v>7.3</v>
      </c>
      <c r="AP28">
        <v>9.06</v>
      </c>
      <c r="AQ28">
        <v>9.2200000000000006</v>
      </c>
      <c r="AR28">
        <v>7.3</v>
      </c>
      <c r="AS28">
        <v>9.0399999999999991</v>
      </c>
    </row>
    <row r="29" spans="1:45" x14ac:dyDescent="0.25">
      <c r="A29" t="s">
        <v>19803</v>
      </c>
      <c r="B29">
        <v>700</v>
      </c>
      <c r="C29">
        <v>20599736</v>
      </c>
      <c r="D29">
        <v>643434</v>
      </c>
      <c r="E29">
        <v>15191</v>
      </c>
      <c r="F29">
        <v>658625</v>
      </c>
      <c r="G29">
        <v>3.1E-2</v>
      </c>
      <c r="H29">
        <v>1E-3</v>
      </c>
      <c r="I29">
        <v>3.2000000000000001E-2</v>
      </c>
      <c r="J29">
        <v>984273</v>
      </c>
      <c r="K29">
        <v>47191</v>
      </c>
      <c r="L29">
        <v>1031464</v>
      </c>
      <c r="M29">
        <v>4.4999999999999998E-2</v>
      </c>
      <c r="N29">
        <v>2E-3</v>
      </c>
      <c r="O29">
        <v>4.7E-2</v>
      </c>
      <c r="P29">
        <v>638742</v>
      </c>
      <c r="Q29">
        <v>15191</v>
      </c>
      <c r="R29">
        <v>653933</v>
      </c>
      <c r="S29">
        <v>3.1E-2</v>
      </c>
      <c r="T29">
        <v>1E-3</v>
      </c>
      <c r="U29">
        <v>3.2000000000000001E-2</v>
      </c>
      <c r="V29">
        <v>19941111</v>
      </c>
      <c r="W29">
        <v>0.96799999999999997</v>
      </c>
      <c r="X29">
        <v>385275</v>
      </c>
      <c r="Y29">
        <v>0</v>
      </c>
      <c r="Z29">
        <v>385275</v>
      </c>
      <c r="AA29">
        <v>533758</v>
      </c>
      <c r="AB29">
        <v>0</v>
      </c>
      <c r="AC29">
        <v>533758</v>
      </c>
      <c r="AD29">
        <v>17</v>
      </c>
      <c r="AE29">
        <v>0</v>
      </c>
      <c r="AF29">
        <v>17</v>
      </c>
      <c r="AG29">
        <v>99323</v>
      </c>
      <c r="AH29">
        <v>0</v>
      </c>
      <c r="AI29">
        <v>99323</v>
      </c>
      <c r="AJ29">
        <v>4</v>
      </c>
      <c r="AK29">
        <v>390768</v>
      </c>
      <c r="AL29">
        <v>5</v>
      </c>
      <c r="AM29">
        <v>1355706</v>
      </c>
      <c r="AN29">
        <v>8.92</v>
      </c>
      <c r="AO29">
        <v>7.66</v>
      </c>
      <c r="AP29">
        <v>8.8699999999999992</v>
      </c>
      <c r="AQ29">
        <v>8.8800000000000008</v>
      </c>
      <c r="AR29">
        <v>7.66</v>
      </c>
      <c r="AS29">
        <v>8.81</v>
      </c>
    </row>
    <row r="30" spans="1:45" x14ac:dyDescent="0.25">
      <c r="A30" t="s">
        <v>19804</v>
      </c>
      <c r="B30">
        <v>696</v>
      </c>
      <c r="C30">
        <v>20208968</v>
      </c>
      <c r="D30">
        <v>670541</v>
      </c>
      <c r="E30">
        <v>15191</v>
      </c>
      <c r="F30">
        <v>685732</v>
      </c>
      <c r="G30">
        <v>3.3000000000000002E-2</v>
      </c>
      <c r="H30">
        <v>1E-3</v>
      </c>
      <c r="I30">
        <v>3.4000000000000002E-2</v>
      </c>
      <c r="J30">
        <v>1017767</v>
      </c>
      <c r="K30">
        <v>47191</v>
      </c>
      <c r="L30">
        <v>1064958</v>
      </c>
      <c r="M30">
        <v>4.7E-2</v>
      </c>
      <c r="N30">
        <v>2E-3</v>
      </c>
      <c r="O30">
        <v>0.05</v>
      </c>
      <c r="P30">
        <v>585545</v>
      </c>
      <c r="Q30">
        <v>15191</v>
      </c>
      <c r="R30">
        <v>600736</v>
      </c>
      <c r="S30">
        <v>2.9000000000000001E-2</v>
      </c>
      <c r="T30">
        <v>1E-3</v>
      </c>
      <c r="U30">
        <v>0.03</v>
      </c>
      <c r="V30">
        <v>19523236</v>
      </c>
      <c r="W30">
        <v>0.96599999999999997</v>
      </c>
      <c r="X30">
        <v>-49330</v>
      </c>
      <c r="Y30">
        <v>-13083</v>
      </c>
      <c r="Z30">
        <v>-62413</v>
      </c>
      <c r="AA30">
        <v>43158</v>
      </c>
      <c r="AB30">
        <v>2108</v>
      </c>
      <c r="AC30">
        <v>45266</v>
      </c>
      <c r="AD30">
        <v>26</v>
      </c>
      <c r="AE30">
        <v>0</v>
      </c>
      <c r="AF30">
        <v>26</v>
      </c>
      <c r="AG30">
        <v>279254</v>
      </c>
      <c r="AH30">
        <v>0</v>
      </c>
      <c r="AI30">
        <v>279254</v>
      </c>
      <c r="AJ30">
        <v>0</v>
      </c>
      <c r="AK30">
        <v>0</v>
      </c>
      <c r="AL30">
        <v>6</v>
      </c>
      <c r="AM30">
        <v>1275768</v>
      </c>
      <c r="AN30">
        <v>8.82</v>
      </c>
      <c r="AO30">
        <v>7.66</v>
      </c>
      <c r="AP30">
        <v>8.77</v>
      </c>
      <c r="AQ30">
        <v>8.85</v>
      </c>
      <c r="AR30">
        <v>7.66</v>
      </c>
      <c r="AS30">
        <v>8.7899999999999991</v>
      </c>
    </row>
    <row r="31" spans="1:45" x14ac:dyDescent="0.25">
      <c r="A31" t="s">
        <v>19805</v>
      </c>
      <c r="B31">
        <v>696</v>
      </c>
      <c r="C31">
        <v>20208968</v>
      </c>
      <c r="D31">
        <v>616411</v>
      </c>
      <c r="E31">
        <v>2108</v>
      </c>
      <c r="F31">
        <v>618519</v>
      </c>
      <c r="G31">
        <v>3.1E-2</v>
      </c>
      <c r="H31">
        <v>0</v>
      </c>
      <c r="I31">
        <v>3.1E-2</v>
      </c>
      <c r="J31">
        <v>1045189</v>
      </c>
      <c r="K31">
        <v>32000</v>
      </c>
      <c r="L31">
        <v>1077189</v>
      </c>
      <c r="M31">
        <v>4.9000000000000002E-2</v>
      </c>
      <c r="N31">
        <v>1E-3</v>
      </c>
      <c r="O31">
        <v>0.05</v>
      </c>
      <c r="P31">
        <v>557450</v>
      </c>
      <c r="Q31">
        <v>0</v>
      </c>
      <c r="R31">
        <v>557450</v>
      </c>
      <c r="S31">
        <v>2.8000000000000001E-2</v>
      </c>
      <c r="T31">
        <v>0</v>
      </c>
      <c r="U31">
        <v>2.8000000000000001E-2</v>
      </c>
      <c r="V31">
        <v>19590449</v>
      </c>
      <c r="W31">
        <v>0.96899999999999997</v>
      </c>
      <c r="X31">
        <v>-11277</v>
      </c>
      <c r="Y31">
        <v>-1652</v>
      </c>
      <c r="Z31">
        <v>-12929</v>
      </c>
      <c r="AA31">
        <v>162243</v>
      </c>
      <c r="AB31">
        <v>456</v>
      </c>
      <c r="AC31">
        <v>162699</v>
      </c>
      <c r="AD31">
        <v>22</v>
      </c>
      <c r="AE31">
        <v>4</v>
      </c>
      <c r="AF31">
        <v>26</v>
      </c>
      <c r="AG31">
        <v>68025</v>
      </c>
      <c r="AH31">
        <v>2000</v>
      </c>
      <c r="AI31">
        <v>70025</v>
      </c>
      <c r="AJ31">
        <v>1</v>
      </c>
      <c r="AK31">
        <v>38098</v>
      </c>
      <c r="AL31">
        <v>6</v>
      </c>
      <c r="AM31">
        <v>1275768</v>
      </c>
      <c r="AN31">
        <v>8.67</v>
      </c>
      <c r="AO31">
        <v>7.01</v>
      </c>
      <c r="AP31">
        <v>8.61</v>
      </c>
      <c r="AQ31">
        <v>8.69</v>
      </c>
      <c r="AR31">
        <v>7.01</v>
      </c>
      <c r="AS31">
        <v>8.6199999999999992</v>
      </c>
    </row>
    <row r="32" spans="1:45" x14ac:dyDescent="0.25">
      <c r="A32" t="s">
        <v>19806</v>
      </c>
      <c r="B32">
        <v>695</v>
      </c>
      <c r="C32">
        <v>20170870</v>
      </c>
      <c r="D32">
        <v>566036</v>
      </c>
      <c r="E32">
        <v>456</v>
      </c>
      <c r="F32">
        <v>566492</v>
      </c>
      <c r="G32">
        <v>2.8000000000000001E-2</v>
      </c>
      <c r="H32">
        <v>0</v>
      </c>
      <c r="I32">
        <v>2.8000000000000001E-2</v>
      </c>
      <c r="J32">
        <v>880095</v>
      </c>
      <c r="K32">
        <v>32456</v>
      </c>
      <c r="L32">
        <v>912551</v>
      </c>
      <c r="M32">
        <v>4.1000000000000002E-2</v>
      </c>
      <c r="N32">
        <v>2E-3</v>
      </c>
      <c r="O32">
        <v>4.2999999999999997E-2</v>
      </c>
      <c r="P32">
        <v>451445</v>
      </c>
      <c r="Q32">
        <v>456</v>
      </c>
      <c r="R32">
        <v>451901</v>
      </c>
      <c r="S32">
        <v>2.1999999999999999E-2</v>
      </c>
      <c r="T32">
        <v>0</v>
      </c>
      <c r="U32">
        <v>2.1999999999999999E-2</v>
      </c>
      <c r="V32">
        <v>19604378</v>
      </c>
      <c r="W32">
        <v>0.97199999999999998</v>
      </c>
      <c r="X32">
        <v>235951</v>
      </c>
      <c r="Y32">
        <v>19686</v>
      </c>
      <c r="Z32">
        <v>255637</v>
      </c>
      <c r="AA32">
        <v>283509</v>
      </c>
      <c r="AB32">
        <v>19686</v>
      </c>
      <c r="AC32">
        <v>303195</v>
      </c>
      <c r="AD32">
        <v>12</v>
      </c>
      <c r="AE32">
        <v>0</v>
      </c>
      <c r="AF32">
        <v>12</v>
      </c>
      <c r="AG32">
        <v>115546</v>
      </c>
      <c r="AH32">
        <v>0</v>
      </c>
      <c r="AI32">
        <v>115546</v>
      </c>
      <c r="AJ32">
        <v>3</v>
      </c>
      <c r="AK32">
        <v>157000</v>
      </c>
      <c r="AL32">
        <v>5</v>
      </c>
      <c r="AM32">
        <v>1278866</v>
      </c>
      <c r="AN32">
        <v>9.07</v>
      </c>
      <c r="AO32">
        <v>6.97</v>
      </c>
      <c r="AP32">
        <v>8.9499999999999993</v>
      </c>
      <c r="AQ32">
        <v>8.59</v>
      </c>
      <c r="AR32">
        <v>6.97</v>
      </c>
      <c r="AS32">
        <v>8.48</v>
      </c>
    </row>
    <row r="33" spans="1:45" x14ac:dyDescent="0.25">
      <c r="A33" t="s">
        <v>19807</v>
      </c>
      <c r="B33">
        <v>692</v>
      </c>
      <c r="C33">
        <v>20013870</v>
      </c>
      <c r="D33">
        <v>650287</v>
      </c>
      <c r="E33">
        <v>20142</v>
      </c>
      <c r="F33">
        <v>670429</v>
      </c>
      <c r="G33">
        <v>3.2000000000000001E-2</v>
      </c>
      <c r="H33">
        <v>1E-3</v>
      </c>
      <c r="I33">
        <v>3.3000000000000002E-2</v>
      </c>
      <c r="J33">
        <v>907931</v>
      </c>
      <c r="K33">
        <v>52142</v>
      </c>
      <c r="L33">
        <v>960073</v>
      </c>
      <c r="M33">
        <v>4.2999999999999997E-2</v>
      </c>
      <c r="N33">
        <v>2E-3</v>
      </c>
      <c r="O33">
        <v>4.4999999999999998E-2</v>
      </c>
      <c r="P33">
        <v>568021</v>
      </c>
      <c r="Q33">
        <v>20142</v>
      </c>
      <c r="R33">
        <v>588163</v>
      </c>
      <c r="S33">
        <v>2.8000000000000001E-2</v>
      </c>
      <c r="T33">
        <v>1E-3</v>
      </c>
      <c r="U33">
        <v>2.9000000000000001E-2</v>
      </c>
      <c r="V33">
        <v>19343441</v>
      </c>
      <c r="W33">
        <v>0.96699999999999997</v>
      </c>
      <c r="X33">
        <v>71976</v>
      </c>
      <c r="Y33">
        <v>-15048</v>
      </c>
      <c r="Z33">
        <v>56928</v>
      </c>
      <c r="AA33">
        <v>184369</v>
      </c>
      <c r="AB33">
        <v>4638</v>
      </c>
      <c r="AC33">
        <v>189007</v>
      </c>
      <c r="AD33">
        <v>24</v>
      </c>
      <c r="AE33">
        <v>1</v>
      </c>
      <c r="AF33">
        <v>25</v>
      </c>
      <c r="AG33">
        <v>196025</v>
      </c>
      <c r="AH33">
        <v>19686</v>
      </c>
      <c r="AI33">
        <v>215711</v>
      </c>
      <c r="AJ33">
        <v>2</v>
      </c>
      <c r="AK33">
        <v>180740</v>
      </c>
      <c r="AL33">
        <v>7</v>
      </c>
      <c r="AM33">
        <v>1258568</v>
      </c>
      <c r="AN33">
        <v>8.31</v>
      </c>
      <c r="AO33">
        <v>6.97</v>
      </c>
      <c r="AP33">
        <v>8.23</v>
      </c>
      <c r="AQ33">
        <v>8.19</v>
      </c>
      <c r="AR33">
        <v>6.97</v>
      </c>
      <c r="AS33">
        <v>8.09</v>
      </c>
    </row>
    <row r="34" spans="1:45" x14ac:dyDescent="0.25">
      <c r="A34" t="s">
        <v>19808</v>
      </c>
      <c r="B34">
        <v>690</v>
      </c>
      <c r="C34">
        <v>19833130</v>
      </c>
      <c r="D34">
        <v>539523</v>
      </c>
      <c r="E34">
        <v>5094</v>
      </c>
      <c r="F34">
        <v>544617</v>
      </c>
      <c r="G34">
        <v>2.7E-2</v>
      </c>
      <c r="H34">
        <v>0</v>
      </c>
      <c r="I34">
        <v>2.7E-2</v>
      </c>
      <c r="J34">
        <v>663856</v>
      </c>
      <c r="K34">
        <v>59650</v>
      </c>
      <c r="L34">
        <v>723506</v>
      </c>
      <c r="M34">
        <v>3.3000000000000002E-2</v>
      </c>
      <c r="N34">
        <v>3.0000000000000001E-3</v>
      </c>
      <c r="O34">
        <v>3.5999999999999997E-2</v>
      </c>
      <c r="P34">
        <v>509784</v>
      </c>
      <c r="Q34">
        <v>5094</v>
      </c>
      <c r="R34">
        <v>514878</v>
      </c>
      <c r="S34">
        <v>2.5999999999999999E-2</v>
      </c>
      <c r="T34">
        <v>0</v>
      </c>
      <c r="U34">
        <v>2.5999999999999999E-2</v>
      </c>
      <c r="V34">
        <v>19288513</v>
      </c>
      <c r="W34">
        <v>0.97299999999999998</v>
      </c>
      <c r="X34">
        <v>189295</v>
      </c>
      <c r="Y34">
        <v>-3000</v>
      </c>
      <c r="Z34">
        <v>186295</v>
      </c>
      <c r="AA34">
        <v>227173</v>
      </c>
      <c r="AB34">
        <v>0</v>
      </c>
      <c r="AC34">
        <v>227173</v>
      </c>
      <c r="AD34">
        <v>33</v>
      </c>
      <c r="AE34">
        <v>0</v>
      </c>
      <c r="AF34">
        <v>33</v>
      </c>
      <c r="AG34">
        <v>197380</v>
      </c>
      <c r="AH34">
        <v>0</v>
      </c>
      <c r="AI34">
        <v>197380</v>
      </c>
      <c r="AJ34">
        <v>1</v>
      </c>
      <c r="AK34">
        <v>78794</v>
      </c>
      <c r="AL34">
        <v>6</v>
      </c>
      <c r="AM34">
        <v>375838</v>
      </c>
      <c r="AN34">
        <v>8.23</v>
      </c>
      <c r="AO34">
        <v>7.57</v>
      </c>
      <c r="AP34">
        <v>8.18</v>
      </c>
      <c r="AQ34">
        <v>7.9</v>
      </c>
      <c r="AR34">
        <v>6.97</v>
      </c>
      <c r="AS34">
        <v>7.81</v>
      </c>
    </row>
    <row r="35" spans="1:45" x14ac:dyDescent="0.25">
      <c r="A35" t="s">
        <v>19809</v>
      </c>
      <c r="B35">
        <v>689</v>
      </c>
      <c r="C35">
        <v>19754336</v>
      </c>
      <c r="D35">
        <v>652524</v>
      </c>
      <c r="E35">
        <v>2094</v>
      </c>
      <c r="F35">
        <v>654618</v>
      </c>
      <c r="G35">
        <v>3.3000000000000002E-2</v>
      </c>
      <c r="H35">
        <v>0</v>
      </c>
      <c r="I35">
        <v>3.3000000000000002E-2</v>
      </c>
      <c r="J35">
        <v>749514</v>
      </c>
      <c r="K35">
        <v>53780</v>
      </c>
      <c r="L35">
        <v>803294</v>
      </c>
      <c r="M35">
        <v>3.6999999999999998E-2</v>
      </c>
      <c r="N35">
        <v>3.0000000000000001E-3</v>
      </c>
      <c r="O35">
        <v>0.04</v>
      </c>
      <c r="P35">
        <v>641268</v>
      </c>
      <c r="Q35">
        <v>2094</v>
      </c>
      <c r="R35">
        <v>643362</v>
      </c>
      <c r="S35">
        <v>3.2000000000000001E-2</v>
      </c>
      <c r="T35">
        <v>0</v>
      </c>
      <c r="U35">
        <v>3.3000000000000002E-2</v>
      </c>
      <c r="V35">
        <v>19099718</v>
      </c>
      <c r="W35">
        <v>0.96699999999999997</v>
      </c>
      <c r="X35">
        <v>-158551</v>
      </c>
      <c r="Y35">
        <v>0</v>
      </c>
      <c r="Z35">
        <v>-158551</v>
      </c>
      <c r="AA35">
        <v>154061</v>
      </c>
      <c r="AB35">
        <v>0</v>
      </c>
      <c r="AC35">
        <v>154061</v>
      </c>
      <c r="AD35">
        <v>27</v>
      </c>
      <c r="AE35">
        <v>0</v>
      </c>
      <c r="AF35">
        <v>27</v>
      </c>
      <c r="AG35">
        <v>1132912</v>
      </c>
      <c r="AH35">
        <v>0</v>
      </c>
      <c r="AI35">
        <v>1132912</v>
      </c>
      <c r="AJ35">
        <v>0</v>
      </c>
      <c r="AK35">
        <v>0</v>
      </c>
      <c r="AL35">
        <v>7</v>
      </c>
      <c r="AM35">
        <v>454632</v>
      </c>
      <c r="AN35">
        <v>8.06</v>
      </c>
      <c r="AO35">
        <v>6.97</v>
      </c>
      <c r="AP35">
        <v>7.98</v>
      </c>
      <c r="AQ35">
        <v>7.73</v>
      </c>
      <c r="AR35">
        <v>6.97</v>
      </c>
      <c r="AS35">
        <v>7.66</v>
      </c>
    </row>
    <row r="36" spans="1:45" x14ac:dyDescent="0.25">
      <c r="A36" t="s">
        <v>19810</v>
      </c>
      <c r="B36">
        <v>689</v>
      </c>
      <c r="C36">
        <v>19754336</v>
      </c>
      <c r="D36">
        <v>496473</v>
      </c>
      <c r="E36">
        <v>2094</v>
      </c>
      <c r="F36">
        <v>498567</v>
      </c>
      <c r="G36">
        <v>2.5000000000000001E-2</v>
      </c>
      <c r="H36">
        <v>0</v>
      </c>
      <c r="I36">
        <v>2.5000000000000001E-2</v>
      </c>
      <c r="J36">
        <v>660952</v>
      </c>
      <c r="K36">
        <v>63342</v>
      </c>
      <c r="L36">
        <v>724294</v>
      </c>
      <c r="M36">
        <v>3.3000000000000002E-2</v>
      </c>
      <c r="N36">
        <v>3.0000000000000001E-3</v>
      </c>
      <c r="O36">
        <v>3.5999999999999997E-2</v>
      </c>
      <c r="P36">
        <v>454758</v>
      </c>
      <c r="Q36">
        <v>2094</v>
      </c>
      <c r="R36">
        <v>456852</v>
      </c>
      <c r="S36">
        <v>2.3E-2</v>
      </c>
      <c r="T36">
        <v>0</v>
      </c>
      <c r="U36">
        <v>2.3E-2</v>
      </c>
      <c r="V36">
        <v>19255769</v>
      </c>
      <c r="W36">
        <v>0.97499999999999998</v>
      </c>
      <c r="X36">
        <v>34658</v>
      </c>
      <c r="Y36">
        <v>-2094</v>
      </c>
      <c r="Z36">
        <v>32564</v>
      </c>
      <c r="AA36">
        <v>185313</v>
      </c>
      <c r="AB36">
        <v>0</v>
      </c>
      <c r="AC36">
        <v>185313</v>
      </c>
      <c r="AD36">
        <v>25</v>
      </c>
      <c r="AE36">
        <v>0</v>
      </c>
      <c r="AF36">
        <v>25</v>
      </c>
      <c r="AG36">
        <v>131908</v>
      </c>
      <c r="AH36">
        <v>0</v>
      </c>
      <c r="AI36">
        <v>131908</v>
      </c>
      <c r="AJ36">
        <v>3</v>
      </c>
      <c r="AK36">
        <v>66700</v>
      </c>
      <c r="AL36">
        <v>5</v>
      </c>
      <c r="AM36">
        <v>337632</v>
      </c>
      <c r="AN36">
        <v>7.65</v>
      </c>
      <c r="AO36">
        <v>6.95</v>
      </c>
      <c r="AP36">
        <v>7.59</v>
      </c>
      <c r="AQ36">
        <v>7.43</v>
      </c>
      <c r="AR36">
        <v>6.95</v>
      </c>
      <c r="AS36">
        <v>7.38</v>
      </c>
    </row>
    <row r="37" spans="1:45" x14ac:dyDescent="0.25">
      <c r="A37" t="s">
        <v>19811</v>
      </c>
      <c r="B37">
        <v>687</v>
      </c>
      <c r="C37">
        <v>19697923</v>
      </c>
      <c r="D37">
        <v>466818</v>
      </c>
      <c r="E37">
        <v>0</v>
      </c>
      <c r="F37">
        <v>466818</v>
      </c>
      <c r="G37">
        <v>2.4E-2</v>
      </c>
      <c r="H37">
        <v>0</v>
      </c>
      <c r="I37">
        <v>2.4E-2</v>
      </c>
      <c r="J37">
        <v>607970</v>
      </c>
      <c r="K37">
        <v>61248</v>
      </c>
      <c r="L37">
        <v>669218</v>
      </c>
      <c r="M37">
        <v>0.03</v>
      </c>
      <c r="N37">
        <v>3.0000000000000001E-3</v>
      </c>
      <c r="O37">
        <v>3.4000000000000002E-2</v>
      </c>
      <c r="P37">
        <v>375849</v>
      </c>
      <c r="Q37">
        <v>0</v>
      </c>
      <c r="R37">
        <v>375849</v>
      </c>
      <c r="S37">
        <v>1.9E-2</v>
      </c>
      <c r="T37">
        <v>0</v>
      </c>
      <c r="U37">
        <v>1.9E-2</v>
      </c>
      <c r="V37">
        <v>19231105</v>
      </c>
      <c r="W37">
        <v>0.97599999999999998</v>
      </c>
      <c r="X37">
        <v>-54481</v>
      </c>
      <c r="Y37">
        <v>0</v>
      </c>
      <c r="Z37">
        <v>-54481</v>
      </c>
      <c r="AA37">
        <v>60772</v>
      </c>
      <c r="AB37">
        <v>0</v>
      </c>
      <c r="AC37">
        <v>60772</v>
      </c>
      <c r="AD37">
        <v>18</v>
      </c>
      <c r="AE37">
        <v>0</v>
      </c>
      <c r="AF37">
        <v>18</v>
      </c>
      <c r="AG37">
        <v>133992</v>
      </c>
      <c r="AH37">
        <v>0</v>
      </c>
      <c r="AI37">
        <v>133992</v>
      </c>
      <c r="AJ37">
        <v>3</v>
      </c>
      <c r="AK37">
        <v>81150</v>
      </c>
      <c r="AL37">
        <v>5</v>
      </c>
      <c r="AM37">
        <v>255494</v>
      </c>
      <c r="AN37">
        <v>7.55</v>
      </c>
      <c r="AO37">
        <v>6.95</v>
      </c>
      <c r="AP37">
        <v>7.5</v>
      </c>
      <c r="AQ37">
        <v>7.32</v>
      </c>
      <c r="AR37">
        <v>6.95</v>
      </c>
      <c r="AS37">
        <v>7.28</v>
      </c>
    </row>
    <row r="38" spans="1:45" x14ac:dyDescent="0.25">
      <c r="A38" t="s">
        <v>19812</v>
      </c>
      <c r="B38">
        <v>685</v>
      </c>
      <c r="C38">
        <v>19771473</v>
      </c>
      <c r="D38">
        <v>481959</v>
      </c>
      <c r="E38">
        <v>0</v>
      </c>
      <c r="F38">
        <v>481959</v>
      </c>
      <c r="G38">
        <v>2.4E-2</v>
      </c>
      <c r="H38">
        <v>0</v>
      </c>
      <c r="I38">
        <v>2.4E-2</v>
      </c>
      <c r="J38">
        <v>747867</v>
      </c>
      <c r="K38">
        <v>82928</v>
      </c>
      <c r="L38">
        <v>830795</v>
      </c>
      <c r="M38">
        <v>3.6999999999999998E-2</v>
      </c>
      <c r="N38">
        <v>4.0000000000000001E-3</v>
      </c>
      <c r="O38">
        <v>4.2000000000000003E-2</v>
      </c>
      <c r="P38">
        <v>402377</v>
      </c>
      <c r="Q38">
        <v>0</v>
      </c>
      <c r="R38">
        <v>402377</v>
      </c>
      <c r="S38">
        <v>0.02</v>
      </c>
      <c r="T38">
        <v>0</v>
      </c>
      <c r="U38">
        <v>0.02</v>
      </c>
      <c r="V38">
        <v>19289514</v>
      </c>
      <c r="W38">
        <v>0.97599999999999998</v>
      </c>
      <c r="X38">
        <v>252320</v>
      </c>
      <c r="Y38">
        <v>100486</v>
      </c>
      <c r="Z38">
        <v>352806</v>
      </c>
      <c r="AA38">
        <v>367674</v>
      </c>
      <c r="AB38">
        <v>100486</v>
      </c>
      <c r="AC38">
        <v>468160</v>
      </c>
      <c r="AD38">
        <v>19</v>
      </c>
      <c r="AE38">
        <v>0</v>
      </c>
      <c r="AF38">
        <v>19</v>
      </c>
      <c r="AG38">
        <v>441457</v>
      </c>
      <c r="AH38">
        <v>0</v>
      </c>
      <c r="AI38">
        <v>441457</v>
      </c>
      <c r="AJ38">
        <v>2</v>
      </c>
      <c r="AK38">
        <v>233702</v>
      </c>
      <c r="AL38">
        <v>7</v>
      </c>
      <c r="AM38">
        <v>226644</v>
      </c>
      <c r="AN38">
        <v>7.7</v>
      </c>
      <c r="AO38">
        <v>6.44</v>
      </c>
      <c r="AP38">
        <v>7.56</v>
      </c>
      <c r="AQ38">
        <v>7.52</v>
      </c>
      <c r="AR38">
        <v>6.44</v>
      </c>
      <c r="AS38">
        <v>7.38</v>
      </c>
    </row>
    <row r="39" spans="1:45" x14ac:dyDescent="0.25">
      <c r="A39" t="s">
        <v>19813</v>
      </c>
      <c r="B39">
        <v>683</v>
      </c>
      <c r="C39">
        <v>19537771</v>
      </c>
      <c r="D39">
        <v>507977</v>
      </c>
      <c r="E39">
        <v>100486</v>
      </c>
      <c r="F39">
        <v>608463</v>
      </c>
      <c r="G39">
        <v>2.5999999999999999E-2</v>
      </c>
      <c r="H39">
        <v>5.0000000000000001E-3</v>
      </c>
      <c r="I39">
        <v>3.1E-2</v>
      </c>
      <c r="J39">
        <v>793277</v>
      </c>
      <c r="K39">
        <v>178166</v>
      </c>
      <c r="L39">
        <v>971443</v>
      </c>
      <c r="M39">
        <v>0.04</v>
      </c>
      <c r="N39">
        <v>8.9999999999999993E-3</v>
      </c>
      <c r="O39">
        <v>4.9000000000000002E-2</v>
      </c>
      <c r="P39">
        <v>469285</v>
      </c>
      <c r="Q39">
        <v>100486</v>
      </c>
      <c r="R39">
        <v>569771</v>
      </c>
      <c r="S39">
        <v>2.4E-2</v>
      </c>
      <c r="T39">
        <v>5.0000000000000001E-3</v>
      </c>
      <c r="U39">
        <v>2.9000000000000001E-2</v>
      </c>
      <c r="V39">
        <v>18929308</v>
      </c>
      <c r="W39">
        <v>0.96899999999999997</v>
      </c>
      <c r="X39">
        <v>56200</v>
      </c>
      <c r="Y39">
        <v>-100486</v>
      </c>
      <c r="Z39">
        <v>-44286</v>
      </c>
      <c r="AA39">
        <v>119660</v>
      </c>
      <c r="AB39">
        <v>0</v>
      </c>
      <c r="AC39">
        <v>119660</v>
      </c>
      <c r="AD39">
        <v>30</v>
      </c>
      <c r="AE39">
        <v>0</v>
      </c>
      <c r="AF39">
        <v>30</v>
      </c>
      <c r="AG39">
        <v>444548</v>
      </c>
      <c r="AH39">
        <v>0</v>
      </c>
      <c r="AI39">
        <v>444548</v>
      </c>
      <c r="AJ39">
        <v>0</v>
      </c>
      <c r="AK39">
        <v>0</v>
      </c>
      <c r="AL39">
        <v>6</v>
      </c>
      <c r="AM39">
        <v>336552</v>
      </c>
      <c r="AN39">
        <v>7.8</v>
      </c>
      <c r="AO39">
        <v>4.91</v>
      </c>
      <c r="AP39">
        <v>7.15</v>
      </c>
      <c r="AQ39">
        <v>7.45</v>
      </c>
      <c r="AR39">
        <v>4.91</v>
      </c>
      <c r="AS39">
        <v>6.8</v>
      </c>
    </row>
    <row r="40" spans="1:45" x14ac:dyDescent="0.25">
      <c r="A40" t="s">
        <v>19814</v>
      </c>
      <c r="B40">
        <v>683</v>
      </c>
      <c r="C40">
        <v>19537771</v>
      </c>
      <c r="D40">
        <v>556377</v>
      </c>
      <c r="E40">
        <v>0</v>
      </c>
      <c r="F40">
        <v>556377</v>
      </c>
      <c r="G40">
        <v>2.8000000000000001E-2</v>
      </c>
      <c r="H40">
        <v>0</v>
      </c>
      <c r="I40">
        <v>2.8000000000000001E-2</v>
      </c>
      <c r="J40">
        <v>704860</v>
      </c>
      <c r="K40">
        <v>181106</v>
      </c>
      <c r="L40">
        <v>885966</v>
      </c>
      <c r="M40">
        <v>3.5999999999999997E-2</v>
      </c>
      <c r="N40">
        <v>8.9999999999999993E-3</v>
      </c>
      <c r="O40">
        <v>4.4999999999999998E-2</v>
      </c>
      <c r="P40">
        <v>472299</v>
      </c>
      <c r="Q40">
        <v>0</v>
      </c>
      <c r="R40">
        <v>472299</v>
      </c>
      <c r="S40">
        <v>2.4E-2</v>
      </c>
      <c r="T40">
        <v>0</v>
      </c>
      <c r="U40">
        <v>2.4E-2</v>
      </c>
      <c r="V40">
        <v>18981394</v>
      </c>
      <c r="W40">
        <v>0.97199999999999998</v>
      </c>
      <c r="X40">
        <v>-1018</v>
      </c>
      <c r="Y40">
        <v>0</v>
      </c>
      <c r="Z40">
        <v>-1018</v>
      </c>
      <c r="AA40">
        <v>371470</v>
      </c>
      <c r="AB40">
        <v>0</v>
      </c>
      <c r="AC40">
        <v>371470</v>
      </c>
      <c r="AD40">
        <v>18</v>
      </c>
      <c r="AE40">
        <v>0</v>
      </c>
      <c r="AF40">
        <v>18</v>
      </c>
      <c r="AG40">
        <v>87441</v>
      </c>
      <c r="AH40">
        <v>0</v>
      </c>
      <c r="AI40">
        <v>87441</v>
      </c>
      <c r="AJ40">
        <v>0</v>
      </c>
      <c r="AK40">
        <v>0</v>
      </c>
      <c r="AL40">
        <v>5</v>
      </c>
      <c r="AM40">
        <v>315402</v>
      </c>
      <c r="AN40">
        <v>6.57</v>
      </c>
      <c r="AO40">
        <v>5.22</v>
      </c>
      <c r="AP40">
        <v>6.28</v>
      </c>
      <c r="AQ40">
        <v>6</v>
      </c>
      <c r="AR40">
        <v>4.9000000000000004</v>
      </c>
      <c r="AS40">
        <v>5.75</v>
      </c>
    </row>
    <row r="41" spans="1:45" x14ac:dyDescent="0.25">
      <c r="A41" t="s">
        <v>19815</v>
      </c>
      <c r="B41">
        <v>688</v>
      </c>
      <c r="C41">
        <v>19572357</v>
      </c>
      <c r="D41">
        <v>619145</v>
      </c>
      <c r="E41">
        <v>0</v>
      </c>
      <c r="F41">
        <v>619145</v>
      </c>
      <c r="G41">
        <v>3.2000000000000001E-2</v>
      </c>
      <c r="H41">
        <v>0</v>
      </c>
      <c r="I41">
        <v>3.2000000000000001E-2</v>
      </c>
      <c r="J41">
        <v>584750</v>
      </c>
      <c r="K41">
        <v>181106</v>
      </c>
      <c r="L41">
        <v>782749</v>
      </c>
      <c r="M41">
        <v>2.9000000000000001E-2</v>
      </c>
      <c r="N41">
        <v>8.9999999999999993E-3</v>
      </c>
      <c r="O41">
        <v>3.9E-2</v>
      </c>
      <c r="P41">
        <v>363076</v>
      </c>
      <c r="Q41">
        <v>0</v>
      </c>
      <c r="R41">
        <v>363076</v>
      </c>
      <c r="S41">
        <v>1.9E-2</v>
      </c>
      <c r="T41">
        <v>0</v>
      </c>
      <c r="U41">
        <v>1.9E-2</v>
      </c>
      <c r="V41">
        <v>18953212</v>
      </c>
      <c r="W41">
        <v>0.96799999999999997</v>
      </c>
      <c r="X41">
        <v>95368</v>
      </c>
      <c r="Y41">
        <v>0</v>
      </c>
      <c r="Z41">
        <v>95368</v>
      </c>
      <c r="AA41">
        <v>216377</v>
      </c>
      <c r="AB41">
        <v>0</v>
      </c>
      <c r="AC41">
        <v>216377</v>
      </c>
      <c r="AD41">
        <v>17</v>
      </c>
      <c r="AE41">
        <v>0</v>
      </c>
      <c r="AF41">
        <v>17</v>
      </c>
      <c r="AG41">
        <v>95767</v>
      </c>
      <c r="AH41">
        <v>0</v>
      </c>
      <c r="AI41">
        <v>95767</v>
      </c>
      <c r="AJ41">
        <v>0</v>
      </c>
      <c r="AK41">
        <v>0</v>
      </c>
      <c r="AL41">
        <v>4</v>
      </c>
      <c r="AM41">
        <v>293702</v>
      </c>
      <c r="AN41">
        <v>6.7</v>
      </c>
      <c r="AO41">
        <v>5.22</v>
      </c>
      <c r="AP41">
        <v>6.37</v>
      </c>
      <c r="AQ41">
        <v>6.03</v>
      </c>
      <c r="AR41">
        <v>4.9000000000000004</v>
      </c>
      <c r="AS41">
        <v>5.75</v>
      </c>
    </row>
    <row r="42" spans="1:45" x14ac:dyDescent="0.25">
      <c r="A42" t="s">
        <v>19816</v>
      </c>
      <c r="B42">
        <v>688</v>
      </c>
      <c r="C42">
        <v>19572357</v>
      </c>
      <c r="D42">
        <v>714813</v>
      </c>
      <c r="E42">
        <v>0</v>
      </c>
      <c r="F42">
        <v>714813</v>
      </c>
      <c r="G42">
        <v>3.6999999999999998E-2</v>
      </c>
      <c r="H42">
        <v>0</v>
      </c>
      <c r="I42">
        <v>3.6999999999999998E-2</v>
      </c>
      <c r="J42">
        <v>631085</v>
      </c>
      <c r="K42">
        <v>156486</v>
      </c>
      <c r="L42">
        <v>787571</v>
      </c>
      <c r="M42">
        <v>3.2000000000000001E-2</v>
      </c>
      <c r="N42">
        <v>8.0000000000000002E-3</v>
      </c>
      <c r="O42">
        <v>0.04</v>
      </c>
      <c r="P42">
        <v>422224</v>
      </c>
      <c r="Q42">
        <v>0</v>
      </c>
      <c r="R42">
        <v>422224</v>
      </c>
      <c r="S42">
        <v>2.1999999999999999E-2</v>
      </c>
      <c r="T42">
        <v>0</v>
      </c>
      <c r="U42">
        <v>2.1999999999999999E-2</v>
      </c>
      <c r="V42">
        <v>18857544</v>
      </c>
      <c r="W42">
        <v>0.96299999999999997</v>
      </c>
      <c r="X42">
        <v>329395</v>
      </c>
      <c r="Y42">
        <v>0</v>
      </c>
      <c r="Z42">
        <v>329395</v>
      </c>
      <c r="AA42">
        <v>428425</v>
      </c>
      <c r="AB42">
        <v>0</v>
      </c>
      <c r="AC42">
        <v>428425</v>
      </c>
      <c r="AD42">
        <v>22</v>
      </c>
      <c r="AE42">
        <v>0</v>
      </c>
      <c r="AF42">
        <v>22</v>
      </c>
      <c r="AG42">
        <v>408699</v>
      </c>
      <c r="AH42">
        <v>0</v>
      </c>
      <c r="AI42">
        <v>408699</v>
      </c>
      <c r="AJ42">
        <v>1</v>
      </c>
      <c r="AK42">
        <v>20000</v>
      </c>
      <c r="AL42">
        <v>3</v>
      </c>
      <c r="AM42">
        <v>271827</v>
      </c>
      <c r="AN42">
        <v>6.38</v>
      </c>
      <c r="AO42">
        <v>4.9000000000000004</v>
      </c>
      <c r="AP42">
        <v>6.12</v>
      </c>
      <c r="AQ42">
        <v>5.92</v>
      </c>
      <c r="AR42">
        <v>4.9000000000000004</v>
      </c>
      <c r="AS42">
        <v>5.7</v>
      </c>
    </row>
    <row r="43" spans="1:45" x14ac:dyDescent="0.25">
      <c r="A43" t="s">
        <v>19817</v>
      </c>
      <c r="B43">
        <v>687</v>
      </c>
      <c r="C43">
        <v>19552357</v>
      </c>
      <c r="D43">
        <v>1022208</v>
      </c>
      <c r="E43">
        <v>0</v>
      </c>
      <c r="F43">
        <v>1022208</v>
      </c>
      <c r="G43">
        <v>5.1999999999999998E-2</v>
      </c>
      <c r="H43">
        <v>0</v>
      </c>
      <c r="I43">
        <v>5.1999999999999998E-2</v>
      </c>
      <c r="J43">
        <v>940989</v>
      </c>
      <c r="K43">
        <v>156486</v>
      </c>
      <c r="L43">
        <v>1097475</v>
      </c>
      <c r="M43">
        <v>4.8000000000000001E-2</v>
      </c>
      <c r="N43">
        <v>8.0000000000000002E-3</v>
      </c>
      <c r="O43">
        <v>5.5E-2</v>
      </c>
      <c r="P43">
        <v>779083</v>
      </c>
      <c r="Q43">
        <v>0</v>
      </c>
      <c r="R43">
        <v>779083</v>
      </c>
      <c r="S43">
        <v>0.04</v>
      </c>
      <c r="T43">
        <v>0</v>
      </c>
      <c r="U43">
        <v>0.04</v>
      </c>
      <c r="V43">
        <v>18530149</v>
      </c>
      <c r="W43">
        <v>0.94799999999999995</v>
      </c>
      <c r="X43">
        <v>145664</v>
      </c>
      <c r="Y43">
        <v>0</v>
      </c>
      <c r="Z43">
        <v>145664</v>
      </c>
      <c r="AA43">
        <v>316964</v>
      </c>
      <c r="AB43">
        <v>0</v>
      </c>
      <c r="AC43">
        <v>316964</v>
      </c>
      <c r="AD43">
        <v>23</v>
      </c>
      <c r="AE43">
        <v>0</v>
      </c>
      <c r="AF43">
        <v>23</v>
      </c>
      <c r="AG43">
        <v>444291</v>
      </c>
      <c r="AH43">
        <v>0</v>
      </c>
      <c r="AI43">
        <v>444291</v>
      </c>
      <c r="AJ43">
        <v>0</v>
      </c>
      <c r="AK43">
        <v>0</v>
      </c>
      <c r="AL43">
        <v>2</v>
      </c>
      <c r="AM43">
        <v>231827</v>
      </c>
      <c r="AN43">
        <v>5.98</v>
      </c>
      <c r="AO43">
        <v>5.09</v>
      </c>
      <c r="AP43">
        <v>5.83</v>
      </c>
      <c r="AQ43">
        <v>5.47</v>
      </c>
      <c r="AR43">
        <v>5.09</v>
      </c>
      <c r="AS43">
        <v>5.4</v>
      </c>
    </row>
    <row r="44" spans="1:45" x14ac:dyDescent="0.25">
      <c r="A44" t="s">
        <v>19818</v>
      </c>
      <c r="B44">
        <v>687</v>
      </c>
      <c r="C44">
        <v>19552357</v>
      </c>
      <c r="D44">
        <v>1206872</v>
      </c>
      <c r="E44">
        <v>0</v>
      </c>
      <c r="F44">
        <v>1206872</v>
      </c>
      <c r="G44">
        <v>6.2E-2</v>
      </c>
      <c r="H44">
        <v>0</v>
      </c>
      <c r="I44">
        <v>6.2E-2</v>
      </c>
      <c r="J44">
        <v>1452985</v>
      </c>
      <c r="K44">
        <v>40000</v>
      </c>
      <c r="L44">
        <v>1575244</v>
      </c>
      <c r="M44">
        <v>7.3999999999999996E-2</v>
      </c>
      <c r="N44">
        <v>2E-3</v>
      </c>
      <c r="O44">
        <v>0.08</v>
      </c>
      <c r="P44">
        <v>1189102</v>
      </c>
      <c r="Q44">
        <v>0</v>
      </c>
      <c r="R44">
        <v>1189102</v>
      </c>
      <c r="S44">
        <v>6.0999999999999999E-2</v>
      </c>
      <c r="T44">
        <v>0</v>
      </c>
      <c r="U44">
        <v>6.0999999999999999E-2</v>
      </c>
      <c r="V44">
        <v>18345485</v>
      </c>
      <c r="W44">
        <v>0.93799999999999994</v>
      </c>
      <c r="X44">
        <v>327550</v>
      </c>
      <c r="Y44">
        <v>0</v>
      </c>
      <c r="Z44">
        <v>327550</v>
      </c>
      <c r="AA44">
        <v>345578</v>
      </c>
      <c r="AB44">
        <v>0</v>
      </c>
      <c r="AC44">
        <v>345578</v>
      </c>
      <c r="AD44">
        <v>22</v>
      </c>
      <c r="AE44">
        <v>0</v>
      </c>
      <c r="AF44">
        <v>22</v>
      </c>
      <c r="AG44">
        <v>378264</v>
      </c>
      <c r="AH44">
        <v>0</v>
      </c>
      <c r="AI44">
        <v>378264</v>
      </c>
      <c r="AJ44">
        <v>0</v>
      </c>
      <c r="AK44">
        <v>0</v>
      </c>
      <c r="AL44">
        <v>1</v>
      </c>
      <c r="AM44">
        <v>20000</v>
      </c>
      <c r="AN44">
        <v>5.27</v>
      </c>
      <c r="AO44">
        <v>7.5</v>
      </c>
      <c r="AP44">
        <v>5.36</v>
      </c>
      <c r="AQ44">
        <v>4.72</v>
      </c>
      <c r="AR44">
        <v>7.5</v>
      </c>
      <c r="AS44">
        <v>4.8499999999999996</v>
      </c>
    </row>
    <row r="45" spans="1:45" x14ac:dyDescent="0.25">
      <c r="A45" t="s">
        <v>19819</v>
      </c>
      <c r="B45">
        <v>687</v>
      </c>
      <c r="C45">
        <v>19552357</v>
      </c>
      <c r="D45">
        <v>1550222</v>
      </c>
      <c r="E45">
        <v>0</v>
      </c>
      <c r="F45">
        <v>1550222</v>
      </c>
      <c r="G45">
        <v>7.9000000000000001E-2</v>
      </c>
      <c r="H45">
        <v>0</v>
      </c>
      <c r="I45">
        <v>7.9000000000000001E-2</v>
      </c>
      <c r="J45">
        <v>1506560</v>
      </c>
      <c r="K45">
        <v>10200</v>
      </c>
      <c r="L45">
        <v>1516760</v>
      </c>
      <c r="M45">
        <v>7.6999999999999999E-2</v>
      </c>
      <c r="N45">
        <v>1E-3</v>
      </c>
      <c r="O45">
        <v>7.8E-2</v>
      </c>
      <c r="P45">
        <v>1406143</v>
      </c>
      <c r="Q45">
        <v>0</v>
      </c>
      <c r="R45">
        <v>1406143</v>
      </c>
      <c r="S45">
        <v>7.1999999999999995E-2</v>
      </c>
      <c r="T45">
        <v>0</v>
      </c>
      <c r="U45">
        <v>7.1999999999999995E-2</v>
      </c>
      <c r="V45">
        <v>18002135</v>
      </c>
      <c r="W45">
        <v>0.92100000000000004</v>
      </c>
      <c r="X45">
        <v>106600</v>
      </c>
      <c r="Y45">
        <v>0</v>
      </c>
      <c r="Z45">
        <v>106600</v>
      </c>
      <c r="AA45">
        <v>148196</v>
      </c>
      <c r="AB45">
        <v>0</v>
      </c>
      <c r="AC45">
        <v>148196</v>
      </c>
      <c r="AD45">
        <v>30</v>
      </c>
      <c r="AE45">
        <v>0</v>
      </c>
      <c r="AF45">
        <v>30</v>
      </c>
      <c r="AG45">
        <v>285225</v>
      </c>
      <c r="AH45">
        <v>0</v>
      </c>
      <c r="AI45">
        <v>285225</v>
      </c>
      <c r="AJ45">
        <v>1</v>
      </c>
      <c r="AK45">
        <v>4897</v>
      </c>
      <c r="AL45">
        <v>0</v>
      </c>
      <c r="AM45">
        <v>0</v>
      </c>
      <c r="AN45">
        <v>5.5</v>
      </c>
      <c r="AO45">
        <v>7.64</v>
      </c>
      <c r="AP45">
        <v>5.52</v>
      </c>
      <c r="AQ45">
        <v>5</v>
      </c>
      <c r="AR45" t="s">
        <v>1784</v>
      </c>
      <c r="AS45">
        <v>5</v>
      </c>
    </row>
    <row r="46" spans="1:45" x14ac:dyDescent="0.25">
      <c r="A46" t="s">
        <v>19820</v>
      </c>
      <c r="B46">
        <v>687</v>
      </c>
      <c r="C46">
        <v>19559860</v>
      </c>
      <c r="D46">
        <v>1667825</v>
      </c>
      <c r="E46">
        <v>0</v>
      </c>
      <c r="F46">
        <v>1667825</v>
      </c>
      <c r="G46">
        <v>8.5000000000000006E-2</v>
      </c>
      <c r="H46">
        <v>0</v>
      </c>
      <c r="I46">
        <v>8.5000000000000006E-2</v>
      </c>
      <c r="J46">
        <v>1674873</v>
      </c>
      <c r="K46">
        <v>10200</v>
      </c>
      <c r="L46">
        <v>1674873</v>
      </c>
      <c r="M46">
        <v>8.5999999999999993E-2</v>
      </c>
      <c r="N46">
        <v>1E-3</v>
      </c>
      <c r="O46">
        <v>8.5999999999999993E-2</v>
      </c>
      <c r="P46">
        <v>1485157</v>
      </c>
      <c r="Q46">
        <v>0</v>
      </c>
      <c r="R46">
        <v>1485157</v>
      </c>
      <c r="S46">
        <v>7.5999999999999998E-2</v>
      </c>
      <c r="T46">
        <v>0</v>
      </c>
      <c r="U46">
        <v>7.5999999999999998E-2</v>
      </c>
      <c r="V46">
        <v>17892035</v>
      </c>
      <c r="W46">
        <v>0.91500000000000004</v>
      </c>
      <c r="X46">
        <v>-36724</v>
      </c>
      <c r="Y46">
        <v>0</v>
      </c>
      <c r="Z46">
        <v>-36724</v>
      </c>
      <c r="AA46">
        <v>156638</v>
      </c>
      <c r="AB46">
        <v>0</v>
      </c>
      <c r="AC46">
        <v>156638</v>
      </c>
      <c r="AD46">
        <v>32</v>
      </c>
      <c r="AE46">
        <v>0</v>
      </c>
      <c r="AF46">
        <v>32</v>
      </c>
      <c r="AG46">
        <v>218155</v>
      </c>
      <c r="AH46">
        <v>0</v>
      </c>
      <c r="AI46">
        <v>218155</v>
      </c>
      <c r="AJ46">
        <v>0</v>
      </c>
      <c r="AK46">
        <v>0</v>
      </c>
      <c r="AL46">
        <v>1</v>
      </c>
      <c r="AM46">
        <v>4897</v>
      </c>
      <c r="AN46">
        <v>5.51</v>
      </c>
      <c r="AO46">
        <v>7.64</v>
      </c>
      <c r="AP46">
        <v>5.53</v>
      </c>
      <c r="AQ46">
        <v>5.0199999999999996</v>
      </c>
      <c r="AR46" t="s">
        <v>1784</v>
      </c>
      <c r="AS46">
        <v>5.0199999999999996</v>
      </c>
    </row>
    <row r="47" spans="1:45" x14ac:dyDescent="0.25">
      <c r="A47" t="s">
        <v>19821</v>
      </c>
      <c r="B47">
        <v>687</v>
      </c>
      <c r="C47">
        <v>19559860</v>
      </c>
      <c r="D47">
        <v>1634401</v>
      </c>
      <c r="E47">
        <v>0</v>
      </c>
      <c r="F47">
        <v>1634401</v>
      </c>
      <c r="G47">
        <v>8.4000000000000005E-2</v>
      </c>
      <c r="H47">
        <v>0</v>
      </c>
      <c r="I47">
        <v>8.4000000000000005E-2</v>
      </c>
      <c r="J47">
        <v>1766541</v>
      </c>
      <c r="K47">
        <v>10200</v>
      </c>
      <c r="L47">
        <v>1776741</v>
      </c>
      <c r="M47">
        <v>0.09</v>
      </c>
      <c r="N47">
        <v>1E-3</v>
      </c>
      <c r="O47">
        <v>9.0999999999999998E-2</v>
      </c>
      <c r="P47">
        <v>1568138</v>
      </c>
      <c r="Q47">
        <v>0</v>
      </c>
      <c r="R47">
        <v>1568138</v>
      </c>
      <c r="S47">
        <v>0.08</v>
      </c>
      <c r="T47">
        <v>0</v>
      </c>
      <c r="U47">
        <v>0.08</v>
      </c>
      <c r="V47">
        <v>17925459</v>
      </c>
      <c r="W47">
        <v>0.91600000000000004</v>
      </c>
      <c r="X47">
        <v>-86731</v>
      </c>
      <c r="Y47">
        <v>0</v>
      </c>
      <c r="Z47">
        <v>-86731</v>
      </c>
      <c r="AA47">
        <v>147960</v>
      </c>
      <c r="AB47">
        <v>0</v>
      </c>
      <c r="AC47">
        <v>147960</v>
      </c>
      <c r="AD47">
        <v>48</v>
      </c>
      <c r="AE47">
        <v>0</v>
      </c>
      <c r="AF47">
        <v>48</v>
      </c>
      <c r="AG47">
        <v>320577</v>
      </c>
      <c r="AH47">
        <v>0</v>
      </c>
      <c r="AI47">
        <v>320577</v>
      </c>
      <c r="AJ47">
        <v>0</v>
      </c>
      <c r="AK47">
        <v>0</v>
      </c>
      <c r="AL47">
        <v>1</v>
      </c>
      <c r="AM47">
        <v>4897</v>
      </c>
      <c r="AN47">
        <v>5.47</v>
      </c>
      <c r="AO47">
        <v>7.64</v>
      </c>
      <c r="AP47">
        <v>5.5</v>
      </c>
      <c r="AQ47">
        <v>4.9400000000000004</v>
      </c>
      <c r="AR47" t="s">
        <v>1784</v>
      </c>
      <c r="AS47">
        <v>4.9400000000000004</v>
      </c>
    </row>
    <row r="48" spans="1:45" x14ac:dyDescent="0.25">
      <c r="A48" t="s">
        <v>19822</v>
      </c>
      <c r="B48">
        <v>687</v>
      </c>
      <c r="C48">
        <v>19559860</v>
      </c>
      <c r="D48">
        <v>1481270</v>
      </c>
      <c r="E48">
        <v>0</v>
      </c>
      <c r="F48">
        <v>1481270</v>
      </c>
      <c r="G48">
        <v>7.5999999999999998E-2</v>
      </c>
      <c r="H48">
        <v>0</v>
      </c>
      <c r="I48">
        <v>7.5999999999999998E-2</v>
      </c>
      <c r="J48">
        <v>1981378</v>
      </c>
      <c r="K48">
        <v>10200</v>
      </c>
      <c r="L48">
        <v>1991578</v>
      </c>
      <c r="M48">
        <v>0.10100000000000001</v>
      </c>
      <c r="N48">
        <v>1E-3</v>
      </c>
      <c r="O48">
        <v>0.10199999999999999</v>
      </c>
      <c r="P48">
        <v>1455445</v>
      </c>
      <c r="Q48">
        <v>0</v>
      </c>
      <c r="R48">
        <v>1455445</v>
      </c>
      <c r="S48">
        <v>7.3999999999999996E-2</v>
      </c>
      <c r="T48">
        <v>0</v>
      </c>
      <c r="U48">
        <v>7.3999999999999996E-2</v>
      </c>
      <c r="V48">
        <v>18078590</v>
      </c>
      <c r="W48">
        <v>0.92400000000000004</v>
      </c>
      <c r="X48">
        <v>136919</v>
      </c>
      <c r="Y48">
        <v>0</v>
      </c>
      <c r="Z48">
        <v>136919</v>
      </c>
      <c r="AA48">
        <v>238883</v>
      </c>
      <c r="AB48">
        <v>0</v>
      </c>
      <c r="AC48">
        <v>238883</v>
      </c>
      <c r="AD48">
        <v>33</v>
      </c>
      <c r="AE48">
        <v>0</v>
      </c>
      <c r="AF48">
        <v>33</v>
      </c>
      <c r="AG48">
        <v>177201</v>
      </c>
      <c r="AH48">
        <v>0</v>
      </c>
      <c r="AI48">
        <v>177201</v>
      </c>
      <c r="AJ48">
        <v>0</v>
      </c>
      <c r="AK48">
        <v>0</v>
      </c>
      <c r="AL48">
        <v>1</v>
      </c>
      <c r="AM48">
        <v>4897</v>
      </c>
      <c r="AN48">
        <v>5.44</v>
      </c>
      <c r="AO48">
        <v>7.64</v>
      </c>
      <c r="AP48">
        <v>5.46</v>
      </c>
      <c r="AQ48">
        <v>4.96</v>
      </c>
      <c r="AR48" t="s">
        <v>1784</v>
      </c>
      <c r="AS48">
        <v>4.96</v>
      </c>
    </row>
    <row r="49" spans="1:45" x14ac:dyDescent="0.25">
      <c r="A49" t="s">
        <v>19823</v>
      </c>
      <c r="B49">
        <v>690</v>
      </c>
      <c r="C49">
        <v>19685935</v>
      </c>
      <c r="D49">
        <v>1757064</v>
      </c>
      <c r="E49">
        <v>0</v>
      </c>
      <c r="F49">
        <v>1757064</v>
      </c>
      <c r="G49">
        <v>8.8999999999999996E-2</v>
      </c>
      <c r="H49">
        <v>0</v>
      </c>
      <c r="I49">
        <v>8.8999999999999996E-2</v>
      </c>
      <c r="J49">
        <v>2135224</v>
      </c>
      <c r="K49">
        <v>10200</v>
      </c>
      <c r="L49">
        <v>2145424</v>
      </c>
      <c r="M49">
        <v>0.108</v>
      </c>
      <c r="N49">
        <v>1E-3</v>
      </c>
      <c r="O49">
        <v>0.109</v>
      </c>
      <c r="P49">
        <v>1497351</v>
      </c>
      <c r="Q49">
        <v>0</v>
      </c>
      <c r="R49">
        <v>1497351</v>
      </c>
      <c r="S49">
        <v>7.5999999999999998E-2</v>
      </c>
      <c r="T49">
        <v>0</v>
      </c>
      <c r="U49">
        <v>7.5999999999999998E-2</v>
      </c>
      <c r="V49">
        <v>17928871</v>
      </c>
      <c r="W49">
        <v>0.91100000000000003</v>
      </c>
      <c r="X49">
        <v>-134227</v>
      </c>
      <c r="Y49">
        <v>12156</v>
      </c>
      <c r="Z49">
        <v>-122071</v>
      </c>
      <c r="AA49">
        <v>170906</v>
      </c>
      <c r="AB49">
        <v>12156</v>
      </c>
      <c r="AC49">
        <v>183062</v>
      </c>
      <c r="AD49">
        <v>33</v>
      </c>
      <c r="AE49">
        <v>0</v>
      </c>
      <c r="AF49">
        <v>33</v>
      </c>
      <c r="AG49">
        <v>184010</v>
      </c>
      <c r="AH49">
        <v>0</v>
      </c>
      <c r="AI49">
        <v>184010</v>
      </c>
      <c r="AJ49">
        <v>0</v>
      </c>
      <c r="AK49">
        <v>0</v>
      </c>
      <c r="AL49">
        <v>1</v>
      </c>
      <c r="AM49">
        <v>4897</v>
      </c>
      <c r="AN49">
        <v>5.15</v>
      </c>
      <c r="AO49">
        <v>7.64</v>
      </c>
      <c r="AP49">
        <v>5.17</v>
      </c>
      <c r="AQ49">
        <v>4.72</v>
      </c>
      <c r="AR49" t="s">
        <v>1784</v>
      </c>
      <c r="AS49">
        <v>4.72</v>
      </c>
    </row>
    <row r="50" spans="1:45" x14ac:dyDescent="0.25">
      <c r="A50" t="s">
        <v>19824</v>
      </c>
      <c r="B50">
        <v>691</v>
      </c>
      <c r="C50">
        <v>20879006</v>
      </c>
      <c r="D50">
        <v>2804108</v>
      </c>
      <c r="E50">
        <v>12156</v>
      </c>
      <c r="F50">
        <v>2816264</v>
      </c>
      <c r="G50">
        <v>0.13400000000000001</v>
      </c>
      <c r="H50">
        <v>1E-3</v>
      </c>
      <c r="I50">
        <v>0.13500000000000001</v>
      </c>
      <c r="J50">
        <v>2137767</v>
      </c>
      <c r="K50">
        <v>12156</v>
      </c>
      <c r="L50">
        <v>2137767</v>
      </c>
      <c r="M50">
        <v>0.10199999999999999</v>
      </c>
      <c r="N50">
        <v>1E-3</v>
      </c>
      <c r="O50">
        <v>0.10199999999999999</v>
      </c>
      <c r="P50">
        <v>1540294</v>
      </c>
      <c r="Q50">
        <v>12156</v>
      </c>
      <c r="R50">
        <v>1552450</v>
      </c>
      <c r="S50">
        <v>7.3999999999999996E-2</v>
      </c>
      <c r="T50">
        <v>1E-3</v>
      </c>
      <c r="U50">
        <v>7.3999999999999996E-2</v>
      </c>
      <c r="V50">
        <v>18062742</v>
      </c>
      <c r="W50">
        <v>0.86499999999999999</v>
      </c>
      <c r="X50">
        <v>-1206798</v>
      </c>
      <c r="Y50">
        <v>31571</v>
      </c>
      <c r="Z50">
        <v>-1175227</v>
      </c>
      <c r="AA50">
        <v>131421</v>
      </c>
      <c r="AB50">
        <v>31571</v>
      </c>
      <c r="AC50">
        <v>162992</v>
      </c>
      <c r="AD50">
        <v>36</v>
      </c>
      <c r="AE50">
        <v>0</v>
      </c>
      <c r="AF50">
        <v>36</v>
      </c>
      <c r="AG50">
        <v>249548</v>
      </c>
      <c r="AH50">
        <v>0</v>
      </c>
      <c r="AI50">
        <v>249548</v>
      </c>
      <c r="AJ50">
        <v>0</v>
      </c>
      <c r="AK50">
        <v>0</v>
      </c>
      <c r="AL50">
        <v>0</v>
      </c>
      <c r="AM50">
        <v>0</v>
      </c>
      <c r="AN50">
        <v>4.79</v>
      </c>
      <c r="AO50" t="s">
        <v>1784</v>
      </c>
      <c r="AP50">
        <v>4.79</v>
      </c>
      <c r="AQ50">
        <v>4.54</v>
      </c>
      <c r="AR50" t="s">
        <v>1784</v>
      </c>
      <c r="AS50">
        <v>4.54</v>
      </c>
    </row>
    <row r="51" spans="1:45" x14ac:dyDescent="0.25">
      <c r="A51" t="s">
        <v>19825</v>
      </c>
      <c r="B51">
        <v>692</v>
      </c>
      <c r="C51">
        <v>20896958</v>
      </c>
      <c r="D51">
        <v>1609362</v>
      </c>
      <c r="E51">
        <v>43727</v>
      </c>
      <c r="F51">
        <v>1653089</v>
      </c>
      <c r="G51">
        <v>7.6999999999999999E-2</v>
      </c>
      <c r="H51">
        <v>2E-3</v>
      </c>
      <c r="I51">
        <v>7.9000000000000001E-2</v>
      </c>
      <c r="J51">
        <v>3388298</v>
      </c>
      <c r="K51">
        <v>12156</v>
      </c>
      <c r="L51">
        <v>3400454</v>
      </c>
      <c r="M51">
        <v>0.16200000000000001</v>
      </c>
      <c r="N51">
        <v>1E-3</v>
      </c>
      <c r="O51">
        <v>0.16300000000000001</v>
      </c>
      <c r="P51">
        <v>1550037</v>
      </c>
      <c r="Q51">
        <v>12156</v>
      </c>
      <c r="R51">
        <v>1562193</v>
      </c>
      <c r="S51">
        <v>7.3999999999999996E-2</v>
      </c>
      <c r="T51">
        <v>1E-3</v>
      </c>
      <c r="U51">
        <v>7.4999999999999997E-2</v>
      </c>
      <c r="V51">
        <v>19243869</v>
      </c>
      <c r="W51">
        <v>0.92100000000000004</v>
      </c>
      <c r="X51">
        <v>-428100</v>
      </c>
      <c r="Y51">
        <v>-43727</v>
      </c>
      <c r="Z51">
        <v>-471827</v>
      </c>
      <c r="AA51">
        <v>185829</v>
      </c>
      <c r="AB51">
        <v>31571</v>
      </c>
      <c r="AC51">
        <v>217400</v>
      </c>
      <c r="AD51">
        <v>28</v>
      </c>
      <c r="AE51">
        <v>0</v>
      </c>
      <c r="AF51">
        <v>28</v>
      </c>
      <c r="AG51">
        <v>108794</v>
      </c>
      <c r="AH51">
        <v>0</v>
      </c>
      <c r="AI51">
        <v>108794</v>
      </c>
      <c r="AJ51">
        <v>0</v>
      </c>
      <c r="AK51">
        <v>0</v>
      </c>
      <c r="AL51">
        <v>0</v>
      </c>
      <c r="AM51">
        <v>0</v>
      </c>
      <c r="AN51">
        <v>4.78</v>
      </c>
      <c r="AO51">
        <v>4.5</v>
      </c>
      <c r="AP51">
        <v>4.78</v>
      </c>
      <c r="AQ51">
        <v>4.55</v>
      </c>
      <c r="AR51">
        <v>4.5</v>
      </c>
      <c r="AS51">
        <v>4.55</v>
      </c>
    </row>
    <row r="52" spans="1:45" x14ac:dyDescent="0.25">
      <c r="A52" t="s">
        <v>19826</v>
      </c>
      <c r="B52">
        <v>693</v>
      </c>
      <c r="C52">
        <v>20929198</v>
      </c>
      <c r="D52">
        <v>1219502</v>
      </c>
      <c r="E52">
        <v>0</v>
      </c>
      <c r="F52">
        <v>1219502</v>
      </c>
      <c r="G52">
        <v>5.8000000000000003E-2</v>
      </c>
      <c r="H52">
        <v>0</v>
      </c>
      <c r="I52">
        <v>5.8000000000000003E-2</v>
      </c>
      <c r="J52">
        <v>2918413</v>
      </c>
      <c r="K52">
        <v>31571</v>
      </c>
      <c r="L52">
        <v>2949984</v>
      </c>
      <c r="M52">
        <v>0.13900000000000001</v>
      </c>
      <c r="N52">
        <v>2E-3</v>
      </c>
      <c r="O52">
        <v>0.14099999999999999</v>
      </c>
      <c r="P52">
        <v>1123801</v>
      </c>
      <c r="Q52">
        <v>0</v>
      </c>
      <c r="R52">
        <v>1123801</v>
      </c>
      <c r="S52">
        <v>5.3999999999999999E-2</v>
      </c>
      <c r="T52">
        <v>0</v>
      </c>
      <c r="U52">
        <v>5.3999999999999999E-2</v>
      </c>
      <c r="V52">
        <v>19709696</v>
      </c>
      <c r="W52">
        <v>0.94199999999999995</v>
      </c>
      <c r="X52">
        <v>7031</v>
      </c>
      <c r="Y52">
        <v>0</v>
      </c>
      <c r="Z52">
        <v>7031</v>
      </c>
      <c r="AA52">
        <v>93263</v>
      </c>
      <c r="AB52">
        <v>0</v>
      </c>
      <c r="AC52">
        <v>93263</v>
      </c>
      <c r="AD52">
        <v>34</v>
      </c>
      <c r="AE52">
        <v>1</v>
      </c>
      <c r="AF52">
        <v>35</v>
      </c>
      <c r="AG52">
        <v>256163</v>
      </c>
      <c r="AH52">
        <v>31543</v>
      </c>
      <c r="AI52">
        <v>287706</v>
      </c>
      <c r="AJ52">
        <v>0</v>
      </c>
      <c r="AK52">
        <v>0</v>
      </c>
      <c r="AL52">
        <v>0</v>
      </c>
      <c r="AM52">
        <v>0</v>
      </c>
      <c r="AN52">
        <v>4.78</v>
      </c>
      <c r="AO52">
        <v>4.5</v>
      </c>
      <c r="AP52">
        <v>4.78</v>
      </c>
      <c r="AQ52">
        <v>4.5599999999999996</v>
      </c>
      <c r="AR52">
        <v>4.5</v>
      </c>
      <c r="AS52">
        <v>4.5599999999999996</v>
      </c>
    </row>
    <row r="53" spans="1:45" x14ac:dyDescent="0.25">
      <c r="A53" t="s">
        <v>19827</v>
      </c>
      <c r="B53">
        <v>695</v>
      </c>
      <c r="C53">
        <v>20969198</v>
      </c>
      <c r="D53">
        <v>1264933</v>
      </c>
      <c r="E53">
        <v>0</v>
      </c>
      <c r="F53">
        <v>1264933</v>
      </c>
      <c r="G53">
        <v>0.06</v>
      </c>
      <c r="H53">
        <v>0</v>
      </c>
      <c r="I53">
        <v>0.06</v>
      </c>
      <c r="J53">
        <v>3125043</v>
      </c>
      <c r="K53">
        <v>31571</v>
      </c>
      <c r="L53">
        <v>3156614</v>
      </c>
      <c r="M53">
        <v>0.14899999999999999</v>
      </c>
      <c r="N53">
        <v>2E-3</v>
      </c>
      <c r="O53">
        <v>0.151</v>
      </c>
      <c r="P53">
        <v>1204233</v>
      </c>
      <c r="Q53">
        <v>0</v>
      </c>
      <c r="R53">
        <v>1204233</v>
      </c>
      <c r="S53">
        <v>5.7000000000000002E-2</v>
      </c>
      <c r="T53">
        <v>0</v>
      </c>
      <c r="U53">
        <v>5.7000000000000002E-2</v>
      </c>
      <c r="V53">
        <v>19704265</v>
      </c>
      <c r="W53">
        <v>0.94</v>
      </c>
      <c r="X53">
        <v>136045</v>
      </c>
      <c r="Y53">
        <v>0</v>
      </c>
      <c r="Z53">
        <v>136045</v>
      </c>
      <c r="AA53">
        <v>257892</v>
      </c>
      <c r="AB53">
        <v>0</v>
      </c>
      <c r="AC53">
        <v>257892</v>
      </c>
      <c r="AD53">
        <v>14</v>
      </c>
      <c r="AE53">
        <v>0</v>
      </c>
      <c r="AF53">
        <v>14</v>
      </c>
      <c r="AG53">
        <v>171575</v>
      </c>
      <c r="AH53">
        <v>0</v>
      </c>
      <c r="AI53">
        <v>171575</v>
      </c>
      <c r="AJ53">
        <v>0</v>
      </c>
      <c r="AK53">
        <v>0</v>
      </c>
      <c r="AL53">
        <v>0</v>
      </c>
      <c r="AM53">
        <v>0</v>
      </c>
      <c r="AN53">
        <v>5.47</v>
      </c>
      <c r="AO53">
        <v>4.5</v>
      </c>
      <c r="AP53">
        <v>5.45</v>
      </c>
      <c r="AQ53">
        <v>5.1100000000000003</v>
      </c>
      <c r="AR53">
        <v>4.5</v>
      </c>
      <c r="AS53">
        <v>5.09</v>
      </c>
    </row>
    <row r="54" spans="1:45" x14ac:dyDescent="0.25">
      <c r="A54" t="s">
        <v>19828</v>
      </c>
      <c r="B54">
        <v>695</v>
      </c>
      <c r="C54">
        <v>20969198</v>
      </c>
      <c r="D54">
        <v>1399578</v>
      </c>
      <c r="E54">
        <v>0</v>
      </c>
      <c r="F54">
        <v>1399578</v>
      </c>
      <c r="G54">
        <v>6.7000000000000004E-2</v>
      </c>
      <c r="H54">
        <v>0</v>
      </c>
      <c r="I54">
        <v>6.7000000000000004E-2</v>
      </c>
      <c r="J54">
        <v>3073217</v>
      </c>
      <c r="K54">
        <v>0</v>
      </c>
      <c r="L54">
        <v>3073217</v>
      </c>
      <c r="M54">
        <v>0.14699999999999999</v>
      </c>
      <c r="N54">
        <v>0</v>
      </c>
      <c r="O54">
        <v>0.14699999999999999</v>
      </c>
      <c r="P54">
        <v>1209385</v>
      </c>
      <c r="Q54">
        <v>0</v>
      </c>
      <c r="R54">
        <v>1209385</v>
      </c>
      <c r="S54">
        <v>5.8000000000000003E-2</v>
      </c>
      <c r="T54">
        <v>0</v>
      </c>
      <c r="U54">
        <v>5.8000000000000003E-2</v>
      </c>
      <c r="V54">
        <v>19569620</v>
      </c>
      <c r="W54">
        <v>0.93300000000000005</v>
      </c>
      <c r="X54">
        <v>-158768</v>
      </c>
      <c r="Y54">
        <v>0</v>
      </c>
      <c r="Z54">
        <v>-158768</v>
      </c>
      <c r="AA54">
        <v>136568</v>
      </c>
      <c r="AB54">
        <v>0</v>
      </c>
      <c r="AC54">
        <v>136568</v>
      </c>
      <c r="AD54">
        <v>37</v>
      </c>
      <c r="AE54">
        <v>0</v>
      </c>
      <c r="AF54">
        <v>37</v>
      </c>
      <c r="AG54">
        <v>245069</v>
      </c>
      <c r="AH54">
        <v>0</v>
      </c>
      <c r="AI54">
        <v>245069</v>
      </c>
      <c r="AJ54">
        <v>0</v>
      </c>
      <c r="AK54">
        <v>0</v>
      </c>
      <c r="AL54">
        <v>0</v>
      </c>
      <c r="AM54">
        <v>0</v>
      </c>
      <c r="AN54">
        <v>5.32</v>
      </c>
      <c r="AO54" t="s">
        <v>1784</v>
      </c>
      <c r="AP54">
        <v>5.32</v>
      </c>
      <c r="AQ54">
        <v>4.92</v>
      </c>
      <c r="AR54" t="s">
        <v>1784</v>
      </c>
      <c r="AS54">
        <v>4.92</v>
      </c>
    </row>
    <row r="55" spans="1:45" x14ac:dyDescent="0.25">
      <c r="A55" t="s">
        <v>19829</v>
      </c>
      <c r="B55">
        <v>696</v>
      </c>
      <c r="C55">
        <v>20988388</v>
      </c>
      <c r="D55">
        <v>1266200</v>
      </c>
      <c r="E55">
        <v>0</v>
      </c>
      <c r="F55">
        <v>1266200</v>
      </c>
      <c r="G55">
        <v>0.06</v>
      </c>
      <c r="H55">
        <v>0</v>
      </c>
      <c r="I55">
        <v>0.06</v>
      </c>
      <c r="J55">
        <v>3095175</v>
      </c>
      <c r="K55">
        <v>0</v>
      </c>
      <c r="L55">
        <v>3095175</v>
      </c>
      <c r="M55">
        <v>0.14699999999999999</v>
      </c>
      <c r="N55">
        <v>0</v>
      </c>
      <c r="O55">
        <v>0.14699999999999999</v>
      </c>
      <c r="P55">
        <v>1221724</v>
      </c>
      <c r="Q55">
        <v>0</v>
      </c>
      <c r="R55">
        <v>1221724</v>
      </c>
      <c r="S55">
        <v>5.8000000000000003E-2</v>
      </c>
      <c r="T55">
        <v>0</v>
      </c>
      <c r="U55">
        <v>5.8000000000000003E-2</v>
      </c>
      <c r="V55">
        <v>19722188</v>
      </c>
      <c r="W55">
        <v>0.94</v>
      </c>
      <c r="X55">
        <v>5907</v>
      </c>
      <c r="Y55">
        <v>3500</v>
      </c>
      <c r="Z55">
        <v>9407</v>
      </c>
      <c r="AA55">
        <v>276765</v>
      </c>
      <c r="AB55">
        <v>3500</v>
      </c>
      <c r="AC55">
        <v>280265</v>
      </c>
      <c r="AD55">
        <v>51</v>
      </c>
      <c r="AE55">
        <v>0</v>
      </c>
      <c r="AF55">
        <v>51</v>
      </c>
      <c r="AG55">
        <v>457036</v>
      </c>
      <c r="AH55">
        <v>0</v>
      </c>
      <c r="AI55">
        <v>457036</v>
      </c>
      <c r="AJ55">
        <v>0</v>
      </c>
      <c r="AK55">
        <v>0</v>
      </c>
      <c r="AL55">
        <v>0</v>
      </c>
      <c r="AM55">
        <v>0</v>
      </c>
      <c r="AN55">
        <v>5.33</v>
      </c>
      <c r="AO55" t="s">
        <v>1784</v>
      </c>
      <c r="AP55">
        <v>5.33</v>
      </c>
      <c r="AQ55">
        <v>4.95</v>
      </c>
      <c r="AR55" t="s">
        <v>1784</v>
      </c>
      <c r="AS55">
        <v>4.95</v>
      </c>
    </row>
    <row r="56" spans="1:45" x14ac:dyDescent="0.25">
      <c r="A56" t="s">
        <v>19830</v>
      </c>
      <c r="B56">
        <v>697</v>
      </c>
      <c r="C56">
        <v>21012125</v>
      </c>
      <c r="D56">
        <v>1289844</v>
      </c>
      <c r="E56">
        <v>3500</v>
      </c>
      <c r="F56">
        <v>1293344</v>
      </c>
      <c r="G56">
        <v>6.0999999999999999E-2</v>
      </c>
      <c r="H56">
        <v>0</v>
      </c>
      <c r="I56">
        <v>6.2E-2</v>
      </c>
      <c r="J56">
        <v>3160742</v>
      </c>
      <c r="K56">
        <v>1820</v>
      </c>
      <c r="L56">
        <v>3192710</v>
      </c>
      <c r="M56">
        <v>0.15</v>
      </c>
      <c r="N56">
        <v>0</v>
      </c>
      <c r="O56">
        <v>0.152</v>
      </c>
      <c r="P56">
        <v>1226563</v>
      </c>
      <c r="Q56">
        <v>3500</v>
      </c>
      <c r="R56">
        <v>1230063</v>
      </c>
      <c r="S56">
        <v>5.8000000000000003E-2</v>
      </c>
      <c r="T56">
        <v>0</v>
      </c>
      <c r="U56">
        <v>5.8999999999999997E-2</v>
      </c>
      <c r="V56">
        <v>19718781</v>
      </c>
      <c r="W56">
        <v>0.93799999999999994</v>
      </c>
      <c r="X56">
        <v>-156698</v>
      </c>
      <c r="Y56">
        <v>5100</v>
      </c>
      <c r="Z56">
        <v>-151598</v>
      </c>
      <c r="AA56">
        <v>87773</v>
      </c>
      <c r="AB56">
        <v>5100</v>
      </c>
      <c r="AC56">
        <v>92873</v>
      </c>
      <c r="AD56">
        <v>24</v>
      </c>
      <c r="AE56">
        <v>0</v>
      </c>
      <c r="AF56">
        <v>24</v>
      </c>
      <c r="AG56">
        <v>151920</v>
      </c>
      <c r="AH56">
        <v>0</v>
      </c>
      <c r="AI56">
        <v>151920</v>
      </c>
      <c r="AJ56">
        <v>0</v>
      </c>
      <c r="AK56">
        <v>0</v>
      </c>
      <c r="AL56">
        <v>0</v>
      </c>
      <c r="AM56">
        <v>0</v>
      </c>
      <c r="AN56">
        <v>5.31</v>
      </c>
      <c r="AO56" t="s">
        <v>1784</v>
      </c>
      <c r="AP56">
        <v>5.31</v>
      </c>
      <c r="AQ56">
        <v>4.93</v>
      </c>
      <c r="AR56" t="s">
        <v>1784</v>
      </c>
      <c r="AS56">
        <v>4.93</v>
      </c>
    </row>
    <row r="57" spans="1:45" x14ac:dyDescent="0.25">
      <c r="A57" t="s">
        <v>19831</v>
      </c>
      <c r="B57">
        <v>697</v>
      </c>
      <c r="C57">
        <v>21012125</v>
      </c>
      <c r="D57">
        <v>1120146</v>
      </c>
      <c r="E57">
        <v>8600</v>
      </c>
      <c r="F57">
        <v>1128746</v>
      </c>
      <c r="G57">
        <v>5.2999999999999999E-2</v>
      </c>
      <c r="H57">
        <v>0</v>
      </c>
      <c r="I57">
        <v>5.3999999999999999E-2</v>
      </c>
      <c r="J57">
        <v>2962687</v>
      </c>
      <c r="K57">
        <v>6920</v>
      </c>
      <c r="L57">
        <v>2999755</v>
      </c>
      <c r="M57">
        <v>0.14099999999999999</v>
      </c>
      <c r="N57">
        <v>0</v>
      </c>
      <c r="O57">
        <v>0.14299999999999999</v>
      </c>
      <c r="P57">
        <v>1070729</v>
      </c>
      <c r="Q57">
        <v>8600</v>
      </c>
      <c r="R57">
        <v>1079329</v>
      </c>
      <c r="S57">
        <v>5.0999999999999997E-2</v>
      </c>
      <c r="T57">
        <v>0</v>
      </c>
      <c r="U57">
        <v>5.0999999999999997E-2</v>
      </c>
      <c r="V57">
        <v>19883379</v>
      </c>
      <c r="W57">
        <v>0.94599999999999995</v>
      </c>
      <c r="X57">
        <v>222226</v>
      </c>
      <c r="Y57">
        <v>0</v>
      </c>
      <c r="Z57">
        <v>222226</v>
      </c>
      <c r="AA57">
        <v>301136</v>
      </c>
      <c r="AB57">
        <v>0</v>
      </c>
      <c r="AC57">
        <v>301136</v>
      </c>
      <c r="AD57">
        <v>25</v>
      </c>
      <c r="AE57">
        <v>0</v>
      </c>
      <c r="AF57">
        <v>25</v>
      </c>
      <c r="AG57">
        <v>74044</v>
      </c>
      <c r="AH57">
        <v>0</v>
      </c>
      <c r="AI57">
        <v>74044</v>
      </c>
      <c r="AJ57">
        <v>1</v>
      </c>
      <c r="AK57">
        <v>11250</v>
      </c>
      <c r="AL57">
        <v>0</v>
      </c>
      <c r="AM57">
        <v>0</v>
      </c>
      <c r="AN57">
        <v>5.55</v>
      </c>
      <c r="AO57" t="s">
        <v>1784</v>
      </c>
      <c r="AP57">
        <v>5.55</v>
      </c>
      <c r="AQ57">
        <v>5.17</v>
      </c>
      <c r="AR57" t="s">
        <v>1784</v>
      </c>
      <c r="AS57">
        <v>5.17</v>
      </c>
    </row>
    <row r="58" spans="1:45" x14ac:dyDescent="0.25">
      <c r="A58" t="s">
        <v>19832</v>
      </c>
      <c r="B58">
        <v>696</v>
      </c>
      <c r="C58">
        <v>21000875</v>
      </c>
      <c r="D58">
        <v>1338522</v>
      </c>
      <c r="E58">
        <v>8600</v>
      </c>
      <c r="F58">
        <v>1347122</v>
      </c>
      <c r="G58">
        <v>6.4000000000000001E-2</v>
      </c>
      <c r="H58">
        <v>0</v>
      </c>
      <c r="I58">
        <v>6.4000000000000001E-2</v>
      </c>
      <c r="J58">
        <v>3174705</v>
      </c>
      <c r="K58">
        <v>72337</v>
      </c>
      <c r="L58">
        <v>3277190</v>
      </c>
      <c r="M58">
        <v>0.151</v>
      </c>
      <c r="N58">
        <v>3.0000000000000001E-3</v>
      </c>
      <c r="O58">
        <v>0.156</v>
      </c>
      <c r="P58">
        <v>1194105</v>
      </c>
      <c r="Q58">
        <v>8600</v>
      </c>
      <c r="R58">
        <v>1202705</v>
      </c>
      <c r="S58">
        <v>5.7000000000000002E-2</v>
      </c>
      <c r="T58">
        <v>0</v>
      </c>
      <c r="U58">
        <v>5.7000000000000002E-2</v>
      </c>
      <c r="V58">
        <v>19653753</v>
      </c>
      <c r="W58">
        <v>0.93600000000000005</v>
      </c>
      <c r="X58">
        <v>-27696</v>
      </c>
      <c r="Y58">
        <v>3444</v>
      </c>
      <c r="Z58">
        <v>-24252</v>
      </c>
      <c r="AA58">
        <v>145041</v>
      </c>
      <c r="AB58">
        <v>8544</v>
      </c>
      <c r="AC58">
        <v>153585</v>
      </c>
      <c r="AD58">
        <v>55</v>
      </c>
      <c r="AE58">
        <v>0</v>
      </c>
      <c r="AF58">
        <v>55</v>
      </c>
      <c r="AG58">
        <v>346162</v>
      </c>
      <c r="AH58">
        <v>0</v>
      </c>
      <c r="AI58">
        <v>346162</v>
      </c>
      <c r="AJ58">
        <v>1</v>
      </c>
      <c r="AK58">
        <v>14258</v>
      </c>
      <c r="AL58">
        <v>1</v>
      </c>
      <c r="AM58">
        <v>11250</v>
      </c>
      <c r="AN58">
        <v>5.65</v>
      </c>
      <c r="AO58">
        <v>4</v>
      </c>
      <c r="AP58">
        <v>5.59</v>
      </c>
      <c r="AQ58">
        <v>5.29</v>
      </c>
      <c r="AR58">
        <v>4</v>
      </c>
      <c r="AS58">
        <v>5.23</v>
      </c>
    </row>
    <row r="59" spans="1:45" x14ac:dyDescent="0.25">
      <c r="A59" t="s">
        <v>19833</v>
      </c>
      <c r="B59">
        <v>695</v>
      </c>
      <c r="C59">
        <v>20986617</v>
      </c>
      <c r="D59">
        <v>1296268</v>
      </c>
      <c r="E59">
        <v>12044</v>
      </c>
      <c r="F59">
        <v>1308312</v>
      </c>
      <c r="G59">
        <v>6.2E-2</v>
      </c>
      <c r="H59">
        <v>1E-3</v>
      </c>
      <c r="I59">
        <v>6.2E-2</v>
      </c>
      <c r="J59">
        <v>3031121</v>
      </c>
      <c r="K59">
        <v>108739</v>
      </c>
      <c r="L59">
        <v>3215571</v>
      </c>
      <c r="M59">
        <v>0.14399999999999999</v>
      </c>
      <c r="N59">
        <v>5.0000000000000001E-3</v>
      </c>
      <c r="O59">
        <v>0.153</v>
      </c>
      <c r="P59">
        <v>1204859</v>
      </c>
      <c r="Q59">
        <v>12044</v>
      </c>
      <c r="R59">
        <v>1216903</v>
      </c>
      <c r="S59">
        <v>5.7000000000000002E-2</v>
      </c>
      <c r="T59">
        <v>1E-3</v>
      </c>
      <c r="U59">
        <v>5.8000000000000003E-2</v>
      </c>
      <c r="V59">
        <v>19678305</v>
      </c>
      <c r="W59">
        <v>0.93799999999999994</v>
      </c>
      <c r="X59">
        <v>-35494</v>
      </c>
      <c r="Y59">
        <v>0</v>
      </c>
      <c r="Z59">
        <v>-35494</v>
      </c>
      <c r="AA59">
        <v>93827</v>
      </c>
      <c r="AB59">
        <v>0</v>
      </c>
      <c r="AC59">
        <v>93827</v>
      </c>
      <c r="AD59">
        <v>40</v>
      </c>
      <c r="AE59">
        <v>0</v>
      </c>
      <c r="AF59">
        <v>40</v>
      </c>
      <c r="AG59">
        <v>186873</v>
      </c>
      <c r="AH59">
        <v>0</v>
      </c>
      <c r="AI59">
        <v>186873</v>
      </c>
      <c r="AJ59">
        <v>0</v>
      </c>
      <c r="AK59">
        <v>0</v>
      </c>
      <c r="AL59">
        <v>2</v>
      </c>
      <c r="AM59">
        <v>25508</v>
      </c>
      <c r="AN59">
        <v>5.75</v>
      </c>
      <c r="AO59">
        <v>4.2300000000000004</v>
      </c>
      <c r="AP59">
        <v>5.69</v>
      </c>
      <c r="AQ59">
        <v>5.44</v>
      </c>
      <c r="AR59">
        <v>4.2300000000000004</v>
      </c>
      <c r="AS59">
        <v>5.38</v>
      </c>
    </row>
    <row r="60" spans="1:45" x14ac:dyDescent="0.25">
      <c r="A60" t="s">
        <v>19834</v>
      </c>
      <c r="B60">
        <v>695</v>
      </c>
      <c r="C60">
        <v>20986617</v>
      </c>
      <c r="D60">
        <v>1263474</v>
      </c>
      <c r="E60">
        <v>12044</v>
      </c>
      <c r="F60">
        <v>1275518</v>
      </c>
      <c r="G60">
        <v>0.06</v>
      </c>
      <c r="H60">
        <v>1E-3</v>
      </c>
      <c r="I60">
        <v>6.0999999999999999E-2</v>
      </c>
      <c r="J60">
        <v>3075787</v>
      </c>
      <c r="K60">
        <v>194281</v>
      </c>
      <c r="L60">
        <v>3300216</v>
      </c>
      <c r="M60">
        <v>0.14599999999999999</v>
      </c>
      <c r="N60">
        <v>8.9999999999999993E-3</v>
      </c>
      <c r="O60">
        <v>0.157</v>
      </c>
      <c r="P60">
        <v>1249774</v>
      </c>
      <c r="Q60">
        <v>12044</v>
      </c>
      <c r="R60">
        <v>1261818</v>
      </c>
      <c r="S60">
        <v>0.06</v>
      </c>
      <c r="T60">
        <v>1E-3</v>
      </c>
      <c r="U60">
        <v>0.06</v>
      </c>
      <c r="V60">
        <v>19711099</v>
      </c>
      <c r="W60">
        <v>0.93899999999999995</v>
      </c>
      <c r="X60">
        <v>-25786</v>
      </c>
      <c r="Y60">
        <v>12707</v>
      </c>
      <c r="Z60">
        <v>-13079</v>
      </c>
      <c r="AA60">
        <v>174930</v>
      </c>
      <c r="AB60">
        <v>12707</v>
      </c>
      <c r="AC60">
        <v>187637</v>
      </c>
      <c r="AD60">
        <v>32</v>
      </c>
      <c r="AE60">
        <v>0</v>
      </c>
      <c r="AF60">
        <v>32</v>
      </c>
      <c r="AG60">
        <v>108159</v>
      </c>
      <c r="AH60">
        <v>0</v>
      </c>
      <c r="AI60">
        <v>108159</v>
      </c>
      <c r="AJ60">
        <v>1</v>
      </c>
      <c r="AK60">
        <v>5000</v>
      </c>
      <c r="AL60">
        <v>1</v>
      </c>
      <c r="AM60">
        <v>14258</v>
      </c>
      <c r="AN60">
        <v>5.66</v>
      </c>
      <c r="AO60">
        <v>4.0599999999999996</v>
      </c>
      <c r="AP60">
        <v>5.5</v>
      </c>
      <c r="AQ60">
        <v>5.38</v>
      </c>
      <c r="AR60">
        <v>4.2300000000000004</v>
      </c>
      <c r="AS60">
        <v>5.32</v>
      </c>
    </row>
    <row r="61" spans="1:45" x14ac:dyDescent="0.25">
      <c r="A61" t="s">
        <v>19835</v>
      </c>
      <c r="B61">
        <v>696</v>
      </c>
      <c r="C61">
        <v>20993117</v>
      </c>
      <c r="D61">
        <v>1238588</v>
      </c>
      <c r="E61">
        <v>24751</v>
      </c>
      <c r="F61">
        <v>1263339</v>
      </c>
      <c r="G61">
        <v>5.8999999999999997E-2</v>
      </c>
      <c r="H61">
        <v>1E-3</v>
      </c>
      <c r="I61">
        <v>0.06</v>
      </c>
      <c r="J61">
        <v>2227815</v>
      </c>
      <c r="K61">
        <v>224281</v>
      </c>
      <c r="L61">
        <v>2482244</v>
      </c>
      <c r="M61">
        <v>0.106</v>
      </c>
      <c r="N61">
        <v>1.0999999999999999E-2</v>
      </c>
      <c r="O61">
        <v>0.11799999999999999</v>
      </c>
      <c r="P61">
        <v>1148779</v>
      </c>
      <c r="Q61">
        <v>12044</v>
      </c>
      <c r="R61">
        <v>1160823</v>
      </c>
      <c r="S61">
        <v>5.5E-2</v>
      </c>
      <c r="T61">
        <v>1E-3</v>
      </c>
      <c r="U61">
        <v>5.5E-2</v>
      </c>
      <c r="V61">
        <v>19729778</v>
      </c>
      <c r="W61">
        <v>0.94</v>
      </c>
      <c r="X61">
        <v>-36836</v>
      </c>
      <c r="Y61">
        <v>3386</v>
      </c>
      <c r="Z61">
        <v>-33450</v>
      </c>
      <c r="AA61">
        <v>118988</v>
      </c>
      <c r="AB61">
        <v>6500</v>
      </c>
      <c r="AC61">
        <v>125488</v>
      </c>
      <c r="AD61">
        <v>32</v>
      </c>
      <c r="AE61">
        <v>1</v>
      </c>
      <c r="AF61">
        <v>33</v>
      </c>
      <c r="AG61">
        <v>371018</v>
      </c>
      <c r="AH61">
        <v>12707</v>
      </c>
      <c r="AI61">
        <v>383725</v>
      </c>
      <c r="AJ61">
        <v>0</v>
      </c>
      <c r="AK61">
        <v>0</v>
      </c>
      <c r="AL61">
        <v>1</v>
      </c>
      <c r="AM61">
        <v>5000</v>
      </c>
      <c r="AN61">
        <v>5.78</v>
      </c>
      <c r="AO61">
        <v>4</v>
      </c>
      <c r="AP61">
        <v>5.56</v>
      </c>
      <c r="AQ61">
        <v>5.54</v>
      </c>
      <c r="AR61">
        <v>4.05</v>
      </c>
      <c r="AS61">
        <v>5.42</v>
      </c>
    </row>
    <row r="62" spans="1:45" x14ac:dyDescent="0.25">
      <c r="A62" t="s">
        <v>19836</v>
      </c>
      <c r="B62">
        <v>697</v>
      </c>
      <c r="C62">
        <v>21048224</v>
      </c>
      <c r="D62">
        <v>1261759</v>
      </c>
      <c r="E62">
        <v>28137</v>
      </c>
      <c r="F62">
        <v>1289896</v>
      </c>
      <c r="G62">
        <v>0.06</v>
      </c>
      <c r="H62">
        <v>1E-3</v>
      </c>
      <c r="I62">
        <v>6.0999999999999999E-2</v>
      </c>
      <c r="J62">
        <v>2962669</v>
      </c>
      <c r="K62">
        <v>197254</v>
      </c>
      <c r="L62">
        <v>3156537</v>
      </c>
      <c r="M62">
        <v>0.14099999999999999</v>
      </c>
      <c r="N62">
        <v>8.9999999999999993E-3</v>
      </c>
      <c r="O62">
        <v>0.15</v>
      </c>
      <c r="P62">
        <v>1146699</v>
      </c>
      <c r="Q62">
        <v>28137</v>
      </c>
      <c r="R62">
        <v>1174836</v>
      </c>
      <c r="S62">
        <v>5.3999999999999999E-2</v>
      </c>
      <c r="T62">
        <v>1E-3</v>
      </c>
      <c r="U62">
        <v>5.6000000000000001E-2</v>
      </c>
      <c r="V62">
        <v>19758328</v>
      </c>
      <c r="W62">
        <v>0.93899999999999995</v>
      </c>
      <c r="X62">
        <v>-254721</v>
      </c>
      <c r="Y62">
        <v>-635</v>
      </c>
      <c r="Z62">
        <v>-255356</v>
      </c>
      <c r="AA62">
        <v>191663</v>
      </c>
      <c r="AB62">
        <v>0</v>
      </c>
      <c r="AC62">
        <v>191663</v>
      </c>
      <c r="AD62">
        <v>22</v>
      </c>
      <c r="AE62">
        <v>0</v>
      </c>
      <c r="AF62">
        <v>22</v>
      </c>
      <c r="AG62">
        <v>122936</v>
      </c>
      <c r="AH62">
        <v>0</v>
      </c>
      <c r="AI62">
        <v>122936</v>
      </c>
      <c r="AJ62">
        <v>0</v>
      </c>
      <c r="AK62">
        <v>0</v>
      </c>
      <c r="AL62">
        <v>1</v>
      </c>
      <c r="AM62">
        <v>5000</v>
      </c>
      <c r="AN62">
        <v>5.61</v>
      </c>
      <c r="AO62">
        <v>4.3</v>
      </c>
      <c r="AP62">
        <v>5.49</v>
      </c>
      <c r="AQ62">
        <v>5.37</v>
      </c>
      <c r="AR62">
        <v>4.05</v>
      </c>
      <c r="AS62">
        <v>5.27</v>
      </c>
    </row>
    <row r="63" spans="1:45" x14ac:dyDescent="0.25">
      <c r="A63" t="s">
        <v>19837</v>
      </c>
      <c r="B63">
        <v>697</v>
      </c>
      <c r="C63">
        <v>21048224</v>
      </c>
      <c r="D63">
        <v>1005438</v>
      </c>
      <c r="E63">
        <v>27502</v>
      </c>
      <c r="F63">
        <v>1032940</v>
      </c>
      <c r="G63">
        <v>4.8000000000000001E-2</v>
      </c>
      <c r="H63">
        <v>1E-3</v>
      </c>
      <c r="I63">
        <v>4.9000000000000002E-2</v>
      </c>
      <c r="J63">
        <v>1229628</v>
      </c>
      <c r="K63">
        <v>247319</v>
      </c>
      <c r="L63">
        <v>1476947</v>
      </c>
      <c r="M63">
        <v>5.8000000000000003E-2</v>
      </c>
      <c r="N63">
        <v>1.2E-2</v>
      </c>
      <c r="O63">
        <v>7.0000000000000007E-2</v>
      </c>
      <c r="P63">
        <v>822471</v>
      </c>
      <c r="Q63">
        <v>27502</v>
      </c>
      <c r="R63">
        <v>849973</v>
      </c>
      <c r="S63">
        <v>3.9E-2</v>
      </c>
      <c r="T63">
        <v>1E-3</v>
      </c>
      <c r="U63">
        <v>0.04</v>
      </c>
      <c r="V63">
        <v>20015284</v>
      </c>
      <c r="W63">
        <v>0.95099999999999996</v>
      </c>
      <c r="X63">
        <v>77064</v>
      </c>
      <c r="Y63">
        <v>-89</v>
      </c>
      <c r="Z63">
        <v>76975</v>
      </c>
      <c r="AA63">
        <v>158803</v>
      </c>
      <c r="AB63">
        <v>0</v>
      </c>
      <c r="AC63">
        <v>158803</v>
      </c>
      <c r="AD63">
        <v>27</v>
      </c>
      <c r="AE63">
        <v>0</v>
      </c>
      <c r="AF63">
        <v>27</v>
      </c>
      <c r="AG63">
        <v>200918</v>
      </c>
      <c r="AH63">
        <v>0</v>
      </c>
      <c r="AI63">
        <v>200918</v>
      </c>
      <c r="AJ63">
        <v>1</v>
      </c>
      <c r="AK63">
        <v>26716</v>
      </c>
      <c r="AL63">
        <v>0</v>
      </c>
      <c r="AM63">
        <v>0</v>
      </c>
      <c r="AN63">
        <v>5.68</v>
      </c>
      <c r="AO63">
        <v>4.62</v>
      </c>
      <c r="AP63">
        <v>5.53</v>
      </c>
      <c r="AQ63">
        <v>5.36</v>
      </c>
      <c r="AR63">
        <v>4.59</v>
      </c>
      <c r="AS63">
        <v>5.26</v>
      </c>
    </row>
    <row r="64" spans="1:45" x14ac:dyDescent="0.25">
      <c r="A64" t="s">
        <v>19838</v>
      </c>
      <c r="B64">
        <v>696</v>
      </c>
      <c r="C64">
        <v>21021508</v>
      </c>
      <c r="D64">
        <v>1057386</v>
      </c>
      <c r="E64">
        <v>27413</v>
      </c>
      <c r="F64">
        <v>1084799</v>
      </c>
      <c r="G64">
        <v>0.05</v>
      </c>
      <c r="H64">
        <v>1E-3</v>
      </c>
      <c r="I64">
        <v>5.1999999999999998E-2</v>
      </c>
      <c r="J64">
        <v>1349914</v>
      </c>
      <c r="K64">
        <v>247230</v>
      </c>
      <c r="L64">
        <v>1597144</v>
      </c>
      <c r="M64">
        <v>6.4000000000000001E-2</v>
      </c>
      <c r="N64">
        <v>1.2E-2</v>
      </c>
      <c r="O64">
        <v>7.5999999999999998E-2</v>
      </c>
      <c r="P64">
        <v>977923</v>
      </c>
      <c r="Q64">
        <v>27413</v>
      </c>
      <c r="R64">
        <v>1005336</v>
      </c>
      <c r="S64">
        <v>4.7E-2</v>
      </c>
      <c r="T64">
        <v>1E-3</v>
      </c>
      <c r="U64">
        <v>4.8000000000000001E-2</v>
      </c>
      <c r="V64">
        <v>19936709</v>
      </c>
      <c r="W64">
        <v>0.94799999999999995</v>
      </c>
      <c r="X64">
        <v>109779</v>
      </c>
      <c r="Y64">
        <v>11570</v>
      </c>
      <c r="Z64">
        <v>121349</v>
      </c>
      <c r="AA64">
        <v>193367</v>
      </c>
      <c r="AB64">
        <v>11570</v>
      </c>
      <c r="AC64">
        <v>204937</v>
      </c>
      <c r="AD64">
        <v>31</v>
      </c>
      <c r="AE64">
        <v>0</v>
      </c>
      <c r="AF64">
        <v>31</v>
      </c>
      <c r="AG64">
        <v>159746</v>
      </c>
      <c r="AH64">
        <v>0</v>
      </c>
      <c r="AI64">
        <v>159746</v>
      </c>
      <c r="AJ64">
        <v>1</v>
      </c>
      <c r="AK64">
        <v>51600</v>
      </c>
      <c r="AL64">
        <v>1</v>
      </c>
      <c r="AM64">
        <v>26716</v>
      </c>
      <c r="AN64">
        <v>5.68</v>
      </c>
      <c r="AO64">
        <v>4.21</v>
      </c>
      <c r="AP64">
        <v>5.49</v>
      </c>
      <c r="AQ64">
        <v>5.41</v>
      </c>
      <c r="AR64">
        <v>3.98</v>
      </c>
      <c r="AS64">
        <v>5.25</v>
      </c>
    </row>
    <row r="65" spans="1:45" x14ac:dyDescent="0.25">
      <c r="A65" t="s">
        <v>19839</v>
      </c>
      <c r="B65">
        <v>695</v>
      </c>
      <c r="C65">
        <v>20969908</v>
      </c>
      <c r="D65">
        <v>1112865</v>
      </c>
      <c r="E65">
        <v>38983</v>
      </c>
      <c r="F65">
        <v>1151848</v>
      </c>
      <c r="G65">
        <v>5.2999999999999999E-2</v>
      </c>
      <c r="H65">
        <v>2E-3</v>
      </c>
      <c r="I65">
        <v>5.5E-2</v>
      </c>
      <c r="J65">
        <v>1417430</v>
      </c>
      <c r="K65">
        <v>193383</v>
      </c>
      <c r="L65">
        <v>1610813</v>
      </c>
      <c r="M65">
        <v>6.7000000000000004E-2</v>
      </c>
      <c r="N65">
        <v>8.9999999999999993E-3</v>
      </c>
      <c r="O65">
        <v>7.6999999999999999E-2</v>
      </c>
      <c r="P65">
        <v>1075518</v>
      </c>
      <c r="Q65">
        <v>38983</v>
      </c>
      <c r="R65">
        <v>1114501</v>
      </c>
      <c r="S65">
        <v>5.0999999999999997E-2</v>
      </c>
      <c r="T65">
        <v>2E-3</v>
      </c>
      <c r="U65">
        <v>5.2999999999999999E-2</v>
      </c>
      <c r="V65">
        <v>19818060</v>
      </c>
      <c r="W65">
        <v>0.94499999999999995</v>
      </c>
      <c r="X65">
        <v>69892</v>
      </c>
      <c r="Y65">
        <v>-15742</v>
      </c>
      <c r="Z65">
        <v>54150</v>
      </c>
      <c r="AA65">
        <v>280431</v>
      </c>
      <c r="AB65">
        <v>465</v>
      </c>
      <c r="AC65">
        <v>280896</v>
      </c>
      <c r="AD65">
        <v>30</v>
      </c>
      <c r="AE65">
        <v>0</v>
      </c>
      <c r="AF65">
        <v>30</v>
      </c>
      <c r="AG65">
        <v>323805</v>
      </c>
      <c r="AH65">
        <v>0</v>
      </c>
      <c r="AI65">
        <v>323805</v>
      </c>
      <c r="AJ65">
        <v>0</v>
      </c>
      <c r="AK65">
        <v>0</v>
      </c>
      <c r="AL65">
        <v>2</v>
      </c>
      <c r="AM65">
        <v>78316</v>
      </c>
      <c r="AN65">
        <v>5.77</v>
      </c>
      <c r="AO65">
        <v>4.4800000000000004</v>
      </c>
      <c r="AP65">
        <v>5.61</v>
      </c>
      <c r="AQ65">
        <v>5.31</v>
      </c>
      <c r="AR65">
        <v>3.83</v>
      </c>
      <c r="AS65">
        <v>5.15</v>
      </c>
    </row>
    <row r="66" spans="1:45" x14ac:dyDescent="0.25">
      <c r="A66" t="s">
        <v>19840</v>
      </c>
      <c r="B66">
        <v>695</v>
      </c>
      <c r="C66">
        <v>20969908</v>
      </c>
      <c r="D66">
        <v>1185957</v>
      </c>
      <c r="E66">
        <v>23241</v>
      </c>
      <c r="F66">
        <v>1209198</v>
      </c>
      <c r="G66">
        <v>5.7000000000000002E-2</v>
      </c>
      <c r="H66">
        <v>1E-3</v>
      </c>
      <c r="I66">
        <v>5.8000000000000003E-2</v>
      </c>
      <c r="J66">
        <v>1541293</v>
      </c>
      <c r="K66">
        <v>196978</v>
      </c>
      <c r="L66">
        <v>1738271</v>
      </c>
      <c r="M66">
        <v>7.2999999999999995E-2</v>
      </c>
      <c r="N66">
        <v>8.9999999999999993E-3</v>
      </c>
      <c r="O66">
        <v>8.3000000000000004E-2</v>
      </c>
      <c r="P66">
        <v>1159682</v>
      </c>
      <c r="Q66">
        <v>23241</v>
      </c>
      <c r="R66">
        <v>1182923</v>
      </c>
      <c r="S66">
        <v>5.5E-2</v>
      </c>
      <c r="T66">
        <v>1E-3</v>
      </c>
      <c r="U66">
        <v>5.6000000000000001E-2</v>
      </c>
      <c r="V66">
        <v>19760710</v>
      </c>
      <c r="W66">
        <v>0.94199999999999995</v>
      </c>
      <c r="X66">
        <v>-56675</v>
      </c>
      <c r="Y66">
        <v>70484</v>
      </c>
      <c r="Z66">
        <v>13809</v>
      </c>
      <c r="AA66">
        <v>111394</v>
      </c>
      <c r="AB66">
        <v>73700</v>
      </c>
      <c r="AC66">
        <v>185094</v>
      </c>
      <c r="AD66">
        <v>14</v>
      </c>
      <c r="AE66">
        <v>0</v>
      </c>
      <c r="AF66">
        <v>14</v>
      </c>
      <c r="AG66">
        <v>151459</v>
      </c>
      <c r="AH66">
        <v>0</v>
      </c>
      <c r="AI66">
        <v>151459</v>
      </c>
      <c r="AJ66">
        <v>1</v>
      </c>
      <c r="AK66">
        <v>16633</v>
      </c>
      <c r="AL66">
        <v>1</v>
      </c>
      <c r="AM66">
        <v>51600</v>
      </c>
      <c r="AN66">
        <v>5.78</v>
      </c>
      <c r="AO66">
        <v>4.4800000000000004</v>
      </c>
      <c r="AP66">
        <v>5.61</v>
      </c>
      <c r="AQ66">
        <v>5.34</v>
      </c>
      <c r="AR66">
        <v>3.83</v>
      </c>
      <c r="AS66">
        <v>5.17</v>
      </c>
    </row>
    <row r="67" spans="1:45" x14ac:dyDescent="0.25">
      <c r="A67" t="s">
        <v>19841</v>
      </c>
      <c r="B67">
        <v>694</v>
      </c>
      <c r="C67">
        <v>20953275</v>
      </c>
      <c r="D67">
        <v>1122749</v>
      </c>
      <c r="E67">
        <v>93725</v>
      </c>
      <c r="F67">
        <v>1216474</v>
      </c>
      <c r="G67">
        <v>5.3999999999999999E-2</v>
      </c>
      <c r="H67">
        <v>4.0000000000000001E-3</v>
      </c>
      <c r="I67">
        <v>5.8000000000000003E-2</v>
      </c>
      <c r="J67">
        <v>1457973</v>
      </c>
      <c r="K67">
        <v>174425</v>
      </c>
      <c r="L67">
        <v>1632398</v>
      </c>
      <c r="M67">
        <v>6.9000000000000006E-2</v>
      </c>
      <c r="N67">
        <v>8.0000000000000002E-3</v>
      </c>
      <c r="O67">
        <v>7.8E-2</v>
      </c>
      <c r="P67">
        <v>1066051</v>
      </c>
      <c r="Q67">
        <v>93725</v>
      </c>
      <c r="R67">
        <v>1159776</v>
      </c>
      <c r="S67">
        <v>5.0999999999999997E-2</v>
      </c>
      <c r="T67">
        <v>4.0000000000000001E-3</v>
      </c>
      <c r="U67">
        <v>5.5E-2</v>
      </c>
      <c r="V67">
        <v>19736801</v>
      </c>
      <c r="W67">
        <v>0.94199999999999995</v>
      </c>
      <c r="X67">
        <v>-55124</v>
      </c>
      <c r="Y67">
        <v>36100</v>
      </c>
      <c r="Z67">
        <v>-19024</v>
      </c>
      <c r="AA67">
        <v>156881</v>
      </c>
      <c r="AB67">
        <v>36100</v>
      </c>
      <c r="AC67">
        <v>192981</v>
      </c>
      <c r="AD67">
        <v>17</v>
      </c>
      <c r="AE67">
        <v>0</v>
      </c>
      <c r="AF67">
        <v>17</v>
      </c>
      <c r="AG67">
        <v>65774</v>
      </c>
      <c r="AH67">
        <v>0</v>
      </c>
      <c r="AI67">
        <v>65774</v>
      </c>
      <c r="AJ67">
        <v>1</v>
      </c>
      <c r="AK67">
        <v>27500</v>
      </c>
      <c r="AL67">
        <v>2</v>
      </c>
      <c r="AM67">
        <v>68233</v>
      </c>
      <c r="AN67">
        <v>5.69</v>
      </c>
      <c r="AO67">
        <v>4.78</v>
      </c>
      <c r="AP67">
        <v>5.54</v>
      </c>
      <c r="AQ67">
        <v>5.47</v>
      </c>
      <c r="AR67">
        <v>4.32</v>
      </c>
      <c r="AS67">
        <v>5.34</v>
      </c>
    </row>
    <row r="68" spans="1:45" x14ac:dyDescent="0.25">
      <c r="A68" t="s">
        <v>19842</v>
      </c>
      <c r="B68">
        <v>693</v>
      </c>
      <c r="C68">
        <v>20925775</v>
      </c>
      <c r="D68">
        <v>1037925</v>
      </c>
      <c r="E68">
        <v>129825</v>
      </c>
      <c r="F68">
        <v>1167750</v>
      </c>
      <c r="G68">
        <v>0.05</v>
      </c>
      <c r="H68">
        <v>6.0000000000000001E-3</v>
      </c>
      <c r="I68">
        <v>5.6000000000000001E-2</v>
      </c>
      <c r="J68">
        <v>1306827</v>
      </c>
      <c r="K68">
        <v>225825</v>
      </c>
      <c r="L68">
        <v>1532652</v>
      </c>
      <c r="M68">
        <v>6.2E-2</v>
      </c>
      <c r="N68">
        <v>1.0999999999999999E-2</v>
      </c>
      <c r="O68">
        <v>7.2999999999999995E-2</v>
      </c>
      <c r="P68">
        <v>954658</v>
      </c>
      <c r="Q68">
        <v>129825</v>
      </c>
      <c r="R68">
        <v>1084483</v>
      </c>
      <c r="S68">
        <v>4.5999999999999999E-2</v>
      </c>
      <c r="T68">
        <v>6.0000000000000001E-3</v>
      </c>
      <c r="U68">
        <v>5.1999999999999998E-2</v>
      </c>
      <c r="V68">
        <v>19758025</v>
      </c>
      <c r="W68">
        <v>0.94399999999999995</v>
      </c>
      <c r="X68">
        <v>-88330</v>
      </c>
      <c r="Y68">
        <v>18130</v>
      </c>
      <c r="Z68">
        <v>-70200</v>
      </c>
      <c r="AA68">
        <v>58448</v>
      </c>
      <c r="AB68">
        <v>29700</v>
      </c>
      <c r="AC68">
        <v>88148</v>
      </c>
      <c r="AD68">
        <v>15</v>
      </c>
      <c r="AE68">
        <v>1</v>
      </c>
      <c r="AF68">
        <v>16</v>
      </c>
      <c r="AG68">
        <v>59727</v>
      </c>
      <c r="AH68">
        <v>36100</v>
      </c>
      <c r="AI68">
        <v>95827</v>
      </c>
      <c r="AJ68">
        <v>1</v>
      </c>
      <c r="AK68">
        <v>49155</v>
      </c>
      <c r="AL68">
        <v>2</v>
      </c>
      <c r="AM68">
        <v>44133</v>
      </c>
      <c r="AN68">
        <v>5.64</v>
      </c>
      <c r="AO68">
        <v>4.58</v>
      </c>
      <c r="AP68">
        <v>5.47</v>
      </c>
      <c r="AQ68">
        <v>5.4</v>
      </c>
      <c r="AR68">
        <v>3.78</v>
      </c>
      <c r="AS68">
        <v>5.25</v>
      </c>
    </row>
    <row r="69" spans="1:45" x14ac:dyDescent="0.25">
      <c r="A69" t="s">
        <v>19843</v>
      </c>
      <c r="B69">
        <v>692</v>
      </c>
      <c r="C69">
        <v>20876620</v>
      </c>
      <c r="D69">
        <v>896240</v>
      </c>
      <c r="E69">
        <v>147955</v>
      </c>
      <c r="F69">
        <v>1044195</v>
      </c>
      <c r="G69">
        <v>4.2999999999999997E-2</v>
      </c>
      <c r="H69">
        <v>7.0000000000000001E-3</v>
      </c>
      <c r="I69">
        <v>0.05</v>
      </c>
      <c r="J69">
        <v>1177645</v>
      </c>
      <c r="K69">
        <v>225825</v>
      </c>
      <c r="L69">
        <v>1403470</v>
      </c>
      <c r="M69">
        <v>5.6000000000000001E-2</v>
      </c>
      <c r="N69">
        <v>1.0999999999999999E-2</v>
      </c>
      <c r="O69">
        <v>6.7000000000000004E-2</v>
      </c>
      <c r="P69">
        <v>858968</v>
      </c>
      <c r="Q69">
        <v>118255</v>
      </c>
      <c r="R69">
        <v>977223</v>
      </c>
      <c r="S69">
        <v>4.1000000000000002E-2</v>
      </c>
      <c r="T69">
        <v>6.0000000000000001E-3</v>
      </c>
      <c r="U69">
        <v>4.7E-2</v>
      </c>
      <c r="V69">
        <v>19832425</v>
      </c>
      <c r="W69">
        <v>0.95</v>
      </c>
      <c r="X69">
        <v>13452</v>
      </c>
      <c r="Y69">
        <v>66000</v>
      </c>
      <c r="Z69">
        <v>79452</v>
      </c>
      <c r="AA69">
        <v>112202</v>
      </c>
      <c r="AB69">
        <v>66000</v>
      </c>
      <c r="AC69">
        <v>178202</v>
      </c>
      <c r="AD69">
        <v>11</v>
      </c>
      <c r="AE69">
        <v>2</v>
      </c>
      <c r="AF69">
        <v>13</v>
      </c>
      <c r="AG69">
        <v>85117</v>
      </c>
      <c r="AH69">
        <v>82200</v>
      </c>
      <c r="AI69">
        <v>167317</v>
      </c>
      <c r="AJ69">
        <v>6</v>
      </c>
      <c r="AK69">
        <v>84708</v>
      </c>
      <c r="AL69">
        <v>2</v>
      </c>
      <c r="AM69">
        <v>76655</v>
      </c>
      <c r="AN69">
        <v>5.75</v>
      </c>
      <c r="AO69">
        <v>4.5999999999999996</v>
      </c>
      <c r="AP69">
        <v>5.55</v>
      </c>
      <c r="AQ69">
        <v>5.56</v>
      </c>
      <c r="AR69">
        <v>3.78</v>
      </c>
      <c r="AS69">
        <v>5.37</v>
      </c>
    </row>
    <row r="70" spans="1:45" x14ac:dyDescent="0.25">
      <c r="A70" t="s">
        <v>19844</v>
      </c>
      <c r="B70">
        <v>686</v>
      </c>
      <c r="C70">
        <v>20791912</v>
      </c>
      <c r="D70">
        <v>827084</v>
      </c>
      <c r="E70">
        <v>213955</v>
      </c>
      <c r="F70">
        <v>1041039</v>
      </c>
      <c r="G70">
        <v>0.04</v>
      </c>
      <c r="H70">
        <v>0.01</v>
      </c>
      <c r="I70">
        <v>0.05</v>
      </c>
      <c r="J70">
        <v>1192137</v>
      </c>
      <c r="K70">
        <v>269955</v>
      </c>
      <c r="L70">
        <v>1462092</v>
      </c>
      <c r="M70">
        <v>5.7000000000000002E-2</v>
      </c>
      <c r="N70">
        <v>1.2999999999999999E-2</v>
      </c>
      <c r="O70">
        <v>7.0000000000000007E-2</v>
      </c>
      <c r="P70">
        <v>776934</v>
      </c>
      <c r="Q70">
        <v>213955</v>
      </c>
      <c r="R70">
        <v>990889</v>
      </c>
      <c r="S70">
        <v>3.6999999999999998E-2</v>
      </c>
      <c r="T70">
        <v>0.01</v>
      </c>
      <c r="U70">
        <v>4.8000000000000001E-2</v>
      </c>
      <c r="V70">
        <v>19750873</v>
      </c>
      <c r="W70">
        <v>0.95</v>
      </c>
      <c r="X70">
        <v>-132891</v>
      </c>
      <c r="Y70">
        <v>-146913</v>
      </c>
      <c r="Z70">
        <v>-279804</v>
      </c>
      <c r="AA70">
        <v>115698</v>
      </c>
      <c r="AB70">
        <v>1042</v>
      </c>
      <c r="AC70">
        <v>116740</v>
      </c>
      <c r="AD70">
        <v>24</v>
      </c>
      <c r="AE70">
        <v>2</v>
      </c>
      <c r="AF70">
        <v>26</v>
      </c>
      <c r="AG70">
        <v>97011</v>
      </c>
      <c r="AH70">
        <v>30742</v>
      </c>
      <c r="AI70">
        <v>127753</v>
      </c>
      <c r="AJ70">
        <v>1</v>
      </c>
      <c r="AK70">
        <v>18000</v>
      </c>
      <c r="AL70">
        <v>7</v>
      </c>
      <c r="AM70">
        <v>133863</v>
      </c>
      <c r="AN70">
        <v>5.78</v>
      </c>
      <c r="AO70">
        <v>4.59</v>
      </c>
      <c r="AP70">
        <v>5.57</v>
      </c>
      <c r="AQ70">
        <v>5.58</v>
      </c>
      <c r="AR70">
        <v>3.7</v>
      </c>
      <c r="AS70">
        <v>5.4</v>
      </c>
    </row>
    <row r="71" spans="1:45" x14ac:dyDescent="0.25">
      <c r="A71" t="s">
        <v>19845</v>
      </c>
      <c r="B71">
        <v>686</v>
      </c>
      <c r="C71">
        <v>21162912</v>
      </c>
      <c r="D71">
        <v>1041393</v>
      </c>
      <c r="E71">
        <v>67042</v>
      </c>
      <c r="F71">
        <v>1108435</v>
      </c>
      <c r="G71">
        <v>4.9000000000000002E-2</v>
      </c>
      <c r="H71">
        <v>3.0000000000000001E-3</v>
      </c>
      <c r="I71">
        <v>5.1999999999999998E-2</v>
      </c>
      <c r="J71">
        <v>1001643</v>
      </c>
      <c r="K71">
        <v>118194</v>
      </c>
      <c r="L71">
        <v>1119837</v>
      </c>
      <c r="M71">
        <v>4.7E-2</v>
      </c>
      <c r="N71">
        <v>6.0000000000000001E-3</v>
      </c>
      <c r="O71">
        <v>5.2999999999999999E-2</v>
      </c>
      <c r="P71">
        <v>605900</v>
      </c>
      <c r="Q71">
        <v>67042</v>
      </c>
      <c r="R71">
        <v>672942</v>
      </c>
      <c r="S71">
        <v>2.9000000000000001E-2</v>
      </c>
      <c r="T71">
        <v>3.0000000000000001E-3</v>
      </c>
      <c r="U71">
        <v>3.2000000000000001E-2</v>
      </c>
      <c r="V71">
        <v>20054477</v>
      </c>
      <c r="W71">
        <v>0.94799999999999995</v>
      </c>
      <c r="X71">
        <v>-95253</v>
      </c>
      <c r="Y71">
        <v>9019</v>
      </c>
      <c r="Z71">
        <v>-86234</v>
      </c>
      <c r="AA71">
        <v>359422</v>
      </c>
      <c r="AB71">
        <v>10061</v>
      </c>
      <c r="AC71">
        <v>369483</v>
      </c>
      <c r="AD71">
        <v>15</v>
      </c>
      <c r="AE71">
        <v>0</v>
      </c>
      <c r="AF71">
        <v>15</v>
      </c>
      <c r="AG71">
        <v>193371</v>
      </c>
      <c r="AH71">
        <v>0</v>
      </c>
      <c r="AI71">
        <v>193371</v>
      </c>
      <c r="AJ71">
        <v>0</v>
      </c>
      <c r="AK71">
        <v>0</v>
      </c>
      <c r="AL71">
        <v>8</v>
      </c>
      <c r="AM71">
        <v>151863</v>
      </c>
      <c r="AN71">
        <v>5.81</v>
      </c>
      <c r="AO71">
        <v>4.6399999999999997</v>
      </c>
      <c r="AP71">
        <v>5.71</v>
      </c>
      <c r="AQ71">
        <v>5.59</v>
      </c>
      <c r="AR71">
        <v>3.65</v>
      </c>
      <c r="AS71">
        <v>5.44</v>
      </c>
    </row>
    <row r="72" spans="1:45" x14ac:dyDescent="0.25">
      <c r="A72" t="s">
        <v>19846</v>
      </c>
      <c r="B72">
        <v>686</v>
      </c>
      <c r="C72">
        <v>21162912</v>
      </c>
      <c r="D72">
        <v>950340</v>
      </c>
      <c r="E72">
        <v>76061</v>
      </c>
      <c r="F72">
        <v>1026401</v>
      </c>
      <c r="G72">
        <v>4.4999999999999998E-2</v>
      </c>
      <c r="H72">
        <v>4.0000000000000001E-3</v>
      </c>
      <c r="I72">
        <v>4.8000000000000001E-2</v>
      </c>
      <c r="J72">
        <v>1081338</v>
      </c>
      <c r="K72">
        <v>127213</v>
      </c>
      <c r="L72">
        <v>1208551</v>
      </c>
      <c r="M72">
        <v>5.0999999999999997E-2</v>
      </c>
      <c r="N72">
        <v>6.0000000000000001E-3</v>
      </c>
      <c r="O72">
        <v>5.7000000000000002E-2</v>
      </c>
      <c r="P72">
        <v>914377</v>
      </c>
      <c r="Q72">
        <v>76061</v>
      </c>
      <c r="R72">
        <v>990438</v>
      </c>
      <c r="S72">
        <v>4.2999999999999997E-2</v>
      </c>
      <c r="T72">
        <v>4.0000000000000001E-3</v>
      </c>
      <c r="U72">
        <v>4.7E-2</v>
      </c>
      <c r="V72">
        <v>20136511</v>
      </c>
      <c r="W72">
        <v>0.95199999999999996</v>
      </c>
      <c r="X72">
        <v>158663</v>
      </c>
      <c r="Y72">
        <v>0</v>
      </c>
      <c r="Z72">
        <v>158663</v>
      </c>
      <c r="AA72">
        <v>264551</v>
      </c>
      <c r="AB72">
        <v>0</v>
      </c>
      <c r="AC72">
        <v>264551</v>
      </c>
      <c r="AD72">
        <v>27</v>
      </c>
      <c r="AE72">
        <v>0</v>
      </c>
      <c r="AF72">
        <v>27</v>
      </c>
      <c r="AG72">
        <v>103564</v>
      </c>
      <c r="AH72">
        <v>0</v>
      </c>
      <c r="AI72">
        <v>103564</v>
      </c>
      <c r="AJ72">
        <v>2</v>
      </c>
      <c r="AK72">
        <v>54680</v>
      </c>
      <c r="AL72">
        <v>2</v>
      </c>
      <c r="AM72">
        <v>67155</v>
      </c>
      <c r="AN72">
        <v>5.69</v>
      </c>
      <c r="AO72">
        <v>4.6399999999999997</v>
      </c>
      <c r="AP72">
        <v>5.6</v>
      </c>
      <c r="AQ72">
        <v>5.41</v>
      </c>
      <c r="AR72">
        <v>3.66</v>
      </c>
      <c r="AS72">
        <v>5.25</v>
      </c>
    </row>
    <row r="73" spans="1:45" x14ac:dyDescent="0.25">
      <c r="A73" t="s">
        <v>19847</v>
      </c>
      <c r="B73">
        <v>685</v>
      </c>
      <c r="C73">
        <v>21111832</v>
      </c>
      <c r="D73">
        <v>1073823</v>
      </c>
      <c r="E73">
        <v>76061</v>
      </c>
      <c r="F73">
        <v>1149884</v>
      </c>
      <c r="G73">
        <v>5.0999999999999997E-2</v>
      </c>
      <c r="H73">
        <v>4.0000000000000001E-3</v>
      </c>
      <c r="I73">
        <v>5.3999999999999999E-2</v>
      </c>
      <c r="J73">
        <v>1094153</v>
      </c>
      <c r="K73">
        <v>127213</v>
      </c>
      <c r="L73">
        <v>1221366</v>
      </c>
      <c r="M73">
        <v>5.1999999999999998E-2</v>
      </c>
      <c r="N73">
        <v>6.0000000000000001E-3</v>
      </c>
      <c r="O73">
        <v>5.8000000000000003E-2</v>
      </c>
      <c r="P73">
        <v>979724</v>
      </c>
      <c r="Q73">
        <v>76061</v>
      </c>
      <c r="R73">
        <v>1055785</v>
      </c>
      <c r="S73">
        <v>4.5999999999999999E-2</v>
      </c>
      <c r="T73">
        <v>4.0000000000000001E-3</v>
      </c>
      <c r="U73">
        <v>0.05</v>
      </c>
      <c r="V73">
        <v>19961948</v>
      </c>
      <c r="W73">
        <v>0.94599999999999995</v>
      </c>
      <c r="X73">
        <v>51313</v>
      </c>
      <c r="Y73">
        <v>-8544</v>
      </c>
      <c r="Z73">
        <v>42769</v>
      </c>
      <c r="AA73">
        <v>190768</v>
      </c>
      <c r="AB73">
        <v>0</v>
      </c>
      <c r="AC73">
        <v>190768</v>
      </c>
      <c r="AD73">
        <v>23</v>
      </c>
      <c r="AE73">
        <v>0</v>
      </c>
      <c r="AF73">
        <v>23</v>
      </c>
      <c r="AG73">
        <v>178425</v>
      </c>
      <c r="AH73">
        <v>0</v>
      </c>
      <c r="AI73">
        <v>178425</v>
      </c>
      <c r="AJ73">
        <v>1</v>
      </c>
      <c r="AK73">
        <v>15000</v>
      </c>
      <c r="AL73">
        <v>3</v>
      </c>
      <c r="AM73">
        <v>72680</v>
      </c>
      <c r="AN73">
        <v>5.76</v>
      </c>
      <c r="AO73">
        <v>4.6399999999999997</v>
      </c>
      <c r="AP73">
        <v>5.66</v>
      </c>
      <c r="AQ73">
        <v>5.47</v>
      </c>
      <c r="AR73">
        <v>3.66</v>
      </c>
      <c r="AS73">
        <v>5.31</v>
      </c>
    </row>
    <row r="74" spans="1:45" x14ac:dyDescent="0.25">
      <c r="A74" t="s">
        <v>19848</v>
      </c>
      <c r="B74">
        <v>684</v>
      </c>
      <c r="C74">
        <v>21096832</v>
      </c>
      <c r="D74">
        <v>1104836</v>
      </c>
      <c r="E74">
        <v>67517</v>
      </c>
      <c r="F74">
        <v>1172353</v>
      </c>
      <c r="G74">
        <v>5.1999999999999998E-2</v>
      </c>
      <c r="H74">
        <v>3.0000000000000001E-3</v>
      </c>
      <c r="I74">
        <v>5.6000000000000001E-2</v>
      </c>
      <c r="J74">
        <v>1081816</v>
      </c>
      <c r="K74">
        <v>67517</v>
      </c>
      <c r="L74">
        <v>1149333</v>
      </c>
      <c r="M74">
        <v>5.0999999999999997E-2</v>
      </c>
      <c r="N74">
        <v>3.0000000000000001E-3</v>
      </c>
      <c r="O74">
        <v>5.3999999999999999E-2</v>
      </c>
      <c r="P74">
        <v>916039</v>
      </c>
      <c r="Q74">
        <v>67517</v>
      </c>
      <c r="R74">
        <v>983556</v>
      </c>
      <c r="S74">
        <v>4.2999999999999997E-2</v>
      </c>
      <c r="T74">
        <v>3.0000000000000001E-3</v>
      </c>
      <c r="U74">
        <v>4.7E-2</v>
      </c>
      <c r="V74">
        <v>19924479</v>
      </c>
      <c r="W74">
        <v>0.94399999999999995</v>
      </c>
      <c r="X74">
        <v>-45581</v>
      </c>
      <c r="Y74">
        <v>0</v>
      </c>
      <c r="Z74">
        <v>-45581</v>
      </c>
      <c r="AA74">
        <v>184014</v>
      </c>
      <c r="AB74">
        <v>1517</v>
      </c>
      <c r="AC74">
        <v>185531</v>
      </c>
      <c r="AD74">
        <v>12</v>
      </c>
      <c r="AE74">
        <v>0</v>
      </c>
      <c r="AF74">
        <v>12</v>
      </c>
      <c r="AG74">
        <v>142215</v>
      </c>
      <c r="AH74">
        <v>0</v>
      </c>
      <c r="AI74">
        <v>142215</v>
      </c>
      <c r="AJ74">
        <v>5</v>
      </c>
      <c r="AK74">
        <v>73925</v>
      </c>
      <c r="AL74">
        <v>3</v>
      </c>
      <c r="AM74">
        <v>69680</v>
      </c>
      <c r="AN74">
        <v>5.49</v>
      </c>
      <c r="AO74">
        <v>3.01</v>
      </c>
      <c r="AP74">
        <v>5.36</v>
      </c>
      <c r="AQ74">
        <v>5.31</v>
      </c>
      <c r="AR74">
        <v>3.01</v>
      </c>
      <c r="AS74">
        <v>5.15</v>
      </c>
    </row>
    <row r="75" spans="1:45" x14ac:dyDescent="0.25">
      <c r="A75" t="s">
        <v>19849</v>
      </c>
      <c r="B75">
        <v>679</v>
      </c>
      <c r="C75">
        <v>21022907</v>
      </c>
      <c r="D75">
        <v>990630</v>
      </c>
      <c r="E75">
        <v>67517</v>
      </c>
      <c r="F75">
        <v>1058147</v>
      </c>
      <c r="G75">
        <v>4.7E-2</v>
      </c>
      <c r="H75">
        <v>3.0000000000000001E-3</v>
      </c>
      <c r="I75">
        <v>0.05</v>
      </c>
      <c r="J75">
        <v>1214733</v>
      </c>
      <c r="K75">
        <v>67517</v>
      </c>
      <c r="L75">
        <v>1282250</v>
      </c>
      <c r="M75">
        <v>5.8000000000000003E-2</v>
      </c>
      <c r="N75">
        <v>3.0000000000000001E-3</v>
      </c>
      <c r="O75">
        <v>6.0999999999999999E-2</v>
      </c>
      <c r="P75">
        <v>870138</v>
      </c>
      <c r="Q75">
        <v>67517</v>
      </c>
      <c r="R75">
        <v>937655</v>
      </c>
      <c r="S75">
        <v>4.1000000000000002E-2</v>
      </c>
      <c r="T75">
        <v>3.0000000000000001E-3</v>
      </c>
      <c r="U75">
        <v>4.4999999999999998E-2</v>
      </c>
      <c r="V75">
        <v>19964760</v>
      </c>
      <c r="W75">
        <v>0.95</v>
      </c>
      <c r="X75">
        <v>66556</v>
      </c>
      <c r="Y75">
        <v>-1517</v>
      </c>
      <c r="Z75">
        <v>65039</v>
      </c>
      <c r="AA75">
        <v>224306</v>
      </c>
      <c r="AB75">
        <v>0</v>
      </c>
      <c r="AC75">
        <v>224306</v>
      </c>
      <c r="AD75">
        <v>23</v>
      </c>
      <c r="AE75">
        <v>0</v>
      </c>
      <c r="AF75">
        <v>23</v>
      </c>
      <c r="AG75">
        <v>169576</v>
      </c>
      <c r="AH75">
        <v>0</v>
      </c>
      <c r="AI75">
        <v>169576</v>
      </c>
      <c r="AJ75">
        <v>2</v>
      </c>
      <c r="AK75">
        <v>24120</v>
      </c>
      <c r="AL75">
        <v>6</v>
      </c>
      <c r="AM75">
        <v>88925</v>
      </c>
      <c r="AN75">
        <v>5.47</v>
      </c>
      <c r="AO75">
        <v>3.27</v>
      </c>
      <c r="AP75">
        <v>5.37</v>
      </c>
      <c r="AQ75">
        <v>5.36</v>
      </c>
      <c r="AR75">
        <v>3.27</v>
      </c>
      <c r="AS75">
        <v>5.24</v>
      </c>
    </row>
    <row r="76" spans="1:45" x14ac:dyDescent="0.25">
      <c r="A76" t="s">
        <v>19850</v>
      </c>
      <c r="B76">
        <v>677</v>
      </c>
      <c r="C76">
        <v>20998787</v>
      </c>
      <c r="D76">
        <v>1036766</v>
      </c>
      <c r="E76">
        <v>66000</v>
      </c>
      <c r="F76">
        <v>1102766</v>
      </c>
      <c r="G76">
        <v>4.9000000000000002E-2</v>
      </c>
      <c r="H76">
        <v>3.0000000000000001E-3</v>
      </c>
      <c r="I76">
        <v>5.2999999999999999E-2</v>
      </c>
      <c r="J76">
        <v>1188519</v>
      </c>
      <c r="K76">
        <v>66000</v>
      </c>
      <c r="L76">
        <v>1254519</v>
      </c>
      <c r="M76">
        <v>5.6000000000000001E-2</v>
      </c>
      <c r="N76">
        <v>3.0000000000000001E-3</v>
      </c>
      <c r="O76">
        <v>5.8999999999999997E-2</v>
      </c>
      <c r="P76">
        <v>945681</v>
      </c>
      <c r="Q76">
        <v>66000</v>
      </c>
      <c r="R76">
        <v>1011681</v>
      </c>
      <c r="S76">
        <v>4.4999999999999998E-2</v>
      </c>
      <c r="T76">
        <v>3.0000000000000001E-3</v>
      </c>
      <c r="U76">
        <v>4.8000000000000001E-2</v>
      </c>
      <c r="V76">
        <v>19896021</v>
      </c>
      <c r="W76">
        <v>0.94699999999999995</v>
      </c>
      <c r="X76">
        <v>595747</v>
      </c>
      <c r="Y76">
        <v>-66000</v>
      </c>
      <c r="Z76">
        <v>529747</v>
      </c>
      <c r="AA76">
        <v>705038</v>
      </c>
      <c r="AB76">
        <v>0</v>
      </c>
      <c r="AC76">
        <v>705038</v>
      </c>
      <c r="AD76">
        <v>19</v>
      </c>
      <c r="AE76">
        <v>0</v>
      </c>
      <c r="AF76">
        <v>19</v>
      </c>
      <c r="AG76">
        <v>61586</v>
      </c>
      <c r="AH76">
        <v>0</v>
      </c>
      <c r="AI76">
        <v>61586</v>
      </c>
      <c r="AJ76">
        <v>2</v>
      </c>
      <c r="AK76">
        <v>13516</v>
      </c>
      <c r="AL76">
        <v>7</v>
      </c>
      <c r="AM76">
        <v>98045</v>
      </c>
      <c r="AN76">
        <v>5.37</v>
      </c>
      <c r="AO76">
        <v>4.05</v>
      </c>
      <c r="AP76">
        <v>5.3</v>
      </c>
      <c r="AQ76">
        <v>4.87</v>
      </c>
      <c r="AR76">
        <v>4.05</v>
      </c>
      <c r="AS76">
        <v>4.82</v>
      </c>
    </row>
    <row r="77" spans="1:45" x14ac:dyDescent="0.25">
      <c r="A77" t="s">
        <v>19851</v>
      </c>
      <c r="B77">
        <v>677</v>
      </c>
      <c r="C77">
        <v>20994376</v>
      </c>
      <c r="D77">
        <v>1684802</v>
      </c>
      <c r="E77">
        <v>0</v>
      </c>
      <c r="F77">
        <v>1684802</v>
      </c>
      <c r="G77">
        <v>0.08</v>
      </c>
      <c r="H77">
        <v>0</v>
      </c>
      <c r="I77">
        <v>0.08</v>
      </c>
      <c r="J77">
        <v>1665005</v>
      </c>
      <c r="K77">
        <v>0</v>
      </c>
      <c r="L77">
        <v>1665005</v>
      </c>
      <c r="M77">
        <v>7.9000000000000001E-2</v>
      </c>
      <c r="N77">
        <v>0</v>
      </c>
      <c r="O77">
        <v>7.9000000000000001E-2</v>
      </c>
      <c r="P77">
        <v>1450897</v>
      </c>
      <c r="Q77">
        <v>0</v>
      </c>
      <c r="R77">
        <v>1450897</v>
      </c>
      <c r="S77">
        <v>6.9000000000000006E-2</v>
      </c>
      <c r="T77">
        <v>0</v>
      </c>
      <c r="U77">
        <v>6.9000000000000006E-2</v>
      </c>
      <c r="V77">
        <v>19309574</v>
      </c>
      <c r="W77">
        <v>0.92</v>
      </c>
      <c r="X77">
        <v>54582</v>
      </c>
      <c r="Y77">
        <v>0</v>
      </c>
      <c r="Z77">
        <v>54582</v>
      </c>
      <c r="AA77">
        <v>164998</v>
      </c>
      <c r="AB77">
        <v>0</v>
      </c>
      <c r="AC77">
        <v>164998</v>
      </c>
      <c r="AD77">
        <v>18</v>
      </c>
      <c r="AE77">
        <v>0</v>
      </c>
      <c r="AF77">
        <v>18</v>
      </c>
      <c r="AG77">
        <v>160832</v>
      </c>
      <c r="AH77">
        <v>0</v>
      </c>
      <c r="AI77">
        <v>160832</v>
      </c>
      <c r="AJ77">
        <v>3</v>
      </c>
      <c r="AK77">
        <v>57370</v>
      </c>
      <c r="AL77">
        <v>5</v>
      </c>
      <c r="AM77">
        <v>64636</v>
      </c>
      <c r="AN77">
        <v>5.84</v>
      </c>
      <c r="AO77" t="s">
        <v>1784</v>
      </c>
      <c r="AP77">
        <v>5.84</v>
      </c>
      <c r="AQ77">
        <v>5.6</v>
      </c>
      <c r="AR77" t="s">
        <v>1784</v>
      </c>
      <c r="AS77">
        <v>5.6</v>
      </c>
    </row>
    <row r="78" spans="1:45" x14ac:dyDescent="0.25">
      <c r="A78" t="s">
        <v>19852</v>
      </c>
      <c r="B78">
        <v>674</v>
      </c>
      <c r="C78">
        <v>20937006</v>
      </c>
      <c r="D78">
        <v>1686314</v>
      </c>
      <c r="E78">
        <v>0</v>
      </c>
      <c r="F78">
        <v>1686314</v>
      </c>
      <c r="G78">
        <v>8.1000000000000003E-2</v>
      </c>
      <c r="H78">
        <v>0</v>
      </c>
      <c r="I78">
        <v>8.1000000000000003E-2</v>
      </c>
      <c r="J78">
        <v>1718401</v>
      </c>
      <c r="K78">
        <v>0</v>
      </c>
      <c r="L78">
        <v>1718401</v>
      </c>
      <c r="M78">
        <v>8.2000000000000003E-2</v>
      </c>
      <c r="N78">
        <v>0</v>
      </c>
      <c r="O78">
        <v>8.2000000000000003E-2</v>
      </c>
      <c r="P78">
        <v>1517073</v>
      </c>
      <c r="Q78">
        <v>0</v>
      </c>
      <c r="R78">
        <v>1517073</v>
      </c>
      <c r="S78">
        <v>7.1999999999999995E-2</v>
      </c>
      <c r="T78">
        <v>0</v>
      </c>
      <c r="U78">
        <v>7.1999999999999995E-2</v>
      </c>
      <c r="V78">
        <v>19250692</v>
      </c>
      <c r="W78">
        <v>0.91900000000000004</v>
      </c>
      <c r="X78">
        <v>72460</v>
      </c>
      <c r="Y78">
        <v>0</v>
      </c>
      <c r="Z78">
        <v>72460</v>
      </c>
      <c r="AA78">
        <v>219380</v>
      </c>
      <c r="AB78">
        <v>0</v>
      </c>
      <c r="AC78">
        <v>219380</v>
      </c>
      <c r="AD78">
        <v>25</v>
      </c>
      <c r="AE78">
        <v>0</v>
      </c>
      <c r="AF78">
        <v>25</v>
      </c>
      <c r="AG78">
        <v>94974</v>
      </c>
      <c r="AH78">
        <v>0</v>
      </c>
      <c r="AI78">
        <v>94974</v>
      </c>
      <c r="AJ78">
        <v>0</v>
      </c>
      <c r="AK78">
        <v>0</v>
      </c>
      <c r="AL78">
        <v>6</v>
      </c>
      <c r="AM78">
        <v>97886</v>
      </c>
      <c r="AN78">
        <v>5.77</v>
      </c>
      <c r="AO78" t="s">
        <v>1784</v>
      </c>
      <c r="AP78">
        <v>5.77</v>
      </c>
      <c r="AQ78">
        <v>5.57</v>
      </c>
      <c r="AR78" t="s">
        <v>1784</v>
      </c>
      <c r="AS78">
        <v>5.57</v>
      </c>
    </row>
    <row r="79" spans="1:45" x14ac:dyDescent="0.25">
      <c r="A79" t="s">
        <v>19853</v>
      </c>
      <c r="B79">
        <v>675</v>
      </c>
      <c r="C79">
        <v>20945906</v>
      </c>
      <c r="D79">
        <v>1769774</v>
      </c>
      <c r="E79">
        <v>0</v>
      </c>
      <c r="F79">
        <v>1769774</v>
      </c>
      <c r="G79">
        <v>8.4000000000000005E-2</v>
      </c>
      <c r="H79">
        <v>0</v>
      </c>
      <c r="I79">
        <v>8.4000000000000005E-2</v>
      </c>
      <c r="J79">
        <v>1787258</v>
      </c>
      <c r="K79">
        <v>0</v>
      </c>
      <c r="L79">
        <v>1787258</v>
      </c>
      <c r="M79">
        <v>8.5000000000000006E-2</v>
      </c>
      <c r="N79">
        <v>0</v>
      </c>
      <c r="O79">
        <v>8.5000000000000006E-2</v>
      </c>
      <c r="P79">
        <v>1501704</v>
      </c>
      <c r="Q79">
        <v>0</v>
      </c>
      <c r="R79">
        <v>1501704</v>
      </c>
      <c r="S79">
        <v>7.1999999999999995E-2</v>
      </c>
      <c r="T79">
        <v>0</v>
      </c>
      <c r="U79">
        <v>7.1999999999999995E-2</v>
      </c>
      <c r="V79">
        <v>19176132</v>
      </c>
      <c r="W79">
        <v>0.91600000000000004</v>
      </c>
      <c r="X79">
        <v>323520</v>
      </c>
      <c r="Y79">
        <v>0</v>
      </c>
      <c r="Z79">
        <v>323520</v>
      </c>
      <c r="AA79">
        <v>473636</v>
      </c>
      <c r="AB79">
        <v>0</v>
      </c>
      <c r="AC79">
        <v>473636</v>
      </c>
      <c r="AD79">
        <v>32</v>
      </c>
      <c r="AE79">
        <v>0</v>
      </c>
      <c r="AF79">
        <v>32</v>
      </c>
      <c r="AG79">
        <v>153002</v>
      </c>
      <c r="AH79">
        <v>0</v>
      </c>
      <c r="AI79">
        <v>153002</v>
      </c>
      <c r="AJ79">
        <v>4</v>
      </c>
      <c r="AK79">
        <v>230930</v>
      </c>
      <c r="AL79">
        <v>4</v>
      </c>
      <c r="AM79">
        <v>84370</v>
      </c>
      <c r="AN79">
        <v>5.77</v>
      </c>
      <c r="AO79" t="s">
        <v>1784</v>
      </c>
      <c r="AP79">
        <v>5.77</v>
      </c>
      <c r="AQ79">
        <v>5.58</v>
      </c>
      <c r="AR79" t="s">
        <v>1784</v>
      </c>
      <c r="AS79">
        <v>5.58</v>
      </c>
    </row>
    <row r="80" spans="1:45" x14ac:dyDescent="0.25">
      <c r="A80" t="s">
        <v>19981</v>
      </c>
      <c r="B80">
        <v>671</v>
      </c>
      <c r="C80">
        <v>20714976</v>
      </c>
      <c r="D80">
        <v>1863364</v>
      </c>
      <c r="E80">
        <v>0</v>
      </c>
      <c r="F80">
        <v>1863364</v>
      </c>
      <c r="G80">
        <v>0.09</v>
      </c>
      <c r="H80">
        <v>0</v>
      </c>
      <c r="I80">
        <v>0.09</v>
      </c>
      <c r="J80">
        <v>2265934</v>
      </c>
      <c r="K80">
        <v>0</v>
      </c>
      <c r="L80">
        <v>2265934</v>
      </c>
      <c r="M80">
        <v>0.108</v>
      </c>
      <c r="N80">
        <v>0</v>
      </c>
      <c r="O80">
        <v>0.108</v>
      </c>
      <c r="P80">
        <v>1631585</v>
      </c>
      <c r="Q80">
        <v>0</v>
      </c>
      <c r="R80">
        <v>1631585</v>
      </c>
      <c r="S80">
        <v>7.9000000000000001E-2</v>
      </c>
      <c r="T80">
        <v>0</v>
      </c>
      <c r="U80">
        <v>7.9000000000000001E-2</v>
      </c>
      <c r="V80">
        <v>18851612</v>
      </c>
      <c r="W80">
        <v>0.91</v>
      </c>
      <c r="X80">
        <v>207660</v>
      </c>
      <c r="Y80">
        <v>0</v>
      </c>
      <c r="Z80">
        <v>207660</v>
      </c>
      <c r="AA80">
        <v>305002</v>
      </c>
      <c r="AB80">
        <v>0</v>
      </c>
      <c r="AC80">
        <v>305002</v>
      </c>
      <c r="AD80">
        <v>27</v>
      </c>
      <c r="AE80">
        <v>0</v>
      </c>
      <c r="AF80">
        <v>27</v>
      </c>
      <c r="AG80">
        <v>125176</v>
      </c>
      <c r="AH80">
        <v>0</v>
      </c>
      <c r="AI80">
        <v>125176</v>
      </c>
      <c r="AJ80">
        <v>1</v>
      </c>
      <c r="AK80">
        <v>45262</v>
      </c>
      <c r="AL80">
        <v>4</v>
      </c>
      <c r="AM80">
        <v>230930</v>
      </c>
      <c r="AN80">
        <v>5.62</v>
      </c>
      <c r="AO80" t="s">
        <v>1784</v>
      </c>
      <c r="AP80">
        <v>5.62</v>
      </c>
      <c r="AQ80">
        <v>5.49</v>
      </c>
      <c r="AR80" t="s">
        <v>1784</v>
      </c>
      <c r="AS80">
        <v>5.49</v>
      </c>
    </row>
    <row r="81" spans="1:45" x14ac:dyDescent="0.25">
      <c r="A81" t="s">
        <v>19982</v>
      </c>
      <c r="B81">
        <v>670</v>
      </c>
      <c r="C81">
        <v>20669714</v>
      </c>
      <c r="D81">
        <v>2026362</v>
      </c>
      <c r="E81">
        <v>0</v>
      </c>
      <c r="F81">
        <v>2026362</v>
      </c>
      <c r="G81">
        <v>9.8000000000000004E-2</v>
      </c>
      <c r="H81">
        <v>0</v>
      </c>
      <c r="I81">
        <v>9.8000000000000004E-2</v>
      </c>
      <c r="J81">
        <v>2197239</v>
      </c>
      <c r="K81">
        <v>0</v>
      </c>
      <c r="L81">
        <v>2197239</v>
      </c>
      <c r="M81">
        <v>0.105</v>
      </c>
      <c r="N81">
        <v>0</v>
      </c>
      <c r="O81">
        <v>0.105</v>
      </c>
      <c r="P81">
        <v>1669275</v>
      </c>
      <c r="Q81">
        <v>0</v>
      </c>
      <c r="R81">
        <v>1669275</v>
      </c>
      <c r="S81">
        <v>8.1000000000000003E-2</v>
      </c>
      <c r="T81">
        <v>0</v>
      </c>
      <c r="U81">
        <v>8.1000000000000003E-2</v>
      </c>
      <c r="V81">
        <v>18643352</v>
      </c>
      <c r="W81">
        <v>0.90200000000000002</v>
      </c>
      <c r="X81">
        <v>133105</v>
      </c>
      <c r="Y81">
        <v>0</v>
      </c>
      <c r="Z81">
        <v>133105</v>
      </c>
      <c r="AA81">
        <v>321427</v>
      </c>
      <c r="AB81">
        <v>0</v>
      </c>
      <c r="AC81">
        <v>321427</v>
      </c>
      <c r="AD81">
        <v>18</v>
      </c>
      <c r="AE81">
        <v>0</v>
      </c>
      <c r="AF81">
        <v>18</v>
      </c>
      <c r="AG81">
        <v>138317</v>
      </c>
      <c r="AH81">
        <v>0</v>
      </c>
      <c r="AI81">
        <v>138317</v>
      </c>
      <c r="AJ81">
        <v>1</v>
      </c>
      <c r="AK81">
        <v>9744</v>
      </c>
      <c r="AL81">
        <v>5</v>
      </c>
      <c r="AM81">
        <v>276192</v>
      </c>
      <c r="AN81">
        <v>5.64</v>
      </c>
      <c r="AO81" t="s">
        <v>1784</v>
      </c>
      <c r="AP81">
        <v>5.64</v>
      </c>
      <c r="AQ81">
        <v>5.51</v>
      </c>
      <c r="AR81" t="s">
        <v>1784</v>
      </c>
      <c r="AS81">
        <v>5.51</v>
      </c>
    </row>
    <row r="82" spans="1:45" x14ac:dyDescent="0.25">
      <c r="A82" t="s">
        <v>19983</v>
      </c>
      <c r="B82">
        <v>669</v>
      </c>
      <c r="C82">
        <v>20659970</v>
      </c>
      <c r="D82">
        <v>2155023</v>
      </c>
      <c r="E82">
        <v>0</v>
      </c>
      <c r="F82">
        <v>2155023</v>
      </c>
      <c r="G82">
        <v>0.104</v>
      </c>
      <c r="H82">
        <v>0</v>
      </c>
      <c r="I82">
        <v>0.104</v>
      </c>
      <c r="J82">
        <v>1970380</v>
      </c>
      <c r="K82">
        <v>0</v>
      </c>
      <c r="L82">
        <v>1970380</v>
      </c>
      <c r="M82">
        <v>9.4E-2</v>
      </c>
      <c r="N82">
        <v>0</v>
      </c>
      <c r="O82">
        <v>9.4E-2</v>
      </c>
      <c r="P82">
        <v>1857009</v>
      </c>
      <c r="Q82">
        <v>0</v>
      </c>
      <c r="R82">
        <v>1857009</v>
      </c>
      <c r="S82">
        <v>0.09</v>
      </c>
      <c r="T82">
        <v>0</v>
      </c>
      <c r="U82">
        <v>0.09</v>
      </c>
      <c r="V82">
        <v>18504947</v>
      </c>
      <c r="W82">
        <v>0.89600000000000002</v>
      </c>
      <c r="X82">
        <v>29809</v>
      </c>
      <c r="Y82">
        <v>0</v>
      </c>
      <c r="Z82">
        <v>29809</v>
      </c>
      <c r="AA82">
        <v>137502</v>
      </c>
      <c r="AB82">
        <v>0</v>
      </c>
      <c r="AC82">
        <v>137502</v>
      </c>
      <c r="AD82">
        <v>23</v>
      </c>
      <c r="AE82">
        <v>0</v>
      </c>
      <c r="AF82">
        <v>23</v>
      </c>
      <c r="AG82">
        <v>181225</v>
      </c>
      <c r="AH82">
        <v>0</v>
      </c>
      <c r="AI82">
        <v>181225</v>
      </c>
      <c r="AJ82">
        <v>2</v>
      </c>
      <c r="AK82">
        <v>29084</v>
      </c>
      <c r="AL82">
        <v>3</v>
      </c>
      <c r="AM82">
        <v>255006</v>
      </c>
      <c r="AN82">
        <v>5.35</v>
      </c>
      <c r="AO82" t="s">
        <v>1784</v>
      </c>
      <c r="AP82">
        <v>5.35</v>
      </c>
      <c r="AQ82">
        <v>5.07</v>
      </c>
      <c r="AR82" t="s">
        <v>1784</v>
      </c>
      <c r="AS82">
        <v>5.07</v>
      </c>
    </row>
    <row r="83" spans="1:45" x14ac:dyDescent="0.25">
      <c r="A83" t="s">
        <v>19984</v>
      </c>
      <c r="B83">
        <v>667</v>
      </c>
      <c r="C83">
        <v>20630886</v>
      </c>
      <c r="D83">
        <v>2156248</v>
      </c>
      <c r="E83">
        <v>0</v>
      </c>
      <c r="F83">
        <v>2156248</v>
      </c>
      <c r="G83">
        <v>0.105</v>
      </c>
      <c r="H83">
        <v>0</v>
      </c>
      <c r="I83">
        <v>0.105</v>
      </c>
      <c r="J83" t="s">
        <v>1784</v>
      </c>
      <c r="K83" t="s">
        <v>1784</v>
      </c>
      <c r="L83" t="s">
        <v>1784</v>
      </c>
      <c r="M83" t="s">
        <v>1784</v>
      </c>
      <c r="N83" t="s">
        <v>1784</v>
      </c>
      <c r="O83" t="s">
        <v>1784</v>
      </c>
      <c r="P83">
        <v>1699717</v>
      </c>
      <c r="Q83">
        <v>0</v>
      </c>
      <c r="R83">
        <v>1699717</v>
      </c>
      <c r="S83">
        <v>8.2000000000000003E-2</v>
      </c>
      <c r="T83">
        <v>0</v>
      </c>
      <c r="U83">
        <v>8.2000000000000003E-2</v>
      </c>
      <c r="V83">
        <v>18474638</v>
      </c>
      <c r="W83">
        <v>0.89500000000000002</v>
      </c>
      <c r="X83">
        <v>-23729</v>
      </c>
      <c r="Y83">
        <v>0</v>
      </c>
      <c r="Z83">
        <v>-23729</v>
      </c>
      <c r="AA83">
        <v>147247</v>
      </c>
      <c r="AB83">
        <v>0</v>
      </c>
      <c r="AC83">
        <v>147247</v>
      </c>
      <c r="AD83">
        <v>38</v>
      </c>
      <c r="AE83">
        <v>0</v>
      </c>
      <c r="AF83">
        <v>38</v>
      </c>
      <c r="AG83">
        <v>241815</v>
      </c>
      <c r="AH83">
        <v>0</v>
      </c>
      <c r="AI83">
        <v>241815</v>
      </c>
      <c r="AJ83">
        <v>7</v>
      </c>
      <c r="AK83">
        <v>77116</v>
      </c>
      <c r="AL83">
        <v>3</v>
      </c>
      <c r="AM83">
        <v>38828</v>
      </c>
      <c r="AN83">
        <v>5.24</v>
      </c>
      <c r="AO83" t="s">
        <v>1784</v>
      </c>
      <c r="AP83">
        <v>5.24</v>
      </c>
      <c r="AQ83">
        <v>4.9000000000000004</v>
      </c>
      <c r="AR83" t="s">
        <v>1784</v>
      </c>
      <c r="AS83">
        <v>4.9000000000000004</v>
      </c>
    </row>
    <row r="84" spans="1:45" x14ac:dyDescent="0.25">
      <c r="A84" t="s">
        <v>19985</v>
      </c>
      <c r="B84">
        <v>660</v>
      </c>
      <c r="C84">
        <v>20553770</v>
      </c>
      <c r="D84">
        <v>2058003</v>
      </c>
      <c r="E84">
        <v>0</v>
      </c>
      <c r="F84">
        <v>2058003</v>
      </c>
      <c r="G84">
        <v>0.1</v>
      </c>
      <c r="H84">
        <v>0</v>
      </c>
      <c r="I84">
        <v>0.1</v>
      </c>
      <c r="J84" t="s">
        <v>1784</v>
      </c>
      <c r="K84" t="s">
        <v>1784</v>
      </c>
      <c r="L84" t="s">
        <v>1784</v>
      </c>
      <c r="M84" t="s">
        <v>1784</v>
      </c>
      <c r="N84" t="s">
        <v>1784</v>
      </c>
      <c r="O84" t="s">
        <v>1784</v>
      </c>
      <c r="P84">
        <v>1719981</v>
      </c>
      <c r="Q84">
        <v>0</v>
      </c>
      <c r="R84">
        <v>1719981</v>
      </c>
      <c r="S84">
        <v>8.4000000000000005E-2</v>
      </c>
      <c r="T84">
        <v>0</v>
      </c>
      <c r="U84">
        <v>8.4000000000000005E-2</v>
      </c>
      <c r="V84">
        <v>18495767</v>
      </c>
      <c r="W84">
        <v>0.9</v>
      </c>
      <c r="X84">
        <v>131119</v>
      </c>
      <c r="Y84">
        <v>2600</v>
      </c>
      <c r="Z84">
        <v>133719</v>
      </c>
      <c r="AA84">
        <v>246483</v>
      </c>
      <c r="AB84">
        <v>2600</v>
      </c>
      <c r="AC84">
        <v>249083</v>
      </c>
      <c r="AD84">
        <v>26</v>
      </c>
      <c r="AE84">
        <v>1</v>
      </c>
      <c r="AF84">
        <v>27</v>
      </c>
      <c r="AG84">
        <v>132494</v>
      </c>
      <c r="AH84">
        <v>2600</v>
      </c>
      <c r="AI84">
        <v>135094</v>
      </c>
      <c r="AJ84">
        <v>1</v>
      </c>
      <c r="AK84">
        <v>12860</v>
      </c>
      <c r="AL84">
        <v>9</v>
      </c>
      <c r="AM84">
        <v>106200</v>
      </c>
      <c r="AN84">
        <v>5.47</v>
      </c>
      <c r="AO84" t="s">
        <v>1784</v>
      </c>
      <c r="AP84">
        <v>5.47</v>
      </c>
      <c r="AQ84">
        <v>5.26</v>
      </c>
      <c r="AR84" t="s">
        <v>1784</v>
      </c>
      <c r="AS84">
        <v>5.26</v>
      </c>
    </row>
    <row r="85" spans="1:45" x14ac:dyDescent="0.25">
      <c r="A85" t="s">
        <v>19986</v>
      </c>
      <c r="B85">
        <v>659</v>
      </c>
      <c r="C85">
        <v>20540910</v>
      </c>
      <c r="D85">
        <v>2187462</v>
      </c>
      <c r="E85">
        <v>2600</v>
      </c>
      <c r="F85">
        <v>2190062</v>
      </c>
      <c r="G85">
        <v>0.106</v>
      </c>
      <c r="H85">
        <v>0</v>
      </c>
      <c r="I85">
        <v>0.107</v>
      </c>
      <c r="J85" t="s">
        <v>1784</v>
      </c>
      <c r="K85" t="s">
        <v>1784</v>
      </c>
      <c r="L85" t="s">
        <v>1784</v>
      </c>
      <c r="M85" t="s">
        <v>1784</v>
      </c>
      <c r="N85" t="s">
        <v>1784</v>
      </c>
      <c r="O85" t="s">
        <v>1784</v>
      </c>
      <c r="P85">
        <v>1735454</v>
      </c>
      <c r="Q85">
        <v>2600</v>
      </c>
      <c r="R85">
        <v>1738054</v>
      </c>
      <c r="S85">
        <v>8.4000000000000005E-2</v>
      </c>
      <c r="T85">
        <v>0</v>
      </c>
      <c r="U85">
        <v>8.5000000000000006E-2</v>
      </c>
      <c r="V85">
        <v>18350848</v>
      </c>
      <c r="W85">
        <v>0.89300000000000002</v>
      </c>
      <c r="X85">
        <v>310</v>
      </c>
      <c r="Y85">
        <v>6997</v>
      </c>
      <c r="Z85">
        <v>7307</v>
      </c>
      <c r="AA85">
        <v>234852</v>
      </c>
      <c r="AB85">
        <v>9597</v>
      </c>
      <c r="AC85">
        <v>244449</v>
      </c>
      <c r="AD85">
        <v>35</v>
      </c>
      <c r="AE85">
        <v>0</v>
      </c>
      <c r="AF85">
        <v>35</v>
      </c>
      <c r="AG85">
        <v>137499</v>
      </c>
      <c r="AH85">
        <v>0</v>
      </c>
      <c r="AI85">
        <v>137499</v>
      </c>
      <c r="AJ85">
        <v>1</v>
      </c>
      <c r="AK85">
        <v>7519</v>
      </c>
      <c r="AL85">
        <v>9</v>
      </c>
      <c r="AM85">
        <v>111976</v>
      </c>
      <c r="AN85">
        <v>5.37</v>
      </c>
      <c r="AO85">
        <v>7.5</v>
      </c>
      <c r="AP85">
        <v>5.37</v>
      </c>
      <c r="AQ85">
        <v>5.17</v>
      </c>
      <c r="AR85" t="s">
        <v>1784</v>
      </c>
      <c r="AS85">
        <v>5.17</v>
      </c>
    </row>
    <row r="86" spans="1:45" x14ac:dyDescent="0.25">
      <c r="A86" t="s">
        <v>19987</v>
      </c>
      <c r="B86">
        <v>659</v>
      </c>
      <c r="C86">
        <v>20742851</v>
      </c>
      <c r="D86">
        <v>2368513</v>
      </c>
      <c r="E86">
        <v>9597</v>
      </c>
      <c r="F86">
        <v>2378110</v>
      </c>
      <c r="G86">
        <v>0.114</v>
      </c>
      <c r="H86">
        <v>0</v>
      </c>
      <c r="I86">
        <v>0.115</v>
      </c>
      <c r="J86" t="s">
        <v>1784</v>
      </c>
      <c r="K86" t="s">
        <v>1784</v>
      </c>
      <c r="L86" t="s">
        <v>1784</v>
      </c>
      <c r="M86" t="s">
        <v>1784</v>
      </c>
      <c r="N86" t="s">
        <v>1784</v>
      </c>
      <c r="O86" t="s">
        <v>1784</v>
      </c>
      <c r="P86">
        <v>1798629</v>
      </c>
      <c r="Q86">
        <v>9597</v>
      </c>
      <c r="R86">
        <v>1808226</v>
      </c>
      <c r="S86">
        <v>8.6999999999999994E-2</v>
      </c>
      <c r="T86">
        <v>0</v>
      </c>
      <c r="U86">
        <v>8.6999999999999994E-2</v>
      </c>
      <c r="V86">
        <v>18364741</v>
      </c>
      <c r="W86">
        <v>0.88500000000000001</v>
      </c>
      <c r="X86">
        <v>-263322</v>
      </c>
      <c r="Y86">
        <v>0</v>
      </c>
      <c r="Z86">
        <v>-263322</v>
      </c>
      <c r="AA86">
        <v>222928</v>
      </c>
      <c r="AB86">
        <v>0</v>
      </c>
      <c r="AC86">
        <v>222928</v>
      </c>
      <c r="AD86">
        <v>33</v>
      </c>
      <c r="AE86">
        <v>0</v>
      </c>
      <c r="AF86">
        <v>33</v>
      </c>
      <c r="AG86">
        <v>157398</v>
      </c>
      <c r="AH86">
        <v>0</v>
      </c>
      <c r="AI86">
        <v>157398</v>
      </c>
      <c r="AJ86">
        <v>1</v>
      </c>
      <c r="AK86">
        <v>10720</v>
      </c>
      <c r="AL86">
        <v>2</v>
      </c>
      <c r="AM86">
        <v>20379</v>
      </c>
      <c r="AN86">
        <v>5.42</v>
      </c>
      <c r="AO86">
        <v>5</v>
      </c>
      <c r="AP86">
        <v>5.42</v>
      </c>
      <c r="AQ86">
        <v>5.36</v>
      </c>
      <c r="AR86">
        <v>5</v>
      </c>
      <c r="AS86">
        <v>5.36</v>
      </c>
    </row>
    <row r="87" spans="1:45" x14ac:dyDescent="0.25">
      <c r="A87" t="s">
        <v>19988</v>
      </c>
      <c r="B87">
        <v>658</v>
      </c>
      <c r="C87">
        <v>20732131</v>
      </c>
      <c r="D87">
        <v>2093871</v>
      </c>
      <c r="E87">
        <v>9597</v>
      </c>
      <c r="F87">
        <v>2103468</v>
      </c>
      <c r="G87">
        <v>0.10100000000000001</v>
      </c>
      <c r="H87">
        <v>0</v>
      </c>
      <c r="I87">
        <v>0.10100000000000001</v>
      </c>
      <c r="J87" t="s">
        <v>1784</v>
      </c>
      <c r="K87" t="s">
        <v>1784</v>
      </c>
      <c r="L87" t="s">
        <v>1784</v>
      </c>
      <c r="M87" t="s">
        <v>1784</v>
      </c>
      <c r="N87" t="s">
        <v>1784</v>
      </c>
      <c r="O87" t="s">
        <v>1784</v>
      </c>
      <c r="P87">
        <v>1753002</v>
      </c>
      <c r="Q87">
        <v>9597</v>
      </c>
      <c r="R87">
        <v>1762599</v>
      </c>
      <c r="S87">
        <v>8.5000000000000006E-2</v>
      </c>
      <c r="T87">
        <v>0</v>
      </c>
      <c r="U87">
        <v>8.5000000000000006E-2</v>
      </c>
      <c r="V87">
        <v>18628663</v>
      </c>
      <c r="W87">
        <v>0.89900000000000002</v>
      </c>
      <c r="X87">
        <v>45063</v>
      </c>
      <c r="Y87">
        <v>0</v>
      </c>
      <c r="Z87">
        <v>45063</v>
      </c>
      <c r="AA87">
        <v>234774</v>
      </c>
      <c r="AB87">
        <v>0</v>
      </c>
      <c r="AC87">
        <v>234774</v>
      </c>
      <c r="AD87">
        <v>33</v>
      </c>
      <c r="AE87">
        <v>0</v>
      </c>
      <c r="AF87">
        <v>33</v>
      </c>
      <c r="AG87">
        <v>272174</v>
      </c>
      <c r="AH87">
        <v>0</v>
      </c>
      <c r="AI87">
        <v>272174</v>
      </c>
      <c r="AJ87">
        <v>2</v>
      </c>
      <c r="AK87">
        <v>26123</v>
      </c>
      <c r="AL87">
        <v>2</v>
      </c>
      <c r="AM87">
        <v>18239</v>
      </c>
      <c r="AN87">
        <v>5.62</v>
      </c>
      <c r="AO87">
        <v>5</v>
      </c>
      <c r="AP87">
        <v>5.62</v>
      </c>
      <c r="AQ87">
        <v>5.53</v>
      </c>
      <c r="AR87">
        <v>5</v>
      </c>
      <c r="AS87">
        <v>5.53</v>
      </c>
    </row>
    <row r="88" spans="1:45" x14ac:dyDescent="0.25">
      <c r="A88" t="s">
        <v>19989</v>
      </c>
      <c r="B88">
        <v>656</v>
      </c>
      <c r="C88">
        <v>20706008</v>
      </c>
      <c r="D88">
        <v>2110211</v>
      </c>
      <c r="E88">
        <v>9597</v>
      </c>
      <c r="F88">
        <v>2119808</v>
      </c>
      <c r="G88">
        <v>0.10199999999999999</v>
      </c>
      <c r="H88">
        <v>0</v>
      </c>
      <c r="I88">
        <v>0.10199999999999999</v>
      </c>
      <c r="J88" t="s">
        <v>1784</v>
      </c>
      <c r="K88" t="s">
        <v>1784</v>
      </c>
      <c r="L88" t="s">
        <v>1784</v>
      </c>
      <c r="M88" t="s">
        <v>1784</v>
      </c>
      <c r="N88" t="s">
        <v>1784</v>
      </c>
      <c r="O88" t="s">
        <v>1784</v>
      </c>
      <c r="P88">
        <v>1839342</v>
      </c>
      <c r="Q88">
        <v>9597</v>
      </c>
      <c r="R88">
        <v>1848939</v>
      </c>
      <c r="S88">
        <v>8.8999999999999996E-2</v>
      </c>
      <c r="T88">
        <v>0</v>
      </c>
      <c r="U88">
        <v>8.8999999999999996E-2</v>
      </c>
      <c r="V88">
        <v>18586200</v>
      </c>
      <c r="W88">
        <v>0.89800000000000002</v>
      </c>
      <c r="X88">
        <v>-7245</v>
      </c>
      <c r="Y88">
        <v>6000</v>
      </c>
      <c r="Z88">
        <v>-1245</v>
      </c>
      <c r="AA88">
        <v>150584</v>
      </c>
      <c r="AB88">
        <v>6000</v>
      </c>
      <c r="AC88">
        <v>156584</v>
      </c>
      <c r="AD88">
        <v>26</v>
      </c>
      <c r="AE88">
        <v>0</v>
      </c>
      <c r="AF88">
        <v>26</v>
      </c>
      <c r="AG88">
        <v>195805</v>
      </c>
      <c r="AH88">
        <v>0</v>
      </c>
      <c r="AI88">
        <v>195805</v>
      </c>
      <c r="AJ88">
        <v>0</v>
      </c>
      <c r="AK88">
        <v>0</v>
      </c>
      <c r="AL88">
        <v>3</v>
      </c>
      <c r="AM88">
        <v>36843</v>
      </c>
      <c r="AN88">
        <v>5.74</v>
      </c>
      <c r="AO88">
        <v>5</v>
      </c>
      <c r="AP88">
        <v>5.74</v>
      </c>
      <c r="AQ88">
        <v>5.65</v>
      </c>
      <c r="AR88">
        <v>5</v>
      </c>
      <c r="AS88">
        <v>5.65</v>
      </c>
    </row>
    <row r="89" spans="1:45" x14ac:dyDescent="0.25">
      <c r="A89" t="s">
        <v>19990</v>
      </c>
      <c r="B89">
        <v>656</v>
      </c>
      <c r="C89">
        <v>20706008</v>
      </c>
      <c r="D89">
        <v>2108266</v>
      </c>
      <c r="E89">
        <v>15597</v>
      </c>
      <c r="F89">
        <v>2123863</v>
      </c>
      <c r="G89">
        <v>0.10199999999999999</v>
      </c>
      <c r="H89">
        <v>1E-3</v>
      </c>
      <c r="I89">
        <v>0.10299999999999999</v>
      </c>
      <c r="J89" t="s">
        <v>1784</v>
      </c>
      <c r="K89" t="s">
        <v>1784</v>
      </c>
      <c r="L89" t="s">
        <v>1784</v>
      </c>
      <c r="M89" t="s">
        <v>1784</v>
      </c>
      <c r="N89" t="s">
        <v>1784</v>
      </c>
      <c r="O89" t="s">
        <v>1784</v>
      </c>
      <c r="P89">
        <v>1814414</v>
      </c>
      <c r="Q89">
        <v>15597</v>
      </c>
      <c r="R89">
        <v>1830011</v>
      </c>
      <c r="S89">
        <v>8.7999999999999995E-2</v>
      </c>
      <c r="T89">
        <v>1E-3</v>
      </c>
      <c r="U89">
        <v>8.7999999999999995E-2</v>
      </c>
      <c r="V89">
        <v>18582145</v>
      </c>
      <c r="W89">
        <v>0.89700000000000002</v>
      </c>
      <c r="X89">
        <v>-16728</v>
      </c>
      <c r="Y89">
        <v>-6000</v>
      </c>
      <c r="Z89">
        <v>-22728</v>
      </c>
      <c r="AA89">
        <v>138378</v>
      </c>
      <c r="AB89">
        <v>700</v>
      </c>
      <c r="AC89">
        <v>139078</v>
      </c>
      <c r="AD89">
        <v>21</v>
      </c>
      <c r="AE89">
        <v>1</v>
      </c>
      <c r="AF89">
        <v>22</v>
      </c>
      <c r="AG89">
        <v>84901</v>
      </c>
      <c r="AH89">
        <v>700</v>
      </c>
      <c r="AI89">
        <v>85601</v>
      </c>
      <c r="AJ89">
        <v>1</v>
      </c>
      <c r="AK89">
        <v>2538</v>
      </c>
      <c r="AL89">
        <v>3</v>
      </c>
      <c r="AM89">
        <v>36843</v>
      </c>
      <c r="AN89">
        <v>6.99</v>
      </c>
      <c r="AO89">
        <v>5</v>
      </c>
      <c r="AP89">
        <v>6.97</v>
      </c>
      <c r="AQ89">
        <v>7.01</v>
      </c>
      <c r="AR89">
        <v>5</v>
      </c>
      <c r="AS89">
        <v>6.99</v>
      </c>
    </row>
    <row r="90" spans="1:45" x14ac:dyDescent="0.25">
      <c r="A90" t="s">
        <v>19991</v>
      </c>
      <c r="B90">
        <v>655</v>
      </c>
      <c r="C90">
        <v>20703470</v>
      </c>
      <c r="D90">
        <v>2081000</v>
      </c>
      <c r="E90">
        <v>9597</v>
      </c>
      <c r="F90">
        <v>2090597</v>
      </c>
      <c r="G90">
        <v>0.10100000000000001</v>
      </c>
      <c r="H90">
        <v>0</v>
      </c>
      <c r="I90">
        <v>0.10100000000000001</v>
      </c>
      <c r="J90" t="s">
        <v>1784</v>
      </c>
      <c r="K90" t="s">
        <v>1784</v>
      </c>
      <c r="L90" t="s">
        <v>1784</v>
      </c>
      <c r="M90" t="s">
        <v>1784</v>
      </c>
      <c r="N90" t="s">
        <v>1784</v>
      </c>
      <c r="O90" t="s">
        <v>1784</v>
      </c>
      <c r="P90">
        <v>1794722</v>
      </c>
      <c r="Q90">
        <v>9597</v>
      </c>
      <c r="R90">
        <v>1804319</v>
      </c>
      <c r="S90">
        <v>8.6999999999999994E-2</v>
      </c>
      <c r="T90">
        <v>0</v>
      </c>
      <c r="U90">
        <v>8.6999999999999994E-2</v>
      </c>
      <c r="V90">
        <v>18612873</v>
      </c>
      <c r="W90">
        <v>0.89900000000000002</v>
      </c>
      <c r="X90">
        <v>313609</v>
      </c>
      <c r="Y90">
        <v>-4866</v>
      </c>
      <c r="Z90">
        <v>308743</v>
      </c>
      <c r="AA90">
        <v>454587</v>
      </c>
      <c r="AB90">
        <v>5999</v>
      </c>
      <c r="AC90">
        <v>460586</v>
      </c>
      <c r="AD90">
        <v>19</v>
      </c>
      <c r="AE90">
        <v>0</v>
      </c>
      <c r="AF90">
        <v>19</v>
      </c>
      <c r="AG90">
        <v>251120</v>
      </c>
      <c r="AH90">
        <v>4006</v>
      </c>
      <c r="AI90">
        <v>255126</v>
      </c>
      <c r="AJ90">
        <v>5</v>
      </c>
      <c r="AK90">
        <v>386033</v>
      </c>
      <c r="AL90">
        <v>2</v>
      </c>
      <c r="AM90">
        <v>24538</v>
      </c>
      <c r="AN90">
        <v>7.01</v>
      </c>
      <c r="AO90">
        <v>5</v>
      </c>
      <c r="AP90">
        <v>7</v>
      </c>
      <c r="AQ90">
        <v>7.04</v>
      </c>
      <c r="AR90">
        <v>5</v>
      </c>
      <c r="AS90">
        <v>7.03</v>
      </c>
    </row>
    <row r="91" spans="1:45" x14ac:dyDescent="0.25">
      <c r="A91" t="s">
        <v>19992</v>
      </c>
      <c r="B91">
        <v>650</v>
      </c>
      <c r="C91">
        <v>20317437</v>
      </c>
      <c r="D91">
        <v>2019176</v>
      </c>
      <c r="E91">
        <v>4731</v>
      </c>
      <c r="F91">
        <v>2023907</v>
      </c>
      <c r="G91">
        <v>9.9000000000000005E-2</v>
      </c>
      <c r="H91">
        <v>0</v>
      </c>
      <c r="I91">
        <v>0.1</v>
      </c>
      <c r="J91" t="s">
        <v>1784</v>
      </c>
      <c r="K91" t="s">
        <v>1784</v>
      </c>
      <c r="L91" t="s">
        <v>1784</v>
      </c>
      <c r="M91" t="s">
        <v>1784</v>
      </c>
      <c r="N91" t="s">
        <v>1784</v>
      </c>
      <c r="O91" t="s">
        <v>1784</v>
      </c>
      <c r="P91">
        <v>1715718</v>
      </c>
      <c r="Q91">
        <v>3982</v>
      </c>
      <c r="R91">
        <v>1719700</v>
      </c>
      <c r="S91">
        <v>8.4000000000000005E-2</v>
      </c>
      <c r="T91">
        <v>0</v>
      </c>
      <c r="U91">
        <v>8.5000000000000006E-2</v>
      </c>
      <c r="V91">
        <v>18293530</v>
      </c>
      <c r="W91">
        <v>0.9</v>
      </c>
      <c r="X91">
        <v>-43217</v>
      </c>
      <c r="Y91">
        <v>3800</v>
      </c>
      <c r="Z91">
        <v>-39417</v>
      </c>
      <c r="AA91">
        <v>200964</v>
      </c>
      <c r="AB91">
        <v>3800</v>
      </c>
      <c r="AC91">
        <v>204764</v>
      </c>
      <c r="AD91">
        <v>29</v>
      </c>
      <c r="AE91">
        <v>1</v>
      </c>
      <c r="AF91">
        <v>30</v>
      </c>
      <c r="AG91">
        <v>155131</v>
      </c>
      <c r="AH91">
        <v>2500</v>
      </c>
      <c r="AI91">
        <v>157631</v>
      </c>
      <c r="AJ91">
        <v>3</v>
      </c>
      <c r="AK91">
        <v>35310</v>
      </c>
      <c r="AL91">
        <v>6</v>
      </c>
      <c r="AM91">
        <v>388571</v>
      </c>
      <c r="AN91">
        <v>6.84</v>
      </c>
      <c r="AO91">
        <v>11.11</v>
      </c>
      <c r="AP91">
        <v>6.9</v>
      </c>
      <c r="AQ91">
        <v>6.86</v>
      </c>
      <c r="AR91" t="s">
        <v>1784</v>
      </c>
      <c r="AS91">
        <v>6.86</v>
      </c>
    </row>
    <row r="92" spans="1:45" x14ac:dyDescent="0.25">
      <c r="A92" t="s">
        <v>19993</v>
      </c>
      <c r="B92">
        <v>647</v>
      </c>
      <c r="C92">
        <v>20282127</v>
      </c>
      <c r="D92">
        <v>1929549</v>
      </c>
      <c r="E92">
        <v>8531</v>
      </c>
      <c r="F92">
        <v>1938080</v>
      </c>
      <c r="G92">
        <v>9.5000000000000001E-2</v>
      </c>
      <c r="H92">
        <v>0</v>
      </c>
      <c r="I92">
        <v>9.6000000000000002E-2</v>
      </c>
      <c r="J92" t="s">
        <v>1784</v>
      </c>
      <c r="K92" t="s">
        <v>1784</v>
      </c>
      <c r="L92" t="s">
        <v>1784</v>
      </c>
      <c r="M92" t="s">
        <v>1784</v>
      </c>
      <c r="N92" t="s">
        <v>1784</v>
      </c>
      <c r="O92" t="s">
        <v>1784</v>
      </c>
      <c r="P92">
        <v>1633589</v>
      </c>
      <c r="Q92">
        <v>8655</v>
      </c>
      <c r="R92">
        <v>1642244</v>
      </c>
      <c r="S92">
        <v>8.1000000000000003E-2</v>
      </c>
      <c r="T92">
        <v>0</v>
      </c>
      <c r="U92">
        <v>8.1000000000000003E-2</v>
      </c>
      <c r="V92">
        <v>18344047</v>
      </c>
      <c r="W92">
        <v>0.90400000000000003</v>
      </c>
      <c r="X92">
        <v>-24366</v>
      </c>
      <c r="Y92">
        <v>-3651</v>
      </c>
      <c r="Z92">
        <v>-28017</v>
      </c>
      <c r="AA92">
        <v>184091</v>
      </c>
      <c r="AB92">
        <v>2349</v>
      </c>
      <c r="AC92">
        <v>186440</v>
      </c>
      <c r="AD92">
        <v>17</v>
      </c>
      <c r="AE92">
        <v>0</v>
      </c>
      <c r="AF92">
        <v>17</v>
      </c>
      <c r="AG92">
        <v>119350</v>
      </c>
      <c r="AH92">
        <v>0</v>
      </c>
      <c r="AI92">
        <v>119350</v>
      </c>
      <c r="AJ92">
        <v>1</v>
      </c>
      <c r="AK92">
        <v>19960</v>
      </c>
      <c r="AL92">
        <v>6</v>
      </c>
      <c r="AM92">
        <v>276412</v>
      </c>
      <c r="AN92">
        <v>6.53</v>
      </c>
      <c r="AO92">
        <v>9.32</v>
      </c>
      <c r="AP92">
        <v>6.59</v>
      </c>
      <c r="AQ92">
        <v>6.55</v>
      </c>
      <c r="AR92">
        <v>5.33</v>
      </c>
      <c r="AS92">
        <v>6.54</v>
      </c>
    </row>
    <row r="93" spans="1:45" x14ac:dyDescent="0.25">
      <c r="A93" t="s">
        <v>19994</v>
      </c>
      <c r="B93">
        <v>646</v>
      </c>
      <c r="C93">
        <v>20262167</v>
      </c>
      <c r="D93">
        <v>1874123</v>
      </c>
      <c r="E93">
        <v>4880</v>
      </c>
      <c r="F93">
        <v>1879003</v>
      </c>
      <c r="G93">
        <v>9.1999999999999998E-2</v>
      </c>
      <c r="H93">
        <v>0</v>
      </c>
      <c r="I93">
        <v>9.2999999999999999E-2</v>
      </c>
      <c r="J93" t="s">
        <v>1784</v>
      </c>
      <c r="K93" t="s">
        <v>1784</v>
      </c>
      <c r="L93" t="s">
        <v>1784</v>
      </c>
      <c r="M93" t="s">
        <v>1784</v>
      </c>
      <c r="N93" t="s">
        <v>1784</v>
      </c>
      <c r="O93" t="s">
        <v>1784</v>
      </c>
      <c r="P93">
        <v>1529872</v>
      </c>
      <c r="Q93">
        <v>4880</v>
      </c>
      <c r="R93">
        <v>1534752</v>
      </c>
      <c r="S93">
        <v>7.5999999999999998E-2</v>
      </c>
      <c r="T93">
        <v>0</v>
      </c>
      <c r="U93">
        <v>7.5999999999999998E-2</v>
      </c>
      <c r="V93">
        <v>18383164</v>
      </c>
      <c r="W93">
        <v>0.90700000000000003</v>
      </c>
      <c r="X93">
        <v>246598</v>
      </c>
      <c r="Y93">
        <v>3076</v>
      </c>
      <c r="Z93">
        <v>249674</v>
      </c>
      <c r="AA93">
        <v>336727</v>
      </c>
      <c r="AB93">
        <v>4907</v>
      </c>
      <c r="AC93">
        <v>341634</v>
      </c>
      <c r="AD93">
        <v>23</v>
      </c>
      <c r="AE93">
        <v>0</v>
      </c>
      <c r="AF93">
        <v>23</v>
      </c>
      <c r="AG93">
        <v>150277</v>
      </c>
      <c r="AH93">
        <v>0</v>
      </c>
      <c r="AI93">
        <v>150277</v>
      </c>
      <c r="AJ93">
        <v>4</v>
      </c>
      <c r="AK93">
        <v>100571</v>
      </c>
      <c r="AL93">
        <v>4</v>
      </c>
      <c r="AM93">
        <v>172133</v>
      </c>
      <c r="AN93">
        <v>6.63</v>
      </c>
      <c r="AO93">
        <v>9.9700000000000006</v>
      </c>
      <c r="AP93">
        <v>6.69</v>
      </c>
      <c r="AQ93">
        <v>6.67</v>
      </c>
      <c r="AR93">
        <v>5</v>
      </c>
      <c r="AS93">
        <v>6.66</v>
      </c>
    </row>
    <row r="94" spans="1:45" x14ac:dyDescent="0.25">
      <c r="A94" t="s">
        <v>19995</v>
      </c>
      <c r="B94">
        <v>642</v>
      </c>
      <c r="C94">
        <v>20161596</v>
      </c>
      <c r="D94">
        <v>2024350</v>
      </c>
      <c r="E94">
        <v>7956</v>
      </c>
      <c r="F94">
        <v>2032306</v>
      </c>
      <c r="G94">
        <v>0.1</v>
      </c>
      <c r="H94">
        <v>0</v>
      </c>
      <c r="I94">
        <v>0.10100000000000001</v>
      </c>
      <c r="J94" t="s">
        <v>1784</v>
      </c>
      <c r="K94" t="s">
        <v>1784</v>
      </c>
      <c r="L94" t="s">
        <v>1784</v>
      </c>
      <c r="M94" t="s">
        <v>1784</v>
      </c>
      <c r="N94" t="s">
        <v>1784</v>
      </c>
      <c r="O94" t="s">
        <v>1784</v>
      </c>
      <c r="P94">
        <v>1617392</v>
      </c>
      <c r="Q94">
        <v>4880</v>
      </c>
      <c r="R94">
        <v>1622272</v>
      </c>
      <c r="S94">
        <v>0.08</v>
      </c>
      <c r="T94">
        <v>0</v>
      </c>
      <c r="U94">
        <v>0.08</v>
      </c>
      <c r="V94">
        <v>18129290</v>
      </c>
      <c r="W94">
        <v>0.89900000000000002</v>
      </c>
      <c r="X94">
        <v>66807</v>
      </c>
      <c r="Y94">
        <v>-1373</v>
      </c>
      <c r="Z94">
        <v>65434</v>
      </c>
      <c r="AA94">
        <v>182842</v>
      </c>
      <c r="AB94">
        <v>4907</v>
      </c>
      <c r="AC94">
        <v>187749</v>
      </c>
      <c r="AD94">
        <v>30</v>
      </c>
      <c r="AE94">
        <v>1</v>
      </c>
      <c r="AF94">
        <v>31</v>
      </c>
      <c r="AG94">
        <v>121499</v>
      </c>
      <c r="AH94">
        <v>4907</v>
      </c>
      <c r="AI94">
        <v>126406</v>
      </c>
      <c r="AJ94">
        <v>5</v>
      </c>
      <c r="AK94">
        <v>82244</v>
      </c>
      <c r="AL94">
        <v>5</v>
      </c>
      <c r="AM94">
        <v>120531</v>
      </c>
      <c r="AN94">
        <v>6.68</v>
      </c>
      <c r="AO94">
        <v>8.36</v>
      </c>
      <c r="AP94">
        <v>6.84</v>
      </c>
      <c r="AQ94">
        <v>6.74</v>
      </c>
      <c r="AR94">
        <v>7.82</v>
      </c>
      <c r="AS94">
        <v>6.84</v>
      </c>
    </row>
    <row r="95" spans="1:45" x14ac:dyDescent="0.25">
      <c r="A95" t="s">
        <v>19996</v>
      </c>
      <c r="B95">
        <v>637</v>
      </c>
      <c r="C95">
        <v>20079352</v>
      </c>
      <c r="D95">
        <v>2008913</v>
      </c>
      <c r="E95">
        <v>6583</v>
      </c>
      <c r="F95">
        <v>2015496</v>
      </c>
      <c r="G95">
        <v>0.1</v>
      </c>
      <c r="H95">
        <v>0</v>
      </c>
      <c r="I95">
        <v>0.1</v>
      </c>
      <c r="J95" t="s">
        <v>1784</v>
      </c>
      <c r="K95" t="s">
        <v>1784</v>
      </c>
      <c r="L95" t="s">
        <v>1784</v>
      </c>
      <c r="M95" t="s">
        <v>1784</v>
      </c>
      <c r="N95" t="s">
        <v>1784</v>
      </c>
      <c r="O95" t="s">
        <v>1784</v>
      </c>
      <c r="P95">
        <v>1689464</v>
      </c>
      <c r="Q95">
        <v>6583</v>
      </c>
      <c r="R95">
        <v>1696047</v>
      </c>
      <c r="S95">
        <v>8.4000000000000005E-2</v>
      </c>
      <c r="T95">
        <v>0</v>
      </c>
      <c r="U95">
        <v>8.4000000000000005E-2</v>
      </c>
      <c r="V95">
        <v>18063856</v>
      </c>
      <c r="W95">
        <v>0.9</v>
      </c>
      <c r="X95">
        <v>252915</v>
      </c>
      <c r="Y95">
        <v>136941</v>
      </c>
      <c r="Z95">
        <v>389856</v>
      </c>
      <c r="AA95">
        <v>519748</v>
      </c>
      <c r="AB95">
        <v>138400</v>
      </c>
      <c r="AC95">
        <v>658148</v>
      </c>
      <c r="AD95">
        <v>17</v>
      </c>
      <c r="AE95">
        <v>0</v>
      </c>
      <c r="AF95">
        <v>17</v>
      </c>
      <c r="AG95">
        <v>186977</v>
      </c>
      <c r="AH95">
        <v>0</v>
      </c>
      <c r="AI95">
        <v>186977</v>
      </c>
      <c r="AJ95">
        <v>10</v>
      </c>
      <c r="AK95">
        <v>431217</v>
      </c>
      <c r="AL95">
        <v>10</v>
      </c>
      <c r="AM95">
        <v>202775</v>
      </c>
      <c r="AN95">
        <v>6.69</v>
      </c>
      <c r="AO95">
        <v>7.71</v>
      </c>
      <c r="AP95">
        <v>6.77</v>
      </c>
      <c r="AQ95">
        <v>6.73</v>
      </c>
      <c r="AR95">
        <v>7.71</v>
      </c>
      <c r="AS95">
        <v>6.82</v>
      </c>
    </row>
    <row r="96" spans="1:45" x14ac:dyDescent="0.25">
      <c r="A96" t="s">
        <v>19997</v>
      </c>
      <c r="B96">
        <v>627</v>
      </c>
      <c r="C96">
        <v>19648135</v>
      </c>
      <c r="D96">
        <v>1848111</v>
      </c>
      <c r="E96">
        <v>143524</v>
      </c>
      <c r="F96">
        <v>1991635</v>
      </c>
      <c r="G96">
        <v>9.4E-2</v>
      </c>
      <c r="H96">
        <v>7.0000000000000001E-3</v>
      </c>
      <c r="I96">
        <v>0.10100000000000001</v>
      </c>
      <c r="J96" t="s">
        <v>1784</v>
      </c>
      <c r="K96" t="s">
        <v>1784</v>
      </c>
      <c r="L96" t="s">
        <v>1784</v>
      </c>
      <c r="M96" t="s">
        <v>1784</v>
      </c>
      <c r="N96" t="s">
        <v>1784</v>
      </c>
      <c r="O96" t="s">
        <v>1784</v>
      </c>
      <c r="P96">
        <v>1522288</v>
      </c>
      <c r="Q96">
        <v>143524</v>
      </c>
      <c r="R96">
        <v>1665812</v>
      </c>
      <c r="S96">
        <v>7.6999999999999999E-2</v>
      </c>
      <c r="T96">
        <v>7.0000000000000001E-3</v>
      </c>
      <c r="U96">
        <v>8.5000000000000006E-2</v>
      </c>
      <c r="V96">
        <v>17656500</v>
      </c>
      <c r="W96">
        <v>0.89900000000000002</v>
      </c>
      <c r="X96">
        <v>-376049</v>
      </c>
      <c r="Y96">
        <v>27840</v>
      </c>
      <c r="Z96">
        <v>-348209</v>
      </c>
      <c r="AA96">
        <v>135928</v>
      </c>
      <c r="AB96">
        <v>30000</v>
      </c>
      <c r="AC96">
        <v>165928</v>
      </c>
      <c r="AD96">
        <v>27</v>
      </c>
      <c r="AE96">
        <v>0</v>
      </c>
      <c r="AF96">
        <v>27</v>
      </c>
      <c r="AG96">
        <v>199683</v>
      </c>
      <c r="AH96">
        <v>0</v>
      </c>
      <c r="AI96">
        <v>199683</v>
      </c>
      <c r="AJ96">
        <v>1</v>
      </c>
      <c r="AK96">
        <v>5600</v>
      </c>
      <c r="AL96">
        <v>16</v>
      </c>
      <c r="AM96">
        <v>542120</v>
      </c>
      <c r="AN96">
        <v>7.01</v>
      </c>
      <c r="AO96">
        <v>7.38</v>
      </c>
      <c r="AP96">
        <v>7.08</v>
      </c>
      <c r="AQ96">
        <v>7.04</v>
      </c>
      <c r="AR96">
        <v>7.02</v>
      </c>
      <c r="AS96">
        <v>7.04</v>
      </c>
    </row>
    <row r="97" spans="1:45" x14ac:dyDescent="0.25">
      <c r="A97" t="s">
        <v>19998</v>
      </c>
      <c r="B97">
        <v>627</v>
      </c>
      <c r="C97">
        <v>19709135</v>
      </c>
      <c r="D97">
        <v>1520362</v>
      </c>
      <c r="E97">
        <v>171364</v>
      </c>
      <c r="F97">
        <v>1691726</v>
      </c>
      <c r="G97">
        <v>7.6999999999999999E-2</v>
      </c>
      <c r="H97">
        <v>8.9999999999999993E-3</v>
      </c>
      <c r="I97">
        <v>8.5999999999999993E-2</v>
      </c>
      <c r="J97" t="s">
        <v>1784</v>
      </c>
      <c r="K97" t="s">
        <v>1784</v>
      </c>
      <c r="L97" t="s">
        <v>1784</v>
      </c>
      <c r="M97" t="s">
        <v>1784</v>
      </c>
      <c r="N97" t="s">
        <v>1784</v>
      </c>
      <c r="O97" t="s">
        <v>1784</v>
      </c>
      <c r="P97">
        <v>1181042</v>
      </c>
      <c r="Q97">
        <v>171364</v>
      </c>
      <c r="R97">
        <v>1352406</v>
      </c>
      <c r="S97">
        <v>0.06</v>
      </c>
      <c r="T97">
        <v>8.9999999999999993E-3</v>
      </c>
      <c r="U97">
        <v>6.9000000000000006E-2</v>
      </c>
      <c r="V97">
        <v>18017409</v>
      </c>
      <c r="W97">
        <v>0.91400000000000003</v>
      </c>
      <c r="X97">
        <v>-466015</v>
      </c>
      <c r="Y97">
        <v>-25964</v>
      </c>
      <c r="Z97">
        <v>-491979</v>
      </c>
      <c r="AA97">
        <v>383744</v>
      </c>
      <c r="AB97">
        <v>12480</v>
      </c>
      <c r="AC97">
        <v>396224</v>
      </c>
      <c r="AD97">
        <v>18</v>
      </c>
      <c r="AE97">
        <v>0</v>
      </c>
      <c r="AF97">
        <v>18</v>
      </c>
      <c r="AG97">
        <v>123837</v>
      </c>
      <c r="AH97">
        <v>0</v>
      </c>
      <c r="AI97">
        <v>123837</v>
      </c>
      <c r="AJ97">
        <v>5</v>
      </c>
      <c r="AK97">
        <v>180965</v>
      </c>
      <c r="AL97">
        <v>11</v>
      </c>
      <c r="AM97">
        <v>436817</v>
      </c>
      <c r="AN97">
        <v>7.43</v>
      </c>
      <c r="AO97">
        <v>7.8</v>
      </c>
      <c r="AP97">
        <v>7.49</v>
      </c>
      <c r="AQ97">
        <v>7.51</v>
      </c>
      <c r="AR97">
        <v>7.34</v>
      </c>
      <c r="AS97">
        <v>7.48</v>
      </c>
    </row>
    <row r="98" spans="1:45" x14ac:dyDescent="0.25">
      <c r="A98" t="s">
        <v>19999</v>
      </c>
      <c r="B98">
        <v>622</v>
      </c>
      <c r="C98">
        <v>19528170</v>
      </c>
      <c r="D98">
        <v>810282</v>
      </c>
      <c r="E98">
        <v>145400</v>
      </c>
      <c r="F98">
        <v>955682</v>
      </c>
      <c r="G98">
        <v>4.1000000000000002E-2</v>
      </c>
      <c r="H98">
        <v>7.0000000000000001E-3</v>
      </c>
      <c r="I98">
        <v>4.9000000000000002E-2</v>
      </c>
      <c r="J98" t="s">
        <v>1784</v>
      </c>
      <c r="K98" t="s">
        <v>1784</v>
      </c>
      <c r="L98" t="s">
        <v>1784</v>
      </c>
      <c r="M98" t="s">
        <v>1784</v>
      </c>
      <c r="N98" t="s">
        <v>1784</v>
      </c>
      <c r="O98" t="s">
        <v>1784</v>
      </c>
      <c r="P98">
        <v>605087</v>
      </c>
      <c r="Q98">
        <v>138400</v>
      </c>
      <c r="R98">
        <v>743487</v>
      </c>
      <c r="S98">
        <v>3.1E-2</v>
      </c>
      <c r="T98">
        <v>7.0000000000000001E-3</v>
      </c>
      <c r="U98">
        <v>3.7999999999999999E-2</v>
      </c>
      <c r="V98">
        <v>18572488</v>
      </c>
      <c r="W98">
        <v>0.95099999999999996</v>
      </c>
      <c r="X98">
        <v>541559</v>
      </c>
      <c r="Y98">
        <v>32361</v>
      </c>
      <c r="Z98">
        <v>573920</v>
      </c>
      <c r="AA98">
        <v>722353</v>
      </c>
      <c r="AB98">
        <v>32361</v>
      </c>
      <c r="AC98">
        <v>754714</v>
      </c>
      <c r="AD98">
        <v>33</v>
      </c>
      <c r="AE98">
        <v>3</v>
      </c>
      <c r="AF98">
        <v>36</v>
      </c>
      <c r="AG98">
        <v>116820</v>
      </c>
      <c r="AH98">
        <v>42822</v>
      </c>
      <c r="AI98">
        <v>159642</v>
      </c>
      <c r="AJ98">
        <v>3</v>
      </c>
      <c r="AK98">
        <v>559372</v>
      </c>
      <c r="AL98">
        <v>9</v>
      </c>
      <c r="AM98">
        <v>256330</v>
      </c>
      <c r="AN98">
        <v>5.45</v>
      </c>
      <c r="AO98">
        <v>7.34</v>
      </c>
      <c r="AP98">
        <v>5.87</v>
      </c>
      <c r="AQ98">
        <v>5.2</v>
      </c>
      <c r="AR98">
        <v>7.34</v>
      </c>
      <c r="AS98">
        <v>5.75</v>
      </c>
    </row>
    <row r="99" spans="1:45" x14ac:dyDescent="0.25">
      <c r="A99" t="s">
        <v>20000</v>
      </c>
      <c r="B99">
        <v>619</v>
      </c>
      <c r="C99">
        <v>18968798</v>
      </c>
      <c r="D99">
        <v>791969</v>
      </c>
      <c r="E99">
        <v>177761</v>
      </c>
      <c r="F99">
        <v>969730</v>
      </c>
      <c r="G99">
        <v>4.2000000000000003E-2</v>
      </c>
      <c r="H99">
        <v>8.9999999999999993E-3</v>
      </c>
      <c r="I99">
        <v>5.0999999999999997E-2</v>
      </c>
      <c r="J99" t="s">
        <v>1784</v>
      </c>
      <c r="K99" t="s">
        <v>1784</v>
      </c>
      <c r="L99" t="s">
        <v>1784</v>
      </c>
      <c r="M99" t="s">
        <v>1784</v>
      </c>
      <c r="N99" t="s">
        <v>1784</v>
      </c>
      <c r="O99" t="s">
        <v>1784</v>
      </c>
      <c r="P99">
        <v>546444</v>
      </c>
      <c r="Q99">
        <v>177761</v>
      </c>
      <c r="R99">
        <v>724205</v>
      </c>
      <c r="S99">
        <v>2.9000000000000001E-2</v>
      </c>
      <c r="T99">
        <v>8.9999999999999993E-3</v>
      </c>
      <c r="U99">
        <v>3.7999999999999999E-2</v>
      </c>
      <c r="V99">
        <v>17999068</v>
      </c>
      <c r="W99">
        <v>0.94899999999999995</v>
      </c>
      <c r="X99">
        <v>317387</v>
      </c>
      <c r="Y99">
        <v>-6602</v>
      </c>
      <c r="Z99">
        <v>310785</v>
      </c>
      <c r="AA99">
        <v>413471</v>
      </c>
      <c r="AB99">
        <v>12557</v>
      </c>
      <c r="AC99">
        <v>426028</v>
      </c>
      <c r="AD99">
        <v>24</v>
      </c>
      <c r="AE99">
        <v>0</v>
      </c>
      <c r="AF99">
        <v>24</v>
      </c>
      <c r="AG99">
        <v>155251</v>
      </c>
      <c r="AH99">
        <v>0</v>
      </c>
      <c r="AI99">
        <v>155251</v>
      </c>
      <c r="AJ99">
        <v>8</v>
      </c>
      <c r="AK99">
        <v>227398</v>
      </c>
      <c r="AL99">
        <v>8</v>
      </c>
      <c r="AM99">
        <v>726356</v>
      </c>
      <c r="AN99">
        <v>5.47</v>
      </c>
      <c r="AO99">
        <v>7.34</v>
      </c>
      <c r="AP99">
        <v>5.9</v>
      </c>
      <c r="AQ99">
        <v>5.31</v>
      </c>
      <c r="AR99">
        <v>7.34</v>
      </c>
      <c r="AS99">
        <v>5.84</v>
      </c>
    </row>
    <row r="100" spans="1:45" x14ac:dyDescent="0.25">
      <c r="A100" t="s">
        <v>20001</v>
      </c>
      <c r="B100">
        <v>611</v>
      </c>
      <c r="C100">
        <v>18741400</v>
      </c>
      <c r="D100">
        <v>878758</v>
      </c>
      <c r="E100">
        <v>171159</v>
      </c>
      <c r="F100">
        <v>1049917</v>
      </c>
      <c r="G100">
        <v>4.7E-2</v>
      </c>
      <c r="H100">
        <v>8.9999999999999993E-3</v>
      </c>
      <c r="I100">
        <v>5.6000000000000001E-2</v>
      </c>
      <c r="J100" t="s">
        <v>1784</v>
      </c>
      <c r="K100" t="s">
        <v>1784</v>
      </c>
      <c r="L100" t="s">
        <v>1784</v>
      </c>
      <c r="M100" t="s">
        <v>1784</v>
      </c>
      <c r="N100" t="s">
        <v>1784</v>
      </c>
      <c r="O100" t="s">
        <v>1784</v>
      </c>
      <c r="P100">
        <v>661723</v>
      </c>
      <c r="Q100">
        <v>171159</v>
      </c>
      <c r="R100">
        <v>832882</v>
      </c>
      <c r="S100">
        <v>3.5000000000000003E-2</v>
      </c>
      <c r="T100">
        <v>8.9999999999999993E-3</v>
      </c>
      <c r="U100">
        <v>4.3999999999999997E-2</v>
      </c>
      <c r="V100">
        <v>17691483</v>
      </c>
      <c r="W100">
        <v>0.94399999999999995</v>
      </c>
      <c r="X100">
        <v>-37623</v>
      </c>
      <c r="Y100">
        <v>-171159</v>
      </c>
      <c r="Z100">
        <v>-208782</v>
      </c>
      <c r="AA100">
        <v>155227</v>
      </c>
      <c r="AB100">
        <v>0</v>
      </c>
      <c r="AC100">
        <v>155227</v>
      </c>
      <c r="AD100">
        <v>9</v>
      </c>
      <c r="AE100">
        <v>0</v>
      </c>
      <c r="AF100">
        <v>9</v>
      </c>
      <c r="AG100">
        <v>57048</v>
      </c>
      <c r="AH100">
        <v>0</v>
      </c>
      <c r="AI100">
        <v>57048</v>
      </c>
      <c r="AJ100">
        <v>4</v>
      </c>
      <c r="AK100">
        <v>61905</v>
      </c>
      <c r="AL100">
        <v>13</v>
      </c>
      <c r="AM100">
        <v>885770</v>
      </c>
      <c r="AN100">
        <v>5.08</v>
      </c>
      <c r="AO100">
        <v>7.19</v>
      </c>
      <c r="AP100">
        <v>5.55</v>
      </c>
      <c r="AQ100">
        <v>4.91</v>
      </c>
      <c r="AR100">
        <v>7.19</v>
      </c>
      <c r="AS100">
        <v>5.49</v>
      </c>
    </row>
    <row r="101" spans="1:45" x14ac:dyDescent="0.25">
      <c r="A101" t="s">
        <v>20002</v>
      </c>
      <c r="B101">
        <v>607</v>
      </c>
      <c r="C101">
        <v>18679495</v>
      </c>
      <c r="D101">
        <v>761230</v>
      </c>
      <c r="E101">
        <v>0</v>
      </c>
      <c r="F101">
        <v>761230</v>
      </c>
      <c r="G101">
        <v>4.1000000000000002E-2</v>
      </c>
      <c r="H101">
        <v>0</v>
      </c>
      <c r="I101">
        <v>4.1000000000000002E-2</v>
      </c>
      <c r="J101" t="s">
        <v>1784</v>
      </c>
      <c r="K101" t="s">
        <v>1784</v>
      </c>
      <c r="L101" t="s">
        <v>1784</v>
      </c>
      <c r="M101" t="s">
        <v>1784</v>
      </c>
      <c r="N101" t="s">
        <v>1784</v>
      </c>
      <c r="O101" t="s">
        <v>1784</v>
      </c>
      <c r="P101">
        <v>568218</v>
      </c>
      <c r="Q101">
        <v>0</v>
      </c>
      <c r="R101">
        <v>568218</v>
      </c>
      <c r="S101">
        <v>0.03</v>
      </c>
      <c r="T101">
        <v>0</v>
      </c>
      <c r="U101">
        <v>0.03</v>
      </c>
      <c r="V101">
        <v>17918265</v>
      </c>
      <c r="W101">
        <v>0.95899999999999996</v>
      </c>
      <c r="X101">
        <v>-278606</v>
      </c>
      <c r="Y101">
        <v>0</v>
      </c>
      <c r="Z101">
        <v>-278606</v>
      </c>
      <c r="AA101">
        <v>104795</v>
      </c>
      <c r="AB101">
        <v>1660</v>
      </c>
      <c r="AC101">
        <v>106455</v>
      </c>
      <c r="AD101">
        <v>16</v>
      </c>
      <c r="AE101">
        <v>0</v>
      </c>
      <c r="AF101">
        <v>16</v>
      </c>
      <c r="AG101">
        <v>143113</v>
      </c>
      <c r="AH101">
        <v>0</v>
      </c>
      <c r="AI101">
        <v>143113</v>
      </c>
      <c r="AJ101">
        <v>2</v>
      </c>
      <c r="AK101">
        <v>16326</v>
      </c>
      <c r="AL101">
        <v>15</v>
      </c>
      <c r="AM101">
        <v>928194</v>
      </c>
      <c r="AN101">
        <v>4.95</v>
      </c>
      <c r="AO101">
        <v>6.16</v>
      </c>
      <c r="AP101">
        <v>5.0199999999999996</v>
      </c>
      <c r="AQ101">
        <v>4.8499999999999996</v>
      </c>
      <c r="AR101">
        <v>6.16</v>
      </c>
      <c r="AS101">
        <v>4.95</v>
      </c>
    </row>
    <row r="102" spans="1:45" x14ac:dyDescent="0.25">
      <c r="A102" t="s">
        <v>20003</v>
      </c>
      <c r="B102">
        <v>605</v>
      </c>
      <c r="C102">
        <v>18663169</v>
      </c>
      <c r="D102">
        <v>461598</v>
      </c>
      <c r="E102">
        <v>0</v>
      </c>
      <c r="F102">
        <v>461598</v>
      </c>
      <c r="G102">
        <v>2.5000000000000001E-2</v>
      </c>
      <c r="H102">
        <v>0</v>
      </c>
      <c r="I102">
        <v>2.5000000000000001E-2</v>
      </c>
      <c r="J102" t="s">
        <v>1784</v>
      </c>
      <c r="K102" t="s">
        <v>1784</v>
      </c>
      <c r="L102" t="s">
        <v>1784</v>
      </c>
      <c r="M102" t="s">
        <v>1784</v>
      </c>
      <c r="N102" t="s">
        <v>1784</v>
      </c>
      <c r="O102" t="s">
        <v>1784</v>
      </c>
      <c r="P102">
        <v>419698</v>
      </c>
      <c r="Q102">
        <v>0</v>
      </c>
      <c r="R102">
        <v>419698</v>
      </c>
      <c r="S102">
        <v>2.1999999999999999E-2</v>
      </c>
      <c r="T102">
        <v>0</v>
      </c>
      <c r="U102">
        <v>2.1999999999999999E-2</v>
      </c>
      <c r="V102">
        <v>18201571</v>
      </c>
      <c r="W102">
        <v>0.97499999999999998</v>
      </c>
      <c r="X102">
        <v>131071</v>
      </c>
      <c r="Y102">
        <v>0</v>
      </c>
      <c r="Z102">
        <v>131071</v>
      </c>
      <c r="AA102">
        <v>191873</v>
      </c>
      <c r="AB102">
        <v>0</v>
      </c>
      <c r="AC102">
        <v>191873</v>
      </c>
      <c r="AD102">
        <v>14</v>
      </c>
      <c r="AE102">
        <v>1</v>
      </c>
      <c r="AF102">
        <v>15</v>
      </c>
      <c r="AG102">
        <v>85979</v>
      </c>
      <c r="AH102">
        <v>1660</v>
      </c>
      <c r="AI102">
        <v>87639</v>
      </c>
      <c r="AJ102">
        <v>3</v>
      </c>
      <c r="AK102">
        <v>61678</v>
      </c>
      <c r="AL102">
        <v>9</v>
      </c>
      <c r="AM102">
        <v>717990</v>
      </c>
      <c r="AN102">
        <v>4.8899999999999997</v>
      </c>
      <c r="AO102" t="s">
        <v>1784</v>
      </c>
      <c r="AP102">
        <v>4.8899999999999997</v>
      </c>
      <c r="AQ102">
        <v>4.7</v>
      </c>
      <c r="AR102" t="s">
        <v>1784</v>
      </c>
      <c r="AS102">
        <v>4.7</v>
      </c>
    </row>
    <row r="103" spans="1:45" x14ac:dyDescent="0.25">
      <c r="A103" t="s">
        <v>20004</v>
      </c>
      <c r="B103">
        <v>602</v>
      </c>
      <c r="C103">
        <v>18601491</v>
      </c>
      <c r="D103">
        <v>531991</v>
      </c>
      <c r="E103">
        <v>0</v>
      </c>
      <c r="F103">
        <v>531991</v>
      </c>
      <c r="G103">
        <v>2.9000000000000001E-2</v>
      </c>
      <c r="H103">
        <v>0</v>
      </c>
      <c r="I103">
        <v>2.9000000000000001E-2</v>
      </c>
      <c r="J103" t="s">
        <v>1784</v>
      </c>
      <c r="K103" t="s">
        <v>1784</v>
      </c>
      <c r="L103" t="s">
        <v>1784</v>
      </c>
      <c r="M103" t="s">
        <v>1784</v>
      </c>
      <c r="N103" t="s">
        <v>1784</v>
      </c>
      <c r="O103" t="s">
        <v>1784</v>
      </c>
      <c r="P103">
        <v>473091</v>
      </c>
      <c r="Q103">
        <v>0</v>
      </c>
      <c r="R103">
        <v>473091</v>
      </c>
      <c r="S103">
        <v>2.5000000000000001E-2</v>
      </c>
      <c r="T103">
        <v>0</v>
      </c>
      <c r="U103">
        <v>2.5000000000000001E-2</v>
      </c>
      <c r="V103">
        <v>18069500</v>
      </c>
      <c r="W103">
        <v>0.97099999999999997</v>
      </c>
      <c r="X103">
        <v>400238</v>
      </c>
      <c r="Y103">
        <v>0</v>
      </c>
      <c r="Z103">
        <v>400238</v>
      </c>
      <c r="AA103">
        <v>500321</v>
      </c>
      <c r="AB103">
        <v>0</v>
      </c>
      <c r="AC103">
        <v>500321</v>
      </c>
      <c r="AD103">
        <v>16</v>
      </c>
      <c r="AE103">
        <v>0</v>
      </c>
      <c r="AF103">
        <v>16</v>
      </c>
      <c r="AG103">
        <v>58025</v>
      </c>
      <c r="AH103">
        <v>0</v>
      </c>
      <c r="AI103">
        <v>58025</v>
      </c>
      <c r="AJ103">
        <v>15</v>
      </c>
      <c r="AK103">
        <v>337936</v>
      </c>
      <c r="AL103">
        <v>7</v>
      </c>
      <c r="AM103">
        <v>177872</v>
      </c>
      <c r="AN103">
        <v>4.8600000000000003</v>
      </c>
      <c r="AO103" t="s">
        <v>1784</v>
      </c>
      <c r="AP103">
        <v>4.8600000000000003</v>
      </c>
      <c r="AQ103">
        <v>4.4800000000000004</v>
      </c>
      <c r="AR103" t="s">
        <v>1784</v>
      </c>
      <c r="AS103">
        <v>4.4800000000000004</v>
      </c>
    </row>
    <row r="104" spans="1:45" x14ac:dyDescent="0.25">
      <c r="A104" t="s">
        <v>20005</v>
      </c>
      <c r="B104">
        <v>587</v>
      </c>
      <c r="C104">
        <v>18263555</v>
      </c>
      <c r="D104">
        <v>596393</v>
      </c>
      <c r="E104">
        <v>0</v>
      </c>
      <c r="F104">
        <v>596393</v>
      </c>
      <c r="G104">
        <v>3.3000000000000002E-2</v>
      </c>
      <c r="H104">
        <v>0</v>
      </c>
      <c r="I104">
        <v>3.3000000000000002E-2</v>
      </c>
      <c r="J104" t="s">
        <v>1784</v>
      </c>
      <c r="K104" t="s">
        <v>1784</v>
      </c>
      <c r="L104" t="s">
        <v>1784</v>
      </c>
      <c r="M104" t="s">
        <v>1784</v>
      </c>
      <c r="N104" t="s">
        <v>1784</v>
      </c>
      <c r="O104" t="s">
        <v>1784</v>
      </c>
      <c r="P104">
        <v>531893</v>
      </c>
      <c r="Q104">
        <v>0</v>
      </c>
      <c r="R104">
        <v>531893</v>
      </c>
      <c r="S104">
        <v>2.9000000000000001E-2</v>
      </c>
      <c r="T104">
        <v>0</v>
      </c>
      <c r="U104">
        <v>2.9000000000000001E-2</v>
      </c>
      <c r="V104">
        <v>17667162</v>
      </c>
      <c r="W104">
        <v>0.96699999999999997</v>
      </c>
      <c r="X104">
        <v>861943</v>
      </c>
      <c r="Y104">
        <v>66000</v>
      </c>
      <c r="Z104">
        <v>927943</v>
      </c>
      <c r="AA104">
        <v>1137806</v>
      </c>
      <c r="AB104">
        <v>69050</v>
      </c>
      <c r="AC104">
        <v>1206856</v>
      </c>
      <c r="AD104">
        <v>33</v>
      </c>
      <c r="AE104">
        <v>2</v>
      </c>
      <c r="AF104">
        <v>35</v>
      </c>
      <c r="AG104">
        <v>283685</v>
      </c>
      <c r="AH104">
        <v>69650</v>
      </c>
      <c r="AI104">
        <v>353335</v>
      </c>
      <c r="AJ104">
        <v>1</v>
      </c>
      <c r="AK104">
        <v>13464</v>
      </c>
      <c r="AL104">
        <v>18</v>
      </c>
      <c r="AM104">
        <v>399614</v>
      </c>
      <c r="AN104">
        <v>5.49</v>
      </c>
      <c r="AO104" t="s">
        <v>1784</v>
      </c>
      <c r="AP104">
        <v>5.49</v>
      </c>
      <c r="AQ104">
        <v>4.55</v>
      </c>
      <c r="AR104" t="s">
        <v>1784</v>
      </c>
      <c r="AS104">
        <v>4.55</v>
      </c>
    </row>
    <row r="105" spans="1:45" x14ac:dyDescent="0.25">
      <c r="A105" t="s">
        <v>20006</v>
      </c>
      <c r="B105">
        <v>586</v>
      </c>
      <c r="C105">
        <v>18250091</v>
      </c>
      <c r="D105">
        <v>1446672</v>
      </c>
      <c r="E105">
        <v>66000</v>
      </c>
      <c r="F105">
        <v>1512672</v>
      </c>
      <c r="G105">
        <v>7.9000000000000001E-2</v>
      </c>
      <c r="H105">
        <v>4.0000000000000001E-3</v>
      </c>
      <c r="I105">
        <v>8.3000000000000004E-2</v>
      </c>
      <c r="J105" t="s">
        <v>1784</v>
      </c>
      <c r="K105" t="s">
        <v>1784</v>
      </c>
      <c r="L105" t="s">
        <v>1784</v>
      </c>
      <c r="M105" t="s">
        <v>1784</v>
      </c>
      <c r="N105" t="s">
        <v>1784</v>
      </c>
      <c r="O105" t="s">
        <v>1784</v>
      </c>
      <c r="P105">
        <v>1375622</v>
      </c>
      <c r="Q105">
        <v>66000</v>
      </c>
      <c r="R105">
        <v>1441622</v>
      </c>
      <c r="S105">
        <v>7.4999999999999997E-2</v>
      </c>
      <c r="T105">
        <v>4.0000000000000001E-3</v>
      </c>
      <c r="U105">
        <v>7.9000000000000001E-2</v>
      </c>
      <c r="V105">
        <v>16737419</v>
      </c>
      <c r="W105">
        <v>0.91700000000000004</v>
      </c>
      <c r="X105" t="s">
        <v>1784</v>
      </c>
      <c r="Y105" t="s">
        <v>1784</v>
      </c>
      <c r="Z105" t="s">
        <v>1784</v>
      </c>
      <c r="AA105" t="s">
        <v>1784</v>
      </c>
      <c r="AB105" t="s">
        <v>1784</v>
      </c>
      <c r="AC105" t="s">
        <v>1784</v>
      </c>
      <c r="AD105">
        <v>15</v>
      </c>
      <c r="AE105">
        <v>0</v>
      </c>
      <c r="AF105">
        <v>15</v>
      </c>
      <c r="AG105">
        <v>1352841</v>
      </c>
      <c r="AH105">
        <v>0</v>
      </c>
      <c r="AI105">
        <v>1352841</v>
      </c>
      <c r="AJ105">
        <v>0</v>
      </c>
      <c r="AK105">
        <v>0</v>
      </c>
      <c r="AL105">
        <v>16</v>
      </c>
      <c r="AM105">
        <v>351400</v>
      </c>
      <c r="AN105">
        <v>4.37</v>
      </c>
      <c r="AO105">
        <v>6</v>
      </c>
      <c r="AP105">
        <v>4.3899999999999997</v>
      </c>
      <c r="AQ105">
        <v>4.2699999999999996</v>
      </c>
      <c r="AR105">
        <v>6</v>
      </c>
      <c r="AS105">
        <v>4.29</v>
      </c>
    </row>
    <row r="106" spans="1:45" x14ac:dyDescent="0.25">
      <c r="A106" t="s">
        <v>20007</v>
      </c>
      <c r="B106" t="s">
        <v>1784</v>
      </c>
      <c r="C106" t="s">
        <v>1784</v>
      </c>
      <c r="D106" t="s">
        <v>1784</v>
      </c>
      <c r="E106" t="s">
        <v>1784</v>
      </c>
      <c r="F106" t="s">
        <v>1784</v>
      </c>
      <c r="G106" t="s">
        <v>1784</v>
      </c>
      <c r="H106" t="s">
        <v>1784</v>
      </c>
      <c r="I106" t="s">
        <v>1784</v>
      </c>
      <c r="J106" t="s">
        <v>1784</v>
      </c>
      <c r="K106" t="s">
        <v>1784</v>
      </c>
      <c r="L106" t="s">
        <v>1784</v>
      </c>
      <c r="M106" t="s">
        <v>1784</v>
      </c>
      <c r="N106" t="s">
        <v>1784</v>
      </c>
      <c r="O106" t="s">
        <v>1784</v>
      </c>
      <c r="P106" t="s">
        <v>1784</v>
      </c>
      <c r="Q106" t="s">
        <v>1784</v>
      </c>
      <c r="R106" t="s">
        <v>1784</v>
      </c>
      <c r="S106" t="s">
        <v>1784</v>
      </c>
      <c r="T106" t="s">
        <v>1784</v>
      </c>
      <c r="U106" t="s">
        <v>1784</v>
      </c>
      <c r="V106" t="s">
        <v>1784</v>
      </c>
      <c r="W106" t="s">
        <v>1784</v>
      </c>
      <c r="X106" t="s">
        <v>1784</v>
      </c>
      <c r="Y106" t="s">
        <v>1784</v>
      </c>
      <c r="Z106" t="s">
        <v>1784</v>
      </c>
      <c r="AA106" t="s">
        <v>1784</v>
      </c>
      <c r="AB106" t="s">
        <v>1784</v>
      </c>
      <c r="AC106" t="s">
        <v>1784</v>
      </c>
      <c r="AD106" t="s">
        <v>1784</v>
      </c>
      <c r="AE106" t="s">
        <v>1784</v>
      </c>
      <c r="AF106" t="s">
        <v>1784</v>
      </c>
      <c r="AG106" t="s">
        <v>1784</v>
      </c>
      <c r="AH106" t="s">
        <v>1784</v>
      </c>
      <c r="AI106" t="s">
        <v>1784</v>
      </c>
      <c r="AJ106" t="s">
        <v>1784</v>
      </c>
      <c r="AK106" t="s">
        <v>1784</v>
      </c>
      <c r="AL106" t="s">
        <v>1784</v>
      </c>
      <c r="AM106" t="s">
        <v>1784</v>
      </c>
      <c r="AN106" t="s">
        <v>1784</v>
      </c>
      <c r="AO106" t="s">
        <v>1784</v>
      </c>
      <c r="AP106" t="s">
        <v>1784</v>
      </c>
      <c r="AQ106" t="s">
        <v>1784</v>
      </c>
      <c r="AR106" t="s">
        <v>1784</v>
      </c>
      <c r="AS106" t="s">
        <v>1784</v>
      </c>
    </row>
    <row r="107" spans="1:45" x14ac:dyDescent="0.25">
      <c r="A107" t="s">
        <v>20008</v>
      </c>
      <c r="B107" t="s">
        <v>1784</v>
      </c>
      <c r="C107" t="s">
        <v>1784</v>
      </c>
      <c r="D107" t="s">
        <v>1784</v>
      </c>
      <c r="E107" t="s">
        <v>1784</v>
      </c>
      <c r="F107" t="s">
        <v>1784</v>
      </c>
      <c r="G107" t="s">
        <v>1784</v>
      </c>
      <c r="H107" t="s">
        <v>1784</v>
      </c>
      <c r="I107" t="s">
        <v>1784</v>
      </c>
      <c r="J107" t="s">
        <v>1784</v>
      </c>
      <c r="K107" t="s">
        <v>1784</v>
      </c>
      <c r="L107" t="s">
        <v>1784</v>
      </c>
      <c r="M107" t="s">
        <v>1784</v>
      </c>
      <c r="N107" t="s">
        <v>1784</v>
      </c>
      <c r="O107" t="s">
        <v>1784</v>
      </c>
      <c r="P107" t="s">
        <v>1784</v>
      </c>
      <c r="Q107" t="s">
        <v>1784</v>
      </c>
      <c r="R107" t="s">
        <v>1784</v>
      </c>
      <c r="S107" t="s">
        <v>1784</v>
      </c>
      <c r="T107" t="s">
        <v>1784</v>
      </c>
      <c r="U107" t="s">
        <v>1784</v>
      </c>
      <c r="V107" t="s">
        <v>1784</v>
      </c>
      <c r="W107" t="s">
        <v>1784</v>
      </c>
      <c r="X107">
        <v>0</v>
      </c>
      <c r="Y107">
        <v>0</v>
      </c>
      <c r="Z107">
        <v>0</v>
      </c>
      <c r="AA107" t="s">
        <v>1784</v>
      </c>
      <c r="AB107" t="s">
        <v>1784</v>
      </c>
      <c r="AC107" t="s">
        <v>1784</v>
      </c>
      <c r="AD107" t="s">
        <v>1784</v>
      </c>
      <c r="AE107" t="s">
        <v>1784</v>
      </c>
      <c r="AF107" t="s">
        <v>1784</v>
      </c>
      <c r="AG107" t="s">
        <v>1784</v>
      </c>
      <c r="AH107" t="s">
        <v>1784</v>
      </c>
      <c r="AI107" t="s">
        <v>1784</v>
      </c>
      <c r="AJ107" t="s">
        <v>1784</v>
      </c>
      <c r="AK107" t="s">
        <v>1784</v>
      </c>
      <c r="AL107" t="s">
        <v>1784</v>
      </c>
      <c r="AM107" t="s">
        <v>1784</v>
      </c>
      <c r="AN107" t="s">
        <v>1784</v>
      </c>
      <c r="AO107" t="s">
        <v>1784</v>
      </c>
      <c r="AP107" t="s">
        <v>1784</v>
      </c>
      <c r="AQ107" t="s">
        <v>1784</v>
      </c>
      <c r="AR107" t="s">
        <v>1784</v>
      </c>
      <c r="AS107" t="s">
        <v>1784</v>
      </c>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15"/>
  <dimension ref="A1"/>
  <sheetViews>
    <sheetView workbookViewId="0">
      <selection activeCell="A2" sqref="A2:AS107"/>
    </sheetView>
  </sheetViews>
  <sheetFormatPr defaultRowHeight="14.25" x14ac:dyDescent="0.25"/>
  <cols>
    <col min="2" max="2" width="9" bestFit="1" customWidth="1"/>
    <col min="3" max="3" width="10.140625" bestFit="1" customWidth="1"/>
    <col min="4" max="30" width="9" bestFit="1" customWidth="1"/>
    <col min="31" max="36" width="9.28515625" bestFit="1" customWidth="1"/>
  </cols>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34"/>
  <dimension ref="A4:V10"/>
  <sheetViews>
    <sheetView workbookViewId="0">
      <selection activeCell="B1" sqref="B1:V17"/>
    </sheetView>
  </sheetViews>
  <sheetFormatPr defaultRowHeight="14.25" x14ac:dyDescent="0.25"/>
  <cols>
    <col min="2" max="2" width="27.7109375" customWidth="1"/>
    <col min="3" max="3" width="8.7109375" customWidth="1"/>
    <col min="4" max="5" width="12.7109375" customWidth="1"/>
    <col min="6" max="6" width="5.7109375" customWidth="1"/>
    <col min="7" max="7" width="7.7109375" customWidth="1"/>
    <col min="8" max="13" width="12.7109375" customWidth="1"/>
    <col min="258" max="258" width="27.7109375" customWidth="1"/>
    <col min="259" max="259" width="8.7109375" customWidth="1"/>
    <col min="260" max="261" width="12.7109375" customWidth="1"/>
    <col min="262" max="262" width="5.7109375" customWidth="1"/>
    <col min="263" max="263" width="7.7109375" customWidth="1"/>
    <col min="264" max="269" width="12.7109375" customWidth="1"/>
    <col min="514" max="514" width="27.7109375" customWidth="1"/>
    <col min="515" max="515" width="8.7109375" customWidth="1"/>
    <col min="516" max="517" width="12.7109375" customWidth="1"/>
    <col min="518" max="518" width="5.7109375" customWidth="1"/>
    <col min="519" max="519" width="7.7109375" customWidth="1"/>
    <col min="520" max="525" width="12.7109375" customWidth="1"/>
    <col min="770" max="770" width="27.7109375" customWidth="1"/>
    <col min="771" max="771" width="8.7109375" customWidth="1"/>
    <col min="772" max="773" width="12.7109375" customWidth="1"/>
    <col min="774" max="774" width="5.7109375" customWidth="1"/>
    <col min="775" max="775" width="7.7109375" customWidth="1"/>
    <col min="776" max="781" width="12.7109375" customWidth="1"/>
    <col min="1026" max="1026" width="27.7109375" customWidth="1"/>
    <col min="1027" max="1027" width="8.7109375" customWidth="1"/>
    <col min="1028" max="1029" width="12.7109375" customWidth="1"/>
    <col min="1030" max="1030" width="5.7109375" customWidth="1"/>
    <col min="1031" max="1031" width="7.7109375" customWidth="1"/>
    <col min="1032" max="1037" width="12.7109375" customWidth="1"/>
    <col min="1282" max="1282" width="27.7109375" customWidth="1"/>
    <col min="1283" max="1283" width="8.7109375" customWidth="1"/>
    <col min="1284" max="1285" width="12.7109375" customWidth="1"/>
    <col min="1286" max="1286" width="5.7109375" customWidth="1"/>
    <col min="1287" max="1287" width="7.7109375" customWidth="1"/>
    <col min="1288" max="1293" width="12.7109375" customWidth="1"/>
    <col min="1538" max="1538" width="27.7109375" customWidth="1"/>
    <col min="1539" max="1539" width="8.7109375" customWidth="1"/>
    <col min="1540" max="1541" width="12.7109375" customWidth="1"/>
    <col min="1542" max="1542" width="5.7109375" customWidth="1"/>
    <col min="1543" max="1543" width="7.7109375" customWidth="1"/>
    <col min="1544" max="1549" width="12.7109375" customWidth="1"/>
    <col min="1794" max="1794" width="27.7109375" customWidth="1"/>
    <col min="1795" max="1795" width="8.7109375" customWidth="1"/>
    <col min="1796" max="1797" width="12.7109375" customWidth="1"/>
    <col min="1798" max="1798" width="5.7109375" customWidth="1"/>
    <col min="1799" max="1799" width="7.7109375" customWidth="1"/>
    <col min="1800" max="1805" width="12.7109375" customWidth="1"/>
    <col min="2050" max="2050" width="27.7109375" customWidth="1"/>
    <col min="2051" max="2051" width="8.7109375" customWidth="1"/>
    <col min="2052" max="2053" width="12.7109375" customWidth="1"/>
    <col min="2054" max="2054" width="5.7109375" customWidth="1"/>
    <col min="2055" max="2055" width="7.7109375" customWidth="1"/>
    <col min="2056" max="2061" width="12.7109375" customWidth="1"/>
    <col min="2306" max="2306" width="27.7109375" customWidth="1"/>
    <col min="2307" max="2307" width="8.7109375" customWidth="1"/>
    <col min="2308" max="2309" width="12.7109375" customWidth="1"/>
    <col min="2310" max="2310" width="5.7109375" customWidth="1"/>
    <col min="2311" max="2311" width="7.7109375" customWidth="1"/>
    <col min="2312" max="2317" width="12.7109375" customWidth="1"/>
    <col min="2562" max="2562" width="27.7109375" customWidth="1"/>
    <col min="2563" max="2563" width="8.7109375" customWidth="1"/>
    <col min="2564" max="2565" width="12.7109375" customWidth="1"/>
    <col min="2566" max="2566" width="5.7109375" customWidth="1"/>
    <col min="2567" max="2567" width="7.7109375" customWidth="1"/>
    <col min="2568" max="2573" width="12.7109375" customWidth="1"/>
    <col min="2818" max="2818" width="27.7109375" customWidth="1"/>
    <col min="2819" max="2819" width="8.7109375" customWidth="1"/>
    <col min="2820" max="2821" width="12.7109375" customWidth="1"/>
    <col min="2822" max="2822" width="5.7109375" customWidth="1"/>
    <col min="2823" max="2823" width="7.7109375" customWidth="1"/>
    <col min="2824" max="2829" width="12.7109375" customWidth="1"/>
    <col min="3074" max="3074" width="27.7109375" customWidth="1"/>
    <col min="3075" max="3075" width="8.7109375" customWidth="1"/>
    <col min="3076" max="3077" width="12.7109375" customWidth="1"/>
    <col min="3078" max="3078" width="5.7109375" customWidth="1"/>
    <col min="3079" max="3079" width="7.7109375" customWidth="1"/>
    <col min="3080" max="3085" width="12.7109375" customWidth="1"/>
    <col min="3330" max="3330" width="27.7109375" customWidth="1"/>
    <col min="3331" max="3331" width="8.7109375" customWidth="1"/>
    <col min="3332" max="3333" width="12.7109375" customWidth="1"/>
    <col min="3334" max="3334" width="5.7109375" customWidth="1"/>
    <col min="3335" max="3335" width="7.7109375" customWidth="1"/>
    <col min="3336" max="3341" width="12.7109375" customWidth="1"/>
    <col min="3586" max="3586" width="27.7109375" customWidth="1"/>
    <col min="3587" max="3587" width="8.7109375" customWidth="1"/>
    <col min="3588" max="3589" width="12.7109375" customWidth="1"/>
    <col min="3590" max="3590" width="5.7109375" customWidth="1"/>
    <col min="3591" max="3591" width="7.7109375" customWidth="1"/>
    <col min="3592" max="3597" width="12.7109375" customWidth="1"/>
    <col min="3842" max="3842" width="27.7109375" customWidth="1"/>
    <col min="3843" max="3843" width="8.7109375" customWidth="1"/>
    <col min="3844" max="3845" width="12.7109375" customWidth="1"/>
    <col min="3846" max="3846" width="5.7109375" customWidth="1"/>
    <col min="3847" max="3847" width="7.7109375" customWidth="1"/>
    <col min="3848" max="3853" width="12.7109375" customWidth="1"/>
    <col min="4098" max="4098" width="27.7109375" customWidth="1"/>
    <col min="4099" max="4099" width="8.7109375" customWidth="1"/>
    <col min="4100" max="4101" width="12.7109375" customWidth="1"/>
    <col min="4102" max="4102" width="5.7109375" customWidth="1"/>
    <col min="4103" max="4103" width="7.7109375" customWidth="1"/>
    <col min="4104" max="4109" width="12.7109375" customWidth="1"/>
    <col min="4354" max="4354" width="27.7109375" customWidth="1"/>
    <col min="4355" max="4355" width="8.7109375" customWidth="1"/>
    <col min="4356" max="4357" width="12.7109375" customWidth="1"/>
    <col min="4358" max="4358" width="5.7109375" customWidth="1"/>
    <col min="4359" max="4359" width="7.7109375" customWidth="1"/>
    <col min="4360" max="4365" width="12.7109375" customWidth="1"/>
    <col min="4610" max="4610" width="27.7109375" customWidth="1"/>
    <col min="4611" max="4611" width="8.7109375" customWidth="1"/>
    <col min="4612" max="4613" width="12.7109375" customWidth="1"/>
    <col min="4614" max="4614" width="5.7109375" customWidth="1"/>
    <col min="4615" max="4615" width="7.7109375" customWidth="1"/>
    <col min="4616" max="4621" width="12.7109375" customWidth="1"/>
    <col min="4866" max="4866" width="27.7109375" customWidth="1"/>
    <col min="4867" max="4867" width="8.7109375" customWidth="1"/>
    <col min="4868" max="4869" width="12.7109375" customWidth="1"/>
    <col min="4870" max="4870" width="5.7109375" customWidth="1"/>
    <col min="4871" max="4871" width="7.7109375" customWidth="1"/>
    <col min="4872" max="4877" width="12.7109375" customWidth="1"/>
    <col min="5122" max="5122" width="27.7109375" customWidth="1"/>
    <col min="5123" max="5123" width="8.7109375" customWidth="1"/>
    <col min="5124" max="5125" width="12.7109375" customWidth="1"/>
    <col min="5126" max="5126" width="5.7109375" customWidth="1"/>
    <col min="5127" max="5127" width="7.7109375" customWidth="1"/>
    <col min="5128" max="5133" width="12.7109375" customWidth="1"/>
    <col min="5378" max="5378" width="27.7109375" customWidth="1"/>
    <col min="5379" max="5379" width="8.7109375" customWidth="1"/>
    <col min="5380" max="5381" width="12.7109375" customWidth="1"/>
    <col min="5382" max="5382" width="5.7109375" customWidth="1"/>
    <col min="5383" max="5383" width="7.7109375" customWidth="1"/>
    <col min="5384" max="5389" width="12.7109375" customWidth="1"/>
    <col min="5634" max="5634" width="27.7109375" customWidth="1"/>
    <col min="5635" max="5635" width="8.7109375" customWidth="1"/>
    <col min="5636" max="5637" width="12.7109375" customWidth="1"/>
    <col min="5638" max="5638" width="5.7109375" customWidth="1"/>
    <col min="5639" max="5639" width="7.7109375" customWidth="1"/>
    <col min="5640" max="5645" width="12.7109375" customWidth="1"/>
    <col min="5890" max="5890" width="27.7109375" customWidth="1"/>
    <col min="5891" max="5891" width="8.7109375" customWidth="1"/>
    <col min="5892" max="5893" width="12.7109375" customWidth="1"/>
    <col min="5894" max="5894" width="5.7109375" customWidth="1"/>
    <col min="5895" max="5895" width="7.7109375" customWidth="1"/>
    <col min="5896" max="5901" width="12.7109375" customWidth="1"/>
    <col min="6146" max="6146" width="27.7109375" customWidth="1"/>
    <col min="6147" max="6147" width="8.7109375" customWidth="1"/>
    <col min="6148" max="6149" width="12.7109375" customWidth="1"/>
    <col min="6150" max="6150" width="5.7109375" customWidth="1"/>
    <col min="6151" max="6151" width="7.7109375" customWidth="1"/>
    <col min="6152" max="6157" width="12.7109375" customWidth="1"/>
    <col min="6402" max="6402" width="27.7109375" customWidth="1"/>
    <col min="6403" max="6403" width="8.7109375" customWidth="1"/>
    <col min="6404" max="6405" width="12.7109375" customWidth="1"/>
    <col min="6406" max="6406" width="5.7109375" customWidth="1"/>
    <col min="6407" max="6407" width="7.7109375" customWidth="1"/>
    <col min="6408" max="6413" width="12.7109375" customWidth="1"/>
    <col min="6658" max="6658" width="27.7109375" customWidth="1"/>
    <col min="6659" max="6659" width="8.7109375" customWidth="1"/>
    <col min="6660" max="6661" width="12.7109375" customWidth="1"/>
    <col min="6662" max="6662" width="5.7109375" customWidth="1"/>
    <col min="6663" max="6663" width="7.7109375" customWidth="1"/>
    <col min="6664" max="6669" width="12.7109375" customWidth="1"/>
    <col min="6914" max="6914" width="27.7109375" customWidth="1"/>
    <col min="6915" max="6915" width="8.7109375" customWidth="1"/>
    <col min="6916" max="6917" width="12.7109375" customWidth="1"/>
    <col min="6918" max="6918" width="5.7109375" customWidth="1"/>
    <col min="6919" max="6919" width="7.7109375" customWidth="1"/>
    <col min="6920" max="6925" width="12.7109375" customWidth="1"/>
    <col min="7170" max="7170" width="27.7109375" customWidth="1"/>
    <col min="7171" max="7171" width="8.7109375" customWidth="1"/>
    <col min="7172" max="7173" width="12.7109375" customWidth="1"/>
    <col min="7174" max="7174" width="5.7109375" customWidth="1"/>
    <col min="7175" max="7175" width="7.7109375" customWidth="1"/>
    <col min="7176" max="7181" width="12.7109375" customWidth="1"/>
    <col min="7426" max="7426" width="27.7109375" customWidth="1"/>
    <col min="7427" max="7427" width="8.7109375" customWidth="1"/>
    <col min="7428" max="7429" width="12.7109375" customWidth="1"/>
    <col min="7430" max="7430" width="5.7109375" customWidth="1"/>
    <col min="7431" max="7431" width="7.7109375" customWidth="1"/>
    <col min="7432" max="7437" width="12.7109375" customWidth="1"/>
    <col min="7682" max="7682" width="27.7109375" customWidth="1"/>
    <col min="7683" max="7683" width="8.7109375" customWidth="1"/>
    <col min="7684" max="7685" width="12.7109375" customWidth="1"/>
    <col min="7686" max="7686" width="5.7109375" customWidth="1"/>
    <col min="7687" max="7687" width="7.7109375" customWidth="1"/>
    <col min="7688" max="7693" width="12.7109375" customWidth="1"/>
    <col min="7938" max="7938" width="27.7109375" customWidth="1"/>
    <col min="7939" max="7939" width="8.7109375" customWidth="1"/>
    <col min="7940" max="7941" width="12.7109375" customWidth="1"/>
    <col min="7942" max="7942" width="5.7109375" customWidth="1"/>
    <col min="7943" max="7943" width="7.7109375" customWidth="1"/>
    <col min="7944" max="7949" width="12.7109375" customWidth="1"/>
    <col min="8194" max="8194" width="27.7109375" customWidth="1"/>
    <col min="8195" max="8195" width="8.7109375" customWidth="1"/>
    <col min="8196" max="8197" width="12.7109375" customWidth="1"/>
    <col min="8198" max="8198" width="5.7109375" customWidth="1"/>
    <col min="8199" max="8199" width="7.7109375" customWidth="1"/>
    <col min="8200" max="8205" width="12.7109375" customWidth="1"/>
    <col min="8450" max="8450" width="27.7109375" customWidth="1"/>
    <col min="8451" max="8451" width="8.7109375" customWidth="1"/>
    <col min="8452" max="8453" width="12.7109375" customWidth="1"/>
    <col min="8454" max="8454" width="5.7109375" customWidth="1"/>
    <col min="8455" max="8455" width="7.7109375" customWidth="1"/>
    <col min="8456" max="8461" width="12.7109375" customWidth="1"/>
    <col min="8706" max="8706" width="27.7109375" customWidth="1"/>
    <col min="8707" max="8707" width="8.7109375" customWidth="1"/>
    <col min="8708" max="8709" width="12.7109375" customWidth="1"/>
    <col min="8710" max="8710" width="5.7109375" customWidth="1"/>
    <col min="8711" max="8711" width="7.7109375" customWidth="1"/>
    <col min="8712" max="8717" width="12.7109375" customWidth="1"/>
    <col min="8962" max="8962" width="27.7109375" customWidth="1"/>
    <col min="8963" max="8963" width="8.7109375" customWidth="1"/>
    <col min="8964" max="8965" width="12.7109375" customWidth="1"/>
    <col min="8966" max="8966" width="5.7109375" customWidth="1"/>
    <col min="8967" max="8967" width="7.7109375" customWidth="1"/>
    <col min="8968" max="8973" width="12.7109375" customWidth="1"/>
    <col min="9218" max="9218" width="27.7109375" customWidth="1"/>
    <col min="9219" max="9219" width="8.7109375" customWidth="1"/>
    <col min="9220" max="9221" width="12.7109375" customWidth="1"/>
    <col min="9222" max="9222" width="5.7109375" customWidth="1"/>
    <col min="9223" max="9223" width="7.7109375" customWidth="1"/>
    <col min="9224" max="9229" width="12.7109375" customWidth="1"/>
    <col min="9474" max="9474" width="27.7109375" customWidth="1"/>
    <col min="9475" max="9475" width="8.7109375" customWidth="1"/>
    <col min="9476" max="9477" width="12.7109375" customWidth="1"/>
    <col min="9478" max="9478" width="5.7109375" customWidth="1"/>
    <col min="9479" max="9479" width="7.7109375" customWidth="1"/>
    <col min="9480" max="9485" width="12.7109375" customWidth="1"/>
    <col min="9730" max="9730" width="27.7109375" customWidth="1"/>
    <col min="9731" max="9731" width="8.7109375" customWidth="1"/>
    <col min="9732" max="9733" width="12.7109375" customWidth="1"/>
    <col min="9734" max="9734" width="5.7109375" customWidth="1"/>
    <col min="9735" max="9735" width="7.7109375" customWidth="1"/>
    <col min="9736" max="9741" width="12.7109375" customWidth="1"/>
    <col min="9986" max="9986" width="27.7109375" customWidth="1"/>
    <col min="9987" max="9987" width="8.7109375" customWidth="1"/>
    <col min="9988" max="9989" width="12.7109375" customWidth="1"/>
    <col min="9990" max="9990" width="5.7109375" customWidth="1"/>
    <col min="9991" max="9991" width="7.7109375" customWidth="1"/>
    <col min="9992" max="9997" width="12.7109375" customWidth="1"/>
    <col min="10242" max="10242" width="27.7109375" customWidth="1"/>
    <col min="10243" max="10243" width="8.7109375" customWidth="1"/>
    <col min="10244" max="10245" width="12.7109375" customWidth="1"/>
    <col min="10246" max="10246" width="5.7109375" customWidth="1"/>
    <col min="10247" max="10247" width="7.7109375" customWidth="1"/>
    <col min="10248" max="10253" width="12.7109375" customWidth="1"/>
    <col min="10498" max="10498" width="27.7109375" customWidth="1"/>
    <col min="10499" max="10499" width="8.7109375" customWidth="1"/>
    <col min="10500" max="10501" width="12.7109375" customWidth="1"/>
    <col min="10502" max="10502" width="5.7109375" customWidth="1"/>
    <col min="10503" max="10503" width="7.7109375" customWidth="1"/>
    <col min="10504" max="10509" width="12.7109375" customWidth="1"/>
    <col min="10754" max="10754" width="27.7109375" customWidth="1"/>
    <col min="10755" max="10755" width="8.7109375" customWidth="1"/>
    <col min="10756" max="10757" width="12.7109375" customWidth="1"/>
    <col min="10758" max="10758" width="5.7109375" customWidth="1"/>
    <col min="10759" max="10759" width="7.7109375" customWidth="1"/>
    <col min="10760" max="10765" width="12.7109375" customWidth="1"/>
    <col min="11010" max="11010" width="27.7109375" customWidth="1"/>
    <col min="11011" max="11011" width="8.7109375" customWidth="1"/>
    <col min="11012" max="11013" width="12.7109375" customWidth="1"/>
    <col min="11014" max="11014" width="5.7109375" customWidth="1"/>
    <col min="11015" max="11015" width="7.7109375" customWidth="1"/>
    <col min="11016" max="11021" width="12.7109375" customWidth="1"/>
    <col min="11266" max="11266" width="27.7109375" customWidth="1"/>
    <col min="11267" max="11267" width="8.7109375" customWidth="1"/>
    <col min="11268" max="11269" width="12.7109375" customWidth="1"/>
    <col min="11270" max="11270" width="5.7109375" customWidth="1"/>
    <col min="11271" max="11271" width="7.7109375" customWidth="1"/>
    <col min="11272" max="11277" width="12.7109375" customWidth="1"/>
    <col min="11522" max="11522" width="27.7109375" customWidth="1"/>
    <col min="11523" max="11523" width="8.7109375" customWidth="1"/>
    <col min="11524" max="11525" width="12.7109375" customWidth="1"/>
    <col min="11526" max="11526" width="5.7109375" customWidth="1"/>
    <col min="11527" max="11527" width="7.7109375" customWidth="1"/>
    <col min="11528" max="11533" width="12.7109375" customWidth="1"/>
    <col min="11778" max="11778" width="27.7109375" customWidth="1"/>
    <col min="11779" max="11779" width="8.7109375" customWidth="1"/>
    <col min="11780" max="11781" width="12.7109375" customWidth="1"/>
    <col min="11782" max="11782" width="5.7109375" customWidth="1"/>
    <col min="11783" max="11783" width="7.7109375" customWidth="1"/>
    <col min="11784" max="11789" width="12.7109375" customWidth="1"/>
    <col min="12034" max="12034" width="27.7109375" customWidth="1"/>
    <col min="12035" max="12035" width="8.7109375" customWidth="1"/>
    <col min="12036" max="12037" width="12.7109375" customWidth="1"/>
    <col min="12038" max="12038" width="5.7109375" customWidth="1"/>
    <col min="12039" max="12039" width="7.7109375" customWidth="1"/>
    <col min="12040" max="12045" width="12.7109375" customWidth="1"/>
    <col min="12290" max="12290" width="27.7109375" customWidth="1"/>
    <col min="12291" max="12291" width="8.7109375" customWidth="1"/>
    <col min="12292" max="12293" width="12.7109375" customWidth="1"/>
    <col min="12294" max="12294" width="5.7109375" customWidth="1"/>
    <col min="12295" max="12295" width="7.7109375" customWidth="1"/>
    <col min="12296" max="12301" width="12.7109375" customWidth="1"/>
    <col min="12546" max="12546" width="27.7109375" customWidth="1"/>
    <col min="12547" max="12547" width="8.7109375" customWidth="1"/>
    <col min="12548" max="12549" width="12.7109375" customWidth="1"/>
    <col min="12550" max="12550" width="5.7109375" customWidth="1"/>
    <col min="12551" max="12551" width="7.7109375" customWidth="1"/>
    <col min="12552" max="12557" width="12.7109375" customWidth="1"/>
    <col min="12802" max="12802" width="27.7109375" customWidth="1"/>
    <col min="12803" max="12803" width="8.7109375" customWidth="1"/>
    <col min="12804" max="12805" width="12.7109375" customWidth="1"/>
    <col min="12806" max="12806" width="5.7109375" customWidth="1"/>
    <col min="12807" max="12807" width="7.7109375" customWidth="1"/>
    <col min="12808" max="12813" width="12.7109375" customWidth="1"/>
    <col min="13058" max="13058" width="27.7109375" customWidth="1"/>
    <col min="13059" max="13059" width="8.7109375" customWidth="1"/>
    <col min="13060" max="13061" width="12.7109375" customWidth="1"/>
    <col min="13062" max="13062" width="5.7109375" customWidth="1"/>
    <col min="13063" max="13063" width="7.7109375" customWidth="1"/>
    <col min="13064" max="13069" width="12.7109375" customWidth="1"/>
    <col min="13314" max="13314" width="27.7109375" customWidth="1"/>
    <col min="13315" max="13315" width="8.7109375" customWidth="1"/>
    <col min="13316" max="13317" width="12.7109375" customWidth="1"/>
    <col min="13318" max="13318" width="5.7109375" customWidth="1"/>
    <col min="13319" max="13319" width="7.7109375" customWidth="1"/>
    <col min="13320" max="13325" width="12.7109375" customWidth="1"/>
    <col min="13570" max="13570" width="27.7109375" customWidth="1"/>
    <col min="13571" max="13571" width="8.7109375" customWidth="1"/>
    <col min="13572" max="13573" width="12.7109375" customWidth="1"/>
    <col min="13574" max="13574" width="5.7109375" customWidth="1"/>
    <col min="13575" max="13575" width="7.7109375" customWidth="1"/>
    <col min="13576" max="13581" width="12.7109375" customWidth="1"/>
    <col min="13826" max="13826" width="27.7109375" customWidth="1"/>
    <col min="13827" max="13827" width="8.7109375" customWidth="1"/>
    <col min="13828" max="13829" width="12.7109375" customWidth="1"/>
    <col min="13830" max="13830" width="5.7109375" customWidth="1"/>
    <col min="13831" max="13831" width="7.7109375" customWidth="1"/>
    <col min="13832" max="13837" width="12.7109375" customWidth="1"/>
    <col min="14082" max="14082" width="27.7109375" customWidth="1"/>
    <col min="14083" max="14083" width="8.7109375" customWidth="1"/>
    <col min="14084" max="14085" width="12.7109375" customWidth="1"/>
    <col min="14086" max="14086" width="5.7109375" customWidth="1"/>
    <col min="14087" max="14087" width="7.7109375" customWidth="1"/>
    <col min="14088" max="14093" width="12.7109375" customWidth="1"/>
    <col min="14338" max="14338" width="27.7109375" customWidth="1"/>
    <col min="14339" max="14339" width="8.7109375" customWidth="1"/>
    <col min="14340" max="14341" width="12.7109375" customWidth="1"/>
    <col min="14342" max="14342" width="5.7109375" customWidth="1"/>
    <col min="14343" max="14343" width="7.7109375" customWidth="1"/>
    <col min="14344" max="14349" width="12.7109375" customWidth="1"/>
    <col min="14594" max="14594" width="27.7109375" customWidth="1"/>
    <col min="14595" max="14595" width="8.7109375" customWidth="1"/>
    <col min="14596" max="14597" width="12.7109375" customWidth="1"/>
    <col min="14598" max="14598" width="5.7109375" customWidth="1"/>
    <col min="14599" max="14599" width="7.7109375" customWidth="1"/>
    <col min="14600" max="14605" width="12.7109375" customWidth="1"/>
    <col min="14850" max="14850" width="27.7109375" customWidth="1"/>
    <col min="14851" max="14851" width="8.7109375" customWidth="1"/>
    <col min="14852" max="14853" width="12.7109375" customWidth="1"/>
    <col min="14854" max="14854" width="5.7109375" customWidth="1"/>
    <col min="14855" max="14855" width="7.7109375" customWidth="1"/>
    <col min="14856" max="14861" width="12.7109375" customWidth="1"/>
    <col min="15106" max="15106" width="27.7109375" customWidth="1"/>
    <col min="15107" max="15107" width="8.7109375" customWidth="1"/>
    <col min="15108" max="15109" width="12.7109375" customWidth="1"/>
    <col min="15110" max="15110" width="5.7109375" customWidth="1"/>
    <col min="15111" max="15111" width="7.7109375" customWidth="1"/>
    <col min="15112" max="15117" width="12.7109375" customWidth="1"/>
    <col min="15362" max="15362" width="27.7109375" customWidth="1"/>
    <col min="15363" max="15363" width="8.7109375" customWidth="1"/>
    <col min="15364" max="15365" width="12.7109375" customWidth="1"/>
    <col min="15366" max="15366" width="5.7109375" customWidth="1"/>
    <col min="15367" max="15367" width="7.7109375" customWidth="1"/>
    <col min="15368" max="15373" width="12.7109375" customWidth="1"/>
    <col min="15618" max="15618" width="27.7109375" customWidth="1"/>
    <col min="15619" max="15619" width="8.7109375" customWidth="1"/>
    <col min="15620" max="15621" width="12.7109375" customWidth="1"/>
    <col min="15622" max="15622" width="5.7109375" customWidth="1"/>
    <col min="15623" max="15623" width="7.7109375" customWidth="1"/>
    <col min="15624" max="15629" width="12.7109375" customWidth="1"/>
    <col min="15874" max="15874" width="27.7109375" customWidth="1"/>
    <col min="15875" max="15875" width="8.7109375" customWidth="1"/>
    <col min="15876" max="15877" width="12.7109375" customWidth="1"/>
    <col min="15878" max="15878" width="5.7109375" customWidth="1"/>
    <col min="15879" max="15879" width="7.7109375" customWidth="1"/>
    <col min="15880" max="15885" width="12.7109375" customWidth="1"/>
    <col min="16130" max="16130" width="27.7109375" customWidth="1"/>
    <col min="16131" max="16131" width="8.7109375" customWidth="1"/>
    <col min="16132" max="16133" width="12.7109375" customWidth="1"/>
    <col min="16134" max="16134" width="5.7109375" customWidth="1"/>
    <col min="16135" max="16135" width="7.7109375" customWidth="1"/>
    <col min="16136" max="16141" width="12.7109375" customWidth="1"/>
  </cols>
  <sheetData>
    <row r="4" spans="1:22" x14ac:dyDescent="0.25">
      <c r="A4">
        <v>1</v>
      </c>
      <c r="G4" s="1383"/>
      <c r="J4" s="1383"/>
      <c r="K4" s="1383"/>
      <c r="L4" s="1383"/>
      <c r="M4" s="1383"/>
      <c r="N4" s="1383"/>
      <c r="O4" s="1383"/>
      <c r="P4" s="1383"/>
      <c r="Q4" s="1383"/>
      <c r="R4" s="1383"/>
      <c r="S4" s="1383"/>
      <c r="T4" s="1383"/>
      <c r="U4" s="1383"/>
      <c r="V4" s="1383"/>
    </row>
    <row r="5" spans="1:22" x14ac:dyDescent="0.25">
      <c r="A5">
        <f t="shared" ref="A5:A7" si="0">A4 + 1</f>
        <v>2</v>
      </c>
      <c r="G5" s="1383"/>
      <c r="J5" s="1383"/>
      <c r="K5" s="1383"/>
      <c r="L5" s="1383"/>
      <c r="M5" s="1383"/>
      <c r="N5" s="1383"/>
      <c r="O5" s="1383"/>
      <c r="P5" s="1383"/>
      <c r="Q5" s="1383"/>
      <c r="R5" s="1383"/>
      <c r="S5" s="1383"/>
      <c r="T5" s="1383"/>
      <c r="U5" s="1383"/>
      <c r="V5" s="1383"/>
    </row>
    <row r="6" spans="1:22" x14ac:dyDescent="0.25">
      <c r="A6">
        <f t="shared" si="0"/>
        <v>3</v>
      </c>
      <c r="G6" s="1383"/>
      <c r="J6" s="1383"/>
      <c r="K6" s="1383"/>
      <c r="L6" s="1383"/>
      <c r="M6" s="1383"/>
      <c r="N6" s="1383"/>
      <c r="O6" s="1383"/>
      <c r="P6" s="1383"/>
      <c r="Q6" s="1383"/>
      <c r="R6" s="1383"/>
      <c r="S6" s="1383"/>
      <c r="T6" s="1383"/>
      <c r="U6" s="1383"/>
      <c r="V6" s="1383"/>
    </row>
    <row r="7" spans="1:22" x14ac:dyDescent="0.25">
      <c r="A7">
        <f t="shared" si="0"/>
        <v>4</v>
      </c>
      <c r="G7" s="1383"/>
      <c r="J7" s="1383"/>
      <c r="K7" s="1383"/>
      <c r="L7" s="1383"/>
      <c r="M7" s="1383"/>
      <c r="N7" s="1383"/>
      <c r="O7" s="1383"/>
      <c r="P7" s="1383"/>
      <c r="Q7" s="1383"/>
      <c r="R7" s="1383"/>
      <c r="S7" s="1383"/>
      <c r="T7" s="1383"/>
      <c r="U7" s="1383"/>
      <c r="V7" s="1383"/>
    </row>
    <row r="9" spans="1:22" x14ac:dyDescent="0.25">
      <c r="G9" s="1383"/>
      <c r="J9" s="1383"/>
      <c r="K9" s="1383"/>
      <c r="L9" s="1383"/>
      <c r="M9" s="1383"/>
      <c r="N9" s="1383"/>
      <c r="O9" s="1383"/>
      <c r="P9" s="1383"/>
      <c r="Q9" s="1383"/>
      <c r="R9" s="1383"/>
      <c r="S9" s="1383"/>
      <c r="T9" s="1383"/>
      <c r="U9" s="1383"/>
      <c r="V9" s="1383"/>
    </row>
    <row r="10" spans="1:22" x14ac:dyDescent="0.25">
      <c r="G10" s="1383"/>
      <c r="J10" s="1383"/>
      <c r="K10" s="1383"/>
      <c r="L10" s="1383"/>
      <c r="M10" s="1383"/>
      <c r="N10" s="1383"/>
      <c r="O10" s="1383"/>
      <c r="P10" s="1383"/>
      <c r="Q10" s="1383"/>
      <c r="R10" s="1383"/>
      <c r="S10" s="1383"/>
      <c r="T10" s="1383"/>
      <c r="U10" s="1383"/>
      <c r="V10" s="1383"/>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40"/>
  <dimension ref="B4:L67"/>
  <sheetViews>
    <sheetView workbookViewId="0">
      <selection sqref="A1:L75"/>
    </sheetView>
  </sheetViews>
  <sheetFormatPr defaultRowHeight="14.25" x14ac:dyDescent="0.25"/>
  <cols>
    <col min="1" max="1" width="30.7109375" customWidth="1"/>
    <col min="2" max="17" width="15.7109375" customWidth="1"/>
    <col min="18" max="19" width="12.7109375" customWidth="1"/>
  </cols>
  <sheetData>
    <row r="4" spans="2:12" x14ac:dyDescent="0.25">
      <c r="B4" s="1383"/>
      <c r="C4" s="1383"/>
      <c r="D4" s="1383"/>
      <c r="E4" s="1383"/>
      <c r="F4" s="1383"/>
      <c r="G4" s="1383"/>
      <c r="H4" s="1383"/>
      <c r="I4" s="1383"/>
      <c r="J4" s="1383"/>
      <c r="K4" s="1383"/>
      <c r="L4" s="1383"/>
    </row>
    <row r="5" spans="2:12" x14ac:dyDescent="0.25">
      <c r="B5" s="1383"/>
      <c r="C5" s="1383"/>
      <c r="D5" s="1383"/>
      <c r="E5" s="1383"/>
      <c r="F5" s="1383"/>
      <c r="G5" s="1383"/>
      <c r="H5" s="1383"/>
      <c r="I5" s="1383"/>
      <c r="J5" s="1383"/>
      <c r="K5" s="1383"/>
      <c r="L5" s="1383"/>
    </row>
    <row r="6" spans="2:12" x14ac:dyDescent="0.25">
      <c r="B6" s="1383"/>
      <c r="C6" s="1383"/>
      <c r="D6" s="1383"/>
      <c r="E6" s="1383"/>
      <c r="F6" s="1383"/>
      <c r="G6" s="1383"/>
      <c r="H6" s="1383"/>
      <c r="I6" s="1383"/>
      <c r="J6" s="1383"/>
      <c r="K6" s="1383"/>
      <c r="L6" s="1383"/>
    </row>
    <row r="7" spans="2:12" x14ac:dyDescent="0.25">
      <c r="B7" s="1383"/>
      <c r="C7" s="1383"/>
      <c r="D7" s="1383"/>
      <c r="E7" s="1383"/>
      <c r="F7" s="1383"/>
      <c r="G7" s="1383"/>
      <c r="H7" s="1383"/>
      <c r="I7" s="1383"/>
      <c r="J7" s="1383"/>
      <c r="K7" s="1383"/>
      <c r="L7" s="1383"/>
    </row>
    <row r="10" spans="2:12" x14ac:dyDescent="0.25">
      <c r="B10" s="1383"/>
      <c r="C10" s="1383"/>
      <c r="D10" s="1383"/>
      <c r="E10" s="1383"/>
      <c r="F10" s="1383"/>
      <c r="G10" s="1383"/>
      <c r="H10" s="1383"/>
      <c r="I10" s="1383"/>
      <c r="J10" s="1383"/>
      <c r="K10" s="1383"/>
      <c r="L10" s="1383"/>
    </row>
    <row r="11" spans="2:12" x14ac:dyDescent="0.25">
      <c r="B11" s="1383"/>
      <c r="C11" s="1383"/>
      <c r="D11" s="1383"/>
      <c r="E11" s="1383"/>
      <c r="F11" s="1383"/>
      <c r="G11" s="1383"/>
      <c r="H11" s="1383"/>
      <c r="I11" s="1383"/>
      <c r="J11" s="1383"/>
      <c r="K11" s="1383"/>
      <c r="L11" s="1383"/>
    </row>
    <row r="13" spans="2:12" x14ac:dyDescent="0.25">
      <c r="B13" s="1383"/>
      <c r="C13" s="1383"/>
      <c r="D13" s="1383"/>
      <c r="E13" s="1383"/>
      <c r="F13" s="1383"/>
      <c r="G13" s="1383"/>
      <c r="H13" s="1383"/>
      <c r="I13" s="1383"/>
      <c r="J13" s="1383"/>
      <c r="K13" s="1383"/>
      <c r="L13" s="1383"/>
    </row>
    <row r="16" spans="2:12" x14ac:dyDescent="0.25">
      <c r="B16" s="1383"/>
      <c r="C16" s="1383"/>
      <c r="D16" s="1383"/>
      <c r="E16" s="1383"/>
      <c r="F16" s="1383"/>
      <c r="G16" s="1383"/>
      <c r="H16" s="1383"/>
      <c r="I16" s="1383"/>
      <c r="J16" s="1383"/>
      <c r="K16" s="1383"/>
      <c r="L16" s="1383"/>
    </row>
    <row r="17" spans="2:12" x14ac:dyDescent="0.25">
      <c r="B17" s="1383"/>
      <c r="C17" s="1383"/>
      <c r="D17" s="1383"/>
      <c r="E17" s="1383"/>
      <c r="F17" s="1383"/>
      <c r="G17" s="1383"/>
      <c r="H17" s="1383"/>
      <c r="I17" s="1383"/>
      <c r="J17" s="1383"/>
      <c r="K17" s="1383"/>
      <c r="L17" s="1383"/>
    </row>
    <row r="18" spans="2:12" x14ac:dyDescent="0.25">
      <c r="B18" s="1383"/>
      <c r="C18" s="1383"/>
      <c r="D18" s="1383"/>
      <c r="E18" s="1383"/>
      <c r="F18" s="1383"/>
      <c r="G18" s="1383"/>
      <c r="H18" s="1383"/>
      <c r="I18" s="1383"/>
      <c r="J18" s="1383"/>
      <c r="K18" s="1383"/>
      <c r="L18" s="1383"/>
    </row>
    <row r="20" spans="2:12" x14ac:dyDescent="0.25">
      <c r="B20" s="1383"/>
      <c r="C20" s="1383"/>
      <c r="D20" s="1383"/>
      <c r="E20" s="1383"/>
      <c r="F20" s="1383"/>
      <c r="G20" s="1383"/>
      <c r="H20" s="1383"/>
      <c r="I20" s="1383"/>
      <c r="J20" s="1383"/>
      <c r="K20" s="1383"/>
      <c r="L20" s="1383"/>
    </row>
    <row r="23" spans="2:12" x14ac:dyDescent="0.25">
      <c r="B23" s="1383"/>
      <c r="C23" s="1383"/>
      <c r="D23" s="1383"/>
      <c r="E23" s="1383"/>
      <c r="F23" s="1383"/>
      <c r="G23" s="1383"/>
      <c r="H23" s="1383"/>
      <c r="I23" s="1383"/>
      <c r="J23" s="1383"/>
      <c r="K23" s="1383"/>
      <c r="L23" s="1383"/>
    </row>
    <row r="24" spans="2:12" x14ac:dyDescent="0.25">
      <c r="B24" s="1383"/>
      <c r="C24" s="1383"/>
      <c r="D24" s="1383"/>
      <c r="E24" s="1383"/>
      <c r="F24" s="1383"/>
      <c r="G24" s="1383"/>
      <c r="H24" s="1383"/>
      <c r="I24" s="1383"/>
      <c r="J24" s="1383"/>
      <c r="K24" s="1383"/>
      <c r="L24" s="1383"/>
    </row>
    <row r="26" spans="2:12" x14ac:dyDescent="0.25">
      <c r="B26" s="1383"/>
      <c r="C26" s="1383"/>
      <c r="D26" s="1383"/>
      <c r="E26" s="1383"/>
      <c r="F26" s="1383"/>
      <c r="G26" s="1383"/>
      <c r="H26" s="1383"/>
      <c r="I26" s="1383"/>
      <c r="J26" s="1383"/>
      <c r="K26" s="1383"/>
      <c r="L26" s="1383"/>
    </row>
    <row r="29" spans="2:12" x14ac:dyDescent="0.25">
      <c r="B29" s="1383"/>
      <c r="C29" s="1383"/>
      <c r="D29" s="1383"/>
      <c r="E29" s="1383"/>
      <c r="F29" s="1383"/>
      <c r="G29" s="1383"/>
      <c r="H29" s="1383"/>
      <c r="I29" s="1383"/>
      <c r="J29" s="1383"/>
      <c r="K29" s="1383"/>
      <c r="L29" s="1383"/>
    </row>
    <row r="30" spans="2:12" x14ac:dyDescent="0.25">
      <c r="B30" s="1383"/>
      <c r="C30" s="1383"/>
      <c r="D30" s="1383"/>
      <c r="E30" s="1383"/>
      <c r="F30" s="1383"/>
      <c r="G30" s="1383"/>
      <c r="H30" s="1383"/>
      <c r="I30" s="1383"/>
      <c r="J30" s="1383"/>
      <c r="K30" s="1383"/>
      <c r="L30" s="1383"/>
    </row>
    <row r="31" spans="2:12" x14ac:dyDescent="0.25">
      <c r="B31" s="1383"/>
      <c r="C31" s="1383"/>
      <c r="D31" s="1383"/>
      <c r="E31" s="1383"/>
      <c r="F31" s="1383"/>
      <c r="G31" s="1383"/>
      <c r="H31" s="1383"/>
      <c r="I31" s="1383"/>
      <c r="J31" s="1383"/>
      <c r="K31" s="1383"/>
      <c r="L31" s="1383"/>
    </row>
    <row r="32" spans="2:12" x14ac:dyDescent="0.25">
      <c r="B32" s="1383"/>
      <c r="C32" s="1383"/>
      <c r="D32" s="1383"/>
      <c r="E32" s="1383"/>
      <c r="F32" s="1383"/>
      <c r="G32" s="1383"/>
      <c r="H32" s="1383"/>
      <c r="I32" s="1383"/>
      <c r="J32" s="1383"/>
      <c r="K32" s="1383"/>
      <c r="L32" s="1383"/>
    </row>
    <row r="33" spans="2:12" x14ac:dyDescent="0.25">
      <c r="B33" s="1383"/>
      <c r="C33" s="1383"/>
      <c r="D33" s="1383"/>
      <c r="E33" s="1383"/>
      <c r="F33" s="1383"/>
      <c r="G33" s="1383"/>
      <c r="H33" s="1383"/>
      <c r="I33" s="1383"/>
      <c r="J33" s="1383"/>
      <c r="K33" s="1383"/>
      <c r="L33" s="1383"/>
    </row>
    <row r="34" spans="2:12" x14ac:dyDescent="0.25">
      <c r="B34" s="1383"/>
      <c r="C34" s="1383"/>
      <c r="D34" s="1383"/>
      <c r="E34" s="1383"/>
      <c r="F34" s="1383"/>
      <c r="G34" s="1383"/>
      <c r="H34" s="1383"/>
      <c r="I34" s="1383"/>
      <c r="J34" s="1383"/>
      <c r="K34" s="1383"/>
      <c r="L34" s="1383"/>
    </row>
    <row r="35" spans="2:12" x14ac:dyDescent="0.25">
      <c r="B35" s="1383"/>
      <c r="C35" s="1383"/>
      <c r="D35" s="1383"/>
      <c r="E35" s="1383"/>
      <c r="F35" s="1383"/>
      <c r="G35" s="1383"/>
      <c r="H35" s="1383"/>
      <c r="I35" s="1383"/>
      <c r="J35" s="1383"/>
      <c r="K35" s="1383"/>
      <c r="L35" s="1383"/>
    </row>
    <row r="36" spans="2:12" x14ac:dyDescent="0.25">
      <c r="B36" s="1383"/>
      <c r="C36" s="1383"/>
      <c r="D36" s="1383"/>
      <c r="E36" s="1383"/>
      <c r="F36" s="1383"/>
      <c r="G36" s="1383"/>
      <c r="H36" s="1383"/>
      <c r="I36" s="1383"/>
      <c r="J36" s="1383"/>
      <c r="K36" s="1383"/>
      <c r="L36" s="1383"/>
    </row>
    <row r="37" spans="2:12" x14ac:dyDescent="0.25">
      <c r="B37" s="1383"/>
      <c r="C37" s="1383"/>
      <c r="D37" s="1383"/>
      <c r="E37" s="1383"/>
      <c r="F37" s="1383"/>
      <c r="G37" s="1383"/>
      <c r="H37" s="1383"/>
      <c r="I37" s="1383"/>
      <c r="J37" s="1383"/>
      <c r="K37" s="1383"/>
      <c r="L37" s="1383"/>
    </row>
    <row r="38" spans="2:12" x14ac:dyDescent="0.25">
      <c r="B38" s="1383"/>
      <c r="C38" s="1383"/>
      <c r="D38" s="1383"/>
      <c r="E38" s="1383"/>
      <c r="F38" s="1383"/>
      <c r="G38" s="1383"/>
      <c r="H38" s="1383"/>
      <c r="I38" s="1383"/>
      <c r="J38" s="1383"/>
      <c r="K38" s="1383"/>
      <c r="L38" s="1383"/>
    </row>
    <row r="39" spans="2:12" x14ac:dyDescent="0.25">
      <c r="B39" s="1383"/>
      <c r="C39" s="1383"/>
      <c r="D39" s="1383"/>
      <c r="E39" s="1383"/>
      <c r="F39" s="1383"/>
      <c r="G39" s="1383"/>
      <c r="H39" s="1383"/>
      <c r="I39" s="1383"/>
      <c r="J39" s="1383"/>
      <c r="K39" s="1383"/>
      <c r="L39" s="1383"/>
    </row>
    <row r="40" spans="2:12" x14ac:dyDescent="0.25">
      <c r="B40" s="1383"/>
      <c r="C40" s="1383"/>
      <c r="D40" s="1383"/>
      <c r="E40" s="1383"/>
      <c r="F40" s="1383"/>
      <c r="G40" s="1383"/>
      <c r="H40" s="1383"/>
      <c r="I40" s="1383"/>
      <c r="J40" s="1383"/>
      <c r="K40" s="1383"/>
      <c r="L40" s="1383"/>
    </row>
    <row r="41" spans="2:12" x14ac:dyDescent="0.25">
      <c r="B41" s="1383"/>
      <c r="C41" s="1383"/>
      <c r="D41" s="1383"/>
      <c r="E41" s="1383"/>
      <c r="F41" s="1383"/>
      <c r="G41" s="1383"/>
      <c r="H41" s="1383"/>
      <c r="I41" s="1383"/>
      <c r="J41" s="1383"/>
      <c r="K41" s="1383"/>
      <c r="L41" s="1383"/>
    </row>
    <row r="43" spans="2:12" x14ac:dyDescent="0.25">
      <c r="B43" s="1383"/>
      <c r="C43" s="1383"/>
      <c r="D43" s="1383"/>
      <c r="E43" s="1383"/>
      <c r="F43" s="1383"/>
      <c r="G43" s="1383"/>
      <c r="H43" s="1383"/>
      <c r="I43" s="1383"/>
      <c r="J43" s="1383"/>
      <c r="K43" s="1383"/>
      <c r="L43" s="1383"/>
    </row>
    <row r="46" spans="2:12" x14ac:dyDescent="0.25">
      <c r="B46" s="1383"/>
      <c r="C46" s="1383"/>
      <c r="D46" s="1383"/>
      <c r="E46" s="1383"/>
      <c r="F46" s="1383"/>
      <c r="G46" s="1383"/>
      <c r="H46" s="1383"/>
      <c r="I46" s="1383"/>
      <c r="J46" s="1383"/>
      <c r="K46" s="1383"/>
      <c r="L46" s="1383"/>
    </row>
    <row r="47" spans="2:12" x14ac:dyDescent="0.25">
      <c r="B47" s="1383"/>
      <c r="C47" s="1383"/>
      <c r="D47" s="1383"/>
      <c r="E47" s="1383"/>
      <c r="F47" s="1383"/>
      <c r="G47" s="1383"/>
      <c r="H47" s="1383"/>
      <c r="I47" s="1383"/>
      <c r="J47" s="1383"/>
      <c r="K47" s="1383"/>
      <c r="L47" s="1383"/>
    </row>
    <row r="48" spans="2:12" x14ac:dyDescent="0.25">
      <c r="B48" s="1383"/>
      <c r="C48" s="1383"/>
      <c r="D48" s="1383"/>
      <c r="E48" s="1383"/>
      <c r="F48" s="1383"/>
      <c r="G48" s="1383"/>
      <c r="H48" s="1383"/>
      <c r="I48" s="1383"/>
      <c r="J48" s="1383"/>
      <c r="K48" s="1383"/>
      <c r="L48" s="1383"/>
    </row>
    <row r="51" spans="2:12" x14ac:dyDescent="0.25">
      <c r="B51" s="1383"/>
      <c r="C51" s="1383"/>
      <c r="D51" s="1383"/>
      <c r="E51" s="1383"/>
      <c r="F51" s="1383"/>
      <c r="G51" s="1383"/>
      <c r="H51" s="1383"/>
      <c r="I51" s="1383"/>
      <c r="J51" s="1383"/>
      <c r="K51" s="1383"/>
      <c r="L51" s="1383"/>
    </row>
    <row r="52" spans="2:12" x14ac:dyDescent="0.25">
      <c r="B52" s="1383"/>
      <c r="C52" s="1383"/>
      <c r="D52" s="1383"/>
      <c r="E52" s="1383"/>
      <c r="F52" s="1383"/>
      <c r="G52" s="1383"/>
      <c r="H52" s="1383"/>
      <c r="I52" s="1383"/>
      <c r="J52" s="1383"/>
      <c r="K52" s="1383"/>
      <c r="L52" s="1383"/>
    </row>
    <row r="53" spans="2:12" x14ac:dyDescent="0.25">
      <c r="B53" s="1383"/>
      <c r="C53" s="1383"/>
      <c r="D53" s="1383"/>
      <c r="E53" s="1383"/>
      <c r="F53" s="1383"/>
      <c r="G53" s="1383"/>
      <c r="H53" s="1383"/>
      <c r="I53" s="1383"/>
      <c r="J53" s="1383"/>
      <c r="K53" s="1383"/>
      <c r="L53" s="1383"/>
    </row>
    <row r="55" spans="2:12" x14ac:dyDescent="0.25">
      <c r="B55" s="1383"/>
      <c r="C55" s="1383"/>
      <c r="D55" s="1383"/>
      <c r="E55" s="1383"/>
      <c r="F55" s="1383"/>
      <c r="G55" s="1383"/>
      <c r="H55" s="1383"/>
      <c r="I55" s="1383"/>
      <c r="J55" s="1383"/>
      <c r="K55" s="1383"/>
      <c r="L55" s="1383"/>
    </row>
    <row r="57" spans="2:12" x14ac:dyDescent="0.25">
      <c r="B57" s="1383"/>
      <c r="C57" s="1383"/>
      <c r="D57" s="1383"/>
      <c r="E57" s="1383"/>
      <c r="F57" s="1383"/>
      <c r="G57" s="1383"/>
      <c r="H57" s="1383"/>
      <c r="I57" s="1383"/>
      <c r="J57" s="1383"/>
      <c r="K57" s="1383"/>
      <c r="L57" s="1383"/>
    </row>
    <row r="59" spans="2:12" x14ac:dyDescent="0.25">
      <c r="B59" s="1383"/>
      <c r="C59" s="1383"/>
      <c r="D59" s="1383"/>
      <c r="E59" s="1383"/>
      <c r="F59" s="1383"/>
      <c r="G59" s="1383"/>
      <c r="H59" s="1383"/>
      <c r="I59" s="1383"/>
      <c r="J59" s="1383"/>
      <c r="K59" s="1383"/>
      <c r="L59" s="1383"/>
    </row>
    <row r="60" spans="2:12" x14ac:dyDescent="0.25">
      <c r="B60" s="1383"/>
      <c r="C60" s="1383"/>
      <c r="D60" s="1383"/>
      <c r="E60" s="1383"/>
      <c r="F60" s="1383"/>
      <c r="G60" s="1383"/>
      <c r="H60" s="1383"/>
      <c r="I60" s="1383"/>
      <c r="J60" s="1383"/>
      <c r="K60" s="1383"/>
      <c r="L60" s="1383"/>
    </row>
    <row r="63" spans="2:12" x14ac:dyDescent="0.25">
      <c r="B63" s="1383"/>
      <c r="C63" s="1383"/>
      <c r="D63" s="1383"/>
      <c r="E63" s="1383"/>
      <c r="F63" s="1383"/>
      <c r="G63" s="1383"/>
      <c r="H63" s="1383"/>
      <c r="I63" s="1383"/>
      <c r="J63" s="1383"/>
      <c r="K63" s="1383"/>
      <c r="L63" s="1383"/>
    </row>
    <row r="64" spans="2:12" x14ac:dyDescent="0.25">
      <c r="B64" s="1383"/>
      <c r="C64" s="1383"/>
      <c r="D64" s="1383"/>
      <c r="E64" s="1383"/>
      <c r="F64" s="1383"/>
      <c r="G64" s="1383"/>
      <c r="H64" s="1383"/>
      <c r="I64" s="1383"/>
      <c r="J64" s="1383"/>
      <c r="K64" s="1383"/>
      <c r="L64" s="1383"/>
    </row>
    <row r="65" spans="2:12" x14ac:dyDescent="0.25">
      <c r="B65" s="1383"/>
      <c r="C65" s="1383"/>
      <c r="D65" s="1383"/>
      <c r="E65" s="1383"/>
      <c r="F65" s="1383"/>
      <c r="G65" s="1383"/>
      <c r="H65" s="1383"/>
      <c r="I65" s="1383"/>
      <c r="J65" s="1383"/>
      <c r="K65" s="1383"/>
      <c r="L65" s="1383"/>
    </row>
    <row r="66" spans="2:12" x14ac:dyDescent="0.25">
      <c r="B66" s="1383"/>
      <c r="C66" s="1383"/>
      <c r="D66" s="1383"/>
      <c r="E66" s="1383"/>
      <c r="F66" s="1383"/>
      <c r="G66" s="1383"/>
      <c r="H66" s="1383"/>
      <c r="I66" s="1383"/>
      <c r="J66" s="1383"/>
      <c r="K66" s="1383"/>
      <c r="L66" s="1383"/>
    </row>
    <row r="67" spans="2:12" x14ac:dyDescent="0.25">
      <c r="B67" s="1385"/>
      <c r="C67" s="1385"/>
      <c r="D67" s="1385"/>
      <c r="E67" s="1385"/>
      <c r="F67" s="1385"/>
      <c r="G67" s="1385"/>
      <c r="H67" s="1385"/>
      <c r="I67" s="1385"/>
      <c r="J67" s="1385"/>
      <c r="K67" s="1385"/>
      <c r="L67" s="1385"/>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41"/>
  <dimension ref="B4:L64"/>
  <sheetViews>
    <sheetView workbookViewId="0"/>
  </sheetViews>
  <sheetFormatPr defaultRowHeight="14.25" x14ac:dyDescent="0.25"/>
  <cols>
    <col min="1" max="1" width="30.7109375" customWidth="1"/>
    <col min="2" max="12" width="15.7109375" customWidth="1"/>
  </cols>
  <sheetData>
    <row r="4" spans="2:12" x14ac:dyDescent="0.25">
      <c r="B4" s="1383"/>
      <c r="C4" s="1383"/>
      <c r="D4" s="1383"/>
      <c r="E4" s="1383"/>
      <c r="F4" s="1383"/>
      <c r="G4" s="1383"/>
      <c r="H4" s="1383"/>
      <c r="I4" s="1383"/>
      <c r="J4" s="1383"/>
      <c r="K4" s="1383"/>
      <c r="L4" s="1383"/>
    </row>
    <row r="5" spans="2:12" x14ac:dyDescent="0.25">
      <c r="B5" s="1383"/>
      <c r="C5" s="1383"/>
      <c r="D5" s="1383"/>
      <c r="E5" s="1383"/>
      <c r="F5" s="1383"/>
      <c r="G5" s="1383"/>
      <c r="H5" s="1383"/>
      <c r="I5" s="1383"/>
      <c r="J5" s="1383"/>
      <c r="K5" s="1383"/>
      <c r="L5" s="1383"/>
    </row>
    <row r="6" spans="2:12" x14ac:dyDescent="0.25">
      <c r="B6" s="1383"/>
      <c r="C6" s="1383"/>
      <c r="D6" s="1383"/>
      <c r="E6" s="1383"/>
      <c r="F6" s="1383"/>
      <c r="G6" s="1383"/>
      <c r="H6" s="1383"/>
      <c r="I6" s="1383"/>
      <c r="J6" s="1383"/>
      <c r="K6" s="1383"/>
      <c r="L6" s="1383"/>
    </row>
    <row r="7" spans="2:12" x14ac:dyDescent="0.25">
      <c r="B7" s="1383"/>
      <c r="C7" s="1383"/>
      <c r="D7" s="1383"/>
      <c r="E7" s="1383"/>
      <c r="F7" s="1383"/>
      <c r="G7" s="1383"/>
      <c r="H7" s="1383"/>
      <c r="I7" s="1383"/>
      <c r="J7" s="1383"/>
      <c r="K7" s="1383"/>
      <c r="L7" s="1383"/>
    </row>
    <row r="11" spans="2:12" x14ac:dyDescent="0.25">
      <c r="B11" s="1383"/>
      <c r="C11" s="1383"/>
      <c r="D11" s="1383"/>
      <c r="E11" s="1383"/>
      <c r="F11" s="1383"/>
      <c r="G11" s="1383"/>
      <c r="H11" s="1383"/>
      <c r="I11" s="1383"/>
      <c r="J11" s="1383"/>
      <c r="K11" s="1383"/>
      <c r="L11" s="1383"/>
    </row>
    <row r="12" spans="2:12" x14ac:dyDescent="0.25">
      <c r="B12" s="1383"/>
      <c r="C12" s="1383"/>
      <c r="D12" s="1383"/>
      <c r="E12" s="1383"/>
      <c r="F12" s="1383"/>
      <c r="G12" s="1383"/>
      <c r="H12" s="1383"/>
      <c r="I12" s="1383"/>
      <c r="J12" s="1383"/>
      <c r="K12" s="1383"/>
      <c r="L12" s="1383"/>
    </row>
    <row r="13" spans="2:12" x14ac:dyDescent="0.25">
      <c r="B13" s="1383"/>
      <c r="C13" s="1383"/>
      <c r="D13" s="1383"/>
      <c r="E13" s="1383"/>
      <c r="F13" s="1383"/>
      <c r="G13" s="1383"/>
      <c r="H13" s="1383"/>
      <c r="I13" s="1383"/>
      <c r="J13" s="1383"/>
      <c r="K13" s="1383"/>
      <c r="L13" s="1383"/>
    </row>
    <row r="14" spans="2:12" x14ac:dyDescent="0.25">
      <c r="B14" s="1383"/>
      <c r="C14" s="1383"/>
      <c r="D14" s="1383"/>
      <c r="E14" s="1383"/>
      <c r="F14" s="1383"/>
      <c r="G14" s="1383"/>
      <c r="H14" s="1383"/>
      <c r="I14" s="1383"/>
      <c r="J14" s="1383"/>
      <c r="K14" s="1383"/>
      <c r="L14" s="1383"/>
    </row>
    <row r="15" spans="2:12" x14ac:dyDescent="0.25">
      <c r="B15" s="1383"/>
      <c r="C15" s="1383"/>
      <c r="D15" s="1383"/>
      <c r="E15" s="1383"/>
      <c r="F15" s="1383"/>
      <c r="G15" s="1383"/>
      <c r="H15" s="1383"/>
      <c r="I15" s="1383"/>
      <c r="J15" s="1383"/>
      <c r="K15" s="1383"/>
      <c r="L15" s="1383"/>
    </row>
    <row r="16" spans="2:12" x14ac:dyDescent="0.25">
      <c r="B16" s="1383"/>
      <c r="C16" s="1383"/>
      <c r="D16" s="1383"/>
      <c r="E16" s="1383"/>
      <c r="F16" s="1383"/>
      <c r="G16" s="1383"/>
      <c r="H16" s="1383"/>
      <c r="I16" s="1383"/>
      <c r="J16" s="1383"/>
      <c r="K16" s="1383"/>
      <c r="L16" s="1383"/>
    </row>
    <row r="17" spans="2:12" x14ac:dyDescent="0.25">
      <c r="B17" s="1383"/>
      <c r="C17" s="1383"/>
      <c r="D17" s="1383"/>
      <c r="E17" s="1383"/>
      <c r="F17" s="1383"/>
      <c r="G17" s="1383"/>
      <c r="H17" s="1383"/>
      <c r="I17" s="1383"/>
      <c r="J17" s="1383"/>
      <c r="K17" s="1383"/>
      <c r="L17" s="1383"/>
    </row>
    <row r="18" spans="2:12" x14ac:dyDescent="0.25">
      <c r="B18" s="1383"/>
      <c r="C18" s="1383"/>
      <c r="D18" s="1383"/>
      <c r="E18" s="1383"/>
      <c r="F18" s="1383"/>
      <c r="G18" s="1383"/>
      <c r="H18" s="1383"/>
      <c r="I18" s="1383"/>
      <c r="J18" s="1383"/>
      <c r="K18" s="1383"/>
      <c r="L18" s="1383"/>
    </row>
    <row r="19" spans="2:12" x14ac:dyDescent="0.25">
      <c r="B19" s="1383"/>
      <c r="C19" s="1383"/>
      <c r="D19" s="1383"/>
      <c r="E19" s="1383"/>
      <c r="F19" s="1383"/>
      <c r="G19" s="1383"/>
      <c r="H19" s="1383"/>
      <c r="I19" s="1383"/>
      <c r="J19" s="1383"/>
      <c r="K19" s="1383"/>
      <c r="L19" s="1383"/>
    </row>
    <row r="20" spans="2:12" x14ac:dyDescent="0.25">
      <c r="B20" s="1383"/>
      <c r="C20" s="1383"/>
      <c r="D20" s="1383"/>
      <c r="E20" s="1383"/>
      <c r="F20" s="1383"/>
      <c r="G20" s="1383"/>
      <c r="H20" s="1383"/>
      <c r="I20" s="1383"/>
      <c r="J20" s="1383"/>
      <c r="K20" s="1383"/>
      <c r="L20" s="1383"/>
    </row>
    <row r="22" spans="2:12" x14ac:dyDescent="0.25">
      <c r="B22" s="1383"/>
      <c r="C22" s="1383"/>
      <c r="D22" s="1383"/>
      <c r="E22" s="1383"/>
      <c r="F22" s="1383"/>
      <c r="G22" s="1383"/>
      <c r="H22" s="1383"/>
      <c r="I22" s="1383"/>
      <c r="J22" s="1383"/>
      <c r="K22" s="1383"/>
      <c r="L22" s="1383"/>
    </row>
    <row r="24" spans="2:12" x14ac:dyDescent="0.25">
      <c r="B24" s="1383"/>
      <c r="C24" s="1383"/>
      <c r="D24" s="1383"/>
      <c r="E24" s="1383"/>
      <c r="F24" s="1383"/>
      <c r="G24" s="1383"/>
      <c r="H24" s="1383"/>
      <c r="I24" s="1383"/>
      <c r="J24" s="1383"/>
      <c r="K24" s="1383"/>
      <c r="L24" s="1383"/>
    </row>
    <row r="27" spans="2:12" x14ac:dyDescent="0.25">
      <c r="B27" s="1383"/>
      <c r="C27" s="1383"/>
      <c r="D27" s="1383"/>
      <c r="E27" s="1383"/>
      <c r="F27" s="1383"/>
      <c r="G27" s="1383"/>
      <c r="H27" s="1383"/>
      <c r="I27" s="1383"/>
      <c r="J27" s="1383"/>
      <c r="K27" s="1383"/>
      <c r="L27" s="1383"/>
    </row>
    <row r="28" spans="2:12" x14ac:dyDescent="0.25">
      <c r="B28" s="1383"/>
      <c r="C28" s="1383"/>
      <c r="D28" s="1383"/>
      <c r="E28" s="1383"/>
      <c r="F28" s="1383"/>
      <c r="G28" s="1383"/>
      <c r="H28" s="1383"/>
      <c r="I28" s="1383"/>
      <c r="J28" s="1383"/>
      <c r="K28" s="1383"/>
      <c r="L28" s="1383"/>
    </row>
    <row r="30" spans="2:12" x14ac:dyDescent="0.25">
      <c r="B30" s="1383"/>
      <c r="C30" s="1383"/>
      <c r="D30" s="1383"/>
      <c r="E30" s="1383"/>
      <c r="F30" s="1383"/>
      <c r="G30" s="1383"/>
      <c r="H30" s="1383"/>
      <c r="I30" s="1383"/>
      <c r="J30" s="1383"/>
      <c r="K30" s="1383"/>
      <c r="L30" s="1383"/>
    </row>
    <row r="33" spans="2:12" x14ac:dyDescent="0.25">
      <c r="B33" s="1383"/>
      <c r="C33" s="1383"/>
      <c r="D33" s="1383"/>
      <c r="E33" s="1383"/>
      <c r="F33" s="1383"/>
      <c r="G33" s="1383"/>
      <c r="H33" s="1383"/>
      <c r="I33" s="1383"/>
      <c r="J33" s="1383"/>
      <c r="K33" s="1383"/>
      <c r="L33" s="1383"/>
    </row>
    <row r="34" spans="2:12" x14ac:dyDescent="0.25">
      <c r="B34" s="1383"/>
      <c r="C34" s="1383"/>
      <c r="D34" s="1383"/>
      <c r="E34" s="1383"/>
      <c r="F34" s="1383"/>
      <c r="G34" s="1383"/>
      <c r="H34" s="1383"/>
      <c r="I34" s="1383"/>
      <c r="J34" s="1383"/>
      <c r="K34" s="1383"/>
      <c r="L34" s="1383"/>
    </row>
    <row r="35" spans="2:12" x14ac:dyDescent="0.25">
      <c r="B35" s="1383"/>
      <c r="C35" s="1383"/>
      <c r="D35" s="1383"/>
      <c r="E35" s="1383"/>
      <c r="F35" s="1383"/>
      <c r="G35" s="1383"/>
      <c r="H35" s="1383"/>
      <c r="I35" s="1383"/>
      <c r="J35" s="1383"/>
      <c r="K35" s="1383"/>
      <c r="L35" s="1383"/>
    </row>
    <row r="36" spans="2:12" x14ac:dyDescent="0.25">
      <c r="B36" s="1383"/>
      <c r="C36" s="1383"/>
      <c r="D36" s="1383"/>
      <c r="E36" s="1383"/>
      <c r="F36" s="1383"/>
      <c r="G36" s="1383"/>
      <c r="H36" s="1383"/>
      <c r="I36" s="1383"/>
      <c r="J36" s="1383"/>
      <c r="K36" s="1383"/>
      <c r="L36" s="1383"/>
    </row>
    <row r="37" spans="2:12" x14ac:dyDescent="0.25">
      <c r="B37" s="1383"/>
      <c r="C37" s="1383"/>
      <c r="D37" s="1383"/>
      <c r="E37" s="1383"/>
      <c r="F37" s="1383"/>
      <c r="G37" s="1383"/>
      <c r="H37" s="1383"/>
      <c r="I37" s="1383"/>
      <c r="J37" s="1383"/>
      <c r="K37" s="1383"/>
      <c r="L37" s="1383"/>
    </row>
    <row r="38" spans="2:12" x14ac:dyDescent="0.25">
      <c r="B38" s="1383"/>
      <c r="C38" s="1383"/>
      <c r="D38" s="1383"/>
      <c r="E38" s="1383"/>
      <c r="F38" s="1383"/>
      <c r="G38" s="1383"/>
      <c r="H38" s="1383"/>
      <c r="I38" s="1383"/>
      <c r="J38" s="1383"/>
      <c r="K38" s="1383"/>
      <c r="L38" s="1383"/>
    </row>
    <row r="39" spans="2:12" x14ac:dyDescent="0.25">
      <c r="B39" s="1383"/>
      <c r="C39" s="1383"/>
      <c r="D39" s="1383"/>
      <c r="E39" s="1383"/>
      <c r="F39" s="1383"/>
      <c r="G39" s="1383"/>
      <c r="H39" s="1383"/>
      <c r="I39" s="1383"/>
      <c r="J39" s="1383"/>
      <c r="K39" s="1383"/>
      <c r="L39" s="1383"/>
    </row>
    <row r="40" spans="2:12" x14ac:dyDescent="0.25">
      <c r="B40" s="1383"/>
      <c r="C40" s="1383"/>
      <c r="D40" s="1383"/>
      <c r="E40" s="1383"/>
      <c r="F40" s="1383"/>
      <c r="G40" s="1383"/>
      <c r="H40" s="1383"/>
      <c r="I40" s="1383"/>
      <c r="J40" s="1383"/>
      <c r="K40" s="1383"/>
      <c r="L40" s="1383"/>
    </row>
    <row r="41" spans="2:12" x14ac:dyDescent="0.25">
      <c r="B41" s="1383"/>
      <c r="C41" s="1383"/>
      <c r="D41" s="1383"/>
      <c r="E41" s="1383"/>
      <c r="F41" s="1383"/>
      <c r="G41" s="1383"/>
      <c r="H41" s="1383"/>
      <c r="I41" s="1383"/>
      <c r="J41" s="1383"/>
      <c r="K41" s="1383"/>
      <c r="L41" s="1383"/>
    </row>
    <row r="42" spans="2:12" x14ac:dyDescent="0.25">
      <c r="B42" s="1383"/>
      <c r="C42" s="1383"/>
      <c r="D42" s="1383"/>
      <c r="E42" s="1383"/>
      <c r="F42" s="1383"/>
      <c r="G42" s="1383"/>
      <c r="H42" s="1383"/>
      <c r="I42" s="1383"/>
      <c r="J42" s="1383"/>
      <c r="K42" s="1383"/>
      <c r="L42" s="1383"/>
    </row>
    <row r="43" spans="2:12" x14ac:dyDescent="0.25">
      <c r="B43" s="1383"/>
      <c r="C43" s="1383"/>
      <c r="D43" s="1383"/>
      <c r="E43" s="1383"/>
      <c r="F43" s="1383"/>
      <c r="G43" s="1383"/>
      <c r="H43" s="1383"/>
      <c r="I43" s="1383"/>
      <c r="J43" s="1383"/>
      <c r="K43" s="1383"/>
      <c r="L43" s="1383"/>
    </row>
    <row r="45" spans="2:12" x14ac:dyDescent="0.25">
      <c r="B45" s="1383"/>
      <c r="C45" s="1383"/>
      <c r="D45" s="1383"/>
      <c r="E45" s="1383"/>
      <c r="F45" s="1383"/>
      <c r="G45" s="1383"/>
      <c r="H45" s="1383"/>
      <c r="I45" s="1383"/>
      <c r="J45" s="1383"/>
      <c r="K45" s="1383"/>
      <c r="L45" s="1383"/>
    </row>
    <row r="48" spans="2:12" x14ac:dyDescent="0.25">
      <c r="B48" s="1383"/>
      <c r="C48" s="1383"/>
      <c r="D48" s="1383"/>
      <c r="E48" s="1383"/>
      <c r="F48" s="1383"/>
      <c r="G48" s="1383"/>
      <c r="H48" s="1383"/>
      <c r="I48" s="1383"/>
      <c r="J48" s="1383"/>
      <c r="K48" s="1383"/>
      <c r="L48" s="1383"/>
    </row>
    <row r="49" spans="2:12" x14ac:dyDescent="0.25">
      <c r="B49" s="1383"/>
      <c r="C49" s="1383"/>
      <c r="D49" s="1383"/>
      <c r="E49" s="1383"/>
      <c r="F49" s="1383"/>
      <c r="G49" s="1383"/>
      <c r="H49" s="1383"/>
      <c r="I49" s="1383"/>
      <c r="J49" s="1383"/>
      <c r="K49" s="1383"/>
      <c r="L49" s="1383"/>
    </row>
    <row r="50" spans="2:12" x14ac:dyDescent="0.25">
      <c r="B50" s="1383"/>
      <c r="C50" s="1383"/>
      <c r="D50" s="1383"/>
      <c r="E50" s="1383"/>
      <c r="F50" s="1383"/>
      <c r="G50" s="1383"/>
      <c r="H50" s="1383"/>
      <c r="I50" s="1383"/>
      <c r="J50" s="1383"/>
      <c r="K50" s="1383"/>
      <c r="L50" s="1383"/>
    </row>
    <row r="52" spans="2:12" x14ac:dyDescent="0.25">
      <c r="B52" s="1383"/>
      <c r="C52" s="1383"/>
      <c r="D52" s="1383"/>
      <c r="E52" s="1383"/>
      <c r="F52" s="1383"/>
      <c r="G52" s="1383"/>
      <c r="H52" s="1383"/>
      <c r="I52" s="1383"/>
      <c r="J52" s="1383"/>
      <c r="K52" s="1383"/>
      <c r="L52" s="1383"/>
    </row>
    <row r="54" spans="2:12" x14ac:dyDescent="0.25">
      <c r="B54" s="1383"/>
      <c r="C54" s="1383"/>
      <c r="D54" s="1383"/>
      <c r="E54" s="1383"/>
      <c r="F54" s="1383"/>
      <c r="G54" s="1383"/>
      <c r="H54" s="1383"/>
      <c r="I54" s="1383"/>
      <c r="J54" s="1383"/>
      <c r="K54" s="1383"/>
      <c r="L54" s="1383"/>
    </row>
    <row r="56" spans="2:12" x14ac:dyDescent="0.25">
      <c r="B56" s="1383"/>
      <c r="C56" s="1383"/>
      <c r="D56" s="1383"/>
      <c r="E56" s="1383"/>
      <c r="F56" s="1383"/>
      <c r="G56" s="1383"/>
      <c r="H56" s="1383"/>
      <c r="I56" s="1383"/>
      <c r="J56" s="1383"/>
      <c r="K56" s="1383"/>
      <c r="L56" s="1383"/>
    </row>
    <row r="57" spans="2:12" x14ac:dyDescent="0.25">
      <c r="B57" s="1383"/>
      <c r="C57" s="1383"/>
      <c r="D57" s="1383"/>
      <c r="E57" s="1383"/>
      <c r="F57" s="1383"/>
      <c r="G57" s="1383"/>
      <c r="H57" s="1383"/>
      <c r="I57" s="1383"/>
      <c r="J57" s="1383"/>
      <c r="K57" s="1383"/>
      <c r="L57" s="1383"/>
    </row>
    <row r="60" spans="2:12" x14ac:dyDescent="0.25">
      <c r="B60" s="1383"/>
      <c r="C60" s="1383"/>
      <c r="D60" s="1383"/>
      <c r="E60" s="1383"/>
      <c r="F60" s="1383"/>
      <c r="G60" s="1383"/>
      <c r="H60" s="1383"/>
      <c r="I60" s="1383"/>
      <c r="J60" s="1383"/>
      <c r="K60" s="1383"/>
      <c r="L60" s="1383"/>
    </row>
    <row r="61" spans="2:12" x14ac:dyDescent="0.25">
      <c r="B61" s="1383"/>
      <c r="C61" s="1383"/>
      <c r="D61" s="1383"/>
      <c r="E61" s="1383"/>
      <c r="F61" s="1383"/>
      <c r="G61" s="1383"/>
      <c r="H61" s="1383"/>
      <c r="I61" s="1383"/>
      <c r="J61" s="1383"/>
      <c r="K61" s="1383"/>
      <c r="L61" s="1383"/>
    </row>
    <row r="62" spans="2:12" x14ac:dyDescent="0.25">
      <c r="B62" s="1383"/>
      <c r="C62" s="1383"/>
      <c r="D62" s="1383"/>
      <c r="E62" s="1383"/>
      <c r="F62" s="1383"/>
      <c r="G62" s="1383"/>
      <c r="H62" s="1383"/>
      <c r="I62" s="1383"/>
      <c r="J62" s="1383"/>
      <c r="K62" s="1383"/>
      <c r="L62" s="1383"/>
    </row>
    <row r="63" spans="2:12" x14ac:dyDescent="0.25">
      <c r="B63" s="1383"/>
      <c r="C63" s="1383"/>
      <c r="D63" s="1383"/>
      <c r="E63" s="1383"/>
      <c r="F63" s="1383"/>
      <c r="G63" s="1383"/>
      <c r="H63" s="1383"/>
      <c r="I63" s="1383"/>
      <c r="J63" s="1383"/>
      <c r="K63" s="1383"/>
      <c r="L63" s="1383"/>
    </row>
    <row r="64" spans="2:12" x14ac:dyDescent="0.25">
      <c r="B64" s="1385"/>
      <c r="C64" s="1385"/>
      <c r="D64" s="1385"/>
      <c r="E64" s="1385"/>
      <c r="F64" s="1385"/>
      <c r="G64" s="1385"/>
      <c r="H64" s="1385"/>
      <c r="I64" s="1385"/>
      <c r="J64" s="1385"/>
      <c r="K64" s="1385"/>
      <c r="L64" s="1385"/>
    </row>
  </sheetData>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42"/>
  <dimension ref="B4:L64"/>
  <sheetViews>
    <sheetView workbookViewId="0"/>
  </sheetViews>
  <sheetFormatPr defaultColWidth="9.140625" defaultRowHeight="14.25" x14ac:dyDescent="0.25"/>
  <cols>
    <col min="1" max="1" width="30.7109375" customWidth="1"/>
    <col min="2" max="12" width="15.7109375" customWidth="1"/>
  </cols>
  <sheetData>
    <row r="4" spans="2:12" x14ac:dyDescent="0.25">
      <c r="B4" s="1383"/>
      <c r="C4" s="1383"/>
      <c r="D4" s="1383"/>
      <c r="E4" s="1383"/>
      <c r="F4" s="1383"/>
      <c r="G4" s="1383"/>
      <c r="H4" s="1383"/>
      <c r="I4" s="1383"/>
      <c r="J4" s="1383"/>
      <c r="K4" s="1383"/>
      <c r="L4" s="1383"/>
    </row>
    <row r="5" spans="2:12" x14ac:dyDescent="0.25">
      <c r="B5" s="1383"/>
      <c r="C5" s="1383"/>
      <c r="D5" s="1383"/>
      <c r="E5" s="1383"/>
      <c r="F5" s="1383"/>
      <c r="G5" s="1383"/>
      <c r="H5" s="1383"/>
      <c r="I5" s="1383"/>
      <c r="J5" s="1383"/>
      <c r="K5" s="1383"/>
      <c r="L5" s="1383"/>
    </row>
    <row r="6" spans="2:12" x14ac:dyDescent="0.25">
      <c r="B6" s="1383"/>
      <c r="C6" s="1383"/>
      <c r="D6" s="1383"/>
      <c r="E6" s="1383"/>
      <c r="F6" s="1383"/>
      <c r="G6" s="1383"/>
      <c r="H6" s="1383"/>
      <c r="I6" s="1383"/>
      <c r="J6" s="1383"/>
      <c r="K6" s="1383"/>
      <c r="L6" s="1383"/>
    </row>
    <row r="7" spans="2:12" x14ac:dyDescent="0.25">
      <c r="B7" s="1383"/>
      <c r="C7" s="1383"/>
      <c r="D7" s="1383"/>
      <c r="E7" s="1383"/>
      <c r="F7" s="1383"/>
      <c r="G7" s="1383"/>
      <c r="H7" s="1383"/>
      <c r="I7" s="1383"/>
      <c r="J7" s="1383"/>
      <c r="K7" s="1383"/>
      <c r="L7" s="1383"/>
    </row>
    <row r="11" spans="2:12" x14ac:dyDescent="0.25">
      <c r="B11" s="1383"/>
      <c r="C11" s="1383"/>
      <c r="D11" s="1383"/>
      <c r="E11" s="1383"/>
      <c r="F11" s="1383"/>
      <c r="G11" s="1383"/>
      <c r="H11" s="1383"/>
      <c r="I11" s="1383"/>
      <c r="J11" s="1383"/>
      <c r="K11" s="1383"/>
      <c r="L11" s="1383"/>
    </row>
    <row r="12" spans="2:12" x14ac:dyDescent="0.25">
      <c r="B12" s="1383"/>
      <c r="C12" s="1383"/>
      <c r="D12" s="1383"/>
      <c r="E12" s="1383"/>
      <c r="F12" s="1383"/>
      <c r="G12" s="1383"/>
      <c r="H12" s="1383"/>
      <c r="I12" s="1383"/>
      <c r="J12" s="1383"/>
      <c r="K12" s="1383"/>
      <c r="L12" s="1383"/>
    </row>
    <row r="13" spans="2:12" x14ac:dyDescent="0.25">
      <c r="B13" s="1383"/>
      <c r="C13" s="1383"/>
      <c r="D13" s="1383"/>
      <c r="E13" s="1383"/>
      <c r="F13" s="1383"/>
      <c r="G13" s="1383"/>
      <c r="H13" s="1383"/>
      <c r="I13" s="1383"/>
      <c r="J13" s="1383"/>
      <c r="K13" s="1383"/>
      <c r="L13" s="1383"/>
    </row>
    <row r="14" spans="2:12" x14ac:dyDescent="0.25">
      <c r="B14" s="1383"/>
      <c r="C14" s="1383"/>
      <c r="D14" s="1383"/>
      <c r="E14" s="1383"/>
      <c r="F14" s="1383"/>
      <c r="G14" s="1383"/>
      <c r="H14" s="1383"/>
      <c r="I14" s="1383"/>
      <c r="J14" s="1383"/>
      <c r="K14" s="1383"/>
      <c r="L14" s="1383"/>
    </row>
    <row r="15" spans="2:12" x14ac:dyDescent="0.25">
      <c r="B15" s="1383"/>
      <c r="C15" s="1383"/>
      <c r="D15" s="1383"/>
      <c r="E15" s="1383"/>
      <c r="F15" s="1383"/>
      <c r="G15" s="1383"/>
      <c r="H15" s="1383"/>
      <c r="I15" s="1383"/>
      <c r="J15" s="1383"/>
      <c r="K15" s="1383"/>
      <c r="L15" s="1383"/>
    </row>
    <row r="16" spans="2:12" x14ac:dyDescent="0.25">
      <c r="B16" s="1383"/>
      <c r="C16" s="1383"/>
      <c r="D16" s="1383"/>
      <c r="E16" s="1383"/>
      <c r="F16" s="1383"/>
      <c r="G16" s="1383"/>
      <c r="H16" s="1383"/>
      <c r="I16" s="1383"/>
      <c r="J16" s="1383"/>
      <c r="K16" s="1383"/>
      <c r="L16" s="1383"/>
    </row>
    <row r="17" spans="2:12" x14ac:dyDescent="0.25">
      <c r="B17" s="1383"/>
      <c r="C17" s="1383"/>
      <c r="D17" s="1383"/>
      <c r="E17" s="1383"/>
      <c r="F17" s="1383"/>
      <c r="G17" s="1383"/>
      <c r="H17" s="1383"/>
      <c r="I17" s="1383"/>
      <c r="J17" s="1383"/>
      <c r="K17" s="1383"/>
      <c r="L17" s="1383"/>
    </row>
    <row r="18" spans="2:12" x14ac:dyDescent="0.25">
      <c r="B18" s="1383"/>
      <c r="C18" s="1383"/>
      <c r="D18" s="1383"/>
      <c r="E18" s="1383"/>
      <c r="F18" s="1383"/>
      <c r="G18" s="1383"/>
      <c r="H18" s="1383"/>
      <c r="I18" s="1383"/>
      <c r="J18" s="1383"/>
      <c r="K18" s="1383"/>
      <c r="L18" s="1383"/>
    </row>
    <row r="19" spans="2:12" x14ac:dyDescent="0.25">
      <c r="B19" s="1383"/>
      <c r="C19" s="1383"/>
      <c r="D19" s="1383"/>
      <c r="E19" s="1383"/>
      <c r="F19" s="1383"/>
      <c r="G19" s="1383"/>
      <c r="H19" s="1383"/>
      <c r="I19" s="1383"/>
      <c r="J19" s="1383"/>
      <c r="K19" s="1383"/>
      <c r="L19" s="1383"/>
    </row>
    <row r="20" spans="2:12" x14ac:dyDescent="0.25">
      <c r="B20" s="1383"/>
      <c r="C20" s="1383"/>
      <c r="D20" s="1383"/>
      <c r="E20" s="1383"/>
      <c r="F20" s="1383"/>
      <c r="G20" s="1383"/>
      <c r="H20" s="1383"/>
      <c r="I20" s="1383"/>
      <c r="J20" s="1383"/>
      <c r="K20" s="1383"/>
      <c r="L20" s="1383"/>
    </row>
    <row r="22" spans="2:12" x14ac:dyDescent="0.25">
      <c r="B22" s="1383"/>
      <c r="C22" s="1383"/>
      <c r="D22" s="1383"/>
      <c r="E22" s="1383"/>
      <c r="F22" s="1383"/>
      <c r="G22" s="1383"/>
      <c r="H22" s="1383"/>
      <c r="I22" s="1383"/>
      <c r="J22" s="1383"/>
      <c r="K22" s="1383"/>
      <c r="L22" s="1383"/>
    </row>
    <row r="24" spans="2:12" x14ac:dyDescent="0.25">
      <c r="B24" s="1383"/>
      <c r="C24" s="1383"/>
      <c r="D24" s="1383"/>
      <c r="E24" s="1383"/>
      <c r="F24" s="1383"/>
      <c r="G24" s="1383"/>
      <c r="H24" s="1383"/>
      <c r="I24" s="1383"/>
      <c r="J24" s="1383"/>
      <c r="K24" s="1383"/>
      <c r="L24" s="1383"/>
    </row>
    <row r="27" spans="2:12" x14ac:dyDescent="0.25">
      <c r="B27" s="1383"/>
      <c r="C27" s="1383"/>
      <c r="D27" s="1383"/>
      <c r="E27" s="1383"/>
      <c r="F27" s="1383"/>
      <c r="G27" s="1383"/>
      <c r="H27" s="1383"/>
      <c r="I27" s="1383"/>
      <c r="J27" s="1383"/>
      <c r="K27" s="1383"/>
      <c r="L27" s="1383"/>
    </row>
    <row r="28" spans="2:12" x14ac:dyDescent="0.25">
      <c r="B28" s="1383"/>
      <c r="C28" s="1383"/>
      <c r="D28" s="1383"/>
      <c r="E28" s="1383"/>
      <c r="F28" s="1383"/>
      <c r="G28" s="1383"/>
      <c r="H28" s="1383"/>
      <c r="I28" s="1383"/>
      <c r="J28" s="1383"/>
      <c r="K28" s="1383"/>
      <c r="L28" s="1383"/>
    </row>
    <row r="30" spans="2:12" x14ac:dyDescent="0.25">
      <c r="B30" s="1383"/>
      <c r="C30" s="1383"/>
      <c r="D30" s="1383"/>
      <c r="E30" s="1383"/>
      <c r="F30" s="1383"/>
      <c r="G30" s="1383"/>
      <c r="H30" s="1383"/>
      <c r="I30" s="1383"/>
      <c r="J30" s="1383"/>
      <c r="K30" s="1383"/>
      <c r="L30" s="1383"/>
    </row>
    <row r="33" spans="2:12" x14ac:dyDescent="0.25">
      <c r="B33" s="1383"/>
      <c r="C33" s="1383"/>
      <c r="D33" s="1383"/>
      <c r="E33" s="1383"/>
      <c r="F33" s="1383"/>
      <c r="G33" s="1383"/>
      <c r="H33" s="1383"/>
      <c r="I33" s="1383"/>
      <c r="J33" s="1383"/>
      <c r="K33" s="1383"/>
      <c r="L33" s="1383"/>
    </row>
    <row r="34" spans="2:12" x14ac:dyDescent="0.25">
      <c r="B34" s="1383"/>
      <c r="C34" s="1383"/>
      <c r="D34" s="1383"/>
      <c r="E34" s="1383"/>
      <c r="F34" s="1383"/>
      <c r="G34" s="1383"/>
      <c r="H34" s="1383"/>
      <c r="I34" s="1383"/>
      <c r="J34" s="1383"/>
      <c r="K34" s="1383"/>
      <c r="L34" s="1383"/>
    </row>
    <row r="35" spans="2:12" x14ac:dyDescent="0.25">
      <c r="B35" s="1383"/>
      <c r="C35" s="1383"/>
      <c r="D35" s="1383"/>
      <c r="E35" s="1383"/>
      <c r="F35" s="1383"/>
      <c r="G35" s="1383"/>
      <c r="H35" s="1383"/>
      <c r="I35" s="1383"/>
      <c r="J35" s="1383"/>
      <c r="K35" s="1383"/>
      <c r="L35" s="1383"/>
    </row>
    <row r="36" spans="2:12" x14ac:dyDescent="0.25">
      <c r="B36" s="1383"/>
      <c r="C36" s="1383"/>
      <c r="D36" s="1383"/>
      <c r="E36" s="1383"/>
      <c r="F36" s="1383"/>
      <c r="G36" s="1383"/>
      <c r="H36" s="1383"/>
      <c r="I36" s="1383"/>
      <c r="J36" s="1383"/>
      <c r="K36" s="1383"/>
      <c r="L36" s="1383"/>
    </row>
    <row r="37" spans="2:12" x14ac:dyDescent="0.25">
      <c r="B37" s="1383"/>
      <c r="C37" s="1383"/>
      <c r="D37" s="1383"/>
      <c r="E37" s="1383"/>
      <c r="F37" s="1383"/>
      <c r="G37" s="1383"/>
      <c r="H37" s="1383"/>
      <c r="I37" s="1383"/>
      <c r="J37" s="1383"/>
      <c r="K37" s="1383"/>
      <c r="L37" s="1383"/>
    </row>
    <row r="38" spans="2:12" x14ac:dyDescent="0.25">
      <c r="B38" s="1383"/>
      <c r="C38" s="1383"/>
      <c r="D38" s="1383"/>
      <c r="E38" s="1383"/>
      <c r="F38" s="1383"/>
      <c r="G38" s="1383"/>
      <c r="H38" s="1383"/>
      <c r="I38" s="1383"/>
      <c r="J38" s="1383"/>
      <c r="K38" s="1383"/>
      <c r="L38" s="1383"/>
    </row>
    <row r="39" spans="2:12" x14ac:dyDescent="0.25">
      <c r="B39" s="1383"/>
      <c r="C39" s="1383"/>
      <c r="D39" s="1383"/>
      <c r="E39" s="1383"/>
      <c r="F39" s="1383"/>
      <c r="G39" s="1383"/>
      <c r="H39" s="1383"/>
      <c r="I39" s="1383"/>
      <c r="J39" s="1383"/>
      <c r="K39" s="1383"/>
      <c r="L39" s="1383"/>
    </row>
    <row r="40" spans="2:12" x14ac:dyDescent="0.25">
      <c r="B40" s="1383"/>
      <c r="C40" s="1383"/>
      <c r="D40" s="1383"/>
      <c r="E40" s="1383"/>
      <c r="F40" s="1383"/>
      <c r="G40" s="1383"/>
      <c r="H40" s="1383"/>
      <c r="I40" s="1383"/>
      <c r="J40" s="1383"/>
      <c r="K40" s="1383"/>
      <c r="L40" s="1383"/>
    </row>
    <row r="41" spans="2:12" x14ac:dyDescent="0.25">
      <c r="B41" s="1383"/>
      <c r="C41" s="1383"/>
      <c r="D41" s="1383"/>
      <c r="E41" s="1383"/>
      <c r="F41" s="1383"/>
      <c r="G41" s="1383"/>
      <c r="H41" s="1383"/>
      <c r="I41" s="1383"/>
      <c r="J41" s="1383"/>
      <c r="K41" s="1383"/>
      <c r="L41" s="1383"/>
    </row>
    <row r="42" spans="2:12" x14ac:dyDescent="0.25">
      <c r="B42" s="1383"/>
      <c r="C42" s="1383"/>
      <c r="D42" s="1383"/>
      <c r="E42" s="1383"/>
      <c r="F42" s="1383"/>
      <c r="G42" s="1383"/>
      <c r="H42" s="1383"/>
      <c r="I42" s="1383"/>
      <c r="J42" s="1383"/>
      <c r="K42" s="1383"/>
      <c r="L42" s="1383"/>
    </row>
    <row r="43" spans="2:12" x14ac:dyDescent="0.25">
      <c r="B43" s="1383"/>
      <c r="C43" s="1383"/>
      <c r="D43" s="1383"/>
      <c r="E43" s="1383"/>
      <c r="F43" s="1383"/>
      <c r="G43" s="1383"/>
      <c r="H43" s="1383"/>
      <c r="I43" s="1383"/>
      <c r="J43" s="1383"/>
      <c r="K43" s="1383"/>
      <c r="L43" s="1383"/>
    </row>
    <row r="45" spans="2:12" x14ac:dyDescent="0.25">
      <c r="B45" s="1383"/>
      <c r="C45" s="1383"/>
      <c r="D45" s="1383"/>
      <c r="E45" s="1383"/>
      <c r="F45" s="1383"/>
      <c r="G45" s="1383"/>
      <c r="H45" s="1383"/>
      <c r="I45" s="1383"/>
      <c r="J45" s="1383"/>
      <c r="K45" s="1383"/>
      <c r="L45" s="1383"/>
    </row>
    <row r="48" spans="2:12" x14ac:dyDescent="0.25">
      <c r="B48" s="1383"/>
      <c r="C48" s="1383"/>
      <c r="D48" s="1383"/>
      <c r="E48" s="1383"/>
      <c r="F48" s="1383"/>
      <c r="G48" s="1383"/>
      <c r="H48" s="1383"/>
      <c r="I48" s="1383"/>
      <c r="J48" s="1383"/>
      <c r="K48" s="1383"/>
      <c r="L48" s="1383"/>
    </row>
    <row r="49" spans="2:12" x14ac:dyDescent="0.25">
      <c r="B49" s="1383"/>
      <c r="C49" s="1383"/>
      <c r="D49" s="1383"/>
      <c r="E49" s="1383"/>
      <c r="F49" s="1383"/>
      <c r="G49" s="1383"/>
      <c r="H49" s="1383"/>
      <c r="I49" s="1383"/>
      <c r="J49" s="1383"/>
      <c r="K49" s="1383"/>
      <c r="L49" s="1383"/>
    </row>
    <row r="50" spans="2:12" x14ac:dyDescent="0.25">
      <c r="B50" s="1383"/>
      <c r="C50" s="1383"/>
      <c r="D50" s="1383"/>
      <c r="E50" s="1383"/>
      <c r="F50" s="1383"/>
      <c r="G50" s="1383"/>
      <c r="H50" s="1383"/>
      <c r="I50" s="1383"/>
      <c r="J50" s="1383"/>
      <c r="K50" s="1383"/>
      <c r="L50" s="1383"/>
    </row>
    <row r="52" spans="2:12" x14ac:dyDescent="0.25">
      <c r="B52" s="1383"/>
      <c r="C52" s="1383"/>
      <c r="D52" s="1383"/>
      <c r="E52" s="1383"/>
      <c r="F52" s="1383"/>
      <c r="G52" s="1383"/>
      <c r="H52" s="1383"/>
      <c r="I52" s="1383"/>
      <c r="J52" s="1383"/>
      <c r="K52" s="1383"/>
      <c r="L52" s="1383"/>
    </row>
    <row r="54" spans="2:12" x14ac:dyDescent="0.25">
      <c r="B54" s="1383"/>
      <c r="C54" s="1383"/>
      <c r="D54" s="1383"/>
      <c r="E54" s="1383"/>
      <c r="F54" s="1383"/>
      <c r="G54" s="1383"/>
      <c r="H54" s="1383"/>
      <c r="I54" s="1383"/>
      <c r="J54" s="1383"/>
      <c r="K54" s="1383"/>
      <c r="L54" s="1383"/>
    </row>
    <row r="56" spans="2:12" x14ac:dyDescent="0.25">
      <c r="B56" s="1383"/>
      <c r="C56" s="1383"/>
      <c r="D56" s="1383"/>
      <c r="E56" s="1383"/>
      <c r="F56" s="1383"/>
      <c r="G56" s="1383"/>
      <c r="H56" s="1383"/>
      <c r="I56" s="1383"/>
      <c r="J56" s="1383"/>
      <c r="K56" s="1383"/>
      <c r="L56" s="1383"/>
    </row>
    <row r="57" spans="2:12" x14ac:dyDescent="0.25">
      <c r="B57" s="1383"/>
      <c r="C57" s="1383"/>
      <c r="D57" s="1383"/>
      <c r="E57" s="1383"/>
      <c r="F57" s="1383"/>
      <c r="G57" s="1383"/>
      <c r="H57" s="1383"/>
      <c r="I57" s="1383"/>
      <c r="J57" s="1383"/>
      <c r="K57" s="1383"/>
      <c r="L57" s="1383"/>
    </row>
    <row r="60" spans="2:12" x14ac:dyDescent="0.25">
      <c r="B60" s="1383"/>
      <c r="C60" s="1383"/>
      <c r="D60" s="1383"/>
      <c r="E60" s="1383"/>
      <c r="F60" s="1383"/>
      <c r="G60" s="1383"/>
      <c r="H60" s="1383"/>
      <c r="I60" s="1383"/>
      <c r="J60" s="1383"/>
      <c r="K60" s="1383"/>
      <c r="L60" s="1383"/>
    </row>
    <row r="61" spans="2:12" x14ac:dyDescent="0.25">
      <c r="B61" s="1383"/>
      <c r="C61" s="1383"/>
      <c r="D61" s="1383"/>
      <c r="E61" s="1383"/>
      <c r="F61" s="1383"/>
      <c r="G61" s="1383"/>
      <c r="H61" s="1383"/>
      <c r="I61" s="1383"/>
      <c r="J61" s="1383"/>
      <c r="K61" s="1383"/>
      <c r="L61" s="1383"/>
    </row>
    <row r="62" spans="2:12" x14ac:dyDescent="0.25">
      <c r="B62" s="1383"/>
      <c r="C62" s="1383"/>
      <c r="D62" s="1383"/>
      <c r="E62" s="1383"/>
      <c r="F62" s="1383"/>
      <c r="G62" s="1383"/>
      <c r="H62" s="1383"/>
      <c r="I62" s="1383"/>
      <c r="J62" s="1383"/>
      <c r="K62" s="1383"/>
      <c r="L62" s="1383"/>
    </row>
    <row r="63" spans="2:12" x14ac:dyDescent="0.25">
      <c r="B63" s="1383"/>
      <c r="C63" s="1383"/>
      <c r="D63" s="1383"/>
      <c r="E63" s="1383"/>
      <c r="F63" s="1383"/>
      <c r="G63" s="1383"/>
      <c r="H63" s="1383"/>
      <c r="I63" s="1383"/>
      <c r="J63" s="1383"/>
      <c r="K63" s="1383"/>
      <c r="L63" s="1383"/>
    </row>
    <row r="64" spans="2:12" x14ac:dyDescent="0.25">
      <c r="B64" s="1385"/>
      <c r="C64" s="1385"/>
      <c r="D64" s="1385"/>
      <c r="E64" s="1385"/>
      <c r="F64" s="1385"/>
      <c r="G64" s="1385"/>
      <c r="H64" s="1385"/>
      <c r="I64" s="1385"/>
      <c r="J64" s="1385"/>
      <c r="K64" s="1385"/>
      <c r="L64" s="138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98</vt:i4>
      </vt:variant>
      <vt:variant>
        <vt:lpstr>Named Ranges</vt:lpstr>
      </vt:variant>
      <vt:variant>
        <vt:i4>3731</vt:i4>
      </vt:variant>
    </vt:vector>
  </HeadingPairs>
  <TitlesOfParts>
    <vt:vector size="3829" baseType="lpstr">
      <vt:lpstr>Main</vt:lpstr>
      <vt:lpstr>Subject</vt:lpstr>
      <vt:lpstr>Salient Facts</vt:lpstr>
      <vt:lpstr>Value Indications</vt:lpstr>
      <vt:lpstr>RegionalBLS</vt:lpstr>
      <vt:lpstr>RegionalLBX</vt:lpstr>
      <vt:lpstr>NeighborhoodLBX</vt:lpstr>
      <vt:lpstr>RegionalESRI</vt:lpstr>
      <vt:lpstr>NeighborhoodESRI</vt:lpstr>
      <vt:lpstr>BLS Tables</vt:lpstr>
      <vt:lpstr>A States</vt:lpstr>
      <vt:lpstr>B C D E Metro Areas</vt:lpstr>
      <vt:lpstr>F County</vt:lpstr>
      <vt:lpstr>G H J Cities Towns LMAs</vt:lpstr>
      <vt:lpstr>JsonPayload</vt:lpstr>
      <vt:lpstr>MapCoord</vt:lpstr>
      <vt:lpstr>ESRI_Rings</vt:lpstr>
      <vt:lpstr>ESRI_Geography</vt:lpstr>
      <vt:lpstr>ESRI_EmplByIndus</vt:lpstr>
      <vt:lpstr>Building Area Breakdown</vt:lpstr>
      <vt:lpstr>Tax Schedule</vt:lpstr>
      <vt:lpstr>Tax Comps</vt:lpstr>
      <vt:lpstr>Market Study</vt:lpstr>
      <vt:lpstr>MS Charts</vt:lpstr>
      <vt:lpstr>MS Data</vt:lpstr>
      <vt:lpstr>Land Summary Light</vt:lpstr>
      <vt:lpstr>Land Summary Detailed</vt:lpstr>
      <vt:lpstr>Land Adjustments</vt:lpstr>
      <vt:lpstr>Building RCN</vt:lpstr>
      <vt:lpstr>Cost Comps</vt:lpstr>
      <vt:lpstr>Other RCN</vt:lpstr>
      <vt:lpstr>Depreciation Extraction</vt:lpstr>
      <vt:lpstr>Cost Depreciation</vt:lpstr>
      <vt:lpstr>Cost Approach Schedule</vt:lpstr>
      <vt:lpstr>Insurable Cost</vt:lpstr>
      <vt:lpstr>Land Adjustments 1</vt:lpstr>
      <vt:lpstr>Land Adjustments 2</vt:lpstr>
      <vt:lpstr>Improved Sales Summary Light</vt:lpstr>
      <vt:lpstr>Improved Sales Summary Detailed</vt:lpstr>
      <vt:lpstr>Automated Sales Adjustments</vt:lpstr>
      <vt:lpstr>Specialty Sales Adjustments</vt:lpstr>
      <vt:lpstr>Improved Sales Adjustments</vt:lpstr>
      <vt:lpstr>Automated Bucket 1 Sales Adj</vt:lpstr>
      <vt:lpstr>Specialty Bucket 1 Sales Adj</vt:lpstr>
      <vt:lpstr>Improved Sales Adjustments 1</vt:lpstr>
      <vt:lpstr>Automated Bucket 2 Sales Adj</vt:lpstr>
      <vt:lpstr>Specialty Bucket 2 Sales Adj</vt:lpstr>
      <vt:lpstr>Improved Sales Adjustments 2</vt:lpstr>
      <vt:lpstr>EGIM Analysis</vt:lpstr>
      <vt:lpstr>Absorption</vt:lpstr>
      <vt:lpstr>Lease-Up</vt:lpstr>
      <vt:lpstr>Income Assumptions</vt:lpstr>
      <vt:lpstr>GL Rent</vt:lpstr>
      <vt:lpstr>Rent Summary Light</vt:lpstr>
      <vt:lpstr>Rent Summary Detail</vt:lpstr>
      <vt:lpstr>Automated Rent Adjustments</vt:lpstr>
      <vt:lpstr>Rent Adjustments</vt:lpstr>
      <vt:lpstr>Rent Adjustments 1</vt:lpstr>
      <vt:lpstr>Rent Adjustments 2</vt:lpstr>
      <vt:lpstr>Rent Roll</vt:lpstr>
      <vt:lpstr>Rent Roll - DP-Manual Entry</vt:lpstr>
      <vt:lpstr>Rent Roll Breakdown</vt:lpstr>
      <vt:lpstr>Lease Expiration</vt:lpstr>
      <vt:lpstr>Income Support</vt:lpstr>
      <vt:lpstr>Income Expense History</vt:lpstr>
      <vt:lpstr>Expense Comps</vt:lpstr>
      <vt:lpstr>Other Income Estimates</vt:lpstr>
      <vt:lpstr>Expense Estimates</vt:lpstr>
      <vt:lpstr>Market OAR</vt:lpstr>
      <vt:lpstr>BOI Investor Surveys</vt:lpstr>
      <vt:lpstr>InvestorSurveys</vt:lpstr>
      <vt:lpstr>Direct Capitalization</vt:lpstr>
      <vt:lpstr>DCF 2</vt:lpstr>
      <vt:lpstr>DCF 3</vt:lpstr>
      <vt:lpstr>DCF Reversion</vt:lpstr>
      <vt:lpstr>Blank1</vt:lpstr>
      <vt:lpstr>Blank2</vt:lpstr>
      <vt:lpstr>Blank3</vt:lpstr>
      <vt:lpstr>Blank4</vt:lpstr>
      <vt:lpstr>USPS</vt:lpstr>
      <vt:lpstr>ARGUS - Resale 1</vt:lpstr>
      <vt:lpstr>ARGUS - Resale 2</vt:lpstr>
      <vt:lpstr>ARGUS - Resale 3</vt:lpstr>
      <vt:lpstr>Moodys CLS</vt:lpstr>
      <vt:lpstr>Selection Tables</vt:lpstr>
      <vt:lpstr>DCF 1</vt:lpstr>
      <vt:lpstr>Narrative</vt:lpstr>
      <vt:lpstr>RawDemosLBX</vt:lpstr>
      <vt:lpstr>Wells Fargo</vt:lpstr>
      <vt:lpstr>Revisions-Additions History</vt:lpstr>
      <vt:lpstr>CoStar01</vt:lpstr>
      <vt:lpstr>CoStar02</vt:lpstr>
      <vt:lpstr>CoStar03</vt:lpstr>
      <vt:lpstr>CoStar04</vt:lpstr>
      <vt:lpstr>ARGUS - Tenant Rent Roll</vt:lpstr>
      <vt:lpstr>ARGUS - Cash Flow 1</vt:lpstr>
      <vt:lpstr>ARGUS - Cash Flow 2</vt:lpstr>
      <vt:lpstr>ARGUS - Cash Flow 3</vt:lpstr>
      <vt:lpstr>'Automated Sales Adjustments'!_FilterDatabase_1</vt:lpstr>
      <vt:lpstr>'Improved Sales Adjustments'!_FilterDatabase_1</vt:lpstr>
      <vt:lpstr>'Improved Sales Adjustments 1'!_FilterDatabase_1</vt:lpstr>
      <vt:lpstr>'Specialty Sales Adjustments'!_FilterDatabase_1</vt:lpstr>
      <vt:lpstr>'Automated Sales Adjustments'!_FilterDatabase_2</vt:lpstr>
      <vt:lpstr>'Improved Sales Adjustments'!_FilterDatabase_2</vt:lpstr>
      <vt:lpstr>'Specialty Sales Adjustments'!_FilterDatabase_2</vt:lpstr>
      <vt:lpstr>Absorption_Categories</vt:lpstr>
      <vt:lpstr>Absorption_Comps</vt:lpstr>
      <vt:lpstr>Absorption_Period</vt:lpstr>
      <vt:lpstr>Absorption_Prospects</vt:lpstr>
      <vt:lpstr>Absorption_Weight</vt:lpstr>
      <vt:lpstr>AddDeduct_DefMaint</vt:lpstr>
      <vt:lpstr>AddDeduct_LeaseHold</vt:lpstr>
      <vt:lpstr>AddDeduct_LeaseUp</vt:lpstr>
      <vt:lpstr>AddDeduct_UserDef1</vt:lpstr>
      <vt:lpstr>AddDeduct_UserDef2</vt:lpstr>
      <vt:lpstr>AdjSelect_LeaseHold_Cost</vt:lpstr>
      <vt:lpstr>AdjSelect_LeaseHold_Income</vt:lpstr>
      <vt:lpstr>AdjSelect_LeaseHold_SCA</vt:lpstr>
      <vt:lpstr>AdjSelect_LeaseUp_Cost</vt:lpstr>
      <vt:lpstr>AdjSelect_LeaseUp_Income</vt:lpstr>
      <vt:lpstr>AdjSelect_LeaseUp_SCA</vt:lpstr>
      <vt:lpstr>AdjSelect_UserDef1_Cost</vt:lpstr>
      <vt:lpstr>AdjSelect_UserDef1_IncomeDCF</vt:lpstr>
      <vt:lpstr>AdjSelect_UserDef1_IncomeDirectCap</vt:lpstr>
      <vt:lpstr>AdjSelect_UserDef1_SCA</vt:lpstr>
      <vt:lpstr>AdjSelect_UserDef2_Cost</vt:lpstr>
      <vt:lpstr>AdjSelect_UserDef2_IncomeDCF</vt:lpstr>
      <vt:lpstr>AdjSelect_UserDef2_IncomeDirectCap</vt:lpstr>
      <vt:lpstr>AdjSelect_UserDef2_SCA</vt:lpstr>
      <vt:lpstr>Analysis_ID_1_DirectCap</vt:lpstr>
      <vt:lpstr>Analysis_ID_1_EGIM</vt:lpstr>
      <vt:lpstr>Analysis_ID_1_Sales</vt:lpstr>
      <vt:lpstr>Analysis_ID_1_SalesComponents</vt:lpstr>
      <vt:lpstr>Analysis_ID_2_DirectCap</vt:lpstr>
      <vt:lpstr>Analysis_ID_2_EGIM</vt:lpstr>
      <vt:lpstr>Analysis_ID_2_Sales</vt:lpstr>
      <vt:lpstr>Analysis_ID_2_SalesComponents</vt:lpstr>
      <vt:lpstr>Analysis_ID_3_DirectCap</vt:lpstr>
      <vt:lpstr>Analysis_ID_3_EGIM</vt:lpstr>
      <vt:lpstr>Analysis_ID_3_Sales</vt:lpstr>
      <vt:lpstr>Analysis_ID_3_SalesComponents</vt:lpstr>
      <vt:lpstr>Analysis_ID_DCF1</vt:lpstr>
      <vt:lpstr>Analysis_ID_DCF2</vt:lpstr>
      <vt:lpstr>Analysis_ID_DCF3</vt:lpstr>
      <vt:lpstr>Analysis_Line_1_Cost</vt:lpstr>
      <vt:lpstr>Analysis_Line_1_DCF1</vt:lpstr>
      <vt:lpstr>Analysis_Line_1_DCF2</vt:lpstr>
      <vt:lpstr>Analysis_Line_1_DCF3</vt:lpstr>
      <vt:lpstr>Analysis_Line_1_DirectCap</vt:lpstr>
      <vt:lpstr>Analysis_Line_1_EGIM</vt:lpstr>
      <vt:lpstr>Analysis_Line_1_Sales</vt:lpstr>
      <vt:lpstr>Analysis_Line_1_SalesComponents</vt:lpstr>
      <vt:lpstr>Analysis_Line_2_Sales</vt:lpstr>
      <vt:lpstr>Analysis_Location_Cost</vt:lpstr>
      <vt:lpstr>Analysis_Location_EGIM</vt:lpstr>
      <vt:lpstr>Analysis_Location_Income_DCF1</vt:lpstr>
      <vt:lpstr>Analysis_Location_Income_DCF2</vt:lpstr>
      <vt:lpstr>Analysis_Location_Income_DCF3</vt:lpstr>
      <vt:lpstr>Analysis_Location_Income_DirectCap</vt:lpstr>
      <vt:lpstr>Analysis_Location_Sales</vt:lpstr>
      <vt:lpstr>Analysis_Location_SalesComponents</vt:lpstr>
      <vt:lpstr>Appraiser1ContinueEd</vt:lpstr>
      <vt:lpstr>Appraiser1Designation</vt:lpstr>
      <vt:lpstr>Appraiser1Name</vt:lpstr>
      <vt:lpstr>Appraiser2ContinueEd</vt:lpstr>
      <vt:lpstr>Appraiser2Designation</vt:lpstr>
      <vt:lpstr>Appraiser2Name</vt:lpstr>
      <vt:lpstr>Appraiser3ContinueEd</vt:lpstr>
      <vt:lpstr>Appraiser3Designation</vt:lpstr>
      <vt:lpstr>Appraiser3Name</vt:lpstr>
      <vt:lpstr>ARGUS_CashFlow1_Array</vt:lpstr>
      <vt:lpstr>ARGUS_CashFlow2_Array</vt:lpstr>
      <vt:lpstr>ARGUS_CashFlow3_Array</vt:lpstr>
      <vt:lpstr>ARGUS_Resale_Array1</vt:lpstr>
      <vt:lpstr>ARGUS_Resale_Array2</vt:lpstr>
      <vt:lpstr>ARGUS_Resale_Array3</vt:lpstr>
      <vt:lpstr>ARGUS_TenantRentRollArray</vt:lpstr>
      <vt:lpstr>AutoAdj_Marshall_DepreciationTable</vt:lpstr>
      <vt:lpstr>AutoAdj_Marshall_DepreciationTable_1</vt:lpstr>
      <vt:lpstr>AutoAdj_Marshall_DepreciationTable_2</vt:lpstr>
      <vt:lpstr>autoopen</vt:lpstr>
      <vt:lpstr>blanksheetlist</vt:lpstr>
      <vt:lpstr>BLS_Filtered_State</vt:lpstr>
      <vt:lpstr>BLS_Series0_ID</vt:lpstr>
      <vt:lpstr>BLS_Series0_Name</vt:lpstr>
      <vt:lpstr>BLS_Series1_ID</vt:lpstr>
      <vt:lpstr>BLS_Series1_Name</vt:lpstr>
      <vt:lpstr>BLS_Series2_ID</vt:lpstr>
      <vt:lpstr>BLS_Series2_Name</vt:lpstr>
      <vt:lpstr>BLS_Series3_ID</vt:lpstr>
      <vt:lpstr>BLS_Series3_Name</vt:lpstr>
      <vt:lpstr>BLS_Series4_ID</vt:lpstr>
      <vt:lpstr>BLS_Series4_Name</vt:lpstr>
      <vt:lpstr>BLS_State_Filter</vt:lpstr>
      <vt:lpstr>BLS_Unemployment_Rates_Table</vt:lpstr>
      <vt:lpstr>BLS_YrEnd</vt:lpstr>
      <vt:lpstr>BuildingAreaCalc1</vt:lpstr>
      <vt:lpstr>BuildingAreaCalc2</vt:lpstr>
      <vt:lpstr>BuildingAreaCalc3</vt:lpstr>
      <vt:lpstr>CashFlowList</vt:lpstr>
      <vt:lpstr>Chart_VacancyOptions_List</vt:lpstr>
      <vt:lpstr>comboboxfilterslist</vt:lpstr>
      <vt:lpstr>Cost_BaseCost_Interior_1</vt:lpstr>
      <vt:lpstr>Cost_BaseCost_Interior_2</vt:lpstr>
      <vt:lpstr>Cost_BaseRefine_Interior_1</vt:lpstr>
      <vt:lpstr>Cost_BaseRefine_Interior_2</vt:lpstr>
      <vt:lpstr>Cost_ClearHeight_Total</vt:lpstr>
      <vt:lpstr>Cost_CostComp_Table</vt:lpstr>
      <vt:lpstr>Cost_CostComps_GBARange</vt:lpstr>
      <vt:lpstr>Cost_CostComps_HardRange</vt:lpstr>
      <vt:lpstr>Cost_CostComps_SoftRange</vt:lpstr>
      <vt:lpstr>Cost_CostComps_TimeAdjRange</vt:lpstr>
      <vt:lpstr>Cost_CostComps_TotalRange</vt:lpstr>
      <vt:lpstr>Cost_Curable_Columns</vt:lpstr>
      <vt:lpstr>Cost_Curable_Row</vt:lpstr>
      <vt:lpstr>Cost_DepreciationMethod</vt:lpstr>
      <vt:lpstr>Cost_DepreciationRateMethod</vt:lpstr>
      <vt:lpstr>Cost_DirectBldgCost_Interior_1</vt:lpstr>
      <vt:lpstr>Cost_DirectBldgCost_Interior_2</vt:lpstr>
      <vt:lpstr>Cost_EffectiveAge_WA</vt:lpstr>
      <vt:lpstr>Cost_External1_Row</vt:lpstr>
      <vt:lpstr>Cost_External2_Row</vt:lpstr>
      <vt:lpstr>Cost_ExternalFO1_Column</vt:lpstr>
      <vt:lpstr>Cost_ExternalFO2_Column</vt:lpstr>
      <vt:lpstr>Cost_GBA_Total</vt:lpstr>
      <vt:lpstr>Cost_Incurable1_Row</vt:lpstr>
      <vt:lpstr>Cost_Incurable2_Row</vt:lpstr>
      <vt:lpstr>Cost_IncurableDM1_Column</vt:lpstr>
      <vt:lpstr>Cost_IncurableDM2_Column</vt:lpstr>
      <vt:lpstr>Cost_IncurableEA1_Column</vt:lpstr>
      <vt:lpstr>Cost_IncurableEA2_Column</vt:lpstr>
      <vt:lpstr>Cost_IncurableEL1_Column</vt:lpstr>
      <vt:lpstr>Cost_IncurableEL2_Column</vt:lpstr>
      <vt:lpstr>Cost_IncurableME_AvgDepRange</vt:lpstr>
      <vt:lpstr>Cost_IncurableME_EffectiveAgeRange</vt:lpstr>
      <vt:lpstr>Cost_IncurableME_GBARange</vt:lpstr>
      <vt:lpstr>Cost_IncurableShort_Columns</vt:lpstr>
      <vt:lpstr>Cost_IncurableShort_Row</vt:lpstr>
      <vt:lpstr>Cost_Indirect_UserDefined_Area</vt:lpstr>
      <vt:lpstr>Cost_NumFloors_Total</vt:lpstr>
      <vt:lpstr>Cost_RCNBase1_Column</vt:lpstr>
      <vt:lpstr>Cost_RCNBase2_Column</vt:lpstr>
      <vt:lpstr>Cost_RCNID1_Column</vt:lpstr>
      <vt:lpstr>Cost_RCNID2_Column</vt:lpstr>
      <vt:lpstr>Cost_RCNIndirect1_Column</vt:lpstr>
      <vt:lpstr>Cost_RCNIndirect2_Column</vt:lpstr>
      <vt:lpstr>Cost_RCNTotal1_Row</vt:lpstr>
      <vt:lpstr>Cost_RCNTotal2_Row</vt:lpstr>
      <vt:lpstr>Cost_SiteImpCurrent_Column</vt:lpstr>
      <vt:lpstr>Cost_SiteImpID_Column</vt:lpstr>
      <vt:lpstr>Cost_SiteImpLocal_Column</vt:lpstr>
      <vt:lpstr>Cost_SiteImpQuantity_Column</vt:lpstr>
      <vt:lpstr>Cost_SiteImpQuantity1</vt:lpstr>
      <vt:lpstr>Cost_SiteImpQuantity10</vt:lpstr>
      <vt:lpstr>Cost_SiteImpQuantity2</vt:lpstr>
      <vt:lpstr>Cost_SiteImpQuantity3</vt:lpstr>
      <vt:lpstr>Cost_SiteImpQuantity4</vt:lpstr>
      <vt:lpstr>Cost_SiteImpQuantity5</vt:lpstr>
      <vt:lpstr>Cost_SiteImpQuantity6</vt:lpstr>
      <vt:lpstr>Cost_SiteImpQuantity7</vt:lpstr>
      <vt:lpstr>Cost_SiteImpQuantity8</vt:lpstr>
      <vt:lpstr>Cost_SiteImpQuantity9</vt:lpstr>
      <vt:lpstr>Cost_SiteImpTotal_Row</vt:lpstr>
      <vt:lpstr>Cost_SiteImpUnitCost_Column</vt:lpstr>
      <vt:lpstr>Cost_SiteImpUnitCost1</vt:lpstr>
      <vt:lpstr>Cost_SiteImpUnitCost1_Option</vt:lpstr>
      <vt:lpstr>Cost_SiteImpUnitCost10</vt:lpstr>
      <vt:lpstr>Cost_SiteImpUnitCost10_Option</vt:lpstr>
      <vt:lpstr>Cost_SiteImpUnitCost2</vt:lpstr>
      <vt:lpstr>Cost_SiteImpUnitCost2_Option</vt:lpstr>
      <vt:lpstr>Cost_SiteImpUnitCost3</vt:lpstr>
      <vt:lpstr>Cost_SiteImpUnitCost3_Option</vt:lpstr>
      <vt:lpstr>Cost_SiteImpUnitCost4</vt:lpstr>
      <vt:lpstr>Cost_SiteImpUnitCost4_Option</vt:lpstr>
      <vt:lpstr>Cost_SiteImpUnitCost5</vt:lpstr>
      <vt:lpstr>Cost_SiteImpUnitCost5_Option</vt:lpstr>
      <vt:lpstr>Cost_SiteImpUnitCost6</vt:lpstr>
      <vt:lpstr>Cost_SiteImpUnitCost6_Option</vt:lpstr>
      <vt:lpstr>Cost_SiteImpUnitCost7</vt:lpstr>
      <vt:lpstr>Cost_SiteImpUnitCost7_Option</vt:lpstr>
      <vt:lpstr>Cost_SiteImpUnitCost8</vt:lpstr>
      <vt:lpstr>Cost_SiteImpUnitCost8_Option</vt:lpstr>
      <vt:lpstr>Cost_SiteImpUnitCost9</vt:lpstr>
      <vt:lpstr>Cost_SiteImpUnitCost9_Option</vt:lpstr>
      <vt:lpstr>Cost_TimeMult_List</vt:lpstr>
      <vt:lpstr>Cost_YOC_Total</vt:lpstr>
      <vt:lpstr>CoStar_Array_Absorption_1A</vt:lpstr>
      <vt:lpstr>CoStar_Array_Absorption_1B</vt:lpstr>
      <vt:lpstr>CoStar_Array_Absorption_2A</vt:lpstr>
      <vt:lpstr>CoStar_Array_Absorption_2B</vt:lpstr>
      <vt:lpstr>CoStar_Array_Inventory_1A</vt:lpstr>
      <vt:lpstr>CoStar_Array_Inventory_1B</vt:lpstr>
      <vt:lpstr>CoStar_Array_Inventory_2A</vt:lpstr>
      <vt:lpstr>CoStar_Array_Inventory_2B</vt:lpstr>
      <vt:lpstr>CoStar_Array_Rent_1A</vt:lpstr>
      <vt:lpstr>CoStar_Array_Rent_1B</vt:lpstr>
      <vt:lpstr>CoStar_Array_Rent_2A</vt:lpstr>
      <vt:lpstr>CoStar_Array_Rent_2B</vt:lpstr>
      <vt:lpstr>CoStar_Array_Vacancy_1</vt:lpstr>
      <vt:lpstr>CoStar_Array_Vacancy_1A</vt:lpstr>
      <vt:lpstr>CoStar_Array_Vacancy_1B</vt:lpstr>
      <vt:lpstr>CoStar_Array_Vacancy_2</vt:lpstr>
      <vt:lpstr>CoStar_Array_Vacancy_2A</vt:lpstr>
      <vt:lpstr>CoStar_Array_Vacancy_2B</vt:lpstr>
      <vt:lpstr>CoStar_Col1_HeaderA</vt:lpstr>
      <vt:lpstr>CoStar_Col1_HeaderB</vt:lpstr>
      <vt:lpstr>CoStar_Col1_HeaderC</vt:lpstr>
      <vt:lpstr>CoStar_Col1_Selection</vt:lpstr>
      <vt:lpstr>CoStar_Col2_HeaderA</vt:lpstr>
      <vt:lpstr>CoStar_Col2_HeaderB</vt:lpstr>
      <vt:lpstr>CoStar_Col2_HeaderC</vt:lpstr>
      <vt:lpstr>CoStar_Col2_Selection</vt:lpstr>
      <vt:lpstr>CoStar_Col3_HeaderA</vt:lpstr>
      <vt:lpstr>CoStar_Col3_HeaderB</vt:lpstr>
      <vt:lpstr>CoStar_Col3_HeaderC</vt:lpstr>
      <vt:lpstr>CoStar_Col3_Selection</vt:lpstr>
      <vt:lpstr>CoStar_Col4_HeaderA</vt:lpstr>
      <vt:lpstr>CoStar_Col4_HeaderB</vt:lpstr>
      <vt:lpstr>CoStar_Col4_HeaderC</vt:lpstr>
      <vt:lpstr>CoStar_Col4_Selection</vt:lpstr>
      <vt:lpstr>CoStar_Col5_HeaderA</vt:lpstr>
      <vt:lpstr>CoStar_Col5_HeaderB</vt:lpstr>
      <vt:lpstr>CoStar_Col5_HeaderC</vt:lpstr>
      <vt:lpstr>CoStar_Col5_Selection</vt:lpstr>
      <vt:lpstr>CoStar_DataSet_Inventory_1A</vt:lpstr>
      <vt:lpstr>CoStar_DataSet_Inventory_1B</vt:lpstr>
      <vt:lpstr>CoStar_DataSet_Inventory_2A</vt:lpstr>
      <vt:lpstr>CoStar_DataSet_Inventory_2B</vt:lpstr>
      <vt:lpstr>CoStar_DataSet_List</vt:lpstr>
      <vt:lpstr>CoStar_DataSet_Rent_1A</vt:lpstr>
      <vt:lpstr>CoStar_DataSet_Rent_1B</vt:lpstr>
      <vt:lpstr>CoStar_DataSet_Rent_2A</vt:lpstr>
      <vt:lpstr>CoStar_DataSet_Rent_2B</vt:lpstr>
      <vt:lpstr>CoStar_DataSet_Vacancy_1A</vt:lpstr>
      <vt:lpstr>CoStar_DataSet_Vacancy_1B</vt:lpstr>
      <vt:lpstr>CoStar_DataSet_Vacancy_2A</vt:lpstr>
      <vt:lpstr>CoStar_DataSet_Vacancy_2B</vt:lpstr>
      <vt:lpstr>CoStar_DataSet_VacancyOption</vt:lpstr>
      <vt:lpstr>CoStar_Interval_Inventory</vt:lpstr>
      <vt:lpstr>CoStar_Interval_Master</vt:lpstr>
      <vt:lpstr>CoStar_Interval_RentTrends</vt:lpstr>
      <vt:lpstr>CoStar_Interval_VacancyAbsorb</vt:lpstr>
      <vt:lpstr>CoStar_Inventory_Array</vt:lpstr>
      <vt:lpstr>CoStar_Periods_Inventory</vt:lpstr>
      <vt:lpstr>CoStar_Periods_Master</vt:lpstr>
      <vt:lpstr>CoStar_Periods_RentTrends</vt:lpstr>
      <vt:lpstr>CoStar_Rent_Array</vt:lpstr>
      <vt:lpstr>CoStar_Rent_Data_1A</vt:lpstr>
      <vt:lpstr>CoStar_Rent_Data_1B</vt:lpstr>
      <vt:lpstr>CoStar_Rent_Data_2A</vt:lpstr>
      <vt:lpstr>CoStar_Rent_Data_2B</vt:lpstr>
      <vt:lpstr>CoStar_RowOffset_Absorption</vt:lpstr>
      <vt:lpstr>CoStar_RowOffset_Inventory</vt:lpstr>
      <vt:lpstr>CoStar_RowOffset_Master</vt:lpstr>
      <vt:lpstr>CoStar_RowOffset_Rent</vt:lpstr>
      <vt:lpstr>CoStar_RowOffset_VacancyAbsorb</vt:lpstr>
      <vt:lpstr>CoStar_Sector1_Master</vt:lpstr>
      <vt:lpstr>CoStar_Sector2_Master</vt:lpstr>
      <vt:lpstr>CoStar_Sector3_Master</vt:lpstr>
      <vt:lpstr>CoStar_Sector4_Master</vt:lpstr>
      <vt:lpstr>CoStar_VacancyAbsorb_Array</vt:lpstr>
      <vt:lpstr>CoStar_VacancyAbsorb_ArrayHeader_1A</vt:lpstr>
      <vt:lpstr>CoStar_VacancyAbsorb_ArrayHeader_1B</vt:lpstr>
      <vt:lpstr>CoStar_VacancyAbsorb_ArrayHeader_2A</vt:lpstr>
      <vt:lpstr>CoStar_VacancyAbsorb_ArrayHeader_2B</vt:lpstr>
      <vt:lpstr>CoStar01Array</vt:lpstr>
      <vt:lpstr>CoStar01ArrayHeaderRow</vt:lpstr>
      <vt:lpstr>CoStar02Array</vt:lpstr>
      <vt:lpstr>CoStar02ArrayHeaderRow</vt:lpstr>
      <vt:lpstr>CoStar03Array</vt:lpstr>
      <vt:lpstr>CoStar03ArrayHeaderRow</vt:lpstr>
      <vt:lpstr>CoStar04Array</vt:lpstr>
      <vt:lpstr>CoStar04ArrayHeaderRow</vt:lpstr>
      <vt:lpstr>CostComps</vt:lpstr>
      <vt:lpstr>CostComps_ScenarioSelection</vt:lpstr>
      <vt:lpstr>CostCompsList</vt:lpstr>
      <vt:lpstr>costmethodlist</vt:lpstr>
      <vt:lpstr>costratemethodlist</vt:lpstr>
      <vt:lpstr>csref1</vt:lpstr>
      <vt:lpstr>csref2</vt:lpstr>
      <vt:lpstr>csref3</vt:lpstr>
      <vt:lpstr>Datappraise_RentRoll</vt:lpstr>
      <vt:lpstr>Datappraise_RentRoll_TenantCount</vt:lpstr>
      <vt:lpstr>Date_Inspect</vt:lpstr>
      <vt:lpstr>Date_Report</vt:lpstr>
      <vt:lpstr>datesvaluelist</vt:lpstr>
      <vt:lpstr>datevalueinclist</vt:lpstr>
      <vt:lpstr>deferredlist</vt:lpstr>
      <vt:lpstr>DeferredMaintenance_Scenario</vt:lpstr>
      <vt:lpstr>DeferredMaintenance_ScenarioSelection</vt:lpstr>
      <vt:lpstr>DemosList</vt:lpstr>
      <vt:lpstr>DirectCapRentDisplay</vt:lpstr>
      <vt:lpstr>DirectCapRentDisplayList</vt:lpstr>
      <vt:lpstr>DOV1_Selection</vt:lpstr>
      <vt:lpstr>DOV2_Selection</vt:lpstr>
      <vt:lpstr>DOV3_Selection</vt:lpstr>
      <vt:lpstr>dpAbsorption_Categories</vt:lpstr>
      <vt:lpstr>dpAbsorption_DataSet_1A</vt:lpstr>
      <vt:lpstr>dpAbsorption_DataSet_1B</vt:lpstr>
      <vt:lpstr>dpAbsorption_DataSet_2A</vt:lpstr>
      <vt:lpstr>dpAbsorption_DataSet_2B</vt:lpstr>
      <vt:lpstr>dpAbsorption_Location_1A</vt:lpstr>
      <vt:lpstr>dpAbsorption_Location_1B</vt:lpstr>
      <vt:lpstr>dpAbsorption_Location_2A</vt:lpstr>
      <vt:lpstr>dpAbsorption_Location_2B</vt:lpstr>
      <vt:lpstr>dpAbsorption_MonthlyEstimate</vt:lpstr>
      <vt:lpstr>dpAbsorption_Property_1A</vt:lpstr>
      <vt:lpstr>dpAbsorption_Property_1B</vt:lpstr>
      <vt:lpstr>dpAbsorption_Property_2A</vt:lpstr>
      <vt:lpstr>dpAbsorption_Property_2B</vt:lpstr>
      <vt:lpstr>dpAbsorption_Table</vt:lpstr>
      <vt:lpstr>dpAbsorptionComps_Table</vt:lpstr>
      <vt:lpstr>dpAbsorptionCoStar_Table</vt:lpstr>
      <vt:lpstr>dpAbsorptionEstimate_Table</vt:lpstr>
      <vt:lpstr>dpAbsorptionProspects_Table</vt:lpstr>
      <vt:lpstr>dpAutoAdj_DepreciationTable</vt:lpstr>
      <vt:lpstr>dpAutoAdj_DepreciationTable_1</vt:lpstr>
      <vt:lpstr>dpAutoAdj_DepreciationTable_2</vt:lpstr>
      <vt:lpstr>dpBuilding_AgeLife_Summary</vt:lpstr>
      <vt:lpstr>dpBuilding_Area_Breakdown</vt:lpstr>
      <vt:lpstr>dpBuilding_Area_Summary</vt:lpstr>
      <vt:lpstr>dpCollect_CL</vt:lpstr>
      <vt:lpstr>dpCollect_DiscRate</vt:lpstr>
      <vt:lpstr>dpCollect_EffectiveDate_Imp</vt:lpstr>
      <vt:lpstr>dpCollect_EffectiveDate_Land</vt:lpstr>
      <vt:lpstr>dpCollect_EGI</vt:lpstr>
      <vt:lpstr>dpCollect_ExpenseTotal</vt:lpstr>
      <vt:lpstr>dpCollect_NOI</vt:lpstr>
      <vt:lpstr>dpCollect_OAR</vt:lpstr>
      <vt:lpstr>dpCollect_PGI</vt:lpstr>
      <vt:lpstr>dpCollect_TermRate</vt:lpstr>
      <vt:lpstr>dpCollect_Vacancy_Actual</vt:lpstr>
      <vt:lpstr>dpCollect_Vacancy_Stab</vt:lpstr>
      <vt:lpstr>dpCollect_Value_Improved</vt:lpstr>
      <vt:lpstr>dpCollect_Value_Land</vt:lpstr>
      <vt:lpstr>dpCost_ApproachTable</vt:lpstr>
      <vt:lpstr>dpCost_BaseCost_Table</vt:lpstr>
      <vt:lpstr>dpCost_BaseRefine_Table</vt:lpstr>
      <vt:lpstr>dpCost_CostComp_Table</vt:lpstr>
      <vt:lpstr>dpCost_CostCompIndication</vt:lpstr>
      <vt:lpstr>dpCost_CostCompIndication_Table</vt:lpstr>
      <vt:lpstr>dpCost_CostCompIndicationPSF</vt:lpstr>
      <vt:lpstr>dpCost_CostCompStatistics_Table</vt:lpstr>
      <vt:lpstr>dpCost_CurableItemCost_Total</vt:lpstr>
      <vt:lpstr>dpCost_CurableItemCost_Total_Word</vt:lpstr>
      <vt:lpstr>dpCost_CurableTable</vt:lpstr>
      <vt:lpstr>dpCost_DeferMaintExhibited</vt:lpstr>
      <vt:lpstr>dpCost_DepreciatedCost_Imp</vt:lpstr>
      <vt:lpstr>dpCost_DepreciationMethod_Statement</vt:lpstr>
      <vt:lpstr>dpCost_DICN_DevBudget</vt:lpstr>
      <vt:lpstr>dpCost_DICN_MSwift</vt:lpstr>
      <vt:lpstr>dpCost_DICN_Reconciled</vt:lpstr>
      <vt:lpstr>dpCost_DICN_Table</vt:lpstr>
      <vt:lpstr>dpCost_DICN_Variance</vt:lpstr>
      <vt:lpstr>dpCost_DICNComparison_Table</vt:lpstr>
      <vt:lpstr>dpCost_DirectBuildingCost_Table</vt:lpstr>
      <vt:lpstr>dpCost_DirectBuildingCost_Total</vt:lpstr>
      <vt:lpstr>dpCost_DirectBuildingCost_Total_PSF</vt:lpstr>
      <vt:lpstr>dpCost_DirectSiteImpCost_Table</vt:lpstr>
      <vt:lpstr>dpCost_DM_ProfitIncentive</vt:lpstr>
      <vt:lpstr>dpCost_External_Obs_Statement</vt:lpstr>
      <vt:lpstr>dpCost_External_Obsolescence</vt:lpstr>
      <vt:lpstr>dpCost_ExternalBreakout_Table</vt:lpstr>
      <vt:lpstr>dpCost_ExternalObsTable</vt:lpstr>
      <vt:lpstr>dpCost_Functional_Obs_Statement</vt:lpstr>
      <vt:lpstr>dpCost_Functional_Obsolescence</vt:lpstr>
      <vt:lpstr>dpCost_IncurableCostME_Total</vt:lpstr>
      <vt:lpstr>dpCost_IncurableLongAL_Table</vt:lpstr>
      <vt:lpstr>dpCost_IncurableLongALBreakout_Table</vt:lpstr>
      <vt:lpstr>dpCost_IncurableLongCost_Percent</vt:lpstr>
      <vt:lpstr>dpCost_IncurableLongCost_Statement</vt:lpstr>
      <vt:lpstr>dpCost_IncurableLongCost_Total</vt:lpstr>
      <vt:lpstr>dpCost_IncurableLongCostAL_Total</vt:lpstr>
      <vt:lpstr>dpCost_IncurableLongEAL_Table</vt:lpstr>
      <vt:lpstr>dpCost_IncurableME_Table</vt:lpstr>
      <vt:lpstr>dpCost_IncurableMEAL_Table</vt:lpstr>
      <vt:lpstr>dpCost_IncurableMEAnnual</vt:lpstr>
      <vt:lpstr>dpCost_IncurableMEStatistics_Table</vt:lpstr>
      <vt:lpstr>dpCost_IncurableMETotal</vt:lpstr>
      <vt:lpstr>dpCost_IncurableShortItemCost_Total</vt:lpstr>
      <vt:lpstr>dpCost_IncurableShortTable</vt:lpstr>
      <vt:lpstr>dpCost_IndicatedValue1</vt:lpstr>
      <vt:lpstr>dpCost_IndicatedValue2</vt:lpstr>
      <vt:lpstr>dpCost_IndicatedValue3</vt:lpstr>
      <vt:lpstr>dpCost_IndirectCost_Table</vt:lpstr>
      <vt:lpstr>dpCost_IndirectCost_Total</vt:lpstr>
      <vt:lpstr>dpCost_InsurableCostExclusionTotal</vt:lpstr>
      <vt:lpstr>dpCost_InsurableCostTable</vt:lpstr>
      <vt:lpstr>dpCost_Land_Inflation</vt:lpstr>
      <vt:lpstr>dpCost_LandValue</vt:lpstr>
      <vt:lpstr>dpCost_MS_Class1</vt:lpstr>
      <vt:lpstr>dpCost_MS_Date1</vt:lpstr>
      <vt:lpstr>dpCost_MS_Page1</vt:lpstr>
      <vt:lpstr>dpCost_MS_Quality1</vt:lpstr>
      <vt:lpstr>dpCost_MS_Section1</vt:lpstr>
      <vt:lpstr>dpCost_MS_Type1</vt:lpstr>
      <vt:lpstr>dpCost_PreliminaryValue</vt:lpstr>
      <vt:lpstr>dpCost_Profit_Percent</vt:lpstr>
      <vt:lpstr>dpCost_Profit_Statement</vt:lpstr>
      <vt:lpstr>dpCost_Profit_Table</vt:lpstr>
      <vt:lpstr>dpCost_Profit_Total</vt:lpstr>
      <vt:lpstr>dpCost_RCN_Table</vt:lpstr>
      <vt:lpstr>dpCost_RCN_Total</vt:lpstr>
      <vt:lpstr>dpCost_RCNBreakout_Table</vt:lpstr>
      <vt:lpstr>dpCost_SiteImpCost_Total</vt:lpstr>
      <vt:lpstr>dpCost_Soft_Percent</vt:lpstr>
      <vt:lpstr>dpCost_Soft_Total</vt:lpstr>
      <vt:lpstr>dpCost_SprinklerStatement</vt:lpstr>
      <vt:lpstr>dpCost_TotalAccruedDep_Narrative</vt:lpstr>
      <vt:lpstr>dpCost_TotalAccruedDepreciation</vt:lpstr>
      <vt:lpstr>dpCost_TotalObsolescence</vt:lpstr>
      <vt:lpstr>dpCost_TotalPhysicalDeterioration</vt:lpstr>
      <vt:lpstr>dpCost_Unit_Of_Measure_Land</vt:lpstr>
      <vt:lpstr>dpCost_ValueConclusionBreakout_Table</vt:lpstr>
      <vt:lpstr>dpEmployment_Chart</vt:lpstr>
      <vt:lpstr>dpExpense_Admin_Years</vt:lpstr>
      <vt:lpstr>dpExpense_CAM_Years</vt:lpstr>
      <vt:lpstr>dpExpense_CJ_Years</vt:lpstr>
      <vt:lpstr>dpExpense_Insurance_Years</vt:lpstr>
      <vt:lpstr>dpExpense_LandlordCosts_Years</vt:lpstr>
      <vt:lpstr>dpExpense_Leasing_Years</vt:lpstr>
      <vt:lpstr>dpExpense_MgmtFees_Years</vt:lpstr>
      <vt:lpstr>dpExpense_OtherOps_Years</vt:lpstr>
      <vt:lpstr>dpExpense_OtherTax_Years</vt:lpstr>
      <vt:lpstr>dpExpense_Payroll_Years</vt:lpstr>
      <vt:lpstr>dpExpense_RealEstateTax_Years</vt:lpstr>
      <vt:lpstr>dpExpense_RepairsMaintenance_Years</vt:lpstr>
      <vt:lpstr>dpExpense_ReplacementReserves_Years</vt:lpstr>
      <vt:lpstr>dpExpense_RG_Years</vt:lpstr>
      <vt:lpstr>dpExpense_Security_Years</vt:lpstr>
      <vt:lpstr>dpExpense_Utilities_Years</vt:lpstr>
      <vt:lpstr>dpHBU_Label_Improved_Text</vt:lpstr>
      <vt:lpstr>dpHBU_Label_Improved_Title</vt:lpstr>
      <vt:lpstr>dpHBU_Label_Vacant_Text</vt:lpstr>
      <vt:lpstr>dpHBU_Label_Vacant_Title</vt:lpstr>
      <vt:lpstr>dpHBU_Zoned?</vt:lpstr>
      <vt:lpstr>dpIncome_ActualOccupancy</vt:lpstr>
      <vt:lpstr>dpIncome_BOI_CapRate</vt:lpstr>
      <vt:lpstr>dpIncome_BOI_LoadedCapRate</vt:lpstr>
      <vt:lpstr>dpIncome_BOI_Table</vt:lpstr>
      <vt:lpstr>dpIncome_CollectionLoss</vt:lpstr>
      <vt:lpstr>dpIncome_Commissions_New</vt:lpstr>
      <vt:lpstr>dpIncome_Commissions_Renewal</vt:lpstr>
      <vt:lpstr>dpIncome_ContractLeaseStructure</vt:lpstr>
      <vt:lpstr>dpIncome_ContractLeaseStructure_Plural</vt:lpstr>
      <vt:lpstr>dpIncome_ContractRent_Average</vt:lpstr>
      <vt:lpstr>dpIncome_DataSet_Vacancy_1</vt:lpstr>
      <vt:lpstr>dpIncome_DataSet_Vacancy_2</vt:lpstr>
      <vt:lpstr>dpIncome_DCF_CashFlow_Narrative</vt:lpstr>
      <vt:lpstr>dpIncome_DCF_CashFlows_Narrative</vt:lpstr>
      <vt:lpstr>dpIncome_DCF_COS</vt:lpstr>
      <vt:lpstr>dpIncome_DCF_HoldingPeriod_Narrative</vt:lpstr>
      <vt:lpstr>dpIncome_DCF_ReversionTable</vt:lpstr>
      <vt:lpstr>dpIncome_DCF1_Table</vt:lpstr>
      <vt:lpstr>dpIncome_DCF2_Table</vt:lpstr>
      <vt:lpstr>dpIncome_DCF3_Table</vt:lpstr>
      <vt:lpstr>dpIncome_DCFAssumptionsTable</vt:lpstr>
      <vt:lpstr>dpIncome_DCR_CapRate</vt:lpstr>
      <vt:lpstr>dpIncome_DCR_Table</vt:lpstr>
      <vt:lpstr>dpIncome_Direct_Capitalization_Table</vt:lpstr>
      <vt:lpstr>dpIncome_DirectCap_EGI</vt:lpstr>
      <vt:lpstr>dpIncome_DirectCap_NOITable</vt:lpstr>
      <vt:lpstr>dpIncome_DirectCap_VacancyCollectionLoss</vt:lpstr>
      <vt:lpstr>dpIncome_DirectCapAssumptionsTable</vt:lpstr>
      <vt:lpstr>dpIncome_DiscRate1</vt:lpstr>
      <vt:lpstr>dpIncome_DiscRate2</vt:lpstr>
      <vt:lpstr>dpIncome_DiscRate3</vt:lpstr>
      <vt:lpstr>dpIncome_EGI</vt:lpstr>
      <vt:lpstr>dpIncome_Expense_Admin_Narrative</vt:lpstr>
      <vt:lpstr>dpIncome_Expense_Admin_Relativity</vt:lpstr>
      <vt:lpstr>dpIncome_Expense_Admin_Stabilized</vt:lpstr>
      <vt:lpstr>dpIncome_Expense_Admin_Year1</vt:lpstr>
      <vt:lpstr>dpIncome_Expense_Admin_Year2</vt:lpstr>
      <vt:lpstr>dpIncome_Expense_Admin_Year3</vt:lpstr>
      <vt:lpstr>dpIncome_Expense_CAM_Narrative</vt:lpstr>
      <vt:lpstr>dpIncome_Expense_CAM_Relativity</vt:lpstr>
      <vt:lpstr>dpIncome_Expense_CAM_Stabilized</vt:lpstr>
      <vt:lpstr>dpIncome_Expense_CAM_Year1</vt:lpstr>
      <vt:lpstr>dpIncome_Expense_CAM_Year2</vt:lpstr>
      <vt:lpstr>dpIncome_Expense_CAM_Year3</vt:lpstr>
      <vt:lpstr>dpIncome_Expense_CJ_Narrative</vt:lpstr>
      <vt:lpstr>dpIncome_Expense_CJ_Relativity</vt:lpstr>
      <vt:lpstr>dpIncome_Expense_CJ_Stabilized</vt:lpstr>
      <vt:lpstr>dpIncome_Expense_CJ_Year1</vt:lpstr>
      <vt:lpstr>dpIncome_Expense_CJ_Year2</vt:lpstr>
      <vt:lpstr>dpIncome_Expense_CJ_Year3</vt:lpstr>
      <vt:lpstr>dpIncome_Expense_Comps_Table</vt:lpstr>
      <vt:lpstr>dpIncome_Expense_Insurance_Narrative</vt:lpstr>
      <vt:lpstr>dpIncome_Expense_Insurance_Relativity</vt:lpstr>
      <vt:lpstr>dpIncome_Expense_Insurance_Stabilized</vt:lpstr>
      <vt:lpstr>dpIncome_Expense_Insurance_Year1</vt:lpstr>
      <vt:lpstr>dpIncome_Expense_Insurance_Year2</vt:lpstr>
      <vt:lpstr>dpIncome_Expense_Insurance_Year3</vt:lpstr>
      <vt:lpstr>dpIncome_Expense_LC_Narrative</vt:lpstr>
      <vt:lpstr>dpIncome_Expense_LC_Relativity</vt:lpstr>
      <vt:lpstr>dpIncome_Expense_LC_Stabilized</vt:lpstr>
      <vt:lpstr>dpIncome_Expense_LC_Year1</vt:lpstr>
      <vt:lpstr>dpIncome_Expense_LC_Year2</vt:lpstr>
      <vt:lpstr>dpIncome_Expense_LC_Year3</vt:lpstr>
      <vt:lpstr>dpIncome_Expense_Leasing_Narrative</vt:lpstr>
      <vt:lpstr>dpIncome_Expense_Leasing_Relativity</vt:lpstr>
      <vt:lpstr>dpIncome_Expense_Leasing_Stabilized</vt:lpstr>
      <vt:lpstr>dpIncome_Expense_Leasing_Year1</vt:lpstr>
      <vt:lpstr>dpIncome_Expense_Leasing_Year2</vt:lpstr>
      <vt:lpstr>dpIncome_Expense_Leasing_Year3</vt:lpstr>
      <vt:lpstr>dpIncome_Expense_MgmtFees_Narrative</vt:lpstr>
      <vt:lpstr>dpIncome_Expense_MgmtFees_Relativity</vt:lpstr>
      <vt:lpstr>dpIncome_Expense_MgmtFees_Stabilized</vt:lpstr>
      <vt:lpstr>dpIncome_Expense_MgmtFees_Year1</vt:lpstr>
      <vt:lpstr>dpIncome_Expense_MgmtFees_Year2</vt:lpstr>
      <vt:lpstr>dpIncome_Expense_MgmtFees_Year3</vt:lpstr>
      <vt:lpstr>dpIncome_Expense_NonReimbTotalPSF</vt:lpstr>
      <vt:lpstr>dpIncome_Expense_OtherOps_Narrative</vt:lpstr>
      <vt:lpstr>dpIncome_Expense_OtherOps_Relativity</vt:lpstr>
      <vt:lpstr>dpIncome_Expense_OtherOps_Stabilized</vt:lpstr>
      <vt:lpstr>dpIncome_Expense_OtherOps_Year1</vt:lpstr>
      <vt:lpstr>dpIncome_Expense_OtherOps_Year2</vt:lpstr>
      <vt:lpstr>dpIncome_Expense_OtherOps_Year3</vt:lpstr>
      <vt:lpstr>dpIncome_Expense_OtherTax_Narrative</vt:lpstr>
      <vt:lpstr>dpIncome_Expense_OtherTax_Relativity</vt:lpstr>
      <vt:lpstr>dpIncome_Expense_OtherTaxes_Stabilized</vt:lpstr>
      <vt:lpstr>dpIncome_Expense_OtherTaxes_Year1</vt:lpstr>
      <vt:lpstr>dpIncome_Expense_OtherTaxes_Year2</vt:lpstr>
      <vt:lpstr>dpIncome_Expense_OtherTaxes_Year3</vt:lpstr>
      <vt:lpstr>dpIncome_Expense_Payroll_Narrative</vt:lpstr>
      <vt:lpstr>dpIncome_Expense_Payroll_Relativity</vt:lpstr>
      <vt:lpstr>dpIncome_Expense_Payroll_Stabilized</vt:lpstr>
      <vt:lpstr>dpIncome_Expense_Payroll_Year1</vt:lpstr>
      <vt:lpstr>dpIncome_Expense_Payroll_Year2</vt:lpstr>
      <vt:lpstr>dpIncome_Expense_Payroll_Year3</vt:lpstr>
      <vt:lpstr>dpIncome_Expense_ReimbStatement</vt:lpstr>
      <vt:lpstr>dpIncome_Expense_ReimbTitle</vt:lpstr>
      <vt:lpstr>dpIncome_Expense_ReimbTotal</vt:lpstr>
      <vt:lpstr>dpIncome_Expense_ReimbTotalPSF</vt:lpstr>
      <vt:lpstr>dpIncome_Expense_Reserves_Avg</vt:lpstr>
      <vt:lpstr>dpIncome_Expense_Reserves_Max</vt:lpstr>
      <vt:lpstr>dpIncome_Expense_Reserves_Min</vt:lpstr>
      <vt:lpstr>dpIncome_Expense_Reserves_Narrative</vt:lpstr>
      <vt:lpstr>dpIncome_Expense_Reserves_Relativity</vt:lpstr>
      <vt:lpstr>dpIncome_Expense_Reserves_Stabilized</vt:lpstr>
      <vt:lpstr>dpIncome_Expense_Reserves_Year1</vt:lpstr>
      <vt:lpstr>dpIncome_Expense_Reserves_Year2</vt:lpstr>
      <vt:lpstr>dpIncome_Expense_Reserves_Year3</vt:lpstr>
      <vt:lpstr>dpIncome_Expense_RETax_Narrative</vt:lpstr>
      <vt:lpstr>dpIncome_Expense_RETax_Relativity</vt:lpstr>
      <vt:lpstr>dpIncome_Expense_RETax_Stabilized</vt:lpstr>
      <vt:lpstr>dpIncome_Expense_RETax_Year1</vt:lpstr>
      <vt:lpstr>dpIncome_Expense_RETax_Year2</vt:lpstr>
      <vt:lpstr>dpIncome_Expense_RETax_Year3</vt:lpstr>
      <vt:lpstr>dpIncome_Expense_RG_Narrative</vt:lpstr>
      <vt:lpstr>dpIncome_Expense_RG_Relativity</vt:lpstr>
      <vt:lpstr>dpIncome_Expense_RG_Stabilized</vt:lpstr>
      <vt:lpstr>dpIncome_Expense_RG_Year1</vt:lpstr>
      <vt:lpstr>dpIncome_Expense_RG_Year2</vt:lpstr>
      <vt:lpstr>dpIncome_Expense_RG_Year3</vt:lpstr>
      <vt:lpstr>dpIncome_Expense_RM_Narrative</vt:lpstr>
      <vt:lpstr>dpIncome_Expense_RM_Relativity</vt:lpstr>
      <vt:lpstr>dpIncome_Expense_RM_Stabilized</vt:lpstr>
      <vt:lpstr>dpIncome_Expense_RM_Year1</vt:lpstr>
      <vt:lpstr>dpIncome_Expense_RM_Year2</vt:lpstr>
      <vt:lpstr>dpIncome_Expense_RM_Year3</vt:lpstr>
      <vt:lpstr>dpIncome_Expense_Security_Narrative</vt:lpstr>
      <vt:lpstr>dpIncome_Expense_Security_Relativity</vt:lpstr>
      <vt:lpstr>dpIncome_Expense_Security_Stabilized</vt:lpstr>
      <vt:lpstr>dpIncome_Expense_Security_Year1</vt:lpstr>
      <vt:lpstr>dpIncome_Expense_Security_Year2</vt:lpstr>
      <vt:lpstr>dpIncome_Expense_Security_Year3</vt:lpstr>
      <vt:lpstr>dpIncome_Expense_StaborYr1</vt:lpstr>
      <vt:lpstr>dpIncome_Expense_Total</vt:lpstr>
      <vt:lpstr>dpIncome_Expense_TotalOperatingExpenses_Stabilized</vt:lpstr>
      <vt:lpstr>dpIncome_Expense_TotalOperatingExpenses_Year1</vt:lpstr>
      <vt:lpstr>dpIncome_Expense_TotalOperatingExpenses_Year2</vt:lpstr>
      <vt:lpstr>dpIncome_Expense_TotalOperatingExpenses_Year3</vt:lpstr>
      <vt:lpstr>dpIncome_Expense_TotalPSF</vt:lpstr>
      <vt:lpstr>dpIncome_Expense_Utilities_Narrative</vt:lpstr>
      <vt:lpstr>dpIncome_Expense_Utilities_Relativity</vt:lpstr>
      <vt:lpstr>dpIncome_Expense_Utilities_Stabilized</vt:lpstr>
      <vt:lpstr>dpIncome_Expense_Utilities_Year1</vt:lpstr>
      <vt:lpstr>dpIncome_Expense_Utilities_Year2</vt:lpstr>
      <vt:lpstr>dpIncome_Expense_Utilities_Year3</vt:lpstr>
      <vt:lpstr>dpIncome_ExpenseCat_1</vt:lpstr>
      <vt:lpstr>dpIncome_ExpenseCat_10</vt:lpstr>
      <vt:lpstr>dpIncome_ExpenseCat_11</vt:lpstr>
      <vt:lpstr>dpIncome_ExpenseCat_12</vt:lpstr>
      <vt:lpstr>dpIncome_ExpenseCat_13</vt:lpstr>
      <vt:lpstr>dpIncome_ExpenseCat_14</vt:lpstr>
      <vt:lpstr>dpIncome_ExpenseCat_15</vt:lpstr>
      <vt:lpstr>dpIncome_ExpenseCat_16</vt:lpstr>
      <vt:lpstr>dpIncome_ExpenseCat_17</vt:lpstr>
      <vt:lpstr>dpIncome_ExpenseCat_2</vt:lpstr>
      <vt:lpstr>dpIncome_ExpenseCat_3</vt:lpstr>
      <vt:lpstr>dpIncome_ExpenseCat_4</vt:lpstr>
      <vt:lpstr>dpIncome_ExpenseCat_5</vt:lpstr>
      <vt:lpstr>dpIncome_ExpenseCat_6</vt:lpstr>
      <vt:lpstr>dpIncome_ExpenseCat_7</vt:lpstr>
      <vt:lpstr>dpIncome_ExpenseCat_8</vt:lpstr>
      <vt:lpstr>dpIncome_ExpenseCat_9</vt:lpstr>
      <vt:lpstr>dpIncome_ExpenseGrowth1</vt:lpstr>
      <vt:lpstr>dpIncome_ExpenseGrowth2</vt:lpstr>
      <vt:lpstr>dpIncome_ExpenseGrowth3</vt:lpstr>
      <vt:lpstr>dpIncome_ExpenseGrowth4</vt:lpstr>
      <vt:lpstr>dpIncome_ExpenseStatement</vt:lpstr>
      <vt:lpstr>dpIncome_ExpenseTable_Admin</vt:lpstr>
      <vt:lpstr>dpIncome_ExpenseTable_CAM</vt:lpstr>
      <vt:lpstr>dpIncome_ExpenseTable_CJ</vt:lpstr>
      <vt:lpstr>dpIncome_ExpenseTable_Insurance</vt:lpstr>
      <vt:lpstr>dpIncome_ExpenseTable_LC</vt:lpstr>
      <vt:lpstr>dpIncome_ExpenseTable_Leasing</vt:lpstr>
      <vt:lpstr>dpIncome_ExpenseTable_MgmtFees</vt:lpstr>
      <vt:lpstr>dpIncome_ExpenseTable_Organized</vt:lpstr>
      <vt:lpstr>dpIncome_ExpenseTable_OtherOps</vt:lpstr>
      <vt:lpstr>dpIncome_ExpenseTable_OtherTaxes</vt:lpstr>
      <vt:lpstr>dpIncome_ExpenseTable_Payroll</vt:lpstr>
      <vt:lpstr>dpIncome_ExpenseTable_Reserves</vt:lpstr>
      <vt:lpstr>dpIncome_ExpenseTable_RETaxes</vt:lpstr>
      <vt:lpstr>dpIncome_ExpenseTable_RG</vt:lpstr>
      <vt:lpstr>dpIncome_ExpenseTable_RM</vt:lpstr>
      <vt:lpstr>dpIncome_ExpenseTable_Security</vt:lpstr>
      <vt:lpstr>dpIncome_ExpenseTable_Summary</vt:lpstr>
      <vt:lpstr>dpIncome_ExpenseTable_TotalExpense</vt:lpstr>
      <vt:lpstr>dpIncome_ExpenseTable_Utilities</vt:lpstr>
      <vt:lpstr>dpIncome_ExpIndicators</vt:lpstr>
      <vt:lpstr>dpIncome_FRED_AltRates_Table</vt:lpstr>
      <vt:lpstr>dpIncome_FRED_Baa</vt:lpstr>
      <vt:lpstr>dpIncome_GroundRent_Return</vt:lpstr>
      <vt:lpstr>dpIncome_GroundRent_Table</vt:lpstr>
      <vt:lpstr>dpIncome_GroundRentComp_Table</vt:lpstr>
      <vt:lpstr>dpIncome_HistoricalOccupancyTable</vt:lpstr>
      <vt:lpstr>dpIncome_Inc_OtherInc_Narrative</vt:lpstr>
      <vt:lpstr>dpIncome_Inc_OtherInc_Relativity</vt:lpstr>
      <vt:lpstr>dpIncome_Inc_OtherIncome_Stabilized</vt:lpstr>
      <vt:lpstr>dpIncome_Inc_OtherIncome_Year1</vt:lpstr>
      <vt:lpstr>dpIncome_Inc_OtherIncome_Year2</vt:lpstr>
      <vt:lpstr>dpIncome_Inc_OtherIncome_Year3</vt:lpstr>
      <vt:lpstr>dpIncome_Inc_ParkingInc_Stabilized</vt:lpstr>
      <vt:lpstr>dpIncome_Inc_ParkingInc_Year1</vt:lpstr>
      <vt:lpstr>dpIncome_Inc_ParkingInc_Year2</vt:lpstr>
      <vt:lpstr>dpIncome_Inc_ParkingInc_Year3</vt:lpstr>
      <vt:lpstr>dpIncome_Inc_ParkingRent_Narrative</vt:lpstr>
      <vt:lpstr>dpIncome_Inc_ParkingRent_Relativity</vt:lpstr>
      <vt:lpstr>dpIncome_Inc_PercentRent_Narrative</vt:lpstr>
      <vt:lpstr>dpIncome_Inc_PercentRent_Relativity</vt:lpstr>
      <vt:lpstr>dpIncome_Inc_PercentRent_Stabilized</vt:lpstr>
      <vt:lpstr>dpIncome_Inc_PercentRent_Year1</vt:lpstr>
      <vt:lpstr>dpIncome_Inc_PercentRent_Year2</vt:lpstr>
      <vt:lpstr>dpIncome_Inc_PercentRent_Year3</vt:lpstr>
      <vt:lpstr>dpIncome_Inc_UserDef_Narrative</vt:lpstr>
      <vt:lpstr>dpIncome_Inc_UserDef_Relativity</vt:lpstr>
      <vt:lpstr>dpIncome_Inc_UserDefInc_Stabilized</vt:lpstr>
      <vt:lpstr>dpIncome_Inc_UserDefInc_Year1</vt:lpstr>
      <vt:lpstr>dpIncome_Inc_UserDefInc_Year2</vt:lpstr>
      <vt:lpstr>dpIncome_Inc_UserDefInc_Year3</vt:lpstr>
      <vt:lpstr>dpIncome_IncomeCat_1</vt:lpstr>
      <vt:lpstr>dpIncome_IncomeCat_2</vt:lpstr>
      <vt:lpstr>dpIncome_IncomeCat_3</vt:lpstr>
      <vt:lpstr>dpIncome_IncomeCat_4</vt:lpstr>
      <vt:lpstr>dpIncome_IncomeCat_5</vt:lpstr>
      <vt:lpstr>dpIncome_IncomeCat_6</vt:lpstr>
      <vt:lpstr>dpIncome_IncomeTable_NOI</vt:lpstr>
      <vt:lpstr>dpIncome_IncomeTable_OtherIncome</vt:lpstr>
      <vt:lpstr>dpIncome_IncomeTable_ParkingIncome</vt:lpstr>
      <vt:lpstr>dpIncome_IncomeTable_PercentageRent</vt:lpstr>
      <vt:lpstr>dpIncome_IncomeTable_UserDefined</vt:lpstr>
      <vt:lpstr>dpIncome_InvestorSurvey_Relativity</vt:lpstr>
      <vt:lpstr>dpIncome_InvSurvey_DiscRateHigh</vt:lpstr>
      <vt:lpstr>dpIncome_InvSurvey_DiscRateLow</vt:lpstr>
      <vt:lpstr>dpIncome_InvSurvey_OARHigh</vt:lpstr>
      <vt:lpstr>dpIncome_InvSurvey_OARLow</vt:lpstr>
      <vt:lpstr>dpIncome_InvSurvey_TeminalLow</vt:lpstr>
      <vt:lpstr>dpIncome_InvSurvey_TerminalHigh</vt:lpstr>
      <vt:lpstr>dpIncome_InvSurveys_DiscRate_Table</vt:lpstr>
      <vt:lpstr>dpIncome_InvSurveys_Expense_Table</vt:lpstr>
      <vt:lpstr>dpIncome_InvSurveys_Marketing_Table</vt:lpstr>
      <vt:lpstr>dpIncome_InvSurveys_OAR_Table</vt:lpstr>
      <vt:lpstr>dpIncome_InvSurveys_RentChange_Table</vt:lpstr>
      <vt:lpstr>dpIncome_InvSurveys_Spread_Table</vt:lpstr>
      <vt:lpstr>dpIncome_InvSurveys_TermRate_Table</vt:lpstr>
      <vt:lpstr>dpIncome_Lease_AvgExpireDate</vt:lpstr>
      <vt:lpstr>dpIncome_Lease_AvgRemTerm</vt:lpstr>
      <vt:lpstr>dpIncome_Lease_AvgStartDate</vt:lpstr>
      <vt:lpstr>dpIncome_LeaseAbstract_1</vt:lpstr>
      <vt:lpstr>dpIncome_LeaseAbstract_2</vt:lpstr>
      <vt:lpstr>dpIncome_LeaseExpiration_Chart</vt:lpstr>
      <vt:lpstr>dpIncome_LeaseExpiration_Table</vt:lpstr>
      <vt:lpstr>dpIncome_LeaseTerm1</vt:lpstr>
      <vt:lpstr>dpIncome_LeaseTerm2</vt:lpstr>
      <vt:lpstr>dpIncome_Market_vs_Contract</vt:lpstr>
      <vt:lpstr>dpIncome_MarketRent_Average</vt:lpstr>
      <vt:lpstr>dpIncome_MarketRent_LeasedAvg</vt:lpstr>
      <vt:lpstr>dpIncome_MarketRent_LeaseStructure</vt:lpstr>
      <vt:lpstr>dpIncome_MarketRent_LeaseStructure_1</vt:lpstr>
      <vt:lpstr>dpIncome_MarketRent_LeaseStructure_2</vt:lpstr>
      <vt:lpstr>dpIncome_MarketRentCats_Plural</vt:lpstr>
      <vt:lpstr>dpIncome_MarketRentEstimate</vt:lpstr>
      <vt:lpstr>dpIncome_MarketRentEstimate_1</vt:lpstr>
      <vt:lpstr>dpIncome_MarketRentEstimate_2</vt:lpstr>
      <vt:lpstr>dpIncome_MarketRentEstimate_Table</vt:lpstr>
      <vt:lpstr>dpIncome_MarketRentEstimate_Table_1</vt:lpstr>
      <vt:lpstr>dpIncome_MarketRentEstimate_Table_2</vt:lpstr>
      <vt:lpstr>dpIncome_MethodUsed</vt:lpstr>
      <vt:lpstr>dpIncome_MonthsVacant1</vt:lpstr>
      <vt:lpstr>dpIncome_MonthsVacant2</vt:lpstr>
      <vt:lpstr>dpIncome_NOI_Years</vt:lpstr>
      <vt:lpstr>dpIncome_OAR</vt:lpstr>
      <vt:lpstr>dpIncome_OAR_Table</vt:lpstr>
      <vt:lpstr>dpIncome_OAR_TableB1</vt:lpstr>
      <vt:lpstr>dpIncome_OAR_TableB2</vt:lpstr>
      <vt:lpstr>dpIncome_OARComp_LoadedMax</vt:lpstr>
      <vt:lpstr>dpIncome_OARComp_LoadedMin</vt:lpstr>
      <vt:lpstr>dpIncome_OARComp_RangeHigh</vt:lpstr>
      <vt:lpstr>dpIncome_OARComp_RangeHighB1</vt:lpstr>
      <vt:lpstr>dpIncome_OARComp_RangeHighB2</vt:lpstr>
      <vt:lpstr>dpIncome_OARComp_RangeLow</vt:lpstr>
      <vt:lpstr>dpIncome_OARComp_RangeLowB1</vt:lpstr>
      <vt:lpstr>dpIncome_OARComp_RangeLowB2</vt:lpstr>
      <vt:lpstr>dpIncome_Occupancy_Narrative</vt:lpstr>
      <vt:lpstr>dpIncome_OtherIncome_Years</vt:lpstr>
      <vt:lpstr>dpIncome_ParkingIncome_Years</vt:lpstr>
      <vt:lpstr>dpIncome_PercentageRent_Years</vt:lpstr>
      <vt:lpstr>dpIncome_ReconciliationTable</vt:lpstr>
      <vt:lpstr>dpIncome_ReimbExpList</vt:lpstr>
      <vt:lpstr>dpIncome_ReimbOverride</vt:lpstr>
      <vt:lpstr>dpIncome_ReimbursementRevenue</vt:lpstr>
      <vt:lpstr>dpIncome_RenewalProb1</vt:lpstr>
      <vt:lpstr>dpIncome_RenewalProb2</vt:lpstr>
      <vt:lpstr>dpIncome_Rent_AgeCondition_1</vt:lpstr>
      <vt:lpstr>dpIncome_Rent_AgeCondition_2</vt:lpstr>
      <vt:lpstr>dpIncome_Rent_AgeCondition_3</vt:lpstr>
      <vt:lpstr>dpIncome_Rent_AgeCondition_4</vt:lpstr>
      <vt:lpstr>dpIncome_Rent_AgeCondition_5</vt:lpstr>
      <vt:lpstr>dpIncome_Rent_AgeCondition_6</vt:lpstr>
      <vt:lpstr>dpIncome_Rent_ClearHeight_1</vt:lpstr>
      <vt:lpstr>dpIncome_Rent_ClearHeight_2</vt:lpstr>
      <vt:lpstr>dpIncome_Rent_ClearHeight_3</vt:lpstr>
      <vt:lpstr>dpIncome_Rent_ClearHeight_4</vt:lpstr>
      <vt:lpstr>dpIncome_Rent_ClearHeight_5</vt:lpstr>
      <vt:lpstr>dpIncome_Rent_ClearHeight_6</vt:lpstr>
      <vt:lpstr>dpIncome_Rent_ClearHeight_AdjRange</vt:lpstr>
      <vt:lpstr>dpIncome_Rent_Comp_Adjustments_Table</vt:lpstr>
      <vt:lpstr>dpIncome_Rent_Comp_Adjustments_Table1</vt:lpstr>
      <vt:lpstr>dpIncome_Rent_Comp_Adjustments_Table2</vt:lpstr>
      <vt:lpstr>dpIncome_Rent_Concessions_1</vt:lpstr>
      <vt:lpstr>dpIncome_Rent_Concessions_2</vt:lpstr>
      <vt:lpstr>dpIncome_Rent_Concessions_3</vt:lpstr>
      <vt:lpstr>dpIncome_Rent_Concessions_4</vt:lpstr>
      <vt:lpstr>dpIncome_Rent_Concessions_5</vt:lpstr>
      <vt:lpstr>dpIncome_Rent_Concessions_6</vt:lpstr>
      <vt:lpstr>dpIncome_Rent_ConditionsofLease_1</vt:lpstr>
      <vt:lpstr>dpIncome_Rent_ConditionsofLease_2</vt:lpstr>
      <vt:lpstr>dpIncome_Rent_ConditionsofLease_3</vt:lpstr>
      <vt:lpstr>dpIncome_Rent_ConditionsofLease_4</vt:lpstr>
      <vt:lpstr>dpIncome_Rent_ConditionsofLease_5</vt:lpstr>
      <vt:lpstr>dpIncome_Rent_ConditionsofLease_6</vt:lpstr>
      <vt:lpstr>dpIncome_Rent_DesignFunction_1</vt:lpstr>
      <vt:lpstr>dpIncome_Rent_DesignFunction_2</vt:lpstr>
      <vt:lpstr>dpIncome_Rent_DesignFunction_3</vt:lpstr>
      <vt:lpstr>dpIncome_Rent_DesignFunction_4</vt:lpstr>
      <vt:lpstr>dpIncome_Rent_DesignFunction_5</vt:lpstr>
      <vt:lpstr>dpIncome_Rent_DesignFunction_6</vt:lpstr>
      <vt:lpstr>dpIncome_Rent_DOV</vt:lpstr>
      <vt:lpstr>dpIncome_Rent_DOV_1</vt:lpstr>
      <vt:lpstr>dpIncome_Rent_DOV_2</vt:lpstr>
      <vt:lpstr>dpIncome_Rent_EffAge_1</vt:lpstr>
      <vt:lpstr>dpIncome_Rent_EffAge_2</vt:lpstr>
      <vt:lpstr>dpIncome_Rent_EffAge_3</vt:lpstr>
      <vt:lpstr>dpIncome_Rent_EffAge_4</vt:lpstr>
      <vt:lpstr>dpIncome_Rent_EffAge_5</vt:lpstr>
      <vt:lpstr>dpIncome_Rent_EffAge_6</vt:lpstr>
      <vt:lpstr>dpIncome_Rent_EffAge_Range</vt:lpstr>
      <vt:lpstr>dpIncome_Rent_ExpenseStructure_1</vt:lpstr>
      <vt:lpstr>dpIncome_Rent_ExpenseStructure_2</vt:lpstr>
      <vt:lpstr>dpIncome_Rent_ExpenseStructure_3</vt:lpstr>
      <vt:lpstr>dpIncome_Rent_ExpenseStructure_4</vt:lpstr>
      <vt:lpstr>dpIncome_Rent_ExpenseStructure_5</vt:lpstr>
      <vt:lpstr>dpIncome_Rent_ExpenseStructure_6</vt:lpstr>
      <vt:lpstr>dpIncome_Rent_LeaseTerm_1</vt:lpstr>
      <vt:lpstr>dpIncome_Rent_LeaseTerm_2</vt:lpstr>
      <vt:lpstr>dpIncome_Rent_LeaseTerm_3</vt:lpstr>
      <vt:lpstr>dpIncome_Rent_LeaseTerm_4</vt:lpstr>
      <vt:lpstr>dpIncome_Rent_LeaseTerm_5</vt:lpstr>
      <vt:lpstr>dpIncome_Rent_LeaseTerm_6</vt:lpstr>
      <vt:lpstr>dpIncome_Rent_Location_1</vt:lpstr>
      <vt:lpstr>dpIncome_Rent_Location_2</vt:lpstr>
      <vt:lpstr>dpIncome_Rent_Location_3</vt:lpstr>
      <vt:lpstr>dpIncome_Rent_Location_4</vt:lpstr>
      <vt:lpstr>dpIncome_Rent_Location_5</vt:lpstr>
      <vt:lpstr>dpIncome_Rent_Location_6</vt:lpstr>
      <vt:lpstr>dpIncome_Rent_LtoBRatio_1</vt:lpstr>
      <vt:lpstr>dpIncome_Rent_LtoBRatio_2</vt:lpstr>
      <vt:lpstr>dpIncome_Rent_LtoBRatio_3</vt:lpstr>
      <vt:lpstr>dpIncome_Rent_LtoBRatio_4</vt:lpstr>
      <vt:lpstr>dpIncome_Rent_LtoBRatio_5</vt:lpstr>
      <vt:lpstr>dpIncome_Rent_LtoBRatio_6</vt:lpstr>
      <vt:lpstr>dpIncome_Rent_ParkingRatio_1</vt:lpstr>
      <vt:lpstr>dpIncome_Rent_ParkingRatio_2</vt:lpstr>
      <vt:lpstr>dpIncome_Rent_ParkingRatio_3</vt:lpstr>
      <vt:lpstr>dpIncome_Rent_ParkingRatio_4</vt:lpstr>
      <vt:lpstr>dpIncome_Rent_ParkingRatio_5</vt:lpstr>
      <vt:lpstr>dpIncome_Rent_ParkingRatio_6</vt:lpstr>
      <vt:lpstr>dpIncome_Rent_PercentOffice_1</vt:lpstr>
      <vt:lpstr>dpIncome_Rent_PercentOffice_2</vt:lpstr>
      <vt:lpstr>dpIncome_Rent_PercentOffice_3</vt:lpstr>
      <vt:lpstr>dpIncome_Rent_PercentOffice_4</vt:lpstr>
      <vt:lpstr>dpIncome_Rent_PercentOffice_5</vt:lpstr>
      <vt:lpstr>dpIncome_Rent_PercentOffice_6</vt:lpstr>
      <vt:lpstr>dpIncome_Rent_Quality_1</vt:lpstr>
      <vt:lpstr>dpIncome_Rent_Quality_2</vt:lpstr>
      <vt:lpstr>dpIncome_Rent_Quality_3</vt:lpstr>
      <vt:lpstr>dpIncome_Rent_Quality_4</vt:lpstr>
      <vt:lpstr>dpIncome_Rent_Quality_5</vt:lpstr>
      <vt:lpstr>dpIncome_Rent_Quality_6</vt:lpstr>
      <vt:lpstr>dpIncome_Rent_Quality_AdjRange</vt:lpstr>
      <vt:lpstr>dpIncome_Rent_Quality_ClassAdj</vt:lpstr>
      <vt:lpstr>dpIncome_Rent_Quality_Label</vt:lpstr>
      <vt:lpstr>dpIncome_Rent_Quality_Narrative1</vt:lpstr>
      <vt:lpstr>dpIncome_Rent_Quality_Narrative2</vt:lpstr>
      <vt:lpstr>dpIncome_Rent_Quality_Narrative3</vt:lpstr>
      <vt:lpstr>dpIncome_Rent_Quality_RatingAdj</vt:lpstr>
      <vt:lpstr>dpIncome_Rent_QualityAdj_1</vt:lpstr>
      <vt:lpstr>dpIncome_Rent_QualityAdj_2</vt:lpstr>
      <vt:lpstr>dpIncome_Rent_QualityAdj_3</vt:lpstr>
      <vt:lpstr>dpIncome_Rent_QualityAdj_4</vt:lpstr>
      <vt:lpstr>dpIncome_Rent_QualityAdj_5</vt:lpstr>
      <vt:lpstr>dpIncome_Rent_QualityAdj_6</vt:lpstr>
      <vt:lpstr>dpIncome_Rent_RentEscalations_1</vt:lpstr>
      <vt:lpstr>dpIncome_Rent_RentEscalations_2</vt:lpstr>
      <vt:lpstr>dpIncome_Rent_RentEscalations_3</vt:lpstr>
      <vt:lpstr>dpIncome_Rent_RentEscalations_4</vt:lpstr>
      <vt:lpstr>dpIncome_Rent_RentEscalations_5</vt:lpstr>
      <vt:lpstr>dpIncome_Rent_RentEscalations_6</vt:lpstr>
      <vt:lpstr>dpIncome_Rent_Statistics_Table</vt:lpstr>
      <vt:lpstr>dpIncome_Rent_Statistics_Table_1</vt:lpstr>
      <vt:lpstr>dpIncome_Rent_Statistics_Table_2</vt:lpstr>
      <vt:lpstr>dpIncome_Rent_TenantSize_1</vt:lpstr>
      <vt:lpstr>dpIncome_Rent_TenantSize_2</vt:lpstr>
      <vt:lpstr>dpIncome_Rent_TenantSize_3</vt:lpstr>
      <vt:lpstr>dpIncome_Rent_TenantSize_4</vt:lpstr>
      <vt:lpstr>dpIncome_Rent_TenantSize_5</vt:lpstr>
      <vt:lpstr>dpIncome_Rent_TenantSize_6</vt:lpstr>
      <vt:lpstr>dpIncome_Rent_TI_1</vt:lpstr>
      <vt:lpstr>dpIncome_Rent_TI_2</vt:lpstr>
      <vt:lpstr>dpIncome_Rent_TI_3</vt:lpstr>
      <vt:lpstr>dpIncome_Rent_TI_4</vt:lpstr>
      <vt:lpstr>dpIncome_Rent_TI_5</vt:lpstr>
      <vt:lpstr>dpIncome_Rent_TI_6</vt:lpstr>
      <vt:lpstr>dpIncome_Rent_UserDefined1_1</vt:lpstr>
      <vt:lpstr>dpIncome_Rent_UserDefined1_2</vt:lpstr>
      <vt:lpstr>dpIncome_Rent_UserDefined1_3</vt:lpstr>
      <vt:lpstr>dpIncome_Rent_UserDefined1_4</vt:lpstr>
      <vt:lpstr>dpIncome_Rent_UserDefined1_5</vt:lpstr>
      <vt:lpstr>dpIncome_Rent_UserDefined1_6</vt:lpstr>
      <vt:lpstr>dpIncome_Rent_UserDefined2_1</vt:lpstr>
      <vt:lpstr>dpIncome_Rent_UserDefined2_2</vt:lpstr>
      <vt:lpstr>dpIncome_Rent_UserDefined2_3</vt:lpstr>
      <vt:lpstr>dpIncome_Rent_UserDefined2_4</vt:lpstr>
      <vt:lpstr>dpIncome_Rent_UserDefined2_5</vt:lpstr>
      <vt:lpstr>dpIncome_Rent_UserDefined2_6</vt:lpstr>
      <vt:lpstr>dpIncome_Rent_YOC_1</vt:lpstr>
      <vt:lpstr>dpIncome_Rent_YOC_2</vt:lpstr>
      <vt:lpstr>dpIncome_Rent_YOC_3</vt:lpstr>
      <vt:lpstr>dpIncome_Rent_YOC_4</vt:lpstr>
      <vt:lpstr>dpIncome_Rent_YOC_5</vt:lpstr>
      <vt:lpstr>dpIncome_Rent_YOC_6</vt:lpstr>
      <vt:lpstr>dpIncome_RentAdjustment_1</vt:lpstr>
      <vt:lpstr>dpIncome_RentAdjustment_1_1</vt:lpstr>
      <vt:lpstr>dpIncome_RentAdjustment_1_2</vt:lpstr>
      <vt:lpstr>dpIncome_RentAdjustment_10</vt:lpstr>
      <vt:lpstr>dpIncome_RentAdjustment_10_1</vt:lpstr>
      <vt:lpstr>dpIncome_RentAdjustment_10_2</vt:lpstr>
      <vt:lpstr>dpIncome_RentAdjustment_11</vt:lpstr>
      <vt:lpstr>dpIncome_RentAdjustment_11_1</vt:lpstr>
      <vt:lpstr>dpIncome_RentAdjustment_11_2</vt:lpstr>
      <vt:lpstr>dpIncome_RentAdjustment_12</vt:lpstr>
      <vt:lpstr>dpIncome_RentAdjustment_12_1</vt:lpstr>
      <vt:lpstr>dpIncome_RentAdjustment_12_2</vt:lpstr>
      <vt:lpstr>dpIncome_RentAdjustment_13</vt:lpstr>
      <vt:lpstr>dpIncome_RentAdjustment_13_1</vt:lpstr>
      <vt:lpstr>dpIncome_RentAdjustment_2</vt:lpstr>
      <vt:lpstr>dpIncome_RentAdjustment_2_1</vt:lpstr>
      <vt:lpstr>dpIncome_RentAdjustment_2_2</vt:lpstr>
      <vt:lpstr>dpIncome_RentAdjustment_3</vt:lpstr>
      <vt:lpstr>dpIncome_RentAdjustment_3_1</vt:lpstr>
      <vt:lpstr>dpIncome_RentAdjustment_3_2</vt:lpstr>
      <vt:lpstr>dpIncome_RentAdjustment_4</vt:lpstr>
      <vt:lpstr>dpIncome_RentAdjustment_4_1</vt:lpstr>
      <vt:lpstr>dpIncome_RentAdjustment_4_2</vt:lpstr>
      <vt:lpstr>dpIncome_RentAdjustment_5</vt:lpstr>
      <vt:lpstr>dpIncome_RentAdjustment_5_1</vt:lpstr>
      <vt:lpstr>dpIncome_RentAdjustment_5_2</vt:lpstr>
      <vt:lpstr>dpIncome_RentAdjustment_6</vt:lpstr>
      <vt:lpstr>dpIncome_RentAdjustment_6_1</vt:lpstr>
      <vt:lpstr>dpIncome_RentAdjustment_6_2</vt:lpstr>
      <vt:lpstr>dpIncome_RentAdjustment_7</vt:lpstr>
      <vt:lpstr>dpIncome_RentAdjustment_7_1</vt:lpstr>
      <vt:lpstr>dpIncome_RentAdjustment_7_2</vt:lpstr>
      <vt:lpstr>dpIncome_RentAdjustment_8</vt:lpstr>
      <vt:lpstr>dpIncome_RentAdjustment_8_1</vt:lpstr>
      <vt:lpstr>dpIncome_RentAdjustment_8_2</vt:lpstr>
      <vt:lpstr>dpIncome_RentAdjustment_9</vt:lpstr>
      <vt:lpstr>dpIncome_RentAdjustment_9_1</vt:lpstr>
      <vt:lpstr>dpIncome_RentAdjustment_9_2</vt:lpstr>
      <vt:lpstr>dpIncome_RentClearHeight_AdjperFoot</vt:lpstr>
      <vt:lpstr>dpIncome_RentClearHeight_AdjperFootB1</vt:lpstr>
      <vt:lpstr>dpIncome_RentClearHeight_AdjperFootB2</vt:lpstr>
      <vt:lpstr>dpIncome_RentClearHeight_AdjTable</vt:lpstr>
      <vt:lpstr>dpIncome_RentClearHeight_Range</vt:lpstr>
      <vt:lpstr>dpIncome_RentClearHeight_Relativity</vt:lpstr>
      <vt:lpstr>dpIncome_RentClearHeightB1_AdjTable</vt:lpstr>
      <vt:lpstr>dpIncome_RentClearHeightB2_AdjTable</vt:lpstr>
      <vt:lpstr>dpIncome_RentComp_AdjustMax</vt:lpstr>
      <vt:lpstr>dpIncome_RentComp_AdjustMax_1</vt:lpstr>
      <vt:lpstr>dpIncome_RentComp_AdjustMax_2</vt:lpstr>
      <vt:lpstr>dpIncome_RentComp_AdjustMean</vt:lpstr>
      <vt:lpstr>dpIncome_RentComp_AdjustMean_1</vt:lpstr>
      <vt:lpstr>dpIncome_RentComp_AdjustMean_2</vt:lpstr>
      <vt:lpstr>dpIncome_RentComp_AdjustMedian</vt:lpstr>
      <vt:lpstr>dpIncome_RentComp_AdjustMedian_1</vt:lpstr>
      <vt:lpstr>dpIncome_RentComp_AdjustMedian_2</vt:lpstr>
      <vt:lpstr>dpIncome_RentComp_AdjustMin</vt:lpstr>
      <vt:lpstr>dpIncome_RentComp_AdjustMin_1</vt:lpstr>
      <vt:lpstr>dpIncome_RentComp_AdjustMin_2</vt:lpstr>
      <vt:lpstr>dpIncome_RentComp_AdjustRange</vt:lpstr>
      <vt:lpstr>dpIncome_RentComp_UnAdjustMax</vt:lpstr>
      <vt:lpstr>dpIncome_RentComp_UnAdjustMax_1</vt:lpstr>
      <vt:lpstr>dpIncome_RentComp_UnAdjustMax_2</vt:lpstr>
      <vt:lpstr>dpIncome_RentComp_UnAdjustMean</vt:lpstr>
      <vt:lpstr>dpIncome_RentComp_UnAdjustMean_1</vt:lpstr>
      <vt:lpstr>dpIncome_RentComp_UnAdjustMean_2</vt:lpstr>
      <vt:lpstr>dpIncome_RentComp_UnAdjustMedian</vt:lpstr>
      <vt:lpstr>dpIncome_RentComp_UnAdjustMedian_1</vt:lpstr>
      <vt:lpstr>dpIncome_RentComp_UnAdjustMedian_2</vt:lpstr>
      <vt:lpstr>dpIncome_RentComp_UnAdjustMin</vt:lpstr>
      <vt:lpstr>dpIncome_RentComp_UnAdjustMin_1</vt:lpstr>
      <vt:lpstr>dpIncome_RentComp_UnAdjustMin_2</vt:lpstr>
      <vt:lpstr>dpIncome_RentComp_UnAdjustRange</vt:lpstr>
      <vt:lpstr>dpIncome_RentComparisonDetailTable</vt:lpstr>
      <vt:lpstr>dpIncome_RentComparisonTable</vt:lpstr>
      <vt:lpstr>dpIncome_RentCompsCount</vt:lpstr>
      <vt:lpstr>dpIncome_RentCompsCountB1</vt:lpstr>
      <vt:lpstr>dpIncome_RentCompsCountB2</vt:lpstr>
      <vt:lpstr>dpIncome_RentConcessions_AdjTable</vt:lpstr>
      <vt:lpstr>dpIncome_RentConcessionsB1_AdjTable</vt:lpstr>
      <vt:lpstr>dpIncome_RentConcessionsB2_AdjTable</vt:lpstr>
      <vt:lpstr>dpIncome_RentGrowth1</vt:lpstr>
      <vt:lpstr>dpIncome_RentGrowth2</vt:lpstr>
      <vt:lpstr>dpIncome_RentGrowth3</vt:lpstr>
      <vt:lpstr>dpIncome_RentGrowth4</vt:lpstr>
      <vt:lpstr>dpIncome_RentMaxHeightAdj</vt:lpstr>
      <vt:lpstr>dpIncome_RentMaxHeightAdjB1</vt:lpstr>
      <vt:lpstr>dpIncome_RentMaxHeightAdjB2</vt:lpstr>
      <vt:lpstr>dpIncome_RentMktCondAdj1</vt:lpstr>
      <vt:lpstr>dpIncome_RentMktCondAdj1_1</vt:lpstr>
      <vt:lpstr>dpIncome_RentMktCondAdj1_2</vt:lpstr>
      <vt:lpstr>dpIncome_RentMktCondAdj2</vt:lpstr>
      <vt:lpstr>dpIncome_RentMktCondAdj2_1</vt:lpstr>
      <vt:lpstr>dpIncome_RentMktCondAdj2_2</vt:lpstr>
      <vt:lpstr>dpIncome_RentMktCondDate1</vt:lpstr>
      <vt:lpstr>dpIncome_RentMktCondDate1_1</vt:lpstr>
      <vt:lpstr>dpIncome_RentMktCondDate1_2</vt:lpstr>
      <vt:lpstr>dpIncome_RentMktCondDate2</vt:lpstr>
      <vt:lpstr>dpIncome_RentMktCondDate2_1</vt:lpstr>
      <vt:lpstr>dpIncome_RentMktCondDate2_2</vt:lpstr>
      <vt:lpstr>dpIncome_RentOccMax</vt:lpstr>
      <vt:lpstr>dpIncome_RentOccMean</vt:lpstr>
      <vt:lpstr>dpIncome_RentOccMin</vt:lpstr>
      <vt:lpstr>dpIncome_RentPercentOffice_Range</vt:lpstr>
      <vt:lpstr>dpIncome_RentQualitativeQuantitative?</vt:lpstr>
      <vt:lpstr>dpIncome_RentQuality_AdjTable</vt:lpstr>
      <vt:lpstr>dpIncome_RentRoll</vt:lpstr>
      <vt:lpstr>dpIncome_RentRoll_DOV</vt:lpstr>
      <vt:lpstr>dpIncome_RentRoll_SigTenants_Table</vt:lpstr>
      <vt:lpstr>dpIncome_RentRoll_UserDefine_Table</vt:lpstr>
      <vt:lpstr>dpIncome_RentRoll_UserDefineChart</vt:lpstr>
      <vt:lpstr>dpIncome_RentRollOccupancy</vt:lpstr>
      <vt:lpstr>dpIncome_RentRollProfileTable</vt:lpstr>
      <vt:lpstr>dpIncome_RentRollVacancy</vt:lpstr>
      <vt:lpstr>dpIncome_Rents_SummaryDetail_Table</vt:lpstr>
      <vt:lpstr>dpIncome_Rents_SummaryDetailB1_Table</vt:lpstr>
      <vt:lpstr>dpIncome_Rents_SummaryDetailB2_Table</vt:lpstr>
      <vt:lpstr>dpIncome_Rents_SummaryLight_Table</vt:lpstr>
      <vt:lpstr>dpIncome_Rents_SummaryLightB1_Table</vt:lpstr>
      <vt:lpstr>dpIncome_Rents_SummaryLightB2_Table</vt:lpstr>
      <vt:lpstr>dpIncome_RentTenantSize_Subject</vt:lpstr>
      <vt:lpstr>dpIncome_RentTenantSize_Subject_1</vt:lpstr>
      <vt:lpstr>dpIncome_RentTenantSize_Subject_2</vt:lpstr>
      <vt:lpstr>dpIncome_RentTenantSizeMax</vt:lpstr>
      <vt:lpstr>dpIncome_RentTenantSizeMax_Adjust</vt:lpstr>
      <vt:lpstr>dpIncome_RentTenantSizeMin</vt:lpstr>
      <vt:lpstr>dpIncome_RentTenantSizeMin_Adjust</vt:lpstr>
      <vt:lpstr>dpIncome_RentTransAdjustment_1</vt:lpstr>
      <vt:lpstr>dpIncome_RentTransAdjustment_1_1</vt:lpstr>
      <vt:lpstr>dpIncome_RentTransAdjustment_1_2</vt:lpstr>
      <vt:lpstr>dpIncome_RentTransAdjustment_2</vt:lpstr>
      <vt:lpstr>dpIncome_RentTransAdjustment_2_1</vt:lpstr>
      <vt:lpstr>dpIncome_RentTransAdjustment_2_2</vt:lpstr>
      <vt:lpstr>dpIncome_RentTransAdjustment_3</vt:lpstr>
      <vt:lpstr>dpIncome_RentTransAdjustment_3_1</vt:lpstr>
      <vt:lpstr>dpIncome_RentTransAdjustment_3_2</vt:lpstr>
      <vt:lpstr>dpIncome_RentUnitDisplay</vt:lpstr>
      <vt:lpstr>dpIncome_RentUnitDisplay_1</vt:lpstr>
      <vt:lpstr>dpIncome_RentUnitDisplay_2</vt:lpstr>
      <vt:lpstr>dpIncome_RentVacancyMax</vt:lpstr>
      <vt:lpstr>dpIncome_RentVacancyMean</vt:lpstr>
      <vt:lpstr>dpIncome_RentVacancyMin</vt:lpstr>
      <vt:lpstr>dpIncome_RR_SurveyDate</vt:lpstr>
      <vt:lpstr>dpIncome_SpaceCategory_MarketRent</vt:lpstr>
      <vt:lpstr>dpIncome_SpaceCategory_MarketRent_1</vt:lpstr>
      <vt:lpstr>dpIncome_SpaceCategory_MarketRent_2</vt:lpstr>
      <vt:lpstr>dpIncome_Spread_1to2</vt:lpstr>
      <vt:lpstr>dpIncome_Spread_OARTerm</vt:lpstr>
      <vt:lpstr>dpIncome_StabilizedOccupancy</vt:lpstr>
      <vt:lpstr>dpIncome_StabilizedVacancy</vt:lpstr>
      <vt:lpstr>dpIncome_StabilizedVacancyCLoss</vt:lpstr>
      <vt:lpstr>dpIncome_Subject_IE_History_Table</vt:lpstr>
      <vt:lpstr>dpIncome_TCat1_LeaseTable</vt:lpstr>
      <vt:lpstr>dpIncome_TCat1_MonthsVacant</vt:lpstr>
      <vt:lpstr>dpIncome_TCat1_MonthsVacantTable</vt:lpstr>
      <vt:lpstr>dpIncome_TCat1_NRA_Occupied</vt:lpstr>
      <vt:lpstr>dpIncome_TCat1_NRA_Vacant</vt:lpstr>
      <vt:lpstr>dpIncome_TCat1_RenewalProb_Avg</vt:lpstr>
      <vt:lpstr>dpIncome_TCat1_RenewalProb_Max</vt:lpstr>
      <vt:lpstr>dpIncome_TCat1_RenewalProb_Min</vt:lpstr>
      <vt:lpstr>dpIncome_TCat1_WAContractRent</vt:lpstr>
      <vt:lpstr>dpIncome_TCat1_WAContractSpeculativeRent</vt:lpstr>
      <vt:lpstr>dpIncome_TCat2_LeaseTable</vt:lpstr>
      <vt:lpstr>dpIncome_TCat2_MonthsVacant</vt:lpstr>
      <vt:lpstr>dpIncome_TCat2_MonthsVacantTable</vt:lpstr>
      <vt:lpstr>dpIncome_TCat2_NRA_Occupied</vt:lpstr>
      <vt:lpstr>dpIncome_TCat2_NRA_Vacant</vt:lpstr>
      <vt:lpstr>dpIncome_TCat2_WAContractRent</vt:lpstr>
      <vt:lpstr>dpIncome_TCat2_WAContractSpeculativeRent</vt:lpstr>
      <vt:lpstr>dpIncome_TCat3_LeaseTable</vt:lpstr>
      <vt:lpstr>dpIncome_TCat3_MonthsVacant</vt:lpstr>
      <vt:lpstr>dpIncome_TCat3_MonthsVacantTable</vt:lpstr>
      <vt:lpstr>dpIncome_TCat3_NRA_Occupied</vt:lpstr>
      <vt:lpstr>dpIncome_TCat3_NRA_Vacant</vt:lpstr>
      <vt:lpstr>dpIncome_TCat3_WAContractRent</vt:lpstr>
      <vt:lpstr>dpIncome_TCat3_WAContractSpeculativeRent</vt:lpstr>
      <vt:lpstr>dpIncome_TCat4_LeaseTable</vt:lpstr>
      <vt:lpstr>dpIncome_TCat4_MonthsVacant</vt:lpstr>
      <vt:lpstr>dpIncome_TCat4_MonthsVacantTable</vt:lpstr>
      <vt:lpstr>dpIncome_TCat4_NRA_Occupied</vt:lpstr>
      <vt:lpstr>dpIncome_TCat4_NRA_Vacant</vt:lpstr>
      <vt:lpstr>dpIncome_TCat4_WAContractRent</vt:lpstr>
      <vt:lpstr>dpIncome_TCat4_WAContractSpeculativeRent</vt:lpstr>
      <vt:lpstr>dpIncome_TCat5_LeaseTable</vt:lpstr>
      <vt:lpstr>dpIncome_TCat5_MonthsVacant</vt:lpstr>
      <vt:lpstr>dpIncome_TCat5_MonthsVacantTable</vt:lpstr>
      <vt:lpstr>dpIncome_TCat5_NRA_Occupied</vt:lpstr>
      <vt:lpstr>dpIncome_TCat5_NRA_Vacant</vt:lpstr>
      <vt:lpstr>dpIncome_TCat5_WAContractRent</vt:lpstr>
      <vt:lpstr>dpIncome_TCat5_WAContractSpeculativeRent</vt:lpstr>
      <vt:lpstr>dpIncome_TCat6_LeaseTable</vt:lpstr>
      <vt:lpstr>dpIncome_TCat6_MonthsVacant</vt:lpstr>
      <vt:lpstr>dpIncome_TCat6_MonthsVacantTable</vt:lpstr>
      <vt:lpstr>dpIncome_TCat6_NRA_Occupied</vt:lpstr>
      <vt:lpstr>dpIncome_TCat6_NRA_Vacant</vt:lpstr>
      <vt:lpstr>dpIncome_TCat6_WAContractRent</vt:lpstr>
      <vt:lpstr>dpIncome_TCat6_WAContractSpeculativeRent</vt:lpstr>
      <vt:lpstr>dpIncome_TCat7_LeaseTable</vt:lpstr>
      <vt:lpstr>dpIncome_TCat7_MonthsVacant</vt:lpstr>
      <vt:lpstr>dpIncome_TCat7_MonthsVacantTable</vt:lpstr>
      <vt:lpstr>dpIncome_TCat7_NRA_Occupied</vt:lpstr>
      <vt:lpstr>dpIncome_TCat7_NRA_Vacant</vt:lpstr>
      <vt:lpstr>dpIncome_TCat7_WAContractRent</vt:lpstr>
      <vt:lpstr>dpIncome_TCat7_WAContractSpeculativeRent</vt:lpstr>
      <vt:lpstr>dpIncome_TCat8_LeaseTable</vt:lpstr>
      <vt:lpstr>dpIncome_TCat8_MonthsVacant</vt:lpstr>
      <vt:lpstr>dpIncome_TCat8_MonthsVacantTable</vt:lpstr>
      <vt:lpstr>dpIncome_TCat8_NRA_Occupied</vt:lpstr>
      <vt:lpstr>dpIncome_TCat8_NRA_Vacant</vt:lpstr>
      <vt:lpstr>dpIncome_TCat8_WAContractRent</vt:lpstr>
      <vt:lpstr>dpIncome_TCat8_WAContractSpeculativeRent</vt:lpstr>
      <vt:lpstr>dpIncome_TenancyStatement</vt:lpstr>
      <vt:lpstr>dpIncome_TenantCount</vt:lpstr>
      <vt:lpstr>dpIncome_TerminalRate</vt:lpstr>
      <vt:lpstr>dpIncome_TI_New</vt:lpstr>
      <vt:lpstr>dpIncome_TI_Renewal</vt:lpstr>
      <vt:lpstr>dpIncome_Unit_Of_Measure_Rent</vt:lpstr>
      <vt:lpstr>dpIncome_UserDefinedIncome_Years</vt:lpstr>
      <vt:lpstr>dpIncome_VacancyActual</vt:lpstr>
      <vt:lpstr>dpInsurable_IncurableLongCost_Percent</vt:lpstr>
      <vt:lpstr>dpInsurable_RCN_Total</vt:lpstr>
      <vt:lpstr>dpInsurable_Total</vt:lpstr>
      <vt:lpstr>dpIntro_IsAre</vt:lpstr>
      <vt:lpstr>dpIntro_TaxAccounts</vt:lpstr>
      <vt:lpstr>dpIntro_Users</vt:lpstr>
      <vt:lpstr>dpLand_Adjustment_1</vt:lpstr>
      <vt:lpstr>dpLand_Adjustment_1_1</vt:lpstr>
      <vt:lpstr>dpLand_Adjustment_1_2</vt:lpstr>
      <vt:lpstr>dpLand_Adjustment_10</vt:lpstr>
      <vt:lpstr>dpLand_Adjustment_10_1</vt:lpstr>
      <vt:lpstr>dpLand_Adjustment_10_2</vt:lpstr>
      <vt:lpstr>dpLand_Adjustment_11</vt:lpstr>
      <vt:lpstr>dpLand_Adjustment_11_1</vt:lpstr>
      <vt:lpstr>dpLand_Adjustment_11_2</vt:lpstr>
      <vt:lpstr>dpLand_Adjustment_12</vt:lpstr>
      <vt:lpstr>dpLand_Adjustment_12_1</vt:lpstr>
      <vt:lpstr>dpLand_Adjustment_12_2</vt:lpstr>
      <vt:lpstr>dpLand_Adjustment_2</vt:lpstr>
      <vt:lpstr>dpLand_Adjustment_2_1</vt:lpstr>
      <vt:lpstr>dpLand_Adjustment_2_2</vt:lpstr>
      <vt:lpstr>dpLand_Adjustment_3</vt:lpstr>
      <vt:lpstr>dpLand_Adjustment_3_1</vt:lpstr>
      <vt:lpstr>dpLand_Adjustment_3_2</vt:lpstr>
      <vt:lpstr>dpLand_Adjustment_4</vt:lpstr>
      <vt:lpstr>dpLand_Adjustment_4_1</vt:lpstr>
      <vt:lpstr>dpLand_Adjustment_4_2</vt:lpstr>
      <vt:lpstr>dpLand_Adjustment_5</vt:lpstr>
      <vt:lpstr>dpLand_Adjustment_5_1</vt:lpstr>
      <vt:lpstr>dpLand_Adjustment_5_2</vt:lpstr>
      <vt:lpstr>dpLand_Adjustment_6</vt:lpstr>
      <vt:lpstr>dpLand_Adjustment_6_1</vt:lpstr>
      <vt:lpstr>dpLand_Adjustment_6_2</vt:lpstr>
      <vt:lpstr>dpLand_Adjustment_7</vt:lpstr>
      <vt:lpstr>dpLand_Adjustment_7_1</vt:lpstr>
      <vt:lpstr>dpLand_Adjustment_7_2</vt:lpstr>
      <vt:lpstr>dpLand_Adjustment_8</vt:lpstr>
      <vt:lpstr>dpLand_Adjustment_8_1</vt:lpstr>
      <vt:lpstr>dpLand_Adjustment_8_2</vt:lpstr>
      <vt:lpstr>dpLand_Adjustment_9</vt:lpstr>
      <vt:lpstr>dpLand_Adjustment_9_1</vt:lpstr>
      <vt:lpstr>dpLand_Adjustment_9_2</vt:lpstr>
      <vt:lpstr>dpLand_CompsCount</vt:lpstr>
      <vt:lpstr>dpLand_Conclusion1</vt:lpstr>
      <vt:lpstr>dpLand_Conclusion2</vt:lpstr>
      <vt:lpstr>dpLand_ConditionsofSale_1</vt:lpstr>
      <vt:lpstr>dpLand_ConditionsofSale_2</vt:lpstr>
      <vt:lpstr>dpLand_ConditionsofSale_3</vt:lpstr>
      <vt:lpstr>dpLand_ConditionsofSale_4</vt:lpstr>
      <vt:lpstr>dpLand_ConditionsofSale_5</vt:lpstr>
      <vt:lpstr>dpLand_ConditionsofSale_6</vt:lpstr>
      <vt:lpstr>dpLand_ConditonsofSaleIntro</vt:lpstr>
      <vt:lpstr>dpLand_Corner_1</vt:lpstr>
      <vt:lpstr>dpLand_Corner_2</vt:lpstr>
      <vt:lpstr>dpLand_Corner_3</vt:lpstr>
      <vt:lpstr>dpLand_Corner_4</vt:lpstr>
      <vt:lpstr>dpLand_Corner_5</vt:lpstr>
      <vt:lpstr>dpLand_Corner_6</vt:lpstr>
      <vt:lpstr>dpLand_DemolitionCost</vt:lpstr>
      <vt:lpstr>dpLand_DemolitionCost_1</vt:lpstr>
      <vt:lpstr>dpLand_DemolitionCost_2</vt:lpstr>
      <vt:lpstr>dpLand_DemolitionCost_Narrative</vt:lpstr>
      <vt:lpstr>dpLand_DemolitionCost_Table</vt:lpstr>
      <vt:lpstr>dpLand_DemolitionCost_Table_1</vt:lpstr>
      <vt:lpstr>dpLand_DemolitionCost_Table_2</vt:lpstr>
      <vt:lpstr>dpLand_DOV</vt:lpstr>
      <vt:lpstr>dpLand_DOV_1</vt:lpstr>
      <vt:lpstr>dpLand_DOV_2</vt:lpstr>
      <vt:lpstr>dpLand_ExcessSurplus?</vt:lpstr>
      <vt:lpstr>dpLand_ExcessSurplus_LandValue</vt:lpstr>
      <vt:lpstr>dpLand_ExcessSurplus_LandValueUnit</vt:lpstr>
      <vt:lpstr>dpLand_ExcessSurplus_PrelimValue</vt:lpstr>
      <vt:lpstr>dpLand_ExcessSurplus_Size</vt:lpstr>
      <vt:lpstr>dpLand_ExcessSurplus_Statement</vt:lpstr>
      <vt:lpstr>dpLand_ExpendituresAfterSale_1</vt:lpstr>
      <vt:lpstr>dpLand_ExpendituresAfterSale_2</vt:lpstr>
      <vt:lpstr>dpLand_ExpendituresAfterSale_3</vt:lpstr>
      <vt:lpstr>dpLand_ExpendituresAfterSale_4</vt:lpstr>
      <vt:lpstr>dpLand_ExpendituresAfterSale_5</vt:lpstr>
      <vt:lpstr>dpLand_ExpendituresAfterSale_6</vt:lpstr>
      <vt:lpstr>dpLand_ExpendituresAfterSaleIntro</vt:lpstr>
      <vt:lpstr>dpLand_Final</vt:lpstr>
      <vt:lpstr>dpLand_FinancingTerms_1</vt:lpstr>
      <vt:lpstr>dpLand_FinancingTerms_2</vt:lpstr>
      <vt:lpstr>dpLand_FinancingTerms_3</vt:lpstr>
      <vt:lpstr>dpLand_FinancingTerms_4</vt:lpstr>
      <vt:lpstr>dpLand_FinancingTerms_5</vt:lpstr>
      <vt:lpstr>dpLand_FinancingTerms_6</vt:lpstr>
      <vt:lpstr>dpLand_FinancingTermsIntro</vt:lpstr>
      <vt:lpstr>dpLand_Floodplain_1</vt:lpstr>
      <vt:lpstr>dpLand_Floodplain_2</vt:lpstr>
      <vt:lpstr>dpLand_Floodplain_3</vt:lpstr>
      <vt:lpstr>dpLand_Floodplain_4</vt:lpstr>
      <vt:lpstr>dpLand_Floodplain_5</vt:lpstr>
      <vt:lpstr>dpLand_Floodplain_6</vt:lpstr>
      <vt:lpstr>dpLand_Frontage_1</vt:lpstr>
      <vt:lpstr>dpLand_Frontage_2</vt:lpstr>
      <vt:lpstr>dpLand_Frontage_3</vt:lpstr>
      <vt:lpstr>dpLand_Frontage_4</vt:lpstr>
      <vt:lpstr>dpLand_Frontage_5</vt:lpstr>
      <vt:lpstr>dpLand_Frontage_6</vt:lpstr>
      <vt:lpstr>dpLand_Location_1</vt:lpstr>
      <vt:lpstr>dpLand_Location_2</vt:lpstr>
      <vt:lpstr>dpLand_Location_3</vt:lpstr>
      <vt:lpstr>dpLand_Location_4</vt:lpstr>
      <vt:lpstr>dpLand_Location_5</vt:lpstr>
      <vt:lpstr>dpLand_Location_6</vt:lpstr>
      <vt:lpstr>dpLand_MktCondAdj1</vt:lpstr>
      <vt:lpstr>dpLand_MktCondAdj1_1</vt:lpstr>
      <vt:lpstr>dpLand_MktCondAdj1_2</vt:lpstr>
      <vt:lpstr>dpLand_MktCondAdj2</vt:lpstr>
      <vt:lpstr>dpLand_MktCondAdj2_1</vt:lpstr>
      <vt:lpstr>dpLand_MktCondAdj2_2</vt:lpstr>
      <vt:lpstr>dpLand_MktCondDate1</vt:lpstr>
      <vt:lpstr>dpLand_MktCondDate1_1</vt:lpstr>
      <vt:lpstr>dpLand_MktCondDate1_2</vt:lpstr>
      <vt:lpstr>dpLand_MktCondDate2</vt:lpstr>
      <vt:lpstr>dpLand_MktCondDate2_1</vt:lpstr>
      <vt:lpstr>dpLand_MktCondDate2_2</vt:lpstr>
      <vt:lpstr>dpLand_MostComparable</vt:lpstr>
      <vt:lpstr>dpLand_MostComparable_1</vt:lpstr>
      <vt:lpstr>dpLand_MostComparable_2</vt:lpstr>
      <vt:lpstr>dpLand_MostComparable_AdjustedPrice</vt:lpstr>
      <vt:lpstr>dpLand_MostComparable_AdjustedPrice_1</vt:lpstr>
      <vt:lpstr>dpLand_MostComparable_AdjustedPrice_2</vt:lpstr>
      <vt:lpstr>dpLand_PreliminaryPrimary?</vt:lpstr>
      <vt:lpstr>dpLand_PreliminarySecondary?</vt:lpstr>
      <vt:lpstr>dpLand_Primary_PreliminaryValue</vt:lpstr>
      <vt:lpstr>dpLand_Primary_PreliminaryValue_1</vt:lpstr>
      <vt:lpstr>dpLand_Primary_PreliminaryValue_2</vt:lpstr>
      <vt:lpstr>dpLand_PrimaryLandValue</vt:lpstr>
      <vt:lpstr>dpLand_PrimaryLandValue_1</vt:lpstr>
      <vt:lpstr>dpLand_PrimaryLandValue_2</vt:lpstr>
      <vt:lpstr>dpLand_PrimaryLandValueUnit</vt:lpstr>
      <vt:lpstr>dpLand_PrimaryLandValueUnit_1</vt:lpstr>
      <vt:lpstr>dpLand_PrimaryLandValueUnit_2</vt:lpstr>
      <vt:lpstr>dpLand_PropertyRights_1</vt:lpstr>
      <vt:lpstr>dpLand_PropertyRights_2</vt:lpstr>
      <vt:lpstr>dpLand_PropertyRights_3</vt:lpstr>
      <vt:lpstr>dpLand_PropertyRights_4</vt:lpstr>
      <vt:lpstr>dpLand_PropertyRights_5</vt:lpstr>
      <vt:lpstr>dpLand_PropertyRights_6</vt:lpstr>
      <vt:lpstr>dpLand_PropertyRightsIntro</vt:lpstr>
      <vt:lpstr>dpLand_QualitativeQuantitative?</vt:lpstr>
      <vt:lpstr>dpLand_Sales_Comp_Approach_Table</vt:lpstr>
      <vt:lpstr>dpLand_Sales_Comp_Approach_Table_1</vt:lpstr>
      <vt:lpstr>dpLand_Sales_Comp_Approach_Table_2</vt:lpstr>
      <vt:lpstr>dpLand_Sales_Statistics_Table</vt:lpstr>
      <vt:lpstr>dpLand_Sales_Statistics_Table_1</vt:lpstr>
      <vt:lpstr>dpLand_Sales_Statistics_Table_2</vt:lpstr>
      <vt:lpstr>dpLand_Sales_SummaryDetail_Table</vt:lpstr>
      <vt:lpstr>dpLand_Sales_SummaryDetailB1_Table</vt:lpstr>
      <vt:lpstr>dpLand_Sales_SummaryDetailB2_Table</vt:lpstr>
      <vt:lpstr>dpLand_Sales_SummaryLight_Table</vt:lpstr>
      <vt:lpstr>dpLand_Sales_SummaryLightB1_Table</vt:lpstr>
      <vt:lpstr>dpLand_Sales_SummaryLightB2_Table</vt:lpstr>
      <vt:lpstr>dpLand_Sales_Value_Table_1</vt:lpstr>
      <vt:lpstr>dpLand_Sales_Value_Table_2</vt:lpstr>
      <vt:lpstr>dpLand_Sales_ValueAlt_Table</vt:lpstr>
      <vt:lpstr>dpLand_Sales_ValueAlt_Table_1</vt:lpstr>
      <vt:lpstr>dpLand_Sales_ValueAlt_Table_2</vt:lpstr>
      <vt:lpstr>dpLand_Sales_ValueConclusion_Table</vt:lpstr>
      <vt:lpstr>dpLand_Shape_1</vt:lpstr>
      <vt:lpstr>dpLand_Shape_2</vt:lpstr>
      <vt:lpstr>dpLand_Shape_3</vt:lpstr>
      <vt:lpstr>dpLand_Shape_4</vt:lpstr>
      <vt:lpstr>dpLand_Shape_5</vt:lpstr>
      <vt:lpstr>dpLand_Shape_6</vt:lpstr>
      <vt:lpstr>dpLand_Size_1</vt:lpstr>
      <vt:lpstr>dpLand_Size_2</vt:lpstr>
      <vt:lpstr>dpLand_Size_3</vt:lpstr>
      <vt:lpstr>dpLand_Size_4</vt:lpstr>
      <vt:lpstr>dpLand_Size_5</vt:lpstr>
      <vt:lpstr>dpLand_Size_6</vt:lpstr>
      <vt:lpstr>dpLand_SizeAdjRange_Statement</vt:lpstr>
      <vt:lpstr>dpLand_SizeFactor</vt:lpstr>
      <vt:lpstr>dpLand_SizeFactor_1</vt:lpstr>
      <vt:lpstr>dpLand_SizeFactor_2</vt:lpstr>
      <vt:lpstr>dpLand_SizeRange_Statement</vt:lpstr>
      <vt:lpstr>dpLand_Topography_1</vt:lpstr>
      <vt:lpstr>dpLand_Topography_2</vt:lpstr>
      <vt:lpstr>dpLand_Topography_3</vt:lpstr>
      <vt:lpstr>dpLand_Topography_4</vt:lpstr>
      <vt:lpstr>dpLand_Topography_5</vt:lpstr>
      <vt:lpstr>dpLand_Topography_6</vt:lpstr>
      <vt:lpstr>dpLand_TractNameB1</vt:lpstr>
      <vt:lpstr>dpLand_TractNameB2</vt:lpstr>
      <vt:lpstr>dpLand_TrafficCounts_1</vt:lpstr>
      <vt:lpstr>dpLand_TrafficCounts_2</vt:lpstr>
      <vt:lpstr>dpLand_TrafficCounts_3</vt:lpstr>
      <vt:lpstr>dpLand_TrafficCounts_4</vt:lpstr>
      <vt:lpstr>dpLand_TrafficCounts_5</vt:lpstr>
      <vt:lpstr>dpLand_TrafficCounts_6</vt:lpstr>
      <vt:lpstr>dpLand_TransAdjustment_1</vt:lpstr>
      <vt:lpstr>dpLand_TransAdjustment_1_1</vt:lpstr>
      <vt:lpstr>dpLand_TransAdjustment_1_2</vt:lpstr>
      <vt:lpstr>dpLand_TransAdjustment_2</vt:lpstr>
      <vt:lpstr>dpLand_TransAdjustment_2_1</vt:lpstr>
      <vt:lpstr>dpLand_TransAdjustment_2_2</vt:lpstr>
      <vt:lpstr>dpLand_TransAdjustment_3</vt:lpstr>
      <vt:lpstr>dpLand_TransAdjustment_3_1</vt:lpstr>
      <vt:lpstr>dpLand_TransAdjustment_3_2</vt:lpstr>
      <vt:lpstr>dpLand_TransAdjustment_4</vt:lpstr>
      <vt:lpstr>dpLand_TransAdjustment_4_1</vt:lpstr>
      <vt:lpstr>dpLand_TransAdjustment_4_2</vt:lpstr>
      <vt:lpstr>dpLand_UserDefined1_1</vt:lpstr>
      <vt:lpstr>dpLand_UserDefined1_2</vt:lpstr>
      <vt:lpstr>dpLand_UserDefined1_3</vt:lpstr>
      <vt:lpstr>dpLand_UserDefined1_4</vt:lpstr>
      <vt:lpstr>dpLand_UserDefined1_5</vt:lpstr>
      <vt:lpstr>dpLand_UserDefined1_6</vt:lpstr>
      <vt:lpstr>dpLand_UserDefined2_1</vt:lpstr>
      <vt:lpstr>dpLand_UserDefined2_2</vt:lpstr>
      <vt:lpstr>dpLand_UserDefined2_3</vt:lpstr>
      <vt:lpstr>dpLand_UserDefined2_4</vt:lpstr>
      <vt:lpstr>dpLand_UserDefined2_5</vt:lpstr>
      <vt:lpstr>dpLand_UserDefined2_6</vt:lpstr>
      <vt:lpstr>dpLand_UserDefinedAdj1</vt:lpstr>
      <vt:lpstr>dpLand_UserDefinedAdj1_1</vt:lpstr>
      <vt:lpstr>dpLand_UserDefinedAdj1_2</vt:lpstr>
      <vt:lpstr>dpLand_UserDefinedAdj2</vt:lpstr>
      <vt:lpstr>dpLand_UserDefinedAdj2_1</vt:lpstr>
      <vt:lpstr>dpLand_UserDefinedAdj2_2</vt:lpstr>
      <vt:lpstr>dpLand_UserDefinedAdj3</vt:lpstr>
      <vt:lpstr>dpLand_UserDefinedAdj3_1</vt:lpstr>
      <vt:lpstr>dpLand_UserDefinedAdj3_2</vt:lpstr>
      <vt:lpstr>dpLand_Utilities_1</vt:lpstr>
      <vt:lpstr>dpLand_Utilities_2</vt:lpstr>
      <vt:lpstr>dpLand_Utilities_3</vt:lpstr>
      <vt:lpstr>dpLand_Utilities_4</vt:lpstr>
      <vt:lpstr>dpLand_Utilities_5</vt:lpstr>
      <vt:lpstr>dpLand_Utilities_6</vt:lpstr>
      <vt:lpstr>dpLand_Zoning_1</vt:lpstr>
      <vt:lpstr>dpLand_Zoning_2</vt:lpstr>
      <vt:lpstr>dpLand_Zoning_3</vt:lpstr>
      <vt:lpstr>dpLand_Zoning_4</vt:lpstr>
      <vt:lpstr>dpLand_Zoning_5</vt:lpstr>
      <vt:lpstr>dpLand_Zoning_6</vt:lpstr>
      <vt:lpstr>dpMarket_Area_Population_ESRI</vt:lpstr>
      <vt:lpstr>dpMarket_Area_Population_LBX</vt:lpstr>
      <vt:lpstr>dpMarketStudy_Absorb_1Yr_1A</vt:lpstr>
      <vt:lpstr>dpMarketStudy_Absorb_1Yr_1B</vt:lpstr>
      <vt:lpstr>dpMarketStudy_Absorb_1Yr_2A</vt:lpstr>
      <vt:lpstr>dpMarketStudy_Absorb_1Yr_2B</vt:lpstr>
      <vt:lpstr>dpMarketStudy_AbsorbSign_1Yr_1A</vt:lpstr>
      <vt:lpstr>dpMarketStudy_AbsorbSign_1Yr_1B</vt:lpstr>
      <vt:lpstr>dpMarketStudy_AbsorbSign_1Yr_2A</vt:lpstr>
      <vt:lpstr>dpMarketStudy_AbsorbSign_1Yr_2B</vt:lpstr>
      <vt:lpstr>dpMarketStudy_Bldg_1A</vt:lpstr>
      <vt:lpstr>dpMarketStudy_Bldg_1B</vt:lpstr>
      <vt:lpstr>dpMarketStudy_Bldg_2A</vt:lpstr>
      <vt:lpstr>dpMarketStudy_Bldg_2B</vt:lpstr>
      <vt:lpstr>dpMarketStudy_Construction_1A</vt:lpstr>
      <vt:lpstr>dpMarketStudy_Construction_1B</vt:lpstr>
      <vt:lpstr>dpMarketStudy_Construction_2A</vt:lpstr>
      <vt:lpstr>dpMarketStudy_Construction_2B</vt:lpstr>
      <vt:lpstr>dpMarketStudy_ConstructionRatio_1A</vt:lpstr>
      <vt:lpstr>dpMarketStudy_ConstructionRatio_1B</vt:lpstr>
      <vt:lpstr>dpMarketStudy_ConstructionRatio_2A</vt:lpstr>
      <vt:lpstr>dpMarketStudy_ConstructionRatio_2B</vt:lpstr>
      <vt:lpstr>dpMarketStudy_ConstructionShare_1</vt:lpstr>
      <vt:lpstr>dpMarketStudy_ConstructionShare_2</vt:lpstr>
      <vt:lpstr>dpMarketStudy_DataSet_Inventory_1A</vt:lpstr>
      <vt:lpstr>dpMarketStudy_DataSet_Inventory_1B</vt:lpstr>
      <vt:lpstr>dpMarketStudy_DataSet_Inventory_2A</vt:lpstr>
      <vt:lpstr>dpMarketStudy_DataSet_Inventory_2B</vt:lpstr>
      <vt:lpstr>dpMarketStudy_DataSet_Rent_1A</vt:lpstr>
      <vt:lpstr>dpMarketStudy_DataSet_Rent_1B</vt:lpstr>
      <vt:lpstr>dpMarketStudy_DataSet_Rent_2A</vt:lpstr>
      <vt:lpstr>dpMarketStudy_DataSet_Rent_2B</vt:lpstr>
      <vt:lpstr>dpMarketStudy_DataSet_Vacancy_1A</vt:lpstr>
      <vt:lpstr>dpMarketStudy_DataSet_Vacancy_1B</vt:lpstr>
      <vt:lpstr>dpMarketStudy_DataSet_Vacancy_2A</vt:lpstr>
      <vt:lpstr>dpMarketStudy_DataSet_Vacancy_2B</vt:lpstr>
      <vt:lpstr>dpMarketStudy_Deliver_1Yr_1A</vt:lpstr>
      <vt:lpstr>dpMarketStudy_Deliver_1Yr_1B</vt:lpstr>
      <vt:lpstr>dpMarketStudy_Deliver_1Yr_2A</vt:lpstr>
      <vt:lpstr>dpMarketStudy_Deliver_1Yr_2B</vt:lpstr>
      <vt:lpstr>dpMarketStudy_Inventory_Current_1A</vt:lpstr>
      <vt:lpstr>dpMarketStudy_Inventory_Current_1B</vt:lpstr>
      <vt:lpstr>dpMarketStudy_Inventory_Current_2A</vt:lpstr>
      <vt:lpstr>dpMarketStudy_Inventory_Current_2B</vt:lpstr>
      <vt:lpstr>dpMarketStudy_Inventory_Location_1A</vt:lpstr>
      <vt:lpstr>dpMarketStudy_Inventory_Location_1B</vt:lpstr>
      <vt:lpstr>dpMarketStudy_Inventory_Location_2A</vt:lpstr>
      <vt:lpstr>dpMarketStudy_Inventory_Location_2B</vt:lpstr>
      <vt:lpstr>dpMarketStudy_Inventory_Property_1A</vt:lpstr>
      <vt:lpstr>dpMarketStudy_Inventory_Property_1B</vt:lpstr>
      <vt:lpstr>dpMarketStudy_Inventory_Property_2A</vt:lpstr>
      <vt:lpstr>dpMarketStudy_Inventory_Property_2B</vt:lpstr>
      <vt:lpstr>dpMarketStudy_Inventory_Table_1</vt:lpstr>
      <vt:lpstr>dpMarketStudy_Inventory_Table_2</vt:lpstr>
      <vt:lpstr>dpMarketStudy_Inventory_Title_1</vt:lpstr>
      <vt:lpstr>dpMarketStudy_Inventory_Title_2</vt:lpstr>
      <vt:lpstr>dpMarketStudy_InventoryRatio_1</vt:lpstr>
      <vt:lpstr>dpMarketStudy_InventoryRatio_2</vt:lpstr>
      <vt:lpstr>dpMarketStudy_MetroTable</vt:lpstr>
      <vt:lpstr>dpMarketStudy_PropertySubType</vt:lpstr>
      <vt:lpstr>dpMarketStudy_PropertyType</vt:lpstr>
      <vt:lpstr>dpMarketStudy_Qtr_Compare</vt:lpstr>
      <vt:lpstr>dpMarketStudy_Qtr_Current</vt:lpstr>
      <vt:lpstr>dpMarketStudy_Rent_Current_1A</vt:lpstr>
      <vt:lpstr>dpMarketStudy_Rent_Current_1B</vt:lpstr>
      <vt:lpstr>dpMarketStudy_Rent_Current_2A</vt:lpstr>
      <vt:lpstr>dpMarketStudy_Rent_Current_2B</vt:lpstr>
      <vt:lpstr>dpMarketStudy_Rent_Location_1A</vt:lpstr>
      <vt:lpstr>dpMarketStudy_Rent_Location_1B</vt:lpstr>
      <vt:lpstr>dpMarketStudy_Rent_Location_2A</vt:lpstr>
      <vt:lpstr>dpMarketStudy_Rent_Location_2B</vt:lpstr>
      <vt:lpstr>dpMarketStudy_Rent_Prior_1A</vt:lpstr>
      <vt:lpstr>dpMarketStudy_Rent_Prior_1B</vt:lpstr>
      <vt:lpstr>dpMarketStudy_Rent_Prior_2A</vt:lpstr>
      <vt:lpstr>dpMarketStudy_Rent_Prior_2B</vt:lpstr>
      <vt:lpstr>dpMarketStudy_Rent_Property_1A</vt:lpstr>
      <vt:lpstr>dpMarketStudy_Rent_Property_1B</vt:lpstr>
      <vt:lpstr>dpMarketStudy_Rent_Property_2A</vt:lpstr>
      <vt:lpstr>dpMarketStudy_Rent_Property_2B</vt:lpstr>
      <vt:lpstr>dpMarketStudy_Rent_Table_1</vt:lpstr>
      <vt:lpstr>dpMarketStudy_Rent_Table_2</vt:lpstr>
      <vt:lpstr>dpMarketStudy_Rent_Title_1</vt:lpstr>
      <vt:lpstr>dpMarketStudy_Rent_Title_2</vt:lpstr>
      <vt:lpstr>dpMarketStudy_Rent_Trend_1A</vt:lpstr>
      <vt:lpstr>dpMarketStudy_Rent_Trend_1B</vt:lpstr>
      <vt:lpstr>dpMarketStudy_Rent_Trend_2A</vt:lpstr>
      <vt:lpstr>dpMarketStudy_Rent_Trend_2B</vt:lpstr>
      <vt:lpstr>dpMarketStudy_Rent_TrendComp_1</vt:lpstr>
      <vt:lpstr>dpMarketStudy_Rent_TrendComp_2</vt:lpstr>
      <vt:lpstr>dpMarketStudy_Rent_TrendNarrative_1A</vt:lpstr>
      <vt:lpstr>dpMarketStudy_Rent_TrendNarrative_1B</vt:lpstr>
      <vt:lpstr>dpMarketStudy_Rent_TrendNarrative_2A</vt:lpstr>
      <vt:lpstr>dpMarketStudy_Rent_TrendNarrative_2B</vt:lpstr>
      <vt:lpstr>dpMarketStudy_Rent_Variance_1</vt:lpstr>
      <vt:lpstr>dpMarketStudy_Rent_Variance_2</vt:lpstr>
      <vt:lpstr>dpMarketStudy_RentStructure_1A</vt:lpstr>
      <vt:lpstr>dpMarketStudy_RentStructure_1B</vt:lpstr>
      <vt:lpstr>dpMarketStudy_RentStructure_2A</vt:lpstr>
      <vt:lpstr>dpMarketStudy_RentStructure_2B</vt:lpstr>
      <vt:lpstr>dpMarketStudy_SubmarketTable</vt:lpstr>
      <vt:lpstr>dpMarketStudy_Vacancy_Current_1A</vt:lpstr>
      <vt:lpstr>dpMarketStudy_Vacancy_Current_1B</vt:lpstr>
      <vt:lpstr>dpMarketStudy_Vacancy_Current_2A</vt:lpstr>
      <vt:lpstr>dpMarketStudy_Vacancy_Current_2B</vt:lpstr>
      <vt:lpstr>dpMarketStudy_Vacancy_Location_1A</vt:lpstr>
      <vt:lpstr>dpMarketStudy_Vacancy_Location_1B</vt:lpstr>
      <vt:lpstr>dpMarketStudy_Vacancy_Location_2A</vt:lpstr>
      <vt:lpstr>dpMarketStudy_Vacancy_Location_2B</vt:lpstr>
      <vt:lpstr>dpMarketStudy_Vacancy_Prior_1A</vt:lpstr>
      <vt:lpstr>dpMarketStudy_Vacancy_Prior_1B</vt:lpstr>
      <vt:lpstr>dpMarketStudy_Vacancy_Prior_2A</vt:lpstr>
      <vt:lpstr>dpMarketStudy_Vacancy_Prior_2B</vt:lpstr>
      <vt:lpstr>dpMarketStudy_Vacancy_Property_1A</vt:lpstr>
      <vt:lpstr>dpMarketStudy_Vacancy_Property_1B</vt:lpstr>
      <vt:lpstr>dpMarketStudy_Vacancy_Property_2A</vt:lpstr>
      <vt:lpstr>dpMarketStudy_Vacancy_Property_2B</vt:lpstr>
      <vt:lpstr>dpMarketStudy_Vacancy_Table_1</vt:lpstr>
      <vt:lpstr>dpMarketStudy_Vacancy_Table_2</vt:lpstr>
      <vt:lpstr>dpMarketStudy_Vacancy_Title_1</vt:lpstr>
      <vt:lpstr>dpMarketStudy_Vacancy_Title_2</vt:lpstr>
      <vt:lpstr>dpMarketStudy_Vacancy_TrendNarrative_1A</vt:lpstr>
      <vt:lpstr>dpMarketStudy_Vacancy_TrendNarrative_1B</vt:lpstr>
      <vt:lpstr>dpMarketStudy_Vacancy_TrendNarrative_2A</vt:lpstr>
      <vt:lpstr>dpMarketStudy_Vacancy_TrendNarrative_2B</vt:lpstr>
      <vt:lpstr>dpMarketStudy_Vacancy_Variance_1</vt:lpstr>
      <vt:lpstr>dpMarketStudy_Vacancy_Variance_2</vt:lpstr>
      <vt:lpstr>dpMarketStudy_Vacancy_VarianceNarrative_1A</vt:lpstr>
      <vt:lpstr>dpMarketStudy_Vacancy_VarianceNarrative_1B</vt:lpstr>
      <vt:lpstr>dpMaximum_Adjusted_Land_Price_Per</vt:lpstr>
      <vt:lpstr>dpMaximum_Adjusted_Land_Price_Per_1</vt:lpstr>
      <vt:lpstr>dpMaximum_Adjusted_Land_Price_Per_2</vt:lpstr>
      <vt:lpstr>dpMaximum_Unadjusted_Land_Price_Per</vt:lpstr>
      <vt:lpstr>dpMaximum_Unadjusted_Land_Price_Per_1</vt:lpstr>
      <vt:lpstr>dpMaximum_Unadjusted_Land_Price_Per_2</vt:lpstr>
      <vt:lpstr>dpMean_Adjusted_Land_Price_Per</vt:lpstr>
      <vt:lpstr>dpMean_Adjusted_Land_Price_Per_1</vt:lpstr>
      <vt:lpstr>dpMean_Adjusted_Land_Price_Per_2</vt:lpstr>
      <vt:lpstr>dpMean_Adjusted_Price_Per_SF</vt:lpstr>
      <vt:lpstr>dpMean_Adjusted_Price_Per_SF_1</vt:lpstr>
      <vt:lpstr>dpMean_Adjusted_Price_Per_SF_2</vt:lpstr>
      <vt:lpstr>dpMean_Unadjusted_Land_Price_Per</vt:lpstr>
      <vt:lpstr>dpMean_Unadjusted_Land_Price_Per_1</vt:lpstr>
      <vt:lpstr>dpMean_Unadjusted_Land_Price_Per_2</vt:lpstr>
      <vt:lpstr>dpMean_Unadjusted_Price_Per_SF</vt:lpstr>
      <vt:lpstr>dpMean_Unadjusted_Price_Per_SF_1</vt:lpstr>
      <vt:lpstr>dpMean_Unadjusted_Price_Per_SF_2</vt:lpstr>
      <vt:lpstr>dpMedian_Adjusted_Land_Price_Per</vt:lpstr>
      <vt:lpstr>dpMedian_Adjusted_Land_Price_Per_1</vt:lpstr>
      <vt:lpstr>dpMedian_Adjusted_Land_Price_Per_2</vt:lpstr>
      <vt:lpstr>dpMedian_Adjusted_Price_Per_SF</vt:lpstr>
      <vt:lpstr>dpMedian_Adjusted_Price_Per_SF_1</vt:lpstr>
      <vt:lpstr>dpMedian_Adjusted_Price_Per_SF_2</vt:lpstr>
      <vt:lpstr>dpMedian_Househould_Income_ESRI</vt:lpstr>
      <vt:lpstr>dpMedian_Househould_Income_LBX</vt:lpstr>
      <vt:lpstr>dpMedian_Unadjusted_Land_Price_Per</vt:lpstr>
      <vt:lpstr>dpMedian_Unadjusted_Land_Price_Per_1</vt:lpstr>
      <vt:lpstr>dpMedian_Unadjusted_Land_Price_Per_2</vt:lpstr>
      <vt:lpstr>dpMedian_Unadjusted_Price_Per_SF</vt:lpstr>
      <vt:lpstr>dpMedian_Unadjusted_Price_Per_SF_1</vt:lpstr>
      <vt:lpstr>dpMedian_Unadjusted_Price_Per_SF_2</vt:lpstr>
      <vt:lpstr>dpMinimum_Adjusted_Land_Price_Per</vt:lpstr>
      <vt:lpstr>dpMinimum_Adjusted_Land_Price_Per_1</vt:lpstr>
      <vt:lpstr>dpMinimum_Adjusted_Land_Price_Per_2</vt:lpstr>
      <vt:lpstr>dpMinimum_Unadjusted_Land_Price_Per</vt:lpstr>
      <vt:lpstr>dpMinimum_Unadjusted_Land_Price_Per_1</vt:lpstr>
      <vt:lpstr>dpMinimum_Unadjusted_Land_Price_Per_2</vt:lpstr>
      <vt:lpstr>dpNeighborhood_Demos_Table_1_ESRI</vt:lpstr>
      <vt:lpstr>dpNeighborhood_Demos_Table_1_LBX</vt:lpstr>
      <vt:lpstr>dpNeighborhood_Demos_Table_2_ESRI</vt:lpstr>
      <vt:lpstr>dpNeighborhood_Demos_Table_2_LBX</vt:lpstr>
      <vt:lpstr>dpNeighborhood_Demos_Table_3_LBX</vt:lpstr>
      <vt:lpstr>dpNeighborhood_Demos_Table_4_LBX</vt:lpstr>
      <vt:lpstr>dpNeighborhood_Demos_Table_5_LBX</vt:lpstr>
      <vt:lpstr>dpNeighborhood_HH_Current_All_1</vt:lpstr>
      <vt:lpstr>dpNeighborhood_HH_Current_All_2</vt:lpstr>
      <vt:lpstr>dpNeighborhood_HH_Current_All_3</vt:lpstr>
      <vt:lpstr>dpNeighborhood_HH_Current_Owner_1</vt:lpstr>
      <vt:lpstr>dpNeighborhood_HH_Current_Owner_2</vt:lpstr>
      <vt:lpstr>dpNeighborhood_HH_Current_Owner_3</vt:lpstr>
      <vt:lpstr>dpNeighborhood_HH_Current_Renter_1</vt:lpstr>
      <vt:lpstr>dpNeighborhood_HH_Current_Renter_2</vt:lpstr>
      <vt:lpstr>dpNeighborhood_HH_Current_Renter_3</vt:lpstr>
      <vt:lpstr>dpNeighborhood_Income_Current_1</vt:lpstr>
      <vt:lpstr>dpNeighborhood_Income_Current_2</vt:lpstr>
      <vt:lpstr>dpNeighborhood_Income_Current_3</vt:lpstr>
      <vt:lpstr>dpNeighborhood_OwnRent_Current_2</vt:lpstr>
      <vt:lpstr>dpNeighborhood_Pop_Current_1</vt:lpstr>
      <vt:lpstr>dpNeighborhood_Pop_Current_2</vt:lpstr>
      <vt:lpstr>dpNeighborhood_Pop_Current_3</vt:lpstr>
      <vt:lpstr>dpNeighborhood_Pop_Future_1</vt:lpstr>
      <vt:lpstr>dpNeighborhood_Pop_Future_2</vt:lpstr>
      <vt:lpstr>dpNeighborhood_Pop_Future_3</vt:lpstr>
      <vt:lpstr>dpNeighborhood_Pop_Rate_1</vt:lpstr>
      <vt:lpstr>dpNeighborhood_Pop_Rate_2</vt:lpstr>
      <vt:lpstr>dpNeighborhood_Pop_Rate_3</vt:lpstr>
      <vt:lpstr>dpNeighborhood_RadiusDriveTime</vt:lpstr>
      <vt:lpstr>dpPluralCheck_ApproachesNotUsed</vt:lpstr>
      <vt:lpstr>dpPluralCheck_ApproachesUsed</vt:lpstr>
      <vt:lpstr>dpPrimaryLand_AdjCat1</vt:lpstr>
      <vt:lpstr>dpPrimaryLand_AdjCat1_1</vt:lpstr>
      <vt:lpstr>dpPrimaryLand_AdjCat1_2</vt:lpstr>
      <vt:lpstr>dpPrimaryLand_AdjCat10</vt:lpstr>
      <vt:lpstr>dpPrimaryLand_AdjCat10_1</vt:lpstr>
      <vt:lpstr>dpPrimaryLand_AdjCat10_2</vt:lpstr>
      <vt:lpstr>dpPrimaryLand_AdjCat11</vt:lpstr>
      <vt:lpstr>dpPrimaryLand_AdjCat11_1</vt:lpstr>
      <vt:lpstr>dpPrimaryLand_AdjCat11_2</vt:lpstr>
      <vt:lpstr>dpPrimaryLand_AdjCat12</vt:lpstr>
      <vt:lpstr>dpPrimaryLand_AdjCat12_1</vt:lpstr>
      <vt:lpstr>dpPrimaryLand_AdjCat12_2</vt:lpstr>
      <vt:lpstr>dpPrimaryLand_AdjCat2</vt:lpstr>
      <vt:lpstr>dpPrimaryLand_AdjCat2_1</vt:lpstr>
      <vt:lpstr>dpPrimaryLand_AdjCat2_2</vt:lpstr>
      <vt:lpstr>dpPrimaryLand_AdjCat3</vt:lpstr>
      <vt:lpstr>dpPrimaryLand_AdjCat3_1</vt:lpstr>
      <vt:lpstr>dpPrimaryLand_AdjCat3_2</vt:lpstr>
      <vt:lpstr>dpPrimaryLand_AdjCat4</vt:lpstr>
      <vt:lpstr>dpPrimaryLand_AdjCat4_1</vt:lpstr>
      <vt:lpstr>dpPrimaryLand_AdjCat4_2</vt:lpstr>
      <vt:lpstr>dpPrimaryLand_AdjCat5</vt:lpstr>
      <vt:lpstr>dpPrimaryLand_AdjCat5_1</vt:lpstr>
      <vt:lpstr>dpPrimaryLand_AdjCat5_2</vt:lpstr>
      <vt:lpstr>dpPrimaryLand_AdjCat6</vt:lpstr>
      <vt:lpstr>dpPrimaryLand_AdjCat6_1</vt:lpstr>
      <vt:lpstr>dpPrimaryLand_AdjCat6_2</vt:lpstr>
      <vt:lpstr>dpPrimaryLand_AdjCat7</vt:lpstr>
      <vt:lpstr>dpPrimaryLand_AdjCat7_1</vt:lpstr>
      <vt:lpstr>dpPrimaryLand_AdjCat7_2</vt:lpstr>
      <vt:lpstr>dpPrimaryLand_AdjCat8</vt:lpstr>
      <vt:lpstr>dpPrimaryLand_AdjCat8_1</vt:lpstr>
      <vt:lpstr>dpPrimaryLand_AdjCat8_2</vt:lpstr>
      <vt:lpstr>dpPrimaryLand_AdjCat9</vt:lpstr>
      <vt:lpstr>dpPrimaryLand_AdjCat9_1</vt:lpstr>
      <vt:lpstr>dpPrimaryLand_AdjCat9_2</vt:lpstr>
      <vt:lpstr>dpPropertyID</vt:lpstr>
      <vt:lpstr>dpReportType</vt:lpstr>
      <vt:lpstr>dpRingMap_ESRI</vt:lpstr>
      <vt:lpstr>dpRounding_Improved</vt:lpstr>
      <vt:lpstr>dpRounding_Land</vt:lpstr>
      <vt:lpstr>dpSale_Adjustments_Table</vt:lpstr>
      <vt:lpstr>dpSale_Adjustments_Table_1</vt:lpstr>
      <vt:lpstr>dpSale_Adjustments_Table_2</vt:lpstr>
      <vt:lpstr>dpSale_DOV</vt:lpstr>
      <vt:lpstr>dpSale_DOV_1</vt:lpstr>
      <vt:lpstr>dpSale_DOV_2</vt:lpstr>
      <vt:lpstr>dpSale_Method</vt:lpstr>
      <vt:lpstr>dpSale_Method_1</vt:lpstr>
      <vt:lpstr>dpSale_Method_2</vt:lpstr>
      <vt:lpstr>dpSale_Statistics_Table</vt:lpstr>
      <vt:lpstr>dpSale_Statistics_Table_1</vt:lpstr>
      <vt:lpstr>dpSale_Statistics_Table_2</vt:lpstr>
      <vt:lpstr>dpSale_Unit_Of_Measure_Improved</vt:lpstr>
      <vt:lpstr>dpSale_Unit_Of_Measure_Improved_Singular</vt:lpstr>
      <vt:lpstr>dpSales_AdjApplied_1</vt:lpstr>
      <vt:lpstr>dpSales_AdjApplied_2</vt:lpstr>
      <vt:lpstr>dpSales_Adjustment_1</vt:lpstr>
      <vt:lpstr>dpSales_Adjustment_1_1</vt:lpstr>
      <vt:lpstr>dpSales_Adjustment_1_2</vt:lpstr>
      <vt:lpstr>dpSales_Adjustment_10</vt:lpstr>
      <vt:lpstr>dpSales_Adjustment_10_1</vt:lpstr>
      <vt:lpstr>dpSales_Adjustment_10_2</vt:lpstr>
      <vt:lpstr>dpSales_Adjustment_11</vt:lpstr>
      <vt:lpstr>dpSales_Adjustment_11_1</vt:lpstr>
      <vt:lpstr>dpSales_Adjustment_11_2</vt:lpstr>
      <vt:lpstr>dpSales_Adjustment_12</vt:lpstr>
      <vt:lpstr>dpSales_Adjustment_12_1</vt:lpstr>
      <vt:lpstr>dpSales_Adjustment_12_2</vt:lpstr>
      <vt:lpstr>dpSales_Adjustment_13</vt:lpstr>
      <vt:lpstr>dpSales_Adjustment_13_1</vt:lpstr>
      <vt:lpstr>dpSales_Adjustment_13_2</vt:lpstr>
      <vt:lpstr>dpSales_Adjustment_2</vt:lpstr>
      <vt:lpstr>dpSales_Adjustment_2_1</vt:lpstr>
      <vt:lpstr>dpSales_Adjustment_2_2</vt:lpstr>
      <vt:lpstr>dpSales_Adjustment_3</vt:lpstr>
      <vt:lpstr>dpSales_Adjustment_3_1</vt:lpstr>
      <vt:lpstr>dpSales_Adjustment_3_2</vt:lpstr>
      <vt:lpstr>dpSales_Adjustment_4</vt:lpstr>
      <vt:lpstr>dpSales_Adjustment_4_1</vt:lpstr>
      <vt:lpstr>dpSales_Adjustment_4_2</vt:lpstr>
      <vt:lpstr>dpSales_Adjustment_5</vt:lpstr>
      <vt:lpstr>dpSales_Adjustment_5_1</vt:lpstr>
      <vt:lpstr>dpSales_Adjustment_5_2</vt:lpstr>
      <vt:lpstr>dpSales_Adjustment_6</vt:lpstr>
      <vt:lpstr>dpSales_Adjustment_6_1</vt:lpstr>
      <vt:lpstr>dpSales_Adjustment_6_2</vt:lpstr>
      <vt:lpstr>dpSales_Adjustment_7</vt:lpstr>
      <vt:lpstr>dpSales_Adjustment_7_1</vt:lpstr>
      <vt:lpstr>dpSales_Adjustment_7_2</vt:lpstr>
      <vt:lpstr>dpSales_Adjustment_8</vt:lpstr>
      <vt:lpstr>dpSales_Adjustment_8_1</vt:lpstr>
      <vt:lpstr>dpSales_Adjustment_8_2</vt:lpstr>
      <vt:lpstr>dpSales_Adjustment_9</vt:lpstr>
      <vt:lpstr>dpSales_Adjustment_9_1</vt:lpstr>
      <vt:lpstr>dpSales_Adjustment_9_2</vt:lpstr>
      <vt:lpstr>dpSales_AdjustRange</vt:lpstr>
      <vt:lpstr>dpSales_AgeCondition_1</vt:lpstr>
      <vt:lpstr>dpSales_AgeCondition_2</vt:lpstr>
      <vt:lpstr>dpSales_AgeCondition_3</vt:lpstr>
      <vt:lpstr>dpSales_AgeCondition_4</vt:lpstr>
      <vt:lpstr>dpSales_AgeCondition_5</vt:lpstr>
      <vt:lpstr>dpSales_AgeCondition_6</vt:lpstr>
      <vt:lpstr>dpSales_AgeCondition_AdjTable</vt:lpstr>
      <vt:lpstr>dpSales_AgeCondition_AdjTable_1</vt:lpstr>
      <vt:lpstr>dpSales_AgeCondition_AdjTable_2</vt:lpstr>
      <vt:lpstr>dpSales_AgeCondition_Ratio</vt:lpstr>
      <vt:lpstr>dpSales_AgeCondition_Ratio_1</vt:lpstr>
      <vt:lpstr>dpSales_AgeCondition_Ratio_2</vt:lpstr>
      <vt:lpstr>dpSales_ClearHeight_1</vt:lpstr>
      <vt:lpstr>dpSales_ClearHeight_2</vt:lpstr>
      <vt:lpstr>dpSales_ClearHeight_3</vt:lpstr>
      <vt:lpstr>dpSales_ClearHeight_4</vt:lpstr>
      <vt:lpstr>dpSales_ClearHeight_5</vt:lpstr>
      <vt:lpstr>dpSales_ClearHeight_6</vt:lpstr>
      <vt:lpstr>dpSales_ClearHeight_AdjperFoot</vt:lpstr>
      <vt:lpstr>dpSales_ClearHeight_AdjperFoot_1</vt:lpstr>
      <vt:lpstr>dpSales_ClearHeight_AdjperFoot_2</vt:lpstr>
      <vt:lpstr>dpSales_ClearHeight_AdjRange</vt:lpstr>
      <vt:lpstr>dpSales_ClearHeight_AdjTable</vt:lpstr>
      <vt:lpstr>dpSales_ClearHeight_AdjTable_1</vt:lpstr>
      <vt:lpstr>dpSales_ClearHeight_AdjTable_2</vt:lpstr>
      <vt:lpstr>dpSales_ClearHeight_Range</vt:lpstr>
      <vt:lpstr>dpSales_ClearHeight_Relativity</vt:lpstr>
      <vt:lpstr>dpSales_ComponentNameB1</vt:lpstr>
      <vt:lpstr>dpSales_ComponentNameB2</vt:lpstr>
      <vt:lpstr>dpSales_CompsCount</vt:lpstr>
      <vt:lpstr>dpSales_ConditionsofSale_1</vt:lpstr>
      <vt:lpstr>dpSales_ConditionsofSale_2</vt:lpstr>
      <vt:lpstr>dpSales_ConditionsofSale_3</vt:lpstr>
      <vt:lpstr>dpSales_ConditionsofSale_4</vt:lpstr>
      <vt:lpstr>dpSales_ConditionsofSale_5</vt:lpstr>
      <vt:lpstr>dpSales_ConditionsofSale_6</vt:lpstr>
      <vt:lpstr>dpSales_ConditonsofSaleIntro</vt:lpstr>
      <vt:lpstr>dpSales_DesignFunction_1</vt:lpstr>
      <vt:lpstr>dpSales_DesignFunction_2</vt:lpstr>
      <vt:lpstr>dpSales_DesignFunction_3</vt:lpstr>
      <vt:lpstr>dpSales_DesignFunction_4</vt:lpstr>
      <vt:lpstr>dpSales_DesignFunction_5</vt:lpstr>
      <vt:lpstr>dpSales_DesignFunction_6</vt:lpstr>
      <vt:lpstr>dpSales_EffAge_1</vt:lpstr>
      <vt:lpstr>dpSales_EffAge_2</vt:lpstr>
      <vt:lpstr>dpSales_EffAge_3</vt:lpstr>
      <vt:lpstr>dpSales_EffAge_4</vt:lpstr>
      <vt:lpstr>dpSales_EffAge_5</vt:lpstr>
      <vt:lpstr>dpSales_EffAge_6</vt:lpstr>
      <vt:lpstr>dpSales_EffectiveAge_Range</vt:lpstr>
      <vt:lpstr>dpSales_EGIM_Statistics_Table</vt:lpstr>
      <vt:lpstr>dpSales_EGIM_Table</vt:lpstr>
      <vt:lpstr>dpSales_EGIMConclusion_Table</vt:lpstr>
      <vt:lpstr>dpSales_ExpendituresAfterSale_1</vt:lpstr>
      <vt:lpstr>dpSales_ExpendituresAfterSale_2</vt:lpstr>
      <vt:lpstr>dpSales_ExpendituresAfterSale_3</vt:lpstr>
      <vt:lpstr>dpSales_ExpendituresAfterSale_4</vt:lpstr>
      <vt:lpstr>dpSales_ExpendituresAfterSale_5</vt:lpstr>
      <vt:lpstr>dpSales_ExpendituresAfterSale_6</vt:lpstr>
      <vt:lpstr>dpSales_ExpendituresAfterSale_Narrative</vt:lpstr>
      <vt:lpstr>dpSales_ExpendituresAfterSaleIntro</vt:lpstr>
      <vt:lpstr>dpSales_FinancingTerms_1</vt:lpstr>
      <vt:lpstr>dpSales_FinancingTerms_2</vt:lpstr>
      <vt:lpstr>dpSales_FinancingTerms_3</vt:lpstr>
      <vt:lpstr>dpSales_FinancingTerms_4</vt:lpstr>
      <vt:lpstr>dpSales_FinancingTerms_5</vt:lpstr>
      <vt:lpstr>dpSales_FinancingTerms_6</vt:lpstr>
      <vt:lpstr>dpSales_FinancingTermsIntro</vt:lpstr>
      <vt:lpstr>dpSales_Location_1</vt:lpstr>
      <vt:lpstr>dpSales_Location_2</vt:lpstr>
      <vt:lpstr>dpSales_Location_3</vt:lpstr>
      <vt:lpstr>dpSales_Location_4</vt:lpstr>
      <vt:lpstr>dpSales_Location_5</vt:lpstr>
      <vt:lpstr>dpSales_Location_6</vt:lpstr>
      <vt:lpstr>dpSales_LocationNOI_AdjTable</vt:lpstr>
      <vt:lpstr>dpSales_LocationNOI_AdjTable_1</vt:lpstr>
      <vt:lpstr>dpSales_LocationNOI_AdjTable_2</vt:lpstr>
      <vt:lpstr>dpSales_LtoBRatio_1</vt:lpstr>
      <vt:lpstr>dpSales_LtoBRatio_2</vt:lpstr>
      <vt:lpstr>dpSales_LtoBRatio_3</vt:lpstr>
      <vt:lpstr>dpSales_LtoBRatio_4</vt:lpstr>
      <vt:lpstr>dpSales_LtoBRatio_5</vt:lpstr>
      <vt:lpstr>dpSales_LtoBRatio_6</vt:lpstr>
      <vt:lpstr>dpSales_LtoBRatio_AdjTable</vt:lpstr>
      <vt:lpstr>dpSales_LtoBRatio_AdjTable_1</vt:lpstr>
      <vt:lpstr>dpSales_LtoBRatio_AdjTable_2</vt:lpstr>
      <vt:lpstr>dpSales_MaxHeightAdj</vt:lpstr>
      <vt:lpstr>dpSales_MaxHeightAdj_1</vt:lpstr>
      <vt:lpstr>dpSales_MaxHeightAdj_2</vt:lpstr>
      <vt:lpstr>dpSales_MktCondAdj1</vt:lpstr>
      <vt:lpstr>dpSales_MktCondAdj1_1</vt:lpstr>
      <vt:lpstr>dpSales_MktCondAdj1_2</vt:lpstr>
      <vt:lpstr>dpSales_MktCondAdj2</vt:lpstr>
      <vt:lpstr>dpSales_MktCondAdj2_1</vt:lpstr>
      <vt:lpstr>dpSales_MktCondAdj2_2</vt:lpstr>
      <vt:lpstr>dpSales_MktCondDate1</vt:lpstr>
      <vt:lpstr>dpSales_MktCondDate1_1</vt:lpstr>
      <vt:lpstr>dpSales_MktCondDate1_2</vt:lpstr>
      <vt:lpstr>dpSales_MktCondDate2</vt:lpstr>
      <vt:lpstr>dpSales_MktCondDate2_1</vt:lpstr>
      <vt:lpstr>dpSales_MktCondDate2_2</vt:lpstr>
      <vt:lpstr>dpSales_MostComparable</vt:lpstr>
      <vt:lpstr>dpSales_MostComparable_1</vt:lpstr>
      <vt:lpstr>dpSales_MostComparable_2</vt:lpstr>
      <vt:lpstr>dpSales_MostComparable_AdjustedPrice</vt:lpstr>
      <vt:lpstr>dpSales_NonRealty_1</vt:lpstr>
      <vt:lpstr>dpSales_NonRealty_2</vt:lpstr>
      <vt:lpstr>dpSales_NonRealty_3</vt:lpstr>
      <vt:lpstr>dpSales_NonRealty_4</vt:lpstr>
      <vt:lpstr>dpSales_NonRealty_5</vt:lpstr>
      <vt:lpstr>dpSales_NonRealty_6</vt:lpstr>
      <vt:lpstr>dpSales_ParkingRatio_1</vt:lpstr>
      <vt:lpstr>dpSales_ParkingRatio_2</vt:lpstr>
      <vt:lpstr>dpSales_ParkingRatio_3</vt:lpstr>
      <vt:lpstr>dpSales_ParkingRatio_4</vt:lpstr>
      <vt:lpstr>dpSales_ParkingRatio_5</vt:lpstr>
      <vt:lpstr>dpSales_ParkingRatio_6</vt:lpstr>
      <vt:lpstr>dpSales_ParkingRatio_ExpenseRatio</vt:lpstr>
      <vt:lpstr>dpSales_ParkingRatio_ExpenseRatio_1</vt:lpstr>
      <vt:lpstr>dpSales_ParkingRatio_ExpenseRatio_2</vt:lpstr>
      <vt:lpstr>dpSales_ParkingRatio_OAR</vt:lpstr>
      <vt:lpstr>dpSales_ParkingRatio_OAR_1</vt:lpstr>
      <vt:lpstr>dpSales_ParkingRatio_OAR_2</vt:lpstr>
      <vt:lpstr>dpSales_ParkingRatio_RateRange</vt:lpstr>
      <vt:lpstr>dpSales_ParkingRatio_RatioRange</vt:lpstr>
      <vt:lpstr>dpSales_ParkingRatio_SubjectRate</vt:lpstr>
      <vt:lpstr>dpSales_ParkingRatio_SubjectRate_1</vt:lpstr>
      <vt:lpstr>dpSales_ParkingRatio_SubjectRate_2</vt:lpstr>
      <vt:lpstr>dpSales_ParkingRatio_SubjectVacancy</vt:lpstr>
      <vt:lpstr>dpSales_ParkingRatio_SubjectVacancy_1</vt:lpstr>
      <vt:lpstr>dpSales_ParkingRatio_SubjectVacancy_2</vt:lpstr>
      <vt:lpstr>dpSales_ParkingRatio_Table</vt:lpstr>
      <vt:lpstr>dpSales_ParkingRatio_Table_1</vt:lpstr>
      <vt:lpstr>dpSales_ParkingRatio_Table_2</vt:lpstr>
      <vt:lpstr>dpSales_PercentOffice_1</vt:lpstr>
      <vt:lpstr>dpSales_PercentOffice_2</vt:lpstr>
      <vt:lpstr>dpSales_PercentOffice_3</vt:lpstr>
      <vt:lpstr>dpSales_PercentOffice_4</vt:lpstr>
      <vt:lpstr>dpSales_PercentOffice_5</vt:lpstr>
      <vt:lpstr>dpSales_PercentOffice_6</vt:lpstr>
      <vt:lpstr>dpSales_PercentOffice_AdjPSF</vt:lpstr>
      <vt:lpstr>dpSales_PercentOffice_AdjPSF_1</vt:lpstr>
      <vt:lpstr>dpSales_PercentOffice_AdjPSF_2</vt:lpstr>
      <vt:lpstr>dpSales_PercentOffice_AdjRange</vt:lpstr>
      <vt:lpstr>dpSales_PercentOffice_AdjTable</vt:lpstr>
      <vt:lpstr>dpSales_PercentOffice_AdjTable_1</vt:lpstr>
      <vt:lpstr>dpSales_PercentOffice_AdjTable_2</vt:lpstr>
      <vt:lpstr>dpSales_PercentOffice_Range</vt:lpstr>
      <vt:lpstr>dpSales_Preliminary_EGIM</vt:lpstr>
      <vt:lpstr>dpSales_Preliminary_Unit</vt:lpstr>
      <vt:lpstr>dpSales_Preliminary_Unit_1</vt:lpstr>
      <vt:lpstr>dpSales_Preliminary_Unit_2</vt:lpstr>
      <vt:lpstr>dpSales_PreliminaryValue_EGIM</vt:lpstr>
      <vt:lpstr>dpSales_PreliminaryValue_PSF</vt:lpstr>
      <vt:lpstr>dpSales_PreliminaryValue_PSF_1</vt:lpstr>
      <vt:lpstr>dpSales_PreliminaryValue_PSF_2</vt:lpstr>
      <vt:lpstr>dpSales_PropertyRights_1</vt:lpstr>
      <vt:lpstr>dpSales_PropertyRights_2</vt:lpstr>
      <vt:lpstr>dpSales_PropertyRights_3</vt:lpstr>
      <vt:lpstr>dpSales_PropertyRights_4</vt:lpstr>
      <vt:lpstr>dpSales_PropertyRights_5</vt:lpstr>
      <vt:lpstr>dpSales_PropertyRights_6</vt:lpstr>
      <vt:lpstr>dpSales_PropertyRights_AdjTable</vt:lpstr>
      <vt:lpstr>dpSales_PropertyRights_AdjTable_1</vt:lpstr>
      <vt:lpstr>dpSales_PropertyRights_AdjTable_2</vt:lpstr>
      <vt:lpstr>dpSales_QualitativeQuantitative?</vt:lpstr>
      <vt:lpstr>dpSales_Quality_1</vt:lpstr>
      <vt:lpstr>dpSales_Quality_2</vt:lpstr>
      <vt:lpstr>dpSales_Quality_3</vt:lpstr>
      <vt:lpstr>dpSales_Quality_4</vt:lpstr>
      <vt:lpstr>dpSales_Quality_5</vt:lpstr>
      <vt:lpstr>dpSales_Quality_6</vt:lpstr>
      <vt:lpstr>dpSales_Quality_AdjRange</vt:lpstr>
      <vt:lpstr>dpSales_Quality_AdjTable</vt:lpstr>
      <vt:lpstr>dpSales_Quality_ClassAdj</vt:lpstr>
      <vt:lpstr>dpSales_Quality_Label</vt:lpstr>
      <vt:lpstr>dpSales_Quality_Narrative1</vt:lpstr>
      <vt:lpstr>dpSales_Quality_Narrative2</vt:lpstr>
      <vt:lpstr>dpSales_Quality_Narrative3</vt:lpstr>
      <vt:lpstr>dpSales_Quality_RatingAdj</vt:lpstr>
      <vt:lpstr>dpSales_QualityAdj_1</vt:lpstr>
      <vt:lpstr>dpSales_QualityAdj_2</vt:lpstr>
      <vt:lpstr>dpSales_QualityAdj_3</vt:lpstr>
      <vt:lpstr>dpSales_QualityAdj_4</vt:lpstr>
      <vt:lpstr>dpSales_QualityAdj_5</vt:lpstr>
      <vt:lpstr>dpSales_QualityAdj_6</vt:lpstr>
      <vt:lpstr>dpSales_ReasonbleHigh</vt:lpstr>
      <vt:lpstr>dpSales_ReasonbleHigh_1</vt:lpstr>
      <vt:lpstr>dpSales_ReasonbleHigh_2</vt:lpstr>
      <vt:lpstr>dpSales_ReasonbleHigh_EGIM</vt:lpstr>
      <vt:lpstr>dpSales_ReasonbleLow</vt:lpstr>
      <vt:lpstr>dpSales_ReasonbleLow_1</vt:lpstr>
      <vt:lpstr>dpSales_ReasonbleLow_2</vt:lpstr>
      <vt:lpstr>dpSales_ReasonbleLow_EGIM</vt:lpstr>
      <vt:lpstr>dpSales_RemainTerm_AdjPerYr</vt:lpstr>
      <vt:lpstr>dpSales_RemainTerm_AdjTable</vt:lpstr>
      <vt:lpstr>dpSales_RemainTerm_AdjTable_1</vt:lpstr>
      <vt:lpstr>dpSales_RemainTerm_AdjTable_2</vt:lpstr>
      <vt:lpstr>dpSales_RemainTerm_BoulderDataTable</vt:lpstr>
      <vt:lpstr>dpSales_RemainTerm_BoulderDataTable_1</vt:lpstr>
      <vt:lpstr>dpSales_RemainTerm_BoulderDataTable_2</vt:lpstr>
      <vt:lpstr>dpSales_Size_1</vt:lpstr>
      <vt:lpstr>dpSales_Size_2</vt:lpstr>
      <vt:lpstr>dpSales_Size_3</vt:lpstr>
      <vt:lpstr>dpSales_Size_4</vt:lpstr>
      <vt:lpstr>dpSales_Size_5</vt:lpstr>
      <vt:lpstr>dpSales_Size_6</vt:lpstr>
      <vt:lpstr>dpSales_SizeAdjRange_Statement</vt:lpstr>
      <vt:lpstr>dpSales_SizeFactor</vt:lpstr>
      <vt:lpstr>dpSales_SizeFactor_1</vt:lpstr>
      <vt:lpstr>dpSales_SizeFactor_2</vt:lpstr>
      <vt:lpstr>dpSales_SizeRange_Statement</vt:lpstr>
      <vt:lpstr>dpSales_SummaryTable_Detailed</vt:lpstr>
      <vt:lpstr>dpSales_SummaryTable_Light</vt:lpstr>
      <vt:lpstr>dpSales_SummaryTableB1_Detailed</vt:lpstr>
      <vt:lpstr>dpSales_SummaryTableB1_Light</vt:lpstr>
      <vt:lpstr>dpSales_SummaryTableB2_Detailed</vt:lpstr>
      <vt:lpstr>dpSales_SummaryTableB2_Light</vt:lpstr>
      <vt:lpstr>dpSales_TransAdjustment_1</vt:lpstr>
      <vt:lpstr>dpSales_TransAdjustment_1_1</vt:lpstr>
      <vt:lpstr>dpSales_TransAdjustment_1_2</vt:lpstr>
      <vt:lpstr>dpSales_TransAdjustment_2</vt:lpstr>
      <vt:lpstr>dpSales_TransAdjustment_2_1</vt:lpstr>
      <vt:lpstr>dpSales_TransAdjustment_2_2</vt:lpstr>
      <vt:lpstr>dpSales_TransAdjustment_3</vt:lpstr>
      <vt:lpstr>dpSales_TransAdjustment_3_1</vt:lpstr>
      <vt:lpstr>dpSales_TransAdjustment_3_2</vt:lpstr>
      <vt:lpstr>dpSales_TransAdjustment_4</vt:lpstr>
      <vt:lpstr>dpSales_TransAdjustment_4_1</vt:lpstr>
      <vt:lpstr>dpSales_TransAdjustment_4_2</vt:lpstr>
      <vt:lpstr>dpSales_UnAdjustRange</vt:lpstr>
      <vt:lpstr>dpSales_Unit_Narrative</vt:lpstr>
      <vt:lpstr>dpSales_UserDefined1_1</vt:lpstr>
      <vt:lpstr>dpSales_UserDefined1_2</vt:lpstr>
      <vt:lpstr>dpSales_UserDefined1_3</vt:lpstr>
      <vt:lpstr>dpSales_UserDefined1_4</vt:lpstr>
      <vt:lpstr>dpSales_UserDefined1_5</vt:lpstr>
      <vt:lpstr>dpSales_UserDefined1_6</vt:lpstr>
      <vt:lpstr>dpSales_UserDefined2_1</vt:lpstr>
      <vt:lpstr>dpSales_UserDefined2_2</vt:lpstr>
      <vt:lpstr>dpSales_UserDefined2_3</vt:lpstr>
      <vt:lpstr>dpSales_UserDefined2_4</vt:lpstr>
      <vt:lpstr>dpSales_UserDefined2_5</vt:lpstr>
      <vt:lpstr>dpSales_UserDefined2_6</vt:lpstr>
      <vt:lpstr>dpSales_Value1_EGIM</vt:lpstr>
      <vt:lpstr>dpSales_Value1_Unit</vt:lpstr>
      <vt:lpstr>dpSales_Value1_Unit_1</vt:lpstr>
      <vt:lpstr>dpSales_Value2_EGIM</vt:lpstr>
      <vt:lpstr>dpSales_Value2_Unit</vt:lpstr>
      <vt:lpstr>dpSales_Value2_Unit_1</vt:lpstr>
      <vt:lpstr>dpSales_Value3_EGIM</vt:lpstr>
      <vt:lpstr>dpSales_Value3_Unit</vt:lpstr>
      <vt:lpstr>dpSales_Value3_Unit_1</vt:lpstr>
      <vt:lpstr>dpSales_ValueComponents_Table</vt:lpstr>
      <vt:lpstr>dpSales_ValueConclusion_Table</vt:lpstr>
      <vt:lpstr>dpSales_ValueConclusion_Table_1</vt:lpstr>
      <vt:lpstr>dpSales_ValueConclusion_Table_2</vt:lpstr>
      <vt:lpstr>dpSales_YOC_1</vt:lpstr>
      <vt:lpstr>dpSales_YOC_2</vt:lpstr>
      <vt:lpstr>dpSales_YOC_3</vt:lpstr>
      <vt:lpstr>dpSales_YOC_4</vt:lpstr>
      <vt:lpstr>dpSales_YOC_5</vt:lpstr>
      <vt:lpstr>dpSales_YOC_6</vt:lpstr>
      <vt:lpstr>dpSales_YOC_Range</vt:lpstr>
      <vt:lpstr>dpSort_DOV_1</vt:lpstr>
      <vt:lpstr>dpSort_DOV_2</vt:lpstr>
      <vt:lpstr>dpSort_DOV_3</vt:lpstr>
      <vt:lpstr>dpSort_DOVlist</vt:lpstr>
      <vt:lpstr>dpSort_Interest_1</vt:lpstr>
      <vt:lpstr>dpSort_ValueScenario_1</vt:lpstr>
      <vt:lpstr>dpSort_ValueScenario_2</vt:lpstr>
      <vt:lpstr>dpSort_ValueScenario_3</vt:lpstr>
      <vt:lpstr>dpSpecialAssessTotal</vt:lpstr>
      <vt:lpstr>dpSubject_ClearHeight_RentB1</vt:lpstr>
      <vt:lpstr>dpSubject_ClearHeight_RentB2</vt:lpstr>
      <vt:lpstr>dpSubject_ConstructionClass</vt:lpstr>
      <vt:lpstr>dpSubject_LtBRatio_Total</vt:lpstr>
      <vt:lpstr>dpSubject_Older_Newer</vt:lpstr>
      <vt:lpstr>dpSubject_ParkingSurface</vt:lpstr>
      <vt:lpstr>dpSubject_Sales_GBA_1</vt:lpstr>
      <vt:lpstr>dpSubject_Sales_GBA_2</vt:lpstr>
      <vt:lpstr>dpSubject_Sales_Land_1</vt:lpstr>
      <vt:lpstr>dpSubject_Sales_Land_2</vt:lpstr>
      <vt:lpstr>dpSubject_Sales_NRA_1</vt:lpstr>
      <vt:lpstr>dpSubject_Sales_NRA_2</vt:lpstr>
      <vt:lpstr>dpSubject_Sales_Units_1</vt:lpstr>
      <vt:lpstr>dpSubject_Sales_Units_2</vt:lpstr>
      <vt:lpstr>dpSubject_YOC_Option</vt:lpstr>
      <vt:lpstr>dpSum_SalientIncomeTable</vt:lpstr>
      <vt:lpstr>dpSum_SalientTable</vt:lpstr>
      <vt:lpstr>dpTax_AppraiserSpAssessEstY1</vt:lpstr>
      <vt:lpstr>dpTax_AppraiserSpAssessEstY2</vt:lpstr>
      <vt:lpstr>dpTax_AppraiserTaxEstY1</vt:lpstr>
      <vt:lpstr>dpTax_AppraiserTaxEstY1_Statement</vt:lpstr>
      <vt:lpstr>dpTax_AppraiserTaxEstY1PSF</vt:lpstr>
      <vt:lpstr>dpTax_AppraiserTaxEstY2</vt:lpstr>
      <vt:lpstr>dpTax_AppraiserTaxEstY2PSF</vt:lpstr>
      <vt:lpstr>dpTax_AppraiserTaxExpY1</vt:lpstr>
      <vt:lpstr>dpTax_AppraiserTaxExpY1PSF</vt:lpstr>
      <vt:lpstr>dpTax_AppraiserTaxExpY2</vt:lpstr>
      <vt:lpstr>dpTax_AppraiserTaxExpY2PSF</vt:lpstr>
      <vt:lpstr>dpTax_AppraiserTaxRateEsc</vt:lpstr>
      <vt:lpstr>dpTax_AssessmentYr1</vt:lpstr>
      <vt:lpstr>dpTax_AssessmentYr2</vt:lpstr>
      <vt:lpstr>dpTax_AssessorValuePSF</vt:lpstr>
      <vt:lpstr>dpTax_CompsCount</vt:lpstr>
      <vt:lpstr>dpTax_CompsMaxNRA</vt:lpstr>
      <vt:lpstr>dpTax_CompsMaxValuePSF</vt:lpstr>
      <vt:lpstr>dpTax_CompsMaxYB</vt:lpstr>
      <vt:lpstr>dpTax_CompsMedValuePSF</vt:lpstr>
      <vt:lpstr>dpTax_CompsMinNRA</vt:lpstr>
      <vt:lpstr>dpTax_CompsMinValuePSF</vt:lpstr>
      <vt:lpstr>dpTax_CompsMinYB</vt:lpstr>
      <vt:lpstr>dpTax_SubjectWithinCompRange</vt:lpstr>
      <vt:lpstr>dpTax_Table_Current</vt:lpstr>
      <vt:lpstr>dpTaxCompTable</vt:lpstr>
      <vt:lpstr>dpTaxTable</vt:lpstr>
      <vt:lpstr>dpUnemployment_Rates_Table</vt:lpstr>
      <vt:lpstr>dpUnit_Land</vt:lpstr>
      <vt:lpstr>dpUnit_Land_1</vt:lpstr>
      <vt:lpstr>dpUnit_Land_2</vt:lpstr>
      <vt:lpstr>dpUnit_Sales</vt:lpstr>
      <vt:lpstr>dpUnit_Sales_1</vt:lpstr>
      <vt:lpstr>dpUnit_Sales_2</vt:lpstr>
      <vt:lpstr>dpUSPS_LeaseTermDate</vt:lpstr>
      <vt:lpstr>dpUSPS_MarketRent_LeaseTermDate</vt:lpstr>
      <vt:lpstr>dpUSPS_MarketRent_Table</vt:lpstr>
      <vt:lpstr>dpUSPS_RentAnnualEscalationRate</vt:lpstr>
      <vt:lpstr>dpUSPS_RentMktCond</vt:lpstr>
      <vt:lpstr>dpUSPS_Sum_SalientTable</vt:lpstr>
      <vt:lpstr>dpUSPS_ValuationTable</vt:lpstr>
      <vt:lpstr>dpValuation_AltSummary_Table</vt:lpstr>
      <vt:lpstr>dpValuation_Indications_Table</vt:lpstr>
      <vt:lpstr>dpValuation_Scenarios_Table</vt:lpstr>
      <vt:lpstr>dpValuation_Summary_Table</vt:lpstr>
      <vt:lpstr>dpValue_DOV_1</vt:lpstr>
      <vt:lpstr>dpValue_DOV_2</vt:lpstr>
      <vt:lpstr>dpValue_DOV_3</vt:lpstr>
      <vt:lpstr>dpValue_Final_1</vt:lpstr>
      <vt:lpstr>dpValue_Final_1_Unit</vt:lpstr>
      <vt:lpstr>dpValue_Final_2</vt:lpstr>
      <vt:lpstr>dpValue_Final_2_Unit</vt:lpstr>
      <vt:lpstr>dpValue_Final_3</vt:lpstr>
      <vt:lpstr>dpValue_Final_3_Unit</vt:lpstr>
      <vt:lpstr>dpValue_Interest_1</vt:lpstr>
      <vt:lpstr>dpValue_Interest_2</vt:lpstr>
      <vt:lpstr>dpValue_Interest_3</vt:lpstr>
      <vt:lpstr>dpValue_LeaseholdAdjustment</vt:lpstr>
      <vt:lpstr>dpValue_LeaseholdAdjustment_Direction</vt:lpstr>
      <vt:lpstr>dpValue_LeaseholdAdjustment_Word</vt:lpstr>
      <vt:lpstr>dpValue_LUD_1stGen_NRA</vt:lpstr>
      <vt:lpstr>dpValue_LUD_1stGen_TI</vt:lpstr>
      <vt:lpstr>dpValue_LUD_2ndGen_TI</vt:lpstr>
      <vt:lpstr>dpValue_LUD_Calc_Discount</vt:lpstr>
      <vt:lpstr>dpValue_LUD_Calc_NoDiscount</vt:lpstr>
      <vt:lpstr>dpValue_LUD_DCF</vt:lpstr>
      <vt:lpstr>dpValue_LUD_DCF_Discounted</vt:lpstr>
      <vt:lpstr>dpValue_LUD_Discount</vt:lpstr>
      <vt:lpstr>dpValue_LUD_DiscountRate</vt:lpstr>
      <vt:lpstr>dpValue_LUD_LC_Rate</vt:lpstr>
      <vt:lpstr>dpValue_LUD_LC_Term</vt:lpstr>
      <vt:lpstr>dpValue_LUD_LossFactor</vt:lpstr>
      <vt:lpstr>dpValue_LUD_NoDiscount</vt:lpstr>
      <vt:lpstr>dpValue_LUD_Period</vt:lpstr>
      <vt:lpstr>dpValue_LUD_Period_2</vt:lpstr>
      <vt:lpstr>dpValue_LUD_ProfitIncentive</vt:lpstr>
      <vt:lpstr>dpValue_LUD_ProfitIncentive_2</vt:lpstr>
      <vt:lpstr>dpValue_LUD_Reconciled</vt:lpstr>
      <vt:lpstr>dpValue_LUD_Reconciled_Word</vt:lpstr>
      <vt:lpstr>dpValue_LUD_SFtoStable</vt:lpstr>
      <vt:lpstr>dpValue_LUD_StartDate</vt:lpstr>
      <vt:lpstr>dpValue_Scenario_PluralA</vt:lpstr>
      <vt:lpstr>dpValue_Scenario_PluralB</vt:lpstr>
      <vt:lpstr>dpValue_Scenario_PluralC</vt:lpstr>
      <vt:lpstr>dpValue_Scenario_PluralD</vt:lpstr>
      <vt:lpstr>dpValue_Scenario_PluralE</vt:lpstr>
      <vt:lpstr>dpValue_Scenario1</vt:lpstr>
      <vt:lpstr>dpValue_Scenario2</vt:lpstr>
      <vt:lpstr>dpValue_Scenario3</vt:lpstr>
      <vt:lpstr>dpValue_UserDef1Adjustment_Name</vt:lpstr>
      <vt:lpstr>dpValue_UserDef1Adjustment_Value</vt:lpstr>
      <vt:lpstr>dpValue_UserDef1Adjustment_Value_Word</vt:lpstr>
      <vt:lpstr>dpValue_UserDef2Adjustment_Name</vt:lpstr>
      <vt:lpstr>dpValue_UserDef2Adjustment_Value</vt:lpstr>
      <vt:lpstr>dpValue_UserDef2Adjustment_Value_Word</vt:lpstr>
      <vt:lpstr>dpVowelCheck_OccupancyType</vt:lpstr>
      <vt:lpstr>dpVowelCheck_ParcelLocation</vt:lpstr>
      <vt:lpstr>dpVowelCheck_ParkingDesc</vt:lpstr>
      <vt:lpstr>dpVowelCheck_ProbableBuyer</vt:lpstr>
      <vt:lpstr>dpVowelCheck_ProbableUser</vt:lpstr>
      <vt:lpstr>dpVowelCheck_ValueScenario1</vt:lpstr>
      <vt:lpstr>dpVowelCheck_ValueScenario2</vt:lpstr>
      <vt:lpstr>dpVowelCheck_ValueScenario3</vt:lpstr>
      <vt:lpstr>EASI.CensusLatest</vt:lpstr>
      <vt:lpstr>EASI.CensusPrior</vt:lpstr>
      <vt:lpstr>EASI.CY</vt:lpstr>
      <vt:lpstr>EASI.FY</vt:lpstr>
      <vt:lpstr>EcoLifeFilter</vt:lpstr>
      <vt:lpstr>EcoLifeFilter_1</vt:lpstr>
      <vt:lpstr>EcoLifeFilter_2</vt:lpstr>
      <vt:lpstr>Employment_Chart_ColumnStart</vt:lpstr>
      <vt:lpstr>Employment_Chart_Total</vt:lpstr>
      <vt:lpstr>ESRI_Census</vt:lpstr>
      <vt:lpstr>ESRI_CY</vt:lpstr>
      <vt:lpstr>ESRI_FY</vt:lpstr>
      <vt:lpstr>Expense_Administrative_Detail</vt:lpstr>
      <vt:lpstr>Expense_Administrative_NonReimb</vt:lpstr>
      <vt:lpstr>Expense_Administrative_Number</vt:lpstr>
      <vt:lpstr>Expense_Administrative_Reimb</vt:lpstr>
      <vt:lpstr>Expense_Administrative_Reimb_Estimate</vt:lpstr>
      <vt:lpstr>Expense_CAM_Detail</vt:lpstr>
      <vt:lpstr>Expense_CAM_NonReimb</vt:lpstr>
      <vt:lpstr>Expense_CAM_Number</vt:lpstr>
      <vt:lpstr>Expense_CAM_Reimb</vt:lpstr>
      <vt:lpstr>Expense_CAM_Reimb_Estimate</vt:lpstr>
      <vt:lpstr>Expense_CleaningJanitorial_Detail</vt:lpstr>
      <vt:lpstr>Expense_CleaningJanitorial_NonReimb</vt:lpstr>
      <vt:lpstr>Expense_CleaningJanitorial_Number</vt:lpstr>
      <vt:lpstr>Expense_CleaningJanitorial_Reimb</vt:lpstr>
      <vt:lpstr>Expense_CleaningJanitorial_Reimb_Estimate</vt:lpstr>
      <vt:lpstr>Expense_Insurance_NonReimb</vt:lpstr>
      <vt:lpstr>Expense_Insurance_Number</vt:lpstr>
      <vt:lpstr>Expense_Insurance_Reimb</vt:lpstr>
      <vt:lpstr>Expense_Insurance_Reimb_Estimate</vt:lpstr>
      <vt:lpstr>Expense_LandlordCosts_NonReimb</vt:lpstr>
      <vt:lpstr>Expense_LandlordCosts_Number</vt:lpstr>
      <vt:lpstr>Expense_LandlordCosts_Reimb</vt:lpstr>
      <vt:lpstr>Expense_LandlordCosts_Reimb_Estimate</vt:lpstr>
      <vt:lpstr>Expense_Leasing_Detail</vt:lpstr>
      <vt:lpstr>Expense_Leasing_NonReimb</vt:lpstr>
      <vt:lpstr>Expense_Leasing_Number</vt:lpstr>
      <vt:lpstr>Expense_Leasing_Reimb</vt:lpstr>
      <vt:lpstr>Expense_LeasingExpenses_Reimb_Estimate</vt:lpstr>
      <vt:lpstr>Expense_MgmtFees_NonReimb</vt:lpstr>
      <vt:lpstr>Expense_MgmtFees_Number</vt:lpstr>
      <vt:lpstr>Expense_MgmtFees_Reimb</vt:lpstr>
      <vt:lpstr>Expense_MgmtFees_Reimb_Estimate</vt:lpstr>
      <vt:lpstr>Expense_OtherOps_Detail</vt:lpstr>
      <vt:lpstr>Expense_OtherOps_NonReimb</vt:lpstr>
      <vt:lpstr>Expense_OtherOps_Number</vt:lpstr>
      <vt:lpstr>Expense_OtherOps_Reimb</vt:lpstr>
      <vt:lpstr>Expense_OtherOps_Reimb_Estimate</vt:lpstr>
      <vt:lpstr>Expense_OtherTaxes_NonReimb</vt:lpstr>
      <vt:lpstr>Expense_OtherTaxes_Number</vt:lpstr>
      <vt:lpstr>Expense_OtherTaxes_Reimb</vt:lpstr>
      <vt:lpstr>Expense_OtherTaxes_Reimb_Estimate</vt:lpstr>
      <vt:lpstr>Expense_Payroll_Detail</vt:lpstr>
      <vt:lpstr>Expense_Payroll_NonReimb</vt:lpstr>
      <vt:lpstr>Expense_Payroll_Number</vt:lpstr>
      <vt:lpstr>Expense_Payroll_Reimb</vt:lpstr>
      <vt:lpstr>Expense_Payroll_Reimb_Estimate</vt:lpstr>
      <vt:lpstr>Expense_RealEstateTax_NonReimb</vt:lpstr>
      <vt:lpstr>Expense_RealEstateTax_Number</vt:lpstr>
      <vt:lpstr>Expense_RealEstateTax_Reimb</vt:lpstr>
      <vt:lpstr>Expense_RealEstateTax_Reimb_Estimate</vt:lpstr>
      <vt:lpstr>Expense_RepairsMaintenance_Detail</vt:lpstr>
      <vt:lpstr>Expense_RepairsMaintenance_NonReimb</vt:lpstr>
      <vt:lpstr>Expense_RepairsMaintenance_Number</vt:lpstr>
      <vt:lpstr>Expense_RepairsMaintenance_Reimb</vt:lpstr>
      <vt:lpstr>Expense_RepairsMaintenance_Reimb_Estimate</vt:lpstr>
      <vt:lpstr>Expense_ReplacementReserves_Detail</vt:lpstr>
      <vt:lpstr>Expense_ReplacementReserves_NonReimb</vt:lpstr>
      <vt:lpstr>Expense_ReplacementReserves_Number</vt:lpstr>
      <vt:lpstr>Expense_ReplacementReserves_Reimb</vt:lpstr>
      <vt:lpstr>Expense_ReplacementReserves_Reimb_Estimate</vt:lpstr>
      <vt:lpstr>Expense_RoadsGrounds_Detail</vt:lpstr>
      <vt:lpstr>Expense_RoadsGrounds_NonReimb</vt:lpstr>
      <vt:lpstr>Expense_RoadsGrounds_Number</vt:lpstr>
      <vt:lpstr>Expense_RoadsGrounds_Reimb</vt:lpstr>
      <vt:lpstr>Expense_RoadsGrounds_Reimb_Estimate</vt:lpstr>
      <vt:lpstr>Expense_Security_Detail</vt:lpstr>
      <vt:lpstr>Expense_Security_NonReimb</vt:lpstr>
      <vt:lpstr>Expense_Security_Number</vt:lpstr>
      <vt:lpstr>Expense_Security_Reimb</vt:lpstr>
      <vt:lpstr>Expense_Security_Reimb_Estimate</vt:lpstr>
      <vt:lpstr>Expense_Utilities_Detail</vt:lpstr>
      <vt:lpstr>Expense_Utilities_NonReimb</vt:lpstr>
      <vt:lpstr>Expense_Utilities_Number</vt:lpstr>
      <vt:lpstr>Expense_Utilities_Reimb</vt:lpstr>
      <vt:lpstr>Expense_Utilities_Reimb_Estimate</vt:lpstr>
      <vt:lpstr>expenseinputlist</vt:lpstr>
      <vt:lpstr>ExpenseInputMethod</vt:lpstr>
      <vt:lpstr>ExpensePoolList</vt:lpstr>
      <vt:lpstr>Filter_AbsorptionCol</vt:lpstr>
      <vt:lpstr>Filter_AbsorptionRow</vt:lpstr>
      <vt:lpstr>Filter_AutoRentAdjRow</vt:lpstr>
      <vt:lpstr>Filter_AutoRentAdjRow_1</vt:lpstr>
      <vt:lpstr>Filter_AutoRentAdjRow_2</vt:lpstr>
      <vt:lpstr>Filter_AutoSaleAdjCol</vt:lpstr>
      <vt:lpstr>Filter_AutoSaleAdjCol_1</vt:lpstr>
      <vt:lpstr>Filter_AutoSaleAdjCol_2</vt:lpstr>
      <vt:lpstr>Filter_AutoSaleAdjRow</vt:lpstr>
      <vt:lpstr>Filter_AutoSaleAdjRow_1</vt:lpstr>
      <vt:lpstr>Filter_AutoSaleAdjRow_2</vt:lpstr>
      <vt:lpstr>Filter_BuildingAreaBreakdownCol</vt:lpstr>
      <vt:lpstr>Filter_BuildingAreaBreakdownRow</vt:lpstr>
      <vt:lpstr>Filter_BuildingRCNCol</vt:lpstr>
      <vt:lpstr>Filter_BuildingRCNRow</vt:lpstr>
      <vt:lpstr>Filter_CostApproachRow</vt:lpstr>
      <vt:lpstr>Filter_CostDepExtractionRow</vt:lpstr>
      <vt:lpstr>Filter_CostDepreciationCol</vt:lpstr>
      <vt:lpstr>Filter_CostDepreciationRow</vt:lpstr>
      <vt:lpstr>Filter_CostDepreciationRow2</vt:lpstr>
      <vt:lpstr>Filter_DCF1Col</vt:lpstr>
      <vt:lpstr>Filter_DCF1Row</vt:lpstr>
      <vt:lpstr>Filter_DCF2Col</vt:lpstr>
      <vt:lpstr>Filter_DCF2Row</vt:lpstr>
      <vt:lpstr>Filter_DCF3Col</vt:lpstr>
      <vt:lpstr>Filter_DCF3Row</vt:lpstr>
      <vt:lpstr>Filter_DCFReversionCol</vt:lpstr>
      <vt:lpstr>Filter_DCFReversionRow</vt:lpstr>
      <vt:lpstr>Filter_DirectCapitalizationRow</vt:lpstr>
      <vt:lpstr>Filter_ExpenseCompsCol_Filter</vt:lpstr>
      <vt:lpstr>Filter_ExpenseCompsRow_Filter</vt:lpstr>
      <vt:lpstr>Filter_ExpenseCompsRow_Total_Filter</vt:lpstr>
      <vt:lpstr>Filter_ExpenseEstimatesCol</vt:lpstr>
      <vt:lpstr>Filter_ExpenseEstimatesRow</vt:lpstr>
      <vt:lpstr>Filter_IncomeAssumptionsRow</vt:lpstr>
      <vt:lpstr>Filter_IncomeAssumptionsRow2</vt:lpstr>
      <vt:lpstr>Filter_IncomeEstimatesRow</vt:lpstr>
      <vt:lpstr>Filter_IncomeExpenseHistoryCol_Filter</vt:lpstr>
      <vt:lpstr>Filter_IncomeExpenseHistoryRow_Filter</vt:lpstr>
      <vt:lpstr>Filter_IncomeGLRent_Row_Filter</vt:lpstr>
      <vt:lpstr>Filter_IncomeSupportRow</vt:lpstr>
      <vt:lpstr>Filter_InsurableCostRow</vt:lpstr>
      <vt:lpstr>Filter_InvestorSurveysRow</vt:lpstr>
      <vt:lpstr>Filter_LandAdjGridRow_Filter</vt:lpstr>
      <vt:lpstr>Filter_LandAdjGridRow_Filter_1</vt:lpstr>
      <vt:lpstr>Filter_LandAdjGridRow_Filter_2</vt:lpstr>
      <vt:lpstr>Filter_LandSummaryDetailRow_Filter</vt:lpstr>
      <vt:lpstr>Filter_LandSummaryDetailRow_Filter_1</vt:lpstr>
      <vt:lpstr>Filter_LandSummaryDetailRow_Filter_2</vt:lpstr>
      <vt:lpstr>Filter_LandSummaryLightCol_Filter</vt:lpstr>
      <vt:lpstr>Filter_LandSummaryLightColB1_Filter</vt:lpstr>
      <vt:lpstr>Filter_LandSummaryLightColB2_Filter</vt:lpstr>
      <vt:lpstr>Filter_LeaseExpirationRow</vt:lpstr>
      <vt:lpstr>Filter_LeaseUpCol</vt:lpstr>
      <vt:lpstr>Filter_LeaseUpRow</vt:lpstr>
      <vt:lpstr>Filter_MarketOARCol_Filter</vt:lpstr>
      <vt:lpstr>Filter_MarketOARColB1_Filter</vt:lpstr>
      <vt:lpstr>Filter_MarketOARColB2_Filter</vt:lpstr>
      <vt:lpstr>Filter_MarketStudyRow</vt:lpstr>
      <vt:lpstr>Filter_RCNRow</vt:lpstr>
      <vt:lpstr>Filter_RegionalDataRow</vt:lpstr>
      <vt:lpstr>Filter_RentAdjGridRow_Filter</vt:lpstr>
      <vt:lpstr>Filter_RentAdjGridRow_Filter_1</vt:lpstr>
      <vt:lpstr>Filter_RentAdjGridRow_Filter_2</vt:lpstr>
      <vt:lpstr>Filter_RentRollBreakdownRow</vt:lpstr>
      <vt:lpstr>Filter_RentRollCol</vt:lpstr>
      <vt:lpstr>Filter_RentRollRow</vt:lpstr>
      <vt:lpstr>Filter_RentSummaryDetailRow_Filter</vt:lpstr>
      <vt:lpstr>Filter_RentSummaryDetailRow_Filter_1</vt:lpstr>
      <vt:lpstr>Filter_RentSummaryDetailRow_Filter_2</vt:lpstr>
      <vt:lpstr>Filter_RentSummaryLightCol_Filter</vt:lpstr>
      <vt:lpstr>Filter_RentSummaryLightColB1_Filter</vt:lpstr>
      <vt:lpstr>Filter_RentSummaryLightColB2_Filter</vt:lpstr>
      <vt:lpstr>Filter_SalesAdjGridRow_Filter</vt:lpstr>
      <vt:lpstr>Filter_SalesAdjGridRow_Filter_1</vt:lpstr>
      <vt:lpstr>Filter_SalesAdjGridRow_Filter_2</vt:lpstr>
      <vt:lpstr>Filter_SalesEGIM_Col_Filter</vt:lpstr>
      <vt:lpstr>Filter_SalesEGIM_Row_Filter</vt:lpstr>
      <vt:lpstr>Filter_SalesSumLightCol_Filter</vt:lpstr>
      <vt:lpstr>Filter_SalesSumLightCol_Filter_1</vt:lpstr>
      <vt:lpstr>Filter_SalesSumLightCol_Filter_2</vt:lpstr>
      <vt:lpstr>Filter_SalesSummaryDetailRow_Filter</vt:lpstr>
      <vt:lpstr>Filter_SalesSummaryDetailRow_Filter_1</vt:lpstr>
      <vt:lpstr>Filter_SalesSummaryDetailRow_Filter_2</vt:lpstr>
      <vt:lpstr>Filter_SalientFactsCol</vt:lpstr>
      <vt:lpstr>Filter_SalientFactsRow</vt:lpstr>
      <vt:lpstr>Filter_SpecialtySaleAdjCol</vt:lpstr>
      <vt:lpstr>Filter_SpecialtySaleAdjCol_1</vt:lpstr>
      <vt:lpstr>Filter_SpecialtySaleAdjCol_2</vt:lpstr>
      <vt:lpstr>Filter_SpecialtySaleAdjRow</vt:lpstr>
      <vt:lpstr>Filter_SpecialtySaleAdjRow_1</vt:lpstr>
      <vt:lpstr>Filter_SpecialtySaleAdjRow_2</vt:lpstr>
      <vt:lpstr>Filter_TaxCompsCol</vt:lpstr>
      <vt:lpstr>Filter_TaxCompsRow</vt:lpstr>
      <vt:lpstr>Filter_TaxScheduleCol_Filter</vt:lpstr>
      <vt:lpstr>Filter_TaxScheduleRow</vt:lpstr>
      <vt:lpstr>Filter_USPSRow</vt:lpstr>
      <vt:lpstr>Filter_ValueIndicationsCol</vt:lpstr>
      <vt:lpstr>Filter_ValueIndicationsRow</vt:lpstr>
      <vt:lpstr>Filter_ValueIndicationsRow2</vt:lpstr>
      <vt:lpstr>Filter_WellsFargoCol</vt:lpstr>
      <vt:lpstr>FIPS_CensusTract</vt:lpstr>
      <vt:lpstr>FIPS_County</vt:lpstr>
      <vt:lpstr>FIPS_CSD</vt:lpstr>
      <vt:lpstr>FIPS_MSA</vt:lpstr>
      <vt:lpstr>FIPS_State</vt:lpstr>
      <vt:lpstr>FIPS_Town</vt:lpstr>
      <vt:lpstr>Fred_AltYieldRate_List</vt:lpstr>
      <vt:lpstr>FRED_Date_Current</vt:lpstr>
      <vt:lpstr>FRED_Date_Retro</vt:lpstr>
      <vt:lpstr>FRED_InterestRates_DateCol</vt:lpstr>
      <vt:lpstr>FRED_InterestRates_RateCol</vt:lpstr>
      <vt:lpstr>FRED_InterestRates_RateTypeCol</vt:lpstr>
      <vt:lpstr>Income_Absorb_Period1</vt:lpstr>
      <vt:lpstr>Income_Absorb_Period2</vt:lpstr>
      <vt:lpstr>Income_Absorb_Period3</vt:lpstr>
      <vt:lpstr>Income_Absorb_Period4</vt:lpstr>
      <vt:lpstr>Income_Absorb_Period5</vt:lpstr>
      <vt:lpstr>Income_ActualVacancyRow</vt:lpstr>
      <vt:lpstr>Income_BOI_Col_1</vt:lpstr>
      <vt:lpstr>Income_BOI_Col_2</vt:lpstr>
      <vt:lpstr>Income_BOI_RealtyRatesSource</vt:lpstr>
      <vt:lpstr>Income_BOI_Row</vt:lpstr>
      <vt:lpstr>Income_CollectionLoss2</vt:lpstr>
      <vt:lpstr>Income_CollectionLoss3</vt:lpstr>
      <vt:lpstr>Income_ConditionsofLease_Range</vt:lpstr>
      <vt:lpstr>Income_ConditionsofLease_Range_1</vt:lpstr>
      <vt:lpstr>Income_ConditionsofLease_Range_2</vt:lpstr>
      <vt:lpstr>Income_DCF_AssumpMatrix</vt:lpstr>
      <vt:lpstr>Income_DCF_AssumpTotalRow</vt:lpstr>
      <vt:lpstr>Income_DCF_HoldingPeriod1</vt:lpstr>
      <vt:lpstr>Income_DCF_HoldingPeriod2</vt:lpstr>
      <vt:lpstr>Income_DCF_HoldingPeriod3</vt:lpstr>
      <vt:lpstr>Income_DCF_IndicatedValue1</vt:lpstr>
      <vt:lpstr>Income_DCF_IndicatedValue2</vt:lpstr>
      <vt:lpstr>Income_DCF_IndicatedValue3</vt:lpstr>
      <vt:lpstr>Income_DCF_Reversion1</vt:lpstr>
      <vt:lpstr>Income_DCF_Reversion2</vt:lpstr>
      <vt:lpstr>Income_DCF_Reversion3</vt:lpstr>
      <vt:lpstr>Income_DCF1_Table_SubTitle</vt:lpstr>
      <vt:lpstr>Income_DCF2_Table_SubTitle</vt:lpstr>
      <vt:lpstr>Income_DCF3_Table_SubTitle</vt:lpstr>
      <vt:lpstr>Income_DCR</vt:lpstr>
      <vt:lpstr>Income_Direct_Capitalization_Sensitivity</vt:lpstr>
      <vt:lpstr>Income_DirectCap_AssumpMatrix</vt:lpstr>
      <vt:lpstr>Income_DirectCap_AssumpTotalRow</vt:lpstr>
      <vt:lpstr>Income_DirectCap_IndicatedValue1</vt:lpstr>
      <vt:lpstr>Income_DirectCap_IndicatedValue2</vt:lpstr>
      <vt:lpstr>Income_DirectCap_IndicatedValue3</vt:lpstr>
      <vt:lpstr>Income_DirectCap_NOI</vt:lpstr>
      <vt:lpstr>Income_DirectCap_NOI_PSF</vt:lpstr>
      <vt:lpstr>Income_DirectCap_PGI</vt:lpstr>
      <vt:lpstr>Income_DirectCap_ReimbRevenue</vt:lpstr>
      <vt:lpstr>Income_DirectCap_Total_ExpNonReimb</vt:lpstr>
      <vt:lpstr>Income_DirectCap_Total_ExpNonReimb_PSF</vt:lpstr>
      <vt:lpstr>Income_DirectCap_Total_ExpReimb</vt:lpstr>
      <vt:lpstr>Income_DirectCap_Total_ExpReimb_PSF</vt:lpstr>
      <vt:lpstr>Income_DirectCap_Total_OpEx</vt:lpstr>
      <vt:lpstr>Income_DirectCap_Total_OpExRatio</vt:lpstr>
      <vt:lpstr>Income_DirectCap_Total_PGNRI</vt:lpstr>
      <vt:lpstr>Income_DirectCap_Total_PGRI</vt:lpstr>
      <vt:lpstr>Income_DiscRate1_1</vt:lpstr>
      <vt:lpstr>Income_DiscRate2_1</vt:lpstr>
      <vt:lpstr>Income_DiscRate3_1</vt:lpstr>
      <vt:lpstr>Income_EGI_Pool1_1</vt:lpstr>
      <vt:lpstr>Income_EGI_Pool1_2</vt:lpstr>
      <vt:lpstr>Income_EGI_Pool1_3</vt:lpstr>
      <vt:lpstr>Income_EGI_Pool1_4</vt:lpstr>
      <vt:lpstr>Income_EGI_Pool2_1</vt:lpstr>
      <vt:lpstr>Income_EGI_Pool2_2</vt:lpstr>
      <vt:lpstr>Income_EGI_Pool2_3</vt:lpstr>
      <vt:lpstr>Income_EGI_Pool2_4</vt:lpstr>
      <vt:lpstr>Income_EGI_Pool3_1</vt:lpstr>
      <vt:lpstr>Income_EGI_Pool3_2</vt:lpstr>
      <vt:lpstr>Income_EGI_Pool3_3</vt:lpstr>
      <vt:lpstr>Income_EGI_Pool3_4</vt:lpstr>
      <vt:lpstr>Income_EquityDividendRate</vt:lpstr>
      <vt:lpstr>Income_Expense_Admin_Pool_1</vt:lpstr>
      <vt:lpstr>Income_Expense_Admin_Pool_2</vt:lpstr>
      <vt:lpstr>Income_Expense_Admin_Pool_3</vt:lpstr>
      <vt:lpstr>Income_Expense_Admin_Stabilized_1</vt:lpstr>
      <vt:lpstr>Income_Expense_Admin_Stabilized_2</vt:lpstr>
      <vt:lpstr>Income_Expense_CAM_Pool_1</vt:lpstr>
      <vt:lpstr>Income_Expense_CAM_Pool_2</vt:lpstr>
      <vt:lpstr>Income_Expense_CAM_Pool_3</vt:lpstr>
      <vt:lpstr>Income_Expense_CAM_Stabilized_1</vt:lpstr>
      <vt:lpstr>Income_Expense_CAM_Stabilized_2</vt:lpstr>
      <vt:lpstr>Income_Expense_CJ_Pool_1</vt:lpstr>
      <vt:lpstr>Income_Expense_CJ_Pool_2</vt:lpstr>
      <vt:lpstr>Income_Expense_CJ_Pool_3</vt:lpstr>
      <vt:lpstr>Income_Expense_CJ_Stabilized_1</vt:lpstr>
      <vt:lpstr>Income_Expense_CJ_Stabilized_2</vt:lpstr>
      <vt:lpstr>Income_Expense_Insurance_Pool_1</vt:lpstr>
      <vt:lpstr>Income_Expense_Insurance_Pool_2</vt:lpstr>
      <vt:lpstr>Income_Expense_Insurance_Pool_3</vt:lpstr>
      <vt:lpstr>Income_Expense_Insurance_Stabilized_1</vt:lpstr>
      <vt:lpstr>Income_Expense_Insurance_Stabilized_2</vt:lpstr>
      <vt:lpstr>Income_Expense_LC_Pool_1</vt:lpstr>
      <vt:lpstr>Income_Expense_LC_Pool_2</vt:lpstr>
      <vt:lpstr>Income_Expense_LC_Pool_3</vt:lpstr>
      <vt:lpstr>Income_Expense_LC_Stabilized_1</vt:lpstr>
      <vt:lpstr>Income_Expense_LC_Stabilized_2</vt:lpstr>
      <vt:lpstr>Income_Expense_Leasing_Pool_1</vt:lpstr>
      <vt:lpstr>Income_Expense_Leasing_Pool_2</vt:lpstr>
      <vt:lpstr>Income_Expense_Leasing_Pool_3</vt:lpstr>
      <vt:lpstr>Income_Expense_Leasing_Stabilized_1</vt:lpstr>
      <vt:lpstr>Income_Expense_Leasing_Stabilized_2</vt:lpstr>
      <vt:lpstr>Income_Expense_MgmtFees_Pool_1</vt:lpstr>
      <vt:lpstr>Income_Expense_MgmtFees_Pool_2</vt:lpstr>
      <vt:lpstr>Income_Expense_MgmtFees_Pool_3</vt:lpstr>
      <vt:lpstr>Income_Expense_MgmtFees_Stabilized_1</vt:lpstr>
      <vt:lpstr>Income_Expense_MgmtFees_Stabilized_2</vt:lpstr>
      <vt:lpstr>Income_Expense_OtherOps_Pool_1</vt:lpstr>
      <vt:lpstr>Income_Expense_OtherOps_Pool_2</vt:lpstr>
      <vt:lpstr>Income_Expense_OtherOps_Pool_3</vt:lpstr>
      <vt:lpstr>Income_Expense_OtherOps_Stabilized_1</vt:lpstr>
      <vt:lpstr>Income_Expense_OtherOps_Stabilized_2</vt:lpstr>
      <vt:lpstr>Income_Expense_OtherTax_Pool_1</vt:lpstr>
      <vt:lpstr>Income_Expense_OtherTax_Pool_2</vt:lpstr>
      <vt:lpstr>Income_Expense_OtherTax_Pool_3</vt:lpstr>
      <vt:lpstr>Income_Expense_OtherTaxes_Stabilized_1</vt:lpstr>
      <vt:lpstr>Income_Expense_OtherTaxes_Stabilized_2</vt:lpstr>
      <vt:lpstr>Income_Expense_Payroll_Pool_1</vt:lpstr>
      <vt:lpstr>Income_Expense_Payroll_Pool_2</vt:lpstr>
      <vt:lpstr>Income_Expense_Payroll_Pool_3</vt:lpstr>
      <vt:lpstr>Income_Expense_Payroll_Stabilized_1</vt:lpstr>
      <vt:lpstr>Income_Expense_Payroll_Stabilized_2</vt:lpstr>
      <vt:lpstr>Income_Expense_Reserves_Pool_1</vt:lpstr>
      <vt:lpstr>Income_Expense_Reserves_Pool_2</vt:lpstr>
      <vt:lpstr>Income_Expense_Reserves_Pool_3</vt:lpstr>
      <vt:lpstr>Income_Expense_Reserves_Stabilized_1</vt:lpstr>
      <vt:lpstr>Income_Expense_Reserves_Stabilized_2</vt:lpstr>
      <vt:lpstr>Income_Expense_RETax_Pool_1</vt:lpstr>
      <vt:lpstr>Income_Expense_RETax_Pool_2</vt:lpstr>
      <vt:lpstr>Income_Expense_RETax_Pool_3</vt:lpstr>
      <vt:lpstr>Income_Expense_RETax_Stabilized_1</vt:lpstr>
      <vt:lpstr>Income_Expense_RETax_Stabilized_1_Total</vt:lpstr>
      <vt:lpstr>Income_Expense_RETax_Stabilized_2</vt:lpstr>
      <vt:lpstr>Income_Expense_RETax_Stabilized_2_Total</vt:lpstr>
      <vt:lpstr>Income_Expense_RG_Pool_1</vt:lpstr>
      <vt:lpstr>Income_Expense_RG_Pool_2</vt:lpstr>
      <vt:lpstr>Income_Expense_RG_Pool_3</vt:lpstr>
      <vt:lpstr>Income_Expense_RG_Stabilized_1</vt:lpstr>
      <vt:lpstr>Income_Expense_RG_Stabilized_2</vt:lpstr>
      <vt:lpstr>Income_Expense_RM_Pool_1</vt:lpstr>
      <vt:lpstr>Income_Expense_RM_Pool_2</vt:lpstr>
      <vt:lpstr>Income_Expense_RM_Pool_3</vt:lpstr>
      <vt:lpstr>Income_Expense_RM_Stabilized_1</vt:lpstr>
      <vt:lpstr>Income_Expense_RM_Stabilized_2</vt:lpstr>
      <vt:lpstr>Income_Expense_Security_Pool_1</vt:lpstr>
      <vt:lpstr>Income_Expense_Security_Pool_2</vt:lpstr>
      <vt:lpstr>Income_Expense_Security_Pool_3</vt:lpstr>
      <vt:lpstr>Income_Expense_Security_Stabilized_1</vt:lpstr>
      <vt:lpstr>Income_Expense_Security_Stabilized_2</vt:lpstr>
      <vt:lpstr>Income_Expense_Utilities_Pool_1</vt:lpstr>
      <vt:lpstr>Income_Expense_Utilities_Pool_2</vt:lpstr>
      <vt:lpstr>Income_Expense_Utilities_Pool_3</vt:lpstr>
      <vt:lpstr>Income_Expense_Utilities_Stabilized_1</vt:lpstr>
      <vt:lpstr>Income_Expense_Utilities_Stabilized_2</vt:lpstr>
      <vt:lpstr>Income_ExpenseCat_1_DataRange</vt:lpstr>
      <vt:lpstr>Income_ExpenseCat_10_DataRange</vt:lpstr>
      <vt:lpstr>Income_ExpenseCat_11_DataRange</vt:lpstr>
      <vt:lpstr>Income_ExpenseCat_12_DataRange</vt:lpstr>
      <vt:lpstr>Income_ExpenseCat_13_DataRange</vt:lpstr>
      <vt:lpstr>Income_ExpenseCat_14_DataRange</vt:lpstr>
      <vt:lpstr>Income_ExpenseCat_15_DataRange</vt:lpstr>
      <vt:lpstr>Income_ExpenseCat_16_DataRange</vt:lpstr>
      <vt:lpstr>Income_ExpenseCat_17_DataRange</vt:lpstr>
      <vt:lpstr>Income_ExpenseCat_2_DataRange</vt:lpstr>
      <vt:lpstr>Income_ExpenseCat_3_DataRange</vt:lpstr>
      <vt:lpstr>Income_ExpenseCat_4_DataRange</vt:lpstr>
      <vt:lpstr>Income_ExpenseCat_5_DataRange</vt:lpstr>
      <vt:lpstr>Income_ExpenseCat_6_DataRange</vt:lpstr>
      <vt:lpstr>Income_ExpenseCat_7_DataRange</vt:lpstr>
      <vt:lpstr>Income_ExpenseCat_8_DataRange</vt:lpstr>
      <vt:lpstr>Income_ExpenseCat_9_DataRange</vt:lpstr>
      <vt:lpstr>Income_ExpenseGrowthCol</vt:lpstr>
      <vt:lpstr>Income_ExpenseReimbursements</vt:lpstr>
      <vt:lpstr>Income_GroundRentComp_AnnualRentCol</vt:lpstr>
      <vt:lpstr>Income_GroundRentComp_AnnualReturnCol</vt:lpstr>
      <vt:lpstr>Income_GroundRentComp_LandValueEstCol</vt:lpstr>
      <vt:lpstr>Income_Inc_OtherIncome_Stabilized_1</vt:lpstr>
      <vt:lpstr>Income_Inc_ParkingInc_Stabilized_1</vt:lpstr>
      <vt:lpstr>Income_Inc_PercentRent_Stabilized_1</vt:lpstr>
      <vt:lpstr>Income_Inc_UserDefInc_Stabilized_1</vt:lpstr>
      <vt:lpstr>Income_IncCat_2_DataRange</vt:lpstr>
      <vt:lpstr>Income_IncCat_3_DataRange</vt:lpstr>
      <vt:lpstr>Income_IncCat_5_DataRange</vt:lpstr>
      <vt:lpstr>Income_IncCat_6_DataRange</vt:lpstr>
      <vt:lpstr>Income_IndicatedValue1</vt:lpstr>
      <vt:lpstr>Income_IndicatedValue2</vt:lpstr>
      <vt:lpstr>Income_IndicatedValue3</vt:lpstr>
      <vt:lpstr>Income_InvSurvey_PwC</vt:lpstr>
      <vt:lpstr>Income_InvSurvey_PwC_Category</vt:lpstr>
      <vt:lpstr>Income_InvSurvey_PWC_Date</vt:lpstr>
      <vt:lpstr>Income_InvSurvey_RERC</vt:lpstr>
      <vt:lpstr>Income_InvSurvey_RERC_Category</vt:lpstr>
      <vt:lpstr>Income_InvSurvey_RERC_Date</vt:lpstr>
      <vt:lpstr>Income_InvSurveys_DiscRate_Col_1</vt:lpstr>
      <vt:lpstr>Income_InvSurveys_DiscRate_Col_2</vt:lpstr>
      <vt:lpstr>Income_InvSurveys_DiscRate_Col_3</vt:lpstr>
      <vt:lpstr>Income_InvSurveys_DiscRate_Col_4</vt:lpstr>
      <vt:lpstr>Income_InvSurveys_DiscRate_Row</vt:lpstr>
      <vt:lpstr>Income_InvSurveys_Expense_Col_1</vt:lpstr>
      <vt:lpstr>Income_InvSurveys_Expense_Col_2</vt:lpstr>
      <vt:lpstr>Income_InvSurveys_Expense_Row</vt:lpstr>
      <vt:lpstr>Income_InvSurveys_Marketing_Col_1</vt:lpstr>
      <vt:lpstr>Income_InvSurveys_Marketing_Col_2</vt:lpstr>
      <vt:lpstr>Income_InvSurveys_Marketing_Row</vt:lpstr>
      <vt:lpstr>Income_InvSurveys_OAR_Col_1</vt:lpstr>
      <vt:lpstr>Income_InvSurveys_OAR_Col_2</vt:lpstr>
      <vt:lpstr>Income_InvSurveys_OAR_Col_3</vt:lpstr>
      <vt:lpstr>Income_InvSurveys_OAR_Row</vt:lpstr>
      <vt:lpstr>Income_InvSurveys_RentChange_Col_1</vt:lpstr>
      <vt:lpstr>Income_InvSurveys_RentChange_Col_2</vt:lpstr>
      <vt:lpstr>Income_InvSurveys_RentChange_Row</vt:lpstr>
      <vt:lpstr>Income_InvSurveys_Spread_Row</vt:lpstr>
      <vt:lpstr>Income_InvSurveys_TermRate_Col_1</vt:lpstr>
      <vt:lpstr>Income_InvSurveys_TermRate_Col_2</vt:lpstr>
      <vt:lpstr>Income_InvSurveys_TermRate_Col_3</vt:lpstr>
      <vt:lpstr>Income_InvSurveys_TermRate_Row</vt:lpstr>
      <vt:lpstr>Income_Lease_SignCommence</vt:lpstr>
      <vt:lpstr>Income_Lease_SignCommence_1</vt:lpstr>
      <vt:lpstr>Income_Lease_SignCommence_2</vt:lpstr>
      <vt:lpstr>Income_MarketRentCatCount</vt:lpstr>
      <vt:lpstr>Income_MarketRentSpaceTypeRange</vt:lpstr>
      <vt:lpstr>Income_MarketRentSpaceTypeRange_1</vt:lpstr>
      <vt:lpstr>Income_MarketRentSpaceTypeRange_2</vt:lpstr>
      <vt:lpstr>Income_MortgageConstant</vt:lpstr>
      <vt:lpstr>Income_MortgageInterestRate</vt:lpstr>
      <vt:lpstr>Income_MortgageRatio</vt:lpstr>
      <vt:lpstr>Income_MortgageTerm</vt:lpstr>
      <vt:lpstr>Income_NOI_Number</vt:lpstr>
      <vt:lpstr>Income_NRA_Pool_1</vt:lpstr>
      <vt:lpstr>Income_NRA_Pool_2</vt:lpstr>
      <vt:lpstr>Income_NRA_Pool_3</vt:lpstr>
      <vt:lpstr>Income_OAR_ActualCol</vt:lpstr>
      <vt:lpstr>Income_OAR_ActualColB1</vt:lpstr>
      <vt:lpstr>Income_OAR_ActualColB2</vt:lpstr>
      <vt:lpstr>Income_OAR_RemLeaseTermOption</vt:lpstr>
      <vt:lpstr>Income_OAR_RemLeaseTermOptionB1</vt:lpstr>
      <vt:lpstr>Income_OAR_RemLeaseTermOptionB2</vt:lpstr>
      <vt:lpstr>Income_OAR_StabAfterReserveCol</vt:lpstr>
      <vt:lpstr>Income_OAR_StabAfterReserveColB1</vt:lpstr>
      <vt:lpstr>Income_OAR_StabAfterReserveColB2</vt:lpstr>
      <vt:lpstr>Income_OAR_StabPriorReserveCol</vt:lpstr>
      <vt:lpstr>Income_OAR_StabPriorReserveColB1</vt:lpstr>
      <vt:lpstr>Income_OAR_StabPriorReserveColB2</vt:lpstr>
      <vt:lpstr>Income_OAR2</vt:lpstr>
      <vt:lpstr>Income_OtherIncome</vt:lpstr>
      <vt:lpstr>Income_OtherIncome_Number</vt:lpstr>
      <vt:lpstr>Income_ParkingIncome</vt:lpstr>
      <vt:lpstr>Income_ParkingIncome_Number</vt:lpstr>
      <vt:lpstr>Income_PercentageRent</vt:lpstr>
      <vt:lpstr>Income_PercentageRent_Number</vt:lpstr>
      <vt:lpstr>Income_PRI_Row</vt:lpstr>
      <vt:lpstr>Income_RateCol</vt:lpstr>
      <vt:lpstr>Income_RentAdjGridSelection</vt:lpstr>
      <vt:lpstr>Income_RentAdjPrice1</vt:lpstr>
      <vt:lpstr>Income_RentAdjPrice1_1</vt:lpstr>
      <vt:lpstr>Income_RentAdjPrice1_2</vt:lpstr>
      <vt:lpstr>Income_RentAdjPrice2</vt:lpstr>
      <vt:lpstr>Income_RentAdjPrice2_1</vt:lpstr>
      <vt:lpstr>Income_RentAdjPrice2_2</vt:lpstr>
      <vt:lpstr>Income_RentAdjPrice3</vt:lpstr>
      <vt:lpstr>Income_RentAdjPrice3_1</vt:lpstr>
      <vt:lpstr>Income_RentAdjPrice3_2</vt:lpstr>
      <vt:lpstr>Income_RentAdjType</vt:lpstr>
      <vt:lpstr>Income_RentAdjType_1</vt:lpstr>
      <vt:lpstr>Income_RentAdjType_2</vt:lpstr>
      <vt:lpstr>Income_RentAdjustment_11_Range</vt:lpstr>
      <vt:lpstr>Income_RentAdjustment_11_Range_1</vt:lpstr>
      <vt:lpstr>Income_RentAdjustment_11_Range_2</vt:lpstr>
      <vt:lpstr>Income_RentAdjustment_12_Range</vt:lpstr>
      <vt:lpstr>Income_RentAdjustment_12_Range_1</vt:lpstr>
      <vt:lpstr>Income_RentAdjustment_12_Range_2</vt:lpstr>
      <vt:lpstr>Income_RentAdjustment_5_Range</vt:lpstr>
      <vt:lpstr>Income_RentAdjustment_5_Range_1</vt:lpstr>
      <vt:lpstr>Income_RentAdjustment_5_Range_2</vt:lpstr>
      <vt:lpstr>Income_RentClearHeight_AdjRange</vt:lpstr>
      <vt:lpstr>Income_RentClearHeight_AdjRange_1</vt:lpstr>
      <vt:lpstr>Income_RentClearHeight_AdjRange_2</vt:lpstr>
      <vt:lpstr>Income_RentCompOccRange</vt:lpstr>
      <vt:lpstr>Income_RentCompOccRangeB1</vt:lpstr>
      <vt:lpstr>Income_RentCompOccRangeB2</vt:lpstr>
      <vt:lpstr>Income_RentConcessions_MonthsFreeColumn</vt:lpstr>
      <vt:lpstr>Income_RentConcessions_MonthsFreeColumnB1</vt:lpstr>
      <vt:lpstr>Income_RentConcessions_MonthsFreeColumnB2</vt:lpstr>
      <vt:lpstr>Income_RentGrowthCol</vt:lpstr>
      <vt:lpstr>Income_RentRoll_ManualEntry_End</vt:lpstr>
      <vt:lpstr>Income_RentRoll_ManualEntry_Start</vt:lpstr>
      <vt:lpstr>Income_RentRoll_SigTenants_Credit</vt:lpstr>
      <vt:lpstr>Income_RentRoll_UserDefineCats</vt:lpstr>
      <vt:lpstr>Income_RentRollSource</vt:lpstr>
      <vt:lpstr>Income_RentRollSourceList</vt:lpstr>
      <vt:lpstr>Income_SpaceTypeSelectionRange</vt:lpstr>
      <vt:lpstr>Income_StabilizedVacancy2</vt:lpstr>
      <vt:lpstr>Income_StabilizedVacancy3</vt:lpstr>
      <vt:lpstr>Income_StabVacancyCL</vt:lpstr>
      <vt:lpstr>Income_TCat1</vt:lpstr>
      <vt:lpstr>Income_TCat1_2</vt:lpstr>
      <vt:lpstr>Income_TCat1_3</vt:lpstr>
      <vt:lpstr>Income_TCat1_4</vt:lpstr>
      <vt:lpstr>Income_TCat1_5</vt:lpstr>
      <vt:lpstr>Income_TCat1_ContractRent_Manual</vt:lpstr>
      <vt:lpstr>Income_TCat1_LCNew</vt:lpstr>
      <vt:lpstr>Income_TCat1_LCNew_2</vt:lpstr>
      <vt:lpstr>Income_TCat1_LCRenew</vt:lpstr>
      <vt:lpstr>Income_TCat1_LeaseStructure</vt:lpstr>
      <vt:lpstr>Income_TCat1_LeaseStructure_DCF</vt:lpstr>
      <vt:lpstr>Income_TCat1_LeaseTerm</vt:lpstr>
      <vt:lpstr>Income_TCat1_LeaseTerm_2</vt:lpstr>
      <vt:lpstr>Income_TCat1_MarketRent</vt:lpstr>
      <vt:lpstr>Income_TCat1_MarketRent_2</vt:lpstr>
      <vt:lpstr>Income_TCat1_MarketRent_3</vt:lpstr>
      <vt:lpstr>Income_TCat1_MarketRent_4</vt:lpstr>
      <vt:lpstr>Income_TCat1_MonthsVacant_NoGenVac</vt:lpstr>
      <vt:lpstr>Income_TCat1_NRA</vt:lpstr>
      <vt:lpstr>Income_TCat1_NRA_Manual</vt:lpstr>
      <vt:lpstr>Income_TCat1_NRA_Manual_2</vt:lpstr>
      <vt:lpstr>Income_TCat1_NRA_Manual_3</vt:lpstr>
      <vt:lpstr>Income_TCat1_RenewalProb</vt:lpstr>
      <vt:lpstr>Income_TCat1_TINew</vt:lpstr>
      <vt:lpstr>Income_TCat1_TINew_2</vt:lpstr>
      <vt:lpstr>Income_TCat1_TIRenew</vt:lpstr>
      <vt:lpstr>Income_TCat2</vt:lpstr>
      <vt:lpstr>Income_TCat2_2</vt:lpstr>
      <vt:lpstr>Income_TCat2_3</vt:lpstr>
      <vt:lpstr>Income_TCat2_4</vt:lpstr>
      <vt:lpstr>Income_TCat2_5</vt:lpstr>
      <vt:lpstr>Income_TCat2_ContractRent_Manual</vt:lpstr>
      <vt:lpstr>Income_TCat2_LCNew</vt:lpstr>
      <vt:lpstr>Income_TCat2_LCNew_2</vt:lpstr>
      <vt:lpstr>Income_TCat2_LCRenew</vt:lpstr>
      <vt:lpstr>Income_TCat2_LeaseStructure</vt:lpstr>
      <vt:lpstr>Income_TCat2_LeaseStructure_DCF</vt:lpstr>
      <vt:lpstr>Income_TCat2_LeaseTerm</vt:lpstr>
      <vt:lpstr>Income_TCat2_LeaseTerm_2</vt:lpstr>
      <vt:lpstr>Income_TCat2_MarketRent</vt:lpstr>
      <vt:lpstr>Income_TCat2_MarketRent_2</vt:lpstr>
      <vt:lpstr>Income_TCat2_MarketRent_3</vt:lpstr>
      <vt:lpstr>Income_TCat2_MarketRent_4</vt:lpstr>
      <vt:lpstr>Income_TCat2_MonthsVacant_NoGenVac</vt:lpstr>
      <vt:lpstr>Income_TCat2_NRA</vt:lpstr>
      <vt:lpstr>Income_TCat2_NRA_Manual</vt:lpstr>
      <vt:lpstr>Income_TCat2_NRA_Manual_2</vt:lpstr>
      <vt:lpstr>Income_TCat2_NRA_Manual_3</vt:lpstr>
      <vt:lpstr>Income_TCat2_RenewalProb</vt:lpstr>
      <vt:lpstr>Income_TCat2_TINew</vt:lpstr>
      <vt:lpstr>Income_TCat2_TINew_2</vt:lpstr>
      <vt:lpstr>Income_TCat2_TIRenew</vt:lpstr>
      <vt:lpstr>Income_TCat3</vt:lpstr>
      <vt:lpstr>Income_TCat3_2</vt:lpstr>
      <vt:lpstr>Income_TCat3_3</vt:lpstr>
      <vt:lpstr>Income_TCat3_4</vt:lpstr>
      <vt:lpstr>Income_TCat3_5</vt:lpstr>
      <vt:lpstr>Income_TCat3_ContractRent_Manual</vt:lpstr>
      <vt:lpstr>Income_TCat3_LCNew</vt:lpstr>
      <vt:lpstr>Income_TCat3_LCNew_2</vt:lpstr>
      <vt:lpstr>Income_TCat3_LCRenew</vt:lpstr>
      <vt:lpstr>Income_TCat3_LeaseStructure</vt:lpstr>
      <vt:lpstr>Income_TCat3_LeaseStructure_DCF</vt:lpstr>
      <vt:lpstr>Income_TCat3_LeaseTerm</vt:lpstr>
      <vt:lpstr>Income_TCat3_LeaseTerm_2</vt:lpstr>
      <vt:lpstr>Income_TCat3_MarketRent</vt:lpstr>
      <vt:lpstr>Income_TCat3_MarketRent_2</vt:lpstr>
      <vt:lpstr>Income_TCat3_MarketRent_3</vt:lpstr>
      <vt:lpstr>Income_TCat3_MarketRent_4</vt:lpstr>
      <vt:lpstr>Income_TCat3_MonthsVacant_NoGenVac</vt:lpstr>
      <vt:lpstr>Income_TCat3_NRA</vt:lpstr>
      <vt:lpstr>Income_TCat3_NRA_Manual</vt:lpstr>
      <vt:lpstr>Income_TCat3_NRA_Manual_2</vt:lpstr>
      <vt:lpstr>Income_TCat3_NRA_Manual_3</vt:lpstr>
      <vt:lpstr>Income_TCat3_RenewalProb</vt:lpstr>
      <vt:lpstr>Income_TCat3_TINew</vt:lpstr>
      <vt:lpstr>Income_TCat3_TINew_2</vt:lpstr>
      <vt:lpstr>Income_TCat3_TIRenew</vt:lpstr>
      <vt:lpstr>Income_TCat4</vt:lpstr>
      <vt:lpstr>Income_TCat4_2</vt:lpstr>
      <vt:lpstr>Income_TCat4_3</vt:lpstr>
      <vt:lpstr>Income_TCat4_4</vt:lpstr>
      <vt:lpstr>Income_TCat4_5</vt:lpstr>
      <vt:lpstr>Income_TCat4_ContractRent_Manual</vt:lpstr>
      <vt:lpstr>Income_TCat4_LCNew</vt:lpstr>
      <vt:lpstr>Income_TCat4_LCNew_2</vt:lpstr>
      <vt:lpstr>Income_TCat4_LCRenew</vt:lpstr>
      <vt:lpstr>Income_TCat4_LeaseStructure</vt:lpstr>
      <vt:lpstr>Income_TCat4_LeaseStructure_DCF</vt:lpstr>
      <vt:lpstr>Income_TCat4_LeaseTerm</vt:lpstr>
      <vt:lpstr>Income_TCat4_LeaseTerm_2</vt:lpstr>
      <vt:lpstr>Income_TCat4_MarketRent</vt:lpstr>
      <vt:lpstr>Income_TCat4_MarketRent_2</vt:lpstr>
      <vt:lpstr>Income_TCat4_MarketRent_3</vt:lpstr>
      <vt:lpstr>Income_TCat4_MarketRent_4</vt:lpstr>
      <vt:lpstr>Income_TCat4_MonthsVacant_NoGenVac</vt:lpstr>
      <vt:lpstr>Income_TCat4_NRA</vt:lpstr>
      <vt:lpstr>Income_TCat4_NRA_Manual</vt:lpstr>
      <vt:lpstr>Income_TCat4_NRA_Manual_2</vt:lpstr>
      <vt:lpstr>Income_TCat4_NRA_Manual_3</vt:lpstr>
      <vt:lpstr>Income_TCat4_RenewalProb</vt:lpstr>
      <vt:lpstr>Income_TCat4_TINew</vt:lpstr>
      <vt:lpstr>Income_TCat4_TINew_2</vt:lpstr>
      <vt:lpstr>Income_TCat4_TIRenew</vt:lpstr>
      <vt:lpstr>Income_TCat5</vt:lpstr>
      <vt:lpstr>Income_TCat5_2</vt:lpstr>
      <vt:lpstr>Income_TCat5_3</vt:lpstr>
      <vt:lpstr>Income_TCat5_4</vt:lpstr>
      <vt:lpstr>Income_TCat5_5</vt:lpstr>
      <vt:lpstr>Income_TCat5_ContractRent_Manual</vt:lpstr>
      <vt:lpstr>Income_TCat5_LCNew</vt:lpstr>
      <vt:lpstr>Income_TCat5_LCNew_2</vt:lpstr>
      <vt:lpstr>Income_TCat5_LCRenew</vt:lpstr>
      <vt:lpstr>Income_TCat5_LeaseStructure</vt:lpstr>
      <vt:lpstr>Income_TCat5_LeaseStructure_DCF</vt:lpstr>
      <vt:lpstr>Income_TCat5_LeaseTerm</vt:lpstr>
      <vt:lpstr>Income_TCat5_LeaseTerm_2</vt:lpstr>
      <vt:lpstr>Income_TCat5_MarketRent</vt:lpstr>
      <vt:lpstr>Income_TCat5_MarketRent_2</vt:lpstr>
      <vt:lpstr>Income_TCat5_MarketRent_3</vt:lpstr>
      <vt:lpstr>Income_TCat5_MarketRent_4</vt:lpstr>
      <vt:lpstr>Income_TCat5_MonthsVacant_NoGenVac</vt:lpstr>
      <vt:lpstr>Income_TCat5_NRA</vt:lpstr>
      <vt:lpstr>Income_TCat5_NRA_Manual</vt:lpstr>
      <vt:lpstr>Income_TCat5_NRA_Manual_2</vt:lpstr>
      <vt:lpstr>Income_TCat5_NRA_Manual_3</vt:lpstr>
      <vt:lpstr>Income_TCat5_RenewalProb</vt:lpstr>
      <vt:lpstr>Income_TCat5_TINew</vt:lpstr>
      <vt:lpstr>Income_TCat5_TINew_2</vt:lpstr>
      <vt:lpstr>Income_TCat5_TIRenew</vt:lpstr>
      <vt:lpstr>Income_TCat6</vt:lpstr>
      <vt:lpstr>Income_TCat6_2</vt:lpstr>
      <vt:lpstr>Income_TCat6_3</vt:lpstr>
      <vt:lpstr>Income_TCat6_4</vt:lpstr>
      <vt:lpstr>Income_TCat6_5</vt:lpstr>
      <vt:lpstr>Income_TCat6_ContractRent_Manual</vt:lpstr>
      <vt:lpstr>Income_TCat6_LCNew</vt:lpstr>
      <vt:lpstr>Income_TCat6_LCNew_2</vt:lpstr>
      <vt:lpstr>Income_TCat6_LCRenew</vt:lpstr>
      <vt:lpstr>Income_TCat6_LeaseStructure</vt:lpstr>
      <vt:lpstr>Income_TCat6_LeaseStructure_DCF</vt:lpstr>
      <vt:lpstr>Income_TCat6_LeaseTerm</vt:lpstr>
      <vt:lpstr>Income_TCat6_LeaseTerm_2</vt:lpstr>
      <vt:lpstr>Income_TCat6_MarketRent</vt:lpstr>
      <vt:lpstr>Income_TCat6_MarketRent_2</vt:lpstr>
      <vt:lpstr>Income_TCat6_MarketRent_3</vt:lpstr>
      <vt:lpstr>Income_TCat6_MarketRent_4</vt:lpstr>
      <vt:lpstr>Income_TCat6_MonthsVacant_NoGenVac</vt:lpstr>
      <vt:lpstr>Income_TCat6_NRA</vt:lpstr>
      <vt:lpstr>Income_TCat6_NRA_Manual</vt:lpstr>
      <vt:lpstr>Income_TCat6_NRA_Manual_2</vt:lpstr>
      <vt:lpstr>Income_TCat6_NRA_Manual_3</vt:lpstr>
      <vt:lpstr>Income_TCat6_RenewalProb</vt:lpstr>
      <vt:lpstr>Income_TCat6_TINew</vt:lpstr>
      <vt:lpstr>Income_TCat6_TINew_2</vt:lpstr>
      <vt:lpstr>Income_TCat6_TIRenew</vt:lpstr>
      <vt:lpstr>Income_TCat7</vt:lpstr>
      <vt:lpstr>Income_TCat7_2</vt:lpstr>
      <vt:lpstr>Income_TCat7_3</vt:lpstr>
      <vt:lpstr>Income_TCat7_4</vt:lpstr>
      <vt:lpstr>Income_TCat7_5</vt:lpstr>
      <vt:lpstr>Income_TCat7_ContractRent_Manual</vt:lpstr>
      <vt:lpstr>Income_TCat7_LCNew</vt:lpstr>
      <vt:lpstr>Income_TCat7_LCNew_2</vt:lpstr>
      <vt:lpstr>Income_TCat7_LCRenew</vt:lpstr>
      <vt:lpstr>Income_TCat7_LeaseStructure</vt:lpstr>
      <vt:lpstr>Income_TCat7_LeaseStructure_DCF</vt:lpstr>
      <vt:lpstr>Income_TCat7_LeaseTerm</vt:lpstr>
      <vt:lpstr>Income_TCat7_LeaseTerm_2</vt:lpstr>
      <vt:lpstr>Income_TCat7_MarketRent</vt:lpstr>
      <vt:lpstr>Income_TCat7_MarketRent_2</vt:lpstr>
      <vt:lpstr>Income_TCat7_MarketRent_3</vt:lpstr>
      <vt:lpstr>Income_TCat7_MarketRent_4</vt:lpstr>
      <vt:lpstr>Income_TCat7_MonthsVacant_NoGenVac</vt:lpstr>
      <vt:lpstr>Income_TCat7_NRA</vt:lpstr>
      <vt:lpstr>Income_TCat7_NRA_Manual</vt:lpstr>
      <vt:lpstr>Income_TCat7_NRA_Manual_2</vt:lpstr>
      <vt:lpstr>Income_TCat7_NRA_Manual_3</vt:lpstr>
      <vt:lpstr>Income_TCat7_RenewalProb</vt:lpstr>
      <vt:lpstr>Income_TCat7_TINew</vt:lpstr>
      <vt:lpstr>Income_TCat7_TINew_2</vt:lpstr>
      <vt:lpstr>Income_TCat7_TIRenew</vt:lpstr>
      <vt:lpstr>Income_TCat8</vt:lpstr>
      <vt:lpstr>Income_TCat8_2</vt:lpstr>
      <vt:lpstr>Income_TCat8_3</vt:lpstr>
      <vt:lpstr>Income_TCat8_4</vt:lpstr>
      <vt:lpstr>Income_TCat8_5</vt:lpstr>
      <vt:lpstr>Income_TCat8_ContractRent_Manual</vt:lpstr>
      <vt:lpstr>Income_TCat8_LCNew</vt:lpstr>
      <vt:lpstr>Income_TCat8_LCNew_2</vt:lpstr>
      <vt:lpstr>Income_TCat8_LCRenew</vt:lpstr>
      <vt:lpstr>Income_TCat8_LeaseStructure</vt:lpstr>
      <vt:lpstr>Income_TCat8_LeaseStructure_DCF</vt:lpstr>
      <vt:lpstr>Income_TCat8_LeaseTerm</vt:lpstr>
      <vt:lpstr>Income_TCat8_LeaseTerm_2</vt:lpstr>
      <vt:lpstr>Income_TCat8_MarketRent</vt:lpstr>
      <vt:lpstr>Income_TCat8_MarketRent_2</vt:lpstr>
      <vt:lpstr>Income_TCat8_MarketRent_3</vt:lpstr>
      <vt:lpstr>Income_TCat8_MarketRent_4</vt:lpstr>
      <vt:lpstr>Income_TCat8_MonthsVacant_NoGenVac</vt:lpstr>
      <vt:lpstr>Income_TCat8_NRA</vt:lpstr>
      <vt:lpstr>Income_TCat8_NRA_Manual</vt:lpstr>
      <vt:lpstr>Income_TCat8_NRA_Manual_2</vt:lpstr>
      <vt:lpstr>Income_TCat8_NRA_Manual_3</vt:lpstr>
      <vt:lpstr>Income_TCat8_RenewalProb</vt:lpstr>
      <vt:lpstr>Income_TCat8_TINew</vt:lpstr>
      <vt:lpstr>Income_TCat8_TINew_2</vt:lpstr>
      <vt:lpstr>Income_TCat8_TIRenew</vt:lpstr>
      <vt:lpstr>Income_TechniqueUsed</vt:lpstr>
      <vt:lpstr>Income_TerminalRate_1</vt:lpstr>
      <vt:lpstr>Income_UserDefined</vt:lpstr>
      <vt:lpstr>Income_UserDefinedIncome_Number</vt:lpstr>
      <vt:lpstr>Income_VacancyActual_2</vt:lpstr>
      <vt:lpstr>Income_VandCLCol</vt:lpstr>
      <vt:lpstr>IncomeTechnique</vt:lpstr>
      <vt:lpstr>inctechlist</vt:lpstr>
      <vt:lpstr>InsurableCost_Method</vt:lpstr>
      <vt:lpstr>Land_AdjGrid_CornerExp_1</vt:lpstr>
      <vt:lpstr>Land_AdjGrid_CornerExp_2</vt:lpstr>
      <vt:lpstr>Land_AdjGrid_FloodPlain_1</vt:lpstr>
      <vt:lpstr>Land_AdjGrid_FloodPlain_2</vt:lpstr>
      <vt:lpstr>Land_AdjGrid_Frontage_1</vt:lpstr>
      <vt:lpstr>Land_AdjGrid_Frontage_2</vt:lpstr>
      <vt:lpstr>Land_AdjGrid_Location_1</vt:lpstr>
      <vt:lpstr>Land_AdjGrid_Location_2</vt:lpstr>
      <vt:lpstr>Land_AdjGrid_PropertyRights_1</vt:lpstr>
      <vt:lpstr>Land_AdjGrid_PropertyRights_2</vt:lpstr>
      <vt:lpstr>Land_AdjGrid_ShapeDepth_1</vt:lpstr>
      <vt:lpstr>Land_AdjGrid_ShapeDepth_2</vt:lpstr>
      <vt:lpstr>Land_AdjGrid_Topography_1</vt:lpstr>
      <vt:lpstr>Land_AdjGrid_Topography_2</vt:lpstr>
      <vt:lpstr>Land_AdjGrid_TrafficCounts_1</vt:lpstr>
      <vt:lpstr>Land_AdjGrid_TrafficCounts_2</vt:lpstr>
      <vt:lpstr>Land_AdjGrid_UserDefined_1</vt:lpstr>
      <vt:lpstr>Land_AdjGrid_UserDefined_1_1</vt:lpstr>
      <vt:lpstr>Land_AdjGrid_UserDefined_1_2</vt:lpstr>
      <vt:lpstr>Land_AdjGrid_UserDefined_2</vt:lpstr>
      <vt:lpstr>Land_AdjGrid_UserDefined_2_1</vt:lpstr>
      <vt:lpstr>Land_AdjGrid_UserDefined_2_2</vt:lpstr>
      <vt:lpstr>Land_AdjGrid_Utilities_1</vt:lpstr>
      <vt:lpstr>Land_AdjGrid_Utilities_2</vt:lpstr>
      <vt:lpstr>Land_AdjGrid_ValueUnits_1</vt:lpstr>
      <vt:lpstr>Land_AdjGrid_ValueUnits_2</vt:lpstr>
      <vt:lpstr>Land_AdjGrid_Zoning_1</vt:lpstr>
      <vt:lpstr>Land_AdjGrid_Zoning_2</vt:lpstr>
      <vt:lpstr>Land_AdjGridSelection</vt:lpstr>
      <vt:lpstr>Land_AdjPrice1</vt:lpstr>
      <vt:lpstr>Land_AdjPrice1_1</vt:lpstr>
      <vt:lpstr>Land_AdjPrice1_2</vt:lpstr>
      <vt:lpstr>Land_AdjPrice2</vt:lpstr>
      <vt:lpstr>Land_AdjPrice2_1</vt:lpstr>
      <vt:lpstr>Land_AdjPrice2_2</vt:lpstr>
      <vt:lpstr>Land_AdjType</vt:lpstr>
      <vt:lpstr>Land_AdjType_1</vt:lpstr>
      <vt:lpstr>Land_AdjType_2</vt:lpstr>
      <vt:lpstr>Land_Adjustment_11_Range</vt:lpstr>
      <vt:lpstr>Land_Adjustment_11_Range_1</vt:lpstr>
      <vt:lpstr>Land_Adjustment_11_Range_2</vt:lpstr>
      <vt:lpstr>Land_Adjustment_12_Range</vt:lpstr>
      <vt:lpstr>Land_Adjustment_12_Range_1</vt:lpstr>
      <vt:lpstr>Land_Adjustment_12_Range_2</vt:lpstr>
      <vt:lpstr>land_adjustmentlist</vt:lpstr>
      <vt:lpstr>Land_ConditionsofSale_AdjustedRange</vt:lpstr>
      <vt:lpstr>Land_ConditionsofSale_AdjustedRange_1</vt:lpstr>
      <vt:lpstr>Land_ConditionsofSale_AdjustedRange_2</vt:lpstr>
      <vt:lpstr>Land_ConditionsofSaleRange</vt:lpstr>
      <vt:lpstr>Land_ConditionsofSaleRange_1</vt:lpstr>
      <vt:lpstr>Land_ConditionsofSaleRange_2</vt:lpstr>
      <vt:lpstr>Land_ConditionsofSaleRange_UserInput</vt:lpstr>
      <vt:lpstr>Land_ConditionsofSaleRange_UserInput_1</vt:lpstr>
      <vt:lpstr>Land_ConditionsofSaleRange_UserInput_2</vt:lpstr>
      <vt:lpstr>Land_CornerExpnrr_UserInput_2</vt:lpstr>
      <vt:lpstr>Land_CornerExpRange</vt:lpstr>
      <vt:lpstr>Land_CornerExpRange_1</vt:lpstr>
      <vt:lpstr>Land_CornerExpRange_2</vt:lpstr>
      <vt:lpstr>Land_CornerExpRange_UserInput</vt:lpstr>
      <vt:lpstr>Land_CornerExpRange_UserInput_1</vt:lpstr>
      <vt:lpstr>Land_CornerExpRange_UserInput_2</vt:lpstr>
      <vt:lpstr>Land_DemolitionCost_Table</vt:lpstr>
      <vt:lpstr>Land_DemolitionCost_Table_1</vt:lpstr>
      <vt:lpstr>Land_DemolitionCost_Table_2</vt:lpstr>
      <vt:lpstr>Land_ExcessSurplusUserDefined_NameRange</vt:lpstr>
      <vt:lpstr>Land_ExcessSurplusUserDefined_ValueRange</vt:lpstr>
      <vt:lpstr>Land_ExpendituresAfterSaleRange</vt:lpstr>
      <vt:lpstr>Land_ExpendituresAfterSaleRange_1</vt:lpstr>
      <vt:lpstr>Land_ExpendituresAfterSaleRange_2</vt:lpstr>
      <vt:lpstr>Land_FinalAdjustedRange</vt:lpstr>
      <vt:lpstr>Land_FinalAdjustedRange_1</vt:lpstr>
      <vt:lpstr>Land_FinalAdjustedRange_2</vt:lpstr>
      <vt:lpstr>Land_FinancingTerms_AdjustedRange</vt:lpstr>
      <vt:lpstr>Land_FinancingTerms_AdjustedRange_1</vt:lpstr>
      <vt:lpstr>Land_FinancingTerms_AdjustedRange_2</vt:lpstr>
      <vt:lpstr>Land_FinancingTermsRange</vt:lpstr>
      <vt:lpstr>Land_FinancingTermsRange_1</vt:lpstr>
      <vt:lpstr>Land_FinancingTermsRange_2</vt:lpstr>
      <vt:lpstr>Land_FinancingTermsRange_UserInput</vt:lpstr>
      <vt:lpstr>Land_FinancingTermsRange_UserInput_1</vt:lpstr>
      <vt:lpstr>Land_FinancingTermsRange_UserInput_2</vt:lpstr>
      <vt:lpstr>Land_FloodplainRange</vt:lpstr>
      <vt:lpstr>Land_FloodplainRange_1</vt:lpstr>
      <vt:lpstr>Land_FloodplainRange_2</vt:lpstr>
      <vt:lpstr>Land_FloodplainRange_UserInput</vt:lpstr>
      <vt:lpstr>Land_FloodplainRange_UserInput_1</vt:lpstr>
      <vt:lpstr>Land_FloodplainRange_UserInput_2</vt:lpstr>
      <vt:lpstr>Land_FrontageRange</vt:lpstr>
      <vt:lpstr>Land_FrontageRange_1</vt:lpstr>
      <vt:lpstr>Land_FrontageRange_2</vt:lpstr>
      <vt:lpstr>Land_FrontageRange_UserInput</vt:lpstr>
      <vt:lpstr>Land_FrontageRange_UserInput_1</vt:lpstr>
      <vt:lpstr>Land_FrontageRange_UserInput_2</vt:lpstr>
      <vt:lpstr>Land_IndicationSize_1</vt:lpstr>
      <vt:lpstr>Land_IndicationSize_1_1</vt:lpstr>
      <vt:lpstr>Land_IndicationSize_1_2</vt:lpstr>
      <vt:lpstr>Land_IndicationSize_2</vt:lpstr>
      <vt:lpstr>Land_IndicationSize_2_1</vt:lpstr>
      <vt:lpstr>Land_IndicationSize_2_2</vt:lpstr>
      <vt:lpstr>Land_IndicationSize_3</vt:lpstr>
      <vt:lpstr>Land_IndicationSize_3_1</vt:lpstr>
      <vt:lpstr>Land_IndicationSize_3_2</vt:lpstr>
      <vt:lpstr>Land_LandSizeAlt</vt:lpstr>
      <vt:lpstr>Land_LandSizeAlt_1</vt:lpstr>
      <vt:lpstr>Land_LandSizeAlt_2</vt:lpstr>
      <vt:lpstr>Land_LandValueUnitAlt</vt:lpstr>
      <vt:lpstr>Land_LandValueUnitAlt_1</vt:lpstr>
      <vt:lpstr>Land_LandValueUnitAlt_2</vt:lpstr>
      <vt:lpstr>Land_LocationRange</vt:lpstr>
      <vt:lpstr>Land_LocationRange_1</vt:lpstr>
      <vt:lpstr>Land_LocationRange_2</vt:lpstr>
      <vt:lpstr>Land_LocationRange_UserInput</vt:lpstr>
      <vt:lpstr>Land_LocationRange_UserInput_1</vt:lpstr>
      <vt:lpstr>Land_LocationRange_UserInput_2</vt:lpstr>
      <vt:lpstr>Land_MostComparableRange</vt:lpstr>
      <vt:lpstr>Land_MostComparableRange_1</vt:lpstr>
      <vt:lpstr>Land_MostComparableRange_2</vt:lpstr>
      <vt:lpstr>Land_NetPhysicalRange</vt:lpstr>
      <vt:lpstr>Land_NetPhysicalRange_1</vt:lpstr>
      <vt:lpstr>Land_NetPhysicalRange_2</vt:lpstr>
      <vt:lpstr>Land_PrimaryUserDefined_NameRange</vt:lpstr>
      <vt:lpstr>Land_PrimaryUserDefined_NameRange_1</vt:lpstr>
      <vt:lpstr>Land_PrimaryUserDefined_NameRange_2</vt:lpstr>
      <vt:lpstr>Land_PropertyRightsConveyed_AdjustedRange</vt:lpstr>
      <vt:lpstr>Land_PropertyRightsConveyed_AdjustedRange_1</vt:lpstr>
      <vt:lpstr>Land_PropertyRightsConveyed_AdjustedRange_2</vt:lpstr>
      <vt:lpstr>Land_PropertyRightsRange</vt:lpstr>
      <vt:lpstr>Land_PropertyRightsRange_1</vt:lpstr>
      <vt:lpstr>Land_PropertyRightsRange_2</vt:lpstr>
      <vt:lpstr>Land_PropertyRightsRange_UserInput</vt:lpstr>
      <vt:lpstr>Land_PropertyRightsRange_UserInput_1</vt:lpstr>
      <vt:lpstr>Land_PropertyRightsRange_UserInput_2</vt:lpstr>
      <vt:lpstr>Land_ReasonableHigh</vt:lpstr>
      <vt:lpstr>Land_ReasonableHigh_1</vt:lpstr>
      <vt:lpstr>Land_ReasonableHigh_2</vt:lpstr>
      <vt:lpstr>Land_ReasonableLow</vt:lpstr>
      <vt:lpstr>Land_ReasonableLow_1</vt:lpstr>
      <vt:lpstr>Land_ReasonableLow_2</vt:lpstr>
      <vt:lpstr>Land_ShapeDepthRange</vt:lpstr>
      <vt:lpstr>Land_ShapeDepthRange_1</vt:lpstr>
      <vt:lpstr>Land_ShapeDepthRange_2</vt:lpstr>
      <vt:lpstr>Land_ShapeDepthRange_UserInput</vt:lpstr>
      <vt:lpstr>Land_ShapeDepthRange_UserInput_1</vt:lpstr>
      <vt:lpstr>Land_ShapeDepthRange_UserInput_2</vt:lpstr>
      <vt:lpstr>land_sizelist</vt:lpstr>
      <vt:lpstr>Land_SizeRange</vt:lpstr>
      <vt:lpstr>Land_SizeRange_1</vt:lpstr>
      <vt:lpstr>Land_SizeRange_2</vt:lpstr>
      <vt:lpstr>Land_SizeRange_Narrative</vt:lpstr>
      <vt:lpstr>Land_SizeRange_Narrative_1</vt:lpstr>
      <vt:lpstr>Land_SizeRange_Narrative_2</vt:lpstr>
      <vt:lpstr>Land_SizeRange_UserInput</vt:lpstr>
      <vt:lpstr>Land_SizeRange_UserInput_1</vt:lpstr>
      <vt:lpstr>Land_SizeRange_UserInput_2</vt:lpstr>
      <vt:lpstr>Land_TopographyRange</vt:lpstr>
      <vt:lpstr>Land_TopographyRange_1</vt:lpstr>
      <vt:lpstr>Land_TopographyRange_2</vt:lpstr>
      <vt:lpstr>Land_TopographyRange_UserInput</vt:lpstr>
      <vt:lpstr>Land_TopographyRange_UserInput_1</vt:lpstr>
      <vt:lpstr>Land_TopographyRange_UserInput_2</vt:lpstr>
      <vt:lpstr>Land_TractNames</vt:lpstr>
      <vt:lpstr>Land_TractNames_1</vt:lpstr>
      <vt:lpstr>Land_TractNames_2</vt:lpstr>
      <vt:lpstr>Land_TrafficCountsRange</vt:lpstr>
      <vt:lpstr>Land_TrafficCountsRange_1</vt:lpstr>
      <vt:lpstr>Land_TrafficCountsRange_2</vt:lpstr>
      <vt:lpstr>Land_TrafficCountsRange_UserInput</vt:lpstr>
      <vt:lpstr>Land_TrafficCountsRange_UserInput_1</vt:lpstr>
      <vt:lpstr>Land_TrafficCountsRange_UserInput_2</vt:lpstr>
      <vt:lpstr>Land_UnAdjustedRange_Front_Foot</vt:lpstr>
      <vt:lpstr>Land_UnAdjustedRange_Front_Foot_1</vt:lpstr>
      <vt:lpstr>Land_UnAdjustedRange_Front_Foot_2</vt:lpstr>
      <vt:lpstr>Land_UnAdjustedRange_Gross_Per_Acre</vt:lpstr>
      <vt:lpstr>Land_UnAdjustedRange_Gross_Per_Acre_1</vt:lpstr>
      <vt:lpstr>Land_UnAdjustedRange_Gross_Per_Acre_2</vt:lpstr>
      <vt:lpstr>Land_UnAdjustedRange_Gross_PSF</vt:lpstr>
      <vt:lpstr>Land_UnAdjustedRange_Gross_PSF_1</vt:lpstr>
      <vt:lpstr>Land_UnAdjustedRange_Gross_PSF_2</vt:lpstr>
      <vt:lpstr>Land_UnAdjustedRange_Lot</vt:lpstr>
      <vt:lpstr>Land_UnAdjustedRange_Lot_1</vt:lpstr>
      <vt:lpstr>Land_UnAdjustedRange_Lot_2</vt:lpstr>
      <vt:lpstr>Land_UnAdjustedRange_Proposed_SF</vt:lpstr>
      <vt:lpstr>Land_UnAdjustedRange_Proposed_SF_1</vt:lpstr>
      <vt:lpstr>Land_UnAdjustedRange_Proposed_SF_2</vt:lpstr>
      <vt:lpstr>Land_UnAdjustedRange_Unit</vt:lpstr>
      <vt:lpstr>Land_UnAdjustedRange_Unit_1</vt:lpstr>
      <vt:lpstr>Land_UnAdjustedRange_Unit_2</vt:lpstr>
      <vt:lpstr>Land_UnAdjustedRange_Usable_Per_Acre</vt:lpstr>
      <vt:lpstr>Land_UnAdjustedRange_Usable_Per_Acre_1</vt:lpstr>
      <vt:lpstr>Land_UnAdjustedRange_Usable_Per_Acre_2</vt:lpstr>
      <vt:lpstr>Land_UnAdjustedRange_Usable_PSF</vt:lpstr>
      <vt:lpstr>Land_UnAdjustedRange_Usable_PSF_1</vt:lpstr>
      <vt:lpstr>Land_UnAdjustedRange_Usable_PSF_2</vt:lpstr>
      <vt:lpstr>land_unitslist</vt:lpstr>
      <vt:lpstr>Land_UserDefined1Range</vt:lpstr>
      <vt:lpstr>Land_UserDefined1Range_1</vt:lpstr>
      <vt:lpstr>Land_UserDefined1Range_2</vt:lpstr>
      <vt:lpstr>Land_UserDefined1Range_UserInput</vt:lpstr>
      <vt:lpstr>Land_UserDefined1Range_UserInput_1</vt:lpstr>
      <vt:lpstr>Land_UserDefined1Range_UserInput_2</vt:lpstr>
      <vt:lpstr>Land_UserDefined2Range</vt:lpstr>
      <vt:lpstr>Land_UserDefined2Range_1</vt:lpstr>
      <vt:lpstr>Land_UserDefined2Range_2</vt:lpstr>
      <vt:lpstr>Land_UserDefined2Range_UserInput</vt:lpstr>
      <vt:lpstr>Land_UserDefined2Range_UserInput_1</vt:lpstr>
      <vt:lpstr>Land_UserDefined2Range_UserInput_2</vt:lpstr>
      <vt:lpstr>Land_UtilitiesRange</vt:lpstr>
      <vt:lpstr>Land_UtilitiesRange_1</vt:lpstr>
      <vt:lpstr>Land_UtilitiesRange_2</vt:lpstr>
      <vt:lpstr>Land_UtilitiesRange_UserInput</vt:lpstr>
      <vt:lpstr>Land_UtilitiesRange_UserInput_1</vt:lpstr>
      <vt:lpstr>Land_UtilitiesRange_UserInput_2</vt:lpstr>
      <vt:lpstr>Land_ZoningRange</vt:lpstr>
      <vt:lpstr>Land_ZoningRange_1</vt:lpstr>
      <vt:lpstr>Land_ZoningRange_2</vt:lpstr>
      <vt:lpstr>Land_ZoningRange_UserInput</vt:lpstr>
      <vt:lpstr>Land_ZoningRange_UserInput_1</vt:lpstr>
      <vt:lpstr>Land_ZoningRange_UserInput_2</vt:lpstr>
      <vt:lpstr>LandAdjustmentGrid</vt:lpstr>
      <vt:lpstr>LandUnitDisplay</vt:lpstr>
      <vt:lpstr>LandUnitDisplay_1</vt:lpstr>
      <vt:lpstr>LandUnitDisplay_2</vt:lpstr>
      <vt:lpstr>LandValueEstimate?</vt:lpstr>
      <vt:lpstr>LBX_Demos</vt:lpstr>
      <vt:lpstr>leasetypelist</vt:lpstr>
      <vt:lpstr>lightdetailedlist</vt:lpstr>
      <vt:lpstr>LightOption_ImpSales</vt:lpstr>
      <vt:lpstr>LightOption_LandSales</vt:lpstr>
      <vt:lpstr>LightOption_Rents</vt:lpstr>
      <vt:lpstr>LUD_ExpenseGrowth</vt:lpstr>
      <vt:lpstr>LUD_RentGrowth</vt:lpstr>
      <vt:lpstr>LUD_VacantSF_Column</vt:lpstr>
      <vt:lpstr>Main_BlankWS</vt:lpstr>
      <vt:lpstr>Main_BuildingAreaBreakDown</vt:lpstr>
      <vt:lpstr>Main_CashFlow_Count</vt:lpstr>
      <vt:lpstr>Main_Cost</vt:lpstr>
      <vt:lpstr>Main_DeferMaint</vt:lpstr>
      <vt:lpstr>Main_Demos_Select</vt:lpstr>
      <vt:lpstr>Main_EGIM</vt:lpstr>
      <vt:lpstr>Main_ExpensePool_Count</vt:lpstr>
      <vt:lpstr>Main_GroundLease</vt:lpstr>
      <vt:lpstr>Main_Income</vt:lpstr>
      <vt:lpstr>Main_Insurable</vt:lpstr>
      <vt:lpstr>Main_Land</vt:lpstr>
      <vt:lpstr>Main_LBX_Demos</vt:lpstr>
      <vt:lpstr>Main_LeaseUp</vt:lpstr>
      <vt:lpstr>Main_MarketStudy</vt:lpstr>
      <vt:lpstr>Main_Moodys</vt:lpstr>
      <vt:lpstr>Main_RiskAssess</vt:lpstr>
      <vt:lpstr>Main_Sales</vt:lpstr>
      <vt:lpstr>Main_TaxComparables</vt:lpstr>
      <vt:lpstr>Main_TaxSchedule</vt:lpstr>
      <vt:lpstr>Main_USPS</vt:lpstr>
      <vt:lpstr>Main_WF</vt:lpstr>
      <vt:lpstr>MapScaleList</vt:lpstr>
      <vt:lpstr>MapScaleValue</vt:lpstr>
      <vt:lpstr>MapSizeList</vt:lpstr>
      <vt:lpstr>MapSizeValue</vt:lpstr>
      <vt:lpstr>MarketStudy_Vacancy_Trend_1A</vt:lpstr>
      <vt:lpstr>MarketStudy_Vacancy_Trend_1B</vt:lpstr>
      <vt:lpstr>MarketStudy_Vacancy_Trend_2A</vt:lpstr>
      <vt:lpstr>MarketStudy_Vacancy_Trend_2B</vt:lpstr>
      <vt:lpstr>MedianHH_Estimate_1</vt:lpstr>
      <vt:lpstr>MedianHH_Estimate_2</vt:lpstr>
      <vt:lpstr>MedianHH_Estimate_3</vt:lpstr>
      <vt:lpstr>MedianHH_Estimate_4</vt:lpstr>
      <vt:lpstr>NonRealtyCreditList</vt:lpstr>
      <vt:lpstr>Obsolescence</vt:lpstr>
      <vt:lpstr>Obsolescencelist</vt:lpstr>
      <vt:lpstr>Population_2010_1</vt:lpstr>
      <vt:lpstr>Population_2010_2</vt:lpstr>
      <vt:lpstr>Population_2010_3</vt:lpstr>
      <vt:lpstr>Population_2010_4</vt:lpstr>
      <vt:lpstr>Population_Estimate_1</vt:lpstr>
      <vt:lpstr>Population_Estimate_2</vt:lpstr>
      <vt:lpstr>Population_Estimate_3</vt:lpstr>
      <vt:lpstr>Population_Estimate_4</vt:lpstr>
      <vt:lpstr>Population_Projection_1</vt:lpstr>
      <vt:lpstr>Population_Projection_2</vt:lpstr>
      <vt:lpstr>Population_Projection_3</vt:lpstr>
      <vt:lpstr>Population_Projection_4</vt:lpstr>
      <vt:lpstr>'Automated Rent Adjustments'!Print_Area</vt:lpstr>
      <vt:lpstr>'Automated Sales Adjustments'!Print_Area</vt:lpstr>
      <vt:lpstr>'Building Area Breakdown'!Print_Area</vt:lpstr>
      <vt:lpstr>'Building RCN'!Print_Area</vt:lpstr>
      <vt:lpstr>'Cost Approach Schedule'!Print_Area</vt:lpstr>
      <vt:lpstr>'Cost Depreciation'!Print_Area</vt:lpstr>
      <vt:lpstr>'DCF 1'!Print_Area</vt:lpstr>
      <vt:lpstr>'DCF 2'!Print_Area</vt:lpstr>
      <vt:lpstr>'DCF 3'!Print_Area</vt:lpstr>
      <vt:lpstr>'Depreciation Extraction'!Print_Area</vt:lpstr>
      <vt:lpstr>'EGIM Analysis'!Print_Area</vt:lpstr>
      <vt:lpstr>'Expense Comps'!Print_Area</vt:lpstr>
      <vt:lpstr>'GL Rent'!Print_Area</vt:lpstr>
      <vt:lpstr>'Improved Sales Adjustments'!Print_Area</vt:lpstr>
      <vt:lpstr>'Improved Sales Summary Detailed'!Print_Area</vt:lpstr>
      <vt:lpstr>'Improved Sales Summary Light'!Print_Area</vt:lpstr>
      <vt:lpstr>'Income Assumptions'!Print_Area</vt:lpstr>
      <vt:lpstr>'Income Expense History'!Print_Area</vt:lpstr>
      <vt:lpstr>'Insurable Cost'!Print_Area</vt:lpstr>
      <vt:lpstr>'Land Adjustments'!Print_Area</vt:lpstr>
      <vt:lpstr>'Land Summary Detailed'!Print_Area</vt:lpstr>
      <vt:lpstr>'Land Summary Light'!Print_Area</vt:lpstr>
      <vt:lpstr>'Lease-Up'!Print_Area</vt:lpstr>
      <vt:lpstr>'Market OAR'!Print_Area</vt:lpstr>
      <vt:lpstr>'Other RCN'!Print_Area</vt:lpstr>
      <vt:lpstr>'Rent Adjustments'!Print_Area</vt:lpstr>
      <vt:lpstr>'Rent Adjustments 1'!Print_Area</vt:lpstr>
      <vt:lpstr>'Rent Adjustments 2'!Print_Area</vt:lpstr>
      <vt:lpstr>'Rent Roll'!Print_Area</vt:lpstr>
      <vt:lpstr>'Rent Roll Breakdown'!Print_Area</vt:lpstr>
      <vt:lpstr>'Rent Summary Detail'!Print_Area</vt:lpstr>
      <vt:lpstr>'Rent Summary Light'!Print_Area</vt:lpstr>
      <vt:lpstr>'Salient Facts'!Print_Area</vt:lpstr>
      <vt:lpstr>'Specialty Sales Adjustments'!Print_Area</vt:lpstr>
      <vt:lpstr>'Tax Comps'!Print_Area</vt:lpstr>
      <vt:lpstr>'Tax Schedule'!Print_Area</vt:lpstr>
      <vt:lpstr>USPS!Print_Area</vt:lpstr>
      <vt:lpstr>'Value Indications'!Print_Area</vt:lpstr>
      <vt:lpstr>'Automated Sales Adjustments'!Print_Area_1</vt:lpstr>
      <vt:lpstr>'Improved Sales Adjustments'!Print_Area_1</vt:lpstr>
      <vt:lpstr>'Land Adjustments'!Print_Area_1</vt:lpstr>
      <vt:lpstr>'Rent Adjustments'!Print_Area_1</vt:lpstr>
      <vt:lpstr>'Specialty Sales Adjustments'!Print_Area_1</vt:lpstr>
      <vt:lpstr>'Automated Sales Adjustments'!Print_Area_2</vt:lpstr>
      <vt:lpstr>'Improved Sales Adjustments'!Print_Area_2</vt:lpstr>
      <vt:lpstr>'Land Adjustments'!Print_Area_2</vt:lpstr>
      <vt:lpstr>'Rent Adjustments'!Print_Area_2</vt:lpstr>
      <vt:lpstr>'Specialty Sales Adjustments'!Print_Area_2</vt:lpstr>
      <vt:lpstr>Profit_Application</vt:lpstr>
      <vt:lpstr>Profit_Application_Selection</vt:lpstr>
      <vt:lpstr>profitinclist</vt:lpstr>
      <vt:lpstr>QualityList</vt:lpstr>
      <vt:lpstr>QuarterlyInterval_List</vt:lpstr>
      <vt:lpstr>RawData_ESRI_EmplByIndus</vt:lpstr>
      <vt:lpstr>RawData_ESRI_Geography</vt:lpstr>
      <vt:lpstr>RawData_ESRI_Rings</vt:lpstr>
      <vt:lpstr>Regional_Area_1</vt:lpstr>
      <vt:lpstr>Regional_Area_2</vt:lpstr>
      <vt:lpstr>Regional_Area_3</vt:lpstr>
      <vt:lpstr>Regional_Area_4</vt:lpstr>
      <vt:lpstr>RemTermList</vt:lpstr>
      <vt:lpstr>Rent_AgeConditionRange</vt:lpstr>
      <vt:lpstr>Rent_AgeConditionRange_1</vt:lpstr>
      <vt:lpstr>Rent_AgeConditionRange_2</vt:lpstr>
      <vt:lpstr>Rent_AgeConditionRange_UserInput</vt:lpstr>
      <vt:lpstr>Rent_AgeConditionRange_UserInput_1</vt:lpstr>
      <vt:lpstr>Rent_AgeConditionRange_UserInput_2</vt:lpstr>
      <vt:lpstr>Rent_ClearHeightRange</vt:lpstr>
      <vt:lpstr>Rent_ClearHeightRange_1</vt:lpstr>
      <vt:lpstr>Rent_ClearHeightRange_2</vt:lpstr>
      <vt:lpstr>Rent_ClearHeightRange_Narrative</vt:lpstr>
      <vt:lpstr>Rent_ClearHeightRange_Narrative_1</vt:lpstr>
      <vt:lpstr>Rent_ClearHeightRange_Narrative_2</vt:lpstr>
      <vt:lpstr>Rent_ClearHeightRange_UserInput</vt:lpstr>
      <vt:lpstr>Rent_ClearHeightRange_UserInput_1</vt:lpstr>
      <vt:lpstr>Rent_ClearHeightRange_UserInput_2</vt:lpstr>
      <vt:lpstr>Rent_ConcessionsRange</vt:lpstr>
      <vt:lpstr>Rent_ConcessionsRange_1</vt:lpstr>
      <vt:lpstr>Rent_ConcessionsRange_2</vt:lpstr>
      <vt:lpstr>Rent_ConditionofLeaseRange</vt:lpstr>
      <vt:lpstr>Rent_ConditionofLeaseRange_1</vt:lpstr>
      <vt:lpstr>Rent_ConditionofLeaseRange_2</vt:lpstr>
      <vt:lpstr>Rent_ConditionofLeaseRange_UserInput</vt:lpstr>
      <vt:lpstr>Rent_ConditionofLeaseRange_UserInput_1</vt:lpstr>
      <vt:lpstr>Rent_ConditionofLeaseRange_UserInput_2</vt:lpstr>
      <vt:lpstr>Rent_ConstructionQualityRange</vt:lpstr>
      <vt:lpstr>Rent_ConstructionQualityRange1</vt:lpstr>
      <vt:lpstr>Rent_DesignFunctionalUtilityRange</vt:lpstr>
      <vt:lpstr>Rent_DesignFunctionalUtilityRange_1</vt:lpstr>
      <vt:lpstr>Rent_DesignFunctionalUtilityRange_2</vt:lpstr>
      <vt:lpstr>Rent_DesignFunctionalUtilityRange_UserInput</vt:lpstr>
      <vt:lpstr>Rent_DesignFunctionalUtilityRange_UserInput_1</vt:lpstr>
      <vt:lpstr>Rent_DesignFunctionalUtilityRange_UserInput_2</vt:lpstr>
      <vt:lpstr>Rent_EffectiveAgeRange</vt:lpstr>
      <vt:lpstr>Rent_EffectiveAgeRange_1</vt:lpstr>
      <vt:lpstr>Rent_EffectiveAgeRange_2</vt:lpstr>
      <vt:lpstr>Rent_EscalationsRange</vt:lpstr>
      <vt:lpstr>Rent_EscalationsRange_1</vt:lpstr>
      <vt:lpstr>Rent_EscalationsRange_2</vt:lpstr>
      <vt:lpstr>Rent_EscalationsRange_UserInput</vt:lpstr>
      <vt:lpstr>Rent_EscalationsRange_UserInput_1</vt:lpstr>
      <vt:lpstr>Rent_EscalationsRange_UserInput_2</vt:lpstr>
      <vt:lpstr>Rent_ExpenseReimbursementRange</vt:lpstr>
      <vt:lpstr>Rent_ExpenseReimbursementRange_1</vt:lpstr>
      <vt:lpstr>Rent_ExpenseReimbursementRange_2</vt:lpstr>
      <vt:lpstr>Rent_ExpenseReimbursementRange_UserInput</vt:lpstr>
      <vt:lpstr>Rent_ExpenseReimbursementRange_UserInput_1</vt:lpstr>
      <vt:lpstr>Rent_ExpenseReimbursementRange_UserInput_2</vt:lpstr>
      <vt:lpstr>Rent_FinalAdjustedRange</vt:lpstr>
      <vt:lpstr>Rent_FinalAdjustedRange_1</vt:lpstr>
      <vt:lpstr>Rent_FinalAdjustedRange_2</vt:lpstr>
      <vt:lpstr>Rent_LeaseTermRange</vt:lpstr>
      <vt:lpstr>Rent_LeaseTermRange_1</vt:lpstr>
      <vt:lpstr>Rent_LeaseTermRange_2</vt:lpstr>
      <vt:lpstr>Rent_LeaseTermRange_UserInput</vt:lpstr>
      <vt:lpstr>Rent_LeaseTermRange_UserInput_1</vt:lpstr>
      <vt:lpstr>Rent_LeaseTermRange_UserInput_2</vt:lpstr>
      <vt:lpstr>Rent_LocationRange</vt:lpstr>
      <vt:lpstr>Rent_LocationRange_1</vt:lpstr>
      <vt:lpstr>Rent_LocationRange_2</vt:lpstr>
      <vt:lpstr>Rent_LocationRange_UserInput</vt:lpstr>
      <vt:lpstr>Rent_LocationRange_UserInput_1</vt:lpstr>
      <vt:lpstr>Rent_LocationRange_UserInput_2</vt:lpstr>
      <vt:lpstr>Rent_LtBRatioRange</vt:lpstr>
      <vt:lpstr>Rent_LtBRatioRange_1</vt:lpstr>
      <vt:lpstr>Rent_LtBRatioRange_2</vt:lpstr>
      <vt:lpstr>Rent_LtBRatioRange_UserInput</vt:lpstr>
      <vt:lpstr>Rent_LtBRatioRange_UserInput_1</vt:lpstr>
      <vt:lpstr>Rent_LtBRatioRange_UserInput_2</vt:lpstr>
      <vt:lpstr>Rent_NetPhysicalEcoRange</vt:lpstr>
      <vt:lpstr>Rent_NetPhysicalEcoRange_1</vt:lpstr>
      <vt:lpstr>Rent_NetPhysicalEcoRange_2</vt:lpstr>
      <vt:lpstr>Rent_ParkingRatioRange</vt:lpstr>
      <vt:lpstr>Rent_ParkingRatioRange_1</vt:lpstr>
      <vt:lpstr>Rent_ParkingRatioRange_UserInput</vt:lpstr>
      <vt:lpstr>Rent_ParkingRatioRange_UserInput_1</vt:lpstr>
      <vt:lpstr>Rent_ParkingRatioRange_UserInput_2</vt:lpstr>
      <vt:lpstr>Rent_PercentOfficeFinishRange</vt:lpstr>
      <vt:lpstr>Rent_PercentOfficeFinishRange_1</vt:lpstr>
      <vt:lpstr>Rent_PercentOfficeFinishRange_2</vt:lpstr>
      <vt:lpstr>Rent_PercentOfficeFinishRange_Narrative</vt:lpstr>
      <vt:lpstr>Rent_PercentOfficeFinishRange_Narrative_1</vt:lpstr>
      <vt:lpstr>Rent_PercentOfficeFinishRange_Narrative_2</vt:lpstr>
      <vt:lpstr>Rent_PercentOfficeFinishRange_UserInput</vt:lpstr>
      <vt:lpstr>Rent_PercentOfficeFinishRange_UserInput_1</vt:lpstr>
      <vt:lpstr>Rent_PercentOfficeFinishRange_UserInput_2</vt:lpstr>
      <vt:lpstr>Rent_QualityRange</vt:lpstr>
      <vt:lpstr>Rent_QualityRange_1</vt:lpstr>
      <vt:lpstr>Rent_QualityRange_2</vt:lpstr>
      <vt:lpstr>Rent_QualityRange_UserInput</vt:lpstr>
      <vt:lpstr>Rent_QualityRange_UserInput_1</vt:lpstr>
      <vt:lpstr>Rent_QualityRange_UserInput_2</vt:lpstr>
      <vt:lpstr>Rent_QualityRange1</vt:lpstr>
      <vt:lpstr>Rent_TenantImpAllowanceRange</vt:lpstr>
      <vt:lpstr>Rent_TenantImpAllowanceRange_1</vt:lpstr>
      <vt:lpstr>Rent_TenantImpAllowanceRange_2</vt:lpstr>
      <vt:lpstr>Rent_TenantImpAllowanceRange_UserInput</vt:lpstr>
      <vt:lpstr>Rent_TenantImpAllowanceRange_UserInput_1</vt:lpstr>
      <vt:lpstr>Rent_TenantImpAllowanceRange_UserInput_2</vt:lpstr>
      <vt:lpstr>Rent_TenantSizeRange</vt:lpstr>
      <vt:lpstr>Rent_TenantSizeRange_1</vt:lpstr>
      <vt:lpstr>Rent_TenantSizeRange_2</vt:lpstr>
      <vt:lpstr>Rent_TenantSizeRange_Narrative</vt:lpstr>
      <vt:lpstr>Rent_TenantSizeRange_Narrative_1</vt:lpstr>
      <vt:lpstr>Rent_TenantSizeRange_Narrative_2</vt:lpstr>
      <vt:lpstr>Rent_TenantSizeRange_UserInput</vt:lpstr>
      <vt:lpstr>Rent_TenantSizeRange_UserInput_1</vt:lpstr>
      <vt:lpstr>Rent_TenantSizeRange_UserInput_2</vt:lpstr>
      <vt:lpstr>Rent_UserDefined1Range</vt:lpstr>
      <vt:lpstr>Rent_UserDefined1Range_1</vt:lpstr>
      <vt:lpstr>Rent_UserDefined1Range_2</vt:lpstr>
      <vt:lpstr>Rent_UserDefined1Range_UserInput</vt:lpstr>
      <vt:lpstr>Rent_UserDefined1Range_UserInput_1</vt:lpstr>
      <vt:lpstr>Rent_UserDefined1Range_UserInput_2</vt:lpstr>
      <vt:lpstr>Rent_UserDefined2Range</vt:lpstr>
      <vt:lpstr>Rent_UserDefined2Range_1</vt:lpstr>
      <vt:lpstr>Rent_UserDefined2Range_2</vt:lpstr>
      <vt:lpstr>Rent_UserDefined2Range_UserInput</vt:lpstr>
      <vt:lpstr>Rent_UserDefined2Range_UserInput_1</vt:lpstr>
      <vt:lpstr>Rent_UserDefined2Range_UserInput_2</vt:lpstr>
      <vt:lpstr>Rent_YOCRange</vt:lpstr>
      <vt:lpstr>Rent_YOCRange_1</vt:lpstr>
      <vt:lpstr>Rent_YOCRange_2</vt:lpstr>
      <vt:lpstr>RentAdjustmentGrid</vt:lpstr>
      <vt:lpstr>Rentals_Quality_AdjRange</vt:lpstr>
      <vt:lpstr>Rentals_Quality_Average</vt:lpstr>
      <vt:lpstr>Rentals_Quality_Excellent</vt:lpstr>
      <vt:lpstr>Rentals_Quality_Fair</vt:lpstr>
      <vt:lpstr>Rentals_Quality_Good</vt:lpstr>
      <vt:lpstr>Rentals_Quality_HighValue</vt:lpstr>
      <vt:lpstr>Rentals_Quality_LowCost</vt:lpstr>
      <vt:lpstr>rentdisplaylist</vt:lpstr>
      <vt:lpstr>RentRoll_LeaseStructure_Clear</vt:lpstr>
      <vt:lpstr>Rents_AdjGrid_UserDefined_1</vt:lpstr>
      <vt:lpstr>Rents_AdjGrid_UserDefined_1_1</vt:lpstr>
      <vt:lpstr>Rents_AdjGrid_UserDefined_1_2</vt:lpstr>
      <vt:lpstr>Rents_AdjGrid_UserDefined_2</vt:lpstr>
      <vt:lpstr>Rents_AdjGrid_UserDefined_2_1</vt:lpstr>
      <vt:lpstr>Rents_AdjGrid_UserDefined_2_2</vt:lpstr>
      <vt:lpstr>Rents_MostComparableRange</vt:lpstr>
      <vt:lpstr>Rents_UnadjustedRange</vt:lpstr>
      <vt:lpstr>Rents_UnadjustedRange_1</vt:lpstr>
      <vt:lpstr>Rents_UnadjustedRange_2</vt:lpstr>
      <vt:lpstr>Ring1</vt:lpstr>
      <vt:lpstr>Ring1Pixels</vt:lpstr>
      <vt:lpstr>Ring2</vt:lpstr>
      <vt:lpstr>Ring2Pixels</vt:lpstr>
      <vt:lpstr>Ring3</vt:lpstr>
      <vt:lpstr>Ring3Pixels</vt:lpstr>
      <vt:lpstr>RingMap</vt:lpstr>
      <vt:lpstr>rngBothOption</vt:lpstr>
      <vt:lpstr>rngDriveTimeOption</vt:lpstr>
      <vt:lpstr>rngNeighborhoodOption</vt:lpstr>
      <vt:lpstr>rngRegionalOption</vt:lpstr>
      <vt:lpstr>rngRing1</vt:lpstr>
      <vt:lpstr>rngRing2</vt:lpstr>
      <vt:lpstr>rngRing3</vt:lpstr>
      <vt:lpstr>Rounding_Label</vt:lpstr>
      <vt:lpstr>Rounding_Options</vt:lpstr>
      <vt:lpstr>RR_Category</vt:lpstr>
      <vt:lpstr>Sales_ActualEGIMRange</vt:lpstr>
      <vt:lpstr>Sales_AdjGrid_AgeCondition_1</vt:lpstr>
      <vt:lpstr>Sales_AdjGrid_AgeCondition_2</vt:lpstr>
      <vt:lpstr>Sales_AdjGrid_AgeEffective_1</vt:lpstr>
      <vt:lpstr>Sales_AdjGrid_AgeEffective_2</vt:lpstr>
      <vt:lpstr>Sales_AdjGrid_AgeTotalEco_1</vt:lpstr>
      <vt:lpstr>Sales_AdjGrid_AgeTotalEco_2</vt:lpstr>
      <vt:lpstr>Sales_AdjGrid_ClearHeight_1</vt:lpstr>
      <vt:lpstr>Sales_AdjGrid_ClearHeight_2</vt:lpstr>
      <vt:lpstr>Sales_AdjGrid_Location_1</vt:lpstr>
      <vt:lpstr>Sales_AdjGrid_Location_2</vt:lpstr>
      <vt:lpstr>Sales_AdjGrid_LtoBRatio_1</vt:lpstr>
      <vt:lpstr>Sales_AdjGrid_LtoBRatio_2</vt:lpstr>
      <vt:lpstr>Sales_AdjGrid_ParkingRatio_1</vt:lpstr>
      <vt:lpstr>Sales_AdjGrid_ParkingRatio_2</vt:lpstr>
      <vt:lpstr>Sales_AdjGrid_PercentOffice_1</vt:lpstr>
      <vt:lpstr>Sales_AdjGrid_PercentOffice_2</vt:lpstr>
      <vt:lpstr>Sales_AdjGrid_Quality_1</vt:lpstr>
      <vt:lpstr>Sales_AdjGrid_Quality_2</vt:lpstr>
      <vt:lpstr>Sales_AdjGrid_UserDefined_1</vt:lpstr>
      <vt:lpstr>Sales_AdjGrid_UserDefined_1_1</vt:lpstr>
      <vt:lpstr>Sales_AdjGrid_UserDefined_1_2</vt:lpstr>
      <vt:lpstr>Sales_AdjGrid_UserDefined_2</vt:lpstr>
      <vt:lpstr>Sales_AdjGrid_UserDefined_2_1</vt:lpstr>
      <vt:lpstr>Sales_AdjGrid_UserDefined_2_2</vt:lpstr>
      <vt:lpstr>Sales_AdjGrid_ValueUnits_1</vt:lpstr>
      <vt:lpstr>Sales_AdjGrid_ValueUnits_2</vt:lpstr>
      <vt:lpstr>Sales_AdjGridSelection</vt:lpstr>
      <vt:lpstr>Sales_AdjPrice1</vt:lpstr>
      <vt:lpstr>Sales_AdjPrice1_1</vt:lpstr>
      <vt:lpstr>Sales_AdjPrice1_2</vt:lpstr>
      <vt:lpstr>Sales_AdjPrice2</vt:lpstr>
      <vt:lpstr>Sales_AdjPrice2_1</vt:lpstr>
      <vt:lpstr>Sales_AdjPrice2_2</vt:lpstr>
      <vt:lpstr>Sales_AdjType</vt:lpstr>
      <vt:lpstr>Sales_AdjType_1</vt:lpstr>
      <vt:lpstr>Sales_AdjType_2</vt:lpstr>
      <vt:lpstr>Sales_Adjust_MaxPrice_Unit</vt:lpstr>
      <vt:lpstr>Sales_Adjust_MaxPrice_Unit_1</vt:lpstr>
      <vt:lpstr>Sales_Adjust_MaxPrice_Unit_2</vt:lpstr>
      <vt:lpstr>Sales_Adjust_MinPrice_Unit</vt:lpstr>
      <vt:lpstr>Sales_Adjust_MinPrice_Unit_1</vt:lpstr>
      <vt:lpstr>Sales_Adjust_MinPrice_Unit_2</vt:lpstr>
      <vt:lpstr>Sales_Adjustment_12_Range</vt:lpstr>
      <vt:lpstr>Sales_Adjustment_12_Range_1</vt:lpstr>
      <vt:lpstr>Sales_Adjustment_12_Range_2</vt:lpstr>
      <vt:lpstr>Sales_Adjustment_13_Range</vt:lpstr>
      <vt:lpstr>Sales_Adjustment_13_Range_1</vt:lpstr>
      <vt:lpstr>Sales_Adjustment_13_Range_2</vt:lpstr>
      <vt:lpstr>Sales_AgeCondition_AdjustApplied</vt:lpstr>
      <vt:lpstr>Sales_AgeCondition_AdjustApplied_1</vt:lpstr>
      <vt:lpstr>Sales_AgeCondition_AdjustApplied_2</vt:lpstr>
      <vt:lpstr>Sales_AgeConditionRange</vt:lpstr>
      <vt:lpstr>Sales_AgeConditionRange_1</vt:lpstr>
      <vt:lpstr>Sales_AgeConditionRange_2</vt:lpstr>
      <vt:lpstr>Sales_AgeConditionRange_UserInput</vt:lpstr>
      <vt:lpstr>Sales_AgeConditionRange_UserInput_1</vt:lpstr>
      <vt:lpstr>Sales_AgeConditionRange_UserInput_2</vt:lpstr>
      <vt:lpstr>Sales_ClearHeight_AdjRange</vt:lpstr>
      <vt:lpstr>Sales_ClearHeight_AdjRange_1</vt:lpstr>
      <vt:lpstr>Sales_ClearHeight_AdjRange_2</vt:lpstr>
      <vt:lpstr>Sales_ClearHeightRange</vt:lpstr>
      <vt:lpstr>Sales_ClearHeightRange_1</vt:lpstr>
      <vt:lpstr>Sales_ClearHeightRange_2</vt:lpstr>
      <vt:lpstr>Sales_ClearHeightRange_Narrative</vt:lpstr>
      <vt:lpstr>Sales_ClearHeightRange_Narrative_1</vt:lpstr>
      <vt:lpstr>Sales_ClearHeightRange_Narrative_2</vt:lpstr>
      <vt:lpstr>Sales_ClearHeightRange_UserInput</vt:lpstr>
      <vt:lpstr>Sales_ClearHeightRange_UserInput_1</vt:lpstr>
      <vt:lpstr>Sales_ClearHeightRange_UserInput_2</vt:lpstr>
      <vt:lpstr>Sales_ConditionsofSaleRange</vt:lpstr>
      <vt:lpstr>Sales_ConditionsofSaleRange_1</vt:lpstr>
      <vt:lpstr>Sales_ConditionsofSaleRange_2</vt:lpstr>
      <vt:lpstr>Sales_ConditionsofSaleRange_UserInput</vt:lpstr>
      <vt:lpstr>Sales_ConditionsofSaleRange_UserInput_1</vt:lpstr>
      <vt:lpstr>Sales_ConditionsofSaleRange_UserInput_2</vt:lpstr>
      <vt:lpstr>Sales_DesignFunctionalUtilityRange</vt:lpstr>
      <vt:lpstr>Sales_DesignFunctionalUtilityRange_1</vt:lpstr>
      <vt:lpstr>Sales_DesignFunctionalUtilityRange_2</vt:lpstr>
      <vt:lpstr>Sales_DesignFunctionalUtilityRange_UserInput</vt:lpstr>
      <vt:lpstr>Sales_DesignFunctionalUtilityRange_UserInput_1</vt:lpstr>
      <vt:lpstr>Sales_DesignFunctionalUtilityRange_UserInput_2</vt:lpstr>
      <vt:lpstr>Sales_EconomicLifeRange</vt:lpstr>
      <vt:lpstr>Sales_EconomicLifeRange_1</vt:lpstr>
      <vt:lpstr>Sales_EconomicLifeRange_2</vt:lpstr>
      <vt:lpstr>Sales_EffectiveAgeRange</vt:lpstr>
      <vt:lpstr>Sales_EffectiveAgeRange_1</vt:lpstr>
      <vt:lpstr>Sales_EffectiveAgeRange_2</vt:lpstr>
      <vt:lpstr>Sales_ExpendituresAfterSaleRange</vt:lpstr>
      <vt:lpstr>Sales_ExpendituresAfterSaleRange_1</vt:lpstr>
      <vt:lpstr>Sales_ExpendituresAfterSaleRange_2</vt:lpstr>
      <vt:lpstr>Sales_FinalAdjustedRange</vt:lpstr>
      <vt:lpstr>Sales_FinalAdjustedRange_1</vt:lpstr>
      <vt:lpstr>Sales_FinalAdjustedRange_2</vt:lpstr>
      <vt:lpstr>Sales_FinancingTermsRange</vt:lpstr>
      <vt:lpstr>Sales_FinancingTermsRange_1</vt:lpstr>
      <vt:lpstr>Sales_FinancingTermsRange_2</vt:lpstr>
      <vt:lpstr>Sales_FinancingTermsRange_UserInput</vt:lpstr>
      <vt:lpstr>Sales_FinancingTermsRange_UserInput_1</vt:lpstr>
      <vt:lpstr>Sales_FinancingTermsRange_UserInput_2</vt:lpstr>
      <vt:lpstr>Sales_IndicationSize_1</vt:lpstr>
      <vt:lpstr>Sales_IndicationSize_1_1</vt:lpstr>
      <vt:lpstr>Sales_IndicationSize_1_2</vt:lpstr>
      <vt:lpstr>Sales_IndicationSize_2</vt:lpstr>
      <vt:lpstr>Sales_IndicationSize_2_1</vt:lpstr>
      <vt:lpstr>Sales_IndicationSize_2_2</vt:lpstr>
      <vt:lpstr>Sales_IndicationSize_3</vt:lpstr>
      <vt:lpstr>Sales_IndicationSize_3_1</vt:lpstr>
      <vt:lpstr>Sales_IndicationSize_3_2</vt:lpstr>
      <vt:lpstr>Sales_LocationNOI_AdjustApplied</vt:lpstr>
      <vt:lpstr>Sales_LocationNOI_AdjustApplied_1</vt:lpstr>
      <vt:lpstr>Sales_LocationNOI_AdjustApplied_2</vt:lpstr>
      <vt:lpstr>Sales_LocationNOI_VarianceAttributeLoc</vt:lpstr>
      <vt:lpstr>Sales_LocationNOI_VarianceAttributeLoc_1</vt:lpstr>
      <vt:lpstr>Sales_LocationNOI_VarianceAttributeLoc_2</vt:lpstr>
      <vt:lpstr>Sales_LocationRange</vt:lpstr>
      <vt:lpstr>Sales_LocationRange_1</vt:lpstr>
      <vt:lpstr>Sales_LocationRange_2</vt:lpstr>
      <vt:lpstr>Sales_LocationRange_UserInput</vt:lpstr>
      <vt:lpstr>Sales_LocationRange_UserInput_1</vt:lpstr>
      <vt:lpstr>Sales_LocationRange_UserInput_2</vt:lpstr>
      <vt:lpstr>Sales_LtB_AdjRange</vt:lpstr>
      <vt:lpstr>Sales_LtB_AdjRange_1</vt:lpstr>
      <vt:lpstr>Sales_LtB_AdjRange_2</vt:lpstr>
      <vt:lpstr>Sales_LtBAdj_Ratio</vt:lpstr>
      <vt:lpstr>Sales_LtBAdj_Ratio_1</vt:lpstr>
      <vt:lpstr>Sales_LtBAdj_Ratio_2</vt:lpstr>
      <vt:lpstr>Sales_LtBRange</vt:lpstr>
      <vt:lpstr>Sales_LtBRange_1</vt:lpstr>
      <vt:lpstr>Sales_LtBRange_2</vt:lpstr>
      <vt:lpstr>Sales_LtBRange_Narrative</vt:lpstr>
      <vt:lpstr>Sales_LtBRange_Narrative_1</vt:lpstr>
      <vt:lpstr>Sales_LtBRange_Narrative_2</vt:lpstr>
      <vt:lpstr>Sales_LtBRange_UserInput</vt:lpstr>
      <vt:lpstr>Sales_LtBRange_UserInput_1</vt:lpstr>
      <vt:lpstr>Sales_LtBRange_UserInput_2</vt:lpstr>
      <vt:lpstr>Sales_MostComparableRange</vt:lpstr>
      <vt:lpstr>Sales_MostComparableRange_1</vt:lpstr>
      <vt:lpstr>Sales_MostComparableRange_2</vt:lpstr>
      <vt:lpstr>Sales_NetPhysicalEcoRange</vt:lpstr>
      <vt:lpstr>Sales_NetPhysicalEcoRange_1</vt:lpstr>
      <vt:lpstr>Sales_NetPhysicalEcoRange_2</vt:lpstr>
      <vt:lpstr>Sales_NonRealtyRange</vt:lpstr>
      <vt:lpstr>Sales_NonRealtyRange_1</vt:lpstr>
      <vt:lpstr>Sales_NonRealtyRange_2</vt:lpstr>
      <vt:lpstr>Sales_NonRealtyRange_UserInput</vt:lpstr>
      <vt:lpstr>Sales_NonRealtyRange_UserInput_1</vt:lpstr>
      <vt:lpstr>Sales_NonRealtyRange_UserInput_2</vt:lpstr>
      <vt:lpstr>Sales_ParkingRatio_AdjRange</vt:lpstr>
      <vt:lpstr>Sales_ParkingRatio_AdjRange_1</vt:lpstr>
      <vt:lpstr>Sales_ParkingRatio_AdjRange_2</vt:lpstr>
      <vt:lpstr>Sales_ParkingRatio_ParkingRates</vt:lpstr>
      <vt:lpstr>Sales_ParkingRatio_ParkingRates_1</vt:lpstr>
      <vt:lpstr>Sales_ParkingRatio_ParkingRates_2</vt:lpstr>
      <vt:lpstr>Sales_ParkingRatioRange</vt:lpstr>
      <vt:lpstr>Sales_ParkingRatioRange_1</vt:lpstr>
      <vt:lpstr>Sales_ParkingRatioRange_2</vt:lpstr>
      <vt:lpstr>Sales_ParkingRatioRange_Narrative</vt:lpstr>
      <vt:lpstr>Sales_ParkingRatioRange_Narrative_1</vt:lpstr>
      <vt:lpstr>Sales_ParkingRatioRange_Narrative_2</vt:lpstr>
      <vt:lpstr>Sales_ParkingRatioRange_UserInput</vt:lpstr>
      <vt:lpstr>Sales_ParkingRatioRange_UserInput_1</vt:lpstr>
      <vt:lpstr>Sales_ParkingRatioRange_UserInput_2</vt:lpstr>
      <vt:lpstr>Sales_PercentOffice_AdjPSF</vt:lpstr>
      <vt:lpstr>Sales_PercentOffice_AdjPSF_1</vt:lpstr>
      <vt:lpstr>Sales_PercentOffice_AdjPSF_2</vt:lpstr>
      <vt:lpstr>Sales_PercentOffice_AdjRange</vt:lpstr>
      <vt:lpstr>Sales_PercentOffice_AdjRange_1</vt:lpstr>
      <vt:lpstr>Sales_PercentOffice_AdjRange_2</vt:lpstr>
      <vt:lpstr>Sales_PercentOfficeRange</vt:lpstr>
      <vt:lpstr>Sales_PercentOfficeRange_1</vt:lpstr>
      <vt:lpstr>Sales_PercentOfficeRange_2</vt:lpstr>
      <vt:lpstr>Sales_PercentOfficeRange_Narrative</vt:lpstr>
      <vt:lpstr>Sales_PercentOfficeRange_Narrative_1</vt:lpstr>
      <vt:lpstr>Sales_PercentOfficeRange_Narrative_2</vt:lpstr>
      <vt:lpstr>Sales_PercentOfficeRange_UserInput</vt:lpstr>
      <vt:lpstr>Sales_PercentOfficeRange_UserInput_1</vt:lpstr>
      <vt:lpstr>Sales_PercentOfficeRange_UserInput_2</vt:lpstr>
      <vt:lpstr>Sales_PrelimBold</vt:lpstr>
      <vt:lpstr>Sales_PrelimBold_1</vt:lpstr>
      <vt:lpstr>Sales_PropertyRights_AvgRemainTerm</vt:lpstr>
      <vt:lpstr>Sales_PropertyRights_AvgRemainTerm_1</vt:lpstr>
      <vt:lpstr>Sales_PropertyRights_AvgRemainTerm_2</vt:lpstr>
      <vt:lpstr>Sales_PropertyRights_MarketvsContract</vt:lpstr>
      <vt:lpstr>Sales_PropertyRights_MarketvsContract_1</vt:lpstr>
      <vt:lpstr>Sales_PropertyRights_MarketvsContract_2</vt:lpstr>
      <vt:lpstr>Sales_PropertyRightsRange</vt:lpstr>
      <vt:lpstr>Sales_PropertyRightsRange_1</vt:lpstr>
      <vt:lpstr>Sales_PropertyRightsRange_2</vt:lpstr>
      <vt:lpstr>Sales_PropertyRightsRange_UserInput</vt:lpstr>
      <vt:lpstr>Sales_PropertyRightsRange_UserInput_1</vt:lpstr>
      <vt:lpstr>Sales_PropertyRightsRange_UserInput_2</vt:lpstr>
      <vt:lpstr>Sales_Quality_AdjRange</vt:lpstr>
      <vt:lpstr>Sales_Quality_Average</vt:lpstr>
      <vt:lpstr>Sales_Quality_Excellent</vt:lpstr>
      <vt:lpstr>Sales_Quality_Fair</vt:lpstr>
      <vt:lpstr>Sales_Quality_Good</vt:lpstr>
      <vt:lpstr>Sales_Quality_HighValue</vt:lpstr>
      <vt:lpstr>Sales_Quality_LowCost</vt:lpstr>
      <vt:lpstr>Sales_QualityRange</vt:lpstr>
      <vt:lpstr>Sales_QualityRange_1</vt:lpstr>
      <vt:lpstr>Sales_QualityRange_2</vt:lpstr>
      <vt:lpstr>Sales_QualityRange_UserInput</vt:lpstr>
      <vt:lpstr>Sales_QualityRange_UserInput_1</vt:lpstr>
      <vt:lpstr>Sales_QualityRange_UserInput_2</vt:lpstr>
      <vt:lpstr>Sales_QualityRange1</vt:lpstr>
      <vt:lpstr>Sales_QualityRange1_1</vt:lpstr>
      <vt:lpstr>Sales_QualityRange1_2</vt:lpstr>
      <vt:lpstr>Sales_RemainTerm_AdjustApplied</vt:lpstr>
      <vt:lpstr>Sales_RemainTerm_AdjustApplied_1</vt:lpstr>
      <vt:lpstr>Sales_RemainTerm_AdjustApplied_2</vt:lpstr>
      <vt:lpstr>Sales_RemainTerm_Subject</vt:lpstr>
      <vt:lpstr>Sales_RemainTerm_Subject_1</vt:lpstr>
      <vt:lpstr>Sales_RemainTerm_Subject_2</vt:lpstr>
      <vt:lpstr>Sales_RemTermRange</vt:lpstr>
      <vt:lpstr>Sales_RemTermRange_1</vt:lpstr>
      <vt:lpstr>Sales_RemTermRange_2</vt:lpstr>
      <vt:lpstr>Sales_RemTermRange_UserInput</vt:lpstr>
      <vt:lpstr>Sales_RemTermRange_UserInput_1</vt:lpstr>
      <vt:lpstr>Sales_RemTermRange_UserInput_2</vt:lpstr>
      <vt:lpstr>Sales_Size_Subject</vt:lpstr>
      <vt:lpstr>Sales_Size_Subject_1</vt:lpstr>
      <vt:lpstr>Sales_Size_Subject_2</vt:lpstr>
      <vt:lpstr>Sales_SizeRange</vt:lpstr>
      <vt:lpstr>Sales_SizeRange_1</vt:lpstr>
      <vt:lpstr>Sales_SizeRange_2</vt:lpstr>
      <vt:lpstr>Sales_SizeRange_Narrative</vt:lpstr>
      <vt:lpstr>Sales_SizeRange_Narrative_1</vt:lpstr>
      <vt:lpstr>Sales_SizeRange_Narrative_2</vt:lpstr>
      <vt:lpstr>Sales_SizeRange_UserInput</vt:lpstr>
      <vt:lpstr>Sales_SizeRange_UserInput_1</vt:lpstr>
      <vt:lpstr>Sales_SizeRange_UserInput_2</vt:lpstr>
      <vt:lpstr>Sales_StabilizedEGIMRange</vt:lpstr>
      <vt:lpstr>Sales_SummaryTable_Detailed</vt:lpstr>
      <vt:lpstr>Sales_SummaryTableB1_Detailed</vt:lpstr>
      <vt:lpstr>Sales_SummaryTableB2_Detailed</vt:lpstr>
      <vt:lpstr>Sales_TechniqueUsed</vt:lpstr>
      <vt:lpstr>Sales_Unadjust_MaxPrice_Unit</vt:lpstr>
      <vt:lpstr>Sales_Unadjust_MaxPrice_Unit_1</vt:lpstr>
      <vt:lpstr>Sales_Unadjust_MaxPrice_Unit_2</vt:lpstr>
      <vt:lpstr>Sales_Unadjust_MinPrice_Unit</vt:lpstr>
      <vt:lpstr>Sales_Unadjust_MinPrice_Unit_1</vt:lpstr>
      <vt:lpstr>Sales_Unadjust_MinPrice_Unit_2</vt:lpstr>
      <vt:lpstr>Sales_UnAdjustedRange</vt:lpstr>
      <vt:lpstr>Sales_UnAdjustedRange_1</vt:lpstr>
      <vt:lpstr>Sales_UnAdjustedRange_2</vt:lpstr>
      <vt:lpstr>Sales_UseAutoAdj</vt:lpstr>
      <vt:lpstr>Sales_UseAutoAdjSelection</vt:lpstr>
      <vt:lpstr>Sales_UserDefined1Range</vt:lpstr>
      <vt:lpstr>Sales_UserDefined1Range_1</vt:lpstr>
      <vt:lpstr>Sales_UserDefined1Range_2</vt:lpstr>
      <vt:lpstr>Sales_UserDefined1Range_UserInput</vt:lpstr>
      <vt:lpstr>Sales_UserDefined1Range_UserInput_1</vt:lpstr>
      <vt:lpstr>Sales_UserDefined1Range_UserInput_2</vt:lpstr>
      <vt:lpstr>Sales_UserDefined2Range</vt:lpstr>
      <vt:lpstr>Sales_UserDefined2Range_1</vt:lpstr>
      <vt:lpstr>Sales_UserDefined2Range_2</vt:lpstr>
      <vt:lpstr>Sales_UserDefined2Range_UserInput</vt:lpstr>
      <vt:lpstr>Sales_UserDefined2Range_UserInput_1</vt:lpstr>
      <vt:lpstr>Sales_UserDefined2Range_UserInput_2</vt:lpstr>
      <vt:lpstr>Sales_YOCRange</vt:lpstr>
      <vt:lpstr>Sales_YOCRange_1</vt:lpstr>
      <vt:lpstr>Sales_YOCRange_2</vt:lpstr>
      <vt:lpstr>SalesAdjustmentGrid</vt:lpstr>
      <vt:lpstr>salestechlist1</vt:lpstr>
      <vt:lpstr>salesunitvaluelist</vt:lpstr>
      <vt:lpstr>salesvalmethodlist</vt:lpstr>
      <vt:lpstr>Salient_Sort_DOV_1</vt:lpstr>
      <vt:lpstr>Salient_Sort_DOV_2</vt:lpstr>
      <vt:lpstr>Salient_Sort_DOV_3</vt:lpstr>
      <vt:lpstr>Salient_Sort_Interest_1</vt:lpstr>
      <vt:lpstr>Salient_Sort_Interest_2</vt:lpstr>
      <vt:lpstr>Salient_Sort_Interest_3</vt:lpstr>
      <vt:lpstr>Salient_Sort_NumValues</vt:lpstr>
      <vt:lpstr>Salient_Sort_Perspective_1</vt:lpstr>
      <vt:lpstr>Salient_Sort_Perspective_2</vt:lpstr>
      <vt:lpstr>Salient_Sort_Perspective_3</vt:lpstr>
      <vt:lpstr>Salient_Sort_Premise_1</vt:lpstr>
      <vt:lpstr>Salient_Sort_Premise_2</vt:lpstr>
      <vt:lpstr>Salient_Sort_Premise_3</vt:lpstr>
      <vt:lpstr>Salient_Sort_Type_1</vt:lpstr>
      <vt:lpstr>Salient_Sort_Type_2</vt:lpstr>
      <vt:lpstr>Salient_Sort_Type_3</vt:lpstr>
      <vt:lpstr>Salient_ValueScenario_1</vt:lpstr>
      <vt:lpstr>Salient_ValueScenario_2</vt:lpstr>
      <vt:lpstr>Salient_ValueScenario_3</vt:lpstr>
      <vt:lpstr>ScreenSetting</vt:lpstr>
      <vt:lpstr>ScreenSettingValue</vt:lpstr>
      <vt:lpstr>Select_TaxActualPrelim</vt:lpstr>
      <vt:lpstr>Select_TaxAppraiseAssess</vt:lpstr>
      <vt:lpstr>Sort_Interest_2</vt:lpstr>
      <vt:lpstr>Sort_Interest_3</vt:lpstr>
      <vt:lpstr>Sort_NumValues</vt:lpstr>
      <vt:lpstr>Sort_Perspective_1</vt:lpstr>
      <vt:lpstr>Sort_Perspective_2</vt:lpstr>
      <vt:lpstr>Sort_Perspective_3</vt:lpstr>
      <vt:lpstr>Sort_Premise_1</vt:lpstr>
      <vt:lpstr>Sort_Premise_2</vt:lpstr>
      <vt:lpstr>Sort_Premise_3</vt:lpstr>
      <vt:lpstr>Sort_Type_1</vt:lpstr>
      <vt:lpstr>Sort_Type_2</vt:lpstr>
      <vt:lpstr>Sort_Type_3</vt:lpstr>
      <vt:lpstr>Source_EASI</vt:lpstr>
      <vt:lpstr>Source_ESRI</vt:lpstr>
      <vt:lpstr>SpaceType_DP1</vt:lpstr>
      <vt:lpstr>SpaceType_DP2</vt:lpstr>
      <vt:lpstr>SpaceType_DP3</vt:lpstr>
      <vt:lpstr>SpaceType_DP4</vt:lpstr>
      <vt:lpstr>SpaceType_DP5</vt:lpstr>
      <vt:lpstr>SpaceType_DP6</vt:lpstr>
      <vt:lpstr>SpaceType_DP7</vt:lpstr>
      <vt:lpstr>SpaceType_DP8</vt:lpstr>
      <vt:lpstr>Subject_Address</vt:lpstr>
      <vt:lpstr>Subject_AgeEffective</vt:lpstr>
      <vt:lpstr>Subject_AgeRemainEco</vt:lpstr>
      <vt:lpstr>Subject_AgeTotalEco</vt:lpstr>
      <vt:lpstr>Subject_BuildingCount</vt:lpstr>
      <vt:lpstr>Subject_CensusTract</vt:lpstr>
      <vt:lpstr>Subject_CensusTract_2</vt:lpstr>
      <vt:lpstr>Subject_City</vt:lpstr>
      <vt:lpstr>Subject_ClearHeight</vt:lpstr>
      <vt:lpstr>Subject_ClientCompanyName</vt:lpstr>
      <vt:lpstr>Subject_ClientContactName</vt:lpstr>
      <vt:lpstr>Subject_ClientIDNumber</vt:lpstr>
      <vt:lpstr>Subject_Condition</vt:lpstr>
      <vt:lpstr>Subject_ConstructionClass</vt:lpstr>
      <vt:lpstr>Subject_ConstructionQuality</vt:lpstr>
      <vt:lpstr>Subject_CornerExposure</vt:lpstr>
      <vt:lpstr>Subject_County</vt:lpstr>
      <vt:lpstr>Subject_CountyorParish</vt:lpstr>
      <vt:lpstr>Subject_ExposureTime</vt:lpstr>
      <vt:lpstr>Subject_ExteriorWalls</vt:lpstr>
      <vt:lpstr>Subject_Extraordinary_1</vt:lpstr>
      <vt:lpstr>Subject_Extraordinary_2</vt:lpstr>
      <vt:lpstr>Subject_Extraordinary_3</vt:lpstr>
      <vt:lpstr>Subject_Extraordinary_Question</vt:lpstr>
      <vt:lpstr>Subject_GBA</vt:lpstr>
      <vt:lpstr>Subject_Geocode</vt:lpstr>
      <vt:lpstr>Subject_HBU_AsImproved</vt:lpstr>
      <vt:lpstr>Subject_HBU_AsVacant</vt:lpstr>
      <vt:lpstr>Subject_HBU_ProbableBuyer</vt:lpstr>
      <vt:lpstr>Subject_HBU_ProbableUser</vt:lpstr>
      <vt:lpstr>Subject_Hypothetical_1</vt:lpstr>
      <vt:lpstr>Subject_Hypothetical_2</vt:lpstr>
      <vt:lpstr>Subject_Hypothetical_3</vt:lpstr>
      <vt:lpstr>Subject_Hypothetical_Question</vt:lpstr>
      <vt:lpstr>Subject_IntendedUse</vt:lpstr>
      <vt:lpstr>Subject_IntendedUser</vt:lpstr>
      <vt:lpstr>Subject_InternalFileNumber</vt:lpstr>
      <vt:lpstr>Subject_InvestmentClass</vt:lpstr>
      <vt:lpstr>Subject_Land_FrontageFeet_1</vt:lpstr>
      <vt:lpstr>Subject_Land_FrontageFeet_2</vt:lpstr>
      <vt:lpstr>Subject_Land_GrossAcres_1</vt:lpstr>
      <vt:lpstr>Subject_Land_GrossAcres_2</vt:lpstr>
      <vt:lpstr>Subject_Land_GrossSF_1</vt:lpstr>
      <vt:lpstr>Subject_Land_GrossSF_2</vt:lpstr>
      <vt:lpstr>Subject_Land_Lots_1</vt:lpstr>
      <vt:lpstr>Subject_Land_Lots_2</vt:lpstr>
      <vt:lpstr>Subject_Land_ProposedSF_1</vt:lpstr>
      <vt:lpstr>Subject_Land_ProposedSF_2</vt:lpstr>
      <vt:lpstr>Subject_Land_ProposedUnits_1</vt:lpstr>
      <vt:lpstr>Subject_Land_ProposedUnits_2</vt:lpstr>
      <vt:lpstr>Subject_Land_UsableAcres_1</vt:lpstr>
      <vt:lpstr>Subject_Land_UsableAcres_2</vt:lpstr>
      <vt:lpstr>Subject_Land_UsableSF_1</vt:lpstr>
      <vt:lpstr>Subject_Land_UsableSF_2</vt:lpstr>
      <vt:lpstr>Subject_LandAppraisal</vt:lpstr>
      <vt:lpstr>Subject_LandExcessAcres</vt:lpstr>
      <vt:lpstr>Subject_LandExcessSF</vt:lpstr>
      <vt:lpstr>Subject_LandFlood</vt:lpstr>
      <vt:lpstr>Subject_LandFloodMapNo</vt:lpstr>
      <vt:lpstr>Subject_LandPrimary_GrossAcres</vt:lpstr>
      <vt:lpstr>Subject_LandPrimary_GrossSF</vt:lpstr>
      <vt:lpstr>Subject_LandPrimary_UsableAcres</vt:lpstr>
      <vt:lpstr>Subject_LandPrimary_UsableSF</vt:lpstr>
      <vt:lpstr>Subject_LandShape</vt:lpstr>
      <vt:lpstr>Subject_LandSurplusAcres</vt:lpstr>
      <vt:lpstr>Subject_LandSurplusSF</vt:lpstr>
      <vt:lpstr>Subject_LandTotal_GrossAcres</vt:lpstr>
      <vt:lpstr>Subject_LandTotal_UsableAcres</vt:lpstr>
      <vt:lpstr>Subject_LandUtilities</vt:lpstr>
      <vt:lpstr>Subject_Latitude</vt:lpstr>
      <vt:lpstr>Subject_ListPrice</vt:lpstr>
      <vt:lpstr>Subject_Longitude</vt:lpstr>
      <vt:lpstr>Subject_Lots</vt:lpstr>
      <vt:lpstr>Subject_LtoBRatio_Gross</vt:lpstr>
      <vt:lpstr>Subject_LtoBRatio_Usable</vt:lpstr>
      <vt:lpstr>Subject_MarketingPeriod</vt:lpstr>
      <vt:lpstr>Subject_MSA</vt:lpstr>
      <vt:lpstr>Subject_NonRealtyDesc</vt:lpstr>
      <vt:lpstr>Subject_NRA</vt:lpstr>
      <vt:lpstr>Subject_NumFloors</vt:lpstr>
      <vt:lpstr>Subject_OccupancyRate</vt:lpstr>
      <vt:lpstr>Subject_OccupancyType</vt:lpstr>
      <vt:lpstr>Subject_OwnerName</vt:lpstr>
      <vt:lpstr>Subject_ParkingDescription</vt:lpstr>
      <vt:lpstr>Subject_ParkingGarage</vt:lpstr>
      <vt:lpstr>Subject_ParkingRatio</vt:lpstr>
      <vt:lpstr>Subject_ParkingTotal</vt:lpstr>
      <vt:lpstr>Subject_PercentOfficeFinish</vt:lpstr>
      <vt:lpstr>Subject_PrimaryFrontageFeet</vt:lpstr>
      <vt:lpstr>Subject_PriorSaleDate</vt:lpstr>
      <vt:lpstr>Subject_PriorServices</vt:lpstr>
      <vt:lpstr>Subject_Property_Sub_Type</vt:lpstr>
      <vt:lpstr>Subject_PropertyContactName</vt:lpstr>
      <vt:lpstr>Subject_PropertyName</vt:lpstr>
      <vt:lpstr>Subject_PropertyType</vt:lpstr>
      <vt:lpstr>Subject_PropertyUse</vt:lpstr>
      <vt:lpstr>Subject_ProposedUnits</vt:lpstr>
      <vt:lpstr>Subject_SalePrice</vt:lpstr>
      <vt:lpstr>Subject_SecondaryFrontageFeet</vt:lpstr>
      <vt:lpstr>Subject_Sold3Yrs</vt:lpstr>
      <vt:lpstr>Subject_State</vt:lpstr>
      <vt:lpstr>Subject_TaxAccounts</vt:lpstr>
      <vt:lpstr>Subject_Tenancy</vt:lpstr>
      <vt:lpstr>Subject_Topography</vt:lpstr>
      <vt:lpstr>Subject_TrafficCounts</vt:lpstr>
      <vt:lpstr>Subject_Units</vt:lpstr>
      <vt:lpstr>Subject_UseCostApproach</vt:lpstr>
      <vt:lpstr>Subject_UseIncomeApproach</vt:lpstr>
      <vt:lpstr>Subject_UseSaleApproach</vt:lpstr>
      <vt:lpstr>Subject_Value1DOV</vt:lpstr>
      <vt:lpstr>Subject_Value1InterestAppraised</vt:lpstr>
      <vt:lpstr>Subject_Value1Perspective</vt:lpstr>
      <vt:lpstr>Subject_Value1Premise</vt:lpstr>
      <vt:lpstr>Subject_Value1Scenario</vt:lpstr>
      <vt:lpstr>Subject_Value1Type</vt:lpstr>
      <vt:lpstr>Subject_Value2DOV</vt:lpstr>
      <vt:lpstr>Subject_Value2InterestAppraised</vt:lpstr>
      <vt:lpstr>Subject_Value2Perspective</vt:lpstr>
      <vt:lpstr>Subject_Value2Premise</vt:lpstr>
      <vt:lpstr>Subject_Value2Scenario</vt:lpstr>
      <vt:lpstr>Subject_Value2Type</vt:lpstr>
      <vt:lpstr>Subject_Value3DOV</vt:lpstr>
      <vt:lpstr>Subject_Value3InterestAppraised</vt:lpstr>
      <vt:lpstr>Subject_Value3Perspective</vt:lpstr>
      <vt:lpstr>Subject_Value3Premise</vt:lpstr>
      <vt:lpstr>Subject_Value3Scenario</vt:lpstr>
      <vt:lpstr>Subject_Value3Type</vt:lpstr>
      <vt:lpstr>Subject_Year_Built</vt:lpstr>
      <vt:lpstr>Subject_Year_Built_Range</vt:lpstr>
      <vt:lpstr>Subject_Zip</vt:lpstr>
      <vt:lpstr>Subject_ZoningCode</vt:lpstr>
      <vt:lpstr>Subject_ZoningDescription</vt:lpstr>
      <vt:lpstr>Sum_DCF1_ColFilter</vt:lpstr>
      <vt:lpstr>Sum_DCF2_ColFilter</vt:lpstr>
      <vt:lpstr>Sum_DCF3_ColFilter</vt:lpstr>
      <vt:lpstr>Sum_LeaseUp_ColFilter</vt:lpstr>
      <vt:lpstr>Sum_SalientUserDefineContract</vt:lpstr>
      <vt:lpstr>Sum_SalientUserDefineImp</vt:lpstr>
      <vt:lpstr>Sum_SalientUserDefineMkt</vt:lpstr>
      <vt:lpstr>Sum_SalientUserDefineSite</vt:lpstr>
      <vt:lpstr>Tax_CurrentValue</vt:lpstr>
      <vt:lpstr>Tax_DatappraiseAPN</vt:lpstr>
      <vt:lpstr>Tax_DatappraiseAssessValue</vt:lpstr>
      <vt:lpstr>Tax_DatappraiseImpAssessRatio</vt:lpstr>
      <vt:lpstr>Tax_DatappraiseImpValue</vt:lpstr>
      <vt:lpstr>Tax_DatappraiseLandAssessRatio</vt:lpstr>
      <vt:lpstr>Tax_DatappraiseLandValue</vt:lpstr>
      <vt:lpstr>Tax_DatappraiseMatrix</vt:lpstr>
      <vt:lpstr>Tax_DatappraiseMillageRate</vt:lpstr>
      <vt:lpstr>Tax_DatappraiseSpecialAssess</vt:lpstr>
      <vt:lpstr>Tax_DatappraiseTaxRate</vt:lpstr>
      <vt:lpstr>Tax_DatappraiseTotalValue</vt:lpstr>
      <vt:lpstr>Tax_DatappraiseYear</vt:lpstr>
      <vt:lpstr>TaxCompTable_InputArea1</vt:lpstr>
      <vt:lpstr>TaxCompTable_InputArea2</vt:lpstr>
      <vt:lpstr>TaxCompTable_MedianRow</vt:lpstr>
      <vt:lpstr>TaxCompTable_ShadeCol1</vt:lpstr>
      <vt:lpstr>TaxCompTable_ShadeCol2</vt:lpstr>
      <vt:lpstr>TaxCompTable_ShadeCol3</vt:lpstr>
      <vt:lpstr>tblScaleLookup</vt:lpstr>
      <vt:lpstr>Unemp_Area_1_First</vt:lpstr>
      <vt:lpstr>Unemp_Area_1_Last</vt:lpstr>
      <vt:lpstr>Unemp_Area_2_First</vt:lpstr>
      <vt:lpstr>Unemp_Area_2_Last</vt:lpstr>
      <vt:lpstr>Unemp_Area_3_First</vt:lpstr>
      <vt:lpstr>Unemp_Area_3_Last</vt:lpstr>
      <vt:lpstr>Unemp_Area_4_First</vt:lpstr>
      <vt:lpstr>Unemp_Area_4_Last</vt:lpstr>
      <vt:lpstr>Unemp_Area_5_First</vt:lpstr>
      <vt:lpstr>Unemp_Area_5_Last</vt:lpstr>
      <vt:lpstr>Unemployment_Area_1</vt:lpstr>
      <vt:lpstr>Unemployment_Area_2</vt:lpstr>
      <vt:lpstr>Unemployment_Rates_SourceRow</vt:lpstr>
      <vt:lpstr>USPS_ReportSelection</vt:lpstr>
      <vt:lpstr>USPS_UserDefineImp</vt:lpstr>
      <vt:lpstr>USPS_UserDefineSite</vt:lpstr>
      <vt:lpstr>USPS_ValuationTable_1</vt:lpstr>
      <vt:lpstr>USPS_ValuationTable_2</vt:lpstr>
      <vt:lpstr>USPS_ValuationTable_3</vt:lpstr>
      <vt:lpstr>VacancyApplicationMethod</vt:lpstr>
      <vt:lpstr>VacancyAppList</vt:lpstr>
      <vt:lpstr>Valuation_Stripe_1</vt:lpstr>
      <vt:lpstr>Valuation_Stripe_2</vt:lpstr>
      <vt:lpstr>Valuation_Stripe_3</vt:lpstr>
      <vt:lpstr>Valuation_UserInputs</vt:lpstr>
      <vt:lpstr>Value_Real_MVTAB</vt:lpstr>
      <vt:lpstr>ValueAdj_Select1</vt:lpstr>
      <vt:lpstr>ValueAdj_Select2</vt:lpstr>
      <vt:lpstr>ValueAdj_Select3</vt:lpstr>
      <vt:lpstr>ValueAdj_Select4</vt:lpstr>
      <vt:lpstr>ValueAdj_Select5</vt:lpstr>
      <vt:lpstr>ValueAdjApp_Option1</vt:lpstr>
      <vt:lpstr>ValueAdjApp_Option2</vt:lpstr>
      <vt:lpstr>ValueAdjApp_Option3</vt:lpstr>
      <vt:lpstr>ValueAdjApp_Option4</vt:lpstr>
      <vt:lpstr>ValueAdjApplist</vt:lpstr>
      <vt:lpstr>ValueScenarioList</vt:lpstr>
      <vt:lpstr>WellsFargo_List_SizeUnits</vt:lpstr>
      <vt:lpstr>WellsFargo_List_ValueInterest</vt:lpstr>
      <vt:lpstr>WellsFargo_List_ValuePremise</vt:lpstr>
      <vt:lpstr>WellsFargo_List_ValueType</vt:lpstr>
      <vt:lpstr>yesno</vt:lpstr>
      <vt:lpstr>ZoomSettingList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Valbridge Template</dc:title>
  <dc:subject>Enterprise</dc:subject>
  <dc:creator>Paul Gilliam</dc:creator>
  <dc:description>ESRI Mod (Jan '24)</dc:description>
  <cp:lastModifiedBy>Shaquille Carter</cp:lastModifiedBy>
  <cp:lastPrinted>2017-06-19T21:32:10Z</cp:lastPrinted>
  <dcterms:created xsi:type="dcterms:W3CDTF">2013-08-22T19:10:04Z</dcterms:created>
  <dcterms:modified xsi:type="dcterms:W3CDTF">2026-08-05T16:23:31Z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pInitialReportName">
    <vt:lpwstr>FL01-25-0019-000 Office-Margomu Investments LLC-Cape Coral</vt:lpwstr>
  </property>
  <property fmtid="{D5CDD505-2E9C-101B-9397-08002B2CF9AE}" pid="3" name="dpLastReportRefreshed">
    <vt:lpwstr>FL01-25-0019-000 Office-Margomu Investments LLC-Cape Coral</vt:lpwstr>
  </property>
</Properties>
</file>